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MLProject\"/>
    </mc:Choice>
  </mc:AlternateContent>
  <xr:revisionPtr revIDLastSave="0" documentId="13_ncr:1_{E223CF8F-C8EA-4640-B1F5-226C2005E1C9}" xr6:coauthVersionLast="47" xr6:coauthVersionMax="47" xr10:uidLastSave="{00000000-0000-0000-0000-000000000000}"/>
  <bookViews>
    <workbookView xWindow="-120" yWindow="-120" windowWidth="29040" windowHeight="15840" xr2:uid="{00000000-000D-0000-FFFF-FFFF00000000}"/>
  </bookViews>
  <sheets>
    <sheet name="Incident"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3164" i="2" l="1"/>
  <c r="AV3164" i="2"/>
  <c r="AU3164" i="2"/>
  <c r="AS3164" i="2"/>
  <c r="AO3164" i="2"/>
  <c r="AN3164" i="2"/>
  <c r="AM3164" i="2"/>
  <c r="AL3164" i="2"/>
  <c r="AK3164" i="2"/>
  <c r="AJ3164" i="2"/>
  <c r="AI3164" i="2"/>
  <c r="AH3164" i="2"/>
  <c r="AG3164" i="2"/>
  <c r="AE3164" i="2"/>
  <c r="AD3164" i="2"/>
  <c r="AC3164" i="2"/>
  <c r="AA3164" i="2"/>
  <c r="Z3164" i="2"/>
  <c r="Y3164" i="2"/>
  <c r="X3164" i="2"/>
  <c r="W3164" i="2"/>
  <c r="V3164" i="2"/>
  <c r="U3164" i="2"/>
  <c r="T3164" i="2"/>
  <c r="S3164" i="2"/>
  <c r="R3164" i="2"/>
  <c r="Q3164" i="2"/>
  <c r="P3164" i="2"/>
  <c r="O3164" i="2"/>
  <c r="N3164" i="2"/>
  <c r="M3164" i="2"/>
  <c r="K3164" i="2"/>
  <c r="J3164" i="2"/>
  <c r="I3164" i="2"/>
  <c r="H3164" i="2"/>
  <c r="G3164" i="2"/>
  <c r="F3164" i="2"/>
  <c r="E3164" i="2"/>
  <c r="D3164" i="2"/>
  <c r="C3164" i="2"/>
  <c r="B3164" i="2"/>
  <c r="A3164" i="2"/>
  <c r="AX3163" i="2"/>
  <c r="AV3163" i="2"/>
  <c r="AU3163" i="2"/>
  <c r="AS3163" i="2"/>
  <c r="AR3163" i="2"/>
  <c r="AQ3163" i="2"/>
  <c r="AP3163" i="2"/>
  <c r="AO3163" i="2"/>
  <c r="AN3163" i="2"/>
  <c r="AM3163" i="2"/>
  <c r="AL3163" i="2"/>
  <c r="AK3163" i="2"/>
  <c r="AJ3163" i="2"/>
  <c r="AI3163" i="2"/>
  <c r="AH3163" i="2"/>
  <c r="AG3163" i="2"/>
  <c r="AE3163" i="2"/>
  <c r="AD3163" i="2"/>
  <c r="AC3163" i="2"/>
  <c r="AA3163" i="2"/>
  <c r="Z3163" i="2"/>
  <c r="Y3163" i="2"/>
  <c r="X3163" i="2"/>
  <c r="W3163" i="2"/>
  <c r="V3163" i="2"/>
  <c r="U3163" i="2"/>
  <c r="T3163" i="2"/>
  <c r="S3163" i="2"/>
  <c r="R3163" i="2"/>
  <c r="Q3163" i="2"/>
  <c r="P3163" i="2"/>
  <c r="O3163" i="2"/>
  <c r="N3163" i="2"/>
  <c r="M3163" i="2"/>
  <c r="K3163" i="2"/>
  <c r="J3163" i="2"/>
  <c r="I3163" i="2"/>
  <c r="H3163" i="2"/>
  <c r="G3163" i="2"/>
  <c r="F3163" i="2"/>
  <c r="E3163" i="2"/>
  <c r="D3163" i="2"/>
  <c r="C3163" i="2"/>
  <c r="B3163" i="2"/>
  <c r="A3163" i="2"/>
  <c r="AX3162" i="2"/>
  <c r="AV3162" i="2"/>
  <c r="AU3162" i="2"/>
  <c r="AS3162" i="2"/>
  <c r="AR3162" i="2"/>
  <c r="AO3162" i="2"/>
  <c r="AN3162" i="2"/>
  <c r="AM3162" i="2"/>
  <c r="AL3162" i="2"/>
  <c r="AK3162" i="2"/>
  <c r="AJ3162" i="2"/>
  <c r="AI3162" i="2"/>
  <c r="AH3162" i="2"/>
  <c r="AG3162" i="2"/>
  <c r="AE3162" i="2"/>
  <c r="AD3162" i="2"/>
  <c r="AC3162" i="2"/>
  <c r="AA3162" i="2"/>
  <c r="Z3162" i="2"/>
  <c r="Y3162" i="2"/>
  <c r="X3162" i="2"/>
  <c r="V3162" i="2"/>
  <c r="U3162" i="2"/>
  <c r="T3162" i="2"/>
  <c r="S3162" i="2"/>
  <c r="R3162" i="2"/>
  <c r="Q3162" i="2"/>
  <c r="P3162" i="2"/>
  <c r="O3162" i="2"/>
  <c r="N3162" i="2"/>
  <c r="M3162" i="2"/>
  <c r="K3162" i="2"/>
  <c r="J3162" i="2"/>
  <c r="I3162" i="2"/>
  <c r="H3162" i="2"/>
  <c r="G3162" i="2"/>
  <c r="F3162" i="2"/>
  <c r="E3162" i="2"/>
  <c r="D3162" i="2"/>
  <c r="C3162" i="2"/>
  <c r="B3162" i="2"/>
  <c r="A3162" i="2"/>
  <c r="AX3161" i="2"/>
  <c r="AV3161" i="2"/>
  <c r="AU3161" i="2"/>
  <c r="AS3161" i="2"/>
  <c r="AR3161" i="2"/>
  <c r="AQ3161" i="2"/>
  <c r="AP3161" i="2"/>
  <c r="AO3161" i="2"/>
  <c r="AN3161" i="2"/>
  <c r="AM3161" i="2"/>
  <c r="AL3161" i="2"/>
  <c r="AK3161" i="2"/>
  <c r="AJ3161" i="2"/>
  <c r="AI3161" i="2"/>
  <c r="AH3161" i="2"/>
  <c r="AG3161" i="2"/>
  <c r="AE3161" i="2"/>
  <c r="AD3161" i="2"/>
  <c r="AC3161" i="2"/>
  <c r="AA3161" i="2"/>
  <c r="Z3161" i="2"/>
  <c r="Y3161" i="2"/>
  <c r="X3161" i="2"/>
  <c r="V3161" i="2"/>
  <c r="U3161" i="2"/>
  <c r="T3161" i="2"/>
  <c r="S3161" i="2"/>
  <c r="R3161" i="2"/>
  <c r="Q3161" i="2"/>
  <c r="P3161" i="2"/>
  <c r="O3161" i="2"/>
  <c r="N3161" i="2"/>
  <c r="M3161" i="2"/>
  <c r="K3161" i="2"/>
  <c r="J3161" i="2"/>
  <c r="I3161" i="2"/>
  <c r="H3161" i="2"/>
  <c r="G3161" i="2"/>
  <c r="F3161" i="2"/>
  <c r="E3161" i="2"/>
  <c r="D3161" i="2"/>
  <c r="C3161" i="2"/>
  <c r="B3161" i="2"/>
  <c r="A3161" i="2"/>
  <c r="AX3160" i="2"/>
  <c r="AV3160" i="2"/>
  <c r="AU3160" i="2"/>
  <c r="AS3160" i="2"/>
  <c r="AO3160" i="2"/>
  <c r="AN3160" i="2"/>
  <c r="AM3160" i="2"/>
  <c r="AL3160" i="2"/>
  <c r="AK3160" i="2"/>
  <c r="AJ3160" i="2"/>
  <c r="AI3160" i="2"/>
  <c r="AH3160" i="2"/>
  <c r="AG3160" i="2"/>
  <c r="AE3160" i="2"/>
  <c r="AD3160" i="2"/>
  <c r="AC3160" i="2"/>
  <c r="AA3160" i="2"/>
  <c r="Z3160" i="2"/>
  <c r="Y3160" i="2"/>
  <c r="X3160" i="2"/>
  <c r="W3160" i="2"/>
  <c r="V3160" i="2"/>
  <c r="U3160" i="2"/>
  <c r="T3160" i="2"/>
  <c r="S3160" i="2"/>
  <c r="R3160" i="2"/>
  <c r="Q3160" i="2"/>
  <c r="P3160" i="2"/>
  <c r="O3160" i="2"/>
  <c r="N3160" i="2"/>
  <c r="M3160" i="2"/>
  <c r="K3160" i="2"/>
  <c r="J3160" i="2"/>
  <c r="I3160" i="2"/>
  <c r="H3160" i="2"/>
  <c r="G3160" i="2"/>
  <c r="F3160" i="2"/>
  <c r="E3160" i="2"/>
  <c r="D3160" i="2"/>
  <c r="C3160" i="2"/>
  <c r="B3160" i="2"/>
  <c r="A3160" i="2"/>
  <c r="AX3159" i="2"/>
  <c r="AV3159" i="2"/>
  <c r="AU3159" i="2"/>
  <c r="AS3159" i="2"/>
  <c r="AO3159" i="2"/>
  <c r="AN3159" i="2"/>
  <c r="AM3159" i="2"/>
  <c r="AL3159" i="2"/>
  <c r="AK3159" i="2"/>
  <c r="AJ3159" i="2"/>
  <c r="AI3159" i="2"/>
  <c r="AH3159" i="2"/>
  <c r="AG3159" i="2"/>
  <c r="AF3159" i="2"/>
  <c r="AE3159" i="2"/>
  <c r="AD3159" i="2"/>
  <c r="AC3159" i="2"/>
  <c r="AA3159" i="2"/>
  <c r="Z3159" i="2"/>
  <c r="Y3159" i="2"/>
  <c r="X3159" i="2"/>
  <c r="V3159" i="2"/>
  <c r="U3159" i="2"/>
  <c r="T3159" i="2"/>
  <c r="S3159" i="2"/>
  <c r="R3159" i="2"/>
  <c r="Q3159" i="2"/>
  <c r="P3159" i="2"/>
  <c r="O3159" i="2"/>
  <c r="N3159" i="2"/>
  <c r="M3159" i="2"/>
  <c r="K3159" i="2"/>
  <c r="J3159" i="2"/>
  <c r="I3159" i="2"/>
  <c r="H3159" i="2"/>
  <c r="G3159" i="2"/>
  <c r="F3159" i="2"/>
  <c r="E3159" i="2"/>
  <c r="D3159" i="2"/>
  <c r="C3159" i="2"/>
  <c r="B3159" i="2"/>
  <c r="A3159" i="2"/>
  <c r="AX3158" i="2"/>
  <c r="AV3158" i="2"/>
  <c r="AU3158" i="2"/>
  <c r="AS3158" i="2"/>
  <c r="AO3158" i="2"/>
  <c r="AN3158" i="2"/>
  <c r="AM3158" i="2"/>
  <c r="AL3158" i="2"/>
  <c r="AK3158" i="2"/>
  <c r="AJ3158" i="2"/>
  <c r="AI3158" i="2"/>
  <c r="AH3158" i="2"/>
  <c r="AG3158" i="2"/>
  <c r="AF3158" i="2"/>
  <c r="AE3158" i="2"/>
  <c r="AD3158" i="2"/>
  <c r="AC3158" i="2"/>
  <c r="AA3158" i="2"/>
  <c r="Z3158" i="2"/>
  <c r="Y3158" i="2"/>
  <c r="X3158" i="2"/>
  <c r="U3158" i="2"/>
  <c r="T3158" i="2"/>
  <c r="S3158" i="2"/>
  <c r="R3158" i="2"/>
  <c r="Q3158" i="2"/>
  <c r="P3158" i="2"/>
  <c r="O3158" i="2"/>
  <c r="N3158" i="2"/>
  <c r="M3158" i="2"/>
  <c r="K3158" i="2"/>
  <c r="J3158" i="2"/>
  <c r="I3158" i="2"/>
  <c r="H3158" i="2"/>
  <c r="G3158" i="2"/>
  <c r="F3158" i="2"/>
  <c r="E3158" i="2"/>
  <c r="D3158" i="2"/>
  <c r="C3158" i="2"/>
  <c r="B3158" i="2"/>
  <c r="A3158" i="2"/>
  <c r="AX3157" i="2"/>
  <c r="AV3157" i="2"/>
  <c r="AU3157" i="2"/>
  <c r="AS3157" i="2"/>
  <c r="AO3157" i="2"/>
  <c r="AN3157" i="2"/>
  <c r="AM3157" i="2"/>
  <c r="AL3157" i="2"/>
  <c r="AK3157" i="2"/>
  <c r="AJ3157" i="2"/>
  <c r="AI3157" i="2"/>
  <c r="AH3157" i="2"/>
  <c r="AG3157" i="2"/>
  <c r="AE3157" i="2"/>
  <c r="AD3157" i="2"/>
  <c r="AC3157" i="2"/>
  <c r="AA3157" i="2"/>
  <c r="Z3157" i="2"/>
  <c r="Y3157" i="2"/>
  <c r="X3157" i="2"/>
  <c r="W3157" i="2"/>
  <c r="V3157" i="2"/>
  <c r="U3157" i="2"/>
  <c r="T3157" i="2"/>
  <c r="S3157" i="2"/>
  <c r="R3157" i="2"/>
  <c r="Q3157" i="2"/>
  <c r="P3157" i="2"/>
  <c r="O3157" i="2"/>
  <c r="N3157" i="2"/>
  <c r="M3157" i="2"/>
  <c r="K3157" i="2"/>
  <c r="J3157" i="2"/>
  <c r="I3157" i="2"/>
  <c r="H3157" i="2"/>
  <c r="G3157" i="2"/>
  <c r="F3157" i="2"/>
  <c r="E3157" i="2"/>
  <c r="D3157" i="2"/>
  <c r="C3157" i="2"/>
  <c r="B3157" i="2"/>
  <c r="A3157" i="2"/>
  <c r="AX3156" i="2"/>
  <c r="AV3156" i="2"/>
  <c r="AU3156" i="2"/>
  <c r="AS3156" i="2"/>
  <c r="AO3156" i="2"/>
  <c r="AN3156" i="2"/>
  <c r="AM3156" i="2"/>
  <c r="AL3156" i="2"/>
  <c r="AK3156" i="2"/>
  <c r="AJ3156" i="2"/>
  <c r="AI3156" i="2"/>
  <c r="AH3156" i="2"/>
  <c r="AG3156" i="2"/>
  <c r="AE3156" i="2"/>
  <c r="AD3156" i="2"/>
  <c r="AC3156" i="2"/>
  <c r="AA3156" i="2"/>
  <c r="Z3156" i="2"/>
  <c r="Y3156" i="2"/>
  <c r="X3156" i="2"/>
  <c r="V3156" i="2"/>
  <c r="U3156" i="2"/>
  <c r="T3156" i="2"/>
  <c r="S3156" i="2"/>
  <c r="R3156" i="2"/>
  <c r="Q3156" i="2"/>
  <c r="P3156" i="2"/>
  <c r="O3156" i="2"/>
  <c r="N3156" i="2"/>
  <c r="M3156" i="2"/>
  <c r="K3156" i="2"/>
  <c r="J3156" i="2"/>
  <c r="I3156" i="2"/>
  <c r="H3156" i="2"/>
  <c r="G3156" i="2"/>
  <c r="F3156" i="2"/>
  <c r="E3156" i="2"/>
  <c r="D3156" i="2"/>
  <c r="C3156" i="2"/>
  <c r="B3156" i="2"/>
  <c r="A3156" i="2"/>
  <c r="AX3155" i="2"/>
  <c r="AV3155" i="2"/>
  <c r="AU3155" i="2"/>
  <c r="AS3155" i="2"/>
  <c r="AO3155" i="2"/>
  <c r="AN3155" i="2"/>
  <c r="AM3155" i="2"/>
  <c r="AI3155" i="2"/>
  <c r="AH3155" i="2"/>
  <c r="AG3155" i="2"/>
  <c r="AE3155" i="2"/>
  <c r="AD3155" i="2"/>
  <c r="AC3155" i="2"/>
  <c r="Z3155" i="2"/>
  <c r="Y3155" i="2"/>
  <c r="X3155" i="2"/>
  <c r="W3155" i="2"/>
  <c r="V3155" i="2"/>
  <c r="U3155" i="2"/>
  <c r="T3155" i="2"/>
  <c r="S3155" i="2"/>
  <c r="R3155" i="2"/>
  <c r="Q3155" i="2"/>
  <c r="P3155" i="2"/>
  <c r="O3155" i="2"/>
  <c r="N3155" i="2"/>
  <c r="M3155" i="2"/>
  <c r="K3155" i="2"/>
  <c r="J3155" i="2"/>
  <c r="I3155" i="2"/>
  <c r="H3155" i="2"/>
  <c r="G3155" i="2"/>
  <c r="F3155" i="2"/>
  <c r="E3155" i="2"/>
  <c r="D3155" i="2"/>
  <c r="C3155" i="2"/>
  <c r="B3155" i="2"/>
  <c r="A3155" i="2"/>
  <c r="AX3154" i="2"/>
  <c r="AV3154" i="2"/>
  <c r="AU3154" i="2"/>
  <c r="AS3154" i="2"/>
  <c r="AO3154" i="2"/>
  <c r="AN3154" i="2"/>
  <c r="AM3154" i="2"/>
  <c r="AL3154" i="2"/>
  <c r="AK3154" i="2"/>
  <c r="AJ3154" i="2"/>
  <c r="AI3154" i="2"/>
  <c r="AH3154" i="2"/>
  <c r="AG3154" i="2"/>
  <c r="AE3154" i="2"/>
  <c r="AD3154" i="2"/>
  <c r="AC3154" i="2"/>
  <c r="AA3154" i="2"/>
  <c r="Z3154" i="2"/>
  <c r="Y3154" i="2"/>
  <c r="U3154" i="2"/>
  <c r="T3154" i="2"/>
  <c r="S3154" i="2"/>
  <c r="R3154" i="2"/>
  <c r="Q3154" i="2"/>
  <c r="P3154" i="2"/>
  <c r="O3154" i="2"/>
  <c r="N3154" i="2"/>
  <c r="M3154" i="2"/>
  <c r="K3154" i="2"/>
  <c r="J3154" i="2"/>
  <c r="I3154" i="2"/>
  <c r="H3154" i="2"/>
  <c r="G3154" i="2"/>
  <c r="F3154" i="2"/>
  <c r="E3154" i="2"/>
  <c r="D3154" i="2"/>
  <c r="C3154" i="2"/>
  <c r="B3154" i="2"/>
  <c r="A3154" i="2"/>
  <c r="AX3153" i="2"/>
  <c r="AV3153" i="2"/>
  <c r="AU3153" i="2"/>
  <c r="AS3153" i="2"/>
  <c r="AO3153" i="2"/>
  <c r="AN3153" i="2"/>
  <c r="AM3153" i="2"/>
  <c r="AL3153" i="2"/>
  <c r="AK3153" i="2"/>
  <c r="AJ3153" i="2"/>
  <c r="AI3153" i="2"/>
  <c r="AH3153" i="2"/>
  <c r="AG3153" i="2"/>
  <c r="AE3153" i="2"/>
  <c r="AD3153" i="2"/>
  <c r="AC3153" i="2"/>
  <c r="AA3153" i="2"/>
  <c r="Z3153" i="2"/>
  <c r="Y3153" i="2"/>
  <c r="X3153" i="2"/>
  <c r="U3153" i="2"/>
  <c r="T3153" i="2"/>
  <c r="S3153" i="2"/>
  <c r="R3153" i="2"/>
  <c r="Q3153" i="2"/>
  <c r="P3153" i="2"/>
  <c r="O3153" i="2"/>
  <c r="N3153" i="2"/>
  <c r="M3153" i="2"/>
  <c r="K3153" i="2"/>
  <c r="J3153" i="2"/>
  <c r="I3153" i="2"/>
  <c r="H3153" i="2"/>
  <c r="G3153" i="2"/>
  <c r="F3153" i="2"/>
  <c r="E3153" i="2"/>
  <c r="D3153" i="2"/>
  <c r="C3153" i="2"/>
  <c r="B3153" i="2"/>
  <c r="A3153" i="2"/>
  <c r="AX3152" i="2"/>
  <c r="AV3152" i="2"/>
  <c r="AU3152" i="2"/>
  <c r="AS3152" i="2"/>
  <c r="AO3152" i="2"/>
  <c r="AN3152" i="2"/>
  <c r="AM3152" i="2"/>
  <c r="AL3152" i="2"/>
  <c r="AK3152" i="2"/>
  <c r="AJ3152" i="2"/>
  <c r="AI3152" i="2"/>
  <c r="AH3152" i="2"/>
  <c r="AG3152" i="2"/>
  <c r="AE3152" i="2"/>
  <c r="AD3152" i="2"/>
  <c r="AC3152" i="2"/>
  <c r="AA3152" i="2"/>
  <c r="Z3152" i="2"/>
  <c r="Y3152" i="2"/>
  <c r="X3152" i="2"/>
  <c r="W3152" i="2"/>
  <c r="V3152" i="2"/>
  <c r="U3152" i="2"/>
  <c r="T3152" i="2"/>
  <c r="S3152" i="2"/>
  <c r="R3152" i="2"/>
  <c r="Q3152" i="2"/>
  <c r="P3152" i="2"/>
  <c r="O3152" i="2"/>
  <c r="N3152" i="2"/>
  <c r="M3152" i="2"/>
  <c r="K3152" i="2"/>
  <c r="J3152" i="2"/>
  <c r="I3152" i="2"/>
  <c r="H3152" i="2"/>
  <c r="G3152" i="2"/>
  <c r="F3152" i="2"/>
  <c r="E3152" i="2"/>
  <c r="D3152" i="2"/>
  <c r="C3152" i="2"/>
  <c r="B3152" i="2"/>
  <c r="A3152" i="2"/>
  <c r="AX3151" i="2"/>
  <c r="AV3151" i="2"/>
  <c r="AU3151" i="2"/>
  <c r="AS3151" i="2"/>
  <c r="AO3151" i="2"/>
  <c r="AN3151" i="2"/>
  <c r="AM3151" i="2"/>
  <c r="AL3151" i="2"/>
  <c r="AK3151" i="2"/>
  <c r="AJ3151" i="2"/>
  <c r="AI3151" i="2"/>
  <c r="AH3151" i="2"/>
  <c r="AG3151" i="2"/>
  <c r="AE3151" i="2"/>
  <c r="AD3151" i="2"/>
  <c r="AC3151" i="2"/>
  <c r="AA3151" i="2"/>
  <c r="Z3151" i="2"/>
  <c r="Y3151" i="2"/>
  <c r="X3151" i="2"/>
  <c r="U3151" i="2"/>
  <c r="T3151" i="2"/>
  <c r="S3151" i="2"/>
  <c r="R3151" i="2"/>
  <c r="Q3151" i="2"/>
  <c r="P3151" i="2"/>
  <c r="O3151" i="2"/>
  <c r="N3151" i="2"/>
  <c r="M3151" i="2"/>
  <c r="K3151" i="2"/>
  <c r="J3151" i="2"/>
  <c r="I3151" i="2"/>
  <c r="H3151" i="2"/>
  <c r="G3151" i="2"/>
  <c r="F3151" i="2"/>
  <c r="E3151" i="2"/>
  <c r="D3151" i="2"/>
  <c r="C3151" i="2"/>
  <c r="B3151" i="2"/>
  <c r="A3151" i="2"/>
  <c r="AX3150" i="2"/>
  <c r="AV3150" i="2"/>
  <c r="AU3150" i="2"/>
  <c r="AS3150" i="2"/>
  <c r="AO3150" i="2"/>
  <c r="AN3150" i="2"/>
  <c r="AM3150" i="2"/>
  <c r="AL3150" i="2"/>
  <c r="AK3150" i="2"/>
  <c r="AJ3150" i="2"/>
  <c r="AI3150" i="2"/>
  <c r="AH3150" i="2"/>
  <c r="AG3150" i="2"/>
  <c r="AF3150" i="2"/>
  <c r="AE3150" i="2"/>
  <c r="AD3150" i="2"/>
  <c r="AC3150" i="2"/>
  <c r="AA3150" i="2"/>
  <c r="Z3150" i="2"/>
  <c r="Y3150" i="2"/>
  <c r="X3150" i="2"/>
  <c r="W3150" i="2"/>
  <c r="V3150" i="2"/>
  <c r="U3150" i="2"/>
  <c r="T3150" i="2"/>
  <c r="S3150" i="2"/>
  <c r="R3150" i="2"/>
  <c r="Q3150" i="2"/>
  <c r="P3150" i="2"/>
  <c r="O3150" i="2"/>
  <c r="N3150" i="2"/>
  <c r="M3150" i="2"/>
  <c r="K3150" i="2"/>
  <c r="J3150" i="2"/>
  <c r="I3150" i="2"/>
  <c r="H3150" i="2"/>
  <c r="G3150" i="2"/>
  <c r="F3150" i="2"/>
  <c r="E3150" i="2"/>
  <c r="D3150" i="2"/>
  <c r="C3150" i="2"/>
  <c r="B3150" i="2"/>
  <c r="A3150" i="2"/>
  <c r="AX3149" i="2"/>
  <c r="AV3149" i="2"/>
  <c r="AU3149" i="2"/>
  <c r="AS3149" i="2"/>
  <c r="AO3149" i="2"/>
  <c r="AN3149" i="2"/>
  <c r="AM3149" i="2"/>
  <c r="AL3149" i="2"/>
  <c r="AK3149" i="2"/>
  <c r="AJ3149" i="2"/>
  <c r="AI3149" i="2"/>
  <c r="AH3149" i="2"/>
  <c r="AG3149" i="2"/>
  <c r="AE3149" i="2"/>
  <c r="AD3149" i="2"/>
  <c r="AC3149" i="2"/>
  <c r="AA3149" i="2"/>
  <c r="Z3149" i="2"/>
  <c r="Y3149" i="2"/>
  <c r="X3149" i="2"/>
  <c r="V3149" i="2"/>
  <c r="U3149" i="2"/>
  <c r="T3149" i="2"/>
  <c r="S3149" i="2"/>
  <c r="R3149" i="2"/>
  <c r="Q3149" i="2"/>
  <c r="P3149" i="2"/>
  <c r="O3149" i="2"/>
  <c r="N3149" i="2"/>
  <c r="M3149" i="2"/>
  <c r="K3149" i="2"/>
  <c r="J3149" i="2"/>
  <c r="I3149" i="2"/>
  <c r="H3149" i="2"/>
  <c r="G3149" i="2"/>
  <c r="F3149" i="2"/>
  <c r="E3149" i="2"/>
  <c r="D3149" i="2"/>
  <c r="C3149" i="2"/>
  <c r="B3149" i="2"/>
  <c r="A3149" i="2"/>
  <c r="AX3148" i="2"/>
  <c r="AV3148" i="2"/>
  <c r="AU3148" i="2"/>
  <c r="AS3148" i="2"/>
  <c r="AO3148" i="2"/>
  <c r="AN3148" i="2"/>
  <c r="AM3148" i="2"/>
  <c r="AL3148" i="2"/>
  <c r="AK3148" i="2"/>
  <c r="AJ3148" i="2"/>
  <c r="AI3148" i="2"/>
  <c r="AH3148" i="2"/>
  <c r="AG3148" i="2"/>
  <c r="AE3148" i="2"/>
  <c r="AD3148" i="2"/>
  <c r="AC3148" i="2"/>
  <c r="AA3148" i="2"/>
  <c r="Z3148" i="2"/>
  <c r="Y3148" i="2"/>
  <c r="X3148" i="2"/>
  <c r="U3148" i="2"/>
  <c r="T3148" i="2"/>
  <c r="S3148" i="2"/>
  <c r="R3148" i="2"/>
  <c r="Q3148" i="2"/>
  <c r="P3148" i="2"/>
  <c r="O3148" i="2"/>
  <c r="N3148" i="2"/>
  <c r="M3148" i="2"/>
  <c r="K3148" i="2"/>
  <c r="J3148" i="2"/>
  <c r="I3148" i="2"/>
  <c r="H3148" i="2"/>
  <c r="G3148" i="2"/>
  <c r="F3148" i="2"/>
  <c r="E3148" i="2"/>
  <c r="D3148" i="2"/>
  <c r="C3148" i="2"/>
  <c r="B3148" i="2"/>
  <c r="A3148" i="2"/>
  <c r="AX3147" i="2"/>
  <c r="AV3147" i="2"/>
  <c r="AU3147" i="2"/>
  <c r="AS3147" i="2"/>
  <c r="AO3147" i="2"/>
  <c r="AN3147" i="2"/>
  <c r="AM3147" i="2"/>
  <c r="AL3147" i="2"/>
  <c r="AK3147" i="2"/>
  <c r="AJ3147" i="2"/>
  <c r="AI3147" i="2"/>
  <c r="AH3147" i="2"/>
  <c r="AG3147" i="2"/>
  <c r="AE3147" i="2"/>
  <c r="AD3147" i="2"/>
  <c r="AC3147" i="2"/>
  <c r="AA3147" i="2"/>
  <c r="Z3147" i="2"/>
  <c r="Y3147" i="2"/>
  <c r="X3147" i="2"/>
  <c r="U3147" i="2"/>
  <c r="T3147" i="2"/>
  <c r="S3147" i="2"/>
  <c r="R3147" i="2"/>
  <c r="Q3147" i="2"/>
  <c r="P3147" i="2"/>
  <c r="O3147" i="2"/>
  <c r="N3147" i="2"/>
  <c r="M3147" i="2"/>
  <c r="K3147" i="2"/>
  <c r="J3147" i="2"/>
  <c r="I3147" i="2"/>
  <c r="H3147" i="2"/>
  <c r="G3147" i="2"/>
  <c r="F3147" i="2"/>
  <c r="E3147" i="2"/>
  <c r="D3147" i="2"/>
  <c r="C3147" i="2"/>
  <c r="B3147" i="2"/>
  <c r="A3147" i="2"/>
  <c r="AX3146" i="2"/>
  <c r="AV3146" i="2"/>
  <c r="AU3146" i="2"/>
  <c r="AS3146" i="2"/>
  <c r="AO3146" i="2"/>
  <c r="AN3146" i="2"/>
  <c r="AM3146" i="2"/>
  <c r="AL3146" i="2"/>
  <c r="AK3146" i="2"/>
  <c r="AJ3146" i="2"/>
  <c r="AI3146" i="2"/>
  <c r="AH3146" i="2"/>
  <c r="AG3146" i="2"/>
  <c r="AF3146" i="2"/>
  <c r="AE3146" i="2"/>
  <c r="AD3146" i="2"/>
  <c r="AC3146" i="2"/>
  <c r="AA3146" i="2"/>
  <c r="Z3146" i="2"/>
  <c r="Y3146" i="2"/>
  <c r="X3146" i="2"/>
  <c r="W3146" i="2"/>
  <c r="V3146" i="2"/>
  <c r="U3146" i="2"/>
  <c r="T3146" i="2"/>
  <c r="S3146" i="2"/>
  <c r="R3146" i="2"/>
  <c r="Q3146" i="2"/>
  <c r="P3146" i="2"/>
  <c r="O3146" i="2"/>
  <c r="N3146" i="2"/>
  <c r="M3146" i="2"/>
  <c r="K3146" i="2"/>
  <c r="J3146" i="2"/>
  <c r="I3146" i="2"/>
  <c r="H3146" i="2"/>
  <c r="G3146" i="2"/>
  <c r="F3146" i="2"/>
  <c r="E3146" i="2"/>
  <c r="D3146" i="2"/>
  <c r="C3146" i="2"/>
  <c r="B3146" i="2"/>
  <c r="A3146" i="2"/>
  <c r="AX3145" i="2"/>
  <c r="AV3145" i="2"/>
  <c r="AU3145" i="2"/>
  <c r="AS3145" i="2"/>
  <c r="AO3145" i="2"/>
  <c r="AN3145" i="2"/>
  <c r="AM3145" i="2"/>
  <c r="AL3145" i="2"/>
  <c r="AK3145" i="2"/>
  <c r="AI3145" i="2"/>
  <c r="AH3145" i="2"/>
  <c r="AG3145" i="2"/>
  <c r="AE3145" i="2"/>
  <c r="AD3145" i="2"/>
  <c r="AC3145" i="2"/>
  <c r="Z3145" i="2"/>
  <c r="Y3145" i="2"/>
  <c r="X3145" i="2"/>
  <c r="V3145" i="2"/>
  <c r="U3145" i="2"/>
  <c r="T3145" i="2"/>
  <c r="S3145" i="2"/>
  <c r="R3145" i="2"/>
  <c r="Q3145" i="2"/>
  <c r="P3145" i="2"/>
  <c r="O3145" i="2"/>
  <c r="N3145" i="2"/>
  <c r="M3145" i="2"/>
  <c r="K3145" i="2"/>
  <c r="J3145" i="2"/>
  <c r="I3145" i="2"/>
  <c r="H3145" i="2"/>
  <c r="G3145" i="2"/>
  <c r="F3145" i="2"/>
  <c r="E3145" i="2"/>
  <c r="D3145" i="2"/>
  <c r="C3145" i="2"/>
  <c r="B3145" i="2"/>
  <c r="A3145" i="2"/>
  <c r="AX3144" i="2"/>
  <c r="AV3144" i="2"/>
  <c r="AU3144" i="2"/>
  <c r="AS3144" i="2"/>
  <c r="AO3144" i="2"/>
  <c r="AN3144" i="2"/>
  <c r="AM3144" i="2"/>
  <c r="AL3144" i="2"/>
  <c r="AK3144" i="2"/>
  <c r="AJ3144" i="2"/>
  <c r="AI3144" i="2"/>
  <c r="AH3144" i="2"/>
  <c r="AG3144" i="2"/>
  <c r="AE3144" i="2"/>
  <c r="AD3144" i="2"/>
  <c r="AC3144" i="2"/>
  <c r="AA3144" i="2"/>
  <c r="Z3144" i="2"/>
  <c r="Y3144" i="2"/>
  <c r="X3144" i="2"/>
  <c r="W3144" i="2"/>
  <c r="V3144" i="2"/>
  <c r="U3144" i="2"/>
  <c r="T3144" i="2"/>
  <c r="S3144" i="2"/>
  <c r="R3144" i="2"/>
  <c r="Q3144" i="2"/>
  <c r="P3144" i="2"/>
  <c r="O3144" i="2"/>
  <c r="N3144" i="2"/>
  <c r="M3144" i="2"/>
  <c r="K3144" i="2"/>
  <c r="J3144" i="2"/>
  <c r="I3144" i="2"/>
  <c r="H3144" i="2"/>
  <c r="G3144" i="2"/>
  <c r="F3144" i="2"/>
  <c r="E3144" i="2"/>
  <c r="D3144" i="2"/>
  <c r="C3144" i="2"/>
  <c r="B3144" i="2"/>
  <c r="A3144" i="2"/>
  <c r="AX3143" i="2"/>
  <c r="AV3143" i="2"/>
  <c r="AU3143" i="2"/>
  <c r="AS3143" i="2"/>
  <c r="AO3143" i="2"/>
  <c r="AN3143" i="2"/>
  <c r="AM3143" i="2"/>
  <c r="AL3143" i="2"/>
  <c r="AK3143" i="2"/>
  <c r="AJ3143" i="2"/>
  <c r="AI3143" i="2"/>
  <c r="AH3143" i="2"/>
  <c r="AG3143" i="2"/>
  <c r="AE3143" i="2"/>
  <c r="AD3143" i="2"/>
  <c r="AC3143" i="2"/>
  <c r="AA3143" i="2"/>
  <c r="Z3143" i="2"/>
  <c r="Y3143" i="2"/>
  <c r="X3143" i="2"/>
  <c r="U3143" i="2"/>
  <c r="T3143" i="2"/>
  <c r="S3143" i="2"/>
  <c r="R3143" i="2"/>
  <c r="Q3143" i="2"/>
  <c r="P3143" i="2"/>
  <c r="O3143" i="2"/>
  <c r="N3143" i="2"/>
  <c r="M3143" i="2"/>
  <c r="K3143" i="2"/>
  <c r="J3143" i="2"/>
  <c r="I3143" i="2"/>
  <c r="H3143" i="2"/>
  <c r="G3143" i="2"/>
  <c r="F3143" i="2"/>
  <c r="E3143" i="2"/>
  <c r="D3143" i="2"/>
  <c r="C3143" i="2"/>
  <c r="B3143" i="2"/>
  <c r="A3143" i="2"/>
  <c r="AX3142" i="2"/>
  <c r="AV3142" i="2"/>
  <c r="AU3142" i="2"/>
  <c r="AS3142" i="2"/>
  <c r="AO3142" i="2"/>
  <c r="AN3142" i="2"/>
  <c r="AM3142" i="2"/>
  <c r="AL3142" i="2"/>
  <c r="AK3142" i="2"/>
  <c r="AJ3142" i="2"/>
  <c r="AI3142" i="2"/>
  <c r="AH3142" i="2"/>
  <c r="AG3142" i="2"/>
  <c r="AE3142" i="2"/>
  <c r="AD3142" i="2"/>
  <c r="AC3142" i="2"/>
  <c r="AA3142" i="2"/>
  <c r="Z3142" i="2"/>
  <c r="Y3142" i="2"/>
  <c r="X3142" i="2"/>
  <c r="W3142" i="2"/>
  <c r="V3142" i="2"/>
  <c r="U3142" i="2"/>
  <c r="T3142" i="2"/>
  <c r="S3142" i="2"/>
  <c r="R3142" i="2"/>
  <c r="Q3142" i="2"/>
  <c r="P3142" i="2"/>
  <c r="O3142" i="2"/>
  <c r="N3142" i="2"/>
  <c r="M3142" i="2"/>
  <c r="K3142" i="2"/>
  <c r="J3142" i="2"/>
  <c r="I3142" i="2"/>
  <c r="H3142" i="2"/>
  <c r="G3142" i="2"/>
  <c r="F3142" i="2"/>
  <c r="E3142" i="2"/>
  <c r="D3142" i="2"/>
  <c r="C3142" i="2"/>
  <c r="B3142" i="2"/>
  <c r="A3142" i="2"/>
  <c r="AX3141" i="2"/>
  <c r="AV3141" i="2"/>
  <c r="AU3141" i="2"/>
  <c r="AS3141" i="2"/>
  <c r="AO3141" i="2"/>
  <c r="AN3141" i="2"/>
  <c r="AM3141" i="2"/>
  <c r="AL3141" i="2"/>
  <c r="AK3141" i="2"/>
  <c r="AJ3141" i="2"/>
  <c r="AI3141" i="2"/>
  <c r="AH3141" i="2"/>
  <c r="AG3141" i="2"/>
  <c r="AF3141" i="2"/>
  <c r="AE3141" i="2"/>
  <c r="AD3141" i="2"/>
  <c r="AC3141" i="2"/>
  <c r="AA3141" i="2"/>
  <c r="Z3141" i="2"/>
  <c r="Y3141" i="2"/>
  <c r="X3141" i="2"/>
  <c r="U3141" i="2"/>
  <c r="T3141" i="2"/>
  <c r="S3141" i="2"/>
  <c r="R3141" i="2"/>
  <c r="Q3141" i="2"/>
  <c r="P3141" i="2"/>
  <c r="O3141" i="2"/>
  <c r="N3141" i="2"/>
  <c r="M3141" i="2"/>
  <c r="K3141" i="2"/>
  <c r="J3141" i="2"/>
  <c r="I3141" i="2"/>
  <c r="H3141" i="2"/>
  <c r="G3141" i="2"/>
  <c r="F3141" i="2"/>
  <c r="E3141" i="2"/>
  <c r="D3141" i="2"/>
  <c r="C3141" i="2"/>
  <c r="B3141" i="2"/>
  <c r="A3141" i="2"/>
  <c r="AX3140" i="2"/>
  <c r="AV3140" i="2"/>
  <c r="AU3140" i="2"/>
  <c r="AS3140" i="2"/>
  <c r="AR3140" i="2"/>
  <c r="AO3140" i="2"/>
  <c r="AN3140" i="2"/>
  <c r="AM3140" i="2"/>
  <c r="AL3140" i="2"/>
  <c r="AK3140" i="2"/>
  <c r="AJ3140" i="2"/>
  <c r="AI3140" i="2"/>
  <c r="AH3140" i="2"/>
  <c r="AG3140" i="2"/>
  <c r="AF3140" i="2"/>
  <c r="AE3140" i="2"/>
  <c r="AD3140" i="2"/>
  <c r="AC3140" i="2"/>
  <c r="AA3140" i="2"/>
  <c r="Z3140" i="2"/>
  <c r="Y3140" i="2"/>
  <c r="X3140" i="2"/>
  <c r="U3140" i="2"/>
  <c r="T3140" i="2"/>
  <c r="S3140" i="2"/>
  <c r="R3140" i="2"/>
  <c r="Q3140" i="2"/>
  <c r="P3140" i="2"/>
  <c r="O3140" i="2"/>
  <c r="N3140" i="2"/>
  <c r="M3140" i="2"/>
  <c r="K3140" i="2"/>
  <c r="J3140" i="2"/>
  <c r="I3140" i="2"/>
  <c r="H3140" i="2"/>
  <c r="G3140" i="2"/>
  <c r="F3140" i="2"/>
  <c r="E3140" i="2"/>
  <c r="D3140" i="2"/>
  <c r="C3140" i="2"/>
  <c r="B3140" i="2"/>
  <c r="A3140" i="2"/>
  <c r="AX3139" i="2"/>
  <c r="AV3139" i="2"/>
  <c r="AU3139" i="2"/>
  <c r="AS3139" i="2"/>
  <c r="AO3139" i="2"/>
  <c r="AN3139" i="2"/>
  <c r="AM3139" i="2"/>
  <c r="AL3139" i="2"/>
  <c r="AK3139" i="2"/>
  <c r="AJ3139" i="2"/>
  <c r="AI3139" i="2"/>
  <c r="AH3139" i="2"/>
  <c r="AG3139" i="2"/>
  <c r="AE3139" i="2"/>
  <c r="AD3139" i="2"/>
  <c r="AC3139" i="2"/>
  <c r="AA3139" i="2"/>
  <c r="Z3139" i="2"/>
  <c r="Y3139" i="2"/>
  <c r="X3139" i="2"/>
  <c r="W3139" i="2"/>
  <c r="V3139" i="2"/>
  <c r="U3139" i="2"/>
  <c r="T3139" i="2"/>
  <c r="S3139" i="2"/>
  <c r="R3139" i="2"/>
  <c r="Q3139" i="2"/>
  <c r="P3139" i="2"/>
  <c r="O3139" i="2"/>
  <c r="N3139" i="2"/>
  <c r="M3139" i="2"/>
  <c r="K3139" i="2"/>
  <c r="J3139" i="2"/>
  <c r="I3139" i="2"/>
  <c r="H3139" i="2"/>
  <c r="G3139" i="2"/>
  <c r="F3139" i="2"/>
  <c r="E3139" i="2"/>
  <c r="D3139" i="2"/>
  <c r="C3139" i="2"/>
  <c r="B3139" i="2"/>
  <c r="A3139" i="2"/>
  <c r="AX3138" i="2"/>
  <c r="AV3138" i="2"/>
  <c r="AU3138" i="2"/>
  <c r="AS3138" i="2"/>
  <c r="AO3138" i="2"/>
  <c r="AN3138" i="2"/>
  <c r="AM3138" i="2"/>
  <c r="AK3138" i="2"/>
  <c r="AJ3138" i="2"/>
  <c r="AI3138" i="2"/>
  <c r="AH3138" i="2"/>
  <c r="AG3138" i="2"/>
  <c r="AF3138" i="2"/>
  <c r="AE3138" i="2"/>
  <c r="AD3138" i="2"/>
  <c r="AC3138" i="2"/>
  <c r="AA3138" i="2"/>
  <c r="Z3138" i="2"/>
  <c r="Y3138" i="2"/>
  <c r="X3138" i="2"/>
  <c r="V3138" i="2"/>
  <c r="U3138" i="2"/>
  <c r="T3138" i="2"/>
  <c r="S3138" i="2"/>
  <c r="R3138" i="2"/>
  <c r="Q3138" i="2"/>
  <c r="P3138" i="2"/>
  <c r="O3138" i="2"/>
  <c r="N3138" i="2"/>
  <c r="M3138" i="2"/>
  <c r="K3138" i="2"/>
  <c r="J3138" i="2"/>
  <c r="I3138" i="2"/>
  <c r="H3138" i="2"/>
  <c r="G3138" i="2"/>
  <c r="F3138" i="2"/>
  <c r="E3138" i="2"/>
  <c r="D3138" i="2"/>
  <c r="C3138" i="2"/>
  <c r="B3138" i="2"/>
  <c r="A3138" i="2"/>
  <c r="AX3137" i="2"/>
  <c r="AV3137" i="2"/>
  <c r="AU3137" i="2"/>
  <c r="AS3137" i="2"/>
  <c r="AO3137" i="2"/>
  <c r="AN3137" i="2"/>
  <c r="AM3137" i="2"/>
  <c r="AL3137" i="2"/>
  <c r="AK3137" i="2"/>
  <c r="AJ3137" i="2"/>
  <c r="AI3137" i="2"/>
  <c r="AH3137" i="2"/>
  <c r="AG3137" i="2"/>
  <c r="AF3137" i="2"/>
  <c r="AE3137" i="2"/>
  <c r="AD3137" i="2"/>
  <c r="AC3137" i="2"/>
  <c r="AA3137" i="2"/>
  <c r="Z3137" i="2"/>
  <c r="Y3137" i="2"/>
  <c r="X3137" i="2"/>
  <c r="U3137" i="2"/>
  <c r="T3137" i="2"/>
  <c r="S3137" i="2"/>
  <c r="R3137" i="2"/>
  <c r="Q3137" i="2"/>
  <c r="P3137" i="2"/>
  <c r="O3137" i="2"/>
  <c r="N3137" i="2"/>
  <c r="M3137" i="2"/>
  <c r="K3137" i="2"/>
  <c r="J3137" i="2"/>
  <c r="I3137" i="2"/>
  <c r="H3137" i="2"/>
  <c r="G3137" i="2"/>
  <c r="F3137" i="2"/>
  <c r="E3137" i="2"/>
  <c r="D3137" i="2"/>
  <c r="C3137" i="2"/>
  <c r="B3137" i="2"/>
  <c r="A3137" i="2"/>
  <c r="AX3136" i="2"/>
  <c r="AV3136" i="2"/>
  <c r="AU3136" i="2"/>
  <c r="AS3136" i="2"/>
  <c r="AP3136" i="2"/>
  <c r="AO3136" i="2"/>
  <c r="AM3136" i="2"/>
  <c r="AL3136" i="2"/>
  <c r="AK3136" i="2"/>
  <c r="AJ3136" i="2"/>
  <c r="AI3136" i="2"/>
  <c r="AH3136" i="2"/>
  <c r="AG3136" i="2"/>
  <c r="AF3136" i="2"/>
  <c r="AE3136" i="2"/>
  <c r="AD3136" i="2"/>
  <c r="AC3136" i="2"/>
  <c r="AA3136" i="2"/>
  <c r="Z3136" i="2"/>
  <c r="Y3136" i="2"/>
  <c r="X3136" i="2"/>
  <c r="U3136" i="2"/>
  <c r="T3136" i="2"/>
  <c r="S3136" i="2"/>
  <c r="R3136" i="2"/>
  <c r="Q3136" i="2"/>
  <c r="P3136" i="2"/>
  <c r="O3136" i="2"/>
  <c r="N3136" i="2"/>
  <c r="M3136" i="2"/>
  <c r="K3136" i="2"/>
  <c r="J3136" i="2"/>
  <c r="I3136" i="2"/>
  <c r="H3136" i="2"/>
  <c r="G3136" i="2"/>
  <c r="F3136" i="2"/>
  <c r="E3136" i="2"/>
  <c r="D3136" i="2"/>
  <c r="C3136" i="2"/>
  <c r="B3136" i="2"/>
  <c r="A3136" i="2"/>
  <c r="AX3135" i="2"/>
  <c r="AV3135" i="2"/>
  <c r="AU3135" i="2"/>
  <c r="AS3135" i="2"/>
  <c r="AO3135" i="2"/>
  <c r="AM3135" i="2"/>
  <c r="AL3135" i="2"/>
  <c r="AK3135" i="2"/>
  <c r="AJ3135" i="2"/>
  <c r="AI3135" i="2"/>
  <c r="AH3135" i="2"/>
  <c r="AG3135" i="2"/>
  <c r="AE3135" i="2"/>
  <c r="AD3135" i="2"/>
  <c r="AC3135" i="2"/>
  <c r="AA3135" i="2"/>
  <c r="Z3135" i="2"/>
  <c r="Y3135" i="2"/>
  <c r="X3135" i="2"/>
  <c r="U3135" i="2"/>
  <c r="T3135" i="2"/>
  <c r="S3135" i="2"/>
  <c r="R3135" i="2"/>
  <c r="Q3135" i="2"/>
  <c r="P3135" i="2"/>
  <c r="O3135" i="2"/>
  <c r="N3135" i="2"/>
  <c r="M3135" i="2"/>
  <c r="K3135" i="2"/>
  <c r="J3135" i="2"/>
  <c r="I3135" i="2"/>
  <c r="H3135" i="2"/>
  <c r="G3135" i="2"/>
  <c r="F3135" i="2"/>
  <c r="E3135" i="2"/>
  <c r="D3135" i="2"/>
  <c r="C3135" i="2"/>
  <c r="B3135" i="2"/>
  <c r="A3135" i="2"/>
  <c r="AX3134" i="2"/>
  <c r="AV3134" i="2"/>
  <c r="AU3134" i="2"/>
  <c r="AS3134" i="2"/>
  <c r="AO3134" i="2"/>
  <c r="AN3134" i="2"/>
  <c r="AM3134" i="2"/>
  <c r="AL3134" i="2"/>
  <c r="AK3134" i="2"/>
  <c r="AJ3134" i="2"/>
  <c r="AI3134" i="2"/>
  <c r="AH3134" i="2"/>
  <c r="AG3134" i="2"/>
  <c r="AE3134" i="2"/>
  <c r="AD3134" i="2"/>
  <c r="AC3134" i="2"/>
  <c r="AA3134" i="2"/>
  <c r="Z3134" i="2"/>
  <c r="Y3134" i="2"/>
  <c r="X3134" i="2"/>
  <c r="W3134" i="2"/>
  <c r="V3134" i="2"/>
  <c r="U3134" i="2"/>
  <c r="T3134" i="2"/>
  <c r="S3134" i="2"/>
  <c r="R3134" i="2"/>
  <c r="Q3134" i="2"/>
  <c r="P3134" i="2"/>
  <c r="O3134" i="2"/>
  <c r="N3134" i="2"/>
  <c r="M3134" i="2"/>
  <c r="K3134" i="2"/>
  <c r="J3134" i="2"/>
  <c r="I3134" i="2"/>
  <c r="H3134" i="2"/>
  <c r="G3134" i="2"/>
  <c r="F3134" i="2"/>
  <c r="E3134" i="2"/>
  <c r="D3134" i="2"/>
  <c r="C3134" i="2"/>
  <c r="B3134" i="2"/>
  <c r="A3134" i="2"/>
  <c r="AX3133" i="2"/>
  <c r="AV3133" i="2"/>
  <c r="AU3133" i="2"/>
  <c r="AS3133" i="2"/>
  <c r="AR3133" i="2"/>
  <c r="AQ3133" i="2"/>
  <c r="AP3133" i="2"/>
  <c r="AO3133" i="2"/>
  <c r="AL3133" i="2"/>
  <c r="AK3133" i="2"/>
  <c r="AJ3133" i="2"/>
  <c r="AI3133" i="2"/>
  <c r="AH3133" i="2"/>
  <c r="AG3133" i="2"/>
  <c r="AF3133" i="2"/>
  <c r="AE3133" i="2"/>
  <c r="AD3133" i="2"/>
  <c r="AA3133" i="2"/>
  <c r="Z3133" i="2"/>
  <c r="Y3133" i="2"/>
  <c r="X3133" i="2"/>
  <c r="U3133" i="2"/>
  <c r="T3133" i="2"/>
  <c r="S3133" i="2"/>
  <c r="R3133" i="2"/>
  <c r="Q3133" i="2"/>
  <c r="P3133" i="2"/>
  <c r="O3133" i="2"/>
  <c r="N3133" i="2"/>
  <c r="K3133" i="2"/>
  <c r="J3133" i="2"/>
  <c r="I3133" i="2"/>
  <c r="H3133" i="2"/>
  <c r="G3133" i="2"/>
  <c r="F3133" i="2"/>
  <c r="E3133" i="2"/>
  <c r="D3133" i="2"/>
  <c r="C3133" i="2"/>
  <c r="B3133" i="2"/>
  <c r="A3133" i="2"/>
  <c r="AX3132" i="2"/>
  <c r="AV3132" i="2"/>
  <c r="AU3132" i="2"/>
  <c r="AS3132" i="2"/>
  <c r="AR3132" i="2"/>
  <c r="AQ3132" i="2"/>
  <c r="AP3132" i="2"/>
  <c r="AO3132" i="2"/>
  <c r="AL3132" i="2"/>
  <c r="AK3132" i="2"/>
  <c r="AJ3132" i="2"/>
  <c r="AI3132" i="2"/>
  <c r="AH3132" i="2"/>
  <c r="AG3132" i="2"/>
  <c r="AE3132" i="2"/>
  <c r="AD3132" i="2"/>
  <c r="AA3132" i="2"/>
  <c r="Z3132" i="2"/>
  <c r="Y3132" i="2"/>
  <c r="X3132" i="2"/>
  <c r="U3132" i="2"/>
  <c r="T3132" i="2"/>
  <c r="S3132" i="2"/>
  <c r="R3132" i="2"/>
  <c r="Q3132" i="2"/>
  <c r="P3132" i="2"/>
  <c r="O3132" i="2"/>
  <c r="N3132" i="2"/>
  <c r="K3132" i="2"/>
  <c r="J3132" i="2"/>
  <c r="I3132" i="2"/>
  <c r="H3132" i="2"/>
  <c r="G3132" i="2"/>
  <c r="F3132" i="2"/>
  <c r="E3132" i="2"/>
  <c r="D3132" i="2"/>
  <c r="C3132" i="2"/>
  <c r="B3132" i="2"/>
  <c r="A3132" i="2"/>
  <c r="AX3131" i="2"/>
  <c r="AV3131" i="2"/>
  <c r="AU3131" i="2"/>
  <c r="AS3131" i="2"/>
  <c r="AR3131" i="2"/>
  <c r="AQ3131" i="2"/>
  <c r="AO3131" i="2"/>
  <c r="AL3131" i="2"/>
  <c r="AK3131" i="2"/>
  <c r="AJ3131" i="2"/>
  <c r="AI3131" i="2"/>
  <c r="AH3131" i="2"/>
  <c r="AG3131" i="2"/>
  <c r="AF3131" i="2"/>
  <c r="AE3131" i="2"/>
  <c r="AD3131" i="2"/>
  <c r="AA3131" i="2"/>
  <c r="Z3131" i="2"/>
  <c r="Y3131" i="2"/>
  <c r="X3131" i="2"/>
  <c r="U3131" i="2"/>
  <c r="T3131" i="2"/>
  <c r="S3131" i="2"/>
  <c r="R3131" i="2"/>
  <c r="Q3131" i="2"/>
  <c r="P3131" i="2"/>
  <c r="O3131" i="2"/>
  <c r="N3131" i="2"/>
  <c r="K3131" i="2"/>
  <c r="J3131" i="2"/>
  <c r="I3131" i="2"/>
  <c r="H3131" i="2"/>
  <c r="G3131" i="2"/>
  <c r="F3131" i="2"/>
  <c r="E3131" i="2"/>
  <c r="D3131" i="2"/>
  <c r="C3131" i="2"/>
  <c r="B3131" i="2"/>
  <c r="A3131" i="2"/>
  <c r="AX3130" i="2"/>
  <c r="AV3130" i="2"/>
  <c r="AU3130" i="2"/>
  <c r="AS3130" i="2"/>
  <c r="AR3130" i="2"/>
  <c r="AQ3130" i="2"/>
  <c r="AO3130" i="2"/>
  <c r="AL3130" i="2"/>
  <c r="AK3130" i="2"/>
  <c r="AJ3130" i="2"/>
  <c r="AI3130" i="2"/>
  <c r="AH3130" i="2"/>
  <c r="AG3130" i="2"/>
  <c r="AE3130" i="2"/>
  <c r="AD3130" i="2"/>
  <c r="AA3130" i="2"/>
  <c r="Z3130" i="2"/>
  <c r="Y3130" i="2"/>
  <c r="X3130" i="2"/>
  <c r="U3130" i="2"/>
  <c r="T3130" i="2"/>
  <c r="S3130" i="2"/>
  <c r="R3130" i="2"/>
  <c r="Q3130" i="2"/>
  <c r="P3130" i="2"/>
  <c r="O3130" i="2"/>
  <c r="N3130" i="2"/>
  <c r="K3130" i="2"/>
  <c r="J3130" i="2"/>
  <c r="I3130" i="2"/>
  <c r="H3130" i="2"/>
  <c r="G3130" i="2"/>
  <c r="F3130" i="2"/>
  <c r="E3130" i="2"/>
  <c r="D3130" i="2"/>
  <c r="C3130" i="2"/>
  <c r="B3130" i="2"/>
  <c r="A3130" i="2"/>
  <c r="AX3129" i="2"/>
  <c r="AV3129" i="2"/>
  <c r="AU3129" i="2"/>
  <c r="AS3129" i="2"/>
  <c r="AR3129" i="2"/>
  <c r="AQ3129" i="2"/>
  <c r="AO3129" i="2"/>
  <c r="AL3129" i="2"/>
  <c r="AK3129" i="2"/>
  <c r="AJ3129" i="2"/>
  <c r="AI3129" i="2"/>
  <c r="AH3129" i="2"/>
  <c r="AG3129" i="2"/>
  <c r="AF3129" i="2"/>
  <c r="AE3129" i="2"/>
  <c r="AD3129" i="2"/>
  <c r="AA3129" i="2"/>
  <c r="Z3129" i="2"/>
  <c r="Y3129" i="2"/>
  <c r="V3129" i="2"/>
  <c r="U3129" i="2"/>
  <c r="T3129" i="2"/>
  <c r="S3129" i="2"/>
  <c r="R3129" i="2"/>
  <c r="Q3129" i="2"/>
  <c r="P3129" i="2"/>
  <c r="O3129" i="2"/>
  <c r="N3129" i="2"/>
  <c r="K3129" i="2"/>
  <c r="J3129" i="2"/>
  <c r="I3129" i="2"/>
  <c r="H3129" i="2"/>
  <c r="G3129" i="2"/>
  <c r="F3129" i="2"/>
  <c r="E3129" i="2"/>
  <c r="D3129" i="2"/>
  <c r="C3129" i="2"/>
  <c r="B3129" i="2"/>
  <c r="A3129" i="2"/>
  <c r="AX3128" i="2"/>
  <c r="AV3128" i="2"/>
  <c r="AU3128" i="2"/>
  <c r="AS3128" i="2"/>
  <c r="AR3128" i="2"/>
  <c r="AQ3128" i="2"/>
  <c r="AO3128" i="2"/>
  <c r="AL3128" i="2"/>
  <c r="AK3128" i="2"/>
  <c r="AJ3128" i="2"/>
  <c r="AI3128" i="2"/>
  <c r="AH3128" i="2"/>
  <c r="AG3128" i="2"/>
  <c r="AF3128" i="2"/>
  <c r="AE3128" i="2"/>
  <c r="AD3128" i="2"/>
  <c r="AA3128" i="2"/>
  <c r="Z3128" i="2"/>
  <c r="Y3128" i="2"/>
  <c r="X3128" i="2"/>
  <c r="W3128" i="2"/>
  <c r="V3128" i="2"/>
  <c r="U3128" i="2"/>
  <c r="T3128" i="2"/>
  <c r="S3128" i="2"/>
  <c r="R3128" i="2"/>
  <c r="Q3128" i="2"/>
  <c r="P3128" i="2"/>
  <c r="O3128" i="2"/>
  <c r="N3128" i="2"/>
  <c r="K3128" i="2"/>
  <c r="J3128" i="2"/>
  <c r="I3128" i="2"/>
  <c r="H3128" i="2"/>
  <c r="G3128" i="2"/>
  <c r="F3128" i="2"/>
  <c r="E3128" i="2"/>
  <c r="D3128" i="2"/>
  <c r="C3128" i="2"/>
  <c r="B3128" i="2"/>
  <c r="A3128" i="2"/>
  <c r="AX3127" i="2"/>
  <c r="AV3127" i="2"/>
  <c r="AU3127" i="2"/>
  <c r="AS3127" i="2"/>
  <c r="AR3127" i="2"/>
  <c r="AQ3127" i="2"/>
  <c r="AO3127" i="2"/>
  <c r="AL3127" i="2"/>
  <c r="AK3127" i="2"/>
  <c r="AJ3127" i="2"/>
  <c r="AI3127" i="2"/>
  <c r="AH3127" i="2"/>
  <c r="AG3127" i="2"/>
  <c r="AE3127" i="2"/>
  <c r="AD3127" i="2"/>
  <c r="AA3127" i="2"/>
  <c r="Z3127" i="2"/>
  <c r="Y3127" i="2"/>
  <c r="X3127" i="2"/>
  <c r="W3127" i="2"/>
  <c r="V3127" i="2"/>
  <c r="U3127" i="2"/>
  <c r="T3127" i="2"/>
  <c r="S3127" i="2"/>
  <c r="R3127" i="2"/>
  <c r="Q3127" i="2"/>
  <c r="P3127" i="2"/>
  <c r="O3127" i="2"/>
  <c r="N3127" i="2"/>
  <c r="K3127" i="2"/>
  <c r="J3127" i="2"/>
  <c r="I3127" i="2"/>
  <c r="H3127" i="2"/>
  <c r="G3127" i="2"/>
  <c r="F3127" i="2"/>
  <c r="E3127" i="2"/>
  <c r="D3127" i="2"/>
  <c r="C3127" i="2"/>
  <c r="B3127" i="2"/>
  <c r="A3127" i="2"/>
  <c r="AX3126" i="2"/>
  <c r="AV3126" i="2"/>
  <c r="AU3126" i="2"/>
  <c r="AS3126" i="2"/>
  <c r="AR3126" i="2"/>
  <c r="AQ3126" i="2"/>
  <c r="AO3126" i="2"/>
  <c r="AL3126" i="2"/>
  <c r="AK3126" i="2"/>
  <c r="AJ3126" i="2"/>
  <c r="AI3126" i="2"/>
  <c r="AH3126" i="2"/>
  <c r="AG3126" i="2"/>
  <c r="AE3126" i="2"/>
  <c r="AD3126" i="2"/>
  <c r="AA3126" i="2"/>
  <c r="Z3126" i="2"/>
  <c r="Y3126" i="2"/>
  <c r="X3126" i="2"/>
  <c r="W3126" i="2"/>
  <c r="V3126" i="2"/>
  <c r="U3126" i="2"/>
  <c r="T3126" i="2"/>
  <c r="S3126" i="2"/>
  <c r="R3126" i="2"/>
  <c r="Q3126" i="2"/>
  <c r="P3126" i="2"/>
  <c r="O3126" i="2"/>
  <c r="N3126" i="2"/>
  <c r="K3126" i="2"/>
  <c r="J3126" i="2"/>
  <c r="I3126" i="2"/>
  <c r="H3126" i="2"/>
  <c r="G3126" i="2"/>
  <c r="F3126" i="2"/>
  <c r="E3126" i="2"/>
  <c r="D3126" i="2"/>
  <c r="C3126" i="2"/>
  <c r="B3126" i="2"/>
  <c r="A3126" i="2"/>
  <c r="AX3125" i="2"/>
  <c r="AV3125" i="2"/>
  <c r="AU3125" i="2"/>
  <c r="AS3125" i="2"/>
  <c r="AR3125" i="2"/>
  <c r="AQ3125" i="2"/>
  <c r="AO3125" i="2"/>
  <c r="AL3125" i="2"/>
  <c r="AK3125" i="2"/>
  <c r="AI3125" i="2"/>
  <c r="AH3125" i="2"/>
  <c r="AG3125" i="2"/>
  <c r="AE3125" i="2"/>
  <c r="AD3125" i="2"/>
  <c r="AA3125" i="2"/>
  <c r="Z3125" i="2"/>
  <c r="Y3125" i="2"/>
  <c r="U3125" i="2"/>
  <c r="T3125" i="2"/>
  <c r="S3125" i="2"/>
  <c r="R3125" i="2"/>
  <c r="Q3125" i="2"/>
  <c r="P3125" i="2"/>
  <c r="O3125" i="2"/>
  <c r="N3125" i="2"/>
  <c r="K3125" i="2"/>
  <c r="J3125" i="2"/>
  <c r="I3125" i="2"/>
  <c r="H3125" i="2"/>
  <c r="G3125" i="2"/>
  <c r="F3125" i="2"/>
  <c r="E3125" i="2"/>
  <c r="D3125" i="2"/>
  <c r="C3125" i="2"/>
  <c r="B3125" i="2"/>
  <c r="A3125" i="2"/>
  <c r="AX3124" i="2"/>
  <c r="AV3124" i="2"/>
  <c r="AU3124" i="2"/>
  <c r="AS3124" i="2"/>
  <c r="AR3124" i="2"/>
  <c r="AQ3124" i="2"/>
  <c r="AO3124" i="2"/>
  <c r="AL3124" i="2"/>
  <c r="AK3124" i="2"/>
  <c r="AJ3124" i="2"/>
  <c r="AI3124" i="2"/>
  <c r="AH3124" i="2"/>
  <c r="AG3124" i="2"/>
  <c r="AF3124" i="2"/>
  <c r="AE3124" i="2"/>
  <c r="AD3124" i="2"/>
  <c r="AA3124" i="2"/>
  <c r="Z3124" i="2"/>
  <c r="Y3124" i="2"/>
  <c r="X3124" i="2"/>
  <c r="W3124" i="2"/>
  <c r="V3124" i="2"/>
  <c r="U3124" i="2"/>
  <c r="T3124" i="2"/>
  <c r="S3124" i="2"/>
  <c r="R3124" i="2"/>
  <c r="Q3124" i="2"/>
  <c r="P3124" i="2"/>
  <c r="O3124" i="2"/>
  <c r="N3124" i="2"/>
  <c r="K3124" i="2"/>
  <c r="J3124" i="2"/>
  <c r="I3124" i="2"/>
  <c r="H3124" i="2"/>
  <c r="G3124" i="2"/>
  <c r="F3124" i="2"/>
  <c r="E3124" i="2"/>
  <c r="D3124" i="2"/>
  <c r="C3124" i="2"/>
  <c r="B3124" i="2"/>
  <c r="A3124" i="2"/>
  <c r="AX3123" i="2"/>
  <c r="AV3123" i="2"/>
  <c r="AU3123" i="2"/>
  <c r="AR3123" i="2"/>
  <c r="AQ3123" i="2"/>
  <c r="AO3123" i="2"/>
  <c r="AL3123" i="2"/>
  <c r="AK3123" i="2"/>
  <c r="AJ3123" i="2"/>
  <c r="AI3123" i="2"/>
  <c r="AH3123" i="2"/>
  <c r="AG3123" i="2"/>
  <c r="AE3123" i="2"/>
  <c r="AD3123" i="2"/>
  <c r="AA3123" i="2"/>
  <c r="Z3123" i="2"/>
  <c r="Y3123" i="2"/>
  <c r="V3123" i="2"/>
  <c r="U3123" i="2"/>
  <c r="T3123" i="2"/>
  <c r="S3123" i="2"/>
  <c r="R3123" i="2"/>
  <c r="Q3123" i="2"/>
  <c r="P3123" i="2"/>
  <c r="O3123" i="2"/>
  <c r="N3123" i="2"/>
  <c r="K3123" i="2"/>
  <c r="J3123" i="2"/>
  <c r="I3123" i="2"/>
  <c r="H3123" i="2"/>
  <c r="G3123" i="2"/>
  <c r="F3123" i="2"/>
  <c r="E3123" i="2"/>
  <c r="D3123" i="2"/>
  <c r="C3123" i="2"/>
  <c r="B3123" i="2"/>
  <c r="A3123" i="2"/>
  <c r="AX3122" i="2"/>
  <c r="AV3122" i="2"/>
  <c r="AU3122" i="2"/>
  <c r="AR3122" i="2"/>
  <c r="AQ3122" i="2"/>
  <c r="AO3122" i="2"/>
  <c r="AL3122" i="2"/>
  <c r="AK3122" i="2"/>
  <c r="AJ3122" i="2"/>
  <c r="AI3122" i="2"/>
  <c r="AH3122" i="2"/>
  <c r="AG3122" i="2"/>
  <c r="AE3122" i="2"/>
  <c r="AD3122" i="2"/>
  <c r="AA3122" i="2"/>
  <c r="Z3122" i="2"/>
  <c r="Y3122" i="2"/>
  <c r="U3122" i="2"/>
  <c r="T3122" i="2"/>
  <c r="S3122" i="2"/>
  <c r="R3122" i="2"/>
  <c r="Q3122" i="2"/>
  <c r="P3122" i="2"/>
  <c r="O3122" i="2"/>
  <c r="N3122" i="2"/>
  <c r="K3122" i="2"/>
  <c r="J3122" i="2"/>
  <c r="I3122" i="2"/>
  <c r="H3122" i="2"/>
  <c r="G3122" i="2"/>
  <c r="F3122" i="2"/>
  <c r="E3122" i="2"/>
  <c r="D3122" i="2"/>
  <c r="C3122" i="2"/>
  <c r="B3122" i="2"/>
  <c r="A3122" i="2"/>
  <c r="AX3121" i="2"/>
  <c r="AV3121" i="2"/>
  <c r="AU3121" i="2"/>
  <c r="AS3121" i="2"/>
  <c r="AR3121" i="2"/>
  <c r="AQ3121" i="2"/>
  <c r="AO3121" i="2"/>
  <c r="AM3121" i="2"/>
  <c r="AL3121" i="2"/>
  <c r="AK3121" i="2"/>
  <c r="AJ3121" i="2"/>
  <c r="AI3121" i="2"/>
  <c r="AG3121" i="2"/>
  <c r="AE3121" i="2"/>
  <c r="AD3121" i="2"/>
  <c r="AA3121" i="2"/>
  <c r="Z3121" i="2"/>
  <c r="Y3121" i="2"/>
  <c r="T3121" i="2"/>
  <c r="S3121" i="2"/>
  <c r="R3121" i="2"/>
  <c r="Q3121" i="2"/>
  <c r="P3121" i="2"/>
  <c r="O3121" i="2"/>
  <c r="N3121" i="2"/>
  <c r="K3121" i="2"/>
  <c r="J3121" i="2"/>
  <c r="I3121" i="2"/>
  <c r="H3121" i="2"/>
  <c r="G3121" i="2"/>
  <c r="F3121" i="2"/>
  <c r="E3121" i="2"/>
  <c r="D3121" i="2"/>
  <c r="C3121" i="2"/>
  <c r="B3121" i="2"/>
  <c r="A3121" i="2"/>
  <c r="AX3120" i="2"/>
  <c r="AV3120" i="2"/>
  <c r="AU3120" i="2"/>
  <c r="AS3120" i="2"/>
  <c r="AR3120" i="2"/>
  <c r="AQ3120" i="2"/>
  <c r="AO3120" i="2"/>
  <c r="AL3120" i="2"/>
  <c r="AK3120" i="2"/>
  <c r="AJ3120" i="2"/>
  <c r="AI3120" i="2"/>
  <c r="AH3120" i="2"/>
  <c r="AG3120" i="2"/>
  <c r="AE3120" i="2"/>
  <c r="AD3120" i="2"/>
  <c r="AA3120" i="2"/>
  <c r="Z3120" i="2"/>
  <c r="Y3120" i="2"/>
  <c r="U3120" i="2"/>
  <c r="T3120" i="2"/>
  <c r="S3120" i="2"/>
  <c r="R3120" i="2"/>
  <c r="Q3120" i="2"/>
  <c r="P3120" i="2"/>
  <c r="O3120" i="2"/>
  <c r="N3120" i="2"/>
  <c r="K3120" i="2"/>
  <c r="J3120" i="2"/>
  <c r="I3120" i="2"/>
  <c r="H3120" i="2"/>
  <c r="G3120" i="2"/>
  <c r="F3120" i="2"/>
  <c r="E3120" i="2"/>
  <c r="D3120" i="2"/>
  <c r="C3120" i="2"/>
  <c r="B3120" i="2"/>
  <c r="A3120" i="2"/>
  <c r="AX3119" i="2"/>
  <c r="AV3119" i="2"/>
  <c r="AU3119" i="2"/>
  <c r="AR3119" i="2"/>
  <c r="AQ3119" i="2"/>
  <c r="AO3119" i="2"/>
  <c r="AL3119" i="2"/>
  <c r="AK3119" i="2"/>
  <c r="AJ3119" i="2"/>
  <c r="AI3119" i="2"/>
  <c r="AH3119" i="2"/>
  <c r="AG3119" i="2"/>
  <c r="AF3119" i="2"/>
  <c r="AE3119" i="2"/>
  <c r="AD3119" i="2"/>
  <c r="AA3119" i="2"/>
  <c r="Z3119" i="2"/>
  <c r="Y3119" i="2"/>
  <c r="U3119" i="2"/>
  <c r="T3119" i="2"/>
  <c r="S3119" i="2"/>
  <c r="R3119" i="2"/>
  <c r="Q3119" i="2"/>
  <c r="P3119" i="2"/>
  <c r="O3119" i="2"/>
  <c r="N3119" i="2"/>
  <c r="K3119" i="2"/>
  <c r="J3119" i="2"/>
  <c r="I3119" i="2"/>
  <c r="H3119" i="2"/>
  <c r="G3119" i="2"/>
  <c r="F3119" i="2"/>
  <c r="E3119" i="2"/>
  <c r="D3119" i="2"/>
  <c r="C3119" i="2"/>
  <c r="B3119" i="2"/>
  <c r="A3119" i="2"/>
  <c r="AX3118" i="2"/>
  <c r="AV3118" i="2"/>
  <c r="AU3118" i="2"/>
  <c r="AR3118" i="2"/>
  <c r="AQ3118" i="2"/>
  <c r="AO3118" i="2"/>
  <c r="AL3118" i="2"/>
  <c r="AK3118" i="2"/>
  <c r="AJ3118" i="2"/>
  <c r="AI3118" i="2"/>
  <c r="AH3118" i="2"/>
  <c r="AG3118" i="2"/>
  <c r="AE3118" i="2"/>
  <c r="AD3118" i="2"/>
  <c r="AA3118" i="2"/>
  <c r="Z3118" i="2"/>
  <c r="Y3118" i="2"/>
  <c r="U3118" i="2"/>
  <c r="T3118" i="2"/>
  <c r="S3118" i="2"/>
  <c r="R3118" i="2"/>
  <c r="Q3118" i="2"/>
  <c r="P3118" i="2"/>
  <c r="O3118" i="2"/>
  <c r="N3118" i="2"/>
  <c r="K3118" i="2"/>
  <c r="J3118" i="2"/>
  <c r="I3118" i="2"/>
  <c r="H3118" i="2"/>
  <c r="G3118" i="2"/>
  <c r="F3118" i="2"/>
  <c r="E3118" i="2"/>
  <c r="D3118" i="2"/>
  <c r="C3118" i="2"/>
  <c r="B3118" i="2"/>
  <c r="A3118" i="2"/>
  <c r="AX3117" i="2"/>
  <c r="AV3117" i="2"/>
  <c r="AU3117" i="2"/>
  <c r="AS3117" i="2"/>
  <c r="AR3117" i="2"/>
  <c r="AQ3117" i="2"/>
  <c r="AO3117" i="2"/>
  <c r="AL3117" i="2"/>
  <c r="AK3117" i="2"/>
  <c r="AJ3117" i="2"/>
  <c r="AI3117" i="2"/>
  <c r="AH3117" i="2"/>
  <c r="AG3117" i="2"/>
  <c r="AE3117" i="2"/>
  <c r="AD3117" i="2"/>
  <c r="AA3117" i="2"/>
  <c r="Z3117" i="2"/>
  <c r="Y3117" i="2"/>
  <c r="X3117" i="2"/>
  <c r="W3117" i="2"/>
  <c r="V3117" i="2"/>
  <c r="U3117" i="2"/>
  <c r="T3117" i="2"/>
  <c r="S3117" i="2"/>
  <c r="R3117" i="2"/>
  <c r="Q3117" i="2"/>
  <c r="P3117" i="2"/>
  <c r="O3117" i="2"/>
  <c r="N3117" i="2"/>
  <c r="K3117" i="2"/>
  <c r="J3117" i="2"/>
  <c r="I3117" i="2"/>
  <c r="H3117" i="2"/>
  <c r="G3117" i="2"/>
  <c r="F3117" i="2"/>
  <c r="E3117" i="2"/>
  <c r="D3117" i="2"/>
  <c r="C3117" i="2"/>
  <c r="B3117" i="2"/>
  <c r="A3117" i="2"/>
  <c r="AX3116" i="2"/>
  <c r="AV3116" i="2"/>
  <c r="AU3116" i="2"/>
  <c r="AS3116" i="2"/>
  <c r="AR3116" i="2"/>
  <c r="AQ3116" i="2"/>
  <c r="AO3116" i="2"/>
  <c r="AL3116" i="2"/>
  <c r="AK3116" i="2"/>
  <c r="AI3116" i="2"/>
  <c r="AH3116" i="2"/>
  <c r="AG3116" i="2"/>
  <c r="AE3116" i="2"/>
  <c r="AD3116" i="2"/>
  <c r="AA3116" i="2"/>
  <c r="Z3116" i="2"/>
  <c r="Y3116" i="2"/>
  <c r="X3116" i="2"/>
  <c r="W3116" i="2"/>
  <c r="V3116" i="2"/>
  <c r="U3116" i="2"/>
  <c r="T3116" i="2"/>
  <c r="S3116" i="2"/>
  <c r="R3116" i="2"/>
  <c r="Q3116" i="2"/>
  <c r="P3116" i="2"/>
  <c r="O3116" i="2"/>
  <c r="N3116" i="2"/>
  <c r="K3116" i="2"/>
  <c r="J3116" i="2"/>
  <c r="I3116" i="2"/>
  <c r="H3116" i="2"/>
  <c r="G3116" i="2"/>
  <c r="F3116" i="2"/>
  <c r="E3116" i="2"/>
  <c r="D3116" i="2"/>
  <c r="C3116" i="2"/>
  <c r="B3116" i="2"/>
  <c r="A3116" i="2"/>
  <c r="AX3115" i="2"/>
  <c r="AV3115" i="2"/>
  <c r="AU3115" i="2"/>
  <c r="AR3115" i="2"/>
  <c r="AQ3115" i="2"/>
  <c r="AP3115" i="2"/>
  <c r="AO3115" i="2"/>
  <c r="AL3115" i="2"/>
  <c r="AK3115" i="2"/>
  <c r="AJ3115" i="2"/>
  <c r="AI3115" i="2"/>
  <c r="AH3115" i="2"/>
  <c r="AG3115" i="2"/>
  <c r="AE3115" i="2"/>
  <c r="AA3115" i="2"/>
  <c r="Z3115" i="2"/>
  <c r="Y3115" i="2"/>
  <c r="X3115" i="2"/>
  <c r="U3115" i="2"/>
  <c r="T3115" i="2"/>
  <c r="S3115" i="2"/>
  <c r="R3115" i="2"/>
  <c r="Q3115" i="2"/>
  <c r="P3115" i="2"/>
  <c r="O3115" i="2"/>
  <c r="N3115" i="2"/>
  <c r="K3115" i="2"/>
  <c r="J3115" i="2"/>
  <c r="I3115" i="2"/>
  <c r="H3115" i="2"/>
  <c r="G3115" i="2"/>
  <c r="F3115" i="2"/>
  <c r="E3115" i="2"/>
  <c r="D3115" i="2"/>
  <c r="C3115" i="2"/>
  <c r="B3115" i="2"/>
  <c r="A3115" i="2"/>
  <c r="AX3114" i="2"/>
  <c r="AV3114" i="2"/>
  <c r="AU3114" i="2"/>
  <c r="AS3114" i="2"/>
  <c r="AR3114" i="2"/>
  <c r="AQ3114" i="2"/>
  <c r="AO3114" i="2"/>
  <c r="AM3114" i="2"/>
  <c r="AL3114" i="2"/>
  <c r="AK3114" i="2"/>
  <c r="AJ3114" i="2"/>
  <c r="AI3114" i="2"/>
  <c r="AH3114" i="2"/>
  <c r="AG3114" i="2"/>
  <c r="AE3114" i="2"/>
  <c r="AD3114" i="2"/>
  <c r="AA3114" i="2"/>
  <c r="Z3114" i="2"/>
  <c r="Y3114" i="2"/>
  <c r="X3114" i="2"/>
  <c r="W3114" i="2"/>
  <c r="V3114" i="2"/>
  <c r="U3114" i="2"/>
  <c r="T3114" i="2"/>
  <c r="S3114" i="2"/>
  <c r="R3114" i="2"/>
  <c r="Q3114" i="2"/>
  <c r="P3114" i="2"/>
  <c r="O3114" i="2"/>
  <c r="N3114" i="2"/>
  <c r="K3114" i="2"/>
  <c r="J3114" i="2"/>
  <c r="I3114" i="2"/>
  <c r="H3114" i="2"/>
  <c r="G3114" i="2"/>
  <c r="F3114" i="2"/>
  <c r="E3114" i="2"/>
  <c r="D3114" i="2"/>
  <c r="C3114" i="2"/>
  <c r="B3114" i="2"/>
  <c r="A3114" i="2"/>
  <c r="AX3113" i="2"/>
  <c r="AV3113" i="2"/>
  <c r="AU3113" i="2"/>
  <c r="AS3113" i="2"/>
  <c r="AR3113" i="2"/>
  <c r="AQ3113" i="2"/>
  <c r="AP3113" i="2"/>
  <c r="AO3113" i="2"/>
  <c r="AN3113" i="2"/>
  <c r="AL3113" i="2"/>
  <c r="AK3113" i="2"/>
  <c r="AJ3113" i="2"/>
  <c r="AI3113" i="2"/>
  <c r="AH3113" i="2"/>
  <c r="AG3113" i="2"/>
  <c r="AE3113" i="2"/>
  <c r="AD3113" i="2"/>
  <c r="AA3113" i="2"/>
  <c r="Z3113" i="2"/>
  <c r="Y3113" i="2"/>
  <c r="U3113" i="2"/>
  <c r="T3113" i="2"/>
  <c r="S3113" i="2"/>
  <c r="R3113" i="2"/>
  <c r="Q3113" i="2"/>
  <c r="P3113" i="2"/>
  <c r="O3113" i="2"/>
  <c r="N3113" i="2"/>
  <c r="K3113" i="2"/>
  <c r="J3113" i="2"/>
  <c r="I3113" i="2"/>
  <c r="H3113" i="2"/>
  <c r="G3113" i="2"/>
  <c r="F3113" i="2"/>
  <c r="E3113" i="2"/>
  <c r="D3113" i="2"/>
  <c r="C3113" i="2"/>
  <c r="B3113" i="2"/>
  <c r="A3113" i="2"/>
  <c r="AX3112" i="2"/>
  <c r="AV3112" i="2"/>
  <c r="AU3112" i="2"/>
  <c r="AR3112" i="2"/>
  <c r="AQ3112" i="2"/>
  <c r="AO3112" i="2"/>
  <c r="AL3112" i="2"/>
  <c r="AI3112" i="2"/>
  <c r="AH3112" i="2"/>
  <c r="AG3112" i="2"/>
  <c r="AE3112" i="2"/>
  <c r="AD3112" i="2"/>
  <c r="AA3112" i="2"/>
  <c r="Z3112" i="2"/>
  <c r="Y3112" i="2"/>
  <c r="V3112" i="2"/>
  <c r="U3112" i="2"/>
  <c r="T3112" i="2"/>
  <c r="S3112" i="2"/>
  <c r="R3112" i="2"/>
  <c r="Q3112" i="2"/>
  <c r="P3112" i="2"/>
  <c r="O3112" i="2"/>
  <c r="N3112" i="2"/>
  <c r="K3112" i="2"/>
  <c r="J3112" i="2"/>
  <c r="I3112" i="2"/>
  <c r="H3112" i="2"/>
  <c r="G3112" i="2"/>
  <c r="F3112" i="2"/>
  <c r="E3112" i="2"/>
  <c r="D3112" i="2"/>
  <c r="C3112" i="2"/>
  <c r="B3112" i="2"/>
  <c r="A3112" i="2"/>
  <c r="AX3111" i="2"/>
  <c r="AV3111" i="2"/>
  <c r="AU3111" i="2"/>
  <c r="AS3111" i="2"/>
  <c r="AR3111" i="2"/>
  <c r="AQ3111" i="2"/>
  <c r="AO3111" i="2"/>
  <c r="AL3111" i="2"/>
  <c r="AK3111" i="2"/>
  <c r="AJ3111" i="2"/>
  <c r="AI3111" i="2"/>
  <c r="AH3111" i="2"/>
  <c r="AG3111" i="2"/>
  <c r="AF3111" i="2"/>
  <c r="AE3111" i="2"/>
  <c r="AD3111" i="2"/>
  <c r="AA3111" i="2"/>
  <c r="Z3111" i="2"/>
  <c r="Y3111" i="2"/>
  <c r="U3111" i="2"/>
  <c r="T3111" i="2"/>
  <c r="S3111" i="2"/>
  <c r="R3111" i="2"/>
  <c r="Q3111" i="2"/>
  <c r="P3111" i="2"/>
  <c r="O3111" i="2"/>
  <c r="N3111" i="2"/>
  <c r="K3111" i="2"/>
  <c r="J3111" i="2"/>
  <c r="I3111" i="2"/>
  <c r="H3111" i="2"/>
  <c r="G3111" i="2"/>
  <c r="F3111" i="2"/>
  <c r="E3111" i="2"/>
  <c r="D3111" i="2"/>
  <c r="C3111" i="2"/>
  <c r="B3111" i="2"/>
  <c r="A3111" i="2"/>
  <c r="AX3110" i="2"/>
  <c r="AV3110" i="2"/>
  <c r="AU3110" i="2"/>
  <c r="AS3110" i="2"/>
  <c r="AR3110" i="2"/>
  <c r="AQ3110" i="2"/>
  <c r="AO3110" i="2"/>
  <c r="AL3110" i="2"/>
  <c r="AK3110" i="2"/>
  <c r="AI3110" i="2"/>
  <c r="AH3110" i="2"/>
  <c r="AG3110" i="2"/>
  <c r="AF3110" i="2"/>
  <c r="AE3110" i="2"/>
  <c r="AD3110" i="2"/>
  <c r="AA3110" i="2"/>
  <c r="Z3110" i="2"/>
  <c r="Y3110" i="2"/>
  <c r="U3110" i="2"/>
  <c r="T3110" i="2"/>
  <c r="S3110" i="2"/>
  <c r="R3110" i="2"/>
  <c r="Q3110" i="2"/>
  <c r="P3110" i="2"/>
  <c r="O3110" i="2"/>
  <c r="N3110" i="2"/>
  <c r="K3110" i="2"/>
  <c r="J3110" i="2"/>
  <c r="I3110" i="2"/>
  <c r="H3110" i="2"/>
  <c r="G3110" i="2"/>
  <c r="F3110" i="2"/>
  <c r="E3110" i="2"/>
  <c r="D3110" i="2"/>
  <c r="C3110" i="2"/>
  <c r="B3110" i="2"/>
  <c r="A3110" i="2"/>
  <c r="AX3109" i="2"/>
  <c r="AV3109" i="2"/>
  <c r="AU3109" i="2"/>
  <c r="AS3109" i="2"/>
  <c r="AR3109" i="2"/>
  <c r="AQ3109" i="2"/>
  <c r="AO3109" i="2"/>
  <c r="AL3109" i="2"/>
  <c r="AK3109" i="2"/>
  <c r="AJ3109" i="2"/>
  <c r="AI3109" i="2"/>
  <c r="AH3109" i="2"/>
  <c r="AG3109" i="2"/>
  <c r="AE3109" i="2"/>
  <c r="AD3109" i="2"/>
  <c r="AA3109" i="2"/>
  <c r="Z3109" i="2"/>
  <c r="Y3109" i="2"/>
  <c r="X3109" i="2"/>
  <c r="U3109" i="2"/>
  <c r="T3109" i="2"/>
  <c r="S3109" i="2"/>
  <c r="R3109" i="2"/>
  <c r="Q3109" i="2"/>
  <c r="P3109" i="2"/>
  <c r="O3109" i="2"/>
  <c r="N3109" i="2"/>
  <c r="K3109" i="2"/>
  <c r="J3109" i="2"/>
  <c r="I3109" i="2"/>
  <c r="H3109" i="2"/>
  <c r="G3109" i="2"/>
  <c r="F3109" i="2"/>
  <c r="E3109" i="2"/>
  <c r="D3109" i="2"/>
  <c r="C3109" i="2"/>
  <c r="B3109" i="2"/>
  <c r="A3109" i="2"/>
  <c r="AX3108" i="2"/>
  <c r="AV3108" i="2"/>
  <c r="AU3108" i="2"/>
  <c r="AS3108" i="2"/>
  <c r="AR3108" i="2"/>
  <c r="AQ3108" i="2"/>
  <c r="AO3108" i="2"/>
  <c r="AL3108" i="2"/>
  <c r="AK3108" i="2"/>
  <c r="AJ3108" i="2"/>
  <c r="AI3108" i="2"/>
  <c r="AH3108" i="2"/>
  <c r="AG3108" i="2"/>
  <c r="AE3108" i="2"/>
  <c r="AD3108" i="2"/>
  <c r="AA3108" i="2"/>
  <c r="Z3108" i="2"/>
  <c r="Y3108" i="2"/>
  <c r="X3108" i="2"/>
  <c r="U3108" i="2"/>
  <c r="T3108" i="2"/>
  <c r="S3108" i="2"/>
  <c r="R3108" i="2"/>
  <c r="Q3108" i="2"/>
  <c r="P3108" i="2"/>
  <c r="O3108" i="2"/>
  <c r="N3108" i="2"/>
  <c r="K3108" i="2"/>
  <c r="J3108" i="2"/>
  <c r="I3108" i="2"/>
  <c r="H3108" i="2"/>
  <c r="G3108" i="2"/>
  <c r="F3108" i="2"/>
  <c r="E3108" i="2"/>
  <c r="D3108" i="2"/>
  <c r="C3108" i="2"/>
  <c r="B3108" i="2"/>
  <c r="A3108" i="2"/>
  <c r="AX3107" i="2"/>
  <c r="AV3107" i="2"/>
  <c r="AU3107" i="2"/>
  <c r="AS3107" i="2"/>
  <c r="AR3107" i="2"/>
  <c r="AQ3107" i="2"/>
  <c r="AO3107" i="2"/>
  <c r="AL3107" i="2"/>
  <c r="AK3107" i="2"/>
  <c r="AJ3107" i="2"/>
  <c r="AI3107" i="2"/>
  <c r="AH3107" i="2"/>
  <c r="AG3107" i="2"/>
  <c r="AE3107" i="2"/>
  <c r="AD3107" i="2"/>
  <c r="AA3107" i="2"/>
  <c r="Z3107" i="2"/>
  <c r="Y3107" i="2"/>
  <c r="X3107" i="2"/>
  <c r="U3107" i="2"/>
  <c r="T3107" i="2"/>
  <c r="S3107" i="2"/>
  <c r="R3107" i="2"/>
  <c r="Q3107" i="2"/>
  <c r="P3107" i="2"/>
  <c r="O3107" i="2"/>
  <c r="N3107" i="2"/>
  <c r="K3107" i="2"/>
  <c r="J3107" i="2"/>
  <c r="I3107" i="2"/>
  <c r="H3107" i="2"/>
  <c r="G3107" i="2"/>
  <c r="F3107" i="2"/>
  <c r="E3107" i="2"/>
  <c r="D3107" i="2"/>
  <c r="C3107" i="2"/>
  <c r="B3107" i="2"/>
  <c r="A3107" i="2"/>
  <c r="AX3106" i="2"/>
  <c r="AV3106" i="2"/>
  <c r="AU3106" i="2"/>
  <c r="AS3106" i="2"/>
  <c r="AR3106" i="2"/>
  <c r="AQ3106" i="2"/>
  <c r="AO3106" i="2"/>
  <c r="AL3106" i="2"/>
  <c r="AK3106" i="2"/>
  <c r="AJ3106" i="2"/>
  <c r="AI3106" i="2"/>
  <c r="AH3106" i="2"/>
  <c r="AG3106" i="2"/>
  <c r="AE3106" i="2"/>
  <c r="AD3106" i="2"/>
  <c r="AA3106" i="2"/>
  <c r="Z3106" i="2"/>
  <c r="Y3106" i="2"/>
  <c r="X3106" i="2"/>
  <c r="V3106" i="2"/>
  <c r="U3106" i="2"/>
  <c r="T3106" i="2"/>
  <c r="S3106" i="2"/>
  <c r="R3106" i="2"/>
  <c r="Q3106" i="2"/>
  <c r="P3106" i="2"/>
  <c r="O3106" i="2"/>
  <c r="N3106" i="2"/>
  <c r="K3106" i="2"/>
  <c r="J3106" i="2"/>
  <c r="I3106" i="2"/>
  <c r="H3106" i="2"/>
  <c r="G3106" i="2"/>
  <c r="F3106" i="2"/>
  <c r="E3106" i="2"/>
  <c r="D3106" i="2"/>
  <c r="C3106" i="2"/>
  <c r="B3106" i="2"/>
  <c r="A3106" i="2"/>
  <c r="AX3105" i="2"/>
  <c r="AV3105" i="2"/>
  <c r="AU3105" i="2"/>
  <c r="AS3105" i="2"/>
  <c r="AR3105" i="2"/>
  <c r="AQ3105" i="2"/>
  <c r="AO3105" i="2"/>
  <c r="AL3105" i="2"/>
  <c r="AK3105" i="2"/>
  <c r="AJ3105" i="2"/>
  <c r="AI3105" i="2"/>
  <c r="AH3105" i="2"/>
  <c r="AG3105" i="2"/>
  <c r="AE3105" i="2"/>
  <c r="AD3105" i="2"/>
  <c r="AA3105" i="2"/>
  <c r="Z3105" i="2"/>
  <c r="Y3105" i="2"/>
  <c r="V3105" i="2"/>
  <c r="U3105" i="2"/>
  <c r="T3105" i="2"/>
  <c r="S3105" i="2"/>
  <c r="R3105" i="2"/>
  <c r="Q3105" i="2"/>
  <c r="P3105" i="2"/>
  <c r="O3105" i="2"/>
  <c r="N3105" i="2"/>
  <c r="K3105" i="2"/>
  <c r="J3105" i="2"/>
  <c r="I3105" i="2"/>
  <c r="H3105" i="2"/>
  <c r="G3105" i="2"/>
  <c r="F3105" i="2"/>
  <c r="E3105" i="2"/>
  <c r="D3105" i="2"/>
  <c r="C3105" i="2"/>
  <c r="B3105" i="2"/>
  <c r="A3105" i="2"/>
  <c r="AX3104" i="2"/>
  <c r="AV3104" i="2"/>
  <c r="AU3104" i="2"/>
  <c r="AS3104" i="2"/>
  <c r="AR3104" i="2"/>
  <c r="AQ3104" i="2"/>
  <c r="AO3104" i="2"/>
  <c r="AL3104" i="2"/>
  <c r="AK3104" i="2"/>
  <c r="AJ3104" i="2"/>
  <c r="AI3104" i="2"/>
  <c r="AH3104" i="2"/>
  <c r="AG3104" i="2"/>
  <c r="AE3104" i="2"/>
  <c r="AD3104" i="2"/>
  <c r="AA3104" i="2"/>
  <c r="Z3104" i="2"/>
  <c r="Y3104" i="2"/>
  <c r="V3104" i="2"/>
  <c r="U3104" i="2"/>
  <c r="T3104" i="2"/>
  <c r="S3104" i="2"/>
  <c r="R3104" i="2"/>
  <c r="Q3104" i="2"/>
  <c r="P3104" i="2"/>
  <c r="O3104" i="2"/>
  <c r="N3104" i="2"/>
  <c r="K3104" i="2"/>
  <c r="J3104" i="2"/>
  <c r="I3104" i="2"/>
  <c r="H3104" i="2"/>
  <c r="G3104" i="2"/>
  <c r="F3104" i="2"/>
  <c r="E3104" i="2"/>
  <c r="D3104" i="2"/>
  <c r="C3104" i="2"/>
  <c r="B3104" i="2"/>
  <c r="A3104" i="2"/>
  <c r="AX3103" i="2"/>
  <c r="AV3103" i="2"/>
  <c r="AU3103" i="2"/>
  <c r="AS3103" i="2"/>
  <c r="AR3103" i="2"/>
  <c r="AQ3103" i="2"/>
  <c r="AO3103" i="2"/>
  <c r="AL3103" i="2"/>
  <c r="AK3103" i="2"/>
  <c r="AJ3103" i="2"/>
  <c r="AI3103" i="2"/>
  <c r="AH3103" i="2"/>
  <c r="AG3103" i="2"/>
  <c r="AE3103" i="2"/>
  <c r="AD3103" i="2"/>
  <c r="AA3103" i="2"/>
  <c r="Z3103" i="2"/>
  <c r="Y3103" i="2"/>
  <c r="X3103" i="2"/>
  <c r="U3103" i="2"/>
  <c r="T3103" i="2"/>
  <c r="S3103" i="2"/>
  <c r="R3103" i="2"/>
  <c r="Q3103" i="2"/>
  <c r="P3103" i="2"/>
  <c r="O3103" i="2"/>
  <c r="N3103" i="2"/>
  <c r="K3103" i="2"/>
  <c r="J3103" i="2"/>
  <c r="I3103" i="2"/>
  <c r="H3103" i="2"/>
  <c r="G3103" i="2"/>
  <c r="F3103" i="2"/>
  <c r="E3103" i="2"/>
  <c r="D3103" i="2"/>
  <c r="C3103" i="2"/>
  <c r="B3103" i="2"/>
  <c r="A3103" i="2"/>
  <c r="AX3102" i="2"/>
  <c r="AV3102" i="2"/>
  <c r="AU3102" i="2"/>
  <c r="AR3102" i="2"/>
  <c r="AQ3102" i="2"/>
  <c r="AO3102" i="2"/>
  <c r="AL3102" i="2"/>
  <c r="AK3102" i="2"/>
  <c r="AJ3102" i="2"/>
  <c r="AI3102" i="2"/>
  <c r="AH3102" i="2"/>
  <c r="AG3102" i="2"/>
  <c r="AE3102" i="2"/>
  <c r="AD3102" i="2"/>
  <c r="AA3102" i="2"/>
  <c r="Z3102" i="2"/>
  <c r="Y3102" i="2"/>
  <c r="X3102" i="2"/>
  <c r="W3102" i="2"/>
  <c r="V3102" i="2"/>
  <c r="U3102" i="2"/>
  <c r="T3102" i="2"/>
  <c r="S3102" i="2"/>
  <c r="R3102" i="2"/>
  <c r="Q3102" i="2"/>
  <c r="P3102" i="2"/>
  <c r="O3102" i="2"/>
  <c r="N3102" i="2"/>
  <c r="K3102" i="2"/>
  <c r="J3102" i="2"/>
  <c r="I3102" i="2"/>
  <c r="H3102" i="2"/>
  <c r="G3102" i="2"/>
  <c r="F3102" i="2"/>
  <c r="E3102" i="2"/>
  <c r="D3102" i="2"/>
  <c r="C3102" i="2"/>
  <c r="B3102" i="2"/>
  <c r="A3102" i="2"/>
  <c r="AX3101" i="2"/>
  <c r="AV3101" i="2"/>
  <c r="AU3101" i="2"/>
  <c r="AS3101" i="2"/>
  <c r="AR3101" i="2"/>
  <c r="AQ3101" i="2"/>
  <c r="AO3101" i="2"/>
  <c r="AN3101" i="2"/>
  <c r="AM3101" i="2"/>
  <c r="AL3101" i="2"/>
  <c r="AK3101" i="2"/>
  <c r="AI3101" i="2"/>
  <c r="AH3101" i="2"/>
  <c r="AG3101" i="2"/>
  <c r="AE3101" i="2"/>
  <c r="AD3101" i="2"/>
  <c r="AA3101" i="2"/>
  <c r="Z3101" i="2"/>
  <c r="Y3101" i="2"/>
  <c r="X3101" i="2"/>
  <c r="U3101" i="2"/>
  <c r="T3101" i="2"/>
  <c r="S3101" i="2"/>
  <c r="R3101" i="2"/>
  <c r="Q3101" i="2"/>
  <c r="P3101" i="2"/>
  <c r="O3101" i="2"/>
  <c r="N3101" i="2"/>
  <c r="K3101" i="2"/>
  <c r="J3101" i="2"/>
  <c r="I3101" i="2"/>
  <c r="H3101" i="2"/>
  <c r="G3101" i="2"/>
  <c r="F3101" i="2"/>
  <c r="E3101" i="2"/>
  <c r="D3101" i="2"/>
  <c r="C3101" i="2"/>
  <c r="B3101" i="2"/>
  <c r="A3101" i="2"/>
  <c r="AX3100" i="2"/>
  <c r="AV3100" i="2"/>
  <c r="AU3100" i="2"/>
  <c r="AS3100" i="2"/>
  <c r="AR3100" i="2"/>
  <c r="AQ3100" i="2"/>
  <c r="AO3100" i="2"/>
  <c r="AL3100" i="2"/>
  <c r="AK3100" i="2"/>
  <c r="AJ3100" i="2"/>
  <c r="AI3100" i="2"/>
  <c r="AH3100" i="2"/>
  <c r="AG3100" i="2"/>
  <c r="AE3100" i="2"/>
  <c r="AD3100" i="2"/>
  <c r="AA3100" i="2"/>
  <c r="Z3100" i="2"/>
  <c r="Y3100" i="2"/>
  <c r="X3100" i="2"/>
  <c r="W3100" i="2"/>
  <c r="V3100" i="2"/>
  <c r="U3100" i="2"/>
  <c r="T3100" i="2"/>
  <c r="S3100" i="2"/>
  <c r="R3100" i="2"/>
  <c r="Q3100" i="2"/>
  <c r="P3100" i="2"/>
  <c r="O3100" i="2"/>
  <c r="N3100" i="2"/>
  <c r="K3100" i="2"/>
  <c r="J3100" i="2"/>
  <c r="I3100" i="2"/>
  <c r="H3100" i="2"/>
  <c r="G3100" i="2"/>
  <c r="F3100" i="2"/>
  <c r="E3100" i="2"/>
  <c r="D3100" i="2"/>
  <c r="C3100" i="2"/>
  <c r="B3100" i="2"/>
  <c r="A3100" i="2"/>
  <c r="AX3099" i="2"/>
  <c r="AV3099" i="2"/>
  <c r="AU3099" i="2"/>
  <c r="AS3099" i="2"/>
  <c r="AR3099" i="2"/>
  <c r="AQ3099" i="2"/>
  <c r="AO3099" i="2"/>
  <c r="AL3099" i="2"/>
  <c r="AK3099" i="2"/>
  <c r="AJ3099" i="2"/>
  <c r="AI3099" i="2"/>
  <c r="AH3099" i="2"/>
  <c r="AG3099" i="2"/>
  <c r="AE3099" i="2"/>
  <c r="AD3099" i="2"/>
  <c r="AA3099" i="2"/>
  <c r="Z3099" i="2"/>
  <c r="Y3099" i="2"/>
  <c r="X3099" i="2"/>
  <c r="W3099" i="2"/>
  <c r="V3099" i="2"/>
  <c r="U3099" i="2"/>
  <c r="T3099" i="2"/>
  <c r="S3099" i="2"/>
  <c r="R3099" i="2"/>
  <c r="Q3099" i="2"/>
  <c r="P3099" i="2"/>
  <c r="O3099" i="2"/>
  <c r="N3099" i="2"/>
  <c r="K3099" i="2"/>
  <c r="J3099" i="2"/>
  <c r="I3099" i="2"/>
  <c r="H3099" i="2"/>
  <c r="G3099" i="2"/>
  <c r="F3099" i="2"/>
  <c r="E3099" i="2"/>
  <c r="D3099" i="2"/>
  <c r="C3099" i="2"/>
  <c r="B3099" i="2"/>
  <c r="A3099" i="2"/>
  <c r="AX3098" i="2"/>
  <c r="AV3098" i="2"/>
  <c r="AU3098" i="2"/>
  <c r="AS3098" i="2"/>
  <c r="AR3098" i="2"/>
  <c r="AQ3098" i="2"/>
  <c r="AO3098" i="2"/>
  <c r="AL3098" i="2"/>
  <c r="AK3098" i="2"/>
  <c r="AJ3098" i="2"/>
  <c r="AI3098" i="2"/>
  <c r="AH3098" i="2"/>
  <c r="AG3098" i="2"/>
  <c r="AF3098" i="2"/>
  <c r="AE3098" i="2"/>
  <c r="AD3098" i="2"/>
  <c r="AA3098" i="2"/>
  <c r="Z3098" i="2"/>
  <c r="Y3098" i="2"/>
  <c r="X3098" i="2"/>
  <c r="W3098" i="2"/>
  <c r="V3098" i="2"/>
  <c r="U3098" i="2"/>
  <c r="T3098" i="2"/>
  <c r="S3098" i="2"/>
  <c r="R3098" i="2"/>
  <c r="Q3098" i="2"/>
  <c r="P3098" i="2"/>
  <c r="O3098" i="2"/>
  <c r="N3098" i="2"/>
  <c r="K3098" i="2"/>
  <c r="J3098" i="2"/>
  <c r="I3098" i="2"/>
  <c r="H3098" i="2"/>
  <c r="G3098" i="2"/>
  <c r="F3098" i="2"/>
  <c r="E3098" i="2"/>
  <c r="D3098" i="2"/>
  <c r="C3098" i="2"/>
  <c r="B3098" i="2"/>
  <c r="A3098" i="2"/>
  <c r="AX3097" i="2"/>
  <c r="AV3097" i="2"/>
  <c r="AU3097" i="2"/>
  <c r="AS3097" i="2"/>
  <c r="AR3097" i="2"/>
  <c r="AQ3097" i="2"/>
  <c r="AO3097" i="2"/>
  <c r="AN3097" i="2"/>
  <c r="AM3097" i="2"/>
  <c r="AL3097" i="2"/>
  <c r="AK3097" i="2"/>
  <c r="AJ3097" i="2"/>
  <c r="AI3097" i="2"/>
  <c r="AH3097" i="2"/>
  <c r="AG3097" i="2"/>
  <c r="AE3097" i="2"/>
  <c r="AD3097" i="2"/>
  <c r="AA3097" i="2"/>
  <c r="Z3097" i="2"/>
  <c r="Y3097" i="2"/>
  <c r="X3097" i="2"/>
  <c r="W3097" i="2"/>
  <c r="V3097" i="2"/>
  <c r="U3097" i="2"/>
  <c r="T3097" i="2"/>
  <c r="S3097" i="2"/>
  <c r="R3097" i="2"/>
  <c r="Q3097" i="2"/>
  <c r="P3097" i="2"/>
  <c r="O3097" i="2"/>
  <c r="N3097" i="2"/>
  <c r="K3097" i="2"/>
  <c r="J3097" i="2"/>
  <c r="I3097" i="2"/>
  <c r="H3097" i="2"/>
  <c r="G3097" i="2"/>
  <c r="F3097" i="2"/>
  <c r="E3097" i="2"/>
  <c r="D3097" i="2"/>
  <c r="C3097" i="2"/>
  <c r="B3097" i="2"/>
  <c r="A3097" i="2"/>
  <c r="AX3096" i="2"/>
  <c r="AV3096" i="2"/>
  <c r="AU3096" i="2"/>
  <c r="AS3096" i="2"/>
  <c r="AR3096" i="2"/>
  <c r="AQ3096" i="2"/>
  <c r="AO3096" i="2"/>
  <c r="AL3096" i="2"/>
  <c r="AK3096" i="2"/>
  <c r="AJ3096" i="2"/>
  <c r="AI3096" i="2"/>
  <c r="AH3096" i="2"/>
  <c r="AG3096" i="2"/>
  <c r="AE3096" i="2"/>
  <c r="AD3096" i="2"/>
  <c r="AA3096" i="2"/>
  <c r="Z3096" i="2"/>
  <c r="Y3096" i="2"/>
  <c r="X3096" i="2"/>
  <c r="W3096" i="2"/>
  <c r="V3096" i="2"/>
  <c r="U3096" i="2"/>
  <c r="T3096" i="2"/>
  <c r="S3096" i="2"/>
  <c r="R3096" i="2"/>
  <c r="Q3096" i="2"/>
  <c r="P3096" i="2"/>
  <c r="O3096" i="2"/>
  <c r="N3096" i="2"/>
  <c r="K3096" i="2"/>
  <c r="J3096" i="2"/>
  <c r="I3096" i="2"/>
  <c r="H3096" i="2"/>
  <c r="G3096" i="2"/>
  <c r="F3096" i="2"/>
  <c r="E3096" i="2"/>
  <c r="D3096" i="2"/>
  <c r="C3096" i="2"/>
  <c r="B3096" i="2"/>
  <c r="A3096" i="2"/>
  <c r="AX3095" i="2"/>
  <c r="AV3095" i="2"/>
  <c r="AU3095" i="2"/>
  <c r="AS3095" i="2"/>
  <c r="AR3095" i="2"/>
  <c r="AQ3095" i="2"/>
  <c r="AO3095" i="2"/>
  <c r="AL3095" i="2"/>
  <c r="AK3095" i="2"/>
  <c r="AJ3095" i="2"/>
  <c r="AI3095" i="2"/>
  <c r="AH3095" i="2"/>
  <c r="AG3095" i="2"/>
  <c r="AE3095" i="2"/>
  <c r="AD3095" i="2"/>
  <c r="AA3095" i="2"/>
  <c r="Z3095" i="2"/>
  <c r="Y3095" i="2"/>
  <c r="X3095" i="2"/>
  <c r="W3095" i="2"/>
  <c r="V3095" i="2"/>
  <c r="U3095" i="2"/>
  <c r="T3095" i="2"/>
  <c r="S3095" i="2"/>
  <c r="R3095" i="2"/>
  <c r="Q3095" i="2"/>
  <c r="P3095" i="2"/>
  <c r="O3095" i="2"/>
  <c r="N3095" i="2"/>
  <c r="K3095" i="2"/>
  <c r="J3095" i="2"/>
  <c r="I3095" i="2"/>
  <c r="H3095" i="2"/>
  <c r="G3095" i="2"/>
  <c r="F3095" i="2"/>
  <c r="E3095" i="2"/>
  <c r="D3095" i="2"/>
  <c r="C3095" i="2"/>
  <c r="B3095" i="2"/>
  <c r="A3095" i="2"/>
  <c r="AX3094" i="2"/>
  <c r="AV3094" i="2"/>
  <c r="AU3094" i="2"/>
  <c r="AR3094" i="2"/>
  <c r="AQ3094" i="2"/>
  <c r="AO3094" i="2"/>
  <c r="AL3094" i="2"/>
  <c r="AK3094" i="2"/>
  <c r="AJ3094" i="2"/>
  <c r="AI3094" i="2"/>
  <c r="AH3094" i="2"/>
  <c r="AG3094" i="2"/>
  <c r="AE3094" i="2"/>
  <c r="AD3094" i="2"/>
  <c r="AA3094" i="2"/>
  <c r="Z3094" i="2"/>
  <c r="Y3094" i="2"/>
  <c r="U3094" i="2"/>
  <c r="T3094" i="2"/>
  <c r="S3094" i="2"/>
  <c r="R3094" i="2"/>
  <c r="Q3094" i="2"/>
  <c r="P3094" i="2"/>
  <c r="O3094" i="2"/>
  <c r="N3094" i="2"/>
  <c r="K3094" i="2"/>
  <c r="J3094" i="2"/>
  <c r="I3094" i="2"/>
  <c r="H3094" i="2"/>
  <c r="G3094" i="2"/>
  <c r="F3094" i="2"/>
  <c r="E3094" i="2"/>
  <c r="D3094" i="2"/>
  <c r="C3094" i="2"/>
  <c r="B3094" i="2"/>
  <c r="A3094" i="2"/>
  <c r="AX3093" i="2"/>
  <c r="AV3093" i="2"/>
  <c r="AU3093" i="2"/>
  <c r="AS3093" i="2"/>
  <c r="AR3093" i="2"/>
  <c r="AQ3093" i="2"/>
  <c r="AO3093" i="2"/>
  <c r="AL3093" i="2"/>
  <c r="AK3093" i="2"/>
  <c r="AJ3093" i="2"/>
  <c r="AI3093" i="2"/>
  <c r="AH3093" i="2"/>
  <c r="AG3093" i="2"/>
  <c r="AE3093" i="2"/>
  <c r="AD3093" i="2"/>
  <c r="AA3093" i="2"/>
  <c r="Z3093" i="2"/>
  <c r="Y3093" i="2"/>
  <c r="X3093" i="2"/>
  <c r="W3093" i="2"/>
  <c r="V3093" i="2"/>
  <c r="U3093" i="2"/>
  <c r="T3093" i="2"/>
  <c r="S3093" i="2"/>
  <c r="R3093" i="2"/>
  <c r="Q3093" i="2"/>
  <c r="P3093" i="2"/>
  <c r="O3093" i="2"/>
  <c r="N3093" i="2"/>
  <c r="K3093" i="2"/>
  <c r="J3093" i="2"/>
  <c r="I3093" i="2"/>
  <c r="H3093" i="2"/>
  <c r="G3093" i="2"/>
  <c r="F3093" i="2"/>
  <c r="E3093" i="2"/>
  <c r="D3093" i="2"/>
  <c r="C3093" i="2"/>
  <c r="B3093" i="2"/>
  <c r="A3093" i="2"/>
  <c r="AX3092" i="2"/>
  <c r="AV3092" i="2"/>
  <c r="AU3092" i="2"/>
  <c r="AS3092" i="2"/>
  <c r="AR3092" i="2"/>
  <c r="AQ3092" i="2"/>
  <c r="AO3092" i="2"/>
  <c r="AL3092" i="2"/>
  <c r="AK3092" i="2"/>
  <c r="AJ3092" i="2"/>
  <c r="AI3092" i="2"/>
  <c r="AH3092" i="2"/>
  <c r="AG3092" i="2"/>
  <c r="AE3092" i="2"/>
  <c r="AD3092" i="2"/>
  <c r="AA3092" i="2"/>
  <c r="Z3092" i="2"/>
  <c r="Y3092" i="2"/>
  <c r="W3092" i="2"/>
  <c r="V3092" i="2"/>
  <c r="U3092" i="2"/>
  <c r="T3092" i="2"/>
  <c r="S3092" i="2"/>
  <c r="R3092" i="2"/>
  <c r="Q3092" i="2"/>
  <c r="P3092" i="2"/>
  <c r="O3092" i="2"/>
  <c r="N3092" i="2"/>
  <c r="K3092" i="2"/>
  <c r="J3092" i="2"/>
  <c r="I3092" i="2"/>
  <c r="H3092" i="2"/>
  <c r="G3092" i="2"/>
  <c r="F3092" i="2"/>
  <c r="E3092" i="2"/>
  <c r="D3092" i="2"/>
  <c r="C3092" i="2"/>
  <c r="B3092" i="2"/>
  <c r="A3092" i="2"/>
  <c r="AX3091" i="2"/>
  <c r="AV3091" i="2"/>
  <c r="AU3091" i="2"/>
  <c r="AS3091" i="2"/>
  <c r="AR3091" i="2"/>
  <c r="AQ3091" i="2"/>
  <c r="AO3091" i="2"/>
  <c r="AL3091" i="2"/>
  <c r="AK3091" i="2"/>
  <c r="AJ3091" i="2"/>
  <c r="AI3091" i="2"/>
  <c r="AH3091" i="2"/>
  <c r="AG3091" i="2"/>
  <c r="AE3091" i="2"/>
  <c r="AD3091" i="2"/>
  <c r="AA3091" i="2"/>
  <c r="Z3091" i="2"/>
  <c r="Y3091" i="2"/>
  <c r="X3091" i="2"/>
  <c r="W3091" i="2"/>
  <c r="V3091" i="2"/>
  <c r="U3091" i="2"/>
  <c r="T3091" i="2"/>
  <c r="S3091" i="2"/>
  <c r="R3091" i="2"/>
  <c r="Q3091" i="2"/>
  <c r="P3091" i="2"/>
  <c r="O3091" i="2"/>
  <c r="N3091" i="2"/>
  <c r="K3091" i="2"/>
  <c r="J3091" i="2"/>
  <c r="I3091" i="2"/>
  <c r="H3091" i="2"/>
  <c r="G3091" i="2"/>
  <c r="F3091" i="2"/>
  <c r="E3091" i="2"/>
  <c r="D3091" i="2"/>
  <c r="C3091" i="2"/>
  <c r="B3091" i="2"/>
  <c r="A3091" i="2"/>
  <c r="AX3090" i="2"/>
  <c r="AV3090" i="2"/>
  <c r="AU3090" i="2"/>
  <c r="AS3090" i="2"/>
  <c r="AR3090" i="2"/>
  <c r="AQ3090" i="2"/>
  <c r="AO3090" i="2"/>
  <c r="AL3090" i="2"/>
  <c r="AK3090" i="2"/>
  <c r="AJ3090" i="2"/>
  <c r="AI3090" i="2"/>
  <c r="AH3090" i="2"/>
  <c r="AG3090" i="2"/>
  <c r="AE3090" i="2"/>
  <c r="AD3090" i="2"/>
  <c r="AA3090" i="2"/>
  <c r="Z3090" i="2"/>
  <c r="Y3090" i="2"/>
  <c r="X3090" i="2"/>
  <c r="W3090" i="2"/>
  <c r="V3090" i="2"/>
  <c r="U3090" i="2"/>
  <c r="T3090" i="2"/>
  <c r="S3090" i="2"/>
  <c r="R3090" i="2"/>
  <c r="Q3090" i="2"/>
  <c r="P3090" i="2"/>
  <c r="O3090" i="2"/>
  <c r="N3090" i="2"/>
  <c r="K3090" i="2"/>
  <c r="J3090" i="2"/>
  <c r="I3090" i="2"/>
  <c r="H3090" i="2"/>
  <c r="G3090" i="2"/>
  <c r="F3090" i="2"/>
  <c r="E3090" i="2"/>
  <c r="D3090" i="2"/>
  <c r="C3090" i="2"/>
  <c r="B3090" i="2"/>
  <c r="A3090" i="2"/>
  <c r="AX3089" i="2"/>
  <c r="AV3089" i="2"/>
  <c r="AU3089" i="2"/>
  <c r="AS3089" i="2"/>
  <c r="AR3089" i="2"/>
  <c r="AQ3089" i="2"/>
  <c r="AO3089" i="2"/>
  <c r="AL3089" i="2"/>
  <c r="AK3089" i="2"/>
  <c r="AI3089" i="2"/>
  <c r="AH3089" i="2"/>
  <c r="AG3089" i="2"/>
  <c r="AE3089" i="2"/>
  <c r="AD3089" i="2"/>
  <c r="AA3089" i="2"/>
  <c r="Z3089" i="2"/>
  <c r="Y3089" i="2"/>
  <c r="X3089" i="2"/>
  <c r="W3089" i="2"/>
  <c r="V3089" i="2"/>
  <c r="U3089" i="2"/>
  <c r="T3089" i="2"/>
  <c r="S3089" i="2"/>
  <c r="R3089" i="2"/>
  <c r="Q3089" i="2"/>
  <c r="P3089" i="2"/>
  <c r="O3089" i="2"/>
  <c r="N3089" i="2"/>
  <c r="K3089" i="2"/>
  <c r="J3089" i="2"/>
  <c r="I3089" i="2"/>
  <c r="H3089" i="2"/>
  <c r="G3089" i="2"/>
  <c r="F3089" i="2"/>
  <c r="E3089" i="2"/>
  <c r="D3089" i="2"/>
  <c r="C3089" i="2"/>
  <c r="B3089" i="2"/>
  <c r="A3089" i="2"/>
  <c r="AX3088" i="2"/>
  <c r="AV3088" i="2"/>
  <c r="AU3088" i="2"/>
  <c r="AR3088" i="2"/>
  <c r="AQ3088" i="2"/>
  <c r="AO3088" i="2"/>
  <c r="AL3088" i="2"/>
  <c r="AK3088" i="2"/>
  <c r="AJ3088" i="2"/>
  <c r="AI3088" i="2"/>
  <c r="AH3088" i="2"/>
  <c r="AG3088" i="2"/>
  <c r="AF3088" i="2"/>
  <c r="AE3088" i="2"/>
  <c r="AD3088" i="2"/>
  <c r="AA3088" i="2"/>
  <c r="Z3088" i="2"/>
  <c r="Y3088" i="2"/>
  <c r="X3088" i="2"/>
  <c r="V3088" i="2"/>
  <c r="U3088" i="2"/>
  <c r="T3088" i="2"/>
  <c r="S3088" i="2"/>
  <c r="R3088" i="2"/>
  <c r="Q3088" i="2"/>
  <c r="P3088" i="2"/>
  <c r="O3088" i="2"/>
  <c r="N3088" i="2"/>
  <c r="K3088" i="2"/>
  <c r="J3088" i="2"/>
  <c r="I3088" i="2"/>
  <c r="H3088" i="2"/>
  <c r="G3088" i="2"/>
  <c r="F3088" i="2"/>
  <c r="E3088" i="2"/>
  <c r="D3088" i="2"/>
  <c r="C3088" i="2"/>
  <c r="B3088" i="2"/>
  <c r="A3088" i="2"/>
  <c r="AX3087" i="2"/>
  <c r="AV3087" i="2"/>
  <c r="AU3087" i="2"/>
  <c r="AR3087" i="2"/>
  <c r="AQ3087" i="2"/>
  <c r="AO3087" i="2"/>
  <c r="AM3087" i="2"/>
  <c r="AL3087" i="2"/>
  <c r="AK3087" i="2"/>
  <c r="AJ3087" i="2"/>
  <c r="AI3087" i="2"/>
  <c r="AH3087" i="2"/>
  <c r="AG3087" i="2"/>
  <c r="AE3087" i="2"/>
  <c r="AD3087" i="2"/>
  <c r="AA3087" i="2"/>
  <c r="Z3087" i="2"/>
  <c r="Y3087" i="2"/>
  <c r="X3087" i="2"/>
  <c r="V3087" i="2"/>
  <c r="U3087" i="2"/>
  <c r="T3087" i="2"/>
  <c r="S3087" i="2"/>
  <c r="R3087" i="2"/>
  <c r="Q3087" i="2"/>
  <c r="P3087" i="2"/>
  <c r="O3087" i="2"/>
  <c r="N3087" i="2"/>
  <c r="K3087" i="2"/>
  <c r="J3087" i="2"/>
  <c r="I3087" i="2"/>
  <c r="H3087" i="2"/>
  <c r="G3087" i="2"/>
  <c r="F3087" i="2"/>
  <c r="E3087" i="2"/>
  <c r="D3087" i="2"/>
  <c r="C3087" i="2"/>
  <c r="B3087" i="2"/>
  <c r="A3087" i="2"/>
  <c r="AX3086" i="2"/>
  <c r="AV3086" i="2"/>
  <c r="AU3086" i="2"/>
  <c r="AS3086" i="2"/>
  <c r="AR3086" i="2"/>
  <c r="AQ3086" i="2"/>
  <c r="AO3086" i="2"/>
  <c r="AL3086" i="2"/>
  <c r="AK3086" i="2"/>
  <c r="AJ3086" i="2"/>
  <c r="AI3086" i="2"/>
  <c r="AH3086" i="2"/>
  <c r="AG3086" i="2"/>
  <c r="AE3086" i="2"/>
  <c r="AD3086" i="2"/>
  <c r="AA3086" i="2"/>
  <c r="Z3086" i="2"/>
  <c r="Y3086" i="2"/>
  <c r="X3086" i="2"/>
  <c r="U3086" i="2"/>
  <c r="T3086" i="2"/>
  <c r="S3086" i="2"/>
  <c r="R3086" i="2"/>
  <c r="Q3086" i="2"/>
  <c r="P3086" i="2"/>
  <c r="O3086" i="2"/>
  <c r="N3086" i="2"/>
  <c r="K3086" i="2"/>
  <c r="J3086" i="2"/>
  <c r="I3086" i="2"/>
  <c r="H3086" i="2"/>
  <c r="G3086" i="2"/>
  <c r="F3086" i="2"/>
  <c r="E3086" i="2"/>
  <c r="D3086" i="2"/>
  <c r="C3086" i="2"/>
  <c r="B3086" i="2"/>
  <c r="A3086" i="2"/>
  <c r="AX3085" i="2"/>
  <c r="AV3085" i="2"/>
  <c r="AU3085" i="2"/>
  <c r="AS3085" i="2"/>
  <c r="AR3085" i="2"/>
  <c r="AQ3085" i="2"/>
  <c r="AO3085" i="2"/>
  <c r="AL3085" i="2"/>
  <c r="AK3085" i="2"/>
  <c r="AJ3085" i="2"/>
  <c r="AI3085" i="2"/>
  <c r="AH3085" i="2"/>
  <c r="AG3085" i="2"/>
  <c r="AE3085" i="2"/>
  <c r="AD3085" i="2"/>
  <c r="AA3085" i="2"/>
  <c r="Z3085" i="2"/>
  <c r="Y3085" i="2"/>
  <c r="X3085" i="2"/>
  <c r="U3085" i="2"/>
  <c r="T3085" i="2"/>
  <c r="S3085" i="2"/>
  <c r="R3085" i="2"/>
  <c r="Q3085" i="2"/>
  <c r="P3085" i="2"/>
  <c r="O3085" i="2"/>
  <c r="N3085" i="2"/>
  <c r="K3085" i="2"/>
  <c r="J3085" i="2"/>
  <c r="I3085" i="2"/>
  <c r="H3085" i="2"/>
  <c r="G3085" i="2"/>
  <c r="F3085" i="2"/>
  <c r="E3085" i="2"/>
  <c r="D3085" i="2"/>
  <c r="C3085" i="2"/>
  <c r="B3085" i="2"/>
  <c r="A3085" i="2"/>
  <c r="AX3084" i="2"/>
  <c r="AV3084" i="2"/>
  <c r="AU3084" i="2"/>
  <c r="AS3084" i="2"/>
  <c r="AR3084" i="2"/>
  <c r="AQ3084" i="2"/>
  <c r="AO3084" i="2"/>
  <c r="AL3084" i="2"/>
  <c r="AK3084" i="2"/>
  <c r="AJ3084" i="2"/>
  <c r="AI3084" i="2"/>
  <c r="AH3084" i="2"/>
  <c r="AG3084" i="2"/>
  <c r="AE3084" i="2"/>
  <c r="AD3084" i="2"/>
  <c r="AA3084" i="2"/>
  <c r="Z3084" i="2"/>
  <c r="Y3084" i="2"/>
  <c r="X3084" i="2"/>
  <c r="V3084" i="2"/>
  <c r="U3084" i="2"/>
  <c r="T3084" i="2"/>
  <c r="S3084" i="2"/>
  <c r="R3084" i="2"/>
  <c r="Q3084" i="2"/>
  <c r="P3084" i="2"/>
  <c r="O3084" i="2"/>
  <c r="N3084" i="2"/>
  <c r="K3084" i="2"/>
  <c r="J3084" i="2"/>
  <c r="I3084" i="2"/>
  <c r="H3084" i="2"/>
  <c r="G3084" i="2"/>
  <c r="F3084" i="2"/>
  <c r="E3084" i="2"/>
  <c r="D3084" i="2"/>
  <c r="C3084" i="2"/>
  <c r="B3084" i="2"/>
  <c r="A3084" i="2"/>
  <c r="AX3083" i="2"/>
  <c r="AV3083" i="2"/>
  <c r="AU3083" i="2"/>
  <c r="AS3083" i="2"/>
  <c r="AR3083" i="2"/>
  <c r="AQ3083" i="2"/>
  <c r="AO3083" i="2"/>
  <c r="AL3083" i="2"/>
  <c r="AK3083" i="2"/>
  <c r="AJ3083" i="2"/>
  <c r="AI3083" i="2"/>
  <c r="AH3083" i="2"/>
  <c r="AG3083" i="2"/>
  <c r="AE3083" i="2"/>
  <c r="AD3083" i="2"/>
  <c r="AA3083" i="2"/>
  <c r="Z3083" i="2"/>
  <c r="Y3083" i="2"/>
  <c r="X3083" i="2"/>
  <c r="W3083" i="2"/>
  <c r="V3083" i="2"/>
  <c r="U3083" i="2"/>
  <c r="T3083" i="2"/>
  <c r="S3083" i="2"/>
  <c r="R3083" i="2"/>
  <c r="Q3083" i="2"/>
  <c r="P3083" i="2"/>
  <c r="O3083" i="2"/>
  <c r="N3083" i="2"/>
  <c r="K3083" i="2"/>
  <c r="J3083" i="2"/>
  <c r="I3083" i="2"/>
  <c r="H3083" i="2"/>
  <c r="G3083" i="2"/>
  <c r="F3083" i="2"/>
  <c r="E3083" i="2"/>
  <c r="D3083" i="2"/>
  <c r="C3083" i="2"/>
  <c r="B3083" i="2"/>
  <c r="A3083" i="2"/>
  <c r="AX3082" i="2"/>
  <c r="AV3082" i="2"/>
  <c r="AU3082" i="2"/>
  <c r="AS3082" i="2"/>
  <c r="AR3082" i="2"/>
  <c r="AQ3082" i="2"/>
  <c r="AO3082" i="2"/>
  <c r="AL3082" i="2"/>
  <c r="AK3082" i="2"/>
  <c r="AJ3082" i="2"/>
  <c r="AI3082" i="2"/>
  <c r="AH3082" i="2"/>
  <c r="AG3082" i="2"/>
  <c r="AD3082" i="2"/>
  <c r="AA3082" i="2"/>
  <c r="Z3082" i="2"/>
  <c r="Y3082" i="2"/>
  <c r="X3082" i="2"/>
  <c r="W3082" i="2"/>
  <c r="V3082" i="2"/>
  <c r="U3082" i="2"/>
  <c r="T3082" i="2"/>
  <c r="S3082" i="2"/>
  <c r="R3082" i="2"/>
  <c r="Q3082" i="2"/>
  <c r="P3082" i="2"/>
  <c r="O3082" i="2"/>
  <c r="N3082" i="2"/>
  <c r="K3082" i="2"/>
  <c r="J3082" i="2"/>
  <c r="I3082" i="2"/>
  <c r="H3082" i="2"/>
  <c r="G3082" i="2"/>
  <c r="F3082" i="2"/>
  <c r="E3082" i="2"/>
  <c r="D3082" i="2"/>
  <c r="C3082" i="2"/>
  <c r="B3082" i="2"/>
  <c r="A3082" i="2"/>
  <c r="AX3081" i="2"/>
  <c r="AV3081" i="2"/>
  <c r="AU3081" i="2"/>
  <c r="AS3081" i="2"/>
  <c r="AR3081" i="2"/>
  <c r="AQ3081" i="2"/>
  <c r="AO3081" i="2"/>
  <c r="AL3081" i="2"/>
  <c r="AK3081" i="2"/>
  <c r="AJ3081" i="2"/>
  <c r="AI3081" i="2"/>
  <c r="AH3081" i="2"/>
  <c r="AG3081" i="2"/>
  <c r="AE3081" i="2"/>
  <c r="AD3081" i="2"/>
  <c r="AA3081" i="2"/>
  <c r="Z3081" i="2"/>
  <c r="Y3081" i="2"/>
  <c r="X3081" i="2"/>
  <c r="W3081" i="2"/>
  <c r="V3081" i="2"/>
  <c r="U3081" i="2"/>
  <c r="T3081" i="2"/>
  <c r="S3081" i="2"/>
  <c r="R3081" i="2"/>
  <c r="Q3081" i="2"/>
  <c r="P3081" i="2"/>
  <c r="O3081" i="2"/>
  <c r="N3081" i="2"/>
  <c r="K3081" i="2"/>
  <c r="J3081" i="2"/>
  <c r="I3081" i="2"/>
  <c r="H3081" i="2"/>
  <c r="G3081" i="2"/>
  <c r="F3081" i="2"/>
  <c r="E3081" i="2"/>
  <c r="D3081" i="2"/>
  <c r="C3081" i="2"/>
  <c r="B3081" i="2"/>
  <c r="A3081" i="2"/>
  <c r="AX3080" i="2"/>
  <c r="AV3080" i="2"/>
  <c r="AU3080" i="2"/>
  <c r="AR3080" i="2"/>
  <c r="AQ3080" i="2"/>
  <c r="AO3080" i="2"/>
  <c r="AI3080" i="2"/>
  <c r="AH3080" i="2"/>
  <c r="AG3080" i="2"/>
  <c r="AE3080" i="2"/>
  <c r="AA3080" i="2"/>
  <c r="Z3080" i="2"/>
  <c r="Y3080" i="2"/>
  <c r="X3080" i="2"/>
  <c r="V3080" i="2"/>
  <c r="U3080" i="2"/>
  <c r="T3080" i="2"/>
  <c r="S3080" i="2"/>
  <c r="R3080" i="2"/>
  <c r="Q3080" i="2"/>
  <c r="P3080" i="2"/>
  <c r="O3080" i="2"/>
  <c r="N3080" i="2"/>
  <c r="K3080" i="2"/>
  <c r="J3080" i="2"/>
  <c r="I3080" i="2"/>
  <c r="H3080" i="2"/>
  <c r="G3080" i="2"/>
  <c r="F3080" i="2"/>
  <c r="E3080" i="2"/>
  <c r="D3080" i="2"/>
  <c r="C3080" i="2"/>
  <c r="B3080" i="2"/>
  <c r="A3080" i="2"/>
  <c r="AX3079" i="2"/>
  <c r="AV3079" i="2"/>
  <c r="AU3079" i="2"/>
  <c r="AS3079" i="2"/>
  <c r="AR3079" i="2"/>
  <c r="AQ3079" i="2"/>
  <c r="AO3079" i="2"/>
  <c r="AL3079" i="2"/>
  <c r="AK3079" i="2"/>
  <c r="AJ3079" i="2"/>
  <c r="AI3079" i="2"/>
  <c r="AH3079" i="2"/>
  <c r="AG3079" i="2"/>
  <c r="AE3079" i="2"/>
  <c r="AD3079" i="2"/>
  <c r="AA3079" i="2"/>
  <c r="Z3079" i="2"/>
  <c r="Y3079" i="2"/>
  <c r="X3079" i="2"/>
  <c r="V3079" i="2"/>
  <c r="U3079" i="2"/>
  <c r="T3079" i="2"/>
  <c r="S3079" i="2"/>
  <c r="R3079" i="2"/>
  <c r="Q3079" i="2"/>
  <c r="P3079" i="2"/>
  <c r="O3079" i="2"/>
  <c r="N3079" i="2"/>
  <c r="K3079" i="2"/>
  <c r="J3079" i="2"/>
  <c r="I3079" i="2"/>
  <c r="H3079" i="2"/>
  <c r="G3079" i="2"/>
  <c r="F3079" i="2"/>
  <c r="E3079" i="2"/>
  <c r="D3079" i="2"/>
  <c r="C3079" i="2"/>
  <c r="B3079" i="2"/>
  <c r="A3079" i="2"/>
  <c r="AX3078" i="2"/>
  <c r="AV3078" i="2"/>
  <c r="AU3078" i="2"/>
  <c r="AS3078" i="2"/>
  <c r="AR3078" i="2"/>
  <c r="AQ3078" i="2"/>
  <c r="AO3078" i="2"/>
  <c r="AL3078" i="2"/>
  <c r="AK3078" i="2"/>
  <c r="AJ3078" i="2"/>
  <c r="AI3078" i="2"/>
  <c r="AH3078" i="2"/>
  <c r="AG3078" i="2"/>
  <c r="AE3078" i="2"/>
  <c r="AD3078" i="2"/>
  <c r="AA3078" i="2"/>
  <c r="Z3078" i="2"/>
  <c r="Y3078" i="2"/>
  <c r="X3078" i="2"/>
  <c r="V3078" i="2"/>
  <c r="U3078" i="2"/>
  <c r="T3078" i="2"/>
  <c r="S3078" i="2"/>
  <c r="R3078" i="2"/>
  <c r="Q3078" i="2"/>
  <c r="P3078" i="2"/>
  <c r="O3078" i="2"/>
  <c r="N3078" i="2"/>
  <c r="K3078" i="2"/>
  <c r="J3078" i="2"/>
  <c r="I3078" i="2"/>
  <c r="H3078" i="2"/>
  <c r="G3078" i="2"/>
  <c r="F3078" i="2"/>
  <c r="E3078" i="2"/>
  <c r="D3078" i="2"/>
  <c r="C3078" i="2"/>
  <c r="B3078" i="2"/>
  <c r="A3078" i="2"/>
  <c r="AX3077" i="2"/>
  <c r="AV3077" i="2"/>
  <c r="AU3077" i="2"/>
  <c r="AS3077" i="2"/>
  <c r="AR3077" i="2"/>
  <c r="AQ3077" i="2"/>
  <c r="AO3077" i="2"/>
  <c r="AL3077" i="2"/>
  <c r="AK3077" i="2"/>
  <c r="AJ3077" i="2"/>
  <c r="AI3077" i="2"/>
  <c r="AH3077" i="2"/>
  <c r="AG3077" i="2"/>
  <c r="AF3077" i="2"/>
  <c r="AE3077" i="2"/>
  <c r="AD3077" i="2"/>
  <c r="AA3077" i="2"/>
  <c r="Z3077" i="2"/>
  <c r="Y3077" i="2"/>
  <c r="V3077" i="2"/>
  <c r="U3077" i="2"/>
  <c r="T3077" i="2"/>
  <c r="S3077" i="2"/>
  <c r="R3077" i="2"/>
  <c r="Q3077" i="2"/>
  <c r="P3077" i="2"/>
  <c r="O3077" i="2"/>
  <c r="N3077" i="2"/>
  <c r="K3077" i="2"/>
  <c r="J3077" i="2"/>
  <c r="I3077" i="2"/>
  <c r="H3077" i="2"/>
  <c r="G3077" i="2"/>
  <c r="F3077" i="2"/>
  <c r="E3077" i="2"/>
  <c r="D3077" i="2"/>
  <c r="C3077" i="2"/>
  <c r="B3077" i="2"/>
  <c r="A3077" i="2"/>
  <c r="AX3076" i="2"/>
  <c r="AV3076" i="2"/>
  <c r="AU3076" i="2"/>
  <c r="AS3076" i="2"/>
  <c r="AR3076" i="2"/>
  <c r="AQ3076" i="2"/>
  <c r="AO3076" i="2"/>
  <c r="AL3076" i="2"/>
  <c r="AK3076" i="2"/>
  <c r="AJ3076" i="2"/>
  <c r="AI3076" i="2"/>
  <c r="AH3076" i="2"/>
  <c r="AG3076" i="2"/>
  <c r="AE3076" i="2"/>
  <c r="AD3076" i="2"/>
  <c r="AA3076" i="2"/>
  <c r="Z3076" i="2"/>
  <c r="Y3076" i="2"/>
  <c r="U3076" i="2"/>
  <c r="T3076" i="2"/>
  <c r="S3076" i="2"/>
  <c r="R3076" i="2"/>
  <c r="Q3076" i="2"/>
  <c r="P3076" i="2"/>
  <c r="O3076" i="2"/>
  <c r="N3076" i="2"/>
  <c r="K3076" i="2"/>
  <c r="J3076" i="2"/>
  <c r="I3076" i="2"/>
  <c r="H3076" i="2"/>
  <c r="G3076" i="2"/>
  <c r="F3076" i="2"/>
  <c r="E3076" i="2"/>
  <c r="D3076" i="2"/>
  <c r="C3076" i="2"/>
  <c r="B3076" i="2"/>
  <c r="A3076" i="2"/>
  <c r="AX3075" i="2"/>
  <c r="AV3075" i="2"/>
  <c r="AU3075" i="2"/>
  <c r="AS3075" i="2"/>
  <c r="AR3075" i="2"/>
  <c r="AQ3075" i="2"/>
  <c r="AO3075" i="2"/>
  <c r="AL3075" i="2"/>
  <c r="AK3075" i="2"/>
  <c r="AJ3075" i="2"/>
  <c r="AI3075" i="2"/>
  <c r="AH3075" i="2"/>
  <c r="AG3075" i="2"/>
  <c r="AE3075" i="2"/>
  <c r="AA3075" i="2"/>
  <c r="Z3075" i="2"/>
  <c r="Y3075" i="2"/>
  <c r="X3075" i="2"/>
  <c r="U3075" i="2"/>
  <c r="T3075" i="2"/>
  <c r="S3075" i="2"/>
  <c r="R3075" i="2"/>
  <c r="Q3075" i="2"/>
  <c r="P3075" i="2"/>
  <c r="O3075" i="2"/>
  <c r="N3075" i="2"/>
  <c r="K3075" i="2"/>
  <c r="J3075" i="2"/>
  <c r="I3075" i="2"/>
  <c r="H3075" i="2"/>
  <c r="G3075" i="2"/>
  <c r="F3075" i="2"/>
  <c r="E3075" i="2"/>
  <c r="D3075" i="2"/>
  <c r="C3075" i="2"/>
  <c r="B3075" i="2"/>
  <c r="A3075" i="2"/>
  <c r="AX3074" i="2"/>
  <c r="AV3074" i="2"/>
  <c r="AU3074" i="2"/>
  <c r="AS3074" i="2"/>
  <c r="AR3074" i="2"/>
  <c r="AQ3074" i="2"/>
  <c r="AO3074" i="2"/>
  <c r="AL3074" i="2"/>
  <c r="AK3074" i="2"/>
  <c r="AJ3074" i="2"/>
  <c r="AI3074" i="2"/>
  <c r="AH3074" i="2"/>
  <c r="AG3074" i="2"/>
  <c r="AE3074" i="2"/>
  <c r="AD3074" i="2"/>
  <c r="AA3074" i="2"/>
  <c r="Z3074" i="2"/>
  <c r="Y3074" i="2"/>
  <c r="V3074" i="2"/>
  <c r="U3074" i="2"/>
  <c r="T3074" i="2"/>
  <c r="S3074" i="2"/>
  <c r="R3074" i="2"/>
  <c r="Q3074" i="2"/>
  <c r="P3074" i="2"/>
  <c r="O3074" i="2"/>
  <c r="N3074" i="2"/>
  <c r="K3074" i="2"/>
  <c r="J3074" i="2"/>
  <c r="I3074" i="2"/>
  <c r="H3074" i="2"/>
  <c r="G3074" i="2"/>
  <c r="F3074" i="2"/>
  <c r="E3074" i="2"/>
  <c r="D3074" i="2"/>
  <c r="C3074" i="2"/>
  <c r="B3074" i="2"/>
  <c r="A3074" i="2"/>
  <c r="AX3073" i="2"/>
  <c r="AV3073" i="2"/>
  <c r="AU3073" i="2"/>
  <c r="AS3073" i="2"/>
  <c r="AR3073" i="2"/>
  <c r="AQ3073" i="2"/>
  <c r="AO3073" i="2"/>
  <c r="AL3073" i="2"/>
  <c r="AK3073" i="2"/>
  <c r="AJ3073" i="2"/>
  <c r="AI3073" i="2"/>
  <c r="AH3073" i="2"/>
  <c r="AG3073" i="2"/>
  <c r="AF3073" i="2"/>
  <c r="AE3073" i="2"/>
  <c r="AD3073" i="2"/>
  <c r="AA3073" i="2"/>
  <c r="Z3073" i="2"/>
  <c r="Y3073" i="2"/>
  <c r="X3073" i="2"/>
  <c r="V3073" i="2"/>
  <c r="U3073" i="2"/>
  <c r="T3073" i="2"/>
  <c r="S3073" i="2"/>
  <c r="R3073" i="2"/>
  <c r="Q3073" i="2"/>
  <c r="P3073" i="2"/>
  <c r="O3073" i="2"/>
  <c r="N3073" i="2"/>
  <c r="K3073" i="2"/>
  <c r="J3073" i="2"/>
  <c r="I3073" i="2"/>
  <c r="H3073" i="2"/>
  <c r="G3073" i="2"/>
  <c r="F3073" i="2"/>
  <c r="E3073" i="2"/>
  <c r="D3073" i="2"/>
  <c r="C3073" i="2"/>
  <c r="B3073" i="2"/>
  <c r="A3073" i="2"/>
  <c r="AX3072" i="2"/>
  <c r="AV3072" i="2"/>
  <c r="AU3072" i="2"/>
  <c r="AS3072" i="2"/>
  <c r="AR3072" i="2"/>
  <c r="AQ3072" i="2"/>
  <c r="AO3072" i="2"/>
  <c r="AL3072" i="2"/>
  <c r="AK3072" i="2"/>
  <c r="AJ3072" i="2"/>
  <c r="AI3072" i="2"/>
  <c r="AH3072" i="2"/>
  <c r="AG3072" i="2"/>
  <c r="AE3072" i="2"/>
  <c r="AD3072" i="2"/>
  <c r="AA3072" i="2"/>
  <c r="Z3072" i="2"/>
  <c r="Y3072" i="2"/>
  <c r="X3072" i="2"/>
  <c r="W3072" i="2"/>
  <c r="V3072" i="2"/>
  <c r="U3072" i="2"/>
  <c r="T3072" i="2"/>
  <c r="S3072" i="2"/>
  <c r="R3072" i="2"/>
  <c r="Q3072" i="2"/>
  <c r="P3072" i="2"/>
  <c r="O3072" i="2"/>
  <c r="N3072" i="2"/>
  <c r="K3072" i="2"/>
  <c r="J3072" i="2"/>
  <c r="I3072" i="2"/>
  <c r="H3072" i="2"/>
  <c r="G3072" i="2"/>
  <c r="F3072" i="2"/>
  <c r="E3072" i="2"/>
  <c r="D3072" i="2"/>
  <c r="C3072" i="2"/>
  <c r="B3072" i="2"/>
  <c r="A3072" i="2"/>
  <c r="AX3071" i="2"/>
  <c r="AV3071" i="2"/>
  <c r="AU3071" i="2"/>
  <c r="AS3071" i="2"/>
  <c r="AR3071" i="2"/>
  <c r="AQ3071" i="2"/>
  <c r="AO3071" i="2"/>
  <c r="AK3071" i="2"/>
  <c r="AJ3071" i="2"/>
  <c r="AI3071" i="2"/>
  <c r="AH3071" i="2"/>
  <c r="AG3071" i="2"/>
  <c r="AE3071" i="2"/>
  <c r="AA3071" i="2"/>
  <c r="Z3071" i="2"/>
  <c r="Y3071" i="2"/>
  <c r="X3071" i="2"/>
  <c r="W3071" i="2"/>
  <c r="V3071" i="2"/>
  <c r="U3071" i="2"/>
  <c r="T3071" i="2"/>
  <c r="S3071" i="2"/>
  <c r="R3071" i="2"/>
  <c r="Q3071" i="2"/>
  <c r="P3071" i="2"/>
  <c r="O3071" i="2"/>
  <c r="N3071" i="2"/>
  <c r="K3071" i="2"/>
  <c r="J3071" i="2"/>
  <c r="I3071" i="2"/>
  <c r="H3071" i="2"/>
  <c r="G3071" i="2"/>
  <c r="F3071" i="2"/>
  <c r="E3071" i="2"/>
  <c r="D3071" i="2"/>
  <c r="C3071" i="2"/>
  <c r="B3071" i="2"/>
  <c r="A3071" i="2"/>
  <c r="AX3070" i="2"/>
  <c r="AV3070" i="2"/>
  <c r="AU3070" i="2"/>
  <c r="AS3070" i="2"/>
  <c r="AR3070" i="2"/>
  <c r="AQ3070" i="2"/>
  <c r="AP3070" i="2"/>
  <c r="AO3070" i="2"/>
  <c r="AL3070" i="2"/>
  <c r="AK3070" i="2"/>
  <c r="AJ3070" i="2"/>
  <c r="AI3070" i="2"/>
  <c r="AH3070" i="2"/>
  <c r="AG3070" i="2"/>
  <c r="AF3070" i="2"/>
  <c r="AE3070" i="2"/>
  <c r="AD3070" i="2"/>
  <c r="AA3070" i="2"/>
  <c r="Z3070" i="2"/>
  <c r="Y3070" i="2"/>
  <c r="X3070" i="2"/>
  <c r="W3070" i="2"/>
  <c r="V3070" i="2"/>
  <c r="U3070" i="2"/>
  <c r="T3070" i="2"/>
  <c r="S3070" i="2"/>
  <c r="R3070" i="2"/>
  <c r="Q3070" i="2"/>
  <c r="P3070" i="2"/>
  <c r="O3070" i="2"/>
  <c r="N3070" i="2"/>
  <c r="K3070" i="2"/>
  <c r="J3070" i="2"/>
  <c r="I3070" i="2"/>
  <c r="H3070" i="2"/>
  <c r="G3070" i="2"/>
  <c r="F3070" i="2"/>
  <c r="E3070" i="2"/>
  <c r="D3070" i="2"/>
  <c r="C3070" i="2"/>
  <c r="B3070" i="2"/>
  <c r="A3070" i="2"/>
  <c r="AX3069" i="2"/>
  <c r="AV3069" i="2"/>
  <c r="AU3069" i="2"/>
  <c r="AS3069" i="2"/>
  <c r="AR3069" i="2"/>
  <c r="AQ3069" i="2"/>
  <c r="AO3069" i="2"/>
  <c r="AL3069" i="2"/>
  <c r="AK3069" i="2"/>
  <c r="AJ3069" i="2"/>
  <c r="AI3069" i="2"/>
  <c r="AH3069" i="2"/>
  <c r="AG3069" i="2"/>
  <c r="AF3069" i="2"/>
  <c r="AE3069" i="2"/>
  <c r="AD3069" i="2"/>
  <c r="AA3069" i="2"/>
  <c r="Z3069" i="2"/>
  <c r="Y3069" i="2"/>
  <c r="U3069" i="2"/>
  <c r="T3069" i="2"/>
  <c r="S3069" i="2"/>
  <c r="R3069" i="2"/>
  <c r="Q3069" i="2"/>
  <c r="P3069" i="2"/>
  <c r="O3069" i="2"/>
  <c r="N3069" i="2"/>
  <c r="K3069" i="2"/>
  <c r="J3069" i="2"/>
  <c r="I3069" i="2"/>
  <c r="H3069" i="2"/>
  <c r="G3069" i="2"/>
  <c r="F3069" i="2"/>
  <c r="E3069" i="2"/>
  <c r="D3069" i="2"/>
  <c r="C3069" i="2"/>
  <c r="B3069" i="2"/>
  <c r="A3069" i="2"/>
  <c r="AX3068" i="2"/>
  <c r="AV3068" i="2"/>
  <c r="AU3068" i="2"/>
  <c r="AS3068" i="2"/>
  <c r="AO3068" i="2"/>
  <c r="AN3068" i="2"/>
  <c r="AM3068" i="2"/>
  <c r="AL3068" i="2"/>
  <c r="AK3068" i="2"/>
  <c r="AJ3068" i="2"/>
  <c r="AI3068" i="2"/>
  <c r="AH3068" i="2"/>
  <c r="AG3068" i="2"/>
  <c r="AE3068" i="2"/>
  <c r="AD3068" i="2"/>
  <c r="AC3068" i="2"/>
  <c r="AA3068" i="2"/>
  <c r="Z3068" i="2"/>
  <c r="Y3068" i="2"/>
  <c r="X3068" i="2"/>
  <c r="W3068" i="2"/>
  <c r="V3068" i="2"/>
  <c r="U3068" i="2"/>
  <c r="T3068" i="2"/>
  <c r="S3068" i="2"/>
  <c r="R3068" i="2"/>
  <c r="Q3068" i="2"/>
  <c r="P3068" i="2"/>
  <c r="O3068" i="2"/>
  <c r="N3068" i="2"/>
  <c r="M3068" i="2"/>
  <c r="L3068" i="2"/>
  <c r="K3068" i="2"/>
  <c r="J3068" i="2"/>
  <c r="I3068" i="2"/>
  <c r="H3068" i="2"/>
  <c r="G3068" i="2"/>
  <c r="F3068" i="2"/>
  <c r="E3068" i="2"/>
  <c r="D3068" i="2"/>
  <c r="C3068" i="2"/>
  <c r="B3068" i="2"/>
  <c r="A3068" i="2"/>
  <c r="AX3067" i="2"/>
  <c r="AV3067" i="2"/>
  <c r="AU3067" i="2"/>
  <c r="AS3067" i="2"/>
  <c r="AR3067" i="2"/>
  <c r="AQ3067" i="2"/>
  <c r="AO3067" i="2"/>
  <c r="AL3067" i="2"/>
  <c r="AK3067" i="2"/>
  <c r="AJ3067" i="2"/>
  <c r="AI3067" i="2"/>
  <c r="AH3067" i="2"/>
  <c r="AG3067" i="2"/>
  <c r="AE3067" i="2"/>
  <c r="AD3067" i="2"/>
  <c r="AA3067" i="2"/>
  <c r="Z3067" i="2"/>
  <c r="Y3067" i="2"/>
  <c r="X3067" i="2"/>
  <c r="U3067" i="2"/>
  <c r="T3067" i="2"/>
  <c r="S3067" i="2"/>
  <c r="R3067" i="2"/>
  <c r="Q3067" i="2"/>
  <c r="P3067" i="2"/>
  <c r="O3067" i="2"/>
  <c r="N3067" i="2"/>
  <c r="K3067" i="2"/>
  <c r="J3067" i="2"/>
  <c r="I3067" i="2"/>
  <c r="H3067" i="2"/>
  <c r="G3067" i="2"/>
  <c r="F3067" i="2"/>
  <c r="E3067" i="2"/>
  <c r="D3067" i="2"/>
  <c r="C3067" i="2"/>
  <c r="B3067" i="2"/>
  <c r="A3067" i="2"/>
  <c r="AX3066" i="2"/>
  <c r="AV3066" i="2"/>
  <c r="AU3066" i="2"/>
  <c r="AS3066" i="2"/>
  <c r="AR3066" i="2"/>
  <c r="AQ3066" i="2"/>
  <c r="AP3066" i="2"/>
  <c r="AO3066" i="2"/>
  <c r="AL3066" i="2"/>
  <c r="AK3066" i="2"/>
  <c r="AJ3066" i="2"/>
  <c r="AI3066" i="2"/>
  <c r="AH3066" i="2"/>
  <c r="AG3066" i="2"/>
  <c r="AE3066" i="2"/>
  <c r="AD3066" i="2"/>
  <c r="AA3066" i="2"/>
  <c r="Z3066" i="2"/>
  <c r="Y3066" i="2"/>
  <c r="X3066" i="2"/>
  <c r="W3066" i="2"/>
  <c r="V3066" i="2"/>
  <c r="U3066" i="2"/>
  <c r="T3066" i="2"/>
  <c r="S3066" i="2"/>
  <c r="R3066" i="2"/>
  <c r="Q3066" i="2"/>
  <c r="P3066" i="2"/>
  <c r="O3066" i="2"/>
  <c r="N3066" i="2"/>
  <c r="K3066" i="2"/>
  <c r="J3066" i="2"/>
  <c r="I3066" i="2"/>
  <c r="H3066" i="2"/>
  <c r="G3066" i="2"/>
  <c r="F3066" i="2"/>
  <c r="E3066" i="2"/>
  <c r="D3066" i="2"/>
  <c r="C3066" i="2"/>
  <c r="B3066" i="2"/>
  <c r="A3066" i="2"/>
  <c r="AX3065" i="2"/>
  <c r="AV3065" i="2"/>
  <c r="AU3065" i="2"/>
  <c r="AS3065" i="2"/>
  <c r="AR3065" i="2"/>
  <c r="AQ3065" i="2"/>
  <c r="AO3065" i="2"/>
  <c r="AN3065" i="2"/>
  <c r="AM3065" i="2"/>
  <c r="AL3065" i="2"/>
  <c r="AK3065" i="2"/>
  <c r="AJ3065" i="2"/>
  <c r="AI3065" i="2"/>
  <c r="AH3065" i="2"/>
  <c r="AG3065" i="2"/>
  <c r="AE3065" i="2"/>
  <c r="AD3065" i="2"/>
  <c r="AA3065" i="2"/>
  <c r="Z3065" i="2"/>
  <c r="Y3065" i="2"/>
  <c r="X3065" i="2"/>
  <c r="V3065" i="2"/>
  <c r="U3065" i="2"/>
  <c r="T3065" i="2"/>
  <c r="S3065" i="2"/>
  <c r="R3065" i="2"/>
  <c r="Q3065" i="2"/>
  <c r="P3065" i="2"/>
  <c r="O3065" i="2"/>
  <c r="N3065" i="2"/>
  <c r="K3065" i="2"/>
  <c r="J3065" i="2"/>
  <c r="I3065" i="2"/>
  <c r="H3065" i="2"/>
  <c r="G3065" i="2"/>
  <c r="F3065" i="2"/>
  <c r="E3065" i="2"/>
  <c r="D3065" i="2"/>
  <c r="C3065" i="2"/>
  <c r="B3065" i="2"/>
  <c r="A3065" i="2"/>
  <c r="AX3064" i="2"/>
  <c r="AV3064" i="2"/>
  <c r="AU3064" i="2"/>
  <c r="AR3064" i="2"/>
  <c r="AQ3064" i="2"/>
  <c r="AO3064" i="2"/>
  <c r="AL3064" i="2"/>
  <c r="AK3064" i="2"/>
  <c r="AJ3064" i="2"/>
  <c r="AI3064" i="2"/>
  <c r="AH3064" i="2"/>
  <c r="AG3064" i="2"/>
  <c r="AE3064" i="2"/>
  <c r="AA3064" i="2"/>
  <c r="Z3064" i="2"/>
  <c r="Y3064" i="2"/>
  <c r="V3064" i="2"/>
  <c r="U3064" i="2"/>
  <c r="T3064" i="2"/>
  <c r="S3064" i="2"/>
  <c r="R3064" i="2"/>
  <c r="Q3064" i="2"/>
  <c r="P3064" i="2"/>
  <c r="O3064" i="2"/>
  <c r="N3064" i="2"/>
  <c r="K3064" i="2"/>
  <c r="J3064" i="2"/>
  <c r="I3064" i="2"/>
  <c r="H3064" i="2"/>
  <c r="G3064" i="2"/>
  <c r="F3064" i="2"/>
  <c r="E3064" i="2"/>
  <c r="D3064" i="2"/>
  <c r="C3064" i="2"/>
  <c r="B3064" i="2"/>
  <c r="A3064" i="2"/>
  <c r="AX3063" i="2"/>
  <c r="AV3063" i="2"/>
  <c r="AU3063" i="2"/>
  <c r="AS3063" i="2"/>
  <c r="AR3063" i="2"/>
  <c r="AQ3063" i="2"/>
  <c r="AO3063" i="2"/>
  <c r="AL3063" i="2"/>
  <c r="AK3063" i="2"/>
  <c r="AJ3063" i="2"/>
  <c r="AI3063" i="2"/>
  <c r="AH3063" i="2"/>
  <c r="AG3063" i="2"/>
  <c r="AF3063" i="2"/>
  <c r="AE3063" i="2"/>
  <c r="AD3063" i="2"/>
  <c r="AA3063" i="2"/>
  <c r="Z3063" i="2"/>
  <c r="Y3063" i="2"/>
  <c r="X3063" i="2"/>
  <c r="W3063" i="2"/>
  <c r="V3063" i="2"/>
  <c r="U3063" i="2"/>
  <c r="T3063" i="2"/>
  <c r="S3063" i="2"/>
  <c r="R3063" i="2"/>
  <c r="Q3063" i="2"/>
  <c r="P3063" i="2"/>
  <c r="O3063" i="2"/>
  <c r="N3063" i="2"/>
  <c r="K3063" i="2"/>
  <c r="J3063" i="2"/>
  <c r="I3063" i="2"/>
  <c r="H3063" i="2"/>
  <c r="G3063" i="2"/>
  <c r="F3063" i="2"/>
  <c r="E3063" i="2"/>
  <c r="D3063" i="2"/>
  <c r="C3063" i="2"/>
  <c r="B3063" i="2"/>
  <c r="A3063" i="2"/>
  <c r="AX3062" i="2"/>
  <c r="AV3062" i="2"/>
  <c r="AU3062" i="2"/>
  <c r="AS3062" i="2"/>
  <c r="AR3062" i="2"/>
  <c r="AQ3062" i="2"/>
  <c r="AO3062" i="2"/>
  <c r="AN3062" i="2"/>
  <c r="AM3062" i="2"/>
  <c r="AL3062" i="2"/>
  <c r="AK3062" i="2"/>
  <c r="AJ3062" i="2"/>
  <c r="AI3062" i="2"/>
  <c r="AH3062" i="2"/>
  <c r="AG3062" i="2"/>
  <c r="AE3062" i="2"/>
  <c r="AD3062" i="2"/>
  <c r="AA3062" i="2"/>
  <c r="Z3062" i="2"/>
  <c r="Y3062" i="2"/>
  <c r="X3062" i="2"/>
  <c r="W3062" i="2"/>
  <c r="V3062" i="2"/>
  <c r="U3062" i="2"/>
  <c r="T3062" i="2"/>
  <c r="S3062" i="2"/>
  <c r="R3062" i="2"/>
  <c r="Q3062" i="2"/>
  <c r="P3062" i="2"/>
  <c r="O3062" i="2"/>
  <c r="N3062" i="2"/>
  <c r="K3062" i="2"/>
  <c r="J3062" i="2"/>
  <c r="I3062" i="2"/>
  <c r="H3062" i="2"/>
  <c r="G3062" i="2"/>
  <c r="F3062" i="2"/>
  <c r="E3062" i="2"/>
  <c r="D3062" i="2"/>
  <c r="C3062" i="2"/>
  <c r="B3062" i="2"/>
  <c r="A3062" i="2"/>
  <c r="AX3061" i="2"/>
  <c r="AV3061" i="2"/>
  <c r="AU3061" i="2"/>
  <c r="AS3061" i="2"/>
  <c r="AR3061" i="2"/>
  <c r="AQ3061" i="2"/>
  <c r="AO3061" i="2"/>
  <c r="AL3061" i="2"/>
  <c r="AK3061" i="2"/>
  <c r="AJ3061" i="2"/>
  <c r="AI3061" i="2"/>
  <c r="AH3061" i="2"/>
  <c r="AG3061" i="2"/>
  <c r="AF3061" i="2"/>
  <c r="AE3061" i="2"/>
  <c r="AD3061" i="2"/>
  <c r="AA3061" i="2"/>
  <c r="Z3061" i="2"/>
  <c r="Y3061" i="2"/>
  <c r="X3061" i="2"/>
  <c r="U3061" i="2"/>
  <c r="T3061" i="2"/>
  <c r="S3061" i="2"/>
  <c r="R3061" i="2"/>
  <c r="Q3061" i="2"/>
  <c r="P3061" i="2"/>
  <c r="O3061" i="2"/>
  <c r="N3061" i="2"/>
  <c r="K3061" i="2"/>
  <c r="J3061" i="2"/>
  <c r="I3061" i="2"/>
  <c r="H3061" i="2"/>
  <c r="G3061" i="2"/>
  <c r="F3061" i="2"/>
  <c r="E3061" i="2"/>
  <c r="D3061" i="2"/>
  <c r="C3061" i="2"/>
  <c r="B3061" i="2"/>
  <c r="A3061" i="2"/>
  <c r="AX3060" i="2"/>
  <c r="AV3060" i="2"/>
  <c r="AU3060" i="2"/>
  <c r="AS3060" i="2"/>
  <c r="AR3060" i="2"/>
  <c r="AQ3060" i="2"/>
  <c r="AO3060" i="2"/>
  <c r="AK3060" i="2"/>
  <c r="AJ3060" i="2"/>
  <c r="AI3060" i="2"/>
  <c r="AH3060" i="2"/>
  <c r="AG3060" i="2"/>
  <c r="AE3060" i="2"/>
  <c r="AD3060" i="2"/>
  <c r="AA3060" i="2"/>
  <c r="Z3060" i="2"/>
  <c r="Y3060" i="2"/>
  <c r="X3060" i="2"/>
  <c r="U3060" i="2"/>
  <c r="T3060" i="2"/>
  <c r="S3060" i="2"/>
  <c r="R3060" i="2"/>
  <c r="Q3060" i="2"/>
  <c r="P3060" i="2"/>
  <c r="O3060" i="2"/>
  <c r="N3060" i="2"/>
  <c r="K3060" i="2"/>
  <c r="J3060" i="2"/>
  <c r="I3060" i="2"/>
  <c r="H3060" i="2"/>
  <c r="G3060" i="2"/>
  <c r="F3060" i="2"/>
  <c r="E3060" i="2"/>
  <c r="D3060" i="2"/>
  <c r="C3060" i="2"/>
  <c r="B3060" i="2"/>
  <c r="A3060" i="2"/>
  <c r="AX3059" i="2"/>
  <c r="AV3059" i="2"/>
  <c r="AU3059" i="2"/>
  <c r="AS3059" i="2"/>
  <c r="AR3059" i="2"/>
  <c r="AQ3059" i="2"/>
  <c r="AO3059" i="2"/>
  <c r="AL3059" i="2"/>
  <c r="AK3059" i="2"/>
  <c r="AJ3059" i="2"/>
  <c r="AI3059" i="2"/>
  <c r="AH3059" i="2"/>
  <c r="AG3059" i="2"/>
  <c r="AE3059" i="2"/>
  <c r="AD3059" i="2"/>
  <c r="AA3059" i="2"/>
  <c r="Z3059" i="2"/>
  <c r="Y3059" i="2"/>
  <c r="X3059" i="2"/>
  <c r="W3059" i="2"/>
  <c r="V3059" i="2"/>
  <c r="U3059" i="2"/>
  <c r="T3059" i="2"/>
  <c r="S3059" i="2"/>
  <c r="R3059" i="2"/>
  <c r="Q3059" i="2"/>
  <c r="P3059" i="2"/>
  <c r="O3059" i="2"/>
  <c r="N3059" i="2"/>
  <c r="K3059" i="2"/>
  <c r="J3059" i="2"/>
  <c r="I3059" i="2"/>
  <c r="H3059" i="2"/>
  <c r="G3059" i="2"/>
  <c r="F3059" i="2"/>
  <c r="E3059" i="2"/>
  <c r="D3059" i="2"/>
  <c r="C3059" i="2"/>
  <c r="B3059" i="2"/>
  <c r="A3059" i="2"/>
  <c r="AX3058" i="2"/>
  <c r="AV3058" i="2"/>
  <c r="AU3058" i="2"/>
  <c r="AS3058" i="2"/>
  <c r="AR3058" i="2"/>
  <c r="AQ3058" i="2"/>
  <c r="AO3058" i="2"/>
  <c r="AL3058" i="2"/>
  <c r="AJ3058" i="2"/>
  <c r="AI3058" i="2"/>
  <c r="AH3058" i="2"/>
  <c r="AG3058" i="2"/>
  <c r="AF3058" i="2"/>
  <c r="AE3058" i="2"/>
  <c r="AA3058" i="2"/>
  <c r="Z3058" i="2"/>
  <c r="Y3058" i="2"/>
  <c r="X3058" i="2"/>
  <c r="T3058" i="2"/>
  <c r="S3058" i="2"/>
  <c r="R3058" i="2"/>
  <c r="Q3058" i="2"/>
  <c r="P3058" i="2"/>
  <c r="O3058" i="2"/>
  <c r="N3058" i="2"/>
  <c r="K3058" i="2"/>
  <c r="J3058" i="2"/>
  <c r="I3058" i="2"/>
  <c r="H3058" i="2"/>
  <c r="G3058" i="2"/>
  <c r="F3058" i="2"/>
  <c r="E3058" i="2"/>
  <c r="D3058" i="2"/>
  <c r="C3058" i="2"/>
  <c r="B3058" i="2"/>
  <c r="A3058" i="2"/>
  <c r="AX3057" i="2"/>
  <c r="AV3057" i="2"/>
  <c r="AU3057" i="2"/>
  <c r="AS3057" i="2"/>
  <c r="AR3057" i="2"/>
  <c r="AQ3057" i="2"/>
  <c r="AO3057" i="2"/>
  <c r="AL3057" i="2"/>
  <c r="AK3057" i="2"/>
  <c r="AJ3057" i="2"/>
  <c r="AI3057" i="2"/>
  <c r="AH3057" i="2"/>
  <c r="AG3057" i="2"/>
  <c r="AF3057" i="2"/>
  <c r="AE3057" i="2"/>
  <c r="AD3057" i="2"/>
  <c r="AA3057" i="2"/>
  <c r="Z3057" i="2"/>
  <c r="Y3057" i="2"/>
  <c r="X3057" i="2"/>
  <c r="U3057" i="2"/>
  <c r="T3057" i="2"/>
  <c r="S3057" i="2"/>
  <c r="R3057" i="2"/>
  <c r="Q3057" i="2"/>
  <c r="P3057" i="2"/>
  <c r="O3057" i="2"/>
  <c r="N3057" i="2"/>
  <c r="K3057" i="2"/>
  <c r="J3057" i="2"/>
  <c r="I3057" i="2"/>
  <c r="H3057" i="2"/>
  <c r="G3057" i="2"/>
  <c r="F3057" i="2"/>
  <c r="E3057" i="2"/>
  <c r="D3057" i="2"/>
  <c r="C3057" i="2"/>
  <c r="B3057" i="2"/>
  <c r="A3057" i="2"/>
  <c r="AX3056" i="2"/>
  <c r="AV3056" i="2"/>
  <c r="AU3056" i="2"/>
  <c r="AS3056" i="2"/>
  <c r="AR3056" i="2"/>
  <c r="AQ3056" i="2"/>
  <c r="AP3056" i="2"/>
  <c r="AO3056" i="2"/>
  <c r="AL3056" i="2"/>
  <c r="AK3056" i="2"/>
  <c r="AJ3056" i="2"/>
  <c r="AI3056" i="2"/>
  <c r="AH3056" i="2"/>
  <c r="AG3056" i="2"/>
  <c r="AF3056" i="2"/>
  <c r="AE3056" i="2"/>
  <c r="AD3056" i="2"/>
  <c r="AA3056" i="2"/>
  <c r="Z3056" i="2"/>
  <c r="Y3056" i="2"/>
  <c r="X3056" i="2"/>
  <c r="W3056" i="2"/>
  <c r="V3056" i="2"/>
  <c r="U3056" i="2"/>
  <c r="T3056" i="2"/>
  <c r="S3056" i="2"/>
  <c r="R3056" i="2"/>
  <c r="Q3056" i="2"/>
  <c r="P3056" i="2"/>
  <c r="O3056" i="2"/>
  <c r="N3056" i="2"/>
  <c r="K3056" i="2"/>
  <c r="J3056" i="2"/>
  <c r="I3056" i="2"/>
  <c r="H3056" i="2"/>
  <c r="G3056" i="2"/>
  <c r="F3056" i="2"/>
  <c r="E3056" i="2"/>
  <c r="D3056" i="2"/>
  <c r="C3056" i="2"/>
  <c r="B3056" i="2"/>
  <c r="A3056" i="2"/>
  <c r="AX3055" i="2"/>
  <c r="AV3055" i="2"/>
  <c r="AU3055" i="2"/>
  <c r="AS3055" i="2"/>
  <c r="AR3055" i="2"/>
  <c r="AQ3055" i="2"/>
  <c r="AP3055" i="2"/>
  <c r="AO3055" i="2"/>
  <c r="AN3055" i="2"/>
  <c r="AM3055" i="2"/>
  <c r="AL3055" i="2"/>
  <c r="AK3055" i="2"/>
  <c r="AI3055" i="2"/>
  <c r="AH3055" i="2"/>
  <c r="AG3055" i="2"/>
  <c r="AE3055" i="2"/>
  <c r="AD3055" i="2"/>
  <c r="AC3055" i="2"/>
  <c r="AA3055" i="2"/>
  <c r="Z3055" i="2"/>
  <c r="Y3055" i="2"/>
  <c r="U3055" i="2"/>
  <c r="T3055" i="2"/>
  <c r="S3055" i="2"/>
  <c r="R3055" i="2"/>
  <c r="Q3055" i="2"/>
  <c r="P3055" i="2"/>
  <c r="O3055" i="2"/>
  <c r="N3055" i="2"/>
  <c r="K3055" i="2"/>
  <c r="J3055" i="2"/>
  <c r="I3055" i="2"/>
  <c r="H3055" i="2"/>
  <c r="G3055" i="2"/>
  <c r="F3055" i="2"/>
  <c r="E3055" i="2"/>
  <c r="D3055" i="2"/>
  <c r="C3055" i="2"/>
  <c r="B3055" i="2"/>
  <c r="A3055" i="2"/>
  <c r="AX3054" i="2"/>
  <c r="AV3054" i="2"/>
  <c r="AU3054" i="2"/>
  <c r="AS3054" i="2"/>
  <c r="AR3054" i="2"/>
  <c r="AQ3054" i="2"/>
  <c r="AO3054" i="2"/>
  <c r="AL3054" i="2"/>
  <c r="AK3054" i="2"/>
  <c r="AJ3054" i="2"/>
  <c r="AI3054" i="2"/>
  <c r="AH3054" i="2"/>
  <c r="AG3054" i="2"/>
  <c r="AE3054" i="2"/>
  <c r="AD3054" i="2"/>
  <c r="AA3054" i="2"/>
  <c r="Z3054" i="2"/>
  <c r="Y3054" i="2"/>
  <c r="X3054" i="2"/>
  <c r="U3054" i="2"/>
  <c r="T3054" i="2"/>
  <c r="S3054" i="2"/>
  <c r="R3054" i="2"/>
  <c r="Q3054" i="2"/>
  <c r="P3054" i="2"/>
  <c r="O3054" i="2"/>
  <c r="N3054" i="2"/>
  <c r="K3054" i="2"/>
  <c r="J3054" i="2"/>
  <c r="I3054" i="2"/>
  <c r="H3054" i="2"/>
  <c r="G3054" i="2"/>
  <c r="F3054" i="2"/>
  <c r="E3054" i="2"/>
  <c r="D3054" i="2"/>
  <c r="C3054" i="2"/>
  <c r="B3054" i="2"/>
  <c r="A3054" i="2"/>
  <c r="AX3053" i="2"/>
  <c r="AV3053" i="2"/>
  <c r="AU3053" i="2"/>
  <c r="AR3053" i="2"/>
  <c r="AQ3053" i="2"/>
  <c r="AO3053" i="2"/>
  <c r="AM3053" i="2"/>
  <c r="AL3053" i="2"/>
  <c r="AK3053" i="2"/>
  <c r="AJ3053" i="2"/>
  <c r="AI3053" i="2"/>
  <c r="AH3053" i="2"/>
  <c r="AG3053" i="2"/>
  <c r="AE3053" i="2"/>
  <c r="AD3053" i="2"/>
  <c r="AA3053" i="2"/>
  <c r="Z3053" i="2"/>
  <c r="Y3053" i="2"/>
  <c r="V3053" i="2"/>
  <c r="U3053" i="2"/>
  <c r="T3053" i="2"/>
  <c r="S3053" i="2"/>
  <c r="R3053" i="2"/>
  <c r="Q3053" i="2"/>
  <c r="P3053" i="2"/>
  <c r="O3053" i="2"/>
  <c r="N3053" i="2"/>
  <c r="K3053" i="2"/>
  <c r="J3053" i="2"/>
  <c r="I3053" i="2"/>
  <c r="H3053" i="2"/>
  <c r="G3053" i="2"/>
  <c r="F3053" i="2"/>
  <c r="E3053" i="2"/>
  <c r="D3053" i="2"/>
  <c r="C3053" i="2"/>
  <c r="B3053" i="2"/>
  <c r="A3053" i="2"/>
  <c r="AX3052" i="2"/>
  <c r="AV3052" i="2"/>
  <c r="AU3052" i="2"/>
  <c r="AS3052" i="2"/>
  <c r="AR3052" i="2"/>
  <c r="AQ3052" i="2"/>
  <c r="AP3052" i="2"/>
  <c r="AO3052" i="2"/>
  <c r="AN3052" i="2"/>
  <c r="AL3052" i="2"/>
  <c r="AK3052" i="2"/>
  <c r="AJ3052" i="2"/>
  <c r="AI3052" i="2"/>
  <c r="AH3052" i="2"/>
  <c r="AG3052" i="2"/>
  <c r="AE3052" i="2"/>
  <c r="AD3052" i="2"/>
  <c r="AC3052" i="2"/>
  <c r="AA3052" i="2"/>
  <c r="Z3052" i="2"/>
  <c r="Y3052" i="2"/>
  <c r="X3052" i="2"/>
  <c r="W3052" i="2"/>
  <c r="V3052" i="2"/>
  <c r="U3052" i="2"/>
  <c r="T3052" i="2"/>
  <c r="S3052" i="2"/>
  <c r="R3052" i="2"/>
  <c r="Q3052" i="2"/>
  <c r="P3052" i="2"/>
  <c r="O3052" i="2"/>
  <c r="N3052" i="2"/>
  <c r="K3052" i="2"/>
  <c r="J3052" i="2"/>
  <c r="I3052" i="2"/>
  <c r="H3052" i="2"/>
  <c r="G3052" i="2"/>
  <c r="F3052" i="2"/>
  <c r="E3052" i="2"/>
  <c r="D3052" i="2"/>
  <c r="C3052" i="2"/>
  <c r="B3052" i="2"/>
  <c r="A3052" i="2"/>
  <c r="AX3051" i="2"/>
  <c r="AV3051" i="2"/>
  <c r="AU3051" i="2"/>
  <c r="AR3051" i="2"/>
  <c r="AQ3051" i="2"/>
  <c r="AO3051" i="2"/>
  <c r="AL3051" i="2"/>
  <c r="AJ3051" i="2"/>
  <c r="AI3051" i="2"/>
  <c r="AH3051" i="2"/>
  <c r="AG3051" i="2"/>
  <c r="AE3051" i="2"/>
  <c r="AA3051" i="2"/>
  <c r="Z3051" i="2"/>
  <c r="Y3051" i="2"/>
  <c r="X3051" i="2"/>
  <c r="W3051" i="2"/>
  <c r="V3051" i="2"/>
  <c r="U3051" i="2"/>
  <c r="T3051" i="2"/>
  <c r="S3051" i="2"/>
  <c r="R3051" i="2"/>
  <c r="Q3051" i="2"/>
  <c r="P3051" i="2"/>
  <c r="O3051" i="2"/>
  <c r="N3051" i="2"/>
  <c r="K3051" i="2"/>
  <c r="J3051" i="2"/>
  <c r="I3051" i="2"/>
  <c r="H3051" i="2"/>
  <c r="G3051" i="2"/>
  <c r="F3051" i="2"/>
  <c r="E3051" i="2"/>
  <c r="D3051" i="2"/>
  <c r="C3051" i="2"/>
  <c r="B3051" i="2"/>
  <c r="A3051" i="2"/>
  <c r="AX3050" i="2"/>
  <c r="AV3050" i="2"/>
  <c r="AU3050" i="2"/>
  <c r="AS3050" i="2"/>
  <c r="AR3050" i="2"/>
  <c r="AQ3050" i="2"/>
  <c r="AO3050" i="2"/>
  <c r="AL3050" i="2"/>
  <c r="AK3050" i="2"/>
  <c r="AJ3050" i="2"/>
  <c r="AI3050" i="2"/>
  <c r="AH3050" i="2"/>
  <c r="AG3050" i="2"/>
  <c r="AD3050" i="2"/>
  <c r="AA3050" i="2"/>
  <c r="Z3050" i="2"/>
  <c r="Y3050" i="2"/>
  <c r="X3050" i="2"/>
  <c r="V3050" i="2"/>
  <c r="U3050" i="2"/>
  <c r="T3050" i="2"/>
  <c r="S3050" i="2"/>
  <c r="R3050" i="2"/>
  <c r="Q3050" i="2"/>
  <c r="P3050" i="2"/>
  <c r="O3050" i="2"/>
  <c r="N3050" i="2"/>
  <c r="K3050" i="2"/>
  <c r="J3050" i="2"/>
  <c r="I3050" i="2"/>
  <c r="H3050" i="2"/>
  <c r="G3050" i="2"/>
  <c r="F3050" i="2"/>
  <c r="E3050" i="2"/>
  <c r="D3050" i="2"/>
  <c r="C3050" i="2"/>
  <c r="B3050" i="2"/>
  <c r="A3050" i="2"/>
  <c r="AX3049" i="2"/>
  <c r="AV3049" i="2"/>
  <c r="AU3049" i="2"/>
  <c r="AS3049" i="2"/>
  <c r="AR3049" i="2"/>
  <c r="AQ3049" i="2"/>
  <c r="AO3049" i="2"/>
  <c r="AL3049" i="2"/>
  <c r="AK3049" i="2"/>
  <c r="AJ3049" i="2"/>
  <c r="AI3049" i="2"/>
  <c r="AH3049" i="2"/>
  <c r="AG3049" i="2"/>
  <c r="AE3049" i="2"/>
  <c r="AD3049" i="2"/>
  <c r="AA3049" i="2"/>
  <c r="Z3049" i="2"/>
  <c r="Y3049" i="2"/>
  <c r="X3049" i="2"/>
  <c r="V3049" i="2"/>
  <c r="U3049" i="2"/>
  <c r="T3049" i="2"/>
  <c r="S3049" i="2"/>
  <c r="R3049" i="2"/>
  <c r="Q3049" i="2"/>
  <c r="P3049" i="2"/>
  <c r="O3049" i="2"/>
  <c r="N3049" i="2"/>
  <c r="K3049" i="2"/>
  <c r="J3049" i="2"/>
  <c r="I3049" i="2"/>
  <c r="H3049" i="2"/>
  <c r="G3049" i="2"/>
  <c r="F3049" i="2"/>
  <c r="E3049" i="2"/>
  <c r="D3049" i="2"/>
  <c r="C3049" i="2"/>
  <c r="B3049" i="2"/>
  <c r="A3049" i="2"/>
  <c r="AX3048" i="2"/>
  <c r="AV3048" i="2"/>
  <c r="AU3048" i="2"/>
  <c r="AS3048" i="2"/>
  <c r="AR3048" i="2"/>
  <c r="AQ3048" i="2"/>
  <c r="AO3048" i="2"/>
  <c r="AL3048" i="2"/>
  <c r="AK3048" i="2"/>
  <c r="AI3048" i="2"/>
  <c r="AH3048" i="2"/>
  <c r="AG3048" i="2"/>
  <c r="AE3048" i="2"/>
  <c r="AD3048" i="2"/>
  <c r="AA3048" i="2"/>
  <c r="Z3048" i="2"/>
  <c r="Y3048" i="2"/>
  <c r="U3048" i="2"/>
  <c r="T3048" i="2"/>
  <c r="S3048" i="2"/>
  <c r="R3048" i="2"/>
  <c r="Q3048" i="2"/>
  <c r="P3048" i="2"/>
  <c r="O3048" i="2"/>
  <c r="N3048" i="2"/>
  <c r="K3048" i="2"/>
  <c r="J3048" i="2"/>
  <c r="I3048" i="2"/>
  <c r="H3048" i="2"/>
  <c r="G3048" i="2"/>
  <c r="F3048" i="2"/>
  <c r="E3048" i="2"/>
  <c r="D3048" i="2"/>
  <c r="C3048" i="2"/>
  <c r="B3048" i="2"/>
  <c r="A3048" i="2"/>
  <c r="AX3047" i="2"/>
  <c r="AV3047" i="2"/>
  <c r="AU3047" i="2"/>
  <c r="AS3047" i="2"/>
  <c r="AR3047" i="2"/>
  <c r="AQ3047" i="2"/>
  <c r="AO3047" i="2"/>
  <c r="AL3047" i="2"/>
  <c r="AI3047" i="2"/>
  <c r="AH3047" i="2"/>
  <c r="AG3047" i="2"/>
  <c r="AE3047" i="2"/>
  <c r="AA3047" i="2"/>
  <c r="Z3047" i="2"/>
  <c r="Y3047" i="2"/>
  <c r="X3047" i="2"/>
  <c r="U3047" i="2"/>
  <c r="T3047" i="2"/>
  <c r="S3047" i="2"/>
  <c r="R3047" i="2"/>
  <c r="Q3047" i="2"/>
  <c r="P3047" i="2"/>
  <c r="O3047" i="2"/>
  <c r="N3047" i="2"/>
  <c r="K3047" i="2"/>
  <c r="J3047" i="2"/>
  <c r="I3047" i="2"/>
  <c r="H3047" i="2"/>
  <c r="G3047" i="2"/>
  <c r="F3047" i="2"/>
  <c r="E3047" i="2"/>
  <c r="D3047" i="2"/>
  <c r="C3047" i="2"/>
  <c r="B3047" i="2"/>
  <c r="A3047" i="2"/>
  <c r="AX3046" i="2"/>
  <c r="AV3046" i="2"/>
  <c r="AU3046" i="2"/>
  <c r="AR3046" i="2"/>
  <c r="AQ3046" i="2"/>
  <c r="AO3046" i="2"/>
  <c r="AL3046" i="2"/>
  <c r="AK3046" i="2"/>
  <c r="AJ3046" i="2"/>
  <c r="AI3046" i="2"/>
  <c r="AH3046" i="2"/>
  <c r="AG3046" i="2"/>
  <c r="AE3046" i="2"/>
  <c r="AD3046" i="2"/>
  <c r="AA3046" i="2"/>
  <c r="Z3046" i="2"/>
  <c r="Y3046" i="2"/>
  <c r="X3046" i="2"/>
  <c r="V3046" i="2"/>
  <c r="U3046" i="2"/>
  <c r="T3046" i="2"/>
  <c r="S3046" i="2"/>
  <c r="R3046" i="2"/>
  <c r="Q3046" i="2"/>
  <c r="P3046" i="2"/>
  <c r="O3046" i="2"/>
  <c r="N3046" i="2"/>
  <c r="K3046" i="2"/>
  <c r="J3046" i="2"/>
  <c r="I3046" i="2"/>
  <c r="H3046" i="2"/>
  <c r="G3046" i="2"/>
  <c r="F3046" i="2"/>
  <c r="E3046" i="2"/>
  <c r="D3046" i="2"/>
  <c r="C3046" i="2"/>
  <c r="B3046" i="2"/>
  <c r="A3046" i="2"/>
  <c r="AX3045" i="2"/>
  <c r="AV3045" i="2"/>
  <c r="AU3045" i="2"/>
  <c r="AS3045" i="2"/>
  <c r="AR3045" i="2"/>
  <c r="AQ3045" i="2"/>
  <c r="AO3045" i="2"/>
  <c r="AL3045" i="2"/>
  <c r="AK3045" i="2"/>
  <c r="AJ3045" i="2"/>
  <c r="AI3045" i="2"/>
  <c r="AH3045" i="2"/>
  <c r="AG3045" i="2"/>
  <c r="AF3045" i="2"/>
  <c r="AE3045" i="2"/>
  <c r="AD3045" i="2"/>
  <c r="AA3045" i="2"/>
  <c r="Z3045" i="2"/>
  <c r="Y3045" i="2"/>
  <c r="X3045" i="2"/>
  <c r="V3045" i="2"/>
  <c r="U3045" i="2"/>
  <c r="T3045" i="2"/>
  <c r="S3045" i="2"/>
  <c r="R3045" i="2"/>
  <c r="Q3045" i="2"/>
  <c r="P3045" i="2"/>
  <c r="O3045" i="2"/>
  <c r="N3045" i="2"/>
  <c r="K3045" i="2"/>
  <c r="J3045" i="2"/>
  <c r="I3045" i="2"/>
  <c r="H3045" i="2"/>
  <c r="G3045" i="2"/>
  <c r="F3045" i="2"/>
  <c r="E3045" i="2"/>
  <c r="D3045" i="2"/>
  <c r="C3045" i="2"/>
  <c r="B3045" i="2"/>
  <c r="A3045" i="2"/>
  <c r="AX3044" i="2"/>
  <c r="AV3044" i="2"/>
  <c r="AU3044" i="2"/>
  <c r="AS3044" i="2"/>
  <c r="AR3044" i="2"/>
  <c r="AQ3044" i="2"/>
  <c r="AO3044" i="2"/>
  <c r="AL3044" i="2"/>
  <c r="AK3044" i="2"/>
  <c r="AJ3044" i="2"/>
  <c r="AI3044" i="2"/>
  <c r="AH3044" i="2"/>
  <c r="AG3044" i="2"/>
  <c r="AE3044" i="2"/>
  <c r="AD3044" i="2"/>
  <c r="AA3044" i="2"/>
  <c r="Z3044" i="2"/>
  <c r="Y3044" i="2"/>
  <c r="X3044" i="2"/>
  <c r="W3044" i="2"/>
  <c r="V3044" i="2"/>
  <c r="U3044" i="2"/>
  <c r="T3044" i="2"/>
  <c r="S3044" i="2"/>
  <c r="R3044" i="2"/>
  <c r="Q3044" i="2"/>
  <c r="P3044" i="2"/>
  <c r="O3044" i="2"/>
  <c r="N3044" i="2"/>
  <c r="K3044" i="2"/>
  <c r="J3044" i="2"/>
  <c r="I3044" i="2"/>
  <c r="H3044" i="2"/>
  <c r="G3044" i="2"/>
  <c r="F3044" i="2"/>
  <c r="E3044" i="2"/>
  <c r="D3044" i="2"/>
  <c r="C3044" i="2"/>
  <c r="B3044" i="2"/>
  <c r="A3044" i="2"/>
  <c r="AX3043" i="2"/>
  <c r="AV3043" i="2"/>
  <c r="AU3043" i="2"/>
  <c r="AR3043" i="2"/>
  <c r="AQ3043" i="2"/>
  <c r="AO3043" i="2"/>
  <c r="AL3043" i="2"/>
  <c r="AK3043" i="2"/>
  <c r="AJ3043" i="2"/>
  <c r="AI3043" i="2"/>
  <c r="AH3043" i="2"/>
  <c r="AG3043" i="2"/>
  <c r="AE3043" i="2"/>
  <c r="AD3043" i="2"/>
  <c r="AA3043" i="2"/>
  <c r="Z3043" i="2"/>
  <c r="Y3043" i="2"/>
  <c r="X3043" i="2"/>
  <c r="W3043" i="2"/>
  <c r="V3043" i="2"/>
  <c r="U3043" i="2"/>
  <c r="T3043" i="2"/>
  <c r="S3043" i="2"/>
  <c r="R3043" i="2"/>
  <c r="Q3043" i="2"/>
  <c r="P3043" i="2"/>
  <c r="O3043" i="2"/>
  <c r="N3043" i="2"/>
  <c r="K3043" i="2"/>
  <c r="J3043" i="2"/>
  <c r="I3043" i="2"/>
  <c r="H3043" i="2"/>
  <c r="G3043" i="2"/>
  <c r="F3043" i="2"/>
  <c r="E3043" i="2"/>
  <c r="D3043" i="2"/>
  <c r="C3043" i="2"/>
  <c r="B3043" i="2"/>
  <c r="A3043" i="2"/>
  <c r="AX3042" i="2"/>
  <c r="AV3042" i="2"/>
  <c r="AU3042" i="2"/>
  <c r="AS3042" i="2"/>
  <c r="AR3042" i="2"/>
  <c r="AQ3042" i="2"/>
  <c r="AO3042" i="2"/>
  <c r="AL3042" i="2"/>
  <c r="AK3042" i="2"/>
  <c r="AJ3042" i="2"/>
  <c r="AI3042" i="2"/>
  <c r="AH3042" i="2"/>
  <c r="AG3042" i="2"/>
  <c r="AF3042" i="2"/>
  <c r="AE3042" i="2"/>
  <c r="AD3042" i="2"/>
  <c r="AA3042" i="2"/>
  <c r="Z3042" i="2"/>
  <c r="Y3042" i="2"/>
  <c r="X3042" i="2"/>
  <c r="W3042" i="2"/>
  <c r="V3042" i="2"/>
  <c r="U3042" i="2"/>
  <c r="T3042" i="2"/>
  <c r="S3042" i="2"/>
  <c r="R3042" i="2"/>
  <c r="Q3042" i="2"/>
  <c r="P3042" i="2"/>
  <c r="O3042" i="2"/>
  <c r="N3042" i="2"/>
  <c r="K3042" i="2"/>
  <c r="J3042" i="2"/>
  <c r="I3042" i="2"/>
  <c r="H3042" i="2"/>
  <c r="G3042" i="2"/>
  <c r="F3042" i="2"/>
  <c r="E3042" i="2"/>
  <c r="D3042" i="2"/>
  <c r="C3042" i="2"/>
  <c r="B3042" i="2"/>
  <c r="A3042" i="2"/>
  <c r="AX3041" i="2"/>
  <c r="AV3041" i="2"/>
  <c r="AU3041" i="2"/>
  <c r="AR3041" i="2"/>
  <c r="AQ3041" i="2"/>
  <c r="AO3041" i="2"/>
  <c r="AL3041" i="2"/>
  <c r="AK3041" i="2"/>
  <c r="AJ3041" i="2"/>
  <c r="AI3041" i="2"/>
  <c r="AH3041" i="2"/>
  <c r="AG3041" i="2"/>
  <c r="AE3041" i="2"/>
  <c r="AD3041" i="2"/>
  <c r="AA3041" i="2"/>
  <c r="Z3041" i="2"/>
  <c r="Y3041" i="2"/>
  <c r="X3041" i="2"/>
  <c r="W3041" i="2"/>
  <c r="V3041" i="2"/>
  <c r="U3041" i="2"/>
  <c r="T3041" i="2"/>
  <c r="S3041" i="2"/>
  <c r="R3041" i="2"/>
  <c r="Q3041" i="2"/>
  <c r="P3041" i="2"/>
  <c r="O3041" i="2"/>
  <c r="N3041" i="2"/>
  <c r="K3041" i="2"/>
  <c r="J3041" i="2"/>
  <c r="I3041" i="2"/>
  <c r="H3041" i="2"/>
  <c r="G3041" i="2"/>
  <c r="F3041" i="2"/>
  <c r="E3041" i="2"/>
  <c r="D3041" i="2"/>
  <c r="C3041" i="2"/>
  <c r="B3041" i="2"/>
  <c r="A3041" i="2"/>
  <c r="AX3040" i="2"/>
  <c r="AV3040" i="2"/>
  <c r="AU3040" i="2"/>
  <c r="AS3040" i="2"/>
  <c r="AR3040" i="2"/>
  <c r="AQ3040" i="2"/>
  <c r="AP3040" i="2"/>
  <c r="AO3040" i="2"/>
  <c r="AN3040" i="2"/>
  <c r="AM3040" i="2"/>
  <c r="AL3040" i="2"/>
  <c r="AK3040" i="2"/>
  <c r="AJ3040" i="2"/>
  <c r="AI3040" i="2"/>
  <c r="AH3040" i="2"/>
  <c r="AG3040" i="2"/>
  <c r="AE3040" i="2"/>
  <c r="AD3040" i="2"/>
  <c r="AA3040" i="2"/>
  <c r="Z3040" i="2"/>
  <c r="Y3040" i="2"/>
  <c r="X3040" i="2"/>
  <c r="W3040" i="2"/>
  <c r="V3040" i="2"/>
  <c r="U3040" i="2"/>
  <c r="T3040" i="2"/>
  <c r="S3040" i="2"/>
  <c r="R3040" i="2"/>
  <c r="Q3040" i="2"/>
  <c r="P3040" i="2"/>
  <c r="O3040" i="2"/>
  <c r="N3040" i="2"/>
  <c r="K3040" i="2"/>
  <c r="J3040" i="2"/>
  <c r="I3040" i="2"/>
  <c r="H3040" i="2"/>
  <c r="G3040" i="2"/>
  <c r="F3040" i="2"/>
  <c r="E3040" i="2"/>
  <c r="D3040" i="2"/>
  <c r="C3040" i="2"/>
  <c r="B3040" i="2"/>
  <c r="A3040" i="2"/>
  <c r="AX3039" i="2"/>
  <c r="AV3039" i="2"/>
  <c r="AU3039" i="2"/>
  <c r="AS3039" i="2"/>
  <c r="AR3039" i="2"/>
  <c r="AQ3039" i="2"/>
  <c r="AO3039" i="2"/>
  <c r="AL3039" i="2"/>
  <c r="AK3039" i="2"/>
  <c r="AJ3039" i="2"/>
  <c r="AI3039" i="2"/>
  <c r="AH3039" i="2"/>
  <c r="AG3039" i="2"/>
  <c r="AE3039" i="2"/>
  <c r="AD3039" i="2"/>
  <c r="AA3039" i="2"/>
  <c r="Z3039" i="2"/>
  <c r="Y3039" i="2"/>
  <c r="X3039" i="2"/>
  <c r="V3039" i="2"/>
  <c r="U3039" i="2"/>
  <c r="T3039" i="2"/>
  <c r="S3039" i="2"/>
  <c r="R3039" i="2"/>
  <c r="Q3039" i="2"/>
  <c r="P3039" i="2"/>
  <c r="O3039" i="2"/>
  <c r="N3039" i="2"/>
  <c r="K3039" i="2"/>
  <c r="J3039" i="2"/>
  <c r="I3039" i="2"/>
  <c r="H3039" i="2"/>
  <c r="G3039" i="2"/>
  <c r="F3039" i="2"/>
  <c r="E3039" i="2"/>
  <c r="D3039" i="2"/>
  <c r="C3039" i="2"/>
  <c r="B3039" i="2"/>
  <c r="A3039" i="2"/>
  <c r="AX3038" i="2"/>
  <c r="AV3038" i="2"/>
  <c r="AU3038" i="2"/>
  <c r="AS3038" i="2"/>
  <c r="AR3038" i="2"/>
  <c r="AQ3038" i="2"/>
  <c r="AP3038" i="2"/>
  <c r="AO3038" i="2"/>
  <c r="AN3038" i="2"/>
  <c r="AM3038" i="2"/>
  <c r="AL3038" i="2"/>
  <c r="AK3038" i="2"/>
  <c r="AJ3038" i="2"/>
  <c r="AI3038" i="2"/>
  <c r="AH3038" i="2"/>
  <c r="AG3038" i="2"/>
  <c r="AE3038" i="2"/>
  <c r="AD3038" i="2"/>
  <c r="AC3038" i="2"/>
  <c r="AA3038" i="2"/>
  <c r="Z3038" i="2"/>
  <c r="Y3038" i="2"/>
  <c r="X3038" i="2"/>
  <c r="V3038" i="2"/>
  <c r="U3038" i="2"/>
  <c r="T3038" i="2"/>
  <c r="S3038" i="2"/>
  <c r="R3038" i="2"/>
  <c r="Q3038" i="2"/>
  <c r="P3038" i="2"/>
  <c r="O3038" i="2"/>
  <c r="N3038" i="2"/>
  <c r="K3038" i="2"/>
  <c r="J3038" i="2"/>
  <c r="I3038" i="2"/>
  <c r="H3038" i="2"/>
  <c r="G3038" i="2"/>
  <c r="F3038" i="2"/>
  <c r="E3038" i="2"/>
  <c r="D3038" i="2"/>
  <c r="C3038" i="2"/>
  <c r="B3038" i="2"/>
  <c r="A3038" i="2"/>
  <c r="AX3037" i="2"/>
  <c r="AV3037" i="2"/>
  <c r="AU3037" i="2"/>
  <c r="AR3037" i="2"/>
  <c r="AQ3037" i="2"/>
  <c r="AO3037" i="2"/>
  <c r="AL3037" i="2"/>
  <c r="AK3037" i="2"/>
  <c r="AJ3037" i="2"/>
  <c r="AI3037" i="2"/>
  <c r="AH3037" i="2"/>
  <c r="AG3037" i="2"/>
  <c r="AE3037" i="2"/>
  <c r="AA3037" i="2"/>
  <c r="Z3037" i="2"/>
  <c r="Y3037" i="2"/>
  <c r="X3037" i="2"/>
  <c r="V3037" i="2"/>
  <c r="U3037" i="2"/>
  <c r="T3037" i="2"/>
  <c r="S3037" i="2"/>
  <c r="R3037" i="2"/>
  <c r="Q3037" i="2"/>
  <c r="P3037" i="2"/>
  <c r="O3037" i="2"/>
  <c r="N3037" i="2"/>
  <c r="K3037" i="2"/>
  <c r="J3037" i="2"/>
  <c r="I3037" i="2"/>
  <c r="H3037" i="2"/>
  <c r="G3037" i="2"/>
  <c r="F3037" i="2"/>
  <c r="E3037" i="2"/>
  <c r="D3037" i="2"/>
  <c r="C3037" i="2"/>
  <c r="B3037" i="2"/>
  <c r="A3037" i="2"/>
  <c r="AX3036" i="2"/>
  <c r="AV3036" i="2"/>
  <c r="AU3036" i="2"/>
  <c r="AS3036" i="2"/>
  <c r="AR3036" i="2"/>
  <c r="AQ3036" i="2"/>
  <c r="AP3036" i="2"/>
  <c r="AO3036" i="2"/>
  <c r="AL3036" i="2"/>
  <c r="AK3036" i="2"/>
  <c r="AJ3036" i="2"/>
  <c r="AI3036" i="2"/>
  <c r="AH3036" i="2"/>
  <c r="AG3036" i="2"/>
  <c r="AF3036" i="2"/>
  <c r="AE3036" i="2"/>
  <c r="AD3036" i="2"/>
  <c r="AA3036" i="2"/>
  <c r="Z3036" i="2"/>
  <c r="Y3036" i="2"/>
  <c r="X3036" i="2"/>
  <c r="V3036" i="2"/>
  <c r="U3036" i="2"/>
  <c r="T3036" i="2"/>
  <c r="S3036" i="2"/>
  <c r="R3036" i="2"/>
  <c r="Q3036" i="2"/>
  <c r="P3036" i="2"/>
  <c r="O3036" i="2"/>
  <c r="N3036" i="2"/>
  <c r="K3036" i="2"/>
  <c r="J3036" i="2"/>
  <c r="I3036" i="2"/>
  <c r="H3036" i="2"/>
  <c r="G3036" i="2"/>
  <c r="F3036" i="2"/>
  <c r="E3036" i="2"/>
  <c r="D3036" i="2"/>
  <c r="C3036" i="2"/>
  <c r="B3036" i="2"/>
  <c r="A3036" i="2"/>
  <c r="AX3035" i="2"/>
  <c r="AV3035" i="2"/>
  <c r="AU3035" i="2"/>
  <c r="AS3035" i="2"/>
  <c r="AR3035" i="2"/>
  <c r="AQ3035" i="2"/>
  <c r="AO3035" i="2"/>
  <c r="AN3035" i="2"/>
  <c r="AM3035" i="2"/>
  <c r="AL3035" i="2"/>
  <c r="AK3035" i="2"/>
  <c r="AJ3035" i="2"/>
  <c r="AI3035" i="2"/>
  <c r="AH3035" i="2"/>
  <c r="AG3035" i="2"/>
  <c r="AE3035" i="2"/>
  <c r="AD3035" i="2"/>
  <c r="AC3035" i="2"/>
  <c r="AA3035" i="2"/>
  <c r="Z3035" i="2"/>
  <c r="Y3035" i="2"/>
  <c r="X3035" i="2"/>
  <c r="V3035" i="2"/>
  <c r="U3035" i="2"/>
  <c r="T3035" i="2"/>
  <c r="S3035" i="2"/>
  <c r="R3035" i="2"/>
  <c r="Q3035" i="2"/>
  <c r="P3035" i="2"/>
  <c r="O3035" i="2"/>
  <c r="N3035" i="2"/>
  <c r="K3035" i="2"/>
  <c r="J3035" i="2"/>
  <c r="I3035" i="2"/>
  <c r="H3035" i="2"/>
  <c r="G3035" i="2"/>
  <c r="F3035" i="2"/>
  <c r="E3035" i="2"/>
  <c r="D3035" i="2"/>
  <c r="C3035" i="2"/>
  <c r="B3035" i="2"/>
  <c r="A3035" i="2"/>
  <c r="AX3034" i="2"/>
  <c r="AV3034" i="2"/>
  <c r="AU3034" i="2"/>
  <c r="AS3034" i="2"/>
  <c r="AR3034" i="2"/>
  <c r="AQ3034" i="2"/>
  <c r="AO3034" i="2"/>
  <c r="AL3034" i="2"/>
  <c r="AK3034" i="2"/>
  <c r="AJ3034" i="2"/>
  <c r="AI3034" i="2"/>
  <c r="AH3034" i="2"/>
  <c r="AG3034" i="2"/>
  <c r="AE3034" i="2"/>
  <c r="AD3034" i="2"/>
  <c r="AA3034" i="2"/>
  <c r="Z3034" i="2"/>
  <c r="Y3034" i="2"/>
  <c r="X3034" i="2"/>
  <c r="W3034" i="2"/>
  <c r="V3034" i="2"/>
  <c r="U3034" i="2"/>
  <c r="T3034" i="2"/>
  <c r="S3034" i="2"/>
  <c r="R3034" i="2"/>
  <c r="Q3034" i="2"/>
  <c r="P3034" i="2"/>
  <c r="O3034" i="2"/>
  <c r="N3034" i="2"/>
  <c r="K3034" i="2"/>
  <c r="J3034" i="2"/>
  <c r="I3034" i="2"/>
  <c r="H3034" i="2"/>
  <c r="G3034" i="2"/>
  <c r="F3034" i="2"/>
  <c r="E3034" i="2"/>
  <c r="D3034" i="2"/>
  <c r="C3034" i="2"/>
  <c r="B3034" i="2"/>
  <c r="A3034" i="2"/>
  <c r="AX3033" i="2"/>
  <c r="AV3033" i="2"/>
  <c r="AU3033" i="2"/>
  <c r="AS3033" i="2"/>
  <c r="AR3033" i="2"/>
  <c r="AQ3033" i="2"/>
  <c r="AO3033" i="2"/>
  <c r="AL3033" i="2"/>
  <c r="AK3033" i="2"/>
  <c r="AJ3033" i="2"/>
  <c r="AI3033" i="2"/>
  <c r="AH3033" i="2"/>
  <c r="AG3033" i="2"/>
  <c r="AE3033" i="2"/>
  <c r="AD3033" i="2"/>
  <c r="AA3033" i="2"/>
  <c r="Z3033" i="2"/>
  <c r="Y3033" i="2"/>
  <c r="X3033" i="2"/>
  <c r="W3033" i="2"/>
  <c r="V3033" i="2"/>
  <c r="U3033" i="2"/>
  <c r="T3033" i="2"/>
  <c r="S3033" i="2"/>
  <c r="R3033" i="2"/>
  <c r="Q3033" i="2"/>
  <c r="P3033" i="2"/>
  <c r="O3033" i="2"/>
  <c r="N3033" i="2"/>
  <c r="K3033" i="2"/>
  <c r="J3033" i="2"/>
  <c r="I3033" i="2"/>
  <c r="H3033" i="2"/>
  <c r="G3033" i="2"/>
  <c r="F3033" i="2"/>
  <c r="E3033" i="2"/>
  <c r="D3033" i="2"/>
  <c r="C3033" i="2"/>
  <c r="B3033" i="2"/>
  <c r="A3033" i="2"/>
  <c r="AX3032" i="2"/>
  <c r="AV3032" i="2"/>
  <c r="AU3032" i="2"/>
  <c r="AS3032" i="2"/>
  <c r="AO3032" i="2"/>
  <c r="AN3032" i="2"/>
  <c r="AM3032" i="2"/>
  <c r="AL3032" i="2"/>
  <c r="AK3032" i="2"/>
  <c r="AJ3032" i="2"/>
  <c r="AI3032" i="2"/>
  <c r="AH3032" i="2"/>
  <c r="AG3032" i="2"/>
  <c r="AF3032" i="2"/>
  <c r="AE3032" i="2"/>
  <c r="AD3032" i="2"/>
  <c r="AB3032" i="2"/>
  <c r="AA3032" i="2"/>
  <c r="Z3032" i="2"/>
  <c r="Y3032" i="2"/>
  <c r="X3032" i="2"/>
  <c r="U3032" i="2"/>
  <c r="T3032" i="2"/>
  <c r="S3032" i="2"/>
  <c r="R3032" i="2"/>
  <c r="Q3032" i="2"/>
  <c r="P3032" i="2"/>
  <c r="O3032" i="2"/>
  <c r="N3032" i="2"/>
  <c r="M3032" i="2"/>
  <c r="K3032" i="2"/>
  <c r="J3032" i="2"/>
  <c r="I3032" i="2"/>
  <c r="H3032" i="2"/>
  <c r="G3032" i="2"/>
  <c r="F3032" i="2"/>
  <c r="E3032" i="2"/>
  <c r="D3032" i="2"/>
  <c r="C3032" i="2"/>
  <c r="B3032" i="2"/>
  <c r="A3032" i="2"/>
  <c r="AX3031" i="2"/>
  <c r="AV3031" i="2"/>
  <c r="AU3031" i="2"/>
  <c r="AS3031" i="2"/>
  <c r="AR3031" i="2"/>
  <c r="AQ3031" i="2"/>
  <c r="AO3031" i="2"/>
  <c r="AL3031" i="2"/>
  <c r="AK3031" i="2"/>
  <c r="AJ3031" i="2"/>
  <c r="AI3031" i="2"/>
  <c r="AH3031" i="2"/>
  <c r="AG3031" i="2"/>
  <c r="AE3031" i="2"/>
  <c r="AD3031" i="2"/>
  <c r="AA3031" i="2"/>
  <c r="Z3031" i="2"/>
  <c r="Y3031" i="2"/>
  <c r="X3031" i="2"/>
  <c r="V3031" i="2"/>
  <c r="U3031" i="2"/>
  <c r="T3031" i="2"/>
  <c r="S3031" i="2"/>
  <c r="R3031" i="2"/>
  <c r="Q3031" i="2"/>
  <c r="P3031" i="2"/>
  <c r="O3031" i="2"/>
  <c r="N3031" i="2"/>
  <c r="K3031" i="2"/>
  <c r="J3031" i="2"/>
  <c r="I3031" i="2"/>
  <c r="H3031" i="2"/>
  <c r="G3031" i="2"/>
  <c r="F3031" i="2"/>
  <c r="E3031" i="2"/>
  <c r="D3031" i="2"/>
  <c r="C3031" i="2"/>
  <c r="B3031" i="2"/>
  <c r="A3031" i="2"/>
  <c r="AX3030" i="2"/>
  <c r="AV3030" i="2"/>
  <c r="AU3030" i="2"/>
  <c r="AS3030" i="2"/>
  <c r="AR3030" i="2"/>
  <c r="AQ3030" i="2"/>
  <c r="AO3030" i="2"/>
  <c r="AL3030" i="2"/>
  <c r="AK3030" i="2"/>
  <c r="AJ3030" i="2"/>
  <c r="AI3030" i="2"/>
  <c r="AH3030" i="2"/>
  <c r="AG3030" i="2"/>
  <c r="AE3030" i="2"/>
  <c r="AD3030" i="2"/>
  <c r="AA3030" i="2"/>
  <c r="Z3030" i="2"/>
  <c r="Y3030" i="2"/>
  <c r="X3030" i="2"/>
  <c r="W3030" i="2"/>
  <c r="V3030" i="2"/>
  <c r="U3030" i="2"/>
  <c r="T3030" i="2"/>
  <c r="S3030" i="2"/>
  <c r="R3030" i="2"/>
  <c r="Q3030" i="2"/>
  <c r="P3030" i="2"/>
  <c r="O3030" i="2"/>
  <c r="N3030" i="2"/>
  <c r="K3030" i="2"/>
  <c r="J3030" i="2"/>
  <c r="I3030" i="2"/>
  <c r="H3030" i="2"/>
  <c r="G3030" i="2"/>
  <c r="F3030" i="2"/>
  <c r="E3030" i="2"/>
  <c r="D3030" i="2"/>
  <c r="C3030" i="2"/>
  <c r="B3030" i="2"/>
  <c r="A3030" i="2"/>
  <c r="AX3029" i="2"/>
  <c r="AV3029" i="2"/>
  <c r="AU3029" i="2"/>
  <c r="AR3029" i="2"/>
  <c r="AQ3029" i="2"/>
  <c r="AO3029" i="2"/>
  <c r="AL3029" i="2"/>
  <c r="AK3029" i="2"/>
  <c r="AJ3029" i="2"/>
  <c r="AI3029" i="2"/>
  <c r="AH3029" i="2"/>
  <c r="AG3029" i="2"/>
  <c r="AF3029" i="2"/>
  <c r="AE3029" i="2"/>
  <c r="AD3029" i="2"/>
  <c r="AA3029" i="2"/>
  <c r="Z3029" i="2"/>
  <c r="Y3029" i="2"/>
  <c r="X3029" i="2"/>
  <c r="W3029" i="2"/>
  <c r="V3029" i="2"/>
  <c r="U3029" i="2"/>
  <c r="T3029" i="2"/>
  <c r="S3029" i="2"/>
  <c r="R3029" i="2"/>
  <c r="Q3029" i="2"/>
  <c r="P3029" i="2"/>
  <c r="O3029" i="2"/>
  <c r="N3029" i="2"/>
  <c r="K3029" i="2"/>
  <c r="J3029" i="2"/>
  <c r="I3029" i="2"/>
  <c r="H3029" i="2"/>
  <c r="G3029" i="2"/>
  <c r="F3029" i="2"/>
  <c r="E3029" i="2"/>
  <c r="D3029" i="2"/>
  <c r="C3029" i="2"/>
  <c r="B3029" i="2"/>
  <c r="A3029" i="2"/>
  <c r="AX3028" i="2"/>
  <c r="AV3028" i="2"/>
  <c r="AU3028" i="2"/>
  <c r="AR3028" i="2"/>
  <c r="AQ3028" i="2"/>
  <c r="AP3028" i="2"/>
  <c r="AO3028" i="2"/>
  <c r="AL3028" i="2"/>
  <c r="AK3028" i="2"/>
  <c r="AJ3028" i="2"/>
  <c r="AI3028" i="2"/>
  <c r="AH3028" i="2"/>
  <c r="AG3028" i="2"/>
  <c r="AE3028" i="2"/>
  <c r="AD3028" i="2"/>
  <c r="AA3028" i="2"/>
  <c r="Z3028" i="2"/>
  <c r="Y3028" i="2"/>
  <c r="U3028" i="2"/>
  <c r="T3028" i="2"/>
  <c r="S3028" i="2"/>
  <c r="R3028" i="2"/>
  <c r="Q3028" i="2"/>
  <c r="P3028" i="2"/>
  <c r="O3028" i="2"/>
  <c r="N3028" i="2"/>
  <c r="K3028" i="2"/>
  <c r="J3028" i="2"/>
  <c r="I3028" i="2"/>
  <c r="H3028" i="2"/>
  <c r="G3028" i="2"/>
  <c r="F3028" i="2"/>
  <c r="E3028" i="2"/>
  <c r="D3028" i="2"/>
  <c r="C3028" i="2"/>
  <c r="B3028" i="2"/>
  <c r="A3028" i="2"/>
  <c r="AX3027" i="2"/>
  <c r="AV3027" i="2"/>
  <c r="AU3027" i="2"/>
  <c r="AS3027" i="2"/>
  <c r="AR3027" i="2"/>
  <c r="AQ3027" i="2"/>
  <c r="AO3027" i="2"/>
  <c r="AL3027" i="2"/>
  <c r="AK3027" i="2"/>
  <c r="AJ3027" i="2"/>
  <c r="AI3027" i="2"/>
  <c r="AH3027" i="2"/>
  <c r="AG3027" i="2"/>
  <c r="AD3027" i="2"/>
  <c r="AA3027" i="2"/>
  <c r="Z3027" i="2"/>
  <c r="Y3027" i="2"/>
  <c r="W3027" i="2"/>
  <c r="V3027" i="2"/>
  <c r="U3027" i="2"/>
  <c r="T3027" i="2"/>
  <c r="S3027" i="2"/>
  <c r="R3027" i="2"/>
  <c r="Q3027" i="2"/>
  <c r="P3027" i="2"/>
  <c r="O3027" i="2"/>
  <c r="N3027" i="2"/>
  <c r="K3027" i="2"/>
  <c r="J3027" i="2"/>
  <c r="I3027" i="2"/>
  <c r="H3027" i="2"/>
  <c r="G3027" i="2"/>
  <c r="F3027" i="2"/>
  <c r="E3027" i="2"/>
  <c r="D3027" i="2"/>
  <c r="C3027" i="2"/>
  <c r="B3027" i="2"/>
  <c r="A3027" i="2"/>
  <c r="AX3026" i="2"/>
  <c r="AV3026" i="2"/>
  <c r="AU3026" i="2"/>
  <c r="AS3026" i="2"/>
  <c r="AR3026" i="2"/>
  <c r="AQ3026" i="2"/>
  <c r="AO3026" i="2"/>
  <c r="AL3026" i="2"/>
  <c r="AK3026" i="2"/>
  <c r="AJ3026" i="2"/>
  <c r="AI3026" i="2"/>
  <c r="AH3026" i="2"/>
  <c r="AG3026" i="2"/>
  <c r="AE3026" i="2"/>
  <c r="AD3026" i="2"/>
  <c r="AA3026" i="2"/>
  <c r="Z3026" i="2"/>
  <c r="Y3026" i="2"/>
  <c r="X3026" i="2"/>
  <c r="V3026" i="2"/>
  <c r="U3026" i="2"/>
  <c r="T3026" i="2"/>
  <c r="S3026" i="2"/>
  <c r="R3026" i="2"/>
  <c r="Q3026" i="2"/>
  <c r="P3026" i="2"/>
  <c r="O3026" i="2"/>
  <c r="N3026" i="2"/>
  <c r="K3026" i="2"/>
  <c r="J3026" i="2"/>
  <c r="I3026" i="2"/>
  <c r="H3026" i="2"/>
  <c r="G3026" i="2"/>
  <c r="F3026" i="2"/>
  <c r="E3026" i="2"/>
  <c r="D3026" i="2"/>
  <c r="C3026" i="2"/>
  <c r="B3026" i="2"/>
  <c r="A3026" i="2"/>
  <c r="AX3025" i="2"/>
  <c r="AV3025" i="2"/>
  <c r="AU3025" i="2"/>
  <c r="AS3025" i="2"/>
  <c r="AR3025" i="2"/>
  <c r="AQ3025" i="2"/>
  <c r="AO3025" i="2"/>
  <c r="AL3025" i="2"/>
  <c r="AK3025" i="2"/>
  <c r="AJ3025" i="2"/>
  <c r="AI3025" i="2"/>
  <c r="AH3025" i="2"/>
  <c r="AG3025" i="2"/>
  <c r="AE3025" i="2"/>
  <c r="AD3025" i="2"/>
  <c r="AA3025" i="2"/>
  <c r="Z3025" i="2"/>
  <c r="Y3025" i="2"/>
  <c r="X3025" i="2"/>
  <c r="W3025" i="2"/>
  <c r="V3025" i="2"/>
  <c r="U3025" i="2"/>
  <c r="T3025" i="2"/>
  <c r="S3025" i="2"/>
  <c r="R3025" i="2"/>
  <c r="Q3025" i="2"/>
  <c r="P3025" i="2"/>
  <c r="O3025" i="2"/>
  <c r="N3025" i="2"/>
  <c r="K3025" i="2"/>
  <c r="J3025" i="2"/>
  <c r="I3025" i="2"/>
  <c r="H3025" i="2"/>
  <c r="G3025" i="2"/>
  <c r="F3025" i="2"/>
  <c r="E3025" i="2"/>
  <c r="D3025" i="2"/>
  <c r="C3025" i="2"/>
  <c r="B3025" i="2"/>
  <c r="A3025" i="2"/>
  <c r="AX3024" i="2"/>
  <c r="AV3024" i="2"/>
  <c r="AU3024" i="2"/>
  <c r="AS3024" i="2"/>
  <c r="AR3024" i="2"/>
  <c r="AQ3024" i="2"/>
  <c r="AO3024" i="2"/>
  <c r="AL3024" i="2"/>
  <c r="AK3024" i="2"/>
  <c r="AJ3024" i="2"/>
  <c r="AI3024" i="2"/>
  <c r="AH3024" i="2"/>
  <c r="AG3024" i="2"/>
  <c r="AE3024" i="2"/>
  <c r="AA3024" i="2"/>
  <c r="Z3024" i="2"/>
  <c r="Y3024" i="2"/>
  <c r="X3024" i="2"/>
  <c r="V3024" i="2"/>
  <c r="U3024" i="2"/>
  <c r="T3024" i="2"/>
  <c r="S3024" i="2"/>
  <c r="R3024" i="2"/>
  <c r="Q3024" i="2"/>
  <c r="P3024" i="2"/>
  <c r="O3024" i="2"/>
  <c r="N3024" i="2"/>
  <c r="K3024" i="2"/>
  <c r="J3024" i="2"/>
  <c r="I3024" i="2"/>
  <c r="H3024" i="2"/>
  <c r="G3024" i="2"/>
  <c r="F3024" i="2"/>
  <c r="E3024" i="2"/>
  <c r="D3024" i="2"/>
  <c r="C3024" i="2"/>
  <c r="B3024" i="2"/>
  <c r="A3024" i="2"/>
  <c r="AX3023" i="2"/>
  <c r="AV3023" i="2"/>
  <c r="AU3023" i="2"/>
  <c r="AS3023" i="2"/>
  <c r="AR3023" i="2"/>
  <c r="AQ3023" i="2"/>
  <c r="AO3023" i="2"/>
  <c r="AL3023" i="2"/>
  <c r="AI3023" i="2"/>
  <c r="AH3023" i="2"/>
  <c r="AG3023" i="2"/>
  <c r="AE3023" i="2"/>
  <c r="AD3023" i="2"/>
  <c r="AA3023" i="2"/>
  <c r="Z3023" i="2"/>
  <c r="Y3023" i="2"/>
  <c r="W3023" i="2"/>
  <c r="V3023" i="2"/>
  <c r="U3023" i="2"/>
  <c r="T3023" i="2"/>
  <c r="S3023" i="2"/>
  <c r="R3023" i="2"/>
  <c r="Q3023" i="2"/>
  <c r="P3023" i="2"/>
  <c r="O3023" i="2"/>
  <c r="N3023" i="2"/>
  <c r="K3023" i="2"/>
  <c r="J3023" i="2"/>
  <c r="I3023" i="2"/>
  <c r="H3023" i="2"/>
  <c r="G3023" i="2"/>
  <c r="F3023" i="2"/>
  <c r="E3023" i="2"/>
  <c r="D3023" i="2"/>
  <c r="C3023" i="2"/>
  <c r="B3023" i="2"/>
  <c r="A3023" i="2"/>
  <c r="AX3022" i="2"/>
  <c r="AV3022" i="2"/>
  <c r="AU3022" i="2"/>
  <c r="AR3022" i="2"/>
  <c r="AQ3022" i="2"/>
  <c r="AO3022" i="2"/>
  <c r="AL3022" i="2"/>
  <c r="AK3022" i="2"/>
  <c r="AJ3022" i="2"/>
  <c r="AI3022" i="2"/>
  <c r="AH3022" i="2"/>
  <c r="AG3022" i="2"/>
  <c r="AE3022" i="2"/>
  <c r="AD3022" i="2"/>
  <c r="AA3022" i="2"/>
  <c r="Z3022" i="2"/>
  <c r="Y3022" i="2"/>
  <c r="X3022" i="2"/>
  <c r="V3022" i="2"/>
  <c r="U3022" i="2"/>
  <c r="T3022" i="2"/>
  <c r="S3022" i="2"/>
  <c r="R3022" i="2"/>
  <c r="Q3022" i="2"/>
  <c r="P3022" i="2"/>
  <c r="O3022" i="2"/>
  <c r="N3022" i="2"/>
  <c r="K3022" i="2"/>
  <c r="J3022" i="2"/>
  <c r="I3022" i="2"/>
  <c r="H3022" i="2"/>
  <c r="G3022" i="2"/>
  <c r="F3022" i="2"/>
  <c r="E3022" i="2"/>
  <c r="D3022" i="2"/>
  <c r="C3022" i="2"/>
  <c r="B3022" i="2"/>
  <c r="A3022" i="2"/>
  <c r="AX3021" i="2"/>
  <c r="AV3021" i="2"/>
  <c r="AU3021" i="2"/>
  <c r="AS3021" i="2"/>
  <c r="AR3021" i="2"/>
  <c r="AQ3021" i="2"/>
  <c r="AP3021" i="2"/>
  <c r="AO3021" i="2"/>
  <c r="AL3021" i="2"/>
  <c r="AK3021" i="2"/>
  <c r="AJ3021" i="2"/>
  <c r="AI3021" i="2"/>
  <c r="AH3021" i="2"/>
  <c r="AG3021" i="2"/>
  <c r="AF3021" i="2"/>
  <c r="AE3021" i="2"/>
  <c r="AD3021" i="2"/>
  <c r="AA3021" i="2"/>
  <c r="Z3021" i="2"/>
  <c r="Y3021" i="2"/>
  <c r="X3021" i="2"/>
  <c r="U3021" i="2"/>
  <c r="T3021" i="2"/>
  <c r="S3021" i="2"/>
  <c r="R3021" i="2"/>
  <c r="Q3021" i="2"/>
  <c r="P3021" i="2"/>
  <c r="O3021" i="2"/>
  <c r="N3021" i="2"/>
  <c r="K3021" i="2"/>
  <c r="J3021" i="2"/>
  <c r="I3021" i="2"/>
  <c r="H3021" i="2"/>
  <c r="G3021" i="2"/>
  <c r="F3021" i="2"/>
  <c r="E3021" i="2"/>
  <c r="D3021" i="2"/>
  <c r="C3021" i="2"/>
  <c r="B3021" i="2"/>
  <c r="A3021" i="2"/>
  <c r="AX3020" i="2"/>
  <c r="AV3020" i="2"/>
  <c r="AU3020" i="2"/>
  <c r="AS3020" i="2"/>
  <c r="AR3020" i="2"/>
  <c r="AQ3020" i="2"/>
  <c r="AO3020" i="2"/>
  <c r="AL3020" i="2"/>
  <c r="AK3020" i="2"/>
  <c r="AI3020" i="2"/>
  <c r="AH3020" i="2"/>
  <c r="AG3020" i="2"/>
  <c r="AE3020" i="2"/>
  <c r="AD3020" i="2"/>
  <c r="AA3020" i="2"/>
  <c r="Z3020" i="2"/>
  <c r="Y3020" i="2"/>
  <c r="X3020" i="2"/>
  <c r="V3020" i="2"/>
  <c r="U3020" i="2"/>
  <c r="T3020" i="2"/>
  <c r="S3020" i="2"/>
  <c r="R3020" i="2"/>
  <c r="Q3020" i="2"/>
  <c r="P3020" i="2"/>
  <c r="O3020" i="2"/>
  <c r="N3020" i="2"/>
  <c r="K3020" i="2"/>
  <c r="J3020" i="2"/>
  <c r="I3020" i="2"/>
  <c r="H3020" i="2"/>
  <c r="G3020" i="2"/>
  <c r="F3020" i="2"/>
  <c r="E3020" i="2"/>
  <c r="D3020" i="2"/>
  <c r="C3020" i="2"/>
  <c r="B3020" i="2"/>
  <c r="A3020" i="2"/>
  <c r="AX3019" i="2"/>
  <c r="AV3019" i="2"/>
  <c r="AU3019" i="2"/>
  <c r="AR3019" i="2"/>
  <c r="AQ3019" i="2"/>
  <c r="AO3019" i="2"/>
  <c r="AL3019" i="2"/>
  <c r="AK3019" i="2"/>
  <c r="AJ3019" i="2"/>
  <c r="AI3019" i="2"/>
  <c r="AH3019" i="2"/>
  <c r="AG3019" i="2"/>
  <c r="AE3019" i="2"/>
  <c r="AD3019" i="2"/>
  <c r="AA3019" i="2"/>
  <c r="Z3019" i="2"/>
  <c r="Y3019" i="2"/>
  <c r="X3019" i="2"/>
  <c r="V3019" i="2"/>
  <c r="U3019" i="2"/>
  <c r="T3019" i="2"/>
  <c r="S3019" i="2"/>
  <c r="R3019" i="2"/>
  <c r="Q3019" i="2"/>
  <c r="P3019" i="2"/>
  <c r="O3019" i="2"/>
  <c r="N3019" i="2"/>
  <c r="K3019" i="2"/>
  <c r="J3019" i="2"/>
  <c r="I3019" i="2"/>
  <c r="H3019" i="2"/>
  <c r="G3019" i="2"/>
  <c r="F3019" i="2"/>
  <c r="E3019" i="2"/>
  <c r="D3019" i="2"/>
  <c r="C3019" i="2"/>
  <c r="B3019" i="2"/>
  <c r="A3019" i="2"/>
  <c r="AX3018" i="2"/>
  <c r="AV3018" i="2"/>
  <c r="AU3018" i="2"/>
  <c r="AS3018" i="2"/>
  <c r="AR3018" i="2"/>
  <c r="AQ3018" i="2"/>
  <c r="AO3018" i="2"/>
  <c r="AL3018" i="2"/>
  <c r="AK3018" i="2"/>
  <c r="AJ3018" i="2"/>
  <c r="AI3018" i="2"/>
  <c r="AH3018" i="2"/>
  <c r="AG3018" i="2"/>
  <c r="AE3018" i="2"/>
  <c r="AD3018" i="2"/>
  <c r="AA3018" i="2"/>
  <c r="Z3018" i="2"/>
  <c r="Y3018" i="2"/>
  <c r="X3018" i="2"/>
  <c r="W3018" i="2"/>
  <c r="V3018" i="2"/>
  <c r="U3018" i="2"/>
  <c r="T3018" i="2"/>
  <c r="S3018" i="2"/>
  <c r="R3018" i="2"/>
  <c r="Q3018" i="2"/>
  <c r="P3018" i="2"/>
  <c r="O3018" i="2"/>
  <c r="N3018" i="2"/>
  <c r="K3018" i="2"/>
  <c r="J3018" i="2"/>
  <c r="I3018" i="2"/>
  <c r="H3018" i="2"/>
  <c r="G3018" i="2"/>
  <c r="F3018" i="2"/>
  <c r="E3018" i="2"/>
  <c r="D3018" i="2"/>
  <c r="C3018" i="2"/>
  <c r="B3018" i="2"/>
  <c r="A3018" i="2"/>
  <c r="AX3017" i="2"/>
  <c r="AV3017" i="2"/>
  <c r="AU3017" i="2"/>
  <c r="AS3017" i="2"/>
  <c r="AR3017" i="2"/>
  <c r="AQ3017" i="2"/>
  <c r="AO3017" i="2"/>
  <c r="AL3017" i="2"/>
  <c r="AK3017" i="2"/>
  <c r="AI3017" i="2"/>
  <c r="AH3017" i="2"/>
  <c r="AG3017" i="2"/>
  <c r="AE3017" i="2"/>
  <c r="AA3017" i="2"/>
  <c r="Z3017" i="2"/>
  <c r="Y3017" i="2"/>
  <c r="W3017" i="2"/>
  <c r="V3017" i="2"/>
  <c r="U3017" i="2"/>
  <c r="T3017" i="2"/>
  <c r="S3017" i="2"/>
  <c r="R3017" i="2"/>
  <c r="Q3017" i="2"/>
  <c r="P3017" i="2"/>
  <c r="O3017" i="2"/>
  <c r="N3017" i="2"/>
  <c r="K3017" i="2"/>
  <c r="J3017" i="2"/>
  <c r="I3017" i="2"/>
  <c r="H3017" i="2"/>
  <c r="G3017" i="2"/>
  <c r="F3017" i="2"/>
  <c r="E3017" i="2"/>
  <c r="D3017" i="2"/>
  <c r="C3017" i="2"/>
  <c r="B3017" i="2"/>
  <c r="A3017" i="2"/>
  <c r="AX3016" i="2"/>
  <c r="AV3016" i="2"/>
  <c r="AU3016" i="2"/>
  <c r="AS3016" i="2"/>
  <c r="AR3016" i="2"/>
  <c r="AQ3016" i="2"/>
  <c r="AO3016" i="2"/>
  <c r="AL3016" i="2"/>
  <c r="AK3016" i="2"/>
  <c r="AJ3016" i="2"/>
  <c r="AI3016" i="2"/>
  <c r="AH3016" i="2"/>
  <c r="AG3016" i="2"/>
  <c r="AE3016" i="2"/>
  <c r="AD3016" i="2"/>
  <c r="AA3016" i="2"/>
  <c r="Z3016" i="2"/>
  <c r="Y3016" i="2"/>
  <c r="U3016" i="2"/>
  <c r="T3016" i="2"/>
  <c r="S3016" i="2"/>
  <c r="Q3016" i="2"/>
  <c r="P3016" i="2"/>
  <c r="O3016" i="2"/>
  <c r="N3016" i="2"/>
  <c r="K3016" i="2"/>
  <c r="J3016" i="2"/>
  <c r="I3016" i="2"/>
  <c r="H3016" i="2"/>
  <c r="G3016" i="2"/>
  <c r="F3016" i="2"/>
  <c r="E3016" i="2"/>
  <c r="D3016" i="2"/>
  <c r="C3016" i="2"/>
  <c r="B3016" i="2"/>
  <c r="A3016" i="2"/>
  <c r="AX3015" i="2"/>
  <c r="AV3015" i="2"/>
  <c r="AU3015" i="2"/>
  <c r="AS3015" i="2"/>
  <c r="AR3015" i="2"/>
  <c r="AQ3015" i="2"/>
  <c r="AP3015" i="2"/>
  <c r="AO3015" i="2"/>
  <c r="AL3015" i="2"/>
  <c r="AK3015" i="2"/>
  <c r="AJ3015" i="2"/>
  <c r="AI3015" i="2"/>
  <c r="AH3015" i="2"/>
  <c r="AG3015" i="2"/>
  <c r="AE3015" i="2"/>
  <c r="AD3015" i="2"/>
  <c r="AA3015" i="2"/>
  <c r="Z3015" i="2"/>
  <c r="Y3015" i="2"/>
  <c r="X3015" i="2"/>
  <c r="V3015" i="2"/>
  <c r="U3015" i="2"/>
  <c r="T3015" i="2"/>
  <c r="S3015" i="2"/>
  <c r="R3015" i="2"/>
  <c r="Q3015" i="2"/>
  <c r="P3015" i="2"/>
  <c r="O3015" i="2"/>
  <c r="N3015" i="2"/>
  <c r="K3015" i="2"/>
  <c r="J3015" i="2"/>
  <c r="I3015" i="2"/>
  <c r="H3015" i="2"/>
  <c r="G3015" i="2"/>
  <c r="F3015" i="2"/>
  <c r="E3015" i="2"/>
  <c r="D3015" i="2"/>
  <c r="C3015" i="2"/>
  <c r="B3015" i="2"/>
  <c r="A3015" i="2"/>
  <c r="AX3014" i="2"/>
  <c r="AV3014" i="2"/>
  <c r="AU3014" i="2"/>
  <c r="AS3014" i="2"/>
  <c r="AR3014" i="2"/>
  <c r="AQ3014" i="2"/>
  <c r="AP3014" i="2"/>
  <c r="AO3014" i="2"/>
  <c r="AM3014" i="2"/>
  <c r="AL3014" i="2"/>
  <c r="AK3014" i="2"/>
  <c r="AJ3014" i="2"/>
  <c r="AI3014" i="2"/>
  <c r="AH3014" i="2"/>
  <c r="AG3014" i="2"/>
  <c r="AD3014" i="2"/>
  <c r="AA3014" i="2"/>
  <c r="Z3014" i="2"/>
  <c r="Y3014" i="2"/>
  <c r="X3014" i="2"/>
  <c r="V3014" i="2"/>
  <c r="U3014" i="2"/>
  <c r="T3014" i="2"/>
  <c r="S3014" i="2"/>
  <c r="R3014" i="2"/>
  <c r="Q3014" i="2"/>
  <c r="P3014" i="2"/>
  <c r="O3014" i="2"/>
  <c r="N3014" i="2"/>
  <c r="K3014" i="2"/>
  <c r="J3014" i="2"/>
  <c r="I3014" i="2"/>
  <c r="H3014" i="2"/>
  <c r="G3014" i="2"/>
  <c r="F3014" i="2"/>
  <c r="E3014" i="2"/>
  <c r="D3014" i="2"/>
  <c r="C3014" i="2"/>
  <c r="B3014" i="2"/>
  <c r="A3014" i="2"/>
  <c r="AX3013" i="2"/>
  <c r="AV3013" i="2"/>
  <c r="AU3013" i="2"/>
  <c r="AS3013" i="2"/>
  <c r="AR3013" i="2"/>
  <c r="AQ3013" i="2"/>
  <c r="AO3013" i="2"/>
  <c r="AL3013" i="2"/>
  <c r="AK3013" i="2"/>
  <c r="AJ3013" i="2"/>
  <c r="AI3013" i="2"/>
  <c r="AH3013" i="2"/>
  <c r="AG3013" i="2"/>
  <c r="AE3013" i="2"/>
  <c r="AD3013" i="2"/>
  <c r="AA3013" i="2"/>
  <c r="Z3013" i="2"/>
  <c r="Y3013" i="2"/>
  <c r="X3013" i="2"/>
  <c r="W3013" i="2"/>
  <c r="V3013" i="2"/>
  <c r="U3013" i="2"/>
  <c r="T3013" i="2"/>
  <c r="S3013" i="2"/>
  <c r="R3013" i="2"/>
  <c r="Q3013" i="2"/>
  <c r="P3013" i="2"/>
  <c r="O3013" i="2"/>
  <c r="N3013" i="2"/>
  <c r="K3013" i="2"/>
  <c r="J3013" i="2"/>
  <c r="I3013" i="2"/>
  <c r="H3013" i="2"/>
  <c r="G3013" i="2"/>
  <c r="F3013" i="2"/>
  <c r="E3013" i="2"/>
  <c r="D3013" i="2"/>
  <c r="C3013" i="2"/>
  <c r="B3013" i="2"/>
  <c r="A3013" i="2"/>
  <c r="AX3012" i="2"/>
  <c r="AV3012" i="2"/>
  <c r="AU3012" i="2"/>
  <c r="AS3012" i="2"/>
  <c r="AR3012" i="2"/>
  <c r="AQ3012" i="2"/>
  <c r="AO3012" i="2"/>
  <c r="AL3012" i="2"/>
  <c r="AK3012" i="2"/>
  <c r="AJ3012" i="2"/>
  <c r="AI3012" i="2"/>
  <c r="AH3012" i="2"/>
  <c r="AG3012" i="2"/>
  <c r="AE3012" i="2"/>
  <c r="AD3012" i="2"/>
  <c r="AA3012" i="2"/>
  <c r="Z3012" i="2"/>
  <c r="Y3012" i="2"/>
  <c r="X3012" i="2"/>
  <c r="V3012" i="2"/>
  <c r="U3012" i="2"/>
  <c r="T3012" i="2"/>
  <c r="S3012" i="2"/>
  <c r="R3012" i="2"/>
  <c r="Q3012" i="2"/>
  <c r="P3012" i="2"/>
  <c r="O3012" i="2"/>
  <c r="N3012" i="2"/>
  <c r="K3012" i="2"/>
  <c r="J3012" i="2"/>
  <c r="I3012" i="2"/>
  <c r="H3012" i="2"/>
  <c r="G3012" i="2"/>
  <c r="F3012" i="2"/>
  <c r="E3012" i="2"/>
  <c r="D3012" i="2"/>
  <c r="C3012" i="2"/>
  <c r="B3012" i="2"/>
  <c r="A3012" i="2"/>
  <c r="AX3011" i="2"/>
  <c r="AV3011" i="2"/>
  <c r="AU3011" i="2"/>
  <c r="AR3011" i="2"/>
  <c r="AQ3011" i="2"/>
  <c r="AO3011" i="2"/>
  <c r="AL3011" i="2"/>
  <c r="AK3011" i="2"/>
  <c r="AJ3011" i="2"/>
  <c r="AI3011" i="2"/>
  <c r="AH3011" i="2"/>
  <c r="AG3011" i="2"/>
  <c r="AE3011" i="2"/>
  <c r="AD3011" i="2"/>
  <c r="AA3011" i="2"/>
  <c r="Z3011" i="2"/>
  <c r="Y3011" i="2"/>
  <c r="V3011" i="2"/>
  <c r="U3011" i="2"/>
  <c r="T3011" i="2"/>
  <c r="S3011" i="2"/>
  <c r="R3011" i="2"/>
  <c r="Q3011" i="2"/>
  <c r="P3011" i="2"/>
  <c r="O3011" i="2"/>
  <c r="N3011" i="2"/>
  <c r="K3011" i="2"/>
  <c r="J3011" i="2"/>
  <c r="I3011" i="2"/>
  <c r="H3011" i="2"/>
  <c r="G3011" i="2"/>
  <c r="F3011" i="2"/>
  <c r="E3011" i="2"/>
  <c r="D3011" i="2"/>
  <c r="C3011" i="2"/>
  <c r="B3011" i="2"/>
  <c r="A3011" i="2"/>
  <c r="AX3010" i="2"/>
  <c r="AV3010" i="2"/>
  <c r="AU3010" i="2"/>
  <c r="AS3010" i="2"/>
  <c r="AR3010" i="2"/>
  <c r="AQ3010" i="2"/>
  <c r="AO3010" i="2"/>
  <c r="AL3010" i="2"/>
  <c r="AK3010" i="2"/>
  <c r="AJ3010" i="2"/>
  <c r="AI3010" i="2"/>
  <c r="AH3010" i="2"/>
  <c r="AG3010" i="2"/>
  <c r="AE3010" i="2"/>
  <c r="AD3010" i="2"/>
  <c r="AA3010" i="2"/>
  <c r="Z3010" i="2"/>
  <c r="Y3010" i="2"/>
  <c r="U3010" i="2"/>
  <c r="T3010" i="2"/>
  <c r="S3010" i="2"/>
  <c r="R3010" i="2"/>
  <c r="Q3010" i="2"/>
  <c r="P3010" i="2"/>
  <c r="O3010" i="2"/>
  <c r="N3010" i="2"/>
  <c r="K3010" i="2"/>
  <c r="J3010" i="2"/>
  <c r="I3010" i="2"/>
  <c r="H3010" i="2"/>
  <c r="G3010" i="2"/>
  <c r="F3010" i="2"/>
  <c r="E3010" i="2"/>
  <c r="D3010" i="2"/>
  <c r="C3010" i="2"/>
  <c r="B3010" i="2"/>
  <c r="A3010" i="2"/>
  <c r="AX3009" i="2"/>
  <c r="AV3009" i="2"/>
  <c r="AU3009" i="2"/>
  <c r="AS3009" i="2"/>
  <c r="AR3009" i="2"/>
  <c r="AQ3009" i="2"/>
  <c r="AO3009" i="2"/>
  <c r="AL3009" i="2"/>
  <c r="AK3009" i="2"/>
  <c r="AJ3009" i="2"/>
  <c r="AI3009" i="2"/>
  <c r="AH3009" i="2"/>
  <c r="AG3009" i="2"/>
  <c r="AE3009" i="2"/>
  <c r="AD3009" i="2"/>
  <c r="AA3009" i="2"/>
  <c r="Z3009" i="2"/>
  <c r="Y3009" i="2"/>
  <c r="X3009" i="2"/>
  <c r="W3009" i="2"/>
  <c r="V3009" i="2"/>
  <c r="U3009" i="2"/>
  <c r="T3009" i="2"/>
  <c r="S3009" i="2"/>
  <c r="R3009" i="2"/>
  <c r="Q3009" i="2"/>
  <c r="P3009" i="2"/>
  <c r="O3009" i="2"/>
  <c r="N3009" i="2"/>
  <c r="K3009" i="2"/>
  <c r="J3009" i="2"/>
  <c r="I3009" i="2"/>
  <c r="H3009" i="2"/>
  <c r="G3009" i="2"/>
  <c r="F3009" i="2"/>
  <c r="E3009" i="2"/>
  <c r="D3009" i="2"/>
  <c r="C3009" i="2"/>
  <c r="B3009" i="2"/>
  <c r="A3009" i="2"/>
  <c r="AX3008" i="2"/>
  <c r="AV3008" i="2"/>
  <c r="AU3008" i="2"/>
  <c r="AS3008" i="2"/>
  <c r="AR3008" i="2"/>
  <c r="AQ3008" i="2"/>
  <c r="AO3008" i="2"/>
  <c r="AL3008" i="2"/>
  <c r="AK3008" i="2"/>
  <c r="AJ3008" i="2"/>
  <c r="AI3008" i="2"/>
  <c r="AH3008" i="2"/>
  <c r="AG3008" i="2"/>
  <c r="AE3008" i="2"/>
  <c r="AD3008" i="2"/>
  <c r="AA3008" i="2"/>
  <c r="Z3008" i="2"/>
  <c r="Y3008" i="2"/>
  <c r="U3008" i="2"/>
  <c r="T3008" i="2"/>
  <c r="S3008" i="2"/>
  <c r="R3008" i="2"/>
  <c r="Q3008" i="2"/>
  <c r="P3008" i="2"/>
  <c r="O3008" i="2"/>
  <c r="N3008" i="2"/>
  <c r="K3008" i="2"/>
  <c r="J3008" i="2"/>
  <c r="I3008" i="2"/>
  <c r="H3008" i="2"/>
  <c r="G3008" i="2"/>
  <c r="F3008" i="2"/>
  <c r="E3008" i="2"/>
  <c r="D3008" i="2"/>
  <c r="C3008" i="2"/>
  <c r="B3008" i="2"/>
  <c r="A3008" i="2"/>
  <c r="AX3007" i="2"/>
  <c r="AV3007" i="2"/>
  <c r="AU3007" i="2"/>
  <c r="AS3007" i="2"/>
  <c r="AR3007" i="2"/>
  <c r="AQ3007" i="2"/>
  <c r="AO3007" i="2"/>
  <c r="AN3007" i="2"/>
  <c r="AL3007" i="2"/>
  <c r="AK3007" i="2"/>
  <c r="AJ3007" i="2"/>
  <c r="AI3007" i="2"/>
  <c r="AH3007" i="2"/>
  <c r="AG3007" i="2"/>
  <c r="AE3007" i="2"/>
  <c r="AD3007" i="2"/>
  <c r="AC3007" i="2"/>
  <c r="AA3007" i="2"/>
  <c r="Z3007" i="2"/>
  <c r="Y3007" i="2"/>
  <c r="X3007" i="2"/>
  <c r="W3007" i="2"/>
  <c r="V3007" i="2"/>
  <c r="U3007" i="2"/>
  <c r="T3007" i="2"/>
  <c r="S3007" i="2"/>
  <c r="R3007" i="2"/>
  <c r="Q3007" i="2"/>
  <c r="P3007" i="2"/>
  <c r="O3007" i="2"/>
  <c r="N3007" i="2"/>
  <c r="K3007" i="2"/>
  <c r="J3007" i="2"/>
  <c r="I3007" i="2"/>
  <c r="H3007" i="2"/>
  <c r="G3007" i="2"/>
  <c r="F3007" i="2"/>
  <c r="E3007" i="2"/>
  <c r="D3007" i="2"/>
  <c r="C3007" i="2"/>
  <c r="B3007" i="2"/>
  <c r="A3007" i="2"/>
  <c r="AX3006" i="2"/>
  <c r="AV3006" i="2"/>
  <c r="AU3006" i="2"/>
  <c r="AR3006" i="2"/>
  <c r="AQ3006" i="2"/>
  <c r="AO3006" i="2"/>
  <c r="AL3006" i="2"/>
  <c r="AK3006" i="2"/>
  <c r="AJ3006" i="2"/>
  <c r="AI3006" i="2"/>
  <c r="AH3006" i="2"/>
  <c r="AG3006" i="2"/>
  <c r="AE3006" i="2"/>
  <c r="AD3006" i="2"/>
  <c r="AA3006" i="2"/>
  <c r="Z3006" i="2"/>
  <c r="Y3006" i="2"/>
  <c r="X3006" i="2"/>
  <c r="W3006" i="2"/>
  <c r="V3006" i="2"/>
  <c r="U3006" i="2"/>
  <c r="T3006" i="2"/>
  <c r="S3006" i="2"/>
  <c r="R3006" i="2"/>
  <c r="Q3006" i="2"/>
  <c r="P3006" i="2"/>
  <c r="O3006" i="2"/>
  <c r="N3006" i="2"/>
  <c r="K3006" i="2"/>
  <c r="J3006" i="2"/>
  <c r="I3006" i="2"/>
  <c r="H3006" i="2"/>
  <c r="G3006" i="2"/>
  <c r="F3006" i="2"/>
  <c r="E3006" i="2"/>
  <c r="D3006" i="2"/>
  <c r="C3006" i="2"/>
  <c r="B3006" i="2"/>
  <c r="A3006" i="2"/>
  <c r="AX3005" i="2"/>
  <c r="AV3005" i="2"/>
  <c r="AU3005" i="2"/>
  <c r="AR3005" i="2"/>
  <c r="AQ3005" i="2"/>
  <c r="AO3005" i="2"/>
  <c r="AL3005" i="2"/>
  <c r="AI3005" i="2"/>
  <c r="AH3005" i="2"/>
  <c r="AG3005" i="2"/>
  <c r="AE3005" i="2"/>
  <c r="AA3005" i="2"/>
  <c r="Z3005" i="2"/>
  <c r="Y3005" i="2"/>
  <c r="W3005" i="2"/>
  <c r="V3005" i="2"/>
  <c r="U3005" i="2"/>
  <c r="T3005" i="2"/>
  <c r="S3005" i="2"/>
  <c r="R3005" i="2"/>
  <c r="Q3005" i="2"/>
  <c r="P3005" i="2"/>
  <c r="O3005" i="2"/>
  <c r="N3005" i="2"/>
  <c r="K3005" i="2"/>
  <c r="J3005" i="2"/>
  <c r="I3005" i="2"/>
  <c r="H3005" i="2"/>
  <c r="G3005" i="2"/>
  <c r="F3005" i="2"/>
  <c r="E3005" i="2"/>
  <c r="D3005" i="2"/>
  <c r="C3005" i="2"/>
  <c r="B3005" i="2"/>
  <c r="A3005" i="2"/>
  <c r="AX3004" i="2"/>
  <c r="AV3004" i="2"/>
  <c r="AU3004" i="2"/>
  <c r="AR3004" i="2"/>
  <c r="AQ3004" i="2"/>
  <c r="AO3004" i="2"/>
  <c r="AL3004" i="2"/>
  <c r="AK3004" i="2"/>
  <c r="AJ3004" i="2"/>
  <c r="AI3004" i="2"/>
  <c r="AH3004" i="2"/>
  <c r="AG3004" i="2"/>
  <c r="AE3004" i="2"/>
  <c r="AD3004" i="2"/>
  <c r="AA3004" i="2"/>
  <c r="Z3004" i="2"/>
  <c r="Y3004" i="2"/>
  <c r="U3004" i="2"/>
  <c r="T3004" i="2"/>
  <c r="S3004" i="2"/>
  <c r="R3004" i="2"/>
  <c r="Q3004" i="2"/>
  <c r="P3004" i="2"/>
  <c r="O3004" i="2"/>
  <c r="N3004" i="2"/>
  <c r="K3004" i="2"/>
  <c r="J3004" i="2"/>
  <c r="I3004" i="2"/>
  <c r="H3004" i="2"/>
  <c r="G3004" i="2"/>
  <c r="F3004" i="2"/>
  <c r="E3004" i="2"/>
  <c r="D3004" i="2"/>
  <c r="C3004" i="2"/>
  <c r="B3004" i="2"/>
  <c r="A3004" i="2"/>
  <c r="AX3003" i="2"/>
  <c r="AV3003" i="2"/>
  <c r="AU3003" i="2"/>
  <c r="AS3003" i="2"/>
  <c r="AR3003" i="2"/>
  <c r="AQ3003" i="2"/>
  <c r="AO3003" i="2"/>
  <c r="AL3003" i="2"/>
  <c r="AK3003" i="2"/>
  <c r="AJ3003" i="2"/>
  <c r="AI3003" i="2"/>
  <c r="AH3003" i="2"/>
  <c r="AG3003" i="2"/>
  <c r="AE3003" i="2"/>
  <c r="AA3003" i="2"/>
  <c r="Z3003" i="2"/>
  <c r="Y3003" i="2"/>
  <c r="V3003" i="2"/>
  <c r="U3003" i="2"/>
  <c r="T3003" i="2"/>
  <c r="S3003" i="2"/>
  <c r="R3003" i="2"/>
  <c r="Q3003" i="2"/>
  <c r="P3003" i="2"/>
  <c r="O3003" i="2"/>
  <c r="N3003" i="2"/>
  <c r="K3003" i="2"/>
  <c r="J3003" i="2"/>
  <c r="I3003" i="2"/>
  <c r="H3003" i="2"/>
  <c r="G3003" i="2"/>
  <c r="F3003" i="2"/>
  <c r="E3003" i="2"/>
  <c r="D3003" i="2"/>
  <c r="C3003" i="2"/>
  <c r="B3003" i="2"/>
  <c r="A3003" i="2"/>
  <c r="AX3002" i="2"/>
  <c r="AV3002" i="2"/>
  <c r="AU3002" i="2"/>
  <c r="AS3002" i="2"/>
  <c r="AR3002" i="2"/>
  <c r="AQ3002" i="2"/>
  <c r="AN3002" i="2"/>
  <c r="AM3002" i="2"/>
  <c r="AL3002" i="2"/>
  <c r="AI3002" i="2"/>
  <c r="AH3002" i="2"/>
  <c r="AG3002" i="2"/>
  <c r="AE3002" i="2"/>
  <c r="AD3002" i="2"/>
  <c r="AA3002" i="2"/>
  <c r="Z3002" i="2"/>
  <c r="Y3002" i="2"/>
  <c r="X3002" i="2"/>
  <c r="W3002" i="2"/>
  <c r="V3002" i="2"/>
  <c r="U3002" i="2"/>
  <c r="T3002" i="2"/>
  <c r="S3002" i="2"/>
  <c r="R3002" i="2"/>
  <c r="Q3002" i="2"/>
  <c r="P3002" i="2"/>
  <c r="O3002" i="2"/>
  <c r="N3002" i="2"/>
  <c r="K3002" i="2"/>
  <c r="J3002" i="2"/>
  <c r="I3002" i="2"/>
  <c r="H3002" i="2"/>
  <c r="G3002" i="2"/>
  <c r="F3002" i="2"/>
  <c r="E3002" i="2"/>
  <c r="D3002" i="2"/>
  <c r="C3002" i="2"/>
  <c r="B3002" i="2"/>
  <c r="A3002" i="2"/>
  <c r="AX3001" i="2"/>
  <c r="AV3001" i="2"/>
  <c r="AU3001" i="2"/>
  <c r="AR3001" i="2"/>
  <c r="AQ3001" i="2"/>
  <c r="AO3001" i="2"/>
  <c r="AL3001" i="2"/>
  <c r="AI3001" i="2"/>
  <c r="AH3001" i="2"/>
  <c r="AG3001" i="2"/>
  <c r="AE3001" i="2"/>
  <c r="AD3001" i="2"/>
  <c r="AA3001" i="2"/>
  <c r="Z3001" i="2"/>
  <c r="Y3001" i="2"/>
  <c r="U3001" i="2"/>
  <c r="T3001" i="2"/>
  <c r="S3001" i="2"/>
  <c r="R3001" i="2"/>
  <c r="Q3001" i="2"/>
  <c r="P3001" i="2"/>
  <c r="O3001" i="2"/>
  <c r="N3001" i="2"/>
  <c r="K3001" i="2"/>
  <c r="J3001" i="2"/>
  <c r="I3001" i="2"/>
  <c r="H3001" i="2"/>
  <c r="G3001" i="2"/>
  <c r="F3001" i="2"/>
  <c r="E3001" i="2"/>
  <c r="D3001" i="2"/>
  <c r="C3001" i="2"/>
  <c r="B3001" i="2"/>
  <c r="A3001" i="2"/>
  <c r="AX3000" i="2"/>
  <c r="AV3000" i="2"/>
  <c r="AU3000" i="2"/>
  <c r="AS3000" i="2"/>
  <c r="AR3000" i="2"/>
  <c r="AQ3000" i="2"/>
  <c r="AO3000" i="2"/>
  <c r="AL3000" i="2"/>
  <c r="AK3000" i="2"/>
  <c r="AJ3000" i="2"/>
  <c r="AI3000" i="2"/>
  <c r="AH3000" i="2"/>
  <c r="AG3000" i="2"/>
  <c r="AE3000" i="2"/>
  <c r="AD3000" i="2"/>
  <c r="AA3000" i="2"/>
  <c r="Z3000" i="2"/>
  <c r="Y3000" i="2"/>
  <c r="X3000" i="2"/>
  <c r="U3000" i="2"/>
  <c r="T3000" i="2"/>
  <c r="S3000" i="2"/>
  <c r="R3000" i="2"/>
  <c r="Q3000" i="2"/>
  <c r="P3000" i="2"/>
  <c r="O3000" i="2"/>
  <c r="N3000" i="2"/>
  <c r="K3000" i="2"/>
  <c r="J3000" i="2"/>
  <c r="I3000" i="2"/>
  <c r="H3000" i="2"/>
  <c r="G3000" i="2"/>
  <c r="F3000" i="2"/>
  <c r="E3000" i="2"/>
  <c r="D3000" i="2"/>
  <c r="C3000" i="2"/>
  <c r="B3000" i="2"/>
  <c r="A3000" i="2"/>
  <c r="AX2999" i="2"/>
  <c r="AV2999" i="2"/>
  <c r="AU2999" i="2"/>
  <c r="AS2999" i="2"/>
  <c r="AR2999" i="2"/>
  <c r="AQ2999" i="2"/>
  <c r="AO2999" i="2"/>
  <c r="AL2999" i="2"/>
  <c r="AK2999" i="2"/>
  <c r="AJ2999" i="2"/>
  <c r="AI2999" i="2"/>
  <c r="AH2999" i="2"/>
  <c r="AG2999" i="2"/>
  <c r="AE2999" i="2"/>
  <c r="AD2999" i="2"/>
  <c r="AA2999" i="2"/>
  <c r="Z2999" i="2"/>
  <c r="Y2999" i="2"/>
  <c r="X2999" i="2"/>
  <c r="W2999" i="2"/>
  <c r="V2999" i="2"/>
  <c r="U2999" i="2"/>
  <c r="T2999" i="2"/>
  <c r="S2999" i="2"/>
  <c r="R2999" i="2"/>
  <c r="Q2999" i="2"/>
  <c r="P2999" i="2"/>
  <c r="O2999" i="2"/>
  <c r="N2999" i="2"/>
  <c r="K2999" i="2"/>
  <c r="J2999" i="2"/>
  <c r="I2999" i="2"/>
  <c r="H2999" i="2"/>
  <c r="G2999" i="2"/>
  <c r="F2999" i="2"/>
  <c r="E2999" i="2"/>
  <c r="D2999" i="2"/>
  <c r="C2999" i="2"/>
  <c r="B2999" i="2"/>
  <c r="A2999" i="2"/>
  <c r="AX2998" i="2"/>
  <c r="AV2998" i="2"/>
  <c r="AU2998" i="2"/>
  <c r="AR2998" i="2"/>
  <c r="AQ2998" i="2"/>
  <c r="AO2998" i="2"/>
  <c r="AN2998" i="2"/>
  <c r="AM2998" i="2"/>
  <c r="AL2998" i="2"/>
  <c r="AK2998" i="2"/>
  <c r="AI2998" i="2"/>
  <c r="AH2998" i="2"/>
  <c r="AG2998" i="2"/>
  <c r="AE2998" i="2"/>
  <c r="AC2998" i="2"/>
  <c r="AA2998" i="2"/>
  <c r="Z2998" i="2"/>
  <c r="Y2998" i="2"/>
  <c r="X2998" i="2"/>
  <c r="U2998" i="2"/>
  <c r="T2998" i="2"/>
  <c r="S2998" i="2"/>
  <c r="R2998" i="2"/>
  <c r="Q2998" i="2"/>
  <c r="P2998" i="2"/>
  <c r="O2998" i="2"/>
  <c r="N2998" i="2"/>
  <c r="K2998" i="2"/>
  <c r="J2998" i="2"/>
  <c r="I2998" i="2"/>
  <c r="H2998" i="2"/>
  <c r="G2998" i="2"/>
  <c r="F2998" i="2"/>
  <c r="E2998" i="2"/>
  <c r="D2998" i="2"/>
  <c r="C2998" i="2"/>
  <c r="B2998" i="2"/>
  <c r="A2998" i="2"/>
  <c r="AX2997" i="2"/>
  <c r="AV2997" i="2"/>
  <c r="AU2997" i="2"/>
  <c r="AS2997" i="2"/>
  <c r="AR2997" i="2"/>
  <c r="AQ2997" i="2"/>
  <c r="AO2997" i="2"/>
  <c r="AL2997" i="2"/>
  <c r="AK2997" i="2"/>
  <c r="AI2997" i="2"/>
  <c r="AH2997" i="2"/>
  <c r="AG2997" i="2"/>
  <c r="AE2997" i="2"/>
  <c r="AD2997" i="2"/>
  <c r="AA2997" i="2"/>
  <c r="Z2997" i="2"/>
  <c r="Y2997" i="2"/>
  <c r="X2997" i="2"/>
  <c r="W2997" i="2"/>
  <c r="V2997" i="2"/>
  <c r="U2997" i="2"/>
  <c r="T2997" i="2"/>
  <c r="S2997" i="2"/>
  <c r="R2997" i="2"/>
  <c r="Q2997" i="2"/>
  <c r="P2997" i="2"/>
  <c r="O2997" i="2"/>
  <c r="N2997" i="2"/>
  <c r="K2997" i="2"/>
  <c r="J2997" i="2"/>
  <c r="I2997" i="2"/>
  <c r="H2997" i="2"/>
  <c r="G2997" i="2"/>
  <c r="F2997" i="2"/>
  <c r="E2997" i="2"/>
  <c r="D2997" i="2"/>
  <c r="C2997" i="2"/>
  <c r="B2997" i="2"/>
  <c r="A2997" i="2"/>
  <c r="AX2996" i="2"/>
  <c r="AV2996" i="2"/>
  <c r="AU2996" i="2"/>
  <c r="AS2996" i="2"/>
  <c r="AR2996" i="2"/>
  <c r="AQ2996" i="2"/>
  <c r="AP2996" i="2"/>
  <c r="AO2996" i="2"/>
  <c r="AL2996" i="2"/>
  <c r="AK2996" i="2"/>
  <c r="AJ2996" i="2"/>
  <c r="AI2996" i="2"/>
  <c r="AH2996" i="2"/>
  <c r="AG2996" i="2"/>
  <c r="AE2996" i="2"/>
  <c r="AD2996" i="2"/>
  <c r="AA2996" i="2"/>
  <c r="Z2996" i="2"/>
  <c r="Y2996" i="2"/>
  <c r="X2996" i="2"/>
  <c r="W2996" i="2"/>
  <c r="V2996" i="2"/>
  <c r="U2996" i="2"/>
  <c r="T2996" i="2"/>
  <c r="S2996" i="2"/>
  <c r="R2996" i="2"/>
  <c r="Q2996" i="2"/>
  <c r="P2996" i="2"/>
  <c r="O2996" i="2"/>
  <c r="N2996" i="2"/>
  <c r="K2996" i="2"/>
  <c r="J2996" i="2"/>
  <c r="I2996" i="2"/>
  <c r="H2996" i="2"/>
  <c r="G2996" i="2"/>
  <c r="F2996" i="2"/>
  <c r="E2996" i="2"/>
  <c r="D2996" i="2"/>
  <c r="C2996" i="2"/>
  <c r="B2996" i="2"/>
  <c r="A2996" i="2"/>
  <c r="AX2995" i="2"/>
  <c r="AV2995" i="2"/>
  <c r="AU2995" i="2"/>
  <c r="AS2995" i="2"/>
  <c r="AR2995" i="2"/>
  <c r="AQ2995" i="2"/>
  <c r="AP2995" i="2"/>
  <c r="AO2995" i="2"/>
  <c r="AN2995" i="2"/>
  <c r="AM2995" i="2"/>
  <c r="AL2995" i="2"/>
  <c r="AK2995" i="2"/>
  <c r="AJ2995" i="2"/>
  <c r="AI2995" i="2"/>
  <c r="AH2995" i="2"/>
  <c r="AG2995" i="2"/>
  <c r="AE2995" i="2"/>
  <c r="AD2995" i="2"/>
  <c r="AA2995" i="2"/>
  <c r="Z2995" i="2"/>
  <c r="Y2995" i="2"/>
  <c r="X2995" i="2"/>
  <c r="W2995" i="2"/>
  <c r="V2995" i="2"/>
  <c r="U2995" i="2"/>
  <c r="T2995" i="2"/>
  <c r="S2995" i="2"/>
  <c r="R2995" i="2"/>
  <c r="Q2995" i="2"/>
  <c r="P2995" i="2"/>
  <c r="O2995" i="2"/>
  <c r="N2995" i="2"/>
  <c r="K2995" i="2"/>
  <c r="J2995" i="2"/>
  <c r="I2995" i="2"/>
  <c r="H2995" i="2"/>
  <c r="G2995" i="2"/>
  <c r="F2995" i="2"/>
  <c r="E2995" i="2"/>
  <c r="D2995" i="2"/>
  <c r="C2995" i="2"/>
  <c r="B2995" i="2"/>
  <c r="A2995" i="2"/>
  <c r="AX2994" i="2"/>
  <c r="AV2994" i="2"/>
  <c r="AU2994" i="2"/>
  <c r="AT2994" i="2"/>
  <c r="AS2994" i="2"/>
  <c r="AR2994" i="2"/>
  <c r="AQ2994" i="2"/>
  <c r="AP2994" i="2"/>
  <c r="AO2994" i="2"/>
  <c r="AL2994" i="2"/>
  <c r="AK2994" i="2"/>
  <c r="AJ2994" i="2"/>
  <c r="AI2994" i="2"/>
  <c r="AH2994" i="2"/>
  <c r="AG2994" i="2"/>
  <c r="AD2994" i="2"/>
  <c r="AA2994" i="2"/>
  <c r="Z2994" i="2"/>
  <c r="Y2994" i="2"/>
  <c r="X2994" i="2"/>
  <c r="V2994" i="2"/>
  <c r="U2994" i="2"/>
  <c r="T2994" i="2"/>
  <c r="S2994" i="2"/>
  <c r="R2994" i="2"/>
  <c r="Q2994" i="2"/>
  <c r="P2994" i="2"/>
  <c r="O2994" i="2"/>
  <c r="N2994" i="2"/>
  <c r="K2994" i="2"/>
  <c r="J2994" i="2"/>
  <c r="I2994" i="2"/>
  <c r="H2994" i="2"/>
  <c r="G2994" i="2"/>
  <c r="F2994" i="2"/>
  <c r="E2994" i="2"/>
  <c r="D2994" i="2"/>
  <c r="C2994" i="2"/>
  <c r="B2994" i="2"/>
  <c r="A2994" i="2"/>
  <c r="AX2993" i="2"/>
  <c r="AV2993" i="2"/>
  <c r="AU2993" i="2"/>
  <c r="AR2993" i="2"/>
  <c r="AQ2993" i="2"/>
  <c r="AO2993" i="2"/>
  <c r="AL2993" i="2"/>
  <c r="AK2993" i="2"/>
  <c r="AJ2993" i="2"/>
  <c r="AI2993" i="2"/>
  <c r="AH2993" i="2"/>
  <c r="AG2993" i="2"/>
  <c r="AD2993" i="2"/>
  <c r="AA2993" i="2"/>
  <c r="Z2993" i="2"/>
  <c r="Y2993" i="2"/>
  <c r="X2993" i="2"/>
  <c r="V2993" i="2"/>
  <c r="U2993" i="2"/>
  <c r="T2993" i="2"/>
  <c r="S2993" i="2"/>
  <c r="R2993" i="2"/>
  <c r="Q2993" i="2"/>
  <c r="P2993" i="2"/>
  <c r="O2993" i="2"/>
  <c r="N2993" i="2"/>
  <c r="K2993" i="2"/>
  <c r="J2993" i="2"/>
  <c r="I2993" i="2"/>
  <c r="H2993" i="2"/>
  <c r="G2993" i="2"/>
  <c r="F2993" i="2"/>
  <c r="E2993" i="2"/>
  <c r="D2993" i="2"/>
  <c r="C2993" i="2"/>
  <c r="B2993" i="2"/>
  <c r="A2993" i="2"/>
  <c r="AX2992" i="2"/>
  <c r="AV2992" i="2"/>
  <c r="AU2992" i="2"/>
  <c r="AR2992" i="2"/>
  <c r="AQ2992" i="2"/>
  <c r="AO2992" i="2"/>
  <c r="AI2992" i="2"/>
  <c r="AH2992" i="2"/>
  <c r="AG2992" i="2"/>
  <c r="AE2992" i="2"/>
  <c r="AD2992" i="2"/>
  <c r="AA2992" i="2"/>
  <c r="Z2992" i="2"/>
  <c r="Y2992" i="2"/>
  <c r="X2992" i="2"/>
  <c r="W2992" i="2"/>
  <c r="V2992" i="2"/>
  <c r="U2992" i="2"/>
  <c r="T2992" i="2"/>
  <c r="S2992" i="2"/>
  <c r="R2992" i="2"/>
  <c r="Q2992" i="2"/>
  <c r="P2992" i="2"/>
  <c r="O2992" i="2"/>
  <c r="N2992" i="2"/>
  <c r="K2992" i="2"/>
  <c r="J2992" i="2"/>
  <c r="I2992" i="2"/>
  <c r="H2992" i="2"/>
  <c r="G2992" i="2"/>
  <c r="F2992" i="2"/>
  <c r="E2992" i="2"/>
  <c r="D2992" i="2"/>
  <c r="C2992" i="2"/>
  <c r="B2992" i="2"/>
  <c r="A2992" i="2"/>
  <c r="AX2991" i="2"/>
  <c r="AV2991" i="2"/>
  <c r="AU2991" i="2"/>
  <c r="AS2991" i="2"/>
  <c r="AR2991" i="2"/>
  <c r="AQ2991" i="2"/>
  <c r="AP2991" i="2"/>
  <c r="AO2991" i="2"/>
  <c r="AL2991" i="2"/>
  <c r="AK2991" i="2"/>
  <c r="AJ2991" i="2"/>
  <c r="AI2991" i="2"/>
  <c r="AH2991" i="2"/>
  <c r="AG2991" i="2"/>
  <c r="AE2991" i="2"/>
  <c r="AD2991" i="2"/>
  <c r="AA2991" i="2"/>
  <c r="Z2991" i="2"/>
  <c r="Y2991" i="2"/>
  <c r="X2991" i="2"/>
  <c r="V2991" i="2"/>
  <c r="U2991" i="2"/>
  <c r="T2991" i="2"/>
  <c r="S2991" i="2"/>
  <c r="R2991" i="2"/>
  <c r="Q2991" i="2"/>
  <c r="P2991" i="2"/>
  <c r="O2991" i="2"/>
  <c r="N2991" i="2"/>
  <c r="K2991" i="2"/>
  <c r="J2991" i="2"/>
  <c r="I2991" i="2"/>
  <c r="H2991" i="2"/>
  <c r="G2991" i="2"/>
  <c r="F2991" i="2"/>
  <c r="E2991" i="2"/>
  <c r="D2991" i="2"/>
  <c r="C2991" i="2"/>
  <c r="B2991" i="2"/>
  <c r="A2991" i="2"/>
  <c r="AX2990" i="2"/>
  <c r="AV2990" i="2"/>
  <c r="AU2990" i="2"/>
  <c r="AS2990" i="2"/>
  <c r="AR2990" i="2"/>
  <c r="AQ2990" i="2"/>
  <c r="AO2990" i="2"/>
  <c r="AM2990" i="2"/>
  <c r="AL2990" i="2"/>
  <c r="AK2990" i="2"/>
  <c r="AI2990" i="2"/>
  <c r="AH2990" i="2"/>
  <c r="AG2990" i="2"/>
  <c r="AE2990" i="2"/>
  <c r="AA2990" i="2"/>
  <c r="Z2990" i="2"/>
  <c r="Y2990" i="2"/>
  <c r="X2990" i="2"/>
  <c r="W2990" i="2"/>
  <c r="V2990" i="2"/>
  <c r="U2990" i="2"/>
  <c r="T2990" i="2"/>
  <c r="S2990" i="2"/>
  <c r="R2990" i="2"/>
  <c r="Q2990" i="2"/>
  <c r="P2990" i="2"/>
  <c r="O2990" i="2"/>
  <c r="N2990" i="2"/>
  <c r="K2990" i="2"/>
  <c r="J2990" i="2"/>
  <c r="I2990" i="2"/>
  <c r="H2990" i="2"/>
  <c r="G2990" i="2"/>
  <c r="F2990" i="2"/>
  <c r="E2990" i="2"/>
  <c r="D2990" i="2"/>
  <c r="C2990" i="2"/>
  <c r="B2990" i="2"/>
  <c r="A2990" i="2"/>
  <c r="AX2989" i="2"/>
  <c r="AV2989" i="2"/>
  <c r="AU2989" i="2"/>
  <c r="AS2989" i="2"/>
  <c r="AR2989" i="2"/>
  <c r="AQ2989" i="2"/>
  <c r="AP2989" i="2"/>
  <c r="AO2989" i="2"/>
  <c r="AN2989" i="2"/>
  <c r="AM2989" i="2"/>
  <c r="AL2989" i="2"/>
  <c r="AK2989" i="2"/>
  <c r="AJ2989" i="2"/>
  <c r="AI2989" i="2"/>
  <c r="AH2989" i="2"/>
  <c r="AG2989" i="2"/>
  <c r="AE2989" i="2"/>
  <c r="AD2989" i="2"/>
  <c r="AA2989" i="2"/>
  <c r="Z2989" i="2"/>
  <c r="Y2989" i="2"/>
  <c r="X2989" i="2"/>
  <c r="W2989" i="2"/>
  <c r="V2989" i="2"/>
  <c r="U2989" i="2"/>
  <c r="T2989" i="2"/>
  <c r="S2989" i="2"/>
  <c r="R2989" i="2"/>
  <c r="Q2989" i="2"/>
  <c r="P2989" i="2"/>
  <c r="O2989" i="2"/>
  <c r="N2989" i="2"/>
  <c r="M2989" i="2"/>
  <c r="K2989" i="2"/>
  <c r="J2989" i="2"/>
  <c r="I2989" i="2"/>
  <c r="H2989" i="2"/>
  <c r="G2989" i="2"/>
  <c r="F2989" i="2"/>
  <c r="E2989" i="2"/>
  <c r="D2989" i="2"/>
  <c r="C2989" i="2"/>
  <c r="B2989" i="2"/>
  <c r="A2989" i="2"/>
  <c r="AX2988" i="2"/>
  <c r="AV2988" i="2"/>
  <c r="AU2988" i="2"/>
  <c r="AR2988" i="2"/>
  <c r="AQ2988" i="2"/>
  <c r="AO2988" i="2"/>
  <c r="AN2988" i="2"/>
  <c r="AM2988" i="2"/>
  <c r="AI2988" i="2"/>
  <c r="AH2988" i="2"/>
  <c r="AG2988" i="2"/>
  <c r="AE2988" i="2"/>
  <c r="AA2988" i="2"/>
  <c r="Z2988" i="2"/>
  <c r="Y2988" i="2"/>
  <c r="X2988" i="2"/>
  <c r="V2988" i="2"/>
  <c r="U2988" i="2"/>
  <c r="T2988" i="2"/>
  <c r="S2988" i="2"/>
  <c r="R2988" i="2"/>
  <c r="Q2988" i="2"/>
  <c r="P2988" i="2"/>
  <c r="O2988" i="2"/>
  <c r="N2988" i="2"/>
  <c r="K2988" i="2"/>
  <c r="J2988" i="2"/>
  <c r="I2988" i="2"/>
  <c r="H2988" i="2"/>
  <c r="G2988" i="2"/>
  <c r="F2988" i="2"/>
  <c r="E2988" i="2"/>
  <c r="D2988" i="2"/>
  <c r="C2988" i="2"/>
  <c r="B2988" i="2"/>
  <c r="A2988" i="2"/>
  <c r="AX2987" i="2"/>
  <c r="AV2987" i="2"/>
  <c r="AU2987" i="2"/>
  <c r="AS2987" i="2"/>
  <c r="AR2987" i="2"/>
  <c r="AQ2987" i="2"/>
  <c r="AO2987" i="2"/>
  <c r="AL2987" i="2"/>
  <c r="AK2987" i="2"/>
  <c r="AJ2987" i="2"/>
  <c r="AI2987" i="2"/>
  <c r="AH2987" i="2"/>
  <c r="AG2987" i="2"/>
  <c r="AE2987" i="2"/>
  <c r="AD2987" i="2"/>
  <c r="AA2987" i="2"/>
  <c r="Z2987" i="2"/>
  <c r="Y2987" i="2"/>
  <c r="X2987" i="2"/>
  <c r="V2987" i="2"/>
  <c r="U2987" i="2"/>
  <c r="T2987" i="2"/>
  <c r="S2987" i="2"/>
  <c r="R2987" i="2"/>
  <c r="Q2987" i="2"/>
  <c r="P2987" i="2"/>
  <c r="O2987" i="2"/>
  <c r="N2987" i="2"/>
  <c r="K2987" i="2"/>
  <c r="J2987" i="2"/>
  <c r="I2987" i="2"/>
  <c r="H2987" i="2"/>
  <c r="G2987" i="2"/>
  <c r="F2987" i="2"/>
  <c r="E2987" i="2"/>
  <c r="D2987" i="2"/>
  <c r="C2987" i="2"/>
  <c r="B2987" i="2"/>
  <c r="A2987" i="2"/>
  <c r="AX2986" i="2"/>
  <c r="AV2986" i="2"/>
  <c r="AU2986" i="2"/>
  <c r="AS2986" i="2"/>
  <c r="AR2986" i="2"/>
  <c r="AQ2986" i="2"/>
  <c r="AO2986" i="2"/>
  <c r="AL2986" i="2"/>
  <c r="AK2986" i="2"/>
  <c r="AJ2986" i="2"/>
  <c r="AI2986" i="2"/>
  <c r="AH2986" i="2"/>
  <c r="AG2986" i="2"/>
  <c r="AE2986" i="2"/>
  <c r="AD2986" i="2"/>
  <c r="AA2986" i="2"/>
  <c r="Z2986" i="2"/>
  <c r="Y2986" i="2"/>
  <c r="X2986" i="2"/>
  <c r="V2986" i="2"/>
  <c r="U2986" i="2"/>
  <c r="T2986" i="2"/>
  <c r="S2986" i="2"/>
  <c r="R2986" i="2"/>
  <c r="Q2986" i="2"/>
  <c r="P2986" i="2"/>
  <c r="O2986" i="2"/>
  <c r="N2986" i="2"/>
  <c r="K2986" i="2"/>
  <c r="J2986" i="2"/>
  <c r="I2986" i="2"/>
  <c r="H2986" i="2"/>
  <c r="G2986" i="2"/>
  <c r="F2986" i="2"/>
  <c r="E2986" i="2"/>
  <c r="D2986" i="2"/>
  <c r="C2986" i="2"/>
  <c r="B2986" i="2"/>
  <c r="A2986" i="2"/>
  <c r="AX2985" i="2"/>
  <c r="AV2985" i="2"/>
  <c r="AU2985" i="2"/>
  <c r="AS2985" i="2"/>
  <c r="AR2985" i="2"/>
  <c r="AQ2985" i="2"/>
  <c r="AP2985" i="2"/>
  <c r="AO2985" i="2"/>
  <c r="AL2985" i="2"/>
  <c r="AK2985" i="2"/>
  <c r="AJ2985" i="2"/>
  <c r="AI2985" i="2"/>
  <c r="AH2985" i="2"/>
  <c r="AG2985" i="2"/>
  <c r="AE2985" i="2"/>
  <c r="AD2985" i="2"/>
  <c r="AA2985" i="2"/>
  <c r="Z2985" i="2"/>
  <c r="Y2985" i="2"/>
  <c r="X2985" i="2"/>
  <c r="V2985" i="2"/>
  <c r="U2985" i="2"/>
  <c r="T2985" i="2"/>
  <c r="S2985" i="2"/>
  <c r="R2985" i="2"/>
  <c r="Q2985" i="2"/>
  <c r="P2985" i="2"/>
  <c r="O2985" i="2"/>
  <c r="N2985" i="2"/>
  <c r="K2985" i="2"/>
  <c r="J2985" i="2"/>
  <c r="I2985" i="2"/>
  <c r="H2985" i="2"/>
  <c r="G2985" i="2"/>
  <c r="F2985" i="2"/>
  <c r="E2985" i="2"/>
  <c r="D2985" i="2"/>
  <c r="C2985" i="2"/>
  <c r="B2985" i="2"/>
  <c r="A2985" i="2"/>
  <c r="AX2984" i="2"/>
  <c r="AV2984" i="2"/>
  <c r="AU2984" i="2"/>
  <c r="AS2984" i="2"/>
  <c r="AR2984" i="2"/>
  <c r="AQ2984" i="2"/>
  <c r="AP2984" i="2"/>
  <c r="AO2984" i="2"/>
  <c r="AL2984" i="2"/>
  <c r="AK2984" i="2"/>
  <c r="AJ2984" i="2"/>
  <c r="AI2984" i="2"/>
  <c r="AH2984" i="2"/>
  <c r="AG2984" i="2"/>
  <c r="AE2984" i="2"/>
  <c r="AD2984" i="2"/>
  <c r="AA2984" i="2"/>
  <c r="Z2984" i="2"/>
  <c r="Y2984" i="2"/>
  <c r="X2984" i="2"/>
  <c r="W2984" i="2"/>
  <c r="V2984" i="2"/>
  <c r="U2984" i="2"/>
  <c r="T2984" i="2"/>
  <c r="S2984" i="2"/>
  <c r="R2984" i="2"/>
  <c r="Q2984" i="2"/>
  <c r="P2984" i="2"/>
  <c r="O2984" i="2"/>
  <c r="N2984" i="2"/>
  <c r="K2984" i="2"/>
  <c r="J2984" i="2"/>
  <c r="I2984" i="2"/>
  <c r="H2984" i="2"/>
  <c r="G2984" i="2"/>
  <c r="F2984" i="2"/>
  <c r="E2984" i="2"/>
  <c r="D2984" i="2"/>
  <c r="C2984" i="2"/>
  <c r="B2984" i="2"/>
  <c r="A2984" i="2"/>
  <c r="AX2983" i="2"/>
  <c r="AV2983" i="2"/>
  <c r="AU2983" i="2"/>
  <c r="AS2983" i="2"/>
  <c r="AR2983" i="2"/>
  <c r="AQ2983" i="2"/>
  <c r="AO2983" i="2"/>
  <c r="AL2983" i="2"/>
  <c r="AK2983" i="2"/>
  <c r="AJ2983" i="2"/>
  <c r="AI2983" i="2"/>
  <c r="AH2983" i="2"/>
  <c r="AG2983" i="2"/>
  <c r="AE2983" i="2"/>
  <c r="AD2983" i="2"/>
  <c r="AA2983" i="2"/>
  <c r="Z2983" i="2"/>
  <c r="Y2983" i="2"/>
  <c r="X2983" i="2"/>
  <c r="W2983" i="2"/>
  <c r="V2983" i="2"/>
  <c r="U2983" i="2"/>
  <c r="T2983" i="2"/>
  <c r="S2983" i="2"/>
  <c r="R2983" i="2"/>
  <c r="Q2983" i="2"/>
  <c r="P2983" i="2"/>
  <c r="O2983" i="2"/>
  <c r="N2983" i="2"/>
  <c r="K2983" i="2"/>
  <c r="J2983" i="2"/>
  <c r="I2983" i="2"/>
  <c r="H2983" i="2"/>
  <c r="G2983" i="2"/>
  <c r="F2983" i="2"/>
  <c r="E2983" i="2"/>
  <c r="D2983" i="2"/>
  <c r="C2983" i="2"/>
  <c r="B2983" i="2"/>
  <c r="A2983" i="2"/>
  <c r="AX2982" i="2"/>
  <c r="AV2982" i="2"/>
  <c r="AU2982" i="2"/>
  <c r="AS2982" i="2"/>
  <c r="AR2982" i="2"/>
  <c r="AQ2982" i="2"/>
  <c r="AO2982" i="2"/>
  <c r="AL2982" i="2"/>
  <c r="AK2982" i="2"/>
  <c r="AJ2982" i="2"/>
  <c r="AI2982" i="2"/>
  <c r="AH2982" i="2"/>
  <c r="AG2982" i="2"/>
  <c r="AE2982" i="2"/>
  <c r="AD2982" i="2"/>
  <c r="AA2982" i="2"/>
  <c r="Z2982" i="2"/>
  <c r="Y2982" i="2"/>
  <c r="X2982" i="2"/>
  <c r="U2982" i="2"/>
  <c r="T2982" i="2"/>
  <c r="S2982" i="2"/>
  <c r="R2982" i="2"/>
  <c r="Q2982" i="2"/>
  <c r="P2982" i="2"/>
  <c r="O2982" i="2"/>
  <c r="N2982" i="2"/>
  <c r="K2982" i="2"/>
  <c r="J2982" i="2"/>
  <c r="I2982" i="2"/>
  <c r="H2982" i="2"/>
  <c r="G2982" i="2"/>
  <c r="F2982" i="2"/>
  <c r="E2982" i="2"/>
  <c r="D2982" i="2"/>
  <c r="C2982" i="2"/>
  <c r="B2982" i="2"/>
  <c r="A2982" i="2"/>
  <c r="AX2981" i="2"/>
  <c r="AV2981" i="2"/>
  <c r="AU2981" i="2"/>
  <c r="AR2981" i="2"/>
  <c r="AQ2981" i="2"/>
  <c r="AP2981" i="2"/>
  <c r="AO2981" i="2"/>
  <c r="AM2981" i="2"/>
  <c r="AL2981" i="2"/>
  <c r="AK2981" i="2"/>
  <c r="AJ2981" i="2"/>
  <c r="AI2981" i="2"/>
  <c r="AH2981" i="2"/>
  <c r="AG2981" i="2"/>
  <c r="AE2981" i="2"/>
  <c r="AD2981" i="2"/>
  <c r="AA2981" i="2"/>
  <c r="Z2981" i="2"/>
  <c r="Y2981" i="2"/>
  <c r="X2981" i="2"/>
  <c r="W2981" i="2"/>
  <c r="V2981" i="2"/>
  <c r="U2981" i="2"/>
  <c r="T2981" i="2"/>
  <c r="S2981" i="2"/>
  <c r="R2981" i="2"/>
  <c r="Q2981" i="2"/>
  <c r="P2981" i="2"/>
  <c r="O2981" i="2"/>
  <c r="N2981" i="2"/>
  <c r="K2981" i="2"/>
  <c r="J2981" i="2"/>
  <c r="I2981" i="2"/>
  <c r="H2981" i="2"/>
  <c r="G2981" i="2"/>
  <c r="F2981" i="2"/>
  <c r="E2981" i="2"/>
  <c r="D2981" i="2"/>
  <c r="C2981" i="2"/>
  <c r="B2981" i="2"/>
  <c r="A2981" i="2"/>
  <c r="AX2980" i="2"/>
  <c r="AV2980" i="2"/>
  <c r="AU2980" i="2"/>
  <c r="AS2980" i="2"/>
  <c r="AR2980" i="2"/>
  <c r="AP2980" i="2"/>
  <c r="AO2980" i="2"/>
  <c r="AN2980" i="2"/>
  <c r="AM2980" i="2"/>
  <c r="AL2980" i="2"/>
  <c r="AK2980" i="2"/>
  <c r="AJ2980" i="2"/>
  <c r="AI2980" i="2"/>
  <c r="AH2980" i="2"/>
  <c r="AG2980" i="2"/>
  <c r="AE2980" i="2"/>
  <c r="AD2980" i="2"/>
  <c r="AC2980" i="2"/>
  <c r="AA2980" i="2"/>
  <c r="Z2980" i="2"/>
  <c r="Y2980" i="2"/>
  <c r="X2980" i="2"/>
  <c r="V2980" i="2"/>
  <c r="U2980" i="2"/>
  <c r="T2980" i="2"/>
  <c r="S2980" i="2"/>
  <c r="R2980" i="2"/>
  <c r="Q2980" i="2"/>
  <c r="P2980" i="2"/>
  <c r="O2980" i="2"/>
  <c r="N2980" i="2"/>
  <c r="M2980" i="2"/>
  <c r="L2980" i="2"/>
  <c r="K2980" i="2"/>
  <c r="J2980" i="2"/>
  <c r="I2980" i="2"/>
  <c r="H2980" i="2"/>
  <c r="G2980" i="2"/>
  <c r="F2980" i="2"/>
  <c r="E2980" i="2"/>
  <c r="D2980" i="2"/>
  <c r="C2980" i="2"/>
  <c r="B2980" i="2"/>
  <c r="A2980" i="2"/>
  <c r="AX2979" i="2"/>
  <c r="AV2979" i="2"/>
  <c r="AU2979" i="2"/>
  <c r="AS2979" i="2"/>
  <c r="AR2979" i="2"/>
  <c r="AQ2979" i="2"/>
  <c r="AO2979" i="2"/>
  <c r="AL2979" i="2"/>
  <c r="AK2979" i="2"/>
  <c r="AJ2979" i="2"/>
  <c r="AI2979" i="2"/>
  <c r="AH2979" i="2"/>
  <c r="AG2979" i="2"/>
  <c r="AE2979" i="2"/>
  <c r="AD2979" i="2"/>
  <c r="AA2979" i="2"/>
  <c r="Z2979" i="2"/>
  <c r="Y2979" i="2"/>
  <c r="X2979" i="2"/>
  <c r="W2979" i="2"/>
  <c r="V2979" i="2"/>
  <c r="U2979" i="2"/>
  <c r="T2979" i="2"/>
  <c r="S2979" i="2"/>
  <c r="R2979" i="2"/>
  <c r="Q2979" i="2"/>
  <c r="P2979" i="2"/>
  <c r="O2979" i="2"/>
  <c r="N2979" i="2"/>
  <c r="K2979" i="2"/>
  <c r="J2979" i="2"/>
  <c r="I2979" i="2"/>
  <c r="H2979" i="2"/>
  <c r="G2979" i="2"/>
  <c r="F2979" i="2"/>
  <c r="E2979" i="2"/>
  <c r="D2979" i="2"/>
  <c r="C2979" i="2"/>
  <c r="B2979" i="2"/>
  <c r="A2979" i="2"/>
  <c r="AX2978" i="2"/>
  <c r="AV2978" i="2"/>
  <c r="AU2978" i="2"/>
  <c r="AS2978" i="2"/>
  <c r="AR2978" i="2"/>
  <c r="AQ2978" i="2"/>
  <c r="AO2978" i="2"/>
  <c r="AL2978" i="2"/>
  <c r="AK2978" i="2"/>
  <c r="AJ2978" i="2"/>
  <c r="AI2978" i="2"/>
  <c r="AH2978" i="2"/>
  <c r="AG2978" i="2"/>
  <c r="AE2978" i="2"/>
  <c r="AD2978" i="2"/>
  <c r="AA2978" i="2"/>
  <c r="Z2978" i="2"/>
  <c r="Y2978" i="2"/>
  <c r="X2978" i="2"/>
  <c r="W2978" i="2"/>
  <c r="V2978" i="2"/>
  <c r="U2978" i="2"/>
  <c r="T2978" i="2"/>
  <c r="S2978" i="2"/>
  <c r="R2978" i="2"/>
  <c r="Q2978" i="2"/>
  <c r="P2978" i="2"/>
  <c r="O2978" i="2"/>
  <c r="N2978" i="2"/>
  <c r="K2978" i="2"/>
  <c r="J2978" i="2"/>
  <c r="I2978" i="2"/>
  <c r="H2978" i="2"/>
  <c r="G2978" i="2"/>
  <c r="F2978" i="2"/>
  <c r="E2978" i="2"/>
  <c r="D2978" i="2"/>
  <c r="C2978" i="2"/>
  <c r="B2978" i="2"/>
  <c r="A2978" i="2"/>
  <c r="AX2977" i="2"/>
  <c r="AV2977" i="2"/>
  <c r="AU2977" i="2"/>
  <c r="AS2977" i="2"/>
  <c r="AR2977" i="2"/>
  <c r="AQ2977" i="2"/>
  <c r="AO2977" i="2"/>
  <c r="AL2977" i="2"/>
  <c r="AK2977" i="2"/>
  <c r="AJ2977" i="2"/>
  <c r="AI2977" i="2"/>
  <c r="AH2977" i="2"/>
  <c r="AG2977" i="2"/>
  <c r="AD2977" i="2"/>
  <c r="AA2977" i="2"/>
  <c r="Z2977" i="2"/>
  <c r="Y2977" i="2"/>
  <c r="X2977" i="2"/>
  <c r="V2977" i="2"/>
  <c r="U2977" i="2"/>
  <c r="T2977" i="2"/>
  <c r="S2977" i="2"/>
  <c r="R2977" i="2"/>
  <c r="Q2977" i="2"/>
  <c r="P2977" i="2"/>
  <c r="O2977" i="2"/>
  <c r="N2977" i="2"/>
  <c r="K2977" i="2"/>
  <c r="J2977" i="2"/>
  <c r="I2977" i="2"/>
  <c r="H2977" i="2"/>
  <c r="G2977" i="2"/>
  <c r="F2977" i="2"/>
  <c r="E2977" i="2"/>
  <c r="D2977" i="2"/>
  <c r="C2977" i="2"/>
  <c r="B2977" i="2"/>
  <c r="A2977" i="2"/>
  <c r="AX2976" i="2"/>
  <c r="AV2976" i="2"/>
  <c r="AU2976" i="2"/>
  <c r="AS2976" i="2"/>
  <c r="AR2976" i="2"/>
  <c r="AQ2976" i="2"/>
  <c r="AO2976" i="2"/>
  <c r="AL2976" i="2"/>
  <c r="AK2976" i="2"/>
  <c r="AJ2976" i="2"/>
  <c r="AI2976" i="2"/>
  <c r="AH2976" i="2"/>
  <c r="AG2976" i="2"/>
  <c r="AE2976" i="2"/>
  <c r="AD2976" i="2"/>
  <c r="AA2976" i="2"/>
  <c r="Z2976" i="2"/>
  <c r="Y2976" i="2"/>
  <c r="X2976" i="2"/>
  <c r="V2976" i="2"/>
  <c r="U2976" i="2"/>
  <c r="T2976" i="2"/>
  <c r="S2976" i="2"/>
  <c r="R2976" i="2"/>
  <c r="Q2976" i="2"/>
  <c r="P2976" i="2"/>
  <c r="O2976" i="2"/>
  <c r="N2976" i="2"/>
  <c r="K2976" i="2"/>
  <c r="J2976" i="2"/>
  <c r="I2976" i="2"/>
  <c r="H2976" i="2"/>
  <c r="G2976" i="2"/>
  <c r="F2976" i="2"/>
  <c r="E2976" i="2"/>
  <c r="D2976" i="2"/>
  <c r="C2976" i="2"/>
  <c r="B2976" i="2"/>
  <c r="A2976" i="2"/>
  <c r="AX2975" i="2"/>
  <c r="AV2975" i="2"/>
  <c r="AU2975" i="2"/>
  <c r="AS2975" i="2"/>
  <c r="AR2975" i="2"/>
  <c r="AQ2975" i="2"/>
  <c r="AO2975" i="2"/>
  <c r="AL2975" i="2"/>
  <c r="AK2975" i="2"/>
  <c r="AJ2975" i="2"/>
  <c r="AI2975" i="2"/>
  <c r="AH2975" i="2"/>
  <c r="AG2975" i="2"/>
  <c r="AE2975" i="2"/>
  <c r="AD2975" i="2"/>
  <c r="AA2975" i="2"/>
  <c r="Z2975" i="2"/>
  <c r="Y2975" i="2"/>
  <c r="X2975" i="2"/>
  <c r="W2975" i="2"/>
  <c r="V2975" i="2"/>
  <c r="U2975" i="2"/>
  <c r="T2975" i="2"/>
  <c r="S2975" i="2"/>
  <c r="R2975" i="2"/>
  <c r="Q2975" i="2"/>
  <c r="P2975" i="2"/>
  <c r="O2975" i="2"/>
  <c r="N2975" i="2"/>
  <c r="K2975" i="2"/>
  <c r="J2975" i="2"/>
  <c r="I2975" i="2"/>
  <c r="H2975" i="2"/>
  <c r="G2975" i="2"/>
  <c r="F2975" i="2"/>
  <c r="E2975" i="2"/>
  <c r="D2975" i="2"/>
  <c r="C2975" i="2"/>
  <c r="B2975" i="2"/>
  <c r="A2975" i="2"/>
  <c r="AX2974" i="2"/>
  <c r="AV2974" i="2"/>
  <c r="AU2974" i="2"/>
  <c r="AS2974" i="2"/>
  <c r="AR2974" i="2"/>
  <c r="AQ2974" i="2"/>
  <c r="AO2974" i="2"/>
  <c r="AL2974" i="2"/>
  <c r="AK2974" i="2"/>
  <c r="AJ2974" i="2"/>
  <c r="AI2974" i="2"/>
  <c r="AH2974" i="2"/>
  <c r="AG2974" i="2"/>
  <c r="AE2974" i="2"/>
  <c r="AD2974" i="2"/>
  <c r="AA2974" i="2"/>
  <c r="Z2974" i="2"/>
  <c r="Y2974" i="2"/>
  <c r="X2974" i="2"/>
  <c r="V2974" i="2"/>
  <c r="U2974" i="2"/>
  <c r="T2974" i="2"/>
  <c r="S2974" i="2"/>
  <c r="R2974" i="2"/>
  <c r="Q2974" i="2"/>
  <c r="P2974" i="2"/>
  <c r="O2974" i="2"/>
  <c r="N2974" i="2"/>
  <c r="K2974" i="2"/>
  <c r="J2974" i="2"/>
  <c r="I2974" i="2"/>
  <c r="H2974" i="2"/>
  <c r="G2974" i="2"/>
  <c r="F2974" i="2"/>
  <c r="E2974" i="2"/>
  <c r="D2974" i="2"/>
  <c r="C2974" i="2"/>
  <c r="B2974" i="2"/>
  <c r="A2974" i="2"/>
  <c r="AX2973" i="2"/>
  <c r="AV2973" i="2"/>
  <c r="AU2973" i="2"/>
  <c r="AS2973" i="2"/>
  <c r="AR2973" i="2"/>
  <c r="AQ2973" i="2"/>
  <c r="AP2973" i="2"/>
  <c r="AO2973" i="2"/>
  <c r="AL2973" i="2"/>
  <c r="AK2973" i="2"/>
  <c r="AJ2973" i="2"/>
  <c r="AI2973" i="2"/>
  <c r="AH2973" i="2"/>
  <c r="AG2973" i="2"/>
  <c r="AF2973" i="2"/>
  <c r="AE2973" i="2"/>
  <c r="AD2973" i="2"/>
  <c r="AA2973" i="2"/>
  <c r="Z2973" i="2"/>
  <c r="Y2973" i="2"/>
  <c r="X2973" i="2"/>
  <c r="V2973" i="2"/>
  <c r="U2973" i="2"/>
  <c r="T2973" i="2"/>
  <c r="S2973" i="2"/>
  <c r="R2973" i="2"/>
  <c r="Q2973" i="2"/>
  <c r="P2973" i="2"/>
  <c r="O2973" i="2"/>
  <c r="N2973" i="2"/>
  <c r="K2973" i="2"/>
  <c r="J2973" i="2"/>
  <c r="I2973" i="2"/>
  <c r="H2973" i="2"/>
  <c r="G2973" i="2"/>
  <c r="F2973" i="2"/>
  <c r="E2973" i="2"/>
  <c r="D2973" i="2"/>
  <c r="C2973" i="2"/>
  <c r="B2973" i="2"/>
  <c r="A2973" i="2"/>
  <c r="AX2972" i="2"/>
  <c r="AV2972" i="2"/>
  <c r="AU2972" i="2"/>
  <c r="AR2972" i="2"/>
  <c r="AQ2972" i="2"/>
  <c r="AO2972" i="2"/>
  <c r="AL2972" i="2"/>
  <c r="AK2972" i="2"/>
  <c r="AJ2972" i="2"/>
  <c r="AI2972" i="2"/>
  <c r="AH2972" i="2"/>
  <c r="AG2972" i="2"/>
  <c r="AE2972" i="2"/>
  <c r="AD2972" i="2"/>
  <c r="AA2972" i="2"/>
  <c r="Z2972" i="2"/>
  <c r="Y2972" i="2"/>
  <c r="X2972" i="2"/>
  <c r="V2972" i="2"/>
  <c r="U2972" i="2"/>
  <c r="T2972" i="2"/>
  <c r="S2972" i="2"/>
  <c r="R2972" i="2"/>
  <c r="Q2972" i="2"/>
  <c r="P2972" i="2"/>
  <c r="O2972" i="2"/>
  <c r="N2972" i="2"/>
  <c r="K2972" i="2"/>
  <c r="J2972" i="2"/>
  <c r="I2972" i="2"/>
  <c r="H2972" i="2"/>
  <c r="G2972" i="2"/>
  <c r="F2972" i="2"/>
  <c r="E2972" i="2"/>
  <c r="D2972" i="2"/>
  <c r="C2972" i="2"/>
  <c r="B2972" i="2"/>
  <c r="A2972" i="2"/>
  <c r="AX2971" i="2"/>
  <c r="AV2971" i="2"/>
  <c r="AU2971" i="2"/>
  <c r="AR2971" i="2"/>
  <c r="AQ2971" i="2"/>
  <c r="AO2971" i="2"/>
  <c r="AK2971" i="2"/>
  <c r="AI2971" i="2"/>
  <c r="AH2971" i="2"/>
  <c r="AG2971" i="2"/>
  <c r="AE2971" i="2"/>
  <c r="AD2971" i="2"/>
  <c r="AA2971" i="2"/>
  <c r="Z2971" i="2"/>
  <c r="Y2971" i="2"/>
  <c r="X2971" i="2"/>
  <c r="V2971" i="2"/>
  <c r="U2971" i="2"/>
  <c r="T2971" i="2"/>
  <c r="S2971" i="2"/>
  <c r="R2971" i="2"/>
  <c r="Q2971" i="2"/>
  <c r="P2971" i="2"/>
  <c r="O2971" i="2"/>
  <c r="N2971" i="2"/>
  <c r="K2971" i="2"/>
  <c r="J2971" i="2"/>
  <c r="I2971" i="2"/>
  <c r="H2971" i="2"/>
  <c r="G2971" i="2"/>
  <c r="F2971" i="2"/>
  <c r="E2971" i="2"/>
  <c r="D2971" i="2"/>
  <c r="C2971" i="2"/>
  <c r="B2971" i="2"/>
  <c r="A2971" i="2"/>
  <c r="AX2970" i="2"/>
  <c r="AV2970" i="2"/>
  <c r="AU2970" i="2"/>
  <c r="AS2970" i="2"/>
  <c r="AR2970" i="2"/>
  <c r="AQ2970" i="2"/>
  <c r="AI2970" i="2"/>
  <c r="AH2970" i="2"/>
  <c r="AG2970" i="2"/>
  <c r="AE2970" i="2"/>
  <c r="AD2970" i="2"/>
  <c r="AA2970" i="2"/>
  <c r="Z2970" i="2"/>
  <c r="Y2970" i="2"/>
  <c r="X2970" i="2"/>
  <c r="U2970" i="2"/>
  <c r="T2970" i="2"/>
  <c r="S2970" i="2"/>
  <c r="Q2970" i="2"/>
  <c r="P2970" i="2"/>
  <c r="O2970" i="2"/>
  <c r="N2970" i="2"/>
  <c r="K2970" i="2"/>
  <c r="J2970" i="2"/>
  <c r="I2970" i="2"/>
  <c r="H2970" i="2"/>
  <c r="G2970" i="2"/>
  <c r="F2970" i="2"/>
  <c r="E2970" i="2"/>
  <c r="D2970" i="2"/>
  <c r="C2970" i="2"/>
  <c r="B2970" i="2"/>
  <c r="A2970" i="2"/>
  <c r="AX2969" i="2"/>
  <c r="AV2969" i="2"/>
  <c r="AU2969" i="2"/>
  <c r="AS2969" i="2"/>
  <c r="AR2969" i="2"/>
  <c r="AQ2969" i="2"/>
  <c r="AO2969" i="2"/>
  <c r="AL2969" i="2"/>
  <c r="AK2969" i="2"/>
  <c r="AJ2969" i="2"/>
  <c r="AI2969" i="2"/>
  <c r="AH2969" i="2"/>
  <c r="AG2969" i="2"/>
  <c r="AF2969" i="2"/>
  <c r="AE2969" i="2"/>
  <c r="AD2969" i="2"/>
  <c r="AA2969" i="2"/>
  <c r="Z2969" i="2"/>
  <c r="Y2969" i="2"/>
  <c r="X2969" i="2"/>
  <c r="V2969" i="2"/>
  <c r="U2969" i="2"/>
  <c r="T2969" i="2"/>
  <c r="S2969" i="2"/>
  <c r="R2969" i="2"/>
  <c r="Q2969" i="2"/>
  <c r="P2969" i="2"/>
  <c r="O2969" i="2"/>
  <c r="N2969" i="2"/>
  <c r="K2969" i="2"/>
  <c r="J2969" i="2"/>
  <c r="I2969" i="2"/>
  <c r="H2969" i="2"/>
  <c r="G2969" i="2"/>
  <c r="F2969" i="2"/>
  <c r="E2969" i="2"/>
  <c r="D2969" i="2"/>
  <c r="C2969" i="2"/>
  <c r="B2969" i="2"/>
  <c r="A2969" i="2"/>
  <c r="AX2968" i="2"/>
  <c r="AV2968" i="2"/>
  <c r="AU2968" i="2"/>
  <c r="AS2968" i="2"/>
  <c r="AR2968" i="2"/>
  <c r="AQ2968" i="2"/>
  <c r="AO2968" i="2"/>
  <c r="AL2968" i="2"/>
  <c r="AK2968" i="2"/>
  <c r="AJ2968" i="2"/>
  <c r="AI2968" i="2"/>
  <c r="AH2968" i="2"/>
  <c r="AG2968" i="2"/>
  <c r="AE2968" i="2"/>
  <c r="AD2968" i="2"/>
  <c r="AA2968" i="2"/>
  <c r="Z2968" i="2"/>
  <c r="Y2968" i="2"/>
  <c r="X2968" i="2"/>
  <c r="V2968" i="2"/>
  <c r="U2968" i="2"/>
  <c r="T2968" i="2"/>
  <c r="S2968" i="2"/>
  <c r="R2968" i="2"/>
  <c r="Q2968" i="2"/>
  <c r="P2968" i="2"/>
  <c r="O2968" i="2"/>
  <c r="N2968" i="2"/>
  <c r="K2968" i="2"/>
  <c r="J2968" i="2"/>
  <c r="I2968" i="2"/>
  <c r="H2968" i="2"/>
  <c r="G2968" i="2"/>
  <c r="F2968" i="2"/>
  <c r="E2968" i="2"/>
  <c r="D2968" i="2"/>
  <c r="C2968" i="2"/>
  <c r="B2968" i="2"/>
  <c r="A2968" i="2"/>
  <c r="AX2967" i="2"/>
  <c r="AV2967" i="2"/>
  <c r="AU2967" i="2"/>
  <c r="AS2967" i="2"/>
  <c r="AR2967" i="2"/>
  <c r="AQ2967" i="2"/>
  <c r="AO2967" i="2"/>
  <c r="AN2967" i="2"/>
  <c r="AM2967" i="2"/>
  <c r="AL2967" i="2"/>
  <c r="AK2967" i="2"/>
  <c r="AJ2967" i="2"/>
  <c r="AI2967" i="2"/>
  <c r="AH2967" i="2"/>
  <c r="AG2967" i="2"/>
  <c r="AE2967" i="2"/>
  <c r="AD2967" i="2"/>
  <c r="AC2967" i="2"/>
  <c r="AA2967" i="2"/>
  <c r="Z2967" i="2"/>
  <c r="Y2967" i="2"/>
  <c r="X2967" i="2"/>
  <c r="W2967" i="2"/>
  <c r="V2967" i="2"/>
  <c r="U2967" i="2"/>
  <c r="T2967" i="2"/>
  <c r="S2967" i="2"/>
  <c r="R2967" i="2"/>
  <c r="Q2967" i="2"/>
  <c r="P2967" i="2"/>
  <c r="O2967" i="2"/>
  <c r="N2967" i="2"/>
  <c r="M2967" i="2"/>
  <c r="K2967" i="2"/>
  <c r="J2967" i="2"/>
  <c r="I2967" i="2"/>
  <c r="H2967" i="2"/>
  <c r="G2967" i="2"/>
  <c r="F2967" i="2"/>
  <c r="E2967" i="2"/>
  <c r="D2967" i="2"/>
  <c r="C2967" i="2"/>
  <c r="B2967" i="2"/>
  <c r="A2967" i="2"/>
  <c r="AX2966" i="2"/>
  <c r="AV2966" i="2"/>
  <c r="AU2966" i="2"/>
  <c r="AS2966" i="2"/>
  <c r="AR2966" i="2"/>
  <c r="AQ2966" i="2"/>
  <c r="AO2966" i="2"/>
  <c r="AL2966" i="2"/>
  <c r="AK2966" i="2"/>
  <c r="AI2966" i="2"/>
  <c r="AH2966" i="2"/>
  <c r="AG2966" i="2"/>
  <c r="AE2966" i="2"/>
  <c r="AD2966" i="2"/>
  <c r="AA2966" i="2"/>
  <c r="Z2966" i="2"/>
  <c r="Y2966" i="2"/>
  <c r="X2966" i="2"/>
  <c r="W2966" i="2"/>
  <c r="V2966" i="2"/>
  <c r="U2966" i="2"/>
  <c r="T2966" i="2"/>
  <c r="S2966" i="2"/>
  <c r="R2966" i="2"/>
  <c r="Q2966" i="2"/>
  <c r="P2966" i="2"/>
  <c r="O2966" i="2"/>
  <c r="N2966" i="2"/>
  <c r="K2966" i="2"/>
  <c r="J2966" i="2"/>
  <c r="I2966" i="2"/>
  <c r="H2966" i="2"/>
  <c r="G2966" i="2"/>
  <c r="F2966" i="2"/>
  <c r="E2966" i="2"/>
  <c r="D2966" i="2"/>
  <c r="C2966" i="2"/>
  <c r="B2966" i="2"/>
  <c r="A2966" i="2"/>
  <c r="AX2965" i="2"/>
  <c r="AV2965" i="2"/>
  <c r="AU2965" i="2"/>
  <c r="AS2965" i="2"/>
  <c r="AR2965" i="2"/>
  <c r="AQ2965" i="2"/>
  <c r="AO2965" i="2"/>
  <c r="AL2965" i="2"/>
  <c r="AK2965" i="2"/>
  <c r="AJ2965" i="2"/>
  <c r="AI2965" i="2"/>
  <c r="AH2965" i="2"/>
  <c r="AG2965" i="2"/>
  <c r="AE2965" i="2"/>
  <c r="AD2965" i="2"/>
  <c r="AA2965" i="2"/>
  <c r="Z2965" i="2"/>
  <c r="Y2965" i="2"/>
  <c r="X2965" i="2"/>
  <c r="W2965" i="2"/>
  <c r="V2965" i="2"/>
  <c r="U2965" i="2"/>
  <c r="T2965" i="2"/>
  <c r="S2965" i="2"/>
  <c r="R2965" i="2"/>
  <c r="Q2965" i="2"/>
  <c r="P2965" i="2"/>
  <c r="O2965" i="2"/>
  <c r="N2965" i="2"/>
  <c r="K2965" i="2"/>
  <c r="J2965" i="2"/>
  <c r="I2965" i="2"/>
  <c r="H2965" i="2"/>
  <c r="G2965" i="2"/>
  <c r="F2965" i="2"/>
  <c r="E2965" i="2"/>
  <c r="D2965" i="2"/>
  <c r="C2965" i="2"/>
  <c r="B2965" i="2"/>
  <c r="A2965" i="2"/>
  <c r="AX2964" i="2"/>
  <c r="AV2964" i="2"/>
  <c r="AU2964" i="2"/>
  <c r="AS2964" i="2"/>
  <c r="AR2964" i="2"/>
  <c r="AQ2964" i="2"/>
  <c r="AO2964" i="2"/>
  <c r="AL2964" i="2"/>
  <c r="AK2964" i="2"/>
  <c r="AJ2964" i="2"/>
  <c r="AI2964" i="2"/>
  <c r="AH2964" i="2"/>
  <c r="AG2964" i="2"/>
  <c r="AD2964" i="2"/>
  <c r="AA2964" i="2"/>
  <c r="Z2964" i="2"/>
  <c r="Y2964" i="2"/>
  <c r="X2964" i="2"/>
  <c r="W2964" i="2"/>
  <c r="V2964" i="2"/>
  <c r="U2964" i="2"/>
  <c r="T2964" i="2"/>
  <c r="S2964" i="2"/>
  <c r="R2964" i="2"/>
  <c r="Q2964" i="2"/>
  <c r="P2964" i="2"/>
  <c r="O2964" i="2"/>
  <c r="N2964" i="2"/>
  <c r="K2964" i="2"/>
  <c r="J2964" i="2"/>
  <c r="I2964" i="2"/>
  <c r="H2964" i="2"/>
  <c r="G2964" i="2"/>
  <c r="F2964" i="2"/>
  <c r="E2964" i="2"/>
  <c r="D2964" i="2"/>
  <c r="C2964" i="2"/>
  <c r="B2964" i="2"/>
  <c r="A2964" i="2"/>
  <c r="AX2963" i="2"/>
  <c r="AV2963" i="2"/>
  <c r="AU2963" i="2"/>
  <c r="AR2963" i="2"/>
  <c r="AQ2963" i="2"/>
  <c r="AO2963" i="2"/>
  <c r="AL2963" i="2"/>
  <c r="AK2963" i="2"/>
  <c r="AJ2963" i="2"/>
  <c r="AI2963" i="2"/>
  <c r="AH2963" i="2"/>
  <c r="AG2963" i="2"/>
  <c r="AE2963" i="2"/>
  <c r="AD2963" i="2"/>
  <c r="AA2963" i="2"/>
  <c r="Z2963" i="2"/>
  <c r="Y2963" i="2"/>
  <c r="X2963" i="2"/>
  <c r="W2963" i="2"/>
  <c r="V2963" i="2"/>
  <c r="U2963" i="2"/>
  <c r="T2963" i="2"/>
  <c r="S2963" i="2"/>
  <c r="R2963" i="2"/>
  <c r="Q2963" i="2"/>
  <c r="P2963" i="2"/>
  <c r="O2963" i="2"/>
  <c r="N2963" i="2"/>
  <c r="K2963" i="2"/>
  <c r="J2963" i="2"/>
  <c r="I2963" i="2"/>
  <c r="H2963" i="2"/>
  <c r="G2963" i="2"/>
  <c r="F2963" i="2"/>
  <c r="E2963" i="2"/>
  <c r="D2963" i="2"/>
  <c r="C2963" i="2"/>
  <c r="B2963" i="2"/>
  <c r="A2963" i="2"/>
  <c r="AX2962" i="2"/>
  <c r="AV2962" i="2"/>
  <c r="AU2962" i="2"/>
  <c r="AS2962" i="2"/>
  <c r="AR2962" i="2"/>
  <c r="AQ2962" i="2"/>
  <c r="AO2962" i="2"/>
  <c r="AL2962" i="2"/>
  <c r="AK2962" i="2"/>
  <c r="AJ2962" i="2"/>
  <c r="AI2962" i="2"/>
  <c r="AH2962" i="2"/>
  <c r="AG2962" i="2"/>
  <c r="AE2962" i="2"/>
  <c r="AD2962" i="2"/>
  <c r="AA2962" i="2"/>
  <c r="Z2962" i="2"/>
  <c r="Y2962" i="2"/>
  <c r="X2962" i="2"/>
  <c r="W2962" i="2"/>
  <c r="V2962" i="2"/>
  <c r="U2962" i="2"/>
  <c r="T2962" i="2"/>
  <c r="S2962" i="2"/>
  <c r="R2962" i="2"/>
  <c r="Q2962" i="2"/>
  <c r="P2962" i="2"/>
  <c r="O2962" i="2"/>
  <c r="N2962" i="2"/>
  <c r="K2962" i="2"/>
  <c r="J2962" i="2"/>
  <c r="I2962" i="2"/>
  <c r="H2962" i="2"/>
  <c r="G2962" i="2"/>
  <c r="F2962" i="2"/>
  <c r="E2962" i="2"/>
  <c r="D2962" i="2"/>
  <c r="C2962" i="2"/>
  <c r="B2962" i="2"/>
  <c r="A2962" i="2"/>
  <c r="AX2961" i="2"/>
  <c r="AV2961" i="2"/>
  <c r="AU2961" i="2"/>
  <c r="AS2961" i="2"/>
  <c r="AR2961" i="2"/>
  <c r="AQ2961" i="2"/>
  <c r="AP2961" i="2"/>
  <c r="AO2961" i="2"/>
  <c r="AL2961" i="2"/>
  <c r="AK2961" i="2"/>
  <c r="AI2961" i="2"/>
  <c r="AH2961" i="2"/>
  <c r="AG2961" i="2"/>
  <c r="AE2961" i="2"/>
  <c r="AD2961" i="2"/>
  <c r="AA2961" i="2"/>
  <c r="Z2961" i="2"/>
  <c r="Y2961" i="2"/>
  <c r="X2961" i="2"/>
  <c r="W2961" i="2"/>
  <c r="V2961" i="2"/>
  <c r="U2961" i="2"/>
  <c r="T2961" i="2"/>
  <c r="S2961" i="2"/>
  <c r="R2961" i="2"/>
  <c r="Q2961" i="2"/>
  <c r="P2961" i="2"/>
  <c r="O2961" i="2"/>
  <c r="N2961" i="2"/>
  <c r="K2961" i="2"/>
  <c r="J2961" i="2"/>
  <c r="I2961" i="2"/>
  <c r="H2961" i="2"/>
  <c r="G2961" i="2"/>
  <c r="F2961" i="2"/>
  <c r="E2961" i="2"/>
  <c r="D2961" i="2"/>
  <c r="C2961" i="2"/>
  <c r="B2961" i="2"/>
  <c r="A2961" i="2"/>
  <c r="AX2960" i="2"/>
  <c r="AV2960" i="2"/>
  <c r="AU2960" i="2"/>
  <c r="AS2960" i="2"/>
  <c r="AR2960" i="2"/>
  <c r="AQ2960" i="2"/>
  <c r="AO2960" i="2"/>
  <c r="AL2960" i="2"/>
  <c r="AK2960" i="2"/>
  <c r="AJ2960" i="2"/>
  <c r="AI2960" i="2"/>
  <c r="AH2960" i="2"/>
  <c r="AG2960" i="2"/>
  <c r="AF2960" i="2"/>
  <c r="AE2960" i="2"/>
  <c r="AD2960" i="2"/>
  <c r="AA2960" i="2"/>
  <c r="Z2960" i="2"/>
  <c r="Y2960" i="2"/>
  <c r="X2960" i="2"/>
  <c r="W2960" i="2"/>
  <c r="V2960" i="2"/>
  <c r="U2960" i="2"/>
  <c r="T2960" i="2"/>
  <c r="S2960" i="2"/>
  <c r="R2960" i="2"/>
  <c r="Q2960" i="2"/>
  <c r="P2960" i="2"/>
  <c r="O2960" i="2"/>
  <c r="N2960" i="2"/>
  <c r="K2960" i="2"/>
  <c r="J2960" i="2"/>
  <c r="I2960" i="2"/>
  <c r="H2960" i="2"/>
  <c r="G2960" i="2"/>
  <c r="F2960" i="2"/>
  <c r="E2960" i="2"/>
  <c r="D2960" i="2"/>
  <c r="C2960" i="2"/>
  <c r="B2960" i="2"/>
  <c r="A2960" i="2"/>
  <c r="AX2959" i="2"/>
  <c r="AV2959" i="2"/>
  <c r="AU2959" i="2"/>
  <c r="AS2959" i="2"/>
  <c r="AR2959" i="2"/>
  <c r="AQ2959" i="2"/>
  <c r="AO2959" i="2"/>
  <c r="AL2959" i="2"/>
  <c r="AK2959" i="2"/>
  <c r="AJ2959" i="2"/>
  <c r="AI2959" i="2"/>
  <c r="AH2959" i="2"/>
  <c r="AG2959" i="2"/>
  <c r="AE2959" i="2"/>
  <c r="AD2959" i="2"/>
  <c r="AA2959" i="2"/>
  <c r="Z2959" i="2"/>
  <c r="Y2959" i="2"/>
  <c r="X2959" i="2"/>
  <c r="W2959" i="2"/>
  <c r="V2959" i="2"/>
  <c r="U2959" i="2"/>
  <c r="T2959" i="2"/>
  <c r="S2959" i="2"/>
  <c r="R2959" i="2"/>
  <c r="Q2959" i="2"/>
  <c r="P2959" i="2"/>
  <c r="O2959" i="2"/>
  <c r="N2959" i="2"/>
  <c r="K2959" i="2"/>
  <c r="J2959" i="2"/>
  <c r="I2959" i="2"/>
  <c r="H2959" i="2"/>
  <c r="G2959" i="2"/>
  <c r="F2959" i="2"/>
  <c r="E2959" i="2"/>
  <c r="D2959" i="2"/>
  <c r="C2959" i="2"/>
  <c r="B2959" i="2"/>
  <c r="A2959" i="2"/>
  <c r="AX2958" i="2"/>
  <c r="AV2958" i="2"/>
  <c r="AU2958" i="2"/>
  <c r="AN2958" i="2"/>
  <c r="AM2958" i="2"/>
  <c r="Z2958" i="2"/>
  <c r="Y2958" i="2"/>
  <c r="X2958" i="2"/>
  <c r="W2958" i="2"/>
  <c r="V2958" i="2"/>
  <c r="U2958" i="2"/>
  <c r="T2958" i="2"/>
  <c r="S2958" i="2"/>
  <c r="R2958" i="2"/>
  <c r="Q2958" i="2"/>
  <c r="P2958" i="2"/>
  <c r="O2958" i="2"/>
  <c r="N2958" i="2"/>
  <c r="M2958" i="2"/>
  <c r="K2958" i="2"/>
  <c r="J2958" i="2"/>
  <c r="I2958" i="2"/>
  <c r="H2958" i="2"/>
  <c r="G2958" i="2"/>
  <c r="F2958" i="2"/>
  <c r="E2958" i="2"/>
  <c r="D2958" i="2"/>
  <c r="C2958" i="2"/>
  <c r="B2958" i="2"/>
  <c r="A2958" i="2"/>
  <c r="AX2957" i="2"/>
  <c r="AV2957" i="2"/>
  <c r="AU2957" i="2"/>
  <c r="AS2957" i="2"/>
  <c r="AR2957" i="2"/>
  <c r="AQ2957" i="2"/>
  <c r="AO2957" i="2"/>
  <c r="AL2957" i="2"/>
  <c r="AK2957" i="2"/>
  <c r="AJ2957" i="2"/>
  <c r="AI2957" i="2"/>
  <c r="AH2957" i="2"/>
  <c r="AG2957" i="2"/>
  <c r="AE2957" i="2"/>
  <c r="AD2957" i="2"/>
  <c r="AA2957" i="2"/>
  <c r="Z2957" i="2"/>
  <c r="Y2957" i="2"/>
  <c r="X2957" i="2"/>
  <c r="W2957" i="2"/>
  <c r="V2957" i="2"/>
  <c r="U2957" i="2"/>
  <c r="T2957" i="2"/>
  <c r="S2957" i="2"/>
  <c r="R2957" i="2"/>
  <c r="Q2957" i="2"/>
  <c r="P2957" i="2"/>
  <c r="O2957" i="2"/>
  <c r="N2957" i="2"/>
  <c r="K2957" i="2"/>
  <c r="J2957" i="2"/>
  <c r="I2957" i="2"/>
  <c r="H2957" i="2"/>
  <c r="G2957" i="2"/>
  <c r="F2957" i="2"/>
  <c r="E2957" i="2"/>
  <c r="D2957" i="2"/>
  <c r="C2957" i="2"/>
  <c r="B2957" i="2"/>
  <c r="A2957" i="2"/>
  <c r="AX2956" i="2"/>
  <c r="AV2956" i="2"/>
  <c r="AU2956" i="2"/>
  <c r="AS2956" i="2"/>
  <c r="AR2956" i="2"/>
  <c r="AQ2956" i="2"/>
  <c r="AO2956" i="2"/>
  <c r="AN2956" i="2"/>
  <c r="AM2956" i="2"/>
  <c r="AL2956" i="2"/>
  <c r="AK2956" i="2"/>
  <c r="AI2956" i="2"/>
  <c r="AH2956" i="2"/>
  <c r="AG2956" i="2"/>
  <c r="AF2956" i="2"/>
  <c r="AE2956" i="2"/>
  <c r="AD2956" i="2"/>
  <c r="AA2956" i="2"/>
  <c r="Z2956" i="2"/>
  <c r="Y2956" i="2"/>
  <c r="X2956" i="2"/>
  <c r="V2956" i="2"/>
  <c r="U2956" i="2"/>
  <c r="T2956" i="2"/>
  <c r="S2956" i="2"/>
  <c r="R2956" i="2"/>
  <c r="Q2956" i="2"/>
  <c r="P2956" i="2"/>
  <c r="O2956" i="2"/>
  <c r="N2956" i="2"/>
  <c r="K2956" i="2"/>
  <c r="J2956" i="2"/>
  <c r="I2956" i="2"/>
  <c r="H2956" i="2"/>
  <c r="G2956" i="2"/>
  <c r="F2956" i="2"/>
  <c r="E2956" i="2"/>
  <c r="D2956" i="2"/>
  <c r="C2956" i="2"/>
  <c r="B2956" i="2"/>
  <c r="A2956" i="2"/>
  <c r="AX2955" i="2"/>
  <c r="AV2955" i="2"/>
  <c r="AU2955" i="2"/>
  <c r="AS2955" i="2"/>
  <c r="AR2955" i="2"/>
  <c r="AQ2955" i="2"/>
  <c r="AO2955" i="2"/>
  <c r="AL2955" i="2"/>
  <c r="AK2955" i="2"/>
  <c r="AJ2955" i="2"/>
  <c r="AI2955" i="2"/>
  <c r="AH2955" i="2"/>
  <c r="AG2955" i="2"/>
  <c r="AE2955" i="2"/>
  <c r="AD2955" i="2"/>
  <c r="AA2955" i="2"/>
  <c r="Z2955" i="2"/>
  <c r="Y2955" i="2"/>
  <c r="X2955" i="2"/>
  <c r="U2955" i="2"/>
  <c r="T2955" i="2"/>
  <c r="S2955" i="2"/>
  <c r="R2955" i="2"/>
  <c r="Q2955" i="2"/>
  <c r="P2955" i="2"/>
  <c r="O2955" i="2"/>
  <c r="N2955" i="2"/>
  <c r="K2955" i="2"/>
  <c r="J2955" i="2"/>
  <c r="I2955" i="2"/>
  <c r="H2955" i="2"/>
  <c r="G2955" i="2"/>
  <c r="F2955" i="2"/>
  <c r="E2955" i="2"/>
  <c r="D2955" i="2"/>
  <c r="C2955" i="2"/>
  <c r="B2955" i="2"/>
  <c r="A2955" i="2"/>
  <c r="AX2954" i="2"/>
  <c r="AV2954" i="2"/>
  <c r="AU2954" i="2"/>
  <c r="AR2954" i="2"/>
  <c r="AQ2954" i="2"/>
  <c r="AO2954" i="2"/>
  <c r="AL2954" i="2"/>
  <c r="AK2954" i="2"/>
  <c r="AJ2954" i="2"/>
  <c r="AI2954" i="2"/>
  <c r="AH2954" i="2"/>
  <c r="AG2954" i="2"/>
  <c r="AF2954" i="2"/>
  <c r="AE2954" i="2"/>
  <c r="AD2954" i="2"/>
  <c r="AA2954" i="2"/>
  <c r="Z2954" i="2"/>
  <c r="Y2954" i="2"/>
  <c r="X2954" i="2"/>
  <c r="W2954" i="2"/>
  <c r="V2954" i="2"/>
  <c r="U2954" i="2"/>
  <c r="T2954" i="2"/>
  <c r="S2954" i="2"/>
  <c r="R2954" i="2"/>
  <c r="Q2954" i="2"/>
  <c r="P2954" i="2"/>
  <c r="O2954" i="2"/>
  <c r="N2954" i="2"/>
  <c r="K2954" i="2"/>
  <c r="J2954" i="2"/>
  <c r="I2954" i="2"/>
  <c r="H2954" i="2"/>
  <c r="G2954" i="2"/>
  <c r="F2954" i="2"/>
  <c r="E2954" i="2"/>
  <c r="D2954" i="2"/>
  <c r="C2954" i="2"/>
  <c r="B2954" i="2"/>
  <c r="A2954" i="2"/>
  <c r="AX2953" i="2"/>
  <c r="AV2953" i="2"/>
  <c r="AU2953" i="2"/>
  <c r="AS2953" i="2"/>
  <c r="AR2953" i="2"/>
  <c r="AQ2953" i="2"/>
  <c r="AO2953" i="2"/>
  <c r="AL2953" i="2"/>
  <c r="AK2953" i="2"/>
  <c r="AJ2953" i="2"/>
  <c r="AI2953" i="2"/>
  <c r="AH2953" i="2"/>
  <c r="AG2953" i="2"/>
  <c r="AD2953" i="2"/>
  <c r="AA2953" i="2"/>
  <c r="Z2953" i="2"/>
  <c r="Y2953" i="2"/>
  <c r="X2953" i="2"/>
  <c r="U2953" i="2"/>
  <c r="T2953" i="2"/>
  <c r="S2953" i="2"/>
  <c r="R2953" i="2"/>
  <c r="Q2953" i="2"/>
  <c r="P2953" i="2"/>
  <c r="O2953" i="2"/>
  <c r="N2953" i="2"/>
  <c r="K2953" i="2"/>
  <c r="J2953" i="2"/>
  <c r="I2953" i="2"/>
  <c r="H2953" i="2"/>
  <c r="G2953" i="2"/>
  <c r="F2953" i="2"/>
  <c r="E2953" i="2"/>
  <c r="D2953" i="2"/>
  <c r="C2953" i="2"/>
  <c r="B2953" i="2"/>
  <c r="A2953" i="2"/>
  <c r="AX2952" i="2"/>
  <c r="AV2952" i="2"/>
  <c r="AU2952" i="2"/>
  <c r="AS2952" i="2"/>
  <c r="AR2952" i="2"/>
  <c r="AQ2952" i="2"/>
  <c r="AO2952" i="2"/>
  <c r="AN2952" i="2"/>
  <c r="AM2952" i="2"/>
  <c r="AL2952" i="2"/>
  <c r="AK2952" i="2"/>
  <c r="AJ2952" i="2"/>
  <c r="AI2952" i="2"/>
  <c r="AH2952" i="2"/>
  <c r="AG2952" i="2"/>
  <c r="AE2952" i="2"/>
  <c r="AD2952" i="2"/>
  <c r="AA2952" i="2"/>
  <c r="Z2952" i="2"/>
  <c r="Y2952" i="2"/>
  <c r="W2952" i="2"/>
  <c r="V2952" i="2"/>
  <c r="U2952" i="2"/>
  <c r="T2952" i="2"/>
  <c r="S2952" i="2"/>
  <c r="R2952" i="2"/>
  <c r="Q2952" i="2"/>
  <c r="P2952" i="2"/>
  <c r="O2952" i="2"/>
  <c r="N2952" i="2"/>
  <c r="K2952" i="2"/>
  <c r="J2952" i="2"/>
  <c r="I2952" i="2"/>
  <c r="H2952" i="2"/>
  <c r="G2952" i="2"/>
  <c r="F2952" i="2"/>
  <c r="E2952" i="2"/>
  <c r="D2952" i="2"/>
  <c r="C2952" i="2"/>
  <c r="B2952" i="2"/>
  <c r="A2952" i="2"/>
  <c r="AX2951" i="2"/>
  <c r="AV2951" i="2"/>
  <c r="AU2951" i="2"/>
  <c r="AS2951" i="2"/>
  <c r="AR2951" i="2"/>
  <c r="AQ2951" i="2"/>
  <c r="AO2951" i="2"/>
  <c r="AL2951" i="2"/>
  <c r="AK2951" i="2"/>
  <c r="AI2951" i="2"/>
  <c r="AH2951" i="2"/>
  <c r="AG2951" i="2"/>
  <c r="AE2951" i="2"/>
  <c r="AD2951" i="2"/>
  <c r="AA2951" i="2"/>
  <c r="Z2951" i="2"/>
  <c r="Y2951" i="2"/>
  <c r="X2951" i="2"/>
  <c r="V2951" i="2"/>
  <c r="U2951" i="2"/>
  <c r="T2951" i="2"/>
  <c r="S2951" i="2"/>
  <c r="R2951" i="2"/>
  <c r="Q2951" i="2"/>
  <c r="P2951" i="2"/>
  <c r="O2951" i="2"/>
  <c r="N2951" i="2"/>
  <c r="K2951" i="2"/>
  <c r="J2951" i="2"/>
  <c r="I2951" i="2"/>
  <c r="H2951" i="2"/>
  <c r="G2951" i="2"/>
  <c r="F2951" i="2"/>
  <c r="E2951" i="2"/>
  <c r="D2951" i="2"/>
  <c r="C2951" i="2"/>
  <c r="B2951" i="2"/>
  <c r="A2951" i="2"/>
  <c r="AX2950" i="2"/>
  <c r="AV2950" i="2"/>
  <c r="AU2950" i="2"/>
  <c r="AS2950" i="2"/>
  <c r="AR2950" i="2"/>
  <c r="AQ2950" i="2"/>
  <c r="AO2950" i="2"/>
  <c r="AL2950" i="2"/>
  <c r="AK2950" i="2"/>
  <c r="AI2950" i="2"/>
  <c r="AH2950" i="2"/>
  <c r="AG2950" i="2"/>
  <c r="AE2950" i="2"/>
  <c r="AD2950" i="2"/>
  <c r="AA2950" i="2"/>
  <c r="Z2950" i="2"/>
  <c r="Y2950" i="2"/>
  <c r="X2950" i="2"/>
  <c r="U2950" i="2"/>
  <c r="T2950" i="2"/>
  <c r="S2950" i="2"/>
  <c r="R2950" i="2"/>
  <c r="Q2950" i="2"/>
  <c r="P2950" i="2"/>
  <c r="O2950" i="2"/>
  <c r="N2950" i="2"/>
  <c r="K2950" i="2"/>
  <c r="J2950" i="2"/>
  <c r="I2950" i="2"/>
  <c r="H2950" i="2"/>
  <c r="G2950" i="2"/>
  <c r="F2950" i="2"/>
  <c r="E2950" i="2"/>
  <c r="D2950" i="2"/>
  <c r="C2950" i="2"/>
  <c r="B2950" i="2"/>
  <c r="A2950" i="2"/>
  <c r="AX2949" i="2"/>
  <c r="AV2949" i="2"/>
  <c r="AU2949" i="2"/>
  <c r="AS2949" i="2"/>
  <c r="AR2949" i="2"/>
  <c r="AQ2949" i="2"/>
  <c r="AO2949" i="2"/>
  <c r="AL2949" i="2"/>
  <c r="AK2949" i="2"/>
  <c r="AI2949" i="2"/>
  <c r="AH2949" i="2"/>
  <c r="AG2949" i="2"/>
  <c r="AE2949" i="2"/>
  <c r="AD2949" i="2"/>
  <c r="AA2949" i="2"/>
  <c r="Z2949" i="2"/>
  <c r="Y2949" i="2"/>
  <c r="X2949" i="2"/>
  <c r="W2949" i="2"/>
  <c r="V2949" i="2"/>
  <c r="U2949" i="2"/>
  <c r="T2949" i="2"/>
  <c r="S2949" i="2"/>
  <c r="R2949" i="2"/>
  <c r="Q2949" i="2"/>
  <c r="P2949" i="2"/>
  <c r="O2949" i="2"/>
  <c r="N2949" i="2"/>
  <c r="K2949" i="2"/>
  <c r="J2949" i="2"/>
  <c r="I2949" i="2"/>
  <c r="H2949" i="2"/>
  <c r="G2949" i="2"/>
  <c r="F2949" i="2"/>
  <c r="E2949" i="2"/>
  <c r="D2949" i="2"/>
  <c r="C2949" i="2"/>
  <c r="B2949" i="2"/>
  <c r="A2949" i="2"/>
  <c r="AX2948" i="2"/>
  <c r="AV2948" i="2"/>
  <c r="AU2948" i="2"/>
  <c r="AS2948" i="2"/>
  <c r="AR2948" i="2"/>
  <c r="AQ2948" i="2"/>
  <c r="AO2948" i="2"/>
  <c r="AK2948" i="2"/>
  <c r="AJ2948" i="2"/>
  <c r="AI2948" i="2"/>
  <c r="AH2948" i="2"/>
  <c r="AG2948" i="2"/>
  <c r="AF2948" i="2"/>
  <c r="AE2948" i="2"/>
  <c r="AD2948" i="2"/>
  <c r="AA2948" i="2"/>
  <c r="Z2948" i="2"/>
  <c r="Y2948" i="2"/>
  <c r="X2948" i="2"/>
  <c r="W2948" i="2"/>
  <c r="V2948" i="2"/>
  <c r="U2948" i="2"/>
  <c r="T2948" i="2"/>
  <c r="S2948" i="2"/>
  <c r="R2948" i="2"/>
  <c r="Q2948" i="2"/>
  <c r="P2948" i="2"/>
  <c r="O2948" i="2"/>
  <c r="N2948" i="2"/>
  <c r="K2948" i="2"/>
  <c r="J2948" i="2"/>
  <c r="I2948" i="2"/>
  <c r="H2948" i="2"/>
  <c r="G2948" i="2"/>
  <c r="F2948" i="2"/>
  <c r="E2948" i="2"/>
  <c r="D2948" i="2"/>
  <c r="C2948" i="2"/>
  <c r="B2948" i="2"/>
  <c r="A2948" i="2"/>
  <c r="AX2947" i="2"/>
  <c r="AV2947" i="2"/>
  <c r="AU2947" i="2"/>
  <c r="AS2947" i="2"/>
  <c r="AR2947" i="2"/>
  <c r="AQ2947" i="2"/>
  <c r="AN2947" i="2"/>
  <c r="AM2947" i="2"/>
  <c r="AL2947" i="2"/>
  <c r="AK2947" i="2"/>
  <c r="AI2947" i="2"/>
  <c r="AH2947" i="2"/>
  <c r="AG2947" i="2"/>
  <c r="AE2947" i="2"/>
  <c r="AD2947" i="2"/>
  <c r="AA2947" i="2"/>
  <c r="Z2947" i="2"/>
  <c r="Y2947" i="2"/>
  <c r="X2947" i="2"/>
  <c r="W2947" i="2"/>
  <c r="V2947" i="2"/>
  <c r="U2947" i="2"/>
  <c r="T2947" i="2"/>
  <c r="S2947" i="2"/>
  <c r="R2947" i="2"/>
  <c r="Q2947" i="2"/>
  <c r="P2947" i="2"/>
  <c r="O2947" i="2"/>
  <c r="N2947" i="2"/>
  <c r="K2947" i="2"/>
  <c r="J2947" i="2"/>
  <c r="I2947" i="2"/>
  <c r="H2947" i="2"/>
  <c r="G2947" i="2"/>
  <c r="F2947" i="2"/>
  <c r="E2947" i="2"/>
  <c r="D2947" i="2"/>
  <c r="C2947" i="2"/>
  <c r="B2947" i="2"/>
  <c r="A2947" i="2"/>
  <c r="AX2946" i="2"/>
  <c r="AV2946" i="2"/>
  <c r="AU2946" i="2"/>
  <c r="AS2946" i="2"/>
  <c r="AR2946" i="2"/>
  <c r="AQ2946" i="2"/>
  <c r="AO2946" i="2"/>
  <c r="AL2946" i="2"/>
  <c r="AK2946" i="2"/>
  <c r="AI2946" i="2"/>
  <c r="AH2946" i="2"/>
  <c r="AG2946" i="2"/>
  <c r="AE2946" i="2"/>
  <c r="AD2946" i="2"/>
  <c r="AA2946" i="2"/>
  <c r="Z2946" i="2"/>
  <c r="Y2946" i="2"/>
  <c r="X2946" i="2"/>
  <c r="W2946" i="2"/>
  <c r="V2946" i="2"/>
  <c r="U2946" i="2"/>
  <c r="T2946" i="2"/>
  <c r="S2946" i="2"/>
  <c r="R2946" i="2"/>
  <c r="Q2946" i="2"/>
  <c r="P2946" i="2"/>
  <c r="O2946" i="2"/>
  <c r="N2946" i="2"/>
  <c r="K2946" i="2"/>
  <c r="J2946" i="2"/>
  <c r="I2946" i="2"/>
  <c r="H2946" i="2"/>
  <c r="G2946" i="2"/>
  <c r="F2946" i="2"/>
  <c r="E2946" i="2"/>
  <c r="D2946" i="2"/>
  <c r="C2946" i="2"/>
  <c r="B2946" i="2"/>
  <c r="A2946" i="2"/>
  <c r="AX2945" i="2"/>
  <c r="AV2945" i="2"/>
  <c r="AU2945" i="2"/>
  <c r="AS2945" i="2"/>
  <c r="AR2945" i="2"/>
  <c r="AQ2945" i="2"/>
  <c r="AO2945" i="2"/>
  <c r="AL2945" i="2"/>
  <c r="AK2945" i="2"/>
  <c r="AJ2945" i="2"/>
  <c r="AI2945" i="2"/>
  <c r="AH2945" i="2"/>
  <c r="AG2945" i="2"/>
  <c r="AE2945" i="2"/>
  <c r="AD2945" i="2"/>
  <c r="AA2945" i="2"/>
  <c r="Z2945" i="2"/>
  <c r="Y2945" i="2"/>
  <c r="X2945" i="2"/>
  <c r="W2945" i="2"/>
  <c r="V2945" i="2"/>
  <c r="U2945" i="2"/>
  <c r="T2945" i="2"/>
  <c r="S2945" i="2"/>
  <c r="R2945" i="2"/>
  <c r="Q2945" i="2"/>
  <c r="P2945" i="2"/>
  <c r="O2945" i="2"/>
  <c r="N2945" i="2"/>
  <c r="K2945" i="2"/>
  <c r="J2945" i="2"/>
  <c r="I2945" i="2"/>
  <c r="H2945" i="2"/>
  <c r="G2945" i="2"/>
  <c r="F2945" i="2"/>
  <c r="E2945" i="2"/>
  <c r="D2945" i="2"/>
  <c r="C2945" i="2"/>
  <c r="B2945" i="2"/>
  <c r="A2945" i="2"/>
  <c r="AX2944" i="2"/>
  <c r="AV2944" i="2"/>
  <c r="AU2944" i="2"/>
  <c r="AR2944" i="2"/>
  <c r="AQ2944" i="2"/>
  <c r="AO2944" i="2"/>
  <c r="AL2944" i="2"/>
  <c r="AJ2944" i="2"/>
  <c r="AI2944" i="2"/>
  <c r="AH2944" i="2"/>
  <c r="AG2944" i="2"/>
  <c r="AE2944" i="2"/>
  <c r="AD2944" i="2"/>
  <c r="AA2944" i="2"/>
  <c r="Z2944" i="2"/>
  <c r="Y2944" i="2"/>
  <c r="X2944" i="2"/>
  <c r="V2944" i="2"/>
  <c r="U2944" i="2"/>
  <c r="T2944" i="2"/>
  <c r="S2944" i="2"/>
  <c r="R2944" i="2"/>
  <c r="Q2944" i="2"/>
  <c r="P2944" i="2"/>
  <c r="O2944" i="2"/>
  <c r="N2944" i="2"/>
  <c r="K2944" i="2"/>
  <c r="J2944" i="2"/>
  <c r="I2944" i="2"/>
  <c r="H2944" i="2"/>
  <c r="G2944" i="2"/>
  <c r="F2944" i="2"/>
  <c r="E2944" i="2"/>
  <c r="D2944" i="2"/>
  <c r="C2944" i="2"/>
  <c r="B2944" i="2"/>
  <c r="A2944" i="2"/>
  <c r="AX2943" i="2"/>
  <c r="AV2943" i="2"/>
  <c r="AU2943" i="2"/>
  <c r="AS2943" i="2"/>
  <c r="AR2943" i="2"/>
  <c r="AQ2943" i="2"/>
  <c r="AO2943" i="2"/>
  <c r="AL2943" i="2"/>
  <c r="AK2943" i="2"/>
  <c r="AJ2943" i="2"/>
  <c r="AI2943" i="2"/>
  <c r="AH2943" i="2"/>
  <c r="AG2943" i="2"/>
  <c r="AF2943" i="2"/>
  <c r="AE2943" i="2"/>
  <c r="AD2943" i="2"/>
  <c r="AA2943" i="2"/>
  <c r="Z2943" i="2"/>
  <c r="Y2943" i="2"/>
  <c r="X2943" i="2"/>
  <c r="W2943" i="2"/>
  <c r="V2943" i="2"/>
  <c r="U2943" i="2"/>
  <c r="T2943" i="2"/>
  <c r="S2943" i="2"/>
  <c r="R2943" i="2"/>
  <c r="Q2943" i="2"/>
  <c r="P2943" i="2"/>
  <c r="O2943" i="2"/>
  <c r="N2943" i="2"/>
  <c r="K2943" i="2"/>
  <c r="J2943" i="2"/>
  <c r="I2943" i="2"/>
  <c r="H2943" i="2"/>
  <c r="G2943" i="2"/>
  <c r="F2943" i="2"/>
  <c r="E2943" i="2"/>
  <c r="D2943" i="2"/>
  <c r="C2943" i="2"/>
  <c r="B2943" i="2"/>
  <c r="A2943" i="2"/>
  <c r="AX2942" i="2"/>
  <c r="AV2942" i="2"/>
  <c r="AU2942" i="2"/>
  <c r="AS2942" i="2"/>
  <c r="AR2942" i="2"/>
  <c r="AQ2942" i="2"/>
  <c r="AO2942" i="2"/>
  <c r="AL2942" i="2"/>
  <c r="AK2942" i="2"/>
  <c r="AI2942" i="2"/>
  <c r="AH2942" i="2"/>
  <c r="AG2942" i="2"/>
  <c r="AE2942" i="2"/>
  <c r="AD2942" i="2"/>
  <c r="AA2942" i="2"/>
  <c r="Z2942" i="2"/>
  <c r="Y2942" i="2"/>
  <c r="X2942" i="2"/>
  <c r="W2942" i="2"/>
  <c r="V2942" i="2"/>
  <c r="U2942" i="2"/>
  <c r="T2942" i="2"/>
  <c r="S2942" i="2"/>
  <c r="R2942" i="2"/>
  <c r="Q2942" i="2"/>
  <c r="P2942" i="2"/>
  <c r="O2942" i="2"/>
  <c r="N2942" i="2"/>
  <c r="K2942" i="2"/>
  <c r="J2942" i="2"/>
  <c r="I2942" i="2"/>
  <c r="H2942" i="2"/>
  <c r="G2942" i="2"/>
  <c r="F2942" i="2"/>
  <c r="E2942" i="2"/>
  <c r="D2942" i="2"/>
  <c r="C2942" i="2"/>
  <c r="B2942" i="2"/>
  <c r="A2942" i="2"/>
  <c r="AX2941" i="2"/>
  <c r="AV2941" i="2"/>
  <c r="AU2941" i="2"/>
  <c r="AS2941" i="2"/>
  <c r="AR2941" i="2"/>
  <c r="AQ2941" i="2"/>
  <c r="AO2941" i="2"/>
  <c r="AL2941" i="2"/>
  <c r="AK2941" i="2"/>
  <c r="AJ2941" i="2"/>
  <c r="AI2941" i="2"/>
  <c r="AH2941" i="2"/>
  <c r="AG2941" i="2"/>
  <c r="AF2941" i="2"/>
  <c r="AE2941" i="2"/>
  <c r="AD2941" i="2"/>
  <c r="AA2941" i="2"/>
  <c r="Z2941" i="2"/>
  <c r="Y2941" i="2"/>
  <c r="X2941" i="2"/>
  <c r="W2941" i="2"/>
  <c r="V2941" i="2"/>
  <c r="U2941" i="2"/>
  <c r="T2941" i="2"/>
  <c r="S2941" i="2"/>
  <c r="R2941" i="2"/>
  <c r="Q2941" i="2"/>
  <c r="P2941" i="2"/>
  <c r="O2941" i="2"/>
  <c r="N2941" i="2"/>
  <c r="K2941" i="2"/>
  <c r="J2941" i="2"/>
  <c r="I2941" i="2"/>
  <c r="H2941" i="2"/>
  <c r="G2941" i="2"/>
  <c r="F2941" i="2"/>
  <c r="E2941" i="2"/>
  <c r="D2941" i="2"/>
  <c r="C2941" i="2"/>
  <c r="B2941" i="2"/>
  <c r="A2941" i="2"/>
  <c r="AX2940" i="2"/>
  <c r="AV2940" i="2"/>
  <c r="AU2940" i="2"/>
  <c r="AR2940" i="2"/>
  <c r="AQ2940" i="2"/>
  <c r="AO2940" i="2"/>
  <c r="AL2940" i="2"/>
  <c r="AK2940" i="2"/>
  <c r="AJ2940" i="2"/>
  <c r="AI2940" i="2"/>
  <c r="AH2940" i="2"/>
  <c r="AG2940" i="2"/>
  <c r="AE2940" i="2"/>
  <c r="AD2940" i="2"/>
  <c r="AA2940" i="2"/>
  <c r="Z2940" i="2"/>
  <c r="Y2940" i="2"/>
  <c r="X2940" i="2"/>
  <c r="W2940" i="2"/>
  <c r="V2940" i="2"/>
  <c r="U2940" i="2"/>
  <c r="T2940" i="2"/>
  <c r="S2940" i="2"/>
  <c r="R2940" i="2"/>
  <c r="Q2940" i="2"/>
  <c r="P2940" i="2"/>
  <c r="O2940" i="2"/>
  <c r="N2940" i="2"/>
  <c r="K2940" i="2"/>
  <c r="J2940" i="2"/>
  <c r="I2940" i="2"/>
  <c r="H2940" i="2"/>
  <c r="G2940" i="2"/>
  <c r="F2940" i="2"/>
  <c r="E2940" i="2"/>
  <c r="D2940" i="2"/>
  <c r="C2940" i="2"/>
  <c r="B2940" i="2"/>
  <c r="A2940" i="2"/>
  <c r="AX2939" i="2"/>
  <c r="AV2939" i="2"/>
  <c r="AU2939" i="2"/>
  <c r="AS2939" i="2"/>
  <c r="AR2939" i="2"/>
  <c r="AQ2939" i="2"/>
  <c r="AO2939" i="2"/>
  <c r="AK2939" i="2"/>
  <c r="AJ2939" i="2"/>
  <c r="AI2939" i="2"/>
  <c r="AH2939" i="2"/>
  <c r="AG2939" i="2"/>
  <c r="AE2939" i="2"/>
  <c r="AA2939" i="2"/>
  <c r="Z2939" i="2"/>
  <c r="Y2939" i="2"/>
  <c r="X2939" i="2"/>
  <c r="V2939" i="2"/>
  <c r="U2939" i="2"/>
  <c r="T2939" i="2"/>
  <c r="S2939" i="2"/>
  <c r="R2939" i="2"/>
  <c r="Q2939" i="2"/>
  <c r="P2939" i="2"/>
  <c r="O2939" i="2"/>
  <c r="N2939" i="2"/>
  <c r="K2939" i="2"/>
  <c r="J2939" i="2"/>
  <c r="I2939" i="2"/>
  <c r="H2939" i="2"/>
  <c r="G2939" i="2"/>
  <c r="F2939" i="2"/>
  <c r="E2939" i="2"/>
  <c r="D2939" i="2"/>
  <c r="C2939" i="2"/>
  <c r="B2939" i="2"/>
  <c r="A2939" i="2"/>
  <c r="AX2938" i="2"/>
  <c r="AV2938" i="2"/>
  <c r="AU2938" i="2"/>
  <c r="AS2938" i="2"/>
  <c r="AR2938" i="2"/>
  <c r="AQ2938" i="2"/>
  <c r="AO2938" i="2"/>
  <c r="AL2938" i="2"/>
  <c r="AK2938" i="2"/>
  <c r="AJ2938" i="2"/>
  <c r="AI2938" i="2"/>
  <c r="AH2938" i="2"/>
  <c r="AG2938" i="2"/>
  <c r="AE2938" i="2"/>
  <c r="AD2938" i="2"/>
  <c r="AA2938" i="2"/>
  <c r="Z2938" i="2"/>
  <c r="Y2938" i="2"/>
  <c r="X2938" i="2"/>
  <c r="W2938" i="2"/>
  <c r="V2938" i="2"/>
  <c r="U2938" i="2"/>
  <c r="T2938" i="2"/>
  <c r="S2938" i="2"/>
  <c r="R2938" i="2"/>
  <c r="Q2938" i="2"/>
  <c r="P2938" i="2"/>
  <c r="O2938" i="2"/>
  <c r="N2938" i="2"/>
  <c r="K2938" i="2"/>
  <c r="J2938" i="2"/>
  <c r="I2938" i="2"/>
  <c r="H2938" i="2"/>
  <c r="G2938" i="2"/>
  <c r="F2938" i="2"/>
  <c r="E2938" i="2"/>
  <c r="D2938" i="2"/>
  <c r="C2938" i="2"/>
  <c r="B2938" i="2"/>
  <c r="A2938" i="2"/>
  <c r="AX2937" i="2"/>
  <c r="AV2937" i="2"/>
  <c r="AU2937" i="2"/>
  <c r="AS2937" i="2"/>
  <c r="AR2937" i="2"/>
  <c r="AQ2937" i="2"/>
  <c r="AO2937" i="2"/>
  <c r="AL2937" i="2"/>
  <c r="AK2937" i="2"/>
  <c r="AJ2937" i="2"/>
  <c r="AI2937" i="2"/>
  <c r="AH2937" i="2"/>
  <c r="AG2937" i="2"/>
  <c r="AF2937" i="2"/>
  <c r="AE2937" i="2"/>
  <c r="AD2937" i="2"/>
  <c r="AA2937" i="2"/>
  <c r="Z2937" i="2"/>
  <c r="Y2937" i="2"/>
  <c r="X2937" i="2"/>
  <c r="W2937" i="2"/>
  <c r="V2937" i="2"/>
  <c r="U2937" i="2"/>
  <c r="T2937" i="2"/>
  <c r="S2937" i="2"/>
  <c r="R2937" i="2"/>
  <c r="Q2937" i="2"/>
  <c r="P2937" i="2"/>
  <c r="O2937" i="2"/>
  <c r="N2937" i="2"/>
  <c r="K2937" i="2"/>
  <c r="J2937" i="2"/>
  <c r="I2937" i="2"/>
  <c r="H2937" i="2"/>
  <c r="G2937" i="2"/>
  <c r="F2937" i="2"/>
  <c r="E2937" i="2"/>
  <c r="D2937" i="2"/>
  <c r="C2937" i="2"/>
  <c r="B2937" i="2"/>
  <c r="A2937" i="2"/>
  <c r="AX2936" i="2"/>
  <c r="AV2936" i="2"/>
  <c r="AU2936" i="2"/>
  <c r="AS2936" i="2"/>
  <c r="AR2936" i="2"/>
  <c r="AQ2936" i="2"/>
  <c r="AO2936" i="2"/>
  <c r="AK2936" i="2"/>
  <c r="AI2936" i="2"/>
  <c r="AH2936" i="2"/>
  <c r="AG2936" i="2"/>
  <c r="AE2936" i="2"/>
  <c r="AD2936" i="2"/>
  <c r="AA2936" i="2"/>
  <c r="Z2936" i="2"/>
  <c r="Y2936" i="2"/>
  <c r="X2936" i="2"/>
  <c r="W2936" i="2"/>
  <c r="V2936" i="2"/>
  <c r="U2936" i="2"/>
  <c r="T2936" i="2"/>
  <c r="S2936" i="2"/>
  <c r="R2936" i="2"/>
  <c r="Q2936" i="2"/>
  <c r="P2936" i="2"/>
  <c r="O2936" i="2"/>
  <c r="N2936" i="2"/>
  <c r="K2936" i="2"/>
  <c r="J2936" i="2"/>
  <c r="I2936" i="2"/>
  <c r="H2936" i="2"/>
  <c r="G2936" i="2"/>
  <c r="F2936" i="2"/>
  <c r="E2936" i="2"/>
  <c r="D2936" i="2"/>
  <c r="C2936" i="2"/>
  <c r="B2936" i="2"/>
  <c r="A2936" i="2"/>
  <c r="AX2935" i="2"/>
  <c r="AV2935" i="2"/>
  <c r="AU2935" i="2"/>
  <c r="AS2935" i="2"/>
  <c r="AR2935" i="2"/>
  <c r="AQ2935" i="2"/>
  <c r="AO2935" i="2"/>
  <c r="AL2935" i="2"/>
  <c r="AI2935" i="2"/>
  <c r="AH2935" i="2"/>
  <c r="AG2935" i="2"/>
  <c r="AE2935" i="2"/>
  <c r="AD2935" i="2"/>
  <c r="AA2935" i="2"/>
  <c r="Z2935" i="2"/>
  <c r="Y2935" i="2"/>
  <c r="X2935" i="2"/>
  <c r="U2935" i="2"/>
  <c r="T2935" i="2"/>
  <c r="S2935" i="2"/>
  <c r="R2935" i="2"/>
  <c r="Q2935" i="2"/>
  <c r="P2935" i="2"/>
  <c r="O2935" i="2"/>
  <c r="N2935" i="2"/>
  <c r="K2935" i="2"/>
  <c r="J2935" i="2"/>
  <c r="I2935" i="2"/>
  <c r="H2935" i="2"/>
  <c r="G2935" i="2"/>
  <c r="F2935" i="2"/>
  <c r="E2935" i="2"/>
  <c r="D2935" i="2"/>
  <c r="C2935" i="2"/>
  <c r="B2935" i="2"/>
  <c r="A2935" i="2"/>
  <c r="AX2934" i="2"/>
  <c r="AV2934" i="2"/>
  <c r="AU2934" i="2"/>
  <c r="AS2934" i="2"/>
  <c r="AR2934" i="2"/>
  <c r="AQ2934" i="2"/>
  <c r="AO2934" i="2"/>
  <c r="AM2934" i="2"/>
  <c r="AL2934" i="2"/>
  <c r="AK2934" i="2"/>
  <c r="AJ2934" i="2"/>
  <c r="AI2934" i="2"/>
  <c r="AH2934" i="2"/>
  <c r="AG2934" i="2"/>
  <c r="AE2934" i="2"/>
  <c r="AD2934" i="2"/>
  <c r="AA2934" i="2"/>
  <c r="Z2934" i="2"/>
  <c r="Y2934" i="2"/>
  <c r="X2934" i="2"/>
  <c r="V2934" i="2"/>
  <c r="U2934" i="2"/>
  <c r="R2934" i="2"/>
  <c r="Q2934" i="2"/>
  <c r="P2934" i="2"/>
  <c r="O2934" i="2"/>
  <c r="N2934" i="2"/>
  <c r="K2934" i="2"/>
  <c r="J2934" i="2"/>
  <c r="I2934" i="2"/>
  <c r="H2934" i="2"/>
  <c r="G2934" i="2"/>
  <c r="F2934" i="2"/>
  <c r="E2934" i="2"/>
  <c r="D2934" i="2"/>
  <c r="C2934" i="2"/>
  <c r="B2934" i="2"/>
  <c r="A2934" i="2"/>
  <c r="AX2933" i="2"/>
  <c r="AV2933" i="2"/>
  <c r="AU2933" i="2"/>
  <c r="AS2933" i="2"/>
  <c r="AR2933" i="2"/>
  <c r="AQ2933" i="2"/>
  <c r="AO2933" i="2"/>
  <c r="AL2933" i="2"/>
  <c r="AI2933" i="2"/>
  <c r="AH2933" i="2"/>
  <c r="AG2933" i="2"/>
  <c r="AE2933" i="2"/>
  <c r="AD2933" i="2"/>
  <c r="AA2933" i="2"/>
  <c r="Z2933" i="2"/>
  <c r="Y2933" i="2"/>
  <c r="X2933" i="2"/>
  <c r="W2933" i="2"/>
  <c r="V2933" i="2"/>
  <c r="U2933" i="2"/>
  <c r="T2933" i="2"/>
  <c r="S2933" i="2"/>
  <c r="R2933" i="2"/>
  <c r="Q2933" i="2"/>
  <c r="P2933" i="2"/>
  <c r="O2933" i="2"/>
  <c r="N2933" i="2"/>
  <c r="K2933" i="2"/>
  <c r="J2933" i="2"/>
  <c r="I2933" i="2"/>
  <c r="H2933" i="2"/>
  <c r="G2933" i="2"/>
  <c r="F2933" i="2"/>
  <c r="E2933" i="2"/>
  <c r="D2933" i="2"/>
  <c r="C2933" i="2"/>
  <c r="B2933" i="2"/>
  <c r="A2933" i="2"/>
  <c r="AX2932" i="2"/>
  <c r="AV2932" i="2"/>
  <c r="AU2932" i="2"/>
  <c r="AS2932" i="2"/>
  <c r="AR2932" i="2"/>
  <c r="AQ2932" i="2"/>
  <c r="AO2932" i="2"/>
  <c r="AL2932" i="2"/>
  <c r="AK2932" i="2"/>
  <c r="AJ2932" i="2"/>
  <c r="AI2932" i="2"/>
  <c r="AH2932" i="2"/>
  <c r="AG2932" i="2"/>
  <c r="AE2932" i="2"/>
  <c r="AD2932" i="2"/>
  <c r="AA2932" i="2"/>
  <c r="Z2932" i="2"/>
  <c r="Y2932" i="2"/>
  <c r="X2932" i="2"/>
  <c r="T2932" i="2"/>
  <c r="S2932" i="2"/>
  <c r="R2932" i="2"/>
  <c r="Q2932" i="2"/>
  <c r="P2932" i="2"/>
  <c r="O2932" i="2"/>
  <c r="N2932" i="2"/>
  <c r="K2932" i="2"/>
  <c r="J2932" i="2"/>
  <c r="I2932" i="2"/>
  <c r="H2932" i="2"/>
  <c r="G2932" i="2"/>
  <c r="F2932" i="2"/>
  <c r="E2932" i="2"/>
  <c r="D2932" i="2"/>
  <c r="C2932" i="2"/>
  <c r="B2932" i="2"/>
  <c r="A2932" i="2"/>
  <c r="AX2931" i="2"/>
  <c r="AV2931" i="2"/>
  <c r="AU2931" i="2"/>
  <c r="AS2931" i="2"/>
  <c r="AR2931" i="2"/>
  <c r="AQ2931" i="2"/>
  <c r="AO2931" i="2"/>
  <c r="AL2931" i="2"/>
  <c r="AK2931" i="2"/>
  <c r="AJ2931" i="2"/>
  <c r="AI2931" i="2"/>
  <c r="AH2931" i="2"/>
  <c r="AG2931" i="2"/>
  <c r="AE2931" i="2"/>
  <c r="AD2931" i="2"/>
  <c r="AA2931" i="2"/>
  <c r="Z2931" i="2"/>
  <c r="Y2931" i="2"/>
  <c r="X2931" i="2"/>
  <c r="W2931" i="2"/>
  <c r="V2931" i="2"/>
  <c r="U2931" i="2"/>
  <c r="T2931" i="2"/>
  <c r="S2931" i="2"/>
  <c r="R2931" i="2"/>
  <c r="Q2931" i="2"/>
  <c r="P2931" i="2"/>
  <c r="O2931" i="2"/>
  <c r="N2931" i="2"/>
  <c r="K2931" i="2"/>
  <c r="J2931" i="2"/>
  <c r="I2931" i="2"/>
  <c r="H2931" i="2"/>
  <c r="G2931" i="2"/>
  <c r="F2931" i="2"/>
  <c r="E2931" i="2"/>
  <c r="D2931" i="2"/>
  <c r="C2931" i="2"/>
  <c r="B2931" i="2"/>
  <c r="A2931" i="2"/>
  <c r="AX2930" i="2"/>
  <c r="AV2930" i="2"/>
  <c r="AU2930" i="2"/>
  <c r="AS2930" i="2"/>
  <c r="AR2930" i="2"/>
  <c r="AQ2930" i="2"/>
  <c r="AO2930" i="2"/>
  <c r="AL2930" i="2"/>
  <c r="AK2930" i="2"/>
  <c r="AJ2930" i="2"/>
  <c r="AI2930" i="2"/>
  <c r="AH2930" i="2"/>
  <c r="AG2930" i="2"/>
  <c r="AE2930" i="2"/>
  <c r="AD2930" i="2"/>
  <c r="AA2930" i="2"/>
  <c r="Z2930" i="2"/>
  <c r="Y2930" i="2"/>
  <c r="X2930" i="2"/>
  <c r="W2930" i="2"/>
  <c r="V2930" i="2"/>
  <c r="U2930" i="2"/>
  <c r="T2930" i="2"/>
  <c r="S2930" i="2"/>
  <c r="R2930" i="2"/>
  <c r="Q2930" i="2"/>
  <c r="P2930" i="2"/>
  <c r="O2930" i="2"/>
  <c r="N2930" i="2"/>
  <c r="K2930" i="2"/>
  <c r="J2930" i="2"/>
  <c r="I2930" i="2"/>
  <c r="H2930" i="2"/>
  <c r="G2930" i="2"/>
  <c r="F2930" i="2"/>
  <c r="E2930" i="2"/>
  <c r="D2930" i="2"/>
  <c r="C2930" i="2"/>
  <c r="B2930" i="2"/>
  <c r="A2930" i="2"/>
  <c r="AX2929" i="2"/>
  <c r="AV2929" i="2"/>
  <c r="AU2929" i="2"/>
  <c r="AS2929" i="2"/>
  <c r="AR2929" i="2"/>
  <c r="AQ2929" i="2"/>
  <c r="AO2929" i="2"/>
  <c r="AL2929" i="2"/>
  <c r="AK2929" i="2"/>
  <c r="AJ2929" i="2"/>
  <c r="AI2929" i="2"/>
  <c r="AH2929" i="2"/>
  <c r="AG2929" i="2"/>
  <c r="AE2929" i="2"/>
  <c r="AD2929" i="2"/>
  <c r="AA2929" i="2"/>
  <c r="Z2929" i="2"/>
  <c r="Y2929" i="2"/>
  <c r="X2929" i="2"/>
  <c r="V2929" i="2"/>
  <c r="U2929" i="2"/>
  <c r="T2929" i="2"/>
  <c r="S2929" i="2"/>
  <c r="R2929" i="2"/>
  <c r="Q2929" i="2"/>
  <c r="P2929" i="2"/>
  <c r="O2929" i="2"/>
  <c r="N2929" i="2"/>
  <c r="K2929" i="2"/>
  <c r="J2929" i="2"/>
  <c r="I2929" i="2"/>
  <c r="H2929" i="2"/>
  <c r="G2929" i="2"/>
  <c r="F2929" i="2"/>
  <c r="E2929" i="2"/>
  <c r="D2929" i="2"/>
  <c r="C2929" i="2"/>
  <c r="B2929" i="2"/>
  <c r="A2929" i="2"/>
  <c r="AX2928" i="2"/>
  <c r="AV2928" i="2"/>
  <c r="AU2928" i="2"/>
  <c r="AS2928" i="2"/>
  <c r="AR2928" i="2"/>
  <c r="AQ2928" i="2"/>
  <c r="AO2928" i="2"/>
  <c r="AL2928" i="2"/>
  <c r="AK2928" i="2"/>
  <c r="AJ2928" i="2"/>
  <c r="AI2928" i="2"/>
  <c r="AH2928" i="2"/>
  <c r="AG2928" i="2"/>
  <c r="AE2928" i="2"/>
  <c r="AD2928" i="2"/>
  <c r="AA2928" i="2"/>
  <c r="Z2928" i="2"/>
  <c r="Y2928" i="2"/>
  <c r="X2928" i="2"/>
  <c r="W2928" i="2"/>
  <c r="V2928" i="2"/>
  <c r="U2928" i="2"/>
  <c r="T2928" i="2"/>
  <c r="S2928" i="2"/>
  <c r="R2928" i="2"/>
  <c r="Q2928" i="2"/>
  <c r="P2928" i="2"/>
  <c r="O2928" i="2"/>
  <c r="N2928" i="2"/>
  <c r="K2928" i="2"/>
  <c r="J2928" i="2"/>
  <c r="I2928" i="2"/>
  <c r="H2928" i="2"/>
  <c r="G2928" i="2"/>
  <c r="F2928" i="2"/>
  <c r="E2928" i="2"/>
  <c r="D2928" i="2"/>
  <c r="C2928" i="2"/>
  <c r="B2928" i="2"/>
  <c r="A2928" i="2"/>
  <c r="AX2927" i="2"/>
  <c r="AV2927" i="2"/>
  <c r="AU2927" i="2"/>
  <c r="AS2927" i="2"/>
  <c r="AR2927" i="2"/>
  <c r="AQ2927" i="2"/>
  <c r="AO2927" i="2"/>
  <c r="AL2927" i="2"/>
  <c r="AI2927" i="2"/>
  <c r="AH2927" i="2"/>
  <c r="AG2927" i="2"/>
  <c r="AE2927" i="2"/>
  <c r="AD2927" i="2"/>
  <c r="AA2927" i="2"/>
  <c r="Z2927" i="2"/>
  <c r="Y2927" i="2"/>
  <c r="X2927" i="2"/>
  <c r="W2927" i="2"/>
  <c r="V2927" i="2"/>
  <c r="U2927" i="2"/>
  <c r="T2927" i="2"/>
  <c r="S2927" i="2"/>
  <c r="R2927" i="2"/>
  <c r="Q2927" i="2"/>
  <c r="P2927" i="2"/>
  <c r="O2927" i="2"/>
  <c r="N2927" i="2"/>
  <c r="K2927" i="2"/>
  <c r="J2927" i="2"/>
  <c r="I2927" i="2"/>
  <c r="H2927" i="2"/>
  <c r="G2927" i="2"/>
  <c r="F2927" i="2"/>
  <c r="E2927" i="2"/>
  <c r="D2927" i="2"/>
  <c r="C2927" i="2"/>
  <c r="B2927" i="2"/>
  <c r="A2927" i="2"/>
  <c r="AX2926" i="2"/>
  <c r="AV2926" i="2"/>
  <c r="AU2926" i="2"/>
  <c r="AS2926" i="2"/>
  <c r="AR2926" i="2"/>
  <c r="AQ2926" i="2"/>
  <c r="AL2926" i="2"/>
  <c r="AI2926" i="2"/>
  <c r="AH2926" i="2"/>
  <c r="AG2926" i="2"/>
  <c r="AE2926" i="2"/>
  <c r="AD2926" i="2"/>
  <c r="AA2926" i="2"/>
  <c r="Z2926" i="2"/>
  <c r="Y2926" i="2"/>
  <c r="X2926" i="2"/>
  <c r="W2926" i="2"/>
  <c r="V2926" i="2"/>
  <c r="U2926" i="2"/>
  <c r="T2926" i="2"/>
  <c r="S2926" i="2"/>
  <c r="R2926" i="2"/>
  <c r="Q2926" i="2"/>
  <c r="P2926" i="2"/>
  <c r="O2926" i="2"/>
  <c r="N2926" i="2"/>
  <c r="K2926" i="2"/>
  <c r="J2926" i="2"/>
  <c r="I2926" i="2"/>
  <c r="H2926" i="2"/>
  <c r="G2926" i="2"/>
  <c r="F2926" i="2"/>
  <c r="E2926" i="2"/>
  <c r="D2926" i="2"/>
  <c r="C2926" i="2"/>
  <c r="B2926" i="2"/>
  <c r="A2926" i="2"/>
  <c r="AX2925" i="2"/>
  <c r="AV2925" i="2"/>
  <c r="AU2925" i="2"/>
  <c r="AS2925" i="2"/>
  <c r="AR2925" i="2"/>
  <c r="AQ2925" i="2"/>
  <c r="AO2925" i="2"/>
  <c r="AL2925" i="2"/>
  <c r="AI2925" i="2"/>
  <c r="AH2925" i="2"/>
  <c r="AG2925" i="2"/>
  <c r="AE2925" i="2"/>
  <c r="AD2925" i="2"/>
  <c r="AA2925" i="2"/>
  <c r="Z2925" i="2"/>
  <c r="Y2925" i="2"/>
  <c r="X2925" i="2"/>
  <c r="V2925" i="2"/>
  <c r="U2925" i="2"/>
  <c r="T2925" i="2"/>
  <c r="S2925" i="2"/>
  <c r="R2925" i="2"/>
  <c r="Q2925" i="2"/>
  <c r="P2925" i="2"/>
  <c r="O2925" i="2"/>
  <c r="N2925" i="2"/>
  <c r="K2925" i="2"/>
  <c r="J2925" i="2"/>
  <c r="I2925" i="2"/>
  <c r="H2925" i="2"/>
  <c r="G2925" i="2"/>
  <c r="F2925" i="2"/>
  <c r="E2925" i="2"/>
  <c r="D2925" i="2"/>
  <c r="C2925" i="2"/>
  <c r="B2925" i="2"/>
  <c r="A2925" i="2"/>
  <c r="AX2924" i="2"/>
  <c r="AV2924" i="2"/>
  <c r="AU2924" i="2"/>
  <c r="AS2924" i="2"/>
  <c r="AR2924" i="2"/>
  <c r="AQ2924" i="2"/>
  <c r="AO2924" i="2"/>
  <c r="AN2924" i="2"/>
  <c r="AM2924" i="2"/>
  <c r="AL2924" i="2"/>
  <c r="AK2924" i="2"/>
  <c r="AJ2924" i="2"/>
  <c r="AI2924" i="2"/>
  <c r="AH2924" i="2"/>
  <c r="AG2924" i="2"/>
  <c r="AE2924" i="2"/>
  <c r="AD2924" i="2"/>
  <c r="AA2924" i="2"/>
  <c r="Z2924" i="2"/>
  <c r="Y2924" i="2"/>
  <c r="X2924" i="2"/>
  <c r="W2924" i="2"/>
  <c r="V2924" i="2"/>
  <c r="U2924" i="2"/>
  <c r="T2924" i="2"/>
  <c r="S2924" i="2"/>
  <c r="R2924" i="2"/>
  <c r="Q2924" i="2"/>
  <c r="P2924" i="2"/>
  <c r="O2924" i="2"/>
  <c r="N2924" i="2"/>
  <c r="K2924" i="2"/>
  <c r="J2924" i="2"/>
  <c r="I2924" i="2"/>
  <c r="H2924" i="2"/>
  <c r="G2924" i="2"/>
  <c r="F2924" i="2"/>
  <c r="E2924" i="2"/>
  <c r="D2924" i="2"/>
  <c r="C2924" i="2"/>
  <c r="B2924" i="2"/>
  <c r="A2924" i="2"/>
  <c r="AX2923" i="2"/>
  <c r="AV2923" i="2"/>
  <c r="AU2923" i="2"/>
  <c r="AS2923" i="2"/>
  <c r="AR2923" i="2"/>
  <c r="AQ2923" i="2"/>
  <c r="AO2923" i="2"/>
  <c r="AL2923" i="2"/>
  <c r="AK2923" i="2"/>
  <c r="AJ2923" i="2"/>
  <c r="AI2923" i="2"/>
  <c r="AH2923" i="2"/>
  <c r="AG2923" i="2"/>
  <c r="AE2923" i="2"/>
  <c r="AD2923" i="2"/>
  <c r="AA2923" i="2"/>
  <c r="Z2923" i="2"/>
  <c r="Y2923" i="2"/>
  <c r="V2923" i="2"/>
  <c r="U2923" i="2"/>
  <c r="T2923" i="2"/>
  <c r="S2923" i="2"/>
  <c r="R2923" i="2"/>
  <c r="Q2923" i="2"/>
  <c r="P2923" i="2"/>
  <c r="O2923" i="2"/>
  <c r="N2923" i="2"/>
  <c r="M2923" i="2"/>
  <c r="K2923" i="2"/>
  <c r="J2923" i="2"/>
  <c r="I2923" i="2"/>
  <c r="H2923" i="2"/>
  <c r="G2923" i="2"/>
  <c r="F2923" i="2"/>
  <c r="E2923" i="2"/>
  <c r="D2923" i="2"/>
  <c r="C2923" i="2"/>
  <c r="B2923" i="2"/>
  <c r="A2923" i="2"/>
  <c r="AX2922" i="2"/>
  <c r="AV2922" i="2"/>
  <c r="AU2922" i="2"/>
  <c r="AS2922" i="2"/>
  <c r="AR2922" i="2"/>
  <c r="AQ2922" i="2"/>
  <c r="AO2922" i="2"/>
  <c r="AL2922" i="2"/>
  <c r="AK2922" i="2"/>
  <c r="AJ2922" i="2"/>
  <c r="AI2922" i="2"/>
  <c r="AH2922" i="2"/>
  <c r="AG2922" i="2"/>
  <c r="AE2922" i="2"/>
  <c r="AD2922" i="2"/>
  <c r="AA2922" i="2"/>
  <c r="Z2922" i="2"/>
  <c r="Y2922" i="2"/>
  <c r="X2922" i="2"/>
  <c r="W2922" i="2"/>
  <c r="V2922" i="2"/>
  <c r="U2922" i="2"/>
  <c r="T2922" i="2"/>
  <c r="S2922" i="2"/>
  <c r="R2922" i="2"/>
  <c r="Q2922" i="2"/>
  <c r="P2922" i="2"/>
  <c r="O2922" i="2"/>
  <c r="N2922" i="2"/>
  <c r="K2922" i="2"/>
  <c r="J2922" i="2"/>
  <c r="I2922" i="2"/>
  <c r="H2922" i="2"/>
  <c r="G2922" i="2"/>
  <c r="F2922" i="2"/>
  <c r="E2922" i="2"/>
  <c r="D2922" i="2"/>
  <c r="C2922" i="2"/>
  <c r="B2922" i="2"/>
  <c r="A2922" i="2"/>
  <c r="AX2921" i="2"/>
  <c r="AV2921" i="2"/>
  <c r="AU2921" i="2"/>
  <c r="AS2921" i="2"/>
  <c r="AR2921" i="2"/>
  <c r="AQ2921" i="2"/>
  <c r="AO2921" i="2"/>
  <c r="AL2921" i="2"/>
  <c r="AK2921" i="2"/>
  <c r="AJ2921" i="2"/>
  <c r="AI2921" i="2"/>
  <c r="AH2921" i="2"/>
  <c r="AG2921" i="2"/>
  <c r="AD2921" i="2"/>
  <c r="AA2921" i="2"/>
  <c r="Z2921" i="2"/>
  <c r="Y2921" i="2"/>
  <c r="X2921" i="2"/>
  <c r="W2921" i="2"/>
  <c r="V2921" i="2"/>
  <c r="U2921" i="2"/>
  <c r="T2921" i="2"/>
  <c r="S2921" i="2"/>
  <c r="R2921" i="2"/>
  <c r="Q2921" i="2"/>
  <c r="P2921" i="2"/>
  <c r="O2921" i="2"/>
  <c r="N2921" i="2"/>
  <c r="K2921" i="2"/>
  <c r="J2921" i="2"/>
  <c r="I2921" i="2"/>
  <c r="H2921" i="2"/>
  <c r="G2921" i="2"/>
  <c r="F2921" i="2"/>
  <c r="E2921" i="2"/>
  <c r="D2921" i="2"/>
  <c r="C2921" i="2"/>
  <c r="B2921" i="2"/>
  <c r="A2921" i="2"/>
  <c r="AX2920" i="2"/>
  <c r="AV2920" i="2"/>
  <c r="AU2920" i="2"/>
  <c r="AS2920" i="2"/>
  <c r="AR2920" i="2"/>
  <c r="AQ2920" i="2"/>
  <c r="AO2920" i="2"/>
  <c r="AL2920" i="2"/>
  <c r="AK2920" i="2"/>
  <c r="AJ2920" i="2"/>
  <c r="AI2920" i="2"/>
  <c r="AH2920" i="2"/>
  <c r="AG2920" i="2"/>
  <c r="AE2920" i="2"/>
  <c r="AD2920" i="2"/>
  <c r="AA2920" i="2"/>
  <c r="Z2920" i="2"/>
  <c r="Y2920" i="2"/>
  <c r="X2920" i="2"/>
  <c r="W2920" i="2"/>
  <c r="V2920" i="2"/>
  <c r="U2920" i="2"/>
  <c r="T2920" i="2"/>
  <c r="S2920" i="2"/>
  <c r="R2920" i="2"/>
  <c r="Q2920" i="2"/>
  <c r="P2920" i="2"/>
  <c r="O2920" i="2"/>
  <c r="N2920" i="2"/>
  <c r="K2920" i="2"/>
  <c r="J2920" i="2"/>
  <c r="I2920" i="2"/>
  <c r="H2920" i="2"/>
  <c r="G2920" i="2"/>
  <c r="F2920" i="2"/>
  <c r="E2920" i="2"/>
  <c r="D2920" i="2"/>
  <c r="C2920" i="2"/>
  <c r="B2920" i="2"/>
  <c r="A2920" i="2"/>
  <c r="AX2919" i="2"/>
  <c r="AV2919" i="2"/>
  <c r="AU2919" i="2"/>
  <c r="AS2919" i="2"/>
  <c r="AR2919" i="2"/>
  <c r="AQ2919" i="2"/>
  <c r="AL2919" i="2"/>
  <c r="AI2919" i="2"/>
  <c r="AH2919" i="2"/>
  <c r="AG2919" i="2"/>
  <c r="AF2919" i="2"/>
  <c r="AE2919" i="2"/>
  <c r="AA2919" i="2"/>
  <c r="Z2919" i="2"/>
  <c r="Y2919" i="2"/>
  <c r="X2919" i="2"/>
  <c r="V2919" i="2"/>
  <c r="U2919" i="2"/>
  <c r="T2919" i="2"/>
  <c r="S2919" i="2"/>
  <c r="R2919" i="2"/>
  <c r="Q2919" i="2"/>
  <c r="P2919" i="2"/>
  <c r="O2919" i="2"/>
  <c r="N2919" i="2"/>
  <c r="K2919" i="2"/>
  <c r="J2919" i="2"/>
  <c r="I2919" i="2"/>
  <c r="H2919" i="2"/>
  <c r="G2919" i="2"/>
  <c r="F2919" i="2"/>
  <c r="E2919" i="2"/>
  <c r="D2919" i="2"/>
  <c r="C2919" i="2"/>
  <c r="B2919" i="2"/>
  <c r="A2919" i="2"/>
  <c r="AX2918" i="2"/>
  <c r="AV2918" i="2"/>
  <c r="AU2918" i="2"/>
  <c r="AR2918" i="2"/>
  <c r="AQ2918" i="2"/>
  <c r="AO2918" i="2"/>
  <c r="AN2918" i="2"/>
  <c r="AM2918" i="2"/>
  <c r="AL2918" i="2"/>
  <c r="AK2918" i="2"/>
  <c r="AJ2918" i="2"/>
  <c r="AI2918" i="2"/>
  <c r="AH2918" i="2"/>
  <c r="AG2918" i="2"/>
  <c r="AE2918" i="2"/>
  <c r="AD2918" i="2"/>
  <c r="AC2918" i="2"/>
  <c r="AA2918" i="2"/>
  <c r="Z2918" i="2"/>
  <c r="Y2918" i="2"/>
  <c r="X2918" i="2"/>
  <c r="W2918" i="2"/>
  <c r="V2918" i="2"/>
  <c r="U2918" i="2"/>
  <c r="T2918" i="2"/>
  <c r="S2918" i="2"/>
  <c r="R2918" i="2"/>
  <c r="Q2918" i="2"/>
  <c r="P2918" i="2"/>
  <c r="O2918" i="2"/>
  <c r="N2918" i="2"/>
  <c r="K2918" i="2"/>
  <c r="J2918" i="2"/>
  <c r="I2918" i="2"/>
  <c r="H2918" i="2"/>
  <c r="G2918" i="2"/>
  <c r="F2918" i="2"/>
  <c r="E2918" i="2"/>
  <c r="D2918" i="2"/>
  <c r="C2918" i="2"/>
  <c r="B2918" i="2"/>
  <c r="A2918" i="2"/>
  <c r="AV2917" i="2"/>
  <c r="AU2917" i="2"/>
  <c r="AS2917" i="2"/>
  <c r="AR2917" i="2"/>
  <c r="AQ2917" i="2"/>
  <c r="AO2917" i="2"/>
  <c r="AL2917" i="2"/>
  <c r="AI2917" i="2"/>
  <c r="AH2917" i="2"/>
  <c r="AG2917" i="2"/>
  <c r="AE2917" i="2"/>
  <c r="AD2917" i="2"/>
  <c r="AA2917" i="2"/>
  <c r="Z2917" i="2"/>
  <c r="Y2917" i="2"/>
  <c r="X2917" i="2"/>
  <c r="V2917" i="2"/>
  <c r="U2917" i="2"/>
  <c r="T2917" i="2"/>
  <c r="S2917" i="2"/>
  <c r="R2917" i="2"/>
  <c r="Q2917" i="2"/>
  <c r="P2917" i="2"/>
  <c r="O2917" i="2"/>
  <c r="N2917" i="2"/>
  <c r="K2917" i="2"/>
  <c r="J2917" i="2"/>
  <c r="I2917" i="2"/>
  <c r="H2917" i="2"/>
  <c r="G2917" i="2"/>
  <c r="F2917" i="2"/>
  <c r="E2917" i="2"/>
  <c r="D2917" i="2"/>
  <c r="C2917" i="2"/>
  <c r="B2917" i="2"/>
  <c r="A2917" i="2"/>
  <c r="AX2916" i="2"/>
  <c r="AV2916" i="2"/>
  <c r="AU2916" i="2"/>
  <c r="AS2916" i="2"/>
  <c r="AR2916" i="2"/>
  <c r="AQ2916" i="2"/>
  <c r="AO2916" i="2"/>
  <c r="AL2916" i="2"/>
  <c r="AK2916" i="2"/>
  <c r="AJ2916" i="2"/>
  <c r="AI2916" i="2"/>
  <c r="AH2916" i="2"/>
  <c r="AG2916" i="2"/>
  <c r="AE2916" i="2"/>
  <c r="AD2916" i="2"/>
  <c r="AA2916" i="2"/>
  <c r="Z2916" i="2"/>
  <c r="Y2916" i="2"/>
  <c r="X2916" i="2"/>
  <c r="W2916" i="2"/>
  <c r="V2916" i="2"/>
  <c r="U2916" i="2"/>
  <c r="T2916" i="2"/>
  <c r="S2916" i="2"/>
  <c r="R2916" i="2"/>
  <c r="Q2916" i="2"/>
  <c r="P2916" i="2"/>
  <c r="O2916" i="2"/>
  <c r="N2916" i="2"/>
  <c r="K2916" i="2"/>
  <c r="J2916" i="2"/>
  <c r="I2916" i="2"/>
  <c r="H2916" i="2"/>
  <c r="G2916" i="2"/>
  <c r="F2916" i="2"/>
  <c r="E2916" i="2"/>
  <c r="D2916" i="2"/>
  <c r="C2916" i="2"/>
  <c r="B2916" i="2"/>
  <c r="A2916" i="2"/>
  <c r="AX2915" i="2"/>
  <c r="AV2915" i="2"/>
  <c r="AU2915" i="2"/>
  <c r="AS2915" i="2"/>
  <c r="AR2915" i="2"/>
  <c r="AQ2915" i="2"/>
  <c r="AO2915" i="2"/>
  <c r="AL2915" i="2"/>
  <c r="AK2915" i="2"/>
  <c r="AJ2915" i="2"/>
  <c r="AI2915" i="2"/>
  <c r="AH2915" i="2"/>
  <c r="AG2915" i="2"/>
  <c r="AD2915" i="2"/>
  <c r="AA2915" i="2"/>
  <c r="Z2915" i="2"/>
  <c r="Y2915" i="2"/>
  <c r="X2915" i="2"/>
  <c r="W2915" i="2"/>
  <c r="V2915" i="2"/>
  <c r="U2915" i="2"/>
  <c r="T2915" i="2"/>
  <c r="S2915" i="2"/>
  <c r="R2915" i="2"/>
  <c r="Q2915" i="2"/>
  <c r="P2915" i="2"/>
  <c r="O2915" i="2"/>
  <c r="N2915" i="2"/>
  <c r="K2915" i="2"/>
  <c r="J2915" i="2"/>
  <c r="I2915" i="2"/>
  <c r="H2915" i="2"/>
  <c r="G2915" i="2"/>
  <c r="F2915" i="2"/>
  <c r="E2915" i="2"/>
  <c r="D2915" i="2"/>
  <c r="C2915" i="2"/>
  <c r="B2915" i="2"/>
  <c r="A2915" i="2"/>
  <c r="AX2914" i="2"/>
  <c r="AV2914" i="2"/>
  <c r="AU2914" i="2"/>
  <c r="AS2914" i="2"/>
  <c r="AR2914" i="2"/>
  <c r="AQ2914" i="2"/>
  <c r="AO2914" i="2"/>
  <c r="AL2914" i="2"/>
  <c r="AK2914" i="2"/>
  <c r="AJ2914" i="2"/>
  <c r="AI2914" i="2"/>
  <c r="AH2914" i="2"/>
  <c r="AG2914" i="2"/>
  <c r="AE2914" i="2"/>
  <c r="AD2914" i="2"/>
  <c r="AA2914" i="2"/>
  <c r="Z2914" i="2"/>
  <c r="Y2914" i="2"/>
  <c r="X2914" i="2"/>
  <c r="V2914" i="2"/>
  <c r="U2914" i="2"/>
  <c r="T2914" i="2"/>
  <c r="S2914" i="2"/>
  <c r="R2914" i="2"/>
  <c r="Q2914" i="2"/>
  <c r="P2914" i="2"/>
  <c r="O2914" i="2"/>
  <c r="N2914" i="2"/>
  <c r="K2914" i="2"/>
  <c r="J2914" i="2"/>
  <c r="I2914" i="2"/>
  <c r="H2914" i="2"/>
  <c r="G2914" i="2"/>
  <c r="F2914" i="2"/>
  <c r="E2914" i="2"/>
  <c r="D2914" i="2"/>
  <c r="C2914" i="2"/>
  <c r="B2914" i="2"/>
  <c r="A2914" i="2"/>
  <c r="AX2913" i="2"/>
  <c r="AV2913" i="2"/>
  <c r="AU2913" i="2"/>
  <c r="AS2913" i="2"/>
  <c r="AR2913" i="2"/>
  <c r="AQ2913" i="2"/>
  <c r="AO2913" i="2"/>
  <c r="AL2913" i="2"/>
  <c r="AK2913" i="2"/>
  <c r="AJ2913" i="2"/>
  <c r="AI2913" i="2"/>
  <c r="AH2913" i="2"/>
  <c r="AG2913" i="2"/>
  <c r="AE2913" i="2"/>
  <c r="AD2913" i="2"/>
  <c r="AA2913" i="2"/>
  <c r="Z2913" i="2"/>
  <c r="Y2913" i="2"/>
  <c r="W2913" i="2"/>
  <c r="V2913" i="2"/>
  <c r="U2913" i="2"/>
  <c r="T2913" i="2"/>
  <c r="S2913" i="2"/>
  <c r="R2913" i="2"/>
  <c r="Q2913" i="2"/>
  <c r="P2913" i="2"/>
  <c r="O2913" i="2"/>
  <c r="N2913" i="2"/>
  <c r="K2913" i="2"/>
  <c r="J2913" i="2"/>
  <c r="I2913" i="2"/>
  <c r="H2913" i="2"/>
  <c r="G2913" i="2"/>
  <c r="F2913" i="2"/>
  <c r="E2913" i="2"/>
  <c r="D2913" i="2"/>
  <c r="C2913" i="2"/>
  <c r="B2913" i="2"/>
  <c r="A2913" i="2"/>
  <c r="AX2912" i="2"/>
  <c r="AV2912" i="2"/>
  <c r="AU2912" i="2"/>
  <c r="AS2912" i="2"/>
  <c r="AR2912" i="2"/>
  <c r="AQ2912" i="2"/>
  <c r="AO2912" i="2"/>
  <c r="AL2912" i="2"/>
  <c r="AK2912" i="2"/>
  <c r="AJ2912" i="2"/>
  <c r="AI2912" i="2"/>
  <c r="AH2912" i="2"/>
  <c r="AG2912" i="2"/>
  <c r="AF2912" i="2"/>
  <c r="AE2912" i="2"/>
  <c r="AD2912" i="2"/>
  <c r="AA2912" i="2"/>
  <c r="Z2912" i="2"/>
  <c r="Y2912" i="2"/>
  <c r="X2912" i="2"/>
  <c r="W2912" i="2"/>
  <c r="V2912" i="2"/>
  <c r="U2912" i="2"/>
  <c r="T2912" i="2"/>
  <c r="S2912" i="2"/>
  <c r="R2912" i="2"/>
  <c r="Q2912" i="2"/>
  <c r="P2912" i="2"/>
  <c r="O2912" i="2"/>
  <c r="N2912" i="2"/>
  <c r="K2912" i="2"/>
  <c r="J2912" i="2"/>
  <c r="I2912" i="2"/>
  <c r="H2912" i="2"/>
  <c r="G2912" i="2"/>
  <c r="F2912" i="2"/>
  <c r="E2912" i="2"/>
  <c r="D2912" i="2"/>
  <c r="C2912" i="2"/>
  <c r="B2912" i="2"/>
  <c r="A2912" i="2"/>
  <c r="AX2911" i="2"/>
  <c r="AV2911" i="2"/>
  <c r="AU2911" i="2"/>
  <c r="AS2911" i="2"/>
  <c r="AR2911" i="2"/>
  <c r="AQ2911" i="2"/>
  <c r="AO2911" i="2"/>
  <c r="AL2911" i="2"/>
  <c r="AK2911" i="2"/>
  <c r="AJ2911" i="2"/>
  <c r="AI2911" i="2"/>
  <c r="AH2911" i="2"/>
  <c r="AG2911" i="2"/>
  <c r="AE2911" i="2"/>
  <c r="AD2911" i="2"/>
  <c r="AA2911" i="2"/>
  <c r="Z2911" i="2"/>
  <c r="Y2911" i="2"/>
  <c r="X2911" i="2"/>
  <c r="W2911" i="2"/>
  <c r="V2911" i="2"/>
  <c r="U2911" i="2"/>
  <c r="T2911" i="2"/>
  <c r="S2911" i="2"/>
  <c r="R2911" i="2"/>
  <c r="Q2911" i="2"/>
  <c r="P2911" i="2"/>
  <c r="O2911" i="2"/>
  <c r="N2911" i="2"/>
  <c r="K2911" i="2"/>
  <c r="J2911" i="2"/>
  <c r="I2911" i="2"/>
  <c r="H2911" i="2"/>
  <c r="G2911" i="2"/>
  <c r="F2911" i="2"/>
  <c r="E2911" i="2"/>
  <c r="D2911" i="2"/>
  <c r="C2911" i="2"/>
  <c r="B2911" i="2"/>
  <c r="A2911" i="2"/>
  <c r="AX2910" i="2"/>
  <c r="AV2910" i="2"/>
  <c r="AU2910" i="2"/>
  <c r="AS2910" i="2"/>
  <c r="AR2910" i="2"/>
  <c r="AQ2910" i="2"/>
  <c r="AP2910" i="2"/>
  <c r="AO2910" i="2"/>
  <c r="AN2910" i="2"/>
  <c r="AM2910" i="2"/>
  <c r="AL2910" i="2"/>
  <c r="AK2910" i="2"/>
  <c r="AJ2910" i="2"/>
  <c r="AI2910" i="2"/>
  <c r="AH2910" i="2"/>
  <c r="AG2910" i="2"/>
  <c r="AE2910" i="2"/>
  <c r="AD2910" i="2"/>
  <c r="AC2910" i="2"/>
  <c r="AA2910" i="2"/>
  <c r="Z2910" i="2"/>
  <c r="Y2910" i="2"/>
  <c r="X2910" i="2"/>
  <c r="W2910" i="2"/>
  <c r="V2910" i="2"/>
  <c r="U2910" i="2"/>
  <c r="T2910" i="2"/>
  <c r="S2910" i="2"/>
  <c r="R2910" i="2"/>
  <c r="Q2910" i="2"/>
  <c r="P2910" i="2"/>
  <c r="O2910" i="2"/>
  <c r="N2910" i="2"/>
  <c r="K2910" i="2"/>
  <c r="J2910" i="2"/>
  <c r="I2910" i="2"/>
  <c r="H2910" i="2"/>
  <c r="G2910" i="2"/>
  <c r="F2910" i="2"/>
  <c r="E2910" i="2"/>
  <c r="D2910" i="2"/>
  <c r="C2910" i="2"/>
  <c r="B2910" i="2"/>
  <c r="A2910" i="2"/>
  <c r="AX2909" i="2"/>
  <c r="AV2909" i="2"/>
  <c r="AU2909" i="2"/>
  <c r="AS2909" i="2"/>
  <c r="AR2909" i="2"/>
  <c r="AQ2909" i="2"/>
  <c r="AO2909" i="2"/>
  <c r="AL2909" i="2"/>
  <c r="AK2909" i="2"/>
  <c r="AJ2909" i="2"/>
  <c r="AI2909" i="2"/>
  <c r="AH2909" i="2"/>
  <c r="AG2909" i="2"/>
  <c r="AD2909" i="2"/>
  <c r="AA2909" i="2"/>
  <c r="Z2909" i="2"/>
  <c r="Y2909" i="2"/>
  <c r="X2909" i="2"/>
  <c r="V2909" i="2"/>
  <c r="U2909" i="2"/>
  <c r="T2909" i="2"/>
  <c r="S2909" i="2"/>
  <c r="R2909" i="2"/>
  <c r="Q2909" i="2"/>
  <c r="P2909" i="2"/>
  <c r="O2909" i="2"/>
  <c r="N2909" i="2"/>
  <c r="K2909" i="2"/>
  <c r="J2909" i="2"/>
  <c r="I2909" i="2"/>
  <c r="H2909" i="2"/>
  <c r="G2909" i="2"/>
  <c r="F2909" i="2"/>
  <c r="E2909" i="2"/>
  <c r="D2909" i="2"/>
  <c r="C2909" i="2"/>
  <c r="B2909" i="2"/>
  <c r="A2909" i="2"/>
  <c r="AX2908" i="2"/>
  <c r="AV2908" i="2"/>
  <c r="AU2908" i="2"/>
  <c r="AS2908" i="2"/>
  <c r="AR2908" i="2"/>
  <c r="AQ2908" i="2"/>
  <c r="AL2908" i="2"/>
  <c r="AK2908" i="2"/>
  <c r="AJ2908" i="2"/>
  <c r="AI2908" i="2"/>
  <c r="AH2908" i="2"/>
  <c r="AG2908" i="2"/>
  <c r="AE2908" i="2"/>
  <c r="AD2908" i="2"/>
  <c r="AA2908" i="2"/>
  <c r="Z2908" i="2"/>
  <c r="Y2908" i="2"/>
  <c r="X2908" i="2"/>
  <c r="W2908" i="2"/>
  <c r="V2908" i="2"/>
  <c r="U2908" i="2"/>
  <c r="S2908" i="2"/>
  <c r="R2908" i="2"/>
  <c r="Q2908" i="2"/>
  <c r="P2908" i="2"/>
  <c r="O2908" i="2"/>
  <c r="N2908" i="2"/>
  <c r="K2908" i="2"/>
  <c r="J2908" i="2"/>
  <c r="I2908" i="2"/>
  <c r="H2908" i="2"/>
  <c r="G2908" i="2"/>
  <c r="F2908" i="2"/>
  <c r="E2908" i="2"/>
  <c r="D2908" i="2"/>
  <c r="C2908" i="2"/>
  <c r="B2908" i="2"/>
  <c r="A2908" i="2"/>
  <c r="AX2907" i="2"/>
  <c r="AV2907" i="2"/>
  <c r="AU2907" i="2"/>
  <c r="AS2907" i="2"/>
  <c r="AR2907" i="2"/>
  <c r="AQ2907" i="2"/>
  <c r="AO2907" i="2"/>
  <c r="AL2907" i="2"/>
  <c r="AK2907" i="2"/>
  <c r="AJ2907" i="2"/>
  <c r="AI2907" i="2"/>
  <c r="AH2907" i="2"/>
  <c r="AG2907" i="2"/>
  <c r="AE2907" i="2"/>
  <c r="AD2907" i="2"/>
  <c r="AA2907" i="2"/>
  <c r="Z2907" i="2"/>
  <c r="Y2907" i="2"/>
  <c r="X2907" i="2"/>
  <c r="U2907" i="2"/>
  <c r="T2907" i="2"/>
  <c r="S2907" i="2"/>
  <c r="R2907" i="2"/>
  <c r="Q2907" i="2"/>
  <c r="P2907" i="2"/>
  <c r="O2907" i="2"/>
  <c r="N2907" i="2"/>
  <c r="K2907" i="2"/>
  <c r="J2907" i="2"/>
  <c r="I2907" i="2"/>
  <c r="H2907" i="2"/>
  <c r="G2907" i="2"/>
  <c r="F2907" i="2"/>
  <c r="E2907" i="2"/>
  <c r="D2907" i="2"/>
  <c r="C2907" i="2"/>
  <c r="B2907" i="2"/>
  <c r="A2907" i="2"/>
  <c r="AX2906" i="2"/>
  <c r="AV2906" i="2"/>
  <c r="AU2906" i="2"/>
  <c r="AS2906" i="2"/>
  <c r="AR2906" i="2"/>
  <c r="AQ2906" i="2"/>
  <c r="AP2906" i="2"/>
  <c r="AO2906" i="2"/>
  <c r="AL2906" i="2"/>
  <c r="AK2906" i="2"/>
  <c r="AJ2906" i="2"/>
  <c r="AI2906" i="2"/>
  <c r="AH2906" i="2"/>
  <c r="AG2906" i="2"/>
  <c r="AD2906" i="2"/>
  <c r="AA2906" i="2"/>
  <c r="Z2906" i="2"/>
  <c r="Y2906" i="2"/>
  <c r="X2906" i="2"/>
  <c r="V2906" i="2"/>
  <c r="U2906" i="2"/>
  <c r="T2906" i="2"/>
  <c r="S2906" i="2"/>
  <c r="R2906" i="2"/>
  <c r="Q2906" i="2"/>
  <c r="P2906" i="2"/>
  <c r="O2906" i="2"/>
  <c r="N2906" i="2"/>
  <c r="K2906" i="2"/>
  <c r="J2906" i="2"/>
  <c r="I2906" i="2"/>
  <c r="H2906" i="2"/>
  <c r="G2906" i="2"/>
  <c r="F2906" i="2"/>
  <c r="E2906" i="2"/>
  <c r="D2906" i="2"/>
  <c r="C2906" i="2"/>
  <c r="B2906" i="2"/>
  <c r="A2906" i="2"/>
  <c r="AX2905" i="2"/>
  <c r="AV2905" i="2"/>
  <c r="AU2905" i="2"/>
  <c r="AS2905" i="2"/>
  <c r="AR2905" i="2"/>
  <c r="AQ2905" i="2"/>
  <c r="AK2905" i="2"/>
  <c r="AJ2905" i="2"/>
  <c r="AI2905" i="2"/>
  <c r="AH2905" i="2"/>
  <c r="AG2905" i="2"/>
  <c r="AE2905" i="2"/>
  <c r="AA2905" i="2"/>
  <c r="Z2905" i="2"/>
  <c r="Y2905" i="2"/>
  <c r="X2905" i="2"/>
  <c r="V2905" i="2"/>
  <c r="U2905" i="2"/>
  <c r="T2905" i="2"/>
  <c r="S2905" i="2"/>
  <c r="R2905" i="2"/>
  <c r="Q2905" i="2"/>
  <c r="P2905" i="2"/>
  <c r="O2905" i="2"/>
  <c r="N2905" i="2"/>
  <c r="K2905" i="2"/>
  <c r="J2905" i="2"/>
  <c r="I2905" i="2"/>
  <c r="H2905" i="2"/>
  <c r="G2905" i="2"/>
  <c r="F2905" i="2"/>
  <c r="E2905" i="2"/>
  <c r="D2905" i="2"/>
  <c r="C2905" i="2"/>
  <c r="B2905" i="2"/>
  <c r="A2905" i="2"/>
  <c r="AX2904" i="2"/>
  <c r="AV2904" i="2"/>
  <c r="AU2904" i="2"/>
  <c r="AS2904" i="2"/>
  <c r="AR2904" i="2"/>
  <c r="AQ2904" i="2"/>
  <c r="AO2904" i="2"/>
  <c r="AL2904" i="2"/>
  <c r="AK2904" i="2"/>
  <c r="AJ2904" i="2"/>
  <c r="AI2904" i="2"/>
  <c r="AH2904" i="2"/>
  <c r="AG2904" i="2"/>
  <c r="AD2904" i="2"/>
  <c r="AA2904" i="2"/>
  <c r="Z2904" i="2"/>
  <c r="Y2904" i="2"/>
  <c r="X2904" i="2"/>
  <c r="V2904" i="2"/>
  <c r="U2904" i="2"/>
  <c r="T2904" i="2"/>
  <c r="S2904" i="2"/>
  <c r="R2904" i="2"/>
  <c r="Q2904" i="2"/>
  <c r="P2904" i="2"/>
  <c r="O2904" i="2"/>
  <c r="N2904" i="2"/>
  <c r="K2904" i="2"/>
  <c r="J2904" i="2"/>
  <c r="I2904" i="2"/>
  <c r="H2904" i="2"/>
  <c r="G2904" i="2"/>
  <c r="F2904" i="2"/>
  <c r="E2904" i="2"/>
  <c r="D2904" i="2"/>
  <c r="C2904" i="2"/>
  <c r="B2904" i="2"/>
  <c r="A2904" i="2"/>
  <c r="AX2903" i="2"/>
  <c r="AV2903" i="2"/>
  <c r="AU2903" i="2"/>
  <c r="AS2903" i="2"/>
  <c r="AR2903" i="2"/>
  <c r="AQ2903" i="2"/>
  <c r="AO2903" i="2"/>
  <c r="AL2903" i="2"/>
  <c r="AK2903" i="2"/>
  <c r="AJ2903" i="2"/>
  <c r="AI2903" i="2"/>
  <c r="AH2903" i="2"/>
  <c r="AG2903" i="2"/>
  <c r="AE2903" i="2"/>
  <c r="AD2903" i="2"/>
  <c r="AA2903" i="2"/>
  <c r="Z2903" i="2"/>
  <c r="Y2903" i="2"/>
  <c r="X2903" i="2"/>
  <c r="W2903" i="2"/>
  <c r="V2903" i="2"/>
  <c r="U2903" i="2"/>
  <c r="T2903" i="2"/>
  <c r="S2903" i="2"/>
  <c r="R2903" i="2"/>
  <c r="Q2903" i="2"/>
  <c r="P2903" i="2"/>
  <c r="O2903" i="2"/>
  <c r="N2903" i="2"/>
  <c r="K2903" i="2"/>
  <c r="J2903" i="2"/>
  <c r="I2903" i="2"/>
  <c r="H2903" i="2"/>
  <c r="G2903" i="2"/>
  <c r="F2903" i="2"/>
  <c r="E2903" i="2"/>
  <c r="D2903" i="2"/>
  <c r="C2903" i="2"/>
  <c r="B2903" i="2"/>
  <c r="A2903" i="2"/>
  <c r="AX2902" i="2"/>
  <c r="AV2902" i="2"/>
  <c r="AU2902" i="2"/>
  <c r="AR2902" i="2"/>
  <c r="AQ2902" i="2"/>
  <c r="AO2902" i="2"/>
  <c r="AN2902" i="2"/>
  <c r="AM2902" i="2"/>
  <c r="AL2902" i="2"/>
  <c r="AK2902" i="2"/>
  <c r="AJ2902" i="2"/>
  <c r="AI2902" i="2"/>
  <c r="AH2902" i="2"/>
  <c r="AG2902" i="2"/>
  <c r="AE2902" i="2"/>
  <c r="AD2902" i="2"/>
  <c r="AC2902" i="2"/>
  <c r="AA2902" i="2"/>
  <c r="Z2902" i="2"/>
  <c r="Y2902" i="2"/>
  <c r="W2902" i="2"/>
  <c r="V2902" i="2"/>
  <c r="U2902" i="2"/>
  <c r="T2902" i="2"/>
  <c r="S2902" i="2"/>
  <c r="R2902" i="2"/>
  <c r="Q2902" i="2"/>
  <c r="P2902" i="2"/>
  <c r="O2902" i="2"/>
  <c r="N2902" i="2"/>
  <c r="K2902" i="2"/>
  <c r="J2902" i="2"/>
  <c r="I2902" i="2"/>
  <c r="H2902" i="2"/>
  <c r="G2902" i="2"/>
  <c r="F2902" i="2"/>
  <c r="E2902" i="2"/>
  <c r="D2902" i="2"/>
  <c r="C2902" i="2"/>
  <c r="B2902" i="2"/>
  <c r="A2902" i="2"/>
  <c r="AX2901" i="2"/>
  <c r="AV2901" i="2"/>
  <c r="AU2901" i="2"/>
  <c r="AS2901" i="2"/>
  <c r="AR2901" i="2"/>
  <c r="AQ2901" i="2"/>
  <c r="AO2901" i="2"/>
  <c r="AL2901" i="2"/>
  <c r="AK2901" i="2"/>
  <c r="AJ2901" i="2"/>
  <c r="AI2901" i="2"/>
  <c r="AH2901" i="2"/>
  <c r="AG2901" i="2"/>
  <c r="AE2901" i="2"/>
  <c r="AD2901" i="2"/>
  <c r="AA2901" i="2"/>
  <c r="Z2901" i="2"/>
  <c r="Y2901" i="2"/>
  <c r="X2901" i="2"/>
  <c r="V2901" i="2"/>
  <c r="U2901" i="2"/>
  <c r="T2901" i="2"/>
  <c r="S2901" i="2"/>
  <c r="R2901" i="2"/>
  <c r="Q2901" i="2"/>
  <c r="P2901" i="2"/>
  <c r="O2901" i="2"/>
  <c r="N2901" i="2"/>
  <c r="M2901" i="2"/>
  <c r="K2901" i="2"/>
  <c r="J2901" i="2"/>
  <c r="I2901" i="2"/>
  <c r="H2901" i="2"/>
  <c r="G2901" i="2"/>
  <c r="F2901" i="2"/>
  <c r="E2901" i="2"/>
  <c r="D2901" i="2"/>
  <c r="C2901" i="2"/>
  <c r="B2901" i="2"/>
  <c r="A2901" i="2"/>
  <c r="AX2900" i="2"/>
  <c r="AV2900" i="2"/>
  <c r="AU2900" i="2"/>
  <c r="AS2900" i="2"/>
  <c r="AR2900" i="2"/>
  <c r="AQ2900" i="2"/>
  <c r="AO2900" i="2"/>
  <c r="AL2900" i="2"/>
  <c r="AK2900" i="2"/>
  <c r="AJ2900" i="2"/>
  <c r="AI2900" i="2"/>
  <c r="AH2900" i="2"/>
  <c r="AG2900" i="2"/>
  <c r="AE2900" i="2"/>
  <c r="AD2900" i="2"/>
  <c r="AA2900" i="2"/>
  <c r="Z2900" i="2"/>
  <c r="Y2900" i="2"/>
  <c r="X2900" i="2"/>
  <c r="W2900" i="2"/>
  <c r="V2900" i="2"/>
  <c r="U2900" i="2"/>
  <c r="T2900" i="2"/>
  <c r="S2900" i="2"/>
  <c r="R2900" i="2"/>
  <c r="Q2900" i="2"/>
  <c r="P2900" i="2"/>
  <c r="O2900" i="2"/>
  <c r="N2900" i="2"/>
  <c r="K2900" i="2"/>
  <c r="J2900" i="2"/>
  <c r="I2900" i="2"/>
  <c r="H2900" i="2"/>
  <c r="G2900" i="2"/>
  <c r="F2900" i="2"/>
  <c r="E2900" i="2"/>
  <c r="D2900" i="2"/>
  <c r="C2900" i="2"/>
  <c r="B2900" i="2"/>
  <c r="A2900" i="2"/>
  <c r="AX2899" i="2"/>
  <c r="AV2899" i="2"/>
  <c r="AU2899" i="2"/>
  <c r="AS2899" i="2"/>
  <c r="AR2899" i="2"/>
  <c r="AQ2899" i="2"/>
  <c r="AO2899" i="2"/>
  <c r="AL2899" i="2"/>
  <c r="AK2899" i="2"/>
  <c r="AJ2899" i="2"/>
  <c r="AI2899" i="2"/>
  <c r="AH2899" i="2"/>
  <c r="AG2899" i="2"/>
  <c r="AE2899" i="2"/>
  <c r="AD2899" i="2"/>
  <c r="AA2899" i="2"/>
  <c r="Z2899" i="2"/>
  <c r="Y2899" i="2"/>
  <c r="X2899" i="2"/>
  <c r="W2899" i="2"/>
  <c r="V2899" i="2"/>
  <c r="U2899" i="2"/>
  <c r="T2899" i="2"/>
  <c r="S2899" i="2"/>
  <c r="R2899" i="2"/>
  <c r="Q2899" i="2"/>
  <c r="P2899" i="2"/>
  <c r="O2899" i="2"/>
  <c r="N2899" i="2"/>
  <c r="K2899" i="2"/>
  <c r="J2899" i="2"/>
  <c r="I2899" i="2"/>
  <c r="H2899" i="2"/>
  <c r="G2899" i="2"/>
  <c r="F2899" i="2"/>
  <c r="E2899" i="2"/>
  <c r="D2899" i="2"/>
  <c r="C2899" i="2"/>
  <c r="B2899" i="2"/>
  <c r="A2899" i="2"/>
  <c r="AX2898" i="2"/>
  <c r="AV2898" i="2"/>
  <c r="AU2898" i="2"/>
  <c r="AS2898" i="2"/>
  <c r="AR2898" i="2"/>
  <c r="AQ2898" i="2"/>
  <c r="AO2898" i="2"/>
  <c r="AL2898" i="2"/>
  <c r="AK2898" i="2"/>
  <c r="AJ2898" i="2"/>
  <c r="AI2898" i="2"/>
  <c r="AH2898" i="2"/>
  <c r="AG2898" i="2"/>
  <c r="AE2898" i="2"/>
  <c r="AD2898" i="2"/>
  <c r="AA2898" i="2"/>
  <c r="Z2898" i="2"/>
  <c r="Y2898" i="2"/>
  <c r="X2898" i="2"/>
  <c r="U2898" i="2"/>
  <c r="T2898" i="2"/>
  <c r="S2898" i="2"/>
  <c r="R2898" i="2"/>
  <c r="Q2898" i="2"/>
  <c r="P2898" i="2"/>
  <c r="O2898" i="2"/>
  <c r="N2898" i="2"/>
  <c r="K2898" i="2"/>
  <c r="J2898" i="2"/>
  <c r="I2898" i="2"/>
  <c r="H2898" i="2"/>
  <c r="G2898" i="2"/>
  <c r="F2898" i="2"/>
  <c r="E2898" i="2"/>
  <c r="D2898" i="2"/>
  <c r="C2898" i="2"/>
  <c r="B2898" i="2"/>
  <c r="A2898" i="2"/>
  <c r="AX2897" i="2"/>
  <c r="AV2897" i="2"/>
  <c r="AU2897" i="2"/>
  <c r="AS2897" i="2"/>
  <c r="AR2897" i="2"/>
  <c r="AQ2897" i="2"/>
  <c r="AO2897" i="2"/>
  <c r="AL2897" i="2"/>
  <c r="AK2897" i="2"/>
  <c r="AJ2897" i="2"/>
  <c r="AI2897" i="2"/>
  <c r="AH2897" i="2"/>
  <c r="AG2897" i="2"/>
  <c r="AF2897" i="2"/>
  <c r="AE2897" i="2"/>
  <c r="AD2897" i="2"/>
  <c r="AA2897" i="2"/>
  <c r="Z2897" i="2"/>
  <c r="Y2897" i="2"/>
  <c r="X2897" i="2"/>
  <c r="V2897" i="2"/>
  <c r="U2897" i="2"/>
  <c r="T2897" i="2"/>
  <c r="S2897" i="2"/>
  <c r="R2897" i="2"/>
  <c r="Q2897" i="2"/>
  <c r="P2897" i="2"/>
  <c r="O2897" i="2"/>
  <c r="N2897" i="2"/>
  <c r="K2897" i="2"/>
  <c r="J2897" i="2"/>
  <c r="I2897" i="2"/>
  <c r="H2897" i="2"/>
  <c r="G2897" i="2"/>
  <c r="F2897" i="2"/>
  <c r="E2897" i="2"/>
  <c r="D2897" i="2"/>
  <c r="C2897" i="2"/>
  <c r="B2897" i="2"/>
  <c r="A2897" i="2"/>
  <c r="AX2896" i="2"/>
  <c r="AV2896" i="2"/>
  <c r="AU2896" i="2"/>
  <c r="AS2896" i="2"/>
  <c r="AR2896" i="2"/>
  <c r="AQ2896" i="2"/>
  <c r="AP2896" i="2"/>
  <c r="AO2896" i="2"/>
  <c r="AL2896" i="2"/>
  <c r="AK2896" i="2"/>
  <c r="AJ2896" i="2"/>
  <c r="AI2896" i="2"/>
  <c r="AH2896" i="2"/>
  <c r="AG2896" i="2"/>
  <c r="AE2896" i="2"/>
  <c r="AD2896" i="2"/>
  <c r="AA2896" i="2"/>
  <c r="Z2896" i="2"/>
  <c r="Y2896" i="2"/>
  <c r="X2896" i="2"/>
  <c r="W2896" i="2"/>
  <c r="V2896" i="2"/>
  <c r="U2896" i="2"/>
  <c r="T2896" i="2"/>
  <c r="S2896" i="2"/>
  <c r="R2896" i="2"/>
  <c r="Q2896" i="2"/>
  <c r="P2896" i="2"/>
  <c r="O2896" i="2"/>
  <c r="N2896" i="2"/>
  <c r="K2896" i="2"/>
  <c r="J2896" i="2"/>
  <c r="I2896" i="2"/>
  <c r="H2896" i="2"/>
  <c r="G2896" i="2"/>
  <c r="F2896" i="2"/>
  <c r="E2896" i="2"/>
  <c r="D2896" i="2"/>
  <c r="C2896" i="2"/>
  <c r="B2896" i="2"/>
  <c r="A2896" i="2"/>
  <c r="AX2895" i="2"/>
  <c r="AV2895" i="2"/>
  <c r="AU2895" i="2"/>
  <c r="AS2895" i="2"/>
  <c r="AR2895" i="2"/>
  <c r="AQ2895" i="2"/>
  <c r="AO2895" i="2"/>
  <c r="AL2895" i="2"/>
  <c r="AK2895" i="2"/>
  <c r="AJ2895" i="2"/>
  <c r="AI2895" i="2"/>
  <c r="AH2895" i="2"/>
  <c r="AG2895" i="2"/>
  <c r="AD2895" i="2"/>
  <c r="AA2895" i="2"/>
  <c r="Z2895" i="2"/>
  <c r="Y2895" i="2"/>
  <c r="X2895" i="2"/>
  <c r="W2895" i="2"/>
  <c r="V2895" i="2"/>
  <c r="U2895" i="2"/>
  <c r="T2895" i="2"/>
  <c r="S2895" i="2"/>
  <c r="R2895" i="2"/>
  <c r="Q2895" i="2"/>
  <c r="P2895" i="2"/>
  <c r="O2895" i="2"/>
  <c r="N2895" i="2"/>
  <c r="K2895" i="2"/>
  <c r="J2895" i="2"/>
  <c r="I2895" i="2"/>
  <c r="H2895" i="2"/>
  <c r="G2895" i="2"/>
  <c r="F2895" i="2"/>
  <c r="E2895" i="2"/>
  <c r="D2895" i="2"/>
  <c r="C2895" i="2"/>
  <c r="B2895" i="2"/>
  <c r="A2895" i="2"/>
  <c r="AX2894" i="2"/>
  <c r="AV2894" i="2"/>
  <c r="AU2894" i="2"/>
  <c r="AR2894" i="2"/>
  <c r="AQ2894" i="2"/>
  <c r="AO2894" i="2"/>
  <c r="AL2894" i="2"/>
  <c r="AK2894" i="2"/>
  <c r="AJ2894" i="2"/>
  <c r="AI2894" i="2"/>
  <c r="AH2894" i="2"/>
  <c r="AG2894" i="2"/>
  <c r="AE2894" i="2"/>
  <c r="AD2894" i="2"/>
  <c r="AA2894" i="2"/>
  <c r="Z2894" i="2"/>
  <c r="Y2894" i="2"/>
  <c r="X2894" i="2"/>
  <c r="V2894" i="2"/>
  <c r="U2894" i="2"/>
  <c r="T2894" i="2"/>
  <c r="S2894" i="2"/>
  <c r="R2894" i="2"/>
  <c r="Q2894" i="2"/>
  <c r="P2894" i="2"/>
  <c r="O2894" i="2"/>
  <c r="N2894" i="2"/>
  <c r="K2894" i="2"/>
  <c r="J2894" i="2"/>
  <c r="I2894" i="2"/>
  <c r="H2894" i="2"/>
  <c r="G2894" i="2"/>
  <c r="F2894" i="2"/>
  <c r="E2894" i="2"/>
  <c r="D2894" i="2"/>
  <c r="C2894" i="2"/>
  <c r="B2894" i="2"/>
  <c r="A2894" i="2"/>
  <c r="AX2893" i="2"/>
  <c r="AV2893" i="2"/>
  <c r="AU2893" i="2"/>
  <c r="AS2893" i="2"/>
  <c r="AR2893" i="2"/>
  <c r="AQ2893" i="2"/>
  <c r="AO2893" i="2"/>
  <c r="AL2893" i="2"/>
  <c r="AK2893" i="2"/>
  <c r="AJ2893" i="2"/>
  <c r="AI2893" i="2"/>
  <c r="AH2893" i="2"/>
  <c r="AG2893" i="2"/>
  <c r="AE2893" i="2"/>
  <c r="AD2893" i="2"/>
  <c r="AA2893" i="2"/>
  <c r="Z2893" i="2"/>
  <c r="Y2893" i="2"/>
  <c r="X2893" i="2"/>
  <c r="W2893" i="2"/>
  <c r="V2893" i="2"/>
  <c r="U2893" i="2"/>
  <c r="T2893" i="2"/>
  <c r="S2893" i="2"/>
  <c r="R2893" i="2"/>
  <c r="Q2893" i="2"/>
  <c r="P2893" i="2"/>
  <c r="O2893" i="2"/>
  <c r="N2893" i="2"/>
  <c r="M2893" i="2"/>
  <c r="K2893" i="2"/>
  <c r="J2893" i="2"/>
  <c r="I2893" i="2"/>
  <c r="H2893" i="2"/>
  <c r="G2893" i="2"/>
  <c r="F2893" i="2"/>
  <c r="E2893" i="2"/>
  <c r="D2893" i="2"/>
  <c r="C2893" i="2"/>
  <c r="B2893" i="2"/>
  <c r="A2893" i="2"/>
  <c r="AX2892" i="2"/>
  <c r="AV2892" i="2"/>
  <c r="AU2892" i="2"/>
  <c r="AS2892" i="2"/>
  <c r="AR2892" i="2"/>
  <c r="AQ2892" i="2"/>
  <c r="AO2892" i="2"/>
  <c r="AL2892" i="2"/>
  <c r="AK2892" i="2"/>
  <c r="AJ2892" i="2"/>
  <c r="AI2892" i="2"/>
  <c r="AH2892" i="2"/>
  <c r="AG2892" i="2"/>
  <c r="AE2892" i="2"/>
  <c r="AD2892" i="2"/>
  <c r="AA2892" i="2"/>
  <c r="Z2892" i="2"/>
  <c r="Y2892" i="2"/>
  <c r="X2892" i="2"/>
  <c r="W2892" i="2"/>
  <c r="V2892" i="2"/>
  <c r="U2892" i="2"/>
  <c r="T2892" i="2"/>
  <c r="S2892" i="2"/>
  <c r="R2892" i="2"/>
  <c r="Q2892" i="2"/>
  <c r="P2892" i="2"/>
  <c r="O2892" i="2"/>
  <c r="N2892" i="2"/>
  <c r="K2892" i="2"/>
  <c r="J2892" i="2"/>
  <c r="I2892" i="2"/>
  <c r="H2892" i="2"/>
  <c r="G2892" i="2"/>
  <c r="F2892" i="2"/>
  <c r="E2892" i="2"/>
  <c r="D2892" i="2"/>
  <c r="C2892" i="2"/>
  <c r="B2892" i="2"/>
  <c r="A2892" i="2"/>
  <c r="AX2891" i="2"/>
  <c r="AV2891" i="2"/>
  <c r="AU2891" i="2"/>
  <c r="AR2891" i="2"/>
  <c r="AQ2891" i="2"/>
  <c r="AP2891" i="2"/>
  <c r="AO2891" i="2"/>
  <c r="AL2891" i="2"/>
  <c r="AK2891" i="2"/>
  <c r="AI2891" i="2"/>
  <c r="AH2891" i="2"/>
  <c r="AG2891" i="2"/>
  <c r="AD2891" i="2"/>
  <c r="AA2891" i="2"/>
  <c r="Z2891" i="2"/>
  <c r="Y2891" i="2"/>
  <c r="X2891" i="2"/>
  <c r="W2891" i="2"/>
  <c r="V2891" i="2"/>
  <c r="U2891" i="2"/>
  <c r="T2891" i="2"/>
  <c r="S2891" i="2"/>
  <c r="R2891" i="2"/>
  <c r="Q2891" i="2"/>
  <c r="P2891" i="2"/>
  <c r="O2891" i="2"/>
  <c r="N2891" i="2"/>
  <c r="K2891" i="2"/>
  <c r="J2891" i="2"/>
  <c r="I2891" i="2"/>
  <c r="H2891" i="2"/>
  <c r="G2891" i="2"/>
  <c r="F2891" i="2"/>
  <c r="E2891" i="2"/>
  <c r="D2891" i="2"/>
  <c r="C2891" i="2"/>
  <c r="B2891" i="2"/>
  <c r="A2891" i="2"/>
  <c r="AX2890" i="2"/>
  <c r="AV2890" i="2"/>
  <c r="AU2890" i="2"/>
  <c r="AS2890" i="2"/>
  <c r="AR2890" i="2"/>
  <c r="AQ2890" i="2"/>
  <c r="AO2890" i="2"/>
  <c r="AL2890" i="2"/>
  <c r="AK2890" i="2"/>
  <c r="AJ2890" i="2"/>
  <c r="AI2890" i="2"/>
  <c r="AH2890" i="2"/>
  <c r="AG2890" i="2"/>
  <c r="AE2890" i="2"/>
  <c r="AD2890" i="2"/>
  <c r="AA2890" i="2"/>
  <c r="Z2890" i="2"/>
  <c r="Y2890" i="2"/>
  <c r="X2890" i="2"/>
  <c r="V2890" i="2"/>
  <c r="U2890" i="2"/>
  <c r="T2890" i="2"/>
  <c r="S2890" i="2"/>
  <c r="R2890" i="2"/>
  <c r="Q2890" i="2"/>
  <c r="P2890" i="2"/>
  <c r="O2890" i="2"/>
  <c r="N2890" i="2"/>
  <c r="K2890" i="2"/>
  <c r="J2890" i="2"/>
  <c r="I2890" i="2"/>
  <c r="H2890" i="2"/>
  <c r="G2890" i="2"/>
  <c r="F2890" i="2"/>
  <c r="E2890" i="2"/>
  <c r="D2890" i="2"/>
  <c r="C2890" i="2"/>
  <c r="B2890" i="2"/>
  <c r="A2890" i="2"/>
  <c r="AX2889" i="2"/>
  <c r="AV2889" i="2"/>
  <c r="AU2889" i="2"/>
  <c r="AS2889" i="2"/>
  <c r="AR2889" i="2"/>
  <c r="AQ2889" i="2"/>
  <c r="AO2889" i="2"/>
  <c r="AL2889" i="2"/>
  <c r="AK2889" i="2"/>
  <c r="AJ2889" i="2"/>
  <c r="AI2889" i="2"/>
  <c r="AH2889" i="2"/>
  <c r="AG2889" i="2"/>
  <c r="AE2889" i="2"/>
  <c r="AD2889" i="2"/>
  <c r="AA2889" i="2"/>
  <c r="Z2889" i="2"/>
  <c r="Y2889" i="2"/>
  <c r="X2889" i="2"/>
  <c r="W2889" i="2"/>
  <c r="V2889" i="2"/>
  <c r="U2889" i="2"/>
  <c r="T2889" i="2"/>
  <c r="S2889" i="2"/>
  <c r="R2889" i="2"/>
  <c r="Q2889" i="2"/>
  <c r="P2889" i="2"/>
  <c r="O2889" i="2"/>
  <c r="N2889" i="2"/>
  <c r="K2889" i="2"/>
  <c r="J2889" i="2"/>
  <c r="I2889" i="2"/>
  <c r="H2889" i="2"/>
  <c r="G2889" i="2"/>
  <c r="F2889" i="2"/>
  <c r="E2889" i="2"/>
  <c r="D2889" i="2"/>
  <c r="C2889" i="2"/>
  <c r="B2889" i="2"/>
  <c r="A2889" i="2"/>
  <c r="AX2888" i="2"/>
  <c r="AV2888" i="2"/>
  <c r="AU2888" i="2"/>
  <c r="AS2888" i="2"/>
  <c r="AR2888" i="2"/>
  <c r="AQ2888" i="2"/>
  <c r="AO2888" i="2"/>
  <c r="AL2888" i="2"/>
  <c r="AK2888" i="2"/>
  <c r="AJ2888" i="2"/>
  <c r="AI2888" i="2"/>
  <c r="AH2888" i="2"/>
  <c r="AG2888" i="2"/>
  <c r="AE2888" i="2"/>
  <c r="AD2888" i="2"/>
  <c r="AA2888" i="2"/>
  <c r="Z2888" i="2"/>
  <c r="Y2888" i="2"/>
  <c r="X2888" i="2"/>
  <c r="W2888" i="2"/>
  <c r="V2888" i="2"/>
  <c r="U2888" i="2"/>
  <c r="T2888" i="2"/>
  <c r="S2888" i="2"/>
  <c r="R2888" i="2"/>
  <c r="Q2888" i="2"/>
  <c r="P2888" i="2"/>
  <c r="O2888" i="2"/>
  <c r="N2888" i="2"/>
  <c r="K2888" i="2"/>
  <c r="J2888" i="2"/>
  <c r="I2888" i="2"/>
  <c r="H2888" i="2"/>
  <c r="G2888" i="2"/>
  <c r="F2888" i="2"/>
  <c r="E2888" i="2"/>
  <c r="D2888" i="2"/>
  <c r="C2888" i="2"/>
  <c r="B2888" i="2"/>
  <c r="A2888" i="2"/>
  <c r="AX2887" i="2"/>
  <c r="AV2887" i="2"/>
  <c r="AU2887" i="2"/>
  <c r="AS2887" i="2"/>
  <c r="AR2887" i="2"/>
  <c r="AQ2887" i="2"/>
  <c r="AO2887" i="2"/>
  <c r="AN2887" i="2"/>
  <c r="AL2887" i="2"/>
  <c r="AK2887" i="2"/>
  <c r="AJ2887" i="2"/>
  <c r="AI2887" i="2"/>
  <c r="AH2887" i="2"/>
  <c r="AG2887" i="2"/>
  <c r="AE2887" i="2"/>
  <c r="AD2887" i="2"/>
  <c r="AC2887" i="2"/>
  <c r="AA2887" i="2"/>
  <c r="Z2887" i="2"/>
  <c r="Y2887" i="2"/>
  <c r="X2887" i="2"/>
  <c r="V2887" i="2"/>
  <c r="U2887" i="2"/>
  <c r="T2887" i="2"/>
  <c r="S2887" i="2"/>
  <c r="R2887" i="2"/>
  <c r="Q2887" i="2"/>
  <c r="P2887" i="2"/>
  <c r="O2887" i="2"/>
  <c r="N2887" i="2"/>
  <c r="K2887" i="2"/>
  <c r="J2887" i="2"/>
  <c r="I2887" i="2"/>
  <c r="H2887" i="2"/>
  <c r="G2887" i="2"/>
  <c r="F2887" i="2"/>
  <c r="E2887" i="2"/>
  <c r="D2887" i="2"/>
  <c r="C2887" i="2"/>
  <c r="B2887" i="2"/>
  <c r="A2887" i="2"/>
  <c r="AX2886" i="2"/>
  <c r="AV2886" i="2"/>
  <c r="AU2886" i="2"/>
  <c r="AS2886" i="2"/>
  <c r="AR2886" i="2"/>
  <c r="AQ2886" i="2"/>
  <c r="AO2886" i="2"/>
  <c r="AL2886" i="2"/>
  <c r="AK2886" i="2"/>
  <c r="AJ2886" i="2"/>
  <c r="AI2886" i="2"/>
  <c r="AH2886" i="2"/>
  <c r="AG2886" i="2"/>
  <c r="AE2886" i="2"/>
  <c r="AD2886" i="2"/>
  <c r="AA2886" i="2"/>
  <c r="Z2886" i="2"/>
  <c r="Y2886" i="2"/>
  <c r="X2886" i="2"/>
  <c r="W2886" i="2"/>
  <c r="V2886" i="2"/>
  <c r="U2886" i="2"/>
  <c r="T2886" i="2"/>
  <c r="S2886" i="2"/>
  <c r="R2886" i="2"/>
  <c r="Q2886" i="2"/>
  <c r="P2886" i="2"/>
  <c r="O2886" i="2"/>
  <c r="N2886" i="2"/>
  <c r="K2886" i="2"/>
  <c r="J2886" i="2"/>
  <c r="I2886" i="2"/>
  <c r="H2886" i="2"/>
  <c r="G2886" i="2"/>
  <c r="F2886" i="2"/>
  <c r="E2886" i="2"/>
  <c r="D2886" i="2"/>
  <c r="C2886" i="2"/>
  <c r="B2886" i="2"/>
  <c r="A2886" i="2"/>
  <c r="AX2885" i="2"/>
  <c r="AV2885" i="2"/>
  <c r="AU2885" i="2"/>
  <c r="AS2885" i="2"/>
  <c r="AR2885" i="2"/>
  <c r="AQ2885" i="2"/>
  <c r="AO2885" i="2"/>
  <c r="AL2885" i="2"/>
  <c r="AK2885" i="2"/>
  <c r="AJ2885" i="2"/>
  <c r="AI2885" i="2"/>
  <c r="AH2885" i="2"/>
  <c r="AG2885" i="2"/>
  <c r="AF2885" i="2"/>
  <c r="AE2885" i="2"/>
  <c r="AD2885" i="2"/>
  <c r="AA2885" i="2"/>
  <c r="Z2885" i="2"/>
  <c r="Y2885" i="2"/>
  <c r="X2885" i="2"/>
  <c r="V2885" i="2"/>
  <c r="U2885" i="2"/>
  <c r="T2885" i="2"/>
  <c r="S2885" i="2"/>
  <c r="R2885" i="2"/>
  <c r="Q2885" i="2"/>
  <c r="P2885" i="2"/>
  <c r="O2885" i="2"/>
  <c r="N2885" i="2"/>
  <c r="K2885" i="2"/>
  <c r="J2885" i="2"/>
  <c r="I2885" i="2"/>
  <c r="H2885" i="2"/>
  <c r="G2885" i="2"/>
  <c r="F2885" i="2"/>
  <c r="E2885" i="2"/>
  <c r="D2885" i="2"/>
  <c r="C2885" i="2"/>
  <c r="B2885" i="2"/>
  <c r="A2885" i="2"/>
  <c r="AX2884" i="2"/>
  <c r="AV2884" i="2"/>
  <c r="AU2884" i="2"/>
  <c r="AS2884" i="2"/>
  <c r="AR2884" i="2"/>
  <c r="AQ2884" i="2"/>
  <c r="AO2884" i="2"/>
  <c r="AL2884" i="2"/>
  <c r="AK2884" i="2"/>
  <c r="AJ2884" i="2"/>
  <c r="AI2884" i="2"/>
  <c r="AH2884" i="2"/>
  <c r="AG2884" i="2"/>
  <c r="AD2884" i="2"/>
  <c r="AA2884" i="2"/>
  <c r="Z2884" i="2"/>
  <c r="Y2884" i="2"/>
  <c r="X2884" i="2"/>
  <c r="V2884" i="2"/>
  <c r="U2884" i="2"/>
  <c r="T2884" i="2"/>
  <c r="S2884" i="2"/>
  <c r="R2884" i="2"/>
  <c r="Q2884" i="2"/>
  <c r="P2884" i="2"/>
  <c r="O2884" i="2"/>
  <c r="N2884" i="2"/>
  <c r="K2884" i="2"/>
  <c r="J2884" i="2"/>
  <c r="I2884" i="2"/>
  <c r="H2884" i="2"/>
  <c r="G2884" i="2"/>
  <c r="F2884" i="2"/>
  <c r="E2884" i="2"/>
  <c r="D2884" i="2"/>
  <c r="C2884" i="2"/>
  <c r="B2884" i="2"/>
  <c r="A2884" i="2"/>
  <c r="AX2883" i="2"/>
  <c r="AV2883" i="2"/>
  <c r="AU2883" i="2"/>
  <c r="AS2883" i="2"/>
  <c r="AR2883" i="2"/>
  <c r="AQ2883" i="2"/>
  <c r="AO2883" i="2"/>
  <c r="AN2883" i="2"/>
  <c r="AM2883" i="2"/>
  <c r="AL2883" i="2"/>
  <c r="AK2883" i="2"/>
  <c r="AJ2883" i="2"/>
  <c r="AI2883" i="2"/>
  <c r="AH2883" i="2"/>
  <c r="AG2883" i="2"/>
  <c r="AE2883" i="2"/>
  <c r="AD2883" i="2"/>
  <c r="AA2883" i="2"/>
  <c r="Z2883" i="2"/>
  <c r="Y2883" i="2"/>
  <c r="W2883" i="2"/>
  <c r="V2883" i="2"/>
  <c r="U2883" i="2"/>
  <c r="T2883" i="2"/>
  <c r="S2883" i="2"/>
  <c r="R2883" i="2"/>
  <c r="Q2883" i="2"/>
  <c r="P2883" i="2"/>
  <c r="O2883" i="2"/>
  <c r="N2883" i="2"/>
  <c r="K2883" i="2"/>
  <c r="J2883" i="2"/>
  <c r="I2883" i="2"/>
  <c r="H2883" i="2"/>
  <c r="G2883" i="2"/>
  <c r="F2883" i="2"/>
  <c r="E2883" i="2"/>
  <c r="D2883" i="2"/>
  <c r="C2883" i="2"/>
  <c r="B2883" i="2"/>
  <c r="A2883" i="2"/>
  <c r="AX2882" i="2"/>
  <c r="AV2882" i="2"/>
  <c r="AU2882" i="2"/>
  <c r="AS2882" i="2"/>
  <c r="AR2882" i="2"/>
  <c r="AQ2882" i="2"/>
  <c r="AO2882" i="2"/>
  <c r="AL2882" i="2"/>
  <c r="AK2882" i="2"/>
  <c r="AI2882" i="2"/>
  <c r="AH2882" i="2"/>
  <c r="AG2882" i="2"/>
  <c r="AE2882" i="2"/>
  <c r="AD2882" i="2"/>
  <c r="AA2882" i="2"/>
  <c r="Z2882" i="2"/>
  <c r="Y2882" i="2"/>
  <c r="X2882" i="2"/>
  <c r="U2882" i="2"/>
  <c r="T2882" i="2"/>
  <c r="S2882" i="2"/>
  <c r="R2882" i="2"/>
  <c r="Q2882" i="2"/>
  <c r="P2882" i="2"/>
  <c r="O2882" i="2"/>
  <c r="N2882" i="2"/>
  <c r="K2882" i="2"/>
  <c r="J2882" i="2"/>
  <c r="I2882" i="2"/>
  <c r="H2882" i="2"/>
  <c r="G2882" i="2"/>
  <c r="F2882" i="2"/>
  <c r="E2882" i="2"/>
  <c r="D2882" i="2"/>
  <c r="C2882" i="2"/>
  <c r="B2882" i="2"/>
  <c r="A2882" i="2"/>
  <c r="AX2881" i="2"/>
  <c r="AV2881" i="2"/>
  <c r="AU2881" i="2"/>
  <c r="AS2881" i="2"/>
  <c r="AR2881" i="2"/>
  <c r="AQ2881" i="2"/>
  <c r="AO2881" i="2"/>
  <c r="AL2881" i="2"/>
  <c r="AK2881" i="2"/>
  <c r="AJ2881" i="2"/>
  <c r="AI2881" i="2"/>
  <c r="AH2881" i="2"/>
  <c r="AG2881" i="2"/>
  <c r="AE2881" i="2"/>
  <c r="AD2881" i="2"/>
  <c r="AA2881" i="2"/>
  <c r="Z2881" i="2"/>
  <c r="Y2881" i="2"/>
  <c r="X2881" i="2"/>
  <c r="U2881" i="2"/>
  <c r="T2881" i="2"/>
  <c r="S2881" i="2"/>
  <c r="R2881" i="2"/>
  <c r="Q2881" i="2"/>
  <c r="P2881" i="2"/>
  <c r="O2881" i="2"/>
  <c r="N2881" i="2"/>
  <c r="K2881" i="2"/>
  <c r="J2881" i="2"/>
  <c r="I2881" i="2"/>
  <c r="H2881" i="2"/>
  <c r="G2881" i="2"/>
  <c r="F2881" i="2"/>
  <c r="E2881" i="2"/>
  <c r="D2881" i="2"/>
  <c r="C2881" i="2"/>
  <c r="B2881" i="2"/>
  <c r="A2881" i="2"/>
  <c r="AX2880" i="2"/>
  <c r="AV2880" i="2"/>
  <c r="AU2880" i="2"/>
  <c r="AS2880" i="2"/>
  <c r="AR2880" i="2"/>
  <c r="AQ2880" i="2"/>
  <c r="AO2880" i="2"/>
  <c r="AL2880" i="2"/>
  <c r="AK2880" i="2"/>
  <c r="AJ2880" i="2"/>
  <c r="AI2880" i="2"/>
  <c r="AH2880" i="2"/>
  <c r="AG2880" i="2"/>
  <c r="AE2880" i="2"/>
  <c r="AD2880" i="2"/>
  <c r="AA2880" i="2"/>
  <c r="Z2880" i="2"/>
  <c r="Y2880" i="2"/>
  <c r="X2880" i="2"/>
  <c r="U2880" i="2"/>
  <c r="T2880" i="2"/>
  <c r="S2880" i="2"/>
  <c r="R2880" i="2"/>
  <c r="Q2880" i="2"/>
  <c r="P2880" i="2"/>
  <c r="O2880" i="2"/>
  <c r="N2880" i="2"/>
  <c r="K2880" i="2"/>
  <c r="J2880" i="2"/>
  <c r="I2880" i="2"/>
  <c r="H2880" i="2"/>
  <c r="G2880" i="2"/>
  <c r="F2880" i="2"/>
  <c r="E2880" i="2"/>
  <c r="D2880" i="2"/>
  <c r="C2880" i="2"/>
  <c r="B2880" i="2"/>
  <c r="A2880" i="2"/>
  <c r="AX2879" i="2"/>
  <c r="AV2879" i="2"/>
  <c r="AU2879" i="2"/>
  <c r="AS2879" i="2"/>
  <c r="AR2879" i="2"/>
  <c r="AQ2879" i="2"/>
  <c r="AO2879" i="2"/>
  <c r="AL2879" i="2"/>
  <c r="AK2879" i="2"/>
  <c r="AJ2879" i="2"/>
  <c r="AI2879" i="2"/>
  <c r="AH2879" i="2"/>
  <c r="AG2879" i="2"/>
  <c r="AE2879" i="2"/>
  <c r="AD2879" i="2"/>
  <c r="AA2879" i="2"/>
  <c r="Z2879" i="2"/>
  <c r="Y2879" i="2"/>
  <c r="X2879" i="2"/>
  <c r="W2879" i="2"/>
  <c r="V2879" i="2"/>
  <c r="U2879" i="2"/>
  <c r="T2879" i="2"/>
  <c r="S2879" i="2"/>
  <c r="R2879" i="2"/>
  <c r="Q2879" i="2"/>
  <c r="P2879" i="2"/>
  <c r="O2879" i="2"/>
  <c r="N2879" i="2"/>
  <c r="K2879" i="2"/>
  <c r="J2879" i="2"/>
  <c r="I2879" i="2"/>
  <c r="H2879" i="2"/>
  <c r="G2879" i="2"/>
  <c r="F2879" i="2"/>
  <c r="E2879" i="2"/>
  <c r="D2879" i="2"/>
  <c r="C2879" i="2"/>
  <c r="B2879" i="2"/>
  <c r="A2879" i="2"/>
  <c r="AX2878" i="2"/>
  <c r="AV2878" i="2"/>
  <c r="AU2878" i="2"/>
  <c r="AS2878" i="2"/>
  <c r="AR2878" i="2"/>
  <c r="AQ2878" i="2"/>
  <c r="AL2878" i="2"/>
  <c r="AK2878" i="2"/>
  <c r="AJ2878" i="2"/>
  <c r="AI2878" i="2"/>
  <c r="AH2878" i="2"/>
  <c r="AG2878" i="2"/>
  <c r="AE2878" i="2"/>
  <c r="AD2878" i="2"/>
  <c r="AA2878" i="2"/>
  <c r="Z2878" i="2"/>
  <c r="Y2878" i="2"/>
  <c r="X2878" i="2"/>
  <c r="W2878" i="2"/>
  <c r="V2878" i="2"/>
  <c r="U2878" i="2"/>
  <c r="T2878" i="2"/>
  <c r="S2878" i="2"/>
  <c r="R2878" i="2"/>
  <c r="Q2878" i="2"/>
  <c r="P2878" i="2"/>
  <c r="O2878" i="2"/>
  <c r="N2878" i="2"/>
  <c r="K2878" i="2"/>
  <c r="J2878" i="2"/>
  <c r="I2878" i="2"/>
  <c r="H2878" i="2"/>
  <c r="G2878" i="2"/>
  <c r="F2878" i="2"/>
  <c r="E2878" i="2"/>
  <c r="D2878" i="2"/>
  <c r="C2878" i="2"/>
  <c r="B2878" i="2"/>
  <c r="A2878" i="2"/>
  <c r="AX2877" i="2"/>
  <c r="AV2877" i="2"/>
  <c r="AU2877" i="2"/>
  <c r="AS2877" i="2"/>
  <c r="AR2877" i="2"/>
  <c r="AQ2877" i="2"/>
  <c r="AO2877" i="2"/>
  <c r="AN2877" i="2"/>
  <c r="AM2877" i="2"/>
  <c r="AL2877" i="2"/>
  <c r="AK2877" i="2"/>
  <c r="AJ2877" i="2"/>
  <c r="AI2877" i="2"/>
  <c r="AH2877" i="2"/>
  <c r="AG2877" i="2"/>
  <c r="AE2877" i="2"/>
  <c r="AD2877" i="2"/>
  <c r="AA2877" i="2"/>
  <c r="Z2877" i="2"/>
  <c r="Y2877" i="2"/>
  <c r="X2877" i="2"/>
  <c r="W2877" i="2"/>
  <c r="V2877" i="2"/>
  <c r="U2877" i="2"/>
  <c r="T2877" i="2"/>
  <c r="S2877" i="2"/>
  <c r="R2877" i="2"/>
  <c r="Q2877" i="2"/>
  <c r="P2877" i="2"/>
  <c r="O2877" i="2"/>
  <c r="N2877" i="2"/>
  <c r="K2877" i="2"/>
  <c r="J2877" i="2"/>
  <c r="I2877" i="2"/>
  <c r="H2877" i="2"/>
  <c r="G2877" i="2"/>
  <c r="F2877" i="2"/>
  <c r="E2877" i="2"/>
  <c r="D2877" i="2"/>
  <c r="C2877" i="2"/>
  <c r="B2877" i="2"/>
  <c r="A2877" i="2"/>
  <c r="AX2876" i="2"/>
  <c r="AV2876" i="2"/>
  <c r="AU2876" i="2"/>
  <c r="AS2876" i="2"/>
  <c r="AR2876" i="2"/>
  <c r="AQ2876" i="2"/>
  <c r="AO2876" i="2"/>
  <c r="AL2876" i="2"/>
  <c r="AK2876" i="2"/>
  <c r="AJ2876" i="2"/>
  <c r="AI2876" i="2"/>
  <c r="AH2876" i="2"/>
  <c r="AG2876" i="2"/>
  <c r="AE2876" i="2"/>
  <c r="AD2876" i="2"/>
  <c r="AA2876" i="2"/>
  <c r="Z2876" i="2"/>
  <c r="Y2876" i="2"/>
  <c r="X2876" i="2"/>
  <c r="W2876" i="2"/>
  <c r="V2876" i="2"/>
  <c r="U2876" i="2"/>
  <c r="T2876" i="2"/>
  <c r="S2876" i="2"/>
  <c r="R2876" i="2"/>
  <c r="Q2876" i="2"/>
  <c r="P2876" i="2"/>
  <c r="O2876" i="2"/>
  <c r="N2876" i="2"/>
  <c r="K2876" i="2"/>
  <c r="J2876" i="2"/>
  <c r="I2876" i="2"/>
  <c r="H2876" i="2"/>
  <c r="G2876" i="2"/>
  <c r="F2876" i="2"/>
  <c r="E2876" i="2"/>
  <c r="D2876" i="2"/>
  <c r="C2876" i="2"/>
  <c r="B2876" i="2"/>
  <c r="A2876" i="2"/>
  <c r="AX2875" i="2"/>
  <c r="AV2875" i="2"/>
  <c r="AU2875" i="2"/>
  <c r="AS2875" i="2"/>
  <c r="AR2875" i="2"/>
  <c r="AQ2875" i="2"/>
  <c r="AO2875" i="2"/>
  <c r="AL2875" i="2"/>
  <c r="AK2875" i="2"/>
  <c r="AJ2875" i="2"/>
  <c r="AI2875" i="2"/>
  <c r="AH2875" i="2"/>
  <c r="AG2875" i="2"/>
  <c r="AD2875" i="2"/>
  <c r="AA2875" i="2"/>
  <c r="Z2875" i="2"/>
  <c r="Y2875" i="2"/>
  <c r="X2875" i="2"/>
  <c r="U2875" i="2"/>
  <c r="T2875" i="2"/>
  <c r="S2875" i="2"/>
  <c r="R2875" i="2"/>
  <c r="Q2875" i="2"/>
  <c r="P2875" i="2"/>
  <c r="O2875" i="2"/>
  <c r="N2875" i="2"/>
  <c r="K2875" i="2"/>
  <c r="J2875" i="2"/>
  <c r="I2875" i="2"/>
  <c r="H2875" i="2"/>
  <c r="G2875" i="2"/>
  <c r="F2875" i="2"/>
  <c r="E2875" i="2"/>
  <c r="D2875" i="2"/>
  <c r="C2875" i="2"/>
  <c r="B2875" i="2"/>
  <c r="A2875" i="2"/>
  <c r="AX2874" i="2"/>
  <c r="AV2874" i="2"/>
  <c r="AU2874" i="2"/>
  <c r="AS2874" i="2"/>
  <c r="AR2874" i="2"/>
  <c r="AQ2874" i="2"/>
  <c r="AO2874" i="2"/>
  <c r="AL2874" i="2"/>
  <c r="AK2874" i="2"/>
  <c r="AJ2874" i="2"/>
  <c r="AI2874" i="2"/>
  <c r="AH2874" i="2"/>
  <c r="AG2874" i="2"/>
  <c r="AE2874" i="2"/>
  <c r="AD2874" i="2"/>
  <c r="AA2874" i="2"/>
  <c r="Z2874" i="2"/>
  <c r="Y2874" i="2"/>
  <c r="X2874" i="2"/>
  <c r="W2874" i="2"/>
  <c r="V2874" i="2"/>
  <c r="U2874" i="2"/>
  <c r="T2874" i="2"/>
  <c r="S2874" i="2"/>
  <c r="R2874" i="2"/>
  <c r="Q2874" i="2"/>
  <c r="P2874" i="2"/>
  <c r="O2874" i="2"/>
  <c r="N2874" i="2"/>
  <c r="K2874" i="2"/>
  <c r="J2874" i="2"/>
  <c r="I2874" i="2"/>
  <c r="H2874" i="2"/>
  <c r="G2874" i="2"/>
  <c r="F2874" i="2"/>
  <c r="E2874" i="2"/>
  <c r="D2874" i="2"/>
  <c r="C2874" i="2"/>
  <c r="B2874" i="2"/>
  <c r="A2874" i="2"/>
  <c r="AX2873" i="2"/>
  <c r="AV2873" i="2"/>
  <c r="AU2873" i="2"/>
  <c r="AS2873" i="2"/>
  <c r="AR2873" i="2"/>
  <c r="AQ2873" i="2"/>
  <c r="AO2873" i="2"/>
  <c r="AL2873" i="2"/>
  <c r="AK2873" i="2"/>
  <c r="AJ2873" i="2"/>
  <c r="AI2873" i="2"/>
  <c r="AH2873" i="2"/>
  <c r="AG2873" i="2"/>
  <c r="AE2873" i="2"/>
  <c r="AD2873" i="2"/>
  <c r="AA2873" i="2"/>
  <c r="Z2873" i="2"/>
  <c r="Y2873" i="2"/>
  <c r="X2873" i="2"/>
  <c r="V2873" i="2"/>
  <c r="U2873" i="2"/>
  <c r="T2873" i="2"/>
  <c r="S2873" i="2"/>
  <c r="R2873" i="2"/>
  <c r="Q2873" i="2"/>
  <c r="P2873" i="2"/>
  <c r="O2873" i="2"/>
  <c r="N2873" i="2"/>
  <c r="K2873" i="2"/>
  <c r="J2873" i="2"/>
  <c r="I2873" i="2"/>
  <c r="H2873" i="2"/>
  <c r="G2873" i="2"/>
  <c r="F2873" i="2"/>
  <c r="E2873" i="2"/>
  <c r="D2873" i="2"/>
  <c r="C2873" i="2"/>
  <c r="B2873" i="2"/>
  <c r="A2873" i="2"/>
  <c r="AX2872" i="2"/>
  <c r="AV2872" i="2"/>
  <c r="AU2872" i="2"/>
  <c r="AS2872" i="2"/>
  <c r="AR2872" i="2"/>
  <c r="AQ2872" i="2"/>
  <c r="AO2872" i="2"/>
  <c r="AN2872" i="2"/>
  <c r="AM2872" i="2"/>
  <c r="AL2872" i="2"/>
  <c r="AK2872" i="2"/>
  <c r="AJ2872" i="2"/>
  <c r="AI2872" i="2"/>
  <c r="AH2872" i="2"/>
  <c r="AG2872" i="2"/>
  <c r="AE2872" i="2"/>
  <c r="AD2872" i="2"/>
  <c r="AA2872" i="2"/>
  <c r="Z2872" i="2"/>
  <c r="Y2872" i="2"/>
  <c r="X2872" i="2"/>
  <c r="W2872" i="2"/>
  <c r="V2872" i="2"/>
  <c r="U2872" i="2"/>
  <c r="T2872" i="2"/>
  <c r="S2872" i="2"/>
  <c r="R2872" i="2"/>
  <c r="Q2872" i="2"/>
  <c r="P2872" i="2"/>
  <c r="O2872" i="2"/>
  <c r="N2872" i="2"/>
  <c r="K2872" i="2"/>
  <c r="J2872" i="2"/>
  <c r="I2872" i="2"/>
  <c r="H2872" i="2"/>
  <c r="G2872" i="2"/>
  <c r="F2872" i="2"/>
  <c r="E2872" i="2"/>
  <c r="D2872" i="2"/>
  <c r="C2872" i="2"/>
  <c r="B2872" i="2"/>
  <c r="A2872" i="2"/>
  <c r="AX2871" i="2"/>
  <c r="AV2871" i="2"/>
  <c r="AU2871" i="2"/>
  <c r="AS2871" i="2"/>
  <c r="AR2871" i="2"/>
  <c r="AQ2871" i="2"/>
  <c r="AO2871" i="2"/>
  <c r="AN2871" i="2"/>
  <c r="AM2871" i="2"/>
  <c r="AL2871" i="2"/>
  <c r="AK2871" i="2"/>
  <c r="AI2871" i="2"/>
  <c r="AH2871" i="2"/>
  <c r="AG2871" i="2"/>
  <c r="AD2871" i="2"/>
  <c r="AC2871" i="2"/>
  <c r="AA2871" i="2"/>
  <c r="Z2871" i="2"/>
  <c r="Y2871" i="2"/>
  <c r="U2871" i="2"/>
  <c r="T2871" i="2"/>
  <c r="S2871" i="2"/>
  <c r="R2871" i="2"/>
  <c r="Q2871" i="2"/>
  <c r="P2871" i="2"/>
  <c r="O2871" i="2"/>
  <c r="N2871" i="2"/>
  <c r="M2871" i="2"/>
  <c r="K2871" i="2"/>
  <c r="J2871" i="2"/>
  <c r="I2871" i="2"/>
  <c r="H2871" i="2"/>
  <c r="G2871" i="2"/>
  <c r="F2871" i="2"/>
  <c r="E2871" i="2"/>
  <c r="D2871" i="2"/>
  <c r="C2871" i="2"/>
  <c r="B2871" i="2"/>
  <c r="A2871" i="2"/>
  <c r="AX2870" i="2"/>
  <c r="AV2870" i="2"/>
  <c r="AU2870" i="2"/>
  <c r="AS2870" i="2"/>
  <c r="AR2870" i="2"/>
  <c r="AQ2870" i="2"/>
  <c r="AO2870" i="2"/>
  <c r="AL2870" i="2"/>
  <c r="AK2870" i="2"/>
  <c r="AJ2870" i="2"/>
  <c r="AI2870" i="2"/>
  <c r="AH2870" i="2"/>
  <c r="AG2870" i="2"/>
  <c r="AE2870" i="2"/>
  <c r="AA2870" i="2"/>
  <c r="Z2870" i="2"/>
  <c r="Y2870" i="2"/>
  <c r="X2870" i="2"/>
  <c r="V2870" i="2"/>
  <c r="U2870" i="2"/>
  <c r="T2870" i="2"/>
  <c r="S2870" i="2"/>
  <c r="R2870" i="2"/>
  <c r="Q2870" i="2"/>
  <c r="P2870" i="2"/>
  <c r="O2870" i="2"/>
  <c r="N2870" i="2"/>
  <c r="K2870" i="2"/>
  <c r="J2870" i="2"/>
  <c r="I2870" i="2"/>
  <c r="H2870" i="2"/>
  <c r="G2870" i="2"/>
  <c r="F2870" i="2"/>
  <c r="E2870" i="2"/>
  <c r="D2870" i="2"/>
  <c r="C2870" i="2"/>
  <c r="B2870" i="2"/>
  <c r="A2870" i="2"/>
  <c r="AX2869" i="2"/>
  <c r="AV2869" i="2"/>
  <c r="AU2869" i="2"/>
  <c r="AS2869" i="2"/>
  <c r="AR2869" i="2"/>
  <c r="AQ2869" i="2"/>
  <c r="AO2869" i="2"/>
  <c r="AL2869" i="2"/>
  <c r="AK2869" i="2"/>
  <c r="AJ2869" i="2"/>
  <c r="AI2869" i="2"/>
  <c r="AH2869" i="2"/>
  <c r="AG2869" i="2"/>
  <c r="AE2869" i="2"/>
  <c r="AD2869" i="2"/>
  <c r="AA2869" i="2"/>
  <c r="Z2869" i="2"/>
  <c r="Y2869" i="2"/>
  <c r="X2869" i="2"/>
  <c r="W2869" i="2"/>
  <c r="V2869" i="2"/>
  <c r="U2869" i="2"/>
  <c r="T2869" i="2"/>
  <c r="S2869" i="2"/>
  <c r="R2869" i="2"/>
  <c r="Q2869" i="2"/>
  <c r="P2869" i="2"/>
  <c r="O2869" i="2"/>
  <c r="N2869" i="2"/>
  <c r="K2869" i="2"/>
  <c r="J2869" i="2"/>
  <c r="I2869" i="2"/>
  <c r="H2869" i="2"/>
  <c r="G2869" i="2"/>
  <c r="F2869" i="2"/>
  <c r="E2869" i="2"/>
  <c r="D2869" i="2"/>
  <c r="C2869" i="2"/>
  <c r="B2869" i="2"/>
  <c r="A2869" i="2"/>
  <c r="AX2868" i="2"/>
  <c r="AV2868" i="2"/>
  <c r="AU2868" i="2"/>
  <c r="AS2868" i="2"/>
  <c r="AR2868" i="2"/>
  <c r="AQ2868" i="2"/>
  <c r="AL2868" i="2"/>
  <c r="AK2868" i="2"/>
  <c r="AJ2868" i="2"/>
  <c r="AI2868" i="2"/>
  <c r="AH2868" i="2"/>
  <c r="AG2868" i="2"/>
  <c r="AD2868" i="2"/>
  <c r="AA2868" i="2"/>
  <c r="Z2868" i="2"/>
  <c r="Y2868" i="2"/>
  <c r="X2868" i="2"/>
  <c r="W2868" i="2"/>
  <c r="V2868" i="2"/>
  <c r="U2868" i="2"/>
  <c r="T2868" i="2"/>
  <c r="S2868" i="2"/>
  <c r="R2868" i="2"/>
  <c r="Q2868" i="2"/>
  <c r="P2868" i="2"/>
  <c r="O2868" i="2"/>
  <c r="N2868" i="2"/>
  <c r="K2868" i="2"/>
  <c r="J2868" i="2"/>
  <c r="I2868" i="2"/>
  <c r="H2868" i="2"/>
  <c r="G2868" i="2"/>
  <c r="F2868" i="2"/>
  <c r="E2868" i="2"/>
  <c r="D2868" i="2"/>
  <c r="C2868" i="2"/>
  <c r="B2868" i="2"/>
  <c r="A2868" i="2"/>
  <c r="AX2867" i="2"/>
  <c r="AV2867" i="2"/>
  <c r="AU2867" i="2"/>
  <c r="AS2867" i="2"/>
  <c r="AR2867" i="2"/>
  <c r="AQ2867" i="2"/>
  <c r="AO2867" i="2"/>
  <c r="AL2867" i="2"/>
  <c r="AK2867" i="2"/>
  <c r="AJ2867" i="2"/>
  <c r="AI2867" i="2"/>
  <c r="AH2867" i="2"/>
  <c r="AG2867" i="2"/>
  <c r="AE2867" i="2"/>
  <c r="AD2867" i="2"/>
  <c r="AA2867" i="2"/>
  <c r="Z2867" i="2"/>
  <c r="Y2867" i="2"/>
  <c r="V2867" i="2"/>
  <c r="U2867" i="2"/>
  <c r="T2867" i="2"/>
  <c r="S2867" i="2"/>
  <c r="R2867" i="2"/>
  <c r="Q2867" i="2"/>
  <c r="P2867" i="2"/>
  <c r="O2867" i="2"/>
  <c r="N2867" i="2"/>
  <c r="M2867" i="2"/>
  <c r="L2867" i="2"/>
  <c r="K2867" i="2"/>
  <c r="J2867" i="2"/>
  <c r="I2867" i="2"/>
  <c r="H2867" i="2"/>
  <c r="G2867" i="2"/>
  <c r="F2867" i="2"/>
  <c r="E2867" i="2"/>
  <c r="D2867" i="2"/>
  <c r="C2867" i="2"/>
  <c r="B2867" i="2"/>
  <c r="A2867" i="2"/>
  <c r="AX2866" i="2"/>
  <c r="AV2866" i="2"/>
  <c r="AU2866" i="2"/>
  <c r="AS2866" i="2"/>
  <c r="AR2866" i="2"/>
  <c r="AQ2866" i="2"/>
  <c r="AO2866" i="2"/>
  <c r="AL2866" i="2"/>
  <c r="AK2866" i="2"/>
  <c r="AJ2866" i="2"/>
  <c r="AI2866" i="2"/>
  <c r="AH2866" i="2"/>
  <c r="AG2866" i="2"/>
  <c r="AE2866" i="2"/>
  <c r="AD2866" i="2"/>
  <c r="AA2866" i="2"/>
  <c r="Z2866" i="2"/>
  <c r="Y2866" i="2"/>
  <c r="W2866" i="2"/>
  <c r="V2866" i="2"/>
  <c r="U2866" i="2"/>
  <c r="T2866" i="2"/>
  <c r="S2866" i="2"/>
  <c r="R2866" i="2"/>
  <c r="Q2866" i="2"/>
  <c r="P2866" i="2"/>
  <c r="O2866" i="2"/>
  <c r="N2866" i="2"/>
  <c r="K2866" i="2"/>
  <c r="J2866" i="2"/>
  <c r="I2866" i="2"/>
  <c r="H2866" i="2"/>
  <c r="G2866" i="2"/>
  <c r="F2866" i="2"/>
  <c r="E2866" i="2"/>
  <c r="D2866" i="2"/>
  <c r="C2866" i="2"/>
  <c r="B2866" i="2"/>
  <c r="A2866" i="2"/>
  <c r="AX2865" i="2"/>
  <c r="AV2865" i="2"/>
  <c r="AU2865" i="2"/>
  <c r="AS2865" i="2"/>
  <c r="AR2865" i="2"/>
  <c r="AQ2865" i="2"/>
  <c r="AO2865" i="2"/>
  <c r="AL2865" i="2"/>
  <c r="AK2865" i="2"/>
  <c r="AJ2865" i="2"/>
  <c r="AI2865" i="2"/>
  <c r="AH2865" i="2"/>
  <c r="AG2865" i="2"/>
  <c r="AE2865" i="2"/>
  <c r="AD2865" i="2"/>
  <c r="AA2865" i="2"/>
  <c r="Z2865" i="2"/>
  <c r="Y2865" i="2"/>
  <c r="X2865" i="2"/>
  <c r="W2865" i="2"/>
  <c r="V2865" i="2"/>
  <c r="U2865" i="2"/>
  <c r="T2865" i="2"/>
  <c r="S2865" i="2"/>
  <c r="R2865" i="2"/>
  <c r="Q2865" i="2"/>
  <c r="P2865" i="2"/>
  <c r="O2865" i="2"/>
  <c r="N2865" i="2"/>
  <c r="K2865" i="2"/>
  <c r="J2865" i="2"/>
  <c r="I2865" i="2"/>
  <c r="H2865" i="2"/>
  <c r="G2865" i="2"/>
  <c r="F2865" i="2"/>
  <c r="E2865" i="2"/>
  <c r="D2865" i="2"/>
  <c r="C2865" i="2"/>
  <c r="B2865" i="2"/>
  <c r="A2865" i="2"/>
  <c r="AX2864" i="2"/>
  <c r="AV2864" i="2"/>
  <c r="AU2864" i="2"/>
  <c r="AS2864" i="2"/>
  <c r="AR2864" i="2"/>
  <c r="AQ2864" i="2"/>
  <c r="AO2864" i="2"/>
  <c r="AL2864" i="2"/>
  <c r="AK2864" i="2"/>
  <c r="AJ2864" i="2"/>
  <c r="AI2864" i="2"/>
  <c r="AH2864" i="2"/>
  <c r="AG2864" i="2"/>
  <c r="AF2864" i="2"/>
  <c r="AE2864" i="2"/>
  <c r="AD2864" i="2"/>
  <c r="AA2864" i="2"/>
  <c r="Z2864" i="2"/>
  <c r="Y2864" i="2"/>
  <c r="X2864" i="2"/>
  <c r="W2864" i="2"/>
  <c r="V2864" i="2"/>
  <c r="U2864" i="2"/>
  <c r="T2864" i="2"/>
  <c r="S2864" i="2"/>
  <c r="R2864" i="2"/>
  <c r="Q2864" i="2"/>
  <c r="P2864" i="2"/>
  <c r="O2864" i="2"/>
  <c r="N2864" i="2"/>
  <c r="K2864" i="2"/>
  <c r="J2864" i="2"/>
  <c r="I2864" i="2"/>
  <c r="H2864" i="2"/>
  <c r="G2864" i="2"/>
  <c r="F2864" i="2"/>
  <c r="E2864" i="2"/>
  <c r="D2864" i="2"/>
  <c r="C2864" i="2"/>
  <c r="B2864" i="2"/>
  <c r="A2864" i="2"/>
  <c r="AX2863" i="2"/>
  <c r="AV2863" i="2"/>
  <c r="AU2863" i="2"/>
  <c r="AS2863" i="2"/>
  <c r="AR2863" i="2"/>
  <c r="AQ2863" i="2"/>
  <c r="AO2863" i="2"/>
  <c r="AL2863" i="2"/>
  <c r="AK2863" i="2"/>
  <c r="AJ2863" i="2"/>
  <c r="AI2863" i="2"/>
  <c r="AH2863" i="2"/>
  <c r="AG2863" i="2"/>
  <c r="AE2863" i="2"/>
  <c r="AD2863" i="2"/>
  <c r="AA2863" i="2"/>
  <c r="Z2863" i="2"/>
  <c r="Y2863" i="2"/>
  <c r="X2863" i="2"/>
  <c r="W2863" i="2"/>
  <c r="V2863" i="2"/>
  <c r="U2863" i="2"/>
  <c r="T2863" i="2"/>
  <c r="S2863" i="2"/>
  <c r="R2863" i="2"/>
  <c r="Q2863" i="2"/>
  <c r="P2863" i="2"/>
  <c r="O2863" i="2"/>
  <c r="N2863" i="2"/>
  <c r="K2863" i="2"/>
  <c r="J2863" i="2"/>
  <c r="I2863" i="2"/>
  <c r="H2863" i="2"/>
  <c r="G2863" i="2"/>
  <c r="F2863" i="2"/>
  <c r="E2863" i="2"/>
  <c r="D2863" i="2"/>
  <c r="C2863" i="2"/>
  <c r="B2863" i="2"/>
  <c r="A2863" i="2"/>
  <c r="AX2862" i="2"/>
  <c r="AV2862" i="2"/>
  <c r="AU2862" i="2"/>
  <c r="AS2862" i="2"/>
  <c r="AR2862" i="2"/>
  <c r="AQ2862" i="2"/>
  <c r="AO2862" i="2"/>
  <c r="AN2862" i="2"/>
  <c r="AM2862" i="2"/>
  <c r="AL2862" i="2"/>
  <c r="AK2862" i="2"/>
  <c r="AJ2862" i="2"/>
  <c r="AI2862" i="2"/>
  <c r="AH2862" i="2"/>
  <c r="AG2862" i="2"/>
  <c r="AE2862" i="2"/>
  <c r="AD2862" i="2"/>
  <c r="AA2862" i="2"/>
  <c r="Z2862" i="2"/>
  <c r="Y2862" i="2"/>
  <c r="X2862" i="2"/>
  <c r="W2862" i="2"/>
  <c r="V2862" i="2"/>
  <c r="U2862" i="2"/>
  <c r="T2862" i="2"/>
  <c r="S2862" i="2"/>
  <c r="R2862" i="2"/>
  <c r="Q2862" i="2"/>
  <c r="P2862" i="2"/>
  <c r="O2862" i="2"/>
  <c r="N2862" i="2"/>
  <c r="K2862" i="2"/>
  <c r="J2862" i="2"/>
  <c r="I2862" i="2"/>
  <c r="H2862" i="2"/>
  <c r="G2862" i="2"/>
  <c r="F2862" i="2"/>
  <c r="E2862" i="2"/>
  <c r="D2862" i="2"/>
  <c r="C2862" i="2"/>
  <c r="B2862" i="2"/>
  <c r="A2862" i="2"/>
  <c r="AX2861" i="2"/>
  <c r="AV2861" i="2"/>
  <c r="AU2861" i="2"/>
  <c r="AS2861" i="2"/>
  <c r="AR2861" i="2"/>
  <c r="AQ2861" i="2"/>
  <c r="AO2861" i="2"/>
  <c r="AL2861" i="2"/>
  <c r="AK2861" i="2"/>
  <c r="AJ2861" i="2"/>
  <c r="AI2861" i="2"/>
  <c r="AH2861" i="2"/>
  <c r="AG2861" i="2"/>
  <c r="AE2861" i="2"/>
  <c r="AD2861" i="2"/>
  <c r="AA2861" i="2"/>
  <c r="Z2861" i="2"/>
  <c r="Y2861" i="2"/>
  <c r="X2861" i="2"/>
  <c r="U2861" i="2"/>
  <c r="T2861" i="2"/>
  <c r="S2861" i="2"/>
  <c r="R2861" i="2"/>
  <c r="Q2861" i="2"/>
  <c r="P2861" i="2"/>
  <c r="O2861" i="2"/>
  <c r="N2861" i="2"/>
  <c r="K2861" i="2"/>
  <c r="J2861" i="2"/>
  <c r="I2861" i="2"/>
  <c r="H2861" i="2"/>
  <c r="G2861" i="2"/>
  <c r="F2861" i="2"/>
  <c r="E2861" i="2"/>
  <c r="D2861" i="2"/>
  <c r="C2861" i="2"/>
  <c r="B2861" i="2"/>
  <c r="A2861" i="2"/>
  <c r="AX2860" i="2"/>
  <c r="AV2860" i="2"/>
  <c r="AU2860" i="2"/>
  <c r="AR2860" i="2"/>
  <c r="AQ2860" i="2"/>
  <c r="AO2860" i="2"/>
  <c r="AN2860" i="2"/>
  <c r="AM2860" i="2"/>
  <c r="AL2860" i="2"/>
  <c r="AK2860" i="2"/>
  <c r="AJ2860" i="2"/>
  <c r="AI2860" i="2"/>
  <c r="AH2860" i="2"/>
  <c r="AG2860" i="2"/>
  <c r="AE2860" i="2"/>
  <c r="AD2860" i="2"/>
  <c r="AC2860" i="2"/>
  <c r="AA2860" i="2"/>
  <c r="Z2860" i="2"/>
  <c r="Y2860" i="2"/>
  <c r="X2860" i="2"/>
  <c r="W2860" i="2"/>
  <c r="V2860" i="2"/>
  <c r="U2860" i="2"/>
  <c r="T2860" i="2"/>
  <c r="S2860" i="2"/>
  <c r="R2860" i="2"/>
  <c r="Q2860" i="2"/>
  <c r="P2860" i="2"/>
  <c r="O2860" i="2"/>
  <c r="N2860" i="2"/>
  <c r="K2860" i="2"/>
  <c r="J2860" i="2"/>
  <c r="I2860" i="2"/>
  <c r="H2860" i="2"/>
  <c r="G2860" i="2"/>
  <c r="F2860" i="2"/>
  <c r="E2860" i="2"/>
  <c r="D2860" i="2"/>
  <c r="C2860" i="2"/>
  <c r="B2860" i="2"/>
  <c r="A2860" i="2"/>
  <c r="AX2859" i="2"/>
  <c r="AV2859" i="2"/>
  <c r="AU2859" i="2"/>
  <c r="AS2859" i="2"/>
  <c r="AR2859" i="2"/>
  <c r="AQ2859" i="2"/>
  <c r="AO2859" i="2"/>
  <c r="AL2859" i="2"/>
  <c r="AK2859" i="2"/>
  <c r="AJ2859" i="2"/>
  <c r="AI2859" i="2"/>
  <c r="AH2859" i="2"/>
  <c r="AG2859" i="2"/>
  <c r="AE2859" i="2"/>
  <c r="AD2859" i="2"/>
  <c r="AA2859" i="2"/>
  <c r="Z2859" i="2"/>
  <c r="Y2859" i="2"/>
  <c r="X2859" i="2"/>
  <c r="W2859" i="2"/>
  <c r="V2859" i="2"/>
  <c r="U2859" i="2"/>
  <c r="T2859" i="2"/>
  <c r="S2859" i="2"/>
  <c r="R2859" i="2"/>
  <c r="Q2859" i="2"/>
  <c r="P2859" i="2"/>
  <c r="O2859" i="2"/>
  <c r="N2859" i="2"/>
  <c r="K2859" i="2"/>
  <c r="J2859" i="2"/>
  <c r="I2859" i="2"/>
  <c r="H2859" i="2"/>
  <c r="G2859" i="2"/>
  <c r="F2859" i="2"/>
  <c r="E2859" i="2"/>
  <c r="D2859" i="2"/>
  <c r="C2859" i="2"/>
  <c r="B2859" i="2"/>
  <c r="A2859" i="2"/>
  <c r="AX2858" i="2"/>
  <c r="AV2858" i="2"/>
  <c r="AU2858" i="2"/>
  <c r="AS2858" i="2"/>
  <c r="AR2858" i="2"/>
  <c r="AQ2858" i="2"/>
  <c r="AO2858" i="2"/>
  <c r="AL2858" i="2"/>
  <c r="AK2858" i="2"/>
  <c r="AJ2858" i="2"/>
  <c r="AI2858" i="2"/>
  <c r="AH2858" i="2"/>
  <c r="AG2858" i="2"/>
  <c r="AE2858" i="2"/>
  <c r="AD2858" i="2"/>
  <c r="AA2858" i="2"/>
  <c r="Z2858" i="2"/>
  <c r="Y2858" i="2"/>
  <c r="X2858" i="2"/>
  <c r="W2858" i="2"/>
  <c r="V2858" i="2"/>
  <c r="U2858" i="2"/>
  <c r="T2858" i="2"/>
  <c r="S2858" i="2"/>
  <c r="R2858" i="2"/>
  <c r="Q2858" i="2"/>
  <c r="P2858" i="2"/>
  <c r="O2858" i="2"/>
  <c r="N2858" i="2"/>
  <c r="K2858" i="2"/>
  <c r="J2858" i="2"/>
  <c r="I2858" i="2"/>
  <c r="H2858" i="2"/>
  <c r="G2858" i="2"/>
  <c r="F2858" i="2"/>
  <c r="E2858" i="2"/>
  <c r="D2858" i="2"/>
  <c r="C2858" i="2"/>
  <c r="B2858" i="2"/>
  <c r="A2858" i="2"/>
  <c r="AX2857" i="2"/>
  <c r="AV2857" i="2"/>
  <c r="AU2857" i="2"/>
  <c r="AS2857" i="2"/>
  <c r="AR2857" i="2"/>
  <c r="AQ2857" i="2"/>
  <c r="AO2857" i="2"/>
  <c r="AL2857" i="2"/>
  <c r="AK2857" i="2"/>
  <c r="AJ2857" i="2"/>
  <c r="AI2857" i="2"/>
  <c r="AH2857" i="2"/>
  <c r="AG2857" i="2"/>
  <c r="AE2857" i="2"/>
  <c r="AD2857" i="2"/>
  <c r="AA2857" i="2"/>
  <c r="Z2857" i="2"/>
  <c r="Y2857" i="2"/>
  <c r="V2857" i="2"/>
  <c r="U2857" i="2"/>
  <c r="T2857" i="2"/>
  <c r="S2857" i="2"/>
  <c r="R2857" i="2"/>
  <c r="Q2857" i="2"/>
  <c r="P2857" i="2"/>
  <c r="O2857" i="2"/>
  <c r="N2857" i="2"/>
  <c r="K2857" i="2"/>
  <c r="J2857" i="2"/>
  <c r="I2857" i="2"/>
  <c r="H2857" i="2"/>
  <c r="G2857" i="2"/>
  <c r="F2857" i="2"/>
  <c r="E2857" i="2"/>
  <c r="D2857" i="2"/>
  <c r="C2857" i="2"/>
  <c r="B2857" i="2"/>
  <c r="A2857" i="2"/>
  <c r="AX2856" i="2"/>
  <c r="AV2856" i="2"/>
  <c r="AU2856" i="2"/>
  <c r="AS2856" i="2"/>
  <c r="AO2856" i="2"/>
  <c r="AN2856" i="2"/>
  <c r="AM2856" i="2"/>
  <c r="AL2856" i="2"/>
  <c r="AK2856" i="2"/>
  <c r="AJ2856" i="2"/>
  <c r="AI2856" i="2"/>
  <c r="AH2856" i="2"/>
  <c r="AG2856" i="2"/>
  <c r="AE2856" i="2"/>
  <c r="AD2856" i="2"/>
  <c r="AC2856" i="2"/>
  <c r="AA2856" i="2"/>
  <c r="Z2856" i="2"/>
  <c r="Y2856" i="2"/>
  <c r="X2856" i="2"/>
  <c r="V2856" i="2"/>
  <c r="U2856" i="2"/>
  <c r="T2856" i="2"/>
  <c r="S2856" i="2"/>
  <c r="R2856" i="2"/>
  <c r="Q2856" i="2"/>
  <c r="P2856" i="2"/>
  <c r="O2856" i="2"/>
  <c r="N2856" i="2"/>
  <c r="M2856" i="2"/>
  <c r="L2856" i="2"/>
  <c r="K2856" i="2"/>
  <c r="J2856" i="2"/>
  <c r="I2856" i="2"/>
  <c r="H2856" i="2"/>
  <c r="G2856" i="2"/>
  <c r="F2856" i="2"/>
  <c r="E2856" i="2"/>
  <c r="D2856" i="2"/>
  <c r="C2856" i="2"/>
  <c r="B2856" i="2"/>
  <c r="A2856" i="2"/>
  <c r="AX2855" i="2"/>
  <c r="AV2855" i="2"/>
  <c r="AU2855" i="2"/>
  <c r="AS2855" i="2"/>
  <c r="AR2855" i="2"/>
  <c r="AQ2855" i="2"/>
  <c r="AO2855" i="2"/>
  <c r="AL2855" i="2"/>
  <c r="AK2855" i="2"/>
  <c r="AJ2855" i="2"/>
  <c r="AI2855" i="2"/>
  <c r="AH2855" i="2"/>
  <c r="AG2855" i="2"/>
  <c r="AE2855" i="2"/>
  <c r="AD2855" i="2"/>
  <c r="AA2855" i="2"/>
  <c r="Z2855" i="2"/>
  <c r="Y2855" i="2"/>
  <c r="X2855" i="2"/>
  <c r="W2855" i="2"/>
  <c r="V2855" i="2"/>
  <c r="U2855" i="2"/>
  <c r="T2855" i="2"/>
  <c r="S2855" i="2"/>
  <c r="R2855" i="2"/>
  <c r="Q2855" i="2"/>
  <c r="P2855" i="2"/>
  <c r="O2855" i="2"/>
  <c r="N2855" i="2"/>
  <c r="K2855" i="2"/>
  <c r="J2855" i="2"/>
  <c r="I2855" i="2"/>
  <c r="H2855" i="2"/>
  <c r="G2855" i="2"/>
  <c r="F2855" i="2"/>
  <c r="E2855" i="2"/>
  <c r="D2855" i="2"/>
  <c r="C2855" i="2"/>
  <c r="B2855" i="2"/>
  <c r="A2855" i="2"/>
  <c r="AX2854" i="2"/>
  <c r="AV2854" i="2"/>
  <c r="AU2854" i="2"/>
  <c r="AS2854" i="2"/>
  <c r="AR2854" i="2"/>
  <c r="AO2854" i="2"/>
  <c r="AN2854" i="2"/>
  <c r="AM2854" i="2"/>
  <c r="AL2854" i="2"/>
  <c r="AK2854" i="2"/>
  <c r="AJ2854" i="2"/>
  <c r="AI2854" i="2"/>
  <c r="AH2854" i="2"/>
  <c r="AG2854" i="2"/>
  <c r="AE2854" i="2"/>
  <c r="AD2854" i="2"/>
  <c r="AC2854" i="2"/>
  <c r="AA2854" i="2"/>
  <c r="Z2854" i="2"/>
  <c r="Y2854" i="2"/>
  <c r="X2854" i="2"/>
  <c r="W2854" i="2"/>
  <c r="V2854" i="2"/>
  <c r="U2854" i="2"/>
  <c r="T2854" i="2"/>
  <c r="S2854" i="2"/>
  <c r="R2854" i="2"/>
  <c r="Q2854" i="2"/>
  <c r="P2854" i="2"/>
  <c r="O2854" i="2"/>
  <c r="N2854" i="2"/>
  <c r="M2854" i="2"/>
  <c r="L2854" i="2"/>
  <c r="K2854" i="2"/>
  <c r="J2854" i="2"/>
  <c r="I2854" i="2"/>
  <c r="H2854" i="2"/>
  <c r="G2854" i="2"/>
  <c r="F2854" i="2"/>
  <c r="E2854" i="2"/>
  <c r="D2854" i="2"/>
  <c r="C2854" i="2"/>
  <c r="B2854" i="2"/>
  <c r="A2854" i="2"/>
  <c r="AX2853" i="2"/>
  <c r="AV2853" i="2"/>
  <c r="AU2853" i="2"/>
  <c r="AS2853" i="2"/>
  <c r="AR2853" i="2"/>
  <c r="AQ2853" i="2"/>
  <c r="AO2853" i="2"/>
  <c r="AL2853" i="2"/>
  <c r="AK2853" i="2"/>
  <c r="AJ2853" i="2"/>
  <c r="AI2853" i="2"/>
  <c r="AH2853" i="2"/>
  <c r="AG2853" i="2"/>
  <c r="AD2853" i="2"/>
  <c r="AA2853" i="2"/>
  <c r="Z2853" i="2"/>
  <c r="Y2853" i="2"/>
  <c r="X2853" i="2"/>
  <c r="W2853" i="2"/>
  <c r="V2853" i="2"/>
  <c r="U2853" i="2"/>
  <c r="T2853" i="2"/>
  <c r="S2853" i="2"/>
  <c r="R2853" i="2"/>
  <c r="Q2853" i="2"/>
  <c r="P2853" i="2"/>
  <c r="O2853" i="2"/>
  <c r="N2853" i="2"/>
  <c r="K2853" i="2"/>
  <c r="J2853" i="2"/>
  <c r="I2853" i="2"/>
  <c r="H2853" i="2"/>
  <c r="G2853" i="2"/>
  <c r="F2853" i="2"/>
  <c r="E2853" i="2"/>
  <c r="D2853" i="2"/>
  <c r="C2853" i="2"/>
  <c r="B2853" i="2"/>
  <c r="A2853" i="2"/>
  <c r="AX2852" i="2"/>
  <c r="AV2852" i="2"/>
  <c r="AU2852" i="2"/>
  <c r="AS2852" i="2"/>
  <c r="AR2852" i="2"/>
  <c r="AQ2852" i="2"/>
  <c r="AO2852" i="2"/>
  <c r="AL2852" i="2"/>
  <c r="AK2852" i="2"/>
  <c r="AI2852" i="2"/>
  <c r="AH2852" i="2"/>
  <c r="AG2852" i="2"/>
  <c r="AE2852" i="2"/>
  <c r="AD2852" i="2"/>
  <c r="AA2852" i="2"/>
  <c r="Z2852" i="2"/>
  <c r="Y2852" i="2"/>
  <c r="X2852" i="2"/>
  <c r="V2852" i="2"/>
  <c r="U2852" i="2"/>
  <c r="T2852" i="2"/>
  <c r="S2852" i="2"/>
  <c r="R2852" i="2"/>
  <c r="Q2852" i="2"/>
  <c r="P2852" i="2"/>
  <c r="O2852" i="2"/>
  <c r="N2852" i="2"/>
  <c r="M2852" i="2"/>
  <c r="L2852" i="2"/>
  <c r="K2852" i="2"/>
  <c r="J2852" i="2"/>
  <c r="I2852" i="2"/>
  <c r="H2852" i="2"/>
  <c r="G2852" i="2"/>
  <c r="F2852" i="2"/>
  <c r="E2852" i="2"/>
  <c r="D2852" i="2"/>
  <c r="C2852" i="2"/>
  <c r="B2852" i="2"/>
  <c r="A2852" i="2"/>
  <c r="AX2851" i="2"/>
  <c r="AV2851" i="2"/>
  <c r="AU2851" i="2"/>
  <c r="AS2851" i="2"/>
  <c r="AR2851" i="2"/>
  <c r="AQ2851" i="2"/>
  <c r="AO2851" i="2"/>
  <c r="AL2851" i="2"/>
  <c r="AK2851" i="2"/>
  <c r="AJ2851" i="2"/>
  <c r="AI2851" i="2"/>
  <c r="AH2851" i="2"/>
  <c r="AG2851" i="2"/>
  <c r="AF2851" i="2"/>
  <c r="AE2851" i="2"/>
  <c r="AD2851" i="2"/>
  <c r="AA2851" i="2"/>
  <c r="Z2851" i="2"/>
  <c r="Y2851" i="2"/>
  <c r="X2851" i="2"/>
  <c r="V2851" i="2"/>
  <c r="U2851" i="2"/>
  <c r="T2851" i="2"/>
  <c r="S2851" i="2"/>
  <c r="R2851" i="2"/>
  <c r="Q2851" i="2"/>
  <c r="P2851" i="2"/>
  <c r="O2851" i="2"/>
  <c r="N2851" i="2"/>
  <c r="K2851" i="2"/>
  <c r="J2851" i="2"/>
  <c r="I2851" i="2"/>
  <c r="H2851" i="2"/>
  <c r="G2851" i="2"/>
  <c r="F2851" i="2"/>
  <c r="E2851" i="2"/>
  <c r="D2851" i="2"/>
  <c r="C2851" i="2"/>
  <c r="B2851" i="2"/>
  <c r="A2851" i="2"/>
  <c r="AX2850" i="2"/>
  <c r="AV2850" i="2"/>
  <c r="AU2850" i="2"/>
  <c r="AS2850" i="2"/>
  <c r="AR2850" i="2"/>
  <c r="AQ2850" i="2"/>
  <c r="AO2850" i="2"/>
  <c r="AL2850" i="2"/>
  <c r="AK2850" i="2"/>
  <c r="AJ2850" i="2"/>
  <c r="AI2850" i="2"/>
  <c r="AH2850" i="2"/>
  <c r="AG2850" i="2"/>
  <c r="AE2850" i="2"/>
  <c r="AD2850" i="2"/>
  <c r="AA2850" i="2"/>
  <c r="Z2850" i="2"/>
  <c r="Y2850" i="2"/>
  <c r="X2850" i="2"/>
  <c r="W2850" i="2"/>
  <c r="V2850" i="2"/>
  <c r="U2850" i="2"/>
  <c r="T2850" i="2"/>
  <c r="S2850" i="2"/>
  <c r="R2850" i="2"/>
  <c r="Q2850" i="2"/>
  <c r="P2850" i="2"/>
  <c r="O2850" i="2"/>
  <c r="N2850" i="2"/>
  <c r="K2850" i="2"/>
  <c r="J2850" i="2"/>
  <c r="I2850" i="2"/>
  <c r="H2850" i="2"/>
  <c r="G2850" i="2"/>
  <c r="F2850" i="2"/>
  <c r="E2850" i="2"/>
  <c r="D2850" i="2"/>
  <c r="C2850" i="2"/>
  <c r="B2850" i="2"/>
  <c r="A2850" i="2"/>
  <c r="AX2849" i="2"/>
  <c r="AV2849" i="2"/>
  <c r="AU2849" i="2"/>
  <c r="AS2849" i="2"/>
  <c r="AR2849" i="2"/>
  <c r="AQ2849" i="2"/>
  <c r="AO2849" i="2"/>
  <c r="AL2849" i="2"/>
  <c r="AK2849" i="2"/>
  <c r="AJ2849" i="2"/>
  <c r="AI2849" i="2"/>
  <c r="AH2849" i="2"/>
  <c r="AG2849" i="2"/>
  <c r="AE2849" i="2"/>
  <c r="AD2849" i="2"/>
  <c r="AA2849" i="2"/>
  <c r="Z2849" i="2"/>
  <c r="Y2849" i="2"/>
  <c r="X2849" i="2"/>
  <c r="W2849" i="2"/>
  <c r="V2849" i="2"/>
  <c r="U2849" i="2"/>
  <c r="T2849" i="2"/>
  <c r="S2849" i="2"/>
  <c r="R2849" i="2"/>
  <c r="Q2849" i="2"/>
  <c r="P2849" i="2"/>
  <c r="O2849" i="2"/>
  <c r="N2849" i="2"/>
  <c r="K2849" i="2"/>
  <c r="J2849" i="2"/>
  <c r="I2849" i="2"/>
  <c r="H2849" i="2"/>
  <c r="G2849" i="2"/>
  <c r="F2849" i="2"/>
  <c r="E2849" i="2"/>
  <c r="D2849" i="2"/>
  <c r="C2849" i="2"/>
  <c r="B2849" i="2"/>
  <c r="A2849" i="2"/>
  <c r="AX2848" i="2"/>
  <c r="AV2848" i="2"/>
  <c r="AU2848" i="2"/>
  <c r="AS2848" i="2"/>
  <c r="AR2848" i="2"/>
  <c r="AQ2848" i="2"/>
  <c r="AO2848" i="2"/>
  <c r="AL2848" i="2"/>
  <c r="AK2848" i="2"/>
  <c r="AJ2848" i="2"/>
  <c r="AI2848" i="2"/>
  <c r="AH2848" i="2"/>
  <c r="AG2848" i="2"/>
  <c r="AE2848" i="2"/>
  <c r="AD2848" i="2"/>
  <c r="AA2848" i="2"/>
  <c r="Z2848" i="2"/>
  <c r="Y2848" i="2"/>
  <c r="X2848" i="2"/>
  <c r="W2848" i="2"/>
  <c r="V2848" i="2"/>
  <c r="U2848" i="2"/>
  <c r="T2848" i="2"/>
  <c r="S2848" i="2"/>
  <c r="R2848" i="2"/>
  <c r="Q2848" i="2"/>
  <c r="P2848" i="2"/>
  <c r="O2848" i="2"/>
  <c r="N2848" i="2"/>
  <c r="K2848" i="2"/>
  <c r="J2848" i="2"/>
  <c r="I2848" i="2"/>
  <c r="H2848" i="2"/>
  <c r="G2848" i="2"/>
  <c r="F2848" i="2"/>
  <c r="E2848" i="2"/>
  <c r="D2848" i="2"/>
  <c r="C2848" i="2"/>
  <c r="B2848" i="2"/>
  <c r="A2848" i="2"/>
  <c r="AX2847" i="2"/>
  <c r="AV2847" i="2"/>
  <c r="AU2847" i="2"/>
  <c r="AS2847" i="2"/>
  <c r="AR2847" i="2"/>
  <c r="AQ2847" i="2"/>
  <c r="AO2847" i="2"/>
  <c r="AN2847" i="2"/>
  <c r="AM2847" i="2"/>
  <c r="AL2847" i="2"/>
  <c r="AK2847" i="2"/>
  <c r="AJ2847" i="2"/>
  <c r="AI2847" i="2"/>
  <c r="AH2847" i="2"/>
  <c r="AG2847" i="2"/>
  <c r="AF2847" i="2"/>
  <c r="AE2847" i="2"/>
  <c r="AD2847" i="2"/>
  <c r="AC2847" i="2"/>
  <c r="AA2847" i="2"/>
  <c r="Z2847" i="2"/>
  <c r="Y2847" i="2"/>
  <c r="V2847" i="2"/>
  <c r="U2847" i="2"/>
  <c r="T2847" i="2"/>
  <c r="S2847" i="2"/>
  <c r="R2847" i="2"/>
  <c r="Q2847" i="2"/>
  <c r="P2847" i="2"/>
  <c r="O2847" i="2"/>
  <c r="N2847" i="2"/>
  <c r="K2847" i="2"/>
  <c r="J2847" i="2"/>
  <c r="I2847" i="2"/>
  <c r="H2847" i="2"/>
  <c r="G2847" i="2"/>
  <c r="F2847" i="2"/>
  <c r="E2847" i="2"/>
  <c r="D2847" i="2"/>
  <c r="C2847" i="2"/>
  <c r="B2847" i="2"/>
  <c r="A2847" i="2"/>
  <c r="AX2846" i="2"/>
  <c r="AV2846" i="2"/>
  <c r="AU2846" i="2"/>
  <c r="AS2846" i="2"/>
  <c r="AR2846" i="2"/>
  <c r="AQ2846" i="2"/>
  <c r="AO2846" i="2"/>
  <c r="AM2846" i="2"/>
  <c r="AL2846" i="2"/>
  <c r="AK2846" i="2"/>
  <c r="AJ2846" i="2"/>
  <c r="AI2846" i="2"/>
  <c r="AH2846" i="2"/>
  <c r="AG2846" i="2"/>
  <c r="AE2846" i="2"/>
  <c r="AD2846" i="2"/>
  <c r="AA2846" i="2"/>
  <c r="Z2846" i="2"/>
  <c r="Y2846" i="2"/>
  <c r="X2846" i="2"/>
  <c r="V2846" i="2"/>
  <c r="U2846" i="2"/>
  <c r="T2846" i="2"/>
  <c r="S2846" i="2"/>
  <c r="R2846" i="2"/>
  <c r="Q2846" i="2"/>
  <c r="P2846" i="2"/>
  <c r="O2846" i="2"/>
  <c r="N2846" i="2"/>
  <c r="K2846" i="2"/>
  <c r="J2846" i="2"/>
  <c r="I2846" i="2"/>
  <c r="H2846" i="2"/>
  <c r="G2846" i="2"/>
  <c r="F2846" i="2"/>
  <c r="E2846" i="2"/>
  <c r="D2846" i="2"/>
  <c r="C2846" i="2"/>
  <c r="B2846" i="2"/>
  <c r="A2846" i="2"/>
  <c r="AX2845" i="2"/>
  <c r="AV2845" i="2"/>
  <c r="AU2845" i="2"/>
  <c r="AS2845" i="2"/>
  <c r="AR2845" i="2"/>
  <c r="AQ2845" i="2"/>
  <c r="AO2845" i="2"/>
  <c r="AL2845" i="2"/>
  <c r="AK2845" i="2"/>
  <c r="AJ2845" i="2"/>
  <c r="AI2845" i="2"/>
  <c r="AH2845" i="2"/>
  <c r="AG2845" i="2"/>
  <c r="AE2845" i="2"/>
  <c r="AD2845" i="2"/>
  <c r="AA2845" i="2"/>
  <c r="Z2845" i="2"/>
  <c r="Y2845" i="2"/>
  <c r="X2845" i="2"/>
  <c r="W2845" i="2"/>
  <c r="V2845" i="2"/>
  <c r="U2845" i="2"/>
  <c r="T2845" i="2"/>
  <c r="S2845" i="2"/>
  <c r="R2845" i="2"/>
  <c r="Q2845" i="2"/>
  <c r="P2845" i="2"/>
  <c r="O2845" i="2"/>
  <c r="N2845" i="2"/>
  <c r="K2845" i="2"/>
  <c r="J2845" i="2"/>
  <c r="I2845" i="2"/>
  <c r="H2845" i="2"/>
  <c r="G2845" i="2"/>
  <c r="F2845" i="2"/>
  <c r="E2845" i="2"/>
  <c r="D2845" i="2"/>
  <c r="C2845" i="2"/>
  <c r="B2845" i="2"/>
  <c r="A2845" i="2"/>
  <c r="AX2844" i="2"/>
  <c r="AV2844" i="2"/>
  <c r="AU2844" i="2"/>
  <c r="AS2844" i="2"/>
  <c r="AR2844" i="2"/>
  <c r="AQ2844" i="2"/>
  <c r="AO2844" i="2"/>
  <c r="AL2844" i="2"/>
  <c r="AK2844" i="2"/>
  <c r="AI2844" i="2"/>
  <c r="AH2844" i="2"/>
  <c r="AG2844" i="2"/>
  <c r="AE2844" i="2"/>
  <c r="AD2844" i="2"/>
  <c r="AA2844" i="2"/>
  <c r="Z2844" i="2"/>
  <c r="Y2844" i="2"/>
  <c r="X2844" i="2"/>
  <c r="W2844" i="2"/>
  <c r="V2844" i="2"/>
  <c r="U2844" i="2"/>
  <c r="T2844" i="2"/>
  <c r="S2844" i="2"/>
  <c r="R2844" i="2"/>
  <c r="Q2844" i="2"/>
  <c r="P2844" i="2"/>
  <c r="O2844" i="2"/>
  <c r="N2844" i="2"/>
  <c r="K2844" i="2"/>
  <c r="J2844" i="2"/>
  <c r="I2844" i="2"/>
  <c r="H2844" i="2"/>
  <c r="G2844" i="2"/>
  <c r="F2844" i="2"/>
  <c r="E2844" i="2"/>
  <c r="D2844" i="2"/>
  <c r="C2844" i="2"/>
  <c r="B2844" i="2"/>
  <c r="A2844" i="2"/>
  <c r="AX2843" i="2"/>
  <c r="AV2843" i="2"/>
  <c r="AU2843" i="2"/>
  <c r="AS2843" i="2"/>
  <c r="AR2843" i="2"/>
  <c r="AQ2843" i="2"/>
  <c r="AO2843" i="2"/>
  <c r="AN2843" i="2"/>
  <c r="AM2843" i="2"/>
  <c r="AL2843" i="2"/>
  <c r="AK2843" i="2"/>
  <c r="AJ2843" i="2"/>
  <c r="AI2843" i="2"/>
  <c r="AH2843" i="2"/>
  <c r="AG2843" i="2"/>
  <c r="AE2843" i="2"/>
  <c r="AD2843" i="2"/>
  <c r="AC2843" i="2"/>
  <c r="AA2843" i="2"/>
  <c r="Z2843" i="2"/>
  <c r="Y2843" i="2"/>
  <c r="W2843" i="2"/>
  <c r="V2843" i="2"/>
  <c r="U2843" i="2"/>
  <c r="T2843" i="2"/>
  <c r="S2843" i="2"/>
  <c r="R2843" i="2"/>
  <c r="Q2843" i="2"/>
  <c r="P2843" i="2"/>
  <c r="O2843" i="2"/>
  <c r="N2843" i="2"/>
  <c r="K2843" i="2"/>
  <c r="J2843" i="2"/>
  <c r="I2843" i="2"/>
  <c r="H2843" i="2"/>
  <c r="G2843" i="2"/>
  <c r="F2843" i="2"/>
  <c r="E2843" i="2"/>
  <c r="D2843" i="2"/>
  <c r="C2843" i="2"/>
  <c r="B2843" i="2"/>
  <c r="A2843" i="2"/>
  <c r="AX2842" i="2"/>
  <c r="AV2842" i="2"/>
  <c r="AU2842" i="2"/>
  <c r="AS2842" i="2"/>
  <c r="AR2842" i="2"/>
  <c r="AQ2842" i="2"/>
  <c r="AO2842" i="2"/>
  <c r="AN2842" i="2"/>
  <c r="AM2842" i="2"/>
  <c r="AL2842" i="2"/>
  <c r="AK2842" i="2"/>
  <c r="AJ2842" i="2"/>
  <c r="AI2842" i="2"/>
  <c r="AH2842" i="2"/>
  <c r="AG2842" i="2"/>
  <c r="AE2842" i="2"/>
  <c r="AD2842" i="2"/>
  <c r="AC2842" i="2"/>
  <c r="AA2842" i="2"/>
  <c r="Z2842" i="2"/>
  <c r="Y2842" i="2"/>
  <c r="X2842" i="2"/>
  <c r="V2842" i="2"/>
  <c r="U2842" i="2"/>
  <c r="T2842" i="2"/>
  <c r="S2842" i="2"/>
  <c r="R2842" i="2"/>
  <c r="Q2842" i="2"/>
  <c r="P2842" i="2"/>
  <c r="O2842" i="2"/>
  <c r="N2842" i="2"/>
  <c r="K2842" i="2"/>
  <c r="J2842" i="2"/>
  <c r="I2842" i="2"/>
  <c r="H2842" i="2"/>
  <c r="G2842" i="2"/>
  <c r="F2842" i="2"/>
  <c r="E2842" i="2"/>
  <c r="D2842" i="2"/>
  <c r="C2842" i="2"/>
  <c r="B2842" i="2"/>
  <c r="A2842" i="2"/>
  <c r="AX2841" i="2"/>
  <c r="AV2841" i="2"/>
  <c r="AU2841" i="2"/>
  <c r="AR2841" i="2"/>
  <c r="AQ2841" i="2"/>
  <c r="AP2841" i="2"/>
  <c r="AO2841" i="2"/>
  <c r="AN2841" i="2"/>
  <c r="AM2841" i="2"/>
  <c r="AL2841" i="2"/>
  <c r="AK2841" i="2"/>
  <c r="AJ2841" i="2"/>
  <c r="AI2841" i="2"/>
  <c r="AH2841" i="2"/>
  <c r="AG2841" i="2"/>
  <c r="AD2841" i="2"/>
  <c r="AC2841" i="2"/>
  <c r="AA2841" i="2"/>
  <c r="Z2841" i="2"/>
  <c r="Y2841" i="2"/>
  <c r="X2841" i="2"/>
  <c r="W2841" i="2"/>
  <c r="V2841" i="2"/>
  <c r="U2841" i="2"/>
  <c r="T2841" i="2"/>
  <c r="S2841" i="2"/>
  <c r="R2841" i="2"/>
  <c r="Q2841" i="2"/>
  <c r="P2841" i="2"/>
  <c r="O2841" i="2"/>
  <c r="N2841" i="2"/>
  <c r="K2841" i="2"/>
  <c r="J2841" i="2"/>
  <c r="I2841" i="2"/>
  <c r="H2841" i="2"/>
  <c r="G2841" i="2"/>
  <c r="F2841" i="2"/>
  <c r="E2841" i="2"/>
  <c r="D2841" i="2"/>
  <c r="C2841" i="2"/>
  <c r="B2841" i="2"/>
  <c r="A2841" i="2"/>
  <c r="AX2840" i="2"/>
  <c r="AV2840" i="2"/>
  <c r="AU2840" i="2"/>
  <c r="AS2840" i="2"/>
  <c r="AR2840" i="2"/>
  <c r="AQ2840" i="2"/>
  <c r="AO2840" i="2"/>
  <c r="AL2840" i="2"/>
  <c r="AK2840" i="2"/>
  <c r="AJ2840" i="2"/>
  <c r="AI2840" i="2"/>
  <c r="AH2840" i="2"/>
  <c r="AG2840" i="2"/>
  <c r="AE2840" i="2"/>
  <c r="AD2840" i="2"/>
  <c r="AA2840" i="2"/>
  <c r="Z2840" i="2"/>
  <c r="Y2840" i="2"/>
  <c r="X2840" i="2"/>
  <c r="W2840" i="2"/>
  <c r="V2840" i="2"/>
  <c r="U2840" i="2"/>
  <c r="T2840" i="2"/>
  <c r="S2840" i="2"/>
  <c r="R2840" i="2"/>
  <c r="Q2840" i="2"/>
  <c r="P2840" i="2"/>
  <c r="O2840" i="2"/>
  <c r="N2840" i="2"/>
  <c r="K2840" i="2"/>
  <c r="J2840" i="2"/>
  <c r="I2840" i="2"/>
  <c r="H2840" i="2"/>
  <c r="G2840" i="2"/>
  <c r="F2840" i="2"/>
  <c r="E2840" i="2"/>
  <c r="D2840" i="2"/>
  <c r="C2840" i="2"/>
  <c r="B2840" i="2"/>
  <c r="A2840" i="2"/>
  <c r="AX2839" i="2"/>
  <c r="AV2839" i="2"/>
  <c r="AU2839" i="2"/>
  <c r="AS2839" i="2"/>
  <c r="AR2839" i="2"/>
  <c r="AQ2839" i="2"/>
  <c r="AO2839" i="2"/>
  <c r="AL2839" i="2"/>
  <c r="AK2839" i="2"/>
  <c r="AJ2839" i="2"/>
  <c r="AI2839" i="2"/>
  <c r="AH2839" i="2"/>
  <c r="AG2839" i="2"/>
  <c r="AE2839" i="2"/>
  <c r="AD2839" i="2"/>
  <c r="AA2839" i="2"/>
  <c r="Z2839" i="2"/>
  <c r="Y2839" i="2"/>
  <c r="X2839" i="2"/>
  <c r="V2839" i="2"/>
  <c r="U2839" i="2"/>
  <c r="T2839" i="2"/>
  <c r="S2839" i="2"/>
  <c r="R2839" i="2"/>
  <c r="Q2839" i="2"/>
  <c r="P2839" i="2"/>
  <c r="O2839" i="2"/>
  <c r="N2839" i="2"/>
  <c r="K2839" i="2"/>
  <c r="J2839" i="2"/>
  <c r="I2839" i="2"/>
  <c r="H2839" i="2"/>
  <c r="G2839" i="2"/>
  <c r="F2839" i="2"/>
  <c r="E2839" i="2"/>
  <c r="D2839" i="2"/>
  <c r="C2839" i="2"/>
  <c r="B2839" i="2"/>
  <c r="A2839" i="2"/>
  <c r="AX2838" i="2"/>
  <c r="AV2838" i="2"/>
  <c r="AU2838" i="2"/>
  <c r="AS2838" i="2"/>
  <c r="AR2838" i="2"/>
  <c r="AQ2838" i="2"/>
  <c r="AO2838" i="2"/>
  <c r="AL2838" i="2"/>
  <c r="AK2838" i="2"/>
  <c r="AJ2838" i="2"/>
  <c r="AI2838" i="2"/>
  <c r="AH2838" i="2"/>
  <c r="AG2838" i="2"/>
  <c r="AE2838" i="2"/>
  <c r="AD2838" i="2"/>
  <c r="AA2838" i="2"/>
  <c r="Z2838" i="2"/>
  <c r="Y2838" i="2"/>
  <c r="X2838" i="2"/>
  <c r="U2838" i="2"/>
  <c r="T2838" i="2"/>
  <c r="S2838" i="2"/>
  <c r="R2838" i="2"/>
  <c r="Q2838" i="2"/>
  <c r="P2838" i="2"/>
  <c r="O2838" i="2"/>
  <c r="N2838" i="2"/>
  <c r="K2838" i="2"/>
  <c r="J2838" i="2"/>
  <c r="I2838" i="2"/>
  <c r="H2838" i="2"/>
  <c r="G2838" i="2"/>
  <c r="F2838" i="2"/>
  <c r="E2838" i="2"/>
  <c r="D2838" i="2"/>
  <c r="C2838" i="2"/>
  <c r="B2838" i="2"/>
  <c r="A2838" i="2"/>
  <c r="AX2837" i="2"/>
  <c r="AV2837" i="2"/>
  <c r="AU2837" i="2"/>
  <c r="AS2837" i="2"/>
  <c r="AR2837" i="2"/>
  <c r="AQ2837" i="2"/>
  <c r="AO2837" i="2"/>
  <c r="AL2837" i="2"/>
  <c r="AK2837" i="2"/>
  <c r="AJ2837" i="2"/>
  <c r="AI2837" i="2"/>
  <c r="AH2837" i="2"/>
  <c r="AG2837" i="2"/>
  <c r="AE2837" i="2"/>
  <c r="AD2837" i="2"/>
  <c r="AA2837" i="2"/>
  <c r="Z2837" i="2"/>
  <c r="Y2837" i="2"/>
  <c r="X2837" i="2"/>
  <c r="U2837" i="2"/>
  <c r="T2837" i="2"/>
  <c r="S2837" i="2"/>
  <c r="R2837" i="2"/>
  <c r="Q2837" i="2"/>
  <c r="P2837" i="2"/>
  <c r="O2837" i="2"/>
  <c r="N2837" i="2"/>
  <c r="K2837" i="2"/>
  <c r="J2837" i="2"/>
  <c r="I2837" i="2"/>
  <c r="H2837" i="2"/>
  <c r="G2837" i="2"/>
  <c r="F2837" i="2"/>
  <c r="E2837" i="2"/>
  <c r="D2837" i="2"/>
  <c r="C2837" i="2"/>
  <c r="B2837" i="2"/>
  <c r="A2837" i="2"/>
  <c r="AX2836" i="2"/>
  <c r="AV2836" i="2"/>
  <c r="AU2836" i="2"/>
  <c r="AS2836" i="2"/>
  <c r="AR2836" i="2"/>
  <c r="AQ2836" i="2"/>
  <c r="AP2836" i="2"/>
  <c r="AO2836" i="2"/>
  <c r="AN2836" i="2"/>
  <c r="AM2836" i="2"/>
  <c r="AL2836" i="2"/>
  <c r="AK2836" i="2"/>
  <c r="AI2836" i="2"/>
  <c r="AH2836" i="2"/>
  <c r="AG2836" i="2"/>
  <c r="AE2836" i="2"/>
  <c r="AD2836" i="2"/>
  <c r="AC2836" i="2"/>
  <c r="AA2836" i="2"/>
  <c r="Z2836" i="2"/>
  <c r="Y2836" i="2"/>
  <c r="U2836" i="2"/>
  <c r="T2836" i="2"/>
  <c r="S2836" i="2"/>
  <c r="R2836" i="2"/>
  <c r="Q2836" i="2"/>
  <c r="P2836" i="2"/>
  <c r="O2836" i="2"/>
  <c r="N2836" i="2"/>
  <c r="K2836" i="2"/>
  <c r="J2836" i="2"/>
  <c r="I2836" i="2"/>
  <c r="H2836" i="2"/>
  <c r="G2836" i="2"/>
  <c r="F2836" i="2"/>
  <c r="E2836" i="2"/>
  <c r="D2836" i="2"/>
  <c r="C2836" i="2"/>
  <c r="B2836" i="2"/>
  <c r="A2836" i="2"/>
  <c r="AX2835" i="2"/>
  <c r="AV2835" i="2"/>
  <c r="AU2835" i="2"/>
  <c r="AS2835" i="2"/>
  <c r="AR2835" i="2"/>
  <c r="AQ2835" i="2"/>
  <c r="AO2835" i="2"/>
  <c r="AL2835" i="2"/>
  <c r="AK2835" i="2"/>
  <c r="AJ2835" i="2"/>
  <c r="AI2835" i="2"/>
  <c r="AH2835" i="2"/>
  <c r="AG2835" i="2"/>
  <c r="AE2835" i="2"/>
  <c r="AD2835" i="2"/>
  <c r="AA2835" i="2"/>
  <c r="Z2835" i="2"/>
  <c r="Y2835" i="2"/>
  <c r="X2835" i="2"/>
  <c r="W2835" i="2"/>
  <c r="V2835" i="2"/>
  <c r="U2835" i="2"/>
  <c r="T2835" i="2"/>
  <c r="S2835" i="2"/>
  <c r="R2835" i="2"/>
  <c r="Q2835" i="2"/>
  <c r="P2835" i="2"/>
  <c r="O2835" i="2"/>
  <c r="N2835" i="2"/>
  <c r="K2835" i="2"/>
  <c r="J2835" i="2"/>
  <c r="I2835" i="2"/>
  <c r="H2835" i="2"/>
  <c r="G2835" i="2"/>
  <c r="F2835" i="2"/>
  <c r="E2835" i="2"/>
  <c r="D2835" i="2"/>
  <c r="C2835" i="2"/>
  <c r="B2835" i="2"/>
  <c r="A2835" i="2"/>
  <c r="AX2834" i="2"/>
  <c r="AV2834" i="2"/>
  <c r="AU2834" i="2"/>
  <c r="AS2834" i="2"/>
  <c r="AR2834" i="2"/>
  <c r="AQ2834" i="2"/>
  <c r="AP2834" i="2"/>
  <c r="AO2834" i="2"/>
  <c r="AL2834" i="2"/>
  <c r="AK2834" i="2"/>
  <c r="AI2834" i="2"/>
  <c r="AH2834" i="2"/>
  <c r="AG2834" i="2"/>
  <c r="AE2834" i="2"/>
  <c r="AD2834" i="2"/>
  <c r="AA2834" i="2"/>
  <c r="Z2834" i="2"/>
  <c r="Y2834" i="2"/>
  <c r="X2834" i="2"/>
  <c r="V2834" i="2"/>
  <c r="U2834" i="2"/>
  <c r="T2834" i="2"/>
  <c r="S2834" i="2"/>
  <c r="R2834" i="2"/>
  <c r="Q2834" i="2"/>
  <c r="P2834" i="2"/>
  <c r="O2834" i="2"/>
  <c r="N2834" i="2"/>
  <c r="K2834" i="2"/>
  <c r="J2834" i="2"/>
  <c r="I2834" i="2"/>
  <c r="H2834" i="2"/>
  <c r="G2834" i="2"/>
  <c r="F2834" i="2"/>
  <c r="E2834" i="2"/>
  <c r="D2834" i="2"/>
  <c r="C2834" i="2"/>
  <c r="B2834" i="2"/>
  <c r="A2834" i="2"/>
  <c r="AX2833" i="2"/>
  <c r="AV2833" i="2"/>
  <c r="AU2833" i="2"/>
  <c r="AQ2833" i="2"/>
  <c r="AP2833" i="2"/>
  <c r="AO2833" i="2"/>
  <c r="AN2833" i="2"/>
  <c r="AM2833" i="2"/>
  <c r="AL2833" i="2"/>
  <c r="AK2833" i="2"/>
  <c r="AI2833" i="2"/>
  <c r="AH2833" i="2"/>
  <c r="AG2833" i="2"/>
  <c r="AE2833" i="2"/>
  <c r="AD2833" i="2"/>
  <c r="AC2833" i="2"/>
  <c r="AA2833" i="2"/>
  <c r="Z2833" i="2"/>
  <c r="Y2833" i="2"/>
  <c r="X2833" i="2"/>
  <c r="W2833" i="2"/>
  <c r="V2833" i="2"/>
  <c r="U2833" i="2"/>
  <c r="T2833" i="2"/>
  <c r="S2833" i="2"/>
  <c r="R2833" i="2"/>
  <c r="Q2833" i="2"/>
  <c r="P2833" i="2"/>
  <c r="O2833" i="2"/>
  <c r="N2833" i="2"/>
  <c r="K2833" i="2"/>
  <c r="J2833" i="2"/>
  <c r="I2833" i="2"/>
  <c r="H2833" i="2"/>
  <c r="G2833" i="2"/>
  <c r="F2833" i="2"/>
  <c r="E2833" i="2"/>
  <c r="D2833" i="2"/>
  <c r="C2833" i="2"/>
  <c r="B2833" i="2"/>
  <c r="A2833" i="2"/>
  <c r="AX2832" i="2"/>
  <c r="AV2832" i="2"/>
  <c r="AU2832" i="2"/>
  <c r="AS2832" i="2"/>
  <c r="AR2832" i="2"/>
  <c r="AQ2832" i="2"/>
  <c r="AP2832" i="2"/>
  <c r="AO2832" i="2"/>
  <c r="AL2832" i="2"/>
  <c r="AK2832" i="2"/>
  <c r="AJ2832" i="2"/>
  <c r="AI2832" i="2"/>
  <c r="AH2832" i="2"/>
  <c r="AG2832" i="2"/>
  <c r="AE2832" i="2"/>
  <c r="AD2832" i="2"/>
  <c r="AA2832" i="2"/>
  <c r="Z2832" i="2"/>
  <c r="Y2832" i="2"/>
  <c r="X2832" i="2"/>
  <c r="W2832" i="2"/>
  <c r="V2832" i="2"/>
  <c r="U2832" i="2"/>
  <c r="T2832" i="2"/>
  <c r="S2832" i="2"/>
  <c r="R2832" i="2"/>
  <c r="Q2832" i="2"/>
  <c r="P2832" i="2"/>
  <c r="O2832" i="2"/>
  <c r="N2832" i="2"/>
  <c r="K2832" i="2"/>
  <c r="J2832" i="2"/>
  <c r="I2832" i="2"/>
  <c r="H2832" i="2"/>
  <c r="G2832" i="2"/>
  <c r="F2832" i="2"/>
  <c r="E2832" i="2"/>
  <c r="D2832" i="2"/>
  <c r="C2832" i="2"/>
  <c r="B2832" i="2"/>
  <c r="A2832" i="2"/>
  <c r="AX2831" i="2"/>
  <c r="AV2831" i="2"/>
  <c r="AU2831" i="2"/>
  <c r="AS2831" i="2"/>
  <c r="AR2831" i="2"/>
  <c r="AQ2831" i="2"/>
  <c r="AO2831" i="2"/>
  <c r="AL2831" i="2"/>
  <c r="AK2831" i="2"/>
  <c r="AJ2831" i="2"/>
  <c r="AI2831" i="2"/>
  <c r="AH2831" i="2"/>
  <c r="AG2831" i="2"/>
  <c r="AD2831" i="2"/>
  <c r="AA2831" i="2"/>
  <c r="Z2831" i="2"/>
  <c r="Y2831" i="2"/>
  <c r="X2831" i="2"/>
  <c r="U2831" i="2"/>
  <c r="T2831" i="2"/>
  <c r="S2831" i="2"/>
  <c r="R2831" i="2"/>
  <c r="Q2831" i="2"/>
  <c r="P2831" i="2"/>
  <c r="O2831" i="2"/>
  <c r="N2831" i="2"/>
  <c r="K2831" i="2"/>
  <c r="J2831" i="2"/>
  <c r="I2831" i="2"/>
  <c r="H2831" i="2"/>
  <c r="G2831" i="2"/>
  <c r="F2831" i="2"/>
  <c r="E2831" i="2"/>
  <c r="D2831" i="2"/>
  <c r="C2831" i="2"/>
  <c r="B2831" i="2"/>
  <c r="A2831" i="2"/>
  <c r="AX2830" i="2"/>
  <c r="AV2830" i="2"/>
  <c r="AU2830" i="2"/>
  <c r="AS2830" i="2"/>
  <c r="AR2830" i="2"/>
  <c r="AQ2830" i="2"/>
  <c r="AP2830" i="2"/>
  <c r="AO2830" i="2"/>
  <c r="AN2830" i="2"/>
  <c r="AM2830" i="2"/>
  <c r="AL2830" i="2"/>
  <c r="AK2830" i="2"/>
  <c r="AJ2830" i="2"/>
  <c r="AI2830" i="2"/>
  <c r="AH2830" i="2"/>
  <c r="AG2830" i="2"/>
  <c r="AF2830" i="2"/>
  <c r="AE2830" i="2"/>
  <c r="AD2830" i="2"/>
  <c r="AA2830" i="2"/>
  <c r="Z2830" i="2"/>
  <c r="Y2830" i="2"/>
  <c r="X2830" i="2"/>
  <c r="W2830" i="2"/>
  <c r="V2830" i="2"/>
  <c r="U2830" i="2"/>
  <c r="T2830" i="2"/>
  <c r="S2830" i="2"/>
  <c r="R2830" i="2"/>
  <c r="Q2830" i="2"/>
  <c r="P2830" i="2"/>
  <c r="O2830" i="2"/>
  <c r="N2830" i="2"/>
  <c r="K2830" i="2"/>
  <c r="J2830" i="2"/>
  <c r="I2830" i="2"/>
  <c r="H2830" i="2"/>
  <c r="G2830" i="2"/>
  <c r="F2830" i="2"/>
  <c r="E2830" i="2"/>
  <c r="D2830" i="2"/>
  <c r="C2830" i="2"/>
  <c r="B2830" i="2"/>
  <c r="A2830" i="2"/>
  <c r="AX2829" i="2"/>
  <c r="AV2829" i="2"/>
  <c r="AU2829" i="2"/>
  <c r="AS2829" i="2"/>
  <c r="AR2829" i="2"/>
  <c r="AQ2829" i="2"/>
  <c r="AO2829" i="2"/>
  <c r="AL2829" i="2"/>
  <c r="AK2829" i="2"/>
  <c r="AJ2829" i="2"/>
  <c r="AI2829" i="2"/>
  <c r="AH2829" i="2"/>
  <c r="AG2829" i="2"/>
  <c r="AE2829" i="2"/>
  <c r="AD2829" i="2"/>
  <c r="AA2829" i="2"/>
  <c r="Z2829" i="2"/>
  <c r="Y2829" i="2"/>
  <c r="X2829" i="2"/>
  <c r="W2829" i="2"/>
  <c r="V2829" i="2"/>
  <c r="U2829" i="2"/>
  <c r="T2829" i="2"/>
  <c r="S2829" i="2"/>
  <c r="R2829" i="2"/>
  <c r="Q2829" i="2"/>
  <c r="P2829" i="2"/>
  <c r="O2829" i="2"/>
  <c r="N2829" i="2"/>
  <c r="K2829" i="2"/>
  <c r="J2829" i="2"/>
  <c r="I2829" i="2"/>
  <c r="H2829" i="2"/>
  <c r="G2829" i="2"/>
  <c r="F2829" i="2"/>
  <c r="E2829" i="2"/>
  <c r="D2829" i="2"/>
  <c r="C2829" i="2"/>
  <c r="B2829" i="2"/>
  <c r="A2829" i="2"/>
  <c r="AX2828" i="2"/>
  <c r="AV2828" i="2"/>
  <c r="AU2828" i="2"/>
  <c r="AS2828" i="2"/>
  <c r="AR2828" i="2"/>
  <c r="AQ2828" i="2"/>
  <c r="AO2828" i="2"/>
  <c r="AL2828" i="2"/>
  <c r="AK2828" i="2"/>
  <c r="AJ2828" i="2"/>
  <c r="AI2828" i="2"/>
  <c r="AH2828" i="2"/>
  <c r="AG2828" i="2"/>
  <c r="AF2828" i="2"/>
  <c r="AE2828" i="2"/>
  <c r="AD2828" i="2"/>
  <c r="AA2828" i="2"/>
  <c r="Z2828" i="2"/>
  <c r="Y2828" i="2"/>
  <c r="X2828" i="2"/>
  <c r="W2828" i="2"/>
  <c r="V2828" i="2"/>
  <c r="U2828" i="2"/>
  <c r="T2828" i="2"/>
  <c r="S2828" i="2"/>
  <c r="R2828" i="2"/>
  <c r="Q2828" i="2"/>
  <c r="P2828" i="2"/>
  <c r="O2828" i="2"/>
  <c r="N2828" i="2"/>
  <c r="K2828" i="2"/>
  <c r="J2828" i="2"/>
  <c r="I2828" i="2"/>
  <c r="H2828" i="2"/>
  <c r="G2828" i="2"/>
  <c r="F2828" i="2"/>
  <c r="E2828" i="2"/>
  <c r="D2828" i="2"/>
  <c r="C2828" i="2"/>
  <c r="B2828" i="2"/>
  <c r="A2828" i="2"/>
  <c r="AX2827" i="2"/>
  <c r="AV2827" i="2"/>
  <c r="AU2827" i="2"/>
  <c r="AS2827" i="2"/>
  <c r="AR2827" i="2"/>
  <c r="AQ2827" i="2"/>
  <c r="AO2827" i="2"/>
  <c r="AL2827" i="2"/>
  <c r="AK2827" i="2"/>
  <c r="AJ2827" i="2"/>
  <c r="AI2827" i="2"/>
  <c r="AH2827" i="2"/>
  <c r="AG2827" i="2"/>
  <c r="AE2827" i="2"/>
  <c r="AD2827" i="2"/>
  <c r="AA2827" i="2"/>
  <c r="Z2827" i="2"/>
  <c r="Y2827" i="2"/>
  <c r="X2827" i="2"/>
  <c r="V2827" i="2"/>
  <c r="U2827" i="2"/>
  <c r="T2827" i="2"/>
  <c r="S2827" i="2"/>
  <c r="R2827" i="2"/>
  <c r="Q2827" i="2"/>
  <c r="P2827" i="2"/>
  <c r="O2827" i="2"/>
  <c r="N2827" i="2"/>
  <c r="K2827" i="2"/>
  <c r="J2827" i="2"/>
  <c r="I2827" i="2"/>
  <c r="H2827" i="2"/>
  <c r="G2827" i="2"/>
  <c r="F2827" i="2"/>
  <c r="E2827" i="2"/>
  <c r="D2827" i="2"/>
  <c r="C2827" i="2"/>
  <c r="B2827" i="2"/>
  <c r="A2827" i="2"/>
  <c r="AX2826" i="2"/>
  <c r="AW2826" i="2"/>
  <c r="AV2826" i="2"/>
  <c r="AU2826" i="2"/>
  <c r="AT2826" i="2"/>
  <c r="AS2826" i="2"/>
  <c r="AO2826" i="2"/>
  <c r="AN2826" i="2"/>
  <c r="AM2826" i="2"/>
  <c r="AL2826" i="2"/>
  <c r="AK2826" i="2"/>
  <c r="AI2826" i="2"/>
  <c r="AH2826" i="2"/>
  <c r="AG2826" i="2"/>
  <c r="AE2826" i="2"/>
  <c r="AD2826" i="2"/>
  <c r="AC2826" i="2"/>
  <c r="AB2826" i="2"/>
  <c r="AA2826" i="2"/>
  <c r="Z2826" i="2"/>
  <c r="Y2826" i="2"/>
  <c r="X2826" i="2"/>
  <c r="V2826" i="2"/>
  <c r="U2826" i="2"/>
  <c r="T2826" i="2"/>
  <c r="S2826" i="2"/>
  <c r="R2826" i="2"/>
  <c r="Q2826" i="2"/>
  <c r="P2826" i="2"/>
  <c r="O2826" i="2"/>
  <c r="N2826" i="2"/>
  <c r="M2826" i="2"/>
  <c r="K2826" i="2"/>
  <c r="J2826" i="2"/>
  <c r="I2826" i="2"/>
  <c r="H2826" i="2"/>
  <c r="G2826" i="2"/>
  <c r="F2826" i="2"/>
  <c r="E2826" i="2"/>
  <c r="D2826" i="2"/>
  <c r="C2826" i="2"/>
  <c r="B2826" i="2"/>
  <c r="A2826" i="2"/>
  <c r="AX2825" i="2"/>
  <c r="AV2825" i="2"/>
  <c r="AU2825" i="2"/>
  <c r="AS2825" i="2"/>
  <c r="AR2825" i="2"/>
  <c r="AQ2825" i="2"/>
  <c r="AO2825" i="2"/>
  <c r="AL2825" i="2"/>
  <c r="AK2825" i="2"/>
  <c r="AJ2825" i="2"/>
  <c r="AI2825" i="2"/>
  <c r="AH2825" i="2"/>
  <c r="AG2825" i="2"/>
  <c r="AF2825" i="2"/>
  <c r="AE2825" i="2"/>
  <c r="AD2825" i="2"/>
  <c r="AA2825" i="2"/>
  <c r="Z2825" i="2"/>
  <c r="Y2825" i="2"/>
  <c r="X2825" i="2"/>
  <c r="V2825" i="2"/>
  <c r="U2825" i="2"/>
  <c r="T2825" i="2"/>
  <c r="S2825" i="2"/>
  <c r="R2825" i="2"/>
  <c r="Q2825" i="2"/>
  <c r="P2825" i="2"/>
  <c r="O2825" i="2"/>
  <c r="N2825" i="2"/>
  <c r="K2825" i="2"/>
  <c r="J2825" i="2"/>
  <c r="I2825" i="2"/>
  <c r="H2825" i="2"/>
  <c r="G2825" i="2"/>
  <c r="F2825" i="2"/>
  <c r="E2825" i="2"/>
  <c r="D2825" i="2"/>
  <c r="C2825" i="2"/>
  <c r="B2825" i="2"/>
  <c r="A2825" i="2"/>
  <c r="AX2824" i="2"/>
  <c r="AV2824" i="2"/>
  <c r="AU2824" i="2"/>
  <c r="AS2824" i="2"/>
  <c r="AR2824" i="2"/>
  <c r="AQ2824" i="2"/>
  <c r="AP2824" i="2"/>
  <c r="AO2824" i="2"/>
  <c r="AL2824" i="2"/>
  <c r="AK2824" i="2"/>
  <c r="AJ2824" i="2"/>
  <c r="AI2824" i="2"/>
  <c r="AH2824" i="2"/>
  <c r="AG2824" i="2"/>
  <c r="AF2824" i="2"/>
  <c r="AE2824" i="2"/>
  <c r="AD2824" i="2"/>
  <c r="AA2824" i="2"/>
  <c r="Z2824" i="2"/>
  <c r="Y2824" i="2"/>
  <c r="X2824" i="2"/>
  <c r="W2824" i="2"/>
  <c r="V2824" i="2"/>
  <c r="U2824" i="2"/>
  <c r="T2824" i="2"/>
  <c r="S2824" i="2"/>
  <c r="R2824" i="2"/>
  <c r="Q2824" i="2"/>
  <c r="P2824" i="2"/>
  <c r="O2824" i="2"/>
  <c r="N2824" i="2"/>
  <c r="K2824" i="2"/>
  <c r="J2824" i="2"/>
  <c r="I2824" i="2"/>
  <c r="H2824" i="2"/>
  <c r="G2824" i="2"/>
  <c r="F2824" i="2"/>
  <c r="E2824" i="2"/>
  <c r="D2824" i="2"/>
  <c r="C2824" i="2"/>
  <c r="B2824" i="2"/>
  <c r="A2824" i="2"/>
  <c r="AX2823" i="2"/>
  <c r="AV2823" i="2"/>
  <c r="AU2823" i="2"/>
  <c r="AS2823" i="2"/>
  <c r="AR2823" i="2"/>
  <c r="AQ2823" i="2"/>
  <c r="AP2823" i="2"/>
  <c r="AO2823" i="2"/>
  <c r="AL2823" i="2"/>
  <c r="AK2823" i="2"/>
  <c r="AI2823" i="2"/>
  <c r="AH2823" i="2"/>
  <c r="AG2823" i="2"/>
  <c r="AE2823" i="2"/>
  <c r="AD2823" i="2"/>
  <c r="AA2823" i="2"/>
  <c r="Z2823" i="2"/>
  <c r="Y2823" i="2"/>
  <c r="X2823" i="2"/>
  <c r="U2823" i="2"/>
  <c r="T2823" i="2"/>
  <c r="S2823" i="2"/>
  <c r="R2823" i="2"/>
  <c r="Q2823" i="2"/>
  <c r="P2823" i="2"/>
  <c r="O2823" i="2"/>
  <c r="N2823" i="2"/>
  <c r="K2823" i="2"/>
  <c r="J2823" i="2"/>
  <c r="I2823" i="2"/>
  <c r="H2823" i="2"/>
  <c r="G2823" i="2"/>
  <c r="F2823" i="2"/>
  <c r="E2823" i="2"/>
  <c r="D2823" i="2"/>
  <c r="C2823" i="2"/>
  <c r="B2823" i="2"/>
  <c r="A2823" i="2"/>
  <c r="AX2822" i="2"/>
  <c r="AV2822" i="2"/>
  <c r="AU2822" i="2"/>
  <c r="AS2822" i="2"/>
  <c r="AR2822" i="2"/>
  <c r="AQ2822" i="2"/>
  <c r="AO2822" i="2"/>
  <c r="AL2822" i="2"/>
  <c r="AK2822" i="2"/>
  <c r="AJ2822" i="2"/>
  <c r="AI2822" i="2"/>
  <c r="AH2822" i="2"/>
  <c r="AG2822" i="2"/>
  <c r="AE2822" i="2"/>
  <c r="AD2822" i="2"/>
  <c r="AA2822" i="2"/>
  <c r="Z2822" i="2"/>
  <c r="Y2822" i="2"/>
  <c r="X2822" i="2"/>
  <c r="U2822" i="2"/>
  <c r="T2822" i="2"/>
  <c r="S2822" i="2"/>
  <c r="R2822" i="2"/>
  <c r="Q2822" i="2"/>
  <c r="P2822" i="2"/>
  <c r="O2822" i="2"/>
  <c r="N2822" i="2"/>
  <c r="K2822" i="2"/>
  <c r="J2822" i="2"/>
  <c r="I2822" i="2"/>
  <c r="H2822" i="2"/>
  <c r="G2822" i="2"/>
  <c r="F2822" i="2"/>
  <c r="E2822" i="2"/>
  <c r="D2822" i="2"/>
  <c r="C2822" i="2"/>
  <c r="B2822" i="2"/>
  <c r="A2822" i="2"/>
  <c r="AX2821" i="2"/>
  <c r="AV2821" i="2"/>
  <c r="AU2821" i="2"/>
  <c r="AS2821" i="2"/>
  <c r="AR2821" i="2"/>
  <c r="AQ2821" i="2"/>
  <c r="AO2821" i="2"/>
  <c r="AL2821" i="2"/>
  <c r="AK2821" i="2"/>
  <c r="AJ2821" i="2"/>
  <c r="AI2821" i="2"/>
  <c r="AH2821" i="2"/>
  <c r="AG2821" i="2"/>
  <c r="AE2821" i="2"/>
  <c r="AD2821" i="2"/>
  <c r="AA2821" i="2"/>
  <c r="Z2821" i="2"/>
  <c r="Y2821" i="2"/>
  <c r="X2821" i="2"/>
  <c r="W2821" i="2"/>
  <c r="V2821" i="2"/>
  <c r="U2821" i="2"/>
  <c r="T2821" i="2"/>
  <c r="S2821" i="2"/>
  <c r="R2821" i="2"/>
  <c r="Q2821" i="2"/>
  <c r="P2821" i="2"/>
  <c r="O2821" i="2"/>
  <c r="N2821" i="2"/>
  <c r="K2821" i="2"/>
  <c r="J2821" i="2"/>
  <c r="I2821" i="2"/>
  <c r="H2821" i="2"/>
  <c r="G2821" i="2"/>
  <c r="F2821" i="2"/>
  <c r="E2821" i="2"/>
  <c r="D2821" i="2"/>
  <c r="C2821" i="2"/>
  <c r="B2821" i="2"/>
  <c r="A2821" i="2"/>
  <c r="AX2820" i="2"/>
  <c r="AV2820" i="2"/>
  <c r="AU2820" i="2"/>
  <c r="AS2820" i="2"/>
  <c r="AR2820" i="2"/>
  <c r="AQ2820" i="2"/>
  <c r="AO2820" i="2"/>
  <c r="AL2820" i="2"/>
  <c r="AK2820" i="2"/>
  <c r="AJ2820" i="2"/>
  <c r="AI2820" i="2"/>
  <c r="AH2820" i="2"/>
  <c r="AG2820" i="2"/>
  <c r="AE2820" i="2"/>
  <c r="AD2820" i="2"/>
  <c r="AA2820" i="2"/>
  <c r="Z2820" i="2"/>
  <c r="Y2820" i="2"/>
  <c r="X2820" i="2"/>
  <c r="W2820" i="2"/>
  <c r="V2820" i="2"/>
  <c r="U2820" i="2"/>
  <c r="T2820" i="2"/>
  <c r="S2820" i="2"/>
  <c r="R2820" i="2"/>
  <c r="Q2820" i="2"/>
  <c r="P2820" i="2"/>
  <c r="O2820" i="2"/>
  <c r="N2820" i="2"/>
  <c r="K2820" i="2"/>
  <c r="J2820" i="2"/>
  <c r="I2820" i="2"/>
  <c r="H2820" i="2"/>
  <c r="G2820" i="2"/>
  <c r="F2820" i="2"/>
  <c r="E2820" i="2"/>
  <c r="D2820" i="2"/>
  <c r="C2820" i="2"/>
  <c r="B2820" i="2"/>
  <c r="A2820" i="2"/>
  <c r="AX2819" i="2"/>
  <c r="AV2819" i="2"/>
  <c r="AU2819" i="2"/>
  <c r="AS2819" i="2"/>
  <c r="AR2819" i="2"/>
  <c r="AQ2819" i="2"/>
  <c r="AO2819" i="2"/>
  <c r="AN2819" i="2"/>
  <c r="AM2819" i="2"/>
  <c r="AL2819" i="2"/>
  <c r="AK2819" i="2"/>
  <c r="AJ2819" i="2"/>
  <c r="AI2819" i="2"/>
  <c r="AH2819" i="2"/>
  <c r="AG2819" i="2"/>
  <c r="AE2819" i="2"/>
  <c r="AD2819" i="2"/>
  <c r="AC2819" i="2"/>
  <c r="AA2819" i="2"/>
  <c r="Z2819" i="2"/>
  <c r="Y2819" i="2"/>
  <c r="W2819" i="2"/>
  <c r="V2819" i="2"/>
  <c r="U2819" i="2"/>
  <c r="T2819" i="2"/>
  <c r="S2819" i="2"/>
  <c r="R2819" i="2"/>
  <c r="Q2819" i="2"/>
  <c r="P2819" i="2"/>
  <c r="O2819" i="2"/>
  <c r="N2819" i="2"/>
  <c r="K2819" i="2"/>
  <c r="J2819" i="2"/>
  <c r="I2819" i="2"/>
  <c r="H2819" i="2"/>
  <c r="G2819" i="2"/>
  <c r="F2819" i="2"/>
  <c r="E2819" i="2"/>
  <c r="D2819" i="2"/>
  <c r="C2819" i="2"/>
  <c r="B2819" i="2"/>
  <c r="A2819" i="2"/>
  <c r="AX2818" i="2"/>
  <c r="AV2818" i="2"/>
  <c r="AU2818" i="2"/>
  <c r="AS2818" i="2"/>
  <c r="AR2818" i="2"/>
  <c r="AQ2818" i="2"/>
  <c r="AO2818" i="2"/>
  <c r="AL2818" i="2"/>
  <c r="AK2818" i="2"/>
  <c r="AJ2818" i="2"/>
  <c r="AI2818" i="2"/>
  <c r="AH2818" i="2"/>
  <c r="AG2818" i="2"/>
  <c r="AE2818" i="2"/>
  <c r="AD2818" i="2"/>
  <c r="AA2818" i="2"/>
  <c r="Z2818" i="2"/>
  <c r="Y2818" i="2"/>
  <c r="X2818" i="2"/>
  <c r="W2818" i="2"/>
  <c r="V2818" i="2"/>
  <c r="U2818" i="2"/>
  <c r="T2818" i="2"/>
  <c r="S2818" i="2"/>
  <c r="R2818" i="2"/>
  <c r="Q2818" i="2"/>
  <c r="P2818" i="2"/>
  <c r="O2818" i="2"/>
  <c r="N2818" i="2"/>
  <c r="K2818" i="2"/>
  <c r="J2818" i="2"/>
  <c r="I2818" i="2"/>
  <c r="H2818" i="2"/>
  <c r="G2818" i="2"/>
  <c r="F2818" i="2"/>
  <c r="E2818" i="2"/>
  <c r="D2818" i="2"/>
  <c r="C2818" i="2"/>
  <c r="B2818" i="2"/>
  <c r="A2818" i="2"/>
  <c r="AX2817" i="2"/>
  <c r="AV2817" i="2"/>
  <c r="AU2817" i="2"/>
  <c r="AS2817" i="2"/>
  <c r="AR2817" i="2"/>
  <c r="AQ2817" i="2"/>
  <c r="AP2817" i="2"/>
  <c r="AO2817" i="2"/>
  <c r="AL2817" i="2"/>
  <c r="AK2817" i="2"/>
  <c r="AJ2817" i="2"/>
  <c r="AI2817" i="2"/>
  <c r="AH2817" i="2"/>
  <c r="AG2817" i="2"/>
  <c r="AE2817" i="2"/>
  <c r="AD2817" i="2"/>
  <c r="AA2817" i="2"/>
  <c r="Z2817" i="2"/>
  <c r="Y2817" i="2"/>
  <c r="W2817" i="2"/>
  <c r="V2817" i="2"/>
  <c r="U2817" i="2"/>
  <c r="T2817" i="2"/>
  <c r="S2817" i="2"/>
  <c r="R2817" i="2"/>
  <c r="Q2817" i="2"/>
  <c r="P2817" i="2"/>
  <c r="O2817" i="2"/>
  <c r="N2817" i="2"/>
  <c r="K2817" i="2"/>
  <c r="J2817" i="2"/>
  <c r="I2817" i="2"/>
  <c r="H2817" i="2"/>
  <c r="G2817" i="2"/>
  <c r="F2817" i="2"/>
  <c r="E2817" i="2"/>
  <c r="D2817" i="2"/>
  <c r="C2817" i="2"/>
  <c r="B2817" i="2"/>
  <c r="A2817" i="2"/>
  <c r="AX2816" i="2"/>
  <c r="AV2816" i="2"/>
  <c r="AU2816" i="2"/>
  <c r="AS2816" i="2"/>
  <c r="AR2816" i="2"/>
  <c r="AQ2816" i="2"/>
  <c r="AO2816" i="2"/>
  <c r="AL2816" i="2"/>
  <c r="AK2816" i="2"/>
  <c r="AJ2816" i="2"/>
  <c r="AI2816" i="2"/>
  <c r="AH2816" i="2"/>
  <c r="AG2816" i="2"/>
  <c r="AE2816" i="2"/>
  <c r="AD2816" i="2"/>
  <c r="AA2816" i="2"/>
  <c r="Z2816" i="2"/>
  <c r="Y2816" i="2"/>
  <c r="X2816" i="2"/>
  <c r="V2816" i="2"/>
  <c r="U2816" i="2"/>
  <c r="T2816" i="2"/>
  <c r="S2816" i="2"/>
  <c r="R2816" i="2"/>
  <c r="Q2816" i="2"/>
  <c r="P2816" i="2"/>
  <c r="O2816" i="2"/>
  <c r="N2816" i="2"/>
  <c r="K2816" i="2"/>
  <c r="J2816" i="2"/>
  <c r="I2816" i="2"/>
  <c r="H2816" i="2"/>
  <c r="G2816" i="2"/>
  <c r="F2816" i="2"/>
  <c r="E2816" i="2"/>
  <c r="D2816" i="2"/>
  <c r="C2816" i="2"/>
  <c r="B2816" i="2"/>
  <c r="A2816" i="2"/>
  <c r="AX2815" i="2"/>
  <c r="AV2815" i="2"/>
  <c r="AU2815" i="2"/>
  <c r="AS2815" i="2"/>
  <c r="AR2815" i="2"/>
  <c r="AQ2815" i="2"/>
  <c r="AO2815" i="2"/>
  <c r="AL2815" i="2"/>
  <c r="AK2815" i="2"/>
  <c r="AJ2815" i="2"/>
  <c r="AI2815" i="2"/>
  <c r="AH2815" i="2"/>
  <c r="AG2815" i="2"/>
  <c r="AE2815" i="2"/>
  <c r="AD2815" i="2"/>
  <c r="AA2815" i="2"/>
  <c r="Z2815" i="2"/>
  <c r="Y2815" i="2"/>
  <c r="X2815" i="2"/>
  <c r="W2815" i="2"/>
  <c r="V2815" i="2"/>
  <c r="U2815" i="2"/>
  <c r="T2815" i="2"/>
  <c r="S2815" i="2"/>
  <c r="R2815" i="2"/>
  <c r="Q2815" i="2"/>
  <c r="P2815" i="2"/>
  <c r="O2815" i="2"/>
  <c r="N2815" i="2"/>
  <c r="K2815" i="2"/>
  <c r="J2815" i="2"/>
  <c r="I2815" i="2"/>
  <c r="H2815" i="2"/>
  <c r="G2815" i="2"/>
  <c r="F2815" i="2"/>
  <c r="E2815" i="2"/>
  <c r="D2815" i="2"/>
  <c r="C2815" i="2"/>
  <c r="B2815" i="2"/>
  <c r="A2815" i="2"/>
  <c r="AX2814" i="2"/>
  <c r="AV2814" i="2"/>
  <c r="AU2814" i="2"/>
  <c r="AS2814" i="2"/>
  <c r="AR2814" i="2"/>
  <c r="AQ2814" i="2"/>
  <c r="AP2814" i="2"/>
  <c r="AO2814" i="2"/>
  <c r="AL2814" i="2"/>
  <c r="AK2814" i="2"/>
  <c r="AI2814" i="2"/>
  <c r="AH2814" i="2"/>
  <c r="AG2814" i="2"/>
  <c r="AE2814" i="2"/>
  <c r="AD2814" i="2"/>
  <c r="AA2814" i="2"/>
  <c r="Z2814" i="2"/>
  <c r="Y2814" i="2"/>
  <c r="X2814" i="2"/>
  <c r="W2814" i="2"/>
  <c r="V2814" i="2"/>
  <c r="U2814" i="2"/>
  <c r="T2814" i="2"/>
  <c r="S2814" i="2"/>
  <c r="R2814" i="2"/>
  <c r="Q2814" i="2"/>
  <c r="P2814" i="2"/>
  <c r="O2814" i="2"/>
  <c r="N2814" i="2"/>
  <c r="K2814" i="2"/>
  <c r="J2814" i="2"/>
  <c r="I2814" i="2"/>
  <c r="H2814" i="2"/>
  <c r="G2814" i="2"/>
  <c r="F2814" i="2"/>
  <c r="E2814" i="2"/>
  <c r="D2814" i="2"/>
  <c r="C2814" i="2"/>
  <c r="B2814" i="2"/>
  <c r="A2814" i="2"/>
  <c r="AX2813" i="2"/>
  <c r="AV2813" i="2"/>
  <c r="AU2813" i="2"/>
  <c r="AS2813" i="2"/>
  <c r="AR2813" i="2"/>
  <c r="AQ2813" i="2"/>
  <c r="AO2813" i="2"/>
  <c r="AL2813" i="2"/>
  <c r="AK2813" i="2"/>
  <c r="AJ2813" i="2"/>
  <c r="AI2813" i="2"/>
  <c r="AH2813" i="2"/>
  <c r="AG2813" i="2"/>
  <c r="AE2813" i="2"/>
  <c r="AD2813" i="2"/>
  <c r="AA2813" i="2"/>
  <c r="Z2813" i="2"/>
  <c r="Y2813" i="2"/>
  <c r="X2813" i="2"/>
  <c r="W2813" i="2"/>
  <c r="V2813" i="2"/>
  <c r="U2813" i="2"/>
  <c r="T2813" i="2"/>
  <c r="S2813" i="2"/>
  <c r="R2813" i="2"/>
  <c r="Q2813" i="2"/>
  <c r="P2813" i="2"/>
  <c r="O2813" i="2"/>
  <c r="N2813" i="2"/>
  <c r="K2813" i="2"/>
  <c r="J2813" i="2"/>
  <c r="I2813" i="2"/>
  <c r="H2813" i="2"/>
  <c r="G2813" i="2"/>
  <c r="F2813" i="2"/>
  <c r="E2813" i="2"/>
  <c r="D2813" i="2"/>
  <c r="C2813" i="2"/>
  <c r="B2813" i="2"/>
  <c r="A2813" i="2"/>
  <c r="AX2812" i="2"/>
  <c r="AV2812" i="2"/>
  <c r="AU2812" i="2"/>
  <c r="AS2812" i="2"/>
  <c r="AR2812" i="2"/>
  <c r="AQ2812" i="2"/>
  <c r="AO2812" i="2"/>
  <c r="AL2812" i="2"/>
  <c r="AK2812" i="2"/>
  <c r="AJ2812" i="2"/>
  <c r="AI2812" i="2"/>
  <c r="AH2812" i="2"/>
  <c r="AG2812" i="2"/>
  <c r="AE2812" i="2"/>
  <c r="AD2812" i="2"/>
  <c r="AA2812" i="2"/>
  <c r="Z2812" i="2"/>
  <c r="Y2812" i="2"/>
  <c r="X2812" i="2"/>
  <c r="W2812" i="2"/>
  <c r="V2812" i="2"/>
  <c r="U2812" i="2"/>
  <c r="T2812" i="2"/>
  <c r="S2812" i="2"/>
  <c r="R2812" i="2"/>
  <c r="Q2812" i="2"/>
  <c r="P2812" i="2"/>
  <c r="O2812" i="2"/>
  <c r="N2812" i="2"/>
  <c r="K2812" i="2"/>
  <c r="J2812" i="2"/>
  <c r="I2812" i="2"/>
  <c r="H2812" i="2"/>
  <c r="G2812" i="2"/>
  <c r="F2812" i="2"/>
  <c r="E2812" i="2"/>
  <c r="D2812" i="2"/>
  <c r="C2812" i="2"/>
  <c r="B2812" i="2"/>
  <c r="A2812" i="2"/>
  <c r="AX2811" i="2"/>
  <c r="AV2811" i="2"/>
  <c r="AU2811" i="2"/>
  <c r="AS2811" i="2"/>
  <c r="AR2811" i="2"/>
  <c r="AQ2811" i="2"/>
  <c r="AO2811" i="2"/>
  <c r="AL2811" i="2"/>
  <c r="AK2811" i="2"/>
  <c r="AJ2811" i="2"/>
  <c r="AI2811" i="2"/>
  <c r="AH2811" i="2"/>
  <c r="AG2811" i="2"/>
  <c r="AE2811" i="2"/>
  <c r="AD2811" i="2"/>
  <c r="AA2811" i="2"/>
  <c r="Z2811" i="2"/>
  <c r="Y2811" i="2"/>
  <c r="X2811" i="2"/>
  <c r="V2811" i="2"/>
  <c r="U2811" i="2"/>
  <c r="T2811" i="2"/>
  <c r="S2811" i="2"/>
  <c r="R2811" i="2"/>
  <c r="Q2811" i="2"/>
  <c r="P2811" i="2"/>
  <c r="O2811" i="2"/>
  <c r="N2811" i="2"/>
  <c r="K2811" i="2"/>
  <c r="J2811" i="2"/>
  <c r="I2811" i="2"/>
  <c r="H2811" i="2"/>
  <c r="G2811" i="2"/>
  <c r="F2811" i="2"/>
  <c r="E2811" i="2"/>
  <c r="D2811" i="2"/>
  <c r="C2811" i="2"/>
  <c r="B2811" i="2"/>
  <c r="A2811" i="2"/>
  <c r="AX2810" i="2"/>
  <c r="AV2810" i="2"/>
  <c r="AU2810" i="2"/>
  <c r="AS2810" i="2"/>
  <c r="AR2810" i="2"/>
  <c r="AQ2810" i="2"/>
  <c r="AO2810" i="2"/>
  <c r="AL2810" i="2"/>
  <c r="AK2810" i="2"/>
  <c r="AJ2810" i="2"/>
  <c r="AI2810" i="2"/>
  <c r="AH2810" i="2"/>
  <c r="AG2810" i="2"/>
  <c r="AE2810" i="2"/>
  <c r="AD2810" i="2"/>
  <c r="AA2810" i="2"/>
  <c r="Z2810" i="2"/>
  <c r="Y2810" i="2"/>
  <c r="X2810" i="2"/>
  <c r="W2810" i="2"/>
  <c r="V2810" i="2"/>
  <c r="U2810" i="2"/>
  <c r="T2810" i="2"/>
  <c r="S2810" i="2"/>
  <c r="R2810" i="2"/>
  <c r="Q2810" i="2"/>
  <c r="P2810" i="2"/>
  <c r="O2810" i="2"/>
  <c r="N2810" i="2"/>
  <c r="K2810" i="2"/>
  <c r="J2810" i="2"/>
  <c r="I2810" i="2"/>
  <c r="H2810" i="2"/>
  <c r="G2810" i="2"/>
  <c r="F2810" i="2"/>
  <c r="E2810" i="2"/>
  <c r="D2810" i="2"/>
  <c r="C2810" i="2"/>
  <c r="B2810" i="2"/>
  <c r="A2810" i="2"/>
  <c r="AX2809" i="2"/>
  <c r="AV2809" i="2"/>
  <c r="AU2809" i="2"/>
  <c r="AS2809" i="2"/>
  <c r="AR2809" i="2"/>
  <c r="AQ2809" i="2"/>
  <c r="AO2809" i="2"/>
  <c r="AL2809" i="2"/>
  <c r="AK2809" i="2"/>
  <c r="AJ2809" i="2"/>
  <c r="AI2809" i="2"/>
  <c r="AH2809" i="2"/>
  <c r="AG2809" i="2"/>
  <c r="AE2809" i="2"/>
  <c r="AD2809" i="2"/>
  <c r="AA2809" i="2"/>
  <c r="Z2809" i="2"/>
  <c r="Y2809" i="2"/>
  <c r="X2809" i="2"/>
  <c r="V2809" i="2"/>
  <c r="U2809" i="2"/>
  <c r="T2809" i="2"/>
  <c r="S2809" i="2"/>
  <c r="R2809" i="2"/>
  <c r="Q2809" i="2"/>
  <c r="P2809" i="2"/>
  <c r="O2809" i="2"/>
  <c r="N2809" i="2"/>
  <c r="K2809" i="2"/>
  <c r="J2809" i="2"/>
  <c r="I2809" i="2"/>
  <c r="H2809" i="2"/>
  <c r="G2809" i="2"/>
  <c r="F2809" i="2"/>
  <c r="E2809" i="2"/>
  <c r="D2809" i="2"/>
  <c r="C2809" i="2"/>
  <c r="B2809" i="2"/>
  <c r="A2809" i="2"/>
  <c r="AX2808" i="2"/>
  <c r="AV2808" i="2"/>
  <c r="AU2808" i="2"/>
  <c r="AS2808" i="2"/>
  <c r="AR2808" i="2"/>
  <c r="AQ2808" i="2"/>
  <c r="AP2808" i="2"/>
  <c r="AO2808" i="2"/>
  <c r="AL2808" i="2"/>
  <c r="AK2808" i="2"/>
  <c r="AI2808" i="2"/>
  <c r="AH2808" i="2"/>
  <c r="AG2808" i="2"/>
  <c r="AE2808" i="2"/>
  <c r="AA2808" i="2"/>
  <c r="Z2808" i="2"/>
  <c r="Y2808" i="2"/>
  <c r="X2808" i="2"/>
  <c r="V2808" i="2"/>
  <c r="U2808" i="2"/>
  <c r="T2808" i="2"/>
  <c r="S2808" i="2"/>
  <c r="R2808" i="2"/>
  <c r="Q2808" i="2"/>
  <c r="P2808" i="2"/>
  <c r="O2808" i="2"/>
  <c r="N2808" i="2"/>
  <c r="K2808" i="2"/>
  <c r="J2808" i="2"/>
  <c r="I2808" i="2"/>
  <c r="H2808" i="2"/>
  <c r="G2808" i="2"/>
  <c r="F2808" i="2"/>
  <c r="E2808" i="2"/>
  <c r="D2808" i="2"/>
  <c r="C2808" i="2"/>
  <c r="B2808" i="2"/>
  <c r="A2808" i="2"/>
  <c r="AX2807" i="2"/>
  <c r="AV2807" i="2"/>
  <c r="AU2807" i="2"/>
  <c r="AS2807" i="2"/>
  <c r="AR2807" i="2"/>
  <c r="AQ2807" i="2"/>
  <c r="AO2807" i="2"/>
  <c r="AL2807" i="2"/>
  <c r="AI2807" i="2"/>
  <c r="AH2807" i="2"/>
  <c r="AG2807" i="2"/>
  <c r="AE2807" i="2"/>
  <c r="AA2807" i="2"/>
  <c r="Z2807" i="2"/>
  <c r="Y2807" i="2"/>
  <c r="X2807" i="2"/>
  <c r="W2807" i="2"/>
  <c r="V2807" i="2"/>
  <c r="U2807" i="2"/>
  <c r="T2807" i="2"/>
  <c r="S2807" i="2"/>
  <c r="R2807" i="2"/>
  <c r="Q2807" i="2"/>
  <c r="P2807" i="2"/>
  <c r="O2807" i="2"/>
  <c r="N2807" i="2"/>
  <c r="K2807" i="2"/>
  <c r="J2807" i="2"/>
  <c r="I2807" i="2"/>
  <c r="H2807" i="2"/>
  <c r="G2807" i="2"/>
  <c r="F2807" i="2"/>
  <c r="E2807" i="2"/>
  <c r="D2807" i="2"/>
  <c r="C2807" i="2"/>
  <c r="B2807" i="2"/>
  <c r="A2807" i="2"/>
  <c r="AX2806" i="2"/>
  <c r="AV2806" i="2"/>
  <c r="AU2806" i="2"/>
  <c r="AS2806" i="2"/>
  <c r="AR2806" i="2"/>
  <c r="AQ2806" i="2"/>
  <c r="AO2806" i="2"/>
  <c r="AL2806" i="2"/>
  <c r="AK2806" i="2"/>
  <c r="AJ2806" i="2"/>
  <c r="AI2806" i="2"/>
  <c r="AH2806" i="2"/>
  <c r="AG2806" i="2"/>
  <c r="AF2806" i="2"/>
  <c r="AE2806" i="2"/>
  <c r="AA2806" i="2"/>
  <c r="Z2806" i="2"/>
  <c r="Y2806" i="2"/>
  <c r="X2806" i="2"/>
  <c r="W2806" i="2"/>
  <c r="V2806" i="2"/>
  <c r="U2806" i="2"/>
  <c r="T2806" i="2"/>
  <c r="S2806" i="2"/>
  <c r="R2806" i="2"/>
  <c r="Q2806" i="2"/>
  <c r="P2806" i="2"/>
  <c r="O2806" i="2"/>
  <c r="N2806" i="2"/>
  <c r="K2806" i="2"/>
  <c r="J2806" i="2"/>
  <c r="I2806" i="2"/>
  <c r="H2806" i="2"/>
  <c r="G2806" i="2"/>
  <c r="F2806" i="2"/>
  <c r="E2806" i="2"/>
  <c r="D2806" i="2"/>
  <c r="C2806" i="2"/>
  <c r="B2806" i="2"/>
  <c r="A2806" i="2"/>
  <c r="AX2805" i="2"/>
  <c r="AV2805" i="2"/>
  <c r="AU2805" i="2"/>
  <c r="AS2805" i="2"/>
  <c r="AR2805" i="2"/>
  <c r="AM2805" i="2"/>
  <c r="AL2805" i="2"/>
  <c r="AK2805" i="2"/>
  <c r="AI2805" i="2"/>
  <c r="AH2805" i="2"/>
  <c r="AG2805" i="2"/>
  <c r="AE2805" i="2"/>
  <c r="AD2805" i="2"/>
  <c r="AA2805" i="2"/>
  <c r="Z2805" i="2"/>
  <c r="Y2805" i="2"/>
  <c r="X2805" i="2"/>
  <c r="W2805" i="2"/>
  <c r="V2805" i="2"/>
  <c r="U2805" i="2"/>
  <c r="T2805" i="2"/>
  <c r="S2805" i="2"/>
  <c r="R2805" i="2"/>
  <c r="Q2805" i="2"/>
  <c r="P2805" i="2"/>
  <c r="O2805" i="2"/>
  <c r="N2805" i="2"/>
  <c r="M2805" i="2"/>
  <c r="L2805" i="2"/>
  <c r="K2805" i="2"/>
  <c r="J2805" i="2"/>
  <c r="I2805" i="2"/>
  <c r="H2805" i="2"/>
  <c r="G2805" i="2"/>
  <c r="F2805" i="2"/>
  <c r="E2805" i="2"/>
  <c r="D2805" i="2"/>
  <c r="C2805" i="2"/>
  <c r="B2805" i="2"/>
  <c r="A2805" i="2"/>
  <c r="AX2804" i="2"/>
  <c r="AV2804" i="2"/>
  <c r="AU2804" i="2"/>
  <c r="AS2804" i="2"/>
  <c r="AR2804" i="2"/>
  <c r="AQ2804" i="2"/>
  <c r="AO2804" i="2"/>
  <c r="AL2804" i="2"/>
  <c r="AK2804" i="2"/>
  <c r="AJ2804" i="2"/>
  <c r="AI2804" i="2"/>
  <c r="AH2804" i="2"/>
  <c r="AG2804" i="2"/>
  <c r="AE2804" i="2"/>
  <c r="AD2804" i="2"/>
  <c r="AA2804" i="2"/>
  <c r="Z2804" i="2"/>
  <c r="Y2804" i="2"/>
  <c r="X2804" i="2"/>
  <c r="W2804" i="2"/>
  <c r="V2804" i="2"/>
  <c r="U2804" i="2"/>
  <c r="T2804" i="2"/>
  <c r="S2804" i="2"/>
  <c r="R2804" i="2"/>
  <c r="Q2804" i="2"/>
  <c r="P2804" i="2"/>
  <c r="O2804" i="2"/>
  <c r="N2804" i="2"/>
  <c r="K2804" i="2"/>
  <c r="J2804" i="2"/>
  <c r="I2804" i="2"/>
  <c r="H2804" i="2"/>
  <c r="G2804" i="2"/>
  <c r="F2804" i="2"/>
  <c r="E2804" i="2"/>
  <c r="D2804" i="2"/>
  <c r="C2804" i="2"/>
  <c r="B2804" i="2"/>
  <c r="A2804" i="2"/>
  <c r="AX2803" i="2"/>
  <c r="AV2803" i="2"/>
  <c r="AU2803" i="2"/>
  <c r="AR2803" i="2"/>
  <c r="AQ2803" i="2"/>
  <c r="AO2803" i="2"/>
  <c r="AL2803" i="2"/>
  <c r="AK2803" i="2"/>
  <c r="AJ2803" i="2"/>
  <c r="AI2803" i="2"/>
  <c r="AH2803" i="2"/>
  <c r="AG2803" i="2"/>
  <c r="AE2803" i="2"/>
  <c r="AD2803" i="2"/>
  <c r="AA2803" i="2"/>
  <c r="Z2803" i="2"/>
  <c r="Y2803" i="2"/>
  <c r="X2803" i="2"/>
  <c r="U2803" i="2"/>
  <c r="T2803" i="2"/>
  <c r="S2803" i="2"/>
  <c r="R2803" i="2"/>
  <c r="Q2803" i="2"/>
  <c r="P2803" i="2"/>
  <c r="O2803" i="2"/>
  <c r="N2803" i="2"/>
  <c r="K2803" i="2"/>
  <c r="J2803" i="2"/>
  <c r="I2803" i="2"/>
  <c r="H2803" i="2"/>
  <c r="G2803" i="2"/>
  <c r="F2803" i="2"/>
  <c r="E2803" i="2"/>
  <c r="D2803" i="2"/>
  <c r="C2803" i="2"/>
  <c r="B2803" i="2"/>
  <c r="A2803" i="2"/>
  <c r="AX2802" i="2"/>
  <c r="AV2802" i="2"/>
  <c r="AU2802" i="2"/>
  <c r="AS2802" i="2"/>
  <c r="AR2802" i="2"/>
  <c r="AQ2802" i="2"/>
  <c r="AO2802" i="2"/>
  <c r="AL2802" i="2"/>
  <c r="AK2802" i="2"/>
  <c r="AJ2802" i="2"/>
  <c r="AI2802" i="2"/>
  <c r="AH2802" i="2"/>
  <c r="AG2802" i="2"/>
  <c r="AE2802" i="2"/>
  <c r="AD2802" i="2"/>
  <c r="AA2802" i="2"/>
  <c r="Z2802" i="2"/>
  <c r="Y2802" i="2"/>
  <c r="X2802" i="2"/>
  <c r="W2802" i="2"/>
  <c r="V2802" i="2"/>
  <c r="U2802" i="2"/>
  <c r="T2802" i="2"/>
  <c r="S2802" i="2"/>
  <c r="R2802" i="2"/>
  <c r="Q2802" i="2"/>
  <c r="P2802" i="2"/>
  <c r="O2802" i="2"/>
  <c r="N2802" i="2"/>
  <c r="K2802" i="2"/>
  <c r="J2802" i="2"/>
  <c r="I2802" i="2"/>
  <c r="H2802" i="2"/>
  <c r="G2802" i="2"/>
  <c r="F2802" i="2"/>
  <c r="E2802" i="2"/>
  <c r="D2802" i="2"/>
  <c r="C2802" i="2"/>
  <c r="B2802" i="2"/>
  <c r="A2802" i="2"/>
  <c r="AX2801" i="2"/>
  <c r="AV2801" i="2"/>
  <c r="AU2801" i="2"/>
  <c r="AS2801" i="2"/>
  <c r="AR2801" i="2"/>
  <c r="AQ2801" i="2"/>
  <c r="AL2801" i="2"/>
  <c r="AI2801" i="2"/>
  <c r="AH2801" i="2"/>
  <c r="AG2801" i="2"/>
  <c r="AE2801" i="2"/>
  <c r="AD2801" i="2"/>
  <c r="AA2801" i="2"/>
  <c r="Z2801" i="2"/>
  <c r="Y2801" i="2"/>
  <c r="U2801" i="2"/>
  <c r="T2801" i="2"/>
  <c r="S2801" i="2"/>
  <c r="R2801" i="2"/>
  <c r="Q2801" i="2"/>
  <c r="P2801" i="2"/>
  <c r="O2801" i="2"/>
  <c r="N2801" i="2"/>
  <c r="K2801" i="2"/>
  <c r="J2801" i="2"/>
  <c r="I2801" i="2"/>
  <c r="H2801" i="2"/>
  <c r="G2801" i="2"/>
  <c r="F2801" i="2"/>
  <c r="E2801" i="2"/>
  <c r="D2801" i="2"/>
  <c r="C2801" i="2"/>
  <c r="B2801" i="2"/>
  <c r="A2801" i="2"/>
  <c r="AX2800" i="2"/>
  <c r="AV2800" i="2"/>
  <c r="AU2800" i="2"/>
  <c r="AS2800" i="2"/>
  <c r="AR2800" i="2"/>
  <c r="AQ2800" i="2"/>
  <c r="AO2800" i="2"/>
  <c r="AL2800" i="2"/>
  <c r="AK2800" i="2"/>
  <c r="AJ2800" i="2"/>
  <c r="AI2800" i="2"/>
  <c r="AH2800" i="2"/>
  <c r="AG2800" i="2"/>
  <c r="AE2800" i="2"/>
  <c r="AD2800" i="2"/>
  <c r="AA2800" i="2"/>
  <c r="Z2800" i="2"/>
  <c r="Y2800" i="2"/>
  <c r="X2800" i="2"/>
  <c r="W2800" i="2"/>
  <c r="V2800" i="2"/>
  <c r="U2800" i="2"/>
  <c r="T2800" i="2"/>
  <c r="S2800" i="2"/>
  <c r="R2800" i="2"/>
  <c r="Q2800" i="2"/>
  <c r="P2800" i="2"/>
  <c r="O2800" i="2"/>
  <c r="N2800" i="2"/>
  <c r="K2800" i="2"/>
  <c r="J2800" i="2"/>
  <c r="I2800" i="2"/>
  <c r="H2800" i="2"/>
  <c r="G2800" i="2"/>
  <c r="F2800" i="2"/>
  <c r="E2800" i="2"/>
  <c r="D2800" i="2"/>
  <c r="C2800" i="2"/>
  <c r="B2800" i="2"/>
  <c r="A2800" i="2"/>
  <c r="AX2799" i="2"/>
  <c r="AV2799" i="2"/>
  <c r="AU2799" i="2"/>
  <c r="AS2799" i="2"/>
  <c r="AR2799" i="2"/>
  <c r="AQ2799" i="2"/>
  <c r="AO2799" i="2"/>
  <c r="AL2799" i="2"/>
  <c r="AK2799" i="2"/>
  <c r="AJ2799" i="2"/>
  <c r="AI2799" i="2"/>
  <c r="AH2799" i="2"/>
  <c r="AG2799" i="2"/>
  <c r="AE2799" i="2"/>
  <c r="AD2799" i="2"/>
  <c r="AA2799" i="2"/>
  <c r="Z2799" i="2"/>
  <c r="Y2799" i="2"/>
  <c r="X2799" i="2"/>
  <c r="W2799" i="2"/>
  <c r="V2799" i="2"/>
  <c r="U2799" i="2"/>
  <c r="T2799" i="2"/>
  <c r="S2799" i="2"/>
  <c r="R2799" i="2"/>
  <c r="Q2799" i="2"/>
  <c r="P2799" i="2"/>
  <c r="O2799" i="2"/>
  <c r="N2799" i="2"/>
  <c r="K2799" i="2"/>
  <c r="J2799" i="2"/>
  <c r="I2799" i="2"/>
  <c r="H2799" i="2"/>
  <c r="G2799" i="2"/>
  <c r="F2799" i="2"/>
  <c r="E2799" i="2"/>
  <c r="D2799" i="2"/>
  <c r="C2799" i="2"/>
  <c r="B2799" i="2"/>
  <c r="A2799" i="2"/>
  <c r="AX2798" i="2"/>
  <c r="AV2798" i="2"/>
  <c r="AU2798" i="2"/>
  <c r="AS2798" i="2"/>
  <c r="AR2798" i="2"/>
  <c r="AQ2798" i="2"/>
  <c r="AO2798" i="2"/>
  <c r="AL2798" i="2"/>
  <c r="AK2798" i="2"/>
  <c r="AI2798" i="2"/>
  <c r="AH2798" i="2"/>
  <c r="AG2798" i="2"/>
  <c r="AE2798" i="2"/>
  <c r="AA2798" i="2"/>
  <c r="Z2798" i="2"/>
  <c r="Y2798" i="2"/>
  <c r="X2798" i="2"/>
  <c r="W2798" i="2"/>
  <c r="V2798" i="2"/>
  <c r="U2798" i="2"/>
  <c r="T2798" i="2"/>
  <c r="S2798" i="2"/>
  <c r="R2798" i="2"/>
  <c r="Q2798" i="2"/>
  <c r="P2798" i="2"/>
  <c r="O2798" i="2"/>
  <c r="N2798" i="2"/>
  <c r="K2798" i="2"/>
  <c r="J2798" i="2"/>
  <c r="I2798" i="2"/>
  <c r="H2798" i="2"/>
  <c r="G2798" i="2"/>
  <c r="F2798" i="2"/>
  <c r="E2798" i="2"/>
  <c r="D2798" i="2"/>
  <c r="C2798" i="2"/>
  <c r="B2798" i="2"/>
  <c r="A2798" i="2"/>
  <c r="AX2797" i="2"/>
  <c r="AV2797" i="2"/>
  <c r="AU2797" i="2"/>
  <c r="AS2797" i="2"/>
  <c r="AR2797" i="2"/>
  <c r="AQ2797" i="2"/>
  <c r="AO2797" i="2"/>
  <c r="AL2797" i="2"/>
  <c r="AK2797" i="2"/>
  <c r="AJ2797" i="2"/>
  <c r="AI2797" i="2"/>
  <c r="AH2797" i="2"/>
  <c r="AG2797" i="2"/>
  <c r="AE2797" i="2"/>
  <c r="AD2797" i="2"/>
  <c r="AA2797" i="2"/>
  <c r="Z2797" i="2"/>
  <c r="Y2797" i="2"/>
  <c r="X2797" i="2"/>
  <c r="W2797" i="2"/>
  <c r="V2797" i="2"/>
  <c r="U2797" i="2"/>
  <c r="T2797" i="2"/>
  <c r="S2797" i="2"/>
  <c r="R2797" i="2"/>
  <c r="Q2797" i="2"/>
  <c r="P2797" i="2"/>
  <c r="O2797" i="2"/>
  <c r="N2797" i="2"/>
  <c r="K2797" i="2"/>
  <c r="J2797" i="2"/>
  <c r="I2797" i="2"/>
  <c r="H2797" i="2"/>
  <c r="G2797" i="2"/>
  <c r="F2797" i="2"/>
  <c r="E2797" i="2"/>
  <c r="D2797" i="2"/>
  <c r="C2797" i="2"/>
  <c r="B2797" i="2"/>
  <c r="A2797" i="2"/>
  <c r="AX2796" i="2"/>
  <c r="AV2796" i="2"/>
  <c r="AU2796" i="2"/>
  <c r="AS2796" i="2"/>
  <c r="AR2796" i="2"/>
  <c r="AQ2796" i="2"/>
  <c r="AO2796" i="2"/>
  <c r="AL2796" i="2"/>
  <c r="AK2796" i="2"/>
  <c r="AJ2796" i="2"/>
  <c r="AI2796" i="2"/>
  <c r="AH2796" i="2"/>
  <c r="AG2796" i="2"/>
  <c r="AE2796" i="2"/>
  <c r="AD2796" i="2"/>
  <c r="AA2796" i="2"/>
  <c r="Z2796" i="2"/>
  <c r="Y2796" i="2"/>
  <c r="X2796" i="2"/>
  <c r="W2796" i="2"/>
  <c r="V2796" i="2"/>
  <c r="U2796" i="2"/>
  <c r="T2796" i="2"/>
  <c r="S2796" i="2"/>
  <c r="R2796" i="2"/>
  <c r="Q2796" i="2"/>
  <c r="P2796" i="2"/>
  <c r="O2796" i="2"/>
  <c r="N2796" i="2"/>
  <c r="K2796" i="2"/>
  <c r="J2796" i="2"/>
  <c r="I2796" i="2"/>
  <c r="H2796" i="2"/>
  <c r="G2796" i="2"/>
  <c r="F2796" i="2"/>
  <c r="E2796" i="2"/>
  <c r="D2796" i="2"/>
  <c r="C2796" i="2"/>
  <c r="B2796" i="2"/>
  <c r="A2796" i="2"/>
  <c r="AX2795" i="2"/>
  <c r="AV2795" i="2"/>
  <c r="AU2795" i="2"/>
  <c r="AS2795" i="2"/>
  <c r="AR2795" i="2"/>
  <c r="AQ2795" i="2"/>
  <c r="AL2795" i="2"/>
  <c r="AI2795" i="2"/>
  <c r="AH2795" i="2"/>
  <c r="AG2795" i="2"/>
  <c r="AE2795" i="2"/>
  <c r="AA2795" i="2"/>
  <c r="Z2795" i="2"/>
  <c r="Y2795" i="2"/>
  <c r="X2795" i="2"/>
  <c r="W2795" i="2"/>
  <c r="V2795" i="2"/>
  <c r="U2795" i="2"/>
  <c r="T2795" i="2"/>
  <c r="S2795" i="2"/>
  <c r="R2795" i="2"/>
  <c r="Q2795" i="2"/>
  <c r="P2795" i="2"/>
  <c r="O2795" i="2"/>
  <c r="N2795" i="2"/>
  <c r="K2795" i="2"/>
  <c r="J2795" i="2"/>
  <c r="I2795" i="2"/>
  <c r="H2795" i="2"/>
  <c r="G2795" i="2"/>
  <c r="F2795" i="2"/>
  <c r="E2795" i="2"/>
  <c r="D2795" i="2"/>
  <c r="C2795" i="2"/>
  <c r="B2795" i="2"/>
  <c r="A2795" i="2"/>
  <c r="AX2794" i="2"/>
  <c r="AV2794" i="2"/>
  <c r="AU2794" i="2"/>
  <c r="AS2794" i="2"/>
  <c r="AR2794" i="2"/>
  <c r="AQ2794" i="2"/>
  <c r="AO2794" i="2"/>
  <c r="AL2794" i="2"/>
  <c r="AK2794" i="2"/>
  <c r="AJ2794" i="2"/>
  <c r="AI2794" i="2"/>
  <c r="AH2794" i="2"/>
  <c r="AG2794" i="2"/>
  <c r="AE2794" i="2"/>
  <c r="AD2794" i="2"/>
  <c r="AA2794" i="2"/>
  <c r="Z2794" i="2"/>
  <c r="Y2794" i="2"/>
  <c r="X2794" i="2"/>
  <c r="W2794" i="2"/>
  <c r="V2794" i="2"/>
  <c r="U2794" i="2"/>
  <c r="T2794" i="2"/>
  <c r="S2794" i="2"/>
  <c r="R2794" i="2"/>
  <c r="Q2794" i="2"/>
  <c r="P2794" i="2"/>
  <c r="O2794" i="2"/>
  <c r="N2794" i="2"/>
  <c r="K2794" i="2"/>
  <c r="J2794" i="2"/>
  <c r="I2794" i="2"/>
  <c r="H2794" i="2"/>
  <c r="G2794" i="2"/>
  <c r="F2794" i="2"/>
  <c r="E2794" i="2"/>
  <c r="D2794" i="2"/>
  <c r="C2794" i="2"/>
  <c r="B2794" i="2"/>
  <c r="A2794" i="2"/>
  <c r="AX2793" i="2"/>
  <c r="AV2793" i="2"/>
  <c r="AU2793" i="2"/>
  <c r="AS2793" i="2"/>
  <c r="AR2793" i="2"/>
  <c r="AQ2793" i="2"/>
  <c r="AO2793" i="2"/>
  <c r="AL2793" i="2"/>
  <c r="AK2793" i="2"/>
  <c r="AJ2793" i="2"/>
  <c r="AI2793" i="2"/>
  <c r="AH2793" i="2"/>
  <c r="AG2793" i="2"/>
  <c r="AE2793" i="2"/>
  <c r="AD2793" i="2"/>
  <c r="AA2793" i="2"/>
  <c r="Z2793" i="2"/>
  <c r="Y2793" i="2"/>
  <c r="X2793" i="2"/>
  <c r="W2793" i="2"/>
  <c r="V2793" i="2"/>
  <c r="U2793" i="2"/>
  <c r="T2793" i="2"/>
  <c r="S2793" i="2"/>
  <c r="R2793" i="2"/>
  <c r="Q2793" i="2"/>
  <c r="P2793" i="2"/>
  <c r="O2793" i="2"/>
  <c r="N2793" i="2"/>
  <c r="K2793" i="2"/>
  <c r="J2793" i="2"/>
  <c r="I2793" i="2"/>
  <c r="H2793" i="2"/>
  <c r="G2793" i="2"/>
  <c r="F2793" i="2"/>
  <c r="E2793" i="2"/>
  <c r="D2793" i="2"/>
  <c r="C2793" i="2"/>
  <c r="B2793" i="2"/>
  <c r="A2793" i="2"/>
  <c r="AX2792" i="2"/>
  <c r="AV2792" i="2"/>
  <c r="AU2792" i="2"/>
  <c r="AS2792" i="2"/>
  <c r="AR2792" i="2"/>
  <c r="AQ2792" i="2"/>
  <c r="AO2792" i="2"/>
  <c r="AN2792" i="2"/>
  <c r="AM2792" i="2"/>
  <c r="AL2792" i="2"/>
  <c r="AK2792" i="2"/>
  <c r="AJ2792" i="2"/>
  <c r="AI2792" i="2"/>
  <c r="AH2792" i="2"/>
  <c r="AG2792" i="2"/>
  <c r="AF2792" i="2"/>
  <c r="AE2792" i="2"/>
  <c r="AD2792" i="2"/>
  <c r="AA2792" i="2"/>
  <c r="Z2792" i="2"/>
  <c r="Y2792" i="2"/>
  <c r="X2792" i="2"/>
  <c r="W2792" i="2"/>
  <c r="V2792" i="2"/>
  <c r="U2792" i="2"/>
  <c r="T2792" i="2"/>
  <c r="S2792" i="2"/>
  <c r="R2792" i="2"/>
  <c r="Q2792" i="2"/>
  <c r="P2792" i="2"/>
  <c r="O2792" i="2"/>
  <c r="N2792" i="2"/>
  <c r="K2792" i="2"/>
  <c r="J2792" i="2"/>
  <c r="I2792" i="2"/>
  <c r="H2792" i="2"/>
  <c r="G2792" i="2"/>
  <c r="F2792" i="2"/>
  <c r="E2792" i="2"/>
  <c r="D2792" i="2"/>
  <c r="C2792" i="2"/>
  <c r="B2792" i="2"/>
  <c r="A2792" i="2"/>
  <c r="AX2791" i="2"/>
  <c r="AV2791" i="2"/>
  <c r="AU2791" i="2"/>
  <c r="AS2791" i="2"/>
  <c r="AR2791" i="2"/>
  <c r="AQ2791" i="2"/>
  <c r="AP2791" i="2"/>
  <c r="AO2791" i="2"/>
  <c r="AN2791" i="2"/>
  <c r="AM2791" i="2"/>
  <c r="AL2791" i="2"/>
  <c r="AK2791" i="2"/>
  <c r="AJ2791" i="2"/>
  <c r="AI2791" i="2"/>
  <c r="AH2791" i="2"/>
  <c r="AG2791" i="2"/>
  <c r="AF2791" i="2"/>
  <c r="AE2791" i="2"/>
  <c r="AD2791" i="2"/>
  <c r="AA2791" i="2"/>
  <c r="Z2791" i="2"/>
  <c r="Y2791" i="2"/>
  <c r="X2791" i="2"/>
  <c r="V2791" i="2"/>
  <c r="U2791" i="2"/>
  <c r="T2791" i="2"/>
  <c r="S2791" i="2"/>
  <c r="R2791" i="2"/>
  <c r="Q2791" i="2"/>
  <c r="P2791" i="2"/>
  <c r="O2791" i="2"/>
  <c r="N2791" i="2"/>
  <c r="M2791" i="2"/>
  <c r="K2791" i="2"/>
  <c r="J2791" i="2"/>
  <c r="I2791" i="2"/>
  <c r="H2791" i="2"/>
  <c r="G2791" i="2"/>
  <c r="F2791" i="2"/>
  <c r="E2791" i="2"/>
  <c r="D2791" i="2"/>
  <c r="C2791" i="2"/>
  <c r="B2791" i="2"/>
  <c r="A2791" i="2"/>
  <c r="AX2790" i="2"/>
  <c r="AV2790" i="2"/>
  <c r="AU2790" i="2"/>
  <c r="AS2790" i="2"/>
  <c r="AR2790" i="2"/>
  <c r="AQ2790" i="2"/>
  <c r="AO2790" i="2"/>
  <c r="AL2790" i="2"/>
  <c r="AK2790" i="2"/>
  <c r="AJ2790" i="2"/>
  <c r="AI2790" i="2"/>
  <c r="AH2790" i="2"/>
  <c r="AG2790" i="2"/>
  <c r="AE2790" i="2"/>
  <c r="AD2790" i="2"/>
  <c r="AA2790" i="2"/>
  <c r="Z2790" i="2"/>
  <c r="Y2790" i="2"/>
  <c r="X2790" i="2"/>
  <c r="W2790" i="2"/>
  <c r="V2790" i="2"/>
  <c r="U2790" i="2"/>
  <c r="T2790" i="2"/>
  <c r="S2790" i="2"/>
  <c r="R2790" i="2"/>
  <c r="Q2790" i="2"/>
  <c r="P2790" i="2"/>
  <c r="O2790" i="2"/>
  <c r="N2790" i="2"/>
  <c r="K2790" i="2"/>
  <c r="J2790" i="2"/>
  <c r="I2790" i="2"/>
  <c r="H2790" i="2"/>
  <c r="G2790" i="2"/>
  <c r="F2790" i="2"/>
  <c r="E2790" i="2"/>
  <c r="D2790" i="2"/>
  <c r="C2790" i="2"/>
  <c r="B2790" i="2"/>
  <c r="A2790" i="2"/>
  <c r="AX2789" i="2"/>
  <c r="AV2789" i="2"/>
  <c r="AU2789" i="2"/>
  <c r="AS2789" i="2"/>
  <c r="AR2789" i="2"/>
  <c r="AQ2789" i="2"/>
  <c r="AO2789" i="2"/>
  <c r="AL2789" i="2"/>
  <c r="AK2789" i="2"/>
  <c r="AJ2789" i="2"/>
  <c r="AI2789" i="2"/>
  <c r="AH2789" i="2"/>
  <c r="AG2789" i="2"/>
  <c r="AE2789" i="2"/>
  <c r="AD2789" i="2"/>
  <c r="AA2789" i="2"/>
  <c r="Z2789" i="2"/>
  <c r="Y2789" i="2"/>
  <c r="X2789" i="2"/>
  <c r="U2789" i="2"/>
  <c r="T2789" i="2"/>
  <c r="S2789" i="2"/>
  <c r="R2789" i="2"/>
  <c r="Q2789" i="2"/>
  <c r="P2789" i="2"/>
  <c r="O2789" i="2"/>
  <c r="N2789" i="2"/>
  <c r="K2789" i="2"/>
  <c r="J2789" i="2"/>
  <c r="I2789" i="2"/>
  <c r="H2789" i="2"/>
  <c r="G2789" i="2"/>
  <c r="F2789" i="2"/>
  <c r="E2789" i="2"/>
  <c r="D2789" i="2"/>
  <c r="C2789" i="2"/>
  <c r="B2789" i="2"/>
  <c r="A2789" i="2"/>
  <c r="AX2788" i="2"/>
  <c r="AV2788" i="2"/>
  <c r="AU2788" i="2"/>
  <c r="AS2788" i="2"/>
  <c r="AR2788" i="2"/>
  <c r="AQ2788" i="2"/>
  <c r="AO2788" i="2"/>
  <c r="AL2788" i="2"/>
  <c r="AI2788" i="2"/>
  <c r="AH2788" i="2"/>
  <c r="AG2788" i="2"/>
  <c r="AE2788" i="2"/>
  <c r="AA2788" i="2"/>
  <c r="Z2788" i="2"/>
  <c r="Y2788" i="2"/>
  <c r="X2788" i="2"/>
  <c r="V2788" i="2"/>
  <c r="U2788" i="2"/>
  <c r="T2788" i="2"/>
  <c r="S2788" i="2"/>
  <c r="R2788" i="2"/>
  <c r="Q2788" i="2"/>
  <c r="P2788" i="2"/>
  <c r="O2788" i="2"/>
  <c r="N2788" i="2"/>
  <c r="K2788" i="2"/>
  <c r="J2788" i="2"/>
  <c r="I2788" i="2"/>
  <c r="H2788" i="2"/>
  <c r="G2788" i="2"/>
  <c r="F2788" i="2"/>
  <c r="E2788" i="2"/>
  <c r="D2788" i="2"/>
  <c r="C2788" i="2"/>
  <c r="B2788" i="2"/>
  <c r="A2788" i="2"/>
  <c r="AX2787" i="2"/>
  <c r="AV2787" i="2"/>
  <c r="AU2787" i="2"/>
  <c r="AS2787" i="2"/>
  <c r="AR2787" i="2"/>
  <c r="AQ2787" i="2"/>
  <c r="AO2787" i="2"/>
  <c r="AL2787" i="2"/>
  <c r="AI2787" i="2"/>
  <c r="AH2787" i="2"/>
  <c r="AG2787" i="2"/>
  <c r="AF2787" i="2"/>
  <c r="AE2787" i="2"/>
  <c r="AA2787" i="2"/>
  <c r="Z2787" i="2"/>
  <c r="Y2787" i="2"/>
  <c r="X2787" i="2"/>
  <c r="W2787" i="2"/>
  <c r="V2787" i="2"/>
  <c r="U2787" i="2"/>
  <c r="T2787" i="2"/>
  <c r="S2787" i="2"/>
  <c r="R2787" i="2"/>
  <c r="Q2787" i="2"/>
  <c r="P2787" i="2"/>
  <c r="O2787" i="2"/>
  <c r="N2787" i="2"/>
  <c r="K2787" i="2"/>
  <c r="J2787" i="2"/>
  <c r="I2787" i="2"/>
  <c r="H2787" i="2"/>
  <c r="G2787" i="2"/>
  <c r="F2787" i="2"/>
  <c r="E2787" i="2"/>
  <c r="D2787" i="2"/>
  <c r="C2787" i="2"/>
  <c r="B2787" i="2"/>
  <c r="A2787" i="2"/>
  <c r="AX2786" i="2"/>
  <c r="AV2786" i="2"/>
  <c r="AU2786" i="2"/>
  <c r="AS2786" i="2"/>
  <c r="AR2786" i="2"/>
  <c r="AQ2786" i="2"/>
  <c r="AO2786" i="2"/>
  <c r="AL2786" i="2"/>
  <c r="AK2786" i="2"/>
  <c r="AJ2786" i="2"/>
  <c r="AI2786" i="2"/>
  <c r="AH2786" i="2"/>
  <c r="AG2786" i="2"/>
  <c r="AD2786" i="2"/>
  <c r="AA2786" i="2"/>
  <c r="Z2786" i="2"/>
  <c r="Y2786" i="2"/>
  <c r="X2786" i="2"/>
  <c r="U2786" i="2"/>
  <c r="T2786" i="2"/>
  <c r="S2786" i="2"/>
  <c r="R2786" i="2"/>
  <c r="Q2786" i="2"/>
  <c r="P2786" i="2"/>
  <c r="O2786" i="2"/>
  <c r="N2786" i="2"/>
  <c r="K2786" i="2"/>
  <c r="J2786" i="2"/>
  <c r="I2786" i="2"/>
  <c r="H2786" i="2"/>
  <c r="G2786" i="2"/>
  <c r="F2786" i="2"/>
  <c r="E2786" i="2"/>
  <c r="D2786" i="2"/>
  <c r="C2786" i="2"/>
  <c r="B2786" i="2"/>
  <c r="A2786" i="2"/>
  <c r="AX2785" i="2"/>
  <c r="AV2785" i="2"/>
  <c r="AU2785" i="2"/>
  <c r="AS2785" i="2"/>
  <c r="AR2785" i="2"/>
  <c r="AQ2785" i="2"/>
  <c r="AO2785" i="2"/>
  <c r="AL2785" i="2"/>
  <c r="AK2785" i="2"/>
  <c r="AI2785" i="2"/>
  <c r="AH2785" i="2"/>
  <c r="AG2785" i="2"/>
  <c r="AE2785" i="2"/>
  <c r="AD2785" i="2"/>
  <c r="AA2785" i="2"/>
  <c r="Z2785" i="2"/>
  <c r="Y2785" i="2"/>
  <c r="X2785" i="2"/>
  <c r="W2785" i="2"/>
  <c r="V2785" i="2"/>
  <c r="U2785" i="2"/>
  <c r="T2785" i="2"/>
  <c r="S2785" i="2"/>
  <c r="R2785" i="2"/>
  <c r="Q2785" i="2"/>
  <c r="P2785" i="2"/>
  <c r="O2785" i="2"/>
  <c r="N2785" i="2"/>
  <c r="K2785" i="2"/>
  <c r="J2785" i="2"/>
  <c r="I2785" i="2"/>
  <c r="H2785" i="2"/>
  <c r="G2785" i="2"/>
  <c r="F2785" i="2"/>
  <c r="E2785" i="2"/>
  <c r="D2785" i="2"/>
  <c r="C2785" i="2"/>
  <c r="B2785" i="2"/>
  <c r="A2785" i="2"/>
  <c r="AX2784" i="2"/>
  <c r="AV2784" i="2"/>
  <c r="AU2784" i="2"/>
  <c r="AS2784" i="2"/>
  <c r="AR2784" i="2"/>
  <c r="AQ2784" i="2"/>
  <c r="AO2784" i="2"/>
  <c r="AN2784" i="2"/>
  <c r="AM2784" i="2"/>
  <c r="AL2784" i="2"/>
  <c r="AK2784" i="2"/>
  <c r="AJ2784" i="2"/>
  <c r="AI2784" i="2"/>
  <c r="AH2784" i="2"/>
  <c r="AG2784" i="2"/>
  <c r="AE2784" i="2"/>
  <c r="AD2784" i="2"/>
  <c r="AC2784" i="2"/>
  <c r="AB2784" i="2"/>
  <c r="AA2784" i="2"/>
  <c r="Z2784" i="2"/>
  <c r="Y2784" i="2"/>
  <c r="X2784" i="2"/>
  <c r="W2784" i="2"/>
  <c r="V2784" i="2"/>
  <c r="U2784" i="2"/>
  <c r="T2784" i="2"/>
  <c r="S2784" i="2"/>
  <c r="R2784" i="2"/>
  <c r="Q2784" i="2"/>
  <c r="P2784" i="2"/>
  <c r="O2784" i="2"/>
  <c r="N2784" i="2"/>
  <c r="K2784" i="2"/>
  <c r="J2784" i="2"/>
  <c r="I2784" i="2"/>
  <c r="H2784" i="2"/>
  <c r="G2784" i="2"/>
  <c r="F2784" i="2"/>
  <c r="E2784" i="2"/>
  <c r="D2784" i="2"/>
  <c r="C2784" i="2"/>
  <c r="B2784" i="2"/>
  <c r="A2784" i="2"/>
  <c r="AX2783" i="2"/>
  <c r="AV2783" i="2"/>
  <c r="AU2783" i="2"/>
  <c r="AS2783" i="2"/>
  <c r="AR2783" i="2"/>
  <c r="AQ2783" i="2"/>
  <c r="AO2783" i="2"/>
  <c r="AL2783" i="2"/>
  <c r="AK2783" i="2"/>
  <c r="AJ2783" i="2"/>
  <c r="AI2783" i="2"/>
  <c r="AH2783" i="2"/>
  <c r="AG2783" i="2"/>
  <c r="AE2783" i="2"/>
  <c r="AD2783" i="2"/>
  <c r="AA2783" i="2"/>
  <c r="Z2783" i="2"/>
  <c r="Y2783" i="2"/>
  <c r="X2783" i="2"/>
  <c r="V2783" i="2"/>
  <c r="U2783" i="2"/>
  <c r="T2783" i="2"/>
  <c r="S2783" i="2"/>
  <c r="R2783" i="2"/>
  <c r="Q2783" i="2"/>
  <c r="P2783" i="2"/>
  <c r="O2783" i="2"/>
  <c r="N2783" i="2"/>
  <c r="K2783" i="2"/>
  <c r="J2783" i="2"/>
  <c r="I2783" i="2"/>
  <c r="H2783" i="2"/>
  <c r="G2783" i="2"/>
  <c r="F2783" i="2"/>
  <c r="E2783" i="2"/>
  <c r="D2783" i="2"/>
  <c r="C2783" i="2"/>
  <c r="B2783" i="2"/>
  <c r="A2783" i="2"/>
  <c r="AX2782" i="2"/>
  <c r="AV2782" i="2"/>
  <c r="AU2782" i="2"/>
  <c r="AR2782" i="2"/>
  <c r="AQ2782" i="2"/>
  <c r="AO2782" i="2"/>
  <c r="AL2782" i="2"/>
  <c r="AK2782" i="2"/>
  <c r="AJ2782" i="2"/>
  <c r="AI2782" i="2"/>
  <c r="AH2782" i="2"/>
  <c r="AG2782" i="2"/>
  <c r="AF2782" i="2"/>
  <c r="AE2782" i="2"/>
  <c r="AD2782" i="2"/>
  <c r="AA2782" i="2"/>
  <c r="Z2782" i="2"/>
  <c r="Y2782" i="2"/>
  <c r="X2782" i="2"/>
  <c r="W2782" i="2"/>
  <c r="V2782" i="2"/>
  <c r="U2782" i="2"/>
  <c r="T2782" i="2"/>
  <c r="S2782" i="2"/>
  <c r="R2782" i="2"/>
  <c r="Q2782" i="2"/>
  <c r="P2782" i="2"/>
  <c r="O2782" i="2"/>
  <c r="N2782" i="2"/>
  <c r="K2782" i="2"/>
  <c r="J2782" i="2"/>
  <c r="I2782" i="2"/>
  <c r="H2782" i="2"/>
  <c r="G2782" i="2"/>
  <c r="F2782" i="2"/>
  <c r="E2782" i="2"/>
  <c r="D2782" i="2"/>
  <c r="C2782" i="2"/>
  <c r="B2782" i="2"/>
  <c r="A2782" i="2"/>
  <c r="AX2781" i="2"/>
  <c r="AV2781" i="2"/>
  <c r="AU2781" i="2"/>
  <c r="AS2781" i="2"/>
  <c r="AR2781" i="2"/>
  <c r="AQ2781" i="2"/>
  <c r="AO2781" i="2"/>
  <c r="AL2781" i="2"/>
  <c r="AK2781" i="2"/>
  <c r="AJ2781" i="2"/>
  <c r="AI2781" i="2"/>
  <c r="AH2781" i="2"/>
  <c r="AG2781" i="2"/>
  <c r="AE2781" i="2"/>
  <c r="AD2781" i="2"/>
  <c r="AA2781" i="2"/>
  <c r="Z2781" i="2"/>
  <c r="Y2781" i="2"/>
  <c r="X2781" i="2"/>
  <c r="W2781" i="2"/>
  <c r="V2781" i="2"/>
  <c r="U2781" i="2"/>
  <c r="T2781" i="2"/>
  <c r="S2781" i="2"/>
  <c r="R2781" i="2"/>
  <c r="Q2781" i="2"/>
  <c r="P2781" i="2"/>
  <c r="O2781" i="2"/>
  <c r="N2781" i="2"/>
  <c r="K2781" i="2"/>
  <c r="J2781" i="2"/>
  <c r="I2781" i="2"/>
  <c r="H2781" i="2"/>
  <c r="G2781" i="2"/>
  <c r="F2781" i="2"/>
  <c r="E2781" i="2"/>
  <c r="D2781" i="2"/>
  <c r="C2781" i="2"/>
  <c r="B2781" i="2"/>
  <c r="A2781" i="2"/>
  <c r="AX2780" i="2"/>
  <c r="AV2780" i="2"/>
  <c r="AU2780" i="2"/>
  <c r="AS2780" i="2"/>
  <c r="AR2780" i="2"/>
  <c r="AQ2780" i="2"/>
  <c r="AO2780" i="2"/>
  <c r="AL2780" i="2"/>
  <c r="AK2780" i="2"/>
  <c r="AJ2780" i="2"/>
  <c r="AI2780" i="2"/>
  <c r="AH2780" i="2"/>
  <c r="AG2780" i="2"/>
  <c r="AE2780" i="2"/>
  <c r="AD2780" i="2"/>
  <c r="AA2780" i="2"/>
  <c r="Z2780" i="2"/>
  <c r="Y2780" i="2"/>
  <c r="X2780" i="2"/>
  <c r="W2780" i="2"/>
  <c r="V2780" i="2"/>
  <c r="U2780" i="2"/>
  <c r="T2780" i="2"/>
  <c r="S2780" i="2"/>
  <c r="R2780" i="2"/>
  <c r="Q2780" i="2"/>
  <c r="P2780" i="2"/>
  <c r="O2780" i="2"/>
  <c r="N2780" i="2"/>
  <c r="K2780" i="2"/>
  <c r="J2780" i="2"/>
  <c r="I2780" i="2"/>
  <c r="H2780" i="2"/>
  <c r="G2780" i="2"/>
  <c r="F2780" i="2"/>
  <c r="E2780" i="2"/>
  <c r="D2780" i="2"/>
  <c r="C2780" i="2"/>
  <c r="B2780" i="2"/>
  <c r="A2780" i="2"/>
  <c r="AX2779" i="2"/>
  <c r="AV2779" i="2"/>
  <c r="AU2779" i="2"/>
  <c r="AS2779" i="2"/>
  <c r="AR2779" i="2"/>
  <c r="AQ2779" i="2"/>
  <c r="AO2779" i="2"/>
  <c r="AL2779" i="2"/>
  <c r="AK2779" i="2"/>
  <c r="AI2779" i="2"/>
  <c r="AH2779" i="2"/>
  <c r="AG2779" i="2"/>
  <c r="AE2779" i="2"/>
  <c r="AD2779" i="2"/>
  <c r="AA2779" i="2"/>
  <c r="Z2779" i="2"/>
  <c r="Y2779" i="2"/>
  <c r="X2779" i="2"/>
  <c r="W2779" i="2"/>
  <c r="V2779" i="2"/>
  <c r="U2779" i="2"/>
  <c r="T2779" i="2"/>
  <c r="S2779" i="2"/>
  <c r="R2779" i="2"/>
  <c r="Q2779" i="2"/>
  <c r="P2779" i="2"/>
  <c r="O2779" i="2"/>
  <c r="N2779" i="2"/>
  <c r="M2779" i="2"/>
  <c r="L2779" i="2"/>
  <c r="K2779" i="2"/>
  <c r="J2779" i="2"/>
  <c r="I2779" i="2"/>
  <c r="H2779" i="2"/>
  <c r="G2779" i="2"/>
  <c r="F2779" i="2"/>
  <c r="E2779" i="2"/>
  <c r="D2779" i="2"/>
  <c r="C2779" i="2"/>
  <c r="B2779" i="2"/>
  <c r="A2779" i="2"/>
  <c r="AX2778" i="2"/>
  <c r="AV2778" i="2"/>
  <c r="AU2778" i="2"/>
  <c r="AS2778" i="2"/>
  <c r="AR2778" i="2"/>
  <c r="AQ2778" i="2"/>
  <c r="AO2778" i="2"/>
  <c r="AL2778" i="2"/>
  <c r="AK2778" i="2"/>
  <c r="AI2778" i="2"/>
  <c r="AH2778" i="2"/>
  <c r="AG2778" i="2"/>
  <c r="AE2778" i="2"/>
  <c r="AD2778" i="2"/>
  <c r="AA2778" i="2"/>
  <c r="Z2778" i="2"/>
  <c r="Y2778" i="2"/>
  <c r="X2778" i="2"/>
  <c r="W2778" i="2"/>
  <c r="V2778" i="2"/>
  <c r="U2778" i="2"/>
  <c r="T2778" i="2"/>
  <c r="S2778" i="2"/>
  <c r="R2778" i="2"/>
  <c r="Q2778" i="2"/>
  <c r="P2778" i="2"/>
  <c r="O2778" i="2"/>
  <c r="N2778" i="2"/>
  <c r="K2778" i="2"/>
  <c r="J2778" i="2"/>
  <c r="I2778" i="2"/>
  <c r="H2778" i="2"/>
  <c r="G2778" i="2"/>
  <c r="F2778" i="2"/>
  <c r="E2778" i="2"/>
  <c r="D2778" i="2"/>
  <c r="C2778" i="2"/>
  <c r="B2778" i="2"/>
  <c r="A2778" i="2"/>
  <c r="AX2777" i="2"/>
  <c r="AV2777" i="2"/>
  <c r="AU2777" i="2"/>
  <c r="AS2777" i="2"/>
  <c r="AR2777" i="2"/>
  <c r="AQ2777" i="2"/>
  <c r="AP2777" i="2"/>
  <c r="AO2777" i="2"/>
  <c r="AL2777" i="2"/>
  <c r="AK2777" i="2"/>
  <c r="AJ2777" i="2"/>
  <c r="AI2777" i="2"/>
  <c r="AH2777" i="2"/>
  <c r="AG2777" i="2"/>
  <c r="AE2777" i="2"/>
  <c r="AD2777" i="2"/>
  <c r="AA2777" i="2"/>
  <c r="Z2777" i="2"/>
  <c r="Y2777" i="2"/>
  <c r="X2777" i="2"/>
  <c r="W2777" i="2"/>
  <c r="V2777" i="2"/>
  <c r="U2777" i="2"/>
  <c r="T2777" i="2"/>
  <c r="S2777" i="2"/>
  <c r="R2777" i="2"/>
  <c r="Q2777" i="2"/>
  <c r="P2777" i="2"/>
  <c r="O2777" i="2"/>
  <c r="N2777" i="2"/>
  <c r="K2777" i="2"/>
  <c r="J2777" i="2"/>
  <c r="I2777" i="2"/>
  <c r="H2777" i="2"/>
  <c r="G2777" i="2"/>
  <c r="F2777" i="2"/>
  <c r="E2777" i="2"/>
  <c r="D2777" i="2"/>
  <c r="C2777" i="2"/>
  <c r="B2777" i="2"/>
  <c r="A2777" i="2"/>
  <c r="AX2776" i="2"/>
  <c r="AV2776" i="2"/>
  <c r="AU2776" i="2"/>
  <c r="AS2776" i="2"/>
  <c r="AR2776" i="2"/>
  <c r="AQ2776" i="2"/>
  <c r="AO2776" i="2"/>
  <c r="AL2776" i="2"/>
  <c r="AK2776" i="2"/>
  <c r="AJ2776" i="2"/>
  <c r="AI2776" i="2"/>
  <c r="AH2776" i="2"/>
  <c r="AG2776" i="2"/>
  <c r="AF2776" i="2"/>
  <c r="AE2776" i="2"/>
  <c r="AD2776" i="2"/>
  <c r="AA2776" i="2"/>
  <c r="Z2776" i="2"/>
  <c r="Y2776" i="2"/>
  <c r="X2776" i="2"/>
  <c r="W2776" i="2"/>
  <c r="V2776" i="2"/>
  <c r="U2776" i="2"/>
  <c r="T2776" i="2"/>
  <c r="S2776" i="2"/>
  <c r="R2776" i="2"/>
  <c r="Q2776" i="2"/>
  <c r="P2776" i="2"/>
  <c r="O2776" i="2"/>
  <c r="N2776" i="2"/>
  <c r="K2776" i="2"/>
  <c r="J2776" i="2"/>
  <c r="I2776" i="2"/>
  <c r="H2776" i="2"/>
  <c r="G2776" i="2"/>
  <c r="F2776" i="2"/>
  <c r="E2776" i="2"/>
  <c r="D2776" i="2"/>
  <c r="C2776" i="2"/>
  <c r="B2776" i="2"/>
  <c r="A2776" i="2"/>
  <c r="AX2775" i="2"/>
  <c r="AV2775" i="2"/>
  <c r="AU2775" i="2"/>
  <c r="AR2775" i="2"/>
  <c r="AQ2775" i="2"/>
  <c r="AO2775" i="2"/>
  <c r="AL2775" i="2"/>
  <c r="AK2775" i="2"/>
  <c r="AJ2775" i="2"/>
  <c r="AI2775" i="2"/>
  <c r="AH2775" i="2"/>
  <c r="AG2775" i="2"/>
  <c r="AE2775" i="2"/>
  <c r="AD2775" i="2"/>
  <c r="AA2775" i="2"/>
  <c r="Z2775" i="2"/>
  <c r="Y2775" i="2"/>
  <c r="X2775" i="2"/>
  <c r="W2775" i="2"/>
  <c r="V2775" i="2"/>
  <c r="U2775" i="2"/>
  <c r="T2775" i="2"/>
  <c r="S2775" i="2"/>
  <c r="R2775" i="2"/>
  <c r="Q2775" i="2"/>
  <c r="P2775" i="2"/>
  <c r="O2775" i="2"/>
  <c r="N2775" i="2"/>
  <c r="M2775" i="2"/>
  <c r="K2775" i="2"/>
  <c r="J2775" i="2"/>
  <c r="I2775" i="2"/>
  <c r="H2775" i="2"/>
  <c r="G2775" i="2"/>
  <c r="F2775" i="2"/>
  <c r="E2775" i="2"/>
  <c r="D2775" i="2"/>
  <c r="C2775" i="2"/>
  <c r="B2775" i="2"/>
  <c r="A2775" i="2"/>
  <c r="AX2774" i="2"/>
  <c r="AV2774" i="2"/>
  <c r="AU2774" i="2"/>
  <c r="AR2774" i="2"/>
  <c r="AQ2774" i="2"/>
  <c r="AO2774" i="2"/>
  <c r="AL2774" i="2"/>
  <c r="AK2774" i="2"/>
  <c r="AJ2774" i="2"/>
  <c r="AI2774" i="2"/>
  <c r="AH2774" i="2"/>
  <c r="AG2774" i="2"/>
  <c r="AE2774" i="2"/>
  <c r="AD2774" i="2"/>
  <c r="AA2774" i="2"/>
  <c r="Z2774" i="2"/>
  <c r="Y2774" i="2"/>
  <c r="X2774" i="2"/>
  <c r="W2774" i="2"/>
  <c r="V2774" i="2"/>
  <c r="U2774" i="2"/>
  <c r="T2774" i="2"/>
  <c r="S2774" i="2"/>
  <c r="R2774" i="2"/>
  <c r="Q2774" i="2"/>
  <c r="P2774" i="2"/>
  <c r="O2774" i="2"/>
  <c r="N2774" i="2"/>
  <c r="M2774" i="2"/>
  <c r="K2774" i="2"/>
  <c r="J2774" i="2"/>
  <c r="I2774" i="2"/>
  <c r="H2774" i="2"/>
  <c r="G2774" i="2"/>
  <c r="F2774" i="2"/>
  <c r="E2774" i="2"/>
  <c r="D2774" i="2"/>
  <c r="C2774" i="2"/>
  <c r="B2774" i="2"/>
  <c r="A2774" i="2"/>
  <c r="AX2773" i="2"/>
  <c r="AV2773" i="2"/>
  <c r="AU2773" i="2"/>
  <c r="AS2773" i="2"/>
  <c r="AR2773" i="2"/>
  <c r="AQ2773" i="2"/>
  <c r="AO2773" i="2"/>
  <c r="AK2773" i="2"/>
  <c r="AJ2773" i="2"/>
  <c r="AI2773" i="2"/>
  <c r="AH2773" i="2"/>
  <c r="AG2773" i="2"/>
  <c r="AF2773" i="2"/>
  <c r="AE2773" i="2"/>
  <c r="AD2773" i="2"/>
  <c r="AA2773" i="2"/>
  <c r="Z2773" i="2"/>
  <c r="Y2773" i="2"/>
  <c r="X2773" i="2"/>
  <c r="V2773" i="2"/>
  <c r="U2773" i="2"/>
  <c r="T2773" i="2"/>
  <c r="S2773" i="2"/>
  <c r="R2773" i="2"/>
  <c r="Q2773" i="2"/>
  <c r="P2773" i="2"/>
  <c r="O2773" i="2"/>
  <c r="N2773" i="2"/>
  <c r="K2773" i="2"/>
  <c r="J2773" i="2"/>
  <c r="I2773" i="2"/>
  <c r="H2773" i="2"/>
  <c r="G2773" i="2"/>
  <c r="F2773" i="2"/>
  <c r="E2773" i="2"/>
  <c r="D2773" i="2"/>
  <c r="C2773" i="2"/>
  <c r="B2773" i="2"/>
  <c r="A2773" i="2"/>
  <c r="AX2772" i="2"/>
  <c r="AV2772" i="2"/>
  <c r="AU2772" i="2"/>
  <c r="AS2772" i="2"/>
  <c r="AR2772" i="2"/>
  <c r="AQ2772" i="2"/>
  <c r="AO2772" i="2"/>
  <c r="AN2772" i="2"/>
  <c r="AM2772" i="2"/>
  <c r="AL2772" i="2"/>
  <c r="AK2772" i="2"/>
  <c r="AJ2772" i="2"/>
  <c r="AI2772" i="2"/>
  <c r="AH2772" i="2"/>
  <c r="AG2772" i="2"/>
  <c r="AE2772" i="2"/>
  <c r="AD2772" i="2"/>
  <c r="AA2772" i="2"/>
  <c r="Z2772" i="2"/>
  <c r="Y2772" i="2"/>
  <c r="X2772" i="2"/>
  <c r="W2772" i="2"/>
  <c r="V2772" i="2"/>
  <c r="U2772" i="2"/>
  <c r="T2772" i="2"/>
  <c r="S2772" i="2"/>
  <c r="R2772" i="2"/>
  <c r="Q2772" i="2"/>
  <c r="P2772" i="2"/>
  <c r="O2772" i="2"/>
  <c r="N2772" i="2"/>
  <c r="K2772" i="2"/>
  <c r="J2772" i="2"/>
  <c r="I2772" i="2"/>
  <c r="H2772" i="2"/>
  <c r="G2772" i="2"/>
  <c r="F2772" i="2"/>
  <c r="E2772" i="2"/>
  <c r="D2772" i="2"/>
  <c r="C2772" i="2"/>
  <c r="B2772" i="2"/>
  <c r="A2772" i="2"/>
  <c r="AX2771" i="2"/>
  <c r="AV2771" i="2"/>
  <c r="AU2771" i="2"/>
  <c r="AR2771" i="2"/>
  <c r="AQ2771" i="2"/>
  <c r="AO2771" i="2"/>
  <c r="AN2771" i="2"/>
  <c r="AM2771" i="2"/>
  <c r="AL2771" i="2"/>
  <c r="AK2771" i="2"/>
  <c r="AJ2771" i="2"/>
  <c r="AI2771" i="2"/>
  <c r="AH2771" i="2"/>
  <c r="AG2771" i="2"/>
  <c r="AE2771" i="2"/>
  <c r="AD2771" i="2"/>
  <c r="AB2771" i="2"/>
  <c r="AA2771" i="2"/>
  <c r="Z2771" i="2"/>
  <c r="Y2771" i="2"/>
  <c r="W2771" i="2"/>
  <c r="V2771" i="2"/>
  <c r="U2771" i="2"/>
  <c r="T2771" i="2"/>
  <c r="S2771" i="2"/>
  <c r="R2771" i="2"/>
  <c r="Q2771" i="2"/>
  <c r="P2771" i="2"/>
  <c r="O2771" i="2"/>
  <c r="N2771" i="2"/>
  <c r="M2771" i="2"/>
  <c r="K2771" i="2"/>
  <c r="J2771" i="2"/>
  <c r="I2771" i="2"/>
  <c r="H2771" i="2"/>
  <c r="G2771" i="2"/>
  <c r="F2771" i="2"/>
  <c r="E2771" i="2"/>
  <c r="D2771" i="2"/>
  <c r="C2771" i="2"/>
  <c r="B2771" i="2"/>
  <c r="A2771" i="2"/>
  <c r="AX2770" i="2"/>
  <c r="AV2770" i="2"/>
  <c r="AU2770" i="2"/>
  <c r="AS2770" i="2"/>
  <c r="AR2770" i="2"/>
  <c r="AQ2770" i="2"/>
  <c r="AO2770" i="2"/>
  <c r="AN2770" i="2"/>
  <c r="AM2770" i="2"/>
  <c r="AL2770" i="2"/>
  <c r="AK2770" i="2"/>
  <c r="AI2770" i="2"/>
  <c r="AH2770" i="2"/>
  <c r="AG2770" i="2"/>
  <c r="AE2770" i="2"/>
  <c r="AA2770" i="2"/>
  <c r="Z2770" i="2"/>
  <c r="Y2770" i="2"/>
  <c r="X2770" i="2"/>
  <c r="W2770" i="2"/>
  <c r="V2770" i="2"/>
  <c r="U2770" i="2"/>
  <c r="T2770" i="2"/>
  <c r="S2770" i="2"/>
  <c r="R2770" i="2"/>
  <c r="Q2770" i="2"/>
  <c r="P2770" i="2"/>
  <c r="O2770" i="2"/>
  <c r="N2770" i="2"/>
  <c r="M2770" i="2"/>
  <c r="K2770" i="2"/>
  <c r="J2770" i="2"/>
  <c r="I2770" i="2"/>
  <c r="H2770" i="2"/>
  <c r="G2770" i="2"/>
  <c r="F2770" i="2"/>
  <c r="E2770" i="2"/>
  <c r="D2770" i="2"/>
  <c r="C2770" i="2"/>
  <c r="B2770" i="2"/>
  <c r="A2770" i="2"/>
  <c r="AX2769" i="2"/>
  <c r="AV2769" i="2"/>
  <c r="AU2769" i="2"/>
  <c r="AS2769" i="2"/>
  <c r="AR2769" i="2"/>
  <c r="AQ2769" i="2"/>
  <c r="AO2769" i="2"/>
  <c r="AK2769" i="2"/>
  <c r="AJ2769" i="2"/>
  <c r="AI2769" i="2"/>
  <c r="AH2769" i="2"/>
  <c r="AG2769" i="2"/>
  <c r="AE2769" i="2"/>
  <c r="AD2769" i="2"/>
  <c r="AA2769" i="2"/>
  <c r="Z2769" i="2"/>
  <c r="Y2769" i="2"/>
  <c r="X2769" i="2"/>
  <c r="V2769" i="2"/>
  <c r="U2769" i="2"/>
  <c r="T2769" i="2"/>
  <c r="S2769" i="2"/>
  <c r="R2769" i="2"/>
  <c r="Q2769" i="2"/>
  <c r="P2769" i="2"/>
  <c r="O2769" i="2"/>
  <c r="N2769" i="2"/>
  <c r="K2769" i="2"/>
  <c r="J2769" i="2"/>
  <c r="I2769" i="2"/>
  <c r="H2769" i="2"/>
  <c r="G2769" i="2"/>
  <c r="F2769" i="2"/>
  <c r="E2769" i="2"/>
  <c r="D2769" i="2"/>
  <c r="C2769" i="2"/>
  <c r="B2769" i="2"/>
  <c r="A2769" i="2"/>
  <c r="AX2768" i="2"/>
  <c r="AV2768" i="2"/>
  <c r="AU2768" i="2"/>
  <c r="AR2768" i="2"/>
  <c r="AQ2768" i="2"/>
  <c r="AO2768" i="2"/>
  <c r="AL2768" i="2"/>
  <c r="AK2768" i="2"/>
  <c r="AJ2768" i="2"/>
  <c r="AI2768" i="2"/>
  <c r="AH2768" i="2"/>
  <c r="AG2768" i="2"/>
  <c r="AE2768" i="2"/>
  <c r="AD2768" i="2"/>
  <c r="AA2768" i="2"/>
  <c r="Z2768" i="2"/>
  <c r="Y2768" i="2"/>
  <c r="X2768" i="2"/>
  <c r="T2768" i="2"/>
  <c r="S2768" i="2"/>
  <c r="R2768" i="2"/>
  <c r="Q2768" i="2"/>
  <c r="P2768" i="2"/>
  <c r="O2768" i="2"/>
  <c r="N2768" i="2"/>
  <c r="K2768" i="2"/>
  <c r="J2768" i="2"/>
  <c r="I2768" i="2"/>
  <c r="H2768" i="2"/>
  <c r="G2768" i="2"/>
  <c r="F2768" i="2"/>
  <c r="E2768" i="2"/>
  <c r="D2768" i="2"/>
  <c r="C2768" i="2"/>
  <c r="B2768" i="2"/>
  <c r="A2768" i="2"/>
  <c r="AX2767" i="2"/>
  <c r="AV2767" i="2"/>
  <c r="AU2767" i="2"/>
  <c r="AR2767" i="2"/>
  <c r="AQ2767" i="2"/>
  <c r="AP2767" i="2"/>
  <c r="AO2767" i="2"/>
  <c r="AL2767" i="2"/>
  <c r="AK2767" i="2"/>
  <c r="AJ2767" i="2"/>
  <c r="AI2767" i="2"/>
  <c r="AH2767" i="2"/>
  <c r="AG2767" i="2"/>
  <c r="AE2767" i="2"/>
  <c r="AD2767" i="2"/>
  <c r="AA2767" i="2"/>
  <c r="Z2767" i="2"/>
  <c r="Y2767" i="2"/>
  <c r="X2767" i="2"/>
  <c r="W2767" i="2"/>
  <c r="V2767" i="2"/>
  <c r="U2767" i="2"/>
  <c r="T2767" i="2"/>
  <c r="S2767" i="2"/>
  <c r="R2767" i="2"/>
  <c r="Q2767" i="2"/>
  <c r="P2767" i="2"/>
  <c r="O2767" i="2"/>
  <c r="N2767" i="2"/>
  <c r="K2767" i="2"/>
  <c r="J2767" i="2"/>
  <c r="I2767" i="2"/>
  <c r="H2767" i="2"/>
  <c r="G2767" i="2"/>
  <c r="F2767" i="2"/>
  <c r="E2767" i="2"/>
  <c r="D2767" i="2"/>
  <c r="C2767" i="2"/>
  <c r="B2767" i="2"/>
  <c r="A2767" i="2"/>
  <c r="AX2766" i="2"/>
  <c r="AV2766" i="2"/>
  <c r="AU2766" i="2"/>
  <c r="AS2766" i="2"/>
  <c r="AR2766" i="2"/>
  <c r="AQ2766" i="2"/>
  <c r="AO2766" i="2"/>
  <c r="AL2766" i="2"/>
  <c r="AK2766" i="2"/>
  <c r="AJ2766" i="2"/>
  <c r="AI2766" i="2"/>
  <c r="AH2766" i="2"/>
  <c r="AG2766" i="2"/>
  <c r="AE2766" i="2"/>
  <c r="AD2766" i="2"/>
  <c r="AA2766" i="2"/>
  <c r="Z2766" i="2"/>
  <c r="Y2766" i="2"/>
  <c r="X2766" i="2"/>
  <c r="U2766" i="2"/>
  <c r="T2766" i="2"/>
  <c r="S2766" i="2"/>
  <c r="R2766" i="2"/>
  <c r="Q2766" i="2"/>
  <c r="P2766" i="2"/>
  <c r="O2766" i="2"/>
  <c r="N2766" i="2"/>
  <c r="K2766" i="2"/>
  <c r="J2766" i="2"/>
  <c r="I2766" i="2"/>
  <c r="H2766" i="2"/>
  <c r="G2766" i="2"/>
  <c r="F2766" i="2"/>
  <c r="E2766" i="2"/>
  <c r="D2766" i="2"/>
  <c r="C2766" i="2"/>
  <c r="B2766" i="2"/>
  <c r="A2766" i="2"/>
  <c r="AX2765" i="2"/>
  <c r="AV2765" i="2"/>
  <c r="AU2765" i="2"/>
  <c r="AS2765" i="2"/>
  <c r="AR2765" i="2"/>
  <c r="AQ2765" i="2"/>
  <c r="AO2765" i="2"/>
  <c r="AL2765" i="2"/>
  <c r="AK2765" i="2"/>
  <c r="AJ2765" i="2"/>
  <c r="AI2765" i="2"/>
  <c r="AH2765" i="2"/>
  <c r="AG2765" i="2"/>
  <c r="AF2765" i="2"/>
  <c r="AE2765" i="2"/>
  <c r="AD2765" i="2"/>
  <c r="AA2765" i="2"/>
  <c r="Z2765" i="2"/>
  <c r="Y2765" i="2"/>
  <c r="X2765" i="2"/>
  <c r="U2765" i="2"/>
  <c r="T2765" i="2"/>
  <c r="S2765" i="2"/>
  <c r="R2765" i="2"/>
  <c r="Q2765" i="2"/>
  <c r="P2765" i="2"/>
  <c r="O2765" i="2"/>
  <c r="N2765" i="2"/>
  <c r="K2765" i="2"/>
  <c r="J2765" i="2"/>
  <c r="I2765" i="2"/>
  <c r="H2765" i="2"/>
  <c r="G2765" i="2"/>
  <c r="F2765" i="2"/>
  <c r="E2765" i="2"/>
  <c r="D2765" i="2"/>
  <c r="C2765" i="2"/>
  <c r="B2765" i="2"/>
  <c r="A2765" i="2"/>
  <c r="AX2764" i="2"/>
  <c r="AV2764" i="2"/>
  <c r="AU2764" i="2"/>
  <c r="AS2764" i="2"/>
  <c r="AR2764" i="2"/>
  <c r="AQ2764" i="2"/>
  <c r="AO2764" i="2"/>
  <c r="AL2764" i="2"/>
  <c r="AK2764" i="2"/>
  <c r="AJ2764" i="2"/>
  <c r="AI2764" i="2"/>
  <c r="AH2764" i="2"/>
  <c r="AG2764" i="2"/>
  <c r="AE2764" i="2"/>
  <c r="AD2764" i="2"/>
  <c r="AA2764" i="2"/>
  <c r="Z2764" i="2"/>
  <c r="Y2764" i="2"/>
  <c r="X2764" i="2"/>
  <c r="W2764" i="2"/>
  <c r="V2764" i="2"/>
  <c r="U2764" i="2"/>
  <c r="T2764" i="2"/>
  <c r="S2764" i="2"/>
  <c r="R2764" i="2"/>
  <c r="Q2764" i="2"/>
  <c r="P2764" i="2"/>
  <c r="O2764" i="2"/>
  <c r="N2764" i="2"/>
  <c r="K2764" i="2"/>
  <c r="J2764" i="2"/>
  <c r="I2764" i="2"/>
  <c r="H2764" i="2"/>
  <c r="G2764" i="2"/>
  <c r="F2764" i="2"/>
  <c r="E2764" i="2"/>
  <c r="D2764" i="2"/>
  <c r="C2764" i="2"/>
  <c r="B2764" i="2"/>
  <c r="A2764" i="2"/>
  <c r="AX2763" i="2"/>
  <c r="AV2763" i="2"/>
  <c r="AU2763" i="2"/>
  <c r="AS2763" i="2"/>
  <c r="AR2763" i="2"/>
  <c r="AQ2763" i="2"/>
  <c r="AO2763" i="2"/>
  <c r="AL2763" i="2"/>
  <c r="AI2763" i="2"/>
  <c r="AH2763" i="2"/>
  <c r="AG2763" i="2"/>
  <c r="AE2763" i="2"/>
  <c r="AD2763" i="2"/>
  <c r="AA2763" i="2"/>
  <c r="Z2763" i="2"/>
  <c r="Y2763" i="2"/>
  <c r="X2763" i="2"/>
  <c r="U2763" i="2"/>
  <c r="T2763" i="2"/>
  <c r="S2763" i="2"/>
  <c r="R2763" i="2"/>
  <c r="Q2763" i="2"/>
  <c r="P2763" i="2"/>
  <c r="O2763" i="2"/>
  <c r="N2763" i="2"/>
  <c r="K2763" i="2"/>
  <c r="J2763" i="2"/>
  <c r="I2763" i="2"/>
  <c r="H2763" i="2"/>
  <c r="G2763" i="2"/>
  <c r="F2763" i="2"/>
  <c r="E2763" i="2"/>
  <c r="D2763" i="2"/>
  <c r="C2763" i="2"/>
  <c r="B2763" i="2"/>
  <c r="A2763" i="2"/>
  <c r="AX2762" i="2"/>
  <c r="AV2762" i="2"/>
  <c r="AU2762" i="2"/>
  <c r="AS2762" i="2"/>
  <c r="AR2762" i="2"/>
  <c r="AQ2762" i="2"/>
  <c r="AO2762" i="2"/>
  <c r="AL2762" i="2"/>
  <c r="AK2762" i="2"/>
  <c r="AI2762" i="2"/>
  <c r="AH2762" i="2"/>
  <c r="AG2762" i="2"/>
  <c r="AE2762" i="2"/>
  <c r="AA2762" i="2"/>
  <c r="Z2762" i="2"/>
  <c r="Y2762" i="2"/>
  <c r="X2762" i="2"/>
  <c r="U2762" i="2"/>
  <c r="T2762" i="2"/>
  <c r="S2762" i="2"/>
  <c r="R2762" i="2"/>
  <c r="Q2762" i="2"/>
  <c r="P2762" i="2"/>
  <c r="O2762" i="2"/>
  <c r="N2762" i="2"/>
  <c r="K2762" i="2"/>
  <c r="J2762" i="2"/>
  <c r="I2762" i="2"/>
  <c r="H2762" i="2"/>
  <c r="G2762" i="2"/>
  <c r="F2762" i="2"/>
  <c r="E2762" i="2"/>
  <c r="D2762" i="2"/>
  <c r="C2762" i="2"/>
  <c r="B2762" i="2"/>
  <c r="A2762" i="2"/>
  <c r="AX2761" i="2"/>
  <c r="AV2761" i="2"/>
  <c r="AU2761" i="2"/>
  <c r="AR2761" i="2"/>
  <c r="AQ2761" i="2"/>
  <c r="AO2761" i="2"/>
  <c r="AL2761" i="2"/>
  <c r="AK2761" i="2"/>
  <c r="AI2761" i="2"/>
  <c r="AH2761" i="2"/>
  <c r="AG2761" i="2"/>
  <c r="AE2761" i="2"/>
  <c r="AD2761" i="2"/>
  <c r="AA2761" i="2"/>
  <c r="Z2761" i="2"/>
  <c r="Y2761" i="2"/>
  <c r="V2761" i="2"/>
  <c r="U2761" i="2"/>
  <c r="T2761" i="2"/>
  <c r="S2761" i="2"/>
  <c r="R2761" i="2"/>
  <c r="Q2761" i="2"/>
  <c r="P2761" i="2"/>
  <c r="O2761" i="2"/>
  <c r="N2761" i="2"/>
  <c r="K2761" i="2"/>
  <c r="J2761" i="2"/>
  <c r="I2761" i="2"/>
  <c r="H2761" i="2"/>
  <c r="G2761" i="2"/>
  <c r="F2761" i="2"/>
  <c r="E2761" i="2"/>
  <c r="D2761" i="2"/>
  <c r="C2761" i="2"/>
  <c r="B2761" i="2"/>
  <c r="A2761" i="2"/>
  <c r="AX2760" i="2"/>
  <c r="AV2760" i="2"/>
  <c r="AU2760" i="2"/>
  <c r="AR2760" i="2"/>
  <c r="AQ2760" i="2"/>
  <c r="AO2760" i="2"/>
  <c r="AN2760" i="2"/>
  <c r="AM2760" i="2"/>
  <c r="AL2760" i="2"/>
  <c r="AK2760" i="2"/>
  <c r="AJ2760" i="2"/>
  <c r="AI2760" i="2"/>
  <c r="AH2760" i="2"/>
  <c r="AG2760" i="2"/>
  <c r="AE2760" i="2"/>
  <c r="AD2760" i="2"/>
  <c r="AC2760" i="2"/>
  <c r="AA2760" i="2"/>
  <c r="Z2760" i="2"/>
  <c r="Y2760" i="2"/>
  <c r="X2760" i="2"/>
  <c r="W2760" i="2"/>
  <c r="V2760" i="2"/>
  <c r="U2760" i="2"/>
  <c r="T2760" i="2"/>
  <c r="S2760" i="2"/>
  <c r="R2760" i="2"/>
  <c r="Q2760" i="2"/>
  <c r="P2760" i="2"/>
  <c r="O2760" i="2"/>
  <c r="N2760" i="2"/>
  <c r="M2760" i="2"/>
  <c r="K2760" i="2"/>
  <c r="J2760" i="2"/>
  <c r="I2760" i="2"/>
  <c r="H2760" i="2"/>
  <c r="G2760" i="2"/>
  <c r="F2760" i="2"/>
  <c r="E2760" i="2"/>
  <c r="D2760" i="2"/>
  <c r="C2760" i="2"/>
  <c r="B2760" i="2"/>
  <c r="A2760" i="2"/>
  <c r="AX2759" i="2"/>
  <c r="AV2759" i="2"/>
  <c r="AU2759" i="2"/>
  <c r="AS2759" i="2"/>
  <c r="AR2759" i="2"/>
  <c r="AQ2759" i="2"/>
  <c r="AO2759" i="2"/>
  <c r="AM2759" i="2"/>
  <c r="AK2759" i="2"/>
  <c r="AJ2759" i="2"/>
  <c r="AI2759" i="2"/>
  <c r="AG2759" i="2"/>
  <c r="AE2759" i="2"/>
  <c r="AD2759" i="2"/>
  <c r="AA2759" i="2"/>
  <c r="Z2759" i="2"/>
  <c r="Y2759" i="2"/>
  <c r="X2759" i="2"/>
  <c r="W2759" i="2"/>
  <c r="V2759" i="2"/>
  <c r="U2759" i="2"/>
  <c r="T2759" i="2"/>
  <c r="S2759" i="2"/>
  <c r="R2759" i="2"/>
  <c r="Q2759" i="2"/>
  <c r="P2759" i="2"/>
  <c r="O2759" i="2"/>
  <c r="N2759" i="2"/>
  <c r="K2759" i="2"/>
  <c r="J2759" i="2"/>
  <c r="I2759" i="2"/>
  <c r="H2759" i="2"/>
  <c r="G2759" i="2"/>
  <c r="F2759" i="2"/>
  <c r="E2759" i="2"/>
  <c r="D2759" i="2"/>
  <c r="C2759" i="2"/>
  <c r="B2759" i="2"/>
  <c r="A2759" i="2"/>
  <c r="AX2758" i="2"/>
  <c r="AV2758" i="2"/>
  <c r="AU2758" i="2"/>
  <c r="AS2758" i="2"/>
  <c r="AR2758" i="2"/>
  <c r="AQ2758" i="2"/>
  <c r="AO2758" i="2"/>
  <c r="AN2758" i="2"/>
  <c r="AM2758" i="2"/>
  <c r="AL2758" i="2"/>
  <c r="AK2758" i="2"/>
  <c r="AI2758" i="2"/>
  <c r="AH2758" i="2"/>
  <c r="AG2758" i="2"/>
  <c r="AE2758" i="2"/>
  <c r="AD2758" i="2"/>
  <c r="AC2758" i="2"/>
  <c r="AA2758" i="2"/>
  <c r="Z2758" i="2"/>
  <c r="Y2758" i="2"/>
  <c r="X2758" i="2"/>
  <c r="W2758" i="2"/>
  <c r="U2758" i="2"/>
  <c r="T2758" i="2"/>
  <c r="S2758" i="2"/>
  <c r="R2758" i="2"/>
  <c r="Q2758" i="2"/>
  <c r="P2758" i="2"/>
  <c r="O2758" i="2"/>
  <c r="N2758" i="2"/>
  <c r="M2758" i="2"/>
  <c r="K2758" i="2"/>
  <c r="J2758" i="2"/>
  <c r="I2758" i="2"/>
  <c r="H2758" i="2"/>
  <c r="G2758" i="2"/>
  <c r="F2758" i="2"/>
  <c r="E2758" i="2"/>
  <c r="D2758" i="2"/>
  <c r="C2758" i="2"/>
  <c r="B2758" i="2"/>
  <c r="A2758" i="2"/>
  <c r="AX2757" i="2"/>
  <c r="AV2757" i="2"/>
  <c r="AU2757" i="2"/>
  <c r="AS2757" i="2"/>
  <c r="AR2757" i="2"/>
  <c r="AQ2757" i="2"/>
  <c r="AO2757" i="2"/>
  <c r="AL2757" i="2"/>
  <c r="AK2757" i="2"/>
  <c r="AJ2757" i="2"/>
  <c r="AI2757" i="2"/>
  <c r="AH2757" i="2"/>
  <c r="AG2757" i="2"/>
  <c r="AE2757" i="2"/>
  <c r="AD2757" i="2"/>
  <c r="AA2757" i="2"/>
  <c r="Z2757" i="2"/>
  <c r="Y2757" i="2"/>
  <c r="X2757" i="2"/>
  <c r="W2757" i="2"/>
  <c r="V2757" i="2"/>
  <c r="U2757" i="2"/>
  <c r="T2757" i="2"/>
  <c r="S2757" i="2"/>
  <c r="R2757" i="2"/>
  <c r="Q2757" i="2"/>
  <c r="P2757" i="2"/>
  <c r="O2757" i="2"/>
  <c r="N2757" i="2"/>
  <c r="K2757" i="2"/>
  <c r="J2757" i="2"/>
  <c r="I2757" i="2"/>
  <c r="H2757" i="2"/>
  <c r="G2757" i="2"/>
  <c r="F2757" i="2"/>
  <c r="E2757" i="2"/>
  <c r="D2757" i="2"/>
  <c r="C2757" i="2"/>
  <c r="B2757" i="2"/>
  <c r="A2757" i="2"/>
  <c r="AX2756" i="2"/>
  <c r="AV2756" i="2"/>
  <c r="AU2756" i="2"/>
  <c r="AP2756" i="2"/>
  <c r="AO2756" i="2"/>
  <c r="AN2756" i="2"/>
  <c r="AM2756" i="2"/>
  <c r="AL2756" i="2"/>
  <c r="AI2756" i="2"/>
  <c r="AH2756" i="2"/>
  <c r="AG2756" i="2"/>
  <c r="AE2756" i="2"/>
  <c r="AD2756" i="2"/>
  <c r="AB2756" i="2"/>
  <c r="AA2756" i="2"/>
  <c r="Z2756" i="2"/>
  <c r="Y2756" i="2"/>
  <c r="X2756" i="2"/>
  <c r="W2756" i="2"/>
  <c r="V2756" i="2"/>
  <c r="U2756" i="2"/>
  <c r="T2756" i="2"/>
  <c r="S2756" i="2"/>
  <c r="R2756" i="2"/>
  <c r="Q2756" i="2"/>
  <c r="P2756" i="2"/>
  <c r="O2756" i="2"/>
  <c r="N2756" i="2"/>
  <c r="M2756" i="2"/>
  <c r="L2756" i="2"/>
  <c r="K2756" i="2"/>
  <c r="J2756" i="2"/>
  <c r="I2756" i="2"/>
  <c r="H2756" i="2"/>
  <c r="G2756" i="2"/>
  <c r="F2756" i="2"/>
  <c r="E2756" i="2"/>
  <c r="D2756" i="2"/>
  <c r="C2756" i="2"/>
  <c r="B2756" i="2"/>
  <c r="A2756" i="2"/>
  <c r="AX2755" i="2"/>
  <c r="AV2755" i="2"/>
  <c r="AU2755" i="2"/>
  <c r="AR2755" i="2"/>
  <c r="AQ2755" i="2"/>
  <c r="AO2755" i="2"/>
  <c r="AL2755" i="2"/>
  <c r="AK2755" i="2"/>
  <c r="AI2755" i="2"/>
  <c r="AH2755" i="2"/>
  <c r="AG2755" i="2"/>
  <c r="AE2755" i="2"/>
  <c r="AD2755" i="2"/>
  <c r="AA2755" i="2"/>
  <c r="Z2755" i="2"/>
  <c r="Y2755" i="2"/>
  <c r="X2755" i="2"/>
  <c r="U2755" i="2"/>
  <c r="T2755" i="2"/>
  <c r="S2755" i="2"/>
  <c r="R2755" i="2"/>
  <c r="Q2755" i="2"/>
  <c r="P2755" i="2"/>
  <c r="O2755" i="2"/>
  <c r="N2755" i="2"/>
  <c r="K2755" i="2"/>
  <c r="J2755" i="2"/>
  <c r="I2755" i="2"/>
  <c r="H2755" i="2"/>
  <c r="G2755" i="2"/>
  <c r="F2755" i="2"/>
  <c r="E2755" i="2"/>
  <c r="D2755" i="2"/>
  <c r="C2755" i="2"/>
  <c r="B2755" i="2"/>
  <c r="A2755" i="2"/>
  <c r="AX2754" i="2"/>
  <c r="AV2754" i="2"/>
  <c r="AU2754" i="2"/>
  <c r="AS2754" i="2"/>
  <c r="AR2754" i="2"/>
  <c r="AQ2754" i="2"/>
  <c r="AO2754" i="2"/>
  <c r="AL2754" i="2"/>
  <c r="AK2754" i="2"/>
  <c r="AJ2754" i="2"/>
  <c r="AI2754" i="2"/>
  <c r="AH2754" i="2"/>
  <c r="AG2754" i="2"/>
  <c r="AE2754" i="2"/>
  <c r="AD2754" i="2"/>
  <c r="AA2754" i="2"/>
  <c r="Z2754" i="2"/>
  <c r="Y2754" i="2"/>
  <c r="X2754" i="2"/>
  <c r="W2754" i="2"/>
  <c r="V2754" i="2"/>
  <c r="U2754" i="2"/>
  <c r="T2754" i="2"/>
  <c r="S2754" i="2"/>
  <c r="R2754" i="2"/>
  <c r="Q2754" i="2"/>
  <c r="P2754" i="2"/>
  <c r="O2754" i="2"/>
  <c r="N2754" i="2"/>
  <c r="K2754" i="2"/>
  <c r="J2754" i="2"/>
  <c r="I2754" i="2"/>
  <c r="H2754" i="2"/>
  <c r="G2754" i="2"/>
  <c r="F2754" i="2"/>
  <c r="E2754" i="2"/>
  <c r="D2754" i="2"/>
  <c r="C2754" i="2"/>
  <c r="B2754" i="2"/>
  <c r="A2754" i="2"/>
  <c r="AX2753" i="2"/>
  <c r="AV2753" i="2"/>
  <c r="AU2753" i="2"/>
  <c r="AS2753" i="2"/>
  <c r="AR2753" i="2"/>
  <c r="AQ2753" i="2"/>
  <c r="AO2753" i="2"/>
  <c r="AL2753" i="2"/>
  <c r="AK2753" i="2"/>
  <c r="AJ2753" i="2"/>
  <c r="AI2753" i="2"/>
  <c r="AH2753" i="2"/>
  <c r="AG2753" i="2"/>
  <c r="AF2753" i="2"/>
  <c r="AE2753" i="2"/>
  <c r="AD2753" i="2"/>
  <c r="AA2753" i="2"/>
  <c r="Z2753" i="2"/>
  <c r="Y2753" i="2"/>
  <c r="X2753" i="2"/>
  <c r="V2753" i="2"/>
  <c r="U2753" i="2"/>
  <c r="T2753" i="2"/>
  <c r="S2753" i="2"/>
  <c r="R2753" i="2"/>
  <c r="Q2753" i="2"/>
  <c r="P2753" i="2"/>
  <c r="O2753" i="2"/>
  <c r="N2753" i="2"/>
  <c r="K2753" i="2"/>
  <c r="J2753" i="2"/>
  <c r="I2753" i="2"/>
  <c r="H2753" i="2"/>
  <c r="G2753" i="2"/>
  <c r="F2753" i="2"/>
  <c r="E2753" i="2"/>
  <c r="D2753" i="2"/>
  <c r="C2753" i="2"/>
  <c r="B2753" i="2"/>
  <c r="A2753" i="2"/>
  <c r="AX2752" i="2"/>
  <c r="AV2752" i="2"/>
  <c r="AU2752" i="2"/>
  <c r="AR2752" i="2"/>
  <c r="AO2752" i="2"/>
  <c r="AM2752" i="2"/>
  <c r="AL2752" i="2"/>
  <c r="AK2752" i="2"/>
  <c r="AJ2752" i="2"/>
  <c r="AI2752" i="2"/>
  <c r="AH2752" i="2"/>
  <c r="AG2752" i="2"/>
  <c r="AF2752" i="2"/>
  <c r="AE2752" i="2"/>
  <c r="AD2752" i="2"/>
  <c r="AA2752" i="2"/>
  <c r="Z2752" i="2"/>
  <c r="Y2752" i="2"/>
  <c r="X2752" i="2"/>
  <c r="W2752" i="2"/>
  <c r="V2752" i="2"/>
  <c r="U2752" i="2"/>
  <c r="T2752" i="2"/>
  <c r="S2752" i="2"/>
  <c r="R2752" i="2"/>
  <c r="Q2752" i="2"/>
  <c r="P2752" i="2"/>
  <c r="O2752" i="2"/>
  <c r="N2752" i="2"/>
  <c r="M2752" i="2"/>
  <c r="L2752" i="2"/>
  <c r="K2752" i="2"/>
  <c r="J2752" i="2"/>
  <c r="I2752" i="2"/>
  <c r="H2752" i="2"/>
  <c r="G2752" i="2"/>
  <c r="F2752" i="2"/>
  <c r="E2752" i="2"/>
  <c r="D2752" i="2"/>
  <c r="C2752" i="2"/>
  <c r="B2752" i="2"/>
  <c r="A2752" i="2"/>
  <c r="AX2751" i="2"/>
  <c r="AV2751" i="2"/>
  <c r="AU2751" i="2"/>
  <c r="AS2751" i="2"/>
  <c r="AR2751" i="2"/>
  <c r="AQ2751" i="2"/>
  <c r="AO2751" i="2"/>
  <c r="AL2751" i="2"/>
  <c r="AK2751" i="2"/>
  <c r="AJ2751" i="2"/>
  <c r="AI2751" i="2"/>
  <c r="AH2751" i="2"/>
  <c r="AG2751" i="2"/>
  <c r="AE2751" i="2"/>
  <c r="AD2751" i="2"/>
  <c r="AA2751" i="2"/>
  <c r="Z2751" i="2"/>
  <c r="Y2751" i="2"/>
  <c r="X2751" i="2"/>
  <c r="W2751" i="2"/>
  <c r="V2751" i="2"/>
  <c r="U2751" i="2"/>
  <c r="T2751" i="2"/>
  <c r="S2751" i="2"/>
  <c r="R2751" i="2"/>
  <c r="Q2751" i="2"/>
  <c r="P2751" i="2"/>
  <c r="O2751" i="2"/>
  <c r="N2751" i="2"/>
  <c r="K2751" i="2"/>
  <c r="J2751" i="2"/>
  <c r="I2751" i="2"/>
  <c r="H2751" i="2"/>
  <c r="G2751" i="2"/>
  <c r="F2751" i="2"/>
  <c r="E2751" i="2"/>
  <c r="D2751" i="2"/>
  <c r="C2751" i="2"/>
  <c r="B2751" i="2"/>
  <c r="A2751" i="2"/>
  <c r="AX2750" i="2"/>
  <c r="AV2750" i="2"/>
  <c r="AU2750" i="2"/>
  <c r="AS2750" i="2"/>
  <c r="AR2750" i="2"/>
  <c r="AQ2750" i="2"/>
  <c r="AO2750" i="2"/>
  <c r="AN2750" i="2"/>
  <c r="AM2750" i="2"/>
  <c r="AL2750" i="2"/>
  <c r="AK2750" i="2"/>
  <c r="AJ2750" i="2"/>
  <c r="AI2750" i="2"/>
  <c r="AH2750" i="2"/>
  <c r="AG2750" i="2"/>
  <c r="AD2750" i="2"/>
  <c r="AA2750" i="2"/>
  <c r="Z2750" i="2"/>
  <c r="Y2750" i="2"/>
  <c r="U2750" i="2"/>
  <c r="T2750" i="2"/>
  <c r="S2750" i="2"/>
  <c r="R2750" i="2"/>
  <c r="Q2750" i="2"/>
  <c r="P2750" i="2"/>
  <c r="O2750" i="2"/>
  <c r="N2750" i="2"/>
  <c r="K2750" i="2"/>
  <c r="J2750" i="2"/>
  <c r="I2750" i="2"/>
  <c r="H2750" i="2"/>
  <c r="G2750" i="2"/>
  <c r="F2750" i="2"/>
  <c r="E2750" i="2"/>
  <c r="D2750" i="2"/>
  <c r="C2750" i="2"/>
  <c r="B2750" i="2"/>
  <c r="A2750" i="2"/>
  <c r="AX2749" i="2"/>
  <c r="AV2749" i="2"/>
  <c r="AU2749" i="2"/>
  <c r="AT2749" i="2"/>
  <c r="AS2749" i="2"/>
  <c r="AR2749" i="2"/>
  <c r="AQ2749" i="2"/>
  <c r="AP2749" i="2"/>
  <c r="AO2749" i="2"/>
  <c r="AN2749" i="2"/>
  <c r="AM2749" i="2"/>
  <c r="AL2749" i="2"/>
  <c r="AK2749" i="2"/>
  <c r="AJ2749" i="2"/>
  <c r="AI2749" i="2"/>
  <c r="AH2749" i="2"/>
  <c r="AG2749" i="2"/>
  <c r="AE2749" i="2"/>
  <c r="AD2749" i="2"/>
  <c r="AA2749" i="2"/>
  <c r="Z2749" i="2"/>
  <c r="Y2749" i="2"/>
  <c r="X2749" i="2"/>
  <c r="W2749" i="2"/>
  <c r="V2749" i="2"/>
  <c r="U2749" i="2"/>
  <c r="T2749" i="2"/>
  <c r="S2749" i="2"/>
  <c r="R2749" i="2"/>
  <c r="Q2749" i="2"/>
  <c r="P2749" i="2"/>
  <c r="O2749" i="2"/>
  <c r="N2749" i="2"/>
  <c r="K2749" i="2"/>
  <c r="J2749" i="2"/>
  <c r="I2749" i="2"/>
  <c r="H2749" i="2"/>
  <c r="G2749" i="2"/>
  <c r="F2749" i="2"/>
  <c r="E2749" i="2"/>
  <c r="D2749" i="2"/>
  <c r="C2749" i="2"/>
  <c r="B2749" i="2"/>
  <c r="A2749" i="2"/>
  <c r="AX2748" i="2"/>
  <c r="AV2748" i="2"/>
  <c r="AU2748" i="2"/>
  <c r="AS2748" i="2"/>
  <c r="AR2748" i="2"/>
  <c r="AO2748" i="2"/>
  <c r="AM2748" i="2"/>
  <c r="AL2748" i="2"/>
  <c r="AK2748" i="2"/>
  <c r="AJ2748" i="2"/>
  <c r="AI2748" i="2"/>
  <c r="AH2748" i="2"/>
  <c r="AG2748" i="2"/>
  <c r="AE2748" i="2"/>
  <c r="AD2748" i="2"/>
  <c r="AC2748" i="2"/>
  <c r="AA2748" i="2"/>
  <c r="Z2748" i="2"/>
  <c r="Y2748" i="2"/>
  <c r="X2748" i="2"/>
  <c r="W2748" i="2"/>
  <c r="V2748" i="2"/>
  <c r="U2748" i="2"/>
  <c r="T2748" i="2"/>
  <c r="S2748" i="2"/>
  <c r="R2748" i="2"/>
  <c r="Q2748" i="2"/>
  <c r="P2748" i="2"/>
  <c r="O2748" i="2"/>
  <c r="N2748" i="2"/>
  <c r="M2748" i="2"/>
  <c r="L2748" i="2"/>
  <c r="K2748" i="2"/>
  <c r="J2748" i="2"/>
  <c r="I2748" i="2"/>
  <c r="H2748" i="2"/>
  <c r="G2748" i="2"/>
  <c r="F2748" i="2"/>
  <c r="E2748" i="2"/>
  <c r="D2748" i="2"/>
  <c r="C2748" i="2"/>
  <c r="B2748" i="2"/>
  <c r="A2748" i="2"/>
  <c r="AX2747" i="2"/>
  <c r="AV2747" i="2"/>
  <c r="AU2747" i="2"/>
  <c r="AS2747" i="2"/>
  <c r="AR2747" i="2"/>
  <c r="AQ2747" i="2"/>
  <c r="AO2747" i="2"/>
  <c r="AL2747" i="2"/>
  <c r="AK2747" i="2"/>
  <c r="AJ2747" i="2"/>
  <c r="AI2747" i="2"/>
  <c r="AH2747" i="2"/>
  <c r="AG2747" i="2"/>
  <c r="AD2747" i="2"/>
  <c r="AA2747" i="2"/>
  <c r="Z2747" i="2"/>
  <c r="Y2747" i="2"/>
  <c r="X2747" i="2"/>
  <c r="V2747" i="2"/>
  <c r="U2747" i="2"/>
  <c r="T2747" i="2"/>
  <c r="S2747" i="2"/>
  <c r="R2747" i="2"/>
  <c r="Q2747" i="2"/>
  <c r="P2747" i="2"/>
  <c r="O2747" i="2"/>
  <c r="N2747" i="2"/>
  <c r="K2747" i="2"/>
  <c r="J2747" i="2"/>
  <c r="I2747" i="2"/>
  <c r="H2747" i="2"/>
  <c r="G2747" i="2"/>
  <c r="F2747" i="2"/>
  <c r="E2747" i="2"/>
  <c r="D2747" i="2"/>
  <c r="C2747" i="2"/>
  <c r="B2747" i="2"/>
  <c r="A2747" i="2"/>
  <c r="AX2746" i="2"/>
  <c r="AV2746" i="2"/>
  <c r="AU2746" i="2"/>
  <c r="AS2746" i="2"/>
  <c r="AR2746" i="2"/>
  <c r="AQ2746" i="2"/>
  <c r="AO2746" i="2"/>
  <c r="AL2746" i="2"/>
  <c r="AK2746" i="2"/>
  <c r="AJ2746" i="2"/>
  <c r="AI2746" i="2"/>
  <c r="AH2746" i="2"/>
  <c r="AG2746" i="2"/>
  <c r="AE2746" i="2"/>
  <c r="AD2746" i="2"/>
  <c r="AA2746" i="2"/>
  <c r="Z2746" i="2"/>
  <c r="Y2746" i="2"/>
  <c r="X2746" i="2"/>
  <c r="V2746" i="2"/>
  <c r="U2746" i="2"/>
  <c r="T2746" i="2"/>
  <c r="S2746" i="2"/>
  <c r="R2746" i="2"/>
  <c r="Q2746" i="2"/>
  <c r="P2746" i="2"/>
  <c r="O2746" i="2"/>
  <c r="N2746" i="2"/>
  <c r="K2746" i="2"/>
  <c r="J2746" i="2"/>
  <c r="I2746" i="2"/>
  <c r="H2746" i="2"/>
  <c r="G2746" i="2"/>
  <c r="F2746" i="2"/>
  <c r="E2746" i="2"/>
  <c r="D2746" i="2"/>
  <c r="C2746" i="2"/>
  <c r="B2746" i="2"/>
  <c r="A2746" i="2"/>
  <c r="AX2745" i="2"/>
  <c r="AV2745" i="2"/>
  <c r="AU2745" i="2"/>
  <c r="AS2745" i="2"/>
  <c r="AR2745" i="2"/>
  <c r="AQ2745" i="2"/>
  <c r="AO2745" i="2"/>
  <c r="AM2745" i="2"/>
  <c r="AL2745" i="2"/>
  <c r="AK2745" i="2"/>
  <c r="AJ2745" i="2"/>
  <c r="AI2745" i="2"/>
  <c r="AH2745" i="2"/>
  <c r="AG2745" i="2"/>
  <c r="AE2745" i="2"/>
  <c r="AD2745" i="2"/>
  <c r="AC2745" i="2"/>
  <c r="AA2745" i="2"/>
  <c r="Z2745" i="2"/>
  <c r="Y2745" i="2"/>
  <c r="X2745" i="2"/>
  <c r="W2745" i="2"/>
  <c r="V2745" i="2"/>
  <c r="U2745" i="2"/>
  <c r="T2745" i="2"/>
  <c r="S2745" i="2"/>
  <c r="R2745" i="2"/>
  <c r="Q2745" i="2"/>
  <c r="P2745" i="2"/>
  <c r="O2745" i="2"/>
  <c r="N2745" i="2"/>
  <c r="K2745" i="2"/>
  <c r="J2745" i="2"/>
  <c r="I2745" i="2"/>
  <c r="H2745" i="2"/>
  <c r="G2745" i="2"/>
  <c r="F2745" i="2"/>
  <c r="E2745" i="2"/>
  <c r="D2745" i="2"/>
  <c r="C2745" i="2"/>
  <c r="B2745" i="2"/>
  <c r="A2745" i="2"/>
  <c r="AX2744" i="2"/>
  <c r="AV2744" i="2"/>
  <c r="AU2744" i="2"/>
  <c r="AS2744" i="2"/>
  <c r="AR2744" i="2"/>
  <c r="AQ2744" i="2"/>
  <c r="AO2744" i="2"/>
  <c r="AL2744" i="2"/>
  <c r="AK2744" i="2"/>
  <c r="AJ2744" i="2"/>
  <c r="AI2744" i="2"/>
  <c r="AH2744" i="2"/>
  <c r="AG2744" i="2"/>
  <c r="AE2744" i="2"/>
  <c r="AD2744" i="2"/>
  <c r="AA2744" i="2"/>
  <c r="Z2744" i="2"/>
  <c r="Y2744" i="2"/>
  <c r="X2744" i="2"/>
  <c r="W2744" i="2"/>
  <c r="V2744" i="2"/>
  <c r="U2744" i="2"/>
  <c r="T2744" i="2"/>
  <c r="S2744" i="2"/>
  <c r="R2744" i="2"/>
  <c r="Q2744" i="2"/>
  <c r="P2744" i="2"/>
  <c r="O2744" i="2"/>
  <c r="N2744" i="2"/>
  <c r="K2744" i="2"/>
  <c r="J2744" i="2"/>
  <c r="I2744" i="2"/>
  <c r="H2744" i="2"/>
  <c r="G2744" i="2"/>
  <c r="F2744" i="2"/>
  <c r="E2744" i="2"/>
  <c r="D2744" i="2"/>
  <c r="C2744" i="2"/>
  <c r="B2744" i="2"/>
  <c r="A2744" i="2"/>
  <c r="AX2743" i="2"/>
  <c r="AV2743" i="2"/>
  <c r="AU2743" i="2"/>
  <c r="AR2743" i="2"/>
  <c r="AQ2743" i="2"/>
  <c r="AO2743" i="2"/>
  <c r="AL2743" i="2"/>
  <c r="AK2743" i="2"/>
  <c r="AJ2743" i="2"/>
  <c r="AI2743" i="2"/>
  <c r="AH2743" i="2"/>
  <c r="AG2743" i="2"/>
  <c r="AE2743" i="2"/>
  <c r="AD2743" i="2"/>
  <c r="AA2743" i="2"/>
  <c r="Z2743" i="2"/>
  <c r="Y2743" i="2"/>
  <c r="X2743" i="2"/>
  <c r="V2743" i="2"/>
  <c r="U2743" i="2"/>
  <c r="T2743" i="2"/>
  <c r="S2743" i="2"/>
  <c r="R2743" i="2"/>
  <c r="Q2743" i="2"/>
  <c r="P2743" i="2"/>
  <c r="O2743" i="2"/>
  <c r="N2743" i="2"/>
  <c r="K2743" i="2"/>
  <c r="J2743" i="2"/>
  <c r="I2743" i="2"/>
  <c r="H2743" i="2"/>
  <c r="G2743" i="2"/>
  <c r="F2743" i="2"/>
  <c r="E2743" i="2"/>
  <c r="D2743" i="2"/>
  <c r="C2743" i="2"/>
  <c r="B2743" i="2"/>
  <c r="A2743" i="2"/>
  <c r="AX2742" i="2"/>
  <c r="AV2742" i="2"/>
  <c r="AU2742" i="2"/>
  <c r="AS2742" i="2"/>
  <c r="AR2742" i="2"/>
  <c r="AQ2742" i="2"/>
  <c r="AO2742" i="2"/>
  <c r="AL2742" i="2"/>
  <c r="AK2742" i="2"/>
  <c r="AJ2742" i="2"/>
  <c r="AI2742" i="2"/>
  <c r="AH2742" i="2"/>
  <c r="AG2742" i="2"/>
  <c r="AE2742" i="2"/>
  <c r="AD2742" i="2"/>
  <c r="AA2742" i="2"/>
  <c r="Z2742" i="2"/>
  <c r="Y2742" i="2"/>
  <c r="V2742" i="2"/>
  <c r="U2742" i="2"/>
  <c r="T2742" i="2"/>
  <c r="S2742" i="2"/>
  <c r="R2742" i="2"/>
  <c r="Q2742" i="2"/>
  <c r="P2742" i="2"/>
  <c r="O2742" i="2"/>
  <c r="N2742" i="2"/>
  <c r="M2742" i="2"/>
  <c r="L2742" i="2"/>
  <c r="K2742" i="2"/>
  <c r="J2742" i="2"/>
  <c r="I2742" i="2"/>
  <c r="H2742" i="2"/>
  <c r="G2742" i="2"/>
  <c r="F2742" i="2"/>
  <c r="E2742" i="2"/>
  <c r="D2742" i="2"/>
  <c r="C2742" i="2"/>
  <c r="B2742" i="2"/>
  <c r="A2742" i="2"/>
  <c r="AX2741" i="2"/>
  <c r="AV2741" i="2"/>
  <c r="AU2741" i="2"/>
  <c r="AR2741" i="2"/>
  <c r="AQ2741" i="2"/>
  <c r="AO2741" i="2"/>
  <c r="AL2741" i="2"/>
  <c r="AK2741" i="2"/>
  <c r="AJ2741" i="2"/>
  <c r="AI2741" i="2"/>
  <c r="AH2741" i="2"/>
  <c r="AG2741" i="2"/>
  <c r="AE2741" i="2"/>
  <c r="AD2741" i="2"/>
  <c r="AA2741" i="2"/>
  <c r="Z2741" i="2"/>
  <c r="Y2741" i="2"/>
  <c r="X2741" i="2"/>
  <c r="W2741" i="2"/>
  <c r="V2741" i="2"/>
  <c r="U2741" i="2"/>
  <c r="T2741" i="2"/>
  <c r="S2741" i="2"/>
  <c r="R2741" i="2"/>
  <c r="Q2741" i="2"/>
  <c r="P2741" i="2"/>
  <c r="O2741" i="2"/>
  <c r="N2741" i="2"/>
  <c r="K2741" i="2"/>
  <c r="J2741" i="2"/>
  <c r="I2741" i="2"/>
  <c r="H2741" i="2"/>
  <c r="G2741" i="2"/>
  <c r="F2741" i="2"/>
  <c r="E2741" i="2"/>
  <c r="D2741" i="2"/>
  <c r="C2741" i="2"/>
  <c r="B2741" i="2"/>
  <c r="A2741" i="2"/>
  <c r="AX2740" i="2"/>
  <c r="AV2740" i="2"/>
  <c r="AU2740" i="2"/>
  <c r="AS2740" i="2"/>
  <c r="AR2740" i="2"/>
  <c r="AQ2740" i="2"/>
  <c r="AO2740" i="2"/>
  <c r="AL2740" i="2"/>
  <c r="AK2740" i="2"/>
  <c r="AJ2740" i="2"/>
  <c r="AI2740" i="2"/>
  <c r="AH2740" i="2"/>
  <c r="AG2740" i="2"/>
  <c r="AE2740" i="2"/>
  <c r="AD2740" i="2"/>
  <c r="AA2740" i="2"/>
  <c r="Z2740" i="2"/>
  <c r="Y2740" i="2"/>
  <c r="X2740" i="2"/>
  <c r="V2740" i="2"/>
  <c r="U2740" i="2"/>
  <c r="T2740" i="2"/>
  <c r="S2740" i="2"/>
  <c r="R2740" i="2"/>
  <c r="Q2740" i="2"/>
  <c r="P2740" i="2"/>
  <c r="O2740" i="2"/>
  <c r="N2740" i="2"/>
  <c r="K2740" i="2"/>
  <c r="J2740" i="2"/>
  <c r="I2740" i="2"/>
  <c r="H2740" i="2"/>
  <c r="G2740" i="2"/>
  <c r="F2740" i="2"/>
  <c r="E2740" i="2"/>
  <c r="D2740" i="2"/>
  <c r="C2740" i="2"/>
  <c r="B2740" i="2"/>
  <c r="A2740" i="2"/>
  <c r="AX2739" i="2"/>
  <c r="AW2739" i="2"/>
  <c r="AV2739" i="2"/>
  <c r="AU2739" i="2"/>
  <c r="AT2739" i="2"/>
  <c r="AS2739" i="2"/>
  <c r="AO2739" i="2"/>
  <c r="AN2739" i="2"/>
  <c r="AM2739" i="2"/>
  <c r="AL2739" i="2"/>
  <c r="AK2739" i="2"/>
  <c r="AI2739" i="2"/>
  <c r="AH2739" i="2"/>
  <c r="AG2739" i="2"/>
  <c r="AE2739" i="2"/>
  <c r="AD2739" i="2"/>
  <c r="AC2739" i="2"/>
  <c r="AB2739" i="2"/>
  <c r="AA2739" i="2"/>
  <c r="Z2739" i="2"/>
  <c r="Y2739" i="2"/>
  <c r="X2739" i="2"/>
  <c r="V2739" i="2"/>
  <c r="U2739" i="2"/>
  <c r="T2739" i="2"/>
  <c r="S2739" i="2"/>
  <c r="R2739" i="2"/>
  <c r="Q2739" i="2"/>
  <c r="P2739" i="2"/>
  <c r="O2739" i="2"/>
  <c r="N2739" i="2"/>
  <c r="K2739" i="2"/>
  <c r="J2739" i="2"/>
  <c r="I2739" i="2"/>
  <c r="H2739" i="2"/>
  <c r="G2739" i="2"/>
  <c r="F2739" i="2"/>
  <c r="E2739" i="2"/>
  <c r="D2739" i="2"/>
  <c r="C2739" i="2"/>
  <c r="B2739" i="2"/>
  <c r="A2739" i="2"/>
  <c r="AX2738" i="2"/>
  <c r="AV2738" i="2"/>
  <c r="AU2738" i="2"/>
  <c r="AS2738" i="2"/>
  <c r="AR2738" i="2"/>
  <c r="AQ2738" i="2"/>
  <c r="AO2738" i="2"/>
  <c r="AL2738" i="2"/>
  <c r="AK2738" i="2"/>
  <c r="AJ2738" i="2"/>
  <c r="AI2738" i="2"/>
  <c r="AH2738" i="2"/>
  <c r="AG2738" i="2"/>
  <c r="AE2738" i="2"/>
  <c r="AD2738" i="2"/>
  <c r="AA2738" i="2"/>
  <c r="Z2738" i="2"/>
  <c r="Y2738" i="2"/>
  <c r="X2738" i="2"/>
  <c r="V2738" i="2"/>
  <c r="U2738" i="2"/>
  <c r="T2738" i="2"/>
  <c r="S2738" i="2"/>
  <c r="R2738" i="2"/>
  <c r="Q2738" i="2"/>
  <c r="P2738" i="2"/>
  <c r="O2738" i="2"/>
  <c r="N2738" i="2"/>
  <c r="K2738" i="2"/>
  <c r="J2738" i="2"/>
  <c r="I2738" i="2"/>
  <c r="H2738" i="2"/>
  <c r="G2738" i="2"/>
  <c r="F2738" i="2"/>
  <c r="E2738" i="2"/>
  <c r="D2738" i="2"/>
  <c r="C2738" i="2"/>
  <c r="B2738" i="2"/>
  <c r="A2738" i="2"/>
  <c r="AX2737" i="2"/>
  <c r="AV2737" i="2"/>
  <c r="AU2737" i="2"/>
  <c r="AO2737" i="2"/>
  <c r="AN2737" i="2"/>
  <c r="AM2737" i="2"/>
  <c r="AL2737" i="2"/>
  <c r="AK2737" i="2"/>
  <c r="AJ2737" i="2"/>
  <c r="AI2737" i="2"/>
  <c r="AH2737" i="2"/>
  <c r="AG2737" i="2"/>
  <c r="AD2737" i="2"/>
  <c r="AC2737" i="2"/>
  <c r="AB2737" i="2"/>
  <c r="Z2737" i="2"/>
  <c r="Y2737" i="2"/>
  <c r="X2737" i="2"/>
  <c r="W2737" i="2"/>
  <c r="V2737" i="2"/>
  <c r="U2737" i="2"/>
  <c r="T2737" i="2"/>
  <c r="S2737" i="2"/>
  <c r="R2737" i="2"/>
  <c r="Q2737" i="2"/>
  <c r="P2737" i="2"/>
  <c r="O2737" i="2"/>
  <c r="N2737" i="2"/>
  <c r="M2737" i="2"/>
  <c r="K2737" i="2"/>
  <c r="J2737" i="2"/>
  <c r="I2737" i="2"/>
  <c r="H2737" i="2"/>
  <c r="G2737" i="2"/>
  <c r="F2737" i="2"/>
  <c r="E2737" i="2"/>
  <c r="D2737" i="2"/>
  <c r="C2737" i="2"/>
  <c r="B2737" i="2"/>
  <c r="A2737" i="2"/>
  <c r="AX2736" i="2"/>
  <c r="AV2736" i="2"/>
  <c r="AU2736" i="2"/>
  <c r="AS2736" i="2"/>
  <c r="AR2736" i="2"/>
  <c r="AQ2736" i="2"/>
  <c r="AO2736" i="2"/>
  <c r="AL2736" i="2"/>
  <c r="AK2736" i="2"/>
  <c r="AJ2736" i="2"/>
  <c r="AI2736" i="2"/>
  <c r="AH2736" i="2"/>
  <c r="AG2736" i="2"/>
  <c r="AE2736" i="2"/>
  <c r="AD2736" i="2"/>
  <c r="AA2736" i="2"/>
  <c r="Z2736" i="2"/>
  <c r="Y2736" i="2"/>
  <c r="X2736" i="2"/>
  <c r="W2736" i="2"/>
  <c r="V2736" i="2"/>
  <c r="U2736" i="2"/>
  <c r="T2736" i="2"/>
  <c r="S2736" i="2"/>
  <c r="R2736" i="2"/>
  <c r="Q2736" i="2"/>
  <c r="P2736" i="2"/>
  <c r="O2736" i="2"/>
  <c r="N2736" i="2"/>
  <c r="K2736" i="2"/>
  <c r="J2736" i="2"/>
  <c r="I2736" i="2"/>
  <c r="H2736" i="2"/>
  <c r="G2736" i="2"/>
  <c r="F2736" i="2"/>
  <c r="E2736" i="2"/>
  <c r="D2736" i="2"/>
  <c r="C2736" i="2"/>
  <c r="B2736" i="2"/>
  <c r="A2736" i="2"/>
  <c r="AX2735" i="2"/>
  <c r="AV2735" i="2"/>
  <c r="AU2735" i="2"/>
  <c r="AS2735" i="2"/>
  <c r="AR2735" i="2"/>
  <c r="AQ2735" i="2"/>
  <c r="AO2735" i="2"/>
  <c r="AL2735" i="2"/>
  <c r="AK2735" i="2"/>
  <c r="AJ2735" i="2"/>
  <c r="AI2735" i="2"/>
  <c r="AH2735" i="2"/>
  <c r="AG2735" i="2"/>
  <c r="AF2735" i="2"/>
  <c r="AE2735" i="2"/>
  <c r="AD2735" i="2"/>
  <c r="AA2735" i="2"/>
  <c r="Z2735" i="2"/>
  <c r="Y2735" i="2"/>
  <c r="X2735" i="2"/>
  <c r="W2735" i="2"/>
  <c r="V2735" i="2"/>
  <c r="U2735" i="2"/>
  <c r="T2735" i="2"/>
  <c r="S2735" i="2"/>
  <c r="R2735" i="2"/>
  <c r="Q2735" i="2"/>
  <c r="P2735" i="2"/>
  <c r="O2735" i="2"/>
  <c r="N2735" i="2"/>
  <c r="K2735" i="2"/>
  <c r="J2735" i="2"/>
  <c r="I2735" i="2"/>
  <c r="H2735" i="2"/>
  <c r="G2735" i="2"/>
  <c r="F2735" i="2"/>
  <c r="E2735" i="2"/>
  <c r="D2735" i="2"/>
  <c r="C2735" i="2"/>
  <c r="B2735" i="2"/>
  <c r="A2735" i="2"/>
  <c r="AX2734" i="2"/>
  <c r="AV2734" i="2"/>
  <c r="AU2734" i="2"/>
  <c r="AS2734" i="2"/>
  <c r="AR2734" i="2"/>
  <c r="AQ2734" i="2"/>
  <c r="AO2734" i="2"/>
  <c r="AL2734" i="2"/>
  <c r="AK2734" i="2"/>
  <c r="AJ2734" i="2"/>
  <c r="AI2734" i="2"/>
  <c r="AH2734" i="2"/>
  <c r="AG2734" i="2"/>
  <c r="AE2734" i="2"/>
  <c r="AD2734" i="2"/>
  <c r="AA2734" i="2"/>
  <c r="Z2734" i="2"/>
  <c r="Y2734" i="2"/>
  <c r="U2734" i="2"/>
  <c r="T2734" i="2"/>
  <c r="S2734" i="2"/>
  <c r="R2734" i="2"/>
  <c r="Q2734" i="2"/>
  <c r="P2734" i="2"/>
  <c r="O2734" i="2"/>
  <c r="N2734" i="2"/>
  <c r="K2734" i="2"/>
  <c r="J2734" i="2"/>
  <c r="I2734" i="2"/>
  <c r="H2734" i="2"/>
  <c r="G2734" i="2"/>
  <c r="F2734" i="2"/>
  <c r="E2734" i="2"/>
  <c r="D2734" i="2"/>
  <c r="C2734" i="2"/>
  <c r="B2734" i="2"/>
  <c r="A2734" i="2"/>
  <c r="AX2733" i="2"/>
  <c r="AV2733" i="2"/>
  <c r="AU2733" i="2"/>
  <c r="AR2733" i="2"/>
  <c r="AQ2733" i="2"/>
  <c r="AO2733" i="2"/>
  <c r="AL2733" i="2"/>
  <c r="AK2733" i="2"/>
  <c r="AJ2733" i="2"/>
  <c r="AI2733" i="2"/>
  <c r="AH2733" i="2"/>
  <c r="AG2733" i="2"/>
  <c r="AF2733" i="2"/>
  <c r="AE2733" i="2"/>
  <c r="AD2733" i="2"/>
  <c r="AA2733" i="2"/>
  <c r="Z2733" i="2"/>
  <c r="Y2733" i="2"/>
  <c r="X2733" i="2"/>
  <c r="U2733" i="2"/>
  <c r="T2733" i="2"/>
  <c r="S2733" i="2"/>
  <c r="R2733" i="2"/>
  <c r="Q2733" i="2"/>
  <c r="P2733" i="2"/>
  <c r="O2733" i="2"/>
  <c r="N2733" i="2"/>
  <c r="K2733" i="2"/>
  <c r="J2733" i="2"/>
  <c r="I2733" i="2"/>
  <c r="H2733" i="2"/>
  <c r="G2733" i="2"/>
  <c r="F2733" i="2"/>
  <c r="E2733" i="2"/>
  <c r="D2733" i="2"/>
  <c r="C2733" i="2"/>
  <c r="B2733" i="2"/>
  <c r="A2733" i="2"/>
  <c r="AX2732" i="2"/>
  <c r="AV2732" i="2"/>
  <c r="AU2732" i="2"/>
  <c r="AS2732" i="2"/>
  <c r="AR2732" i="2"/>
  <c r="AQ2732" i="2"/>
  <c r="AO2732" i="2"/>
  <c r="AL2732" i="2"/>
  <c r="AK2732" i="2"/>
  <c r="AJ2732" i="2"/>
  <c r="AI2732" i="2"/>
  <c r="AH2732" i="2"/>
  <c r="AG2732" i="2"/>
  <c r="AE2732" i="2"/>
  <c r="AD2732" i="2"/>
  <c r="AA2732" i="2"/>
  <c r="Z2732" i="2"/>
  <c r="Y2732" i="2"/>
  <c r="W2732" i="2"/>
  <c r="V2732" i="2"/>
  <c r="U2732" i="2"/>
  <c r="T2732" i="2"/>
  <c r="S2732" i="2"/>
  <c r="R2732" i="2"/>
  <c r="Q2732" i="2"/>
  <c r="P2732" i="2"/>
  <c r="O2732" i="2"/>
  <c r="N2732" i="2"/>
  <c r="K2732" i="2"/>
  <c r="J2732" i="2"/>
  <c r="I2732" i="2"/>
  <c r="H2732" i="2"/>
  <c r="G2732" i="2"/>
  <c r="F2732" i="2"/>
  <c r="E2732" i="2"/>
  <c r="D2732" i="2"/>
  <c r="C2732" i="2"/>
  <c r="B2732" i="2"/>
  <c r="A2732" i="2"/>
  <c r="AX2731" i="2"/>
  <c r="AV2731" i="2"/>
  <c r="AU2731" i="2"/>
  <c r="AS2731" i="2"/>
  <c r="AR2731" i="2"/>
  <c r="AQ2731" i="2"/>
  <c r="AO2731" i="2"/>
  <c r="AL2731" i="2"/>
  <c r="AK2731" i="2"/>
  <c r="AJ2731" i="2"/>
  <c r="AI2731" i="2"/>
  <c r="AH2731" i="2"/>
  <c r="AG2731" i="2"/>
  <c r="AE2731" i="2"/>
  <c r="AD2731" i="2"/>
  <c r="AA2731" i="2"/>
  <c r="Z2731" i="2"/>
  <c r="Y2731" i="2"/>
  <c r="X2731" i="2"/>
  <c r="W2731" i="2"/>
  <c r="V2731" i="2"/>
  <c r="U2731" i="2"/>
  <c r="T2731" i="2"/>
  <c r="S2731" i="2"/>
  <c r="R2731" i="2"/>
  <c r="Q2731" i="2"/>
  <c r="P2731" i="2"/>
  <c r="O2731" i="2"/>
  <c r="N2731" i="2"/>
  <c r="K2731" i="2"/>
  <c r="J2731" i="2"/>
  <c r="I2731" i="2"/>
  <c r="H2731" i="2"/>
  <c r="G2731" i="2"/>
  <c r="F2731" i="2"/>
  <c r="E2731" i="2"/>
  <c r="D2731" i="2"/>
  <c r="C2731" i="2"/>
  <c r="B2731" i="2"/>
  <c r="A2731" i="2"/>
  <c r="AX2730" i="2"/>
  <c r="AV2730" i="2"/>
  <c r="AU2730" i="2"/>
  <c r="AS2730" i="2"/>
  <c r="AR2730" i="2"/>
  <c r="AQ2730" i="2"/>
  <c r="AO2730" i="2"/>
  <c r="AK2730" i="2"/>
  <c r="AJ2730" i="2"/>
  <c r="AI2730" i="2"/>
  <c r="AH2730" i="2"/>
  <c r="AG2730" i="2"/>
  <c r="AE2730" i="2"/>
  <c r="AA2730" i="2"/>
  <c r="Z2730" i="2"/>
  <c r="Y2730" i="2"/>
  <c r="X2730" i="2"/>
  <c r="V2730" i="2"/>
  <c r="U2730" i="2"/>
  <c r="T2730" i="2"/>
  <c r="S2730" i="2"/>
  <c r="R2730" i="2"/>
  <c r="Q2730" i="2"/>
  <c r="P2730" i="2"/>
  <c r="O2730" i="2"/>
  <c r="N2730" i="2"/>
  <c r="K2730" i="2"/>
  <c r="J2730" i="2"/>
  <c r="I2730" i="2"/>
  <c r="H2730" i="2"/>
  <c r="G2730" i="2"/>
  <c r="F2730" i="2"/>
  <c r="E2730" i="2"/>
  <c r="D2730" i="2"/>
  <c r="C2730" i="2"/>
  <c r="B2730" i="2"/>
  <c r="A2730" i="2"/>
  <c r="AX2729" i="2"/>
  <c r="AV2729" i="2"/>
  <c r="AU2729" i="2"/>
  <c r="AS2729" i="2"/>
  <c r="AR2729" i="2"/>
  <c r="AQ2729" i="2"/>
  <c r="AO2729" i="2"/>
  <c r="AL2729" i="2"/>
  <c r="AK2729" i="2"/>
  <c r="AJ2729" i="2"/>
  <c r="AI2729" i="2"/>
  <c r="AH2729" i="2"/>
  <c r="AG2729" i="2"/>
  <c r="AE2729" i="2"/>
  <c r="AD2729" i="2"/>
  <c r="AA2729" i="2"/>
  <c r="Z2729" i="2"/>
  <c r="Y2729" i="2"/>
  <c r="X2729" i="2"/>
  <c r="W2729" i="2"/>
  <c r="V2729" i="2"/>
  <c r="U2729" i="2"/>
  <c r="T2729" i="2"/>
  <c r="S2729" i="2"/>
  <c r="R2729" i="2"/>
  <c r="Q2729" i="2"/>
  <c r="P2729" i="2"/>
  <c r="O2729" i="2"/>
  <c r="N2729" i="2"/>
  <c r="K2729" i="2"/>
  <c r="J2729" i="2"/>
  <c r="I2729" i="2"/>
  <c r="H2729" i="2"/>
  <c r="G2729" i="2"/>
  <c r="F2729" i="2"/>
  <c r="E2729" i="2"/>
  <c r="D2729" i="2"/>
  <c r="C2729" i="2"/>
  <c r="B2729" i="2"/>
  <c r="A2729" i="2"/>
  <c r="AX2728" i="2"/>
  <c r="AV2728" i="2"/>
  <c r="AU2728" i="2"/>
  <c r="AS2728" i="2"/>
  <c r="AR2728" i="2"/>
  <c r="AQ2728" i="2"/>
  <c r="AP2728" i="2"/>
  <c r="AO2728" i="2"/>
  <c r="AL2728" i="2"/>
  <c r="AK2728" i="2"/>
  <c r="AJ2728" i="2"/>
  <c r="AI2728" i="2"/>
  <c r="AH2728" i="2"/>
  <c r="AG2728" i="2"/>
  <c r="AF2728" i="2"/>
  <c r="AE2728" i="2"/>
  <c r="AD2728" i="2"/>
  <c r="AA2728" i="2"/>
  <c r="Z2728" i="2"/>
  <c r="Y2728" i="2"/>
  <c r="X2728" i="2"/>
  <c r="W2728" i="2"/>
  <c r="V2728" i="2"/>
  <c r="U2728" i="2"/>
  <c r="T2728" i="2"/>
  <c r="S2728" i="2"/>
  <c r="R2728" i="2"/>
  <c r="Q2728" i="2"/>
  <c r="P2728" i="2"/>
  <c r="O2728" i="2"/>
  <c r="N2728" i="2"/>
  <c r="K2728" i="2"/>
  <c r="J2728" i="2"/>
  <c r="I2728" i="2"/>
  <c r="H2728" i="2"/>
  <c r="G2728" i="2"/>
  <c r="F2728" i="2"/>
  <c r="E2728" i="2"/>
  <c r="D2728" i="2"/>
  <c r="C2728" i="2"/>
  <c r="B2728" i="2"/>
  <c r="A2728" i="2"/>
  <c r="AX2727" i="2"/>
  <c r="AV2727" i="2"/>
  <c r="AU2727" i="2"/>
  <c r="AS2727" i="2"/>
  <c r="AQ2727" i="2"/>
  <c r="AO2727" i="2"/>
  <c r="AN2727" i="2"/>
  <c r="AM2727" i="2"/>
  <c r="AL2727" i="2"/>
  <c r="AK2727" i="2"/>
  <c r="AI2727" i="2"/>
  <c r="AH2727" i="2"/>
  <c r="AG2727" i="2"/>
  <c r="AE2727" i="2"/>
  <c r="AD2727" i="2"/>
  <c r="AA2727" i="2"/>
  <c r="Z2727" i="2"/>
  <c r="Y2727" i="2"/>
  <c r="X2727" i="2"/>
  <c r="W2727" i="2"/>
  <c r="V2727" i="2"/>
  <c r="U2727" i="2"/>
  <c r="T2727" i="2"/>
  <c r="S2727" i="2"/>
  <c r="R2727" i="2"/>
  <c r="Q2727" i="2"/>
  <c r="P2727" i="2"/>
  <c r="O2727" i="2"/>
  <c r="N2727" i="2"/>
  <c r="M2727" i="2"/>
  <c r="L2727" i="2"/>
  <c r="K2727" i="2"/>
  <c r="J2727" i="2"/>
  <c r="I2727" i="2"/>
  <c r="H2727" i="2"/>
  <c r="G2727" i="2"/>
  <c r="F2727" i="2"/>
  <c r="E2727" i="2"/>
  <c r="D2727" i="2"/>
  <c r="C2727" i="2"/>
  <c r="B2727" i="2"/>
  <c r="A2727" i="2"/>
  <c r="AX2726" i="2"/>
  <c r="AV2726" i="2"/>
  <c r="AU2726" i="2"/>
  <c r="AS2726" i="2"/>
  <c r="AR2726" i="2"/>
  <c r="AQ2726" i="2"/>
  <c r="AP2726" i="2"/>
  <c r="AO2726" i="2"/>
  <c r="AL2726" i="2"/>
  <c r="AK2726" i="2"/>
  <c r="AJ2726" i="2"/>
  <c r="AI2726" i="2"/>
  <c r="AH2726" i="2"/>
  <c r="AG2726" i="2"/>
  <c r="AF2726" i="2"/>
  <c r="AE2726" i="2"/>
  <c r="AD2726" i="2"/>
  <c r="AA2726" i="2"/>
  <c r="Z2726" i="2"/>
  <c r="Y2726" i="2"/>
  <c r="X2726" i="2"/>
  <c r="W2726" i="2"/>
  <c r="V2726" i="2"/>
  <c r="U2726" i="2"/>
  <c r="T2726" i="2"/>
  <c r="S2726" i="2"/>
  <c r="R2726" i="2"/>
  <c r="Q2726" i="2"/>
  <c r="P2726" i="2"/>
  <c r="O2726" i="2"/>
  <c r="N2726" i="2"/>
  <c r="K2726" i="2"/>
  <c r="J2726" i="2"/>
  <c r="I2726" i="2"/>
  <c r="H2726" i="2"/>
  <c r="G2726" i="2"/>
  <c r="F2726" i="2"/>
  <c r="E2726" i="2"/>
  <c r="D2726" i="2"/>
  <c r="C2726" i="2"/>
  <c r="B2726" i="2"/>
  <c r="A2726" i="2"/>
  <c r="AX2725" i="2"/>
  <c r="AV2725" i="2"/>
  <c r="AU2725" i="2"/>
  <c r="AS2725" i="2"/>
  <c r="AR2725" i="2"/>
  <c r="AQ2725" i="2"/>
  <c r="AP2725" i="2"/>
  <c r="AO2725" i="2"/>
  <c r="AM2725" i="2"/>
  <c r="AK2725" i="2"/>
  <c r="AJ2725" i="2"/>
  <c r="AI2725" i="2"/>
  <c r="AH2725" i="2"/>
  <c r="AG2725" i="2"/>
  <c r="AE2725" i="2"/>
  <c r="AA2725" i="2"/>
  <c r="Z2725" i="2"/>
  <c r="Y2725" i="2"/>
  <c r="X2725" i="2"/>
  <c r="V2725" i="2"/>
  <c r="U2725" i="2"/>
  <c r="T2725" i="2"/>
  <c r="S2725" i="2"/>
  <c r="R2725" i="2"/>
  <c r="Q2725" i="2"/>
  <c r="P2725" i="2"/>
  <c r="O2725" i="2"/>
  <c r="N2725" i="2"/>
  <c r="K2725" i="2"/>
  <c r="J2725" i="2"/>
  <c r="I2725" i="2"/>
  <c r="H2725" i="2"/>
  <c r="G2725" i="2"/>
  <c r="F2725" i="2"/>
  <c r="E2725" i="2"/>
  <c r="D2725" i="2"/>
  <c r="C2725" i="2"/>
  <c r="B2725" i="2"/>
  <c r="A2725" i="2"/>
  <c r="AX2724" i="2"/>
  <c r="AV2724" i="2"/>
  <c r="AU2724" i="2"/>
  <c r="AS2724" i="2"/>
  <c r="AR2724" i="2"/>
  <c r="AQ2724" i="2"/>
  <c r="AO2724" i="2"/>
  <c r="AK2724" i="2"/>
  <c r="AJ2724" i="2"/>
  <c r="AI2724" i="2"/>
  <c r="AH2724" i="2"/>
  <c r="AG2724" i="2"/>
  <c r="AF2724" i="2"/>
  <c r="AE2724" i="2"/>
  <c r="AD2724" i="2"/>
  <c r="AA2724" i="2"/>
  <c r="Z2724" i="2"/>
  <c r="Y2724" i="2"/>
  <c r="X2724" i="2"/>
  <c r="W2724" i="2"/>
  <c r="V2724" i="2"/>
  <c r="U2724" i="2"/>
  <c r="T2724" i="2"/>
  <c r="S2724" i="2"/>
  <c r="R2724" i="2"/>
  <c r="Q2724" i="2"/>
  <c r="P2724" i="2"/>
  <c r="O2724" i="2"/>
  <c r="N2724" i="2"/>
  <c r="K2724" i="2"/>
  <c r="J2724" i="2"/>
  <c r="I2724" i="2"/>
  <c r="H2724" i="2"/>
  <c r="G2724" i="2"/>
  <c r="F2724" i="2"/>
  <c r="E2724" i="2"/>
  <c r="D2724" i="2"/>
  <c r="C2724" i="2"/>
  <c r="B2724" i="2"/>
  <c r="A2724" i="2"/>
  <c r="AX2723" i="2"/>
  <c r="AV2723" i="2"/>
  <c r="AU2723" i="2"/>
  <c r="AS2723" i="2"/>
  <c r="AR2723" i="2"/>
  <c r="AQ2723" i="2"/>
  <c r="AP2723" i="2"/>
  <c r="AO2723" i="2"/>
  <c r="AN2723" i="2"/>
  <c r="AM2723" i="2"/>
  <c r="AL2723" i="2"/>
  <c r="AK2723" i="2"/>
  <c r="AJ2723" i="2"/>
  <c r="AI2723" i="2"/>
  <c r="AH2723" i="2"/>
  <c r="AG2723" i="2"/>
  <c r="AE2723" i="2"/>
  <c r="AD2723" i="2"/>
  <c r="AA2723" i="2"/>
  <c r="Z2723" i="2"/>
  <c r="Y2723" i="2"/>
  <c r="X2723" i="2"/>
  <c r="W2723" i="2"/>
  <c r="V2723" i="2"/>
  <c r="U2723" i="2"/>
  <c r="T2723" i="2"/>
  <c r="S2723" i="2"/>
  <c r="R2723" i="2"/>
  <c r="Q2723" i="2"/>
  <c r="P2723" i="2"/>
  <c r="O2723" i="2"/>
  <c r="N2723" i="2"/>
  <c r="M2723" i="2"/>
  <c r="K2723" i="2"/>
  <c r="J2723" i="2"/>
  <c r="I2723" i="2"/>
  <c r="H2723" i="2"/>
  <c r="G2723" i="2"/>
  <c r="F2723" i="2"/>
  <c r="E2723" i="2"/>
  <c r="D2723" i="2"/>
  <c r="C2723" i="2"/>
  <c r="B2723" i="2"/>
  <c r="A2723" i="2"/>
  <c r="AX2722" i="2"/>
  <c r="AV2722" i="2"/>
  <c r="AU2722" i="2"/>
  <c r="AS2722" i="2"/>
  <c r="AR2722" i="2"/>
  <c r="AQ2722" i="2"/>
  <c r="AO2722" i="2"/>
  <c r="AL2722" i="2"/>
  <c r="AK2722" i="2"/>
  <c r="AJ2722" i="2"/>
  <c r="AI2722" i="2"/>
  <c r="AH2722" i="2"/>
  <c r="AG2722" i="2"/>
  <c r="AE2722" i="2"/>
  <c r="AD2722" i="2"/>
  <c r="AA2722" i="2"/>
  <c r="Z2722" i="2"/>
  <c r="Y2722" i="2"/>
  <c r="X2722" i="2"/>
  <c r="V2722" i="2"/>
  <c r="U2722" i="2"/>
  <c r="T2722" i="2"/>
  <c r="S2722" i="2"/>
  <c r="R2722" i="2"/>
  <c r="Q2722" i="2"/>
  <c r="P2722" i="2"/>
  <c r="O2722" i="2"/>
  <c r="N2722" i="2"/>
  <c r="K2722" i="2"/>
  <c r="J2722" i="2"/>
  <c r="I2722" i="2"/>
  <c r="H2722" i="2"/>
  <c r="G2722" i="2"/>
  <c r="F2722" i="2"/>
  <c r="E2722" i="2"/>
  <c r="D2722" i="2"/>
  <c r="C2722" i="2"/>
  <c r="B2722" i="2"/>
  <c r="A2722" i="2"/>
  <c r="AX2721" i="2"/>
  <c r="AV2721" i="2"/>
  <c r="AU2721" i="2"/>
  <c r="AO2721" i="2"/>
  <c r="AM2721" i="2"/>
  <c r="AK2721" i="2"/>
  <c r="AJ2721" i="2"/>
  <c r="AI2721" i="2"/>
  <c r="AH2721" i="2"/>
  <c r="AG2721" i="2"/>
  <c r="AE2721" i="2"/>
  <c r="AD2721" i="2"/>
  <c r="AA2721" i="2"/>
  <c r="Z2721" i="2"/>
  <c r="Y2721" i="2"/>
  <c r="X2721" i="2"/>
  <c r="W2721" i="2"/>
  <c r="V2721" i="2"/>
  <c r="U2721" i="2"/>
  <c r="T2721" i="2"/>
  <c r="S2721" i="2"/>
  <c r="R2721" i="2"/>
  <c r="Q2721" i="2"/>
  <c r="P2721" i="2"/>
  <c r="O2721" i="2"/>
  <c r="N2721" i="2"/>
  <c r="M2721" i="2"/>
  <c r="L2721" i="2"/>
  <c r="K2721" i="2"/>
  <c r="J2721" i="2"/>
  <c r="I2721" i="2"/>
  <c r="H2721" i="2"/>
  <c r="G2721" i="2"/>
  <c r="F2721" i="2"/>
  <c r="E2721" i="2"/>
  <c r="D2721" i="2"/>
  <c r="C2721" i="2"/>
  <c r="B2721" i="2"/>
  <c r="A2721" i="2"/>
  <c r="AX2720" i="2"/>
  <c r="AV2720" i="2"/>
  <c r="AU2720" i="2"/>
  <c r="AS2720" i="2"/>
  <c r="AR2720" i="2"/>
  <c r="AQ2720" i="2"/>
  <c r="AO2720" i="2"/>
  <c r="AL2720" i="2"/>
  <c r="AK2720" i="2"/>
  <c r="AJ2720" i="2"/>
  <c r="AI2720" i="2"/>
  <c r="AH2720" i="2"/>
  <c r="AG2720" i="2"/>
  <c r="AE2720" i="2"/>
  <c r="AD2720" i="2"/>
  <c r="AA2720" i="2"/>
  <c r="Z2720" i="2"/>
  <c r="Y2720" i="2"/>
  <c r="X2720" i="2"/>
  <c r="W2720" i="2"/>
  <c r="V2720" i="2"/>
  <c r="U2720" i="2"/>
  <c r="T2720" i="2"/>
  <c r="S2720" i="2"/>
  <c r="R2720" i="2"/>
  <c r="Q2720" i="2"/>
  <c r="P2720" i="2"/>
  <c r="O2720" i="2"/>
  <c r="N2720" i="2"/>
  <c r="K2720" i="2"/>
  <c r="J2720" i="2"/>
  <c r="I2720" i="2"/>
  <c r="H2720" i="2"/>
  <c r="G2720" i="2"/>
  <c r="F2720" i="2"/>
  <c r="E2720" i="2"/>
  <c r="D2720" i="2"/>
  <c r="C2720" i="2"/>
  <c r="B2720" i="2"/>
  <c r="A2720" i="2"/>
  <c r="AX2719" i="2"/>
  <c r="AV2719" i="2"/>
  <c r="AU2719" i="2"/>
  <c r="AS2719" i="2"/>
  <c r="AR2719" i="2"/>
  <c r="AQ2719" i="2"/>
  <c r="AO2719" i="2"/>
  <c r="AL2719" i="2"/>
  <c r="AK2719" i="2"/>
  <c r="AJ2719" i="2"/>
  <c r="AI2719" i="2"/>
  <c r="AH2719" i="2"/>
  <c r="AG2719" i="2"/>
  <c r="AE2719" i="2"/>
  <c r="AD2719" i="2"/>
  <c r="AA2719" i="2"/>
  <c r="Z2719" i="2"/>
  <c r="Y2719" i="2"/>
  <c r="X2719" i="2"/>
  <c r="W2719" i="2"/>
  <c r="V2719" i="2"/>
  <c r="U2719" i="2"/>
  <c r="T2719" i="2"/>
  <c r="S2719" i="2"/>
  <c r="R2719" i="2"/>
  <c r="Q2719" i="2"/>
  <c r="P2719" i="2"/>
  <c r="O2719" i="2"/>
  <c r="N2719" i="2"/>
  <c r="K2719" i="2"/>
  <c r="J2719" i="2"/>
  <c r="I2719" i="2"/>
  <c r="H2719" i="2"/>
  <c r="G2719" i="2"/>
  <c r="F2719" i="2"/>
  <c r="E2719" i="2"/>
  <c r="D2719" i="2"/>
  <c r="C2719" i="2"/>
  <c r="B2719" i="2"/>
  <c r="A2719" i="2"/>
  <c r="AX2718" i="2"/>
  <c r="AV2718" i="2"/>
  <c r="AU2718" i="2"/>
  <c r="AS2718" i="2"/>
  <c r="AR2718" i="2"/>
  <c r="AQ2718" i="2"/>
  <c r="AO2718" i="2"/>
  <c r="AL2718" i="2"/>
  <c r="AK2718" i="2"/>
  <c r="AJ2718" i="2"/>
  <c r="AI2718" i="2"/>
  <c r="AH2718" i="2"/>
  <c r="AG2718" i="2"/>
  <c r="AF2718" i="2"/>
  <c r="AE2718" i="2"/>
  <c r="AD2718" i="2"/>
  <c r="AA2718" i="2"/>
  <c r="Z2718" i="2"/>
  <c r="Y2718" i="2"/>
  <c r="V2718" i="2"/>
  <c r="U2718" i="2"/>
  <c r="T2718" i="2"/>
  <c r="S2718" i="2"/>
  <c r="R2718" i="2"/>
  <c r="Q2718" i="2"/>
  <c r="P2718" i="2"/>
  <c r="O2718" i="2"/>
  <c r="N2718" i="2"/>
  <c r="K2718" i="2"/>
  <c r="J2718" i="2"/>
  <c r="I2718" i="2"/>
  <c r="H2718" i="2"/>
  <c r="G2718" i="2"/>
  <c r="F2718" i="2"/>
  <c r="E2718" i="2"/>
  <c r="D2718" i="2"/>
  <c r="C2718" i="2"/>
  <c r="B2718" i="2"/>
  <c r="A2718" i="2"/>
  <c r="AX2717" i="2"/>
  <c r="AV2717" i="2"/>
  <c r="AU2717" i="2"/>
  <c r="AS2717" i="2"/>
  <c r="AR2717" i="2"/>
  <c r="AQ2717" i="2"/>
  <c r="AP2717" i="2"/>
  <c r="AO2717" i="2"/>
  <c r="AL2717" i="2"/>
  <c r="AK2717" i="2"/>
  <c r="AJ2717" i="2"/>
  <c r="AI2717" i="2"/>
  <c r="AH2717" i="2"/>
  <c r="AG2717" i="2"/>
  <c r="AE2717" i="2"/>
  <c r="AD2717" i="2"/>
  <c r="AA2717" i="2"/>
  <c r="Z2717" i="2"/>
  <c r="Y2717" i="2"/>
  <c r="X2717" i="2"/>
  <c r="W2717" i="2"/>
  <c r="V2717" i="2"/>
  <c r="U2717" i="2"/>
  <c r="T2717" i="2"/>
  <c r="S2717" i="2"/>
  <c r="R2717" i="2"/>
  <c r="Q2717" i="2"/>
  <c r="P2717" i="2"/>
  <c r="O2717" i="2"/>
  <c r="N2717" i="2"/>
  <c r="M2717" i="2"/>
  <c r="K2717" i="2"/>
  <c r="J2717" i="2"/>
  <c r="I2717" i="2"/>
  <c r="H2717" i="2"/>
  <c r="G2717" i="2"/>
  <c r="F2717" i="2"/>
  <c r="E2717" i="2"/>
  <c r="D2717" i="2"/>
  <c r="C2717" i="2"/>
  <c r="B2717" i="2"/>
  <c r="A2717" i="2"/>
  <c r="AX2716" i="2"/>
  <c r="AV2716" i="2"/>
  <c r="AU2716" i="2"/>
  <c r="AS2716" i="2"/>
  <c r="AR2716" i="2"/>
  <c r="AQ2716" i="2"/>
  <c r="AO2716" i="2"/>
  <c r="AL2716" i="2"/>
  <c r="AK2716" i="2"/>
  <c r="AJ2716" i="2"/>
  <c r="AI2716" i="2"/>
  <c r="AH2716" i="2"/>
  <c r="AG2716" i="2"/>
  <c r="AE2716" i="2"/>
  <c r="AD2716" i="2"/>
  <c r="AA2716" i="2"/>
  <c r="Z2716" i="2"/>
  <c r="Y2716" i="2"/>
  <c r="X2716" i="2"/>
  <c r="W2716" i="2"/>
  <c r="V2716" i="2"/>
  <c r="U2716" i="2"/>
  <c r="T2716" i="2"/>
  <c r="S2716" i="2"/>
  <c r="R2716" i="2"/>
  <c r="Q2716" i="2"/>
  <c r="P2716" i="2"/>
  <c r="O2716" i="2"/>
  <c r="N2716" i="2"/>
  <c r="K2716" i="2"/>
  <c r="J2716" i="2"/>
  <c r="I2716" i="2"/>
  <c r="H2716" i="2"/>
  <c r="G2716" i="2"/>
  <c r="F2716" i="2"/>
  <c r="E2716" i="2"/>
  <c r="D2716" i="2"/>
  <c r="C2716" i="2"/>
  <c r="B2716" i="2"/>
  <c r="A2716" i="2"/>
  <c r="AX2715" i="2"/>
  <c r="AV2715" i="2"/>
  <c r="AU2715" i="2"/>
  <c r="AR2715" i="2"/>
  <c r="AQ2715" i="2"/>
  <c r="AP2715" i="2"/>
  <c r="AO2715" i="2"/>
  <c r="AL2715" i="2"/>
  <c r="AK2715" i="2"/>
  <c r="AJ2715" i="2"/>
  <c r="AI2715" i="2"/>
  <c r="AH2715" i="2"/>
  <c r="AG2715" i="2"/>
  <c r="AF2715" i="2"/>
  <c r="AE2715" i="2"/>
  <c r="AD2715" i="2"/>
  <c r="AA2715" i="2"/>
  <c r="Z2715" i="2"/>
  <c r="Y2715" i="2"/>
  <c r="V2715" i="2"/>
  <c r="U2715" i="2"/>
  <c r="T2715" i="2"/>
  <c r="S2715" i="2"/>
  <c r="R2715" i="2"/>
  <c r="Q2715" i="2"/>
  <c r="P2715" i="2"/>
  <c r="O2715" i="2"/>
  <c r="N2715" i="2"/>
  <c r="K2715" i="2"/>
  <c r="J2715" i="2"/>
  <c r="I2715" i="2"/>
  <c r="H2715" i="2"/>
  <c r="G2715" i="2"/>
  <c r="F2715" i="2"/>
  <c r="E2715" i="2"/>
  <c r="D2715" i="2"/>
  <c r="C2715" i="2"/>
  <c r="B2715" i="2"/>
  <c r="A2715" i="2"/>
  <c r="AX2714" i="2"/>
  <c r="AV2714" i="2"/>
  <c r="AU2714" i="2"/>
  <c r="AR2714" i="2"/>
  <c r="AQ2714" i="2"/>
  <c r="AO2714" i="2"/>
  <c r="AK2714" i="2"/>
  <c r="AJ2714" i="2"/>
  <c r="AI2714" i="2"/>
  <c r="AH2714" i="2"/>
  <c r="AG2714" i="2"/>
  <c r="AE2714" i="2"/>
  <c r="AD2714" i="2"/>
  <c r="AA2714" i="2"/>
  <c r="Z2714" i="2"/>
  <c r="Y2714" i="2"/>
  <c r="X2714" i="2"/>
  <c r="W2714" i="2"/>
  <c r="V2714" i="2"/>
  <c r="U2714" i="2"/>
  <c r="T2714" i="2"/>
  <c r="S2714" i="2"/>
  <c r="R2714" i="2"/>
  <c r="Q2714" i="2"/>
  <c r="P2714" i="2"/>
  <c r="O2714" i="2"/>
  <c r="N2714" i="2"/>
  <c r="K2714" i="2"/>
  <c r="J2714" i="2"/>
  <c r="I2714" i="2"/>
  <c r="H2714" i="2"/>
  <c r="G2714" i="2"/>
  <c r="F2714" i="2"/>
  <c r="E2714" i="2"/>
  <c r="D2714" i="2"/>
  <c r="C2714" i="2"/>
  <c r="B2714" i="2"/>
  <c r="A2714" i="2"/>
  <c r="AX2713" i="2"/>
  <c r="AV2713" i="2"/>
  <c r="AU2713" i="2"/>
  <c r="AS2713" i="2"/>
  <c r="AR2713" i="2"/>
  <c r="AQ2713" i="2"/>
  <c r="AO2713" i="2"/>
  <c r="AL2713" i="2"/>
  <c r="AK2713" i="2"/>
  <c r="AJ2713" i="2"/>
  <c r="AI2713" i="2"/>
  <c r="AH2713" i="2"/>
  <c r="AG2713" i="2"/>
  <c r="AE2713" i="2"/>
  <c r="AD2713" i="2"/>
  <c r="AA2713" i="2"/>
  <c r="Z2713" i="2"/>
  <c r="Y2713" i="2"/>
  <c r="X2713" i="2"/>
  <c r="W2713" i="2"/>
  <c r="V2713" i="2"/>
  <c r="U2713" i="2"/>
  <c r="T2713" i="2"/>
  <c r="S2713" i="2"/>
  <c r="R2713" i="2"/>
  <c r="Q2713" i="2"/>
  <c r="P2713" i="2"/>
  <c r="O2713" i="2"/>
  <c r="N2713" i="2"/>
  <c r="K2713" i="2"/>
  <c r="J2713" i="2"/>
  <c r="I2713" i="2"/>
  <c r="H2713" i="2"/>
  <c r="G2713" i="2"/>
  <c r="F2713" i="2"/>
  <c r="E2713" i="2"/>
  <c r="D2713" i="2"/>
  <c r="C2713" i="2"/>
  <c r="B2713" i="2"/>
  <c r="A2713" i="2"/>
  <c r="AX2712" i="2"/>
  <c r="AV2712" i="2"/>
  <c r="AU2712" i="2"/>
  <c r="AS2712" i="2"/>
  <c r="AR2712" i="2"/>
  <c r="AQ2712" i="2"/>
  <c r="AP2712" i="2"/>
  <c r="AO2712" i="2"/>
  <c r="AL2712" i="2"/>
  <c r="AK2712" i="2"/>
  <c r="AJ2712" i="2"/>
  <c r="AI2712" i="2"/>
  <c r="AH2712" i="2"/>
  <c r="AG2712" i="2"/>
  <c r="AE2712" i="2"/>
  <c r="AD2712" i="2"/>
  <c r="AA2712" i="2"/>
  <c r="Z2712" i="2"/>
  <c r="Y2712" i="2"/>
  <c r="X2712" i="2"/>
  <c r="U2712" i="2"/>
  <c r="T2712" i="2"/>
  <c r="S2712" i="2"/>
  <c r="R2712" i="2"/>
  <c r="Q2712" i="2"/>
  <c r="P2712" i="2"/>
  <c r="O2712" i="2"/>
  <c r="N2712" i="2"/>
  <c r="K2712" i="2"/>
  <c r="J2712" i="2"/>
  <c r="I2712" i="2"/>
  <c r="H2712" i="2"/>
  <c r="G2712" i="2"/>
  <c r="F2712" i="2"/>
  <c r="E2712" i="2"/>
  <c r="D2712" i="2"/>
  <c r="C2712" i="2"/>
  <c r="B2712" i="2"/>
  <c r="A2712" i="2"/>
  <c r="AX2711" i="2"/>
  <c r="AV2711" i="2"/>
  <c r="AU2711" i="2"/>
  <c r="AS2711" i="2"/>
  <c r="AR2711" i="2"/>
  <c r="AQ2711" i="2"/>
  <c r="AO2711" i="2"/>
  <c r="AL2711" i="2"/>
  <c r="AK2711" i="2"/>
  <c r="AJ2711" i="2"/>
  <c r="AI2711" i="2"/>
  <c r="AH2711" i="2"/>
  <c r="AG2711" i="2"/>
  <c r="AE2711" i="2"/>
  <c r="AD2711" i="2"/>
  <c r="AA2711" i="2"/>
  <c r="Z2711" i="2"/>
  <c r="Y2711" i="2"/>
  <c r="X2711" i="2"/>
  <c r="V2711" i="2"/>
  <c r="U2711" i="2"/>
  <c r="T2711" i="2"/>
  <c r="S2711" i="2"/>
  <c r="R2711" i="2"/>
  <c r="Q2711" i="2"/>
  <c r="P2711" i="2"/>
  <c r="O2711" i="2"/>
  <c r="N2711" i="2"/>
  <c r="K2711" i="2"/>
  <c r="J2711" i="2"/>
  <c r="I2711" i="2"/>
  <c r="H2711" i="2"/>
  <c r="G2711" i="2"/>
  <c r="F2711" i="2"/>
  <c r="E2711" i="2"/>
  <c r="D2711" i="2"/>
  <c r="C2711" i="2"/>
  <c r="B2711" i="2"/>
  <c r="A2711" i="2"/>
  <c r="AX2710" i="2"/>
  <c r="AV2710" i="2"/>
  <c r="AU2710" i="2"/>
  <c r="AS2710" i="2"/>
  <c r="AR2710" i="2"/>
  <c r="AQ2710" i="2"/>
  <c r="AO2710" i="2"/>
  <c r="AK2710" i="2"/>
  <c r="AJ2710" i="2"/>
  <c r="AI2710" i="2"/>
  <c r="AH2710" i="2"/>
  <c r="AG2710" i="2"/>
  <c r="AE2710" i="2"/>
  <c r="AD2710" i="2"/>
  <c r="AA2710" i="2"/>
  <c r="Z2710" i="2"/>
  <c r="Y2710" i="2"/>
  <c r="X2710" i="2"/>
  <c r="W2710" i="2"/>
  <c r="V2710" i="2"/>
  <c r="U2710" i="2"/>
  <c r="T2710" i="2"/>
  <c r="S2710" i="2"/>
  <c r="R2710" i="2"/>
  <c r="Q2710" i="2"/>
  <c r="P2710" i="2"/>
  <c r="O2710" i="2"/>
  <c r="N2710" i="2"/>
  <c r="K2710" i="2"/>
  <c r="J2710" i="2"/>
  <c r="I2710" i="2"/>
  <c r="H2710" i="2"/>
  <c r="G2710" i="2"/>
  <c r="F2710" i="2"/>
  <c r="E2710" i="2"/>
  <c r="D2710" i="2"/>
  <c r="C2710" i="2"/>
  <c r="B2710" i="2"/>
  <c r="A2710" i="2"/>
  <c r="AX2709" i="2"/>
  <c r="AV2709" i="2"/>
  <c r="AU2709" i="2"/>
  <c r="AS2709" i="2"/>
  <c r="AR2709" i="2"/>
  <c r="AQ2709" i="2"/>
  <c r="AO2709" i="2"/>
  <c r="AL2709" i="2"/>
  <c r="AK2709" i="2"/>
  <c r="AJ2709" i="2"/>
  <c r="AI2709" i="2"/>
  <c r="AH2709" i="2"/>
  <c r="AG2709" i="2"/>
  <c r="AF2709" i="2"/>
  <c r="AE2709" i="2"/>
  <c r="AA2709" i="2"/>
  <c r="Z2709" i="2"/>
  <c r="Y2709" i="2"/>
  <c r="X2709" i="2"/>
  <c r="U2709" i="2"/>
  <c r="T2709" i="2"/>
  <c r="S2709" i="2"/>
  <c r="R2709" i="2"/>
  <c r="Q2709" i="2"/>
  <c r="P2709" i="2"/>
  <c r="O2709" i="2"/>
  <c r="N2709" i="2"/>
  <c r="K2709" i="2"/>
  <c r="J2709" i="2"/>
  <c r="I2709" i="2"/>
  <c r="H2709" i="2"/>
  <c r="G2709" i="2"/>
  <c r="F2709" i="2"/>
  <c r="E2709" i="2"/>
  <c r="D2709" i="2"/>
  <c r="C2709" i="2"/>
  <c r="B2709" i="2"/>
  <c r="A2709" i="2"/>
  <c r="AX2708" i="2"/>
  <c r="AV2708" i="2"/>
  <c r="AU2708" i="2"/>
  <c r="AS2708" i="2"/>
  <c r="AR2708" i="2"/>
  <c r="AQ2708" i="2"/>
  <c r="AO2708" i="2"/>
  <c r="AL2708" i="2"/>
  <c r="AK2708" i="2"/>
  <c r="AJ2708" i="2"/>
  <c r="AI2708" i="2"/>
  <c r="AH2708" i="2"/>
  <c r="AG2708" i="2"/>
  <c r="AE2708" i="2"/>
  <c r="AD2708" i="2"/>
  <c r="AA2708" i="2"/>
  <c r="Z2708" i="2"/>
  <c r="Y2708" i="2"/>
  <c r="X2708" i="2"/>
  <c r="V2708" i="2"/>
  <c r="U2708" i="2"/>
  <c r="T2708" i="2"/>
  <c r="S2708" i="2"/>
  <c r="R2708" i="2"/>
  <c r="Q2708" i="2"/>
  <c r="P2708" i="2"/>
  <c r="O2708" i="2"/>
  <c r="N2708" i="2"/>
  <c r="K2708" i="2"/>
  <c r="J2708" i="2"/>
  <c r="I2708" i="2"/>
  <c r="H2708" i="2"/>
  <c r="G2708" i="2"/>
  <c r="F2708" i="2"/>
  <c r="E2708" i="2"/>
  <c r="D2708" i="2"/>
  <c r="C2708" i="2"/>
  <c r="B2708" i="2"/>
  <c r="A2708" i="2"/>
  <c r="AX2707" i="2"/>
  <c r="AV2707" i="2"/>
  <c r="AU2707" i="2"/>
  <c r="AS2707" i="2"/>
  <c r="AR2707" i="2"/>
  <c r="AQ2707" i="2"/>
  <c r="AP2707" i="2"/>
  <c r="AO2707" i="2"/>
  <c r="AM2707" i="2"/>
  <c r="AL2707" i="2"/>
  <c r="AK2707" i="2"/>
  <c r="AJ2707" i="2"/>
  <c r="AI2707" i="2"/>
  <c r="AH2707" i="2"/>
  <c r="AG2707" i="2"/>
  <c r="AE2707" i="2"/>
  <c r="AD2707" i="2"/>
  <c r="AA2707" i="2"/>
  <c r="Z2707" i="2"/>
  <c r="Y2707" i="2"/>
  <c r="X2707" i="2"/>
  <c r="W2707" i="2"/>
  <c r="V2707" i="2"/>
  <c r="U2707" i="2"/>
  <c r="T2707" i="2"/>
  <c r="S2707" i="2"/>
  <c r="R2707" i="2"/>
  <c r="Q2707" i="2"/>
  <c r="P2707" i="2"/>
  <c r="O2707" i="2"/>
  <c r="N2707" i="2"/>
  <c r="K2707" i="2"/>
  <c r="J2707" i="2"/>
  <c r="I2707" i="2"/>
  <c r="H2707" i="2"/>
  <c r="G2707" i="2"/>
  <c r="F2707" i="2"/>
  <c r="E2707" i="2"/>
  <c r="D2707" i="2"/>
  <c r="C2707" i="2"/>
  <c r="B2707" i="2"/>
  <c r="A2707" i="2"/>
  <c r="AX2706" i="2"/>
  <c r="AV2706" i="2"/>
  <c r="AU2706" i="2"/>
  <c r="AS2706" i="2"/>
  <c r="AR2706" i="2"/>
  <c r="AQ2706" i="2"/>
  <c r="AO2706" i="2"/>
  <c r="AL2706" i="2"/>
  <c r="AK2706" i="2"/>
  <c r="AJ2706" i="2"/>
  <c r="AI2706" i="2"/>
  <c r="AH2706" i="2"/>
  <c r="AG2706" i="2"/>
  <c r="AE2706" i="2"/>
  <c r="AD2706" i="2"/>
  <c r="AA2706" i="2"/>
  <c r="Z2706" i="2"/>
  <c r="Y2706" i="2"/>
  <c r="X2706" i="2"/>
  <c r="W2706" i="2"/>
  <c r="V2706" i="2"/>
  <c r="U2706" i="2"/>
  <c r="T2706" i="2"/>
  <c r="S2706" i="2"/>
  <c r="R2706" i="2"/>
  <c r="Q2706" i="2"/>
  <c r="P2706" i="2"/>
  <c r="O2706" i="2"/>
  <c r="N2706" i="2"/>
  <c r="K2706" i="2"/>
  <c r="J2706" i="2"/>
  <c r="I2706" i="2"/>
  <c r="H2706" i="2"/>
  <c r="G2706" i="2"/>
  <c r="F2706" i="2"/>
  <c r="E2706" i="2"/>
  <c r="D2706" i="2"/>
  <c r="C2706" i="2"/>
  <c r="B2706" i="2"/>
  <c r="A2706" i="2"/>
  <c r="AX2705" i="2"/>
  <c r="AV2705" i="2"/>
  <c r="AU2705" i="2"/>
  <c r="AS2705" i="2"/>
  <c r="AR2705" i="2"/>
  <c r="AQ2705" i="2"/>
  <c r="AO2705" i="2"/>
  <c r="AL2705" i="2"/>
  <c r="AK2705" i="2"/>
  <c r="AJ2705" i="2"/>
  <c r="AI2705" i="2"/>
  <c r="AH2705" i="2"/>
  <c r="AG2705" i="2"/>
  <c r="AE2705" i="2"/>
  <c r="AD2705" i="2"/>
  <c r="AA2705" i="2"/>
  <c r="Z2705" i="2"/>
  <c r="Y2705" i="2"/>
  <c r="X2705" i="2"/>
  <c r="V2705" i="2"/>
  <c r="U2705" i="2"/>
  <c r="T2705" i="2"/>
  <c r="S2705" i="2"/>
  <c r="R2705" i="2"/>
  <c r="Q2705" i="2"/>
  <c r="P2705" i="2"/>
  <c r="O2705" i="2"/>
  <c r="N2705" i="2"/>
  <c r="K2705" i="2"/>
  <c r="J2705" i="2"/>
  <c r="I2705" i="2"/>
  <c r="H2705" i="2"/>
  <c r="G2705" i="2"/>
  <c r="F2705" i="2"/>
  <c r="E2705" i="2"/>
  <c r="D2705" i="2"/>
  <c r="C2705" i="2"/>
  <c r="B2705" i="2"/>
  <c r="A2705" i="2"/>
  <c r="AX2704" i="2"/>
  <c r="AV2704" i="2"/>
  <c r="AU2704" i="2"/>
  <c r="AS2704" i="2"/>
  <c r="AR2704" i="2"/>
  <c r="AQ2704" i="2"/>
  <c r="AO2704" i="2"/>
  <c r="AL2704" i="2"/>
  <c r="AK2704" i="2"/>
  <c r="AJ2704" i="2"/>
  <c r="AI2704" i="2"/>
  <c r="AH2704" i="2"/>
  <c r="AG2704" i="2"/>
  <c r="AE2704" i="2"/>
  <c r="AD2704" i="2"/>
  <c r="AA2704" i="2"/>
  <c r="Z2704" i="2"/>
  <c r="Y2704" i="2"/>
  <c r="X2704" i="2"/>
  <c r="W2704" i="2"/>
  <c r="V2704" i="2"/>
  <c r="U2704" i="2"/>
  <c r="T2704" i="2"/>
  <c r="S2704" i="2"/>
  <c r="R2704" i="2"/>
  <c r="Q2704" i="2"/>
  <c r="P2704" i="2"/>
  <c r="O2704" i="2"/>
  <c r="N2704" i="2"/>
  <c r="K2704" i="2"/>
  <c r="J2704" i="2"/>
  <c r="I2704" i="2"/>
  <c r="H2704" i="2"/>
  <c r="G2704" i="2"/>
  <c r="F2704" i="2"/>
  <c r="E2704" i="2"/>
  <c r="D2704" i="2"/>
  <c r="C2704" i="2"/>
  <c r="B2704" i="2"/>
  <c r="A2704" i="2"/>
  <c r="AX2703" i="2"/>
  <c r="AV2703" i="2"/>
  <c r="AU2703" i="2"/>
  <c r="AS2703" i="2"/>
  <c r="AR2703" i="2"/>
  <c r="AQ2703" i="2"/>
  <c r="AO2703" i="2"/>
  <c r="AL2703" i="2"/>
  <c r="AK2703" i="2"/>
  <c r="AJ2703" i="2"/>
  <c r="AI2703" i="2"/>
  <c r="AH2703" i="2"/>
  <c r="AG2703" i="2"/>
  <c r="AE2703" i="2"/>
  <c r="AD2703" i="2"/>
  <c r="AA2703" i="2"/>
  <c r="Z2703" i="2"/>
  <c r="Y2703" i="2"/>
  <c r="X2703" i="2"/>
  <c r="W2703" i="2"/>
  <c r="V2703" i="2"/>
  <c r="U2703" i="2"/>
  <c r="T2703" i="2"/>
  <c r="S2703" i="2"/>
  <c r="R2703" i="2"/>
  <c r="Q2703" i="2"/>
  <c r="P2703" i="2"/>
  <c r="O2703" i="2"/>
  <c r="N2703" i="2"/>
  <c r="K2703" i="2"/>
  <c r="J2703" i="2"/>
  <c r="I2703" i="2"/>
  <c r="H2703" i="2"/>
  <c r="G2703" i="2"/>
  <c r="F2703" i="2"/>
  <c r="E2703" i="2"/>
  <c r="D2703" i="2"/>
  <c r="C2703" i="2"/>
  <c r="B2703" i="2"/>
  <c r="A2703" i="2"/>
  <c r="AX2702" i="2"/>
  <c r="AV2702" i="2"/>
  <c r="AU2702" i="2"/>
  <c r="AS2702" i="2"/>
  <c r="AR2702" i="2"/>
  <c r="AQ2702" i="2"/>
  <c r="AO2702" i="2"/>
  <c r="AL2702" i="2"/>
  <c r="AK2702" i="2"/>
  <c r="AJ2702" i="2"/>
  <c r="AI2702" i="2"/>
  <c r="AH2702" i="2"/>
  <c r="AG2702" i="2"/>
  <c r="AE2702" i="2"/>
  <c r="AD2702" i="2"/>
  <c r="AA2702" i="2"/>
  <c r="Z2702" i="2"/>
  <c r="Y2702" i="2"/>
  <c r="X2702" i="2"/>
  <c r="V2702" i="2"/>
  <c r="U2702" i="2"/>
  <c r="T2702" i="2"/>
  <c r="S2702" i="2"/>
  <c r="R2702" i="2"/>
  <c r="Q2702" i="2"/>
  <c r="P2702" i="2"/>
  <c r="O2702" i="2"/>
  <c r="N2702" i="2"/>
  <c r="K2702" i="2"/>
  <c r="J2702" i="2"/>
  <c r="I2702" i="2"/>
  <c r="H2702" i="2"/>
  <c r="G2702" i="2"/>
  <c r="F2702" i="2"/>
  <c r="E2702" i="2"/>
  <c r="D2702" i="2"/>
  <c r="C2702" i="2"/>
  <c r="B2702" i="2"/>
  <c r="A2702" i="2"/>
  <c r="AX2701" i="2"/>
  <c r="AV2701" i="2"/>
  <c r="AU2701" i="2"/>
  <c r="AS2701" i="2"/>
  <c r="AR2701" i="2"/>
  <c r="AQ2701" i="2"/>
  <c r="AO2701" i="2"/>
  <c r="AL2701" i="2"/>
  <c r="AK2701" i="2"/>
  <c r="AJ2701" i="2"/>
  <c r="AI2701" i="2"/>
  <c r="AH2701" i="2"/>
  <c r="AG2701" i="2"/>
  <c r="AE2701" i="2"/>
  <c r="AD2701" i="2"/>
  <c r="AA2701" i="2"/>
  <c r="Z2701" i="2"/>
  <c r="Y2701" i="2"/>
  <c r="X2701" i="2"/>
  <c r="W2701" i="2"/>
  <c r="V2701" i="2"/>
  <c r="U2701" i="2"/>
  <c r="T2701" i="2"/>
  <c r="S2701" i="2"/>
  <c r="R2701" i="2"/>
  <c r="Q2701" i="2"/>
  <c r="P2701" i="2"/>
  <c r="O2701" i="2"/>
  <c r="N2701" i="2"/>
  <c r="K2701" i="2"/>
  <c r="J2701" i="2"/>
  <c r="I2701" i="2"/>
  <c r="H2701" i="2"/>
  <c r="G2701" i="2"/>
  <c r="F2701" i="2"/>
  <c r="E2701" i="2"/>
  <c r="D2701" i="2"/>
  <c r="C2701" i="2"/>
  <c r="B2701" i="2"/>
  <c r="A2701" i="2"/>
  <c r="AX2700" i="2"/>
  <c r="AV2700" i="2"/>
  <c r="AU2700" i="2"/>
  <c r="AS2700" i="2"/>
  <c r="AR2700" i="2"/>
  <c r="AQ2700" i="2"/>
  <c r="AO2700" i="2"/>
  <c r="AL2700" i="2"/>
  <c r="AK2700" i="2"/>
  <c r="AJ2700" i="2"/>
  <c r="AI2700" i="2"/>
  <c r="AH2700" i="2"/>
  <c r="AG2700" i="2"/>
  <c r="AE2700" i="2"/>
  <c r="AD2700" i="2"/>
  <c r="AA2700" i="2"/>
  <c r="Z2700" i="2"/>
  <c r="Y2700" i="2"/>
  <c r="X2700" i="2"/>
  <c r="W2700" i="2"/>
  <c r="V2700" i="2"/>
  <c r="U2700" i="2"/>
  <c r="T2700" i="2"/>
  <c r="S2700" i="2"/>
  <c r="R2700" i="2"/>
  <c r="Q2700" i="2"/>
  <c r="P2700" i="2"/>
  <c r="O2700" i="2"/>
  <c r="N2700" i="2"/>
  <c r="K2700" i="2"/>
  <c r="J2700" i="2"/>
  <c r="I2700" i="2"/>
  <c r="H2700" i="2"/>
  <c r="G2700" i="2"/>
  <c r="F2700" i="2"/>
  <c r="E2700" i="2"/>
  <c r="D2700" i="2"/>
  <c r="C2700" i="2"/>
  <c r="B2700" i="2"/>
  <c r="A2700" i="2"/>
  <c r="AX2699" i="2"/>
  <c r="AV2699" i="2"/>
  <c r="AU2699" i="2"/>
  <c r="AR2699" i="2"/>
  <c r="AQ2699" i="2"/>
  <c r="AO2699" i="2"/>
  <c r="AL2699" i="2"/>
  <c r="AK2699" i="2"/>
  <c r="AJ2699" i="2"/>
  <c r="AI2699" i="2"/>
  <c r="AH2699" i="2"/>
  <c r="AG2699" i="2"/>
  <c r="AE2699" i="2"/>
  <c r="AA2699" i="2"/>
  <c r="Z2699" i="2"/>
  <c r="Y2699" i="2"/>
  <c r="X2699" i="2"/>
  <c r="V2699" i="2"/>
  <c r="U2699" i="2"/>
  <c r="T2699" i="2"/>
  <c r="S2699" i="2"/>
  <c r="R2699" i="2"/>
  <c r="Q2699" i="2"/>
  <c r="P2699" i="2"/>
  <c r="O2699" i="2"/>
  <c r="N2699" i="2"/>
  <c r="K2699" i="2"/>
  <c r="J2699" i="2"/>
  <c r="I2699" i="2"/>
  <c r="H2699" i="2"/>
  <c r="G2699" i="2"/>
  <c r="F2699" i="2"/>
  <c r="E2699" i="2"/>
  <c r="D2699" i="2"/>
  <c r="C2699" i="2"/>
  <c r="B2699" i="2"/>
  <c r="A2699" i="2"/>
  <c r="AX2698" i="2"/>
  <c r="AV2698" i="2"/>
  <c r="AU2698" i="2"/>
  <c r="AS2698" i="2"/>
  <c r="AR2698" i="2"/>
  <c r="AQ2698" i="2"/>
  <c r="AO2698" i="2"/>
  <c r="AL2698" i="2"/>
  <c r="AK2698" i="2"/>
  <c r="AJ2698" i="2"/>
  <c r="AI2698" i="2"/>
  <c r="AH2698" i="2"/>
  <c r="AG2698" i="2"/>
  <c r="AE2698" i="2"/>
  <c r="AD2698" i="2"/>
  <c r="AA2698" i="2"/>
  <c r="Z2698" i="2"/>
  <c r="Y2698" i="2"/>
  <c r="X2698" i="2"/>
  <c r="W2698" i="2"/>
  <c r="V2698" i="2"/>
  <c r="U2698" i="2"/>
  <c r="T2698" i="2"/>
  <c r="S2698" i="2"/>
  <c r="R2698" i="2"/>
  <c r="Q2698" i="2"/>
  <c r="P2698" i="2"/>
  <c r="O2698" i="2"/>
  <c r="N2698" i="2"/>
  <c r="K2698" i="2"/>
  <c r="J2698" i="2"/>
  <c r="I2698" i="2"/>
  <c r="H2698" i="2"/>
  <c r="G2698" i="2"/>
  <c r="F2698" i="2"/>
  <c r="E2698" i="2"/>
  <c r="D2698" i="2"/>
  <c r="C2698" i="2"/>
  <c r="B2698" i="2"/>
  <c r="A2698" i="2"/>
  <c r="AX2697" i="2"/>
  <c r="AV2697" i="2"/>
  <c r="AU2697" i="2"/>
  <c r="AS2697" i="2"/>
  <c r="AR2697" i="2"/>
  <c r="AQ2697" i="2"/>
  <c r="AO2697" i="2"/>
  <c r="AM2697" i="2"/>
  <c r="AL2697" i="2"/>
  <c r="AK2697" i="2"/>
  <c r="AJ2697" i="2"/>
  <c r="AI2697" i="2"/>
  <c r="AH2697" i="2"/>
  <c r="AG2697" i="2"/>
  <c r="AF2697" i="2"/>
  <c r="AE2697" i="2"/>
  <c r="AD2697" i="2"/>
  <c r="AA2697" i="2"/>
  <c r="Z2697" i="2"/>
  <c r="Y2697" i="2"/>
  <c r="X2697" i="2"/>
  <c r="W2697" i="2"/>
  <c r="V2697" i="2"/>
  <c r="U2697" i="2"/>
  <c r="T2697" i="2"/>
  <c r="S2697" i="2"/>
  <c r="R2697" i="2"/>
  <c r="Q2697" i="2"/>
  <c r="P2697" i="2"/>
  <c r="O2697" i="2"/>
  <c r="N2697" i="2"/>
  <c r="M2697" i="2"/>
  <c r="L2697" i="2"/>
  <c r="K2697" i="2"/>
  <c r="J2697" i="2"/>
  <c r="I2697" i="2"/>
  <c r="H2697" i="2"/>
  <c r="G2697" i="2"/>
  <c r="F2697" i="2"/>
  <c r="E2697" i="2"/>
  <c r="D2697" i="2"/>
  <c r="C2697" i="2"/>
  <c r="B2697" i="2"/>
  <c r="A2697" i="2"/>
  <c r="AX2696" i="2"/>
  <c r="AV2696" i="2"/>
  <c r="AU2696" i="2"/>
  <c r="AS2696" i="2"/>
  <c r="AR2696" i="2"/>
  <c r="AQ2696" i="2"/>
  <c r="AO2696" i="2"/>
  <c r="AN2696" i="2"/>
  <c r="AM2696" i="2"/>
  <c r="AL2696" i="2"/>
  <c r="AJ2696" i="2"/>
  <c r="AI2696" i="2"/>
  <c r="AH2696" i="2"/>
  <c r="AG2696" i="2"/>
  <c r="AE2696" i="2"/>
  <c r="AD2696" i="2"/>
  <c r="AA2696" i="2"/>
  <c r="Z2696" i="2"/>
  <c r="Y2696" i="2"/>
  <c r="X2696" i="2"/>
  <c r="V2696" i="2"/>
  <c r="U2696" i="2"/>
  <c r="T2696" i="2"/>
  <c r="S2696" i="2"/>
  <c r="R2696" i="2"/>
  <c r="Q2696" i="2"/>
  <c r="P2696" i="2"/>
  <c r="O2696" i="2"/>
  <c r="N2696" i="2"/>
  <c r="K2696" i="2"/>
  <c r="J2696" i="2"/>
  <c r="I2696" i="2"/>
  <c r="H2696" i="2"/>
  <c r="G2696" i="2"/>
  <c r="F2696" i="2"/>
  <c r="E2696" i="2"/>
  <c r="D2696" i="2"/>
  <c r="C2696" i="2"/>
  <c r="B2696" i="2"/>
  <c r="A2696" i="2"/>
  <c r="AX2695" i="2"/>
  <c r="AV2695" i="2"/>
  <c r="AU2695" i="2"/>
  <c r="AS2695" i="2"/>
  <c r="AR2695" i="2"/>
  <c r="AQ2695" i="2"/>
  <c r="AO2695" i="2"/>
  <c r="AL2695" i="2"/>
  <c r="AK2695" i="2"/>
  <c r="AJ2695" i="2"/>
  <c r="AI2695" i="2"/>
  <c r="AH2695" i="2"/>
  <c r="AG2695" i="2"/>
  <c r="AE2695" i="2"/>
  <c r="AD2695" i="2"/>
  <c r="AA2695" i="2"/>
  <c r="Z2695" i="2"/>
  <c r="Y2695" i="2"/>
  <c r="X2695" i="2"/>
  <c r="W2695" i="2"/>
  <c r="V2695" i="2"/>
  <c r="U2695" i="2"/>
  <c r="T2695" i="2"/>
  <c r="S2695" i="2"/>
  <c r="R2695" i="2"/>
  <c r="Q2695" i="2"/>
  <c r="P2695" i="2"/>
  <c r="O2695" i="2"/>
  <c r="N2695" i="2"/>
  <c r="K2695" i="2"/>
  <c r="J2695" i="2"/>
  <c r="I2695" i="2"/>
  <c r="H2695" i="2"/>
  <c r="G2695" i="2"/>
  <c r="F2695" i="2"/>
  <c r="E2695" i="2"/>
  <c r="D2695" i="2"/>
  <c r="C2695" i="2"/>
  <c r="B2695" i="2"/>
  <c r="A2695" i="2"/>
  <c r="AX2694" i="2"/>
  <c r="AV2694" i="2"/>
  <c r="AU2694" i="2"/>
  <c r="AS2694" i="2"/>
  <c r="AR2694" i="2"/>
  <c r="AQ2694" i="2"/>
  <c r="AO2694" i="2"/>
  <c r="AL2694" i="2"/>
  <c r="AK2694" i="2"/>
  <c r="AJ2694" i="2"/>
  <c r="AI2694" i="2"/>
  <c r="AH2694" i="2"/>
  <c r="AG2694" i="2"/>
  <c r="AE2694" i="2"/>
  <c r="AD2694" i="2"/>
  <c r="AA2694" i="2"/>
  <c r="Z2694" i="2"/>
  <c r="Y2694" i="2"/>
  <c r="X2694" i="2"/>
  <c r="W2694" i="2"/>
  <c r="V2694" i="2"/>
  <c r="U2694" i="2"/>
  <c r="T2694" i="2"/>
  <c r="S2694" i="2"/>
  <c r="R2694" i="2"/>
  <c r="Q2694" i="2"/>
  <c r="P2694" i="2"/>
  <c r="O2694" i="2"/>
  <c r="N2694" i="2"/>
  <c r="K2694" i="2"/>
  <c r="J2694" i="2"/>
  <c r="I2694" i="2"/>
  <c r="H2694" i="2"/>
  <c r="G2694" i="2"/>
  <c r="F2694" i="2"/>
  <c r="E2694" i="2"/>
  <c r="D2694" i="2"/>
  <c r="C2694" i="2"/>
  <c r="B2694" i="2"/>
  <c r="A2694" i="2"/>
  <c r="AX2693" i="2"/>
  <c r="AV2693" i="2"/>
  <c r="AU2693" i="2"/>
  <c r="AS2693" i="2"/>
  <c r="AR2693" i="2"/>
  <c r="AQ2693" i="2"/>
  <c r="AO2693" i="2"/>
  <c r="AL2693" i="2"/>
  <c r="AK2693" i="2"/>
  <c r="AJ2693" i="2"/>
  <c r="AI2693" i="2"/>
  <c r="AH2693" i="2"/>
  <c r="AG2693" i="2"/>
  <c r="AE2693" i="2"/>
  <c r="AD2693" i="2"/>
  <c r="AA2693" i="2"/>
  <c r="Z2693" i="2"/>
  <c r="Y2693" i="2"/>
  <c r="X2693" i="2"/>
  <c r="W2693" i="2"/>
  <c r="V2693" i="2"/>
  <c r="U2693" i="2"/>
  <c r="T2693" i="2"/>
  <c r="S2693" i="2"/>
  <c r="R2693" i="2"/>
  <c r="Q2693" i="2"/>
  <c r="P2693" i="2"/>
  <c r="O2693" i="2"/>
  <c r="N2693" i="2"/>
  <c r="K2693" i="2"/>
  <c r="J2693" i="2"/>
  <c r="I2693" i="2"/>
  <c r="H2693" i="2"/>
  <c r="G2693" i="2"/>
  <c r="F2693" i="2"/>
  <c r="E2693" i="2"/>
  <c r="D2693" i="2"/>
  <c r="C2693" i="2"/>
  <c r="B2693" i="2"/>
  <c r="A2693" i="2"/>
  <c r="AX2692" i="2"/>
  <c r="AV2692" i="2"/>
  <c r="AU2692" i="2"/>
  <c r="AS2692" i="2"/>
  <c r="AR2692" i="2"/>
  <c r="AQ2692" i="2"/>
  <c r="AO2692" i="2"/>
  <c r="AL2692" i="2"/>
  <c r="AK2692" i="2"/>
  <c r="AJ2692" i="2"/>
  <c r="AI2692" i="2"/>
  <c r="AH2692" i="2"/>
  <c r="AG2692" i="2"/>
  <c r="AE2692" i="2"/>
  <c r="AD2692" i="2"/>
  <c r="AA2692" i="2"/>
  <c r="Z2692" i="2"/>
  <c r="Y2692" i="2"/>
  <c r="X2692" i="2"/>
  <c r="W2692" i="2"/>
  <c r="V2692" i="2"/>
  <c r="U2692" i="2"/>
  <c r="T2692" i="2"/>
  <c r="S2692" i="2"/>
  <c r="R2692" i="2"/>
  <c r="Q2692" i="2"/>
  <c r="P2692" i="2"/>
  <c r="O2692" i="2"/>
  <c r="N2692" i="2"/>
  <c r="K2692" i="2"/>
  <c r="J2692" i="2"/>
  <c r="I2692" i="2"/>
  <c r="H2692" i="2"/>
  <c r="G2692" i="2"/>
  <c r="F2692" i="2"/>
  <c r="E2692" i="2"/>
  <c r="D2692" i="2"/>
  <c r="C2692" i="2"/>
  <c r="B2692" i="2"/>
  <c r="A2692" i="2"/>
  <c r="AX2691" i="2"/>
  <c r="AV2691" i="2"/>
  <c r="AU2691" i="2"/>
  <c r="AR2691" i="2"/>
  <c r="AQ2691" i="2"/>
  <c r="AO2691" i="2"/>
  <c r="AL2691" i="2"/>
  <c r="AK2691" i="2"/>
  <c r="AJ2691" i="2"/>
  <c r="AI2691" i="2"/>
  <c r="AH2691" i="2"/>
  <c r="AG2691" i="2"/>
  <c r="AF2691" i="2"/>
  <c r="AE2691" i="2"/>
  <c r="AA2691" i="2"/>
  <c r="Z2691" i="2"/>
  <c r="Y2691" i="2"/>
  <c r="X2691" i="2"/>
  <c r="V2691" i="2"/>
  <c r="U2691" i="2"/>
  <c r="T2691" i="2"/>
  <c r="S2691" i="2"/>
  <c r="R2691" i="2"/>
  <c r="Q2691" i="2"/>
  <c r="P2691" i="2"/>
  <c r="O2691" i="2"/>
  <c r="N2691" i="2"/>
  <c r="K2691" i="2"/>
  <c r="J2691" i="2"/>
  <c r="I2691" i="2"/>
  <c r="H2691" i="2"/>
  <c r="G2691" i="2"/>
  <c r="F2691" i="2"/>
  <c r="E2691" i="2"/>
  <c r="D2691" i="2"/>
  <c r="C2691" i="2"/>
  <c r="B2691" i="2"/>
  <c r="A2691" i="2"/>
  <c r="AX2690" i="2"/>
  <c r="AV2690" i="2"/>
  <c r="AU2690" i="2"/>
  <c r="AS2690" i="2"/>
  <c r="AR2690" i="2"/>
  <c r="AQ2690" i="2"/>
  <c r="AP2690" i="2"/>
  <c r="AO2690" i="2"/>
  <c r="AL2690" i="2"/>
  <c r="AK2690" i="2"/>
  <c r="AI2690" i="2"/>
  <c r="AH2690" i="2"/>
  <c r="AG2690" i="2"/>
  <c r="AE2690" i="2"/>
  <c r="AA2690" i="2"/>
  <c r="Z2690" i="2"/>
  <c r="Y2690" i="2"/>
  <c r="X2690" i="2"/>
  <c r="W2690" i="2"/>
  <c r="V2690" i="2"/>
  <c r="U2690" i="2"/>
  <c r="T2690" i="2"/>
  <c r="S2690" i="2"/>
  <c r="R2690" i="2"/>
  <c r="Q2690" i="2"/>
  <c r="P2690" i="2"/>
  <c r="O2690" i="2"/>
  <c r="N2690" i="2"/>
  <c r="K2690" i="2"/>
  <c r="J2690" i="2"/>
  <c r="I2690" i="2"/>
  <c r="H2690" i="2"/>
  <c r="G2690" i="2"/>
  <c r="F2690" i="2"/>
  <c r="E2690" i="2"/>
  <c r="D2690" i="2"/>
  <c r="C2690" i="2"/>
  <c r="B2690" i="2"/>
  <c r="A2690" i="2"/>
  <c r="AX2689" i="2"/>
  <c r="AV2689" i="2"/>
  <c r="AU2689" i="2"/>
  <c r="AS2689" i="2"/>
  <c r="AR2689" i="2"/>
  <c r="AQ2689" i="2"/>
  <c r="AO2689" i="2"/>
  <c r="AL2689" i="2"/>
  <c r="AK2689" i="2"/>
  <c r="AJ2689" i="2"/>
  <c r="AI2689" i="2"/>
  <c r="AH2689" i="2"/>
  <c r="AG2689" i="2"/>
  <c r="AE2689" i="2"/>
  <c r="AD2689" i="2"/>
  <c r="AA2689" i="2"/>
  <c r="Z2689" i="2"/>
  <c r="Y2689" i="2"/>
  <c r="X2689" i="2"/>
  <c r="W2689" i="2"/>
  <c r="V2689" i="2"/>
  <c r="U2689" i="2"/>
  <c r="T2689" i="2"/>
  <c r="S2689" i="2"/>
  <c r="R2689" i="2"/>
  <c r="Q2689" i="2"/>
  <c r="P2689" i="2"/>
  <c r="O2689" i="2"/>
  <c r="N2689" i="2"/>
  <c r="K2689" i="2"/>
  <c r="J2689" i="2"/>
  <c r="I2689" i="2"/>
  <c r="H2689" i="2"/>
  <c r="G2689" i="2"/>
  <c r="F2689" i="2"/>
  <c r="E2689" i="2"/>
  <c r="D2689" i="2"/>
  <c r="C2689" i="2"/>
  <c r="B2689" i="2"/>
  <c r="A2689" i="2"/>
  <c r="AX2688" i="2"/>
  <c r="AV2688" i="2"/>
  <c r="AU2688" i="2"/>
  <c r="AS2688" i="2"/>
  <c r="AR2688" i="2"/>
  <c r="AQ2688" i="2"/>
  <c r="AO2688" i="2"/>
  <c r="AK2688" i="2"/>
  <c r="AJ2688" i="2"/>
  <c r="AI2688" i="2"/>
  <c r="AH2688" i="2"/>
  <c r="AG2688" i="2"/>
  <c r="AE2688" i="2"/>
  <c r="AD2688" i="2"/>
  <c r="AA2688" i="2"/>
  <c r="Z2688" i="2"/>
  <c r="Y2688" i="2"/>
  <c r="X2688" i="2"/>
  <c r="V2688" i="2"/>
  <c r="U2688" i="2"/>
  <c r="T2688" i="2"/>
  <c r="S2688" i="2"/>
  <c r="R2688" i="2"/>
  <c r="Q2688" i="2"/>
  <c r="P2688" i="2"/>
  <c r="O2688" i="2"/>
  <c r="N2688" i="2"/>
  <c r="K2688" i="2"/>
  <c r="J2688" i="2"/>
  <c r="I2688" i="2"/>
  <c r="H2688" i="2"/>
  <c r="G2688" i="2"/>
  <c r="F2688" i="2"/>
  <c r="E2688" i="2"/>
  <c r="D2688" i="2"/>
  <c r="C2688" i="2"/>
  <c r="B2688" i="2"/>
  <c r="A2688" i="2"/>
  <c r="AX2687" i="2"/>
  <c r="AV2687" i="2"/>
  <c r="AU2687" i="2"/>
  <c r="AS2687" i="2"/>
  <c r="AO2687" i="2"/>
  <c r="AM2687" i="2"/>
  <c r="AL2687" i="2"/>
  <c r="AK2687" i="2"/>
  <c r="AJ2687" i="2"/>
  <c r="AI2687" i="2"/>
  <c r="AH2687" i="2"/>
  <c r="AG2687" i="2"/>
  <c r="AE2687" i="2"/>
  <c r="AD2687" i="2"/>
  <c r="AA2687" i="2"/>
  <c r="Z2687" i="2"/>
  <c r="Y2687" i="2"/>
  <c r="X2687" i="2"/>
  <c r="W2687" i="2"/>
  <c r="V2687" i="2"/>
  <c r="U2687" i="2"/>
  <c r="T2687" i="2"/>
  <c r="S2687" i="2"/>
  <c r="R2687" i="2"/>
  <c r="Q2687" i="2"/>
  <c r="P2687" i="2"/>
  <c r="O2687" i="2"/>
  <c r="N2687" i="2"/>
  <c r="M2687" i="2"/>
  <c r="L2687" i="2"/>
  <c r="K2687" i="2"/>
  <c r="J2687" i="2"/>
  <c r="I2687" i="2"/>
  <c r="H2687" i="2"/>
  <c r="G2687" i="2"/>
  <c r="F2687" i="2"/>
  <c r="E2687" i="2"/>
  <c r="D2687" i="2"/>
  <c r="C2687" i="2"/>
  <c r="B2687" i="2"/>
  <c r="A2687" i="2"/>
  <c r="AX2686" i="2"/>
  <c r="AV2686" i="2"/>
  <c r="AU2686" i="2"/>
  <c r="AS2686" i="2"/>
  <c r="AR2686" i="2"/>
  <c r="AQ2686" i="2"/>
  <c r="AO2686" i="2"/>
  <c r="AL2686" i="2"/>
  <c r="AK2686" i="2"/>
  <c r="AJ2686" i="2"/>
  <c r="AI2686" i="2"/>
  <c r="AH2686" i="2"/>
  <c r="AG2686" i="2"/>
  <c r="AE2686" i="2"/>
  <c r="AD2686" i="2"/>
  <c r="AA2686" i="2"/>
  <c r="Z2686" i="2"/>
  <c r="Y2686" i="2"/>
  <c r="X2686" i="2"/>
  <c r="T2686" i="2"/>
  <c r="S2686" i="2"/>
  <c r="R2686" i="2"/>
  <c r="Q2686" i="2"/>
  <c r="P2686" i="2"/>
  <c r="O2686" i="2"/>
  <c r="N2686" i="2"/>
  <c r="K2686" i="2"/>
  <c r="J2686" i="2"/>
  <c r="I2686" i="2"/>
  <c r="H2686" i="2"/>
  <c r="G2686" i="2"/>
  <c r="F2686" i="2"/>
  <c r="E2686" i="2"/>
  <c r="D2686" i="2"/>
  <c r="C2686" i="2"/>
  <c r="B2686" i="2"/>
  <c r="A2686" i="2"/>
  <c r="AX2685" i="2"/>
  <c r="AV2685" i="2"/>
  <c r="AU2685" i="2"/>
  <c r="AR2685" i="2"/>
  <c r="AQ2685" i="2"/>
  <c r="AO2685" i="2"/>
  <c r="AL2685" i="2"/>
  <c r="AK2685" i="2"/>
  <c r="AJ2685" i="2"/>
  <c r="AI2685" i="2"/>
  <c r="AH2685" i="2"/>
  <c r="AG2685" i="2"/>
  <c r="AE2685" i="2"/>
  <c r="AD2685" i="2"/>
  <c r="AA2685" i="2"/>
  <c r="Z2685" i="2"/>
  <c r="Y2685" i="2"/>
  <c r="X2685" i="2"/>
  <c r="W2685" i="2"/>
  <c r="V2685" i="2"/>
  <c r="U2685" i="2"/>
  <c r="T2685" i="2"/>
  <c r="S2685" i="2"/>
  <c r="R2685" i="2"/>
  <c r="Q2685" i="2"/>
  <c r="P2685" i="2"/>
  <c r="O2685" i="2"/>
  <c r="N2685" i="2"/>
  <c r="K2685" i="2"/>
  <c r="J2685" i="2"/>
  <c r="I2685" i="2"/>
  <c r="H2685" i="2"/>
  <c r="G2685" i="2"/>
  <c r="F2685" i="2"/>
  <c r="E2685" i="2"/>
  <c r="D2685" i="2"/>
  <c r="C2685" i="2"/>
  <c r="B2685" i="2"/>
  <c r="A2685" i="2"/>
  <c r="AX2684" i="2"/>
  <c r="AV2684" i="2"/>
  <c r="AU2684" i="2"/>
  <c r="AS2684" i="2"/>
  <c r="AR2684" i="2"/>
  <c r="AQ2684" i="2"/>
  <c r="AO2684" i="2"/>
  <c r="AL2684" i="2"/>
  <c r="AK2684" i="2"/>
  <c r="AJ2684" i="2"/>
  <c r="AI2684" i="2"/>
  <c r="AH2684" i="2"/>
  <c r="AG2684" i="2"/>
  <c r="AE2684" i="2"/>
  <c r="AD2684" i="2"/>
  <c r="AA2684" i="2"/>
  <c r="Z2684" i="2"/>
  <c r="Y2684" i="2"/>
  <c r="X2684" i="2"/>
  <c r="W2684" i="2"/>
  <c r="V2684" i="2"/>
  <c r="U2684" i="2"/>
  <c r="T2684" i="2"/>
  <c r="S2684" i="2"/>
  <c r="R2684" i="2"/>
  <c r="Q2684" i="2"/>
  <c r="P2684" i="2"/>
  <c r="O2684" i="2"/>
  <c r="N2684" i="2"/>
  <c r="K2684" i="2"/>
  <c r="J2684" i="2"/>
  <c r="I2684" i="2"/>
  <c r="H2684" i="2"/>
  <c r="G2684" i="2"/>
  <c r="F2684" i="2"/>
  <c r="E2684" i="2"/>
  <c r="D2684" i="2"/>
  <c r="C2684" i="2"/>
  <c r="B2684" i="2"/>
  <c r="A2684" i="2"/>
  <c r="AX2683" i="2"/>
  <c r="AV2683" i="2"/>
  <c r="AU2683" i="2"/>
  <c r="AR2683" i="2"/>
  <c r="AQ2683" i="2"/>
  <c r="AO2683" i="2"/>
  <c r="AL2683" i="2"/>
  <c r="AK2683" i="2"/>
  <c r="AJ2683" i="2"/>
  <c r="AI2683" i="2"/>
  <c r="AH2683" i="2"/>
  <c r="AG2683" i="2"/>
  <c r="AE2683" i="2"/>
  <c r="AD2683" i="2"/>
  <c r="AA2683" i="2"/>
  <c r="Z2683" i="2"/>
  <c r="Y2683" i="2"/>
  <c r="X2683" i="2"/>
  <c r="W2683" i="2"/>
  <c r="V2683" i="2"/>
  <c r="U2683" i="2"/>
  <c r="T2683" i="2"/>
  <c r="S2683" i="2"/>
  <c r="R2683" i="2"/>
  <c r="Q2683" i="2"/>
  <c r="P2683" i="2"/>
  <c r="O2683" i="2"/>
  <c r="N2683" i="2"/>
  <c r="K2683" i="2"/>
  <c r="J2683" i="2"/>
  <c r="I2683" i="2"/>
  <c r="H2683" i="2"/>
  <c r="G2683" i="2"/>
  <c r="F2683" i="2"/>
  <c r="E2683" i="2"/>
  <c r="D2683" i="2"/>
  <c r="C2683" i="2"/>
  <c r="B2683" i="2"/>
  <c r="A2683" i="2"/>
  <c r="AX2682" i="2"/>
  <c r="AV2682" i="2"/>
  <c r="AU2682" i="2"/>
  <c r="AS2682" i="2"/>
  <c r="AR2682" i="2"/>
  <c r="AQ2682" i="2"/>
  <c r="AP2682" i="2"/>
  <c r="AO2682" i="2"/>
  <c r="AN2682" i="2"/>
  <c r="AM2682" i="2"/>
  <c r="AL2682" i="2"/>
  <c r="AK2682" i="2"/>
  <c r="AJ2682" i="2"/>
  <c r="AI2682" i="2"/>
  <c r="AH2682" i="2"/>
  <c r="AG2682" i="2"/>
  <c r="AE2682" i="2"/>
  <c r="AD2682" i="2"/>
  <c r="AC2682" i="2"/>
  <c r="AA2682" i="2"/>
  <c r="Z2682" i="2"/>
  <c r="Y2682" i="2"/>
  <c r="X2682" i="2"/>
  <c r="V2682" i="2"/>
  <c r="U2682" i="2"/>
  <c r="T2682" i="2"/>
  <c r="S2682" i="2"/>
  <c r="R2682" i="2"/>
  <c r="Q2682" i="2"/>
  <c r="P2682" i="2"/>
  <c r="O2682" i="2"/>
  <c r="N2682" i="2"/>
  <c r="M2682" i="2"/>
  <c r="K2682" i="2"/>
  <c r="J2682" i="2"/>
  <c r="I2682" i="2"/>
  <c r="H2682" i="2"/>
  <c r="G2682" i="2"/>
  <c r="F2682" i="2"/>
  <c r="E2682" i="2"/>
  <c r="D2682" i="2"/>
  <c r="C2682" i="2"/>
  <c r="B2682" i="2"/>
  <c r="A2682" i="2"/>
  <c r="AX2681" i="2"/>
  <c r="AV2681" i="2"/>
  <c r="AU2681" i="2"/>
  <c r="AS2681" i="2"/>
  <c r="AR2681" i="2"/>
  <c r="AQ2681" i="2"/>
  <c r="AO2681" i="2"/>
  <c r="AL2681" i="2"/>
  <c r="AK2681" i="2"/>
  <c r="AI2681" i="2"/>
  <c r="AH2681" i="2"/>
  <c r="AG2681" i="2"/>
  <c r="AE2681" i="2"/>
  <c r="AD2681" i="2"/>
  <c r="AA2681" i="2"/>
  <c r="Z2681" i="2"/>
  <c r="Y2681" i="2"/>
  <c r="X2681" i="2"/>
  <c r="W2681" i="2"/>
  <c r="V2681" i="2"/>
  <c r="U2681" i="2"/>
  <c r="T2681" i="2"/>
  <c r="S2681" i="2"/>
  <c r="R2681" i="2"/>
  <c r="Q2681" i="2"/>
  <c r="P2681" i="2"/>
  <c r="O2681" i="2"/>
  <c r="N2681" i="2"/>
  <c r="K2681" i="2"/>
  <c r="J2681" i="2"/>
  <c r="I2681" i="2"/>
  <c r="H2681" i="2"/>
  <c r="G2681" i="2"/>
  <c r="F2681" i="2"/>
  <c r="E2681" i="2"/>
  <c r="D2681" i="2"/>
  <c r="C2681" i="2"/>
  <c r="B2681" i="2"/>
  <c r="A2681" i="2"/>
  <c r="AX2680" i="2"/>
  <c r="AV2680" i="2"/>
  <c r="AU2680" i="2"/>
  <c r="AS2680" i="2"/>
  <c r="AR2680" i="2"/>
  <c r="AQ2680" i="2"/>
  <c r="AO2680" i="2"/>
  <c r="AL2680" i="2"/>
  <c r="AK2680" i="2"/>
  <c r="AI2680" i="2"/>
  <c r="AH2680" i="2"/>
  <c r="AG2680" i="2"/>
  <c r="AE2680" i="2"/>
  <c r="AD2680" i="2"/>
  <c r="AA2680" i="2"/>
  <c r="Z2680" i="2"/>
  <c r="Y2680" i="2"/>
  <c r="X2680" i="2"/>
  <c r="V2680" i="2"/>
  <c r="U2680" i="2"/>
  <c r="T2680" i="2"/>
  <c r="S2680" i="2"/>
  <c r="R2680" i="2"/>
  <c r="Q2680" i="2"/>
  <c r="P2680" i="2"/>
  <c r="O2680" i="2"/>
  <c r="N2680" i="2"/>
  <c r="K2680" i="2"/>
  <c r="J2680" i="2"/>
  <c r="I2680" i="2"/>
  <c r="H2680" i="2"/>
  <c r="G2680" i="2"/>
  <c r="F2680" i="2"/>
  <c r="E2680" i="2"/>
  <c r="D2680" i="2"/>
  <c r="C2680" i="2"/>
  <c r="B2680" i="2"/>
  <c r="A2680" i="2"/>
  <c r="AX2679" i="2"/>
  <c r="AV2679" i="2"/>
  <c r="AU2679" i="2"/>
  <c r="AS2679" i="2"/>
  <c r="AR2679" i="2"/>
  <c r="AQ2679" i="2"/>
  <c r="AO2679" i="2"/>
  <c r="AL2679" i="2"/>
  <c r="AK2679" i="2"/>
  <c r="AJ2679" i="2"/>
  <c r="AI2679" i="2"/>
  <c r="AH2679" i="2"/>
  <c r="AG2679" i="2"/>
  <c r="AD2679" i="2"/>
  <c r="AA2679" i="2"/>
  <c r="Z2679" i="2"/>
  <c r="Y2679" i="2"/>
  <c r="X2679" i="2"/>
  <c r="W2679" i="2"/>
  <c r="V2679" i="2"/>
  <c r="U2679" i="2"/>
  <c r="T2679" i="2"/>
  <c r="S2679" i="2"/>
  <c r="R2679" i="2"/>
  <c r="Q2679" i="2"/>
  <c r="P2679" i="2"/>
  <c r="O2679" i="2"/>
  <c r="N2679" i="2"/>
  <c r="K2679" i="2"/>
  <c r="J2679" i="2"/>
  <c r="I2679" i="2"/>
  <c r="H2679" i="2"/>
  <c r="G2679" i="2"/>
  <c r="F2679" i="2"/>
  <c r="E2679" i="2"/>
  <c r="D2679" i="2"/>
  <c r="C2679" i="2"/>
  <c r="B2679" i="2"/>
  <c r="A2679" i="2"/>
  <c r="AX2678" i="2"/>
  <c r="AV2678" i="2"/>
  <c r="AU2678" i="2"/>
  <c r="AS2678" i="2"/>
  <c r="AR2678" i="2"/>
  <c r="AQ2678" i="2"/>
  <c r="AP2678" i="2"/>
  <c r="AO2678" i="2"/>
  <c r="AL2678" i="2"/>
  <c r="AK2678" i="2"/>
  <c r="AJ2678" i="2"/>
  <c r="AI2678" i="2"/>
  <c r="AH2678" i="2"/>
  <c r="AG2678" i="2"/>
  <c r="AE2678" i="2"/>
  <c r="AD2678" i="2"/>
  <c r="AA2678" i="2"/>
  <c r="Z2678" i="2"/>
  <c r="Y2678" i="2"/>
  <c r="X2678" i="2"/>
  <c r="W2678" i="2"/>
  <c r="V2678" i="2"/>
  <c r="U2678" i="2"/>
  <c r="T2678" i="2"/>
  <c r="S2678" i="2"/>
  <c r="R2678" i="2"/>
  <c r="Q2678" i="2"/>
  <c r="P2678" i="2"/>
  <c r="O2678" i="2"/>
  <c r="N2678" i="2"/>
  <c r="K2678" i="2"/>
  <c r="J2678" i="2"/>
  <c r="I2678" i="2"/>
  <c r="H2678" i="2"/>
  <c r="G2678" i="2"/>
  <c r="F2678" i="2"/>
  <c r="E2678" i="2"/>
  <c r="D2678" i="2"/>
  <c r="C2678" i="2"/>
  <c r="B2678" i="2"/>
  <c r="A2678" i="2"/>
  <c r="AX2677" i="2"/>
  <c r="AV2677" i="2"/>
  <c r="AU2677" i="2"/>
  <c r="AR2677" i="2"/>
  <c r="AQ2677" i="2"/>
  <c r="AO2677" i="2"/>
  <c r="AL2677" i="2"/>
  <c r="AK2677" i="2"/>
  <c r="AJ2677" i="2"/>
  <c r="AI2677" i="2"/>
  <c r="AH2677" i="2"/>
  <c r="AG2677" i="2"/>
  <c r="AD2677" i="2"/>
  <c r="AA2677" i="2"/>
  <c r="Z2677" i="2"/>
  <c r="Y2677" i="2"/>
  <c r="V2677" i="2"/>
  <c r="U2677" i="2"/>
  <c r="T2677" i="2"/>
  <c r="S2677" i="2"/>
  <c r="R2677" i="2"/>
  <c r="Q2677" i="2"/>
  <c r="P2677" i="2"/>
  <c r="O2677" i="2"/>
  <c r="N2677" i="2"/>
  <c r="K2677" i="2"/>
  <c r="J2677" i="2"/>
  <c r="I2677" i="2"/>
  <c r="H2677" i="2"/>
  <c r="G2677" i="2"/>
  <c r="F2677" i="2"/>
  <c r="E2677" i="2"/>
  <c r="D2677" i="2"/>
  <c r="C2677" i="2"/>
  <c r="B2677" i="2"/>
  <c r="A2677" i="2"/>
  <c r="AX2676" i="2"/>
  <c r="AV2676" i="2"/>
  <c r="AU2676" i="2"/>
  <c r="AS2676" i="2"/>
  <c r="AR2676" i="2"/>
  <c r="AQ2676" i="2"/>
  <c r="AO2676" i="2"/>
  <c r="AN2676" i="2"/>
  <c r="AM2676" i="2"/>
  <c r="AL2676" i="2"/>
  <c r="AK2676" i="2"/>
  <c r="AJ2676" i="2"/>
  <c r="AI2676" i="2"/>
  <c r="AH2676" i="2"/>
  <c r="AG2676" i="2"/>
  <c r="AE2676" i="2"/>
  <c r="AD2676" i="2"/>
  <c r="AA2676" i="2"/>
  <c r="Z2676" i="2"/>
  <c r="Y2676" i="2"/>
  <c r="X2676" i="2"/>
  <c r="V2676" i="2"/>
  <c r="U2676" i="2"/>
  <c r="T2676" i="2"/>
  <c r="S2676" i="2"/>
  <c r="R2676" i="2"/>
  <c r="Q2676" i="2"/>
  <c r="P2676" i="2"/>
  <c r="O2676" i="2"/>
  <c r="N2676" i="2"/>
  <c r="K2676" i="2"/>
  <c r="J2676" i="2"/>
  <c r="I2676" i="2"/>
  <c r="H2676" i="2"/>
  <c r="G2676" i="2"/>
  <c r="F2676" i="2"/>
  <c r="E2676" i="2"/>
  <c r="D2676" i="2"/>
  <c r="C2676" i="2"/>
  <c r="B2676" i="2"/>
  <c r="A2676" i="2"/>
  <c r="AX2675" i="2"/>
  <c r="AV2675" i="2"/>
  <c r="AU2675" i="2"/>
  <c r="AS2675" i="2"/>
  <c r="AR2675" i="2"/>
  <c r="AQ2675" i="2"/>
  <c r="AO2675" i="2"/>
  <c r="AN2675" i="2"/>
  <c r="AM2675" i="2"/>
  <c r="AL2675" i="2"/>
  <c r="AK2675" i="2"/>
  <c r="AJ2675" i="2"/>
  <c r="AI2675" i="2"/>
  <c r="AH2675" i="2"/>
  <c r="AG2675" i="2"/>
  <c r="AC2675" i="2"/>
  <c r="AA2675" i="2"/>
  <c r="Z2675" i="2"/>
  <c r="Y2675" i="2"/>
  <c r="W2675" i="2"/>
  <c r="V2675" i="2"/>
  <c r="U2675" i="2"/>
  <c r="T2675" i="2"/>
  <c r="S2675" i="2"/>
  <c r="R2675" i="2"/>
  <c r="Q2675" i="2"/>
  <c r="P2675" i="2"/>
  <c r="O2675" i="2"/>
  <c r="N2675" i="2"/>
  <c r="K2675" i="2"/>
  <c r="J2675" i="2"/>
  <c r="I2675" i="2"/>
  <c r="H2675" i="2"/>
  <c r="G2675" i="2"/>
  <c r="F2675" i="2"/>
  <c r="E2675" i="2"/>
  <c r="D2675" i="2"/>
  <c r="C2675" i="2"/>
  <c r="B2675" i="2"/>
  <c r="A2675" i="2"/>
  <c r="AX2674" i="2"/>
  <c r="AV2674" i="2"/>
  <c r="AU2674" i="2"/>
  <c r="AS2674" i="2"/>
  <c r="AR2674" i="2"/>
  <c r="AQ2674" i="2"/>
  <c r="AO2674" i="2"/>
  <c r="AL2674" i="2"/>
  <c r="AK2674" i="2"/>
  <c r="AJ2674" i="2"/>
  <c r="AI2674" i="2"/>
  <c r="AH2674" i="2"/>
  <c r="AG2674" i="2"/>
  <c r="AD2674" i="2"/>
  <c r="AA2674" i="2"/>
  <c r="Z2674" i="2"/>
  <c r="Y2674" i="2"/>
  <c r="X2674" i="2"/>
  <c r="W2674" i="2"/>
  <c r="V2674" i="2"/>
  <c r="U2674" i="2"/>
  <c r="T2674" i="2"/>
  <c r="S2674" i="2"/>
  <c r="R2674" i="2"/>
  <c r="Q2674" i="2"/>
  <c r="P2674" i="2"/>
  <c r="O2674" i="2"/>
  <c r="N2674" i="2"/>
  <c r="K2674" i="2"/>
  <c r="J2674" i="2"/>
  <c r="I2674" i="2"/>
  <c r="H2674" i="2"/>
  <c r="G2674" i="2"/>
  <c r="F2674" i="2"/>
  <c r="E2674" i="2"/>
  <c r="D2674" i="2"/>
  <c r="C2674" i="2"/>
  <c r="B2674" i="2"/>
  <c r="A2674" i="2"/>
  <c r="AX2673" i="2"/>
  <c r="AV2673" i="2"/>
  <c r="AU2673" i="2"/>
  <c r="AR2673" i="2"/>
  <c r="AQ2673" i="2"/>
  <c r="AO2673" i="2"/>
  <c r="AL2673" i="2"/>
  <c r="AK2673" i="2"/>
  <c r="AJ2673" i="2"/>
  <c r="AI2673" i="2"/>
  <c r="AH2673" i="2"/>
  <c r="AG2673" i="2"/>
  <c r="AE2673" i="2"/>
  <c r="AD2673" i="2"/>
  <c r="AA2673" i="2"/>
  <c r="Z2673" i="2"/>
  <c r="Y2673" i="2"/>
  <c r="X2673" i="2"/>
  <c r="U2673" i="2"/>
  <c r="T2673" i="2"/>
  <c r="S2673" i="2"/>
  <c r="R2673" i="2"/>
  <c r="Q2673" i="2"/>
  <c r="P2673" i="2"/>
  <c r="O2673" i="2"/>
  <c r="N2673" i="2"/>
  <c r="K2673" i="2"/>
  <c r="J2673" i="2"/>
  <c r="I2673" i="2"/>
  <c r="H2673" i="2"/>
  <c r="G2673" i="2"/>
  <c r="F2673" i="2"/>
  <c r="E2673" i="2"/>
  <c r="D2673" i="2"/>
  <c r="C2673" i="2"/>
  <c r="B2673" i="2"/>
  <c r="A2673" i="2"/>
  <c r="AX2672" i="2"/>
  <c r="AV2672" i="2"/>
  <c r="AU2672" i="2"/>
  <c r="AS2672" i="2"/>
  <c r="AR2672" i="2"/>
  <c r="AQ2672" i="2"/>
  <c r="AO2672" i="2"/>
  <c r="AM2672" i="2"/>
  <c r="AK2672" i="2"/>
  <c r="AJ2672" i="2"/>
  <c r="AI2672" i="2"/>
  <c r="AH2672" i="2"/>
  <c r="AG2672" i="2"/>
  <c r="AE2672" i="2"/>
  <c r="AD2672" i="2"/>
  <c r="AA2672" i="2"/>
  <c r="Z2672" i="2"/>
  <c r="Y2672" i="2"/>
  <c r="X2672" i="2"/>
  <c r="W2672" i="2"/>
  <c r="V2672" i="2"/>
  <c r="U2672" i="2"/>
  <c r="T2672" i="2"/>
  <c r="S2672" i="2"/>
  <c r="R2672" i="2"/>
  <c r="Q2672" i="2"/>
  <c r="P2672" i="2"/>
  <c r="O2672" i="2"/>
  <c r="N2672" i="2"/>
  <c r="M2672" i="2"/>
  <c r="L2672" i="2"/>
  <c r="K2672" i="2"/>
  <c r="J2672" i="2"/>
  <c r="I2672" i="2"/>
  <c r="H2672" i="2"/>
  <c r="G2672" i="2"/>
  <c r="F2672" i="2"/>
  <c r="E2672" i="2"/>
  <c r="D2672" i="2"/>
  <c r="C2672" i="2"/>
  <c r="B2672" i="2"/>
  <c r="A2672" i="2"/>
  <c r="AX2671" i="2"/>
  <c r="AV2671" i="2"/>
  <c r="AU2671" i="2"/>
  <c r="AS2671" i="2"/>
  <c r="AR2671" i="2"/>
  <c r="AQ2671" i="2"/>
  <c r="AO2671" i="2"/>
  <c r="AL2671" i="2"/>
  <c r="AK2671" i="2"/>
  <c r="AJ2671" i="2"/>
  <c r="AI2671" i="2"/>
  <c r="AH2671" i="2"/>
  <c r="AG2671" i="2"/>
  <c r="AE2671" i="2"/>
  <c r="AD2671" i="2"/>
  <c r="AA2671" i="2"/>
  <c r="Z2671" i="2"/>
  <c r="Y2671" i="2"/>
  <c r="X2671" i="2"/>
  <c r="W2671" i="2"/>
  <c r="V2671" i="2"/>
  <c r="U2671" i="2"/>
  <c r="T2671" i="2"/>
  <c r="S2671" i="2"/>
  <c r="R2671" i="2"/>
  <c r="Q2671" i="2"/>
  <c r="P2671" i="2"/>
  <c r="O2671" i="2"/>
  <c r="N2671" i="2"/>
  <c r="K2671" i="2"/>
  <c r="J2671" i="2"/>
  <c r="I2671" i="2"/>
  <c r="H2671" i="2"/>
  <c r="G2671" i="2"/>
  <c r="F2671" i="2"/>
  <c r="E2671" i="2"/>
  <c r="D2671" i="2"/>
  <c r="C2671" i="2"/>
  <c r="B2671" i="2"/>
  <c r="A2671" i="2"/>
  <c r="AX2670" i="2"/>
  <c r="AV2670" i="2"/>
  <c r="AU2670" i="2"/>
  <c r="Z2670" i="2"/>
  <c r="Y2670" i="2"/>
  <c r="T2670" i="2"/>
  <c r="S2670" i="2"/>
  <c r="R2670" i="2"/>
  <c r="Q2670" i="2"/>
  <c r="P2670" i="2"/>
  <c r="O2670" i="2"/>
  <c r="N2670" i="2"/>
  <c r="M2670" i="2"/>
  <c r="K2670" i="2"/>
  <c r="J2670" i="2"/>
  <c r="I2670" i="2"/>
  <c r="H2670" i="2"/>
  <c r="G2670" i="2"/>
  <c r="F2670" i="2"/>
  <c r="E2670" i="2"/>
  <c r="D2670" i="2"/>
  <c r="C2670" i="2"/>
  <c r="B2670" i="2"/>
  <c r="A2670" i="2"/>
  <c r="AX2669" i="2"/>
  <c r="AV2669" i="2"/>
  <c r="AU2669" i="2"/>
  <c r="AS2669" i="2"/>
  <c r="AR2669" i="2"/>
  <c r="AQ2669" i="2"/>
  <c r="AO2669" i="2"/>
  <c r="AL2669" i="2"/>
  <c r="AK2669" i="2"/>
  <c r="AJ2669" i="2"/>
  <c r="AI2669" i="2"/>
  <c r="AH2669" i="2"/>
  <c r="AG2669" i="2"/>
  <c r="AE2669" i="2"/>
  <c r="AD2669" i="2"/>
  <c r="AA2669" i="2"/>
  <c r="Z2669" i="2"/>
  <c r="Y2669" i="2"/>
  <c r="X2669" i="2"/>
  <c r="W2669" i="2"/>
  <c r="V2669" i="2"/>
  <c r="U2669" i="2"/>
  <c r="T2669" i="2"/>
  <c r="S2669" i="2"/>
  <c r="R2669" i="2"/>
  <c r="Q2669" i="2"/>
  <c r="P2669" i="2"/>
  <c r="O2669" i="2"/>
  <c r="N2669" i="2"/>
  <c r="K2669" i="2"/>
  <c r="J2669" i="2"/>
  <c r="I2669" i="2"/>
  <c r="H2669" i="2"/>
  <c r="G2669" i="2"/>
  <c r="F2669" i="2"/>
  <c r="E2669" i="2"/>
  <c r="D2669" i="2"/>
  <c r="C2669" i="2"/>
  <c r="B2669" i="2"/>
  <c r="A2669" i="2"/>
  <c r="AX2668" i="2"/>
  <c r="AV2668" i="2"/>
  <c r="AU2668" i="2"/>
  <c r="AS2668" i="2"/>
  <c r="AR2668" i="2"/>
  <c r="AQ2668" i="2"/>
  <c r="AO2668" i="2"/>
  <c r="AL2668" i="2"/>
  <c r="AK2668" i="2"/>
  <c r="AJ2668" i="2"/>
  <c r="AI2668" i="2"/>
  <c r="AH2668" i="2"/>
  <c r="AG2668" i="2"/>
  <c r="AF2668" i="2"/>
  <c r="AE2668" i="2"/>
  <c r="AD2668" i="2"/>
  <c r="AA2668" i="2"/>
  <c r="Z2668" i="2"/>
  <c r="Y2668" i="2"/>
  <c r="X2668" i="2"/>
  <c r="W2668" i="2"/>
  <c r="V2668" i="2"/>
  <c r="U2668" i="2"/>
  <c r="T2668" i="2"/>
  <c r="S2668" i="2"/>
  <c r="R2668" i="2"/>
  <c r="Q2668" i="2"/>
  <c r="P2668" i="2"/>
  <c r="O2668" i="2"/>
  <c r="N2668" i="2"/>
  <c r="K2668" i="2"/>
  <c r="J2668" i="2"/>
  <c r="I2668" i="2"/>
  <c r="H2668" i="2"/>
  <c r="G2668" i="2"/>
  <c r="F2668" i="2"/>
  <c r="E2668" i="2"/>
  <c r="D2668" i="2"/>
  <c r="C2668" i="2"/>
  <c r="B2668" i="2"/>
  <c r="A2668" i="2"/>
  <c r="AX2667" i="2"/>
  <c r="AV2667" i="2"/>
  <c r="AU2667" i="2"/>
  <c r="AR2667" i="2"/>
  <c r="AO2667" i="2"/>
  <c r="AM2667" i="2"/>
  <c r="AL2667" i="2"/>
  <c r="AK2667" i="2"/>
  <c r="AJ2667" i="2"/>
  <c r="AI2667" i="2"/>
  <c r="AH2667" i="2"/>
  <c r="AG2667" i="2"/>
  <c r="AE2667" i="2"/>
  <c r="AD2667" i="2"/>
  <c r="AA2667" i="2"/>
  <c r="Z2667" i="2"/>
  <c r="Y2667" i="2"/>
  <c r="X2667" i="2"/>
  <c r="W2667" i="2"/>
  <c r="V2667" i="2"/>
  <c r="U2667" i="2"/>
  <c r="T2667" i="2"/>
  <c r="S2667" i="2"/>
  <c r="R2667" i="2"/>
  <c r="Q2667" i="2"/>
  <c r="P2667" i="2"/>
  <c r="O2667" i="2"/>
  <c r="N2667" i="2"/>
  <c r="M2667" i="2"/>
  <c r="K2667" i="2"/>
  <c r="J2667" i="2"/>
  <c r="I2667" i="2"/>
  <c r="H2667" i="2"/>
  <c r="G2667" i="2"/>
  <c r="F2667" i="2"/>
  <c r="E2667" i="2"/>
  <c r="D2667" i="2"/>
  <c r="C2667" i="2"/>
  <c r="B2667" i="2"/>
  <c r="A2667" i="2"/>
  <c r="AX2666" i="2"/>
  <c r="AV2666" i="2"/>
  <c r="AU2666" i="2"/>
  <c r="AS2666" i="2"/>
  <c r="AR2666" i="2"/>
  <c r="AQ2666" i="2"/>
  <c r="AO2666" i="2"/>
  <c r="AL2666" i="2"/>
  <c r="AK2666" i="2"/>
  <c r="AJ2666" i="2"/>
  <c r="AI2666" i="2"/>
  <c r="AH2666" i="2"/>
  <c r="AG2666" i="2"/>
  <c r="AE2666" i="2"/>
  <c r="AD2666" i="2"/>
  <c r="AA2666" i="2"/>
  <c r="Z2666" i="2"/>
  <c r="Y2666" i="2"/>
  <c r="X2666" i="2"/>
  <c r="W2666" i="2"/>
  <c r="V2666" i="2"/>
  <c r="U2666" i="2"/>
  <c r="T2666" i="2"/>
  <c r="S2666" i="2"/>
  <c r="R2666" i="2"/>
  <c r="Q2666" i="2"/>
  <c r="P2666" i="2"/>
  <c r="O2666" i="2"/>
  <c r="N2666" i="2"/>
  <c r="K2666" i="2"/>
  <c r="J2666" i="2"/>
  <c r="I2666" i="2"/>
  <c r="H2666" i="2"/>
  <c r="G2666" i="2"/>
  <c r="F2666" i="2"/>
  <c r="E2666" i="2"/>
  <c r="D2666" i="2"/>
  <c r="C2666" i="2"/>
  <c r="B2666" i="2"/>
  <c r="A2666" i="2"/>
  <c r="AX2665" i="2"/>
  <c r="AV2665" i="2"/>
  <c r="AU2665" i="2"/>
  <c r="AR2665" i="2"/>
  <c r="AQ2665" i="2"/>
  <c r="AO2665" i="2"/>
  <c r="AL2665" i="2"/>
  <c r="AK2665" i="2"/>
  <c r="AJ2665" i="2"/>
  <c r="AI2665" i="2"/>
  <c r="AH2665" i="2"/>
  <c r="AG2665" i="2"/>
  <c r="AE2665" i="2"/>
  <c r="AD2665" i="2"/>
  <c r="AA2665" i="2"/>
  <c r="Z2665" i="2"/>
  <c r="Y2665" i="2"/>
  <c r="X2665" i="2"/>
  <c r="V2665" i="2"/>
  <c r="U2665" i="2"/>
  <c r="T2665" i="2"/>
  <c r="S2665" i="2"/>
  <c r="R2665" i="2"/>
  <c r="Q2665" i="2"/>
  <c r="P2665" i="2"/>
  <c r="O2665" i="2"/>
  <c r="N2665" i="2"/>
  <c r="K2665" i="2"/>
  <c r="J2665" i="2"/>
  <c r="I2665" i="2"/>
  <c r="H2665" i="2"/>
  <c r="G2665" i="2"/>
  <c r="F2665" i="2"/>
  <c r="E2665" i="2"/>
  <c r="D2665" i="2"/>
  <c r="C2665" i="2"/>
  <c r="B2665" i="2"/>
  <c r="A2665" i="2"/>
  <c r="AX2664" i="2"/>
  <c r="AV2664" i="2"/>
  <c r="AU2664" i="2"/>
  <c r="AS2664" i="2"/>
  <c r="AR2664" i="2"/>
  <c r="AQ2664" i="2"/>
  <c r="AO2664" i="2"/>
  <c r="AL2664" i="2"/>
  <c r="AK2664" i="2"/>
  <c r="AJ2664" i="2"/>
  <c r="AI2664" i="2"/>
  <c r="AH2664" i="2"/>
  <c r="AG2664" i="2"/>
  <c r="AE2664" i="2"/>
  <c r="AD2664" i="2"/>
  <c r="AA2664" i="2"/>
  <c r="Z2664" i="2"/>
  <c r="Y2664" i="2"/>
  <c r="X2664" i="2"/>
  <c r="W2664" i="2"/>
  <c r="V2664" i="2"/>
  <c r="U2664" i="2"/>
  <c r="T2664" i="2"/>
  <c r="S2664" i="2"/>
  <c r="R2664" i="2"/>
  <c r="Q2664" i="2"/>
  <c r="P2664" i="2"/>
  <c r="O2664" i="2"/>
  <c r="N2664" i="2"/>
  <c r="K2664" i="2"/>
  <c r="J2664" i="2"/>
  <c r="I2664" i="2"/>
  <c r="H2664" i="2"/>
  <c r="G2664" i="2"/>
  <c r="F2664" i="2"/>
  <c r="E2664" i="2"/>
  <c r="D2664" i="2"/>
  <c r="C2664" i="2"/>
  <c r="B2664" i="2"/>
  <c r="A2664" i="2"/>
  <c r="AX2663" i="2"/>
  <c r="AV2663" i="2"/>
  <c r="AU2663" i="2"/>
  <c r="AR2663" i="2"/>
  <c r="AQ2663" i="2"/>
  <c r="AO2663" i="2"/>
  <c r="AL2663" i="2"/>
  <c r="AK2663" i="2"/>
  <c r="AJ2663" i="2"/>
  <c r="AI2663" i="2"/>
  <c r="AH2663" i="2"/>
  <c r="AG2663" i="2"/>
  <c r="AF2663" i="2"/>
  <c r="AE2663" i="2"/>
  <c r="AD2663" i="2"/>
  <c r="AA2663" i="2"/>
  <c r="Z2663" i="2"/>
  <c r="Y2663" i="2"/>
  <c r="X2663" i="2"/>
  <c r="W2663" i="2"/>
  <c r="V2663" i="2"/>
  <c r="U2663" i="2"/>
  <c r="T2663" i="2"/>
  <c r="S2663" i="2"/>
  <c r="R2663" i="2"/>
  <c r="Q2663" i="2"/>
  <c r="P2663" i="2"/>
  <c r="O2663" i="2"/>
  <c r="N2663" i="2"/>
  <c r="K2663" i="2"/>
  <c r="J2663" i="2"/>
  <c r="I2663" i="2"/>
  <c r="H2663" i="2"/>
  <c r="G2663" i="2"/>
  <c r="F2663" i="2"/>
  <c r="E2663" i="2"/>
  <c r="D2663" i="2"/>
  <c r="C2663" i="2"/>
  <c r="B2663" i="2"/>
  <c r="A2663" i="2"/>
  <c r="AX2662" i="2"/>
  <c r="AV2662" i="2"/>
  <c r="AU2662" i="2"/>
  <c r="AS2662" i="2"/>
  <c r="AR2662" i="2"/>
  <c r="AQ2662" i="2"/>
  <c r="AO2662" i="2"/>
  <c r="AL2662" i="2"/>
  <c r="AK2662" i="2"/>
  <c r="AJ2662" i="2"/>
  <c r="AI2662" i="2"/>
  <c r="AH2662" i="2"/>
  <c r="AG2662" i="2"/>
  <c r="AE2662" i="2"/>
  <c r="AA2662" i="2"/>
  <c r="Z2662" i="2"/>
  <c r="Y2662" i="2"/>
  <c r="X2662" i="2"/>
  <c r="W2662" i="2"/>
  <c r="V2662" i="2"/>
  <c r="U2662" i="2"/>
  <c r="T2662" i="2"/>
  <c r="S2662" i="2"/>
  <c r="R2662" i="2"/>
  <c r="Q2662" i="2"/>
  <c r="P2662" i="2"/>
  <c r="O2662" i="2"/>
  <c r="N2662" i="2"/>
  <c r="K2662" i="2"/>
  <c r="J2662" i="2"/>
  <c r="I2662" i="2"/>
  <c r="H2662" i="2"/>
  <c r="G2662" i="2"/>
  <c r="F2662" i="2"/>
  <c r="E2662" i="2"/>
  <c r="D2662" i="2"/>
  <c r="C2662" i="2"/>
  <c r="B2662" i="2"/>
  <c r="A2662" i="2"/>
  <c r="AX2661" i="2"/>
  <c r="AV2661" i="2"/>
  <c r="AU2661" i="2"/>
  <c r="AS2661" i="2"/>
  <c r="AR2661" i="2"/>
  <c r="AQ2661" i="2"/>
  <c r="AO2661" i="2"/>
  <c r="AL2661" i="2"/>
  <c r="AK2661" i="2"/>
  <c r="AJ2661" i="2"/>
  <c r="AI2661" i="2"/>
  <c r="AH2661" i="2"/>
  <c r="AG2661" i="2"/>
  <c r="AF2661" i="2"/>
  <c r="AE2661" i="2"/>
  <c r="AA2661" i="2"/>
  <c r="Z2661" i="2"/>
  <c r="Y2661" i="2"/>
  <c r="X2661" i="2"/>
  <c r="W2661" i="2"/>
  <c r="V2661" i="2"/>
  <c r="U2661" i="2"/>
  <c r="T2661" i="2"/>
  <c r="S2661" i="2"/>
  <c r="R2661" i="2"/>
  <c r="Q2661" i="2"/>
  <c r="P2661" i="2"/>
  <c r="O2661" i="2"/>
  <c r="N2661" i="2"/>
  <c r="K2661" i="2"/>
  <c r="J2661" i="2"/>
  <c r="I2661" i="2"/>
  <c r="H2661" i="2"/>
  <c r="G2661" i="2"/>
  <c r="F2661" i="2"/>
  <c r="E2661" i="2"/>
  <c r="D2661" i="2"/>
  <c r="C2661" i="2"/>
  <c r="B2661" i="2"/>
  <c r="A2661" i="2"/>
  <c r="AX2660" i="2"/>
  <c r="AV2660" i="2"/>
  <c r="AU2660" i="2"/>
  <c r="AS2660" i="2"/>
  <c r="AR2660" i="2"/>
  <c r="AQ2660" i="2"/>
  <c r="AO2660" i="2"/>
  <c r="AL2660" i="2"/>
  <c r="AK2660" i="2"/>
  <c r="AJ2660" i="2"/>
  <c r="AI2660" i="2"/>
  <c r="AH2660" i="2"/>
  <c r="AG2660" i="2"/>
  <c r="AE2660" i="2"/>
  <c r="AD2660" i="2"/>
  <c r="AA2660" i="2"/>
  <c r="Z2660" i="2"/>
  <c r="Y2660" i="2"/>
  <c r="X2660" i="2"/>
  <c r="U2660" i="2"/>
  <c r="T2660" i="2"/>
  <c r="S2660" i="2"/>
  <c r="R2660" i="2"/>
  <c r="Q2660" i="2"/>
  <c r="P2660" i="2"/>
  <c r="O2660" i="2"/>
  <c r="N2660" i="2"/>
  <c r="K2660" i="2"/>
  <c r="J2660" i="2"/>
  <c r="I2660" i="2"/>
  <c r="H2660" i="2"/>
  <c r="G2660" i="2"/>
  <c r="F2660" i="2"/>
  <c r="E2660" i="2"/>
  <c r="D2660" i="2"/>
  <c r="C2660" i="2"/>
  <c r="B2660" i="2"/>
  <c r="A2660" i="2"/>
  <c r="AX2659" i="2"/>
  <c r="AV2659" i="2"/>
  <c r="AU2659" i="2"/>
  <c r="AS2659" i="2"/>
  <c r="AR2659" i="2"/>
  <c r="AQ2659" i="2"/>
  <c r="AO2659" i="2"/>
  <c r="AL2659" i="2"/>
  <c r="AK2659" i="2"/>
  <c r="AJ2659" i="2"/>
  <c r="AI2659" i="2"/>
  <c r="AH2659" i="2"/>
  <c r="AG2659" i="2"/>
  <c r="AE2659" i="2"/>
  <c r="AD2659" i="2"/>
  <c r="AA2659" i="2"/>
  <c r="Z2659" i="2"/>
  <c r="Y2659" i="2"/>
  <c r="X2659" i="2"/>
  <c r="W2659" i="2"/>
  <c r="V2659" i="2"/>
  <c r="U2659" i="2"/>
  <c r="T2659" i="2"/>
  <c r="S2659" i="2"/>
  <c r="R2659" i="2"/>
  <c r="Q2659" i="2"/>
  <c r="P2659" i="2"/>
  <c r="O2659" i="2"/>
  <c r="N2659" i="2"/>
  <c r="K2659" i="2"/>
  <c r="J2659" i="2"/>
  <c r="I2659" i="2"/>
  <c r="H2659" i="2"/>
  <c r="G2659" i="2"/>
  <c r="F2659" i="2"/>
  <c r="E2659" i="2"/>
  <c r="D2659" i="2"/>
  <c r="C2659" i="2"/>
  <c r="B2659" i="2"/>
  <c r="A2659" i="2"/>
  <c r="AX2658" i="2"/>
  <c r="AV2658" i="2"/>
  <c r="AU2658" i="2"/>
  <c r="AS2658" i="2"/>
  <c r="AR2658" i="2"/>
  <c r="AQ2658" i="2"/>
  <c r="AO2658" i="2"/>
  <c r="AL2658" i="2"/>
  <c r="AK2658" i="2"/>
  <c r="AJ2658" i="2"/>
  <c r="AI2658" i="2"/>
  <c r="AH2658" i="2"/>
  <c r="AG2658" i="2"/>
  <c r="AF2658" i="2"/>
  <c r="AE2658" i="2"/>
  <c r="AD2658" i="2"/>
  <c r="AA2658" i="2"/>
  <c r="Z2658" i="2"/>
  <c r="Y2658" i="2"/>
  <c r="X2658" i="2"/>
  <c r="U2658" i="2"/>
  <c r="T2658" i="2"/>
  <c r="S2658" i="2"/>
  <c r="R2658" i="2"/>
  <c r="Q2658" i="2"/>
  <c r="P2658" i="2"/>
  <c r="O2658" i="2"/>
  <c r="N2658" i="2"/>
  <c r="K2658" i="2"/>
  <c r="J2658" i="2"/>
  <c r="I2658" i="2"/>
  <c r="H2658" i="2"/>
  <c r="G2658" i="2"/>
  <c r="F2658" i="2"/>
  <c r="E2658" i="2"/>
  <c r="D2658" i="2"/>
  <c r="C2658" i="2"/>
  <c r="B2658" i="2"/>
  <c r="A2658" i="2"/>
  <c r="AX2657" i="2"/>
  <c r="AV2657" i="2"/>
  <c r="AU2657" i="2"/>
  <c r="AS2657" i="2"/>
  <c r="AR2657" i="2"/>
  <c r="AQ2657" i="2"/>
  <c r="AO2657" i="2"/>
  <c r="AL2657" i="2"/>
  <c r="AK2657" i="2"/>
  <c r="AJ2657" i="2"/>
  <c r="AI2657" i="2"/>
  <c r="AH2657" i="2"/>
  <c r="AG2657" i="2"/>
  <c r="AE2657" i="2"/>
  <c r="AD2657" i="2"/>
  <c r="AA2657" i="2"/>
  <c r="Z2657" i="2"/>
  <c r="Y2657" i="2"/>
  <c r="X2657" i="2"/>
  <c r="W2657" i="2"/>
  <c r="V2657" i="2"/>
  <c r="U2657" i="2"/>
  <c r="T2657" i="2"/>
  <c r="S2657" i="2"/>
  <c r="R2657" i="2"/>
  <c r="Q2657" i="2"/>
  <c r="P2657" i="2"/>
  <c r="O2657" i="2"/>
  <c r="N2657" i="2"/>
  <c r="K2657" i="2"/>
  <c r="J2657" i="2"/>
  <c r="I2657" i="2"/>
  <c r="H2657" i="2"/>
  <c r="G2657" i="2"/>
  <c r="F2657" i="2"/>
  <c r="E2657" i="2"/>
  <c r="D2657" i="2"/>
  <c r="C2657" i="2"/>
  <c r="B2657" i="2"/>
  <c r="A2657" i="2"/>
  <c r="AX2656" i="2"/>
  <c r="AV2656" i="2"/>
  <c r="AU2656" i="2"/>
  <c r="AS2656" i="2"/>
  <c r="AR2656" i="2"/>
  <c r="AQ2656" i="2"/>
  <c r="AO2656" i="2"/>
  <c r="AL2656" i="2"/>
  <c r="AK2656" i="2"/>
  <c r="AJ2656" i="2"/>
  <c r="AI2656" i="2"/>
  <c r="AH2656" i="2"/>
  <c r="AG2656" i="2"/>
  <c r="AE2656" i="2"/>
  <c r="AD2656" i="2"/>
  <c r="AA2656" i="2"/>
  <c r="Z2656" i="2"/>
  <c r="Y2656" i="2"/>
  <c r="X2656" i="2"/>
  <c r="U2656" i="2"/>
  <c r="T2656" i="2"/>
  <c r="S2656" i="2"/>
  <c r="R2656" i="2"/>
  <c r="Q2656" i="2"/>
  <c r="P2656" i="2"/>
  <c r="O2656" i="2"/>
  <c r="N2656" i="2"/>
  <c r="K2656" i="2"/>
  <c r="J2656" i="2"/>
  <c r="I2656" i="2"/>
  <c r="H2656" i="2"/>
  <c r="G2656" i="2"/>
  <c r="F2656" i="2"/>
  <c r="E2656" i="2"/>
  <c r="D2656" i="2"/>
  <c r="C2656" i="2"/>
  <c r="B2656" i="2"/>
  <c r="A2656" i="2"/>
  <c r="AX2655" i="2"/>
  <c r="AV2655" i="2"/>
  <c r="AU2655" i="2"/>
  <c r="AS2655" i="2"/>
  <c r="AR2655" i="2"/>
  <c r="AQ2655" i="2"/>
  <c r="AO2655" i="2"/>
  <c r="AL2655" i="2"/>
  <c r="AK2655" i="2"/>
  <c r="AJ2655" i="2"/>
  <c r="AI2655" i="2"/>
  <c r="AH2655" i="2"/>
  <c r="AG2655" i="2"/>
  <c r="AE2655" i="2"/>
  <c r="AD2655" i="2"/>
  <c r="AA2655" i="2"/>
  <c r="Z2655" i="2"/>
  <c r="Y2655" i="2"/>
  <c r="V2655" i="2"/>
  <c r="U2655" i="2"/>
  <c r="T2655" i="2"/>
  <c r="S2655" i="2"/>
  <c r="R2655" i="2"/>
  <c r="Q2655" i="2"/>
  <c r="P2655" i="2"/>
  <c r="O2655" i="2"/>
  <c r="N2655" i="2"/>
  <c r="K2655" i="2"/>
  <c r="J2655" i="2"/>
  <c r="I2655" i="2"/>
  <c r="H2655" i="2"/>
  <c r="G2655" i="2"/>
  <c r="F2655" i="2"/>
  <c r="E2655" i="2"/>
  <c r="D2655" i="2"/>
  <c r="C2655" i="2"/>
  <c r="B2655" i="2"/>
  <c r="A2655" i="2"/>
  <c r="AX2654" i="2"/>
  <c r="AV2654" i="2"/>
  <c r="AU2654" i="2"/>
  <c r="AS2654" i="2"/>
  <c r="AO2654" i="2"/>
  <c r="AN2654" i="2"/>
  <c r="AM2654" i="2"/>
  <c r="AL2654" i="2"/>
  <c r="AK2654" i="2"/>
  <c r="AJ2654" i="2"/>
  <c r="AI2654" i="2"/>
  <c r="AH2654" i="2"/>
  <c r="AG2654" i="2"/>
  <c r="AE2654" i="2"/>
  <c r="AD2654" i="2"/>
  <c r="AA2654" i="2"/>
  <c r="Z2654" i="2"/>
  <c r="Y2654" i="2"/>
  <c r="X2654" i="2"/>
  <c r="W2654" i="2"/>
  <c r="V2654" i="2"/>
  <c r="U2654" i="2"/>
  <c r="T2654" i="2"/>
  <c r="S2654" i="2"/>
  <c r="R2654" i="2"/>
  <c r="Q2654" i="2"/>
  <c r="P2654" i="2"/>
  <c r="O2654" i="2"/>
  <c r="N2654" i="2"/>
  <c r="M2654" i="2"/>
  <c r="K2654" i="2"/>
  <c r="J2654" i="2"/>
  <c r="I2654" i="2"/>
  <c r="H2654" i="2"/>
  <c r="G2654" i="2"/>
  <c r="F2654" i="2"/>
  <c r="E2654" i="2"/>
  <c r="D2654" i="2"/>
  <c r="C2654" i="2"/>
  <c r="B2654" i="2"/>
  <c r="A2654" i="2"/>
  <c r="AX2653" i="2"/>
  <c r="AV2653" i="2"/>
  <c r="AU2653" i="2"/>
  <c r="AS2653" i="2"/>
  <c r="AR2653" i="2"/>
  <c r="AQ2653" i="2"/>
  <c r="AO2653" i="2"/>
  <c r="AL2653" i="2"/>
  <c r="AK2653" i="2"/>
  <c r="AJ2653" i="2"/>
  <c r="AI2653" i="2"/>
  <c r="AH2653" i="2"/>
  <c r="AG2653" i="2"/>
  <c r="AF2653" i="2"/>
  <c r="AE2653" i="2"/>
  <c r="AD2653" i="2"/>
  <c r="AA2653" i="2"/>
  <c r="Z2653" i="2"/>
  <c r="Y2653" i="2"/>
  <c r="X2653" i="2"/>
  <c r="W2653" i="2"/>
  <c r="V2653" i="2"/>
  <c r="U2653" i="2"/>
  <c r="T2653" i="2"/>
  <c r="S2653" i="2"/>
  <c r="R2653" i="2"/>
  <c r="Q2653" i="2"/>
  <c r="P2653" i="2"/>
  <c r="O2653" i="2"/>
  <c r="N2653" i="2"/>
  <c r="K2653" i="2"/>
  <c r="J2653" i="2"/>
  <c r="I2653" i="2"/>
  <c r="H2653" i="2"/>
  <c r="G2653" i="2"/>
  <c r="F2653" i="2"/>
  <c r="E2653" i="2"/>
  <c r="D2653" i="2"/>
  <c r="C2653" i="2"/>
  <c r="B2653" i="2"/>
  <c r="A2653" i="2"/>
  <c r="AX2652" i="2"/>
  <c r="AV2652" i="2"/>
  <c r="AU2652" i="2"/>
  <c r="AS2652" i="2"/>
  <c r="AR2652" i="2"/>
  <c r="AQ2652" i="2"/>
  <c r="AO2652" i="2"/>
  <c r="AL2652" i="2"/>
  <c r="AK2652" i="2"/>
  <c r="AJ2652" i="2"/>
  <c r="AI2652" i="2"/>
  <c r="AH2652" i="2"/>
  <c r="AG2652" i="2"/>
  <c r="AD2652" i="2"/>
  <c r="AA2652" i="2"/>
  <c r="Z2652" i="2"/>
  <c r="Y2652" i="2"/>
  <c r="X2652" i="2"/>
  <c r="W2652" i="2"/>
  <c r="V2652" i="2"/>
  <c r="U2652" i="2"/>
  <c r="T2652" i="2"/>
  <c r="S2652" i="2"/>
  <c r="R2652" i="2"/>
  <c r="Q2652" i="2"/>
  <c r="P2652" i="2"/>
  <c r="O2652" i="2"/>
  <c r="N2652" i="2"/>
  <c r="K2652" i="2"/>
  <c r="J2652" i="2"/>
  <c r="I2652" i="2"/>
  <c r="H2652" i="2"/>
  <c r="G2652" i="2"/>
  <c r="F2652" i="2"/>
  <c r="E2652" i="2"/>
  <c r="D2652" i="2"/>
  <c r="C2652" i="2"/>
  <c r="B2652" i="2"/>
  <c r="A2652" i="2"/>
  <c r="AX2651" i="2"/>
  <c r="AV2651" i="2"/>
  <c r="AU2651" i="2"/>
  <c r="AR2651" i="2"/>
  <c r="AQ2651" i="2"/>
  <c r="AO2651" i="2"/>
  <c r="AL2651" i="2"/>
  <c r="AK2651" i="2"/>
  <c r="AJ2651" i="2"/>
  <c r="AI2651" i="2"/>
  <c r="AH2651" i="2"/>
  <c r="AG2651" i="2"/>
  <c r="AE2651" i="2"/>
  <c r="AD2651" i="2"/>
  <c r="AA2651" i="2"/>
  <c r="Z2651" i="2"/>
  <c r="Y2651" i="2"/>
  <c r="X2651" i="2"/>
  <c r="W2651" i="2"/>
  <c r="V2651" i="2"/>
  <c r="U2651" i="2"/>
  <c r="T2651" i="2"/>
  <c r="S2651" i="2"/>
  <c r="R2651" i="2"/>
  <c r="Q2651" i="2"/>
  <c r="P2651" i="2"/>
  <c r="O2651" i="2"/>
  <c r="N2651" i="2"/>
  <c r="K2651" i="2"/>
  <c r="J2651" i="2"/>
  <c r="I2651" i="2"/>
  <c r="H2651" i="2"/>
  <c r="G2651" i="2"/>
  <c r="F2651" i="2"/>
  <c r="E2651" i="2"/>
  <c r="D2651" i="2"/>
  <c r="C2651" i="2"/>
  <c r="B2651" i="2"/>
  <c r="A2651" i="2"/>
  <c r="AX2650" i="2"/>
  <c r="AV2650" i="2"/>
  <c r="AU2650" i="2"/>
  <c r="AS2650" i="2"/>
  <c r="AO2650" i="2"/>
  <c r="AM2650" i="2"/>
  <c r="AK2650" i="2"/>
  <c r="AJ2650" i="2"/>
  <c r="AI2650" i="2"/>
  <c r="AH2650" i="2"/>
  <c r="AG2650" i="2"/>
  <c r="AE2650" i="2"/>
  <c r="AD2650" i="2"/>
  <c r="Z2650" i="2"/>
  <c r="Y2650" i="2"/>
  <c r="X2650" i="2"/>
  <c r="W2650" i="2"/>
  <c r="V2650" i="2"/>
  <c r="U2650" i="2"/>
  <c r="T2650" i="2"/>
  <c r="S2650" i="2"/>
  <c r="R2650" i="2"/>
  <c r="Q2650" i="2"/>
  <c r="P2650" i="2"/>
  <c r="O2650" i="2"/>
  <c r="N2650" i="2"/>
  <c r="M2650" i="2"/>
  <c r="L2650" i="2"/>
  <c r="K2650" i="2"/>
  <c r="J2650" i="2"/>
  <c r="I2650" i="2"/>
  <c r="H2650" i="2"/>
  <c r="G2650" i="2"/>
  <c r="F2650" i="2"/>
  <c r="E2650" i="2"/>
  <c r="D2650" i="2"/>
  <c r="C2650" i="2"/>
  <c r="B2650" i="2"/>
  <c r="A2650" i="2"/>
  <c r="AX2649" i="2"/>
  <c r="AV2649" i="2"/>
  <c r="AU2649" i="2"/>
  <c r="AS2649" i="2"/>
  <c r="AR2649" i="2"/>
  <c r="AQ2649" i="2"/>
  <c r="AO2649" i="2"/>
  <c r="AL2649" i="2"/>
  <c r="AK2649" i="2"/>
  <c r="AJ2649" i="2"/>
  <c r="AI2649" i="2"/>
  <c r="AH2649" i="2"/>
  <c r="AG2649" i="2"/>
  <c r="AE2649" i="2"/>
  <c r="AD2649" i="2"/>
  <c r="AA2649" i="2"/>
  <c r="Z2649" i="2"/>
  <c r="Y2649" i="2"/>
  <c r="X2649" i="2"/>
  <c r="W2649" i="2"/>
  <c r="V2649" i="2"/>
  <c r="U2649" i="2"/>
  <c r="T2649" i="2"/>
  <c r="S2649" i="2"/>
  <c r="R2649" i="2"/>
  <c r="Q2649" i="2"/>
  <c r="P2649" i="2"/>
  <c r="O2649" i="2"/>
  <c r="N2649" i="2"/>
  <c r="K2649" i="2"/>
  <c r="J2649" i="2"/>
  <c r="I2649" i="2"/>
  <c r="H2649" i="2"/>
  <c r="G2649" i="2"/>
  <c r="F2649" i="2"/>
  <c r="E2649" i="2"/>
  <c r="D2649" i="2"/>
  <c r="C2649" i="2"/>
  <c r="B2649" i="2"/>
  <c r="A2649" i="2"/>
  <c r="AX2648" i="2"/>
  <c r="AV2648" i="2"/>
  <c r="AU2648" i="2"/>
  <c r="AS2648" i="2"/>
  <c r="AR2648" i="2"/>
  <c r="AQ2648" i="2"/>
  <c r="AO2648" i="2"/>
  <c r="AN2648" i="2"/>
  <c r="AM2648" i="2"/>
  <c r="AL2648" i="2"/>
  <c r="AK2648" i="2"/>
  <c r="AJ2648" i="2"/>
  <c r="AI2648" i="2"/>
  <c r="AH2648" i="2"/>
  <c r="AG2648" i="2"/>
  <c r="AE2648" i="2"/>
  <c r="AD2648" i="2"/>
  <c r="AC2648" i="2"/>
  <c r="AB2648" i="2"/>
  <c r="AA2648" i="2"/>
  <c r="Z2648" i="2"/>
  <c r="Y2648" i="2"/>
  <c r="X2648" i="2"/>
  <c r="W2648" i="2"/>
  <c r="V2648" i="2"/>
  <c r="U2648" i="2"/>
  <c r="T2648" i="2"/>
  <c r="S2648" i="2"/>
  <c r="R2648" i="2"/>
  <c r="Q2648" i="2"/>
  <c r="P2648" i="2"/>
  <c r="O2648" i="2"/>
  <c r="N2648" i="2"/>
  <c r="M2648" i="2"/>
  <c r="K2648" i="2"/>
  <c r="J2648" i="2"/>
  <c r="I2648" i="2"/>
  <c r="H2648" i="2"/>
  <c r="G2648" i="2"/>
  <c r="F2648" i="2"/>
  <c r="E2648" i="2"/>
  <c r="D2648" i="2"/>
  <c r="C2648" i="2"/>
  <c r="B2648" i="2"/>
  <c r="A2648" i="2"/>
  <c r="AX2647" i="2"/>
  <c r="AV2647" i="2"/>
  <c r="AU2647" i="2"/>
  <c r="AS2647" i="2"/>
  <c r="AR2647" i="2"/>
  <c r="AQ2647" i="2"/>
  <c r="AO2647" i="2"/>
  <c r="AL2647" i="2"/>
  <c r="AK2647" i="2"/>
  <c r="AJ2647" i="2"/>
  <c r="AI2647" i="2"/>
  <c r="AH2647" i="2"/>
  <c r="AG2647" i="2"/>
  <c r="AD2647" i="2"/>
  <c r="AA2647" i="2"/>
  <c r="Z2647" i="2"/>
  <c r="Y2647" i="2"/>
  <c r="X2647" i="2"/>
  <c r="U2647" i="2"/>
  <c r="T2647" i="2"/>
  <c r="S2647" i="2"/>
  <c r="R2647" i="2"/>
  <c r="Q2647" i="2"/>
  <c r="P2647" i="2"/>
  <c r="O2647" i="2"/>
  <c r="N2647" i="2"/>
  <c r="K2647" i="2"/>
  <c r="J2647" i="2"/>
  <c r="I2647" i="2"/>
  <c r="H2647" i="2"/>
  <c r="G2647" i="2"/>
  <c r="F2647" i="2"/>
  <c r="E2647" i="2"/>
  <c r="D2647" i="2"/>
  <c r="C2647" i="2"/>
  <c r="B2647" i="2"/>
  <c r="A2647" i="2"/>
  <c r="AX2646" i="2"/>
  <c r="AV2646" i="2"/>
  <c r="AU2646" i="2"/>
  <c r="AS2646" i="2"/>
  <c r="AR2646" i="2"/>
  <c r="AQ2646" i="2"/>
  <c r="AO2646" i="2"/>
  <c r="AL2646" i="2"/>
  <c r="AK2646" i="2"/>
  <c r="AI2646" i="2"/>
  <c r="AH2646" i="2"/>
  <c r="AG2646" i="2"/>
  <c r="AE2646" i="2"/>
  <c r="AD2646" i="2"/>
  <c r="AA2646" i="2"/>
  <c r="Z2646" i="2"/>
  <c r="Y2646" i="2"/>
  <c r="X2646" i="2"/>
  <c r="W2646" i="2"/>
  <c r="V2646" i="2"/>
  <c r="U2646" i="2"/>
  <c r="T2646" i="2"/>
  <c r="S2646" i="2"/>
  <c r="R2646" i="2"/>
  <c r="Q2646" i="2"/>
  <c r="P2646" i="2"/>
  <c r="O2646" i="2"/>
  <c r="N2646" i="2"/>
  <c r="K2646" i="2"/>
  <c r="J2646" i="2"/>
  <c r="I2646" i="2"/>
  <c r="H2646" i="2"/>
  <c r="G2646" i="2"/>
  <c r="F2646" i="2"/>
  <c r="E2646" i="2"/>
  <c r="D2646" i="2"/>
  <c r="C2646" i="2"/>
  <c r="B2646" i="2"/>
  <c r="A2646" i="2"/>
  <c r="AX2645" i="2"/>
  <c r="AV2645" i="2"/>
  <c r="AU2645" i="2"/>
  <c r="AS2645" i="2"/>
  <c r="AR2645" i="2"/>
  <c r="AQ2645" i="2"/>
  <c r="AO2645" i="2"/>
  <c r="AL2645" i="2"/>
  <c r="AK2645" i="2"/>
  <c r="AI2645" i="2"/>
  <c r="AH2645" i="2"/>
  <c r="AG2645" i="2"/>
  <c r="AE2645" i="2"/>
  <c r="AD2645" i="2"/>
  <c r="AA2645" i="2"/>
  <c r="Z2645" i="2"/>
  <c r="Y2645" i="2"/>
  <c r="X2645" i="2"/>
  <c r="W2645" i="2"/>
  <c r="V2645" i="2"/>
  <c r="U2645" i="2"/>
  <c r="T2645" i="2"/>
  <c r="S2645" i="2"/>
  <c r="R2645" i="2"/>
  <c r="Q2645" i="2"/>
  <c r="P2645" i="2"/>
  <c r="O2645" i="2"/>
  <c r="N2645" i="2"/>
  <c r="K2645" i="2"/>
  <c r="J2645" i="2"/>
  <c r="I2645" i="2"/>
  <c r="H2645" i="2"/>
  <c r="G2645" i="2"/>
  <c r="F2645" i="2"/>
  <c r="E2645" i="2"/>
  <c r="D2645" i="2"/>
  <c r="C2645" i="2"/>
  <c r="B2645" i="2"/>
  <c r="A2645" i="2"/>
  <c r="AX2644" i="2"/>
  <c r="AV2644" i="2"/>
  <c r="AU2644" i="2"/>
  <c r="AS2644" i="2"/>
  <c r="AR2644" i="2"/>
  <c r="AO2644" i="2"/>
  <c r="AM2644" i="2"/>
  <c r="AK2644" i="2"/>
  <c r="AJ2644" i="2"/>
  <c r="AI2644" i="2"/>
  <c r="AH2644" i="2"/>
  <c r="AG2644" i="2"/>
  <c r="AE2644" i="2"/>
  <c r="AD2644" i="2"/>
  <c r="Z2644" i="2"/>
  <c r="Y2644" i="2"/>
  <c r="X2644" i="2"/>
  <c r="W2644" i="2"/>
  <c r="V2644" i="2"/>
  <c r="U2644" i="2"/>
  <c r="T2644" i="2"/>
  <c r="S2644" i="2"/>
  <c r="R2644" i="2"/>
  <c r="Q2644" i="2"/>
  <c r="P2644" i="2"/>
  <c r="O2644" i="2"/>
  <c r="N2644" i="2"/>
  <c r="M2644" i="2"/>
  <c r="L2644" i="2"/>
  <c r="K2644" i="2"/>
  <c r="J2644" i="2"/>
  <c r="I2644" i="2"/>
  <c r="H2644" i="2"/>
  <c r="G2644" i="2"/>
  <c r="F2644" i="2"/>
  <c r="E2644" i="2"/>
  <c r="D2644" i="2"/>
  <c r="C2644" i="2"/>
  <c r="B2644" i="2"/>
  <c r="A2644" i="2"/>
  <c r="AX2643" i="2"/>
  <c r="AV2643" i="2"/>
  <c r="AU2643" i="2"/>
  <c r="AR2643" i="2"/>
  <c r="AO2643" i="2"/>
  <c r="AM2643" i="2"/>
  <c r="AK2643" i="2"/>
  <c r="AJ2643" i="2"/>
  <c r="AI2643" i="2"/>
  <c r="AH2643" i="2"/>
  <c r="AG2643" i="2"/>
  <c r="AE2643" i="2"/>
  <c r="AD2643" i="2"/>
  <c r="AA2643" i="2"/>
  <c r="Z2643" i="2"/>
  <c r="Y2643" i="2"/>
  <c r="X2643" i="2"/>
  <c r="U2643" i="2"/>
  <c r="T2643" i="2"/>
  <c r="S2643" i="2"/>
  <c r="R2643" i="2"/>
  <c r="Q2643" i="2"/>
  <c r="P2643" i="2"/>
  <c r="O2643" i="2"/>
  <c r="N2643" i="2"/>
  <c r="M2643" i="2"/>
  <c r="L2643" i="2"/>
  <c r="K2643" i="2"/>
  <c r="J2643" i="2"/>
  <c r="I2643" i="2"/>
  <c r="H2643" i="2"/>
  <c r="G2643" i="2"/>
  <c r="F2643" i="2"/>
  <c r="E2643" i="2"/>
  <c r="D2643" i="2"/>
  <c r="C2643" i="2"/>
  <c r="B2643" i="2"/>
  <c r="A2643" i="2"/>
  <c r="AX2642" i="2"/>
  <c r="AV2642" i="2"/>
  <c r="AU2642" i="2"/>
  <c r="AR2642" i="2"/>
  <c r="AQ2642" i="2"/>
  <c r="AO2642" i="2"/>
  <c r="AL2642" i="2"/>
  <c r="AK2642" i="2"/>
  <c r="AJ2642" i="2"/>
  <c r="AI2642" i="2"/>
  <c r="AH2642" i="2"/>
  <c r="AG2642" i="2"/>
  <c r="AD2642" i="2"/>
  <c r="AA2642" i="2"/>
  <c r="Z2642" i="2"/>
  <c r="Y2642" i="2"/>
  <c r="X2642" i="2"/>
  <c r="W2642" i="2"/>
  <c r="V2642" i="2"/>
  <c r="U2642" i="2"/>
  <c r="T2642" i="2"/>
  <c r="S2642" i="2"/>
  <c r="R2642" i="2"/>
  <c r="Q2642" i="2"/>
  <c r="P2642" i="2"/>
  <c r="O2642" i="2"/>
  <c r="N2642" i="2"/>
  <c r="K2642" i="2"/>
  <c r="J2642" i="2"/>
  <c r="I2642" i="2"/>
  <c r="H2642" i="2"/>
  <c r="G2642" i="2"/>
  <c r="F2642" i="2"/>
  <c r="E2642" i="2"/>
  <c r="D2642" i="2"/>
  <c r="C2642" i="2"/>
  <c r="B2642" i="2"/>
  <c r="A2642" i="2"/>
  <c r="AX2641" i="2"/>
  <c r="AV2641" i="2"/>
  <c r="AU2641" i="2"/>
  <c r="AS2641" i="2"/>
  <c r="AR2641" i="2"/>
  <c r="AQ2641" i="2"/>
  <c r="AO2641" i="2"/>
  <c r="AL2641" i="2"/>
  <c r="AK2641" i="2"/>
  <c r="AJ2641" i="2"/>
  <c r="AI2641" i="2"/>
  <c r="AH2641" i="2"/>
  <c r="AG2641" i="2"/>
  <c r="AE2641" i="2"/>
  <c r="AD2641" i="2"/>
  <c r="AA2641" i="2"/>
  <c r="Z2641" i="2"/>
  <c r="Y2641" i="2"/>
  <c r="X2641" i="2"/>
  <c r="W2641" i="2"/>
  <c r="V2641" i="2"/>
  <c r="U2641" i="2"/>
  <c r="T2641" i="2"/>
  <c r="S2641" i="2"/>
  <c r="R2641" i="2"/>
  <c r="Q2641" i="2"/>
  <c r="P2641" i="2"/>
  <c r="O2641" i="2"/>
  <c r="N2641" i="2"/>
  <c r="K2641" i="2"/>
  <c r="J2641" i="2"/>
  <c r="I2641" i="2"/>
  <c r="H2641" i="2"/>
  <c r="G2641" i="2"/>
  <c r="F2641" i="2"/>
  <c r="E2641" i="2"/>
  <c r="D2641" i="2"/>
  <c r="C2641" i="2"/>
  <c r="B2641" i="2"/>
  <c r="A2641" i="2"/>
  <c r="AX2640" i="2"/>
  <c r="AV2640" i="2"/>
  <c r="AU2640" i="2"/>
  <c r="AS2640" i="2"/>
  <c r="AR2640" i="2"/>
  <c r="AQ2640" i="2"/>
  <c r="AO2640" i="2"/>
  <c r="AL2640" i="2"/>
  <c r="AK2640" i="2"/>
  <c r="AI2640" i="2"/>
  <c r="AH2640" i="2"/>
  <c r="AG2640" i="2"/>
  <c r="AE2640" i="2"/>
  <c r="AD2640" i="2"/>
  <c r="AA2640" i="2"/>
  <c r="Z2640" i="2"/>
  <c r="Y2640" i="2"/>
  <c r="X2640" i="2"/>
  <c r="U2640" i="2"/>
  <c r="T2640" i="2"/>
  <c r="S2640" i="2"/>
  <c r="R2640" i="2"/>
  <c r="Q2640" i="2"/>
  <c r="P2640" i="2"/>
  <c r="O2640" i="2"/>
  <c r="N2640" i="2"/>
  <c r="K2640" i="2"/>
  <c r="J2640" i="2"/>
  <c r="I2640" i="2"/>
  <c r="H2640" i="2"/>
  <c r="G2640" i="2"/>
  <c r="F2640" i="2"/>
  <c r="E2640" i="2"/>
  <c r="D2640" i="2"/>
  <c r="C2640" i="2"/>
  <c r="B2640" i="2"/>
  <c r="A2640" i="2"/>
  <c r="AX2639" i="2"/>
  <c r="AV2639" i="2"/>
  <c r="AU2639" i="2"/>
  <c r="AR2639" i="2"/>
  <c r="AQ2639" i="2"/>
  <c r="AO2639" i="2"/>
  <c r="AM2639" i="2"/>
  <c r="AL2639" i="2"/>
  <c r="AK2639" i="2"/>
  <c r="AJ2639" i="2"/>
  <c r="AI2639" i="2"/>
  <c r="AH2639" i="2"/>
  <c r="AG2639" i="2"/>
  <c r="AE2639" i="2"/>
  <c r="AD2639" i="2"/>
  <c r="AA2639" i="2"/>
  <c r="Z2639" i="2"/>
  <c r="Y2639" i="2"/>
  <c r="X2639" i="2"/>
  <c r="W2639" i="2"/>
  <c r="V2639" i="2"/>
  <c r="U2639" i="2"/>
  <c r="T2639" i="2"/>
  <c r="S2639" i="2"/>
  <c r="R2639" i="2"/>
  <c r="Q2639" i="2"/>
  <c r="P2639" i="2"/>
  <c r="O2639" i="2"/>
  <c r="N2639" i="2"/>
  <c r="M2639" i="2"/>
  <c r="K2639" i="2"/>
  <c r="J2639" i="2"/>
  <c r="I2639" i="2"/>
  <c r="H2639" i="2"/>
  <c r="G2639" i="2"/>
  <c r="F2639" i="2"/>
  <c r="E2639" i="2"/>
  <c r="D2639" i="2"/>
  <c r="C2639" i="2"/>
  <c r="B2639" i="2"/>
  <c r="A2639" i="2"/>
  <c r="AX2638" i="2"/>
  <c r="AV2638" i="2"/>
  <c r="AU2638" i="2"/>
  <c r="AS2638" i="2"/>
  <c r="AR2638" i="2"/>
  <c r="AQ2638" i="2"/>
  <c r="AO2638" i="2"/>
  <c r="AL2638" i="2"/>
  <c r="AK2638" i="2"/>
  <c r="AJ2638" i="2"/>
  <c r="AI2638" i="2"/>
  <c r="AH2638" i="2"/>
  <c r="AG2638" i="2"/>
  <c r="AE2638" i="2"/>
  <c r="AD2638" i="2"/>
  <c r="AA2638" i="2"/>
  <c r="Z2638" i="2"/>
  <c r="Y2638" i="2"/>
  <c r="X2638" i="2"/>
  <c r="V2638" i="2"/>
  <c r="U2638" i="2"/>
  <c r="T2638" i="2"/>
  <c r="S2638" i="2"/>
  <c r="R2638" i="2"/>
  <c r="Q2638" i="2"/>
  <c r="P2638" i="2"/>
  <c r="O2638" i="2"/>
  <c r="N2638" i="2"/>
  <c r="K2638" i="2"/>
  <c r="J2638" i="2"/>
  <c r="I2638" i="2"/>
  <c r="H2638" i="2"/>
  <c r="G2638" i="2"/>
  <c r="F2638" i="2"/>
  <c r="E2638" i="2"/>
  <c r="D2638" i="2"/>
  <c r="C2638" i="2"/>
  <c r="B2638" i="2"/>
  <c r="A2638" i="2"/>
  <c r="AX2637" i="2"/>
  <c r="AV2637" i="2"/>
  <c r="AU2637" i="2"/>
  <c r="AS2637" i="2"/>
  <c r="AR2637" i="2"/>
  <c r="AQ2637" i="2"/>
  <c r="AO2637" i="2"/>
  <c r="AM2637" i="2"/>
  <c r="AL2637" i="2"/>
  <c r="AK2637" i="2"/>
  <c r="AJ2637" i="2"/>
  <c r="AI2637" i="2"/>
  <c r="AH2637" i="2"/>
  <c r="AG2637" i="2"/>
  <c r="AE2637" i="2"/>
  <c r="AD2637" i="2"/>
  <c r="AA2637" i="2"/>
  <c r="Z2637" i="2"/>
  <c r="Y2637" i="2"/>
  <c r="V2637" i="2"/>
  <c r="U2637" i="2"/>
  <c r="T2637" i="2"/>
  <c r="S2637" i="2"/>
  <c r="R2637" i="2"/>
  <c r="Q2637" i="2"/>
  <c r="P2637" i="2"/>
  <c r="O2637" i="2"/>
  <c r="N2637" i="2"/>
  <c r="K2637" i="2"/>
  <c r="J2637" i="2"/>
  <c r="I2637" i="2"/>
  <c r="H2637" i="2"/>
  <c r="G2637" i="2"/>
  <c r="F2637" i="2"/>
  <c r="E2637" i="2"/>
  <c r="D2637" i="2"/>
  <c r="C2637" i="2"/>
  <c r="B2637" i="2"/>
  <c r="A2637" i="2"/>
  <c r="AX2636" i="2"/>
  <c r="AV2636" i="2"/>
  <c r="AU2636" i="2"/>
  <c r="AR2636" i="2"/>
  <c r="AQ2636" i="2"/>
  <c r="AO2636" i="2"/>
  <c r="AL2636" i="2"/>
  <c r="AK2636" i="2"/>
  <c r="AJ2636" i="2"/>
  <c r="AI2636" i="2"/>
  <c r="AH2636" i="2"/>
  <c r="AG2636" i="2"/>
  <c r="AE2636" i="2"/>
  <c r="AD2636" i="2"/>
  <c r="AA2636" i="2"/>
  <c r="Z2636" i="2"/>
  <c r="Y2636" i="2"/>
  <c r="X2636" i="2"/>
  <c r="W2636" i="2"/>
  <c r="V2636" i="2"/>
  <c r="U2636" i="2"/>
  <c r="T2636" i="2"/>
  <c r="S2636" i="2"/>
  <c r="R2636" i="2"/>
  <c r="Q2636" i="2"/>
  <c r="P2636" i="2"/>
  <c r="O2636" i="2"/>
  <c r="N2636" i="2"/>
  <c r="K2636" i="2"/>
  <c r="J2636" i="2"/>
  <c r="I2636" i="2"/>
  <c r="H2636" i="2"/>
  <c r="G2636" i="2"/>
  <c r="F2636" i="2"/>
  <c r="E2636" i="2"/>
  <c r="D2636" i="2"/>
  <c r="C2636" i="2"/>
  <c r="B2636" i="2"/>
  <c r="A2636" i="2"/>
  <c r="AX2635" i="2"/>
  <c r="AV2635" i="2"/>
  <c r="AU2635" i="2"/>
  <c r="AS2635" i="2"/>
  <c r="AR2635" i="2"/>
  <c r="AQ2635" i="2"/>
  <c r="AO2635" i="2"/>
  <c r="AL2635" i="2"/>
  <c r="AK2635" i="2"/>
  <c r="AJ2635" i="2"/>
  <c r="AI2635" i="2"/>
  <c r="AH2635" i="2"/>
  <c r="AG2635" i="2"/>
  <c r="AE2635" i="2"/>
  <c r="AD2635" i="2"/>
  <c r="AA2635" i="2"/>
  <c r="Z2635" i="2"/>
  <c r="Y2635" i="2"/>
  <c r="X2635" i="2"/>
  <c r="W2635" i="2"/>
  <c r="V2635" i="2"/>
  <c r="U2635" i="2"/>
  <c r="T2635" i="2"/>
  <c r="S2635" i="2"/>
  <c r="R2635" i="2"/>
  <c r="Q2635" i="2"/>
  <c r="P2635" i="2"/>
  <c r="O2635" i="2"/>
  <c r="N2635" i="2"/>
  <c r="K2635" i="2"/>
  <c r="J2635" i="2"/>
  <c r="I2635" i="2"/>
  <c r="H2635" i="2"/>
  <c r="G2635" i="2"/>
  <c r="F2635" i="2"/>
  <c r="E2635" i="2"/>
  <c r="D2635" i="2"/>
  <c r="C2635" i="2"/>
  <c r="B2635" i="2"/>
  <c r="A2635" i="2"/>
  <c r="AX2634" i="2"/>
  <c r="AV2634" i="2"/>
  <c r="AU2634" i="2"/>
  <c r="AS2634" i="2"/>
  <c r="AR2634" i="2"/>
  <c r="AQ2634" i="2"/>
  <c r="AO2634" i="2"/>
  <c r="AK2634" i="2"/>
  <c r="AJ2634" i="2"/>
  <c r="AI2634" i="2"/>
  <c r="AH2634" i="2"/>
  <c r="AG2634" i="2"/>
  <c r="AE2634" i="2"/>
  <c r="AA2634" i="2"/>
  <c r="Z2634" i="2"/>
  <c r="Y2634" i="2"/>
  <c r="X2634" i="2"/>
  <c r="V2634" i="2"/>
  <c r="U2634" i="2"/>
  <c r="T2634" i="2"/>
  <c r="S2634" i="2"/>
  <c r="R2634" i="2"/>
  <c r="Q2634" i="2"/>
  <c r="P2634" i="2"/>
  <c r="O2634" i="2"/>
  <c r="N2634" i="2"/>
  <c r="K2634" i="2"/>
  <c r="J2634" i="2"/>
  <c r="I2634" i="2"/>
  <c r="H2634" i="2"/>
  <c r="G2634" i="2"/>
  <c r="F2634" i="2"/>
  <c r="E2634" i="2"/>
  <c r="D2634" i="2"/>
  <c r="C2634" i="2"/>
  <c r="B2634" i="2"/>
  <c r="A2634" i="2"/>
  <c r="AX2633" i="2"/>
  <c r="AV2633" i="2"/>
  <c r="AU2633" i="2"/>
  <c r="AR2633" i="2"/>
  <c r="AQ2633" i="2"/>
  <c r="AO2633" i="2"/>
  <c r="AN2633" i="2"/>
  <c r="AM2633" i="2"/>
  <c r="AL2633" i="2"/>
  <c r="AK2633" i="2"/>
  <c r="AJ2633" i="2"/>
  <c r="AI2633" i="2"/>
  <c r="AH2633" i="2"/>
  <c r="AG2633" i="2"/>
  <c r="AE2633" i="2"/>
  <c r="AD2633" i="2"/>
  <c r="AA2633" i="2"/>
  <c r="Z2633" i="2"/>
  <c r="Y2633" i="2"/>
  <c r="V2633" i="2"/>
  <c r="U2633" i="2"/>
  <c r="T2633" i="2"/>
  <c r="S2633" i="2"/>
  <c r="R2633" i="2"/>
  <c r="Q2633" i="2"/>
  <c r="P2633" i="2"/>
  <c r="O2633" i="2"/>
  <c r="N2633" i="2"/>
  <c r="K2633" i="2"/>
  <c r="J2633" i="2"/>
  <c r="I2633" i="2"/>
  <c r="H2633" i="2"/>
  <c r="G2633" i="2"/>
  <c r="F2633" i="2"/>
  <c r="E2633" i="2"/>
  <c r="D2633" i="2"/>
  <c r="C2633" i="2"/>
  <c r="B2633" i="2"/>
  <c r="A2633" i="2"/>
  <c r="AX2632" i="2"/>
  <c r="AV2632" i="2"/>
  <c r="AU2632" i="2"/>
  <c r="AR2632" i="2"/>
  <c r="AQ2632" i="2"/>
  <c r="AO2632" i="2"/>
  <c r="AK2632" i="2"/>
  <c r="AJ2632" i="2"/>
  <c r="AI2632" i="2"/>
  <c r="AH2632" i="2"/>
  <c r="AG2632" i="2"/>
  <c r="AE2632" i="2"/>
  <c r="AA2632" i="2"/>
  <c r="Z2632" i="2"/>
  <c r="Y2632" i="2"/>
  <c r="X2632" i="2"/>
  <c r="W2632" i="2"/>
  <c r="V2632" i="2"/>
  <c r="U2632" i="2"/>
  <c r="T2632" i="2"/>
  <c r="S2632" i="2"/>
  <c r="R2632" i="2"/>
  <c r="Q2632" i="2"/>
  <c r="P2632" i="2"/>
  <c r="O2632" i="2"/>
  <c r="N2632" i="2"/>
  <c r="K2632" i="2"/>
  <c r="J2632" i="2"/>
  <c r="I2632" i="2"/>
  <c r="H2632" i="2"/>
  <c r="G2632" i="2"/>
  <c r="F2632" i="2"/>
  <c r="E2632" i="2"/>
  <c r="D2632" i="2"/>
  <c r="C2632" i="2"/>
  <c r="B2632" i="2"/>
  <c r="A2632" i="2"/>
  <c r="AX2631" i="2"/>
  <c r="AV2631" i="2"/>
  <c r="AU2631" i="2"/>
  <c r="AS2631" i="2"/>
  <c r="AR2631" i="2"/>
  <c r="AQ2631" i="2"/>
  <c r="AO2631" i="2"/>
  <c r="AL2631" i="2"/>
  <c r="AK2631" i="2"/>
  <c r="AJ2631" i="2"/>
  <c r="AI2631" i="2"/>
  <c r="AH2631" i="2"/>
  <c r="AG2631" i="2"/>
  <c r="AE2631" i="2"/>
  <c r="AD2631" i="2"/>
  <c r="AA2631" i="2"/>
  <c r="Z2631" i="2"/>
  <c r="Y2631" i="2"/>
  <c r="T2631" i="2"/>
  <c r="S2631" i="2"/>
  <c r="R2631" i="2"/>
  <c r="Q2631" i="2"/>
  <c r="P2631" i="2"/>
  <c r="O2631" i="2"/>
  <c r="N2631" i="2"/>
  <c r="K2631" i="2"/>
  <c r="J2631" i="2"/>
  <c r="I2631" i="2"/>
  <c r="H2631" i="2"/>
  <c r="G2631" i="2"/>
  <c r="F2631" i="2"/>
  <c r="E2631" i="2"/>
  <c r="D2631" i="2"/>
  <c r="C2631" i="2"/>
  <c r="B2631" i="2"/>
  <c r="A2631" i="2"/>
  <c r="AX2630" i="2"/>
  <c r="AV2630" i="2"/>
  <c r="AU2630" i="2"/>
  <c r="AR2630" i="2"/>
  <c r="AQ2630" i="2"/>
  <c r="AO2630" i="2"/>
  <c r="AM2630" i="2"/>
  <c r="AL2630" i="2"/>
  <c r="AK2630" i="2"/>
  <c r="AJ2630" i="2"/>
  <c r="AI2630" i="2"/>
  <c r="AH2630" i="2"/>
  <c r="AG2630" i="2"/>
  <c r="AE2630" i="2"/>
  <c r="AD2630" i="2"/>
  <c r="AA2630" i="2"/>
  <c r="Z2630" i="2"/>
  <c r="Y2630" i="2"/>
  <c r="X2630" i="2"/>
  <c r="W2630" i="2"/>
  <c r="V2630" i="2"/>
  <c r="U2630" i="2"/>
  <c r="T2630" i="2"/>
  <c r="S2630" i="2"/>
  <c r="R2630" i="2"/>
  <c r="Q2630" i="2"/>
  <c r="P2630" i="2"/>
  <c r="O2630" i="2"/>
  <c r="N2630" i="2"/>
  <c r="M2630" i="2"/>
  <c r="K2630" i="2"/>
  <c r="J2630" i="2"/>
  <c r="I2630" i="2"/>
  <c r="H2630" i="2"/>
  <c r="G2630" i="2"/>
  <c r="F2630" i="2"/>
  <c r="E2630" i="2"/>
  <c r="D2630" i="2"/>
  <c r="C2630" i="2"/>
  <c r="B2630" i="2"/>
  <c r="A2630" i="2"/>
  <c r="AX2629" i="2"/>
  <c r="AV2629" i="2"/>
  <c r="AU2629" i="2"/>
  <c r="AS2629" i="2"/>
  <c r="AR2629" i="2"/>
  <c r="AQ2629" i="2"/>
  <c r="AO2629" i="2"/>
  <c r="AL2629" i="2"/>
  <c r="AK2629" i="2"/>
  <c r="AJ2629" i="2"/>
  <c r="AI2629" i="2"/>
  <c r="AH2629" i="2"/>
  <c r="AG2629" i="2"/>
  <c r="AD2629" i="2"/>
  <c r="AA2629" i="2"/>
  <c r="Z2629" i="2"/>
  <c r="Y2629" i="2"/>
  <c r="X2629" i="2"/>
  <c r="U2629" i="2"/>
  <c r="T2629" i="2"/>
  <c r="S2629" i="2"/>
  <c r="R2629" i="2"/>
  <c r="Q2629" i="2"/>
  <c r="P2629" i="2"/>
  <c r="O2629" i="2"/>
  <c r="N2629" i="2"/>
  <c r="K2629" i="2"/>
  <c r="J2629" i="2"/>
  <c r="I2629" i="2"/>
  <c r="H2629" i="2"/>
  <c r="G2629" i="2"/>
  <c r="F2629" i="2"/>
  <c r="E2629" i="2"/>
  <c r="D2629" i="2"/>
  <c r="C2629" i="2"/>
  <c r="B2629" i="2"/>
  <c r="A2629" i="2"/>
  <c r="AX2628" i="2"/>
  <c r="AV2628" i="2"/>
  <c r="AU2628" i="2"/>
  <c r="AS2628" i="2"/>
  <c r="AR2628" i="2"/>
  <c r="AQ2628" i="2"/>
  <c r="AP2628" i="2"/>
  <c r="AO2628" i="2"/>
  <c r="AL2628" i="2"/>
  <c r="AK2628" i="2"/>
  <c r="AJ2628" i="2"/>
  <c r="AI2628" i="2"/>
  <c r="AH2628" i="2"/>
  <c r="AG2628" i="2"/>
  <c r="AE2628" i="2"/>
  <c r="AD2628" i="2"/>
  <c r="AA2628" i="2"/>
  <c r="Z2628" i="2"/>
  <c r="Y2628" i="2"/>
  <c r="X2628" i="2"/>
  <c r="V2628" i="2"/>
  <c r="U2628" i="2"/>
  <c r="T2628" i="2"/>
  <c r="S2628" i="2"/>
  <c r="R2628" i="2"/>
  <c r="Q2628" i="2"/>
  <c r="P2628" i="2"/>
  <c r="O2628" i="2"/>
  <c r="N2628" i="2"/>
  <c r="K2628" i="2"/>
  <c r="J2628" i="2"/>
  <c r="I2628" i="2"/>
  <c r="H2628" i="2"/>
  <c r="G2628" i="2"/>
  <c r="F2628" i="2"/>
  <c r="E2628" i="2"/>
  <c r="D2628" i="2"/>
  <c r="C2628" i="2"/>
  <c r="B2628" i="2"/>
  <c r="A2628" i="2"/>
  <c r="AX2627" i="2"/>
  <c r="AV2627" i="2"/>
  <c r="AU2627" i="2"/>
  <c r="AR2627" i="2"/>
  <c r="AQ2627" i="2"/>
  <c r="AO2627" i="2"/>
  <c r="AL2627" i="2"/>
  <c r="AK2627" i="2"/>
  <c r="AJ2627" i="2"/>
  <c r="AI2627" i="2"/>
  <c r="AH2627" i="2"/>
  <c r="AG2627" i="2"/>
  <c r="AE2627" i="2"/>
  <c r="AD2627" i="2"/>
  <c r="AA2627" i="2"/>
  <c r="Z2627" i="2"/>
  <c r="Y2627" i="2"/>
  <c r="X2627" i="2"/>
  <c r="W2627" i="2"/>
  <c r="V2627" i="2"/>
  <c r="U2627" i="2"/>
  <c r="T2627" i="2"/>
  <c r="S2627" i="2"/>
  <c r="R2627" i="2"/>
  <c r="Q2627" i="2"/>
  <c r="P2627" i="2"/>
  <c r="O2627" i="2"/>
  <c r="N2627" i="2"/>
  <c r="K2627" i="2"/>
  <c r="J2627" i="2"/>
  <c r="I2627" i="2"/>
  <c r="H2627" i="2"/>
  <c r="G2627" i="2"/>
  <c r="F2627" i="2"/>
  <c r="E2627" i="2"/>
  <c r="D2627" i="2"/>
  <c r="C2627" i="2"/>
  <c r="B2627" i="2"/>
  <c r="A2627" i="2"/>
  <c r="AX2626" i="2"/>
  <c r="AV2626" i="2"/>
  <c r="AU2626" i="2"/>
  <c r="AR2626" i="2"/>
  <c r="AQ2626" i="2"/>
  <c r="AO2626" i="2"/>
  <c r="AI2626" i="2"/>
  <c r="AH2626" i="2"/>
  <c r="AG2626" i="2"/>
  <c r="AE2626" i="2"/>
  <c r="AD2626" i="2"/>
  <c r="AA2626" i="2"/>
  <c r="Z2626" i="2"/>
  <c r="Y2626" i="2"/>
  <c r="X2626" i="2"/>
  <c r="V2626" i="2"/>
  <c r="U2626" i="2"/>
  <c r="T2626" i="2"/>
  <c r="S2626" i="2"/>
  <c r="R2626" i="2"/>
  <c r="Q2626" i="2"/>
  <c r="P2626" i="2"/>
  <c r="O2626" i="2"/>
  <c r="N2626" i="2"/>
  <c r="K2626" i="2"/>
  <c r="J2626" i="2"/>
  <c r="I2626" i="2"/>
  <c r="H2626" i="2"/>
  <c r="G2626" i="2"/>
  <c r="F2626" i="2"/>
  <c r="E2626" i="2"/>
  <c r="D2626" i="2"/>
  <c r="C2626" i="2"/>
  <c r="B2626" i="2"/>
  <c r="A2626" i="2"/>
  <c r="AX2625" i="2"/>
  <c r="AV2625" i="2"/>
  <c r="AU2625" i="2"/>
  <c r="AR2625" i="2"/>
  <c r="AQ2625" i="2"/>
  <c r="AO2625" i="2"/>
  <c r="AK2625" i="2"/>
  <c r="AI2625" i="2"/>
  <c r="AH2625" i="2"/>
  <c r="AG2625" i="2"/>
  <c r="AE2625" i="2"/>
  <c r="AD2625" i="2"/>
  <c r="AA2625" i="2"/>
  <c r="Z2625" i="2"/>
  <c r="Y2625" i="2"/>
  <c r="X2625" i="2"/>
  <c r="U2625" i="2"/>
  <c r="T2625" i="2"/>
  <c r="S2625" i="2"/>
  <c r="R2625" i="2"/>
  <c r="Q2625" i="2"/>
  <c r="P2625" i="2"/>
  <c r="O2625" i="2"/>
  <c r="N2625" i="2"/>
  <c r="K2625" i="2"/>
  <c r="J2625" i="2"/>
  <c r="I2625" i="2"/>
  <c r="H2625" i="2"/>
  <c r="G2625" i="2"/>
  <c r="F2625" i="2"/>
  <c r="E2625" i="2"/>
  <c r="D2625" i="2"/>
  <c r="C2625" i="2"/>
  <c r="B2625" i="2"/>
  <c r="A2625" i="2"/>
  <c r="AX2624" i="2"/>
  <c r="AV2624" i="2"/>
  <c r="AU2624" i="2"/>
  <c r="AR2624" i="2"/>
  <c r="AQ2624" i="2"/>
  <c r="AO2624" i="2"/>
  <c r="AL2624" i="2"/>
  <c r="AK2624" i="2"/>
  <c r="AJ2624" i="2"/>
  <c r="AI2624" i="2"/>
  <c r="AH2624" i="2"/>
  <c r="AG2624" i="2"/>
  <c r="AE2624" i="2"/>
  <c r="AD2624" i="2"/>
  <c r="AA2624" i="2"/>
  <c r="Z2624" i="2"/>
  <c r="Y2624" i="2"/>
  <c r="X2624" i="2"/>
  <c r="V2624" i="2"/>
  <c r="U2624" i="2"/>
  <c r="T2624" i="2"/>
  <c r="S2624" i="2"/>
  <c r="R2624" i="2"/>
  <c r="Q2624" i="2"/>
  <c r="P2624" i="2"/>
  <c r="O2624" i="2"/>
  <c r="N2624" i="2"/>
  <c r="K2624" i="2"/>
  <c r="J2624" i="2"/>
  <c r="I2624" i="2"/>
  <c r="H2624" i="2"/>
  <c r="G2624" i="2"/>
  <c r="F2624" i="2"/>
  <c r="E2624" i="2"/>
  <c r="D2624" i="2"/>
  <c r="C2624" i="2"/>
  <c r="B2624" i="2"/>
  <c r="A2624" i="2"/>
  <c r="AX2623" i="2"/>
  <c r="AV2623" i="2"/>
  <c r="AU2623" i="2"/>
  <c r="AS2623" i="2"/>
  <c r="AR2623" i="2"/>
  <c r="AQ2623" i="2"/>
  <c r="AO2623" i="2"/>
  <c r="AL2623" i="2"/>
  <c r="AK2623" i="2"/>
  <c r="AJ2623" i="2"/>
  <c r="AI2623" i="2"/>
  <c r="AH2623" i="2"/>
  <c r="AG2623" i="2"/>
  <c r="AE2623" i="2"/>
  <c r="AD2623" i="2"/>
  <c r="AA2623" i="2"/>
  <c r="Z2623" i="2"/>
  <c r="Y2623" i="2"/>
  <c r="X2623" i="2"/>
  <c r="W2623" i="2"/>
  <c r="V2623" i="2"/>
  <c r="U2623" i="2"/>
  <c r="T2623" i="2"/>
  <c r="S2623" i="2"/>
  <c r="R2623" i="2"/>
  <c r="Q2623" i="2"/>
  <c r="P2623" i="2"/>
  <c r="O2623" i="2"/>
  <c r="N2623" i="2"/>
  <c r="K2623" i="2"/>
  <c r="J2623" i="2"/>
  <c r="I2623" i="2"/>
  <c r="H2623" i="2"/>
  <c r="G2623" i="2"/>
  <c r="F2623" i="2"/>
  <c r="E2623" i="2"/>
  <c r="D2623" i="2"/>
  <c r="C2623" i="2"/>
  <c r="B2623" i="2"/>
  <c r="A2623" i="2"/>
  <c r="AX2622" i="2"/>
  <c r="AV2622" i="2"/>
  <c r="AU2622" i="2"/>
  <c r="AR2622" i="2"/>
  <c r="AO2622" i="2"/>
  <c r="AM2622" i="2"/>
  <c r="AL2622" i="2"/>
  <c r="AK2622" i="2"/>
  <c r="AJ2622" i="2"/>
  <c r="AI2622" i="2"/>
  <c r="AH2622" i="2"/>
  <c r="AG2622" i="2"/>
  <c r="AE2622" i="2"/>
  <c r="AD2622" i="2"/>
  <c r="AA2622" i="2"/>
  <c r="Y2622" i="2"/>
  <c r="X2622" i="2"/>
  <c r="W2622" i="2"/>
  <c r="V2622" i="2"/>
  <c r="U2622" i="2"/>
  <c r="T2622" i="2"/>
  <c r="S2622" i="2"/>
  <c r="R2622" i="2"/>
  <c r="Q2622" i="2"/>
  <c r="P2622" i="2"/>
  <c r="O2622" i="2"/>
  <c r="N2622" i="2"/>
  <c r="M2622" i="2"/>
  <c r="L2622" i="2"/>
  <c r="K2622" i="2"/>
  <c r="J2622" i="2"/>
  <c r="I2622" i="2"/>
  <c r="H2622" i="2"/>
  <c r="G2622" i="2"/>
  <c r="F2622" i="2"/>
  <c r="E2622" i="2"/>
  <c r="D2622" i="2"/>
  <c r="C2622" i="2"/>
  <c r="B2622" i="2"/>
  <c r="A2622" i="2"/>
  <c r="AX2621" i="2"/>
  <c r="AV2621" i="2"/>
  <c r="AU2621" i="2"/>
  <c r="AR2621" i="2"/>
  <c r="AQ2621" i="2"/>
  <c r="AO2621" i="2"/>
  <c r="AL2621" i="2"/>
  <c r="AI2621" i="2"/>
  <c r="AH2621" i="2"/>
  <c r="AG2621" i="2"/>
  <c r="AE2621" i="2"/>
  <c r="AA2621" i="2"/>
  <c r="Z2621" i="2"/>
  <c r="Y2621" i="2"/>
  <c r="X2621" i="2"/>
  <c r="W2621" i="2"/>
  <c r="V2621" i="2"/>
  <c r="U2621" i="2"/>
  <c r="T2621" i="2"/>
  <c r="S2621" i="2"/>
  <c r="R2621" i="2"/>
  <c r="Q2621" i="2"/>
  <c r="P2621" i="2"/>
  <c r="O2621" i="2"/>
  <c r="N2621" i="2"/>
  <c r="K2621" i="2"/>
  <c r="J2621" i="2"/>
  <c r="I2621" i="2"/>
  <c r="H2621" i="2"/>
  <c r="G2621" i="2"/>
  <c r="F2621" i="2"/>
  <c r="E2621" i="2"/>
  <c r="D2621" i="2"/>
  <c r="C2621" i="2"/>
  <c r="B2621" i="2"/>
  <c r="A2621" i="2"/>
  <c r="AX2620" i="2"/>
  <c r="AV2620" i="2"/>
  <c r="AU2620" i="2"/>
  <c r="AR2620" i="2"/>
  <c r="AQ2620" i="2"/>
  <c r="AO2620" i="2"/>
  <c r="AL2620" i="2"/>
  <c r="AK2620" i="2"/>
  <c r="AJ2620" i="2"/>
  <c r="AI2620" i="2"/>
  <c r="AH2620" i="2"/>
  <c r="AG2620" i="2"/>
  <c r="AE2620" i="2"/>
  <c r="AD2620" i="2"/>
  <c r="AA2620" i="2"/>
  <c r="Z2620" i="2"/>
  <c r="Y2620" i="2"/>
  <c r="X2620" i="2"/>
  <c r="V2620" i="2"/>
  <c r="U2620" i="2"/>
  <c r="T2620" i="2"/>
  <c r="S2620" i="2"/>
  <c r="R2620" i="2"/>
  <c r="Q2620" i="2"/>
  <c r="P2620" i="2"/>
  <c r="O2620" i="2"/>
  <c r="N2620" i="2"/>
  <c r="K2620" i="2"/>
  <c r="J2620" i="2"/>
  <c r="I2620" i="2"/>
  <c r="H2620" i="2"/>
  <c r="G2620" i="2"/>
  <c r="F2620" i="2"/>
  <c r="E2620" i="2"/>
  <c r="D2620" i="2"/>
  <c r="C2620" i="2"/>
  <c r="B2620" i="2"/>
  <c r="A2620" i="2"/>
  <c r="AX2619" i="2"/>
  <c r="AV2619" i="2"/>
  <c r="AU2619" i="2"/>
  <c r="AS2619" i="2"/>
  <c r="AR2619" i="2"/>
  <c r="AQ2619" i="2"/>
  <c r="AO2619" i="2"/>
  <c r="AN2619" i="2"/>
  <c r="AM2619" i="2"/>
  <c r="AL2619" i="2"/>
  <c r="AK2619" i="2"/>
  <c r="AJ2619" i="2"/>
  <c r="AI2619" i="2"/>
  <c r="AH2619" i="2"/>
  <c r="AG2619" i="2"/>
  <c r="AE2619" i="2"/>
  <c r="AD2619" i="2"/>
  <c r="AA2619" i="2"/>
  <c r="Z2619" i="2"/>
  <c r="Y2619" i="2"/>
  <c r="X2619" i="2"/>
  <c r="U2619" i="2"/>
  <c r="T2619" i="2"/>
  <c r="S2619" i="2"/>
  <c r="R2619" i="2"/>
  <c r="Q2619" i="2"/>
  <c r="P2619" i="2"/>
  <c r="O2619" i="2"/>
  <c r="N2619" i="2"/>
  <c r="K2619" i="2"/>
  <c r="J2619" i="2"/>
  <c r="I2619" i="2"/>
  <c r="H2619" i="2"/>
  <c r="G2619" i="2"/>
  <c r="F2619" i="2"/>
  <c r="E2619" i="2"/>
  <c r="D2619" i="2"/>
  <c r="C2619" i="2"/>
  <c r="B2619" i="2"/>
  <c r="A2619" i="2"/>
  <c r="AX2618" i="2"/>
  <c r="AV2618" i="2"/>
  <c r="AU2618" i="2"/>
  <c r="AR2618" i="2"/>
  <c r="AQ2618" i="2"/>
  <c r="AO2618" i="2"/>
  <c r="AL2618" i="2"/>
  <c r="AK2618" i="2"/>
  <c r="AJ2618" i="2"/>
  <c r="AI2618" i="2"/>
  <c r="AH2618" i="2"/>
  <c r="AG2618" i="2"/>
  <c r="AE2618" i="2"/>
  <c r="AD2618" i="2"/>
  <c r="AA2618" i="2"/>
  <c r="Z2618" i="2"/>
  <c r="Y2618" i="2"/>
  <c r="X2618" i="2"/>
  <c r="V2618" i="2"/>
  <c r="U2618" i="2"/>
  <c r="T2618" i="2"/>
  <c r="S2618" i="2"/>
  <c r="R2618" i="2"/>
  <c r="Q2618" i="2"/>
  <c r="P2618" i="2"/>
  <c r="O2618" i="2"/>
  <c r="N2618" i="2"/>
  <c r="K2618" i="2"/>
  <c r="J2618" i="2"/>
  <c r="I2618" i="2"/>
  <c r="H2618" i="2"/>
  <c r="G2618" i="2"/>
  <c r="F2618" i="2"/>
  <c r="E2618" i="2"/>
  <c r="D2618" i="2"/>
  <c r="C2618" i="2"/>
  <c r="B2618" i="2"/>
  <c r="A2618" i="2"/>
  <c r="AX2617" i="2"/>
  <c r="AV2617" i="2"/>
  <c r="AU2617" i="2"/>
  <c r="AS2617" i="2"/>
  <c r="AR2617" i="2"/>
  <c r="AQ2617" i="2"/>
  <c r="AO2617" i="2"/>
  <c r="AL2617" i="2"/>
  <c r="AK2617" i="2"/>
  <c r="AJ2617" i="2"/>
  <c r="AI2617" i="2"/>
  <c r="AH2617" i="2"/>
  <c r="AG2617" i="2"/>
  <c r="AE2617" i="2"/>
  <c r="AD2617" i="2"/>
  <c r="AA2617" i="2"/>
  <c r="Z2617" i="2"/>
  <c r="Y2617" i="2"/>
  <c r="X2617" i="2"/>
  <c r="W2617" i="2"/>
  <c r="V2617" i="2"/>
  <c r="U2617" i="2"/>
  <c r="T2617" i="2"/>
  <c r="S2617" i="2"/>
  <c r="R2617" i="2"/>
  <c r="Q2617" i="2"/>
  <c r="P2617" i="2"/>
  <c r="O2617" i="2"/>
  <c r="N2617" i="2"/>
  <c r="K2617" i="2"/>
  <c r="J2617" i="2"/>
  <c r="I2617" i="2"/>
  <c r="H2617" i="2"/>
  <c r="G2617" i="2"/>
  <c r="F2617" i="2"/>
  <c r="E2617" i="2"/>
  <c r="D2617" i="2"/>
  <c r="C2617" i="2"/>
  <c r="B2617" i="2"/>
  <c r="A2617" i="2"/>
  <c r="AX2616" i="2"/>
  <c r="AV2616" i="2"/>
  <c r="AU2616" i="2"/>
  <c r="AS2616" i="2"/>
  <c r="AR2616" i="2"/>
  <c r="AQ2616" i="2"/>
  <c r="AO2616" i="2"/>
  <c r="AL2616" i="2"/>
  <c r="AK2616" i="2"/>
  <c r="AI2616" i="2"/>
  <c r="AH2616" i="2"/>
  <c r="AG2616" i="2"/>
  <c r="AE2616" i="2"/>
  <c r="AD2616" i="2"/>
  <c r="AA2616" i="2"/>
  <c r="Z2616" i="2"/>
  <c r="Y2616" i="2"/>
  <c r="X2616" i="2"/>
  <c r="U2616" i="2"/>
  <c r="T2616" i="2"/>
  <c r="S2616" i="2"/>
  <c r="R2616" i="2"/>
  <c r="Q2616" i="2"/>
  <c r="P2616" i="2"/>
  <c r="O2616" i="2"/>
  <c r="N2616" i="2"/>
  <c r="K2616" i="2"/>
  <c r="J2616" i="2"/>
  <c r="I2616" i="2"/>
  <c r="H2616" i="2"/>
  <c r="G2616" i="2"/>
  <c r="F2616" i="2"/>
  <c r="E2616" i="2"/>
  <c r="D2616" i="2"/>
  <c r="C2616" i="2"/>
  <c r="B2616" i="2"/>
  <c r="A2616" i="2"/>
  <c r="AX2615" i="2"/>
  <c r="AV2615" i="2"/>
  <c r="AU2615" i="2"/>
  <c r="AR2615" i="2"/>
  <c r="AQ2615" i="2"/>
  <c r="AO2615" i="2"/>
  <c r="AK2615" i="2"/>
  <c r="AI2615" i="2"/>
  <c r="AH2615" i="2"/>
  <c r="AG2615" i="2"/>
  <c r="AE2615" i="2"/>
  <c r="AD2615" i="2"/>
  <c r="AA2615" i="2"/>
  <c r="Z2615" i="2"/>
  <c r="Y2615" i="2"/>
  <c r="X2615" i="2"/>
  <c r="W2615" i="2"/>
  <c r="U2615" i="2"/>
  <c r="T2615" i="2"/>
  <c r="S2615" i="2"/>
  <c r="R2615" i="2"/>
  <c r="Q2615" i="2"/>
  <c r="P2615" i="2"/>
  <c r="O2615" i="2"/>
  <c r="N2615" i="2"/>
  <c r="K2615" i="2"/>
  <c r="J2615" i="2"/>
  <c r="I2615" i="2"/>
  <c r="H2615" i="2"/>
  <c r="G2615" i="2"/>
  <c r="F2615" i="2"/>
  <c r="E2615" i="2"/>
  <c r="D2615" i="2"/>
  <c r="C2615" i="2"/>
  <c r="B2615" i="2"/>
  <c r="A2615" i="2"/>
  <c r="AX2614" i="2"/>
  <c r="AV2614" i="2"/>
  <c r="AU2614" i="2"/>
  <c r="AR2614" i="2"/>
  <c r="AQ2614" i="2"/>
  <c r="AO2614" i="2"/>
  <c r="AL2614" i="2"/>
  <c r="AK2614" i="2"/>
  <c r="AJ2614" i="2"/>
  <c r="AI2614" i="2"/>
  <c r="AH2614" i="2"/>
  <c r="AG2614" i="2"/>
  <c r="AF2614" i="2"/>
  <c r="AE2614" i="2"/>
  <c r="AD2614" i="2"/>
  <c r="AA2614" i="2"/>
  <c r="Z2614" i="2"/>
  <c r="Y2614" i="2"/>
  <c r="X2614" i="2"/>
  <c r="U2614" i="2"/>
  <c r="T2614" i="2"/>
  <c r="S2614" i="2"/>
  <c r="R2614" i="2"/>
  <c r="Q2614" i="2"/>
  <c r="P2614" i="2"/>
  <c r="O2614" i="2"/>
  <c r="N2614" i="2"/>
  <c r="K2614" i="2"/>
  <c r="J2614" i="2"/>
  <c r="I2614" i="2"/>
  <c r="H2614" i="2"/>
  <c r="G2614" i="2"/>
  <c r="F2614" i="2"/>
  <c r="E2614" i="2"/>
  <c r="D2614" i="2"/>
  <c r="C2614" i="2"/>
  <c r="B2614" i="2"/>
  <c r="A2614" i="2"/>
  <c r="AX2613" i="2"/>
  <c r="AV2613" i="2"/>
  <c r="AU2613" i="2"/>
  <c r="AR2613" i="2"/>
  <c r="AQ2613" i="2"/>
  <c r="AO2613" i="2"/>
  <c r="AL2613" i="2"/>
  <c r="AK2613" i="2"/>
  <c r="AJ2613" i="2"/>
  <c r="AI2613" i="2"/>
  <c r="AH2613" i="2"/>
  <c r="AG2613" i="2"/>
  <c r="AE2613" i="2"/>
  <c r="AD2613" i="2"/>
  <c r="AA2613" i="2"/>
  <c r="Z2613" i="2"/>
  <c r="Y2613" i="2"/>
  <c r="X2613" i="2"/>
  <c r="V2613" i="2"/>
  <c r="U2613" i="2"/>
  <c r="T2613" i="2"/>
  <c r="S2613" i="2"/>
  <c r="R2613" i="2"/>
  <c r="Q2613" i="2"/>
  <c r="P2613" i="2"/>
  <c r="O2613" i="2"/>
  <c r="N2613" i="2"/>
  <c r="K2613" i="2"/>
  <c r="J2613" i="2"/>
  <c r="I2613" i="2"/>
  <c r="H2613" i="2"/>
  <c r="G2613" i="2"/>
  <c r="F2613" i="2"/>
  <c r="E2613" i="2"/>
  <c r="D2613" i="2"/>
  <c r="C2613" i="2"/>
  <c r="B2613" i="2"/>
  <c r="A2613" i="2"/>
  <c r="AX2612" i="2"/>
  <c r="AV2612" i="2"/>
  <c r="AU2612" i="2"/>
  <c r="AR2612" i="2"/>
  <c r="AQ2612" i="2"/>
  <c r="AO2612" i="2"/>
  <c r="AL2612" i="2"/>
  <c r="AK2612" i="2"/>
  <c r="AJ2612" i="2"/>
  <c r="AI2612" i="2"/>
  <c r="AH2612" i="2"/>
  <c r="AG2612" i="2"/>
  <c r="AF2612" i="2"/>
  <c r="AE2612" i="2"/>
  <c r="AD2612" i="2"/>
  <c r="AA2612" i="2"/>
  <c r="Z2612" i="2"/>
  <c r="Y2612" i="2"/>
  <c r="X2612" i="2"/>
  <c r="V2612" i="2"/>
  <c r="U2612" i="2"/>
  <c r="T2612" i="2"/>
  <c r="S2612" i="2"/>
  <c r="R2612" i="2"/>
  <c r="Q2612" i="2"/>
  <c r="P2612" i="2"/>
  <c r="O2612" i="2"/>
  <c r="N2612" i="2"/>
  <c r="K2612" i="2"/>
  <c r="J2612" i="2"/>
  <c r="I2612" i="2"/>
  <c r="H2612" i="2"/>
  <c r="G2612" i="2"/>
  <c r="F2612" i="2"/>
  <c r="E2612" i="2"/>
  <c r="D2612" i="2"/>
  <c r="C2612" i="2"/>
  <c r="B2612" i="2"/>
  <c r="A2612" i="2"/>
  <c r="AX2611" i="2"/>
  <c r="AV2611" i="2"/>
  <c r="AU2611" i="2"/>
  <c r="AR2611" i="2"/>
  <c r="AQ2611" i="2"/>
  <c r="AO2611" i="2"/>
  <c r="AL2611" i="2"/>
  <c r="AI2611" i="2"/>
  <c r="AH2611" i="2"/>
  <c r="AG2611" i="2"/>
  <c r="AE2611" i="2"/>
  <c r="AD2611" i="2"/>
  <c r="AA2611" i="2"/>
  <c r="Z2611" i="2"/>
  <c r="Y2611" i="2"/>
  <c r="X2611" i="2"/>
  <c r="U2611" i="2"/>
  <c r="T2611" i="2"/>
  <c r="S2611" i="2"/>
  <c r="R2611" i="2"/>
  <c r="Q2611" i="2"/>
  <c r="P2611" i="2"/>
  <c r="O2611" i="2"/>
  <c r="N2611" i="2"/>
  <c r="K2611" i="2"/>
  <c r="J2611" i="2"/>
  <c r="I2611" i="2"/>
  <c r="H2611" i="2"/>
  <c r="G2611" i="2"/>
  <c r="F2611" i="2"/>
  <c r="E2611" i="2"/>
  <c r="D2611" i="2"/>
  <c r="C2611" i="2"/>
  <c r="B2611" i="2"/>
  <c r="A2611" i="2"/>
  <c r="AX2610" i="2"/>
  <c r="AV2610" i="2"/>
  <c r="AU2610" i="2"/>
  <c r="AS2610" i="2"/>
  <c r="AR2610" i="2"/>
  <c r="AQ2610" i="2"/>
  <c r="AO2610" i="2"/>
  <c r="AL2610" i="2"/>
  <c r="AK2610" i="2"/>
  <c r="AJ2610" i="2"/>
  <c r="AI2610" i="2"/>
  <c r="AH2610" i="2"/>
  <c r="AG2610" i="2"/>
  <c r="AE2610" i="2"/>
  <c r="AD2610" i="2"/>
  <c r="AA2610" i="2"/>
  <c r="Z2610" i="2"/>
  <c r="Y2610" i="2"/>
  <c r="X2610" i="2"/>
  <c r="W2610" i="2"/>
  <c r="V2610" i="2"/>
  <c r="U2610" i="2"/>
  <c r="T2610" i="2"/>
  <c r="S2610" i="2"/>
  <c r="R2610" i="2"/>
  <c r="Q2610" i="2"/>
  <c r="P2610" i="2"/>
  <c r="O2610" i="2"/>
  <c r="N2610" i="2"/>
  <c r="K2610" i="2"/>
  <c r="J2610" i="2"/>
  <c r="I2610" i="2"/>
  <c r="H2610" i="2"/>
  <c r="G2610" i="2"/>
  <c r="F2610" i="2"/>
  <c r="E2610" i="2"/>
  <c r="D2610" i="2"/>
  <c r="C2610" i="2"/>
  <c r="B2610" i="2"/>
  <c r="A2610" i="2"/>
  <c r="AX2609" i="2"/>
  <c r="AV2609" i="2"/>
  <c r="AU2609" i="2"/>
  <c r="AR2609" i="2"/>
  <c r="AQ2609" i="2"/>
  <c r="AO2609" i="2"/>
  <c r="AL2609" i="2"/>
  <c r="AK2609" i="2"/>
  <c r="AJ2609" i="2"/>
  <c r="AI2609" i="2"/>
  <c r="AH2609" i="2"/>
  <c r="AG2609" i="2"/>
  <c r="AE2609" i="2"/>
  <c r="AD2609" i="2"/>
  <c r="AA2609" i="2"/>
  <c r="Z2609" i="2"/>
  <c r="Y2609" i="2"/>
  <c r="V2609" i="2"/>
  <c r="U2609" i="2"/>
  <c r="T2609" i="2"/>
  <c r="S2609" i="2"/>
  <c r="R2609" i="2"/>
  <c r="Q2609" i="2"/>
  <c r="P2609" i="2"/>
  <c r="O2609" i="2"/>
  <c r="N2609" i="2"/>
  <c r="K2609" i="2"/>
  <c r="J2609" i="2"/>
  <c r="I2609" i="2"/>
  <c r="H2609" i="2"/>
  <c r="G2609" i="2"/>
  <c r="F2609" i="2"/>
  <c r="E2609" i="2"/>
  <c r="D2609" i="2"/>
  <c r="C2609" i="2"/>
  <c r="B2609" i="2"/>
  <c r="A2609" i="2"/>
  <c r="AX2608" i="2"/>
  <c r="AV2608" i="2"/>
  <c r="AU2608" i="2"/>
  <c r="AR2608" i="2"/>
  <c r="AQ2608" i="2"/>
  <c r="AO2608" i="2"/>
  <c r="AL2608" i="2"/>
  <c r="AK2608" i="2"/>
  <c r="AJ2608" i="2"/>
  <c r="AI2608" i="2"/>
  <c r="AH2608" i="2"/>
  <c r="AG2608" i="2"/>
  <c r="AE2608" i="2"/>
  <c r="AD2608" i="2"/>
  <c r="AA2608" i="2"/>
  <c r="Z2608" i="2"/>
  <c r="Y2608" i="2"/>
  <c r="X2608" i="2"/>
  <c r="U2608" i="2"/>
  <c r="T2608" i="2"/>
  <c r="S2608" i="2"/>
  <c r="R2608" i="2"/>
  <c r="Q2608" i="2"/>
  <c r="P2608" i="2"/>
  <c r="O2608" i="2"/>
  <c r="N2608" i="2"/>
  <c r="K2608" i="2"/>
  <c r="J2608" i="2"/>
  <c r="I2608" i="2"/>
  <c r="H2608" i="2"/>
  <c r="G2608" i="2"/>
  <c r="F2608" i="2"/>
  <c r="E2608" i="2"/>
  <c r="D2608" i="2"/>
  <c r="C2608" i="2"/>
  <c r="B2608" i="2"/>
  <c r="A2608" i="2"/>
  <c r="AX2607" i="2"/>
  <c r="AV2607" i="2"/>
  <c r="AU2607" i="2"/>
  <c r="AR2607" i="2"/>
  <c r="AQ2607" i="2"/>
  <c r="AO2607" i="2"/>
  <c r="AL2607" i="2"/>
  <c r="AK2607" i="2"/>
  <c r="AJ2607" i="2"/>
  <c r="AI2607" i="2"/>
  <c r="AH2607" i="2"/>
  <c r="AG2607" i="2"/>
  <c r="AE2607" i="2"/>
  <c r="AD2607" i="2"/>
  <c r="AA2607" i="2"/>
  <c r="Z2607" i="2"/>
  <c r="Y2607" i="2"/>
  <c r="X2607" i="2"/>
  <c r="W2607" i="2"/>
  <c r="V2607" i="2"/>
  <c r="U2607" i="2"/>
  <c r="T2607" i="2"/>
  <c r="S2607" i="2"/>
  <c r="R2607" i="2"/>
  <c r="Q2607" i="2"/>
  <c r="P2607" i="2"/>
  <c r="O2607" i="2"/>
  <c r="N2607" i="2"/>
  <c r="K2607" i="2"/>
  <c r="J2607" i="2"/>
  <c r="I2607" i="2"/>
  <c r="H2607" i="2"/>
  <c r="G2607" i="2"/>
  <c r="F2607" i="2"/>
  <c r="E2607" i="2"/>
  <c r="D2607" i="2"/>
  <c r="C2607" i="2"/>
  <c r="B2607" i="2"/>
  <c r="A2607" i="2"/>
  <c r="AX2606" i="2"/>
  <c r="AV2606" i="2"/>
  <c r="AU2606" i="2"/>
  <c r="AR2606" i="2"/>
  <c r="AQ2606" i="2"/>
  <c r="AO2606" i="2"/>
  <c r="AL2606" i="2"/>
  <c r="AK2606" i="2"/>
  <c r="AJ2606" i="2"/>
  <c r="AI2606" i="2"/>
  <c r="AH2606" i="2"/>
  <c r="AG2606" i="2"/>
  <c r="AF2606" i="2"/>
  <c r="AE2606" i="2"/>
  <c r="AD2606" i="2"/>
  <c r="AA2606" i="2"/>
  <c r="Z2606" i="2"/>
  <c r="Y2606" i="2"/>
  <c r="X2606" i="2"/>
  <c r="W2606" i="2"/>
  <c r="V2606" i="2"/>
  <c r="U2606" i="2"/>
  <c r="T2606" i="2"/>
  <c r="S2606" i="2"/>
  <c r="R2606" i="2"/>
  <c r="Q2606" i="2"/>
  <c r="P2606" i="2"/>
  <c r="O2606" i="2"/>
  <c r="N2606" i="2"/>
  <c r="K2606" i="2"/>
  <c r="J2606" i="2"/>
  <c r="I2606" i="2"/>
  <c r="H2606" i="2"/>
  <c r="G2606" i="2"/>
  <c r="F2606" i="2"/>
  <c r="E2606" i="2"/>
  <c r="D2606" i="2"/>
  <c r="C2606" i="2"/>
  <c r="B2606" i="2"/>
  <c r="A2606" i="2"/>
  <c r="AX2605" i="2"/>
  <c r="AV2605" i="2"/>
  <c r="AU2605" i="2"/>
  <c r="AR2605" i="2"/>
  <c r="AQ2605" i="2"/>
  <c r="AO2605" i="2"/>
  <c r="AM2605" i="2"/>
  <c r="AL2605" i="2"/>
  <c r="AK2605" i="2"/>
  <c r="AJ2605" i="2"/>
  <c r="AI2605" i="2"/>
  <c r="AH2605" i="2"/>
  <c r="AG2605" i="2"/>
  <c r="AD2605" i="2"/>
  <c r="AB2605" i="2"/>
  <c r="AA2605" i="2"/>
  <c r="Z2605" i="2"/>
  <c r="Y2605" i="2"/>
  <c r="V2605" i="2"/>
  <c r="U2605" i="2"/>
  <c r="T2605" i="2"/>
  <c r="S2605" i="2"/>
  <c r="R2605" i="2"/>
  <c r="Q2605" i="2"/>
  <c r="P2605" i="2"/>
  <c r="O2605" i="2"/>
  <c r="N2605" i="2"/>
  <c r="K2605" i="2"/>
  <c r="J2605" i="2"/>
  <c r="I2605" i="2"/>
  <c r="H2605" i="2"/>
  <c r="G2605" i="2"/>
  <c r="F2605" i="2"/>
  <c r="E2605" i="2"/>
  <c r="D2605" i="2"/>
  <c r="C2605" i="2"/>
  <c r="B2605" i="2"/>
  <c r="A2605" i="2"/>
  <c r="AX2604" i="2"/>
  <c r="AV2604" i="2"/>
  <c r="AU2604" i="2"/>
  <c r="AS2604" i="2"/>
  <c r="AR2604" i="2"/>
  <c r="AQ2604" i="2"/>
  <c r="AO2604" i="2"/>
  <c r="AL2604" i="2"/>
  <c r="AK2604" i="2"/>
  <c r="AJ2604" i="2"/>
  <c r="AI2604" i="2"/>
  <c r="AH2604" i="2"/>
  <c r="AG2604" i="2"/>
  <c r="AF2604" i="2"/>
  <c r="AE2604" i="2"/>
  <c r="AD2604" i="2"/>
  <c r="AA2604" i="2"/>
  <c r="Z2604" i="2"/>
  <c r="Y2604" i="2"/>
  <c r="X2604" i="2"/>
  <c r="W2604" i="2"/>
  <c r="V2604" i="2"/>
  <c r="U2604" i="2"/>
  <c r="T2604" i="2"/>
  <c r="S2604" i="2"/>
  <c r="R2604" i="2"/>
  <c r="Q2604" i="2"/>
  <c r="P2604" i="2"/>
  <c r="O2604" i="2"/>
  <c r="N2604" i="2"/>
  <c r="K2604" i="2"/>
  <c r="J2604" i="2"/>
  <c r="I2604" i="2"/>
  <c r="H2604" i="2"/>
  <c r="G2604" i="2"/>
  <c r="F2604" i="2"/>
  <c r="E2604" i="2"/>
  <c r="D2604" i="2"/>
  <c r="C2604" i="2"/>
  <c r="B2604" i="2"/>
  <c r="A2604" i="2"/>
  <c r="AX2603" i="2"/>
  <c r="AV2603" i="2"/>
  <c r="AU2603" i="2"/>
  <c r="AS2603" i="2"/>
  <c r="AR2603" i="2"/>
  <c r="AQ2603" i="2"/>
  <c r="AO2603" i="2"/>
  <c r="AL2603" i="2"/>
  <c r="AK2603" i="2"/>
  <c r="AJ2603" i="2"/>
  <c r="AI2603" i="2"/>
  <c r="AH2603" i="2"/>
  <c r="AG2603" i="2"/>
  <c r="AE2603" i="2"/>
  <c r="AD2603" i="2"/>
  <c r="AA2603" i="2"/>
  <c r="Z2603" i="2"/>
  <c r="Y2603" i="2"/>
  <c r="X2603" i="2"/>
  <c r="W2603" i="2"/>
  <c r="V2603" i="2"/>
  <c r="U2603" i="2"/>
  <c r="T2603" i="2"/>
  <c r="S2603" i="2"/>
  <c r="R2603" i="2"/>
  <c r="Q2603" i="2"/>
  <c r="P2603" i="2"/>
  <c r="O2603" i="2"/>
  <c r="N2603" i="2"/>
  <c r="K2603" i="2"/>
  <c r="J2603" i="2"/>
  <c r="I2603" i="2"/>
  <c r="H2603" i="2"/>
  <c r="G2603" i="2"/>
  <c r="F2603" i="2"/>
  <c r="E2603" i="2"/>
  <c r="D2603" i="2"/>
  <c r="C2603" i="2"/>
  <c r="B2603" i="2"/>
  <c r="A2603" i="2"/>
  <c r="AX2602" i="2"/>
  <c r="AV2602" i="2"/>
  <c r="AU2602" i="2"/>
  <c r="AR2602" i="2"/>
  <c r="AQ2602" i="2"/>
  <c r="AO2602" i="2"/>
  <c r="AL2602" i="2"/>
  <c r="AK2602" i="2"/>
  <c r="AJ2602" i="2"/>
  <c r="AI2602" i="2"/>
  <c r="AH2602" i="2"/>
  <c r="AG2602" i="2"/>
  <c r="AE2602" i="2"/>
  <c r="AD2602" i="2"/>
  <c r="AB2602" i="2"/>
  <c r="AA2602" i="2"/>
  <c r="Z2602" i="2"/>
  <c r="Y2602" i="2"/>
  <c r="X2602" i="2"/>
  <c r="V2602" i="2"/>
  <c r="U2602" i="2"/>
  <c r="T2602" i="2"/>
  <c r="S2602" i="2"/>
  <c r="R2602" i="2"/>
  <c r="Q2602" i="2"/>
  <c r="P2602" i="2"/>
  <c r="O2602" i="2"/>
  <c r="N2602" i="2"/>
  <c r="K2602" i="2"/>
  <c r="J2602" i="2"/>
  <c r="I2602" i="2"/>
  <c r="H2602" i="2"/>
  <c r="G2602" i="2"/>
  <c r="F2602" i="2"/>
  <c r="E2602" i="2"/>
  <c r="D2602" i="2"/>
  <c r="C2602" i="2"/>
  <c r="B2602" i="2"/>
  <c r="A2602" i="2"/>
  <c r="AX2601" i="2"/>
  <c r="AV2601" i="2"/>
  <c r="AU2601" i="2"/>
  <c r="AR2601" i="2"/>
  <c r="AQ2601" i="2"/>
  <c r="AO2601" i="2"/>
  <c r="AK2601" i="2"/>
  <c r="AJ2601" i="2"/>
  <c r="AI2601" i="2"/>
  <c r="AH2601" i="2"/>
  <c r="AG2601" i="2"/>
  <c r="AE2601" i="2"/>
  <c r="AA2601" i="2"/>
  <c r="Z2601" i="2"/>
  <c r="Y2601" i="2"/>
  <c r="X2601" i="2"/>
  <c r="W2601" i="2"/>
  <c r="V2601" i="2"/>
  <c r="U2601" i="2"/>
  <c r="T2601" i="2"/>
  <c r="S2601" i="2"/>
  <c r="R2601" i="2"/>
  <c r="Q2601" i="2"/>
  <c r="P2601" i="2"/>
  <c r="O2601" i="2"/>
  <c r="N2601" i="2"/>
  <c r="K2601" i="2"/>
  <c r="J2601" i="2"/>
  <c r="I2601" i="2"/>
  <c r="H2601" i="2"/>
  <c r="G2601" i="2"/>
  <c r="F2601" i="2"/>
  <c r="E2601" i="2"/>
  <c r="D2601" i="2"/>
  <c r="C2601" i="2"/>
  <c r="B2601" i="2"/>
  <c r="A2601" i="2"/>
  <c r="AX2600" i="2"/>
  <c r="AV2600" i="2"/>
  <c r="AU2600" i="2"/>
  <c r="AS2600" i="2"/>
  <c r="AR2600" i="2"/>
  <c r="AQ2600" i="2"/>
  <c r="AO2600" i="2"/>
  <c r="AM2600" i="2"/>
  <c r="AL2600" i="2"/>
  <c r="AK2600" i="2"/>
  <c r="AJ2600" i="2"/>
  <c r="AI2600" i="2"/>
  <c r="AH2600" i="2"/>
  <c r="AG2600" i="2"/>
  <c r="AF2600" i="2"/>
  <c r="AE2600" i="2"/>
  <c r="AC2600" i="2"/>
  <c r="AA2600" i="2"/>
  <c r="Z2600" i="2"/>
  <c r="Y2600" i="2"/>
  <c r="W2600" i="2"/>
  <c r="V2600" i="2"/>
  <c r="U2600" i="2"/>
  <c r="T2600" i="2"/>
  <c r="S2600" i="2"/>
  <c r="R2600" i="2"/>
  <c r="Q2600" i="2"/>
  <c r="P2600" i="2"/>
  <c r="O2600" i="2"/>
  <c r="N2600" i="2"/>
  <c r="K2600" i="2"/>
  <c r="J2600" i="2"/>
  <c r="I2600" i="2"/>
  <c r="H2600" i="2"/>
  <c r="G2600" i="2"/>
  <c r="F2600" i="2"/>
  <c r="E2600" i="2"/>
  <c r="D2600" i="2"/>
  <c r="C2600" i="2"/>
  <c r="B2600" i="2"/>
  <c r="A2600" i="2"/>
  <c r="AX2599" i="2"/>
  <c r="AV2599" i="2"/>
  <c r="AU2599" i="2"/>
  <c r="AR2599" i="2"/>
  <c r="AQ2599" i="2"/>
  <c r="AO2599" i="2"/>
  <c r="AL2599" i="2"/>
  <c r="AK2599" i="2"/>
  <c r="AJ2599" i="2"/>
  <c r="AI2599" i="2"/>
  <c r="AH2599" i="2"/>
  <c r="AG2599" i="2"/>
  <c r="AF2599" i="2"/>
  <c r="AE2599" i="2"/>
  <c r="AD2599" i="2"/>
  <c r="AA2599" i="2"/>
  <c r="Z2599" i="2"/>
  <c r="Y2599" i="2"/>
  <c r="X2599" i="2"/>
  <c r="W2599" i="2"/>
  <c r="U2599" i="2"/>
  <c r="T2599" i="2"/>
  <c r="S2599" i="2"/>
  <c r="R2599" i="2"/>
  <c r="Q2599" i="2"/>
  <c r="P2599" i="2"/>
  <c r="O2599" i="2"/>
  <c r="N2599" i="2"/>
  <c r="K2599" i="2"/>
  <c r="J2599" i="2"/>
  <c r="I2599" i="2"/>
  <c r="H2599" i="2"/>
  <c r="G2599" i="2"/>
  <c r="F2599" i="2"/>
  <c r="E2599" i="2"/>
  <c r="D2599" i="2"/>
  <c r="C2599" i="2"/>
  <c r="B2599" i="2"/>
  <c r="A2599" i="2"/>
  <c r="AX2598" i="2"/>
  <c r="AV2598" i="2"/>
  <c r="AU2598" i="2"/>
  <c r="AR2598" i="2"/>
  <c r="AQ2598" i="2"/>
  <c r="AO2598" i="2"/>
  <c r="AL2598" i="2"/>
  <c r="AK2598" i="2"/>
  <c r="AJ2598" i="2"/>
  <c r="AI2598" i="2"/>
  <c r="AH2598" i="2"/>
  <c r="AG2598" i="2"/>
  <c r="AE2598" i="2"/>
  <c r="AD2598" i="2"/>
  <c r="AA2598" i="2"/>
  <c r="Z2598" i="2"/>
  <c r="Y2598" i="2"/>
  <c r="X2598" i="2"/>
  <c r="W2598" i="2"/>
  <c r="V2598" i="2"/>
  <c r="U2598" i="2"/>
  <c r="T2598" i="2"/>
  <c r="S2598" i="2"/>
  <c r="R2598" i="2"/>
  <c r="Q2598" i="2"/>
  <c r="P2598" i="2"/>
  <c r="O2598" i="2"/>
  <c r="N2598" i="2"/>
  <c r="K2598" i="2"/>
  <c r="J2598" i="2"/>
  <c r="I2598" i="2"/>
  <c r="H2598" i="2"/>
  <c r="G2598" i="2"/>
  <c r="F2598" i="2"/>
  <c r="E2598" i="2"/>
  <c r="D2598" i="2"/>
  <c r="C2598" i="2"/>
  <c r="B2598" i="2"/>
  <c r="A2598" i="2"/>
  <c r="AX2597" i="2"/>
  <c r="AV2597" i="2"/>
  <c r="AU2597" i="2"/>
  <c r="AR2597" i="2"/>
  <c r="AQ2597" i="2"/>
  <c r="AO2597" i="2"/>
  <c r="AL2597" i="2"/>
  <c r="AK2597" i="2"/>
  <c r="AJ2597" i="2"/>
  <c r="AI2597" i="2"/>
  <c r="AH2597" i="2"/>
  <c r="AG2597" i="2"/>
  <c r="AE2597" i="2"/>
  <c r="AA2597" i="2"/>
  <c r="Z2597" i="2"/>
  <c r="Y2597" i="2"/>
  <c r="X2597" i="2"/>
  <c r="U2597" i="2"/>
  <c r="T2597" i="2"/>
  <c r="S2597" i="2"/>
  <c r="R2597" i="2"/>
  <c r="Q2597" i="2"/>
  <c r="P2597" i="2"/>
  <c r="O2597" i="2"/>
  <c r="N2597" i="2"/>
  <c r="K2597" i="2"/>
  <c r="J2597" i="2"/>
  <c r="I2597" i="2"/>
  <c r="H2597" i="2"/>
  <c r="G2597" i="2"/>
  <c r="F2597" i="2"/>
  <c r="E2597" i="2"/>
  <c r="D2597" i="2"/>
  <c r="C2597" i="2"/>
  <c r="B2597" i="2"/>
  <c r="A2597" i="2"/>
  <c r="AX2596" i="2"/>
  <c r="AV2596" i="2"/>
  <c r="AU2596" i="2"/>
  <c r="AR2596" i="2"/>
  <c r="AQ2596" i="2"/>
  <c r="AO2596" i="2"/>
  <c r="AL2596" i="2"/>
  <c r="AK2596" i="2"/>
  <c r="AJ2596" i="2"/>
  <c r="AI2596" i="2"/>
  <c r="AH2596" i="2"/>
  <c r="AG2596" i="2"/>
  <c r="AE2596" i="2"/>
  <c r="AD2596" i="2"/>
  <c r="AA2596" i="2"/>
  <c r="Z2596" i="2"/>
  <c r="Y2596" i="2"/>
  <c r="X2596" i="2"/>
  <c r="W2596" i="2"/>
  <c r="V2596" i="2"/>
  <c r="U2596" i="2"/>
  <c r="T2596" i="2"/>
  <c r="S2596" i="2"/>
  <c r="R2596" i="2"/>
  <c r="Q2596" i="2"/>
  <c r="P2596" i="2"/>
  <c r="O2596" i="2"/>
  <c r="N2596" i="2"/>
  <c r="K2596" i="2"/>
  <c r="J2596" i="2"/>
  <c r="I2596" i="2"/>
  <c r="H2596" i="2"/>
  <c r="G2596" i="2"/>
  <c r="F2596" i="2"/>
  <c r="E2596" i="2"/>
  <c r="D2596" i="2"/>
  <c r="C2596" i="2"/>
  <c r="B2596" i="2"/>
  <c r="A2596" i="2"/>
  <c r="AX2595" i="2"/>
  <c r="AV2595" i="2"/>
  <c r="AU2595" i="2"/>
  <c r="AR2595" i="2"/>
  <c r="AQ2595" i="2"/>
  <c r="AO2595" i="2"/>
  <c r="AN2595" i="2"/>
  <c r="AM2595" i="2"/>
  <c r="AL2595" i="2"/>
  <c r="AK2595" i="2"/>
  <c r="AJ2595" i="2"/>
  <c r="AI2595" i="2"/>
  <c r="AH2595" i="2"/>
  <c r="AG2595" i="2"/>
  <c r="AE2595" i="2"/>
  <c r="AD2595" i="2"/>
  <c r="AC2595" i="2"/>
  <c r="AA2595" i="2"/>
  <c r="Z2595" i="2"/>
  <c r="Y2595" i="2"/>
  <c r="W2595" i="2"/>
  <c r="V2595" i="2"/>
  <c r="U2595" i="2"/>
  <c r="T2595" i="2"/>
  <c r="S2595" i="2"/>
  <c r="R2595" i="2"/>
  <c r="Q2595" i="2"/>
  <c r="P2595" i="2"/>
  <c r="O2595" i="2"/>
  <c r="N2595" i="2"/>
  <c r="K2595" i="2"/>
  <c r="J2595" i="2"/>
  <c r="I2595" i="2"/>
  <c r="H2595" i="2"/>
  <c r="G2595" i="2"/>
  <c r="F2595" i="2"/>
  <c r="E2595" i="2"/>
  <c r="D2595" i="2"/>
  <c r="C2595" i="2"/>
  <c r="B2595" i="2"/>
  <c r="A2595" i="2"/>
  <c r="AX2594" i="2"/>
  <c r="AV2594" i="2"/>
  <c r="AU2594" i="2"/>
  <c r="AR2594" i="2"/>
  <c r="AQ2594" i="2"/>
  <c r="AO2594" i="2"/>
  <c r="AL2594" i="2"/>
  <c r="AK2594" i="2"/>
  <c r="AJ2594" i="2"/>
  <c r="AI2594" i="2"/>
  <c r="AH2594" i="2"/>
  <c r="AG2594" i="2"/>
  <c r="AE2594" i="2"/>
  <c r="AD2594" i="2"/>
  <c r="AA2594" i="2"/>
  <c r="Z2594" i="2"/>
  <c r="Y2594" i="2"/>
  <c r="X2594" i="2"/>
  <c r="V2594" i="2"/>
  <c r="U2594" i="2"/>
  <c r="T2594" i="2"/>
  <c r="S2594" i="2"/>
  <c r="R2594" i="2"/>
  <c r="Q2594" i="2"/>
  <c r="P2594" i="2"/>
  <c r="O2594" i="2"/>
  <c r="N2594" i="2"/>
  <c r="K2594" i="2"/>
  <c r="J2594" i="2"/>
  <c r="I2594" i="2"/>
  <c r="H2594" i="2"/>
  <c r="G2594" i="2"/>
  <c r="F2594" i="2"/>
  <c r="E2594" i="2"/>
  <c r="D2594" i="2"/>
  <c r="C2594" i="2"/>
  <c r="B2594" i="2"/>
  <c r="A2594" i="2"/>
  <c r="AX2593" i="2"/>
  <c r="AV2593" i="2"/>
  <c r="AU2593" i="2"/>
  <c r="AS2593" i="2"/>
  <c r="AR2593" i="2"/>
  <c r="AQ2593" i="2"/>
  <c r="AP2593" i="2"/>
  <c r="AO2593" i="2"/>
  <c r="AM2593" i="2"/>
  <c r="AL2593" i="2"/>
  <c r="AK2593" i="2"/>
  <c r="AJ2593" i="2"/>
  <c r="AI2593" i="2"/>
  <c r="AH2593" i="2"/>
  <c r="AG2593" i="2"/>
  <c r="AE2593" i="2"/>
  <c r="AD2593" i="2"/>
  <c r="AA2593" i="2"/>
  <c r="Z2593" i="2"/>
  <c r="Y2593" i="2"/>
  <c r="X2593" i="2"/>
  <c r="W2593" i="2"/>
  <c r="V2593" i="2"/>
  <c r="U2593" i="2"/>
  <c r="T2593" i="2"/>
  <c r="S2593" i="2"/>
  <c r="R2593" i="2"/>
  <c r="Q2593" i="2"/>
  <c r="P2593" i="2"/>
  <c r="O2593" i="2"/>
  <c r="N2593" i="2"/>
  <c r="K2593" i="2"/>
  <c r="J2593" i="2"/>
  <c r="I2593" i="2"/>
  <c r="H2593" i="2"/>
  <c r="G2593" i="2"/>
  <c r="F2593" i="2"/>
  <c r="E2593" i="2"/>
  <c r="D2593" i="2"/>
  <c r="C2593" i="2"/>
  <c r="B2593" i="2"/>
  <c r="A2593" i="2"/>
  <c r="AX2592" i="2"/>
  <c r="AV2592" i="2"/>
  <c r="AU2592" i="2"/>
  <c r="AS2592" i="2"/>
  <c r="AR2592" i="2"/>
  <c r="AQ2592" i="2"/>
  <c r="AO2592" i="2"/>
  <c r="AL2592" i="2"/>
  <c r="AK2592" i="2"/>
  <c r="AJ2592" i="2"/>
  <c r="AI2592" i="2"/>
  <c r="AH2592" i="2"/>
  <c r="AG2592" i="2"/>
  <c r="AE2592" i="2"/>
  <c r="AD2592" i="2"/>
  <c r="AA2592" i="2"/>
  <c r="Z2592" i="2"/>
  <c r="Y2592" i="2"/>
  <c r="X2592" i="2"/>
  <c r="V2592" i="2"/>
  <c r="U2592" i="2"/>
  <c r="T2592" i="2"/>
  <c r="S2592" i="2"/>
  <c r="R2592" i="2"/>
  <c r="Q2592" i="2"/>
  <c r="P2592" i="2"/>
  <c r="O2592" i="2"/>
  <c r="N2592" i="2"/>
  <c r="K2592" i="2"/>
  <c r="J2592" i="2"/>
  <c r="I2592" i="2"/>
  <c r="H2592" i="2"/>
  <c r="G2592" i="2"/>
  <c r="F2592" i="2"/>
  <c r="E2592" i="2"/>
  <c r="D2592" i="2"/>
  <c r="C2592" i="2"/>
  <c r="B2592" i="2"/>
  <c r="A2592" i="2"/>
  <c r="AX2591" i="2"/>
  <c r="AV2591" i="2"/>
  <c r="AU2591" i="2"/>
  <c r="AS2591" i="2"/>
  <c r="AR2591" i="2"/>
  <c r="AQ2591" i="2"/>
  <c r="AO2591" i="2"/>
  <c r="AL2591" i="2"/>
  <c r="AK2591" i="2"/>
  <c r="AJ2591" i="2"/>
  <c r="AI2591" i="2"/>
  <c r="AH2591" i="2"/>
  <c r="AG2591" i="2"/>
  <c r="AE2591" i="2"/>
  <c r="AD2591" i="2"/>
  <c r="AA2591" i="2"/>
  <c r="Z2591" i="2"/>
  <c r="Y2591" i="2"/>
  <c r="X2591" i="2"/>
  <c r="W2591" i="2"/>
  <c r="V2591" i="2"/>
  <c r="U2591" i="2"/>
  <c r="T2591" i="2"/>
  <c r="S2591" i="2"/>
  <c r="R2591" i="2"/>
  <c r="Q2591" i="2"/>
  <c r="P2591" i="2"/>
  <c r="O2591" i="2"/>
  <c r="N2591" i="2"/>
  <c r="K2591" i="2"/>
  <c r="J2591" i="2"/>
  <c r="I2591" i="2"/>
  <c r="H2591" i="2"/>
  <c r="G2591" i="2"/>
  <c r="F2591" i="2"/>
  <c r="E2591" i="2"/>
  <c r="D2591" i="2"/>
  <c r="C2591" i="2"/>
  <c r="B2591" i="2"/>
  <c r="A2591" i="2"/>
  <c r="AX2590" i="2"/>
  <c r="AV2590" i="2"/>
  <c r="AU2590" i="2"/>
  <c r="AS2590" i="2"/>
  <c r="AR2590" i="2"/>
  <c r="AQ2590" i="2"/>
  <c r="AO2590" i="2"/>
  <c r="AL2590" i="2"/>
  <c r="AK2590" i="2"/>
  <c r="AJ2590" i="2"/>
  <c r="AI2590" i="2"/>
  <c r="AH2590" i="2"/>
  <c r="AG2590" i="2"/>
  <c r="AE2590" i="2"/>
  <c r="AD2590" i="2"/>
  <c r="AA2590" i="2"/>
  <c r="Z2590" i="2"/>
  <c r="Y2590" i="2"/>
  <c r="U2590" i="2"/>
  <c r="T2590" i="2"/>
  <c r="S2590" i="2"/>
  <c r="R2590" i="2"/>
  <c r="Q2590" i="2"/>
  <c r="P2590" i="2"/>
  <c r="O2590" i="2"/>
  <c r="N2590" i="2"/>
  <c r="K2590" i="2"/>
  <c r="J2590" i="2"/>
  <c r="I2590" i="2"/>
  <c r="H2590" i="2"/>
  <c r="G2590" i="2"/>
  <c r="F2590" i="2"/>
  <c r="E2590" i="2"/>
  <c r="D2590" i="2"/>
  <c r="C2590" i="2"/>
  <c r="B2590" i="2"/>
  <c r="A2590" i="2"/>
  <c r="AX2589" i="2"/>
  <c r="AV2589" i="2"/>
  <c r="AU2589" i="2"/>
  <c r="AS2589" i="2"/>
  <c r="AR2589" i="2"/>
  <c r="AQ2589" i="2"/>
  <c r="AP2589" i="2"/>
  <c r="AO2589" i="2"/>
  <c r="AL2589" i="2"/>
  <c r="AK2589" i="2"/>
  <c r="AJ2589" i="2"/>
  <c r="AI2589" i="2"/>
  <c r="AH2589" i="2"/>
  <c r="AG2589" i="2"/>
  <c r="AF2589" i="2"/>
  <c r="AE2589" i="2"/>
  <c r="AD2589" i="2"/>
  <c r="AA2589" i="2"/>
  <c r="Z2589" i="2"/>
  <c r="Y2589" i="2"/>
  <c r="X2589" i="2"/>
  <c r="U2589" i="2"/>
  <c r="T2589" i="2"/>
  <c r="S2589" i="2"/>
  <c r="R2589" i="2"/>
  <c r="Q2589" i="2"/>
  <c r="P2589" i="2"/>
  <c r="O2589" i="2"/>
  <c r="N2589" i="2"/>
  <c r="K2589" i="2"/>
  <c r="J2589" i="2"/>
  <c r="I2589" i="2"/>
  <c r="H2589" i="2"/>
  <c r="G2589" i="2"/>
  <c r="F2589" i="2"/>
  <c r="E2589" i="2"/>
  <c r="D2589" i="2"/>
  <c r="C2589" i="2"/>
  <c r="B2589" i="2"/>
  <c r="A2589" i="2"/>
  <c r="AX2588" i="2"/>
  <c r="AV2588" i="2"/>
  <c r="AU2588" i="2"/>
  <c r="AS2588" i="2"/>
  <c r="AR2588" i="2"/>
  <c r="AQ2588" i="2"/>
  <c r="AO2588" i="2"/>
  <c r="AL2588" i="2"/>
  <c r="AK2588" i="2"/>
  <c r="AJ2588" i="2"/>
  <c r="AI2588" i="2"/>
  <c r="AH2588" i="2"/>
  <c r="AG2588" i="2"/>
  <c r="AE2588" i="2"/>
  <c r="AD2588" i="2"/>
  <c r="AA2588" i="2"/>
  <c r="Z2588" i="2"/>
  <c r="Y2588" i="2"/>
  <c r="X2588" i="2"/>
  <c r="W2588" i="2"/>
  <c r="V2588" i="2"/>
  <c r="U2588" i="2"/>
  <c r="T2588" i="2"/>
  <c r="S2588" i="2"/>
  <c r="R2588" i="2"/>
  <c r="Q2588" i="2"/>
  <c r="P2588" i="2"/>
  <c r="O2588" i="2"/>
  <c r="N2588" i="2"/>
  <c r="K2588" i="2"/>
  <c r="J2588" i="2"/>
  <c r="I2588" i="2"/>
  <c r="H2588" i="2"/>
  <c r="G2588" i="2"/>
  <c r="F2588" i="2"/>
  <c r="E2588" i="2"/>
  <c r="D2588" i="2"/>
  <c r="C2588" i="2"/>
  <c r="B2588" i="2"/>
  <c r="A2588" i="2"/>
  <c r="AX2587" i="2"/>
  <c r="AV2587" i="2"/>
  <c r="AU2587" i="2"/>
  <c r="AS2587" i="2"/>
  <c r="AR2587" i="2"/>
  <c r="AQ2587" i="2"/>
  <c r="AO2587" i="2"/>
  <c r="AM2587" i="2"/>
  <c r="AL2587" i="2"/>
  <c r="AK2587" i="2"/>
  <c r="AJ2587" i="2"/>
  <c r="AI2587" i="2"/>
  <c r="AH2587" i="2"/>
  <c r="AG2587" i="2"/>
  <c r="AE2587" i="2"/>
  <c r="AD2587" i="2"/>
  <c r="AA2587" i="2"/>
  <c r="Z2587" i="2"/>
  <c r="Y2587" i="2"/>
  <c r="X2587" i="2"/>
  <c r="V2587" i="2"/>
  <c r="U2587" i="2"/>
  <c r="T2587" i="2"/>
  <c r="S2587" i="2"/>
  <c r="R2587" i="2"/>
  <c r="Q2587" i="2"/>
  <c r="P2587" i="2"/>
  <c r="O2587" i="2"/>
  <c r="N2587" i="2"/>
  <c r="K2587" i="2"/>
  <c r="J2587" i="2"/>
  <c r="I2587" i="2"/>
  <c r="H2587" i="2"/>
  <c r="G2587" i="2"/>
  <c r="F2587" i="2"/>
  <c r="E2587" i="2"/>
  <c r="D2587" i="2"/>
  <c r="C2587" i="2"/>
  <c r="B2587" i="2"/>
  <c r="A2587" i="2"/>
  <c r="AX2586" i="2"/>
  <c r="AV2586" i="2"/>
  <c r="AU2586" i="2"/>
  <c r="AS2586" i="2"/>
  <c r="AR2586" i="2"/>
  <c r="AQ2586" i="2"/>
  <c r="AO2586" i="2"/>
  <c r="AL2586" i="2"/>
  <c r="AK2586" i="2"/>
  <c r="AJ2586" i="2"/>
  <c r="AI2586" i="2"/>
  <c r="AH2586" i="2"/>
  <c r="AG2586" i="2"/>
  <c r="AE2586" i="2"/>
  <c r="AD2586" i="2"/>
  <c r="AA2586" i="2"/>
  <c r="Z2586" i="2"/>
  <c r="Y2586" i="2"/>
  <c r="X2586" i="2"/>
  <c r="V2586" i="2"/>
  <c r="U2586" i="2"/>
  <c r="T2586" i="2"/>
  <c r="S2586" i="2"/>
  <c r="R2586" i="2"/>
  <c r="Q2586" i="2"/>
  <c r="P2586" i="2"/>
  <c r="O2586" i="2"/>
  <c r="N2586" i="2"/>
  <c r="K2586" i="2"/>
  <c r="J2586" i="2"/>
  <c r="I2586" i="2"/>
  <c r="H2586" i="2"/>
  <c r="G2586" i="2"/>
  <c r="F2586" i="2"/>
  <c r="E2586" i="2"/>
  <c r="D2586" i="2"/>
  <c r="C2586" i="2"/>
  <c r="B2586" i="2"/>
  <c r="A2586" i="2"/>
  <c r="AX2585" i="2"/>
  <c r="AV2585" i="2"/>
  <c r="AU2585" i="2"/>
  <c r="AR2585" i="2"/>
  <c r="AQ2585" i="2"/>
  <c r="AO2585" i="2"/>
  <c r="AK2585" i="2"/>
  <c r="AJ2585" i="2"/>
  <c r="AI2585" i="2"/>
  <c r="AH2585" i="2"/>
  <c r="AG2585" i="2"/>
  <c r="AE2585" i="2"/>
  <c r="AA2585" i="2"/>
  <c r="Z2585" i="2"/>
  <c r="Y2585" i="2"/>
  <c r="X2585" i="2"/>
  <c r="V2585" i="2"/>
  <c r="U2585" i="2"/>
  <c r="T2585" i="2"/>
  <c r="S2585" i="2"/>
  <c r="R2585" i="2"/>
  <c r="Q2585" i="2"/>
  <c r="P2585" i="2"/>
  <c r="O2585" i="2"/>
  <c r="N2585" i="2"/>
  <c r="K2585" i="2"/>
  <c r="J2585" i="2"/>
  <c r="I2585" i="2"/>
  <c r="H2585" i="2"/>
  <c r="G2585" i="2"/>
  <c r="F2585" i="2"/>
  <c r="E2585" i="2"/>
  <c r="D2585" i="2"/>
  <c r="C2585" i="2"/>
  <c r="B2585" i="2"/>
  <c r="A2585" i="2"/>
  <c r="AX2584" i="2"/>
  <c r="AV2584" i="2"/>
  <c r="AU2584" i="2"/>
  <c r="AS2584" i="2"/>
  <c r="AR2584" i="2"/>
  <c r="AQ2584" i="2"/>
  <c r="AO2584" i="2"/>
  <c r="AM2584" i="2"/>
  <c r="AK2584" i="2"/>
  <c r="AJ2584" i="2"/>
  <c r="AI2584" i="2"/>
  <c r="AG2584" i="2"/>
  <c r="AE2584" i="2"/>
  <c r="AD2584" i="2"/>
  <c r="AA2584" i="2"/>
  <c r="Z2584" i="2"/>
  <c r="Y2584" i="2"/>
  <c r="X2584" i="2"/>
  <c r="W2584" i="2"/>
  <c r="V2584" i="2"/>
  <c r="U2584" i="2"/>
  <c r="T2584" i="2"/>
  <c r="S2584" i="2"/>
  <c r="R2584" i="2"/>
  <c r="Q2584" i="2"/>
  <c r="P2584" i="2"/>
  <c r="O2584" i="2"/>
  <c r="N2584" i="2"/>
  <c r="K2584" i="2"/>
  <c r="J2584" i="2"/>
  <c r="I2584" i="2"/>
  <c r="H2584" i="2"/>
  <c r="G2584" i="2"/>
  <c r="F2584" i="2"/>
  <c r="E2584" i="2"/>
  <c r="D2584" i="2"/>
  <c r="C2584" i="2"/>
  <c r="B2584" i="2"/>
  <c r="A2584" i="2"/>
  <c r="AX2583" i="2"/>
  <c r="AV2583" i="2"/>
  <c r="AU2583" i="2"/>
  <c r="AS2583" i="2"/>
  <c r="AR2583" i="2"/>
  <c r="AQ2583" i="2"/>
  <c r="AO2583" i="2"/>
  <c r="AM2583" i="2"/>
  <c r="AL2583" i="2"/>
  <c r="AK2583" i="2"/>
  <c r="AJ2583" i="2"/>
  <c r="AI2583" i="2"/>
  <c r="AH2583" i="2"/>
  <c r="AG2583" i="2"/>
  <c r="AE2583" i="2"/>
  <c r="AD2583" i="2"/>
  <c r="AA2583" i="2"/>
  <c r="Z2583" i="2"/>
  <c r="Y2583" i="2"/>
  <c r="X2583" i="2"/>
  <c r="W2583" i="2"/>
  <c r="V2583" i="2"/>
  <c r="U2583" i="2"/>
  <c r="T2583" i="2"/>
  <c r="S2583" i="2"/>
  <c r="R2583" i="2"/>
  <c r="Q2583" i="2"/>
  <c r="P2583" i="2"/>
  <c r="O2583" i="2"/>
  <c r="N2583" i="2"/>
  <c r="M2583" i="2"/>
  <c r="K2583" i="2"/>
  <c r="J2583" i="2"/>
  <c r="I2583" i="2"/>
  <c r="H2583" i="2"/>
  <c r="G2583" i="2"/>
  <c r="F2583" i="2"/>
  <c r="E2583" i="2"/>
  <c r="D2583" i="2"/>
  <c r="C2583" i="2"/>
  <c r="B2583" i="2"/>
  <c r="A2583" i="2"/>
  <c r="AX2582" i="2"/>
  <c r="AV2582" i="2"/>
  <c r="AU2582" i="2"/>
  <c r="AS2582" i="2"/>
  <c r="AR2582" i="2"/>
  <c r="AQ2582" i="2"/>
  <c r="AO2582" i="2"/>
  <c r="AL2582" i="2"/>
  <c r="AK2582" i="2"/>
  <c r="AJ2582" i="2"/>
  <c r="AI2582" i="2"/>
  <c r="AH2582" i="2"/>
  <c r="AG2582" i="2"/>
  <c r="AE2582" i="2"/>
  <c r="AD2582" i="2"/>
  <c r="AA2582" i="2"/>
  <c r="Z2582" i="2"/>
  <c r="Y2582" i="2"/>
  <c r="X2582" i="2"/>
  <c r="W2582" i="2"/>
  <c r="V2582" i="2"/>
  <c r="U2582" i="2"/>
  <c r="T2582" i="2"/>
  <c r="S2582" i="2"/>
  <c r="R2582" i="2"/>
  <c r="Q2582" i="2"/>
  <c r="P2582" i="2"/>
  <c r="O2582" i="2"/>
  <c r="N2582" i="2"/>
  <c r="K2582" i="2"/>
  <c r="J2582" i="2"/>
  <c r="I2582" i="2"/>
  <c r="H2582" i="2"/>
  <c r="G2582" i="2"/>
  <c r="F2582" i="2"/>
  <c r="E2582" i="2"/>
  <c r="D2582" i="2"/>
  <c r="C2582" i="2"/>
  <c r="B2582" i="2"/>
  <c r="A2582" i="2"/>
  <c r="AX2581" i="2"/>
  <c r="AV2581" i="2"/>
  <c r="AU2581" i="2"/>
  <c r="AR2581" i="2"/>
  <c r="AQ2581" i="2"/>
  <c r="AO2581" i="2"/>
  <c r="AM2581" i="2"/>
  <c r="AL2581" i="2"/>
  <c r="AK2581" i="2"/>
  <c r="AJ2581" i="2"/>
  <c r="AI2581" i="2"/>
  <c r="AH2581" i="2"/>
  <c r="AG2581" i="2"/>
  <c r="AF2581" i="2"/>
  <c r="AE2581" i="2"/>
  <c r="AD2581" i="2"/>
  <c r="AA2581" i="2"/>
  <c r="Z2581" i="2"/>
  <c r="Y2581" i="2"/>
  <c r="X2581" i="2"/>
  <c r="W2581" i="2"/>
  <c r="V2581" i="2"/>
  <c r="U2581" i="2"/>
  <c r="T2581" i="2"/>
  <c r="S2581" i="2"/>
  <c r="R2581" i="2"/>
  <c r="Q2581" i="2"/>
  <c r="P2581" i="2"/>
  <c r="O2581" i="2"/>
  <c r="N2581" i="2"/>
  <c r="K2581" i="2"/>
  <c r="J2581" i="2"/>
  <c r="I2581" i="2"/>
  <c r="H2581" i="2"/>
  <c r="G2581" i="2"/>
  <c r="F2581" i="2"/>
  <c r="E2581" i="2"/>
  <c r="D2581" i="2"/>
  <c r="C2581" i="2"/>
  <c r="B2581" i="2"/>
  <c r="A2581" i="2"/>
  <c r="AX2580" i="2"/>
  <c r="AV2580" i="2"/>
  <c r="AU2580" i="2"/>
  <c r="AS2580" i="2"/>
  <c r="AR2580" i="2"/>
  <c r="AQ2580" i="2"/>
  <c r="AO2580" i="2"/>
  <c r="AL2580" i="2"/>
  <c r="AK2580" i="2"/>
  <c r="AJ2580" i="2"/>
  <c r="AI2580" i="2"/>
  <c r="AH2580" i="2"/>
  <c r="AG2580" i="2"/>
  <c r="AE2580" i="2"/>
  <c r="AD2580" i="2"/>
  <c r="AA2580" i="2"/>
  <c r="Z2580" i="2"/>
  <c r="Y2580" i="2"/>
  <c r="X2580" i="2"/>
  <c r="W2580" i="2"/>
  <c r="V2580" i="2"/>
  <c r="U2580" i="2"/>
  <c r="T2580" i="2"/>
  <c r="S2580" i="2"/>
  <c r="R2580" i="2"/>
  <c r="Q2580" i="2"/>
  <c r="P2580" i="2"/>
  <c r="O2580" i="2"/>
  <c r="N2580" i="2"/>
  <c r="K2580" i="2"/>
  <c r="J2580" i="2"/>
  <c r="I2580" i="2"/>
  <c r="H2580" i="2"/>
  <c r="G2580" i="2"/>
  <c r="F2580" i="2"/>
  <c r="E2580" i="2"/>
  <c r="D2580" i="2"/>
  <c r="C2580" i="2"/>
  <c r="B2580" i="2"/>
  <c r="A2580" i="2"/>
  <c r="AX2579" i="2"/>
  <c r="AV2579" i="2"/>
  <c r="AU2579" i="2"/>
  <c r="AT2579" i="2"/>
  <c r="AS2579" i="2"/>
  <c r="AR2579" i="2"/>
  <c r="AQ2579" i="2"/>
  <c r="AO2579" i="2"/>
  <c r="AN2579" i="2"/>
  <c r="AM2579" i="2"/>
  <c r="AL2579" i="2"/>
  <c r="AK2579" i="2"/>
  <c r="AJ2579" i="2"/>
  <c r="AI2579" i="2"/>
  <c r="AH2579" i="2"/>
  <c r="AG2579" i="2"/>
  <c r="AE2579" i="2"/>
  <c r="AD2579" i="2"/>
  <c r="AA2579" i="2"/>
  <c r="Z2579" i="2"/>
  <c r="Y2579" i="2"/>
  <c r="X2579" i="2"/>
  <c r="W2579" i="2"/>
  <c r="V2579" i="2"/>
  <c r="U2579" i="2"/>
  <c r="T2579" i="2"/>
  <c r="S2579" i="2"/>
  <c r="R2579" i="2"/>
  <c r="Q2579" i="2"/>
  <c r="P2579" i="2"/>
  <c r="O2579" i="2"/>
  <c r="N2579" i="2"/>
  <c r="K2579" i="2"/>
  <c r="J2579" i="2"/>
  <c r="I2579" i="2"/>
  <c r="H2579" i="2"/>
  <c r="G2579" i="2"/>
  <c r="F2579" i="2"/>
  <c r="E2579" i="2"/>
  <c r="D2579" i="2"/>
  <c r="C2579" i="2"/>
  <c r="B2579" i="2"/>
  <c r="A2579" i="2"/>
  <c r="AX2578" i="2"/>
  <c r="AV2578" i="2"/>
  <c r="AU2578" i="2"/>
  <c r="AR2578" i="2"/>
  <c r="AQ2578" i="2"/>
  <c r="AO2578" i="2"/>
  <c r="AL2578" i="2"/>
  <c r="AK2578" i="2"/>
  <c r="AJ2578" i="2"/>
  <c r="AI2578" i="2"/>
  <c r="AH2578" i="2"/>
  <c r="AG2578" i="2"/>
  <c r="AE2578" i="2"/>
  <c r="AD2578" i="2"/>
  <c r="AA2578" i="2"/>
  <c r="Z2578" i="2"/>
  <c r="Y2578" i="2"/>
  <c r="X2578" i="2"/>
  <c r="V2578" i="2"/>
  <c r="U2578" i="2"/>
  <c r="T2578" i="2"/>
  <c r="S2578" i="2"/>
  <c r="R2578" i="2"/>
  <c r="Q2578" i="2"/>
  <c r="P2578" i="2"/>
  <c r="O2578" i="2"/>
  <c r="N2578" i="2"/>
  <c r="K2578" i="2"/>
  <c r="J2578" i="2"/>
  <c r="I2578" i="2"/>
  <c r="H2578" i="2"/>
  <c r="G2578" i="2"/>
  <c r="F2578" i="2"/>
  <c r="E2578" i="2"/>
  <c r="D2578" i="2"/>
  <c r="C2578" i="2"/>
  <c r="B2578" i="2"/>
  <c r="A2578" i="2"/>
  <c r="AX2577" i="2"/>
  <c r="AV2577" i="2"/>
  <c r="AU2577" i="2"/>
  <c r="AS2577" i="2"/>
  <c r="AR2577" i="2"/>
  <c r="AQ2577" i="2"/>
  <c r="AO2577" i="2"/>
  <c r="AL2577" i="2"/>
  <c r="AK2577" i="2"/>
  <c r="AJ2577" i="2"/>
  <c r="AI2577" i="2"/>
  <c r="AH2577" i="2"/>
  <c r="AG2577" i="2"/>
  <c r="AE2577" i="2"/>
  <c r="AD2577" i="2"/>
  <c r="AA2577" i="2"/>
  <c r="Z2577" i="2"/>
  <c r="Y2577" i="2"/>
  <c r="X2577" i="2"/>
  <c r="W2577" i="2"/>
  <c r="V2577" i="2"/>
  <c r="U2577" i="2"/>
  <c r="T2577" i="2"/>
  <c r="S2577" i="2"/>
  <c r="R2577" i="2"/>
  <c r="Q2577" i="2"/>
  <c r="P2577" i="2"/>
  <c r="O2577" i="2"/>
  <c r="N2577" i="2"/>
  <c r="K2577" i="2"/>
  <c r="J2577" i="2"/>
  <c r="I2577" i="2"/>
  <c r="H2577" i="2"/>
  <c r="G2577" i="2"/>
  <c r="F2577" i="2"/>
  <c r="E2577" i="2"/>
  <c r="D2577" i="2"/>
  <c r="C2577" i="2"/>
  <c r="B2577" i="2"/>
  <c r="A2577" i="2"/>
  <c r="AX2576" i="2"/>
  <c r="AV2576" i="2"/>
  <c r="AU2576" i="2"/>
  <c r="AR2576" i="2"/>
  <c r="AQ2576" i="2"/>
  <c r="AO2576" i="2"/>
  <c r="AL2576" i="2"/>
  <c r="AK2576" i="2"/>
  <c r="AJ2576" i="2"/>
  <c r="AI2576" i="2"/>
  <c r="AH2576" i="2"/>
  <c r="AG2576" i="2"/>
  <c r="AE2576" i="2"/>
  <c r="AD2576" i="2"/>
  <c r="AA2576" i="2"/>
  <c r="Z2576" i="2"/>
  <c r="Y2576" i="2"/>
  <c r="X2576" i="2"/>
  <c r="W2576" i="2"/>
  <c r="V2576" i="2"/>
  <c r="U2576" i="2"/>
  <c r="T2576" i="2"/>
  <c r="S2576" i="2"/>
  <c r="R2576" i="2"/>
  <c r="Q2576" i="2"/>
  <c r="P2576" i="2"/>
  <c r="O2576" i="2"/>
  <c r="N2576" i="2"/>
  <c r="K2576" i="2"/>
  <c r="J2576" i="2"/>
  <c r="I2576" i="2"/>
  <c r="H2576" i="2"/>
  <c r="G2576" i="2"/>
  <c r="F2576" i="2"/>
  <c r="E2576" i="2"/>
  <c r="D2576" i="2"/>
  <c r="C2576" i="2"/>
  <c r="B2576" i="2"/>
  <c r="A2576" i="2"/>
  <c r="AX2575" i="2"/>
  <c r="AV2575" i="2"/>
  <c r="AU2575" i="2"/>
  <c r="AS2575" i="2"/>
  <c r="AR2575" i="2"/>
  <c r="AQ2575" i="2"/>
  <c r="AO2575" i="2"/>
  <c r="AL2575" i="2"/>
  <c r="AK2575" i="2"/>
  <c r="AJ2575" i="2"/>
  <c r="AI2575" i="2"/>
  <c r="AH2575" i="2"/>
  <c r="AG2575" i="2"/>
  <c r="AF2575" i="2"/>
  <c r="AE2575" i="2"/>
  <c r="AD2575" i="2"/>
  <c r="AA2575" i="2"/>
  <c r="Z2575" i="2"/>
  <c r="Y2575" i="2"/>
  <c r="X2575" i="2"/>
  <c r="W2575" i="2"/>
  <c r="V2575" i="2"/>
  <c r="U2575" i="2"/>
  <c r="T2575" i="2"/>
  <c r="S2575" i="2"/>
  <c r="R2575" i="2"/>
  <c r="Q2575" i="2"/>
  <c r="P2575" i="2"/>
  <c r="O2575" i="2"/>
  <c r="N2575" i="2"/>
  <c r="K2575" i="2"/>
  <c r="J2575" i="2"/>
  <c r="I2575" i="2"/>
  <c r="H2575" i="2"/>
  <c r="G2575" i="2"/>
  <c r="F2575" i="2"/>
  <c r="E2575" i="2"/>
  <c r="D2575" i="2"/>
  <c r="C2575" i="2"/>
  <c r="B2575" i="2"/>
  <c r="A2575" i="2"/>
  <c r="AX2574" i="2"/>
  <c r="AV2574" i="2"/>
  <c r="AU2574" i="2"/>
  <c r="AR2574" i="2"/>
  <c r="AQ2574" i="2"/>
  <c r="AO2574" i="2"/>
  <c r="AL2574" i="2"/>
  <c r="AK2574" i="2"/>
  <c r="AJ2574" i="2"/>
  <c r="AI2574" i="2"/>
  <c r="AH2574" i="2"/>
  <c r="AG2574" i="2"/>
  <c r="AF2574" i="2"/>
  <c r="AE2574" i="2"/>
  <c r="AD2574" i="2"/>
  <c r="AA2574" i="2"/>
  <c r="Z2574" i="2"/>
  <c r="Y2574" i="2"/>
  <c r="X2574" i="2"/>
  <c r="W2574" i="2"/>
  <c r="V2574" i="2"/>
  <c r="U2574" i="2"/>
  <c r="T2574" i="2"/>
  <c r="S2574" i="2"/>
  <c r="R2574" i="2"/>
  <c r="Q2574" i="2"/>
  <c r="P2574" i="2"/>
  <c r="O2574" i="2"/>
  <c r="N2574" i="2"/>
  <c r="K2574" i="2"/>
  <c r="J2574" i="2"/>
  <c r="I2574" i="2"/>
  <c r="H2574" i="2"/>
  <c r="G2574" i="2"/>
  <c r="F2574" i="2"/>
  <c r="E2574" i="2"/>
  <c r="D2574" i="2"/>
  <c r="C2574" i="2"/>
  <c r="B2574" i="2"/>
  <c r="A2574" i="2"/>
  <c r="AX2573" i="2"/>
  <c r="AV2573" i="2"/>
  <c r="AU2573" i="2"/>
  <c r="AS2573" i="2"/>
  <c r="AR2573" i="2"/>
  <c r="AQ2573" i="2"/>
  <c r="AO2573" i="2"/>
  <c r="AL2573" i="2"/>
  <c r="AK2573" i="2"/>
  <c r="AJ2573" i="2"/>
  <c r="AI2573" i="2"/>
  <c r="AH2573" i="2"/>
  <c r="AG2573" i="2"/>
  <c r="AE2573" i="2"/>
  <c r="AD2573" i="2"/>
  <c r="AA2573" i="2"/>
  <c r="Z2573" i="2"/>
  <c r="Y2573" i="2"/>
  <c r="X2573" i="2"/>
  <c r="V2573" i="2"/>
  <c r="U2573" i="2"/>
  <c r="T2573" i="2"/>
  <c r="S2573" i="2"/>
  <c r="R2573" i="2"/>
  <c r="Q2573" i="2"/>
  <c r="P2573" i="2"/>
  <c r="O2573" i="2"/>
  <c r="N2573" i="2"/>
  <c r="K2573" i="2"/>
  <c r="J2573" i="2"/>
  <c r="I2573" i="2"/>
  <c r="H2573" i="2"/>
  <c r="G2573" i="2"/>
  <c r="F2573" i="2"/>
  <c r="E2573" i="2"/>
  <c r="D2573" i="2"/>
  <c r="C2573" i="2"/>
  <c r="B2573" i="2"/>
  <c r="A2573" i="2"/>
  <c r="AX2572" i="2"/>
  <c r="AV2572" i="2"/>
  <c r="AU2572" i="2"/>
  <c r="AR2572" i="2"/>
  <c r="AQ2572" i="2"/>
  <c r="AO2572" i="2"/>
  <c r="AL2572" i="2"/>
  <c r="AK2572" i="2"/>
  <c r="AJ2572" i="2"/>
  <c r="AI2572" i="2"/>
  <c r="AH2572" i="2"/>
  <c r="AG2572" i="2"/>
  <c r="AE2572" i="2"/>
  <c r="AD2572" i="2"/>
  <c r="AA2572" i="2"/>
  <c r="Z2572" i="2"/>
  <c r="Y2572" i="2"/>
  <c r="X2572" i="2"/>
  <c r="V2572" i="2"/>
  <c r="U2572" i="2"/>
  <c r="T2572" i="2"/>
  <c r="S2572" i="2"/>
  <c r="R2572" i="2"/>
  <c r="Q2572" i="2"/>
  <c r="P2572" i="2"/>
  <c r="O2572" i="2"/>
  <c r="N2572" i="2"/>
  <c r="K2572" i="2"/>
  <c r="J2572" i="2"/>
  <c r="I2572" i="2"/>
  <c r="H2572" i="2"/>
  <c r="G2572" i="2"/>
  <c r="F2572" i="2"/>
  <c r="E2572" i="2"/>
  <c r="D2572" i="2"/>
  <c r="C2572" i="2"/>
  <c r="B2572" i="2"/>
  <c r="A2572" i="2"/>
  <c r="AX2571" i="2"/>
  <c r="AV2571" i="2"/>
  <c r="AU2571" i="2"/>
  <c r="AS2571" i="2"/>
  <c r="AR2571" i="2"/>
  <c r="AQ2571" i="2"/>
  <c r="AO2571" i="2"/>
  <c r="AL2571" i="2"/>
  <c r="AK2571" i="2"/>
  <c r="AJ2571" i="2"/>
  <c r="AI2571" i="2"/>
  <c r="AH2571" i="2"/>
  <c r="AG2571" i="2"/>
  <c r="AE2571" i="2"/>
  <c r="AD2571" i="2"/>
  <c r="AA2571" i="2"/>
  <c r="Z2571" i="2"/>
  <c r="Y2571" i="2"/>
  <c r="X2571" i="2"/>
  <c r="W2571" i="2"/>
  <c r="V2571" i="2"/>
  <c r="U2571" i="2"/>
  <c r="T2571" i="2"/>
  <c r="S2571" i="2"/>
  <c r="R2571" i="2"/>
  <c r="Q2571" i="2"/>
  <c r="P2571" i="2"/>
  <c r="O2571" i="2"/>
  <c r="N2571" i="2"/>
  <c r="K2571" i="2"/>
  <c r="J2571" i="2"/>
  <c r="I2571" i="2"/>
  <c r="H2571" i="2"/>
  <c r="G2571" i="2"/>
  <c r="F2571" i="2"/>
  <c r="E2571" i="2"/>
  <c r="D2571" i="2"/>
  <c r="C2571" i="2"/>
  <c r="B2571" i="2"/>
  <c r="A2571" i="2"/>
  <c r="AX2570" i="2"/>
  <c r="AV2570" i="2"/>
  <c r="AU2570" i="2"/>
  <c r="AR2570" i="2"/>
  <c r="AQ2570" i="2"/>
  <c r="AO2570" i="2"/>
  <c r="AL2570" i="2"/>
  <c r="AK2570" i="2"/>
  <c r="AJ2570" i="2"/>
  <c r="AI2570" i="2"/>
  <c r="AH2570" i="2"/>
  <c r="AG2570" i="2"/>
  <c r="AE2570" i="2"/>
  <c r="AD2570" i="2"/>
  <c r="AA2570" i="2"/>
  <c r="Z2570" i="2"/>
  <c r="Y2570" i="2"/>
  <c r="X2570" i="2"/>
  <c r="W2570" i="2"/>
  <c r="V2570" i="2"/>
  <c r="U2570" i="2"/>
  <c r="T2570" i="2"/>
  <c r="S2570" i="2"/>
  <c r="R2570" i="2"/>
  <c r="Q2570" i="2"/>
  <c r="P2570" i="2"/>
  <c r="O2570" i="2"/>
  <c r="N2570" i="2"/>
  <c r="K2570" i="2"/>
  <c r="J2570" i="2"/>
  <c r="I2570" i="2"/>
  <c r="H2570" i="2"/>
  <c r="G2570" i="2"/>
  <c r="F2570" i="2"/>
  <c r="E2570" i="2"/>
  <c r="D2570" i="2"/>
  <c r="C2570" i="2"/>
  <c r="B2570" i="2"/>
  <c r="A2570" i="2"/>
  <c r="AX2569" i="2"/>
  <c r="AV2569" i="2"/>
  <c r="AU2569" i="2"/>
  <c r="AS2569" i="2"/>
  <c r="AR2569" i="2"/>
  <c r="AQ2569" i="2"/>
  <c r="AO2569" i="2"/>
  <c r="AL2569" i="2"/>
  <c r="AJ2569" i="2"/>
  <c r="AI2569" i="2"/>
  <c r="AH2569" i="2"/>
  <c r="AG2569" i="2"/>
  <c r="AE2569" i="2"/>
  <c r="AD2569" i="2"/>
  <c r="AA2569" i="2"/>
  <c r="Z2569" i="2"/>
  <c r="Y2569" i="2"/>
  <c r="V2569" i="2"/>
  <c r="U2569" i="2"/>
  <c r="T2569" i="2"/>
  <c r="S2569" i="2"/>
  <c r="R2569" i="2"/>
  <c r="Q2569" i="2"/>
  <c r="P2569" i="2"/>
  <c r="O2569" i="2"/>
  <c r="N2569" i="2"/>
  <c r="K2569" i="2"/>
  <c r="J2569" i="2"/>
  <c r="I2569" i="2"/>
  <c r="H2569" i="2"/>
  <c r="G2569" i="2"/>
  <c r="F2569" i="2"/>
  <c r="E2569" i="2"/>
  <c r="D2569" i="2"/>
  <c r="C2569" i="2"/>
  <c r="B2569" i="2"/>
  <c r="A2569" i="2"/>
  <c r="AX2568" i="2"/>
  <c r="AV2568" i="2"/>
  <c r="AU2568" i="2"/>
  <c r="AR2568" i="2"/>
  <c r="AQ2568" i="2"/>
  <c r="AO2568" i="2"/>
  <c r="AN2568" i="2"/>
  <c r="AM2568" i="2"/>
  <c r="AL2568" i="2"/>
  <c r="AK2568" i="2"/>
  <c r="AJ2568" i="2"/>
  <c r="AI2568" i="2"/>
  <c r="AH2568" i="2"/>
  <c r="AG2568" i="2"/>
  <c r="AE2568" i="2"/>
  <c r="AD2568" i="2"/>
  <c r="AA2568" i="2"/>
  <c r="Z2568" i="2"/>
  <c r="Y2568" i="2"/>
  <c r="U2568" i="2"/>
  <c r="T2568" i="2"/>
  <c r="S2568" i="2"/>
  <c r="R2568" i="2"/>
  <c r="Q2568" i="2"/>
  <c r="P2568" i="2"/>
  <c r="O2568" i="2"/>
  <c r="N2568" i="2"/>
  <c r="K2568" i="2"/>
  <c r="J2568" i="2"/>
  <c r="I2568" i="2"/>
  <c r="H2568" i="2"/>
  <c r="G2568" i="2"/>
  <c r="F2568" i="2"/>
  <c r="E2568" i="2"/>
  <c r="D2568" i="2"/>
  <c r="C2568" i="2"/>
  <c r="B2568" i="2"/>
  <c r="A2568" i="2"/>
  <c r="AX2567" i="2"/>
  <c r="AV2567" i="2"/>
  <c r="AU2567" i="2"/>
  <c r="AR2567" i="2"/>
  <c r="AQ2567" i="2"/>
  <c r="AO2567" i="2"/>
  <c r="AL2567" i="2"/>
  <c r="AK2567" i="2"/>
  <c r="AJ2567" i="2"/>
  <c r="AI2567" i="2"/>
  <c r="AH2567" i="2"/>
  <c r="AG2567" i="2"/>
  <c r="AE2567" i="2"/>
  <c r="AD2567" i="2"/>
  <c r="AA2567" i="2"/>
  <c r="Z2567" i="2"/>
  <c r="Y2567" i="2"/>
  <c r="X2567" i="2"/>
  <c r="W2567" i="2"/>
  <c r="V2567" i="2"/>
  <c r="U2567" i="2"/>
  <c r="T2567" i="2"/>
  <c r="S2567" i="2"/>
  <c r="R2567" i="2"/>
  <c r="Q2567" i="2"/>
  <c r="P2567" i="2"/>
  <c r="O2567" i="2"/>
  <c r="N2567" i="2"/>
  <c r="K2567" i="2"/>
  <c r="J2567" i="2"/>
  <c r="I2567" i="2"/>
  <c r="H2567" i="2"/>
  <c r="G2567" i="2"/>
  <c r="F2567" i="2"/>
  <c r="E2567" i="2"/>
  <c r="D2567" i="2"/>
  <c r="C2567" i="2"/>
  <c r="B2567" i="2"/>
  <c r="A2567" i="2"/>
  <c r="AX2566" i="2"/>
  <c r="AV2566" i="2"/>
  <c r="AU2566" i="2"/>
  <c r="AS2566" i="2"/>
  <c r="AR2566" i="2"/>
  <c r="AQ2566" i="2"/>
  <c r="AO2566" i="2"/>
  <c r="AL2566" i="2"/>
  <c r="AK2566" i="2"/>
  <c r="AJ2566" i="2"/>
  <c r="AI2566" i="2"/>
  <c r="AH2566" i="2"/>
  <c r="AG2566" i="2"/>
  <c r="AE2566" i="2"/>
  <c r="AD2566" i="2"/>
  <c r="AA2566" i="2"/>
  <c r="Z2566" i="2"/>
  <c r="Y2566" i="2"/>
  <c r="X2566" i="2"/>
  <c r="V2566" i="2"/>
  <c r="U2566" i="2"/>
  <c r="T2566" i="2"/>
  <c r="S2566" i="2"/>
  <c r="R2566" i="2"/>
  <c r="Q2566" i="2"/>
  <c r="P2566" i="2"/>
  <c r="O2566" i="2"/>
  <c r="N2566" i="2"/>
  <c r="K2566" i="2"/>
  <c r="J2566" i="2"/>
  <c r="I2566" i="2"/>
  <c r="H2566" i="2"/>
  <c r="G2566" i="2"/>
  <c r="F2566" i="2"/>
  <c r="E2566" i="2"/>
  <c r="D2566" i="2"/>
  <c r="C2566" i="2"/>
  <c r="B2566" i="2"/>
  <c r="A2566" i="2"/>
  <c r="AX2565" i="2"/>
  <c r="AV2565" i="2"/>
  <c r="AU2565" i="2"/>
  <c r="AS2565" i="2"/>
  <c r="AR2565" i="2"/>
  <c r="AQ2565" i="2"/>
  <c r="AO2565" i="2"/>
  <c r="AM2565" i="2"/>
  <c r="AL2565" i="2"/>
  <c r="AK2565" i="2"/>
  <c r="AJ2565" i="2"/>
  <c r="AI2565" i="2"/>
  <c r="AH2565" i="2"/>
  <c r="AG2565" i="2"/>
  <c r="AE2565" i="2"/>
  <c r="AD2565" i="2"/>
  <c r="AA2565" i="2"/>
  <c r="Z2565" i="2"/>
  <c r="Y2565" i="2"/>
  <c r="X2565" i="2"/>
  <c r="W2565" i="2"/>
  <c r="V2565" i="2"/>
  <c r="U2565" i="2"/>
  <c r="T2565" i="2"/>
  <c r="S2565" i="2"/>
  <c r="R2565" i="2"/>
  <c r="Q2565" i="2"/>
  <c r="P2565" i="2"/>
  <c r="O2565" i="2"/>
  <c r="N2565" i="2"/>
  <c r="M2565" i="2"/>
  <c r="L2565" i="2"/>
  <c r="K2565" i="2"/>
  <c r="J2565" i="2"/>
  <c r="I2565" i="2"/>
  <c r="H2565" i="2"/>
  <c r="G2565" i="2"/>
  <c r="F2565" i="2"/>
  <c r="E2565" i="2"/>
  <c r="D2565" i="2"/>
  <c r="C2565" i="2"/>
  <c r="B2565" i="2"/>
  <c r="A2565" i="2"/>
  <c r="AX2564" i="2"/>
  <c r="AV2564" i="2"/>
  <c r="AU2564" i="2"/>
  <c r="AS2564" i="2"/>
  <c r="AR2564" i="2"/>
  <c r="AQ2564" i="2"/>
  <c r="AO2564" i="2"/>
  <c r="AM2564" i="2"/>
  <c r="AL2564" i="2"/>
  <c r="AK2564" i="2"/>
  <c r="AJ2564" i="2"/>
  <c r="AI2564" i="2"/>
  <c r="AH2564" i="2"/>
  <c r="AG2564" i="2"/>
  <c r="AF2564" i="2"/>
  <c r="AE2564" i="2"/>
  <c r="AD2564" i="2"/>
  <c r="AA2564" i="2"/>
  <c r="Z2564" i="2"/>
  <c r="Y2564" i="2"/>
  <c r="X2564" i="2"/>
  <c r="W2564" i="2"/>
  <c r="V2564" i="2"/>
  <c r="U2564" i="2"/>
  <c r="T2564" i="2"/>
  <c r="S2564" i="2"/>
  <c r="R2564" i="2"/>
  <c r="Q2564" i="2"/>
  <c r="P2564" i="2"/>
  <c r="O2564" i="2"/>
  <c r="N2564" i="2"/>
  <c r="K2564" i="2"/>
  <c r="J2564" i="2"/>
  <c r="I2564" i="2"/>
  <c r="H2564" i="2"/>
  <c r="G2564" i="2"/>
  <c r="F2564" i="2"/>
  <c r="E2564" i="2"/>
  <c r="D2564" i="2"/>
  <c r="C2564" i="2"/>
  <c r="B2564" i="2"/>
  <c r="A2564" i="2"/>
  <c r="AX2563" i="2"/>
  <c r="AV2563" i="2"/>
  <c r="AU2563" i="2"/>
  <c r="AS2563" i="2"/>
  <c r="AR2563" i="2"/>
  <c r="AQ2563" i="2"/>
  <c r="AO2563" i="2"/>
  <c r="AL2563" i="2"/>
  <c r="AK2563" i="2"/>
  <c r="AJ2563" i="2"/>
  <c r="AI2563" i="2"/>
  <c r="AH2563" i="2"/>
  <c r="AG2563" i="2"/>
  <c r="AE2563" i="2"/>
  <c r="AD2563" i="2"/>
  <c r="AA2563" i="2"/>
  <c r="Z2563" i="2"/>
  <c r="Y2563" i="2"/>
  <c r="X2563" i="2"/>
  <c r="W2563" i="2"/>
  <c r="V2563" i="2"/>
  <c r="U2563" i="2"/>
  <c r="T2563" i="2"/>
  <c r="S2563" i="2"/>
  <c r="R2563" i="2"/>
  <c r="Q2563" i="2"/>
  <c r="P2563" i="2"/>
  <c r="O2563" i="2"/>
  <c r="N2563" i="2"/>
  <c r="K2563" i="2"/>
  <c r="J2563" i="2"/>
  <c r="I2563" i="2"/>
  <c r="H2563" i="2"/>
  <c r="G2563" i="2"/>
  <c r="F2563" i="2"/>
  <c r="E2563" i="2"/>
  <c r="D2563" i="2"/>
  <c r="C2563" i="2"/>
  <c r="B2563" i="2"/>
  <c r="A2563" i="2"/>
  <c r="AX2562" i="2"/>
  <c r="AV2562" i="2"/>
  <c r="AU2562" i="2"/>
  <c r="AR2562" i="2"/>
  <c r="AQ2562" i="2"/>
  <c r="AO2562" i="2"/>
  <c r="AL2562" i="2"/>
  <c r="AK2562" i="2"/>
  <c r="AI2562" i="2"/>
  <c r="AH2562" i="2"/>
  <c r="AG2562" i="2"/>
  <c r="AE2562" i="2"/>
  <c r="AD2562" i="2"/>
  <c r="AA2562" i="2"/>
  <c r="Z2562" i="2"/>
  <c r="Y2562" i="2"/>
  <c r="X2562" i="2"/>
  <c r="U2562" i="2"/>
  <c r="T2562" i="2"/>
  <c r="S2562" i="2"/>
  <c r="R2562" i="2"/>
  <c r="Q2562" i="2"/>
  <c r="P2562" i="2"/>
  <c r="O2562" i="2"/>
  <c r="N2562" i="2"/>
  <c r="K2562" i="2"/>
  <c r="J2562" i="2"/>
  <c r="I2562" i="2"/>
  <c r="H2562" i="2"/>
  <c r="G2562" i="2"/>
  <c r="F2562" i="2"/>
  <c r="E2562" i="2"/>
  <c r="D2562" i="2"/>
  <c r="C2562" i="2"/>
  <c r="B2562" i="2"/>
  <c r="A2562" i="2"/>
  <c r="AX2561" i="2"/>
  <c r="AV2561" i="2"/>
  <c r="AU2561" i="2"/>
  <c r="AS2561" i="2"/>
  <c r="AR2561" i="2"/>
  <c r="AQ2561" i="2"/>
  <c r="AO2561" i="2"/>
  <c r="AL2561" i="2"/>
  <c r="AK2561" i="2"/>
  <c r="AJ2561" i="2"/>
  <c r="AI2561" i="2"/>
  <c r="AH2561" i="2"/>
  <c r="AG2561" i="2"/>
  <c r="AE2561" i="2"/>
  <c r="AD2561" i="2"/>
  <c r="AA2561" i="2"/>
  <c r="Z2561" i="2"/>
  <c r="Y2561" i="2"/>
  <c r="U2561" i="2"/>
  <c r="T2561" i="2"/>
  <c r="S2561" i="2"/>
  <c r="R2561" i="2"/>
  <c r="Q2561" i="2"/>
  <c r="P2561" i="2"/>
  <c r="O2561" i="2"/>
  <c r="N2561" i="2"/>
  <c r="K2561" i="2"/>
  <c r="J2561" i="2"/>
  <c r="I2561" i="2"/>
  <c r="H2561" i="2"/>
  <c r="G2561" i="2"/>
  <c r="F2561" i="2"/>
  <c r="E2561" i="2"/>
  <c r="D2561" i="2"/>
  <c r="C2561" i="2"/>
  <c r="B2561" i="2"/>
  <c r="A2561" i="2"/>
  <c r="AX2560" i="2"/>
  <c r="AV2560" i="2"/>
  <c r="AU2560" i="2"/>
  <c r="AS2560" i="2"/>
  <c r="AR2560" i="2"/>
  <c r="AQ2560" i="2"/>
  <c r="AP2560" i="2"/>
  <c r="AO2560" i="2"/>
  <c r="AM2560" i="2"/>
  <c r="AK2560" i="2"/>
  <c r="AJ2560" i="2"/>
  <c r="AI2560" i="2"/>
  <c r="AH2560" i="2"/>
  <c r="AG2560" i="2"/>
  <c r="AF2560" i="2"/>
  <c r="AE2560" i="2"/>
  <c r="AD2560" i="2"/>
  <c r="AA2560" i="2"/>
  <c r="Z2560" i="2"/>
  <c r="Y2560" i="2"/>
  <c r="X2560" i="2"/>
  <c r="W2560" i="2"/>
  <c r="V2560" i="2"/>
  <c r="U2560" i="2"/>
  <c r="T2560" i="2"/>
  <c r="S2560" i="2"/>
  <c r="R2560" i="2"/>
  <c r="Q2560" i="2"/>
  <c r="P2560" i="2"/>
  <c r="O2560" i="2"/>
  <c r="N2560" i="2"/>
  <c r="K2560" i="2"/>
  <c r="J2560" i="2"/>
  <c r="I2560" i="2"/>
  <c r="H2560" i="2"/>
  <c r="G2560" i="2"/>
  <c r="F2560" i="2"/>
  <c r="E2560" i="2"/>
  <c r="D2560" i="2"/>
  <c r="C2560" i="2"/>
  <c r="B2560" i="2"/>
  <c r="A2560" i="2"/>
  <c r="AX2559" i="2"/>
  <c r="AV2559" i="2"/>
  <c r="AU2559" i="2"/>
  <c r="AS2559" i="2"/>
  <c r="AR2559" i="2"/>
  <c r="AQ2559" i="2"/>
  <c r="AO2559" i="2"/>
  <c r="AL2559" i="2"/>
  <c r="AK2559" i="2"/>
  <c r="AJ2559" i="2"/>
  <c r="AI2559" i="2"/>
  <c r="AH2559" i="2"/>
  <c r="AG2559" i="2"/>
  <c r="AE2559" i="2"/>
  <c r="AD2559" i="2"/>
  <c r="AA2559" i="2"/>
  <c r="Z2559" i="2"/>
  <c r="Y2559" i="2"/>
  <c r="X2559" i="2"/>
  <c r="V2559" i="2"/>
  <c r="U2559" i="2"/>
  <c r="T2559" i="2"/>
  <c r="S2559" i="2"/>
  <c r="R2559" i="2"/>
  <c r="Q2559" i="2"/>
  <c r="P2559" i="2"/>
  <c r="O2559" i="2"/>
  <c r="N2559" i="2"/>
  <c r="K2559" i="2"/>
  <c r="J2559" i="2"/>
  <c r="I2559" i="2"/>
  <c r="H2559" i="2"/>
  <c r="G2559" i="2"/>
  <c r="F2559" i="2"/>
  <c r="E2559" i="2"/>
  <c r="D2559" i="2"/>
  <c r="C2559" i="2"/>
  <c r="B2559" i="2"/>
  <c r="A2559" i="2"/>
  <c r="AX2558" i="2"/>
  <c r="AV2558" i="2"/>
  <c r="AU2558" i="2"/>
  <c r="AS2558" i="2"/>
  <c r="AR2558" i="2"/>
  <c r="AQ2558" i="2"/>
  <c r="AO2558" i="2"/>
  <c r="AL2558" i="2"/>
  <c r="AK2558" i="2"/>
  <c r="AJ2558" i="2"/>
  <c r="AI2558" i="2"/>
  <c r="AH2558" i="2"/>
  <c r="AG2558" i="2"/>
  <c r="AE2558" i="2"/>
  <c r="AD2558" i="2"/>
  <c r="AA2558" i="2"/>
  <c r="Z2558" i="2"/>
  <c r="Y2558" i="2"/>
  <c r="X2558" i="2"/>
  <c r="V2558" i="2"/>
  <c r="U2558" i="2"/>
  <c r="T2558" i="2"/>
  <c r="S2558" i="2"/>
  <c r="R2558" i="2"/>
  <c r="Q2558" i="2"/>
  <c r="P2558" i="2"/>
  <c r="O2558" i="2"/>
  <c r="N2558" i="2"/>
  <c r="K2558" i="2"/>
  <c r="J2558" i="2"/>
  <c r="I2558" i="2"/>
  <c r="H2558" i="2"/>
  <c r="G2558" i="2"/>
  <c r="F2558" i="2"/>
  <c r="E2558" i="2"/>
  <c r="D2558" i="2"/>
  <c r="C2558" i="2"/>
  <c r="B2558" i="2"/>
  <c r="A2558" i="2"/>
  <c r="AX2557" i="2"/>
  <c r="AV2557" i="2"/>
  <c r="AU2557" i="2"/>
  <c r="AS2557" i="2"/>
  <c r="AR2557" i="2"/>
  <c r="AQ2557" i="2"/>
  <c r="AO2557" i="2"/>
  <c r="AM2557" i="2"/>
  <c r="AK2557" i="2"/>
  <c r="AJ2557" i="2"/>
  <c r="AI2557" i="2"/>
  <c r="AH2557" i="2"/>
  <c r="AG2557" i="2"/>
  <c r="AE2557" i="2"/>
  <c r="AD2557" i="2"/>
  <c r="AA2557" i="2"/>
  <c r="Z2557" i="2"/>
  <c r="Y2557" i="2"/>
  <c r="X2557" i="2"/>
  <c r="W2557" i="2"/>
  <c r="V2557" i="2"/>
  <c r="U2557" i="2"/>
  <c r="T2557" i="2"/>
  <c r="S2557" i="2"/>
  <c r="R2557" i="2"/>
  <c r="Q2557" i="2"/>
  <c r="P2557" i="2"/>
  <c r="O2557" i="2"/>
  <c r="N2557" i="2"/>
  <c r="K2557" i="2"/>
  <c r="J2557" i="2"/>
  <c r="I2557" i="2"/>
  <c r="H2557" i="2"/>
  <c r="G2557" i="2"/>
  <c r="F2557" i="2"/>
  <c r="E2557" i="2"/>
  <c r="D2557" i="2"/>
  <c r="C2557" i="2"/>
  <c r="B2557" i="2"/>
  <c r="A2557" i="2"/>
  <c r="AX2556" i="2"/>
  <c r="AV2556" i="2"/>
  <c r="AU2556" i="2"/>
  <c r="AO2556" i="2"/>
  <c r="AM2556" i="2"/>
  <c r="AL2556" i="2"/>
  <c r="AK2556" i="2"/>
  <c r="AJ2556" i="2"/>
  <c r="AI2556" i="2"/>
  <c r="AH2556" i="2"/>
  <c r="AG2556" i="2"/>
  <c r="Z2556" i="2"/>
  <c r="Y2556" i="2"/>
  <c r="X2556" i="2"/>
  <c r="U2556" i="2"/>
  <c r="T2556" i="2"/>
  <c r="S2556" i="2"/>
  <c r="R2556" i="2"/>
  <c r="Q2556" i="2"/>
  <c r="P2556" i="2"/>
  <c r="O2556" i="2"/>
  <c r="N2556" i="2"/>
  <c r="M2556" i="2"/>
  <c r="K2556" i="2"/>
  <c r="J2556" i="2"/>
  <c r="I2556" i="2"/>
  <c r="H2556" i="2"/>
  <c r="G2556" i="2"/>
  <c r="F2556" i="2"/>
  <c r="E2556" i="2"/>
  <c r="D2556" i="2"/>
  <c r="C2556" i="2"/>
  <c r="B2556" i="2"/>
  <c r="A2556" i="2"/>
  <c r="AX2555" i="2"/>
  <c r="AV2555" i="2"/>
  <c r="AU2555" i="2"/>
  <c r="AO2555" i="2"/>
  <c r="AM2555" i="2"/>
  <c r="AL2555" i="2"/>
  <c r="AK2555" i="2"/>
  <c r="AJ2555" i="2"/>
  <c r="AI2555" i="2"/>
  <c r="AH2555" i="2"/>
  <c r="AG2555" i="2"/>
  <c r="Z2555" i="2"/>
  <c r="Y2555" i="2"/>
  <c r="X2555" i="2"/>
  <c r="U2555" i="2"/>
  <c r="T2555" i="2"/>
  <c r="S2555" i="2"/>
  <c r="R2555" i="2"/>
  <c r="Q2555" i="2"/>
  <c r="P2555" i="2"/>
  <c r="O2555" i="2"/>
  <c r="N2555" i="2"/>
  <c r="M2555" i="2"/>
  <c r="K2555" i="2"/>
  <c r="J2555" i="2"/>
  <c r="I2555" i="2"/>
  <c r="H2555" i="2"/>
  <c r="G2555" i="2"/>
  <c r="F2555" i="2"/>
  <c r="E2555" i="2"/>
  <c r="D2555" i="2"/>
  <c r="C2555" i="2"/>
  <c r="B2555" i="2"/>
  <c r="A2555" i="2"/>
  <c r="AX2554" i="2"/>
  <c r="AV2554" i="2"/>
  <c r="AU2554" i="2"/>
  <c r="AS2554" i="2"/>
  <c r="AR2554" i="2"/>
  <c r="AQ2554" i="2"/>
  <c r="AO2554" i="2"/>
  <c r="AM2554" i="2"/>
  <c r="AL2554" i="2"/>
  <c r="AK2554" i="2"/>
  <c r="AJ2554" i="2"/>
  <c r="AI2554" i="2"/>
  <c r="AH2554" i="2"/>
  <c r="AG2554" i="2"/>
  <c r="AE2554" i="2"/>
  <c r="AD2554" i="2"/>
  <c r="AA2554" i="2"/>
  <c r="Z2554" i="2"/>
  <c r="Y2554" i="2"/>
  <c r="X2554" i="2"/>
  <c r="W2554" i="2"/>
  <c r="V2554" i="2"/>
  <c r="U2554" i="2"/>
  <c r="T2554" i="2"/>
  <c r="S2554" i="2"/>
  <c r="R2554" i="2"/>
  <c r="Q2554" i="2"/>
  <c r="P2554" i="2"/>
  <c r="O2554" i="2"/>
  <c r="N2554" i="2"/>
  <c r="K2554" i="2"/>
  <c r="J2554" i="2"/>
  <c r="I2554" i="2"/>
  <c r="H2554" i="2"/>
  <c r="G2554" i="2"/>
  <c r="F2554" i="2"/>
  <c r="E2554" i="2"/>
  <c r="D2554" i="2"/>
  <c r="C2554" i="2"/>
  <c r="B2554" i="2"/>
  <c r="A2554" i="2"/>
  <c r="AX2553" i="2"/>
  <c r="AV2553" i="2"/>
  <c r="AU2553" i="2"/>
  <c r="AS2553" i="2"/>
  <c r="AR2553" i="2"/>
  <c r="AQ2553" i="2"/>
  <c r="AO2553" i="2"/>
  <c r="AL2553" i="2"/>
  <c r="AK2553" i="2"/>
  <c r="AJ2553" i="2"/>
  <c r="AI2553" i="2"/>
  <c r="AH2553" i="2"/>
  <c r="AG2553" i="2"/>
  <c r="AE2553" i="2"/>
  <c r="AD2553" i="2"/>
  <c r="AA2553" i="2"/>
  <c r="Z2553" i="2"/>
  <c r="Y2553" i="2"/>
  <c r="X2553" i="2"/>
  <c r="W2553" i="2"/>
  <c r="V2553" i="2"/>
  <c r="U2553" i="2"/>
  <c r="T2553" i="2"/>
  <c r="S2553" i="2"/>
  <c r="R2553" i="2"/>
  <c r="Q2553" i="2"/>
  <c r="P2553" i="2"/>
  <c r="O2553" i="2"/>
  <c r="N2553" i="2"/>
  <c r="K2553" i="2"/>
  <c r="J2553" i="2"/>
  <c r="I2553" i="2"/>
  <c r="H2553" i="2"/>
  <c r="G2553" i="2"/>
  <c r="F2553" i="2"/>
  <c r="E2553" i="2"/>
  <c r="D2553" i="2"/>
  <c r="C2553" i="2"/>
  <c r="B2553" i="2"/>
  <c r="A2553" i="2"/>
  <c r="AX2552" i="2"/>
  <c r="AV2552" i="2"/>
  <c r="AU2552" i="2"/>
  <c r="AS2552" i="2"/>
  <c r="AR2552" i="2"/>
  <c r="AQ2552" i="2"/>
  <c r="AO2552" i="2"/>
  <c r="AL2552" i="2"/>
  <c r="AK2552" i="2"/>
  <c r="AJ2552" i="2"/>
  <c r="AI2552" i="2"/>
  <c r="AH2552" i="2"/>
  <c r="AG2552" i="2"/>
  <c r="AE2552" i="2"/>
  <c r="AD2552" i="2"/>
  <c r="AA2552" i="2"/>
  <c r="Z2552" i="2"/>
  <c r="Y2552" i="2"/>
  <c r="X2552" i="2"/>
  <c r="W2552" i="2"/>
  <c r="V2552" i="2"/>
  <c r="U2552" i="2"/>
  <c r="T2552" i="2"/>
  <c r="S2552" i="2"/>
  <c r="R2552" i="2"/>
  <c r="Q2552" i="2"/>
  <c r="P2552" i="2"/>
  <c r="O2552" i="2"/>
  <c r="N2552" i="2"/>
  <c r="K2552" i="2"/>
  <c r="J2552" i="2"/>
  <c r="I2552" i="2"/>
  <c r="H2552" i="2"/>
  <c r="G2552" i="2"/>
  <c r="F2552" i="2"/>
  <c r="E2552" i="2"/>
  <c r="D2552" i="2"/>
  <c r="C2552" i="2"/>
  <c r="B2552" i="2"/>
  <c r="A2552" i="2"/>
  <c r="AX2551" i="2"/>
  <c r="AV2551" i="2"/>
  <c r="AU2551" i="2"/>
  <c r="AR2551" i="2"/>
  <c r="AQ2551" i="2"/>
  <c r="AO2551" i="2"/>
  <c r="AL2551" i="2"/>
  <c r="AK2551" i="2"/>
  <c r="AJ2551" i="2"/>
  <c r="AI2551" i="2"/>
  <c r="AH2551" i="2"/>
  <c r="AG2551" i="2"/>
  <c r="AE2551" i="2"/>
  <c r="AD2551" i="2"/>
  <c r="AA2551" i="2"/>
  <c r="Z2551" i="2"/>
  <c r="Y2551" i="2"/>
  <c r="X2551" i="2"/>
  <c r="W2551" i="2"/>
  <c r="V2551" i="2"/>
  <c r="U2551" i="2"/>
  <c r="T2551" i="2"/>
  <c r="S2551" i="2"/>
  <c r="R2551" i="2"/>
  <c r="Q2551" i="2"/>
  <c r="P2551" i="2"/>
  <c r="O2551" i="2"/>
  <c r="N2551" i="2"/>
  <c r="K2551" i="2"/>
  <c r="J2551" i="2"/>
  <c r="I2551" i="2"/>
  <c r="H2551" i="2"/>
  <c r="G2551" i="2"/>
  <c r="F2551" i="2"/>
  <c r="E2551" i="2"/>
  <c r="D2551" i="2"/>
  <c r="C2551" i="2"/>
  <c r="B2551" i="2"/>
  <c r="A2551" i="2"/>
  <c r="AX2550" i="2"/>
  <c r="AV2550" i="2"/>
  <c r="AU2550" i="2"/>
  <c r="AR2550" i="2"/>
  <c r="AQ2550" i="2"/>
  <c r="AO2550" i="2"/>
  <c r="AL2550" i="2"/>
  <c r="AK2550" i="2"/>
  <c r="AJ2550" i="2"/>
  <c r="AI2550" i="2"/>
  <c r="AH2550" i="2"/>
  <c r="AG2550" i="2"/>
  <c r="AE2550" i="2"/>
  <c r="AD2550" i="2"/>
  <c r="AA2550" i="2"/>
  <c r="Z2550" i="2"/>
  <c r="Y2550" i="2"/>
  <c r="X2550" i="2"/>
  <c r="V2550" i="2"/>
  <c r="U2550" i="2"/>
  <c r="T2550" i="2"/>
  <c r="S2550" i="2"/>
  <c r="R2550" i="2"/>
  <c r="Q2550" i="2"/>
  <c r="P2550" i="2"/>
  <c r="O2550" i="2"/>
  <c r="N2550" i="2"/>
  <c r="K2550" i="2"/>
  <c r="J2550" i="2"/>
  <c r="I2550" i="2"/>
  <c r="H2550" i="2"/>
  <c r="G2550" i="2"/>
  <c r="F2550" i="2"/>
  <c r="E2550" i="2"/>
  <c r="D2550" i="2"/>
  <c r="C2550" i="2"/>
  <c r="B2550" i="2"/>
  <c r="A2550" i="2"/>
  <c r="AX2549" i="2"/>
  <c r="AV2549" i="2"/>
  <c r="AU2549" i="2"/>
  <c r="AS2549" i="2"/>
  <c r="AR2549" i="2"/>
  <c r="AQ2549" i="2"/>
  <c r="AO2549" i="2"/>
  <c r="AN2549" i="2"/>
  <c r="AM2549" i="2"/>
  <c r="AL2549" i="2"/>
  <c r="AK2549" i="2"/>
  <c r="AI2549" i="2"/>
  <c r="AH2549" i="2"/>
  <c r="AG2549" i="2"/>
  <c r="AE2549" i="2"/>
  <c r="AD2549" i="2"/>
  <c r="AA2549" i="2"/>
  <c r="Z2549" i="2"/>
  <c r="Y2549" i="2"/>
  <c r="V2549" i="2"/>
  <c r="U2549" i="2"/>
  <c r="T2549" i="2"/>
  <c r="S2549" i="2"/>
  <c r="R2549" i="2"/>
  <c r="Q2549" i="2"/>
  <c r="P2549" i="2"/>
  <c r="O2549" i="2"/>
  <c r="N2549" i="2"/>
  <c r="K2549" i="2"/>
  <c r="J2549" i="2"/>
  <c r="I2549" i="2"/>
  <c r="H2549" i="2"/>
  <c r="G2549" i="2"/>
  <c r="F2549" i="2"/>
  <c r="E2549" i="2"/>
  <c r="D2549" i="2"/>
  <c r="C2549" i="2"/>
  <c r="B2549" i="2"/>
  <c r="A2549" i="2"/>
  <c r="AX2548" i="2"/>
  <c r="AV2548" i="2"/>
  <c r="AU2548" i="2"/>
  <c r="AR2548" i="2"/>
  <c r="AQ2548" i="2"/>
  <c r="AO2548" i="2"/>
  <c r="AL2548" i="2"/>
  <c r="AK2548" i="2"/>
  <c r="AJ2548" i="2"/>
  <c r="AI2548" i="2"/>
  <c r="AH2548" i="2"/>
  <c r="AG2548" i="2"/>
  <c r="AE2548" i="2"/>
  <c r="AD2548" i="2"/>
  <c r="AA2548" i="2"/>
  <c r="Z2548" i="2"/>
  <c r="Y2548" i="2"/>
  <c r="X2548" i="2"/>
  <c r="W2548" i="2"/>
  <c r="V2548" i="2"/>
  <c r="U2548" i="2"/>
  <c r="T2548" i="2"/>
  <c r="S2548" i="2"/>
  <c r="R2548" i="2"/>
  <c r="Q2548" i="2"/>
  <c r="P2548" i="2"/>
  <c r="O2548" i="2"/>
  <c r="N2548" i="2"/>
  <c r="K2548" i="2"/>
  <c r="J2548" i="2"/>
  <c r="I2548" i="2"/>
  <c r="H2548" i="2"/>
  <c r="G2548" i="2"/>
  <c r="F2548" i="2"/>
  <c r="E2548" i="2"/>
  <c r="D2548" i="2"/>
  <c r="C2548" i="2"/>
  <c r="B2548" i="2"/>
  <c r="A2548" i="2"/>
  <c r="AX2547" i="2"/>
  <c r="AV2547" i="2"/>
  <c r="AU2547" i="2"/>
  <c r="AS2547" i="2"/>
  <c r="AR2547" i="2"/>
  <c r="AQ2547" i="2"/>
  <c r="AO2547" i="2"/>
  <c r="AL2547" i="2"/>
  <c r="AK2547" i="2"/>
  <c r="AJ2547" i="2"/>
  <c r="AI2547" i="2"/>
  <c r="AH2547" i="2"/>
  <c r="AG2547" i="2"/>
  <c r="AE2547" i="2"/>
  <c r="AD2547" i="2"/>
  <c r="AA2547" i="2"/>
  <c r="Z2547" i="2"/>
  <c r="Y2547" i="2"/>
  <c r="X2547" i="2"/>
  <c r="V2547" i="2"/>
  <c r="U2547" i="2"/>
  <c r="T2547" i="2"/>
  <c r="S2547" i="2"/>
  <c r="R2547" i="2"/>
  <c r="Q2547" i="2"/>
  <c r="P2547" i="2"/>
  <c r="O2547" i="2"/>
  <c r="N2547" i="2"/>
  <c r="K2547" i="2"/>
  <c r="J2547" i="2"/>
  <c r="I2547" i="2"/>
  <c r="H2547" i="2"/>
  <c r="G2547" i="2"/>
  <c r="F2547" i="2"/>
  <c r="E2547" i="2"/>
  <c r="D2547" i="2"/>
  <c r="C2547" i="2"/>
  <c r="B2547" i="2"/>
  <c r="A2547" i="2"/>
  <c r="AX2546" i="2"/>
  <c r="AV2546" i="2"/>
  <c r="AU2546" i="2"/>
  <c r="AR2546" i="2"/>
  <c r="AQ2546" i="2"/>
  <c r="AO2546" i="2"/>
  <c r="AN2546" i="2"/>
  <c r="AM2546" i="2"/>
  <c r="AL2546" i="2"/>
  <c r="AK2546" i="2"/>
  <c r="AJ2546" i="2"/>
  <c r="AI2546" i="2"/>
  <c r="AH2546" i="2"/>
  <c r="AG2546" i="2"/>
  <c r="AE2546" i="2"/>
  <c r="AD2546" i="2"/>
  <c r="AA2546" i="2"/>
  <c r="Z2546" i="2"/>
  <c r="Y2546" i="2"/>
  <c r="W2546" i="2"/>
  <c r="V2546" i="2"/>
  <c r="U2546" i="2"/>
  <c r="T2546" i="2"/>
  <c r="S2546" i="2"/>
  <c r="R2546" i="2"/>
  <c r="Q2546" i="2"/>
  <c r="P2546" i="2"/>
  <c r="O2546" i="2"/>
  <c r="N2546" i="2"/>
  <c r="K2546" i="2"/>
  <c r="J2546" i="2"/>
  <c r="I2546" i="2"/>
  <c r="H2546" i="2"/>
  <c r="G2546" i="2"/>
  <c r="F2546" i="2"/>
  <c r="E2546" i="2"/>
  <c r="D2546" i="2"/>
  <c r="C2546" i="2"/>
  <c r="B2546" i="2"/>
  <c r="A2546" i="2"/>
  <c r="AX2545" i="2"/>
  <c r="AV2545" i="2"/>
  <c r="AU2545" i="2"/>
  <c r="AS2545" i="2"/>
  <c r="AR2545" i="2"/>
  <c r="AQ2545" i="2"/>
  <c r="AO2545" i="2"/>
  <c r="AL2545" i="2"/>
  <c r="AK2545" i="2"/>
  <c r="AJ2545" i="2"/>
  <c r="AI2545" i="2"/>
  <c r="AH2545" i="2"/>
  <c r="AG2545" i="2"/>
  <c r="AE2545" i="2"/>
  <c r="AD2545" i="2"/>
  <c r="AA2545" i="2"/>
  <c r="Z2545" i="2"/>
  <c r="Y2545" i="2"/>
  <c r="X2545" i="2"/>
  <c r="W2545" i="2"/>
  <c r="V2545" i="2"/>
  <c r="U2545" i="2"/>
  <c r="T2545" i="2"/>
  <c r="S2545" i="2"/>
  <c r="R2545" i="2"/>
  <c r="Q2545" i="2"/>
  <c r="P2545" i="2"/>
  <c r="O2545" i="2"/>
  <c r="N2545" i="2"/>
  <c r="K2545" i="2"/>
  <c r="J2545" i="2"/>
  <c r="I2545" i="2"/>
  <c r="H2545" i="2"/>
  <c r="G2545" i="2"/>
  <c r="F2545" i="2"/>
  <c r="E2545" i="2"/>
  <c r="D2545" i="2"/>
  <c r="C2545" i="2"/>
  <c r="B2545" i="2"/>
  <c r="A2545" i="2"/>
  <c r="AX2544" i="2"/>
  <c r="AV2544" i="2"/>
  <c r="AU2544" i="2"/>
  <c r="AS2544" i="2"/>
  <c r="AR2544" i="2"/>
  <c r="AQ2544" i="2"/>
  <c r="AO2544" i="2"/>
  <c r="AL2544" i="2"/>
  <c r="AK2544" i="2"/>
  <c r="AJ2544" i="2"/>
  <c r="AI2544" i="2"/>
  <c r="AH2544" i="2"/>
  <c r="AG2544" i="2"/>
  <c r="AE2544" i="2"/>
  <c r="AD2544" i="2"/>
  <c r="AA2544" i="2"/>
  <c r="Z2544" i="2"/>
  <c r="Y2544" i="2"/>
  <c r="X2544" i="2"/>
  <c r="W2544" i="2"/>
  <c r="V2544" i="2"/>
  <c r="U2544" i="2"/>
  <c r="T2544" i="2"/>
  <c r="S2544" i="2"/>
  <c r="R2544" i="2"/>
  <c r="Q2544" i="2"/>
  <c r="P2544" i="2"/>
  <c r="O2544" i="2"/>
  <c r="N2544" i="2"/>
  <c r="K2544" i="2"/>
  <c r="J2544" i="2"/>
  <c r="I2544" i="2"/>
  <c r="H2544" i="2"/>
  <c r="G2544" i="2"/>
  <c r="F2544" i="2"/>
  <c r="E2544" i="2"/>
  <c r="D2544" i="2"/>
  <c r="C2544" i="2"/>
  <c r="B2544" i="2"/>
  <c r="A2544" i="2"/>
  <c r="AX2543" i="2"/>
  <c r="AV2543" i="2"/>
  <c r="AU2543" i="2"/>
  <c r="AR2543" i="2"/>
  <c r="AQ2543" i="2"/>
  <c r="AO2543" i="2"/>
  <c r="AL2543" i="2"/>
  <c r="AK2543" i="2"/>
  <c r="AJ2543" i="2"/>
  <c r="AI2543" i="2"/>
  <c r="AH2543" i="2"/>
  <c r="AG2543" i="2"/>
  <c r="AE2543" i="2"/>
  <c r="AD2543" i="2"/>
  <c r="AA2543" i="2"/>
  <c r="Z2543" i="2"/>
  <c r="Y2543" i="2"/>
  <c r="W2543" i="2"/>
  <c r="V2543" i="2"/>
  <c r="U2543" i="2"/>
  <c r="T2543" i="2"/>
  <c r="S2543" i="2"/>
  <c r="R2543" i="2"/>
  <c r="Q2543" i="2"/>
  <c r="P2543" i="2"/>
  <c r="O2543" i="2"/>
  <c r="N2543" i="2"/>
  <c r="K2543" i="2"/>
  <c r="J2543" i="2"/>
  <c r="I2543" i="2"/>
  <c r="H2543" i="2"/>
  <c r="G2543" i="2"/>
  <c r="F2543" i="2"/>
  <c r="E2543" i="2"/>
  <c r="D2543" i="2"/>
  <c r="C2543" i="2"/>
  <c r="B2543" i="2"/>
  <c r="A2543" i="2"/>
  <c r="AX2542" i="2"/>
  <c r="AV2542" i="2"/>
  <c r="AU2542" i="2"/>
  <c r="AS2542" i="2"/>
  <c r="AR2542" i="2"/>
  <c r="AQ2542" i="2"/>
  <c r="AO2542" i="2"/>
  <c r="AN2542" i="2"/>
  <c r="AM2542" i="2"/>
  <c r="AL2542" i="2"/>
  <c r="AK2542" i="2"/>
  <c r="AJ2542" i="2"/>
  <c r="AI2542" i="2"/>
  <c r="AH2542" i="2"/>
  <c r="AG2542" i="2"/>
  <c r="AE2542" i="2"/>
  <c r="AD2542" i="2"/>
  <c r="AC2542" i="2"/>
  <c r="AA2542" i="2"/>
  <c r="Z2542" i="2"/>
  <c r="Y2542" i="2"/>
  <c r="V2542" i="2"/>
  <c r="U2542" i="2"/>
  <c r="T2542" i="2"/>
  <c r="S2542" i="2"/>
  <c r="R2542" i="2"/>
  <c r="Q2542" i="2"/>
  <c r="P2542" i="2"/>
  <c r="O2542" i="2"/>
  <c r="N2542" i="2"/>
  <c r="K2542" i="2"/>
  <c r="J2542" i="2"/>
  <c r="I2542" i="2"/>
  <c r="H2542" i="2"/>
  <c r="G2542" i="2"/>
  <c r="F2542" i="2"/>
  <c r="E2542" i="2"/>
  <c r="D2542" i="2"/>
  <c r="C2542" i="2"/>
  <c r="B2542" i="2"/>
  <c r="A2542" i="2"/>
  <c r="AX2541" i="2"/>
  <c r="AV2541" i="2"/>
  <c r="AU2541" i="2"/>
  <c r="AS2541" i="2"/>
  <c r="AR2541" i="2"/>
  <c r="AQ2541" i="2"/>
  <c r="AO2541" i="2"/>
  <c r="AL2541" i="2"/>
  <c r="AK2541" i="2"/>
  <c r="AJ2541" i="2"/>
  <c r="AI2541" i="2"/>
  <c r="AH2541" i="2"/>
  <c r="AG2541" i="2"/>
  <c r="AF2541" i="2"/>
  <c r="AE2541" i="2"/>
  <c r="AD2541" i="2"/>
  <c r="AA2541" i="2"/>
  <c r="Z2541" i="2"/>
  <c r="Y2541" i="2"/>
  <c r="X2541" i="2"/>
  <c r="W2541" i="2"/>
  <c r="V2541" i="2"/>
  <c r="U2541" i="2"/>
  <c r="T2541" i="2"/>
  <c r="S2541" i="2"/>
  <c r="R2541" i="2"/>
  <c r="Q2541" i="2"/>
  <c r="P2541" i="2"/>
  <c r="O2541" i="2"/>
  <c r="N2541" i="2"/>
  <c r="K2541" i="2"/>
  <c r="J2541" i="2"/>
  <c r="I2541" i="2"/>
  <c r="H2541" i="2"/>
  <c r="G2541" i="2"/>
  <c r="F2541" i="2"/>
  <c r="E2541" i="2"/>
  <c r="D2541" i="2"/>
  <c r="C2541" i="2"/>
  <c r="B2541" i="2"/>
  <c r="A2541" i="2"/>
  <c r="AX2540" i="2"/>
  <c r="AV2540" i="2"/>
  <c r="AU2540" i="2"/>
  <c r="AR2540" i="2"/>
  <c r="AQ2540" i="2"/>
  <c r="AO2540" i="2"/>
  <c r="AM2540" i="2"/>
  <c r="AI2540" i="2"/>
  <c r="AH2540" i="2"/>
  <c r="AG2540" i="2"/>
  <c r="AE2540" i="2"/>
  <c r="AD2540" i="2"/>
  <c r="AA2540" i="2"/>
  <c r="Z2540" i="2"/>
  <c r="Y2540" i="2"/>
  <c r="X2540" i="2"/>
  <c r="T2540" i="2"/>
  <c r="S2540" i="2"/>
  <c r="R2540" i="2"/>
  <c r="Q2540" i="2"/>
  <c r="P2540" i="2"/>
  <c r="O2540" i="2"/>
  <c r="N2540" i="2"/>
  <c r="K2540" i="2"/>
  <c r="J2540" i="2"/>
  <c r="I2540" i="2"/>
  <c r="H2540" i="2"/>
  <c r="G2540" i="2"/>
  <c r="F2540" i="2"/>
  <c r="E2540" i="2"/>
  <c r="D2540" i="2"/>
  <c r="C2540" i="2"/>
  <c r="B2540" i="2"/>
  <c r="A2540" i="2"/>
  <c r="AX2539" i="2"/>
  <c r="AV2539" i="2"/>
  <c r="AU2539" i="2"/>
  <c r="AS2539" i="2"/>
  <c r="AR2539" i="2"/>
  <c r="AQ2539" i="2"/>
  <c r="AO2539" i="2"/>
  <c r="AM2539" i="2"/>
  <c r="AL2539" i="2"/>
  <c r="AK2539" i="2"/>
  <c r="AJ2539" i="2"/>
  <c r="AI2539" i="2"/>
  <c r="AH2539" i="2"/>
  <c r="AG2539" i="2"/>
  <c r="AF2539" i="2"/>
  <c r="AE2539" i="2"/>
  <c r="AD2539" i="2"/>
  <c r="AA2539" i="2"/>
  <c r="Z2539" i="2"/>
  <c r="Y2539" i="2"/>
  <c r="X2539" i="2"/>
  <c r="V2539" i="2"/>
  <c r="U2539" i="2"/>
  <c r="T2539" i="2"/>
  <c r="S2539" i="2"/>
  <c r="R2539" i="2"/>
  <c r="Q2539" i="2"/>
  <c r="P2539" i="2"/>
  <c r="O2539" i="2"/>
  <c r="N2539" i="2"/>
  <c r="K2539" i="2"/>
  <c r="J2539" i="2"/>
  <c r="I2539" i="2"/>
  <c r="H2539" i="2"/>
  <c r="G2539" i="2"/>
  <c r="F2539" i="2"/>
  <c r="E2539" i="2"/>
  <c r="D2539" i="2"/>
  <c r="C2539" i="2"/>
  <c r="B2539" i="2"/>
  <c r="A2539" i="2"/>
  <c r="AX2538" i="2"/>
  <c r="AV2538" i="2"/>
  <c r="AU2538" i="2"/>
  <c r="AS2538" i="2"/>
  <c r="AR2538" i="2"/>
  <c r="AQ2538" i="2"/>
  <c r="AO2538" i="2"/>
  <c r="AL2538" i="2"/>
  <c r="AK2538" i="2"/>
  <c r="AJ2538" i="2"/>
  <c r="AI2538" i="2"/>
  <c r="AH2538" i="2"/>
  <c r="AG2538" i="2"/>
  <c r="AE2538" i="2"/>
  <c r="AD2538" i="2"/>
  <c r="AA2538" i="2"/>
  <c r="Z2538" i="2"/>
  <c r="Y2538" i="2"/>
  <c r="X2538" i="2"/>
  <c r="W2538" i="2"/>
  <c r="V2538" i="2"/>
  <c r="U2538" i="2"/>
  <c r="T2538" i="2"/>
  <c r="S2538" i="2"/>
  <c r="R2538" i="2"/>
  <c r="Q2538" i="2"/>
  <c r="P2538" i="2"/>
  <c r="O2538" i="2"/>
  <c r="N2538" i="2"/>
  <c r="K2538" i="2"/>
  <c r="J2538" i="2"/>
  <c r="I2538" i="2"/>
  <c r="H2538" i="2"/>
  <c r="G2538" i="2"/>
  <c r="F2538" i="2"/>
  <c r="E2538" i="2"/>
  <c r="D2538" i="2"/>
  <c r="C2538" i="2"/>
  <c r="B2538" i="2"/>
  <c r="A2538" i="2"/>
  <c r="AX2537" i="2"/>
  <c r="AV2537" i="2"/>
  <c r="AU2537" i="2"/>
  <c r="AR2537" i="2"/>
  <c r="AQ2537" i="2"/>
  <c r="AO2537" i="2"/>
  <c r="AN2537" i="2"/>
  <c r="AM2537" i="2"/>
  <c r="AL2537" i="2"/>
  <c r="AK2537" i="2"/>
  <c r="AJ2537" i="2"/>
  <c r="AI2537" i="2"/>
  <c r="AH2537" i="2"/>
  <c r="AG2537" i="2"/>
  <c r="AE2537" i="2"/>
  <c r="AD2537" i="2"/>
  <c r="AC2537" i="2"/>
  <c r="AA2537" i="2"/>
  <c r="Z2537" i="2"/>
  <c r="Y2537" i="2"/>
  <c r="V2537" i="2"/>
  <c r="U2537" i="2"/>
  <c r="T2537" i="2"/>
  <c r="S2537" i="2"/>
  <c r="R2537" i="2"/>
  <c r="Q2537" i="2"/>
  <c r="P2537" i="2"/>
  <c r="O2537" i="2"/>
  <c r="N2537" i="2"/>
  <c r="K2537" i="2"/>
  <c r="J2537" i="2"/>
  <c r="I2537" i="2"/>
  <c r="H2537" i="2"/>
  <c r="G2537" i="2"/>
  <c r="F2537" i="2"/>
  <c r="E2537" i="2"/>
  <c r="D2537" i="2"/>
  <c r="C2537" i="2"/>
  <c r="B2537" i="2"/>
  <c r="A2537" i="2"/>
  <c r="AX2536" i="2"/>
  <c r="AV2536" i="2"/>
  <c r="AU2536" i="2"/>
  <c r="AS2536" i="2"/>
  <c r="AR2536" i="2"/>
  <c r="AQ2536" i="2"/>
  <c r="AO2536" i="2"/>
  <c r="AN2536" i="2"/>
  <c r="AM2536" i="2"/>
  <c r="AL2536" i="2"/>
  <c r="AK2536" i="2"/>
  <c r="AJ2536" i="2"/>
  <c r="AI2536" i="2"/>
  <c r="AH2536" i="2"/>
  <c r="AG2536" i="2"/>
  <c r="AE2536" i="2"/>
  <c r="AD2536" i="2"/>
  <c r="AA2536" i="2"/>
  <c r="Z2536" i="2"/>
  <c r="Y2536" i="2"/>
  <c r="X2536" i="2"/>
  <c r="W2536" i="2"/>
  <c r="V2536" i="2"/>
  <c r="U2536" i="2"/>
  <c r="T2536" i="2"/>
  <c r="S2536" i="2"/>
  <c r="R2536" i="2"/>
  <c r="Q2536" i="2"/>
  <c r="P2536" i="2"/>
  <c r="O2536" i="2"/>
  <c r="N2536" i="2"/>
  <c r="K2536" i="2"/>
  <c r="J2536" i="2"/>
  <c r="I2536" i="2"/>
  <c r="H2536" i="2"/>
  <c r="G2536" i="2"/>
  <c r="F2536" i="2"/>
  <c r="E2536" i="2"/>
  <c r="D2536" i="2"/>
  <c r="C2536" i="2"/>
  <c r="B2536" i="2"/>
  <c r="A2536" i="2"/>
  <c r="AX2535" i="2"/>
  <c r="AV2535" i="2"/>
  <c r="AU2535" i="2"/>
  <c r="AR2535" i="2"/>
  <c r="AQ2535" i="2"/>
  <c r="AO2535" i="2"/>
  <c r="AL2535" i="2"/>
  <c r="AK2535" i="2"/>
  <c r="AJ2535" i="2"/>
  <c r="AI2535" i="2"/>
  <c r="AH2535" i="2"/>
  <c r="AG2535" i="2"/>
  <c r="AE2535" i="2"/>
  <c r="AD2535" i="2"/>
  <c r="AA2535" i="2"/>
  <c r="Z2535" i="2"/>
  <c r="Y2535" i="2"/>
  <c r="X2535" i="2"/>
  <c r="V2535" i="2"/>
  <c r="U2535" i="2"/>
  <c r="T2535" i="2"/>
  <c r="S2535" i="2"/>
  <c r="R2535" i="2"/>
  <c r="Q2535" i="2"/>
  <c r="P2535" i="2"/>
  <c r="O2535" i="2"/>
  <c r="N2535" i="2"/>
  <c r="K2535" i="2"/>
  <c r="J2535" i="2"/>
  <c r="I2535" i="2"/>
  <c r="H2535" i="2"/>
  <c r="G2535" i="2"/>
  <c r="F2535" i="2"/>
  <c r="E2535" i="2"/>
  <c r="D2535" i="2"/>
  <c r="C2535" i="2"/>
  <c r="B2535" i="2"/>
  <c r="A2535" i="2"/>
  <c r="AX2534" i="2"/>
  <c r="AV2534" i="2"/>
  <c r="AU2534" i="2"/>
  <c r="AS2534" i="2"/>
  <c r="AR2534" i="2"/>
  <c r="AQ2534" i="2"/>
  <c r="AO2534" i="2"/>
  <c r="AL2534" i="2"/>
  <c r="AK2534" i="2"/>
  <c r="AJ2534" i="2"/>
  <c r="AI2534" i="2"/>
  <c r="AH2534" i="2"/>
  <c r="AG2534" i="2"/>
  <c r="AF2534" i="2"/>
  <c r="AE2534" i="2"/>
  <c r="AD2534" i="2"/>
  <c r="AA2534" i="2"/>
  <c r="Z2534" i="2"/>
  <c r="Y2534" i="2"/>
  <c r="X2534" i="2"/>
  <c r="W2534" i="2"/>
  <c r="V2534" i="2"/>
  <c r="U2534" i="2"/>
  <c r="T2534" i="2"/>
  <c r="S2534" i="2"/>
  <c r="R2534" i="2"/>
  <c r="Q2534" i="2"/>
  <c r="P2534" i="2"/>
  <c r="O2534" i="2"/>
  <c r="N2534" i="2"/>
  <c r="K2534" i="2"/>
  <c r="J2534" i="2"/>
  <c r="I2534" i="2"/>
  <c r="H2534" i="2"/>
  <c r="G2534" i="2"/>
  <c r="F2534" i="2"/>
  <c r="E2534" i="2"/>
  <c r="D2534" i="2"/>
  <c r="C2534" i="2"/>
  <c r="B2534" i="2"/>
  <c r="A2534" i="2"/>
  <c r="AX2533" i="2"/>
  <c r="AV2533" i="2"/>
  <c r="AU2533" i="2"/>
  <c r="AS2533" i="2"/>
  <c r="AR2533" i="2"/>
  <c r="AQ2533" i="2"/>
  <c r="AO2533" i="2"/>
  <c r="AL2533" i="2"/>
  <c r="AK2533" i="2"/>
  <c r="AJ2533" i="2"/>
  <c r="AI2533" i="2"/>
  <c r="AH2533" i="2"/>
  <c r="AG2533" i="2"/>
  <c r="AE2533" i="2"/>
  <c r="AD2533" i="2"/>
  <c r="AA2533" i="2"/>
  <c r="Z2533" i="2"/>
  <c r="Y2533" i="2"/>
  <c r="X2533" i="2"/>
  <c r="V2533" i="2"/>
  <c r="U2533" i="2"/>
  <c r="T2533" i="2"/>
  <c r="S2533" i="2"/>
  <c r="R2533" i="2"/>
  <c r="Q2533" i="2"/>
  <c r="P2533" i="2"/>
  <c r="O2533" i="2"/>
  <c r="N2533" i="2"/>
  <c r="K2533" i="2"/>
  <c r="J2533" i="2"/>
  <c r="I2533" i="2"/>
  <c r="H2533" i="2"/>
  <c r="G2533" i="2"/>
  <c r="F2533" i="2"/>
  <c r="E2533" i="2"/>
  <c r="D2533" i="2"/>
  <c r="C2533" i="2"/>
  <c r="B2533" i="2"/>
  <c r="A2533" i="2"/>
  <c r="AX2532" i="2"/>
  <c r="AV2532" i="2"/>
  <c r="AU2532" i="2"/>
  <c r="AR2532" i="2"/>
  <c r="AQ2532" i="2"/>
  <c r="AO2532" i="2"/>
  <c r="AL2532" i="2"/>
  <c r="AK2532" i="2"/>
  <c r="AI2532" i="2"/>
  <c r="AH2532" i="2"/>
  <c r="AG2532" i="2"/>
  <c r="AE2532" i="2"/>
  <c r="AA2532" i="2"/>
  <c r="Z2532" i="2"/>
  <c r="Y2532" i="2"/>
  <c r="X2532" i="2"/>
  <c r="W2532" i="2"/>
  <c r="V2532" i="2"/>
  <c r="U2532" i="2"/>
  <c r="T2532" i="2"/>
  <c r="S2532" i="2"/>
  <c r="R2532" i="2"/>
  <c r="Q2532" i="2"/>
  <c r="P2532" i="2"/>
  <c r="O2532" i="2"/>
  <c r="N2532" i="2"/>
  <c r="K2532" i="2"/>
  <c r="J2532" i="2"/>
  <c r="I2532" i="2"/>
  <c r="H2532" i="2"/>
  <c r="G2532" i="2"/>
  <c r="F2532" i="2"/>
  <c r="E2532" i="2"/>
  <c r="D2532" i="2"/>
  <c r="C2532" i="2"/>
  <c r="B2532" i="2"/>
  <c r="A2532" i="2"/>
  <c r="AX2531" i="2"/>
  <c r="AV2531" i="2"/>
  <c r="AU2531" i="2"/>
  <c r="AS2531" i="2"/>
  <c r="AR2531" i="2"/>
  <c r="AQ2531" i="2"/>
  <c r="AO2531" i="2"/>
  <c r="AK2531" i="2"/>
  <c r="AJ2531" i="2"/>
  <c r="AI2531" i="2"/>
  <c r="AH2531" i="2"/>
  <c r="AG2531" i="2"/>
  <c r="AE2531" i="2"/>
  <c r="AD2531" i="2"/>
  <c r="AA2531" i="2"/>
  <c r="Z2531" i="2"/>
  <c r="Y2531" i="2"/>
  <c r="X2531" i="2"/>
  <c r="T2531" i="2"/>
  <c r="S2531" i="2"/>
  <c r="R2531" i="2"/>
  <c r="Q2531" i="2"/>
  <c r="P2531" i="2"/>
  <c r="O2531" i="2"/>
  <c r="N2531" i="2"/>
  <c r="K2531" i="2"/>
  <c r="J2531" i="2"/>
  <c r="I2531" i="2"/>
  <c r="H2531" i="2"/>
  <c r="G2531" i="2"/>
  <c r="F2531" i="2"/>
  <c r="E2531" i="2"/>
  <c r="D2531" i="2"/>
  <c r="C2531" i="2"/>
  <c r="B2531" i="2"/>
  <c r="A2531" i="2"/>
  <c r="AX2530" i="2"/>
  <c r="AV2530" i="2"/>
  <c r="AU2530" i="2"/>
  <c r="AR2530" i="2"/>
  <c r="AQ2530" i="2"/>
  <c r="AO2530" i="2"/>
  <c r="AK2530" i="2"/>
  <c r="AJ2530" i="2"/>
  <c r="AI2530" i="2"/>
  <c r="AH2530" i="2"/>
  <c r="AG2530" i="2"/>
  <c r="AE2530" i="2"/>
  <c r="AA2530" i="2"/>
  <c r="Z2530" i="2"/>
  <c r="Y2530" i="2"/>
  <c r="X2530" i="2"/>
  <c r="V2530" i="2"/>
  <c r="U2530" i="2"/>
  <c r="T2530" i="2"/>
  <c r="S2530" i="2"/>
  <c r="R2530" i="2"/>
  <c r="Q2530" i="2"/>
  <c r="P2530" i="2"/>
  <c r="O2530" i="2"/>
  <c r="N2530" i="2"/>
  <c r="K2530" i="2"/>
  <c r="J2530" i="2"/>
  <c r="I2530" i="2"/>
  <c r="H2530" i="2"/>
  <c r="G2530" i="2"/>
  <c r="F2530" i="2"/>
  <c r="E2530" i="2"/>
  <c r="D2530" i="2"/>
  <c r="C2530" i="2"/>
  <c r="B2530" i="2"/>
  <c r="A2530" i="2"/>
  <c r="AX2529" i="2"/>
  <c r="AV2529" i="2"/>
  <c r="AU2529" i="2"/>
  <c r="AS2529" i="2"/>
  <c r="AR2529" i="2"/>
  <c r="AQ2529" i="2"/>
  <c r="AO2529" i="2"/>
  <c r="AL2529" i="2"/>
  <c r="AK2529" i="2"/>
  <c r="AJ2529" i="2"/>
  <c r="AI2529" i="2"/>
  <c r="AH2529" i="2"/>
  <c r="AG2529" i="2"/>
  <c r="AE2529" i="2"/>
  <c r="AD2529" i="2"/>
  <c r="AA2529" i="2"/>
  <c r="Z2529" i="2"/>
  <c r="Y2529" i="2"/>
  <c r="T2529" i="2"/>
  <c r="S2529" i="2"/>
  <c r="R2529" i="2"/>
  <c r="Q2529" i="2"/>
  <c r="P2529" i="2"/>
  <c r="O2529" i="2"/>
  <c r="N2529" i="2"/>
  <c r="K2529" i="2"/>
  <c r="J2529" i="2"/>
  <c r="I2529" i="2"/>
  <c r="H2529" i="2"/>
  <c r="G2529" i="2"/>
  <c r="F2529" i="2"/>
  <c r="E2529" i="2"/>
  <c r="D2529" i="2"/>
  <c r="C2529" i="2"/>
  <c r="B2529" i="2"/>
  <c r="A2529" i="2"/>
  <c r="AX2528" i="2"/>
  <c r="AV2528" i="2"/>
  <c r="AU2528" i="2"/>
  <c r="AS2528" i="2"/>
  <c r="AR2528" i="2"/>
  <c r="AQ2528" i="2"/>
  <c r="AO2528" i="2"/>
  <c r="AL2528" i="2"/>
  <c r="AK2528" i="2"/>
  <c r="AI2528" i="2"/>
  <c r="AH2528" i="2"/>
  <c r="AG2528" i="2"/>
  <c r="AE2528" i="2"/>
  <c r="AD2528" i="2"/>
  <c r="AA2528" i="2"/>
  <c r="Z2528" i="2"/>
  <c r="Y2528" i="2"/>
  <c r="X2528" i="2"/>
  <c r="W2528" i="2"/>
  <c r="V2528" i="2"/>
  <c r="U2528" i="2"/>
  <c r="T2528" i="2"/>
  <c r="S2528" i="2"/>
  <c r="R2528" i="2"/>
  <c r="Q2528" i="2"/>
  <c r="P2528" i="2"/>
  <c r="O2528" i="2"/>
  <c r="N2528" i="2"/>
  <c r="K2528" i="2"/>
  <c r="J2528" i="2"/>
  <c r="I2528" i="2"/>
  <c r="H2528" i="2"/>
  <c r="G2528" i="2"/>
  <c r="F2528" i="2"/>
  <c r="E2528" i="2"/>
  <c r="D2528" i="2"/>
  <c r="C2528" i="2"/>
  <c r="B2528" i="2"/>
  <c r="A2528" i="2"/>
  <c r="AX2527" i="2"/>
  <c r="AV2527" i="2"/>
  <c r="AU2527" i="2"/>
  <c r="AS2527" i="2"/>
  <c r="AR2527" i="2"/>
  <c r="AQ2527" i="2"/>
  <c r="AO2527" i="2"/>
  <c r="AL2527" i="2"/>
  <c r="AK2527" i="2"/>
  <c r="AJ2527" i="2"/>
  <c r="AI2527" i="2"/>
  <c r="AH2527" i="2"/>
  <c r="AG2527" i="2"/>
  <c r="AE2527" i="2"/>
  <c r="AD2527" i="2"/>
  <c r="AA2527" i="2"/>
  <c r="Z2527" i="2"/>
  <c r="Y2527" i="2"/>
  <c r="X2527" i="2"/>
  <c r="V2527" i="2"/>
  <c r="U2527" i="2"/>
  <c r="T2527" i="2"/>
  <c r="S2527" i="2"/>
  <c r="R2527" i="2"/>
  <c r="Q2527" i="2"/>
  <c r="P2527" i="2"/>
  <c r="O2527" i="2"/>
  <c r="N2527" i="2"/>
  <c r="K2527" i="2"/>
  <c r="J2527" i="2"/>
  <c r="I2527" i="2"/>
  <c r="H2527" i="2"/>
  <c r="G2527" i="2"/>
  <c r="F2527" i="2"/>
  <c r="E2527" i="2"/>
  <c r="D2527" i="2"/>
  <c r="C2527" i="2"/>
  <c r="B2527" i="2"/>
  <c r="A2527" i="2"/>
  <c r="AX2526" i="2"/>
  <c r="AV2526" i="2"/>
  <c r="AU2526" i="2"/>
  <c r="AS2526" i="2"/>
  <c r="AR2526" i="2"/>
  <c r="AQ2526" i="2"/>
  <c r="AP2526" i="2"/>
  <c r="AO2526" i="2"/>
  <c r="AL2526" i="2"/>
  <c r="AK2526" i="2"/>
  <c r="AJ2526" i="2"/>
  <c r="AI2526" i="2"/>
  <c r="AH2526" i="2"/>
  <c r="AG2526" i="2"/>
  <c r="AE2526" i="2"/>
  <c r="AD2526" i="2"/>
  <c r="AA2526" i="2"/>
  <c r="Z2526" i="2"/>
  <c r="Y2526" i="2"/>
  <c r="X2526" i="2"/>
  <c r="W2526" i="2"/>
  <c r="V2526" i="2"/>
  <c r="U2526" i="2"/>
  <c r="T2526" i="2"/>
  <c r="S2526" i="2"/>
  <c r="R2526" i="2"/>
  <c r="Q2526" i="2"/>
  <c r="P2526" i="2"/>
  <c r="O2526" i="2"/>
  <c r="N2526" i="2"/>
  <c r="K2526" i="2"/>
  <c r="J2526" i="2"/>
  <c r="I2526" i="2"/>
  <c r="H2526" i="2"/>
  <c r="G2526" i="2"/>
  <c r="F2526" i="2"/>
  <c r="E2526" i="2"/>
  <c r="D2526" i="2"/>
  <c r="C2526" i="2"/>
  <c r="B2526" i="2"/>
  <c r="A2526" i="2"/>
  <c r="AX2525" i="2"/>
  <c r="AV2525" i="2"/>
  <c r="AU2525" i="2"/>
  <c r="AR2525" i="2"/>
  <c r="AQ2525" i="2"/>
  <c r="AO2525" i="2"/>
  <c r="AL2525" i="2"/>
  <c r="AK2525" i="2"/>
  <c r="AJ2525" i="2"/>
  <c r="AI2525" i="2"/>
  <c r="AH2525" i="2"/>
  <c r="AG2525" i="2"/>
  <c r="AE2525" i="2"/>
  <c r="AD2525" i="2"/>
  <c r="AA2525" i="2"/>
  <c r="Z2525" i="2"/>
  <c r="Y2525" i="2"/>
  <c r="X2525" i="2"/>
  <c r="V2525" i="2"/>
  <c r="U2525" i="2"/>
  <c r="T2525" i="2"/>
  <c r="S2525" i="2"/>
  <c r="R2525" i="2"/>
  <c r="Q2525" i="2"/>
  <c r="P2525" i="2"/>
  <c r="O2525" i="2"/>
  <c r="N2525" i="2"/>
  <c r="K2525" i="2"/>
  <c r="J2525" i="2"/>
  <c r="I2525" i="2"/>
  <c r="H2525" i="2"/>
  <c r="G2525" i="2"/>
  <c r="F2525" i="2"/>
  <c r="E2525" i="2"/>
  <c r="D2525" i="2"/>
  <c r="C2525" i="2"/>
  <c r="B2525" i="2"/>
  <c r="A2525" i="2"/>
  <c r="AX2524" i="2"/>
  <c r="AV2524" i="2"/>
  <c r="AU2524" i="2"/>
  <c r="AR2524" i="2"/>
  <c r="AQ2524" i="2"/>
  <c r="AO2524" i="2"/>
  <c r="AL2524" i="2"/>
  <c r="AK2524" i="2"/>
  <c r="AJ2524" i="2"/>
  <c r="AI2524" i="2"/>
  <c r="AH2524" i="2"/>
  <c r="AG2524" i="2"/>
  <c r="AE2524" i="2"/>
  <c r="AD2524" i="2"/>
  <c r="AA2524" i="2"/>
  <c r="Z2524" i="2"/>
  <c r="Y2524" i="2"/>
  <c r="X2524" i="2"/>
  <c r="V2524" i="2"/>
  <c r="U2524" i="2"/>
  <c r="T2524" i="2"/>
  <c r="S2524" i="2"/>
  <c r="R2524" i="2"/>
  <c r="Q2524" i="2"/>
  <c r="P2524" i="2"/>
  <c r="O2524" i="2"/>
  <c r="N2524" i="2"/>
  <c r="K2524" i="2"/>
  <c r="J2524" i="2"/>
  <c r="I2524" i="2"/>
  <c r="H2524" i="2"/>
  <c r="G2524" i="2"/>
  <c r="F2524" i="2"/>
  <c r="E2524" i="2"/>
  <c r="D2524" i="2"/>
  <c r="C2524" i="2"/>
  <c r="B2524" i="2"/>
  <c r="A2524" i="2"/>
  <c r="AX2523" i="2"/>
  <c r="AV2523" i="2"/>
  <c r="AU2523" i="2"/>
  <c r="AR2523" i="2"/>
  <c r="AQ2523" i="2"/>
  <c r="AO2523" i="2"/>
  <c r="AK2523" i="2"/>
  <c r="AJ2523" i="2"/>
  <c r="AI2523" i="2"/>
  <c r="AH2523" i="2"/>
  <c r="AG2523" i="2"/>
  <c r="AE2523" i="2"/>
  <c r="AA2523" i="2"/>
  <c r="Z2523" i="2"/>
  <c r="Y2523" i="2"/>
  <c r="X2523" i="2"/>
  <c r="W2523" i="2"/>
  <c r="V2523" i="2"/>
  <c r="U2523" i="2"/>
  <c r="T2523" i="2"/>
  <c r="S2523" i="2"/>
  <c r="R2523" i="2"/>
  <c r="Q2523" i="2"/>
  <c r="P2523" i="2"/>
  <c r="O2523" i="2"/>
  <c r="N2523" i="2"/>
  <c r="K2523" i="2"/>
  <c r="J2523" i="2"/>
  <c r="I2523" i="2"/>
  <c r="H2523" i="2"/>
  <c r="G2523" i="2"/>
  <c r="F2523" i="2"/>
  <c r="E2523" i="2"/>
  <c r="D2523" i="2"/>
  <c r="C2523" i="2"/>
  <c r="B2523" i="2"/>
  <c r="A2523" i="2"/>
  <c r="AX2522" i="2"/>
  <c r="AV2522" i="2"/>
  <c r="AU2522" i="2"/>
  <c r="AR2522" i="2"/>
  <c r="AQ2522" i="2"/>
  <c r="AO2522" i="2"/>
  <c r="AL2522" i="2"/>
  <c r="AK2522" i="2"/>
  <c r="AJ2522" i="2"/>
  <c r="AI2522" i="2"/>
  <c r="AH2522" i="2"/>
  <c r="AG2522" i="2"/>
  <c r="AE2522" i="2"/>
  <c r="AD2522" i="2"/>
  <c r="AA2522" i="2"/>
  <c r="Z2522" i="2"/>
  <c r="Y2522" i="2"/>
  <c r="X2522" i="2"/>
  <c r="U2522" i="2"/>
  <c r="T2522" i="2"/>
  <c r="S2522" i="2"/>
  <c r="R2522" i="2"/>
  <c r="Q2522" i="2"/>
  <c r="P2522" i="2"/>
  <c r="O2522" i="2"/>
  <c r="N2522" i="2"/>
  <c r="K2522" i="2"/>
  <c r="J2522" i="2"/>
  <c r="I2522" i="2"/>
  <c r="H2522" i="2"/>
  <c r="G2522" i="2"/>
  <c r="F2522" i="2"/>
  <c r="E2522" i="2"/>
  <c r="D2522" i="2"/>
  <c r="C2522" i="2"/>
  <c r="B2522" i="2"/>
  <c r="A2522" i="2"/>
  <c r="AX2521" i="2"/>
  <c r="AV2521" i="2"/>
  <c r="AU2521" i="2"/>
  <c r="AR2521" i="2"/>
  <c r="AQ2521" i="2"/>
  <c r="AO2521" i="2"/>
  <c r="AK2521" i="2"/>
  <c r="AJ2521" i="2"/>
  <c r="AI2521" i="2"/>
  <c r="AH2521" i="2"/>
  <c r="AG2521" i="2"/>
  <c r="AF2521" i="2"/>
  <c r="AE2521" i="2"/>
  <c r="AD2521" i="2"/>
  <c r="AA2521" i="2"/>
  <c r="Z2521" i="2"/>
  <c r="Y2521" i="2"/>
  <c r="X2521" i="2"/>
  <c r="U2521" i="2"/>
  <c r="T2521" i="2"/>
  <c r="S2521" i="2"/>
  <c r="R2521" i="2"/>
  <c r="Q2521" i="2"/>
  <c r="P2521" i="2"/>
  <c r="O2521" i="2"/>
  <c r="N2521" i="2"/>
  <c r="K2521" i="2"/>
  <c r="J2521" i="2"/>
  <c r="I2521" i="2"/>
  <c r="H2521" i="2"/>
  <c r="G2521" i="2"/>
  <c r="F2521" i="2"/>
  <c r="E2521" i="2"/>
  <c r="D2521" i="2"/>
  <c r="C2521" i="2"/>
  <c r="B2521" i="2"/>
  <c r="A2521" i="2"/>
  <c r="AX2520" i="2"/>
  <c r="AV2520" i="2"/>
  <c r="AU2520" i="2"/>
  <c r="AS2520" i="2"/>
  <c r="AR2520" i="2"/>
  <c r="AQ2520" i="2"/>
  <c r="AO2520" i="2"/>
  <c r="AM2520" i="2"/>
  <c r="AL2520" i="2"/>
  <c r="AK2520" i="2"/>
  <c r="AJ2520" i="2"/>
  <c r="AI2520" i="2"/>
  <c r="AH2520" i="2"/>
  <c r="AG2520" i="2"/>
  <c r="AE2520" i="2"/>
  <c r="AD2520" i="2"/>
  <c r="AA2520" i="2"/>
  <c r="Z2520" i="2"/>
  <c r="Y2520" i="2"/>
  <c r="X2520" i="2"/>
  <c r="V2520" i="2"/>
  <c r="U2520" i="2"/>
  <c r="T2520" i="2"/>
  <c r="S2520" i="2"/>
  <c r="R2520" i="2"/>
  <c r="Q2520" i="2"/>
  <c r="P2520" i="2"/>
  <c r="O2520" i="2"/>
  <c r="N2520" i="2"/>
  <c r="K2520" i="2"/>
  <c r="J2520" i="2"/>
  <c r="I2520" i="2"/>
  <c r="H2520" i="2"/>
  <c r="G2520" i="2"/>
  <c r="F2520" i="2"/>
  <c r="E2520" i="2"/>
  <c r="D2520" i="2"/>
  <c r="C2520" i="2"/>
  <c r="B2520" i="2"/>
  <c r="A2520" i="2"/>
  <c r="AX2519" i="2"/>
  <c r="AV2519" i="2"/>
  <c r="AU2519" i="2"/>
  <c r="AR2519" i="2"/>
  <c r="AQ2519" i="2"/>
  <c r="AO2519" i="2"/>
  <c r="AL2519" i="2"/>
  <c r="AK2519" i="2"/>
  <c r="AJ2519" i="2"/>
  <c r="AI2519" i="2"/>
  <c r="AH2519" i="2"/>
  <c r="AG2519" i="2"/>
  <c r="AF2519" i="2"/>
  <c r="AE2519" i="2"/>
  <c r="AD2519" i="2"/>
  <c r="AA2519" i="2"/>
  <c r="Z2519" i="2"/>
  <c r="Y2519" i="2"/>
  <c r="X2519" i="2"/>
  <c r="W2519" i="2"/>
  <c r="V2519" i="2"/>
  <c r="U2519" i="2"/>
  <c r="T2519" i="2"/>
  <c r="S2519" i="2"/>
  <c r="R2519" i="2"/>
  <c r="Q2519" i="2"/>
  <c r="P2519" i="2"/>
  <c r="O2519" i="2"/>
  <c r="N2519" i="2"/>
  <c r="K2519" i="2"/>
  <c r="J2519" i="2"/>
  <c r="I2519" i="2"/>
  <c r="H2519" i="2"/>
  <c r="G2519" i="2"/>
  <c r="F2519" i="2"/>
  <c r="E2519" i="2"/>
  <c r="D2519" i="2"/>
  <c r="C2519" i="2"/>
  <c r="B2519" i="2"/>
  <c r="A2519" i="2"/>
  <c r="AX2518" i="2"/>
  <c r="AV2518" i="2"/>
  <c r="AU2518" i="2"/>
  <c r="AR2518" i="2"/>
  <c r="AQ2518" i="2"/>
  <c r="AP2518" i="2"/>
  <c r="AO2518" i="2"/>
  <c r="AL2518" i="2"/>
  <c r="AK2518" i="2"/>
  <c r="AJ2518" i="2"/>
  <c r="AI2518" i="2"/>
  <c r="AH2518" i="2"/>
  <c r="AG2518" i="2"/>
  <c r="AE2518" i="2"/>
  <c r="AD2518" i="2"/>
  <c r="AA2518" i="2"/>
  <c r="Z2518" i="2"/>
  <c r="Y2518" i="2"/>
  <c r="X2518" i="2"/>
  <c r="W2518" i="2"/>
  <c r="V2518" i="2"/>
  <c r="U2518" i="2"/>
  <c r="T2518" i="2"/>
  <c r="S2518" i="2"/>
  <c r="R2518" i="2"/>
  <c r="Q2518" i="2"/>
  <c r="P2518" i="2"/>
  <c r="O2518" i="2"/>
  <c r="N2518" i="2"/>
  <c r="K2518" i="2"/>
  <c r="J2518" i="2"/>
  <c r="I2518" i="2"/>
  <c r="H2518" i="2"/>
  <c r="G2518" i="2"/>
  <c r="F2518" i="2"/>
  <c r="E2518" i="2"/>
  <c r="D2518" i="2"/>
  <c r="C2518" i="2"/>
  <c r="B2518" i="2"/>
  <c r="A2518" i="2"/>
  <c r="AX2517" i="2"/>
  <c r="AV2517" i="2"/>
  <c r="AU2517" i="2"/>
  <c r="AS2517" i="2"/>
  <c r="AR2517" i="2"/>
  <c r="AQ2517" i="2"/>
  <c r="AO2517" i="2"/>
  <c r="AM2517" i="2"/>
  <c r="AL2517" i="2"/>
  <c r="AK2517" i="2"/>
  <c r="AJ2517" i="2"/>
  <c r="AI2517" i="2"/>
  <c r="AH2517" i="2"/>
  <c r="AG2517" i="2"/>
  <c r="AE2517" i="2"/>
  <c r="AD2517" i="2"/>
  <c r="AA2517" i="2"/>
  <c r="Z2517" i="2"/>
  <c r="Y2517" i="2"/>
  <c r="X2517" i="2"/>
  <c r="W2517" i="2"/>
  <c r="V2517" i="2"/>
  <c r="U2517" i="2"/>
  <c r="T2517" i="2"/>
  <c r="S2517" i="2"/>
  <c r="R2517" i="2"/>
  <c r="Q2517" i="2"/>
  <c r="P2517" i="2"/>
  <c r="O2517" i="2"/>
  <c r="N2517" i="2"/>
  <c r="K2517" i="2"/>
  <c r="J2517" i="2"/>
  <c r="I2517" i="2"/>
  <c r="H2517" i="2"/>
  <c r="G2517" i="2"/>
  <c r="F2517" i="2"/>
  <c r="E2517" i="2"/>
  <c r="D2517" i="2"/>
  <c r="C2517" i="2"/>
  <c r="B2517" i="2"/>
  <c r="A2517" i="2"/>
  <c r="AX2516" i="2"/>
  <c r="AV2516" i="2"/>
  <c r="AU2516" i="2"/>
  <c r="AS2516" i="2"/>
  <c r="AR2516" i="2"/>
  <c r="AQ2516" i="2"/>
  <c r="AO2516" i="2"/>
  <c r="AM2516" i="2"/>
  <c r="AL2516" i="2"/>
  <c r="AK2516" i="2"/>
  <c r="AJ2516" i="2"/>
  <c r="AI2516" i="2"/>
  <c r="AH2516" i="2"/>
  <c r="AG2516" i="2"/>
  <c r="AF2516" i="2"/>
  <c r="AE2516" i="2"/>
  <c r="AD2516" i="2"/>
  <c r="AA2516" i="2"/>
  <c r="Z2516" i="2"/>
  <c r="Y2516" i="2"/>
  <c r="X2516" i="2"/>
  <c r="V2516" i="2"/>
  <c r="U2516" i="2"/>
  <c r="T2516" i="2"/>
  <c r="S2516" i="2"/>
  <c r="R2516" i="2"/>
  <c r="Q2516" i="2"/>
  <c r="P2516" i="2"/>
  <c r="O2516" i="2"/>
  <c r="N2516" i="2"/>
  <c r="K2516" i="2"/>
  <c r="J2516" i="2"/>
  <c r="I2516" i="2"/>
  <c r="H2516" i="2"/>
  <c r="G2516" i="2"/>
  <c r="F2516" i="2"/>
  <c r="E2516" i="2"/>
  <c r="D2516" i="2"/>
  <c r="C2516" i="2"/>
  <c r="B2516" i="2"/>
  <c r="A2516" i="2"/>
  <c r="AX2515" i="2"/>
  <c r="AV2515" i="2"/>
  <c r="AU2515" i="2"/>
  <c r="AS2515" i="2"/>
  <c r="AR2515" i="2"/>
  <c r="AQ2515" i="2"/>
  <c r="AO2515" i="2"/>
  <c r="AM2515" i="2"/>
  <c r="AL2515" i="2"/>
  <c r="AK2515" i="2"/>
  <c r="AJ2515" i="2"/>
  <c r="AI2515" i="2"/>
  <c r="AH2515" i="2"/>
  <c r="AG2515" i="2"/>
  <c r="AF2515" i="2"/>
  <c r="AE2515" i="2"/>
  <c r="AD2515" i="2"/>
  <c r="AA2515" i="2"/>
  <c r="Z2515" i="2"/>
  <c r="Y2515" i="2"/>
  <c r="X2515" i="2"/>
  <c r="V2515" i="2"/>
  <c r="U2515" i="2"/>
  <c r="T2515" i="2"/>
  <c r="S2515" i="2"/>
  <c r="R2515" i="2"/>
  <c r="Q2515" i="2"/>
  <c r="P2515" i="2"/>
  <c r="O2515" i="2"/>
  <c r="N2515" i="2"/>
  <c r="K2515" i="2"/>
  <c r="J2515" i="2"/>
  <c r="I2515" i="2"/>
  <c r="H2515" i="2"/>
  <c r="G2515" i="2"/>
  <c r="F2515" i="2"/>
  <c r="E2515" i="2"/>
  <c r="D2515" i="2"/>
  <c r="C2515" i="2"/>
  <c r="B2515" i="2"/>
  <c r="A2515" i="2"/>
  <c r="AX2514" i="2"/>
  <c r="AV2514" i="2"/>
  <c r="AU2514" i="2"/>
  <c r="AR2514" i="2"/>
  <c r="AQ2514" i="2"/>
  <c r="AO2514" i="2"/>
  <c r="AN2514" i="2"/>
  <c r="AM2514" i="2"/>
  <c r="AL2514" i="2"/>
  <c r="AK2514" i="2"/>
  <c r="AJ2514" i="2"/>
  <c r="AI2514" i="2"/>
  <c r="AH2514" i="2"/>
  <c r="AG2514" i="2"/>
  <c r="AD2514" i="2"/>
  <c r="AC2514" i="2"/>
  <c r="AA2514" i="2"/>
  <c r="Z2514" i="2"/>
  <c r="Y2514" i="2"/>
  <c r="W2514" i="2"/>
  <c r="V2514" i="2"/>
  <c r="U2514" i="2"/>
  <c r="T2514" i="2"/>
  <c r="S2514" i="2"/>
  <c r="R2514" i="2"/>
  <c r="Q2514" i="2"/>
  <c r="P2514" i="2"/>
  <c r="O2514" i="2"/>
  <c r="N2514" i="2"/>
  <c r="K2514" i="2"/>
  <c r="J2514" i="2"/>
  <c r="I2514" i="2"/>
  <c r="H2514" i="2"/>
  <c r="G2514" i="2"/>
  <c r="F2514" i="2"/>
  <c r="E2514" i="2"/>
  <c r="D2514" i="2"/>
  <c r="C2514" i="2"/>
  <c r="B2514" i="2"/>
  <c r="A2514" i="2"/>
  <c r="AX2513" i="2"/>
  <c r="AV2513" i="2"/>
  <c r="AU2513" i="2"/>
  <c r="AS2513" i="2"/>
  <c r="AR2513" i="2"/>
  <c r="AQ2513" i="2"/>
  <c r="AO2513" i="2"/>
  <c r="AL2513" i="2"/>
  <c r="AK2513" i="2"/>
  <c r="AJ2513" i="2"/>
  <c r="AI2513" i="2"/>
  <c r="AH2513" i="2"/>
  <c r="AG2513" i="2"/>
  <c r="AE2513" i="2"/>
  <c r="AD2513" i="2"/>
  <c r="AA2513" i="2"/>
  <c r="Z2513" i="2"/>
  <c r="Y2513" i="2"/>
  <c r="X2513" i="2"/>
  <c r="V2513" i="2"/>
  <c r="U2513" i="2"/>
  <c r="T2513" i="2"/>
  <c r="S2513" i="2"/>
  <c r="R2513" i="2"/>
  <c r="Q2513" i="2"/>
  <c r="P2513" i="2"/>
  <c r="O2513" i="2"/>
  <c r="N2513" i="2"/>
  <c r="K2513" i="2"/>
  <c r="J2513" i="2"/>
  <c r="I2513" i="2"/>
  <c r="H2513" i="2"/>
  <c r="G2513" i="2"/>
  <c r="F2513" i="2"/>
  <c r="E2513" i="2"/>
  <c r="D2513" i="2"/>
  <c r="C2513" i="2"/>
  <c r="B2513" i="2"/>
  <c r="A2513" i="2"/>
  <c r="AX2512" i="2"/>
  <c r="AV2512" i="2"/>
  <c r="AU2512" i="2"/>
  <c r="AS2512" i="2"/>
  <c r="AR2512" i="2"/>
  <c r="AQ2512" i="2"/>
  <c r="AO2512" i="2"/>
  <c r="AM2512" i="2"/>
  <c r="AL2512" i="2"/>
  <c r="AK2512" i="2"/>
  <c r="AJ2512" i="2"/>
  <c r="AI2512" i="2"/>
  <c r="AH2512" i="2"/>
  <c r="AG2512" i="2"/>
  <c r="AF2512" i="2"/>
  <c r="AE2512" i="2"/>
  <c r="AD2512" i="2"/>
  <c r="AA2512" i="2"/>
  <c r="Z2512" i="2"/>
  <c r="Y2512" i="2"/>
  <c r="X2512" i="2"/>
  <c r="W2512" i="2"/>
  <c r="V2512" i="2"/>
  <c r="U2512" i="2"/>
  <c r="T2512" i="2"/>
  <c r="S2512" i="2"/>
  <c r="R2512" i="2"/>
  <c r="Q2512" i="2"/>
  <c r="P2512" i="2"/>
  <c r="O2512" i="2"/>
  <c r="N2512" i="2"/>
  <c r="K2512" i="2"/>
  <c r="J2512" i="2"/>
  <c r="I2512" i="2"/>
  <c r="H2512" i="2"/>
  <c r="G2512" i="2"/>
  <c r="F2512" i="2"/>
  <c r="E2512" i="2"/>
  <c r="D2512" i="2"/>
  <c r="C2512" i="2"/>
  <c r="B2512" i="2"/>
  <c r="A2512" i="2"/>
  <c r="AX2511" i="2"/>
  <c r="AV2511" i="2"/>
  <c r="AU2511" i="2"/>
  <c r="AS2511" i="2"/>
  <c r="AR2511" i="2"/>
  <c r="AQ2511" i="2"/>
  <c r="AO2511" i="2"/>
  <c r="AL2511" i="2"/>
  <c r="AK2511" i="2"/>
  <c r="AJ2511" i="2"/>
  <c r="AI2511" i="2"/>
  <c r="AH2511" i="2"/>
  <c r="AG2511" i="2"/>
  <c r="AF2511" i="2"/>
  <c r="AE2511" i="2"/>
  <c r="AD2511" i="2"/>
  <c r="AA2511" i="2"/>
  <c r="Z2511" i="2"/>
  <c r="Y2511" i="2"/>
  <c r="X2511" i="2"/>
  <c r="W2511" i="2"/>
  <c r="V2511" i="2"/>
  <c r="U2511" i="2"/>
  <c r="T2511" i="2"/>
  <c r="S2511" i="2"/>
  <c r="R2511" i="2"/>
  <c r="Q2511" i="2"/>
  <c r="P2511" i="2"/>
  <c r="O2511" i="2"/>
  <c r="N2511" i="2"/>
  <c r="K2511" i="2"/>
  <c r="J2511" i="2"/>
  <c r="I2511" i="2"/>
  <c r="H2511" i="2"/>
  <c r="G2511" i="2"/>
  <c r="F2511" i="2"/>
  <c r="E2511" i="2"/>
  <c r="D2511" i="2"/>
  <c r="C2511" i="2"/>
  <c r="B2511" i="2"/>
  <c r="A2511" i="2"/>
  <c r="AX2510" i="2"/>
  <c r="AV2510" i="2"/>
  <c r="AU2510" i="2"/>
  <c r="AR2510" i="2"/>
  <c r="AQ2510" i="2"/>
  <c r="AO2510" i="2"/>
  <c r="AL2510" i="2"/>
  <c r="AK2510" i="2"/>
  <c r="AJ2510" i="2"/>
  <c r="AI2510" i="2"/>
  <c r="AH2510" i="2"/>
  <c r="AG2510" i="2"/>
  <c r="AE2510" i="2"/>
  <c r="AA2510" i="2"/>
  <c r="Z2510" i="2"/>
  <c r="Y2510" i="2"/>
  <c r="T2510" i="2"/>
  <c r="S2510" i="2"/>
  <c r="R2510" i="2"/>
  <c r="Q2510" i="2"/>
  <c r="P2510" i="2"/>
  <c r="O2510" i="2"/>
  <c r="N2510" i="2"/>
  <c r="K2510" i="2"/>
  <c r="J2510" i="2"/>
  <c r="I2510" i="2"/>
  <c r="H2510" i="2"/>
  <c r="G2510" i="2"/>
  <c r="F2510" i="2"/>
  <c r="E2510" i="2"/>
  <c r="D2510" i="2"/>
  <c r="C2510" i="2"/>
  <c r="B2510" i="2"/>
  <c r="A2510" i="2"/>
  <c r="AX2509" i="2"/>
  <c r="AV2509" i="2"/>
  <c r="AU2509" i="2"/>
  <c r="AR2509" i="2"/>
  <c r="AQ2509" i="2"/>
  <c r="AO2509" i="2"/>
  <c r="AL2509" i="2"/>
  <c r="AK2509" i="2"/>
  <c r="AJ2509" i="2"/>
  <c r="AI2509" i="2"/>
  <c r="AH2509" i="2"/>
  <c r="AG2509" i="2"/>
  <c r="AF2509" i="2"/>
  <c r="AE2509" i="2"/>
  <c r="AD2509" i="2"/>
  <c r="AA2509" i="2"/>
  <c r="Z2509" i="2"/>
  <c r="Y2509" i="2"/>
  <c r="T2509" i="2"/>
  <c r="S2509" i="2"/>
  <c r="R2509" i="2"/>
  <c r="Q2509" i="2"/>
  <c r="P2509" i="2"/>
  <c r="O2509" i="2"/>
  <c r="N2509" i="2"/>
  <c r="K2509" i="2"/>
  <c r="J2509" i="2"/>
  <c r="I2509" i="2"/>
  <c r="H2509" i="2"/>
  <c r="G2509" i="2"/>
  <c r="F2509" i="2"/>
  <c r="E2509" i="2"/>
  <c r="D2509" i="2"/>
  <c r="C2509" i="2"/>
  <c r="B2509" i="2"/>
  <c r="A2509" i="2"/>
  <c r="AX2508" i="2"/>
  <c r="AV2508" i="2"/>
  <c r="AU2508" i="2"/>
  <c r="AR2508" i="2"/>
  <c r="AQ2508" i="2"/>
  <c r="AO2508" i="2"/>
  <c r="AK2508" i="2"/>
  <c r="AI2508" i="2"/>
  <c r="AH2508" i="2"/>
  <c r="AG2508" i="2"/>
  <c r="AE2508" i="2"/>
  <c r="AA2508" i="2"/>
  <c r="Z2508" i="2"/>
  <c r="Y2508" i="2"/>
  <c r="X2508" i="2"/>
  <c r="W2508" i="2"/>
  <c r="V2508" i="2"/>
  <c r="U2508" i="2"/>
  <c r="T2508" i="2"/>
  <c r="S2508" i="2"/>
  <c r="R2508" i="2"/>
  <c r="Q2508" i="2"/>
  <c r="P2508" i="2"/>
  <c r="O2508" i="2"/>
  <c r="N2508" i="2"/>
  <c r="K2508" i="2"/>
  <c r="J2508" i="2"/>
  <c r="I2508" i="2"/>
  <c r="H2508" i="2"/>
  <c r="G2508" i="2"/>
  <c r="F2508" i="2"/>
  <c r="E2508" i="2"/>
  <c r="D2508" i="2"/>
  <c r="C2508" i="2"/>
  <c r="B2508" i="2"/>
  <c r="A2508" i="2"/>
  <c r="AX2507" i="2"/>
  <c r="AV2507" i="2"/>
  <c r="AU2507" i="2"/>
  <c r="AS2507" i="2"/>
  <c r="AR2507" i="2"/>
  <c r="AQ2507" i="2"/>
  <c r="AP2507" i="2"/>
  <c r="AO2507" i="2"/>
  <c r="AL2507" i="2"/>
  <c r="AK2507" i="2"/>
  <c r="AJ2507" i="2"/>
  <c r="AI2507" i="2"/>
  <c r="AH2507" i="2"/>
  <c r="AG2507" i="2"/>
  <c r="AE2507" i="2"/>
  <c r="AD2507" i="2"/>
  <c r="AA2507" i="2"/>
  <c r="Z2507" i="2"/>
  <c r="Y2507" i="2"/>
  <c r="X2507" i="2"/>
  <c r="W2507" i="2"/>
  <c r="V2507" i="2"/>
  <c r="U2507" i="2"/>
  <c r="T2507" i="2"/>
  <c r="S2507" i="2"/>
  <c r="R2507" i="2"/>
  <c r="Q2507" i="2"/>
  <c r="P2507" i="2"/>
  <c r="O2507" i="2"/>
  <c r="N2507" i="2"/>
  <c r="K2507" i="2"/>
  <c r="J2507" i="2"/>
  <c r="I2507" i="2"/>
  <c r="H2507" i="2"/>
  <c r="G2507" i="2"/>
  <c r="F2507" i="2"/>
  <c r="E2507" i="2"/>
  <c r="D2507" i="2"/>
  <c r="C2507" i="2"/>
  <c r="B2507" i="2"/>
  <c r="A2507" i="2"/>
  <c r="AX2506" i="2"/>
  <c r="AV2506" i="2"/>
  <c r="AU2506" i="2"/>
  <c r="AS2506" i="2"/>
  <c r="AR2506" i="2"/>
  <c r="AQ2506" i="2"/>
  <c r="AO2506" i="2"/>
  <c r="AL2506" i="2"/>
  <c r="AK2506" i="2"/>
  <c r="AJ2506" i="2"/>
  <c r="AI2506" i="2"/>
  <c r="AH2506" i="2"/>
  <c r="AG2506" i="2"/>
  <c r="AE2506" i="2"/>
  <c r="AD2506" i="2"/>
  <c r="AA2506" i="2"/>
  <c r="Z2506" i="2"/>
  <c r="Y2506" i="2"/>
  <c r="X2506" i="2"/>
  <c r="V2506" i="2"/>
  <c r="U2506" i="2"/>
  <c r="T2506" i="2"/>
  <c r="S2506" i="2"/>
  <c r="R2506" i="2"/>
  <c r="Q2506" i="2"/>
  <c r="P2506" i="2"/>
  <c r="O2506" i="2"/>
  <c r="N2506" i="2"/>
  <c r="K2506" i="2"/>
  <c r="J2506" i="2"/>
  <c r="I2506" i="2"/>
  <c r="H2506" i="2"/>
  <c r="G2506" i="2"/>
  <c r="F2506" i="2"/>
  <c r="E2506" i="2"/>
  <c r="D2506" i="2"/>
  <c r="C2506" i="2"/>
  <c r="B2506" i="2"/>
  <c r="A2506" i="2"/>
  <c r="AX2505" i="2"/>
  <c r="AV2505" i="2"/>
  <c r="AU2505" i="2"/>
  <c r="AR2505" i="2"/>
  <c r="AQ2505" i="2"/>
  <c r="AP2505" i="2"/>
  <c r="AM2505" i="2"/>
  <c r="AL2505" i="2"/>
  <c r="AK2505" i="2"/>
  <c r="AI2505" i="2"/>
  <c r="AH2505" i="2"/>
  <c r="AG2505" i="2"/>
  <c r="AE2505" i="2"/>
  <c r="AD2505" i="2"/>
  <c r="AA2505" i="2"/>
  <c r="Z2505" i="2"/>
  <c r="Y2505" i="2"/>
  <c r="X2505" i="2"/>
  <c r="W2505" i="2"/>
  <c r="V2505" i="2"/>
  <c r="U2505" i="2"/>
  <c r="T2505" i="2"/>
  <c r="S2505" i="2"/>
  <c r="R2505" i="2"/>
  <c r="Q2505" i="2"/>
  <c r="P2505" i="2"/>
  <c r="O2505" i="2"/>
  <c r="N2505" i="2"/>
  <c r="K2505" i="2"/>
  <c r="J2505" i="2"/>
  <c r="I2505" i="2"/>
  <c r="H2505" i="2"/>
  <c r="G2505" i="2"/>
  <c r="F2505" i="2"/>
  <c r="E2505" i="2"/>
  <c r="D2505" i="2"/>
  <c r="C2505" i="2"/>
  <c r="B2505" i="2"/>
  <c r="A2505" i="2"/>
  <c r="AX2504" i="2"/>
  <c r="AV2504" i="2"/>
  <c r="AU2504" i="2"/>
  <c r="AR2504" i="2"/>
  <c r="AQ2504" i="2"/>
  <c r="AO2504" i="2"/>
  <c r="AN2504" i="2"/>
  <c r="AM2504" i="2"/>
  <c r="AL2504" i="2"/>
  <c r="AK2504" i="2"/>
  <c r="AJ2504" i="2"/>
  <c r="AI2504" i="2"/>
  <c r="AH2504" i="2"/>
  <c r="AG2504" i="2"/>
  <c r="AE2504" i="2"/>
  <c r="AD2504" i="2"/>
  <c r="AC2504" i="2"/>
  <c r="AA2504" i="2"/>
  <c r="Z2504" i="2"/>
  <c r="Y2504" i="2"/>
  <c r="V2504" i="2"/>
  <c r="U2504" i="2"/>
  <c r="T2504" i="2"/>
  <c r="S2504" i="2"/>
  <c r="R2504" i="2"/>
  <c r="Q2504" i="2"/>
  <c r="P2504" i="2"/>
  <c r="O2504" i="2"/>
  <c r="N2504" i="2"/>
  <c r="K2504" i="2"/>
  <c r="J2504" i="2"/>
  <c r="I2504" i="2"/>
  <c r="H2504" i="2"/>
  <c r="G2504" i="2"/>
  <c r="F2504" i="2"/>
  <c r="E2504" i="2"/>
  <c r="D2504" i="2"/>
  <c r="C2504" i="2"/>
  <c r="B2504" i="2"/>
  <c r="A2504" i="2"/>
  <c r="AX2503" i="2"/>
  <c r="AV2503" i="2"/>
  <c r="AU2503" i="2"/>
  <c r="AR2503" i="2"/>
  <c r="AQ2503" i="2"/>
  <c r="AO2503" i="2"/>
  <c r="AM2503" i="2"/>
  <c r="AL2503" i="2"/>
  <c r="AK2503" i="2"/>
  <c r="AJ2503" i="2"/>
  <c r="AI2503" i="2"/>
  <c r="AH2503" i="2"/>
  <c r="AG2503" i="2"/>
  <c r="AE2503" i="2"/>
  <c r="AD2503" i="2"/>
  <c r="AA2503" i="2"/>
  <c r="Z2503" i="2"/>
  <c r="Y2503" i="2"/>
  <c r="X2503" i="2"/>
  <c r="W2503" i="2"/>
  <c r="V2503" i="2"/>
  <c r="U2503" i="2"/>
  <c r="T2503" i="2"/>
  <c r="S2503" i="2"/>
  <c r="R2503" i="2"/>
  <c r="Q2503" i="2"/>
  <c r="P2503" i="2"/>
  <c r="O2503" i="2"/>
  <c r="N2503" i="2"/>
  <c r="K2503" i="2"/>
  <c r="J2503" i="2"/>
  <c r="I2503" i="2"/>
  <c r="H2503" i="2"/>
  <c r="G2503" i="2"/>
  <c r="F2503" i="2"/>
  <c r="E2503" i="2"/>
  <c r="D2503" i="2"/>
  <c r="C2503" i="2"/>
  <c r="B2503" i="2"/>
  <c r="A2503" i="2"/>
  <c r="AX2502" i="2"/>
  <c r="AV2502" i="2"/>
  <c r="AU2502" i="2"/>
  <c r="AR2502" i="2"/>
  <c r="AQ2502" i="2"/>
  <c r="AO2502" i="2"/>
  <c r="AL2502" i="2"/>
  <c r="AK2502" i="2"/>
  <c r="AJ2502" i="2"/>
  <c r="AI2502" i="2"/>
  <c r="AH2502" i="2"/>
  <c r="AG2502" i="2"/>
  <c r="AE2502" i="2"/>
  <c r="AD2502" i="2"/>
  <c r="AA2502" i="2"/>
  <c r="Z2502" i="2"/>
  <c r="Y2502" i="2"/>
  <c r="X2502" i="2"/>
  <c r="V2502" i="2"/>
  <c r="U2502" i="2"/>
  <c r="T2502" i="2"/>
  <c r="S2502" i="2"/>
  <c r="R2502" i="2"/>
  <c r="Q2502" i="2"/>
  <c r="P2502" i="2"/>
  <c r="O2502" i="2"/>
  <c r="N2502" i="2"/>
  <c r="K2502" i="2"/>
  <c r="J2502" i="2"/>
  <c r="I2502" i="2"/>
  <c r="H2502" i="2"/>
  <c r="G2502" i="2"/>
  <c r="F2502" i="2"/>
  <c r="E2502" i="2"/>
  <c r="D2502" i="2"/>
  <c r="C2502" i="2"/>
  <c r="B2502" i="2"/>
  <c r="A2502" i="2"/>
  <c r="AX2501" i="2"/>
  <c r="AV2501" i="2"/>
  <c r="AU2501" i="2"/>
  <c r="AR2501" i="2"/>
  <c r="AQ2501" i="2"/>
  <c r="AO2501" i="2"/>
  <c r="AL2501" i="2"/>
  <c r="AK2501" i="2"/>
  <c r="AJ2501" i="2"/>
  <c r="AI2501" i="2"/>
  <c r="AH2501" i="2"/>
  <c r="AG2501" i="2"/>
  <c r="AE2501" i="2"/>
  <c r="AD2501" i="2"/>
  <c r="AA2501" i="2"/>
  <c r="Z2501" i="2"/>
  <c r="Y2501" i="2"/>
  <c r="X2501" i="2"/>
  <c r="U2501" i="2"/>
  <c r="T2501" i="2"/>
  <c r="S2501" i="2"/>
  <c r="R2501" i="2"/>
  <c r="Q2501" i="2"/>
  <c r="P2501" i="2"/>
  <c r="O2501" i="2"/>
  <c r="N2501" i="2"/>
  <c r="K2501" i="2"/>
  <c r="J2501" i="2"/>
  <c r="I2501" i="2"/>
  <c r="H2501" i="2"/>
  <c r="G2501" i="2"/>
  <c r="F2501" i="2"/>
  <c r="E2501" i="2"/>
  <c r="D2501" i="2"/>
  <c r="C2501" i="2"/>
  <c r="B2501" i="2"/>
  <c r="A2501" i="2"/>
  <c r="AX2500" i="2"/>
  <c r="AV2500" i="2"/>
  <c r="AU2500" i="2"/>
  <c r="AR2500" i="2"/>
  <c r="AQ2500" i="2"/>
  <c r="AO2500" i="2"/>
  <c r="AL2500" i="2"/>
  <c r="AK2500" i="2"/>
  <c r="AI2500" i="2"/>
  <c r="AH2500" i="2"/>
  <c r="AG2500" i="2"/>
  <c r="AE2500" i="2"/>
  <c r="AA2500" i="2"/>
  <c r="Z2500" i="2"/>
  <c r="Y2500" i="2"/>
  <c r="X2500" i="2"/>
  <c r="V2500" i="2"/>
  <c r="U2500" i="2"/>
  <c r="T2500" i="2"/>
  <c r="S2500" i="2"/>
  <c r="R2500" i="2"/>
  <c r="Q2500" i="2"/>
  <c r="P2500" i="2"/>
  <c r="O2500" i="2"/>
  <c r="N2500" i="2"/>
  <c r="K2500" i="2"/>
  <c r="J2500" i="2"/>
  <c r="I2500" i="2"/>
  <c r="H2500" i="2"/>
  <c r="G2500" i="2"/>
  <c r="F2500" i="2"/>
  <c r="E2500" i="2"/>
  <c r="D2500" i="2"/>
  <c r="C2500" i="2"/>
  <c r="B2500" i="2"/>
  <c r="A2500" i="2"/>
  <c r="AX2499" i="2"/>
  <c r="AV2499" i="2"/>
  <c r="AU2499" i="2"/>
  <c r="AR2499" i="2"/>
  <c r="AQ2499" i="2"/>
  <c r="AO2499" i="2"/>
  <c r="AL2499" i="2"/>
  <c r="AJ2499" i="2"/>
  <c r="AI2499" i="2"/>
  <c r="AH2499" i="2"/>
  <c r="AG2499" i="2"/>
  <c r="AE2499" i="2"/>
  <c r="AD2499" i="2"/>
  <c r="AA2499" i="2"/>
  <c r="Z2499" i="2"/>
  <c r="Y2499" i="2"/>
  <c r="X2499" i="2"/>
  <c r="W2499" i="2"/>
  <c r="V2499" i="2"/>
  <c r="U2499" i="2"/>
  <c r="T2499" i="2"/>
  <c r="S2499" i="2"/>
  <c r="R2499" i="2"/>
  <c r="Q2499" i="2"/>
  <c r="P2499" i="2"/>
  <c r="O2499" i="2"/>
  <c r="N2499" i="2"/>
  <c r="K2499" i="2"/>
  <c r="J2499" i="2"/>
  <c r="I2499" i="2"/>
  <c r="H2499" i="2"/>
  <c r="G2499" i="2"/>
  <c r="F2499" i="2"/>
  <c r="E2499" i="2"/>
  <c r="D2499" i="2"/>
  <c r="C2499" i="2"/>
  <c r="B2499" i="2"/>
  <c r="A2499" i="2"/>
  <c r="AX2498" i="2"/>
  <c r="AV2498" i="2"/>
  <c r="AU2498" i="2"/>
  <c r="AS2498" i="2"/>
  <c r="AR2498" i="2"/>
  <c r="AQ2498" i="2"/>
  <c r="AO2498" i="2"/>
  <c r="AL2498" i="2"/>
  <c r="AK2498" i="2"/>
  <c r="AJ2498" i="2"/>
  <c r="AI2498" i="2"/>
  <c r="AH2498" i="2"/>
  <c r="AG2498" i="2"/>
  <c r="AE2498" i="2"/>
  <c r="AD2498" i="2"/>
  <c r="AA2498" i="2"/>
  <c r="Z2498" i="2"/>
  <c r="Y2498" i="2"/>
  <c r="X2498" i="2"/>
  <c r="W2498" i="2"/>
  <c r="V2498" i="2"/>
  <c r="U2498" i="2"/>
  <c r="T2498" i="2"/>
  <c r="S2498" i="2"/>
  <c r="R2498" i="2"/>
  <c r="Q2498" i="2"/>
  <c r="P2498" i="2"/>
  <c r="O2498" i="2"/>
  <c r="N2498" i="2"/>
  <c r="K2498" i="2"/>
  <c r="J2498" i="2"/>
  <c r="I2498" i="2"/>
  <c r="H2498" i="2"/>
  <c r="G2498" i="2"/>
  <c r="F2498" i="2"/>
  <c r="E2498" i="2"/>
  <c r="D2498" i="2"/>
  <c r="C2498" i="2"/>
  <c r="B2498" i="2"/>
  <c r="A2498" i="2"/>
  <c r="AX2497" i="2"/>
  <c r="AV2497" i="2"/>
  <c r="AU2497" i="2"/>
  <c r="AS2497" i="2"/>
  <c r="AR2497" i="2"/>
  <c r="AQ2497" i="2"/>
  <c r="AO2497" i="2"/>
  <c r="AL2497" i="2"/>
  <c r="AK2497" i="2"/>
  <c r="AJ2497" i="2"/>
  <c r="AI2497" i="2"/>
  <c r="AH2497" i="2"/>
  <c r="AG2497" i="2"/>
  <c r="AE2497" i="2"/>
  <c r="AD2497" i="2"/>
  <c r="AA2497" i="2"/>
  <c r="Z2497" i="2"/>
  <c r="Y2497" i="2"/>
  <c r="X2497" i="2"/>
  <c r="W2497" i="2"/>
  <c r="V2497" i="2"/>
  <c r="U2497" i="2"/>
  <c r="T2497" i="2"/>
  <c r="S2497" i="2"/>
  <c r="R2497" i="2"/>
  <c r="Q2497" i="2"/>
  <c r="P2497" i="2"/>
  <c r="O2497" i="2"/>
  <c r="N2497" i="2"/>
  <c r="K2497" i="2"/>
  <c r="J2497" i="2"/>
  <c r="I2497" i="2"/>
  <c r="H2497" i="2"/>
  <c r="G2497" i="2"/>
  <c r="F2497" i="2"/>
  <c r="E2497" i="2"/>
  <c r="D2497" i="2"/>
  <c r="C2497" i="2"/>
  <c r="B2497" i="2"/>
  <c r="A2497" i="2"/>
  <c r="AX2496" i="2"/>
  <c r="AV2496" i="2"/>
  <c r="AU2496" i="2"/>
  <c r="AS2496" i="2"/>
  <c r="AR2496" i="2"/>
  <c r="AQ2496" i="2"/>
  <c r="AO2496" i="2"/>
  <c r="AL2496" i="2"/>
  <c r="AK2496" i="2"/>
  <c r="AJ2496" i="2"/>
  <c r="AI2496" i="2"/>
  <c r="AH2496" i="2"/>
  <c r="AG2496" i="2"/>
  <c r="AE2496" i="2"/>
  <c r="AD2496" i="2"/>
  <c r="AA2496" i="2"/>
  <c r="Z2496" i="2"/>
  <c r="Y2496" i="2"/>
  <c r="X2496" i="2"/>
  <c r="V2496" i="2"/>
  <c r="U2496" i="2"/>
  <c r="T2496" i="2"/>
  <c r="S2496" i="2"/>
  <c r="R2496" i="2"/>
  <c r="Q2496" i="2"/>
  <c r="P2496" i="2"/>
  <c r="O2496" i="2"/>
  <c r="N2496" i="2"/>
  <c r="K2496" i="2"/>
  <c r="J2496" i="2"/>
  <c r="I2496" i="2"/>
  <c r="H2496" i="2"/>
  <c r="G2496" i="2"/>
  <c r="F2496" i="2"/>
  <c r="E2496" i="2"/>
  <c r="D2496" i="2"/>
  <c r="C2496" i="2"/>
  <c r="B2496" i="2"/>
  <c r="A2496" i="2"/>
  <c r="AX2495" i="2"/>
  <c r="AV2495" i="2"/>
  <c r="AU2495" i="2"/>
  <c r="AS2495" i="2"/>
  <c r="AR2495" i="2"/>
  <c r="AQ2495" i="2"/>
  <c r="AO2495" i="2"/>
  <c r="AN2495" i="2"/>
  <c r="AM2495" i="2"/>
  <c r="AL2495" i="2"/>
  <c r="AK2495" i="2"/>
  <c r="AJ2495" i="2"/>
  <c r="AI2495" i="2"/>
  <c r="AH2495" i="2"/>
  <c r="AG2495" i="2"/>
  <c r="AE2495" i="2"/>
  <c r="AD2495" i="2"/>
  <c r="AC2495" i="2"/>
  <c r="AA2495" i="2"/>
  <c r="Z2495" i="2"/>
  <c r="Y2495" i="2"/>
  <c r="W2495" i="2"/>
  <c r="V2495" i="2"/>
  <c r="U2495" i="2"/>
  <c r="T2495" i="2"/>
  <c r="S2495" i="2"/>
  <c r="R2495" i="2"/>
  <c r="Q2495" i="2"/>
  <c r="P2495" i="2"/>
  <c r="O2495" i="2"/>
  <c r="N2495" i="2"/>
  <c r="M2495" i="2"/>
  <c r="K2495" i="2"/>
  <c r="J2495" i="2"/>
  <c r="I2495" i="2"/>
  <c r="H2495" i="2"/>
  <c r="G2495" i="2"/>
  <c r="F2495" i="2"/>
  <c r="E2495" i="2"/>
  <c r="D2495" i="2"/>
  <c r="C2495" i="2"/>
  <c r="B2495" i="2"/>
  <c r="A2495" i="2"/>
  <c r="AX2494" i="2"/>
  <c r="AV2494" i="2"/>
  <c r="AU2494" i="2"/>
  <c r="AR2494" i="2"/>
  <c r="AQ2494" i="2"/>
  <c r="AO2494" i="2"/>
  <c r="AN2494" i="2"/>
  <c r="AM2494" i="2"/>
  <c r="AL2494" i="2"/>
  <c r="AK2494" i="2"/>
  <c r="AI2494" i="2"/>
  <c r="AH2494" i="2"/>
  <c r="AG2494" i="2"/>
  <c r="AE2494" i="2"/>
  <c r="AD2494" i="2"/>
  <c r="AC2494" i="2"/>
  <c r="AA2494" i="2"/>
  <c r="Z2494" i="2"/>
  <c r="Y2494" i="2"/>
  <c r="X2494" i="2"/>
  <c r="W2494" i="2"/>
  <c r="V2494" i="2"/>
  <c r="U2494" i="2"/>
  <c r="T2494" i="2"/>
  <c r="S2494" i="2"/>
  <c r="R2494" i="2"/>
  <c r="Q2494" i="2"/>
  <c r="P2494" i="2"/>
  <c r="O2494" i="2"/>
  <c r="N2494" i="2"/>
  <c r="M2494" i="2"/>
  <c r="K2494" i="2"/>
  <c r="J2494" i="2"/>
  <c r="I2494" i="2"/>
  <c r="H2494" i="2"/>
  <c r="G2494" i="2"/>
  <c r="F2494" i="2"/>
  <c r="E2494" i="2"/>
  <c r="D2494" i="2"/>
  <c r="C2494" i="2"/>
  <c r="B2494" i="2"/>
  <c r="A2494" i="2"/>
  <c r="AX2493" i="2"/>
  <c r="AV2493" i="2"/>
  <c r="AU2493" i="2"/>
  <c r="AS2493" i="2"/>
  <c r="AR2493" i="2"/>
  <c r="AQ2493" i="2"/>
  <c r="AO2493" i="2"/>
  <c r="AL2493" i="2"/>
  <c r="AK2493" i="2"/>
  <c r="AJ2493" i="2"/>
  <c r="AI2493" i="2"/>
  <c r="AH2493" i="2"/>
  <c r="AG2493" i="2"/>
  <c r="AE2493" i="2"/>
  <c r="AD2493" i="2"/>
  <c r="AA2493" i="2"/>
  <c r="Z2493" i="2"/>
  <c r="Y2493" i="2"/>
  <c r="X2493" i="2"/>
  <c r="W2493" i="2"/>
  <c r="V2493" i="2"/>
  <c r="U2493" i="2"/>
  <c r="T2493" i="2"/>
  <c r="S2493" i="2"/>
  <c r="R2493" i="2"/>
  <c r="Q2493" i="2"/>
  <c r="P2493" i="2"/>
  <c r="O2493" i="2"/>
  <c r="N2493" i="2"/>
  <c r="K2493" i="2"/>
  <c r="J2493" i="2"/>
  <c r="I2493" i="2"/>
  <c r="H2493" i="2"/>
  <c r="G2493" i="2"/>
  <c r="F2493" i="2"/>
  <c r="E2493" i="2"/>
  <c r="D2493" i="2"/>
  <c r="C2493" i="2"/>
  <c r="B2493" i="2"/>
  <c r="A2493" i="2"/>
  <c r="AX2492" i="2"/>
  <c r="AV2492" i="2"/>
  <c r="AU2492" i="2"/>
  <c r="AS2492" i="2"/>
  <c r="AR2492" i="2"/>
  <c r="AQ2492" i="2"/>
  <c r="AO2492" i="2"/>
  <c r="AL2492" i="2"/>
  <c r="AK2492" i="2"/>
  <c r="AI2492" i="2"/>
  <c r="AH2492" i="2"/>
  <c r="AG2492" i="2"/>
  <c r="AE2492" i="2"/>
  <c r="AD2492" i="2"/>
  <c r="AA2492" i="2"/>
  <c r="Z2492" i="2"/>
  <c r="Y2492" i="2"/>
  <c r="X2492" i="2"/>
  <c r="W2492" i="2"/>
  <c r="V2492" i="2"/>
  <c r="U2492" i="2"/>
  <c r="T2492" i="2"/>
  <c r="S2492" i="2"/>
  <c r="R2492" i="2"/>
  <c r="Q2492" i="2"/>
  <c r="P2492" i="2"/>
  <c r="O2492" i="2"/>
  <c r="N2492" i="2"/>
  <c r="K2492" i="2"/>
  <c r="J2492" i="2"/>
  <c r="I2492" i="2"/>
  <c r="H2492" i="2"/>
  <c r="G2492" i="2"/>
  <c r="F2492" i="2"/>
  <c r="E2492" i="2"/>
  <c r="D2492" i="2"/>
  <c r="C2492" i="2"/>
  <c r="B2492" i="2"/>
  <c r="A2492" i="2"/>
  <c r="AX2491" i="2"/>
  <c r="AV2491" i="2"/>
  <c r="AU2491" i="2"/>
  <c r="AS2491" i="2"/>
  <c r="AR2491" i="2"/>
  <c r="AQ2491" i="2"/>
  <c r="AO2491" i="2"/>
  <c r="AL2491" i="2"/>
  <c r="AK2491" i="2"/>
  <c r="AJ2491" i="2"/>
  <c r="AI2491" i="2"/>
  <c r="AH2491" i="2"/>
  <c r="AG2491" i="2"/>
  <c r="AF2491" i="2"/>
  <c r="AE2491" i="2"/>
  <c r="AD2491" i="2"/>
  <c r="AA2491" i="2"/>
  <c r="Z2491" i="2"/>
  <c r="Y2491" i="2"/>
  <c r="X2491" i="2"/>
  <c r="W2491" i="2"/>
  <c r="V2491" i="2"/>
  <c r="U2491" i="2"/>
  <c r="T2491" i="2"/>
  <c r="S2491" i="2"/>
  <c r="R2491" i="2"/>
  <c r="Q2491" i="2"/>
  <c r="P2491" i="2"/>
  <c r="O2491" i="2"/>
  <c r="N2491" i="2"/>
  <c r="K2491" i="2"/>
  <c r="J2491" i="2"/>
  <c r="I2491" i="2"/>
  <c r="H2491" i="2"/>
  <c r="G2491" i="2"/>
  <c r="F2491" i="2"/>
  <c r="E2491" i="2"/>
  <c r="D2491" i="2"/>
  <c r="C2491" i="2"/>
  <c r="B2491" i="2"/>
  <c r="A2491" i="2"/>
  <c r="AX2490" i="2"/>
  <c r="AV2490" i="2"/>
  <c r="AU2490" i="2"/>
  <c r="AR2490" i="2"/>
  <c r="AQ2490" i="2"/>
  <c r="AO2490" i="2"/>
  <c r="AN2490" i="2"/>
  <c r="AM2490" i="2"/>
  <c r="AL2490" i="2"/>
  <c r="AK2490" i="2"/>
  <c r="AJ2490" i="2"/>
  <c r="AI2490" i="2"/>
  <c r="AH2490" i="2"/>
  <c r="AG2490" i="2"/>
  <c r="AF2490" i="2"/>
  <c r="AE2490" i="2"/>
  <c r="AD2490" i="2"/>
  <c r="AA2490" i="2"/>
  <c r="Z2490" i="2"/>
  <c r="Y2490" i="2"/>
  <c r="W2490" i="2"/>
  <c r="V2490" i="2"/>
  <c r="U2490" i="2"/>
  <c r="T2490" i="2"/>
  <c r="S2490" i="2"/>
  <c r="R2490" i="2"/>
  <c r="Q2490" i="2"/>
  <c r="P2490" i="2"/>
  <c r="O2490" i="2"/>
  <c r="N2490" i="2"/>
  <c r="K2490" i="2"/>
  <c r="J2490" i="2"/>
  <c r="I2490" i="2"/>
  <c r="H2490" i="2"/>
  <c r="G2490" i="2"/>
  <c r="F2490" i="2"/>
  <c r="E2490" i="2"/>
  <c r="D2490" i="2"/>
  <c r="C2490" i="2"/>
  <c r="B2490" i="2"/>
  <c r="A2490" i="2"/>
  <c r="AX2489" i="2"/>
  <c r="AV2489" i="2"/>
  <c r="AU2489" i="2"/>
  <c r="AS2489" i="2"/>
  <c r="AR2489" i="2"/>
  <c r="AQ2489" i="2"/>
  <c r="AO2489" i="2"/>
  <c r="AL2489" i="2"/>
  <c r="AK2489" i="2"/>
  <c r="AJ2489" i="2"/>
  <c r="AI2489" i="2"/>
  <c r="AH2489" i="2"/>
  <c r="AG2489" i="2"/>
  <c r="AE2489" i="2"/>
  <c r="AD2489" i="2"/>
  <c r="AA2489" i="2"/>
  <c r="Z2489" i="2"/>
  <c r="Y2489" i="2"/>
  <c r="X2489" i="2"/>
  <c r="W2489" i="2"/>
  <c r="V2489" i="2"/>
  <c r="U2489" i="2"/>
  <c r="T2489" i="2"/>
  <c r="S2489" i="2"/>
  <c r="R2489" i="2"/>
  <c r="Q2489" i="2"/>
  <c r="P2489" i="2"/>
  <c r="O2489" i="2"/>
  <c r="N2489" i="2"/>
  <c r="K2489" i="2"/>
  <c r="J2489" i="2"/>
  <c r="I2489" i="2"/>
  <c r="H2489" i="2"/>
  <c r="G2489" i="2"/>
  <c r="F2489" i="2"/>
  <c r="E2489" i="2"/>
  <c r="D2489" i="2"/>
  <c r="C2489" i="2"/>
  <c r="B2489" i="2"/>
  <c r="A2489" i="2"/>
  <c r="AX2488" i="2"/>
  <c r="AV2488" i="2"/>
  <c r="AU2488" i="2"/>
  <c r="AS2488" i="2"/>
  <c r="AR2488" i="2"/>
  <c r="AQ2488" i="2"/>
  <c r="AO2488" i="2"/>
  <c r="AL2488" i="2"/>
  <c r="AK2488" i="2"/>
  <c r="AJ2488" i="2"/>
  <c r="AI2488" i="2"/>
  <c r="AH2488" i="2"/>
  <c r="AG2488" i="2"/>
  <c r="AE2488" i="2"/>
  <c r="AD2488" i="2"/>
  <c r="AA2488" i="2"/>
  <c r="Z2488" i="2"/>
  <c r="Y2488" i="2"/>
  <c r="X2488" i="2"/>
  <c r="W2488" i="2"/>
  <c r="V2488" i="2"/>
  <c r="U2488" i="2"/>
  <c r="T2488" i="2"/>
  <c r="S2488" i="2"/>
  <c r="R2488" i="2"/>
  <c r="Q2488" i="2"/>
  <c r="P2488" i="2"/>
  <c r="O2488" i="2"/>
  <c r="N2488" i="2"/>
  <c r="K2488" i="2"/>
  <c r="J2488" i="2"/>
  <c r="I2488" i="2"/>
  <c r="H2488" i="2"/>
  <c r="G2488" i="2"/>
  <c r="F2488" i="2"/>
  <c r="E2488" i="2"/>
  <c r="D2488" i="2"/>
  <c r="C2488" i="2"/>
  <c r="B2488" i="2"/>
  <c r="A2488" i="2"/>
  <c r="AX2487" i="2"/>
  <c r="AV2487" i="2"/>
  <c r="AU2487" i="2"/>
  <c r="AS2487" i="2"/>
  <c r="AR2487" i="2"/>
  <c r="AQ2487" i="2"/>
  <c r="AO2487" i="2"/>
  <c r="AL2487" i="2"/>
  <c r="AK2487" i="2"/>
  <c r="AJ2487" i="2"/>
  <c r="AI2487" i="2"/>
  <c r="AH2487" i="2"/>
  <c r="AG2487" i="2"/>
  <c r="AE2487" i="2"/>
  <c r="AD2487" i="2"/>
  <c r="AA2487" i="2"/>
  <c r="Z2487" i="2"/>
  <c r="Y2487" i="2"/>
  <c r="X2487" i="2"/>
  <c r="W2487" i="2"/>
  <c r="U2487" i="2"/>
  <c r="T2487" i="2"/>
  <c r="S2487" i="2"/>
  <c r="R2487" i="2"/>
  <c r="Q2487" i="2"/>
  <c r="P2487" i="2"/>
  <c r="O2487" i="2"/>
  <c r="N2487" i="2"/>
  <c r="K2487" i="2"/>
  <c r="J2487" i="2"/>
  <c r="I2487" i="2"/>
  <c r="H2487" i="2"/>
  <c r="G2487" i="2"/>
  <c r="F2487" i="2"/>
  <c r="E2487" i="2"/>
  <c r="D2487" i="2"/>
  <c r="C2487" i="2"/>
  <c r="B2487" i="2"/>
  <c r="A2487" i="2"/>
  <c r="AX2486" i="2"/>
  <c r="AV2486" i="2"/>
  <c r="AU2486" i="2"/>
  <c r="AS2486" i="2"/>
  <c r="AR2486" i="2"/>
  <c r="AQ2486" i="2"/>
  <c r="AO2486" i="2"/>
  <c r="AN2486" i="2"/>
  <c r="AM2486" i="2"/>
  <c r="AL2486" i="2"/>
  <c r="AK2486" i="2"/>
  <c r="AJ2486" i="2"/>
  <c r="AI2486" i="2"/>
  <c r="AH2486" i="2"/>
  <c r="AG2486" i="2"/>
  <c r="AE2486" i="2"/>
  <c r="AD2486" i="2"/>
  <c r="AA2486" i="2"/>
  <c r="Z2486" i="2"/>
  <c r="Y2486" i="2"/>
  <c r="X2486" i="2"/>
  <c r="U2486" i="2"/>
  <c r="T2486" i="2"/>
  <c r="S2486" i="2"/>
  <c r="R2486" i="2"/>
  <c r="Q2486" i="2"/>
  <c r="P2486" i="2"/>
  <c r="O2486" i="2"/>
  <c r="N2486" i="2"/>
  <c r="K2486" i="2"/>
  <c r="J2486" i="2"/>
  <c r="I2486" i="2"/>
  <c r="H2486" i="2"/>
  <c r="G2486" i="2"/>
  <c r="F2486" i="2"/>
  <c r="E2486" i="2"/>
  <c r="D2486" i="2"/>
  <c r="C2486" i="2"/>
  <c r="B2486" i="2"/>
  <c r="A2486" i="2"/>
  <c r="AX2485" i="2"/>
  <c r="AV2485" i="2"/>
  <c r="AU2485" i="2"/>
  <c r="AM2485" i="2"/>
  <c r="AL2485" i="2"/>
  <c r="AK2485" i="2"/>
  <c r="AI2485" i="2"/>
  <c r="AH2485" i="2"/>
  <c r="AG2485" i="2"/>
  <c r="Z2485" i="2"/>
  <c r="Y2485" i="2"/>
  <c r="X2485" i="2"/>
  <c r="U2485" i="2"/>
  <c r="T2485" i="2"/>
  <c r="S2485" i="2"/>
  <c r="R2485" i="2"/>
  <c r="Q2485" i="2"/>
  <c r="P2485" i="2"/>
  <c r="O2485" i="2"/>
  <c r="N2485" i="2"/>
  <c r="M2485" i="2"/>
  <c r="K2485" i="2"/>
  <c r="J2485" i="2"/>
  <c r="I2485" i="2"/>
  <c r="H2485" i="2"/>
  <c r="G2485" i="2"/>
  <c r="F2485" i="2"/>
  <c r="E2485" i="2"/>
  <c r="D2485" i="2"/>
  <c r="C2485" i="2"/>
  <c r="B2485" i="2"/>
  <c r="A2485" i="2"/>
  <c r="AX2484" i="2"/>
  <c r="AV2484" i="2"/>
  <c r="AU2484" i="2"/>
  <c r="AN2484" i="2"/>
  <c r="AM2484" i="2"/>
  <c r="AL2484" i="2"/>
  <c r="AK2484" i="2"/>
  <c r="AJ2484" i="2"/>
  <c r="AI2484" i="2"/>
  <c r="AH2484" i="2"/>
  <c r="AG2484" i="2"/>
  <c r="AE2484" i="2"/>
  <c r="AD2484" i="2"/>
  <c r="AC2484" i="2"/>
  <c r="AA2484" i="2"/>
  <c r="Z2484" i="2"/>
  <c r="Y2484" i="2"/>
  <c r="X2484" i="2"/>
  <c r="W2484" i="2"/>
  <c r="V2484" i="2"/>
  <c r="U2484" i="2"/>
  <c r="T2484" i="2"/>
  <c r="S2484" i="2"/>
  <c r="R2484" i="2"/>
  <c r="Q2484" i="2"/>
  <c r="P2484" i="2"/>
  <c r="O2484" i="2"/>
  <c r="N2484" i="2"/>
  <c r="M2484" i="2"/>
  <c r="L2484" i="2"/>
  <c r="K2484" i="2"/>
  <c r="J2484" i="2"/>
  <c r="I2484" i="2"/>
  <c r="H2484" i="2"/>
  <c r="G2484" i="2"/>
  <c r="F2484" i="2"/>
  <c r="E2484" i="2"/>
  <c r="D2484" i="2"/>
  <c r="C2484" i="2"/>
  <c r="B2484" i="2"/>
  <c r="A2484" i="2"/>
  <c r="AX2483" i="2"/>
  <c r="AV2483" i="2"/>
  <c r="AU2483" i="2"/>
  <c r="AS2483" i="2"/>
  <c r="AQ2483" i="2"/>
  <c r="AO2483" i="2"/>
  <c r="AN2483" i="2"/>
  <c r="AM2483" i="2"/>
  <c r="AL2483" i="2"/>
  <c r="AK2483" i="2"/>
  <c r="AI2483" i="2"/>
  <c r="AH2483" i="2"/>
  <c r="AG2483" i="2"/>
  <c r="AE2483" i="2"/>
  <c r="AD2483" i="2"/>
  <c r="AC2483" i="2"/>
  <c r="AB2483" i="2"/>
  <c r="AA2483" i="2"/>
  <c r="Z2483" i="2"/>
  <c r="Y2483" i="2"/>
  <c r="X2483" i="2"/>
  <c r="W2483" i="2"/>
  <c r="V2483" i="2"/>
  <c r="U2483" i="2"/>
  <c r="T2483" i="2"/>
  <c r="S2483" i="2"/>
  <c r="R2483" i="2"/>
  <c r="Q2483" i="2"/>
  <c r="P2483" i="2"/>
  <c r="O2483" i="2"/>
  <c r="N2483" i="2"/>
  <c r="M2483" i="2"/>
  <c r="L2483" i="2"/>
  <c r="K2483" i="2"/>
  <c r="J2483" i="2"/>
  <c r="I2483" i="2"/>
  <c r="H2483" i="2"/>
  <c r="G2483" i="2"/>
  <c r="F2483" i="2"/>
  <c r="E2483" i="2"/>
  <c r="D2483" i="2"/>
  <c r="C2483" i="2"/>
  <c r="B2483" i="2"/>
  <c r="A2483" i="2"/>
  <c r="AX2482" i="2"/>
  <c r="AV2482" i="2"/>
  <c r="AU2482" i="2"/>
  <c r="AS2482" i="2"/>
  <c r="AR2482" i="2"/>
  <c r="AQ2482" i="2"/>
  <c r="AO2482" i="2"/>
  <c r="AL2482" i="2"/>
  <c r="AK2482" i="2"/>
  <c r="AJ2482" i="2"/>
  <c r="AI2482" i="2"/>
  <c r="AH2482" i="2"/>
  <c r="AG2482" i="2"/>
  <c r="AE2482" i="2"/>
  <c r="AA2482" i="2"/>
  <c r="Z2482" i="2"/>
  <c r="Y2482" i="2"/>
  <c r="X2482" i="2"/>
  <c r="W2482" i="2"/>
  <c r="V2482" i="2"/>
  <c r="U2482" i="2"/>
  <c r="T2482" i="2"/>
  <c r="S2482" i="2"/>
  <c r="R2482" i="2"/>
  <c r="Q2482" i="2"/>
  <c r="P2482" i="2"/>
  <c r="O2482" i="2"/>
  <c r="N2482" i="2"/>
  <c r="K2482" i="2"/>
  <c r="J2482" i="2"/>
  <c r="I2482" i="2"/>
  <c r="H2482" i="2"/>
  <c r="G2482" i="2"/>
  <c r="F2482" i="2"/>
  <c r="E2482" i="2"/>
  <c r="D2482" i="2"/>
  <c r="C2482" i="2"/>
  <c r="B2482" i="2"/>
  <c r="A2482" i="2"/>
  <c r="AX2481" i="2"/>
  <c r="AV2481" i="2"/>
  <c r="AU2481" i="2"/>
  <c r="AR2481" i="2"/>
  <c r="AQ2481" i="2"/>
  <c r="AO2481" i="2"/>
  <c r="AN2481" i="2"/>
  <c r="AM2481" i="2"/>
  <c r="AL2481" i="2"/>
  <c r="AK2481" i="2"/>
  <c r="AJ2481" i="2"/>
  <c r="AI2481" i="2"/>
  <c r="AH2481" i="2"/>
  <c r="AG2481" i="2"/>
  <c r="AE2481" i="2"/>
  <c r="AD2481" i="2"/>
  <c r="AA2481" i="2"/>
  <c r="Z2481" i="2"/>
  <c r="Y2481" i="2"/>
  <c r="X2481" i="2"/>
  <c r="W2481" i="2"/>
  <c r="V2481" i="2"/>
  <c r="U2481" i="2"/>
  <c r="T2481" i="2"/>
  <c r="S2481" i="2"/>
  <c r="R2481" i="2"/>
  <c r="Q2481" i="2"/>
  <c r="P2481" i="2"/>
  <c r="O2481" i="2"/>
  <c r="N2481" i="2"/>
  <c r="K2481" i="2"/>
  <c r="J2481" i="2"/>
  <c r="I2481" i="2"/>
  <c r="H2481" i="2"/>
  <c r="G2481" i="2"/>
  <c r="F2481" i="2"/>
  <c r="E2481" i="2"/>
  <c r="D2481" i="2"/>
  <c r="C2481" i="2"/>
  <c r="B2481" i="2"/>
  <c r="A2481" i="2"/>
  <c r="AX2480" i="2"/>
  <c r="AV2480" i="2"/>
  <c r="AU2480" i="2"/>
  <c r="AR2480" i="2"/>
  <c r="AQ2480" i="2"/>
  <c r="AO2480" i="2"/>
  <c r="AL2480" i="2"/>
  <c r="AK2480" i="2"/>
  <c r="AJ2480" i="2"/>
  <c r="AI2480" i="2"/>
  <c r="AH2480" i="2"/>
  <c r="AG2480" i="2"/>
  <c r="AE2480" i="2"/>
  <c r="AD2480" i="2"/>
  <c r="AA2480" i="2"/>
  <c r="Z2480" i="2"/>
  <c r="Y2480" i="2"/>
  <c r="X2480" i="2"/>
  <c r="V2480" i="2"/>
  <c r="U2480" i="2"/>
  <c r="T2480" i="2"/>
  <c r="S2480" i="2"/>
  <c r="R2480" i="2"/>
  <c r="Q2480" i="2"/>
  <c r="P2480" i="2"/>
  <c r="O2480" i="2"/>
  <c r="N2480" i="2"/>
  <c r="K2480" i="2"/>
  <c r="J2480" i="2"/>
  <c r="I2480" i="2"/>
  <c r="H2480" i="2"/>
  <c r="G2480" i="2"/>
  <c r="F2480" i="2"/>
  <c r="E2480" i="2"/>
  <c r="D2480" i="2"/>
  <c r="C2480" i="2"/>
  <c r="B2480" i="2"/>
  <c r="A2480" i="2"/>
  <c r="AX2479" i="2"/>
  <c r="AV2479" i="2"/>
  <c r="AU2479" i="2"/>
  <c r="AR2479" i="2"/>
  <c r="AQ2479" i="2"/>
  <c r="AO2479" i="2"/>
  <c r="AL2479" i="2"/>
  <c r="AK2479" i="2"/>
  <c r="AJ2479" i="2"/>
  <c r="AI2479" i="2"/>
  <c r="AH2479" i="2"/>
  <c r="AG2479" i="2"/>
  <c r="AF2479" i="2"/>
  <c r="AE2479" i="2"/>
  <c r="AD2479" i="2"/>
  <c r="AA2479" i="2"/>
  <c r="Z2479" i="2"/>
  <c r="Y2479" i="2"/>
  <c r="X2479" i="2"/>
  <c r="W2479" i="2"/>
  <c r="V2479" i="2"/>
  <c r="U2479" i="2"/>
  <c r="T2479" i="2"/>
  <c r="S2479" i="2"/>
  <c r="R2479" i="2"/>
  <c r="Q2479" i="2"/>
  <c r="P2479" i="2"/>
  <c r="O2479" i="2"/>
  <c r="N2479" i="2"/>
  <c r="K2479" i="2"/>
  <c r="J2479" i="2"/>
  <c r="I2479" i="2"/>
  <c r="H2479" i="2"/>
  <c r="G2479" i="2"/>
  <c r="F2479" i="2"/>
  <c r="E2479" i="2"/>
  <c r="D2479" i="2"/>
  <c r="C2479" i="2"/>
  <c r="B2479" i="2"/>
  <c r="A2479" i="2"/>
  <c r="AX2478" i="2"/>
  <c r="AV2478" i="2"/>
  <c r="AU2478" i="2"/>
  <c r="AR2478" i="2"/>
  <c r="AQ2478" i="2"/>
  <c r="AO2478" i="2"/>
  <c r="AL2478" i="2"/>
  <c r="AK2478" i="2"/>
  <c r="AJ2478" i="2"/>
  <c r="AI2478" i="2"/>
  <c r="AH2478" i="2"/>
  <c r="AG2478" i="2"/>
  <c r="AE2478" i="2"/>
  <c r="AD2478" i="2"/>
  <c r="AA2478" i="2"/>
  <c r="Z2478" i="2"/>
  <c r="Y2478" i="2"/>
  <c r="X2478" i="2"/>
  <c r="V2478" i="2"/>
  <c r="U2478" i="2"/>
  <c r="T2478" i="2"/>
  <c r="S2478" i="2"/>
  <c r="R2478" i="2"/>
  <c r="Q2478" i="2"/>
  <c r="P2478" i="2"/>
  <c r="O2478" i="2"/>
  <c r="N2478" i="2"/>
  <c r="K2478" i="2"/>
  <c r="J2478" i="2"/>
  <c r="I2478" i="2"/>
  <c r="H2478" i="2"/>
  <c r="G2478" i="2"/>
  <c r="F2478" i="2"/>
  <c r="E2478" i="2"/>
  <c r="D2478" i="2"/>
  <c r="C2478" i="2"/>
  <c r="B2478" i="2"/>
  <c r="A2478" i="2"/>
  <c r="AX2477" i="2"/>
  <c r="AV2477" i="2"/>
  <c r="AU2477" i="2"/>
  <c r="AS2477" i="2"/>
  <c r="AR2477" i="2"/>
  <c r="AQ2477" i="2"/>
  <c r="AO2477" i="2"/>
  <c r="AL2477" i="2"/>
  <c r="AK2477" i="2"/>
  <c r="AJ2477" i="2"/>
  <c r="AI2477" i="2"/>
  <c r="AH2477" i="2"/>
  <c r="AG2477" i="2"/>
  <c r="AE2477" i="2"/>
  <c r="AD2477" i="2"/>
  <c r="AA2477" i="2"/>
  <c r="Z2477" i="2"/>
  <c r="Y2477" i="2"/>
  <c r="X2477" i="2"/>
  <c r="W2477" i="2"/>
  <c r="V2477" i="2"/>
  <c r="U2477" i="2"/>
  <c r="T2477" i="2"/>
  <c r="S2477" i="2"/>
  <c r="R2477" i="2"/>
  <c r="Q2477" i="2"/>
  <c r="P2477" i="2"/>
  <c r="O2477" i="2"/>
  <c r="N2477" i="2"/>
  <c r="K2477" i="2"/>
  <c r="J2477" i="2"/>
  <c r="I2477" i="2"/>
  <c r="H2477" i="2"/>
  <c r="G2477" i="2"/>
  <c r="F2477" i="2"/>
  <c r="E2477" i="2"/>
  <c r="D2477" i="2"/>
  <c r="C2477" i="2"/>
  <c r="B2477" i="2"/>
  <c r="A2477" i="2"/>
  <c r="AX2476" i="2"/>
  <c r="AV2476" i="2"/>
  <c r="AU2476" i="2"/>
  <c r="AS2476" i="2"/>
  <c r="AR2476" i="2"/>
  <c r="AQ2476" i="2"/>
  <c r="AO2476" i="2"/>
  <c r="AL2476" i="2"/>
  <c r="AK2476" i="2"/>
  <c r="AJ2476" i="2"/>
  <c r="AI2476" i="2"/>
  <c r="AH2476" i="2"/>
  <c r="AG2476" i="2"/>
  <c r="AE2476" i="2"/>
  <c r="AD2476" i="2"/>
  <c r="AA2476" i="2"/>
  <c r="Z2476" i="2"/>
  <c r="Y2476" i="2"/>
  <c r="X2476" i="2"/>
  <c r="W2476" i="2"/>
  <c r="V2476" i="2"/>
  <c r="U2476" i="2"/>
  <c r="T2476" i="2"/>
  <c r="S2476" i="2"/>
  <c r="R2476" i="2"/>
  <c r="Q2476" i="2"/>
  <c r="P2476" i="2"/>
  <c r="O2476" i="2"/>
  <c r="N2476" i="2"/>
  <c r="K2476" i="2"/>
  <c r="J2476" i="2"/>
  <c r="I2476" i="2"/>
  <c r="H2476" i="2"/>
  <c r="G2476" i="2"/>
  <c r="F2476" i="2"/>
  <c r="E2476" i="2"/>
  <c r="D2476" i="2"/>
  <c r="C2476" i="2"/>
  <c r="B2476" i="2"/>
  <c r="A2476" i="2"/>
  <c r="AX2475" i="2"/>
  <c r="AV2475" i="2"/>
  <c r="AU2475" i="2"/>
  <c r="AS2475" i="2"/>
  <c r="AR2475" i="2"/>
  <c r="AQ2475" i="2"/>
  <c r="AO2475" i="2"/>
  <c r="AL2475" i="2"/>
  <c r="AK2475" i="2"/>
  <c r="AJ2475" i="2"/>
  <c r="AI2475" i="2"/>
  <c r="AH2475" i="2"/>
  <c r="AG2475" i="2"/>
  <c r="AE2475" i="2"/>
  <c r="AD2475" i="2"/>
  <c r="AA2475" i="2"/>
  <c r="Z2475" i="2"/>
  <c r="Y2475" i="2"/>
  <c r="X2475" i="2"/>
  <c r="V2475" i="2"/>
  <c r="U2475" i="2"/>
  <c r="T2475" i="2"/>
  <c r="S2475" i="2"/>
  <c r="R2475" i="2"/>
  <c r="Q2475" i="2"/>
  <c r="P2475" i="2"/>
  <c r="O2475" i="2"/>
  <c r="N2475" i="2"/>
  <c r="K2475" i="2"/>
  <c r="J2475" i="2"/>
  <c r="I2475" i="2"/>
  <c r="H2475" i="2"/>
  <c r="G2475" i="2"/>
  <c r="F2475" i="2"/>
  <c r="E2475" i="2"/>
  <c r="D2475" i="2"/>
  <c r="C2475" i="2"/>
  <c r="B2475" i="2"/>
  <c r="A2475" i="2"/>
  <c r="AX2474" i="2"/>
  <c r="AV2474" i="2"/>
  <c r="AU2474" i="2"/>
  <c r="AS2474" i="2"/>
  <c r="AR2474" i="2"/>
  <c r="AQ2474" i="2"/>
  <c r="AO2474" i="2"/>
  <c r="AN2474" i="2"/>
  <c r="AM2474" i="2"/>
  <c r="AL2474" i="2"/>
  <c r="AK2474" i="2"/>
  <c r="AJ2474" i="2"/>
  <c r="AI2474" i="2"/>
  <c r="AH2474" i="2"/>
  <c r="AG2474" i="2"/>
  <c r="AE2474" i="2"/>
  <c r="AD2474" i="2"/>
  <c r="AC2474" i="2"/>
  <c r="AA2474" i="2"/>
  <c r="Z2474" i="2"/>
  <c r="Y2474" i="2"/>
  <c r="X2474" i="2"/>
  <c r="W2474" i="2"/>
  <c r="V2474" i="2"/>
  <c r="U2474" i="2"/>
  <c r="T2474" i="2"/>
  <c r="S2474" i="2"/>
  <c r="R2474" i="2"/>
  <c r="Q2474" i="2"/>
  <c r="P2474" i="2"/>
  <c r="O2474" i="2"/>
  <c r="N2474" i="2"/>
  <c r="K2474" i="2"/>
  <c r="J2474" i="2"/>
  <c r="I2474" i="2"/>
  <c r="H2474" i="2"/>
  <c r="G2474" i="2"/>
  <c r="F2474" i="2"/>
  <c r="E2474" i="2"/>
  <c r="D2474" i="2"/>
  <c r="C2474" i="2"/>
  <c r="B2474" i="2"/>
  <c r="A2474" i="2"/>
  <c r="AX2473" i="2"/>
  <c r="AV2473" i="2"/>
  <c r="AU2473" i="2"/>
  <c r="AS2473" i="2"/>
  <c r="AR2473" i="2"/>
  <c r="AQ2473" i="2"/>
  <c r="AO2473" i="2"/>
  <c r="AL2473" i="2"/>
  <c r="AK2473" i="2"/>
  <c r="AJ2473" i="2"/>
  <c r="AI2473" i="2"/>
  <c r="AH2473" i="2"/>
  <c r="AG2473" i="2"/>
  <c r="AE2473" i="2"/>
  <c r="AD2473" i="2"/>
  <c r="AA2473" i="2"/>
  <c r="Z2473" i="2"/>
  <c r="Y2473" i="2"/>
  <c r="V2473" i="2"/>
  <c r="U2473" i="2"/>
  <c r="T2473" i="2"/>
  <c r="S2473" i="2"/>
  <c r="R2473" i="2"/>
  <c r="Q2473" i="2"/>
  <c r="P2473" i="2"/>
  <c r="O2473" i="2"/>
  <c r="N2473" i="2"/>
  <c r="K2473" i="2"/>
  <c r="J2473" i="2"/>
  <c r="I2473" i="2"/>
  <c r="H2473" i="2"/>
  <c r="G2473" i="2"/>
  <c r="F2473" i="2"/>
  <c r="E2473" i="2"/>
  <c r="D2473" i="2"/>
  <c r="C2473" i="2"/>
  <c r="B2473" i="2"/>
  <c r="A2473" i="2"/>
  <c r="AX2472" i="2"/>
  <c r="AV2472" i="2"/>
  <c r="AU2472" i="2"/>
  <c r="AR2472" i="2"/>
  <c r="AQ2472" i="2"/>
  <c r="AO2472" i="2"/>
  <c r="AL2472" i="2"/>
  <c r="AK2472" i="2"/>
  <c r="AJ2472" i="2"/>
  <c r="AI2472" i="2"/>
  <c r="AH2472" i="2"/>
  <c r="AG2472" i="2"/>
  <c r="AE2472" i="2"/>
  <c r="AD2472" i="2"/>
  <c r="AA2472" i="2"/>
  <c r="Z2472" i="2"/>
  <c r="Y2472" i="2"/>
  <c r="X2472" i="2"/>
  <c r="W2472" i="2"/>
  <c r="V2472" i="2"/>
  <c r="U2472" i="2"/>
  <c r="T2472" i="2"/>
  <c r="S2472" i="2"/>
  <c r="R2472" i="2"/>
  <c r="Q2472" i="2"/>
  <c r="P2472" i="2"/>
  <c r="O2472" i="2"/>
  <c r="N2472" i="2"/>
  <c r="K2472" i="2"/>
  <c r="J2472" i="2"/>
  <c r="I2472" i="2"/>
  <c r="H2472" i="2"/>
  <c r="G2472" i="2"/>
  <c r="F2472" i="2"/>
  <c r="E2472" i="2"/>
  <c r="D2472" i="2"/>
  <c r="C2472" i="2"/>
  <c r="B2472" i="2"/>
  <c r="A2472" i="2"/>
  <c r="AX2471" i="2"/>
  <c r="AV2471" i="2"/>
  <c r="AU2471" i="2"/>
  <c r="AR2471" i="2"/>
  <c r="AQ2471" i="2"/>
  <c r="AO2471" i="2"/>
  <c r="AM2471" i="2"/>
  <c r="AL2471" i="2"/>
  <c r="AK2471" i="2"/>
  <c r="AJ2471" i="2"/>
  <c r="AI2471" i="2"/>
  <c r="AH2471" i="2"/>
  <c r="AG2471" i="2"/>
  <c r="AE2471" i="2"/>
  <c r="AD2471" i="2"/>
  <c r="AA2471" i="2"/>
  <c r="Z2471" i="2"/>
  <c r="Y2471" i="2"/>
  <c r="X2471" i="2"/>
  <c r="W2471" i="2"/>
  <c r="V2471" i="2"/>
  <c r="U2471" i="2"/>
  <c r="T2471" i="2"/>
  <c r="S2471" i="2"/>
  <c r="R2471" i="2"/>
  <c r="Q2471" i="2"/>
  <c r="P2471" i="2"/>
  <c r="O2471" i="2"/>
  <c r="N2471" i="2"/>
  <c r="K2471" i="2"/>
  <c r="J2471" i="2"/>
  <c r="I2471" i="2"/>
  <c r="H2471" i="2"/>
  <c r="G2471" i="2"/>
  <c r="F2471" i="2"/>
  <c r="E2471" i="2"/>
  <c r="D2471" i="2"/>
  <c r="C2471" i="2"/>
  <c r="B2471" i="2"/>
  <c r="A2471" i="2"/>
  <c r="AX2470" i="2"/>
  <c r="AV2470" i="2"/>
  <c r="AU2470" i="2"/>
  <c r="AS2470" i="2"/>
  <c r="AR2470" i="2"/>
  <c r="AQ2470" i="2"/>
  <c r="AO2470" i="2"/>
  <c r="AL2470" i="2"/>
  <c r="AK2470" i="2"/>
  <c r="AI2470" i="2"/>
  <c r="AH2470" i="2"/>
  <c r="AG2470" i="2"/>
  <c r="AE2470" i="2"/>
  <c r="AD2470" i="2"/>
  <c r="AA2470" i="2"/>
  <c r="Z2470" i="2"/>
  <c r="Y2470" i="2"/>
  <c r="X2470" i="2"/>
  <c r="W2470" i="2"/>
  <c r="V2470" i="2"/>
  <c r="U2470" i="2"/>
  <c r="T2470" i="2"/>
  <c r="S2470" i="2"/>
  <c r="R2470" i="2"/>
  <c r="Q2470" i="2"/>
  <c r="P2470" i="2"/>
  <c r="O2470" i="2"/>
  <c r="N2470" i="2"/>
  <c r="K2470" i="2"/>
  <c r="J2470" i="2"/>
  <c r="I2470" i="2"/>
  <c r="H2470" i="2"/>
  <c r="G2470" i="2"/>
  <c r="F2470" i="2"/>
  <c r="E2470" i="2"/>
  <c r="D2470" i="2"/>
  <c r="C2470" i="2"/>
  <c r="B2470" i="2"/>
  <c r="A2470" i="2"/>
  <c r="AX2469" i="2"/>
  <c r="AV2469" i="2"/>
  <c r="AU2469" i="2"/>
  <c r="AR2469" i="2"/>
  <c r="AQ2469" i="2"/>
  <c r="AO2469" i="2"/>
  <c r="AL2469" i="2"/>
  <c r="AK2469" i="2"/>
  <c r="AJ2469" i="2"/>
  <c r="AI2469" i="2"/>
  <c r="AH2469" i="2"/>
  <c r="AG2469" i="2"/>
  <c r="AE2469" i="2"/>
  <c r="AD2469" i="2"/>
  <c r="AA2469" i="2"/>
  <c r="Z2469" i="2"/>
  <c r="Y2469" i="2"/>
  <c r="X2469" i="2"/>
  <c r="V2469" i="2"/>
  <c r="U2469" i="2"/>
  <c r="T2469" i="2"/>
  <c r="S2469" i="2"/>
  <c r="R2469" i="2"/>
  <c r="Q2469" i="2"/>
  <c r="P2469" i="2"/>
  <c r="O2469" i="2"/>
  <c r="N2469" i="2"/>
  <c r="K2469" i="2"/>
  <c r="J2469" i="2"/>
  <c r="I2469" i="2"/>
  <c r="H2469" i="2"/>
  <c r="G2469" i="2"/>
  <c r="F2469" i="2"/>
  <c r="E2469" i="2"/>
  <c r="D2469" i="2"/>
  <c r="C2469" i="2"/>
  <c r="B2469" i="2"/>
  <c r="A2469" i="2"/>
  <c r="AX2468" i="2"/>
  <c r="AV2468" i="2"/>
  <c r="AU2468" i="2"/>
  <c r="AS2468" i="2"/>
  <c r="AR2468" i="2"/>
  <c r="AQ2468" i="2"/>
  <c r="AO2468" i="2"/>
  <c r="AL2468" i="2"/>
  <c r="AK2468" i="2"/>
  <c r="AJ2468" i="2"/>
  <c r="AI2468" i="2"/>
  <c r="AH2468" i="2"/>
  <c r="AG2468" i="2"/>
  <c r="AE2468" i="2"/>
  <c r="AD2468" i="2"/>
  <c r="AA2468" i="2"/>
  <c r="Z2468" i="2"/>
  <c r="Y2468" i="2"/>
  <c r="X2468" i="2"/>
  <c r="U2468" i="2"/>
  <c r="T2468" i="2"/>
  <c r="S2468" i="2"/>
  <c r="R2468" i="2"/>
  <c r="Q2468" i="2"/>
  <c r="P2468" i="2"/>
  <c r="O2468" i="2"/>
  <c r="N2468" i="2"/>
  <c r="K2468" i="2"/>
  <c r="J2468" i="2"/>
  <c r="I2468" i="2"/>
  <c r="H2468" i="2"/>
  <c r="G2468" i="2"/>
  <c r="F2468" i="2"/>
  <c r="E2468" i="2"/>
  <c r="D2468" i="2"/>
  <c r="C2468" i="2"/>
  <c r="B2468" i="2"/>
  <c r="A2468" i="2"/>
  <c r="AX2467" i="2"/>
  <c r="AV2467" i="2"/>
  <c r="AU2467" i="2"/>
  <c r="AR2467" i="2"/>
  <c r="AQ2467" i="2"/>
  <c r="AO2467" i="2"/>
  <c r="AL2467" i="2"/>
  <c r="AK2467" i="2"/>
  <c r="AJ2467" i="2"/>
  <c r="AI2467" i="2"/>
  <c r="AH2467" i="2"/>
  <c r="AG2467" i="2"/>
  <c r="AF2467" i="2"/>
  <c r="AE2467" i="2"/>
  <c r="AD2467" i="2"/>
  <c r="AA2467" i="2"/>
  <c r="Z2467" i="2"/>
  <c r="Y2467" i="2"/>
  <c r="X2467" i="2"/>
  <c r="W2467" i="2"/>
  <c r="V2467" i="2"/>
  <c r="U2467" i="2"/>
  <c r="T2467" i="2"/>
  <c r="S2467" i="2"/>
  <c r="R2467" i="2"/>
  <c r="Q2467" i="2"/>
  <c r="P2467" i="2"/>
  <c r="O2467" i="2"/>
  <c r="N2467" i="2"/>
  <c r="K2467" i="2"/>
  <c r="J2467" i="2"/>
  <c r="I2467" i="2"/>
  <c r="H2467" i="2"/>
  <c r="G2467" i="2"/>
  <c r="F2467" i="2"/>
  <c r="E2467" i="2"/>
  <c r="D2467" i="2"/>
  <c r="C2467" i="2"/>
  <c r="B2467" i="2"/>
  <c r="A2467" i="2"/>
  <c r="AX2466" i="2"/>
  <c r="AV2466" i="2"/>
  <c r="AU2466" i="2"/>
  <c r="AR2466" i="2"/>
  <c r="AQ2466" i="2"/>
  <c r="AO2466" i="2"/>
  <c r="AL2466" i="2"/>
  <c r="AK2466" i="2"/>
  <c r="AJ2466" i="2"/>
  <c r="AI2466" i="2"/>
  <c r="AH2466" i="2"/>
  <c r="AG2466" i="2"/>
  <c r="AF2466" i="2"/>
  <c r="AE2466" i="2"/>
  <c r="AD2466" i="2"/>
  <c r="AA2466" i="2"/>
  <c r="Z2466" i="2"/>
  <c r="Y2466" i="2"/>
  <c r="X2466" i="2"/>
  <c r="W2466" i="2"/>
  <c r="V2466" i="2"/>
  <c r="U2466" i="2"/>
  <c r="T2466" i="2"/>
  <c r="S2466" i="2"/>
  <c r="R2466" i="2"/>
  <c r="Q2466" i="2"/>
  <c r="P2466" i="2"/>
  <c r="O2466" i="2"/>
  <c r="N2466" i="2"/>
  <c r="K2466" i="2"/>
  <c r="J2466" i="2"/>
  <c r="I2466" i="2"/>
  <c r="H2466" i="2"/>
  <c r="G2466" i="2"/>
  <c r="F2466" i="2"/>
  <c r="E2466" i="2"/>
  <c r="D2466" i="2"/>
  <c r="C2466" i="2"/>
  <c r="B2466" i="2"/>
  <c r="A2466" i="2"/>
  <c r="AX2465" i="2"/>
  <c r="AV2465" i="2"/>
  <c r="AU2465" i="2"/>
  <c r="AS2465" i="2"/>
  <c r="AR2465" i="2"/>
  <c r="AQ2465" i="2"/>
  <c r="AO2465" i="2"/>
  <c r="AL2465" i="2"/>
  <c r="AI2465" i="2"/>
  <c r="AH2465" i="2"/>
  <c r="AG2465" i="2"/>
  <c r="AE2465" i="2"/>
  <c r="AD2465" i="2"/>
  <c r="AA2465" i="2"/>
  <c r="Z2465" i="2"/>
  <c r="Y2465" i="2"/>
  <c r="X2465" i="2"/>
  <c r="W2465" i="2"/>
  <c r="V2465" i="2"/>
  <c r="U2465" i="2"/>
  <c r="T2465" i="2"/>
  <c r="S2465" i="2"/>
  <c r="R2465" i="2"/>
  <c r="Q2465" i="2"/>
  <c r="P2465" i="2"/>
  <c r="O2465" i="2"/>
  <c r="N2465" i="2"/>
  <c r="K2465" i="2"/>
  <c r="J2465" i="2"/>
  <c r="I2465" i="2"/>
  <c r="H2465" i="2"/>
  <c r="G2465" i="2"/>
  <c r="F2465" i="2"/>
  <c r="E2465" i="2"/>
  <c r="D2465" i="2"/>
  <c r="C2465" i="2"/>
  <c r="B2465" i="2"/>
  <c r="A2465" i="2"/>
  <c r="AX2464" i="2"/>
  <c r="AV2464" i="2"/>
  <c r="AU2464" i="2"/>
  <c r="AS2464" i="2"/>
  <c r="AR2464" i="2"/>
  <c r="AQ2464" i="2"/>
  <c r="AO2464" i="2"/>
  <c r="AL2464" i="2"/>
  <c r="AK2464" i="2"/>
  <c r="AJ2464" i="2"/>
  <c r="AI2464" i="2"/>
  <c r="AH2464" i="2"/>
  <c r="AG2464" i="2"/>
  <c r="AE2464" i="2"/>
  <c r="AD2464" i="2"/>
  <c r="AA2464" i="2"/>
  <c r="Z2464" i="2"/>
  <c r="Y2464" i="2"/>
  <c r="X2464" i="2"/>
  <c r="V2464" i="2"/>
  <c r="U2464" i="2"/>
  <c r="T2464" i="2"/>
  <c r="S2464" i="2"/>
  <c r="R2464" i="2"/>
  <c r="Q2464" i="2"/>
  <c r="P2464" i="2"/>
  <c r="O2464" i="2"/>
  <c r="N2464" i="2"/>
  <c r="K2464" i="2"/>
  <c r="J2464" i="2"/>
  <c r="I2464" i="2"/>
  <c r="H2464" i="2"/>
  <c r="G2464" i="2"/>
  <c r="F2464" i="2"/>
  <c r="E2464" i="2"/>
  <c r="D2464" i="2"/>
  <c r="C2464" i="2"/>
  <c r="B2464" i="2"/>
  <c r="A2464" i="2"/>
  <c r="AX2463" i="2"/>
  <c r="AV2463" i="2"/>
  <c r="AU2463" i="2"/>
  <c r="AS2463" i="2"/>
  <c r="AR2463" i="2"/>
  <c r="AQ2463" i="2"/>
  <c r="AO2463" i="2"/>
  <c r="AL2463" i="2"/>
  <c r="AK2463" i="2"/>
  <c r="AJ2463" i="2"/>
  <c r="AI2463" i="2"/>
  <c r="AH2463" i="2"/>
  <c r="AG2463" i="2"/>
  <c r="AE2463" i="2"/>
  <c r="AD2463" i="2"/>
  <c r="AA2463" i="2"/>
  <c r="Z2463" i="2"/>
  <c r="Y2463" i="2"/>
  <c r="X2463" i="2"/>
  <c r="V2463" i="2"/>
  <c r="U2463" i="2"/>
  <c r="T2463" i="2"/>
  <c r="S2463" i="2"/>
  <c r="R2463" i="2"/>
  <c r="Q2463" i="2"/>
  <c r="P2463" i="2"/>
  <c r="O2463" i="2"/>
  <c r="N2463" i="2"/>
  <c r="K2463" i="2"/>
  <c r="J2463" i="2"/>
  <c r="I2463" i="2"/>
  <c r="H2463" i="2"/>
  <c r="G2463" i="2"/>
  <c r="F2463" i="2"/>
  <c r="E2463" i="2"/>
  <c r="D2463" i="2"/>
  <c r="C2463" i="2"/>
  <c r="B2463" i="2"/>
  <c r="A2463" i="2"/>
  <c r="AX2462" i="2"/>
  <c r="AV2462" i="2"/>
  <c r="AU2462" i="2"/>
  <c r="AS2462" i="2"/>
  <c r="AR2462" i="2"/>
  <c r="AQ2462" i="2"/>
  <c r="AO2462" i="2"/>
  <c r="AL2462" i="2"/>
  <c r="AK2462" i="2"/>
  <c r="AJ2462" i="2"/>
  <c r="AI2462" i="2"/>
  <c r="AH2462" i="2"/>
  <c r="AG2462" i="2"/>
  <c r="AF2462" i="2"/>
  <c r="AE2462" i="2"/>
  <c r="AD2462" i="2"/>
  <c r="AA2462" i="2"/>
  <c r="Z2462" i="2"/>
  <c r="Y2462" i="2"/>
  <c r="X2462" i="2"/>
  <c r="V2462" i="2"/>
  <c r="U2462" i="2"/>
  <c r="T2462" i="2"/>
  <c r="S2462" i="2"/>
  <c r="R2462" i="2"/>
  <c r="Q2462" i="2"/>
  <c r="P2462" i="2"/>
  <c r="O2462" i="2"/>
  <c r="N2462" i="2"/>
  <c r="K2462" i="2"/>
  <c r="J2462" i="2"/>
  <c r="I2462" i="2"/>
  <c r="H2462" i="2"/>
  <c r="G2462" i="2"/>
  <c r="F2462" i="2"/>
  <c r="E2462" i="2"/>
  <c r="D2462" i="2"/>
  <c r="C2462" i="2"/>
  <c r="B2462" i="2"/>
  <c r="A2462" i="2"/>
  <c r="AX2461" i="2"/>
  <c r="AV2461" i="2"/>
  <c r="AU2461" i="2"/>
  <c r="AR2461" i="2"/>
  <c r="AQ2461" i="2"/>
  <c r="AO2461" i="2"/>
  <c r="AL2461" i="2"/>
  <c r="AK2461" i="2"/>
  <c r="AJ2461" i="2"/>
  <c r="AI2461" i="2"/>
  <c r="AH2461" i="2"/>
  <c r="AG2461" i="2"/>
  <c r="AE2461" i="2"/>
  <c r="AD2461" i="2"/>
  <c r="AA2461" i="2"/>
  <c r="Z2461" i="2"/>
  <c r="Y2461" i="2"/>
  <c r="X2461" i="2"/>
  <c r="W2461" i="2"/>
  <c r="V2461" i="2"/>
  <c r="U2461" i="2"/>
  <c r="T2461" i="2"/>
  <c r="S2461" i="2"/>
  <c r="R2461" i="2"/>
  <c r="Q2461" i="2"/>
  <c r="P2461" i="2"/>
  <c r="O2461" i="2"/>
  <c r="N2461" i="2"/>
  <c r="K2461" i="2"/>
  <c r="J2461" i="2"/>
  <c r="I2461" i="2"/>
  <c r="H2461" i="2"/>
  <c r="G2461" i="2"/>
  <c r="F2461" i="2"/>
  <c r="E2461" i="2"/>
  <c r="D2461" i="2"/>
  <c r="C2461" i="2"/>
  <c r="B2461" i="2"/>
  <c r="A2461" i="2"/>
  <c r="AX2460" i="2"/>
  <c r="AV2460" i="2"/>
  <c r="AU2460" i="2"/>
  <c r="AS2460" i="2"/>
  <c r="AR2460" i="2"/>
  <c r="AQ2460" i="2"/>
  <c r="AO2460" i="2"/>
  <c r="AL2460" i="2"/>
  <c r="AK2460" i="2"/>
  <c r="AI2460" i="2"/>
  <c r="AH2460" i="2"/>
  <c r="AG2460" i="2"/>
  <c r="AE2460" i="2"/>
  <c r="AD2460" i="2"/>
  <c r="AA2460" i="2"/>
  <c r="Z2460" i="2"/>
  <c r="Y2460" i="2"/>
  <c r="X2460" i="2"/>
  <c r="V2460" i="2"/>
  <c r="U2460" i="2"/>
  <c r="T2460" i="2"/>
  <c r="S2460" i="2"/>
  <c r="R2460" i="2"/>
  <c r="Q2460" i="2"/>
  <c r="P2460" i="2"/>
  <c r="O2460" i="2"/>
  <c r="N2460" i="2"/>
  <c r="K2460" i="2"/>
  <c r="J2460" i="2"/>
  <c r="I2460" i="2"/>
  <c r="H2460" i="2"/>
  <c r="G2460" i="2"/>
  <c r="F2460" i="2"/>
  <c r="E2460" i="2"/>
  <c r="D2460" i="2"/>
  <c r="C2460" i="2"/>
  <c r="B2460" i="2"/>
  <c r="A2460" i="2"/>
  <c r="AX2459" i="2"/>
  <c r="AV2459" i="2"/>
  <c r="AU2459" i="2"/>
  <c r="AS2459" i="2"/>
  <c r="AR2459" i="2"/>
  <c r="AQ2459" i="2"/>
  <c r="AO2459" i="2"/>
  <c r="AL2459" i="2"/>
  <c r="AK2459" i="2"/>
  <c r="AJ2459" i="2"/>
  <c r="AI2459" i="2"/>
  <c r="AH2459" i="2"/>
  <c r="AG2459" i="2"/>
  <c r="AF2459" i="2"/>
  <c r="AE2459" i="2"/>
  <c r="AD2459" i="2"/>
  <c r="AA2459" i="2"/>
  <c r="Z2459" i="2"/>
  <c r="Y2459" i="2"/>
  <c r="X2459" i="2"/>
  <c r="W2459" i="2"/>
  <c r="V2459" i="2"/>
  <c r="U2459" i="2"/>
  <c r="T2459" i="2"/>
  <c r="S2459" i="2"/>
  <c r="R2459" i="2"/>
  <c r="Q2459" i="2"/>
  <c r="P2459" i="2"/>
  <c r="O2459" i="2"/>
  <c r="N2459" i="2"/>
  <c r="K2459" i="2"/>
  <c r="J2459" i="2"/>
  <c r="I2459" i="2"/>
  <c r="H2459" i="2"/>
  <c r="G2459" i="2"/>
  <c r="F2459" i="2"/>
  <c r="E2459" i="2"/>
  <c r="D2459" i="2"/>
  <c r="C2459" i="2"/>
  <c r="B2459" i="2"/>
  <c r="A2459" i="2"/>
  <c r="AX2458" i="2"/>
  <c r="AV2458" i="2"/>
  <c r="AU2458" i="2"/>
  <c r="AS2458" i="2"/>
  <c r="AR2458" i="2"/>
  <c r="AQ2458" i="2"/>
  <c r="AO2458" i="2"/>
  <c r="AN2458" i="2"/>
  <c r="AM2458" i="2"/>
  <c r="AL2458" i="2"/>
  <c r="AK2458" i="2"/>
  <c r="AJ2458" i="2"/>
  <c r="AI2458" i="2"/>
  <c r="AH2458" i="2"/>
  <c r="AG2458" i="2"/>
  <c r="AE2458" i="2"/>
  <c r="AD2458" i="2"/>
  <c r="AA2458" i="2"/>
  <c r="Z2458" i="2"/>
  <c r="Y2458" i="2"/>
  <c r="X2458" i="2"/>
  <c r="U2458" i="2"/>
  <c r="T2458" i="2"/>
  <c r="S2458" i="2"/>
  <c r="R2458" i="2"/>
  <c r="Q2458" i="2"/>
  <c r="P2458" i="2"/>
  <c r="O2458" i="2"/>
  <c r="N2458" i="2"/>
  <c r="K2458" i="2"/>
  <c r="J2458" i="2"/>
  <c r="I2458" i="2"/>
  <c r="H2458" i="2"/>
  <c r="G2458" i="2"/>
  <c r="F2458" i="2"/>
  <c r="E2458" i="2"/>
  <c r="D2458" i="2"/>
  <c r="C2458" i="2"/>
  <c r="B2458" i="2"/>
  <c r="A2458" i="2"/>
  <c r="AX2457" i="2"/>
  <c r="AV2457" i="2"/>
  <c r="AU2457" i="2"/>
  <c r="AS2457" i="2"/>
  <c r="AR2457" i="2"/>
  <c r="AQ2457" i="2"/>
  <c r="AO2457" i="2"/>
  <c r="AL2457" i="2"/>
  <c r="AK2457" i="2"/>
  <c r="AJ2457" i="2"/>
  <c r="AI2457" i="2"/>
  <c r="AH2457" i="2"/>
  <c r="AG2457" i="2"/>
  <c r="AE2457" i="2"/>
  <c r="AD2457" i="2"/>
  <c r="AA2457" i="2"/>
  <c r="Z2457" i="2"/>
  <c r="Y2457" i="2"/>
  <c r="X2457" i="2"/>
  <c r="W2457" i="2"/>
  <c r="V2457" i="2"/>
  <c r="U2457" i="2"/>
  <c r="T2457" i="2"/>
  <c r="S2457" i="2"/>
  <c r="R2457" i="2"/>
  <c r="Q2457" i="2"/>
  <c r="P2457" i="2"/>
  <c r="O2457" i="2"/>
  <c r="N2457" i="2"/>
  <c r="K2457" i="2"/>
  <c r="J2457" i="2"/>
  <c r="I2457" i="2"/>
  <c r="H2457" i="2"/>
  <c r="G2457" i="2"/>
  <c r="F2457" i="2"/>
  <c r="E2457" i="2"/>
  <c r="D2457" i="2"/>
  <c r="C2457" i="2"/>
  <c r="B2457" i="2"/>
  <c r="A2457" i="2"/>
  <c r="AX2456" i="2"/>
  <c r="AV2456" i="2"/>
  <c r="AU2456" i="2"/>
  <c r="AR2456" i="2"/>
  <c r="AQ2456" i="2"/>
  <c r="AO2456" i="2"/>
  <c r="AN2456" i="2"/>
  <c r="AM2456" i="2"/>
  <c r="AL2456" i="2"/>
  <c r="AK2456" i="2"/>
  <c r="AJ2456" i="2"/>
  <c r="AI2456" i="2"/>
  <c r="AH2456" i="2"/>
  <c r="AG2456" i="2"/>
  <c r="AD2456" i="2"/>
  <c r="AB2456" i="2"/>
  <c r="AA2456" i="2"/>
  <c r="Z2456" i="2"/>
  <c r="Y2456" i="2"/>
  <c r="X2456" i="2"/>
  <c r="W2456" i="2"/>
  <c r="V2456" i="2"/>
  <c r="U2456" i="2"/>
  <c r="T2456" i="2"/>
  <c r="S2456" i="2"/>
  <c r="R2456" i="2"/>
  <c r="Q2456" i="2"/>
  <c r="P2456" i="2"/>
  <c r="O2456" i="2"/>
  <c r="N2456" i="2"/>
  <c r="K2456" i="2"/>
  <c r="J2456" i="2"/>
  <c r="I2456" i="2"/>
  <c r="H2456" i="2"/>
  <c r="G2456" i="2"/>
  <c r="F2456" i="2"/>
  <c r="E2456" i="2"/>
  <c r="D2456" i="2"/>
  <c r="C2456" i="2"/>
  <c r="B2456" i="2"/>
  <c r="A2456" i="2"/>
  <c r="AX2455" i="2"/>
  <c r="AV2455" i="2"/>
  <c r="AU2455" i="2"/>
  <c r="AT2455" i="2"/>
  <c r="AS2455" i="2"/>
  <c r="AR2455" i="2"/>
  <c r="AQ2455" i="2"/>
  <c r="AP2455" i="2"/>
  <c r="AO2455" i="2"/>
  <c r="AN2455" i="2"/>
  <c r="AM2455" i="2"/>
  <c r="AL2455" i="2"/>
  <c r="AK2455" i="2"/>
  <c r="AJ2455" i="2"/>
  <c r="AI2455" i="2"/>
  <c r="AH2455" i="2"/>
  <c r="AG2455" i="2"/>
  <c r="AF2455" i="2"/>
  <c r="AE2455" i="2"/>
  <c r="AD2455" i="2"/>
  <c r="AA2455" i="2"/>
  <c r="Z2455" i="2"/>
  <c r="Y2455" i="2"/>
  <c r="X2455" i="2"/>
  <c r="W2455" i="2"/>
  <c r="V2455" i="2"/>
  <c r="U2455" i="2"/>
  <c r="T2455" i="2"/>
  <c r="S2455" i="2"/>
  <c r="R2455" i="2"/>
  <c r="Q2455" i="2"/>
  <c r="P2455" i="2"/>
  <c r="O2455" i="2"/>
  <c r="N2455" i="2"/>
  <c r="K2455" i="2"/>
  <c r="J2455" i="2"/>
  <c r="I2455" i="2"/>
  <c r="H2455" i="2"/>
  <c r="G2455" i="2"/>
  <c r="F2455" i="2"/>
  <c r="E2455" i="2"/>
  <c r="D2455" i="2"/>
  <c r="C2455" i="2"/>
  <c r="B2455" i="2"/>
  <c r="A2455" i="2"/>
  <c r="AX2454" i="2"/>
  <c r="AV2454" i="2"/>
  <c r="AU2454" i="2"/>
  <c r="AS2454" i="2"/>
  <c r="AR2454" i="2"/>
  <c r="AQ2454" i="2"/>
  <c r="AO2454" i="2"/>
  <c r="AL2454" i="2"/>
  <c r="AK2454" i="2"/>
  <c r="AJ2454" i="2"/>
  <c r="AI2454" i="2"/>
  <c r="AH2454" i="2"/>
  <c r="AG2454" i="2"/>
  <c r="AF2454" i="2"/>
  <c r="AE2454" i="2"/>
  <c r="AD2454" i="2"/>
  <c r="AA2454" i="2"/>
  <c r="Z2454" i="2"/>
  <c r="Y2454" i="2"/>
  <c r="X2454" i="2"/>
  <c r="W2454" i="2"/>
  <c r="V2454" i="2"/>
  <c r="U2454" i="2"/>
  <c r="T2454" i="2"/>
  <c r="S2454" i="2"/>
  <c r="R2454" i="2"/>
  <c r="Q2454" i="2"/>
  <c r="P2454" i="2"/>
  <c r="O2454" i="2"/>
  <c r="N2454" i="2"/>
  <c r="K2454" i="2"/>
  <c r="J2454" i="2"/>
  <c r="I2454" i="2"/>
  <c r="H2454" i="2"/>
  <c r="G2454" i="2"/>
  <c r="F2454" i="2"/>
  <c r="E2454" i="2"/>
  <c r="D2454" i="2"/>
  <c r="C2454" i="2"/>
  <c r="B2454" i="2"/>
  <c r="A2454" i="2"/>
  <c r="AX2453" i="2"/>
  <c r="AV2453" i="2"/>
  <c r="AU2453" i="2"/>
  <c r="AR2453" i="2"/>
  <c r="AQ2453" i="2"/>
  <c r="AP2453" i="2"/>
  <c r="AO2453" i="2"/>
  <c r="AL2453" i="2"/>
  <c r="AK2453" i="2"/>
  <c r="AJ2453" i="2"/>
  <c r="AI2453" i="2"/>
  <c r="AH2453" i="2"/>
  <c r="AG2453" i="2"/>
  <c r="AE2453" i="2"/>
  <c r="AD2453" i="2"/>
  <c r="AA2453" i="2"/>
  <c r="Z2453" i="2"/>
  <c r="Y2453" i="2"/>
  <c r="X2453" i="2"/>
  <c r="W2453" i="2"/>
  <c r="V2453" i="2"/>
  <c r="U2453" i="2"/>
  <c r="T2453" i="2"/>
  <c r="S2453" i="2"/>
  <c r="R2453" i="2"/>
  <c r="Q2453" i="2"/>
  <c r="P2453" i="2"/>
  <c r="O2453" i="2"/>
  <c r="N2453" i="2"/>
  <c r="K2453" i="2"/>
  <c r="J2453" i="2"/>
  <c r="I2453" i="2"/>
  <c r="H2453" i="2"/>
  <c r="G2453" i="2"/>
  <c r="F2453" i="2"/>
  <c r="E2453" i="2"/>
  <c r="D2453" i="2"/>
  <c r="C2453" i="2"/>
  <c r="B2453" i="2"/>
  <c r="A2453" i="2"/>
  <c r="AX2452" i="2"/>
  <c r="AV2452" i="2"/>
  <c r="AU2452" i="2"/>
  <c r="AS2452" i="2"/>
  <c r="AR2452" i="2"/>
  <c r="AQ2452" i="2"/>
  <c r="AP2452" i="2"/>
  <c r="AO2452" i="2"/>
  <c r="AN2452" i="2"/>
  <c r="AM2452" i="2"/>
  <c r="AL2452" i="2"/>
  <c r="AK2452" i="2"/>
  <c r="AJ2452" i="2"/>
  <c r="AI2452" i="2"/>
  <c r="AH2452" i="2"/>
  <c r="AG2452" i="2"/>
  <c r="AE2452" i="2"/>
  <c r="AD2452" i="2"/>
  <c r="AA2452" i="2"/>
  <c r="Z2452" i="2"/>
  <c r="Y2452" i="2"/>
  <c r="X2452" i="2"/>
  <c r="W2452" i="2"/>
  <c r="V2452" i="2"/>
  <c r="U2452" i="2"/>
  <c r="T2452" i="2"/>
  <c r="S2452" i="2"/>
  <c r="R2452" i="2"/>
  <c r="Q2452" i="2"/>
  <c r="P2452" i="2"/>
  <c r="O2452" i="2"/>
  <c r="N2452" i="2"/>
  <c r="K2452" i="2"/>
  <c r="J2452" i="2"/>
  <c r="I2452" i="2"/>
  <c r="H2452" i="2"/>
  <c r="G2452" i="2"/>
  <c r="F2452" i="2"/>
  <c r="E2452" i="2"/>
  <c r="D2452" i="2"/>
  <c r="C2452" i="2"/>
  <c r="B2452" i="2"/>
  <c r="A2452" i="2"/>
  <c r="AX2451" i="2"/>
  <c r="AV2451" i="2"/>
  <c r="AU2451" i="2"/>
  <c r="AS2451" i="2"/>
  <c r="AR2451" i="2"/>
  <c r="AQ2451" i="2"/>
  <c r="AO2451" i="2"/>
  <c r="AL2451" i="2"/>
  <c r="AK2451" i="2"/>
  <c r="AJ2451" i="2"/>
  <c r="AI2451" i="2"/>
  <c r="AH2451" i="2"/>
  <c r="AG2451" i="2"/>
  <c r="AE2451" i="2"/>
  <c r="AD2451" i="2"/>
  <c r="AA2451" i="2"/>
  <c r="Z2451" i="2"/>
  <c r="Y2451" i="2"/>
  <c r="X2451" i="2"/>
  <c r="V2451" i="2"/>
  <c r="U2451" i="2"/>
  <c r="T2451" i="2"/>
  <c r="S2451" i="2"/>
  <c r="R2451" i="2"/>
  <c r="Q2451" i="2"/>
  <c r="P2451" i="2"/>
  <c r="O2451" i="2"/>
  <c r="N2451" i="2"/>
  <c r="K2451" i="2"/>
  <c r="J2451" i="2"/>
  <c r="I2451" i="2"/>
  <c r="H2451" i="2"/>
  <c r="G2451" i="2"/>
  <c r="F2451" i="2"/>
  <c r="E2451" i="2"/>
  <c r="D2451" i="2"/>
  <c r="C2451" i="2"/>
  <c r="B2451" i="2"/>
  <c r="A2451" i="2"/>
  <c r="AX2450" i="2"/>
  <c r="AV2450" i="2"/>
  <c r="AU2450" i="2"/>
  <c r="AS2450" i="2"/>
  <c r="AR2450" i="2"/>
  <c r="AQ2450" i="2"/>
  <c r="AO2450" i="2"/>
  <c r="AL2450" i="2"/>
  <c r="AK2450" i="2"/>
  <c r="AJ2450" i="2"/>
  <c r="AI2450" i="2"/>
  <c r="AH2450" i="2"/>
  <c r="AG2450" i="2"/>
  <c r="AE2450" i="2"/>
  <c r="AD2450" i="2"/>
  <c r="AA2450" i="2"/>
  <c r="Z2450" i="2"/>
  <c r="Y2450" i="2"/>
  <c r="X2450" i="2"/>
  <c r="W2450" i="2"/>
  <c r="V2450" i="2"/>
  <c r="U2450" i="2"/>
  <c r="T2450" i="2"/>
  <c r="S2450" i="2"/>
  <c r="R2450" i="2"/>
  <c r="Q2450" i="2"/>
  <c r="P2450" i="2"/>
  <c r="O2450" i="2"/>
  <c r="N2450" i="2"/>
  <c r="K2450" i="2"/>
  <c r="J2450" i="2"/>
  <c r="I2450" i="2"/>
  <c r="H2450" i="2"/>
  <c r="G2450" i="2"/>
  <c r="F2450" i="2"/>
  <c r="E2450" i="2"/>
  <c r="D2450" i="2"/>
  <c r="C2450" i="2"/>
  <c r="B2450" i="2"/>
  <c r="A2450" i="2"/>
  <c r="AX2449" i="2"/>
  <c r="AV2449" i="2"/>
  <c r="AU2449" i="2"/>
  <c r="AS2449" i="2"/>
  <c r="AR2449" i="2"/>
  <c r="AQ2449" i="2"/>
  <c r="AO2449" i="2"/>
  <c r="AL2449" i="2"/>
  <c r="AK2449" i="2"/>
  <c r="AJ2449" i="2"/>
  <c r="AI2449" i="2"/>
  <c r="AH2449" i="2"/>
  <c r="AG2449" i="2"/>
  <c r="AE2449" i="2"/>
  <c r="AD2449" i="2"/>
  <c r="AA2449" i="2"/>
  <c r="Z2449" i="2"/>
  <c r="Y2449" i="2"/>
  <c r="X2449" i="2"/>
  <c r="W2449" i="2"/>
  <c r="V2449" i="2"/>
  <c r="U2449" i="2"/>
  <c r="T2449" i="2"/>
  <c r="S2449" i="2"/>
  <c r="R2449" i="2"/>
  <c r="Q2449" i="2"/>
  <c r="P2449" i="2"/>
  <c r="O2449" i="2"/>
  <c r="N2449" i="2"/>
  <c r="K2449" i="2"/>
  <c r="J2449" i="2"/>
  <c r="I2449" i="2"/>
  <c r="H2449" i="2"/>
  <c r="G2449" i="2"/>
  <c r="F2449" i="2"/>
  <c r="E2449" i="2"/>
  <c r="D2449" i="2"/>
  <c r="C2449" i="2"/>
  <c r="B2449" i="2"/>
  <c r="A2449" i="2"/>
  <c r="AX2448" i="2"/>
  <c r="AV2448" i="2"/>
  <c r="AU2448" i="2"/>
  <c r="AS2448" i="2"/>
  <c r="AR2448" i="2"/>
  <c r="AQ2448" i="2"/>
  <c r="AP2448" i="2"/>
  <c r="AO2448" i="2"/>
  <c r="AL2448" i="2"/>
  <c r="AK2448" i="2"/>
  <c r="AJ2448" i="2"/>
  <c r="AI2448" i="2"/>
  <c r="AH2448" i="2"/>
  <c r="AG2448" i="2"/>
  <c r="AE2448" i="2"/>
  <c r="AD2448" i="2"/>
  <c r="AA2448" i="2"/>
  <c r="Z2448" i="2"/>
  <c r="Y2448" i="2"/>
  <c r="X2448" i="2"/>
  <c r="W2448" i="2"/>
  <c r="V2448" i="2"/>
  <c r="U2448" i="2"/>
  <c r="T2448" i="2"/>
  <c r="S2448" i="2"/>
  <c r="R2448" i="2"/>
  <c r="Q2448" i="2"/>
  <c r="P2448" i="2"/>
  <c r="O2448" i="2"/>
  <c r="N2448" i="2"/>
  <c r="K2448" i="2"/>
  <c r="J2448" i="2"/>
  <c r="I2448" i="2"/>
  <c r="H2448" i="2"/>
  <c r="G2448" i="2"/>
  <c r="F2448" i="2"/>
  <c r="E2448" i="2"/>
  <c r="D2448" i="2"/>
  <c r="C2448" i="2"/>
  <c r="B2448" i="2"/>
  <c r="A2448" i="2"/>
  <c r="AX2447" i="2"/>
  <c r="AV2447" i="2"/>
  <c r="AU2447" i="2"/>
  <c r="AS2447" i="2"/>
  <c r="AR2447" i="2"/>
  <c r="AQ2447" i="2"/>
  <c r="AO2447" i="2"/>
  <c r="AL2447" i="2"/>
  <c r="AK2447" i="2"/>
  <c r="AJ2447" i="2"/>
  <c r="AI2447" i="2"/>
  <c r="AH2447" i="2"/>
  <c r="AG2447" i="2"/>
  <c r="AF2447" i="2"/>
  <c r="AE2447" i="2"/>
  <c r="AD2447" i="2"/>
  <c r="AA2447" i="2"/>
  <c r="Z2447" i="2"/>
  <c r="Y2447" i="2"/>
  <c r="X2447" i="2"/>
  <c r="W2447" i="2"/>
  <c r="V2447" i="2"/>
  <c r="U2447" i="2"/>
  <c r="T2447" i="2"/>
  <c r="S2447" i="2"/>
  <c r="R2447" i="2"/>
  <c r="Q2447" i="2"/>
  <c r="P2447" i="2"/>
  <c r="O2447" i="2"/>
  <c r="N2447" i="2"/>
  <c r="K2447" i="2"/>
  <c r="J2447" i="2"/>
  <c r="I2447" i="2"/>
  <c r="H2447" i="2"/>
  <c r="G2447" i="2"/>
  <c r="F2447" i="2"/>
  <c r="E2447" i="2"/>
  <c r="D2447" i="2"/>
  <c r="C2447" i="2"/>
  <c r="B2447" i="2"/>
  <c r="A2447" i="2"/>
  <c r="AX2446" i="2"/>
  <c r="AV2446" i="2"/>
  <c r="AU2446" i="2"/>
  <c r="AS2446" i="2"/>
  <c r="AR2446" i="2"/>
  <c r="AQ2446" i="2"/>
  <c r="AO2446" i="2"/>
  <c r="AK2446" i="2"/>
  <c r="AJ2446" i="2"/>
  <c r="AI2446" i="2"/>
  <c r="AH2446" i="2"/>
  <c r="AG2446" i="2"/>
  <c r="AF2446" i="2"/>
  <c r="AE2446" i="2"/>
  <c r="AD2446" i="2"/>
  <c r="AA2446" i="2"/>
  <c r="Z2446" i="2"/>
  <c r="Y2446" i="2"/>
  <c r="X2446" i="2"/>
  <c r="W2446" i="2"/>
  <c r="V2446" i="2"/>
  <c r="U2446" i="2"/>
  <c r="T2446" i="2"/>
  <c r="S2446" i="2"/>
  <c r="R2446" i="2"/>
  <c r="Q2446" i="2"/>
  <c r="P2446" i="2"/>
  <c r="O2446" i="2"/>
  <c r="N2446" i="2"/>
  <c r="K2446" i="2"/>
  <c r="J2446" i="2"/>
  <c r="I2446" i="2"/>
  <c r="H2446" i="2"/>
  <c r="G2446" i="2"/>
  <c r="F2446" i="2"/>
  <c r="E2446" i="2"/>
  <c r="D2446" i="2"/>
  <c r="C2446" i="2"/>
  <c r="B2446" i="2"/>
  <c r="A2446" i="2"/>
  <c r="AX2445" i="2"/>
  <c r="AV2445" i="2"/>
  <c r="AU2445" i="2"/>
  <c r="AR2445" i="2"/>
  <c r="AQ2445" i="2"/>
  <c r="AO2445" i="2"/>
  <c r="AL2445" i="2"/>
  <c r="AK2445" i="2"/>
  <c r="AJ2445" i="2"/>
  <c r="AI2445" i="2"/>
  <c r="AH2445" i="2"/>
  <c r="AG2445" i="2"/>
  <c r="AF2445" i="2"/>
  <c r="AE2445" i="2"/>
  <c r="AD2445" i="2"/>
  <c r="AA2445" i="2"/>
  <c r="Z2445" i="2"/>
  <c r="Y2445" i="2"/>
  <c r="X2445" i="2"/>
  <c r="W2445" i="2"/>
  <c r="V2445" i="2"/>
  <c r="U2445" i="2"/>
  <c r="T2445" i="2"/>
  <c r="S2445" i="2"/>
  <c r="R2445" i="2"/>
  <c r="Q2445" i="2"/>
  <c r="P2445" i="2"/>
  <c r="O2445" i="2"/>
  <c r="N2445" i="2"/>
  <c r="K2445" i="2"/>
  <c r="J2445" i="2"/>
  <c r="I2445" i="2"/>
  <c r="H2445" i="2"/>
  <c r="G2445" i="2"/>
  <c r="F2445" i="2"/>
  <c r="E2445" i="2"/>
  <c r="D2445" i="2"/>
  <c r="C2445" i="2"/>
  <c r="B2445" i="2"/>
  <c r="A2445" i="2"/>
  <c r="AX2444" i="2"/>
  <c r="AV2444" i="2"/>
  <c r="AU2444" i="2"/>
  <c r="AR2444" i="2"/>
  <c r="AQ2444" i="2"/>
  <c r="AO2444" i="2"/>
  <c r="AL2444" i="2"/>
  <c r="AK2444" i="2"/>
  <c r="AJ2444" i="2"/>
  <c r="AI2444" i="2"/>
  <c r="AH2444" i="2"/>
  <c r="AG2444" i="2"/>
  <c r="AE2444" i="2"/>
  <c r="AD2444" i="2"/>
  <c r="AA2444" i="2"/>
  <c r="Z2444" i="2"/>
  <c r="Y2444" i="2"/>
  <c r="W2444" i="2"/>
  <c r="V2444" i="2"/>
  <c r="U2444" i="2"/>
  <c r="T2444" i="2"/>
  <c r="S2444" i="2"/>
  <c r="R2444" i="2"/>
  <c r="Q2444" i="2"/>
  <c r="P2444" i="2"/>
  <c r="O2444" i="2"/>
  <c r="N2444" i="2"/>
  <c r="K2444" i="2"/>
  <c r="J2444" i="2"/>
  <c r="I2444" i="2"/>
  <c r="H2444" i="2"/>
  <c r="G2444" i="2"/>
  <c r="F2444" i="2"/>
  <c r="E2444" i="2"/>
  <c r="D2444" i="2"/>
  <c r="C2444" i="2"/>
  <c r="B2444" i="2"/>
  <c r="A2444" i="2"/>
  <c r="AX2443" i="2"/>
  <c r="AV2443" i="2"/>
  <c r="AU2443" i="2"/>
  <c r="AS2443" i="2"/>
  <c r="AR2443" i="2"/>
  <c r="AO2443" i="2"/>
  <c r="AN2443" i="2"/>
  <c r="AM2443" i="2"/>
  <c r="AL2443" i="2"/>
  <c r="AK2443" i="2"/>
  <c r="AJ2443" i="2"/>
  <c r="AI2443" i="2"/>
  <c r="AH2443" i="2"/>
  <c r="AG2443" i="2"/>
  <c r="AE2443" i="2"/>
  <c r="AD2443" i="2"/>
  <c r="AC2443" i="2"/>
  <c r="AB2443" i="2"/>
  <c r="AA2443" i="2"/>
  <c r="Z2443" i="2"/>
  <c r="Y2443" i="2"/>
  <c r="X2443" i="2"/>
  <c r="W2443" i="2"/>
  <c r="V2443" i="2"/>
  <c r="U2443" i="2"/>
  <c r="T2443" i="2"/>
  <c r="S2443" i="2"/>
  <c r="R2443" i="2"/>
  <c r="Q2443" i="2"/>
  <c r="P2443" i="2"/>
  <c r="O2443" i="2"/>
  <c r="N2443" i="2"/>
  <c r="M2443" i="2"/>
  <c r="L2443" i="2"/>
  <c r="K2443" i="2"/>
  <c r="J2443" i="2"/>
  <c r="I2443" i="2"/>
  <c r="H2443" i="2"/>
  <c r="G2443" i="2"/>
  <c r="F2443" i="2"/>
  <c r="E2443" i="2"/>
  <c r="D2443" i="2"/>
  <c r="C2443" i="2"/>
  <c r="B2443" i="2"/>
  <c r="A2443" i="2"/>
  <c r="AX2442" i="2"/>
  <c r="AV2442" i="2"/>
  <c r="AU2442" i="2"/>
  <c r="AS2442" i="2"/>
  <c r="AR2442" i="2"/>
  <c r="AQ2442" i="2"/>
  <c r="AO2442" i="2"/>
  <c r="AL2442" i="2"/>
  <c r="AK2442" i="2"/>
  <c r="AJ2442" i="2"/>
  <c r="AI2442" i="2"/>
  <c r="AH2442" i="2"/>
  <c r="AG2442" i="2"/>
  <c r="AF2442" i="2"/>
  <c r="AE2442" i="2"/>
  <c r="AD2442" i="2"/>
  <c r="AA2442" i="2"/>
  <c r="Z2442" i="2"/>
  <c r="Y2442" i="2"/>
  <c r="X2442" i="2"/>
  <c r="W2442" i="2"/>
  <c r="V2442" i="2"/>
  <c r="U2442" i="2"/>
  <c r="T2442" i="2"/>
  <c r="S2442" i="2"/>
  <c r="R2442" i="2"/>
  <c r="Q2442" i="2"/>
  <c r="P2442" i="2"/>
  <c r="O2442" i="2"/>
  <c r="N2442" i="2"/>
  <c r="K2442" i="2"/>
  <c r="J2442" i="2"/>
  <c r="I2442" i="2"/>
  <c r="H2442" i="2"/>
  <c r="G2442" i="2"/>
  <c r="F2442" i="2"/>
  <c r="E2442" i="2"/>
  <c r="D2442" i="2"/>
  <c r="C2442" i="2"/>
  <c r="B2442" i="2"/>
  <c r="A2442" i="2"/>
  <c r="AX2441" i="2"/>
  <c r="AV2441" i="2"/>
  <c r="AU2441" i="2"/>
  <c r="AR2441" i="2"/>
  <c r="AQ2441" i="2"/>
  <c r="AP2441" i="2"/>
  <c r="AO2441" i="2"/>
  <c r="AM2441" i="2"/>
  <c r="AL2441" i="2"/>
  <c r="AK2441" i="2"/>
  <c r="AJ2441" i="2"/>
  <c r="AI2441" i="2"/>
  <c r="AH2441" i="2"/>
  <c r="AG2441" i="2"/>
  <c r="AD2441" i="2"/>
  <c r="AA2441" i="2"/>
  <c r="Z2441" i="2"/>
  <c r="Y2441" i="2"/>
  <c r="X2441" i="2"/>
  <c r="W2441" i="2"/>
  <c r="V2441" i="2"/>
  <c r="U2441" i="2"/>
  <c r="T2441" i="2"/>
  <c r="S2441" i="2"/>
  <c r="R2441" i="2"/>
  <c r="Q2441" i="2"/>
  <c r="P2441" i="2"/>
  <c r="O2441" i="2"/>
  <c r="N2441" i="2"/>
  <c r="K2441" i="2"/>
  <c r="J2441" i="2"/>
  <c r="I2441" i="2"/>
  <c r="H2441" i="2"/>
  <c r="G2441" i="2"/>
  <c r="F2441" i="2"/>
  <c r="E2441" i="2"/>
  <c r="D2441" i="2"/>
  <c r="C2441" i="2"/>
  <c r="B2441" i="2"/>
  <c r="A2441" i="2"/>
  <c r="AX2440" i="2"/>
  <c r="AV2440" i="2"/>
  <c r="AU2440" i="2"/>
  <c r="AS2440" i="2"/>
  <c r="AR2440" i="2"/>
  <c r="AQ2440" i="2"/>
  <c r="AP2440" i="2"/>
  <c r="AO2440" i="2"/>
  <c r="AN2440" i="2"/>
  <c r="AM2440" i="2"/>
  <c r="AL2440" i="2"/>
  <c r="AK2440" i="2"/>
  <c r="AJ2440" i="2"/>
  <c r="AI2440" i="2"/>
  <c r="AH2440" i="2"/>
  <c r="AG2440" i="2"/>
  <c r="AE2440" i="2"/>
  <c r="AD2440" i="2"/>
  <c r="AA2440" i="2"/>
  <c r="Z2440" i="2"/>
  <c r="Y2440" i="2"/>
  <c r="X2440" i="2"/>
  <c r="W2440" i="2"/>
  <c r="V2440" i="2"/>
  <c r="U2440" i="2"/>
  <c r="T2440" i="2"/>
  <c r="S2440" i="2"/>
  <c r="R2440" i="2"/>
  <c r="Q2440" i="2"/>
  <c r="P2440" i="2"/>
  <c r="O2440" i="2"/>
  <c r="N2440" i="2"/>
  <c r="K2440" i="2"/>
  <c r="J2440" i="2"/>
  <c r="I2440" i="2"/>
  <c r="H2440" i="2"/>
  <c r="G2440" i="2"/>
  <c r="F2440" i="2"/>
  <c r="E2440" i="2"/>
  <c r="D2440" i="2"/>
  <c r="C2440" i="2"/>
  <c r="B2440" i="2"/>
  <c r="A2440" i="2"/>
  <c r="AX2439" i="2"/>
  <c r="AV2439" i="2"/>
  <c r="AU2439" i="2"/>
  <c r="AS2439" i="2"/>
  <c r="AR2439" i="2"/>
  <c r="AQ2439" i="2"/>
  <c r="AO2439" i="2"/>
  <c r="AL2439" i="2"/>
  <c r="AK2439" i="2"/>
  <c r="AJ2439" i="2"/>
  <c r="AI2439" i="2"/>
  <c r="AH2439" i="2"/>
  <c r="AG2439" i="2"/>
  <c r="AE2439" i="2"/>
  <c r="AD2439" i="2"/>
  <c r="AA2439" i="2"/>
  <c r="Z2439" i="2"/>
  <c r="Y2439" i="2"/>
  <c r="X2439" i="2"/>
  <c r="V2439" i="2"/>
  <c r="U2439" i="2"/>
  <c r="T2439" i="2"/>
  <c r="S2439" i="2"/>
  <c r="R2439" i="2"/>
  <c r="Q2439" i="2"/>
  <c r="P2439" i="2"/>
  <c r="O2439" i="2"/>
  <c r="N2439" i="2"/>
  <c r="K2439" i="2"/>
  <c r="J2439" i="2"/>
  <c r="I2439" i="2"/>
  <c r="H2439" i="2"/>
  <c r="G2439" i="2"/>
  <c r="F2439" i="2"/>
  <c r="E2439" i="2"/>
  <c r="D2439" i="2"/>
  <c r="C2439" i="2"/>
  <c r="B2439" i="2"/>
  <c r="A2439" i="2"/>
  <c r="AX2438" i="2"/>
  <c r="AV2438" i="2"/>
  <c r="AU2438" i="2"/>
  <c r="AS2438" i="2"/>
  <c r="AR2438" i="2"/>
  <c r="AQ2438" i="2"/>
  <c r="AO2438" i="2"/>
  <c r="AL2438" i="2"/>
  <c r="AK2438" i="2"/>
  <c r="AJ2438" i="2"/>
  <c r="AI2438" i="2"/>
  <c r="AH2438" i="2"/>
  <c r="AG2438" i="2"/>
  <c r="AF2438" i="2"/>
  <c r="AE2438" i="2"/>
  <c r="AD2438" i="2"/>
  <c r="AA2438" i="2"/>
  <c r="Z2438" i="2"/>
  <c r="Y2438" i="2"/>
  <c r="X2438" i="2"/>
  <c r="W2438" i="2"/>
  <c r="V2438" i="2"/>
  <c r="U2438" i="2"/>
  <c r="T2438" i="2"/>
  <c r="S2438" i="2"/>
  <c r="R2438" i="2"/>
  <c r="Q2438" i="2"/>
  <c r="P2438" i="2"/>
  <c r="O2438" i="2"/>
  <c r="N2438" i="2"/>
  <c r="K2438" i="2"/>
  <c r="J2438" i="2"/>
  <c r="I2438" i="2"/>
  <c r="H2438" i="2"/>
  <c r="G2438" i="2"/>
  <c r="F2438" i="2"/>
  <c r="E2438" i="2"/>
  <c r="D2438" i="2"/>
  <c r="C2438" i="2"/>
  <c r="B2438" i="2"/>
  <c r="A2438" i="2"/>
  <c r="AX2437" i="2"/>
  <c r="AV2437" i="2"/>
  <c r="AU2437" i="2"/>
  <c r="AS2437" i="2"/>
  <c r="AR2437" i="2"/>
  <c r="AQ2437" i="2"/>
  <c r="AP2437" i="2"/>
  <c r="AO2437" i="2"/>
  <c r="AL2437" i="2"/>
  <c r="AK2437" i="2"/>
  <c r="AJ2437" i="2"/>
  <c r="AI2437" i="2"/>
  <c r="AH2437" i="2"/>
  <c r="AG2437" i="2"/>
  <c r="AE2437" i="2"/>
  <c r="AD2437" i="2"/>
  <c r="AA2437" i="2"/>
  <c r="Z2437" i="2"/>
  <c r="Y2437" i="2"/>
  <c r="X2437" i="2"/>
  <c r="W2437" i="2"/>
  <c r="V2437" i="2"/>
  <c r="U2437" i="2"/>
  <c r="T2437" i="2"/>
  <c r="S2437" i="2"/>
  <c r="R2437" i="2"/>
  <c r="Q2437" i="2"/>
  <c r="P2437" i="2"/>
  <c r="O2437" i="2"/>
  <c r="N2437" i="2"/>
  <c r="K2437" i="2"/>
  <c r="J2437" i="2"/>
  <c r="I2437" i="2"/>
  <c r="H2437" i="2"/>
  <c r="G2437" i="2"/>
  <c r="F2437" i="2"/>
  <c r="E2437" i="2"/>
  <c r="D2437" i="2"/>
  <c r="C2437" i="2"/>
  <c r="B2437" i="2"/>
  <c r="A2437" i="2"/>
  <c r="AX2436" i="2"/>
  <c r="AV2436" i="2"/>
  <c r="AU2436" i="2"/>
  <c r="AS2436" i="2"/>
  <c r="AR2436" i="2"/>
  <c r="AQ2436" i="2"/>
  <c r="AO2436" i="2"/>
  <c r="AN2436" i="2"/>
  <c r="AM2436" i="2"/>
  <c r="AL2436" i="2"/>
  <c r="AK2436" i="2"/>
  <c r="AJ2436" i="2"/>
  <c r="AI2436" i="2"/>
  <c r="AH2436" i="2"/>
  <c r="AG2436" i="2"/>
  <c r="AF2436" i="2"/>
  <c r="AE2436" i="2"/>
  <c r="AD2436" i="2"/>
  <c r="AC2436" i="2"/>
  <c r="AA2436" i="2"/>
  <c r="Z2436" i="2"/>
  <c r="Y2436" i="2"/>
  <c r="V2436" i="2"/>
  <c r="U2436" i="2"/>
  <c r="T2436" i="2"/>
  <c r="S2436" i="2"/>
  <c r="R2436" i="2"/>
  <c r="Q2436" i="2"/>
  <c r="P2436" i="2"/>
  <c r="O2436" i="2"/>
  <c r="N2436" i="2"/>
  <c r="K2436" i="2"/>
  <c r="J2436" i="2"/>
  <c r="I2436" i="2"/>
  <c r="H2436" i="2"/>
  <c r="G2436" i="2"/>
  <c r="F2436" i="2"/>
  <c r="E2436" i="2"/>
  <c r="D2436" i="2"/>
  <c r="C2436" i="2"/>
  <c r="B2436" i="2"/>
  <c r="A2436" i="2"/>
  <c r="AX2435" i="2"/>
  <c r="AV2435" i="2"/>
  <c r="AU2435" i="2"/>
  <c r="AT2435" i="2"/>
  <c r="AS2435" i="2"/>
  <c r="AR2435" i="2"/>
  <c r="AQ2435" i="2"/>
  <c r="AP2435" i="2"/>
  <c r="AO2435" i="2"/>
  <c r="AL2435" i="2"/>
  <c r="AK2435" i="2"/>
  <c r="AJ2435" i="2"/>
  <c r="AI2435" i="2"/>
  <c r="AH2435" i="2"/>
  <c r="AG2435" i="2"/>
  <c r="AE2435" i="2"/>
  <c r="AD2435" i="2"/>
  <c r="AA2435" i="2"/>
  <c r="Z2435" i="2"/>
  <c r="Y2435" i="2"/>
  <c r="X2435" i="2"/>
  <c r="W2435" i="2"/>
  <c r="V2435" i="2"/>
  <c r="U2435" i="2"/>
  <c r="T2435" i="2"/>
  <c r="S2435" i="2"/>
  <c r="R2435" i="2"/>
  <c r="Q2435" i="2"/>
  <c r="P2435" i="2"/>
  <c r="O2435" i="2"/>
  <c r="N2435" i="2"/>
  <c r="M2435" i="2"/>
  <c r="K2435" i="2"/>
  <c r="J2435" i="2"/>
  <c r="I2435" i="2"/>
  <c r="H2435" i="2"/>
  <c r="G2435" i="2"/>
  <c r="F2435" i="2"/>
  <c r="E2435" i="2"/>
  <c r="D2435" i="2"/>
  <c r="C2435" i="2"/>
  <c r="B2435" i="2"/>
  <c r="A2435" i="2"/>
  <c r="AX2434" i="2"/>
  <c r="AV2434" i="2"/>
  <c r="AU2434" i="2"/>
  <c r="AS2434" i="2"/>
  <c r="AR2434" i="2"/>
  <c r="AQ2434" i="2"/>
  <c r="AO2434" i="2"/>
  <c r="AL2434" i="2"/>
  <c r="AK2434" i="2"/>
  <c r="AJ2434" i="2"/>
  <c r="AI2434" i="2"/>
  <c r="AH2434" i="2"/>
  <c r="AG2434" i="2"/>
  <c r="AE2434" i="2"/>
  <c r="AD2434" i="2"/>
  <c r="AA2434" i="2"/>
  <c r="Z2434" i="2"/>
  <c r="Y2434" i="2"/>
  <c r="X2434" i="2"/>
  <c r="V2434" i="2"/>
  <c r="U2434" i="2"/>
  <c r="T2434" i="2"/>
  <c r="S2434" i="2"/>
  <c r="R2434" i="2"/>
  <c r="Q2434" i="2"/>
  <c r="P2434" i="2"/>
  <c r="O2434" i="2"/>
  <c r="N2434" i="2"/>
  <c r="K2434" i="2"/>
  <c r="J2434" i="2"/>
  <c r="I2434" i="2"/>
  <c r="H2434" i="2"/>
  <c r="G2434" i="2"/>
  <c r="F2434" i="2"/>
  <c r="E2434" i="2"/>
  <c r="D2434" i="2"/>
  <c r="C2434" i="2"/>
  <c r="B2434" i="2"/>
  <c r="A2434" i="2"/>
  <c r="AX2433" i="2"/>
  <c r="AV2433" i="2"/>
  <c r="AU2433" i="2"/>
  <c r="AS2433" i="2"/>
  <c r="AR2433" i="2"/>
  <c r="AQ2433" i="2"/>
  <c r="AO2433" i="2"/>
  <c r="AL2433" i="2"/>
  <c r="AK2433" i="2"/>
  <c r="AJ2433" i="2"/>
  <c r="AI2433" i="2"/>
  <c r="AH2433" i="2"/>
  <c r="AG2433" i="2"/>
  <c r="AF2433" i="2"/>
  <c r="AE2433" i="2"/>
  <c r="AD2433" i="2"/>
  <c r="AA2433" i="2"/>
  <c r="Z2433" i="2"/>
  <c r="Y2433" i="2"/>
  <c r="X2433" i="2"/>
  <c r="W2433" i="2"/>
  <c r="V2433" i="2"/>
  <c r="U2433" i="2"/>
  <c r="T2433" i="2"/>
  <c r="S2433" i="2"/>
  <c r="R2433" i="2"/>
  <c r="Q2433" i="2"/>
  <c r="P2433" i="2"/>
  <c r="O2433" i="2"/>
  <c r="N2433" i="2"/>
  <c r="K2433" i="2"/>
  <c r="J2433" i="2"/>
  <c r="I2433" i="2"/>
  <c r="H2433" i="2"/>
  <c r="G2433" i="2"/>
  <c r="F2433" i="2"/>
  <c r="E2433" i="2"/>
  <c r="D2433" i="2"/>
  <c r="C2433" i="2"/>
  <c r="B2433" i="2"/>
  <c r="A2433" i="2"/>
  <c r="AX2432" i="2"/>
  <c r="AV2432" i="2"/>
  <c r="AU2432" i="2"/>
  <c r="AT2432" i="2"/>
  <c r="AS2432" i="2"/>
  <c r="AR2432" i="2"/>
  <c r="AQ2432" i="2"/>
  <c r="AP2432" i="2"/>
  <c r="AO2432" i="2"/>
  <c r="AL2432" i="2"/>
  <c r="AK2432" i="2"/>
  <c r="AJ2432" i="2"/>
  <c r="AI2432" i="2"/>
  <c r="AH2432" i="2"/>
  <c r="AG2432" i="2"/>
  <c r="AE2432" i="2"/>
  <c r="AD2432" i="2"/>
  <c r="AA2432" i="2"/>
  <c r="Z2432" i="2"/>
  <c r="Y2432" i="2"/>
  <c r="X2432" i="2"/>
  <c r="W2432" i="2"/>
  <c r="V2432" i="2"/>
  <c r="U2432" i="2"/>
  <c r="T2432" i="2"/>
  <c r="S2432" i="2"/>
  <c r="R2432" i="2"/>
  <c r="Q2432" i="2"/>
  <c r="P2432" i="2"/>
  <c r="O2432" i="2"/>
  <c r="N2432" i="2"/>
  <c r="M2432" i="2"/>
  <c r="L2432" i="2"/>
  <c r="K2432" i="2"/>
  <c r="J2432" i="2"/>
  <c r="I2432" i="2"/>
  <c r="H2432" i="2"/>
  <c r="G2432" i="2"/>
  <c r="F2432" i="2"/>
  <c r="E2432" i="2"/>
  <c r="D2432" i="2"/>
  <c r="C2432" i="2"/>
  <c r="B2432" i="2"/>
  <c r="A2432" i="2"/>
  <c r="AX2431" i="2"/>
  <c r="AV2431" i="2"/>
  <c r="AU2431" i="2"/>
  <c r="AS2431" i="2"/>
  <c r="AR2431" i="2"/>
  <c r="AO2431" i="2"/>
  <c r="AN2431" i="2"/>
  <c r="AM2431" i="2"/>
  <c r="AK2431" i="2"/>
  <c r="AJ2431" i="2"/>
  <c r="AI2431" i="2"/>
  <c r="AH2431" i="2"/>
  <c r="AG2431" i="2"/>
  <c r="AE2431" i="2"/>
  <c r="AD2431" i="2"/>
  <c r="AC2431" i="2"/>
  <c r="AB2431" i="2"/>
  <c r="AA2431" i="2"/>
  <c r="Z2431" i="2"/>
  <c r="Y2431" i="2"/>
  <c r="X2431" i="2"/>
  <c r="W2431" i="2"/>
  <c r="V2431" i="2"/>
  <c r="U2431" i="2"/>
  <c r="T2431" i="2"/>
  <c r="S2431" i="2"/>
  <c r="R2431" i="2"/>
  <c r="Q2431" i="2"/>
  <c r="P2431" i="2"/>
  <c r="O2431" i="2"/>
  <c r="N2431" i="2"/>
  <c r="M2431" i="2"/>
  <c r="L2431" i="2"/>
  <c r="K2431" i="2"/>
  <c r="J2431" i="2"/>
  <c r="I2431" i="2"/>
  <c r="H2431" i="2"/>
  <c r="G2431" i="2"/>
  <c r="F2431" i="2"/>
  <c r="E2431" i="2"/>
  <c r="D2431" i="2"/>
  <c r="C2431" i="2"/>
  <c r="B2431" i="2"/>
  <c r="A2431" i="2"/>
  <c r="AX2430" i="2"/>
  <c r="AV2430" i="2"/>
  <c r="AU2430" i="2"/>
  <c r="AS2430" i="2"/>
  <c r="AR2430" i="2"/>
  <c r="AO2430" i="2"/>
  <c r="AN2430" i="2"/>
  <c r="AM2430" i="2"/>
  <c r="AL2430" i="2"/>
  <c r="AK2430" i="2"/>
  <c r="AJ2430" i="2"/>
  <c r="AI2430" i="2"/>
  <c r="AH2430" i="2"/>
  <c r="AG2430" i="2"/>
  <c r="AE2430" i="2"/>
  <c r="AD2430" i="2"/>
  <c r="AC2430" i="2"/>
  <c r="AB2430" i="2"/>
  <c r="AA2430" i="2"/>
  <c r="Z2430" i="2"/>
  <c r="Y2430" i="2"/>
  <c r="X2430" i="2"/>
  <c r="W2430" i="2"/>
  <c r="V2430" i="2"/>
  <c r="U2430" i="2"/>
  <c r="T2430" i="2"/>
  <c r="S2430" i="2"/>
  <c r="R2430" i="2"/>
  <c r="Q2430" i="2"/>
  <c r="P2430" i="2"/>
  <c r="O2430" i="2"/>
  <c r="N2430" i="2"/>
  <c r="L2430" i="2"/>
  <c r="K2430" i="2"/>
  <c r="J2430" i="2"/>
  <c r="I2430" i="2"/>
  <c r="H2430" i="2"/>
  <c r="G2430" i="2"/>
  <c r="F2430" i="2"/>
  <c r="E2430" i="2"/>
  <c r="D2430" i="2"/>
  <c r="C2430" i="2"/>
  <c r="B2430" i="2"/>
  <c r="A2430" i="2"/>
  <c r="AX2429" i="2"/>
  <c r="AV2429" i="2"/>
  <c r="AU2429" i="2"/>
  <c r="AS2429" i="2"/>
  <c r="AR2429" i="2"/>
  <c r="AQ2429" i="2"/>
  <c r="AP2429" i="2"/>
  <c r="AO2429" i="2"/>
  <c r="AM2429" i="2"/>
  <c r="AL2429" i="2"/>
  <c r="AK2429" i="2"/>
  <c r="AJ2429" i="2"/>
  <c r="AI2429" i="2"/>
  <c r="AH2429" i="2"/>
  <c r="AG2429" i="2"/>
  <c r="AE2429" i="2"/>
  <c r="AD2429" i="2"/>
  <c r="AA2429" i="2"/>
  <c r="Z2429" i="2"/>
  <c r="Y2429" i="2"/>
  <c r="X2429" i="2"/>
  <c r="W2429" i="2"/>
  <c r="V2429" i="2"/>
  <c r="U2429" i="2"/>
  <c r="T2429" i="2"/>
  <c r="S2429" i="2"/>
  <c r="R2429" i="2"/>
  <c r="Q2429" i="2"/>
  <c r="P2429" i="2"/>
  <c r="O2429" i="2"/>
  <c r="N2429" i="2"/>
  <c r="M2429" i="2"/>
  <c r="L2429" i="2"/>
  <c r="K2429" i="2"/>
  <c r="J2429" i="2"/>
  <c r="I2429" i="2"/>
  <c r="H2429" i="2"/>
  <c r="G2429" i="2"/>
  <c r="F2429" i="2"/>
  <c r="E2429" i="2"/>
  <c r="D2429" i="2"/>
  <c r="C2429" i="2"/>
  <c r="B2429" i="2"/>
  <c r="A2429" i="2"/>
  <c r="AX2428" i="2"/>
  <c r="AV2428" i="2"/>
  <c r="AU2428" i="2"/>
  <c r="AR2428" i="2"/>
  <c r="AQ2428" i="2"/>
  <c r="AO2428" i="2"/>
  <c r="AL2428" i="2"/>
  <c r="AK2428" i="2"/>
  <c r="AI2428" i="2"/>
  <c r="AH2428" i="2"/>
  <c r="AG2428" i="2"/>
  <c r="AE2428" i="2"/>
  <c r="AA2428" i="2"/>
  <c r="Z2428" i="2"/>
  <c r="Y2428" i="2"/>
  <c r="X2428" i="2"/>
  <c r="W2428" i="2"/>
  <c r="V2428" i="2"/>
  <c r="U2428" i="2"/>
  <c r="T2428" i="2"/>
  <c r="S2428" i="2"/>
  <c r="R2428" i="2"/>
  <c r="Q2428" i="2"/>
  <c r="P2428" i="2"/>
  <c r="O2428" i="2"/>
  <c r="N2428" i="2"/>
  <c r="K2428" i="2"/>
  <c r="J2428" i="2"/>
  <c r="I2428" i="2"/>
  <c r="H2428" i="2"/>
  <c r="G2428" i="2"/>
  <c r="F2428" i="2"/>
  <c r="E2428" i="2"/>
  <c r="D2428" i="2"/>
  <c r="C2428" i="2"/>
  <c r="B2428" i="2"/>
  <c r="A2428" i="2"/>
  <c r="AX2427" i="2"/>
  <c r="AV2427" i="2"/>
  <c r="AU2427" i="2"/>
  <c r="AS2427" i="2"/>
  <c r="AR2427" i="2"/>
  <c r="AQ2427" i="2"/>
  <c r="AO2427" i="2"/>
  <c r="AN2427" i="2"/>
  <c r="AM2427" i="2"/>
  <c r="AL2427" i="2"/>
  <c r="AK2427" i="2"/>
  <c r="AI2427" i="2"/>
  <c r="AH2427" i="2"/>
  <c r="AG2427" i="2"/>
  <c r="AE2427" i="2"/>
  <c r="AA2427" i="2"/>
  <c r="Z2427" i="2"/>
  <c r="Y2427" i="2"/>
  <c r="X2427" i="2"/>
  <c r="W2427" i="2"/>
  <c r="V2427" i="2"/>
  <c r="U2427" i="2"/>
  <c r="T2427" i="2"/>
  <c r="S2427" i="2"/>
  <c r="R2427" i="2"/>
  <c r="Q2427" i="2"/>
  <c r="P2427" i="2"/>
  <c r="O2427" i="2"/>
  <c r="N2427" i="2"/>
  <c r="K2427" i="2"/>
  <c r="J2427" i="2"/>
  <c r="I2427" i="2"/>
  <c r="H2427" i="2"/>
  <c r="G2427" i="2"/>
  <c r="F2427" i="2"/>
  <c r="E2427" i="2"/>
  <c r="D2427" i="2"/>
  <c r="C2427" i="2"/>
  <c r="B2427" i="2"/>
  <c r="A2427" i="2"/>
  <c r="AX2426" i="2"/>
  <c r="AV2426" i="2"/>
  <c r="AU2426" i="2"/>
  <c r="AS2426" i="2"/>
  <c r="AR2426" i="2"/>
  <c r="AQ2426" i="2"/>
  <c r="AP2426" i="2"/>
  <c r="AO2426" i="2"/>
  <c r="AL2426" i="2"/>
  <c r="AK2426" i="2"/>
  <c r="AJ2426" i="2"/>
  <c r="AI2426" i="2"/>
  <c r="AH2426" i="2"/>
  <c r="AG2426" i="2"/>
  <c r="AE2426" i="2"/>
  <c r="AD2426" i="2"/>
  <c r="AA2426" i="2"/>
  <c r="Z2426" i="2"/>
  <c r="Y2426" i="2"/>
  <c r="X2426" i="2"/>
  <c r="W2426" i="2"/>
  <c r="V2426" i="2"/>
  <c r="U2426" i="2"/>
  <c r="T2426" i="2"/>
  <c r="S2426" i="2"/>
  <c r="R2426" i="2"/>
  <c r="Q2426" i="2"/>
  <c r="P2426" i="2"/>
  <c r="O2426" i="2"/>
  <c r="N2426" i="2"/>
  <c r="K2426" i="2"/>
  <c r="J2426" i="2"/>
  <c r="I2426" i="2"/>
  <c r="H2426" i="2"/>
  <c r="G2426" i="2"/>
  <c r="F2426" i="2"/>
  <c r="E2426" i="2"/>
  <c r="D2426" i="2"/>
  <c r="C2426" i="2"/>
  <c r="B2426" i="2"/>
  <c r="A2426" i="2"/>
  <c r="AX2425" i="2"/>
  <c r="AV2425" i="2"/>
  <c r="AU2425" i="2"/>
  <c r="AS2425" i="2"/>
  <c r="AR2425" i="2"/>
  <c r="AQ2425" i="2"/>
  <c r="AO2425" i="2"/>
  <c r="AL2425" i="2"/>
  <c r="AK2425" i="2"/>
  <c r="AJ2425" i="2"/>
  <c r="AI2425" i="2"/>
  <c r="AH2425" i="2"/>
  <c r="AG2425" i="2"/>
  <c r="AD2425" i="2"/>
  <c r="AA2425" i="2"/>
  <c r="Z2425" i="2"/>
  <c r="Y2425" i="2"/>
  <c r="X2425" i="2"/>
  <c r="V2425" i="2"/>
  <c r="U2425" i="2"/>
  <c r="T2425" i="2"/>
  <c r="S2425" i="2"/>
  <c r="R2425" i="2"/>
  <c r="Q2425" i="2"/>
  <c r="P2425" i="2"/>
  <c r="O2425" i="2"/>
  <c r="N2425" i="2"/>
  <c r="K2425" i="2"/>
  <c r="J2425" i="2"/>
  <c r="I2425" i="2"/>
  <c r="H2425" i="2"/>
  <c r="G2425" i="2"/>
  <c r="F2425" i="2"/>
  <c r="E2425" i="2"/>
  <c r="D2425" i="2"/>
  <c r="C2425" i="2"/>
  <c r="B2425" i="2"/>
  <c r="A2425" i="2"/>
  <c r="AX2424" i="2"/>
  <c r="AV2424" i="2"/>
  <c r="AU2424" i="2"/>
  <c r="AR2424" i="2"/>
  <c r="AQ2424" i="2"/>
  <c r="AO2424" i="2"/>
  <c r="AL2424" i="2"/>
  <c r="AK2424" i="2"/>
  <c r="AJ2424" i="2"/>
  <c r="AI2424" i="2"/>
  <c r="AH2424" i="2"/>
  <c r="AG2424" i="2"/>
  <c r="AE2424" i="2"/>
  <c r="AD2424" i="2"/>
  <c r="AA2424" i="2"/>
  <c r="Z2424" i="2"/>
  <c r="Y2424" i="2"/>
  <c r="X2424" i="2"/>
  <c r="U2424" i="2"/>
  <c r="T2424" i="2"/>
  <c r="S2424" i="2"/>
  <c r="R2424" i="2"/>
  <c r="Q2424" i="2"/>
  <c r="P2424" i="2"/>
  <c r="O2424" i="2"/>
  <c r="N2424" i="2"/>
  <c r="K2424" i="2"/>
  <c r="J2424" i="2"/>
  <c r="I2424" i="2"/>
  <c r="H2424" i="2"/>
  <c r="G2424" i="2"/>
  <c r="F2424" i="2"/>
  <c r="E2424" i="2"/>
  <c r="D2424" i="2"/>
  <c r="C2424" i="2"/>
  <c r="B2424" i="2"/>
  <c r="A2424" i="2"/>
  <c r="AX2423" i="2"/>
  <c r="AV2423" i="2"/>
  <c r="AU2423" i="2"/>
  <c r="AS2423" i="2"/>
  <c r="AR2423" i="2"/>
  <c r="AQ2423" i="2"/>
  <c r="AP2423" i="2"/>
  <c r="AO2423" i="2"/>
  <c r="AL2423" i="2"/>
  <c r="AK2423" i="2"/>
  <c r="AJ2423" i="2"/>
  <c r="AI2423" i="2"/>
  <c r="AH2423" i="2"/>
  <c r="AG2423" i="2"/>
  <c r="AE2423" i="2"/>
  <c r="AD2423" i="2"/>
  <c r="AA2423" i="2"/>
  <c r="Z2423" i="2"/>
  <c r="Y2423" i="2"/>
  <c r="X2423" i="2"/>
  <c r="W2423" i="2"/>
  <c r="V2423" i="2"/>
  <c r="U2423" i="2"/>
  <c r="T2423" i="2"/>
  <c r="S2423" i="2"/>
  <c r="R2423" i="2"/>
  <c r="Q2423" i="2"/>
  <c r="P2423" i="2"/>
  <c r="O2423" i="2"/>
  <c r="N2423" i="2"/>
  <c r="K2423" i="2"/>
  <c r="J2423" i="2"/>
  <c r="I2423" i="2"/>
  <c r="H2423" i="2"/>
  <c r="G2423" i="2"/>
  <c r="F2423" i="2"/>
  <c r="E2423" i="2"/>
  <c r="D2423" i="2"/>
  <c r="C2423" i="2"/>
  <c r="B2423" i="2"/>
  <c r="A2423" i="2"/>
  <c r="AX2422" i="2"/>
  <c r="AV2422" i="2"/>
  <c r="AU2422" i="2"/>
  <c r="AS2422" i="2"/>
  <c r="AR2422" i="2"/>
  <c r="AQ2422" i="2"/>
  <c r="AP2422" i="2"/>
  <c r="AO2422" i="2"/>
  <c r="AL2422" i="2"/>
  <c r="AK2422" i="2"/>
  <c r="AJ2422" i="2"/>
  <c r="AI2422" i="2"/>
  <c r="AH2422" i="2"/>
  <c r="AG2422" i="2"/>
  <c r="AE2422" i="2"/>
  <c r="AD2422" i="2"/>
  <c r="AA2422" i="2"/>
  <c r="Z2422" i="2"/>
  <c r="Y2422" i="2"/>
  <c r="X2422" i="2"/>
  <c r="W2422" i="2"/>
  <c r="V2422" i="2"/>
  <c r="U2422" i="2"/>
  <c r="T2422" i="2"/>
  <c r="S2422" i="2"/>
  <c r="R2422" i="2"/>
  <c r="Q2422" i="2"/>
  <c r="P2422" i="2"/>
  <c r="O2422" i="2"/>
  <c r="N2422" i="2"/>
  <c r="K2422" i="2"/>
  <c r="J2422" i="2"/>
  <c r="I2422" i="2"/>
  <c r="H2422" i="2"/>
  <c r="G2422" i="2"/>
  <c r="F2422" i="2"/>
  <c r="E2422" i="2"/>
  <c r="D2422" i="2"/>
  <c r="C2422" i="2"/>
  <c r="B2422" i="2"/>
  <c r="A2422" i="2"/>
  <c r="AX2421" i="2"/>
  <c r="AV2421" i="2"/>
  <c r="AU2421" i="2"/>
  <c r="AS2421" i="2"/>
  <c r="AR2421" i="2"/>
  <c r="AQ2421" i="2"/>
  <c r="AP2421" i="2"/>
  <c r="AO2421" i="2"/>
  <c r="AN2421" i="2"/>
  <c r="AM2421" i="2"/>
  <c r="AL2421" i="2"/>
  <c r="AK2421" i="2"/>
  <c r="AI2421" i="2"/>
  <c r="AH2421" i="2"/>
  <c r="AG2421" i="2"/>
  <c r="AF2421" i="2"/>
  <c r="AE2421" i="2"/>
  <c r="AD2421" i="2"/>
  <c r="AC2421" i="2"/>
  <c r="AA2421" i="2"/>
  <c r="Z2421" i="2"/>
  <c r="Y2421" i="2"/>
  <c r="X2421" i="2"/>
  <c r="W2421" i="2"/>
  <c r="V2421" i="2"/>
  <c r="U2421" i="2"/>
  <c r="T2421" i="2"/>
  <c r="S2421" i="2"/>
  <c r="R2421" i="2"/>
  <c r="Q2421" i="2"/>
  <c r="P2421" i="2"/>
  <c r="O2421" i="2"/>
  <c r="N2421" i="2"/>
  <c r="K2421" i="2"/>
  <c r="J2421" i="2"/>
  <c r="I2421" i="2"/>
  <c r="H2421" i="2"/>
  <c r="G2421" i="2"/>
  <c r="F2421" i="2"/>
  <c r="E2421" i="2"/>
  <c r="D2421" i="2"/>
  <c r="C2421" i="2"/>
  <c r="B2421" i="2"/>
  <c r="A2421" i="2"/>
  <c r="AX2420" i="2"/>
  <c r="AV2420" i="2"/>
  <c r="AU2420" i="2"/>
  <c r="AR2420" i="2"/>
  <c r="AQ2420" i="2"/>
  <c r="AO2420" i="2"/>
  <c r="AL2420" i="2"/>
  <c r="AK2420" i="2"/>
  <c r="AJ2420" i="2"/>
  <c r="AI2420" i="2"/>
  <c r="AH2420" i="2"/>
  <c r="AG2420" i="2"/>
  <c r="AF2420" i="2"/>
  <c r="AE2420" i="2"/>
  <c r="AD2420" i="2"/>
  <c r="AA2420" i="2"/>
  <c r="Z2420" i="2"/>
  <c r="Y2420" i="2"/>
  <c r="X2420" i="2"/>
  <c r="V2420" i="2"/>
  <c r="U2420" i="2"/>
  <c r="T2420" i="2"/>
  <c r="S2420" i="2"/>
  <c r="R2420" i="2"/>
  <c r="Q2420" i="2"/>
  <c r="P2420" i="2"/>
  <c r="O2420" i="2"/>
  <c r="N2420" i="2"/>
  <c r="K2420" i="2"/>
  <c r="J2420" i="2"/>
  <c r="I2420" i="2"/>
  <c r="H2420" i="2"/>
  <c r="G2420" i="2"/>
  <c r="F2420" i="2"/>
  <c r="E2420" i="2"/>
  <c r="D2420" i="2"/>
  <c r="C2420" i="2"/>
  <c r="B2420" i="2"/>
  <c r="A2420" i="2"/>
  <c r="AX2419" i="2"/>
  <c r="AV2419" i="2"/>
  <c r="AU2419" i="2"/>
  <c r="AR2419" i="2"/>
  <c r="AQ2419" i="2"/>
  <c r="AO2419" i="2"/>
  <c r="AL2419" i="2"/>
  <c r="AK2419" i="2"/>
  <c r="AJ2419" i="2"/>
  <c r="AI2419" i="2"/>
  <c r="AH2419" i="2"/>
  <c r="AG2419" i="2"/>
  <c r="AE2419" i="2"/>
  <c r="AD2419" i="2"/>
  <c r="AA2419" i="2"/>
  <c r="Z2419" i="2"/>
  <c r="Y2419" i="2"/>
  <c r="X2419" i="2"/>
  <c r="W2419" i="2"/>
  <c r="V2419" i="2"/>
  <c r="U2419" i="2"/>
  <c r="T2419" i="2"/>
  <c r="S2419" i="2"/>
  <c r="R2419" i="2"/>
  <c r="Q2419" i="2"/>
  <c r="P2419" i="2"/>
  <c r="O2419" i="2"/>
  <c r="N2419" i="2"/>
  <c r="K2419" i="2"/>
  <c r="J2419" i="2"/>
  <c r="I2419" i="2"/>
  <c r="H2419" i="2"/>
  <c r="G2419" i="2"/>
  <c r="F2419" i="2"/>
  <c r="E2419" i="2"/>
  <c r="D2419" i="2"/>
  <c r="C2419" i="2"/>
  <c r="B2419" i="2"/>
  <c r="A2419" i="2"/>
  <c r="AX2418" i="2"/>
  <c r="AV2418" i="2"/>
  <c r="AU2418" i="2"/>
  <c r="AS2418" i="2"/>
  <c r="AR2418" i="2"/>
  <c r="AQ2418" i="2"/>
  <c r="AO2418" i="2"/>
  <c r="AM2418" i="2"/>
  <c r="AL2418" i="2"/>
  <c r="AK2418" i="2"/>
  <c r="AJ2418" i="2"/>
  <c r="AI2418" i="2"/>
  <c r="AH2418" i="2"/>
  <c r="AG2418" i="2"/>
  <c r="AE2418" i="2"/>
  <c r="AD2418" i="2"/>
  <c r="AA2418" i="2"/>
  <c r="Z2418" i="2"/>
  <c r="Y2418" i="2"/>
  <c r="X2418" i="2"/>
  <c r="W2418" i="2"/>
  <c r="V2418" i="2"/>
  <c r="U2418" i="2"/>
  <c r="T2418" i="2"/>
  <c r="S2418" i="2"/>
  <c r="R2418" i="2"/>
  <c r="Q2418" i="2"/>
  <c r="P2418" i="2"/>
  <c r="O2418" i="2"/>
  <c r="N2418" i="2"/>
  <c r="K2418" i="2"/>
  <c r="J2418" i="2"/>
  <c r="I2418" i="2"/>
  <c r="H2418" i="2"/>
  <c r="G2418" i="2"/>
  <c r="F2418" i="2"/>
  <c r="E2418" i="2"/>
  <c r="D2418" i="2"/>
  <c r="C2418" i="2"/>
  <c r="B2418" i="2"/>
  <c r="A2418" i="2"/>
  <c r="AX2417" i="2"/>
  <c r="AV2417" i="2"/>
  <c r="AU2417" i="2"/>
  <c r="AS2417" i="2"/>
  <c r="AR2417" i="2"/>
  <c r="AQ2417" i="2"/>
  <c r="AP2417" i="2"/>
  <c r="AO2417" i="2"/>
  <c r="AN2417" i="2"/>
  <c r="AM2417" i="2"/>
  <c r="AL2417" i="2"/>
  <c r="AK2417" i="2"/>
  <c r="AJ2417" i="2"/>
  <c r="AI2417" i="2"/>
  <c r="AH2417" i="2"/>
  <c r="AG2417" i="2"/>
  <c r="AD2417" i="2"/>
  <c r="AA2417" i="2"/>
  <c r="Z2417" i="2"/>
  <c r="Y2417" i="2"/>
  <c r="X2417" i="2"/>
  <c r="U2417" i="2"/>
  <c r="T2417" i="2"/>
  <c r="S2417" i="2"/>
  <c r="R2417" i="2"/>
  <c r="Q2417" i="2"/>
  <c r="P2417" i="2"/>
  <c r="O2417" i="2"/>
  <c r="N2417" i="2"/>
  <c r="K2417" i="2"/>
  <c r="J2417" i="2"/>
  <c r="I2417" i="2"/>
  <c r="H2417" i="2"/>
  <c r="G2417" i="2"/>
  <c r="F2417" i="2"/>
  <c r="E2417" i="2"/>
  <c r="D2417" i="2"/>
  <c r="C2417" i="2"/>
  <c r="B2417" i="2"/>
  <c r="A2417" i="2"/>
  <c r="AX2416" i="2"/>
  <c r="AV2416" i="2"/>
  <c r="AU2416" i="2"/>
  <c r="AR2416" i="2"/>
  <c r="AQ2416" i="2"/>
  <c r="AP2416" i="2"/>
  <c r="AO2416" i="2"/>
  <c r="AL2416" i="2"/>
  <c r="AK2416" i="2"/>
  <c r="AJ2416" i="2"/>
  <c r="AI2416" i="2"/>
  <c r="AH2416" i="2"/>
  <c r="AG2416" i="2"/>
  <c r="AF2416" i="2"/>
  <c r="AE2416" i="2"/>
  <c r="AD2416" i="2"/>
  <c r="AA2416" i="2"/>
  <c r="Z2416" i="2"/>
  <c r="Y2416" i="2"/>
  <c r="X2416" i="2"/>
  <c r="W2416" i="2"/>
  <c r="V2416" i="2"/>
  <c r="U2416" i="2"/>
  <c r="T2416" i="2"/>
  <c r="S2416" i="2"/>
  <c r="R2416" i="2"/>
  <c r="Q2416" i="2"/>
  <c r="P2416" i="2"/>
  <c r="O2416" i="2"/>
  <c r="N2416" i="2"/>
  <c r="K2416" i="2"/>
  <c r="J2416" i="2"/>
  <c r="I2416" i="2"/>
  <c r="H2416" i="2"/>
  <c r="G2416" i="2"/>
  <c r="F2416" i="2"/>
  <c r="E2416" i="2"/>
  <c r="D2416" i="2"/>
  <c r="C2416" i="2"/>
  <c r="B2416" i="2"/>
  <c r="A2416" i="2"/>
  <c r="AX2415" i="2"/>
  <c r="AV2415" i="2"/>
  <c r="AU2415" i="2"/>
  <c r="AR2415" i="2"/>
  <c r="AQ2415" i="2"/>
  <c r="AO2415" i="2"/>
  <c r="AL2415" i="2"/>
  <c r="AK2415" i="2"/>
  <c r="AJ2415" i="2"/>
  <c r="AI2415" i="2"/>
  <c r="AH2415" i="2"/>
  <c r="AG2415" i="2"/>
  <c r="AE2415" i="2"/>
  <c r="AA2415" i="2"/>
  <c r="Z2415" i="2"/>
  <c r="Y2415" i="2"/>
  <c r="X2415" i="2"/>
  <c r="W2415" i="2"/>
  <c r="V2415" i="2"/>
  <c r="U2415" i="2"/>
  <c r="T2415" i="2"/>
  <c r="S2415" i="2"/>
  <c r="R2415" i="2"/>
  <c r="Q2415" i="2"/>
  <c r="P2415" i="2"/>
  <c r="O2415" i="2"/>
  <c r="N2415" i="2"/>
  <c r="K2415" i="2"/>
  <c r="J2415" i="2"/>
  <c r="I2415" i="2"/>
  <c r="H2415" i="2"/>
  <c r="G2415" i="2"/>
  <c r="F2415" i="2"/>
  <c r="E2415" i="2"/>
  <c r="D2415" i="2"/>
  <c r="C2415" i="2"/>
  <c r="B2415" i="2"/>
  <c r="A2415" i="2"/>
  <c r="AX2414" i="2"/>
  <c r="AV2414" i="2"/>
  <c r="AU2414" i="2"/>
  <c r="AS2414" i="2"/>
  <c r="AR2414" i="2"/>
  <c r="AQ2414" i="2"/>
  <c r="AO2414" i="2"/>
  <c r="AN2414" i="2"/>
  <c r="AM2414" i="2"/>
  <c r="AL2414" i="2"/>
  <c r="AK2414" i="2"/>
  <c r="AJ2414" i="2"/>
  <c r="AI2414" i="2"/>
  <c r="AH2414" i="2"/>
  <c r="AG2414" i="2"/>
  <c r="AE2414" i="2"/>
  <c r="AD2414" i="2"/>
  <c r="AA2414" i="2"/>
  <c r="Z2414" i="2"/>
  <c r="Y2414" i="2"/>
  <c r="W2414" i="2"/>
  <c r="V2414" i="2"/>
  <c r="U2414" i="2"/>
  <c r="T2414" i="2"/>
  <c r="S2414" i="2"/>
  <c r="R2414" i="2"/>
  <c r="Q2414" i="2"/>
  <c r="P2414" i="2"/>
  <c r="O2414" i="2"/>
  <c r="N2414" i="2"/>
  <c r="K2414" i="2"/>
  <c r="J2414" i="2"/>
  <c r="I2414" i="2"/>
  <c r="H2414" i="2"/>
  <c r="G2414" i="2"/>
  <c r="F2414" i="2"/>
  <c r="E2414" i="2"/>
  <c r="D2414" i="2"/>
  <c r="C2414" i="2"/>
  <c r="B2414" i="2"/>
  <c r="A2414" i="2"/>
  <c r="AX2413" i="2"/>
  <c r="AV2413" i="2"/>
  <c r="AU2413" i="2"/>
  <c r="AS2413" i="2"/>
  <c r="AR2413" i="2"/>
  <c r="AQ2413" i="2"/>
  <c r="AO2413" i="2"/>
  <c r="AN2413" i="2"/>
  <c r="AM2413" i="2"/>
  <c r="AL2413" i="2"/>
  <c r="AK2413" i="2"/>
  <c r="AJ2413" i="2"/>
  <c r="AI2413" i="2"/>
  <c r="AH2413" i="2"/>
  <c r="AG2413" i="2"/>
  <c r="AE2413" i="2"/>
  <c r="AA2413" i="2"/>
  <c r="Z2413" i="2"/>
  <c r="Y2413" i="2"/>
  <c r="X2413" i="2"/>
  <c r="W2413" i="2"/>
  <c r="V2413" i="2"/>
  <c r="U2413" i="2"/>
  <c r="T2413" i="2"/>
  <c r="S2413" i="2"/>
  <c r="R2413" i="2"/>
  <c r="Q2413" i="2"/>
  <c r="P2413" i="2"/>
  <c r="O2413" i="2"/>
  <c r="N2413" i="2"/>
  <c r="K2413" i="2"/>
  <c r="J2413" i="2"/>
  <c r="I2413" i="2"/>
  <c r="H2413" i="2"/>
  <c r="G2413" i="2"/>
  <c r="F2413" i="2"/>
  <c r="E2413" i="2"/>
  <c r="D2413" i="2"/>
  <c r="C2413" i="2"/>
  <c r="B2413" i="2"/>
  <c r="A2413" i="2"/>
  <c r="AX2412" i="2"/>
  <c r="AV2412" i="2"/>
  <c r="AU2412" i="2"/>
  <c r="AS2412" i="2"/>
  <c r="AR2412" i="2"/>
  <c r="AQ2412" i="2"/>
  <c r="AO2412" i="2"/>
  <c r="AL2412" i="2"/>
  <c r="AK2412" i="2"/>
  <c r="AJ2412" i="2"/>
  <c r="AI2412" i="2"/>
  <c r="AH2412" i="2"/>
  <c r="AG2412" i="2"/>
  <c r="AE2412" i="2"/>
  <c r="AD2412" i="2"/>
  <c r="AA2412" i="2"/>
  <c r="Z2412" i="2"/>
  <c r="Y2412" i="2"/>
  <c r="X2412" i="2"/>
  <c r="W2412" i="2"/>
  <c r="V2412" i="2"/>
  <c r="U2412" i="2"/>
  <c r="T2412" i="2"/>
  <c r="S2412" i="2"/>
  <c r="R2412" i="2"/>
  <c r="Q2412" i="2"/>
  <c r="P2412" i="2"/>
  <c r="O2412" i="2"/>
  <c r="N2412" i="2"/>
  <c r="K2412" i="2"/>
  <c r="J2412" i="2"/>
  <c r="I2412" i="2"/>
  <c r="H2412" i="2"/>
  <c r="G2412" i="2"/>
  <c r="F2412" i="2"/>
  <c r="E2412" i="2"/>
  <c r="D2412" i="2"/>
  <c r="C2412" i="2"/>
  <c r="B2412" i="2"/>
  <c r="A2412" i="2"/>
  <c r="AX2411" i="2"/>
  <c r="AV2411" i="2"/>
  <c r="AU2411" i="2"/>
  <c r="AR2411" i="2"/>
  <c r="AQ2411" i="2"/>
  <c r="AO2411" i="2"/>
  <c r="AL2411" i="2"/>
  <c r="AK2411" i="2"/>
  <c r="AJ2411" i="2"/>
  <c r="AI2411" i="2"/>
  <c r="AH2411" i="2"/>
  <c r="AG2411" i="2"/>
  <c r="AD2411" i="2"/>
  <c r="AA2411" i="2"/>
  <c r="Z2411" i="2"/>
  <c r="Y2411" i="2"/>
  <c r="V2411" i="2"/>
  <c r="U2411" i="2"/>
  <c r="T2411" i="2"/>
  <c r="S2411" i="2"/>
  <c r="R2411" i="2"/>
  <c r="Q2411" i="2"/>
  <c r="P2411" i="2"/>
  <c r="O2411" i="2"/>
  <c r="N2411" i="2"/>
  <c r="K2411" i="2"/>
  <c r="J2411" i="2"/>
  <c r="I2411" i="2"/>
  <c r="H2411" i="2"/>
  <c r="G2411" i="2"/>
  <c r="F2411" i="2"/>
  <c r="E2411" i="2"/>
  <c r="D2411" i="2"/>
  <c r="C2411" i="2"/>
  <c r="B2411" i="2"/>
  <c r="A2411" i="2"/>
  <c r="AX2410" i="2"/>
  <c r="AV2410" i="2"/>
  <c r="AU2410" i="2"/>
  <c r="AR2410" i="2"/>
  <c r="AQ2410" i="2"/>
  <c r="AO2410" i="2"/>
  <c r="AL2410" i="2"/>
  <c r="AK2410" i="2"/>
  <c r="AJ2410" i="2"/>
  <c r="AI2410" i="2"/>
  <c r="AH2410" i="2"/>
  <c r="AG2410" i="2"/>
  <c r="AE2410" i="2"/>
  <c r="AA2410" i="2"/>
  <c r="Z2410" i="2"/>
  <c r="Y2410" i="2"/>
  <c r="X2410" i="2"/>
  <c r="W2410" i="2"/>
  <c r="V2410" i="2"/>
  <c r="U2410" i="2"/>
  <c r="T2410" i="2"/>
  <c r="S2410" i="2"/>
  <c r="R2410" i="2"/>
  <c r="Q2410" i="2"/>
  <c r="P2410" i="2"/>
  <c r="O2410" i="2"/>
  <c r="N2410" i="2"/>
  <c r="K2410" i="2"/>
  <c r="J2410" i="2"/>
  <c r="I2410" i="2"/>
  <c r="H2410" i="2"/>
  <c r="G2410" i="2"/>
  <c r="F2410" i="2"/>
  <c r="E2410" i="2"/>
  <c r="D2410" i="2"/>
  <c r="C2410" i="2"/>
  <c r="B2410" i="2"/>
  <c r="A2410" i="2"/>
  <c r="AX2409" i="2"/>
  <c r="AV2409" i="2"/>
  <c r="AU2409" i="2"/>
  <c r="AR2409" i="2"/>
  <c r="AQ2409" i="2"/>
  <c r="AO2409" i="2"/>
  <c r="AL2409" i="2"/>
  <c r="AK2409" i="2"/>
  <c r="AJ2409" i="2"/>
  <c r="AI2409" i="2"/>
  <c r="AH2409" i="2"/>
  <c r="AG2409" i="2"/>
  <c r="AF2409" i="2"/>
  <c r="AE2409" i="2"/>
  <c r="AD2409" i="2"/>
  <c r="AA2409" i="2"/>
  <c r="Z2409" i="2"/>
  <c r="Y2409" i="2"/>
  <c r="X2409" i="2"/>
  <c r="W2409" i="2"/>
  <c r="V2409" i="2"/>
  <c r="U2409" i="2"/>
  <c r="T2409" i="2"/>
  <c r="S2409" i="2"/>
  <c r="R2409" i="2"/>
  <c r="Q2409" i="2"/>
  <c r="P2409" i="2"/>
  <c r="O2409" i="2"/>
  <c r="N2409" i="2"/>
  <c r="K2409" i="2"/>
  <c r="J2409" i="2"/>
  <c r="I2409" i="2"/>
  <c r="H2409" i="2"/>
  <c r="G2409" i="2"/>
  <c r="F2409" i="2"/>
  <c r="E2409" i="2"/>
  <c r="D2409" i="2"/>
  <c r="C2409" i="2"/>
  <c r="B2409" i="2"/>
  <c r="A2409" i="2"/>
  <c r="AX2408" i="2"/>
  <c r="AV2408" i="2"/>
  <c r="AU2408" i="2"/>
  <c r="AS2408" i="2"/>
  <c r="AR2408" i="2"/>
  <c r="AQ2408" i="2"/>
  <c r="AO2408" i="2"/>
  <c r="AL2408" i="2"/>
  <c r="AK2408" i="2"/>
  <c r="AJ2408" i="2"/>
  <c r="AI2408" i="2"/>
  <c r="AH2408" i="2"/>
  <c r="AG2408" i="2"/>
  <c r="AE2408" i="2"/>
  <c r="AD2408" i="2"/>
  <c r="AA2408" i="2"/>
  <c r="Z2408" i="2"/>
  <c r="Y2408" i="2"/>
  <c r="X2408" i="2"/>
  <c r="W2408" i="2"/>
  <c r="V2408" i="2"/>
  <c r="U2408" i="2"/>
  <c r="T2408" i="2"/>
  <c r="S2408" i="2"/>
  <c r="R2408" i="2"/>
  <c r="Q2408" i="2"/>
  <c r="P2408" i="2"/>
  <c r="O2408" i="2"/>
  <c r="N2408" i="2"/>
  <c r="K2408" i="2"/>
  <c r="J2408" i="2"/>
  <c r="I2408" i="2"/>
  <c r="H2408" i="2"/>
  <c r="G2408" i="2"/>
  <c r="F2408" i="2"/>
  <c r="E2408" i="2"/>
  <c r="D2408" i="2"/>
  <c r="C2408" i="2"/>
  <c r="B2408" i="2"/>
  <c r="A2408" i="2"/>
  <c r="AX2407" i="2"/>
  <c r="AV2407" i="2"/>
  <c r="AU2407" i="2"/>
  <c r="AS2407" i="2"/>
  <c r="AR2407" i="2"/>
  <c r="AQ2407" i="2"/>
  <c r="AP2407" i="2"/>
  <c r="AO2407" i="2"/>
  <c r="AN2407" i="2"/>
  <c r="AM2407" i="2"/>
  <c r="AL2407" i="2"/>
  <c r="AK2407" i="2"/>
  <c r="AJ2407" i="2"/>
  <c r="AI2407" i="2"/>
  <c r="AH2407" i="2"/>
  <c r="AG2407" i="2"/>
  <c r="AE2407" i="2"/>
  <c r="AD2407" i="2"/>
  <c r="AA2407" i="2"/>
  <c r="Z2407" i="2"/>
  <c r="Y2407" i="2"/>
  <c r="W2407" i="2"/>
  <c r="V2407" i="2"/>
  <c r="U2407" i="2"/>
  <c r="T2407" i="2"/>
  <c r="S2407" i="2"/>
  <c r="R2407" i="2"/>
  <c r="Q2407" i="2"/>
  <c r="P2407" i="2"/>
  <c r="O2407" i="2"/>
  <c r="N2407" i="2"/>
  <c r="K2407" i="2"/>
  <c r="J2407" i="2"/>
  <c r="I2407" i="2"/>
  <c r="H2407" i="2"/>
  <c r="G2407" i="2"/>
  <c r="F2407" i="2"/>
  <c r="E2407" i="2"/>
  <c r="D2407" i="2"/>
  <c r="C2407" i="2"/>
  <c r="B2407" i="2"/>
  <c r="A2407" i="2"/>
  <c r="AX2406" i="2"/>
  <c r="AV2406" i="2"/>
  <c r="AU2406" i="2"/>
  <c r="AS2406" i="2"/>
  <c r="AR2406" i="2"/>
  <c r="AQ2406" i="2"/>
  <c r="AP2406" i="2"/>
  <c r="AO2406" i="2"/>
  <c r="AL2406" i="2"/>
  <c r="AK2406" i="2"/>
  <c r="AJ2406" i="2"/>
  <c r="AI2406" i="2"/>
  <c r="AH2406" i="2"/>
  <c r="AG2406" i="2"/>
  <c r="AE2406" i="2"/>
  <c r="AD2406" i="2"/>
  <c r="AA2406" i="2"/>
  <c r="Z2406" i="2"/>
  <c r="Y2406" i="2"/>
  <c r="X2406" i="2"/>
  <c r="W2406" i="2"/>
  <c r="V2406" i="2"/>
  <c r="U2406" i="2"/>
  <c r="T2406" i="2"/>
  <c r="S2406" i="2"/>
  <c r="R2406" i="2"/>
  <c r="Q2406" i="2"/>
  <c r="P2406" i="2"/>
  <c r="O2406" i="2"/>
  <c r="N2406" i="2"/>
  <c r="K2406" i="2"/>
  <c r="J2406" i="2"/>
  <c r="I2406" i="2"/>
  <c r="H2406" i="2"/>
  <c r="G2406" i="2"/>
  <c r="F2406" i="2"/>
  <c r="E2406" i="2"/>
  <c r="D2406" i="2"/>
  <c r="C2406" i="2"/>
  <c r="B2406" i="2"/>
  <c r="A2406" i="2"/>
  <c r="AX2405" i="2"/>
  <c r="AV2405" i="2"/>
  <c r="AU2405" i="2"/>
  <c r="AR2405" i="2"/>
  <c r="AQ2405" i="2"/>
  <c r="AO2405" i="2"/>
  <c r="AN2405" i="2"/>
  <c r="AM2405" i="2"/>
  <c r="AL2405" i="2"/>
  <c r="AK2405" i="2"/>
  <c r="AJ2405" i="2"/>
  <c r="AI2405" i="2"/>
  <c r="AH2405" i="2"/>
  <c r="AG2405" i="2"/>
  <c r="AE2405" i="2"/>
  <c r="Z2405" i="2"/>
  <c r="Y2405" i="2"/>
  <c r="U2405" i="2"/>
  <c r="T2405" i="2"/>
  <c r="S2405" i="2"/>
  <c r="R2405" i="2"/>
  <c r="Q2405" i="2"/>
  <c r="P2405" i="2"/>
  <c r="O2405" i="2"/>
  <c r="N2405" i="2"/>
  <c r="K2405" i="2"/>
  <c r="J2405" i="2"/>
  <c r="I2405" i="2"/>
  <c r="H2405" i="2"/>
  <c r="G2405" i="2"/>
  <c r="F2405" i="2"/>
  <c r="E2405" i="2"/>
  <c r="D2405" i="2"/>
  <c r="C2405" i="2"/>
  <c r="B2405" i="2"/>
  <c r="A2405" i="2"/>
  <c r="AX2404" i="2"/>
  <c r="AV2404" i="2"/>
  <c r="AU2404" i="2"/>
  <c r="AS2404" i="2"/>
  <c r="AP2404" i="2"/>
  <c r="AO2404" i="2"/>
  <c r="AM2404" i="2"/>
  <c r="AK2404" i="2"/>
  <c r="AI2404" i="2"/>
  <c r="AH2404" i="2"/>
  <c r="AG2404" i="2"/>
  <c r="AE2404" i="2"/>
  <c r="Z2404" i="2"/>
  <c r="Y2404" i="2"/>
  <c r="U2404" i="2"/>
  <c r="R2404" i="2"/>
  <c r="Q2404" i="2"/>
  <c r="P2404" i="2"/>
  <c r="O2404" i="2"/>
  <c r="N2404" i="2"/>
  <c r="M2404" i="2"/>
  <c r="L2404" i="2"/>
  <c r="K2404" i="2"/>
  <c r="J2404" i="2"/>
  <c r="I2404" i="2"/>
  <c r="H2404" i="2"/>
  <c r="G2404" i="2"/>
  <c r="F2404" i="2"/>
  <c r="E2404" i="2"/>
  <c r="D2404" i="2"/>
  <c r="C2404" i="2"/>
  <c r="B2404" i="2"/>
  <c r="A2404" i="2"/>
  <c r="AX2403" i="2"/>
  <c r="AV2403" i="2"/>
  <c r="AU2403" i="2"/>
  <c r="AS2403" i="2"/>
  <c r="AR2403" i="2"/>
  <c r="AQ2403" i="2"/>
  <c r="AO2403" i="2"/>
  <c r="AL2403" i="2"/>
  <c r="AK2403" i="2"/>
  <c r="AJ2403" i="2"/>
  <c r="AI2403" i="2"/>
  <c r="AH2403" i="2"/>
  <c r="AG2403" i="2"/>
  <c r="AE2403" i="2"/>
  <c r="AD2403" i="2"/>
  <c r="AA2403" i="2"/>
  <c r="Z2403" i="2"/>
  <c r="Y2403" i="2"/>
  <c r="V2403" i="2"/>
  <c r="U2403" i="2"/>
  <c r="T2403" i="2"/>
  <c r="S2403" i="2"/>
  <c r="R2403" i="2"/>
  <c r="Q2403" i="2"/>
  <c r="P2403" i="2"/>
  <c r="O2403" i="2"/>
  <c r="N2403" i="2"/>
  <c r="K2403" i="2"/>
  <c r="J2403" i="2"/>
  <c r="I2403" i="2"/>
  <c r="H2403" i="2"/>
  <c r="G2403" i="2"/>
  <c r="F2403" i="2"/>
  <c r="E2403" i="2"/>
  <c r="D2403" i="2"/>
  <c r="C2403" i="2"/>
  <c r="B2403" i="2"/>
  <c r="A2403" i="2"/>
  <c r="AX2402" i="2"/>
  <c r="AV2402" i="2"/>
  <c r="AU2402" i="2"/>
  <c r="AS2402" i="2"/>
  <c r="AR2402" i="2"/>
  <c r="AQ2402" i="2"/>
  <c r="AP2402" i="2"/>
  <c r="AO2402" i="2"/>
  <c r="AN2402" i="2"/>
  <c r="AM2402" i="2"/>
  <c r="AL2402" i="2"/>
  <c r="AK2402" i="2"/>
  <c r="AJ2402" i="2"/>
  <c r="AI2402" i="2"/>
  <c r="AH2402" i="2"/>
  <c r="AG2402" i="2"/>
  <c r="AE2402" i="2"/>
  <c r="AD2402" i="2"/>
  <c r="AC2402" i="2"/>
  <c r="AA2402" i="2"/>
  <c r="Z2402" i="2"/>
  <c r="Y2402" i="2"/>
  <c r="W2402" i="2"/>
  <c r="V2402" i="2"/>
  <c r="U2402" i="2"/>
  <c r="T2402" i="2"/>
  <c r="S2402" i="2"/>
  <c r="R2402" i="2"/>
  <c r="Q2402" i="2"/>
  <c r="P2402" i="2"/>
  <c r="O2402" i="2"/>
  <c r="N2402" i="2"/>
  <c r="K2402" i="2"/>
  <c r="J2402" i="2"/>
  <c r="I2402" i="2"/>
  <c r="H2402" i="2"/>
  <c r="G2402" i="2"/>
  <c r="F2402" i="2"/>
  <c r="E2402" i="2"/>
  <c r="D2402" i="2"/>
  <c r="C2402" i="2"/>
  <c r="B2402" i="2"/>
  <c r="A2402" i="2"/>
  <c r="AX2401" i="2"/>
  <c r="AV2401" i="2"/>
  <c r="AU2401" i="2"/>
  <c r="AS2401" i="2"/>
  <c r="AR2401" i="2"/>
  <c r="AQ2401" i="2"/>
  <c r="AP2401" i="2"/>
  <c r="AO2401" i="2"/>
  <c r="AL2401" i="2"/>
  <c r="AK2401" i="2"/>
  <c r="AJ2401" i="2"/>
  <c r="AI2401" i="2"/>
  <c r="AH2401" i="2"/>
  <c r="AG2401" i="2"/>
  <c r="AF2401" i="2"/>
  <c r="AE2401" i="2"/>
  <c r="AD2401" i="2"/>
  <c r="AA2401" i="2"/>
  <c r="Z2401" i="2"/>
  <c r="Y2401" i="2"/>
  <c r="X2401" i="2"/>
  <c r="W2401" i="2"/>
  <c r="V2401" i="2"/>
  <c r="U2401" i="2"/>
  <c r="T2401" i="2"/>
  <c r="S2401" i="2"/>
  <c r="R2401" i="2"/>
  <c r="Q2401" i="2"/>
  <c r="P2401" i="2"/>
  <c r="O2401" i="2"/>
  <c r="N2401" i="2"/>
  <c r="K2401" i="2"/>
  <c r="J2401" i="2"/>
  <c r="I2401" i="2"/>
  <c r="H2401" i="2"/>
  <c r="G2401" i="2"/>
  <c r="F2401" i="2"/>
  <c r="E2401" i="2"/>
  <c r="D2401" i="2"/>
  <c r="C2401" i="2"/>
  <c r="B2401" i="2"/>
  <c r="A2401" i="2"/>
  <c r="AX2400" i="2"/>
  <c r="AV2400" i="2"/>
  <c r="AU2400" i="2"/>
  <c r="AS2400" i="2"/>
  <c r="AR2400" i="2"/>
  <c r="AQ2400" i="2"/>
  <c r="AP2400" i="2"/>
  <c r="AO2400" i="2"/>
  <c r="AL2400" i="2"/>
  <c r="AK2400" i="2"/>
  <c r="AJ2400" i="2"/>
  <c r="AI2400" i="2"/>
  <c r="AH2400" i="2"/>
  <c r="AG2400" i="2"/>
  <c r="AE2400" i="2"/>
  <c r="AD2400" i="2"/>
  <c r="AA2400" i="2"/>
  <c r="Z2400" i="2"/>
  <c r="Y2400" i="2"/>
  <c r="X2400" i="2"/>
  <c r="W2400" i="2"/>
  <c r="V2400" i="2"/>
  <c r="U2400" i="2"/>
  <c r="T2400" i="2"/>
  <c r="S2400" i="2"/>
  <c r="R2400" i="2"/>
  <c r="Q2400" i="2"/>
  <c r="P2400" i="2"/>
  <c r="O2400" i="2"/>
  <c r="N2400" i="2"/>
  <c r="K2400" i="2"/>
  <c r="J2400" i="2"/>
  <c r="I2400" i="2"/>
  <c r="H2400" i="2"/>
  <c r="G2400" i="2"/>
  <c r="F2400" i="2"/>
  <c r="E2400" i="2"/>
  <c r="D2400" i="2"/>
  <c r="C2400" i="2"/>
  <c r="B2400" i="2"/>
  <c r="A2400" i="2"/>
  <c r="AX2399" i="2"/>
  <c r="AV2399" i="2"/>
  <c r="AU2399" i="2"/>
  <c r="AT2399" i="2"/>
  <c r="AS2399" i="2"/>
  <c r="AR2399" i="2"/>
  <c r="AQ2399" i="2"/>
  <c r="AO2399" i="2"/>
  <c r="AN2399" i="2"/>
  <c r="AM2399" i="2"/>
  <c r="AL2399" i="2"/>
  <c r="AK2399" i="2"/>
  <c r="AJ2399" i="2"/>
  <c r="AI2399" i="2"/>
  <c r="AH2399" i="2"/>
  <c r="AG2399" i="2"/>
  <c r="AE2399" i="2"/>
  <c r="AD2399" i="2"/>
  <c r="AA2399" i="2"/>
  <c r="Z2399" i="2"/>
  <c r="Y2399" i="2"/>
  <c r="U2399" i="2"/>
  <c r="T2399" i="2"/>
  <c r="S2399" i="2"/>
  <c r="R2399" i="2"/>
  <c r="Q2399" i="2"/>
  <c r="P2399" i="2"/>
  <c r="O2399" i="2"/>
  <c r="N2399" i="2"/>
  <c r="K2399" i="2"/>
  <c r="J2399" i="2"/>
  <c r="I2399" i="2"/>
  <c r="H2399" i="2"/>
  <c r="G2399" i="2"/>
  <c r="F2399" i="2"/>
  <c r="E2399" i="2"/>
  <c r="D2399" i="2"/>
  <c r="C2399" i="2"/>
  <c r="B2399" i="2"/>
  <c r="A2399" i="2"/>
  <c r="AX2398" i="2"/>
  <c r="AV2398" i="2"/>
  <c r="AU2398" i="2"/>
  <c r="AS2398" i="2"/>
  <c r="AR2398" i="2"/>
  <c r="AQ2398" i="2"/>
  <c r="AP2398" i="2"/>
  <c r="AO2398" i="2"/>
  <c r="AN2398" i="2"/>
  <c r="AM2398" i="2"/>
  <c r="AL2398" i="2"/>
  <c r="AK2398" i="2"/>
  <c r="AJ2398" i="2"/>
  <c r="AI2398" i="2"/>
  <c r="AH2398" i="2"/>
  <c r="AG2398" i="2"/>
  <c r="AE2398" i="2"/>
  <c r="AD2398" i="2"/>
  <c r="AA2398" i="2"/>
  <c r="Z2398" i="2"/>
  <c r="Y2398" i="2"/>
  <c r="W2398" i="2"/>
  <c r="V2398" i="2"/>
  <c r="U2398" i="2"/>
  <c r="T2398" i="2"/>
  <c r="S2398" i="2"/>
  <c r="R2398" i="2"/>
  <c r="Q2398" i="2"/>
  <c r="P2398" i="2"/>
  <c r="O2398" i="2"/>
  <c r="N2398" i="2"/>
  <c r="K2398" i="2"/>
  <c r="J2398" i="2"/>
  <c r="I2398" i="2"/>
  <c r="H2398" i="2"/>
  <c r="G2398" i="2"/>
  <c r="F2398" i="2"/>
  <c r="E2398" i="2"/>
  <c r="D2398" i="2"/>
  <c r="C2398" i="2"/>
  <c r="B2398" i="2"/>
  <c r="A2398" i="2"/>
  <c r="AX2397" i="2"/>
  <c r="AV2397" i="2"/>
  <c r="AU2397" i="2"/>
  <c r="AS2397" i="2"/>
  <c r="AR2397" i="2"/>
  <c r="AQ2397" i="2"/>
  <c r="AP2397" i="2"/>
  <c r="AO2397" i="2"/>
  <c r="AL2397" i="2"/>
  <c r="AK2397" i="2"/>
  <c r="AJ2397" i="2"/>
  <c r="AI2397" i="2"/>
  <c r="AH2397" i="2"/>
  <c r="AG2397" i="2"/>
  <c r="AE2397" i="2"/>
  <c r="AD2397" i="2"/>
  <c r="AA2397" i="2"/>
  <c r="Z2397" i="2"/>
  <c r="Y2397" i="2"/>
  <c r="X2397" i="2"/>
  <c r="W2397" i="2"/>
  <c r="V2397" i="2"/>
  <c r="U2397" i="2"/>
  <c r="T2397" i="2"/>
  <c r="S2397" i="2"/>
  <c r="R2397" i="2"/>
  <c r="Q2397" i="2"/>
  <c r="P2397" i="2"/>
  <c r="O2397" i="2"/>
  <c r="N2397" i="2"/>
  <c r="K2397" i="2"/>
  <c r="J2397" i="2"/>
  <c r="I2397" i="2"/>
  <c r="H2397" i="2"/>
  <c r="G2397" i="2"/>
  <c r="F2397" i="2"/>
  <c r="E2397" i="2"/>
  <c r="D2397" i="2"/>
  <c r="C2397" i="2"/>
  <c r="B2397" i="2"/>
  <c r="A2397" i="2"/>
  <c r="AX2396" i="2"/>
  <c r="AV2396" i="2"/>
  <c r="AU2396" i="2"/>
  <c r="AS2396" i="2"/>
  <c r="AR2396" i="2"/>
  <c r="AQ2396" i="2"/>
  <c r="AO2396" i="2"/>
  <c r="AL2396" i="2"/>
  <c r="AK2396" i="2"/>
  <c r="AJ2396" i="2"/>
  <c r="AI2396" i="2"/>
  <c r="AH2396" i="2"/>
  <c r="AG2396" i="2"/>
  <c r="AE2396" i="2"/>
  <c r="AD2396" i="2"/>
  <c r="AA2396" i="2"/>
  <c r="Z2396" i="2"/>
  <c r="Y2396" i="2"/>
  <c r="X2396" i="2"/>
  <c r="W2396" i="2"/>
  <c r="V2396" i="2"/>
  <c r="U2396" i="2"/>
  <c r="T2396" i="2"/>
  <c r="S2396" i="2"/>
  <c r="R2396" i="2"/>
  <c r="Q2396" i="2"/>
  <c r="P2396" i="2"/>
  <c r="O2396" i="2"/>
  <c r="N2396" i="2"/>
  <c r="K2396" i="2"/>
  <c r="J2396" i="2"/>
  <c r="I2396" i="2"/>
  <c r="H2396" i="2"/>
  <c r="G2396" i="2"/>
  <c r="F2396" i="2"/>
  <c r="E2396" i="2"/>
  <c r="D2396" i="2"/>
  <c r="C2396" i="2"/>
  <c r="B2396" i="2"/>
  <c r="A2396" i="2"/>
  <c r="AX2395" i="2"/>
  <c r="AV2395" i="2"/>
  <c r="AU2395" i="2"/>
  <c r="AS2395" i="2"/>
  <c r="AR2395" i="2"/>
  <c r="AQ2395" i="2"/>
  <c r="AO2395" i="2"/>
  <c r="AN2395" i="2"/>
  <c r="AM2395" i="2"/>
  <c r="AL2395" i="2"/>
  <c r="AK2395" i="2"/>
  <c r="AJ2395" i="2"/>
  <c r="AI2395" i="2"/>
  <c r="AH2395" i="2"/>
  <c r="AG2395" i="2"/>
  <c r="AE2395" i="2"/>
  <c r="AD2395" i="2"/>
  <c r="AA2395" i="2"/>
  <c r="Z2395" i="2"/>
  <c r="Y2395" i="2"/>
  <c r="X2395" i="2"/>
  <c r="U2395" i="2"/>
  <c r="T2395" i="2"/>
  <c r="S2395" i="2"/>
  <c r="R2395" i="2"/>
  <c r="Q2395" i="2"/>
  <c r="P2395" i="2"/>
  <c r="O2395" i="2"/>
  <c r="N2395" i="2"/>
  <c r="K2395" i="2"/>
  <c r="J2395" i="2"/>
  <c r="I2395" i="2"/>
  <c r="H2395" i="2"/>
  <c r="G2395" i="2"/>
  <c r="F2395" i="2"/>
  <c r="E2395" i="2"/>
  <c r="D2395" i="2"/>
  <c r="C2395" i="2"/>
  <c r="B2395" i="2"/>
  <c r="A2395" i="2"/>
  <c r="AX2394" i="2"/>
  <c r="AV2394" i="2"/>
  <c r="AU2394" i="2"/>
  <c r="AS2394" i="2"/>
  <c r="AR2394" i="2"/>
  <c r="AQ2394" i="2"/>
  <c r="AP2394" i="2"/>
  <c r="AO2394" i="2"/>
  <c r="AN2394" i="2"/>
  <c r="AM2394" i="2"/>
  <c r="AL2394" i="2"/>
  <c r="AK2394" i="2"/>
  <c r="AJ2394" i="2"/>
  <c r="AI2394" i="2"/>
  <c r="AH2394" i="2"/>
  <c r="AG2394" i="2"/>
  <c r="AE2394" i="2"/>
  <c r="AA2394" i="2"/>
  <c r="Z2394" i="2"/>
  <c r="Y2394" i="2"/>
  <c r="W2394" i="2"/>
  <c r="V2394" i="2"/>
  <c r="U2394" i="2"/>
  <c r="T2394" i="2"/>
  <c r="S2394" i="2"/>
  <c r="R2394" i="2"/>
  <c r="Q2394" i="2"/>
  <c r="P2394" i="2"/>
  <c r="O2394" i="2"/>
  <c r="N2394" i="2"/>
  <c r="K2394" i="2"/>
  <c r="J2394" i="2"/>
  <c r="I2394" i="2"/>
  <c r="H2394" i="2"/>
  <c r="G2394" i="2"/>
  <c r="F2394" i="2"/>
  <c r="E2394" i="2"/>
  <c r="D2394" i="2"/>
  <c r="C2394" i="2"/>
  <c r="B2394" i="2"/>
  <c r="A2394" i="2"/>
  <c r="AX2393" i="2"/>
  <c r="AV2393" i="2"/>
  <c r="AU2393" i="2"/>
  <c r="AR2393" i="2"/>
  <c r="AQ2393" i="2"/>
  <c r="AO2393" i="2"/>
  <c r="AK2393" i="2"/>
  <c r="AJ2393" i="2"/>
  <c r="AI2393" i="2"/>
  <c r="AH2393" i="2"/>
  <c r="AG2393" i="2"/>
  <c r="AE2393" i="2"/>
  <c r="AA2393" i="2"/>
  <c r="Z2393" i="2"/>
  <c r="Y2393" i="2"/>
  <c r="X2393" i="2"/>
  <c r="W2393" i="2"/>
  <c r="V2393" i="2"/>
  <c r="U2393" i="2"/>
  <c r="T2393" i="2"/>
  <c r="S2393" i="2"/>
  <c r="R2393" i="2"/>
  <c r="Q2393" i="2"/>
  <c r="P2393" i="2"/>
  <c r="O2393" i="2"/>
  <c r="N2393" i="2"/>
  <c r="K2393" i="2"/>
  <c r="J2393" i="2"/>
  <c r="I2393" i="2"/>
  <c r="H2393" i="2"/>
  <c r="G2393" i="2"/>
  <c r="F2393" i="2"/>
  <c r="E2393" i="2"/>
  <c r="D2393" i="2"/>
  <c r="C2393" i="2"/>
  <c r="B2393" i="2"/>
  <c r="A2393" i="2"/>
  <c r="AX2392" i="2"/>
  <c r="AV2392" i="2"/>
  <c r="AU2392" i="2"/>
  <c r="AS2392" i="2"/>
  <c r="AR2392" i="2"/>
  <c r="AQ2392" i="2"/>
  <c r="AP2392" i="2"/>
  <c r="AO2392" i="2"/>
  <c r="AN2392" i="2"/>
  <c r="AM2392" i="2"/>
  <c r="AL2392" i="2"/>
  <c r="AK2392" i="2"/>
  <c r="AJ2392" i="2"/>
  <c r="AI2392" i="2"/>
  <c r="AH2392" i="2"/>
  <c r="AG2392" i="2"/>
  <c r="AE2392" i="2"/>
  <c r="AD2392" i="2"/>
  <c r="AA2392" i="2"/>
  <c r="Z2392" i="2"/>
  <c r="Y2392" i="2"/>
  <c r="W2392" i="2"/>
  <c r="V2392" i="2"/>
  <c r="U2392" i="2"/>
  <c r="T2392" i="2"/>
  <c r="S2392" i="2"/>
  <c r="R2392" i="2"/>
  <c r="Q2392" i="2"/>
  <c r="P2392" i="2"/>
  <c r="O2392" i="2"/>
  <c r="N2392" i="2"/>
  <c r="K2392" i="2"/>
  <c r="J2392" i="2"/>
  <c r="I2392" i="2"/>
  <c r="H2392" i="2"/>
  <c r="G2392" i="2"/>
  <c r="F2392" i="2"/>
  <c r="E2392" i="2"/>
  <c r="D2392" i="2"/>
  <c r="C2392" i="2"/>
  <c r="B2392" i="2"/>
  <c r="A2392" i="2"/>
  <c r="AX2391" i="2"/>
  <c r="AV2391" i="2"/>
  <c r="AU2391" i="2"/>
  <c r="AS2391" i="2"/>
  <c r="AR2391" i="2"/>
  <c r="AQ2391" i="2"/>
  <c r="AO2391" i="2"/>
  <c r="AM2391" i="2"/>
  <c r="AL2391" i="2"/>
  <c r="AK2391" i="2"/>
  <c r="AJ2391" i="2"/>
  <c r="AI2391" i="2"/>
  <c r="AH2391" i="2"/>
  <c r="AG2391" i="2"/>
  <c r="AE2391" i="2"/>
  <c r="AD2391" i="2"/>
  <c r="AA2391" i="2"/>
  <c r="Z2391" i="2"/>
  <c r="Y2391" i="2"/>
  <c r="X2391" i="2"/>
  <c r="W2391" i="2"/>
  <c r="V2391" i="2"/>
  <c r="U2391" i="2"/>
  <c r="T2391" i="2"/>
  <c r="S2391" i="2"/>
  <c r="R2391" i="2"/>
  <c r="Q2391" i="2"/>
  <c r="P2391" i="2"/>
  <c r="O2391" i="2"/>
  <c r="N2391" i="2"/>
  <c r="K2391" i="2"/>
  <c r="J2391" i="2"/>
  <c r="I2391" i="2"/>
  <c r="H2391" i="2"/>
  <c r="G2391" i="2"/>
  <c r="F2391" i="2"/>
  <c r="E2391" i="2"/>
  <c r="D2391" i="2"/>
  <c r="C2391" i="2"/>
  <c r="B2391" i="2"/>
  <c r="A2391" i="2"/>
  <c r="AX2390" i="2"/>
  <c r="AV2390" i="2"/>
  <c r="AU2390" i="2"/>
  <c r="AT2390" i="2"/>
  <c r="AS2390" i="2"/>
  <c r="AR2390" i="2"/>
  <c r="AQ2390" i="2"/>
  <c r="AP2390" i="2"/>
  <c r="AO2390" i="2"/>
  <c r="AK2390" i="2"/>
  <c r="AJ2390" i="2"/>
  <c r="AI2390" i="2"/>
  <c r="AH2390" i="2"/>
  <c r="AG2390" i="2"/>
  <c r="AF2390" i="2"/>
  <c r="AE2390" i="2"/>
  <c r="AA2390" i="2"/>
  <c r="Z2390" i="2"/>
  <c r="Y2390" i="2"/>
  <c r="X2390" i="2"/>
  <c r="W2390" i="2"/>
  <c r="V2390" i="2"/>
  <c r="U2390" i="2"/>
  <c r="T2390" i="2"/>
  <c r="S2390" i="2"/>
  <c r="R2390" i="2"/>
  <c r="Q2390" i="2"/>
  <c r="P2390" i="2"/>
  <c r="O2390" i="2"/>
  <c r="N2390" i="2"/>
  <c r="K2390" i="2"/>
  <c r="J2390" i="2"/>
  <c r="I2390" i="2"/>
  <c r="H2390" i="2"/>
  <c r="G2390" i="2"/>
  <c r="F2390" i="2"/>
  <c r="E2390" i="2"/>
  <c r="D2390" i="2"/>
  <c r="C2390" i="2"/>
  <c r="B2390" i="2"/>
  <c r="A2390" i="2"/>
  <c r="AX2389" i="2"/>
  <c r="AV2389" i="2"/>
  <c r="AU2389" i="2"/>
  <c r="AR2389" i="2"/>
  <c r="AQ2389" i="2"/>
  <c r="AP2389" i="2"/>
  <c r="AO2389" i="2"/>
  <c r="AL2389" i="2"/>
  <c r="AK2389" i="2"/>
  <c r="AJ2389" i="2"/>
  <c r="AI2389" i="2"/>
  <c r="AH2389" i="2"/>
  <c r="AG2389" i="2"/>
  <c r="AD2389" i="2"/>
  <c r="AA2389" i="2"/>
  <c r="Z2389" i="2"/>
  <c r="Y2389" i="2"/>
  <c r="X2389" i="2"/>
  <c r="W2389" i="2"/>
  <c r="V2389" i="2"/>
  <c r="U2389" i="2"/>
  <c r="T2389" i="2"/>
  <c r="S2389" i="2"/>
  <c r="R2389" i="2"/>
  <c r="Q2389" i="2"/>
  <c r="P2389" i="2"/>
  <c r="O2389" i="2"/>
  <c r="N2389" i="2"/>
  <c r="K2389" i="2"/>
  <c r="J2389" i="2"/>
  <c r="I2389" i="2"/>
  <c r="H2389" i="2"/>
  <c r="G2389" i="2"/>
  <c r="F2389" i="2"/>
  <c r="E2389" i="2"/>
  <c r="D2389" i="2"/>
  <c r="C2389" i="2"/>
  <c r="B2389" i="2"/>
  <c r="A2389" i="2"/>
  <c r="AX2388" i="2"/>
  <c r="AV2388" i="2"/>
  <c r="AU2388" i="2"/>
  <c r="AS2388" i="2"/>
  <c r="AR2388" i="2"/>
  <c r="AQ2388" i="2"/>
  <c r="AO2388" i="2"/>
  <c r="AL2388" i="2"/>
  <c r="AK2388" i="2"/>
  <c r="AJ2388" i="2"/>
  <c r="AI2388" i="2"/>
  <c r="AH2388" i="2"/>
  <c r="AG2388" i="2"/>
  <c r="AE2388" i="2"/>
  <c r="AD2388" i="2"/>
  <c r="AA2388" i="2"/>
  <c r="Z2388" i="2"/>
  <c r="Y2388" i="2"/>
  <c r="X2388" i="2"/>
  <c r="W2388" i="2"/>
  <c r="V2388" i="2"/>
  <c r="U2388" i="2"/>
  <c r="T2388" i="2"/>
  <c r="S2388" i="2"/>
  <c r="R2388" i="2"/>
  <c r="Q2388" i="2"/>
  <c r="P2388" i="2"/>
  <c r="O2388" i="2"/>
  <c r="N2388" i="2"/>
  <c r="K2388" i="2"/>
  <c r="J2388" i="2"/>
  <c r="I2388" i="2"/>
  <c r="H2388" i="2"/>
  <c r="G2388" i="2"/>
  <c r="F2388" i="2"/>
  <c r="E2388" i="2"/>
  <c r="D2388" i="2"/>
  <c r="C2388" i="2"/>
  <c r="B2388" i="2"/>
  <c r="A2388" i="2"/>
  <c r="AX2387" i="2"/>
  <c r="AV2387" i="2"/>
  <c r="AU2387" i="2"/>
  <c r="AS2387" i="2"/>
  <c r="AR2387" i="2"/>
  <c r="AQ2387" i="2"/>
  <c r="AO2387" i="2"/>
  <c r="AL2387" i="2"/>
  <c r="AK2387" i="2"/>
  <c r="AJ2387" i="2"/>
  <c r="AI2387" i="2"/>
  <c r="AH2387" i="2"/>
  <c r="AG2387" i="2"/>
  <c r="AE2387" i="2"/>
  <c r="AD2387" i="2"/>
  <c r="AA2387" i="2"/>
  <c r="Z2387" i="2"/>
  <c r="Y2387" i="2"/>
  <c r="X2387" i="2"/>
  <c r="V2387" i="2"/>
  <c r="U2387" i="2"/>
  <c r="T2387" i="2"/>
  <c r="S2387" i="2"/>
  <c r="R2387" i="2"/>
  <c r="Q2387" i="2"/>
  <c r="P2387" i="2"/>
  <c r="O2387" i="2"/>
  <c r="N2387" i="2"/>
  <c r="K2387" i="2"/>
  <c r="J2387" i="2"/>
  <c r="I2387" i="2"/>
  <c r="H2387" i="2"/>
  <c r="G2387" i="2"/>
  <c r="F2387" i="2"/>
  <c r="E2387" i="2"/>
  <c r="D2387" i="2"/>
  <c r="C2387" i="2"/>
  <c r="B2387" i="2"/>
  <c r="A2387" i="2"/>
  <c r="AX2386" i="2"/>
  <c r="AV2386" i="2"/>
  <c r="AU2386" i="2"/>
  <c r="AS2386" i="2"/>
  <c r="AR2386" i="2"/>
  <c r="AQ2386" i="2"/>
  <c r="AP2386" i="2"/>
  <c r="AO2386" i="2"/>
  <c r="AL2386" i="2"/>
  <c r="AK2386" i="2"/>
  <c r="AJ2386" i="2"/>
  <c r="AI2386" i="2"/>
  <c r="AH2386" i="2"/>
  <c r="AG2386" i="2"/>
  <c r="AE2386" i="2"/>
  <c r="AD2386" i="2"/>
  <c r="AA2386" i="2"/>
  <c r="Z2386" i="2"/>
  <c r="Y2386" i="2"/>
  <c r="X2386" i="2"/>
  <c r="W2386" i="2"/>
  <c r="V2386" i="2"/>
  <c r="U2386" i="2"/>
  <c r="T2386" i="2"/>
  <c r="S2386" i="2"/>
  <c r="R2386" i="2"/>
  <c r="Q2386" i="2"/>
  <c r="P2386" i="2"/>
  <c r="O2386" i="2"/>
  <c r="N2386" i="2"/>
  <c r="K2386" i="2"/>
  <c r="J2386" i="2"/>
  <c r="I2386" i="2"/>
  <c r="H2386" i="2"/>
  <c r="G2386" i="2"/>
  <c r="F2386" i="2"/>
  <c r="E2386" i="2"/>
  <c r="D2386" i="2"/>
  <c r="C2386" i="2"/>
  <c r="B2386" i="2"/>
  <c r="A2386" i="2"/>
  <c r="AX2385" i="2"/>
  <c r="AV2385" i="2"/>
  <c r="AU2385" i="2"/>
  <c r="AS2385" i="2"/>
  <c r="AR2385" i="2"/>
  <c r="AQ2385" i="2"/>
  <c r="AO2385" i="2"/>
  <c r="AL2385" i="2"/>
  <c r="AK2385" i="2"/>
  <c r="AJ2385" i="2"/>
  <c r="AI2385" i="2"/>
  <c r="AH2385" i="2"/>
  <c r="AG2385" i="2"/>
  <c r="AE2385" i="2"/>
  <c r="AD2385" i="2"/>
  <c r="AA2385" i="2"/>
  <c r="Z2385" i="2"/>
  <c r="Y2385" i="2"/>
  <c r="X2385" i="2"/>
  <c r="W2385" i="2"/>
  <c r="V2385" i="2"/>
  <c r="U2385" i="2"/>
  <c r="T2385" i="2"/>
  <c r="S2385" i="2"/>
  <c r="R2385" i="2"/>
  <c r="Q2385" i="2"/>
  <c r="P2385" i="2"/>
  <c r="O2385" i="2"/>
  <c r="N2385" i="2"/>
  <c r="K2385" i="2"/>
  <c r="J2385" i="2"/>
  <c r="I2385" i="2"/>
  <c r="H2385" i="2"/>
  <c r="G2385" i="2"/>
  <c r="F2385" i="2"/>
  <c r="E2385" i="2"/>
  <c r="D2385" i="2"/>
  <c r="C2385" i="2"/>
  <c r="B2385" i="2"/>
  <c r="A2385" i="2"/>
  <c r="AX2384" i="2"/>
  <c r="AV2384" i="2"/>
  <c r="AU2384" i="2"/>
  <c r="AS2384" i="2"/>
  <c r="AR2384" i="2"/>
  <c r="AQ2384" i="2"/>
  <c r="AP2384" i="2"/>
  <c r="AO2384" i="2"/>
  <c r="AN2384" i="2"/>
  <c r="AM2384" i="2"/>
  <c r="AL2384" i="2"/>
  <c r="AK2384" i="2"/>
  <c r="AJ2384" i="2"/>
  <c r="AI2384" i="2"/>
  <c r="AH2384" i="2"/>
  <c r="AG2384" i="2"/>
  <c r="AE2384" i="2"/>
  <c r="AD2384" i="2"/>
  <c r="AA2384" i="2"/>
  <c r="Z2384" i="2"/>
  <c r="Y2384" i="2"/>
  <c r="X2384" i="2"/>
  <c r="W2384" i="2"/>
  <c r="V2384" i="2"/>
  <c r="U2384" i="2"/>
  <c r="T2384" i="2"/>
  <c r="S2384" i="2"/>
  <c r="R2384" i="2"/>
  <c r="Q2384" i="2"/>
  <c r="P2384" i="2"/>
  <c r="O2384" i="2"/>
  <c r="N2384" i="2"/>
  <c r="K2384" i="2"/>
  <c r="J2384" i="2"/>
  <c r="I2384" i="2"/>
  <c r="H2384" i="2"/>
  <c r="G2384" i="2"/>
  <c r="F2384" i="2"/>
  <c r="E2384" i="2"/>
  <c r="D2384" i="2"/>
  <c r="C2384" i="2"/>
  <c r="B2384" i="2"/>
  <c r="A2384" i="2"/>
  <c r="AX2383" i="2"/>
  <c r="AV2383" i="2"/>
  <c r="AU2383" i="2"/>
  <c r="AS2383" i="2"/>
  <c r="AR2383" i="2"/>
  <c r="AQ2383" i="2"/>
  <c r="AO2383" i="2"/>
  <c r="AL2383" i="2"/>
  <c r="AK2383" i="2"/>
  <c r="AJ2383" i="2"/>
  <c r="AI2383" i="2"/>
  <c r="AH2383" i="2"/>
  <c r="AG2383" i="2"/>
  <c r="AE2383" i="2"/>
  <c r="AA2383" i="2"/>
  <c r="Z2383" i="2"/>
  <c r="Y2383" i="2"/>
  <c r="X2383" i="2"/>
  <c r="W2383" i="2"/>
  <c r="V2383" i="2"/>
  <c r="U2383" i="2"/>
  <c r="T2383" i="2"/>
  <c r="S2383" i="2"/>
  <c r="R2383" i="2"/>
  <c r="Q2383" i="2"/>
  <c r="P2383" i="2"/>
  <c r="O2383" i="2"/>
  <c r="N2383" i="2"/>
  <c r="K2383" i="2"/>
  <c r="J2383" i="2"/>
  <c r="I2383" i="2"/>
  <c r="H2383" i="2"/>
  <c r="G2383" i="2"/>
  <c r="F2383" i="2"/>
  <c r="E2383" i="2"/>
  <c r="D2383" i="2"/>
  <c r="C2383" i="2"/>
  <c r="B2383" i="2"/>
  <c r="A2383" i="2"/>
  <c r="AX2382" i="2"/>
  <c r="AV2382" i="2"/>
  <c r="AU2382" i="2"/>
  <c r="AS2382" i="2"/>
  <c r="AR2382" i="2"/>
  <c r="AQ2382" i="2"/>
  <c r="AO2382" i="2"/>
  <c r="AN2382" i="2"/>
  <c r="AM2382" i="2"/>
  <c r="AL2382" i="2"/>
  <c r="AK2382" i="2"/>
  <c r="AJ2382" i="2"/>
  <c r="AI2382" i="2"/>
  <c r="AH2382" i="2"/>
  <c r="AG2382" i="2"/>
  <c r="AE2382" i="2"/>
  <c r="AD2382" i="2"/>
  <c r="AC2382" i="2"/>
  <c r="AA2382" i="2"/>
  <c r="Z2382" i="2"/>
  <c r="Y2382" i="2"/>
  <c r="X2382" i="2"/>
  <c r="W2382" i="2"/>
  <c r="V2382" i="2"/>
  <c r="U2382" i="2"/>
  <c r="T2382" i="2"/>
  <c r="S2382" i="2"/>
  <c r="R2382" i="2"/>
  <c r="Q2382" i="2"/>
  <c r="P2382" i="2"/>
  <c r="O2382" i="2"/>
  <c r="N2382" i="2"/>
  <c r="M2382" i="2"/>
  <c r="L2382" i="2"/>
  <c r="K2382" i="2"/>
  <c r="J2382" i="2"/>
  <c r="I2382" i="2"/>
  <c r="H2382" i="2"/>
  <c r="G2382" i="2"/>
  <c r="F2382" i="2"/>
  <c r="E2382" i="2"/>
  <c r="D2382" i="2"/>
  <c r="C2382" i="2"/>
  <c r="B2382" i="2"/>
  <c r="A2382" i="2"/>
  <c r="AX2381" i="2"/>
  <c r="AV2381" i="2"/>
  <c r="AU2381" i="2"/>
  <c r="AS2381" i="2"/>
  <c r="AR2381" i="2"/>
  <c r="AQ2381" i="2"/>
  <c r="AP2381" i="2"/>
  <c r="AO2381" i="2"/>
  <c r="AL2381" i="2"/>
  <c r="AK2381" i="2"/>
  <c r="AJ2381" i="2"/>
  <c r="AI2381" i="2"/>
  <c r="AH2381" i="2"/>
  <c r="AG2381" i="2"/>
  <c r="AE2381" i="2"/>
  <c r="AD2381" i="2"/>
  <c r="AA2381" i="2"/>
  <c r="Z2381" i="2"/>
  <c r="Y2381" i="2"/>
  <c r="X2381" i="2"/>
  <c r="W2381" i="2"/>
  <c r="V2381" i="2"/>
  <c r="U2381" i="2"/>
  <c r="T2381" i="2"/>
  <c r="S2381" i="2"/>
  <c r="R2381" i="2"/>
  <c r="Q2381" i="2"/>
  <c r="P2381" i="2"/>
  <c r="O2381" i="2"/>
  <c r="N2381" i="2"/>
  <c r="K2381" i="2"/>
  <c r="J2381" i="2"/>
  <c r="I2381" i="2"/>
  <c r="H2381" i="2"/>
  <c r="G2381" i="2"/>
  <c r="F2381" i="2"/>
  <c r="E2381" i="2"/>
  <c r="D2381" i="2"/>
  <c r="C2381" i="2"/>
  <c r="B2381" i="2"/>
  <c r="A2381" i="2"/>
  <c r="AX2380" i="2"/>
  <c r="AV2380" i="2"/>
  <c r="AU2380" i="2"/>
  <c r="AS2380" i="2"/>
  <c r="AR2380" i="2"/>
  <c r="AQ2380" i="2"/>
  <c r="AO2380" i="2"/>
  <c r="AL2380" i="2"/>
  <c r="AK2380" i="2"/>
  <c r="AJ2380" i="2"/>
  <c r="AI2380" i="2"/>
  <c r="AH2380" i="2"/>
  <c r="AG2380" i="2"/>
  <c r="AE2380" i="2"/>
  <c r="AD2380" i="2"/>
  <c r="AA2380" i="2"/>
  <c r="Z2380" i="2"/>
  <c r="Y2380" i="2"/>
  <c r="X2380" i="2"/>
  <c r="V2380" i="2"/>
  <c r="U2380" i="2"/>
  <c r="T2380" i="2"/>
  <c r="S2380" i="2"/>
  <c r="R2380" i="2"/>
  <c r="Q2380" i="2"/>
  <c r="P2380" i="2"/>
  <c r="O2380" i="2"/>
  <c r="N2380" i="2"/>
  <c r="K2380" i="2"/>
  <c r="J2380" i="2"/>
  <c r="I2380" i="2"/>
  <c r="H2380" i="2"/>
  <c r="G2380" i="2"/>
  <c r="F2380" i="2"/>
  <c r="E2380" i="2"/>
  <c r="D2380" i="2"/>
  <c r="C2380" i="2"/>
  <c r="B2380" i="2"/>
  <c r="A2380" i="2"/>
  <c r="AX2379" i="2"/>
  <c r="AV2379" i="2"/>
  <c r="AU2379" i="2"/>
  <c r="AR2379" i="2"/>
  <c r="AQ2379" i="2"/>
  <c r="AO2379" i="2"/>
  <c r="AL2379" i="2"/>
  <c r="AK2379" i="2"/>
  <c r="AJ2379" i="2"/>
  <c r="AI2379" i="2"/>
  <c r="AH2379" i="2"/>
  <c r="AG2379" i="2"/>
  <c r="AE2379" i="2"/>
  <c r="AD2379" i="2"/>
  <c r="AA2379" i="2"/>
  <c r="Z2379" i="2"/>
  <c r="Y2379" i="2"/>
  <c r="V2379" i="2"/>
  <c r="U2379" i="2"/>
  <c r="T2379" i="2"/>
  <c r="S2379" i="2"/>
  <c r="R2379" i="2"/>
  <c r="Q2379" i="2"/>
  <c r="P2379" i="2"/>
  <c r="O2379" i="2"/>
  <c r="N2379" i="2"/>
  <c r="K2379" i="2"/>
  <c r="J2379" i="2"/>
  <c r="I2379" i="2"/>
  <c r="H2379" i="2"/>
  <c r="G2379" i="2"/>
  <c r="F2379" i="2"/>
  <c r="E2379" i="2"/>
  <c r="D2379" i="2"/>
  <c r="C2379" i="2"/>
  <c r="B2379" i="2"/>
  <c r="A2379" i="2"/>
  <c r="AX2378" i="2"/>
  <c r="AV2378" i="2"/>
  <c r="AU2378" i="2"/>
  <c r="AS2378" i="2"/>
  <c r="AR2378" i="2"/>
  <c r="AQ2378" i="2"/>
  <c r="AP2378" i="2"/>
  <c r="AO2378" i="2"/>
  <c r="AL2378" i="2"/>
  <c r="AK2378" i="2"/>
  <c r="AJ2378" i="2"/>
  <c r="AI2378" i="2"/>
  <c r="AH2378" i="2"/>
  <c r="AG2378" i="2"/>
  <c r="AF2378" i="2"/>
  <c r="AE2378" i="2"/>
  <c r="AD2378" i="2"/>
  <c r="AA2378" i="2"/>
  <c r="Z2378" i="2"/>
  <c r="Y2378" i="2"/>
  <c r="X2378" i="2"/>
  <c r="W2378" i="2"/>
  <c r="V2378" i="2"/>
  <c r="U2378" i="2"/>
  <c r="T2378" i="2"/>
  <c r="S2378" i="2"/>
  <c r="R2378" i="2"/>
  <c r="Q2378" i="2"/>
  <c r="P2378" i="2"/>
  <c r="O2378" i="2"/>
  <c r="N2378" i="2"/>
  <c r="K2378" i="2"/>
  <c r="J2378" i="2"/>
  <c r="I2378" i="2"/>
  <c r="H2378" i="2"/>
  <c r="G2378" i="2"/>
  <c r="F2378" i="2"/>
  <c r="E2378" i="2"/>
  <c r="D2378" i="2"/>
  <c r="C2378" i="2"/>
  <c r="B2378" i="2"/>
  <c r="A2378" i="2"/>
  <c r="AX2377" i="2"/>
  <c r="AV2377" i="2"/>
  <c r="AU2377" i="2"/>
  <c r="AS2377" i="2"/>
  <c r="AR2377" i="2"/>
  <c r="AQ2377" i="2"/>
  <c r="AO2377" i="2"/>
  <c r="AL2377" i="2"/>
  <c r="AK2377" i="2"/>
  <c r="AJ2377" i="2"/>
  <c r="AI2377" i="2"/>
  <c r="AH2377" i="2"/>
  <c r="AG2377" i="2"/>
  <c r="AF2377" i="2"/>
  <c r="AE2377" i="2"/>
  <c r="AD2377" i="2"/>
  <c r="AA2377" i="2"/>
  <c r="Z2377" i="2"/>
  <c r="Y2377" i="2"/>
  <c r="X2377" i="2"/>
  <c r="W2377" i="2"/>
  <c r="V2377" i="2"/>
  <c r="U2377" i="2"/>
  <c r="T2377" i="2"/>
  <c r="S2377" i="2"/>
  <c r="R2377" i="2"/>
  <c r="Q2377" i="2"/>
  <c r="P2377" i="2"/>
  <c r="O2377" i="2"/>
  <c r="N2377" i="2"/>
  <c r="K2377" i="2"/>
  <c r="J2377" i="2"/>
  <c r="I2377" i="2"/>
  <c r="H2377" i="2"/>
  <c r="G2377" i="2"/>
  <c r="F2377" i="2"/>
  <c r="E2377" i="2"/>
  <c r="D2377" i="2"/>
  <c r="C2377" i="2"/>
  <c r="B2377" i="2"/>
  <c r="A2377" i="2"/>
  <c r="AX2376" i="2"/>
  <c r="AV2376" i="2"/>
  <c r="AU2376" i="2"/>
  <c r="AS2376" i="2"/>
  <c r="AR2376" i="2"/>
  <c r="AQ2376" i="2"/>
  <c r="AO2376" i="2"/>
  <c r="AN2376" i="2"/>
  <c r="AM2376" i="2"/>
  <c r="AL2376" i="2"/>
  <c r="AK2376" i="2"/>
  <c r="AJ2376" i="2"/>
  <c r="AI2376" i="2"/>
  <c r="AH2376" i="2"/>
  <c r="AG2376" i="2"/>
  <c r="AE2376" i="2"/>
  <c r="AD2376" i="2"/>
  <c r="AC2376" i="2"/>
  <c r="AA2376" i="2"/>
  <c r="Z2376" i="2"/>
  <c r="Y2376" i="2"/>
  <c r="V2376" i="2"/>
  <c r="U2376" i="2"/>
  <c r="T2376" i="2"/>
  <c r="S2376" i="2"/>
  <c r="R2376" i="2"/>
  <c r="Q2376" i="2"/>
  <c r="P2376" i="2"/>
  <c r="O2376" i="2"/>
  <c r="N2376" i="2"/>
  <c r="K2376" i="2"/>
  <c r="J2376" i="2"/>
  <c r="I2376" i="2"/>
  <c r="H2376" i="2"/>
  <c r="G2376" i="2"/>
  <c r="F2376" i="2"/>
  <c r="E2376" i="2"/>
  <c r="D2376" i="2"/>
  <c r="C2376" i="2"/>
  <c r="B2376" i="2"/>
  <c r="A2376" i="2"/>
  <c r="AX2375" i="2"/>
  <c r="AV2375" i="2"/>
  <c r="AU2375" i="2"/>
  <c r="AS2375" i="2"/>
  <c r="AR2375" i="2"/>
  <c r="AQ2375" i="2"/>
  <c r="AO2375" i="2"/>
  <c r="AM2375" i="2"/>
  <c r="AL2375" i="2"/>
  <c r="AK2375" i="2"/>
  <c r="AJ2375" i="2"/>
  <c r="AI2375" i="2"/>
  <c r="AH2375" i="2"/>
  <c r="AG2375" i="2"/>
  <c r="AE2375" i="2"/>
  <c r="AA2375" i="2"/>
  <c r="Z2375" i="2"/>
  <c r="Y2375" i="2"/>
  <c r="X2375" i="2"/>
  <c r="W2375" i="2"/>
  <c r="V2375" i="2"/>
  <c r="U2375" i="2"/>
  <c r="T2375" i="2"/>
  <c r="S2375" i="2"/>
  <c r="R2375" i="2"/>
  <c r="Q2375" i="2"/>
  <c r="P2375" i="2"/>
  <c r="O2375" i="2"/>
  <c r="N2375" i="2"/>
  <c r="K2375" i="2"/>
  <c r="J2375" i="2"/>
  <c r="I2375" i="2"/>
  <c r="H2375" i="2"/>
  <c r="G2375" i="2"/>
  <c r="F2375" i="2"/>
  <c r="E2375" i="2"/>
  <c r="D2375" i="2"/>
  <c r="C2375" i="2"/>
  <c r="B2375" i="2"/>
  <c r="A2375" i="2"/>
  <c r="AX2374" i="2"/>
  <c r="AV2374" i="2"/>
  <c r="AU2374" i="2"/>
  <c r="AS2374" i="2"/>
  <c r="AR2374" i="2"/>
  <c r="AQ2374" i="2"/>
  <c r="AO2374" i="2"/>
  <c r="AL2374" i="2"/>
  <c r="AK2374" i="2"/>
  <c r="AJ2374" i="2"/>
  <c r="AI2374" i="2"/>
  <c r="AH2374" i="2"/>
  <c r="AG2374" i="2"/>
  <c r="AE2374" i="2"/>
  <c r="AD2374" i="2"/>
  <c r="AA2374" i="2"/>
  <c r="Z2374" i="2"/>
  <c r="Y2374" i="2"/>
  <c r="X2374" i="2"/>
  <c r="W2374" i="2"/>
  <c r="V2374" i="2"/>
  <c r="U2374" i="2"/>
  <c r="T2374" i="2"/>
  <c r="S2374" i="2"/>
  <c r="R2374" i="2"/>
  <c r="Q2374" i="2"/>
  <c r="P2374" i="2"/>
  <c r="O2374" i="2"/>
  <c r="N2374" i="2"/>
  <c r="K2374" i="2"/>
  <c r="J2374" i="2"/>
  <c r="I2374" i="2"/>
  <c r="H2374" i="2"/>
  <c r="G2374" i="2"/>
  <c r="F2374" i="2"/>
  <c r="E2374" i="2"/>
  <c r="D2374" i="2"/>
  <c r="C2374" i="2"/>
  <c r="B2374" i="2"/>
  <c r="A2374" i="2"/>
  <c r="AX2373" i="2"/>
  <c r="AV2373" i="2"/>
  <c r="AU2373" i="2"/>
  <c r="AS2373" i="2"/>
  <c r="AR2373" i="2"/>
  <c r="AQ2373" i="2"/>
  <c r="AO2373" i="2"/>
  <c r="AL2373" i="2"/>
  <c r="AK2373" i="2"/>
  <c r="AJ2373" i="2"/>
  <c r="AI2373" i="2"/>
  <c r="AH2373" i="2"/>
  <c r="AG2373" i="2"/>
  <c r="AE2373" i="2"/>
  <c r="AD2373" i="2"/>
  <c r="AA2373" i="2"/>
  <c r="Z2373" i="2"/>
  <c r="Y2373" i="2"/>
  <c r="X2373" i="2"/>
  <c r="W2373" i="2"/>
  <c r="V2373" i="2"/>
  <c r="U2373" i="2"/>
  <c r="T2373" i="2"/>
  <c r="S2373" i="2"/>
  <c r="R2373" i="2"/>
  <c r="Q2373" i="2"/>
  <c r="P2373" i="2"/>
  <c r="O2373" i="2"/>
  <c r="N2373" i="2"/>
  <c r="K2373" i="2"/>
  <c r="J2373" i="2"/>
  <c r="I2373" i="2"/>
  <c r="H2373" i="2"/>
  <c r="G2373" i="2"/>
  <c r="F2373" i="2"/>
  <c r="E2373" i="2"/>
  <c r="D2373" i="2"/>
  <c r="C2373" i="2"/>
  <c r="B2373" i="2"/>
  <c r="A2373" i="2"/>
  <c r="AX2372" i="2"/>
  <c r="AV2372" i="2"/>
  <c r="AU2372" i="2"/>
  <c r="AS2372" i="2"/>
  <c r="AR2372" i="2"/>
  <c r="AQ2372" i="2"/>
  <c r="AO2372" i="2"/>
  <c r="AL2372" i="2"/>
  <c r="AK2372" i="2"/>
  <c r="AJ2372" i="2"/>
  <c r="AI2372" i="2"/>
  <c r="AH2372" i="2"/>
  <c r="AG2372" i="2"/>
  <c r="AE2372" i="2"/>
  <c r="AD2372" i="2"/>
  <c r="AA2372" i="2"/>
  <c r="Z2372" i="2"/>
  <c r="Y2372" i="2"/>
  <c r="X2372" i="2"/>
  <c r="W2372" i="2"/>
  <c r="V2372" i="2"/>
  <c r="U2372" i="2"/>
  <c r="T2372" i="2"/>
  <c r="S2372" i="2"/>
  <c r="R2372" i="2"/>
  <c r="Q2372" i="2"/>
  <c r="P2372" i="2"/>
  <c r="O2372" i="2"/>
  <c r="N2372" i="2"/>
  <c r="K2372" i="2"/>
  <c r="J2372" i="2"/>
  <c r="I2372" i="2"/>
  <c r="H2372" i="2"/>
  <c r="G2372" i="2"/>
  <c r="F2372" i="2"/>
  <c r="E2372" i="2"/>
  <c r="D2372" i="2"/>
  <c r="C2372" i="2"/>
  <c r="B2372" i="2"/>
  <c r="A2372" i="2"/>
  <c r="AX2371" i="2"/>
  <c r="AV2371" i="2"/>
  <c r="AU2371" i="2"/>
  <c r="AS2371" i="2"/>
  <c r="AR2371" i="2"/>
  <c r="AQ2371" i="2"/>
  <c r="AP2371" i="2"/>
  <c r="AO2371" i="2"/>
  <c r="AL2371" i="2"/>
  <c r="AK2371" i="2"/>
  <c r="AJ2371" i="2"/>
  <c r="AI2371" i="2"/>
  <c r="AH2371" i="2"/>
  <c r="AG2371" i="2"/>
  <c r="AF2371" i="2"/>
  <c r="AE2371" i="2"/>
  <c r="AD2371" i="2"/>
  <c r="AA2371" i="2"/>
  <c r="Z2371" i="2"/>
  <c r="Y2371" i="2"/>
  <c r="X2371" i="2"/>
  <c r="W2371" i="2"/>
  <c r="V2371" i="2"/>
  <c r="U2371" i="2"/>
  <c r="T2371" i="2"/>
  <c r="S2371" i="2"/>
  <c r="R2371" i="2"/>
  <c r="Q2371" i="2"/>
  <c r="P2371" i="2"/>
  <c r="O2371" i="2"/>
  <c r="N2371" i="2"/>
  <c r="K2371" i="2"/>
  <c r="J2371" i="2"/>
  <c r="I2371" i="2"/>
  <c r="H2371" i="2"/>
  <c r="G2371" i="2"/>
  <c r="F2371" i="2"/>
  <c r="E2371" i="2"/>
  <c r="D2371" i="2"/>
  <c r="C2371" i="2"/>
  <c r="B2371" i="2"/>
  <c r="A2371" i="2"/>
  <c r="AX2370" i="2"/>
  <c r="AV2370" i="2"/>
  <c r="AU2370" i="2"/>
  <c r="AS2370" i="2"/>
  <c r="AR2370" i="2"/>
  <c r="AQ2370" i="2"/>
  <c r="AP2370" i="2"/>
  <c r="AO2370" i="2"/>
  <c r="AL2370" i="2"/>
  <c r="AK2370" i="2"/>
  <c r="AJ2370" i="2"/>
  <c r="AI2370" i="2"/>
  <c r="AH2370" i="2"/>
  <c r="AG2370" i="2"/>
  <c r="AE2370" i="2"/>
  <c r="AD2370" i="2"/>
  <c r="AA2370" i="2"/>
  <c r="Z2370" i="2"/>
  <c r="Y2370" i="2"/>
  <c r="X2370" i="2"/>
  <c r="W2370" i="2"/>
  <c r="V2370" i="2"/>
  <c r="U2370" i="2"/>
  <c r="T2370" i="2"/>
  <c r="S2370" i="2"/>
  <c r="R2370" i="2"/>
  <c r="Q2370" i="2"/>
  <c r="P2370" i="2"/>
  <c r="O2370" i="2"/>
  <c r="N2370" i="2"/>
  <c r="K2370" i="2"/>
  <c r="J2370" i="2"/>
  <c r="I2370" i="2"/>
  <c r="H2370" i="2"/>
  <c r="G2370" i="2"/>
  <c r="F2370" i="2"/>
  <c r="E2370" i="2"/>
  <c r="D2370" i="2"/>
  <c r="C2370" i="2"/>
  <c r="B2370" i="2"/>
  <c r="A2370" i="2"/>
  <c r="AX2369" i="2"/>
  <c r="AV2369" i="2"/>
  <c r="AU2369" i="2"/>
  <c r="AS2369" i="2"/>
  <c r="AR2369" i="2"/>
  <c r="AQ2369" i="2"/>
  <c r="AP2369" i="2"/>
  <c r="AO2369" i="2"/>
  <c r="AL2369" i="2"/>
  <c r="AK2369" i="2"/>
  <c r="AJ2369" i="2"/>
  <c r="AI2369" i="2"/>
  <c r="AH2369" i="2"/>
  <c r="AG2369" i="2"/>
  <c r="AE2369" i="2"/>
  <c r="AD2369" i="2"/>
  <c r="AA2369" i="2"/>
  <c r="Z2369" i="2"/>
  <c r="Y2369" i="2"/>
  <c r="X2369" i="2"/>
  <c r="W2369" i="2"/>
  <c r="V2369" i="2"/>
  <c r="U2369" i="2"/>
  <c r="T2369" i="2"/>
  <c r="S2369" i="2"/>
  <c r="R2369" i="2"/>
  <c r="Q2369" i="2"/>
  <c r="P2369" i="2"/>
  <c r="O2369" i="2"/>
  <c r="N2369" i="2"/>
  <c r="K2369" i="2"/>
  <c r="J2369" i="2"/>
  <c r="I2369" i="2"/>
  <c r="H2369" i="2"/>
  <c r="G2369" i="2"/>
  <c r="F2369" i="2"/>
  <c r="E2369" i="2"/>
  <c r="D2369" i="2"/>
  <c r="C2369" i="2"/>
  <c r="B2369" i="2"/>
  <c r="A2369" i="2"/>
  <c r="AX2368" i="2"/>
  <c r="AV2368" i="2"/>
  <c r="AU2368" i="2"/>
  <c r="AR2368" i="2"/>
  <c r="AQ2368" i="2"/>
  <c r="AO2368" i="2"/>
  <c r="AM2368" i="2"/>
  <c r="AK2368" i="2"/>
  <c r="AJ2368" i="2"/>
  <c r="AI2368" i="2"/>
  <c r="AH2368" i="2"/>
  <c r="AG2368" i="2"/>
  <c r="AE2368" i="2"/>
  <c r="AA2368" i="2"/>
  <c r="Z2368" i="2"/>
  <c r="Y2368" i="2"/>
  <c r="X2368" i="2"/>
  <c r="W2368" i="2"/>
  <c r="V2368" i="2"/>
  <c r="U2368" i="2"/>
  <c r="T2368" i="2"/>
  <c r="S2368" i="2"/>
  <c r="R2368" i="2"/>
  <c r="Q2368" i="2"/>
  <c r="P2368" i="2"/>
  <c r="O2368" i="2"/>
  <c r="N2368" i="2"/>
  <c r="K2368" i="2"/>
  <c r="J2368" i="2"/>
  <c r="I2368" i="2"/>
  <c r="H2368" i="2"/>
  <c r="G2368" i="2"/>
  <c r="F2368" i="2"/>
  <c r="E2368" i="2"/>
  <c r="D2368" i="2"/>
  <c r="C2368" i="2"/>
  <c r="B2368" i="2"/>
  <c r="A2368" i="2"/>
  <c r="AX2367" i="2"/>
  <c r="AV2367" i="2"/>
  <c r="AU2367" i="2"/>
  <c r="AS2367" i="2"/>
  <c r="AR2367" i="2"/>
  <c r="AQ2367" i="2"/>
  <c r="AO2367" i="2"/>
  <c r="AN2367" i="2"/>
  <c r="AM2367" i="2"/>
  <c r="AL2367" i="2"/>
  <c r="AK2367" i="2"/>
  <c r="AJ2367" i="2"/>
  <c r="AI2367" i="2"/>
  <c r="AH2367" i="2"/>
  <c r="AG2367" i="2"/>
  <c r="AE2367" i="2"/>
  <c r="AD2367" i="2"/>
  <c r="AA2367" i="2"/>
  <c r="Z2367" i="2"/>
  <c r="Y2367" i="2"/>
  <c r="W2367" i="2"/>
  <c r="V2367" i="2"/>
  <c r="U2367" i="2"/>
  <c r="T2367" i="2"/>
  <c r="S2367" i="2"/>
  <c r="R2367" i="2"/>
  <c r="Q2367" i="2"/>
  <c r="P2367" i="2"/>
  <c r="O2367" i="2"/>
  <c r="N2367" i="2"/>
  <c r="K2367" i="2"/>
  <c r="J2367" i="2"/>
  <c r="I2367" i="2"/>
  <c r="H2367" i="2"/>
  <c r="G2367" i="2"/>
  <c r="F2367" i="2"/>
  <c r="E2367" i="2"/>
  <c r="D2367" i="2"/>
  <c r="C2367" i="2"/>
  <c r="B2367" i="2"/>
  <c r="A2367" i="2"/>
  <c r="AX2366" i="2"/>
  <c r="AV2366" i="2"/>
  <c r="AU2366" i="2"/>
  <c r="AS2366" i="2"/>
  <c r="AR2366" i="2"/>
  <c r="AQ2366" i="2"/>
  <c r="AO2366" i="2"/>
  <c r="AL2366" i="2"/>
  <c r="AK2366" i="2"/>
  <c r="AJ2366" i="2"/>
  <c r="AI2366" i="2"/>
  <c r="AH2366" i="2"/>
  <c r="AG2366" i="2"/>
  <c r="AF2366" i="2"/>
  <c r="AE2366" i="2"/>
  <c r="AD2366" i="2"/>
  <c r="AA2366" i="2"/>
  <c r="Z2366" i="2"/>
  <c r="Y2366" i="2"/>
  <c r="X2366" i="2"/>
  <c r="W2366" i="2"/>
  <c r="V2366" i="2"/>
  <c r="U2366" i="2"/>
  <c r="T2366" i="2"/>
  <c r="S2366" i="2"/>
  <c r="R2366" i="2"/>
  <c r="Q2366" i="2"/>
  <c r="P2366" i="2"/>
  <c r="O2366" i="2"/>
  <c r="N2366" i="2"/>
  <c r="K2366" i="2"/>
  <c r="J2366" i="2"/>
  <c r="I2366" i="2"/>
  <c r="H2366" i="2"/>
  <c r="G2366" i="2"/>
  <c r="F2366" i="2"/>
  <c r="E2366" i="2"/>
  <c r="D2366" i="2"/>
  <c r="C2366" i="2"/>
  <c r="B2366" i="2"/>
  <c r="A2366" i="2"/>
  <c r="AX2365" i="2"/>
  <c r="AV2365" i="2"/>
  <c r="AU2365" i="2"/>
  <c r="AR2365" i="2"/>
  <c r="AQ2365" i="2"/>
  <c r="AL2365" i="2"/>
  <c r="AK2365" i="2"/>
  <c r="AI2365" i="2"/>
  <c r="AH2365" i="2"/>
  <c r="AG2365" i="2"/>
  <c r="AE2365" i="2"/>
  <c r="AA2365" i="2"/>
  <c r="Z2365" i="2"/>
  <c r="Y2365" i="2"/>
  <c r="X2365" i="2"/>
  <c r="W2365" i="2"/>
  <c r="V2365" i="2"/>
  <c r="U2365" i="2"/>
  <c r="T2365" i="2"/>
  <c r="S2365" i="2"/>
  <c r="R2365" i="2"/>
  <c r="Q2365" i="2"/>
  <c r="P2365" i="2"/>
  <c r="O2365" i="2"/>
  <c r="N2365" i="2"/>
  <c r="K2365" i="2"/>
  <c r="J2365" i="2"/>
  <c r="I2365" i="2"/>
  <c r="H2365" i="2"/>
  <c r="G2365" i="2"/>
  <c r="F2365" i="2"/>
  <c r="E2365" i="2"/>
  <c r="D2365" i="2"/>
  <c r="C2365" i="2"/>
  <c r="B2365" i="2"/>
  <c r="A2365" i="2"/>
  <c r="AX2364" i="2"/>
  <c r="AV2364" i="2"/>
  <c r="AU2364" i="2"/>
  <c r="AR2364" i="2"/>
  <c r="AQ2364" i="2"/>
  <c r="AO2364" i="2"/>
  <c r="AL2364" i="2"/>
  <c r="AK2364" i="2"/>
  <c r="AJ2364" i="2"/>
  <c r="AI2364" i="2"/>
  <c r="AH2364" i="2"/>
  <c r="AG2364" i="2"/>
  <c r="AE2364" i="2"/>
  <c r="AD2364" i="2"/>
  <c r="AA2364" i="2"/>
  <c r="Z2364" i="2"/>
  <c r="Y2364" i="2"/>
  <c r="X2364" i="2"/>
  <c r="W2364" i="2"/>
  <c r="V2364" i="2"/>
  <c r="U2364" i="2"/>
  <c r="T2364" i="2"/>
  <c r="S2364" i="2"/>
  <c r="R2364" i="2"/>
  <c r="Q2364" i="2"/>
  <c r="P2364" i="2"/>
  <c r="O2364" i="2"/>
  <c r="N2364" i="2"/>
  <c r="K2364" i="2"/>
  <c r="J2364" i="2"/>
  <c r="I2364" i="2"/>
  <c r="H2364" i="2"/>
  <c r="G2364" i="2"/>
  <c r="F2364" i="2"/>
  <c r="E2364" i="2"/>
  <c r="D2364" i="2"/>
  <c r="C2364" i="2"/>
  <c r="B2364" i="2"/>
  <c r="A2364" i="2"/>
  <c r="AX2363" i="2"/>
  <c r="AV2363" i="2"/>
  <c r="AU2363" i="2"/>
  <c r="AS2363" i="2"/>
  <c r="AR2363" i="2"/>
  <c r="AQ2363" i="2"/>
  <c r="AP2363" i="2"/>
  <c r="AO2363" i="2"/>
  <c r="AN2363" i="2"/>
  <c r="AM2363" i="2"/>
  <c r="AL2363" i="2"/>
  <c r="AK2363" i="2"/>
  <c r="AJ2363" i="2"/>
  <c r="AI2363" i="2"/>
  <c r="AH2363" i="2"/>
  <c r="AG2363" i="2"/>
  <c r="AE2363" i="2"/>
  <c r="AD2363" i="2"/>
  <c r="AA2363" i="2"/>
  <c r="Z2363" i="2"/>
  <c r="Y2363" i="2"/>
  <c r="W2363" i="2"/>
  <c r="V2363" i="2"/>
  <c r="U2363" i="2"/>
  <c r="T2363" i="2"/>
  <c r="S2363" i="2"/>
  <c r="R2363" i="2"/>
  <c r="Q2363" i="2"/>
  <c r="P2363" i="2"/>
  <c r="O2363" i="2"/>
  <c r="N2363" i="2"/>
  <c r="K2363" i="2"/>
  <c r="J2363" i="2"/>
  <c r="I2363" i="2"/>
  <c r="H2363" i="2"/>
  <c r="G2363" i="2"/>
  <c r="F2363" i="2"/>
  <c r="E2363" i="2"/>
  <c r="D2363" i="2"/>
  <c r="C2363" i="2"/>
  <c r="B2363" i="2"/>
  <c r="A2363" i="2"/>
  <c r="AX2362" i="2"/>
  <c r="AV2362" i="2"/>
  <c r="AU2362" i="2"/>
  <c r="AS2362" i="2"/>
  <c r="AR2362" i="2"/>
  <c r="AQ2362" i="2"/>
  <c r="AO2362" i="2"/>
  <c r="AL2362" i="2"/>
  <c r="AK2362" i="2"/>
  <c r="AI2362" i="2"/>
  <c r="AH2362" i="2"/>
  <c r="AG2362" i="2"/>
  <c r="AE2362" i="2"/>
  <c r="AD2362" i="2"/>
  <c r="AA2362" i="2"/>
  <c r="Z2362" i="2"/>
  <c r="Y2362" i="2"/>
  <c r="X2362" i="2"/>
  <c r="W2362" i="2"/>
  <c r="V2362" i="2"/>
  <c r="U2362" i="2"/>
  <c r="T2362" i="2"/>
  <c r="S2362" i="2"/>
  <c r="R2362" i="2"/>
  <c r="Q2362" i="2"/>
  <c r="P2362" i="2"/>
  <c r="O2362" i="2"/>
  <c r="N2362" i="2"/>
  <c r="K2362" i="2"/>
  <c r="J2362" i="2"/>
  <c r="I2362" i="2"/>
  <c r="H2362" i="2"/>
  <c r="G2362" i="2"/>
  <c r="F2362" i="2"/>
  <c r="E2362" i="2"/>
  <c r="D2362" i="2"/>
  <c r="C2362" i="2"/>
  <c r="B2362" i="2"/>
  <c r="A2362" i="2"/>
  <c r="AX2361" i="2"/>
  <c r="AV2361" i="2"/>
  <c r="AU2361" i="2"/>
  <c r="AS2361" i="2"/>
  <c r="AR2361" i="2"/>
  <c r="AQ2361" i="2"/>
  <c r="AP2361" i="2"/>
  <c r="AO2361" i="2"/>
  <c r="AL2361" i="2"/>
  <c r="AK2361" i="2"/>
  <c r="AJ2361" i="2"/>
  <c r="AI2361" i="2"/>
  <c r="AH2361" i="2"/>
  <c r="AG2361" i="2"/>
  <c r="AE2361" i="2"/>
  <c r="AD2361" i="2"/>
  <c r="AA2361" i="2"/>
  <c r="Z2361" i="2"/>
  <c r="Y2361" i="2"/>
  <c r="X2361" i="2"/>
  <c r="W2361" i="2"/>
  <c r="V2361" i="2"/>
  <c r="U2361" i="2"/>
  <c r="T2361" i="2"/>
  <c r="S2361" i="2"/>
  <c r="R2361" i="2"/>
  <c r="Q2361" i="2"/>
  <c r="P2361" i="2"/>
  <c r="O2361" i="2"/>
  <c r="N2361" i="2"/>
  <c r="K2361" i="2"/>
  <c r="J2361" i="2"/>
  <c r="I2361" i="2"/>
  <c r="H2361" i="2"/>
  <c r="G2361" i="2"/>
  <c r="F2361" i="2"/>
  <c r="E2361" i="2"/>
  <c r="D2361" i="2"/>
  <c r="C2361" i="2"/>
  <c r="B2361" i="2"/>
  <c r="A2361" i="2"/>
  <c r="AX2360" i="2"/>
  <c r="AV2360" i="2"/>
  <c r="AU2360" i="2"/>
  <c r="AS2360" i="2"/>
  <c r="AR2360" i="2"/>
  <c r="AQ2360" i="2"/>
  <c r="AO2360" i="2"/>
  <c r="AL2360" i="2"/>
  <c r="AK2360" i="2"/>
  <c r="AJ2360" i="2"/>
  <c r="AI2360" i="2"/>
  <c r="AH2360" i="2"/>
  <c r="AG2360" i="2"/>
  <c r="AE2360" i="2"/>
  <c r="AD2360" i="2"/>
  <c r="AA2360" i="2"/>
  <c r="Z2360" i="2"/>
  <c r="Y2360" i="2"/>
  <c r="X2360" i="2"/>
  <c r="V2360" i="2"/>
  <c r="U2360" i="2"/>
  <c r="T2360" i="2"/>
  <c r="S2360" i="2"/>
  <c r="R2360" i="2"/>
  <c r="Q2360" i="2"/>
  <c r="P2360" i="2"/>
  <c r="O2360" i="2"/>
  <c r="N2360" i="2"/>
  <c r="K2360" i="2"/>
  <c r="J2360" i="2"/>
  <c r="I2360" i="2"/>
  <c r="H2360" i="2"/>
  <c r="G2360" i="2"/>
  <c r="F2360" i="2"/>
  <c r="E2360" i="2"/>
  <c r="D2360" i="2"/>
  <c r="C2360" i="2"/>
  <c r="B2360" i="2"/>
  <c r="A2360" i="2"/>
  <c r="AX2359" i="2"/>
  <c r="AV2359" i="2"/>
  <c r="AU2359" i="2"/>
  <c r="AS2359" i="2"/>
  <c r="AR2359" i="2"/>
  <c r="AQ2359" i="2"/>
  <c r="AO2359" i="2"/>
  <c r="AL2359" i="2"/>
  <c r="AK2359" i="2"/>
  <c r="AI2359" i="2"/>
  <c r="AH2359" i="2"/>
  <c r="AG2359" i="2"/>
  <c r="AE2359" i="2"/>
  <c r="AD2359" i="2"/>
  <c r="AA2359" i="2"/>
  <c r="Z2359" i="2"/>
  <c r="Y2359" i="2"/>
  <c r="X2359" i="2"/>
  <c r="W2359" i="2"/>
  <c r="V2359" i="2"/>
  <c r="U2359" i="2"/>
  <c r="T2359" i="2"/>
  <c r="S2359" i="2"/>
  <c r="R2359" i="2"/>
  <c r="Q2359" i="2"/>
  <c r="P2359" i="2"/>
  <c r="O2359" i="2"/>
  <c r="N2359" i="2"/>
  <c r="K2359" i="2"/>
  <c r="J2359" i="2"/>
  <c r="I2359" i="2"/>
  <c r="H2359" i="2"/>
  <c r="G2359" i="2"/>
  <c r="F2359" i="2"/>
  <c r="E2359" i="2"/>
  <c r="D2359" i="2"/>
  <c r="C2359" i="2"/>
  <c r="B2359" i="2"/>
  <c r="A2359" i="2"/>
  <c r="AX2358" i="2"/>
  <c r="AV2358" i="2"/>
  <c r="AU2358" i="2"/>
  <c r="AS2358" i="2"/>
  <c r="AR2358" i="2"/>
  <c r="AQ2358" i="2"/>
  <c r="AO2358" i="2"/>
  <c r="AL2358" i="2"/>
  <c r="AK2358" i="2"/>
  <c r="AJ2358" i="2"/>
  <c r="AI2358" i="2"/>
  <c r="AH2358" i="2"/>
  <c r="AG2358" i="2"/>
  <c r="AE2358" i="2"/>
  <c r="AD2358" i="2"/>
  <c r="AA2358" i="2"/>
  <c r="Z2358" i="2"/>
  <c r="Y2358" i="2"/>
  <c r="X2358" i="2"/>
  <c r="W2358" i="2"/>
  <c r="V2358" i="2"/>
  <c r="U2358" i="2"/>
  <c r="T2358" i="2"/>
  <c r="S2358" i="2"/>
  <c r="R2358" i="2"/>
  <c r="Q2358" i="2"/>
  <c r="P2358" i="2"/>
  <c r="O2358" i="2"/>
  <c r="N2358" i="2"/>
  <c r="K2358" i="2"/>
  <c r="J2358" i="2"/>
  <c r="I2358" i="2"/>
  <c r="H2358" i="2"/>
  <c r="G2358" i="2"/>
  <c r="F2358" i="2"/>
  <c r="E2358" i="2"/>
  <c r="D2358" i="2"/>
  <c r="C2358" i="2"/>
  <c r="B2358" i="2"/>
  <c r="A2358" i="2"/>
  <c r="AX2357" i="2"/>
  <c r="AV2357" i="2"/>
  <c r="AU2357" i="2"/>
  <c r="AS2357" i="2"/>
  <c r="AR2357" i="2"/>
  <c r="AQ2357" i="2"/>
  <c r="AP2357" i="2"/>
  <c r="AO2357" i="2"/>
  <c r="AL2357" i="2"/>
  <c r="AK2357" i="2"/>
  <c r="AJ2357" i="2"/>
  <c r="AI2357" i="2"/>
  <c r="AH2357" i="2"/>
  <c r="AG2357" i="2"/>
  <c r="AE2357" i="2"/>
  <c r="AD2357" i="2"/>
  <c r="AA2357" i="2"/>
  <c r="Z2357" i="2"/>
  <c r="Y2357" i="2"/>
  <c r="X2357" i="2"/>
  <c r="W2357" i="2"/>
  <c r="V2357" i="2"/>
  <c r="U2357" i="2"/>
  <c r="T2357" i="2"/>
  <c r="S2357" i="2"/>
  <c r="R2357" i="2"/>
  <c r="Q2357" i="2"/>
  <c r="P2357" i="2"/>
  <c r="O2357" i="2"/>
  <c r="N2357" i="2"/>
  <c r="K2357" i="2"/>
  <c r="J2357" i="2"/>
  <c r="I2357" i="2"/>
  <c r="H2357" i="2"/>
  <c r="G2357" i="2"/>
  <c r="F2357" i="2"/>
  <c r="E2357" i="2"/>
  <c r="D2357" i="2"/>
  <c r="C2357" i="2"/>
  <c r="B2357" i="2"/>
  <c r="A2357" i="2"/>
  <c r="AX2356" i="2"/>
  <c r="AV2356" i="2"/>
  <c r="AU2356" i="2"/>
  <c r="AT2356" i="2"/>
  <c r="AS2356" i="2"/>
  <c r="AO2356" i="2"/>
  <c r="AM2356" i="2"/>
  <c r="AL2356" i="2"/>
  <c r="AK2356" i="2"/>
  <c r="AJ2356" i="2"/>
  <c r="AI2356" i="2"/>
  <c r="AH2356" i="2"/>
  <c r="AG2356" i="2"/>
  <c r="AE2356" i="2"/>
  <c r="AD2356" i="2"/>
  <c r="AA2356" i="2"/>
  <c r="Z2356" i="2"/>
  <c r="Y2356" i="2"/>
  <c r="X2356" i="2"/>
  <c r="W2356" i="2"/>
  <c r="V2356" i="2"/>
  <c r="U2356" i="2"/>
  <c r="T2356" i="2"/>
  <c r="S2356" i="2"/>
  <c r="R2356" i="2"/>
  <c r="Q2356" i="2"/>
  <c r="P2356" i="2"/>
  <c r="O2356" i="2"/>
  <c r="N2356" i="2"/>
  <c r="M2356" i="2"/>
  <c r="L2356" i="2"/>
  <c r="K2356" i="2"/>
  <c r="J2356" i="2"/>
  <c r="I2356" i="2"/>
  <c r="H2356" i="2"/>
  <c r="G2356" i="2"/>
  <c r="F2356" i="2"/>
  <c r="E2356" i="2"/>
  <c r="D2356" i="2"/>
  <c r="C2356" i="2"/>
  <c r="B2356" i="2"/>
  <c r="A2356" i="2"/>
  <c r="AX2355" i="2"/>
  <c r="AV2355" i="2"/>
  <c r="AU2355" i="2"/>
  <c r="AS2355" i="2"/>
  <c r="AR2355" i="2"/>
  <c r="AQ2355" i="2"/>
  <c r="AO2355" i="2"/>
  <c r="AL2355" i="2"/>
  <c r="AK2355" i="2"/>
  <c r="AJ2355" i="2"/>
  <c r="AI2355" i="2"/>
  <c r="AH2355" i="2"/>
  <c r="AG2355" i="2"/>
  <c r="AE2355" i="2"/>
  <c r="AD2355" i="2"/>
  <c r="AA2355" i="2"/>
  <c r="Z2355" i="2"/>
  <c r="Y2355" i="2"/>
  <c r="X2355" i="2"/>
  <c r="W2355" i="2"/>
  <c r="V2355" i="2"/>
  <c r="U2355" i="2"/>
  <c r="T2355" i="2"/>
  <c r="S2355" i="2"/>
  <c r="R2355" i="2"/>
  <c r="Q2355" i="2"/>
  <c r="P2355" i="2"/>
  <c r="O2355" i="2"/>
  <c r="N2355" i="2"/>
  <c r="K2355" i="2"/>
  <c r="J2355" i="2"/>
  <c r="I2355" i="2"/>
  <c r="H2355" i="2"/>
  <c r="G2355" i="2"/>
  <c r="F2355" i="2"/>
  <c r="E2355" i="2"/>
  <c r="D2355" i="2"/>
  <c r="C2355" i="2"/>
  <c r="B2355" i="2"/>
  <c r="A2355" i="2"/>
  <c r="AX2354" i="2"/>
  <c r="AV2354" i="2"/>
  <c r="AU2354" i="2"/>
  <c r="AS2354" i="2"/>
  <c r="AR2354" i="2"/>
  <c r="AQ2354" i="2"/>
  <c r="AP2354" i="2"/>
  <c r="AO2354" i="2"/>
  <c r="AN2354" i="2"/>
  <c r="AM2354" i="2"/>
  <c r="AL2354" i="2"/>
  <c r="AK2354" i="2"/>
  <c r="AJ2354" i="2"/>
  <c r="AI2354" i="2"/>
  <c r="AH2354" i="2"/>
  <c r="AG2354" i="2"/>
  <c r="AF2354" i="2"/>
  <c r="AE2354" i="2"/>
  <c r="AD2354" i="2"/>
  <c r="AA2354" i="2"/>
  <c r="Z2354" i="2"/>
  <c r="Y2354" i="2"/>
  <c r="X2354" i="2"/>
  <c r="W2354" i="2"/>
  <c r="V2354" i="2"/>
  <c r="U2354" i="2"/>
  <c r="T2354" i="2"/>
  <c r="S2354" i="2"/>
  <c r="R2354" i="2"/>
  <c r="Q2354" i="2"/>
  <c r="P2354" i="2"/>
  <c r="O2354" i="2"/>
  <c r="N2354" i="2"/>
  <c r="K2354" i="2"/>
  <c r="J2354" i="2"/>
  <c r="I2354" i="2"/>
  <c r="H2354" i="2"/>
  <c r="G2354" i="2"/>
  <c r="F2354" i="2"/>
  <c r="E2354" i="2"/>
  <c r="D2354" i="2"/>
  <c r="C2354" i="2"/>
  <c r="B2354" i="2"/>
  <c r="A2354" i="2"/>
  <c r="AX2353" i="2"/>
  <c r="AV2353" i="2"/>
  <c r="AU2353" i="2"/>
  <c r="AS2353" i="2"/>
  <c r="AR2353" i="2"/>
  <c r="AO2353" i="2"/>
  <c r="AN2353" i="2"/>
  <c r="AM2353" i="2"/>
  <c r="AL2353" i="2"/>
  <c r="AK2353" i="2"/>
  <c r="AJ2353" i="2"/>
  <c r="AI2353" i="2"/>
  <c r="AH2353" i="2"/>
  <c r="AG2353" i="2"/>
  <c r="AF2353" i="2"/>
  <c r="AE2353" i="2"/>
  <c r="AD2353" i="2"/>
  <c r="AC2353" i="2"/>
  <c r="AB2353" i="2"/>
  <c r="AA2353" i="2"/>
  <c r="Z2353" i="2"/>
  <c r="Y2353" i="2"/>
  <c r="X2353" i="2"/>
  <c r="W2353" i="2"/>
  <c r="V2353" i="2"/>
  <c r="U2353" i="2"/>
  <c r="T2353" i="2"/>
  <c r="S2353" i="2"/>
  <c r="R2353" i="2"/>
  <c r="Q2353" i="2"/>
  <c r="P2353" i="2"/>
  <c r="O2353" i="2"/>
  <c r="N2353" i="2"/>
  <c r="M2353" i="2"/>
  <c r="L2353" i="2"/>
  <c r="K2353" i="2"/>
  <c r="J2353" i="2"/>
  <c r="I2353" i="2"/>
  <c r="H2353" i="2"/>
  <c r="G2353" i="2"/>
  <c r="F2353" i="2"/>
  <c r="E2353" i="2"/>
  <c r="D2353" i="2"/>
  <c r="C2353" i="2"/>
  <c r="B2353" i="2"/>
  <c r="A2353" i="2"/>
  <c r="AX2352" i="2"/>
  <c r="AV2352" i="2"/>
  <c r="AU2352" i="2"/>
  <c r="AS2352" i="2"/>
  <c r="AR2352" i="2"/>
  <c r="AQ2352" i="2"/>
  <c r="AO2352" i="2"/>
  <c r="AL2352" i="2"/>
  <c r="AK2352" i="2"/>
  <c r="AI2352" i="2"/>
  <c r="AH2352" i="2"/>
  <c r="AG2352" i="2"/>
  <c r="AE2352" i="2"/>
  <c r="AD2352" i="2"/>
  <c r="AA2352" i="2"/>
  <c r="Z2352" i="2"/>
  <c r="Y2352" i="2"/>
  <c r="X2352" i="2"/>
  <c r="W2352" i="2"/>
  <c r="V2352" i="2"/>
  <c r="U2352" i="2"/>
  <c r="T2352" i="2"/>
  <c r="S2352" i="2"/>
  <c r="R2352" i="2"/>
  <c r="Q2352" i="2"/>
  <c r="P2352" i="2"/>
  <c r="O2352" i="2"/>
  <c r="N2352" i="2"/>
  <c r="K2352" i="2"/>
  <c r="J2352" i="2"/>
  <c r="I2352" i="2"/>
  <c r="H2352" i="2"/>
  <c r="G2352" i="2"/>
  <c r="F2352" i="2"/>
  <c r="E2352" i="2"/>
  <c r="D2352" i="2"/>
  <c r="C2352" i="2"/>
  <c r="B2352" i="2"/>
  <c r="A2352" i="2"/>
  <c r="AX2351" i="2"/>
  <c r="AV2351" i="2"/>
  <c r="AU2351" i="2"/>
  <c r="AS2351" i="2"/>
  <c r="AR2351" i="2"/>
  <c r="AQ2351" i="2"/>
  <c r="AP2351" i="2"/>
  <c r="AO2351" i="2"/>
  <c r="AN2351" i="2"/>
  <c r="AM2351" i="2"/>
  <c r="AL2351" i="2"/>
  <c r="AK2351" i="2"/>
  <c r="AJ2351" i="2"/>
  <c r="AI2351" i="2"/>
  <c r="AH2351" i="2"/>
  <c r="AG2351" i="2"/>
  <c r="AE2351" i="2"/>
  <c r="AD2351" i="2"/>
  <c r="AA2351" i="2"/>
  <c r="Z2351" i="2"/>
  <c r="Y2351" i="2"/>
  <c r="X2351" i="2"/>
  <c r="W2351" i="2"/>
  <c r="V2351" i="2"/>
  <c r="U2351" i="2"/>
  <c r="T2351" i="2"/>
  <c r="S2351" i="2"/>
  <c r="R2351" i="2"/>
  <c r="Q2351" i="2"/>
  <c r="P2351" i="2"/>
  <c r="O2351" i="2"/>
  <c r="N2351" i="2"/>
  <c r="K2351" i="2"/>
  <c r="J2351" i="2"/>
  <c r="I2351" i="2"/>
  <c r="H2351" i="2"/>
  <c r="G2351" i="2"/>
  <c r="F2351" i="2"/>
  <c r="E2351" i="2"/>
  <c r="D2351" i="2"/>
  <c r="C2351" i="2"/>
  <c r="B2351" i="2"/>
  <c r="A2351" i="2"/>
  <c r="AX2350" i="2"/>
  <c r="AV2350" i="2"/>
  <c r="AU2350" i="2"/>
  <c r="AS2350" i="2"/>
  <c r="AR2350" i="2"/>
  <c r="AQ2350" i="2"/>
  <c r="AO2350" i="2"/>
  <c r="AL2350" i="2"/>
  <c r="AK2350" i="2"/>
  <c r="AJ2350" i="2"/>
  <c r="AI2350" i="2"/>
  <c r="AH2350" i="2"/>
  <c r="AG2350" i="2"/>
  <c r="AE2350" i="2"/>
  <c r="AD2350" i="2"/>
  <c r="AA2350" i="2"/>
  <c r="Z2350" i="2"/>
  <c r="Y2350" i="2"/>
  <c r="X2350" i="2"/>
  <c r="V2350" i="2"/>
  <c r="U2350" i="2"/>
  <c r="T2350" i="2"/>
  <c r="S2350" i="2"/>
  <c r="R2350" i="2"/>
  <c r="Q2350" i="2"/>
  <c r="P2350" i="2"/>
  <c r="O2350" i="2"/>
  <c r="N2350" i="2"/>
  <c r="K2350" i="2"/>
  <c r="J2350" i="2"/>
  <c r="I2350" i="2"/>
  <c r="H2350" i="2"/>
  <c r="G2350" i="2"/>
  <c r="F2350" i="2"/>
  <c r="E2350" i="2"/>
  <c r="D2350" i="2"/>
  <c r="C2350" i="2"/>
  <c r="B2350" i="2"/>
  <c r="A2350" i="2"/>
  <c r="AX2349" i="2"/>
  <c r="AV2349" i="2"/>
  <c r="AU2349" i="2"/>
  <c r="AS2349" i="2"/>
  <c r="AR2349" i="2"/>
  <c r="AQ2349" i="2"/>
  <c r="AO2349" i="2"/>
  <c r="AN2349" i="2"/>
  <c r="AM2349" i="2"/>
  <c r="AL2349" i="2"/>
  <c r="AK2349" i="2"/>
  <c r="AJ2349" i="2"/>
  <c r="AI2349" i="2"/>
  <c r="AH2349" i="2"/>
  <c r="AG2349" i="2"/>
  <c r="AF2349" i="2"/>
  <c r="AE2349" i="2"/>
  <c r="AD2349" i="2"/>
  <c r="AC2349" i="2"/>
  <c r="AA2349" i="2"/>
  <c r="Z2349" i="2"/>
  <c r="Y2349" i="2"/>
  <c r="X2349" i="2"/>
  <c r="W2349" i="2"/>
  <c r="V2349" i="2"/>
  <c r="U2349" i="2"/>
  <c r="T2349" i="2"/>
  <c r="S2349" i="2"/>
  <c r="R2349" i="2"/>
  <c r="Q2349" i="2"/>
  <c r="P2349" i="2"/>
  <c r="O2349" i="2"/>
  <c r="N2349" i="2"/>
  <c r="K2349" i="2"/>
  <c r="J2349" i="2"/>
  <c r="I2349" i="2"/>
  <c r="H2349" i="2"/>
  <c r="G2349" i="2"/>
  <c r="F2349" i="2"/>
  <c r="E2349" i="2"/>
  <c r="D2349" i="2"/>
  <c r="C2349" i="2"/>
  <c r="B2349" i="2"/>
  <c r="A2349" i="2"/>
  <c r="AX2348" i="2"/>
  <c r="AV2348" i="2"/>
  <c r="AU2348" i="2"/>
  <c r="AR2348" i="2"/>
  <c r="AQ2348" i="2"/>
  <c r="AP2348" i="2"/>
  <c r="AO2348" i="2"/>
  <c r="AL2348" i="2"/>
  <c r="AK2348" i="2"/>
  <c r="AJ2348" i="2"/>
  <c r="AI2348" i="2"/>
  <c r="AH2348" i="2"/>
  <c r="AG2348" i="2"/>
  <c r="AE2348" i="2"/>
  <c r="AD2348" i="2"/>
  <c r="AA2348" i="2"/>
  <c r="Z2348" i="2"/>
  <c r="Y2348" i="2"/>
  <c r="X2348" i="2"/>
  <c r="W2348" i="2"/>
  <c r="V2348" i="2"/>
  <c r="U2348" i="2"/>
  <c r="T2348" i="2"/>
  <c r="S2348" i="2"/>
  <c r="R2348" i="2"/>
  <c r="Q2348" i="2"/>
  <c r="P2348" i="2"/>
  <c r="O2348" i="2"/>
  <c r="N2348" i="2"/>
  <c r="K2348" i="2"/>
  <c r="J2348" i="2"/>
  <c r="I2348" i="2"/>
  <c r="H2348" i="2"/>
  <c r="G2348" i="2"/>
  <c r="F2348" i="2"/>
  <c r="E2348" i="2"/>
  <c r="D2348" i="2"/>
  <c r="C2348" i="2"/>
  <c r="B2348" i="2"/>
  <c r="A2348" i="2"/>
  <c r="AX2347" i="2"/>
  <c r="AV2347" i="2"/>
  <c r="AU2347" i="2"/>
  <c r="AS2347" i="2"/>
  <c r="AR2347" i="2"/>
  <c r="AQ2347" i="2"/>
  <c r="AO2347" i="2"/>
  <c r="AL2347" i="2"/>
  <c r="AK2347" i="2"/>
  <c r="AJ2347" i="2"/>
  <c r="AI2347" i="2"/>
  <c r="AH2347" i="2"/>
  <c r="AG2347" i="2"/>
  <c r="AE2347" i="2"/>
  <c r="AD2347" i="2"/>
  <c r="AA2347" i="2"/>
  <c r="Z2347" i="2"/>
  <c r="Y2347" i="2"/>
  <c r="X2347" i="2"/>
  <c r="W2347" i="2"/>
  <c r="V2347" i="2"/>
  <c r="U2347" i="2"/>
  <c r="T2347" i="2"/>
  <c r="S2347" i="2"/>
  <c r="R2347" i="2"/>
  <c r="Q2347" i="2"/>
  <c r="P2347" i="2"/>
  <c r="O2347" i="2"/>
  <c r="N2347" i="2"/>
  <c r="K2347" i="2"/>
  <c r="J2347" i="2"/>
  <c r="I2347" i="2"/>
  <c r="H2347" i="2"/>
  <c r="G2347" i="2"/>
  <c r="F2347" i="2"/>
  <c r="E2347" i="2"/>
  <c r="D2347" i="2"/>
  <c r="C2347" i="2"/>
  <c r="B2347" i="2"/>
  <c r="A2347" i="2"/>
  <c r="AX2346" i="2"/>
  <c r="AV2346" i="2"/>
  <c r="AU2346" i="2"/>
  <c r="AS2346" i="2"/>
  <c r="AR2346" i="2"/>
  <c r="AQ2346" i="2"/>
  <c r="AO2346" i="2"/>
  <c r="AL2346" i="2"/>
  <c r="AK2346" i="2"/>
  <c r="AJ2346" i="2"/>
  <c r="AI2346" i="2"/>
  <c r="AH2346" i="2"/>
  <c r="AG2346" i="2"/>
  <c r="AE2346" i="2"/>
  <c r="AA2346" i="2"/>
  <c r="Z2346" i="2"/>
  <c r="Y2346" i="2"/>
  <c r="X2346" i="2"/>
  <c r="W2346" i="2"/>
  <c r="V2346" i="2"/>
  <c r="U2346" i="2"/>
  <c r="T2346" i="2"/>
  <c r="S2346" i="2"/>
  <c r="R2346" i="2"/>
  <c r="Q2346" i="2"/>
  <c r="P2346" i="2"/>
  <c r="O2346" i="2"/>
  <c r="N2346" i="2"/>
  <c r="K2346" i="2"/>
  <c r="J2346" i="2"/>
  <c r="I2346" i="2"/>
  <c r="H2346" i="2"/>
  <c r="G2346" i="2"/>
  <c r="F2346" i="2"/>
  <c r="E2346" i="2"/>
  <c r="D2346" i="2"/>
  <c r="C2346" i="2"/>
  <c r="B2346" i="2"/>
  <c r="A2346" i="2"/>
  <c r="AX2345" i="2"/>
  <c r="AV2345" i="2"/>
  <c r="AU2345" i="2"/>
  <c r="AS2345" i="2"/>
  <c r="AR2345" i="2"/>
  <c r="AQ2345" i="2"/>
  <c r="AP2345" i="2"/>
  <c r="AO2345" i="2"/>
  <c r="AN2345" i="2"/>
  <c r="AM2345" i="2"/>
  <c r="AL2345" i="2"/>
  <c r="AK2345" i="2"/>
  <c r="AI2345" i="2"/>
  <c r="AH2345" i="2"/>
  <c r="AG2345" i="2"/>
  <c r="AE2345" i="2"/>
  <c r="AA2345" i="2"/>
  <c r="Z2345" i="2"/>
  <c r="Y2345" i="2"/>
  <c r="X2345" i="2"/>
  <c r="W2345" i="2"/>
  <c r="V2345" i="2"/>
  <c r="U2345" i="2"/>
  <c r="T2345" i="2"/>
  <c r="S2345" i="2"/>
  <c r="R2345" i="2"/>
  <c r="Q2345" i="2"/>
  <c r="P2345" i="2"/>
  <c r="O2345" i="2"/>
  <c r="N2345" i="2"/>
  <c r="K2345" i="2"/>
  <c r="J2345" i="2"/>
  <c r="I2345" i="2"/>
  <c r="H2345" i="2"/>
  <c r="G2345" i="2"/>
  <c r="F2345" i="2"/>
  <c r="E2345" i="2"/>
  <c r="D2345" i="2"/>
  <c r="C2345" i="2"/>
  <c r="B2345" i="2"/>
  <c r="A2345" i="2"/>
  <c r="AX2344" i="2"/>
  <c r="AW2344" i="2"/>
  <c r="AV2344" i="2"/>
  <c r="AU2344" i="2"/>
  <c r="AT2344" i="2"/>
  <c r="AS2344" i="2"/>
  <c r="AO2344" i="2"/>
  <c r="AN2344" i="2"/>
  <c r="AM2344" i="2"/>
  <c r="AL2344" i="2"/>
  <c r="AK2344" i="2"/>
  <c r="AJ2344" i="2"/>
  <c r="AI2344" i="2"/>
  <c r="AH2344" i="2"/>
  <c r="AG2344" i="2"/>
  <c r="AE2344" i="2"/>
  <c r="AD2344" i="2"/>
  <c r="AC2344" i="2"/>
  <c r="AB2344" i="2"/>
  <c r="AA2344" i="2"/>
  <c r="Z2344" i="2"/>
  <c r="Y2344" i="2"/>
  <c r="X2344" i="2"/>
  <c r="W2344" i="2"/>
  <c r="V2344" i="2"/>
  <c r="U2344" i="2"/>
  <c r="T2344" i="2"/>
  <c r="S2344" i="2"/>
  <c r="R2344" i="2"/>
  <c r="Q2344" i="2"/>
  <c r="P2344" i="2"/>
  <c r="O2344" i="2"/>
  <c r="N2344" i="2"/>
  <c r="M2344" i="2"/>
  <c r="K2344" i="2"/>
  <c r="J2344" i="2"/>
  <c r="I2344" i="2"/>
  <c r="H2344" i="2"/>
  <c r="G2344" i="2"/>
  <c r="F2344" i="2"/>
  <c r="E2344" i="2"/>
  <c r="D2344" i="2"/>
  <c r="C2344" i="2"/>
  <c r="B2344" i="2"/>
  <c r="A2344" i="2"/>
  <c r="AX2343" i="2"/>
  <c r="AV2343" i="2"/>
  <c r="AU2343" i="2"/>
  <c r="AS2343" i="2"/>
  <c r="AR2343" i="2"/>
  <c r="AQ2343" i="2"/>
  <c r="AP2343" i="2"/>
  <c r="AO2343" i="2"/>
  <c r="AN2343" i="2"/>
  <c r="AM2343" i="2"/>
  <c r="AL2343" i="2"/>
  <c r="AK2343" i="2"/>
  <c r="AJ2343" i="2"/>
  <c r="AI2343" i="2"/>
  <c r="AH2343" i="2"/>
  <c r="AG2343" i="2"/>
  <c r="AE2343" i="2"/>
  <c r="AD2343" i="2"/>
  <c r="AC2343" i="2"/>
  <c r="AA2343" i="2"/>
  <c r="Z2343" i="2"/>
  <c r="Y2343" i="2"/>
  <c r="X2343" i="2"/>
  <c r="W2343" i="2"/>
  <c r="V2343" i="2"/>
  <c r="U2343" i="2"/>
  <c r="T2343" i="2"/>
  <c r="S2343" i="2"/>
  <c r="R2343" i="2"/>
  <c r="Q2343" i="2"/>
  <c r="P2343" i="2"/>
  <c r="O2343" i="2"/>
  <c r="N2343" i="2"/>
  <c r="K2343" i="2"/>
  <c r="J2343" i="2"/>
  <c r="I2343" i="2"/>
  <c r="H2343" i="2"/>
  <c r="G2343" i="2"/>
  <c r="F2343" i="2"/>
  <c r="E2343" i="2"/>
  <c r="D2343" i="2"/>
  <c r="C2343" i="2"/>
  <c r="B2343" i="2"/>
  <c r="A2343" i="2"/>
  <c r="AX2342" i="2"/>
  <c r="AV2342" i="2"/>
  <c r="AU2342" i="2"/>
  <c r="AT2342" i="2"/>
  <c r="AR2342" i="2"/>
  <c r="AQ2342" i="2"/>
  <c r="AP2342" i="2"/>
  <c r="AN2342" i="2"/>
  <c r="AM2342" i="2"/>
  <c r="AL2342" i="2"/>
  <c r="AJ2342" i="2"/>
  <c r="AI2342" i="2"/>
  <c r="AH2342" i="2"/>
  <c r="AG2342" i="2"/>
  <c r="AE2342" i="2"/>
  <c r="AD2342" i="2"/>
  <c r="AA2342" i="2"/>
  <c r="Z2342" i="2"/>
  <c r="Y2342" i="2"/>
  <c r="X2342" i="2"/>
  <c r="W2342" i="2"/>
  <c r="V2342" i="2"/>
  <c r="U2342" i="2"/>
  <c r="T2342" i="2"/>
  <c r="S2342" i="2"/>
  <c r="R2342" i="2"/>
  <c r="Q2342" i="2"/>
  <c r="P2342" i="2"/>
  <c r="O2342" i="2"/>
  <c r="N2342" i="2"/>
  <c r="K2342" i="2"/>
  <c r="J2342" i="2"/>
  <c r="I2342" i="2"/>
  <c r="H2342" i="2"/>
  <c r="G2342" i="2"/>
  <c r="F2342" i="2"/>
  <c r="E2342" i="2"/>
  <c r="D2342" i="2"/>
  <c r="C2342" i="2"/>
  <c r="B2342" i="2"/>
  <c r="A2342" i="2"/>
  <c r="AX2341" i="2"/>
  <c r="AV2341" i="2"/>
  <c r="AU2341" i="2"/>
  <c r="AS2341" i="2"/>
  <c r="AR2341" i="2"/>
  <c r="AQ2341" i="2"/>
  <c r="AP2341" i="2"/>
  <c r="AO2341" i="2"/>
  <c r="AL2341" i="2"/>
  <c r="AK2341" i="2"/>
  <c r="AJ2341" i="2"/>
  <c r="AI2341" i="2"/>
  <c r="AH2341" i="2"/>
  <c r="AG2341" i="2"/>
  <c r="AE2341" i="2"/>
  <c r="AD2341" i="2"/>
  <c r="AA2341" i="2"/>
  <c r="Z2341" i="2"/>
  <c r="Y2341" i="2"/>
  <c r="W2341" i="2"/>
  <c r="V2341" i="2"/>
  <c r="U2341" i="2"/>
  <c r="T2341" i="2"/>
  <c r="S2341" i="2"/>
  <c r="R2341" i="2"/>
  <c r="Q2341" i="2"/>
  <c r="P2341" i="2"/>
  <c r="O2341" i="2"/>
  <c r="N2341" i="2"/>
  <c r="K2341" i="2"/>
  <c r="J2341" i="2"/>
  <c r="I2341" i="2"/>
  <c r="H2341" i="2"/>
  <c r="G2341" i="2"/>
  <c r="F2341" i="2"/>
  <c r="E2341" i="2"/>
  <c r="D2341" i="2"/>
  <c r="C2341" i="2"/>
  <c r="B2341" i="2"/>
  <c r="A2341" i="2"/>
  <c r="AX2340" i="2"/>
  <c r="AV2340" i="2"/>
  <c r="AU2340" i="2"/>
  <c r="AS2340" i="2"/>
  <c r="AR2340" i="2"/>
  <c r="AQ2340" i="2"/>
  <c r="AO2340" i="2"/>
  <c r="AL2340" i="2"/>
  <c r="AK2340" i="2"/>
  <c r="AJ2340" i="2"/>
  <c r="AI2340" i="2"/>
  <c r="AH2340" i="2"/>
  <c r="AG2340" i="2"/>
  <c r="AE2340" i="2"/>
  <c r="AD2340" i="2"/>
  <c r="AA2340" i="2"/>
  <c r="Z2340" i="2"/>
  <c r="Y2340" i="2"/>
  <c r="X2340" i="2"/>
  <c r="V2340" i="2"/>
  <c r="U2340" i="2"/>
  <c r="T2340" i="2"/>
  <c r="S2340" i="2"/>
  <c r="R2340" i="2"/>
  <c r="Q2340" i="2"/>
  <c r="P2340" i="2"/>
  <c r="O2340" i="2"/>
  <c r="N2340" i="2"/>
  <c r="K2340" i="2"/>
  <c r="J2340" i="2"/>
  <c r="I2340" i="2"/>
  <c r="H2340" i="2"/>
  <c r="G2340" i="2"/>
  <c r="F2340" i="2"/>
  <c r="E2340" i="2"/>
  <c r="D2340" i="2"/>
  <c r="C2340" i="2"/>
  <c r="B2340" i="2"/>
  <c r="A2340" i="2"/>
  <c r="AX2339" i="2"/>
  <c r="AV2339" i="2"/>
  <c r="AU2339" i="2"/>
  <c r="AS2339" i="2"/>
  <c r="AR2339" i="2"/>
  <c r="AQ2339" i="2"/>
  <c r="AO2339" i="2"/>
  <c r="AN2339" i="2"/>
  <c r="AM2339" i="2"/>
  <c r="AL2339" i="2"/>
  <c r="AK2339" i="2"/>
  <c r="AJ2339" i="2"/>
  <c r="AI2339" i="2"/>
  <c r="AH2339" i="2"/>
  <c r="AG2339" i="2"/>
  <c r="AE2339" i="2"/>
  <c r="AA2339" i="2"/>
  <c r="Z2339" i="2"/>
  <c r="Y2339" i="2"/>
  <c r="W2339" i="2"/>
  <c r="V2339" i="2"/>
  <c r="U2339" i="2"/>
  <c r="T2339" i="2"/>
  <c r="S2339" i="2"/>
  <c r="R2339" i="2"/>
  <c r="Q2339" i="2"/>
  <c r="P2339" i="2"/>
  <c r="O2339" i="2"/>
  <c r="N2339" i="2"/>
  <c r="K2339" i="2"/>
  <c r="J2339" i="2"/>
  <c r="I2339" i="2"/>
  <c r="H2339" i="2"/>
  <c r="G2339" i="2"/>
  <c r="F2339" i="2"/>
  <c r="E2339" i="2"/>
  <c r="D2339" i="2"/>
  <c r="C2339" i="2"/>
  <c r="B2339" i="2"/>
  <c r="A2339" i="2"/>
  <c r="AX2338" i="2"/>
  <c r="AV2338" i="2"/>
  <c r="AU2338" i="2"/>
  <c r="AS2338" i="2"/>
  <c r="AR2338" i="2"/>
  <c r="AQ2338" i="2"/>
  <c r="AO2338" i="2"/>
  <c r="AL2338" i="2"/>
  <c r="AK2338" i="2"/>
  <c r="AJ2338" i="2"/>
  <c r="AI2338" i="2"/>
  <c r="AH2338" i="2"/>
  <c r="AG2338" i="2"/>
  <c r="AE2338" i="2"/>
  <c r="AD2338" i="2"/>
  <c r="AA2338" i="2"/>
  <c r="Z2338" i="2"/>
  <c r="Y2338" i="2"/>
  <c r="X2338" i="2"/>
  <c r="W2338" i="2"/>
  <c r="V2338" i="2"/>
  <c r="U2338" i="2"/>
  <c r="T2338" i="2"/>
  <c r="S2338" i="2"/>
  <c r="R2338" i="2"/>
  <c r="Q2338" i="2"/>
  <c r="P2338" i="2"/>
  <c r="O2338" i="2"/>
  <c r="N2338" i="2"/>
  <c r="K2338" i="2"/>
  <c r="J2338" i="2"/>
  <c r="I2338" i="2"/>
  <c r="H2338" i="2"/>
  <c r="G2338" i="2"/>
  <c r="F2338" i="2"/>
  <c r="E2338" i="2"/>
  <c r="D2338" i="2"/>
  <c r="C2338" i="2"/>
  <c r="B2338" i="2"/>
  <c r="A2338" i="2"/>
  <c r="AX2337" i="2"/>
  <c r="AV2337" i="2"/>
  <c r="AU2337" i="2"/>
  <c r="AS2337" i="2"/>
  <c r="AR2337" i="2"/>
  <c r="AQ2337" i="2"/>
  <c r="AO2337" i="2"/>
  <c r="AL2337" i="2"/>
  <c r="AK2337" i="2"/>
  <c r="AJ2337" i="2"/>
  <c r="AI2337" i="2"/>
  <c r="AH2337" i="2"/>
  <c r="AG2337" i="2"/>
  <c r="AE2337" i="2"/>
  <c r="AD2337" i="2"/>
  <c r="AA2337" i="2"/>
  <c r="Z2337" i="2"/>
  <c r="Y2337" i="2"/>
  <c r="X2337" i="2"/>
  <c r="W2337" i="2"/>
  <c r="V2337" i="2"/>
  <c r="U2337" i="2"/>
  <c r="T2337" i="2"/>
  <c r="S2337" i="2"/>
  <c r="R2337" i="2"/>
  <c r="Q2337" i="2"/>
  <c r="P2337" i="2"/>
  <c r="O2337" i="2"/>
  <c r="N2337" i="2"/>
  <c r="K2337" i="2"/>
  <c r="J2337" i="2"/>
  <c r="I2337" i="2"/>
  <c r="H2337" i="2"/>
  <c r="G2337" i="2"/>
  <c r="F2337" i="2"/>
  <c r="E2337" i="2"/>
  <c r="D2337" i="2"/>
  <c r="C2337" i="2"/>
  <c r="B2337" i="2"/>
  <c r="A2337" i="2"/>
  <c r="AX2336" i="2"/>
  <c r="AV2336" i="2"/>
  <c r="AU2336" i="2"/>
  <c r="AS2336" i="2"/>
  <c r="AR2336" i="2"/>
  <c r="AQ2336" i="2"/>
  <c r="AP2336" i="2"/>
  <c r="AO2336" i="2"/>
  <c r="AL2336" i="2"/>
  <c r="AK2336" i="2"/>
  <c r="AJ2336" i="2"/>
  <c r="AI2336" i="2"/>
  <c r="AH2336" i="2"/>
  <c r="AG2336" i="2"/>
  <c r="AE2336" i="2"/>
  <c r="AD2336" i="2"/>
  <c r="AA2336" i="2"/>
  <c r="Z2336" i="2"/>
  <c r="Y2336" i="2"/>
  <c r="X2336" i="2"/>
  <c r="W2336" i="2"/>
  <c r="V2336" i="2"/>
  <c r="U2336" i="2"/>
  <c r="T2336" i="2"/>
  <c r="S2336" i="2"/>
  <c r="R2336" i="2"/>
  <c r="Q2336" i="2"/>
  <c r="P2336" i="2"/>
  <c r="O2336" i="2"/>
  <c r="N2336" i="2"/>
  <c r="K2336" i="2"/>
  <c r="J2336" i="2"/>
  <c r="I2336" i="2"/>
  <c r="H2336" i="2"/>
  <c r="G2336" i="2"/>
  <c r="F2336" i="2"/>
  <c r="E2336" i="2"/>
  <c r="D2336" i="2"/>
  <c r="C2336" i="2"/>
  <c r="B2336" i="2"/>
  <c r="A2336" i="2"/>
  <c r="AX2335" i="2"/>
  <c r="AV2335" i="2"/>
  <c r="AU2335" i="2"/>
  <c r="AS2335" i="2"/>
  <c r="AR2335" i="2"/>
  <c r="AQ2335" i="2"/>
  <c r="AO2335" i="2"/>
  <c r="AK2335" i="2"/>
  <c r="AJ2335" i="2"/>
  <c r="AI2335" i="2"/>
  <c r="AH2335" i="2"/>
  <c r="AG2335" i="2"/>
  <c r="AE2335" i="2"/>
  <c r="AD2335" i="2"/>
  <c r="AA2335" i="2"/>
  <c r="Z2335" i="2"/>
  <c r="Y2335" i="2"/>
  <c r="X2335" i="2"/>
  <c r="W2335" i="2"/>
  <c r="V2335" i="2"/>
  <c r="U2335" i="2"/>
  <c r="T2335" i="2"/>
  <c r="S2335" i="2"/>
  <c r="R2335" i="2"/>
  <c r="Q2335" i="2"/>
  <c r="P2335" i="2"/>
  <c r="O2335" i="2"/>
  <c r="N2335" i="2"/>
  <c r="K2335" i="2"/>
  <c r="J2335" i="2"/>
  <c r="I2335" i="2"/>
  <c r="H2335" i="2"/>
  <c r="G2335" i="2"/>
  <c r="F2335" i="2"/>
  <c r="E2335" i="2"/>
  <c r="D2335" i="2"/>
  <c r="C2335" i="2"/>
  <c r="B2335" i="2"/>
  <c r="A2335" i="2"/>
  <c r="AX2334" i="2"/>
  <c r="AV2334" i="2"/>
  <c r="AU2334" i="2"/>
  <c r="AS2334" i="2"/>
  <c r="AR2334" i="2"/>
  <c r="AQ2334" i="2"/>
  <c r="AO2334" i="2"/>
  <c r="AL2334" i="2"/>
  <c r="AK2334" i="2"/>
  <c r="AJ2334" i="2"/>
  <c r="AI2334" i="2"/>
  <c r="AH2334" i="2"/>
  <c r="AG2334" i="2"/>
  <c r="AE2334" i="2"/>
  <c r="AD2334" i="2"/>
  <c r="AA2334" i="2"/>
  <c r="Z2334" i="2"/>
  <c r="Y2334" i="2"/>
  <c r="X2334" i="2"/>
  <c r="W2334" i="2"/>
  <c r="V2334" i="2"/>
  <c r="U2334" i="2"/>
  <c r="T2334" i="2"/>
  <c r="S2334" i="2"/>
  <c r="R2334" i="2"/>
  <c r="Q2334" i="2"/>
  <c r="P2334" i="2"/>
  <c r="O2334" i="2"/>
  <c r="N2334" i="2"/>
  <c r="K2334" i="2"/>
  <c r="J2334" i="2"/>
  <c r="I2334" i="2"/>
  <c r="H2334" i="2"/>
  <c r="G2334" i="2"/>
  <c r="F2334" i="2"/>
  <c r="E2334" i="2"/>
  <c r="D2334" i="2"/>
  <c r="C2334" i="2"/>
  <c r="B2334" i="2"/>
  <c r="A2334" i="2"/>
  <c r="AX2333" i="2"/>
  <c r="AV2333" i="2"/>
  <c r="AU2333" i="2"/>
  <c r="AR2333" i="2"/>
  <c r="AQ2333" i="2"/>
  <c r="AO2333" i="2"/>
  <c r="AL2333" i="2"/>
  <c r="AK2333" i="2"/>
  <c r="AJ2333" i="2"/>
  <c r="AI2333" i="2"/>
  <c r="AH2333" i="2"/>
  <c r="AG2333" i="2"/>
  <c r="AE2333" i="2"/>
  <c r="AD2333" i="2"/>
  <c r="AA2333" i="2"/>
  <c r="Z2333" i="2"/>
  <c r="Y2333" i="2"/>
  <c r="X2333" i="2"/>
  <c r="V2333" i="2"/>
  <c r="U2333" i="2"/>
  <c r="T2333" i="2"/>
  <c r="S2333" i="2"/>
  <c r="R2333" i="2"/>
  <c r="Q2333" i="2"/>
  <c r="P2333" i="2"/>
  <c r="O2333" i="2"/>
  <c r="N2333" i="2"/>
  <c r="K2333" i="2"/>
  <c r="J2333" i="2"/>
  <c r="I2333" i="2"/>
  <c r="H2333" i="2"/>
  <c r="G2333" i="2"/>
  <c r="F2333" i="2"/>
  <c r="E2333" i="2"/>
  <c r="D2333" i="2"/>
  <c r="C2333" i="2"/>
  <c r="B2333" i="2"/>
  <c r="A2333" i="2"/>
  <c r="AX2332" i="2"/>
  <c r="AV2332" i="2"/>
  <c r="AU2332" i="2"/>
  <c r="AS2332" i="2"/>
  <c r="AR2332" i="2"/>
  <c r="AQ2332" i="2"/>
  <c r="AL2332" i="2"/>
  <c r="AI2332" i="2"/>
  <c r="AH2332" i="2"/>
  <c r="AG2332" i="2"/>
  <c r="AE2332" i="2"/>
  <c r="AA2332" i="2"/>
  <c r="Z2332" i="2"/>
  <c r="Y2332" i="2"/>
  <c r="X2332" i="2"/>
  <c r="V2332" i="2"/>
  <c r="U2332" i="2"/>
  <c r="T2332" i="2"/>
  <c r="S2332" i="2"/>
  <c r="R2332" i="2"/>
  <c r="Q2332" i="2"/>
  <c r="P2332" i="2"/>
  <c r="O2332" i="2"/>
  <c r="N2332" i="2"/>
  <c r="K2332" i="2"/>
  <c r="J2332" i="2"/>
  <c r="I2332" i="2"/>
  <c r="H2332" i="2"/>
  <c r="G2332" i="2"/>
  <c r="F2332" i="2"/>
  <c r="E2332" i="2"/>
  <c r="D2332" i="2"/>
  <c r="C2332" i="2"/>
  <c r="B2332" i="2"/>
  <c r="A2332" i="2"/>
  <c r="AX2331" i="2"/>
  <c r="AV2331" i="2"/>
  <c r="AU2331" i="2"/>
  <c r="AS2331" i="2"/>
  <c r="AR2331" i="2"/>
  <c r="AQ2331" i="2"/>
  <c r="AO2331" i="2"/>
  <c r="AL2331" i="2"/>
  <c r="AK2331" i="2"/>
  <c r="AJ2331" i="2"/>
  <c r="AI2331" i="2"/>
  <c r="AH2331" i="2"/>
  <c r="AG2331" i="2"/>
  <c r="AF2331" i="2"/>
  <c r="AE2331" i="2"/>
  <c r="AD2331" i="2"/>
  <c r="AA2331" i="2"/>
  <c r="Z2331" i="2"/>
  <c r="Y2331" i="2"/>
  <c r="X2331" i="2"/>
  <c r="W2331" i="2"/>
  <c r="V2331" i="2"/>
  <c r="U2331" i="2"/>
  <c r="T2331" i="2"/>
  <c r="S2331" i="2"/>
  <c r="R2331" i="2"/>
  <c r="Q2331" i="2"/>
  <c r="P2331" i="2"/>
  <c r="O2331" i="2"/>
  <c r="N2331" i="2"/>
  <c r="K2331" i="2"/>
  <c r="J2331" i="2"/>
  <c r="I2331" i="2"/>
  <c r="H2331" i="2"/>
  <c r="G2331" i="2"/>
  <c r="F2331" i="2"/>
  <c r="E2331" i="2"/>
  <c r="D2331" i="2"/>
  <c r="C2331" i="2"/>
  <c r="B2331" i="2"/>
  <c r="A2331" i="2"/>
  <c r="AX2330" i="2"/>
  <c r="AV2330" i="2"/>
  <c r="AU2330" i="2"/>
  <c r="AS2330" i="2"/>
  <c r="AR2330" i="2"/>
  <c r="AQ2330" i="2"/>
  <c r="AO2330" i="2"/>
  <c r="AL2330" i="2"/>
  <c r="AK2330" i="2"/>
  <c r="AJ2330" i="2"/>
  <c r="AI2330" i="2"/>
  <c r="AH2330" i="2"/>
  <c r="AG2330" i="2"/>
  <c r="AF2330" i="2"/>
  <c r="AE2330" i="2"/>
  <c r="AD2330" i="2"/>
  <c r="AA2330" i="2"/>
  <c r="Z2330" i="2"/>
  <c r="Y2330" i="2"/>
  <c r="X2330" i="2"/>
  <c r="W2330" i="2"/>
  <c r="V2330" i="2"/>
  <c r="U2330" i="2"/>
  <c r="T2330" i="2"/>
  <c r="S2330" i="2"/>
  <c r="R2330" i="2"/>
  <c r="Q2330" i="2"/>
  <c r="P2330" i="2"/>
  <c r="O2330" i="2"/>
  <c r="N2330" i="2"/>
  <c r="K2330" i="2"/>
  <c r="J2330" i="2"/>
  <c r="I2330" i="2"/>
  <c r="H2330" i="2"/>
  <c r="G2330" i="2"/>
  <c r="F2330" i="2"/>
  <c r="E2330" i="2"/>
  <c r="D2330" i="2"/>
  <c r="C2330" i="2"/>
  <c r="B2330" i="2"/>
  <c r="A2330" i="2"/>
  <c r="AX2329" i="2"/>
  <c r="AV2329" i="2"/>
  <c r="AU2329" i="2"/>
  <c r="AS2329" i="2"/>
  <c r="AR2329" i="2"/>
  <c r="AQ2329" i="2"/>
  <c r="AO2329" i="2"/>
  <c r="AL2329" i="2"/>
  <c r="AK2329" i="2"/>
  <c r="AJ2329" i="2"/>
  <c r="AI2329" i="2"/>
  <c r="AH2329" i="2"/>
  <c r="AG2329" i="2"/>
  <c r="AF2329" i="2"/>
  <c r="AE2329" i="2"/>
  <c r="AD2329" i="2"/>
  <c r="AA2329" i="2"/>
  <c r="Z2329" i="2"/>
  <c r="Y2329" i="2"/>
  <c r="X2329" i="2"/>
  <c r="V2329" i="2"/>
  <c r="U2329" i="2"/>
  <c r="T2329" i="2"/>
  <c r="S2329" i="2"/>
  <c r="R2329" i="2"/>
  <c r="Q2329" i="2"/>
  <c r="P2329" i="2"/>
  <c r="O2329" i="2"/>
  <c r="N2329" i="2"/>
  <c r="K2329" i="2"/>
  <c r="J2329" i="2"/>
  <c r="I2329" i="2"/>
  <c r="H2329" i="2"/>
  <c r="G2329" i="2"/>
  <c r="F2329" i="2"/>
  <c r="E2329" i="2"/>
  <c r="D2329" i="2"/>
  <c r="C2329" i="2"/>
  <c r="B2329" i="2"/>
  <c r="A2329" i="2"/>
  <c r="AX2328" i="2"/>
  <c r="AV2328" i="2"/>
  <c r="AU2328" i="2"/>
  <c r="AT2328" i="2"/>
  <c r="AR2328" i="2"/>
  <c r="AQ2328" i="2"/>
  <c r="AP2328" i="2"/>
  <c r="AO2328" i="2"/>
  <c r="AN2328" i="2"/>
  <c r="AM2328" i="2"/>
  <c r="AL2328" i="2"/>
  <c r="AK2328" i="2"/>
  <c r="AJ2328" i="2"/>
  <c r="AI2328" i="2"/>
  <c r="AH2328" i="2"/>
  <c r="AG2328" i="2"/>
  <c r="AE2328" i="2"/>
  <c r="AD2328" i="2"/>
  <c r="AC2328" i="2"/>
  <c r="AA2328" i="2"/>
  <c r="Z2328" i="2"/>
  <c r="Y2328" i="2"/>
  <c r="X2328" i="2"/>
  <c r="W2328" i="2"/>
  <c r="V2328" i="2"/>
  <c r="U2328" i="2"/>
  <c r="T2328" i="2"/>
  <c r="S2328" i="2"/>
  <c r="R2328" i="2"/>
  <c r="Q2328" i="2"/>
  <c r="P2328" i="2"/>
  <c r="O2328" i="2"/>
  <c r="N2328" i="2"/>
  <c r="M2328" i="2"/>
  <c r="L2328" i="2"/>
  <c r="K2328" i="2"/>
  <c r="J2328" i="2"/>
  <c r="I2328" i="2"/>
  <c r="H2328" i="2"/>
  <c r="G2328" i="2"/>
  <c r="F2328" i="2"/>
  <c r="E2328" i="2"/>
  <c r="D2328" i="2"/>
  <c r="C2328" i="2"/>
  <c r="B2328" i="2"/>
  <c r="A2328" i="2"/>
  <c r="AX2327" i="2"/>
  <c r="AV2327" i="2"/>
  <c r="AU2327" i="2"/>
  <c r="AR2327" i="2"/>
  <c r="AQ2327" i="2"/>
  <c r="AP2327" i="2"/>
  <c r="AO2327" i="2"/>
  <c r="AL2327" i="2"/>
  <c r="AK2327" i="2"/>
  <c r="AJ2327" i="2"/>
  <c r="AI2327" i="2"/>
  <c r="AH2327" i="2"/>
  <c r="AG2327" i="2"/>
  <c r="AE2327" i="2"/>
  <c r="AD2327" i="2"/>
  <c r="AA2327" i="2"/>
  <c r="Z2327" i="2"/>
  <c r="Y2327" i="2"/>
  <c r="X2327" i="2"/>
  <c r="W2327" i="2"/>
  <c r="V2327" i="2"/>
  <c r="U2327" i="2"/>
  <c r="T2327" i="2"/>
  <c r="S2327" i="2"/>
  <c r="R2327" i="2"/>
  <c r="Q2327" i="2"/>
  <c r="P2327" i="2"/>
  <c r="O2327" i="2"/>
  <c r="N2327" i="2"/>
  <c r="K2327" i="2"/>
  <c r="J2327" i="2"/>
  <c r="I2327" i="2"/>
  <c r="H2327" i="2"/>
  <c r="G2327" i="2"/>
  <c r="F2327" i="2"/>
  <c r="E2327" i="2"/>
  <c r="D2327" i="2"/>
  <c r="C2327" i="2"/>
  <c r="B2327" i="2"/>
  <c r="A2327" i="2"/>
  <c r="AX2326" i="2"/>
  <c r="AV2326" i="2"/>
  <c r="AU2326" i="2"/>
  <c r="AS2326" i="2"/>
  <c r="AR2326" i="2"/>
  <c r="AQ2326" i="2"/>
  <c r="AO2326" i="2"/>
  <c r="AL2326" i="2"/>
  <c r="AK2326" i="2"/>
  <c r="AJ2326" i="2"/>
  <c r="AI2326" i="2"/>
  <c r="AH2326" i="2"/>
  <c r="AG2326" i="2"/>
  <c r="AE2326" i="2"/>
  <c r="AD2326" i="2"/>
  <c r="AA2326" i="2"/>
  <c r="Z2326" i="2"/>
  <c r="Y2326" i="2"/>
  <c r="X2326" i="2"/>
  <c r="W2326" i="2"/>
  <c r="V2326" i="2"/>
  <c r="U2326" i="2"/>
  <c r="T2326" i="2"/>
  <c r="S2326" i="2"/>
  <c r="R2326" i="2"/>
  <c r="Q2326" i="2"/>
  <c r="P2326" i="2"/>
  <c r="O2326" i="2"/>
  <c r="N2326" i="2"/>
  <c r="K2326" i="2"/>
  <c r="J2326" i="2"/>
  <c r="I2326" i="2"/>
  <c r="H2326" i="2"/>
  <c r="G2326" i="2"/>
  <c r="F2326" i="2"/>
  <c r="E2326" i="2"/>
  <c r="D2326" i="2"/>
  <c r="C2326" i="2"/>
  <c r="B2326" i="2"/>
  <c r="A2326" i="2"/>
  <c r="AX2325" i="2"/>
  <c r="AV2325" i="2"/>
  <c r="AU2325" i="2"/>
  <c r="AS2325" i="2"/>
  <c r="AR2325" i="2"/>
  <c r="AQ2325" i="2"/>
  <c r="AO2325" i="2"/>
  <c r="AM2325" i="2"/>
  <c r="AL2325" i="2"/>
  <c r="AK2325" i="2"/>
  <c r="AJ2325" i="2"/>
  <c r="AI2325" i="2"/>
  <c r="AH2325" i="2"/>
  <c r="AG2325" i="2"/>
  <c r="AE2325" i="2"/>
  <c r="AD2325" i="2"/>
  <c r="AA2325" i="2"/>
  <c r="Z2325" i="2"/>
  <c r="Y2325" i="2"/>
  <c r="X2325" i="2"/>
  <c r="U2325" i="2"/>
  <c r="T2325" i="2"/>
  <c r="S2325" i="2"/>
  <c r="R2325" i="2"/>
  <c r="Q2325" i="2"/>
  <c r="P2325" i="2"/>
  <c r="O2325" i="2"/>
  <c r="N2325" i="2"/>
  <c r="K2325" i="2"/>
  <c r="J2325" i="2"/>
  <c r="I2325" i="2"/>
  <c r="H2325" i="2"/>
  <c r="G2325" i="2"/>
  <c r="F2325" i="2"/>
  <c r="E2325" i="2"/>
  <c r="D2325" i="2"/>
  <c r="C2325" i="2"/>
  <c r="B2325" i="2"/>
  <c r="A2325" i="2"/>
  <c r="AX2324" i="2"/>
  <c r="AV2324" i="2"/>
  <c r="AU2324" i="2"/>
  <c r="AS2324" i="2"/>
  <c r="AR2324" i="2"/>
  <c r="AQ2324" i="2"/>
  <c r="AP2324" i="2"/>
  <c r="AO2324" i="2"/>
  <c r="AN2324" i="2"/>
  <c r="AM2324" i="2"/>
  <c r="AL2324" i="2"/>
  <c r="AK2324" i="2"/>
  <c r="AJ2324" i="2"/>
  <c r="AI2324" i="2"/>
  <c r="AH2324" i="2"/>
  <c r="AG2324" i="2"/>
  <c r="AE2324" i="2"/>
  <c r="AD2324" i="2"/>
  <c r="AC2324" i="2"/>
  <c r="AB2324" i="2"/>
  <c r="AA2324" i="2"/>
  <c r="Z2324" i="2"/>
  <c r="Y2324" i="2"/>
  <c r="X2324" i="2"/>
  <c r="W2324" i="2"/>
  <c r="V2324" i="2"/>
  <c r="U2324" i="2"/>
  <c r="T2324" i="2"/>
  <c r="S2324" i="2"/>
  <c r="R2324" i="2"/>
  <c r="Q2324" i="2"/>
  <c r="P2324" i="2"/>
  <c r="O2324" i="2"/>
  <c r="N2324" i="2"/>
  <c r="K2324" i="2"/>
  <c r="J2324" i="2"/>
  <c r="I2324" i="2"/>
  <c r="H2324" i="2"/>
  <c r="G2324" i="2"/>
  <c r="F2324" i="2"/>
  <c r="E2324" i="2"/>
  <c r="D2324" i="2"/>
  <c r="C2324" i="2"/>
  <c r="B2324" i="2"/>
  <c r="A2324" i="2"/>
  <c r="AX2323" i="2"/>
  <c r="AV2323" i="2"/>
  <c r="AU2323" i="2"/>
  <c r="AS2323" i="2"/>
  <c r="AR2323" i="2"/>
  <c r="AQ2323" i="2"/>
  <c r="AP2323" i="2"/>
  <c r="AO2323" i="2"/>
  <c r="AL2323" i="2"/>
  <c r="AK2323" i="2"/>
  <c r="AJ2323" i="2"/>
  <c r="AI2323" i="2"/>
  <c r="AH2323" i="2"/>
  <c r="AG2323" i="2"/>
  <c r="AF2323" i="2"/>
  <c r="AE2323" i="2"/>
  <c r="AD2323" i="2"/>
  <c r="AA2323" i="2"/>
  <c r="Z2323" i="2"/>
  <c r="Y2323" i="2"/>
  <c r="X2323" i="2"/>
  <c r="W2323" i="2"/>
  <c r="V2323" i="2"/>
  <c r="U2323" i="2"/>
  <c r="T2323" i="2"/>
  <c r="S2323" i="2"/>
  <c r="R2323" i="2"/>
  <c r="Q2323" i="2"/>
  <c r="P2323" i="2"/>
  <c r="O2323" i="2"/>
  <c r="N2323" i="2"/>
  <c r="K2323" i="2"/>
  <c r="J2323" i="2"/>
  <c r="I2323" i="2"/>
  <c r="H2323" i="2"/>
  <c r="G2323" i="2"/>
  <c r="F2323" i="2"/>
  <c r="E2323" i="2"/>
  <c r="D2323" i="2"/>
  <c r="C2323" i="2"/>
  <c r="B2323" i="2"/>
  <c r="A2323" i="2"/>
  <c r="AX2322" i="2"/>
  <c r="AV2322" i="2"/>
  <c r="AU2322" i="2"/>
  <c r="AS2322" i="2"/>
  <c r="AR2322" i="2"/>
  <c r="AQ2322" i="2"/>
  <c r="AO2322" i="2"/>
  <c r="AL2322" i="2"/>
  <c r="AK2322" i="2"/>
  <c r="AJ2322" i="2"/>
  <c r="AI2322" i="2"/>
  <c r="AH2322" i="2"/>
  <c r="AG2322" i="2"/>
  <c r="AF2322" i="2"/>
  <c r="AE2322" i="2"/>
  <c r="AD2322" i="2"/>
  <c r="AA2322" i="2"/>
  <c r="Z2322" i="2"/>
  <c r="Y2322" i="2"/>
  <c r="X2322" i="2"/>
  <c r="W2322" i="2"/>
  <c r="V2322" i="2"/>
  <c r="U2322" i="2"/>
  <c r="T2322" i="2"/>
  <c r="S2322" i="2"/>
  <c r="R2322" i="2"/>
  <c r="Q2322" i="2"/>
  <c r="P2322" i="2"/>
  <c r="O2322" i="2"/>
  <c r="N2322" i="2"/>
  <c r="K2322" i="2"/>
  <c r="J2322" i="2"/>
  <c r="I2322" i="2"/>
  <c r="H2322" i="2"/>
  <c r="G2322" i="2"/>
  <c r="F2322" i="2"/>
  <c r="E2322" i="2"/>
  <c r="D2322" i="2"/>
  <c r="C2322" i="2"/>
  <c r="B2322" i="2"/>
  <c r="A2322" i="2"/>
  <c r="AX2321" i="2"/>
  <c r="AV2321" i="2"/>
  <c r="AU2321" i="2"/>
  <c r="AS2321" i="2"/>
  <c r="AR2321" i="2"/>
  <c r="AQ2321" i="2"/>
  <c r="AO2321" i="2"/>
  <c r="AL2321" i="2"/>
  <c r="AK2321" i="2"/>
  <c r="AJ2321" i="2"/>
  <c r="AI2321" i="2"/>
  <c r="AH2321" i="2"/>
  <c r="AG2321" i="2"/>
  <c r="AE2321" i="2"/>
  <c r="AD2321" i="2"/>
  <c r="AA2321" i="2"/>
  <c r="Z2321" i="2"/>
  <c r="Y2321" i="2"/>
  <c r="X2321" i="2"/>
  <c r="W2321" i="2"/>
  <c r="V2321" i="2"/>
  <c r="U2321" i="2"/>
  <c r="T2321" i="2"/>
  <c r="S2321" i="2"/>
  <c r="R2321" i="2"/>
  <c r="Q2321" i="2"/>
  <c r="P2321" i="2"/>
  <c r="O2321" i="2"/>
  <c r="N2321" i="2"/>
  <c r="K2321" i="2"/>
  <c r="J2321" i="2"/>
  <c r="I2321" i="2"/>
  <c r="H2321" i="2"/>
  <c r="G2321" i="2"/>
  <c r="F2321" i="2"/>
  <c r="E2321" i="2"/>
  <c r="D2321" i="2"/>
  <c r="C2321" i="2"/>
  <c r="B2321" i="2"/>
  <c r="A2321" i="2"/>
  <c r="AX2320" i="2"/>
  <c r="AV2320" i="2"/>
  <c r="AU2320" i="2"/>
  <c r="AR2320" i="2"/>
  <c r="AQ2320" i="2"/>
  <c r="AO2320" i="2"/>
  <c r="AL2320" i="2"/>
  <c r="AK2320" i="2"/>
  <c r="AJ2320" i="2"/>
  <c r="AI2320" i="2"/>
  <c r="AH2320" i="2"/>
  <c r="AG2320" i="2"/>
  <c r="AE2320" i="2"/>
  <c r="AD2320" i="2"/>
  <c r="AA2320" i="2"/>
  <c r="Z2320" i="2"/>
  <c r="Y2320" i="2"/>
  <c r="X2320" i="2"/>
  <c r="W2320" i="2"/>
  <c r="V2320" i="2"/>
  <c r="U2320" i="2"/>
  <c r="T2320" i="2"/>
  <c r="S2320" i="2"/>
  <c r="R2320" i="2"/>
  <c r="Q2320" i="2"/>
  <c r="P2320" i="2"/>
  <c r="O2320" i="2"/>
  <c r="N2320" i="2"/>
  <c r="K2320" i="2"/>
  <c r="J2320" i="2"/>
  <c r="I2320" i="2"/>
  <c r="H2320" i="2"/>
  <c r="G2320" i="2"/>
  <c r="F2320" i="2"/>
  <c r="E2320" i="2"/>
  <c r="D2320" i="2"/>
  <c r="C2320" i="2"/>
  <c r="B2320" i="2"/>
  <c r="A2320" i="2"/>
  <c r="AX2319" i="2"/>
  <c r="AV2319" i="2"/>
  <c r="AU2319" i="2"/>
  <c r="AS2319" i="2"/>
  <c r="AR2319" i="2"/>
  <c r="AQ2319" i="2"/>
  <c r="AO2319" i="2"/>
  <c r="AL2319" i="2"/>
  <c r="AK2319" i="2"/>
  <c r="AJ2319" i="2"/>
  <c r="AI2319" i="2"/>
  <c r="AH2319" i="2"/>
  <c r="AG2319" i="2"/>
  <c r="AE2319" i="2"/>
  <c r="AD2319" i="2"/>
  <c r="AA2319" i="2"/>
  <c r="Z2319" i="2"/>
  <c r="Y2319" i="2"/>
  <c r="X2319" i="2"/>
  <c r="W2319" i="2"/>
  <c r="V2319" i="2"/>
  <c r="U2319" i="2"/>
  <c r="T2319" i="2"/>
  <c r="S2319" i="2"/>
  <c r="R2319" i="2"/>
  <c r="Q2319" i="2"/>
  <c r="P2319" i="2"/>
  <c r="O2319" i="2"/>
  <c r="N2319" i="2"/>
  <c r="K2319" i="2"/>
  <c r="J2319" i="2"/>
  <c r="I2319" i="2"/>
  <c r="H2319" i="2"/>
  <c r="G2319" i="2"/>
  <c r="F2319" i="2"/>
  <c r="E2319" i="2"/>
  <c r="D2319" i="2"/>
  <c r="C2319" i="2"/>
  <c r="B2319" i="2"/>
  <c r="A2319" i="2"/>
  <c r="AX2318" i="2"/>
  <c r="AV2318" i="2"/>
  <c r="AU2318" i="2"/>
  <c r="AR2318" i="2"/>
  <c r="AQ2318" i="2"/>
  <c r="AO2318" i="2"/>
  <c r="AI2318" i="2"/>
  <c r="AH2318" i="2"/>
  <c r="AG2318" i="2"/>
  <c r="AE2318" i="2"/>
  <c r="AA2318" i="2"/>
  <c r="Z2318" i="2"/>
  <c r="Y2318" i="2"/>
  <c r="X2318" i="2"/>
  <c r="W2318" i="2"/>
  <c r="V2318" i="2"/>
  <c r="U2318" i="2"/>
  <c r="T2318" i="2"/>
  <c r="S2318" i="2"/>
  <c r="R2318" i="2"/>
  <c r="Q2318" i="2"/>
  <c r="P2318" i="2"/>
  <c r="O2318" i="2"/>
  <c r="N2318" i="2"/>
  <c r="K2318" i="2"/>
  <c r="J2318" i="2"/>
  <c r="I2318" i="2"/>
  <c r="H2318" i="2"/>
  <c r="G2318" i="2"/>
  <c r="F2318" i="2"/>
  <c r="E2318" i="2"/>
  <c r="D2318" i="2"/>
  <c r="C2318" i="2"/>
  <c r="B2318" i="2"/>
  <c r="A2318" i="2"/>
  <c r="AX2317" i="2"/>
  <c r="AV2317" i="2"/>
  <c r="AU2317" i="2"/>
  <c r="AS2317" i="2"/>
  <c r="AR2317" i="2"/>
  <c r="AQ2317" i="2"/>
  <c r="AO2317" i="2"/>
  <c r="AL2317" i="2"/>
  <c r="AK2317" i="2"/>
  <c r="AJ2317" i="2"/>
  <c r="AI2317" i="2"/>
  <c r="AH2317" i="2"/>
  <c r="AG2317" i="2"/>
  <c r="AF2317" i="2"/>
  <c r="AE2317" i="2"/>
  <c r="AD2317" i="2"/>
  <c r="AA2317" i="2"/>
  <c r="Z2317" i="2"/>
  <c r="Y2317" i="2"/>
  <c r="X2317" i="2"/>
  <c r="W2317" i="2"/>
  <c r="V2317" i="2"/>
  <c r="U2317" i="2"/>
  <c r="T2317" i="2"/>
  <c r="S2317" i="2"/>
  <c r="R2317" i="2"/>
  <c r="Q2317" i="2"/>
  <c r="P2317" i="2"/>
  <c r="O2317" i="2"/>
  <c r="N2317" i="2"/>
  <c r="K2317" i="2"/>
  <c r="J2317" i="2"/>
  <c r="I2317" i="2"/>
  <c r="H2317" i="2"/>
  <c r="G2317" i="2"/>
  <c r="F2317" i="2"/>
  <c r="E2317" i="2"/>
  <c r="D2317" i="2"/>
  <c r="C2317" i="2"/>
  <c r="B2317" i="2"/>
  <c r="A2317" i="2"/>
  <c r="AX2316" i="2"/>
  <c r="AV2316" i="2"/>
  <c r="AU2316" i="2"/>
  <c r="AS2316" i="2"/>
  <c r="AR2316" i="2"/>
  <c r="AQ2316" i="2"/>
  <c r="AO2316" i="2"/>
  <c r="AL2316" i="2"/>
  <c r="AK2316" i="2"/>
  <c r="AJ2316" i="2"/>
  <c r="AI2316" i="2"/>
  <c r="AH2316" i="2"/>
  <c r="AG2316" i="2"/>
  <c r="AF2316" i="2"/>
  <c r="AE2316" i="2"/>
  <c r="AD2316" i="2"/>
  <c r="AA2316" i="2"/>
  <c r="Z2316" i="2"/>
  <c r="Y2316" i="2"/>
  <c r="X2316" i="2"/>
  <c r="W2316" i="2"/>
  <c r="V2316" i="2"/>
  <c r="U2316" i="2"/>
  <c r="T2316" i="2"/>
  <c r="S2316" i="2"/>
  <c r="R2316" i="2"/>
  <c r="Q2316" i="2"/>
  <c r="P2316" i="2"/>
  <c r="O2316" i="2"/>
  <c r="N2316" i="2"/>
  <c r="K2316" i="2"/>
  <c r="J2316" i="2"/>
  <c r="I2316" i="2"/>
  <c r="H2316" i="2"/>
  <c r="G2316" i="2"/>
  <c r="F2316" i="2"/>
  <c r="E2316" i="2"/>
  <c r="D2316" i="2"/>
  <c r="C2316" i="2"/>
  <c r="B2316" i="2"/>
  <c r="A2316" i="2"/>
  <c r="AX2315" i="2"/>
  <c r="AV2315" i="2"/>
  <c r="AU2315" i="2"/>
  <c r="AS2315" i="2"/>
  <c r="AR2315" i="2"/>
  <c r="AQ2315" i="2"/>
  <c r="AO2315" i="2"/>
  <c r="AL2315" i="2"/>
  <c r="AK2315" i="2"/>
  <c r="AJ2315" i="2"/>
  <c r="AI2315" i="2"/>
  <c r="AH2315" i="2"/>
  <c r="AG2315" i="2"/>
  <c r="AE2315" i="2"/>
  <c r="AD2315" i="2"/>
  <c r="AA2315" i="2"/>
  <c r="Z2315" i="2"/>
  <c r="Y2315" i="2"/>
  <c r="X2315" i="2"/>
  <c r="W2315" i="2"/>
  <c r="V2315" i="2"/>
  <c r="U2315" i="2"/>
  <c r="T2315" i="2"/>
  <c r="S2315" i="2"/>
  <c r="R2315" i="2"/>
  <c r="Q2315" i="2"/>
  <c r="P2315" i="2"/>
  <c r="O2315" i="2"/>
  <c r="N2315" i="2"/>
  <c r="K2315" i="2"/>
  <c r="J2315" i="2"/>
  <c r="I2315" i="2"/>
  <c r="H2315" i="2"/>
  <c r="G2315" i="2"/>
  <c r="F2315" i="2"/>
  <c r="E2315" i="2"/>
  <c r="D2315" i="2"/>
  <c r="C2315" i="2"/>
  <c r="B2315" i="2"/>
  <c r="A2315" i="2"/>
  <c r="AX2314" i="2"/>
  <c r="AV2314" i="2"/>
  <c r="AU2314" i="2"/>
  <c r="AR2314" i="2"/>
  <c r="AQ2314" i="2"/>
  <c r="AP2314" i="2"/>
  <c r="AO2314" i="2"/>
  <c r="AL2314" i="2"/>
  <c r="AK2314" i="2"/>
  <c r="AJ2314" i="2"/>
  <c r="AI2314" i="2"/>
  <c r="AH2314" i="2"/>
  <c r="AG2314" i="2"/>
  <c r="AF2314" i="2"/>
  <c r="AE2314" i="2"/>
  <c r="AD2314" i="2"/>
  <c r="AA2314" i="2"/>
  <c r="Z2314" i="2"/>
  <c r="Y2314" i="2"/>
  <c r="X2314" i="2"/>
  <c r="W2314" i="2"/>
  <c r="V2314" i="2"/>
  <c r="U2314" i="2"/>
  <c r="T2314" i="2"/>
  <c r="S2314" i="2"/>
  <c r="R2314" i="2"/>
  <c r="Q2314" i="2"/>
  <c r="P2314" i="2"/>
  <c r="O2314" i="2"/>
  <c r="N2314" i="2"/>
  <c r="K2314" i="2"/>
  <c r="J2314" i="2"/>
  <c r="I2314" i="2"/>
  <c r="H2314" i="2"/>
  <c r="G2314" i="2"/>
  <c r="F2314" i="2"/>
  <c r="E2314" i="2"/>
  <c r="D2314" i="2"/>
  <c r="C2314" i="2"/>
  <c r="B2314" i="2"/>
  <c r="A2314" i="2"/>
  <c r="AX2313" i="2"/>
  <c r="AV2313" i="2"/>
  <c r="AU2313" i="2"/>
  <c r="AS2313" i="2"/>
  <c r="AR2313" i="2"/>
  <c r="AQ2313" i="2"/>
  <c r="AO2313" i="2"/>
  <c r="AL2313" i="2"/>
  <c r="AK2313" i="2"/>
  <c r="AJ2313" i="2"/>
  <c r="AI2313" i="2"/>
  <c r="AH2313" i="2"/>
  <c r="AG2313" i="2"/>
  <c r="AE2313" i="2"/>
  <c r="AD2313" i="2"/>
  <c r="AA2313" i="2"/>
  <c r="Z2313" i="2"/>
  <c r="Y2313" i="2"/>
  <c r="X2313" i="2"/>
  <c r="W2313" i="2"/>
  <c r="V2313" i="2"/>
  <c r="U2313" i="2"/>
  <c r="T2313" i="2"/>
  <c r="S2313" i="2"/>
  <c r="R2313" i="2"/>
  <c r="Q2313" i="2"/>
  <c r="P2313" i="2"/>
  <c r="O2313" i="2"/>
  <c r="N2313" i="2"/>
  <c r="K2313" i="2"/>
  <c r="J2313" i="2"/>
  <c r="I2313" i="2"/>
  <c r="H2313" i="2"/>
  <c r="G2313" i="2"/>
  <c r="F2313" i="2"/>
  <c r="E2313" i="2"/>
  <c r="D2313" i="2"/>
  <c r="C2313" i="2"/>
  <c r="B2313" i="2"/>
  <c r="A2313" i="2"/>
  <c r="AX2312" i="2"/>
  <c r="AV2312" i="2"/>
  <c r="AU2312" i="2"/>
  <c r="AS2312" i="2"/>
  <c r="AR2312" i="2"/>
  <c r="AQ2312" i="2"/>
  <c r="AO2312" i="2"/>
  <c r="AL2312" i="2"/>
  <c r="AK2312" i="2"/>
  <c r="AJ2312" i="2"/>
  <c r="AI2312" i="2"/>
  <c r="AH2312" i="2"/>
  <c r="AG2312" i="2"/>
  <c r="AE2312" i="2"/>
  <c r="AD2312" i="2"/>
  <c r="AA2312" i="2"/>
  <c r="Z2312" i="2"/>
  <c r="Y2312" i="2"/>
  <c r="X2312" i="2"/>
  <c r="U2312" i="2"/>
  <c r="T2312" i="2"/>
  <c r="S2312" i="2"/>
  <c r="R2312" i="2"/>
  <c r="Q2312" i="2"/>
  <c r="P2312" i="2"/>
  <c r="O2312" i="2"/>
  <c r="N2312" i="2"/>
  <c r="K2312" i="2"/>
  <c r="J2312" i="2"/>
  <c r="I2312" i="2"/>
  <c r="H2312" i="2"/>
  <c r="G2312" i="2"/>
  <c r="F2312" i="2"/>
  <c r="E2312" i="2"/>
  <c r="D2312" i="2"/>
  <c r="C2312" i="2"/>
  <c r="B2312" i="2"/>
  <c r="A2312" i="2"/>
  <c r="AX2311" i="2"/>
  <c r="AV2311" i="2"/>
  <c r="AU2311" i="2"/>
  <c r="AS2311" i="2"/>
  <c r="AR2311" i="2"/>
  <c r="AQ2311" i="2"/>
  <c r="AP2311" i="2"/>
  <c r="AO2311" i="2"/>
  <c r="AL2311" i="2"/>
  <c r="AK2311" i="2"/>
  <c r="AJ2311" i="2"/>
  <c r="AI2311" i="2"/>
  <c r="AH2311" i="2"/>
  <c r="AG2311" i="2"/>
  <c r="AE2311" i="2"/>
  <c r="AD2311" i="2"/>
  <c r="AA2311" i="2"/>
  <c r="Z2311" i="2"/>
  <c r="Y2311" i="2"/>
  <c r="X2311" i="2"/>
  <c r="W2311" i="2"/>
  <c r="V2311" i="2"/>
  <c r="U2311" i="2"/>
  <c r="T2311" i="2"/>
  <c r="S2311" i="2"/>
  <c r="R2311" i="2"/>
  <c r="Q2311" i="2"/>
  <c r="P2311" i="2"/>
  <c r="O2311" i="2"/>
  <c r="N2311" i="2"/>
  <c r="K2311" i="2"/>
  <c r="J2311" i="2"/>
  <c r="I2311" i="2"/>
  <c r="H2311" i="2"/>
  <c r="G2311" i="2"/>
  <c r="F2311" i="2"/>
  <c r="E2311" i="2"/>
  <c r="D2311" i="2"/>
  <c r="C2311" i="2"/>
  <c r="B2311" i="2"/>
  <c r="A2311" i="2"/>
  <c r="AX2310" i="2"/>
  <c r="AV2310" i="2"/>
  <c r="AU2310" i="2"/>
  <c r="AS2310" i="2"/>
  <c r="AR2310" i="2"/>
  <c r="AQ2310" i="2"/>
  <c r="AO2310" i="2"/>
  <c r="AL2310" i="2"/>
  <c r="AK2310" i="2"/>
  <c r="AJ2310" i="2"/>
  <c r="AI2310" i="2"/>
  <c r="AH2310" i="2"/>
  <c r="AG2310" i="2"/>
  <c r="AE2310" i="2"/>
  <c r="AD2310" i="2"/>
  <c r="AA2310" i="2"/>
  <c r="Z2310" i="2"/>
  <c r="Y2310" i="2"/>
  <c r="X2310" i="2"/>
  <c r="W2310" i="2"/>
  <c r="V2310" i="2"/>
  <c r="U2310" i="2"/>
  <c r="T2310" i="2"/>
  <c r="S2310" i="2"/>
  <c r="R2310" i="2"/>
  <c r="Q2310" i="2"/>
  <c r="P2310" i="2"/>
  <c r="O2310" i="2"/>
  <c r="N2310" i="2"/>
  <c r="K2310" i="2"/>
  <c r="J2310" i="2"/>
  <c r="I2310" i="2"/>
  <c r="H2310" i="2"/>
  <c r="G2310" i="2"/>
  <c r="F2310" i="2"/>
  <c r="E2310" i="2"/>
  <c r="D2310" i="2"/>
  <c r="C2310" i="2"/>
  <c r="B2310" i="2"/>
  <c r="A2310" i="2"/>
  <c r="AX2309" i="2"/>
  <c r="AV2309" i="2"/>
  <c r="AU2309" i="2"/>
  <c r="AS2309" i="2"/>
  <c r="AR2309" i="2"/>
  <c r="AQ2309" i="2"/>
  <c r="AP2309" i="2"/>
  <c r="AO2309" i="2"/>
  <c r="AL2309" i="2"/>
  <c r="AK2309" i="2"/>
  <c r="AJ2309" i="2"/>
  <c r="AI2309" i="2"/>
  <c r="AH2309" i="2"/>
  <c r="AG2309" i="2"/>
  <c r="AF2309" i="2"/>
  <c r="AE2309" i="2"/>
  <c r="AD2309" i="2"/>
  <c r="AA2309" i="2"/>
  <c r="Z2309" i="2"/>
  <c r="Y2309" i="2"/>
  <c r="X2309" i="2"/>
  <c r="V2309" i="2"/>
  <c r="U2309" i="2"/>
  <c r="T2309" i="2"/>
  <c r="S2309" i="2"/>
  <c r="R2309" i="2"/>
  <c r="Q2309" i="2"/>
  <c r="P2309" i="2"/>
  <c r="O2309" i="2"/>
  <c r="N2309" i="2"/>
  <c r="K2309" i="2"/>
  <c r="J2309" i="2"/>
  <c r="I2309" i="2"/>
  <c r="H2309" i="2"/>
  <c r="G2309" i="2"/>
  <c r="F2309" i="2"/>
  <c r="E2309" i="2"/>
  <c r="D2309" i="2"/>
  <c r="C2309" i="2"/>
  <c r="B2309" i="2"/>
  <c r="A2309" i="2"/>
  <c r="AX2308" i="2"/>
  <c r="AV2308" i="2"/>
  <c r="AU2308" i="2"/>
  <c r="AS2308" i="2"/>
  <c r="AR2308" i="2"/>
  <c r="AQ2308" i="2"/>
  <c r="AO2308" i="2"/>
  <c r="AL2308" i="2"/>
  <c r="AK2308" i="2"/>
  <c r="AJ2308" i="2"/>
  <c r="AI2308" i="2"/>
  <c r="AH2308" i="2"/>
  <c r="AG2308" i="2"/>
  <c r="AE2308" i="2"/>
  <c r="AD2308" i="2"/>
  <c r="AA2308" i="2"/>
  <c r="Z2308" i="2"/>
  <c r="Y2308" i="2"/>
  <c r="X2308" i="2"/>
  <c r="W2308" i="2"/>
  <c r="V2308" i="2"/>
  <c r="U2308" i="2"/>
  <c r="T2308" i="2"/>
  <c r="S2308" i="2"/>
  <c r="R2308" i="2"/>
  <c r="Q2308" i="2"/>
  <c r="P2308" i="2"/>
  <c r="O2308" i="2"/>
  <c r="N2308" i="2"/>
  <c r="K2308" i="2"/>
  <c r="J2308" i="2"/>
  <c r="I2308" i="2"/>
  <c r="H2308" i="2"/>
  <c r="G2308" i="2"/>
  <c r="F2308" i="2"/>
  <c r="E2308" i="2"/>
  <c r="D2308" i="2"/>
  <c r="C2308" i="2"/>
  <c r="B2308" i="2"/>
  <c r="A2308" i="2"/>
  <c r="AX2307" i="2"/>
  <c r="AV2307" i="2"/>
  <c r="AU2307" i="2"/>
  <c r="AS2307" i="2"/>
  <c r="AR2307" i="2"/>
  <c r="AQ2307" i="2"/>
  <c r="AO2307" i="2"/>
  <c r="AL2307" i="2"/>
  <c r="AK2307" i="2"/>
  <c r="AJ2307" i="2"/>
  <c r="AI2307" i="2"/>
  <c r="AH2307" i="2"/>
  <c r="AG2307" i="2"/>
  <c r="AE2307" i="2"/>
  <c r="AD2307" i="2"/>
  <c r="AA2307" i="2"/>
  <c r="Z2307" i="2"/>
  <c r="Y2307" i="2"/>
  <c r="X2307" i="2"/>
  <c r="W2307" i="2"/>
  <c r="V2307" i="2"/>
  <c r="U2307" i="2"/>
  <c r="T2307" i="2"/>
  <c r="S2307" i="2"/>
  <c r="R2307" i="2"/>
  <c r="Q2307" i="2"/>
  <c r="P2307" i="2"/>
  <c r="O2307" i="2"/>
  <c r="N2307" i="2"/>
  <c r="K2307" i="2"/>
  <c r="J2307" i="2"/>
  <c r="I2307" i="2"/>
  <c r="H2307" i="2"/>
  <c r="G2307" i="2"/>
  <c r="F2307" i="2"/>
  <c r="E2307" i="2"/>
  <c r="D2307" i="2"/>
  <c r="C2307" i="2"/>
  <c r="B2307" i="2"/>
  <c r="A2307" i="2"/>
  <c r="AX2306" i="2"/>
  <c r="AV2306" i="2"/>
  <c r="AU2306" i="2"/>
  <c r="AR2306" i="2"/>
  <c r="AQ2306" i="2"/>
  <c r="AO2306" i="2"/>
  <c r="AL2306" i="2"/>
  <c r="AK2306" i="2"/>
  <c r="AJ2306" i="2"/>
  <c r="AI2306" i="2"/>
  <c r="AH2306" i="2"/>
  <c r="AG2306" i="2"/>
  <c r="AE2306" i="2"/>
  <c r="AD2306" i="2"/>
  <c r="AA2306" i="2"/>
  <c r="Z2306" i="2"/>
  <c r="Y2306" i="2"/>
  <c r="X2306" i="2"/>
  <c r="T2306" i="2"/>
  <c r="S2306" i="2"/>
  <c r="R2306" i="2"/>
  <c r="Q2306" i="2"/>
  <c r="P2306" i="2"/>
  <c r="O2306" i="2"/>
  <c r="N2306" i="2"/>
  <c r="K2306" i="2"/>
  <c r="J2306" i="2"/>
  <c r="I2306" i="2"/>
  <c r="H2306" i="2"/>
  <c r="G2306" i="2"/>
  <c r="F2306" i="2"/>
  <c r="E2306" i="2"/>
  <c r="D2306" i="2"/>
  <c r="C2306" i="2"/>
  <c r="B2306" i="2"/>
  <c r="A2306" i="2"/>
  <c r="AX2305" i="2"/>
  <c r="AV2305" i="2"/>
  <c r="AU2305" i="2"/>
  <c r="AR2305" i="2"/>
  <c r="AQ2305" i="2"/>
  <c r="AO2305" i="2"/>
  <c r="AL2305" i="2"/>
  <c r="AK2305" i="2"/>
  <c r="AJ2305" i="2"/>
  <c r="AI2305" i="2"/>
  <c r="AH2305" i="2"/>
  <c r="AG2305" i="2"/>
  <c r="AE2305" i="2"/>
  <c r="AD2305" i="2"/>
  <c r="AA2305" i="2"/>
  <c r="Z2305" i="2"/>
  <c r="Y2305" i="2"/>
  <c r="X2305" i="2"/>
  <c r="W2305" i="2"/>
  <c r="V2305" i="2"/>
  <c r="U2305" i="2"/>
  <c r="T2305" i="2"/>
  <c r="S2305" i="2"/>
  <c r="R2305" i="2"/>
  <c r="Q2305" i="2"/>
  <c r="P2305" i="2"/>
  <c r="O2305" i="2"/>
  <c r="N2305" i="2"/>
  <c r="K2305" i="2"/>
  <c r="J2305" i="2"/>
  <c r="I2305" i="2"/>
  <c r="H2305" i="2"/>
  <c r="G2305" i="2"/>
  <c r="F2305" i="2"/>
  <c r="E2305" i="2"/>
  <c r="D2305" i="2"/>
  <c r="C2305" i="2"/>
  <c r="B2305" i="2"/>
  <c r="A2305" i="2"/>
  <c r="AX2304" i="2"/>
  <c r="AV2304" i="2"/>
  <c r="AU2304" i="2"/>
  <c r="AR2304" i="2"/>
  <c r="AQ2304" i="2"/>
  <c r="AP2304" i="2"/>
  <c r="AO2304" i="2"/>
  <c r="AL2304" i="2"/>
  <c r="AK2304" i="2"/>
  <c r="AJ2304" i="2"/>
  <c r="AI2304" i="2"/>
  <c r="AH2304" i="2"/>
  <c r="AG2304" i="2"/>
  <c r="AE2304" i="2"/>
  <c r="AD2304" i="2"/>
  <c r="AA2304" i="2"/>
  <c r="Z2304" i="2"/>
  <c r="Y2304" i="2"/>
  <c r="X2304" i="2"/>
  <c r="W2304" i="2"/>
  <c r="V2304" i="2"/>
  <c r="U2304" i="2"/>
  <c r="T2304" i="2"/>
  <c r="S2304" i="2"/>
  <c r="R2304" i="2"/>
  <c r="Q2304" i="2"/>
  <c r="P2304" i="2"/>
  <c r="O2304" i="2"/>
  <c r="N2304" i="2"/>
  <c r="K2304" i="2"/>
  <c r="J2304" i="2"/>
  <c r="I2304" i="2"/>
  <c r="H2304" i="2"/>
  <c r="G2304" i="2"/>
  <c r="F2304" i="2"/>
  <c r="E2304" i="2"/>
  <c r="D2304" i="2"/>
  <c r="C2304" i="2"/>
  <c r="B2304" i="2"/>
  <c r="A2304" i="2"/>
  <c r="AX2303" i="2"/>
  <c r="AV2303" i="2"/>
  <c r="AU2303" i="2"/>
  <c r="AR2303" i="2"/>
  <c r="AQ2303" i="2"/>
  <c r="AO2303" i="2"/>
  <c r="AL2303" i="2"/>
  <c r="AK2303" i="2"/>
  <c r="AJ2303" i="2"/>
  <c r="AI2303" i="2"/>
  <c r="AH2303" i="2"/>
  <c r="AG2303" i="2"/>
  <c r="AE2303" i="2"/>
  <c r="AD2303" i="2"/>
  <c r="AA2303" i="2"/>
  <c r="Z2303" i="2"/>
  <c r="Y2303" i="2"/>
  <c r="X2303" i="2"/>
  <c r="W2303" i="2"/>
  <c r="V2303" i="2"/>
  <c r="U2303" i="2"/>
  <c r="T2303" i="2"/>
  <c r="S2303" i="2"/>
  <c r="R2303" i="2"/>
  <c r="Q2303" i="2"/>
  <c r="P2303" i="2"/>
  <c r="O2303" i="2"/>
  <c r="N2303" i="2"/>
  <c r="K2303" i="2"/>
  <c r="J2303" i="2"/>
  <c r="I2303" i="2"/>
  <c r="H2303" i="2"/>
  <c r="G2303" i="2"/>
  <c r="F2303" i="2"/>
  <c r="E2303" i="2"/>
  <c r="D2303" i="2"/>
  <c r="C2303" i="2"/>
  <c r="B2303" i="2"/>
  <c r="A2303" i="2"/>
  <c r="AX2302" i="2"/>
  <c r="AV2302" i="2"/>
  <c r="AU2302" i="2"/>
  <c r="AS2302" i="2"/>
  <c r="AR2302" i="2"/>
  <c r="AQ2302" i="2"/>
  <c r="AO2302" i="2"/>
  <c r="AL2302" i="2"/>
  <c r="AK2302" i="2"/>
  <c r="AJ2302" i="2"/>
  <c r="AI2302" i="2"/>
  <c r="AH2302" i="2"/>
  <c r="AG2302" i="2"/>
  <c r="AF2302" i="2"/>
  <c r="AE2302" i="2"/>
  <c r="AD2302" i="2"/>
  <c r="AA2302" i="2"/>
  <c r="Z2302" i="2"/>
  <c r="Y2302" i="2"/>
  <c r="X2302" i="2"/>
  <c r="W2302" i="2"/>
  <c r="V2302" i="2"/>
  <c r="U2302" i="2"/>
  <c r="T2302" i="2"/>
  <c r="S2302" i="2"/>
  <c r="R2302" i="2"/>
  <c r="Q2302" i="2"/>
  <c r="P2302" i="2"/>
  <c r="O2302" i="2"/>
  <c r="N2302" i="2"/>
  <c r="K2302" i="2"/>
  <c r="J2302" i="2"/>
  <c r="I2302" i="2"/>
  <c r="H2302" i="2"/>
  <c r="G2302" i="2"/>
  <c r="F2302" i="2"/>
  <c r="E2302" i="2"/>
  <c r="D2302" i="2"/>
  <c r="C2302" i="2"/>
  <c r="B2302" i="2"/>
  <c r="A2302" i="2"/>
  <c r="AX2301" i="2"/>
  <c r="AV2301" i="2"/>
  <c r="AU2301" i="2"/>
  <c r="AR2301" i="2"/>
  <c r="AQ2301" i="2"/>
  <c r="AO2301" i="2"/>
  <c r="AL2301" i="2"/>
  <c r="AK2301" i="2"/>
  <c r="AJ2301" i="2"/>
  <c r="AI2301" i="2"/>
  <c r="AH2301" i="2"/>
  <c r="AG2301" i="2"/>
  <c r="AF2301" i="2"/>
  <c r="AE2301" i="2"/>
  <c r="AD2301" i="2"/>
  <c r="AA2301" i="2"/>
  <c r="Z2301" i="2"/>
  <c r="Y2301" i="2"/>
  <c r="X2301" i="2"/>
  <c r="V2301" i="2"/>
  <c r="U2301" i="2"/>
  <c r="T2301" i="2"/>
  <c r="S2301" i="2"/>
  <c r="R2301" i="2"/>
  <c r="Q2301" i="2"/>
  <c r="P2301" i="2"/>
  <c r="O2301" i="2"/>
  <c r="N2301" i="2"/>
  <c r="K2301" i="2"/>
  <c r="J2301" i="2"/>
  <c r="I2301" i="2"/>
  <c r="H2301" i="2"/>
  <c r="G2301" i="2"/>
  <c r="F2301" i="2"/>
  <c r="E2301" i="2"/>
  <c r="D2301" i="2"/>
  <c r="C2301" i="2"/>
  <c r="B2301" i="2"/>
  <c r="A2301" i="2"/>
  <c r="AX2300" i="2"/>
  <c r="AV2300" i="2"/>
  <c r="AU2300" i="2"/>
  <c r="AS2300" i="2"/>
  <c r="AR2300" i="2"/>
  <c r="AQ2300" i="2"/>
  <c r="AO2300" i="2"/>
  <c r="AL2300" i="2"/>
  <c r="AK2300" i="2"/>
  <c r="AJ2300" i="2"/>
  <c r="AI2300" i="2"/>
  <c r="AH2300" i="2"/>
  <c r="AG2300" i="2"/>
  <c r="AE2300" i="2"/>
  <c r="AD2300" i="2"/>
  <c r="AA2300" i="2"/>
  <c r="Z2300" i="2"/>
  <c r="Y2300" i="2"/>
  <c r="X2300" i="2"/>
  <c r="W2300" i="2"/>
  <c r="V2300" i="2"/>
  <c r="U2300" i="2"/>
  <c r="T2300" i="2"/>
  <c r="S2300" i="2"/>
  <c r="R2300" i="2"/>
  <c r="Q2300" i="2"/>
  <c r="P2300" i="2"/>
  <c r="O2300" i="2"/>
  <c r="N2300" i="2"/>
  <c r="K2300" i="2"/>
  <c r="J2300" i="2"/>
  <c r="I2300" i="2"/>
  <c r="H2300" i="2"/>
  <c r="G2300" i="2"/>
  <c r="F2300" i="2"/>
  <c r="E2300" i="2"/>
  <c r="D2300" i="2"/>
  <c r="C2300" i="2"/>
  <c r="B2300" i="2"/>
  <c r="A2300" i="2"/>
  <c r="AX2299" i="2"/>
  <c r="AV2299" i="2"/>
  <c r="AU2299" i="2"/>
  <c r="AS2299" i="2"/>
  <c r="AR2299" i="2"/>
  <c r="AQ2299" i="2"/>
  <c r="AO2299" i="2"/>
  <c r="AL2299" i="2"/>
  <c r="AK2299" i="2"/>
  <c r="AJ2299" i="2"/>
  <c r="AI2299" i="2"/>
  <c r="AH2299" i="2"/>
  <c r="AG2299" i="2"/>
  <c r="AE2299" i="2"/>
  <c r="AD2299" i="2"/>
  <c r="AA2299" i="2"/>
  <c r="Z2299" i="2"/>
  <c r="Y2299" i="2"/>
  <c r="X2299" i="2"/>
  <c r="U2299" i="2"/>
  <c r="T2299" i="2"/>
  <c r="S2299" i="2"/>
  <c r="R2299" i="2"/>
  <c r="Q2299" i="2"/>
  <c r="P2299" i="2"/>
  <c r="O2299" i="2"/>
  <c r="N2299" i="2"/>
  <c r="K2299" i="2"/>
  <c r="J2299" i="2"/>
  <c r="I2299" i="2"/>
  <c r="H2299" i="2"/>
  <c r="G2299" i="2"/>
  <c r="F2299" i="2"/>
  <c r="E2299" i="2"/>
  <c r="D2299" i="2"/>
  <c r="C2299" i="2"/>
  <c r="B2299" i="2"/>
  <c r="A2299" i="2"/>
  <c r="AX2298" i="2"/>
  <c r="AV2298" i="2"/>
  <c r="AU2298" i="2"/>
  <c r="AS2298" i="2"/>
  <c r="AR2298" i="2"/>
  <c r="AQ2298" i="2"/>
  <c r="AO2298" i="2"/>
  <c r="AL2298" i="2"/>
  <c r="AK2298" i="2"/>
  <c r="AJ2298" i="2"/>
  <c r="AI2298" i="2"/>
  <c r="AH2298" i="2"/>
  <c r="AG2298" i="2"/>
  <c r="AF2298" i="2"/>
  <c r="AE2298" i="2"/>
  <c r="AD2298" i="2"/>
  <c r="AA2298" i="2"/>
  <c r="Z2298" i="2"/>
  <c r="Y2298" i="2"/>
  <c r="X2298" i="2"/>
  <c r="W2298" i="2"/>
  <c r="V2298" i="2"/>
  <c r="U2298" i="2"/>
  <c r="T2298" i="2"/>
  <c r="S2298" i="2"/>
  <c r="R2298" i="2"/>
  <c r="Q2298" i="2"/>
  <c r="P2298" i="2"/>
  <c r="O2298" i="2"/>
  <c r="N2298" i="2"/>
  <c r="K2298" i="2"/>
  <c r="J2298" i="2"/>
  <c r="I2298" i="2"/>
  <c r="H2298" i="2"/>
  <c r="G2298" i="2"/>
  <c r="F2298" i="2"/>
  <c r="E2298" i="2"/>
  <c r="D2298" i="2"/>
  <c r="C2298" i="2"/>
  <c r="B2298" i="2"/>
  <c r="A2298" i="2"/>
  <c r="AX2297" i="2"/>
  <c r="AV2297" i="2"/>
  <c r="AU2297" i="2"/>
  <c r="AS2297" i="2"/>
  <c r="AR2297" i="2"/>
  <c r="AQ2297" i="2"/>
  <c r="AL2297" i="2"/>
  <c r="AK2297" i="2"/>
  <c r="AJ2297" i="2"/>
  <c r="AI2297" i="2"/>
  <c r="AH2297" i="2"/>
  <c r="AG2297" i="2"/>
  <c r="AE2297" i="2"/>
  <c r="AD2297" i="2"/>
  <c r="AA2297" i="2"/>
  <c r="Z2297" i="2"/>
  <c r="Y2297" i="2"/>
  <c r="X2297" i="2"/>
  <c r="W2297" i="2"/>
  <c r="V2297" i="2"/>
  <c r="U2297" i="2"/>
  <c r="T2297" i="2"/>
  <c r="S2297" i="2"/>
  <c r="R2297" i="2"/>
  <c r="Q2297" i="2"/>
  <c r="P2297" i="2"/>
  <c r="O2297" i="2"/>
  <c r="N2297" i="2"/>
  <c r="K2297" i="2"/>
  <c r="J2297" i="2"/>
  <c r="I2297" i="2"/>
  <c r="H2297" i="2"/>
  <c r="G2297" i="2"/>
  <c r="F2297" i="2"/>
  <c r="E2297" i="2"/>
  <c r="D2297" i="2"/>
  <c r="C2297" i="2"/>
  <c r="B2297" i="2"/>
  <c r="A2297" i="2"/>
  <c r="AX2296" i="2"/>
  <c r="AV2296" i="2"/>
  <c r="AU2296" i="2"/>
  <c r="AS2296" i="2"/>
  <c r="AR2296" i="2"/>
  <c r="AQ2296" i="2"/>
  <c r="AO2296" i="2"/>
  <c r="AK2296" i="2"/>
  <c r="AJ2296" i="2"/>
  <c r="AI2296" i="2"/>
  <c r="AH2296" i="2"/>
  <c r="AG2296" i="2"/>
  <c r="AE2296" i="2"/>
  <c r="AD2296" i="2"/>
  <c r="AA2296" i="2"/>
  <c r="Z2296" i="2"/>
  <c r="Y2296" i="2"/>
  <c r="X2296" i="2"/>
  <c r="W2296" i="2"/>
  <c r="V2296" i="2"/>
  <c r="U2296" i="2"/>
  <c r="T2296" i="2"/>
  <c r="S2296" i="2"/>
  <c r="R2296" i="2"/>
  <c r="Q2296" i="2"/>
  <c r="P2296" i="2"/>
  <c r="O2296" i="2"/>
  <c r="N2296" i="2"/>
  <c r="K2296" i="2"/>
  <c r="J2296" i="2"/>
  <c r="I2296" i="2"/>
  <c r="H2296" i="2"/>
  <c r="G2296" i="2"/>
  <c r="F2296" i="2"/>
  <c r="E2296" i="2"/>
  <c r="D2296" i="2"/>
  <c r="C2296" i="2"/>
  <c r="B2296" i="2"/>
  <c r="A2296" i="2"/>
  <c r="AX2295" i="2"/>
  <c r="AV2295" i="2"/>
  <c r="AU2295" i="2"/>
  <c r="AS2295" i="2"/>
  <c r="AR2295" i="2"/>
  <c r="AQ2295" i="2"/>
  <c r="AO2295" i="2"/>
  <c r="AL2295" i="2"/>
  <c r="AJ2295" i="2"/>
  <c r="AI2295" i="2"/>
  <c r="AH2295" i="2"/>
  <c r="AG2295" i="2"/>
  <c r="AE2295" i="2"/>
  <c r="AD2295" i="2"/>
  <c r="AA2295" i="2"/>
  <c r="Z2295" i="2"/>
  <c r="Y2295" i="2"/>
  <c r="X2295" i="2"/>
  <c r="W2295" i="2"/>
  <c r="V2295" i="2"/>
  <c r="U2295" i="2"/>
  <c r="T2295" i="2"/>
  <c r="S2295" i="2"/>
  <c r="R2295" i="2"/>
  <c r="Q2295" i="2"/>
  <c r="P2295" i="2"/>
  <c r="O2295" i="2"/>
  <c r="N2295" i="2"/>
  <c r="K2295" i="2"/>
  <c r="J2295" i="2"/>
  <c r="I2295" i="2"/>
  <c r="H2295" i="2"/>
  <c r="G2295" i="2"/>
  <c r="F2295" i="2"/>
  <c r="E2295" i="2"/>
  <c r="D2295" i="2"/>
  <c r="C2295" i="2"/>
  <c r="B2295" i="2"/>
  <c r="A2295" i="2"/>
  <c r="AX2294" i="2"/>
  <c r="AV2294" i="2"/>
  <c r="AU2294" i="2"/>
  <c r="AR2294" i="2"/>
  <c r="AQ2294" i="2"/>
  <c r="AO2294" i="2"/>
  <c r="AL2294" i="2"/>
  <c r="AK2294" i="2"/>
  <c r="AJ2294" i="2"/>
  <c r="AI2294" i="2"/>
  <c r="AH2294" i="2"/>
  <c r="AG2294" i="2"/>
  <c r="AF2294" i="2"/>
  <c r="AE2294" i="2"/>
  <c r="AD2294" i="2"/>
  <c r="AA2294" i="2"/>
  <c r="Z2294" i="2"/>
  <c r="Y2294" i="2"/>
  <c r="X2294" i="2"/>
  <c r="W2294" i="2"/>
  <c r="V2294" i="2"/>
  <c r="U2294" i="2"/>
  <c r="T2294" i="2"/>
  <c r="S2294" i="2"/>
  <c r="R2294" i="2"/>
  <c r="Q2294" i="2"/>
  <c r="P2294" i="2"/>
  <c r="O2294" i="2"/>
  <c r="N2294" i="2"/>
  <c r="K2294" i="2"/>
  <c r="J2294" i="2"/>
  <c r="I2294" i="2"/>
  <c r="H2294" i="2"/>
  <c r="G2294" i="2"/>
  <c r="F2294" i="2"/>
  <c r="E2294" i="2"/>
  <c r="D2294" i="2"/>
  <c r="C2294" i="2"/>
  <c r="B2294" i="2"/>
  <c r="A2294" i="2"/>
  <c r="AX2293" i="2"/>
  <c r="AV2293" i="2"/>
  <c r="AU2293" i="2"/>
  <c r="AS2293" i="2"/>
  <c r="AR2293" i="2"/>
  <c r="AQ2293" i="2"/>
  <c r="AP2293" i="2"/>
  <c r="AO2293" i="2"/>
  <c r="AL2293" i="2"/>
  <c r="AK2293" i="2"/>
  <c r="AJ2293" i="2"/>
  <c r="AI2293" i="2"/>
  <c r="AH2293" i="2"/>
  <c r="AG2293" i="2"/>
  <c r="AE2293" i="2"/>
  <c r="AD2293" i="2"/>
  <c r="AA2293" i="2"/>
  <c r="Z2293" i="2"/>
  <c r="Y2293" i="2"/>
  <c r="X2293" i="2"/>
  <c r="V2293" i="2"/>
  <c r="U2293" i="2"/>
  <c r="T2293" i="2"/>
  <c r="S2293" i="2"/>
  <c r="R2293" i="2"/>
  <c r="Q2293" i="2"/>
  <c r="P2293" i="2"/>
  <c r="O2293" i="2"/>
  <c r="N2293" i="2"/>
  <c r="K2293" i="2"/>
  <c r="J2293" i="2"/>
  <c r="I2293" i="2"/>
  <c r="H2293" i="2"/>
  <c r="G2293" i="2"/>
  <c r="F2293" i="2"/>
  <c r="E2293" i="2"/>
  <c r="D2293" i="2"/>
  <c r="C2293" i="2"/>
  <c r="B2293" i="2"/>
  <c r="A2293" i="2"/>
  <c r="AX2292" i="2"/>
  <c r="AV2292" i="2"/>
  <c r="AU2292" i="2"/>
  <c r="AS2292" i="2"/>
  <c r="AR2292" i="2"/>
  <c r="AQ2292" i="2"/>
  <c r="AO2292" i="2"/>
  <c r="AL2292" i="2"/>
  <c r="AK2292" i="2"/>
  <c r="AJ2292" i="2"/>
  <c r="AI2292" i="2"/>
  <c r="AH2292" i="2"/>
  <c r="AG2292" i="2"/>
  <c r="AE2292" i="2"/>
  <c r="AD2292" i="2"/>
  <c r="AA2292" i="2"/>
  <c r="Z2292" i="2"/>
  <c r="Y2292" i="2"/>
  <c r="X2292" i="2"/>
  <c r="T2292" i="2"/>
  <c r="S2292" i="2"/>
  <c r="R2292" i="2"/>
  <c r="Q2292" i="2"/>
  <c r="P2292" i="2"/>
  <c r="O2292" i="2"/>
  <c r="N2292" i="2"/>
  <c r="K2292" i="2"/>
  <c r="J2292" i="2"/>
  <c r="I2292" i="2"/>
  <c r="H2292" i="2"/>
  <c r="G2292" i="2"/>
  <c r="F2292" i="2"/>
  <c r="E2292" i="2"/>
  <c r="D2292" i="2"/>
  <c r="C2292" i="2"/>
  <c r="B2292" i="2"/>
  <c r="A2292" i="2"/>
  <c r="AX2291" i="2"/>
  <c r="AV2291" i="2"/>
  <c r="AU2291" i="2"/>
  <c r="AR2291" i="2"/>
  <c r="AQ2291" i="2"/>
  <c r="AP2291" i="2"/>
  <c r="AO2291" i="2"/>
  <c r="AL2291" i="2"/>
  <c r="AK2291" i="2"/>
  <c r="AI2291" i="2"/>
  <c r="AH2291" i="2"/>
  <c r="AG2291" i="2"/>
  <c r="AE2291" i="2"/>
  <c r="AA2291" i="2"/>
  <c r="Z2291" i="2"/>
  <c r="Y2291" i="2"/>
  <c r="X2291" i="2"/>
  <c r="W2291" i="2"/>
  <c r="V2291" i="2"/>
  <c r="U2291" i="2"/>
  <c r="T2291" i="2"/>
  <c r="S2291" i="2"/>
  <c r="R2291" i="2"/>
  <c r="Q2291" i="2"/>
  <c r="P2291" i="2"/>
  <c r="O2291" i="2"/>
  <c r="N2291" i="2"/>
  <c r="K2291" i="2"/>
  <c r="J2291" i="2"/>
  <c r="I2291" i="2"/>
  <c r="H2291" i="2"/>
  <c r="G2291" i="2"/>
  <c r="F2291" i="2"/>
  <c r="E2291" i="2"/>
  <c r="D2291" i="2"/>
  <c r="C2291" i="2"/>
  <c r="B2291" i="2"/>
  <c r="A2291" i="2"/>
  <c r="AX2290" i="2"/>
  <c r="AV2290" i="2"/>
  <c r="AU2290" i="2"/>
  <c r="AS2290" i="2"/>
  <c r="AR2290" i="2"/>
  <c r="AQ2290" i="2"/>
  <c r="AO2290" i="2"/>
  <c r="AL2290" i="2"/>
  <c r="AK2290" i="2"/>
  <c r="AJ2290" i="2"/>
  <c r="AI2290" i="2"/>
  <c r="AH2290" i="2"/>
  <c r="AG2290" i="2"/>
  <c r="AE2290" i="2"/>
  <c r="AD2290" i="2"/>
  <c r="AA2290" i="2"/>
  <c r="Z2290" i="2"/>
  <c r="Y2290" i="2"/>
  <c r="X2290" i="2"/>
  <c r="W2290" i="2"/>
  <c r="V2290" i="2"/>
  <c r="U2290" i="2"/>
  <c r="T2290" i="2"/>
  <c r="S2290" i="2"/>
  <c r="R2290" i="2"/>
  <c r="Q2290" i="2"/>
  <c r="P2290" i="2"/>
  <c r="O2290" i="2"/>
  <c r="N2290" i="2"/>
  <c r="K2290" i="2"/>
  <c r="J2290" i="2"/>
  <c r="I2290" i="2"/>
  <c r="H2290" i="2"/>
  <c r="G2290" i="2"/>
  <c r="F2290" i="2"/>
  <c r="E2290" i="2"/>
  <c r="D2290" i="2"/>
  <c r="C2290" i="2"/>
  <c r="B2290" i="2"/>
  <c r="A2290" i="2"/>
  <c r="AX2289" i="2"/>
  <c r="AV2289" i="2"/>
  <c r="AU2289" i="2"/>
  <c r="AS2289" i="2"/>
  <c r="AR2289" i="2"/>
  <c r="AQ2289" i="2"/>
  <c r="AO2289" i="2"/>
  <c r="AL2289" i="2"/>
  <c r="AK2289" i="2"/>
  <c r="AJ2289" i="2"/>
  <c r="AI2289" i="2"/>
  <c r="AH2289" i="2"/>
  <c r="AG2289" i="2"/>
  <c r="AE2289" i="2"/>
  <c r="AD2289" i="2"/>
  <c r="AA2289" i="2"/>
  <c r="Z2289" i="2"/>
  <c r="Y2289" i="2"/>
  <c r="X2289" i="2"/>
  <c r="W2289" i="2"/>
  <c r="V2289" i="2"/>
  <c r="U2289" i="2"/>
  <c r="T2289" i="2"/>
  <c r="S2289" i="2"/>
  <c r="R2289" i="2"/>
  <c r="Q2289" i="2"/>
  <c r="P2289" i="2"/>
  <c r="O2289" i="2"/>
  <c r="N2289" i="2"/>
  <c r="K2289" i="2"/>
  <c r="J2289" i="2"/>
  <c r="I2289" i="2"/>
  <c r="H2289" i="2"/>
  <c r="G2289" i="2"/>
  <c r="F2289" i="2"/>
  <c r="E2289" i="2"/>
  <c r="D2289" i="2"/>
  <c r="C2289" i="2"/>
  <c r="B2289" i="2"/>
  <c r="A2289" i="2"/>
  <c r="AX2288" i="2"/>
  <c r="AV2288" i="2"/>
  <c r="AU2288" i="2"/>
  <c r="AS2288" i="2"/>
  <c r="AR2288" i="2"/>
  <c r="AQ2288" i="2"/>
  <c r="AO2288" i="2"/>
  <c r="AK2288" i="2"/>
  <c r="AJ2288" i="2"/>
  <c r="AI2288" i="2"/>
  <c r="AH2288" i="2"/>
  <c r="AG2288" i="2"/>
  <c r="AE2288" i="2"/>
  <c r="AA2288" i="2"/>
  <c r="Z2288" i="2"/>
  <c r="Y2288" i="2"/>
  <c r="X2288" i="2"/>
  <c r="W2288" i="2"/>
  <c r="V2288" i="2"/>
  <c r="U2288" i="2"/>
  <c r="T2288" i="2"/>
  <c r="S2288" i="2"/>
  <c r="R2288" i="2"/>
  <c r="Q2288" i="2"/>
  <c r="P2288" i="2"/>
  <c r="O2288" i="2"/>
  <c r="N2288" i="2"/>
  <c r="K2288" i="2"/>
  <c r="J2288" i="2"/>
  <c r="I2288" i="2"/>
  <c r="H2288" i="2"/>
  <c r="G2288" i="2"/>
  <c r="F2288" i="2"/>
  <c r="E2288" i="2"/>
  <c r="D2288" i="2"/>
  <c r="C2288" i="2"/>
  <c r="B2288" i="2"/>
  <c r="A2288" i="2"/>
  <c r="AX2287" i="2"/>
  <c r="AV2287" i="2"/>
  <c r="AU2287" i="2"/>
  <c r="AS2287" i="2"/>
  <c r="AR2287" i="2"/>
  <c r="AQ2287" i="2"/>
  <c r="AO2287" i="2"/>
  <c r="AL2287" i="2"/>
  <c r="AK2287" i="2"/>
  <c r="AJ2287" i="2"/>
  <c r="AI2287" i="2"/>
  <c r="AH2287" i="2"/>
  <c r="AG2287" i="2"/>
  <c r="AE2287" i="2"/>
  <c r="AD2287" i="2"/>
  <c r="AA2287" i="2"/>
  <c r="Z2287" i="2"/>
  <c r="Y2287" i="2"/>
  <c r="X2287" i="2"/>
  <c r="W2287" i="2"/>
  <c r="V2287" i="2"/>
  <c r="U2287" i="2"/>
  <c r="T2287" i="2"/>
  <c r="S2287" i="2"/>
  <c r="R2287" i="2"/>
  <c r="Q2287" i="2"/>
  <c r="P2287" i="2"/>
  <c r="O2287" i="2"/>
  <c r="N2287" i="2"/>
  <c r="K2287" i="2"/>
  <c r="J2287" i="2"/>
  <c r="I2287" i="2"/>
  <c r="H2287" i="2"/>
  <c r="G2287" i="2"/>
  <c r="F2287" i="2"/>
  <c r="E2287" i="2"/>
  <c r="D2287" i="2"/>
  <c r="C2287" i="2"/>
  <c r="B2287" i="2"/>
  <c r="A2287" i="2"/>
  <c r="AX2286" i="2"/>
  <c r="AV2286" i="2"/>
  <c r="AU2286" i="2"/>
  <c r="AS2286" i="2"/>
  <c r="AR2286" i="2"/>
  <c r="AQ2286" i="2"/>
  <c r="AO2286" i="2"/>
  <c r="AL2286" i="2"/>
  <c r="AK2286" i="2"/>
  <c r="AJ2286" i="2"/>
  <c r="AI2286" i="2"/>
  <c r="AH2286" i="2"/>
  <c r="AG2286" i="2"/>
  <c r="AF2286" i="2"/>
  <c r="AE2286" i="2"/>
  <c r="AD2286" i="2"/>
  <c r="AA2286" i="2"/>
  <c r="Z2286" i="2"/>
  <c r="Y2286" i="2"/>
  <c r="X2286" i="2"/>
  <c r="W2286" i="2"/>
  <c r="V2286" i="2"/>
  <c r="U2286" i="2"/>
  <c r="T2286" i="2"/>
  <c r="S2286" i="2"/>
  <c r="R2286" i="2"/>
  <c r="Q2286" i="2"/>
  <c r="P2286" i="2"/>
  <c r="O2286" i="2"/>
  <c r="N2286" i="2"/>
  <c r="K2286" i="2"/>
  <c r="J2286" i="2"/>
  <c r="I2286" i="2"/>
  <c r="H2286" i="2"/>
  <c r="G2286" i="2"/>
  <c r="F2286" i="2"/>
  <c r="E2286" i="2"/>
  <c r="D2286" i="2"/>
  <c r="C2286" i="2"/>
  <c r="B2286" i="2"/>
  <c r="A2286" i="2"/>
  <c r="AX2285" i="2"/>
  <c r="AV2285" i="2"/>
  <c r="AU2285" i="2"/>
  <c r="AS2285" i="2"/>
  <c r="AR2285" i="2"/>
  <c r="AQ2285" i="2"/>
  <c r="AO2285" i="2"/>
  <c r="AL2285" i="2"/>
  <c r="AK2285" i="2"/>
  <c r="AJ2285" i="2"/>
  <c r="AI2285" i="2"/>
  <c r="AH2285" i="2"/>
  <c r="AG2285" i="2"/>
  <c r="AE2285" i="2"/>
  <c r="AA2285" i="2"/>
  <c r="Z2285" i="2"/>
  <c r="Y2285" i="2"/>
  <c r="X2285" i="2"/>
  <c r="W2285" i="2"/>
  <c r="V2285" i="2"/>
  <c r="U2285" i="2"/>
  <c r="T2285" i="2"/>
  <c r="S2285" i="2"/>
  <c r="R2285" i="2"/>
  <c r="Q2285" i="2"/>
  <c r="P2285" i="2"/>
  <c r="O2285" i="2"/>
  <c r="N2285" i="2"/>
  <c r="K2285" i="2"/>
  <c r="J2285" i="2"/>
  <c r="I2285" i="2"/>
  <c r="H2285" i="2"/>
  <c r="G2285" i="2"/>
  <c r="F2285" i="2"/>
  <c r="E2285" i="2"/>
  <c r="D2285" i="2"/>
  <c r="C2285" i="2"/>
  <c r="B2285" i="2"/>
  <c r="A2285" i="2"/>
  <c r="AX2284" i="2"/>
  <c r="AV2284" i="2"/>
  <c r="AU2284" i="2"/>
  <c r="AS2284" i="2"/>
  <c r="AR2284" i="2"/>
  <c r="AQ2284" i="2"/>
  <c r="AO2284" i="2"/>
  <c r="AL2284" i="2"/>
  <c r="AK2284" i="2"/>
  <c r="AJ2284" i="2"/>
  <c r="AI2284" i="2"/>
  <c r="AH2284" i="2"/>
  <c r="AG2284" i="2"/>
  <c r="AF2284" i="2"/>
  <c r="AE2284" i="2"/>
  <c r="AD2284" i="2"/>
  <c r="AA2284" i="2"/>
  <c r="Z2284" i="2"/>
  <c r="Y2284" i="2"/>
  <c r="X2284" i="2"/>
  <c r="V2284" i="2"/>
  <c r="U2284" i="2"/>
  <c r="T2284" i="2"/>
  <c r="S2284" i="2"/>
  <c r="R2284" i="2"/>
  <c r="Q2284" i="2"/>
  <c r="P2284" i="2"/>
  <c r="O2284" i="2"/>
  <c r="N2284" i="2"/>
  <c r="K2284" i="2"/>
  <c r="J2284" i="2"/>
  <c r="I2284" i="2"/>
  <c r="H2284" i="2"/>
  <c r="G2284" i="2"/>
  <c r="F2284" i="2"/>
  <c r="E2284" i="2"/>
  <c r="D2284" i="2"/>
  <c r="C2284" i="2"/>
  <c r="B2284" i="2"/>
  <c r="A2284" i="2"/>
  <c r="AX2283" i="2"/>
  <c r="AV2283" i="2"/>
  <c r="AU2283" i="2"/>
  <c r="AR2283" i="2"/>
  <c r="AQ2283" i="2"/>
  <c r="AP2283" i="2"/>
  <c r="AO2283" i="2"/>
  <c r="AN2283" i="2"/>
  <c r="AM2283" i="2"/>
  <c r="AL2283" i="2"/>
  <c r="AK2283" i="2"/>
  <c r="AJ2283" i="2"/>
  <c r="AI2283" i="2"/>
  <c r="AH2283" i="2"/>
  <c r="AG2283" i="2"/>
  <c r="AE2283" i="2"/>
  <c r="AD2283" i="2"/>
  <c r="AC2283" i="2"/>
  <c r="AA2283" i="2"/>
  <c r="Z2283" i="2"/>
  <c r="Y2283" i="2"/>
  <c r="W2283" i="2"/>
  <c r="V2283" i="2"/>
  <c r="U2283" i="2"/>
  <c r="T2283" i="2"/>
  <c r="S2283" i="2"/>
  <c r="R2283" i="2"/>
  <c r="Q2283" i="2"/>
  <c r="P2283" i="2"/>
  <c r="O2283" i="2"/>
  <c r="N2283" i="2"/>
  <c r="K2283" i="2"/>
  <c r="J2283" i="2"/>
  <c r="I2283" i="2"/>
  <c r="H2283" i="2"/>
  <c r="G2283" i="2"/>
  <c r="F2283" i="2"/>
  <c r="E2283" i="2"/>
  <c r="D2283" i="2"/>
  <c r="C2283" i="2"/>
  <c r="B2283" i="2"/>
  <c r="A2283" i="2"/>
  <c r="AX2282" i="2"/>
  <c r="AV2282" i="2"/>
  <c r="AU2282" i="2"/>
  <c r="AT2282" i="2"/>
  <c r="AS2282" i="2"/>
  <c r="AR2282" i="2"/>
  <c r="AQ2282" i="2"/>
  <c r="AP2282" i="2"/>
  <c r="AO2282" i="2"/>
  <c r="AL2282" i="2"/>
  <c r="AK2282" i="2"/>
  <c r="AJ2282" i="2"/>
  <c r="AI2282" i="2"/>
  <c r="AH2282" i="2"/>
  <c r="AG2282" i="2"/>
  <c r="AE2282" i="2"/>
  <c r="AD2282" i="2"/>
  <c r="AA2282" i="2"/>
  <c r="Z2282" i="2"/>
  <c r="Y2282" i="2"/>
  <c r="X2282" i="2"/>
  <c r="W2282" i="2"/>
  <c r="V2282" i="2"/>
  <c r="U2282" i="2"/>
  <c r="T2282" i="2"/>
  <c r="S2282" i="2"/>
  <c r="R2282" i="2"/>
  <c r="Q2282" i="2"/>
  <c r="P2282" i="2"/>
  <c r="O2282" i="2"/>
  <c r="N2282" i="2"/>
  <c r="M2282" i="2"/>
  <c r="L2282" i="2"/>
  <c r="K2282" i="2"/>
  <c r="J2282" i="2"/>
  <c r="I2282" i="2"/>
  <c r="H2282" i="2"/>
  <c r="G2282" i="2"/>
  <c r="F2282" i="2"/>
  <c r="E2282" i="2"/>
  <c r="D2282" i="2"/>
  <c r="C2282" i="2"/>
  <c r="B2282" i="2"/>
  <c r="A2282" i="2"/>
  <c r="AX2281" i="2"/>
  <c r="AV2281" i="2"/>
  <c r="AU2281" i="2"/>
  <c r="AS2281" i="2"/>
  <c r="AR2281" i="2"/>
  <c r="AQ2281" i="2"/>
  <c r="AO2281" i="2"/>
  <c r="AL2281" i="2"/>
  <c r="AK2281" i="2"/>
  <c r="AJ2281" i="2"/>
  <c r="AI2281" i="2"/>
  <c r="AH2281" i="2"/>
  <c r="AG2281" i="2"/>
  <c r="AE2281" i="2"/>
  <c r="AD2281" i="2"/>
  <c r="AA2281" i="2"/>
  <c r="Z2281" i="2"/>
  <c r="Y2281" i="2"/>
  <c r="X2281" i="2"/>
  <c r="U2281" i="2"/>
  <c r="T2281" i="2"/>
  <c r="S2281" i="2"/>
  <c r="R2281" i="2"/>
  <c r="Q2281" i="2"/>
  <c r="P2281" i="2"/>
  <c r="O2281" i="2"/>
  <c r="N2281" i="2"/>
  <c r="K2281" i="2"/>
  <c r="J2281" i="2"/>
  <c r="I2281" i="2"/>
  <c r="H2281" i="2"/>
  <c r="G2281" i="2"/>
  <c r="F2281" i="2"/>
  <c r="E2281" i="2"/>
  <c r="D2281" i="2"/>
  <c r="C2281" i="2"/>
  <c r="B2281" i="2"/>
  <c r="A2281" i="2"/>
  <c r="AX2280" i="2"/>
  <c r="AV2280" i="2"/>
  <c r="AU2280" i="2"/>
  <c r="AS2280" i="2"/>
  <c r="AR2280" i="2"/>
  <c r="AQ2280" i="2"/>
  <c r="AO2280" i="2"/>
  <c r="AL2280" i="2"/>
  <c r="AK2280" i="2"/>
  <c r="AJ2280" i="2"/>
  <c r="AI2280" i="2"/>
  <c r="AH2280" i="2"/>
  <c r="AG2280" i="2"/>
  <c r="AE2280" i="2"/>
  <c r="AD2280" i="2"/>
  <c r="AA2280" i="2"/>
  <c r="Z2280" i="2"/>
  <c r="Y2280" i="2"/>
  <c r="X2280" i="2"/>
  <c r="W2280" i="2"/>
  <c r="V2280" i="2"/>
  <c r="U2280" i="2"/>
  <c r="T2280" i="2"/>
  <c r="S2280" i="2"/>
  <c r="R2280" i="2"/>
  <c r="Q2280" i="2"/>
  <c r="P2280" i="2"/>
  <c r="O2280" i="2"/>
  <c r="N2280" i="2"/>
  <c r="K2280" i="2"/>
  <c r="J2280" i="2"/>
  <c r="I2280" i="2"/>
  <c r="H2280" i="2"/>
  <c r="G2280" i="2"/>
  <c r="F2280" i="2"/>
  <c r="E2280" i="2"/>
  <c r="D2280" i="2"/>
  <c r="C2280" i="2"/>
  <c r="B2280" i="2"/>
  <c r="A2280" i="2"/>
  <c r="AX2279" i="2"/>
  <c r="AV2279" i="2"/>
  <c r="AU2279" i="2"/>
  <c r="AR2279" i="2"/>
  <c r="AQ2279" i="2"/>
  <c r="AP2279" i="2"/>
  <c r="AO2279" i="2"/>
  <c r="AL2279" i="2"/>
  <c r="AK2279" i="2"/>
  <c r="AJ2279" i="2"/>
  <c r="AI2279" i="2"/>
  <c r="AH2279" i="2"/>
  <c r="AG2279" i="2"/>
  <c r="AE2279" i="2"/>
  <c r="AD2279" i="2"/>
  <c r="AA2279" i="2"/>
  <c r="Z2279" i="2"/>
  <c r="Y2279" i="2"/>
  <c r="X2279" i="2"/>
  <c r="W2279" i="2"/>
  <c r="V2279" i="2"/>
  <c r="U2279" i="2"/>
  <c r="T2279" i="2"/>
  <c r="S2279" i="2"/>
  <c r="R2279" i="2"/>
  <c r="Q2279" i="2"/>
  <c r="P2279" i="2"/>
  <c r="O2279" i="2"/>
  <c r="N2279" i="2"/>
  <c r="K2279" i="2"/>
  <c r="J2279" i="2"/>
  <c r="I2279" i="2"/>
  <c r="H2279" i="2"/>
  <c r="G2279" i="2"/>
  <c r="F2279" i="2"/>
  <c r="E2279" i="2"/>
  <c r="D2279" i="2"/>
  <c r="C2279" i="2"/>
  <c r="B2279" i="2"/>
  <c r="A2279" i="2"/>
  <c r="AX2278" i="2"/>
  <c r="AV2278" i="2"/>
  <c r="AU2278" i="2"/>
  <c r="AS2278" i="2"/>
  <c r="AR2278" i="2"/>
  <c r="AQ2278" i="2"/>
  <c r="AO2278" i="2"/>
  <c r="AL2278" i="2"/>
  <c r="AK2278" i="2"/>
  <c r="AJ2278" i="2"/>
  <c r="AI2278" i="2"/>
  <c r="AH2278" i="2"/>
  <c r="AG2278" i="2"/>
  <c r="AF2278" i="2"/>
  <c r="AE2278" i="2"/>
  <c r="AD2278" i="2"/>
  <c r="AA2278" i="2"/>
  <c r="Z2278" i="2"/>
  <c r="Y2278" i="2"/>
  <c r="X2278" i="2"/>
  <c r="W2278" i="2"/>
  <c r="V2278" i="2"/>
  <c r="U2278" i="2"/>
  <c r="T2278" i="2"/>
  <c r="S2278" i="2"/>
  <c r="R2278" i="2"/>
  <c r="Q2278" i="2"/>
  <c r="P2278" i="2"/>
  <c r="O2278" i="2"/>
  <c r="N2278" i="2"/>
  <c r="K2278" i="2"/>
  <c r="J2278" i="2"/>
  <c r="I2278" i="2"/>
  <c r="H2278" i="2"/>
  <c r="G2278" i="2"/>
  <c r="F2278" i="2"/>
  <c r="E2278" i="2"/>
  <c r="D2278" i="2"/>
  <c r="C2278" i="2"/>
  <c r="B2278" i="2"/>
  <c r="A2278" i="2"/>
  <c r="AX2277" i="2"/>
  <c r="AV2277" i="2"/>
  <c r="AU2277" i="2"/>
  <c r="AS2277" i="2"/>
  <c r="AR2277" i="2"/>
  <c r="AQ2277" i="2"/>
  <c r="AO2277" i="2"/>
  <c r="AL2277" i="2"/>
  <c r="AK2277" i="2"/>
  <c r="AJ2277" i="2"/>
  <c r="AI2277" i="2"/>
  <c r="AH2277" i="2"/>
  <c r="AG2277" i="2"/>
  <c r="AE2277" i="2"/>
  <c r="AA2277" i="2"/>
  <c r="Z2277" i="2"/>
  <c r="Y2277" i="2"/>
  <c r="X2277" i="2"/>
  <c r="T2277" i="2"/>
  <c r="S2277" i="2"/>
  <c r="R2277" i="2"/>
  <c r="Q2277" i="2"/>
  <c r="P2277" i="2"/>
  <c r="O2277" i="2"/>
  <c r="N2277" i="2"/>
  <c r="K2277" i="2"/>
  <c r="J2277" i="2"/>
  <c r="I2277" i="2"/>
  <c r="H2277" i="2"/>
  <c r="G2277" i="2"/>
  <c r="F2277" i="2"/>
  <c r="E2277" i="2"/>
  <c r="D2277" i="2"/>
  <c r="C2277" i="2"/>
  <c r="B2277" i="2"/>
  <c r="A2277" i="2"/>
  <c r="AX2276" i="2"/>
  <c r="AV2276" i="2"/>
  <c r="AU2276" i="2"/>
  <c r="AR2276" i="2"/>
  <c r="AQ2276" i="2"/>
  <c r="AO2276" i="2"/>
  <c r="AL2276" i="2"/>
  <c r="AK2276" i="2"/>
  <c r="AJ2276" i="2"/>
  <c r="AI2276" i="2"/>
  <c r="AH2276" i="2"/>
  <c r="AG2276" i="2"/>
  <c r="AF2276" i="2"/>
  <c r="AE2276" i="2"/>
  <c r="AD2276" i="2"/>
  <c r="AA2276" i="2"/>
  <c r="Z2276" i="2"/>
  <c r="Y2276" i="2"/>
  <c r="X2276" i="2"/>
  <c r="W2276" i="2"/>
  <c r="V2276" i="2"/>
  <c r="U2276" i="2"/>
  <c r="T2276" i="2"/>
  <c r="S2276" i="2"/>
  <c r="R2276" i="2"/>
  <c r="Q2276" i="2"/>
  <c r="P2276" i="2"/>
  <c r="O2276" i="2"/>
  <c r="N2276" i="2"/>
  <c r="K2276" i="2"/>
  <c r="J2276" i="2"/>
  <c r="I2276" i="2"/>
  <c r="H2276" i="2"/>
  <c r="G2276" i="2"/>
  <c r="F2276" i="2"/>
  <c r="E2276" i="2"/>
  <c r="D2276" i="2"/>
  <c r="C2276" i="2"/>
  <c r="B2276" i="2"/>
  <c r="A2276" i="2"/>
  <c r="AX2275" i="2"/>
  <c r="AV2275" i="2"/>
  <c r="AU2275" i="2"/>
  <c r="AS2275" i="2"/>
  <c r="AR2275" i="2"/>
  <c r="AQ2275" i="2"/>
  <c r="AP2275" i="2"/>
  <c r="AO2275" i="2"/>
  <c r="AL2275" i="2"/>
  <c r="AK2275" i="2"/>
  <c r="AJ2275" i="2"/>
  <c r="AI2275" i="2"/>
  <c r="AH2275" i="2"/>
  <c r="AG2275" i="2"/>
  <c r="AE2275" i="2"/>
  <c r="AD2275" i="2"/>
  <c r="AA2275" i="2"/>
  <c r="Z2275" i="2"/>
  <c r="Y2275" i="2"/>
  <c r="X2275" i="2"/>
  <c r="W2275" i="2"/>
  <c r="V2275" i="2"/>
  <c r="U2275" i="2"/>
  <c r="T2275" i="2"/>
  <c r="S2275" i="2"/>
  <c r="R2275" i="2"/>
  <c r="Q2275" i="2"/>
  <c r="P2275" i="2"/>
  <c r="O2275" i="2"/>
  <c r="N2275" i="2"/>
  <c r="K2275" i="2"/>
  <c r="J2275" i="2"/>
  <c r="I2275" i="2"/>
  <c r="H2275" i="2"/>
  <c r="G2275" i="2"/>
  <c r="F2275" i="2"/>
  <c r="E2275" i="2"/>
  <c r="D2275" i="2"/>
  <c r="C2275" i="2"/>
  <c r="B2275" i="2"/>
  <c r="A2275" i="2"/>
  <c r="AX2274" i="2"/>
  <c r="AV2274" i="2"/>
  <c r="AU2274" i="2"/>
  <c r="AS2274" i="2"/>
  <c r="AR2274" i="2"/>
  <c r="AQ2274" i="2"/>
  <c r="AO2274" i="2"/>
  <c r="AL2274" i="2"/>
  <c r="AK2274" i="2"/>
  <c r="AJ2274" i="2"/>
  <c r="AI2274" i="2"/>
  <c r="AH2274" i="2"/>
  <c r="AG2274" i="2"/>
  <c r="AE2274" i="2"/>
  <c r="AD2274" i="2"/>
  <c r="AA2274" i="2"/>
  <c r="Z2274" i="2"/>
  <c r="Y2274" i="2"/>
  <c r="X2274" i="2"/>
  <c r="W2274" i="2"/>
  <c r="V2274" i="2"/>
  <c r="U2274" i="2"/>
  <c r="T2274" i="2"/>
  <c r="S2274" i="2"/>
  <c r="R2274" i="2"/>
  <c r="Q2274" i="2"/>
  <c r="P2274" i="2"/>
  <c r="O2274" i="2"/>
  <c r="N2274" i="2"/>
  <c r="K2274" i="2"/>
  <c r="J2274" i="2"/>
  <c r="I2274" i="2"/>
  <c r="H2274" i="2"/>
  <c r="G2274" i="2"/>
  <c r="F2274" i="2"/>
  <c r="E2274" i="2"/>
  <c r="D2274" i="2"/>
  <c r="C2274" i="2"/>
  <c r="B2274" i="2"/>
  <c r="A2274" i="2"/>
  <c r="AX2273" i="2"/>
  <c r="AV2273" i="2"/>
  <c r="AU2273" i="2"/>
  <c r="AR2273" i="2"/>
  <c r="AQ2273" i="2"/>
  <c r="AO2273" i="2"/>
  <c r="AL2273" i="2"/>
  <c r="AK2273" i="2"/>
  <c r="AJ2273" i="2"/>
  <c r="AI2273" i="2"/>
  <c r="AH2273" i="2"/>
  <c r="AG2273" i="2"/>
  <c r="AE2273" i="2"/>
  <c r="AD2273" i="2"/>
  <c r="AA2273" i="2"/>
  <c r="Z2273" i="2"/>
  <c r="Y2273" i="2"/>
  <c r="X2273" i="2"/>
  <c r="W2273" i="2"/>
  <c r="V2273" i="2"/>
  <c r="U2273" i="2"/>
  <c r="T2273" i="2"/>
  <c r="S2273" i="2"/>
  <c r="R2273" i="2"/>
  <c r="Q2273" i="2"/>
  <c r="P2273" i="2"/>
  <c r="O2273" i="2"/>
  <c r="N2273" i="2"/>
  <c r="K2273" i="2"/>
  <c r="J2273" i="2"/>
  <c r="I2273" i="2"/>
  <c r="H2273" i="2"/>
  <c r="G2273" i="2"/>
  <c r="F2273" i="2"/>
  <c r="E2273" i="2"/>
  <c r="D2273" i="2"/>
  <c r="C2273" i="2"/>
  <c r="B2273" i="2"/>
  <c r="A2273" i="2"/>
  <c r="AX2272" i="2"/>
  <c r="AV2272" i="2"/>
  <c r="AU2272" i="2"/>
  <c r="AS2272" i="2"/>
  <c r="AR2272" i="2"/>
  <c r="AQ2272" i="2"/>
  <c r="AO2272" i="2"/>
  <c r="AL2272" i="2"/>
  <c r="AK2272" i="2"/>
  <c r="AJ2272" i="2"/>
  <c r="AI2272" i="2"/>
  <c r="AH2272" i="2"/>
  <c r="AG2272" i="2"/>
  <c r="AE2272" i="2"/>
  <c r="AD2272" i="2"/>
  <c r="AA2272" i="2"/>
  <c r="Z2272" i="2"/>
  <c r="Y2272" i="2"/>
  <c r="X2272" i="2"/>
  <c r="W2272" i="2"/>
  <c r="V2272" i="2"/>
  <c r="U2272" i="2"/>
  <c r="T2272" i="2"/>
  <c r="S2272" i="2"/>
  <c r="R2272" i="2"/>
  <c r="Q2272" i="2"/>
  <c r="P2272" i="2"/>
  <c r="O2272" i="2"/>
  <c r="N2272" i="2"/>
  <c r="K2272" i="2"/>
  <c r="J2272" i="2"/>
  <c r="I2272" i="2"/>
  <c r="H2272" i="2"/>
  <c r="G2272" i="2"/>
  <c r="F2272" i="2"/>
  <c r="E2272" i="2"/>
  <c r="D2272" i="2"/>
  <c r="C2272" i="2"/>
  <c r="B2272" i="2"/>
  <c r="A2272" i="2"/>
  <c r="AX2271" i="2"/>
  <c r="AV2271" i="2"/>
  <c r="AU2271" i="2"/>
  <c r="AS2271" i="2"/>
  <c r="AR2271" i="2"/>
  <c r="AQ2271" i="2"/>
  <c r="AO2271" i="2"/>
  <c r="AL2271" i="2"/>
  <c r="AK2271" i="2"/>
  <c r="AJ2271" i="2"/>
  <c r="AI2271" i="2"/>
  <c r="AH2271" i="2"/>
  <c r="AG2271" i="2"/>
  <c r="AF2271" i="2"/>
  <c r="AE2271" i="2"/>
  <c r="AA2271" i="2"/>
  <c r="Z2271" i="2"/>
  <c r="Y2271" i="2"/>
  <c r="X2271" i="2"/>
  <c r="W2271" i="2"/>
  <c r="V2271" i="2"/>
  <c r="U2271" i="2"/>
  <c r="T2271" i="2"/>
  <c r="S2271" i="2"/>
  <c r="R2271" i="2"/>
  <c r="Q2271" i="2"/>
  <c r="P2271" i="2"/>
  <c r="O2271" i="2"/>
  <c r="N2271" i="2"/>
  <c r="K2271" i="2"/>
  <c r="J2271" i="2"/>
  <c r="I2271" i="2"/>
  <c r="H2271" i="2"/>
  <c r="G2271" i="2"/>
  <c r="F2271" i="2"/>
  <c r="E2271" i="2"/>
  <c r="D2271" i="2"/>
  <c r="C2271" i="2"/>
  <c r="B2271" i="2"/>
  <c r="A2271" i="2"/>
  <c r="AX2270" i="2"/>
  <c r="AV2270" i="2"/>
  <c r="AU2270" i="2"/>
  <c r="AS2270" i="2"/>
  <c r="AR2270" i="2"/>
  <c r="AQ2270" i="2"/>
  <c r="AO2270" i="2"/>
  <c r="AL2270" i="2"/>
  <c r="AK2270" i="2"/>
  <c r="AJ2270" i="2"/>
  <c r="AI2270" i="2"/>
  <c r="AH2270" i="2"/>
  <c r="AG2270" i="2"/>
  <c r="AF2270" i="2"/>
  <c r="AE2270" i="2"/>
  <c r="AA2270" i="2"/>
  <c r="Z2270" i="2"/>
  <c r="Y2270" i="2"/>
  <c r="X2270" i="2"/>
  <c r="W2270" i="2"/>
  <c r="V2270" i="2"/>
  <c r="U2270" i="2"/>
  <c r="T2270" i="2"/>
  <c r="S2270" i="2"/>
  <c r="R2270" i="2"/>
  <c r="Q2270" i="2"/>
  <c r="P2270" i="2"/>
  <c r="O2270" i="2"/>
  <c r="N2270" i="2"/>
  <c r="K2270" i="2"/>
  <c r="J2270" i="2"/>
  <c r="I2270" i="2"/>
  <c r="H2270" i="2"/>
  <c r="G2270" i="2"/>
  <c r="F2270" i="2"/>
  <c r="E2270" i="2"/>
  <c r="D2270" i="2"/>
  <c r="C2270" i="2"/>
  <c r="B2270" i="2"/>
  <c r="A2270" i="2"/>
  <c r="AX2269" i="2"/>
  <c r="AV2269" i="2"/>
  <c r="AU2269" i="2"/>
  <c r="AR2269" i="2"/>
  <c r="AQ2269" i="2"/>
  <c r="AO2269" i="2"/>
  <c r="AL2269" i="2"/>
  <c r="AK2269" i="2"/>
  <c r="AJ2269" i="2"/>
  <c r="AI2269" i="2"/>
  <c r="AH2269" i="2"/>
  <c r="AG2269" i="2"/>
  <c r="AF2269" i="2"/>
  <c r="AE2269" i="2"/>
  <c r="AD2269" i="2"/>
  <c r="AA2269" i="2"/>
  <c r="Z2269" i="2"/>
  <c r="Y2269" i="2"/>
  <c r="X2269" i="2"/>
  <c r="W2269" i="2"/>
  <c r="V2269" i="2"/>
  <c r="U2269" i="2"/>
  <c r="T2269" i="2"/>
  <c r="S2269" i="2"/>
  <c r="R2269" i="2"/>
  <c r="Q2269" i="2"/>
  <c r="P2269" i="2"/>
  <c r="O2269" i="2"/>
  <c r="N2269" i="2"/>
  <c r="K2269" i="2"/>
  <c r="J2269" i="2"/>
  <c r="I2269" i="2"/>
  <c r="H2269" i="2"/>
  <c r="G2269" i="2"/>
  <c r="F2269" i="2"/>
  <c r="E2269" i="2"/>
  <c r="D2269" i="2"/>
  <c r="C2269" i="2"/>
  <c r="B2269" i="2"/>
  <c r="A2269" i="2"/>
  <c r="AX2268" i="2"/>
  <c r="AV2268" i="2"/>
  <c r="AU2268" i="2"/>
  <c r="AS2268" i="2"/>
  <c r="AR2268" i="2"/>
  <c r="AQ2268" i="2"/>
  <c r="AO2268" i="2"/>
  <c r="AL2268" i="2"/>
  <c r="AK2268" i="2"/>
  <c r="AJ2268" i="2"/>
  <c r="AI2268" i="2"/>
  <c r="AH2268" i="2"/>
  <c r="AG2268" i="2"/>
  <c r="AE2268" i="2"/>
  <c r="AD2268" i="2"/>
  <c r="AA2268" i="2"/>
  <c r="Z2268" i="2"/>
  <c r="Y2268" i="2"/>
  <c r="X2268" i="2"/>
  <c r="W2268" i="2"/>
  <c r="V2268" i="2"/>
  <c r="U2268" i="2"/>
  <c r="T2268" i="2"/>
  <c r="S2268" i="2"/>
  <c r="R2268" i="2"/>
  <c r="Q2268" i="2"/>
  <c r="P2268" i="2"/>
  <c r="O2268" i="2"/>
  <c r="N2268" i="2"/>
  <c r="K2268" i="2"/>
  <c r="J2268" i="2"/>
  <c r="I2268" i="2"/>
  <c r="H2268" i="2"/>
  <c r="G2268" i="2"/>
  <c r="F2268" i="2"/>
  <c r="E2268" i="2"/>
  <c r="D2268" i="2"/>
  <c r="C2268" i="2"/>
  <c r="B2268" i="2"/>
  <c r="A2268" i="2"/>
  <c r="AX2267" i="2"/>
  <c r="AV2267" i="2"/>
  <c r="AU2267" i="2"/>
  <c r="AS2267" i="2"/>
  <c r="AR2267" i="2"/>
  <c r="AQ2267" i="2"/>
  <c r="AO2267" i="2"/>
  <c r="AL2267" i="2"/>
  <c r="AK2267" i="2"/>
  <c r="AJ2267" i="2"/>
  <c r="AI2267" i="2"/>
  <c r="AH2267" i="2"/>
  <c r="AG2267" i="2"/>
  <c r="AF2267" i="2"/>
  <c r="AE2267" i="2"/>
  <c r="AD2267" i="2"/>
  <c r="AA2267" i="2"/>
  <c r="Z2267" i="2"/>
  <c r="Y2267" i="2"/>
  <c r="X2267" i="2"/>
  <c r="W2267" i="2"/>
  <c r="V2267" i="2"/>
  <c r="U2267" i="2"/>
  <c r="T2267" i="2"/>
  <c r="S2267" i="2"/>
  <c r="R2267" i="2"/>
  <c r="Q2267" i="2"/>
  <c r="P2267" i="2"/>
  <c r="O2267" i="2"/>
  <c r="N2267" i="2"/>
  <c r="K2267" i="2"/>
  <c r="J2267" i="2"/>
  <c r="I2267" i="2"/>
  <c r="H2267" i="2"/>
  <c r="G2267" i="2"/>
  <c r="F2267" i="2"/>
  <c r="E2267" i="2"/>
  <c r="D2267" i="2"/>
  <c r="C2267" i="2"/>
  <c r="B2267" i="2"/>
  <c r="A2267" i="2"/>
  <c r="AX2266" i="2"/>
  <c r="AV2266" i="2"/>
  <c r="AU2266" i="2"/>
  <c r="AS2266" i="2"/>
  <c r="AR2266" i="2"/>
  <c r="AQ2266" i="2"/>
  <c r="AO2266" i="2"/>
  <c r="AK2266" i="2"/>
  <c r="AJ2266" i="2"/>
  <c r="AI2266" i="2"/>
  <c r="AH2266" i="2"/>
  <c r="AG2266" i="2"/>
  <c r="AE2266" i="2"/>
  <c r="AD2266" i="2"/>
  <c r="AA2266" i="2"/>
  <c r="Z2266" i="2"/>
  <c r="Y2266" i="2"/>
  <c r="X2266" i="2"/>
  <c r="W2266" i="2"/>
  <c r="V2266" i="2"/>
  <c r="U2266" i="2"/>
  <c r="T2266" i="2"/>
  <c r="S2266" i="2"/>
  <c r="R2266" i="2"/>
  <c r="Q2266" i="2"/>
  <c r="P2266" i="2"/>
  <c r="O2266" i="2"/>
  <c r="N2266" i="2"/>
  <c r="K2266" i="2"/>
  <c r="J2266" i="2"/>
  <c r="I2266" i="2"/>
  <c r="H2266" i="2"/>
  <c r="G2266" i="2"/>
  <c r="F2266" i="2"/>
  <c r="E2266" i="2"/>
  <c r="D2266" i="2"/>
  <c r="C2266" i="2"/>
  <c r="B2266" i="2"/>
  <c r="A2266" i="2"/>
  <c r="Z2265" i="2"/>
  <c r="Y2265" i="2"/>
  <c r="V2265" i="2"/>
  <c r="U2265" i="2"/>
  <c r="T2265" i="2"/>
  <c r="S2265" i="2"/>
  <c r="R2265" i="2"/>
  <c r="Q2265" i="2"/>
  <c r="P2265" i="2"/>
  <c r="O2265" i="2"/>
  <c r="N2265" i="2"/>
  <c r="L2265" i="2"/>
  <c r="K2265" i="2"/>
  <c r="J2265" i="2"/>
  <c r="I2265" i="2"/>
  <c r="H2265" i="2"/>
  <c r="G2265" i="2"/>
  <c r="F2265" i="2"/>
  <c r="E2265" i="2"/>
  <c r="D2265" i="2"/>
  <c r="C2265" i="2"/>
  <c r="B2265" i="2"/>
  <c r="A2265" i="2"/>
  <c r="AX2264" i="2"/>
  <c r="AV2264" i="2"/>
  <c r="AU2264" i="2"/>
  <c r="AS2264" i="2"/>
  <c r="AR2264" i="2"/>
  <c r="AQ2264" i="2"/>
  <c r="AP2264" i="2"/>
  <c r="AO2264" i="2"/>
  <c r="AN2264" i="2"/>
  <c r="AL2264" i="2"/>
  <c r="AK2264" i="2"/>
  <c r="AJ2264" i="2"/>
  <c r="AI2264" i="2"/>
  <c r="AH2264" i="2"/>
  <c r="AG2264" i="2"/>
  <c r="AE2264" i="2"/>
  <c r="AD2264" i="2"/>
  <c r="AA2264" i="2"/>
  <c r="Z2264" i="2"/>
  <c r="Y2264" i="2"/>
  <c r="X2264" i="2"/>
  <c r="W2264" i="2"/>
  <c r="V2264" i="2"/>
  <c r="U2264" i="2"/>
  <c r="T2264" i="2"/>
  <c r="S2264" i="2"/>
  <c r="R2264" i="2"/>
  <c r="Q2264" i="2"/>
  <c r="P2264" i="2"/>
  <c r="O2264" i="2"/>
  <c r="N2264" i="2"/>
  <c r="K2264" i="2"/>
  <c r="J2264" i="2"/>
  <c r="I2264" i="2"/>
  <c r="H2264" i="2"/>
  <c r="G2264" i="2"/>
  <c r="F2264" i="2"/>
  <c r="E2264" i="2"/>
  <c r="D2264" i="2"/>
  <c r="C2264" i="2"/>
  <c r="B2264" i="2"/>
  <c r="A2264" i="2"/>
  <c r="AX2263" i="2"/>
  <c r="AV2263" i="2"/>
  <c r="AU2263" i="2"/>
  <c r="AS2263" i="2"/>
  <c r="AR2263" i="2"/>
  <c r="AQ2263" i="2"/>
  <c r="AO2263" i="2"/>
  <c r="AL2263" i="2"/>
  <c r="AK2263" i="2"/>
  <c r="AJ2263" i="2"/>
  <c r="AI2263" i="2"/>
  <c r="AH2263" i="2"/>
  <c r="AG2263" i="2"/>
  <c r="AE2263" i="2"/>
  <c r="AD2263" i="2"/>
  <c r="AA2263" i="2"/>
  <c r="Z2263" i="2"/>
  <c r="Y2263" i="2"/>
  <c r="X2263" i="2"/>
  <c r="W2263" i="2"/>
  <c r="V2263" i="2"/>
  <c r="U2263" i="2"/>
  <c r="T2263" i="2"/>
  <c r="S2263" i="2"/>
  <c r="R2263" i="2"/>
  <c r="Q2263" i="2"/>
  <c r="P2263" i="2"/>
  <c r="O2263" i="2"/>
  <c r="N2263" i="2"/>
  <c r="K2263" i="2"/>
  <c r="J2263" i="2"/>
  <c r="I2263" i="2"/>
  <c r="H2263" i="2"/>
  <c r="G2263" i="2"/>
  <c r="F2263" i="2"/>
  <c r="E2263" i="2"/>
  <c r="D2263" i="2"/>
  <c r="C2263" i="2"/>
  <c r="B2263" i="2"/>
  <c r="A2263" i="2"/>
  <c r="AX2262" i="2"/>
  <c r="AV2262" i="2"/>
  <c r="AU2262" i="2"/>
  <c r="AS2262" i="2"/>
  <c r="AR2262" i="2"/>
  <c r="AQ2262" i="2"/>
  <c r="AP2262" i="2"/>
  <c r="AO2262" i="2"/>
  <c r="AL2262" i="2"/>
  <c r="AK2262" i="2"/>
  <c r="AI2262" i="2"/>
  <c r="AH2262" i="2"/>
  <c r="AG2262" i="2"/>
  <c r="AF2262" i="2"/>
  <c r="AE2262" i="2"/>
  <c r="AD2262" i="2"/>
  <c r="AA2262" i="2"/>
  <c r="Z2262" i="2"/>
  <c r="Y2262" i="2"/>
  <c r="X2262" i="2"/>
  <c r="W2262" i="2"/>
  <c r="V2262" i="2"/>
  <c r="U2262" i="2"/>
  <c r="T2262" i="2"/>
  <c r="S2262" i="2"/>
  <c r="R2262" i="2"/>
  <c r="Q2262" i="2"/>
  <c r="P2262" i="2"/>
  <c r="O2262" i="2"/>
  <c r="N2262" i="2"/>
  <c r="K2262" i="2"/>
  <c r="J2262" i="2"/>
  <c r="I2262" i="2"/>
  <c r="H2262" i="2"/>
  <c r="G2262" i="2"/>
  <c r="F2262" i="2"/>
  <c r="E2262" i="2"/>
  <c r="D2262" i="2"/>
  <c r="C2262" i="2"/>
  <c r="B2262" i="2"/>
  <c r="A2262" i="2"/>
  <c r="AX2261" i="2"/>
  <c r="AV2261" i="2"/>
  <c r="AU2261" i="2"/>
  <c r="AS2261" i="2"/>
  <c r="AO2261" i="2"/>
  <c r="AM2261" i="2"/>
  <c r="AL2261" i="2"/>
  <c r="AK2261" i="2"/>
  <c r="AJ2261" i="2"/>
  <c r="AI2261" i="2"/>
  <c r="AH2261" i="2"/>
  <c r="AG2261" i="2"/>
  <c r="AE2261" i="2"/>
  <c r="AA2261" i="2"/>
  <c r="Z2261" i="2"/>
  <c r="Y2261" i="2"/>
  <c r="V2261" i="2"/>
  <c r="U2261" i="2"/>
  <c r="T2261" i="2"/>
  <c r="S2261" i="2"/>
  <c r="R2261" i="2"/>
  <c r="Q2261" i="2"/>
  <c r="P2261" i="2"/>
  <c r="O2261" i="2"/>
  <c r="N2261" i="2"/>
  <c r="M2261" i="2"/>
  <c r="L2261" i="2"/>
  <c r="K2261" i="2"/>
  <c r="J2261" i="2"/>
  <c r="I2261" i="2"/>
  <c r="H2261" i="2"/>
  <c r="G2261" i="2"/>
  <c r="F2261" i="2"/>
  <c r="E2261" i="2"/>
  <c r="D2261" i="2"/>
  <c r="C2261" i="2"/>
  <c r="B2261" i="2"/>
  <c r="A2261" i="2"/>
  <c r="AX2260" i="2"/>
  <c r="AV2260" i="2"/>
  <c r="AU2260" i="2"/>
  <c r="AS2260" i="2"/>
  <c r="AR2260" i="2"/>
  <c r="AQ2260" i="2"/>
  <c r="AP2260" i="2"/>
  <c r="AO2260" i="2"/>
  <c r="AL2260" i="2"/>
  <c r="AK2260" i="2"/>
  <c r="AI2260" i="2"/>
  <c r="AH2260" i="2"/>
  <c r="AG2260" i="2"/>
  <c r="AE2260" i="2"/>
  <c r="AD2260" i="2"/>
  <c r="AA2260" i="2"/>
  <c r="Z2260" i="2"/>
  <c r="Y2260" i="2"/>
  <c r="X2260" i="2"/>
  <c r="W2260" i="2"/>
  <c r="V2260" i="2"/>
  <c r="U2260" i="2"/>
  <c r="T2260" i="2"/>
  <c r="S2260" i="2"/>
  <c r="R2260" i="2"/>
  <c r="Q2260" i="2"/>
  <c r="P2260" i="2"/>
  <c r="O2260" i="2"/>
  <c r="N2260" i="2"/>
  <c r="K2260" i="2"/>
  <c r="J2260" i="2"/>
  <c r="I2260" i="2"/>
  <c r="H2260" i="2"/>
  <c r="G2260" i="2"/>
  <c r="F2260" i="2"/>
  <c r="E2260" i="2"/>
  <c r="D2260" i="2"/>
  <c r="C2260" i="2"/>
  <c r="B2260" i="2"/>
  <c r="A2260" i="2"/>
  <c r="Z2259" i="2"/>
  <c r="Y2259" i="2"/>
  <c r="X2259" i="2"/>
  <c r="V2259" i="2"/>
  <c r="U2259" i="2"/>
  <c r="T2259" i="2"/>
  <c r="S2259" i="2"/>
  <c r="R2259" i="2"/>
  <c r="Q2259" i="2"/>
  <c r="P2259" i="2"/>
  <c r="O2259" i="2"/>
  <c r="N2259" i="2"/>
  <c r="K2259" i="2"/>
  <c r="J2259" i="2"/>
  <c r="I2259" i="2"/>
  <c r="H2259" i="2"/>
  <c r="G2259" i="2"/>
  <c r="F2259" i="2"/>
  <c r="E2259" i="2"/>
  <c r="D2259" i="2"/>
  <c r="C2259" i="2"/>
  <c r="B2259" i="2"/>
  <c r="A2259" i="2"/>
  <c r="AX2258" i="2"/>
  <c r="AV2258" i="2"/>
  <c r="AU2258" i="2"/>
  <c r="AR2258" i="2"/>
  <c r="AQ2258" i="2"/>
  <c r="AO2258" i="2"/>
  <c r="AL2258" i="2"/>
  <c r="AK2258" i="2"/>
  <c r="AJ2258" i="2"/>
  <c r="AI2258" i="2"/>
  <c r="AH2258" i="2"/>
  <c r="AG2258" i="2"/>
  <c r="AE2258" i="2"/>
  <c r="AA2258" i="2"/>
  <c r="Z2258" i="2"/>
  <c r="Y2258" i="2"/>
  <c r="X2258" i="2"/>
  <c r="W2258" i="2"/>
  <c r="V2258" i="2"/>
  <c r="U2258" i="2"/>
  <c r="T2258" i="2"/>
  <c r="S2258" i="2"/>
  <c r="R2258" i="2"/>
  <c r="Q2258" i="2"/>
  <c r="P2258" i="2"/>
  <c r="O2258" i="2"/>
  <c r="N2258" i="2"/>
  <c r="K2258" i="2"/>
  <c r="J2258" i="2"/>
  <c r="I2258" i="2"/>
  <c r="H2258" i="2"/>
  <c r="G2258" i="2"/>
  <c r="F2258" i="2"/>
  <c r="E2258" i="2"/>
  <c r="D2258" i="2"/>
  <c r="C2258" i="2"/>
  <c r="B2258" i="2"/>
  <c r="A2258" i="2"/>
  <c r="Z2257" i="2"/>
  <c r="Y2257" i="2"/>
  <c r="V2257" i="2"/>
  <c r="T2257" i="2"/>
  <c r="S2257" i="2"/>
  <c r="R2257" i="2"/>
  <c r="Q2257" i="2"/>
  <c r="P2257" i="2"/>
  <c r="O2257" i="2"/>
  <c r="N2257" i="2"/>
  <c r="K2257" i="2"/>
  <c r="J2257" i="2"/>
  <c r="I2257" i="2"/>
  <c r="H2257" i="2"/>
  <c r="G2257" i="2"/>
  <c r="F2257" i="2"/>
  <c r="E2257" i="2"/>
  <c r="D2257" i="2"/>
  <c r="C2257" i="2"/>
  <c r="B2257" i="2"/>
  <c r="A2257" i="2"/>
  <c r="AX2256" i="2"/>
  <c r="AV2256" i="2"/>
  <c r="AU2256" i="2"/>
  <c r="AT2256" i="2"/>
  <c r="AS2256" i="2"/>
  <c r="AR2256" i="2"/>
  <c r="AO2256" i="2"/>
  <c r="AN2256" i="2"/>
  <c r="AM2256" i="2"/>
  <c r="AL2256" i="2"/>
  <c r="AK2256" i="2"/>
  <c r="AJ2256" i="2"/>
  <c r="AI2256" i="2"/>
  <c r="AH2256" i="2"/>
  <c r="AG2256" i="2"/>
  <c r="AE2256" i="2"/>
  <c r="AD2256" i="2"/>
  <c r="AC2256" i="2"/>
  <c r="AB2256" i="2"/>
  <c r="AA2256" i="2"/>
  <c r="Z2256" i="2"/>
  <c r="Y2256" i="2"/>
  <c r="X2256" i="2"/>
  <c r="W2256" i="2"/>
  <c r="V2256" i="2"/>
  <c r="U2256" i="2"/>
  <c r="T2256" i="2"/>
  <c r="S2256" i="2"/>
  <c r="R2256" i="2"/>
  <c r="Q2256" i="2"/>
  <c r="P2256" i="2"/>
  <c r="O2256" i="2"/>
  <c r="N2256" i="2"/>
  <c r="M2256" i="2"/>
  <c r="K2256" i="2"/>
  <c r="J2256" i="2"/>
  <c r="I2256" i="2"/>
  <c r="H2256" i="2"/>
  <c r="G2256" i="2"/>
  <c r="F2256" i="2"/>
  <c r="E2256" i="2"/>
  <c r="D2256" i="2"/>
  <c r="C2256" i="2"/>
  <c r="B2256" i="2"/>
  <c r="A2256" i="2"/>
  <c r="AX2255" i="2"/>
  <c r="AV2255" i="2"/>
  <c r="AU2255" i="2"/>
  <c r="AS2255" i="2"/>
  <c r="AR2255" i="2"/>
  <c r="AQ2255" i="2"/>
  <c r="AP2255" i="2"/>
  <c r="AO2255" i="2"/>
  <c r="AN2255" i="2"/>
  <c r="AM2255" i="2"/>
  <c r="AL2255" i="2"/>
  <c r="AI2255" i="2"/>
  <c r="AH2255" i="2"/>
  <c r="AG2255" i="2"/>
  <c r="AE2255" i="2"/>
  <c r="AD2255" i="2"/>
  <c r="AA2255" i="2"/>
  <c r="Z2255" i="2"/>
  <c r="Y2255" i="2"/>
  <c r="X2255" i="2"/>
  <c r="W2255" i="2"/>
  <c r="V2255" i="2"/>
  <c r="U2255" i="2"/>
  <c r="T2255" i="2"/>
  <c r="S2255" i="2"/>
  <c r="R2255" i="2"/>
  <c r="Q2255" i="2"/>
  <c r="P2255" i="2"/>
  <c r="O2255" i="2"/>
  <c r="N2255" i="2"/>
  <c r="K2255" i="2"/>
  <c r="J2255" i="2"/>
  <c r="I2255" i="2"/>
  <c r="H2255" i="2"/>
  <c r="G2255" i="2"/>
  <c r="F2255" i="2"/>
  <c r="E2255" i="2"/>
  <c r="D2255" i="2"/>
  <c r="C2255" i="2"/>
  <c r="B2255" i="2"/>
  <c r="A2255" i="2"/>
  <c r="AX2254" i="2"/>
  <c r="AV2254" i="2"/>
  <c r="AU2254" i="2"/>
  <c r="AS2254" i="2"/>
  <c r="AR2254" i="2"/>
  <c r="AQ2254" i="2"/>
  <c r="AO2254" i="2"/>
  <c r="AL2254" i="2"/>
  <c r="AK2254" i="2"/>
  <c r="AJ2254" i="2"/>
  <c r="AI2254" i="2"/>
  <c r="AH2254" i="2"/>
  <c r="AG2254" i="2"/>
  <c r="AF2254" i="2"/>
  <c r="AE2254" i="2"/>
  <c r="AD2254" i="2"/>
  <c r="AA2254" i="2"/>
  <c r="Z2254" i="2"/>
  <c r="Y2254" i="2"/>
  <c r="X2254" i="2"/>
  <c r="W2254" i="2"/>
  <c r="V2254" i="2"/>
  <c r="U2254" i="2"/>
  <c r="T2254" i="2"/>
  <c r="S2254" i="2"/>
  <c r="R2254" i="2"/>
  <c r="Q2254" i="2"/>
  <c r="P2254" i="2"/>
  <c r="O2254" i="2"/>
  <c r="N2254" i="2"/>
  <c r="K2254" i="2"/>
  <c r="J2254" i="2"/>
  <c r="I2254" i="2"/>
  <c r="H2254" i="2"/>
  <c r="G2254" i="2"/>
  <c r="F2254" i="2"/>
  <c r="E2254" i="2"/>
  <c r="D2254" i="2"/>
  <c r="C2254" i="2"/>
  <c r="B2254" i="2"/>
  <c r="A2254" i="2"/>
  <c r="AX2253" i="2"/>
  <c r="AV2253" i="2"/>
  <c r="AU2253" i="2"/>
  <c r="AS2253" i="2"/>
  <c r="AR2253" i="2"/>
  <c r="AQ2253" i="2"/>
  <c r="AO2253" i="2"/>
  <c r="AL2253" i="2"/>
  <c r="AK2253" i="2"/>
  <c r="AJ2253" i="2"/>
  <c r="AI2253" i="2"/>
  <c r="AH2253" i="2"/>
  <c r="AG2253" i="2"/>
  <c r="AF2253" i="2"/>
  <c r="AE2253" i="2"/>
  <c r="AD2253" i="2"/>
  <c r="AA2253" i="2"/>
  <c r="Z2253" i="2"/>
  <c r="Y2253" i="2"/>
  <c r="X2253" i="2"/>
  <c r="W2253" i="2"/>
  <c r="V2253" i="2"/>
  <c r="U2253" i="2"/>
  <c r="T2253" i="2"/>
  <c r="S2253" i="2"/>
  <c r="R2253" i="2"/>
  <c r="Q2253" i="2"/>
  <c r="P2253" i="2"/>
  <c r="O2253" i="2"/>
  <c r="N2253" i="2"/>
  <c r="K2253" i="2"/>
  <c r="J2253" i="2"/>
  <c r="I2253" i="2"/>
  <c r="H2253" i="2"/>
  <c r="G2253" i="2"/>
  <c r="F2253" i="2"/>
  <c r="E2253" i="2"/>
  <c r="D2253" i="2"/>
  <c r="C2253" i="2"/>
  <c r="B2253" i="2"/>
  <c r="A2253" i="2"/>
  <c r="AX2252" i="2"/>
  <c r="AV2252" i="2"/>
  <c r="AU2252" i="2"/>
  <c r="AR2252" i="2"/>
  <c r="AQ2252" i="2"/>
  <c r="AP2252" i="2"/>
  <c r="AO2252" i="2"/>
  <c r="AL2252" i="2"/>
  <c r="AK2252" i="2"/>
  <c r="AI2252" i="2"/>
  <c r="AH2252" i="2"/>
  <c r="AG2252" i="2"/>
  <c r="AE2252" i="2"/>
  <c r="AD2252" i="2"/>
  <c r="AA2252" i="2"/>
  <c r="Z2252" i="2"/>
  <c r="Y2252" i="2"/>
  <c r="X2252" i="2"/>
  <c r="W2252" i="2"/>
  <c r="V2252" i="2"/>
  <c r="U2252" i="2"/>
  <c r="T2252" i="2"/>
  <c r="S2252" i="2"/>
  <c r="R2252" i="2"/>
  <c r="Q2252" i="2"/>
  <c r="P2252" i="2"/>
  <c r="O2252" i="2"/>
  <c r="N2252" i="2"/>
  <c r="K2252" i="2"/>
  <c r="J2252" i="2"/>
  <c r="I2252" i="2"/>
  <c r="H2252" i="2"/>
  <c r="G2252" i="2"/>
  <c r="F2252" i="2"/>
  <c r="E2252" i="2"/>
  <c r="D2252" i="2"/>
  <c r="C2252" i="2"/>
  <c r="B2252" i="2"/>
  <c r="A2252" i="2"/>
  <c r="AX2251" i="2"/>
  <c r="AV2251" i="2"/>
  <c r="AU2251" i="2"/>
  <c r="AR2251" i="2"/>
  <c r="AQ2251" i="2"/>
  <c r="AO2251" i="2"/>
  <c r="AL2251" i="2"/>
  <c r="AK2251" i="2"/>
  <c r="AJ2251" i="2"/>
  <c r="AI2251" i="2"/>
  <c r="AH2251" i="2"/>
  <c r="AG2251" i="2"/>
  <c r="AE2251" i="2"/>
  <c r="AD2251" i="2"/>
  <c r="AA2251" i="2"/>
  <c r="Z2251" i="2"/>
  <c r="Y2251" i="2"/>
  <c r="X2251" i="2"/>
  <c r="U2251" i="2"/>
  <c r="T2251" i="2"/>
  <c r="S2251" i="2"/>
  <c r="R2251" i="2"/>
  <c r="Q2251" i="2"/>
  <c r="P2251" i="2"/>
  <c r="O2251" i="2"/>
  <c r="N2251" i="2"/>
  <c r="K2251" i="2"/>
  <c r="J2251" i="2"/>
  <c r="I2251" i="2"/>
  <c r="H2251" i="2"/>
  <c r="G2251" i="2"/>
  <c r="F2251" i="2"/>
  <c r="E2251" i="2"/>
  <c r="D2251" i="2"/>
  <c r="C2251" i="2"/>
  <c r="B2251" i="2"/>
  <c r="A2251" i="2"/>
  <c r="AX2250" i="2"/>
  <c r="AV2250" i="2"/>
  <c r="AU2250" i="2"/>
  <c r="AS2250" i="2"/>
  <c r="AR2250" i="2"/>
  <c r="AQ2250" i="2"/>
  <c r="AO2250" i="2"/>
  <c r="AL2250" i="2"/>
  <c r="AK2250" i="2"/>
  <c r="AJ2250" i="2"/>
  <c r="AI2250" i="2"/>
  <c r="AH2250" i="2"/>
  <c r="AG2250" i="2"/>
  <c r="AE2250" i="2"/>
  <c r="AD2250" i="2"/>
  <c r="AA2250" i="2"/>
  <c r="Z2250" i="2"/>
  <c r="Y2250" i="2"/>
  <c r="X2250" i="2"/>
  <c r="W2250" i="2"/>
  <c r="V2250" i="2"/>
  <c r="U2250" i="2"/>
  <c r="T2250" i="2"/>
  <c r="S2250" i="2"/>
  <c r="R2250" i="2"/>
  <c r="Q2250" i="2"/>
  <c r="P2250" i="2"/>
  <c r="O2250" i="2"/>
  <c r="N2250" i="2"/>
  <c r="K2250" i="2"/>
  <c r="J2250" i="2"/>
  <c r="I2250" i="2"/>
  <c r="H2250" i="2"/>
  <c r="G2250" i="2"/>
  <c r="F2250" i="2"/>
  <c r="E2250" i="2"/>
  <c r="D2250" i="2"/>
  <c r="C2250" i="2"/>
  <c r="B2250" i="2"/>
  <c r="A2250" i="2"/>
  <c r="AX2249" i="2"/>
  <c r="AV2249" i="2"/>
  <c r="AU2249" i="2"/>
  <c r="AS2249" i="2"/>
  <c r="AR2249" i="2"/>
  <c r="AQ2249" i="2"/>
  <c r="AO2249" i="2"/>
  <c r="AL2249" i="2"/>
  <c r="AK2249" i="2"/>
  <c r="AJ2249" i="2"/>
  <c r="AI2249" i="2"/>
  <c r="AH2249" i="2"/>
  <c r="AG2249" i="2"/>
  <c r="AF2249" i="2"/>
  <c r="AE2249" i="2"/>
  <c r="AD2249" i="2"/>
  <c r="AA2249" i="2"/>
  <c r="Z2249" i="2"/>
  <c r="Y2249" i="2"/>
  <c r="X2249" i="2"/>
  <c r="W2249" i="2"/>
  <c r="V2249" i="2"/>
  <c r="U2249" i="2"/>
  <c r="T2249" i="2"/>
  <c r="S2249" i="2"/>
  <c r="R2249" i="2"/>
  <c r="Q2249" i="2"/>
  <c r="P2249" i="2"/>
  <c r="O2249" i="2"/>
  <c r="N2249" i="2"/>
  <c r="K2249" i="2"/>
  <c r="J2249" i="2"/>
  <c r="I2249" i="2"/>
  <c r="H2249" i="2"/>
  <c r="G2249" i="2"/>
  <c r="F2249" i="2"/>
  <c r="E2249" i="2"/>
  <c r="D2249" i="2"/>
  <c r="C2249" i="2"/>
  <c r="B2249" i="2"/>
  <c r="A2249" i="2"/>
  <c r="AX2248" i="2"/>
  <c r="AV2248" i="2"/>
  <c r="AU2248" i="2"/>
  <c r="AR2248" i="2"/>
  <c r="AQ2248" i="2"/>
  <c r="AP2248" i="2"/>
  <c r="AO2248" i="2"/>
  <c r="AN2248" i="2"/>
  <c r="AM2248" i="2"/>
  <c r="AL2248" i="2"/>
  <c r="AK2248" i="2"/>
  <c r="AJ2248" i="2"/>
  <c r="AI2248" i="2"/>
  <c r="AH2248" i="2"/>
  <c r="AG2248" i="2"/>
  <c r="AE2248" i="2"/>
  <c r="AD2248" i="2"/>
  <c r="AA2248" i="2"/>
  <c r="Z2248" i="2"/>
  <c r="Y2248" i="2"/>
  <c r="X2248" i="2"/>
  <c r="W2248" i="2"/>
  <c r="V2248" i="2"/>
  <c r="U2248" i="2"/>
  <c r="T2248" i="2"/>
  <c r="S2248" i="2"/>
  <c r="R2248" i="2"/>
  <c r="Q2248" i="2"/>
  <c r="P2248" i="2"/>
  <c r="O2248" i="2"/>
  <c r="N2248" i="2"/>
  <c r="M2248" i="2"/>
  <c r="K2248" i="2"/>
  <c r="J2248" i="2"/>
  <c r="I2248" i="2"/>
  <c r="H2248" i="2"/>
  <c r="G2248" i="2"/>
  <c r="F2248" i="2"/>
  <c r="E2248" i="2"/>
  <c r="D2248" i="2"/>
  <c r="C2248" i="2"/>
  <c r="B2248" i="2"/>
  <c r="A2248" i="2"/>
  <c r="AX2247" i="2"/>
  <c r="AV2247" i="2"/>
  <c r="AU2247" i="2"/>
  <c r="AS2247" i="2"/>
  <c r="AR2247" i="2"/>
  <c r="AQ2247" i="2"/>
  <c r="AO2247" i="2"/>
  <c r="AL2247" i="2"/>
  <c r="AK2247" i="2"/>
  <c r="AJ2247" i="2"/>
  <c r="AI2247" i="2"/>
  <c r="AH2247" i="2"/>
  <c r="AG2247" i="2"/>
  <c r="AE2247" i="2"/>
  <c r="AD2247" i="2"/>
  <c r="AA2247" i="2"/>
  <c r="Z2247" i="2"/>
  <c r="Y2247" i="2"/>
  <c r="X2247" i="2"/>
  <c r="W2247" i="2"/>
  <c r="V2247" i="2"/>
  <c r="U2247" i="2"/>
  <c r="T2247" i="2"/>
  <c r="S2247" i="2"/>
  <c r="R2247" i="2"/>
  <c r="Q2247" i="2"/>
  <c r="P2247" i="2"/>
  <c r="O2247" i="2"/>
  <c r="N2247" i="2"/>
  <c r="K2247" i="2"/>
  <c r="J2247" i="2"/>
  <c r="I2247" i="2"/>
  <c r="H2247" i="2"/>
  <c r="G2247" i="2"/>
  <c r="F2247" i="2"/>
  <c r="E2247" i="2"/>
  <c r="D2247" i="2"/>
  <c r="C2247" i="2"/>
  <c r="B2247" i="2"/>
  <c r="A2247" i="2"/>
  <c r="AX2246" i="2"/>
  <c r="AV2246" i="2"/>
  <c r="AU2246" i="2"/>
  <c r="AS2246" i="2"/>
  <c r="AR2246" i="2"/>
  <c r="AQ2246" i="2"/>
  <c r="AI2246" i="2"/>
  <c r="AH2246" i="2"/>
  <c r="AG2246" i="2"/>
  <c r="AE2246" i="2"/>
  <c r="AD2246" i="2"/>
  <c r="AC2246" i="2"/>
  <c r="AA2246" i="2"/>
  <c r="Z2246" i="2"/>
  <c r="Y2246" i="2"/>
  <c r="X2246" i="2"/>
  <c r="U2246" i="2"/>
  <c r="T2246" i="2"/>
  <c r="S2246" i="2"/>
  <c r="R2246" i="2"/>
  <c r="Q2246" i="2"/>
  <c r="P2246" i="2"/>
  <c r="O2246" i="2"/>
  <c r="N2246" i="2"/>
  <c r="K2246" i="2"/>
  <c r="J2246" i="2"/>
  <c r="I2246" i="2"/>
  <c r="H2246" i="2"/>
  <c r="G2246" i="2"/>
  <c r="F2246" i="2"/>
  <c r="E2246" i="2"/>
  <c r="D2246" i="2"/>
  <c r="C2246" i="2"/>
  <c r="B2246" i="2"/>
  <c r="A2246" i="2"/>
  <c r="AX2245" i="2"/>
  <c r="AV2245" i="2"/>
  <c r="AU2245" i="2"/>
  <c r="AS2245" i="2"/>
  <c r="AR2245" i="2"/>
  <c r="AQ2245" i="2"/>
  <c r="AO2245" i="2"/>
  <c r="AL2245" i="2"/>
  <c r="AK2245" i="2"/>
  <c r="AJ2245" i="2"/>
  <c r="AI2245" i="2"/>
  <c r="AH2245" i="2"/>
  <c r="AG2245" i="2"/>
  <c r="AE2245" i="2"/>
  <c r="AD2245" i="2"/>
  <c r="AC2245" i="2"/>
  <c r="AA2245" i="2"/>
  <c r="Z2245" i="2"/>
  <c r="Y2245" i="2"/>
  <c r="X2245" i="2"/>
  <c r="W2245" i="2"/>
  <c r="V2245" i="2"/>
  <c r="U2245" i="2"/>
  <c r="T2245" i="2"/>
  <c r="S2245" i="2"/>
  <c r="R2245" i="2"/>
  <c r="Q2245" i="2"/>
  <c r="P2245" i="2"/>
  <c r="O2245" i="2"/>
  <c r="N2245" i="2"/>
  <c r="K2245" i="2"/>
  <c r="J2245" i="2"/>
  <c r="I2245" i="2"/>
  <c r="H2245" i="2"/>
  <c r="G2245" i="2"/>
  <c r="F2245" i="2"/>
  <c r="E2245" i="2"/>
  <c r="D2245" i="2"/>
  <c r="C2245" i="2"/>
  <c r="B2245" i="2"/>
  <c r="A2245" i="2"/>
  <c r="AX2244" i="2"/>
  <c r="AV2244" i="2"/>
  <c r="AU2244" i="2"/>
  <c r="AS2244" i="2"/>
  <c r="AR2244" i="2"/>
  <c r="AQ2244" i="2"/>
  <c r="AO2244" i="2"/>
  <c r="AL2244" i="2"/>
  <c r="AK2244" i="2"/>
  <c r="AJ2244" i="2"/>
  <c r="AI2244" i="2"/>
  <c r="AH2244" i="2"/>
  <c r="AG2244" i="2"/>
  <c r="AF2244" i="2"/>
  <c r="AE2244" i="2"/>
  <c r="AD2244" i="2"/>
  <c r="AC2244" i="2"/>
  <c r="AA2244" i="2"/>
  <c r="Z2244" i="2"/>
  <c r="Y2244" i="2"/>
  <c r="X2244" i="2"/>
  <c r="W2244" i="2"/>
  <c r="V2244" i="2"/>
  <c r="U2244" i="2"/>
  <c r="T2244" i="2"/>
  <c r="S2244" i="2"/>
  <c r="R2244" i="2"/>
  <c r="Q2244" i="2"/>
  <c r="P2244" i="2"/>
  <c r="O2244" i="2"/>
  <c r="N2244" i="2"/>
  <c r="K2244" i="2"/>
  <c r="J2244" i="2"/>
  <c r="I2244" i="2"/>
  <c r="H2244" i="2"/>
  <c r="G2244" i="2"/>
  <c r="F2244" i="2"/>
  <c r="E2244" i="2"/>
  <c r="D2244" i="2"/>
  <c r="C2244" i="2"/>
  <c r="B2244" i="2"/>
  <c r="A2244" i="2"/>
  <c r="AX2243" i="2"/>
  <c r="AV2243" i="2"/>
  <c r="AU2243" i="2"/>
  <c r="AS2243" i="2"/>
  <c r="AR2243" i="2"/>
  <c r="AQ2243" i="2"/>
  <c r="AP2243" i="2"/>
  <c r="AO2243" i="2"/>
  <c r="AK2243" i="2"/>
  <c r="AJ2243" i="2"/>
  <c r="AI2243" i="2"/>
  <c r="AH2243" i="2"/>
  <c r="AG2243" i="2"/>
  <c r="AE2243" i="2"/>
  <c r="AD2243" i="2"/>
  <c r="AC2243" i="2"/>
  <c r="AA2243" i="2"/>
  <c r="Z2243" i="2"/>
  <c r="Y2243" i="2"/>
  <c r="X2243" i="2"/>
  <c r="W2243" i="2"/>
  <c r="V2243" i="2"/>
  <c r="U2243" i="2"/>
  <c r="T2243" i="2"/>
  <c r="S2243" i="2"/>
  <c r="R2243" i="2"/>
  <c r="Q2243" i="2"/>
  <c r="P2243" i="2"/>
  <c r="O2243" i="2"/>
  <c r="N2243" i="2"/>
  <c r="K2243" i="2"/>
  <c r="J2243" i="2"/>
  <c r="I2243" i="2"/>
  <c r="H2243" i="2"/>
  <c r="G2243" i="2"/>
  <c r="F2243" i="2"/>
  <c r="E2243" i="2"/>
  <c r="D2243" i="2"/>
  <c r="C2243" i="2"/>
  <c r="B2243" i="2"/>
  <c r="A2243" i="2"/>
  <c r="AX2242" i="2"/>
  <c r="AV2242" i="2"/>
  <c r="AU2242" i="2"/>
  <c r="AR2242" i="2"/>
  <c r="AQ2242" i="2"/>
  <c r="AO2242" i="2"/>
  <c r="AL2242" i="2"/>
  <c r="AK2242" i="2"/>
  <c r="AJ2242" i="2"/>
  <c r="AI2242" i="2"/>
  <c r="AH2242" i="2"/>
  <c r="AG2242" i="2"/>
  <c r="AE2242" i="2"/>
  <c r="AC2242" i="2"/>
  <c r="AA2242" i="2"/>
  <c r="Z2242" i="2"/>
  <c r="Y2242" i="2"/>
  <c r="X2242" i="2"/>
  <c r="W2242" i="2"/>
  <c r="V2242" i="2"/>
  <c r="U2242" i="2"/>
  <c r="T2242" i="2"/>
  <c r="S2242" i="2"/>
  <c r="R2242" i="2"/>
  <c r="Q2242" i="2"/>
  <c r="P2242" i="2"/>
  <c r="O2242" i="2"/>
  <c r="N2242" i="2"/>
  <c r="K2242" i="2"/>
  <c r="J2242" i="2"/>
  <c r="I2242" i="2"/>
  <c r="H2242" i="2"/>
  <c r="G2242" i="2"/>
  <c r="F2242" i="2"/>
  <c r="E2242" i="2"/>
  <c r="D2242" i="2"/>
  <c r="C2242" i="2"/>
  <c r="B2242" i="2"/>
  <c r="A2242" i="2"/>
  <c r="AX2241" i="2"/>
  <c r="AV2241" i="2"/>
  <c r="AU2241" i="2"/>
  <c r="AR2241" i="2"/>
  <c r="AQ2241" i="2"/>
  <c r="AO2241" i="2"/>
  <c r="AL2241" i="2"/>
  <c r="AK2241" i="2"/>
  <c r="AJ2241" i="2"/>
  <c r="AI2241" i="2"/>
  <c r="AH2241" i="2"/>
  <c r="AG2241" i="2"/>
  <c r="AE2241" i="2"/>
  <c r="AD2241" i="2"/>
  <c r="AC2241" i="2"/>
  <c r="AA2241" i="2"/>
  <c r="Z2241" i="2"/>
  <c r="Y2241" i="2"/>
  <c r="X2241" i="2"/>
  <c r="V2241" i="2"/>
  <c r="U2241" i="2"/>
  <c r="T2241" i="2"/>
  <c r="S2241" i="2"/>
  <c r="R2241" i="2"/>
  <c r="Q2241" i="2"/>
  <c r="P2241" i="2"/>
  <c r="O2241" i="2"/>
  <c r="N2241" i="2"/>
  <c r="K2241" i="2"/>
  <c r="J2241" i="2"/>
  <c r="I2241" i="2"/>
  <c r="H2241" i="2"/>
  <c r="G2241" i="2"/>
  <c r="F2241" i="2"/>
  <c r="E2241" i="2"/>
  <c r="D2241" i="2"/>
  <c r="C2241" i="2"/>
  <c r="B2241" i="2"/>
  <c r="A2241" i="2"/>
  <c r="AX2240" i="2"/>
  <c r="AV2240" i="2"/>
  <c r="AU2240" i="2"/>
  <c r="AR2240" i="2"/>
  <c r="AQ2240" i="2"/>
  <c r="AP2240" i="2"/>
  <c r="AO2240" i="2"/>
  <c r="AL2240" i="2"/>
  <c r="AK2240" i="2"/>
  <c r="AJ2240" i="2"/>
  <c r="AI2240" i="2"/>
  <c r="AH2240" i="2"/>
  <c r="AG2240" i="2"/>
  <c r="AE2240" i="2"/>
  <c r="AD2240" i="2"/>
  <c r="AC2240" i="2"/>
  <c r="AA2240" i="2"/>
  <c r="Z2240" i="2"/>
  <c r="Y2240" i="2"/>
  <c r="X2240" i="2"/>
  <c r="W2240" i="2"/>
  <c r="V2240" i="2"/>
  <c r="U2240" i="2"/>
  <c r="T2240" i="2"/>
  <c r="S2240" i="2"/>
  <c r="R2240" i="2"/>
  <c r="Q2240" i="2"/>
  <c r="P2240" i="2"/>
  <c r="O2240" i="2"/>
  <c r="N2240" i="2"/>
  <c r="K2240" i="2"/>
  <c r="J2240" i="2"/>
  <c r="I2240" i="2"/>
  <c r="H2240" i="2"/>
  <c r="G2240" i="2"/>
  <c r="F2240" i="2"/>
  <c r="E2240" i="2"/>
  <c r="D2240" i="2"/>
  <c r="C2240" i="2"/>
  <c r="B2240" i="2"/>
  <c r="A2240" i="2"/>
  <c r="AX2239" i="2"/>
  <c r="AV2239" i="2"/>
  <c r="AU2239" i="2"/>
  <c r="AR2239" i="2"/>
  <c r="AQ2239" i="2"/>
  <c r="AO2239" i="2"/>
  <c r="AK2239" i="2"/>
  <c r="AJ2239" i="2"/>
  <c r="AI2239" i="2"/>
  <c r="AH2239" i="2"/>
  <c r="AG2239" i="2"/>
  <c r="AE2239" i="2"/>
  <c r="AD2239" i="2"/>
  <c r="AC2239" i="2"/>
  <c r="AA2239" i="2"/>
  <c r="Z2239" i="2"/>
  <c r="Y2239" i="2"/>
  <c r="X2239" i="2"/>
  <c r="W2239" i="2"/>
  <c r="V2239" i="2"/>
  <c r="U2239" i="2"/>
  <c r="T2239" i="2"/>
  <c r="S2239" i="2"/>
  <c r="R2239" i="2"/>
  <c r="Q2239" i="2"/>
  <c r="P2239" i="2"/>
  <c r="O2239" i="2"/>
  <c r="N2239" i="2"/>
  <c r="K2239" i="2"/>
  <c r="J2239" i="2"/>
  <c r="I2239" i="2"/>
  <c r="H2239" i="2"/>
  <c r="G2239" i="2"/>
  <c r="F2239" i="2"/>
  <c r="E2239" i="2"/>
  <c r="D2239" i="2"/>
  <c r="C2239" i="2"/>
  <c r="B2239" i="2"/>
  <c r="A2239" i="2"/>
  <c r="AX2238" i="2"/>
  <c r="AV2238" i="2"/>
  <c r="AU2238" i="2"/>
  <c r="AR2238" i="2"/>
  <c r="AQ2238" i="2"/>
  <c r="AP2238" i="2"/>
  <c r="AO2238" i="2"/>
  <c r="AL2238" i="2"/>
  <c r="AK2238" i="2"/>
  <c r="AJ2238" i="2"/>
  <c r="AI2238" i="2"/>
  <c r="AH2238" i="2"/>
  <c r="AG2238" i="2"/>
  <c r="AE2238" i="2"/>
  <c r="AD2238" i="2"/>
  <c r="AC2238" i="2"/>
  <c r="AA2238" i="2"/>
  <c r="Z2238" i="2"/>
  <c r="Y2238" i="2"/>
  <c r="X2238" i="2"/>
  <c r="W2238" i="2"/>
  <c r="V2238" i="2"/>
  <c r="U2238" i="2"/>
  <c r="T2238" i="2"/>
  <c r="S2238" i="2"/>
  <c r="R2238" i="2"/>
  <c r="Q2238" i="2"/>
  <c r="P2238" i="2"/>
  <c r="O2238" i="2"/>
  <c r="N2238" i="2"/>
  <c r="K2238" i="2"/>
  <c r="J2238" i="2"/>
  <c r="I2238" i="2"/>
  <c r="H2238" i="2"/>
  <c r="G2238" i="2"/>
  <c r="F2238" i="2"/>
  <c r="E2238" i="2"/>
  <c r="D2238" i="2"/>
  <c r="C2238" i="2"/>
  <c r="B2238" i="2"/>
  <c r="A2238" i="2"/>
  <c r="AX2237" i="2"/>
  <c r="AV2237" i="2"/>
  <c r="AU2237" i="2"/>
  <c r="AS2237" i="2"/>
  <c r="AR2237" i="2"/>
  <c r="AQ2237" i="2"/>
  <c r="AO2237" i="2"/>
  <c r="AL2237" i="2"/>
  <c r="AK2237" i="2"/>
  <c r="AJ2237" i="2"/>
  <c r="AI2237" i="2"/>
  <c r="AH2237" i="2"/>
  <c r="AG2237" i="2"/>
  <c r="AE2237" i="2"/>
  <c r="AD2237" i="2"/>
  <c r="AC2237" i="2"/>
  <c r="AA2237" i="2"/>
  <c r="Z2237" i="2"/>
  <c r="Y2237" i="2"/>
  <c r="X2237" i="2"/>
  <c r="W2237" i="2"/>
  <c r="V2237" i="2"/>
  <c r="U2237" i="2"/>
  <c r="T2237" i="2"/>
  <c r="S2237" i="2"/>
  <c r="R2237" i="2"/>
  <c r="Q2237" i="2"/>
  <c r="P2237" i="2"/>
  <c r="O2237" i="2"/>
  <c r="N2237" i="2"/>
  <c r="K2237" i="2"/>
  <c r="J2237" i="2"/>
  <c r="I2237" i="2"/>
  <c r="H2237" i="2"/>
  <c r="G2237" i="2"/>
  <c r="F2237" i="2"/>
  <c r="E2237" i="2"/>
  <c r="D2237" i="2"/>
  <c r="C2237" i="2"/>
  <c r="B2237" i="2"/>
  <c r="A2237" i="2"/>
  <c r="AX2236" i="2"/>
  <c r="AV2236" i="2"/>
  <c r="AU2236" i="2"/>
  <c r="AS2236" i="2"/>
  <c r="AR2236" i="2"/>
  <c r="AQ2236" i="2"/>
  <c r="AO2236" i="2"/>
  <c r="AL2236" i="2"/>
  <c r="AJ2236" i="2"/>
  <c r="AI2236" i="2"/>
  <c r="AH2236" i="2"/>
  <c r="AG2236" i="2"/>
  <c r="AE2236" i="2"/>
  <c r="AD2236" i="2"/>
  <c r="AC2236" i="2"/>
  <c r="AA2236" i="2"/>
  <c r="Z2236" i="2"/>
  <c r="Y2236" i="2"/>
  <c r="X2236" i="2"/>
  <c r="V2236" i="2"/>
  <c r="U2236" i="2"/>
  <c r="T2236" i="2"/>
  <c r="S2236" i="2"/>
  <c r="R2236" i="2"/>
  <c r="Q2236" i="2"/>
  <c r="P2236" i="2"/>
  <c r="O2236" i="2"/>
  <c r="N2236" i="2"/>
  <c r="K2236" i="2"/>
  <c r="J2236" i="2"/>
  <c r="I2236" i="2"/>
  <c r="H2236" i="2"/>
  <c r="G2236" i="2"/>
  <c r="F2236" i="2"/>
  <c r="E2236" i="2"/>
  <c r="D2236" i="2"/>
  <c r="C2236" i="2"/>
  <c r="B2236" i="2"/>
  <c r="A2236" i="2"/>
  <c r="AX2235" i="2"/>
  <c r="AV2235" i="2"/>
  <c r="AU2235" i="2"/>
  <c r="AS2235" i="2"/>
  <c r="AR2235" i="2"/>
  <c r="AQ2235" i="2"/>
  <c r="AO2235" i="2"/>
  <c r="AL2235" i="2"/>
  <c r="AK2235" i="2"/>
  <c r="AJ2235" i="2"/>
  <c r="AI2235" i="2"/>
  <c r="AH2235" i="2"/>
  <c r="AG2235" i="2"/>
  <c r="AE2235" i="2"/>
  <c r="AD2235" i="2"/>
  <c r="AC2235" i="2"/>
  <c r="AA2235" i="2"/>
  <c r="Z2235" i="2"/>
  <c r="Y2235" i="2"/>
  <c r="X2235" i="2"/>
  <c r="W2235" i="2"/>
  <c r="V2235" i="2"/>
  <c r="U2235" i="2"/>
  <c r="T2235" i="2"/>
  <c r="S2235" i="2"/>
  <c r="R2235" i="2"/>
  <c r="Q2235" i="2"/>
  <c r="P2235" i="2"/>
  <c r="O2235" i="2"/>
  <c r="N2235" i="2"/>
  <c r="K2235" i="2"/>
  <c r="J2235" i="2"/>
  <c r="I2235" i="2"/>
  <c r="H2235" i="2"/>
  <c r="G2235" i="2"/>
  <c r="F2235" i="2"/>
  <c r="E2235" i="2"/>
  <c r="D2235" i="2"/>
  <c r="C2235" i="2"/>
  <c r="B2235" i="2"/>
  <c r="A2235" i="2"/>
  <c r="AX2234" i="2"/>
  <c r="AV2234" i="2"/>
  <c r="AU2234" i="2"/>
  <c r="AS2234" i="2"/>
  <c r="AR2234" i="2"/>
  <c r="AQ2234" i="2"/>
  <c r="AP2234" i="2"/>
  <c r="AO2234" i="2"/>
  <c r="AL2234" i="2"/>
  <c r="AK2234" i="2"/>
  <c r="AJ2234" i="2"/>
  <c r="AI2234" i="2"/>
  <c r="AH2234" i="2"/>
  <c r="AG2234" i="2"/>
  <c r="AE2234" i="2"/>
  <c r="AD2234" i="2"/>
  <c r="AC2234" i="2"/>
  <c r="AA2234" i="2"/>
  <c r="Z2234" i="2"/>
  <c r="Y2234" i="2"/>
  <c r="X2234" i="2"/>
  <c r="W2234" i="2"/>
  <c r="V2234" i="2"/>
  <c r="U2234" i="2"/>
  <c r="T2234" i="2"/>
  <c r="S2234" i="2"/>
  <c r="R2234" i="2"/>
  <c r="Q2234" i="2"/>
  <c r="P2234" i="2"/>
  <c r="O2234" i="2"/>
  <c r="N2234" i="2"/>
  <c r="K2234" i="2"/>
  <c r="J2234" i="2"/>
  <c r="I2234" i="2"/>
  <c r="H2234" i="2"/>
  <c r="G2234" i="2"/>
  <c r="F2234" i="2"/>
  <c r="E2234" i="2"/>
  <c r="D2234" i="2"/>
  <c r="C2234" i="2"/>
  <c r="B2234" i="2"/>
  <c r="A2234" i="2"/>
  <c r="AX2233" i="2"/>
  <c r="AV2233" i="2"/>
  <c r="AU2233" i="2"/>
  <c r="AR2233" i="2"/>
  <c r="AQ2233" i="2"/>
  <c r="AO2233" i="2"/>
  <c r="AL2233" i="2"/>
  <c r="AK2233" i="2"/>
  <c r="AJ2233" i="2"/>
  <c r="AI2233" i="2"/>
  <c r="AH2233" i="2"/>
  <c r="AG2233" i="2"/>
  <c r="AE2233" i="2"/>
  <c r="AD2233" i="2"/>
  <c r="AC2233" i="2"/>
  <c r="AA2233" i="2"/>
  <c r="Z2233" i="2"/>
  <c r="Y2233" i="2"/>
  <c r="X2233" i="2"/>
  <c r="W2233" i="2"/>
  <c r="V2233" i="2"/>
  <c r="U2233" i="2"/>
  <c r="T2233" i="2"/>
  <c r="S2233" i="2"/>
  <c r="R2233" i="2"/>
  <c r="Q2233" i="2"/>
  <c r="P2233" i="2"/>
  <c r="O2233" i="2"/>
  <c r="N2233" i="2"/>
  <c r="K2233" i="2"/>
  <c r="J2233" i="2"/>
  <c r="I2233" i="2"/>
  <c r="H2233" i="2"/>
  <c r="G2233" i="2"/>
  <c r="F2233" i="2"/>
  <c r="E2233" i="2"/>
  <c r="D2233" i="2"/>
  <c r="C2233" i="2"/>
  <c r="B2233" i="2"/>
  <c r="A2233" i="2"/>
  <c r="AX2232" i="2"/>
  <c r="AV2232" i="2"/>
  <c r="AU2232" i="2"/>
  <c r="AS2232" i="2"/>
  <c r="AR2232" i="2"/>
  <c r="AQ2232" i="2"/>
  <c r="AP2232" i="2"/>
  <c r="AO2232" i="2"/>
  <c r="AL2232" i="2"/>
  <c r="AK2232" i="2"/>
  <c r="AJ2232" i="2"/>
  <c r="AI2232" i="2"/>
  <c r="AH2232" i="2"/>
  <c r="AG2232" i="2"/>
  <c r="AE2232" i="2"/>
  <c r="AD2232" i="2"/>
  <c r="AC2232" i="2"/>
  <c r="AA2232" i="2"/>
  <c r="Z2232" i="2"/>
  <c r="Y2232" i="2"/>
  <c r="X2232" i="2"/>
  <c r="W2232" i="2"/>
  <c r="V2232" i="2"/>
  <c r="U2232" i="2"/>
  <c r="T2232" i="2"/>
  <c r="S2232" i="2"/>
  <c r="R2232" i="2"/>
  <c r="Q2232" i="2"/>
  <c r="P2232" i="2"/>
  <c r="O2232" i="2"/>
  <c r="N2232" i="2"/>
  <c r="K2232" i="2"/>
  <c r="J2232" i="2"/>
  <c r="I2232" i="2"/>
  <c r="H2232" i="2"/>
  <c r="G2232" i="2"/>
  <c r="F2232" i="2"/>
  <c r="E2232" i="2"/>
  <c r="D2232" i="2"/>
  <c r="C2232" i="2"/>
  <c r="B2232" i="2"/>
  <c r="A2232" i="2"/>
  <c r="AX2231" i="2"/>
  <c r="AV2231" i="2"/>
  <c r="AU2231" i="2"/>
  <c r="AS2231" i="2"/>
  <c r="AR2231" i="2"/>
  <c r="AQ2231" i="2"/>
  <c r="AP2231" i="2"/>
  <c r="AO2231" i="2"/>
  <c r="AL2231" i="2"/>
  <c r="AK2231" i="2"/>
  <c r="AJ2231" i="2"/>
  <c r="AI2231" i="2"/>
  <c r="AH2231" i="2"/>
  <c r="AG2231" i="2"/>
  <c r="AE2231" i="2"/>
  <c r="AD2231" i="2"/>
  <c r="AC2231" i="2"/>
  <c r="AA2231" i="2"/>
  <c r="Z2231" i="2"/>
  <c r="Y2231" i="2"/>
  <c r="X2231" i="2"/>
  <c r="U2231" i="2"/>
  <c r="T2231" i="2"/>
  <c r="S2231" i="2"/>
  <c r="R2231" i="2"/>
  <c r="Q2231" i="2"/>
  <c r="P2231" i="2"/>
  <c r="O2231" i="2"/>
  <c r="N2231" i="2"/>
  <c r="K2231" i="2"/>
  <c r="J2231" i="2"/>
  <c r="I2231" i="2"/>
  <c r="H2231" i="2"/>
  <c r="G2231" i="2"/>
  <c r="F2231" i="2"/>
  <c r="E2231" i="2"/>
  <c r="D2231" i="2"/>
  <c r="C2231" i="2"/>
  <c r="B2231" i="2"/>
  <c r="A2231" i="2"/>
  <c r="AX2230" i="2"/>
  <c r="AV2230" i="2"/>
  <c r="AU2230" i="2"/>
  <c r="AS2230" i="2"/>
  <c r="AR2230" i="2"/>
  <c r="AQ2230" i="2"/>
  <c r="AO2230" i="2"/>
  <c r="AL2230" i="2"/>
  <c r="AK2230" i="2"/>
  <c r="AI2230" i="2"/>
  <c r="AH2230" i="2"/>
  <c r="AG2230" i="2"/>
  <c r="AE2230" i="2"/>
  <c r="AD2230" i="2"/>
  <c r="AC2230" i="2"/>
  <c r="AA2230" i="2"/>
  <c r="Z2230" i="2"/>
  <c r="Y2230" i="2"/>
  <c r="X2230" i="2"/>
  <c r="W2230" i="2"/>
  <c r="V2230" i="2"/>
  <c r="U2230" i="2"/>
  <c r="T2230" i="2"/>
  <c r="S2230" i="2"/>
  <c r="R2230" i="2"/>
  <c r="Q2230" i="2"/>
  <c r="P2230" i="2"/>
  <c r="O2230" i="2"/>
  <c r="N2230" i="2"/>
  <c r="K2230" i="2"/>
  <c r="J2230" i="2"/>
  <c r="I2230" i="2"/>
  <c r="H2230" i="2"/>
  <c r="G2230" i="2"/>
  <c r="F2230" i="2"/>
  <c r="E2230" i="2"/>
  <c r="D2230" i="2"/>
  <c r="C2230" i="2"/>
  <c r="B2230" i="2"/>
  <c r="A2230" i="2"/>
  <c r="AX2229" i="2"/>
  <c r="AV2229" i="2"/>
  <c r="AU2229" i="2"/>
  <c r="AS2229" i="2"/>
  <c r="AR2229" i="2"/>
  <c r="AQ2229" i="2"/>
  <c r="AO2229" i="2"/>
  <c r="AL2229" i="2"/>
  <c r="AK2229" i="2"/>
  <c r="AJ2229" i="2"/>
  <c r="AI2229" i="2"/>
  <c r="AH2229" i="2"/>
  <c r="AG2229" i="2"/>
  <c r="AE2229" i="2"/>
  <c r="AD2229" i="2"/>
  <c r="AC2229" i="2"/>
  <c r="AA2229" i="2"/>
  <c r="Z2229" i="2"/>
  <c r="Y2229" i="2"/>
  <c r="X2229" i="2"/>
  <c r="W2229" i="2"/>
  <c r="V2229" i="2"/>
  <c r="U2229" i="2"/>
  <c r="T2229" i="2"/>
  <c r="S2229" i="2"/>
  <c r="R2229" i="2"/>
  <c r="Q2229" i="2"/>
  <c r="P2229" i="2"/>
  <c r="O2229" i="2"/>
  <c r="N2229" i="2"/>
  <c r="K2229" i="2"/>
  <c r="J2229" i="2"/>
  <c r="I2229" i="2"/>
  <c r="H2229" i="2"/>
  <c r="G2229" i="2"/>
  <c r="F2229" i="2"/>
  <c r="E2229" i="2"/>
  <c r="D2229" i="2"/>
  <c r="C2229" i="2"/>
  <c r="B2229" i="2"/>
  <c r="A2229" i="2"/>
  <c r="AX2228" i="2"/>
  <c r="AV2228" i="2"/>
  <c r="AU2228" i="2"/>
  <c r="AS2228" i="2"/>
  <c r="AR2228" i="2"/>
  <c r="AQ2228" i="2"/>
  <c r="AO2228" i="2"/>
  <c r="AL2228" i="2"/>
  <c r="AK2228" i="2"/>
  <c r="AJ2228" i="2"/>
  <c r="AI2228" i="2"/>
  <c r="AH2228" i="2"/>
  <c r="AG2228" i="2"/>
  <c r="AF2228" i="2"/>
  <c r="AE2228" i="2"/>
  <c r="AD2228" i="2"/>
  <c r="AC2228" i="2"/>
  <c r="AA2228" i="2"/>
  <c r="Z2228" i="2"/>
  <c r="Y2228" i="2"/>
  <c r="X2228" i="2"/>
  <c r="W2228" i="2"/>
  <c r="V2228" i="2"/>
  <c r="U2228" i="2"/>
  <c r="T2228" i="2"/>
  <c r="S2228" i="2"/>
  <c r="R2228" i="2"/>
  <c r="Q2228" i="2"/>
  <c r="P2228" i="2"/>
  <c r="O2228" i="2"/>
  <c r="N2228" i="2"/>
  <c r="K2228" i="2"/>
  <c r="J2228" i="2"/>
  <c r="I2228" i="2"/>
  <c r="H2228" i="2"/>
  <c r="G2228" i="2"/>
  <c r="F2228" i="2"/>
  <c r="E2228" i="2"/>
  <c r="D2228" i="2"/>
  <c r="C2228" i="2"/>
  <c r="B2228" i="2"/>
  <c r="A2228" i="2"/>
  <c r="AX2227" i="2"/>
  <c r="AV2227" i="2"/>
  <c r="AU2227" i="2"/>
  <c r="AS2227" i="2"/>
  <c r="AR2227" i="2"/>
  <c r="AQ2227" i="2"/>
  <c r="AO2227" i="2"/>
  <c r="AL2227" i="2"/>
  <c r="AK2227" i="2"/>
  <c r="AJ2227" i="2"/>
  <c r="AI2227" i="2"/>
  <c r="AH2227" i="2"/>
  <c r="AG2227" i="2"/>
  <c r="AE2227" i="2"/>
  <c r="AD2227" i="2"/>
  <c r="AC2227" i="2"/>
  <c r="AA2227" i="2"/>
  <c r="Z2227" i="2"/>
  <c r="Y2227" i="2"/>
  <c r="X2227" i="2"/>
  <c r="V2227" i="2"/>
  <c r="U2227" i="2"/>
  <c r="T2227" i="2"/>
  <c r="S2227" i="2"/>
  <c r="R2227" i="2"/>
  <c r="Q2227" i="2"/>
  <c r="P2227" i="2"/>
  <c r="O2227" i="2"/>
  <c r="N2227" i="2"/>
  <c r="K2227" i="2"/>
  <c r="J2227" i="2"/>
  <c r="I2227" i="2"/>
  <c r="H2227" i="2"/>
  <c r="G2227" i="2"/>
  <c r="F2227" i="2"/>
  <c r="E2227" i="2"/>
  <c r="D2227" i="2"/>
  <c r="C2227" i="2"/>
  <c r="B2227" i="2"/>
  <c r="A2227" i="2"/>
  <c r="AX2226" i="2"/>
  <c r="AV2226" i="2"/>
  <c r="AU2226" i="2"/>
  <c r="AS2226" i="2"/>
  <c r="AR2226" i="2"/>
  <c r="AQ2226" i="2"/>
  <c r="AP2226" i="2"/>
  <c r="AO2226" i="2"/>
  <c r="AK2226" i="2"/>
  <c r="AJ2226" i="2"/>
  <c r="AI2226" i="2"/>
  <c r="AH2226" i="2"/>
  <c r="AG2226" i="2"/>
  <c r="AF2226" i="2"/>
  <c r="AE2226" i="2"/>
  <c r="AD2226" i="2"/>
  <c r="AC2226" i="2"/>
  <c r="AA2226" i="2"/>
  <c r="Z2226" i="2"/>
  <c r="Y2226" i="2"/>
  <c r="X2226" i="2"/>
  <c r="W2226" i="2"/>
  <c r="V2226" i="2"/>
  <c r="U2226" i="2"/>
  <c r="T2226" i="2"/>
  <c r="S2226" i="2"/>
  <c r="R2226" i="2"/>
  <c r="Q2226" i="2"/>
  <c r="P2226" i="2"/>
  <c r="O2226" i="2"/>
  <c r="N2226" i="2"/>
  <c r="K2226" i="2"/>
  <c r="J2226" i="2"/>
  <c r="I2226" i="2"/>
  <c r="H2226" i="2"/>
  <c r="G2226" i="2"/>
  <c r="F2226" i="2"/>
  <c r="E2226" i="2"/>
  <c r="D2226" i="2"/>
  <c r="C2226" i="2"/>
  <c r="B2226" i="2"/>
  <c r="A2226" i="2"/>
  <c r="AX2225" i="2"/>
  <c r="AV2225" i="2"/>
  <c r="AU2225" i="2"/>
  <c r="AS2225" i="2"/>
  <c r="AR2225" i="2"/>
  <c r="AQ2225" i="2"/>
  <c r="AP2225" i="2"/>
  <c r="AO2225" i="2"/>
  <c r="AN2225" i="2"/>
  <c r="AM2225" i="2"/>
  <c r="AL2225" i="2"/>
  <c r="AK2225" i="2"/>
  <c r="AJ2225" i="2"/>
  <c r="AI2225" i="2"/>
  <c r="AH2225" i="2"/>
  <c r="AG2225" i="2"/>
  <c r="AE2225" i="2"/>
  <c r="AD2225" i="2"/>
  <c r="AC2225" i="2"/>
  <c r="AA2225" i="2"/>
  <c r="Z2225" i="2"/>
  <c r="Y2225" i="2"/>
  <c r="X2225" i="2"/>
  <c r="W2225" i="2"/>
  <c r="V2225" i="2"/>
  <c r="U2225" i="2"/>
  <c r="T2225" i="2"/>
  <c r="S2225" i="2"/>
  <c r="R2225" i="2"/>
  <c r="Q2225" i="2"/>
  <c r="P2225" i="2"/>
  <c r="O2225" i="2"/>
  <c r="N2225" i="2"/>
  <c r="K2225" i="2"/>
  <c r="J2225" i="2"/>
  <c r="I2225" i="2"/>
  <c r="H2225" i="2"/>
  <c r="G2225" i="2"/>
  <c r="F2225" i="2"/>
  <c r="E2225" i="2"/>
  <c r="D2225" i="2"/>
  <c r="C2225" i="2"/>
  <c r="B2225" i="2"/>
  <c r="A2225" i="2"/>
  <c r="AX2224" i="2"/>
  <c r="AV2224" i="2"/>
  <c r="AU2224" i="2"/>
  <c r="AR2224" i="2"/>
  <c r="AQ2224" i="2"/>
  <c r="AO2224" i="2"/>
  <c r="AL2224" i="2"/>
  <c r="AK2224" i="2"/>
  <c r="AJ2224" i="2"/>
  <c r="AI2224" i="2"/>
  <c r="AH2224" i="2"/>
  <c r="AG2224" i="2"/>
  <c r="AE2224" i="2"/>
  <c r="AD2224" i="2"/>
  <c r="AC2224" i="2"/>
  <c r="AA2224" i="2"/>
  <c r="Z2224" i="2"/>
  <c r="Y2224" i="2"/>
  <c r="X2224" i="2"/>
  <c r="W2224" i="2"/>
  <c r="V2224" i="2"/>
  <c r="U2224" i="2"/>
  <c r="T2224" i="2"/>
  <c r="S2224" i="2"/>
  <c r="R2224" i="2"/>
  <c r="Q2224" i="2"/>
  <c r="P2224" i="2"/>
  <c r="O2224" i="2"/>
  <c r="N2224" i="2"/>
  <c r="K2224" i="2"/>
  <c r="J2224" i="2"/>
  <c r="I2224" i="2"/>
  <c r="H2224" i="2"/>
  <c r="G2224" i="2"/>
  <c r="F2224" i="2"/>
  <c r="E2224" i="2"/>
  <c r="D2224" i="2"/>
  <c r="C2224" i="2"/>
  <c r="B2224" i="2"/>
  <c r="A2224" i="2"/>
  <c r="AX2223" i="2"/>
  <c r="AV2223" i="2"/>
  <c r="AU2223" i="2"/>
  <c r="AS2223" i="2"/>
  <c r="AR2223" i="2"/>
  <c r="AQ2223" i="2"/>
  <c r="AP2223" i="2"/>
  <c r="AO2223" i="2"/>
  <c r="AN2223" i="2"/>
  <c r="AM2223" i="2"/>
  <c r="AL2223" i="2"/>
  <c r="AK2223" i="2"/>
  <c r="AJ2223" i="2"/>
  <c r="AI2223" i="2"/>
  <c r="AH2223" i="2"/>
  <c r="AG2223" i="2"/>
  <c r="AE2223" i="2"/>
  <c r="AD2223" i="2"/>
  <c r="AC2223" i="2"/>
  <c r="AA2223" i="2"/>
  <c r="Z2223" i="2"/>
  <c r="Y2223" i="2"/>
  <c r="X2223" i="2"/>
  <c r="W2223" i="2"/>
  <c r="V2223" i="2"/>
  <c r="U2223" i="2"/>
  <c r="T2223" i="2"/>
  <c r="S2223" i="2"/>
  <c r="R2223" i="2"/>
  <c r="Q2223" i="2"/>
  <c r="P2223" i="2"/>
  <c r="O2223" i="2"/>
  <c r="N2223" i="2"/>
  <c r="K2223" i="2"/>
  <c r="J2223" i="2"/>
  <c r="I2223" i="2"/>
  <c r="H2223" i="2"/>
  <c r="G2223" i="2"/>
  <c r="F2223" i="2"/>
  <c r="E2223" i="2"/>
  <c r="D2223" i="2"/>
  <c r="C2223" i="2"/>
  <c r="B2223" i="2"/>
  <c r="A2223" i="2"/>
  <c r="AX2222" i="2"/>
  <c r="AV2222" i="2"/>
  <c r="AU2222" i="2"/>
  <c r="AR2222" i="2"/>
  <c r="AQ2222" i="2"/>
  <c r="AO2222" i="2"/>
  <c r="AK2222" i="2"/>
  <c r="AJ2222" i="2"/>
  <c r="AI2222" i="2"/>
  <c r="AH2222" i="2"/>
  <c r="AG2222" i="2"/>
  <c r="AF2222" i="2"/>
  <c r="AE2222" i="2"/>
  <c r="AD2222" i="2"/>
  <c r="AC2222" i="2"/>
  <c r="AA2222" i="2"/>
  <c r="Z2222" i="2"/>
  <c r="Y2222" i="2"/>
  <c r="X2222" i="2"/>
  <c r="W2222" i="2"/>
  <c r="V2222" i="2"/>
  <c r="U2222" i="2"/>
  <c r="T2222" i="2"/>
  <c r="S2222" i="2"/>
  <c r="R2222" i="2"/>
  <c r="Q2222" i="2"/>
  <c r="P2222" i="2"/>
  <c r="O2222" i="2"/>
  <c r="N2222" i="2"/>
  <c r="K2222" i="2"/>
  <c r="J2222" i="2"/>
  <c r="I2222" i="2"/>
  <c r="H2222" i="2"/>
  <c r="G2222" i="2"/>
  <c r="F2222" i="2"/>
  <c r="E2222" i="2"/>
  <c r="D2222" i="2"/>
  <c r="C2222" i="2"/>
  <c r="B2222" i="2"/>
  <c r="A2222" i="2"/>
  <c r="AX2221" i="2"/>
  <c r="AV2221" i="2"/>
  <c r="AU2221" i="2"/>
  <c r="AS2221" i="2"/>
  <c r="AR2221" i="2"/>
  <c r="AQ2221" i="2"/>
  <c r="AO2221" i="2"/>
  <c r="AK2221" i="2"/>
  <c r="AJ2221" i="2"/>
  <c r="AI2221" i="2"/>
  <c r="AH2221" i="2"/>
  <c r="AG2221" i="2"/>
  <c r="AE2221" i="2"/>
  <c r="AD2221" i="2"/>
  <c r="AC2221" i="2"/>
  <c r="AA2221" i="2"/>
  <c r="Z2221" i="2"/>
  <c r="Y2221" i="2"/>
  <c r="X2221" i="2"/>
  <c r="W2221" i="2"/>
  <c r="V2221" i="2"/>
  <c r="U2221" i="2"/>
  <c r="T2221" i="2"/>
  <c r="S2221" i="2"/>
  <c r="R2221" i="2"/>
  <c r="Q2221" i="2"/>
  <c r="P2221" i="2"/>
  <c r="O2221" i="2"/>
  <c r="N2221" i="2"/>
  <c r="K2221" i="2"/>
  <c r="J2221" i="2"/>
  <c r="I2221" i="2"/>
  <c r="H2221" i="2"/>
  <c r="G2221" i="2"/>
  <c r="F2221" i="2"/>
  <c r="E2221" i="2"/>
  <c r="D2221" i="2"/>
  <c r="C2221" i="2"/>
  <c r="B2221" i="2"/>
  <c r="A2221" i="2"/>
  <c r="AX2220" i="2"/>
  <c r="AV2220" i="2"/>
  <c r="AU2220" i="2"/>
  <c r="AS2220" i="2"/>
  <c r="AR2220" i="2"/>
  <c r="AQ2220" i="2"/>
  <c r="AO2220" i="2"/>
  <c r="AN2220" i="2"/>
  <c r="AM2220" i="2"/>
  <c r="AL2220" i="2"/>
  <c r="AK2220" i="2"/>
  <c r="AJ2220" i="2"/>
  <c r="AI2220" i="2"/>
  <c r="AH2220" i="2"/>
  <c r="AG2220" i="2"/>
  <c r="AE2220" i="2"/>
  <c r="AD2220" i="2"/>
  <c r="AC2220" i="2"/>
  <c r="AA2220" i="2"/>
  <c r="Z2220" i="2"/>
  <c r="Y2220" i="2"/>
  <c r="X2220" i="2"/>
  <c r="W2220" i="2"/>
  <c r="V2220" i="2"/>
  <c r="U2220" i="2"/>
  <c r="T2220" i="2"/>
  <c r="S2220" i="2"/>
  <c r="R2220" i="2"/>
  <c r="Q2220" i="2"/>
  <c r="P2220" i="2"/>
  <c r="O2220" i="2"/>
  <c r="N2220" i="2"/>
  <c r="K2220" i="2"/>
  <c r="J2220" i="2"/>
  <c r="I2220" i="2"/>
  <c r="H2220" i="2"/>
  <c r="G2220" i="2"/>
  <c r="F2220" i="2"/>
  <c r="E2220" i="2"/>
  <c r="D2220" i="2"/>
  <c r="C2220" i="2"/>
  <c r="B2220" i="2"/>
  <c r="A2220" i="2"/>
  <c r="AX2219" i="2"/>
  <c r="AV2219" i="2"/>
  <c r="AU2219" i="2"/>
  <c r="AR2219" i="2"/>
  <c r="AQ2219" i="2"/>
  <c r="AP2219" i="2"/>
  <c r="AO2219" i="2"/>
  <c r="AL2219" i="2"/>
  <c r="AK2219" i="2"/>
  <c r="AJ2219" i="2"/>
  <c r="AI2219" i="2"/>
  <c r="AH2219" i="2"/>
  <c r="AG2219" i="2"/>
  <c r="AF2219" i="2"/>
  <c r="AE2219" i="2"/>
  <c r="AD2219" i="2"/>
  <c r="AC2219" i="2"/>
  <c r="AA2219" i="2"/>
  <c r="Z2219" i="2"/>
  <c r="Y2219" i="2"/>
  <c r="X2219" i="2"/>
  <c r="W2219" i="2"/>
  <c r="V2219" i="2"/>
  <c r="U2219" i="2"/>
  <c r="T2219" i="2"/>
  <c r="S2219" i="2"/>
  <c r="R2219" i="2"/>
  <c r="Q2219" i="2"/>
  <c r="P2219" i="2"/>
  <c r="O2219" i="2"/>
  <c r="N2219" i="2"/>
  <c r="K2219" i="2"/>
  <c r="J2219" i="2"/>
  <c r="I2219" i="2"/>
  <c r="H2219" i="2"/>
  <c r="G2219" i="2"/>
  <c r="F2219" i="2"/>
  <c r="E2219" i="2"/>
  <c r="D2219" i="2"/>
  <c r="C2219" i="2"/>
  <c r="B2219" i="2"/>
  <c r="A2219" i="2"/>
  <c r="AX2218" i="2"/>
  <c r="AV2218" i="2"/>
  <c r="AU2218" i="2"/>
  <c r="AS2218" i="2"/>
  <c r="AR2218" i="2"/>
  <c r="AQ2218" i="2"/>
  <c r="AP2218" i="2"/>
  <c r="AO2218" i="2"/>
  <c r="AL2218" i="2"/>
  <c r="AK2218" i="2"/>
  <c r="AJ2218" i="2"/>
  <c r="AI2218" i="2"/>
  <c r="AH2218" i="2"/>
  <c r="AG2218" i="2"/>
  <c r="AE2218" i="2"/>
  <c r="AD2218" i="2"/>
  <c r="AC2218" i="2"/>
  <c r="AA2218" i="2"/>
  <c r="Z2218" i="2"/>
  <c r="Y2218" i="2"/>
  <c r="X2218" i="2"/>
  <c r="W2218" i="2"/>
  <c r="V2218" i="2"/>
  <c r="U2218" i="2"/>
  <c r="T2218" i="2"/>
  <c r="S2218" i="2"/>
  <c r="R2218" i="2"/>
  <c r="Q2218" i="2"/>
  <c r="P2218" i="2"/>
  <c r="O2218" i="2"/>
  <c r="N2218" i="2"/>
  <c r="K2218" i="2"/>
  <c r="J2218" i="2"/>
  <c r="I2218" i="2"/>
  <c r="H2218" i="2"/>
  <c r="G2218" i="2"/>
  <c r="F2218" i="2"/>
  <c r="E2218" i="2"/>
  <c r="D2218" i="2"/>
  <c r="C2218" i="2"/>
  <c r="B2218" i="2"/>
  <c r="A2218" i="2"/>
  <c r="AX2217" i="2"/>
  <c r="AV2217" i="2"/>
  <c r="AU2217" i="2"/>
  <c r="AS2217" i="2"/>
  <c r="AR2217" i="2"/>
  <c r="AQ2217" i="2"/>
  <c r="AO2217" i="2"/>
  <c r="AN2217" i="2"/>
  <c r="AM2217" i="2"/>
  <c r="AL2217" i="2"/>
  <c r="AK2217" i="2"/>
  <c r="AI2217" i="2"/>
  <c r="AH2217" i="2"/>
  <c r="AG2217" i="2"/>
  <c r="AE2217" i="2"/>
  <c r="AD2217" i="2"/>
  <c r="AC2217" i="2"/>
  <c r="AA2217" i="2"/>
  <c r="Z2217" i="2"/>
  <c r="Y2217" i="2"/>
  <c r="X2217" i="2"/>
  <c r="W2217" i="2"/>
  <c r="V2217" i="2"/>
  <c r="U2217" i="2"/>
  <c r="T2217" i="2"/>
  <c r="S2217" i="2"/>
  <c r="R2217" i="2"/>
  <c r="Q2217" i="2"/>
  <c r="P2217" i="2"/>
  <c r="O2217" i="2"/>
  <c r="N2217" i="2"/>
  <c r="K2217" i="2"/>
  <c r="J2217" i="2"/>
  <c r="I2217" i="2"/>
  <c r="H2217" i="2"/>
  <c r="G2217" i="2"/>
  <c r="F2217" i="2"/>
  <c r="E2217" i="2"/>
  <c r="D2217" i="2"/>
  <c r="C2217" i="2"/>
  <c r="B2217" i="2"/>
  <c r="A2217" i="2"/>
  <c r="AX2216" i="2"/>
  <c r="AV2216" i="2"/>
  <c r="AU2216" i="2"/>
  <c r="AS2216" i="2"/>
  <c r="AR2216" i="2"/>
  <c r="AQ2216" i="2"/>
  <c r="AP2216" i="2"/>
  <c r="AO2216" i="2"/>
  <c r="AL2216" i="2"/>
  <c r="AK2216" i="2"/>
  <c r="AJ2216" i="2"/>
  <c r="AI2216" i="2"/>
  <c r="AH2216" i="2"/>
  <c r="AG2216" i="2"/>
  <c r="AF2216" i="2"/>
  <c r="AE2216" i="2"/>
  <c r="AD2216" i="2"/>
  <c r="AC2216" i="2"/>
  <c r="AA2216" i="2"/>
  <c r="Z2216" i="2"/>
  <c r="Y2216" i="2"/>
  <c r="X2216" i="2"/>
  <c r="W2216" i="2"/>
  <c r="V2216" i="2"/>
  <c r="U2216" i="2"/>
  <c r="T2216" i="2"/>
  <c r="S2216" i="2"/>
  <c r="R2216" i="2"/>
  <c r="Q2216" i="2"/>
  <c r="P2216" i="2"/>
  <c r="O2216" i="2"/>
  <c r="N2216" i="2"/>
  <c r="K2216" i="2"/>
  <c r="J2216" i="2"/>
  <c r="I2216" i="2"/>
  <c r="H2216" i="2"/>
  <c r="G2216" i="2"/>
  <c r="F2216" i="2"/>
  <c r="E2216" i="2"/>
  <c r="D2216" i="2"/>
  <c r="C2216" i="2"/>
  <c r="B2216" i="2"/>
  <c r="A2216" i="2"/>
  <c r="AX2215" i="2"/>
  <c r="AV2215" i="2"/>
  <c r="AU2215" i="2"/>
  <c r="AS2215" i="2"/>
  <c r="AR2215" i="2"/>
  <c r="AQ2215" i="2"/>
  <c r="AO2215" i="2"/>
  <c r="AL2215" i="2"/>
  <c r="AK2215" i="2"/>
  <c r="AJ2215" i="2"/>
  <c r="AI2215" i="2"/>
  <c r="AH2215" i="2"/>
  <c r="AG2215" i="2"/>
  <c r="AF2215" i="2"/>
  <c r="AE2215" i="2"/>
  <c r="AD2215" i="2"/>
  <c r="AC2215" i="2"/>
  <c r="AA2215" i="2"/>
  <c r="Z2215" i="2"/>
  <c r="Y2215" i="2"/>
  <c r="X2215" i="2"/>
  <c r="V2215" i="2"/>
  <c r="U2215" i="2"/>
  <c r="T2215" i="2"/>
  <c r="S2215" i="2"/>
  <c r="R2215" i="2"/>
  <c r="Q2215" i="2"/>
  <c r="P2215" i="2"/>
  <c r="O2215" i="2"/>
  <c r="N2215" i="2"/>
  <c r="K2215" i="2"/>
  <c r="J2215" i="2"/>
  <c r="I2215" i="2"/>
  <c r="H2215" i="2"/>
  <c r="G2215" i="2"/>
  <c r="F2215" i="2"/>
  <c r="E2215" i="2"/>
  <c r="D2215" i="2"/>
  <c r="C2215" i="2"/>
  <c r="B2215" i="2"/>
  <c r="A2215" i="2"/>
  <c r="AX2214" i="2"/>
  <c r="AV2214" i="2"/>
  <c r="AU2214" i="2"/>
  <c r="AS2214" i="2"/>
  <c r="AR2214" i="2"/>
  <c r="AQ2214" i="2"/>
  <c r="AO2214" i="2"/>
  <c r="AL2214" i="2"/>
  <c r="AK2214" i="2"/>
  <c r="AJ2214" i="2"/>
  <c r="AI2214" i="2"/>
  <c r="AH2214" i="2"/>
  <c r="AG2214" i="2"/>
  <c r="AF2214" i="2"/>
  <c r="AE2214" i="2"/>
  <c r="AD2214" i="2"/>
  <c r="AC2214" i="2"/>
  <c r="AA2214" i="2"/>
  <c r="Z2214" i="2"/>
  <c r="Y2214" i="2"/>
  <c r="X2214" i="2"/>
  <c r="W2214" i="2"/>
  <c r="V2214" i="2"/>
  <c r="U2214" i="2"/>
  <c r="T2214" i="2"/>
  <c r="S2214" i="2"/>
  <c r="R2214" i="2"/>
  <c r="Q2214" i="2"/>
  <c r="P2214" i="2"/>
  <c r="O2214" i="2"/>
  <c r="N2214" i="2"/>
  <c r="K2214" i="2"/>
  <c r="J2214" i="2"/>
  <c r="I2214" i="2"/>
  <c r="H2214" i="2"/>
  <c r="G2214" i="2"/>
  <c r="F2214" i="2"/>
  <c r="E2214" i="2"/>
  <c r="D2214" i="2"/>
  <c r="C2214" i="2"/>
  <c r="B2214" i="2"/>
  <c r="A2214" i="2"/>
  <c r="AX2213" i="2"/>
  <c r="AV2213" i="2"/>
  <c r="AU2213" i="2"/>
  <c r="AR2213" i="2"/>
  <c r="AQ2213" i="2"/>
  <c r="AO2213" i="2"/>
  <c r="AL2213" i="2"/>
  <c r="AK2213" i="2"/>
  <c r="AJ2213" i="2"/>
  <c r="AI2213" i="2"/>
  <c r="AH2213" i="2"/>
  <c r="AG2213" i="2"/>
  <c r="AE2213" i="2"/>
  <c r="AD2213" i="2"/>
  <c r="AC2213" i="2"/>
  <c r="AA2213" i="2"/>
  <c r="Z2213" i="2"/>
  <c r="Y2213" i="2"/>
  <c r="X2213" i="2"/>
  <c r="W2213" i="2"/>
  <c r="V2213" i="2"/>
  <c r="U2213" i="2"/>
  <c r="T2213" i="2"/>
  <c r="S2213" i="2"/>
  <c r="R2213" i="2"/>
  <c r="Q2213" i="2"/>
  <c r="P2213" i="2"/>
  <c r="O2213" i="2"/>
  <c r="N2213" i="2"/>
  <c r="K2213" i="2"/>
  <c r="J2213" i="2"/>
  <c r="I2213" i="2"/>
  <c r="H2213" i="2"/>
  <c r="G2213" i="2"/>
  <c r="F2213" i="2"/>
  <c r="E2213" i="2"/>
  <c r="D2213" i="2"/>
  <c r="C2213" i="2"/>
  <c r="B2213" i="2"/>
  <c r="A2213" i="2"/>
  <c r="AX2212" i="2"/>
  <c r="AV2212" i="2"/>
  <c r="AU2212" i="2"/>
  <c r="AS2212" i="2"/>
  <c r="AR2212" i="2"/>
  <c r="AQ2212" i="2"/>
  <c r="AO2212" i="2"/>
  <c r="AL2212" i="2"/>
  <c r="AK2212" i="2"/>
  <c r="AJ2212" i="2"/>
  <c r="AI2212" i="2"/>
  <c r="AH2212" i="2"/>
  <c r="AG2212" i="2"/>
  <c r="AE2212" i="2"/>
  <c r="AD2212" i="2"/>
  <c r="AC2212" i="2"/>
  <c r="AA2212" i="2"/>
  <c r="Z2212" i="2"/>
  <c r="Y2212" i="2"/>
  <c r="X2212" i="2"/>
  <c r="U2212" i="2"/>
  <c r="T2212" i="2"/>
  <c r="S2212" i="2"/>
  <c r="R2212" i="2"/>
  <c r="Q2212" i="2"/>
  <c r="P2212" i="2"/>
  <c r="O2212" i="2"/>
  <c r="N2212" i="2"/>
  <c r="K2212" i="2"/>
  <c r="J2212" i="2"/>
  <c r="I2212" i="2"/>
  <c r="H2212" i="2"/>
  <c r="G2212" i="2"/>
  <c r="F2212" i="2"/>
  <c r="E2212" i="2"/>
  <c r="D2212" i="2"/>
  <c r="C2212" i="2"/>
  <c r="B2212" i="2"/>
  <c r="A2212" i="2"/>
  <c r="AX2211" i="2"/>
  <c r="AV2211" i="2"/>
  <c r="AU2211" i="2"/>
  <c r="AR2211" i="2"/>
  <c r="AQ2211" i="2"/>
  <c r="AO2211" i="2"/>
  <c r="AL2211" i="2"/>
  <c r="AK2211" i="2"/>
  <c r="AJ2211" i="2"/>
  <c r="AI2211" i="2"/>
  <c r="AH2211" i="2"/>
  <c r="AG2211" i="2"/>
  <c r="AF2211" i="2"/>
  <c r="AE2211" i="2"/>
  <c r="AD2211" i="2"/>
  <c r="AC2211" i="2"/>
  <c r="AA2211" i="2"/>
  <c r="Z2211" i="2"/>
  <c r="Y2211" i="2"/>
  <c r="X2211" i="2"/>
  <c r="W2211" i="2"/>
  <c r="V2211" i="2"/>
  <c r="U2211" i="2"/>
  <c r="T2211" i="2"/>
  <c r="S2211" i="2"/>
  <c r="R2211" i="2"/>
  <c r="Q2211" i="2"/>
  <c r="P2211" i="2"/>
  <c r="O2211" i="2"/>
  <c r="N2211" i="2"/>
  <c r="K2211" i="2"/>
  <c r="J2211" i="2"/>
  <c r="I2211" i="2"/>
  <c r="H2211" i="2"/>
  <c r="G2211" i="2"/>
  <c r="F2211" i="2"/>
  <c r="E2211" i="2"/>
  <c r="D2211" i="2"/>
  <c r="C2211" i="2"/>
  <c r="B2211" i="2"/>
  <c r="A2211" i="2"/>
  <c r="AX2210" i="2"/>
  <c r="AV2210" i="2"/>
  <c r="AU2210" i="2"/>
  <c r="AS2210" i="2"/>
  <c r="AR2210" i="2"/>
  <c r="AQ2210" i="2"/>
  <c r="AO2210" i="2"/>
  <c r="AL2210" i="2"/>
  <c r="AK2210" i="2"/>
  <c r="AJ2210" i="2"/>
  <c r="AI2210" i="2"/>
  <c r="AH2210" i="2"/>
  <c r="AG2210" i="2"/>
  <c r="AE2210" i="2"/>
  <c r="AD2210" i="2"/>
  <c r="AC2210" i="2"/>
  <c r="AA2210" i="2"/>
  <c r="Z2210" i="2"/>
  <c r="Y2210" i="2"/>
  <c r="X2210" i="2"/>
  <c r="W2210" i="2"/>
  <c r="V2210" i="2"/>
  <c r="U2210" i="2"/>
  <c r="T2210" i="2"/>
  <c r="S2210" i="2"/>
  <c r="R2210" i="2"/>
  <c r="Q2210" i="2"/>
  <c r="P2210" i="2"/>
  <c r="O2210" i="2"/>
  <c r="N2210" i="2"/>
  <c r="K2210" i="2"/>
  <c r="J2210" i="2"/>
  <c r="I2210" i="2"/>
  <c r="H2210" i="2"/>
  <c r="G2210" i="2"/>
  <c r="F2210" i="2"/>
  <c r="E2210" i="2"/>
  <c r="D2210" i="2"/>
  <c r="C2210" i="2"/>
  <c r="B2210" i="2"/>
  <c r="A2210" i="2"/>
  <c r="AX2209" i="2"/>
  <c r="AV2209" i="2"/>
  <c r="AU2209" i="2"/>
  <c r="AS2209" i="2"/>
  <c r="AR2209" i="2"/>
  <c r="AQ2209" i="2"/>
  <c r="AO2209" i="2"/>
  <c r="AL2209" i="2"/>
  <c r="AK2209" i="2"/>
  <c r="AJ2209" i="2"/>
  <c r="AI2209" i="2"/>
  <c r="AH2209" i="2"/>
  <c r="AG2209" i="2"/>
  <c r="AF2209" i="2"/>
  <c r="AE2209" i="2"/>
  <c r="AD2209" i="2"/>
  <c r="AC2209" i="2"/>
  <c r="AA2209" i="2"/>
  <c r="Z2209" i="2"/>
  <c r="Y2209" i="2"/>
  <c r="X2209" i="2"/>
  <c r="W2209" i="2"/>
  <c r="V2209" i="2"/>
  <c r="U2209" i="2"/>
  <c r="T2209" i="2"/>
  <c r="S2209" i="2"/>
  <c r="R2209" i="2"/>
  <c r="Q2209" i="2"/>
  <c r="P2209" i="2"/>
  <c r="O2209" i="2"/>
  <c r="N2209" i="2"/>
  <c r="K2209" i="2"/>
  <c r="J2209" i="2"/>
  <c r="I2209" i="2"/>
  <c r="H2209" i="2"/>
  <c r="G2209" i="2"/>
  <c r="F2209" i="2"/>
  <c r="E2209" i="2"/>
  <c r="D2209" i="2"/>
  <c r="C2209" i="2"/>
  <c r="B2209" i="2"/>
  <c r="A2209" i="2"/>
  <c r="AX2208" i="2"/>
  <c r="AV2208" i="2"/>
  <c r="AU2208" i="2"/>
  <c r="AS2208" i="2"/>
  <c r="AR2208" i="2"/>
  <c r="AQ2208" i="2"/>
  <c r="AO2208" i="2"/>
  <c r="AL2208" i="2"/>
  <c r="AK2208" i="2"/>
  <c r="AJ2208" i="2"/>
  <c r="AI2208" i="2"/>
  <c r="AH2208" i="2"/>
  <c r="AG2208" i="2"/>
  <c r="AE2208" i="2"/>
  <c r="AD2208" i="2"/>
  <c r="AC2208" i="2"/>
  <c r="AA2208" i="2"/>
  <c r="Z2208" i="2"/>
  <c r="Y2208" i="2"/>
  <c r="X2208" i="2"/>
  <c r="V2208" i="2"/>
  <c r="U2208" i="2"/>
  <c r="T2208" i="2"/>
  <c r="S2208" i="2"/>
  <c r="R2208" i="2"/>
  <c r="Q2208" i="2"/>
  <c r="P2208" i="2"/>
  <c r="O2208" i="2"/>
  <c r="N2208" i="2"/>
  <c r="K2208" i="2"/>
  <c r="J2208" i="2"/>
  <c r="I2208" i="2"/>
  <c r="H2208" i="2"/>
  <c r="G2208" i="2"/>
  <c r="F2208" i="2"/>
  <c r="E2208" i="2"/>
  <c r="D2208" i="2"/>
  <c r="C2208" i="2"/>
  <c r="B2208" i="2"/>
  <c r="A2208" i="2"/>
  <c r="AX2207" i="2"/>
  <c r="AV2207" i="2"/>
  <c r="AU2207" i="2"/>
  <c r="AR2207" i="2"/>
  <c r="AQ2207" i="2"/>
  <c r="AO2207" i="2"/>
  <c r="AL2207" i="2"/>
  <c r="AK2207" i="2"/>
  <c r="AJ2207" i="2"/>
  <c r="AI2207" i="2"/>
  <c r="AH2207" i="2"/>
  <c r="AG2207" i="2"/>
  <c r="AE2207" i="2"/>
  <c r="AD2207" i="2"/>
  <c r="AC2207" i="2"/>
  <c r="AA2207" i="2"/>
  <c r="Z2207" i="2"/>
  <c r="Y2207" i="2"/>
  <c r="X2207" i="2"/>
  <c r="U2207" i="2"/>
  <c r="T2207" i="2"/>
  <c r="S2207" i="2"/>
  <c r="R2207" i="2"/>
  <c r="Q2207" i="2"/>
  <c r="P2207" i="2"/>
  <c r="O2207" i="2"/>
  <c r="N2207" i="2"/>
  <c r="K2207" i="2"/>
  <c r="J2207" i="2"/>
  <c r="I2207" i="2"/>
  <c r="H2207" i="2"/>
  <c r="G2207" i="2"/>
  <c r="F2207" i="2"/>
  <c r="E2207" i="2"/>
  <c r="D2207" i="2"/>
  <c r="C2207" i="2"/>
  <c r="B2207" i="2"/>
  <c r="A2207" i="2"/>
  <c r="AX2206" i="2"/>
  <c r="AV2206" i="2"/>
  <c r="AU2206" i="2"/>
  <c r="AS2206" i="2"/>
  <c r="AR2206" i="2"/>
  <c r="AQ2206" i="2"/>
  <c r="AO2206" i="2"/>
  <c r="AL2206" i="2"/>
  <c r="AK2206" i="2"/>
  <c r="AJ2206" i="2"/>
  <c r="AI2206" i="2"/>
  <c r="AH2206" i="2"/>
  <c r="AG2206" i="2"/>
  <c r="AE2206" i="2"/>
  <c r="AD2206" i="2"/>
  <c r="AC2206" i="2"/>
  <c r="AA2206" i="2"/>
  <c r="Z2206" i="2"/>
  <c r="Y2206" i="2"/>
  <c r="X2206" i="2"/>
  <c r="W2206" i="2"/>
  <c r="V2206" i="2"/>
  <c r="U2206" i="2"/>
  <c r="T2206" i="2"/>
  <c r="S2206" i="2"/>
  <c r="R2206" i="2"/>
  <c r="Q2206" i="2"/>
  <c r="P2206" i="2"/>
  <c r="O2206" i="2"/>
  <c r="N2206" i="2"/>
  <c r="K2206" i="2"/>
  <c r="J2206" i="2"/>
  <c r="I2206" i="2"/>
  <c r="H2206" i="2"/>
  <c r="G2206" i="2"/>
  <c r="F2206" i="2"/>
  <c r="E2206" i="2"/>
  <c r="D2206" i="2"/>
  <c r="C2206" i="2"/>
  <c r="B2206" i="2"/>
  <c r="A2206" i="2"/>
  <c r="AX2205" i="2"/>
  <c r="AV2205" i="2"/>
  <c r="AU2205" i="2"/>
  <c r="AT2205" i="2"/>
  <c r="AS2205" i="2"/>
  <c r="AR2205" i="2"/>
  <c r="AQ2205" i="2"/>
  <c r="AO2205" i="2"/>
  <c r="AN2205" i="2"/>
  <c r="AM2205" i="2"/>
  <c r="AL2205" i="2"/>
  <c r="AK2205" i="2"/>
  <c r="AJ2205" i="2"/>
  <c r="AI2205" i="2"/>
  <c r="AH2205" i="2"/>
  <c r="AG2205" i="2"/>
  <c r="AE2205" i="2"/>
  <c r="AD2205" i="2"/>
  <c r="AC2205" i="2"/>
  <c r="AA2205" i="2"/>
  <c r="Z2205" i="2"/>
  <c r="Y2205" i="2"/>
  <c r="W2205" i="2"/>
  <c r="V2205" i="2"/>
  <c r="U2205" i="2"/>
  <c r="T2205" i="2"/>
  <c r="S2205" i="2"/>
  <c r="R2205" i="2"/>
  <c r="Q2205" i="2"/>
  <c r="P2205" i="2"/>
  <c r="O2205" i="2"/>
  <c r="N2205" i="2"/>
  <c r="K2205" i="2"/>
  <c r="J2205" i="2"/>
  <c r="I2205" i="2"/>
  <c r="H2205" i="2"/>
  <c r="G2205" i="2"/>
  <c r="F2205" i="2"/>
  <c r="E2205" i="2"/>
  <c r="D2205" i="2"/>
  <c r="C2205" i="2"/>
  <c r="B2205" i="2"/>
  <c r="A2205" i="2"/>
  <c r="AX2204" i="2"/>
  <c r="AV2204" i="2"/>
  <c r="AU2204" i="2"/>
  <c r="AS2204" i="2"/>
  <c r="AR2204" i="2"/>
  <c r="AQ2204" i="2"/>
  <c r="AO2204" i="2"/>
  <c r="AL2204" i="2"/>
  <c r="AK2204" i="2"/>
  <c r="AJ2204" i="2"/>
  <c r="AI2204" i="2"/>
  <c r="AH2204" i="2"/>
  <c r="AG2204" i="2"/>
  <c r="AE2204" i="2"/>
  <c r="AD2204" i="2"/>
  <c r="AC2204" i="2"/>
  <c r="AA2204" i="2"/>
  <c r="Z2204" i="2"/>
  <c r="Y2204" i="2"/>
  <c r="X2204" i="2"/>
  <c r="W2204" i="2"/>
  <c r="V2204" i="2"/>
  <c r="U2204" i="2"/>
  <c r="T2204" i="2"/>
  <c r="S2204" i="2"/>
  <c r="R2204" i="2"/>
  <c r="Q2204" i="2"/>
  <c r="P2204" i="2"/>
  <c r="O2204" i="2"/>
  <c r="N2204" i="2"/>
  <c r="K2204" i="2"/>
  <c r="J2204" i="2"/>
  <c r="I2204" i="2"/>
  <c r="H2204" i="2"/>
  <c r="G2204" i="2"/>
  <c r="F2204" i="2"/>
  <c r="E2204" i="2"/>
  <c r="D2204" i="2"/>
  <c r="C2204" i="2"/>
  <c r="B2204" i="2"/>
  <c r="A2204" i="2"/>
  <c r="AX2203" i="2"/>
  <c r="AV2203" i="2"/>
  <c r="AU2203" i="2"/>
  <c r="AS2203" i="2"/>
  <c r="AR2203" i="2"/>
  <c r="AQ2203" i="2"/>
  <c r="AO2203" i="2"/>
  <c r="AL2203" i="2"/>
  <c r="AK2203" i="2"/>
  <c r="AJ2203" i="2"/>
  <c r="AI2203" i="2"/>
  <c r="AH2203" i="2"/>
  <c r="AG2203" i="2"/>
  <c r="AE2203" i="2"/>
  <c r="AD2203" i="2"/>
  <c r="AC2203" i="2"/>
  <c r="AA2203" i="2"/>
  <c r="Z2203" i="2"/>
  <c r="Y2203" i="2"/>
  <c r="X2203" i="2"/>
  <c r="V2203" i="2"/>
  <c r="U2203" i="2"/>
  <c r="T2203" i="2"/>
  <c r="S2203" i="2"/>
  <c r="R2203" i="2"/>
  <c r="Q2203" i="2"/>
  <c r="P2203" i="2"/>
  <c r="O2203" i="2"/>
  <c r="N2203" i="2"/>
  <c r="K2203" i="2"/>
  <c r="J2203" i="2"/>
  <c r="I2203" i="2"/>
  <c r="H2203" i="2"/>
  <c r="G2203" i="2"/>
  <c r="F2203" i="2"/>
  <c r="E2203" i="2"/>
  <c r="D2203" i="2"/>
  <c r="C2203" i="2"/>
  <c r="B2203" i="2"/>
  <c r="A2203" i="2"/>
  <c r="AX2202" i="2"/>
  <c r="AV2202" i="2"/>
  <c r="AU2202" i="2"/>
  <c r="AS2202" i="2"/>
  <c r="AR2202" i="2"/>
  <c r="AQ2202" i="2"/>
  <c r="AP2202" i="2"/>
  <c r="AO2202" i="2"/>
  <c r="AM2202" i="2"/>
  <c r="AL2202" i="2"/>
  <c r="AK2202" i="2"/>
  <c r="AJ2202" i="2"/>
  <c r="AI2202" i="2"/>
  <c r="AH2202" i="2"/>
  <c r="AG2202" i="2"/>
  <c r="AE2202" i="2"/>
  <c r="AD2202" i="2"/>
  <c r="AC2202" i="2"/>
  <c r="AA2202" i="2"/>
  <c r="Z2202" i="2"/>
  <c r="Y2202" i="2"/>
  <c r="X2202" i="2"/>
  <c r="W2202" i="2"/>
  <c r="V2202" i="2"/>
  <c r="U2202" i="2"/>
  <c r="T2202" i="2"/>
  <c r="S2202" i="2"/>
  <c r="R2202" i="2"/>
  <c r="Q2202" i="2"/>
  <c r="P2202" i="2"/>
  <c r="O2202" i="2"/>
  <c r="N2202" i="2"/>
  <c r="K2202" i="2"/>
  <c r="J2202" i="2"/>
  <c r="I2202" i="2"/>
  <c r="H2202" i="2"/>
  <c r="G2202" i="2"/>
  <c r="F2202" i="2"/>
  <c r="E2202" i="2"/>
  <c r="D2202" i="2"/>
  <c r="C2202" i="2"/>
  <c r="B2202" i="2"/>
  <c r="A2202" i="2"/>
  <c r="AX2201" i="2"/>
  <c r="AV2201" i="2"/>
  <c r="AU2201" i="2"/>
  <c r="AS2201" i="2"/>
  <c r="AO2201" i="2"/>
  <c r="AI2201" i="2"/>
  <c r="AH2201" i="2"/>
  <c r="AG2201" i="2"/>
  <c r="AE2201" i="2"/>
  <c r="AD2201" i="2"/>
  <c r="AC2201" i="2"/>
  <c r="AA2201" i="2"/>
  <c r="Z2201" i="2"/>
  <c r="Y2201" i="2"/>
  <c r="V2201" i="2"/>
  <c r="U2201" i="2"/>
  <c r="T2201" i="2"/>
  <c r="S2201" i="2"/>
  <c r="R2201" i="2"/>
  <c r="Q2201" i="2"/>
  <c r="P2201" i="2"/>
  <c r="O2201" i="2"/>
  <c r="N2201" i="2"/>
  <c r="K2201" i="2"/>
  <c r="J2201" i="2"/>
  <c r="I2201" i="2"/>
  <c r="H2201" i="2"/>
  <c r="G2201" i="2"/>
  <c r="F2201" i="2"/>
  <c r="E2201" i="2"/>
  <c r="D2201" i="2"/>
  <c r="C2201" i="2"/>
  <c r="B2201" i="2"/>
  <c r="A2201" i="2"/>
  <c r="AX2200" i="2"/>
  <c r="AV2200" i="2"/>
  <c r="AU2200" i="2"/>
  <c r="AS2200" i="2"/>
  <c r="AR2200" i="2"/>
  <c r="AQ2200" i="2"/>
  <c r="AO2200" i="2"/>
  <c r="AL2200" i="2"/>
  <c r="AK2200" i="2"/>
  <c r="AJ2200" i="2"/>
  <c r="AI2200" i="2"/>
  <c r="AH2200" i="2"/>
  <c r="AG2200" i="2"/>
  <c r="AE2200" i="2"/>
  <c r="AD2200" i="2"/>
  <c r="AC2200" i="2"/>
  <c r="AA2200" i="2"/>
  <c r="Z2200" i="2"/>
  <c r="Y2200" i="2"/>
  <c r="X2200" i="2"/>
  <c r="W2200" i="2"/>
  <c r="V2200" i="2"/>
  <c r="U2200" i="2"/>
  <c r="T2200" i="2"/>
  <c r="S2200" i="2"/>
  <c r="R2200" i="2"/>
  <c r="Q2200" i="2"/>
  <c r="P2200" i="2"/>
  <c r="O2200" i="2"/>
  <c r="N2200" i="2"/>
  <c r="K2200" i="2"/>
  <c r="J2200" i="2"/>
  <c r="I2200" i="2"/>
  <c r="H2200" i="2"/>
  <c r="G2200" i="2"/>
  <c r="F2200" i="2"/>
  <c r="E2200" i="2"/>
  <c r="D2200" i="2"/>
  <c r="C2200" i="2"/>
  <c r="B2200" i="2"/>
  <c r="A2200" i="2"/>
  <c r="AX2199" i="2"/>
  <c r="AV2199" i="2"/>
  <c r="AU2199" i="2"/>
  <c r="AR2199" i="2"/>
  <c r="AQ2199" i="2"/>
  <c r="AP2199" i="2"/>
  <c r="AO2199" i="2"/>
  <c r="AN2199" i="2"/>
  <c r="AM2199" i="2"/>
  <c r="AL2199" i="2"/>
  <c r="AK2199" i="2"/>
  <c r="AJ2199" i="2"/>
  <c r="AI2199" i="2"/>
  <c r="AH2199" i="2"/>
  <c r="AG2199" i="2"/>
  <c r="AE2199" i="2"/>
  <c r="AD2199" i="2"/>
  <c r="AC2199" i="2"/>
  <c r="AA2199" i="2"/>
  <c r="Z2199" i="2"/>
  <c r="Y2199" i="2"/>
  <c r="X2199" i="2"/>
  <c r="W2199" i="2"/>
  <c r="V2199" i="2"/>
  <c r="U2199" i="2"/>
  <c r="T2199" i="2"/>
  <c r="S2199" i="2"/>
  <c r="R2199" i="2"/>
  <c r="Q2199" i="2"/>
  <c r="P2199" i="2"/>
  <c r="O2199" i="2"/>
  <c r="N2199" i="2"/>
  <c r="M2199" i="2"/>
  <c r="K2199" i="2"/>
  <c r="J2199" i="2"/>
  <c r="I2199" i="2"/>
  <c r="H2199" i="2"/>
  <c r="G2199" i="2"/>
  <c r="F2199" i="2"/>
  <c r="E2199" i="2"/>
  <c r="D2199" i="2"/>
  <c r="C2199" i="2"/>
  <c r="B2199" i="2"/>
  <c r="A2199" i="2"/>
  <c r="AX2198" i="2"/>
  <c r="AV2198" i="2"/>
  <c r="AU2198" i="2"/>
  <c r="AS2198" i="2"/>
  <c r="AR2198" i="2"/>
  <c r="AQ2198" i="2"/>
  <c r="AP2198" i="2"/>
  <c r="AO2198" i="2"/>
  <c r="AN2198" i="2"/>
  <c r="AM2198" i="2"/>
  <c r="AL2198" i="2"/>
  <c r="AK2198" i="2"/>
  <c r="AJ2198" i="2"/>
  <c r="AI2198" i="2"/>
  <c r="AH2198" i="2"/>
  <c r="AG2198" i="2"/>
  <c r="AE2198" i="2"/>
  <c r="AD2198" i="2"/>
  <c r="AC2198" i="2"/>
  <c r="AA2198" i="2"/>
  <c r="Z2198" i="2"/>
  <c r="Y2198" i="2"/>
  <c r="X2198" i="2"/>
  <c r="W2198" i="2"/>
  <c r="V2198" i="2"/>
  <c r="U2198" i="2"/>
  <c r="T2198" i="2"/>
  <c r="S2198" i="2"/>
  <c r="R2198" i="2"/>
  <c r="Q2198" i="2"/>
  <c r="P2198" i="2"/>
  <c r="O2198" i="2"/>
  <c r="N2198" i="2"/>
  <c r="K2198" i="2"/>
  <c r="J2198" i="2"/>
  <c r="I2198" i="2"/>
  <c r="H2198" i="2"/>
  <c r="G2198" i="2"/>
  <c r="F2198" i="2"/>
  <c r="E2198" i="2"/>
  <c r="D2198" i="2"/>
  <c r="C2198" i="2"/>
  <c r="B2198" i="2"/>
  <c r="A2198" i="2"/>
  <c r="AX2197" i="2"/>
  <c r="AV2197" i="2"/>
  <c r="AU2197" i="2"/>
  <c r="AR2197" i="2"/>
  <c r="AQ2197" i="2"/>
  <c r="AP2197" i="2"/>
  <c r="AO2197" i="2"/>
  <c r="AN2197" i="2"/>
  <c r="AM2197" i="2"/>
  <c r="AL2197" i="2"/>
  <c r="AK2197" i="2"/>
  <c r="AJ2197" i="2"/>
  <c r="AI2197" i="2"/>
  <c r="AH2197" i="2"/>
  <c r="AG2197" i="2"/>
  <c r="AE2197" i="2"/>
  <c r="AD2197" i="2"/>
  <c r="AC2197" i="2"/>
  <c r="AA2197" i="2"/>
  <c r="Z2197" i="2"/>
  <c r="Y2197" i="2"/>
  <c r="W2197" i="2"/>
  <c r="V2197" i="2"/>
  <c r="U2197" i="2"/>
  <c r="T2197" i="2"/>
  <c r="S2197" i="2"/>
  <c r="R2197" i="2"/>
  <c r="Q2197" i="2"/>
  <c r="P2197" i="2"/>
  <c r="O2197" i="2"/>
  <c r="N2197" i="2"/>
  <c r="K2197" i="2"/>
  <c r="J2197" i="2"/>
  <c r="I2197" i="2"/>
  <c r="H2197" i="2"/>
  <c r="G2197" i="2"/>
  <c r="F2197" i="2"/>
  <c r="E2197" i="2"/>
  <c r="D2197" i="2"/>
  <c r="C2197" i="2"/>
  <c r="B2197" i="2"/>
  <c r="A2197" i="2"/>
  <c r="AX2196" i="2"/>
  <c r="AV2196" i="2"/>
  <c r="AU2196" i="2"/>
  <c r="AS2196" i="2"/>
  <c r="AR2196" i="2"/>
  <c r="AQ2196" i="2"/>
  <c r="AP2196" i="2"/>
  <c r="AO2196" i="2"/>
  <c r="AN2196" i="2"/>
  <c r="AM2196" i="2"/>
  <c r="AL2196" i="2"/>
  <c r="AK2196" i="2"/>
  <c r="AJ2196" i="2"/>
  <c r="AI2196" i="2"/>
  <c r="AH2196" i="2"/>
  <c r="AG2196" i="2"/>
  <c r="AE2196" i="2"/>
  <c r="AD2196" i="2"/>
  <c r="AC2196" i="2"/>
  <c r="AA2196" i="2"/>
  <c r="Z2196" i="2"/>
  <c r="Y2196" i="2"/>
  <c r="X2196" i="2"/>
  <c r="W2196" i="2"/>
  <c r="V2196" i="2"/>
  <c r="U2196" i="2"/>
  <c r="T2196" i="2"/>
  <c r="S2196" i="2"/>
  <c r="R2196" i="2"/>
  <c r="Q2196" i="2"/>
  <c r="P2196" i="2"/>
  <c r="O2196" i="2"/>
  <c r="N2196" i="2"/>
  <c r="K2196" i="2"/>
  <c r="J2196" i="2"/>
  <c r="I2196" i="2"/>
  <c r="H2196" i="2"/>
  <c r="G2196" i="2"/>
  <c r="F2196" i="2"/>
  <c r="E2196" i="2"/>
  <c r="D2196" i="2"/>
  <c r="C2196" i="2"/>
  <c r="B2196" i="2"/>
  <c r="A2196" i="2"/>
  <c r="AX2195" i="2"/>
  <c r="AV2195" i="2"/>
  <c r="AU2195" i="2"/>
  <c r="AS2195" i="2"/>
  <c r="AR2195" i="2"/>
  <c r="AQ2195" i="2"/>
  <c r="AO2195" i="2"/>
  <c r="AL2195" i="2"/>
  <c r="AK2195" i="2"/>
  <c r="AI2195" i="2"/>
  <c r="AH2195" i="2"/>
  <c r="AG2195" i="2"/>
  <c r="AE2195" i="2"/>
  <c r="AC2195" i="2"/>
  <c r="AA2195" i="2"/>
  <c r="Z2195" i="2"/>
  <c r="Y2195" i="2"/>
  <c r="X2195" i="2"/>
  <c r="W2195" i="2"/>
  <c r="V2195" i="2"/>
  <c r="U2195" i="2"/>
  <c r="T2195" i="2"/>
  <c r="S2195" i="2"/>
  <c r="R2195" i="2"/>
  <c r="Q2195" i="2"/>
  <c r="P2195" i="2"/>
  <c r="O2195" i="2"/>
  <c r="N2195" i="2"/>
  <c r="K2195" i="2"/>
  <c r="J2195" i="2"/>
  <c r="I2195" i="2"/>
  <c r="H2195" i="2"/>
  <c r="G2195" i="2"/>
  <c r="F2195" i="2"/>
  <c r="E2195" i="2"/>
  <c r="D2195" i="2"/>
  <c r="C2195" i="2"/>
  <c r="B2195" i="2"/>
  <c r="A2195" i="2"/>
  <c r="AX2194" i="2"/>
  <c r="AV2194" i="2"/>
  <c r="AU2194" i="2"/>
  <c r="AS2194" i="2"/>
  <c r="AR2194" i="2"/>
  <c r="AQ2194" i="2"/>
  <c r="AO2194" i="2"/>
  <c r="AL2194" i="2"/>
  <c r="AK2194" i="2"/>
  <c r="AJ2194" i="2"/>
  <c r="AI2194" i="2"/>
  <c r="AH2194" i="2"/>
  <c r="AG2194" i="2"/>
  <c r="AF2194" i="2"/>
  <c r="AE2194" i="2"/>
  <c r="AD2194" i="2"/>
  <c r="AC2194" i="2"/>
  <c r="AA2194" i="2"/>
  <c r="Z2194" i="2"/>
  <c r="Y2194" i="2"/>
  <c r="X2194" i="2"/>
  <c r="V2194" i="2"/>
  <c r="U2194" i="2"/>
  <c r="T2194" i="2"/>
  <c r="S2194" i="2"/>
  <c r="R2194" i="2"/>
  <c r="Q2194" i="2"/>
  <c r="P2194" i="2"/>
  <c r="O2194" i="2"/>
  <c r="N2194" i="2"/>
  <c r="K2194" i="2"/>
  <c r="J2194" i="2"/>
  <c r="I2194" i="2"/>
  <c r="H2194" i="2"/>
  <c r="G2194" i="2"/>
  <c r="F2194" i="2"/>
  <c r="E2194" i="2"/>
  <c r="D2194" i="2"/>
  <c r="C2194" i="2"/>
  <c r="B2194" i="2"/>
  <c r="A2194" i="2"/>
  <c r="AX2193" i="2"/>
  <c r="AV2193" i="2"/>
  <c r="AU2193" i="2"/>
  <c r="AS2193" i="2"/>
  <c r="AR2193" i="2"/>
  <c r="AQ2193" i="2"/>
  <c r="AO2193" i="2"/>
  <c r="AL2193" i="2"/>
  <c r="AI2193" i="2"/>
  <c r="AH2193" i="2"/>
  <c r="AG2193" i="2"/>
  <c r="AE2193" i="2"/>
  <c r="AD2193" i="2"/>
  <c r="AC2193" i="2"/>
  <c r="AA2193" i="2"/>
  <c r="Z2193" i="2"/>
  <c r="Y2193" i="2"/>
  <c r="X2193" i="2"/>
  <c r="W2193" i="2"/>
  <c r="V2193" i="2"/>
  <c r="U2193" i="2"/>
  <c r="T2193" i="2"/>
  <c r="S2193" i="2"/>
  <c r="R2193" i="2"/>
  <c r="Q2193" i="2"/>
  <c r="P2193" i="2"/>
  <c r="O2193" i="2"/>
  <c r="N2193" i="2"/>
  <c r="K2193" i="2"/>
  <c r="J2193" i="2"/>
  <c r="I2193" i="2"/>
  <c r="H2193" i="2"/>
  <c r="G2193" i="2"/>
  <c r="F2193" i="2"/>
  <c r="E2193" i="2"/>
  <c r="D2193" i="2"/>
  <c r="C2193" i="2"/>
  <c r="B2193" i="2"/>
  <c r="A2193" i="2"/>
  <c r="AX2192" i="2"/>
  <c r="AV2192" i="2"/>
  <c r="AU2192" i="2"/>
  <c r="AS2192" i="2"/>
  <c r="AR2192" i="2"/>
  <c r="AQ2192" i="2"/>
  <c r="AO2192" i="2"/>
  <c r="AL2192" i="2"/>
  <c r="AK2192" i="2"/>
  <c r="AJ2192" i="2"/>
  <c r="AI2192" i="2"/>
  <c r="AH2192" i="2"/>
  <c r="AG2192" i="2"/>
  <c r="AE2192" i="2"/>
  <c r="AD2192" i="2"/>
  <c r="AC2192" i="2"/>
  <c r="AA2192" i="2"/>
  <c r="Z2192" i="2"/>
  <c r="Y2192" i="2"/>
  <c r="X2192" i="2"/>
  <c r="W2192" i="2"/>
  <c r="V2192" i="2"/>
  <c r="U2192" i="2"/>
  <c r="T2192" i="2"/>
  <c r="S2192" i="2"/>
  <c r="R2192" i="2"/>
  <c r="Q2192" i="2"/>
  <c r="P2192" i="2"/>
  <c r="O2192" i="2"/>
  <c r="N2192" i="2"/>
  <c r="K2192" i="2"/>
  <c r="J2192" i="2"/>
  <c r="I2192" i="2"/>
  <c r="H2192" i="2"/>
  <c r="G2192" i="2"/>
  <c r="F2192" i="2"/>
  <c r="E2192" i="2"/>
  <c r="D2192" i="2"/>
  <c r="C2192" i="2"/>
  <c r="B2192" i="2"/>
  <c r="A2192" i="2"/>
  <c r="AX2191" i="2"/>
  <c r="AV2191" i="2"/>
  <c r="AU2191" i="2"/>
  <c r="AR2191" i="2"/>
  <c r="AQ2191" i="2"/>
  <c r="AO2191" i="2"/>
  <c r="AL2191" i="2"/>
  <c r="AK2191" i="2"/>
  <c r="AJ2191" i="2"/>
  <c r="AI2191" i="2"/>
  <c r="AH2191" i="2"/>
  <c r="AG2191" i="2"/>
  <c r="AE2191" i="2"/>
  <c r="AD2191" i="2"/>
  <c r="AC2191" i="2"/>
  <c r="AA2191" i="2"/>
  <c r="Z2191" i="2"/>
  <c r="Y2191" i="2"/>
  <c r="X2191" i="2"/>
  <c r="W2191" i="2"/>
  <c r="V2191" i="2"/>
  <c r="U2191" i="2"/>
  <c r="T2191" i="2"/>
  <c r="S2191" i="2"/>
  <c r="R2191" i="2"/>
  <c r="Q2191" i="2"/>
  <c r="P2191" i="2"/>
  <c r="O2191" i="2"/>
  <c r="N2191" i="2"/>
  <c r="K2191" i="2"/>
  <c r="J2191" i="2"/>
  <c r="I2191" i="2"/>
  <c r="H2191" i="2"/>
  <c r="G2191" i="2"/>
  <c r="F2191" i="2"/>
  <c r="E2191" i="2"/>
  <c r="D2191" i="2"/>
  <c r="C2191" i="2"/>
  <c r="B2191" i="2"/>
  <c r="A2191" i="2"/>
  <c r="AX2190" i="2"/>
  <c r="AV2190" i="2"/>
  <c r="AU2190" i="2"/>
  <c r="AS2190" i="2"/>
  <c r="AR2190" i="2"/>
  <c r="AQ2190" i="2"/>
  <c r="AO2190" i="2"/>
  <c r="AK2190" i="2"/>
  <c r="AJ2190" i="2"/>
  <c r="AI2190" i="2"/>
  <c r="AH2190" i="2"/>
  <c r="AG2190" i="2"/>
  <c r="AE2190" i="2"/>
  <c r="AD2190" i="2"/>
  <c r="AC2190" i="2"/>
  <c r="AA2190" i="2"/>
  <c r="Z2190" i="2"/>
  <c r="Y2190" i="2"/>
  <c r="X2190" i="2"/>
  <c r="W2190" i="2"/>
  <c r="V2190" i="2"/>
  <c r="U2190" i="2"/>
  <c r="T2190" i="2"/>
  <c r="S2190" i="2"/>
  <c r="R2190" i="2"/>
  <c r="Q2190" i="2"/>
  <c r="P2190" i="2"/>
  <c r="O2190" i="2"/>
  <c r="N2190" i="2"/>
  <c r="K2190" i="2"/>
  <c r="J2190" i="2"/>
  <c r="I2190" i="2"/>
  <c r="H2190" i="2"/>
  <c r="G2190" i="2"/>
  <c r="F2190" i="2"/>
  <c r="E2190" i="2"/>
  <c r="D2190" i="2"/>
  <c r="C2190" i="2"/>
  <c r="B2190" i="2"/>
  <c r="A2190" i="2"/>
  <c r="AX2189" i="2"/>
  <c r="AV2189" i="2"/>
  <c r="AU2189" i="2"/>
  <c r="AS2189" i="2"/>
  <c r="AR2189" i="2"/>
  <c r="AQ2189" i="2"/>
  <c r="AO2189" i="2"/>
  <c r="AL2189" i="2"/>
  <c r="AK2189" i="2"/>
  <c r="AJ2189" i="2"/>
  <c r="AI2189" i="2"/>
  <c r="AH2189" i="2"/>
  <c r="AG2189" i="2"/>
  <c r="AE2189" i="2"/>
  <c r="AD2189" i="2"/>
  <c r="AC2189" i="2"/>
  <c r="AA2189" i="2"/>
  <c r="Z2189" i="2"/>
  <c r="Y2189" i="2"/>
  <c r="X2189" i="2"/>
  <c r="W2189" i="2"/>
  <c r="V2189" i="2"/>
  <c r="U2189" i="2"/>
  <c r="T2189" i="2"/>
  <c r="S2189" i="2"/>
  <c r="R2189" i="2"/>
  <c r="Q2189" i="2"/>
  <c r="P2189" i="2"/>
  <c r="O2189" i="2"/>
  <c r="N2189" i="2"/>
  <c r="K2189" i="2"/>
  <c r="J2189" i="2"/>
  <c r="I2189" i="2"/>
  <c r="H2189" i="2"/>
  <c r="G2189" i="2"/>
  <c r="F2189" i="2"/>
  <c r="E2189" i="2"/>
  <c r="D2189" i="2"/>
  <c r="C2189" i="2"/>
  <c r="B2189" i="2"/>
  <c r="A2189" i="2"/>
  <c r="AX2188" i="2"/>
  <c r="AV2188" i="2"/>
  <c r="AU2188" i="2"/>
  <c r="AS2188" i="2"/>
  <c r="AR2188" i="2"/>
  <c r="AQ2188" i="2"/>
  <c r="AO2188" i="2"/>
  <c r="AL2188" i="2"/>
  <c r="AK2188" i="2"/>
  <c r="AJ2188" i="2"/>
  <c r="AI2188" i="2"/>
  <c r="AH2188" i="2"/>
  <c r="AG2188" i="2"/>
  <c r="AE2188" i="2"/>
  <c r="AD2188" i="2"/>
  <c r="AC2188" i="2"/>
  <c r="AA2188" i="2"/>
  <c r="Z2188" i="2"/>
  <c r="Y2188" i="2"/>
  <c r="X2188" i="2"/>
  <c r="U2188" i="2"/>
  <c r="T2188" i="2"/>
  <c r="S2188" i="2"/>
  <c r="R2188" i="2"/>
  <c r="Q2188" i="2"/>
  <c r="P2188" i="2"/>
  <c r="O2188" i="2"/>
  <c r="N2188" i="2"/>
  <c r="K2188" i="2"/>
  <c r="J2188" i="2"/>
  <c r="I2188" i="2"/>
  <c r="H2188" i="2"/>
  <c r="G2188" i="2"/>
  <c r="F2188" i="2"/>
  <c r="E2188" i="2"/>
  <c r="D2188" i="2"/>
  <c r="C2188" i="2"/>
  <c r="B2188" i="2"/>
  <c r="A2188" i="2"/>
  <c r="AX2187" i="2"/>
  <c r="AV2187" i="2"/>
  <c r="AU2187" i="2"/>
  <c r="AS2187" i="2"/>
  <c r="AR2187" i="2"/>
  <c r="AQ2187" i="2"/>
  <c r="AO2187" i="2"/>
  <c r="AL2187" i="2"/>
  <c r="AK2187" i="2"/>
  <c r="AJ2187" i="2"/>
  <c r="AI2187" i="2"/>
  <c r="AH2187" i="2"/>
  <c r="AG2187" i="2"/>
  <c r="AE2187" i="2"/>
  <c r="AD2187" i="2"/>
  <c r="AC2187" i="2"/>
  <c r="AA2187" i="2"/>
  <c r="Z2187" i="2"/>
  <c r="Y2187" i="2"/>
  <c r="X2187" i="2"/>
  <c r="W2187" i="2"/>
  <c r="V2187" i="2"/>
  <c r="U2187" i="2"/>
  <c r="T2187" i="2"/>
  <c r="S2187" i="2"/>
  <c r="R2187" i="2"/>
  <c r="Q2187" i="2"/>
  <c r="P2187" i="2"/>
  <c r="O2187" i="2"/>
  <c r="N2187" i="2"/>
  <c r="K2187" i="2"/>
  <c r="J2187" i="2"/>
  <c r="I2187" i="2"/>
  <c r="H2187" i="2"/>
  <c r="G2187" i="2"/>
  <c r="F2187" i="2"/>
  <c r="E2187" i="2"/>
  <c r="D2187" i="2"/>
  <c r="C2187" i="2"/>
  <c r="B2187" i="2"/>
  <c r="A2187" i="2"/>
  <c r="AX2186" i="2"/>
  <c r="AV2186" i="2"/>
  <c r="AU2186" i="2"/>
  <c r="AS2186" i="2"/>
  <c r="AR2186" i="2"/>
  <c r="AQ2186" i="2"/>
  <c r="AO2186" i="2"/>
  <c r="AL2186" i="2"/>
  <c r="AK2186" i="2"/>
  <c r="AI2186" i="2"/>
  <c r="AH2186" i="2"/>
  <c r="AG2186" i="2"/>
  <c r="AE2186" i="2"/>
  <c r="AD2186" i="2"/>
  <c r="AC2186" i="2"/>
  <c r="AA2186" i="2"/>
  <c r="Z2186" i="2"/>
  <c r="Y2186" i="2"/>
  <c r="X2186" i="2"/>
  <c r="W2186" i="2"/>
  <c r="V2186" i="2"/>
  <c r="U2186" i="2"/>
  <c r="T2186" i="2"/>
  <c r="S2186" i="2"/>
  <c r="R2186" i="2"/>
  <c r="Q2186" i="2"/>
  <c r="P2186" i="2"/>
  <c r="O2186" i="2"/>
  <c r="N2186" i="2"/>
  <c r="K2186" i="2"/>
  <c r="J2186" i="2"/>
  <c r="I2186" i="2"/>
  <c r="H2186" i="2"/>
  <c r="G2186" i="2"/>
  <c r="F2186" i="2"/>
  <c r="E2186" i="2"/>
  <c r="D2186" i="2"/>
  <c r="C2186" i="2"/>
  <c r="B2186" i="2"/>
  <c r="A2186" i="2"/>
  <c r="AX2185" i="2"/>
  <c r="AV2185" i="2"/>
  <c r="AU2185" i="2"/>
  <c r="AS2185" i="2"/>
  <c r="AR2185" i="2"/>
  <c r="AQ2185" i="2"/>
  <c r="AO2185" i="2"/>
  <c r="AL2185" i="2"/>
  <c r="AK2185" i="2"/>
  <c r="AJ2185" i="2"/>
  <c r="AI2185" i="2"/>
  <c r="AH2185" i="2"/>
  <c r="AG2185" i="2"/>
  <c r="AE2185" i="2"/>
  <c r="AC2185" i="2"/>
  <c r="AA2185" i="2"/>
  <c r="Z2185" i="2"/>
  <c r="Y2185" i="2"/>
  <c r="X2185" i="2"/>
  <c r="W2185" i="2"/>
  <c r="V2185" i="2"/>
  <c r="U2185" i="2"/>
  <c r="T2185" i="2"/>
  <c r="S2185" i="2"/>
  <c r="R2185" i="2"/>
  <c r="Q2185" i="2"/>
  <c r="P2185" i="2"/>
  <c r="O2185" i="2"/>
  <c r="N2185" i="2"/>
  <c r="K2185" i="2"/>
  <c r="J2185" i="2"/>
  <c r="I2185" i="2"/>
  <c r="H2185" i="2"/>
  <c r="G2185" i="2"/>
  <c r="F2185" i="2"/>
  <c r="E2185" i="2"/>
  <c r="D2185" i="2"/>
  <c r="C2185" i="2"/>
  <c r="B2185" i="2"/>
  <c r="A2185" i="2"/>
  <c r="AX2184" i="2"/>
  <c r="AV2184" i="2"/>
  <c r="AU2184" i="2"/>
  <c r="AS2184" i="2"/>
  <c r="AR2184" i="2"/>
  <c r="AQ2184" i="2"/>
  <c r="AO2184" i="2"/>
  <c r="AL2184" i="2"/>
  <c r="AK2184" i="2"/>
  <c r="AI2184" i="2"/>
  <c r="AH2184" i="2"/>
  <c r="AG2184" i="2"/>
  <c r="AE2184" i="2"/>
  <c r="AD2184" i="2"/>
  <c r="AC2184" i="2"/>
  <c r="AA2184" i="2"/>
  <c r="Z2184" i="2"/>
  <c r="Y2184" i="2"/>
  <c r="X2184" i="2"/>
  <c r="W2184" i="2"/>
  <c r="V2184" i="2"/>
  <c r="U2184" i="2"/>
  <c r="T2184" i="2"/>
  <c r="S2184" i="2"/>
  <c r="R2184" i="2"/>
  <c r="Q2184" i="2"/>
  <c r="P2184" i="2"/>
  <c r="O2184" i="2"/>
  <c r="N2184" i="2"/>
  <c r="K2184" i="2"/>
  <c r="J2184" i="2"/>
  <c r="I2184" i="2"/>
  <c r="H2184" i="2"/>
  <c r="G2184" i="2"/>
  <c r="F2184" i="2"/>
  <c r="E2184" i="2"/>
  <c r="D2184" i="2"/>
  <c r="C2184" i="2"/>
  <c r="B2184" i="2"/>
  <c r="A2184" i="2"/>
  <c r="AX2183" i="2"/>
  <c r="AV2183" i="2"/>
  <c r="AU2183" i="2"/>
  <c r="AS2183" i="2"/>
  <c r="AR2183" i="2"/>
  <c r="AQ2183" i="2"/>
  <c r="AO2183" i="2"/>
  <c r="AL2183" i="2"/>
  <c r="AK2183" i="2"/>
  <c r="AI2183" i="2"/>
  <c r="AH2183" i="2"/>
  <c r="AG2183" i="2"/>
  <c r="AE2183" i="2"/>
  <c r="AD2183" i="2"/>
  <c r="AC2183" i="2"/>
  <c r="AA2183" i="2"/>
  <c r="Z2183" i="2"/>
  <c r="Y2183" i="2"/>
  <c r="X2183" i="2"/>
  <c r="W2183" i="2"/>
  <c r="V2183" i="2"/>
  <c r="U2183" i="2"/>
  <c r="T2183" i="2"/>
  <c r="S2183" i="2"/>
  <c r="R2183" i="2"/>
  <c r="Q2183" i="2"/>
  <c r="P2183" i="2"/>
  <c r="O2183" i="2"/>
  <c r="N2183" i="2"/>
  <c r="K2183" i="2"/>
  <c r="J2183" i="2"/>
  <c r="I2183" i="2"/>
  <c r="H2183" i="2"/>
  <c r="G2183" i="2"/>
  <c r="F2183" i="2"/>
  <c r="E2183" i="2"/>
  <c r="D2183" i="2"/>
  <c r="C2183" i="2"/>
  <c r="B2183" i="2"/>
  <c r="A2183" i="2"/>
  <c r="AX2182" i="2"/>
  <c r="AV2182" i="2"/>
  <c r="AU2182" i="2"/>
  <c r="AT2182" i="2"/>
  <c r="AS2182" i="2"/>
  <c r="AR2182" i="2"/>
  <c r="AQ2182" i="2"/>
  <c r="AP2182" i="2"/>
  <c r="AO2182" i="2"/>
  <c r="AL2182" i="2"/>
  <c r="AK2182" i="2"/>
  <c r="AJ2182" i="2"/>
  <c r="AI2182" i="2"/>
  <c r="AH2182" i="2"/>
  <c r="AG2182" i="2"/>
  <c r="AE2182" i="2"/>
  <c r="AD2182" i="2"/>
  <c r="AC2182" i="2"/>
  <c r="AA2182" i="2"/>
  <c r="Z2182" i="2"/>
  <c r="Y2182" i="2"/>
  <c r="X2182" i="2"/>
  <c r="W2182" i="2"/>
  <c r="V2182" i="2"/>
  <c r="U2182" i="2"/>
  <c r="T2182" i="2"/>
  <c r="S2182" i="2"/>
  <c r="R2182" i="2"/>
  <c r="Q2182" i="2"/>
  <c r="P2182" i="2"/>
  <c r="O2182" i="2"/>
  <c r="N2182" i="2"/>
  <c r="K2182" i="2"/>
  <c r="J2182" i="2"/>
  <c r="I2182" i="2"/>
  <c r="H2182" i="2"/>
  <c r="G2182" i="2"/>
  <c r="F2182" i="2"/>
  <c r="E2182" i="2"/>
  <c r="D2182" i="2"/>
  <c r="C2182" i="2"/>
  <c r="B2182" i="2"/>
  <c r="A2182" i="2"/>
  <c r="AX2181" i="2"/>
  <c r="AV2181" i="2"/>
  <c r="AU2181" i="2"/>
  <c r="AR2181" i="2"/>
  <c r="AQ2181" i="2"/>
  <c r="AO2181" i="2"/>
  <c r="AK2181" i="2"/>
  <c r="AJ2181" i="2"/>
  <c r="AI2181" i="2"/>
  <c r="AH2181" i="2"/>
  <c r="AG2181" i="2"/>
  <c r="AF2181" i="2"/>
  <c r="AE2181" i="2"/>
  <c r="AC2181" i="2"/>
  <c r="AA2181" i="2"/>
  <c r="Z2181" i="2"/>
  <c r="Y2181" i="2"/>
  <c r="X2181" i="2"/>
  <c r="U2181" i="2"/>
  <c r="T2181" i="2"/>
  <c r="S2181" i="2"/>
  <c r="R2181" i="2"/>
  <c r="Q2181" i="2"/>
  <c r="P2181" i="2"/>
  <c r="O2181" i="2"/>
  <c r="N2181" i="2"/>
  <c r="K2181" i="2"/>
  <c r="J2181" i="2"/>
  <c r="I2181" i="2"/>
  <c r="H2181" i="2"/>
  <c r="G2181" i="2"/>
  <c r="F2181" i="2"/>
  <c r="E2181" i="2"/>
  <c r="D2181" i="2"/>
  <c r="C2181" i="2"/>
  <c r="B2181" i="2"/>
  <c r="A2181" i="2"/>
  <c r="AX2180" i="2"/>
  <c r="AV2180" i="2"/>
  <c r="AU2180" i="2"/>
  <c r="AS2180" i="2"/>
  <c r="AR2180" i="2"/>
  <c r="AQ2180" i="2"/>
  <c r="AP2180" i="2"/>
  <c r="AO2180" i="2"/>
  <c r="AN2180" i="2"/>
  <c r="AM2180" i="2"/>
  <c r="AL2180" i="2"/>
  <c r="AK2180" i="2"/>
  <c r="AI2180" i="2"/>
  <c r="AH2180" i="2"/>
  <c r="AG2180" i="2"/>
  <c r="AE2180" i="2"/>
  <c r="AC2180" i="2"/>
  <c r="AA2180" i="2"/>
  <c r="Z2180" i="2"/>
  <c r="Y2180" i="2"/>
  <c r="X2180" i="2"/>
  <c r="W2180" i="2"/>
  <c r="V2180" i="2"/>
  <c r="U2180" i="2"/>
  <c r="T2180" i="2"/>
  <c r="S2180" i="2"/>
  <c r="R2180" i="2"/>
  <c r="Q2180" i="2"/>
  <c r="P2180" i="2"/>
  <c r="O2180" i="2"/>
  <c r="N2180" i="2"/>
  <c r="K2180" i="2"/>
  <c r="J2180" i="2"/>
  <c r="I2180" i="2"/>
  <c r="H2180" i="2"/>
  <c r="G2180" i="2"/>
  <c r="F2180" i="2"/>
  <c r="E2180" i="2"/>
  <c r="D2180" i="2"/>
  <c r="C2180" i="2"/>
  <c r="B2180" i="2"/>
  <c r="A2180" i="2"/>
  <c r="AX2179" i="2"/>
  <c r="AV2179" i="2"/>
  <c r="AU2179" i="2"/>
  <c r="AS2179" i="2"/>
  <c r="AR2179" i="2"/>
  <c r="AQ2179" i="2"/>
  <c r="AO2179" i="2"/>
  <c r="AL2179" i="2"/>
  <c r="AK2179" i="2"/>
  <c r="AJ2179" i="2"/>
  <c r="AI2179" i="2"/>
  <c r="AH2179" i="2"/>
  <c r="AG2179" i="2"/>
  <c r="AF2179" i="2"/>
  <c r="AE2179" i="2"/>
  <c r="AD2179" i="2"/>
  <c r="AC2179" i="2"/>
  <c r="AA2179" i="2"/>
  <c r="Z2179" i="2"/>
  <c r="Y2179" i="2"/>
  <c r="X2179" i="2"/>
  <c r="W2179" i="2"/>
  <c r="V2179" i="2"/>
  <c r="U2179" i="2"/>
  <c r="T2179" i="2"/>
  <c r="S2179" i="2"/>
  <c r="R2179" i="2"/>
  <c r="Q2179" i="2"/>
  <c r="P2179" i="2"/>
  <c r="O2179" i="2"/>
  <c r="N2179" i="2"/>
  <c r="K2179" i="2"/>
  <c r="J2179" i="2"/>
  <c r="I2179" i="2"/>
  <c r="H2179" i="2"/>
  <c r="G2179" i="2"/>
  <c r="F2179" i="2"/>
  <c r="E2179" i="2"/>
  <c r="D2179" i="2"/>
  <c r="C2179" i="2"/>
  <c r="B2179" i="2"/>
  <c r="A2179" i="2"/>
  <c r="AX2178" i="2"/>
  <c r="AV2178" i="2"/>
  <c r="AU2178" i="2"/>
  <c r="AS2178" i="2"/>
  <c r="AR2178" i="2"/>
  <c r="AQ2178" i="2"/>
  <c r="AO2178" i="2"/>
  <c r="AL2178" i="2"/>
  <c r="AK2178" i="2"/>
  <c r="AJ2178" i="2"/>
  <c r="AI2178" i="2"/>
  <c r="AH2178" i="2"/>
  <c r="AG2178" i="2"/>
  <c r="AE2178" i="2"/>
  <c r="AD2178" i="2"/>
  <c r="AC2178" i="2"/>
  <c r="AA2178" i="2"/>
  <c r="Z2178" i="2"/>
  <c r="Y2178" i="2"/>
  <c r="X2178" i="2"/>
  <c r="W2178" i="2"/>
  <c r="V2178" i="2"/>
  <c r="U2178" i="2"/>
  <c r="T2178" i="2"/>
  <c r="S2178" i="2"/>
  <c r="R2178" i="2"/>
  <c r="Q2178" i="2"/>
  <c r="P2178" i="2"/>
  <c r="O2178" i="2"/>
  <c r="N2178" i="2"/>
  <c r="K2178" i="2"/>
  <c r="J2178" i="2"/>
  <c r="I2178" i="2"/>
  <c r="H2178" i="2"/>
  <c r="G2178" i="2"/>
  <c r="F2178" i="2"/>
  <c r="E2178" i="2"/>
  <c r="D2178" i="2"/>
  <c r="C2178" i="2"/>
  <c r="B2178" i="2"/>
  <c r="A2178" i="2"/>
  <c r="AX2177" i="2"/>
  <c r="AV2177" i="2"/>
  <c r="AU2177" i="2"/>
  <c r="AS2177" i="2"/>
  <c r="AR2177" i="2"/>
  <c r="AQ2177" i="2"/>
  <c r="AP2177" i="2"/>
  <c r="AO2177" i="2"/>
  <c r="AL2177" i="2"/>
  <c r="AK2177" i="2"/>
  <c r="AJ2177" i="2"/>
  <c r="AI2177" i="2"/>
  <c r="AH2177" i="2"/>
  <c r="AG2177" i="2"/>
  <c r="AF2177" i="2"/>
  <c r="AE2177" i="2"/>
  <c r="AD2177" i="2"/>
  <c r="AC2177" i="2"/>
  <c r="AA2177" i="2"/>
  <c r="Z2177" i="2"/>
  <c r="Y2177" i="2"/>
  <c r="X2177" i="2"/>
  <c r="W2177" i="2"/>
  <c r="V2177" i="2"/>
  <c r="U2177" i="2"/>
  <c r="T2177" i="2"/>
  <c r="S2177" i="2"/>
  <c r="R2177" i="2"/>
  <c r="Q2177" i="2"/>
  <c r="P2177" i="2"/>
  <c r="O2177" i="2"/>
  <c r="N2177" i="2"/>
  <c r="K2177" i="2"/>
  <c r="J2177" i="2"/>
  <c r="I2177" i="2"/>
  <c r="H2177" i="2"/>
  <c r="G2177" i="2"/>
  <c r="F2177" i="2"/>
  <c r="E2177" i="2"/>
  <c r="D2177" i="2"/>
  <c r="C2177" i="2"/>
  <c r="B2177" i="2"/>
  <c r="A2177" i="2"/>
  <c r="AX2176" i="2"/>
  <c r="AV2176" i="2"/>
  <c r="AU2176" i="2"/>
  <c r="AS2176" i="2"/>
  <c r="AR2176" i="2"/>
  <c r="AQ2176" i="2"/>
  <c r="AO2176" i="2"/>
  <c r="AL2176" i="2"/>
  <c r="AK2176" i="2"/>
  <c r="AJ2176" i="2"/>
  <c r="AI2176" i="2"/>
  <c r="AH2176" i="2"/>
  <c r="AG2176" i="2"/>
  <c r="AE2176" i="2"/>
  <c r="AD2176" i="2"/>
  <c r="AC2176" i="2"/>
  <c r="AA2176" i="2"/>
  <c r="Z2176" i="2"/>
  <c r="Y2176" i="2"/>
  <c r="X2176" i="2"/>
  <c r="W2176" i="2"/>
  <c r="V2176" i="2"/>
  <c r="U2176" i="2"/>
  <c r="T2176" i="2"/>
  <c r="S2176" i="2"/>
  <c r="R2176" i="2"/>
  <c r="Q2176" i="2"/>
  <c r="P2176" i="2"/>
  <c r="O2176" i="2"/>
  <c r="N2176" i="2"/>
  <c r="K2176" i="2"/>
  <c r="J2176" i="2"/>
  <c r="I2176" i="2"/>
  <c r="H2176" i="2"/>
  <c r="G2176" i="2"/>
  <c r="F2176" i="2"/>
  <c r="E2176" i="2"/>
  <c r="D2176" i="2"/>
  <c r="C2176" i="2"/>
  <c r="B2176" i="2"/>
  <c r="A2176" i="2"/>
  <c r="AX2175" i="2"/>
  <c r="AV2175" i="2"/>
  <c r="AU2175" i="2"/>
  <c r="AS2175" i="2"/>
  <c r="AR2175" i="2"/>
  <c r="AQ2175" i="2"/>
  <c r="AO2175" i="2"/>
  <c r="AL2175" i="2"/>
  <c r="AK2175" i="2"/>
  <c r="AJ2175" i="2"/>
  <c r="AI2175" i="2"/>
  <c r="AH2175" i="2"/>
  <c r="AG2175" i="2"/>
  <c r="AF2175" i="2"/>
  <c r="AE2175" i="2"/>
  <c r="AC2175" i="2"/>
  <c r="AA2175" i="2"/>
  <c r="Z2175" i="2"/>
  <c r="Y2175" i="2"/>
  <c r="X2175" i="2"/>
  <c r="W2175" i="2"/>
  <c r="V2175" i="2"/>
  <c r="U2175" i="2"/>
  <c r="T2175" i="2"/>
  <c r="S2175" i="2"/>
  <c r="R2175" i="2"/>
  <c r="Q2175" i="2"/>
  <c r="P2175" i="2"/>
  <c r="O2175" i="2"/>
  <c r="N2175" i="2"/>
  <c r="K2175" i="2"/>
  <c r="J2175" i="2"/>
  <c r="I2175" i="2"/>
  <c r="H2175" i="2"/>
  <c r="G2175" i="2"/>
  <c r="F2175" i="2"/>
  <c r="E2175" i="2"/>
  <c r="D2175" i="2"/>
  <c r="C2175" i="2"/>
  <c r="B2175" i="2"/>
  <c r="A2175" i="2"/>
  <c r="AX2174" i="2"/>
  <c r="AV2174" i="2"/>
  <c r="AU2174" i="2"/>
  <c r="AS2174" i="2"/>
  <c r="AR2174" i="2"/>
  <c r="AQ2174" i="2"/>
  <c r="AO2174" i="2"/>
  <c r="AL2174" i="2"/>
  <c r="AK2174" i="2"/>
  <c r="AJ2174" i="2"/>
  <c r="AI2174" i="2"/>
  <c r="AH2174" i="2"/>
  <c r="AG2174" i="2"/>
  <c r="AF2174" i="2"/>
  <c r="AE2174" i="2"/>
  <c r="AD2174" i="2"/>
  <c r="AC2174" i="2"/>
  <c r="AA2174" i="2"/>
  <c r="Z2174" i="2"/>
  <c r="Y2174" i="2"/>
  <c r="X2174" i="2"/>
  <c r="U2174" i="2"/>
  <c r="T2174" i="2"/>
  <c r="S2174" i="2"/>
  <c r="R2174" i="2"/>
  <c r="Q2174" i="2"/>
  <c r="P2174" i="2"/>
  <c r="O2174" i="2"/>
  <c r="N2174" i="2"/>
  <c r="K2174" i="2"/>
  <c r="J2174" i="2"/>
  <c r="I2174" i="2"/>
  <c r="H2174" i="2"/>
  <c r="G2174" i="2"/>
  <c r="F2174" i="2"/>
  <c r="E2174" i="2"/>
  <c r="D2174" i="2"/>
  <c r="C2174" i="2"/>
  <c r="B2174" i="2"/>
  <c r="A2174" i="2"/>
  <c r="AX2173" i="2"/>
  <c r="AV2173" i="2"/>
  <c r="AU2173" i="2"/>
  <c r="AS2173" i="2"/>
  <c r="AR2173" i="2"/>
  <c r="AQ2173" i="2"/>
  <c r="AO2173" i="2"/>
  <c r="AL2173" i="2"/>
  <c r="AK2173" i="2"/>
  <c r="AJ2173" i="2"/>
  <c r="AI2173" i="2"/>
  <c r="AH2173" i="2"/>
  <c r="AG2173" i="2"/>
  <c r="AE2173" i="2"/>
  <c r="AD2173" i="2"/>
  <c r="AC2173" i="2"/>
  <c r="AA2173" i="2"/>
  <c r="Z2173" i="2"/>
  <c r="Y2173" i="2"/>
  <c r="X2173" i="2"/>
  <c r="W2173" i="2"/>
  <c r="V2173" i="2"/>
  <c r="U2173" i="2"/>
  <c r="T2173" i="2"/>
  <c r="S2173" i="2"/>
  <c r="R2173" i="2"/>
  <c r="Q2173" i="2"/>
  <c r="P2173" i="2"/>
  <c r="O2173" i="2"/>
  <c r="N2173" i="2"/>
  <c r="K2173" i="2"/>
  <c r="J2173" i="2"/>
  <c r="I2173" i="2"/>
  <c r="H2173" i="2"/>
  <c r="G2173" i="2"/>
  <c r="F2173" i="2"/>
  <c r="E2173" i="2"/>
  <c r="D2173" i="2"/>
  <c r="C2173" i="2"/>
  <c r="B2173" i="2"/>
  <c r="A2173" i="2"/>
  <c r="AX2172" i="2"/>
  <c r="AV2172" i="2"/>
  <c r="AU2172" i="2"/>
  <c r="AS2172" i="2"/>
  <c r="AR2172" i="2"/>
  <c r="AQ2172" i="2"/>
  <c r="AO2172" i="2"/>
  <c r="AL2172" i="2"/>
  <c r="AK2172" i="2"/>
  <c r="AJ2172" i="2"/>
  <c r="AI2172" i="2"/>
  <c r="AH2172" i="2"/>
  <c r="AG2172" i="2"/>
  <c r="AE2172" i="2"/>
  <c r="AD2172" i="2"/>
  <c r="AC2172" i="2"/>
  <c r="AA2172" i="2"/>
  <c r="Z2172" i="2"/>
  <c r="Y2172" i="2"/>
  <c r="X2172" i="2"/>
  <c r="U2172" i="2"/>
  <c r="T2172" i="2"/>
  <c r="S2172" i="2"/>
  <c r="R2172" i="2"/>
  <c r="Q2172" i="2"/>
  <c r="P2172" i="2"/>
  <c r="O2172" i="2"/>
  <c r="N2172" i="2"/>
  <c r="K2172" i="2"/>
  <c r="J2172" i="2"/>
  <c r="I2172" i="2"/>
  <c r="H2172" i="2"/>
  <c r="G2172" i="2"/>
  <c r="F2172" i="2"/>
  <c r="E2172" i="2"/>
  <c r="D2172" i="2"/>
  <c r="C2172" i="2"/>
  <c r="B2172" i="2"/>
  <c r="A2172" i="2"/>
  <c r="AX2171" i="2"/>
  <c r="AV2171" i="2"/>
  <c r="AU2171" i="2"/>
  <c r="AS2171" i="2"/>
  <c r="AR2171" i="2"/>
  <c r="AQ2171" i="2"/>
  <c r="AO2171" i="2"/>
  <c r="AL2171" i="2"/>
  <c r="AK2171" i="2"/>
  <c r="AJ2171" i="2"/>
  <c r="AI2171" i="2"/>
  <c r="AH2171" i="2"/>
  <c r="AG2171" i="2"/>
  <c r="AE2171" i="2"/>
  <c r="AC2171" i="2"/>
  <c r="AA2171" i="2"/>
  <c r="Z2171" i="2"/>
  <c r="Y2171" i="2"/>
  <c r="V2171" i="2"/>
  <c r="U2171" i="2"/>
  <c r="T2171" i="2"/>
  <c r="S2171" i="2"/>
  <c r="R2171" i="2"/>
  <c r="Q2171" i="2"/>
  <c r="P2171" i="2"/>
  <c r="O2171" i="2"/>
  <c r="N2171" i="2"/>
  <c r="K2171" i="2"/>
  <c r="J2171" i="2"/>
  <c r="I2171" i="2"/>
  <c r="H2171" i="2"/>
  <c r="G2171" i="2"/>
  <c r="F2171" i="2"/>
  <c r="E2171" i="2"/>
  <c r="D2171" i="2"/>
  <c r="C2171" i="2"/>
  <c r="B2171" i="2"/>
  <c r="A2171" i="2"/>
  <c r="AX2170" i="2"/>
  <c r="AV2170" i="2"/>
  <c r="AU2170" i="2"/>
  <c r="AS2170" i="2"/>
  <c r="AR2170" i="2"/>
  <c r="AQ2170" i="2"/>
  <c r="AO2170" i="2"/>
  <c r="AL2170" i="2"/>
  <c r="AK2170" i="2"/>
  <c r="AJ2170" i="2"/>
  <c r="AI2170" i="2"/>
  <c r="AH2170" i="2"/>
  <c r="AG2170" i="2"/>
  <c r="AE2170" i="2"/>
  <c r="AC2170" i="2"/>
  <c r="AA2170" i="2"/>
  <c r="Z2170" i="2"/>
  <c r="Y2170" i="2"/>
  <c r="X2170" i="2"/>
  <c r="V2170" i="2"/>
  <c r="U2170" i="2"/>
  <c r="T2170" i="2"/>
  <c r="S2170" i="2"/>
  <c r="R2170" i="2"/>
  <c r="Q2170" i="2"/>
  <c r="P2170" i="2"/>
  <c r="O2170" i="2"/>
  <c r="N2170" i="2"/>
  <c r="K2170" i="2"/>
  <c r="J2170" i="2"/>
  <c r="I2170" i="2"/>
  <c r="H2170" i="2"/>
  <c r="G2170" i="2"/>
  <c r="F2170" i="2"/>
  <c r="E2170" i="2"/>
  <c r="D2170" i="2"/>
  <c r="C2170" i="2"/>
  <c r="B2170" i="2"/>
  <c r="A2170" i="2"/>
  <c r="AX2169" i="2"/>
  <c r="AV2169" i="2"/>
  <c r="AU2169" i="2"/>
  <c r="AS2169" i="2"/>
  <c r="AR2169" i="2"/>
  <c r="AQ2169" i="2"/>
  <c r="AO2169" i="2"/>
  <c r="AL2169" i="2"/>
  <c r="AK2169" i="2"/>
  <c r="AI2169" i="2"/>
  <c r="AH2169" i="2"/>
  <c r="AG2169" i="2"/>
  <c r="AF2169" i="2"/>
  <c r="AE2169" i="2"/>
  <c r="AD2169" i="2"/>
  <c r="AC2169" i="2"/>
  <c r="AA2169" i="2"/>
  <c r="Z2169" i="2"/>
  <c r="Y2169" i="2"/>
  <c r="X2169" i="2"/>
  <c r="W2169" i="2"/>
  <c r="V2169" i="2"/>
  <c r="U2169" i="2"/>
  <c r="T2169" i="2"/>
  <c r="S2169" i="2"/>
  <c r="R2169" i="2"/>
  <c r="Q2169" i="2"/>
  <c r="P2169" i="2"/>
  <c r="O2169" i="2"/>
  <c r="N2169" i="2"/>
  <c r="K2169" i="2"/>
  <c r="J2169" i="2"/>
  <c r="I2169" i="2"/>
  <c r="H2169" i="2"/>
  <c r="G2169" i="2"/>
  <c r="F2169" i="2"/>
  <c r="E2169" i="2"/>
  <c r="D2169" i="2"/>
  <c r="C2169" i="2"/>
  <c r="B2169" i="2"/>
  <c r="A2169" i="2"/>
  <c r="AX2168" i="2"/>
  <c r="AV2168" i="2"/>
  <c r="AU2168" i="2"/>
  <c r="AS2168" i="2"/>
  <c r="AR2168" i="2"/>
  <c r="AQ2168" i="2"/>
  <c r="AP2168" i="2"/>
  <c r="AO2168" i="2"/>
  <c r="AL2168" i="2"/>
  <c r="AK2168" i="2"/>
  <c r="AJ2168" i="2"/>
  <c r="AI2168" i="2"/>
  <c r="AH2168" i="2"/>
  <c r="AG2168" i="2"/>
  <c r="AE2168" i="2"/>
  <c r="AD2168" i="2"/>
  <c r="AC2168" i="2"/>
  <c r="AB2168" i="2"/>
  <c r="AA2168" i="2"/>
  <c r="Z2168" i="2"/>
  <c r="Y2168" i="2"/>
  <c r="X2168" i="2"/>
  <c r="W2168" i="2"/>
  <c r="V2168" i="2"/>
  <c r="U2168" i="2"/>
  <c r="T2168" i="2"/>
  <c r="S2168" i="2"/>
  <c r="R2168" i="2"/>
  <c r="Q2168" i="2"/>
  <c r="P2168" i="2"/>
  <c r="O2168" i="2"/>
  <c r="N2168" i="2"/>
  <c r="K2168" i="2"/>
  <c r="J2168" i="2"/>
  <c r="I2168" i="2"/>
  <c r="H2168" i="2"/>
  <c r="G2168" i="2"/>
  <c r="F2168" i="2"/>
  <c r="E2168" i="2"/>
  <c r="D2168" i="2"/>
  <c r="C2168" i="2"/>
  <c r="B2168" i="2"/>
  <c r="A2168" i="2"/>
  <c r="AX2167" i="2"/>
  <c r="AV2167" i="2"/>
  <c r="AU2167" i="2"/>
  <c r="AS2167" i="2"/>
  <c r="AR2167" i="2"/>
  <c r="AQ2167" i="2"/>
  <c r="AO2167" i="2"/>
  <c r="AL2167" i="2"/>
  <c r="AK2167" i="2"/>
  <c r="AJ2167" i="2"/>
  <c r="AI2167" i="2"/>
  <c r="AH2167" i="2"/>
  <c r="AG2167" i="2"/>
  <c r="AE2167" i="2"/>
  <c r="AD2167" i="2"/>
  <c r="AC2167" i="2"/>
  <c r="AA2167" i="2"/>
  <c r="Z2167" i="2"/>
  <c r="Y2167" i="2"/>
  <c r="X2167" i="2"/>
  <c r="W2167" i="2"/>
  <c r="V2167" i="2"/>
  <c r="U2167" i="2"/>
  <c r="T2167" i="2"/>
  <c r="S2167" i="2"/>
  <c r="R2167" i="2"/>
  <c r="Q2167" i="2"/>
  <c r="P2167" i="2"/>
  <c r="O2167" i="2"/>
  <c r="N2167" i="2"/>
  <c r="K2167" i="2"/>
  <c r="J2167" i="2"/>
  <c r="I2167" i="2"/>
  <c r="H2167" i="2"/>
  <c r="G2167" i="2"/>
  <c r="F2167" i="2"/>
  <c r="E2167" i="2"/>
  <c r="D2167" i="2"/>
  <c r="C2167" i="2"/>
  <c r="B2167" i="2"/>
  <c r="A2167" i="2"/>
  <c r="AX2166" i="2"/>
  <c r="AV2166" i="2"/>
  <c r="AU2166" i="2"/>
  <c r="AS2166" i="2"/>
  <c r="AR2166" i="2"/>
  <c r="AQ2166" i="2"/>
  <c r="AO2166" i="2"/>
  <c r="AL2166" i="2"/>
  <c r="AK2166" i="2"/>
  <c r="AJ2166" i="2"/>
  <c r="AI2166" i="2"/>
  <c r="AH2166" i="2"/>
  <c r="AG2166" i="2"/>
  <c r="AE2166" i="2"/>
  <c r="AD2166" i="2"/>
  <c r="AC2166" i="2"/>
  <c r="AA2166" i="2"/>
  <c r="Z2166" i="2"/>
  <c r="Y2166" i="2"/>
  <c r="X2166" i="2"/>
  <c r="W2166" i="2"/>
  <c r="V2166" i="2"/>
  <c r="U2166" i="2"/>
  <c r="T2166" i="2"/>
  <c r="S2166" i="2"/>
  <c r="R2166" i="2"/>
  <c r="Q2166" i="2"/>
  <c r="P2166" i="2"/>
  <c r="O2166" i="2"/>
  <c r="N2166" i="2"/>
  <c r="K2166" i="2"/>
  <c r="J2166" i="2"/>
  <c r="I2166" i="2"/>
  <c r="H2166" i="2"/>
  <c r="G2166" i="2"/>
  <c r="F2166" i="2"/>
  <c r="E2166" i="2"/>
  <c r="D2166" i="2"/>
  <c r="C2166" i="2"/>
  <c r="B2166" i="2"/>
  <c r="A2166" i="2"/>
  <c r="AX2165" i="2"/>
  <c r="AV2165" i="2"/>
  <c r="AU2165" i="2"/>
  <c r="AS2165" i="2"/>
  <c r="AR2165" i="2"/>
  <c r="AQ2165" i="2"/>
  <c r="AO2165" i="2"/>
  <c r="AL2165" i="2"/>
  <c r="AK2165" i="2"/>
  <c r="AJ2165" i="2"/>
  <c r="AI2165" i="2"/>
  <c r="AH2165" i="2"/>
  <c r="AG2165" i="2"/>
  <c r="AF2165" i="2"/>
  <c r="AE2165" i="2"/>
  <c r="AD2165" i="2"/>
  <c r="AC2165" i="2"/>
  <c r="AA2165" i="2"/>
  <c r="Z2165" i="2"/>
  <c r="Y2165" i="2"/>
  <c r="X2165" i="2"/>
  <c r="W2165" i="2"/>
  <c r="V2165" i="2"/>
  <c r="U2165" i="2"/>
  <c r="T2165" i="2"/>
  <c r="S2165" i="2"/>
  <c r="R2165" i="2"/>
  <c r="Q2165" i="2"/>
  <c r="P2165" i="2"/>
  <c r="O2165" i="2"/>
  <c r="N2165" i="2"/>
  <c r="K2165" i="2"/>
  <c r="J2165" i="2"/>
  <c r="I2165" i="2"/>
  <c r="H2165" i="2"/>
  <c r="G2165" i="2"/>
  <c r="F2165" i="2"/>
  <c r="E2165" i="2"/>
  <c r="D2165" i="2"/>
  <c r="C2165" i="2"/>
  <c r="B2165" i="2"/>
  <c r="A2165" i="2"/>
  <c r="AX2164" i="2"/>
  <c r="AV2164" i="2"/>
  <c r="AU2164" i="2"/>
  <c r="AR2164" i="2"/>
  <c r="AQ2164" i="2"/>
  <c r="AO2164" i="2"/>
  <c r="AL2164" i="2"/>
  <c r="AK2164" i="2"/>
  <c r="AJ2164" i="2"/>
  <c r="AI2164" i="2"/>
  <c r="AH2164" i="2"/>
  <c r="AG2164" i="2"/>
  <c r="AE2164" i="2"/>
  <c r="AD2164" i="2"/>
  <c r="AC2164" i="2"/>
  <c r="AA2164" i="2"/>
  <c r="Z2164" i="2"/>
  <c r="Y2164" i="2"/>
  <c r="X2164" i="2"/>
  <c r="W2164" i="2"/>
  <c r="V2164" i="2"/>
  <c r="U2164" i="2"/>
  <c r="T2164" i="2"/>
  <c r="S2164" i="2"/>
  <c r="R2164" i="2"/>
  <c r="Q2164" i="2"/>
  <c r="P2164" i="2"/>
  <c r="O2164" i="2"/>
  <c r="N2164" i="2"/>
  <c r="K2164" i="2"/>
  <c r="J2164" i="2"/>
  <c r="I2164" i="2"/>
  <c r="H2164" i="2"/>
  <c r="G2164" i="2"/>
  <c r="F2164" i="2"/>
  <c r="E2164" i="2"/>
  <c r="D2164" i="2"/>
  <c r="C2164" i="2"/>
  <c r="B2164" i="2"/>
  <c r="A2164" i="2"/>
  <c r="AX2163" i="2"/>
  <c r="AV2163" i="2"/>
  <c r="AU2163" i="2"/>
  <c r="AS2163" i="2"/>
  <c r="AR2163" i="2"/>
  <c r="AQ2163" i="2"/>
  <c r="AO2163" i="2"/>
  <c r="AL2163" i="2"/>
  <c r="AK2163" i="2"/>
  <c r="AJ2163" i="2"/>
  <c r="AI2163" i="2"/>
  <c r="AH2163" i="2"/>
  <c r="AG2163" i="2"/>
  <c r="AE2163" i="2"/>
  <c r="AD2163" i="2"/>
  <c r="AC2163" i="2"/>
  <c r="AA2163" i="2"/>
  <c r="Z2163" i="2"/>
  <c r="Y2163" i="2"/>
  <c r="X2163" i="2"/>
  <c r="U2163" i="2"/>
  <c r="T2163" i="2"/>
  <c r="S2163" i="2"/>
  <c r="R2163" i="2"/>
  <c r="Q2163" i="2"/>
  <c r="P2163" i="2"/>
  <c r="O2163" i="2"/>
  <c r="N2163" i="2"/>
  <c r="K2163" i="2"/>
  <c r="J2163" i="2"/>
  <c r="I2163" i="2"/>
  <c r="H2163" i="2"/>
  <c r="G2163" i="2"/>
  <c r="F2163" i="2"/>
  <c r="E2163" i="2"/>
  <c r="D2163" i="2"/>
  <c r="C2163" i="2"/>
  <c r="B2163" i="2"/>
  <c r="A2163" i="2"/>
  <c r="AX2162" i="2"/>
  <c r="AV2162" i="2"/>
  <c r="AU2162" i="2"/>
  <c r="AS2162" i="2"/>
  <c r="AR2162" i="2"/>
  <c r="AQ2162" i="2"/>
  <c r="AP2162" i="2"/>
  <c r="AO2162" i="2"/>
  <c r="AL2162" i="2"/>
  <c r="AK2162" i="2"/>
  <c r="AJ2162" i="2"/>
  <c r="AI2162" i="2"/>
  <c r="AH2162" i="2"/>
  <c r="AG2162" i="2"/>
  <c r="AE2162" i="2"/>
  <c r="AD2162" i="2"/>
  <c r="AC2162" i="2"/>
  <c r="AA2162" i="2"/>
  <c r="Z2162" i="2"/>
  <c r="Y2162" i="2"/>
  <c r="X2162" i="2"/>
  <c r="W2162" i="2"/>
  <c r="V2162" i="2"/>
  <c r="U2162" i="2"/>
  <c r="T2162" i="2"/>
  <c r="S2162" i="2"/>
  <c r="R2162" i="2"/>
  <c r="Q2162" i="2"/>
  <c r="P2162" i="2"/>
  <c r="O2162" i="2"/>
  <c r="N2162" i="2"/>
  <c r="K2162" i="2"/>
  <c r="J2162" i="2"/>
  <c r="I2162" i="2"/>
  <c r="H2162" i="2"/>
  <c r="G2162" i="2"/>
  <c r="F2162" i="2"/>
  <c r="E2162" i="2"/>
  <c r="D2162" i="2"/>
  <c r="C2162" i="2"/>
  <c r="B2162" i="2"/>
  <c r="A2162" i="2"/>
  <c r="AX2161" i="2"/>
  <c r="AV2161" i="2"/>
  <c r="AU2161" i="2"/>
  <c r="AS2161" i="2"/>
  <c r="AR2161" i="2"/>
  <c r="AQ2161" i="2"/>
  <c r="AP2161" i="2"/>
  <c r="AO2161" i="2"/>
  <c r="AN2161" i="2"/>
  <c r="AM2161" i="2"/>
  <c r="AL2161" i="2"/>
  <c r="AK2161" i="2"/>
  <c r="AJ2161" i="2"/>
  <c r="AI2161" i="2"/>
  <c r="AH2161" i="2"/>
  <c r="AG2161" i="2"/>
  <c r="AE2161" i="2"/>
  <c r="AD2161" i="2"/>
  <c r="AC2161" i="2"/>
  <c r="AA2161" i="2"/>
  <c r="Z2161" i="2"/>
  <c r="Y2161" i="2"/>
  <c r="W2161" i="2"/>
  <c r="V2161" i="2"/>
  <c r="U2161" i="2"/>
  <c r="T2161" i="2"/>
  <c r="S2161" i="2"/>
  <c r="R2161" i="2"/>
  <c r="Q2161" i="2"/>
  <c r="P2161" i="2"/>
  <c r="O2161" i="2"/>
  <c r="N2161" i="2"/>
  <c r="K2161" i="2"/>
  <c r="J2161" i="2"/>
  <c r="I2161" i="2"/>
  <c r="H2161" i="2"/>
  <c r="G2161" i="2"/>
  <c r="F2161" i="2"/>
  <c r="E2161" i="2"/>
  <c r="D2161" i="2"/>
  <c r="C2161" i="2"/>
  <c r="B2161" i="2"/>
  <c r="A2161" i="2"/>
  <c r="AX2160" i="2"/>
  <c r="AV2160" i="2"/>
  <c r="AU2160" i="2"/>
  <c r="AS2160" i="2"/>
  <c r="AR2160" i="2"/>
  <c r="AQ2160" i="2"/>
  <c r="AO2160" i="2"/>
  <c r="AN2160" i="2"/>
  <c r="AM2160" i="2"/>
  <c r="AL2160" i="2"/>
  <c r="AK2160" i="2"/>
  <c r="AJ2160" i="2"/>
  <c r="AI2160" i="2"/>
  <c r="AH2160" i="2"/>
  <c r="AG2160" i="2"/>
  <c r="AE2160" i="2"/>
  <c r="AD2160" i="2"/>
  <c r="AC2160" i="2"/>
  <c r="AA2160" i="2"/>
  <c r="Z2160" i="2"/>
  <c r="Y2160" i="2"/>
  <c r="U2160" i="2"/>
  <c r="T2160" i="2"/>
  <c r="S2160" i="2"/>
  <c r="R2160" i="2"/>
  <c r="Q2160" i="2"/>
  <c r="P2160" i="2"/>
  <c r="O2160" i="2"/>
  <c r="N2160" i="2"/>
  <c r="K2160" i="2"/>
  <c r="J2160" i="2"/>
  <c r="I2160" i="2"/>
  <c r="H2160" i="2"/>
  <c r="G2160" i="2"/>
  <c r="F2160" i="2"/>
  <c r="E2160" i="2"/>
  <c r="D2160" i="2"/>
  <c r="C2160" i="2"/>
  <c r="B2160" i="2"/>
  <c r="A2160" i="2"/>
  <c r="AX2159" i="2"/>
  <c r="AV2159" i="2"/>
  <c r="AU2159" i="2"/>
  <c r="AR2159" i="2"/>
  <c r="AQ2159" i="2"/>
  <c r="AO2159" i="2"/>
  <c r="AL2159" i="2"/>
  <c r="AK2159" i="2"/>
  <c r="AJ2159" i="2"/>
  <c r="AI2159" i="2"/>
  <c r="AH2159" i="2"/>
  <c r="AG2159" i="2"/>
  <c r="AE2159" i="2"/>
  <c r="AC2159" i="2"/>
  <c r="AA2159" i="2"/>
  <c r="Z2159" i="2"/>
  <c r="Y2159" i="2"/>
  <c r="X2159" i="2"/>
  <c r="W2159" i="2"/>
  <c r="V2159" i="2"/>
  <c r="U2159" i="2"/>
  <c r="T2159" i="2"/>
  <c r="S2159" i="2"/>
  <c r="R2159" i="2"/>
  <c r="Q2159" i="2"/>
  <c r="P2159" i="2"/>
  <c r="O2159" i="2"/>
  <c r="N2159" i="2"/>
  <c r="K2159" i="2"/>
  <c r="J2159" i="2"/>
  <c r="I2159" i="2"/>
  <c r="H2159" i="2"/>
  <c r="G2159" i="2"/>
  <c r="F2159" i="2"/>
  <c r="E2159" i="2"/>
  <c r="D2159" i="2"/>
  <c r="C2159" i="2"/>
  <c r="B2159" i="2"/>
  <c r="A2159" i="2"/>
  <c r="AX2158" i="2"/>
  <c r="AV2158" i="2"/>
  <c r="AU2158" i="2"/>
  <c r="AS2158" i="2"/>
  <c r="AR2158" i="2"/>
  <c r="AQ2158" i="2"/>
  <c r="AO2158" i="2"/>
  <c r="AL2158" i="2"/>
  <c r="AK2158" i="2"/>
  <c r="AJ2158" i="2"/>
  <c r="AI2158" i="2"/>
  <c r="AH2158" i="2"/>
  <c r="AG2158" i="2"/>
  <c r="AE2158" i="2"/>
  <c r="AD2158" i="2"/>
  <c r="AC2158" i="2"/>
  <c r="AA2158" i="2"/>
  <c r="Z2158" i="2"/>
  <c r="Y2158" i="2"/>
  <c r="X2158" i="2"/>
  <c r="W2158" i="2"/>
  <c r="V2158" i="2"/>
  <c r="U2158" i="2"/>
  <c r="T2158" i="2"/>
  <c r="S2158" i="2"/>
  <c r="R2158" i="2"/>
  <c r="Q2158" i="2"/>
  <c r="P2158" i="2"/>
  <c r="O2158" i="2"/>
  <c r="N2158" i="2"/>
  <c r="K2158" i="2"/>
  <c r="J2158" i="2"/>
  <c r="I2158" i="2"/>
  <c r="H2158" i="2"/>
  <c r="G2158" i="2"/>
  <c r="F2158" i="2"/>
  <c r="E2158" i="2"/>
  <c r="D2158" i="2"/>
  <c r="C2158" i="2"/>
  <c r="B2158" i="2"/>
  <c r="A2158" i="2"/>
  <c r="AX2157" i="2"/>
  <c r="AV2157" i="2"/>
  <c r="AU2157" i="2"/>
  <c r="AR2157" i="2"/>
  <c r="AQ2157" i="2"/>
  <c r="AO2157" i="2"/>
  <c r="AL2157" i="2"/>
  <c r="AK2157" i="2"/>
  <c r="AJ2157" i="2"/>
  <c r="AI2157" i="2"/>
  <c r="AH2157" i="2"/>
  <c r="AG2157" i="2"/>
  <c r="AC2157" i="2"/>
  <c r="AA2157" i="2"/>
  <c r="Z2157" i="2"/>
  <c r="Y2157" i="2"/>
  <c r="X2157" i="2"/>
  <c r="U2157" i="2"/>
  <c r="T2157" i="2"/>
  <c r="S2157" i="2"/>
  <c r="R2157" i="2"/>
  <c r="Q2157" i="2"/>
  <c r="P2157" i="2"/>
  <c r="O2157" i="2"/>
  <c r="N2157" i="2"/>
  <c r="K2157" i="2"/>
  <c r="J2157" i="2"/>
  <c r="I2157" i="2"/>
  <c r="H2157" i="2"/>
  <c r="G2157" i="2"/>
  <c r="F2157" i="2"/>
  <c r="E2157" i="2"/>
  <c r="D2157" i="2"/>
  <c r="C2157" i="2"/>
  <c r="B2157" i="2"/>
  <c r="A2157" i="2"/>
  <c r="AX2156" i="2"/>
  <c r="AV2156" i="2"/>
  <c r="AU2156" i="2"/>
  <c r="AS2156" i="2"/>
  <c r="AR2156" i="2"/>
  <c r="AQ2156" i="2"/>
  <c r="AO2156" i="2"/>
  <c r="AL2156" i="2"/>
  <c r="AK2156" i="2"/>
  <c r="AJ2156" i="2"/>
  <c r="AI2156" i="2"/>
  <c r="AH2156" i="2"/>
  <c r="AG2156" i="2"/>
  <c r="AF2156" i="2"/>
  <c r="AE2156" i="2"/>
  <c r="AC2156" i="2"/>
  <c r="AA2156" i="2"/>
  <c r="Z2156" i="2"/>
  <c r="Y2156" i="2"/>
  <c r="X2156" i="2"/>
  <c r="V2156" i="2"/>
  <c r="U2156" i="2"/>
  <c r="T2156" i="2"/>
  <c r="S2156" i="2"/>
  <c r="R2156" i="2"/>
  <c r="Q2156" i="2"/>
  <c r="P2156" i="2"/>
  <c r="O2156" i="2"/>
  <c r="N2156" i="2"/>
  <c r="K2156" i="2"/>
  <c r="J2156" i="2"/>
  <c r="I2156" i="2"/>
  <c r="H2156" i="2"/>
  <c r="G2156" i="2"/>
  <c r="F2156" i="2"/>
  <c r="E2156" i="2"/>
  <c r="D2156" i="2"/>
  <c r="C2156" i="2"/>
  <c r="B2156" i="2"/>
  <c r="A2156" i="2"/>
  <c r="AX2155" i="2"/>
  <c r="AV2155" i="2"/>
  <c r="AU2155" i="2"/>
  <c r="AS2155" i="2"/>
  <c r="AR2155" i="2"/>
  <c r="AQ2155" i="2"/>
  <c r="AP2155" i="2"/>
  <c r="AO2155" i="2"/>
  <c r="AL2155" i="2"/>
  <c r="AK2155" i="2"/>
  <c r="AI2155" i="2"/>
  <c r="AH2155" i="2"/>
  <c r="AG2155" i="2"/>
  <c r="AE2155" i="2"/>
  <c r="AC2155" i="2"/>
  <c r="AA2155" i="2"/>
  <c r="Z2155" i="2"/>
  <c r="Y2155" i="2"/>
  <c r="X2155" i="2"/>
  <c r="W2155" i="2"/>
  <c r="V2155" i="2"/>
  <c r="U2155" i="2"/>
  <c r="T2155" i="2"/>
  <c r="S2155" i="2"/>
  <c r="R2155" i="2"/>
  <c r="Q2155" i="2"/>
  <c r="P2155" i="2"/>
  <c r="O2155" i="2"/>
  <c r="N2155" i="2"/>
  <c r="K2155" i="2"/>
  <c r="J2155" i="2"/>
  <c r="I2155" i="2"/>
  <c r="H2155" i="2"/>
  <c r="G2155" i="2"/>
  <c r="F2155" i="2"/>
  <c r="E2155" i="2"/>
  <c r="D2155" i="2"/>
  <c r="C2155" i="2"/>
  <c r="B2155" i="2"/>
  <c r="A2155" i="2"/>
  <c r="AX2154" i="2"/>
  <c r="AV2154" i="2"/>
  <c r="AU2154" i="2"/>
  <c r="AR2154" i="2"/>
  <c r="AQ2154" i="2"/>
  <c r="AO2154" i="2"/>
  <c r="AL2154" i="2"/>
  <c r="AK2154" i="2"/>
  <c r="AJ2154" i="2"/>
  <c r="AI2154" i="2"/>
  <c r="AH2154" i="2"/>
  <c r="AG2154" i="2"/>
  <c r="AE2154" i="2"/>
  <c r="AD2154" i="2"/>
  <c r="AC2154" i="2"/>
  <c r="AA2154" i="2"/>
  <c r="Z2154" i="2"/>
  <c r="Y2154" i="2"/>
  <c r="X2154" i="2"/>
  <c r="W2154" i="2"/>
  <c r="V2154" i="2"/>
  <c r="U2154" i="2"/>
  <c r="T2154" i="2"/>
  <c r="S2154" i="2"/>
  <c r="R2154" i="2"/>
  <c r="Q2154" i="2"/>
  <c r="P2154" i="2"/>
  <c r="O2154" i="2"/>
  <c r="N2154" i="2"/>
  <c r="K2154" i="2"/>
  <c r="J2154" i="2"/>
  <c r="I2154" i="2"/>
  <c r="H2154" i="2"/>
  <c r="G2154" i="2"/>
  <c r="F2154" i="2"/>
  <c r="E2154" i="2"/>
  <c r="D2154" i="2"/>
  <c r="C2154" i="2"/>
  <c r="B2154" i="2"/>
  <c r="A2154" i="2"/>
  <c r="AX2153" i="2"/>
  <c r="AV2153" i="2"/>
  <c r="AU2153" i="2"/>
  <c r="AS2153" i="2"/>
  <c r="AR2153" i="2"/>
  <c r="AQ2153" i="2"/>
  <c r="AO2153" i="2"/>
  <c r="AL2153" i="2"/>
  <c r="AK2153" i="2"/>
  <c r="AJ2153" i="2"/>
  <c r="AI2153" i="2"/>
  <c r="AH2153" i="2"/>
  <c r="AG2153" i="2"/>
  <c r="AE2153" i="2"/>
  <c r="AC2153" i="2"/>
  <c r="AA2153" i="2"/>
  <c r="Z2153" i="2"/>
  <c r="Y2153" i="2"/>
  <c r="X2153" i="2"/>
  <c r="U2153" i="2"/>
  <c r="T2153" i="2"/>
  <c r="S2153" i="2"/>
  <c r="R2153" i="2"/>
  <c r="Q2153" i="2"/>
  <c r="P2153" i="2"/>
  <c r="O2153" i="2"/>
  <c r="N2153" i="2"/>
  <c r="K2153" i="2"/>
  <c r="J2153" i="2"/>
  <c r="I2153" i="2"/>
  <c r="H2153" i="2"/>
  <c r="G2153" i="2"/>
  <c r="F2153" i="2"/>
  <c r="E2153" i="2"/>
  <c r="D2153" i="2"/>
  <c r="C2153" i="2"/>
  <c r="B2153" i="2"/>
  <c r="A2153" i="2"/>
  <c r="AX2152" i="2"/>
  <c r="AV2152" i="2"/>
  <c r="AU2152" i="2"/>
  <c r="AS2152" i="2"/>
  <c r="AR2152" i="2"/>
  <c r="AQ2152" i="2"/>
  <c r="AO2152" i="2"/>
  <c r="AL2152" i="2"/>
  <c r="AK2152" i="2"/>
  <c r="AJ2152" i="2"/>
  <c r="AI2152" i="2"/>
  <c r="AH2152" i="2"/>
  <c r="AG2152" i="2"/>
  <c r="AE2152" i="2"/>
  <c r="AC2152" i="2"/>
  <c r="AA2152" i="2"/>
  <c r="Z2152" i="2"/>
  <c r="Y2152" i="2"/>
  <c r="X2152" i="2"/>
  <c r="U2152" i="2"/>
  <c r="T2152" i="2"/>
  <c r="S2152" i="2"/>
  <c r="R2152" i="2"/>
  <c r="Q2152" i="2"/>
  <c r="P2152" i="2"/>
  <c r="O2152" i="2"/>
  <c r="N2152" i="2"/>
  <c r="K2152" i="2"/>
  <c r="J2152" i="2"/>
  <c r="I2152" i="2"/>
  <c r="H2152" i="2"/>
  <c r="G2152" i="2"/>
  <c r="F2152" i="2"/>
  <c r="E2152" i="2"/>
  <c r="D2152" i="2"/>
  <c r="C2152" i="2"/>
  <c r="B2152" i="2"/>
  <c r="A2152" i="2"/>
  <c r="AX2151" i="2"/>
  <c r="AV2151" i="2"/>
  <c r="AU2151" i="2"/>
  <c r="AT2151" i="2"/>
  <c r="AS2151" i="2"/>
  <c r="AR2151" i="2"/>
  <c r="AP2151" i="2"/>
  <c r="AO2151" i="2"/>
  <c r="AN2151" i="2"/>
  <c r="AM2151" i="2"/>
  <c r="AK2151" i="2"/>
  <c r="AJ2151" i="2"/>
  <c r="AI2151" i="2"/>
  <c r="AH2151" i="2"/>
  <c r="AG2151" i="2"/>
  <c r="AF2151" i="2"/>
  <c r="AE2151" i="2"/>
  <c r="AD2151" i="2"/>
  <c r="AC2151" i="2"/>
  <c r="AB2151" i="2"/>
  <c r="AA2151" i="2"/>
  <c r="Z2151" i="2"/>
  <c r="Y2151" i="2"/>
  <c r="X2151" i="2"/>
  <c r="W2151" i="2"/>
  <c r="V2151" i="2"/>
  <c r="U2151" i="2"/>
  <c r="T2151" i="2"/>
  <c r="S2151" i="2"/>
  <c r="R2151" i="2"/>
  <c r="Q2151" i="2"/>
  <c r="P2151" i="2"/>
  <c r="O2151" i="2"/>
  <c r="N2151" i="2"/>
  <c r="M2151" i="2"/>
  <c r="L2151" i="2"/>
  <c r="K2151" i="2"/>
  <c r="J2151" i="2"/>
  <c r="I2151" i="2"/>
  <c r="H2151" i="2"/>
  <c r="G2151" i="2"/>
  <c r="F2151" i="2"/>
  <c r="E2151" i="2"/>
  <c r="D2151" i="2"/>
  <c r="C2151" i="2"/>
  <c r="B2151" i="2"/>
  <c r="A2151" i="2"/>
  <c r="AX2150" i="2"/>
  <c r="AV2150" i="2"/>
  <c r="AU2150" i="2"/>
  <c r="AS2150" i="2"/>
  <c r="AR2150" i="2"/>
  <c r="AQ2150" i="2"/>
  <c r="AO2150" i="2"/>
  <c r="AL2150" i="2"/>
  <c r="AK2150" i="2"/>
  <c r="AJ2150" i="2"/>
  <c r="AI2150" i="2"/>
  <c r="AH2150" i="2"/>
  <c r="AG2150" i="2"/>
  <c r="AE2150" i="2"/>
  <c r="AD2150" i="2"/>
  <c r="AC2150" i="2"/>
  <c r="AA2150" i="2"/>
  <c r="Z2150" i="2"/>
  <c r="Y2150" i="2"/>
  <c r="X2150" i="2"/>
  <c r="V2150" i="2"/>
  <c r="U2150" i="2"/>
  <c r="T2150" i="2"/>
  <c r="S2150" i="2"/>
  <c r="R2150" i="2"/>
  <c r="Q2150" i="2"/>
  <c r="P2150" i="2"/>
  <c r="O2150" i="2"/>
  <c r="N2150" i="2"/>
  <c r="K2150" i="2"/>
  <c r="J2150" i="2"/>
  <c r="I2150" i="2"/>
  <c r="H2150" i="2"/>
  <c r="G2150" i="2"/>
  <c r="F2150" i="2"/>
  <c r="E2150" i="2"/>
  <c r="D2150" i="2"/>
  <c r="C2150" i="2"/>
  <c r="B2150" i="2"/>
  <c r="A2150" i="2"/>
  <c r="AX2149" i="2"/>
  <c r="AV2149" i="2"/>
  <c r="AU2149" i="2"/>
  <c r="AS2149" i="2"/>
  <c r="AR2149" i="2"/>
  <c r="AQ2149" i="2"/>
  <c r="AO2149" i="2"/>
  <c r="AL2149" i="2"/>
  <c r="AK2149" i="2"/>
  <c r="AJ2149" i="2"/>
  <c r="AI2149" i="2"/>
  <c r="AH2149" i="2"/>
  <c r="AG2149" i="2"/>
  <c r="AF2149" i="2"/>
  <c r="AE2149" i="2"/>
  <c r="AD2149" i="2"/>
  <c r="AC2149" i="2"/>
  <c r="AA2149" i="2"/>
  <c r="Z2149" i="2"/>
  <c r="Y2149" i="2"/>
  <c r="X2149" i="2"/>
  <c r="W2149" i="2"/>
  <c r="V2149" i="2"/>
  <c r="U2149" i="2"/>
  <c r="T2149" i="2"/>
  <c r="S2149" i="2"/>
  <c r="R2149" i="2"/>
  <c r="Q2149" i="2"/>
  <c r="P2149" i="2"/>
  <c r="O2149" i="2"/>
  <c r="N2149" i="2"/>
  <c r="K2149" i="2"/>
  <c r="J2149" i="2"/>
  <c r="I2149" i="2"/>
  <c r="H2149" i="2"/>
  <c r="G2149" i="2"/>
  <c r="F2149" i="2"/>
  <c r="E2149" i="2"/>
  <c r="D2149" i="2"/>
  <c r="C2149" i="2"/>
  <c r="B2149" i="2"/>
  <c r="A2149" i="2"/>
  <c r="AX2148" i="2"/>
  <c r="AV2148" i="2"/>
  <c r="AU2148" i="2"/>
  <c r="AS2148" i="2"/>
  <c r="AR2148" i="2"/>
  <c r="AQ2148" i="2"/>
  <c r="AO2148" i="2"/>
  <c r="AL2148" i="2"/>
  <c r="AK2148" i="2"/>
  <c r="AJ2148" i="2"/>
  <c r="AI2148" i="2"/>
  <c r="AH2148" i="2"/>
  <c r="AG2148" i="2"/>
  <c r="AF2148" i="2"/>
  <c r="AE2148" i="2"/>
  <c r="AC2148" i="2"/>
  <c r="AA2148" i="2"/>
  <c r="Z2148" i="2"/>
  <c r="Y2148" i="2"/>
  <c r="X2148" i="2"/>
  <c r="W2148" i="2"/>
  <c r="V2148" i="2"/>
  <c r="U2148" i="2"/>
  <c r="T2148" i="2"/>
  <c r="S2148" i="2"/>
  <c r="R2148" i="2"/>
  <c r="Q2148" i="2"/>
  <c r="P2148" i="2"/>
  <c r="O2148" i="2"/>
  <c r="N2148" i="2"/>
  <c r="K2148" i="2"/>
  <c r="J2148" i="2"/>
  <c r="I2148" i="2"/>
  <c r="H2148" i="2"/>
  <c r="G2148" i="2"/>
  <c r="F2148" i="2"/>
  <c r="E2148" i="2"/>
  <c r="D2148" i="2"/>
  <c r="C2148" i="2"/>
  <c r="B2148" i="2"/>
  <c r="A2148" i="2"/>
  <c r="AX2147" i="2"/>
  <c r="AV2147" i="2"/>
  <c r="AU2147" i="2"/>
  <c r="AS2147" i="2"/>
  <c r="AR2147" i="2"/>
  <c r="AQ2147" i="2"/>
  <c r="AO2147" i="2"/>
  <c r="AL2147" i="2"/>
  <c r="AK2147" i="2"/>
  <c r="AJ2147" i="2"/>
  <c r="AI2147" i="2"/>
  <c r="AH2147" i="2"/>
  <c r="AG2147" i="2"/>
  <c r="AE2147" i="2"/>
  <c r="AD2147" i="2"/>
  <c r="AC2147" i="2"/>
  <c r="AA2147" i="2"/>
  <c r="Z2147" i="2"/>
  <c r="Y2147" i="2"/>
  <c r="V2147" i="2"/>
  <c r="U2147" i="2"/>
  <c r="T2147" i="2"/>
  <c r="S2147" i="2"/>
  <c r="R2147" i="2"/>
  <c r="Q2147" i="2"/>
  <c r="P2147" i="2"/>
  <c r="O2147" i="2"/>
  <c r="N2147" i="2"/>
  <c r="K2147" i="2"/>
  <c r="J2147" i="2"/>
  <c r="I2147" i="2"/>
  <c r="H2147" i="2"/>
  <c r="G2147" i="2"/>
  <c r="F2147" i="2"/>
  <c r="E2147" i="2"/>
  <c r="D2147" i="2"/>
  <c r="C2147" i="2"/>
  <c r="B2147" i="2"/>
  <c r="A2147" i="2"/>
  <c r="AX2146" i="2"/>
  <c r="AV2146" i="2"/>
  <c r="AU2146" i="2"/>
  <c r="AS2146" i="2"/>
  <c r="AR2146" i="2"/>
  <c r="AQ2146" i="2"/>
  <c r="AP2146" i="2"/>
  <c r="AO2146" i="2"/>
  <c r="AN2146" i="2"/>
  <c r="AM2146" i="2"/>
  <c r="AL2146" i="2"/>
  <c r="AK2146" i="2"/>
  <c r="AI2146" i="2"/>
  <c r="AH2146" i="2"/>
  <c r="AG2146" i="2"/>
  <c r="AE2146" i="2"/>
  <c r="AD2146" i="2"/>
  <c r="AC2146" i="2"/>
  <c r="AA2146" i="2"/>
  <c r="Z2146" i="2"/>
  <c r="Y2146" i="2"/>
  <c r="X2146" i="2"/>
  <c r="W2146" i="2"/>
  <c r="V2146" i="2"/>
  <c r="U2146" i="2"/>
  <c r="T2146" i="2"/>
  <c r="S2146" i="2"/>
  <c r="R2146" i="2"/>
  <c r="Q2146" i="2"/>
  <c r="P2146" i="2"/>
  <c r="O2146" i="2"/>
  <c r="N2146" i="2"/>
  <c r="K2146" i="2"/>
  <c r="J2146" i="2"/>
  <c r="I2146" i="2"/>
  <c r="H2146" i="2"/>
  <c r="G2146" i="2"/>
  <c r="F2146" i="2"/>
  <c r="E2146" i="2"/>
  <c r="D2146" i="2"/>
  <c r="C2146" i="2"/>
  <c r="B2146" i="2"/>
  <c r="A2146" i="2"/>
  <c r="AX2145" i="2"/>
  <c r="AV2145" i="2"/>
  <c r="AU2145" i="2"/>
  <c r="AR2145" i="2"/>
  <c r="AQ2145" i="2"/>
  <c r="AO2145" i="2"/>
  <c r="AM2145" i="2"/>
  <c r="AL2145" i="2"/>
  <c r="AI2145" i="2"/>
  <c r="AH2145" i="2"/>
  <c r="AG2145" i="2"/>
  <c r="AC2145" i="2"/>
  <c r="AA2145" i="2"/>
  <c r="Z2145" i="2"/>
  <c r="Y2145" i="2"/>
  <c r="X2145" i="2"/>
  <c r="W2145" i="2"/>
  <c r="V2145" i="2"/>
  <c r="U2145" i="2"/>
  <c r="T2145" i="2"/>
  <c r="S2145" i="2"/>
  <c r="R2145" i="2"/>
  <c r="Q2145" i="2"/>
  <c r="P2145" i="2"/>
  <c r="O2145" i="2"/>
  <c r="N2145" i="2"/>
  <c r="K2145" i="2"/>
  <c r="J2145" i="2"/>
  <c r="I2145" i="2"/>
  <c r="H2145" i="2"/>
  <c r="G2145" i="2"/>
  <c r="F2145" i="2"/>
  <c r="E2145" i="2"/>
  <c r="D2145" i="2"/>
  <c r="C2145" i="2"/>
  <c r="B2145" i="2"/>
  <c r="A2145" i="2"/>
  <c r="AX2144" i="2"/>
  <c r="AV2144" i="2"/>
  <c r="AU2144" i="2"/>
  <c r="AS2144" i="2"/>
  <c r="AR2144" i="2"/>
  <c r="AQ2144" i="2"/>
  <c r="AI2144" i="2"/>
  <c r="AH2144" i="2"/>
  <c r="AG2144" i="2"/>
  <c r="AE2144" i="2"/>
  <c r="AD2144" i="2"/>
  <c r="AC2144" i="2"/>
  <c r="AA2144" i="2"/>
  <c r="Z2144" i="2"/>
  <c r="Y2144" i="2"/>
  <c r="X2144" i="2"/>
  <c r="W2144" i="2"/>
  <c r="V2144" i="2"/>
  <c r="U2144" i="2"/>
  <c r="T2144" i="2"/>
  <c r="S2144" i="2"/>
  <c r="R2144" i="2"/>
  <c r="Q2144" i="2"/>
  <c r="P2144" i="2"/>
  <c r="O2144" i="2"/>
  <c r="N2144" i="2"/>
  <c r="K2144" i="2"/>
  <c r="J2144" i="2"/>
  <c r="I2144" i="2"/>
  <c r="H2144" i="2"/>
  <c r="G2144" i="2"/>
  <c r="F2144" i="2"/>
  <c r="E2144" i="2"/>
  <c r="D2144" i="2"/>
  <c r="C2144" i="2"/>
  <c r="B2144" i="2"/>
  <c r="A2144" i="2"/>
  <c r="AX2143" i="2"/>
  <c r="AV2143" i="2"/>
  <c r="AU2143" i="2"/>
  <c r="AS2143" i="2"/>
  <c r="AR2143" i="2"/>
  <c r="AQ2143" i="2"/>
  <c r="AP2143" i="2"/>
  <c r="AO2143" i="2"/>
  <c r="AN2143" i="2"/>
  <c r="AM2143" i="2"/>
  <c r="AL2143" i="2"/>
  <c r="AK2143" i="2"/>
  <c r="AJ2143" i="2"/>
  <c r="AI2143" i="2"/>
  <c r="AH2143" i="2"/>
  <c r="AG2143" i="2"/>
  <c r="AE2143" i="2"/>
  <c r="AD2143" i="2"/>
  <c r="AC2143" i="2"/>
  <c r="AA2143" i="2"/>
  <c r="Z2143" i="2"/>
  <c r="Y2143" i="2"/>
  <c r="W2143" i="2"/>
  <c r="V2143" i="2"/>
  <c r="U2143" i="2"/>
  <c r="T2143" i="2"/>
  <c r="S2143" i="2"/>
  <c r="R2143" i="2"/>
  <c r="Q2143" i="2"/>
  <c r="P2143" i="2"/>
  <c r="O2143" i="2"/>
  <c r="N2143" i="2"/>
  <c r="K2143" i="2"/>
  <c r="J2143" i="2"/>
  <c r="I2143" i="2"/>
  <c r="H2143" i="2"/>
  <c r="G2143" i="2"/>
  <c r="F2143" i="2"/>
  <c r="E2143" i="2"/>
  <c r="D2143" i="2"/>
  <c r="C2143" i="2"/>
  <c r="B2143" i="2"/>
  <c r="A2143" i="2"/>
  <c r="AX2142" i="2"/>
  <c r="AV2142" i="2"/>
  <c r="AU2142" i="2"/>
  <c r="AS2142" i="2"/>
  <c r="AR2142" i="2"/>
  <c r="AO2142" i="2"/>
  <c r="AN2142" i="2"/>
  <c r="AM2142" i="2"/>
  <c r="AK2142" i="2"/>
  <c r="AJ2142" i="2"/>
  <c r="AI2142" i="2"/>
  <c r="AH2142" i="2"/>
  <c r="AG2142" i="2"/>
  <c r="AF2142" i="2"/>
  <c r="AE2142" i="2"/>
  <c r="AD2142" i="2"/>
  <c r="AC2142" i="2"/>
  <c r="AB2142" i="2"/>
  <c r="AA2142" i="2"/>
  <c r="Z2142" i="2"/>
  <c r="Y2142" i="2"/>
  <c r="X2142" i="2"/>
  <c r="W2142" i="2"/>
  <c r="V2142" i="2"/>
  <c r="U2142" i="2"/>
  <c r="T2142" i="2"/>
  <c r="S2142" i="2"/>
  <c r="R2142" i="2"/>
  <c r="Q2142" i="2"/>
  <c r="P2142" i="2"/>
  <c r="O2142" i="2"/>
  <c r="N2142" i="2"/>
  <c r="M2142" i="2"/>
  <c r="L2142" i="2"/>
  <c r="K2142" i="2"/>
  <c r="J2142" i="2"/>
  <c r="I2142" i="2"/>
  <c r="H2142" i="2"/>
  <c r="G2142" i="2"/>
  <c r="F2142" i="2"/>
  <c r="E2142" i="2"/>
  <c r="D2142" i="2"/>
  <c r="C2142" i="2"/>
  <c r="B2142" i="2"/>
  <c r="A2142" i="2"/>
  <c r="AX2141" i="2"/>
  <c r="AV2141" i="2"/>
  <c r="AU2141" i="2"/>
  <c r="AS2141" i="2"/>
  <c r="AR2141" i="2"/>
  <c r="AQ2141" i="2"/>
  <c r="AO2141" i="2"/>
  <c r="AL2141" i="2"/>
  <c r="AK2141" i="2"/>
  <c r="AJ2141" i="2"/>
  <c r="AI2141" i="2"/>
  <c r="AH2141" i="2"/>
  <c r="AG2141" i="2"/>
  <c r="AE2141" i="2"/>
  <c r="AD2141" i="2"/>
  <c r="AC2141" i="2"/>
  <c r="AA2141" i="2"/>
  <c r="Z2141" i="2"/>
  <c r="Y2141" i="2"/>
  <c r="X2141" i="2"/>
  <c r="W2141" i="2"/>
  <c r="V2141" i="2"/>
  <c r="U2141" i="2"/>
  <c r="T2141" i="2"/>
  <c r="S2141" i="2"/>
  <c r="R2141" i="2"/>
  <c r="Q2141" i="2"/>
  <c r="P2141" i="2"/>
  <c r="O2141" i="2"/>
  <c r="N2141" i="2"/>
  <c r="K2141" i="2"/>
  <c r="J2141" i="2"/>
  <c r="I2141" i="2"/>
  <c r="H2141" i="2"/>
  <c r="G2141" i="2"/>
  <c r="F2141" i="2"/>
  <c r="E2141" i="2"/>
  <c r="D2141" i="2"/>
  <c r="C2141" i="2"/>
  <c r="B2141" i="2"/>
  <c r="A2141" i="2"/>
  <c r="AX2140" i="2"/>
  <c r="AV2140" i="2"/>
  <c r="AU2140" i="2"/>
  <c r="AS2140" i="2"/>
  <c r="AR2140" i="2"/>
  <c r="AQ2140" i="2"/>
  <c r="AO2140" i="2"/>
  <c r="AL2140" i="2"/>
  <c r="AI2140" i="2"/>
  <c r="AH2140" i="2"/>
  <c r="AG2140" i="2"/>
  <c r="AE2140" i="2"/>
  <c r="AD2140" i="2"/>
  <c r="AC2140" i="2"/>
  <c r="AA2140" i="2"/>
  <c r="Z2140" i="2"/>
  <c r="Y2140" i="2"/>
  <c r="X2140" i="2"/>
  <c r="V2140" i="2"/>
  <c r="U2140" i="2"/>
  <c r="T2140" i="2"/>
  <c r="S2140" i="2"/>
  <c r="R2140" i="2"/>
  <c r="Q2140" i="2"/>
  <c r="P2140" i="2"/>
  <c r="O2140" i="2"/>
  <c r="N2140" i="2"/>
  <c r="K2140" i="2"/>
  <c r="J2140" i="2"/>
  <c r="I2140" i="2"/>
  <c r="H2140" i="2"/>
  <c r="G2140" i="2"/>
  <c r="F2140" i="2"/>
  <c r="E2140" i="2"/>
  <c r="D2140" i="2"/>
  <c r="C2140" i="2"/>
  <c r="B2140" i="2"/>
  <c r="A2140" i="2"/>
  <c r="AX2139" i="2"/>
  <c r="AV2139" i="2"/>
  <c r="AU2139" i="2"/>
  <c r="AS2139" i="2"/>
  <c r="AR2139" i="2"/>
  <c r="AQ2139" i="2"/>
  <c r="AO2139" i="2"/>
  <c r="AL2139" i="2"/>
  <c r="AI2139" i="2"/>
  <c r="AH2139" i="2"/>
  <c r="AG2139" i="2"/>
  <c r="AF2139" i="2"/>
  <c r="AE2139" i="2"/>
  <c r="AC2139" i="2"/>
  <c r="AA2139" i="2"/>
  <c r="Z2139" i="2"/>
  <c r="Y2139" i="2"/>
  <c r="X2139" i="2"/>
  <c r="W2139" i="2"/>
  <c r="V2139" i="2"/>
  <c r="U2139" i="2"/>
  <c r="T2139" i="2"/>
  <c r="S2139" i="2"/>
  <c r="R2139" i="2"/>
  <c r="Q2139" i="2"/>
  <c r="P2139" i="2"/>
  <c r="O2139" i="2"/>
  <c r="N2139" i="2"/>
  <c r="K2139" i="2"/>
  <c r="J2139" i="2"/>
  <c r="I2139" i="2"/>
  <c r="H2139" i="2"/>
  <c r="G2139" i="2"/>
  <c r="F2139" i="2"/>
  <c r="E2139" i="2"/>
  <c r="D2139" i="2"/>
  <c r="C2139" i="2"/>
  <c r="B2139" i="2"/>
  <c r="A2139" i="2"/>
  <c r="AX2138" i="2"/>
  <c r="AV2138" i="2"/>
  <c r="AU2138" i="2"/>
  <c r="AS2138" i="2"/>
  <c r="AR2138" i="2"/>
  <c r="AQ2138" i="2"/>
  <c r="AO2138" i="2"/>
  <c r="AL2138" i="2"/>
  <c r="AK2138" i="2"/>
  <c r="AJ2138" i="2"/>
  <c r="AI2138" i="2"/>
  <c r="AH2138" i="2"/>
  <c r="AG2138" i="2"/>
  <c r="AF2138" i="2"/>
  <c r="AE2138" i="2"/>
  <c r="AD2138" i="2"/>
  <c r="AC2138" i="2"/>
  <c r="AA2138" i="2"/>
  <c r="Z2138" i="2"/>
  <c r="Y2138" i="2"/>
  <c r="X2138" i="2"/>
  <c r="W2138" i="2"/>
  <c r="V2138" i="2"/>
  <c r="U2138" i="2"/>
  <c r="T2138" i="2"/>
  <c r="S2138" i="2"/>
  <c r="R2138" i="2"/>
  <c r="Q2138" i="2"/>
  <c r="P2138" i="2"/>
  <c r="O2138" i="2"/>
  <c r="N2138" i="2"/>
  <c r="K2138" i="2"/>
  <c r="J2138" i="2"/>
  <c r="I2138" i="2"/>
  <c r="H2138" i="2"/>
  <c r="G2138" i="2"/>
  <c r="F2138" i="2"/>
  <c r="E2138" i="2"/>
  <c r="D2138" i="2"/>
  <c r="C2138" i="2"/>
  <c r="B2138" i="2"/>
  <c r="A2138" i="2"/>
  <c r="AX2137" i="2"/>
  <c r="AV2137" i="2"/>
  <c r="AU2137" i="2"/>
  <c r="AT2137" i="2"/>
  <c r="AR2137" i="2"/>
  <c r="AO2137" i="2"/>
  <c r="AN2137" i="2"/>
  <c r="AM2137" i="2"/>
  <c r="AK2137" i="2"/>
  <c r="AJ2137" i="2"/>
  <c r="AI2137" i="2"/>
  <c r="AH2137" i="2"/>
  <c r="AG2137" i="2"/>
  <c r="AE2137" i="2"/>
  <c r="AC2137" i="2"/>
  <c r="Z2137" i="2"/>
  <c r="Y2137" i="2"/>
  <c r="X2137" i="2"/>
  <c r="W2137" i="2"/>
  <c r="V2137" i="2"/>
  <c r="U2137" i="2"/>
  <c r="T2137" i="2"/>
  <c r="S2137" i="2"/>
  <c r="R2137" i="2"/>
  <c r="Q2137" i="2"/>
  <c r="P2137" i="2"/>
  <c r="O2137" i="2"/>
  <c r="N2137" i="2"/>
  <c r="M2137" i="2"/>
  <c r="L2137" i="2"/>
  <c r="K2137" i="2"/>
  <c r="J2137" i="2"/>
  <c r="I2137" i="2"/>
  <c r="H2137" i="2"/>
  <c r="G2137" i="2"/>
  <c r="F2137" i="2"/>
  <c r="E2137" i="2"/>
  <c r="D2137" i="2"/>
  <c r="C2137" i="2"/>
  <c r="B2137" i="2"/>
  <c r="A2137" i="2"/>
  <c r="AX2136" i="2"/>
  <c r="AV2136" i="2"/>
  <c r="AU2136" i="2"/>
  <c r="AR2136" i="2"/>
  <c r="AQ2136" i="2"/>
  <c r="AP2136" i="2"/>
  <c r="AO2136" i="2"/>
  <c r="AL2136" i="2"/>
  <c r="AK2136" i="2"/>
  <c r="AJ2136" i="2"/>
  <c r="AI2136" i="2"/>
  <c r="AH2136" i="2"/>
  <c r="AG2136" i="2"/>
  <c r="AD2136" i="2"/>
  <c r="AC2136" i="2"/>
  <c r="AA2136" i="2"/>
  <c r="Z2136" i="2"/>
  <c r="Y2136" i="2"/>
  <c r="X2136" i="2"/>
  <c r="W2136" i="2"/>
  <c r="V2136" i="2"/>
  <c r="U2136" i="2"/>
  <c r="T2136" i="2"/>
  <c r="S2136" i="2"/>
  <c r="R2136" i="2"/>
  <c r="Q2136" i="2"/>
  <c r="P2136" i="2"/>
  <c r="O2136" i="2"/>
  <c r="N2136" i="2"/>
  <c r="K2136" i="2"/>
  <c r="J2136" i="2"/>
  <c r="I2136" i="2"/>
  <c r="H2136" i="2"/>
  <c r="G2136" i="2"/>
  <c r="F2136" i="2"/>
  <c r="E2136" i="2"/>
  <c r="D2136" i="2"/>
  <c r="C2136" i="2"/>
  <c r="B2136" i="2"/>
  <c r="A2136" i="2"/>
  <c r="AX2135" i="2"/>
  <c r="AV2135" i="2"/>
  <c r="AU2135" i="2"/>
  <c r="AS2135" i="2"/>
  <c r="AP2135" i="2"/>
  <c r="AO2135" i="2"/>
  <c r="AM2135" i="2"/>
  <c r="AL2135" i="2"/>
  <c r="AK2135" i="2"/>
  <c r="AJ2135" i="2"/>
  <c r="AI2135" i="2"/>
  <c r="AH2135" i="2"/>
  <c r="AG2135" i="2"/>
  <c r="AE2135" i="2"/>
  <c r="AD2135" i="2"/>
  <c r="AC2135" i="2"/>
  <c r="AA2135" i="2"/>
  <c r="Z2135" i="2"/>
  <c r="Y2135" i="2"/>
  <c r="X2135" i="2"/>
  <c r="W2135" i="2"/>
  <c r="V2135" i="2"/>
  <c r="U2135" i="2"/>
  <c r="T2135" i="2"/>
  <c r="S2135" i="2"/>
  <c r="R2135" i="2"/>
  <c r="Q2135" i="2"/>
  <c r="P2135" i="2"/>
  <c r="O2135" i="2"/>
  <c r="N2135" i="2"/>
  <c r="M2135" i="2"/>
  <c r="K2135" i="2"/>
  <c r="J2135" i="2"/>
  <c r="I2135" i="2"/>
  <c r="H2135" i="2"/>
  <c r="G2135" i="2"/>
  <c r="F2135" i="2"/>
  <c r="E2135" i="2"/>
  <c r="D2135" i="2"/>
  <c r="C2135" i="2"/>
  <c r="B2135" i="2"/>
  <c r="A2135" i="2"/>
  <c r="AX2134" i="2"/>
  <c r="AV2134" i="2"/>
  <c r="AU2134" i="2"/>
  <c r="AS2134" i="2"/>
  <c r="AR2134" i="2"/>
  <c r="AQ2134" i="2"/>
  <c r="AP2134" i="2"/>
  <c r="AO2134" i="2"/>
  <c r="AL2134" i="2"/>
  <c r="AK2134" i="2"/>
  <c r="AI2134" i="2"/>
  <c r="AH2134" i="2"/>
  <c r="AG2134" i="2"/>
  <c r="AE2134" i="2"/>
  <c r="AD2134" i="2"/>
  <c r="AC2134" i="2"/>
  <c r="AA2134" i="2"/>
  <c r="Z2134" i="2"/>
  <c r="Y2134" i="2"/>
  <c r="X2134" i="2"/>
  <c r="W2134" i="2"/>
  <c r="V2134" i="2"/>
  <c r="U2134" i="2"/>
  <c r="T2134" i="2"/>
  <c r="S2134" i="2"/>
  <c r="R2134" i="2"/>
  <c r="Q2134" i="2"/>
  <c r="P2134" i="2"/>
  <c r="O2134" i="2"/>
  <c r="N2134" i="2"/>
  <c r="K2134" i="2"/>
  <c r="J2134" i="2"/>
  <c r="I2134" i="2"/>
  <c r="H2134" i="2"/>
  <c r="G2134" i="2"/>
  <c r="F2134" i="2"/>
  <c r="E2134" i="2"/>
  <c r="D2134" i="2"/>
  <c r="C2134" i="2"/>
  <c r="B2134" i="2"/>
  <c r="A2134" i="2"/>
  <c r="AX2133" i="2"/>
  <c r="AV2133" i="2"/>
  <c r="AU2133" i="2"/>
  <c r="AS2133" i="2"/>
  <c r="AR2133" i="2"/>
  <c r="AQ2133" i="2"/>
  <c r="AP2133" i="2"/>
  <c r="AO2133" i="2"/>
  <c r="AL2133" i="2"/>
  <c r="AK2133" i="2"/>
  <c r="AJ2133" i="2"/>
  <c r="AI2133" i="2"/>
  <c r="AH2133" i="2"/>
  <c r="AG2133" i="2"/>
  <c r="AE2133" i="2"/>
  <c r="AD2133" i="2"/>
  <c r="AC2133" i="2"/>
  <c r="AA2133" i="2"/>
  <c r="Z2133" i="2"/>
  <c r="Y2133" i="2"/>
  <c r="X2133" i="2"/>
  <c r="W2133" i="2"/>
  <c r="V2133" i="2"/>
  <c r="U2133" i="2"/>
  <c r="T2133" i="2"/>
  <c r="S2133" i="2"/>
  <c r="R2133" i="2"/>
  <c r="Q2133" i="2"/>
  <c r="P2133" i="2"/>
  <c r="O2133" i="2"/>
  <c r="N2133" i="2"/>
  <c r="M2133" i="2"/>
  <c r="K2133" i="2"/>
  <c r="J2133" i="2"/>
  <c r="I2133" i="2"/>
  <c r="H2133" i="2"/>
  <c r="G2133" i="2"/>
  <c r="F2133" i="2"/>
  <c r="E2133" i="2"/>
  <c r="D2133" i="2"/>
  <c r="C2133" i="2"/>
  <c r="B2133" i="2"/>
  <c r="A2133" i="2"/>
  <c r="AX2132" i="2"/>
  <c r="AV2132" i="2"/>
  <c r="AU2132" i="2"/>
  <c r="AS2132" i="2"/>
  <c r="AR2132" i="2"/>
  <c r="AQ2132" i="2"/>
  <c r="AO2132" i="2"/>
  <c r="AL2132" i="2"/>
  <c r="AK2132" i="2"/>
  <c r="AJ2132" i="2"/>
  <c r="AI2132" i="2"/>
  <c r="AH2132" i="2"/>
  <c r="AG2132" i="2"/>
  <c r="AE2132" i="2"/>
  <c r="AD2132" i="2"/>
  <c r="AC2132" i="2"/>
  <c r="AA2132" i="2"/>
  <c r="Z2132" i="2"/>
  <c r="Y2132" i="2"/>
  <c r="X2132" i="2"/>
  <c r="W2132" i="2"/>
  <c r="V2132" i="2"/>
  <c r="U2132" i="2"/>
  <c r="T2132" i="2"/>
  <c r="S2132" i="2"/>
  <c r="R2132" i="2"/>
  <c r="Q2132" i="2"/>
  <c r="P2132" i="2"/>
  <c r="O2132" i="2"/>
  <c r="N2132" i="2"/>
  <c r="K2132" i="2"/>
  <c r="J2132" i="2"/>
  <c r="I2132" i="2"/>
  <c r="H2132" i="2"/>
  <c r="G2132" i="2"/>
  <c r="F2132" i="2"/>
  <c r="E2132" i="2"/>
  <c r="D2132" i="2"/>
  <c r="C2132" i="2"/>
  <c r="B2132" i="2"/>
  <c r="A2132" i="2"/>
  <c r="AX2131" i="2"/>
  <c r="AV2131" i="2"/>
  <c r="AU2131" i="2"/>
  <c r="AS2131" i="2"/>
  <c r="AR2131" i="2"/>
  <c r="AQ2131" i="2"/>
  <c r="AO2131" i="2"/>
  <c r="AM2131" i="2"/>
  <c r="AL2131" i="2"/>
  <c r="AK2131" i="2"/>
  <c r="AJ2131" i="2"/>
  <c r="AI2131" i="2"/>
  <c r="AH2131" i="2"/>
  <c r="AG2131" i="2"/>
  <c r="AE2131" i="2"/>
  <c r="AD2131" i="2"/>
  <c r="AC2131" i="2"/>
  <c r="AA2131" i="2"/>
  <c r="Z2131" i="2"/>
  <c r="Y2131" i="2"/>
  <c r="X2131" i="2"/>
  <c r="W2131" i="2"/>
  <c r="V2131" i="2"/>
  <c r="U2131" i="2"/>
  <c r="T2131" i="2"/>
  <c r="S2131" i="2"/>
  <c r="R2131" i="2"/>
  <c r="Q2131" i="2"/>
  <c r="P2131" i="2"/>
  <c r="O2131" i="2"/>
  <c r="N2131" i="2"/>
  <c r="K2131" i="2"/>
  <c r="J2131" i="2"/>
  <c r="I2131" i="2"/>
  <c r="H2131" i="2"/>
  <c r="G2131" i="2"/>
  <c r="F2131" i="2"/>
  <c r="E2131" i="2"/>
  <c r="D2131" i="2"/>
  <c r="C2131" i="2"/>
  <c r="B2131" i="2"/>
  <c r="A2131" i="2"/>
  <c r="AX2130" i="2"/>
  <c r="AV2130" i="2"/>
  <c r="AU2130" i="2"/>
  <c r="AS2130" i="2"/>
  <c r="AR2130" i="2"/>
  <c r="AQ2130" i="2"/>
  <c r="AO2130" i="2"/>
  <c r="AL2130" i="2"/>
  <c r="AK2130" i="2"/>
  <c r="AI2130" i="2"/>
  <c r="AH2130" i="2"/>
  <c r="AG2130" i="2"/>
  <c r="AE2130" i="2"/>
  <c r="AD2130" i="2"/>
  <c r="AC2130" i="2"/>
  <c r="AA2130" i="2"/>
  <c r="Z2130" i="2"/>
  <c r="Y2130" i="2"/>
  <c r="X2130" i="2"/>
  <c r="U2130" i="2"/>
  <c r="T2130" i="2"/>
  <c r="S2130" i="2"/>
  <c r="R2130" i="2"/>
  <c r="Q2130" i="2"/>
  <c r="P2130" i="2"/>
  <c r="O2130" i="2"/>
  <c r="N2130" i="2"/>
  <c r="K2130" i="2"/>
  <c r="J2130" i="2"/>
  <c r="I2130" i="2"/>
  <c r="H2130" i="2"/>
  <c r="G2130" i="2"/>
  <c r="F2130" i="2"/>
  <c r="E2130" i="2"/>
  <c r="D2130" i="2"/>
  <c r="C2130" i="2"/>
  <c r="B2130" i="2"/>
  <c r="A2130" i="2"/>
  <c r="AX2129" i="2"/>
  <c r="AV2129" i="2"/>
  <c r="AU2129" i="2"/>
  <c r="AS2129" i="2"/>
  <c r="AR2129" i="2"/>
  <c r="AQ2129" i="2"/>
  <c r="AO2129" i="2"/>
  <c r="AL2129" i="2"/>
  <c r="AK2129" i="2"/>
  <c r="AJ2129" i="2"/>
  <c r="AI2129" i="2"/>
  <c r="AH2129" i="2"/>
  <c r="AG2129" i="2"/>
  <c r="AE2129" i="2"/>
  <c r="AD2129" i="2"/>
  <c r="AC2129" i="2"/>
  <c r="AA2129" i="2"/>
  <c r="Z2129" i="2"/>
  <c r="Y2129" i="2"/>
  <c r="X2129" i="2"/>
  <c r="U2129" i="2"/>
  <c r="T2129" i="2"/>
  <c r="S2129" i="2"/>
  <c r="R2129" i="2"/>
  <c r="Q2129" i="2"/>
  <c r="P2129" i="2"/>
  <c r="O2129" i="2"/>
  <c r="N2129" i="2"/>
  <c r="K2129" i="2"/>
  <c r="J2129" i="2"/>
  <c r="I2129" i="2"/>
  <c r="H2129" i="2"/>
  <c r="G2129" i="2"/>
  <c r="F2129" i="2"/>
  <c r="E2129" i="2"/>
  <c r="D2129" i="2"/>
  <c r="C2129" i="2"/>
  <c r="B2129" i="2"/>
  <c r="A2129" i="2"/>
  <c r="AX2128" i="2"/>
  <c r="AV2128" i="2"/>
  <c r="AU2128" i="2"/>
  <c r="AS2128" i="2"/>
  <c r="AR2128" i="2"/>
  <c r="AQ2128" i="2"/>
  <c r="AO2128" i="2"/>
  <c r="AL2128" i="2"/>
  <c r="AK2128" i="2"/>
  <c r="AI2128" i="2"/>
  <c r="AH2128" i="2"/>
  <c r="AG2128" i="2"/>
  <c r="AF2128" i="2"/>
  <c r="AE2128" i="2"/>
  <c r="AD2128" i="2"/>
  <c r="AC2128" i="2"/>
  <c r="AA2128" i="2"/>
  <c r="Z2128" i="2"/>
  <c r="Y2128" i="2"/>
  <c r="X2128" i="2"/>
  <c r="W2128" i="2"/>
  <c r="V2128" i="2"/>
  <c r="U2128" i="2"/>
  <c r="T2128" i="2"/>
  <c r="S2128" i="2"/>
  <c r="R2128" i="2"/>
  <c r="Q2128" i="2"/>
  <c r="P2128" i="2"/>
  <c r="O2128" i="2"/>
  <c r="N2128" i="2"/>
  <c r="K2128" i="2"/>
  <c r="J2128" i="2"/>
  <c r="I2128" i="2"/>
  <c r="H2128" i="2"/>
  <c r="G2128" i="2"/>
  <c r="F2128" i="2"/>
  <c r="E2128" i="2"/>
  <c r="D2128" i="2"/>
  <c r="C2128" i="2"/>
  <c r="B2128" i="2"/>
  <c r="A2128" i="2"/>
  <c r="AX2127" i="2"/>
  <c r="AV2127" i="2"/>
  <c r="AU2127" i="2"/>
  <c r="AT2127" i="2"/>
  <c r="AS2127" i="2"/>
  <c r="AR2127" i="2"/>
  <c r="AQ2127" i="2"/>
  <c r="AP2127" i="2"/>
  <c r="AO2127" i="2"/>
  <c r="AN2127" i="2"/>
  <c r="AM2127" i="2"/>
  <c r="AL2127" i="2"/>
  <c r="AK2127" i="2"/>
  <c r="AJ2127" i="2"/>
  <c r="AI2127" i="2"/>
  <c r="AH2127" i="2"/>
  <c r="AG2127" i="2"/>
  <c r="AE2127" i="2"/>
  <c r="AD2127" i="2"/>
  <c r="AC2127" i="2"/>
  <c r="AA2127" i="2"/>
  <c r="Z2127" i="2"/>
  <c r="Y2127" i="2"/>
  <c r="X2127" i="2"/>
  <c r="W2127" i="2"/>
  <c r="V2127" i="2"/>
  <c r="U2127" i="2"/>
  <c r="T2127" i="2"/>
  <c r="S2127" i="2"/>
  <c r="R2127" i="2"/>
  <c r="Q2127" i="2"/>
  <c r="P2127" i="2"/>
  <c r="O2127" i="2"/>
  <c r="N2127" i="2"/>
  <c r="M2127" i="2"/>
  <c r="K2127" i="2"/>
  <c r="J2127" i="2"/>
  <c r="I2127" i="2"/>
  <c r="H2127" i="2"/>
  <c r="G2127" i="2"/>
  <c r="F2127" i="2"/>
  <c r="E2127" i="2"/>
  <c r="D2127" i="2"/>
  <c r="C2127" i="2"/>
  <c r="B2127" i="2"/>
  <c r="A2127" i="2"/>
  <c r="AX2126" i="2"/>
  <c r="AV2126" i="2"/>
  <c r="AU2126" i="2"/>
  <c r="AS2126" i="2"/>
  <c r="AR2126" i="2"/>
  <c r="AQ2126" i="2"/>
  <c r="AO2126" i="2"/>
  <c r="AN2126" i="2"/>
  <c r="AM2126" i="2"/>
  <c r="AL2126" i="2"/>
  <c r="AK2126" i="2"/>
  <c r="AJ2126" i="2"/>
  <c r="AI2126" i="2"/>
  <c r="AH2126" i="2"/>
  <c r="AG2126" i="2"/>
  <c r="AE2126" i="2"/>
  <c r="AD2126" i="2"/>
  <c r="AC2126" i="2"/>
  <c r="AA2126" i="2"/>
  <c r="Z2126" i="2"/>
  <c r="Y2126" i="2"/>
  <c r="X2126" i="2"/>
  <c r="V2126" i="2"/>
  <c r="U2126" i="2"/>
  <c r="T2126" i="2"/>
  <c r="S2126" i="2"/>
  <c r="R2126" i="2"/>
  <c r="Q2126" i="2"/>
  <c r="P2126" i="2"/>
  <c r="O2126" i="2"/>
  <c r="N2126" i="2"/>
  <c r="M2126" i="2"/>
  <c r="K2126" i="2"/>
  <c r="J2126" i="2"/>
  <c r="I2126" i="2"/>
  <c r="H2126" i="2"/>
  <c r="G2126" i="2"/>
  <c r="F2126" i="2"/>
  <c r="E2126" i="2"/>
  <c r="D2126" i="2"/>
  <c r="C2126" i="2"/>
  <c r="B2126" i="2"/>
  <c r="A2126" i="2"/>
  <c r="AX2125" i="2"/>
  <c r="AV2125" i="2"/>
  <c r="AU2125" i="2"/>
  <c r="AS2125" i="2"/>
  <c r="AR2125" i="2"/>
  <c r="AQ2125" i="2"/>
  <c r="AO2125" i="2"/>
  <c r="AL2125" i="2"/>
  <c r="AK2125" i="2"/>
  <c r="AJ2125" i="2"/>
  <c r="AI2125" i="2"/>
  <c r="AH2125" i="2"/>
  <c r="AG2125" i="2"/>
  <c r="AE2125" i="2"/>
  <c r="AD2125" i="2"/>
  <c r="AC2125" i="2"/>
  <c r="AA2125" i="2"/>
  <c r="Z2125" i="2"/>
  <c r="Y2125" i="2"/>
  <c r="X2125" i="2"/>
  <c r="V2125" i="2"/>
  <c r="U2125" i="2"/>
  <c r="T2125" i="2"/>
  <c r="S2125" i="2"/>
  <c r="R2125" i="2"/>
  <c r="Q2125" i="2"/>
  <c r="P2125" i="2"/>
  <c r="O2125" i="2"/>
  <c r="N2125" i="2"/>
  <c r="K2125" i="2"/>
  <c r="J2125" i="2"/>
  <c r="I2125" i="2"/>
  <c r="H2125" i="2"/>
  <c r="G2125" i="2"/>
  <c r="F2125" i="2"/>
  <c r="E2125" i="2"/>
  <c r="D2125" i="2"/>
  <c r="C2125" i="2"/>
  <c r="B2125" i="2"/>
  <c r="A2125" i="2"/>
  <c r="AX2124" i="2"/>
  <c r="AV2124" i="2"/>
  <c r="AU2124" i="2"/>
  <c r="AR2124" i="2"/>
  <c r="AQ2124" i="2"/>
  <c r="AO2124" i="2"/>
  <c r="AL2124" i="2"/>
  <c r="AK2124" i="2"/>
  <c r="AJ2124" i="2"/>
  <c r="AI2124" i="2"/>
  <c r="AH2124" i="2"/>
  <c r="AG2124" i="2"/>
  <c r="AF2124" i="2"/>
  <c r="AE2124" i="2"/>
  <c r="AD2124" i="2"/>
  <c r="AC2124" i="2"/>
  <c r="AA2124" i="2"/>
  <c r="Z2124" i="2"/>
  <c r="Y2124" i="2"/>
  <c r="X2124" i="2"/>
  <c r="W2124" i="2"/>
  <c r="V2124" i="2"/>
  <c r="U2124" i="2"/>
  <c r="T2124" i="2"/>
  <c r="S2124" i="2"/>
  <c r="R2124" i="2"/>
  <c r="Q2124" i="2"/>
  <c r="P2124" i="2"/>
  <c r="O2124" i="2"/>
  <c r="N2124" i="2"/>
  <c r="K2124" i="2"/>
  <c r="J2124" i="2"/>
  <c r="I2124" i="2"/>
  <c r="H2124" i="2"/>
  <c r="G2124" i="2"/>
  <c r="F2124" i="2"/>
  <c r="E2124" i="2"/>
  <c r="D2124" i="2"/>
  <c r="C2124" i="2"/>
  <c r="B2124" i="2"/>
  <c r="A2124" i="2"/>
  <c r="AX2123" i="2"/>
  <c r="AV2123" i="2"/>
  <c r="AU2123" i="2"/>
  <c r="AS2123" i="2"/>
  <c r="AR2123" i="2"/>
  <c r="AQ2123" i="2"/>
  <c r="AO2123" i="2"/>
  <c r="AL2123" i="2"/>
  <c r="AK2123" i="2"/>
  <c r="AJ2123" i="2"/>
  <c r="AI2123" i="2"/>
  <c r="AH2123" i="2"/>
  <c r="AG2123" i="2"/>
  <c r="AF2123" i="2"/>
  <c r="AE2123" i="2"/>
  <c r="AD2123" i="2"/>
  <c r="AC2123" i="2"/>
  <c r="AA2123" i="2"/>
  <c r="Z2123" i="2"/>
  <c r="Y2123" i="2"/>
  <c r="X2123" i="2"/>
  <c r="W2123" i="2"/>
  <c r="V2123" i="2"/>
  <c r="U2123" i="2"/>
  <c r="T2123" i="2"/>
  <c r="S2123" i="2"/>
  <c r="R2123" i="2"/>
  <c r="Q2123" i="2"/>
  <c r="P2123" i="2"/>
  <c r="O2123" i="2"/>
  <c r="N2123" i="2"/>
  <c r="K2123" i="2"/>
  <c r="J2123" i="2"/>
  <c r="I2123" i="2"/>
  <c r="H2123" i="2"/>
  <c r="G2123" i="2"/>
  <c r="F2123" i="2"/>
  <c r="E2123" i="2"/>
  <c r="D2123" i="2"/>
  <c r="C2123" i="2"/>
  <c r="B2123" i="2"/>
  <c r="A2123" i="2"/>
  <c r="AX2122" i="2"/>
  <c r="AV2122" i="2"/>
  <c r="AU2122" i="2"/>
  <c r="AS2122" i="2"/>
  <c r="AR2122" i="2"/>
  <c r="AQ2122" i="2"/>
  <c r="AO2122" i="2"/>
  <c r="AL2122" i="2"/>
  <c r="AK2122" i="2"/>
  <c r="AJ2122" i="2"/>
  <c r="AI2122" i="2"/>
  <c r="AH2122" i="2"/>
  <c r="AG2122" i="2"/>
  <c r="AE2122" i="2"/>
  <c r="AD2122" i="2"/>
  <c r="AC2122" i="2"/>
  <c r="AA2122" i="2"/>
  <c r="Z2122" i="2"/>
  <c r="Y2122" i="2"/>
  <c r="X2122" i="2"/>
  <c r="V2122" i="2"/>
  <c r="U2122" i="2"/>
  <c r="T2122" i="2"/>
  <c r="S2122" i="2"/>
  <c r="R2122" i="2"/>
  <c r="Q2122" i="2"/>
  <c r="P2122" i="2"/>
  <c r="O2122" i="2"/>
  <c r="N2122" i="2"/>
  <c r="K2122" i="2"/>
  <c r="J2122" i="2"/>
  <c r="I2122" i="2"/>
  <c r="H2122" i="2"/>
  <c r="G2122" i="2"/>
  <c r="F2122" i="2"/>
  <c r="E2122" i="2"/>
  <c r="D2122" i="2"/>
  <c r="C2122" i="2"/>
  <c r="B2122" i="2"/>
  <c r="A2122" i="2"/>
  <c r="AX2121" i="2"/>
  <c r="AV2121" i="2"/>
  <c r="AU2121" i="2"/>
  <c r="AS2121" i="2"/>
  <c r="AR2121" i="2"/>
  <c r="AQ2121" i="2"/>
  <c r="AO2121" i="2"/>
  <c r="AL2121" i="2"/>
  <c r="AK2121" i="2"/>
  <c r="AJ2121" i="2"/>
  <c r="AI2121" i="2"/>
  <c r="AH2121" i="2"/>
  <c r="AG2121" i="2"/>
  <c r="AE2121" i="2"/>
  <c r="AD2121" i="2"/>
  <c r="AC2121" i="2"/>
  <c r="AA2121" i="2"/>
  <c r="Z2121" i="2"/>
  <c r="Y2121" i="2"/>
  <c r="X2121" i="2"/>
  <c r="U2121" i="2"/>
  <c r="T2121" i="2"/>
  <c r="S2121" i="2"/>
  <c r="R2121" i="2"/>
  <c r="Q2121" i="2"/>
  <c r="P2121" i="2"/>
  <c r="O2121" i="2"/>
  <c r="N2121" i="2"/>
  <c r="K2121" i="2"/>
  <c r="J2121" i="2"/>
  <c r="I2121" i="2"/>
  <c r="H2121" i="2"/>
  <c r="G2121" i="2"/>
  <c r="F2121" i="2"/>
  <c r="E2121" i="2"/>
  <c r="D2121" i="2"/>
  <c r="C2121" i="2"/>
  <c r="B2121" i="2"/>
  <c r="A2121" i="2"/>
  <c r="AX2120" i="2"/>
  <c r="AV2120" i="2"/>
  <c r="AU2120" i="2"/>
  <c r="AS2120" i="2"/>
  <c r="AR2120" i="2"/>
  <c r="AQ2120" i="2"/>
  <c r="AO2120" i="2"/>
  <c r="AL2120" i="2"/>
  <c r="AK2120" i="2"/>
  <c r="AJ2120" i="2"/>
  <c r="AI2120" i="2"/>
  <c r="AH2120" i="2"/>
  <c r="AG2120" i="2"/>
  <c r="AE2120" i="2"/>
  <c r="AD2120" i="2"/>
  <c r="AC2120" i="2"/>
  <c r="AA2120" i="2"/>
  <c r="Z2120" i="2"/>
  <c r="Y2120" i="2"/>
  <c r="X2120" i="2"/>
  <c r="V2120" i="2"/>
  <c r="U2120" i="2"/>
  <c r="T2120" i="2"/>
  <c r="S2120" i="2"/>
  <c r="R2120" i="2"/>
  <c r="Q2120" i="2"/>
  <c r="P2120" i="2"/>
  <c r="O2120" i="2"/>
  <c r="N2120" i="2"/>
  <c r="K2120" i="2"/>
  <c r="J2120" i="2"/>
  <c r="I2120" i="2"/>
  <c r="H2120" i="2"/>
  <c r="G2120" i="2"/>
  <c r="F2120" i="2"/>
  <c r="E2120" i="2"/>
  <c r="D2120" i="2"/>
  <c r="C2120" i="2"/>
  <c r="B2120" i="2"/>
  <c r="A2120" i="2"/>
  <c r="AX2119" i="2"/>
  <c r="AV2119" i="2"/>
  <c r="AU2119" i="2"/>
  <c r="AS2119" i="2"/>
  <c r="AR2119" i="2"/>
  <c r="AQ2119" i="2"/>
  <c r="AO2119" i="2"/>
  <c r="AN2119" i="2"/>
  <c r="AM2119" i="2"/>
  <c r="AL2119" i="2"/>
  <c r="AK2119" i="2"/>
  <c r="AJ2119" i="2"/>
  <c r="AI2119" i="2"/>
  <c r="AH2119" i="2"/>
  <c r="AG2119" i="2"/>
  <c r="AE2119" i="2"/>
  <c r="AC2119" i="2"/>
  <c r="AA2119" i="2"/>
  <c r="Z2119" i="2"/>
  <c r="Y2119" i="2"/>
  <c r="X2119" i="2"/>
  <c r="W2119" i="2"/>
  <c r="V2119" i="2"/>
  <c r="U2119" i="2"/>
  <c r="T2119" i="2"/>
  <c r="S2119" i="2"/>
  <c r="R2119" i="2"/>
  <c r="Q2119" i="2"/>
  <c r="P2119" i="2"/>
  <c r="O2119" i="2"/>
  <c r="N2119" i="2"/>
  <c r="K2119" i="2"/>
  <c r="J2119" i="2"/>
  <c r="I2119" i="2"/>
  <c r="H2119" i="2"/>
  <c r="G2119" i="2"/>
  <c r="F2119" i="2"/>
  <c r="E2119" i="2"/>
  <c r="D2119" i="2"/>
  <c r="C2119" i="2"/>
  <c r="B2119" i="2"/>
  <c r="A2119" i="2"/>
  <c r="AX2118" i="2"/>
  <c r="AV2118" i="2"/>
  <c r="AU2118" i="2"/>
  <c r="AR2118" i="2"/>
  <c r="AQ2118" i="2"/>
  <c r="AO2118" i="2"/>
  <c r="AK2118" i="2"/>
  <c r="AJ2118" i="2"/>
  <c r="AI2118" i="2"/>
  <c r="AH2118" i="2"/>
  <c r="AG2118" i="2"/>
  <c r="AE2118" i="2"/>
  <c r="AD2118" i="2"/>
  <c r="AC2118" i="2"/>
  <c r="AA2118" i="2"/>
  <c r="Z2118" i="2"/>
  <c r="Y2118" i="2"/>
  <c r="X2118" i="2"/>
  <c r="W2118" i="2"/>
  <c r="V2118" i="2"/>
  <c r="U2118" i="2"/>
  <c r="T2118" i="2"/>
  <c r="S2118" i="2"/>
  <c r="R2118" i="2"/>
  <c r="Q2118" i="2"/>
  <c r="P2118" i="2"/>
  <c r="O2118" i="2"/>
  <c r="N2118" i="2"/>
  <c r="K2118" i="2"/>
  <c r="J2118" i="2"/>
  <c r="I2118" i="2"/>
  <c r="H2118" i="2"/>
  <c r="G2118" i="2"/>
  <c r="F2118" i="2"/>
  <c r="E2118" i="2"/>
  <c r="D2118" i="2"/>
  <c r="C2118" i="2"/>
  <c r="B2118" i="2"/>
  <c r="A2118" i="2"/>
  <c r="AX2117" i="2"/>
  <c r="AV2117" i="2"/>
  <c r="AU2117" i="2"/>
  <c r="AR2117" i="2"/>
  <c r="AQ2117" i="2"/>
  <c r="AO2117" i="2"/>
  <c r="AL2117" i="2"/>
  <c r="AK2117" i="2"/>
  <c r="AJ2117" i="2"/>
  <c r="AI2117" i="2"/>
  <c r="AH2117" i="2"/>
  <c r="AG2117" i="2"/>
  <c r="AE2117" i="2"/>
  <c r="AC2117" i="2"/>
  <c r="AA2117" i="2"/>
  <c r="Z2117" i="2"/>
  <c r="Y2117" i="2"/>
  <c r="X2117" i="2"/>
  <c r="W2117" i="2"/>
  <c r="V2117" i="2"/>
  <c r="U2117" i="2"/>
  <c r="T2117" i="2"/>
  <c r="S2117" i="2"/>
  <c r="R2117" i="2"/>
  <c r="Q2117" i="2"/>
  <c r="P2117" i="2"/>
  <c r="O2117" i="2"/>
  <c r="N2117" i="2"/>
  <c r="K2117" i="2"/>
  <c r="J2117" i="2"/>
  <c r="I2117" i="2"/>
  <c r="H2117" i="2"/>
  <c r="G2117" i="2"/>
  <c r="F2117" i="2"/>
  <c r="E2117" i="2"/>
  <c r="D2117" i="2"/>
  <c r="C2117" i="2"/>
  <c r="B2117" i="2"/>
  <c r="A2117" i="2"/>
  <c r="AX2116" i="2"/>
  <c r="AV2116" i="2"/>
  <c r="AU2116" i="2"/>
  <c r="AS2116" i="2"/>
  <c r="AR2116" i="2"/>
  <c r="AQ2116" i="2"/>
  <c r="AP2116" i="2"/>
  <c r="AO2116" i="2"/>
  <c r="AL2116" i="2"/>
  <c r="AK2116" i="2"/>
  <c r="AJ2116" i="2"/>
  <c r="AI2116" i="2"/>
  <c r="AH2116" i="2"/>
  <c r="AG2116" i="2"/>
  <c r="AE2116" i="2"/>
  <c r="AD2116" i="2"/>
  <c r="AC2116" i="2"/>
  <c r="AA2116" i="2"/>
  <c r="Z2116" i="2"/>
  <c r="Y2116" i="2"/>
  <c r="X2116" i="2"/>
  <c r="W2116" i="2"/>
  <c r="V2116" i="2"/>
  <c r="U2116" i="2"/>
  <c r="T2116" i="2"/>
  <c r="S2116" i="2"/>
  <c r="R2116" i="2"/>
  <c r="Q2116" i="2"/>
  <c r="P2116" i="2"/>
  <c r="O2116" i="2"/>
  <c r="N2116" i="2"/>
  <c r="K2116" i="2"/>
  <c r="J2116" i="2"/>
  <c r="I2116" i="2"/>
  <c r="H2116" i="2"/>
  <c r="G2116" i="2"/>
  <c r="F2116" i="2"/>
  <c r="E2116" i="2"/>
  <c r="D2116" i="2"/>
  <c r="C2116" i="2"/>
  <c r="B2116" i="2"/>
  <c r="A2116" i="2"/>
  <c r="AX2115" i="2"/>
  <c r="AV2115" i="2"/>
  <c r="AU2115" i="2"/>
  <c r="AS2115" i="2"/>
  <c r="AR2115" i="2"/>
  <c r="AQ2115" i="2"/>
  <c r="AO2115" i="2"/>
  <c r="AL2115" i="2"/>
  <c r="AK2115" i="2"/>
  <c r="AJ2115" i="2"/>
  <c r="AI2115" i="2"/>
  <c r="AH2115" i="2"/>
  <c r="AG2115" i="2"/>
  <c r="AE2115" i="2"/>
  <c r="AD2115" i="2"/>
  <c r="AC2115" i="2"/>
  <c r="AA2115" i="2"/>
  <c r="Z2115" i="2"/>
  <c r="Y2115" i="2"/>
  <c r="X2115" i="2"/>
  <c r="W2115" i="2"/>
  <c r="V2115" i="2"/>
  <c r="U2115" i="2"/>
  <c r="T2115" i="2"/>
  <c r="S2115" i="2"/>
  <c r="R2115" i="2"/>
  <c r="Q2115" i="2"/>
  <c r="P2115" i="2"/>
  <c r="O2115" i="2"/>
  <c r="N2115" i="2"/>
  <c r="K2115" i="2"/>
  <c r="J2115" i="2"/>
  <c r="I2115" i="2"/>
  <c r="H2115" i="2"/>
  <c r="G2115" i="2"/>
  <c r="F2115" i="2"/>
  <c r="E2115" i="2"/>
  <c r="D2115" i="2"/>
  <c r="C2115" i="2"/>
  <c r="B2115" i="2"/>
  <c r="A2115" i="2"/>
  <c r="AX2114" i="2"/>
  <c r="AV2114" i="2"/>
  <c r="AU2114" i="2"/>
  <c r="AS2114" i="2"/>
  <c r="AR2114" i="2"/>
  <c r="AQ2114" i="2"/>
  <c r="AO2114" i="2"/>
  <c r="AL2114" i="2"/>
  <c r="AK2114" i="2"/>
  <c r="AJ2114" i="2"/>
  <c r="AI2114" i="2"/>
  <c r="AH2114" i="2"/>
  <c r="AG2114" i="2"/>
  <c r="AE2114" i="2"/>
  <c r="AD2114" i="2"/>
  <c r="AC2114" i="2"/>
  <c r="AA2114" i="2"/>
  <c r="Z2114" i="2"/>
  <c r="Y2114" i="2"/>
  <c r="X2114" i="2"/>
  <c r="W2114" i="2"/>
  <c r="V2114" i="2"/>
  <c r="U2114" i="2"/>
  <c r="T2114" i="2"/>
  <c r="S2114" i="2"/>
  <c r="R2114" i="2"/>
  <c r="Q2114" i="2"/>
  <c r="P2114" i="2"/>
  <c r="O2114" i="2"/>
  <c r="N2114" i="2"/>
  <c r="K2114" i="2"/>
  <c r="J2114" i="2"/>
  <c r="I2114" i="2"/>
  <c r="H2114" i="2"/>
  <c r="G2114" i="2"/>
  <c r="F2114" i="2"/>
  <c r="E2114" i="2"/>
  <c r="D2114" i="2"/>
  <c r="C2114" i="2"/>
  <c r="B2114" i="2"/>
  <c r="A2114" i="2"/>
  <c r="AX2113" i="2"/>
  <c r="AV2113" i="2"/>
  <c r="AU2113" i="2"/>
  <c r="AS2113" i="2"/>
  <c r="AR2113" i="2"/>
  <c r="AQ2113" i="2"/>
  <c r="AO2113" i="2"/>
  <c r="AL2113" i="2"/>
  <c r="AK2113" i="2"/>
  <c r="AJ2113" i="2"/>
  <c r="AI2113" i="2"/>
  <c r="AH2113" i="2"/>
  <c r="AG2113" i="2"/>
  <c r="AE2113" i="2"/>
  <c r="AD2113" i="2"/>
  <c r="AC2113" i="2"/>
  <c r="AA2113" i="2"/>
  <c r="Z2113" i="2"/>
  <c r="Y2113" i="2"/>
  <c r="X2113" i="2"/>
  <c r="W2113" i="2"/>
  <c r="V2113" i="2"/>
  <c r="U2113" i="2"/>
  <c r="T2113" i="2"/>
  <c r="S2113" i="2"/>
  <c r="R2113" i="2"/>
  <c r="Q2113" i="2"/>
  <c r="P2113" i="2"/>
  <c r="O2113" i="2"/>
  <c r="N2113" i="2"/>
  <c r="K2113" i="2"/>
  <c r="J2113" i="2"/>
  <c r="I2113" i="2"/>
  <c r="H2113" i="2"/>
  <c r="G2113" i="2"/>
  <c r="F2113" i="2"/>
  <c r="E2113" i="2"/>
  <c r="D2113" i="2"/>
  <c r="C2113" i="2"/>
  <c r="B2113" i="2"/>
  <c r="A2113" i="2"/>
  <c r="AX2112" i="2"/>
  <c r="AV2112" i="2"/>
  <c r="AU2112" i="2"/>
  <c r="AS2112" i="2"/>
  <c r="AR2112" i="2"/>
  <c r="AQ2112" i="2"/>
  <c r="AO2112" i="2"/>
  <c r="AL2112" i="2"/>
  <c r="AK2112" i="2"/>
  <c r="AJ2112" i="2"/>
  <c r="AI2112" i="2"/>
  <c r="AH2112" i="2"/>
  <c r="AG2112" i="2"/>
  <c r="AE2112" i="2"/>
  <c r="AC2112" i="2"/>
  <c r="AA2112" i="2"/>
  <c r="Z2112" i="2"/>
  <c r="Y2112" i="2"/>
  <c r="X2112" i="2"/>
  <c r="W2112" i="2"/>
  <c r="V2112" i="2"/>
  <c r="U2112" i="2"/>
  <c r="T2112" i="2"/>
  <c r="S2112" i="2"/>
  <c r="R2112" i="2"/>
  <c r="Q2112" i="2"/>
  <c r="P2112" i="2"/>
  <c r="O2112" i="2"/>
  <c r="N2112" i="2"/>
  <c r="K2112" i="2"/>
  <c r="J2112" i="2"/>
  <c r="I2112" i="2"/>
  <c r="H2112" i="2"/>
  <c r="G2112" i="2"/>
  <c r="F2112" i="2"/>
  <c r="E2112" i="2"/>
  <c r="D2112" i="2"/>
  <c r="C2112" i="2"/>
  <c r="B2112" i="2"/>
  <c r="A2112" i="2"/>
  <c r="AX2111" i="2"/>
  <c r="AV2111" i="2"/>
  <c r="AU2111" i="2"/>
  <c r="AS2111" i="2"/>
  <c r="AR2111" i="2"/>
  <c r="AQ2111" i="2"/>
  <c r="AO2111" i="2"/>
  <c r="AL2111" i="2"/>
  <c r="AK2111" i="2"/>
  <c r="AJ2111" i="2"/>
  <c r="AI2111" i="2"/>
  <c r="AH2111" i="2"/>
  <c r="AG2111" i="2"/>
  <c r="AF2111" i="2"/>
  <c r="AC2111" i="2"/>
  <c r="AA2111" i="2"/>
  <c r="Z2111" i="2"/>
  <c r="Y2111" i="2"/>
  <c r="X2111" i="2"/>
  <c r="W2111" i="2"/>
  <c r="V2111" i="2"/>
  <c r="U2111" i="2"/>
  <c r="T2111" i="2"/>
  <c r="S2111" i="2"/>
  <c r="R2111" i="2"/>
  <c r="Q2111" i="2"/>
  <c r="P2111" i="2"/>
  <c r="O2111" i="2"/>
  <c r="N2111" i="2"/>
  <c r="K2111" i="2"/>
  <c r="J2111" i="2"/>
  <c r="I2111" i="2"/>
  <c r="H2111" i="2"/>
  <c r="G2111" i="2"/>
  <c r="F2111" i="2"/>
  <c r="E2111" i="2"/>
  <c r="D2111" i="2"/>
  <c r="C2111" i="2"/>
  <c r="B2111" i="2"/>
  <c r="A2111" i="2"/>
  <c r="AX2110" i="2"/>
  <c r="AV2110" i="2"/>
  <c r="AU2110" i="2"/>
  <c r="AS2110" i="2"/>
  <c r="AR2110" i="2"/>
  <c r="AQ2110" i="2"/>
  <c r="AO2110" i="2"/>
  <c r="AL2110" i="2"/>
  <c r="AK2110" i="2"/>
  <c r="AJ2110" i="2"/>
  <c r="AI2110" i="2"/>
  <c r="AH2110" i="2"/>
  <c r="AG2110" i="2"/>
  <c r="AF2110" i="2"/>
  <c r="AE2110" i="2"/>
  <c r="AD2110" i="2"/>
  <c r="AC2110" i="2"/>
  <c r="AA2110" i="2"/>
  <c r="Z2110" i="2"/>
  <c r="Y2110" i="2"/>
  <c r="X2110" i="2"/>
  <c r="W2110" i="2"/>
  <c r="V2110" i="2"/>
  <c r="U2110" i="2"/>
  <c r="T2110" i="2"/>
  <c r="S2110" i="2"/>
  <c r="R2110" i="2"/>
  <c r="Q2110" i="2"/>
  <c r="P2110" i="2"/>
  <c r="O2110" i="2"/>
  <c r="N2110" i="2"/>
  <c r="K2110" i="2"/>
  <c r="J2110" i="2"/>
  <c r="I2110" i="2"/>
  <c r="H2110" i="2"/>
  <c r="G2110" i="2"/>
  <c r="F2110" i="2"/>
  <c r="E2110" i="2"/>
  <c r="D2110" i="2"/>
  <c r="C2110" i="2"/>
  <c r="B2110" i="2"/>
  <c r="A2110" i="2"/>
  <c r="AX2109" i="2"/>
  <c r="AV2109" i="2"/>
  <c r="AU2109" i="2"/>
  <c r="AS2109" i="2"/>
  <c r="AR2109" i="2"/>
  <c r="AQ2109" i="2"/>
  <c r="AO2109" i="2"/>
  <c r="AL2109" i="2"/>
  <c r="AK2109" i="2"/>
  <c r="AJ2109" i="2"/>
  <c r="AI2109" i="2"/>
  <c r="AH2109" i="2"/>
  <c r="AG2109" i="2"/>
  <c r="AE2109" i="2"/>
  <c r="AD2109" i="2"/>
  <c r="AC2109" i="2"/>
  <c r="AA2109" i="2"/>
  <c r="Z2109" i="2"/>
  <c r="Y2109" i="2"/>
  <c r="X2109" i="2"/>
  <c r="W2109" i="2"/>
  <c r="V2109" i="2"/>
  <c r="U2109" i="2"/>
  <c r="T2109" i="2"/>
  <c r="S2109" i="2"/>
  <c r="R2109" i="2"/>
  <c r="Q2109" i="2"/>
  <c r="P2109" i="2"/>
  <c r="O2109" i="2"/>
  <c r="N2109" i="2"/>
  <c r="K2109" i="2"/>
  <c r="J2109" i="2"/>
  <c r="I2109" i="2"/>
  <c r="H2109" i="2"/>
  <c r="G2109" i="2"/>
  <c r="F2109" i="2"/>
  <c r="E2109" i="2"/>
  <c r="D2109" i="2"/>
  <c r="C2109" i="2"/>
  <c r="B2109" i="2"/>
  <c r="A2109" i="2"/>
  <c r="AX2108" i="2"/>
  <c r="AV2108" i="2"/>
  <c r="AU2108" i="2"/>
  <c r="AS2108" i="2"/>
  <c r="AR2108" i="2"/>
  <c r="AQ2108" i="2"/>
  <c r="AO2108" i="2"/>
  <c r="AL2108" i="2"/>
  <c r="AK2108" i="2"/>
  <c r="AJ2108" i="2"/>
  <c r="AI2108" i="2"/>
  <c r="AH2108" i="2"/>
  <c r="AG2108" i="2"/>
  <c r="AE2108" i="2"/>
  <c r="AD2108" i="2"/>
  <c r="AC2108" i="2"/>
  <c r="AA2108" i="2"/>
  <c r="Z2108" i="2"/>
  <c r="Y2108" i="2"/>
  <c r="X2108" i="2"/>
  <c r="W2108" i="2"/>
  <c r="V2108" i="2"/>
  <c r="U2108" i="2"/>
  <c r="T2108" i="2"/>
  <c r="S2108" i="2"/>
  <c r="R2108" i="2"/>
  <c r="Q2108" i="2"/>
  <c r="P2108" i="2"/>
  <c r="O2108" i="2"/>
  <c r="N2108" i="2"/>
  <c r="K2108" i="2"/>
  <c r="J2108" i="2"/>
  <c r="I2108" i="2"/>
  <c r="H2108" i="2"/>
  <c r="G2108" i="2"/>
  <c r="F2108" i="2"/>
  <c r="E2108" i="2"/>
  <c r="D2108" i="2"/>
  <c r="C2108" i="2"/>
  <c r="B2108" i="2"/>
  <c r="A2108" i="2"/>
  <c r="AX2107" i="2"/>
  <c r="AV2107" i="2"/>
  <c r="AU2107" i="2"/>
  <c r="AS2107" i="2"/>
  <c r="AR2107" i="2"/>
  <c r="AQ2107" i="2"/>
  <c r="AO2107" i="2"/>
  <c r="AL2107" i="2"/>
  <c r="AK2107" i="2"/>
  <c r="AJ2107" i="2"/>
  <c r="AI2107" i="2"/>
  <c r="AH2107" i="2"/>
  <c r="AG2107" i="2"/>
  <c r="AF2107" i="2"/>
  <c r="AE2107" i="2"/>
  <c r="AD2107" i="2"/>
  <c r="AC2107" i="2"/>
  <c r="AA2107" i="2"/>
  <c r="Z2107" i="2"/>
  <c r="Y2107" i="2"/>
  <c r="X2107" i="2"/>
  <c r="W2107" i="2"/>
  <c r="V2107" i="2"/>
  <c r="U2107" i="2"/>
  <c r="T2107" i="2"/>
  <c r="S2107" i="2"/>
  <c r="R2107" i="2"/>
  <c r="Q2107" i="2"/>
  <c r="P2107" i="2"/>
  <c r="O2107" i="2"/>
  <c r="N2107" i="2"/>
  <c r="K2107" i="2"/>
  <c r="J2107" i="2"/>
  <c r="I2107" i="2"/>
  <c r="H2107" i="2"/>
  <c r="G2107" i="2"/>
  <c r="F2107" i="2"/>
  <c r="E2107" i="2"/>
  <c r="D2107" i="2"/>
  <c r="C2107" i="2"/>
  <c r="B2107" i="2"/>
  <c r="A2107" i="2"/>
  <c r="AX2106" i="2"/>
  <c r="AV2106" i="2"/>
  <c r="AU2106" i="2"/>
  <c r="AS2106" i="2"/>
  <c r="AR2106" i="2"/>
  <c r="AQ2106" i="2"/>
  <c r="AO2106" i="2"/>
  <c r="AL2106" i="2"/>
  <c r="AK2106" i="2"/>
  <c r="AJ2106" i="2"/>
  <c r="AI2106" i="2"/>
  <c r="AH2106" i="2"/>
  <c r="AG2106" i="2"/>
  <c r="AE2106" i="2"/>
  <c r="AD2106" i="2"/>
  <c r="AC2106" i="2"/>
  <c r="AA2106" i="2"/>
  <c r="Z2106" i="2"/>
  <c r="Y2106" i="2"/>
  <c r="X2106" i="2"/>
  <c r="W2106" i="2"/>
  <c r="V2106" i="2"/>
  <c r="U2106" i="2"/>
  <c r="T2106" i="2"/>
  <c r="S2106" i="2"/>
  <c r="R2106" i="2"/>
  <c r="Q2106" i="2"/>
  <c r="P2106" i="2"/>
  <c r="O2106" i="2"/>
  <c r="N2106" i="2"/>
  <c r="K2106" i="2"/>
  <c r="J2106" i="2"/>
  <c r="I2106" i="2"/>
  <c r="H2106" i="2"/>
  <c r="G2106" i="2"/>
  <c r="F2106" i="2"/>
  <c r="E2106" i="2"/>
  <c r="D2106" i="2"/>
  <c r="C2106" i="2"/>
  <c r="B2106" i="2"/>
  <c r="A2106" i="2"/>
  <c r="AX2105" i="2"/>
  <c r="AV2105" i="2"/>
  <c r="AU2105" i="2"/>
  <c r="AR2105" i="2"/>
  <c r="AQ2105" i="2"/>
  <c r="AO2105" i="2"/>
  <c r="AL2105" i="2"/>
  <c r="AK2105" i="2"/>
  <c r="AJ2105" i="2"/>
  <c r="AI2105" i="2"/>
  <c r="AH2105" i="2"/>
  <c r="AG2105" i="2"/>
  <c r="AD2105" i="2"/>
  <c r="AC2105" i="2"/>
  <c r="AA2105" i="2"/>
  <c r="Z2105" i="2"/>
  <c r="Y2105" i="2"/>
  <c r="X2105" i="2"/>
  <c r="W2105" i="2"/>
  <c r="V2105" i="2"/>
  <c r="U2105" i="2"/>
  <c r="T2105" i="2"/>
  <c r="S2105" i="2"/>
  <c r="R2105" i="2"/>
  <c r="Q2105" i="2"/>
  <c r="P2105" i="2"/>
  <c r="O2105" i="2"/>
  <c r="N2105" i="2"/>
  <c r="K2105" i="2"/>
  <c r="J2105" i="2"/>
  <c r="I2105" i="2"/>
  <c r="H2105" i="2"/>
  <c r="G2105" i="2"/>
  <c r="F2105" i="2"/>
  <c r="E2105" i="2"/>
  <c r="D2105" i="2"/>
  <c r="C2105" i="2"/>
  <c r="B2105" i="2"/>
  <c r="A2105" i="2"/>
  <c r="AX2104" i="2"/>
  <c r="AV2104" i="2"/>
  <c r="AU2104" i="2"/>
  <c r="AS2104" i="2"/>
  <c r="AR2104" i="2"/>
  <c r="AQ2104" i="2"/>
  <c r="AO2104" i="2"/>
  <c r="AL2104" i="2"/>
  <c r="AK2104" i="2"/>
  <c r="AJ2104" i="2"/>
  <c r="AI2104" i="2"/>
  <c r="AH2104" i="2"/>
  <c r="AG2104" i="2"/>
  <c r="AE2104" i="2"/>
  <c r="AD2104" i="2"/>
  <c r="AC2104" i="2"/>
  <c r="AA2104" i="2"/>
  <c r="Z2104" i="2"/>
  <c r="Y2104" i="2"/>
  <c r="X2104" i="2"/>
  <c r="V2104" i="2"/>
  <c r="U2104" i="2"/>
  <c r="T2104" i="2"/>
  <c r="S2104" i="2"/>
  <c r="R2104" i="2"/>
  <c r="Q2104" i="2"/>
  <c r="P2104" i="2"/>
  <c r="O2104" i="2"/>
  <c r="N2104" i="2"/>
  <c r="K2104" i="2"/>
  <c r="J2104" i="2"/>
  <c r="I2104" i="2"/>
  <c r="H2104" i="2"/>
  <c r="G2104" i="2"/>
  <c r="F2104" i="2"/>
  <c r="E2104" i="2"/>
  <c r="D2104" i="2"/>
  <c r="C2104" i="2"/>
  <c r="B2104" i="2"/>
  <c r="A2104" i="2"/>
  <c r="AX2103" i="2"/>
  <c r="AV2103" i="2"/>
  <c r="AU2103" i="2"/>
  <c r="AR2103" i="2"/>
  <c r="AQ2103" i="2"/>
  <c r="AO2103" i="2"/>
  <c r="AK2103" i="2"/>
  <c r="AJ2103" i="2"/>
  <c r="AI2103" i="2"/>
  <c r="AH2103" i="2"/>
  <c r="AG2103" i="2"/>
  <c r="AC2103" i="2"/>
  <c r="AA2103" i="2"/>
  <c r="Z2103" i="2"/>
  <c r="Y2103" i="2"/>
  <c r="X2103" i="2"/>
  <c r="W2103" i="2"/>
  <c r="V2103" i="2"/>
  <c r="U2103" i="2"/>
  <c r="T2103" i="2"/>
  <c r="S2103" i="2"/>
  <c r="R2103" i="2"/>
  <c r="Q2103" i="2"/>
  <c r="P2103" i="2"/>
  <c r="O2103" i="2"/>
  <c r="N2103" i="2"/>
  <c r="K2103" i="2"/>
  <c r="J2103" i="2"/>
  <c r="I2103" i="2"/>
  <c r="H2103" i="2"/>
  <c r="G2103" i="2"/>
  <c r="F2103" i="2"/>
  <c r="E2103" i="2"/>
  <c r="D2103" i="2"/>
  <c r="C2103" i="2"/>
  <c r="B2103" i="2"/>
  <c r="A2103" i="2"/>
  <c r="AX2102" i="2"/>
  <c r="AV2102" i="2"/>
  <c r="AU2102" i="2"/>
  <c r="AS2102" i="2"/>
  <c r="AR2102" i="2"/>
  <c r="AQ2102" i="2"/>
  <c r="AO2102" i="2"/>
  <c r="AL2102" i="2"/>
  <c r="AK2102" i="2"/>
  <c r="AJ2102" i="2"/>
  <c r="AI2102" i="2"/>
  <c r="AH2102" i="2"/>
  <c r="AG2102" i="2"/>
  <c r="AE2102" i="2"/>
  <c r="AD2102" i="2"/>
  <c r="AC2102" i="2"/>
  <c r="AA2102" i="2"/>
  <c r="Z2102" i="2"/>
  <c r="Y2102" i="2"/>
  <c r="X2102" i="2"/>
  <c r="V2102" i="2"/>
  <c r="U2102" i="2"/>
  <c r="T2102" i="2"/>
  <c r="S2102" i="2"/>
  <c r="R2102" i="2"/>
  <c r="Q2102" i="2"/>
  <c r="P2102" i="2"/>
  <c r="O2102" i="2"/>
  <c r="N2102" i="2"/>
  <c r="K2102" i="2"/>
  <c r="J2102" i="2"/>
  <c r="I2102" i="2"/>
  <c r="H2102" i="2"/>
  <c r="G2102" i="2"/>
  <c r="F2102" i="2"/>
  <c r="E2102" i="2"/>
  <c r="D2102" i="2"/>
  <c r="C2102" i="2"/>
  <c r="B2102" i="2"/>
  <c r="A2102" i="2"/>
  <c r="AX2101" i="2"/>
  <c r="AV2101" i="2"/>
  <c r="AU2101" i="2"/>
  <c r="AS2101" i="2"/>
  <c r="AR2101" i="2"/>
  <c r="AQ2101" i="2"/>
  <c r="AO2101" i="2"/>
  <c r="AL2101" i="2"/>
  <c r="AK2101" i="2"/>
  <c r="AJ2101" i="2"/>
  <c r="AI2101" i="2"/>
  <c r="AH2101" i="2"/>
  <c r="AG2101" i="2"/>
  <c r="AE2101" i="2"/>
  <c r="AD2101" i="2"/>
  <c r="AC2101" i="2"/>
  <c r="AA2101" i="2"/>
  <c r="Z2101" i="2"/>
  <c r="Y2101" i="2"/>
  <c r="X2101" i="2"/>
  <c r="V2101" i="2"/>
  <c r="U2101" i="2"/>
  <c r="T2101" i="2"/>
  <c r="S2101" i="2"/>
  <c r="R2101" i="2"/>
  <c r="Q2101" i="2"/>
  <c r="P2101" i="2"/>
  <c r="O2101" i="2"/>
  <c r="N2101" i="2"/>
  <c r="K2101" i="2"/>
  <c r="J2101" i="2"/>
  <c r="I2101" i="2"/>
  <c r="H2101" i="2"/>
  <c r="G2101" i="2"/>
  <c r="F2101" i="2"/>
  <c r="E2101" i="2"/>
  <c r="D2101" i="2"/>
  <c r="C2101" i="2"/>
  <c r="B2101" i="2"/>
  <c r="A2101" i="2"/>
  <c r="AX2100" i="2"/>
  <c r="AV2100" i="2"/>
  <c r="AU2100" i="2"/>
  <c r="AS2100" i="2"/>
  <c r="AR2100" i="2"/>
  <c r="AQ2100" i="2"/>
  <c r="AO2100" i="2"/>
  <c r="AL2100" i="2"/>
  <c r="AK2100" i="2"/>
  <c r="AJ2100" i="2"/>
  <c r="AI2100" i="2"/>
  <c r="AH2100" i="2"/>
  <c r="AG2100" i="2"/>
  <c r="AE2100" i="2"/>
  <c r="AD2100" i="2"/>
  <c r="AC2100" i="2"/>
  <c r="AA2100" i="2"/>
  <c r="Z2100" i="2"/>
  <c r="Y2100" i="2"/>
  <c r="X2100" i="2"/>
  <c r="W2100" i="2"/>
  <c r="V2100" i="2"/>
  <c r="U2100" i="2"/>
  <c r="T2100" i="2"/>
  <c r="S2100" i="2"/>
  <c r="R2100" i="2"/>
  <c r="Q2100" i="2"/>
  <c r="P2100" i="2"/>
  <c r="O2100" i="2"/>
  <c r="N2100" i="2"/>
  <c r="K2100" i="2"/>
  <c r="J2100" i="2"/>
  <c r="I2100" i="2"/>
  <c r="H2100" i="2"/>
  <c r="G2100" i="2"/>
  <c r="F2100" i="2"/>
  <c r="E2100" i="2"/>
  <c r="D2100" i="2"/>
  <c r="C2100" i="2"/>
  <c r="B2100" i="2"/>
  <c r="A2100" i="2"/>
  <c r="AX2099" i="2"/>
  <c r="AV2099" i="2"/>
  <c r="AU2099" i="2"/>
  <c r="AS2099" i="2"/>
  <c r="AR2099" i="2"/>
  <c r="AQ2099" i="2"/>
  <c r="AO2099" i="2"/>
  <c r="AL2099" i="2"/>
  <c r="AK2099" i="2"/>
  <c r="AJ2099" i="2"/>
  <c r="AI2099" i="2"/>
  <c r="AH2099" i="2"/>
  <c r="AG2099" i="2"/>
  <c r="AD2099" i="2"/>
  <c r="AC2099" i="2"/>
  <c r="AA2099" i="2"/>
  <c r="Z2099" i="2"/>
  <c r="Y2099" i="2"/>
  <c r="X2099" i="2"/>
  <c r="W2099" i="2"/>
  <c r="V2099" i="2"/>
  <c r="U2099" i="2"/>
  <c r="T2099" i="2"/>
  <c r="S2099" i="2"/>
  <c r="R2099" i="2"/>
  <c r="Q2099" i="2"/>
  <c r="P2099" i="2"/>
  <c r="O2099" i="2"/>
  <c r="N2099" i="2"/>
  <c r="K2099" i="2"/>
  <c r="J2099" i="2"/>
  <c r="I2099" i="2"/>
  <c r="H2099" i="2"/>
  <c r="G2099" i="2"/>
  <c r="F2099" i="2"/>
  <c r="E2099" i="2"/>
  <c r="D2099" i="2"/>
  <c r="C2099" i="2"/>
  <c r="B2099" i="2"/>
  <c r="A2099" i="2"/>
  <c r="AX2098" i="2"/>
  <c r="AV2098" i="2"/>
  <c r="AU2098" i="2"/>
  <c r="AS2098" i="2"/>
  <c r="AR2098" i="2"/>
  <c r="AQ2098" i="2"/>
  <c r="AO2098" i="2"/>
  <c r="AK2098" i="2"/>
  <c r="AJ2098" i="2"/>
  <c r="AI2098" i="2"/>
  <c r="AH2098" i="2"/>
  <c r="AG2098" i="2"/>
  <c r="AE2098" i="2"/>
  <c r="AD2098" i="2"/>
  <c r="AC2098" i="2"/>
  <c r="AA2098" i="2"/>
  <c r="Z2098" i="2"/>
  <c r="Y2098" i="2"/>
  <c r="X2098" i="2"/>
  <c r="W2098" i="2"/>
  <c r="V2098" i="2"/>
  <c r="U2098" i="2"/>
  <c r="T2098" i="2"/>
  <c r="S2098" i="2"/>
  <c r="R2098" i="2"/>
  <c r="Q2098" i="2"/>
  <c r="P2098" i="2"/>
  <c r="O2098" i="2"/>
  <c r="N2098" i="2"/>
  <c r="K2098" i="2"/>
  <c r="J2098" i="2"/>
  <c r="I2098" i="2"/>
  <c r="H2098" i="2"/>
  <c r="G2098" i="2"/>
  <c r="F2098" i="2"/>
  <c r="E2098" i="2"/>
  <c r="D2098" i="2"/>
  <c r="C2098" i="2"/>
  <c r="B2098" i="2"/>
  <c r="A2098" i="2"/>
  <c r="AX2097" i="2"/>
  <c r="AV2097" i="2"/>
  <c r="AU2097" i="2"/>
  <c r="AS2097" i="2"/>
  <c r="AR2097" i="2"/>
  <c r="AQ2097" i="2"/>
  <c r="AO2097" i="2"/>
  <c r="AL2097" i="2"/>
  <c r="AK2097" i="2"/>
  <c r="AJ2097" i="2"/>
  <c r="AI2097" i="2"/>
  <c r="AH2097" i="2"/>
  <c r="AG2097" i="2"/>
  <c r="AC2097" i="2"/>
  <c r="AA2097" i="2"/>
  <c r="Z2097" i="2"/>
  <c r="Y2097" i="2"/>
  <c r="X2097" i="2"/>
  <c r="V2097" i="2"/>
  <c r="U2097" i="2"/>
  <c r="T2097" i="2"/>
  <c r="S2097" i="2"/>
  <c r="R2097" i="2"/>
  <c r="Q2097" i="2"/>
  <c r="P2097" i="2"/>
  <c r="O2097" i="2"/>
  <c r="N2097" i="2"/>
  <c r="K2097" i="2"/>
  <c r="J2097" i="2"/>
  <c r="I2097" i="2"/>
  <c r="H2097" i="2"/>
  <c r="G2097" i="2"/>
  <c r="F2097" i="2"/>
  <c r="E2097" i="2"/>
  <c r="D2097" i="2"/>
  <c r="C2097" i="2"/>
  <c r="B2097" i="2"/>
  <c r="A2097" i="2"/>
  <c r="AX2096" i="2"/>
  <c r="AV2096" i="2"/>
  <c r="AU2096" i="2"/>
  <c r="AS2096" i="2"/>
  <c r="AR2096" i="2"/>
  <c r="AQ2096" i="2"/>
  <c r="AO2096" i="2"/>
  <c r="AL2096" i="2"/>
  <c r="AK2096" i="2"/>
  <c r="AI2096" i="2"/>
  <c r="AH2096" i="2"/>
  <c r="AG2096" i="2"/>
  <c r="AF2096" i="2"/>
  <c r="AE2096" i="2"/>
  <c r="AC2096" i="2"/>
  <c r="AA2096" i="2"/>
  <c r="Z2096" i="2"/>
  <c r="Y2096" i="2"/>
  <c r="X2096" i="2"/>
  <c r="V2096" i="2"/>
  <c r="U2096" i="2"/>
  <c r="T2096" i="2"/>
  <c r="S2096" i="2"/>
  <c r="R2096" i="2"/>
  <c r="Q2096" i="2"/>
  <c r="P2096" i="2"/>
  <c r="O2096" i="2"/>
  <c r="N2096" i="2"/>
  <c r="K2096" i="2"/>
  <c r="J2096" i="2"/>
  <c r="I2096" i="2"/>
  <c r="H2096" i="2"/>
  <c r="G2096" i="2"/>
  <c r="F2096" i="2"/>
  <c r="E2096" i="2"/>
  <c r="D2096" i="2"/>
  <c r="C2096" i="2"/>
  <c r="B2096" i="2"/>
  <c r="A2096" i="2"/>
  <c r="AX2095" i="2"/>
  <c r="AV2095" i="2"/>
  <c r="AU2095" i="2"/>
  <c r="AS2095" i="2"/>
  <c r="AR2095" i="2"/>
  <c r="AQ2095" i="2"/>
  <c r="AO2095" i="2"/>
  <c r="AL2095" i="2"/>
  <c r="AK2095" i="2"/>
  <c r="AJ2095" i="2"/>
  <c r="AI2095" i="2"/>
  <c r="AH2095" i="2"/>
  <c r="AG2095" i="2"/>
  <c r="AF2095" i="2"/>
  <c r="AE2095" i="2"/>
  <c r="AD2095" i="2"/>
  <c r="AC2095" i="2"/>
  <c r="AA2095" i="2"/>
  <c r="Z2095" i="2"/>
  <c r="Y2095" i="2"/>
  <c r="X2095" i="2"/>
  <c r="W2095" i="2"/>
  <c r="V2095" i="2"/>
  <c r="U2095" i="2"/>
  <c r="T2095" i="2"/>
  <c r="S2095" i="2"/>
  <c r="R2095" i="2"/>
  <c r="Q2095" i="2"/>
  <c r="P2095" i="2"/>
  <c r="O2095" i="2"/>
  <c r="N2095" i="2"/>
  <c r="K2095" i="2"/>
  <c r="J2095" i="2"/>
  <c r="I2095" i="2"/>
  <c r="H2095" i="2"/>
  <c r="G2095" i="2"/>
  <c r="F2095" i="2"/>
  <c r="E2095" i="2"/>
  <c r="D2095" i="2"/>
  <c r="C2095" i="2"/>
  <c r="B2095" i="2"/>
  <c r="A2095" i="2"/>
  <c r="AX2094" i="2"/>
  <c r="AV2094" i="2"/>
  <c r="AU2094" i="2"/>
  <c r="AS2094" i="2"/>
  <c r="AR2094" i="2"/>
  <c r="AQ2094" i="2"/>
  <c r="AO2094" i="2"/>
  <c r="AL2094" i="2"/>
  <c r="AK2094" i="2"/>
  <c r="AJ2094" i="2"/>
  <c r="AI2094" i="2"/>
  <c r="AH2094" i="2"/>
  <c r="AG2094" i="2"/>
  <c r="AE2094" i="2"/>
  <c r="AD2094" i="2"/>
  <c r="AC2094" i="2"/>
  <c r="AA2094" i="2"/>
  <c r="Z2094" i="2"/>
  <c r="Y2094" i="2"/>
  <c r="X2094" i="2"/>
  <c r="V2094" i="2"/>
  <c r="U2094" i="2"/>
  <c r="T2094" i="2"/>
  <c r="S2094" i="2"/>
  <c r="R2094" i="2"/>
  <c r="Q2094" i="2"/>
  <c r="P2094" i="2"/>
  <c r="O2094" i="2"/>
  <c r="N2094" i="2"/>
  <c r="K2094" i="2"/>
  <c r="J2094" i="2"/>
  <c r="I2094" i="2"/>
  <c r="H2094" i="2"/>
  <c r="G2094" i="2"/>
  <c r="F2094" i="2"/>
  <c r="E2094" i="2"/>
  <c r="D2094" i="2"/>
  <c r="C2094" i="2"/>
  <c r="B2094" i="2"/>
  <c r="A2094" i="2"/>
  <c r="AX2093" i="2"/>
  <c r="AV2093" i="2"/>
  <c r="AU2093" i="2"/>
  <c r="AS2093" i="2"/>
  <c r="AR2093" i="2"/>
  <c r="AQ2093" i="2"/>
  <c r="AO2093" i="2"/>
  <c r="AL2093" i="2"/>
  <c r="AK2093" i="2"/>
  <c r="AJ2093" i="2"/>
  <c r="AI2093" i="2"/>
  <c r="AH2093" i="2"/>
  <c r="AG2093" i="2"/>
  <c r="AF2093" i="2"/>
  <c r="AE2093" i="2"/>
  <c r="AD2093" i="2"/>
  <c r="AC2093" i="2"/>
  <c r="AA2093" i="2"/>
  <c r="Z2093" i="2"/>
  <c r="Y2093" i="2"/>
  <c r="X2093" i="2"/>
  <c r="V2093" i="2"/>
  <c r="U2093" i="2"/>
  <c r="T2093" i="2"/>
  <c r="S2093" i="2"/>
  <c r="R2093" i="2"/>
  <c r="Q2093" i="2"/>
  <c r="P2093" i="2"/>
  <c r="O2093" i="2"/>
  <c r="N2093" i="2"/>
  <c r="K2093" i="2"/>
  <c r="J2093" i="2"/>
  <c r="I2093" i="2"/>
  <c r="H2093" i="2"/>
  <c r="G2093" i="2"/>
  <c r="F2093" i="2"/>
  <c r="E2093" i="2"/>
  <c r="D2093" i="2"/>
  <c r="C2093" i="2"/>
  <c r="B2093" i="2"/>
  <c r="A2093" i="2"/>
  <c r="AX2092" i="2"/>
  <c r="AV2092" i="2"/>
  <c r="AU2092" i="2"/>
  <c r="AS2092" i="2"/>
  <c r="AR2092" i="2"/>
  <c r="AQ2092" i="2"/>
  <c r="AP2092" i="2"/>
  <c r="AO2092" i="2"/>
  <c r="AL2092" i="2"/>
  <c r="AK2092" i="2"/>
  <c r="AJ2092" i="2"/>
  <c r="AI2092" i="2"/>
  <c r="AH2092" i="2"/>
  <c r="AG2092" i="2"/>
  <c r="AE2092" i="2"/>
  <c r="AD2092" i="2"/>
  <c r="AC2092" i="2"/>
  <c r="AA2092" i="2"/>
  <c r="Z2092" i="2"/>
  <c r="Y2092" i="2"/>
  <c r="X2092" i="2"/>
  <c r="W2092" i="2"/>
  <c r="V2092" i="2"/>
  <c r="U2092" i="2"/>
  <c r="T2092" i="2"/>
  <c r="S2092" i="2"/>
  <c r="R2092" i="2"/>
  <c r="Q2092" i="2"/>
  <c r="P2092" i="2"/>
  <c r="O2092" i="2"/>
  <c r="N2092" i="2"/>
  <c r="K2092" i="2"/>
  <c r="J2092" i="2"/>
  <c r="I2092" i="2"/>
  <c r="H2092" i="2"/>
  <c r="G2092" i="2"/>
  <c r="F2092" i="2"/>
  <c r="E2092" i="2"/>
  <c r="D2092" i="2"/>
  <c r="C2092" i="2"/>
  <c r="B2092" i="2"/>
  <c r="A2092" i="2"/>
  <c r="AX2091" i="2"/>
  <c r="AV2091" i="2"/>
  <c r="AU2091" i="2"/>
  <c r="AS2091" i="2"/>
  <c r="AR2091" i="2"/>
  <c r="AQ2091" i="2"/>
  <c r="AO2091" i="2"/>
  <c r="AL2091" i="2"/>
  <c r="AK2091" i="2"/>
  <c r="AJ2091" i="2"/>
  <c r="AI2091" i="2"/>
  <c r="AH2091" i="2"/>
  <c r="AG2091" i="2"/>
  <c r="AE2091" i="2"/>
  <c r="AD2091" i="2"/>
  <c r="AC2091" i="2"/>
  <c r="AA2091" i="2"/>
  <c r="Z2091" i="2"/>
  <c r="Y2091" i="2"/>
  <c r="X2091" i="2"/>
  <c r="V2091" i="2"/>
  <c r="U2091" i="2"/>
  <c r="T2091" i="2"/>
  <c r="S2091" i="2"/>
  <c r="R2091" i="2"/>
  <c r="Q2091" i="2"/>
  <c r="P2091" i="2"/>
  <c r="O2091" i="2"/>
  <c r="N2091" i="2"/>
  <c r="K2091" i="2"/>
  <c r="J2091" i="2"/>
  <c r="I2091" i="2"/>
  <c r="H2091" i="2"/>
  <c r="G2091" i="2"/>
  <c r="F2091" i="2"/>
  <c r="E2091" i="2"/>
  <c r="D2091" i="2"/>
  <c r="C2091" i="2"/>
  <c r="B2091" i="2"/>
  <c r="A2091" i="2"/>
  <c r="AX2090" i="2"/>
  <c r="AV2090" i="2"/>
  <c r="AU2090" i="2"/>
  <c r="AS2090" i="2"/>
  <c r="AR2090" i="2"/>
  <c r="AQ2090" i="2"/>
  <c r="AP2090" i="2"/>
  <c r="AO2090" i="2"/>
  <c r="AL2090" i="2"/>
  <c r="AK2090" i="2"/>
  <c r="AJ2090" i="2"/>
  <c r="AI2090" i="2"/>
  <c r="AH2090" i="2"/>
  <c r="AG2090" i="2"/>
  <c r="AD2090" i="2"/>
  <c r="AC2090" i="2"/>
  <c r="AA2090" i="2"/>
  <c r="Z2090" i="2"/>
  <c r="Y2090" i="2"/>
  <c r="X2090" i="2"/>
  <c r="W2090" i="2"/>
  <c r="V2090" i="2"/>
  <c r="U2090" i="2"/>
  <c r="T2090" i="2"/>
  <c r="S2090" i="2"/>
  <c r="R2090" i="2"/>
  <c r="Q2090" i="2"/>
  <c r="P2090" i="2"/>
  <c r="O2090" i="2"/>
  <c r="N2090" i="2"/>
  <c r="K2090" i="2"/>
  <c r="J2090" i="2"/>
  <c r="I2090" i="2"/>
  <c r="H2090" i="2"/>
  <c r="G2090" i="2"/>
  <c r="F2090" i="2"/>
  <c r="E2090" i="2"/>
  <c r="D2090" i="2"/>
  <c r="C2090" i="2"/>
  <c r="B2090" i="2"/>
  <c r="A2090" i="2"/>
  <c r="AX2089" i="2"/>
  <c r="AV2089" i="2"/>
  <c r="AU2089" i="2"/>
  <c r="AS2089" i="2"/>
  <c r="AR2089" i="2"/>
  <c r="AQ2089" i="2"/>
  <c r="AP2089" i="2"/>
  <c r="AO2089" i="2"/>
  <c r="AK2089" i="2"/>
  <c r="AJ2089" i="2"/>
  <c r="AI2089" i="2"/>
  <c r="AH2089" i="2"/>
  <c r="AG2089" i="2"/>
  <c r="AE2089" i="2"/>
  <c r="AD2089" i="2"/>
  <c r="AC2089" i="2"/>
  <c r="AA2089" i="2"/>
  <c r="Z2089" i="2"/>
  <c r="Y2089" i="2"/>
  <c r="X2089" i="2"/>
  <c r="W2089" i="2"/>
  <c r="V2089" i="2"/>
  <c r="U2089" i="2"/>
  <c r="T2089" i="2"/>
  <c r="S2089" i="2"/>
  <c r="R2089" i="2"/>
  <c r="Q2089" i="2"/>
  <c r="P2089" i="2"/>
  <c r="O2089" i="2"/>
  <c r="N2089" i="2"/>
  <c r="K2089" i="2"/>
  <c r="J2089" i="2"/>
  <c r="I2089" i="2"/>
  <c r="H2089" i="2"/>
  <c r="G2089" i="2"/>
  <c r="F2089" i="2"/>
  <c r="E2089" i="2"/>
  <c r="D2089" i="2"/>
  <c r="C2089" i="2"/>
  <c r="B2089" i="2"/>
  <c r="A2089" i="2"/>
  <c r="AX2088" i="2"/>
  <c r="AV2088" i="2"/>
  <c r="AU2088" i="2"/>
  <c r="AS2088" i="2"/>
  <c r="AR2088" i="2"/>
  <c r="AQ2088" i="2"/>
  <c r="AO2088" i="2"/>
  <c r="AL2088" i="2"/>
  <c r="AI2088" i="2"/>
  <c r="AH2088" i="2"/>
  <c r="AG2088" i="2"/>
  <c r="AC2088" i="2"/>
  <c r="AA2088" i="2"/>
  <c r="Z2088" i="2"/>
  <c r="Y2088" i="2"/>
  <c r="X2088" i="2"/>
  <c r="W2088" i="2"/>
  <c r="V2088" i="2"/>
  <c r="U2088" i="2"/>
  <c r="T2088" i="2"/>
  <c r="S2088" i="2"/>
  <c r="R2088" i="2"/>
  <c r="Q2088" i="2"/>
  <c r="P2088" i="2"/>
  <c r="O2088" i="2"/>
  <c r="N2088" i="2"/>
  <c r="K2088" i="2"/>
  <c r="J2088" i="2"/>
  <c r="I2088" i="2"/>
  <c r="H2088" i="2"/>
  <c r="G2088" i="2"/>
  <c r="F2088" i="2"/>
  <c r="E2088" i="2"/>
  <c r="D2088" i="2"/>
  <c r="C2088" i="2"/>
  <c r="B2088" i="2"/>
  <c r="A2088" i="2"/>
  <c r="AX2087" i="2"/>
  <c r="AV2087" i="2"/>
  <c r="AU2087" i="2"/>
  <c r="AS2087" i="2"/>
  <c r="AR2087" i="2"/>
  <c r="AQ2087" i="2"/>
  <c r="AO2087" i="2"/>
  <c r="AL2087" i="2"/>
  <c r="AK2087" i="2"/>
  <c r="AI2087" i="2"/>
  <c r="AH2087" i="2"/>
  <c r="AG2087" i="2"/>
  <c r="AE2087" i="2"/>
  <c r="AD2087" i="2"/>
  <c r="AC2087" i="2"/>
  <c r="AA2087" i="2"/>
  <c r="Z2087" i="2"/>
  <c r="Y2087" i="2"/>
  <c r="X2087" i="2"/>
  <c r="W2087" i="2"/>
  <c r="V2087" i="2"/>
  <c r="U2087" i="2"/>
  <c r="T2087" i="2"/>
  <c r="S2087" i="2"/>
  <c r="R2087" i="2"/>
  <c r="Q2087" i="2"/>
  <c r="P2087" i="2"/>
  <c r="O2087" i="2"/>
  <c r="N2087" i="2"/>
  <c r="K2087" i="2"/>
  <c r="J2087" i="2"/>
  <c r="I2087" i="2"/>
  <c r="H2087" i="2"/>
  <c r="G2087" i="2"/>
  <c r="F2087" i="2"/>
  <c r="E2087" i="2"/>
  <c r="D2087" i="2"/>
  <c r="C2087" i="2"/>
  <c r="B2087" i="2"/>
  <c r="A2087" i="2"/>
  <c r="AX2086" i="2"/>
  <c r="AV2086" i="2"/>
  <c r="AU2086" i="2"/>
  <c r="AS2086" i="2"/>
  <c r="AR2086" i="2"/>
  <c r="AQ2086" i="2"/>
  <c r="AO2086" i="2"/>
  <c r="AL2086" i="2"/>
  <c r="AK2086" i="2"/>
  <c r="AJ2086" i="2"/>
  <c r="AI2086" i="2"/>
  <c r="AH2086" i="2"/>
  <c r="AG2086" i="2"/>
  <c r="AD2086" i="2"/>
  <c r="AC2086" i="2"/>
  <c r="AA2086" i="2"/>
  <c r="Z2086" i="2"/>
  <c r="Y2086" i="2"/>
  <c r="X2086" i="2"/>
  <c r="W2086" i="2"/>
  <c r="V2086" i="2"/>
  <c r="U2086" i="2"/>
  <c r="T2086" i="2"/>
  <c r="S2086" i="2"/>
  <c r="R2086" i="2"/>
  <c r="Q2086" i="2"/>
  <c r="P2086" i="2"/>
  <c r="O2086" i="2"/>
  <c r="N2086" i="2"/>
  <c r="K2086" i="2"/>
  <c r="J2086" i="2"/>
  <c r="I2086" i="2"/>
  <c r="H2086" i="2"/>
  <c r="G2086" i="2"/>
  <c r="F2086" i="2"/>
  <c r="E2086" i="2"/>
  <c r="D2086" i="2"/>
  <c r="C2086" i="2"/>
  <c r="B2086" i="2"/>
  <c r="A2086" i="2"/>
  <c r="AX2085" i="2"/>
  <c r="AV2085" i="2"/>
  <c r="AU2085" i="2"/>
  <c r="AR2085" i="2"/>
  <c r="AQ2085" i="2"/>
  <c r="AP2085" i="2"/>
  <c r="AO2085" i="2"/>
  <c r="AL2085" i="2"/>
  <c r="AK2085" i="2"/>
  <c r="AJ2085" i="2"/>
  <c r="AI2085" i="2"/>
  <c r="AH2085" i="2"/>
  <c r="AG2085" i="2"/>
  <c r="AC2085" i="2"/>
  <c r="AA2085" i="2"/>
  <c r="Z2085" i="2"/>
  <c r="Y2085" i="2"/>
  <c r="X2085" i="2"/>
  <c r="W2085" i="2"/>
  <c r="V2085" i="2"/>
  <c r="U2085" i="2"/>
  <c r="T2085" i="2"/>
  <c r="S2085" i="2"/>
  <c r="R2085" i="2"/>
  <c r="Q2085" i="2"/>
  <c r="P2085" i="2"/>
  <c r="O2085" i="2"/>
  <c r="N2085" i="2"/>
  <c r="K2085" i="2"/>
  <c r="J2085" i="2"/>
  <c r="I2085" i="2"/>
  <c r="H2085" i="2"/>
  <c r="G2085" i="2"/>
  <c r="F2085" i="2"/>
  <c r="E2085" i="2"/>
  <c r="D2085" i="2"/>
  <c r="C2085" i="2"/>
  <c r="B2085" i="2"/>
  <c r="A2085" i="2"/>
  <c r="AX2084" i="2"/>
  <c r="AV2084" i="2"/>
  <c r="AU2084" i="2"/>
  <c r="AS2084" i="2"/>
  <c r="AR2084" i="2"/>
  <c r="AQ2084" i="2"/>
  <c r="AP2084" i="2"/>
  <c r="AO2084" i="2"/>
  <c r="AL2084" i="2"/>
  <c r="AK2084" i="2"/>
  <c r="AJ2084" i="2"/>
  <c r="AI2084" i="2"/>
  <c r="AH2084" i="2"/>
  <c r="AG2084" i="2"/>
  <c r="AF2084" i="2"/>
  <c r="AE2084" i="2"/>
  <c r="AD2084" i="2"/>
  <c r="AC2084" i="2"/>
  <c r="AA2084" i="2"/>
  <c r="Z2084" i="2"/>
  <c r="Y2084" i="2"/>
  <c r="X2084" i="2"/>
  <c r="V2084" i="2"/>
  <c r="U2084" i="2"/>
  <c r="T2084" i="2"/>
  <c r="S2084" i="2"/>
  <c r="R2084" i="2"/>
  <c r="Q2084" i="2"/>
  <c r="P2084" i="2"/>
  <c r="O2084" i="2"/>
  <c r="N2084" i="2"/>
  <c r="K2084" i="2"/>
  <c r="J2084" i="2"/>
  <c r="I2084" i="2"/>
  <c r="H2084" i="2"/>
  <c r="G2084" i="2"/>
  <c r="F2084" i="2"/>
  <c r="E2084" i="2"/>
  <c r="D2084" i="2"/>
  <c r="C2084" i="2"/>
  <c r="B2084" i="2"/>
  <c r="A2084" i="2"/>
  <c r="AX2083" i="2"/>
  <c r="AV2083" i="2"/>
  <c r="AU2083" i="2"/>
  <c r="AS2083" i="2"/>
  <c r="AR2083" i="2"/>
  <c r="AQ2083" i="2"/>
  <c r="AO2083" i="2"/>
  <c r="AL2083" i="2"/>
  <c r="AI2083" i="2"/>
  <c r="AH2083" i="2"/>
  <c r="AG2083" i="2"/>
  <c r="AD2083" i="2"/>
  <c r="AC2083" i="2"/>
  <c r="AA2083" i="2"/>
  <c r="Z2083" i="2"/>
  <c r="Y2083" i="2"/>
  <c r="X2083" i="2"/>
  <c r="V2083" i="2"/>
  <c r="U2083" i="2"/>
  <c r="T2083" i="2"/>
  <c r="S2083" i="2"/>
  <c r="R2083" i="2"/>
  <c r="Q2083" i="2"/>
  <c r="P2083" i="2"/>
  <c r="O2083" i="2"/>
  <c r="N2083" i="2"/>
  <c r="K2083" i="2"/>
  <c r="J2083" i="2"/>
  <c r="I2083" i="2"/>
  <c r="H2083" i="2"/>
  <c r="G2083" i="2"/>
  <c r="F2083" i="2"/>
  <c r="E2083" i="2"/>
  <c r="D2083" i="2"/>
  <c r="C2083" i="2"/>
  <c r="B2083" i="2"/>
  <c r="A2083" i="2"/>
  <c r="AX2082" i="2"/>
  <c r="AV2082" i="2"/>
  <c r="AU2082" i="2"/>
  <c r="AS2082" i="2"/>
  <c r="AR2082" i="2"/>
  <c r="AQ2082" i="2"/>
  <c r="AO2082" i="2"/>
  <c r="AL2082" i="2"/>
  <c r="AI2082" i="2"/>
  <c r="AH2082" i="2"/>
  <c r="AG2082" i="2"/>
  <c r="AE2082" i="2"/>
  <c r="AD2082" i="2"/>
  <c r="AC2082" i="2"/>
  <c r="AA2082" i="2"/>
  <c r="Z2082" i="2"/>
  <c r="Y2082" i="2"/>
  <c r="X2082" i="2"/>
  <c r="W2082" i="2"/>
  <c r="V2082" i="2"/>
  <c r="U2082" i="2"/>
  <c r="T2082" i="2"/>
  <c r="S2082" i="2"/>
  <c r="R2082" i="2"/>
  <c r="Q2082" i="2"/>
  <c r="P2082" i="2"/>
  <c r="O2082" i="2"/>
  <c r="N2082" i="2"/>
  <c r="K2082" i="2"/>
  <c r="J2082" i="2"/>
  <c r="I2082" i="2"/>
  <c r="H2082" i="2"/>
  <c r="G2082" i="2"/>
  <c r="F2082" i="2"/>
  <c r="E2082" i="2"/>
  <c r="D2082" i="2"/>
  <c r="C2082" i="2"/>
  <c r="B2082" i="2"/>
  <c r="A2082" i="2"/>
  <c r="AX2081" i="2"/>
  <c r="AV2081" i="2"/>
  <c r="AU2081" i="2"/>
  <c r="AS2081" i="2"/>
  <c r="AR2081" i="2"/>
  <c r="AQ2081" i="2"/>
  <c r="AO2081" i="2"/>
  <c r="AN2081" i="2"/>
  <c r="AM2081" i="2"/>
  <c r="AL2081" i="2"/>
  <c r="AI2081" i="2"/>
  <c r="AH2081" i="2"/>
  <c r="AG2081" i="2"/>
  <c r="AE2081" i="2"/>
  <c r="AD2081" i="2"/>
  <c r="AC2081" i="2"/>
  <c r="AA2081" i="2"/>
  <c r="Z2081" i="2"/>
  <c r="Y2081" i="2"/>
  <c r="X2081" i="2"/>
  <c r="W2081" i="2"/>
  <c r="V2081" i="2"/>
  <c r="U2081" i="2"/>
  <c r="T2081" i="2"/>
  <c r="S2081" i="2"/>
  <c r="R2081" i="2"/>
  <c r="Q2081" i="2"/>
  <c r="P2081" i="2"/>
  <c r="O2081" i="2"/>
  <c r="N2081" i="2"/>
  <c r="K2081" i="2"/>
  <c r="J2081" i="2"/>
  <c r="I2081" i="2"/>
  <c r="H2081" i="2"/>
  <c r="G2081" i="2"/>
  <c r="F2081" i="2"/>
  <c r="E2081" i="2"/>
  <c r="D2081" i="2"/>
  <c r="C2081" i="2"/>
  <c r="B2081" i="2"/>
  <c r="A2081" i="2"/>
  <c r="AX2080" i="2"/>
  <c r="AV2080" i="2"/>
  <c r="AU2080" i="2"/>
  <c r="AS2080" i="2"/>
  <c r="AR2080" i="2"/>
  <c r="AQ2080" i="2"/>
  <c r="AP2080" i="2"/>
  <c r="AO2080" i="2"/>
  <c r="AN2080" i="2"/>
  <c r="AM2080" i="2"/>
  <c r="AL2080" i="2"/>
  <c r="AK2080" i="2"/>
  <c r="AI2080" i="2"/>
  <c r="AH2080" i="2"/>
  <c r="AG2080" i="2"/>
  <c r="AE2080" i="2"/>
  <c r="AC2080" i="2"/>
  <c r="AA2080" i="2"/>
  <c r="Z2080" i="2"/>
  <c r="Y2080" i="2"/>
  <c r="X2080" i="2"/>
  <c r="W2080" i="2"/>
  <c r="V2080" i="2"/>
  <c r="U2080" i="2"/>
  <c r="T2080" i="2"/>
  <c r="S2080" i="2"/>
  <c r="R2080" i="2"/>
  <c r="Q2080" i="2"/>
  <c r="P2080" i="2"/>
  <c r="O2080" i="2"/>
  <c r="N2080" i="2"/>
  <c r="M2080" i="2"/>
  <c r="K2080" i="2"/>
  <c r="J2080" i="2"/>
  <c r="I2080" i="2"/>
  <c r="H2080" i="2"/>
  <c r="G2080" i="2"/>
  <c r="F2080" i="2"/>
  <c r="E2080" i="2"/>
  <c r="D2080" i="2"/>
  <c r="C2080" i="2"/>
  <c r="B2080" i="2"/>
  <c r="A2080" i="2"/>
  <c r="AX2079" i="2"/>
  <c r="AV2079" i="2"/>
  <c r="AU2079" i="2"/>
  <c r="AS2079" i="2"/>
  <c r="AR2079" i="2"/>
  <c r="AQ2079" i="2"/>
  <c r="AO2079" i="2"/>
  <c r="AL2079" i="2"/>
  <c r="AK2079" i="2"/>
  <c r="AI2079" i="2"/>
  <c r="AH2079" i="2"/>
  <c r="AG2079" i="2"/>
  <c r="AC2079" i="2"/>
  <c r="AA2079" i="2"/>
  <c r="Z2079" i="2"/>
  <c r="Y2079" i="2"/>
  <c r="X2079" i="2"/>
  <c r="V2079" i="2"/>
  <c r="U2079" i="2"/>
  <c r="T2079" i="2"/>
  <c r="S2079" i="2"/>
  <c r="R2079" i="2"/>
  <c r="Q2079" i="2"/>
  <c r="P2079" i="2"/>
  <c r="O2079" i="2"/>
  <c r="N2079" i="2"/>
  <c r="K2079" i="2"/>
  <c r="J2079" i="2"/>
  <c r="I2079" i="2"/>
  <c r="H2079" i="2"/>
  <c r="G2079" i="2"/>
  <c r="F2079" i="2"/>
  <c r="E2079" i="2"/>
  <c r="D2079" i="2"/>
  <c r="C2079" i="2"/>
  <c r="B2079" i="2"/>
  <c r="A2079" i="2"/>
  <c r="AX2078" i="2"/>
  <c r="AV2078" i="2"/>
  <c r="AU2078" i="2"/>
  <c r="AS2078" i="2"/>
  <c r="AR2078" i="2"/>
  <c r="AQ2078" i="2"/>
  <c r="AO2078" i="2"/>
  <c r="AL2078" i="2"/>
  <c r="AK2078" i="2"/>
  <c r="AI2078" i="2"/>
  <c r="AH2078" i="2"/>
  <c r="AG2078" i="2"/>
  <c r="AE2078" i="2"/>
  <c r="AD2078" i="2"/>
  <c r="AC2078" i="2"/>
  <c r="AA2078" i="2"/>
  <c r="Z2078" i="2"/>
  <c r="Y2078" i="2"/>
  <c r="X2078" i="2"/>
  <c r="W2078" i="2"/>
  <c r="V2078" i="2"/>
  <c r="U2078" i="2"/>
  <c r="T2078" i="2"/>
  <c r="S2078" i="2"/>
  <c r="R2078" i="2"/>
  <c r="Q2078" i="2"/>
  <c r="P2078" i="2"/>
  <c r="O2078" i="2"/>
  <c r="N2078" i="2"/>
  <c r="K2078" i="2"/>
  <c r="J2078" i="2"/>
  <c r="I2078" i="2"/>
  <c r="H2078" i="2"/>
  <c r="G2078" i="2"/>
  <c r="F2078" i="2"/>
  <c r="E2078" i="2"/>
  <c r="D2078" i="2"/>
  <c r="C2078" i="2"/>
  <c r="B2078" i="2"/>
  <c r="A2078" i="2"/>
  <c r="AX2077" i="2"/>
  <c r="AV2077" i="2"/>
  <c r="AU2077" i="2"/>
  <c r="AS2077" i="2"/>
  <c r="AR2077" i="2"/>
  <c r="AQ2077" i="2"/>
  <c r="AO2077" i="2"/>
  <c r="AL2077" i="2"/>
  <c r="AK2077" i="2"/>
  <c r="AJ2077" i="2"/>
  <c r="AI2077" i="2"/>
  <c r="AH2077" i="2"/>
  <c r="AG2077" i="2"/>
  <c r="AE2077" i="2"/>
  <c r="AD2077" i="2"/>
  <c r="AC2077" i="2"/>
  <c r="AA2077" i="2"/>
  <c r="Z2077" i="2"/>
  <c r="Y2077" i="2"/>
  <c r="X2077" i="2"/>
  <c r="W2077" i="2"/>
  <c r="V2077" i="2"/>
  <c r="U2077" i="2"/>
  <c r="T2077" i="2"/>
  <c r="S2077" i="2"/>
  <c r="R2077" i="2"/>
  <c r="Q2077" i="2"/>
  <c r="P2077" i="2"/>
  <c r="O2077" i="2"/>
  <c r="N2077" i="2"/>
  <c r="K2077" i="2"/>
  <c r="J2077" i="2"/>
  <c r="I2077" i="2"/>
  <c r="H2077" i="2"/>
  <c r="G2077" i="2"/>
  <c r="F2077" i="2"/>
  <c r="E2077" i="2"/>
  <c r="D2077" i="2"/>
  <c r="C2077" i="2"/>
  <c r="B2077" i="2"/>
  <c r="A2077" i="2"/>
  <c r="AX2076" i="2"/>
  <c r="AV2076" i="2"/>
  <c r="AU2076" i="2"/>
  <c r="AS2076" i="2"/>
  <c r="AR2076" i="2"/>
  <c r="AQ2076" i="2"/>
  <c r="AP2076" i="2"/>
  <c r="AO2076" i="2"/>
  <c r="AL2076" i="2"/>
  <c r="AK2076" i="2"/>
  <c r="AJ2076" i="2"/>
  <c r="AI2076" i="2"/>
  <c r="AH2076" i="2"/>
  <c r="AG2076" i="2"/>
  <c r="AD2076" i="2"/>
  <c r="AC2076" i="2"/>
  <c r="AA2076" i="2"/>
  <c r="Z2076" i="2"/>
  <c r="Y2076" i="2"/>
  <c r="X2076" i="2"/>
  <c r="W2076" i="2"/>
  <c r="V2076" i="2"/>
  <c r="U2076" i="2"/>
  <c r="T2076" i="2"/>
  <c r="S2076" i="2"/>
  <c r="R2076" i="2"/>
  <c r="Q2076" i="2"/>
  <c r="P2076" i="2"/>
  <c r="O2076" i="2"/>
  <c r="N2076" i="2"/>
  <c r="K2076" i="2"/>
  <c r="J2076" i="2"/>
  <c r="I2076" i="2"/>
  <c r="H2076" i="2"/>
  <c r="G2076" i="2"/>
  <c r="F2076" i="2"/>
  <c r="E2076" i="2"/>
  <c r="D2076" i="2"/>
  <c r="C2076" i="2"/>
  <c r="B2076" i="2"/>
  <c r="A2076" i="2"/>
  <c r="AX2075" i="2"/>
  <c r="AV2075" i="2"/>
  <c r="AU2075" i="2"/>
  <c r="AS2075" i="2"/>
  <c r="AO2075" i="2"/>
  <c r="AN2075" i="2"/>
  <c r="AM2075" i="2"/>
  <c r="AL2075" i="2"/>
  <c r="AK2075" i="2"/>
  <c r="AJ2075" i="2"/>
  <c r="AI2075" i="2"/>
  <c r="AH2075" i="2"/>
  <c r="AG2075" i="2"/>
  <c r="AD2075" i="2"/>
  <c r="AC2075" i="2"/>
  <c r="AB2075" i="2"/>
  <c r="AA2075" i="2"/>
  <c r="Z2075" i="2"/>
  <c r="Y2075" i="2"/>
  <c r="X2075" i="2"/>
  <c r="V2075" i="2"/>
  <c r="U2075" i="2"/>
  <c r="T2075" i="2"/>
  <c r="S2075" i="2"/>
  <c r="R2075" i="2"/>
  <c r="Q2075" i="2"/>
  <c r="P2075" i="2"/>
  <c r="O2075" i="2"/>
  <c r="N2075" i="2"/>
  <c r="M2075" i="2"/>
  <c r="K2075" i="2"/>
  <c r="J2075" i="2"/>
  <c r="I2075" i="2"/>
  <c r="H2075" i="2"/>
  <c r="G2075" i="2"/>
  <c r="F2075" i="2"/>
  <c r="E2075" i="2"/>
  <c r="D2075" i="2"/>
  <c r="C2075" i="2"/>
  <c r="B2075" i="2"/>
  <c r="A2075" i="2"/>
  <c r="AX2074" i="2"/>
  <c r="AV2074" i="2"/>
  <c r="AU2074" i="2"/>
  <c r="AS2074" i="2"/>
  <c r="AR2074" i="2"/>
  <c r="AQ2074" i="2"/>
  <c r="AP2074" i="2"/>
  <c r="AO2074" i="2"/>
  <c r="AL2074" i="2"/>
  <c r="AI2074" i="2"/>
  <c r="AH2074" i="2"/>
  <c r="AG2074" i="2"/>
  <c r="AD2074" i="2"/>
  <c r="AC2074" i="2"/>
  <c r="AA2074" i="2"/>
  <c r="Z2074" i="2"/>
  <c r="Y2074" i="2"/>
  <c r="X2074" i="2"/>
  <c r="W2074" i="2"/>
  <c r="V2074" i="2"/>
  <c r="U2074" i="2"/>
  <c r="T2074" i="2"/>
  <c r="S2074" i="2"/>
  <c r="R2074" i="2"/>
  <c r="Q2074" i="2"/>
  <c r="P2074" i="2"/>
  <c r="O2074" i="2"/>
  <c r="N2074" i="2"/>
  <c r="K2074" i="2"/>
  <c r="J2074" i="2"/>
  <c r="I2074" i="2"/>
  <c r="H2074" i="2"/>
  <c r="G2074" i="2"/>
  <c r="F2074" i="2"/>
  <c r="E2074" i="2"/>
  <c r="D2074" i="2"/>
  <c r="C2074" i="2"/>
  <c r="B2074" i="2"/>
  <c r="A2074" i="2"/>
  <c r="AX2073" i="2"/>
  <c r="AV2073" i="2"/>
  <c r="AU2073" i="2"/>
  <c r="AS2073" i="2"/>
  <c r="AR2073" i="2"/>
  <c r="AQ2073" i="2"/>
  <c r="AP2073" i="2"/>
  <c r="AO2073" i="2"/>
  <c r="AL2073" i="2"/>
  <c r="AK2073" i="2"/>
  <c r="AJ2073" i="2"/>
  <c r="AI2073" i="2"/>
  <c r="AH2073" i="2"/>
  <c r="AG2073" i="2"/>
  <c r="AE2073" i="2"/>
  <c r="AD2073" i="2"/>
  <c r="AC2073" i="2"/>
  <c r="AA2073" i="2"/>
  <c r="Z2073" i="2"/>
  <c r="Y2073" i="2"/>
  <c r="X2073" i="2"/>
  <c r="W2073" i="2"/>
  <c r="V2073" i="2"/>
  <c r="U2073" i="2"/>
  <c r="T2073" i="2"/>
  <c r="S2073" i="2"/>
  <c r="R2073" i="2"/>
  <c r="Q2073" i="2"/>
  <c r="P2073" i="2"/>
  <c r="O2073" i="2"/>
  <c r="N2073" i="2"/>
  <c r="K2073" i="2"/>
  <c r="J2073" i="2"/>
  <c r="I2073" i="2"/>
  <c r="H2073" i="2"/>
  <c r="G2073" i="2"/>
  <c r="F2073" i="2"/>
  <c r="E2073" i="2"/>
  <c r="D2073" i="2"/>
  <c r="C2073" i="2"/>
  <c r="B2073" i="2"/>
  <c r="A2073" i="2"/>
  <c r="AX2072" i="2"/>
  <c r="AV2072" i="2"/>
  <c r="AU2072" i="2"/>
  <c r="AS2072" i="2"/>
  <c r="AR2072" i="2"/>
  <c r="AQ2072" i="2"/>
  <c r="AP2072" i="2"/>
  <c r="AO2072" i="2"/>
  <c r="AM2072" i="2"/>
  <c r="AL2072" i="2"/>
  <c r="AK2072" i="2"/>
  <c r="AJ2072" i="2"/>
  <c r="AI2072" i="2"/>
  <c r="AH2072" i="2"/>
  <c r="AG2072" i="2"/>
  <c r="AE2072" i="2"/>
  <c r="AD2072" i="2"/>
  <c r="AC2072" i="2"/>
  <c r="AA2072" i="2"/>
  <c r="Z2072" i="2"/>
  <c r="Y2072" i="2"/>
  <c r="X2072" i="2"/>
  <c r="W2072" i="2"/>
  <c r="V2072" i="2"/>
  <c r="U2072" i="2"/>
  <c r="T2072" i="2"/>
  <c r="S2072" i="2"/>
  <c r="R2072" i="2"/>
  <c r="Q2072" i="2"/>
  <c r="P2072" i="2"/>
  <c r="O2072" i="2"/>
  <c r="N2072" i="2"/>
  <c r="K2072" i="2"/>
  <c r="J2072" i="2"/>
  <c r="I2072" i="2"/>
  <c r="H2072" i="2"/>
  <c r="G2072" i="2"/>
  <c r="F2072" i="2"/>
  <c r="E2072" i="2"/>
  <c r="D2072" i="2"/>
  <c r="C2072" i="2"/>
  <c r="B2072" i="2"/>
  <c r="A2072" i="2"/>
  <c r="AX2071" i="2"/>
  <c r="AV2071" i="2"/>
  <c r="AU2071" i="2"/>
  <c r="AR2071" i="2"/>
  <c r="AQ2071" i="2"/>
  <c r="AO2071" i="2"/>
  <c r="AL2071" i="2"/>
  <c r="AK2071" i="2"/>
  <c r="AJ2071" i="2"/>
  <c r="AI2071" i="2"/>
  <c r="AH2071" i="2"/>
  <c r="AG2071" i="2"/>
  <c r="AE2071" i="2"/>
  <c r="AD2071" i="2"/>
  <c r="AC2071" i="2"/>
  <c r="AA2071" i="2"/>
  <c r="Z2071" i="2"/>
  <c r="Y2071" i="2"/>
  <c r="X2071" i="2"/>
  <c r="V2071" i="2"/>
  <c r="U2071" i="2"/>
  <c r="T2071" i="2"/>
  <c r="S2071" i="2"/>
  <c r="R2071" i="2"/>
  <c r="Q2071" i="2"/>
  <c r="P2071" i="2"/>
  <c r="O2071" i="2"/>
  <c r="N2071" i="2"/>
  <c r="K2071" i="2"/>
  <c r="J2071" i="2"/>
  <c r="I2071" i="2"/>
  <c r="H2071" i="2"/>
  <c r="G2071" i="2"/>
  <c r="F2071" i="2"/>
  <c r="E2071" i="2"/>
  <c r="D2071" i="2"/>
  <c r="C2071" i="2"/>
  <c r="B2071" i="2"/>
  <c r="A2071" i="2"/>
  <c r="AX2070" i="2"/>
  <c r="AV2070" i="2"/>
  <c r="AU2070" i="2"/>
  <c r="AS2070" i="2"/>
  <c r="AR2070" i="2"/>
  <c r="AQ2070" i="2"/>
  <c r="AO2070" i="2"/>
  <c r="AL2070" i="2"/>
  <c r="AK2070" i="2"/>
  <c r="AJ2070" i="2"/>
  <c r="AI2070" i="2"/>
  <c r="AH2070" i="2"/>
  <c r="AG2070" i="2"/>
  <c r="AD2070" i="2"/>
  <c r="AC2070" i="2"/>
  <c r="AA2070" i="2"/>
  <c r="Z2070" i="2"/>
  <c r="Y2070" i="2"/>
  <c r="X2070" i="2"/>
  <c r="W2070" i="2"/>
  <c r="V2070" i="2"/>
  <c r="U2070" i="2"/>
  <c r="T2070" i="2"/>
  <c r="S2070" i="2"/>
  <c r="R2070" i="2"/>
  <c r="Q2070" i="2"/>
  <c r="P2070" i="2"/>
  <c r="O2070" i="2"/>
  <c r="N2070" i="2"/>
  <c r="K2070" i="2"/>
  <c r="J2070" i="2"/>
  <c r="I2070" i="2"/>
  <c r="H2070" i="2"/>
  <c r="G2070" i="2"/>
  <c r="F2070" i="2"/>
  <c r="E2070" i="2"/>
  <c r="D2070" i="2"/>
  <c r="C2070" i="2"/>
  <c r="B2070" i="2"/>
  <c r="A2070" i="2"/>
  <c r="AX2069" i="2"/>
  <c r="AV2069" i="2"/>
  <c r="AU2069" i="2"/>
  <c r="AS2069" i="2"/>
  <c r="AR2069" i="2"/>
  <c r="AQ2069" i="2"/>
  <c r="AP2069" i="2"/>
  <c r="AO2069" i="2"/>
  <c r="AL2069" i="2"/>
  <c r="AK2069" i="2"/>
  <c r="AJ2069" i="2"/>
  <c r="AI2069" i="2"/>
  <c r="AH2069" i="2"/>
  <c r="AG2069" i="2"/>
  <c r="AE2069" i="2"/>
  <c r="AD2069" i="2"/>
  <c r="AC2069" i="2"/>
  <c r="AA2069" i="2"/>
  <c r="Z2069" i="2"/>
  <c r="Y2069" i="2"/>
  <c r="X2069" i="2"/>
  <c r="W2069" i="2"/>
  <c r="V2069" i="2"/>
  <c r="U2069" i="2"/>
  <c r="T2069" i="2"/>
  <c r="S2069" i="2"/>
  <c r="R2069" i="2"/>
  <c r="Q2069" i="2"/>
  <c r="P2069" i="2"/>
  <c r="O2069" i="2"/>
  <c r="N2069" i="2"/>
  <c r="K2069" i="2"/>
  <c r="J2069" i="2"/>
  <c r="I2069" i="2"/>
  <c r="H2069" i="2"/>
  <c r="G2069" i="2"/>
  <c r="F2069" i="2"/>
  <c r="E2069" i="2"/>
  <c r="D2069" i="2"/>
  <c r="C2069" i="2"/>
  <c r="B2069" i="2"/>
  <c r="A2069" i="2"/>
  <c r="AX2068" i="2"/>
  <c r="AV2068" i="2"/>
  <c r="AU2068" i="2"/>
  <c r="AS2068" i="2"/>
  <c r="AR2068" i="2"/>
  <c r="AQ2068" i="2"/>
  <c r="AO2068" i="2"/>
  <c r="AM2068" i="2"/>
  <c r="AL2068" i="2"/>
  <c r="AK2068" i="2"/>
  <c r="AJ2068" i="2"/>
  <c r="AI2068" i="2"/>
  <c r="AH2068" i="2"/>
  <c r="AG2068" i="2"/>
  <c r="AE2068" i="2"/>
  <c r="AD2068" i="2"/>
  <c r="AC2068" i="2"/>
  <c r="AA2068" i="2"/>
  <c r="Z2068" i="2"/>
  <c r="Y2068" i="2"/>
  <c r="X2068" i="2"/>
  <c r="W2068" i="2"/>
  <c r="V2068" i="2"/>
  <c r="U2068" i="2"/>
  <c r="T2068" i="2"/>
  <c r="S2068" i="2"/>
  <c r="R2068" i="2"/>
  <c r="Q2068" i="2"/>
  <c r="P2068" i="2"/>
  <c r="O2068" i="2"/>
  <c r="N2068" i="2"/>
  <c r="K2068" i="2"/>
  <c r="J2068" i="2"/>
  <c r="I2068" i="2"/>
  <c r="H2068" i="2"/>
  <c r="G2068" i="2"/>
  <c r="F2068" i="2"/>
  <c r="E2068" i="2"/>
  <c r="D2068" i="2"/>
  <c r="C2068" i="2"/>
  <c r="B2068" i="2"/>
  <c r="A2068" i="2"/>
  <c r="AX2067" i="2"/>
  <c r="AV2067" i="2"/>
  <c r="AU2067" i="2"/>
  <c r="AT2067" i="2"/>
  <c r="AS2067" i="2"/>
  <c r="AR2067" i="2"/>
  <c r="AQ2067" i="2"/>
  <c r="AP2067" i="2"/>
  <c r="AO2067" i="2"/>
  <c r="AN2067" i="2"/>
  <c r="AM2067" i="2"/>
  <c r="AK2067" i="2"/>
  <c r="AI2067" i="2"/>
  <c r="AH2067" i="2"/>
  <c r="AG2067" i="2"/>
  <c r="AE2067" i="2"/>
  <c r="AD2067" i="2"/>
  <c r="AC2067" i="2"/>
  <c r="AA2067" i="2"/>
  <c r="Z2067" i="2"/>
  <c r="Y2067" i="2"/>
  <c r="X2067" i="2"/>
  <c r="W2067" i="2"/>
  <c r="V2067" i="2"/>
  <c r="U2067" i="2"/>
  <c r="T2067" i="2"/>
  <c r="S2067" i="2"/>
  <c r="R2067" i="2"/>
  <c r="Q2067" i="2"/>
  <c r="P2067" i="2"/>
  <c r="O2067" i="2"/>
  <c r="N2067" i="2"/>
  <c r="K2067" i="2"/>
  <c r="J2067" i="2"/>
  <c r="I2067" i="2"/>
  <c r="H2067" i="2"/>
  <c r="G2067" i="2"/>
  <c r="F2067" i="2"/>
  <c r="E2067" i="2"/>
  <c r="D2067" i="2"/>
  <c r="C2067" i="2"/>
  <c r="B2067" i="2"/>
  <c r="A2067" i="2"/>
  <c r="AX2066" i="2"/>
  <c r="AV2066" i="2"/>
  <c r="AU2066" i="2"/>
  <c r="AS2066" i="2"/>
  <c r="AR2066" i="2"/>
  <c r="AQ2066" i="2"/>
  <c r="AO2066" i="2"/>
  <c r="AM2066" i="2"/>
  <c r="AL2066" i="2"/>
  <c r="AK2066" i="2"/>
  <c r="AJ2066" i="2"/>
  <c r="AI2066" i="2"/>
  <c r="AH2066" i="2"/>
  <c r="AG2066" i="2"/>
  <c r="AE2066" i="2"/>
  <c r="AD2066" i="2"/>
  <c r="AC2066" i="2"/>
  <c r="AA2066" i="2"/>
  <c r="Z2066" i="2"/>
  <c r="Y2066" i="2"/>
  <c r="X2066" i="2"/>
  <c r="W2066" i="2"/>
  <c r="V2066" i="2"/>
  <c r="U2066" i="2"/>
  <c r="T2066" i="2"/>
  <c r="S2066" i="2"/>
  <c r="R2066" i="2"/>
  <c r="Q2066" i="2"/>
  <c r="P2066" i="2"/>
  <c r="O2066" i="2"/>
  <c r="N2066" i="2"/>
  <c r="M2066" i="2"/>
  <c r="K2066" i="2"/>
  <c r="J2066" i="2"/>
  <c r="I2066" i="2"/>
  <c r="H2066" i="2"/>
  <c r="G2066" i="2"/>
  <c r="F2066" i="2"/>
  <c r="E2066" i="2"/>
  <c r="D2066" i="2"/>
  <c r="C2066" i="2"/>
  <c r="B2066" i="2"/>
  <c r="A2066" i="2"/>
  <c r="AX2065" i="2"/>
  <c r="AV2065" i="2"/>
  <c r="AU2065" i="2"/>
  <c r="AS2065" i="2"/>
  <c r="AR2065" i="2"/>
  <c r="AQ2065" i="2"/>
  <c r="AP2065" i="2"/>
  <c r="AO2065" i="2"/>
  <c r="AN2065" i="2"/>
  <c r="AM2065" i="2"/>
  <c r="AL2065" i="2"/>
  <c r="AK2065" i="2"/>
  <c r="AI2065" i="2"/>
  <c r="AH2065" i="2"/>
  <c r="AG2065" i="2"/>
  <c r="AE2065" i="2"/>
  <c r="AD2065" i="2"/>
  <c r="AC2065" i="2"/>
  <c r="AA2065" i="2"/>
  <c r="Z2065" i="2"/>
  <c r="Y2065" i="2"/>
  <c r="X2065" i="2"/>
  <c r="W2065" i="2"/>
  <c r="V2065" i="2"/>
  <c r="U2065" i="2"/>
  <c r="T2065" i="2"/>
  <c r="S2065" i="2"/>
  <c r="R2065" i="2"/>
  <c r="Q2065" i="2"/>
  <c r="P2065" i="2"/>
  <c r="O2065" i="2"/>
  <c r="N2065" i="2"/>
  <c r="M2065" i="2"/>
  <c r="K2065" i="2"/>
  <c r="J2065" i="2"/>
  <c r="I2065" i="2"/>
  <c r="H2065" i="2"/>
  <c r="G2065" i="2"/>
  <c r="F2065" i="2"/>
  <c r="E2065" i="2"/>
  <c r="D2065" i="2"/>
  <c r="C2065" i="2"/>
  <c r="B2065" i="2"/>
  <c r="A2065" i="2"/>
  <c r="AX2064" i="2"/>
  <c r="AV2064" i="2"/>
  <c r="AU2064" i="2"/>
  <c r="AS2064" i="2"/>
  <c r="AR2064" i="2"/>
  <c r="AQ2064" i="2"/>
  <c r="AO2064" i="2"/>
  <c r="AL2064" i="2"/>
  <c r="AK2064" i="2"/>
  <c r="AJ2064" i="2"/>
  <c r="AI2064" i="2"/>
  <c r="AH2064" i="2"/>
  <c r="AG2064" i="2"/>
  <c r="AD2064" i="2"/>
  <c r="AC2064" i="2"/>
  <c r="AA2064" i="2"/>
  <c r="Z2064" i="2"/>
  <c r="Y2064" i="2"/>
  <c r="X2064" i="2"/>
  <c r="V2064" i="2"/>
  <c r="U2064" i="2"/>
  <c r="T2064" i="2"/>
  <c r="S2064" i="2"/>
  <c r="R2064" i="2"/>
  <c r="Q2064" i="2"/>
  <c r="P2064" i="2"/>
  <c r="O2064" i="2"/>
  <c r="N2064" i="2"/>
  <c r="K2064" i="2"/>
  <c r="J2064" i="2"/>
  <c r="I2064" i="2"/>
  <c r="H2064" i="2"/>
  <c r="G2064" i="2"/>
  <c r="F2064" i="2"/>
  <c r="E2064" i="2"/>
  <c r="D2064" i="2"/>
  <c r="C2064" i="2"/>
  <c r="B2064" i="2"/>
  <c r="A2064" i="2"/>
  <c r="AX2063" i="2"/>
  <c r="AV2063" i="2"/>
  <c r="AU2063" i="2"/>
  <c r="AS2063" i="2"/>
  <c r="AR2063" i="2"/>
  <c r="AQ2063" i="2"/>
  <c r="AP2063" i="2"/>
  <c r="AO2063" i="2"/>
  <c r="AN2063" i="2"/>
  <c r="AM2063" i="2"/>
  <c r="AL2063" i="2"/>
  <c r="AK2063" i="2"/>
  <c r="AJ2063" i="2"/>
  <c r="AI2063" i="2"/>
  <c r="AH2063" i="2"/>
  <c r="AG2063" i="2"/>
  <c r="AD2063" i="2"/>
  <c r="AC2063" i="2"/>
  <c r="AA2063" i="2"/>
  <c r="Z2063" i="2"/>
  <c r="Y2063" i="2"/>
  <c r="X2063" i="2"/>
  <c r="W2063" i="2"/>
  <c r="V2063" i="2"/>
  <c r="U2063" i="2"/>
  <c r="T2063" i="2"/>
  <c r="S2063" i="2"/>
  <c r="R2063" i="2"/>
  <c r="Q2063" i="2"/>
  <c r="P2063" i="2"/>
  <c r="O2063" i="2"/>
  <c r="N2063" i="2"/>
  <c r="K2063" i="2"/>
  <c r="J2063" i="2"/>
  <c r="I2063" i="2"/>
  <c r="H2063" i="2"/>
  <c r="G2063" i="2"/>
  <c r="F2063" i="2"/>
  <c r="E2063" i="2"/>
  <c r="D2063" i="2"/>
  <c r="C2063" i="2"/>
  <c r="B2063" i="2"/>
  <c r="A2063" i="2"/>
  <c r="AX2062" i="2"/>
  <c r="AV2062" i="2"/>
  <c r="AU2062" i="2"/>
  <c r="AS2062" i="2"/>
  <c r="AR2062" i="2"/>
  <c r="AQ2062" i="2"/>
  <c r="AP2062" i="2"/>
  <c r="AO2062" i="2"/>
  <c r="AI2062" i="2"/>
  <c r="AH2062" i="2"/>
  <c r="AG2062" i="2"/>
  <c r="AD2062" i="2"/>
  <c r="AC2062" i="2"/>
  <c r="AA2062" i="2"/>
  <c r="Z2062" i="2"/>
  <c r="Y2062" i="2"/>
  <c r="X2062" i="2"/>
  <c r="W2062" i="2"/>
  <c r="V2062" i="2"/>
  <c r="U2062" i="2"/>
  <c r="T2062" i="2"/>
  <c r="S2062" i="2"/>
  <c r="R2062" i="2"/>
  <c r="Q2062" i="2"/>
  <c r="P2062" i="2"/>
  <c r="O2062" i="2"/>
  <c r="N2062" i="2"/>
  <c r="K2062" i="2"/>
  <c r="J2062" i="2"/>
  <c r="I2062" i="2"/>
  <c r="H2062" i="2"/>
  <c r="G2062" i="2"/>
  <c r="F2062" i="2"/>
  <c r="E2062" i="2"/>
  <c r="D2062" i="2"/>
  <c r="C2062" i="2"/>
  <c r="B2062" i="2"/>
  <c r="A2062" i="2"/>
  <c r="AX2061" i="2"/>
  <c r="AV2061" i="2"/>
  <c r="AU2061" i="2"/>
  <c r="AT2061" i="2"/>
  <c r="AS2061" i="2"/>
  <c r="AR2061" i="2"/>
  <c r="AQ2061" i="2"/>
  <c r="AP2061" i="2"/>
  <c r="AN2061" i="2"/>
  <c r="AM2061" i="2"/>
  <c r="AL2061" i="2"/>
  <c r="AK2061" i="2"/>
  <c r="AJ2061" i="2"/>
  <c r="AI2061" i="2"/>
  <c r="AH2061" i="2"/>
  <c r="AG2061" i="2"/>
  <c r="AE2061" i="2"/>
  <c r="AD2061" i="2"/>
  <c r="AC2061" i="2"/>
  <c r="AA2061" i="2"/>
  <c r="Z2061" i="2"/>
  <c r="Y2061" i="2"/>
  <c r="X2061" i="2"/>
  <c r="W2061" i="2"/>
  <c r="V2061" i="2"/>
  <c r="U2061" i="2"/>
  <c r="T2061" i="2"/>
  <c r="S2061" i="2"/>
  <c r="R2061" i="2"/>
  <c r="Q2061" i="2"/>
  <c r="P2061" i="2"/>
  <c r="O2061" i="2"/>
  <c r="N2061" i="2"/>
  <c r="K2061" i="2"/>
  <c r="J2061" i="2"/>
  <c r="I2061" i="2"/>
  <c r="H2061" i="2"/>
  <c r="G2061" i="2"/>
  <c r="F2061" i="2"/>
  <c r="E2061" i="2"/>
  <c r="D2061" i="2"/>
  <c r="C2061" i="2"/>
  <c r="B2061" i="2"/>
  <c r="A2061" i="2"/>
  <c r="AX2060" i="2"/>
  <c r="AV2060" i="2"/>
  <c r="AU2060" i="2"/>
  <c r="AR2060" i="2"/>
  <c r="AQ2060" i="2"/>
  <c r="AO2060" i="2"/>
  <c r="AL2060" i="2"/>
  <c r="AK2060" i="2"/>
  <c r="AJ2060" i="2"/>
  <c r="AI2060" i="2"/>
  <c r="AH2060" i="2"/>
  <c r="AG2060" i="2"/>
  <c r="AD2060" i="2"/>
  <c r="AC2060" i="2"/>
  <c r="AA2060" i="2"/>
  <c r="Z2060" i="2"/>
  <c r="Y2060" i="2"/>
  <c r="X2060" i="2"/>
  <c r="W2060" i="2"/>
  <c r="U2060" i="2"/>
  <c r="T2060" i="2"/>
  <c r="S2060" i="2"/>
  <c r="R2060" i="2"/>
  <c r="Q2060" i="2"/>
  <c r="P2060" i="2"/>
  <c r="O2060" i="2"/>
  <c r="N2060" i="2"/>
  <c r="K2060" i="2"/>
  <c r="J2060" i="2"/>
  <c r="I2060" i="2"/>
  <c r="H2060" i="2"/>
  <c r="G2060" i="2"/>
  <c r="F2060" i="2"/>
  <c r="E2060" i="2"/>
  <c r="D2060" i="2"/>
  <c r="C2060" i="2"/>
  <c r="B2060" i="2"/>
  <c r="A2060" i="2"/>
  <c r="AX2059" i="2"/>
  <c r="AV2059" i="2"/>
  <c r="AU2059" i="2"/>
  <c r="AS2059" i="2"/>
  <c r="AR2059" i="2"/>
  <c r="AQ2059" i="2"/>
  <c r="AP2059" i="2"/>
  <c r="AO2059" i="2"/>
  <c r="AN2059" i="2"/>
  <c r="AM2059" i="2"/>
  <c r="AL2059" i="2"/>
  <c r="AK2059" i="2"/>
  <c r="AJ2059" i="2"/>
  <c r="AI2059" i="2"/>
  <c r="AH2059" i="2"/>
  <c r="AG2059" i="2"/>
  <c r="AE2059" i="2"/>
  <c r="AD2059" i="2"/>
  <c r="AC2059" i="2"/>
  <c r="AA2059" i="2"/>
  <c r="Z2059" i="2"/>
  <c r="Y2059" i="2"/>
  <c r="X2059" i="2"/>
  <c r="W2059" i="2"/>
  <c r="V2059" i="2"/>
  <c r="U2059" i="2"/>
  <c r="T2059" i="2"/>
  <c r="S2059" i="2"/>
  <c r="R2059" i="2"/>
  <c r="Q2059" i="2"/>
  <c r="P2059" i="2"/>
  <c r="O2059" i="2"/>
  <c r="N2059" i="2"/>
  <c r="K2059" i="2"/>
  <c r="J2059" i="2"/>
  <c r="I2059" i="2"/>
  <c r="H2059" i="2"/>
  <c r="G2059" i="2"/>
  <c r="F2059" i="2"/>
  <c r="E2059" i="2"/>
  <c r="D2059" i="2"/>
  <c r="C2059" i="2"/>
  <c r="B2059" i="2"/>
  <c r="A2059" i="2"/>
  <c r="AX2058" i="2"/>
  <c r="AV2058" i="2"/>
  <c r="AU2058" i="2"/>
  <c r="AS2058" i="2"/>
  <c r="AR2058" i="2"/>
  <c r="AQ2058" i="2"/>
  <c r="AP2058" i="2"/>
  <c r="AO2058" i="2"/>
  <c r="AL2058" i="2"/>
  <c r="AK2058" i="2"/>
  <c r="AI2058" i="2"/>
  <c r="AH2058" i="2"/>
  <c r="AG2058" i="2"/>
  <c r="AD2058" i="2"/>
  <c r="AC2058" i="2"/>
  <c r="AA2058" i="2"/>
  <c r="Z2058" i="2"/>
  <c r="Y2058" i="2"/>
  <c r="X2058" i="2"/>
  <c r="W2058" i="2"/>
  <c r="V2058" i="2"/>
  <c r="U2058" i="2"/>
  <c r="T2058" i="2"/>
  <c r="S2058" i="2"/>
  <c r="R2058" i="2"/>
  <c r="Q2058" i="2"/>
  <c r="P2058" i="2"/>
  <c r="O2058" i="2"/>
  <c r="N2058" i="2"/>
  <c r="K2058" i="2"/>
  <c r="J2058" i="2"/>
  <c r="I2058" i="2"/>
  <c r="H2058" i="2"/>
  <c r="G2058" i="2"/>
  <c r="F2058" i="2"/>
  <c r="E2058" i="2"/>
  <c r="D2058" i="2"/>
  <c r="C2058" i="2"/>
  <c r="B2058" i="2"/>
  <c r="A2058" i="2"/>
  <c r="AX2057" i="2"/>
  <c r="AV2057" i="2"/>
  <c r="AU2057" i="2"/>
  <c r="AS2057" i="2"/>
  <c r="AR2057" i="2"/>
  <c r="AQ2057" i="2"/>
  <c r="AP2057" i="2"/>
  <c r="AO2057" i="2"/>
  <c r="AN2057" i="2"/>
  <c r="AM2057" i="2"/>
  <c r="AL2057" i="2"/>
  <c r="AK2057" i="2"/>
  <c r="AJ2057" i="2"/>
  <c r="AI2057" i="2"/>
  <c r="AH2057" i="2"/>
  <c r="AG2057" i="2"/>
  <c r="AE2057" i="2"/>
  <c r="AD2057" i="2"/>
  <c r="AC2057" i="2"/>
  <c r="AA2057" i="2"/>
  <c r="Z2057" i="2"/>
  <c r="Y2057" i="2"/>
  <c r="X2057" i="2"/>
  <c r="W2057" i="2"/>
  <c r="V2057" i="2"/>
  <c r="U2057" i="2"/>
  <c r="T2057" i="2"/>
  <c r="S2057" i="2"/>
  <c r="R2057" i="2"/>
  <c r="Q2057" i="2"/>
  <c r="P2057" i="2"/>
  <c r="O2057" i="2"/>
  <c r="N2057" i="2"/>
  <c r="K2057" i="2"/>
  <c r="J2057" i="2"/>
  <c r="I2057" i="2"/>
  <c r="H2057" i="2"/>
  <c r="G2057" i="2"/>
  <c r="F2057" i="2"/>
  <c r="E2057" i="2"/>
  <c r="D2057" i="2"/>
  <c r="C2057" i="2"/>
  <c r="B2057" i="2"/>
  <c r="A2057" i="2"/>
  <c r="AX2056" i="2"/>
  <c r="AV2056" i="2"/>
  <c r="AU2056" i="2"/>
  <c r="AT2056" i="2"/>
  <c r="AR2056" i="2"/>
  <c r="AQ2056" i="2"/>
  <c r="AP2056" i="2"/>
  <c r="AO2056" i="2"/>
  <c r="AL2056" i="2"/>
  <c r="AK2056" i="2"/>
  <c r="AJ2056" i="2"/>
  <c r="AI2056" i="2"/>
  <c r="AH2056" i="2"/>
  <c r="AG2056" i="2"/>
  <c r="AF2056" i="2"/>
  <c r="AE2056" i="2"/>
  <c r="AD2056" i="2"/>
  <c r="AC2056" i="2"/>
  <c r="AA2056" i="2"/>
  <c r="Z2056" i="2"/>
  <c r="Y2056" i="2"/>
  <c r="X2056" i="2"/>
  <c r="W2056" i="2"/>
  <c r="V2056" i="2"/>
  <c r="U2056" i="2"/>
  <c r="T2056" i="2"/>
  <c r="S2056" i="2"/>
  <c r="R2056" i="2"/>
  <c r="Q2056" i="2"/>
  <c r="P2056" i="2"/>
  <c r="O2056" i="2"/>
  <c r="N2056" i="2"/>
  <c r="M2056" i="2"/>
  <c r="L2056" i="2"/>
  <c r="K2056" i="2"/>
  <c r="J2056" i="2"/>
  <c r="I2056" i="2"/>
  <c r="H2056" i="2"/>
  <c r="G2056" i="2"/>
  <c r="F2056" i="2"/>
  <c r="E2056" i="2"/>
  <c r="D2056" i="2"/>
  <c r="C2056" i="2"/>
  <c r="B2056" i="2"/>
  <c r="A2056" i="2"/>
  <c r="AX2055" i="2"/>
  <c r="AV2055" i="2"/>
  <c r="AU2055" i="2"/>
  <c r="AT2055" i="2"/>
  <c r="AS2055" i="2"/>
  <c r="AR2055" i="2"/>
  <c r="AQ2055" i="2"/>
  <c r="AP2055" i="2"/>
  <c r="AO2055" i="2"/>
  <c r="AN2055" i="2"/>
  <c r="AM2055" i="2"/>
  <c r="AL2055" i="2"/>
  <c r="AK2055" i="2"/>
  <c r="AJ2055" i="2"/>
  <c r="AI2055" i="2"/>
  <c r="AH2055" i="2"/>
  <c r="AG2055" i="2"/>
  <c r="AE2055" i="2"/>
  <c r="AD2055" i="2"/>
  <c r="AC2055" i="2"/>
  <c r="AA2055" i="2"/>
  <c r="Z2055" i="2"/>
  <c r="Y2055" i="2"/>
  <c r="X2055" i="2"/>
  <c r="W2055" i="2"/>
  <c r="V2055" i="2"/>
  <c r="U2055" i="2"/>
  <c r="T2055" i="2"/>
  <c r="S2055" i="2"/>
  <c r="R2055" i="2"/>
  <c r="Q2055" i="2"/>
  <c r="P2055" i="2"/>
  <c r="O2055" i="2"/>
  <c r="N2055" i="2"/>
  <c r="M2055" i="2"/>
  <c r="L2055" i="2"/>
  <c r="K2055" i="2"/>
  <c r="J2055" i="2"/>
  <c r="I2055" i="2"/>
  <c r="H2055" i="2"/>
  <c r="G2055" i="2"/>
  <c r="F2055" i="2"/>
  <c r="E2055" i="2"/>
  <c r="D2055" i="2"/>
  <c r="C2055" i="2"/>
  <c r="B2055" i="2"/>
  <c r="A2055" i="2"/>
  <c r="AX2054" i="2"/>
  <c r="AV2054" i="2"/>
  <c r="AU2054" i="2"/>
  <c r="AS2054" i="2"/>
  <c r="AR2054" i="2"/>
  <c r="AQ2054" i="2"/>
  <c r="AP2054" i="2"/>
  <c r="AO2054" i="2"/>
  <c r="AL2054" i="2"/>
  <c r="AK2054" i="2"/>
  <c r="AJ2054" i="2"/>
  <c r="AI2054" i="2"/>
  <c r="AH2054" i="2"/>
  <c r="AG2054" i="2"/>
  <c r="AF2054" i="2"/>
  <c r="AE2054" i="2"/>
  <c r="AD2054" i="2"/>
  <c r="AC2054" i="2"/>
  <c r="AA2054" i="2"/>
  <c r="Z2054" i="2"/>
  <c r="Y2054" i="2"/>
  <c r="X2054" i="2"/>
  <c r="W2054" i="2"/>
  <c r="V2054" i="2"/>
  <c r="U2054" i="2"/>
  <c r="T2054" i="2"/>
  <c r="S2054" i="2"/>
  <c r="R2054" i="2"/>
  <c r="Q2054" i="2"/>
  <c r="P2054" i="2"/>
  <c r="O2054" i="2"/>
  <c r="N2054" i="2"/>
  <c r="M2054" i="2"/>
  <c r="L2054" i="2"/>
  <c r="K2054" i="2"/>
  <c r="J2054" i="2"/>
  <c r="I2054" i="2"/>
  <c r="H2054" i="2"/>
  <c r="G2054" i="2"/>
  <c r="F2054" i="2"/>
  <c r="E2054" i="2"/>
  <c r="D2054" i="2"/>
  <c r="C2054" i="2"/>
  <c r="B2054" i="2"/>
  <c r="A2054" i="2"/>
  <c r="AX2053" i="2"/>
  <c r="AV2053" i="2"/>
  <c r="AU2053" i="2"/>
  <c r="AS2053" i="2"/>
  <c r="AR2053" i="2"/>
  <c r="AQ2053" i="2"/>
  <c r="AO2053" i="2"/>
  <c r="AJ2053" i="2"/>
  <c r="AI2053" i="2"/>
  <c r="AH2053" i="2"/>
  <c r="AG2053" i="2"/>
  <c r="AD2053" i="2"/>
  <c r="AC2053" i="2"/>
  <c r="AA2053" i="2"/>
  <c r="Z2053" i="2"/>
  <c r="Y2053" i="2"/>
  <c r="X2053" i="2"/>
  <c r="W2053" i="2"/>
  <c r="V2053" i="2"/>
  <c r="U2053" i="2"/>
  <c r="T2053" i="2"/>
  <c r="S2053" i="2"/>
  <c r="R2053" i="2"/>
  <c r="Q2053" i="2"/>
  <c r="P2053" i="2"/>
  <c r="O2053" i="2"/>
  <c r="N2053" i="2"/>
  <c r="K2053" i="2"/>
  <c r="J2053" i="2"/>
  <c r="I2053" i="2"/>
  <c r="H2053" i="2"/>
  <c r="G2053" i="2"/>
  <c r="F2053" i="2"/>
  <c r="E2053" i="2"/>
  <c r="D2053" i="2"/>
  <c r="C2053" i="2"/>
  <c r="B2053" i="2"/>
  <c r="A2053" i="2"/>
  <c r="AX2052" i="2"/>
  <c r="AV2052" i="2"/>
  <c r="AU2052" i="2"/>
  <c r="AT2052" i="2"/>
  <c r="AS2052" i="2"/>
  <c r="AR2052" i="2"/>
  <c r="AQ2052" i="2"/>
  <c r="AP2052" i="2"/>
  <c r="AO2052" i="2"/>
  <c r="AN2052" i="2"/>
  <c r="AM2052" i="2"/>
  <c r="AL2052" i="2"/>
  <c r="AK2052" i="2"/>
  <c r="AJ2052" i="2"/>
  <c r="AI2052" i="2"/>
  <c r="AH2052" i="2"/>
  <c r="AG2052" i="2"/>
  <c r="AE2052" i="2"/>
  <c r="AD2052" i="2"/>
  <c r="AC2052" i="2"/>
  <c r="AB2052" i="2"/>
  <c r="AA2052" i="2"/>
  <c r="Z2052" i="2"/>
  <c r="Y2052" i="2"/>
  <c r="X2052" i="2"/>
  <c r="W2052" i="2"/>
  <c r="V2052" i="2"/>
  <c r="U2052" i="2"/>
  <c r="T2052" i="2"/>
  <c r="S2052" i="2"/>
  <c r="R2052" i="2"/>
  <c r="Q2052" i="2"/>
  <c r="P2052" i="2"/>
  <c r="O2052" i="2"/>
  <c r="N2052" i="2"/>
  <c r="M2052" i="2"/>
  <c r="L2052" i="2"/>
  <c r="K2052" i="2"/>
  <c r="J2052" i="2"/>
  <c r="I2052" i="2"/>
  <c r="H2052" i="2"/>
  <c r="G2052" i="2"/>
  <c r="F2052" i="2"/>
  <c r="E2052" i="2"/>
  <c r="D2052" i="2"/>
  <c r="C2052" i="2"/>
  <c r="B2052" i="2"/>
  <c r="A2052" i="2"/>
  <c r="AX2051" i="2"/>
  <c r="AV2051" i="2"/>
  <c r="AU2051" i="2"/>
  <c r="AT2051" i="2"/>
  <c r="AS2051" i="2"/>
  <c r="AR2051" i="2"/>
  <c r="AQ2051" i="2"/>
  <c r="AP2051" i="2"/>
  <c r="AO2051" i="2"/>
  <c r="AL2051" i="2"/>
  <c r="AK2051" i="2"/>
  <c r="AJ2051" i="2"/>
  <c r="AI2051" i="2"/>
  <c r="AH2051" i="2"/>
  <c r="AG2051" i="2"/>
  <c r="AF2051" i="2"/>
  <c r="AE2051" i="2"/>
  <c r="AD2051" i="2"/>
  <c r="AC2051" i="2"/>
  <c r="AA2051" i="2"/>
  <c r="Z2051" i="2"/>
  <c r="Y2051" i="2"/>
  <c r="X2051" i="2"/>
  <c r="W2051" i="2"/>
  <c r="V2051" i="2"/>
  <c r="U2051" i="2"/>
  <c r="T2051" i="2"/>
  <c r="S2051" i="2"/>
  <c r="R2051" i="2"/>
  <c r="Q2051" i="2"/>
  <c r="P2051" i="2"/>
  <c r="O2051" i="2"/>
  <c r="N2051" i="2"/>
  <c r="M2051" i="2"/>
  <c r="L2051" i="2"/>
  <c r="K2051" i="2"/>
  <c r="J2051" i="2"/>
  <c r="I2051" i="2"/>
  <c r="H2051" i="2"/>
  <c r="G2051" i="2"/>
  <c r="F2051" i="2"/>
  <c r="E2051" i="2"/>
  <c r="D2051" i="2"/>
  <c r="C2051" i="2"/>
  <c r="B2051" i="2"/>
  <c r="A2051" i="2"/>
  <c r="AX2050" i="2"/>
  <c r="AV2050" i="2"/>
  <c r="AU2050" i="2"/>
  <c r="AT2050" i="2"/>
  <c r="AS2050" i="2"/>
  <c r="AR2050" i="2"/>
  <c r="AQ2050" i="2"/>
  <c r="AP2050" i="2"/>
  <c r="AO2050" i="2"/>
  <c r="AL2050" i="2"/>
  <c r="AK2050" i="2"/>
  <c r="AJ2050" i="2"/>
  <c r="AI2050" i="2"/>
  <c r="AH2050" i="2"/>
  <c r="AG2050" i="2"/>
  <c r="AE2050" i="2"/>
  <c r="AD2050" i="2"/>
  <c r="AC2050" i="2"/>
  <c r="AA2050" i="2"/>
  <c r="Z2050" i="2"/>
  <c r="Y2050" i="2"/>
  <c r="X2050" i="2"/>
  <c r="W2050" i="2"/>
  <c r="V2050" i="2"/>
  <c r="U2050" i="2"/>
  <c r="T2050" i="2"/>
  <c r="S2050" i="2"/>
  <c r="R2050" i="2"/>
  <c r="Q2050" i="2"/>
  <c r="P2050" i="2"/>
  <c r="O2050" i="2"/>
  <c r="N2050" i="2"/>
  <c r="M2050" i="2"/>
  <c r="L2050" i="2"/>
  <c r="K2050" i="2"/>
  <c r="J2050" i="2"/>
  <c r="I2050" i="2"/>
  <c r="H2050" i="2"/>
  <c r="G2050" i="2"/>
  <c r="F2050" i="2"/>
  <c r="E2050" i="2"/>
  <c r="D2050" i="2"/>
  <c r="C2050" i="2"/>
  <c r="B2050" i="2"/>
  <c r="A2050" i="2"/>
  <c r="AX2049" i="2"/>
  <c r="AV2049" i="2"/>
  <c r="AU2049" i="2"/>
  <c r="AT2049" i="2"/>
  <c r="AS2049" i="2"/>
  <c r="AR2049" i="2"/>
  <c r="AQ2049" i="2"/>
  <c r="AP2049" i="2"/>
  <c r="AO2049" i="2"/>
  <c r="AL2049" i="2"/>
  <c r="AK2049" i="2"/>
  <c r="AJ2049" i="2"/>
  <c r="AI2049" i="2"/>
  <c r="AH2049" i="2"/>
  <c r="AG2049" i="2"/>
  <c r="AE2049" i="2"/>
  <c r="AD2049" i="2"/>
  <c r="AC2049" i="2"/>
  <c r="AA2049" i="2"/>
  <c r="Z2049" i="2"/>
  <c r="Y2049" i="2"/>
  <c r="X2049" i="2"/>
  <c r="W2049" i="2"/>
  <c r="V2049" i="2"/>
  <c r="U2049" i="2"/>
  <c r="T2049" i="2"/>
  <c r="S2049" i="2"/>
  <c r="R2049" i="2"/>
  <c r="Q2049" i="2"/>
  <c r="P2049" i="2"/>
  <c r="O2049" i="2"/>
  <c r="N2049" i="2"/>
  <c r="M2049" i="2"/>
  <c r="L2049" i="2"/>
  <c r="K2049" i="2"/>
  <c r="J2049" i="2"/>
  <c r="I2049" i="2"/>
  <c r="H2049" i="2"/>
  <c r="G2049" i="2"/>
  <c r="F2049" i="2"/>
  <c r="E2049" i="2"/>
  <c r="D2049" i="2"/>
  <c r="C2049" i="2"/>
  <c r="B2049" i="2"/>
  <c r="A2049" i="2"/>
  <c r="AX2048" i="2"/>
  <c r="AV2048" i="2"/>
  <c r="AU2048" i="2"/>
  <c r="AT2048" i="2"/>
  <c r="AR2048" i="2"/>
  <c r="AQ2048" i="2"/>
  <c r="AP2048" i="2"/>
  <c r="AO2048" i="2"/>
  <c r="AL2048" i="2"/>
  <c r="AK2048" i="2"/>
  <c r="AJ2048" i="2"/>
  <c r="AI2048" i="2"/>
  <c r="AH2048" i="2"/>
  <c r="AG2048" i="2"/>
  <c r="AD2048" i="2"/>
  <c r="AC2048" i="2"/>
  <c r="AA2048" i="2"/>
  <c r="Z2048" i="2"/>
  <c r="Y2048" i="2"/>
  <c r="X2048" i="2"/>
  <c r="W2048" i="2"/>
  <c r="V2048" i="2"/>
  <c r="U2048" i="2"/>
  <c r="T2048" i="2"/>
  <c r="S2048" i="2"/>
  <c r="R2048" i="2"/>
  <c r="Q2048" i="2"/>
  <c r="P2048" i="2"/>
  <c r="O2048" i="2"/>
  <c r="N2048" i="2"/>
  <c r="M2048" i="2"/>
  <c r="L2048" i="2"/>
  <c r="K2048" i="2"/>
  <c r="J2048" i="2"/>
  <c r="I2048" i="2"/>
  <c r="H2048" i="2"/>
  <c r="G2048" i="2"/>
  <c r="F2048" i="2"/>
  <c r="E2048" i="2"/>
  <c r="D2048" i="2"/>
  <c r="C2048" i="2"/>
  <c r="B2048" i="2"/>
  <c r="A2048" i="2"/>
  <c r="AX2047" i="2"/>
  <c r="AV2047" i="2"/>
  <c r="AU2047" i="2"/>
  <c r="AT2047" i="2"/>
  <c r="AS2047" i="2"/>
  <c r="AR2047" i="2"/>
  <c r="AQ2047" i="2"/>
  <c r="AP2047" i="2"/>
  <c r="AO2047" i="2"/>
  <c r="AL2047" i="2"/>
  <c r="AK2047" i="2"/>
  <c r="AJ2047" i="2"/>
  <c r="AI2047" i="2"/>
  <c r="AH2047" i="2"/>
  <c r="AG2047" i="2"/>
  <c r="AF2047" i="2"/>
  <c r="AE2047" i="2"/>
  <c r="AD2047" i="2"/>
  <c r="AC2047" i="2"/>
  <c r="AA2047" i="2"/>
  <c r="Z2047" i="2"/>
  <c r="Y2047" i="2"/>
  <c r="X2047" i="2"/>
  <c r="W2047" i="2"/>
  <c r="V2047" i="2"/>
  <c r="U2047" i="2"/>
  <c r="T2047" i="2"/>
  <c r="S2047" i="2"/>
  <c r="R2047" i="2"/>
  <c r="Q2047" i="2"/>
  <c r="P2047" i="2"/>
  <c r="O2047" i="2"/>
  <c r="N2047" i="2"/>
  <c r="M2047" i="2"/>
  <c r="L2047" i="2"/>
  <c r="K2047" i="2"/>
  <c r="J2047" i="2"/>
  <c r="I2047" i="2"/>
  <c r="H2047" i="2"/>
  <c r="G2047" i="2"/>
  <c r="F2047" i="2"/>
  <c r="E2047" i="2"/>
  <c r="D2047" i="2"/>
  <c r="C2047" i="2"/>
  <c r="B2047" i="2"/>
  <c r="A2047" i="2"/>
  <c r="AX2046" i="2"/>
  <c r="AV2046" i="2"/>
  <c r="AU2046" i="2"/>
  <c r="AT2046" i="2"/>
  <c r="AS2046" i="2"/>
  <c r="AR2046" i="2"/>
  <c r="AQ2046" i="2"/>
  <c r="AP2046" i="2"/>
  <c r="AO2046" i="2"/>
  <c r="AL2046" i="2"/>
  <c r="AK2046" i="2"/>
  <c r="AJ2046" i="2"/>
  <c r="AI2046" i="2"/>
  <c r="AH2046" i="2"/>
  <c r="AG2046" i="2"/>
  <c r="AE2046" i="2"/>
  <c r="AD2046" i="2"/>
  <c r="AC2046" i="2"/>
  <c r="AA2046" i="2"/>
  <c r="Z2046" i="2"/>
  <c r="Y2046" i="2"/>
  <c r="X2046" i="2"/>
  <c r="W2046" i="2"/>
  <c r="V2046" i="2"/>
  <c r="U2046" i="2"/>
  <c r="T2046" i="2"/>
  <c r="S2046" i="2"/>
  <c r="R2046" i="2"/>
  <c r="Q2046" i="2"/>
  <c r="P2046" i="2"/>
  <c r="O2046" i="2"/>
  <c r="N2046" i="2"/>
  <c r="M2046" i="2"/>
  <c r="L2046" i="2"/>
  <c r="K2046" i="2"/>
  <c r="J2046" i="2"/>
  <c r="I2046" i="2"/>
  <c r="H2046" i="2"/>
  <c r="G2046" i="2"/>
  <c r="F2046" i="2"/>
  <c r="E2046" i="2"/>
  <c r="D2046" i="2"/>
  <c r="C2046" i="2"/>
  <c r="B2046" i="2"/>
  <c r="A2046" i="2"/>
  <c r="AX2045" i="2"/>
  <c r="AV2045" i="2"/>
  <c r="AU2045" i="2"/>
  <c r="AT2045" i="2"/>
  <c r="AR2045" i="2"/>
  <c r="AQ2045" i="2"/>
  <c r="AP2045" i="2"/>
  <c r="AO2045" i="2"/>
  <c r="AL2045" i="2"/>
  <c r="AK2045" i="2"/>
  <c r="AJ2045" i="2"/>
  <c r="AI2045" i="2"/>
  <c r="AH2045" i="2"/>
  <c r="AG2045" i="2"/>
  <c r="AD2045" i="2"/>
  <c r="AC2045" i="2"/>
  <c r="AA2045" i="2"/>
  <c r="Z2045" i="2"/>
  <c r="Y2045" i="2"/>
  <c r="X2045" i="2"/>
  <c r="W2045" i="2"/>
  <c r="V2045" i="2"/>
  <c r="U2045" i="2"/>
  <c r="T2045" i="2"/>
  <c r="S2045" i="2"/>
  <c r="R2045" i="2"/>
  <c r="Q2045" i="2"/>
  <c r="P2045" i="2"/>
  <c r="O2045" i="2"/>
  <c r="N2045" i="2"/>
  <c r="M2045" i="2"/>
  <c r="L2045" i="2"/>
  <c r="K2045" i="2"/>
  <c r="J2045" i="2"/>
  <c r="I2045" i="2"/>
  <c r="H2045" i="2"/>
  <c r="G2045" i="2"/>
  <c r="F2045" i="2"/>
  <c r="E2045" i="2"/>
  <c r="D2045" i="2"/>
  <c r="C2045" i="2"/>
  <c r="B2045" i="2"/>
  <c r="A2045" i="2"/>
  <c r="AX2044" i="2"/>
  <c r="AV2044" i="2"/>
  <c r="AU2044" i="2"/>
  <c r="AS2044" i="2"/>
  <c r="AR2044" i="2"/>
  <c r="AQ2044" i="2"/>
  <c r="AO2044" i="2"/>
  <c r="AL2044" i="2"/>
  <c r="AK2044" i="2"/>
  <c r="AJ2044" i="2"/>
  <c r="AI2044" i="2"/>
  <c r="AH2044" i="2"/>
  <c r="AG2044" i="2"/>
  <c r="AE2044" i="2"/>
  <c r="AD2044" i="2"/>
  <c r="AC2044" i="2"/>
  <c r="AA2044" i="2"/>
  <c r="Z2044" i="2"/>
  <c r="Y2044" i="2"/>
  <c r="X2044" i="2"/>
  <c r="W2044" i="2"/>
  <c r="V2044" i="2"/>
  <c r="U2044" i="2"/>
  <c r="T2044" i="2"/>
  <c r="S2044" i="2"/>
  <c r="R2044" i="2"/>
  <c r="Q2044" i="2"/>
  <c r="P2044" i="2"/>
  <c r="O2044" i="2"/>
  <c r="N2044" i="2"/>
  <c r="M2044" i="2"/>
  <c r="L2044" i="2"/>
  <c r="K2044" i="2"/>
  <c r="J2044" i="2"/>
  <c r="I2044" i="2"/>
  <c r="H2044" i="2"/>
  <c r="G2044" i="2"/>
  <c r="F2044" i="2"/>
  <c r="E2044" i="2"/>
  <c r="D2044" i="2"/>
  <c r="C2044" i="2"/>
  <c r="B2044" i="2"/>
  <c r="A2044" i="2"/>
  <c r="AX2043" i="2"/>
  <c r="AV2043" i="2"/>
  <c r="AU2043" i="2"/>
  <c r="AR2043" i="2"/>
  <c r="AQ2043" i="2"/>
  <c r="AO2043" i="2"/>
  <c r="AN2043" i="2"/>
  <c r="AM2043" i="2"/>
  <c r="AL2043" i="2"/>
  <c r="AK2043" i="2"/>
  <c r="AJ2043" i="2"/>
  <c r="AI2043" i="2"/>
  <c r="AH2043" i="2"/>
  <c r="AG2043" i="2"/>
  <c r="AE2043" i="2"/>
  <c r="AC2043" i="2"/>
  <c r="AA2043" i="2"/>
  <c r="Z2043" i="2"/>
  <c r="Y2043" i="2"/>
  <c r="W2043" i="2"/>
  <c r="V2043" i="2"/>
  <c r="U2043" i="2"/>
  <c r="T2043" i="2"/>
  <c r="S2043" i="2"/>
  <c r="R2043" i="2"/>
  <c r="Q2043" i="2"/>
  <c r="P2043" i="2"/>
  <c r="O2043" i="2"/>
  <c r="N2043" i="2"/>
  <c r="K2043" i="2"/>
  <c r="J2043" i="2"/>
  <c r="I2043" i="2"/>
  <c r="H2043" i="2"/>
  <c r="G2043" i="2"/>
  <c r="F2043" i="2"/>
  <c r="E2043" i="2"/>
  <c r="D2043" i="2"/>
  <c r="C2043" i="2"/>
  <c r="B2043" i="2"/>
  <c r="A2043" i="2"/>
  <c r="AX2042" i="2"/>
  <c r="AV2042" i="2"/>
  <c r="AU2042" i="2"/>
  <c r="AT2042" i="2"/>
  <c r="AR2042" i="2"/>
  <c r="AQ2042" i="2"/>
  <c r="AO2042" i="2"/>
  <c r="AM2042" i="2"/>
  <c r="AL2042" i="2"/>
  <c r="AK2042" i="2"/>
  <c r="AJ2042" i="2"/>
  <c r="AI2042" i="2"/>
  <c r="AH2042" i="2"/>
  <c r="AG2042" i="2"/>
  <c r="AD2042" i="2"/>
  <c r="AC2042" i="2"/>
  <c r="AA2042" i="2"/>
  <c r="Z2042" i="2"/>
  <c r="Y2042" i="2"/>
  <c r="X2042" i="2"/>
  <c r="W2042" i="2"/>
  <c r="V2042" i="2"/>
  <c r="U2042" i="2"/>
  <c r="T2042" i="2"/>
  <c r="S2042" i="2"/>
  <c r="R2042" i="2"/>
  <c r="Q2042" i="2"/>
  <c r="P2042" i="2"/>
  <c r="O2042" i="2"/>
  <c r="N2042" i="2"/>
  <c r="K2042" i="2"/>
  <c r="J2042" i="2"/>
  <c r="I2042" i="2"/>
  <c r="H2042" i="2"/>
  <c r="G2042" i="2"/>
  <c r="F2042" i="2"/>
  <c r="E2042" i="2"/>
  <c r="D2042" i="2"/>
  <c r="C2042" i="2"/>
  <c r="B2042" i="2"/>
  <c r="A2042" i="2"/>
  <c r="AX2041" i="2"/>
  <c r="AV2041" i="2"/>
  <c r="AU2041" i="2"/>
  <c r="AR2041" i="2"/>
  <c r="AQ2041" i="2"/>
  <c r="AO2041" i="2"/>
  <c r="AM2041" i="2"/>
  <c r="AL2041" i="2"/>
  <c r="AK2041" i="2"/>
  <c r="AJ2041" i="2"/>
  <c r="AI2041" i="2"/>
  <c r="AH2041" i="2"/>
  <c r="AG2041" i="2"/>
  <c r="AF2041" i="2"/>
  <c r="AE2041" i="2"/>
  <c r="AD2041" i="2"/>
  <c r="AC2041" i="2"/>
  <c r="AA2041" i="2"/>
  <c r="Z2041" i="2"/>
  <c r="Y2041" i="2"/>
  <c r="X2041" i="2"/>
  <c r="W2041" i="2"/>
  <c r="V2041" i="2"/>
  <c r="U2041" i="2"/>
  <c r="T2041" i="2"/>
  <c r="S2041" i="2"/>
  <c r="R2041" i="2"/>
  <c r="Q2041" i="2"/>
  <c r="P2041" i="2"/>
  <c r="O2041" i="2"/>
  <c r="N2041" i="2"/>
  <c r="K2041" i="2"/>
  <c r="J2041" i="2"/>
  <c r="I2041" i="2"/>
  <c r="H2041" i="2"/>
  <c r="G2041" i="2"/>
  <c r="F2041" i="2"/>
  <c r="E2041" i="2"/>
  <c r="D2041" i="2"/>
  <c r="C2041" i="2"/>
  <c r="B2041" i="2"/>
  <c r="A2041" i="2"/>
  <c r="AX2040" i="2"/>
  <c r="AV2040" i="2"/>
  <c r="AU2040" i="2"/>
  <c r="AT2040" i="2"/>
  <c r="AS2040" i="2"/>
  <c r="AR2040" i="2"/>
  <c r="AQ2040" i="2"/>
  <c r="AP2040" i="2"/>
  <c r="AO2040" i="2"/>
  <c r="AL2040" i="2"/>
  <c r="AK2040" i="2"/>
  <c r="AJ2040" i="2"/>
  <c r="AI2040" i="2"/>
  <c r="AH2040" i="2"/>
  <c r="AG2040" i="2"/>
  <c r="AF2040" i="2"/>
  <c r="AE2040" i="2"/>
  <c r="AD2040" i="2"/>
  <c r="AC2040" i="2"/>
  <c r="AA2040" i="2"/>
  <c r="Z2040" i="2"/>
  <c r="Y2040" i="2"/>
  <c r="X2040" i="2"/>
  <c r="W2040" i="2"/>
  <c r="V2040" i="2"/>
  <c r="U2040" i="2"/>
  <c r="T2040" i="2"/>
  <c r="S2040" i="2"/>
  <c r="R2040" i="2"/>
  <c r="Q2040" i="2"/>
  <c r="P2040" i="2"/>
  <c r="O2040" i="2"/>
  <c r="N2040" i="2"/>
  <c r="M2040" i="2"/>
  <c r="L2040" i="2"/>
  <c r="K2040" i="2"/>
  <c r="J2040" i="2"/>
  <c r="I2040" i="2"/>
  <c r="H2040" i="2"/>
  <c r="G2040" i="2"/>
  <c r="F2040" i="2"/>
  <c r="E2040" i="2"/>
  <c r="D2040" i="2"/>
  <c r="C2040" i="2"/>
  <c r="B2040" i="2"/>
  <c r="A2040" i="2"/>
  <c r="AX2039" i="2"/>
  <c r="AV2039" i="2"/>
  <c r="AU2039" i="2"/>
  <c r="AS2039" i="2"/>
  <c r="AR2039" i="2"/>
  <c r="AQ2039" i="2"/>
  <c r="AO2039" i="2"/>
  <c r="AL2039" i="2"/>
  <c r="AK2039" i="2"/>
  <c r="AJ2039" i="2"/>
  <c r="AI2039" i="2"/>
  <c r="AH2039" i="2"/>
  <c r="AG2039" i="2"/>
  <c r="AE2039" i="2"/>
  <c r="AC2039" i="2"/>
  <c r="AA2039" i="2"/>
  <c r="Z2039" i="2"/>
  <c r="Y2039" i="2"/>
  <c r="X2039" i="2"/>
  <c r="W2039" i="2"/>
  <c r="V2039" i="2"/>
  <c r="U2039" i="2"/>
  <c r="T2039" i="2"/>
  <c r="S2039" i="2"/>
  <c r="R2039" i="2"/>
  <c r="Q2039" i="2"/>
  <c r="P2039" i="2"/>
  <c r="O2039" i="2"/>
  <c r="N2039" i="2"/>
  <c r="K2039" i="2"/>
  <c r="J2039" i="2"/>
  <c r="I2039" i="2"/>
  <c r="H2039" i="2"/>
  <c r="G2039" i="2"/>
  <c r="F2039" i="2"/>
  <c r="E2039" i="2"/>
  <c r="D2039" i="2"/>
  <c r="C2039" i="2"/>
  <c r="B2039" i="2"/>
  <c r="A2039" i="2"/>
  <c r="AX2038" i="2"/>
  <c r="AV2038" i="2"/>
  <c r="AU2038" i="2"/>
  <c r="AS2038" i="2"/>
  <c r="AR2038" i="2"/>
  <c r="AQ2038" i="2"/>
  <c r="AO2038" i="2"/>
  <c r="AL2038" i="2"/>
  <c r="AK2038" i="2"/>
  <c r="AJ2038" i="2"/>
  <c r="AI2038" i="2"/>
  <c r="AH2038" i="2"/>
  <c r="AG2038" i="2"/>
  <c r="AF2038" i="2"/>
  <c r="AE2038" i="2"/>
  <c r="AC2038" i="2"/>
  <c r="AA2038" i="2"/>
  <c r="Z2038" i="2"/>
  <c r="Y2038" i="2"/>
  <c r="X2038" i="2"/>
  <c r="V2038" i="2"/>
  <c r="U2038" i="2"/>
  <c r="T2038" i="2"/>
  <c r="S2038" i="2"/>
  <c r="R2038" i="2"/>
  <c r="Q2038" i="2"/>
  <c r="P2038" i="2"/>
  <c r="O2038" i="2"/>
  <c r="N2038" i="2"/>
  <c r="K2038" i="2"/>
  <c r="J2038" i="2"/>
  <c r="I2038" i="2"/>
  <c r="H2038" i="2"/>
  <c r="G2038" i="2"/>
  <c r="F2038" i="2"/>
  <c r="E2038" i="2"/>
  <c r="D2038" i="2"/>
  <c r="C2038" i="2"/>
  <c r="B2038" i="2"/>
  <c r="A2038" i="2"/>
  <c r="AX2037" i="2"/>
  <c r="AV2037" i="2"/>
  <c r="AU2037" i="2"/>
  <c r="AS2037" i="2"/>
  <c r="AR2037" i="2"/>
  <c r="AQ2037" i="2"/>
  <c r="AP2037" i="2"/>
  <c r="AO2037" i="2"/>
  <c r="AM2037" i="2"/>
  <c r="AL2037" i="2"/>
  <c r="AK2037" i="2"/>
  <c r="AJ2037" i="2"/>
  <c r="AI2037" i="2"/>
  <c r="AH2037" i="2"/>
  <c r="AG2037" i="2"/>
  <c r="AE2037" i="2"/>
  <c r="AD2037" i="2"/>
  <c r="AC2037" i="2"/>
  <c r="AA2037" i="2"/>
  <c r="Z2037" i="2"/>
  <c r="Y2037" i="2"/>
  <c r="X2037" i="2"/>
  <c r="W2037" i="2"/>
  <c r="V2037" i="2"/>
  <c r="U2037" i="2"/>
  <c r="T2037" i="2"/>
  <c r="S2037" i="2"/>
  <c r="R2037" i="2"/>
  <c r="Q2037" i="2"/>
  <c r="P2037" i="2"/>
  <c r="O2037" i="2"/>
  <c r="N2037" i="2"/>
  <c r="M2037" i="2"/>
  <c r="K2037" i="2"/>
  <c r="J2037" i="2"/>
  <c r="I2037" i="2"/>
  <c r="H2037" i="2"/>
  <c r="G2037" i="2"/>
  <c r="F2037" i="2"/>
  <c r="E2037" i="2"/>
  <c r="D2037" i="2"/>
  <c r="C2037" i="2"/>
  <c r="B2037" i="2"/>
  <c r="A2037" i="2"/>
  <c r="AX2036" i="2"/>
  <c r="AV2036" i="2"/>
  <c r="AU2036" i="2"/>
  <c r="AT2036" i="2"/>
  <c r="AS2036" i="2"/>
  <c r="AR2036" i="2"/>
  <c r="AQ2036" i="2"/>
  <c r="AP2036" i="2"/>
  <c r="AO2036" i="2"/>
  <c r="AL2036" i="2"/>
  <c r="AK2036" i="2"/>
  <c r="AI2036" i="2"/>
  <c r="AH2036" i="2"/>
  <c r="AG2036" i="2"/>
  <c r="AE2036" i="2"/>
  <c r="AD2036" i="2"/>
  <c r="AC2036" i="2"/>
  <c r="AA2036" i="2"/>
  <c r="Z2036" i="2"/>
  <c r="Y2036" i="2"/>
  <c r="X2036" i="2"/>
  <c r="W2036" i="2"/>
  <c r="V2036" i="2"/>
  <c r="U2036" i="2"/>
  <c r="T2036" i="2"/>
  <c r="S2036" i="2"/>
  <c r="R2036" i="2"/>
  <c r="Q2036" i="2"/>
  <c r="P2036" i="2"/>
  <c r="O2036" i="2"/>
  <c r="N2036" i="2"/>
  <c r="M2036" i="2"/>
  <c r="L2036" i="2"/>
  <c r="K2036" i="2"/>
  <c r="J2036" i="2"/>
  <c r="I2036" i="2"/>
  <c r="H2036" i="2"/>
  <c r="G2036" i="2"/>
  <c r="F2036" i="2"/>
  <c r="E2036" i="2"/>
  <c r="D2036" i="2"/>
  <c r="C2036" i="2"/>
  <c r="B2036" i="2"/>
  <c r="A2036" i="2"/>
  <c r="AX2035" i="2"/>
  <c r="AV2035" i="2"/>
  <c r="AU2035" i="2"/>
  <c r="AT2035" i="2"/>
  <c r="AS2035" i="2"/>
  <c r="AR2035" i="2"/>
  <c r="AQ2035" i="2"/>
  <c r="AP2035" i="2"/>
  <c r="AO2035" i="2"/>
  <c r="AL2035" i="2"/>
  <c r="AK2035" i="2"/>
  <c r="AI2035" i="2"/>
  <c r="AH2035" i="2"/>
  <c r="AG2035" i="2"/>
  <c r="AE2035" i="2"/>
  <c r="AD2035" i="2"/>
  <c r="AC2035" i="2"/>
  <c r="AA2035" i="2"/>
  <c r="Z2035" i="2"/>
  <c r="Y2035" i="2"/>
  <c r="X2035" i="2"/>
  <c r="W2035" i="2"/>
  <c r="V2035" i="2"/>
  <c r="U2035" i="2"/>
  <c r="T2035" i="2"/>
  <c r="S2035" i="2"/>
  <c r="R2035" i="2"/>
  <c r="Q2035" i="2"/>
  <c r="P2035" i="2"/>
  <c r="O2035" i="2"/>
  <c r="N2035" i="2"/>
  <c r="M2035" i="2"/>
  <c r="L2035" i="2"/>
  <c r="K2035" i="2"/>
  <c r="J2035" i="2"/>
  <c r="I2035" i="2"/>
  <c r="H2035" i="2"/>
  <c r="G2035" i="2"/>
  <c r="F2035" i="2"/>
  <c r="E2035" i="2"/>
  <c r="D2035" i="2"/>
  <c r="C2035" i="2"/>
  <c r="B2035" i="2"/>
  <c r="A2035" i="2"/>
  <c r="AX2034" i="2"/>
  <c r="AV2034" i="2"/>
  <c r="AU2034" i="2"/>
  <c r="AT2034" i="2"/>
  <c r="AS2034" i="2"/>
  <c r="AR2034" i="2"/>
  <c r="AQ2034" i="2"/>
  <c r="AP2034" i="2"/>
  <c r="AO2034" i="2"/>
  <c r="AM2034" i="2"/>
  <c r="AL2034" i="2"/>
  <c r="AK2034" i="2"/>
  <c r="AJ2034" i="2"/>
  <c r="AI2034" i="2"/>
  <c r="AH2034" i="2"/>
  <c r="AG2034" i="2"/>
  <c r="AF2034" i="2"/>
  <c r="AE2034" i="2"/>
  <c r="AD2034" i="2"/>
  <c r="AC2034" i="2"/>
  <c r="AA2034" i="2"/>
  <c r="Z2034" i="2"/>
  <c r="Y2034" i="2"/>
  <c r="X2034" i="2"/>
  <c r="W2034" i="2"/>
  <c r="V2034" i="2"/>
  <c r="U2034" i="2"/>
  <c r="T2034" i="2"/>
  <c r="S2034" i="2"/>
  <c r="R2034" i="2"/>
  <c r="Q2034" i="2"/>
  <c r="P2034" i="2"/>
  <c r="O2034" i="2"/>
  <c r="N2034" i="2"/>
  <c r="M2034" i="2"/>
  <c r="L2034" i="2"/>
  <c r="K2034" i="2"/>
  <c r="J2034" i="2"/>
  <c r="I2034" i="2"/>
  <c r="H2034" i="2"/>
  <c r="G2034" i="2"/>
  <c r="F2034" i="2"/>
  <c r="E2034" i="2"/>
  <c r="D2034" i="2"/>
  <c r="C2034" i="2"/>
  <c r="B2034" i="2"/>
  <c r="A2034" i="2"/>
  <c r="AX2033" i="2"/>
  <c r="AV2033" i="2"/>
  <c r="AU2033" i="2"/>
  <c r="AT2033" i="2"/>
  <c r="AR2033" i="2"/>
  <c r="AQ2033" i="2"/>
  <c r="AP2033" i="2"/>
  <c r="AO2033" i="2"/>
  <c r="AN2033" i="2"/>
  <c r="AM2033" i="2"/>
  <c r="AL2033" i="2"/>
  <c r="AK2033" i="2"/>
  <c r="AJ2033" i="2"/>
  <c r="AI2033" i="2"/>
  <c r="AH2033" i="2"/>
  <c r="AG2033" i="2"/>
  <c r="AE2033" i="2"/>
  <c r="AD2033" i="2"/>
  <c r="AC2033" i="2"/>
  <c r="AA2033" i="2"/>
  <c r="Z2033" i="2"/>
  <c r="Y2033" i="2"/>
  <c r="W2033" i="2"/>
  <c r="V2033" i="2"/>
  <c r="U2033" i="2"/>
  <c r="T2033" i="2"/>
  <c r="S2033" i="2"/>
  <c r="R2033" i="2"/>
  <c r="Q2033" i="2"/>
  <c r="P2033" i="2"/>
  <c r="O2033" i="2"/>
  <c r="N2033" i="2"/>
  <c r="M2033" i="2"/>
  <c r="L2033" i="2"/>
  <c r="K2033" i="2"/>
  <c r="J2033" i="2"/>
  <c r="I2033" i="2"/>
  <c r="H2033" i="2"/>
  <c r="G2033" i="2"/>
  <c r="F2033" i="2"/>
  <c r="E2033" i="2"/>
  <c r="D2033" i="2"/>
  <c r="C2033" i="2"/>
  <c r="B2033" i="2"/>
  <c r="A2033" i="2"/>
  <c r="AX2032" i="2"/>
  <c r="AV2032" i="2"/>
  <c r="AU2032" i="2"/>
  <c r="AT2032" i="2"/>
  <c r="AS2032" i="2"/>
  <c r="AR2032" i="2"/>
  <c r="AQ2032" i="2"/>
  <c r="AP2032" i="2"/>
  <c r="AO2032" i="2"/>
  <c r="AN2032" i="2"/>
  <c r="AM2032" i="2"/>
  <c r="AL2032" i="2"/>
  <c r="AK2032" i="2"/>
  <c r="AJ2032" i="2"/>
  <c r="AI2032" i="2"/>
  <c r="AH2032" i="2"/>
  <c r="AG2032" i="2"/>
  <c r="AE2032" i="2"/>
  <c r="AD2032" i="2"/>
  <c r="AC2032" i="2"/>
  <c r="AA2032" i="2"/>
  <c r="Z2032" i="2"/>
  <c r="Y2032" i="2"/>
  <c r="W2032" i="2"/>
  <c r="V2032" i="2"/>
  <c r="U2032" i="2"/>
  <c r="T2032" i="2"/>
  <c r="S2032" i="2"/>
  <c r="R2032" i="2"/>
  <c r="Q2032" i="2"/>
  <c r="P2032" i="2"/>
  <c r="O2032" i="2"/>
  <c r="N2032" i="2"/>
  <c r="M2032" i="2"/>
  <c r="L2032" i="2"/>
  <c r="K2032" i="2"/>
  <c r="J2032" i="2"/>
  <c r="I2032" i="2"/>
  <c r="H2032" i="2"/>
  <c r="G2032" i="2"/>
  <c r="F2032" i="2"/>
  <c r="E2032" i="2"/>
  <c r="D2032" i="2"/>
  <c r="C2032" i="2"/>
  <c r="B2032" i="2"/>
  <c r="A2032" i="2"/>
  <c r="AX2031" i="2"/>
  <c r="AV2031" i="2"/>
  <c r="AU2031" i="2"/>
  <c r="AR2031" i="2"/>
  <c r="AQ2031" i="2"/>
  <c r="AP2031" i="2"/>
  <c r="AO2031" i="2"/>
  <c r="AL2031" i="2"/>
  <c r="AK2031" i="2"/>
  <c r="AJ2031" i="2"/>
  <c r="AI2031" i="2"/>
  <c r="AH2031" i="2"/>
  <c r="AG2031" i="2"/>
  <c r="AF2031" i="2"/>
  <c r="AE2031" i="2"/>
  <c r="AD2031" i="2"/>
  <c r="AC2031" i="2"/>
  <c r="AA2031" i="2"/>
  <c r="Z2031" i="2"/>
  <c r="Y2031" i="2"/>
  <c r="X2031" i="2"/>
  <c r="W2031" i="2"/>
  <c r="V2031" i="2"/>
  <c r="U2031" i="2"/>
  <c r="T2031" i="2"/>
  <c r="S2031" i="2"/>
  <c r="R2031" i="2"/>
  <c r="Q2031" i="2"/>
  <c r="P2031" i="2"/>
  <c r="O2031" i="2"/>
  <c r="N2031" i="2"/>
  <c r="M2031" i="2"/>
  <c r="L2031" i="2"/>
  <c r="K2031" i="2"/>
  <c r="J2031" i="2"/>
  <c r="I2031" i="2"/>
  <c r="H2031" i="2"/>
  <c r="G2031" i="2"/>
  <c r="F2031" i="2"/>
  <c r="E2031" i="2"/>
  <c r="D2031" i="2"/>
  <c r="C2031" i="2"/>
  <c r="B2031" i="2"/>
  <c r="A2031" i="2"/>
  <c r="AX2030" i="2"/>
  <c r="AV2030" i="2"/>
  <c r="AU2030" i="2"/>
  <c r="AT2030" i="2"/>
  <c r="AS2030" i="2"/>
  <c r="AR2030" i="2"/>
  <c r="AQ2030" i="2"/>
  <c r="AP2030" i="2"/>
  <c r="AO2030" i="2"/>
  <c r="AL2030" i="2"/>
  <c r="AK2030" i="2"/>
  <c r="AJ2030" i="2"/>
  <c r="AI2030" i="2"/>
  <c r="AH2030" i="2"/>
  <c r="AG2030" i="2"/>
  <c r="AE2030" i="2"/>
  <c r="AD2030" i="2"/>
  <c r="AC2030" i="2"/>
  <c r="AA2030" i="2"/>
  <c r="Z2030" i="2"/>
  <c r="Y2030" i="2"/>
  <c r="X2030" i="2"/>
  <c r="W2030" i="2"/>
  <c r="V2030" i="2"/>
  <c r="U2030" i="2"/>
  <c r="T2030" i="2"/>
  <c r="S2030" i="2"/>
  <c r="R2030" i="2"/>
  <c r="Q2030" i="2"/>
  <c r="P2030" i="2"/>
  <c r="O2030" i="2"/>
  <c r="N2030" i="2"/>
  <c r="M2030" i="2"/>
  <c r="L2030" i="2"/>
  <c r="K2030" i="2"/>
  <c r="J2030" i="2"/>
  <c r="I2030" i="2"/>
  <c r="H2030" i="2"/>
  <c r="G2030" i="2"/>
  <c r="F2030" i="2"/>
  <c r="E2030" i="2"/>
  <c r="D2030" i="2"/>
  <c r="C2030" i="2"/>
  <c r="B2030" i="2"/>
  <c r="A2030" i="2"/>
  <c r="AX2029" i="2"/>
  <c r="AV2029" i="2"/>
  <c r="AU2029" i="2"/>
  <c r="AS2029" i="2"/>
  <c r="AR2029" i="2"/>
  <c r="AQ2029" i="2"/>
  <c r="AP2029" i="2"/>
  <c r="AO2029" i="2"/>
  <c r="AM2029" i="2"/>
  <c r="AL2029" i="2"/>
  <c r="AK2029" i="2"/>
  <c r="AJ2029" i="2"/>
  <c r="AI2029" i="2"/>
  <c r="AH2029" i="2"/>
  <c r="AG2029" i="2"/>
  <c r="AE2029" i="2"/>
  <c r="AD2029" i="2"/>
  <c r="AC2029" i="2"/>
  <c r="AA2029" i="2"/>
  <c r="Z2029" i="2"/>
  <c r="Y2029" i="2"/>
  <c r="X2029" i="2"/>
  <c r="W2029" i="2"/>
  <c r="V2029" i="2"/>
  <c r="U2029" i="2"/>
  <c r="T2029" i="2"/>
  <c r="S2029" i="2"/>
  <c r="R2029" i="2"/>
  <c r="Q2029" i="2"/>
  <c r="P2029" i="2"/>
  <c r="O2029" i="2"/>
  <c r="N2029" i="2"/>
  <c r="K2029" i="2"/>
  <c r="J2029" i="2"/>
  <c r="I2029" i="2"/>
  <c r="H2029" i="2"/>
  <c r="G2029" i="2"/>
  <c r="F2029" i="2"/>
  <c r="E2029" i="2"/>
  <c r="D2029" i="2"/>
  <c r="C2029" i="2"/>
  <c r="B2029" i="2"/>
  <c r="A2029" i="2"/>
  <c r="AX2028" i="2"/>
  <c r="AV2028" i="2"/>
  <c r="AU2028" i="2"/>
  <c r="AT2028" i="2"/>
  <c r="AR2028" i="2"/>
  <c r="AQ2028" i="2"/>
  <c r="AP2028" i="2"/>
  <c r="AO2028" i="2"/>
  <c r="AL2028" i="2"/>
  <c r="AK2028" i="2"/>
  <c r="AJ2028" i="2"/>
  <c r="AI2028" i="2"/>
  <c r="AH2028" i="2"/>
  <c r="AG2028" i="2"/>
  <c r="AE2028" i="2"/>
  <c r="AD2028" i="2"/>
  <c r="AC2028" i="2"/>
  <c r="AA2028" i="2"/>
  <c r="Z2028" i="2"/>
  <c r="Y2028" i="2"/>
  <c r="X2028" i="2"/>
  <c r="W2028" i="2"/>
  <c r="V2028" i="2"/>
  <c r="U2028" i="2"/>
  <c r="T2028" i="2"/>
  <c r="S2028" i="2"/>
  <c r="R2028" i="2"/>
  <c r="Q2028" i="2"/>
  <c r="P2028" i="2"/>
  <c r="O2028" i="2"/>
  <c r="N2028" i="2"/>
  <c r="M2028" i="2"/>
  <c r="L2028" i="2"/>
  <c r="K2028" i="2"/>
  <c r="J2028" i="2"/>
  <c r="I2028" i="2"/>
  <c r="H2028" i="2"/>
  <c r="G2028" i="2"/>
  <c r="F2028" i="2"/>
  <c r="E2028" i="2"/>
  <c r="D2028" i="2"/>
  <c r="C2028" i="2"/>
  <c r="B2028" i="2"/>
  <c r="A2028" i="2"/>
  <c r="AX2027" i="2"/>
  <c r="AV2027" i="2"/>
  <c r="AU2027" i="2"/>
  <c r="AT2027" i="2"/>
  <c r="AR2027" i="2"/>
  <c r="AQ2027" i="2"/>
  <c r="AP2027" i="2"/>
  <c r="AO2027" i="2"/>
  <c r="AM2027" i="2"/>
  <c r="AL2027" i="2"/>
  <c r="AK2027" i="2"/>
  <c r="AJ2027" i="2"/>
  <c r="AI2027" i="2"/>
  <c r="AH2027" i="2"/>
  <c r="AG2027" i="2"/>
  <c r="AE2027" i="2"/>
  <c r="AD2027" i="2"/>
  <c r="AC2027" i="2"/>
  <c r="AA2027" i="2"/>
  <c r="Z2027" i="2"/>
  <c r="Y2027" i="2"/>
  <c r="X2027" i="2"/>
  <c r="W2027" i="2"/>
  <c r="V2027" i="2"/>
  <c r="U2027" i="2"/>
  <c r="T2027" i="2"/>
  <c r="S2027" i="2"/>
  <c r="R2027" i="2"/>
  <c r="Q2027" i="2"/>
  <c r="P2027" i="2"/>
  <c r="O2027" i="2"/>
  <c r="N2027" i="2"/>
  <c r="K2027" i="2"/>
  <c r="J2027" i="2"/>
  <c r="I2027" i="2"/>
  <c r="H2027" i="2"/>
  <c r="G2027" i="2"/>
  <c r="F2027" i="2"/>
  <c r="E2027" i="2"/>
  <c r="D2027" i="2"/>
  <c r="C2027" i="2"/>
  <c r="B2027" i="2"/>
  <c r="A2027" i="2"/>
  <c r="AX2026" i="2"/>
  <c r="AV2026" i="2"/>
  <c r="AU2026" i="2"/>
  <c r="AT2026" i="2"/>
  <c r="AR2026" i="2"/>
  <c r="AQ2026" i="2"/>
  <c r="AP2026" i="2"/>
  <c r="AO2026" i="2"/>
  <c r="AL2026" i="2"/>
  <c r="AK2026" i="2"/>
  <c r="AJ2026" i="2"/>
  <c r="AI2026" i="2"/>
  <c r="AH2026" i="2"/>
  <c r="AG2026" i="2"/>
  <c r="AD2026" i="2"/>
  <c r="AC2026" i="2"/>
  <c r="AA2026" i="2"/>
  <c r="Z2026" i="2"/>
  <c r="Y2026" i="2"/>
  <c r="X2026" i="2"/>
  <c r="W2026" i="2"/>
  <c r="V2026" i="2"/>
  <c r="U2026" i="2"/>
  <c r="T2026" i="2"/>
  <c r="S2026" i="2"/>
  <c r="R2026" i="2"/>
  <c r="Q2026" i="2"/>
  <c r="P2026" i="2"/>
  <c r="O2026" i="2"/>
  <c r="N2026" i="2"/>
  <c r="M2026" i="2"/>
  <c r="L2026" i="2"/>
  <c r="K2026" i="2"/>
  <c r="J2026" i="2"/>
  <c r="I2026" i="2"/>
  <c r="H2026" i="2"/>
  <c r="G2026" i="2"/>
  <c r="F2026" i="2"/>
  <c r="E2026" i="2"/>
  <c r="D2026" i="2"/>
  <c r="C2026" i="2"/>
  <c r="B2026" i="2"/>
  <c r="A2026" i="2"/>
  <c r="AX2025" i="2"/>
  <c r="AV2025" i="2"/>
  <c r="AU2025" i="2"/>
  <c r="AS2025" i="2"/>
  <c r="AR2025" i="2"/>
  <c r="AQ2025" i="2"/>
  <c r="AO2025" i="2"/>
  <c r="AL2025" i="2"/>
  <c r="AK2025" i="2"/>
  <c r="AI2025" i="2"/>
  <c r="AH2025" i="2"/>
  <c r="AG2025" i="2"/>
  <c r="AE2025" i="2"/>
  <c r="AD2025" i="2"/>
  <c r="AC2025" i="2"/>
  <c r="AA2025" i="2"/>
  <c r="Z2025" i="2"/>
  <c r="Y2025" i="2"/>
  <c r="X2025" i="2"/>
  <c r="W2025" i="2"/>
  <c r="V2025" i="2"/>
  <c r="U2025" i="2"/>
  <c r="T2025" i="2"/>
  <c r="S2025" i="2"/>
  <c r="R2025" i="2"/>
  <c r="Q2025" i="2"/>
  <c r="P2025" i="2"/>
  <c r="O2025" i="2"/>
  <c r="N2025" i="2"/>
  <c r="K2025" i="2"/>
  <c r="J2025" i="2"/>
  <c r="I2025" i="2"/>
  <c r="H2025" i="2"/>
  <c r="G2025" i="2"/>
  <c r="F2025" i="2"/>
  <c r="E2025" i="2"/>
  <c r="D2025" i="2"/>
  <c r="C2025" i="2"/>
  <c r="B2025" i="2"/>
  <c r="A2025" i="2"/>
  <c r="AX2024" i="2"/>
  <c r="AV2024" i="2"/>
  <c r="AU2024" i="2"/>
  <c r="AT2024" i="2"/>
  <c r="AS2024" i="2"/>
  <c r="AR2024" i="2"/>
  <c r="AQ2024" i="2"/>
  <c r="AP2024" i="2"/>
  <c r="AO2024" i="2"/>
  <c r="AN2024" i="2"/>
  <c r="AM2024" i="2"/>
  <c r="AL2024" i="2"/>
  <c r="AK2024" i="2"/>
  <c r="AJ2024" i="2"/>
  <c r="AI2024" i="2"/>
  <c r="AH2024" i="2"/>
  <c r="AG2024" i="2"/>
  <c r="AE2024" i="2"/>
  <c r="AD2024" i="2"/>
  <c r="AC2024" i="2"/>
  <c r="AA2024" i="2"/>
  <c r="Z2024" i="2"/>
  <c r="Y2024" i="2"/>
  <c r="X2024" i="2"/>
  <c r="W2024" i="2"/>
  <c r="V2024" i="2"/>
  <c r="U2024" i="2"/>
  <c r="T2024" i="2"/>
  <c r="S2024" i="2"/>
  <c r="R2024" i="2"/>
  <c r="Q2024" i="2"/>
  <c r="P2024" i="2"/>
  <c r="O2024" i="2"/>
  <c r="N2024" i="2"/>
  <c r="M2024" i="2"/>
  <c r="L2024" i="2"/>
  <c r="K2024" i="2"/>
  <c r="J2024" i="2"/>
  <c r="I2024" i="2"/>
  <c r="H2024" i="2"/>
  <c r="G2024" i="2"/>
  <c r="F2024" i="2"/>
  <c r="E2024" i="2"/>
  <c r="D2024" i="2"/>
  <c r="C2024" i="2"/>
  <c r="B2024" i="2"/>
  <c r="A2024" i="2"/>
  <c r="AX2023" i="2"/>
  <c r="AV2023" i="2"/>
  <c r="AU2023" i="2"/>
  <c r="AT2023" i="2"/>
  <c r="AR2023" i="2"/>
  <c r="AQ2023" i="2"/>
  <c r="AP2023" i="2"/>
  <c r="AO2023" i="2"/>
  <c r="AN2023" i="2"/>
  <c r="AM2023" i="2"/>
  <c r="AL2023" i="2"/>
  <c r="AK2023" i="2"/>
  <c r="AJ2023" i="2"/>
  <c r="AI2023" i="2"/>
  <c r="AH2023" i="2"/>
  <c r="AG2023" i="2"/>
  <c r="AE2023" i="2"/>
  <c r="AD2023" i="2"/>
  <c r="AC2023" i="2"/>
  <c r="AA2023" i="2"/>
  <c r="Z2023" i="2"/>
  <c r="Y2023" i="2"/>
  <c r="W2023" i="2"/>
  <c r="V2023" i="2"/>
  <c r="U2023" i="2"/>
  <c r="T2023" i="2"/>
  <c r="S2023" i="2"/>
  <c r="R2023" i="2"/>
  <c r="Q2023" i="2"/>
  <c r="P2023" i="2"/>
  <c r="O2023" i="2"/>
  <c r="N2023" i="2"/>
  <c r="M2023" i="2"/>
  <c r="L2023" i="2"/>
  <c r="K2023" i="2"/>
  <c r="J2023" i="2"/>
  <c r="I2023" i="2"/>
  <c r="H2023" i="2"/>
  <c r="G2023" i="2"/>
  <c r="F2023" i="2"/>
  <c r="E2023" i="2"/>
  <c r="D2023" i="2"/>
  <c r="C2023" i="2"/>
  <c r="B2023" i="2"/>
  <c r="A2023" i="2"/>
  <c r="AX2022" i="2"/>
  <c r="AV2022" i="2"/>
  <c r="AU2022" i="2"/>
  <c r="AT2022" i="2"/>
  <c r="AS2022" i="2"/>
  <c r="AR2022" i="2"/>
  <c r="AQ2022" i="2"/>
  <c r="AP2022" i="2"/>
  <c r="AO2022" i="2"/>
  <c r="AL2022" i="2"/>
  <c r="AK2022" i="2"/>
  <c r="AJ2022" i="2"/>
  <c r="AI2022" i="2"/>
  <c r="AH2022" i="2"/>
  <c r="AG2022" i="2"/>
  <c r="AE2022" i="2"/>
  <c r="AD2022" i="2"/>
  <c r="AC2022" i="2"/>
  <c r="AA2022" i="2"/>
  <c r="Z2022" i="2"/>
  <c r="Y2022" i="2"/>
  <c r="X2022" i="2"/>
  <c r="W2022" i="2"/>
  <c r="V2022" i="2"/>
  <c r="U2022" i="2"/>
  <c r="T2022" i="2"/>
  <c r="S2022" i="2"/>
  <c r="R2022" i="2"/>
  <c r="Q2022" i="2"/>
  <c r="P2022" i="2"/>
  <c r="O2022" i="2"/>
  <c r="N2022" i="2"/>
  <c r="M2022" i="2"/>
  <c r="L2022" i="2"/>
  <c r="K2022" i="2"/>
  <c r="J2022" i="2"/>
  <c r="I2022" i="2"/>
  <c r="H2022" i="2"/>
  <c r="G2022" i="2"/>
  <c r="F2022" i="2"/>
  <c r="E2022" i="2"/>
  <c r="D2022" i="2"/>
  <c r="C2022" i="2"/>
  <c r="B2022" i="2"/>
  <c r="A2022" i="2"/>
  <c r="AX2021" i="2"/>
  <c r="AV2021" i="2"/>
  <c r="AU2021" i="2"/>
  <c r="AS2021" i="2"/>
  <c r="AR2021" i="2"/>
  <c r="AQ2021" i="2"/>
  <c r="AP2021" i="2"/>
  <c r="AO2021" i="2"/>
  <c r="AL2021" i="2"/>
  <c r="AK2021" i="2"/>
  <c r="AJ2021" i="2"/>
  <c r="AI2021" i="2"/>
  <c r="AH2021" i="2"/>
  <c r="AG2021" i="2"/>
  <c r="AE2021" i="2"/>
  <c r="AD2021" i="2"/>
  <c r="AC2021" i="2"/>
  <c r="AA2021" i="2"/>
  <c r="Z2021" i="2"/>
  <c r="Y2021" i="2"/>
  <c r="X2021" i="2"/>
  <c r="V2021" i="2"/>
  <c r="U2021" i="2"/>
  <c r="T2021" i="2"/>
  <c r="S2021" i="2"/>
  <c r="R2021" i="2"/>
  <c r="Q2021" i="2"/>
  <c r="P2021" i="2"/>
  <c r="O2021" i="2"/>
  <c r="N2021" i="2"/>
  <c r="K2021" i="2"/>
  <c r="J2021" i="2"/>
  <c r="I2021" i="2"/>
  <c r="H2021" i="2"/>
  <c r="G2021" i="2"/>
  <c r="F2021" i="2"/>
  <c r="E2021" i="2"/>
  <c r="D2021" i="2"/>
  <c r="C2021" i="2"/>
  <c r="B2021" i="2"/>
  <c r="A2021" i="2"/>
  <c r="AX2020" i="2"/>
  <c r="AV2020" i="2"/>
  <c r="AU2020" i="2"/>
  <c r="AT2020" i="2"/>
  <c r="AR2020" i="2"/>
  <c r="AQ2020" i="2"/>
  <c r="AP2020" i="2"/>
  <c r="AO2020" i="2"/>
  <c r="AL2020" i="2"/>
  <c r="AK2020" i="2"/>
  <c r="AJ2020" i="2"/>
  <c r="AI2020" i="2"/>
  <c r="AH2020" i="2"/>
  <c r="AG2020" i="2"/>
  <c r="AF2020" i="2"/>
  <c r="AE2020" i="2"/>
  <c r="AD2020" i="2"/>
  <c r="AC2020" i="2"/>
  <c r="AA2020" i="2"/>
  <c r="Z2020" i="2"/>
  <c r="Y2020" i="2"/>
  <c r="V2020" i="2"/>
  <c r="U2020" i="2"/>
  <c r="T2020" i="2"/>
  <c r="S2020" i="2"/>
  <c r="R2020" i="2"/>
  <c r="Q2020" i="2"/>
  <c r="P2020" i="2"/>
  <c r="O2020" i="2"/>
  <c r="N2020" i="2"/>
  <c r="M2020" i="2"/>
  <c r="L2020" i="2"/>
  <c r="K2020" i="2"/>
  <c r="J2020" i="2"/>
  <c r="I2020" i="2"/>
  <c r="H2020" i="2"/>
  <c r="G2020" i="2"/>
  <c r="F2020" i="2"/>
  <c r="E2020" i="2"/>
  <c r="D2020" i="2"/>
  <c r="C2020" i="2"/>
  <c r="B2020" i="2"/>
  <c r="A2020" i="2"/>
  <c r="AX2019" i="2"/>
  <c r="AV2019" i="2"/>
  <c r="AU2019" i="2"/>
  <c r="AT2019" i="2"/>
  <c r="AS2019" i="2"/>
  <c r="AR2019" i="2"/>
  <c r="AQ2019" i="2"/>
  <c r="AP2019" i="2"/>
  <c r="AO2019" i="2"/>
  <c r="AL2019" i="2"/>
  <c r="AK2019" i="2"/>
  <c r="AJ2019" i="2"/>
  <c r="AI2019" i="2"/>
  <c r="AH2019" i="2"/>
  <c r="AG2019" i="2"/>
  <c r="AE2019" i="2"/>
  <c r="AD2019" i="2"/>
  <c r="AC2019" i="2"/>
  <c r="AA2019" i="2"/>
  <c r="Z2019" i="2"/>
  <c r="Y2019" i="2"/>
  <c r="X2019" i="2"/>
  <c r="W2019" i="2"/>
  <c r="V2019" i="2"/>
  <c r="U2019" i="2"/>
  <c r="T2019" i="2"/>
  <c r="S2019" i="2"/>
  <c r="R2019" i="2"/>
  <c r="Q2019" i="2"/>
  <c r="P2019" i="2"/>
  <c r="O2019" i="2"/>
  <c r="N2019" i="2"/>
  <c r="M2019" i="2"/>
  <c r="L2019" i="2"/>
  <c r="K2019" i="2"/>
  <c r="J2019" i="2"/>
  <c r="I2019" i="2"/>
  <c r="H2019" i="2"/>
  <c r="G2019" i="2"/>
  <c r="F2019" i="2"/>
  <c r="E2019" i="2"/>
  <c r="D2019" i="2"/>
  <c r="C2019" i="2"/>
  <c r="B2019" i="2"/>
  <c r="A2019" i="2"/>
  <c r="AX2018" i="2"/>
  <c r="AV2018" i="2"/>
  <c r="AU2018" i="2"/>
  <c r="AT2018" i="2"/>
  <c r="AR2018" i="2"/>
  <c r="AQ2018" i="2"/>
  <c r="AP2018" i="2"/>
  <c r="AO2018" i="2"/>
  <c r="AN2018" i="2"/>
  <c r="AM2018" i="2"/>
  <c r="AL2018" i="2"/>
  <c r="AK2018" i="2"/>
  <c r="AI2018" i="2"/>
  <c r="AH2018" i="2"/>
  <c r="AG2018" i="2"/>
  <c r="AE2018" i="2"/>
  <c r="AD2018" i="2"/>
  <c r="AC2018" i="2"/>
  <c r="AA2018" i="2"/>
  <c r="Z2018" i="2"/>
  <c r="Y2018" i="2"/>
  <c r="X2018" i="2"/>
  <c r="W2018" i="2"/>
  <c r="V2018" i="2"/>
  <c r="U2018" i="2"/>
  <c r="T2018" i="2"/>
  <c r="S2018" i="2"/>
  <c r="R2018" i="2"/>
  <c r="Q2018" i="2"/>
  <c r="P2018" i="2"/>
  <c r="O2018" i="2"/>
  <c r="N2018" i="2"/>
  <c r="M2018" i="2"/>
  <c r="L2018" i="2"/>
  <c r="K2018" i="2"/>
  <c r="J2018" i="2"/>
  <c r="I2018" i="2"/>
  <c r="H2018" i="2"/>
  <c r="G2018" i="2"/>
  <c r="F2018" i="2"/>
  <c r="E2018" i="2"/>
  <c r="D2018" i="2"/>
  <c r="C2018" i="2"/>
  <c r="B2018" i="2"/>
  <c r="A2018" i="2"/>
  <c r="AX2017" i="2"/>
  <c r="AV2017" i="2"/>
  <c r="AU2017" i="2"/>
  <c r="AT2017" i="2"/>
  <c r="AR2017" i="2"/>
  <c r="AQ2017" i="2"/>
  <c r="AP2017" i="2"/>
  <c r="AO2017" i="2"/>
  <c r="AL2017" i="2"/>
  <c r="AK2017" i="2"/>
  <c r="AJ2017" i="2"/>
  <c r="AI2017" i="2"/>
  <c r="AH2017" i="2"/>
  <c r="AG2017" i="2"/>
  <c r="AD2017" i="2"/>
  <c r="AC2017" i="2"/>
  <c r="AA2017" i="2"/>
  <c r="Z2017" i="2"/>
  <c r="Y2017" i="2"/>
  <c r="X2017" i="2"/>
  <c r="W2017" i="2"/>
  <c r="V2017" i="2"/>
  <c r="U2017" i="2"/>
  <c r="T2017" i="2"/>
  <c r="S2017" i="2"/>
  <c r="R2017" i="2"/>
  <c r="Q2017" i="2"/>
  <c r="P2017" i="2"/>
  <c r="O2017" i="2"/>
  <c r="N2017" i="2"/>
  <c r="M2017" i="2"/>
  <c r="L2017" i="2"/>
  <c r="K2017" i="2"/>
  <c r="J2017" i="2"/>
  <c r="I2017" i="2"/>
  <c r="H2017" i="2"/>
  <c r="G2017" i="2"/>
  <c r="F2017" i="2"/>
  <c r="E2017" i="2"/>
  <c r="D2017" i="2"/>
  <c r="C2017" i="2"/>
  <c r="B2017" i="2"/>
  <c r="A2017" i="2"/>
  <c r="AX2016" i="2"/>
  <c r="AV2016" i="2"/>
  <c r="AU2016" i="2"/>
  <c r="AT2016" i="2"/>
  <c r="AS2016" i="2"/>
  <c r="AR2016" i="2"/>
  <c r="AQ2016" i="2"/>
  <c r="AP2016" i="2"/>
  <c r="AO2016" i="2"/>
  <c r="AN2016" i="2"/>
  <c r="AM2016" i="2"/>
  <c r="AL2016" i="2"/>
  <c r="AK2016" i="2"/>
  <c r="AJ2016" i="2"/>
  <c r="AI2016" i="2"/>
  <c r="AH2016" i="2"/>
  <c r="AG2016" i="2"/>
  <c r="AE2016" i="2"/>
  <c r="AD2016" i="2"/>
  <c r="AC2016" i="2"/>
  <c r="AA2016" i="2"/>
  <c r="Z2016" i="2"/>
  <c r="Y2016" i="2"/>
  <c r="X2016" i="2"/>
  <c r="W2016" i="2"/>
  <c r="V2016" i="2"/>
  <c r="U2016" i="2"/>
  <c r="T2016" i="2"/>
  <c r="S2016" i="2"/>
  <c r="R2016" i="2"/>
  <c r="Q2016" i="2"/>
  <c r="P2016" i="2"/>
  <c r="O2016" i="2"/>
  <c r="N2016" i="2"/>
  <c r="M2016" i="2"/>
  <c r="L2016" i="2"/>
  <c r="K2016" i="2"/>
  <c r="J2016" i="2"/>
  <c r="I2016" i="2"/>
  <c r="H2016" i="2"/>
  <c r="G2016" i="2"/>
  <c r="F2016" i="2"/>
  <c r="E2016" i="2"/>
  <c r="D2016" i="2"/>
  <c r="C2016" i="2"/>
  <c r="B2016" i="2"/>
  <c r="A2016" i="2"/>
  <c r="AX2015" i="2"/>
  <c r="AV2015" i="2"/>
  <c r="AU2015" i="2"/>
  <c r="AT2015" i="2"/>
  <c r="AS2015" i="2"/>
  <c r="AR2015" i="2"/>
  <c r="AQ2015" i="2"/>
  <c r="AP2015" i="2"/>
  <c r="AO2015" i="2"/>
  <c r="AL2015" i="2"/>
  <c r="AK2015" i="2"/>
  <c r="AJ2015" i="2"/>
  <c r="AI2015" i="2"/>
  <c r="AH2015" i="2"/>
  <c r="AG2015" i="2"/>
  <c r="AD2015" i="2"/>
  <c r="AC2015" i="2"/>
  <c r="AA2015" i="2"/>
  <c r="Z2015" i="2"/>
  <c r="Y2015" i="2"/>
  <c r="X2015" i="2"/>
  <c r="V2015" i="2"/>
  <c r="U2015" i="2"/>
  <c r="T2015" i="2"/>
  <c r="S2015" i="2"/>
  <c r="R2015" i="2"/>
  <c r="Q2015" i="2"/>
  <c r="P2015" i="2"/>
  <c r="O2015" i="2"/>
  <c r="N2015" i="2"/>
  <c r="M2015" i="2"/>
  <c r="L2015" i="2"/>
  <c r="K2015" i="2"/>
  <c r="J2015" i="2"/>
  <c r="I2015" i="2"/>
  <c r="H2015" i="2"/>
  <c r="G2015" i="2"/>
  <c r="F2015" i="2"/>
  <c r="E2015" i="2"/>
  <c r="D2015" i="2"/>
  <c r="C2015" i="2"/>
  <c r="B2015" i="2"/>
  <c r="A2015" i="2"/>
  <c r="AX2014" i="2"/>
  <c r="AV2014" i="2"/>
  <c r="AU2014" i="2"/>
  <c r="AS2014" i="2"/>
  <c r="AR2014" i="2"/>
  <c r="AO2014" i="2"/>
  <c r="AM2014" i="2"/>
  <c r="AL2014" i="2"/>
  <c r="AK2014" i="2"/>
  <c r="AJ2014" i="2"/>
  <c r="AI2014" i="2"/>
  <c r="AH2014" i="2"/>
  <c r="AG2014" i="2"/>
  <c r="AE2014" i="2"/>
  <c r="AD2014" i="2"/>
  <c r="AC2014" i="2"/>
  <c r="AA2014" i="2"/>
  <c r="Z2014" i="2"/>
  <c r="Y2014" i="2"/>
  <c r="X2014" i="2"/>
  <c r="W2014" i="2"/>
  <c r="V2014" i="2"/>
  <c r="U2014" i="2"/>
  <c r="T2014" i="2"/>
  <c r="S2014" i="2"/>
  <c r="R2014" i="2"/>
  <c r="Q2014" i="2"/>
  <c r="P2014" i="2"/>
  <c r="O2014" i="2"/>
  <c r="N2014" i="2"/>
  <c r="M2014" i="2"/>
  <c r="K2014" i="2"/>
  <c r="J2014" i="2"/>
  <c r="I2014" i="2"/>
  <c r="H2014" i="2"/>
  <c r="G2014" i="2"/>
  <c r="F2014" i="2"/>
  <c r="E2014" i="2"/>
  <c r="D2014" i="2"/>
  <c r="C2014" i="2"/>
  <c r="B2014" i="2"/>
  <c r="A2014" i="2"/>
  <c r="AX2013" i="2"/>
  <c r="AV2013" i="2"/>
  <c r="AU2013" i="2"/>
  <c r="AT2013" i="2"/>
  <c r="AR2013" i="2"/>
  <c r="AQ2013" i="2"/>
  <c r="AP2013" i="2"/>
  <c r="AO2013" i="2"/>
  <c r="AL2013" i="2"/>
  <c r="AK2013" i="2"/>
  <c r="AJ2013" i="2"/>
  <c r="AI2013" i="2"/>
  <c r="AH2013" i="2"/>
  <c r="AG2013" i="2"/>
  <c r="AE2013" i="2"/>
  <c r="AD2013" i="2"/>
  <c r="AC2013" i="2"/>
  <c r="AA2013" i="2"/>
  <c r="Z2013" i="2"/>
  <c r="Y2013" i="2"/>
  <c r="X2013" i="2"/>
  <c r="W2013" i="2"/>
  <c r="V2013" i="2"/>
  <c r="U2013" i="2"/>
  <c r="T2013" i="2"/>
  <c r="S2013" i="2"/>
  <c r="R2013" i="2"/>
  <c r="Q2013" i="2"/>
  <c r="P2013" i="2"/>
  <c r="O2013" i="2"/>
  <c r="N2013" i="2"/>
  <c r="M2013" i="2"/>
  <c r="L2013" i="2"/>
  <c r="K2013" i="2"/>
  <c r="J2013" i="2"/>
  <c r="I2013" i="2"/>
  <c r="H2013" i="2"/>
  <c r="G2013" i="2"/>
  <c r="F2013" i="2"/>
  <c r="E2013" i="2"/>
  <c r="D2013" i="2"/>
  <c r="C2013" i="2"/>
  <c r="B2013" i="2"/>
  <c r="A2013" i="2"/>
  <c r="AX2012" i="2"/>
  <c r="AV2012" i="2"/>
  <c r="AU2012" i="2"/>
  <c r="AT2012" i="2"/>
  <c r="AR2012" i="2"/>
  <c r="AQ2012" i="2"/>
  <c r="AP2012" i="2"/>
  <c r="AO2012" i="2"/>
  <c r="AL2012" i="2"/>
  <c r="AK2012" i="2"/>
  <c r="AJ2012" i="2"/>
  <c r="AI2012" i="2"/>
  <c r="AH2012" i="2"/>
  <c r="AG2012" i="2"/>
  <c r="AF2012" i="2"/>
  <c r="AE2012" i="2"/>
  <c r="AD2012" i="2"/>
  <c r="AC2012" i="2"/>
  <c r="AA2012" i="2"/>
  <c r="Z2012" i="2"/>
  <c r="Y2012" i="2"/>
  <c r="X2012" i="2"/>
  <c r="W2012" i="2"/>
  <c r="V2012" i="2"/>
  <c r="U2012" i="2"/>
  <c r="T2012" i="2"/>
  <c r="S2012" i="2"/>
  <c r="R2012" i="2"/>
  <c r="Q2012" i="2"/>
  <c r="P2012" i="2"/>
  <c r="O2012" i="2"/>
  <c r="N2012" i="2"/>
  <c r="M2012" i="2"/>
  <c r="L2012" i="2"/>
  <c r="K2012" i="2"/>
  <c r="J2012" i="2"/>
  <c r="I2012" i="2"/>
  <c r="H2012" i="2"/>
  <c r="G2012" i="2"/>
  <c r="F2012" i="2"/>
  <c r="E2012" i="2"/>
  <c r="D2012" i="2"/>
  <c r="C2012" i="2"/>
  <c r="B2012" i="2"/>
  <c r="A2012" i="2"/>
  <c r="AX2011" i="2"/>
  <c r="AV2011" i="2"/>
  <c r="AU2011" i="2"/>
  <c r="AS2011" i="2"/>
  <c r="AR2011" i="2"/>
  <c r="AQ2011" i="2"/>
  <c r="AO2011" i="2"/>
  <c r="AL2011" i="2"/>
  <c r="AK2011" i="2"/>
  <c r="AJ2011" i="2"/>
  <c r="AI2011" i="2"/>
  <c r="AH2011" i="2"/>
  <c r="AG2011" i="2"/>
  <c r="AF2011" i="2"/>
  <c r="AE2011" i="2"/>
  <c r="AD2011" i="2"/>
  <c r="AC2011" i="2"/>
  <c r="AA2011" i="2"/>
  <c r="Z2011" i="2"/>
  <c r="Y2011" i="2"/>
  <c r="X2011" i="2"/>
  <c r="W2011" i="2"/>
  <c r="V2011" i="2"/>
  <c r="U2011" i="2"/>
  <c r="T2011" i="2"/>
  <c r="S2011" i="2"/>
  <c r="R2011" i="2"/>
  <c r="Q2011" i="2"/>
  <c r="P2011" i="2"/>
  <c r="O2011" i="2"/>
  <c r="N2011" i="2"/>
  <c r="M2011" i="2"/>
  <c r="L2011" i="2"/>
  <c r="K2011" i="2"/>
  <c r="J2011" i="2"/>
  <c r="I2011" i="2"/>
  <c r="H2011" i="2"/>
  <c r="G2011" i="2"/>
  <c r="F2011" i="2"/>
  <c r="E2011" i="2"/>
  <c r="D2011" i="2"/>
  <c r="C2011" i="2"/>
  <c r="B2011" i="2"/>
  <c r="A2011" i="2"/>
  <c r="AX2010" i="2"/>
  <c r="AV2010" i="2"/>
  <c r="AU2010" i="2"/>
  <c r="AT2010" i="2"/>
  <c r="AS2010" i="2"/>
  <c r="AR2010" i="2"/>
  <c r="AQ2010" i="2"/>
  <c r="AP2010" i="2"/>
  <c r="AO2010" i="2"/>
  <c r="AL2010" i="2"/>
  <c r="AK2010" i="2"/>
  <c r="AJ2010" i="2"/>
  <c r="AI2010" i="2"/>
  <c r="AH2010" i="2"/>
  <c r="AG2010" i="2"/>
  <c r="AE2010" i="2"/>
  <c r="AD2010" i="2"/>
  <c r="AC2010" i="2"/>
  <c r="AA2010" i="2"/>
  <c r="Z2010" i="2"/>
  <c r="Y2010" i="2"/>
  <c r="X2010" i="2"/>
  <c r="W2010" i="2"/>
  <c r="V2010" i="2"/>
  <c r="U2010" i="2"/>
  <c r="T2010" i="2"/>
  <c r="S2010" i="2"/>
  <c r="R2010" i="2"/>
  <c r="Q2010" i="2"/>
  <c r="P2010" i="2"/>
  <c r="O2010" i="2"/>
  <c r="N2010" i="2"/>
  <c r="M2010" i="2"/>
  <c r="L2010" i="2"/>
  <c r="K2010" i="2"/>
  <c r="J2010" i="2"/>
  <c r="I2010" i="2"/>
  <c r="H2010" i="2"/>
  <c r="G2010" i="2"/>
  <c r="F2010" i="2"/>
  <c r="E2010" i="2"/>
  <c r="D2010" i="2"/>
  <c r="C2010" i="2"/>
  <c r="B2010" i="2"/>
  <c r="A2010" i="2"/>
  <c r="AX2009" i="2"/>
  <c r="AV2009" i="2"/>
  <c r="AU2009" i="2"/>
  <c r="AT2009" i="2"/>
  <c r="AS2009" i="2"/>
  <c r="AR2009" i="2"/>
  <c r="AQ2009" i="2"/>
  <c r="AP2009" i="2"/>
  <c r="AO2009" i="2"/>
  <c r="AL2009" i="2"/>
  <c r="AK2009" i="2"/>
  <c r="AJ2009" i="2"/>
  <c r="AI2009" i="2"/>
  <c r="AH2009" i="2"/>
  <c r="AG2009" i="2"/>
  <c r="AE2009" i="2"/>
  <c r="AD2009" i="2"/>
  <c r="AC2009" i="2"/>
  <c r="AA2009" i="2"/>
  <c r="Z2009" i="2"/>
  <c r="Y2009" i="2"/>
  <c r="X2009" i="2"/>
  <c r="W2009" i="2"/>
  <c r="V2009" i="2"/>
  <c r="U2009" i="2"/>
  <c r="T2009" i="2"/>
  <c r="S2009" i="2"/>
  <c r="R2009" i="2"/>
  <c r="Q2009" i="2"/>
  <c r="P2009" i="2"/>
  <c r="O2009" i="2"/>
  <c r="N2009" i="2"/>
  <c r="M2009" i="2"/>
  <c r="L2009" i="2"/>
  <c r="K2009" i="2"/>
  <c r="J2009" i="2"/>
  <c r="I2009" i="2"/>
  <c r="H2009" i="2"/>
  <c r="G2009" i="2"/>
  <c r="F2009" i="2"/>
  <c r="E2009" i="2"/>
  <c r="D2009" i="2"/>
  <c r="C2009" i="2"/>
  <c r="B2009" i="2"/>
  <c r="A2009" i="2"/>
  <c r="AX2008" i="2"/>
  <c r="AV2008" i="2"/>
  <c r="AU2008" i="2"/>
  <c r="AS2008" i="2"/>
  <c r="AR2008" i="2"/>
  <c r="AQ2008" i="2"/>
  <c r="AO2008" i="2"/>
  <c r="AL2008" i="2"/>
  <c r="AK2008" i="2"/>
  <c r="AJ2008" i="2"/>
  <c r="AI2008" i="2"/>
  <c r="AH2008" i="2"/>
  <c r="AG2008" i="2"/>
  <c r="AE2008" i="2"/>
  <c r="AD2008" i="2"/>
  <c r="AC2008" i="2"/>
  <c r="AA2008" i="2"/>
  <c r="Z2008" i="2"/>
  <c r="Y2008" i="2"/>
  <c r="X2008" i="2"/>
  <c r="V2008" i="2"/>
  <c r="U2008" i="2"/>
  <c r="T2008" i="2"/>
  <c r="S2008" i="2"/>
  <c r="R2008" i="2"/>
  <c r="Q2008" i="2"/>
  <c r="P2008" i="2"/>
  <c r="O2008" i="2"/>
  <c r="N2008" i="2"/>
  <c r="K2008" i="2"/>
  <c r="J2008" i="2"/>
  <c r="I2008" i="2"/>
  <c r="H2008" i="2"/>
  <c r="G2008" i="2"/>
  <c r="F2008" i="2"/>
  <c r="E2008" i="2"/>
  <c r="D2008" i="2"/>
  <c r="C2008" i="2"/>
  <c r="B2008" i="2"/>
  <c r="A2008" i="2"/>
  <c r="AX2007" i="2"/>
  <c r="AV2007" i="2"/>
  <c r="AU2007" i="2"/>
  <c r="AT2007" i="2"/>
  <c r="AS2007" i="2"/>
  <c r="AR2007" i="2"/>
  <c r="AQ2007" i="2"/>
  <c r="AP2007" i="2"/>
  <c r="AO2007" i="2"/>
  <c r="AL2007" i="2"/>
  <c r="AK2007" i="2"/>
  <c r="AI2007" i="2"/>
  <c r="AH2007" i="2"/>
  <c r="AG2007" i="2"/>
  <c r="AE2007" i="2"/>
  <c r="AD2007" i="2"/>
  <c r="AC2007" i="2"/>
  <c r="AA2007" i="2"/>
  <c r="Z2007" i="2"/>
  <c r="Y2007" i="2"/>
  <c r="X2007" i="2"/>
  <c r="W2007" i="2"/>
  <c r="V2007" i="2"/>
  <c r="U2007" i="2"/>
  <c r="T2007" i="2"/>
  <c r="S2007" i="2"/>
  <c r="R2007" i="2"/>
  <c r="Q2007" i="2"/>
  <c r="P2007" i="2"/>
  <c r="O2007" i="2"/>
  <c r="N2007" i="2"/>
  <c r="M2007" i="2"/>
  <c r="L2007" i="2"/>
  <c r="K2007" i="2"/>
  <c r="J2007" i="2"/>
  <c r="I2007" i="2"/>
  <c r="H2007" i="2"/>
  <c r="G2007" i="2"/>
  <c r="F2007" i="2"/>
  <c r="E2007" i="2"/>
  <c r="D2007" i="2"/>
  <c r="C2007" i="2"/>
  <c r="B2007" i="2"/>
  <c r="A2007" i="2"/>
  <c r="AX2006" i="2"/>
  <c r="AV2006" i="2"/>
  <c r="AU2006" i="2"/>
  <c r="AT2006" i="2"/>
  <c r="AS2006" i="2"/>
  <c r="AR2006" i="2"/>
  <c r="AQ2006" i="2"/>
  <c r="AP2006" i="2"/>
  <c r="AO2006" i="2"/>
  <c r="AL2006" i="2"/>
  <c r="AK2006" i="2"/>
  <c r="AJ2006" i="2"/>
  <c r="AI2006" i="2"/>
  <c r="AH2006" i="2"/>
  <c r="AG2006" i="2"/>
  <c r="AE2006" i="2"/>
  <c r="AD2006" i="2"/>
  <c r="AC2006" i="2"/>
  <c r="AA2006" i="2"/>
  <c r="Z2006" i="2"/>
  <c r="Y2006" i="2"/>
  <c r="V2006" i="2"/>
  <c r="U2006" i="2"/>
  <c r="T2006" i="2"/>
  <c r="S2006" i="2"/>
  <c r="R2006" i="2"/>
  <c r="Q2006" i="2"/>
  <c r="P2006" i="2"/>
  <c r="O2006" i="2"/>
  <c r="N2006" i="2"/>
  <c r="M2006" i="2"/>
  <c r="L2006" i="2"/>
  <c r="K2006" i="2"/>
  <c r="J2006" i="2"/>
  <c r="I2006" i="2"/>
  <c r="H2006" i="2"/>
  <c r="G2006" i="2"/>
  <c r="F2006" i="2"/>
  <c r="E2006" i="2"/>
  <c r="D2006" i="2"/>
  <c r="C2006" i="2"/>
  <c r="B2006" i="2"/>
  <c r="A2006" i="2"/>
  <c r="AX2005" i="2"/>
  <c r="AV2005" i="2"/>
  <c r="AU2005" i="2"/>
  <c r="AT2005" i="2"/>
  <c r="AS2005" i="2"/>
  <c r="AR2005" i="2"/>
  <c r="AQ2005" i="2"/>
  <c r="AP2005" i="2"/>
  <c r="AO2005" i="2"/>
  <c r="AL2005" i="2"/>
  <c r="AK2005" i="2"/>
  <c r="AJ2005" i="2"/>
  <c r="AI2005" i="2"/>
  <c r="AH2005" i="2"/>
  <c r="AG2005" i="2"/>
  <c r="AE2005" i="2"/>
  <c r="AD2005" i="2"/>
  <c r="AC2005" i="2"/>
  <c r="AA2005" i="2"/>
  <c r="Z2005" i="2"/>
  <c r="Y2005" i="2"/>
  <c r="X2005" i="2"/>
  <c r="V2005" i="2"/>
  <c r="U2005" i="2"/>
  <c r="T2005" i="2"/>
  <c r="S2005" i="2"/>
  <c r="R2005" i="2"/>
  <c r="Q2005" i="2"/>
  <c r="P2005" i="2"/>
  <c r="O2005" i="2"/>
  <c r="N2005" i="2"/>
  <c r="M2005" i="2"/>
  <c r="L2005" i="2"/>
  <c r="K2005" i="2"/>
  <c r="J2005" i="2"/>
  <c r="I2005" i="2"/>
  <c r="H2005" i="2"/>
  <c r="G2005" i="2"/>
  <c r="F2005" i="2"/>
  <c r="E2005" i="2"/>
  <c r="D2005" i="2"/>
  <c r="C2005" i="2"/>
  <c r="B2005" i="2"/>
  <c r="A2005" i="2"/>
  <c r="AX2004" i="2"/>
  <c r="AV2004" i="2"/>
  <c r="AU2004" i="2"/>
  <c r="AT2004" i="2"/>
  <c r="AS2004" i="2"/>
  <c r="AR2004" i="2"/>
  <c r="AQ2004" i="2"/>
  <c r="AP2004" i="2"/>
  <c r="AO2004" i="2"/>
  <c r="AL2004" i="2"/>
  <c r="AK2004" i="2"/>
  <c r="AJ2004" i="2"/>
  <c r="AI2004" i="2"/>
  <c r="AH2004" i="2"/>
  <c r="AG2004" i="2"/>
  <c r="AE2004" i="2"/>
  <c r="AD2004" i="2"/>
  <c r="AC2004" i="2"/>
  <c r="AA2004" i="2"/>
  <c r="Z2004" i="2"/>
  <c r="Y2004" i="2"/>
  <c r="X2004" i="2"/>
  <c r="W2004" i="2"/>
  <c r="V2004" i="2"/>
  <c r="U2004" i="2"/>
  <c r="T2004" i="2"/>
  <c r="S2004" i="2"/>
  <c r="R2004" i="2"/>
  <c r="Q2004" i="2"/>
  <c r="P2004" i="2"/>
  <c r="O2004" i="2"/>
  <c r="N2004" i="2"/>
  <c r="M2004" i="2"/>
  <c r="L2004" i="2"/>
  <c r="K2004" i="2"/>
  <c r="J2004" i="2"/>
  <c r="I2004" i="2"/>
  <c r="H2004" i="2"/>
  <c r="G2004" i="2"/>
  <c r="F2004" i="2"/>
  <c r="E2004" i="2"/>
  <c r="D2004" i="2"/>
  <c r="C2004" i="2"/>
  <c r="B2004" i="2"/>
  <c r="A2004" i="2"/>
  <c r="AX2003" i="2"/>
  <c r="AV2003" i="2"/>
  <c r="AU2003" i="2"/>
  <c r="AT2003" i="2"/>
  <c r="AS2003" i="2"/>
  <c r="AR2003" i="2"/>
  <c r="AQ2003" i="2"/>
  <c r="AO2003" i="2"/>
  <c r="AL2003" i="2"/>
  <c r="AK2003" i="2"/>
  <c r="AJ2003" i="2"/>
  <c r="AI2003" i="2"/>
  <c r="AH2003" i="2"/>
  <c r="AG2003" i="2"/>
  <c r="AF2003" i="2"/>
  <c r="AE2003" i="2"/>
  <c r="AD2003" i="2"/>
  <c r="AC2003" i="2"/>
  <c r="AA2003" i="2"/>
  <c r="Z2003" i="2"/>
  <c r="Y2003" i="2"/>
  <c r="X2003" i="2"/>
  <c r="W2003" i="2"/>
  <c r="V2003" i="2"/>
  <c r="U2003" i="2"/>
  <c r="T2003" i="2"/>
  <c r="S2003" i="2"/>
  <c r="R2003" i="2"/>
  <c r="Q2003" i="2"/>
  <c r="P2003" i="2"/>
  <c r="O2003" i="2"/>
  <c r="N2003" i="2"/>
  <c r="M2003" i="2"/>
  <c r="L2003" i="2"/>
  <c r="K2003" i="2"/>
  <c r="J2003" i="2"/>
  <c r="I2003" i="2"/>
  <c r="H2003" i="2"/>
  <c r="G2003" i="2"/>
  <c r="F2003" i="2"/>
  <c r="E2003" i="2"/>
  <c r="D2003" i="2"/>
  <c r="C2003" i="2"/>
  <c r="B2003" i="2"/>
  <c r="A2003" i="2"/>
  <c r="AX2002" i="2"/>
  <c r="AV2002" i="2"/>
  <c r="AU2002" i="2"/>
  <c r="AT2002" i="2"/>
  <c r="AS2002" i="2"/>
  <c r="AR2002" i="2"/>
  <c r="AQ2002" i="2"/>
  <c r="AO2002" i="2"/>
  <c r="AL2002" i="2"/>
  <c r="AK2002" i="2"/>
  <c r="AJ2002" i="2"/>
  <c r="AI2002" i="2"/>
  <c r="AH2002" i="2"/>
  <c r="AG2002" i="2"/>
  <c r="AE2002" i="2"/>
  <c r="AD2002" i="2"/>
  <c r="AC2002" i="2"/>
  <c r="AA2002" i="2"/>
  <c r="Z2002" i="2"/>
  <c r="Y2002" i="2"/>
  <c r="X2002" i="2"/>
  <c r="W2002" i="2"/>
  <c r="V2002" i="2"/>
  <c r="U2002" i="2"/>
  <c r="T2002" i="2"/>
  <c r="S2002" i="2"/>
  <c r="R2002" i="2"/>
  <c r="Q2002" i="2"/>
  <c r="P2002" i="2"/>
  <c r="O2002" i="2"/>
  <c r="N2002" i="2"/>
  <c r="M2002" i="2"/>
  <c r="L2002" i="2"/>
  <c r="K2002" i="2"/>
  <c r="J2002" i="2"/>
  <c r="I2002" i="2"/>
  <c r="H2002" i="2"/>
  <c r="G2002" i="2"/>
  <c r="F2002" i="2"/>
  <c r="E2002" i="2"/>
  <c r="D2002" i="2"/>
  <c r="C2002" i="2"/>
  <c r="B2002" i="2"/>
  <c r="A2002" i="2"/>
  <c r="AX2001" i="2"/>
  <c r="AV2001" i="2"/>
  <c r="AU2001" i="2"/>
  <c r="AT2001" i="2"/>
  <c r="AS2001" i="2"/>
  <c r="AR2001" i="2"/>
  <c r="AQ2001" i="2"/>
  <c r="AP2001" i="2"/>
  <c r="AO2001" i="2"/>
  <c r="AL2001" i="2"/>
  <c r="AK2001" i="2"/>
  <c r="AJ2001" i="2"/>
  <c r="AI2001" i="2"/>
  <c r="AH2001" i="2"/>
  <c r="AG2001" i="2"/>
  <c r="AF2001" i="2"/>
  <c r="AE2001" i="2"/>
  <c r="AD2001" i="2"/>
  <c r="AC2001" i="2"/>
  <c r="AA2001" i="2"/>
  <c r="Z2001" i="2"/>
  <c r="Y2001" i="2"/>
  <c r="X2001" i="2"/>
  <c r="W2001" i="2"/>
  <c r="V2001" i="2"/>
  <c r="U2001" i="2"/>
  <c r="T2001" i="2"/>
  <c r="S2001" i="2"/>
  <c r="R2001" i="2"/>
  <c r="Q2001" i="2"/>
  <c r="P2001" i="2"/>
  <c r="O2001" i="2"/>
  <c r="N2001" i="2"/>
  <c r="M2001" i="2"/>
  <c r="L2001" i="2"/>
  <c r="K2001" i="2"/>
  <c r="J2001" i="2"/>
  <c r="I2001" i="2"/>
  <c r="H2001" i="2"/>
  <c r="G2001" i="2"/>
  <c r="F2001" i="2"/>
  <c r="E2001" i="2"/>
  <c r="D2001" i="2"/>
  <c r="C2001" i="2"/>
  <c r="B2001" i="2"/>
  <c r="A2001" i="2"/>
  <c r="AX2000" i="2"/>
  <c r="AV2000" i="2"/>
  <c r="AU2000" i="2"/>
  <c r="AT2000" i="2"/>
  <c r="AS2000" i="2"/>
  <c r="AR2000" i="2"/>
  <c r="AQ2000" i="2"/>
  <c r="AP2000" i="2"/>
  <c r="AO2000" i="2"/>
  <c r="AN2000" i="2"/>
  <c r="AM2000" i="2"/>
  <c r="AL2000" i="2"/>
  <c r="AK2000" i="2"/>
  <c r="AJ2000" i="2"/>
  <c r="AI2000" i="2"/>
  <c r="AH2000" i="2"/>
  <c r="AG2000" i="2"/>
  <c r="AE2000" i="2"/>
  <c r="AD2000" i="2"/>
  <c r="AC2000" i="2"/>
  <c r="AA2000" i="2"/>
  <c r="Z2000" i="2"/>
  <c r="Y2000" i="2"/>
  <c r="X2000" i="2"/>
  <c r="W2000" i="2"/>
  <c r="V2000" i="2"/>
  <c r="U2000" i="2"/>
  <c r="T2000" i="2"/>
  <c r="S2000" i="2"/>
  <c r="R2000" i="2"/>
  <c r="Q2000" i="2"/>
  <c r="P2000" i="2"/>
  <c r="O2000" i="2"/>
  <c r="N2000" i="2"/>
  <c r="M2000" i="2"/>
  <c r="L2000" i="2"/>
  <c r="K2000" i="2"/>
  <c r="J2000" i="2"/>
  <c r="I2000" i="2"/>
  <c r="H2000" i="2"/>
  <c r="G2000" i="2"/>
  <c r="F2000" i="2"/>
  <c r="E2000" i="2"/>
  <c r="D2000" i="2"/>
  <c r="C2000" i="2"/>
  <c r="B2000" i="2"/>
  <c r="A2000" i="2"/>
  <c r="AX1999" i="2"/>
  <c r="AV1999" i="2"/>
  <c r="AU1999" i="2"/>
  <c r="AT1999" i="2"/>
  <c r="AS1999" i="2"/>
  <c r="AR1999" i="2"/>
  <c r="AQ1999" i="2"/>
  <c r="AO1999" i="2"/>
  <c r="AL1999" i="2"/>
  <c r="AK1999" i="2"/>
  <c r="AJ1999" i="2"/>
  <c r="AI1999" i="2"/>
  <c r="AH1999" i="2"/>
  <c r="AG1999" i="2"/>
  <c r="AE1999" i="2"/>
  <c r="AD1999" i="2"/>
  <c r="AC1999" i="2"/>
  <c r="AA1999" i="2"/>
  <c r="Z1999" i="2"/>
  <c r="Y1999" i="2"/>
  <c r="X1999" i="2"/>
  <c r="W1999" i="2"/>
  <c r="V1999" i="2"/>
  <c r="U1999" i="2"/>
  <c r="T1999" i="2"/>
  <c r="S1999" i="2"/>
  <c r="R1999" i="2"/>
  <c r="Q1999" i="2"/>
  <c r="P1999" i="2"/>
  <c r="O1999" i="2"/>
  <c r="N1999" i="2"/>
  <c r="M1999" i="2"/>
  <c r="L1999" i="2"/>
  <c r="K1999" i="2"/>
  <c r="J1999" i="2"/>
  <c r="I1999" i="2"/>
  <c r="H1999" i="2"/>
  <c r="G1999" i="2"/>
  <c r="F1999" i="2"/>
  <c r="E1999" i="2"/>
  <c r="D1999" i="2"/>
  <c r="C1999" i="2"/>
  <c r="B1999" i="2"/>
  <c r="A1999" i="2"/>
  <c r="AX1998" i="2"/>
  <c r="AV1998" i="2"/>
  <c r="AU1998" i="2"/>
  <c r="AT1998" i="2"/>
  <c r="AS1998" i="2"/>
  <c r="AR1998" i="2"/>
  <c r="AQ1998" i="2"/>
  <c r="AP1998" i="2"/>
  <c r="AO1998" i="2"/>
  <c r="AL1998" i="2"/>
  <c r="AK1998" i="2"/>
  <c r="AJ1998" i="2"/>
  <c r="AI1998" i="2"/>
  <c r="AH1998" i="2"/>
  <c r="AG1998" i="2"/>
  <c r="AF1998" i="2"/>
  <c r="AE1998" i="2"/>
  <c r="AC1998" i="2"/>
  <c r="AA1998" i="2"/>
  <c r="Z1998" i="2"/>
  <c r="Y1998" i="2"/>
  <c r="X1998" i="2"/>
  <c r="W1998" i="2"/>
  <c r="V1998" i="2"/>
  <c r="U1998" i="2"/>
  <c r="T1998" i="2"/>
  <c r="S1998" i="2"/>
  <c r="R1998" i="2"/>
  <c r="Q1998" i="2"/>
  <c r="P1998" i="2"/>
  <c r="O1998" i="2"/>
  <c r="N1998" i="2"/>
  <c r="M1998" i="2"/>
  <c r="L1998" i="2"/>
  <c r="K1998" i="2"/>
  <c r="J1998" i="2"/>
  <c r="I1998" i="2"/>
  <c r="H1998" i="2"/>
  <c r="G1998" i="2"/>
  <c r="F1998" i="2"/>
  <c r="E1998" i="2"/>
  <c r="D1998" i="2"/>
  <c r="C1998" i="2"/>
  <c r="B1998" i="2"/>
  <c r="A1998" i="2"/>
  <c r="AX1997" i="2"/>
  <c r="AV1997" i="2"/>
  <c r="AU1997" i="2"/>
  <c r="AT1997" i="2"/>
  <c r="AS1997" i="2"/>
  <c r="AR1997" i="2"/>
  <c r="AQ1997" i="2"/>
  <c r="AP1997" i="2"/>
  <c r="AO1997" i="2"/>
  <c r="AL1997" i="2"/>
  <c r="AK1997" i="2"/>
  <c r="AJ1997" i="2"/>
  <c r="AI1997" i="2"/>
  <c r="AH1997" i="2"/>
  <c r="AG1997" i="2"/>
  <c r="AE1997" i="2"/>
  <c r="AD1997" i="2"/>
  <c r="AC1997" i="2"/>
  <c r="AA1997" i="2"/>
  <c r="Z1997" i="2"/>
  <c r="Y1997" i="2"/>
  <c r="X1997" i="2"/>
  <c r="W1997" i="2"/>
  <c r="V1997" i="2"/>
  <c r="U1997" i="2"/>
  <c r="T1997" i="2"/>
  <c r="S1997" i="2"/>
  <c r="R1997" i="2"/>
  <c r="Q1997" i="2"/>
  <c r="P1997" i="2"/>
  <c r="O1997" i="2"/>
  <c r="N1997" i="2"/>
  <c r="M1997" i="2"/>
  <c r="L1997" i="2"/>
  <c r="K1997" i="2"/>
  <c r="J1997" i="2"/>
  <c r="I1997" i="2"/>
  <c r="H1997" i="2"/>
  <c r="G1997" i="2"/>
  <c r="F1997" i="2"/>
  <c r="E1997" i="2"/>
  <c r="D1997" i="2"/>
  <c r="C1997" i="2"/>
  <c r="B1997" i="2"/>
  <c r="A1997" i="2"/>
  <c r="AX1996" i="2"/>
  <c r="AV1996" i="2"/>
  <c r="AU1996" i="2"/>
  <c r="AT1996" i="2"/>
  <c r="AS1996" i="2"/>
  <c r="AR1996" i="2"/>
  <c r="AQ1996" i="2"/>
  <c r="AP1996" i="2"/>
  <c r="AO1996" i="2"/>
  <c r="AL1996" i="2"/>
  <c r="AK1996" i="2"/>
  <c r="AJ1996" i="2"/>
  <c r="AI1996" i="2"/>
  <c r="AH1996" i="2"/>
  <c r="AG1996" i="2"/>
  <c r="AF1996" i="2"/>
  <c r="AE1996" i="2"/>
  <c r="AD1996" i="2"/>
  <c r="AC1996" i="2"/>
  <c r="AA1996" i="2"/>
  <c r="Z1996" i="2"/>
  <c r="Y1996" i="2"/>
  <c r="X1996" i="2"/>
  <c r="W1996" i="2"/>
  <c r="V1996" i="2"/>
  <c r="U1996" i="2"/>
  <c r="T1996" i="2"/>
  <c r="S1996" i="2"/>
  <c r="R1996" i="2"/>
  <c r="Q1996" i="2"/>
  <c r="P1996" i="2"/>
  <c r="O1996" i="2"/>
  <c r="N1996" i="2"/>
  <c r="M1996" i="2"/>
  <c r="L1996" i="2"/>
  <c r="K1996" i="2"/>
  <c r="J1996" i="2"/>
  <c r="I1996" i="2"/>
  <c r="H1996" i="2"/>
  <c r="G1996" i="2"/>
  <c r="F1996" i="2"/>
  <c r="E1996" i="2"/>
  <c r="D1996" i="2"/>
  <c r="C1996" i="2"/>
  <c r="B1996" i="2"/>
  <c r="A1996" i="2"/>
  <c r="AX1995" i="2"/>
  <c r="AV1995" i="2"/>
  <c r="AU1995" i="2"/>
  <c r="AT1995" i="2"/>
  <c r="AS1995" i="2"/>
  <c r="AR1995" i="2"/>
  <c r="AQ1995" i="2"/>
  <c r="AP1995" i="2"/>
  <c r="AO1995" i="2"/>
  <c r="AL1995" i="2"/>
  <c r="AI1995" i="2"/>
  <c r="AH1995" i="2"/>
  <c r="AG1995" i="2"/>
  <c r="AE1995" i="2"/>
  <c r="AD1995" i="2"/>
  <c r="AC1995" i="2"/>
  <c r="AA1995" i="2"/>
  <c r="Z1995" i="2"/>
  <c r="Y1995" i="2"/>
  <c r="X1995" i="2"/>
  <c r="W1995" i="2"/>
  <c r="V1995" i="2"/>
  <c r="U1995" i="2"/>
  <c r="T1995" i="2"/>
  <c r="S1995" i="2"/>
  <c r="R1995" i="2"/>
  <c r="Q1995" i="2"/>
  <c r="P1995" i="2"/>
  <c r="O1995" i="2"/>
  <c r="N1995" i="2"/>
  <c r="M1995" i="2"/>
  <c r="L1995" i="2"/>
  <c r="K1995" i="2"/>
  <c r="J1995" i="2"/>
  <c r="I1995" i="2"/>
  <c r="H1995" i="2"/>
  <c r="G1995" i="2"/>
  <c r="F1995" i="2"/>
  <c r="E1995" i="2"/>
  <c r="D1995" i="2"/>
  <c r="C1995" i="2"/>
  <c r="B1995" i="2"/>
  <c r="A1995" i="2"/>
  <c r="AX1994" i="2"/>
  <c r="AV1994" i="2"/>
  <c r="AU1994" i="2"/>
  <c r="AS1994" i="2"/>
  <c r="AR1994" i="2"/>
  <c r="AQ1994" i="2"/>
  <c r="AO1994" i="2"/>
  <c r="AL1994" i="2"/>
  <c r="AK1994" i="2"/>
  <c r="AJ1994" i="2"/>
  <c r="AI1994" i="2"/>
  <c r="AH1994" i="2"/>
  <c r="AG1994" i="2"/>
  <c r="AE1994" i="2"/>
  <c r="AD1994" i="2"/>
  <c r="AC1994" i="2"/>
  <c r="AA1994" i="2"/>
  <c r="Z1994" i="2"/>
  <c r="Y1994" i="2"/>
  <c r="V1994" i="2"/>
  <c r="U1994" i="2"/>
  <c r="T1994" i="2"/>
  <c r="S1994" i="2"/>
  <c r="Q1994" i="2"/>
  <c r="P1994" i="2"/>
  <c r="O1994" i="2"/>
  <c r="N1994" i="2"/>
  <c r="K1994" i="2"/>
  <c r="J1994" i="2"/>
  <c r="I1994" i="2"/>
  <c r="H1994" i="2"/>
  <c r="G1994" i="2"/>
  <c r="F1994" i="2"/>
  <c r="E1994" i="2"/>
  <c r="D1994" i="2"/>
  <c r="C1994" i="2"/>
  <c r="B1994" i="2"/>
  <c r="A1994" i="2"/>
  <c r="AX1993" i="2"/>
  <c r="AV1993" i="2"/>
  <c r="AU1993" i="2"/>
  <c r="AT1993" i="2"/>
  <c r="AS1993" i="2"/>
  <c r="AR1993" i="2"/>
  <c r="AQ1993" i="2"/>
  <c r="AP1993" i="2"/>
  <c r="AO1993" i="2"/>
  <c r="AL1993" i="2"/>
  <c r="AK1993" i="2"/>
  <c r="AJ1993" i="2"/>
  <c r="AI1993" i="2"/>
  <c r="AH1993" i="2"/>
  <c r="AG1993" i="2"/>
  <c r="AF1993" i="2"/>
  <c r="AE1993" i="2"/>
  <c r="AD1993" i="2"/>
  <c r="AC1993" i="2"/>
  <c r="AA1993" i="2"/>
  <c r="Z1993" i="2"/>
  <c r="Y1993" i="2"/>
  <c r="X1993" i="2"/>
  <c r="W1993" i="2"/>
  <c r="V1993" i="2"/>
  <c r="U1993" i="2"/>
  <c r="T1993" i="2"/>
  <c r="S1993" i="2"/>
  <c r="R1993" i="2"/>
  <c r="Q1993" i="2"/>
  <c r="P1993" i="2"/>
  <c r="O1993" i="2"/>
  <c r="N1993" i="2"/>
  <c r="M1993" i="2"/>
  <c r="L1993" i="2"/>
  <c r="K1993" i="2"/>
  <c r="J1993" i="2"/>
  <c r="I1993" i="2"/>
  <c r="H1993" i="2"/>
  <c r="G1993" i="2"/>
  <c r="F1993" i="2"/>
  <c r="E1993" i="2"/>
  <c r="D1993" i="2"/>
  <c r="C1993" i="2"/>
  <c r="B1993" i="2"/>
  <c r="A1993" i="2"/>
  <c r="AX1992" i="2"/>
  <c r="AV1992" i="2"/>
  <c r="AU1992" i="2"/>
  <c r="AT1992" i="2"/>
  <c r="AS1992" i="2"/>
  <c r="AR1992" i="2"/>
  <c r="AQ1992" i="2"/>
  <c r="AP1992" i="2"/>
  <c r="AO1992" i="2"/>
  <c r="AL1992" i="2"/>
  <c r="AK1992" i="2"/>
  <c r="AJ1992" i="2"/>
  <c r="AI1992" i="2"/>
  <c r="AH1992" i="2"/>
  <c r="AG1992" i="2"/>
  <c r="AE1992" i="2"/>
  <c r="AD1992" i="2"/>
  <c r="AC1992" i="2"/>
  <c r="AA1992" i="2"/>
  <c r="Z1992" i="2"/>
  <c r="Y1992" i="2"/>
  <c r="X1992" i="2"/>
  <c r="W1992" i="2"/>
  <c r="V1992" i="2"/>
  <c r="U1992" i="2"/>
  <c r="T1992" i="2"/>
  <c r="S1992" i="2"/>
  <c r="R1992" i="2"/>
  <c r="Q1992" i="2"/>
  <c r="P1992" i="2"/>
  <c r="O1992" i="2"/>
  <c r="N1992" i="2"/>
  <c r="M1992" i="2"/>
  <c r="L1992" i="2"/>
  <c r="K1992" i="2"/>
  <c r="J1992" i="2"/>
  <c r="I1992" i="2"/>
  <c r="H1992" i="2"/>
  <c r="G1992" i="2"/>
  <c r="F1992" i="2"/>
  <c r="E1992" i="2"/>
  <c r="D1992" i="2"/>
  <c r="C1992" i="2"/>
  <c r="B1992" i="2"/>
  <c r="A1992" i="2"/>
  <c r="AX1991" i="2"/>
  <c r="AV1991" i="2"/>
  <c r="AU1991" i="2"/>
  <c r="AT1991" i="2"/>
  <c r="AS1991" i="2"/>
  <c r="AR1991" i="2"/>
  <c r="AQ1991" i="2"/>
  <c r="AP1991" i="2"/>
  <c r="AO1991" i="2"/>
  <c r="AN1991" i="2"/>
  <c r="AM1991" i="2"/>
  <c r="AL1991" i="2"/>
  <c r="AK1991" i="2"/>
  <c r="AJ1991" i="2"/>
  <c r="AI1991" i="2"/>
  <c r="AH1991" i="2"/>
  <c r="AG1991" i="2"/>
  <c r="AE1991" i="2"/>
  <c r="AD1991" i="2"/>
  <c r="AC1991" i="2"/>
  <c r="AA1991" i="2"/>
  <c r="Z1991" i="2"/>
  <c r="Y1991" i="2"/>
  <c r="X1991" i="2"/>
  <c r="W1991" i="2"/>
  <c r="V1991" i="2"/>
  <c r="U1991" i="2"/>
  <c r="T1991" i="2"/>
  <c r="S1991" i="2"/>
  <c r="R1991" i="2"/>
  <c r="Q1991" i="2"/>
  <c r="P1991" i="2"/>
  <c r="O1991" i="2"/>
  <c r="N1991" i="2"/>
  <c r="M1991" i="2"/>
  <c r="L1991" i="2"/>
  <c r="K1991" i="2"/>
  <c r="J1991" i="2"/>
  <c r="I1991" i="2"/>
  <c r="H1991" i="2"/>
  <c r="G1991" i="2"/>
  <c r="F1991" i="2"/>
  <c r="E1991" i="2"/>
  <c r="D1991" i="2"/>
  <c r="C1991" i="2"/>
  <c r="B1991" i="2"/>
  <c r="A1991" i="2"/>
  <c r="AX1990" i="2"/>
  <c r="AV1990" i="2"/>
  <c r="AU1990" i="2"/>
  <c r="AT1990" i="2"/>
  <c r="AS1990" i="2"/>
  <c r="AR1990" i="2"/>
  <c r="AQ1990" i="2"/>
  <c r="AP1990" i="2"/>
  <c r="AO1990" i="2"/>
  <c r="AL1990" i="2"/>
  <c r="AK1990" i="2"/>
  <c r="AJ1990" i="2"/>
  <c r="AI1990" i="2"/>
  <c r="AH1990" i="2"/>
  <c r="AG1990" i="2"/>
  <c r="AE1990" i="2"/>
  <c r="AD1990" i="2"/>
  <c r="AC1990" i="2"/>
  <c r="AA1990" i="2"/>
  <c r="Z1990" i="2"/>
  <c r="Y1990" i="2"/>
  <c r="X1990" i="2"/>
  <c r="W1990" i="2"/>
  <c r="V1990" i="2"/>
  <c r="U1990" i="2"/>
  <c r="T1990" i="2"/>
  <c r="S1990" i="2"/>
  <c r="R1990" i="2"/>
  <c r="Q1990" i="2"/>
  <c r="P1990" i="2"/>
  <c r="O1990" i="2"/>
  <c r="N1990" i="2"/>
  <c r="M1990" i="2"/>
  <c r="L1990" i="2"/>
  <c r="K1990" i="2"/>
  <c r="J1990" i="2"/>
  <c r="I1990" i="2"/>
  <c r="H1990" i="2"/>
  <c r="G1990" i="2"/>
  <c r="F1990" i="2"/>
  <c r="E1990" i="2"/>
  <c r="D1990" i="2"/>
  <c r="C1990" i="2"/>
  <c r="B1990" i="2"/>
  <c r="A1990" i="2"/>
  <c r="AX1989" i="2"/>
  <c r="AV1989" i="2"/>
  <c r="AU1989" i="2"/>
  <c r="AT1989" i="2"/>
  <c r="AS1989" i="2"/>
  <c r="AR1989" i="2"/>
  <c r="AQ1989" i="2"/>
  <c r="AP1989" i="2"/>
  <c r="AO1989" i="2"/>
  <c r="AL1989" i="2"/>
  <c r="AK1989" i="2"/>
  <c r="AJ1989" i="2"/>
  <c r="AI1989" i="2"/>
  <c r="AH1989" i="2"/>
  <c r="AG1989" i="2"/>
  <c r="AE1989" i="2"/>
  <c r="AD1989" i="2"/>
  <c r="AC1989" i="2"/>
  <c r="AA1989" i="2"/>
  <c r="Z1989" i="2"/>
  <c r="Y1989" i="2"/>
  <c r="X1989" i="2"/>
  <c r="W1989" i="2"/>
  <c r="V1989" i="2"/>
  <c r="U1989" i="2"/>
  <c r="T1989" i="2"/>
  <c r="S1989" i="2"/>
  <c r="R1989" i="2"/>
  <c r="Q1989" i="2"/>
  <c r="P1989" i="2"/>
  <c r="O1989" i="2"/>
  <c r="N1989" i="2"/>
  <c r="M1989" i="2"/>
  <c r="L1989" i="2"/>
  <c r="K1989" i="2"/>
  <c r="J1989" i="2"/>
  <c r="I1989" i="2"/>
  <c r="H1989" i="2"/>
  <c r="G1989" i="2"/>
  <c r="F1989" i="2"/>
  <c r="E1989" i="2"/>
  <c r="D1989" i="2"/>
  <c r="C1989" i="2"/>
  <c r="B1989" i="2"/>
  <c r="A1989" i="2"/>
  <c r="AX1988" i="2"/>
  <c r="AV1988" i="2"/>
  <c r="AU1988" i="2"/>
  <c r="AT1988" i="2"/>
  <c r="AS1988" i="2"/>
  <c r="AR1988" i="2"/>
  <c r="AQ1988" i="2"/>
  <c r="AP1988" i="2"/>
  <c r="AO1988" i="2"/>
  <c r="AL1988" i="2"/>
  <c r="AK1988" i="2"/>
  <c r="AJ1988" i="2"/>
  <c r="AI1988" i="2"/>
  <c r="AH1988" i="2"/>
  <c r="AG1988" i="2"/>
  <c r="AF1988" i="2"/>
  <c r="AE1988" i="2"/>
  <c r="AD1988" i="2"/>
  <c r="AC1988" i="2"/>
  <c r="AA1988" i="2"/>
  <c r="Z1988" i="2"/>
  <c r="Y1988" i="2"/>
  <c r="X1988" i="2"/>
  <c r="V1988" i="2"/>
  <c r="U1988" i="2"/>
  <c r="T1988" i="2"/>
  <c r="S1988" i="2"/>
  <c r="R1988" i="2"/>
  <c r="Q1988" i="2"/>
  <c r="P1988" i="2"/>
  <c r="O1988" i="2"/>
  <c r="N1988" i="2"/>
  <c r="M1988" i="2"/>
  <c r="L1988" i="2"/>
  <c r="K1988" i="2"/>
  <c r="J1988" i="2"/>
  <c r="I1988" i="2"/>
  <c r="H1988" i="2"/>
  <c r="G1988" i="2"/>
  <c r="F1988" i="2"/>
  <c r="E1988" i="2"/>
  <c r="D1988" i="2"/>
  <c r="C1988" i="2"/>
  <c r="B1988" i="2"/>
  <c r="A1988" i="2"/>
  <c r="AX1987" i="2"/>
  <c r="AV1987" i="2"/>
  <c r="AU1987" i="2"/>
  <c r="AT1987" i="2"/>
  <c r="AR1987" i="2"/>
  <c r="AQ1987" i="2"/>
  <c r="AP1987" i="2"/>
  <c r="AO1987" i="2"/>
  <c r="AN1987" i="2"/>
  <c r="AM1987" i="2"/>
  <c r="AL1987" i="2"/>
  <c r="AK1987" i="2"/>
  <c r="AJ1987" i="2"/>
  <c r="AI1987" i="2"/>
  <c r="AH1987" i="2"/>
  <c r="AG1987" i="2"/>
  <c r="AF1987" i="2"/>
  <c r="AE1987" i="2"/>
  <c r="AD1987" i="2"/>
  <c r="AC1987" i="2"/>
  <c r="AB1987" i="2"/>
  <c r="AA1987" i="2"/>
  <c r="Z1987" i="2"/>
  <c r="Y1987" i="2"/>
  <c r="X1987" i="2"/>
  <c r="W1987" i="2"/>
  <c r="V1987" i="2"/>
  <c r="U1987" i="2"/>
  <c r="T1987" i="2"/>
  <c r="S1987" i="2"/>
  <c r="R1987" i="2"/>
  <c r="Q1987" i="2"/>
  <c r="P1987" i="2"/>
  <c r="O1987" i="2"/>
  <c r="N1987" i="2"/>
  <c r="M1987" i="2"/>
  <c r="L1987" i="2"/>
  <c r="K1987" i="2"/>
  <c r="J1987" i="2"/>
  <c r="I1987" i="2"/>
  <c r="H1987" i="2"/>
  <c r="G1987" i="2"/>
  <c r="F1987" i="2"/>
  <c r="E1987" i="2"/>
  <c r="D1987" i="2"/>
  <c r="C1987" i="2"/>
  <c r="B1987" i="2"/>
  <c r="A1987" i="2"/>
  <c r="AX1986" i="2"/>
  <c r="AV1986" i="2"/>
  <c r="AU1986" i="2"/>
  <c r="AT1986" i="2"/>
  <c r="AS1986" i="2"/>
  <c r="AR1986" i="2"/>
  <c r="AQ1986" i="2"/>
  <c r="AP1986" i="2"/>
  <c r="AO1986" i="2"/>
  <c r="AL1986" i="2"/>
  <c r="AK1986" i="2"/>
  <c r="AJ1986" i="2"/>
  <c r="AI1986" i="2"/>
  <c r="AH1986" i="2"/>
  <c r="AG1986" i="2"/>
  <c r="AE1986" i="2"/>
  <c r="AD1986" i="2"/>
  <c r="AC1986" i="2"/>
  <c r="AA1986" i="2"/>
  <c r="Z1986" i="2"/>
  <c r="Y1986" i="2"/>
  <c r="X1986" i="2"/>
  <c r="W1986" i="2"/>
  <c r="V1986" i="2"/>
  <c r="U1986" i="2"/>
  <c r="T1986" i="2"/>
  <c r="S1986" i="2"/>
  <c r="R1986" i="2"/>
  <c r="Q1986" i="2"/>
  <c r="P1986" i="2"/>
  <c r="O1986" i="2"/>
  <c r="N1986" i="2"/>
  <c r="M1986" i="2"/>
  <c r="L1986" i="2"/>
  <c r="K1986" i="2"/>
  <c r="J1986" i="2"/>
  <c r="I1986" i="2"/>
  <c r="H1986" i="2"/>
  <c r="G1986" i="2"/>
  <c r="F1986" i="2"/>
  <c r="E1986" i="2"/>
  <c r="D1986" i="2"/>
  <c r="C1986" i="2"/>
  <c r="B1986" i="2"/>
  <c r="A1986" i="2"/>
  <c r="AX1985" i="2"/>
  <c r="AV1985" i="2"/>
  <c r="AU1985" i="2"/>
  <c r="AT1985" i="2"/>
  <c r="AS1985" i="2"/>
  <c r="AR1985" i="2"/>
  <c r="AQ1985" i="2"/>
  <c r="AP1985" i="2"/>
  <c r="AO1985" i="2"/>
  <c r="AN1985" i="2"/>
  <c r="AM1985" i="2"/>
  <c r="AL1985" i="2"/>
  <c r="AK1985" i="2"/>
  <c r="AJ1985" i="2"/>
  <c r="AI1985" i="2"/>
  <c r="AH1985" i="2"/>
  <c r="AG1985" i="2"/>
  <c r="AE1985" i="2"/>
  <c r="AD1985" i="2"/>
  <c r="AC1985" i="2"/>
  <c r="AA1985" i="2"/>
  <c r="Z1985" i="2"/>
  <c r="Y1985" i="2"/>
  <c r="X1985" i="2"/>
  <c r="W1985" i="2"/>
  <c r="V1985" i="2"/>
  <c r="U1985" i="2"/>
  <c r="T1985" i="2"/>
  <c r="S1985" i="2"/>
  <c r="R1985" i="2"/>
  <c r="Q1985" i="2"/>
  <c r="P1985" i="2"/>
  <c r="O1985" i="2"/>
  <c r="N1985" i="2"/>
  <c r="M1985" i="2"/>
  <c r="L1985" i="2"/>
  <c r="K1985" i="2"/>
  <c r="J1985" i="2"/>
  <c r="I1985" i="2"/>
  <c r="H1985" i="2"/>
  <c r="G1985" i="2"/>
  <c r="F1985" i="2"/>
  <c r="E1985" i="2"/>
  <c r="D1985" i="2"/>
  <c r="C1985" i="2"/>
  <c r="B1985" i="2"/>
  <c r="A1985" i="2"/>
  <c r="AX1984" i="2"/>
  <c r="AV1984" i="2"/>
  <c r="AU1984" i="2"/>
  <c r="AT1984" i="2"/>
  <c r="AS1984" i="2"/>
  <c r="AR1984" i="2"/>
  <c r="AQ1984" i="2"/>
  <c r="AO1984" i="2"/>
  <c r="AL1984" i="2"/>
  <c r="AK1984" i="2"/>
  <c r="AJ1984" i="2"/>
  <c r="AI1984" i="2"/>
  <c r="AH1984" i="2"/>
  <c r="AG1984" i="2"/>
  <c r="AF1984" i="2"/>
  <c r="AE1984" i="2"/>
  <c r="AD1984" i="2"/>
  <c r="AC1984" i="2"/>
  <c r="AA1984" i="2"/>
  <c r="Z1984" i="2"/>
  <c r="Y1984" i="2"/>
  <c r="X1984" i="2"/>
  <c r="W1984" i="2"/>
  <c r="V1984" i="2"/>
  <c r="U1984" i="2"/>
  <c r="T1984" i="2"/>
  <c r="S1984" i="2"/>
  <c r="R1984" i="2"/>
  <c r="Q1984" i="2"/>
  <c r="P1984" i="2"/>
  <c r="O1984" i="2"/>
  <c r="N1984" i="2"/>
  <c r="M1984" i="2"/>
  <c r="L1984" i="2"/>
  <c r="K1984" i="2"/>
  <c r="J1984" i="2"/>
  <c r="I1984" i="2"/>
  <c r="H1984" i="2"/>
  <c r="G1984" i="2"/>
  <c r="F1984" i="2"/>
  <c r="E1984" i="2"/>
  <c r="D1984" i="2"/>
  <c r="C1984" i="2"/>
  <c r="B1984" i="2"/>
  <c r="A1984" i="2"/>
  <c r="AX1983" i="2"/>
  <c r="AV1983" i="2"/>
  <c r="AU1983" i="2"/>
  <c r="AT1983" i="2"/>
  <c r="AS1983" i="2"/>
  <c r="AR1983" i="2"/>
  <c r="AQ1983" i="2"/>
  <c r="AP1983" i="2"/>
  <c r="AO1983" i="2"/>
  <c r="AL1983" i="2"/>
  <c r="AK1983" i="2"/>
  <c r="AJ1983" i="2"/>
  <c r="AI1983" i="2"/>
  <c r="AH1983" i="2"/>
  <c r="AG1983" i="2"/>
  <c r="AE1983" i="2"/>
  <c r="AD1983" i="2"/>
  <c r="AC1983" i="2"/>
  <c r="AA1983" i="2"/>
  <c r="Z1983" i="2"/>
  <c r="Y1983" i="2"/>
  <c r="X1983" i="2"/>
  <c r="W1983" i="2"/>
  <c r="V1983" i="2"/>
  <c r="U1983" i="2"/>
  <c r="T1983" i="2"/>
  <c r="S1983" i="2"/>
  <c r="R1983" i="2"/>
  <c r="Q1983" i="2"/>
  <c r="P1983" i="2"/>
  <c r="O1983" i="2"/>
  <c r="N1983" i="2"/>
  <c r="M1983" i="2"/>
  <c r="L1983" i="2"/>
  <c r="K1983" i="2"/>
  <c r="J1983" i="2"/>
  <c r="I1983" i="2"/>
  <c r="H1983" i="2"/>
  <c r="G1983" i="2"/>
  <c r="F1983" i="2"/>
  <c r="E1983" i="2"/>
  <c r="D1983" i="2"/>
  <c r="C1983" i="2"/>
  <c r="B1983" i="2"/>
  <c r="A1983" i="2"/>
  <c r="AX1982" i="2"/>
  <c r="AV1982" i="2"/>
  <c r="AU1982" i="2"/>
  <c r="AT1982" i="2"/>
  <c r="AS1982" i="2"/>
  <c r="AR1982" i="2"/>
  <c r="AQ1982" i="2"/>
  <c r="AP1982" i="2"/>
  <c r="AO1982" i="2"/>
  <c r="AL1982" i="2"/>
  <c r="AK1982" i="2"/>
  <c r="AJ1982" i="2"/>
  <c r="AI1982" i="2"/>
  <c r="AH1982" i="2"/>
  <c r="AG1982" i="2"/>
  <c r="AE1982" i="2"/>
  <c r="AD1982" i="2"/>
  <c r="AC1982" i="2"/>
  <c r="AA1982" i="2"/>
  <c r="Z1982" i="2"/>
  <c r="Y1982" i="2"/>
  <c r="X1982" i="2"/>
  <c r="W1982" i="2"/>
  <c r="V1982" i="2"/>
  <c r="U1982" i="2"/>
  <c r="T1982" i="2"/>
  <c r="S1982" i="2"/>
  <c r="R1982" i="2"/>
  <c r="Q1982" i="2"/>
  <c r="P1982" i="2"/>
  <c r="O1982" i="2"/>
  <c r="N1982" i="2"/>
  <c r="M1982" i="2"/>
  <c r="L1982" i="2"/>
  <c r="K1982" i="2"/>
  <c r="J1982" i="2"/>
  <c r="I1982" i="2"/>
  <c r="H1982" i="2"/>
  <c r="G1982" i="2"/>
  <c r="F1982" i="2"/>
  <c r="E1982" i="2"/>
  <c r="D1982" i="2"/>
  <c r="C1982" i="2"/>
  <c r="B1982" i="2"/>
  <c r="A1982" i="2"/>
  <c r="AX1981" i="2"/>
  <c r="AV1981" i="2"/>
  <c r="AU1981" i="2"/>
  <c r="AS1981" i="2"/>
  <c r="AR1981" i="2"/>
  <c r="AQ1981" i="2"/>
  <c r="AO1981" i="2"/>
  <c r="AM1981" i="2"/>
  <c r="AL1981" i="2"/>
  <c r="AK1981" i="2"/>
  <c r="AJ1981" i="2"/>
  <c r="AI1981" i="2"/>
  <c r="AH1981" i="2"/>
  <c r="AG1981" i="2"/>
  <c r="AE1981" i="2"/>
  <c r="AD1981" i="2"/>
  <c r="AC1981" i="2"/>
  <c r="AA1981" i="2"/>
  <c r="Z1981" i="2"/>
  <c r="Y1981" i="2"/>
  <c r="X1981" i="2"/>
  <c r="V1981" i="2"/>
  <c r="U1981" i="2"/>
  <c r="T1981" i="2"/>
  <c r="S1981" i="2"/>
  <c r="R1981" i="2"/>
  <c r="Q1981" i="2"/>
  <c r="P1981" i="2"/>
  <c r="O1981" i="2"/>
  <c r="N1981" i="2"/>
  <c r="K1981" i="2"/>
  <c r="J1981" i="2"/>
  <c r="I1981" i="2"/>
  <c r="H1981" i="2"/>
  <c r="G1981" i="2"/>
  <c r="F1981" i="2"/>
  <c r="E1981" i="2"/>
  <c r="D1981" i="2"/>
  <c r="C1981" i="2"/>
  <c r="B1981" i="2"/>
  <c r="A1981" i="2"/>
  <c r="AX1980" i="2"/>
  <c r="AV1980" i="2"/>
  <c r="AU1980" i="2"/>
  <c r="AT1980" i="2"/>
  <c r="AS1980" i="2"/>
  <c r="AR1980" i="2"/>
  <c r="AQ1980" i="2"/>
  <c r="AP1980" i="2"/>
  <c r="AO1980" i="2"/>
  <c r="AN1980" i="2"/>
  <c r="AM1980" i="2"/>
  <c r="AL1980" i="2"/>
  <c r="AK1980" i="2"/>
  <c r="AJ1980" i="2"/>
  <c r="AI1980" i="2"/>
  <c r="AH1980" i="2"/>
  <c r="AG1980" i="2"/>
  <c r="AE1980" i="2"/>
  <c r="AD1980" i="2"/>
  <c r="AC1980" i="2"/>
  <c r="AA1980" i="2"/>
  <c r="Z1980" i="2"/>
  <c r="Y1980" i="2"/>
  <c r="X1980" i="2"/>
  <c r="W1980" i="2"/>
  <c r="V1980" i="2"/>
  <c r="U1980" i="2"/>
  <c r="T1980" i="2"/>
  <c r="S1980" i="2"/>
  <c r="R1980" i="2"/>
  <c r="Q1980" i="2"/>
  <c r="P1980" i="2"/>
  <c r="O1980" i="2"/>
  <c r="N1980" i="2"/>
  <c r="M1980" i="2"/>
  <c r="L1980" i="2"/>
  <c r="K1980" i="2"/>
  <c r="J1980" i="2"/>
  <c r="I1980" i="2"/>
  <c r="H1980" i="2"/>
  <c r="G1980" i="2"/>
  <c r="F1980" i="2"/>
  <c r="E1980" i="2"/>
  <c r="D1980" i="2"/>
  <c r="C1980" i="2"/>
  <c r="B1980" i="2"/>
  <c r="A1980" i="2"/>
  <c r="AX1979" i="2"/>
  <c r="AV1979" i="2"/>
  <c r="AU1979" i="2"/>
  <c r="AT1979" i="2"/>
  <c r="AS1979" i="2"/>
  <c r="AR1979" i="2"/>
  <c r="AQ1979" i="2"/>
  <c r="AP1979" i="2"/>
  <c r="AO1979" i="2"/>
  <c r="AK1979" i="2"/>
  <c r="AJ1979" i="2"/>
  <c r="AI1979" i="2"/>
  <c r="AH1979" i="2"/>
  <c r="AG1979" i="2"/>
  <c r="AE1979" i="2"/>
  <c r="AC1979" i="2"/>
  <c r="AA1979" i="2"/>
  <c r="Z1979" i="2"/>
  <c r="Y1979" i="2"/>
  <c r="X1979" i="2"/>
  <c r="W1979" i="2"/>
  <c r="V1979" i="2"/>
  <c r="U1979" i="2"/>
  <c r="T1979" i="2"/>
  <c r="S1979" i="2"/>
  <c r="R1979" i="2"/>
  <c r="Q1979" i="2"/>
  <c r="P1979" i="2"/>
  <c r="O1979" i="2"/>
  <c r="N1979" i="2"/>
  <c r="M1979" i="2"/>
  <c r="L1979" i="2"/>
  <c r="K1979" i="2"/>
  <c r="J1979" i="2"/>
  <c r="I1979" i="2"/>
  <c r="H1979" i="2"/>
  <c r="G1979" i="2"/>
  <c r="F1979" i="2"/>
  <c r="E1979" i="2"/>
  <c r="D1979" i="2"/>
  <c r="C1979" i="2"/>
  <c r="B1979" i="2"/>
  <c r="A1979" i="2"/>
  <c r="AX1978" i="2"/>
  <c r="AV1978" i="2"/>
  <c r="AU1978" i="2"/>
  <c r="AR1978" i="2"/>
  <c r="AQ1978" i="2"/>
  <c r="AP1978" i="2"/>
  <c r="AO1978" i="2"/>
  <c r="AL1978" i="2"/>
  <c r="AK1978" i="2"/>
  <c r="AJ1978" i="2"/>
  <c r="AI1978" i="2"/>
  <c r="AH1978" i="2"/>
  <c r="AG1978" i="2"/>
  <c r="AE1978" i="2"/>
  <c r="AD1978" i="2"/>
  <c r="AC1978" i="2"/>
  <c r="AA1978" i="2"/>
  <c r="Z1978" i="2"/>
  <c r="Y1978" i="2"/>
  <c r="X1978" i="2"/>
  <c r="W1978" i="2"/>
  <c r="V1978" i="2"/>
  <c r="U1978" i="2"/>
  <c r="T1978" i="2"/>
  <c r="S1978" i="2"/>
  <c r="R1978" i="2"/>
  <c r="Q1978" i="2"/>
  <c r="P1978" i="2"/>
  <c r="O1978" i="2"/>
  <c r="N1978" i="2"/>
  <c r="M1978" i="2"/>
  <c r="K1978" i="2"/>
  <c r="J1978" i="2"/>
  <c r="I1978" i="2"/>
  <c r="H1978" i="2"/>
  <c r="G1978" i="2"/>
  <c r="F1978" i="2"/>
  <c r="E1978" i="2"/>
  <c r="D1978" i="2"/>
  <c r="C1978" i="2"/>
  <c r="B1978" i="2"/>
  <c r="A1978" i="2"/>
  <c r="AX1977" i="2"/>
  <c r="AV1977" i="2"/>
  <c r="AU1977" i="2"/>
  <c r="AT1977" i="2"/>
  <c r="AS1977" i="2"/>
  <c r="AR1977" i="2"/>
  <c r="AQ1977" i="2"/>
  <c r="AP1977" i="2"/>
  <c r="AO1977" i="2"/>
  <c r="AL1977" i="2"/>
  <c r="AK1977" i="2"/>
  <c r="AI1977" i="2"/>
  <c r="AH1977" i="2"/>
  <c r="AG1977" i="2"/>
  <c r="AF1977" i="2"/>
  <c r="AE1977" i="2"/>
  <c r="AD1977" i="2"/>
  <c r="AC1977" i="2"/>
  <c r="AA1977" i="2"/>
  <c r="Z1977" i="2"/>
  <c r="Y1977" i="2"/>
  <c r="X1977" i="2"/>
  <c r="W1977" i="2"/>
  <c r="V1977" i="2"/>
  <c r="U1977" i="2"/>
  <c r="T1977" i="2"/>
  <c r="S1977" i="2"/>
  <c r="R1977" i="2"/>
  <c r="Q1977" i="2"/>
  <c r="P1977" i="2"/>
  <c r="O1977" i="2"/>
  <c r="N1977" i="2"/>
  <c r="M1977" i="2"/>
  <c r="L1977" i="2"/>
  <c r="K1977" i="2"/>
  <c r="J1977" i="2"/>
  <c r="I1977" i="2"/>
  <c r="H1977" i="2"/>
  <c r="G1977" i="2"/>
  <c r="F1977" i="2"/>
  <c r="E1977" i="2"/>
  <c r="D1977" i="2"/>
  <c r="C1977" i="2"/>
  <c r="B1977" i="2"/>
  <c r="A1977" i="2"/>
  <c r="AX1976" i="2"/>
  <c r="AV1976" i="2"/>
  <c r="AU1976" i="2"/>
  <c r="AS1976" i="2"/>
  <c r="AR1976" i="2"/>
  <c r="AQ1976" i="2"/>
  <c r="AP1976" i="2"/>
  <c r="AO1976" i="2"/>
  <c r="AM1976" i="2"/>
  <c r="AL1976" i="2"/>
  <c r="AK1976" i="2"/>
  <c r="AJ1976" i="2"/>
  <c r="AI1976" i="2"/>
  <c r="AH1976" i="2"/>
  <c r="AG1976" i="2"/>
  <c r="AE1976" i="2"/>
  <c r="AD1976" i="2"/>
  <c r="AC1976" i="2"/>
  <c r="AA1976" i="2"/>
  <c r="Z1976" i="2"/>
  <c r="Y1976" i="2"/>
  <c r="X1976" i="2"/>
  <c r="W1976" i="2"/>
  <c r="V1976" i="2"/>
  <c r="U1976" i="2"/>
  <c r="T1976" i="2"/>
  <c r="S1976" i="2"/>
  <c r="R1976" i="2"/>
  <c r="Q1976" i="2"/>
  <c r="P1976" i="2"/>
  <c r="O1976" i="2"/>
  <c r="N1976" i="2"/>
  <c r="K1976" i="2"/>
  <c r="J1976" i="2"/>
  <c r="I1976" i="2"/>
  <c r="H1976" i="2"/>
  <c r="G1976" i="2"/>
  <c r="F1976" i="2"/>
  <c r="E1976" i="2"/>
  <c r="D1976" i="2"/>
  <c r="C1976" i="2"/>
  <c r="B1976" i="2"/>
  <c r="A1976" i="2"/>
  <c r="AX1975" i="2"/>
  <c r="AV1975" i="2"/>
  <c r="AU1975" i="2"/>
  <c r="AT1975" i="2"/>
  <c r="AS1975" i="2"/>
  <c r="AR1975" i="2"/>
  <c r="AQ1975" i="2"/>
  <c r="AP1975" i="2"/>
  <c r="AO1975" i="2"/>
  <c r="AL1975" i="2"/>
  <c r="AK1975" i="2"/>
  <c r="AJ1975" i="2"/>
  <c r="AI1975" i="2"/>
  <c r="AH1975" i="2"/>
  <c r="AG1975" i="2"/>
  <c r="AF1975" i="2"/>
  <c r="AE1975" i="2"/>
  <c r="AD1975" i="2"/>
  <c r="AC1975" i="2"/>
  <c r="AA1975" i="2"/>
  <c r="Z1975" i="2"/>
  <c r="Y1975" i="2"/>
  <c r="V1975" i="2"/>
  <c r="U1975" i="2"/>
  <c r="T1975" i="2"/>
  <c r="S1975" i="2"/>
  <c r="R1975" i="2"/>
  <c r="Q1975" i="2"/>
  <c r="P1975" i="2"/>
  <c r="O1975" i="2"/>
  <c r="N1975" i="2"/>
  <c r="M1975" i="2"/>
  <c r="L1975" i="2"/>
  <c r="K1975" i="2"/>
  <c r="J1975" i="2"/>
  <c r="I1975" i="2"/>
  <c r="H1975" i="2"/>
  <c r="G1975" i="2"/>
  <c r="F1975" i="2"/>
  <c r="E1975" i="2"/>
  <c r="D1975" i="2"/>
  <c r="C1975" i="2"/>
  <c r="B1975" i="2"/>
  <c r="A1975" i="2"/>
  <c r="AX1974" i="2"/>
  <c r="AV1974" i="2"/>
  <c r="AU1974" i="2"/>
  <c r="AT1974" i="2"/>
  <c r="AR1974" i="2"/>
  <c r="AQ1974" i="2"/>
  <c r="AP1974" i="2"/>
  <c r="AO1974" i="2"/>
  <c r="AL1974" i="2"/>
  <c r="AK1974" i="2"/>
  <c r="AJ1974" i="2"/>
  <c r="AI1974" i="2"/>
  <c r="AH1974" i="2"/>
  <c r="AG1974" i="2"/>
  <c r="AF1974" i="2"/>
  <c r="AE1974" i="2"/>
  <c r="AD1974" i="2"/>
  <c r="AC1974" i="2"/>
  <c r="AA1974" i="2"/>
  <c r="Z1974" i="2"/>
  <c r="Y1974" i="2"/>
  <c r="V1974" i="2"/>
  <c r="U1974" i="2"/>
  <c r="T1974" i="2"/>
  <c r="S1974" i="2"/>
  <c r="R1974" i="2"/>
  <c r="Q1974" i="2"/>
  <c r="P1974" i="2"/>
  <c r="O1974" i="2"/>
  <c r="N1974" i="2"/>
  <c r="M1974" i="2"/>
  <c r="L1974" i="2"/>
  <c r="K1974" i="2"/>
  <c r="J1974" i="2"/>
  <c r="I1974" i="2"/>
  <c r="H1974" i="2"/>
  <c r="G1974" i="2"/>
  <c r="F1974" i="2"/>
  <c r="E1974" i="2"/>
  <c r="D1974" i="2"/>
  <c r="C1974" i="2"/>
  <c r="B1974" i="2"/>
  <c r="A1974" i="2"/>
  <c r="AX1973" i="2"/>
  <c r="AV1973" i="2"/>
  <c r="AU1973" i="2"/>
  <c r="AT1973" i="2"/>
  <c r="AS1973" i="2"/>
  <c r="AR1973" i="2"/>
  <c r="AQ1973" i="2"/>
  <c r="AP1973" i="2"/>
  <c r="AO1973" i="2"/>
  <c r="AL1973" i="2"/>
  <c r="AK1973" i="2"/>
  <c r="AJ1973" i="2"/>
  <c r="AI1973" i="2"/>
  <c r="AH1973" i="2"/>
  <c r="AG1973" i="2"/>
  <c r="AE1973" i="2"/>
  <c r="AD1973" i="2"/>
  <c r="AC1973" i="2"/>
  <c r="AA1973" i="2"/>
  <c r="Z1973" i="2"/>
  <c r="Y1973" i="2"/>
  <c r="X1973" i="2"/>
  <c r="W1973" i="2"/>
  <c r="V1973" i="2"/>
  <c r="U1973" i="2"/>
  <c r="T1973" i="2"/>
  <c r="S1973" i="2"/>
  <c r="R1973" i="2"/>
  <c r="Q1973" i="2"/>
  <c r="P1973" i="2"/>
  <c r="O1973" i="2"/>
  <c r="N1973" i="2"/>
  <c r="M1973" i="2"/>
  <c r="L1973" i="2"/>
  <c r="K1973" i="2"/>
  <c r="J1973" i="2"/>
  <c r="I1973" i="2"/>
  <c r="H1973" i="2"/>
  <c r="G1973" i="2"/>
  <c r="F1973" i="2"/>
  <c r="E1973" i="2"/>
  <c r="D1973" i="2"/>
  <c r="C1973" i="2"/>
  <c r="B1973" i="2"/>
  <c r="A1973" i="2"/>
  <c r="AX1972" i="2"/>
  <c r="AV1972" i="2"/>
  <c r="AU1972" i="2"/>
  <c r="AT1972" i="2"/>
  <c r="AS1972" i="2"/>
  <c r="AR1972" i="2"/>
  <c r="AQ1972" i="2"/>
  <c r="AP1972" i="2"/>
  <c r="AO1972" i="2"/>
  <c r="AL1972" i="2"/>
  <c r="AK1972" i="2"/>
  <c r="AJ1972" i="2"/>
  <c r="AI1972" i="2"/>
  <c r="AH1972" i="2"/>
  <c r="AG1972" i="2"/>
  <c r="AF1972" i="2"/>
  <c r="AE1972" i="2"/>
  <c r="AD1972" i="2"/>
  <c r="AC1972" i="2"/>
  <c r="AA1972" i="2"/>
  <c r="Z1972" i="2"/>
  <c r="Y1972" i="2"/>
  <c r="X1972" i="2"/>
  <c r="W1972" i="2"/>
  <c r="V1972" i="2"/>
  <c r="U1972" i="2"/>
  <c r="T1972" i="2"/>
  <c r="S1972" i="2"/>
  <c r="R1972" i="2"/>
  <c r="Q1972" i="2"/>
  <c r="P1972" i="2"/>
  <c r="O1972" i="2"/>
  <c r="N1972" i="2"/>
  <c r="M1972" i="2"/>
  <c r="L1972" i="2"/>
  <c r="K1972" i="2"/>
  <c r="J1972" i="2"/>
  <c r="I1972" i="2"/>
  <c r="H1972" i="2"/>
  <c r="G1972" i="2"/>
  <c r="F1972" i="2"/>
  <c r="E1972" i="2"/>
  <c r="D1972" i="2"/>
  <c r="C1972" i="2"/>
  <c r="B1972" i="2"/>
  <c r="A1972" i="2"/>
  <c r="AX1971" i="2"/>
  <c r="AV1971" i="2"/>
  <c r="AU1971" i="2"/>
  <c r="AS1971" i="2"/>
  <c r="AR1971" i="2"/>
  <c r="AQ1971" i="2"/>
  <c r="AO1971" i="2"/>
  <c r="AL1971" i="2"/>
  <c r="AK1971" i="2"/>
  <c r="AJ1971" i="2"/>
  <c r="AI1971" i="2"/>
  <c r="AH1971" i="2"/>
  <c r="AG1971" i="2"/>
  <c r="AF1971" i="2"/>
  <c r="AE1971" i="2"/>
  <c r="AD1971" i="2"/>
  <c r="AC1971" i="2"/>
  <c r="AA1971" i="2"/>
  <c r="Z1971" i="2"/>
  <c r="Y1971" i="2"/>
  <c r="X1971" i="2"/>
  <c r="W1971" i="2"/>
  <c r="V1971" i="2"/>
  <c r="U1971" i="2"/>
  <c r="T1971" i="2"/>
  <c r="S1971" i="2"/>
  <c r="R1971" i="2"/>
  <c r="Q1971" i="2"/>
  <c r="P1971" i="2"/>
  <c r="O1971" i="2"/>
  <c r="N1971" i="2"/>
  <c r="K1971" i="2"/>
  <c r="J1971" i="2"/>
  <c r="I1971" i="2"/>
  <c r="H1971" i="2"/>
  <c r="G1971" i="2"/>
  <c r="F1971" i="2"/>
  <c r="E1971" i="2"/>
  <c r="D1971" i="2"/>
  <c r="C1971" i="2"/>
  <c r="B1971" i="2"/>
  <c r="A1971" i="2"/>
  <c r="AX1970" i="2"/>
  <c r="AV1970" i="2"/>
  <c r="AU1970" i="2"/>
  <c r="AT1970" i="2"/>
  <c r="AS1970" i="2"/>
  <c r="AO1970" i="2"/>
  <c r="AN1970" i="2"/>
  <c r="AM1970" i="2"/>
  <c r="AL1970" i="2"/>
  <c r="AK1970" i="2"/>
  <c r="AJ1970" i="2"/>
  <c r="AI1970" i="2"/>
  <c r="AH1970" i="2"/>
  <c r="AG1970" i="2"/>
  <c r="AE1970" i="2"/>
  <c r="AD1970" i="2"/>
  <c r="AC1970" i="2"/>
  <c r="AB1970" i="2"/>
  <c r="AA1970" i="2"/>
  <c r="Z1970" i="2"/>
  <c r="Y1970" i="2"/>
  <c r="X1970" i="2"/>
  <c r="W1970" i="2"/>
  <c r="V1970" i="2"/>
  <c r="U1970" i="2"/>
  <c r="T1970" i="2"/>
  <c r="S1970" i="2"/>
  <c r="R1970" i="2"/>
  <c r="Q1970" i="2"/>
  <c r="P1970" i="2"/>
  <c r="O1970" i="2"/>
  <c r="N1970" i="2"/>
  <c r="M1970" i="2"/>
  <c r="L1970" i="2"/>
  <c r="K1970" i="2"/>
  <c r="J1970" i="2"/>
  <c r="I1970" i="2"/>
  <c r="H1970" i="2"/>
  <c r="G1970" i="2"/>
  <c r="F1970" i="2"/>
  <c r="E1970" i="2"/>
  <c r="D1970" i="2"/>
  <c r="C1970" i="2"/>
  <c r="B1970" i="2"/>
  <c r="A1970" i="2"/>
  <c r="AX1969" i="2"/>
  <c r="AV1969" i="2"/>
  <c r="AU1969" i="2"/>
  <c r="AT1969" i="2"/>
  <c r="AS1969" i="2"/>
  <c r="AR1969" i="2"/>
  <c r="AQ1969" i="2"/>
  <c r="AP1969" i="2"/>
  <c r="AO1969" i="2"/>
  <c r="AL1969" i="2"/>
  <c r="AK1969" i="2"/>
  <c r="AJ1969" i="2"/>
  <c r="AI1969" i="2"/>
  <c r="AH1969" i="2"/>
  <c r="AG1969" i="2"/>
  <c r="AE1969" i="2"/>
  <c r="AD1969" i="2"/>
  <c r="AC1969" i="2"/>
  <c r="AA1969" i="2"/>
  <c r="Z1969" i="2"/>
  <c r="Y1969" i="2"/>
  <c r="X1969" i="2"/>
  <c r="W1969" i="2"/>
  <c r="V1969" i="2"/>
  <c r="U1969" i="2"/>
  <c r="T1969" i="2"/>
  <c r="S1969" i="2"/>
  <c r="R1969" i="2"/>
  <c r="Q1969" i="2"/>
  <c r="P1969" i="2"/>
  <c r="O1969" i="2"/>
  <c r="N1969" i="2"/>
  <c r="M1969" i="2"/>
  <c r="L1969" i="2"/>
  <c r="K1969" i="2"/>
  <c r="J1969" i="2"/>
  <c r="I1969" i="2"/>
  <c r="H1969" i="2"/>
  <c r="G1969" i="2"/>
  <c r="F1969" i="2"/>
  <c r="E1969" i="2"/>
  <c r="D1969" i="2"/>
  <c r="C1969" i="2"/>
  <c r="B1969" i="2"/>
  <c r="A1969" i="2"/>
  <c r="AX1968" i="2"/>
  <c r="AV1968" i="2"/>
  <c r="AU1968" i="2"/>
  <c r="AS1968" i="2"/>
  <c r="AR1968" i="2"/>
  <c r="AQ1968" i="2"/>
  <c r="AI1968" i="2"/>
  <c r="AH1968" i="2"/>
  <c r="AG1968" i="2"/>
  <c r="AE1968" i="2"/>
  <c r="AC1968" i="2"/>
  <c r="AA1968" i="2"/>
  <c r="Z1968" i="2"/>
  <c r="Y1968" i="2"/>
  <c r="V1968" i="2"/>
  <c r="U1968" i="2"/>
  <c r="T1968" i="2"/>
  <c r="S1968" i="2"/>
  <c r="R1968" i="2"/>
  <c r="Q1968" i="2"/>
  <c r="P1968" i="2"/>
  <c r="O1968" i="2"/>
  <c r="N1968" i="2"/>
  <c r="K1968" i="2"/>
  <c r="J1968" i="2"/>
  <c r="I1968" i="2"/>
  <c r="H1968" i="2"/>
  <c r="G1968" i="2"/>
  <c r="F1968" i="2"/>
  <c r="E1968" i="2"/>
  <c r="D1968" i="2"/>
  <c r="C1968" i="2"/>
  <c r="B1968" i="2"/>
  <c r="A1968" i="2"/>
  <c r="AX1967" i="2"/>
  <c r="AV1967" i="2"/>
  <c r="AU1967" i="2"/>
  <c r="AT1967" i="2"/>
  <c r="AS1967" i="2"/>
  <c r="AR1967" i="2"/>
  <c r="AQ1967" i="2"/>
  <c r="AP1967" i="2"/>
  <c r="AO1967" i="2"/>
  <c r="AN1967" i="2"/>
  <c r="AM1967" i="2"/>
  <c r="AL1967" i="2"/>
  <c r="AK1967" i="2"/>
  <c r="AJ1967" i="2"/>
  <c r="AI1967" i="2"/>
  <c r="AH1967" i="2"/>
  <c r="AG1967" i="2"/>
  <c r="AE1967" i="2"/>
  <c r="AD1967" i="2"/>
  <c r="AC1967" i="2"/>
  <c r="AA1967" i="2"/>
  <c r="Z1967" i="2"/>
  <c r="Y1967" i="2"/>
  <c r="X1967" i="2"/>
  <c r="W1967" i="2"/>
  <c r="V1967" i="2"/>
  <c r="U1967" i="2"/>
  <c r="T1967" i="2"/>
  <c r="S1967" i="2"/>
  <c r="R1967" i="2"/>
  <c r="Q1967" i="2"/>
  <c r="P1967" i="2"/>
  <c r="O1967" i="2"/>
  <c r="N1967" i="2"/>
  <c r="M1967" i="2"/>
  <c r="L1967" i="2"/>
  <c r="K1967" i="2"/>
  <c r="J1967" i="2"/>
  <c r="I1967" i="2"/>
  <c r="H1967" i="2"/>
  <c r="G1967" i="2"/>
  <c r="F1967" i="2"/>
  <c r="E1967" i="2"/>
  <c r="D1967" i="2"/>
  <c r="C1967" i="2"/>
  <c r="B1967" i="2"/>
  <c r="A1967" i="2"/>
  <c r="AV1966" i="2"/>
  <c r="AU1966" i="2"/>
  <c r="AT1966" i="2"/>
  <c r="AR1966" i="2"/>
  <c r="AQ1966" i="2"/>
  <c r="AP1966" i="2"/>
  <c r="AO1966" i="2"/>
  <c r="AL1966" i="2"/>
  <c r="AK1966" i="2"/>
  <c r="AJ1966" i="2"/>
  <c r="AI1966" i="2"/>
  <c r="AH1966" i="2"/>
  <c r="AG1966" i="2"/>
  <c r="AF1966" i="2"/>
  <c r="AE1966" i="2"/>
  <c r="AD1966" i="2"/>
  <c r="AC1966" i="2"/>
  <c r="AA1966" i="2"/>
  <c r="Z1966" i="2"/>
  <c r="Y1966" i="2"/>
  <c r="X1966" i="2"/>
  <c r="W1966" i="2"/>
  <c r="V1966" i="2"/>
  <c r="U1966" i="2"/>
  <c r="T1966" i="2"/>
  <c r="S1966" i="2"/>
  <c r="R1966" i="2"/>
  <c r="Q1966" i="2"/>
  <c r="P1966" i="2"/>
  <c r="O1966" i="2"/>
  <c r="N1966" i="2"/>
  <c r="M1966" i="2"/>
  <c r="L1966" i="2"/>
  <c r="K1966" i="2"/>
  <c r="J1966" i="2"/>
  <c r="I1966" i="2"/>
  <c r="H1966" i="2"/>
  <c r="G1966" i="2"/>
  <c r="F1966" i="2"/>
  <c r="E1966" i="2"/>
  <c r="D1966" i="2"/>
  <c r="C1966" i="2"/>
  <c r="B1966" i="2"/>
  <c r="A1966" i="2"/>
  <c r="AX1965" i="2"/>
  <c r="AV1965" i="2"/>
  <c r="AU1965" i="2"/>
  <c r="AR1965" i="2"/>
  <c r="AQ1965" i="2"/>
  <c r="AO1965" i="2"/>
  <c r="AL1965" i="2"/>
  <c r="AK1965" i="2"/>
  <c r="AJ1965" i="2"/>
  <c r="AI1965" i="2"/>
  <c r="AH1965" i="2"/>
  <c r="AG1965" i="2"/>
  <c r="AF1965" i="2"/>
  <c r="AE1965" i="2"/>
  <c r="AD1965" i="2"/>
  <c r="AC1965" i="2"/>
  <c r="AA1965" i="2"/>
  <c r="Z1965" i="2"/>
  <c r="Y1965" i="2"/>
  <c r="X1965" i="2"/>
  <c r="W1965" i="2"/>
  <c r="V1965" i="2"/>
  <c r="U1965" i="2"/>
  <c r="T1965" i="2"/>
  <c r="S1965" i="2"/>
  <c r="Q1965" i="2"/>
  <c r="P1965" i="2"/>
  <c r="O1965" i="2"/>
  <c r="N1965" i="2"/>
  <c r="K1965" i="2"/>
  <c r="J1965" i="2"/>
  <c r="I1965" i="2"/>
  <c r="H1965" i="2"/>
  <c r="G1965" i="2"/>
  <c r="F1965" i="2"/>
  <c r="E1965" i="2"/>
  <c r="D1965" i="2"/>
  <c r="C1965" i="2"/>
  <c r="B1965" i="2"/>
  <c r="A1965" i="2"/>
  <c r="AX1964" i="2"/>
  <c r="AV1964" i="2"/>
  <c r="AU1964" i="2"/>
  <c r="AR1964" i="2"/>
  <c r="AQ1964" i="2"/>
  <c r="AP1964" i="2"/>
  <c r="AO1964" i="2"/>
  <c r="AL1964" i="2"/>
  <c r="AK1964" i="2"/>
  <c r="AJ1964" i="2"/>
  <c r="AI1964" i="2"/>
  <c r="AH1964" i="2"/>
  <c r="AG1964" i="2"/>
  <c r="AF1964" i="2"/>
  <c r="AE1964" i="2"/>
  <c r="AD1964" i="2"/>
  <c r="AC1964" i="2"/>
  <c r="AA1964" i="2"/>
  <c r="Z1964" i="2"/>
  <c r="Y1964" i="2"/>
  <c r="X1964" i="2"/>
  <c r="W1964" i="2"/>
  <c r="V1964" i="2"/>
  <c r="U1964" i="2"/>
  <c r="T1964" i="2"/>
  <c r="S1964" i="2"/>
  <c r="R1964" i="2"/>
  <c r="Q1964" i="2"/>
  <c r="P1964" i="2"/>
  <c r="O1964" i="2"/>
  <c r="N1964" i="2"/>
  <c r="M1964" i="2"/>
  <c r="L1964" i="2"/>
  <c r="K1964" i="2"/>
  <c r="J1964" i="2"/>
  <c r="I1964" i="2"/>
  <c r="H1964" i="2"/>
  <c r="G1964" i="2"/>
  <c r="F1964" i="2"/>
  <c r="E1964" i="2"/>
  <c r="D1964" i="2"/>
  <c r="C1964" i="2"/>
  <c r="B1964" i="2"/>
  <c r="A1964" i="2"/>
  <c r="AX1963" i="2"/>
  <c r="AV1963" i="2"/>
  <c r="AU1963" i="2"/>
  <c r="AS1963" i="2"/>
  <c r="AR1963" i="2"/>
  <c r="AQ1963" i="2"/>
  <c r="AO1963" i="2"/>
  <c r="AL1963" i="2"/>
  <c r="AK1963" i="2"/>
  <c r="AJ1963" i="2"/>
  <c r="AI1963" i="2"/>
  <c r="AH1963" i="2"/>
  <c r="AG1963" i="2"/>
  <c r="AE1963" i="2"/>
  <c r="AD1963" i="2"/>
  <c r="AC1963" i="2"/>
  <c r="AA1963" i="2"/>
  <c r="Z1963" i="2"/>
  <c r="Y1963" i="2"/>
  <c r="X1963" i="2"/>
  <c r="W1963" i="2"/>
  <c r="V1963" i="2"/>
  <c r="U1963" i="2"/>
  <c r="T1963" i="2"/>
  <c r="S1963" i="2"/>
  <c r="R1963" i="2"/>
  <c r="Q1963" i="2"/>
  <c r="P1963" i="2"/>
  <c r="O1963" i="2"/>
  <c r="N1963" i="2"/>
  <c r="K1963" i="2"/>
  <c r="J1963" i="2"/>
  <c r="I1963" i="2"/>
  <c r="H1963" i="2"/>
  <c r="G1963" i="2"/>
  <c r="F1963" i="2"/>
  <c r="E1963" i="2"/>
  <c r="D1963" i="2"/>
  <c r="C1963" i="2"/>
  <c r="B1963" i="2"/>
  <c r="A1963" i="2"/>
  <c r="AX1962" i="2"/>
  <c r="AV1962" i="2"/>
  <c r="AU1962" i="2"/>
  <c r="AT1962" i="2"/>
  <c r="AR1962" i="2"/>
  <c r="AQ1962" i="2"/>
  <c r="AO1962" i="2"/>
  <c r="AL1962" i="2"/>
  <c r="AK1962" i="2"/>
  <c r="AJ1962" i="2"/>
  <c r="AI1962" i="2"/>
  <c r="AH1962" i="2"/>
  <c r="AG1962" i="2"/>
  <c r="AF1962" i="2"/>
  <c r="AE1962" i="2"/>
  <c r="AD1962" i="2"/>
  <c r="AC1962" i="2"/>
  <c r="AA1962" i="2"/>
  <c r="Z1962" i="2"/>
  <c r="Y1962" i="2"/>
  <c r="X1962" i="2"/>
  <c r="W1962" i="2"/>
  <c r="V1962" i="2"/>
  <c r="U1962" i="2"/>
  <c r="T1962" i="2"/>
  <c r="S1962" i="2"/>
  <c r="R1962" i="2"/>
  <c r="Q1962" i="2"/>
  <c r="P1962" i="2"/>
  <c r="O1962" i="2"/>
  <c r="N1962" i="2"/>
  <c r="M1962" i="2"/>
  <c r="L1962" i="2"/>
  <c r="K1962" i="2"/>
  <c r="J1962" i="2"/>
  <c r="I1962" i="2"/>
  <c r="H1962" i="2"/>
  <c r="G1962" i="2"/>
  <c r="F1962" i="2"/>
  <c r="E1962" i="2"/>
  <c r="D1962" i="2"/>
  <c r="C1962" i="2"/>
  <c r="B1962" i="2"/>
  <c r="A1962" i="2"/>
  <c r="AX1961" i="2"/>
  <c r="AV1961" i="2"/>
  <c r="AU1961" i="2"/>
  <c r="AR1961" i="2"/>
  <c r="AQ1961" i="2"/>
  <c r="AO1961" i="2"/>
  <c r="AL1961" i="2"/>
  <c r="AK1961" i="2"/>
  <c r="AJ1961" i="2"/>
  <c r="AI1961" i="2"/>
  <c r="AH1961" i="2"/>
  <c r="AG1961" i="2"/>
  <c r="AE1961" i="2"/>
  <c r="AD1961" i="2"/>
  <c r="AC1961" i="2"/>
  <c r="AA1961" i="2"/>
  <c r="Z1961" i="2"/>
  <c r="Y1961" i="2"/>
  <c r="X1961" i="2"/>
  <c r="W1961" i="2"/>
  <c r="V1961" i="2"/>
  <c r="U1961" i="2"/>
  <c r="T1961" i="2"/>
  <c r="S1961" i="2"/>
  <c r="R1961" i="2"/>
  <c r="Q1961" i="2"/>
  <c r="P1961" i="2"/>
  <c r="O1961" i="2"/>
  <c r="N1961" i="2"/>
  <c r="K1961" i="2"/>
  <c r="J1961" i="2"/>
  <c r="I1961" i="2"/>
  <c r="H1961" i="2"/>
  <c r="G1961" i="2"/>
  <c r="F1961" i="2"/>
  <c r="E1961" i="2"/>
  <c r="D1961" i="2"/>
  <c r="C1961" i="2"/>
  <c r="B1961" i="2"/>
  <c r="A1961" i="2"/>
  <c r="AX1960" i="2"/>
  <c r="AV1960" i="2"/>
  <c r="AU1960" i="2"/>
  <c r="AS1960" i="2"/>
  <c r="AR1960" i="2"/>
  <c r="AQ1960" i="2"/>
  <c r="AO1960" i="2"/>
  <c r="AL1960" i="2"/>
  <c r="AI1960" i="2"/>
  <c r="AH1960" i="2"/>
  <c r="AG1960" i="2"/>
  <c r="AE1960" i="2"/>
  <c r="AD1960" i="2"/>
  <c r="AC1960" i="2"/>
  <c r="AA1960" i="2"/>
  <c r="Z1960" i="2"/>
  <c r="Y1960" i="2"/>
  <c r="X1960" i="2"/>
  <c r="W1960" i="2"/>
  <c r="V1960" i="2"/>
  <c r="U1960" i="2"/>
  <c r="T1960" i="2"/>
  <c r="S1960" i="2"/>
  <c r="R1960" i="2"/>
  <c r="Q1960" i="2"/>
  <c r="P1960" i="2"/>
  <c r="O1960" i="2"/>
  <c r="N1960" i="2"/>
  <c r="K1960" i="2"/>
  <c r="J1960" i="2"/>
  <c r="I1960" i="2"/>
  <c r="H1960" i="2"/>
  <c r="G1960" i="2"/>
  <c r="F1960" i="2"/>
  <c r="E1960" i="2"/>
  <c r="D1960" i="2"/>
  <c r="C1960" i="2"/>
  <c r="B1960" i="2"/>
  <c r="A1960" i="2"/>
  <c r="AX1959" i="2"/>
  <c r="AV1959" i="2"/>
  <c r="AU1959" i="2"/>
  <c r="AR1959" i="2"/>
  <c r="AQ1959" i="2"/>
  <c r="AO1959" i="2"/>
  <c r="AL1959" i="2"/>
  <c r="AK1959" i="2"/>
  <c r="AI1959" i="2"/>
  <c r="AH1959" i="2"/>
  <c r="AG1959" i="2"/>
  <c r="AC1959" i="2"/>
  <c r="AA1959" i="2"/>
  <c r="Z1959" i="2"/>
  <c r="Y1959" i="2"/>
  <c r="X1959" i="2"/>
  <c r="W1959" i="2"/>
  <c r="V1959" i="2"/>
  <c r="U1959" i="2"/>
  <c r="T1959" i="2"/>
  <c r="S1959" i="2"/>
  <c r="R1959" i="2"/>
  <c r="Q1959" i="2"/>
  <c r="P1959" i="2"/>
  <c r="O1959" i="2"/>
  <c r="N1959" i="2"/>
  <c r="K1959" i="2"/>
  <c r="J1959" i="2"/>
  <c r="I1959" i="2"/>
  <c r="H1959" i="2"/>
  <c r="G1959" i="2"/>
  <c r="F1959" i="2"/>
  <c r="E1959" i="2"/>
  <c r="D1959" i="2"/>
  <c r="C1959" i="2"/>
  <c r="B1959" i="2"/>
  <c r="A1959" i="2"/>
  <c r="AX1958" i="2"/>
  <c r="AV1958" i="2"/>
  <c r="AU1958" i="2"/>
  <c r="AT1958" i="2"/>
  <c r="AR1958" i="2"/>
  <c r="AQ1958" i="2"/>
  <c r="AP1958" i="2"/>
  <c r="AO1958" i="2"/>
  <c r="AL1958" i="2"/>
  <c r="AK1958" i="2"/>
  <c r="AJ1958" i="2"/>
  <c r="AI1958" i="2"/>
  <c r="AH1958" i="2"/>
  <c r="AG1958" i="2"/>
  <c r="AC1958" i="2"/>
  <c r="AA1958" i="2"/>
  <c r="Z1958" i="2"/>
  <c r="Y1958" i="2"/>
  <c r="W1958" i="2"/>
  <c r="V1958" i="2"/>
  <c r="U1958" i="2"/>
  <c r="T1958" i="2"/>
  <c r="S1958" i="2"/>
  <c r="R1958" i="2"/>
  <c r="Q1958" i="2"/>
  <c r="P1958" i="2"/>
  <c r="O1958" i="2"/>
  <c r="N1958" i="2"/>
  <c r="M1958" i="2"/>
  <c r="L1958" i="2"/>
  <c r="K1958" i="2"/>
  <c r="J1958" i="2"/>
  <c r="I1958" i="2"/>
  <c r="H1958" i="2"/>
  <c r="G1958" i="2"/>
  <c r="F1958" i="2"/>
  <c r="E1958" i="2"/>
  <c r="D1958" i="2"/>
  <c r="C1958" i="2"/>
  <c r="B1958" i="2"/>
  <c r="A1958" i="2"/>
  <c r="AX1957" i="2"/>
  <c r="AV1957" i="2"/>
  <c r="AU1957" i="2"/>
  <c r="AS1957" i="2"/>
  <c r="AR1957" i="2"/>
  <c r="AQ1957" i="2"/>
  <c r="AO1957" i="2"/>
  <c r="AL1957" i="2"/>
  <c r="AK1957" i="2"/>
  <c r="AJ1957" i="2"/>
  <c r="AI1957" i="2"/>
  <c r="AH1957" i="2"/>
  <c r="AG1957" i="2"/>
  <c r="AD1957" i="2"/>
  <c r="AC1957" i="2"/>
  <c r="AA1957" i="2"/>
  <c r="Z1957" i="2"/>
  <c r="Y1957" i="2"/>
  <c r="X1957" i="2"/>
  <c r="W1957" i="2"/>
  <c r="V1957" i="2"/>
  <c r="U1957" i="2"/>
  <c r="T1957" i="2"/>
  <c r="S1957" i="2"/>
  <c r="R1957" i="2"/>
  <c r="Q1957" i="2"/>
  <c r="P1957" i="2"/>
  <c r="O1957" i="2"/>
  <c r="N1957" i="2"/>
  <c r="K1957" i="2"/>
  <c r="J1957" i="2"/>
  <c r="I1957" i="2"/>
  <c r="H1957" i="2"/>
  <c r="G1957" i="2"/>
  <c r="F1957" i="2"/>
  <c r="E1957" i="2"/>
  <c r="D1957" i="2"/>
  <c r="C1957" i="2"/>
  <c r="B1957" i="2"/>
  <c r="A1957" i="2"/>
  <c r="AX1956" i="2"/>
  <c r="AV1956" i="2"/>
  <c r="AU1956" i="2"/>
  <c r="AT1956" i="2"/>
  <c r="AR1956" i="2"/>
  <c r="AQ1956" i="2"/>
  <c r="AP1956" i="2"/>
  <c r="AO1956" i="2"/>
  <c r="AN1956" i="2"/>
  <c r="AM1956" i="2"/>
  <c r="AL1956" i="2"/>
  <c r="AK1956" i="2"/>
  <c r="AJ1956" i="2"/>
  <c r="AI1956" i="2"/>
  <c r="AH1956" i="2"/>
  <c r="AG1956" i="2"/>
  <c r="AE1956" i="2"/>
  <c r="AD1956" i="2"/>
  <c r="AC1956" i="2"/>
  <c r="AA1956" i="2"/>
  <c r="Z1956" i="2"/>
  <c r="Y1956" i="2"/>
  <c r="W1956" i="2"/>
  <c r="V1956" i="2"/>
  <c r="U1956" i="2"/>
  <c r="T1956" i="2"/>
  <c r="S1956" i="2"/>
  <c r="R1956" i="2"/>
  <c r="Q1956" i="2"/>
  <c r="P1956" i="2"/>
  <c r="O1956" i="2"/>
  <c r="N1956" i="2"/>
  <c r="M1956" i="2"/>
  <c r="L1956" i="2"/>
  <c r="K1956" i="2"/>
  <c r="J1956" i="2"/>
  <c r="I1956" i="2"/>
  <c r="H1956" i="2"/>
  <c r="G1956" i="2"/>
  <c r="F1956" i="2"/>
  <c r="E1956" i="2"/>
  <c r="D1956" i="2"/>
  <c r="C1956" i="2"/>
  <c r="B1956" i="2"/>
  <c r="A1956" i="2"/>
  <c r="AX1955" i="2"/>
  <c r="AV1955" i="2"/>
  <c r="AU1955" i="2"/>
  <c r="AS1955" i="2"/>
  <c r="AR1955" i="2"/>
  <c r="AQ1955" i="2"/>
  <c r="AO1955" i="2"/>
  <c r="AL1955" i="2"/>
  <c r="AK1955" i="2"/>
  <c r="AJ1955" i="2"/>
  <c r="AI1955" i="2"/>
  <c r="AH1955" i="2"/>
  <c r="AG1955" i="2"/>
  <c r="AE1955" i="2"/>
  <c r="AD1955" i="2"/>
  <c r="AC1955" i="2"/>
  <c r="AA1955" i="2"/>
  <c r="Z1955" i="2"/>
  <c r="Y1955" i="2"/>
  <c r="X1955" i="2"/>
  <c r="W1955" i="2"/>
  <c r="V1955" i="2"/>
  <c r="U1955" i="2"/>
  <c r="T1955" i="2"/>
  <c r="S1955" i="2"/>
  <c r="R1955" i="2"/>
  <c r="Q1955" i="2"/>
  <c r="P1955" i="2"/>
  <c r="O1955" i="2"/>
  <c r="N1955" i="2"/>
  <c r="K1955" i="2"/>
  <c r="J1955" i="2"/>
  <c r="I1955" i="2"/>
  <c r="H1955" i="2"/>
  <c r="G1955" i="2"/>
  <c r="F1955" i="2"/>
  <c r="E1955" i="2"/>
  <c r="D1955" i="2"/>
  <c r="C1955" i="2"/>
  <c r="B1955" i="2"/>
  <c r="A1955" i="2"/>
  <c r="AX1954" i="2"/>
  <c r="AV1954" i="2"/>
  <c r="AU1954" i="2"/>
  <c r="AR1954" i="2"/>
  <c r="AQ1954" i="2"/>
  <c r="AO1954" i="2"/>
  <c r="AL1954" i="2"/>
  <c r="AK1954" i="2"/>
  <c r="AJ1954" i="2"/>
  <c r="AI1954" i="2"/>
  <c r="AH1954" i="2"/>
  <c r="AG1954" i="2"/>
  <c r="AD1954" i="2"/>
  <c r="AC1954" i="2"/>
  <c r="AA1954" i="2"/>
  <c r="Z1954" i="2"/>
  <c r="Y1954" i="2"/>
  <c r="X1954" i="2"/>
  <c r="W1954" i="2"/>
  <c r="V1954" i="2"/>
  <c r="U1954" i="2"/>
  <c r="T1954" i="2"/>
  <c r="S1954" i="2"/>
  <c r="R1954" i="2"/>
  <c r="Q1954" i="2"/>
  <c r="P1954" i="2"/>
  <c r="O1954" i="2"/>
  <c r="N1954" i="2"/>
  <c r="K1954" i="2"/>
  <c r="J1954" i="2"/>
  <c r="I1954" i="2"/>
  <c r="H1954" i="2"/>
  <c r="G1954" i="2"/>
  <c r="F1954" i="2"/>
  <c r="E1954" i="2"/>
  <c r="D1954" i="2"/>
  <c r="C1954" i="2"/>
  <c r="B1954" i="2"/>
  <c r="A1954" i="2"/>
  <c r="AX1953" i="2"/>
  <c r="AV1953" i="2"/>
  <c r="AU1953" i="2"/>
  <c r="AR1953" i="2"/>
  <c r="AQ1953" i="2"/>
  <c r="AO1953" i="2"/>
  <c r="AL1953" i="2"/>
  <c r="AK1953" i="2"/>
  <c r="AJ1953" i="2"/>
  <c r="AI1953" i="2"/>
  <c r="AH1953" i="2"/>
  <c r="AG1953" i="2"/>
  <c r="AF1953" i="2"/>
  <c r="AE1953" i="2"/>
  <c r="AD1953" i="2"/>
  <c r="AC1953" i="2"/>
  <c r="AA1953" i="2"/>
  <c r="Z1953" i="2"/>
  <c r="Y1953" i="2"/>
  <c r="X1953" i="2"/>
  <c r="W1953" i="2"/>
  <c r="V1953" i="2"/>
  <c r="U1953" i="2"/>
  <c r="T1953" i="2"/>
  <c r="S1953" i="2"/>
  <c r="R1953" i="2"/>
  <c r="Q1953" i="2"/>
  <c r="P1953" i="2"/>
  <c r="O1953" i="2"/>
  <c r="N1953" i="2"/>
  <c r="K1953" i="2"/>
  <c r="J1953" i="2"/>
  <c r="I1953" i="2"/>
  <c r="H1953" i="2"/>
  <c r="G1953" i="2"/>
  <c r="F1953" i="2"/>
  <c r="E1953" i="2"/>
  <c r="D1953" i="2"/>
  <c r="C1953" i="2"/>
  <c r="B1953" i="2"/>
  <c r="A1953" i="2"/>
  <c r="AX1952" i="2"/>
  <c r="AV1952" i="2"/>
  <c r="AU1952" i="2"/>
  <c r="AR1952" i="2"/>
  <c r="AQ1952" i="2"/>
  <c r="AP1952" i="2"/>
  <c r="AO1952" i="2"/>
  <c r="AL1952" i="2"/>
  <c r="AK1952" i="2"/>
  <c r="AJ1952" i="2"/>
  <c r="AI1952" i="2"/>
  <c r="AH1952" i="2"/>
  <c r="AG1952" i="2"/>
  <c r="AF1952" i="2"/>
  <c r="AE1952" i="2"/>
  <c r="AD1952" i="2"/>
  <c r="AC1952" i="2"/>
  <c r="AA1952" i="2"/>
  <c r="Z1952" i="2"/>
  <c r="Y1952" i="2"/>
  <c r="V1952" i="2"/>
  <c r="U1952" i="2"/>
  <c r="T1952" i="2"/>
  <c r="S1952" i="2"/>
  <c r="R1952" i="2"/>
  <c r="Q1952" i="2"/>
  <c r="P1952" i="2"/>
  <c r="O1952" i="2"/>
  <c r="N1952" i="2"/>
  <c r="M1952" i="2"/>
  <c r="L1952" i="2"/>
  <c r="K1952" i="2"/>
  <c r="J1952" i="2"/>
  <c r="I1952" i="2"/>
  <c r="H1952" i="2"/>
  <c r="G1952" i="2"/>
  <c r="F1952" i="2"/>
  <c r="E1952" i="2"/>
  <c r="D1952" i="2"/>
  <c r="C1952" i="2"/>
  <c r="B1952" i="2"/>
  <c r="A1952" i="2"/>
  <c r="AX1951" i="2"/>
  <c r="AV1951" i="2"/>
  <c r="AU1951" i="2"/>
  <c r="AS1951" i="2"/>
  <c r="AR1951" i="2"/>
  <c r="AQ1951" i="2"/>
  <c r="AO1951" i="2"/>
  <c r="AL1951" i="2"/>
  <c r="AK1951" i="2"/>
  <c r="AJ1951" i="2"/>
  <c r="AI1951" i="2"/>
  <c r="AH1951" i="2"/>
  <c r="AG1951" i="2"/>
  <c r="AE1951" i="2"/>
  <c r="AD1951" i="2"/>
  <c r="AC1951" i="2"/>
  <c r="AA1951" i="2"/>
  <c r="Z1951" i="2"/>
  <c r="Y1951" i="2"/>
  <c r="X1951" i="2"/>
  <c r="W1951" i="2"/>
  <c r="V1951" i="2"/>
  <c r="U1951" i="2"/>
  <c r="T1951" i="2"/>
  <c r="S1951" i="2"/>
  <c r="R1951" i="2"/>
  <c r="Q1951" i="2"/>
  <c r="P1951" i="2"/>
  <c r="O1951" i="2"/>
  <c r="N1951" i="2"/>
  <c r="K1951" i="2"/>
  <c r="J1951" i="2"/>
  <c r="I1951" i="2"/>
  <c r="H1951" i="2"/>
  <c r="G1951" i="2"/>
  <c r="F1951" i="2"/>
  <c r="E1951" i="2"/>
  <c r="D1951" i="2"/>
  <c r="C1951" i="2"/>
  <c r="B1951" i="2"/>
  <c r="A1951" i="2"/>
  <c r="AX1950" i="2"/>
  <c r="AV1950" i="2"/>
  <c r="AU1950" i="2"/>
  <c r="AS1950" i="2"/>
  <c r="AR1950" i="2"/>
  <c r="AQ1950" i="2"/>
  <c r="AO1950" i="2"/>
  <c r="AL1950" i="2"/>
  <c r="AK1950" i="2"/>
  <c r="AJ1950" i="2"/>
  <c r="AI1950" i="2"/>
  <c r="AH1950" i="2"/>
  <c r="AG1950" i="2"/>
  <c r="AE1950" i="2"/>
  <c r="AD1950" i="2"/>
  <c r="AC1950" i="2"/>
  <c r="AA1950" i="2"/>
  <c r="Z1950" i="2"/>
  <c r="Y1950" i="2"/>
  <c r="X1950" i="2"/>
  <c r="W1950" i="2"/>
  <c r="V1950" i="2"/>
  <c r="U1950" i="2"/>
  <c r="T1950" i="2"/>
  <c r="S1950" i="2"/>
  <c r="R1950" i="2"/>
  <c r="Q1950" i="2"/>
  <c r="P1950" i="2"/>
  <c r="O1950" i="2"/>
  <c r="N1950" i="2"/>
  <c r="K1950" i="2"/>
  <c r="J1950" i="2"/>
  <c r="I1950" i="2"/>
  <c r="H1950" i="2"/>
  <c r="G1950" i="2"/>
  <c r="F1950" i="2"/>
  <c r="E1950" i="2"/>
  <c r="D1950" i="2"/>
  <c r="C1950" i="2"/>
  <c r="B1950" i="2"/>
  <c r="A1950" i="2"/>
  <c r="AX1949" i="2"/>
  <c r="AV1949" i="2"/>
  <c r="AU1949" i="2"/>
  <c r="AS1949" i="2"/>
  <c r="AR1949" i="2"/>
  <c r="AQ1949" i="2"/>
  <c r="AP1949" i="2"/>
  <c r="AO1949" i="2"/>
  <c r="AL1949" i="2"/>
  <c r="AK1949" i="2"/>
  <c r="AJ1949" i="2"/>
  <c r="AI1949" i="2"/>
  <c r="AH1949" i="2"/>
  <c r="AG1949" i="2"/>
  <c r="AE1949" i="2"/>
  <c r="AD1949" i="2"/>
  <c r="AC1949" i="2"/>
  <c r="AA1949" i="2"/>
  <c r="Z1949" i="2"/>
  <c r="Y1949" i="2"/>
  <c r="X1949" i="2"/>
  <c r="W1949" i="2"/>
  <c r="V1949" i="2"/>
  <c r="U1949" i="2"/>
  <c r="T1949" i="2"/>
  <c r="S1949" i="2"/>
  <c r="R1949" i="2"/>
  <c r="Q1949" i="2"/>
  <c r="P1949" i="2"/>
  <c r="O1949" i="2"/>
  <c r="N1949" i="2"/>
  <c r="M1949" i="2"/>
  <c r="L1949" i="2"/>
  <c r="K1949" i="2"/>
  <c r="J1949" i="2"/>
  <c r="I1949" i="2"/>
  <c r="H1949" i="2"/>
  <c r="G1949" i="2"/>
  <c r="F1949" i="2"/>
  <c r="E1949" i="2"/>
  <c r="D1949" i="2"/>
  <c r="C1949" i="2"/>
  <c r="B1949" i="2"/>
  <c r="A1949" i="2"/>
  <c r="AX1948" i="2"/>
  <c r="AV1948" i="2"/>
  <c r="AU1948" i="2"/>
  <c r="AS1948" i="2"/>
  <c r="AR1948" i="2"/>
  <c r="AQ1948" i="2"/>
  <c r="AO1948" i="2"/>
  <c r="AN1948" i="2"/>
  <c r="AM1948" i="2"/>
  <c r="AL1948" i="2"/>
  <c r="AK1948" i="2"/>
  <c r="AI1948" i="2"/>
  <c r="AH1948" i="2"/>
  <c r="AG1948" i="2"/>
  <c r="AE1948" i="2"/>
  <c r="AD1948" i="2"/>
  <c r="AC1948" i="2"/>
  <c r="AA1948" i="2"/>
  <c r="Z1948" i="2"/>
  <c r="Y1948" i="2"/>
  <c r="X1948" i="2"/>
  <c r="W1948" i="2"/>
  <c r="V1948" i="2"/>
  <c r="U1948" i="2"/>
  <c r="T1948" i="2"/>
  <c r="S1948" i="2"/>
  <c r="R1948" i="2"/>
  <c r="Q1948" i="2"/>
  <c r="P1948" i="2"/>
  <c r="O1948" i="2"/>
  <c r="N1948" i="2"/>
  <c r="K1948" i="2"/>
  <c r="J1948" i="2"/>
  <c r="I1948" i="2"/>
  <c r="H1948" i="2"/>
  <c r="G1948" i="2"/>
  <c r="F1948" i="2"/>
  <c r="E1948" i="2"/>
  <c r="D1948" i="2"/>
  <c r="C1948" i="2"/>
  <c r="B1948" i="2"/>
  <c r="A1948" i="2"/>
  <c r="AX1947" i="2"/>
  <c r="AV1947" i="2"/>
  <c r="AU1947" i="2"/>
  <c r="AT1947" i="2"/>
  <c r="AR1947" i="2"/>
  <c r="AQ1947" i="2"/>
  <c r="AP1947" i="2"/>
  <c r="AO1947" i="2"/>
  <c r="AL1947" i="2"/>
  <c r="AK1947" i="2"/>
  <c r="AJ1947" i="2"/>
  <c r="AI1947" i="2"/>
  <c r="AH1947" i="2"/>
  <c r="AG1947" i="2"/>
  <c r="AE1947" i="2"/>
  <c r="AD1947" i="2"/>
  <c r="AC1947" i="2"/>
  <c r="AA1947" i="2"/>
  <c r="Z1947" i="2"/>
  <c r="Y1947" i="2"/>
  <c r="X1947" i="2"/>
  <c r="W1947" i="2"/>
  <c r="V1947" i="2"/>
  <c r="U1947" i="2"/>
  <c r="T1947" i="2"/>
  <c r="S1947" i="2"/>
  <c r="R1947" i="2"/>
  <c r="Q1947" i="2"/>
  <c r="P1947" i="2"/>
  <c r="O1947" i="2"/>
  <c r="N1947" i="2"/>
  <c r="M1947" i="2"/>
  <c r="L1947" i="2"/>
  <c r="K1947" i="2"/>
  <c r="J1947" i="2"/>
  <c r="I1947" i="2"/>
  <c r="H1947" i="2"/>
  <c r="G1947" i="2"/>
  <c r="F1947" i="2"/>
  <c r="E1947" i="2"/>
  <c r="D1947" i="2"/>
  <c r="C1947" i="2"/>
  <c r="B1947" i="2"/>
  <c r="A1947" i="2"/>
  <c r="AX1946" i="2"/>
  <c r="AV1946" i="2"/>
  <c r="AU1946" i="2"/>
  <c r="AT1946" i="2"/>
  <c r="AS1946" i="2"/>
  <c r="AR1946" i="2"/>
  <c r="AQ1946" i="2"/>
  <c r="AP1946" i="2"/>
  <c r="AO1946" i="2"/>
  <c r="AL1946" i="2"/>
  <c r="AK1946" i="2"/>
  <c r="AJ1946" i="2"/>
  <c r="AI1946" i="2"/>
  <c r="AH1946" i="2"/>
  <c r="AG1946" i="2"/>
  <c r="AE1946" i="2"/>
  <c r="AD1946" i="2"/>
  <c r="AC1946" i="2"/>
  <c r="AA1946" i="2"/>
  <c r="Z1946" i="2"/>
  <c r="Y1946" i="2"/>
  <c r="W1946" i="2"/>
  <c r="V1946" i="2"/>
  <c r="U1946" i="2"/>
  <c r="T1946" i="2"/>
  <c r="S1946" i="2"/>
  <c r="R1946" i="2"/>
  <c r="Q1946" i="2"/>
  <c r="P1946" i="2"/>
  <c r="O1946" i="2"/>
  <c r="N1946" i="2"/>
  <c r="M1946" i="2"/>
  <c r="L1946" i="2"/>
  <c r="K1946" i="2"/>
  <c r="J1946" i="2"/>
  <c r="I1946" i="2"/>
  <c r="H1946" i="2"/>
  <c r="G1946" i="2"/>
  <c r="F1946" i="2"/>
  <c r="E1946" i="2"/>
  <c r="D1946" i="2"/>
  <c r="C1946" i="2"/>
  <c r="B1946" i="2"/>
  <c r="A1946" i="2"/>
  <c r="AX1945" i="2"/>
  <c r="AV1945" i="2"/>
  <c r="AU1945" i="2"/>
  <c r="AR1945" i="2"/>
  <c r="AQ1945" i="2"/>
  <c r="AO1945" i="2"/>
  <c r="AL1945" i="2"/>
  <c r="AK1945" i="2"/>
  <c r="AJ1945" i="2"/>
  <c r="AI1945" i="2"/>
  <c r="AH1945" i="2"/>
  <c r="AG1945" i="2"/>
  <c r="AF1945" i="2"/>
  <c r="AE1945" i="2"/>
  <c r="AD1945" i="2"/>
  <c r="AC1945" i="2"/>
  <c r="AA1945" i="2"/>
  <c r="Z1945" i="2"/>
  <c r="Y1945" i="2"/>
  <c r="X1945" i="2"/>
  <c r="W1945" i="2"/>
  <c r="V1945" i="2"/>
  <c r="U1945" i="2"/>
  <c r="T1945" i="2"/>
  <c r="S1945" i="2"/>
  <c r="R1945" i="2"/>
  <c r="Q1945" i="2"/>
  <c r="P1945" i="2"/>
  <c r="O1945" i="2"/>
  <c r="N1945" i="2"/>
  <c r="M1945" i="2"/>
  <c r="L1945" i="2"/>
  <c r="K1945" i="2"/>
  <c r="J1945" i="2"/>
  <c r="I1945" i="2"/>
  <c r="H1945" i="2"/>
  <c r="G1945" i="2"/>
  <c r="F1945" i="2"/>
  <c r="E1945" i="2"/>
  <c r="D1945" i="2"/>
  <c r="C1945" i="2"/>
  <c r="B1945" i="2"/>
  <c r="A1945" i="2"/>
  <c r="AX1944" i="2"/>
  <c r="AV1944" i="2"/>
  <c r="AU1944" i="2"/>
  <c r="AT1944" i="2"/>
  <c r="AS1944" i="2"/>
  <c r="AR1944" i="2"/>
  <c r="AQ1944" i="2"/>
  <c r="AP1944" i="2"/>
  <c r="AO1944" i="2"/>
  <c r="AL1944" i="2"/>
  <c r="AK1944" i="2"/>
  <c r="AJ1944" i="2"/>
  <c r="AI1944" i="2"/>
  <c r="AH1944" i="2"/>
  <c r="AG1944" i="2"/>
  <c r="AE1944" i="2"/>
  <c r="AD1944" i="2"/>
  <c r="AC1944" i="2"/>
  <c r="AA1944" i="2"/>
  <c r="Z1944" i="2"/>
  <c r="Y1944" i="2"/>
  <c r="X1944" i="2"/>
  <c r="W1944" i="2"/>
  <c r="V1944" i="2"/>
  <c r="U1944" i="2"/>
  <c r="T1944" i="2"/>
  <c r="S1944" i="2"/>
  <c r="R1944" i="2"/>
  <c r="Q1944" i="2"/>
  <c r="P1944" i="2"/>
  <c r="O1944" i="2"/>
  <c r="N1944" i="2"/>
  <c r="M1944" i="2"/>
  <c r="L1944" i="2"/>
  <c r="K1944" i="2"/>
  <c r="J1944" i="2"/>
  <c r="I1944" i="2"/>
  <c r="H1944" i="2"/>
  <c r="G1944" i="2"/>
  <c r="F1944" i="2"/>
  <c r="E1944" i="2"/>
  <c r="D1944" i="2"/>
  <c r="C1944" i="2"/>
  <c r="B1944" i="2"/>
  <c r="A1944" i="2"/>
  <c r="AX1943" i="2"/>
  <c r="AV1943" i="2"/>
  <c r="AU1943" i="2"/>
  <c r="AR1943" i="2"/>
  <c r="AQ1943" i="2"/>
  <c r="AP1943" i="2"/>
  <c r="AO1943" i="2"/>
  <c r="AM1943" i="2"/>
  <c r="AK1943" i="2"/>
  <c r="AJ1943" i="2"/>
  <c r="AI1943" i="2"/>
  <c r="AH1943" i="2"/>
  <c r="AG1943" i="2"/>
  <c r="AF1943" i="2"/>
  <c r="AE1943" i="2"/>
  <c r="AD1943" i="2"/>
  <c r="AC1943" i="2"/>
  <c r="AA1943" i="2"/>
  <c r="Z1943" i="2"/>
  <c r="Y1943" i="2"/>
  <c r="X1943" i="2"/>
  <c r="W1943" i="2"/>
  <c r="V1943" i="2"/>
  <c r="U1943" i="2"/>
  <c r="T1943" i="2"/>
  <c r="S1943" i="2"/>
  <c r="R1943" i="2"/>
  <c r="Q1943" i="2"/>
  <c r="P1943" i="2"/>
  <c r="O1943" i="2"/>
  <c r="N1943" i="2"/>
  <c r="K1943" i="2"/>
  <c r="J1943" i="2"/>
  <c r="I1943" i="2"/>
  <c r="H1943" i="2"/>
  <c r="G1943" i="2"/>
  <c r="F1943" i="2"/>
  <c r="E1943" i="2"/>
  <c r="D1943" i="2"/>
  <c r="C1943" i="2"/>
  <c r="B1943" i="2"/>
  <c r="A1943" i="2"/>
  <c r="AX1942" i="2"/>
  <c r="AV1942" i="2"/>
  <c r="AU1942" i="2"/>
  <c r="AT1942" i="2"/>
  <c r="AR1942" i="2"/>
  <c r="AQ1942" i="2"/>
  <c r="AP1942" i="2"/>
  <c r="AO1942" i="2"/>
  <c r="AN1942" i="2"/>
  <c r="AM1942" i="2"/>
  <c r="AL1942" i="2"/>
  <c r="AK1942" i="2"/>
  <c r="AJ1942" i="2"/>
  <c r="AI1942" i="2"/>
  <c r="AH1942" i="2"/>
  <c r="AG1942" i="2"/>
  <c r="AE1942" i="2"/>
  <c r="AD1942" i="2"/>
  <c r="AC1942" i="2"/>
  <c r="AA1942" i="2"/>
  <c r="Z1942" i="2"/>
  <c r="Y1942" i="2"/>
  <c r="X1942" i="2"/>
  <c r="W1942" i="2"/>
  <c r="V1942" i="2"/>
  <c r="U1942" i="2"/>
  <c r="T1942" i="2"/>
  <c r="S1942" i="2"/>
  <c r="R1942" i="2"/>
  <c r="Q1942" i="2"/>
  <c r="P1942" i="2"/>
  <c r="O1942" i="2"/>
  <c r="N1942" i="2"/>
  <c r="M1942" i="2"/>
  <c r="L1942" i="2"/>
  <c r="K1942" i="2"/>
  <c r="J1942" i="2"/>
  <c r="I1942" i="2"/>
  <c r="H1942" i="2"/>
  <c r="G1942" i="2"/>
  <c r="F1942" i="2"/>
  <c r="E1942" i="2"/>
  <c r="D1942" i="2"/>
  <c r="C1942" i="2"/>
  <c r="B1942" i="2"/>
  <c r="A1942" i="2"/>
  <c r="AX1941" i="2"/>
  <c r="AV1941" i="2"/>
  <c r="AU1941" i="2"/>
  <c r="AT1941" i="2"/>
  <c r="AR1941" i="2"/>
  <c r="AQ1941" i="2"/>
  <c r="AO1941" i="2"/>
  <c r="AL1941" i="2"/>
  <c r="AK1941" i="2"/>
  <c r="AJ1941" i="2"/>
  <c r="AI1941" i="2"/>
  <c r="AH1941" i="2"/>
  <c r="AG1941" i="2"/>
  <c r="AF1941" i="2"/>
  <c r="AE1941" i="2"/>
  <c r="AD1941" i="2"/>
  <c r="AC1941" i="2"/>
  <c r="AA1941" i="2"/>
  <c r="Z1941" i="2"/>
  <c r="Y1941" i="2"/>
  <c r="W1941" i="2"/>
  <c r="V1941" i="2"/>
  <c r="U1941" i="2"/>
  <c r="T1941" i="2"/>
  <c r="S1941" i="2"/>
  <c r="R1941" i="2"/>
  <c r="Q1941" i="2"/>
  <c r="P1941" i="2"/>
  <c r="O1941" i="2"/>
  <c r="N1941" i="2"/>
  <c r="M1941" i="2"/>
  <c r="L1941" i="2"/>
  <c r="K1941" i="2"/>
  <c r="J1941" i="2"/>
  <c r="I1941" i="2"/>
  <c r="H1941" i="2"/>
  <c r="G1941" i="2"/>
  <c r="F1941" i="2"/>
  <c r="E1941" i="2"/>
  <c r="D1941" i="2"/>
  <c r="C1941" i="2"/>
  <c r="B1941" i="2"/>
  <c r="A1941" i="2"/>
  <c r="AX1940" i="2"/>
  <c r="AV1940" i="2"/>
  <c r="AU1940" i="2"/>
  <c r="AT1940" i="2"/>
  <c r="AS1940" i="2"/>
  <c r="AR1940" i="2"/>
  <c r="AQ1940" i="2"/>
  <c r="AO1940" i="2"/>
  <c r="AL1940" i="2"/>
  <c r="AK1940" i="2"/>
  <c r="AJ1940" i="2"/>
  <c r="AI1940" i="2"/>
  <c r="AH1940" i="2"/>
  <c r="AG1940" i="2"/>
  <c r="AF1940" i="2"/>
  <c r="AE1940" i="2"/>
  <c r="AD1940" i="2"/>
  <c r="AC1940" i="2"/>
  <c r="AA1940" i="2"/>
  <c r="Z1940" i="2"/>
  <c r="Y1940" i="2"/>
  <c r="V1940" i="2"/>
  <c r="U1940" i="2"/>
  <c r="T1940" i="2"/>
  <c r="S1940" i="2"/>
  <c r="R1940" i="2"/>
  <c r="Q1940" i="2"/>
  <c r="P1940" i="2"/>
  <c r="O1940" i="2"/>
  <c r="N1940" i="2"/>
  <c r="M1940" i="2"/>
  <c r="L1940" i="2"/>
  <c r="K1940" i="2"/>
  <c r="J1940" i="2"/>
  <c r="I1940" i="2"/>
  <c r="H1940" i="2"/>
  <c r="G1940" i="2"/>
  <c r="F1940" i="2"/>
  <c r="E1940" i="2"/>
  <c r="D1940" i="2"/>
  <c r="C1940" i="2"/>
  <c r="B1940" i="2"/>
  <c r="A1940" i="2"/>
  <c r="AX1939" i="2"/>
  <c r="AV1939" i="2"/>
  <c r="AU1939" i="2"/>
  <c r="AR1939" i="2"/>
  <c r="AQ1939" i="2"/>
  <c r="AI1939" i="2"/>
  <c r="AH1939" i="2"/>
  <c r="AG1939" i="2"/>
  <c r="AC1939" i="2"/>
  <c r="AA1939" i="2"/>
  <c r="Z1939" i="2"/>
  <c r="Y1939" i="2"/>
  <c r="X1939" i="2"/>
  <c r="W1939" i="2"/>
  <c r="V1939" i="2"/>
  <c r="U1939" i="2"/>
  <c r="T1939" i="2"/>
  <c r="S1939" i="2"/>
  <c r="R1939" i="2"/>
  <c r="Q1939" i="2"/>
  <c r="P1939" i="2"/>
  <c r="O1939" i="2"/>
  <c r="N1939" i="2"/>
  <c r="K1939" i="2"/>
  <c r="J1939" i="2"/>
  <c r="I1939" i="2"/>
  <c r="H1939" i="2"/>
  <c r="G1939" i="2"/>
  <c r="F1939" i="2"/>
  <c r="E1939" i="2"/>
  <c r="D1939" i="2"/>
  <c r="C1939" i="2"/>
  <c r="B1939" i="2"/>
  <c r="A1939" i="2"/>
  <c r="AX1938" i="2"/>
  <c r="AV1938" i="2"/>
  <c r="AU1938" i="2"/>
  <c r="AT1938" i="2"/>
  <c r="AS1938" i="2"/>
  <c r="AR1938" i="2"/>
  <c r="AQ1938" i="2"/>
  <c r="AP1938" i="2"/>
  <c r="AO1938" i="2"/>
  <c r="AL1938" i="2"/>
  <c r="AK1938" i="2"/>
  <c r="AJ1938" i="2"/>
  <c r="AI1938" i="2"/>
  <c r="AH1938" i="2"/>
  <c r="AG1938" i="2"/>
  <c r="AE1938" i="2"/>
  <c r="AD1938" i="2"/>
  <c r="AC1938" i="2"/>
  <c r="AA1938" i="2"/>
  <c r="Z1938" i="2"/>
  <c r="Y1938" i="2"/>
  <c r="X1938" i="2"/>
  <c r="W1938" i="2"/>
  <c r="V1938" i="2"/>
  <c r="U1938" i="2"/>
  <c r="T1938" i="2"/>
  <c r="S1938" i="2"/>
  <c r="R1938" i="2"/>
  <c r="Q1938" i="2"/>
  <c r="P1938" i="2"/>
  <c r="O1938" i="2"/>
  <c r="N1938" i="2"/>
  <c r="M1938" i="2"/>
  <c r="L1938" i="2"/>
  <c r="K1938" i="2"/>
  <c r="J1938" i="2"/>
  <c r="I1938" i="2"/>
  <c r="H1938" i="2"/>
  <c r="G1938" i="2"/>
  <c r="F1938" i="2"/>
  <c r="E1938" i="2"/>
  <c r="D1938" i="2"/>
  <c r="C1938" i="2"/>
  <c r="B1938" i="2"/>
  <c r="A1938" i="2"/>
  <c r="AX1937" i="2"/>
  <c r="AV1937" i="2"/>
  <c r="AU1937" i="2"/>
  <c r="AR1937" i="2"/>
  <c r="AQ1937" i="2"/>
  <c r="AO1937" i="2"/>
  <c r="AM1937" i="2"/>
  <c r="AK1937" i="2"/>
  <c r="AJ1937" i="2"/>
  <c r="AI1937" i="2"/>
  <c r="AH1937" i="2"/>
  <c r="AG1937" i="2"/>
  <c r="AD1937" i="2"/>
  <c r="AC1937" i="2"/>
  <c r="AA1937" i="2"/>
  <c r="Z1937" i="2"/>
  <c r="Y1937" i="2"/>
  <c r="X1937" i="2"/>
  <c r="W1937" i="2"/>
  <c r="V1937" i="2"/>
  <c r="U1937" i="2"/>
  <c r="T1937" i="2"/>
  <c r="S1937" i="2"/>
  <c r="R1937" i="2"/>
  <c r="Q1937" i="2"/>
  <c r="P1937" i="2"/>
  <c r="O1937" i="2"/>
  <c r="N1937" i="2"/>
  <c r="K1937" i="2"/>
  <c r="J1937" i="2"/>
  <c r="I1937" i="2"/>
  <c r="H1937" i="2"/>
  <c r="G1937" i="2"/>
  <c r="F1937" i="2"/>
  <c r="E1937" i="2"/>
  <c r="D1937" i="2"/>
  <c r="C1937" i="2"/>
  <c r="B1937" i="2"/>
  <c r="A1937" i="2"/>
  <c r="AX1936" i="2"/>
  <c r="AV1936" i="2"/>
  <c r="AU1936" i="2"/>
  <c r="AT1936" i="2"/>
  <c r="AR1936" i="2"/>
  <c r="AQ1936" i="2"/>
  <c r="AO1936" i="2"/>
  <c r="AM1936" i="2"/>
  <c r="AL1936" i="2"/>
  <c r="AK1936" i="2"/>
  <c r="AJ1936" i="2"/>
  <c r="AI1936" i="2"/>
  <c r="AH1936" i="2"/>
  <c r="AG1936" i="2"/>
  <c r="AE1936" i="2"/>
  <c r="AD1936" i="2"/>
  <c r="AC1936" i="2"/>
  <c r="AA1936" i="2"/>
  <c r="Z1936" i="2"/>
  <c r="Y1936" i="2"/>
  <c r="V1936" i="2"/>
  <c r="U1936" i="2"/>
  <c r="T1936" i="2"/>
  <c r="S1936" i="2"/>
  <c r="R1936" i="2"/>
  <c r="Q1936" i="2"/>
  <c r="P1936" i="2"/>
  <c r="O1936" i="2"/>
  <c r="N1936" i="2"/>
  <c r="M1936" i="2"/>
  <c r="L1936" i="2"/>
  <c r="K1936" i="2"/>
  <c r="J1936" i="2"/>
  <c r="I1936" i="2"/>
  <c r="H1936" i="2"/>
  <c r="G1936" i="2"/>
  <c r="F1936" i="2"/>
  <c r="E1936" i="2"/>
  <c r="D1936" i="2"/>
  <c r="C1936" i="2"/>
  <c r="B1936" i="2"/>
  <c r="A1936" i="2"/>
  <c r="AX1935" i="2"/>
  <c r="AV1935" i="2"/>
  <c r="AU1935" i="2"/>
  <c r="AT1935" i="2"/>
  <c r="AR1935" i="2"/>
  <c r="AQ1935" i="2"/>
  <c r="AP1935" i="2"/>
  <c r="AO1935" i="2"/>
  <c r="AM1935" i="2"/>
  <c r="AL1935" i="2"/>
  <c r="AK1935" i="2"/>
  <c r="AI1935" i="2"/>
  <c r="AH1935" i="2"/>
  <c r="AG1935" i="2"/>
  <c r="AE1935" i="2"/>
  <c r="AD1935" i="2"/>
  <c r="AC1935" i="2"/>
  <c r="AA1935" i="2"/>
  <c r="Z1935" i="2"/>
  <c r="Y1935" i="2"/>
  <c r="X1935" i="2"/>
  <c r="V1935" i="2"/>
  <c r="U1935" i="2"/>
  <c r="T1935" i="2"/>
  <c r="S1935" i="2"/>
  <c r="R1935" i="2"/>
  <c r="Q1935" i="2"/>
  <c r="P1935" i="2"/>
  <c r="O1935" i="2"/>
  <c r="N1935" i="2"/>
  <c r="M1935" i="2"/>
  <c r="L1935" i="2"/>
  <c r="K1935" i="2"/>
  <c r="J1935" i="2"/>
  <c r="I1935" i="2"/>
  <c r="H1935" i="2"/>
  <c r="G1935" i="2"/>
  <c r="F1935" i="2"/>
  <c r="E1935" i="2"/>
  <c r="D1935" i="2"/>
  <c r="C1935" i="2"/>
  <c r="B1935" i="2"/>
  <c r="A1935" i="2"/>
  <c r="AX1934" i="2"/>
  <c r="AV1934" i="2"/>
  <c r="AU1934" i="2"/>
  <c r="AR1934" i="2"/>
  <c r="AQ1934" i="2"/>
  <c r="AO1934" i="2"/>
  <c r="AM1934" i="2"/>
  <c r="AL1934" i="2"/>
  <c r="AK1934" i="2"/>
  <c r="AJ1934" i="2"/>
  <c r="AI1934" i="2"/>
  <c r="AH1934" i="2"/>
  <c r="AG1934" i="2"/>
  <c r="AF1934" i="2"/>
  <c r="AE1934" i="2"/>
  <c r="AD1934" i="2"/>
  <c r="AC1934" i="2"/>
  <c r="AA1934" i="2"/>
  <c r="Z1934" i="2"/>
  <c r="Y1934" i="2"/>
  <c r="X1934" i="2"/>
  <c r="V1934" i="2"/>
  <c r="U1934" i="2"/>
  <c r="T1934" i="2"/>
  <c r="S1934" i="2"/>
  <c r="R1934" i="2"/>
  <c r="Q1934" i="2"/>
  <c r="P1934" i="2"/>
  <c r="O1934" i="2"/>
  <c r="N1934" i="2"/>
  <c r="K1934" i="2"/>
  <c r="J1934" i="2"/>
  <c r="I1934" i="2"/>
  <c r="H1934" i="2"/>
  <c r="G1934" i="2"/>
  <c r="F1934" i="2"/>
  <c r="E1934" i="2"/>
  <c r="D1934" i="2"/>
  <c r="C1934" i="2"/>
  <c r="B1934" i="2"/>
  <c r="A1934" i="2"/>
  <c r="AX1933" i="2"/>
  <c r="AV1933" i="2"/>
  <c r="AU1933" i="2"/>
  <c r="AR1933" i="2"/>
  <c r="AQ1933" i="2"/>
  <c r="AM1933" i="2"/>
  <c r="AL1933" i="2"/>
  <c r="AK1933" i="2"/>
  <c r="AJ1933" i="2"/>
  <c r="AI1933" i="2"/>
  <c r="AH1933" i="2"/>
  <c r="AG1933" i="2"/>
  <c r="AF1933" i="2"/>
  <c r="AE1933" i="2"/>
  <c r="AC1933" i="2"/>
  <c r="AA1933" i="2"/>
  <c r="Z1933" i="2"/>
  <c r="Y1933" i="2"/>
  <c r="X1933" i="2"/>
  <c r="W1933" i="2"/>
  <c r="V1933" i="2"/>
  <c r="U1933" i="2"/>
  <c r="T1933" i="2"/>
  <c r="S1933" i="2"/>
  <c r="R1933" i="2"/>
  <c r="Q1933" i="2"/>
  <c r="P1933" i="2"/>
  <c r="O1933" i="2"/>
  <c r="N1933" i="2"/>
  <c r="K1933" i="2"/>
  <c r="J1933" i="2"/>
  <c r="I1933" i="2"/>
  <c r="H1933" i="2"/>
  <c r="G1933" i="2"/>
  <c r="F1933" i="2"/>
  <c r="E1933" i="2"/>
  <c r="D1933" i="2"/>
  <c r="C1933" i="2"/>
  <c r="B1933" i="2"/>
  <c r="A1933" i="2"/>
  <c r="AX1932" i="2"/>
  <c r="AV1932" i="2"/>
  <c r="AU1932" i="2"/>
  <c r="AT1932" i="2"/>
  <c r="AS1932" i="2"/>
  <c r="AR1932" i="2"/>
  <c r="AQ1932" i="2"/>
  <c r="AP1932" i="2"/>
  <c r="AO1932" i="2"/>
  <c r="AM1932" i="2"/>
  <c r="AJ1932" i="2"/>
  <c r="AI1932" i="2"/>
  <c r="AH1932" i="2"/>
  <c r="AG1932" i="2"/>
  <c r="AE1932" i="2"/>
  <c r="AD1932" i="2"/>
  <c r="AC1932" i="2"/>
  <c r="AA1932" i="2"/>
  <c r="Z1932" i="2"/>
  <c r="Y1932" i="2"/>
  <c r="X1932" i="2"/>
  <c r="W1932" i="2"/>
  <c r="V1932" i="2"/>
  <c r="U1932" i="2"/>
  <c r="T1932" i="2"/>
  <c r="S1932" i="2"/>
  <c r="R1932" i="2"/>
  <c r="Q1932" i="2"/>
  <c r="P1932" i="2"/>
  <c r="O1932" i="2"/>
  <c r="N1932" i="2"/>
  <c r="M1932" i="2"/>
  <c r="L1932" i="2"/>
  <c r="K1932" i="2"/>
  <c r="J1932" i="2"/>
  <c r="I1932" i="2"/>
  <c r="H1932" i="2"/>
  <c r="G1932" i="2"/>
  <c r="F1932" i="2"/>
  <c r="E1932" i="2"/>
  <c r="D1932" i="2"/>
  <c r="C1932" i="2"/>
  <c r="B1932" i="2"/>
  <c r="A1932" i="2"/>
  <c r="AX1931" i="2"/>
  <c r="AV1931" i="2"/>
  <c r="AU1931" i="2"/>
  <c r="AT1931" i="2"/>
  <c r="AS1931" i="2"/>
  <c r="AR1931" i="2"/>
  <c r="AQ1931" i="2"/>
  <c r="AP1931" i="2"/>
  <c r="AO1931" i="2"/>
  <c r="AM1931" i="2"/>
  <c r="AL1931" i="2"/>
  <c r="AK1931" i="2"/>
  <c r="AJ1931" i="2"/>
  <c r="AI1931" i="2"/>
  <c r="AH1931" i="2"/>
  <c r="AG1931" i="2"/>
  <c r="AF1931" i="2"/>
  <c r="AE1931" i="2"/>
  <c r="AD1931" i="2"/>
  <c r="AC1931" i="2"/>
  <c r="AA1931" i="2"/>
  <c r="Z1931" i="2"/>
  <c r="Y1931" i="2"/>
  <c r="X1931" i="2"/>
  <c r="W1931" i="2"/>
  <c r="V1931" i="2"/>
  <c r="U1931" i="2"/>
  <c r="T1931" i="2"/>
  <c r="S1931" i="2"/>
  <c r="R1931" i="2"/>
  <c r="Q1931" i="2"/>
  <c r="P1931" i="2"/>
  <c r="O1931" i="2"/>
  <c r="N1931" i="2"/>
  <c r="M1931" i="2"/>
  <c r="L1931" i="2"/>
  <c r="K1931" i="2"/>
  <c r="J1931" i="2"/>
  <c r="I1931" i="2"/>
  <c r="H1931" i="2"/>
  <c r="G1931" i="2"/>
  <c r="F1931" i="2"/>
  <c r="E1931" i="2"/>
  <c r="D1931" i="2"/>
  <c r="C1931" i="2"/>
  <c r="B1931" i="2"/>
  <c r="A1931" i="2"/>
  <c r="AX1930" i="2"/>
  <c r="AV1930" i="2"/>
  <c r="AU1930" i="2"/>
  <c r="AR1930" i="2"/>
  <c r="AQ1930" i="2"/>
  <c r="AO1930" i="2"/>
  <c r="AM1930" i="2"/>
  <c r="AL1930" i="2"/>
  <c r="AK1930" i="2"/>
  <c r="AJ1930" i="2"/>
  <c r="AI1930" i="2"/>
  <c r="AH1930" i="2"/>
  <c r="AG1930" i="2"/>
  <c r="AD1930" i="2"/>
  <c r="AC1930" i="2"/>
  <c r="AA1930" i="2"/>
  <c r="Z1930" i="2"/>
  <c r="Y1930" i="2"/>
  <c r="X1930" i="2"/>
  <c r="W1930" i="2"/>
  <c r="V1930" i="2"/>
  <c r="U1930" i="2"/>
  <c r="T1930" i="2"/>
  <c r="S1930" i="2"/>
  <c r="R1930" i="2"/>
  <c r="Q1930" i="2"/>
  <c r="P1930" i="2"/>
  <c r="O1930" i="2"/>
  <c r="N1930" i="2"/>
  <c r="K1930" i="2"/>
  <c r="J1930" i="2"/>
  <c r="I1930" i="2"/>
  <c r="H1930" i="2"/>
  <c r="G1930" i="2"/>
  <c r="F1930" i="2"/>
  <c r="E1930" i="2"/>
  <c r="D1930" i="2"/>
  <c r="C1930" i="2"/>
  <c r="B1930" i="2"/>
  <c r="A1930" i="2"/>
  <c r="AX1929" i="2"/>
  <c r="AV1929" i="2"/>
  <c r="AU1929" i="2"/>
  <c r="AT1929" i="2"/>
  <c r="AR1929" i="2"/>
  <c r="AQ1929" i="2"/>
  <c r="AO1929" i="2"/>
  <c r="AM1929" i="2"/>
  <c r="AL1929" i="2"/>
  <c r="AK1929" i="2"/>
  <c r="AJ1929" i="2"/>
  <c r="AI1929" i="2"/>
  <c r="AH1929" i="2"/>
  <c r="AG1929" i="2"/>
  <c r="AF1929" i="2"/>
  <c r="AE1929" i="2"/>
  <c r="AD1929" i="2"/>
  <c r="AC1929" i="2"/>
  <c r="AA1929" i="2"/>
  <c r="Z1929" i="2"/>
  <c r="Y1929" i="2"/>
  <c r="X1929" i="2"/>
  <c r="W1929" i="2"/>
  <c r="V1929" i="2"/>
  <c r="U1929" i="2"/>
  <c r="T1929" i="2"/>
  <c r="S1929" i="2"/>
  <c r="R1929" i="2"/>
  <c r="Q1929" i="2"/>
  <c r="P1929" i="2"/>
  <c r="O1929" i="2"/>
  <c r="N1929" i="2"/>
  <c r="M1929" i="2"/>
  <c r="L1929" i="2"/>
  <c r="K1929" i="2"/>
  <c r="J1929" i="2"/>
  <c r="I1929" i="2"/>
  <c r="H1929" i="2"/>
  <c r="G1929" i="2"/>
  <c r="F1929" i="2"/>
  <c r="E1929" i="2"/>
  <c r="D1929" i="2"/>
  <c r="C1929" i="2"/>
  <c r="B1929" i="2"/>
  <c r="A1929" i="2"/>
  <c r="AX1928" i="2"/>
  <c r="AV1928" i="2"/>
  <c r="AU1928" i="2"/>
  <c r="AR1928" i="2"/>
  <c r="AQ1928" i="2"/>
  <c r="AO1928" i="2"/>
  <c r="AM1928" i="2"/>
  <c r="AL1928" i="2"/>
  <c r="AK1928" i="2"/>
  <c r="AJ1928" i="2"/>
  <c r="AI1928" i="2"/>
  <c r="AH1928" i="2"/>
  <c r="AG1928" i="2"/>
  <c r="AC1928" i="2"/>
  <c r="AA1928" i="2"/>
  <c r="Z1928" i="2"/>
  <c r="Y1928" i="2"/>
  <c r="X1928" i="2"/>
  <c r="W1928" i="2"/>
  <c r="V1928" i="2"/>
  <c r="U1928" i="2"/>
  <c r="T1928" i="2"/>
  <c r="S1928" i="2"/>
  <c r="R1928" i="2"/>
  <c r="Q1928" i="2"/>
  <c r="P1928" i="2"/>
  <c r="O1928" i="2"/>
  <c r="N1928" i="2"/>
  <c r="K1928" i="2"/>
  <c r="J1928" i="2"/>
  <c r="I1928" i="2"/>
  <c r="H1928" i="2"/>
  <c r="G1928" i="2"/>
  <c r="F1928" i="2"/>
  <c r="E1928" i="2"/>
  <c r="D1928" i="2"/>
  <c r="C1928" i="2"/>
  <c r="B1928" i="2"/>
  <c r="A1928" i="2"/>
  <c r="AX1927" i="2"/>
  <c r="AV1927" i="2"/>
  <c r="AU1927" i="2"/>
  <c r="AT1927" i="2"/>
  <c r="AS1927" i="2"/>
  <c r="AR1927" i="2"/>
  <c r="AQ1927" i="2"/>
  <c r="AO1927" i="2"/>
  <c r="AM1927" i="2"/>
  <c r="AL1927" i="2"/>
  <c r="AI1927" i="2"/>
  <c r="AH1927" i="2"/>
  <c r="AG1927" i="2"/>
  <c r="AE1927" i="2"/>
  <c r="AD1927" i="2"/>
  <c r="AC1927" i="2"/>
  <c r="AA1927" i="2"/>
  <c r="Z1927" i="2"/>
  <c r="Y1927" i="2"/>
  <c r="X1927" i="2"/>
  <c r="W1927" i="2"/>
  <c r="V1927" i="2"/>
  <c r="U1927" i="2"/>
  <c r="T1927" i="2"/>
  <c r="S1927" i="2"/>
  <c r="R1927" i="2"/>
  <c r="Q1927" i="2"/>
  <c r="P1927" i="2"/>
  <c r="O1927" i="2"/>
  <c r="N1927" i="2"/>
  <c r="K1927" i="2"/>
  <c r="J1927" i="2"/>
  <c r="I1927" i="2"/>
  <c r="H1927" i="2"/>
  <c r="G1927" i="2"/>
  <c r="F1927" i="2"/>
  <c r="E1927" i="2"/>
  <c r="D1927" i="2"/>
  <c r="C1927" i="2"/>
  <c r="B1927" i="2"/>
  <c r="A1927" i="2"/>
  <c r="AX1926" i="2"/>
  <c r="AV1926" i="2"/>
  <c r="AU1926" i="2"/>
  <c r="AS1926" i="2"/>
  <c r="AR1926" i="2"/>
  <c r="AQ1926" i="2"/>
  <c r="AO1926" i="2"/>
  <c r="AM1926" i="2"/>
  <c r="AL1926" i="2"/>
  <c r="AK1926" i="2"/>
  <c r="AJ1926" i="2"/>
  <c r="AI1926" i="2"/>
  <c r="AH1926" i="2"/>
  <c r="AG1926" i="2"/>
  <c r="AE1926" i="2"/>
  <c r="AD1926" i="2"/>
  <c r="AC1926" i="2"/>
  <c r="AA1926" i="2"/>
  <c r="Z1926" i="2"/>
  <c r="Y1926" i="2"/>
  <c r="X1926" i="2"/>
  <c r="W1926" i="2"/>
  <c r="V1926" i="2"/>
  <c r="U1926" i="2"/>
  <c r="T1926" i="2"/>
  <c r="S1926" i="2"/>
  <c r="R1926" i="2"/>
  <c r="Q1926" i="2"/>
  <c r="P1926" i="2"/>
  <c r="O1926" i="2"/>
  <c r="N1926" i="2"/>
  <c r="K1926" i="2"/>
  <c r="J1926" i="2"/>
  <c r="I1926" i="2"/>
  <c r="H1926" i="2"/>
  <c r="G1926" i="2"/>
  <c r="F1926" i="2"/>
  <c r="E1926" i="2"/>
  <c r="D1926" i="2"/>
  <c r="C1926" i="2"/>
  <c r="B1926" i="2"/>
  <c r="A1926" i="2"/>
  <c r="AX1925" i="2"/>
  <c r="AV1925" i="2"/>
  <c r="AU1925" i="2"/>
  <c r="AT1925" i="2"/>
  <c r="AS1925" i="2"/>
  <c r="AR1925" i="2"/>
  <c r="AQ1925" i="2"/>
  <c r="AP1925" i="2"/>
  <c r="AO1925" i="2"/>
  <c r="AN1925" i="2"/>
  <c r="AM1925" i="2"/>
  <c r="AL1925" i="2"/>
  <c r="AK1925" i="2"/>
  <c r="AJ1925" i="2"/>
  <c r="AI1925" i="2"/>
  <c r="AH1925" i="2"/>
  <c r="AG1925" i="2"/>
  <c r="AE1925" i="2"/>
  <c r="AD1925" i="2"/>
  <c r="AC1925" i="2"/>
  <c r="AA1925" i="2"/>
  <c r="Z1925" i="2"/>
  <c r="Y1925" i="2"/>
  <c r="X1925" i="2"/>
  <c r="W1925" i="2"/>
  <c r="V1925" i="2"/>
  <c r="U1925" i="2"/>
  <c r="T1925" i="2"/>
  <c r="S1925" i="2"/>
  <c r="R1925" i="2"/>
  <c r="Q1925" i="2"/>
  <c r="P1925" i="2"/>
  <c r="O1925" i="2"/>
  <c r="N1925" i="2"/>
  <c r="M1925" i="2"/>
  <c r="L1925" i="2"/>
  <c r="K1925" i="2"/>
  <c r="J1925" i="2"/>
  <c r="I1925" i="2"/>
  <c r="H1925" i="2"/>
  <c r="G1925" i="2"/>
  <c r="F1925" i="2"/>
  <c r="E1925" i="2"/>
  <c r="D1925" i="2"/>
  <c r="C1925" i="2"/>
  <c r="B1925" i="2"/>
  <c r="A1925" i="2"/>
  <c r="AX1924" i="2"/>
  <c r="AV1924" i="2"/>
  <c r="AU1924" i="2"/>
  <c r="AT1924" i="2"/>
  <c r="AS1924" i="2"/>
  <c r="AR1924" i="2"/>
  <c r="AQ1924" i="2"/>
  <c r="AP1924" i="2"/>
  <c r="AO1924" i="2"/>
  <c r="AM1924" i="2"/>
  <c r="AK1924" i="2"/>
  <c r="AJ1924" i="2"/>
  <c r="AI1924" i="2"/>
  <c r="AH1924" i="2"/>
  <c r="AG1924" i="2"/>
  <c r="AF1924" i="2"/>
  <c r="AE1924" i="2"/>
  <c r="AD1924" i="2"/>
  <c r="AC1924" i="2"/>
  <c r="AA1924" i="2"/>
  <c r="Z1924" i="2"/>
  <c r="Y1924" i="2"/>
  <c r="X1924" i="2"/>
  <c r="W1924" i="2"/>
  <c r="V1924" i="2"/>
  <c r="U1924" i="2"/>
  <c r="T1924" i="2"/>
  <c r="S1924" i="2"/>
  <c r="R1924" i="2"/>
  <c r="Q1924" i="2"/>
  <c r="P1924" i="2"/>
  <c r="O1924" i="2"/>
  <c r="N1924" i="2"/>
  <c r="K1924" i="2"/>
  <c r="J1924" i="2"/>
  <c r="I1924" i="2"/>
  <c r="H1924" i="2"/>
  <c r="G1924" i="2"/>
  <c r="F1924" i="2"/>
  <c r="E1924" i="2"/>
  <c r="D1924" i="2"/>
  <c r="C1924" i="2"/>
  <c r="B1924" i="2"/>
  <c r="A1924" i="2"/>
  <c r="AX1923" i="2"/>
  <c r="AV1923" i="2"/>
  <c r="AU1923" i="2"/>
  <c r="AR1923" i="2"/>
  <c r="AQ1923" i="2"/>
  <c r="AO1923" i="2"/>
  <c r="AM1923" i="2"/>
  <c r="AI1923" i="2"/>
  <c r="AH1923" i="2"/>
  <c r="AG1923" i="2"/>
  <c r="AC1923" i="2"/>
  <c r="AA1923" i="2"/>
  <c r="Z1923" i="2"/>
  <c r="Y1923" i="2"/>
  <c r="W1923" i="2"/>
  <c r="V1923" i="2"/>
  <c r="U1923" i="2"/>
  <c r="T1923" i="2"/>
  <c r="S1923" i="2"/>
  <c r="R1923" i="2"/>
  <c r="Q1923" i="2"/>
  <c r="P1923" i="2"/>
  <c r="O1923" i="2"/>
  <c r="N1923" i="2"/>
  <c r="K1923" i="2"/>
  <c r="J1923" i="2"/>
  <c r="I1923" i="2"/>
  <c r="H1923" i="2"/>
  <c r="G1923" i="2"/>
  <c r="F1923" i="2"/>
  <c r="E1923" i="2"/>
  <c r="D1923" i="2"/>
  <c r="C1923" i="2"/>
  <c r="B1923" i="2"/>
  <c r="A1923" i="2"/>
  <c r="AX1922" i="2"/>
  <c r="AV1922" i="2"/>
  <c r="AU1922" i="2"/>
  <c r="AS1922" i="2"/>
  <c r="AR1922" i="2"/>
  <c r="AQ1922" i="2"/>
  <c r="AM1922" i="2"/>
  <c r="AI1922" i="2"/>
  <c r="AH1922" i="2"/>
  <c r="AG1922" i="2"/>
  <c r="AE1922" i="2"/>
  <c r="AD1922" i="2"/>
  <c r="AC1922" i="2"/>
  <c r="AA1922" i="2"/>
  <c r="Z1922" i="2"/>
  <c r="Y1922" i="2"/>
  <c r="X1922" i="2"/>
  <c r="W1922" i="2"/>
  <c r="V1922" i="2"/>
  <c r="U1922" i="2"/>
  <c r="T1922" i="2"/>
  <c r="S1922" i="2"/>
  <c r="R1922" i="2"/>
  <c r="Q1922" i="2"/>
  <c r="P1922" i="2"/>
  <c r="O1922" i="2"/>
  <c r="N1922" i="2"/>
  <c r="K1922" i="2"/>
  <c r="J1922" i="2"/>
  <c r="I1922" i="2"/>
  <c r="H1922" i="2"/>
  <c r="G1922" i="2"/>
  <c r="F1922" i="2"/>
  <c r="E1922" i="2"/>
  <c r="D1922" i="2"/>
  <c r="C1922" i="2"/>
  <c r="B1922" i="2"/>
  <c r="A1922" i="2"/>
  <c r="AX1921" i="2"/>
  <c r="AV1921" i="2"/>
  <c r="AU1921" i="2"/>
  <c r="AT1921" i="2"/>
  <c r="AS1921" i="2"/>
  <c r="AR1921" i="2"/>
  <c r="AQ1921" i="2"/>
  <c r="AP1921" i="2"/>
  <c r="AO1921" i="2"/>
  <c r="AM1921" i="2"/>
  <c r="AL1921" i="2"/>
  <c r="AI1921" i="2"/>
  <c r="AH1921" i="2"/>
  <c r="AG1921" i="2"/>
  <c r="AE1921" i="2"/>
  <c r="AD1921" i="2"/>
  <c r="AC1921" i="2"/>
  <c r="AA1921" i="2"/>
  <c r="Z1921" i="2"/>
  <c r="Y1921" i="2"/>
  <c r="X1921" i="2"/>
  <c r="W1921" i="2"/>
  <c r="V1921" i="2"/>
  <c r="U1921" i="2"/>
  <c r="T1921" i="2"/>
  <c r="S1921" i="2"/>
  <c r="R1921" i="2"/>
  <c r="Q1921" i="2"/>
  <c r="P1921" i="2"/>
  <c r="O1921" i="2"/>
  <c r="N1921" i="2"/>
  <c r="K1921" i="2"/>
  <c r="J1921" i="2"/>
  <c r="I1921" i="2"/>
  <c r="H1921" i="2"/>
  <c r="G1921" i="2"/>
  <c r="F1921" i="2"/>
  <c r="E1921" i="2"/>
  <c r="D1921" i="2"/>
  <c r="C1921" i="2"/>
  <c r="B1921" i="2"/>
  <c r="A1921" i="2"/>
  <c r="AX1920" i="2"/>
  <c r="AV1920" i="2"/>
  <c r="AU1920" i="2"/>
  <c r="AT1920" i="2"/>
  <c r="AS1920" i="2"/>
  <c r="AR1920" i="2"/>
  <c r="AQ1920" i="2"/>
  <c r="AP1920" i="2"/>
  <c r="AO1920" i="2"/>
  <c r="AM1920" i="2"/>
  <c r="AL1920" i="2"/>
  <c r="AK1920" i="2"/>
  <c r="AJ1920" i="2"/>
  <c r="AI1920" i="2"/>
  <c r="AH1920" i="2"/>
  <c r="AG1920" i="2"/>
  <c r="AF1920" i="2"/>
  <c r="AE1920" i="2"/>
  <c r="AD1920" i="2"/>
  <c r="AC1920" i="2"/>
  <c r="AA1920" i="2"/>
  <c r="Z1920" i="2"/>
  <c r="Y1920" i="2"/>
  <c r="X1920" i="2"/>
  <c r="W1920" i="2"/>
  <c r="V1920" i="2"/>
  <c r="U1920" i="2"/>
  <c r="T1920" i="2"/>
  <c r="S1920" i="2"/>
  <c r="Q1920" i="2"/>
  <c r="P1920" i="2"/>
  <c r="O1920" i="2"/>
  <c r="N1920" i="2"/>
  <c r="M1920" i="2"/>
  <c r="L1920" i="2"/>
  <c r="K1920" i="2"/>
  <c r="J1920" i="2"/>
  <c r="I1920" i="2"/>
  <c r="H1920" i="2"/>
  <c r="G1920" i="2"/>
  <c r="F1920" i="2"/>
  <c r="E1920" i="2"/>
  <c r="D1920" i="2"/>
  <c r="C1920" i="2"/>
  <c r="B1920" i="2"/>
  <c r="A1920" i="2"/>
  <c r="AX1919" i="2"/>
  <c r="AV1919" i="2"/>
  <c r="AU1919" i="2"/>
  <c r="AS1919" i="2"/>
  <c r="AR1919" i="2"/>
  <c r="AQ1919" i="2"/>
  <c r="AO1919" i="2"/>
  <c r="AM1919" i="2"/>
  <c r="AL1919" i="2"/>
  <c r="AI1919" i="2"/>
  <c r="AH1919" i="2"/>
  <c r="AG1919" i="2"/>
  <c r="AE1919" i="2"/>
  <c r="AD1919" i="2"/>
  <c r="AC1919" i="2"/>
  <c r="AA1919" i="2"/>
  <c r="Z1919" i="2"/>
  <c r="Y1919" i="2"/>
  <c r="X1919" i="2"/>
  <c r="W1919" i="2"/>
  <c r="V1919" i="2"/>
  <c r="U1919" i="2"/>
  <c r="T1919" i="2"/>
  <c r="S1919" i="2"/>
  <c r="R1919" i="2"/>
  <c r="Q1919" i="2"/>
  <c r="P1919" i="2"/>
  <c r="O1919" i="2"/>
  <c r="N1919" i="2"/>
  <c r="K1919" i="2"/>
  <c r="J1919" i="2"/>
  <c r="I1919" i="2"/>
  <c r="H1919" i="2"/>
  <c r="G1919" i="2"/>
  <c r="F1919" i="2"/>
  <c r="E1919" i="2"/>
  <c r="D1919" i="2"/>
  <c r="C1919" i="2"/>
  <c r="B1919" i="2"/>
  <c r="A1919" i="2"/>
  <c r="AX1918" i="2"/>
  <c r="AV1918" i="2"/>
  <c r="AU1918" i="2"/>
  <c r="AS1918" i="2"/>
  <c r="AR1918" i="2"/>
  <c r="AO1918" i="2"/>
  <c r="AM1918" i="2"/>
  <c r="AK1918" i="2"/>
  <c r="AJ1918" i="2"/>
  <c r="AI1918" i="2"/>
  <c r="AH1918" i="2"/>
  <c r="AG1918" i="2"/>
  <c r="AE1918" i="2"/>
  <c r="AD1918" i="2"/>
  <c r="AC1918" i="2"/>
  <c r="AA1918" i="2"/>
  <c r="Z1918" i="2"/>
  <c r="Y1918" i="2"/>
  <c r="X1918" i="2"/>
  <c r="V1918" i="2"/>
  <c r="U1918" i="2"/>
  <c r="T1918" i="2"/>
  <c r="S1918" i="2"/>
  <c r="R1918" i="2"/>
  <c r="Q1918" i="2"/>
  <c r="P1918" i="2"/>
  <c r="O1918" i="2"/>
  <c r="N1918" i="2"/>
  <c r="M1918" i="2"/>
  <c r="L1918" i="2"/>
  <c r="K1918" i="2"/>
  <c r="J1918" i="2"/>
  <c r="I1918" i="2"/>
  <c r="H1918" i="2"/>
  <c r="G1918" i="2"/>
  <c r="F1918" i="2"/>
  <c r="E1918" i="2"/>
  <c r="D1918" i="2"/>
  <c r="C1918" i="2"/>
  <c r="B1918" i="2"/>
  <c r="A1918" i="2"/>
  <c r="AX1917" i="2"/>
  <c r="AV1917" i="2"/>
  <c r="AU1917" i="2"/>
  <c r="AR1917" i="2"/>
  <c r="AQ1917" i="2"/>
  <c r="AO1917" i="2"/>
  <c r="AM1917" i="2"/>
  <c r="AL1917" i="2"/>
  <c r="AI1917" i="2"/>
  <c r="AH1917" i="2"/>
  <c r="AG1917" i="2"/>
  <c r="AC1917" i="2"/>
  <c r="AA1917" i="2"/>
  <c r="Z1917" i="2"/>
  <c r="Y1917" i="2"/>
  <c r="X1917" i="2"/>
  <c r="W1917" i="2"/>
  <c r="V1917" i="2"/>
  <c r="U1917" i="2"/>
  <c r="T1917" i="2"/>
  <c r="S1917" i="2"/>
  <c r="R1917" i="2"/>
  <c r="Q1917" i="2"/>
  <c r="P1917" i="2"/>
  <c r="O1917" i="2"/>
  <c r="N1917" i="2"/>
  <c r="K1917" i="2"/>
  <c r="J1917" i="2"/>
  <c r="I1917" i="2"/>
  <c r="H1917" i="2"/>
  <c r="G1917" i="2"/>
  <c r="F1917" i="2"/>
  <c r="E1917" i="2"/>
  <c r="D1917" i="2"/>
  <c r="C1917" i="2"/>
  <c r="B1917" i="2"/>
  <c r="A1917" i="2"/>
  <c r="AX1916" i="2"/>
  <c r="AV1916" i="2"/>
  <c r="AU1916" i="2"/>
  <c r="AS1916" i="2"/>
  <c r="AR1916" i="2"/>
  <c r="AQ1916" i="2"/>
  <c r="AO1916" i="2"/>
  <c r="AM1916" i="2"/>
  <c r="AL1916" i="2"/>
  <c r="AJ1916" i="2"/>
  <c r="AI1916" i="2"/>
  <c r="AH1916" i="2"/>
  <c r="AG1916" i="2"/>
  <c r="AE1916" i="2"/>
  <c r="AD1916" i="2"/>
  <c r="AC1916" i="2"/>
  <c r="AA1916" i="2"/>
  <c r="Z1916" i="2"/>
  <c r="Y1916" i="2"/>
  <c r="X1916" i="2"/>
  <c r="W1916" i="2"/>
  <c r="V1916" i="2"/>
  <c r="U1916" i="2"/>
  <c r="T1916" i="2"/>
  <c r="S1916" i="2"/>
  <c r="R1916" i="2"/>
  <c r="Q1916" i="2"/>
  <c r="P1916" i="2"/>
  <c r="O1916" i="2"/>
  <c r="N1916" i="2"/>
  <c r="K1916" i="2"/>
  <c r="J1916" i="2"/>
  <c r="I1916" i="2"/>
  <c r="H1916" i="2"/>
  <c r="G1916" i="2"/>
  <c r="F1916" i="2"/>
  <c r="E1916" i="2"/>
  <c r="D1916" i="2"/>
  <c r="C1916" i="2"/>
  <c r="B1916" i="2"/>
  <c r="A1916" i="2"/>
  <c r="AX1915" i="2"/>
  <c r="AV1915" i="2"/>
  <c r="AU1915" i="2"/>
  <c r="AS1915" i="2"/>
  <c r="AR1915" i="2"/>
  <c r="AQ1915" i="2"/>
  <c r="AO1915" i="2"/>
  <c r="AN1915" i="2"/>
  <c r="AM1915" i="2"/>
  <c r="AL1915" i="2"/>
  <c r="AK1915" i="2"/>
  <c r="AJ1915" i="2"/>
  <c r="AI1915" i="2"/>
  <c r="AH1915" i="2"/>
  <c r="AG1915" i="2"/>
  <c r="AF1915" i="2"/>
  <c r="AE1915" i="2"/>
  <c r="AD1915" i="2"/>
  <c r="AC1915" i="2"/>
  <c r="AA1915" i="2"/>
  <c r="Z1915" i="2"/>
  <c r="Y1915" i="2"/>
  <c r="X1915" i="2"/>
  <c r="W1915" i="2"/>
  <c r="V1915" i="2"/>
  <c r="U1915" i="2"/>
  <c r="T1915" i="2"/>
  <c r="S1915" i="2"/>
  <c r="R1915" i="2"/>
  <c r="Q1915" i="2"/>
  <c r="P1915" i="2"/>
  <c r="O1915" i="2"/>
  <c r="N1915" i="2"/>
  <c r="M1915" i="2"/>
  <c r="K1915" i="2"/>
  <c r="J1915" i="2"/>
  <c r="I1915" i="2"/>
  <c r="H1915" i="2"/>
  <c r="G1915" i="2"/>
  <c r="F1915" i="2"/>
  <c r="E1915" i="2"/>
  <c r="D1915" i="2"/>
  <c r="C1915" i="2"/>
  <c r="B1915" i="2"/>
  <c r="A1915" i="2"/>
  <c r="AX1914" i="2"/>
  <c r="AV1914" i="2"/>
  <c r="AU1914" i="2"/>
  <c r="AR1914" i="2"/>
  <c r="AQ1914" i="2"/>
  <c r="AO1914" i="2"/>
  <c r="AM1914" i="2"/>
  <c r="AL1914" i="2"/>
  <c r="AK1914" i="2"/>
  <c r="AJ1914" i="2"/>
  <c r="AI1914" i="2"/>
  <c r="AH1914" i="2"/>
  <c r="AG1914" i="2"/>
  <c r="AF1914" i="2"/>
  <c r="AE1914" i="2"/>
  <c r="AD1914" i="2"/>
  <c r="AC1914" i="2"/>
  <c r="AA1914" i="2"/>
  <c r="Z1914" i="2"/>
  <c r="Y1914" i="2"/>
  <c r="X1914" i="2"/>
  <c r="W1914" i="2"/>
  <c r="V1914" i="2"/>
  <c r="U1914" i="2"/>
  <c r="T1914" i="2"/>
  <c r="S1914" i="2"/>
  <c r="R1914" i="2"/>
  <c r="Q1914" i="2"/>
  <c r="P1914" i="2"/>
  <c r="O1914" i="2"/>
  <c r="N1914" i="2"/>
  <c r="K1914" i="2"/>
  <c r="J1914" i="2"/>
  <c r="I1914" i="2"/>
  <c r="H1914" i="2"/>
  <c r="G1914" i="2"/>
  <c r="F1914" i="2"/>
  <c r="E1914" i="2"/>
  <c r="D1914" i="2"/>
  <c r="C1914" i="2"/>
  <c r="B1914" i="2"/>
  <c r="A1914" i="2"/>
  <c r="AX1913" i="2"/>
  <c r="AV1913" i="2"/>
  <c r="AU1913" i="2"/>
  <c r="AR1913" i="2"/>
  <c r="AQ1913" i="2"/>
  <c r="AO1913" i="2"/>
  <c r="AM1913" i="2"/>
  <c r="AL1913" i="2"/>
  <c r="AK1913" i="2"/>
  <c r="AJ1913" i="2"/>
  <c r="AI1913" i="2"/>
  <c r="AH1913" i="2"/>
  <c r="AG1913" i="2"/>
  <c r="AE1913" i="2"/>
  <c r="AC1913" i="2"/>
  <c r="AA1913" i="2"/>
  <c r="Z1913" i="2"/>
  <c r="Y1913" i="2"/>
  <c r="X1913" i="2"/>
  <c r="W1913" i="2"/>
  <c r="V1913" i="2"/>
  <c r="U1913" i="2"/>
  <c r="T1913" i="2"/>
  <c r="S1913" i="2"/>
  <c r="R1913" i="2"/>
  <c r="Q1913" i="2"/>
  <c r="P1913" i="2"/>
  <c r="O1913" i="2"/>
  <c r="N1913" i="2"/>
  <c r="K1913" i="2"/>
  <c r="J1913" i="2"/>
  <c r="I1913" i="2"/>
  <c r="H1913" i="2"/>
  <c r="G1913" i="2"/>
  <c r="F1913" i="2"/>
  <c r="E1913" i="2"/>
  <c r="D1913" i="2"/>
  <c r="C1913" i="2"/>
  <c r="B1913" i="2"/>
  <c r="A1913" i="2"/>
  <c r="AX1912" i="2"/>
  <c r="AV1912" i="2"/>
  <c r="AU1912" i="2"/>
  <c r="AS1912" i="2"/>
  <c r="AR1912" i="2"/>
  <c r="AQ1912" i="2"/>
  <c r="AO1912" i="2"/>
  <c r="AM1912" i="2"/>
  <c r="AL1912" i="2"/>
  <c r="AK1912" i="2"/>
  <c r="AJ1912" i="2"/>
  <c r="AI1912" i="2"/>
  <c r="AH1912" i="2"/>
  <c r="AG1912" i="2"/>
  <c r="AE1912" i="2"/>
  <c r="AD1912" i="2"/>
  <c r="AC1912" i="2"/>
  <c r="AA1912" i="2"/>
  <c r="Z1912" i="2"/>
  <c r="Y1912" i="2"/>
  <c r="X1912" i="2"/>
  <c r="W1912" i="2"/>
  <c r="V1912" i="2"/>
  <c r="U1912" i="2"/>
  <c r="T1912" i="2"/>
  <c r="S1912" i="2"/>
  <c r="R1912" i="2"/>
  <c r="Q1912" i="2"/>
  <c r="P1912" i="2"/>
  <c r="O1912" i="2"/>
  <c r="N1912" i="2"/>
  <c r="K1912" i="2"/>
  <c r="J1912" i="2"/>
  <c r="I1912" i="2"/>
  <c r="H1912" i="2"/>
  <c r="G1912" i="2"/>
  <c r="F1912" i="2"/>
  <c r="E1912" i="2"/>
  <c r="D1912" i="2"/>
  <c r="C1912" i="2"/>
  <c r="B1912" i="2"/>
  <c r="A1912" i="2"/>
  <c r="AX1911" i="2"/>
  <c r="AV1911" i="2"/>
  <c r="AU1911" i="2"/>
  <c r="AS1911" i="2"/>
  <c r="AR1911" i="2"/>
  <c r="AQ1911" i="2"/>
  <c r="AO1911" i="2"/>
  <c r="AM1911" i="2"/>
  <c r="AL1911" i="2"/>
  <c r="AK1911" i="2"/>
  <c r="AJ1911" i="2"/>
  <c r="AI1911" i="2"/>
  <c r="AH1911" i="2"/>
  <c r="AG1911" i="2"/>
  <c r="AD1911" i="2"/>
  <c r="AC1911" i="2"/>
  <c r="AA1911" i="2"/>
  <c r="Z1911" i="2"/>
  <c r="Y1911" i="2"/>
  <c r="X1911" i="2"/>
  <c r="W1911" i="2"/>
  <c r="V1911" i="2"/>
  <c r="U1911" i="2"/>
  <c r="T1911" i="2"/>
  <c r="S1911" i="2"/>
  <c r="R1911" i="2"/>
  <c r="Q1911" i="2"/>
  <c r="P1911" i="2"/>
  <c r="O1911" i="2"/>
  <c r="N1911" i="2"/>
  <c r="K1911" i="2"/>
  <c r="J1911" i="2"/>
  <c r="I1911" i="2"/>
  <c r="H1911" i="2"/>
  <c r="G1911" i="2"/>
  <c r="F1911" i="2"/>
  <c r="E1911" i="2"/>
  <c r="D1911" i="2"/>
  <c r="C1911" i="2"/>
  <c r="B1911" i="2"/>
  <c r="A1911" i="2"/>
  <c r="AX1910" i="2"/>
  <c r="AV1910" i="2"/>
  <c r="AU1910" i="2"/>
  <c r="AR1910" i="2"/>
  <c r="AQ1910" i="2"/>
  <c r="AO1910" i="2"/>
  <c r="AM1910" i="2"/>
  <c r="AL1910" i="2"/>
  <c r="AK1910" i="2"/>
  <c r="AJ1910" i="2"/>
  <c r="AI1910" i="2"/>
  <c r="AH1910" i="2"/>
  <c r="AG1910" i="2"/>
  <c r="AF1910" i="2"/>
  <c r="AE1910" i="2"/>
  <c r="AD1910" i="2"/>
  <c r="AC1910" i="2"/>
  <c r="AA1910" i="2"/>
  <c r="Z1910" i="2"/>
  <c r="Y1910" i="2"/>
  <c r="X1910" i="2"/>
  <c r="W1910" i="2"/>
  <c r="V1910" i="2"/>
  <c r="U1910" i="2"/>
  <c r="T1910" i="2"/>
  <c r="S1910" i="2"/>
  <c r="R1910" i="2"/>
  <c r="Q1910" i="2"/>
  <c r="P1910" i="2"/>
  <c r="O1910" i="2"/>
  <c r="N1910" i="2"/>
  <c r="K1910" i="2"/>
  <c r="J1910" i="2"/>
  <c r="I1910" i="2"/>
  <c r="H1910" i="2"/>
  <c r="G1910" i="2"/>
  <c r="F1910" i="2"/>
  <c r="E1910" i="2"/>
  <c r="D1910" i="2"/>
  <c r="C1910" i="2"/>
  <c r="B1910" i="2"/>
  <c r="A1910" i="2"/>
  <c r="AX1909" i="2"/>
  <c r="AV1909" i="2"/>
  <c r="AU1909" i="2"/>
  <c r="AS1909" i="2"/>
  <c r="AR1909" i="2"/>
  <c r="AQ1909" i="2"/>
  <c r="AO1909" i="2"/>
  <c r="AM1909" i="2"/>
  <c r="AL1909" i="2"/>
  <c r="AK1909" i="2"/>
  <c r="AJ1909" i="2"/>
  <c r="AI1909" i="2"/>
  <c r="AH1909" i="2"/>
  <c r="AG1909" i="2"/>
  <c r="AE1909" i="2"/>
  <c r="AD1909" i="2"/>
  <c r="AC1909" i="2"/>
  <c r="AA1909" i="2"/>
  <c r="Z1909" i="2"/>
  <c r="Y1909" i="2"/>
  <c r="X1909" i="2"/>
  <c r="W1909" i="2"/>
  <c r="V1909" i="2"/>
  <c r="U1909" i="2"/>
  <c r="T1909" i="2"/>
  <c r="S1909" i="2"/>
  <c r="R1909" i="2"/>
  <c r="Q1909" i="2"/>
  <c r="P1909" i="2"/>
  <c r="O1909" i="2"/>
  <c r="N1909" i="2"/>
  <c r="K1909" i="2"/>
  <c r="J1909" i="2"/>
  <c r="I1909" i="2"/>
  <c r="H1909" i="2"/>
  <c r="G1909" i="2"/>
  <c r="F1909" i="2"/>
  <c r="E1909" i="2"/>
  <c r="D1909" i="2"/>
  <c r="C1909" i="2"/>
  <c r="B1909" i="2"/>
  <c r="A1909" i="2"/>
  <c r="AX1908" i="2"/>
  <c r="AV1908" i="2"/>
  <c r="AU1908" i="2"/>
  <c r="AR1908" i="2"/>
  <c r="AQ1908" i="2"/>
  <c r="AO1908" i="2"/>
  <c r="AN1908" i="2"/>
  <c r="AM1908" i="2"/>
  <c r="AL1908" i="2"/>
  <c r="AK1908" i="2"/>
  <c r="AJ1908" i="2"/>
  <c r="AI1908" i="2"/>
  <c r="AH1908" i="2"/>
  <c r="AG1908" i="2"/>
  <c r="AE1908" i="2"/>
  <c r="AD1908" i="2"/>
  <c r="AC1908" i="2"/>
  <c r="AA1908" i="2"/>
  <c r="Z1908" i="2"/>
  <c r="Y1908" i="2"/>
  <c r="W1908" i="2"/>
  <c r="V1908" i="2"/>
  <c r="U1908" i="2"/>
  <c r="T1908" i="2"/>
  <c r="S1908" i="2"/>
  <c r="R1908" i="2"/>
  <c r="Q1908" i="2"/>
  <c r="P1908" i="2"/>
  <c r="O1908" i="2"/>
  <c r="N1908" i="2"/>
  <c r="K1908" i="2"/>
  <c r="J1908" i="2"/>
  <c r="I1908" i="2"/>
  <c r="H1908" i="2"/>
  <c r="G1908" i="2"/>
  <c r="F1908" i="2"/>
  <c r="E1908" i="2"/>
  <c r="D1908" i="2"/>
  <c r="C1908" i="2"/>
  <c r="B1908" i="2"/>
  <c r="A1908" i="2"/>
  <c r="AX1907" i="2"/>
  <c r="AV1907" i="2"/>
  <c r="AU1907" i="2"/>
  <c r="AT1907" i="2"/>
  <c r="AS1907" i="2"/>
  <c r="AR1907" i="2"/>
  <c r="AQ1907" i="2"/>
  <c r="AP1907" i="2"/>
  <c r="AO1907" i="2"/>
  <c r="AM1907" i="2"/>
  <c r="AL1907" i="2"/>
  <c r="AK1907" i="2"/>
  <c r="AJ1907" i="2"/>
  <c r="AI1907" i="2"/>
  <c r="AH1907" i="2"/>
  <c r="AG1907" i="2"/>
  <c r="AE1907" i="2"/>
  <c r="AD1907" i="2"/>
  <c r="AC1907" i="2"/>
  <c r="AA1907" i="2"/>
  <c r="Z1907" i="2"/>
  <c r="Y1907" i="2"/>
  <c r="X1907" i="2"/>
  <c r="W1907" i="2"/>
  <c r="V1907" i="2"/>
  <c r="U1907" i="2"/>
  <c r="T1907" i="2"/>
  <c r="S1907" i="2"/>
  <c r="R1907" i="2"/>
  <c r="Q1907" i="2"/>
  <c r="P1907" i="2"/>
  <c r="O1907" i="2"/>
  <c r="N1907" i="2"/>
  <c r="M1907" i="2"/>
  <c r="L1907" i="2"/>
  <c r="K1907" i="2"/>
  <c r="J1907" i="2"/>
  <c r="I1907" i="2"/>
  <c r="H1907" i="2"/>
  <c r="G1907" i="2"/>
  <c r="F1907" i="2"/>
  <c r="E1907" i="2"/>
  <c r="D1907" i="2"/>
  <c r="C1907" i="2"/>
  <c r="B1907" i="2"/>
  <c r="A1907" i="2"/>
  <c r="AX1906" i="2"/>
  <c r="AV1906" i="2"/>
  <c r="AU1906" i="2"/>
  <c r="AT1906" i="2"/>
  <c r="AR1906" i="2"/>
  <c r="AQ1906" i="2"/>
  <c r="AO1906" i="2"/>
  <c r="AM1906" i="2"/>
  <c r="AL1906" i="2"/>
  <c r="AK1906" i="2"/>
  <c r="AJ1906" i="2"/>
  <c r="AI1906" i="2"/>
  <c r="AH1906" i="2"/>
  <c r="AG1906" i="2"/>
  <c r="AE1906" i="2"/>
  <c r="AC1906" i="2"/>
  <c r="AA1906" i="2"/>
  <c r="Z1906" i="2"/>
  <c r="Y1906" i="2"/>
  <c r="X1906" i="2"/>
  <c r="W1906" i="2"/>
  <c r="V1906" i="2"/>
  <c r="U1906" i="2"/>
  <c r="T1906" i="2"/>
  <c r="S1906" i="2"/>
  <c r="R1906" i="2"/>
  <c r="Q1906" i="2"/>
  <c r="P1906" i="2"/>
  <c r="O1906" i="2"/>
  <c r="N1906" i="2"/>
  <c r="K1906" i="2"/>
  <c r="J1906" i="2"/>
  <c r="I1906" i="2"/>
  <c r="H1906" i="2"/>
  <c r="G1906" i="2"/>
  <c r="F1906" i="2"/>
  <c r="E1906" i="2"/>
  <c r="D1906" i="2"/>
  <c r="C1906" i="2"/>
  <c r="B1906" i="2"/>
  <c r="A1906" i="2"/>
  <c r="AX1905" i="2"/>
  <c r="AV1905" i="2"/>
  <c r="AU1905" i="2"/>
  <c r="AR1905" i="2"/>
  <c r="AQ1905" i="2"/>
  <c r="AO1905" i="2"/>
  <c r="AM1905" i="2"/>
  <c r="AK1905" i="2"/>
  <c r="AJ1905" i="2"/>
  <c r="AI1905" i="2"/>
  <c r="AH1905" i="2"/>
  <c r="AG1905" i="2"/>
  <c r="AD1905" i="2"/>
  <c r="AC1905" i="2"/>
  <c r="AA1905" i="2"/>
  <c r="Z1905" i="2"/>
  <c r="Y1905" i="2"/>
  <c r="X1905" i="2"/>
  <c r="W1905" i="2"/>
  <c r="V1905" i="2"/>
  <c r="U1905" i="2"/>
  <c r="T1905" i="2"/>
  <c r="S1905" i="2"/>
  <c r="R1905" i="2"/>
  <c r="Q1905" i="2"/>
  <c r="P1905" i="2"/>
  <c r="O1905" i="2"/>
  <c r="N1905" i="2"/>
  <c r="K1905" i="2"/>
  <c r="J1905" i="2"/>
  <c r="I1905" i="2"/>
  <c r="H1905" i="2"/>
  <c r="G1905" i="2"/>
  <c r="F1905" i="2"/>
  <c r="E1905" i="2"/>
  <c r="D1905" i="2"/>
  <c r="C1905" i="2"/>
  <c r="B1905" i="2"/>
  <c r="A1905" i="2"/>
  <c r="AX1904" i="2"/>
  <c r="AV1904" i="2"/>
  <c r="AU1904" i="2"/>
  <c r="AT1904" i="2"/>
  <c r="AS1904" i="2"/>
  <c r="AR1904" i="2"/>
  <c r="AQ1904" i="2"/>
  <c r="AO1904" i="2"/>
  <c r="AM1904" i="2"/>
  <c r="AL1904" i="2"/>
  <c r="AK1904" i="2"/>
  <c r="AJ1904" i="2"/>
  <c r="AI1904" i="2"/>
  <c r="AH1904" i="2"/>
  <c r="AG1904" i="2"/>
  <c r="AE1904" i="2"/>
  <c r="AD1904" i="2"/>
  <c r="AC1904" i="2"/>
  <c r="AA1904" i="2"/>
  <c r="Z1904" i="2"/>
  <c r="Y1904" i="2"/>
  <c r="X1904" i="2"/>
  <c r="W1904" i="2"/>
  <c r="V1904" i="2"/>
  <c r="U1904" i="2"/>
  <c r="T1904" i="2"/>
  <c r="S1904" i="2"/>
  <c r="R1904" i="2"/>
  <c r="Q1904" i="2"/>
  <c r="P1904" i="2"/>
  <c r="O1904" i="2"/>
  <c r="N1904" i="2"/>
  <c r="K1904" i="2"/>
  <c r="J1904" i="2"/>
  <c r="I1904" i="2"/>
  <c r="H1904" i="2"/>
  <c r="G1904" i="2"/>
  <c r="F1904" i="2"/>
  <c r="E1904" i="2"/>
  <c r="D1904" i="2"/>
  <c r="C1904" i="2"/>
  <c r="B1904" i="2"/>
  <c r="A1904" i="2"/>
  <c r="AX1903" i="2"/>
  <c r="AV1903" i="2"/>
  <c r="AU1903" i="2"/>
  <c r="AT1903" i="2"/>
  <c r="AS1903" i="2"/>
  <c r="AR1903" i="2"/>
  <c r="AQ1903" i="2"/>
  <c r="AP1903" i="2"/>
  <c r="AO1903" i="2"/>
  <c r="AN1903" i="2"/>
  <c r="AM1903" i="2"/>
  <c r="AL1903" i="2"/>
  <c r="AK1903" i="2"/>
  <c r="AJ1903" i="2"/>
  <c r="AI1903" i="2"/>
  <c r="AH1903" i="2"/>
  <c r="AG1903" i="2"/>
  <c r="AE1903" i="2"/>
  <c r="AD1903" i="2"/>
  <c r="AC1903" i="2"/>
  <c r="AA1903" i="2"/>
  <c r="Z1903" i="2"/>
  <c r="Y1903" i="2"/>
  <c r="X1903" i="2"/>
  <c r="W1903" i="2"/>
  <c r="V1903" i="2"/>
  <c r="U1903" i="2"/>
  <c r="T1903" i="2"/>
  <c r="S1903" i="2"/>
  <c r="R1903" i="2"/>
  <c r="Q1903" i="2"/>
  <c r="P1903" i="2"/>
  <c r="O1903" i="2"/>
  <c r="N1903" i="2"/>
  <c r="M1903" i="2"/>
  <c r="L1903" i="2"/>
  <c r="K1903" i="2"/>
  <c r="J1903" i="2"/>
  <c r="I1903" i="2"/>
  <c r="H1903" i="2"/>
  <c r="G1903" i="2"/>
  <c r="F1903" i="2"/>
  <c r="E1903" i="2"/>
  <c r="D1903" i="2"/>
  <c r="C1903" i="2"/>
  <c r="B1903" i="2"/>
  <c r="A1903" i="2"/>
  <c r="AX1902" i="2"/>
  <c r="AV1902" i="2"/>
  <c r="AU1902" i="2"/>
  <c r="AT1902" i="2"/>
  <c r="AR1902" i="2"/>
  <c r="AQ1902" i="2"/>
  <c r="AP1902" i="2"/>
  <c r="AO1902" i="2"/>
  <c r="AM1902" i="2"/>
  <c r="AL1902" i="2"/>
  <c r="AK1902" i="2"/>
  <c r="AJ1902" i="2"/>
  <c r="AI1902" i="2"/>
  <c r="AH1902" i="2"/>
  <c r="AG1902" i="2"/>
  <c r="AE1902" i="2"/>
  <c r="AD1902" i="2"/>
  <c r="AC1902" i="2"/>
  <c r="AA1902" i="2"/>
  <c r="Z1902" i="2"/>
  <c r="Y1902" i="2"/>
  <c r="X1902" i="2"/>
  <c r="W1902" i="2"/>
  <c r="V1902" i="2"/>
  <c r="U1902" i="2"/>
  <c r="T1902" i="2"/>
  <c r="S1902" i="2"/>
  <c r="R1902" i="2"/>
  <c r="Q1902" i="2"/>
  <c r="P1902" i="2"/>
  <c r="O1902" i="2"/>
  <c r="N1902" i="2"/>
  <c r="M1902" i="2"/>
  <c r="L1902" i="2"/>
  <c r="K1902" i="2"/>
  <c r="J1902" i="2"/>
  <c r="I1902" i="2"/>
  <c r="H1902" i="2"/>
  <c r="G1902" i="2"/>
  <c r="F1902" i="2"/>
  <c r="E1902" i="2"/>
  <c r="D1902" i="2"/>
  <c r="C1902" i="2"/>
  <c r="B1902" i="2"/>
  <c r="A1902" i="2"/>
  <c r="AX1901" i="2"/>
  <c r="AV1901" i="2"/>
  <c r="AU1901" i="2"/>
  <c r="AT1901" i="2"/>
  <c r="AR1901" i="2"/>
  <c r="AQ1901" i="2"/>
  <c r="AO1901" i="2"/>
  <c r="AM1901" i="2"/>
  <c r="AK1901" i="2"/>
  <c r="AJ1901" i="2"/>
  <c r="AI1901" i="2"/>
  <c r="AH1901" i="2"/>
  <c r="AG1901" i="2"/>
  <c r="AD1901" i="2"/>
  <c r="AC1901" i="2"/>
  <c r="AA1901" i="2"/>
  <c r="Z1901" i="2"/>
  <c r="Y1901" i="2"/>
  <c r="X1901" i="2"/>
  <c r="W1901" i="2"/>
  <c r="V1901" i="2"/>
  <c r="U1901" i="2"/>
  <c r="T1901" i="2"/>
  <c r="S1901" i="2"/>
  <c r="R1901" i="2"/>
  <c r="Q1901" i="2"/>
  <c r="P1901" i="2"/>
  <c r="O1901" i="2"/>
  <c r="N1901" i="2"/>
  <c r="K1901" i="2"/>
  <c r="J1901" i="2"/>
  <c r="I1901" i="2"/>
  <c r="H1901" i="2"/>
  <c r="G1901" i="2"/>
  <c r="F1901" i="2"/>
  <c r="E1901" i="2"/>
  <c r="D1901" i="2"/>
  <c r="C1901" i="2"/>
  <c r="B1901" i="2"/>
  <c r="A1901" i="2"/>
  <c r="AX1900" i="2"/>
  <c r="AV1900" i="2"/>
  <c r="AU1900" i="2"/>
  <c r="AT1900" i="2"/>
  <c r="AS1900" i="2"/>
  <c r="AR1900" i="2"/>
  <c r="AQ1900" i="2"/>
  <c r="AP1900" i="2"/>
  <c r="AO1900" i="2"/>
  <c r="AM1900" i="2"/>
  <c r="AL1900" i="2"/>
  <c r="AK1900" i="2"/>
  <c r="AJ1900" i="2"/>
  <c r="AI1900" i="2"/>
  <c r="AH1900" i="2"/>
  <c r="AG1900" i="2"/>
  <c r="AE1900" i="2"/>
  <c r="AD1900" i="2"/>
  <c r="AC1900" i="2"/>
  <c r="AA1900" i="2"/>
  <c r="Z1900" i="2"/>
  <c r="Y1900" i="2"/>
  <c r="U1900" i="2"/>
  <c r="T1900" i="2"/>
  <c r="S1900" i="2"/>
  <c r="R1900" i="2"/>
  <c r="Q1900" i="2"/>
  <c r="P1900" i="2"/>
  <c r="O1900" i="2"/>
  <c r="N1900" i="2"/>
  <c r="M1900" i="2"/>
  <c r="L1900" i="2"/>
  <c r="K1900" i="2"/>
  <c r="J1900" i="2"/>
  <c r="I1900" i="2"/>
  <c r="H1900" i="2"/>
  <c r="G1900" i="2"/>
  <c r="F1900" i="2"/>
  <c r="E1900" i="2"/>
  <c r="D1900" i="2"/>
  <c r="C1900" i="2"/>
  <c r="B1900" i="2"/>
  <c r="A1900" i="2"/>
  <c r="AX1899" i="2"/>
  <c r="AV1899" i="2"/>
  <c r="AU1899" i="2"/>
  <c r="AT1899" i="2"/>
  <c r="AS1899" i="2"/>
  <c r="AR1899" i="2"/>
  <c r="AP1899" i="2"/>
  <c r="AO1899" i="2"/>
  <c r="AN1899" i="2"/>
  <c r="AM1899" i="2"/>
  <c r="AL1899" i="2"/>
  <c r="AK1899" i="2"/>
  <c r="AI1899" i="2"/>
  <c r="AH1899" i="2"/>
  <c r="AG1899" i="2"/>
  <c r="AE1899" i="2"/>
  <c r="AD1899" i="2"/>
  <c r="AC1899" i="2"/>
  <c r="AB1899" i="2"/>
  <c r="AA1899" i="2"/>
  <c r="Z1899" i="2"/>
  <c r="Y1899" i="2"/>
  <c r="X1899" i="2"/>
  <c r="W1899" i="2"/>
  <c r="V1899" i="2"/>
  <c r="U1899" i="2"/>
  <c r="T1899" i="2"/>
  <c r="S1899" i="2"/>
  <c r="R1899" i="2"/>
  <c r="Q1899" i="2"/>
  <c r="P1899" i="2"/>
  <c r="O1899" i="2"/>
  <c r="N1899" i="2"/>
  <c r="M1899" i="2"/>
  <c r="L1899" i="2"/>
  <c r="K1899" i="2"/>
  <c r="J1899" i="2"/>
  <c r="I1899" i="2"/>
  <c r="H1899" i="2"/>
  <c r="G1899" i="2"/>
  <c r="F1899" i="2"/>
  <c r="E1899" i="2"/>
  <c r="D1899" i="2"/>
  <c r="C1899" i="2"/>
  <c r="B1899" i="2"/>
  <c r="A1899" i="2"/>
  <c r="AX1898" i="2"/>
  <c r="AV1898" i="2"/>
  <c r="AU1898" i="2"/>
  <c r="AT1898" i="2"/>
  <c r="AS1898" i="2"/>
  <c r="AR1898" i="2"/>
  <c r="AQ1898" i="2"/>
  <c r="AO1898" i="2"/>
  <c r="AM1898" i="2"/>
  <c r="AL1898" i="2"/>
  <c r="AK1898" i="2"/>
  <c r="AJ1898" i="2"/>
  <c r="AI1898" i="2"/>
  <c r="AH1898" i="2"/>
  <c r="AG1898" i="2"/>
  <c r="AF1898" i="2"/>
  <c r="AE1898" i="2"/>
  <c r="AD1898" i="2"/>
  <c r="AC1898" i="2"/>
  <c r="AA1898" i="2"/>
  <c r="Z1898" i="2"/>
  <c r="Y1898" i="2"/>
  <c r="X1898" i="2"/>
  <c r="W1898" i="2"/>
  <c r="V1898" i="2"/>
  <c r="U1898" i="2"/>
  <c r="T1898" i="2"/>
  <c r="S1898" i="2"/>
  <c r="R1898" i="2"/>
  <c r="Q1898" i="2"/>
  <c r="P1898" i="2"/>
  <c r="O1898" i="2"/>
  <c r="N1898" i="2"/>
  <c r="K1898" i="2"/>
  <c r="J1898" i="2"/>
  <c r="I1898" i="2"/>
  <c r="H1898" i="2"/>
  <c r="G1898" i="2"/>
  <c r="F1898" i="2"/>
  <c r="E1898" i="2"/>
  <c r="D1898" i="2"/>
  <c r="C1898" i="2"/>
  <c r="B1898" i="2"/>
  <c r="A1898" i="2"/>
  <c r="AX1897" i="2"/>
  <c r="AV1897" i="2"/>
  <c r="AU1897" i="2"/>
  <c r="AT1897" i="2"/>
  <c r="AR1897" i="2"/>
  <c r="AQ1897" i="2"/>
  <c r="AO1897" i="2"/>
  <c r="AM1897" i="2"/>
  <c r="AK1897" i="2"/>
  <c r="AJ1897" i="2"/>
  <c r="AI1897" i="2"/>
  <c r="AH1897" i="2"/>
  <c r="AG1897" i="2"/>
  <c r="AF1897" i="2"/>
  <c r="AE1897" i="2"/>
  <c r="AC1897" i="2"/>
  <c r="AA1897" i="2"/>
  <c r="Z1897" i="2"/>
  <c r="Y1897" i="2"/>
  <c r="X1897" i="2"/>
  <c r="W1897" i="2"/>
  <c r="V1897" i="2"/>
  <c r="U1897" i="2"/>
  <c r="T1897" i="2"/>
  <c r="S1897" i="2"/>
  <c r="R1897" i="2"/>
  <c r="Q1897" i="2"/>
  <c r="P1897" i="2"/>
  <c r="O1897" i="2"/>
  <c r="N1897" i="2"/>
  <c r="K1897" i="2"/>
  <c r="J1897" i="2"/>
  <c r="I1897" i="2"/>
  <c r="H1897" i="2"/>
  <c r="G1897" i="2"/>
  <c r="F1897" i="2"/>
  <c r="E1897" i="2"/>
  <c r="D1897" i="2"/>
  <c r="C1897" i="2"/>
  <c r="B1897" i="2"/>
  <c r="A1897" i="2"/>
  <c r="AX1896" i="2"/>
  <c r="AV1896" i="2"/>
  <c r="AU1896" i="2"/>
  <c r="AT1896" i="2"/>
  <c r="AR1896" i="2"/>
  <c r="AQ1896" i="2"/>
  <c r="AO1896" i="2"/>
  <c r="AM1896" i="2"/>
  <c r="AK1896" i="2"/>
  <c r="AJ1896" i="2"/>
  <c r="AI1896" i="2"/>
  <c r="AH1896" i="2"/>
  <c r="AG1896" i="2"/>
  <c r="AE1896" i="2"/>
  <c r="AC1896" i="2"/>
  <c r="AA1896" i="2"/>
  <c r="Z1896" i="2"/>
  <c r="Y1896" i="2"/>
  <c r="X1896" i="2"/>
  <c r="W1896" i="2"/>
  <c r="V1896" i="2"/>
  <c r="U1896" i="2"/>
  <c r="T1896" i="2"/>
  <c r="S1896" i="2"/>
  <c r="R1896" i="2"/>
  <c r="Q1896" i="2"/>
  <c r="P1896" i="2"/>
  <c r="O1896" i="2"/>
  <c r="N1896" i="2"/>
  <c r="K1896" i="2"/>
  <c r="J1896" i="2"/>
  <c r="I1896" i="2"/>
  <c r="H1896" i="2"/>
  <c r="G1896" i="2"/>
  <c r="F1896" i="2"/>
  <c r="E1896" i="2"/>
  <c r="D1896" i="2"/>
  <c r="C1896" i="2"/>
  <c r="B1896" i="2"/>
  <c r="A1896" i="2"/>
  <c r="AX1895" i="2"/>
  <c r="AV1895" i="2"/>
  <c r="AU1895" i="2"/>
  <c r="AT1895" i="2"/>
  <c r="AS1895" i="2"/>
  <c r="AR1895" i="2"/>
  <c r="AQ1895" i="2"/>
  <c r="AP1895" i="2"/>
  <c r="AO1895" i="2"/>
  <c r="AM1895" i="2"/>
  <c r="AL1895" i="2"/>
  <c r="AK1895" i="2"/>
  <c r="AJ1895" i="2"/>
  <c r="AI1895" i="2"/>
  <c r="AH1895" i="2"/>
  <c r="AG1895" i="2"/>
  <c r="AD1895" i="2"/>
  <c r="AC1895" i="2"/>
  <c r="AA1895" i="2"/>
  <c r="Z1895" i="2"/>
  <c r="Y1895" i="2"/>
  <c r="X1895" i="2"/>
  <c r="W1895" i="2"/>
  <c r="V1895" i="2"/>
  <c r="U1895" i="2"/>
  <c r="T1895" i="2"/>
  <c r="S1895" i="2"/>
  <c r="R1895" i="2"/>
  <c r="Q1895" i="2"/>
  <c r="P1895" i="2"/>
  <c r="O1895" i="2"/>
  <c r="N1895" i="2"/>
  <c r="M1895" i="2"/>
  <c r="L1895" i="2"/>
  <c r="K1895" i="2"/>
  <c r="J1895" i="2"/>
  <c r="I1895" i="2"/>
  <c r="H1895" i="2"/>
  <c r="G1895" i="2"/>
  <c r="F1895" i="2"/>
  <c r="E1895" i="2"/>
  <c r="D1895" i="2"/>
  <c r="C1895" i="2"/>
  <c r="B1895" i="2"/>
  <c r="A1895" i="2"/>
  <c r="AX1894" i="2"/>
  <c r="AV1894" i="2"/>
  <c r="AU1894" i="2"/>
  <c r="AT1894" i="2"/>
  <c r="AS1894" i="2"/>
  <c r="AR1894" i="2"/>
  <c r="AQ1894" i="2"/>
  <c r="AP1894" i="2"/>
  <c r="AO1894" i="2"/>
  <c r="AM1894" i="2"/>
  <c r="AL1894" i="2"/>
  <c r="AK1894" i="2"/>
  <c r="AJ1894" i="2"/>
  <c r="AI1894" i="2"/>
  <c r="AH1894" i="2"/>
  <c r="AG1894" i="2"/>
  <c r="AE1894" i="2"/>
  <c r="AD1894" i="2"/>
  <c r="AC1894" i="2"/>
  <c r="AA1894" i="2"/>
  <c r="Z1894" i="2"/>
  <c r="Y1894" i="2"/>
  <c r="X1894" i="2"/>
  <c r="W1894" i="2"/>
  <c r="V1894" i="2"/>
  <c r="U1894" i="2"/>
  <c r="T1894" i="2"/>
  <c r="S1894" i="2"/>
  <c r="R1894" i="2"/>
  <c r="Q1894" i="2"/>
  <c r="P1894" i="2"/>
  <c r="O1894" i="2"/>
  <c r="N1894" i="2"/>
  <c r="M1894" i="2"/>
  <c r="L1894" i="2"/>
  <c r="K1894" i="2"/>
  <c r="J1894" i="2"/>
  <c r="I1894" i="2"/>
  <c r="H1894" i="2"/>
  <c r="G1894" i="2"/>
  <c r="F1894" i="2"/>
  <c r="E1894" i="2"/>
  <c r="D1894" i="2"/>
  <c r="C1894" i="2"/>
  <c r="B1894" i="2"/>
  <c r="A1894" i="2"/>
  <c r="AX1893" i="2"/>
  <c r="AV1893" i="2"/>
  <c r="AU1893" i="2"/>
  <c r="AS1893" i="2"/>
  <c r="AR1893" i="2"/>
  <c r="AQ1893" i="2"/>
  <c r="AO1893" i="2"/>
  <c r="AM1893" i="2"/>
  <c r="AL1893" i="2"/>
  <c r="AK1893" i="2"/>
  <c r="AJ1893" i="2"/>
  <c r="AI1893" i="2"/>
  <c r="AH1893" i="2"/>
  <c r="AG1893" i="2"/>
  <c r="AE1893" i="2"/>
  <c r="AD1893" i="2"/>
  <c r="AC1893" i="2"/>
  <c r="AA1893" i="2"/>
  <c r="Z1893" i="2"/>
  <c r="Y1893" i="2"/>
  <c r="X1893" i="2"/>
  <c r="V1893" i="2"/>
  <c r="U1893" i="2"/>
  <c r="T1893" i="2"/>
  <c r="S1893" i="2"/>
  <c r="R1893" i="2"/>
  <c r="Q1893" i="2"/>
  <c r="P1893" i="2"/>
  <c r="O1893" i="2"/>
  <c r="N1893" i="2"/>
  <c r="K1893" i="2"/>
  <c r="J1893" i="2"/>
  <c r="I1893" i="2"/>
  <c r="H1893" i="2"/>
  <c r="G1893" i="2"/>
  <c r="F1893" i="2"/>
  <c r="E1893" i="2"/>
  <c r="D1893" i="2"/>
  <c r="C1893" i="2"/>
  <c r="B1893" i="2"/>
  <c r="A1893" i="2"/>
  <c r="AX1892" i="2"/>
  <c r="AV1892" i="2"/>
  <c r="AU1892" i="2"/>
  <c r="AS1892" i="2"/>
  <c r="AR1892" i="2"/>
  <c r="AQ1892" i="2"/>
  <c r="AO1892" i="2"/>
  <c r="AM1892" i="2"/>
  <c r="AL1892" i="2"/>
  <c r="AK1892" i="2"/>
  <c r="AJ1892" i="2"/>
  <c r="AI1892" i="2"/>
  <c r="AH1892" i="2"/>
  <c r="AG1892" i="2"/>
  <c r="AD1892" i="2"/>
  <c r="AC1892" i="2"/>
  <c r="AA1892" i="2"/>
  <c r="Z1892" i="2"/>
  <c r="Y1892" i="2"/>
  <c r="X1892" i="2"/>
  <c r="W1892" i="2"/>
  <c r="V1892" i="2"/>
  <c r="U1892" i="2"/>
  <c r="T1892" i="2"/>
  <c r="S1892" i="2"/>
  <c r="R1892" i="2"/>
  <c r="Q1892" i="2"/>
  <c r="P1892" i="2"/>
  <c r="O1892" i="2"/>
  <c r="N1892" i="2"/>
  <c r="M1892" i="2"/>
  <c r="L1892" i="2"/>
  <c r="K1892" i="2"/>
  <c r="J1892" i="2"/>
  <c r="I1892" i="2"/>
  <c r="H1892" i="2"/>
  <c r="G1892" i="2"/>
  <c r="F1892" i="2"/>
  <c r="E1892" i="2"/>
  <c r="D1892" i="2"/>
  <c r="C1892" i="2"/>
  <c r="B1892" i="2"/>
  <c r="A1892" i="2"/>
  <c r="AX1891" i="2"/>
  <c r="AV1891" i="2"/>
  <c r="AU1891" i="2"/>
  <c r="AT1891" i="2"/>
  <c r="AS1891" i="2"/>
  <c r="AR1891" i="2"/>
  <c r="AQ1891" i="2"/>
  <c r="AP1891" i="2"/>
  <c r="AO1891" i="2"/>
  <c r="AM1891" i="2"/>
  <c r="AL1891" i="2"/>
  <c r="AK1891" i="2"/>
  <c r="AJ1891" i="2"/>
  <c r="AI1891" i="2"/>
  <c r="AH1891" i="2"/>
  <c r="AG1891" i="2"/>
  <c r="AE1891" i="2"/>
  <c r="AD1891" i="2"/>
  <c r="AC1891" i="2"/>
  <c r="AA1891" i="2"/>
  <c r="Z1891" i="2"/>
  <c r="Y1891" i="2"/>
  <c r="X1891" i="2"/>
  <c r="W1891" i="2"/>
  <c r="V1891" i="2"/>
  <c r="U1891" i="2"/>
  <c r="T1891" i="2"/>
  <c r="S1891" i="2"/>
  <c r="R1891" i="2"/>
  <c r="Q1891" i="2"/>
  <c r="P1891" i="2"/>
  <c r="O1891" i="2"/>
  <c r="N1891" i="2"/>
  <c r="M1891" i="2"/>
  <c r="L1891" i="2"/>
  <c r="K1891" i="2"/>
  <c r="J1891" i="2"/>
  <c r="I1891" i="2"/>
  <c r="H1891" i="2"/>
  <c r="G1891" i="2"/>
  <c r="F1891" i="2"/>
  <c r="E1891" i="2"/>
  <c r="D1891" i="2"/>
  <c r="C1891" i="2"/>
  <c r="B1891" i="2"/>
  <c r="A1891" i="2"/>
  <c r="AX1890" i="2"/>
  <c r="AV1890" i="2"/>
  <c r="AU1890" i="2"/>
  <c r="AT1890" i="2"/>
  <c r="AR1890" i="2"/>
  <c r="AQ1890" i="2"/>
  <c r="AO1890" i="2"/>
  <c r="AM1890" i="2"/>
  <c r="AL1890" i="2"/>
  <c r="AK1890" i="2"/>
  <c r="AJ1890" i="2"/>
  <c r="AI1890" i="2"/>
  <c r="AH1890" i="2"/>
  <c r="AG1890" i="2"/>
  <c r="AE1890" i="2"/>
  <c r="AD1890" i="2"/>
  <c r="AC1890" i="2"/>
  <c r="AA1890" i="2"/>
  <c r="Z1890" i="2"/>
  <c r="Y1890" i="2"/>
  <c r="X1890" i="2"/>
  <c r="V1890" i="2"/>
  <c r="U1890" i="2"/>
  <c r="T1890" i="2"/>
  <c r="S1890" i="2"/>
  <c r="R1890" i="2"/>
  <c r="Q1890" i="2"/>
  <c r="P1890" i="2"/>
  <c r="O1890" i="2"/>
  <c r="N1890" i="2"/>
  <c r="M1890" i="2"/>
  <c r="L1890" i="2"/>
  <c r="K1890" i="2"/>
  <c r="J1890" i="2"/>
  <c r="I1890" i="2"/>
  <c r="H1890" i="2"/>
  <c r="G1890" i="2"/>
  <c r="F1890" i="2"/>
  <c r="E1890" i="2"/>
  <c r="D1890" i="2"/>
  <c r="C1890" i="2"/>
  <c r="B1890" i="2"/>
  <c r="A1890" i="2"/>
  <c r="AX1889" i="2"/>
  <c r="AV1889" i="2"/>
  <c r="AU1889" i="2"/>
  <c r="AT1889" i="2"/>
  <c r="AS1889" i="2"/>
  <c r="AR1889" i="2"/>
  <c r="AQ1889" i="2"/>
  <c r="AP1889" i="2"/>
  <c r="AO1889" i="2"/>
  <c r="AM1889" i="2"/>
  <c r="AL1889" i="2"/>
  <c r="AK1889" i="2"/>
  <c r="AJ1889" i="2"/>
  <c r="AI1889" i="2"/>
  <c r="AH1889" i="2"/>
  <c r="AG1889" i="2"/>
  <c r="AE1889" i="2"/>
  <c r="AD1889" i="2"/>
  <c r="AC1889" i="2"/>
  <c r="AA1889" i="2"/>
  <c r="Z1889" i="2"/>
  <c r="Y1889" i="2"/>
  <c r="X1889" i="2"/>
  <c r="W1889" i="2"/>
  <c r="V1889" i="2"/>
  <c r="U1889" i="2"/>
  <c r="T1889" i="2"/>
  <c r="S1889" i="2"/>
  <c r="R1889" i="2"/>
  <c r="Q1889" i="2"/>
  <c r="P1889" i="2"/>
  <c r="O1889" i="2"/>
  <c r="N1889" i="2"/>
  <c r="M1889" i="2"/>
  <c r="L1889" i="2"/>
  <c r="K1889" i="2"/>
  <c r="J1889" i="2"/>
  <c r="I1889" i="2"/>
  <c r="H1889" i="2"/>
  <c r="G1889" i="2"/>
  <c r="F1889" i="2"/>
  <c r="E1889" i="2"/>
  <c r="D1889" i="2"/>
  <c r="C1889" i="2"/>
  <c r="B1889" i="2"/>
  <c r="A1889" i="2"/>
  <c r="AX1888" i="2"/>
  <c r="AV1888" i="2"/>
  <c r="AU1888" i="2"/>
  <c r="AS1888" i="2"/>
  <c r="AR1888" i="2"/>
  <c r="AQ1888" i="2"/>
  <c r="AO1888" i="2"/>
  <c r="AM1888" i="2"/>
  <c r="AL1888" i="2"/>
  <c r="AK1888" i="2"/>
  <c r="AJ1888" i="2"/>
  <c r="AI1888" i="2"/>
  <c r="AH1888" i="2"/>
  <c r="AG1888" i="2"/>
  <c r="AE1888" i="2"/>
  <c r="AD1888" i="2"/>
  <c r="AC1888" i="2"/>
  <c r="AA1888" i="2"/>
  <c r="Z1888" i="2"/>
  <c r="Y1888" i="2"/>
  <c r="X1888" i="2"/>
  <c r="W1888" i="2"/>
  <c r="V1888" i="2"/>
  <c r="U1888" i="2"/>
  <c r="T1888" i="2"/>
  <c r="S1888" i="2"/>
  <c r="R1888" i="2"/>
  <c r="Q1888" i="2"/>
  <c r="P1888" i="2"/>
  <c r="O1888" i="2"/>
  <c r="N1888" i="2"/>
  <c r="K1888" i="2"/>
  <c r="J1888" i="2"/>
  <c r="I1888" i="2"/>
  <c r="H1888" i="2"/>
  <c r="G1888" i="2"/>
  <c r="F1888" i="2"/>
  <c r="E1888" i="2"/>
  <c r="D1888" i="2"/>
  <c r="C1888" i="2"/>
  <c r="B1888" i="2"/>
  <c r="A1888" i="2"/>
  <c r="AX1887" i="2"/>
  <c r="AV1887" i="2"/>
  <c r="AU1887" i="2"/>
  <c r="AT1887" i="2"/>
  <c r="AS1887" i="2"/>
  <c r="AR1887" i="2"/>
  <c r="AQ1887" i="2"/>
  <c r="AP1887" i="2"/>
  <c r="AO1887" i="2"/>
  <c r="AM1887" i="2"/>
  <c r="AL1887" i="2"/>
  <c r="AK1887" i="2"/>
  <c r="AI1887" i="2"/>
  <c r="AH1887" i="2"/>
  <c r="AG1887" i="2"/>
  <c r="AD1887" i="2"/>
  <c r="AC1887" i="2"/>
  <c r="AA1887" i="2"/>
  <c r="Z1887" i="2"/>
  <c r="Y1887" i="2"/>
  <c r="X1887" i="2"/>
  <c r="W1887" i="2"/>
  <c r="V1887" i="2"/>
  <c r="U1887" i="2"/>
  <c r="T1887" i="2"/>
  <c r="S1887" i="2"/>
  <c r="R1887" i="2"/>
  <c r="Q1887" i="2"/>
  <c r="P1887" i="2"/>
  <c r="O1887" i="2"/>
  <c r="N1887" i="2"/>
  <c r="M1887" i="2"/>
  <c r="L1887" i="2"/>
  <c r="K1887" i="2"/>
  <c r="J1887" i="2"/>
  <c r="I1887" i="2"/>
  <c r="H1887" i="2"/>
  <c r="G1887" i="2"/>
  <c r="F1887" i="2"/>
  <c r="E1887" i="2"/>
  <c r="D1887" i="2"/>
  <c r="C1887" i="2"/>
  <c r="B1887" i="2"/>
  <c r="A1887" i="2"/>
  <c r="AX1886" i="2"/>
  <c r="AV1886" i="2"/>
  <c r="AU1886" i="2"/>
  <c r="AS1886" i="2"/>
  <c r="AR1886" i="2"/>
  <c r="AQ1886" i="2"/>
  <c r="AO1886" i="2"/>
  <c r="AM1886" i="2"/>
  <c r="AL1886" i="2"/>
  <c r="AK1886" i="2"/>
  <c r="AJ1886" i="2"/>
  <c r="AI1886" i="2"/>
  <c r="AH1886" i="2"/>
  <c r="AG1886" i="2"/>
  <c r="AE1886" i="2"/>
  <c r="AD1886" i="2"/>
  <c r="AC1886" i="2"/>
  <c r="AA1886" i="2"/>
  <c r="Z1886" i="2"/>
  <c r="Y1886" i="2"/>
  <c r="X1886" i="2"/>
  <c r="W1886" i="2"/>
  <c r="V1886" i="2"/>
  <c r="U1886" i="2"/>
  <c r="T1886" i="2"/>
  <c r="S1886" i="2"/>
  <c r="R1886" i="2"/>
  <c r="Q1886" i="2"/>
  <c r="P1886" i="2"/>
  <c r="O1886" i="2"/>
  <c r="N1886" i="2"/>
  <c r="K1886" i="2"/>
  <c r="J1886" i="2"/>
  <c r="I1886" i="2"/>
  <c r="H1886" i="2"/>
  <c r="G1886" i="2"/>
  <c r="F1886" i="2"/>
  <c r="E1886" i="2"/>
  <c r="D1886" i="2"/>
  <c r="C1886" i="2"/>
  <c r="B1886" i="2"/>
  <c r="A1886" i="2"/>
  <c r="AX1885" i="2"/>
  <c r="AV1885" i="2"/>
  <c r="AU1885" i="2"/>
  <c r="AT1885" i="2"/>
  <c r="AS1885" i="2"/>
  <c r="AR1885" i="2"/>
  <c r="AQ1885" i="2"/>
  <c r="AP1885" i="2"/>
  <c r="AO1885" i="2"/>
  <c r="AN1885" i="2"/>
  <c r="AM1885" i="2"/>
  <c r="AL1885" i="2"/>
  <c r="AK1885" i="2"/>
  <c r="AJ1885" i="2"/>
  <c r="AI1885" i="2"/>
  <c r="AH1885" i="2"/>
  <c r="AG1885" i="2"/>
  <c r="AD1885" i="2"/>
  <c r="AC1885" i="2"/>
  <c r="AA1885" i="2"/>
  <c r="Z1885" i="2"/>
  <c r="Y1885" i="2"/>
  <c r="W1885" i="2"/>
  <c r="V1885" i="2"/>
  <c r="U1885" i="2"/>
  <c r="T1885" i="2"/>
  <c r="S1885" i="2"/>
  <c r="R1885" i="2"/>
  <c r="Q1885" i="2"/>
  <c r="P1885" i="2"/>
  <c r="O1885" i="2"/>
  <c r="N1885" i="2"/>
  <c r="M1885" i="2"/>
  <c r="L1885" i="2"/>
  <c r="K1885" i="2"/>
  <c r="J1885" i="2"/>
  <c r="I1885" i="2"/>
  <c r="H1885" i="2"/>
  <c r="G1885" i="2"/>
  <c r="F1885" i="2"/>
  <c r="E1885" i="2"/>
  <c r="D1885" i="2"/>
  <c r="C1885" i="2"/>
  <c r="B1885" i="2"/>
  <c r="A1885" i="2"/>
  <c r="AX1884" i="2"/>
  <c r="AV1884" i="2"/>
  <c r="AU1884" i="2"/>
  <c r="AT1884" i="2"/>
  <c r="AR1884" i="2"/>
  <c r="AQ1884" i="2"/>
  <c r="AP1884" i="2"/>
  <c r="AO1884" i="2"/>
  <c r="AM1884" i="2"/>
  <c r="AL1884" i="2"/>
  <c r="AK1884" i="2"/>
  <c r="AJ1884" i="2"/>
  <c r="AI1884" i="2"/>
  <c r="AH1884" i="2"/>
  <c r="AG1884" i="2"/>
  <c r="AE1884" i="2"/>
  <c r="AD1884" i="2"/>
  <c r="AC1884" i="2"/>
  <c r="AA1884" i="2"/>
  <c r="Z1884" i="2"/>
  <c r="Y1884" i="2"/>
  <c r="X1884" i="2"/>
  <c r="W1884" i="2"/>
  <c r="V1884" i="2"/>
  <c r="U1884" i="2"/>
  <c r="T1884" i="2"/>
  <c r="S1884" i="2"/>
  <c r="R1884" i="2"/>
  <c r="Q1884" i="2"/>
  <c r="P1884" i="2"/>
  <c r="O1884" i="2"/>
  <c r="N1884" i="2"/>
  <c r="M1884" i="2"/>
  <c r="L1884" i="2"/>
  <c r="K1884" i="2"/>
  <c r="J1884" i="2"/>
  <c r="I1884" i="2"/>
  <c r="H1884" i="2"/>
  <c r="G1884" i="2"/>
  <c r="F1884" i="2"/>
  <c r="E1884" i="2"/>
  <c r="D1884" i="2"/>
  <c r="C1884" i="2"/>
  <c r="B1884" i="2"/>
  <c r="A1884" i="2"/>
  <c r="AX1883" i="2"/>
  <c r="AV1883" i="2"/>
  <c r="AU1883" i="2"/>
  <c r="AS1883" i="2"/>
  <c r="AR1883" i="2"/>
  <c r="AQ1883" i="2"/>
  <c r="AP1883" i="2"/>
  <c r="AO1883" i="2"/>
  <c r="AN1883" i="2"/>
  <c r="AM1883" i="2"/>
  <c r="AL1883" i="2"/>
  <c r="AK1883" i="2"/>
  <c r="AJ1883" i="2"/>
  <c r="AI1883" i="2"/>
  <c r="AH1883" i="2"/>
  <c r="AG1883" i="2"/>
  <c r="AE1883" i="2"/>
  <c r="AD1883" i="2"/>
  <c r="AC1883" i="2"/>
  <c r="AA1883" i="2"/>
  <c r="Z1883" i="2"/>
  <c r="Y1883" i="2"/>
  <c r="X1883" i="2"/>
  <c r="W1883" i="2"/>
  <c r="V1883" i="2"/>
  <c r="U1883" i="2"/>
  <c r="T1883" i="2"/>
  <c r="S1883" i="2"/>
  <c r="R1883" i="2"/>
  <c r="Q1883" i="2"/>
  <c r="P1883" i="2"/>
  <c r="O1883" i="2"/>
  <c r="N1883" i="2"/>
  <c r="M1883" i="2"/>
  <c r="L1883" i="2"/>
  <c r="K1883" i="2"/>
  <c r="J1883" i="2"/>
  <c r="I1883" i="2"/>
  <c r="H1883" i="2"/>
  <c r="G1883" i="2"/>
  <c r="F1883" i="2"/>
  <c r="E1883" i="2"/>
  <c r="D1883" i="2"/>
  <c r="C1883" i="2"/>
  <c r="B1883" i="2"/>
  <c r="A1883" i="2"/>
  <c r="AX1882" i="2"/>
  <c r="AV1882" i="2"/>
  <c r="AU1882" i="2"/>
  <c r="AT1882" i="2"/>
  <c r="AS1882" i="2"/>
  <c r="AR1882" i="2"/>
  <c r="AQ1882" i="2"/>
  <c r="AO1882" i="2"/>
  <c r="AM1882" i="2"/>
  <c r="AL1882" i="2"/>
  <c r="AK1882" i="2"/>
  <c r="AJ1882" i="2"/>
  <c r="AI1882" i="2"/>
  <c r="AH1882" i="2"/>
  <c r="AG1882" i="2"/>
  <c r="AE1882" i="2"/>
  <c r="AD1882" i="2"/>
  <c r="AC1882" i="2"/>
  <c r="AA1882" i="2"/>
  <c r="Z1882" i="2"/>
  <c r="Y1882" i="2"/>
  <c r="X1882" i="2"/>
  <c r="W1882" i="2"/>
  <c r="V1882" i="2"/>
  <c r="U1882" i="2"/>
  <c r="T1882" i="2"/>
  <c r="S1882" i="2"/>
  <c r="R1882" i="2"/>
  <c r="Q1882" i="2"/>
  <c r="P1882" i="2"/>
  <c r="O1882" i="2"/>
  <c r="N1882" i="2"/>
  <c r="K1882" i="2"/>
  <c r="J1882" i="2"/>
  <c r="I1882" i="2"/>
  <c r="H1882" i="2"/>
  <c r="G1882" i="2"/>
  <c r="F1882" i="2"/>
  <c r="E1882" i="2"/>
  <c r="D1882" i="2"/>
  <c r="C1882" i="2"/>
  <c r="B1882" i="2"/>
  <c r="A1882" i="2"/>
  <c r="AX1881" i="2"/>
  <c r="AV1881" i="2"/>
  <c r="AU1881" i="2"/>
  <c r="AT1881" i="2"/>
  <c r="AS1881" i="2"/>
  <c r="AR1881" i="2"/>
  <c r="AQ1881" i="2"/>
  <c r="AP1881" i="2"/>
  <c r="AO1881" i="2"/>
  <c r="AM1881" i="2"/>
  <c r="AL1881" i="2"/>
  <c r="AK1881" i="2"/>
  <c r="AI1881" i="2"/>
  <c r="AH1881" i="2"/>
  <c r="AG1881" i="2"/>
  <c r="AE1881" i="2"/>
  <c r="AD1881" i="2"/>
  <c r="AC1881" i="2"/>
  <c r="AA1881" i="2"/>
  <c r="Z1881" i="2"/>
  <c r="Y1881" i="2"/>
  <c r="X1881" i="2"/>
  <c r="W1881" i="2"/>
  <c r="V1881" i="2"/>
  <c r="U1881" i="2"/>
  <c r="T1881" i="2"/>
  <c r="S1881" i="2"/>
  <c r="R1881" i="2"/>
  <c r="Q1881" i="2"/>
  <c r="P1881" i="2"/>
  <c r="O1881" i="2"/>
  <c r="N1881" i="2"/>
  <c r="M1881" i="2"/>
  <c r="L1881" i="2"/>
  <c r="K1881" i="2"/>
  <c r="J1881" i="2"/>
  <c r="I1881" i="2"/>
  <c r="H1881" i="2"/>
  <c r="G1881" i="2"/>
  <c r="F1881" i="2"/>
  <c r="E1881" i="2"/>
  <c r="D1881" i="2"/>
  <c r="C1881" i="2"/>
  <c r="B1881" i="2"/>
  <c r="A1881" i="2"/>
  <c r="AX1880" i="2"/>
  <c r="AV1880" i="2"/>
  <c r="AU1880" i="2"/>
  <c r="AT1880" i="2"/>
  <c r="AS1880" i="2"/>
  <c r="AR1880" i="2"/>
  <c r="AQ1880" i="2"/>
  <c r="AO1880" i="2"/>
  <c r="AM1880" i="2"/>
  <c r="AL1880" i="2"/>
  <c r="AK1880" i="2"/>
  <c r="AI1880" i="2"/>
  <c r="AH1880" i="2"/>
  <c r="AG1880" i="2"/>
  <c r="AD1880" i="2"/>
  <c r="AC1880" i="2"/>
  <c r="AA1880" i="2"/>
  <c r="Z1880" i="2"/>
  <c r="Y1880" i="2"/>
  <c r="X1880" i="2"/>
  <c r="W1880" i="2"/>
  <c r="V1880" i="2"/>
  <c r="U1880" i="2"/>
  <c r="T1880" i="2"/>
  <c r="S1880" i="2"/>
  <c r="R1880" i="2"/>
  <c r="Q1880" i="2"/>
  <c r="P1880" i="2"/>
  <c r="O1880" i="2"/>
  <c r="N1880" i="2"/>
  <c r="M1880" i="2"/>
  <c r="L1880" i="2"/>
  <c r="K1880" i="2"/>
  <c r="J1880" i="2"/>
  <c r="I1880" i="2"/>
  <c r="H1880" i="2"/>
  <c r="G1880" i="2"/>
  <c r="F1880" i="2"/>
  <c r="E1880" i="2"/>
  <c r="D1880" i="2"/>
  <c r="C1880" i="2"/>
  <c r="B1880" i="2"/>
  <c r="A1880" i="2"/>
  <c r="AX1879" i="2"/>
  <c r="AV1879" i="2"/>
  <c r="AU1879" i="2"/>
  <c r="AS1879" i="2"/>
  <c r="AR1879" i="2"/>
  <c r="AQ1879" i="2"/>
  <c r="AO1879" i="2"/>
  <c r="AM1879" i="2"/>
  <c r="AL1879" i="2"/>
  <c r="AK1879" i="2"/>
  <c r="AJ1879" i="2"/>
  <c r="AI1879" i="2"/>
  <c r="AH1879" i="2"/>
  <c r="AG1879" i="2"/>
  <c r="AE1879" i="2"/>
  <c r="AD1879" i="2"/>
  <c r="AC1879" i="2"/>
  <c r="AA1879" i="2"/>
  <c r="Z1879" i="2"/>
  <c r="Y1879" i="2"/>
  <c r="X1879" i="2"/>
  <c r="U1879" i="2"/>
  <c r="T1879" i="2"/>
  <c r="S1879" i="2"/>
  <c r="R1879" i="2"/>
  <c r="Q1879" i="2"/>
  <c r="P1879" i="2"/>
  <c r="O1879" i="2"/>
  <c r="N1879" i="2"/>
  <c r="K1879" i="2"/>
  <c r="J1879" i="2"/>
  <c r="I1879" i="2"/>
  <c r="H1879" i="2"/>
  <c r="G1879" i="2"/>
  <c r="F1879" i="2"/>
  <c r="E1879" i="2"/>
  <c r="D1879" i="2"/>
  <c r="C1879" i="2"/>
  <c r="B1879" i="2"/>
  <c r="A1879" i="2"/>
  <c r="AX1878" i="2"/>
  <c r="AV1878" i="2"/>
  <c r="AU1878" i="2"/>
  <c r="AS1878" i="2"/>
  <c r="AR1878" i="2"/>
  <c r="AQ1878" i="2"/>
  <c r="AP1878" i="2"/>
  <c r="AO1878" i="2"/>
  <c r="AM1878" i="2"/>
  <c r="AL1878" i="2"/>
  <c r="AK1878" i="2"/>
  <c r="AJ1878" i="2"/>
  <c r="AI1878" i="2"/>
  <c r="AH1878" i="2"/>
  <c r="AG1878" i="2"/>
  <c r="AF1878" i="2"/>
  <c r="AE1878" i="2"/>
  <c r="AD1878" i="2"/>
  <c r="AC1878" i="2"/>
  <c r="AA1878" i="2"/>
  <c r="Z1878" i="2"/>
  <c r="Y1878" i="2"/>
  <c r="X1878" i="2"/>
  <c r="W1878" i="2"/>
  <c r="V1878" i="2"/>
  <c r="U1878" i="2"/>
  <c r="T1878" i="2"/>
  <c r="S1878" i="2"/>
  <c r="R1878" i="2"/>
  <c r="Q1878" i="2"/>
  <c r="P1878" i="2"/>
  <c r="O1878" i="2"/>
  <c r="N1878" i="2"/>
  <c r="K1878" i="2"/>
  <c r="J1878" i="2"/>
  <c r="I1878" i="2"/>
  <c r="H1878" i="2"/>
  <c r="G1878" i="2"/>
  <c r="F1878" i="2"/>
  <c r="E1878" i="2"/>
  <c r="D1878" i="2"/>
  <c r="C1878" i="2"/>
  <c r="B1878" i="2"/>
  <c r="A1878" i="2"/>
  <c r="AX1877" i="2"/>
  <c r="AV1877" i="2"/>
  <c r="AU1877" i="2"/>
  <c r="AT1877" i="2"/>
  <c r="AS1877" i="2"/>
  <c r="AR1877" i="2"/>
  <c r="AQ1877" i="2"/>
  <c r="AP1877" i="2"/>
  <c r="AO1877" i="2"/>
  <c r="AM1877" i="2"/>
  <c r="AL1877" i="2"/>
  <c r="AK1877" i="2"/>
  <c r="AJ1877" i="2"/>
  <c r="AI1877" i="2"/>
  <c r="AH1877" i="2"/>
  <c r="AG1877" i="2"/>
  <c r="AE1877" i="2"/>
  <c r="AD1877" i="2"/>
  <c r="AC1877" i="2"/>
  <c r="AA1877" i="2"/>
  <c r="Z1877" i="2"/>
  <c r="Y1877" i="2"/>
  <c r="X1877" i="2"/>
  <c r="W1877" i="2"/>
  <c r="V1877" i="2"/>
  <c r="U1877" i="2"/>
  <c r="T1877" i="2"/>
  <c r="S1877" i="2"/>
  <c r="R1877" i="2"/>
  <c r="Q1877" i="2"/>
  <c r="P1877" i="2"/>
  <c r="O1877" i="2"/>
  <c r="N1877" i="2"/>
  <c r="M1877" i="2"/>
  <c r="L1877" i="2"/>
  <c r="K1877" i="2"/>
  <c r="J1877" i="2"/>
  <c r="I1877" i="2"/>
  <c r="H1877" i="2"/>
  <c r="G1877" i="2"/>
  <c r="F1877" i="2"/>
  <c r="E1877" i="2"/>
  <c r="D1877" i="2"/>
  <c r="C1877" i="2"/>
  <c r="B1877" i="2"/>
  <c r="A1877" i="2"/>
  <c r="AX1876" i="2"/>
  <c r="AV1876" i="2"/>
  <c r="AU1876" i="2"/>
  <c r="AS1876" i="2"/>
  <c r="AR1876" i="2"/>
  <c r="AQ1876" i="2"/>
  <c r="AO1876" i="2"/>
  <c r="AM1876" i="2"/>
  <c r="AL1876" i="2"/>
  <c r="AK1876" i="2"/>
  <c r="AJ1876" i="2"/>
  <c r="AI1876" i="2"/>
  <c r="AH1876" i="2"/>
  <c r="AG1876" i="2"/>
  <c r="AE1876" i="2"/>
  <c r="AD1876" i="2"/>
  <c r="AC1876" i="2"/>
  <c r="AA1876" i="2"/>
  <c r="Z1876" i="2"/>
  <c r="Y1876" i="2"/>
  <c r="X1876" i="2"/>
  <c r="W1876" i="2"/>
  <c r="V1876" i="2"/>
  <c r="U1876" i="2"/>
  <c r="T1876" i="2"/>
  <c r="S1876" i="2"/>
  <c r="R1876" i="2"/>
  <c r="Q1876" i="2"/>
  <c r="P1876" i="2"/>
  <c r="O1876" i="2"/>
  <c r="N1876" i="2"/>
  <c r="M1876" i="2"/>
  <c r="K1876" i="2"/>
  <c r="J1876" i="2"/>
  <c r="I1876" i="2"/>
  <c r="H1876" i="2"/>
  <c r="G1876" i="2"/>
  <c r="F1876" i="2"/>
  <c r="E1876" i="2"/>
  <c r="D1876" i="2"/>
  <c r="C1876" i="2"/>
  <c r="B1876" i="2"/>
  <c r="A1876" i="2"/>
  <c r="AX1875" i="2"/>
  <c r="AV1875" i="2"/>
  <c r="AU1875" i="2"/>
  <c r="AT1875" i="2"/>
  <c r="AR1875" i="2"/>
  <c r="AQ1875" i="2"/>
  <c r="AO1875" i="2"/>
  <c r="AM1875" i="2"/>
  <c r="AL1875" i="2"/>
  <c r="AK1875" i="2"/>
  <c r="AJ1875" i="2"/>
  <c r="AI1875" i="2"/>
  <c r="AH1875" i="2"/>
  <c r="AG1875" i="2"/>
  <c r="AD1875" i="2"/>
  <c r="AC1875" i="2"/>
  <c r="AA1875" i="2"/>
  <c r="Z1875" i="2"/>
  <c r="Y1875" i="2"/>
  <c r="X1875" i="2"/>
  <c r="W1875" i="2"/>
  <c r="V1875" i="2"/>
  <c r="U1875" i="2"/>
  <c r="T1875" i="2"/>
  <c r="S1875" i="2"/>
  <c r="R1875" i="2"/>
  <c r="Q1875" i="2"/>
  <c r="P1875" i="2"/>
  <c r="O1875" i="2"/>
  <c r="N1875" i="2"/>
  <c r="M1875" i="2"/>
  <c r="L1875" i="2"/>
  <c r="K1875" i="2"/>
  <c r="J1875" i="2"/>
  <c r="I1875" i="2"/>
  <c r="H1875" i="2"/>
  <c r="G1875" i="2"/>
  <c r="F1875" i="2"/>
  <c r="E1875" i="2"/>
  <c r="D1875" i="2"/>
  <c r="C1875" i="2"/>
  <c r="B1875" i="2"/>
  <c r="A1875" i="2"/>
  <c r="AX1874" i="2"/>
  <c r="AV1874" i="2"/>
  <c r="AU1874" i="2"/>
  <c r="AT1874" i="2"/>
  <c r="AS1874" i="2"/>
  <c r="AR1874" i="2"/>
  <c r="AQ1874" i="2"/>
  <c r="AP1874" i="2"/>
  <c r="AO1874" i="2"/>
  <c r="AM1874" i="2"/>
  <c r="AL1874" i="2"/>
  <c r="AK1874" i="2"/>
  <c r="AI1874" i="2"/>
  <c r="AH1874" i="2"/>
  <c r="AG1874" i="2"/>
  <c r="AD1874" i="2"/>
  <c r="AC1874" i="2"/>
  <c r="AA1874" i="2"/>
  <c r="Z1874" i="2"/>
  <c r="Y1874" i="2"/>
  <c r="X1874" i="2"/>
  <c r="W1874" i="2"/>
  <c r="V1874" i="2"/>
  <c r="U1874" i="2"/>
  <c r="T1874" i="2"/>
  <c r="S1874" i="2"/>
  <c r="R1874" i="2"/>
  <c r="Q1874" i="2"/>
  <c r="P1874" i="2"/>
  <c r="O1874" i="2"/>
  <c r="N1874" i="2"/>
  <c r="M1874" i="2"/>
  <c r="L1874" i="2"/>
  <c r="K1874" i="2"/>
  <c r="J1874" i="2"/>
  <c r="I1874" i="2"/>
  <c r="H1874" i="2"/>
  <c r="G1874" i="2"/>
  <c r="F1874" i="2"/>
  <c r="E1874" i="2"/>
  <c r="D1874" i="2"/>
  <c r="C1874" i="2"/>
  <c r="B1874" i="2"/>
  <c r="A1874" i="2"/>
  <c r="AX1873" i="2"/>
  <c r="AV1873" i="2"/>
  <c r="AU1873" i="2"/>
  <c r="AS1873" i="2"/>
  <c r="AR1873" i="2"/>
  <c r="AQ1873" i="2"/>
  <c r="AO1873" i="2"/>
  <c r="AM1873" i="2"/>
  <c r="AL1873" i="2"/>
  <c r="AK1873" i="2"/>
  <c r="AI1873" i="2"/>
  <c r="AH1873" i="2"/>
  <c r="AG1873" i="2"/>
  <c r="AC1873" i="2"/>
  <c r="AA1873" i="2"/>
  <c r="Z1873" i="2"/>
  <c r="Y1873" i="2"/>
  <c r="X1873" i="2"/>
  <c r="W1873" i="2"/>
  <c r="V1873" i="2"/>
  <c r="U1873" i="2"/>
  <c r="T1873" i="2"/>
  <c r="S1873" i="2"/>
  <c r="R1873" i="2"/>
  <c r="Q1873" i="2"/>
  <c r="P1873" i="2"/>
  <c r="O1873" i="2"/>
  <c r="N1873" i="2"/>
  <c r="M1873" i="2"/>
  <c r="L1873" i="2"/>
  <c r="K1873" i="2"/>
  <c r="J1873" i="2"/>
  <c r="I1873" i="2"/>
  <c r="H1873" i="2"/>
  <c r="G1873" i="2"/>
  <c r="F1873" i="2"/>
  <c r="E1873" i="2"/>
  <c r="D1873" i="2"/>
  <c r="C1873" i="2"/>
  <c r="B1873" i="2"/>
  <c r="A1873" i="2"/>
  <c r="AX1872" i="2"/>
  <c r="AV1872" i="2"/>
  <c r="AU1872" i="2"/>
  <c r="AS1872" i="2"/>
  <c r="AR1872" i="2"/>
  <c r="AQ1872" i="2"/>
  <c r="AO1872" i="2"/>
  <c r="AM1872" i="2"/>
  <c r="AL1872" i="2"/>
  <c r="AK1872" i="2"/>
  <c r="AJ1872" i="2"/>
  <c r="AI1872" i="2"/>
  <c r="AH1872" i="2"/>
  <c r="AG1872" i="2"/>
  <c r="AE1872" i="2"/>
  <c r="AD1872" i="2"/>
  <c r="AC1872" i="2"/>
  <c r="AA1872" i="2"/>
  <c r="Z1872" i="2"/>
  <c r="Y1872" i="2"/>
  <c r="X1872" i="2"/>
  <c r="W1872" i="2"/>
  <c r="V1872" i="2"/>
  <c r="U1872" i="2"/>
  <c r="T1872" i="2"/>
  <c r="S1872" i="2"/>
  <c r="R1872" i="2"/>
  <c r="Q1872" i="2"/>
  <c r="P1872" i="2"/>
  <c r="O1872" i="2"/>
  <c r="N1872" i="2"/>
  <c r="K1872" i="2"/>
  <c r="J1872" i="2"/>
  <c r="I1872" i="2"/>
  <c r="H1872" i="2"/>
  <c r="G1872" i="2"/>
  <c r="F1872" i="2"/>
  <c r="E1872" i="2"/>
  <c r="D1872" i="2"/>
  <c r="C1872" i="2"/>
  <c r="B1872" i="2"/>
  <c r="A1872" i="2"/>
  <c r="AX1871" i="2"/>
  <c r="AV1871" i="2"/>
  <c r="AU1871" i="2"/>
  <c r="AR1871" i="2"/>
  <c r="AQ1871" i="2"/>
  <c r="AO1871" i="2"/>
  <c r="AM1871" i="2"/>
  <c r="AK1871" i="2"/>
  <c r="AI1871" i="2"/>
  <c r="AH1871" i="2"/>
  <c r="AG1871" i="2"/>
  <c r="AC1871" i="2"/>
  <c r="AA1871" i="2"/>
  <c r="Z1871" i="2"/>
  <c r="Y1871" i="2"/>
  <c r="X1871" i="2"/>
  <c r="W1871" i="2"/>
  <c r="V1871" i="2"/>
  <c r="U1871" i="2"/>
  <c r="T1871" i="2"/>
  <c r="S1871" i="2"/>
  <c r="R1871" i="2"/>
  <c r="Q1871" i="2"/>
  <c r="P1871" i="2"/>
  <c r="O1871" i="2"/>
  <c r="N1871" i="2"/>
  <c r="M1871" i="2"/>
  <c r="L1871" i="2"/>
  <c r="K1871" i="2"/>
  <c r="J1871" i="2"/>
  <c r="I1871" i="2"/>
  <c r="H1871" i="2"/>
  <c r="G1871" i="2"/>
  <c r="F1871" i="2"/>
  <c r="E1871" i="2"/>
  <c r="D1871" i="2"/>
  <c r="C1871" i="2"/>
  <c r="B1871" i="2"/>
  <c r="A1871" i="2"/>
  <c r="AX1870" i="2"/>
  <c r="AV1870" i="2"/>
  <c r="AU1870" i="2"/>
  <c r="AR1870" i="2"/>
  <c r="AQ1870" i="2"/>
  <c r="AO1870" i="2"/>
  <c r="AM1870" i="2"/>
  <c r="AK1870" i="2"/>
  <c r="AJ1870" i="2"/>
  <c r="AI1870" i="2"/>
  <c r="AH1870" i="2"/>
  <c r="AG1870" i="2"/>
  <c r="AE1870" i="2"/>
  <c r="AC1870" i="2"/>
  <c r="AA1870" i="2"/>
  <c r="Z1870" i="2"/>
  <c r="Y1870" i="2"/>
  <c r="X1870" i="2"/>
  <c r="W1870" i="2"/>
  <c r="V1870" i="2"/>
  <c r="U1870" i="2"/>
  <c r="T1870" i="2"/>
  <c r="S1870" i="2"/>
  <c r="R1870" i="2"/>
  <c r="Q1870" i="2"/>
  <c r="P1870" i="2"/>
  <c r="O1870" i="2"/>
  <c r="N1870" i="2"/>
  <c r="K1870" i="2"/>
  <c r="J1870" i="2"/>
  <c r="I1870" i="2"/>
  <c r="H1870" i="2"/>
  <c r="G1870" i="2"/>
  <c r="F1870" i="2"/>
  <c r="E1870" i="2"/>
  <c r="D1870" i="2"/>
  <c r="C1870" i="2"/>
  <c r="B1870" i="2"/>
  <c r="A1870" i="2"/>
  <c r="AX1869" i="2"/>
  <c r="AV1869" i="2"/>
  <c r="AU1869" i="2"/>
  <c r="AT1869" i="2"/>
  <c r="AS1869" i="2"/>
  <c r="AR1869" i="2"/>
  <c r="AQ1869" i="2"/>
  <c r="AO1869" i="2"/>
  <c r="AM1869" i="2"/>
  <c r="AL1869" i="2"/>
  <c r="AK1869" i="2"/>
  <c r="AJ1869" i="2"/>
  <c r="AI1869" i="2"/>
  <c r="AH1869" i="2"/>
  <c r="AG1869" i="2"/>
  <c r="AD1869" i="2"/>
  <c r="AC1869" i="2"/>
  <c r="AA1869" i="2"/>
  <c r="Z1869" i="2"/>
  <c r="Y1869" i="2"/>
  <c r="X1869" i="2"/>
  <c r="W1869" i="2"/>
  <c r="V1869" i="2"/>
  <c r="U1869" i="2"/>
  <c r="T1869" i="2"/>
  <c r="S1869" i="2"/>
  <c r="R1869" i="2"/>
  <c r="Q1869" i="2"/>
  <c r="P1869" i="2"/>
  <c r="O1869" i="2"/>
  <c r="N1869" i="2"/>
  <c r="M1869" i="2"/>
  <c r="L1869" i="2"/>
  <c r="K1869" i="2"/>
  <c r="J1869" i="2"/>
  <c r="I1869" i="2"/>
  <c r="H1869" i="2"/>
  <c r="G1869" i="2"/>
  <c r="F1869" i="2"/>
  <c r="E1869" i="2"/>
  <c r="D1869" i="2"/>
  <c r="C1869" i="2"/>
  <c r="B1869" i="2"/>
  <c r="A1869" i="2"/>
  <c r="AX1868" i="2"/>
  <c r="AV1868" i="2"/>
  <c r="AU1868" i="2"/>
  <c r="AT1868" i="2"/>
  <c r="AS1868" i="2"/>
  <c r="AR1868" i="2"/>
  <c r="AQ1868" i="2"/>
  <c r="AP1868" i="2"/>
  <c r="AO1868" i="2"/>
  <c r="AM1868" i="2"/>
  <c r="AI1868" i="2"/>
  <c r="AH1868" i="2"/>
  <c r="AG1868" i="2"/>
  <c r="AD1868" i="2"/>
  <c r="AC1868" i="2"/>
  <c r="AA1868" i="2"/>
  <c r="Z1868" i="2"/>
  <c r="Y1868" i="2"/>
  <c r="W1868" i="2"/>
  <c r="V1868" i="2"/>
  <c r="U1868" i="2"/>
  <c r="T1868" i="2"/>
  <c r="S1868" i="2"/>
  <c r="R1868" i="2"/>
  <c r="Q1868" i="2"/>
  <c r="P1868" i="2"/>
  <c r="O1868" i="2"/>
  <c r="N1868" i="2"/>
  <c r="K1868" i="2"/>
  <c r="J1868" i="2"/>
  <c r="I1868" i="2"/>
  <c r="H1868" i="2"/>
  <c r="G1868" i="2"/>
  <c r="F1868" i="2"/>
  <c r="E1868" i="2"/>
  <c r="D1868" i="2"/>
  <c r="C1868" i="2"/>
  <c r="B1868" i="2"/>
  <c r="A1868" i="2"/>
  <c r="AX1867" i="2"/>
  <c r="AV1867" i="2"/>
  <c r="AU1867" i="2"/>
  <c r="AT1867" i="2"/>
  <c r="AS1867" i="2"/>
  <c r="AR1867" i="2"/>
  <c r="AQ1867" i="2"/>
  <c r="AO1867" i="2"/>
  <c r="AM1867" i="2"/>
  <c r="AL1867" i="2"/>
  <c r="AK1867" i="2"/>
  <c r="AJ1867" i="2"/>
  <c r="AI1867" i="2"/>
  <c r="AH1867" i="2"/>
  <c r="AG1867" i="2"/>
  <c r="AE1867" i="2"/>
  <c r="AD1867" i="2"/>
  <c r="AC1867" i="2"/>
  <c r="AA1867" i="2"/>
  <c r="Z1867" i="2"/>
  <c r="Y1867" i="2"/>
  <c r="X1867" i="2"/>
  <c r="W1867" i="2"/>
  <c r="V1867" i="2"/>
  <c r="U1867" i="2"/>
  <c r="T1867" i="2"/>
  <c r="S1867" i="2"/>
  <c r="R1867" i="2"/>
  <c r="Q1867" i="2"/>
  <c r="P1867" i="2"/>
  <c r="O1867" i="2"/>
  <c r="N1867" i="2"/>
  <c r="M1867" i="2"/>
  <c r="L1867" i="2"/>
  <c r="K1867" i="2"/>
  <c r="J1867" i="2"/>
  <c r="I1867" i="2"/>
  <c r="H1867" i="2"/>
  <c r="G1867" i="2"/>
  <c r="F1867" i="2"/>
  <c r="E1867" i="2"/>
  <c r="D1867" i="2"/>
  <c r="C1867" i="2"/>
  <c r="B1867" i="2"/>
  <c r="A1867" i="2"/>
  <c r="AX1866" i="2"/>
  <c r="AV1866" i="2"/>
  <c r="AU1866" i="2"/>
  <c r="AS1866" i="2"/>
  <c r="AR1866" i="2"/>
  <c r="AQ1866" i="2"/>
  <c r="AO1866" i="2"/>
  <c r="AM1866" i="2"/>
  <c r="AL1866" i="2"/>
  <c r="AI1866" i="2"/>
  <c r="AH1866" i="2"/>
  <c r="AG1866" i="2"/>
  <c r="AE1866" i="2"/>
  <c r="AD1866" i="2"/>
  <c r="AC1866" i="2"/>
  <c r="AA1866" i="2"/>
  <c r="Z1866" i="2"/>
  <c r="Y1866" i="2"/>
  <c r="X1866" i="2"/>
  <c r="W1866" i="2"/>
  <c r="V1866" i="2"/>
  <c r="U1866" i="2"/>
  <c r="T1866" i="2"/>
  <c r="S1866" i="2"/>
  <c r="R1866" i="2"/>
  <c r="Q1866" i="2"/>
  <c r="P1866" i="2"/>
  <c r="O1866" i="2"/>
  <c r="N1866" i="2"/>
  <c r="K1866" i="2"/>
  <c r="J1866" i="2"/>
  <c r="I1866" i="2"/>
  <c r="H1866" i="2"/>
  <c r="G1866" i="2"/>
  <c r="F1866" i="2"/>
  <c r="E1866" i="2"/>
  <c r="D1866" i="2"/>
  <c r="C1866" i="2"/>
  <c r="B1866" i="2"/>
  <c r="A1866" i="2"/>
  <c r="AX1865" i="2"/>
  <c r="AV1865" i="2"/>
  <c r="AU1865" i="2"/>
  <c r="AT1865" i="2"/>
  <c r="AR1865" i="2"/>
  <c r="AQ1865" i="2"/>
  <c r="AP1865" i="2"/>
  <c r="AO1865" i="2"/>
  <c r="AM1865" i="2"/>
  <c r="AL1865" i="2"/>
  <c r="AK1865" i="2"/>
  <c r="AJ1865" i="2"/>
  <c r="AI1865" i="2"/>
  <c r="AH1865" i="2"/>
  <c r="AG1865" i="2"/>
  <c r="AD1865" i="2"/>
  <c r="AC1865" i="2"/>
  <c r="AA1865" i="2"/>
  <c r="Z1865" i="2"/>
  <c r="Y1865" i="2"/>
  <c r="X1865" i="2"/>
  <c r="W1865" i="2"/>
  <c r="V1865" i="2"/>
  <c r="U1865" i="2"/>
  <c r="T1865" i="2"/>
  <c r="S1865" i="2"/>
  <c r="R1865" i="2"/>
  <c r="Q1865" i="2"/>
  <c r="P1865" i="2"/>
  <c r="O1865" i="2"/>
  <c r="N1865" i="2"/>
  <c r="K1865" i="2"/>
  <c r="J1865" i="2"/>
  <c r="I1865" i="2"/>
  <c r="H1865" i="2"/>
  <c r="G1865" i="2"/>
  <c r="F1865" i="2"/>
  <c r="E1865" i="2"/>
  <c r="D1865" i="2"/>
  <c r="C1865" i="2"/>
  <c r="B1865" i="2"/>
  <c r="A1865" i="2"/>
  <c r="AX1864" i="2"/>
  <c r="AV1864" i="2"/>
  <c r="AU1864" i="2"/>
  <c r="AT1864" i="2"/>
  <c r="AR1864" i="2"/>
  <c r="AQ1864" i="2"/>
  <c r="AP1864" i="2"/>
  <c r="AO1864" i="2"/>
  <c r="AM1864" i="2"/>
  <c r="AL1864" i="2"/>
  <c r="AJ1864" i="2"/>
  <c r="AI1864" i="2"/>
  <c r="AH1864" i="2"/>
  <c r="AG1864" i="2"/>
  <c r="AD1864" i="2"/>
  <c r="AC1864" i="2"/>
  <c r="AA1864" i="2"/>
  <c r="Z1864" i="2"/>
  <c r="Y1864" i="2"/>
  <c r="X1864" i="2"/>
  <c r="W1864" i="2"/>
  <c r="V1864" i="2"/>
  <c r="U1864" i="2"/>
  <c r="T1864" i="2"/>
  <c r="S1864" i="2"/>
  <c r="R1864" i="2"/>
  <c r="Q1864" i="2"/>
  <c r="P1864" i="2"/>
  <c r="O1864" i="2"/>
  <c r="N1864" i="2"/>
  <c r="M1864" i="2"/>
  <c r="L1864" i="2"/>
  <c r="K1864" i="2"/>
  <c r="J1864" i="2"/>
  <c r="I1864" i="2"/>
  <c r="H1864" i="2"/>
  <c r="G1864" i="2"/>
  <c r="F1864" i="2"/>
  <c r="E1864" i="2"/>
  <c r="D1864" i="2"/>
  <c r="C1864" i="2"/>
  <c r="B1864" i="2"/>
  <c r="A1864" i="2"/>
  <c r="AX1863" i="2"/>
  <c r="AV1863" i="2"/>
  <c r="AU1863" i="2"/>
  <c r="AS1863" i="2"/>
  <c r="AR1863" i="2"/>
  <c r="AQ1863" i="2"/>
  <c r="AO1863" i="2"/>
  <c r="AM1863" i="2"/>
  <c r="AK1863" i="2"/>
  <c r="AJ1863" i="2"/>
  <c r="AI1863" i="2"/>
  <c r="AH1863" i="2"/>
  <c r="AG1863" i="2"/>
  <c r="AC1863" i="2"/>
  <c r="AA1863" i="2"/>
  <c r="Z1863" i="2"/>
  <c r="Y1863" i="2"/>
  <c r="X1863" i="2"/>
  <c r="W1863" i="2"/>
  <c r="V1863" i="2"/>
  <c r="U1863" i="2"/>
  <c r="T1863" i="2"/>
  <c r="S1863" i="2"/>
  <c r="R1863" i="2"/>
  <c r="Q1863" i="2"/>
  <c r="P1863" i="2"/>
  <c r="O1863" i="2"/>
  <c r="N1863" i="2"/>
  <c r="K1863" i="2"/>
  <c r="J1863" i="2"/>
  <c r="I1863" i="2"/>
  <c r="H1863" i="2"/>
  <c r="G1863" i="2"/>
  <c r="F1863" i="2"/>
  <c r="E1863" i="2"/>
  <c r="D1863" i="2"/>
  <c r="C1863" i="2"/>
  <c r="B1863" i="2"/>
  <c r="A1863" i="2"/>
  <c r="AX1862" i="2"/>
  <c r="AV1862" i="2"/>
  <c r="AU1862" i="2"/>
  <c r="AT1862" i="2"/>
  <c r="AR1862" i="2"/>
  <c r="AQ1862" i="2"/>
  <c r="AP1862" i="2"/>
  <c r="AO1862" i="2"/>
  <c r="AN1862" i="2"/>
  <c r="AM1862" i="2"/>
  <c r="AL1862" i="2"/>
  <c r="AK1862" i="2"/>
  <c r="AJ1862" i="2"/>
  <c r="AI1862" i="2"/>
  <c r="AH1862" i="2"/>
  <c r="AG1862" i="2"/>
  <c r="AE1862" i="2"/>
  <c r="AD1862" i="2"/>
  <c r="AC1862" i="2"/>
  <c r="AA1862" i="2"/>
  <c r="Z1862" i="2"/>
  <c r="Y1862" i="2"/>
  <c r="W1862" i="2"/>
  <c r="V1862" i="2"/>
  <c r="U1862" i="2"/>
  <c r="T1862" i="2"/>
  <c r="S1862" i="2"/>
  <c r="R1862" i="2"/>
  <c r="Q1862" i="2"/>
  <c r="P1862" i="2"/>
  <c r="O1862" i="2"/>
  <c r="N1862" i="2"/>
  <c r="M1862" i="2"/>
  <c r="L1862" i="2"/>
  <c r="K1862" i="2"/>
  <c r="J1862" i="2"/>
  <c r="I1862" i="2"/>
  <c r="H1862" i="2"/>
  <c r="G1862" i="2"/>
  <c r="F1862" i="2"/>
  <c r="E1862" i="2"/>
  <c r="D1862" i="2"/>
  <c r="C1862" i="2"/>
  <c r="B1862" i="2"/>
  <c r="A1862" i="2"/>
  <c r="AX1861" i="2"/>
  <c r="AV1861" i="2"/>
  <c r="AU1861" i="2"/>
  <c r="AT1861" i="2"/>
  <c r="AS1861" i="2"/>
  <c r="AR1861" i="2"/>
  <c r="AQ1861" i="2"/>
  <c r="AP1861" i="2"/>
  <c r="AO1861" i="2"/>
  <c r="AM1861" i="2"/>
  <c r="AL1861" i="2"/>
  <c r="AK1861" i="2"/>
  <c r="AI1861" i="2"/>
  <c r="AH1861" i="2"/>
  <c r="AG1861" i="2"/>
  <c r="AE1861" i="2"/>
  <c r="AD1861" i="2"/>
  <c r="AC1861" i="2"/>
  <c r="AA1861" i="2"/>
  <c r="Z1861" i="2"/>
  <c r="Y1861" i="2"/>
  <c r="X1861" i="2"/>
  <c r="W1861" i="2"/>
  <c r="V1861" i="2"/>
  <c r="U1861" i="2"/>
  <c r="T1861" i="2"/>
  <c r="S1861" i="2"/>
  <c r="R1861" i="2"/>
  <c r="Q1861" i="2"/>
  <c r="P1861" i="2"/>
  <c r="O1861" i="2"/>
  <c r="N1861" i="2"/>
  <c r="M1861" i="2"/>
  <c r="K1861" i="2"/>
  <c r="J1861" i="2"/>
  <c r="I1861" i="2"/>
  <c r="H1861" i="2"/>
  <c r="G1861" i="2"/>
  <c r="F1861" i="2"/>
  <c r="E1861" i="2"/>
  <c r="D1861" i="2"/>
  <c r="C1861" i="2"/>
  <c r="B1861" i="2"/>
  <c r="A1861" i="2"/>
  <c r="AX1860" i="2"/>
  <c r="AV1860" i="2"/>
  <c r="AU1860" i="2"/>
  <c r="AS1860" i="2"/>
  <c r="AR1860" i="2"/>
  <c r="AQ1860" i="2"/>
  <c r="AO1860" i="2"/>
  <c r="AM1860" i="2"/>
  <c r="AK1860" i="2"/>
  <c r="AI1860" i="2"/>
  <c r="AH1860" i="2"/>
  <c r="AG1860" i="2"/>
  <c r="AC1860" i="2"/>
  <c r="AA1860" i="2"/>
  <c r="Z1860" i="2"/>
  <c r="Y1860" i="2"/>
  <c r="X1860" i="2"/>
  <c r="W1860" i="2"/>
  <c r="V1860" i="2"/>
  <c r="U1860" i="2"/>
  <c r="T1860" i="2"/>
  <c r="S1860" i="2"/>
  <c r="R1860" i="2"/>
  <c r="Q1860" i="2"/>
  <c r="P1860" i="2"/>
  <c r="O1860" i="2"/>
  <c r="N1860" i="2"/>
  <c r="M1860" i="2"/>
  <c r="L1860" i="2"/>
  <c r="K1860" i="2"/>
  <c r="J1860" i="2"/>
  <c r="I1860" i="2"/>
  <c r="H1860" i="2"/>
  <c r="G1860" i="2"/>
  <c r="F1860" i="2"/>
  <c r="E1860" i="2"/>
  <c r="D1860" i="2"/>
  <c r="C1860" i="2"/>
  <c r="B1860" i="2"/>
  <c r="A1860" i="2"/>
  <c r="AX1859" i="2"/>
  <c r="AV1859" i="2"/>
  <c r="AU1859" i="2"/>
  <c r="AS1859" i="2"/>
  <c r="AR1859" i="2"/>
  <c r="AQ1859" i="2"/>
  <c r="AO1859" i="2"/>
  <c r="AM1859" i="2"/>
  <c r="AL1859" i="2"/>
  <c r="AI1859" i="2"/>
  <c r="AH1859" i="2"/>
  <c r="AG1859" i="2"/>
  <c r="AC1859" i="2"/>
  <c r="AA1859" i="2"/>
  <c r="Z1859" i="2"/>
  <c r="Y1859" i="2"/>
  <c r="X1859" i="2"/>
  <c r="W1859" i="2"/>
  <c r="V1859" i="2"/>
  <c r="U1859" i="2"/>
  <c r="T1859" i="2"/>
  <c r="S1859" i="2"/>
  <c r="R1859" i="2"/>
  <c r="Q1859" i="2"/>
  <c r="P1859" i="2"/>
  <c r="O1859" i="2"/>
  <c r="N1859" i="2"/>
  <c r="K1859" i="2"/>
  <c r="J1859" i="2"/>
  <c r="I1859" i="2"/>
  <c r="H1859" i="2"/>
  <c r="G1859" i="2"/>
  <c r="F1859" i="2"/>
  <c r="E1859" i="2"/>
  <c r="D1859" i="2"/>
  <c r="C1859" i="2"/>
  <c r="B1859" i="2"/>
  <c r="A1859" i="2"/>
  <c r="AX1858" i="2"/>
  <c r="AV1858" i="2"/>
  <c r="AU1858" i="2"/>
  <c r="AS1858" i="2"/>
  <c r="AR1858" i="2"/>
  <c r="AQ1858" i="2"/>
  <c r="AP1858" i="2"/>
  <c r="AO1858" i="2"/>
  <c r="AM1858" i="2"/>
  <c r="AL1858" i="2"/>
  <c r="AK1858" i="2"/>
  <c r="AJ1858" i="2"/>
  <c r="AI1858" i="2"/>
  <c r="AH1858" i="2"/>
  <c r="AG1858" i="2"/>
  <c r="AE1858" i="2"/>
  <c r="AD1858" i="2"/>
  <c r="AC1858" i="2"/>
  <c r="AA1858" i="2"/>
  <c r="Z1858" i="2"/>
  <c r="Y1858" i="2"/>
  <c r="X1858" i="2"/>
  <c r="W1858" i="2"/>
  <c r="V1858" i="2"/>
  <c r="U1858" i="2"/>
  <c r="T1858" i="2"/>
  <c r="S1858" i="2"/>
  <c r="R1858" i="2"/>
  <c r="Q1858" i="2"/>
  <c r="P1858" i="2"/>
  <c r="O1858" i="2"/>
  <c r="N1858" i="2"/>
  <c r="M1858" i="2"/>
  <c r="L1858" i="2"/>
  <c r="K1858" i="2"/>
  <c r="J1858" i="2"/>
  <c r="I1858" i="2"/>
  <c r="H1858" i="2"/>
  <c r="G1858" i="2"/>
  <c r="F1858" i="2"/>
  <c r="E1858" i="2"/>
  <c r="D1858" i="2"/>
  <c r="C1858" i="2"/>
  <c r="B1858" i="2"/>
  <c r="A1858" i="2"/>
  <c r="AX1857" i="2"/>
  <c r="AV1857" i="2"/>
  <c r="AU1857" i="2"/>
  <c r="AT1857" i="2"/>
  <c r="AR1857" i="2"/>
  <c r="AQ1857" i="2"/>
  <c r="AP1857" i="2"/>
  <c r="AO1857" i="2"/>
  <c r="AM1857" i="2"/>
  <c r="AL1857" i="2"/>
  <c r="AK1857" i="2"/>
  <c r="AJ1857" i="2"/>
  <c r="AI1857" i="2"/>
  <c r="AH1857" i="2"/>
  <c r="AG1857" i="2"/>
  <c r="AD1857" i="2"/>
  <c r="AC1857" i="2"/>
  <c r="AA1857" i="2"/>
  <c r="Z1857" i="2"/>
  <c r="Y1857" i="2"/>
  <c r="X1857" i="2"/>
  <c r="W1857" i="2"/>
  <c r="V1857" i="2"/>
  <c r="U1857" i="2"/>
  <c r="T1857" i="2"/>
  <c r="S1857" i="2"/>
  <c r="R1857" i="2"/>
  <c r="Q1857" i="2"/>
  <c r="P1857" i="2"/>
  <c r="O1857" i="2"/>
  <c r="N1857" i="2"/>
  <c r="M1857" i="2"/>
  <c r="L1857" i="2"/>
  <c r="K1857" i="2"/>
  <c r="J1857" i="2"/>
  <c r="I1857" i="2"/>
  <c r="H1857" i="2"/>
  <c r="G1857" i="2"/>
  <c r="F1857" i="2"/>
  <c r="E1857" i="2"/>
  <c r="D1857" i="2"/>
  <c r="C1857" i="2"/>
  <c r="B1857" i="2"/>
  <c r="A1857" i="2"/>
  <c r="AX1856" i="2"/>
  <c r="AV1856" i="2"/>
  <c r="AU1856" i="2"/>
  <c r="AT1856" i="2"/>
  <c r="AS1856" i="2"/>
  <c r="AR1856" i="2"/>
  <c r="AQ1856" i="2"/>
  <c r="AO1856" i="2"/>
  <c r="AM1856" i="2"/>
  <c r="AL1856" i="2"/>
  <c r="AK1856" i="2"/>
  <c r="AJ1856" i="2"/>
  <c r="AI1856" i="2"/>
  <c r="AH1856" i="2"/>
  <c r="AG1856" i="2"/>
  <c r="AC1856" i="2"/>
  <c r="AA1856" i="2"/>
  <c r="Z1856" i="2"/>
  <c r="Y1856" i="2"/>
  <c r="X1856" i="2"/>
  <c r="V1856" i="2"/>
  <c r="U1856" i="2"/>
  <c r="T1856" i="2"/>
  <c r="S1856" i="2"/>
  <c r="R1856" i="2"/>
  <c r="Q1856" i="2"/>
  <c r="P1856" i="2"/>
  <c r="O1856" i="2"/>
  <c r="N1856" i="2"/>
  <c r="M1856" i="2"/>
  <c r="L1856" i="2"/>
  <c r="K1856" i="2"/>
  <c r="J1856" i="2"/>
  <c r="I1856" i="2"/>
  <c r="H1856" i="2"/>
  <c r="G1856" i="2"/>
  <c r="F1856" i="2"/>
  <c r="E1856" i="2"/>
  <c r="D1856" i="2"/>
  <c r="C1856" i="2"/>
  <c r="B1856" i="2"/>
  <c r="A1856" i="2"/>
  <c r="AX1855" i="2"/>
  <c r="AV1855" i="2"/>
  <c r="AU1855" i="2"/>
  <c r="AT1855" i="2"/>
  <c r="AS1855" i="2"/>
  <c r="AR1855" i="2"/>
  <c r="AQ1855" i="2"/>
  <c r="AP1855" i="2"/>
  <c r="AO1855" i="2"/>
  <c r="AM1855" i="2"/>
  <c r="AK1855" i="2"/>
  <c r="AJ1855" i="2"/>
  <c r="AI1855" i="2"/>
  <c r="AH1855" i="2"/>
  <c r="AG1855" i="2"/>
  <c r="AF1855" i="2"/>
  <c r="AE1855" i="2"/>
  <c r="AD1855" i="2"/>
  <c r="AC1855" i="2"/>
  <c r="AA1855" i="2"/>
  <c r="Z1855" i="2"/>
  <c r="Y1855" i="2"/>
  <c r="X1855" i="2"/>
  <c r="W1855" i="2"/>
  <c r="V1855" i="2"/>
  <c r="U1855" i="2"/>
  <c r="T1855" i="2"/>
  <c r="S1855" i="2"/>
  <c r="R1855" i="2"/>
  <c r="Q1855" i="2"/>
  <c r="P1855" i="2"/>
  <c r="O1855" i="2"/>
  <c r="N1855" i="2"/>
  <c r="M1855" i="2"/>
  <c r="L1855" i="2"/>
  <c r="K1855" i="2"/>
  <c r="J1855" i="2"/>
  <c r="I1855" i="2"/>
  <c r="H1855" i="2"/>
  <c r="G1855" i="2"/>
  <c r="F1855" i="2"/>
  <c r="E1855" i="2"/>
  <c r="D1855" i="2"/>
  <c r="C1855" i="2"/>
  <c r="B1855" i="2"/>
  <c r="A1855" i="2"/>
  <c r="AX1854" i="2"/>
  <c r="AV1854" i="2"/>
  <c r="AU1854" i="2"/>
  <c r="AT1854" i="2"/>
  <c r="AS1854" i="2"/>
  <c r="AR1854" i="2"/>
  <c r="AQ1854" i="2"/>
  <c r="AP1854" i="2"/>
  <c r="AO1854" i="2"/>
  <c r="AM1854" i="2"/>
  <c r="AL1854" i="2"/>
  <c r="AK1854" i="2"/>
  <c r="AJ1854" i="2"/>
  <c r="AI1854" i="2"/>
  <c r="AH1854" i="2"/>
  <c r="AG1854" i="2"/>
  <c r="AE1854" i="2"/>
  <c r="AD1854" i="2"/>
  <c r="AC1854" i="2"/>
  <c r="AA1854" i="2"/>
  <c r="Z1854" i="2"/>
  <c r="Y1854" i="2"/>
  <c r="X1854" i="2"/>
  <c r="W1854" i="2"/>
  <c r="V1854" i="2"/>
  <c r="U1854" i="2"/>
  <c r="T1854" i="2"/>
  <c r="S1854" i="2"/>
  <c r="R1854" i="2"/>
  <c r="Q1854" i="2"/>
  <c r="P1854" i="2"/>
  <c r="O1854" i="2"/>
  <c r="N1854" i="2"/>
  <c r="M1854" i="2"/>
  <c r="L1854" i="2"/>
  <c r="K1854" i="2"/>
  <c r="J1854" i="2"/>
  <c r="I1854" i="2"/>
  <c r="H1854" i="2"/>
  <c r="G1854" i="2"/>
  <c r="F1854" i="2"/>
  <c r="E1854" i="2"/>
  <c r="D1854" i="2"/>
  <c r="C1854" i="2"/>
  <c r="B1854" i="2"/>
  <c r="A1854" i="2"/>
  <c r="AX1853" i="2"/>
  <c r="AV1853" i="2"/>
  <c r="AU1853" i="2"/>
  <c r="AS1853" i="2"/>
  <c r="AR1853" i="2"/>
  <c r="AQ1853" i="2"/>
  <c r="AO1853" i="2"/>
  <c r="AM1853" i="2"/>
  <c r="AL1853" i="2"/>
  <c r="AI1853" i="2"/>
  <c r="AH1853" i="2"/>
  <c r="AG1853" i="2"/>
  <c r="AE1853" i="2"/>
  <c r="AD1853" i="2"/>
  <c r="AC1853" i="2"/>
  <c r="AA1853" i="2"/>
  <c r="Z1853" i="2"/>
  <c r="Y1853" i="2"/>
  <c r="X1853" i="2"/>
  <c r="W1853" i="2"/>
  <c r="V1853" i="2"/>
  <c r="U1853" i="2"/>
  <c r="T1853" i="2"/>
  <c r="S1853" i="2"/>
  <c r="R1853" i="2"/>
  <c r="Q1853" i="2"/>
  <c r="P1853" i="2"/>
  <c r="O1853" i="2"/>
  <c r="N1853" i="2"/>
  <c r="K1853" i="2"/>
  <c r="J1853" i="2"/>
  <c r="I1853" i="2"/>
  <c r="H1853" i="2"/>
  <c r="G1853" i="2"/>
  <c r="F1853" i="2"/>
  <c r="E1853" i="2"/>
  <c r="D1853" i="2"/>
  <c r="C1853" i="2"/>
  <c r="B1853" i="2"/>
  <c r="A1853" i="2"/>
  <c r="AX1852" i="2"/>
  <c r="AV1852" i="2"/>
  <c r="AU1852" i="2"/>
  <c r="AS1852" i="2"/>
  <c r="AR1852" i="2"/>
  <c r="AQ1852" i="2"/>
  <c r="AO1852" i="2"/>
  <c r="AM1852" i="2"/>
  <c r="AL1852" i="2"/>
  <c r="AK1852" i="2"/>
  <c r="AJ1852" i="2"/>
  <c r="AI1852" i="2"/>
  <c r="AH1852" i="2"/>
  <c r="AG1852" i="2"/>
  <c r="AE1852" i="2"/>
  <c r="AD1852" i="2"/>
  <c r="AC1852" i="2"/>
  <c r="AA1852" i="2"/>
  <c r="Z1852" i="2"/>
  <c r="Y1852" i="2"/>
  <c r="X1852" i="2"/>
  <c r="V1852" i="2"/>
  <c r="U1852" i="2"/>
  <c r="T1852" i="2"/>
  <c r="S1852" i="2"/>
  <c r="R1852" i="2"/>
  <c r="Q1852" i="2"/>
  <c r="P1852" i="2"/>
  <c r="O1852" i="2"/>
  <c r="N1852" i="2"/>
  <c r="K1852" i="2"/>
  <c r="J1852" i="2"/>
  <c r="I1852" i="2"/>
  <c r="H1852" i="2"/>
  <c r="G1852" i="2"/>
  <c r="F1852" i="2"/>
  <c r="E1852" i="2"/>
  <c r="D1852" i="2"/>
  <c r="C1852" i="2"/>
  <c r="B1852" i="2"/>
  <c r="A1852" i="2"/>
  <c r="AX1851" i="2"/>
  <c r="AV1851" i="2"/>
  <c r="AU1851" i="2"/>
  <c r="AT1851" i="2"/>
  <c r="AS1851" i="2"/>
  <c r="AR1851" i="2"/>
  <c r="AQ1851" i="2"/>
  <c r="AP1851" i="2"/>
  <c r="AO1851" i="2"/>
  <c r="AM1851" i="2"/>
  <c r="AL1851" i="2"/>
  <c r="AK1851" i="2"/>
  <c r="AJ1851" i="2"/>
  <c r="AI1851" i="2"/>
  <c r="AH1851" i="2"/>
  <c r="AG1851" i="2"/>
  <c r="AD1851" i="2"/>
  <c r="AC1851" i="2"/>
  <c r="AA1851" i="2"/>
  <c r="Z1851" i="2"/>
  <c r="Y1851" i="2"/>
  <c r="X1851" i="2"/>
  <c r="W1851" i="2"/>
  <c r="V1851" i="2"/>
  <c r="U1851" i="2"/>
  <c r="T1851" i="2"/>
  <c r="S1851" i="2"/>
  <c r="R1851" i="2"/>
  <c r="Q1851" i="2"/>
  <c r="P1851" i="2"/>
  <c r="O1851" i="2"/>
  <c r="N1851" i="2"/>
  <c r="M1851" i="2"/>
  <c r="L1851" i="2"/>
  <c r="K1851" i="2"/>
  <c r="J1851" i="2"/>
  <c r="I1851" i="2"/>
  <c r="H1851" i="2"/>
  <c r="G1851" i="2"/>
  <c r="F1851" i="2"/>
  <c r="E1851" i="2"/>
  <c r="D1851" i="2"/>
  <c r="C1851" i="2"/>
  <c r="B1851" i="2"/>
  <c r="A1851" i="2"/>
  <c r="AX1850" i="2"/>
  <c r="AV1850" i="2"/>
  <c r="AU1850" i="2"/>
  <c r="AS1850" i="2"/>
  <c r="AR1850" i="2"/>
  <c r="AQ1850" i="2"/>
  <c r="AO1850" i="2"/>
  <c r="AM1850" i="2"/>
  <c r="AL1850" i="2"/>
  <c r="AK1850" i="2"/>
  <c r="AJ1850" i="2"/>
  <c r="AI1850" i="2"/>
  <c r="AH1850" i="2"/>
  <c r="AG1850" i="2"/>
  <c r="AE1850" i="2"/>
  <c r="AD1850" i="2"/>
  <c r="AC1850" i="2"/>
  <c r="AA1850" i="2"/>
  <c r="Z1850" i="2"/>
  <c r="Y1850" i="2"/>
  <c r="X1850" i="2"/>
  <c r="W1850" i="2"/>
  <c r="V1850" i="2"/>
  <c r="U1850" i="2"/>
  <c r="T1850" i="2"/>
  <c r="S1850" i="2"/>
  <c r="R1850" i="2"/>
  <c r="Q1850" i="2"/>
  <c r="P1850" i="2"/>
  <c r="O1850" i="2"/>
  <c r="N1850" i="2"/>
  <c r="K1850" i="2"/>
  <c r="J1850" i="2"/>
  <c r="I1850" i="2"/>
  <c r="H1850" i="2"/>
  <c r="G1850" i="2"/>
  <c r="F1850" i="2"/>
  <c r="E1850" i="2"/>
  <c r="D1850" i="2"/>
  <c r="C1850" i="2"/>
  <c r="B1850" i="2"/>
  <c r="A1850" i="2"/>
  <c r="AX1849" i="2"/>
  <c r="AV1849" i="2"/>
  <c r="AU1849" i="2"/>
  <c r="AS1849" i="2"/>
  <c r="AR1849" i="2"/>
  <c r="AQ1849" i="2"/>
  <c r="AP1849" i="2"/>
  <c r="AO1849" i="2"/>
  <c r="AN1849" i="2"/>
  <c r="AM1849" i="2"/>
  <c r="AL1849" i="2"/>
  <c r="AK1849" i="2"/>
  <c r="AJ1849" i="2"/>
  <c r="AI1849" i="2"/>
  <c r="AH1849" i="2"/>
  <c r="AG1849" i="2"/>
  <c r="AE1849" i="2"/>
  <c r="AD1849" i="2"/>
  <c r="AC1849" i="2"/>
  <c r="AA1849" i="2"/>
  <c r="Z1849" i="2"/>
  <c r="Y1849" i="2"/>
  <c r="W1849" i="2"/>
  <c r="V1849" i="2"/>
  <c r="U1849" i="2"/>
  <c r="T1849" i="2"/>
  <c r="S1849" i="2"/>
  <c r="R1849" i="2"/>
  <c r="Q1849" i="2"/>
  <c r="P1849" i="2"/>
  <c r="O1849" i="2"/>
  <c r="N1849" i="2"/>
  <c r="M1849" i="2"/>
  <c r="L1849" i="2"/>
  <c r="K1849" i="2"/>
  <c r="J1849" i="2"/>
  <c r="I1849" i="2"/>
  <c r="H1849" i="2"/>
  <c r="G1849" i="2"/>
  <c r="F1849" i="2"/>
  <c r="E1849" i="2"/>
  <c r="D1849" i="2"/>
  <c r="C1849" i="2"/>
  <c r="B1849" i="2"/>
  <c r="A1849" i="2"/>
  <c r="AX1848" i="2"/>
  <c r="AV1848" i="2"/>
  <c r="AU1848" i="2"/>
  <c r="AS1848" i="2"/>
  <c r="AR1848" i="2"/>
  <c r="AQ1848" i="2"/>
  <c r="AO1848" i="2"/>
  <c r="AM1848" i="2"/>
  <c r="AL1848" i="2"/>
  <c r="AK1848" i="2"/>
  <c r="AJ1848" i="2"/>
  <c r="AI1848" i="2"/>
  <c r="AH1848" i="2"/>
  <c r="AG1848" i="2"/>
  <c r="AF1848" i="2"/>
  <c r="AE1848" i="2"/>
  <c r="AD1848" i="2"/>
  <c r="AC1848" i="2"/>
  <c r="AA1848" i="2"/>
  <c r="Z1848" i="2"/>
  <c r="Y1848" i="2"/>
  <c r="X1848" i="2"/>
  <c r="W1848" i="2"/>
  <c r="V1848" i="2"/>
  <c r="U1848" i="2"/>
  <c r="T1848" i="2"/>
  <c r="S1848" i="2"/>
  <c r="R1848" i="2"/>
  <c r="Q1848" i="2"/>
  <c r="P1848" i="2"/>
  <c r="O1848" i="2"/>
  <c r="N1848" i="2"/>
  <c r="K1848" i="2"/>
  <c r="J1848" i="2"/>
  <c r="I1848" i="2"/>
  <c r="H1848" i="2"/>
  <c r="G1848" i="2"/>
  <c r="F1848" i="2"/>
  <c r="E1848" i="2"/>
  <c r="D1848" i="2"/>
  <c r="C1848" i="2"/>
  <c r="B1848" i="2"/>
  <c r="A1848" i="2"/>
  <c r="AX1847" i="2"/>
  <c r="AV1847" i="2"/>
  <c r="AU1847" i="2"/>
  <c r="AS1847" i="2"/>
  <c r="AR1847" i="2"/>
  <c r="AQ1847" i="2"/>
  <c r="AM1847" i="2"/>
  <c r="AI1847" i="2"/>
  <c r="AH1847" i="2"/>
  <c r="AG1847" i="2"/>
  <c r="AE1847" i="2"/>
  <c r="AD1847" i="2"/>
  <c r="AC1847" i="2"/>
  <c r="AA1847" i="2"/>
  <c r="Z1847" i="2"/>
  <c r="Y1847" i="2"/>
  <c r="X1847" i="2"/>
  <c r="W1847" i="2"/>
  <c r="V1847" i="2"/>
  <c r="U1847" i="2"/>
  <c r="T1847" i="2"/>
  <c r="S1847" i="2"/>
  <c r="R1847" i="2"/>
  <c r="Q1847" i="2"/>
  <c r="P1847" i="2"/>
  <c r="O1847" i="2"/>
  <c r="N1847" i="2"/>
  <c r="K1847" i="2"/>
  <c r="J1847" i="2"/>
  <c r="I1847" i="2"/>
  <c r="H1847" i="2"/>
  <c r="G1847" i="2"/>
  <c r="F1847" i="2"/>
  <c r="E1847" i="2"/>
  <c r="D1847" i="2"/>
  <c r="C1847" i="2"/>
  <c r="B1847" i="2"/>
  <c r="A1847" i="2"/>
  <c r="AX1846" i="2"/>
  <c r="AV1846" i="2"/>
  <c r="AU1846" i="2"/>
  <c r="AR1846" i="2"/>
  <c r="AO1846" i="2"/>
  <c r="AM1846" i="2"/>
  <c r="AL1846" i="2"/>
  <c r="AK1846" i="2"/>
  <c r="AJ1846" i="2"/>
  <c r="AI1846" i="2"/>
  <c r="AH1846" i="2"/>
  <c r="AG1846" i="2"/>
  <c r="AE1846" i="2"/>
  <c r="AD1846" i="2"/>
  <c r="AC1846" i="2"/>
  <c r="AA1846" i="2"/>
  <c r="Z1846" i="2"/>
  <c r="Y1846" i="2"/>
  <c r="X1846" i="2"/>
  <c r="W1846" i="2"/>
  <c r="V1846" i="2"/>
  <c r="U1846" i="2"/>
  <c r="T1846" i="2"/>
  <c r="S1846" i="2"/>
  <c r="R1846" i="2"/>
  <c r="Q1846" i="2"/>
  <c r="P1846" i="2"/>
  <c r="O1846" i="2"/>
  <c r="N1846" i="2"/>
  <c r="M1846" i="2"/>
  <c r="L1846" i="2"/>
  <c r="K1846" i="2"/>
  <c r="J1846" i="2"/>
  <c r="I1846" i="2"/>
  <c r="H1846" i="2"/>
  <c r="G1846" i="2"/>
  <c r="F1846" i="2"/>
  <c r="E1846" i="2"/>
  <c r="D1846" i="2"/>
  <c r="C1846" i="2"/>
  <c r="B1846" i="2"/>
  <c r="A1846" i="2"/>
  <c r="AX1845" i="2"/>
  <c r="AV1845" i="2"/>
  <c r="AU1845" i="2"/>
  <c r="AS1845" i="2"/>
  <c r="AR1845" i="2"/>
  <c r="AQ1845" i="2"/>
  <c r="AO1845" i="2"/>
  <c r="AM1845" i="2"/>
  <c r="AL1845" i="2"/>
  <c r="AK1845" i="2"/>
  <c r="AJ1845" i="2"/>
  <c r="AI1845" i="2"/>
  <c r="AH1845" i="2"/>
  <c r="AG1845" i="2"/>
  <c r="AF1845" i="2"/>
  <c r="AE1845" i="2"/>
  <c r="AC1845" i="2"/>
  <c r="AA1845" i="2"/>
  <c r="Z1845" i="2"/>
  <c r="Y1845" i="2"/>
  <c r="X1845" i="2"/>
  <c r="W1845" i="2"/>
  <c r="V1845" i="2"/>
  <c r="U1845" i="2"/>
  <c r="T1845" i="2"/>
  <c r="S1845" i="2"/>
  <c r="R1845" i="2"/>
  <c r="Q1845" i="2"/>
  <c r="P1845" i="2"/>
  <c r="O1845" i="2"/>
  <c r="N1845" i="2"/>
  <c r="K1845" i="2"/>
  <c r="J1845" i="2"/>
  <c r="I1845" i="2"/>
  <c r="H1845" i="2"/>
  <c r="G1845" i="2"/>
  <c r="F1845" i="2"/>
  <c r="E1845" i="2"/>
  <c r="D1845" i="2"/>
  <c r="C1845" i="2"/>
  <c r="B1845" i="2"/>
  <c r="A1845" i="2"/>
  <c r="AX1844" i="2"/>
  <c r="AV1844" i="2"/>
  <c r="AU1844" i="2"/>
  <c r="AS1844" i="2"/>
  <c r="AR1844" i="2"/>
  <c r="AO1844" i="2"/>
  <c r="AN1844" i="2"/>
  <c r="AM1844" i="2"/>
  <c r="AL1844" i="2"/>
  <c r="AK1844" i="2"/>
  <c r="AI1844" i="2"/>
  <c r="AH1844" i="2"/>
  <c r="AG1844" i="2"/>
  <c r="AE1844" i="2"/>
  <c r="AD1844" i="2"/>
  <c r="AC1844" i="2"/>
  <c r="AA1844" i="2"/>
  <c r="Z1844" i="2"/>
  <c r="Y1844" i="2"/>
  <c r="X1844" i="2"/>
  <c r="W1844" i="2"/>
  <c r="V1844" i="2"/>
  <c r="U1844" i="2"/>
  <c r="T1844" i="2"/>
  <c r="S1844" i="2"/>
  <c r="R1844" i="2"/>
  <c r="Q1844" i="2"/>
  <c r="P1844" i="2"/>
  <c r="O1844" i="2"/>
  <c r="N1844" i="2"/>
  <c r="M1844" i="2"/>
  <c r="L1844" i="2"/>
  <c r="K1844" i="2"/>
  <c r="J1844" i="2"/>
  <c r="I1844" i="2"/>
  <c r="H1844" i="2"/>
  <c r="G1844" i="2"/>
  <c r="F1844" i="2"/>
  <c r="E1844" i="2"/>
  <c r="D1844" i="2"/>
  <c r="C1844" i="2"/>
  <c r="B1844" i="2"/>
  <c r="A1844" i="2"/>
  <c r="AX1843" i="2"/>
  <c r="AV1843" i="2"/>
  <c r="AU1843" i="2"/>
  <c r="AS1843" i="2"/>
  <c r="AR1843" i="2"/>
  <c r="AQ1843" i="2"/>
  <c r="AO1843" i="2"/>
  <c r="AM1843" i="2"/>
  <c r="AL1843" i="2"/>
  <c r="AK1843" i="2"/>
  <c r="AJ1843" i="2"/>
  <c r="AI1843" i="2"/>
  <c r="AH1843" i="2"/>
  <c r="AG1843" i="2"/>
  <c r="AE1843" i="2"/>
  <c r="AD1843" i="2"/>
  <c r="AC1843" i="2"/>
  <c r="AA1843" i="2"/>
  <c r="Z1843" i="2"/>
  <c r="Y1843" i="2"/>
  <c r="X1843" i="2"/>
  <c r="W1843" i="2"/>
  <c r="V1843" i="2"/>
  <c r="U1843" i="2"/>
  <c r="T1843" i="2"/>
  <c r="S1843" i="2"/>
  <c r="R1843" i="2"/>
  <c r="Q1843" i="2"/>
  <c r="P1843" i="2"/>
  <c r="O1843" i="2"/>
  <c r="N1843" i="2"/>
  <c r="K1843" i="2"/>
  <c r="J1843" i="2"/>
  <c r="I1843" i="2"/>
  <c r="H1843" i="2"/>
  <c r="G1843" i="2"/>
  <c r="F1843" i="2"/>
  <c r="E1843" i="2"/>
  <c r="D1843" i="2"/>
  <c r="C1843" i="2"/>
  <c r="B1843" i="2"/>
  <c r="A1843" i="2"/>
  <c r="AX1842" i="2"/>
  <c r="AV1842" i="2"/>
  <c r="AU1842" i="2"/>
  <c r="AS1842" i="2"/>
  <c r="AR1842" i="2"/>
  <c r="AQ1842" i="2"/>
  <c r="AO1842" i="2"/>
  <c r="AM1842" i="2"/>
  <c r="AL1842" i="2"/>
  <c r="AK1842" i="2"/>
  <c r="AJ1842" i="2"/>
  <c r="AI1842" i="2"/>
  <c r="AH1842" i="2"/>
  <c r="AG1842" i="2"/>
  <c r="AE1842" i="2"/>
  <c r="AD1842" i="2"/>
  <c r="AC1842" i="2"/>
  <c r="AA1842" i="2"/>
  <c r="Z1842" i="2"/>
  <c r="Y1842" i="2"/>
  <c r="X1842" i="2"/>
  <c r="V1842" i="2"/>
  <c r="U1842" i="2"/>
  <c r="T1842" i="2"/>
  <c r="S1842" i="2"/>
  <c r="R1842" i="2"/>
  <c r="Q1842" i="2"/>
  <c r="P1842" i="2"/>
  <c r="O1842" i="2"/>
  <c r="N1842" i="2"/>
  <c r="K1842" i="2"/>
  <c r="J1842" i="2"/>
  <c r="I1842" i="2"/>
  <c r="H1842" i="2"/>
  <c r="G1842" i="2"/>
  <c r="F1842" i="2"/>
  <c r="E1842" i="2"/>
  <c r="D1842" i="2"/>
  <c r="C1842" i="2"/>
  <c r="B1842" i="2"/>
  <c r="A1842" i="2"/>
  <c r="AX1841" i="2"/>
  <c r="AV1841" i="2"/>
  <c r="AU1841" i="2"/>
  <c r="AS1841" i="2"/>
  <c r="AR1841" i="2"/>
  <c r="AQ1841" i="2"/>
  <c r="AP1841" i="2"/>
  <c r="AO1841" i="2"/>
  <c r="AN1841" i="2"/>
  <c r="AM1841" i="2"/>
  <c r="AL1841" i="2"/>
  <c r="AK1841" i="2"/>
  <c r="AJ1841" i="2"/>
  <c r="AI1841" i="2"/>
  <c r="AH1841" i="2"/>
  <c r="AG1841" i="2"/>
  <c r="AE1841" i="2"/>
  <c r="AD1841" i="2"/>
  <c r="AC1841" i="2"/>
  <c r="AB1841" i="2"/>
  <c r="AA1841" i="2"/>
  <c r="Z1841" i="2"/>
  <c r="Y1841" i="2"/>
  <c r="W1841" i="2"/>
  <c r="V1841" i="2"/>
  <c r="U1841" i="2"/>
  <c r="T1841" i="2"/>
  <c r="S1841" i="2"/>
  <c r="R1841" i="2"/>
  <c r="Q1841" i="2"/>
  <c r="P1841" i="2"/>
  <c r="O1841" i="2"/>
  <c r="N1841" i="2"/>
  <c r="M1841" i="2"/>
  <c r="L1841" i="2"/>
  <c r="K1841" i="2"/>
  <c r="J1841" i="2"/>
  <c r="I1841" i="2"/>
  <c r="H1841" i="2"/>
  <c r="G1841" i="2"/>
  <c r="F1841" i="2"/>
  <c r="E1841" i="2"/>
  <c r="D1841" i="2"/>
  <c r="C1841" i="2"/>
  <c r="B1841" i="2"/>
  <c r="A1841" i="2"/>
  <c r="AX1840" i="2"/>
  <c r="AV1840" i="2"/>
  <c r="AU1840" i="2"/>
  <c r="AR1840" i="2"/>
  <c r="AO1840" i="2"/>
  <c r="AM1840" i="2"/>
  <c r="AL1840" i="2"/>
  <c r="AK1840" i="2"/>
  <c r="AJ1840" i="2"/>
  <c r="AI1840" i="2"/>
  <c r="AH1840" i="2"/>
  <c r="AG1840" i="2"/>
  <c r="AE1840" i="2"/>
  <c r="AD1840" i="2"/>
  <c r="AC1840" i="2"/>
  <c r="AA1840" i="2"/>
  <c r="Z1840" i="2"/>
  <c r="Y1840" i="2"/>
  <c r="X1840" i="2"/>
  <c r="W1840" i="2"/>
  <c r="V1840" i="2"/>
  <c r="U1840" i="2"/>
  <c r="T1840" i="2"/>
  <c r="S1840" i="2"/>
  <c r="R1840" i="2"/>
  <c r="Q1840" i="2"/>
  <c r="P1840" i="2"/>
  <c r="O1840" i="2"/>
  <c r="N1840" i="2"/>
  <c r="M1840" i="2"/>
  <c r="L1840" i="2"/>
  <c r="K1840" i="2"/>
  <c r="J1840" i="2"/>
  <c r="I1840" i="2"/>
  <c r="H1840" i="2"/>
  <c r="G1840" i="2"/>
  <c r="F1840" i="2"/>
  <c r="E1840" i="2"/>
  <c r="D1840" i="2"/>
  <c r="C1840" i="2"/>
  <c r="B1840" i="2"/>
  <c r="A1840" i="2"/>
  <c r="AX1839" i="2"/>
  <c r="AV1839" i="2"/>
  <c r="AU1839" i="2"/>
  <c r="AS1839" i="2"/>
  <c r="AR1839" i="2"/>
  <c r="AQ1839" i="2"/>
  <c r="AP1839" i="2"/>
  <c r="AO1839" i="2"/>
  <c r="AM1839" i="2"/>
  <c r="AL1839" i="2"/>
  <c r="AK1839" i="2"/>
  <c r="AJ1839" i="2"/>
  <c r="AI1839" i="2"/>
  <c r="AH1839" i="2"/>
  <c r="AG1839" i="2"/>
  <c r="AF1839" i="2"/>
  <c r="AE1839" i="2"/>
  <c r="AD1839" i="2"/>
  <c r="AC1839" i="2"/>
  <c r="AA1839" i="2"/>
  <c r="Z1839" i="2"/>
  <c r="Y1839" i="2"/>
  <c r="X1839" i="2"/>
  <c r="W1839" i="2"/>
  <c r="V1839" i="2"/>
  <c r="U1839" i="2"/>
  <c r="T1839" i="2"/>
  <c r="S1839" i="2"/>
  <c r="R1839" i="2"/>
  <c r="Q1839" i="2"/>
  <c r="P1839" i="2"/>
  <c r="O1839" i="2"/>
  <c r="N1839" i="2"/>
  <c r="M1839" i="2"/>
  <c r="L1839" i="2"/>
  <c r="K1839" i="2"/>
  <c r="J1839" i="2"/>
  <c r="I1839" i="2"/>
  <c r="H1839" i="2"/>
  <c r="G1839" i="2"/>
  <c r="F1839" i="2"/>
  <c r="E1839" i="2"/>
  <c r="D1839" i="2"/>
  <c r="C1839" i="2"/>
  <c r="B1839" i="2"/>
  <c r="A1839" i="2"/>
  <c r="AX1838" i="2"/>
  <c r="AV1838" i="2"/>
  <c r="AU1838" i="2"/>
  <c r="AT1838" i="2"/>
  <c r="AS1838" i="2"/>
  <c r="AR1838" i="2"/>
  <c r="AQ1838" i="2"/>
  <c r="AP1838" i="2"/>
  <c r="AO1838" i="2"/>
  <c r="AM1838" i="2"/>
  <c r="AL1838" i="2"/>
  <c r="AI1838" i="2"/>
  <c r="AH1838" i="2"/>
  <c r="AG1838" i="2"/>
  <c r="AD1838" i="2"/>
  <c r="AC1838" i="2"/>
  <c r="AA1838" i="2"/>
  <c r="Z1838" i="2"/>
  <c r="Y1838" i="2"/>
  <c r="X1838" i="2"/>
  <c r="W1838" i="2"/>
  <c r="V1838" i="2"/>
  <c r="U1838" i="2"/>
  <c r="T1838" i="2"/>
  <c r="S1838" i="2"/>
  <c r="R1838" i="2"/>
  <c r="Q1838" i="2"/>
  <c r="P1838" i="2"/>
  <c r="O1838" i="2"/>
  <c r="N1838" i="2"/>
  <c r="K1838" i="2"/>
  <c r="J1838" i="2"/>
  <c r="I1838" i="2"/>
  <c r="H1838" i="2"/>
  <c r="G1838" i="2"/>
  <c r="F1838" i="2"/>
  <c r="E1838" i="2"/>
  <c r="D1838" i="2"/>
  <c r="C1838" i="2"/>
  <c r="B1838" i="2"/>
  <c r="A1838" i="2"/>
  <c r="AX1837" i="2"/>
  <c r="AV1837" i="2"/>
  <c r="AU1837" i="2"/>
  <c r="AS1837" i="2"/>
  <c r="AR1837" i="2"/>
  <c r="AQ1837" i="2"/>
  <c r="AO1837" i="2"/>
  <c r="AM1837" i="2"/>
  <c r="AL1837" i="2"/>
  <c r="AJ1837" i="2"/>
  <c r="AI1837" i="2"/>
  <c r="AH1837" i="2"/>
  <c r="AG1837" i="2"/>
  <c r="AE1837" i="2"/>
  <c r="AD1837" i="2"/>
  <c r="AC1837" i="2"/>
  <c r="AA1837" i="2"/>
  <c r="Z1837" i="2"/>
  <c r="Y1837" i="2"/>
  <c r="W1837" i="2"/>
  <c r="V1837" i="2"/>
  <c r="U1837" i="2"/>
  <c r="T1837" i="2"/>
  <c r="S1837" i="2"/>
  <c r="R1837" i="2"/>
  <c r="Q1837" i="2"/>
  <c r="P1837" i="2"/>
  <c r="O1837" i="2"/>
  <c r="N1837" i="2"/>
  <c r="M1837" i="2"/>
  <c r="L1837" i="2"/>
  <c r="K1837" i="2"/>
  <c r="J1837" i="2"/>
  <c r="I1837" i="2"/>
  <c r="H1837" i="2"/>
  <c r="G1837" i="2"/>
  <c r="F1837" i="2"/>
  <c r="E1837" i="2"/>
  <c r="D1837" i="2"/>
  <c r="C1837" i="2"/>
  <c r="B1837" i="2"/>
  <c r="A1837" i="2"/>
  <c r="AX1836" i="2"/>
  <c r="AV1836" i="2"/>
  <c r="AU1836" i="2"/>
  <c r="AR1836" i="2"/>
  <c r="AQ1836" i="2"/>
  <c r="AO1836" i="2"/>
  <c r="AM1836" i="2"/>
  <c r="AL1836" i="2"/>
  <c r="AK1836" i="2"/>
  <c r="AI1836" i="2"/>
  <c r="AH1836" i="2"/>
  <c r="AG1836" i="2"/>
  <c r="AE1836" i="2"/>
  <c r="AD1836" i="2"/>
  <c r="AC1836" i="2"/>
  <c r="AA1836" i="2"/>
  <c r="Z1836" i="2"/>
  <c r="Y1836" i="2"/>
  <c r="X1836" i="2"/>
  <c r="W1836" i="2"/>
  <c r="V1836" i="2"/>
  <c r="U1836" i="2"/>
  <c r="T1836" i="2"/>
  <c r="S1836" i="2"/>
  <c r="R1836" i="2"/>
  <c r="Q1836" i="2"/>
  <c r="P1836" i="2"/>
  <c r="O1836" i="2"/>
  <c r="N1836" i="2"/>
  <c r="M1836" i="2"/>
  <c r="K1836" i="2"/>
  <c r="J1836" i="2"/>
  <c r="I1836" i="2"/>
  <c r="H1836" i="2"/>
  <c r="G1836" i="2"/>
  <c r="F1836" i="2"/>
  <c r="E1836" i="2"/>
  <c r="D1836" i="2"/>
  <c r="C1836" i="2"/>
  <c r="B1836" i="2"/>
  <c r="A1836" i="2"/>
  <c r="AX1835" i="2"/>
  <c r="AV1835" i="2"/>
  <c r="AU1835" i="2"/>
  <c r="AT1835" i="2"/>
  <c r="AS1835" i="2"/>
  <c r="AR1835" i="2"/>
  <c r="AQ1835" i="2"/>
  <c r="AO1835" i="2"/>
  <c r="AM1835" i="2"/>
  <c r="AL1835" i="2"/>
  <c r="AK1835" i="2"/>
  <c r="AJ1835" i="2"/>
  <c r="AI1835" i="2"/>
  <c r="AH1835" i="2"/>
  <c r="AG1835" i="2"/>
  <c r="AF1835" i="2"/>
  <c r="AE1835" i="2"/>
  <c r="AD1835" i="2"/>
  <c r="AC1835" i="2"/>
  <c r="AA1835" i="2"/>
  <c r="Z1835" i="2"/>
  <c r="Y1835" i="2"/>
  <c r="X1835" i="2"/>
  <c r="W1835" i="2"/>
  <c r="V1835" i="2"/>
  <c r="U1835" i="2"/>
  <c r="T1835" i="2"/>
  <c r="S1835" i="2"/>
  <c r="R1835" i="2"/>
  <c r="Q1835" i="2"/>
  <c r="P1835" i="2"/>
  <c r="O1835" i="2"/>
  <c r="N1835" i="2"/>
  <c r="M1835" i="2"/>
  <c r="L1835" i="2"/>
  <c r="K1835" i="2"/>
  <c r="J1835" i="2"/>
  <c r="I1835" i="2"/>
  <c r="H1835" i="2"/>
  <c r="G1835" i="2"/>
  <c r="F1835" i="2"/>
  <c r="E1835" i="2"/>
  <c r="D1835" i="2"/>
  <c r="C1835" i="2"/>
  <c r="B1835" i="2"/>
  <c r="A1835" i="2"/>
  <c r="AX1834" i="2"/>
  <c r="AV1834" i="2"/>
  <c r="AU1834" i="2"/>
  <c r="AS1834" i="2"/>
  <c r="AR1834" i="2"/>
  <c r="AQ1834" i="2"/>
  <c r="AO1834" i="2"/>
  <c r="AM1834" i="2"/>
  <c r="AL1834" i="2"/>
  <c r="AK1834" i="2"/>
  <c r="AJ1834" i="2"/>
  <c r="AI1834" i="2"/>
  <c r="AH1834" i="2"/>
  <c r="AG1834" i="2"/>
  <c r="AF1834" i="2"/>
  <c r="AE1834" i="2"/>
  <c r="AD1834" i="2"/>
  <c r="AC1834" i="2"/>
  <c r="AA1834" i="2"/>
  <c r="Z1834" i="2"/>
  <c r="Y1834" i="2"/>
  <c r="X1834" i="2"/>
  <c r="W1834" i="2"/>
  <c r="V1834" i="2"/>
  <c r="U1834" i="2"/>
  <c r="T1834" i="2"/>
  <c r="S1834" i="2"/>
  <c r="R1834" i="2"/>
  <c r="Q1834" i="2"/>
  <c r="P1834" i="2"/>
  <c r="O1834" i="2"/>
  <c r="N1834" i="2"/>
  <c r="K1834" i="2"/>
  <c r="J1834" i="2"/>
  <c r="I1834" i="2"/>
  <c r="H1834" i="2"/>
  <c r="G1834" i="2"/>
  <c r="F1834" i="2"/>
  <c r="E1834" i="2"/>
  <c r="D1834" i="2"/>
  <c r="C1834" i="2"/>
  <c r="B1834" i="2"/>
  <c r="A1834" i="2"/>
  <c r="AX1833" i="2"/>
  <c r="AW1833" i="2"/>
  <c r="AV1833" i="2"/>
  <c r="AU1833" i="2"/>
  <c r="AS1833" i="2"/>
  <c r="AR1833" i="2"/>
  <c r="AO1833" i="2"/>
  <c r="AN1833" i="2"/>
  <c r="AM1833" i="2"/>
  <c r="AL1833" i="2"/>
  <c r="AK1833" i="2"/>
  <c r="AJ1833" i="2"/>
  <c r="AI1833" i="2"/>
  <c r="AH1833" i="2"/>
  <c r="AG1833" i="2"/>
  <c r="AE1833" i="2"/>
  <c r="AD1833" i="2"/>
  <c r="AC1833" i="2"/>
  <c r="AB1833" i="2"/>
  <c r="AA1833" i="2"/>
  <c r="Z1833" i="2"/>
  <c r="Y1833" i="2"/>
  <c r="X1833" i="2"/>
  <c r="W1833" i="2"/>
  <c r="V1833" i="2"/>
  <c r="U1833" i="2"/>
  <c r="T1833" i="2"/>
  <c r="S1833" i="2"/>
  <c r="R1833" i="2"/>
  <c r="Q1833" i="2"/>
  <c r="P1833" i="2"/>
  <c r="O1833" i="2"/>
  <c r="N1833" i="2"/>
  <c r="M1833" i="2"/>
  <c r="L1833" i="2"/>
  <c r="K1833" i="2"/>
  <c r="J1833" i="2"/>
  <c r="I1833" i="2"/>
  <c r="H1833" i="2"/>
  <c r="G1833" i="2"/>
  <c r="F1833" i="2"/>
  <c r="E1833" i="2"/>
  <c r="D1833" i="2"/>
  <c r="C1833" i="2"/>
  <c r="B1833" i="2"/>
  <c r="A1833" i="2"/>
  <c r="AX1832" i="2"/>
  <c r="AV1832" i="2"/>
  <c r="AU1832" i="2"/>
  <c r="AT1832" i="2"/>
  <c r="AS1832" i="2"/>
  <c r="AR1832" i="2"/>
  <c r="AQ1832" i="2"/>
  <c r="AP1832" i="2"/>
  <c r="AO1832" i="2"/>
  <c r="AN1832" i="2"/>
  <c r="AM1832" i="2"/>
  <c r="AL1832" i="2"/>
  <c r="AK1832" i="2"/>
  <c r="AJ1832" i="2"/>
  <c r="AI1832" i="2"/>
  <c r="AH1832" i="2"/>
  <c r="AG1832" i="2"/>
  <c r="AE1832" i="2"/>
  <c r="AD1832" i="2"/>
  <c r="AC1832" i="2"/>
  <c r="AB1832" i="2"/>
  <c r="AA1832" i="2"/>
  <c r="Z1832" i="2"/>
  <c r="Y1832" i="2"/>
  <c r="X1832" i="2"/>
  <c r="W1832" i="2"/>
  <c r="V1832" i="2"/>
  <c r="U1832" i="2"/>
  <c r="T1832" i="2"/>
  <c r="S1832" i="2"/>
  <c r="R1832" i="2"/>
  <c r="Q1832" i="2"/>
  <c r="P1832" i="2"/>
  <c r="O1832" i="2"/>
  <c r="N1832" i="2"/>
  <c r="M1832" i="2"/>
  <c r="L1832" i="2"/>
  <c r="K1832" i="2"/>
  <c r="J1832" i="2"/>
  <c r="I1832" i="2"/>
  <c r="H1832" i="2"/>
  <c r="G1832" i="2"/>
  <c r="F1832" i="2"/>
  <c r="E1832" i="2"/>
  <c r="D1832" i="2"/>
  <c r="C1832" i="2"/>
  <c r="B1832" i="2"/>
  <c r="A1832" i="2"/>
  <c r="AX1831" i="2"/>
  <c r="AV1831" i="2"/>
  <c r="AU1831" i="2"/>
  <c r="AR1831" i="2"/>
  <c r="AQ1831" i="2"/>
  <c r="AO1831" i="2"/>
  <c r="AM1831" i="2"/>
  <c r="AK1831" i="2"/>
  <c r="AJ1831" i="2"/>
  <c r="AI1831" i="2"/>
  <c r="AH1831" i="2"/>
  <c r="AG1831" i="2"/>
  <c r="AE1831" i="2"/>
  <c r="AC1831" i="2"/>
  <c r="AA1831" i="2"/>
  <c r="Z1831" i="2"/>
  <c r="Y1831" i="2"/>
  <c r="X1831" i="2"/>
  <c r="W1831" i="2"/>
  <c r="V1831" i="2"/>
  <c r="U1831" i="2"/>
  <c r="T1831" i="2"/>
  <c r="S1831" i="2"/>
  <c r="R1831" i="2"/>
  <c r="Q1831" i="2"/>
  <c r="P1831" i="2"/>
  <c r="O1831" i="2"/>
  <c r="N1831" i="2"/>
  <c r="K1831" i="2"/>
  <c r="J1831" i="2"/>
  <c r="I1831" i="2"/>
  <c r="H1831" i="2"/>
  <c r="G1831" i="2"/>
  <c r="F1831" i="2"/>
  <c r="E1831" i="2"/>
  <c r="D1831" i="2"/>
  <c r="C1831" i="2"/>
  <c r="B1831" i="2"/>
  <c r="A1831" i="2"/>
  <c r="AX1830" i="2"/>
  <c r="AV1830" i="2"/>
  <c r="AU1830" i="2"/>
  <c r="AR1830" i="2"/>
  <c r="AO1830" i="2"/>
  <c r="AM1830" i="2"/>
  <c r="AK1830" i="2"/>
  <c r="AJ1830" i="2"/>
  <c r="AI1830" i="2"/>
  <c r="AH1830" i="2"/>
  <c r="AG1830" i="2"/>
  <c r="AF1830" i="2"/>
  <c r="AE1830" i="2"/>
  <c r="AD1830" i="2"/>
  <c r="AC1830" i="2"/>
  <c r="Z1830" i="2"/>
  <c r="Y1830" i="2"/>
  <c r="X1830" i="2"/>
  <c r="W1830" i="2"/>
  <c r="V1830" i="2"/>
  <c r="U1830" i="2"/>
  <c r="T1830" i="2"/>
  <c r="S1830" i="2"/>
  <c r="R1830" i="2"/>
  <c r="Q1830" i="2"/>
  <c r="P1830" i="2"/>
  <c r="O1830" i="2"/>
  <c r="N1830" i="2"/>
  <c r="M1830" i="2"/>
  <c r="L1830" i="2"/>
  <c r="K1830" i="2"/>
  <c r="J1830" i="2"/>
  <c r="I1830" i="2"/>
  <c r="H1830" i="2"/>
  <c r="G1830" i="2"/>
  <c r="F1830" i="2"/>
  <c r="E1830" i="2"/>
  <c r="D1830" i="2"/>
  <c r="C1830" i="2"/>
  <c r="B1830" i="2"/>
  <c r="A1830" i="2"/>
  <c r="AX1829" i="2"/>
  <c r="AV1829" i="2"/>
  <c r="AU1829" i="2"/>
  <c r="AT1829" i="2"/>
  <c r="AS1829" i="2"/>
  <c r="AR1829" i="2"/>
  <c r="AQ1829" i="2"/>
  <c r="AP1829" i="2"/>
  <c r="AO1829" i="2"/>
  <c r="AM1829" i="2"/>
  <c r="AL1829" i="2"/>
  <c r="AK1829" i="2"/>
  <c r="AJ1829" i="2"/>
  <c r="AI1829" i="2"/>
  <c r="AH1829" i="2"/>
  <c r="AG1829" i="2"/>
  <c r="AE1829" i="2"/>
  <c r="AD1829" i="2"/>
  <c r="AC1829" i="2"/>
  <c r="AA1829" i="2"/>
  <c r="Z1829" i="2"/>
  <c r="Y1829" i="2"/>
  <c r="X1829" i="2"/>
  <c r="W1829" i="2"/>
  <c r="V1829" i="2"/>
  <c r="U1829" i="2"/>
  <c r="T1829" i="2"/>
  <c r="S1829" i="2"/>
  <c r="R1829" i="2"/>
  <c r="Q1829" i="2"/>
  <c r="P1829" i="2"/>
  <c r="O1829" i="2"/>
  <c r="N1829" i="2"/>
  <c r="M1829" i="2"/>
  <c r="L1829" i="2"/>
  <c r="K1829" i="2"/>
  <c r="J1829" i="2"/>
  <c r="I1829" i="2"/>
  <c r="H1829" i="2"/>
  <c r="G1829" i="2"/>
  <c r="F1829" i="2"/>
  <c r="E1829" i="2"/>
  <c r="D1829" i="2"/>
  <c r="C1829" i="2"/>
  <c r="B1829" i="2"/>
  <c r="A1829" i="2"/>
  <c r="AX1828" i="2"/>
  <c r="AV1828" i="2"/>
  <c r="AU1828" i="2"/>
  <c r="AS1828" i="2"/>
  <c r="AR1828" i="2"/>
  <c r="AQ1828" i="2"/>
  <c r="AO1828" i="2"/>
  <c r="AM1828" i="2"/>
  <c r="AL1828" i="2"/>
  <c r="AK1828" i="2"/>
  <c r="AJ1828" i="2"/>
  <c r="AI1828" i="2"/>
  <c r="AH1828" i="2"/>
  <c r="AG1828" i="2"/>
  <c r="AE1828" i="2"/>
  <c r="AD1828" i="2"/>
  <c r="AC1828" i="2"/>
  <c r="AA1828" i="2"/>
  <c r="Z1828" i="2"/>
  <c r="Y1828" i="2"/>
  <c r="X1828" i="2"/>
  <c r="W1828" i="2"/>
  <c r="V1828" i="2"/>
  <c r="U1828" i="2"/>
  <c r="T1828" i="2"/>
  <c r="S1828" i="2"/>
  <c r="R1828" i="2"/>
  <c r="Q1828" i="2"/>
  <c r="P1828" i="2"/>
  <c r="O1828" i="2"/>
  <c r="N1828" i="2"/>
  <c r="K1828" i="2"/>
  <c r="J1828" i="2"/>
  <c r="I1828" i="2"/>
  <c r="H1828" i="2"/>
  <c r="G1828" i="2"/>
  <c r="F1828" i="2"/>
  <c r="E1828" i="2"/>
  <c r="D1828" i="2"/>
  <c r="C1828" i="2"/>
  <c r="B1828" i="2"/>
  <c r="A1828" i="2"/>
  <c r="AX1827" i="2"/>
  <c r="AV1827" i="2"/>
  <c r="AU1827" i="2"/>
  <c r="AT1827" i="2"/>
  <c r="AS1827" i="2"/>
  <c r="AR1827" i="2"/>
  <c r="AQ1827" i="2"/>
  <c r="AP1827" i="2"/>
  <c r="AO1827" i="2"/>
  <c r="AM1827" i="2"/>
  <c r="AL1827" i="2"/>
  <c r="AI1827" i="2"/>
  <c r="AH1827" i="2"/>
  <c r="AG1827" i="2"/>
  <c r="AE1827" i="2"/>
  <c r="AD1827" i="2"/>
  <c r="AC1827" i="2"/>
  <c r="AA1827" i="2"/>
  <c r="Z1827" i="2"/>
  <c r="Y1827" i="2"/>
  <c r="X1827" i="2"/>
  <c r="W1827" i="2"/>
  <c r="V1827" i="2"/>
  <c r="U1827" i="2"/>
  <c r="T1827" i="2"/>
  <c r="S1827" i="2"/>
  <c r="R1827" i="2"/>
  <c r="Q1827" i="2"/>
  <c r="P1827" i="2"/>
  <c r="O1827" i="2"/>
  <c r="N1827" i="2"/>
  <c r="M1827" i="2"/>
  <c r="L1827" i="2"/>
  <c r="K1827" i="2"/>
  <c r="J1827" i="2"/>
  <c r="I1827" i="2"/>
  <c r="H1827" i="2"/>
  <c r="G1827" i="2"/>
  <c r="F1827" i="2"/>
  <c r="E1827" i="2"/>
  <c r="D1827" i="2"/>
  <c r="C1827" i="2"/>
  <c r="B1827" i="2"/>
  <c r="A1827" i="2"/>
  <c r="AX1826" i="2"/>
  <c r="AV1826" i="2"/>
  <c r="AU1826" i="2"/>
  <c r="AR1826" i="2"/>
  <c r="AQ1826" i="2"/>
  <c r="AO1826" i="2"/>
  <c r="AM1826" i="2"/>
  <c r="AL1826" i="2"/>
  <c r="AK1826" i="2"/>
  <c r="AJ1826" i="2"/>
  <c r="AI1826" i="2"/>
  <c r="AH1826" i="2"/>
  <c r="AG1826" i="2"/>
  <c r="AD1826" i="2"/>
  <c r="AC1826" i="2"/>
  <c r="AA1826" i="2"/>
  <c r="Z1826" i="2"/>
  <c r="Y1826" i="2"/>
  <c r="X1826" i="2"/>
  <c r="W1826" i="2"/>
  <c r="V1826" i="2"/>
  <c r="U1826" i="2"/>
  <c r="T1826" i="2"/>
  <c r="S1826" i="2"/>
  <c r="R1826" i="2"/>
  <c r="Q1826" i="2"/>
  <c r="P1826" i="2"/>
  <c r="O1826" i="2"/>
  <c r="N1826" i="2"/>
  <c r="K1826" i="2"/>
  <c r="J1826" i="2"/>
  <c r="I1826" i="2"/>
  <c r="H1826" i="2"/>
  <c r="G1826" i="2"/>
  <c r="F1826" i="2"/>
  <c r="E1826" i="2"/>
  <c r="D1826" i="2"/>
  <c r="C1826" i="2"/>
  <c r="B1826" i="2"/>
  <c r="A1826" i="2"/>
  <c r="AX1825" i="2"/>
  <c r="AV1825" i="2"/>
  <c r="AU1825" i="2"/>
  <c r="AS1825" i="2"/>
  <c r="AR1825" i="2"/>
  <c r="AQ1825" i="2"/>
  <c r="AP1825" i="2"/>
  <c r="AO1825" i="2"/>
  <c r="AM1825" i="2"/>
  <c r="AK1825" i="2"/>
  <c r="AI1825" i="2"/>
  <c r="AH1825" i="2"/>
  <c r="AG1825" i="2"/>
  <c r="AE1825" i="2"/>
  <c r="AD1825" i="2"/>
  <c r="AC1825" i="2"/>
  <c r="AA1825" i="2"/>
  <c r="Z1825" i="2"/>
  <c r="Y1825" i="2"/>
  <c r="X1825" i="2"/>
  <c r="V1825" i="2"/>
  <c r="U1825" i="2"/>
  <c r="T1825" i="2"/>
  <c r="S1825" i="2"/>
  <c r="R1825" i="2"/>
  <c r="Q1825" i="2"/>
  <c r="P1825" i="2"/>
  <c r="O1825" i="2"/>
  <c r="N1825" i="2"/>
  <c r="K1825" i="2"/>
  <c r="J1825" i="2"/>
  <c r="I1825" i="2"/>
  <c r="H1825" i="2"/>
  <c r="G1825" i="2"/>
  <c r="F1825" i="2"/>
  <c r="E1825" i="2"/>
  <c r="D1825" i="2"/>
  <c r="C1825" i="2"/>
  <c r="B1825" i="2"/>
  <c r="A1825" i="2"/>
  <c r="AX1824" i="2"/>
  <c r="AV1824" i="2"/>
  <c r="AU1824" i="2"/>
  <c r="AT1824" i="2"/>
  <c r="AR1824" i="2"/>
  <c r="AQ1824" i="2"/>
  <c r="AP1824" i="2"/>
  <c r="AO1824" i="2"/>
  <c r="AM1824" i="2"/>
  <c r="AL1824" i="2"/>
  <c r="AK1824" i="2"/>
  <c r="AJ1824" i="2"/>
  <c r="AI1824" i="2"/>
  <c r="AH1824" i="2"/>
  <c r="AG1824" i="2"/>
  <c r="AD1824" i="2"/>
  <c r="AC1824" i="2"/>
  <c r="AA1824" i="2"/>
  <c r="Z1824" i="2"/>
  <c r="Y1824" i="2"/>
  <c r="X1824" i="2"/>
  <c r="W1824" i="2"/>
  <c r="V1824" i="2"/>
  <c r="U1824" i="2"/>
  <c r="T1824" i="2"/>
  <c r="S1824" i="2"/>
  <c r="R1824" i="2"/>
  <c r="Q1824" i="2"/>
  <c r="P1824" i="2"/>
  <c r="O1824" i="2"/>
  <c r="N1824" i="2"/>
  <c r="M1824" i="2"/>
  <c r="L1824" i="2"/>
  <c r="K1824" i="2"/>
  <c r="J1824" i="2"/>
  <c r="I1824" i="2"/>
  <c r="H1824" i="2"/>
  <c r="G1824" i="2"/>
  <c r="F1824" i="2"/>
  <c r="E1824" i="2"/>
  <c r="D1824" i="2"/>
  <c r="C1824" i="2"/>
  <c r="B1824" i="2"/>
  <c r="A1824" i="2"/>
  <c r="AX1823" i="2"/>
  <c r="AV1823" i="2"/>
  <c r="AU1823" i="2"/>
  <c r="AS1823" i="2"/>
  <c r="AR1823" i="2"/>
  <c r="AQ1823" i="2"/>
  <c r="AO1823" i="2"/>
  <c r="AM1823" i="2"/>
  <c r="AL1823" i="2"/>
  <c r="AK1823" i="2"/>
  <c r="AJ1823" i="2"/>
  <c r="AI1823" i="2"/>
  <c r="AH1823" i="2"/>
  <c r="AG1823" i="2"/>
  <c r="AF1823" i="2"/>
  <c r="AE1823" i="2"/>
  <c r="AD1823" i="2"/>
  <c r="AC1823" i="2"/>
  <c r="AA1823" i="2"/>
  <c r="Z1823" i="2"/>
  <c r="Y1823" i="2"/>
  <c r="X1823" i="2"/>
  <c r="W1823" i="2"/>
  <c r="V1823" i="2"/>
  <c r="U1823" i="2"/>
  <c r="T1823" i="2"/>
  <c r="S1823" i="2"/>
  <c r="R1823" i="2"/>
  <c r="Q1823" i="2"/>
  <c r="P1823" i="2"/>
  <c r="O1823" i="2"/>
  <c r="N1823" i="2"/>
  <c r="K1823" i="2"/>
  <c r="J1823" i="2"/>
  <c r="I1823" i="2"/>
  <c r="H1823" i="2"/>
  <c r="G1823" i="2"/>
  <c r="F1823" i="2"/>
  <c r="E1823" i="2"/>
  <c r="D1823" i="2"/>
  <c r="C1823" i="2"/>
  <c r="B1823" i="2"/>
  <c r="A1823" i="2"/>
  <c r="AX1822" i="2"/>
  <c r="AV1822" i="2"/>
  <c r="AU1822" i="2"/>
  <c r="AS1822" i="2"/>
  <c r="AR1822" i="2"/>
  <c r="AQ1822" i="2"/>
  <c r="AO1822" i="2"/>
  <c r="AM1822" i="2"/>
  <c r="AL1822" i="2"/>
  <c r="AK1822" i="2"/>
  <c r="AJ1822" i="2"/>
  <c r="AI1822" i="2"/>
  <c r="AH1822" i="2"/>
  <c r="AG1822" i="2"/>
  <c r="AD1822" i="2"/>
  <c r="AC1822" i="2"/>
  <c r="AA1822" i="2"/>
  <c r="Z1822" i="2"/>
  <c r="Y1822" i="2"/>
  <c r="X1822" i="2"/>
  <c r="W1822" i="2"/>
  <c r="V1822" i="2"/>
  <c r="U1822" i="2"/>
  <c r="T1822" i="2"/>
  <c r="S1822" i="2"/>
  <c r="R1822" i="2"/>
  <c r="Q1822" i="2"/>
  <c r="P1822" i="2"/>
  <c r="O1822" i="2"/>
  <c r="N1822" i="2"/>
  <c r="K1822" i="2"/>
  <c r="J1822" i="2"/>
  <c r="I1822" i="2"/>
  <c r="H1822" i="2"/>
  <c r="G1822" i="2"/>
  <c r="F1822" i="2"/>
  <c r="E1822" i="2"/>
  <c r="D1822" i="2"/>
  <c r="C1822" i="2"/>
  <c r="B1822" i="2"/>
  <c r="A1822" i="2"/>
  <c r="AX1821" i="2"/>
  <c r="AV1821" i="2"/>
  <c r="AU1821" i="2"/>
  <c r="AS1821" i="2"/>
  <c r="AR1821" i="2"/>
  <c r="AQ1821" i="2"/>
  <c r="AO1821" i="2"/>
  <c r="AM1821" i="2"/>
  <c r="AL1821" i="2"/>
  <c r="AK1821" i="2"/>
  <c r="AJ1821" i="2"/>
  <c r="AI1821" i="2"/>
  <c r="AH1821" i="2"/>
  <c r="AG1821" i="2"/>
  <c r="AF1821" i="2"/>
  <c r="AE1821" i="2"/>
  <c r="AD1821" i="2"/>
  <c r="AC1821" i="2"/>
  <c r="AA1821" i="2"/>
  <c r="Z1821" i="2"/>
  <c r="Y1821" i="2"/>
  <c r="X1821" i="2"/>
  <c r="W1821" i="2"/>
  <c r="V1821" i="2"/>
  <c r="U1821" i="2"/>
  <c r="T1821" i="2"/>
  <c r="S1821" i="2"/>
  <c r="R1821" i="2"/>
  <c r="Q1821" i="2"/>
  <c r="P1821" i="2"/>
  <c r="O1821" i="2"/>
  <c r="N1821" i="2"/>
  <c r="K1821" i="2"/>
  <c r="J1821" i="2"/>
  <c r="I1821" i="2"/>
  <c r="H1821" i="2"/>
  <c r="G1821" i="2"/>
  <c r="F1821" i="2"/>
  <c r="E1821" i="2"/>
  <c r="D1821" i="2"/>
  <c r="C1821" i="2"/>
  <c r="B1821" i="2"/>
  <c r="A1821" i="2"/>
  <c r="AX1820" i="2"/>
  <c r="AV1820" i="2"/>
  <c r="AU1820" i="2"/>
  <c r="AS1820" i="2"/>
  <c r="AR1820" i="2"/>
  <c r="AQ1820" i="2"/>
  <c r="AO1820" i="2"/>
  <c r="AM1820" i="2"/>
  <c r="AL1820" i="2"/>
  <c r="AK1820" i="2"/>
  <c r="AJ1820" i="2"/>
  <c r="AI1820" i="2"/>
  <c r="AH1820" i="2"/>
  <c r="AG1820" i="2"/>
  <c r="AD1820" i="2"/>
  <c r="AC1820" i="2"/>
  <c r="AA1820" i="2"/>
  <c r="Z1820" i="2"/>
  <c r="Y1820" i="2"/>
  <c r="X1820" i="2"/>
  <c r="W1820" i="2"/>
  <c r="V1820" i="2"/>
  <c r="U1820" i="2"/>
  <c r="T1820" i="2"/>
  <c r="S1820" i="2"/>
  <c r="R1820" i="2"/>
  <c r="Q1820" i="2"/>
  <c r="P1820" i="2"/>
  <c r="O1820" i="2"/>
  <c r="N1820" i="2"/>
  <c r="K1820" i="2"/>
  <c r="J1820" i="2"/>
  <c r="I1820" i="2"/>
  <c r="H1820" i="2"/>
  <c r="G1820" i="2"/>
  <c r="F1820" i="2"/>
  <c r="E1820" i="2"/>
  <c r="D1820" i="2"/>
  <c r="C1820" i="2"/>
  <c r="B1820" i="2"/>
  <c r="A1820" i="2"/>
  <c r="AX1819" i="2"/>
  <c r="AV1819" i="2"/>
  <c r="AU1819" i="2"/>
  <c r="AR1819" i="2"/>
  <c r="AO1819" i="2"/>
  <c r="AM1819" i="2"/>
  <c r="AK1819" i="2"/>
  <c r="AJ1819" i="2"/>
  <c r="AI1819" i="2"/>
  <c r="AH1819" i="2"/>
  <c r="AG1819" i="2"/>
  <c r="AE1819" i="2"/>
  <c r="AD1819" i="2"/>
  <c r="AC1819" i="2"/>
  <c r="Z1819" i="2"/>
  <c r="Y1819" i="2"/>
  <c r="X1819" i="2"/>
  <c r="T1819" i="2"/>
  <c r="S1819" i="2"/>
  <c r="Q1819" i="2"/>
  <c r="P1819" i="2"/>
  <c r="O1819" i="2"/>
  <c r="N1819" i="2"/>
  <c r="M1819" i="2"/>
  <c r="L1819" i="2"/>
  <c r="K1819" i="2"/>
  <c r="J1819" i="2"/>
  <c r="I1819" i="2"/>
  <c r="H1819" i="2"/>
  <c r="G1819" i="2"/>
  <c r="F1819" i="2"/>
  <c r="E1819" i="2"/>
  <c r="D1819" i="2"/>
  <c r="C1819" i="2"/>
  <c r="B1819" i="2"/>
  <c r="A1819" i="2"/>
  <c r="AX1818" i="2"/>
  <c r="AV1818" i="2"/>
  <c r="AU1818" i="2"/>
  <c r="AS1818" i="2"/>
  <c r="AR1818" i="2"/>
  <c r="AQ1818" i="2"/>
  <c r="AO1818" i="2"/>
  <c r="AM1818" i="2"/>
  <c r="AL1818" i="2"/>
  <c r="AK1818" i="2"/>
  <c r="AJ1818" i="2"/>
  <c r="AI1818" i="2"/>
  <c r="AH1818" i="2"/>
  <c r="AG1818" i="2"/>
  <c r="AE1818" i="2"/>
  <c r="AD1818" i="2"/>
  <c r="AC1818" i="2"/>
  <c r="AA1818" i="2"/>
  <c r="Z1818" i="2"/>
  <c r="Y1818" i="2"/>
  <c r="X1818" i="2"/>
  <c r="W1818" i="2"/>
  <c r="V1818" i="2"/>
  <c r="U1818" i="2"/>
  <c r="T1818" i="2"/>
  <c r="S1818" i="2"/>
  <c r="R1818" i="2"/>
  <c r="Q1818" i="2"/>
  <c r="P1818" i="2"/>
  <c r="O1818" i="2"/>
  <c r="N1818" i="2"/>
  <c r="K1818" i="2"/>
  <c r="J1818" i="2"/>
  <c r="I1818" i="2"/>
  <c r="H1818" i="2"/>
  <c r="G1818" i="2"/>
  <c r="F1818" i="2"/>
  <c r="E1818" i="2"/>
  <c r="D1818" i="2"/>
  <c r="C1818" i="2"/>
  <c r="B1818" i="2"/>
  <c r="A1818" i="2"/>
  <c r="AX1817" i="2"/>
  <c r="AV1817" i="2"/>
  <c r="AU1817" i="2"/>
  <c r="AS1817" i="2"/>
  <c r="AR1817" i="2"/>
  <c r="AQ1817" i="2"/>
  <c r="AO1817" i="2"/>
  <c r="AM1817" i="2"/>
  <c r="AL1817" i="2"/>
  <c r="AK1817" i="2"/>
  <c r="AJ1817" i="2"/>
  <c r="AI1817" i="2"/>
  <c r="AH1817" i="2"/>
  <c r="AG1817" i="2"/>
  <c r="AF1817" i="2"/>
  <c r="AE1817" i="2"/>
  <c r="AD1817" i="2"/>
  <c r="AC1817" i="2"/>
  <c r="AA1817" i="2"/>
  <c r="Z1817" i="2"/>
  <c r="Y1817" i="2"/>
  <c r="X1817" i="2"/>
  <c r="W1817" i="2"/>
  <c r="V1817" i="2"/>
  <c r="U1817" i="2"/>
  <c r="T1817" i="2"/>
  <c r="S1817" i="2"/>
  <c r="R1817" i="2"/>
  <c r="Q1817" i="2"/>
  <c r="P1817" i="2"/>
  <c r="O1817" i="2"/>
  <c r="N1817" i="2"/>
  <c r="K1817" i="2"/>
  <c r="J1817" i="2"/>
  <c r="I1817" i="2"/>
  <c r="H1817" i="2"/>
  <c r="G1817" i="2"/>
  <c r="F1817" i="2"/>
  <c r="E1817" i="2"/>
  <c r="D1817" i="2"/>
  <c r="C1817" i="2"/>
  <c r="B1817" i="2"/>
  <c r="A1817" i="2"/>
  <c r="AX1816" i="2"/>
  <c r="AV1816" i="2"/>
  <c r="AU1816" i="2"/>
  <c r="AR1816" i="2"/>
  <c r="AQ1816" i="2"/>
  <c r="AO1816" i="2"/>
  <c r="AM1816" i="2"/>
  <c r="AK1816" i="2"/>
  <c r="AJ1816" i="2"/>
  <c r="AI1816" i="2"/>
  <c r="AH1816" i="2"/>
  <c r="AG1816" i="2"/>
  <c r="AE1816" i="2"/>
  <c r="AD1816" i="2"/>
  <c r="AC1816" i="2"/>
  <c r="AA1816" i="2"/>
  <c r="Z1816" i="2"/>
  <c r="Y1816" i="2"/>
  <c r="X1816" i="2"/>
  <c r="V1816" i="2"/>
  <c r="U1816" i="2"/>
  <c r="T1816" i="2"/>
  <c r="S1816" i="2"/>
  <c r="R1816" i="2"/>
  <c r="Q1816" i="2"/>
  <c r="P1816" i="2"/>
  <c r="O1816" i="2"/>
  <c r="N1816" i="2"/>
  <c r="K1816" i="2"/>
  <c r="J1816" i="2"/>
  <c r="I1816" i="2"/>
  <c r="H1816" i="2"/>
  <c r="G1816" i="2"/>
  <c r="F1816" i="2"/>
  <c r="E1816" i="2"/>
  <c r="D1816" i="2"/>
  <c r="C1816" i="2"/>
  <c r="B1816" i="2"/>
  <c r="A1816" i="2"/>
  <c r="AX1815" i="2"/>
  <c r="AV1815" i="2"/>
  <c r="AU1815" i="2"/>
  <c r="AT1815" i="2"/>
  <c r="AR1815" i="2"/>
  <c r="AQ1815" i="2"/>
  <c r="AP1815" i="2"/>
  <c r="AO1815" i="2"/>
  <c r="AN1815" i="2"/>
  <c r="AM1815" i="2"/>
  <c r="AL1815" i="2"/>
  <c r="AI1815" i="2"/>
  <c r="AH1815" i="2"/>
  <c r="AG1815" i="2"/>
  <c r="AE1815" i="2"/>
  <c r="AD1815" i="2"/>
  <c r="AC1815" i="2"/>
  <c r="AA1815" i="2"/>
  <c r="Z1815" i="2"/>
  <c r="Y1815" i="2"/>
  <c r="W1815" i="2"/>
  <c r="V1815" i="2"/>
  <c r="U1815" i="2"/>
  <c r="T1815" i="2"/>
  <c r="S1815" i="2"/>
  <c r="R1815" i="2"/>
  <c r="Q1815" i="2"/>
  <c r="P1815" i="2"/>
  <c r="O1815" i="2"/>
  <c r="N1815" i="2"/>
  <c r="M1815" i="2"/>
  <c r="L1815" i="2"/>
  <c r="K1815" i="2"/>
  <c r="J1815" i="2"/>
  <c r="I1815" i="2"/>
  <c r="H1815" i="2"/>
  <c r="G1815" i="2"/>
  <c r="F1815" i="2"/>
  <c r="E1815" i="2"/>
  <c r="D1815" i="2"/>
  <c r="C1815" i="2"/>
  <c r="B1815" i="2"/>
  <c r="A1815" i="2"/>
  <c r="AX1814" i="2"/>
  <c r="AV1814" i="2"/>
  <c r="AU1814" i="2"/>
  <c r="AT1814" i="2"/>
  <c r="AR1814" i="2"/>
  <c r="AQ1814" i="2"/>
  <c r="AP1814" i="2"/>
  <c r="AO1814" i="2"/>
  <c r="AN1814" i="2"/>
  <c r="AM1814" i="2"/>
  <c r="AL1814" i="2"/>
  <c r="AK1814" i="2"/>
  <c r="AJ1814" i="2"/>
  <c r="AI1814" i="2"/>
  <c r="AH1814" i="2"/>
  <c r="AG1814" i="2"/>
  <c r="AE1814" i="2"/>
  <c r="AD1814" i="2"/>
  <c r="AC1814" i="2"/>
  <c r="AA1814" i="2"/>
  <c r="Z1814" i="2"/>
  <c r="Y1814" i="2"/>
  <c r="X1814" i="2"/>
  <c r="W1814" i="2"/>
  <c r="V1814" i="2"/>
  <c r="U1814" i="2"/>
  <c r="T1814" i="2"/>
  <c r="S1814" i="2"/>
  <c r="R1814" i="2"/>
  <c r="Q1814" i="2"/>
  <c r="P1814" i="2"/>
  <c r="O1814" i="2"/>
  <c r="N1814" i="2"/>
  <c r="M1814" i="2"/>
  <c r="L1814" i="2"/>
  <c r="K1814" i="2"/>
  <c r="J1814" i="2"/>
  <c r="I1814" i="2"/>
  <c r="H1814" i="2"/>
  <c r="G1814" i="2"/>
  <c r="F1814" i="2"/>
  <c r="E1814" i="2"/>
  <c r="D1814" i="2"/>
  <c r="C1814" i="2"/>
  <c r="B1814" i="2"/>
  <c r="A1814" i="2"/>
  <c r="AX1813" i="2"/>
  <c r="AV1813" i="2"/>
  <c r="AU1813" i="2"/>
  <c r="AT1813" i="2"/>
  <c r="AR1813" i="2"/>
  <c r="AQ1813" i="2"/>
  <c r="AP1813" i="2"/>
  <c r="AO1813" i="2"/>
  <c r="AN1813" i="2"/>
  <c r="AM1813" i="2"/>
  <c r="AL1813" i="2"/>
  <c r="AK1813" i="2"/>
  <c r="AJ1813" i="2"/>
  <c r="AI1813" i="2"/>
  <c r="AH1813" i="2"/>
  <c r="AG1813" i="2"/>
  <c r="AE1813" i="2"/>
  <c r="AD1813" i="2"/>
  <c r="AC1813" i="2"/>
  <c r="AA1813" i="2"/>
  <c r="Z1813" i="2"/>
  <c r="Y1813" i="2"/>
  <c r="X1813" i="2"/>
  <c r="W1813" i="2"/>
  <c r="V1813" i="2"/>
  <c r="U1813" i="2"/>
  <c r="T1813" i="2"/>
  <c r="S1813" i="2"/>
  <c r="R1813" i="2"/>
  <c r="Q1813" i="2"/>
  <c r="P1813" i="2"/>
  <c r="O1813" i="2"/>
  <c r="N1813" i="2"/>
  <c r="M1813" i="2"/>
  <c r="L1813" i="2"/>
  <c r="K1813" i="2"/>
  <c r="J1813" i="2"/>
  <c r="I1813" i="2"/>
  <c r="H1813" i="2"/>
  <c r="G1813" i="2"/>
  <c r="F1813" i="2"/>
  <c r="E1813" i="2"/>
  <c r="D1813" i="2"/>
  <c r="C1813" i="2"/>
  <c r="B1813" i="2"/>
  <c r="A1813" i="2"/>
  <c r="AX1812" i="2"/>
  <c r="AV1812" i="2"/>
  <c r="AU1812" i="2"/>
  <c r="AR1812" i="2"/>
  <c r="AQ1812" i="2"/>
  <c r="AO1812" i="2"/>
  <c r="AM1812" i="2"/>
  <c r="AL1812" i="2"/>
  <c r="AK1812" i="2"/>
  <c r="AJ1812" i="2"/>
  <c r="AI1812" i="2"/>
  <c r="AH1812" i="2"/>
  <c r="AG1812" i="2"/>
  <c r="AC1812" i="2"/>
  <c r="AA1812" i="2"/>
  <c r="Z1812" i="2"/>
  <c r="Y1812" i="2"/>
  <c r="X1812" i="2"/>
  <c r="W1812" i="2"/>
  <c r="V1812" i="2"/>
  <c r="U1812" i="2"/>
  <c r="T1812" i="2"/>
  <c r="S1812" i="2"/>
  <c r="R1812" i="2"/>
  <c r="Q1812" i="2"/>
  <c r="P1812" i="2"/>
  <c r="O1812" i="2"/>
  <c r="N1812" i="2"/>
  <c r="K1812" i="2"/>
  <c r="J1812" i="2"/>
  <c r="I1812" i="2"/>
  <c r="H1812" i="2"/>
  <c r="G1812" i="2"/>
  <c r="F1812" i="2"/>
  <c r="E1812" i="2"/>
  <c r="D1812" i="2"/>
  <c r="C1812" i="2"/>
  <c r="B1812" i="2"/>
  <c r="A1812" i="2"/>
  <c r="AX1811" i="2"/>
  <c r="AV1811" i="2"/>
  <c r="AU1811" i="2"/>
  <c r="AR1811" i="2"/>
  <c r="AQ1811" i="2"/>
  <c r="AO1811" i="2"/>
  <c r="AM1811" i="2"/>
  <c r="AL1811" i="2"/>
  <c r="AK1811" i="2"/>
  <c r="AJ1811" i="2"/>
  <c r="AI1811" i="2"/>
  <c r="AH1811" i="2"/>
  <c r="AG1811" i="2"/>
  <c r="AC1811" i="2"/>
  <c r="AA1811" i="2"/>
  <c r="Z1811" i="2"/>
  <c r="Y1811" i="2"/>
  <c r="W1811" i="2"/>
  <c r="V1811" i="2"/>
  <c r="U1811" i="2"/>
  <c r="T1811" i="2"/>
  <c r="S1811" i="2"/>
  <c r="R1811" i="2"/>
  <c r="Q1811" i="2"/>
  <c r="P1811" i="2"/>
  <c r="O1811" i="2"/>
  <c r="N1811" i="2"/>
  <c r="K1811" i="2"/>
  <c r="J1811" i="2"/>
  <c r="I1811" i="2"/>
  <c r="H1811" i="2"/>
  <c r="G1811" i="2"/>
  <c r="F1811" i="2"/>
  <c r="E1811" i="2"/>
  <c r="D1811" i="2"/>
  <c r="C1811" i="2"/>
  <c r="B1811" i="2"/>
  <c r="A1811" i="2"/>
  <c r="AX1810" i="2"/>
  <c r="AV1810" i="2"/>
  <c r="AU1810" i="2"/>
  <c r="AS1810" i="2"/>
  <c r="AR1810" i="2"/>
  <c r="AQ1810" i="2"/>
  <c r="AO1810" i="2"/>
  <c r="AM1810" i="2"/>
  <c r="AL1810" i="2"/>
  <c r="AK1810" i="2"/>
  <c r="AJ1810" i="2"/>
  <c r="AI1810" i="2"/>
  <c r="AH1810" i="2"/>
  <c r="AG1810" i="2"/>
  <c r="AE1810" i="2"/>
  <c r="AD1810" i="2"/>
  <c r="AC1810" i="2"/>
  <c r="AA1810" i="2"/>
  <c r="Z1810" i="2"/>
  <c r="Y1810" i="2"/>
  <c r="X1810" i="2"/>
  <c r="W1810" i="2"/>
  <c r="V1810" i="2"/>
  <c r="U1810" i="2"/>
  <c r="T1810" i="2"/>
  <c r="S1810" i="2"/>
  <c r="R1810" i="2"/>
  <c r="Q1810" i="2"/>
  <c r="P1810" i="2"/>
  <c r="O1810" i="2"/>
  <c r="N1810" i="2"/>
  <c r="K1810" i="2"/>
  <c r="J1810" i="2"/>
  <c r="I1810" i="2"/>
  <c r="H1810" i="2"/>
  <c r="G1810" i="2"/>
  <c r="F1810" i="2"/>
  <c r="E1810" i="2"/>
  <c r="D1810" i="2"/>
  <c r="C1810" i="2"/>
  <c r="B1810" i="2"/>
  <c r="A1810" i="2"/>
  <c r="AX1809" i="2"/>
  <c r="AV1809" i="2"/>
  <c r="AU1809" i="2"/>
  <c r="AS1809" i="2"/>
  <c r="AR1809" i="2"/>
  <c r="AQ1809" i="2"/>
  <c r="AO1809" i="2"/>
  <c r="AM1809" i="2"/>
  <c r="AL1809" i="2"/>
  <c r="AK1809" i="2"/>
  <c r="AJ1809" i="2"/>
  <c r="AI1809" i="2"/>
  <c r="AH1809" i="2"/>
  <c r="AG1809" i="2"/>
  <c r="AE1809" i="2"/>
  <c r="AD1809" i="2"/>
  <c r="AC1809" i="2"/>
  <c r="AA1809" i="2"/>
  <c r="Z1809" i="2"/>
  <c r="Y1809" i="2"/>
  <c r="X1809" i="2"/>
  <c r="W1809" i="2"/>
  <c r="V1809" i="2"/>
  <c r="U1809" i="2"/>
  <c r="T1809" i="2"/>
  <c r="S1809" i="2"/>
  <c r="R1809" i="2"/>
  <c r="Q1809" i="2"/>
  <c r="P1809" i="2"/>
  <c r="O1809" i="2"/>
  <c r="N1809" i="2"/>
  <c r="K1809" i="2"/>
  <c r="J1809" i="2"/>
  <c r="I1809" i="2"/>
  <c r="H1809" i="2"/>
  <c r="G1809" i="2"/>
  <c r="F1809" i="2"/>
  <c r="E1809" i="2"/>
  <c r="D1809" i="2"/>
  <c r="C1809" i="2"/>
  <c r="B1809" i="2"/>
  <c r="A1809" i="2"/>
  <c r="AX1808" i="2"/>
  <c r="AV1808" i="2"/>
  <c r="AU1808" i="2"/>
  <c r="AS1808" i="2"/>
  <c r="AR1808" i="2"/>
  <c r="AQ1808" i="2"/>
  <c r="AP1808" i="2"/>
  <c r="AO1808" i="2"/>
  <c r="AM1808" i="2"/>
  <c r="AL1808" i="2"/>
  <c r="AK1808" i="2"/>
  <c r="AJ1808" i="2"/>
  <c r="AI1808" i="2"/>
  <c r="AH1808" i="2"/>
  <c r="AG1808" i="2"/>
  <c r="AE1808" i="2"/>
  <c r="AD1808" i="2"/>
  <c r="AC1808" i="2"/>
  <c r="AA1808" i="2"/>
  <c r="Z1808" i="2"/>
  <c r="Y1808" i="2"/>
  <c r="X1808" i="2"/>
  <c r="W1808" i="2"/>
  <c r="V1808" i="2"/>
  <c r="U1808" i="2"/>
  <c r="T1808" i="2"/>
  <c r="S1808" i="2"/>
  <c r="Q1808" i="2"/>
  <c r="P1808" i="2"/>
  <c r="O1808" i="2"/>
  <c r="N1808" i="2"/>
  <c r="K1808" i="2"/>
  <c r="J1808" i="2"/>
  <c r="I1808" i="2"/>
  <c r="H1808" i="2"/>
  <c r="G1808" i="2"/>
  <c r="F1808" i="2"/>
  <c r="E1808" i="2"/>
  <c r="D1808" i="2"/>
  <c r="C1808" i="2"/>
  <c r="B1808" i="2"/>
  <c r="A1808" i="2"/>
  <c r="AX1807" i="2"/>
  <c r="AV1807" i="2"/>
  <c r="AU1807" i="2"/>
  <c r="AS1807" i="2"/>
  <c r="AR1807" i="2"/>
  <c r="AQ1807" i="2"/>
  <c r="AP1807" i="2"/>
  <c r="AO1807" i="2"/>
  <c r="AM1807" i="2"/>
  <c r="AL1807" i="2"/>
  <c r="AK1807" i="2"/>
  <c r="AJ1807" i="2"/>
  <c r="AI1807" i="2"/>
  <c r="AH1807" i="2"/>
  <c r="AG1807" i="2"/>
  <c r="AE1807" i="2"/>
  <c r="AD1807" i="2"/>
  <c r="AC1807" i="2"/>
  <c r="AA1807" i="2"/>
  <c r="Z1807" i="2"/>
  <c r="Y1807" i="2"/>
  <c r="X1807" i="2"/>
  <c r="W1807" i="2"/>
  <c r="V1807" i="2"/>
  <c r="U1807" i="2"/>
  <c r="T1807" i="2"/>
  <c r="S1807" i="2"/>
  <c r="R1807" i="2"/>
  <c r="Q1807" i="2"/>
  <c r="P1807" i="2"/>
  <c r="O1807" i="2"/>
  <c r="N1807" i="2"/>
  <c r="K1807" i="2"/>
  <c r="J1807" i="2"/>
  <c r="I1807" i="2"/>
  <c r="H1807" i="2"/>
  <c r="G1807" i="2"/>
  <c r="F1807" i="2"/>
  <c r="E1807" i="2"/>
  <c r="D1807" i="2"/>
  <c r="C1807" i="2"/>
  <c r="B1807" i="2"/>
  <c r="A1807" i="2"/>
  <c r="AX1806" i="2"/>
  <c r="AV1806" i="2"/>
  <c r="AU1806" i="2"/>
  <c r="AT1806" i="2"/>
  <c r="AS1806" i="2"/>
  <c r="AR1806" i="2"/>
  <c r="AQ1806" i="2"/>
  <c r="AO1806" i="2"/>
  <c r="AM1806" i="2"/>
  <c r="AK1806" i="2"/>
  <c r="AJ1806" i="2"/>
  <c r="AI1806" i="2"/>
  <c r="AH1806" i="2"/>
  <c r="AG1806" i="2"/>
  <c r="AE1806" i="2"/>
  <c r="AC1806" i="2"/>
  <c r="AA1806" i="2"/>
  <c r="Z1806" i="2"/>
  <c r="Y1806" i="2"/>
  <c r="X1806" i="2"/>
  <c r="W1806" i="2"/>
  <c r="V1806" i="2"/>
  <c r="U1806" i="2"/>
  <c r="T1806" i="2"/>
  <c r="S1806" i="2"/>
  <c r="R1806" i="2"/>
  <c r="Q1806" i="2"/>
  <c r="P1806" i="2"/>
  <c r="O1806" i="2"/>
  <c r="N1806" i="2"/>
  <c r="K1806" i="2"/>
  <c r="J1806" i="2"/>
  <c r="I1806" i="2"/>
  <c r="H1806" i="2"/>
  <c r="G1806" i="2"/>
  <c r="F1806" i="2"/>
  <c r="E1806" i="2"/>
  <c r="D1806" i="2"/>
  <c r="C1806" i="2"/>
  <c r="B1806" i="2"/>
  <c r="A1806" i="2"/>
  <c r="AX1805" i="2"/>
  <c r="AV1805" i="2"/>
  <c r="AU1805" i="2"/>
  <c r="AT1805" i="2"/>
  <c r="AR1805" i="2"/>
  <c r="AQ1805" i="2"/>
  <c r="AO1805" i="2"/>
  <c r="AM1805" i="2"/>
  <c r="AL1805" i="2"/>
  <c r="AK1805" i="2"/>
  <c r="AJ1805" i="2"/>
  <c r="AI1805" i="2"/>
  <c r="AH1805" i="2"/>
  <c r="AG1805" i="2"/>
  <c r="AD1805" i="2"/>
  <c r="AC1805" i="2"/>
  <c r="AA1805" i="2"/>
  <c r="Z1805" i="2"/>
  <c r="Y1805" i="2"/>
  <c r="X1805" i="2"/>
  <c r="W1805" i="2"/>
  <c r="V1805" i="2"/>
  <c r="U1805" i="2"/>
  <c r="T1805" i="2"/>
  <c r="S1805" i="2"/>
  <c r="R1805" i="2"/>
  <c r="Q1805" i="2"/>
  <c r="P1805" i="2"/>
  <c r="O1805" i="2"/>
  <c r="N1805" i="2"/>
  <c r="K1805" i="2"/>
  <c r="J1805" i="2"/>
  <c r="I1805" i="2"/>
  <c r="H1805" i="2"/>
  <c r="G1805" i="2"/>
  <c r="F1805" i="2"/>
  <c r="E1805" i="2"/>
  <c r="D1805" i="2"/>
  <c r="C1805" i="2"/>
  <c r="B1805" i="2"/>
  <c r="A1805" i="2"/>
  <c r="AX1804" i="2"/>
  <c r="AV1804" i="2"/>
  <c r="AU1804" i="2"/>
  <c r="AT1804" i="2"/>
  <c r="AS1804" i="2"/>
  <c r="AR1804" i="2"/>
  <c r="AQ1804" i="2"/>
  <c r="AP1804" i="2"/>
  <c r="AO1804" i="2"/>
  <c r="AM1804" i="2"/>
  <c r="AK1804" i="2"/>
  <c r="AJ1804" i="2"/>
  <c r="AI1804" i="2"/>
  <c r="AH1804" i="2"/>
  <c r="AG1804" i="2"/>
  <c r="AD1804" i="2"/>
  <c r="AC1804" i="2"/>
  <c r="AA1804" i="2"/>
  <c r="Z1804" i="2"/>
  <c r="Y1804" i="2"/>
  <c r="X1804" i="2"/>
  <c r="W1804" i="2"/>
  <c r="V1804" i="2"/>
  <c r="U1804" i="2"/>
  <c r="T1804" i="2"/>
  <c r="S1804" i="2"/>
  <c r="R1804" i="2"/>
  <c r="Q1804" i="2"/>
  <c r="P1804" i="2"/>
  <c r="O1804" i="2"/>
  <c r="N1804" i="2"/>
  <c r="M1804" i="2"/>
  <c r="L1804" i="2"/>
  <c r="K1804" i="2"/>
  <c r="J1804" i="2"/>
  <c r="I1804" i="2"/>
  <c r="H1804" i="2"/>
  <c r="G1804" i="2"/>
  <c r="F1804" i="2"/>
  <c r="E1804" i="2"/>
  <c r="D1804" i="2"/>
  <c r="C1804" i="2"/>
  <c r="B1804" i="2"/>
  <c r="A1804" i="2"/>
  <c r="AX1803" i="2"/>
  <c r="AV1803" i="2"/>
  <c r="AU1803" i="2"/>
  <c r="AT1803" i="2"/>
  <c r="AS1803" i="2"/>
  <c r="AR1803" i="2"/>
  <c r="AQ1803" i="2"/>
  <c r="AP1803" i="2"/>
  <c r="AO1803" i="2"/>
  <c r="AM1803" i="2"/>
  <c r="AL1803" i="2"/>
  <c r="AK1803" i="2"/>
  <c r="AJ1803" i="2"/>
  <c r="AI1803" i="2"/>
  <c r="AH1803" i="2"/>
  <c r="AG1803" i="2"/>
  <c r="AE1803" i="2"/>
  <c r="AD1803" i="2"/>
  <c r="AC1803" i="2"/>
  <c r="AA1803" i="2"/>
  <c r="Z1803" i="2"/>
  <c r="Y1803" i="2"/>
  <c r="X1803" i="2"/>
  <c r="W1803" i="2"/>
  <c r="V1803" i="2"/>
  <c r="U1803" i="2"/>
  <c r="T1803" i="2"/>
  <c r="S1803" i="2"/>
  <c r="R1803" i="2"/>
  <c r="Q1803" i="2"/>
  <c r="P1803" i="2"/>
  <c r="O1803" i="2"/>
  <c r="N1803" i="2"/>
  <c r="M1803" i="2"/>
  <c r="L1803" i="2"/>
  <c r="K1803" i="2"/>
  <c r="J1803" i="2"/>
  <c r="I1803" i="2"/>
  <c r="H1803" i="2"/>
  <c r="G1803" i="2"/>
  <c r="F1803" i="2"/>
  <c r="E1803" i="2"/>
  <c r="D1803" i="2"/>
  <c r="C1803" i="2"/>
  <c r="B1803" i="2"/>
  <c r="A1803" i="2"/>
  <c r="AX1802" i="2"/>
  <c r="AV1802" i="2"/>
  <c r="AU1802" i="2"/>
  <c r="AS1802" i="2"/>
  <c r="AR1802" i="2"/>
  <c r="AQ1802" i="2"/>
  <c r="AO1802" i="2"/>
  <c r="AM1802" i="2"/>
  <c r="AL1802" i="2"/>
  <c r="AK1802" i="2"/>
  <c r="AJ1802" i="2"/>
  <c r="AI1802" i="2"/>
  <c r="AH1802" i="2"/>
  <c r="AG1802" i="2"/>
  <c r="AE1802" i="2"/>
  <c r="AD1802" i="2"/>
  <c r="AC1802" i="2"/>
  <c r="AA1802" i="2"/>
  <c r="Z1802" i="2"/>
  <c r="Y1802" i="2"/>
  <c r="X1802" i="2"/>
  <c r="W1802" i="2"/>
  <c r="V1802" i="2"/>
  <c r="U1802" i="2"/>
  <c r="T1802" i="2"/>
  <c r="S1802" i="2"/>
  <c r="R1802" i="2"/>
  <c r="Q1802" i="2"/>
  <c r="P1802" i="2"/>
  <c r="O1802" i="2"/>
  <c r="N1802" i="2"/>
  <c r="K1802" i="2"/>
  <c r="J1802" i="2"/>
  <c r="I1802" i="2"/>
  <c r="H1802" i="2"/>
  <c r="G1802" i="2"/>
  <c r="F1802" i="2"/>
  <c r="E1802" i="2"/>
  <c r="D1802" i="2"/>
  <c r="C1802" i="2"/>
  <c r="B1802" i="2"/>
  <c r="A1802" i="2"/>
  <c r="AX1801" i="2"/>
  <c r="AV1801" i="2"/>
  <c r="AU1801" i="2"/>
  <c r="AT1801" i="2"/>
  <c r="AS1801" i="2"/>
  <c r="AR1801" i="2"/>
  <c r="AQ1801" i="2"/>
  <c r="AP1801" i="2"/>
  <c r="AO1801" i="2"/>
  <c r="AN1801" i="2"/>
  <c r="AM1801" i="2"/>
  <c r="AL1801" i="2"/>
  <c r="AK1801" i="2"/>
  <c r="AJ1801" i="2"/>
  <c r="AI1801" i="2"/>
  <c r="AH1801" i="2"/>
  <c r="AG1801" i="2"/>
  <c r="AE1801" i="2"/>
  <c r="AD1801" i="2"/>
  <c r="AC1801" i="2"/>
  <c r="AA1801" i="2"/>
  <c r="Z1801" i="2"/>
  <c r="Y1801" i="2"/>
  <c r="W1801" i="2"/>
  <c r="V1801" i="2"/>
  <c r="U1801" i="2"/>
  <c r="T1801" i="2"/>
  <c r="S1801" i="2"/>
  <c r="R1801" i="2"/>
  <c r="Q1801" i="2"/>
  <c r="P1801" i="2"/>
  <c r="O1801" i="2"/>
  <c r="N1801" i="2"/>
  <c r="M1801" i="2"/>
  <c r="L1801" i="2"/>
  <c r="K1801" i="2"/>
  <c r="J1801" i="2"/>
  <c r="I1801" i="2"/>
  <c r="H1801" i="2"/>
  <c r="G1801" i="2"/>
  <c r="F1801" i="2"/>
  <c r="E1801" i="2"/>
  <c r="D1801" i="2"/>
  <c r="C1801" i="2"/>
  <c r="B1801" i="2"/>
  <c r="A1801" i="2"/>
  <c r="AX1800" i="2"/>
  <c r="AV1800" i="2"/>
  <c r="AU1800" i="2"/>
  <c r="AS1800" i="2"/>
  <c r="AR1800" i="2"/>
  <c r="AQ1800" i="2"/>
  <c r="AO1800" i="2"/>
  <c r="AM1800" i="2"/>
  <c r="AL1800" i="2"/>
  <c r="AK1800" i="2"/>
  <c r="AJ1800" i="2"/>
  <c r="AI1800" i="2"/>
  <c r="AH1800" i="2"/>
  <c r="AG1800" i="2"/>
  <c r="AE1800" i="2"/>
  <c r="AD1800" i="2"/>
  <c r="AC1800" i="2"/>
  <c r="AA1800" i="2"/>
  <c r="Z1800" i="2"/>
  <c r="Y1800" i="2"/>
  <c r="X1800" i="2"/>
  <c r="V1800" i="2"/>
  <c r="U1800" i="2"/>
  <c r="T1800" i="2"/>
  <c r="S1800" i="2"/>
  <c r="R1800" i="2"/>
  <c r="Q1800" i="2"/>
  <c r="P1800" i="2"/>
  <c r="O1800" i="2"/>
  <c r="N1800" i="2"/>
  <c r="K1800" i="2"/>
  <c r="J1800" i="2"/>
  <c r="I1800" i="2"/>
  <c r="H1800" i="2"/>
  <c r="G1800" i="2"/>
  <c r="F1800" i="2"/>
  <c r="E1800" i="2"/>
  <c r="D1800" i="2"/>
  <c r="C1800" i="2"/>
  <c r="B1800" i="2"/>
  <c r="A1800" i="2"/>
  <c r="AX1799" i="2"/>
  <c r="AV1799" i="2"/>
  <c r="AU1799" i="2"/>
  <c r="AS1799" i="2"/>
  <c r="AR1799" i="2"/>
  <c r="AQ1799" i="2"/>
  <c r="AO1799" i="2"/>
  <c r="AM1799" i="2"/>
  <c r="AK1799" i="2"/>
  <c r="AJ1799" i="2"/>
  <c r="AI1799" i="2"/>
  <c r="AH1799" i="2"/>
  <c r="AG1799" i="2"/>
  <c r="AE1799" i="2"/>
  <c r="AC1799" i="2"/>
  <c r="AA1799" i="2"/>
  <c r="Z1799" i="2"/>
  <c r="Y1799" i="2"/>
  <c r="X1799" i="2"/>
  <c r="W1799" i="2"/>
  <c r="V1799" i="2"/>
  <c r="U1799" i="2"/>
  <c r="T1799" i="2"/>
  <c r="S1799" i="2"/>
  <c r="R1799" i="2"/>
  <c r="Q1799" i="2"/>
  <c r="P1799" i="2"/>
  <c r="O1799" i="2"/>
  <c r="N1799" i="2"/>
  <c r="K1799" i="2"/>
  <c r="J1799" i="2"/>
  <c r="I1799" i="2"/>
  <c r="H1799" i="2"/>
  <c r="G1799" i="2"/>
  <c r="F1799" i="2"/>
  <c r="E1799" i="2"/>
  <c r="D1799" i="2"/>
  <c r="C1799" i="2"/>
  <c r="B1799" i="2"/>
  <c r="A1799" i="2"/>
  <c r="AX1798" i="2"/>
  <c r="AV1798" i="2"/>
  <c r="AU1798" i="2"/>
  <c r="AS1798" i="2"/>
  <c r="AR1798" i="2"/>
  <c r="AQ1798" i="2"/>
  <c r="AO1798" i="2"/>
  <c r="AM1798" i="2"/>
  <c r="AL1798" i="2"/>
  <c r="AK1798" i="2"/>
  <c r="AJ1798" i="2"/>
  <c r="AI1798" i="2"/>
  <c r="AH1798" i="2"/>
  <c r="AG1798" i="2"/>
  <c r="AF1798" i="2"/>
  <c r="AE1798" i="2"/>
  <c r="AC1798" i="2"/>
  <c r="AA1798" i="2"/>
  <c r="Z1798" i="2"/>
  <c r="Y1798" i="2"/>
  <c r="X1798" i="2"/>
  <c r="W1798" i="2"/>
  <c r="V1798" i="2"/>
  <c r="U1798" i="2"/>
  <c r="T1798" i="2"/>
  <c r="S1798" i="2"/>
  <c r="R1798" i="2"/>
  <c r="Q1798" i="2"/>
  <c r="P1798" i="2"/>
  <c r="O1798" i="2"/>
  <c r="N1798" i="2"/>
  <c r="K1798" i="2"/>
  <c r="J1798" i="2"/>
  <c r="I1798" i="2"/>
  <c r="H1798" i="2"/>
  <c r="G1798" i="2"/>
  <c r="F1798" i="2"/>
  <c r="E1798" i="2"/>
  <c r="D1798" i="2"/>
  <c r="C1798" i="2"/>
  <c r="B1798" i="2"/>
  <c r="A1798" i="2"/>
  <c r="AX1797" i="2"/>
  <c r="AV1797" i="2"/>
  <c r="AU1797" i="2"/>
  <c r="AR1797" i="2"/>
  <c r="AQ1797" i="2"/>
  <c r="AO1797" i="2"/>
  <c r="AM1797" i="2"/>
  <c r="AL1797" i="2"/>
  <c r="AK1797" i="2"/>
  <c r="AJ1797" i="2"/>
  <c r="AI1797" i="2"/>
  <c r="AH1797" i="2"/>
  <c r="AG1797" i="2"/>
  <c r="AD1797" i="2"/>
  <c r="AC1797" i="2"/>
  <c r="AA1797" i="2"/>
  <c r="Z1797" i="2"/>
  <c r="Y1797" i="2"/>
  <c r="X1797" i="2"/>
  <c r="W1797" i="2"/>
  <c r="V1797" i="2"/>
  <c r="U1797" i="2"/>
  <c r="T1797" i="2"/>
  <c r="S1797" i="2"/>
  <c r="R1797" i="2"/>
  <c r="Q1797" i="2"/>
  <c r="P1797" i="2"/>
  <c r="O1797" i="2"/>
  <c r="N1797" i="2"/>
  <c r="K1797" i="2"/>
  <c r="J1797" i="2"/>
  <c r="I1797" i="2"/>
  <c r="H1797" i="2"/>
  <c r="G1797" i="2"/>
  <c r="F1797" i="2"/>
  <c r="E1797" i="2"/>
  <c r="D1797" i="2"/>
  <c r="C1797" i="2"/>
  <c r="B1797" i="2"/>
  <c r="A1797" i="2"/>
  <c r="AX1796" i="2"/>
  <c r="AV1796" i="2"/>
  <c r="AU1796" i="2"/>
  <c r="AS1796" i="2"/>
  <c r="AR1796" i="2"/>
  <c r="AQ1796" i="2"/>
  <c r="AO1796" i="2"/>
  <c r="AM1796" i="2"/>
  <c r="AL1796" i="2"/>
  <c r="AK1796" i="2"/>
  <c r="AJ1796" i="2"/>
  <c r="AI1796" i="2"/>
  <c r="AH1796" i="2"/>
  <c r="AG1796" i="2"/>
  <c r="AE1796" i="2"/>
  <c r="AD1796" i="2"/>
  <c r="AC1796" i="2"/>
  <c r="AA1796" i="2"/>
  <c r="Z1796" i="2"/>
  <c r="Y1796" i="2"/>
  <c r="X1796" i="2"/>
  <c r="W1796" i="2"/>
  <c r="V1796" i="2"/>
  <c r="U1796" i="2"/>
  <c r="T1796" i="2"/>
  <c r="S1796" i="2"/>
  <c r="R1796" i="2"/>
  <c r="Q1796" i="2"/>
  <c r="P1796" i="2"/>
  <c r="O1796" i="2"/>
  <c r="N1796" i="2"/>
  <c r="K1796" i="2"/>
  <c r="J1796" i="2"/>
  <c r="I1796" i="2"/>
  <c r="H1796" i="2"/>
  <c r="G1796" i="2"/>
  <c r="F1796" i="2"/>
  <c r="E1796" i="2"/>
  <c r="D1796" i="2"/>
  <c r="C1796" i="2"/>
  <c r="B1796" i="2"/>
  <c r="A1796" i="2"/>
  <c r="AX1795" i="2"/>
  <c r="AV1795" i="2"/>
  <c r="AU1795" i="2"/>
  <c r="AS1795" i="2"/>
  <c r="AR1795" i="2"/>
  <c r="AQ1795" i="2"/>
  <c r="AO1795" i="2"/>
  <c r="AM1795" i="2"/>
  <c r="AL1795" i="2"/>
  <c r="AK1795" i="2"/>
  <c r="AJ1795" i="2"/>
  <c r="AI1795" i="2"/>
  <c r="AH1795" i="2"/>
  <c r="AG1795" i="2"/>
  <c r="AE1795" i="2"/>
  <c r="AD1795" i="2"/>
  <c r="AC1795" i="2"/>
  <c r="AA1795" i="2"/>
  <c r="Z1795" i="2"/>
  <c r="Y1795" i="2"/>
  <c r="X1795" i="2"/>
  <c r="W1795" i="2"/>
  <c r="V1795" i="2"/>
  <c r="U1795" i="2"/>
  <c r="T1795" i="2"/>
  <c r="S1795" i="2"/>
  <c r="R1795" i="2"/>
  <c r="Q1795" i="2"/>
  <c r="P1795" i="2"/>
  <c r="O1795" i="2"/>
  <c r="N1795" i="2"/>
  <c r="K1795" i="2"/>
  <c r="J1795" i="2"/>
  <c r="I1795" i="2"/>
  <c r="H1795" i="2"/>
  <c r="G1795" i="2"/>
  <c r="F1795" i="2"/>
  <c r="E1795" i="2"/>
  <c r="D1795" i="2"/>
  <c r="C1795" i="2"/>
  <c r="B1795" i="2"/>
  <c r="A1795" i="2"/>
  <c r="AX1794" i="2"/>
  <c r="AV1794" i="2"/>
  <c r="AU1794" i="2"/>
  <c r="AT1794" i="2"/>
  <c r="AS1794" i="2"/>
  <c r="AR1794" i="2"/>
  <c r="AQ1794" i="2"/>
  <c r="AP1794" i="2"/>
  <c r="AO1794" i="2"/>
  <c r="AN1794" i="2"/>
  <c r="AM1794" i="2"/>
  <c r="AL1794" i="2"/>
  <c r="AK1794" i="2"/>
  <c r="AJ1794" i="2"/>
  <c r="AI1794" i="2"/>
  <c r="AH1794" i="2"/>
  <c r="AG1794" i="2"/>
  <c r="AE1794" i="2"/>
  <c r="AD1794" i="2"/>
  <c r="AC1794" i="2"/>
  <c r="AA1794" i="2"/>
  <c r="Z1794" i="2"/>
  <c r="Y1794" i="2"/>
  <c r="X1794" i="2"/>
  <c r="W1794" i="2"/>
  <c r="V1794" i="2"/>
  <c r="U1794" i="2"/>
  <c r="T1794" i="2"/>
  <c r="S1794" i="2"/>
  <c r="R1794" i="2"/>
  <c r="Q1794" i="2"/>
  <c r="P1794" i="2"/>
  <c r="O1794" i="2"/>
  <c r="N1794" i="2"/>
  <c r="M1794" i="2"/>
  <c r="L1794" i="2"/>
  <c r="K1794" i="2"/>
  <c r="J1794" i="2"/>
  <c r="I1794" i="2"/>
  <c r="H1794" i="2"/>
  <c r="G1794" i="2"/>
  <c r="F1794" i="2"/>
  <c r="E1794" i="2"/>
  <c r="D1794" i="2"/>
  <c r="C1794" i="2"/>
  <c r="B1794" i="2"/>
  <c r="A1794" i="2"/>
  <c r="AX1793" i="2"/>
  <c r="AV1793" i="2"/>
  <c r="AU1793" i="2"/>
  <c r="AR1793" i="2"/>
  <c r="AQ1793" i="2"/>
  <c r="AO1793" i="2"/>
  <c r="AM1793" i="2"/>
  <c r="AL1793" i="2"/>
  <c r="AK1793" i="2"/>
  <c r="AJ1793" i="2"/>
  <c r="AI1793" i="2"/>
  <c r="AH1793" i="2"/>
  <c r="AG1793" i="2"/>
  <c r="AD1793" i="2"/>
  <c r="AC1793" i="2"/>
  <c r="AA1793" i="2"/>
  <c r="Z1793" i="2"/>
  <c r="Y1793" i="2"/>
  <c r="X1793" i="2"/>
  <c r="W1793" i="2"/>
  <c r="V1793" i="2"/>
  <c r="U1793" i="2"/>
  <c r="T1793" i="2"/>
  <c r="S1793" i="2"/>
  <c r="R1793" i="2"/>
  <c r="Q1793" i="2"/>
  <c r="P1793" i="2"/>
  <c r="O1793" i="2"/>
  <c r="N1793" i="2"/>
  <c r="K1793" i="2"/>
  <c r="J1793" i="2"/>
  <c r="I1793" i="2"/>
  <c r="H1793" i="2"/>
  <c r="G1793" i="2"/>
  <c r="F1793" i="2"/>
  <c r="E1793" i="2"/>
  <c r="D1793" i="2"/>
  <c r="C1793" i="2"/>
  <c r="B1793" i="2"/>
  <c r="A1793" i="2"/>
  <c r="AX1792" i="2"/>
  <c r="AV1792" i="2"/>
  <c r="AU1792" i="2"/>
  <c r="AT1792" i="2"/>
  <c r="AS1792" i="2"/>
  <c r="AR1792" i="2"/>
  <c r="AQ1792" i="2"/>
  <c r="AP1792" i="2"/>
  <c r="AO1792" i="2"/>
  <c r="AM1792" i="2"/>
  <c r="AL1792" i="2"/>
  <c r="AK1792" i="2"/>
  <c r="AJ1792" i="2"/>
  <c r="AI1792" i="2"/>
  <c r="AH1792" i="2"/>
  <c r="AG1792" i="2"/>
  <c r="AD1792" i="2"/>
  <c r="AC1792" i="2"/>
  <c r="AA1792" i="2"/>
  <c r="Z1792" i="2"/>
  <c r="Y1792" i="2"/>
  <c r="X1792" i="2"/>
  <c r="W1792" i="2"/>
  <c r="V1792" i="2"/>
  <c r="U1792" i="2"/>
  <c r="T1792" i="2"/>
  <c r="S1792" i="2"/>
  <c r="R1792" i="2"/>
  <c r="Q1792" i="2"/>
  <c r="P1792" i="2"/>
  <c r="O1792" i="2"/>
  <c r="N1792" i="2"/>
  <c r="M1792" i="2"/>
  <c r="L1792" i="2"/>
  <c r="K1792" i="2"/>
  <c r="J1792" i="2"/>
  <c r="I1792" i="2"/>
  <c r="H1792" i="2"/>
  <c r="G1792" i="2"/>
  <c r="F1792" i="2"/>
  <c r="E1792" i="2"/>
  <c r="D1792" i="2"/>
  <c r="C1792" i="2"/>
  <c r="B1792" i="2"/>
  <c r="A1792" i="2"/>
  <c r="AX1791" i="2"/>
  <c r="AV1791" i="2"/>
  <c r="AU1791" i="2"/>
  <c r="AS1791" i="2"/>
  <c r="AR1791" i="2"/>
  <c r="AQ1791" i="2"/>
  <c r="AO1791" i="2"/>
  <c r="AM1791" i="2"/>
  <c r="AL1791" i="2"/>
  <c r="AK1791" i="2"/>
  <c r="AJ1791" i="2"/>
  <c r="AI1791" i="2"/>
  <c r="AH1791" i="2"/>
  <c r="AG1791" i="2"/>
  <c r="AF1791" i="2"/>
  <c r="AE1791" i="2"/>
  <c r="AD1791" i="2"/>
  <c r="AC1791" i="2"/>
  <c r="AA1791" i="2"/>
  <c r="Z1791" i="2"/>
  <c r="Y1791" i="2"/>
  <c r="X1791" i="2"/>
  <c r="W1791" i="2"/>
  <c r="V1791" i="2"/>
  <c r="U1791" i="2"/>
  <c r="T1791" i="2"/>
  <c r="S1791" i="2"/>
  <c r="R1791" i="2"/>
  <c r="Q1791" i="2"/>
  <c r="P1791" i="2"/>
  <c r="O1791" i="2"/>
  <c r="N1791" i="2"/>
  <c r="K1791" i="2"/>
  <c r="J1791" i="2"/>
  <c r="I1791" i="2"/>
  <c r="H1791" i="2"/>
  <c r="G1791" i="2"/>
  <c r="F1791" i="2"/>
  <c r="E1791" i="2"/>
  <c r="D1791" i="2"/>
  <c r="C1791" i="2"/>
  <c r="B1791" i="2"/>
  <c r="A1791" i="2"/>
  <c r="AX1790" i="2"/>
  <c r="AV1790" i="2"/>
  <c r="AU1790" i="2"/>
  <c r="AS1790" i="2"/>
  <c r="AR1790" i="2"/>
  <c r="AQ1790" i="2"/>
  <c r="AO1790" i="2"/>
  <c r="AM1790" i="2"/>
  <c r="AL1790" i="2"/>
  <c r="AK1790" i="2"/>
  <c r="AJ1790" i="2"/>
  <c r="AI1790" i="2"/>
  <c r="AH1790" i="2"/>
  <c r="AG1790" i="2"/>
  <c r="AE1790" i="2"/>
  <c r="AD1790" i="2"/>
  <c r="AC1790" i="2"/>
  <c r="AA1790" i="2"/>
  <c r="Z1790" i="2"/>
  <c r="Y1790" i="2"/>
  <c r="X1790" i="2"/>
  <c r="V1790" i="2"/>
  <c r="U1790" i="2"/>
  <c r="T1790" i="2"/>
  <c r="S1790" i="2"/>
  <c r="R1790" i="2"/>
  <c r="Q1790" i="2"/>
  <c r="P1790" i="2"/>
  <c r="O1790" i="2"/>
  <c r="N1790" i="2"/>
  <c r="K1790" i="2"/>
  <c r="J1790" i="2"/>
  <c r="I1790" i="2"/>
  <c r="H1790" i="2"/>
  <c r="G1790" i="2"/>
  <c r="F1790" i="2"/>
  <c r="E1790" i="2"/>
  <c r="D1790" i="2"/>
  <c r="C1790" i="2"/>
  <c r="B1790" i="2"/>
  <c r="A1790" i="2"/>
  <c r="AX1789" i="2"/>
  <c r="AV1789" i="2"/>
  <c r="AU1789" i="2"/>
  <c r="AR1789" i="2"/>
  <c r="AQ1789" i="2"/>
  <c r="AO1789" i="2"/>
  <c r="AM1789" i="2"/>
  <c r="AL1789" i="2"/>
  <c r="AK1789" i="2"/>
  <c r="AJ1789" i="2"/>
  <c r="AI1789" i="2"/>
  <c r="AH1789" i="2"/>
  <c r="AG1789" i="2"/>
  <c r="AF1789" i="2"/>
  <c r="AE1789" i="2"/>
  <c r="AD1789" i="2"/>
  <c r="AC1789" i="2"/>
  <c r="AA1789" i="2"/>
  <c r="Z1789" i="2"/>
  <c r="Y1789" i="2"/>
  <c r="X1789" i="2"/>
  <c r="V1789" i="2"/>
  <c r="U1789" i="2"/>
  <c r="T1789" i="2"/>
  <c r="S1789" i="2"/>
  <c r="R1789" i="2"/>
  <c r="Q1789" i="2"/>
  <c r="P1789" i="2"/>
  <c r="O1789" i="2"/>
  <c r="N1789" i="2"/>
  <c r="K1789" i="2"/>
  <c r="J1789" i="2"/>
  <c r="I1789" i="2"/>
  <c r="H1789" i="2"/>
  <c r="G1789" i="2"/>
  <c r="F1789" i="2"/>
  <c r="E1789" i="2"/>
  <c r="D1789" i="2"/>
  <c r="C1789" i="2"/>
  <c r="B1789" i="2"/>
  <c r="A1789" i="2"/>
  <c r="AX1788" i="2"/>
  <c r="AV1788" i="2"/>
  <c r="AU1788" i="2"/>
  <c r="AS1788" i="2"/>
  <c r="AR1788" i="2"/>
  <c r="AQ1788" i="2"/>
  <c r="AO1788" i="2"/>
  <c r="AM1788" i="2"/>
  <c r="AL1788" i="2"/>
  <c r="AK1788" i="2"/>
  <c r="AJ1788" i="2"/>
  <c r="AI1788" i="2"/>
  <c r="AH1788" i="2"/>
  <c r="AG1788" i="2"/>
  <c r="AD1788" i="2"/>
  <c r="AC1788" i="2"/>
  <c r="AA1788" i="2"/>
  <c r="Z1788" i="2"/>
  <c r="Y1788" i="2"/>
  <c r="X1788" i="2"/>
  <c r="W1788" i="2"/>
  <c r="V1788" i="2"/>
  <c r="U1788" i="2"/>
  <c r="T1788" i="2"/>
  <c r="S1788" i="2"/>
  <c r="R1788" i="2"/>
  <c r="Q1788" i="2"/>
  <c r="P1788" i="2"/>
  <c r="O1788" i="2"/>
  <c r="N1788" i="2"/>
  <c r="K1788" i="2"/>
  <c r="J1788" i="2"/>
  <c r="I1788" i="2"/>
  <c r="H1788" i="2"/>
  <c r="G1788" i="2"/>
  <c r="F1788" i="2"/>
  <c r="E1788" i="2"/>
  <c r="D1788" i="2"/>
  <c r="C1788" i="2"/>
  <c r="B1788" i="2"/>
  <c r="A1788" i="2"/>
  <c r="AX1787" i="2"/>
  <c r="AV1787" i="2"/>
  <c r="AU1787" i="2"/>
  <c r="AS1787" i="2"/>
  <c r="AR1787" i="2"/>
  <c r="AQ1787" i="2"/>
  <c r="AO1787" i="2"/>
  <c r="AM1787" i="2"/>
  <c r="AL1787" i="2"/>
  <c r="AK1787" i="2"/>
  <c r="AJ1787" i="2"/>
  <c r="AI1787" i="2"/>
  <c r="AH1787" i="2"/>
  <c r="AG1787" i="2"/>
  <c r="AF1787" i="2"/>
  <c r="AE1787" i="2"/>
  <c r="AD1787" i="2"/>
  <c r="AC1787" i="2"/>
  <c r="AA1787" i="2"/>
  <c r="Z1787" i="2"/>
  <c r="Y1787" i="2"/>
  <c r="X1787" i="2"/>
  <c r="W1787" i="2"/>
  <c r="V1787" i="2"/>
  <c r="U1787" i="2"/>
  <c r="T1787" i="2"/>
  <c r="S1787" i="2"/>
  <c r="R1787" i="2"/>
  <c r="Q1787" i="2"/>
  <c r="P1787" i="2"/>
  <c r="O1787" i="2"/>
  <c r="N1787" i="2"/>
  <c r="K1787" i="2"/>
  <c r="J1787" i="2"/>
  <c r="I1787" i="2"/>
  <c r="H1787" i="2"/>
  <c r="G1787" i="2"/>
  <c r="F1787" i="2"/>
  <c r="E1787" i="2"/>
  <c r="D1787" i="2"/>
  <c r="C1787" i="2"/>
  <c r="B1787" i="2"/>
  <c r="A1787" i="2"/>
  <c r="AX1786" i="2"/>
  <c r="AV1786" i="2"/>
  <c r="AU1786" i="2"/>
  <c r="AS1786" i="2"/>
  <c r="AR1786" i="2"/>
  <c r="AQ1786" i="2"/>
  <c r="AO1786" i="2"/>
  <c r="AM1786" i="2"/>
  <c r="AL1786" i="2"/>
  <c r="AK1786" i="2"/>
  <c r="AJ1786" i="2"/>
  <c r="AI1786" i="2"/>
  <c r="AH1786" i="2"/>
  <c r="AG1786" i="2"/>
  <c r="AF1786" i="2"/>
  <c r="AE1786" i="2"/>
  <c r="AD1786" i="2"/>
  <c r="AC1786" i="2"/>
  <c r="AA1786" i="2"/>
  <c r="Z1786" i="2"/>
  <c r="Y1786" i="2"/>
  <c r="W1786" i="2"/>
  <c r="V1786" i="2"/>
  <c r="U1786" i="2"/>
  <c r="T1786" i="2"/>
  <c r="S1786" i="2"/>
  <c r="R1786" i="2"/>
  <c r="Q1786" i="2"/>
  <c r="P1786" i="2"/>
  <c r="O1786" i="2"/>
  <c r="N1786" i="2"/>
  <c r="K1786" i="2"/>
  <c r="J1786" i="2"/>
  <c r="I1786" i="2"/>
  <c r="H1786" i="2"/>
  <c r="G1786" i="2"/>
  <c r="F1786" i="2"/>
  <c r="E1786" i="2"/>
  <c r="D1786" i="2"/>
  <c r="C1786" i="2"/>
  <c r="B1786" i="2"/>
  <c r="A1786" i="2"/>
  <c r="AX1785" i="2"/>
  <c r="AV1785" i="2"/>
  <c r="AU1785" i="2"/>
  <c r="AS1785" i="2"/>
  <c r="AR1785" i="2"/>
  <c r="AQ1785" i="2"/>
  <c r="AO1785" i="2"/>
  <c r="AM1785" i="2"/>
  <c r="AK1785" i="2"/>
  <c r="AJ1785" i="2"/>
  <c r="AI1785" i="2"/>
  <c r="AH1785" i="2"/>
  <c r="AG1785" i="2"/>
  <c r="AD1785" i="2"/>
  <c r="AC1785" i="2"/>
  <c r="AA1785" i="2"/>
  <c r="Z1785" i="2"/>
  <c r="Y1785" i="2"/>
  <c r="X1785" i="2"/>
  <c r="W1785" i="2"/>
  <c r="V1785" i="2"/>
  <c r="U1785" i="2"/>
  <c r="T1785" i="2"/>
  <c r="S1785" i="2"/>
  <c r="R1785" i="2"/>
  <c r="Q1785" i="2"/>
  <c r="P1785" i="2"/>
  <c r="O1785" i="2"/>
  <c r="N1785" i="2"/>
  <c r="M1785" i="2"/>
  <c r="K1785" i="2"/>
  <c r="J1785" i="2"/>
  <c r="I1785" i="2"/>
  <c r="H1785" i="2"/>
  <c r="G1785" i="2"/>
  <c r="F1785" i="2"/>
  <c r="E1785" i="2"/>
  <c r="D1785" i="2"/>
  <c r="C1785" i="2"/>
  <c r="B1785" i="2"/>
  <c r="A1785" i="2"/>
  <c r="AX1784" i="2"/>
  <c r="AV1784" i="2"/>
  <c r="AU1784" i="2"/>
  <c r="AS1784" i="2"/>
  <c r="AR1784" i="2"/>
  <c r="AQ1784" i="2"/>
  <c r="AO1784" i="2"/>
  <c r="AM1784" i="2"/>
  <c r="AL1784" i="2"/>
  <c r="AK1784" i="2"/>
  <c r="AJ1784" i="2"/>
  <c r="AI1784" i="2"/>
  <c r="AH1784" i="2"/>
  <c r="AG1784" i="2"/>
  <c r="AE1784" i="2"/>
  <c r="AD1784" i="2"/>
  <c r="AC1784" i="2"/>
  <c r="AA1784" i="2"/>
  <c r="Z1784" i="2"/>
  <c r="Y1784" i="2"/>
  <c r="X1784" i="2"/>
  <c r="V1784" i="2"/>
  <c r="U1784" i="2"/>
  <c r="T1784" i="2"/>
  <c r="S1784" i="2"/>
  <c r="Q1784" i="2"/>
  <c r="P1784" i="2"/>
  <c r="O1784" i="2"/>
  <c r="N1784" i="2"/>
  <c r="K1784" i="2"/>
  <c r="J1784" i="2"/>
  <c r="I1784" i="2"/>
  <c r="H1784" i="2"/>
  <c r="G1784" i="2"/>
  <c r="F1784" i="2"/>
  <c r="E1784" i="2"/>
  <c r="D1784" i="2"/>
  <c r="C1784" i="2"/>
  <c r="B1784" i="2"/>
  <c r="A1784" i="2"/>
  <c r="AX1783" i="2"/>
  <c r="AV1783" i="2"/>
  <c r="AU1783" i="2"/>
  <c r="AT1783" i="2"/>
  <c r="AS1783" i="2"/>
  <c r="AR1783" i="2"/>
  <c r="AQ1783" i="2"/>
  <c r="AO1783" i="2"/>
  <c r="AM1783" i="2"/>
  <c r="AL1783" i="2"/>
  <c r="AK1783" i="2"/>
  <c r="AI1783" i="2"/>
  <c r="AH1783" i="2"/>
  <c r="AG1783" i="2"/>
  <c r="AE1783" i="2"/>
  <c r="AD1783" i="2"/>
  <c r="AC1783" i="2"/>
  <c r="AA1783" i="2"/>
  <c r="Z1783" i="2"/>
  <c r="Y1783" i="2"/>
  <c r="X1783" i="2"/>
  <c r="W1783" i="2"/>
  <c r="V1783" i="2"/>
  <c r="U1783" i="2"/>
  <c r="T1783" i="2"/>
  <c r="S1783" i="2"/>
  <c r="R1783" i="2"/>
  <c r="Q1783" i="2"/>
  <c r="P1783" i="2"/>
  <c r="O1783" i="2"/>
  <c r="N1783" i="2"/>
  <c r="M1783" i="2"/>
  <c r="L1783" i="2"/>
  <c r="K1783" i="2"/>
  <c r="J1783" i="2"/>
  <c r="I1783" i="2"/>
  <c r="H1783" i="2"/>
  <c r="G1783" i="2"/>
  <c r="F1783" i="2"/>
  <c r="E1783" i="2"/>
  <c r="D1783" i="2"/>
  <c r="C1783" i="2"/>
  <c r="B1783" i="2"/>
  <c r="A1783" i="2"/>
  <c r="AX1782" i="2"/>
  <c r="AV1782" i="2"/>
  <c r="AU1782" i="2"/>
  <c r="AS1782" i="2"/>
  <c r="AR1782" i="2"/>
  <c r="AQ1782" i="2"/>
  <c r="AO1782" i="2"/>
  <c r="AM1782" i="2"/>
  <c r="AL1782" i="2"/>
  <c r="AK1782" i="2"/>
  <c r="AJ1782" i="2"/>
  <c r="AI1782" i="2"/>
  <c r="AH1782" i="2"/>
  <c r="AG1782" i="2"/>
  <c r="AE1782" i="2"/>
  <c r="AD1782" i="2"/>
  <c r="AC1782" i="2"/>
  <c r="AA1782" i="2"/>
  <c r="Z1782" i="2"/>
  <c r="Y1782" i="2"/>
  <c r="X1782" i="2"/>
  <c r="W1782" i="2"/>
  <c r="V1782" i="2"/>
  <c r="U1782" i="2"/>
  <c r="T1782" i="2"/>
  <c r="S1782" i="2"/>
  <c r="R1782" i="2"/>
  <c r="Q1782" i="2"/>
  <c r="P1782" i="2"/>
  <c r="O1782" i="2"/>
  <c r="N1782" i="2"/>
  <c r="K1782" i="2"/>
  <c r="J1782" i="2"/>
  <c r="I1782" i="2"/>
  <c r="H1782" i="2"/>
  <c r="G1782" i="2"/>
  <c r="F1782" i="2"/>
  <c r="E1782" i="2"/>
  <c r="D1782" i="2"/>
  <c r="C1782" i="2"/>
  <c r="B1782" i="2"/>
  <c r="A1782" i="2"/>
  <c r="AX1781" i="2"/>
  <c r="AV1781" i="2"/>
  <c r="AU1781" i="2"/>
  <c r="AT1781" i="2"/>
  <c r="AR1781" i="2"/>
  <c r="AQ1781" i="2"/>
  <c r="AP1781" i="2"/>
  <c r="AO1781" i="2"/>
  <c r="AM1781" i="2"/>
  <c r="AL1781" i="2"/>
  <c r="AK1781" i="2"/>
  <c r="AJ1781" i="2"/>
  <c r="AI1781" i="2"/>
  <c r="AH1781" i="2"/>
  <c r="AG1781" i="2"/>
  <c r="AD1781" i="2"/>
  <c r="AC1781" i="2"/>
  <c r="AA1781" i="2"/>
  <c r="Z1781" i="2"/>
  <c r="Y1781" i="2"/>
  <c r="X1781" i="2"/>
  <c r="W1781" i="2"/>
  <c r="V1781" i="2"/>
  <c r="U1781" i="2"/>
  <c r="T1781" i="2"/>
  <c r="S1781" i="2"/>
  <c r="R1781" i="2"/>
  <c r="Q1781" i="2"/>
  <c r="P1781" i="2"/>
  <c r="O1781" i="2"/>
  <c r="N1781" i="2"/>
  <c r="M1781" i="2"/>
  <c r="L1781" i="2"/>
  <c r="K1781" i="2"/>
  <c r="J1781" i="2"/>
  <c r="I1781" i="2"/>
  <c r="H1781" i="2"/>
  <c r="G1781" i="2"/>
  <c r="F1781" i="2"/>
  <c r="E1781" i="2"/>
  <c r="D1781" i="2"/>
  <c r="C1781" i="2"/>
  <c r="B1781" i="2"/>
  <c r="A1781" i="2"/>
  <c r="AX1780" i="2"/>
  <c r="AV1780" i="2"/>
  <c r="AU1780" i="2"/>
  <c r="AT1780" i="2"/>
  <c r="AR1780" i="2"/>
  <c r="AQ1780" i="2"/>
  <c r="AP1780" i="2"/>
  <c r="AO1780" i="2"/>
  <c r="AN1780" i="2"/>
  <c r="AM1780" i="2"/>
  <c r="AL1780" i="2"/>
  <c r="AK1780" i="2"/>
  <c r="AJ1780" i="2"/>
  <c r="AI1780" i="2"/>
  <c r="AH1780" i="2"/>
  <c r="AG1780" i="2"/>
  <c r="AE1780" i="2"/>
  <c r="AD1780" i="2"/>
  <c r="AC1780" i="2"/>
  <c r="AA1780" i="2"/>
  <c r="Z1780" i="2"/>
  <c r="Y1780" i="2"/>
  <c r="X1780" i="2"/>
  <c r="W1780" i="2"/>
  <c r="V1780" i="2"/>
  <c r="U1780" i="2"/>
  <c r="T1780" i="2"/>
  <c r="S1780" i="2"/>
  <c r="R1780" i="2"/>
  <c r="Q1780" i="2"/>
  <c r="P1780" i="2"/>
  <c r="O1780" i="2"/>
  <c r="N1780" i="2"/>
  <c r="M1780" i="2"/>
  <c r="L1780" i="2"/>
  <c r="K1780" i="2"/>
  <c r="J1780" i="2"/>
  <c r="I1780" i="2"/>
  <c r="H1780" i="2"/>
  <c r="G1780" i="2"/>
  <c r="F1780" i="2"/>
  <c r="E1780" i="2"/>
  <c r="D1780" i="2"/>
  <c r="C1780" i="2"/>
  <c r="B1780" i="2"/>
  <c r="A1780" i="2"/>
  <c r="AX1779" i="2"/>
  <c r="AV1779" i="2"/>
  <c r="AU1779" i="2"/>
  <c r="AR1779" i="2"/>
  <c r="AQ1779" i="2"/>
  <c r="AP1779" i="2"/>
  <c r="AO1779" i="2"/>
  <c r="AN1779" i="2"/>
  <c r="AM1779" i="2"/>
  <c r="AL1779" i="2"/>
  <c r="AK1779" i="2"/>
  <c r="AI1779" i="2"/>
  <c r="AH1779" i="2"/>
  <c r="AG1779" i="2"/>
  <c r="AE1779" i="2"/>
  <c r="AD1779" i="2"/>
  <c r="AC1779" i="2"/>
  <c r="AA1779" i="2"/>
  <c r="Z1779" i="2"/>
  <c r="Y1779" i="2"/>
  <c r="X1779" i="2"/>
  <c r="W1779" i="2"/>
  <c r="V1779" i="2"/>
  <c r="U1779" i="2"/>
  <c r="T1779" i="2"/>
  <c r="S1779" i="2"/>
  <c r="R1779" i="2"/>
  <c r="Q1779" i="2"/>
  <c r="P1779" i="2"/>
  <c r="O1779" i="2"/>
  <c r="N1779" i="2"/>
  <c r="M1779" i="2"/>
  <c r="L1779" i="2"/>
  <c r="K1779" i="2"/>
  <c r="J1779" i="2"/>
  <c r="I1779" i="2"/>
  <c r="H1779" i="2"/>
  <c r="G1779" i="2"/>
  <c r="F1779" i="2"/>
  <c r="E1779" i="2"/>
  <c r="D1779" i="2"/>
  <c r="C1779" i="2"/>
  <c r="B1779" i="2"/>
  <c r="A1779" i="2"/>
  <c r="AX1778" i="2"/>
  <c r="AV1778" i="2"/>
  <c r="AU1778" i="2"/>
  <c r="AT1778" i="2"/>
  <c r="AR1778" i="2"/>
  <c r="AQ1778" i="2"/>
  <c r="AP1778" i="2"/>
  <c r="AO1778" i="2"/>
  <c r="AM1778" i="2"/>
  <c r="AL1778" i="2"/>
  <c r="AK1778" i="2"/>
  <c r="AI1778" i="2"/>
  <c r="AH1778" i="2"/>
  <c r="AG1778" i="2"/>
  <c r="AE1778" i="2"/>
  <c r="AD1778" i="2"/>
  <c r="AC1778" i="2"/>
  <c r="AA1778" i="2"/>
  <c r="Z1778" i="2"/>
  <c r="Y1778" i="2"/>
  <c r="X1778" i="2"/>
  <c r="W1778" i="2"/>
  <c r="V1778" i="2"/>
  <c r="U1778" i="2"/>
  <c r="T1778" i="2"/>
  <c r="S1778" i="2"/>
  <c r="R1778" i="2"/>
  <c r="Q1778" i="2"/>
  <c r="P1778" i="2"/>
  <c r="O1778" i="2"/>
  <c r="N1778" i="2"/>
  <c r="M1778" i="2"/>
  <c r="L1778" i="2"/>
  <c r="K1778" i="2"/>
  <c r="J1778" i="2"/>
  <c r="I1778" i="2"/>
  <c r="H1778" i="2"/>
  <c r="G1778" i="2"/>
  <c r="F1778" i="2"/>
  <c r="E1778" i="2"/>
  <c r="D1778" i="2"/>
  <c r="C1778" i="2"/>
  <c r="B1778" i="2"/>
  <c r="A1778" i="2"/>
  <c r="AX1777" i="2"/>
  <c r="AV1777" i="2"/>
  <c r="AU1777" i="2"/>
  <c r="AR1777" i="2"/>
  <c r="AQ1777" i="2"/>
  <c r="AO1777" i="2"/>
  <c r="AM1777" i="2"/>
  <c r="AL1777" i="2"/>
  <c r="AK1777" i="2"/>
  <c r="AJ1777" i="2"/>
  <c r="AI1777" i="2"/>
  <c r="AH1777" i="2"/>
  <c r="AG1777" i="2"/>
  <c r="AF1777" i="2"/>
  <c r="AE1777" i="2"/>
  <c r="AC1777" i="2"/>
  <c r="AA1777" i="2"/>
  <c r="Z1777" i="2"/>
  <c r="Y1777" i="2"/>
  <c r="X1777" i="2"/>
  <c r="W1777" i="2"/>
  <c r="V1777" i="2"/>
  <c r="U1777" i="2"/>
  <c r="T1777" i="2"/>
  <c r="S1777" i="2"/>
  <c r="R1777" i="2"/>
  <c r="Q1777" i="2"/>
  <c r="P1777" i="2"/>
  <c r="O1777" i="2"/>
  <c r="N1777" i="2"/>
  <c r="K1777" i="2"/>
  <c r="J1777" i="2"/>
  <c r="I1777" i="2"/>
  <c r="H1777" i="2"/>
  <c r="G1777" i="2"/>
  <c r="F1777" i="2"/>
  <c r="E1777" i="2"/>
  <c r="D1777" i="2"/>
  <c r="C1777" i="2"/>
  <c r="B1777" i="2"/>
  <c r="A1777" i="2"/>
  <c r="AX1776" i="2"/>
  <c r="AV1776" i="2"/>
  <c r="AU1776" i="2"/>
  <c r="AR1776" i="2"/>
  <c r="AQ1776" i="2"/>
  <c r="AO1776" i="2"/>
  <c r="AM1776" i="2"/>
  <c r="AL1776" i="2"/>
  <c r="AK1776" i="2"/>
  <c r="AI1776" i="2"/>
  <c r="AH1776" i="2"/>
  <c r="AG1776" i="2"/>
  <c r="AD1776" i="2"/>
  <c r="AC1776" i="2"/>
  <c r="AA1776" i="2"/>
  <c r="Z1776" i="2"/>
  <c r="Y1776" i="2"/>
  <c r="X1776" i="2"/>
  <c r="W1776" i="2"/>
  <c r="V1776" i="2"/>
  <c r="U1776" i="2"/>
  <c r="T1776" i="2"/>
  <c r="S1776" i="2"/>
  <c r="R1776" i="2"/>
  <c r="Q1776" i="2"/>
  <c r="P1776" i="2"/>
  <c r="O1776" i="2"/>
  <c r="N1776" i="2"/>
  <c r="M1776" i="2"/>
  <c r="L1776" i="2"/>
  <c r="K1776" i="2"/>
  <c r="J1776" i="2"/>
  <c r="I1776" i="2"/>
  <c r="H1776" i="2"/>
  <c r="G1776" i="2"/>
  <c r="F1776" i="2"/>
  <c r="E1776" i="2"/>
  <c r="D1776" i="2"/>
  <c r="C1776" i="2"/>
  <c r="B1776" i="2"/>
  <c r="A1776" i="2"/>
  <c r="AX1775" i="2"/>
  <c r="AV1775" i="2"/>
  <c r="AU1775" i="2"/>
  <c r="AT1775" i="2"/>
  <c r="AS1775" i="2"/>
  <c r="AR1775" i="2"/>
  <c r="AQ1775" i="2"/>
  <c r="AP1775" i="2"/>
  <c r="AO1775" i="2"/>
  <c r="AM1775" i="2"/>
  <c r="AL1775" i="2"/>
  <c r="AK1775" i="2"/>
  <c r="AJ1775" i="2"/>
  <c r="AI1775" i="2"/>
  <c r="AH1775" i="2"/>
  <c r="AG1775" i="2"/>
  <c r="AE1775" i="2"/>
  <c r="AD1775" i="2"/>
  <c r="AC1775" i="2"/>
  <c r="AA1775" i="2"/>
  <c r="Z1775" i="2"/>
  <c r="Y1775" i="2"/>
  <c r="X1775" i="2"/>
  <c r="W1775" i="2"/>
  <c r="V1775" i="2"/>
  <c r="U1775" i="2"/>
  <c r="T1775" i="2"/>
  <c r="S1775" i="2"/>
  <c r="R1775" i="2"/>
  <c r="Q1775" i="2"/>
  <c r="P1775" i="2"/>
  <c r="O1775" i="2"/>
  <c r="N1775" i="2"/>
  <c r="M1775" i="2"/>
  <c r="L1775" i="2"/>
  <c r="K1775" i="2"/>
  <c r="J1775" i="2"/>
  <c r="I1775" i="2"/>
  <c r="H1775" i="2"/>
  <c r="G1775" i="2"/>
  <c r="F1775" i="2"/>
  <c r="E1775" i="2"/>
  <c r="D1775" i="2"/>
  <c r="C1775" i="2"/>
  <c r="B1775" i="2"/>
  <c r="A1775" i="2"/>
  <c r="AX1774" i="2"/>
  <c r="AV1774" i="2"/>
  <c r="AU1774" i="2"/>
  <c r="AS1774" i="2"/>
  <c r="AR1774" i="2"/>
  <c r="AQ1774" i="2"/>
  <c r="AO1774" i="2"/>
  <c r="AM1774" i="2"/>
  <c r="AL1774" i="2"/>
  <c r="AK1774" i="2"/>
  <c r="AI1774" i="2"/>
  <c r="AH1774" i="2"/>
  <c r="AG1774" i="2"/>
  <c r="AD1774" i="2"/>
  <c r="AC1774" i="2"/>
  <c r="AA1774" i="2"/>
  <c r="Z1774" i="2"/>
  <c r="Y1774" i="2"/>
  <c r="X1774" i="2"/>
  <c r="V1774" i="2"/>
  <c r="U1774" i="2"/>
  <c r="T1774" i="2"/>
  <c r="S1774" i="2"/>
  <c r="R1774" i="2"/>
  <c r="Q1774" i="2"/>
  <c r="P1774" i="2"/>
  <c r="O1774" i="2"/>
  <c r="N1774" i="2"/>
  <c r="M1774" i="2"/>
  <c r="L1774" i="2"/>
  <c r="K1774" i="2"/>
  <c r="J1774" i="2"/>
  <c r="I1774" i="2"/>
  <c r="H1774" i="2"/>
  <c r="G1774" i="2"/>
  <c r="F1774" i="2"/>
  <c r="E1774" i="2"/>
  <c r="D1774" i="2"/>
  <c r="C1774" i="2"/>
  <c r="B1774" i="2"/>
  <c r="A1774" i="2"/>
  <c r="AX1773" i="2"/>
  <c r="AV1773" i="2"/>
  <c r="AU1773" i="2"/>
  <c r="AS1773" i="2"/>
  <c r="AR1773" i="2"/>
  <c r="AQ1773" i="2"/>
  <c r="AP1773" i="2"/>
  <c r="AO1773" i="2"/>
  <c r="AM1773" i="2"/>
  <c r="AL1773" i="2"/>
  <c r="AK1773" i="2"/>
  <c r="AJ1773" i="2"/>
  <c r="AI1773" i="2"/>
  <c r="AH1773" i="2"/>
  <c r="AG1773" i="2"/>
  <c r="AE1773" i="2"/>
  <c r="AD1773" i="2"/>
  <c r="AC1773" i="2"/>
  <c r="AA1773" i="2"/>
  <c r="Z1773" i="2"/>
  <c r="Y1773" i="2"/>
  <c r="X1773" i="2"/>
  <c r="W1773" i="2"/>
  <c r="V1773" i="2"/>
  <c r="U1773" i="2"/>
  <c r="T1773" i="2"/>
  <c r="S1773" i="2"/>
  <c r="R1773" i="2"/>
  <c r="Q1773" i="2"/>
  <c r="P1773" i="2"/>
  <c r="O1773" i="2"/>
  <c r="N1773" i="2"/>
  <c r="K1773" i="2"/>
  <c r="J1773" i="2"/>
  <c r="I1773" i="2"/>
  <c r="H1773" i="2"/>
  <c r="G1773" i="2"/>
  <c r="F1773" i="2"/>
  <c r="E1773" i="2"/>
  <c r="D1773" i="2"/>
  <c r="C1773" i="2"/>
  <c r="B1773" i="2"/>
  <c r="A1773" i="2"/>
  <c r="AX1772" i="2"/>
  <c r="AV1772" i="2"/>
  <c r="AU1772" i="2"/>
  <c r="AS1772" i="2"/>
  <c r="AR1772" i="2"/>
  <c r="AQ1772" i="2"/>
  <c r="AO1772" i="2"/>
  <c r="AM1772" i="2"/>
  <c r="AI1772" i="2"/>
  <c r="AH1772" i="2"/>
  <c r="AG1772" i="2"/>
  <c r="AE1772" i="2"/>
  <c r="AC1772" i="2"/>
  <c r="AA1772" i="2"/>
  <c r="Z1772" i="2"/>
  <c r="Y1772" i="2"/>
  <c r="X1772" i="2"/>
  <c r="W1772" i="2"/>
  <c r="V1772" i="2"/>
  <c r="U1772" i="2"/>
  <c r="T1772" i="2"/>
  <c r="S1772" i="2"/>
  <c r="R1772" i="2"/>
  <c r="Q1772" i="2"/>
  <c r="P1772" i="2"/>
  <c r="O1772" i="2"/>
  <c r="N1772" i="2"/>
  <c r="K1772" i="2"/>
  <c r="J1772" i="2"/>
  <c r="I1772" i="2"/>
  <c r="H1772" i="2"/>
  <c r="G1772" i="2"/>
  <c r="F1772" i="2"/>
  <c r="E1772" i="2"/>
  <c r="D1772" i="2"/>
  <c r="C1772" i="2"/>
  <c r="B1772" i="2"/>
  <c r="A1772" i="2"/>
  <c r="AX1771" i="2"/>
  <c r="AV1771" i="2"/>
  <c r="AU1771" i="2"/>
  <c r="AT1771" i="2"/>
  <c r="AS1771" i="2"/>
  <c r="AR1771" i="2"/>
  <c r="AQ1771" i="2"/>
  <c r="AP1771" i="2"/>
  <c r="AO1771" i="2"/>
  <c r="AM1771" i="2"/>
  <c r="AL1771" i="2"/>
  <c r="AK1771" i="2"/>
  <c r="AI1771" i="2"/>
  <c r="AH1771" i="2"/>
  <c r="AG1771" i="2"/>
  <c r="AD1771" i="2"/>
  <c r="AC1771" i="2"/>
  <c r="AA1771" i="2"/>
  <c r="Z1771" i="2"/>
  <c r="Y1771" i="2"/>
  <c r="X1771" i="2"/>
  <c r="V1771" i="2"/>
  <c r="U1771" i="2"/>
  <c r="T1771" i="2"/>
  <c r="S1771" i="2"/>
  <c r="R1771" i="2"/>
  <c r="Q1771" i="2"/>
  <c r="P1771" i="2"/>
  <c r="O1771" i="2"/>
  <c r="N1771" i="2"/>
  <c r="M1771" i="2"/>
  <c r="L1771" i="2"/>
  <c r="K1771" i="2"/>
  <c r="J1771" i="2"/>
  <c r="I1771" i="2"/>
  <c r="H1771" i="2"/>
  <c r="G1771" i="2"/>
  <c r="F1771" i="2"/>
  <c r="E1771" i="2"/>
  <c r="D1771" i="2"/>
  <c r="C1771" i="2"/>
  <c r="B1771" i="2"/>
  <c r="A1771" i="2"/>
  <c r="AX1770" i="2"/>
  <c r="AV1770" i="2"/>
  <c r="AU1770" i="2"/>
  <c r="AT1770" i="2"/>
  <c r="AS1770" i="2"/>
  <c r="AR1770" i="2"/>
  <c r="AQ1770" i="2"/>
  <c r="AP1770" i="2"/>
  <c r="AO1770" i="2"/>
  <c r="AN1770" i="2"/>
  <c r="AM1770" i="2"/>
  <c r="AL1770" i="2"/>
  <c r="AK1770" i="2"/>
  <c r="AJ1770" i="2"/>
  <c r="AI1770" i="2"/>
  <c r="AH1770" i="2"/>
  <c r="AG1770" i="2"/>
  <c r="AE1770" i="2"/>
  <c r="AD1770" i="2"/>
  <c r="AC1770" i="2"/>
  <c r="AA1770" i="2"/>
  <c r="Z1770" i="2"/>
  <c r="Y1770" i="2"/>
  <c r="X1770" i="2"/>
  <c r="W1770" i="2"/>
  <c r="V1770" i="2"/>
  <c r="U1770" i="2"/>
  <c r="T1770" i="2"/>
  <c r="S1770" i="2"/>
  <c r="R1770" i="2"/>
  <c r="Q1770" i="2"/>
  <c r="P1770" i="2"/>
  <c r="O1770" i="2"/>
  <c r="N1770" i="2"/>
  <c r="M1770" i="2"/>
  <c r="L1770" i="2"/>
  <c r="K1770" i="2"/>
  <c r="J1770" i="2"/>
  <c r="I1770" i="2"/>
  <c r="H1770" i="2"/>
  <c r="G1770" i="2"/>
  <c r="F1770" i="2"/>
  <c r="E1770" i="2"/>
  <c r="D1770" i="2"/>
  <c r="C1770" i="2"/>
  <c r="B1770" i="2"/>
  <c r="A1770" i="2"/>
  <c r="AX1769" i="2"/>
  <c r="AV1769" i="2"/>
  <c r="AU1769" i="2"/>
  <c r="AS1769" i="2"/>
  <c r="AR1769" i="2"/>
  <c r="AQ1769" i="2"/>
  <c r="AO1769" i="2"/>
  <c r="AM1769" i="2"/>
  <c r="AL1769" i="2"/>
  <c r="AK1769" i="2"/>
  <c r="AJ1769" i="2"/>
  <c r="AI1769" i="2"/>
  <c r="AH1769" i="2"/>
  <c r="AG1769" i="2"/>
  <c r="AE1769" i="2"/>
  <c r="AD1769" i="2"/>
  <c r="AC1769" i="2"/>
  <c r="AA1769" i="2"/>
  <c r="Z1769" i="2"/>
  <c r="Y1769" i="2"/>
  <c r="X1769" i="2"/>
  <c r="W1769" i="2"/>
  <c r="V1769" i="2"/>
  <c r="U1769" i="2"/>
  <c r="T1769" i="2"/>
  <c r="S1769" i="2"/>
  <c r="R1769" i="2"/>
  <c r="Q1769" i="2"/>
  <c r="P1769" i="2"/>
  <c r="O1769" i="2"/>
  <c r="N1769" i="2"/>
  <c r="K1769" i="2"/>
  <c r="J1769" i="2"/>
  <c r="I1769" i="2"/>
  <c r="H1769" i="2"/>
  <c r="G1769" i="2"/>
  <c r="F1769" i="2"/>
  <c r="E1769" i="2"/>
  <c r="D1769" i="2"/>
  <c r="C1769" i="2"/>
  <c r="B1769" i="2"/>
  <c r="A1769" i="2"/>
  <c r="AX1768" i="2"/>
  <c r="AV1768" i="2"/>
  <c r="AU1768" i="2"/>
  <c r="AS1768" i="2"/>
  <c r="AR1768" i="2"/>
  <c r="AQ1768" i="2"/>
  <c r="AO1768" i="2"/>
  <c r="AM1768" i="2"/>
  <c r="AL1768" i="2"/>
  <c r="AK1768" i="2"/>
  <c r="AI1768" i="2"/>
  <c r="AH1768" i="2"/>
  <c r="AG1768" i="2"/>
  <c r="AE1768" i="2"/>
  <c r="AD1768" i="2"/>
  <c r="AC1768" i="2"/>
  <c r="AA1768" i="2"/>
  <c r="Z1768" i="2"/>
  <c r="Y1768" i="2"/>
  <c r="X1768" i="2"/>
  <c r="V1768" i="2"/>
  <c r="U1768" i="2"/>
  <c r="T1768" i="2"/>
  <c r="S1768" i="2"/>
  <c r="R1768" i="2"/>
  <c r="Q1768" i="2"/>
  <c r="P1768" i="2"/>
  <c r="O1768" i="2"/>
  <c r="N1768" i="2"/>
  <c r="K1768" i="2"/>
  <c r="J1768" i="2"/>
  <c r="I1768" i="2"/>
  <c r="H1768" i="2"/>
  <c r="G1768" i="2"/>
  <c r="F1768" i="2"/>
  <c r="E1768" i="2"/>
  <c r="D1768" i="2"/>
  <c r="C1768" i="2"/>
  <c r="B1768" i="2"/>
  <c r="A1768" i="2"/>
  <c r="AX1767" i="2"/>
  <c r="AV1767" i="2"/>
  <c r="AU1767" i="2"/>
  <c r="AS1767" i="2"/>
  <c r="AR1767" i="2"/>
  <c r="AQ1767" i="2"/>
  <c r="AO1767" i="2"/>
  <c r="AM1767" i="2"/>
  <c r="AL1767" i="2"/>
  <c r="AK1767" i="2"/>
  <c r="AJ1767" i="2"/>
  <c r="AI1767" i="2"/>
  <c r="AH1767" i="2"/>
  <c r="AG1767" i="2"/>
  <c r="AF1767" i="2"/>
  <c r="AE1767" i="2"/>
  <c r="AD1767" i="2"/>
  <c r="AC1767" i="2"/>
  <c r="AA1767" i="2"/>
  <c r="Z1767" i="2"/>
  <c r="Y1767" i="2"/>
  <c r="X1767" i="2"/>
  <c r="V1767" i="2"/>
  <c r="U1767" i="2"/>
  <c r="T1767" i="2"/>
  <c r="S1767" i="2"/>
  <c r="R1767" i="2"/>
  <c r="Q1767" i="2"/>
  <c r="P1767" i="2"/>
  <c r="O1767" i="2"/>
  <c r="N1767" i="2"/>
  <c r="K1767" i="2"/>
  <c r="J1767" i="2"/>
  <c r="I1767" i="2"/>
  <c r="H1767" i="2"/>
  <c r="G1767" i="2"/>
  <c r="F1767" i="2"/>
  <c r="E1767" i="2"/>
  <c r="D1767" i="2"/>
  <c r="C1767" i="2"/>
  <c r="B1767" i="2"/>
  <c r="A1767" i="2"/>
  <c r="AX1766" i="2"/>
  <c r="AV1766" i="2"/>
  <c r="AU1766" i="2"/>
  <c r="AT1766" i="2"/>
  <c r="AS1766" i="2"/>
  <c r="AR1766" i="2"/>
  <c r="AQ1766" i="2"/>
  <c r="AP1766" i="2"/>
  <c r="AO1766" i="2"/>
  <c r="AN1766" i="2"/>
  <c r="AM1766" i="2"/>
  <c r="AL1766" i="2"/>
  <c r="AK1766" i="2"/>
  <c r="AJ1766" i="2"/>
  <c r="AI1766" i="2"/>
  <c r="AH1766" i="2"/>
  <c r="AG1766" i="2"/>
  <c r="AE1766" i="2"/>
  <c r="AD1766" i="2"/>
  <c r="AC1766" i="2"/>
  <c r="AA1766" i="2"/>
  <c r="Z1766" i="2"/>
  <c r="Y1766" i="2"/>
  <c r="W1766" i="2"/>
  <c r="V1766" i="2"/>
  <c r="U1766" i="2"/>
  <c r="T1766" i="2"/>
  <c r="S1766" i="2"/>
  <c r="R1766" i="2"/>
  <c r="Q1766" i="2"/>
  <c r="P1766" i="2"/>
  <c r="O1766" i="2"/>
  <c r="N1766" i="2"/>
  <c r="M1766" i="2"/>
  <c r="K1766" i="2"/>
  <c r="J1766" i="2"/>
  <c r="I1766" i="2"/>
  <c r="H1766" i="2"/>
  <c r="G1766" i="2"/>
  <c r="F1766" i="2"/>
  <c r="E1766" i="2"/>
  <c r="D1766" i="2"/>
  <c r="C1766" i="2"/>
  <c r="B1766" i="2"/>
  <c r="A1766" i="2"/>
  <c r="AX1765" i="2"/>
  <c r="AV1765" i="2"/>
  <c r="AU1765" i="2"/>
  <c r="AS1765" i="2"/>
  <c r="AR1765" i="2"/>
  <c r="AQ1765" i="2"/>
  <c r="AO1765" i="2"/>
  <c r="AM1765" i="2"/>
  <c r="AL1765" i="2"/>
  <c r="AK1765" i="2"/>
  <c r="AJ1765" i="2"/>
  <c r="AI1765" i="2"/>
  <c r="AH1765" i="2"/>
  <c r="AG1765" i="2"/>
  <c r="AE1765" i="2"/>
  <c r="AD1765" i="2"/>
  <c r="AC1765" i="2"/>
  <c r="AA1765" i="2"/>
  <c r="Z1765" i="2"/>
  <c r="Y1765" i="2"/>
  <c r="X1765" i="2"/>
  <c r="W1765" i="2"/>
  <c r="V1765" i="2"/>
  <c r="U1765" i="2"/>
  <c r="T1765" i="2"/>
  <c r="S1765" i="2"/>
  <c r="R1765" i="2"/>
  <c r="Q1765" i="2"/>
  <c r="P1765" i="2"/>
  <c r="O1765" i="2"/>
  <c r="N1765" i="2"/>
  <c r="K1765" i="2"/>
  <c r="J1765" i="2"/>
  <c r="I1765" i="2"/>
  <c r="H1765" i="2"/>
  <c r="G1765" i="2"/>
  <c r="F1765" i="2"/>
  <c r="E1765" i="2"/>
  <c r="D1765" i="2"/>
  <c r="C1765" i="2"/>
  <c r="B1765" i="2"/>
  <c r="A1765" i="2"/>
  <c r="AX1764" i="2"/>
  <c r="AV1764" i="2"/>
  <c r="AU1764" i="2"/>
  <c r="AT1764" i="2"/>
  <c r="AR1764" i="2"/>
  <c r="AQ1764" i="2"/>
  <c r="AP1764" i="2"/>
  <c r="AO1764" i="2"/>
  <c r="AM1764" i="2"/>
  <c r="AL1764" i="2"/>
  <c r="AK1764" i="2"/>
  <c r="AJ1764" i="2"/>
  <c r="AI1764" i="2"/>
  <c r="AH1764" i="2"/>
  <c r="AG1764" i="2"/>
  <c r="AD1764" i="2"/>
  <c r="AC1764" i="2"/>
  <c r="AA1764" i="2"/>
  <c r="Z1764" i="2"/>
  <c r="Y1764" i="2"/>
  <c r="X1764" i="2"/>
  <c r="W1764" i="2"/>
  <c r="V1764" i="2"/>
  <c r="U1764" i="2"/>
  <c r="T1764" i="2"/>
  <c r="S1764" i="2"/>
  <c r="R1764" i="2"/>
  <c r="Q1764" i="2"/>
  <c r="P1764" i="2"/>
  <c r="O1764" i="2"/>
  <c r="N1764" i="2"/>
  <c r="K1764" i="2"/>
  <c r="J1764" i="2"/>
  <c r="I1764" i="2"/>
  <c r="H1764" i="2"/>
  <c r="G1764" i="2"/>
  <c r="F1764" i="2"/>
  <c r="E1764" i="2"/>
  <c r="D1764" i="2"/>
  <c r="C1764" i="2"/>
  <c r="B1764" i="2"/>
  <c r="A1764" i="2"/>
  <c r="AX1763" i="2"/>
  <c r="AV1763" i="2"/>
  <c r="AU1763" i="2"/>
  <c r="AS1763" i="2"/>
  <c r="AR1763" i="2"/>
  <c r="AQ1763" i="2"/>
  <c r="AO1763" i="2"/>
  <c r="AM1763" i="2"/>
  <c r="AL1763" i="2"/>
  <c r="AK1763" i="2"/>
  <c r="AJ1763" i="2"/>
  <c r="AI1763" i="2"/>
  <c r="AH1763" i="2"/>
  <c r="AG1763" i="2"/>
  <c r="AE1763" i="2"/>
  <c r="AD1763" i="2"/>
  <c r="AC1763" i="2"/>
  <c r="AA1763" i="2"/>
  <c r="Z1763" i="2"/>
  <c r="Y1763" i="2"/>
  <c r="X1763" i="2"/>
  <c r="V1763" i="2"/>
  <c r="U1763" i="2"/>
  <c r="T1763" i="2"/>
  <c r="S1763" i="2"/>
  <c r="R1763" i="2"/>
  <c r="Q1763" i="2"/>
  <c r="P1763" i="2"/>
  <c r="O1763" i="2"/>
  <c r="N1763" i="2"/>
  <c r="K1763" i="2"/>
  <c r="J1763" i="2"/>
  <c r="I1763" i="2"/>
  <c r="H1763" i="2"/>
  <c r="G1763" i="2"/>
  <c r="F1763" i="2"/>
  <c r="E1763" i="2"/>
  <c r="D1763" i="2"/>
  <c r="C1763" i="2"/>
  <c r="B1763" i="2"/>
  <c r="A1763" i="2"/>
  <c r="AX1762" i="2"/>
  <c r="AV1762" i="2"/>
  <c r="AU1762" i="2"/>
  <c r="AS1762" i="2"/>
  <c r="AR1762" i="2"/>
  <c r="AQ1762" i="2"/>
  <c r="AP1762" i="2"/>
  <c r="AO1762" i="2"/>
  <c r="AM1762" i="2"/>
  <c r="AL1762" i="2"/>
  <c r="AK1762" i="2"/>
  <c r="AJ1762" i="2"/>
  <c r="AI1762" i="2"/>
  <c r="AH1762" i="2"/>
  <c r="AG1762" i="2"/>
  <c r="AE1762" i="2"/>
  <c r="AD1762" i="2"/>
  <c r="AC1762" i="2"/>
  <c r="AA1762" i="2"/>
  <c r="Z1762" i="2"/>
  <c r="Y1762" i="2"/>
  <c r="X1762" i="2"/>
  <c r="W1762" i="2"/>
  <c r="V1762" i="2"/>
  <c r="U1762" i="2"/>
  <c r="T1762" i="2"/>
  <c r="S1762" i="2"/>
  <c r="R1762" i="2"/>
  <c r="Q1762" i="2"/>
  <c r="P1762" i="2"/>
  <c r="O1762" i="2"/>
  <c r="N1762" i="2"/>
  <c r="K1762" i="2"/>
  <c r="J1762" i="2"/>
  <c r="I1762" i="2"/>
  <c r="H1762" i="2"/>
  <c r="G1762" i="2"/>
  <c r="F1762" i="2"/>
  <c r="E1762" i="2"/>
  <c r="D1762" i="2"/>
  <c r="C1762" i="2"/>
  <c r="B1762" i="2"/>
  <c r="A1762" i="2"/>
  <c r="AX1761" i="2"/>
  <c r="AV1761" i="2"/>
  <c r="AU1761" i="2"/>
  <c r="AS1761" i="2"/>
  <c r="AR1761" i="2"/>
  <c r="AQ1761" i="2"/>
  <c r="AP1761" i="2"/>
  <c r="AO1761" i="2"/>
  <c r="AM1761" i="2"/>
  <c r="AL1761" i="2"/>
  <c r="AK1761" i="2"/>
  <c r="AJ1761" i="2"/>
  <c r="AI1761" i="2"/>
  <c r="AH1761" i="2"/>
  <c r="AG1761" i="2"/>
  <c r="AE1761" i="2"/>
  <c r="AD1761" i="2"/>
  <c r="AC1761" i="2"/>
  <c r="AA1761" i="2"/>
  <c r="Z1761" i="2"/>
  <c r="Y1761" i="2"/>
  <c r="X1761" i="2"/>
  <c r="W1761" i="2"/>
  <c r="V1761" i="2"/>
  <c r="U1761" i="2"/>
  <c r="T1761" i="2"/>
  <c r="S1761" i="2"/>
  <c r="R1761" i="2"/>
  <c r="Q1761" i="2"/>
  <c r="P1761" i="2"/>
  <c r="O1761" i="2"/>
  <c r="N1761" i="2"/>
  <c r="M1761" i="2"/>
  <c r="K1761" i="2"/>
  <c r="J1761" i="2"/>
  <c r="I1761" i="2"/>
  <c r="H1761" i="2"/>
  <c r="G1761" i="2"/>
  <c r="F1761" i="2"/>
  <c r="E1761" i="2"/>
  <c r="D1761" i="2"/>
  <c r="C1761" i="2"/>
  <c r="B1761" i="2"/>
  <c r="A1761" i="2"/>
  <c r="AX1760" i="2"/>
  <c r="AV1760" i="2"/>
  <c r="AU1760" i="2"/>
  <c r="AT1760" i="2"/>
  <c r="AR1760" i="2"/>
  <c r="AQ1760" i="2"/>
  <c r="AP1760" i="2"/>
  <c r="AO1760" i="2"/>
  <c r="AM1760" i="2"/>
  <c r="AL1760" i="2"/>
  <c r="AK1760" i="2"/>
  <c r="AJ1760" i="2"/>
  <c r="AI1760" i="2"/>
  <c r="AH1760" i="2"/>
  <c r="AG1760" i="2"/>
  <c r="AE1760" i="2"/>
  <c r="AD1760" i="2"/>
  <c r="AC1760" i="2"/>
  <c r="AA1760" i="2"/>
  <c r="Z1760" i="2"/>
  <c r="Y1760" i="2"/>
  <c r="X1760" i="2"/>
  <c r="W1760" i="2"/>
  <c r="V1760" i="2"/>
  <c r="U1760" i="2"/>
  <c r="T1760" i="2"/>
  <c r="S1760" i="2"/>
  <c r="R1760" i="2"/>
  <c r="Q1760" i="2"/>
  <c r="P1760" i="2"/>
  <c r="O1760" i="2"/>
  <c r="N1760" i="2"/>
  <c r="M1760" i="2"/>
  <c r="L1760" i="2"/>
  <c r="K1760" i="2"/>
  <c r="J1760" i="2"/>
  <c r="I1760" i="2"/>
  <c r="H1760" i="2"/>
  <c r="G1760" i="2"/>
  <c r="F1760" i="2"/>
  <c r="E1760" i="2"/>
  <c r="D1760" i="2"/>
  <c r="C1760" i="2"/>
  <c r="B1760" i="2"/>
  <c r="A1760" i="2"/>
  <c r="AX1759" i="2"/>
  <c r="AV1759" i="2"/>
  <c r="AU1759" i="2"/>
  <c r="AT1759" i="2"/>
  <c r="AS1759" i="2"/>
  <c r="AR1759" i="2"/>
  <c r="AQ1759" i="2"/>
  <c r="AP1759" i="2"/>
  <c r="AO1759" i="2"/>
  <c r="AM1759" i="2"/>
  <c r="AL1759" i="2"/>
  <c r="AK1759" i="2"/>
  <c r="AJ1759" i="2"/>
  <c r="AI1759" i="2"/>
  <c r="AH1759" i="2"/>
  <c r="AG1759" i="2"/>
  <c r="AD1759" i="2"/>
  <c r="AC1759" i="2"/>
  <c r="AA1759" i="2"/>
  <c r="Z1759" i="2"/>
  <c r="Y1759" i="2"/>
  <c r="X1759" i="2"/>
  <c r="W1759" i="2"/>
  <c r="V1759" i="2"/>
  <c r="U1759" i="2"/>
  <c r="T1759" i="2"/>
  <c r="S1759" i="2"/>
  <c r="R1759" i="2"/>
  <c r="Q1759" i="2"/>
  <c r="P1759" i="2"/>
  <c r="O1759" i="2"/>
  <c r="N1759" i="2"/>
  <c r="K1759" i="2"/>
  <c r="J1759" i="2"/>
  <c r="I1759" i="2"/>
  <c r="H1759" i="2"/>
  <c r="G1759" i="2"/>
  <c r="F1759" i="2"/>
  <c r="E1759" i="2"/>
  <c r="D1759" i="2"/>
  <c r="C1759" i="2"/>
  <c r="B1759" i="2"/>
  <c r="A1759" i="2"/>
  <c r="AX1758" i="2"/>
  <c r="AV1758" i="2"/>
  <c r="AU1758" i="2"/>
  <c r="AR1758" i="2"/>
  <c r="AQ1758" i="2"/>
  <c r="AP1758" i="2"/>
  <c r="AO1758" i="2"/>
  <c r="AM1758" i="2"/>
  <c r="AL1758" i="2"/>
  <c r="AK1758" i="2"/>
  <c r="AJ1758" i="2"/>
  <c r="AI1758" i="2"/>
  <c r="AH1758" i="2"/>
  <c r="AG1758" i="2"/>
  <c r="AE1758" i="2"/>
  <c r="AD1758" i="2"/>
  <c r="AC1758" i="2"/>
  <c r="AA1758" i="2"/>
  <c r="Z1758" i="2"/>
  <c r="Y1758" i="2"/>
  <c r="X1758" i="2"/>
  <c r="W1758" i="2"/>
  <c r="V1758" i="2"/>
  <c r="U1758" i="2"/>
  <c r="T1758" i="2"/>
  <c r="S1758" i="2"/>
  <c r="R1758" i="2"/>
  <c r="Q1758" i="2"/>
  <c r="P1758" i="2"/>
  <c r="O1758" i="2"/>
  <c r="N1758" i="2"/>
  <c r="M1758" i="2"/>
  <c r="L1758" i="2"/>
  <c r="K1758" i="2"/>
  <c r="J1758" i="2"/>
  <c r="I1758" i="2"/>
  <c r="H1758" i="2"/>
  <c r="G1758" i="2"/>
  <c r="F1758" i="2"/>
  <c r="E1758" i="2"/>
  <c r="D1758" i="2"/>
  <c r="C1758" i="2"/>
  <c r="B1758" i="2"/>
  <c r="A1758" i="2"/>
  <c r="AX1757" i="2"/>
  <c r="AV1757" i="2"/>
  <c r="AU1757" i="2"/>
  <c r="AT1757" i="2"/>
  <c r="AS1757" i="2"/>
  <c r="AR1757" i="2"/>
  <c r="AQ1757" i="2"/>
  <c r="AP1757" i="2"/>
  <c r="AO1757" i="2"/>
  <c r="AM1757" i="2"/>
  <c r="AL1757" i="2"/>
  <c r="AK1757" i="2"/>
  <c r="AI1757" i="2"/>
  <c r="AH1757" i="2"/>
  <c r="AG1757" i="2"/>
  <c r="AD1757" i="2"/>
  <c r="AC1757" i="2"/>
  <c r="AA1757" i="2"/>
  <c r="Z1757" i="2"/>
  <c r="Y1757" i="2"/>
  <c r="W1757" i="2"/>
  <c r="V1757" i="2"/>
  <c r="U1757" i="2"/>
  <c r="T1757" i="2"/>
  <c r="S1757" i="2"/>
  <c r="R1757" i="2"/>
  <c r="Q1757" i="2"/>
  <c r="P1757" i="2"/>
  <c r="O1757" i="2"/>
  <c r="N1757" i="2"/>
  <c r="M1757" i="2"/>
  <c r="L1757" i="2"/>
  <c r="K1757" i="2"/>
  <c r="J1757" i="2"/>
  <c r="I1757" i="2"/>
  <c r="H1757" i="2"/>
  <c r="G1757" i="2"/>
  <c r="F1757" i="2"/>
  <c r="E1757" i="2"/>
  <c r="D1757" i="2"/>
  <c r="C1757" i="2"/>
  <c r="B1757" i="2"/>
  <c r="A1757" i="2"/>
  <c r="AX1756" i="2"/>
  <c r="AV1756" i="2"/>
  <c r="AU1756" i="2"/>
  <c r="AR1756" i="2"/>
  <c r="AQ1756" i="2"/>
  <c r="AP1756" i="2"/>
  <c r="AO1756" i="2"/>
  <c r="AM1756" i="2"/>
  <c r="AL1756" i="2"/>
  <c r="AK1756" i="2"/>
  <c r="AJ1756" i="2"/>
  <c r="AI1756" i="2"/>
  <c r="AH1756" i="2"/>
  <c r="AG1756" i="2"/>
  <c r="AE1756" i="2"/>
  <c r="AC1756" i="2"/>
  <c r="AA1756" i="2"/>
  <c r="Z1756" i="2"/>
  <c r="Y1756" i="2"/>
  <c r="X1756" i="2"/>
  <c r="W1756" i="2"/>
  <c r="V1756" i="2"/>
  <c r="U1756" i="2"/>
  <c r="T1756" i="2"/>
  <c r="S1756" i="2"/>
  <c r="R1756" i="2"/>
  <c r="Q1756" i="2"/>
  <c r="P1756" i="2"/>
  <c r="O1756" i="2"/>
  <c r="N1756" i="2"/>
  <c r="K1756" i="2"/>
  <c r="J1756" i="2"/>
  <c r="I1756" i="2"/>
  <c r="H1756" i="2"/>
  <c r="G1756" i="2"/>
  <c r="F1756" i="2"/>
  <c r="E1756" i="2"/>
  <c r="D1756" i="2"/>
  <c r="C1756" i="2"/>
  <c r="B1756" i="2"/>
  <c r="A1756" i="2"/>
  <c r="AX1755" i="2"/>
  <c r="AV1755" i="2"/>
  <c r="AU1755" i="2"/>
  <c r="AT1755" i="2"/>
  <c r="AR1755" i="2"/>
  <c r="AQ1755" i="2"/>
  <c r="AP1755" i="2"/>
  <c r="AO1755" i="2"/>
  <c r="AM1755" i="2"/>
  <c r="AL1755" i="2"/>
  <c r="AK1755" i="2"/>
  <c r="AJ1755" i="2"/>
  <c r="AI1755" i="2"/>
  <c r="AH1755" i="2"/>
  <c r="AG1755" i="2"/>
  <c r="AD1755" i="2"/>
  <c r="AC1755" i="2"/>
  <c r="AA1755" i="2"/>
  <c r="Z1755" i="2"/>
  <c r="Y1755" i="2"/>
  <c r="W1755" i="2"/>
  <c r="V1755" i="2"/>
  <c r="U1755" i="2"/>
  <c r="T1755" i="2"/>
  <c r="S1755" i="2"/>
  <c r="R1755" i="2"/>
  <c r="Q1755" i="2"/>
  <c r="P1755" i="2"/>
  <c r="O1755" i="2"/>
  <c r="N1755" i="2"/>
  <c r="M1755" i="2"/>
  <c r="K1755" i="2"/>
  <c r="J1755" i="2"/>
  <c r="I1755" i="2"/>
  <c r="H1755" i="2"/>
  <c r="G1755" i="2"/>
  <c r="F1755" i="2"/>
  <c r="E1755" i="2"/>
  <c r="D1755" i="2"/>
  <c r="C1755" i="2"/>
  <c r="B1755" i="2"/>
  <c r="A1755" i="2"/>
  <c r="AX1754" i="2"/>
  <c r="AV1754" i="2"/>
  <c r="AU1754" i="2"/>
  <c r="AT1754" i="2"/>
  <c r="AR1754" i="2"/>
  <c r="AQ1754" i="2"/>
  <c r="AO1754" i="2"/>
  <c r="AM1754" i="2"/>
  <c r="AL1754" i="2"/>
  <c r="AK1754" i="2"/>
  <c r="AJ1754" i="2"/>
  <c r="AI1754" i="2"/>
  <c r="AH1754" i="2"/>
  <c r="AG1754" i="2"/>
  <c r="AD1754" i="2"/>
  <c r="AC1754" i="2"/>
  <c r="AA1754" i="2"/>
  <c r="Z1754" i="2"/>
  <c r="Y1754" i="2"/>
  <c r="X1754" i="2"/>
  <c r="W1754" i="2"/>
  <c r="V1754" i="2"/>
  <c r="U1754" i="2"/>
  <c r="T1754" i="2"/>
  <c r="S1754" i="2"/>
  <c r="R1754" i="2"/>
  <c r="Q1754" i="2"/>
  <c r="P1754" i="2"/>
  <c r="O1754" i="2"/>
  <c r="N1754" i="2"/>
  <c r="K1754" i="2"/>
  <c r="J1754" i="2"/>
  <c r="I1754" i="2"/>
  <c r="H1754" i="2"/>
  <c r="G1754" i="2"/>
  <c r="F1754" i="2"/>
  <c r="E1754" i="2"/>
  <c r="D1754" i="2"/>
  <c r="C1754" i="2"/>
  <c r="B1754" i="2"/>
  <c r="A1754" i="2"/>
  <c r="AX1753" i="2"/>
  <c r="AV1753" i="2"/>
  <c r="AU1753" i="2"/>
  <c r="AT1753" i="2"/>
  <c r="AS1753" i="2"/>
  <c r="AR1753" i="2"/>
  <c r="AQ1753" i="2"/>
  <c r="AO1753" i="2"/>
  <c r="AM1753" i="2"/>
  <c r="AK1753" i="2"/>
  <c r="AJ1753" i="2"/>
  <c r="AI1753" i="2"/>
  <c r="AH1753" i="2"/>
  <c r="AG1753" i="2"/>
  <c r="AE1753" i="2"/>
  <c r="AD1753" i="2"/>
  <c r="AC1753" i="2"/>
  <c r="AA1753" i="2"/>
  <c r="Z1753" i="2"/>
  <c r="Y1753" i="2"/>
  <c r="X1753" i="2"/>
  <c r="W1753" i="2"/>
  <c r="V1753" i="2"/>
  <c r="U1753" i="2"/>
  <c r="T1753" i="2"/>
  <c r="S1753" i="2"/>
  <c r="R1753" i="2"/>
  <c r="Q1753" i="2"/>
  <c r="P1753" i="2"/>
  <c r="O1753" i="2"/>
  <c r="N1753" i="2"/>
  <c r="K1753" i="2"/>
  <c r="J1753" i="2"/>
  <c r="I1753" i="2"/>
  <c r="H1753" i="2"/>
  <c r="G1753" i="2"/>
  <c r="F1753" i="2"/>
  <c r="E1753" i="2"/>
  <c r="D1753" i="2"/>
  <c r="C1753" i="2"/>
  <c r="B1753" i="2"/>
  <c r="A1753" i="2"/>
  <c r="AX1752" i="2"/>
  <c r="AV1752" i="2"/>
  <c r="AU1752" i="2"/>
  <c r="AT1752" i="2"/>
  <c r="AR1752" i="2"/>
  <c r="AQ1752" i="2"/>
  <c r="AP1752" i="2"/>
  <c r="AO1752" i="2"/>
  <c r="AN1752" i="2"/>
  <c r="AM1752" i="2"/>
  <c r="AL1752" i="2"/>
  <c r="AK1752" i="2"/>
  <c r="AJ1752" i="2"/>
  <c r="AI1752" i="2"/>
  <c r="AH1752" i="2"/>
  <c r="AG1752" i="2"/>
  <c r="AE1752" i="2"/>
  <c r="AD1752" i="2"/>
  <c r="AC1752" i="2"/>
  <c r="AA1752" i="2"/>
  <c r="Z1752" i="2"/>
  <c r="Y1752" i="2"/>
  <c r="X1752" i="2"/>
  <c r="W1752" i="2"/>
  <c r="V1752" i="2"/>
  <c r="U1752" i="2"/>
  <c r="T1752" i="2"/>
  <c r="S1752" i="2"/>
  <c r="R1752" i="2"/>
  <c r="Q1752" i="2"/>
  <c r="P1752" i="2"/>
  <c r="O1752" i="2"/>
  <c r="N1752" i="2"/>
  <c r="M1752" i="2"/>
  <c r="L1752" i="2"/>
  <c r="K1752" i="2"/>
  <c r="J1752" i="2"/>
  <c r="I1752" i="2"/>
  <c r="H1752" i="2"/>
  <c r="G1752" i="2"/>
  <c r="F1752" i="2"/>
  <c r="E1752" i="2"/>
  <c r="D1752" i="2"/>
  <c r="C1752" i="2"/>
  <c r="B1752" i="2"/>
  <c r="A1752" i="2"/>
  <c r="AX1751" i="2"/>
  <c r="AV1751" i="2"/>
  <c r="AU1751" i="2"/>
  <c r="AT1751" i="2"/>
  <c r="AS1751" i="2"/>
  <c r="AR1751" i="2"/>
  <c r="AQ1751" i="2"/>
  <c r="AO1751" i="2"/>
  <c r="AM1751" i="2"/>
  <c r="AL1751" i="2"/>
  <c r="AK1751" i="2"/>
  <c r="AJ1751" i="2"/>
  <c r="AI1751" i="2"/>
  <c r="AH1751" i="2"/>
  <c r="AG1751" i="2"/>
  <c r="AD1751" i="2"/>
  <c r="AC1751" i="2"/>
  <c r="AA1751" i="2"/>
  <c r="Z1751" i="2"/>
  <c r="Y1751" i="2"/>
  <c r="X1751" i="2"/>
  <c r="W1751" i="2"/>
  <c r="V1751" i="2"/>
  <c r="U1751" i="2"/>
  <c r="T1751" i="2"/>
  <c r="S1751" i="2"/>
  <c r="R1751" i="2"/>
  <c r="Q1751" i="2"/>
  <c r="P1751" i="2"/>
  <c r="O1751" i="2"/>
  <c r="N1751" i="2"/>
  <c r="M1751" i="2"/>
  <c r="L1751" i="2"/>
  <c r="K1751" i="2"/>
  <c r="J1751" i="2"/>
  <c r="I1751" i="2"/>
  <c r="H1751" i="2"/>
  <c r="G1751" i="2"/>
  <c r="F1751" i="2"/>
  <c r="E1751" i="2"/>
  <c r="D1751" i="2"/>
  <c r="C1751" i="2"/>
  <c r="B1751" i="2"/>
  <c r="A1751" i="2"/>
  <c r="AX1750" i="2"/>
  <c r="AV1750" i="2"/>
  <c r="AU1750" i="2"/>
  <c r="AR1750" i="2"/>
  <c r="AO1750" i="2"/>
  <c r="AM1750" i="2"/>
  <c r="AL1750" i="2"/>
  <c r="AK1750" i="2"/>
  <c r="AJ1750" i="2"/>
  <c r="AI1750" i="2"/>
  <c r="AH1750" i="2"/>
  <c r="AG1750" i="2"/>
  <c r="AE1750" i="2"/>
  <c r="AD1750" i="2"/>
  <c r="AC1750" i="2"/>
  <c r="AA1750" i="2"/>
  <c r="Z1750" i="2"/>
  <c r="Y1750" i="2"/>
  <c r="X1750" i="2"/>
  <c r="W1750" i="2"/>
  <c r="V1750" i="2"/>
  <c r="U1750" i="2"/>
  <c r="T1750" i="2"/>
  <c r="S1750" i="2"/>
  <c r="R1750" i="2"/>
  <c r="Q1750" i="2"/>
  <c r="P1750" i="2"/>
  <c r="O1750" i="2"/>
  <c r="N1750" i="2"/>
  <c r="M1750" i="2"/>
  <c r="L1750" i="2"/>
  <c r="K1750" i="2"/>
  <c r="J1750" i="2"/>
  <c r="I1750" i="2"/>
  <c r="H1750" i="2"/>
  <c r="G1750" i="2"/>
  <c r="F1750" i="2"/>
  <c r="E1750" i="2"/>
  <c r="D1750" i="2"/>
  <c r="C1750" i="2"/>
  <c r="B1750" i="2"/>
  <c r="A1750" i="2"/>
  <c r="AX1749" i="2"/>
  <c r="AV1749" i="2"/>
  <c r="AU1749" i="2"/>
  <c r="AR1749" i="2"/>
  <c r="AQ1749" i="2"/>
  <c r="AO1749" i="2"/>
  <c r="AM1749" i="2"/>
  <c r="AL1749" i="2"/>
  <c r="AI1749" i="2"/>
  <c r="AH1749" i="2"/>
  <c r="AG1749" i="2"/>
  <c r="AC1749" i="2"/>
  <c r="AA1749" i="2"/>
  <c r="Z1749" i="2"/>
  <c r="Y1749" i="2"/>
  <c r="X1749" i="2"/>
  <c r="W1749" i="2"/>
  <c r="V1749" i="2"/>
  <c r="U1749" i="2"/>
  <c r="T1749" i="2"/>
  <c r="S1749" i="2"/>
  <c r="R1749" i="2"/>
  <c r="Q1749" i="2"/>
  <c r="P1749" i="2"/>
  <c r="O1749" i="2"/>
  <c r="N1749" i="2"/>
  <c r="K1749" i="2"/>
  <c r="J1749" i="2"/>
  <c r="I1749" i="2"/>
  <c r="H1749" i="2"/>
  <c r="G1749" i="2"/>
  <c r="F1749" i="2"/>
  <c r="E1749" i="2"/>
  <c r="D1749" i="2"/>
  <c r="C1749" i="2"/>
  <c r="B1749" i="2"/>
  <c r="A1749" i="2"/>
  <c r="AX1748" i="2"/>
  <c r="AV1748" i="2"/>
  <c r="AU1748" i="2"/>
  <c r="AT1748" i="2"/>
  <c r="AS1748" i="2"/>
  <c r="AR1748" i="2"/>
  <c r="AQ1748" i="2"/>
  <c r="AO1748" i="2"/>
  <c r="AM1748" i="2"/>
  <c r="AL1748" i="2"/>
  <c r="AK1748" i="2"/>
  <c r="AJ1748" i="2"/>
  <c r="AI1748" i="2"/>
  <c r="AH1748" i="2"/>
  <c r="AG1748" i="2"/>
  <c r="AE1748" i="2"/>
  <c r="AD1748" i="2"/>
  <c r="AC1748" i="2"/>
  <c r="AA1748" i="2"/>
  <c r="Z1748" i="2"/>
  <c r="Y1748" i="2"/>
  <c r="X1748" i="2"/>
  <c r="V1748" i="2"/>
  <c r="U1748" i="2"/>
  <c r="T1748" i="2"/>
  <c r="S1748" i="2"/>
  <c r="R1748" i="2"/>
  <c r="Q1748" i="2"/>
  <c r="P1748" i="2"/>
  <c r="O1748" i="2"/>
  <c r="N1748" i="2"/>
  <c r="K1748" i="2"/>
  <c r="J1748" i="2"/>
  <c r="I1748" i="2"/>
  <c r="H1748" i="2"/>
  <c r="G1748" i="2"/>
  <c r="F1748" i="2"/>
  <c r="E1748" i="2"/>
  <c r="D1748" i="2"/>
  <c r="C1748" i="2"/>
  <c r="B1748" i="2"/>
  <c r="A1748" i="2"/>
  <c r="AX1747" i="2"/>
  <c r="AV1747" i="2"/>
  <c r="AU1747" i="2"/>
  <c r="AS1747" i="2"/>
  <c r="AR1747" i="2"/>
  <c r="AQ1747" i="2"/>
  <c r="AO1747" i="2"/>
  <c r="AM1747" i="2"/>
  <c r="AL1747" i="2"/>
  <c r="AK1747" i="2"/>
  <c r="AJ1747" i="2"/>
  <c r="AI1747" i="2"/>
  <c r="AH1747" i="2"/>
  <c r="AG1747" i="2"/>
  <c r="AE1747" i="2"/>
  <c r="AD1747" i="2"/>
  <c r="AC1747" i="2"/>
  <c r="AA1747" i="2"/>
  <c r="Z1747" i="2"/>
  <c r="Y1747" i="2"/>
  <c r="X1747" i="2"/>
  <c r="W1747" i="2"/>
  <c r="V1747" i="2"/>
  <c r="U1747" i="2"/>
  <c r="T1747" i="2"/>
  <c r="S1747" i="2"/>
  <c r="R1747" i="2"/>
  <c r="Q1747" i="2"/>
  <c r="P1747" i="2"/>
  <c r="O1747" i="2"/>
  <c r="N1747" i="2"/>
  <c r="K1747" i="2"/>
  <c r="J1747" i="2"/>
  <c r="I1747" i="2"/>
  <c r="H1747" i="2"/>
  <c r="G1747" i="2"/>
  <c r="F1747" i="2"/>
  <c r="E1747" i="2"/>
  <c r="D1747" i="2"/>
  <c r="C1747" i="2"/>
  <c r="B1747" i="2"/>
  <c r="A1747" i="2"/>
  <c r="AX1746" i="2"/>
  <c r="AV1746" i="2"/>
  <c r="AU1746" i="2"/>
  <c r="AT1746" i="2"/>
  <c r="AS1746" i="2"/>
  <c r="AR1746" i="2"/>
  <c r="AQ1746" i="2"/>
  <c r="AP1746" i="2"/>
  <c r="AO1746" i="2"/>
  <c r="AN1746" i="2"/>
  <c r="AM1746" i="2"/>
  <c r="AL1746" i="2"/>
  <c r="AK1746" i="2"/>
  <c r="AI1746" i="2"/>
  <c r="AH1746" i="2"/>
  <c r="AG1746" i="2"/>
  <c r="AE1746" i="2"/>
  <c r="AD1746" i="2"/>
  <c r="AC1746" i="2"/>
  <c r="AA1746" i="2"/>
  <c r="Z1746" i="2"/>
  <c r="Y1746" i="2"/>
  <c r="X1746" i="2"/>
  <c r="W1746" i="2"/>
  <c r="V1746" i="2"/>
  <c r="U1746" i="2"/>
  <c r="T1746" i="2"/>
  <c r="S1746" i="2"/>
  <c r="R1746" i="2"/>
  <c r="Q1746" i="2"/>
  <c r="P1746" i="2"/>
  <c r="O1746" i="2"/>
  <c r="N1746" i="2"/>
  <c r="K1746" i="2"/>
  <c r="J1746" i="2"/>
  <c r="I1746" i="2"/>
  <c r="H1746" i="2"/>
  <c r="G1746" i="2"/>
  <c r="F1746" i="2"/>
  <c r="E1746" i="2"/>
  <c r="D1746" i="2"/>
  <c r="C1746" i="2"/>
  <c r="B1746" i="2"/>
  <c r="A1746" i="2"/>
  <c r="AX1745" i="2"/>
  <c r="AV1745" i="2"/>
  <c r="AU1745" i="2"/>
  <c r="AT1745" i="2"/>
  <c r="AR1745" i="2"/>
  <c r="AQ1745" i="2"/>
  <c r="AP1745" i="2"/>
  <c r="AO1745" i="2"/>
  <c r="AN1745" i="2"/>
  <c r="AM1745" i="2"/>
  <c r="AL1745" i="2"/>
  <c r="AK1745" i="2"/>
  <c r="AJ1745" i="2"/>
  <c r="AI1745" i="2"/>
  <c r="AH1745" i="2"/>
  <c r="AG1745" i="2"/>
  <c r="AE1745" i="2"/>
  <c r="AD1745" i="2"/>
  <c r="AC1745" i="2"/>
  <c r="AA1745" i="2"/>
  <c r="Z1745" i="2"/>
  <c r="Y1745" i="2"/>
  <c r="X1745" i="2"/>
  <c r="W1745" i="2"/>
  <c r="V1745" i="2"/>
  <c r="U1745" i="2"/>
  <c r="T1745" i="2"/>
  <c r="S1745" i="2"/>
  <c r="R1745" i="2"/>
  <c r="Q1745" i="2"/>
  <c r="P1745" i="2"/>
  <c r="O1745" i="2"/>
  <c r="N1745" i="2"/>
  <c r="K1745" i="2"/>
  <c r="J1745" i="2"/>
  <c r="I1745" i="2"/>
  <c r="H1745" i="2"/>
  <c r="G1745" i="2"/>
  <c r="F1745" i="2"/>
  <c r="E1745" i="2"/>
  <c r="D1745" i="2"/>
  <c r="C1745" i="2"/>
  <c r="B1745" i="2"/>
  <c r="A1745" i="2"/>
  <c r="AX1744" i="2"/>
  <c r="AV1744" i="2"/>
  <c r="AU1744" i="2"/>
  <c r="AS1744" i="2"/>
  <c r="AR1744" i="2"/>
  <c r="AQ1744" i="2"/>
  <c r="AO1744" i="2"/>
  <c r="AM1744" i="2"/>
  <c r="AL1744" i="2"/>
  <c r="AK1744" i="2"/>
  <c r="AJ1744" i="2"/>
  <c r="AI1744" i="2"/>
  <c r="AH1744" i="2"/>
  <c r="AG1744" i="2"/>
  <c r="AF1744" i="2"/>
  <c r="AE1744" i="2"/>
  <c r="AC1744" i="2"/>
  <c r="AA1744" i="2"/>
  <c r="Z1744" i="2"/>
  <c r="Y1744" i="2"/>
  <c r="X1744" i="2"/>
  <c r="W1744" i="2"/>
  <c r="V1744" i="2"/>
  <c r="U1744" i="2"/>
  <c r="T1744" i="2"/>
  <c r="S1744" i="2"/>
  <c r="R1744" i="2"/>
  <c r="Q1744" i="2"/>
  <c r="P1744" i="2"/>
  <c r="O1744" i="2"/>
  <c r="N1744" i="2"/>
  <c r="K1744" i="2"/>
  <c r="J1744" i="2"/>
  <c r="I1744" i="2"/>
  <c r="H1744" i="2"/>
  <c r="G1744" i="2"/>
  <c r="F1744" i="2"/>
  <c r="E1744" i="2"/>
  <c r="D1744" i="2"/>
  <c r="C1744" i="2"/>
  <c r="B1744" i="2"/>
  <c r="A1744" i="2"/>
  <c r="AX1743" i="2"/>
  <c r="AV1743" i="2"/>
  <c r="AU1743" i="2"/>
  <c r="AR1743" i="2"/>
  <c r="AQ1743" i="2"/>
  <c r="AO1743" i="2"/>
  <c r="AM1743" i="2"/>
  <c r="AL1743" i="2"/>
  <c r="AK1743" i="2"/>
  <c r="AJ1743" i="2"/>
  <c r="AI1743" i="2"/>
  <c r="AH1743" i="2"/>
  <c r="AG1743" i="2"/>
  <c r="AD1743" i="2"/>
  <c r="AC1743" i="2"/>
  <c r="AA1743" i="2"/>
  <c r="Z1743" i="2"/>
  <c r="Y1743" i="2"/>
  <c r="X1743" i="2"/>
  <c r="V1743" i="2"/>
  <c r="U1743" i="2"/>
  <c r="T1743" i="2"/>
  <c r="S1743" i="2"/>
  <c r="R1743" i="2"/>
  <c r="Q1743" i="2"/>
  <c r="P1743" i="2"/>
  <c r="O1743" i="2"/>
  <c r="N1743" i="2"/>
  <c r="K1743" i="2"/>
  <c r="J1743" i="2"/>
  <c r="I1743" i="2"/>
  <c r="H1743" i="2"/>
  <c r="G1743" i="2"/>
  <c r="F1743" i="2"/>
  <c r="E1743" i="2"/>
  <c r="D1743" i="2"/>
  <c r="C1743" i="2"/>
  <c r="B1743" i="2"/>
  <c r="A1743" i="2"/>
  <c r="AX1742" i="2"/>
  <c r="AV1742" i="2"/>
  <c r="AU1742" i="2"/>
  <c r="AT1742" i="2"/>
  <c r="AR1742" i="2"/>
  <c r="AQ1742" i="2"/>
  <c r="AP1742" i="2"/>
  <c r="AO1742" i="2"/>
  <c r="AN1742" i="2"/>
  <c r="AM1742" i="2"/>
  <c r="AL1742" i="2"/>
  <c r="AK1742" i="2"/>
  <c r="AJ1742" i="2"/>
  <c r="AI1742" i="2"/>
  <c r="AH1742" i="2"/>
  <c r="AG1742" i="2"/>
  <c r="AE1742" i="2"/>
  <c r="AD1742" i="2"/>
  <c r="AC1742" i="2"/>
  <c r="AA1742" i="2"/>
  <c r="Z1742" i="2"/>
  <c r="Y1742" i="2"/>
  <c r="X1742" i="2"/>
  <c r="W1742" i="2"/>
  <c r="V1742" i="2"/>
  <c r="U1742" i="2"/>
  <c r="T1742" i="2"/>
  <c r="S1742" i="2"/>
  <c r="R1742" i="2"/>
  <c r="Q1742" i="2"/>
  <c r="P1742" i="2"/>
  <c r="O1742" i="2"/>
  <c r="N1742" i="2"/>
  <c r="M1742" i="2"/>
  <c r="K1742" i="2"/>
  <c r="J1742" i="2"/>
  <c r="I1742" i="2"/>
  <c r="H1742" i="2"/>
  <c r="G1742" i="2"/>
  <c r="F1742" i="2"/>
  <c r="E1742" i="2"/>
  <c r="D1742" i="2"/>
  <c r="C1742" i="2"/>
  <c r="B1742" i="2"/>
  <c r="A1742" i="2"/>
  <c r="AV1741" i="2"/>
  <c r="AU1741" i="2"/>
  <c r="AS1741" i="2"/>
  <c r="AR1741" i="2"/>
  <c r="AQ1741" i="2"/>
  <c r="AO1741" i="2"/>
  <c r="AM1741" i="2"/>
  <c r="AL1741" i="2"/>
  <c r="AK1741" i="2"/>
  <c r="AJ1741" i="2"/>
  <c r="AI1741" i="2"/>
  <c r="AH1741" i="2"/>
  <c r="AG1741" i="2"/>
  <c r="AD1741" i="2"/>
  <c r="AC1741" i="2"/>
  <c r="AA1741" i="2"/>
  <c r="Z1741" i="2"/>
  <c r="Y1741" i="2"/>
  <c r="X1741" i="2"/>
  <c r="V1741" i="2"/>
  <c r="U1741" i="2"/>
  <c r="T1741" i="2"/>
  <c r="S1741" i="2"/>
  <c r="R1741" i="2"/>
  <c r="Q1741" i="2"/>
  <c r="P1741" i="2"/>
  <c r="O1741" i="2"/>
  <c r="N1741" i="2"/>
  <c r="K1741" i="2"/>
  <c r="J1741" i="2"/>
  <c r="I1741" i="2"/>
  <c r="H1741" i="2"/>
  <c r="G1741" i="2"/>
  <c r="F1741" i="2"/>
  <c r="E1741" i="2"/>
  <c r="D1741" i="2"/>
  <c r="C1741" i="2"/>
  <c r="B1741" i="2"/>
  <c r="A1741" i="2"/>
  <c r="AX1740" i="2"/>
  <c r="AV1740" i="2"/>
  <c r="AU1740" i="2"/>
  <c r="AS1740" i="2"/>
  <c r="AR1740" i="2"/>
  <c r="AQ1740" i="2"/>
  <c r="AP1740" i="2"/>
  <c r="AO1740" i="2"/>
  <c r="AN1740" i="2"/>
  <c r="AM1740" i="2"/>
  <c r="AL1740" i="2"/>
  <c r="AK1740" i="2"/>
  <c r="AJ1740" i="2"/>
  <c r="AI1740" i="2"/>
  <c r="AH1740" i="2"/>
  <c r="AG1740" i="2"/>
  <c r="AE1740" i="2"/>
  <c r="AD1740" i="2"/>
  <c r="AC1740" i="2"/>
  <c r="AA1740" i="2"/>
  <c r="Z1740" i="2"/>
  <c r="Y1740" i="2"/>
  <c r="X1740" i="2"/>
  <c r="W1740" i="2"/>
  <c r="V1740" i="2"/>
  <c r="U1740" i="2"/>
  <c r="T1740" i="2"/>
  <c r="S1740" i="2"/>
  <c r="R1740" i="2"/>
  <c r="Q1740" i="2"/>
  <c r="P1740" i="2"/>
  <c r="O1740" i="2"/>
  <c r="N1740" i="2"/>
  <c r="M1740" i="2"/>
  <c r="L1740" i="2"/>
  <c r="K1740" i="2"/>
  <c r="J1740" i="2"/>
  <c r="I1740" i="2"/>
  <c r="H1740" i="2"/>
  <c r="G1740" i="2"/>
  <c r="F1740" i="2"/>
  <c r="E1740" i="2"/>
  <c r="D1740" i="2"/>
  <c r="C1740" i="2"/>
  <c r="B1740" i="2"/>
  <c r="A1740" i="2"/>
  <c r="AX1739" i="2"/>
  <c r="AV1739" i="2"/>
  <c r="AU1739" i="2"/>
  <c r="AT1739" i="2"/>
  <c r="AS1739" i="2"/>
  <c r="AR1739" i="2"/>
  <c r="AQ1739" i="2"/>
  <c r="AO1739" i="2"/>
  <c r="AM1739" i="2"/>
  <c r="AL1739" i="2"/>
  <c r="AK1739" i="2"/>
  <c r="AJ1739" i="2"/>
  <c r="AI1739" i="2"/>
  <c r="AH1739" i="2"/>
  <c r="AG1739" i="2"/>
  <c r="AE1739" i="2"/>
  <c r="AD1739" i="2"/>
  <c r="AC1739" i="2"/>
  <c r="AA1739" i="2"/>
  <c r="Z1739" i="2"/>
  <c r="Y1739" i="2"/>
  <c r="X1739" i="2"/>
  <c r="V1739" i="2"/>
  <c r="U1739" i="2"/>
  <c r="T1739" i="2"/>
  <c r="S1739" i="2"/>
  <c r="R1739" i="2"/>
  <c r="Q1739" i="2"/>
  <c r="P1739" i="2"/>
  <c r="O1739" i="2"/>
  <c r="N1739" i="2"/>
  <c r="M1739" i="2"/>
  <c r="K1739" i="2"/>
  <c r="J1739" i="2"/>
  <c r="I1739" i="2"/>
  <c r="H1739" i="2"/>
  <c r="G1739" i="2"/>
  <c r="F1739" i="2"/>
  <c r="E1739" i="2"/>
  <c r="D1739" i="2"/>
  <c r="C1739" i="2"/>
  <c r="B1739" i="2"/>
  <c r="A1739" i="2"/>
  <c r="AX1738" i="2"/>
  <c r="AV1738" i="2"/>
  <c r="AU1738" i="2"/>
  <c r="AS1738" i="2"/>
  <c r="AR1738" i="2"/>
  <c r="AQ1738" i="2"/>
  <c r="AO1738" i="2"/>
  <c r="AM1738" i="2"/>
  <c r="AL1738" i="2"/>
  <c r="AK1738" i="2"/>
  <c r="AJ1738" i="2"/>
  <c r="AI1738" i="2"/>
  <c r="AH1738" i="2"/>
  <c r="AG1738" i="2"/>
  <c r="AD1738" i="2"/>
  <c r="AC1738" i="2"/>
  <c r="AA1738" i="2"/>
  <c r="Z1738" i="2"/>
  <c r="Y1738" i="2"/>
  <c r="X1738" i="2"/>
  <c r="W1738" i="2"/>
  <c r="V1738" i="2"/>
  <c r="U1738" i="2"/>
  <c r="T1738" i="2"/>
  <c r="S1738" i="2"/>
  <c r="R1738" i="2"/>
  <c r="Q1738" i="2"/>
  <c r="P1738" i="2"/>
  <c r="O1738" i="2"/>
  <c r="N1738" i="2"/>
  <c r="K1738" i="2"/>
  <c r="J1738" i="2"/>
  <c r="I1738" i="2"/>
  <c r="H1738" i="2"/>
  <c r="G1738" i="2"/>
  <c r="F1738" i="2"/>
  <c r="E1738" i="2"/>
  <c r="D1738" i="2"/>
  <c r="C1738" i="2"/>
  <c r="B1738" i="2"/>
  <c r="A1738" i="2"/>
  <c r="AX1737" i="2"/>
  <c r="AV1737" i="2"/>
  <c r="AU1737" i="2"/>
  <c r="AR1737" i="2"/>
  <c r="AQ1737" i="2"/>
  <c r="AO1737" i="2"/>
  <c r="AM1737" i="2"/>
  <c r="AK1737" i="2"/>
  <c r="AJ1737" i="2"/>
  <c r="AI1737" i="2"/>
  <c r="AH1737" i="2"/>
  <c r="AG1737" i="2"/>
  <c r="AC1737" i="2"/>
  <c r="AA1737" i="2"/>
  <c r="Z1737" i="2"/>
  <c r="Y1737" i="2"/>
  <c r="X1737" i="2"/>
  <c r="W1737" i="2"/>
  <c r="V1737" i="2"/>
  <c r="U1737" i="2"/>
  <c r="T1737" i="2"/>
  <c r="S1737" i="2"/>
  <c r="R1737" i="2"/>
  <c r="Q1737" i="2"/>
  <c r="P1737" i="2"/>
  <c r="O1737" i="2"/>
  <c r="N1737" i="2"/>
  <c r="K1737" i="2"/>
  <c r="J1737" i="2"/>
  <c r="I1737" i="2"/>
  <c r="H1737" i="2"/>
  <c r="G1737" i="2"/>
  <c r="F1737" i="2"/>
  <c r="E1737" i="2"/>
  <c r="D1737" i="2"/>
  <c r="C1737" i="2"/>
  <c r="B1737" i="2"/>
  <c r="A1737" i="2"/>
  <c r="AX1736" i="2"/>
  <c r="AV1736" i="2"/>
  <c r="AU1736" i="2"/>
  <c r="AR1736" i="2"/>
  <c r="AQ1736" i="2"/>
  <c r="AO1736" i="2"/>
  <c r="AM1736" i="2"/>
  <c r="AK1736" i="2"/>
  <c r="AJ1736" i="2"/>
  <c r="AI1736" i="2"/>
  <c r="AH1736" i="2"/>
  <c r="AG1736" i="2"/>
  <c r="AC1736" i="2"/>
  <c r="AA1736" i="2"/>
  <c r="Z1736" i="2"/>
  <c r="Y1736" i="2"/>
  <c r="X1736" i="2"/>
  <c r="W1736" i="2"/>
  <c r="V1736" i="2"/>
  <c r="U1736" i="2"/>
  <c r="T1736" i="2"/>
  <c r="S1736" i="2"/>
  <c r="R1736" i="2"/>
  <c r="Q1736" i="2"/>
  <c r="P1736" i="2"/>
  <c r="O1736" i="2"/>
  <c r="N1736" i="2"/>
  <c r="M1736" i="2"/>
  <c r="L1736" i="2"/>
  <c r="K1736" i="2"/>
  <c r="J1736" i="2"/>
  <c r="I1736" i="2"/>
  <c r="H1736" i="2"/>
  <c r="G1736" i="2"/>
  <c r="F1736" i="2"/>
  <c r="E1736" i="2"/>
  <c r="D1736" i="2"/>
  <c r="C1736" i="2"/>
  <c r="B1736" i="2"/>
  <c r="A1736" i="2"/>
  <c r="AX1735" i="2"/>
  <c r="AV1735" i="2"/>
  <c r="AU1735" i="2"/>
  <c r="AT1735" i="2"/>
  <c r="AS1735" i="2"/>
  <c r="AR1735" i="2"/>
  <c r="AQ1735" i="2"/>
  <c r="AO1735" i="2"/>
  <c r="AM1735" i="2"/>
  <c r="AL1735" i="2"/>
  <c r="AK1735" i="2"/>
  <c r="AJ1735" i="2"/>
  <c r="AI1735" i="2"/>
  <c r="AH1735" i="2"/>
  <c r="AG1735" i="2"/>
  <c r="AE1735" i="2"/>
  <c r="AD1735" i="2"/>
  <c r="AC1735" i="2"/>
  <c r="AA1735" i="2"/>
  <c r="Z1735" i="2"/>
  <c r="Y1735" i="2"/>
  <c r="X1735" i="2"/>
  <c r="W1735" i="2"/>
  <c r="V1735" i="2"/>
  <c r="U1735" i="2"/>
  <c r="T1735" i="2"/>
  <c r="S1735" i="2"/>
  <c r="R1735" i="2"/>
  <c r="Q1735" i="2"/>
  <c r="P1735" i="2"/>
  <c r="O1735" i="2"/>
  <c r="N1735" i="2"/>
  <c r="M1735" i="2"/>
  <c r="L1735" i="2"/>
  <c r="K1735" i="2"/>
  <c r="J1735" i="2"/>
  <c r="I1735" i="2"/>
  <c r="H1735" i="2"/>
  <c r="G1735" i="2"/>
  <c r="F1735" i="2"/>
  <c r="E1735" i="2"/>
  <c r="D1735" i="2"/>
  <c r="C1735" i="2"/>
  <c r="B1735" i="2"/>
  <c r="A1735" i="2"/>
  <c r="AX1734" i="2"/>
  <c r="AV1734" i="2"/>
  <c r="AU1734" i="2"/>
  <c r="AS1734" i="2"/>
  <c r="AR1734" i="2"/>
  <c r="AQ1734" i="2"/>
  <c r="AO1734" i="2"/>
  <c r="AM1734" i="2"/>
  <c r="AL1734" i="2"/>
  <c r="AK1734" i="2"/>
  <c r="AJ1734" i="2"/>
  <c r="AI1734" i="2"/>
  <c r="AH1734" i="2"/>
  <c r="AG1734" i="2"/>
  <c r="AD1734" i="2"/>
  <c r="AC1734" i="2"/>
  <c r="AA1734" i="2"/>
  <c r="Z1734" i="2"/>
  <c r="Y1734" i="2"/>
  <c r="X1734" i="2"/>
  <c r="W1734" i="2"/>
  <c r="V1734" i="2"/>
  <c r="U1734" i="2"/>
  <c r="T1734" i="2"/>
  <c r="S1734" i="2"/>
  <c r="R1734" i="2"/>
  <c r="Q1734" i="2"/>
  <c r="P1734" i="2"/>
  <c r="O1734" i="2"/>
  <c r="N1734" i="2"/>
  <c r="M1734" i="2"/>
  <c r="L1734" i="2"/>
  <c r="K1734" i="2"/>
  <c r="J1734" i="2"/>
  <c r="I1734" i="2"/>
  <c r="H1734" i="2"/>
  <c r="G1734" i="2"/>
  <c r="F1734" i="2"/>
  <c r="E1734" i="2"/>
  <c r="D1734" i="2"/>
  <c r="C1734" i="2"/>
  <c r="B1734" i="2"/>
  <c r="A1734" i="2"/>
  <c r="AX1733" i="2"/>
  <c r="AV1733" i="2"/>
  <c r="AU1733" i="2"/>
  <c r="AR1733" i="2"/>
  <c r="AQ1733" i="2"/>
  <c r="AO1733" i="2"/>
  <c r="AM1733" i="2"/>
  <c r="AJ1733" i="2"/>
  <c r="AI1733" i="2"/>
  <c r="AH1733" i="2"/>
  <c r="AG1733" i="2"/>
  <c r="AC1733" i="2"/>
  <c r="AA1733" i="2"/>
  <c r="Z1733" i="2"/>
  <c r="Y1733" i="2"/>
  <c r="X1733" i="2"/>
  <c r="W1733" i="2"/>
  <c r="V1733" i="2"/>
  <c r="U1733" i="2"/>
  <c r="T1733" i="2"/>
  <c r="S1733" i="2"/>
  <c r="R1733" i="2"/>
  <c r="Q1733" i="2"/>
  <c r="P1733" i="2"/>
  <c r="O1733" i="2"/>
  <c r="N1733" i="2"/>
  <c r="M1733" i="2"/>
  <c r="L1733" i="2"/>
  <c r="K1733" i="2"/>
  <c r="J1733" i="2"/>
  <c r="I1733" i="2"/>
  <c r="H1733" i="2"/>
  <c r="G1733" i="2"/>
  <c r="F1733" i="2"/>
  <c r="E1733" i="2"/>
  <c r="D1733" i="2"/>
  <c r="C1733" i="2"/>
  <c r="B1733" i="2"/>
  <c r="A1733" i="2"/>
  <c r="AX1732" i="2"/>
  <c r="AV1732" i="2"/>
  <c r="AU1732" i="2"/>
  <c r="AR1732" i="2"/>
  <c r="AQ1732" i="2"/>
  <c r="AO1732" i="2"/>
  <c r="AM1732" i="2"/>
  <c r="AL1732" i="2"/>
  <c r="AK1732" i="2"/>
  <c r="AJ1732" i="2"/>
  <c r="AI1732" i="2"/>
  <c r="AH1732" i="2"/>
  <c r="AG1732" i="2"/>
  <c r="AD1732" i="2"/>
  <c r="AC1732" i="2"/>
  <c r="AA1732" i="2"/>
  <c r="Z1732" i="2"/>
  <c r="Y1732" i="2"/>
  <c r="X1732" i="2"/>
  <c r="W1732" i="2"/>
  <c r="V1732" i="2"/>
  <c r="U1732" i="2"/>
  <c r="T1732" i="2"/>
  <c r="S1732" i="2"/>
  <c r="R1732" i="2"/>
  <c r="Q1732" i="2"/>
  <c r="P1732" i="2"/>
  <c r="O1732" i="2"/>
  <c r="N1732" i="2"/>
  <c r="M1732" i="2"/>
  <c r="L1732" i="2"/>
  <c r="K1732" i="2"/>
  <c r="J1732" i="2"/>
  <c r="I1732" i="2"/>
  <c r="H1732" i="2"/>
  <c r="G1732" i="2"/>
  <c r="F1732" i="2"/>
  <c r="E1732" i="2"/>
  <c r="D1732" i="2"/>
  <c r="C1732" i="2"/>
  <c r="B1732" i="2"/>
  <c r="A1732" i="2"/>
  <c r="AX1731" i="2"/>
  <c r="AV1731" i="2"/>
  <c r="AU1731" i="2"/>
  <c r="AR1731" i="2"/>
  <c r="AQ1731" i="2"/>
  <c r="AM1731" i="2"/>
  <c r="AL1731" i="2"/>
  <c r="AI1731" i="2"/>
  <c r="AH1731" i="2"/>
  <c r="AG1731" i="2"/>
  <c r="AC1731" i="2"/>
  <c r="AA1731" i="2"/>
  <c r="Z1731" i="2"/>
  <c r="Y1731" i="2"/>
  <c r="X1731" i="2"/>
  <c r="W1731" i="2"/>
  <c r="V1731" i="2"/>
  <c r="U1731" i="2"/>
  <c r="T1731" i="2"/>
  <c r="S1731" i="2"/>
  <c r="R1731" i="2"/>
  <c r="Q1731" i="2"/>
  <c r="P1731" i="2"/>
  <c r="O1731" i="2"/>
  <c r="N1731" i="2"/>
  <c r="K1731" i="2"/>
  <c r="J1731" i="2"/>
  <c r="I1731" i="2"/>
  <c r="H1731" i="2"/>
  <c r="G1731" i="2"/>
  <c r="F1731" i="2"/>
  <c r="E1731" i="2"/>
  <c r="D1731" i="2"/>
  <c r="C1731" i="2"/>
  <c r="B1731" i="2"/>
  <c r="A1731" i="2"/>
  <c r="AX1730" i="2"/>
  <c r="AV1730" i="2"/>
  <c r="AU1730" i="2"/>
  <c r="AS1730" i="2"/>
  <c r="AR1730" i="2"/>
  <c r="AQ1730" i="2"/>
  <c r="AO1730" i="2"/>
  <c r="AM1730" i="2"/>
  <c r="AL1730" i="2"/>
  <c r="AK1730" i="2"/>
  <c r="AJ1730" i="2"/>
  <c r="AI1730" i="2"/>
  <c r="AH1730" i="2"/>
  <c r="AG1730" i="2"/>
  <c r="AE1730" i="2"/>
  <c r="AD1730" i="2"/>
  <c r="AC1730" i="2"/>
  <c r="AA1730" i="2"/>
  <c r="Z1730" i="2"/>
  <c r="Y1730" i="2"/>
  <c r="X1730" i="2"/>
  <c r="W1730" i="2"/>
  <c r="V1730" i="2"/>
  <c r="U1730" i="2"/>
  <c r="T1730" i="2"/>
  <c r="S1730" i="2"/>
  <c r="R1730" i="2"/>
  <c r="Q1730" i="2"/>
  <c r="P1730" i="2"/>
  <c r="O1730" i="2"/>
  <c r="N1730" i="2"/>
  <c r="K1730" i="2"/>
  <c r="J1730" i="2"/>
  <c r="I1730" i="2"/>
  <c r="H1730" i="2"/>
  <c r="G1730" i="2"/>
  <c r="F1730" i="2"/>
  <c r="E1730" i="2"/>
  <c r="D1730" i="2"/>
  <c r="C1730" i="2"/>
  <c r="B1730" i="2"/>
  <c r="A1730" i="2"/>
  <c r="AX1729" i="2"/>
  <c r="AV1729" i="2"/>
  <c r="AU1729" i="2"/>
  <c r="AR1729" i="2"/>
  <c r="AQ1729" i="2"/>
  <c r="AO1729" i="2"/>
  <c r="AM1729" i="2"/>
  <c r="AI1729" i="2"/>
  <c r="AH1729" i="2"/>
  <c r="AG1729" i="2"/>
  <c r="AC1729" i="2"/>
  <c r="AA1729" i="2"/>
  <c r="Z1729" i="2"/>
  <c r="Y1729" i="2"/>
  <c r="X1729" i="2"/>
  <c r="W1729" i="2"/>
  <c r="V1729" i="2"/>
  <c r="U1729" i="2"/>
  <c r="T1729" i="2"/>
  <c r="S1729" i="2"/>
  <c r="R1729" i="2"/>
  <c r="Q1729" i="2"/>
  <c r="P1729" i="2"/>
  <c r="O1729" i="2"/>
  <c r="N1729" i="2"/>
  <c r="K1729" i="2"/>
  <c r="J1729" i="2"/>
  <c r="I1729" i="2"/>
  <c r="H1729" i="2"/>
  <c r="G1729" i="2"/>
  <c r="F1729" i="2"/>
  <c r="E1729" i="2"/>
  <c r="D1729" i="2"/>
  <c r="C1729" i="2"/>
  <c r="B1729" i="2"/>
  <c r="A1729" i="2"/>
  <c r="AX1728" i="2"/>
  <c r="AV1728" i="2"/>
  <c r="AU1728" i="2"/>
  <c r="AT1728" i="2"/>
  <c r="AO1728" i="2"/>
  <c r="AM1728" i="2"/>
  <c r="AL1728" i="2"/>
  <c r="AK1728" i="2"/>
  <c r="AJ1728" i="2"/>
  <c r="AI1728" i="2"/>
  <c r="AH1728" i="2"/>
  <c r="AG1728" i="2"/>
  <c r="AF1728" i="2"/>
  <c r="AE1728" i="2"/>
  <c r="AD1728" i="2"/>
  <c r="AC1728" i="2"/>
  <c r="AA1728" i="2"/>
  <c r="Z1728" i="2"/>
  <c r="Y1728" i="2"/>
  <c r="X1728" i="2"/>
  <c r="W1728" i="2"/>
  <c r="V1728" i="2"/>
  <c r="U1728" i="2"/>
  <c r="T1728" i="2"/>
  <c r="S1728" i="2"/>
  <c r="R1728" i="2"/>
  <c r="Q1728" i="2"/>
  <c r="P1728" i="2"/>
  <c r="O1728" i="2"/>
  <c r="N1728" i="2"/>
  <c r="M1728" i="2"/>
  <c r="L1728" i="2"/>
  <c r="K1728" i="2"/>
  <c r="J1728" i="2"/>
  <c r="I1728" i="2"/>
  <c r="H1728" i="2"/>
  <c r="G1728" i="2"/>
  <c r="F1728" i="2"/>
  <c r="E1728" i="2"/>
  <c r="D1728" i="2"/>
  <c r="C1728" i="2"/>
  <c r="B1728" i="2"/>
  <c r="A1728" i="2"/>
  <c r="AX1727" i="2"/>
  <c r="AV1727" i="2"/>
  <c r="AU1727" i="2"/>
  <c r="AR1727" i="2"/>
  <c r="AQ1727" i="2"/>
  <c r="AO1727" i="2"/>
  <c r="AM1727" i="2"/>
  <c r="AI1727" i="2"/>
  <c r="AH1727" i="2"/>
  <c r="AG1727" i="2"/>
  <c r="AC1727" i="2"/>
  <c r="AA1727" i="2"/>
  <c r="Z1727" i="2"/>
  <c r="Y1727" i="2"/>
  <c r="X1727" i="2"/>
  <c r="W1727" i="2"/>
  <c r="V1727" i="2"/>
  <c r="U1727" i="2"/>
  <c r="T1727" i="2"/>
  <c r="S1727" i="2"/>
  <c r="R1727" i="2"/>
  <c r="Q1727" i="2"/>
  <c r="P1727" i="2"/>
  <c r="O1727" i="2"/>
  <c r="N1727" i="2"/>
  <c r="K1727" i="2"/>
  <c r="J1727" i="2"/>
  <c r="I1727" i="2"/>
  <c r="H1727" i="2"/>
  <c r="G1727" i="2"/>
  <c r="F1727" i="2"/>
  <c r="E1727" i="2"/>
  <c r="D1727" i="2"/>
  <c r="C1727" i="2"/>
  <c r="B1727" i="2"/>
  <c r="A1727" i="2"/>
  <c r="AX1726" i="2"/>
  <c r="AV1726" i="2"/>
  <c r="AU1726" i="2"/>
  <c r="AT1726" i="2"/>
  <c r="AS1726" i="2"/>
  <c r="AR1726" i="2"/>
  <c r="AQ1726" i="2"/>
  <c r="AO1726" i="2"/>
  <c r="AM1726" i="2"/>
  <c r="AK1726" i="2"/>
  <c r="AJ1726" i="2"/>
  <c r="AI1726" i="2"/>
  <c r="AH1726" i="2"/>
  <c r="AG1726" i="2"/>
  <c r="AD1726" i="2"/>
  <c r="AC1726" i="2"/>
  <c r="AA1726" i="2"/>
  <c r="Z1726" i="2"/>
  <c r="Y1726" i="2"/>
  <c r="X1726" i="2"/>
  <c r="W1726" i="2"/>
  <c r="V1726" i="2"/>
  <c r="U1726" i="2"/>
  <c r="T1726" i="2"/>
  <c r="S1726" i="2"/>
  <c r="R1726" i="2"/>
  <c r="Q1726" i="2"/>
  <c r="P1726" i="2"/>
  <c r="O1726" i="2"/>
  <c r="N1726" i="2"/>
  <c r="K1726" i="2"/>
  <c r="J1726" i="2"/>
  <c r="I1726" i="2"/>
  <c r="H1726" i="2"/>
  <c r="G1726" i="2"/>
  <c r="F1726" i="2"/>
  <c r="E1726" i="2"/>
  <c r="D1726" i="2"/>
  <c r="C1726" i="2"/>
  <c r="B1726" i="2"/>
  <c r="A1726" i="2"/>
  <c r="AX1725" i="2"/>
  <c r="AV1725" i="2"/>
  <c r="AU1725" i="2"/>
  <c r="AT1725" i="2"/>
  <c r="AS1725" i="2"/>
  <c r="AR1725" i="2"/>
  <c r="AQ1725" i="2"/>
  <c r="AO1725" i="2"/>
  <c r="AM1725" i="2"/>
  <c r="AL1725" i="2"/>
  <c r="AK1725" i="2"/>
  <c r="AJ1725" i="2"/>
  <c r="AI1725" i="2"/>
  <c r="AH1725" i="2"/>
  <c r="AG1725" i="2"/>
  <c r="AE1725" i="2"/>
  <c r="AD1725" i="2"/>
  <c r="AC1725" i="2"/>
  <c r="AA1725" i="2"/>
  <c r="Z1725" i="2"/>
  <c r="Y1725" i="2"/>
  <c r="X1725" i="2"/>
  <c r="W1725" i="2"/>
  <c r="V1725" i="2"/>
  <c r="U1725" i="2"/>
  <c r="T1725" i="2"/>
  <c r="S1725" i="2"/>
  <c r="R1725" i="2"/>
  <c r="Q1725" i="2"/>
  <c r="P1725" i="2"/>
  <c r="O1725" i="2"/>
  <c r="N1725" i="2"/>
  <c r="K1725" i="2"/>
  <c r="J1725" i="2"/>
  <c r="I1725" i="2"/>
  <c r="H1725" i="2"/>
  <c r="G1725" i="2"/>
  <c r="F1725" i="2"/>
  <c r="E1725" i="2"/>
  <c r="D1725" i="2"/>
  <c r="C1725" i="2"/>
  <c r="B1725" i="2"/>
  <c r="A1725" i="2"/>
  <c r="AX1724" i="2"/>
  <c r="AV1724" i="2"/>
  <c r="AU1724" i="2"/>
  <c r="AS1724" i="2"/>
  <c r="AR1724" i="2"/>
  <c r="AQ1724" i="2"/>
  <c r="AO1724" i="2"/>
  <c r="AM1724" i="2"/>
  <c r="AL1724" i="2"/>
  <c r="AK1724" i="2"/>
  <c r="AJ1724" i="2"/>
  <c r="AI1724" i="2"/>
  <c r="AH1724" i="2"/>
  <c r="AG1724" i="2"/>
  <c r="AD1724" i="2"/>
  <c r="AC1724" i="2"/>
  <c r="AA1724" i="2"/>
  <c r="Z1724" i="2"/>
  <c r="Y1724" i="2"/>
  <c r="X1724" i="2"/>
  <c r="W1724" i="2"/>
  <c r="V1724" i="2"/>
  <c r="U1724" i="2"/>
  <c r="T1724" i="2"/>
  <c r="S1724" i="2"/>
  <c r="R1724" i="2"/>
  <c r="Q1724" i="2"/>
  <c r="P1724" i="2"/>
  <c r="O1724" i="2"/>
  <c r="N1724" i="2"/>
  <c r="M1724" i="2"/>
  <c r="L1724" i="2"/>
  <c r="K1724" i="2"/>
  <c r="J1724" i="2"/>
  <c r="I1724" i="2"/>
  <c r="H1724" i="2"/>
  <c r="G1724" i="2"/>
  <c r="F1724" i="2"/>
  <c r="E1724" i="2"/>
  <c r="D1724" i="2"/>
  <c r="C1724" i="2"/>
  <c r="B1724" i="2"/>
  <c r="A1724" i="2"/>
  <c r="AX1723" i="2"/>
  <c r="AV1723" i="2"/>
  <c r="AU1723" i="2"/>
  <c r="AT1723" i="2"/>
  <c r="AR1723" i="2"/>
  <c r="AQ1723" i="2"/>
  <c r="AP1723" i="2"/>
  <c r="AO1723" i="2"/>
  <c r="AM1723" i="2"/>
  <c r="AK1723" i="2"/>
  <c r="AJ1723" i="2"/>
  <c r="AI1723" i="2"/>
  <c r="AH1723" i="2"/>
  <c r="AG1723" i="2"/>
  <c r="AC1723" i="2"/>
  <c r="AA1723" i="2"/>
  <c r="Z1723" i="2"/>
  <c r="Y1723" i="2"/>
  <c r="X1723" i="2"/>
  <c r="W1723" i="2"/>
  <c r="V1723" i="2"/>
  <c r="U1723" i="2"/>
  <c r="T1723" i="2"/>
  <c r="S1723" i="2"/>
  <c r="R1723" i="2"/>
  <c r="Q1723" i="2"/>
  <c r="P1723" i="2"/>
  <c r="O1723" i="2"/>
  <c r="N1723" i="2"/>
  <c r="K1723" i="2"/>
  <c r="J1723" i="2"/>
  <c r="I1723" i="2"/>
  <c r="H1723" i="2"/>
  <c r="G1723" i="2"/>
  <c r="F1723" i="2"/>
  <c r="E1723" i="2"/>
  <c r="D1723" i="2"/>
  <c r="C1723" i="2"/>
  <c r="B1723" i="2"/>
  <c r="A1723" i="2"/>
  <c r="AX1722" i="2"/>
  <c r="AV1722" i="2"/>
  <c r="AU1722" i="2"/>
  <c r="AR1722" i="2"/>
  <c r="AQ1722" i="2"/>
  <c r="AO1722" i="2"/>
  <c r="AM1722" i="2"/>
  <c r="AL1722" i="2"/>
  <c r="AK1722" i="2"/>
  <c r="AJ1722" i="2"/>
  <c r="AI1722" i="2"/>
  <c r="AH1722" i="2"/>
  <c r="AG1722" i="2"/>
  <c r="AD1722" i="2"/>
  <c r="AC1722" i="2"/>
  <c r="AA1722" i="2"/>
  <c r="Z1722" i="2"/>
  <c r="Y1722" i="2"/>
  <c r="X1722" i="2"/>
  <c r="W1722" i="2"/>
  <c r="V1722" i="2"/>
  <c r="U1722" i="2"/>
  <c r="T1722" i="2"/>
  <c r="S1722" i="2"/>
  <c r="R1722" i="2"/>
  <c r="Q1722" i="2"/>
  <c r="P1722" i="2"/>
  <c r="O1722" i="2"/>
  <c r="N1722" i="2"/>
  <c r="K1722" i="2"/>
  <c r="J1722" i="2"/>
  <c r="I1722" i="2"/>
  <c r="H1722" i="2"/>
  <c r="G1722" i="2"/>
  <c r="F1722" i="2"/>
  <c r="E1722" i="2"/>
  <c r="D1722" i="2"/>
  <c r="C1722" i="2"/>
  <c r="B1722" i="2"/>
  <c r="A1722" i="2"/>
  <c r="AX1721" i="2"/>
  <c r="AV1721" i="2"/>
  <c r="AU1721" i="2"/>
  <c r="AS1721" i="2"/>
  <c r="AR1721" i="2"/>
  <c r="AQ1721" i="2"/>
  <c r="AO1721" i="2"/>
  <c r="AM1721" i="2"/>
  <c r="AL1721" i="2"/>
  <c r="AK1721" i="2"/>
  <c r="AJ1721" i="2"/>
  <c r="AI1721" i="2"/>
  <c r="AH1721" i="2"/>
  <c r="AG1721" i="2"/>
  <c r="AF1721" i="2"/>
  <c r="AE1721" i="2"/>
  <c r="AD1721" i="2"/>
  <c r="AC1721" i="2"/>
  <c r="AA1721" i="2"/>
  <c r="Z1721" i="2"/>
  <c r="Y1721" i="2"/>
  <c r="X1721" i="2"/>
  <c r="V1721" i="2"/>
  <c r="U1721" i="2"/>
  <c r="T1721" i="2"/>
  <c r="S1721" i="2"/>
  <c r="R1721" i="2"/>
  <c r="Q1721" i="2"/>
  <c r="P1721" i="2"/>
  <c r="O1721" i="2"/>
  <c r="N1721" i="2"/>
  <c r="K1721" i="2"/>
  <c r="J1721" i="2"/>
  <c r="I1721" i="2"/>
  <c r="H1721" i="2"/>
  <c r="G1721" i="2"/>
  <c r="F1721" i="2"/>
  <c r="E1721" i="2"/>
  <c r="D1721" i="2"/>
  <c r="C1721" i="2"/>
  <c r="B1721" i="2"/>
  <c r="A1721" i="2"/>
  <c r="AX1720" i="2"/>
  <c r="AV1720" i="2"/>
  <c r="AU1720" i="2"/>
  <c r="AT1720" i="2"/>
  <c r="AS1720" i="2"/>
  <c r="AR1720" i="2"/>
  <c r="AQ1720" i="2"/>
  <c r="AO1720" i="2"/>
  <c r="AM1720" i="2"/>
  <c r="AL1720" i="2"/>
  <c r="AK1720" i="2"/>
  <c r="AJ1720" i="2"/>
  <c r="AI1720" i="2"/>
  <c r="AH1720" i="2"/>
  <c r="AG1720" i="2"/>
  <c r="AE1720" i="2"/>
  <c r="AC1720" i="2"/>
  <c r="AA1720" i="2"/>
  <c r="Z1720" i="2"/>
  <c r="Y1720" i="2"/>
  <c r="X1720" i="2"/>
  <c r="W1720" i="2"/>
  <c r="V1720" i="2"/>
  <c r="U1720" i="2"/>
  <c r="T1720" i="2"/>
  <c r="S1720" i="2"/>
  <c r="R1720" i="2"/>
  <c r="Q1720" i="2"/>
  <c r="P1720" i="2"/>
  <c r="O1720" i="2"/>
  <c r="N1720" i="2"/>
  <c r="K1720" i="2"/>
  <c r="J1720" i="2"/>
  <c r="I1720" i="2"/>
  <c r="H1720" i="2"/>
  <c r="G1720" i="2"/>
  <c r="F1720" i="2"/>
  <c r="E1720" i="2"/>
  <c r="D1720" i="2"/>
  <c r="C1720" i="2"/>
  <c r="B1720" i="2"/>
  <c r="A1720" i="2"/>
  <c r="AX1719" i="2"/>
  <c r="AV1719" i="2"/>
  <c r="AU1719" i="2"/>
  <c r="AT1719" i="2"/>
  <c r="AR1719" i="2"/>
  <c r="AQ1719" i="2"/>
  <c r="AP1719" i="2"/>
  <c r="AO1719" i="2"/>
  <c r="AM1719" i="2"/>
  <c r="AL1719" i="2"/>
  <c r="AK1719" i="2"/>
  <c r="AJ1719" i="2"/>
  <c r="AI1719" i="2"/>
  <c r="AH1719" i="2"/>
  <c r="AG1719" i="2"/>
  <c r="AE1719" i="2"/>
  <c r="AD1719" i="2"/>
  <c r="AC1719" i="2"/>
  <c r="AA1719" i="2"/>
  <c r="Z1719" i="2"/>
  <c r="Y1719" i="2"/>
  <c r="X1719" i="2"/>
  <c r="W1719" i="2"/>
  <c r="V1719" i="2"/>
  <c r="U1719" i="2"/>
  <c r="T1719" i="2"/>
  <c r="S1719" i="2"/>
  <c r="R1719" i="2"/>
  <c r="Q1719" i="2"/>
  <c r="P1719" i="2"/>
  <c r="O1719" i="2"/>
  <c r="N1719" i="2"/>
  <c r="M1719" i="2"/>
  <c r="L1719" i="2"/>
  <c r="K1719" i="2"/>
  <c r="J1719" i="2"/>
  <c r="I1719" i="2"/>
  <c r="H1719" i="2"/>
  <c r="G1719" i="2"/>
  <c r="F1719" i="2"/>
  <c r="E1719" i="2"/>
  <c r="D1719" i="2"/>
  <c r="C1719" i="2"/>
  <c r="B1719" i="2"/>
  <c r="A1719" i="2"/>
  <c r="AX1718" i="2"/>
  <c r="AV1718" i="2"/>
  <c r="AU1718" i="2"/>
  <c r="AT1718" i="2"/>
  <c r="AS1718" i="2"/>
  <c r="AR1718" i="2"/>
  <c r="AQ1718" i="2"/>
  <c r="AO1718" i="2"/>
  <c r="AM1718" i="2"/>
  <c r="AL1718" i="2"/>
  <c r="AK1718" i="2"/>
  <c r="AJ1718" i="2"/>
  <c r="AI1718" i="2"/>
  <c r="AH1718" i="2"/>
  <c r="AG1718" i="2"/>
  <c r="AD1718" i="2"/>
  <c r="AC1718" i="2"/>
  <c r="AA1718" i="2"/>
  <c r="Z1718" i="2"/>
  <c r="Y1718" i="2"/>
  <c r="X1718" i="2"/>
  <c r="W1718" i="2"/>
  <c r="V1718" i="2"/>
  <c r="U1718" i="2"/>
  <c r="T1718" i="2"/>
  <c r="S1718" i="2"/>
  <c r="R1718" i="2"/>
  <c r="Q1718" i="2"/>
  <c r="P1718" i="2"/>
  <c r="O1718" i="2"/>
  <c r="N1718" i="2"/>
  <c r="M1718" i="2"/>
  <c r="L1718" i="2"/>
  <c r="K1718" i="2"/>
  <c r="J1718" i="2"/>
  <c r="I1718" i="2"/>
  <c r="H1718" i="2"/>
  <c r="G1718" i="2"/>
  <c r="F1718" i="2"/>
  <c r="E1718" i="2"/>
  <c r="D1718" i="2"/>
  <c r="C1718" i="2"/>
  <c r="B1718" i="2"/>
  <c r="A1718" i="2"/>
  <c r="AX1717" i="2"/>
  <c r="AV1717" i="2"/>
  <c r="AU1717" i="2"/>
  <c r="AT1717" i="2"/>
  <c r="AS1717" i="2"/>
  <c r="AR1717" i="2"/>
  <c r="AQ1717" i="2"/>
  <c r="AP1717" i="2"/>
  <c r="AO1717" i="2"/>
  <c r="AM1717" i="2"/>
  <c r="AL1717" i="2"/>
  <c r="AK1717" i="2"/>
  <c r="AJ1717" i="2"/>
  <c r="AI1717" i="2"/>
  <c r="AH1717" i="2"/>
  <c r="AG1717" i="2"/>
  <c r="AE1717" i="2"/>
  <c r="AD1717" i="2"/>
  <c r="AC1717" i="2"/>
  <c r="AA1717" i="2"/>
  <c r="Z1717" i="2"/>
  <c r="Y1717" i="2"/>
  <c r="X1717" i="2"/>
  <c r="W1717" i="2"/>
  <c r="V1717" i="2"/>
  <c r="U1717" i="2"/>
  <c r="T1717" i="2"/>
  <c r="S1717" i="2"/>
  <c r="R1717" i="2"/>
  <c r="Q1717" i="2"/>
  <c r="P1717" i="2"/>
  <c r="O1717" i="2"/>
  <c r="N1717" i="2"/>
  <c r="M1717" i="2"/>
  <c r="L1717" i="2"/>
  <c r="K1717" i="2"/>
  <c r="J1717" i="2"/>
  <c r="I1717" i="2"/>
  <c r="H1717" i="2"/>
  <c r="G1717" i="2"/>
  <c r="F1717" i="2"/>
  <c r="E1717" i="2"/>
  <c r="D1717" i="2"/>
  <c r="C1717" i="2"/>
  <c r="B1717" i="2"/>
  <c r="A1717" i="2"/>
  <c r="AX1716" i="2"/>
  <c r="AV1716" i="2"/>
  <c r="AU1716" i="2"/>
  <c r="AT1716" i="2"/>
  <c r="AS1716" i="2"/>
  <c r="AR1716" i="2"/>
  <c r="AQ1716" i="2"/>
  <c r="AO1716" i="2"/>
  <c r="AM1716" i="2"/>
  <c r="AK1716" i="2"/>
  <c r="AJ1716" i="2"/>
  <c r="AI1716" i="2"/>
  <c r="AH1716" i="2"/>
  <c r="AG1716" i="2"/>
  <c r="AF1716" i="2"/>
  <c r="AE1716" i="2"/>
  <c r="AD1716" i="2"/>
  <c r="AC1716" i="2"/>
  <c r="AA1716" i="2"/>
  <c r="Z1716" i="2"/>
  <c r="Y1716" i="2"/>
  <c r="X1716" i="2"/>
  <c r="W1716" i="2"/>
  <c r="V1716" i="2"/>
  <c r="U1716" i="2"/>
  <c r="T1716" i="2"/>
  <c r="S1716" i="2"/>
  <c r="R1716" i="2"/>
  <c r="Q1716" i="2"/>
  <c r="P1716" i="2"/>
  <c r="O1716" i="2"/>
  <c r="N1716" i="2"/>
  <c r="M1716" i="2"/>
  <c r="K1716" i="2"/>
  <c r="J1716" i="2"/>
  <c r="I1716" i="2"/>
  <c r="H1716" i="2"/>
  <c r="G1716" i="2"/>
  <c r="F1716" i="2"/>
  <c r="E1716" i="2"/>
  <c r="D1716" i="2"/>
  <c r="C1716" i="2"/>
  <c r="B1716" i="2"/>
  <c r="A1716" i="2"/>
  <c r="AX1715" i="2"/>
  <c r="AV1715" i="2"/>
  <c r="AU1715" i="2"/>
  <c r="AT1715" i="2"/>
  <c r="AS1715" i="2"/>
  <c r="AR1715" i="2"/>
  <c r="AQ1715" i="2"/>
  <c r="AO1715" i="2"/>
  <c r="AN1715" i="2"/>
  <c r="AM1715" i="2"/>
  <c r="AL1715" i="2"/>
  <c r="AI1715" i="2"/>
  <c r="AH1715" i="2"/>
  <c r="AG1715" i="2"/>
  <c r="AE1715" i="2"/>
  <c r="AD1715" i="2"/>
  <c r="AC1715" i="2"/>
  <c r="AA1715" i="2"/>
  <c r="Z1715" i="2"/>
  <c r="Y1715" i="2"/>
  <c r="X1715" i="2"/>
  <c r="W1715" i="2"/>
  <c r="V1715" i="2"/>
  <c r="U1715" i="2"/>
  <c r="T1715" i="2"/>
  <c r="S1715" i="2"/>
  <c r="R1715" i="2"/>
  <c r="Q1715" i="2"/>
  <c r="P1715" i="2"/>
  <c r="O1715" i="2"/>
  <c r="N1715" i="2"/>
  <c r="M1715" i="2"/>
  <c r="L1715" i="2"/>
  <c r="K1715" i="2"/>
  <c r="J1715" i="2"/>
  <c r="I1715" i="2"/>
  <c r="H1715" i="2"/>
  <c r="G1715" i="2"/>
  <c r="F1715" i="2"/>
  <c r="E1715" i="2"/>
  <c r="D1715" i="2"/>
  <c r="C1715" i="2"/>
  <c r="B1715" i="2"/>
  <c r="A1715" i="2"/>
  <c r="AX1714" i="2"/>
  <c r="AV1714" i="2"/>
  <c r="AU1714" i="2"/>
  <c r="AT1714" i="2"/>
  <c r="AS1714" i="2"/>
  <c r="AR1714" i="2"/>
  <c r="AQ1714" i="2"/>
  <c r="AP1714" i="2"/>
  <c r="AO1714" i="2"/>
  <c r="AM1714" i="2"/>
  <c r="AL1714" i="2"/>
  <c r="AK1714" i="2"/>
  <c r="AJ1714" i="2"/>
  <c r="AI1714" i="2"/>
  <c r="AH1714" i="2"/>
  <c r="AG1714" i="2"/>
  <c r="AE1714" i="2"/>
  <c r="AD1714" i="2"/>
  <c r="AC1714" i="2"/>
  <c r="AA1714" i="2"/>
  <c r="Z1714" i="2"/>
  <c r="Y1714" i="2"/>
  <c r="X1714" i="2"/>
  <c r="W1714" i="2"/>
  <c r="V1714" i="2"/>
  <c r="U1714" i="2"/>
  <c r="T1714" i="2"/>
  <c r="S1714" i="2"/>
  <c r="R1714" i="2"/>
  <c r="Q1714" i="2"/>
  <c r="P1714" i="2"/>
  <c r="O1714" i="2"/>
  <c r="N1714" i="2"/>
  <c r="M1714" i="2"/>
  <c r="L1714" i="2"/>
  <c r="K1714" i="2"/>
  <c r="J1714" i="2"/>
  <c r="I1714" i="2"/>
  <c r="H1714" i="2"/>
  <c r="G1714" i="2"/>
  <c r="F1714" i="2"/>
  <c r="E1714" i="2"/>
  <c r="D1714" i="2"/>
  <c r="C1714" i="2"/>
  <c r="B1714" i="2"/>
  <c r="A1714" i="2"/>
  <c r="AX1713" i="2"/>
  <c r="AV1713" i="2"/>
  <c r="AU1713" i="2"/>
  <c r="AT1713" i="2"/>
  <c r="AS1713" i="2"/>
  <c r="AR1713" i="2"/>
  <c r="AQ1713" i="2"/>
  <c r="AP1713" i="2"/>
  <c r="AO1713" i="2"/>
  <c r="AM1713" i="2"/>
  <c r="AL1713" i="2"/>
  <c r="AK1713" i="2"/>
  <c r="AJ1713" i="2"/>
  <c r="AI1713" i="2"/>
  <c r="AH1713" i="2"/>
  <c r="AG1713" i="2"/>
  <c r="AF1713" i="2"/>
  <c r="AE1713" i="2"/>
  <c r="AD1713" i="2"/>
  <c r="AC1713" i="2"/>
  <c r="AA1713" i="2"/>
  <c r="Z1713" i="2"/>
  <c r="Y1713" i="2"/>
  <c r="X1713" i="2"/>
  <c r="W1713" i="2"/>
  <c r="V1713" i="2"/>
  <c r="U1713" i="2"/>
  <c r="T1713" i="2"/>
  <c r="S1713" i="2"/>
  <c r="R1713" i="2"/>
  <c r="Q1713" i="2"/>
  <c r="P1713" i="2"/>
  <c r="O1713" i="2"/>
  <c r="N1713" i="2"/>
  <c r="M1713" i="2"/>
  <c r="L1713" i="2"/>
  <c r="K1713" i="2"/>
  <c r="J1713" i="2"/>
  <c r="I1713" i="2"/>
  <c r="H1713" i="2"/>
  <c r="G1713" i="2"/>
  <c r="F1713" i="2"/>
  <c r="E1713" i="2"/>
  <c r="D1713" i="2"/>
  <c r="C1713" i="2"/>
  <c r="B1713" i="2"/>
  <c r="A1713" i="2"/>
  <c r="AX1712" i="2"/>
  <c r="AV1712" i="2"/>
  <c r="AU1712" i="2"/>
  <c r="AT1712" i="2"/>
  <c r="AR1712" i="2"/>
  <c r="AQ1712" i="2"/>
  <c r="AP1712" i="2"/>
  <c r="AO1712" i="2"/>
  <c r="AM1712" i="2"/>
  <c r="AK1712" i="2"/>
  <c r="AJ1712" i="2"/>
  <c r="AI1712" i="2"/>
  <c r="AH1712" i="2"/>
  <c r="AG1712" i="2"/>
  <c r="AC1712" i="2"/>
  <c r="AA1712" i="2"/>
  <c r="Z1712" i="2"/>
  <c r="Y1712" i="2"/>
  <c r="X1712" i="2"/>
  <c r="W1712" i="2"/>
  <c r="V1712" i="2"/>
  <c r="U1712" i="2"/>
  <c r="T1712" i="2"/>
  <c r="S1712" i="2"/>
  <c r="R1712" i="2"/>
  <c r="Q1712" i="2"/>
  <c r="P1712" i="2"/>
  <c r="O1712" i="2"/>
  <c r="N1712" i="2"/>
  <c r="K1712" i="2"/>
  <c r="J1712" i="2"/>
  <c r="I1712" i="2"/>
  <c r="H1712" i="2"/>
  <c r="G1712" i="2"/>
  <c r="F1712" i="2"/>
  <c r="E1712" i="2"/>
  <c r="D1712" i="2"/>
  <c r="C1712" i="2"/>
  <c r="B1712" i="2"/>
  <c r="A1712" i="2"/>
  <c r="AX1711" i="2"/>
  <c r="AV1711" i="2"/>
  <c r="AU1711" i="2"/>
  <c r="AS1711" i="2"/>
  <c r="AR1711" i="2"/>
  <c r="AQ1711" i="2"/>
  <c r="AO1711" i="2"/>
  <c r="AM1711" i="2"/>
  <c r="AL1711" i="2"/>
  <c r="AK1711" i="2"/>
  <c r="AJ1711" i="2"/>
  <c r="AI1711" i="2"/>
  <c r="AH1711" i="2"/>
  <c r="AG1711" i="2"/>
  <c r="AE1711" i="2"/>
  <c r="AD1711" i="2"/>
  <c r="AC1711" i="2"/>
  <c r="AA1711" i="2"/>
  <c r="Z1711" i="2"/>
  <c r="Y1711" i="2"/>
  <c r="X1711" i="2"/>
  <c r="W1711" i="2"/>
  <c r="V1711" i="2"/>
  <c r="U1711" i="2"/>
  <c r="T1711" i="2"/>
  <c r="S1711" i="2"/>
  <c r="R1711" i="2"/>
  <c r="Q1711" i="2"/>
  <c r="P1711" i="2"/>
  <c r="O1711" i="2"/>
  <c r="N1711" i="2"/>
  <c r="K1711" i="2"/>
  <c r="J1711" i="2"/>
  <c r="I1711" i="2"/>
  <c r="H1711" i="2"/>
  <c r="G1711" i="2"/>
  <c r="F1711" i="2"/>
  <c r="E1711" i="2"/>
  <c r="D1711" i="2"/>
  <c r="C1711" i="2"/>
  <c r="B1711" i="2"/>
  <c r="A1711" i="2"/>
  <c r="AX1710" i="2"/>
  <c r="AV1710" i="2"/>
  <c r="AU1710" i="2"/>
  <c r="AS1710" i="2"/>
  <c r="AR1710" i="2"/>
  <c r="AQ1710" i="2"/>
  <c r="AO1710" i="2"/>
  <c r="AM1710" i="2"/>
  <c r="AL1710" i="2"/>
  <c r="AK1710" i="2"/>
  <c r="AJ1710" i="2"/>
  <c r="AI1710" i="2"/>
  <c r="AH1710" i="2"/>
  <c r="AG1710" i="2"/>
  <c r="AF1710" i="2"/>
  <c r="AE1710" i="2"/>
  <c r="AD1710" i="2"/>
  <c r="AC1710" i="2"/>
  <c r="AA1710" i="2"/>
  <c r="Z1710" i="2"/>
  <c r="Y1710" i="2"/>
  <c r="X1710" i="2"/>
  <c r="W1710" i="2"/>
  <c r="V1710" i="2"/>
  <c r="U1710" i="2"/>
  <c r="T1710" i="2"/>
  <c r="S1710" i="2"/>
  <c r="R1710" i="2"/>
  <c r="Q1710" i="2"/>
  <c r="P1710" i="2"/>
  <c r="O1710" i="2"/>
  <c r="N1710" i="2"/>
  <c r="K1710" i="2"/>
  <c r="J1710" i="2"/>
  <c r="I1710" i="2"/>
  <c r="H1710" i="2"/>
  <c r="G1710" i="2"/>
  <c r="F1710" i="2"/>
  <c r="E1710" i="2"/>
  <c r="D1710" i="2"/>
  <c r="C1710" i="2"/>
  <c r="B1710" i="2"/>
  <c r="A1710" i="2"/>
  <c r="AX1709" i="2"/>
  <c r="AV1709" i="2"/>
  <c r="AU1709" i="2"/>
  <c r="AS1709" i="2"/>
  <c r="AR1709" i="2"/>
  <c r="AQ1709" i="2"/>
  <c r="AO1709" i="2"/>
  <c r="AM1709" i="2"/>
  <c r="AK1709" i="2"/>
  <c r="AJ1709" i="2"/>
  <c r="AI1709" i="2"/>
  <c r="AH1709" i="2"/>
  <c r="AG1709" i="2"/>
  <c r="AE1709" i="2"/>
  <c r="AC1709" i="2"/>
  <c r="AA1709" i="2"/>
  <c r="Z1709" i="2"/>
  <c r="Y1709" i="2"/>
  <c r="X1709" i="2"/>
  <c r="W1709" i="2"/>
  <c r="V1709" i="2"/>
  <c r="U1709" i="2"/>
  <c r="T1709" i="2"/>
  <c r="S1709" i="2"/>
  <c r="R1709" i="2"/>
  <c r="Q1709" i="2"/>
  <c r="P1709" i="2"/>
  <c r="O1709" i="2"/>
  <c r="N1709" i="2"/>
  <c r="K1709" i="2"/>
  <c r="J1709" i="2"/>
  <c r="I1709" i="2"/>
  <c r="H1709" i="2"/>
  <c r="G1709" i="2"/>
  <c r="F1709" i="2"/>
  <c r="E1709" i="2"/>
  <c r="D1709" i="2"/>
  <c r="C1709" i="2"/>
  <c r="B1709" i="2"/>
  <c r="A1709" i="2"/>
  <c r="AX1708" i="2"/>
  <c r="AV1708" i="2"/>
  <c r="AU1708" i="2"/>
  <c r="AS1708" i="2"/>
  <c r="AR1708" i="2"/>
  <c r="AQ1708" i="2"/>
  <c r="AO1708" i="2"/>
  <c r="AM1708" i="2"/>
  <c r="AL1708" i="2"/>
  <c r="AK1708" i="2"/>
  <c r="AJ1708" i="2"/>
  <c r="AI1708" i="2"/>
  <c r="AH1708" i="2"/>
  <c r="AG1708" i="2"/>
  <c r="AE1708" i="2"/>
  <c r="AD1708" i="2"/>
  <c r="AC1708" i="2"/>
  <c r="AA1708" i="2"/>
  <c r="Z1708" i="2"/>
  <c r="Y1708" i="2"/>
  <c r="X1708" i="2"/>
  <c r="W1708" i="2"/>
  <c r="V1708" i="2"/>
  <c r="U1708" i="2"/>
  <c r="T1708" i="2"/>
  <c r="S1708" i="2"/>
  <c r="R1708" i="2"/>
  <c r="Q1708" i="2"/>
  <c r="P1708" i="2"/>
  <c r="O1708" i="2"/>
  <c r="N1708" i="2"/>
  <c r="K1708" i="2"/>
  <c r="J1708" i="2"/>
  <c r="I1708" i="2"/>
  <c r="H1708" i="2"/>
  <c r="G1708" i="2"/>
  <c r="F1708" i="2"/>
  <c r="E1708" i="2"/>
  <c r="D1708" i="2"/>
  <c r="C1708" i="2"/>
  <c r="B1708" i="2"/>
  <c r="A1708" i="2"/>
  <c r="AX1707" i="2"/>
  <c r="AV1707" i="2"/>
  <c r="AU1707" i="2"/>
  <c r="AS1707" i="2"/>
  <c r="AR1707" i="2"/>
  <c r="AQ1707" i="2"/>
  <c r="AO1707" i="2"/>
  <c r="AM1707" i="2"/>
  <c r="AL1707" i="2"/>
  <c r="AK1707" i="2"/>
  <c r="AJ1707" i="2"/>
  <c r="AI1707" i="2"/>
  <c r="AH1707" i="2"/>
  <c r="AG1707" i="2"/>
  <c r="AF1707" i="2"/>
  <c r="AE1707" i="2"/>
  <c r="AD1707" i="2"/>
  <c r="AC1707" i="2"/>
  <c r="AA1707" i="2"/>
  <c r="Z1707" i="2"/>
  <c r="Y1707" i="2"/>
  <c r="X1707" i="2"/>
  <c r="V1707" i="2"/>
  <c r="U1707" i="2"/>
  <c r="T1707" i="2"/>
  <c r="S1707" i="2"/>
  <c r="R1707" i="2"/>
  <c r="Q1707" i="2"/>
  <c r="P1707" i="2"/>
  <c r="O1707" i="2"/>
  <c r="N1707" i="2"/>
  <c r="K1707" i="2"/>
  <c r="J1707" i="2"/>
  <c r="I1707" i="2"/>
  <c r="H1707" i="2"/>
  <c r="G1707" i="2"/>
  <c r="F1707" i="2"/>
  <c r="E1707" i="2"/>
  <c r="D1707" i="2"/>
  <c r="C1707" i="2"/>
  <c r="B1707" i="2"/>
  <c r="A1707" i="2"/>
  <c r="AX1706" i="2"/>
  <c r="AV1706" i="2"/>
  <c r="AU1706" i="2"/>
  <c r="AS1706" i="2"/>
  <c r="AR1706" i="2"/>
  <c r="AQ1706" i="2"/>
  <c r="AO1706" i="2"/>
  <c r="AM1706" i="2"/>
  <c r="AL1706" i="2"/>
  <c r="AK1706" i="2"/>
  <c r="AJ1706" i="2"/>
  <c r="AI1706" i="2"/>
  <c r="AH1706" i="2"/>
  <c r="AG1706" i="2"/>
  <c r="AD1706" i="2"/>
  <c r="AC1706" i="2"/>
  <c r="AA1706" i="2"/>
  <c r="Z1706" i="2"/>
  <c r="Y1706" i="2"/>
  <c r="X1706" i="2"/>
  <c r="W1706" i="2"/>
  <c r="V1706" i="2"/>
  <c r="U1706" i="2"/>
  <c r="T1706" i="2"/>
  <c r="S1706" i="2"/>
  <c r="R1706" i="2"/>
  <c r="Q1706" i="2"/>
  <c r="P1706" i="2"/>
  <c r="O1706" i="2"/>
  <c r="N1706" i="2"/>
  <c r="K1706" i="2"/>
  <c r="J1706" i="2"/>
  <c r="I1706" i="2"/>
  <c r="H1706" i="2"/>
  <c r="G1706" i="2"/>
  <c r="F1706" i="2"/>
  <c r="E1706" i="2"/>
  <c r="D1706" i="2"/>
  <c r="C1706" i="2"/>
  <c r="B1706" i="2"/>
  <c r="A1706" i="2"/>
  <c r="AX1705" i="2"/>
  <c r="AV1705" i="2"/>
  <c r="AU1705" i="2"/>
  <c r="AS1705" i="2"/>
  <c r="AR1705" i="2"/>
  <c r="AQ1705" i="2"/>
  <c r="AO1705" i="2"/>
  <c r="AM1705" i="2"/>
  <c r="AL1705" i="2"/>
  <c r="AK1705" i="2"/>
  <c r="AJ1705" i="2"/>
  <c r="AI1705" i="2"/>
  <c r="AH1705" i="2"/>
  <c r="AG1705" i="2"/>
  <c r="AE1705" i="2"/>
  <c r="AD1705" i="2"/>
  <c r="AC1705" i="2"/>
  <c r="AA1705" i="2"/>
  <c r="Z1705" i="2"/>
  <c r="Y1705" i="2"/>
  <c r="X1705" i="2"/>
  <c r="W1705" i="2"/>
  <c r="V1705" i="2"/>
  <c r="U1705" i="2"/>
  <c r="T1705" i="2"/>
  <c r="S1705" i="2"/>
  <c r="R1705" i="2"/>
  <c r="Q1705" i="2"/>
  <c r="P1705" i="2"/>
  <c r="O1705" i="2"/>
  <c r="N1705" i="2"/>
  <c r="K1705" i="2"/>
  <c r="J1705" i="2"/>
  <c r="I1705" i="2"/>
  <c r="H1705" i="2"/>
  <c r="G1705" i="2"/>
  <c r="F1705" i="2"/>
  <c r="E1705" i="2"/>
  <c r="D1705" i="2"/>
  <c r="C1705" i="2"/>
  <c r="B1705" i="2"/>
  <c r="A1705" i="2"/>
  <c r="AX1704" i="2"/>
  <c r="AV1704" i="2"/>
  <c r="AU1704" i="2"/>
  <c r="AS1704" i="2"/>
  <c r="AR1704" i="2"/>
  <c r="AQ1704" i="2"/>
  <c r="AO1704" i="2"/>
  <c r="AM1704" i="2"/>
  <c r="AK1704" i="2"/>
  <c r="AJ1704" i="2"/>
  <c r="AI1704" i="2"/>
  <c r="AH1704" i="2"/>
  <c r="AG1704" i="2"/>
  <c r="AF1704" i="2"/>
  <c r="AE1704" i="2"/>
  <c r="AC1704" i="2"/>
  <c r="AA1704" i="2"/>
  <c r="Z1704" i="2"/>
  <c r="Y1704" i="2"/>
  <c r="X1704" i="2"/>
  <c r="W1704" i="2"/>
  <c r="V1704" i="2"/>
  <c r="U1704" i="2"/>
  <c r="T1704" i="2"/>
  <c r="S1704" i="2"/>
  <c r="R1704" i="2"/>
  <c r="Q1704" i="2"/>
  <c r="P1704" i="2"/>
  <c r="O1704" i="2"/>
  <c r="N1704" i="2"/>
  <c r="K1704" i="2"/>
  <c r="J1704" i="2"/>
  <c r="I1704" i="2"/>
  <c r="H1704" i="2"/>
  <c r="G1704" i="2"/>
  <c r="F1704" i="2"/>
  <c r="E1704" i="2"/>
  <c r="D1704" i="2"/>
  <c r="C1704" i="2"/>
  <c r="B1704" i="2"/>
  <c r="A1704" i="2"/>
  <c r="AX1703" i="2"/>
  <c r="AV1703" i="2"/>
  <c r="AU1703" i="2"/>
  <c r="AT1703" i="2"/>
  <c r="AS1703" i="2"/>
  <c r="AR1703" i="2"/>
  <c r="AQ1703" i="2"/>
  <c r="AO1703" i="2"/>
  <c r="AM1703" i="2"/>
  <c r="AL1703" i="2"/>
  <c r="AK1703" i="2"/>
  <c r="AJ1703" i="2"/>
  <c r="AI1703" i="2"/>
  <c r="AH1703" i="2"/>
  <c r="AG1703" i="2"/>
  <c r="AE1703" i="2"/>
  <c r="AD1703" i="2"/>
  <c r="AC1703" i="2"/>
  <c r="AA1703" i="2"/>
  <c r="Z1703" i="2"/>
  <c r="Y1703" i="2"/>
  <c r="X1703" i="2"/>
  <c r="V1703" i="2"/>
  <c r="U1703" i="2"/>
  <c r="T1703" i="2"/>
  <c r="S1703" i="2"/>
  <c r="R1703" i="2"/>
  <c r="Q1703" i="2"/>
  <c r="P1703" i="2"/>
  <c r="O1703" i="2"/>
  <c r="N1703" i="2"/>
  <c r="K1703" i="2"/>
  <c r="J1703" i="2"/>
  <c r="I1703" i="2"/>
  <c r="H1703" i="2"/>
  <c r="G1703" i="2"/>
  <c r="F1703" i="2"/>
  <c r="E1703" i="2"/>
  <c r="D1703" i="2"/>
  <c r="C1703" i="2"/>
  <c r="B1703" i="2"/>
  <c r="A1703" i="2"/>
  <c r="AX1702" i="2"/>
  <c r="AV1702" i="2"/>
  <c r="AU1702" i="2"/>
  <c r="AT1702" i="2"/>
  <c r="AS1702" i="2"/>
  <c r="AR1702" i="2"/>
  <c r="AQ1702" i="2"/>
  <c r="AO1702" i="2"/>
  <c r="AM1702" i="2"/>
  <c r="AL1702" i="2"/>
  <c r="AK1702" i="2"/>
  <c r="AI1702" i="2"/>
  <c r="AH1702" i="2"/>
  <c r="AG1702" i="2"/>
  <c r="AE1702" i="2"/>
  <c r="AD1702" i="2"/>
  <c r="AC1702" i="2"/>
  <c r="AA1702" i="2"/>
  <c r="Z1702" i="2"/>
  <c r="Y1702" i="2"/>
  <c r="X1702" i="2"/>
  <c r="V1702" i="2"/>
  <c r="U1702" i="2"/>
  <c r="T1702" i="2"/>
  <c r="S1702" i="2"/>
  <c r="R1702" i="2"/>
  <c r="Q1702" i="2"/>
  <c r="P1702" i="2"/>
  <c r="O1702" i="2"/>
  <c r="N1702" i="2"/>
  <c r="K1702" i="2"/>
  <c r="J1702" i="2"/>
  <c r="I1702" i="2"/>
  <c r="H1702" i="2"/>
  <c r="G1702" i="2"/>
  <c r="F1702" i="2"/>
  <c r="E1702" i="2"/>
  <c r="D1702" i="2"/>
  <c r="C1702" i="2"/>
  <c r="B1702" i="2"/>
  <c r="A1702" i="2"/>
  <c r="AX1701" i="2"/>
  <c r="AV1701" i="2"/>
  <c r="AU1701" i="2"/>
  <c r="AS1701" i="2"/>
  <c r="AR1701" i="2"/>
  <c r="AQ1701" i="2"/>
  <c r="AO1701" i="2"/>
  <c r="AM1701" i="2"/>
  <c r="AJ1701" i="2"/>
  <c r="AI1701" i="2"/>
  <c r="AH1701" i="2"/>
  <c r="AG1701" i="2"/>
  <c r="AE1701" i="2"/>
  <c r="AD1701" i="2"/>
  <c r="AC1701" i="2"/>
  <c r="AA1701" i="2"/>
  <c r="Z1701" i="2"/>
  <c r="Y1701" i="2"/>
  <c r="X1701" i="2"/>
  <c r="W1701" i="2"/>
  <c r="V1701" i="2"/>
  <c r="U1701" i="2"/>
  <c r="T1701" i="2"/>
  <c r="S1701" i="2"/>
  <c r="R1701" i="2"/>
  <c r="Q1701" i="2"/>
  <c r="P1701" i="2"/>
  <c r="O1701" i="2"/>
  <c r="N1701" i="2"/>
  <c r="K1701" i="2"/>
  <c r="J1701" i="2"/>
  <c r="I1701" i="2"/>
  <c r="H1701" i="2"/>
  <c r="G1701" i="2"/>
  <c r="F1701" i="2"/>
  <c r="E1701" i="2"/>
  <c r="D1701" i="2"/>
  <c r="C1701" i="2"/>
  <c r="B1701" i="2"/>
  <c r="A1701" i="2"/>
  <c r="AX1700" i="2"/>
  <c r="AV1700" i="2"/>
  <c r="AU1700" i="2"/>
  <c r="AS1700" i="2"/>
  <c r="AR1700" i="2"/>
  <c r="AQ1700" i="2"/>
  <c r="AO1700" i="2"/>
  <c r="AM1700" i="2"/>
  <c r="AK1700" i="2"/>
  <c r="AJ1700" i="2"/>
  <c r="AI1700" i="2"/>
  <c r="AH1700" i="2"/>
  <c r="AG1700" i="2"/>
  <c r="AE1700" i="2"/>
  <c r="AD1700" i="2"/>
  <c r="AC1700" i="2"/>
  <c r="AA1700" i="2"/>
  <c r="Z1700" i="2"/>
  <c r="Y1700" i="2"/>
  <c r="X1700" i="2"/>
  <c r="W1700" i="2"/>
  <c r="V1700" i="2"/>
  <c r="U1700" i="2"/>
  <c r="T1700" i="2"/>
  <c r="S1700" i="2"/>
  <c r="R1700" i="2"/>
  <c r="Q1700" i="2"/>
  <c r="P1700" i="2"/>
  <c r="O1700" i="2"/>
  <c r="N1700" i="2"/>
  <c r="K1700" i="2"/>
  <c r="J1700" i="2"/>
  <c r="I1700" i="2"/>
  <c r="H1700" i="2"/>
  <c r="G1700" i="2"/>
  <c r="F1700" i="2"/>
  <c r="E1700" i="2"/>
  <c r="D1700" i="2"/>
  <c r="C1700" i="2"/>
  <c r="B1700" i="2"/>
  <c r="A1700" i="2"/>
  <c r="AX1699" i="2"/>
  <c r="AV1699" i="2"/>
  <c r="AU1699" i="2"/>
  <c r="AS1699" i="2"/>
  <c r="AR1699" i="2"/>
  <c r="AQ1699" i="2"/>
  <c r="AO1699" i="2"/>
  <c r="AM1699" i="2"/>
  <c r="AL1699" i="2"/>
  <c r="AK1699" i="2"/>
  <c r="AJ1699" i="2"/>
  <c r="AI1699" i="2"/>
  <c r="AH1699" i="2"/>
  <c r="AG1699" i="2"/>
  <c r="AF1699" i="2"/>
  <c r="AE1699" i="2"/>
  <c r="AD1699" i="2"/>
  <c r="AC1699" i="2"/>
  <c r="AA1699" i="2"/>
  <c r="Z1699" i="2"/>
  <c r="Y1699" i="2"/>
  <c r="X1699" i="2"/>
  <c r="V1699" i="2"/>
  <c r="U1699" i="2"/>
  <c r="T1699" i="2"/>
  <c r="S1699" i="2"/>
  <c r="R1699" i="2"/>
  <c r="Q1699" i="2"/>
  <c r="P1699" i="2"/>
  <c r="O1699" i="2"/>
  <c r="N1699" i="2"/>
  <c r="K1699" i="2"/>
  <c r="J1699" i="2"/>
  <c r="I1699" i="2"/>
  <c r="H1699" i="2"/>
  <c r="G1699" i="2"/>
  <c r="F1699" i="2"/>
  <c r="E1699" i="2"/>
  <c r="D1699" i="2"/>
  <c r="C1699" i="2"/>
  <c r="B1699" i="2"/>
  <c r="A1699" i="2"/>
  <c r="AX1698" i="2"/>
  <c r="AV1698" i="2"/>
  <c r="AU1698" i="2"/>
  <c r="AS1698" i="2"/>
  <c r="AR1698" i="2"/>
  <c r="AQ1698" i="2"/>
  <c r="AO1698" i="2"/>
  <c r="AM1698" i="2"/>
  <c r="AL1698" i="2"/>
  <c r="AK1698" i="2"/>
  <c r="AJ1698" i="2"/>
  <c r="AI1698" i="2"/>
  <c r="AH1698" i="2"/>
  <c r="AG1698" i="2"/>
  <c r="AE1698" i="2"/>
  <c r="AD1698" i="2"/>
  <c r="AC1698" i="2"/>
  <c r="AA1698" i="2"/>
  <c r="Z1698" i="2"/>
  <c r="Y1698" i="2"/>
  <c r="X1698" i="2"/>
  <c r="W1698" i="2"/>
  <c r="V1698" i="2"/>
  <c r="U1698" i="2"/>
  <c r="T1698" i="2"/>
  <c r="S1698" i="2"/>
  <c r="R1698" i="2"/>
  <c r="Q1698" i="2"/>
  <c r="P1698" i="2"/>
  <c r="O1698" i="2"/>
  <c r="N1698" i="2"/>
  <c r="K1698" i="2"/>
  <c r="J1698" i="2"/>
  <c r="I1698" i="2"/>
  <c r="H1698" i="2"/>
  <c r="G1698" i="2"/>
  <c r="F1698" i="2"/>
  <c r="E1698" i="2"/>
  <c r="D1698" i="2"/>
  <c r="C1698" i="2"/>
  <c r="B1698" i="2"/>
  <c r="A1698" i="2"/>
  <c r="AX1697" i="2"/>
  <c r="AV1697" i="2"/>
  <c r="AU1697" i="2"/>
  <c r="AT1697" i="2"/>
  <c r="AS1697" i="2"/>
  <c r="AR1697" i="2"/>
  <c r="AQ1697" i="2"/>
  <c r="AP1697" i="2"/>
  <c r="AO1697" i="2"/>
  <c r="AM1697" i="2"/>
  <c r="AL1697" i="2"/>
  <c r="AK1697" i="2"/>
  <c r="AJ1697" i="2"/>
  <c r="AI1697" i="2"/>
  <c r="AH1697" i="2"/>
  <c r="AG1697" i="2"/>
  <c r="AE1697" i="2"/>
  <c r="AD1697" i="2"/>
  <c r="AC1697" i="2"/>
  <c r="AA1697" i="2"/>
  <c r="Z1697" i="2"/>
  <c r="Y1697" i="2"/>
  <c r="X1697" i="2"/>
  <c r="W1697" i="2"/>
  <c r="V1697" i="2"/>
  <c r="U1697" i="2"/>
  <c r="T1697" i="2"/>
  <c r="S1697" i="2"/>
  <c r="R1697" i="2"/>
  <c r="Q1697" i="2"/>
  <c r="P1697" i="2"/>
  <c r="O1697" i="2"/>
  <c r="N1697" i="2"/>
  <c r="K1697" i="2"/>
  <c r="J1697" i="2"/>
  <c r="I1697" i="2"/>
  <c r="H1697" i="2"/>
  <c r="G1697" i="2"/>
  <c r="F1697" i="2"/>
  <c r="E1697" i="2"/>
  <c r="D1697" i="2"/>
  <c r="C1697" i="2"/>
  <c r="B1697" i="2"/>
  <c r="A1697" i="2"/>
  <c r="AX1696" i="2"/>
  <c r="AV1696" i="2"/>
  <c r="AU1696" i="2"/>
  <c r="AS1696" i="2"/>
  <c r="AR1696" i="2"/>
  <c r="AQ1696" i="2"/>
  <c r="AO1696" i="2"/>
  <c r="AM1696" i="2"/>
  <c r="AK1696" i="2"/>
  <c r="AJ1696" i="2"/>
  <c r="AI1696" i="2"/>
  <c r="AH1696" i="2"/>
  <c r="AG1696" i="2"/>
  <c r="AC1696" i="2"/>
  <c r="AA1696" i="2"/>
  <c r="Z1696" i="2"/>
  <c r="Y1696" i="2"/>
  <c r="X1696" i="2"/>
  <c r="W1696" i="2"/>
  <c r="V1696" i="2"/>
  <c r="U1696" i="2"/>
  <c r="T1696" i="2"/>
  <c r="S1696" i="2"/>
  <c r="R1696" i="2"/>
  <c r="Q1696" i="2"/>
  <c r="P1696" i="2"/>
  <c r="O1696" i="2"/>
  <c r="N1696" i="2"/>
  <c r="K1696" i="2"/>
  <c r="J1696" i="2"/>
  <c r="I1696" i="2"/>
  <c r="H1696" i="2"/>
  <c r="G1696" i="2"/>
  <c r="F1696" i="2"/>
  <c r="E1696" i="2"/>
  <c r="D1696" i="2"/>
  <c r="C1696" i="2"/>
  <c r="B1696" i="2"/>
  <c r="A1696" i="2"/>
  <c r="AX1695" i="2"/>
  <c r="AV1695" i="2"/>
  <c r="AU1695" i="2"/>
  <c r="AS1695" i="2"/>
  <c r="AR1695" i="2"/>
  <c r="AQ1695" i="2"/>
  <c r="AO1695" i="2"/>
  <c r="AM1695" i="2"/>
  <c r="AL1695" i="2"/>
  <c r="AK1695" i="2"/>
  <c r="AJ1695" i="2"/>
  <c r="AI1695" i="2"/>
  <c r="AH1695" i="2"/>
  <c r="AG1695" i="2"/>
  <c r="AE1695" i="2"/>
  <c r="AD1695" i="2"/>
  <c r="AC1695" i="2"/>
  <c r="AA1695" i="2"/>
  <c r="Z1695" i="2"/>
  <c r="Y1695" i="2"/>
  <c r="X1695" i="2"/>
  <c r="W1695" i="2"/>
  <c r="V1695" i="2"/>
  <c r="U1695" i="2"/>
  <c r="T1695" i="2"/>
  <c r="S1695" i="2"/>
  <c r="R1695" i="2"/>
  <c r="Q1695" i="2"/>
  <c r="P1695" i="2"/>
  <c r="O1695" i="2"/>
  <c r="N1695" i="2"/>
  <c r="M1695" i="2"/>
  <c r="L1695" i="2"/>
  <c r="K1695" i="2"/>
  <c r="J1695" i="2"/>
  <c r="I1695" i="2"/>
  <c r="H1695" i="2"/>
  <c r="G1695" i="2"/>
  <c r="F1695" i="2"/>
  <c r="E1695" i="2"/>
  <c r="D1695" i="2"/>
  <c r="C1695" i="2"/>
  <c r="B1695" i="2"/>
  <c r="A1695" i="2"/>
  <c r="AX1694" i="2"/>
  <c r="AV1694" i="2"/>
  <c r="AU1694" i="2"/>
  <c r="AS1694" i="2"/>
  <c r="AR1694" i="2"/>
  <c r="AQ1694" i="2"/>
  <c r="AO1694" i="2"/>
  <c r="AM1694" i="2"/>
  <c r="AL1694" i="2"/>
  <c r="AK1694" i="2"/>
  <c r="AJ1694" i="2"/>
  <c r="AI1694" i="2"/>
  <c r="AH1694" i="2"/>
  <c r="AG1694" i="2"/>
  <c r="AE1694" i="2"/>
  <c r="AD1694" i="2"/>
  <c r="AC1694" i="2"/>
  <c r="AA1694" i="2"/>
  <c r="Z1694" i="2"/>
  <c r="Y1694" i="2"/>
  <c r="X1694" i="2"/>
  <c r="W1694" i="2"/>
  <c r="V1694" i="2"/>
  <c r="U1694" i="2"/>
  <c r="T1694" i="2"/>
  <c r="S1694" i="2"/>
  <c r="R1694" i="2"/>
  <c r="Q1694" i="2"/>
  <c r="P1694" i="2"/>
  <c r="O1694" i="2"/>
  <c r="N1694" i="2"/>
  <c r="K1694" i="2"/>
  <c r="J1694" i="2"/>
  <c r="I1694" i="2"/>
  <c r="H1694" i="2"/>
  <c r="G1694" i="2"/>
  <c r="F1694" i="2"/>
  <c r="E1694" i="2"/>
  <c r="D1694" i="2"/>
  <c r="C1694" i="2"/>
  <c r="B1694" i="2"/>
  <c r="A1694" i="2"/>
  <c r="AX1693" i="2"/>
  <c r="AV1693" i="2"/>
  <c r="AU1693" i="2"/>
  <c r="AS1693" i="2"/>
  <c r="AR1693" i="2"/>
  <c r="AQ1693" i="2"/>
  <c r="AO1693" i="2"/>
  <c r="AM1693" i="2"/>
  <c r="AL1693" i="2"/>
  <c r="AK1693" i="2"/>
  <c r="AJ1693" i="2"/>
  <c r="AI1693" i="2"/>
  <c r="AH1693" i="2"/>
  <c r="AG1693" i="2"/>
  <c r="AE1693" i="2"/>
  <c r="AD1693" i="2"/>
  <c r="AC1693" i="2"/>
  <c r="AA1693" i="2"/>
  <c r="Z1693" i="2"/>
  <c r="Y1693" i="2"/>
  <c r="X1693" i="2"/>
  <c r="W1693" i="2"/>
  <c r="V1693" i="2"/>
  <c r="U1693" i="2"/>
  <c r="T1693" i="2"/>
  <c r="S1693" i="2"/>
  <c r="R1693" i="2"/>
  <c r="Q1693" i="2"/>
  <c r="P1693" i="2"/>
  <c r="O1693" i="2"/>
  <c r="N1693" i="2"/>
  <c r="K1693" i="2"/>
  <c r="J1693" i="2"/>
  <c r="I1693" i="2"/>
  <c r="H1693" i="2"/>
  <c r="G1693" i="2"/>
  <c r="F1693" i="2"/>
  <c r="E1693" i="2"/>
  <c r="D1693" i="2"/>
  <c r="C1693" i="2"/>
  <c r="B1693" i="2"/>
  <c r="A1693" i="2"/>
  <c r="AX1692" i="2"/>
  <c r="AV1692" i="2"/>
  <c r="AU1692" i="2"/>
  <c r="AS1692" i="2"/>
  <c r="AR1692" i="2"/>
  <c r="AQ1692" i="2"/>
  <c r="AO1692" i="2"/>
  <c r="AM1692" i="2"/>
  <c r="AL1692" i="2"/>
  <c r="AK1692" i="2"/>
  <c r="AJ1692" i="2"/>
  <c r="AI1692" i="2"/>
  <c r="AH1692" i="2"/>
  <c r="AG1692" i="2"/>
  <c r="AC1692" i="2"/>
  <c r="AA1692" i="2"/>
  <c r="Z1692" i="2"/>
  <c r="Y1692" i="2"/>
  <c r="X1692" i="2"/>
  <c r="W1692" i="2"/>
  <c r="V1692" i="2"/>
  <c r="U1692" i="2"/>
  <c r="T1692" i="2"/>
  <c r="S1692" i="2"/>
  <c r="R1692" i="2"/>
  <c r="Q1692" i="2"/>
  <c r="P1692" i="2"/>
  <c r="O1692" i="2"/>
  <c r="N1692" i="2"/>
  <c r="K1692" i="2"/>
  <c r="J1692" i="2"/>
  <c r="I1692" i="2"/>
  <c r="H1692" i="2"/>
  <c r="G1692" i="2"/>
  <c r="F1692" i="2"/>
  <c r="E1692" i="2"/>
  <c r="D1692" i="2"/>
  <c r="C1692" i="2"/>
  <c r="B1692" i="2"/>
  <c r="A1692" i="2"/>
  <c r="AX1691" i="2"/>
  <c r="AV1691" i="2"/>
  <c r="AU1691" i="2"/>
  <c r="AR1691" i="2"/>
  <c r="AQ1691" i="2"/>
  <c r="AO1691" i="2"/>
  <c r="AM1691" i="2"/>
  <c r="AL1691" i="2"/>
  <c r="AK1691" i="2"/>
  <c r="AJ1691" i="2"/>
  <c r="AI1691" i="2"/>
  <c r="AH1691" i="2"/>
  <c r="AG1691" i="2"/>
  <c r="AD1691" i="2"/>
  <c r="AC1691" i="2"/>
  <c r="AA1691" i="2"/>
  <c r="Z1691" i="2"/>
  <c r="Y1691" i="2"/>
  <c r="X1691" i="2"/>
  <c r="W1691" i="2"/>
  <c r="V1691" i="2"/>
  <c r="U1691" i="2"/>
  <c r="T1691" i="2"/>
  <c r="S1691" i="2"/>
  <c r="R1691" i="2"/>
  <c r="Q1691" i="2"/>
  <c r="P1691" i="2"/>
  <c r="O1691" i="2"/>
  <c r="N1691" i="2"/>
  <c r="K1691" i="2"/>
  <c r="J1691" i="2"/>
  <c r="I1691" i="2"/>
  <c r="H1691" i="2"/>
  <c r="G1691" i="2"/>
  <c r="F1691" i="2"/>
  <c r="E1691" i="2"/>
  <c r="D1691" i="2"/>
  <c r="C1691" i="2"/>
  <c r="B1691" i="2"/>
  <c r="A1691" i="2"/>
  <c r="AX1690" i="2"/>
  <c r="AV1690" i="2"/>
  <c r="AU1690" i="2"/>
  <c r="AT1690" i="2"/>
  <c r="AS1690" i="2"/>
  <c r="AR1690" i="2"/>
  <c r="AQ1690" i="2"/>
  <c r="AP1690" i="2"/>
  <c r="AO1690" i="2"/>
  <c r="AM1690" i="2"/>
  <c r="AK1690" i="2"/>
  <c r="AJ1690" i="2"/>
  <c r="AI1690" i="2"/>
  <c r="AH1690" i="2"/>
  <c r="AG1690" i="2"/>
  <c r="AE1690" i="2"/>
  <c r="AC1690" i="2"/>
  <c r="AA1690" i="2"/>
  <c r="Z1690" i="2"/>
  <c r="Y1690" i="2"/>
  <c r="X1690" i="2"/>
  <c r="W1690" i="2"/>
  <c r="V1690" i="2"/>
  <c r="U1690" i="2"/>
  <c r="T1690" i="2"/>
  <c r="S1690" i="2"/>
  <c r="R1690" i="2"/>
  <c r="Q1690" i="2"/>
  <c r="P1690" i="2"/>
  <c r="O1690" i="2"/>
  <c r="N1690" i="2"/>
  <c r="K1690" i="2"/>
  <c r="J1690" i="2"/>
  <c r="I1690" i="2"/>
  <c r="H1690" i="2"/>
  <c r="G1690" i="2"/>
  <c r="F1690" i="2"/>
  <c r="E1690" i="2"/>
  <c r="D1690" i="2"/>
  <c r="C1690" i="2"/>
  <c r="B1690" i="2"/>
  <c r="A1690" i="2"/>
  <c r="AX1689" i="2"/>
  <c r="AV1689" i="2"/>
  <c r="AU1689" i="2"/>
  <c r="AR1689" i="2"/>
  <c r="AQ1689" i="2"/>
  <c r="AO1689" i="2"/>
  <c r="AM1689" i="2"/>
  <c r="AK1689" i="2"/>
  <c r="AJ1689" i="2"/>
  <c r="AI1689" i="2"/>
  <c r="AH1689" i="2"/>
  <c r="AG1689" i="2"/>
  <c r="AF1689" i="2"/>
  <c r="AE1689" i="2"/>
  <c r="AD1689" i="2"/>
  <c r="AC1689" i="2"/>
  <c r="AA1689" i="2"/>
  <c r="Z1689" i="2"/>
  <c r="Y1689" i="2"/>
  <c r="X1689" i="2"/>
  <c r="W1689" i="2"/>
  <c r="V1689" i="2"/>
  <c r="U1689" i="2"/>
  <c r="T1689" i="2"/>
  <c r="S1689" i="2"/>
  <c r="R1689" i="2"/>
  <c r="Q1689" i="2"/>
  <c r="P1689" i="2"/>
  <c r="O1689" i="2"/>
  <c r="N1689" i="2"/>
  <c r="K1689" i="2"/>
  <c r="J1689" i="2"/>
  <c r="I1689" i="2"/>
  <c r="H1689" i="2"/>
  <c r="G1689" i="2"/>
  <c r="F1689" i="2"/>
  <c r="E1689" i="2"/>
  <c r="D1689" i="2"/>
  <c r="C1689" i="2"/>
  <c r="B1689" i="2"/>
  <c r="A1689" i="2"/>
  <c r="AX1688" i="2"/>
  <c r="AV1688" i="2"/>
  <c r="AU1688" i="2"/>
  <c r="AT1688" i="2"/>
  <c r="AR1688" i="2"/>
  <c r="AQ1688" i="2"/>
  <c r="AP1688" i="2"/>
  <c r="AO1688" i="2"/>
  <c r="AM1688" i="2"/>
  <c r="AL1688" i="2"/>
  <c r="AK1688" i="2"/>
  <c r="AJ1688" i="2"/>
  <c r="AI1688" i="2"/>
  <c r="AH1688" i="2"/>
  <c r="AG1688" i="2"/>
  <c r="AF1688" i="2"/>
  <c r="AE1688" i="2"/>
  <c r="AD1688" i="2"/>
  <c r="AC1688" i="2"/>
  <c r="AA1688" i="2"/>
  <c r="Z1688" i="2"/>
  <c r="Y1688" i="2"/>
  <c r="X1688" i="2"/>
  <c r="W1688" i="2"/>
  <c r="V1688" i="2"/>
  <c r="U1688" i="2"/>
  <c r="T1688" i="2"/>
  <c r="S1688" i="2"/>
  <c r="R1688" i="2"/>
  <c r="Q1688" i="2"/>
  <c r="P1688" i="2"/>
  <c r="O1688" i="2"/>
  <c r="N1688" i="2"/>
  <c r="K1688" i="2"/>
  <c r="J1688" i="2"/>
  <c r="I1688" i="2"/>
  <c r="H1688" i="2"/>
  <c r="G1688" i="2"/>
  <c r="F1688" i="2"/>
  <c r="E1688" i="2"/>
  <c r="D1688" i="2"/>
  <c r="C1688" i="2"/>
  <c r="B1688" i="2"/>
  <c r="A1688" i="2"/>
  <c r="AX1687" i="2"/>
  <c r="AV1687" i="2"/>
  <c r="AU1687" i="2"/>
  <c r="AT1687" i="2"/>
  <c r="AS1687" i="2"/>
  <c r="AR1687" i="2"/>
  <c r="AQ1687" i="2"/>
  <c r="AO1687" i="2"/>
  <c r="AM1687" i="2"/>
  <c r="AL1687" i="2"/>
  <c r="AK1687" i="2"/>
  <c r="AJ1687" i="2"/>
  <c r="AI1687" i="2"/>
  <c r="AH1687" i="2"/>
  <c r="AG1687" i="2"/>
  <c r="AE1687" i="2"/>
  <c r="AD1687" i="2"/>
  <c r="AC1687" i="2"/>
  <c r="AA1687" i="2"/>
  <c r="Z1687" i="2"/>
  <c r="Y1687" i="2"/>
  <c r="X1687" i="2"/>
  <c r="W1687" i="2"/>
  <c r="V1687" i="2"/>
  <c r="U1687" i="2"/>
  <c r="T1687" i="2"/>
  <c r="S1687" i="2"/>
  <c r="R1687" i="2"/>
  <c r="Q1687" i="2"/>
  <c r="P1687" i="2"/>
  <c r="O1687" i="2"/>
  <c r="N1687" i="2"/>
  <c r="K1687" i="2"/>
  <c r="J1687" i="2"/>
  <c r="I1687" i="2"/>
  <c r="H1687" i="2"/>
  <c r="G1687" i="2"/>
  <c r="F1687" i="2"/>
  <c r="E1687" i="2"/>
  <c r="D1687" i="2"/>
  <c r="C1687" i="2"/>
  <c r="B1687" i="2"/>
  <c r="A1687" i="2"/>
  <c r="AX1686" i="2"/>
  <c r="AV1686" i="2"/>
  <c r="AU1686" i="2"/>
  <c r="AS1686" i="2"/>
  <c r="AR1686" i="2"/>
  <c r="AQ1686" i="2"/>
  <c r="AO1686" i="2"/>
  <c r="AM1686" i="2"/>
  <c r="AL1686" i="2"/>
  <c r="AK1686" i="2"/>
  <c r="AI1686" i="2"/>
  <c r="AH1686" i="2"/>
  <c r="AG1686" i="2"/>
  <c r="AE1686" i="2"/>
  <c r="AD1686" i="2"/>
  <c r="AC1686" i="2"/>
  <c r="AA1686" i="2"/>
  <c r="Z1686" i="2"/>
  <c r="Y1686" i="2"/>
  <c r="X1686" i="2"/>
  <c r="V1686" i="2"/>
  <c r="U1686" i="2"/>
  <c r="T1686" i="2"/>
  <c r="S1686" i="2"/>
  <c r="R1686" i="2"/>
  <c r="Q1686" i="2"/>
  <c r="P1686" i="2"/>
  <c r="O1686" i="2"/>
  <c r="N1686" i="2"/>
  <c r="K1686" i="2"/>
  <c r="J1686" i="2"/>
  <c r="I1686" i="2"/>
  <c r="H1686" i="2"/>
  <c r="G1686" i="2"/>
  <c r="F1686" i="2"/>
  <c r="E1686" i="2"/>
  <c r="D1686" i="2"/>
  <c r="C1686" i="2"/>
  <c r="B1686" i="2"/>
  <c r="A1686" i="2"/>
  <c r="AX1685" i="2"/>
  <c r="AV1685" i="2"/>
  <c r="AU1685" i="2"/>
  <c r="AR1685" i="2"/>
  <c r="AQ1685" i="2"/>
  <c r="AO1685" i="2"/>
  <c r="AM1685" i="2"/>
  <c r="AK1685" i="2"/>
  <c r="AJ1685" i="2"/>
  <c r="AI1685" i="2"/>
  <c r="AH1685" i="2"/>
  <c r="AG1685" i="2"/>
  <c r="AF1685" i="2"/>
  <c r="AE1685" i="2"/>
  <c r="AD1685" i="2"/>
  <c r="AC1685" i="2"/>
  <c r="AA1685" i="2"/>
  <c r="Z1685" i="2"/>
  <c r="Y1685" i="2"/>
  <c r="X1685" i="2"/>
  <c r="T1685" i="2"/>
  <c r="S1685" i="2"/>
  <c r="R1685" i="2"/>
  <c r="Q1685" i="2"/>
  <c r="P1685" i="2"/>
  <c r="O1685" i="2"/>
  <c r="N1685" i="2"/>
  <c r="K1685" i="2"/>
  <c r="J1685" i="2"/>
  <c r="I1685" i="2"/>
  <c r="H1685" i="2"/>
  <c r="G1685" i="2"/>
  <c r="F1685" i="2"/>
  <c r="E1685" i="2"/>
  <c r="D1685" i="2"/>
  <c r="C1685" i="2"/>
  <c r="B1685" i="2"/>
  <c r="A1685" i="2"/>
  <c r="AX1684" i="2"/>
  <c r="AV1684" i="2"/>
  <c r="AU1684" i="2"/>
  <c r="AT1684" i="2"/>
  <c r="AS1684" i="2"/>
  <c r="AR1684" i="2"/>
  <c r="AO1684" i="2"/>
  <c r="AN1684" i="2"/>
  <c r="AM1684" i="2"/>
  <c r="AL1684" i="2"/>
  <c r="AK1684" i="2"/>
  <c r="AJ1684" i="2"/>
  <c r="AI1684" i="2"/>
  <c r="AH1684" i="2"/>
  <c r="AG1684" i="2"/>
  <c r="AF1684" i="2"/>
  <c r="AE1684" i="2"/>
  <c r="AD1684" i="2"/>
  <c r="AC1684" i="2"/>
  <c r="AA1684" i="2"/>
  <c r="Z1684" i="2"/>
  <c r="Y1684" i="2"/>
  <c r="X1684" i="2"/>
  <c r="W1684" i="2"/>
  <c r="V1684" i="2"/>
  <c r="U1684" i="2"/>
  <c r="T1684" i="2"/>
  <c r="S1684" i="2"/>
  <c r="R1684" i="2"/>
  <c r="Q1684" i="2"/>
  <c r="P1684" i="2"/>
  <c r="O1684" i="2"/>
  <c r="N1684" i="2"/>
  <c r="M1684" i="2"/>
  <c r="L1684" i="2"/>
  <c r="K1684" i="2"/>
  <c r="J1684" i="2"/>
  <c r="I1684" i="2"/>
  <c r="H1684" i="2"/>
  <c r="G1684" i="2"/>
  <c r="F1684" i="2"/>
  <c r="E1684" i="2"/>
  <c r="D1684" i="2"/>
  <c r="C1684" i="2"/>
  <c r="B1684" i="2"/>
  <c r="A1684" i="2"/>
  <c r="AX1683" i="2"/>
  <c r="AV1683" i="2"/>
  <c r="AU1683" i="2"/>
  <c r="AT1683" i="2"/>
  <c r="AR1683" i="2"/>
  <c r="AQ1683" i="2"/>
  <c r="AP1683" i="2"/>
  <c r="AO1683" i="2"/>
  <c r="AM1683" i="2"/>
  <c r="AL1683" i="2"/>
  <c r="AK1683" i="2"/>
  <c r="AJ1683" i="2"/>
  <c r="AI1683" i="2"/>
  <c r="AH1683" i="2"/>
  <c r="AG1683" i="2"/>
  <c r="AE1683" i="2"/>
  <c r="AD1683" i="2"/>
  <c r="AC1683" i="2"/>
  <c r="AA1683" i="2"/>
  <c r="Z1683" i="2"/>
  <c r="Y1683" i="2"/>
  <c r="X1683" i="2"/>
  <c r="W1683" i="2"/>
  <c r="V1683" i="2"/>
  <c r="U1683" i="2"/>
  <c r="T1683" i="2"/>
  <c r="S1683" i="2"/>
  <c r="R1683" i="2"/>
  <c r="Q1683" i="2"/>
  <c r="P1683" i="2"/>
  <c r="O1683" i="2"/>
  <c r="N1683" i="2"/>
  <c r="M1683" i="2"/>
  <c r="L1683" i="2"/>
  <c r="K1683" i="2"/>
  <c r="J1683" i="2"/>
  <c r="I1683" i="2"/>
  <c r="H1683" i="2"/>
  <c r="G1683" i="2"/>
  <c r="F1683" i="2"/>
  <c r="E1683" i="2"/>
  <c r="D1683" i="2"/>
  <c r="C1683" i="2"/>
  <c r="B1683" i="2"/>
  <c r="A1683" i="2"/>
  <c r="AX1682" i="2"/>
  <c r="AV1682" i="2"/>
  <c r="AU1682" i="2"/>
  <c r="AS1682" i="2"/>
  <c r="AR1682" i="2"/>
  <c r="AQ1682" i="2"/>
  <c r="AO1682" i="2"/>
  <c r="AM1682" i="2"/>
  <c r="AK1682" i="2"/>
  <c r="AJ1682" i="2"/>
  <c r="AI1682" i="2"/>
  <c r="AH1682" i="2"/>
  <c r="AG1682" i="2"/>
  <c r="AE1682" i="2"/>
  <c r="AC1682" i="2"/>
  <c r="AA1682" i="2"/>
  <c r="Z1682" i="2"/>
  <c r="Y1682" i="2"/>
  <c r="X1682" i="2"/>
  <c r="W1682" i="2"/>
  <c r="V1682" i="2"/>
  <c r="U1682" i="2"/>
  <c r="T1682" i="2"/>
  <c r="S1682" i="2"/>
  <c r="R1682" i="2"/>
  <c r="Q1682" i="2"/>
  <c r="P1682" i="2"/>
  <c r="O1682" i="2"/>
  <c r="N1682" i="2"/>
  <c r="K1682" i="2"/>
  <c r="J1682" i="2"/>
  <c r="I1682" i="2"/>
  <c r="H1682" i="2"/>
  <c r="G1682" i="2"/>
  <c r="F1682" i="2"/>
  <c r="E1682" i="2"/>
  <c r="D1682" i="2"/>
  <c r="C1682" i="2"/>
  <c r="B1682" i="2"/>
  <c r="A1682" i="2"/>
  <c r="AX1681" i="2"/>
  <c r="AV1681" i="2"/>
  <c r="AU1681" i="2"/>
  <c r="AS1681" i="2"/>
  <c r="AR1681" i="2"/>
  <c r="AQ1681" i="2"/>
  <c r="AO1681" i="2"/>
  <c r="AM1681" i="2"/>
  <c r="AL1681" i="2"/>
  <c r="AK1681" i="2"/>
  <c r="AI1681" i="2"/>
  <c r="AH1681" i="2"/>
  <c r="AG1681" i="2"/>
  <c r="AE1681" i="2"/>
  <c r="AC1681" i="2"/>
  <c r="AA1681" i="2"/>
  <c r="Z1681" i="2"/>
  <c r="Y1681" i="2"/>
  <c r="X1681" i="2"/>
  <c r="W1681" i="2"/>
  <c r="V1681" i="2"/>
  <c r="U1681" i="2"/>
  <c r="T1681" i="2"/>
  <c r="S1681" i="2"/>
  <c r="R1681" i="2"/>
  <c r="Q1681" i="2"/>
  <c r="P1681" i="2"/>
  <c r="O1681" i="2"/>
  <c r="N1681" i="2"/>
  <c r="K1681" i="2"/>
  <c r="J1681" i="2"/>
  <c r="I1681" i="2"/>
  <c r="H1681" i="2"/>
  <c r="G1681" i="2"/>
  <c r="F1681" i="2"/>
  <c r="E1681" i="2"/>
  <c r="D1681" i="2"/>
  <c r="C1681" i="2"/>
  <c r="B1681" i="2"/>
  <c r="A1681" i="2"/>
  <c r="AX1680" i="2"/>
  <c r="AV1680" i="2"/>
  <c r="AU1680" i="2"/>
  <c r="AS1680" i="2"/>
  <c r="AR1680" i="2"/>
  <c r="AQ1680" i="2"/>
  <c r="AO1680" i="2"/>
  <c r="AM1680" i="2"/>
  <c r="AK1680" i="2"/>
  <c r="AJ1680" i="2"/>
  <c r="AI1680" i="2"/>
  <c r="AH1680" i="2"/>
  <c r="AG1680" i="2"/>
  <c r="AF1680" i="2"/>
  <c r="AE1680" i="2"/>
  <c r="AD1680" i="2"/>
  <c r="AC1680" i="2"/>
  <c r="AA1680" i="2"/>
  <c r="Z1680" i="2"/>
  <c r="Y1680" i="2"/>
  <c r="X1680" i="2"/>
  <c r="W1680" i="2"/>
  <c r="V1680" i="2"/>
  <c r="U1680" i="2"/>
  <c r="T1680" i="2"/>
  <c r="S1680" i="2"/>
  <c r="R1680" i="2"/>
  <c r="Q1680" i="2"/>
  <c r="P1680" i="2"/>
  <c r="O1680" i="2"/>
  <c r="N1680" i="2"/>
  <c r="K1680" i="2"/>
  <c r="J1680" i="2"/>
  <c r="I1680" i="2"/>
  <c r="H1680" i="2"/>
  <c r="G1680" i="2"/>
  <c r="F1680" i="2"/>
  <c r="E1680" i="2"/>
  <c r="D1680" i="2"/>
  <c r="C1680" i="2"/>
  <c r="B1680" i="2"/>
  <c r="A1680" i="2"/>
  <c r="AX1679" i="2"/>
  <c r="AV1679" i="2"/>
  <c r="AU1679" i="2"/>
  <c r="AS1679" i="2"/>
  <c r="AR1679" i="2"/>
  <c r="AQ1679" i="2"/>
  <c r="AP1679" i="2"/>
  <c r="AO1679" i="2"/>
  <c r="AM1679" i="2"/>
  <c r="AL1679" i="2"/>
  <c r="AK1679" i="2"/>
  <c r="AJ1679" i="2"/>
  <c r="AI1679" i="2"/>
  <c r="AH1679" i="2"/>
  <c r="AG1679" i="2"/>
  <c r="AF1679" i="2"/>
  <c r="AE1679" i="2"/>
  <c r="AD1679" i="2"/>
  <c r="AC1679" i="2"/>
  <c r="AA1679" i="2"/>
  <c r="Z1679" i="2"/>
  <c r="Y1679" i="2"/>
  <c r="X1679" i="2"/>
  <c r="U1679" i="2"/>
  <c r="T1679" i="2"/>
  <c r="S1679" i="2"/>
  <c r="R1679" i="2"/>
  <c r="Q1679" i="2"/>
  <c r="P1679" i="2"/>
  <c r="O1679" i="2"/>
  <c r="N1679" i="2"/>
  <c r="K1679" i="2"/>
  <c r="J1679" i="2"/>
  <c r="I1679" i="2"/>
  <c r="H1679" i="2"/>
  <c r="G1679" i="2"/>
  <c r="F1679" i="2"/>
  <c r="E1679" i="2"/>
  <c r="D1679" i="2"/>
  <c r="C1679" i="2"/>
  <c r="B1679" i="2"/>
  <c r="A1679" i="2"/>
  <c r="AX1678" i="2"/>
  <c r="AV1678" i="2"/>
  <c r="AU1678" i="2"/>
  <c r="AT1678" i="2"/>
  <c r="AS1678" i="2"/>
  <c r="AR1678" i="2"/>
  <c r="AQ1678" i="2"/>
  <c r="AP1678" i="2"/>
  <c r="AO1678" i="2"/>
  <c r="AM1678" i="2"/>
  <c r="AL1678" i="2"/>
  <c r="AK1678" i="2"/>
  <c r="AJ1678" i="2"/>
  <c r="AI1678" i="2"/>
  <c r="AH1678" i="2"/>
  <c r="AG1678" i="2"/>
  <c r="AE1678" i="2"/>
  <c r="AD1678" i="2"/>
  <c r="AC1678" i="2"/>
  <c r="AA1678" i="2"/>
  <c r="Z1678" i="2"/>
  <c r="Y1678" i="2"/>
  <c r="X1678" i="2"/>
  <c r="W1678" i="2"/>
  <c r="V1678" i="2"/>
  <c r="U1678" i="2"/>
  <c r="T1678" i="2"/>
  <c r="S1678" i="2"/>
  <c r="R1678" i="2"/>
  <c r="Q1678" i="2"/>
  <c r="P1678" i="2"/>
  <c r="O1678" i="2"/>
  <c r="N1678" i="2"/>
  <c r="K1678" i="2"/>
  <c r="J1678" i="2"/>
  <c r="I1678" i="2"/>
  <c r="H1678" i="2"/>
  <c r="G1678" i="2"/>
  <c r="F1678" i="2"/>
  <c r="E1678" i="2"/>
  <c r="D1678" i="2"/>
  <c r="C1678" i="2"/>
  <c r="B1678" i="2"/>
  <c r="A1678" i="2"/>
  <c r="AX1677" i="2"/>
  <c r="AV1677" i="2"/>
  <c r="AU1677" i="2"/>
  <c r="AT1677" i="2"/>
  <c r="AS1677" i="2"/>
  <c r="AR1677" i="2"/>
  <c r="AQ1677" i="2"/>
  <c r="AO1677" i="2"/>
  <c r="AM1677" i="2"/>
  <c r="AL1677" i="2"/>
  <c r="AK1677" i="2"/>
  <c r="AJ1677" i="2"/>
  <c r="AI1677" i="2"/>
  <c r="AH1677" i="2"/>
  <c r="AG1677" i="2"/>
  <c r="AE1677" i="2"/>
  <c r="AD1677" i="2"/>
  <c r="AC1677" i="2"/>
  <c r="AA1677" i="2"/>
  <c r="Z1677" i="2"/>
  <c r="Y1677" i="2"/>
  <c r="X1677" i="2"/>
  <c r="W1677" i="2"/>
  <c r="V1677" i="2"/>
  <c r="U1677" i="2"/>
  <c r="T1677" i="2"/>
  <c r="S1677" i="2"/>
  <c r="R1677" i="2"/>
  <c r="Q1677" i="2"/>
  <c r="P1677" i="2"/>
  <c r="O1677" i="2"/>
  <c r="N1677" i="2"/>
  <c r="K1677" i="2"/>
  <c r="J1677" i="2"/>
  <c r="I1677" i="2"/>
  <c r="H1677" i="2"/>
  <c r="G1677" i="2"/>
  <c r="F1677" i="2"/>
  <c r="E1677" i="2"/>
  <c r="D1677" i="2"/>
  <c r="C1677" i="2"/>
  <c r="B1677" i="2"/>
  <c r="A1677" i="2"/>
  <c r="AX1676" i="2"/>
  <c r="AV1676" i="2"/>
  <c r="AU1676" i="2"/>
  <c r="AR1676" i="2"/>
  <c r="AQ1676" i="2"/>
  <c r="AO1676" i="2"/>
  <c r="AM1676" i="2"/>
  <c r="AL1676" i="2"/>
  <c r="AK1676" i="2"/>
  <c r="AJ1676" i="2"/>
  <c r="AI1676" i="2"/>
  <c r="AH1676" i="2"/>
  <c r="AG1676" i="2"/>
  <c r="AE1676" i="2"/>
  <c r="AD1676" i="2"/>
  <c r="AC1676" i="2"/>
  <c r="AA1676" i="2"/>
  <c r="Z1676" i="2"/>
  <c r="Y1676" i="2"/>
  <c r="W1676" i="2"/>
  <c r="V1676" i="2"/>
  <c r="U1676" i="2"/>
  <c r="T1676" i="2"/>
  <c r="S1676" i="2"/>
  <c r="R1676" i="2"/>
  <c r="Q1676" i="2"/>
  <c r="P1676" i="2"/>
  <c r="O1676" i="2"/>
  <c r="N1676" i="2"/>
  <c r="K1676" i="2"/>
  <c r="J1676" i="2"/>
  <c r="I1676" i="2"/>
  <c r="H1676" i="2"/>
  <c r="G1676" i="2"/>
  <c r="F1676" i="2"/>
  <c r="E1676" i="2"/>
  <c r="D1676" i="2"/>
  <c r="C1676" i="2"/>
  <c r="B1676" i="2"/>
  <c r="A1676" i="2"/>
  <c r="AX1675" i="2"/>
  <c r="AV1675" i="2"/>
  <c r="AU1675" i="2"/>
  <c r="AS1675" i="2"/>
  <c r="AR1675" i="2"/>
  <c r="AQ1675" i="2"/>
  <c r="AO1675" i="2"/>
  <c r="AM1675" i="2"/>
  <c r="AK1675" i="2"/>
  <c r="AJ1675" i="2"/>
  <c r="AI1675" i="2"/>
  <c r="AH1675" i="2"/>
  <c r="AG1675" i="2"/>
  <c r="AF1675" i="2"/>
  <c r="AE1675" i="2"/>
  <c r="AD1675" i="2"/>
  <c r="AC1675" i="2"/>
  <c r="AA1675" i="2"/>
  <c r="Z1675" i="2"/>
  <c r="Y1675" i="2"/>
  <c r="X1675" i="2"/>
  <c r="W1675" i="2"/>
  <c r="V1675" i="2"/>
  <c r="U1675" i="2"/>
  <c r="T1675" i="2"/>
  <c r="S1675" i="2"/>
  <c r="R1675" i="2"/>
  <c r="Q1675" i="2"/>
  <c r="P1675" i="2"/>
  <c r="O1675" i="2"/>
  <c r="N1675" i="2"/>
  <c r="K1675" i="2"/>
  <c r="J1675" i="2"/>
  <c r="I1675" i="2"/>
  <c r="H1675" i="2"/>
  <c r="G1675" i="2"/>
  <c r="F1675" i="2"/>
  <c r="E1675" i="2"/>
  <c r="D1675" i="2"/>
  <c r="C1675" i="2"/>
  <c r="B1675" i="2"/>
  <c r="A1675" i="2"/>
  <c r="AX1674" i="2"/>
  <c r="AV1674" i="2"/>
  <c r="AU1674" i="2"/>
  <c r="AS1674" i="2"/>
  <c r="AR1674" i="2"/>
  <c r="AQ1674" i="2"/>
  <c r="AO1674" i="2"/>
  <c r="AM1674" i="2"/>
  <c r="AL1674" i="2"/>
  <c r="AK1674" i="2"/>
  <c r="AJ1674" i="2"/>
  <c r="AI1674" i="2"/>
  <c r="AH1674" i="2"/>
  <c r="AG1674" i="2"/>
  <c r="AF1674" i="2"/>
  <c r="AE1674" i="2"/>
  <c r="AD1674" i="2"/>
  <c r="AC1674" i="2"/>
  <c r="AA1674" i="2"/>
  <c r="Z1674" i="2"/>
  <c r="Y1674" i="2"/>
  <c r="X1674" i="2"/>
  <c r="W1674" i="2"/>
  <c r="V1674" i="2"/>
  <c r="U1674" i="2"/>
  <c r="T1674" i="2"/>
  <c r="S1674" i="2"/>
  <c r="R1674" i="2"/>
  <c r="Q1674" i="2"/>
  <c r="P1674" i="2"/>
  <c r="O1674" i="2"/>
  <c r="N1674" i="2"/>
  <c r="K1674" i="2"/>
  <c r="J1674" i="2"/>
  <c r="I1674" i="2"/>
  <c r="H1674" i="2"/>
  <c r="G1674" i="2"/>
  <c r="F1674" i="2"/>
  <c r="E1674" i="2"/>
  <c r="D1674" i="2"/>
  <c r="C1674" i="2"/>
  <c r="B1674" i="2"/>
  <c r="A1674" i="2"/>
  <c r="AX1673" i="2"/>
  <c r="AV1673" i="2"/>
  <c r="AU1673" i="2"/>
  <c r="AT1673" i="2"/>
  <c r="AR1673" i="2"/>
  <c r="AQ1673" i="2"/>
  <c r="AO1673" i="2"/>
  <c r="AM1673" i="2"/>
  <c r="AL1673" i="2"/>
  <c r="AK1673" i="2"/>
  <c r="AJ1673" i="2"/>
  <c r="AI1673" i="2"/>
  <c r="AH1673" i="2"/>
  <c r="AG1673" i="2"/>
  <c r="AD1673" i="2"/>
  <c r="AC1673" i="2"/>
  <c r="AA1673" i="2"/>
  <c r="Z1673" i="2"/>
  <c r="Y1673" i="2"/>
  <c r="X1673" i="2"/>
  <c r="W1673" i="2"/>
  <c r="V1673" i="2"/>
  <c r="U1673" i="2"/>
  <c r="T1673" i="2"/>
  <c r="S1673" i="2"/>
  <c r="R1673" i="2"/>
  <c r="Q1673" i="2"/>
  <c r="P1673" i="2"/>
  <c r="O1673" i="2"/>
  <c r="N1673" i="2"/>
  <c r="K1673" i="2"/>
  <c r="J1673" i="2"/>
  <c r="I1673" i="2"/>
  <c r="H1673" i="2"/>
  <c r="G1673" i="2"/>
  <c r="F1673" i="2"/>
  <c r="E1673" i="2"/>
  <c r="D1673" i="2"/>
  <c r="C1673" i="2"/>
  <c r="B1673" i="2"/>
  <c r="A1673" i="2"/>
  <c r="AX1672" i="2"/>
  <c r="AV1672" i="2"/>
  <c r="AU1672" i="2"/>
  <c r="AS1672" i="2"/>
  <c r="AR1672" i="2"/>
  <c r="AQ1672" i="2"/>
  <c r="AO1672" i="2"/>
  <c r="AM1672" i="2"/>
  <c r="AK1672" i="2"/>
  <c r="AJ1672" i="2"/>
  <c r="AI1672" i="2"/>
  <c r="AH1672" i="2"/>
  <c r="AG1672" i="2"/>
  <c r="AD1672" i="2"/>
  <c r="AC1672" i="2"/>
  <c r="AA1672" i="2"/>
  <c r="Z1672" i="2"/>
  <c r="Y1672" i="2"/>
  <c r="X1672" i="2"/>
  <c r="W1672" i="2"/>
  <c r="V1672" i="2"/>
  <c r="U1672" i="2"/>
  <c r="T1672" i="2"/>
  <c r="S1672" i="2"/>
  <c r="R1672" i="2"/>
  <c r="Q1672" i="2"/>
  <c r="P1672" i="2"/>
  <c r="O1672" i="2"/>
  <c r="N1672" i="2"/>
  <c r="K1672" i="2"/>
  <c r="J1672" i="2"/>
  <c r="I1672" i="2"/>
  <c r="H1672" i="2"/>
  <c r="G1672" i="2"/>
  <c r="F1672" i="2"/>
  <c r="E1672" i="2"/>
  <c r="D1672" i="2"/>
  <c r="C1672" i="2"/>
  <c r="B1672" i="2"/>
  <c r="A1672" i="2"/>
  <c r="AX1671" i="2"/>
  <c r="AV1671" i="2"/>
  <c r="AU1671" i="2"/>
  <c r="AT1671" i="2"/>
  <c r="AS1671" i="2"/>
  <c r="AR1671" i="2"/>
  <c r="AQ1671" i="2"/>
  <c r="AO1671" i="2"/>
  <c r="AM1671" i="2"/>
  <c r="AL1671" i="2"/>
  <c r="AK1671" i="2"/>
  <c r="AI1671" i="2"/>
  <c r="AH1671" i="2"/>
  <c r="AG1671" i="2"/>
  <c r="AE1671" i="2"/>
  <c r="AD1671" i="2"/>
  <c r="AC1671" i="2"/>
  <c r="AA1671" i="2"/>
  <c r="Z1671" i="2"/>
  <c r="Y1671" i="2"/>
  <c r="X1671" i="2"/>
  <c r="W1671" i="2"/>
  <c r="V1671" i="2"/>
  <c r="U1671" i="2"/>
  <c r="T1671" i="2"/>
  <c r="S1671" i="2"/>
  <c r="R1671" i="2"/>
  <c r="Q1671" i="2"/>
  <c r="P1671" i="2"/>
  <c r="O1671" i="2"/>
  <c r="N1671" i="2"/>
  <c r="K1671" i="2"/>
  <c r="J1671" i="2"/>
  <c r="I1671" i="2"/>
  <c r="H1671" i="2"/>
  <c r="G1671" i="2"/>
  <c r="F1671" i="2"/>
  <c r="E1671" i="2"/>
  <c r="D1671" i="2"/>
  <c r="C1671" i="2"/>
  <c r="B1671" i="2"/>
  <c r="A1671" i="2"/>
  <c r="AX1670" i="2"/>
  <c r="AV1670" i="2"/>
  <c r="AU1670" i="2"/>
  <c r="AR1670" i="2"/>
  <c r="AQ1670" i="2"/>
  <c r="AO1670" i="2"/>
  <c r="AM1670" i="2"/>
  <c r="AL1670" i="2"/>
  <c r="AK1670" i="2"/>
  <c r="AJ1670" i="2"/>
  <c r="AI1670" i="2"/>
  <c r="AH1670" i="2"/>
  <c r="AG1670" i="2"/>
  <c r="AF1670" i="2"/>
  <c r="AE1670" i="2"/>
  <c r="AC1670" i="2"/>
  <c r="AA1670" i="2"/>
  <c r="Z1670" i="2"/>
  <c r="Y1670" i="2"/>
  <c r="X1670" i="2"/>
  <c r="W1670" i="2"/>
  <c r="V1670" i="2"/>
  <c r="U1670" i="2"/>
  <c r="T1670" i="2"/>
  <c r="S1670" i="2"/>
  <c r="R1670" i="2"/>
  <c r="Q1670" i="2"/>
  <c r="P1670" i="2"/>
  <c r="O1670" i="2"/>
  <c r="N1670" i="2"/>
  <c r="K1670" i="2"/>
  <c r="J1670" i="2"/>
  <c r="I1670" i="2"/>
  <c r="H1670" i="2"/>
  <c r="G1670" i="2"/>
  <c r="F1670" i="2"/>
  <c r="E1670" i="2"/>
  <c r="D1670" i="2"/>
  <c r="C1670" i="2"/>
  <c r="B1670" i="2"/>
  <c r="A1670" i="2"/>
  <c r="AX1669" i="2"/>
  <c r="AV1669" i="2"/>
  <c r="AU1669" i="2"/>
  <c r="AT1669" i="2"/>
  <c r="AR1669" i="2"/>
  <c r="AQ1669" i="2"/>
  <c r="AP1669" i="2"/>
  <c r="AO1669" i="2"/>
  <c r="AN1669" i="2"/>
  <c r="AM1669" i="2"/>
  <c r="AL1669" i="2"/>
  <c r="AK1669" i="2"/>
  <c r="AJ1669" i="2"/>
  <c r="AI1669" i="2"/>
  <c r="AH1669" i="2"/>
  <c r="AG1669" i="2"/>
  <c r="AE1669" i="2"/>
  <c r="AC1669" i="2"/>
  <c r="AA1669" i="2"/>
  <c r="Z1669" i="2"/>
  <c r="Y1669" i="2"/>
  <c r="W1669" i="2"/>
  <c r="V1669" i="2"/>
  <c r="U1669" i="2"/>
  <c r="T1669" i="2"/>
  <c r="S1669" i="2"/>
  <c r="R1669" i="2"/>
  <c r="Q1669" i="2"/>
  <c r="P1669" i="2"/>
  <c r="O1669" i="2"/>
  <c r="N1669" i="2"/>
  <c r="M1669" i="2"/>
  <c r="L1669" i="2"/>
  <c r="K1669" i="2"/>
  <c r="J1669" i="2"/>
  <c r="I1669" i="2"/>
  <c r="H1669" i="2"/>
  <c r="G1669" i="2"/>
  <c r="F1669" i="2"/>
  <c r="E1669" i="2"/>
  <c r="D1669" i="2"/>
  <c r="C1669" i="2"/>
  <c r="B1669" i="2"/>
  <c r="A1669" i="2"/>
  <c r="AX1668" i="2"/>
  <c r="AV1668" i="2"/>
  <c r="AU1668" i="2"/>
  <c r="AT1668" i="2"/>
  <c r="AS1668" i="2"/>
  <c r="AR1668" i="2"/>
  <c r="AQ1668" i="2"/>
  <c r="AO1668" i="2"/>
  <c r="AM1668" i="2"/>
  <c r="AI1668" i="2"/>
  <c r="AH1668" i="2"/>
  <c r="AG1668" i="2"/>
  <c r="AD1668" i="2"/>
  <c r="AC1668" i="2"/>
  <c r="AA1668" i="2"/>
  <c r="Z1668" i="2"/>
  <c r="Y1668" i="2"/>
  <c r="X1668" i="2"/>
  <c r="W1668" i="2"/>
  <c r="V1668" i="2"/>
  <c r="U1668" i="2"/>
  <c r="T1668" i="2"/>
  <c r="S1668" i="2"/>
  <c r="R1668" i="2"/>
  <c r="Q1668" i="2"/>
  <c r="P1668" i="2"/>
  <c r="O1668" i="2"/>
  <c r="N1668" i="2"/>
  <c r="K1668" i="2"/>
  <c r="J1668" i="2"/>
  <c r="I1668" i="2"/>
  <c r="H1668" i="2"/>
  <c r="G1668" i="2"/>
  <c r="F1668" i="2"/>
  <c r="E1668" i="2"/>
  <c r="D1668" i="2"/>
  <c r="C1668" i="2"/>
  <c r="B1668" i="2"/>
  <c r="A1668" i="2"/>
  <c r="AX1667" i="2"/>
  <c r="AV1667" i="2"/>
  <c r="AU1667" i="2"/>
  <c r="AT1667" i="2"/>
  <c r="AR1667" i="2"/>
  <c r="AQ1667" i="2"/>
  <c r="AO1667" i="2"/>
  <c r="AM1667" i="2"/>
  <c r="AL1667" i="2"/>
  <c r="AK1667" i="2"/>
  <c r="AJ1667" i="2"/>
  <c r="AI1667" i="2"/>
  <c r="AH1667" i="2"/>
  <c r="AG1667" i="2"/>
  <c r="AC1667" i="2"/>
  <c r="AA1667" i="2"/>
  <c r="Z1667" i="2"/>
  <c r="Y1667" i="2"/>
  <c r="X1667" i="2"/>
  <c r="W1667" i="2"/>
  <c r="V1667" i="2"/>
  <c r="U1667" i="2"/>
  <c r="T1667" i="2"/>
  <c r="S1667" i="2"/>
  <c r="R1667" i="2"/>
  <c r="Q1667" i="2"/>
  <c r="P1667" i="2"/>
  <c r="O1667" i="2"/>
  <c r="N1667" i="2"/>
  <c r="K1667" i="2"/>
  <c r="J1667" i="2"/>
  <c r="I1667" i="2"/>
  <c r="H1667" i="2"/>
  <c r="G1667" i="2"/>
  <c r="F1667" i="2"/>
  <c r="E1667" i="2"/>
  <c r="D1667" i="2"/>
  <c r="C1667" i="2"/>
  <c r="B1667" i="2"/>
  <c r="A1667" i="2"/>
  <c r="AX1666" i="2"/>
  <c r="AV1666" i="2"/>
  <c r="AU1666" i="2"/>
  <c r="AT1666" i="2"/>
  <c r="AR1666" i="2"/>
  <c r="AQ1666" i="2"/>
  <c r="AO1666" i="2"/>
  <c r="AM1666" i="2"/>
  <c r="AL1666" i="2"/>
  <c r="AK1666" i="2"/>
  <c r="AJ1666" i="2"/>
  <c r="AI1666" i="2"/>
  <c r="AH1666" i="2"/>
  <c r="AG1666" i="2"/>
  <c r="AD1666" i="2"/>
  <c r="AC1666" i="2"/>
  <c r="AA1666" i="2"/>
  <c r="Z1666" i="2"/>
  <c r="Y1666" i="2"/>
  <c r="X1666" i="2"/>
  <c r="W1666" i="2"/>
  <c r="V1666" i="2"/>
  <c r="U1666" i="2"/>
  <c r="T1666" i="2"/>
  <c r="S1666" i="2"/>
  <c r="R1666" i="2"/>
  <c r="Q1666" i="2"/>
  <c r="P1666" i="2"/>
  <c r="O1666" i="2"/>
  <c r="N1666" i="2"/>
  <c r="K1666" i="2"/>
  <c r="J1666" i="2"/>
  <c r="I1666" i="2"/>
  <c r="H1666" i="2"/>
  <c r="G1666" i="2"/>
  <c r="F1666" i="2"/>
  <c r="E1666" i="2"/>
  <c r="D1666" i="2"/>
  <c r="C1666" i="2"/>
  <c r="B1666" i="2"/>
  <c r="A1666" i="2"/>
  <c r="AX1665" i="2"/>
  <c r="AV1665" i="2"/>
  <c r="AU1665" i="2"/>
  <c r="AT1665" i="2"/>
  <c r="AR1665" i="2"/>
  <c r="AQ1665" i="2"/>
  <c r="AO1665" i="2"/>
  <c r="AM1665" i="2"/>
  <c r="AL1665" i="2"/>
  <c r="AK1665" i="2"/>
  <c r="AJ1665" i="2"/>
  <c r="AI1665" i="2"/>
  <c r="AH1665" i="2"/>
  <c r="AG1665" i="2"/>
  <c r="AE1665" i="2"/>
  <c r="AD1665" i="2"/>
  <c r="AC1665" i="2"/>
  <c r="AA1665" i="2"/>
  <c r="Z1665" i="2"/>
  <c r="Y1665" i="2"/>
  <c r="X1665" i="2"/>
  <c r="W1665" i="2"/>
  <c r="V1665" i="2"/>
  <c r="U1665" i="2"/>
  <c r="T1665" i="2"/>
  <c r="S1665" i="2"/>
  <c r="R1665" i="2"/>
  <c r="Q1665" i="2"/>
  <c r="P1665" i="2"/>
  <c r="O1665" i="2"/>
  <c r="N1665" i="2"/>
  <c r="K1665" i="2"/>
  <c r="J1665" i="2"/>
  <c r="I1665" i="2"/>
  <c r="H1665" i="2"/>
  <c r="G1665" i="2"/>
  <c r="F1665" i="2"/>
  <c r="E1665" i="2"/>
  <c r="D1665" i="2"/>
  <c r="C1665" i="2"/>
  <c r="B1665" i="2"/>
  <c r="A1665" i="2"/>
  <c r="AX1664" i="2"/>
  <c r="AV1664" i="2"/>
  <c r="AU1664" i="2"/>
  <c r="AT1664" i="2"/>
  <c r="AS1664" i="2"/>
  <c r="AR1664" i="2"/>
  <c r="AO1664" i="2"/>
  <c r="AM1664" i="2"/>
  <c r="AK1664" i="2"/>
  <c r="AJ1664" i="2"/>
  <c r="AI1664" i="2"/>
  <c r="AH1664" i="2"/>
  <c r="AG1664" i="2"/>
  <c r="AE1664" i="2"/>
  <c r="AC1664" i="2"/>
  <c r="Z1664" i="2"/>
  <c r="Y1664" i="2"/>
  <c r="X1664" i="2"/>
  <c r="W1664" i="2"/>
  <c r="V1664" i="2"/>
  <c r="U1664" i="2"/>
  <c r="T1664" i="2"/>
  <c r="S1664" i="2"/>
  <c r="R1664" i="2"/>
  <c r="Q1664" i="2"/>
  <c r="P1664" i="2"/>
  <c r="O1664" i="2"/>
  <c r="N1664" i="2"/>
  <c r="M1664" i="2"/>
  <c r="K1664" i="2"/>
  <c r="J1664" i="2"/>
  <c r="I1664" i="2"/>
  <c r="H1664" i="2"/>
  <c r="G1664" i="2"/>
  <c r="F1664" i="2"/>
  <c r="E1664" i="2"/>
  <c r="D1664" i="2"/>
  <c r="C1664" i="2"/>
  <c r="B1664" i="2"/>
  <c r="A1664" i="2"/>
  <c r="AX1663" i="2"/>
  <c r="AV1663" i="2"/>
  <c r="AU1663" i="2"/>
  <c r="AT1663" i="2"/>
  <c r="AS1663" i="2"/>
  <c r="AR1663" i="2"/>
  <c r="AQ1663" i="2"/>
  <c r="AO1663" i="2"/>
  <c r="AM1663" i="2"/>
  <c r="AL1663" i="2"/>
  <c r="AK1663" i="2"/>
  <c r="AJ1663" i="2"/>
  <c r="AI1663" i="2"/>
  <c r="AH1663" i="2"/>
  <c r="AG1663" i="2"/>
  <c r="AE1663" i="2"/>
  <c r="AD1663" i="2"/>
  <c r="AC1663" i="2"/>
  <c r="AA1663" i="2"/>
  <c r="Z1663" i="2"/>
  <c r="Y1663" i="2"/>
  <c r="X1663" i="2"/>
  <c r="W1663" i="2"/>
  <c r="V1663" i="2"/>
  <c r="U1663" i="2"/>
  <c r="T1663" i="2"/>
  <c r="S1663" i="2"/>
  <c r="R1663" i="2"/>
  <c r="Q1663" i="2"/>
  <c r="P1663" i="2"/>
  <c r="O1663" i="2"/>
  <c r="N1663" i="2"/>
  <c r="K1663" i="2"/>
  <c r="J1663" i="2"/>
  <c r="I1663" i="2"/>
  <c r="H1663" i="2"/>
  <c r="G1663" i="2"/>
  <c r="F1663" i="2"/>
  <c r="E1663" i="2"/>
  <c r="D1663" i="2"/>
  <c r="C1663" i="2"/>
  <c r="B1663" i="2"/>
  <c r="A1663" i="2"/>
  <c r="AX1662" i="2"/>
  <c r="AV1662" i="2"/>
  <c r="AU1662" i="2"/>
  <c r="AS1662" i="2"/>
  <c r="AR1662" i="2"/>
  <c r="AQ1662" i="2"/>
  <c r="AO1662" i="2"/>
  <c r="AM1662" i="2"/>
  <c r="AK1662" i="2"/>
  <c r="AJ1662" i="2"/>
  <c r="AI1662" i="2"/>
  <c r="AH1662" i="2"/>
  <c r="AG1662" i="2"/>
  <c r="AF1662" i="2"/>
  <c r="AE1662" i="2"/>
  <c r="AD1662" i="2"/>
  <c r="AC1662" i="2"/>
  <c r="AA1662" i="2"/>
  <c r="Z1662" i="2"/>
  <c r="Y1662" i="2"/>
  <c r="X1662" i="2"/>
  <c r="W1662" i="2"/>
  <c r="V1662" i="2"/>
  <c r="U1662" i="2"/>
  <c r="T1662" i="2"/>
  <c r="S1662" i="2"/>
  <c r="R1662" i="2"/>
  <c r="Q1662" i="2"/>
  <c r="P1662" i="2"/>
  <c r="O1662" i="2"/>
  <c r="N1662" i="2"/>
  <c r="K1662" i="2"/>
  <c r="J1662" i="2"/>
  <c r="I1662" i="2"/>
  <c r="H1662" i="2"/>
  <c r="G1662" i="2"/>
  <c r="F1662" i="2"/>
  <c r="E1662" i="2"/>
  <c r="D1662" i="2"/>
  <c r="C1662" i="2"/>
  <c r="B1662" i="2"/>
  <c r="A1662" i="2"/>
  <c r="AX1661" i="2"/>
  <c r="AV1661" i="2"/>
  <c r="AU1661" i="2"/>
  <c r="AR1661" i="2"/>
  <c r="AQ1661" i="2"/>
  <c r="AO1661" i="2"/>
  <c r="AM1661" i="2"/>
  <c r="AK1661" i="2"/>
  <c r="AJ1661" i="2"/>
  <c r="AI1661" i="2"/>
  <c r="AH1661" i="2"/>
  <c r="AG1661" i="2"/>
  <c r="AF1661" i="2"/>
  <c r="AE1661" i="2"/>
  <c r="AD1661" i="2"/>
  <c r="AC1661" i="2"/>
  <c r="AA1661" i="2"/>
  <c r="Z1661" i="2"/>
  <c r="Y1661" i="2"/>
  <c r="X1661" i="2"/>
  <c r="W1661" i="2"/>
  <c r="V1661" i="2"/>
  <c r="U1661" i="2"/>
  <c r="T1661" i="2"/>
  <c r="S1661" i="2"/>
  <c r="R1661" i="2"/>
  <c r="Q1661" i="2"/>
  <c r="P1661" i="2"/>
  <c r="O1661" i="2"/>
  <c r="N1661" i="2"/>
  <c r="K1661" i="2"/>
  <c r="J1661" i="2"/>
  <c r="I1661" i="2"/>
  <c r="H1661" i="2"/>
  <c r="G1661" i="2"/>
  <c r="F1661" i="2"/>
  <c r="E1661" i="2"/>
  <c r="D1661" i="2"/>
  <c r="C1661" i="2"/>
  <c r="B1661" i="2"/>
  <c r="A1661" i="2"/>
  <c r="AX1660" i="2"/>
  <c r="AV1660" i="2"/>
  <c r="AU1660" i="2"/>
  <c r="AS1660" i="2"/>
  <c r="AR1660" i="2"/>
  <c r="AQ1660" i="2"/>
  <c r="AO1660" i="2"/>
  <c r="AM1660" i="2"/>
  <c r="AK1660" i="2"/>
  <c r="AJ1660" i="2"/>
  <c r="AI1660" i="2"/>
  <c r="AH1660" i="2"/>
  <c r="AG1660" i="2"/>
  <c r="AD1660" i="2"/>
  <c r="AC1660" i="2"/>
  <c r="AA1660" i="2"/>
  <c r="Z1660" i="2"/>
  <c r="Y1660" i="2"/>
  <c r="X1660" i="2"/>
  <c r="W1660" i="2"/>
  <c r="V1660" i="2"/>
  <c r="U1660" i="2"/>
  <c r="T1660" i="2"/>
  <c r="S1660" i="2"/>
  <c r="R1660" i="2"/>
  <c r="Q1660" i="2"/>
  <c r="P1660" i="2"/>
  <c r="O1660" i="2"/>
  <c r="N1660" i="2"/>
  <c r="K1660" i="2"/>
  <c r="J1660" i="2"/>
  <c r="I1660" i="2"/>
  <c r="H1660" i="2"/>
  <c r="G1660" i="2"/>
  <c r="F1660" i="2"/>
  <c r="E1660" i="2"/>
  <c r="D1660" i="2"/>
  <c r="C1660" i="2"/>
  <c r="B1660" i="2"/>
  <c r="A1660" i="2"/>
  <c r="AX1659" i="2"/>
  <c r="AV1659" i="2"/>
  <c r="AU1659" i="2"/>
  <c r="AT1659" i="2"/>
  <c r="AR1659" i="2"/>
  <c r="AQ1659" i="2"/>
  <c r="AP1659" i="2"/>
  <c r="AO1659" i="2"/>
  <c r="AM1659" i="2"/>
  <c r="AJ1659" i="2"/>
  <c r="AI1659" i="2"/>
  <c r="AH1659" i="2"/>
  <c r="AG1659" i="2"/>
  <c r="AC1659" i="2"/>
  <c r="AA1659" i="2"/>
  <c r="Z1659" i="2"/>
  <c r="Y1659" i="2"/>
  <c r="X1659" i="2"/>
  <c r="W1659" i="2"/>
  <c r="V1659" i="2"/>
  <c r="U1659" i="2"/>
  <c r="T1659" i="2"/>
  <c r="S1659" i="2"/>
  <c r="R1659" i="2"/>
  <c r="Q1659" i="2"/>
  <c r="P1659" i="2"/>
  <c r="O1659" i="2"/>
  <c r="N1659" i="2"/>
  <c r="K1659" i="2"/>
  <c r="J1659" i="2"/>
  <c r="I1659" i="2"/>
  <c r="H1659" i="2"/>
  <c r="G1659" i="2"/>
  <c r="F1659" i="2"/>
  <c r="E1659" i="2"/>
  <c r="D1659" i="2"/>
  <c r="C1659" i="2"/>
  <c r="B1659" i="2"/>
  <c r="A1659" i="2"/>
  <c r="AX1658" i="2"/>
  <c r="AV1658" i="2"/>
  <c r="AU1658" i="2"/>
  <c r="AT1658" i="2"/>
  <c r="AS1658" i="2"/>
  <c r="AR1658" i="2"/>
  <c r="AQ1658" i="2"/>
  <c r="AO1658" i="2"/>
  <c r="AM1658" i="2"/>
  <c r="AL1658" i="2"/>
  <c r="AK1658" i="2"/>
  <c r="AJ1658" i="2"/>
  <c r="AI1658" i="2"/>
  <c r="AH1658" i="2"/>
  <c r="AG1658" i="2"/>
  <c r="AF1658" i="2"/>
  <c r="AE1658" i="2"/>
  <c r="AC1658" i="2"/>
  <c r="AA1658" i="2"/>
  <c r="Z1658" i="2"/>
  <c r="Y1658" i="2"/>
  <c r="X1658" i="2"/>
  <c r="W1658" i="2"/>
  <c r="V1658" i="2"/>
  <c r="U1658" i="2"/>
  <c r="T1658" i="2"/>
  <c r="S1658" i="2"/>
  <c r="R1658" i="2"/>
  <c r="Q1658" i="2"/>
  <c r="P1658" i="2"/>
  <c r="O1658" i="2"/>
  <c r="N1658" i="2"/>
  <c r="K1658" i="2"/>
  <c r="J1658" i="2"/>
  <c r="I1658" i="2"/>
  <c r="H1658" i="2"/>
  <c r="G1658" i="2"/>
  <c r="F1658" i="2"/>
  <c r="E1658" i="2"/>
  <c r="D1658" i="2"/>
  <c r="C1658" i="2"/>
  <c r="B1658" i="2"/>
  <c r="A1658" i="2"/>
  <c r="AX1657" i="2"/>
  <c r="AV1657" i="2"/>
  <c r="AU1657" i="2"/>
  <c r="AT1657" i="2"/>
  <c r="AS1657" i="2"/>
  <c r="AR1657" i="2"/>
  <c r="AQ1657" i="2"/>
  <c r="AO1657" i="2"/>
  <c r="AM1657" i="2"/>
  <c r="AK1657" i="2"/>
  <c r="AJ1657" i="2"/>
  <c r="AI1657" i="2"/>
  <c r="AH1657" i="2"/>
  <c r="AG1657" i="2"/>
  <c r="AF1657" i="2"/>
  <c r="AE1657" i="2"/>
  <c r="AC1657" i="2"/>
  <c r="AA1657" i="2"/>
  <c r="Z1657" i="2"/>
  <c r="Y1657" i="2"/>
  <c r="X1657" i="2"/>
  <c r="W1657" i="2"/>
  <c r="V1657" i="2"/>
  <c r="U1657" i="2"/>
  <c r="T1657" i="2"/>
  <c r="S1657" i="2"/>
  <c r="R1657" i="2"/>
  <c r="Q1657" i="2"/>
  <c r="P1657" i="2"/>
  <c r="O1657" i="2"/>
  <c r="N1657" i="2"/>
  <c r="K1657" i="2"/>
  <c r="J1657" i="2"/>
  <c r="I1657" i="2"/>
  <c r="H1657" i="2"/>
  <c r="G1657" i="2"/>
  <c r="F1657" i="2"/>
  <c r="E1657" i="2"/>
  <c r="D1657" i="2"/>
  <c r="C1657" i="2"/>
  <c r="B1657" i="2"/>
  <c r="A1657" i="2"/>
  <c r="AX1656" i="2"/>
  <c r="AV1656" i="2"/>
  <c r="AU1656" i="2"/>
  <c r="AS1656" i="2"/>
  <c r="AR1656" i="2"/>
  <c r="AO1656" i="2"/>
  <c r="AM1656" i="2"/>
  <c r="AL1656" i="2"/>
  <c r="AK1656" i="2"/>
  <c r="AJ1656" i="2"/>
  <c r="AI1656" i="2"/>
  <c r="AH1656" i="2"/>
  <c r="AG1656" i="2"/>
  <c r="AE1656" i="2"/>
  <c r="AD1656" i="2"/>
  <c r="AC1656" i="2"/>
  <c r="AA1656" i="2"/>
  <c r="Z1656" i="2"/>
  <c r="Y1656" i="2"/>
  <c r="X1656" i="2"/>
  <c r="W1656" i="2"/>
  <c r="V1656" i="2"/>
  <c r="U1656" i="2"/>
  <c r="T1656" i="2"/>
  <c r="S1656" i="2"/>
  <c r="R1656" i="2"/>
  <c r="Q1656" i="2"/>
  <c r="P1656" i="2"/>
  <c r="O1656" i="2"/>
  <c r="N1656" i="2"/>
  <c r="M1656" i="2"/>
  <c r="L1656" i="2"/>
  <c r="K1656" i="2"/>
  <c r="J1656" i="2"/>
  <c r="I1656" i="2"/>
  <c r="H1656" i="2"/>
  <c r="G1656" i="2"/>
  <c r="F1656" i="2"/>
  <c r="E1656" i="2"/>
  <c r="D1656" i="2"/>
  <c r="C1656" i="2"/>
  <c r="B1656" i="2"/>
  <c r="A1656" i="2"/>
  <c r="AX1655" i="2"/>
  <c r="AV1655" i="2"/>
  <c r="AU1655" i="2"/>
  <c r="AS1655" i="2"/>
  <c r="AR1655" i="2"/>
  <c r="AQ1655" i="2"/>
  <c r="AO1655" i="2"/>
  <c r="AM1655" i="2"/>
  <c r="AL1655" i="2"/>
  <c r="AK1655" i="2"/>
  <c r="AJ1655" i="2"/>
  <c r="AI1655" i="2"/>
  <c r="AH1655" i="2"/>
  <c r="AG1655" i="2"/>
  <c r="AE1655" i="2"/>
  <c r="AD1655" i="2"/>
  <c r="AC1655" i="2"/>
  <c r="AA1655" i="2"/>
  <c r="Z1655" i="2"/>
  <c r="Y1655" i="2"/>
  <c r="X1655" i="2"/>
  <c r="W1655" i="2"/>
  <c r="V1655" i="2"/>
  <c r="U1655" i="2"/>
  <c r="T1655" i="2"/>
  <c r="S1655" i="2"/>
  <c r="R1655" i="2"/>
  <c r="Q1655" i="2"/>
  <c r="P1655" i="2"/>
  <c r="O1655" i="2"/>
  <c r="N1655" i="2"/>
  <c r="K1655" i="2"/>
  <c r="J1655" i="2"/>
  <c r="I1655" i="2"/>
  <c r="H1655" i="2"/>
  <c r="G1655" i="2"/>
  <c r="F1655" i="2"/>
  <c r="E1655" i="2"/>
  <c r="D1655" i="2"/>
  <c r="C1655" i="2"/>
  <c r="B1655" i="2"/>
  <c r="A1655" i="2"/>
  <c r="AX1654" i="2"/>
  <c r="AV1654" i="2"/>
  <c r="AU1654" i="2"/>
  <c r="AT1654" i="2"/>
  <c r="AR1654" i="2"/>
  <c r="AQ1654" i="2"/>
  <c r="AO1654" i="2"/>
  <c r="AM1654" i="2"/>
  <c r="AL1654" i="2"/>
  <c r="AK1654" i="2"/>
  <c r="AJ1654" i="2"/>
  <c r="AI1654" i="2"/>
  <c r="AH1654" i="2"/>
  <c r="AG1654" i="2"/>
  <c r="AC1654" i="2"/>
  <c r="AA1654" i="2"/>
  <c r="Z1654" i="2"/>
  <c r="Y1654" i="2"/>
  <c r="X1654" i="2"/>
  <c r="W1654" i="2"/>
  <c r="V1654" i="2"/>
  <c r="U1654" i="2"/>
  <c r="T1654" i="2"/>
  <c r="S1654" i="2"/>
  <c r="R1654" i="2"/>
  <c r="Q1654" i="2"/>
  <c r="P1654" i="2"/>
  <c r="O1654" i="2"/>
  <c r="N1654" i="2"/>
  <c r="K1654" i="2"/>
  <c r="J1654" i="2"/>
  <c r="I1654" i="2"/>
  <c r="H1654" i="2"/>
  <c r="G1654" i="2"/>
  <c r="F1654" i="2"/>
  <c r="E1654" i="2"/>
  <c r="D1654" i="2"/>
  <c r="C1654" i="2"/>
  <c r="B1654" i="2"/>
  <c r="A1654" i="2"/>
  <c r="AX1653" i="2"/>
  <c r="AV1653" i="2"/>
  <c r="AU1653" i="2"/>
  <c r="AT1653" i="2"/>
  <c r="AS1653" i="2"/>
  <c r="AR1653" i="2"/>
  <c r="AQ1653" i="2"/>
  <c r="AO1653" i="2"/>
  <c r="AM1653" i="2"/>
  <c r="AL1653" i="2"/>
  <c r="AK1653" i="2"/>
  <c r="AJ1653" i="2"/>
  <c r="AI1653" i="2"/>
  <c r="AH1653" i="2"/>
  <c r="AG1653" i="2"/>
  <c r="AF1653" i="2"/>
  <c r="AE1653" i="2"/>
  <c r="AD1653" i="2"/>
  <c r="AC1653" i="2"/>
  <c r="AA1653" i="2"/>
  <c r="Z1653" i="2"/>
  <c r="Y1653" i="2"/>
  <c r="X1653" i="2"/>
  <c r="W1653" i="2"/>
  <c r="V1653" i="2"/>
  <c r="U1653" i="2"/>
  <c r="T1653" i="2"/>
  <c r="S1653" i="2"/>
  <c r="R1653" i="2"/>
  <c r="Q1653" i="2"/>
  <c r="P1653" i="2"/>
  <c r="O1653" i="2"/>
  <c r="N1653" i="2"/>
  <c r="K1653" i="2"/>
  <c r="J1653" i="2"/>
  <c r="I1653" i="2"/>
  <c r="H1653" i="2"/>
  <c r="G1653" i="2"/>
  <c r="F1653" i="2"/>
  <c r="E1653" i="2"/>
  <c r="D1653" i="2"/>
  <c r="C1653" i="2"/>
  <c r="B1653" i="2"/>
  <c r="A1653" i="2"/>
  <c r="AX1652" i="2"/>
  <c r="AV1652" i="2"/>
  <c r="AU1652" i="2"/>
  <c r="AS1652" i="2"/>
  <c r="AR1652" i="2"/>
  <c r="AQ1652" i="2"/>
  <c r="AO1652" i="2"/>
  <c r="AM1652" i="2"/>
  <c r="AL1652" i="2"/>
  <c r="AK1652" i="2"/>
  <c r="AJ1652" i="2"/>
  <c r="AI1652" i="2"/>
  <c r="AH1652" i="2"/>
  <c r="AG1652" i="2"/>
  <c r="AE1652" i="2"/>
  <c r="AD1652" i="2"/>
  <c r="AC1652" i="2"/>
  <c r="AA1652" i="2"/>
  <c r="Z1652" i="2"/>
  <c r="Y1652" i="2"/>
  <c r="X1652" i="2"/>
  <c r="W1652" i="2"/>
  <c r="V1652" i="2"/>
  <c r="U1652" i="2"/>
  <c r="T1652" i="2"/>
  <c r="S1652" i="2"/>
  <c r="Q1652" i="2"/>
  <c r="P1652" i="2"/>
  <c r="O1652" i="2"/>
  <c r="N1652" i="2"/>
  <c r="K1652" i="2"/>
  <c r="J1652" i="2"/>
  <c r="I1652" i="2"/>
  <c r="H1652" i="2"/>
  <c r="G1652" i="2"/>
  <c r="F1652" i="2"/>
  <c r="E1652" i="2"/>
  <c r="D1652" i="2"/>
  <c r="C1652" i="2"/>
  <c r="B1652" i="2"/>
  <c r="A1652" i="2"/>
  <c r="AX1651" i="2"/>
  <c r="AV1651" i="2"/>
  <c r="AU1651" i="2"/>
  <c r="AT1651" i="2"/>
  <c r="AS1651" i="2"/>
  <c r="AR1651" i="2"/>
  <c r="AQ1651" i="2"/>
  <c r="AO1651" i="2"/>
  <c r="AN1651" i="2"/>
  <c r="AM1651" i="2"/>
  <c r="AL1651" i="2"/>
  <c r="AK1651" i="2"/>
  <c r="AJ1651" i="2"/>
  <c r="AI1651" i="2"/>
  <c r="AH1651" i="2"/>
  <c r="AG1651" i="2"/>
  <c r="AE1651" i="2"/>
  <c r="AD1651" i="2"/>
  <c r="AC1651" i="2"/>
  <c r="AA1651" i="2"/>
  <c r="Z1651" i="2"/>
  <c r="Y1651" i="2"/>
  <c r="X1651" i="2"/>
  <c r="W1651" i="2"/>
  <c r="V1651" i="2"/>
  <c r="U1651" i="2"/>
  <c r="T1651" i="2"/>
  <c r="S1651" i="2"/>
  <c r="R1651" i="2"/>
  <c r="Q1651" i="2"/>
  <c r="P1651" i="2"/>
  <c r="O1651" i="2"/>
  <c r="N1651" i="2"/>
  <c r="K1651" i="2"/>
  <c r="J1651" i="2"/>
  <c r="I1651" i="2"/>
  <c r="H1651" i="2"/>
  <c r="G1651" i="2"/>
  <c r="F1651" i="2"/>
  <c r="E1651" i="2"/>
  <c r="D1651" i="2"/>
  <c r="C1651" i="2"/>
  <c r="B1651" i="2"/>
  <c r="A1651" i="2"/>
  <c r="AX1650" i="2"/>
  <c r="AV1650" i="2"/>
  <c r="AU1650" i="2"/>
  <c r="AT1650" i="2"/>
  <c r="AR1650" i="2"/>
  <c r="AQ1650" i="2"/>
  <c r="AP1650" i="2"/>
  <c r="AO1650" i="2"/>
  <c r="AM1650" i="2"/>
  <c r="AL1650" i="2"/>
  <c r="AK1650" i="2"/>
  <c r="AJ1650" i="2"/>
  <c r="AI1650" i="2"/>
  <c r="AH1650" i="2"/>
  <c r="AG1650" i="2"/>
  <c r="AF1650" i="2"/>
  <c r="AE1650" i="2"/>
  <c r="AD1650" i="2"/>
  <c r="AC1650" i="2"/>
  <c r="AA1650" i="2"/>
  <c r="Z1650" i="2"/>
  <c r="Y1650" i="2"/>
  <c r="X1650" i="2"/>
  <c r="W1650" i="2"/>
  <c r="V1650" i="2"/>
  <c r="U1650" i="2"/>
  <c r="T1650" i="2"/>
  <c r="S1650" i="2"/>
  <c r="R1650" i="2"/>
  <c r="Q1650" i="2"/>
  <c r="P1650" i="2"/>
  <c r="O1650" i="2"/>
  <c r="N1650" i="2"/>
  <c r="M1650" i="2"/>
  <c r="K1650" i="2"/>
  <c r="J1650" i="2"/>
  <c r="I1650" i="2"/>
  <c r="H1650" i="2"/>
  <c r="G1650" i="2"/>
  <c r="F1650" i="2"/>
  <c r="E1650" i="2"/>
  <c r="D1650" i="2"/>
  <c r="C1650" i="2"/>
  <c r="B1650" i="2"/>
  <c r="A1650" i="2"/>
  <c r="AX1649" i="2"/>
  <c r="AV1649" i="2"/>
  <c r="AU1649" i="2"/>
  <c r="AT1649" i="2"/>
  <c r="AS1649" i="2"/>
  <c r="AR1649" i="2"/>
  <c r="AQ1649" i="2"/>
  <c r="AO1649" i="2"/>
  <c r="AM1649" i="2"/>
  <c r="AK1649" i="2"/>
  <c r="AI1649" i="2"/>
  <c r="AH1649" i="2"/>
  <c r="AG1649" i="2"/>
  <c r="AE1649" i="2"/>
  <c r="AD1649" i="2"/>
  <c r="AC1649" i="2"/>
  <c r="AA1649" i="2"/>
  <c r="Z1649" i="2"/>
  <c r="Y1649" i="2"/>
  <c r="X1649" i="2"/>
  <c r="W1649" i="2"/>
  <c r="V1649" i="2"/>
  <c r="U1649" i="2"/>
  <c r="T1649" i="2"/>
  <c r="S1649" i="2"/>
  <c r="R1649" i="2"/>
  <c r="Q1649" i="2"/>
  <c r="P1649" i="2"/>
  <c r="O1649" i="2"/>
  <c r="N1649" i="2"/>
  <c r="K1649" i="2"/>
  <c r="J1649" i="2"/>
  <c r="I1649" i="2"/>
  <c r="H1649" i="2"/>
  <c r="G1649" i="2"/>
  <c r="F1649" i="2"/>
  <c r="E1649" i="2"/>
  <c r="D1649" i="2"/>
  <c r="C1649" i="2"/>
  <c r="B1649" i="2"/>
  <c r="A1649" i="2"/>
  <c r="AX1648" i="2"/>
  <c r="AV1648" i="2"/>
  <c r="AU1648" i="2"/>
  <c r="AS1648" i="2"/>
  <c r="AR1648" i="2"/>
  <c r="AQ1648" i="2"/>
  <c r="AO1648" i="2"/>
  <c r="AM1648" i="2"/>
  <c r="AL1648" i="2"/>
  <c r="AK1648" i="2"/>
  <c r="AJ1648" i="2"/>
  <c r="AI1648" i="2"/>
  <c r="AH1648" i="2"/>
  <c r="AG1648" i="2"/>
  <c r="AE1648" i="2"/>
  <c r="AD1648" i="2"/>
  <c r="AC1648" i="2"/>
  <c r="AA1648" i="2"/>
  <c r="Z1648" i="2"/>
  <c r="Y1648" i="2"/>
  <c r="X1648" i="2"/>
  <c r="W1648" i="2"/>
  <c r="V1648" i="2"/>
  <c r="U1648" i="2"/>
  <c r="T1648" i="2"/>
  <c r="S1648" i="2"/>
  <c r="R1648" i="2"/>
  <c r="Q1648" i="2"/>
  <c r="P1648" i="2"/>
  <c r="O1648" i="2"/>
  <c r="N1648" i="2"/>
  <c r="K1648" i="2"/>
  <c r="J1648" i="2"/>
  <c r="I1648" i="2"/>
  <c r="H1648" i="2"/>
  <c r="G1648" i="2"/>
  <c r="F1648" i="2"/>
  <c r="E1648" i="2"/>
  <c r="D1648" i="2"/>
  <c r="C1648" i="2"/>
  <c r="B1648" i="2"/>
  <c r="A1648" i="2"/>
  <c r="AX1647" i="2"/>
  <c r="AV1647" i="2"/>
  <c r="AU1647" i="2"/>
  <c r="AT1647" i="2"/>
  <c r="AR1647" i="2"/>
  <c r="AQ1647" i="2"/>
  <c r="AO1647" i="2"/>
  <c r="AM1647" i="2"/>
  <c r="AK1647" i="2"/>
  <c r="AI1647" i="2"/>
  <c r="AH1647" i="2"/>
  <c r="AG1647" i="2"/>
  <c r="AF1647" i="2"/>
  <c r="AE1647" i="2"/>
  <c r="AD1647" i="2"/>
  <c r="AC1647" i="2"/>
  <c r="AA1647" i="2"/>
  <c r="Z1647" i="2"/>
  <c r="Y1647" i="2"/>
  <c r="X1647" i="2"/>
  <c r="W1647" i="2"/>
  <c r="V1647" i="2"/>
  <c r="U1647" i="2"/>
  <c r="T1647" i="2"/>
  <c r="S1647" i="2"/>
  <c r="R1647" i="2"/>
  <c r="Q1647" i="2"/>
  <c r="P1647" i="2"/>
  <c r="O1647" i="2"/>
  <c r="N1647" i="2"/>
  <c r="M1647" i="2"/>
  <c r="K1647" i="2"/>
  <c r="J1647" i="2"/>
  <c r="I1647" i="2"/>
  <c r="H1647" i="2"/>
  <c r="G1647" i="2"/>
  <c r="F1647" i="2"/>
  <c r="E1647" i="2"/>
  <c r="D1647" i="2"/>
  <c r="C1647" i="2"/>
  <c r="B1647" i="2"/>
  <c r="A1647" i="2"/>
  <c r="AX1646" i="2"/>
  <c r="AV1646" i="2"/>
  <c r="AU1646" i="2"/>
  <c r="AS1646" i="2"/>
  <c r="AR1646" i="2"/>
  <c r="AQ1646" i="2"/>
  <c r="AO1646" i="2"/>
  <c r="AM1646" i="2"/>
  <c r="AL1646" i="2"/>
  <c r="AK1646" i="2"/>
  <c r="AJ1646" i="2"/>
  <c r="AI1646" i="2"/>
  <c r="AH1646" i="2"/>
  <c r="AG1646" i="2"/>
  <c r="AE1646" i="2"/>
  <c r="AD1646" i="2"/>
  <c r="AC1646" i="2"/>
  <c r="AA1646" i="2"/>
  <c r="Z1646" i="2"/>
  <c r="Y1646" i="2"/>
  <c r="X1646" i="2"/>
  <c r="W1646" i="2"/>
  <c r="V1646" i="2"/>
  <c r="U1646" i="2"/>
  <c r="T1646" i="2"/>
  <c r="S1646" i="2"/>
  <c r="R1646" i="2"/>
  <c r="Q1646" i="2"/>
  <c r="P1646" i="2"/>
  <c r="O1646" i="2"/>
  <c r="N1646" i="2"/>
  <c r="M1646" i="2"/>
  <c r="L1646" i="2"/>
  <c r="K1646" i="2"/>
  <c r="J1646" i="2"/>
  <c r="I1646" i="2"/>
  <c r="H1646" i="2"/>
  <c r="G1646" i="2"/>
  <c r="F1646" i="2"/>
  <c r="E1646" i="2"/>
  <c r="D1646" i="2"/>
  <c r="C1646" i="2"/>
  <c r="B1646" i="2"/>
  <c r="A1646" i="2"/>
  <c r="AX1645" i="2"/>
  <c r="AV1645" i="2"/>
  <c r="AU1645" i="2"/>
  <c r="AT1645" i="2"/>
  <c r="AS1645" i="2"/>
  <c r="AR1645" i="2"/>
  <c r="AQ1645" i="2"/>
  <c r="AP1645" i="2"/>
  <c r="AO1645" i="2"/>
  <c r="AM1645" i="2"/>
  <c r="AL1645" i="2"/>
  <c r="AK1645" i="2"/>
  <c r="AI1645" i="2"/>
  <c r="AH1645" i="2"/>
  <c r="AG1645" i="2"/>
  <c r="AE1645" i="2"/>
  <c r="AD1645" i="2"/>
  <c r="AC1645" i="2"/>
  <c r="AA1645" i="2"/>
  <c r="Z1645" i="2"/>
  <c r="Y1645" i="2"/>
  <c r="X1645" i="2"/>
  <c r="W1645" i="2"/>
  <c r="V1645" i="2"/>
  <c r="U1645" i="2"/>
  <c r="T1645" i="2"/>
  <c r="S1645" i="2"/>
  <c r="R1645" i="2"/>
  <c r="Q1645" i="2"/>
  <c r="P1645" i="2"/>
  <c r="O1645" i="2"/>
  <c r="N1645" i="2"/>
  <c r="K1645" i="2"/>
  <c r="J1645" i="2"/>
  <c r="I1645" i="2"/>
  <c r="H1645" i="2"/>
  <c r="G1645" i="2"/>
  <c r="F1645" i="2"/>
  <c r="E1645" i="2"/>
  <c r="D1645" i="2"/>
  <c r="C1645" i="2"/>
  <c r="B1645" i="2"/>
  <c r="A1645" i="2"/>
  <c r="AX1644" i="2"/>
  <c r="AV1644" i="2"/>
  <c r="AU1644" i="2"/>
  <c r="AS1644" i="2"/>
  <c r="AR1644" i="2"/>
  <c r="AQ1644" i="2"/>
  <c r="AO1644" i="2"/>
  <c r="AM1644" i="2"/>
  <c r="AL1644" i="2"/>
  <c r="AK1644" i="2"/>
  <c r="AJ1644" i="2"/>
  <c r="AI1644" i="2"/>
  <c r="AH1644" i="2"/>
  <c r="AG1644" i="2"/>
  <c r="AE1644" i="2"/>
  <c r="AD1644" i="2"/>
  <c r="AC1644" i="2"/>
  <c r="AA1644" i="2"/>
  <c r="Z1644" i="2"/>
  <c r="Y1644" i="2"/>
  <c r="X1644" i="2"/>
  <c r="W1644" i="2"/>
  <c r="V1644" i="2"/>
  <c r="U1644" i="2"/>
  <c r="T1644" i="2"/>
  <c r="S1644" i="2"/>
  <c r="R1644" i="2"/>
  <c r="Q1644" i="2"/>
  <c r="P1644" i="2"/>
  <c r="O1644" i="2"/>
  <c r="N1644" i="2"/>
  <c r="K1644" i="2"/>
  <c r="J1644" i="2"/>
  <c r="I1644" i="2"/>
  <c r="H1644" i="2"/>
  <c r="G1644" i="2"/>
  <c r="F1644" i="2"/>
  <c r="E1644" i="2"/>
  <c r="D1644" i="2"/>
  <c r="C1644" i="2"/>
  <c r="B1644" i="2"/>
  <c r="A1644" i="2"/>
  <c r="AX1643" i="2"/>
  <c r="AV1643" i="2"/>
  <c r="AU1643" i="2"/>
  <c r="AR1643" i="2"/>
  <c r="AO1643" i="2"/>
  <c r="AM1643" i="2"/>
  <c r="AL1643" i="2"/>
  <c r="AK1643" i="2"/>
  <c r="AJ1643" i="2"/>
  <c r="AI1643" i="2"/>
  <c r="AH1643" i="2"/>
  <c r="AG1643" i="2"/>
  <c r="AE1643" i="2"/>
  <c r="AD1643" i="2"/>
  <c r="AC1643" i="2"/>
  <c r="Z1643" i="2"/>
  <c r="Y1643" i="2"/>
  <c r="X1643" i="2"/>
  <c r="W1643" i="2"/>
  <c r="V1643" i="2"/>
  <c r="U1643" i="2"/>
  <c r="T1643" i="2"/>
  <c r="S1643" i="2"/>
  <c r="R1643" i="2"/>
  <c r="Q1643" i="2"/>
  <c r="P1643" i="2"/>
  <c r="O1643" i="2"/>
  <c r="N1643" i="2"/>
  <c r="M1643" i="2"/>
  <c r="L1643" i="2"/>
  <c r="K1643" i="2"/>
  <c r="J1643" i="2"/>
  <c r="I1643" i="2"/>
  <c r="H1643" i="2"/>
  <c r="G1643" i="2"/>
  <c r="F1643" i="2"/>
  <c r="E1643" i="2"/>
  <c r="D1643" i="2"/>
  <c r="C1643" i="2"/>
  <c r="B1643" i="2"/>
  <c r="A1643" i="2"/>
  <c r="AX1642" i="2"/>
  <c r="AV1642" i="2"/>
  <c r="AU1642" i="2"/>
  <c r="AT1642" i="2"/>
  <c r="AS1642" i="2"/>
  <c r="AR1642" i="2"/>
  <c r="AQ1642" i="2"/>
  <c r="AP1642" i="2"/>
  <c r="AO1642" i="2"/>
  <c r="AM1642" i="2"/>
  <c r="AL1642" i="2"/>
  <c r="AK1642" i="2"/>
  <c r="AJ1642" i="2"/>
  <c r="AI1642" i="2"/>
  <c r="AH1642" i="2"/>
  <c r="AG1642" i="2"/>
  <c r="AE1642" i="2"/>
  <c r="AD1642" i="2"/>
  <c r="AC1642" i="2"/>
  <c r="AA1642" i="2"/>
  <c r="Z1642" i="2"/>
  <c r="Y1642" i="2"/>
  <c r="X1642" i="2"/>
  <c r="W1642" i="2"/>
  <c r="V1642" i="2"/>
  <c r="U1642" i="2"/>
  <c r="T1642" i="2"/>
  <c r="S1642" i="2"/>
  <c r="R1642" i="2"/>
  <c r="Q1642" i="2"/>
  <c r="P1642" i="2"/>
  <c r="O1642" i="2"/>
  <c r="N1642" i="2"/>
  <c r="K1642" i="2"/>
  <c r="J1642" i="2"/>
  <c r="I1642" i="2"/>
  <c r="H1642" i="2"/>
  <c r="G1642" i="2"/>
  <c r="F1642" i="2"/>
  <c r="E1642" i="2"/>
  <c r="D1642" i="2"/>
  <c r="C1642" i="2"/>
  <c r="B1642" i="2"/>
  <c r="A1642" i="2"/>
  <c r="AX1641" i="2"/>
  <c r="AV1641" i="2"/>
  <c r="AU1641" i="2"/>
  <c r="AT1641" i="2"/>
  <c r="AS1641" i="2"/>
  <c r="AR1641" i="2"/>
  <c r="AQ1641" i="2"/>
  <c r="AP1641" i="2"/>
  <c r="AO1641" i="2"/>
  <c r="AM1641" i="2"/>
  <c r="AL1641" i="2"/>
  <c r="AI1641" i="2"/>
  <c r="AH1641" i="2"/>
  <c r="AG1641" i="2"/>
  <c r="AE1641" i="2"/>
  <c r="AD1641" i="2"/>
  <c r="AC1641" i="2"/>
  <c r="AA1641" i="2"/>
  <c r="Z1641" i="2"/>
  <c r="Y1641" i="2"/>
  <c r="X1641" i="2"/>
  <c r="W1641" i="2"/>
  <c r="V1641" i="2"/>
  <c r="U1641" i="2"/>
  <c r="T1641" i="2"/>
  <c r="S1641" i="2"/>
  <c r="R1641" i="2"/>
  <c r="Q1641" i="2"/>
  <c r="P1641" i="2"/>
  <c r="O1641" i="2"/>
  <c r="N1641" i="2"/>
  <c r="K1641" i="2"/>
  <c r="J1641" i="2"/>
  <c r="I1641" i="2"/>
  <c r="H1641" i="2"/>
  <c r="G1641" i="2"/>
  <c r="F1641" i="2"/>
  <c r="E1641" i="2"/>
  <c r="D1641" i="2"/>
  <c r="C1641" i="2"/>
  <c r="B1641" i="2"/>
  <c r="A1641" i="2"/>
  <c r="AX1640" i="2"/>
  <c r="AV1640" i="2"/>
  <c r="AU1640" i="2"/>
  <c r="AT1640" i="2"/>
  <c r="AS1640" i="2"/>
  <c r="AR1640" i="2"/>
  <c r="AQ1640" i="2"/>
  <c r="AP1640" i="2"/>
  <c r="AO1640" i="2"/>
  <c r="AM1640" i="2"/>
  <c r="AL1640" i="2"/>
  <c r="AK1640" i="2"/>
  <c r="AJ1640" i="2"/>
  <c r="AI1640" i="2"/>
  <c r="AH1640" i="2"/>
  <c r="AG1640" i="2"/>
  <c r="AE1640" i="2"/>
  <c r="AD1640" i="2"/>
  <c r="AC1640" i="2"/>
  <c r="AA1640" i="2"/>
  <c r="Z1640" i="2"/>
  <c r="Y1640" i="2"/>
  <c r="V1640" i="2"/>
  <c r="U1640" i="2"/>
  <c r="T1640" i="2"/>
  <c r="S1640" i="2"/>
  <c r="R1640" i="2"/>
  <c r="Q1640" i="2"/>
  <c r="P1640" i="2"/>
  <c r="O1640" i="2"/>
  <c r="N1640" i="2"/>
  <c r="K1640" i="2"/>
  <c r="J1640" i="2"/>
  <c r="I1640" i="2"/>
  <c r="H1640" i="2"/>
  <c r="G1640" i="2"/>
  <c r="F1640" i="2"/>
  <c r="E1640" i="2"/>
  <c r="D1640" i="2"/>
  <c r="C1640" i="2"/>
  <c r="B1640" i="2"/>
  <c r="A1640" i="2"/>
  <c r="AX1639" i="2"/>
  <c r="AV1639" i="2"/>
  <c r="AU1639" i="2"/>
  <c r="AT1639" i="2"/>
  <c r="AS1639" i="2"/>
  <c r="AR1639" i="2"/>
  <c r="AQ1639" i="2"/>
  <c r="AP1639" i="2"/>
  <c r="AO1639" i="2"/>
  <c r="AM1639" i="2"/>
  <c r="AK1639" i="2"/>
  <c r="AJ1639" i="2"/>
  <c r="AI1639" i="2"/>
  <c r="AH1639" i="2"/>
  <c r="AG1639" i="2"/>
  <c r="AD1639" i="2"/>
  <c r="AC1639" i="2"/>
  <c r="AA1639" i="2"/>
  <c r="Z1639" i="2"/>
  <c r="Y1639" i="2"/>
  <c r="X1639" i="2"/>
  <c r="W1639" i="2"/>
  <c r="V1639" i="2"/>
  <c r="U1639" i="2"/>
  <c r="T1639" i="2"/>
  <c r="S1639" i="2"/>
  <c r="R1639" i="2"/>
  <c r="Q1639" i="2"/>
  <c r="P1639" i="2"/>
  <c r="O1639" i="2"/>
  <c r="N1639" i="2"/>
  <c r="K1639" i="2"/>
  <c r="J1639" i="2"/>
  <c r="I1639" i="2"/>
  <c r="H1639" i="2"/>
  <c r="G1639" i="2"/>
  <c r="F1639" i="2"/>
  <c r="E1639" i="2"/>
  <c r="D1639" i="2"/>
  <c r="C1639" i="2"/>
  <c r="B1639" i="2"/>
  <c r="A1639" i="2"/>
  <c r="AX1638" i="2"/>
  <c r="AV1638" i="2"/>
  <c r="AU1638" i="2"/>
  <c r="AT1638" i="2"/>
  <c r="AS1638" i="2"/>
  <c r="AR1638" i="2"/>
  <c r="AO1638" i="2"/>
  <c r="AN1638" i="2"/>
  <c r="AM1638" i="2"/>
  <c r="AK1638" i="2"/>
  <c r="AJ1638" i="2"/>
  <c r="AI1638" i="2"/>
  <c r="AH1638" i="2"/>
  <c r="AG1638" i="2"/>
  <c r="AD1638" i="2"/>
  <c r="AC1638" i="2"/>
  <c r="Z1638" i="2"/>
  <c r="Y1638" i="2"/>
  <c r="X1638" i="2"/>
  <c r="W1638" i="2"/>
  <c r="V1638" i="2"/>
  <c r="U1638" i="2"/>
  <c r="T1638" i="2"/>
  <c r="S1638" i="2"/>
  <c r="R1638" i="2"/>
  <c r="Q1638" i="2"/>
  <c r="P1638" i="2"/>
  <c r="O1638" i="2"/>
  <c r="N1638" i="2"/>
  <c r="M1638" i="2"/>
  <c r="L1638" i="2"/>
  <c r="K1638" i="2"/>
  <c r="J1638" i="2"/>
  <c r="I1638" i="2"/>
  <c r="H1638" i="2"/>
  <c r="G1638" i="2"/>
  <c r="F1638" i="2"/>
  <c r="E1638" i="2"/>
  <c r="D1638" i="2"/>
  <c r="C1638" i="2"/>
  <c r="B1638" i="2"/>
  <c r="A1638" i="2"/>
  <c r="AX1637" i="2"/>
  <c r="AV1637" i="2"/>
  <c r="AU1637" i="2"/>
  <c r="AT1637" i="2"/>
  <c r="AS1637" i="2"/>
  <c r="AR1637" i="2"/>
  <c r="AQ1637" i="2"/>
  <c r="AP1637" i="2"/>
  <c r="AO1637" i="2"/>
  <c r="AM1637" i="2"/>
  <c r="AL1637" i="2"/>
  <c r="AK1637" i="2"/>
  <c r="AJ1637" i="2"/>
  <c r="AI1637" i="2"/>
  <c r="AH1637" i="2"/>
  <c r="AG1637" i="2"/>
  <c r="AE1637" i="2"/>
  <c r="AD1637" i="2"/>
  <c r="AC1637" i="2"/>
  <c r="AA1637" i="2"/>
  <c r="Z1637" i="2"/>
  <c r="Y1637" i="2"/>
  <c r="X1637" i="2"/>
  <c r="V1637" i="2"/>
  <c r="U1637" i="2"/>
  <c r="T1637" i="2"/>
  <c r="S1637" i="2"/>
  <c r="R1637" i="2"/>
  <c r="Q1637" i="2"/>
  <c r="P1637" i="2"/>
  <c r="O1637" i="2"/>
  <c r="N1637" i="2"/>
  <c r="K1637" i="2"/>
  <c r="J1637" i="2"/>
  <c r="I1637" i="2"/>
  <c r="H1637" i="2"/>
  <c r="G1637" i="2"/>
  <c r="F1637" i="2"/>
  <c r="E1637" i="2"/>
  <c r="D1637" i="2"/>
  <c r="C1637" i="2"/>
  <c r="B1637" i="2"/>
  <c r="A1637" i="2"/>
  <c r="AX1636" i="2"/>
  <c r="AV1636" i="2"/>
  <c r="AU1636" i="2"/>
  <c r="AR1636" i="2"/>
  <c r="AQ1636" i="2"/>
  <c r="AO1636" i="2"/>
  <c r="AM1636" i="2"/>
  <c r="AK1636" i="2"/>
  <c r="AJ1636" i="2"/>
  <c r="AI1636" i="2"/>
  <c r="AH1636" i="2"/>
  <c r="AG1636" i="2"/>
  <c r="AC1636" i="2"/>
  <c r="AA1636" i="2"/>
  <c r="Z1636" i="2"/>
  <c r="Y1636" i="2"/>
  <c r="V1636" i="2"/>
  <c r="U1636" i="2"/>
  <c r="T1636" i="2"/>
  <c r="S1636" i="2"/>
  <c r="R1636" i="2"/>
  <c r="Q1636" i="2"/>
  <c r="P1636" i="2"/>
  <c r="O1636" i="2"/>
  <c r="N1636" i="2"/>
  <c r="K1636" i="2"/>
  <c r="J1636" i="2"/>
  <c r="I1636" i="2"/>
  <c r="H1636" i="2"/>
  <c r="G1636" i="2"/>
  <c r="F1636" i="2"/>
  <c r="E1636" i="2"/>
  <c r="D1636" i="2"/>
  <c r="C1636" i="2"/>
  <c r="B1636" i="2"/>
  <c r="A1636" i="2"/>
  <c r="AX1635" i="2"/>
  <c r="AV1635" i="2"/>
  <c r="AU1635" i="2"/>
  <c r="AS1635" i="2"/>
  <c r="AR1635" i="2"/>
  <c r="AQ1635" i="2"/>
  <c r="AO1635" i="2"/>
  <c r="AM1635" i="2"/>
  <c r="AL1635" i="2"/>
  <c r="AK1635" i="2"/>
  <c r="AJ1635" i="2"/>
  <c r="AI1635" i="2"/>
  <c r="AH1635" i="2"/>
  <c r="AG1635" i="2"/>
  <c r="AF1635" i="2"/>
  <c r="AE1635" i="2"/>
  <c r="AD1635" i="2"/>
  <c r="AC1635" i="2"/>
  <c r="AA1635" i="2"/>
  <c r="Z1635" i="2"/>
  <c r="Y1635" i="2"/>
  <c r="X1635" i="2"/>
  <c r="W1635" i="2"/>
  <c r="V1635" i="2"/>
  <c r="U1635" i="2"/>
  <c r="T1635" i="2"/>
  <c r="S1635" i="2"/>
  <c r="R1635" i="2"/>
  <c r="Q1635" i="2"/>
  <c r="P1635" i="2"/>
  <c r="O1635" i="2"/>
  <c r="N1635" i="2"/>
  <c r="K1635" i="2"/>
  <c r="J1635" i="2"/>
  <c r="I1635" i="2"/>
  <c r="H1635" i="2"/>
  <c r="G1635" i="2"/>
  <c r="F1635" i="2"/>
  <c r="E1635" i="2"/>
  <c r="D1635" i="2"/>
  <c r="C1635" i="2"/>
  <c r="B1635" i="2"/>
  <c r="A1635" i="2"/>
  <c r="AX1634" i="2"/>
  <c r="AV1634" i="2"/>
  <c r="AU1634" i="2"/>
  <c r="AT1634" i="2"/>
  <c r="AS1634" i="2"/>
  <c r="AR1634" i="2"/>
  <c r="AQ1634" i="2"/>
  <c r="AO1634" i="2"/>
  <c r="AM1634" i="2"/>
  <c r="AL1634" i="2"/>
  <c r="AK1634" i="2"/>
  <c r="AI1634" i="2"/>
  <c r="AH1634" i="2"/>
  <c r="AG1634" i="2"/>
  <c r="AE1634" i="2"/>
  <c r="AD1634" i="2"/>
  <c r="AC1634" i="2"/>
  <c r="AA1634" i="2"/>
  <c r="Z1634" i="2"/>
  <c r="Y1634" i="2"/>
  <c r="X1634" i="2"/>
  <c r="W1634" i="2"/>
  <c r="V1634" i="2"/>
  <c r="U1634" i="2"/>
  <c r="T1634" i="2"/>
  <c r="S1634" i="2"/>
  <c r="R1634" i="2"/>
  <c r="Q1634" i="2"/>
  <c r="P1634" i="2"/>
  <c r="O1634" i="2"/>
  <c r="N1634" i="2"/>
  <c r="K1634" i="2"/>
  <c r="J1634" i="2"/>
  <c r="I1634" i="2"/>
  <c r="H1634" i="2"/>
  <c r="G1634" i="2"/>
  <c r="F1634" i="2"/>
  <c r="E1634" i="2"/>
  <c r="D1634" i="2"/>
  <c r="C1634" i="2"/>
  <c r="B1634" i="2"/>
  <c r="A1634" i="2"/>
  <c r="AX1633" i="2"/>
  <c r="AV1633" i="2"/>
  <c r="AU1633" i="2"/>
  <c r="AT1633" i="2"/>
  <c r="AS1633" i="2"/>
  <c r="AR1633" i="2"/>
  <c r="AO1633" i="2"/>
  <c r="AN1633" i="2"/>
  <c r="AM1633" i="2"/>
  <c r="AK1633" i="2"/>
  <c r="AJ1633" i="2"/>
  <c r="AI1633" i="2"/>
  <c r="AH1633" i="2"/>
  <c r="AG1633" i="2"/>
  <c r="AF1633" i="2"/>
  <c r="AE1633" i="2"/>
  <c r="AD1633" i="2"/>
  <c r="AC1633" i="2"/>
  <c r="AB1633" i="2"/>
  <c r="AA1633" i="2"/>
  <c r="Z1633" i="2"/>
  <c r="Y1633" i="2"/>
  <c r="X1633" i="2"/>
  <c r="W1633" i="2"/>
  <c r="V1633" i="2"/>
  <c r="U1633" i="2"/>
  <c r="T1633" i="2"/>
  <c r="S1633" i="2"/>
  <c r="R1633" i="2"/>
  <c r="Q1633" i="2"/>
  <c r="P1633" i="2"/>
  <c r="O1633" i="2"/>
  <c r="N1633" i="2"/>
  <c r="M1633" i="2"/>
  <c r="L1633" i="2"/>
  <c r="K1633" i="2"/>
  <c r="J1633" i="2"/>
  <c r="I1633" i="2"/>
  <c r="H1633" i="2"/>
  <c r="G1633" i="2"/>
  <c r="F1633" i="2"/>
  <c r="E1633" i="2"/>
  <c r="D1633" i="2"/>
  <c r="C1633" i="2"/>
  <c r="B1633" i="2"/>
  <c r="A1633" i="2"/>
  <c r="AX1632" i="2"/>
  <c r="AV1632" i="2"/>
  <c r="AU1632" i="2"/>
  <c r="AT1632" i="2"/>
  <c r="AS1632" i="2"/>
  <c r="AR1632" i="2"/>
  <c r="AQ1632" i="2"/>
  <c r="AO1632" i="2"/>
  <c r="AM1632" i="2"/>
  <c r="AL1632" i="2"/>
  <c r="AK1632" i="2"/>
  <c r="AI1632" i="2"/>
  <c r="AH1632" i="2"/>
  <c r="AG1632" i="2"/>
  <c r="AE1632" i="2"/>
  <c r="AD1632" i="2"/>
  <c r="AC1632" i="2"/>
  <c r="AA1632" i="2"/>
  <c r="Z1632" i="2"/>
  <c r="Y1632" i="2"/>
  <c r="X1632" i="2"/>
  <c r="W1632" i="2"/>
  <c r="V1632" i="2"/>
  <c r="U1632" i="2"/>
  <c r="T1632" i="2"/>
  <c r="S1632" i="2"/>
  <c r="R1632" i="2"/>
  <c r="Q1632" i="2"/>
  <c r="P1632" i="2"/>
  <c r="O1632" i="2"/>
  <c r="N1632" i="2"/>
  <c r="K1632" i="2"/>
  <c r="J1632" i="2"/>
  <c r="I1632" i="2"/>
  <c r="H1632" i="2"/>
  <c r="G1632" i="2"/>
  <c r="F1632" i="2"/>
  <c r="E1632" i="2"/>
  <c r="D1632" i="2"/>
  <c r="C1632" i="2"/>
  <c r="B1632" i="2"/>
  <c r="A1632" i="2"/>
  <c r="AX1631" i="2"/>
  <c r="AV1631" i="2"/>
  <c r="AU1631" i="2"/>
  <c r="AT1631" i="2"/>
  <c r="AR1631" i="2"/>
  <c r="AQ1631" i="2"/>
  <c r="AP1631" i="2"/>
  <c r="AN1631" i="2"/>
  <c r="AM1631" i="2"/>
  <c r="AK1631" i="2"/>
  <c r="AI1631" i="2"/>
  <c r="AH1631" i="2"/>
  <c r="AG1631" i="2"/>
  <c r="AD1631" i="2"/>
  <c r="AC1631" i="2"/>
  <c r="AA1631" i="2"/>
  <c r="Z1631" i="2"/>
  <c r="Y1631" i="2"/>
  <c r="X1631" i="2"/>
  <c r="W1631" i="2"/>
  <c r="V1631" i="2"/>
  <c r="U1631" i="2"/>
  <c r="T1631" i="2"/>
  <c r="S1631" i="2"/>
  <c r="R1631" i="2"/>
  <c r="Q1631" i="2"/>
  <c r="P1631" i="2"/>
  <c r="O1631" i="2"/>
  <c r="N1631" i="2"/>
  <c r="M1631" i="2"/>
  <c r="L1631" i="2"/>
  <c r="K1631" i="2"/>
  <c r="J1631" i="2"/>
  <c r="I1631" i="2"/>
  <c r="H1631" i="2"/>
  <c r="G1631" i="2"/>
  <c r="F1631" i="2"/>
  <c r="E1631" i="2"/>
  <c r="D1631" i="2"/>
  <c r="C1631" i="2"/>
  <c r="B1631" i="2"/>
  <c r="A1631" i="2"/>
  <c r="AX1630" i="2"/>
  <c r="AV1630" i="2"/>
  <c r="AU1630" i="2"/>
  <c r="AR1630" i="2"/>
  <c r="AQ1630" i="2"/>
  <c r="AO1630" i="2"/>
  <c r="AM1630" i="2"/>
  <c r="AL1630" i="2"/>
  <c r="AJ1630" i="2"/>
  <c r="AI1630" i="2"/>
  <c r="AH1630" i="2"/>
  <c r="AG1630" i="2"/>
  <c r="AF1630" i="2"/>
  <c r="AE1630" i="2"/>
  <c r="AD1630" i="2"/>
  <c r="AC1630" i="2"/>
  <c r="AA1630" i="2"/>
  <c r="Z1630" i="2"/>
  <c r="Y1630" i="2"/>
  <c r="X1630" i="2"/>
  <c r="W1630" i="2"/>
  <c r="V1630" i="2"/>
  <c r="U1630" i="2"/>
  <c r="T1630" i="2"/>
  <c r="S1630" i="2"/>
  <c r="R1630" i="2"/>
  <c r="Q1630" i="2"/>
  <c r="P1630" i="2"/>
  <c r="O1630" i="2"/>
  <c r="N1630" i="2"/>
  <c r="K1630" i="2"/>
  <c r="J1630" i="2"/>
  <c r="I1630" i="2"/>
  <c r="H1630" i="2"/>
  <c r="G1630" i="2"/>
  <c r="F1630" i="2"/>
  <c r="E1630" i="2"/>
  <c r="D1630" i="2"/>
  <c r="C1630" i="2"/>
  <c r="B1630" i="2"/>
  <c r="A1630" i="2"/>
  <c r="AX1629" i="2"/>
  <c r="AV1629" i="2"/>
  <c r="AU1629" i="2"/>
  <c r="AS1629" i="2"/>
  <c r="AR1629" i="2"/>
  <c r="AQ1629" i="2"/>
  <c r="AP1629" i="2"/>
  <c r="AO1629" i="2"/>
  <c r="AM1629" i="2"/>
  <c r="AL1629" i="2"/>
  <c r="AK1629" i="2"/>
  <c r="AJ1629" i="2"/>
  <c r="AI1629" i="2"/>
  <c r="AH1629" i="2"/>
  <c r="AG1629" i="2"/>
  <c r="AE1629" i="2"/>
  <c r="AD1629" i="2"/>
  <c r="AC1629" i="2"/>
  <c r="AA1629" i="2"/>
  <c r="Z1629" i="2"/>
  <c r="Y1629" i="2"/>
  <c r="X1629" i="2"/>
  <c r="W1629" i="2"/>
  <c r="V1629" i="2"/>
  <c r="U1629" i="2"/>
  <c r="T1629" i="2"/>
  <c r="S1629" i="2"/>
  <c r="R1629" i="2"/>
  <c r="Q1629" i="2"/>
  <c r="P1629" i="2"/>
  <c r="O1629" i="2"/>
  <c r="N1629" i="2"/>
  <c r="K1629" i="2"/>
  <c r="J1629" i="2"/>
  <c r="I1629" i="2"/>
  <c r="H1629" i="2"/>
  <c r="G1629" i="2"/>
  <c r="F1629" i="2"/>
  <c r="E1629" i="2"/>
  <c r="D1629" i="2"/>
  <c r="C1629" i="2"/>
  <c r="B1629" i="2"/>
  <c r="A1629" i="2"/>
  <c r="AX1628" i="2"/>
  <c r="AV1628" i="2"/>
  <c r="AU1628" i="2"/>
  <c r="AT1628" i="2"/>
  <c r="AS1628" i="2"/>
  <c r="AR1628" i="2"/>
  <c r="AQ1628" i="2"/>
  <c r="AP1628" i="2"/>
  <c r="AO1628" i="2"/>
  <c r="AM1628" i="2"/>
  <c r="AL1628" i="2"/>
  <c r="AK1628" i="2"/>
  <c r="AJ1628" i="2"/>
  <c r="AI1628" i="2"/>
  <c r="AH1628" i="2"/>
  <c r="AG1628" i="2"/>
  <c r="AE1628" i="2"/>
  <c r="AD1628" i="2"/>
  <c r="AC1628" i="2"/>
  <c r="AA1628" i="2"/>
  <c r="Z1628" i="2"/>
  <c r="Y1628" i="2"/>
  <c r="X1628" i="2"/>
  <c r="W1628" i="2"/>
  <c r="V1628" i="2"/>
  <c r="U1628" i="2"/>
  <c r="T1628" i="2"/>
  <c r="S1628" i="2"/>
  <c r="R1628" i="2"/>
  <c r="Q1628" i="2"/>
  <c r="P1628" i="2"/>
  <c r="O1628" i="2"/>
  <c r="N1628" i="2"/>
  <c r="K1628" i="2"/>
  <c r="J1628" i="2"/>
  <c r="I1628" i="2"/>
  <c r="H1628" i="2"/>
  <c r="G1628" i="2"/>
  <c r="F1628" i="2"/>
  <c r="E1628" i="2"/>
  <c r="D1628" i="2"/>
  <c r="C1628" i="2"/>
  <c r="B1628" i="2"/>
  <c r="A1628" i="2"/>
  <c r="AX1627" i="2"/>
  <c r="AW1627" i="2"/>
  <c r="AV1627" i="2"/>
  <c r="AU1627" i="2"/>
  <c r="AT1627" i="2"/>
  <c r="AS1627" i="2"/>
  <c r="AR1627" i="2"/>
  <c r="AQ1627" i="2"/>
  <c r="AP1627" i="2"/>
  <c r="AO1627" i="2"/>
  <c r="AN1627" i="2"/>
  <c r="AM1627" i="2"/>
  <c r="AL1627" i="2"/>
  <c r="AK1627" i="2"/>
  <c r="AJ1627" i="2"/>
  <c r="AI1627" i="2"/>
  <c r="AH1627" i="2"/>
  <c r="AG1627" i="2"/>
  <c r="AF1627" i="2"/>
  <c r="AE1627" i="2"/>
  <c r="AC1627" i="2"/>
  <c r="AA1627" i="2"/>
  <c r="Z1627" i="2"/>
  <c r="Y1627" i="2"/>
  <c r="X1627" i="2"/>
  <c r="W1627" i="2"/>
  <c r="V1627" i="2"/>
  <c r="U1627" i="2"/>
  <c r="T1627" i="2"/>
  <c r="S1627" i="2"/>
  <c r="R1627" i="2"/>
  <c r="Q1627" i="2"/>
  <c r="P1627" i="2"/>
  <c r="O1627" i="2"/>
  <c r="N1627" i="2"/>
  <c r="M1627" i="2"/>
  <c r="L1627" i="2"/>
  <c r="K1627" i="2"/>
  <c r="J1627" i="2"/>
  <c r="I1627" i="2"/>
  <c r="H1627" i="2"/>
  <c r="G1627" i="2"/>
  <c r="F1627" i="2"/>
  <c r="E1627" i="2"/>
  <c r="D1627" i="2"/>
  <c r="C1627" i="2"/>
  <c r="B1627" i="2"/>
  <c r="A1627" i="2"/>
  <c r="AX1626" i="2"/>
  <c r="AV1626" i="2"/>
  <c r="AU1626" i="2"/>
  <c r="AS1626" i="2"/>
  <c r="AR1626" i="2"/>
  <c r="AQ1626" i="2"/>
  <c r="AO1626" i="2"/>
  <c r="AM1626" i="2"/>
  <c r="AK1626" i="2"/>
  <c r="AJ1626" i="2"/>
  <c r="AI1626" i="2"/>
  <c r="AH1626" i="2"/>
  <c r="AG1626" i="2"/>
  <c r="AE1626" i="2"/>
  <c r="AD1626" i="2"/>
  <c r="AC1626" i="2"/>
  <c r="AA1626" i="2"/>
  <c r="Z1626" i="2"/>
  <c r="Y1626" i="2"/>
  <c r="X1626" i="2"/>
  <c r="W1626" i="2"/>
  <c r="V1626" i="2"/>
  <c r="U1626" i="2"/>
  <c r="T1626" i="2"/>
  <c r="S1626" i="2"/>
  <c r="R1626" i="2"/>
  <c r="Q1626" i="2"/>
  <c r="P1626" i="2"/>
  <c r="O1626" i="2"/>
  <c r="N1626" i="2"/>
  <c r="K1626" i="2"/>
  <c r="J1626" i="2"/>
  <c r="I1626" i="2"/>
  <c r="H1626" i="2"/>
  <c r="G1626" i="2"/>
  <c r="F1626" i="2"/>
  <c r="E1626" i="2"/>
  <c r="D1626" i="2"/>
  <c r="C1626" i="2"/>
  <c r="B1626" i="2"/>
  <c r="A1626" i="2"/>
  <c r="AX1625" i="2"/>
  <c r="AV1625" i="2"/>
  <c r="AU1625" i="2"/>
  <c r="AT1625" i="2"/>
  <c r="AS1625" i="2"/>
  <c r="AR1625" i="2"/>
  <c r="AQ1625" i="2"/>
  <c r="AP1625" i="2"/>
  <c r="AO1625" i="2"/>
  <c r="AM1625" i="2"/>
  <c r="AL1625" i="2"/>
  <c r="AK1625" i="2"/>
  <c r="AJ1625" i="2"/>
  <c r="AI1625" i="2"/>
  <c r="AH1625" i="2"/>
  <c r="AG1625" i="2"/>
  <c r="AF1625" i="2"/>
  <c r="AE1625" i="2"/>
  <c r="AD1625" i="2"/>
  <c r="AC1625" i="2"/>
  <c r="AA1625" i="2"/>
  <c r="Z1625" i="2"/>
  <c r="Y1625" i="2"/>
  <c r="X1625" i="2"/>
  <c r="W1625" i="2"/>
  <c r="V1625" i="2"/>
  <c r="U1625" i="2"/>
  <c r="T1625" i="2"/>
  <c r="S1625" i="2"/>
  <c r="R1625" i="2"/>
  <c r="Q1625" i="2"/>
  <c r="P1625" i="2"/>
  <c r="O1625" i="2"/>
  <c r="N1625" i="2"/>
  <c r="K1625" i="2"/>
  <c r="J1625" i="2"/>
  <c r="I1625" i="2"/>
  <c r="H1625" i="2"/>
  <c r="G1625" i="2"/>
  <c r="F1625" i="2"/>
  <c r="E1625" i="2"/>
  <c r="D1625" i="2"/>
  <c r="C1625" i="2"/>
  <c r="B1625" i="2"/>
  <c r="A1625" i="2"/>
  <c r="AX1624" i="2"/>
  <c r="AV1624" i="2"/>
  <c r="AU1624" i="2"/>
  <c r="AT1624" i="2"/>
  <c r="AS1624" i="2"/>
  <c r="AR1624" i="2"/>
  <c r="AQ1624" i="2"/>
  <c r="AP1624" i="2"/>
  <c r="AN1624" i="2"/>
  <c r="AM1624" i="2"/>
  <c r="AL1624" i="2"/>
  <c r="AK1624" i="2"/>
  <c r="AI1624" i="2"/>
  <c r="AH1624" i="2"/>
  <c r="AG1624" i="2"/>
  <c r="AE1624" i="2"/>
  <c r="AC1624" i="2"/>
  <c r="AA1624" i="2"/>
  <c r="Z1624" i="2"/>
  <c r="Y1624" i="2"/>
  <c r="X1624" i="2"/>
  <c r="W1624" i="2"/>
  <c r="V1624" i="2"/>
  <c r="U1624" i="2"/>
  <c r="T1624" i="2"/>
  <c r="S1624" i="2"/>
  <c r="R1624" i="2"/>
  <c r="Q1624" i="2"/>
  <c r="P1624" i="2"/>
  <c r="O1624" i="2"/>
  <c r="N1624" i="2"/>
  <c r="K1624" i="2"/>
  <c r="J1624" i="2"/>
  <c r="I1624" i="2"/>
  <c r="H1624" i="2"/>
  <c r="G1624" i="2"/>
  <c r="F1624" i="2"/>
  <c r="E1624" i="2"/>
  <c r="D1624" i="2"/>
  <c r="C1624" i="2"/>
  <c r="B1624" i="2"/>
  <c r="A1624" i="2"/>
  <c r="AX1623" i="2"/>
  <c r="AV1623" i="2"/>
  <c r="AU1623" i="2"/>
  <c r="AR1623" i="2"/>
  <c r="AO1623" i="2"/>
  <c r="AM1623" i="2"/>
  <c r="AL1623" i="2"/>
  <c r="AK1623" i="2"/>
  <c r="AJ1623" i="2"/>
  <c r="AI1623" i="2"/>
  <c r="AH1623" i="2"/>
  <c r="AG1623" i="2"/>
  <c r="AF1623" i="2"/>
  <c r="AE1623" i="2"/>
  <c r="AD1623" i="2"/>
  <c r="AC1623" i="2"/>
  <c r="AA1623" i="2"/>
  <c r="Z1623" i="2"/>
  <c r="Y1623" i="2"/>
  <c r="X1623" i="2"/>
  <c r="W1623" i="2"/>
  <c r="V1623" i="2"/>
  <c r="U1623" i="2"/>
  <c r="T1623" i="2"/>
  <c r="S1623" i="2"/>
  <c r="R1623" i="2"/>
  <c r="Q1623" i="2"/>
  <c r="P1623" i="2"/>
  <c r="O1623" i="2"/>
  <c r="N1623" i="2"/>
  <c r="M1623" i="2"/>
  <c r="L1623" i="2"/>
  <c r="K1623" i="2"/>
  <c r="J1623" i="2"/>
  <c r="I1623" i="2"/>
  <c r="H1623" i="2"/>
  <c r="G1623" i="2"/>
  <c r="F1623" i="2"/>
  <c r="E1623" i="2"/>
  <c r="D1623" i="2"/>
  <c r="C1623" i="2"/>
  <c r="B1623" i="2"/>
  <c r="A1623" i="2"/>
  <c r="AX1622" i="2"/>
  <c r="AV1622" i="2"/>
  <c r="AU1622" i="2"/>
  <c r="AR1622" i="2"/>
  <c r="AQ1622" i="2"/>
  <c r="AO1622" i="2"/>
  <c r="AM1622" i="2"/>
  <c r="AL1622" i="2"/>
  <c r="AK1622" i="2"/>
  <c r="AJ1622" i="2"/>
  <c r="AI1622" i="2"/>
  <c r="AH1622" i="2"/>
  <c r="AG1622" i="2"/>
  <c r="AC1622" i="2"/>
  <c r="AA1622" i="2"/>
  <c r="Z1622" i="2"/>
  <c r="Y1622" i="2"/>
  <c r="X1622" i="2"/>
  <c r="W1622" i="2"/>
  <c r="V1622" i="2"/>
  <c r="U1622" i="2"/>
  <c r="T1622" i="2"/>
  <c r="S1622" i="2"/>
  <c r="R1622" i="2"/>
  <c r="Q1622" i="2"/>
  <c r="P1622" i="2"/>
  <c r="O1622" i="2"/>
  <c r="N1622" i="2"/>
  <c r="K1622" i="2"/>
  <c r="J1622" i="2"/>
  <c r="I1622" i="2"/>
  <c r="H1622" i="2"/>
  <c r="G1622" i="2"/>
  <c r="F1622" i="2"/>
  <c r="E1622" i="2"/>
  <c r="D1622" i="2"/>
  <c r="C1622" i="2"/>
  <c r="B1622" i="2"/>
  <c r="A1622" i="2"/>
  <c r="AX1621" i="2"/>
  <c r="AV1621" i="2"/>
  <c r="AU1621" i="2"/>
  <c r="AT1621" i="2"/>
  <c r="AR1621" i="2"/>
  <c r="AQ1621" i="2"/>
  <c r="AP1621" i="2"/>
  <c r="AO1621" i="2"/>
  <c r="AM1621" i="2"/>
  <c r="AK1621" i="2"/>
  <c r="AJ1621" i="2"/>
  <c r="AI1621" i="2"/>
  <c r="AH1621" i="2"/>
  <c r="AG1621" i="2"/>
  <c r="AC1621" i="2"/>
  <c r="AA1621" i="2"/>
  <c r="Z1621" i="2"/>
  <c r="Y1621" i="2"/>
  <c r="X1621" i="2"/>
  <c r="W1621" i="2"/>
  <c r="V1621" i="2"/>
  <c r="U1621" i="2"/>
  <c r="T1621" i="2"/>
  <c r="S1621" i="2"/>
  <c r="R1621" i="2"/>
  <c r="Q1621" i="2"/>
  <c r="P1621" i="2"/>
  <c r="O1621" i="2"/>
  <c r="N1621" i="2"/>
  <c r="K1621" i="2"/>
  <c r="J1621" i="2"/>
  <c r="I1621" i="2"/>
  <c r="H1621" i="2"/>
  <c r="G1621" i="2"/>
  <c r="F1621" i="2"/>
  <c r="E1621" i="2"/>
  <c r="D1621" i="2"/>
  <c r="C1621" i="2"/>
  <c r="B1621" i="2"/>
  <c r="A1621" i="2"/>
  <c r="AX1620" i="2"/>
  <c r="AV1620" i="2"/>
  <c r="AU1620" i="2"/>
  <c r="AT1620" i="2"/>
  <c r="AR1620" i="2"/>
  <c r="AQ1620" i="2"/>
  <c r="AP1620" i="2"/>
  <c r="AO1620" i="2"/>
  <c r="AM1620" i="2"/>
  <c r="AL1620" i="2"/>
  <c r="AK1620" i="2"/>
  <c r="AJ1620" i="2"/>
  <c r="AI1620" i="2"/>
  <c r="AH1620" i="2"/>
  <c r="AG1620" i="2"/>
  <c r="AE1620" i="2"/>
  <c r="AD1620" i="2"/>
  <c r="AC1620" i="2"/>
  <c r="AA1620" i="2"/>
  <c r="Z1620" i="2"/>
  <c r="Y1620" i="2"/>
  <c r="X1620" i="2"/>
  <c r="W1620" i="2"/>
  <c r="V1620" i="2"/>
  <c r="U1620" i="2"/>
  <c r="T1620" i="2"/>
  <c r="S1620" i="2"/>
  <c r="R1620" i="2"/>
  <c r="Q1620" i="2"/>
  <c r="P1620" i="2"/>
  <c r="O1620" i="2"/>
  <c r="N1620" i="2"/>
  <c r="K1620" i="2"/>
  <c r="J1620" i="2"/>
  <c r="I1620" i="2"/>
  <c r="H1620" i="2"/>
  <c r="G1620" i="2"/>
  <c r="F1620" i="2"/>
  <c r="E1620" i="2"/>
  <c r="D1620" i="2"/>
  <c r="C1620" i="2"/>
  <c r="B1620" i="2"/>
  <c r="A1620" i="2"/>
  <c r="AX1619" i="2"/>
  <c r="AV1619" i="2"/>
  <c r="AU1619" i="2"/>
  <c r="AT1619" i="2"/>
  <c r="AS1619" i="2"/>
  <c r="AR1619" i="2"/>
  <c r="AQ1619" i="2"/>
  <c r="AP1619" i="2"/>
  <c r="AO1619" i="2"/>
  <c r="AM1619" i="2"/>
  <c r="AL1619" i="2"/>
  <c r="AK1619" i="2"/>
  <c r="AJ1619" i="2"/>
  <c r="AI1619" i="2"/>
  <c r="AH1619" i="2"/>
  <c r="AG1619" i="2"/>
  <c r="AC1619" i="2"/>
  <c r="AA1619" i="2"/>
  <c r="Z1619" i="2"/>
  <c r="Y1619" i="2"/>
  <c r="X1619" i="2"/>
  <c r="W1619" i="2"/>
  <c r="V1619" i="2"/>
  <c r="U1619" i="2"/>
  <c r="T1619" i="2"/>
  <c r="S1619" i="2"/>
  <c r="R1619" i="2"/>
  <c r="Q1619" i="2"/>
  <c r="P1619" i="2"/>
  <c r="O1619" i="2"/>
  <c r="N1619" i="2"/>
  <c r="K1619" i="2"/>
  <c r="J1619" i="2"/>
  <c r="I1619" i="2"/>
  <c r="H1619" i="2"/>
  <c r="G1619" i="2"/>
  <c r="F1619" i="2"/>
  <c r="E1619" i="2"/>
  <c r="D1619" i="2"/>
  <c r="C1619" i="2"/>
  <c r="B1619" i="2"/>
  <c r="A1619" i="2"/>
  <c r="AX1618" i="2"/>
  <c r="AV1618" i="2"/>
  <c r="AU1618" i="2"/>
  <c r="AT1618" i="2"/>
  <c r="AR1618" i="2"/>
  <c r="AQ1618" i="2"/>
  <c r="AO1618" i="2"/>
  <c r="AM1618" i="2"/>
  <c r="AL1618" i="2"/>
  <c r="AK1618" i="2"/>
  <c r="AJ1618" i="2"/>
  <c r="AI1618" i="2"/>
  <c r="AH1618" i="2"/>
  <c r="AG1618" i="2"/>
  <c r="AF1618" i="2"/>
  <c r="AE1618" i="2"/>
  <c r="AD1618" i="2"/>
  <c r="AC1618" i="2"/>
  <c r="AA1618" i="2"/>
  <c r="Z1618" i="2"/>
  <c r="Y1618" i="2"/>
  <c r="X1618" i="2"/>
  <c r="W1618" i="2"/>
  <c r="V1618" i="2"/>
  <c r="U1618" i="2"/>
  <c r="T1618" i="2"/>
  <c r="S1618" i="2"/>
  <c r="R1618" i="2"/>
  <c r="Q1618" i="2"/>
  <c r="P1618" i="2"/>
  <c r="O1618" i="2"/>
  <c r="N1618" i="2"/>
  <c r="M1618" i="2"/>
  <c r="K1618" i="2"/>
  <c r="J1618" i="2"/>
  <c r="I1618" i="2"/>
  <c r="H1618" i="2"/>
  <c r="G1618" i="2"/>
  <c r="F1618" i="2"/>
  <c r="E1618" i="2"/>
  <c r="D1618" i="2"/>
  <c r="C1618" i="2"/>
  <c r="B1618" i="2"/>
  <c r="A1618" i="2"/>
  <c r="AX1617" i="2"/>
  <c r="AV1617" i="2"/>
  <c r="AU1617" i="2"/>
  <c r="AT1617" i="2"/>
  <c r="AS1617" i="2"/>
  <c r="AR1617" i="2"/>
  <c r="AQ1617" i="2"/>
  <c r="AP1617" i="2"/>
  <c r="AM1617" i="2"/>
  <c r="AL1617" i="2"/>
  <c r="AJ1617" i="2"/>
  <c r="AI1617" i="2"/>
  <c r="AH1617" i="2"/>
  <c r="AG1617" i="2"/>
  <c r="AE1617" i="2"/>
  <c r="AC1617" i="2"/>
  <c r="AA1617" i="2"/>
  <c r="Z1617" i="2"/>
  <c r="Y1617" i="2"/>
  <c r="X1617" i="2"/>
  <c r="W1617" i="2"/>
  <c r="V1617" i="2"/>
  <c r="U1617" i="2"/>
  <c r="T1617" i="2"/>
  <c r="S1617" i="2"/>
  <c r="R1617" i="2"/>
  <c r="Q1617" i="2"/>
  <c r="P1617" i="2"/>
  <c r="O1617" i="2"/>
  <c r="N1617" i="2"/>
  <c r="K1617" i="2"/>
  <c r="J1617" i="2"/>
  <c r="I1617" i="2"/>
  <c r="H1617" i="2"/>
  <c r="G1617" i="2"/>
  <c r="F1617" i="2"/>
  <c r="E1617" i="2"/>
  <c r="D1617" i="2"/>
  <c r="C1617" i="2"/>
  <c r="B1617" i="2"/>
  <c r="A1617" i="2"/>
  <c r="AX1616" i="2"/>
  <c r="AV1616" i="2"/>
  <c r="AU1616" i="2"/>
  <c r="AS1616" i="2"/>
  <c r="AR1616" i="2"/>
  <c r="AQ1616" i="2"/>
  <c r="AO1616" i="2"/>
  <c r="AM1616" i="2"/>
  <c r="AL1616" i="2"/>
  <c r="AK1616" i="2"/>
  <c r="AJ1616" i="2"/>
  <c r="AI1616" i="2"/>
  <c r="AH1616" i="2"/>
  <c r="AG1616" i="2"/>
  <c r="AC1616" i="2"/>
  <c r="AA1616" i="2"/>
  <c r="Z1616" i="2"/>
  <c r="Y1616" i="2"/>
  <c r="X1616" i="2"/>
  <c r="W1616" i="2"/>
  <c r="V1616" i="2"/>
  <c r="U1616" i="2"/>
  <c r="T1616" i="2"/>
  <c r="S1616" i="2"/>
  <c r="R1616" i="2"/>
  <c r="Q1616" i="2"/>
  <c r="P1616" i="2"/>
  <c r="O1616" i="2"/>
  <c r="N1616" i="2"/>
  <c r="K1616" i="2"/>
  <c r="J1616" i="2"/>
  <c r="I1616" i="2"/>
  <c r="H1616" i="2"/>
  <c r="G1616" i="2"/>
  <c r="F1616" i="2"/>
  <c r="E1616" i="2"/>
  <c r="D1616" i="2"/>
  <c r="C1616" i="2"/>
  <c r="B1616" i="2"/>
  <c r="A1616" i="2"/>
  <c r="AX1615" i="2"/>
  <c r="AV1615" i="2"/>
  <c r="AU1615" i="2"/>
  <c r="AR1615" i="2"/>
  <c r="AQ1615" i="2"/>
  <c r="AO1615" i="2"/>
  <c r="AM1615" i="2"/>
  <c r="AL1615" i="2"/>
  <c r="AK1615" i="2"/>
  <c r="AJ1615" i="2"/>
  <c r="AI1615" i="2"/>
  <c r="AH1615" i="2"/>
  <c r="AG1615" i="2"/>
  <c r="AF1615" i="2"/>
  <c r="AE1615" i="2"/>
  <c r="AD1615" i="2"/>
  <c r="AC1615" i="2"/>
  <c r="AA1615" i="2"/>
  <c r="Z1615" i="2"/>
  <c r="Y1615" i="2"/>
  <c r="X1615" i="2"/>
  <c r="W1615" i="2"/>
  <c r="V1615" i="2"/>
  <c r="U1615" i="2"/>
  <c r="T1615" i="2"/>
  <c r="S1615" i="2"/>
  <c r="R1615" i="2"/>
  <c r="Q1615" i="2"/>
  <c r="P1615" i="2"/>
  <c r="O1615" i="2"/>
  <c r="N1615" i="2"/>
  <c r="K1615" i="2"/>
  <c r="J1615" i="2"/>
  <c r="I1615" i="2"/>
  <c r="H1615" i="2"/>
  <c r="G1615" i="2"/>
  <c r="F1615" i="2"/>
  <c r="E1615" i="2"/>
  <c r="D1615" i="2"/>
  <c r="C1615" i="2"/>
  <c r="B1615" i="2"/>
  <c r="A1615" i="2"/>
  <c r="AX1614" i="2"/>
  <c r="AV1614" i="2"/>
  <c r="AU1614" i="2"/>
  <c r="AT1614" i="2"/>
  <c r="AS1614" i="2"/>
  <c r="AR1614" i="2"/>
  <c r="AQ1614" i="2"/>
  <c r="AP1614" i="2"/>
  <c r="AO1614" i="2"/>
  <c r="AM1614" i="2"/>
  <c r="AL1614" i="2"/>
  <c r="AK1614" i="2"/>
  <c r="AJ1614" i="2"/>
  <c r="AI1614" i="2"/>
  <c r="AH1614" i="2"/>
  <c r="AG1614" i="2"/>
  <c r="AE1614" i="2"/>
  <c r="AD1614" i="2"/>
  <c r="AC1614" i="2"/>
  <c r="AA1614" i="2"/>
  <c r="Z1614" i="2"/>
  <c r="Y1614" i="2"/>
  <c r="X1614" i="2"/>
  <c r="W1614" i="2"/>
  <c r="V1614" i="2"/>
  <c r="U1614" i="2"/>
  <c r="T1614" i="2"/>
  <c r="S1614" i="2"/>
  <c r="R1614" i="2"/>
  <c r="Q1614" i="2"/>
  <c r="P1614" i="2"/>
  <c r="O1614" i="2"/>
  <c r="N1614" i="2"/>
  <c r="K1614" i="2"/>
  <c r="J1614" i="2"/>
  <c r="I1614" i="2"/>
  <c r="H1614" i="2"/>
  <c r="G1614" i="2"/>
  <c r="F1614" i="2"/>
  <c r="E1614" i="2"/>
  <c r="D1614" i="2"/>
  <c r="C1614" i="2"/>
  <c r="B1614" i="2"/>
  <c r="A1614" i="2"/>
  <c r="AX1613" i="2"/>
  <c r="AV1613" i="2"/>
  <c r="AU1613" i="2"/>
  <c r="AS1613" i="2"/>
  <c r="AR1613" i="2"/>
  <c r="AQ1613" i="2"/>
  <c r="AO1613" i="2"/>
  <c r="AM1613" i="2"/>
  <c r="AL1613" i="2"/>
  <c r="AK1613" i="2"/>
  <c r="AJ1613" i="2"/>
  <c r="AI1613" i="2"/>
  <c r="AH1613" i="2"/>
  <c r="AG1613" i="2"/>
  <c r="AC1613" i="2"/>
  <c r="AA1613" i="2"/>
  <c r="Z1613" i="2"/>
  <c r="Y1613" i="2"/>
  <c r="X1613" i="2"/>
  <c r="W1613" i="2"/>
  <c r="V1613" i="2"/>
  <c r="U1613" i="2"/>
  <c r="T1613" i="2"/>
  <c r="S1613" i="2"/>
  <c r="R1613" i="2"/>
  <c r="Q1613" i="2"/>
  <c r="P1613" i="2"/>
  <c r="O1613" i="2"/>
  <c r="N1613" i="2"/>
  <c r="K1613" i="2"/>
  <c r="J1613" i="2"/>
  <c r="I1613" i="2"/>
  <c r="H1613" i="2"/>
  <c r="G1613" i="2"/>
  <c r="F1613" i="2"/>
  <c r="E1613" i="2"/>
  <c r="D1613" i="2"/>
  <c r="C1613" i="2"/>
  <c r="B1613" i="2"/>
  <c r="A1613" i="2"/>
  <c r="AX1612" i="2"/>
  <c r="AV1612" i="2"/>
  <c r="AU1612" i="2"/>
  <c r="AR1612" i="2"/>
  <c r="AQ1612" i="2"/>
  <c r="AO1612" i="2"/>
  <c r="AM1612" i="2"/>
  <c r="AK1612" i="2"/>
  <c r="AJ1612" i="2"/>
  <c r="AI1612" i="2"/>
  <c r="AH1612" i="2"/>
  <c r="AG1612" i="2"/>
  <c r="AF1612" i="2"/>
  <c r="AE1612" i="2"/>
  <c r="AD1612" i="2"/>
  <c r="AC1612" i="2"/>
  <c r="AA1612" i="2"/>
  <c r="Z1612" i="2"/>
  <c r="Y1612" i="2"/>
  <c r="X1612" i="2"/>
  <c r="W1612" i="2"/>
  <c r="V1612" i="2"/>
  <c r="U1612" i="2"/>
  <c r="T1612" i="2"/>
  <c r="S1612" i="2"/>
  <c r="R1612" i="2"/>
  <c r="Q1612" i="2"/>
  <c r="P1612" i="2"/>
  <c r="O1612" i="2"/>
  <c r="N1612" i="2"/>
  <c r="M1612" i="2"/>
  <c r="L1612" i="2"/>
  <c r="K1612" i="2"/>
  <c r="J1612" i="2"/>
  <c r="I1612" i="2"/>
  <c r="H1612" i="2"/>
  <c r="G1612" i="2"/>
  <c r="F1612" i="2"/>
  <c r="E1612" i="2"/>
  <c r="D1612" i="2"/>
  <c r="C1612" i="2"/>
  <c r="B1612" i="2"/>
  <c r="A1612" i="2"/>
  <c r="AX1611" i="2"/>
  <c r="AV1611" i="2"/>
  <c r="AU1611" i="2"/>
  <c r="AT1611" i="2"/>
  <c r="AR1611" i="2"/>
  <c r="AQ1611" i="2"/>
  <c r="AP1611" i="2"/>
  <c r="AO1611" i="2"/>
  <c r="AM1611" i="2"/>
  <c r="AL1611" i="2"/>
  <c r="AK1611" i="2"/>
  <c r="AJ1611" i="2"/>
  <c r="AI1611" i="2"/>
  <c r="AH1611" i="2"/>
  <c r="AG1611" i="2"/>
  <c r="AE1611" i="2"/>
  <c r="AD1611" i="2"/>
  <c r="AC1611" i="2"/>
  <c r="AA1611" i="2"/>
  <c r="Z1611" i="2"/>
  <c r="Y1611" i="2"/>
  <c r="X1611" i="2"/>
  <c r="W1611" i="2"/>
  <c r="V1611" i="2"/>
  <c r="U1611" i="2"/>
  <c r="T1611" i="2"/>
  <c r="S1611" i="2"/>
  <c r="R1611" i="2"/>
  <c r="Q1611" i="2"/>
  <c r="P1611" i="2"/>
  <c r="O1611" i="2"/>
  <c r="N1611" i="2"/>
  <c r="K1611" i="2"/>
  <c r="J1611" i="2"/>
  <c r="I1611" i="2"/>
  <c r="H1611" i="2"/>
  <c r="G1611" i="2"/>
  <c r="F1611" i="2"/>
  <c r="E1611" i="2"/>
  <c r="D1611" i="2"/>
  <c r="C1611" i="2"/>
  <c r="B1611" i="2"/>
  <c r="A1611" i="2"/>
  <c r="AX1610" i="2"/>
  <c r="AV1610" i="2"/>
  <c r="AU1610" i="2"/>
  <c r="AT1610" i="2"/>
  <c r="AS1610" i="2"/>
  <c r="AR1610" i="2"/>
  <c r="AQ1610" i="2"/>
  <c r="AP1610" i="2"/>
  <c r="AO1610" i="2"/>
  <c r="AM1610" i="2"/>
  <c r="AL1610" i="2"/>
  <c r="AK1610" i="2"/>
  <c r="AJ1610" i="2"/>
  <c r="AI1610" i="2"/>
  <c r="AH1610" i="2"/>
  <c r="AG1610" i="2"/>
  <c r="AE1610" i="2"/>
  <c r="AD1610" i="2"/>
  <c r="AC1610" i="2"/>
  <c r="AA1610" i="2"/>
  <c r="Z1610" i="2"/>
  <c r="Y1610" i="2"/>
  <c r="X1610" i="2"/>
  <c r="W1610" i="2"/>
  <c r="V1610" i="2"/>
  <c r="U1610" i="2"/>
  <c r="T1610" i="2"/>
  <c r="S1610" i="2"/>
  <c r="R1610" i="2"/>
  <c r="Q1610" i="2"/>
  <c r="P1610" i="2"/>
  <c r="O1610" i="2"/>
  <c r="N1610" i="2"/>
  <c r="K1610" i="2"/>
  <c r="J1610" i="2"/>
  <c r="I1610" i="2"/>
  <c r="H1610" i="2"/>
  <c r="G1610" i="2"/>
  <c r="F1610" i="2"/>
  <c r="E1610" i="2"/>
  <c r="D1610" i="2"/>
  <c r="C1610" i="2"/>
  <c r="B1610" i="2"/>
  <c r="A1610" i="2"/>
  <c r="AX1609" i="2"/>
  <c r="AV1609" i="2"/>
  <c r="AU1609" i="2"/>
  <c r="AR1609" i="2"/>
  <c r="AO1609" i="2"/>
  <c r="AM1609" i="2"/>
  <c r="AK1609" i="2"/>
  <c r="AJ1609" i="2"/>
  <c r="AI1609" i="2"/>
  <c r="AH1609" i="2"/>
  <c r="AG1609" i="2"/>
  <c r="AE1609" i="2"/>
  <c r="AC1609" i="2"/>
  <c r="Z1609" i="2"/>
  <c r="Y1609" i="2"/>
  <c r="X1609" i="2"/>
  <c r="W1609" i="2"/>
  <c r="V1609" i="2"/>
  <c r="U1609" i="2"/>
  <c r="T1609" i="2"/>
  <c r="S1609" i="2"/>
  <c r="R1609" i="2"/>
  <c r="Q1609" i="2"/>
  <c r="P1609" i="2"/>
  <c r="O1609" i="2"/>
  <c r="N1609" i="2"/>
  <c r="M1609" i="2"/>
  <c r="L1609" i="2"/>
  <c r="K1609" i="2"/>
  <c r="J1609" i="2"/>
  <c r="I1609" i="2"/>
  <c r="H1609" i="2"/>
  <c r="G1609" i="2"/>
  <c r="F1609" i="2"/>
  <c r="E1609" i="2"/>
  <c r="D1609" i="2"/>
  <c r="C1609" i="2"/>
  <c r="B1609" i="2"/>
  <c r="A1609" i="2"/>
  <c r="AX1608" i="2"/>
  <c r="AV1608" i="2"/>
  <c r="AU1608" i="2"/>
  <c r="AS1608" i="2"/>
  <c r="AR1608" i="2"/>
  <c r="AQ1608" i="2"/>
  <c r="AP1608" i="2"/>
  <c r="AO1608" i="2"/>
  <c r="AM1608" i="2"/>
  <c r="AK1608" i="2"/>
  <c r="AJ1608" i="2"/>
  <c r="AI1608" i="2"/>
  <c r="AH1608" i="2"/>
  <c r="AG1608" i="2"/>
  <c r="AF1608" i="2"/>
  <c r="AE1608" i="2"/>
  <c r="AC1608" i="2"/>
  <c r="AA1608" i="2"/>
  <c r="Z1608" i="2"/>
  <c r="Y1608" i="2"/>
  <c r="X1608" i="2"/>
  <c r="V1608" i="2"/>
  <c r="U1608" i="2"/>
  <c r="T1608" i="2"/>
  <c r="S1608" i="2"/>
  <c r="R1608" i="2"/>
  <c r="Q1608" i="2"/>
  <c r="P1608" i="2"/>
  <c r="O1608" i="2"/>
  <c r="N1608" i="2"/>
  <c r="K1608" i="2"/>
  <c r="J1608" i="2"/>
  <c r="I1608" i="2"/>
  <c r="H1608" i="2"/>
  <c r="G1608" i="2"/>
  <c r="F1608" i="2"/>
  <c r="E1608" i="2"/>
  <c r="D1608" i="2"/>
  <c r="C1608" i="2"/>
  <c r="B1608" i="2"/>
  <c r="A1608" i="2"/>
  <c r="AX1607" i="2"/>
  <c r="AV1607" i="2"/>
  <c r="AU1607" i="2"/>
  <c r="AR1607" i="2"/>
  <c r="AQ1607" i="2"/>
  <c r="AP1607" i="2"/>
  <c r="AO1607" i="2"/>
  <c r="AM1607" i="2"/>
  <c r="AL1607" i="2"/>
  <c r="AK1607" i="2"/>
  <c r="AJ1607" i="2"/>
  <c r="AI1607" i="2"/>
  <c r="AH1607" i="2"/>
  <c r="AG1607" i="2"/>
  <c r="AD1607" i="2"/>
  <c r="AC1607" i="2"/>
  <c r="AA1607" i="2"/>
  <c r="Z1607" i="2"/>
  <c r="Y1607" i="2"/>
  <c r="X1607" i="2"/>
  <c r="W1607" i="2"/>
  <c r="V1607" i="2"/>
  <c r="U1607" i="2"/>
  <c r="T1607" i="2"/>
  <c r="S1607" i="2"/>
  <c r="R1607" i="2"/>
  <c r="Q1607" i="2"/>
  <c r="P1607" i="2"/>
  <c r="O1607" i="2"/>
  <c r="N1607" i="2"/>
  <c r="K1607" i="2"/>
  <c r="J1607" i="2"/>
  <c r="I1607" i="2"/>
  <c r="H1607" i="2"/>
  <c r="G1607" i="2"/>
  <c r="F1607" i="2"/>
  <c r="E1607" i="2"/>
  <c r="D1607" i="2"/>
  <c r="C1607" i="2"/>
  <c r="B1607" i="2"/>
  <c r="A1607" i="2"/>
  <c r="AX1606" i="2"/>
  <c r="AV1606" i="2"/>
  <c r="AU1606" i="2"/>
  <c r="AT1606" i="2"/>
  <c r="AS1606" i="2"/>
  <c r="AR1606" i="2"/>
  <c r="AQ1606" i="2"/>
  <c r="AP1606" i="2"/>
  <c r="AO1606" i="2"/>
  <c r="AM1606" i="2"/>
  <c r="AL1606" i="2"/>
  <c r="AK1606" i="2"/>
  <c r="AJ1606" i="2"/>
  <c r="AI1606" i="2"/>
  <c r="AH1606" i="2"/>
  <c r="AG1606" i="2"/>
  <c r="AE1606" i="2"/>
  <c r="AD1606" i="2"/>
  <c r="AC1606" i="2"/>
  <c r="AA1606" i="2"/>
  <c r="Z1606" i="2"/>
  <c r="Y1606" i="2"/>
  <c r="X1606" i="2"/>
  <c r="W1606" i="2"/>
  <c r="V1606" i="2"/>
  <c r="U1606" i="2"/>
  <c r="T1606" i="2"/>
  <c r="S1606" i="2"/>
  <c r="R1606" i="2"/>
  <c r="Q1606" i="2"/>
  <c r="P1606" i="2"/>
  <c r="O1606" i="2"/>
  <c r="N1606" i="2"/>
  <c r="K1606" i="2"/>
  <c r="J1606" i="2"/>
  <c r="I1606" i="2"/>
  <c r="H1606" i="2"/>
  <c r="G1606" i="2"/>
  <c r="F1606" i="2"/>
  <c r="E1606" i="2"/>
  <c r="D1606" i="2"/>
  <c r="C1606" i="2"/>
  <c r="B1606" i="2"/>
  <c r="A1606" i="2"/>
  <c r="AX1605" i="2"/>
  <c r="AV1605" i="2"/>
  <c r="AU1605" i="2"/>
  <c r="AR1605" i="2"/>
  <c r="AQ1605" i="2"/>
  <c r="AO1605" i="2"/>
  <c r="AM1605" i="2"/>
  <c r="AK1605" i="2"/>
  <c r="AI1605" i="2"/>
  <c r="AH1605" i="2"/>
  <c r="AG1605" i="2"/>
  <c r="AE1605" i="2"/>
  <c r="AC1605" i="2"/>
  <c r="AA1605" i="2"/>
  <c r="Z1605" i="2"/>
  <c r="Y1605" i="2"/>
  <c r="X1605" i="2"/>
  <c r="W1605" i="2"/>
  <c r="V1605" i="2"/>
  <c r="U1605" i="2"/>
  <c r="T1605" i="2"/>
  <c r="S1605" i="2"/>
  <c r="R1605" i="2"/>
  <c r="Q1605" i="2"/>
  <c r="P1605" i="2"/>
  <c r="O1605" i="2"/>
  <c r="N1605" i="2"/>
  <c r="K1605" i="2"/>
  <c r="J1605" i="2"/>
  <c r="I1605" i="2"/>
  <c r="H1605" i="2"/>
  <c r="G1605" i="2"/>
  <c r="F1605" i="2"/>
  <c r="E1605" i="2"/>
  <c r="D1605" i="2"/>
  <c r="C1605" i="2"/>
  <c r="B1605" i="2"/>
  <c r="A1605" i="2"/>
  <c r="AX1604" i="2"/>
  <c r="AV1604" i="2"/>
  <c r="AU1604" i="2"/>
  <c r="AT1604" i="2"/>
  <c r="AS1604" i="2"/>
  <c r="AR1604" i="2"/>
  <c r="AQ1604" i="2"/>
  <c r="AP1604" i="2"/>
  <c r="AO1604" i="2"/>
  <c r="AM1604" i="2"/>
  <c r="AL1604" i="2"/>
  <c r="AK1604" i="2"/>
  <c r="AJ1604" i="2"/>
  <c r="AI1604" i="2"/>
  <c r="AH1604" i="2"/>
  <c r="AG1604" i="2"/>
  <c r="AE1604" i="2"/>
  <c r="AC1604" i="2"/>
  <c r="AA1604" i="2"/>
  <c r="Z1604" i="2"/>
  <c r="Y1604" i="2"/>
  <c r="X1604" i="2"/>
  <c r="W1604" i="2"/>
  <c r="V1604" i="2"/>
  <c r="U1604" i="2"/>
  <c r="T1604" i="2"/>
  <c r="S1604" i="2"/>
  <c r="R1604" i="2"/>
  <c r="Q1604" i="2"/>
  <c r="P1604" i="2"/>
  <c r="O1604" i="2"/>
  <c r="N1604" i="2"/>
  <c r="K1604" i="2"/>
  <c r="J1604" i="2"/>
  <c r="I1604" i="2"/>
  <c r="H1604" i="2"/>
  <c r="G1604" i="2"/>
  <c r="F1604" i="2"/>
  <c r="E1604" i="2"/>
  <c r="D1604" i="2"/>
  <c r="C1604" i="2"/>
  <c r="B1604" i="2"/>
  <c r="A1604" i="2"/>
  <c r="AX1603" i="2"/>
  <c r="AV1603" i="2"/>
  <c r="AU1603" i="2"/>
  <c r="AT1603" i="2"/>
  <c r="AR1603" i="2"/>
  <c r="AQ1603" i="2"/>
  <c r="AO1603" i="2"/>
  <c r="AM1603" i="2"/>
  <c r="AI1603" i="2"/>
  <c r="AH1603" i="2"/>
  <c r="AG1603" i="2"/>
  <c r="AD1603" i="2"/>
  <c r="AC1603" i="2"/>
  <c r="AA1603" i="2"/>
  <c r="Z1603" i="2"/>
  <c r="Y1603" i="2"/>
  <c r="X1603" i="2"/>
  <c r="W1603" i="2"/>
  <c r="V1603" i="2"/>
  <c r="U1603" i="2"/>
  <c r="T1603" i="2"/>
  <c r="S1603" i="2"/>
  <c r="R1603" i="2"/>
  <c r="Q1603" i="2"/>
  <c r="P1603" i="2"/>
  <c r="O1603" i="2"/>
  <c r="N1603" i="2"/>
  <c r="K1603" i="2"/>
  <c r="J1603" i="2"/>
  <c r="I1603" i="2"/>
  <c r="H1603" i="2"/>
  <c r="G1603" i="2"/>
  <c r="F1603" i="2"/>
  <c r="E1603" i="2"/>
  <c r="D1603" i="2"/>
  <c r="C1603" i="2"/>
  <c r="B1603" i="2"/>
  <c r="A1603" i="2"/>
  <c r="AX1602" i="2"/>
  <c r="AV1602" i="2"/>
  <c r="AU1602" i="2"/>
  <c r="AT1602" i="2"/>
  <c r="AS1602" i="2"/>
  <c r="AR1602" i="2"/>
  <c r="AQ1602" i="2"/>
  <c r="AP1602" i="2"/>
  <c r="AO1602" i="2"/>
  <c r="AM1602" i="2"/>
  <c r="AL1602" i="2"/>
  <c r="AK1602" i="2"/>
  <c r="AJ1602" i="2"/>
  <c r="AI1602" i="2"/>
  <c r="AH1602" i="2"/>
  <c r="AG1602" i="2"/>
  <c r="AF1602" i="2"/>
  <c r="AD1602" i="2"/>
  <c r="AC1602" i="2"/>
  <c r="AA1602" i="2"/>
  <c r="Z1602" i="2"/>
  <c r="Y1602" i="2"/>
  <c r="X1602" i="2"/>
  <c r="W1602" i="2"/>
  <c r="V1602" i="2"/>
  <c r="U1602" i="2"/>
  <c r="T1602" i="2"/>
  <c r="S1602" i="2"/>
  <c r="R1602" i="2"/>
  <c r="Q1602" i="2"/>
  <c r="P1602" i="2"/>
  <c r="O1602" i="2"/>
  <c r="N1602" i="2"/>
  <c r="K1602" i="2"/>
  <c r="J1602" i="2"/>
  <c r="I1602" i="2"/>
  <c r="H1602" i="2"/>
  <c r="G1602" i="2"/>
  <c r="F1602" i="2"/>
  <c r="E1602" i="2"/>
  <c r="D1602" i="2"/>
  <c r="C1602" i="2"/>
  <c r="B1602" i="2"/>
  <c r="A1602" i="2"/>
  <c r="AX1601" i="2"/>
  <c r="AV1601" i="2"/>
  <c r="AU1601" i="2"/>
  <c r="AT1601" i="2"/>
  <c r="AR1601" i="2"/>
  <c r="AQ1601" i="2"/>
  <c r="AO1601" i="2"/>
  <c r="AM1601" i="2"/>
  <c r="AK1601" i="2"/>
  <c r="AJ1601" i="2"/>
  <c r="AI1601" i="2"/>
  <c r="AH1601" i="2"/>
  <c r="AG1601" i="2"/>
  <c r="AC1601" i="2"/>
  <c r="AA1601" i="2"/>
  <c r="Z1601" i="2"/>
  <c r="Y1601" i="2"/>
  <c r="X1601" i="2"/>
  <c r="W1601" i="2"/>
  <c r="V1601" i="2"/>
  <c r="U1601" i="2"/>
  <c r="T1601" i="2"/>
  <c r="S1601" i="2"/>
  <c r="R1601" i="2"/>
  <c r="Q1601" i="2"/>
  <c r="P1601" i="2"/>
  <c r="O1601" i="2"/>
  <c r="N1601" i="2"/>
  <c r="K1601" i="2"/>
  <c r="J1601" i="2"/>
  <c r="I1601" i="2"/>
  <c r="H1601" i="2"/>
  <c r="G1601" i="2"/>
  <c r="F1601" i="2"/>
  <c r="E1601" i="2"/>
  <c r="D1601" i="2"/>
  <c r="C1601" i="2"/>
  <c r="B1601" i="2"/>
  <c r="A1601" i="2"/>
  <c r="AX1600" i="2"/>
  <c r="AV1600" i="2"/>
  <c r="AU1600" i="2"/>
  <c r="AT1600" i="2"/>
  <c r="AS1600" i="2"/>
  <c r="AR1600" i="2"/>
  <c r="AQ1600" i="2"/>
  <c r="AO1600" i="2"/>
  <c r="AM1600" i="2"/>
  <c r="AL1600" i="2"/>
  <c r="AK1600" i="2"/>
  <c r="AJ1600" i="2"/>
  <c r="AI1600" i="2"/>
  <c r="AH1600" i="2"/>
  <c r="AG1600" i="2"/>
  <c r="AE1600" i="2"/>
  <c r="AD1600" i="2"/>
  <c r="AC1600" i="2"/>
  <c r="AA1600" i="2"/>
  <c r="Z1600" i="2"/>
  <c r="Y1600" i="2"/>
  <c r="X1600" i="2"/>
  <c r="W1600" i="2"/>
  <c r="V1600" i="2"/>
  <c r="U1600" i="2"/>
  <c r="T1600" i="2"/>
  <c r="S1600" i="2"/>
  <c r="R1600" i="2"/>
  <c r="Q1600" i="2"/>
  <c r="P1600" i="2"/>
  <c r="O1600" i="2"/>
  <c r="N1600" i="2"/>
  <c r="K1600" i="2"/>
  <c r="J1600" i="2"/>
  <c r="I1600" i="2"/>
  <c r="H1600" i="2"/>
  <c r="G1600" i="2"/>
  <c r="F1600" i="2"/>
  <c r="E1600" i="2"/>
  <c r="D1600" i="2"/>
  <c r="C1600" i="2"/>
  <c r="B1600" i="2"/>
  <c r="A1600" i="2"/>
  <c r="AX1599" i="2"/>
  <c r="AV1599" i="2"/>
  <c r="AU1599" i="2"/>
  <c r="AT1599" i="2"/>
  <c r="AR1599" i="2"/>
  <c r="AQ1599" i="2"/>
  <c r="AP1599" i="2"/>
  <c r="AO1599" i="2"/>
  <c r="AN1599" i="2"/>
  <c r="AM1599" i="2"/>
  <c r="AL1599" i="2"/>
  <c r="AK1599" i="2"/>
  <c r="AJ1599" i="2"/>
  <c r="AI1599" i="2"/>
  <c r="AH1599" i="2"/>
  <c r="AG1599" i="2"/>
  <c r="AF1599" i="2"/>
  <c r="AD1599" i="2"/>
  <c r="AC1599" i="2"/>
  <c r="AA1599" i="2"/>
  <c r="Z1599" i="2"/>
  <c r="Y1599" i="2"/>
  <c r="X1599" i="2"/>
  <c r="W1599" i="2"/>
  <c r="V1599" i="2"/>
  <c r="U1599" i="2"/>
  <c r="T1599" i="2"/>
  <c r="S1599" i="2"/>
  <c r="R1599" i="2"/>
  <c r="Q1599" i="2"/>
  <c r="P1599" i="2"/>
  <c r="O1599" i="2"/>
  <c r="N1599" i="2"/>
  <c r="K1599" i="2"/>
  <c r="J1599" i="2"/>
  <c r="I1599" i="2"/>
  <c r="H1599" i="2"/>
  <c r="G1599" i="2"/>
  <c r="F1599" i="2"/>
  <c r="E1599" i="2"/>
  <c r="D1599" i="2"/>
  <c r="C1599" i="2"/>
  <c r="B1599" i="2"/>
  <c r="A1599" i="2"/>
  <c r="AX1598" i="2"/>
  <c r="AV1598" i="2"/>
  <c r="AU1598" i="2"/>
  <c r="AS1598" i="2"/>
  <c r="AR1598" i="2"/>
  <c r="AQ1598" i="2"/>
  <c r="AP1598" i="2"/>
  <c r="AO1598" i="2"/>
  <c r="AM1598" i="2"/>
  <c r="AK1598" i="2"/>
  <c r="AJ1598" i="2"/>
  <c r="AI1598" i="2"/>
  <c r="AH1598" i="2"/>
  <c r="AG1598" i="2"/>
  <c r="AF1598" i="2"/>
  <c r="AE1598" i="2"/>
  <c r="AD1598" i="2"/>
  <c r="AC1598" i="2"/>
  <c r="AA1598" i="2"/>
  <c r="Z1598" i="2"/>
  <c r="Y1598" i="2"/>
  <c r="X1598" i="2"/>
  <c r="W1598" i="2"/>
  <c r="V1598" i="2"/>
  <c r="U1598" i="2"/>
  <c r="T1598" i="2"/>
  <c r="S1598" i="2"/>
  <c r="R1598" i="2"/>
  <c r="Q1598" i="2"/>
  <c r="P1598" i="2"/>
  <c r="O1598" i="2"/>
  <c r="N1598" i="2"/>
  <c r="K1598" i="2"/>
  <c r="J1598" i="2"/>
  <c r="I1598" i="2"/>
  <c r="H1598" i="2"/>
  <c r="G1598" i="2"/>
  <c r="F1598" i="2"/>
  <c r="E1598" i="2"/>
  <c r="D1598" i="2"/>
  <c r="C1598" i="2"/>
  <c r="B1598" i="2"/>
  <c r="A1598" i="2"/>
  <c r="AX1597" i="2"/>
  <c r="AV1597" i="2"/>
  <c r="AU1597" i="2"/>
  <c r="AT1597" i="2"/>
  <c r="AS1597" i="2"/>
  <c r="AR1597" i="2"/>
  <c r="AQ1597" i="2"/>
  <c r="AP1597" i="2"/>
  <c r="AO1597" i="2"/>
  <c r="AM1597" i="2"/>
  <c r="AL1597" i="2"/>
  <c r="AK1597" i="2"/>
  <c r="AJ1597" i="2"/>
  <c r="AI1597" i="2"/>
  <c r="AH1597" i="2"/>
  <c r="AG1597" i="2"/>
  <c r="AE1597" i="2"/>
  <c r="AD1597" i="2"/>
  <c r="AC1597" i="2"/>
  <c r="AA1597" i="2"/>
  <c r="Z1597" i="2"/>
  <c r="Y1597" i="2"/>
  <c r="X1597" i="2"/>
  <c r="W1597" i="2"/>
  <c r="V1597" i="2"/>
  <c r="U1597" i="2"/>
  <c r="T1597" i="2"/>
  <c r="S1597" i="2"/>
  <c r="R1597" i="2"/>
  <c r="Q1597" i="2"/>
  <c r="P1597" i="2"/>
  <c r="O1597" i="2"/>
  <c r="N1597" i="2"/>
  <c r="K1597" i="2"/>
  <c r="J1597" i="2"/>
  <c r="I1597" i="2"/>
  <c r="H1597" i="2"/>
  <c r="G1597" i="2"/>
  <c r="F1597" i="2"/>
  <c r="E1597" i="2"/>
  <c r="D1597" i="2"/>
  <c r="C1597" i="2"/>
  <c r="B1597" i="2"/>
  <c r="A1597" i="2"/>
  <c r="AX1596" i="2"/>
  <c r="AV1596" i="2"/>
  <c r="AU1596" i="2"/>
  <c r="AT1596" i="2"/>
  <c r="AR1596" i="2"/>
  <c r="AQ1596" i="2"/>
  <c r="AO1596" i="2"/>
  <c r="AM1596" i="2"/>
  <c r="AK1596" i="2"/>
  <c r="AJ1596" i="2"/>
  <c r="AI1596" i="2"/>
  <c r="AH1596" i="2"/>
  <c r="AG1596" i="2"/>
  <c r="AC1596" i="2"/>
  <c r="AA1596" i="2"/>
  <c r="Z1596" i="2"/>
  <c r="Y1596" i="2"/>
  <c r="X1596" i="2"/>
  <c r="W1596" i="2"/>
  <c r="V1596" i="2"/>
  <c r="U1596" i="2"/>
  <c r="T1596" i="2"/>
  <c r="S1596" i="2"/>
  <c r="R1596" i="2"/>
  <c r="Q1596" i="2"/>
  <c r="P1596" i="2"/>
  <c r="O1596" i="2"/>
  <c r="N1596" i="2"/>
  <c r="K1596" i="2"/>
  <c r="J1596" i="2"/>
  <c r="I1596" i="2"/>
  <c r="H1596" i="2"/>
  <c r="G1596" i="2"/>
  <c r="F1596" i="2"/>
  <c r="E1596" i="2"/>
  <c r="D1596" i="2"/>
  <c r="C1596" i="2"/>
  <c r="B1596" i="2"/>
  <c r="A1596" i="2"/>
  <c r="AX1595" i="2"/>
  <c r="AV1595" i="2"/>
  <c r="AU1595" i="2"/>
  <c r="AT1595" i="2"/>
  <c r="AS1595" i="2"/>
  <c r="AR1595" i="2"/>
  <c r="AQ1595" i="2"/>
  <c r="AP1595" i="2"/>
  <c r="AO1595" i="2"/>
  <c r="AM1595" i="2"/>
  <c r="AK1595" i="2"/>
  <c r="AJ1595" i="2"/>
  <c r="AI1595" i="2"/>
  <c r="AH1595" i="2"/>
  <c r="AG1595" i="2"/>
  <c r="AC1595" i="2"/>
  <c r="AA1595" i="2"/>
  <c r="Z1595" i="2"/>
  <c r="Y1595" i="2"/>
  <c r="X1595" i="2"/>
  <c r="W1595" i="2"/>
  <c r="V1595" i="2"/>
  <c r="U1595" i="2"/>
  <c r="T1595" i="2"/>
  <c r="S1595" i="2"/>
  <c r="R1595" i="2"/>
  <c r="Q1595" i="2"/>
  <c r="P1595" i="2"/>
  <c r="O1595" i="2"/>
  <c r="N1595" i="2"/>
  <c r="K1595" i="2"/>
  <c r="J1595" i="2"/>
  <c r="I1595" i="2"/>
  <c r="H1595" i="2"/>
  <c r="G1595" i="2"/>
  <c r="F1595" i="2"/>
  <c r="E1595" i="2"/>
  <c r="D1595" i="2"/>
  <c r="C1595" i="2"/>
  <c r="B1595" i="2"/>
  <c r="A1595" i="2"/>
  <c r="AX1594" i="2"/>
  <c r="AV1594" i="2"/>
  <c r="AU1594" i="2"/>
  <c r="AT1594" i="2"/>
  <c r="AS1594" i="2"/>
  <c r="AR1594" i="2"/>
  <c r="AQ1594" i="2"/>
  <c r="AP1594" i="2"/>
  <c r="AO1594" i="2"/>
  <c r="AM1594" i="2"/>
  <c r="AL1594" i="2"/>
  <c r="AK1594" i="2"/>
  <c r="AJ1594" i="2"/>
  <c r="AI1594" i="2"/>
  <c r="AH1594" i="2"/>
  <c r="AG1594" i="2"/>
  <c r="AE1594" i="2"/>
  <c r="AD1594" i="2"/>
  <c r="AC1594" i="2"/>
  <c r="AA1594" i="2"/>
  <c r="Z1594" i="2"/>
  <c r="Y1594" i="2"/>
  <c r="X1594" i="2"/>
  <c r="W1594" i="2"/>
  <c r="V1594" i="2"/>
  <c r="U1594" i="2"/>
  <c r="T1594" i="2"/>
  <c r="S1594" i="2"/>
  <c r="R1594" i="2"/>
  <c r="Q1594" i="2"/>
  <c r="P1594" i="2"/>
  <c r="O1594" i="2"/>
  <c r="N1594" i="2"/>
  <c r="M1594" i="2"/>
  <c r="K1594" i="2"/>
  <c r="J1594" i="2"/>
  <c r="I1594" i="2"/>
  <c r="H1594" i="2"/>
  <c r="G1594" i="2"/>
  <c r="F1594" i="2"/>
  <c r="E1594" i="2"/>
  <c r="D1594" i="2"/>
  <c r="C1594" i="2"/>
  <c r="B1594" i="2"/>
  <c r="A1594" i="2"/>
  <c r="AX1593" i="2"/>
  <c r="AV1593" i="2"/>
  <c r="AU1593" i="2"/>
  <c r="AS1593" i="2"/>
  <c r="AR1593" i="2"/>
  <c r="AQ1593" i="2"/>
  <c r="AO1593" i="2"/>
  <c r="AM1593" i="2"/>
  <c r="AK1593" i="2"/>
  <c r="AJ1593" i="2"/>
  <c r="AI1593" i="2"/>
  <c r="AH1593" i="2"/>
  <c r="AG1593" i="2"/>
  <c r="AC1593" i="2"/>
  <c r="AA1593" i="2"/>
  <c r="Z1593" i="2"/>
  <c r="Y1593" i="2"/>
  <c r="X1593" i="2"/>
  <c r="W1593" i="2"/>
  <c r="V1593" i="2"/>
  <c r="U1593" i="2"/>
  <c r="T1593" i="2"/>
  <c r="S1593" i="2"/>
  <c r="R1593" i="2"/>
  <c r="Q1593" i="2"/>
  <c r="P1593" i="2"/>
  <c r="O1593" i="2"/>
  <c r="N1593" i="2"/>
  <c r="K1593" i="2"/>
  <c r="J1593" i="2"/>
  <c r="I1593" i="2"/>
  <c r="H1593" i="2"/>
  <c r="G1593" i="2"/>
  <c r="F1593" i="2"/>
  <c r="E1593" i="2"/>
  <c r="D1593" i="2"/>
  <c r="C1593" i="2"/>
  <c r="B1593" i="2"/>
  <c r="A1593" i="2"/>
  <c r="AX1592" i="2"/>
  <c r="AV1592" i="2"/>
  <c r="AU1592" i="2"/>
  <c r="AS1592" i="2"/>
  <c r="AR1592" i="2"/>
  <c r="AQ1592" i="2"/>
  <c r="AO1592" i="2"/>
  <c r="AM1592" i="2"/>
  <c r="AL1592" i="2"/>
  <c r="AK1592" i="2"/>
  <c r="AJ1592" i="2"/>
  <c r="AI1592" i="2"/>
  <c r="AH1592" i="2"/>
  <c r="AG1592" i="2"/>
  <c r="AF1592" i="2"/>
  <c r="AE1592" i="2"/>
  <c r="AD1592" i="2"/>
  <c r="AC1592" i="2"/>
  <c r="AA1592" i="2"/>
  <c r="Z1592" i="2"/>
  <c r="Y1592" i="2"/>
  <c r="X1592" i="2"/>
  <c r="W1592" i="2"/>
  <c r="V1592" i="2"/>
  <c r="U1592" i="2"/>
  <c r="T1592" i="2"/>
  <c r="S1592" i="2"/>
  <c r="R1592" i="2"/>
  <c r="Q1592" i="2"/>
  <c r="P1592" i="2"/>
  <c r="O1592" i="2"/>
  <c r="N1592" i="2"/>
  <c r="K1592" i="2"/>
  <c r="J1592" i="2"/>
  <c r="I1592" i="2"/>
  <c r="H1592" i="2"/>
  <c r="G1592" i="2"/>
  <c r="F1592" i="2"/>
  <c r="E1592" i="2"/>
  <c r="D1592" i="2"/>
  <c r="C1592" i="2"/>
  <c r="B1592" i="2"/>
  <c r="A1592" i="2"/>
  <c r="AX1591" i="2"/>
  <c r="AV1591" i="2"/>
  <c r="AU1591" i="2"/>
  <c r="AT1591" i="2"/>
  <c r="AS1591" i="2"/>
  <c r="AR1591" i="2"/>
  <c r="AQ1591" i="2"/>
  <c r="AO1591" i="2"/>
  <c r="AM1591" i="2"/>
  <c r="AK1591" i="2"/>
  <c r="AJ1591" i="2"/>
  <c r="AI1591" i="2"/>
  <c r="AH1591" i="2"/>
  <c r="AG1591" i="2"/>
  <c r="AE1591" i="2"/>
  <c r="AC1591" i="2"/>
  <c r="AA1591" i="2"/>
  <c r="Z1591" i="2"/>
  <c r="Y1591" i="2"/>
  <c r="X1591" i="2"/>
  <c r="W1591" i="2"/>
  <c r="V1591" i="2"/>
  <c r="U1591" i="2"/>
  <c r="T1591" i="2"/>
  <c r="S1591" i="2"/>
  <c r="R1591" i="2"/>
  <c r="Q1591" i="2"/>
  <c r="P1591" i="2"/>
  <c r="O1591" i="2"/>
  <c r="N1591" i="2"/>
  <c r="K1591" i="2"/>
  <c r="J1591" i="2"/>
  <c r="I1591" i="2"/>
  <c r="H1591" i="2"/>
  <c r="G1591" i="2"/>
  <c r="F1591" i="2"/>
  <c r="E1591" i="2"/>
  <c r="D1591" i="2"/>
  <c r="C1591" i="2"/>
  <c r="B1591" i="2"/>
  <c r="A1591" i="2"/>
  <c r="AX1590" i="2"/>
  <c r="AV1590" i="2"/>
  <c r="AU1590" i="2"/>
  <c r="AT1590" i="2"/>
  <c r="AS1590" i="2"/>
  <c r="AR1590" i="2"/>
  <c r="AQ1590" i="2"/>
  <c r="AP1590" i="2"/>
  <c r="AO1590" i="2"/>
  <c r="AM1590" i="2"/>
  <c r="AL1590" i="2"/>
  <c r="AK1590" i="2"/>
  <c r="AJ1590" i="2"/>
  <c r="AI1590" i="2"/>
  <c r="AH1590" i="2"/>
  <c r="AG1590" i="2"/>
  <c r="AF1590" i="2"/>
  <c r="AE1590" i="2"/>
  <c r="AD1590" i="2"/>
  <c r="AC1590" i="2"/>
  <c r="AA1590" i="2"/>
  <c r="Z1590" i="2"/>
  <c r="Y1590" i="2"/>
  <c r="X1590" i="2"/>
  <c r="W1590" i="2"/>
  <c r="V1590" i="2"/>
  <c r="U1590" i="2"/>
  <c r="T1590" i="2"/>
  <c r="S1590" i="2"/>
  <c r="R1590" i="2"/>
  <c r="Q1590" i="2"/>
  <c r="P1590" i="2"/>
  <c r="O1590" i="2"/>
  <c r="N1590" i="2"/>
  <c r="K1590" i="2"/>
  <c r="J1590" i="2"/>
  <c r="I1590" i="2"/>
  <c r="H1590" i="2"/>
  <c r="G1590" i="2"/>
  <c r="F1590" i="2"/>
  <c r="E1590" i="2"/>
  <c r="D1590" i="2"/>
  <c r="C1590" i="2"/>
  <c r="B1590" i="2"/>
  <c r="A1590" i="2"/>
  <c r="AX1589" i="2"/>
  <c r="AV1589" i="2"/>
  <c r="AU1589" i="2"/>
  <c r="AT1589" i="2"/>
  <c r="AR1589" i="2"/>
  <c r="AQ1589" i="2"/>
  <c r="AP1589" i="2"/>
  <c r="AO1589" i="2"/>
  <c r="AM1589" i="2"/>
  <c r="AK1589" i="2"/>
  <c r="AJ1589" i="2"/>
  <c r="AI1589" i="2"/>
  <c r="AH1589" i="2"/>
  <c r="AG1589" i="2"/>
  <c r="AC1589" i="2"/>
  <c r="AA1589" i="2"/>
  <c r="Z1589" i="2"/>
  <c r="Y1589" i="2"/>
  <c r="X1589" i="2"/>
  <c r="W1589" i="2"/>
  <c r="V1589" i="2"/>
  <c r="U1589" i="2"/>
  <c r="T1589" i="2"/>
  <c r="S1589" i="2"/>
  <c r="R1589" i="2"/>
  <c r="Q1589" i="2"/>
  <c r="P1589" i="2"/>
  <c r="O1589" i="2"/>
  <c r="N1589" i="2"/>
  <c r="K1589" i="2"/>
  <c r="J1589" i="2"/>
  <c r="I1589" i="2"/>
  <c r="H1589" i="2"/>
  <c r="G1589" i="2"/>
  <c r="F1589" i="2"/>
  <c r="E1589" i="2"/>
  <c r="D1589" i="2"/>
  <c r="C1589" i="2"/>
  <c r="B1589" i="2"/>
  <c r="A1589" i="2"/>
  <c r="AX1588" i="2"/>
  <c r="AV1588" i="2"/>
  <c r="AU1588" i="2"/>
  <c r="AT1588" i="2"/>
  <c r="AS1588" i="2"/>
  <c r="AR1588" i="2"/>
  <c r="AQ1588" i="2"/>
  <c r="AP1588" i="2"/>
  <c r="AO1588" i="2"/>
  <c r="AM1588" i="2"/>
  <c r="AL1588" i="2"/>
  <c r="AK1588" i="2"/>
  <c r="AJ1588" i="2"/>
  <c r="AI1588" i="2"/>
  <c r="AH1588" i="2"/>
  <c r="AG1588" i="2"/>
  <c r="AF1588" i="2"/>
  <c r="AE1588" i="2"/>
  <c r="AD1588" i="2"/>
  <c r="AC1588" i="2"/>
  <c r="AA1588" i="2"/>
  <c r="Z1588" i="2"/>
  <c r="Y1588" i="2"/>
  <c r="X1588" i="2"/>
  <c r="W1588" i="2"/>
  <c r="V1588" i="2"/>
  <c r="U1588" i="2"/>
  <c r="T1588" i="2"/>
  <c r="S1588" i="2"/>
  <c r="R1588" i="2"/>
  <c r="Q1588" i="2"/>
  <c r="P1588" i="2"/>
  <c r="O1588" i="2"/>
  <c r="N1588" i="2"/>
  <c r="K1588" i="2"/>
  <c r="J1588" i="2"/>
  <c r="I1588" i="2"/>
  <c r="H1588" i="2"/>
  <c r="G1588" i="2"/>
  <c r="F1588" i="2"/>
  <c r="E1588" i="2"/>
  <c r="D1588" i="2"/>
  <c r="C1588" i="2"/>
  <c r="B1588" i="2"/>
  <c r="A1588" i="2"/>
  <c r="AX1587" i="2"/>
  <c r="AV1587" i="2"/>
  <c r="AU1587" i="2"/>
  <c r="AR1587" i="2"/>
  <c r="AQ1587" i="2"/>
  <c r="AO1587" i="2"/>
  <c r="AM1587" i="2"/>
  <c r="AL1587" i="2"/>
  <c r="AK1587" i="2"/>
  <c r="AJ1587" i="2"/>
  <c r="AI1587" i="2"/>
  <c r="AH1587" i="2"/>
  <c r="AG1587" i="2"/>
  <c r="AD1587" i="2"/>
  <c r="AC1587" i="2"/>
  <c r="AA1587" i="2"/>
  <c r="Z1587" i="2"/>
  <c r="Y1587" i="2"/>
  <c r="X1587" i="2"/>
  <c r="W1587" i="2"/>
  <c r="V1587" i="2"/>
  <c r="U1587" i="2"/>
  <c r="T1587" i="2"/>
  <c r="S1587" i="2"/>
  <c r="Q1587" i="2"/>
  <c r="P1587" i="2"/>
  <c r="O1587" i="2"/>
  <c r="N1587" i="2"/>
  <c r="K1587" i="2"/>
  <c r="J1587" i="2"/>
  <c r="I1587" i="2"/>
  <c r="H1587" i="2"/>
  <c r="G1587" i="2"/>
  <c r="F1587" i="2"/>
  <c r="E1587" i="2"/>
  <c r="D1587" i="2"/>
  <c r="C1587" i="2"/>
  <c r="B1587" i="2"/>
  <c r="A1587" i="2"/>
  <c r="AX1586" i="2"/>
  <c r="AV1586" i="2"/>
  <c r="AU1586" i="2"/>
  <c r="AT1586" i="2"/>
  <c r="AS1586" i="2"/>
  <c r="AR1586" i="2"/>
  <c r="AQ1586" i="2"/>
  <c r="AO1586" i="2"/>
  <c r="AM1586" i="2"/>
  <c r="AK1586" i="2"/>
  <c r="AJ1586" i="2"/>
  <c r="AI1586" i="2"/>
  <c r="AH1586" i="2"/>
  <c r="AG1586" i="2"/>
  <c r="AE1586" i="2"/>
  <c r="AD1586" i="2"/>
  <c r="AC1586" i="2"/>
  <c r="AA1586" i="2"/>
  <c r="Z1586" i="2"/>
  <c r="Y1586" i="2"/>
  <c r="X1586" i="2"/>
  <c r="W1586" i="2"/>
  <c r="V1586" i="2"/>
  <c r="U1586" i="2"/>
  <c r="T1586" i="2"/>
  <c r="S1586" i="2"/>
  <c r="R1586" i="2"/>
  <c r="Q1586" i="2"/>
  <c r="P1586" i="2"/>
  <c r="O1586" i="2"/>
  <c r="N1586" i="2"/>
  <c r="K1586" i="2"/>
  <c r="J1586" i="2"/>
  <c r="I1586" i="2"/>
  <c r="H1586" i="2"/>
  <c r="G1586" i="2"/>
  <c r="F1586" i="2"/>
  <c r="E1586" i="2"/>
  <c r="D1586" i="2"/>
  <c r="C1586" i="2"/>
  <c r="B1586" i="2"/>
  <c r="A1586" i="2"/>
  <c r="AX1585" i="2"/>
  <c r="AV1585" i="2"/>
  <c r="AU1585" i="2"/>
  <c r="AT1585" i="2"/>
  <c r="AS1585" i="2"/>
  <c r="AR1585" i="2"/>
  <c r="AO1585" i="2"/>
  <c r="AM1585" i="2"/>
  <c r="AL1585" i="2"/>
  <c r="AK1585" i="2"/>
  <c r="AJ1585" i="2"/>
  <c r="AI1585" i="2"/>
  <c r="AH1585" i="2"/>
  <c r="AG1585" i="2"/>
  <c r="AE1585" i="2"/>
  <c r="AD1585" i="2"/>
  <c r="AC1585" i="2"/>
  <c r="AA1585" i="2"/>
  <c r="Z1585" i="2"/>
  <c r="Y1585" i="2"/>
  <c r="X1585" i="2"/>
  <c r="W1585" i="2"/>
  <c r="U1585" i="2"/>
  <c r="T1585" i="2"/>
  <c r="S1585" i="2"/>
  <c r="R1585" i="2"/>
  <c r="Q1585" i="2"/>
  <c r="P1585" i="2"/>
  <c r="O1585" i="2"/>
  <c r="N1585" i="2"/>
  <c r="M1585" i="2"/>
  <c r="L1585" i="2"/>
  <c r="K1585" i="2"/>
  <c r="J1585" i="2"/>
  <c r="I1585" i="2"/>
  <c r="H1585" i="2"/>
  <c r="G1585" i="2"/>
  <c r="F1585" i="2"/>
  <c r="E1585" i="2"/>
  <c r="D1585" i="2"/>
  <c r="C1585" i="2"/>
  <c r="B1585" i="2"/>
  <c r="A1585" i="2"/>
  <c r="AX1584" i="2"/>
  <c r="AV1584" i="2"/>
  <c r="AU1584" i="2"/>
  <c r="AR1584" i="2"/>
  <c r="AQ1584" i="2"/>
  <c r="AO1584" i="2"/>
  <c r="AM1584" i="2"/>
  <c r="AK1584" i="2"/>
  <c r="AI1584" i="2"/>
  <c r="AH1584" i="2"/>
  <c r="AG1584" i="2"/>
  <c r="AC1584" i="2"/>
  <c r="AA1584" i="2"/>
  <c r="Z1584" i="2"/>
  <c r="Y1584" i="2"/>
  <c r="X1584" i="2"/>
  <c r="W1584" i="2"/>
  <c r="V1584" i="2"/>
  <c r="U1584" i="2"/>
  <c r="T1584" i="2"/>
  <c r="S1584" i="2"/>
  <c r="R1584" i="2"/>
  <c r="Q1584" i="2"/>
  <c r="P1584" i="2"/>
  <c r="O1584" i="2"/>
  <c r="N1584" i="2"/>
  <c r="K1584" i="2"/>
  <c r="J1584" i="2"/>
  <c r="I1584" i="2"/>
  <c r="H1584" i="2"/>
  <c r="G1584" i="2"/>
  <c r="F1584" i="2"/>
  <c r="E1584" i="2"/>
  <c r="D1584" i="2"/>
  <c r="C1584" i="2"/>
  <c r="B1584" i="2"/>
  <c r="A1584" i="2"/>
  <c r="AX1583" i="2"/>
  <c r="AV1583" i="2"/>
  <c r="AU1583" i="2"/>
  <c r="AT1583" i="2"/>
  <c r="AS1583" i="2"/>
  <c r="AR1583" i="2"/>
  <c r="AO1583" i="2"/>
  <c r="AM1583" i="2"/>
  <c r="AK1583" i="2"/>
  <c r="AJ1583" i="2"/>
  <c r="AI1583" i="2"/>
  <c r="AH1583" i="2"/>
  <c r="AG1583" i="2"/>
  <c r="AE1583" i="2"/>
  <c r="AD1583" i="2"/>
  <c r="AC1583" i="2"/>
  <c r="AB1583" i="2"/>
  <c r="AA1583" i="2"/>
  <c r="Z1583" i="2"/>
  <c r="Y1583" i="2"/>
  <c r="X1583" i="2"/>
  <c r="W1583" i="2"/>
  <c r="V1583" i="2"/>
  <c r="U1583" i="2"/>
  <c r="T1583" i="2"/>
  <c r="S1583" i="2"/>
  <c r="R1583" i="2"/>
  <c r="Q1583" i="2"/>
  <c r="P1583" i="2"/>
  <c r="O1583" i="2"/>
  <c r="N1583" i="2"/>
  <c r="M1583" i="2"/>
  <c r="L1583" i="2"/>
  <c r="K1583" i="2"/>
  <c r="J1583" i="2"/>
  <c r="I1583" i="2"/>
  <c r="H1583" i="2"/>
  <c r="G1583" i="2"/>
  <c r="F1583" i="2"/>
  <c r="E1583" i="2"/>
  <c r="D1583" i="2"/>
  <c r="C1583" i="2"/>
  <c r="B1583" i="2"/>
  <c r="A1583" i="2"/>
  <c r="AX1582" i="2"/>
  <c r="AV1582" i="2"/>
  <c r="AU1582" i="2"/>
  <c r="AR1582" i="2"/>
  <c r="AP1582" i="2"/>
  <c r="AO1582" i="2"/>
  <c r="AM1582" i="2"/>
  <c r="AL1582" i="2"/>
  <c r="AK1582" i="2"/>
  <c r="AJ1582" i="2"/>
  <c r="AI1582" i="2"/>
  <c r="AH1582" i="2"/>
  <c r="AG1582" i="2"/>
  <c r="AF1582" i="2"/>
  <c r="AE1582" i="2"/>
  <c r="AD1582" i="2"/>
  <c r="AC1582" i="2"/>
  <c r="AA1582" i="2"/>
  <c r="Z1582" i="2"/>
  <c r="Y1582" i="2"/>
  <c r="X1582" i="2"/>
  <c r="W1582" i="2"/>
  <c r="V1582" i="2"/>
  <c r="U1582" i="2"/>
  <c r="T1582" i="2"/>
  <c r="S1582" i="2"/>
  <c r="R1582" i="2"/>
  <c r="Q1582" i="2"/>
  <c r="P1582" i="2"/>
  <c r="O1582" i="2"/>
  <c r="N1582" i="2"/>
  <c r="M1582" i="2"/>
  <c r="L1582" i="2"/>
  <c r="K1582" i="2"/>
  <c r="J1582" i="2"/>
  <c r="I1582" i="2"/>
  <c r="H1582" i="2"/>
  <c r="G1582" i="2"/>
  <c r="F1582" i="2"/>
  <c r="E1582" i="2"/>
  <c r="D1582" i="2"/>
  <c r="C1582" i="2"/>
  <c r="B1582" i="2"/>
  <c r="A1582" i="2"/>
  <c r="AX1581" i="2"/>
  <c r="AV1581" i="2"/>
  <c r="AU1581" i="2"/>
  <c r="AT1581" i="2"/>
  <c r="AS1581" i="2"/>
  <c r="AR1581" i="2"/>
  <c r="AQ1581" i="2"/>
  <c r="AO1581" i="2"/>
  <c r="AM1581" i="2"/>
  <c r="AL1581" i="2"/>
  <c r="AK1581" i="2"/>
  <c r="AJ1581" i="2"/>
  <c r="AI1581" i="2"/>
  <c r="AH1581" i="2"/>
  <c r="AG1581" i="2"/>
  <c r="AC1581" i="2"/>
  <c r="AA1581" i="2"/>
  <c r="Z1581" i="2"/>
  <c r="Y1581" i="2"/>
  <c r="X1581" i="2"/>
  <c r="W1581" i="2"/>
  <c r="V1581" i="2"/>
  <c r="U1581" i="2"/>
  <c r="T1581" i="2"/>
  <c r="S1581" i="2"/>
  <c r="R1581" i="2"/>
  <c r="Q1581" i="2"/>
  <c r="P1581" i="2"/>
  <c r="O1581" i="2"/>
  <c r="N1581" i="2"/>
  <c r="K1581" i="2"/>
  <c r="J1581" i="2"/>
  <c r="I1581" i="2"/>
  <c r="H1581" i="2"/>
  <c r="G1581" i="2"/>
  <c r="F1581" i="2"/>
  <c r="E1581" i="2"/>
  <c r="D1581" i="2"/>
  <c r="C1581" i="2"/>
  <c r="B1581" i="2"/>
  <c r="A1581" i="2"/>
  <c r="AX1580" i="2"/>
  <c r="AV1580" i="2"/>
  <c r="AU1580" i="2"/>
  <c r="AT1580" i="2"/>
  <c r="AS1580" i="2"/>
  <c r="AR1580" i="2"/>
  <c r="AQ1580" i="2"/>
  <c r="AP1580" i="2"/>
  <c r="AO1580" i="2"/>
  <c r="AM1580" i="2"/>
  <c r="AL1580" i="2"/>
  <c r="AK1580" i="2"/>
  <c r="AJ1580" i="2"/>
  <c r="AI1580" i="2"/>
  <c r="AH1580" i="2"/>
  <c r="AG1580" i="2"/>
  <c r="AE1580" i="2"/>
  <c r="AD1580" i="2"/>
  <c r="AC1580" i="2"/>
  <c r="AA1580" i="2"/>
  <c r="Z1580" i="2"/>
  <c r="Y1580" i="2"/>
  <c r="X1580" i="2"/>
  <c r="W1580" i="2"/>
  <c r="V1580" i="2"/>
  <c r="U1580" i="2"/>
  <c r="T1580" i="2"/>
  <c r="S1580" i="2"/>
  <c r="R1580" i="2"/>
  <c r="Q1580" i="2"/>
  <c r="P1580" i="2"/>
  <c r="O1580" i="2"/>
  <c r="N1580" i="2"/>
  <c r="K1580" i="2"/>
  <c r="J1580" i="2"/>
  <c r="I1580" i="2"/>
  <c r="H1580" i="2"/>
  <c r="G1580" i="2"/>
  <c r="F1580" i="2"/>
  <c r="E1580" i="2"/>
  <c r="D1580" i="2"/>
  <c r="C1580" i="2"/>
  <c r="B1580" i="2"/>
  <c r="A1580" i="2"/>
  <c r="AX1579" i="2"/>
  <c r="AV1579" i="2"/>
  <c r="AU1579" i="2"/>
  <c r="AT1579" i="2"/>
  <c r="AR1579" i="2"/>
  <c r="AQ1579" i="2"/>
  <c r="AO1579" i="2"/>
  <c r="AM1579" i="2"/>
  <c r="AL1579" i="2"/>
  <c r="AK1579" i="2"/>
  <c r="AJ1579" i="2"/>
  <c r="AI1579" i="2"/>
  <c r="AH1579" i="2"/>
  <c r="AG1579" i="2"/>
  <c r="AE1579" i="2"/>
  <c r="AD1579" i="2"/>
  <c r="AC1579" i="2"/>
  <c r="AA1579" i="2"/>
  <c r="Z1579" i="2"/>
  <c r="Y1579" i="2"/>
  <c r="X1579" i="2"/>
  <c r="W1579" i="2"/>
  <c r="V1579" i="2"/>
  <c r="U1579" i="2"/>
  <c r="T1579" i="2"/>
  <c r="S1579" i="2"/>
  <c r="R1579" i="2"/>
  <c r="Q1579" i="2"/>
  <c r="P1579" i="2"/>
  <c r="O1579" i="2"/>
  <c r="N1579" i="2"/>
  <c r="K1579" i="2"/>
  <c r="J1579" i="2"/>
  <c r="I1579" i="2"/>
  <c r="H1579" i="2"/>
  <c r="G1579" i="2"/>
  <c r="F1579" i="2"/>
  <c r="E1579" i="2"/>
  <c r="D1579" i="2"/>
  <c r="C1579" i="2"/>
  <c r="B1579" i="2"/>
  <c r="A1579" i="2"/>
  <c r="AX1578" i="2"/>
  <c r="AV1578" i="2"/>
  <c r="AU1578" i="2"/>
  <c r="AR1578" i="2"/>
  <c r="AQ1578" i="2"/>
  <c r="AM1578" i="2"/>
  <c r="AI1578" i="2"/>
  <c r="AH1578" i="2"/>
  <c r="AG1578" i="2"/>
  <c r="AE1578" i="2"/>
  <c r="AC1578" i="2"/>
  <c r="AA1578" i="2"/>
  <c r="Z1578" i="2"/>
  <c r="Y1578" i="2"/>
  <c r="V1578" i="2"/>
  <c r="U1578" i="2"/>
  <c r="S1578" i="2"/>
  <c r="R1578" i="2"/>
  <c r="Q1578" i="2"/>
  <c r="P1578" i="2"/>
  <c r="O1578" i="2"/>
  <c r="N1578" i="2"/>
  <c r="K1578" i="2"/>
  <c r="J1578" i="2"/>
  <c r="I1578" i="2"/>
  <c r="H1578" i="2"/>
  <c r="G1578" i="2"/>
  <c r="F1578" i="2"/>
  <c r="E1578" i="2"/>
  <c r="D1578" i="2"/>
  <c r="C1578" i="2"/>
  <c r="B1578" i="2"/>
  <c r="A1578" i="2"/>
  <c r="AX1577" i="2"/>
  <c r="AV1577" i="2"/>
  <c r="AU1577" i="2"/>
  <c r="AR1577" i="2"/>
  <c r="AQ1577" i="2"/>
  <c r="AP1577" i="2"/>
  <c r="AO1577" i="2"/>
  <c r="AM1577" i="2"/>
  <c r="AL1577" i="2"/>
  <c r="AK1577" i="2"/>
  <c r="AI1577" i="2"/>
  <c r="AH1577" i="2"/>
  <c r="AG1577" i="2"/>
  <c r="AF1577" i="2"/>
  <c r="AE1577" i="2"/>
  <c r="AD1577" i="2"/>
  <c r="AC1577" i="2"/>
  <c r="AA1577" i="2"/>
  <c r="Z1577" i="2"/>
  <c r="Y1577" i="2"/>
  <c r="W1577" i="2"/>
  <c r="V1577" i="2"/>
  <c r="U1577" i="2"/>
  <c r="T1577" i="2"/>
  <c r="S1577" i="2"/>
  <c r="R1577" i="2"/>
  <c r="Q1577" i="2"/>
  <c r="P1577" i="2"/>
  <c r="O1577" i="2"/>
  <c r="N1577" i="2"/>
  <c r="K1577" i="2"/>
  <c r="J1577" i="2"/>
  <c r="I1577" i="2"/>
  <c r="H1577" i="2"/>
  <c r="G1577" i="2"/>
  <c r="F1577" i="2"/>
  <c r="E1577" i="2"/>
  <c r="D1577" i="2"/>
  <c r="C1577" i="2"/>
  <c r="B1577" i="2"/>
  <c r="A1577" i="2"/>
  <c r="AX1576" i="2"/>
  <c r="AV1576" i="2"/>
  <c r="AU1576" i="2"/>
  <c r="AS1576" i="2"/>
  <c r="AR1576" i="2"/>
  <c r="AQ1576" i="2"/>
  <c r="AO1576" i="2"/>
  <c r="AM1576" i="2"/>
  <c r="AL1576" i="2"/>
  <c r="AK1576" i="2"/>
  <c r="AJ1576" i="2"/>
  <c r="AI1576" i="2"/>
  <c r="AH1576" i="2"/>
  <c r="AG1576" i="2"/>
  <c r="AF1576" i="2"/>
  <c r="AE1576" i="2"/>
  <c r="AD1576" i="2"/>
  <c r="AC1576" i="2"/>
  <c r="AA1576" i="2"/>
  <c r="Z1576" i="2"/>
  <c r="Y1576" i="2"/>
  <c r="X1576" i="2"/>
  <c r="W1576" i="2"/>
  <c r="V1576" i="2"/>
  <c r="U1576" i="2"/>
  <c r="T1576" i="2"/>
  <c r="S1576" i="2"/>
  <c r="R1576" i="2"/>
  <c r="Q1576" i="2"/>
  <c r="P1576" i="2"/>
  <c r="O1576" i="2"/>
  <c r="N1576" i="2"/>
  <c r="K1576" i="2"/>
  <c r="J1576" i="2"/>
  <c r="I1576" i="2"/>
  <c r="H1576" i="2"/>
  <c r="G1576" i="2"/>
  <c r="F1576" i="2"/>
  <c r="E1576" i="2"/>
  <c r="D1576" i="2"/>
  <c r="C1576" i="2"/>
  <c r="B1576" i="2"/>
  <c r="A1576" i="2"/>
  <c r="AX1575" i="2"/>
  <c r="AV1575" i="2"/>
  <c r="AU1575" i="2"/>
  <c r="AT1575" i="2"/>
  <c r="AR1575" i="2"/>
  <c r="AQ1575" i="2"/>
  <c r="AO1575" i="2"/>
  <c r="AM1575" i="2"/>
  <c r="AK1575" i="2"/>
  <c r="AJ1575" i="2"/>
  <c r="AI1575" i="2"/>
  <c r="AH1575" i="2"/>
  <c r="AG1575" i="2"/>
  <c r="AC1575" i="2"/>
  <c r="AA1575" i="2"/>
  <c r="Z1575" i="2"/>
  <c r="Y1575" i="2"/>
  <c r="X1575" i="2"/>
  <c r="W1575" i="2"/>
  <c r="V1575" i="2"/>
  <c r="U1575" i="2"/>
  <c r="T1575" i="2"/>
  <c r="S1575" i="2"/>
  <c r="R1575" i="2"/>
  <c r="Q1575" i="2"/>
  <c r="P1575" i="2"/>
  <c r="O1575" i="2"/>
  <c r="N1575" i="2"/>
  <c r="K1575" i="2"/>
  <c r="J1575" i="2"/>
  <c r="I1575" i="2"/>
  <c r="H1575" i="2"/>
  <c r="G1575" i="2"/>
  <c r="F1575" i="2"/>
  <c r="E1575" i="2"/>
  <c r="D1575" i="2"/>
  <c r="C1575" i="2"/>
  <c r="B1575" i="2"/>
  <c r="A1575" i="2"/>
  <c r="AX1574" i="2"/>
  <c r="AV1574" i="2"/>
  <c r="AU1574" i="2"/>
  <c r="AT1574" i="2"/>
  <c r="AS1574" i="2"/>
  <c r="AR1574" i="2"/>
  <c r="AQ1574" i="2"/>
  <c r="AO1574" i="2"/>
  <c r="AM1574" i="2"/>
  <c r="AI1574" i="2"/>
  <c r="AH1574" i="2"/>
  <c r="AG1574" i="2"/>
  <c r="AC1574" i="2"/>
  <c r="AA1574" i="2"/>
  <c r="Z1574" i="2"/>
  <c r="Y1574" i="2"/>
  <c r="X1574" i="2"/>
  <c r="W1574" i="2"/>
  <c r="V1574" i="2"/>
  <c r="U1574" i="2"/>
  <c r="T1574" i="2"/>
  <c r="S1574" i="2"/>
  <c r="R1574" i="2"/>
  <c r="Q1574" i="2"/>
  <c r="P1574" i="2"/>
  <c r="O1574" i="2"/>
  <c r="N1574" i="2"/>
  <c r="K1574" i="2"/>
  <c r="J1574" i="2"/>
  <c r="I1574" i="2"/>
  <c r="H1574" i="2"/>
  <c r="G1574" i="2"/>
  <c r="F1574" i="2"/>
  <c r="E1574" i="2"/>
  <c r="D1574" i="2"/>
  <c r="C1574" i="2"/>
  <c r="B1574" i="2"/>
  <c r="A1574" i="2"/>
  <c r="AX1573" i="2"/>
  <c r="AV1573" i="2"/>
  <c r="AU1573" i="2"/>
  <c r="AT1573" i="2"/>
  <c r="AR1573" i="2"/>
  <c r="AQ1573" i="2"/>
  <c r="AO1573" i="2"/>
  <c r="AM1573" i="2"/>
  <c r="AK1573" i="2"/>
  <c r="AJ1573" i="2"/>
  <c r="AI1573" i="2"/>
  <c r="AH1573" i="2"/>
  <c r="AG1573" i="2"/>
  <c r="AC1573" i="2"/>
  <c r="AA1573" i="2"/>
  <c r="Z1573" i="2"/>
  <c r="Y1573" i="2"/>
  <c r="X1573" i="2"/>
  <c r="W1573" i="2"/>
  <c r="V1573" i="2"/>
  <c r="U1573" i="2"/>
  <c r="T1573" i="2"/>
  <c r="S1573" i="2"/>
  <c r="R1573" i="2"/>
  <c r="Q1573" i="2"/>
  <c r="P1573" i="2"/>
  <c r="O1573" i="2"/>
  <c r="N1573" i="2"/>
  <c r="K1573" i="2"/>
  <c r="J1573" i="2"/>
  <c r="I1573" i="2"/>
  <c r="H1573" i="2"/>
  <c r="G1573" i="2"/>
  <c r="F1573" i="2"/>
  <c r="E1573" i="2"/>
  <c r="D1573" i="2"/>
  <c r="C1573" i="2"/>
  <c r="B1573" i="2"/>
  <c r="A1573" i="2"/>
  <c r="AX1572" i="2"/>
  <c r="AV1572" i="2"/>
  <c r="AU1572" i="2"/>
  <c r="AS1572" i="2"/>
  <c r="AO1572" i="2"/>
  <c r="AN1572" i="2"/>
  <c r="AM1572" i="2"/>
  <c r="AK1572" i="2"/>
  <c r="AJ1572" i="2"/>
  <c r="AI1572" i="2"/>
  <c r="AH1572" i="2"/>
  <c r="AG1572" i="2"/>
  <c r="AE1572" i="2"/>
  <c r="AD1572" i="2"/>
  <c r="AC1572" i="2"/>
  <c r="AB1572" i="2"/>
  <c r="AA1572" i="2"/>
  <c r="Z1572" i="2"/>
  <c r="Y1572" i="2"/>
  <c r="X1572" i="2"/>
  <c r="W1572" i="2"/>
  <c r="V1572" i="2"/>
  <c r="U1572" i="2"/>
  <c r="T1572" i="2"/>
  <c r="S1572" i="2"/>
  <c r="R1572" i="2"/>
  <c r="Q1572" i="2"/>
  <c r="P1572" i="2"/>
  <c r="O1572" i="2"/>
  <c r="N1572" i="2"/>
  <c r="M1572" i="2"/>
  <c r="L1572" i="2"/>
  <c r="K1572" i="2"/>
  <c r="J1572" i="2"/>
  <c r="I1572" i="2"/>
  <c r="H1572" i="2"/>
  <c r="G1572" i="2"/>
  <c r="F1572" i="2"/>
  <c r="E1572" i="2"/>
  <c r="D1572" i="2"/>
  <c r="C1572" i="2"/>
  <c r="B1572" i="2"/>
  <c r="A1572" i="2"/>
  <c r="AX1571" i="2"/>
  <c r="AV1571" i="2"/>
  <c r="AU1571" i="2"/>
  <c r="AT1571" i="2"/>
  <c r="AS1571" i="2"/>
  <c r="AR1571" i="2"/>
  <c r="AQ1571" i="2"/>
  <c r="AO1571" i="2"/>
  <c r="AM1571" i="2"/>
  <c r="AL1571" i="2"/>
  <c r="AK1571" i="2"/>
  <c r="AJ1571" i="2"/>
  <c r="AI1571" i="2"/>
  <c r="AH1571" i="2"/>
  <c r="AG1571" i="2"/>
  <c r="AF1571" i="2"/>
  <c r="AE1571" i="2"/>
  <c r="AD1571" i="2"/>
  <c r="AC1571" i="2"/>
  <c r="AA1571" i="2"/>
  <c r="Z1571" i="2"/>
  <c r="Y1571" i="2"/>
  <c r="X1571" i="2"/>
  <c r="W1571" i="2"/>
  <c r="V1571" i="2"/>
  <c r="U1571" i="2"/>
  <c r="T1571" i="2"/>
  <c r="S1571" i="2"/>
  <c r="R1571" i="2"/>
  <c r="Q1571" i="2"/>
  <c r="P1571" i="2"/>
  <c r="O1571" i="2"/>
  <c r="N1571" i="2"/>
  <c r="M1571" i="2"/>
  <c r="L1571" i="2"/>
  <c r="K1571" i="2"/>
  <c r="J1571" i="2"/>
  <c r="I1571" i="2"/>
  <c r="H1571" i="2"/>
  <c r="G1571" i="2"/>
  <c r="F1571" i="2"/>
  <c r="E1571" i="2"/>
  <c r="D1571" i="2"/>
  <c r="C1571" i="2"/>
  <c r="B1571" i="2"/>
  <c r="A1571" i="2"/>
  <c r="AX1570" i="2"/>
  <c r="AV1570" i="2"/>
  <c r="AU1570" i="2"/>
  <c r="AT1570" i="2"/>
  <c r="AR1570" i="2"/>
  <c r="AO1570" i="2"/>
  <c r="AM1570" i="2"/>
  <c r="AK1570" i="2"/>
  <c r="AI1570" i="2"/>
  <c r="AH1570" i="2"/>
  <c r="AG1570" i="2"/>
  <c r="AF1570" i="2"/>
  <c r="AE1570" i="2"/>
  <c r="AD1570" i="2"/>
  <c r="AC1570" i="2"/>
  <c r="Z1570" i="2"/>
  <c r="Y1570" i="2"/>
  <c r="X1570" i="2"/>
  <c r="W1570" i="2"/>
  <c r="V1570" i="2"/>
  <c r="U1570" i="2"/>
  <c r="T1570" i="2"/>
  <c r="S1570" i="2"/>
  <c r="R1570" i="2"/>
  <c r="Q1570" i="2"/>
  <c r="P1570" i="2"/>
  <c r="O1570" i="2"/>
  <c r="N1570" i="2"/>
  <c r="M1570" i="2"/>
  <c r="L1570" i="2"/>
  <c r="K1570" i="2"/>
  <c r="J1570" i="2"/>
  <c r="I1570" i="2"/>
  <c r="H1570" i="2"/>
  <c r="G1570" i="2"/>
  <c r="F1570" i="2"/>
  <c r="E1570" i="2"/>
  <c r="D1570" i="2"/>
  <c r="C1570" i="2"/>
  <c r="B1570" i="2"/>
  <c r="A1570" i="2"/>
  <c r="AX1569" i="2"/>
  <c r="AV1569" i="2"/>
  <c r="AU1569" i="2"/>
  <c r="AT1569" i="2"/>
  <c r="AS1569" i="2"/>
  <c r="AR1569" i="2"/>
  <c r="AQ1569" i="2"/>
  <c r="AP1569" i="2"/>
  <c r="AO1569" i="2"/>
  <c r="AM1569" i="2"/>
  <c r="AK1569" i="2"/>
  <c r="AJ1569" i="2"/>
  <c r="AI1569" i="2"/>
  <c r="AH1569" i="2"/>
  <c r="AG1569" i="2"/>
  <c r="AD1569" i="2"/>
  <c r="AC1569" i="2"/>
  <c r="AA1569" i="2"/>
  <c r="Z1569" i="2"/>
  <c r="Y1569" i="2"/>
  <c r="X1569" i="2"/>
  <c r="W1569" i="2"/>
  <c r="V1569" i="2"/>
  <c r="U1569" i="2"/>
  <c r="T1569" i="2"/>
  <c r="S1569" i="2"/>
  <c r="R1569" i="2"/>
  <c r="Q1569" i="2"/>
  <c r="P1569" i="2"/>
  <c r="O1569" i="2"/>
  <c r="N1569" i="2"/>
  <c r="K1569" i="2"/>
  <c r="J1569" i="2"/>
  <c r="I1569" i="2"/>
  <c r="H1569" i="2"/>
  <c r="G1569" i="2"/>
  <c r="F1569" i="2"/>
  <c r="E1569" i="2"/>
  <c r="D1569" i="2"/>
  <c r="C1569" i="2"/>
  <c r="B1569" i="2"/>
  <c r="A1569" i="2"/>
  <c r="AX1568" i="2"/>
  <c r="AV1568" i="2"/>
  <c r="AU1568" i="2"/>
  <c r="AS1568" i="2"/>
  <c r="AR1568" i="2"/>
  <c r="AQ1568" i="2"/>
  <c r="AO1568" i="2"/>
  <c r="AM1568" i="2"/>
  <c r="AL1568" i="2"/>
  <c r="AK1568" i="2"/>
  <c r="AI1568" i="2"/>
  <c r="AH1568" i="2"/>
  <c r="AG1568" i="2"/>
  <c r="AF1568" i="2"/>
  <c r="AE1568" i="2"/>
  <c r="AD1568" i="2"/>
  <c r="AC1568" i="2"/>
  <c r="AA1568" i="2"/>
  <c r="Z1568" i="2"/>
  <c r="Y1568" i="2"/>
  <c r="X1568" i="2"/>
  <c r="W1568" i="2"/>
  <c r="V1568" i="2"/>
  <c r="U1568" i="2"/>
  <c r="T1568" i="2"/>
  <c r="S1568" i="2"/>
  <c r="R1568" i="2"/>
  <c r="Q1568" i="2"/>
  <c r="P1568" i="2"/>
  <c r="O1568" i="2"/>
  <c r="N1568" i="2"/>
  <c r="K1568" i="2"/>
  <c r="J1568" i="2"/>
  <c r="I1568" i="2"/>
  <c r="H1568" i="2"/>
  <c r="G1568" i="2"/>
  <c r="F1568" i="2"/>
  <c r="E1568" i="2"/>
  <c r="D1568" i="2"/>
  <c r="C1568" i="2"/>
  <c r="B1568" i="2"/>
  <c r="A1568" i="2"/>
  <c r="AX1567" i="2"/>
  <c r="AV1567" i="2"/>
  <c r="AU1567" i="2"/>
  <c r="AT1567" i="2"/>
  <c r="AS1567" i="2"/>
  <c r="AR1567" i="2"/>
  <c r="AQ1567" i="2"/>
  <c r="AP1567" i="2"/>
  <c r="AO1567" i="2"/>
  <c r="AM1567" i="2"/>
  <c r="AK1567" i="2"/>
  <c r="AJ1567" i="2"/>
  <c r="AI1567" i="2"/>
  <c r="AH1567" i="2"/>
  <c r="AG1567" i="2"/>
  <c r="AC1567" i="2"/>
  <c r="AA1567" i="2"/>
  <c r="Z1567" i="2"/>
  <c r="Y1567" i="2"/>
  <c r="X1567" i="2"/>
  <c r="W1567" i="2"/>
  <c r="V1567" i="2"/>
  <c r="U1567" i="2"/>
  <c r="T1567" i="2"/>
  <c r="S1567" i="2"/>
  <c r="R1567" i="2"/>
  <c r="Q1567" i="2"/>
  <c r="P1567" i="2"/>
  <c r="O1567" i="2"/>
  <c r="N1567" i="2"/>
  <c r="K1567" i="2"/>
  <c r="J1567" i="2"/>
  <c r="I1567" i="2"/>
  <c r="H1567" i="2"/>
  <c r="G1567" i="2"/>
  <c r="F1567" i="2"/>
  <c r="E1567" i="2"/>
  <c r="D1567" i="2"/>
  <c r="C1567" i="2"/>
  <c r="B1567" i="2"/>
  <c r="A1567" i="2"/>
  <c r="AX1566" i="2"/>
  <c r="AV1566" i="2"/>
  <c r="AU1566" i="2"/>
  <c r="AT1566" i="2"/>
  <c r="AS1566" i="2"/>
  <c r="AR1566" i="2"/>
  <c r="AQ1566" i="2"/>
  <c r="AO1566" i="2"/>
  <c r="AM1566" i="2"/>
  <c r="AL1566" i="2"/>
  <c r="AK1566" i="2"/>
  <c r="AJ1566" i="2"/>
  <c r="AI1566" i="2"/>
  <c r="AH1566" i="2"/>
  <c r="AG1566" i="2"/>
  <c r="AF1566" i="2"/>
  <c r="AE1566" i="2"/>
  <c r="AD1566" i="2"/>
  <c r="AC1566" i="2"/>
  <c r="AA1566" i="2"/>
  <c r="Z1566" i="2"/>
  <c r="Y1566" i="2"/>
  <c r="X1566" i="2"/>
  <c r="W1566" i="2"/>
  <c r="V1566" i="2"/>
  <c r="U1566" i="2"/>
  <c r="T1566" i="2"/>
  <c r="S1566" i="2"/>
  <c r="R1566" i="2"/>
  <c r="Q1566" i="2"/>
  <c r="P1566" i="2"/>
  <c r="O1566" i="2"/>
  <c r="N1566" i="2"/>
  <c r="K1566" i="2"/>
  <c r="J1566" i="2"/>
  <c r="I1566" i="2"/>
  <c r="H1566" i="2"/>
  <c r="G1566" i="2"/>
  <c r="F1566" i="2"/>
  <c r="E1566" i="2"/>
  <c r="D1566" i="2"/>
  <c r="C1566" i="2"/>
  <c r="B1566" i="2"/>
  <c r="A1566" i="2"/>
  <c r="AX1565" i="2"/>
  <c r="AV1565" i="2"/>
  <c r="AU1565" i="2"/>
  <c r="AS1565" i="2"/>
  <c r="AR1565" i="2"/>
  <c r="AQ1565" i="2"/>
  <c r="AO1565" i="2"/>
  <c r="AM1565" i="2"/>
  <c r="AL1565" i="2"/>
  <c r="AK1565" i="2"/>
  <c r="AJ1565" i="2"/>
  <c r="AI1565" i="2"/>
  <c r="AH1565" i="2"/>
  <c r="AG1565" i="2"/>
  <c r="AD1565" i="2"/>
  <c r="AC1565" i="2"/>
  <c r="AA1565" i="2"/>
  <c r="Z1565" i="2"/>
  <c r="Y1565" i="2"/>
  <c r="X1565" i="2"/>
  <c r="W1565" i="2"/>
  <c r="V1565" i="2"/>
  <c r="U1565" i="2"/>
  <c r="T1565" i="2"/>
  <c r="S1565" i="2"/>
  <c r="R1565" i="2"/>
  <c r="Q1565" i="2"/>
  <c r="P1565" i="2"/>
  <c r="O1565" i="2"/>
  <c r="N1565" i="2"/>
  <c r="K1565" i="2"/>
  <c r="J1565" i="2"/>
  <c r="I1565" i="2"/>
  <c r="H1565" i="2"/>
  <c r="G1565" i="2"/>
  <c r="F1565" i="2"/>
  <c r="E1565" i="2"/>
  <c r="D1565" i="2"/>
  <c r="C1565" i="2"/>
  <c r="B1565" i="2"/>
  <c r="A1565" i="2"/>
  <c r="AX1564" i="2"/>
  <c r="AV1564" i="2"/>
  <c r="AU1564" i="2"/>
  <c r="AT1564" i="2"/>
  <c r="AR1564" i="2"/>
  <c r="AQ1564" i="2"/>
  <c r="AO1564" i="2"/>
  <c r="AM1564" i="2"/>
  <c r="AL1564" i="2"/>
  <c r="AK1564" i="2"/>
  <c r="AJ1564" i="2"/>
  <c r="AI1564" i="2"/>
  <c r="AH1564" i="2"/>
  <c r="AG1564" i="2"/>
  <c r="AE1564" i="2"/>
  <c r="AD1564" i="2"/>
  <c r="AC1564" i="2"/>
  <c r="AA1564" i="2"/>
  <c r="Z1564" i="2"/>
  <c r="Y1564" i="2"/>
  <c r="X1564" i="2"/>
  <c r="W1564" i="2"/>
  <c r="V1564" i="2"/>
  <c r="U1564" i="2"/>
  <c r="T1564" i="2"/>
  <c r="S1564" i="2"/>
  <c r="R1564" i="2"/>
  <c r="Q1564" i="2"/>
  <c r="P1564" i="2"/>
  <c r="O1564" i="2"/>
  <c r="N1564" i="2"/>
  <c r="K1564" i="2"/>
  <c r="J1564" i="2"/>
  <c r="I1564" i="2"/>
  <c r="H1564" i="2"/>
  <c r="G1564" i="2"/>
  <c r="F1564" i="2"/>
  <c r="E1564" i="2"/>
  <c r="D1564" i="2"/>
  <c r="C1564" i="2"/>
  <c r="B1564" i="2"/>
  <c r="A1564" i="2"/>
  <c r="AX1563" i="2"/>
  <c r="AV1563" i="2"/>
  <c r="AU1563" i="2"/>
  <c r="AT1563" i="2"/>
  <c r="AS1563" i="2"/>
  <c r="AR1563" i="2"/>
  <c r="AQ1563" i="2"/>
  <c r="AP1563" i="2"/>
  <c r="AO1563" i="2"/>
  <c r="AN1563" i="2"/>
  <c r="AM1563" i="2"/>
  <c r="AL1563" i="2"/>
  <c r="AK1563" i="2"/>
  <c r="AJ1563" i="2"/>
  <c r="AI1563" i="2"/>
  <c r="AH1563" i="2"/>
  <c r="AG1563" i="2"/>
  <c r="AE1563" i="2"/>
  <c r="AD1563" i="2"/>
  <c r="AC1563" i="2"/>
  <c r="AA1563" i="2"/>
  <c r="Z1563" i="2"/>
  <c r="Y1563" i="2"/>
  <c r="X1563" i="2"/>
  <c r="W1563" i="2"/>
  <c r="V1563" i="2"/>
  <c r="U1563" i="2"/>
  <c r="T1563" i="2"/>
  <c r="S1563" i="2"/>
  <c r="R1563" i="2"/>
  <c r="Q1563" i="2"/>
  <c r="P1563" i="2"/>
  <c r="O1563" i="2"/>
  <c r="N1563" i="2"/>
  <c r="M1563" i="2"/>
  <c r="K1563" i="2"/>
  <c r="J1563" i="2"/>
  <c r="I1563" i="2"/>
  <c r="H1563" i="2"/>
  <c r="G1563" i="2"/>
  <c r="F1563" i="2"/>
  <c r="E1563" i="2"/>
  <c r="D1563" i="2"/>
  <c r="C1563" i="2"/>
  <c r="B1563" i="2"/>
  <c r="A1563" i="2"/>
  <c r="AX1562" i="2"/>
  <c r="AV1562" i="2"/>
  <c r="AU1562" i="2"/>
  <c r="AS1562" i="2"/>
  <c r="AR1562" i="2"/>
  <c r="AQ1562" i="2"/>
  <c r="AP1562" i="2"/>
  <c r="AO1562" i="2"/>
  <c r="AM1562" i="2"/>
  <c r="AK1562" i="2"/>
  <c r="AJ1562" i="2"/>
  <c r="AI1562" i="2"/>
  <c r="AH1562" i="2"/>
  <c r="AG1562" i="2"/>
  <c r="AF1562" i="2"/>
  <c r="AE1562" i="2"/>
  <c r="AD1562" i="2"/>
  <c r="AC1562" i="2"/>
  <c r="AA1562" i="2"/>
  <c r="Z1562" i="2"/>
  <c r="Y1562" i="2"/>
  <c r="X1562" i="2"/>
  <c r="W1562" i="2"/>
  <c r="V1562" i="2"/>
  <c r="U1562" i="2"/>
  <c r="T1562" i="2"/>
  <c r="S1562" i="2"/>
  <c r="R1562" i="2"/>
  <c r="Q1562" i="2"/>
  <c r="P1562" i="2"/>
  <c r="O1562" i="2"/>
  <c r="N1562" i="2"/>
  <c r="K1562" i="2"/>
  <c r="J1562" i="2"/>
  <c r="I1562" i="2"/>
  <c r="H1562" i="2"/>
  <c r="G1562" i="2"/>
  <c r="F1562" i="2"/>
  <c r="E1562" i="2"/>
  <c r="D1562" i="2"/>
  <c r="C1562" i="2"/>
  <c r="B1562" i="2"/>
  <c r="A1562" i="2"/>
  <c r="AX1561" i="2"/>
  <c r="AV1561" i="2"/>
  <c r="AU1561" i="2"/>
  <c r="AT1561" i="2"/>
  <c r="AS1561" i="2"/>
  <c r="AR1561" i="2"/>
  <c r="AQ1561" i="2"/>
  <c r="AO1561" i="2"/>
  <c r="AM1561" i="2"/>
  <c r="AL1561" i="2"/>
  <c r="AK1561" i="2"/>
  <c r="AJ1561" i="2"/>
  <c r="AI1561" i="2"/>
  <c r="AH1561" i="2"/>
  <c r="AG1561" i="2"/>
  <c r="AE1561" i="2"/>
  <c r="AD1561" i="2"/>
  <c r="AC1561" i="2"/>
  <c r="AA1561" i="2"/>
  <c r="Z1561" i="2"/>
  <c r="Y1561" i="2"/>
  <c r="X1561" i="2"/>
  <c r="W1561" i="2"/>
  <c r="V1561" i="2"/>
  <c r="U1561" i="2"/>
  <c r="T1561" i="2"/>
  <c r="S1561" i="2"/>
  <c r="R1561" i="2"/>
  <c r="Q1561" i="2"/>
  <c r="P1561" i="2"/>
  <c r="O1561" i="2"/>
  <c r="N1561" i="2"/>
  <c r="K1561" i="2"/>
  <c r="J1561" i="2"/>
  <c r="I1561" i="2"/>
  <c r="H1561" i="2"/>
  <c r="G1561" i="2"/>
  <c r="F1561" i="2"/>
  <c r="E1561" i="2"/>
  <c r="D1561" i="2"/>
  <c r="C1561" i="2"/>
  <c r="B1561" i="2"/>
  <c r="A1561" i="2"/>
  <c r="AX1560" i="2"/>
  <c r="AV1560" i="2"/>
  <c r="AU1560" i="2"/>
  <c r="AT1560" i="2"/>
  <c r="AR1560" i="2"/>
  <c r="AQ1560" i="2"/>
  <c r="AO1560" i="2"/>
  <c r="AM1560" i="2"/>
  <c r="AL1560" i="2"/>
  <c r="AK1560" i="2"/>
  <c r="AJ1560" i="2"/>
  <c r="AI1560" i="2"/>
  <c r="AH1560" i="2"/>
  <c r="AG1560" i="2"/>
  <c r="AF1560" i="2"/>
  <c r="AE1560" i="2"/>
  <c r="AD1560" i="2"/>
  <c r="AC1560" i="2"/>
  <c r="AA1560" i="2"/>
  <c r="Z1560" i="2"/>
  <c r="Y1560" i="2"/>
  <c r="X1560" i="2"/>
  <c r="W1560" i="2"/>
  <c r="V1560" i="2"/>
  <c r="U1560" i="2"/>
  <c r="T1560" i="2"/>
  <c r="S1560" i="2"/>
  <c r="R1560" i="2"/>
  <c r="Q1560" i="2"/>
  <c r="P1560" i="2"/>
  <c r="O1560" i="2"/>
  <c r="N1560" i="2"/>
  <c r="M1560" i="2"/>
  <c r="K1560" i="2"/>
  <c r="J1560" i="2"/>
  <c r="I1560" i="2"/>
  <c r="H1560" i="2"/>
  <c r="G1560" i="2"/>
  <c r="F1560" i="2"/>
  <c r="E1560" i="2"/>
  <c r="D1560" i="2"/>
  <c r="C1560" i="2"/>
  <c r="B1560" i="2"/>
  <c r="A1560" i="2"/>
  <c r="AX1559" i="2"/>
  <c r="AV1559" i="2"/>
  <c r="AU1559" i="2"/>
  <c r="AT1559" i="2"/>
  <c r="AS1559" i="2"/>
  <c r="AR1559" i="2"/>
  <c r="AQ1559" i="2"/>
  <c r="AP1559" i="2"/>
  <c r="AO1559" i="2"/>
  <c r="AM1559" i="2"/>
  <c r="AK1559" i="2"/>
  <c r="AJ1559" i="2"/>
  <c r="AI1559" i="2"/>
  <c r="AH1559" i="2"/>
  <c r="AG1559" i="2"/>
  <c r="AD1559" i="2"/>
  <c r="AC1559" i="2"/>
  <c r="AA1559" i="2"/>
  <c r="Z1559" i="2"/>
  <c r="Y1559" i="2"/>
  <c r="X1559" i="2"/>
  <c r="W1559" i="2"/>
  <c r="V1559" i="2"/>
  <c r="U1559" i="2"/>
  <c r="T1559" i="2"/>
  <c r="S1559" i="2"/>
  <c r="R1559" i="2"/>
  <c r="Q1559" i="2"/>
  <c r="P1559" i="2"/>
  <c r="O1559" i="2"/>
  <c r="N1559" i="2"/>
  <c r="K1559" i="2"/>
  <c r="J1559" i="2"/>
  <c r="I1559" i="2"/>
  <c r="H1559" i="2"/>
  <c r="G1559" i="2"/>
  <c r="F1559" i="2"/>
  <c r="E1559" i="2"/>
  <c r="D1559" i="2"/>
  <c r="C1559" i="2"/>
  <c r="B1559" i="2"/>
  <c r="A1559" i="2"/>
  <c r="AX1558" i="2"/>
  <c r="AV1558" i="2"/>
  <c r="AU1558" i="2"/>
  <c r="AT1558" i="2"/>
  <c r="AS1558" i="2"/>
  <c r="AR1558" i="2"/>
  <c r="AQ1558" i="2"/>
  <c r="AP1558" i="2"/>
  <c r="AO1558" i="2"/>
  <c r="AM1558" i="2"/>
  <c r="AL1558" i="2"/>
  <c r="AK1558" i="2"/>
  <c r="AJ1558" i="2"/>
  <c r="AI1558" i="2"/>
  <c r="AH1558" i="2"/>
  <c r="AG1558" i="2"/>
  <c r="AE1558" i="2"/>
  <c r="AD1558" i="2"/>
  <c r="AC1558" i="2"/>
  <c r="AA1558" i="2"/>
  <c r="Z1558" i="2"/>
  <c r="Y1558" i="2"/>
  <c r="X1558" i="2"/>
  <c r="W1558" i="2"/>
  <c r="V1558" i="2"/>
  <c r="U1558" i="2"/>
  <c r="T1558" i="2"/>
  <c r="S1558" i="2"/>
  <c r="R1558" i="2"/>
  <c r="Q1558" i="2"/>
  <c r="P1558" i="2"/>
  <c r="O1558" i="2"/>
  <c r="N1558" i="2"/>
  <c r="K1558" i="2"/>
  <c r="J1558" i="2"/>
  <c r="I1558" i="2"/>
  <c r="H1558" i="2"/>
  <c r="G1558" i="2"/>
  <c r="F1558" i="2"/>
  <c r="E1558" i="2"/>
  <c r="D1558" i="2"/>
  <c r="C1558" i="2"/>
  <c r="B1558" i="2"/>
  <c r="A1558" i="2"/>
  <c r="AX1557" i="2"/>
  <c r="AV1557" i="2"/>
  <c r="AU1557" i="2"/>
  <c r="AT1557" i="2"/>
  <c r="AR1557" i="2"/>
  <c r="AQ1557" i="2"/>
  <c r="AO1557" i="2"/>
  <c r="AM1557" i="2"/>
  <c r="AL1557" i="2"/>
  <c r="AK1557" i="2"/>
  <c r="AJ1557" i="2"/>
  <c r="AI1557" i="2"/>
  <c r="AH1557" i="2"/>
  <c r="AG1557" i="2"/>
  <c r="AE1557" i="2"/>
  <c r="AD1557" i="2"/>
  <c r="AC1557" i="2"/>
  <c r="AA1557" i="2"/>
  <c r="Z1557" i="2"/>
  <c r="Y1557" i="2"/>
  <c r="X1557" i="2"/>
  <c r="W1557" i="2"/>
  <c r="V1557" i="2"/>
  <c r="U1557" i="2"/>
  <c r="T1557" i="2"/>
  <c r="S1557" i="2"/>
  <c r="R1557" i="2"/>
  <c r="Q1557" i="2"/>
  <c r="P1557" i="2"/>
  <c r="O1557" i="2"/>
  <c r="N1557" i="2"/>
  <c r="K1557" i="2"/>
  <c r="J1557" i="2"/>
  <c r="I1557" i="2"/>
  <c r="H1557" i="2"/>
  <c r="G1557" i="2"/>
  <c r="F1557" i="2"/>
  <c r="E1557" i="2"/>
  <c r="D1557" i="2"/>
  <c r="C1557" i="2"/>
  <c r="B1557" i="2"/>
  <c r="A1557" i="2"/>
  <c r="AX1556" i="2"/>
  <c r="AV1556" i="2"/>
  <c r="AU1556" i="2"/>
  <c r="AT1556" i="2"/>
  <c r="AR1556" i="2"/>
  <c r="AQ1556" i="2"/>
  <c r="AP1556" i="2"/>
  <c r="AM1556" i="2"/>
  <c r="AL1556" i="2"/>
  <c r="AK1556" i="2"/>
  <c r="AI1556" i="2"/>
  <c r="AH1556" i="2"/>
  <c r="AG1556" i="2"/>
  <c r="AE1556" i="2"/>
  <c r="AC1556" i="2"/>
  <c r="AA1556" i="2"/>
  <c r="Z1556" i="2"/>
  <c r="Y1556" i="2"/>
  <c r="W1556" i="2"/>
  <c r="V1556" i="2"/>
  <c r="U1556" i="2"/>
  <c r="T1556" i="2"/>
  <c r="S1556" i="2"/>
  <c r="R1556" i="2"/>
  <c r="Q1556" i="2"/>
  <c r="P1556" i="2"/>
  <c r="O1556" i="2"/>
  <c r="N1556" i="2"/>
  <c r="M1556" i="2"/>
  <c r="K1556" i="2"/>
  <c r="J1556" i="2"/>
  <c r="I1556" i="2"/>
  <c r="H1556" i="2"/>
  <c r="G1556" i="2"/>
  <c r="F1556" i="2"/>
  <c r="E1556" i="2"/>
  <c r="D1556" i="2"/>
  <c r="C1556" i="2"/>
  <c r="B1556" i="2"/>
  <c r="A1556" i="2"/>
  <c r="AX1555" i="2"/>
  <c r="AV1555" i="2"/>
  <c r="AU1555" i="2"/>
  <c r="AT1555" i="2"/>
  <c r="AS1555" i="2"/>
  <c r="AR1555" i="2"/>
  <c r="AQ1555" i="2"/>
  <c r="AP1555" i="2"/>
  <c r="AI1555" i="2"/>
  <c r="AH1555" i="2"/>
  <c r="AG1555" i="2"/>
  <c r="AE1555" i="2"/>
  <c r="AD1555" i="2"/>
  <c r="AC1555" i="2"/>
  <c r="AA1555" i="2"/>
  <c r="Z1555" i="2"/>
  <c r="Y1555" i="2"/>
  <c r="X1555" i="2"/>
  <c r="W1555" i="2"/>
  <c r="V1555" i="2"/>
  <c r="U1555" i="2"/>
  <c r="T1555" i="2"/>
  <c r="S1555" i="2"/>
  <c r="R1555" i="2"/>
  <c r="Q1555" i="2"/>
  <c r="P1555" i="2"/>
  <c r="O1555" i="2"/>
  <c r="N1555" i="2"/>
  <c r="K1555" i="2"/>
  <c r="J1555" i="2"/>
  <c r="I1555" i="2"/>
  <c r="H1555" i="2"/>
  <c r="G1555" i="2"/>
  <c r="F1555" i="2"/>
  <c r="E1555" i="2"/>
  <c r="D1555" i="2"/>
  <c r="C1555" i="2"/>
  <c r="B1555" i="2"/>
  <c r="A1555" i="2"/>
  <c r="AX1554" i="2"/>
  <c r="AV1554" i="2"/>
  <c r="AU1554" i="2"/>
  <c r="AT1554" i="2"/>
  <c r="AS1554" i="2"/>
  <c r="AR1554" i="2"/>
  <c r="AQ1554" i="2"/>
  <c r="AO1554" i="2"/>
  <c r="AM1554" i="2"/>
  <c r="AL1554" i="2"/>
  <c r="AK1554" i="2"/>
  <c r="AJ1554" i="2"/>
  <c r="AI1554" i="2"/>
  <c r="AH1554" i="2"/>
  <c r="AG1554" i="2"/>
  <c r="AF1554" i="2"/>
  <c r="AE1554" i="2"/>
  <c r="AD1554" i="2"/>
  <c r="AC1554" i="2"/>
  <c r="AA1554" i="2"/>
  <c r="Z1554" i="2"/>
  <c r="Y1554" i="2"/>
  <c r="X1554" i="2"/>
  <c r="W1554" i="2"/>
  <c r="V1554" i="2"/>
  <c r="U1554" i="2"/>
  <c r="T1554" i="2"/>
  <c r="S1554" i="2"/>
  <c r="R1554" i="2"/>
  <c r="Q1554" i="2"/>
  <c r="P1554" i="2"/>
  <c r="O1554" i="2"/>
  <c r="N1554" i="2"/>
  <c r="K1554" i="2"/>
  <c r="J1554" i="2"/>
  <c r="I1554" i="2"/>
  <c r="H1554" i="2"/>
  <c r="G1554" i="2"/>
  <c r="F1554" i="2"/>
  <c r="E1554" i="2"/>
  <c r="D1554" i="2"/>
  <c r="C1554" i="2"/>
  <c r="B1554" i="2"/>
  <c r="A1554" i="2"/>
  <c r="AX1553" i="2"/>
  <c r="AV1553" i="2"/>
  <c r="AU1553" i="2"/>
  <c r="AT1553" i="2"/>
  <c r="AS1553" i="2"/>
  <c r="AR1553" i="2"/>
  <c r="AQ1553" i="2"/>
  <c r="AP1553" i="2"/>
  <c r="AO1553" i="2"/>
  <c r="AM1553" i="2"/>
  <c r="AL1553" i="2"/>
  <c r="AK1553" i="2"/>
  <c r="AJ1553" i="2"/>
  <c r="AI1553" i="2"/>
  <c r="AH1553" i="2"/>
  <c r="AG1553" i="2"/>
  <c r="AE1553" i="2"/>
  <c r="AD1553" i="2"/>
  <c r="AC1553" i="2"/>
  <c r="AA1553" i="2"/>
  <c r="Z1553" i="2"/>
  <c r="Y1553" i="2"/>
  <c r="X1553" i="2"/>
  <c r="W1553" i="2"/>
  <c r="V1553" i="2"/>
  <c r="U1553" i="2"/>
  <c r="T1553" i="2"/>
  <c r="S1553" i="2"/>
  <c r="R1553" i="2"/>
  <c r="Q1553" i="2"/>
  <c r="P1553" i="2"/>
  <c r="O1553" i="2"/>
  <c r="N1553" i="2"/>
  <c r="K1553" i="2"/>
  <c r="J1553" i="2"/>
  <c r="I1553" i="2"/>
  <c r="H1553" i="2"/>
  <c r="G1553" i="2"/>
  <c r="F1553" i="2"/>
  <c r="E1553" i="2"/>
  <c r="D1553" i="2"/>
  <c r="C1553" i="2"/>
  <c r="B1553" i="2"/>
  <c r="A1553" i="2"/>
  <c r="AX1552" i="2"/>
  <c r="AV1552" i="2"/>
  <c r="AU1552" i="2"/>
  <c r="AT1552" i="2"/>
  <c r="AS1552" i="2"/>
  <c r="AR1552" i="2"/>
  <c r="AQ1552" i="2"/>
  <c r="AO1552" i="2"/>
  <c r="AM1552" i="2"/>
  <c r="AL1552" i="2"/>
  <c r="AK1552" i="2"/>
  <c r="AJ1552" i="2"/>
  <c r="AI1552" i="2"/>
  <c r="AH1552" i="2"/>
  <c r="AG1552" i="2"/>
  <c r="AE1552" i="2"/>
  <c r="AD1552" i="2"/>
  <c r="AC1552" i="2"/>
  <c r="AA1552" i="2"/>
  <c r="Z1552" i="2"/>
  <c r="Y1552" i="2"/>
  <c r="X1552" i="2"/>
  <c r="W1552" i="2"/>
  <c r="V1552" i="2"/>
  <c r="U1552" i="2"/>
  <c r="T1552" i="2"/>
  <c r="S1552" i="2"/>
  <c r="R1552" i="2"/>
  <c r="Q1552" i="2"/>
  <c r="P1552" i="2"/>
  <c r="O1552" i="2"/>
  <c r="N1552" i="2"/>
  <c r="K1552" i="2"/>
  <c r="J1552" i="2"/>
  <c r="I1552" i="2"/>
  <c r="H1552" i="2"/>
  <c r="G1552" i="2"/>
  <c r="F1552" i="2"/>
  <c r="E1552" i="2"/>
  <c r="D1552" i="2"/>
  <c r="C1552" i="2"/>
  <c r="B1552" i="2"/>
  <c r="A1552" i="2"/>
  <c r="AX1551" i="2"/>
  <c r="AV1551" i="2"/>
  <c r="AU1551" i="2"/>
  <c r="AT1551" i="2"/>
  <c r="AS1551" i="2"/>
  <c r="AR1551" i="2"/>
  <c r="AQ1551" i="2"/>
  <c r="AO1551" i="2"/>
  <c r="AM1551" i="2"/>
  <c r="AK1551" i="2"/>
  <c r="AJ1551" i="2"/>
  <c r="AI1551" i="2"/>
  <c r="AH1551" i="2"/>
  <c r="AG1551" i="2"/>
  <c r="AC1551" i="2"/>
  <c r="AA1551" i="2"/>
  <c r="Z1551" i="2"/>
  <c r="Y1551" i="2"/>
  <c r="X1551" i="2"/>
  <c r="W1551" i="2"/>
  <c r="V1551" i="2"/>
  <c r="U1551" i="2"/>
  <c r="T1551" i="2"/>
  <c r="S1551" i="2"/>
  <c r="R1551" i="2"/>
  <c r="Q1551" i="2"/>
  <c r="P1551" i="2"/>
  <c r="O1551" i="2"/>
  <c r="N1551" i="2"/>
  <c r="K1551" i="2"/>
  <c r="J1551" i="2"/>
  <c r="I1551" i="2"/>
  <c r="H1551" i="2"/>
  <c r="G1551" i="2"/>
  <c r="F1551" i="2"/>
  <c r="E1551" i="2"/>
  <c r="D1551" i="2"/>
  <c r="C1551" i="2"/>
  <c r="B1551" i="2"/>
  <c r="A1551" i="2"/>
  <c r="AX1550" i="2"/>
  <c r="AV1550" i="2"/>
  <c r="AU1550" i="2"/>
  <c r="AT1550" i="2"/>
  <c r="AS1550" i="2"/>
  <c r="AR1550" i="2"/>
  <c r="AQ1550" i="2"/>
  <c r="AO1550" i="2"/>
  <c r="AN1550" i="2"/>
  <c r="AM1550" i="2"/>
  <c r="AL1550" i="2"/>
  <c r="AK1550" i="2"/>
  <c r="AJ1550" i="2"/>
  <c r="AI1550" i="2"/>
  <c r="AH1550" i="2"/>
  <c r="AG1550" i="2"/>
  <c r="AF1550" i="2"/>
  <c r="AE1550" i="2"/>
  <c r="AD1550" i="2"/>
  <c r="AC1550" i="2"/>
  <c r="AA1550" i="2"/>
  <c r="Z1550" i="2"/>
  <c r="Y1550" i="2"/>
  <c r="X1550" i="2"/>
  <c r="W1550" i="2"/>
  <c r="V1550" i="2"/>
  <c r="U1550" i="2"/>
  <c r="T1550" i="2"/>
  <c r="S1550" i="2"/>
  <c r="R1550" i="2"/>
  <c r="Q1550" i="2"/>
  <c r="P1550" i="2"/>
  <c r="O1550" i="2"/>
  <c r="N1550" i="2"/>
  <c r="K1550" i="2"/>
  <c r="J1550" i="2"/>
  <c r="I1550" i="2"/>
  <c r="H1550" i="2"/>
  <c r="G1550" i="2"/>
  <c r="F1550" i="2"/>
  <c r="E1550" i="2"/>
  <c r="D1550" i="2"/>
  <c r="C1550" i="2"/>
  <c r="B1550" i="2"/>
  <c r="A1550" i="2"/>
  <c r="AX1549" i="2"/>
  <c r="AV1549" i="2"/>
  <c r="AU1549" i="2"/>
  <c r="AR1549" i="2"/>
  <c r="AQ1549" i="2"/>
  <c r="AO1549" i="2"/>
  <c r="AM1549" i="2"/>
  <c r="AL1549" i="2"/>
  <c r="AK1549" i="2"/>
  <c r="AJ1549" i="2"/>
  <c r="AI1549" i="2"/>
  <c r="AH1549" i="2"/>
  <c r="AG1549" i="2"/>
  <c r="AE1549" i="2"/>
  <c r="AC1549" i="2"/>
  <c r="AA1549" i="2"/>
  <c r="Z1549" i="2"/>
  <c r="Y1549" i="2"/>
  <c r="X1549" i="2"/>
  <c r="W1549" i="2"/>
  <c r="V1549" i="2"/>
  <c r="U1549" i="2"/>
  <c r="T1549" i="2"/>
  <c r="S1549" i="2"/>
  <c r="R1549" i="2"/>
  <c r="Q1549" i="2"/>
  <c r="P1549" i="2"/>
  <c r="O1549" i="2"/>
  <c r="N1549" i="2"/>
  <c r="K1549" i="2"/>
  <c r="J1549" i="2"/>
  <c r="I1549" i="2"/>
  <c r="H1549" i="2"/>
  <c r="G1549" i="2"/>
  <c r="F1549" i="2"/>
  <c r="E1549" i="2"/>
  <c r="D1549" i="2"/>
  <c r="C1549" i="2"/>
  <c r="B1549" i="2"/>
  <c r="A1549" i="2"/>
  <c r="AX1548" i="2"/>
  <c r="AV1548" i="2"/>
  <c r="AU1548" i="2"/>
  <c r="AT1548" i="2"/>
  <c r="AS1548" i="2"/>
  <c r="AR1548" i="2"/>
  <c r="AQ1548" i="2"/>
  <c r="AO1548" i="2"/>
  <c r="AM1548" i="2"/>
  <c r="AL1548" i="2"/>
  <c r="AK1548" i="2"/>
  <c r="AJ1548" i="2"/>
  <c r="AI1548" i="2"/>
  <c r="AH1548" i="2"/>
  <c r="AG1548" i="2"/>
  <c r="AE1548" i="2"/>
  <c r="AC1548" i="2"/>
  <c r="AA1548" i="2"/>
  <c r="Z1548" i="2"/>
  <c r="Y1548" i="2"/>
  <c r="X1548" i="2"/>
  <c r="W1548" i="2"/>
  <c r="V1548" i="2"/>
  <c r="U1548" i="2"/>
  <c r="T1548" i="2"/>
  <c r="S1548" i="2"/>
  <c r="R1548" i="2"/>
  <c r="Q1548" i="2"/>
  <c r="P1548" i="2"/>
  <c r="O1548" i="2"/>
  <c r="N1548" i="2"/>
  <c r="K1548" i="2"/>
  <c r="J1548" i="2"/>
  <c r="I1548" i="2"/>
  <c r="H1548" i="2"/>
  <c r="G1548" i="2"/>
  <c r="F1548" i="2"/>
  <c r="E1548" i="2"/>
  <c r="D1548" i="2"/>
  <c r="C1548" i="2"/>
  <c r="B1548" i="2"/>
  <c r="A1548" i="2"/>
  <c r="AX1547" i="2"/>
  <c r="AV1547" i="2"/>
  <c r="AU1547" i="2"/>
  <c r="AT1547" i="2"/>
  <c r="AS1547" i="2"/>
  <c r="AR1547" i="2"/>
  <c r="AQ1547" i="2"/>
  <c r="AO1547" i="2"/>
  <c r="AM1547" i="2"/>
  <c r="AL1547" i="2"/>
  <c r="AK1547" i="2"/>
  <c r="AJ1547" i="2"/>
  <c r="AI1547" i="2"/>
  <c r="AH1547" i="2"/>
  <c r="AG1547" i="2"/>
  <c r="AF1547" i="2"/>
  <c r="AE1547" i="2"/>
  <c r="AD1547" i="2"/>
  <c r="AC1547" i="2"/>
  <c r="AA1547" i="2"/>
  <c r="Z1547" i="2"/>
  <c r="Y1547" i="2"/>
  <c r="X1547" i="2"/>
  <c r="W1547" i="2"/>
  <c r="V1547" i="2"/>
  <c r="U1547" i="2"/>
  <c r="T1547" i="2"/>
  <c r="S1547" i="2"/>
  <c r="R1547" i="2"/>
  <c r="Q1547" i="2"/>
  <c r="P1547" i="2"/>
  <c r="O1547" i="2"/>
  <c r="N1547" i="2"/>
  <c r="K1547" i="2"/>
  <c r="J1547" i="2"/>
  <c r="I1547" i="2"/>
  <c r="H1547" i="2"/>
  <c r="G1547" i="2"/>
  <c r="F1547" i="2"/>
  <c r="E1547" i="2"/>
  <c r="D1547" i="2"/>
  <c r="C1547" i="2"/>
  <c r="B1547" i="2"/>
  <c r="A1547" i="2"/>
  <c r="AX1546" i="2"/>
  <c r="AV1546" i="2"/>
  <c r="AU1546" i="2"/>
  <c r="AT1546" i="2"/>
  <c r="AS1546" i="2"/>
  <c r="AR1546" i="2"/>
  <c r="AQ1546" i="2"/>
  <c r="AO1546" i="2"/>
  <c r="AM1546" i="2"/>
  <c r="AL1546" i="2"/>
  <c r="AK1546" i="2"/>
  <c r="AJ1546" i="2"/>
  <c r="AI1546" i="2"/>
  <c r="AH1546" i="2"/>
  <c r="AG1546" i="2"/>
  <c r="AE1546" i="2"/>
  <c r="AD1546" i="2"/>
  <c r="AC1546" i="2"/>
  <c r="AA1546" i="2"/>
  <c r="Z1546" i="2"/>
  <c r="Y1546" i="2"/>
  <c r="X1546" i="2"/>
  <c r="W1546" i="2"/>
  <c r="V1546" i="2"/>
  <c r="U1546" i="2"/>
  <c r="T1546" i="2"/>
  <c r="S1546" i="2"/>
  <c r="R1546" i="2"/>
  <c r="Q1546" i="2"/>
  <c r="P1546" i="2"/>
  <c r="O1546" i="2"/>
  <c r="N1546" i="2"/>
  <c r="K1546" i="2"/>
  <c r="J1546" i="2"/>
  <c r="I1546" i="2"/>
  <c r="H1546" i="2"/>
  <c r="G1546" i="2"/>
  <c r="F1546" i="2"/>
  <c r="E1546" i="2"/>
  <c r="D1546" i="2"/>
  <c r="C1546" i="2"/>
  <c r="B1546" i="2"/>
  <c r="A1546" i="2"/>
  <c r="AX1545" i="2"/>
  <c r="AV1545" i="2"/>
  <c r="AU1545" i="2"/>
  <c r="AR1545" i="2"/>
  <c r="AQ1545" i="2"/>
  <c r="AO1545" i="2"/>
  <c r="AM1545" i="2"/>
  <c r="AL1545" i="2"/>
  <c r="AK1545" i="2"/>
  <c r="AJ1545" i="2"/>
  <c r="AI1545" i="2"/>
  <c r="AH1545" i="2"/>
  <c r="AG1545" i="2"/>
  <c r="AE1545" i="2"/>
  <c r="AD1545" i="2"/>
  <c r="AC1545" i="2"/>
  <c r="AA1545" i="2"/>
  <c r="Z1545" i="2"/>
  <c r="Y1545" i="2"/>
  <c r="X1545" i="2"/>
  <c r="W1545" i="2"/>
  <c r="V1545" i="2"/>
  <c r="U1545" i="2"/>
  <c r="T1545" i="2"/>
  <c r="S1545" i="2"/>
  <c r="R1545" i="2"/>
  <c r="Q1545" i="2"/>
  <c r="P1545" i="2"/>
  <c r="O1545" i="2"/>
  <c r="N1545" i="2"/>
  <c r="K1545" i="2"/>
  <c r="J1545" i="2"/>
  <c r="I1545" i="2"/>
  <c r="H1545" i="2"/>
  <c r="G1545" i="2"/>
  <c r="F1545" i="2"/>
  <c r="E1545" i="2"/>
  <c r="D1545" i="2"/>
  <c r="C1545" i="2"/>
  <c r="B1545" i="2"/>
  <c r="A1545" i="2"/>
  <c r="AX1544" i="2"/>
  <c r="AV1544" i="2"/>
  <c r="AU1544" i="2"/>
  <c r="AT1544" i="2"/>
  <c r="AR1544" i="2"/>
  <c r="AQ1544" i="2"/>
  <c r="AO1544" i="2"/>
  <c r="AM1544" i="2"/>
  <c r="AL1544" i="2"/>
  <c r="AK1544" i="2"/>
  <c r="AJ1544" i="2"/>
  <c r="AI1544" i="2"/>
  <c r="AH1544" i="2"/>
  <c r="AG1544" i="2"/>
  <c r="AF1544" i="2"/>
  <c r="AE1544" i="2"/>
  <c r="AC1544" i="2"/>
  <c r="AA1544" i="2"/>
  <c r="Z1544" i="2"/>
  <c r="Y1544" i="2"/>
  <c r="X1544" i="2"/>
  <c r="W1544" i="2"/>
  <c r="V1544" i="2"/>
  <c r="U1544" i="2"/>
  <c r="T1544" i="2"/>
  <c r="S1544" i="2"/>
  <c r="R1544" i="2"/>
  <c r="Q1544" i="2"/>
  <c r="P1544" i="2"/>
  <c r="O1544" i="2"/>
  <c r="N1544" i="2"/>
  <c r="K1544" i="2"/>
  <c r="J1544" i="2"/>
  <c r="I1544" i="2"/>
  <c r="H1544" i="2"/>
  <c r="G1544" i="2"/>
  <c r="F1544" i="2"/>
  <c r="E1544" i="2"/>
  <c r="D1544" i="2"/>
  <c r="C1544" i="2"/>
  <c r="B1544" i="2"/>
  <c r="A1544" i="2"/>
  <c r="AX1543" i="2"/>
  <c r="AV1543" i="2"/>
  <c r="AU1543" i="2"/>
  <c r="AT1543" i="2"/>
  <c r="AR1543" i="2"/>
  <c r="AQ1543" i="2"/>
  <c r="AO1543" i="2"/>
  <c r="AM1543" i="2"/>
  <c r="AK1543" i="2"/>
  <c r="AJ1543" i="2"/>
  <c r="AI1543" i="2"/>
  <c r="AH1543" i="2"/>
  <c r="AG1543" i="2"/>
  <c r="AD1543" i="2"/>
  <c r="AC1543" i="2"/>
  <c r="AA1543" i="2"/>
  <c r="Z1543" i="2"/>
  <c r="Y1543" i="2"/>
  <c r="X1543" i="2"/>
  <c r="W1543" i="2"/>
  <c r="V1543" i="2"/>
  <c r="U1543" i="2"/>
  <c r="T1543" i="2"/>
  <c r="S1543" i="2"/>
  <c r="R1543" i="2"/>
  <c r="Q1543" i="2"/>
  <c r="P1543" i="2"/>
  <c r="O1543" i="2"/>
  <c r="N1543" i="2"/>
  <c r="K1543" i="2"/>
  <c r="J1543" i="2"/>
  <c r="I1543" i="2"/>
  <c r="H1543" i="2"/>
  <c r="G1543" i="2"/>
  <c r="F1543" i="2"/>
  <c r="E1543" i="2"/>
  <c r="D1543" i="2"/>
  <c r="C1543" i="2"/>
  <c r="B1543" i="2"/>
  <c r="A1543" i="2"/>
  <c r="AX1542" i="2"/>
  <c r="AV1542" i="2"/>
  <c r="AU1542" i="2"/>
  <c r="AT1542" i="2"/>
  <c r="AR1542" i="2"/>
  <c r="AQ1542" i="2"/>
  <c r="AO1542" i="2"/>
  <c r="AM1542" i="2"/>
  <c r="AL1542" i="2"/>
  <c r="AK1542" i="2"/>
  <c r="AJ1542" i="2"/>
  <c r="AI1542" i="2"/>
  <c r="AH1542" i="2"/>
  <c r="AG1542" i="2"/>
  <c r="AF1542" i="2"/>
  <c r="AE1542" i="2"/>
  <c r="AD1542" i="2"/>
  <c r="AC1542" i="2"/>
  <c r="AA1542" i="2"/>
  <c r="Z1542" i="2"/>
  <c r="Y1542" i="2"/>
  <c r="V1542" i="2"/>
  <c r="U1542" i="2"/>
  <c r="T1542" i="2"/>
  <c r="S1542" i="2"/>
  <c r="R1542" i="2"/>
  <c r="Q1542" i="2"/>
  <c r="P1542" i="2"/>
  <c r="O1542" i="2"/>
  <c r="N1542" i="2"/>
  <c r="K1542" i="2"/>
  <c r="J1542" i="2"/>
  <c r="I1542" i="2"/>
  <c r="H1542" i="2"/>
  <c r="G1542" i="2"/>
  <c r="F1542" i="2"/>
  <c r="E1542" i="2"/>
  <c r="D1542" i="2"/>
  <c r="C1542" i="2"/>
  <c r="B1542" i="2"/>
  <c r="A1542" i="2"/>
  <c r="AX1541" i="2"/>
  <c r="AV1541" i="2"/>
  <c r="AU1541" i="2"/>
  <c r="AT1541" i="2"/>
  <c r="AS1541" i="2"/>
  <c r="AR1541" i="2"/>
  <c r="AQ1541" i="2"/>
  <c r="AO1541" i="2"/>
  <c r="AM1541" i="2"/>
  <c r="AL1541" i="2"/>
  <c r="AK1541" i="2"/>
  <c r="AJ1541" i="2"/>
  <c r="AI1541" i="2"/>
  <c r="AH1541" i="2"/>
  <c r="AG1541" i="2"/>
  <c r="AE1541" i="2"/>
  <c r="AD1541" i="2"/>
  <c r="AC1541" i="2"/>
  <c r="AA1541" i="2"/>
  <c r="Z1541" i="2"/>
  <c r="Y1541" i="2"/>
  <c r="X1541" i="2"/>
  <c r="W1541" i="2"/>
  <c r="V1541" i="2"/>
  <c r="U1541" i="2"/>
  <c r="T1541" i="2"/>
  <c r="S1541" i="2"/>
  <c r="R1541" i="2"/>
  <c r="Q1541" i="2"/>
  <c r="P1541" i="2"/>
  <c r="O1541" i="2"/>
  <c r="N1541" i="2"/>
  <c r="K1541" i="2"/>
  <c r="J1541" i="2"/>
  <c r="I1541" i="2"/>
  <c r="H1541" i="2"/>
  <c r="G1541" i="2"/>
  <c r="F1541" i="2"/>
  <c r="E1541" i="2"/>
  <c r="D1541" i="2"/>
  <c r="C1541" i="2"/>
  <c r="B1541" i="2"/>
  <c r="A1541" i="2"/>
  <c r="AX1540" i="2"/>
  <c r="AV1540" i="2"/>
  <c r="AU1540" i="2"/>
  <c r="AR1540" i="2"/>
  <c r="AQ1540" i="2"/>
  <c r="AO1540" i="2"/>
  <c r="AM1540" i="2"/>
  <c r="AL1540" i="2"/>
  <c r="AK1540" i="2"/>
  <c r="AJ1540" i="2"/>
  <c r="AI1540" i="2"/>
  <c r="AH1540" i="2"/>
  <c r="AG1540" i="2"/>
  <c r="AE1540" i="2"/>
  <c r="AC1540" i="2"/>
  <c r="AA1540" i="2"/>
  <c r="Z1540" i="2"/>
  <c r="Y1540" i="2"/>
  <c r="X1540" i="2"/>
  <c r="W1540" i="2"/>
  <c r="V1540" i="2"/>
  <c r="U1540" i="2"/>
  <c r="T1540" i="2"/>
  <c r="S1540" i="2"/>
  <c r="R1540" i="2"/>
  <c r="Q1540" i="2"/>
  <c r="P1540" i="2"/>
  <c r="O1540" i="2"/>
  <c r="N1540" i="2"/>
  <c r="K1540" i="2"/>
  <c r="J1540" i="2"/>
  <c r="I1540" i="2"/>
  <c r="H1540" i="2"/>
  <c r="G1540" i="2"/>
  <c r="F1540" i="2"/>
  <c r="E1540" i="2"/>
  <c r="D1540" i="2"/>
  <c r="C1540" i="2"/>
  <c r="B1540" i="2"/>
  <c r="A1540" i="2"/>
  <c r="AX1539" i="2"/>
  <c r="AV1539" i="2"/>
  <c r="AU1539" i="2"/>
  <c r="AR1539" i="2"/>
  <c r="AQ1539" i="2"/>
  <c r="AP1539" i="2"/>
  <c r="AO1539" i="2"/>
  <c r="AM1539" i="2"/>
  <c r="AL1539" i="2"/>
  <c r="AK1539" i="2"/>
  <c r="AJ1539" i="2"/>
  <c r="AI1539" i="2"/>
  <c r="AH1539" i="2"/>
  <c r="AG1539" i="2"/>
  <c r="AF1539" i="2"/>
  <c r="AE1539" i="2"/>
  <c r="AD1539" i="2"/>
  <c r="AC1539" i="2"/>
  <c r="AA1539" i="2"/>
  <c r="Z1539" i="2"/>
  <c r="Y1539" i="2"/>
  <c r="X1539" i="2"/>
  <c r="W1539" i="2"/>
  <c r="V1539" i="2"/>
  <c r="U1539" i="2"/>
  <c r="T1539" i="2"/>
  <c r="S1539" i="2"/>
  <c r="R1539" i="2"/>
  <c r="Q1539" i="2"/>
  <c r="P1539" i="2"/>
  <c r="O1539" i="2"/>
  <c r="N1539" i="2"/>
  <c r="K1539" i="2"/>
  <c r="J1539" i="2"/>
  <c r="I1539" i="2"/>
  <c r="H1539" i="2"/>
  <c r="G1539" i="2"/>
  <c r="F1539" i="2"/>
  <c r="E1539" i="2"/>
  <c r="D1539" i="2"/>
  <c r="C1539" i="2"/>
  <c r="B1539" i="2"/>
  <c r="A1539" i="2"/>
  <c r="AX1538" i="2"/>
  <c r="AV1538" i="2"/>
  <c r="AU1538" i="2"/>
  <c r="AT1538" i="2"/>
  <c r="AS1538" i="2"/>
  <c r="AR1538" i="2"/>
  <c r="AQ1538" i="2"/>
  <c r="AO1538" i="2"/>
  <c r="AM1538" i="2"/>
  <c r="AL1538" i="2"/>
  <c r="AK1538" i="2"/>
  <c r="AJ1538" i="2"/>
  <c r="AI1538" i="2"/>
  <c r="AH1538" i="2"/>
  <c r="AG1538" i="2"/>
  <c r="AF1538" i="2"/>
  <c r="AE1538" i="2"/>
  <c r="AD1538" i="2"/>
  <c r="AC1538" i="2"/>
  <c r="AA1538" i="2"/>
  <c r="Z1538" i="2"/>
  <c r="Y1538" i="2"/>
  <c r="X1538" i="2"/>
  <c r="W1538" i="2"/>
  <c r="V1538" i="2"/>
  <c r="U1538" i="2"/>
  <c r="T1538" i="2"/>
  <c r="S1538" i="2"/>
  <c r="R1538" i="2"/>
  <c r="Q1538" i="2"/>
  <c r="P1538" i="2"/>
  <c r="O1538" i="2"/>
  <c r="N1538" i="2"/>
  <c r="K1538" i="2"/>
  <c r="J1538" i="2"/>
  <c r="I1538" i="2"/>
  <c r="H1538" i="2"/>
  <c r="G1538" i="2"/>
  <c r="F1538" i="2"/>
  <c r="E1538" i="2"/>
  <c r="D1538" i="2"/>
  <c r="C1538" i="2"/>
  <c r="B1538" i="2"/>
  <c r="A1538" i="2"/>
  <c r="AX1537" i="2"/>
  <c r="AV1537" i="2"/>
  <c r="AU1537" i="2"/>
  <c r="AR1537" i="2"/>
  <c r="AQ1537" i="2"/>
  <c r="AP1537" i="2"/>
  <c r="AO1537" i="2"/>
  <c r="AM1537" i="2"/>
  <c r="AL1537" i="2"/>
  <c r="AK1537" i="2"/>
  <c r="AJ1537" i="2"/>
  <c r="AI1537" i="2"/>
  <c r="AH1537" i="2"/>
  <c r="AG1537" i="2"/>
  <c r="AF1537" i="2"/>
  <c r="AE1537" i="2"/>
  <c r="AD1537" i="2"/>
  <c r="AC1537" i="2"/>
  <c r="AA1537" i="2"/>
  <c r="Z1537" i="2"/>
  <c r="Y1537" i="2"/>
  <c r="X1537" i="2"/>
  <c r="W1537" i="2"/>
  <c r="V1537" i="2"/>
  <c r="U1537" i="2"/>
  <c r="T1537" i="2"/>
  <c r="S1537" i="2"/>
  <c r="R1537" i="2"/>
  <c r="Q1537" i="2"/>
  <c r="P1537" i="2"/>
  <c r="O1537" i="2"/>
  <c r="N1537" i="2"/>
  <c r="K1537" i="2"/>
  <c r="J1537" i="2"/>
  <c r="I1537" i="2"/>
  <c r="H1537" i="2"/>
  <c r="G1537" i="2"/>
  <c r="F1537" i="2"/>
  <c r="E1537" i="2"/>
  <c r="D1537" i="2"/>
  <c r="C1537" i="2"/>
  <c r="B1537" i="2"/>
  <c r="A1537" i="2"/>
  <c r="AX1536" i="2"/>
  <c r="AV1536" i="2"/>
  <c r="AU1536" i="2"/>
  <c r="AT1536" i="2"/>
  <c r="AS1536" i="2"/>
  <c r="AR1536" i="2"/>
  <c r="AQ1536" i="2"/>
  <c r="AO1536" i="2"/>
  <c r="AM1536" i="2"/>
  <c r="AL1536" i="2"/>
  <c r="AK1536" i="2"/>
  <c r="AJ1536" i="2"/>
  <c r="AI1536" i="2"/>
  <c r="AH1536" i="2"/>
  <c r="AG1536" i="2"/>
  <c r="AE1536" i="2"/>
  <c r="AD1536" i="2"/>
  <c r="AC1536" i="2"/>
  <c r="AA1536" i="2"/>
  <c r="Z1536" i="2"/>
  <c r="Y1536" i="2"/>
  <c r="X1536" i="2"/>
  <c r="W1536" i="2"/>
  <c r="V1536" i="2"/>
  <c r="U1536" i="2"/>
  <c r="T1536" i="2"/>
  <c r="S1536" i="2"/>
  <c r="R1536" i="2"/>
  <c r="Q1536" i="2"/>
  <c r="P1536" i="2"/>
  <c r="O1536" i="2"/>
  <c r="N1536" i="2"/>
  <c r="K1536" i="2"/>
  <c r="J1536" i="2"/>
  <c r="I1536" i="2"/>
  <c r="H1536" i="2"/>
  <c r="G1536" i="2"/>
  <c r="F1536" i="2"/>
  <c r="E1536" i="2"/>
  <c r="D1536" i="2"/>
  <c r="C1536" i="2"/>
  <c r="B1536" i="2"/>
  <c r="A1536" i="2"/>
  <c r="AX1535" i="2"/>
  <c r="AV1535" i="2"/>
  <c r="AU1535" i="2"/>
  <c r="AT1535" i="2"/>
  <c r="AS1535" i="2"/>
  <c r="AR1535" i="2"/>
  <c r="AQ1535" i="2"/>
  <c r="AO1535" i="2"/>
  <c r="AM1535" i="2"/>
  <c r="AL1535" i="2"/>
  <c r="AK1535" i="2"/>
  <c r="AI1535" i="2"/>
  <c r="AH1535" i="2"/>
  <c r="AG1535" i="2"/>
  <c r="AE1535" i="2"/>
  <c r="AD1535" i="2"/>
  <c r="AC1535" i="2"/>
  <c r="AA1535" i="2"/>
  <c r="Z1535" i="2"/>
  <c r="Y1535" i="2"/>
  <c r="X1535" i="2"/>
  <c r="W1535" i="2"/>
  <c r="V1535" i="2"/>
  <c r="U1535" i="2"/>
  <c r="T1535" i="2"/>
  <c r="S1535" i="2"/>
  <c r="R1535" i="2"/>
  <c r="Q1535" i="2"/>
  <c r="P1535" i="2"/>
  <c r="O1535" i="2"/>
  <c r="N1535" i="2"/>
  <c r="K1535" i="2"/>
  <c r="J1535" i="2"/>
  <c r="I1535" i="2"/>
  <c r="H1535" i="2"/>
  <c r="G1535" i="2"/>
  <c r="F1535" i="2"/>
  <c r="E1535" i="2"/>
  <c r="D1535" i="2"/>
  <c r="C1535" i="2"/>
  <c r="B1535" i="2"/>
  <c r="A1535" i="2"/>
  <c r="AX1534" i="2"/>
  <c r="AV1534" i="2"/>
  <c r="AU1534" i="2"/>
  <c r="AR1534" i="2"/>
  <c r="AQ1534" i="2"/>
  <c r="AP1534" i="2"/>
  <c r="AO1534" i="2"/>
  <c r="AM1534" i="2"/>
  <c r="AL1534" i="2"/>
  <c r="AK1534" i="2"/>
  <c r="AJ1534" i="2"/>
  <c r="AI1534" i="2"/>
  <c r="AH1534" i="2"/>
  <c r="AG1534" i="2"/>
  <c r="AF1534" i="2"/>
  <c r="AE1534" i="2"/>
  <c r="AD1534" i="2"/>
  <c r="AC1534" i="2"/>
  <c r="AA1534" i="2"/>
  <c r="Z1534" i="2"/>
  <c r="Y1534" i="2"/>
  <c r="X1534" i="2"/>
  <c r="W1534" i="2"/>
  <c r="V1534" i="2"/>
  <c r="U1534" i="2"/>
  <c r="T1534" i="2"/>
  <c r="S1534" i="2"/>
  <c r="R1534" i="2"/>
  <c r="Q1534" i="2"/>
  <c r="P1534" i="2"/>
  <c r="O1534" i="2"/>
  <c r="N1534" i="2"/>
  <c r="K1534" i="2"/>
  <c r="J1534" i="2"/>
  <c r="I1534" i="2"/>
  <c r="H1534" i="2"/>
  <c r="G1534" i="2"/>
  <c r="F1534" i="2"/>
  <c r="E1534" i="2"/>
  <c r="D1534" i="2"/>
  <c r="C1534" i="2"/>
  <c r="B1534" i="2"/>
  <c r="A1534" i="2"/>
  <c r="AX1533" i="2"/>
  <c r="AV1533" i="2"/>
  <c r="AU1533" i="2"/>
  <c r="AR1533" i="2"/>
  <c r="AQ1533" i="2"/>
  <c r="AO1533" i="2"/>
  <c r="AM1533" i="2"/>
  <c r="AL1533" i="2"/>
  <c r="AK1533" i="2"/>
  <c r="AJ1533" i="2"/>
  <c r="AI1533" i="2"/>
  <c r="AH1533" i="2"/>
  <c r="AG1533" i="2"/>
  <c r="AF1533" i="2"/>
  <c r="AE1533" i="2"/>
  <c r="AD1533" i="2"/>
  <c r="AC1533" i="2"/>
  <c r="AA1533" i="2"/>
  <c r="Z1533" i="2"/>
  <c r="Y1533" i="2"/>
  <c r="X1533" i="2"/>
  <c r="W1533" i="2"/>
  <c r="V1533" i="2"/>
  <c r="U1533" i="2"/>
  <c r="T1533" i="2"/>
  <c r="S1533" i="2"/>
  <c r="R1533" i="2"/>
  <c r="Q1533" i="2"/>
  <c r="P1533" i="2"/>
  <c r="O1533" i="2"/>
  <c r="N1533" i="2"/>
  <c r="K1533" i="2"/>
  <c r="J1533" i="2"/>
  <c r="I1533" i="2"/>
  <c r="H1533" i="2"/>
  <c r="G1533" i="2"/>
  <c r="F1533" i="2"/>
  <c r="E1533" i="2"/>
  <c r="D1533" i="2"/>
  <c r="C1533" i="2"/>
  <c r="B1533" i="2"/>
  <c r="A1533" i="2"/>
  <c r="AX1532" i="2"/>
  <c r="AV1532" i="2"/>
  <c r="AU1532" i="2"/>
  <c r="AT1532" i="2"/>
  <c r="AR1532" i="2"/>
  <c r="AQ1532" i="2"/>
  <c r="AO1532" i="2"/>
  <c r="AM1532" i="2"/>
  <c r="AL1532" i="2"/>
  <c r="AK1532" i="2"/>
  <c r="AJ1532" i="2"/>
  <c r="AI1532" i="2"/>
  <c r="AH1532" i="2"/>
  <c r="AG1532" i="2"/>
  <c r="AD1532" i="2"/>
  <c r="AC1532" i="2"/>
  <c r="AA1532" i="2"/>
  <c r="Z1532" i="2"/>
  <c r="Y1532" i="2"/>
  <c r="W1532" i="2"/>
  <c r="V1532" i="2"/>
  <c r="U1532" i="2"/>
  <c r="T1532" i="2"/>
  <c r="S1532" i="2"/>
  <c r="R1532" i="2"/>
  <c r="Q1532" i="2"/>
  <c r="P1532" i="2"/>
  <c r="O1532" i="2"/>
  <c r="N1532" i="2"/>
  <c r="K1532" i="2"/>
  <c r="J1532" i="2"/>
  <c r="I1532" i="2"/>
  <c r="H1532" i="2"/>
  <c r="G1532" i="2"/>
  <c r="F1532" i="2"/>
  <c r="E1532" i="2"/>
  <c r="D1532" i="2"/>
  <c r="C1532" i="2"/>
  <c r="B1532" i="2"/>
  <c r="A1532" i="2"/>
  <c r="AX1531" i="2"/>
  <c r="AV1531" i="2"/>
  <c r="AU1531" i="2"/>
  <c r="AT1531" i="2"/>
  <c r="AR1531" i="2"/>
  <c r="AQ1531" i="2"/>
  <c r="AP1531" i="2"/>
  <c r="AO1531" i="2"/>
  <c r="AM1531" i="2"/>
  <c r="AL1531" i="2"/>
  <c r="AJ1531" i="2"/>
  <c r="AI1531" i="2"/>
  <c r="AH1531" i="2"/>
  <c r="AG1531" i="2"/>
  <c r="AD1531" i="2"/>
  <c r="AC1531" i="2"/>
  <c r="AA1531" i="2"/>
  <c r="Z1531" i="2"/>
  <c r="Y1531" i="2"/>
  <c r="X1531" i="2"/>
  <c r="W1531" i="2"/>
  <c r="V1531" i="2"/>
  <c r="U1531" i="2"/>
  <c r="T1531" i="2"/>
  <c r="S1531" i="2"/>
  <c r="R1531" i="2"/>
  <c r="Q1531" i="2"/>
  <c r="P1531" i="2"/>
  <c r="O1531" i="2"/>
  <c r="N1531" i="2"/>
  <c r="M1531" i="2"/>
  <c r="L1531" i="2"/>
  <c r="K1531" i="2"/>
  <c r="J1531" i="2"/>
  <c r="I1531" i="2"/>
  <c r="H1531" i="2"/>
  <c r="G1531" i="2"/>
  <c r="F1531" i="2"/>
  <c r="E1531" i="2"/>
  <c r="D1531" i="2"/>
  <c r="C1531" i="2"/>
  <c r="B1531" i="2"/>
  <c r="A1531" i="2"/>
  <c r="AX1530" i="2"/>
  <c r="AV1530" i="2"/>
  <c r="AU1530" i="2"/>
  <c r="AS1530" i="2"/>
  <c r="AR1530" i="2"/>
  <c r="AQ1530" i="2"/>
  <c r="AO1530" i="2"/>
  <c r="AM1530" i="2"/>
  <c r="AL1530" i="2"/>
  <c r="AK1530" i="2"/>
  <c r="AJ1530" i="2"/>
  <c r="AI1530" i="2"/>
  <c r="AH1530" i="2"/>
  <c r="AG1530" i="2"/>
  <c r="AF1530" i="2"/>
  <c r="AE1530" i="2"/>
  <c r="AD1530" i="2"/>
  <c r="AC1530" i="2"/>
  <c r="AA1530" i="2"/>
  <c r="Z1530" i="2"/>
  <c r="Y1530" i="2"/>
  <c r="X1530" i="2"/>
  <c r="W1530" i="2"/>
  <c r="V1530" i="2"/>
  <c r="U1530" i="2"/>
  <c r="T1530" i="2"/>
  <c r="S1530" i="2"/>
  <c r="R1530" i="2"/>
  <c r="Q1530" i="2"/>
  <c r="P1530" i="2"/>
  <c r="O1530" i="2"/>
  <c r="N1530" i="2"/>
  <c r="K1530" i="2"/>
  <c r="J1530" i="2"/>
  <c r="I1530" i="2"/>
  <c r="H1530" i="2"/>
  <c r="G1530" i="2"/>
  <c r="F1530" i="2"/>
  <c r="E1530" i="2"/>
  <c r="D1530" i="2"/>
  <c r="C1530" i="2"/>
  <c r="B1530" i="2"/>
  <c r="A1530" i="2"/>
  <c r="AX1529" i="2"/>
  <c r="AV1529" i="2"/>
  <c r="AU1529" i="2"/>
  <c r="AT1529" i="2"/>
  <c r="AS1529" i="2"/>
  <c r="AR1529" i="2"/>
  <c r="AQ1529" i="2"/>
  <c r="AO1529" i="2"/>
  <c r="AM1529" i="2"/>
  <c r="AL1529" i="2"/>
  <c r="AK1529" i="2"/>
  <c r="AJ1529" i="2"/>
  <c r="AI1529" i="2"/>
  <c r="AH1529" i="2"/>
  <c r="AG1529" i="2"/>
  <c r="AE1529" i="2"/>
  <c r="AC1529" i="2"/>
  <c r="AA1529" i="2"/>
  <c r="Z1529" i="2"/>
  <c r="Y1529" i="2"/>
  <c r="X1529" i="2"/>
  <c r="W1529" i="2"/>
  <c r="V1529" i="2"/>
  <c r="U1529" i="2"/>
  <c r="T1529" i="2"/>
  <c r="S1529" i="2"/>
  <c r="R1529" i="2"/>
  <c r="Q1529" i="2"/>
  <c r="P1529" i="2"/>
  <c r="O1529" i="2"/>
  <c r="N1529" i="2"/>
  <c r="K1529" i="2"/>
  <c r="J1529" i="2"/>
  <c r="I1529" i="2"/>
  <c r="H1529" i="2"/>
  <c r="G1529" i="2"/>
  <c r="F1529" i="2"/>
  <c r="E1529" i="2"/>
  <c r="D1529" i="2"/>
  <c r="C1529" i="2"/>
  <c r="B1529" i="2"/>
  <c r="A1529" i="2"/>
  <c r="AX1528" i="2"/>
  <c r="AV1528" i="2"/>
  <c r="AU1528" i="2"/>
  <c r="AS1528" i="2"/>
  <c r="AR1528" i="2"/>
  <c r="AQ1528" i="2"/>
  <c r="AO1528" i="2"/>
  <c r="AM1528" i="2"/>
  <c r="AL1528" i="2"/>
  <c r="AK1528" i="2"/>
  <c r="AJ1528" i="2"/>
  <c r="AI1528" i="2"/>
  <c r="AH1528" i="2"/>
  <c r="AG1528" i="2"/>
  <c r="AF1528" i="2"/>
  <c r="AD1528" i="2"/>
  <c r="AC1528" i="2"/>
  <c r="AA1528" i="2"/>
  <c r="Z1528" i="2"/>
  <c r="Y1528" i="2"/>
  <c r="X1528" i="2"/>
  <c r="V1528" i="2"/>
  <c r="U1528" i="2"/>
  <c r="T1528" i="2"/>
  <c r="S1528" i="2"/>
  <c r="R1528" i="2"/>
  <c r="Q1528" i="2"/>
  <c r="P1528" i="2"/>
  <c r="O1528" i="2"/>
  <c r="N1528" i="2"/>
  <c r="K1528" i="2"/>
  <c r="J1528" i="2"/>
  <c r="I1528" i="2"/>
  <c r="H1528" i="2"/>
  <c r="G1528" i="2"/>
  <c r="F1528" i="2"/>
  <c r="E1528" i="2"/>
  <c r="D1528" i="2"/>
  <c r="C1528" i="2"/>
  <c r="B1528" i="2"/>
  <c r="A1528" i="2"/>
  <c r="AX1527" i="2"/>
  <c r="AV1527" i="2"/>
  <c r="AU1527" i="2"/>
  <c r="AS1527" i="2"/>
  <c r="AR1527" i="2"/>
  <c r="AQ1527" i="2"/>
  <c r="AP1527" i="2"/>
  <c r="AO1527" i="2"/>
  <c r="AM1527" i="2"/>
  <c r="AL1527" i="2"/>
  <c r="AK1527" i="2"/>
  <c r="AJ1527" i="2"/>
  <c r="AI1527" i="2"/>
  <c r="AH1527" i="2"/>
  <c r="AG1527" i="2"/>
  <c r="AF1527" i="2"/>
  <c r="AE1527" i="2"/>
  <c r="AD1527" i="2"/>
  <c r="AC1527" i="2"/>
  <c r="AA1527" i="2"/>
  <c r="Z1527" i="2"/>
  <c r="Y1527" i="2"/>
  <c r="X1527" i="2"/>
  <c r="W1527" i="2"/>
  <c r="V1527" i="2"/>
  <c r="U1527" i="2"/>
  <c r="T1527" i="2"/>
  <c r="S1527" i="2"/>
  <c r="R1527" i="2"/>
  <c r="Q1527" i="2"/>
  <c r="P1527" i="2"/>
  <c r="O1527" i="2"/>
  <c r="N1527" i="2"/>
  <c r="K1527" i="2"/>
  <c r="J1527" i="2"/>
  <c r="I1527" i="2"/>
  <c r="H1527" i="2"/>
  <c r="G1527" i="2"/>
  <c r="F1527" i="2"/>
  <c r="E1527" i="2"/>
  <c r="D1527" i="2"/>
  <c r="C1527" i="2"/>
  <c r="B1527" i="2"/>
  <c r="A1527" i="2"/>
  <c r="AX1526" i="2"/>
  <c r="AV1526" i="2"/>
  <c r="AU1526" i="2"/>
  <c r="AR1526" i="2"/>
  <c r="AQ1526" i="2"/>
  <c r="AO1526" i="2"/>
  <c r="AM1526" i="2"/>
  <c r="AL1526" i="2"/>
  <c r="AK1526" i="2"/>
  <c r="AJ1526" i="2"/>
  <c r="AI1526" i="2"/>
  <c r="AH1526" i="2"/>
  <c r="AG1526" i="2"/>
  <c r="AC1526" i="2"/>
  <c r="AA1526" i="2"/>
  <c r="Z1526" i="2"/>
  <c r="Y1526" i="2"/>
  <c r="X1526" i="2"/>
  <c r="W1526" i="2"/>
  <c r="V1526" i="2"/>
  <c r="U1526" i="2"/>
  <c r="T1526" i="2"/>
  <c r="S1526" i="2"/>
  <c r="R1526" i="2"/>
  <c r="Q1526" i="2"/>
  <c r="P1526" i="2"/>
  <c r="O1526" i="2"/>
  <c r="N1526" i="2"/>
  <c r="K1526" i="2"/>
  <c r="J1526" i="2"/>
  <c r="I1526" i="2"/>
  <c r="H1526" i="2"/>
  <c r="G1526" i="2"/>
  <c r="F1526" i="2"/>
  <c r="E1526" i="2"/>
  <c r="D1526" i="2"/>
  <c r="C1526" i="2"/>
  <c r="B1526" i="2"/>
  <c r="A1526" i="2"/>
  <c r="AX1525" i="2"/>
  <c r="AV1525" i="2"/>
  <c r="AU1525" i="2"/>
  <c r="AS1525" i="2"/>
  <c r="AR1525" i="2"/>
  <c r="AQ1525" i="2"/>
  <c r="AO1525" i="2"/>
  <c r="AM1525" i="2"/>
  <c r="AL1525" i="2"/>
  <c r="AK1525" i="2"/>
  <c r="AJ1525" i="2"/>
  <c r="AI1525" i="2"/>
  <c r="AH1525" i="2"/>
  <c r="AG1525" i="2"/>
  <c r="AD1525" i="2"/>
  <c r="AC1525" i="2"/>
  <c r="AA1525" i="2"/>
  <c r="Z1525" i="2"/>
  <c r="Y1525" i="2"/>
  <c r="X1525" i="2"/>
  <c r="V1525" i="2"/>
  <c r="U1525" i="2"/>
  <c r="T1525" i="2"/>
  <c r="S1525" i="2"/>
  <c r="R1525" i="2"/>
  <c r="Q1525" i="2"/>
  <c r="P1525" i="2"/>
  <c r="O1525" i="2"/>
  <c r="N1525" i="2"/>
  <c r="K1525" i="2"/>
  <c r="J1525" i="2"/>
  <c r="I1525" i="2"/>
  <c r="H1525" i="2"/>
  <c r="G1525" i="2"/>
  <c r="F1525" i="2"/>
  <c r="E1525" i="2"/>
  <c r="D1525" i="2"/>
  <c r="C1525" i="2"/>
  <c r="B1525" i="2"/>
  <c r="A1525" i="2"/>
  <c r="AX1524" i="2"/>
  <c r="AV1524" i="2"/>
  <c r="AU1524" i="2"/>
  <c r="AT1524" i="2"/>
  <c r="AS1524" i="2"/>
  <c r="AR1524" i="2"/>
  <c r="AQ1524" i="2"/>
  <c r="AO1524" i="2"/>
  <c r="AM1524" i="2"/>
  <c r="AK1524" i="2"/>
  <c r="AJ1524" i="2"/>
  <c r="AI1524" i="2"/>
  <c r="AH1524" i="2"/>
  <c r="AG1524" i="2"/>
  <c r="AF1524" i="2"/>
  <c r="AE1524" i="2"/>
  <c r="AC1524" i="2"/>
  <c r="AA1524" i="2"/>
  <c r="Z1524" i="2"/>
  <c r="Y1524" i="2"/>
  <c r="X1524" i="2"/>
  <c r="W1524" i="2"/>
  <c r="V1524" i="2"/>
  <c r="U1524" i="2"/>
  <c r="T1524" i="2"/>
  <c r="S1524" i="2"/>
  <c r="R1524" i="2"/>
  <c r="Q1524" i="2"/>
  <c r="P1524" i="2"/>
  <c r="O1524" i="2"/>
  <c r="N1524" i="2"/>
  <c r="K1524" i="2"/>
  <c r="J1524" i="2"/>
  <c r="I1524" i="2"/>
  <c r="H1524" i="2"/>
  <c r="G1524" i="2"/>
  <c r="F1524" i="2"/>
  <c r="E1524" i="2"/>
  <c r="D1524" i="2"/>
  <c r="C1524" i="2"/>
  <c r="B1524" i="2"/>
  <c r="A1524" i="2"/>
  <c r="AX1523" i="2"/>
  <c r="AV1523" i="2"/>
  <c r="AU1523" i="2"/>
  <c r="AS1523" i="2"/>
  <c r="AR1523" i="2"/>
  <c r="AQ1523" i="2"/>
  <c r="AP1523" i="2"/>
  <c r="AO1523" i="2"/>
  <c r="AM1523" i="2"/>
  <c r="AL1523" i="2"/>
  <c r="AK1523" i="2"/>
  <c r="AJ1523" i="2"/>
  <c r="AI1523" i="2"/>
  <c r="AH1523" i="2"/>
  <c r="AG1523" i="2"/>
  <c r="AF1523" i="2"/>
  <c r="AE1523" i="2"/>
  <c r="AD1523" i="2"/>
  <c r="AC1523" i="2"/>
  <c r="AA1523" i="2"/>
  <c r="Z1523" i="2"/>
  <c r="Y1523" i="2"/>
  <c r="X1523" i="2"/>
  <c r="W1523" i="2"/>
  <c r="V1523" i="2"/>
  <c r="U1523" i="2"/>
  <c r="T1523" i="2"/>
  <c r="S1523" i="2"/>
  <c r="R1523" i="2"/>
  <c r="Q1523" i="2"/>
  <c r="P1523" i="2"/>
  <c r="O1523" i="2"/>
  <c r="N1523" i="2"/>
  <c r="K1523" i="2"/>
  <c r="J1523" i="2"/>
  <c r="I1523" i="2"/>
  <c r="H1523" i="2"/>
  <c r="G1523" i="2"/>
  <c r="F1523" i="2"/>
  <c r="E1523" i="2"/>
  <c r="D1523" i="2"/>
  <c r="C1523" i="2"/>
  <c r="B1523" i="2"/>
  <c r="A1523" i="2"/>
  <c r="AX1522" i="2"/>
  <c r="AV1522" i="2"/>
  <c r="AU1522" i="2"/>
  <c r="AT1522" i="2"/>
  <c r="AS1522" i="2"/>
  <c r="AR1522" i="2"/>
  <c r="AQ1522" i="2"/>
  <c r="AP1522" i="2"/>
  <c r="AO1522" i="2"/>
  <c r="AM1522" i="2"/>
  <c r="AL1522" i="2"/>
  <c r="AK1522" i="2"/>
  <c r="AI1522" i="2"/>
  <c r="AH1522" i="2"/>
  <c r="AG1522" i="2"/>
  <c r="AE1522" i="2"/>
  <c r="AD1522" i="2"/>
  <c r="AC1522" i="2"/>
  <c r="AA1522" i="2"/>
  <c r="Z1522" i="2"/>
  <c r="Y1522" i="2"/>
  <c r="X1522" i="2"/>
  <c r="W1522" i="2"/>
  <c r="V1522" i="2"/>
  <c r="U1522" i="2"/>
  <c r="T1522" i="2"/>
  <c r="S1522" i="2"/>
  <c r="R1522" i="2"/>
  <c r="Q1522" i="2"/>
  <c r="P1522" i="2"/>
  <c r="O1522" i="2"/>
  <c r="N1522" i="2"/>
  <c r="M1522" i="2"/>
  <c r="L1522" i="2"/>
  <c r="K1522" i="2"/>
  <c r="J1522" i="2"/>
  <c r="I1522" i="2"/>
  <c r="H1522" i="2"/>
  <c r="G1522" i="2"/>
  <c r="F1522" i="2"/>
  <c r="E1522" i="2"/>
  <c r="D1522" i="2"/>
  <c r="C1522" i="2"/>
  <c r="B1522" i="2"/>
  <c r="A1522" i="2"/>
  <c r="AX1521" i="2"/>
  <c r="AV1521" i="2"/>
  <c r="AU1521" i="2"/>
  <c r="AS1521" i="2"/>
  <c r="AR1521" i="2"/>
  <c r="AQ1521" i="2"/>
  <c r="AO1521" i="2"/>
  <c r="AM1521" i="2"/>
  <c r="AL1521" i="2"/>
  <c r="AK1521" i="2"/>
  <c r="AI1521" i="2"/>
  <c r="AH1521" i="2"/>
  <c r="AG1521" i="2"/>
  <c r="AE1521" i="2"/>
  <c r="AD1521" i="2"/>
  <c r="AC1521" i="2"/>
  <c r="AA1521" i="2"/>
  <c r="Y1521" i="2"/>
  <c r="X1521" i="2"/>
  <c r="W1521" i="2"/>
  <c r="V1521" i="2"/>
  <c r="U1521" i="2"/>
  <c r="T1521" i="2"/>
  <c r="S1521" i="2"/>
  <c r="R1521" i="2"/>
  <c r="Q1521" i="2"/>
  <c r="P1521" i="2"/>
  <c r="O1521" i="2"/>
  <c r="N1521" i="2"/>
  <c r="M1521" i="2"/>
  <c r="K1521" i="2"/>
  <c r="J1521" i="2"/>
  <c r="I1521" i="2"/>
  <c r="H1521" i="2"/>
  <c r="G1521" i="2"/>
  <c r="F1521" i="2"/>
  <c r="E1521" i="2"/>
  <c r="D1521" i="2"/>
  <c r="C1521" i="2"/>
  <c r="B1521" i="2"/>
  <c r="A1521" i="2"/>
  <c r="AX1520" i="2"/>
  <c r="AV1520" i="2"/>
  <c r="AU1520" i="2"/>
  <c r="AT1520" i="2"/>
  <c r="AS1520" i="2"/>
  <c r="AR1520" i="2"/>
  <c r="AO1520" i="2"/>
  <c r="AN1520" i="2"/>
  <c r="AM1520" i="2"/>
  <c r="AL1520" i="2"/>
  <c r="AK1520" i="2"/>
  <c r="AJ1520" i="2"/>
  <c r="AI1520" i="2"/>
  <c r="AH1520" i="2"/>
  <c r="AG1520" i="2"/>
  <c r="AE1520" i="2"/>
  <c r="AD1520" i="2"/>
  <c r="AC1520" i="2"/>
  <c r="AB1520" i="2"/>
  <c r="AA1520" i="2"/>
  <c r="Z1520" i="2"/>
  <c r="Y1520" i="2"/>
  <c r="X1520" i="2"/>
  <c r="W1520" i="2"/>
  <c r="V1520" i="2"/>
  <c r="U1520" i="2"/>
  <c r="T1520" i="2"/>
  <c r="S1520" i="2"/>
  <c r="R1520" i="2"/>
  <c r="Q1520" i="2"/>
  <c r="P1520" i="2"/>
  <c r="O1520" i="2"/>
  <c r="N1520" i="2"/>
  <c r="M1520" i="2"/>
  <c r="L1520" i="2"/>
  <c r="K1520" i="2"/>
  <c r="J1520" i="2"/>
  <c r="I1520" i="2"/>
  <c r="H1520" i="2"/>
  <c r="G1520" i="2"/>
  <c r="F1520" i="2"/>
  <c r="E1520" i="2"/>
  <c r="D1520" i="2"/>
  <c r="C1520" i="2"/>
  <c r="B1520" i="2"/>
  <c r="A1520" i="2"/>
  <c r="AX1519" i="2"/>
  <c r="AV1519" i="2"/>
  <c r="AU1519" i="2"/>
  <c r="AR1519" i="2"/>
  <c r="AQ1519" i="2"/>
  <c r="AO1519" i="2"/>
  <c r="AM1519" i="2"/>
  <c r="AK1519" i="2"/>
  <c r="AJ1519" i="2"/>
  <c r="AI1519" i="2"/>
  <c r="AH1519" i="2"/>
  <c r="AG1519" i="2"/>
  <c r="AF1519" i="2"/>
  <c r="AC1519" i="2"/>
  <c r="AA1519" i="2"/>
  <c r="Z1519" i="2"/>
  <c r="Y1519" i="2"/>
  <c r="X1519" i="2"/>
  <c r="W1519" i="2"/>
  <c r="V1519" i="2"/>
  <c r="U1519" i="2"/>
  <c r="T1519" i="2"/>
  <c r="S1519" i="2"/>
  <c r="R1519" i="2"/>
  <c r="Q1519" i="2"/>
  <c r="P1519" i="2"/>
  <c r="O1519" i="2"/>
  <c r="N1519" i="2"/>
  <c r="K1519" i="2"/>
  <c r="J1519" i="2"/>
  <c r="I1519" i="2"/>
  <c r="H1519" i="2"/>
  <c r="G1519" i="2"/>
  <c r="F1519" i="2"/>
  <c r="E1519" i="2"/>
  <c r="D1519" i="2"/>
  <c r="C1519" i="2"/>
  <c r="B1519" i="2"/>
  <c r="A1519" i="2"/>
  <c r="AX1518" i="2"/>
  <c r="AV1518" i="2"/>
  <c r="AU1518" i="2"/>
  <c r="AT1518" i="2"/>
  <c r="AR1518" i="2"/>
  <c r="AQ1518" i="2"/>
  <c r="AP1518" i="2"/>
  <c r="AO1518" i="2"/>
  <c r="AM1518" i="2"/>
  <c r="AK1518" i="2"/>
  <c r="AJ1518" i="2"/>
  <c r="AI1518" i="2"/>
  <c r="AH1518" i="2"/>
  <c r="AG1518" i="2"/>
  <c r="AF1518" i="2"/>
  <c r="AD1518" i="2"/>
  <c r="AC1518" i="2"/>
  <c r="AA1518" i="2"/>
  <c r="Z1518" i="2"/>
  <c r="Y1518" i="2"/>
  <c r="X1518" i="2"/>
  <c r="W1518" i="2"/>
  <c r="V1518" i="2"/>
  <c r="U1518" i="2"/>
  <c r="T1518" i="2"/>
  <c r="S1518" i="2"/>
  <c r="R1518" i="2"/>
  <c r="Q1518" i="2"/>
  <c r="P1518" i="2"/>
  <c r="O1518" i="2"/>
  <c r="N1518" i="2"/>
  <c r="K1518" i="2"/>
  <c r="J1518" i="2"/>
  <c r="I1518" i="2"/>
  <c r="H1518" i="2"/>
  <c r="G1518" i="2"/>
  <c r="F1518" i="2"/>
  <c r="E1518" i="2"/>
  <c r="D1518" i="2"/>
  <c r="C1518" i="2"/>
  <c r="B1518" i="2"/>
  <c r="A1518" i="2"/>
  <c r="AX1517" i="2"/>
  <c r="AV1517" i="2"/>
  <c r="AU1517" i="2"/>
  <c r="AS1517" i="2"/>
  <c r="AP1517" i="2"/>
  <c r="AO1517" i="2"/>
  <c r="AM1517" i="2"/>
  <c r="AL1517" i="2"/>
  <c r="AK1517" i="2"/>
  <c r="AJ1517" i="2"/>
  <c r="AI1517" i="2"/>
  <c r="AH1517" i="2"/>
  <c r="AG1517" i="2"/>
  <c r="AE1517" i="2"/>
  <c r="AD1517" i="2"/>
  <c r="AC1517" i="2"/>
  <c r="AA1517" i="2"/>
  <c r="Z1517" i="2"/>
  <c r="Y1517" i="2"/>
  <c r="X1517" i="2"/>
  <c r="W1517" i="2"/>
  <c r="V1517" i="2"/>
  <c r="U1517" i="2"/>
  <c r="T1517" i="2"/>
  <c r="S1517" i="2"/>
  <c r="R1517" i="2"/>
  <c r="Q1517" i="2"/>
  <c r="P1517" i="2"/>
  <c r="O1517" i="2"/>
  <c r="N1517" i="2"/>
  <c r="M1517" i="2"/>
  <c r="L1517" i="2"/>
  <c r="K1517" i="2"/>
  <c r="J1517" i="2"/>
  <c r="I1517" i="2"/>
  <c r="H1517" i="2"/>
  <c r="G1517" i="2"/>
  <c r="F1517" i="2"/>
  <c r="E1517" i="2"/>
  <c r="D1517" i="2"/>
  <c r="C1517" i="2"/>
  <c r="B1517" i="2"/>
  <c r="A1517" i="2"/>
  <c r="AX1516" i="2"/>
  <c r="AV1516" i="2"/>
  <c r="AU1516" i="2"/>
  <c r="AT1516" i="2"/>
  <c r="AS1516" i="2"/>
  <c r="AR1516" i="2"/>
  <c r="AQ1516" i="2"/>
  <c r="AP1516" i="2"/>
  <c r="AO1516" i="2"/>
  <c r="AM1516" i="2"/>
  <c r="AL1516" i="2"/>
  <c r="AK1516" i="2"/>
  <c r="AJ1516" i="2"/>
  <c r="AI1516" i="2"/>
  <c r="AH1516" i="2"/>
  <c r="AG1516" i="2"/>
  <c r="AE1516" i="2"/>
  <c r="AD1516" i="2"/>
  <c r="AC1516" i="2"/>
  <c r="AA1516" i="2"/>
  <c r="Z1516" i="2"/>
  <c r="Y1516" i="2"/>
  <c r="X1516" i="2"/>
  <c r="W1516" i="2"/>
  <c r="V1516" i="2"/>
  <c r="U1516" i="2"/>
  <c r="T1516" i="2"/>
  <c r="S1516" i="2"/>
  <c r="R1516" i="2"/>
  <c r="Q1516" i="2"/>
  <c r="P1516" i="2"/>
  <c r="O1516" i="2"/>
  <c r="N1516" i="2"/>
  <c r="K1516" i="2"/>
  <c r="J1516" i="2"/>
  <c r="I1516" i="2"/>
  <c r="H1516" i="2"/>
  <c r="G1516" i="2"/>
  <c r="F1516" i="2"/>
  <c r="E1516" i="2"/>
  <c r="D1516" i="2"/>
  <c r="C1516" i="2"/>
  <c r="B1516" i="2"/>
  <c r="A1516" i="2"/>
  <c r="AX1515" i="2"/>
  <c r="AV1515" i="2"/>
  <c r="AU1515" i="2"/>
  <c r="AS1515" i="2"/>
  <c r="AR1515" i="2"/>
  <c r="AQ1515" i="2"/>
  <c r="AP1515" i="2"/>
  <c r="AO1515" i="2"/>
  <c r="AM1515" i="2"/>
  <c r="AL1515" i="2"/>
  <c r="AK1515" i="2"/>
  <c r="AJ1515" i="2"/>
  <c r="AI1515" i="2"/>
  <c r="AH1515" i="2"/>
  <c r="AG1515" i="2"/>
  <c r="AE1515" i="2"/>
  <c r="AD1515" i="2"/>
  <c r="AC1515" i="2"/>
  <c r="AA1515" i="2"/>
  <c r="Z1515" i="2"/>
  <c r="Y1515" i="2"/>
  <c r="X1515" i="2"/>
  <c r="W1515" i="2"/>
  <c r="V1515" i="2"/>
  <c r="U1515" i="2"/>
  <c r="T1515" i="2"/>
  <c r="S1515" i="2"/>
  <c r="R1515" i="2"/>
  <c r="Q1515" i="2"/>
  <c r="P1515" i="2"/>
  <c r="O1515" i="2"/>
  <c r="N1515" i="2"/>
  <c r="K1515" i="2"/>
  <c r="J1515" i="2"/>
  <c r="I1515" i="2"/>
  <c r="H1515" i="2"/>
  <c r="G1515" i="2"/>
  <c r="F1515" i="2"/>
  <c r="E1515" i="2"/>
  <c r="D1515" i="2"/>
  <c r="C1515" i="2"/>
  <c r="B1515" i="2"/>
  <c r="A1515" i="2"/>
  <c r="AX1514" i="2"/>
  <c r="AV1514" i="2"/>
  <c r="AU1514" i="2"/>
  <c r="AT1514" i="2"/>
  <c r="AS1514" i="2"/>
  <c r="AR1514" i="2"/>
  <c r="AQ1514" i="2"/>
  <c r="AP1514" i="2"/>
  <c r="AO1514" i="2"/>
  <c r="AM1514" i="2"/>
  <c r="AL1514" i="2"/>
  <c r="AK1514" i="2"/>
  <c r="AJ1514" i="2"/>
  <c r="AI1514" i="2"/>
  <c r="AH1514" i="2"/>
  <c r="AG1514" i="2"/>
  <c r="AE1514" i="2"/>
  <c r="AC1514" i="2"/>
  <c r="AA1514" i="2"/>
  <c r="Z1514" i="2"/>
  <c r="Y1514" i="2"/>
  <c r="X1514" i="2"/>
  <c r="W1514" i="2"/>
  <c r="V1514" i="2"/>
  <c r="U1514" i="2"/>
  <c r="T1514" i="2"/>
  <c r="S1514" i="2"/>
  <c r="R1514" i="2"/>
  <c r="Q1514" i="2"/>
  <c r="P1514" i="2"/>
  <c r="O1514" i="2"/>
  <c r="N1514" i="2"/>
  <c r="M1514" i="2"/>
  <c r="L1514" i="2"/>
  <c r="K1514" i="2"/>
  <c r="J1514" i="2"/>
  <c r="I1514" i="2"/>
  <c r="H1514" i="2"/>
  <c r="G1514" i="2"/>
  <c r="F1514" i="2"/>
  <c r="E1514" i="2"/>
  <c r="D1514" i="2"/>
  <c r="C1514" i="2"/>
  <c r="B1514" i="2"/>
  <c r="A1514" i="2"/>
  <c r="AX1513" i="2"/>
  <c r="AV1513" i="2"/>
  <c r="AU1513" i="2"/>
  <c r="AS1513" i="2"/>
  <c r="AR1513" i="2"/>
  <c r="AQ1513" i="2"/>
  <c r="AP1513" i="2"/>
  <c r="AO1513" i="2"/>
  <c r="AM1513" i="2"/>
  <c r="AL1513" i="2"/>
  <c r="AK1513" i="2"/>
  <c r="AJ1513" i="2"/>
  <c r="AI1513" i="2"/>
  <c r="AH1513" i="2"/>
  <c r="AG1513" i="2"/>
  <c r="AE1513" i="2"/>
  <c r="AD1513" i="2"/>
  <c r="AC1513" i="2"/>
  <c r="AA1513" i="2"/>
  <c r="Z1513" i="2"/>
  <c r="Y1513" i="2"/>
  <c r="X1513" i="2"/>
  <c r="V1513" i="2"/>
  <c r="U1513" i="2"/>
  <c r="T1513" i="2"/>
  <c r="S1513" i="2"/>
  <c r="R1513" i="2"/>
  <c r="Q1513" i="2"/>
  <c r="P1513" i="2"/>
  <c r="O1513" i="2"/>
  <c r="N1513" i="2"/>
  <c r="K1513" i="2"/>
  <c r="J1513" i="2"/>
  <c r="I1513" i="2"/>
  <c r="H1513" i="2"/>
  <c r="G1513" i="2"/>
  <c r="F1513" i="2"/>
  <c r="E1513" i="2"/>
  <c r="D1513" i="2"/>
  <c r="C1513" i="2"/>
  <c r="B1513" i="2"/>
  <c r="A1513" i="2"/>
  <c r="AX1512" i="2"/>
  <c r="AV1512" i="2"/>
  <c r="AU1512" i="2"/>
  <c r="AS1512" i="2"/>
  <c r="AR1512" i="2"/>
  <c r="AQ1512" i="2"/>
  <c r="AO1512" i="2"/>
  <c r="AM1512" i="2"/>
  <c r="AL1512" i="2"/>
  <c r="AK1512" i="2"/>
  <c r="AJ1512" i="2"/>
  <c r="AI1512" i="2"/>
  <c r="AH1512" i="2"/>
  <c r="AG1512" i="2"/>
  <c r="AF1512" i="2"/>
  <c r="AD1512" i="2"/>
  <c r="AC1512" i="2"/>
  <c r="AA1512" i="2"/>
  <c r="Z1512" i="2"/>
  <c r="Y1512" i="2"/>
  <c r="X1512" i="2"/>
  <c r="W1512" i="2"/>
  <c r="V1512" i="2"/>
  <c r="U1512" i="2"/>
  <c r="T1512" i="2"/>
  <c r="S1512" i="2"/>
  <c r="R1512" i="2"/>
  <c r="Q1512" i="2"/>
  <c r="P1512" i="2"/>
  <c r="O1512" i="2"/>
  <c r="N1512" i="2"/>
  <c r="K1512" i="2"/>
  <c r="J1512" i="2"/>
  <c r="I1512" i="2"/>
  <c r="H1512" i="2"/>
  <c r="G1512" i="2"/>
  <c r="F1512" i="2"/>
  <c r="E1512" i="2"/>
  <c r="D1512" i="2"/>
  <c r="C1512" i="2"/>
  <c r="B1512" i="2"/>
  <c r="A1512" i="2"/>
  <c r="AX1511" i="2"/>
  <c r="AV1511" i="2"/>
  <c r="AU1511" i="2"/>
  <c r="AT1511" i="2"/>
  <c r="AS1511" i="2"/>
  <c r="AR1511" i="2"/>
  <c r="AQ1511" i="2"/>
  <c r="AO1511" i="2"/>
  <c r="AM1511" i="2"/>
  <c r="AL1511" i="2"/>
  <c r="AK1511" i="2"/>
  <c r="AJ1511" i="2"/>
  <c r="AI1511" i="2"/>
  <c r="AH1511" i="2"/>
  <c r="AG1511" i="2"/>
  <c r="AE1511" i="2"/>
  <c r="AD1511" i="2"/>
  <c r="AC1511" i="2"/>
  <c r="AA1511" i="2"/>
  <c r="Z1511" i="2"/>
  <c r="Y1511" i="2"/>
  <c r="X1511" i="2"/>
  <c r="W1511" i="2"/>
  <c r="V1511" i="2"/>
  <c r="U1511" i="2"/>
  <c r="T1511" i="2"/>
  <c r="S1511" i="2"/>
  <c r="R1511" i="2"/>
  <c r="Q1511" i="2"/>
  <c r="P1511" i="2"/>
  <c r="O1511" i="2"/>
  <c r="N1511" i="2"/>
  <c r="K1511" i="2"/>
  <c r="J1511" i="2"/>
  <c r="I1511" i="2"/>
  <c r="H1511" i="2"/>
  <c r="G1511" i="2"/>
  <c r="F1511" i="2"/>
  <c r="E1511" i="2"/>
  <c r="D1511" i="2"/>
  <c r="C1511" i="2"/>
  <c r="B1511" i="2"/>
  <c r="A1511" i="2"/>
  <c r="AX1510" i="2"/>
  <c r="AV1510" i="2"/>
  <c r="AU1510" i="2"/>
  <c r="AT1510" i="2"/>
  <c r="AS1510" i="2"/>
  <c r="AR1510" i="2"/>
  <c r="AQ1510" i="2"/>
  <c r="AO1510" i="2"/>
  <c r="AM1510" i="2"/>
  <c r="AL1510" i="2"/>
  <c r="AK1510" i="2"/>
  <c r="AJ1510" i="2"/>
  <c r="AI1510" i="2"/>
  <c r="AH1510" i="2"/>
  <c r="AG1510" i="2"/>
  <c r="AE1510" i="2"/>
  <c r="AD1510" i="2"/>
  <c r="AC1510" i="2"/>
  <c r="AA1510" i="2"/>
  <c r="Z1510" i="2"/>
  <c r="Y1510" i="2"/>
  <c r="X1510" i="2"/>
  <c r="W1510" i="2"/>
  <c r="V1510" i="2"/>
  <c r="U1510" i="2"/>
  <c r="T1510" i="2"/>
  <c r="S1510" i="2"/>
  <c r="R1510" i="2"/>
  <c r="Q1510" i="2"/>
  <c r="P1510" i="2"/>
  <c r="O1510" i="2"/>
  <c r="N1510" i="2"/>
  <c r="K1510" i="2"/>
  <c r="J1510" i="2"/>
  <c r="I1510" i="2"/>
  <c r="H1510" i="2"/>
  <c r="G1510" i="2"/>
  <c r="F1510" i="2"/>
  <c r="E1510" i="2"/>
  <c r="D1510" i="2"/>
  <c r="C1510" i="2"/>
  <c r="B1510" i="2"/>
  <c r="A1510" i="2"/>
  <c r="AX1509" i="2"/>
  <c r="AV1509" i="2"/>
  <c r="AU1509" i="2"/>
  <c r="AT1509" i="2"/>
  <c r="AR1509" i="2"/>
  <c r="AQ1509" i="2"/>
  <c r="AO1509" i="2"/>
  <c r="AM1509" i="2"/>
  <c r="AL1509" i="2"/>
  <c r="AK1509" i="2"/>
  <c r="AJ1509" i="2"/>
  <c r="AI1509" i="2"/>
  <c r="AH1509" i="2"/>
  <c r="AG1509" i="2"/>
  <c r="AF1509" i="2"/>
  <c r="AE1509" i="2"/>
  <c r="AD1509" i="2"/>
  <c r="AC1509" i="2"/>
  <c r="AA1509" i="2"/>
  <c r="Z1509" i="2"/>
  <c r="Y1509" i="2"/>
  <c r="X1509" i="2"/>
  <c r="W1509" i="2"/>
  <c r="V1509" i="2"/>
  <c r="U1509" i="2"/>
  <c r="T1509" i="2"/>
  <c r="S1509" i="2"/>
  <c r="R1509" i="2"/>
  <c r="Q1509" i="2"/>
  <c r="P1509" i="2"/>
  <c r="O1509" i="2"/>
  <c r="N1509" i="2"/>
  <c r="K1509" i="2"/>
  <c r="J1509" i="2"/>
  <c r="I1509" i="2"/>
  <c r="H1509" i="2"/>
  <c r="G1509" i="2"/>
  <c r="F1509" i="2"/>
  <c r="E1509" i="2"/>
  <c r="D1509" i="2"/>
  <c r="C1509" i="2"/>
  <c r="B1509" i="2"/>
  <c r="A1509" i="2"/>
  <c r="AX1508" i="2"/>
  <c r="AV1508" i="2"/>
  <c r="AU1508" i="2"/>
  <c r="AT1508" i="2"/>
  <c r="AR1508" i="2"/>
  <c r="AQ1508" i="2"/>
  <c r="AO1508" i="2"/>
  <c r="AM1508" i="2"/>
  <c r="AL1508" i="2"/>
  <c r="AK1508" i="2"/>
  <c r="AJ1508" i="2"/>
  <c r="AI1508" i="2"/>
  <c r="AH1508" i="2"/>
  <c r="AG1508" i="2"/>
  <c r="AF1508" i="2"/>
  <c r="AC1508" i="2"/>
  <c r="AA1508" i="2"/>
  <c r="Z1508" i="2"/>
  <c r="Y1508" i="2"/>
  <c r="X1508" i="2"/>
  <c r="W1508" i="2"/>
  <c r="V1508" i="2"/>
  <c r="U1508" i="2"/>
  <c r="T1508" i="2"/>
  <c r="S1508" i="2"/>
  <c r="R1508" i="2"/>
  <c r="Q1508" i="2"/>
  <c r="P1508" i="2"/>
  <c r="O1508" i="2"/>
  <c r="N1508" i="2"/>
  <c r="K1508" i="2"/>
  <c r="J1508" i="2"/>
  <c r="I1508" i="2"/>
  <c r="H1508" i="2"/>
  <c r="G1508" i="2"/>
  <c r="F1508" i="2"/>
  <c r="E1508" i="2"/>
  <c r="D1508" i="2"/>
  <c r="C1508" i="2"/>
  <c r="B1508" i="2"/>
  <c r="A1508" i="2"/>
  <c r="AX1507" i="2"/>
  <c r="AV1507" i="2"/>
  <c r="AU1507" i="2"/>
  <c r="AR1507" i="2"/>
  <c r="AO1507" i="2"/>
  <c r="AM1507" i="2"/>
  <c r="AL1507" i="2"/>
  <c r="AK1507" i="2"/>
  <c r="AJ1507" i="2"/>
  <c r="AI1507" i="2"/>
  <c r="AH1507" i="2"/>
  <c r="AG1507" i="2"/>
  <c r="AE1507" i="2"/>
  <c r="AD1507" i="2"/>
  <c r="AC1507" i="2"/>
  <c r="AA1507" i="2"/>
  <c r="Z1507" i="2"/>
  <c r="Y1507" i="2"/>
  <c r="X1507" i="2"/>
  <c r="W1507" i="2"/>
  <c r="V1507" i="2"/>
  <c r="U1507" i="2"/>
  <c r="T1507" i="2"/>
  <c r="S1507" i="2"/>
  <c r="R1507" i="2"/>
  <c r="Q1507" i="2"/>
  <c r="P1507" i="2"/>
  <c r="O1507" i="2"/>
  <c r="N1507" i="2"/>
  <c r="M1507" i="2"/>
  <c r="L1507" i="2"/>
  <c r="K1507" i="2"/>
  <c r="J1507" i="2"/>
  <c r="I1507" i="2"/>
  <c r="H1507" i="2"/>
  <c r="G1507" i="2"/>
  <c r="F1507" i="2"/>
  <c r="E1507" i="2"/>
  <c r="D1507" i="2"/>
  <c r="C1507" i="2"/>
  <c r="B1507" i="2"/>
  <c r="A1507" i="2"/>
  <c r="AX1506" i="2"/>
  <c r="AV1506" i="2"/>
  <c r="AU1506" i="2"/>
  <c r="AT1506" i="2"/>
  <c r="AR1506" i="2"/>
  <c r="AQ1506" i="2"/>
  <c r="AO1506" i="2"/>
  <c r="AM1506" i="2"/>
  <c r="AK1506" i="2"/>
  <c r="AJ1506" i="2"/>
  <c r="AI1506" i="2"/>
  <c r="AH1506" i="2"/>
  <c r="AG1506" i="2"/>
  <c r="AC1506" i="2"/>
  <c r="AA1506" i="2"/>
  <c r="Z1506" i="2"/>
  <c r="Y1506" i="2"/>
  <c r="X1506" i="2"/>
  <c r="W1506" i="2"/>
  <c r="V1506" i="2"/>
  <c r="U1506" i="2"/>
  <c r="T1506" i="2"/>
  <c r="S1506" i="2"/>
  <c r="R1506" i="2"/>
  <c r="Q1506" i="2"/>
  <c r="P1506" i="2"/>
  <c r="O1506" i="2"/>
  <c r="N1506" i="2"/>
  <c r="M1506" i="2"/>
  <c r="K1506" i="2"/>
  <c r="J1506" i="2"/>
  <c r="I1506" i="2"/>
  <c r="H1506" i="2"/>
  <c r="G1506" i="2"/>
  <c r="F1506" i="2"/>
  <c r="E1506" i="2"/>
  <c r="D1506" i="2"/>
  <c r="C1506" i="2"/>
  <c r="B1506" i="2"/>
  <c r="A1506" i="2"/>
  <c r="AX1505" i="2"/>
  <c r="AV1505" i="2"/>
  <c r="AU1505" i="2"/>
  <c r="AT1505" i="2"/>
  <c r="AR1505" i="2"/>
  <c r="AQ1505" i="2"/>
  <c r="AO1505" i="2"/>
  <c r="AM1505" i="2"/>
  <c r="AL1505" i="2"/>
  <c r="AK1505" i="2"/>
  <c r="AJ1505" i="2"/>
  <c r="AI1505" i="2"/>
  <c r="AH1505" i="2"/>
  <c r="AG1505" i="2"/>
  <c r="AD1505" i="2"/>
  <c r="AC1505" i="2"/>
  <c r="AA1505" i="2"/>
  <c r="Z1505" i="2"/>
  <c r="Y1505" i="2"/>
  <c r="X1505" i="2"/>
  <c r="V1505" i="2"/>
  <c r="U1505" i="2"/>
  <c r="T1505" i="2"/>
  <c r="S1505" i="2"/>
  <c r="R1505" i="2"/>
  <c r="Q1505" i="2"/>
  <c r="P1505" i="2"/>
  <c r="O1505" i="2"/>
  <c r="N1505" i="2"/>
  <c r="K1505" i="2"/>
  <c r="J1505" i="2"/>
  <c r="I1505" i="2"/>
  <c r="H1505" i="2"/>
  <c r="G1505" i="2"/>
  <c r="F1505" i="2"/>
  <c r="E1505" i="2"/>
  <c r="D1505" i="2"/>
  <c r="C1505" i="2"/>
  <c r="B1505" i="2"/>
  <c r="A1505" i="2"/>
  <c r="AX1504" i="2"/>
  <c r="AV1504" i="2"/>
  <c r="AU1504" i="2"/>
  <c r="AT1504" i="2"/>
  <c r="AS1504" i="2"/>
  <c r="AR1504" i="2"/>
  <c r="AQ1504" i="2"/>
  <c r="AO1504" i="2"/>
  <c r="AM1504" i="2"/>
  <c r="AL1504" i="2"/>
  <c r="AK1504" i="2"/>
  <c r="AJ1504" i="2"/>
  <c r="AI1504" i="2"/>
  <c r="AH1504" i="2"/>
  <c r="AG1504" i="2"/>
  <c r="AF1504" i="2"/>
  <c r="AE1504" i="2"/>
  <c r="AD1504" i="2"/>
  <c r="AC1504" i="2"/>
  <c r="AA1504" i="2"/>
  <c r="Z1504" i="2"/>
  <c r="Y1504" i="2"/>
  <c r="X1504" i="2"/>
  <c r="W1504" i="2"/>
  <c r="V1504" i="2"/>
  <c r="U1504" i="2"/>
  <c r="T1504" i="2"/>
  <c r="S1504" i="2"/>
  <c r="R1504" i="2"/>
  <c r="Q1504" i="2"/>
  <c r="P1504" i="2"/>
  <c r="O1504" i="2"/>
  <c r="N1504" i="2"/>
  <c r="K1504" i="2"/>
  <c r="J1504" i="2"/>
  <c r="I1504" i="2"/>
  <c r="H1504" i="2"/>
  <c r="G1504" i="2"/>
  <c r="F1504" i="2"/>
  <c r="E1504" i="2"/>
  <c r="D1504" i="2"/>
  <c r="C1504" i="2"/>
  <c r="B1504" i="2"/>
  <c r="A1504" i="2"/>
  <c r="AX1503" i="2"/>
  <c r="AV1503" i="2"/>
  <c r="AU1503" i="2"/>
  <c r="AT1503" i="2"/>
  <c r="AR1503" i="2"/>
  <c r="AQ1503" i="2"/>
  <c r="AO1503" i="2"/>
  <c r="AM1503" i="2"/>
  <c r="AK1503" i="2"/>
  <c r="AJ1503" i="2"/>
  <c r="AI1503" i="2"/>
  <c r="AH1503" i="2"/>
  <c r="AG1503" i="2"/>
  <c r="AD1503" i="2"/>
  <c r="AC1503" i="2"/>
  <c r="AA1503" i="2"/>
  <c r="Z1503" i="2"/>
  <c r="Y1503" i="2"/>
  <c r="X1503" i="2"/>
  <c r="W1503" i="2"/>
  <c r="V1503" i="2"/>
  <c r="U1503" i="2"/>
  <c r="T1503" i="2"/>
  <c r="S1503" i="2"/>
  <c r="R1503" i="2"/>
  <c r="Q1503" i="2"/>
  <c r="P1503" i="2"/>
  <c r="O1503" i="2"/>
  <c r="N1503" i="2"/>
  <c r="K1503" i="2"/>
  <c r="J1503" i="2"/>
  <c r="I1503" i="2"/>
  <c r="H1503" i="2"/>
  <c r="G1503" i="2"/>
  <c r="F1503" i="2"/>
  <c r="E1503" i="2"/>
  <c r="D1503" i="2"/>
  <c r="C1503" i="2"/>
  <c r="B1503" i="2"/>
  <c r="A1503" i="2"/>
  <c r="AX1502" i="2"/>
  <c r="AV1502" i="2"/>
  <c r="AU1502" i="2"/>
  <c r="AT1502" i="2"/>
  <c r="AR1502" i="2"/>
  <c r="AQ1502" i="2"/>
  <c r="AO1502" i="2"/>
  <c r="AM1502" i="2"/>
  <c r="AL1502" i="2"/>
  <c r="AK1502" i="2"/>
  <c r="AJ1502" i="2"/>
  <c r="AI1502" i="2"/>
  <c r="AH1502" i="2"/>
  <c r="AG1502" i="2"/>
  <c r="AF1502" i="2"/>
  <c r="AE1502" i="2"/>
  <c r="AD1502" i="2"/>
  <c r="AC1502" i="2"/>
  <c r="AA1502" i="2"/>
  <c r="Z1502" i="2"/>
  <c r="Y1502" i="2"/>
  <c r="X1502" i="2"/>
  <c r="W1502" i="2"/>
  <c r="V1502" i="2"/>
  <c r="U1502" i="2"/>
  <c r="T1502" i="2"/>
  <c r="S1502" i="2"/>
  <c r="R1502" i="2"/>
  <c r="Q1502" i="2"/>
  <c r="P1502" i="2"/>
  <c r="O1502" i="2"/>
  <c r="N1502" i="2"/>
  <c r="K1502" i="2"/>
  <c r="J1502" i="2"/>
  <c r="I1502" i="2"/>
  <c r="H1502" i="2"/>
  <c r="G1502" i="2"/>
  <c r="F1502" i="2"/>
  <c r="E1502" i="2"/>
  <c r="D1502" i="2"/>
  <c r="C1502" i="2"/>
  <c r="B1502" i="2"/>
  <c r="A1502" i="2"/>
  <c r="AX1501" i="2"/>
  <c r="AV1501" i="2"/>
  <c r="AU1501" i="2"/>
  <c r="AT1501" i="2"/>
  <c r="AR1501" i="2"/>
  <c r="AQ1501" i="2"/>
  <c r="AO1501" i="2"/>
  <c r="AM1501" i="2"/>
  <c r="AL1501" i="2"/>
  <c r="AK1501" i="2"/>
  <c r="AJ1501" i="2"/>
  <c r="AI1501" i="2"/>
  <c r="AH1501" i="2"/>
  <c r="AG1501" i="2"/>
  <c r="AE1501" i="2"/>
  <c r="AD1501" i="2"/>
  <c r="AC1501" i="2"/>
  <c r="AA1501" i="2"/>
  <c r="Z1501" i="2"/>
  <c r="Y1501" i="2"/>
  <c r="X1501" i="2"/>
  <c r="W1501" i="2"/>
  <c r="V1501" i="2"/>
  <c r="U1501" i="2"/>
  <c r="T1501" i="2"/>
  <c r="S1501" i="2"/>
  <c r="R1501" i="2"/>
  <c r="Q1501" i="2"/>
  <c r="P1501" i="2"/>
  <c r="O1501" i="2"/>
  <c r="N1501" i="2"/>
  <c r="K1501" i="2"/>
  <c r="J1501" i="2"/>
  <c r="I1501" i="2"/>
  <c r="H1501" i="2"/>
  <c r="G1501" i="2"/>
  <c r="F1501" i="2"/>
  <c r="E1501" i="2"/>
  <c r="D1501" i="2"/>
  <c r="C1501" i="2"/>
  <c r="B1501" i="2"/>
  <c r="A1501" i="2"/>
  <c r="AX1500" i="2"/>
  <c r="AV1500" i="2"/>
  <c r="AU1500" i="2"/>
  <c r="AT1500" i="2"/>
  <c r="AS1500" i="2"/>
  <c r="AR1500" i="2"/>
  <c r="AQ1500" i="2"/>
  <c r="AO1500" i="2"/>
  <c r="AM1500" i="2"/>
  <c r="AK1500" i="2"/>
  <c r="AJ1500" i="2"/>
  <c r="AI1500" i="2"/>
  <c r="AH1500" i="2"/>
  <c r="AG1500" i="2"/>
  <c r="AD1500" i="2"/>
  <c r="AC1500" i="2"/>
  <c r="AA1500" i="2"/>
  <c r="Z1500" i="2"/>
  <c r="Y1500" i="2"/>
  <c r="X1500" i="2"/>
  <c r="W1500" i="2"/>
  <c r="V1500" i="2"/>
  <c r="U1500" i="2"/>
  <c r="T1500" i="2"/>
  <c r="S1500" i="2"/>
  <c r="R1500" i="2"/>
  <c r="Q1500" i="2"/>
  <c r="P1500" i="2"/>
  <c r="O1500" i="2"/>
  <c r="N1500" i="2"/>
  <c r="K1500" i="2"/>
  <c r="J1500" i="2"/>
  <c r="I1500" i="2"/>
  <c r="H1500" i="2"/>
  <c r="G1500" i="2"/>
  <c r="F1500" i="2"/>
  <c r="E1500" i="2"/>
  <c r="D1500" i="2"/>
  <c r="C1500" i="2"/>
  <c r="B1500" i="2"/>
  <c r="A1500" i="2"/>
  <c r="AX1499" i="2"/>
  <c r="AV1499" i="2"/>
  <c r="AU1499" i="2"/>
  <c r="AS1499" i="2"/>
  <c r="AR1499" i="2"/>
  <c r="AQ1499" i="2"/>
  <c r="AO1499" i="2"/>
  <c r="AM1499" i="2"/>
  <c r="AL1499" i="2"/>
  <c r="AK1499" i="2"/>
  <c r="AJ1499" i="2"/>
  <c r="AI1499" i="2"/>
  <c r="AH1499" i="2"/>
  <c r="AG1499" i="2"/>
  <c r="AC1499" i="2"/>
  <c r="AA1499" i="2"/>
  <c r="Z1499" i="2"/>
  <c r="Y1499" i="2"/>
  <c r="X1499" i="2"/>
  <c r="W1499" i="2"/>
  <c r="V1499" i="2"/>
  <c r="U1499" i="2"/>
  <c r="T1499" i="2"/>
  <c r="S1499" i="2"/>
  <c r="R1499" i="2"/>
  <c r="Q1499" i="2"/>
  <c r="P1499" i="2"/>
  <c r="O1499" i="2"/>
  <c r="N1499" i="2"/>
  <c r="M1499" i="2"/>
  <c r="L1499" i="2"/>
  <c r="K1499" i="2"/>
  <c r="J1499" i="2"/>
  <c r="I1499" i="2"/>
  <c r="H1499" i="2"/>
  <c r="G1499" i="2"/>
  <c r="F1499" i="2"/>
  <c r="E1499" i="2"/>
  <c r="D1499" i="2"/>
  <c r="C1499" i="2"/>
  <c r="B1499" i="2"/>
  <c r="A1499" i="2"/>
  <c r="AX1498" i="2"/>
  <c r="AV1498" i="2"/>
  <c r="AU1498" i="2"/>
  <c r="AR1498" i="2"/>
  <c r="AQ1498" i="2"/>
  <c r="AO1498" i="2"/>
  <c r="AM1498" i="2"/>
  <c r="AK1498" i="2"/>
  <c r="AJ1498" i="2"/>
  <c r="AI1498" i="2"/>
  <c r="AH1498" i="2"/>
  <c r="AG1498" i="2"/>
  <c r="AC1498" i="2"/>
  <c r="AA1498" i="2"/>
  <c r="Z1498" i="2"/>
  <c r="Y1498" i="2"/>
  <c r="X1498" i="2"/>
  <c r="W1498" i="2"/>
  <c r="V1498" i="2"/>
  <c r="U1498" i="2"/>
  <c r="T1498" i="2"/>
  <c r="S1498" i="2"/>
  <c r="R1498" i="2"/>
  <c r="Q1498" i="2"/>
  <c r="P1498" i="2"/>
  <c r="O1498" i="2"/>
  <c r="N1498" i="2"/>
  <c r="M1498" i="2"/>
  <c r="L1498" i="2"/>
  <c r="K1498" i="2"/>
  <c r="J1498" i="2"/>
  <c r="I1498" i="2"/>
  <c r="H1498" i="2"/>
  <c r="G1498" i="2"/>
  <c r="F1498" i="2"/>
  <c r="E1498" i="2"/>
  <c r="D1498" i="2"/>
  <c r="C1498" i="2"/>
  <c r="B1498" i="2"/>
  <c r="A1498" i="2"/>
  <c r="AX1497" i="2"/>
  <c r="AV1497" i="2"/>
  <c r="AU1497" i="2"/>
  <c r="AR1497" i="2"/>
  <c r="AQ1497" i="2"/>
  <c r="AO1497" i="2"/>
  <c r="AM1497" i="2"/>
  <c r="AL1497" i="2"/>
  <c r="AK1497" i="2"/>
  <c r="AJ1497" i="2"/>
  <c r="AI1497" i="2"/>
  <c r="AH1497" i="2"/>
  <c r="AG1497" i="2"/>
  <c r="AF1497" i="2"/>
  <c r="AE1497" i="2"/>
  <c r="AD1497" i="2"/>
  <c r="AC1497" i="2"/>
  <c r="AA1497" i="2"/>
  <c r="Z1497" i="2"/>
  <c r="Y1497" i="2"/>
  <c r="X1497" i="2"/>
  <c r="W1497" i="2"/>
  <c r="V1497" i="2"/>
  <c r="U1497" i="2"/>
  <c r="T1497" i="2"/>
  <c r="S1497" i="2"/>
  <c r="R1497" i="2"/>
  <c r="Q1497" i="2"/>
  <c r="P1497" i="2"/>
  <c r="O1497" i="2"/>
  <c r="N1497" i="2"/>
  <c r="M1497" i="2"/>
  <c r="L1497" i="2"/>
  <c r="K1497" i="2"/>
  <c r="J1497" i="2"/>
  <c r="I1497" i="2"/>
  <c r="H1497" i="2"/>
  <c r="G1497" i="2"/>
  <c r="F1497" i="2"/>
  <c r="E1497" i="2"/>
  <c r="D1497" i="2"/>
  <c r="C1497" i="2"/>
  <c r="B1497" i="2"/>
  <c r="A1497" i="2"/>
  <c r="AX1496" i="2"/>
  <c r="AV1496" i="2"/>
  <c r="AU1496" i="2"/>
  <c r="AR1496" i="2"/>
  <c r="AQ1496" i="2"/>
  <c r="AO1496" i="2"/>
  <c r="AM1496" i="2"/>
  <c r="AK1496" i="2"/>
  <c r="AJ1496" i="2"/>
  <c r="AI1496" i="2"/>
  <c r="AH1496" i="2"/>
  <c r="AG1496" i="2"/>
  <c r="AE1496" i="2"/>
  <c r="AC1496" i="2"/>
  <c r="AA1496" i="2"/>
  <c r="Z1496" i="2"/>
  <c r="Y1496" i="2"/>
  <c r="X1496" i="2"/>
  <c r="W1496" i="2"/>
  <c r="V1496" i="2"/>
  <c r="U1496" i="2"/>
  <c r="T1496" i="2"/>
  <c r="S1496" i="2"/>
  <c r="R1496" i="2"/>
  <c r="Q1496" i="2"/>
  <c r="P1496" i="2"/>
  <c r="O1496" i="2"/>
  <c r="N1496" i="2"/>
  <c r="M1496" i="2"/>
  <c r="L1496" i="2"/>
  <c r="K1496" i="2"/>
  <c r="J1496" i="2"/>
  <c r="I1496" i="2"/>
  <c r="H1496" i="2"/>
  <c r="G1496" i="2"/>
  <c r="F1496" i="2"/>
  <c r="E1496" i="2"/>
  <c r="D1496" i="2"/>
  <c r="C1496" i="2"/>
  <c r="B1496" i="2"/>
  <c r="A1496" i="2"/>
  <c r="AX1495" i="2"/>
  <c r="AV1495" i="2"/>
  <c r="AU1495" i="2"/>
  <c r="AR1495" i="2"/>
  <c r="AO1495" i="2"/>
  <c r="AM1495" i="2"/>
  <c r="AL1495" i="2"/>
  <c r="AK1495" i="2"/>
  <c r="AJ1495" i="2"/>
  <c r="AI1495" i="2"/>
  <c r="AH1495" i="2"/>
  <c r="AG1495" i="2"/>
  <c r="AE1495" i="2"/>
  <c r="AD1495" i="2"/>
  <c r="AC1495" i="2"/>
  <c r="AA1495" i="2"/>
  <c r="Z1495" i="2"/>
  <c r="Y1495" i="2"/>
  <c r="V1495" i="2"/>
  <c r="U1495" i="2"/>
  <c r="T1495" i="2"/>
  <c r="S1495" i="2"/>
  <c r="R1495" i="2"/>
  <c r="Q1495" i="2"/>
  <c r="P1495" i="2"/>
  <c r="O1495" i="2"/>
  <c r="N1495" i="2"/>
  <c r="M1495" i="2"/>
  <c r="L1495" i="2"/>
  <c r="K1495" i="2"/>
  <c r="J1495" i="2"/>
  <c r="I1495" i="2"/>
  <c r="H1495" i="2"/>
  <c r="G1495" i="2"/>
  <c r="F1495" i="2"/>
  <c r="E1495" i="2"/>
  <c r="D1495" i="2"/>
  <c r="C1495" i="2"/>
  <c r="B1495" i="2"/>
  <c r="A1495" i="2"/>
  <c r="AX1494" i="2"/>
  <c r="AV1494" i="2"/>
  <c r="AU1494" i="2"/>
  <c r="AR1494" i="2"/>
  <c r="AQ1494" i="2"/>
  <c r="AO1494" i="2"/>
  <c r="AM1494" i="2"/>
  <c r="AL1494" i="2"/>
  <c r="AK1494" i="2"/>
  <c r="AJ1494" i="2"/>
  <c r="AI1494" i="2"/>
  <c r="AH1494" i="2"/>
  <c r="AG1494" i="2"/>
  <c r="AF1494" i="2"/>
  <c r="AE1494" i="2"/>
  <c r="AC1494" i="2"/>
  <c r="AA1494" i="2"/>
  <c r="Z1494" i="2"/>
  <c r="Y1494" i="2"/>
  <c r="X1494" i="2"/>
  <c r="W1494" i="2"/>
  <c r="V1494" i="2"/>
  <c r="U1494" i="2"/>
  <c r="T1494" i="2"/>
  <c r="S1494" i="2"/>
  <c r="R1494" i="2"/>
  <c r="Q1494" i="2"/>
  <c r="P1494" i="2"/>
  <c r="O1494" i="2"/>
  <c r="N1494" i="2"/>
  <c r="M1494" i="2"/>
  <c r="L1494" i="2"/>
  <c r="K1494" i="2"/>
  <c r="J1494" i="2"/>
  <c r="I1494" i="2"/>
  <c r="H1494" i="2"/>
  <c r="G1494" i="2"/>
  <c r="F1494" i="2"/>
  <c r="E1494" i="2"/>
  <c r="D1494" i="2"/>
  <c r="C1494" i="2"/>
  <c r="B1494" i="2"/>
  <c r="A1494" i="2"/>
  <c r="AX1493" i="2"/>
  <c r="AV1493" i="2"/>
  <c r="AU1493" i="2"/>
  <c r="AR1493" i="2"/>
  <c r="AQ1493" i="2"/>
  <c r="AO1493" i="2"/>
  <c r="AM1493" i="2"/>
  <c r="AL1493" i="2"/>
  <c r="AK1493" i="2"/>
  <c r="AJ1493" i="2"/>
  <c r="AI1493" i="2"/>
  <c r="AH1493" i="2"/>
  <c r="AG1493" i="2"/>
  <c r="AE1493" i="2"/>
  <c r="AD1493" i="2"/>
  <c r="AC1493" i="2"/>
  <c r="AA1493" i="2"/>
  <c r="Z1493" i="2"/>
  <c r="Y1493" i="2"/>
  <c r="X1493" i="2"/>
  <c r="V1493" i="2"/>
  <c r="U1493" i="2"/>
  <c r="T1493" i="2"/>
  <c r="S1493" i="2"/>
  <c r="R1493" i="2"/>
  <c r="Q1493" i="2"/>
  <c r="P1493" i="2"/>
  <c r="O1493" i="2"/>
  <c r="N1493" i="2"/>
  <c r="M1493" i="2"/>
  <c r="L1493" i="2"/>
  <c r="K1493" i="2"/>
  <c r="J1493" i="2"/>
  <c r="I1493" i="2"/>
  <c r="H1493" i="2"/>
  <c r="G1493" i="2"/>
  <c r="F1493" i="2"/>
  <c r="E1493" i="2"/>
  <c r="D1493" i="2"/>
  <c r="C1493" i="2"/>
  <c r="B1493" i="2"/>
  <c r="A1493" i="2"/>
  <c r="AX1492" i="2"/>
  <c r="AV1492" i="2"/>
  <c r="AU1492" i="2"/>
  <c r="AR1492" i="2"/>
  <c r="AQ1492" i="2"/>
  <c r="AO1492" i="2"/>
  <c r="AM1492" i="2"/>
  <c r="AL1492" i="2"/>
  <c r="AK1492" i="2"/>
  <c r="AJ1492" i="2"/>
  <c r="AI1492" i="2"/>
  <c r="AH1492" i="2"/>
  <c r="AG1492" i="2"/>
  <c r="AE1492" i="2"/>
  <c r="AD1492" i="2"/>
  <c r="AC1492" i="2"/>
  <c r="AA1492" i="2"/>
  <c r="Z1492" i="2"/>
  <c r="Y1492" i="2"/>
  <c r="X1492" i="2"/>
  <c r="V1492" i="2"/>
  <c r="U1492" i="2"/>
  <c r="T1492" i="2"/>
  <c r="S1492" i="2"/>
  <c r="R1492" i="2"/>
  <c r="Q1492" i="2"/>
  <c r="P1492" i="2"/>
  <c r="O1492" i="2"/>
  <c r="N1492" i="2"/>
  <c r="M1492" i="2"/>
  <c r="L1492" i="2"/>
  <c r="K1492" i="2"/>
  <c r="J1492" i="2"/>
  <c r="I1492" i="2"/>
  <c r="H1492" i="2"/>
  <c r="G1492" i="2"/>
  <c r="F1492" i="2"/>
  <c r="E1492" i="2"/>
  <c r="D1492" i="2"/>
  <c r="C1492" i="2"/>
  <c r="B1492" i="2"/>
  <c r="A1492" i="2"/>
  <c r="AX1491" i="2"/>
  <c r="AV1491" i="2"/>
  <c r="AU1491" i="2"/>
  <c r="AR1491" i="2"/>
  <c r="AQ1491" i="2"/>
  <c r="AO1491" i="2"/>
  <c r="AM1491" i="2"/>
  <c r="AK1491" i="2"/>
  <c r="AJ1491" i="2"/>
  <c r="AI1491" i="2"/>
  <c r="AH1491" i="2"/>
  <c r="AG1491" i="2"/>
  <c r="AE1491" i="2"/>
  <c r="AC1491" i="2"/>
  <c r="AA1491" i="2"/>
  <c r="Z1491" i="2"/>
  <c r="Y1491" i="2"/>
  <c r="X1491" i="2"/>
  <c r="W1491" i="2"/>
  <c r="V1491" i="2"/>
  <c r="U1491" i="2"/>
  <c r="T1491" i="2"/>
  <c r="S1491" i="2"/>
  <c r="R1491" i="2"/>
  <c r="Q1491" i="2"/>
  <c r="P1491" i="2"/>
  <c r="O1491" i="2"/>
  <c r="N1491" i="2"/>
  <c r="M1491" i="2"/>
  <c r="L1491" i="2"/>
  <c r="K1491" i="2"/>
  <c r="J1491" i="2"/>
  <c r="I1491" i="2"/>
  <c r="H1491" i="2"/>
  <c r="G1491" i="2"/>
  <c r="F1491" i="2"/>
  <c r="E1491" i="2"/>
  <c r="D1491" i="2"/>
  <c r="C1491" i="2"/>
  <c r="B1491" i="2"/>
  <c r="A1491" i="2"/>
  <c r="AX1490" i="2"/>
  <c r="AV1490" i="2"/>
  <c r="AU1490" i="2"/>
  <c r="AR1490" i="2"/>
  <c r="AQ1490" i="2"/>
  <c r="AO1490" i="2"/>
  <c r="AM1490" i="2"/>
  <c r="AL1490" i="2"/>
  <c r="AK1490" i="2"/>
  <c r="AJ1490" i="2"/>
  <c r="AI1490" i="2"/>
  <c r="AH1490" i="2"/>
  <c r="AG1490" i="2"/>
  <c r="AE1490" i="2"/>
  <c r="AD1490" i="2"/>
  <c r="AC1490" i="2"/>
  <c r="AA1490" i="2"/>
  <c r="Z1490" i="2"/>
  <c r="Y1490" i="2"/>
  <c r="X1490" i="2"/>
  <c r="W1490" i="2"/>
  <c r="V1490" i="2"/>
  <c r="U1490" i="2"/>
  <c r="T1490" i="2"/>
  <c r="S1490" i="2"/>
  <c r="R1490" i="2"/>
  <c r="Q1490" i="2"/>
  <c r="P1490" i="2"/>
  <c r="O1490" i="2"/>
  <c r="N1490" i="2"/>
  <c r="M1490" i="2"/>
  <c r="L1490" i="2"/>
  <c r="K1490" i="2"/>
  <c r="J1490" i="2"/>
  <c r="I1490" i="2"/>
  <c r="H1490" i="2"/>
  <c r="G1490" i="2"/>
  <c r="F1490" i="2"/>
  <c r="E1490" i="2"/>
  <c r="D1490" i="2"/>
  <c r="C1490" i="2"/>
  <c r="B1490" i="2"/>
  <c r="A1490" i="2"/>
  <c r="AX1489" i="2"/>
  <c r="AV1489" i="2"/>
  <c r="AU1489" i="2"/>
  <c r="AS1489" i="2"/>
  <c r="AR1489" i="2"/>
  <c r="AO1489" i="2"/>
  <c r="AM1489" i="2"/>
  <c r="AK1489" i="2"/>
  <c r="AI1489" i="2"/>
  <c r="AH1489" i="2"/>
  <c r="AG1489" i="2"/>
  <c r="AE1489" i="2"/>
  <c r="AD1489" i="2"/>
  <c r="AC1489" i="2"/>
  <c r="AA1489" i="2"/>
  <c r="Z1489" i="2"/>
  <c r="Y1489" i="2"/>
  <c r="X1489" i="2"/>
  <c r="W1489" i="2"/>
  <c r="V1489" i="2"/>
  <c r="U1489" i="2"/>
  <c r="T1489" i="2"/>
  <c r="S1489" i="2"/>
  <c r="R1489" i="2"/>
  <c r="Q1489" i="2"/>
  <c r="P1489" i="2"/>
  <c r="N1489" i="2"/>
  <c r="M1489" i="2"/>
  <c r="L1489" i="2"/>
  <c r="K1489" i="2"/>
  <c r="J1489" i="2"/>
  <c r="I1489" i="2"/>
  <c r="H1489" i="2"/>
  <c r="G1489" i="2"/>
  <c r="F1489" i="2"/>
  <c r="E1489" i="2"/>
  <c r="D1489" i="2"/>
  <c r="C1489" i="2"/>
  <c r="B1489" i="2"/>
  <c r="A1489" i="2"/>
  <c r="AX1488" i="2"/>
  <c r="AV1488" i="2"/>
  <c r="AU1488" i="2"/>
  <c r="AR1488" i="2"/>
  <c r="AO1488" i="2"/>
  <c r="AL1488" i="2"/>
  <c r="AK1488" i="2"/>
  <c r="AJ1488" i="2"/>
  <c r="AI1488" i="2"/>
  <c r="AH1488" i="2"/>
  <c r="AG1488" i="2"/>
  <c r="AD1488" i="2"/>
  <c r="AC1488" i="2"/>
  <c r="AA1488" i="2"/>
  <c r="Z1488" i="2"/>
  <c r="Y1488" i="2"/>
  <c r="X1488" i="2"/>
  <c r="W1488" i="2"/>
  <c r="V1488" i="2"/>
  <c r="U1488" i="2"/>
  <c r="T1488" i="2"/>
  <c r="S1488" i="2"/>
  <c r="R1488" i="2"/>
  <c r="Q1488" i="2"/>
  <c r="P1488" i="2"/>
  <c r="O1488" i="2"/>
  <c r="N1488" i="2"/>
  <c r="M1488" i="2"/>
  <c r="L1488" i="2"/>
  <c r="K1488" i="2"/>
  <c r="J1488" i="2"/>
  <c r="I1488" i="2"/>
  <c r="H1488" i="2"/>
  <c r="G1488" i="2"/>
  <c r="F1488" i="2"/>
  <c r="E1488" i="2"/>
  <c r="D1488" i="2"/>
  <c r="C1488" i="2"/>
  <c r="B1488" i="2"/>
  <c r="A1488" i="2"/>
  <c r="AX1487" i="2"/>
  <c r="AV1487" i="2"/>
  <c r="AU1487" i="2"/>
  <c r="AR1487" i="2"/>
  <c r="AO1487" i="2"/>
  <c r="AM1487" i="2"/>
  <c r="AK1487" i="2"/>
  <c r="AJ1487" i="2"/>
  <c r="AI1487" i="2"/>
  <c r="AH1487" i="2"/>
  <c r="AG1487" i="2"/>
  <c r="AE1487" i="2"/>
  <c r="AC1487" i="2"/>
  <c r="Z1487" i="2"/>
  <c r="Y1487" i="2"/>
  <c r="X1487" i="2"/>
  <c r="W1487" i="2"/>
  <c r="V1487" i="2"/>
  <c r="U1487" i="2"/>
  <c r="T1487" i="2"/>
  <c r="S1487" i="2"/>
  <c r="R1487" i="2"/>
  <c r="Q1487" i="2"/>
  <c r="P1487" i="2"/>
  <c r="O1487" i="2"/>
  <c r="N1487" i="2"/>
  <c r="M1487" i="2"/>
  <c r="L1487" i="2"/>
  <c r="K1487" i="2"/>
  <c r="J1487" i="2"/>
  <c r="I1487" i="2"/>
  <c r="H1487" i="2"/>
  <c r="G1487" i="2"/>
  <c r="F1487" i="2"/>
  <c r="E1487" i="2"/>
  <c r="D1487" i="2"/>
  <c r="C1487" i="2"/>
  <c r="B1487" i="2"/>
  <c r="A1487" i="2"/>
  <c r="AX1486" i="2"/>
  <c r="AV1486" i="2"/>
  <c r="AU1486" i="2"/>
  <c r="AR1486" i="2"/>
  <c r="AO1486" i="2"/>
  <c r="AM1486" i="2"/>
  <c r="AK1486" i="2"/>
  <c r="AJ1486" i="2"/>
  <c r="AI1486" i="2"/>
  <c r="AH1486" i="2"/>
  <c r="AG1486" i="2"/>
  <c r="AC1486" i="2"/>
  <c r="Z1486" i="2"/>
  <c r="Y1486" i="2"/>
  <c r="X1486" i="2"/>
  <c r="W1486" i="2"/>
  <c r="V1486" i="2"/>
  <c r="U1486" i="2"/>
  <c r="T1486" i="2"/>
  <c r="S1486" i="2"/>
  <c r="R1486" i="2"/>
  <c r="Q1486" i="2"/>
  <c r="P1486" i="2"/>
  <c r="O1486" i="2"/>
  <c r="N1486" i="2"/>
  <c r="M1486" i="2"/>
  <c r="L1486" i="2"/>
  <c r="K1486" i="2"/>
  <c r="J1486" i="2"/>
  <c r="I1486" i="2"/>
  <c r="H1486" i="2"/>
  <c r="G1486" i="2"/>
  <c r="F1486" i="2"/>
  <c r="E1486" i="2"/>
  <c r="D1486" i="2"/>
  <c r="C1486" i="2"/>
  <c r="B1486" i="2"/>
  <c r="A1486" i="2"/>
  <c r="AX1485" i="2"/>
  <c r="AV1485" i="2"/>
  <c r="AU1485" i="2"/>
  <c r="AS1485" i="2"/>
  <c r="AR1485" i="2"/>
  <c r="AO1485" i="2"/>
  <c r="AM1485" i="2"/>
  <c r="AL1485" i="2"/>
  <c r="AK1485" i="2"/>
  <c r="AJ1485" i="2"/>
  <c r="AI1485" i="2"/>
  <c r="AH1485" i="2"/>
  <c r="AG1485" i="2"/>
  <c r="AE1485" i="2"/>
  <c r="AD1485" i="2"/>
  <c r="AC1485" i="2"/>
  <c r="AA1485" i="2"/>
  <c r="Z1485" i="2"/>
  <c r="Y1485" i="2"/>
  <c r="X1485" i="2"/>
  <c r="W1485" i="2"/>
  <c r="V1485" i="2"/>
  <c r="U1485" i="2"/>
  <c r="T1485" i="2"/>
  <c r="S1485" i="2"/>
  <c r="R1485" i="2"/>
  <c r="Q1485" i="2"/>
  <c r="P1485" i="2"/>
  <c r="O1485" i="2"/>
  <c r="N1485" i="2"/>
  <c r="M1485" i="2"/>
  <c r="L1485" i="2"/>
  <c r="K1485" i="2"/>
  <c r="J1485" i="2"/>
  <c r="I1485" i="2"/>
  <c r="H1485" i="2"/>
  <c r="G1485" i="2"/>
  <c r="F1485" i="2"/>
  <c r="E1485" i="2"/>
  <c r="D1485" i="2"/>
  <c r="C1485" i="2"/>
  <c r="B1485" i="2"/>
  <c r="A1485" i="2"/>
  <c r="AX1484" i="2"/>
  <c r="AV1484" i="2"/>
  <c r="AU1484" i="2"/>
  <c r="AR1484" i="2"/>
  <c r="AO1484" i="2"/>
  <c r="AM1484" i="2"/>
  <c r="AK1484" i="2"/>
  <c r="AJ1484" i="2"/>
  <c r="AI1484" i="2"/>
  <c r="AH1484" i="2"/>
  <c r="AG1484" i="2"/>
  <c r="AD1484" i="2"/>
  <c r="AC1484" i="2"/>
  <c r="Z1484" i="2"/>
  <c r="Y1484" i="2"/>
  <c r="X1484" i="2"/>
  <c r="W1484" i="2"/>
  <c r="V1484" i="2"/>
  <c r="U1484" i="2"/>
  <c r="T1484" i="2"/>
  <c r="S1484" i="2"/>
  <c r="R1484" i="2"/>
  <c r="Q1484" i="2"/>
  <c r="P1484" i="2"/>
  <c r="O1484" i="2"/>
  <c r="N1484" i="2"/>
  <c r="M1484" i="2"/>
  <c r="L1484" i="2"/>
  <c r="K1484" i="2"/>
  <c r="J1484" i="2"/>
  <c r="I1484" i="2"/>
  <c r="H1484" i="2"/>
  <c r="G1484" i="2"/>
  <c r="F1484" i="2"/>
  <c r="E1484" i="2"/>
  <c r="D1484" i="2"/>
  <c r="C1484" i="2"/>
  <c r="B1484" i="2"/>
  <c r="A1484" i="2"/>
  <c r="AX1483" i="2"/>
  <c r="AV1483" i="2"/>
  <c r="AU1483" i="2"/>
  <c r="AR1483" i="2"/>
  <c r="AO1483" i="2"/>
  <c r="AM1483" i="2"/>
  <c r="AL1483" i="2"/>
  <c r="AK1483" i="2"/>
  <c r="AJ1483" i="2"/>
  <c r="AI1483" i="2"/>
  <c r="AH1483" i="2"/>
  <c r="AG1483" i="2"/>
  <c r="AC1483" i="2"/>
  <c r="Z1483" i="2"/>
  <c r="Y1483" i="2"/>
  <c r="X1483" i="2"/>
  <c r="W1483" i="2"/>
  <c r="V1483" i="2"/>
  <c r="U1483" i="2"/>
  <c r="T1483" i="2"/>
  <c r="S1483" i="2"/>
  <c r="R1483" i="2"/>
  <c r="Q1483" i="2"/>
  <c r="P1483" i="2"/>
  <c r="O1483" i="2"/>
  <c r="N1483" i="2"/>
  <c r="M1483" i="2"/>
  <c r="L1483" i="2"/>
  <c r="K1483" i="2"/>
  <c r="J1483" i="2"/>
  <c r="I1483" i="2"/>
  <c r="H1483" i="2"/>
  <c r="G1483" i="2"/>
  <c r="F1483" i="2"/>
  <c r="E1483" i="2"/>
  <c r="D1483" i="2"/>
  <c r="C1483" i="2"/>
  <c r="B1483" i="2"/>
  <c r="A1483" i="2"/>
  <c r="AX1482" i="2"/>
  <c r="AV1482" i="2"/>
  <c r="AU1482" i="2"/>
  <c r="AS1482" i="2"/>
  <c r="AR1482" i="2"/>
  <c r="AO1482" i="2"/>
  <c r="AM1482" i="2"/>
  <c r="AL1482" i="2"/>
  <c r="AK1482" i="2"/>
  <c r="AJ1482" i="2"/>
  <c r="AI1482" i="2"/>
  <c r="AH1482" i="2"/>
  <c r="AG1482" i="2"/>
  <c r="AE1482" i="2"/>
  <c r="AD1482" i="2"/>
  <c r="AC1482" i="2"/>
  <c r="AA1482" i="2"/>
  <c r="Z1482" i="2"/>
  <c r="Y1482" i="2"/>
  <c r="X1482" i="2"/>
  <c r="W1482" i="2"/>
  <c r="V1482" i="2"/>
  <c r="U1482" i="2"/>
  <c r="T1482" i="2"/>
  <c r="S1482" i="2"/>
  <c r="R1482" i="2"/>
  <c r="Q1482" i="2"/>
  <c r="P1482" i="2"/>
  <c r="O1482" i="2"/>
  <c r="N1482" i="2"/>
  <c r="M1482" i="2"/>
  <c r="L1482" i="2"/>
  <c r="K1482" i="2"/>
  <c r="J1482" i="2"/>
  <c r="I1482" i="2"/>
  <c r="H1482" i="2"/>
  <c r="G1482" i="2"/>
  <c r="F1482" i="2"/>
  <c r="E1482" i="2"/>
  <c r="D1482" i="2"/>
  <c r="C1482" i="2"/>
  <c r="B1482" i="2"/>
  <c r="A1482" i="2"/>
  <c r="AX1481" i="2"/>
  <c r="AV1481" i="2"/>
  <c r="AU1481" i="2"/>
  <c r="AT1481" i="2"/>
  <c r="AR1481" i="2"/>
  <c r="AO1481" i="2"/>
  <c r="AM1481" i="2"/>
  <c r="AL1481" i="2"/>
  <c r="AK1481" i="2"/>
  <c r="AJ1481" i="2"/>
  <c r="AI1481" i="2"/>
  <c r="AH1481" i="2"/>
  <c r="AG1481" i="2"/>
  <c r="AF1481" i="2"/>
  <c r="AE1481" i="2"/>
  <c r="AD1481" i="2"/>
  <c r="AC1481" i="2"/>
  <c r="AA1481" i="2"/>
  <c r="Z1481" i="2"/>
  <c r="Y1481" i="2"/>
  <c r="X1481" i="2"/>
  <c r="W1481" i="2"/>
  <c r="V1481" i="2"/>
  <c r="U1481" i="2"/>
  <c r="T1481" i="2"/>
  <c r="S1481" i="2"/>
  <c r="R1481" i="2"/>
  <c r="Q1481" i="2"/>
  <c r="P1481" i="2"/>
  <c r="O1481" i="2"/>
  <c r="N1481" i="2"/>
  <c r="M1481" i="2"/>
  <c r="L1481" i="2"/>
  <c r="K1481" i="2"/>
  <c r="J1481" i="2"/>
  <c r="I1481" i="2"/>
  <c r="H1481" i="2"/>
  <c r="G1481" i="2"/>
  <c r="F1481" i="2"/>
  <c r="E1481" i="2"/>
  <c r="D1481" i="2"/>
  <c r="C1481" i="2"/>
  <c r="B1481" i="2"/>
  <c r="A1481" i="2"/>
  <c r="AX1480" i="2"/>
  <c r="AV1480" i="2"/>
  <c r="AU1480" i="2"/>
  <c r="AR1480" i="2"/>
  <c r="AO1480" i="2"/>
  <c r="AM1480" i="2"/>
  <c r="AK1480" i="2"/>
  <c r="AJ1480" i="2"/>
  <c r="AH1480" i="2"/>
  <c r="AG1480" i="2"/>
  <c r="AD1480" i="2"/>
  <c r="AC1480" i="2"/>
  <c r="AA1480" i="2"/>
  <c r="Z1480" i="2"/>
  <c r="Y1480" i="2"/>
  <c r="X1480" i="2"/>
  <c r="W1480" i="2"/>
  <c r="V1480" i="2"/>
  <c r="U1480" i="2"/>
  <c r="T1480" i="2"/>
  <c r="S1480" i="2"/>
  <c r="Q1480" i="2"/>
  <c r="P1480" i="2"/>
  <c r="O1480" i="2"/>
  <c r="N1480" i="2"/>
  <c r="M1480" i="2"/>
  <c r="L1480" i="2"/>
  <c r="K1480" i="2"/>
  <c r="J1480" i="2"/>
  <c r="I1480" i="2"/>
  <c r="H1480" i="2"/>
  <c r="G1480" i="2"/>
  <c r="F1480" i="2"/>
  <c r="E1480" i="2"/>
  <c r="D1480" i="2"/>
  <c r="C1480" i="2"/>
  <c r="B1480" i="2"/>
  <c r="A1480" i="2"/>
  <c r="AX1479" i="2"/>
  <c r="AV1479" i="2"/>
  <c r="AU1479" i="2"/>
  <c r="AR1479" i="2"/>
  <c r="AO1479" i="2"/>
  <c r="AM1479" i="2"/>
  <c r="AK1479" i="2"/>
  <c r="AJ1479" i="2"/>
  <c r="AI1479" i="2"/>
  <c r="AH1479" i="2"/>
  <c r="AG1479" i="2"/>
  <c r="AD1479" i="2"/>
  <c r="AC1479" i="2"/>
  <c r="AA1479" i="2"/>
  <c r="Z1479" i="2"/>
  <c r="Y1479" i="2"/>
  <c r="X1479" i="2"/>
  <c r="W1479" i="2"/>
  <c r="V1479" i="2"/>
  <c r="U1479" i="2"/>
  <c r="T1479" i="2"/>
  <c r="S1479" i="2"/>
  <c r="R1479" i="2"/>
  <c r="Q1479" i="2"/>
  <c r="P1479" i="2"/>
  <c r="O1479" i="2"/>
  <c r="N1479" i="2"/>
  <c r="M1479" i="2"/>
  <c r="L1479" i="2"/>
  <c r="K1479" i="2"/>
  <c r="J1479" i="2"/>
  <c r="I1479" i="2"/>
  <c r="H1479" i="2"/>
  <c r="G1479" i="2"/>
  <c r="F1479" i="2"/>
  <c r="E1479" i="2"/>
  <c r="D1479" i="2"/>
  <c r="C1479" i="2"/>
  <c r="B1479" i="2"/>
  <c r="A1479" i="2"/>
  <c r="AX1478" i="2"/>
  <c r="AV1478" i="2"/>
  <c r="AU1478" i="2"/>
  <c r="AR1478" i="2"/>
  <c r="AO1478" i="2"/>
  <c r="AM1478" i="2"/>
  <c r="AL1478" i="2"/>
  <c r="AK1478" i="2"/>
  <c r="AJ1478" i="2"/>
  <c r="AI1478" i="2"/>
  <c r="AH1478" i="2"/>
  <c r="AG1478" i="2"/>
  <c r="AD1478" i="2"/>
  <c r="AC1478" i="2"/>
  <c r="AA1478" i="2"/>
  <c r="Z1478" i="2"/>
  <c r="Y1478" i="2"/>
  <c r="X1478" i="2"/>
  <c r="W1478" i="2"/>
  <c r="V1478" i="2"/>
  <c r="U1478" i="2"/>
  <c r="T1478" i="2"/>
  <c r="S1478" i="2"/>
  <c r="Q1478" i="2"/>
  <c r="P1478" i="2"/>
  <c r="O1478" i="2"/>
  <c r="N1478" i="2"/>
  <c r="M1478" i="2"/>
  <c r="L1478" i="2"/>
  <c r="K1478" i="2"/>
  <c r="J1478" i="2"/>
  <c r="I1478" i="2"/>
  <c r="H1478" i="2"/>
  <c r="G1478" i="2"/>
  <c r="F1478" i="2"/>
  <c r="E1478" i="2"/>
  <c r="D1478" i="2"/>
  <c r="C1478" i="2"/>
  <c r="B1478" i="2"/>
  <c r="A1478" i="2"/>
  <c r="AX1477" i="2"/>
  <c r="AV1477" i="2"/>
  <c r="AU1477" i="2"/>
  <c r="AR1477" i="2"/>
  <c r="AO1477" i="2"/>
  <c r="AM1477" i="2"/>
  <c r="AL1477" i="2"/>
  <c r="AK1477" i="2"/>
  <c r="AJ1477" i="2"/>
  <c r="AI1477" i="2"/>
  <c r="AH1477" i="2"/>
  <c r="AG1477" i="2"/>
  <c r="AE1477" i="2"/>
  <c r="AD1477" i="2"/>
  <c r="AC1477" i="2"/>
  <c r="AA1477" i="2"/>
  <c r="Z1477" i="2"/>
  <c r="Y1477" i="2"/>
  <c r="X1477" i="2"/>
  <c r="W1477" i="2"/>
  <c r="V1477" i="2"/>
  <c r="U1477" i="2"/>
  <c r="T1477" i="2"/>
  <c r="S1477" i="2"/>
  <c r="R1477" i="2"/>
  <c r="Q1477" i="2"/>
  <c r="P1477" i="2"/>
  <c r="O1477" i="2"/>
  <c r="N1477" i="2"/>
  <c r="M1477" i="2"/>
  <c r="L1477" i="2"/>
  <c r="K1477" i="2"/>
  <c r="J1477" i="2"/>
  <c r="I1477" i="2"/>
  <c r="H1477" i="2"/>
  <c r="G1477" i="2"/>
  <c r="F1477" i="2"/>
  <c r="E1477" i="2"/>
  <c r="D1477" i="2"/>
  <c r="C1477" i="2"/>
  <c r="B1477" i="2"/>
  <c r="A1477" i="2"/>
  <c r="AX1476" i="2"/>
  <c r="AV1476" i="2"/>
  <c r="AU1476" i="2"/>
  <c r="AS1476" i="2"/>
  <c r="AR1476" i="2"/>
  <c r="AO1476" i="2"/>
  <c r="AM1476" i="2"/>
  <c r="AK1476" i="2"/>
  <c r="AJ1476" i="2"/>
  <c r="AI1476" i="2"/>
  <c r="AH1476" i="2"/>
  <c r="AG1476" i="2"/>
  <c r="AF1476" i="2"/>
  <c r="AE1476" i="2"/>
  <c r="AD1476" i="2"/>
  <c r="AC1476" i="2"/>
  <c r="AA1476" i="2"/>
  <c r="Z1476" i="2"/>
  <c r="Y1476" i="2"/>
  <c r="X1476" i="2"/>
  <c r="W1476" i="2"/>
  <c r="V1476" i="2"/>
  <c r="U1476" i="2"/>
  <c r="T1476" i="2"/>
  <c r="S1476" i="2"/>
  <c r="R1476" i="2"/>
  <c r="Q1476" i="2"/>
  <c r="P1476" i="2"/>
  <c r="O1476" i="2"/>
  <c r="N1476" i="2"/>
  <c r="M1476" i="2"/>
  <c r="L1476" i="2"/>
  <c r="K1476" i="2"/>
  <c r="J1476" i="2"/>
  <c r="I1476" i="2"/>
  <c r="H1476" i="2"/>
  <c r="G1476" i="2"/>
  <c r="F1476" i="2"/>
  <c r="E1476" i="2"/>
  <c r="D1476" i="2"/>
  <c r="C1476" i="2"/>
  <c r="B1476" i="2"/>
  <c r="A1476" i="2"/>
  <c r="AX1475" i="2"/>
  <c r="AV1475" i="2"/>
  <c r="AU1475" i="2"/>
  <c r="AR1475" i="2"/>
  <c r="AO1475" i="2"/>
  <c r="AM1475" i="2"/>
  <c r="AL1475" i="2"/>
  <c r="AK1475" i="2"/>
  <c r="AJ1475" i="2"/>
  <c r="AI1475" i="2"/>
  <c r="AH1475" i="2"/>
  <c r="AG1475" i="2"/>
  <c r="AE1475" i="2"/>
  <c r="AD1475" i="2"/>
  <c r="AC1475" i="2"/>
  <c r="AA1475" i="2"/>
  <c r="Z1475" i="2"/>
  <c r="Y1475" i="2"/>
  <c r="X1475" i="2"/>
  <c r="W1475" i="2"/>
  <c r="V1475" i="2"/>
  <c r="U1475" i="2"/>
  <c r="T1475" i="2"/>
  <c r="S1475" i="2"/>
  <c r="R1475" i="2"/>
  <c r="Q1475" i="2"/>
  <c r="P1475" i="2"/>
  <c r="O1475" i="2"/>
  <c r="N1475" i="2"/>
  <c r="M1475" i="2"/>
  <c r="L1475" i="2"/>
  <c r="K1475" i="2"/>
  <c r="J1475" i="2"/>
  <c r="I1475" i="2"/>
  <c r="H1475" i="2"/>
  <c r="G1475" i="2"/>
  <c r="F1475" i="2"/>
  <c r="E1475" i="2"/>
  <c r="D1475" i="2"/>
  <c r="C1475" i="2"/>
  <c r="B1475" i="2"/>
  <c r="A1475" i="2"/>
  <c r="AX1474" i="2"/>
  <c r="AV1474" i="2"/>
  <c r="AU1474" i="2"/>
  <c r="AT1474" i="2"/>
  <c r="AO1474" i="2"/>
  <c r="AM1474" i="2"/>
  <c r="AK1474" i="2"/>
  <c r="AJ1474" i="2"/>
  <c r="AI1474" i="2"/>
  <c r="AH1474" i="2"/>
  <c r="AG1474" i="2"/>
  <c r="AE1474" i="2"/>
  <c r="AD1474" i="2"/>
  <c r="AC1474" i="2"/>
  <c r="AA1474" i="2"/>
  <c r="Z1474" i="2"/>
  <c r="Y1474" i="2"/>
  <c r="X1474" i="2"/>
  <c r="W1474" i="2"/>
  <c r="V1474" i="2"/>
  <c r="U1474" i="2"/>
  <c r="T1474" i="2"/>
  <c r="S1474" i="2"/>
  <c r="R1474" i="2"/>
  <c r="Q1474" i="2"/>
  <c r="P1474" i="2"/>
  <c r="O1474" i="2"/>
  <c r="N1474" i="2"/>
  <c r="M1474" i="2"/>
  <c r="K1474" i="2"/>
  <c r="J1474" i="2"/>
  <c r="I1474" i="2"/>
  <c r="H1474" i="2"/>
  <c r="G1474" i="2"/>
  <c r="F1474" i="2"/>
  <c r="E1474" i="2"/>
  <c r="D1474" i="2"/>
  <c r="C1474" i="2"/>
  <c r="B1474" i="2"/>
  <c r="A1474" i="2"/>
  <c r="AX1473" i="2"/>
  <c r="AV1473" i="2"/>
  <c r="AU1473" i="2"/>
  <c r="AR1473" i="2"/>
  <c r="AO1473" i="2"/>
  <c r="AM1473" i="2"/>
  <c r="AK1473" i="2"/>
  <c r="AJ1473" i="2"/>
  <c r="AI1473" i="2"/>
  <c r="AH1473" i="2"/>
  <c r="AG1473" i="2"/>
  <c r="AC1473" i="2"/>
  <c r="Z1473" i="2"/>
  <c r="Y1473" i="2"/>
  <c r="X1473" i="2"/>
  <c r="W1473" i="2"/>
  <c r="V1473" i="2"/>
  <c r="U1473" i="2"/>
  <c r="T1473" i="2"/>
  <c r="S1473" i="2"/>
  <c r="R1473" i="2"/>
  <c r="Q1473" i="2"/>
  <c r="P1473" i="2"/>
  <c r="O1473" i="2"/>
  <c r="N1473" i="2"/>
  <c r="M1473" i="2"/>
  <c r="L1473" i="2"/>
  <c r="K1473" i="2"/>
  <c r="J1473" i="2"/>
  <c r="I1473" i="2"/>
  <c r="H1473" i="2"/>
  <c r="G1473" i="2"/>
  <c r="F1473" i="2"/>
  <c r="E1473" i="2"/>
  <c r="D1473" i="2"/>
  <c r="C1473" i="2"/>
  <c r="B1473" i="2"/>
  <c r="A1473" i="2"/>
  <c r="AX1472" i="2"/>
  <c r="AV1472" i="2"/>
  <c r="AU1472" i="2"/>
  <c r="AR1472" i="2"/>
  <c r="AO1472" i="2"/>
  <c r="AM1472" i="2"/>
  <c r="AK1472" i="2"/>
  <c r="AJ1472" i="2"/>
  <c r="AI1472" i="2"/>
  <c r="AH1472" i="2"/>
  <c r="AG1472" i="2"/>
  <c r="AC1472" i="2"/>
  <c r="Z1472" i="2"/>
  <c r="Y1472" i="2"/>
  <c r="X1472" i="2"/>
  <c r="W1472" i="2"/>
  <c r="V1472" i="2"/>
  <c r="U1472" i="2"/>
  <c r="T1472" i="2"/>
  <c r="S1472" i="2"/>
  <c r="R1472" i="2"/>
  <c r="Q1472" i="2"/>
  <c r="P1472" i="2"/>
  <c r="O1472" i="2"/>
  <c r="N1472" i="2"/>
  <c r="M1472" i="2"/>
  <c r="L1472" i="2"/>
  <c r="K1472" i="2"/>
  <c r="J1472" i="2"/>
  <c r="I1472" i="2"/>
  <c r="H1472" i="2"/>
  <c r="G1472" i="2"/>
  <c r="F1472" i="2"/>
  <c r="E1472" i="2"/>
  <c r="D1472" i="2"/>
  <c r="C1472" i="2"/>
  <c r="B1472" i="2"/>
  <c r="A1472" i="2"/>
  <c r="AX1471" i="2"/>
  <c r="AV1471" i="2"/>
  <c r="AU1471" i="2"/>
  <c r="AR1471" i="2"/>
  <c r="AO1471" i="2"/>
  <c r="AM1471" i="2"/>
  <c r="AK1471" i="2"/>
  <c r="AJ1471" i="2"/>
  <c r="AI1471" i="2"/>
  <c r="AH1471" i="2"/>
  <c r="AG1471" i="2"/>
  <c r="AD1471" i="2"/>
  <c r="AC1471" i="2"/>
  <c r="AA1471" i="2"/>
  <c r="Z1471" i="2"/>
  <c r="Y1471" i="2"/>
  <c r="X1471" i="2"/>
  <c r="W1471" i="2"/>
  <c r="V1471" i="2"/>
  <c r="U1471" i="2"/>
  <c r="T1471" i="2"/>
  <c r="S1471" i="2"/>
  <c r="R1471" i="2"/>
  <c r="Q1471" i="2"/>
  <c r="P1471" i="2"/>
  <c r="N1471" i="2"/>
  <c r="M1471" i="2"/>
  <c r="L1471" i="2"/>
  <c r="K1471" i="2"/>
  <c r="J1471" i="2"/>
  <c r="I1471" i="2"/>
  <c r="H1471" i="2"/>
  <c r="G1471" i="2"/>
  <c r="F1471" i="2"/>
  <c r="E1471" i="2"/>
  <c r="D1471" i="2"/>
  <c r="C1471" i="2"/>
  <c r="B1471" i="2"/>
  <c r="A1471" i="2"/>
  <c r="AX1470" i="2"/>
  <c r="AV1470" i="2"/>
  <c r="AU1470" i="2"/>
  <c r="AR1470" i="2"/>
  <c r="AO1470" i="2"/>
  <c r="AM1470" i="2"/>
  <c r="AK1470" i="2"/>
  <c r="AJ1470" i="2"/>
  <c r="AI1470" i="2"/>
  <c r="AH1470" i="2"/>
  <c r="AG1470" i="2"/>
  <c r="AC1470" i="2"/>
  <c r="Z1470" i="2"/>
  <c r="Y1470" i="2"/>
  <c r="X1470" i="2"/>
  <c r="W1470" i="2"/>
  <c r="V1470" i="2"/>
  <c r="U1470" i="2"/>
  <c r="T1470" i="2"/>
  <c r="S1470" i="2"/>
  <c r="R1470" i="2"/>
  <c r="Q1470" i="2"/>
  <c r="P1470" i="2"/>
  <c r="O1470" i="2"/>
  <c r="N1470" i="2"/>
  <c r="M1470" i="2"/>
  <c r="L1470" i="2"/>
  <c r="K1470" i="2"/>
  <c r="J1470" i="2"/>
  <c r="I1470" i="2"/>
  <c r="H1470" i="2"/>
  <c r="G1470" i="2"/>
  <c r="F1470" i="2"/>
  <c r="E1470" i="2"/>
  <c r="D1470" i="2"/>
  <c r="C1470" i="2"/>
  <c r="B1470" i="2"/>
  <c r="A1470" i="2"/>
  <c r="AX1469" i="2"/>
  <c r="AV1469" i="2"/>
  <c r="AU1469" i="2"/>
  <c r="AS1469" i="2"/>
  <c r="AR1469" i="2"/>
  <c r="AO1469" i="2"/>
  <c r="AM1469" i="2"/>
  <c r="AL1469" i="2"/>
  <c r="AK1469" i="2"/>
  <c r="AJ1469" i="2"/>
  <c r="AI1469" i="2"/>
  <c r="AH1469" i="2"/>
  <c r="AG1469" i="2"/>
  <c r="AE1469" i="2"/>
  <c r="AD1469" i="2"/>
  <c r="AC1469" i="2"/>
  <c r="AA1469" i="2"/>
  <c r="Z1469" i="2"/>
  <c r="Y1469" i="2"/>
  <c r="X1469" i="2"/>
  <c r="V1469" i="2"/>
  <c r="U1469" i="2"/>
  <c r="T1469" i="2"/>
  <c r="S1469" i="2"/>
  <c r="R1469" i="2"/>
  <c r="Q1469" i="2"/>
  <c r="P1469" i="2"/>
  <c r="O1469" i="2"/>
  <c r="N1469" i="2"/>
  <c r="M1469" i="2"/>
  <c r="L1469" i="2"/>
  <c r="K1469" i="2"/>
  <c r="J1469" i="2"/>
  <c r="I1469" i="2"/>
  <c r="H1469" i="2"/>
  <c r="G1469" i="2"/>
  <c r="F1469" i="2"/>
  <c r="E1469" i="2"/>
  <c r="D1469" i="2"/>
  <c r="C1469" i="2"/>
  <c r="B1469" i="2"/>
  <c r="A1469" i="2"/>
  <c r="AX1468" i="2"/>
  <c r="AV1468" i="2"/>
  <c r="AU1468" i="2"/>
  <c r="AS1468" i="2"/>
  <c r="AR1468" i="2"/>
  <c r="AO1468" i="2"/>
  <c r="AM1468" i="2"/>
  <c r="AL1468" i="2"/>
  <c r="AK1468" i="2"/>
  <c r="AJ1468" i="2"/>
  <c r="AI1468" i="2"/>
  <c r="AH1468" i="2"/>
  <c r="AG1468" i="2"/>
  <c r="AE1468" i="2"/>
  <c r="AD1468" i="2"/>
  <c r="AC1468" i="2"/>
  <c r="AA1468" i="2"/>
  <c r="Z1468" i="2"/>
  <c r="Y1468" i="2"/>
  <c r="X1468" i="2"/>
  <c r="W1468" i="2"/>
  <c r="V1468" i="2"/>
  <c r="U1468" i="2"/>
  <c r="T1468" i="2"/>
  <c r="S1468" i="2"/>
  <c r="R1468" i="2"/>
  <c r="Q1468" i="2"/>
  <c r="P1468" i="2"/>
  <c r="O1468" i="2"/>
  <c r="N1468" i="2"/>
  <c r="M1468" i="2"/>
  <c r="L1468" i="2"/>
  <c r="K1468" i="2"/>
  <c r="J1468" i="2"/>
  <c r="I1468" i="2"/>
  <c r="H1468" i="2"/>
  <c r="G1468" i="2"/>
  <c r="F1468" i="2"/>
  <c r="E1468" i="2"/>
  <c r="D1468" i="2"/>
  <c r="C1468" i="2"/>
  <c r="B1468" i="2"/>
  <c r="A1468" i="2"/>
  <c r="AX1467" i="2"/>
  <c r="AV1467" i="2"/>
  <c r="AU1467" i="2"/>
  <c r="AT1467" i="2"/>
  <c r="AS1467" i="2"/>
  <c r="AR1467" i="2"/>
  <c r="AP1467" i="2"/>
  <c r="AO1467" i="2"/>
  <c r="AM1467" i="2"/>
  <c r="AL1467" i="2"/>
  <c r="AK1467" i="2"/>
  <c r="AJ1467" i="2"/>
  <c r="AI1467" i="2"/>
  <c r="AH1467" i="2"/>
  <c r="AG1467" i="2"/>
  <c r="AF1467" i="2"/>
  <c r="AE1467" i="2"/>
  <c r="AD1467" i="2"/>
  <c r="AC1467" i="2"/>
  <c r="AA1467" i="2"/>
  <c r="Z1467" i="2"/>
  <c r="Y1467" i="2"/>
  <c r="X1467" i="2"/>
  <c r="W1467" i="2"/>
  <c r="V1467" i="2"/>
  <c r="U1467" i="2"/>
  <c r="T1467" i="2"/>
  <c r="S1467" i="2"/>
  <c r="R1467" i="2"/>
  <c r="Q1467" i="2"/>
  <c r="P1467" i="2"/>
  <c r="O1467" i="2"/>
  <c r="N1467" i="2"/>
  <c r="M1467" i="2"/>
  <c r="L1467" i="2"/>
  <c r="K1467" i="2"/>
  <c r="J1467" i="2"/>
  <c r="I1467" i="2"/>
  <c r="H1467" i="2"/>
  <c r="G1467" i="2"/>
  <c r="F1467" i="2"/>
  <c r="E1467" i="2"/>
  <c r="D1467" i="2"/>
  <c r="C1467" i="2"/>
  <c r="B1467" i="2"/>
  <c r="A1467" i="2"/>
  <c r="AX1466" i="2"/>
  <c r="AV1466" i="2"/>
  <c r="AU1466" i="2"/>
  <c r="AS1466" i="2"/>
  <c r="AR1466" i="2"/>
  <c r="AO1466" i="2"/>
  <c r="AK1466" i="2"/>
  <c r="AJ1466" i="2"/>
  <c r="AI1466" i="2"/>
  <c r="AH1466" i="2"/>
  <c r="AG1466" i="2"/>
  <c r="AF1466" i="2"/>
  <c r="AE1466" i="2"/>
  <c r="AD1466" i="2"/>
  <c r="AC1466" i="2"/>
  <c r="AA1466" i="2"/>
  <c r="Z1466" i="2"/>
  <c r="Y1466" i="2"/>
  <c r="V1466" i="2"/>
  <c r="U1466" i="2"/>
  <c r="T1466" i="2"/>
  <c r="S1466" i="2"/>
  <c r="R1466" i="2"/>
  <c r="Q1466" i="2"/>
  <c r="P1466" i="2"/>
  <c r="O1466" i="2"/>
  <c r="N1466" i="2"/>
  <c r="M1466" i="2"/>
  <c r="L1466" i="2"/>
  <c r="K1466" i="2"/>
  <c r="J1466" i="2"/>
  <c r="I1466" i="2"/>
  <c r="H1466" i="2"/>
  <c r="G1466" i="2"/>
  <c r="F1466" i="2"/>
  <c r="E1466" i="2"/>
  <c r="D1466" i="2"/>
  <c r="C1466" i="2"/>
  <c r="B1466" i="2"/>
  <c r="A1466" i="2"/>
  <c r="AX1465" i="2"/>
  <c r="AV1465" i="2"/>
  <c r="AU1465" i="2"/>
  <c r="AR1465" i="2"/>
  <c r="AO1465" i="2"/>
  <c r="AM1465" i="2"/>
  <c r="AL1465" i="2"/>
  <c r="AK1465" i="2"/>
  <c r="AJ1465" i="2"/>
  <c r="AI1465" i="2"/>
  <c r="AH1465" i="2"/>
  <c r="AG1465" i="2"/>
  <c r="AF1465" i="2"/>
  <c r="AE1465" i="2"/>
  <c r="AD1465" i="2"/>
  <c r="AC1465" i="2"/>
  <c r="AA1465" i="2"/>
  <c r="Z1465" i="2"/>
  <c r="Y1465" i="2"/>
  <c r="W1465" i="2"/>
  <c r="V1465" i="2"/>
  <c r="U1465" i="2"/>
  <c r="T1465" i="2"/>
  <c r="S1465" i="2"/>
  <c r="R1465" i="2"/>
  <c r="Q1465" i="2"/>
  <c r="P1465" i="2"/>
  <c r="O1465" i="2"/>
  <c r="N1465" i="2"/>
  <c r="M1465" i="2"/>
  <c r="L1465" i="2"/>
  <c r="K1465" i="2"/>
  <c r="J1465" i="2"/>
  <c r="I1465" i="2"/>
  <c r="H1465" i="2"/>
  <c r="G1465" i="2"/>
  <c r="F1465" i="2"/>
  <c r="E1465" i="2"/>
  <c r="D1465" i="2"/>
  <c r="C1465" i="2"/>
  <c r="B1465" i="2"/>
  <c r="A1465" i="2"/>
  <c r="AX1464" i="2"/>
  <c r="AV1464" i="2"/>
  <c r="AU1464" i="2"/>
  <c r="AS1464" i="2"/>
  <c r="AR1464" i="2"/>
  <c r="AO1464" i="2"/>
  <c r="AM1464" i="2"/>
  <c r="AK1464" i="2"/>
  <c r="AJ1464" i="2"/>
  <c r="AI1464" i="2"/>
  <c r="AH1464" i="2"/>
  <c r="AE1464" i="2"/>
  <c r="AC1464" i="2"/>
  <c r="Z1464" i="2"/>
  <c r="Y1464" i="2"/>
  <c r="X1464" i="2"/>
  <c r="W1464" i="2"/>
  <c r="U1464" i="2"/>
  <c r="T1464" i="2"/>
  <c r="S1464" i="2"/>
  <c r="R1464" i="2"/>
  <c r="Q1464" i="2"/>
  <c r="P1464" i="2"/>
  <c r="O1464" i="2"/>
  <c r="N1464" i="2"/>
  <c r="M1464" i="2"/>
  <c r="L1464" i="2"/>
  <c r="K1464" i="2"/>
  <c r="J1464" i="2"/>
  <c r="I1464" i="2"/>
  <c r="H1464" i="2"/>
  <c r="G1464" i="2"/>
  <c r="F1464" i="2"/>
  <c r="E1464" i="2"/>
  <c r="D1464" i="2"/>
  <c r="C1464" i="2"/>
  <c r="B1464" i="2"/>
  <c r="A1464" i="2"/>
  <c r="AX1463" i="2"/>
  <c r="AV1463" i="2"/>
  <c r="AU1463" i="2"/>
  <c r="AR1463" i="2"/>
  <c r="AO1463" i="2"/>
  <c r="AM1463" i="2"/>
  <c r="AJ1463" i="2"/>
  <c r="AI1463" i="2"/>
  <c r="AH1463" i="2"/>
  <c r="AG1463" i="2"/>
  <c r="AC1463" i="2"/>
  <c r="Z1463" i="2"/>
  <c r="Y1463" i="2"/>
  <c r="X1463" i="2"/>
  <c r="W1463" i="2"/>
  <c r="V1463" i="2"/>
  <c r="U1463" i="2"/>
  <c r="T1463" i="2"/>
  <c r="S1463" i="2"/>
  <c r="R1463" i="2"/>
  <c r="Q1463" i="2"/>
  <c r="P1463" i="2"/>
  <c r="O1463" i="2"/>
  <c r="N1463" i="2"/>
  <c r="M1463" i="2"/>
  <c r="L1463" i="2"/>
  <c r="K1463" i="2"/>
  <c r="J1463" i="2"/>
  <c r="I1463" i="2"/>
  <c r="H1463" i="2"/>
  <c r="G1463" i="2"/>
  <c r="F1463" i="2"/>
  <c r="E1463" i="2"/>
  <c r="D1463" i="2"/>
  <c r="C1463" i="2"/>
  <c r="B1463" i="2"/>
  <c r="A1463" i="2"/>
  <c r="AX1462" i="2"/>
  <c r="AV1462" i="2"/>
  <c r="AU1462" i="2"/>
  <c r="AR1462" i="2"/>
  <c r="AO1462" i="2"/>
  <c r="AM1462" i="2"/>
  <c r="AK1462" i="2"/>
  <c r="AJ1462" i="2"/>
  <c r="AI1462" i="2"/>
  <c r="AH1462" i="2"/>
  <c r="AG1462" i="2"/>
  <c r="AD1462" i="2"/>
  <c r="AC1462" i="2"/>
  <c r="Z1462" i="2"/>
  <c r="Y1462" i="2"/>
  <c r="X1462" i="2"/>
  <c r="W1462" i="2"/>
  <c r="V1462" i="2"/>
  <c r="U1462" i="2"/>
  <c r="T1462" i="2"/>
  <c r="S1462" i="2"/>
  <c r="R1462" i="2"/>
  <c r="Q1462" i="2"/>
  <c r="P1462" i="2"/>
  <c r="O1462" i="2"/>
  <c r="N1462" i="2"/>
  <c r="M1462" i="2"/>
  <c r="L1462" i="2"/>
  <c r="K1462" i="2"/>
  <c r="J1462" i="2"/>
  <c r="I1462" i="2"/>
  <c r="H1462" i="2"/>
  <c r="G1462" i="2"/>
  <c r="F1462" i="2"/>
  <c r="E1462" i="2"/>
  <c r="D1462" i="2"/>
  <c r="C1462" i="2"/>
  <c r="B1462" i="2"/>
  <c r="A1462" i="2"/>
  <c r="AX1461" i="2"/>
  <c r="AV1461" i="2"/>
  <c r="AU1461" i="2"/>
  <c r="AT1461" i="2"/>
  <c r="AR1461" i="2"/>
  <c r="AP1461" i="2"/>
  <c r="AO1461" i="2"/>
  <c r="AM1461" i="2"/>
  <c r="AK1461" i="2"/>
  <c r="AJ1461" i="2"/>
  <c r="AI1461" i="2"/>
  <c r="AH1461" i="2"/>
  <c r="AG1461" i="2"/>
  <c r="AD1461" i="2"/>
  <c r="AC1461" i="2"/>
  <c r="Z1461" i="2"/>
  <c r="Y1461" i="2"/>
  <c r="X1461" i="2"/>
  <c r="V1461" i="2"/>
  <c r="U1461" i="2"/>
  <c r="T1461" i="2"/>
  <c r="S1461" i="2"/>
  <c r="R1461" i="2"/>
  <c r="Q1461" i="2"/>
  <c r="P1461" i="2"/>
  <c r="O1461" i="2"/>
  <c r="N1461" i="2"/>
  <c r="M1461" i="2"/>
  <c r="L1461" i="2"/>
  <c r="K1461" i="2"/>
  <c r="J1461" i="2"/>
  <c r="I1461" i="2"/>
  <c r="H1461" i="2"/>
  <c r="G1461" i="2"/>
  <c r="F1461" i="2"/>
  <c r="E1461" i="2"/>
  <c r="D1461" i="2"/>
  <c r="C1461" i="2"/>
  <c r="B1461" i="2"/>
  <c r="A1461" i="2"/>
  <c r="AX1460" i="2"/>
  <c r="AV1460" i="2"/>
  <c r="AU1460" i="2"/>
  <c r="AR1460" i="2"/>
  <c r="AO1460" i="2"/>
  <c r="AM1460" i="2"/>
  <c r="AL1460" i="2"/>
  <c r="AK1460" i="2"/>
  <c r="AJ1460" i="2"/>
  <c r="AI1460" i="2"/>
  <c r="AH1460" i="2"/>
  <c r="AG1460" i="2"/>
  <c r="AD1460" i="2"/>
  <c r="AC1460" i="2"/>
  <c r="AA1460" i="2"/>
  <c r="Z1460" i="2"/>
  <c r="Y1460" i="2"/>
  <c r="X1460" i="2"/>
  <c r="T1460" i="2"/>
  <c r="S1460" i="2"/>
  <c r="Q1460" i="2"/>
  <c r="P1460" i="2"/>
  <c r="O1460" i="2"/>
  <c r="N1460" i="2"/>
  <c r="M1460" i="2"/>
  <c r="L1460" i="2"/>
  <c r="K1460" i="2"/>
  <c r="J1460" i="2"/>
  <c r="I1460" i="2"/>
  <c r="H1460" i="2"/>
  <c r="G1460" i="2"/>
  <c r="F1460" i="2"/>
  <c r="E1460" i="2"/>
  <c r="D1460" i="2"/>
  <c r="C1460" i="2"/>
  <c r="B1460" i="2"/>
  <c r="A1460" i="2"/>
  <c r="AX1459" i="2"/>
  <c r="AV1459" i="2"/>
  <c r="AU1459" i="2"/>
  <c r="AR1459" i="2"/>
  <c r="AO1459" i="2"/>
  <c r="AM1459" i="2"/>
  <c r="AK1459" i="2"/>
  <c r="AJ1459" i="2"/>
  <c r="AI1459" i="2"/>
  <c r="AH1459" i="2"/>
  <c r="AG1459" i="2"/>
  <c r="AD1459" i="2"/>
  <c r="AC1459" i="2"/>
  <c r="AA1459" i="2"/>
  <c r="Z1459" i="2"/>
  <c r="Y1459" i="2"/>
  <c r="U1459" i="2"/>
  <c r="T1459" i="2"/>
  <c r="S1459" i="2"/>
  <c r="R1459" i="2"/>
  <c r="Q1459" i="2"/>
  <c r="P1459" i="2"/>
  <c r="O1459" i="2"/>
  <c r="N1459" i="2"/>
  <c r="M1459" i="2"/>
  <c r="L1459" i="2"/>
  <c r="K1459" i="2"/>
  <c r="J1459" i="2"/>
  <c r="I1459" i="2"/>
  <c r="H1459" i="2"/>
  <c r="G1459" i="2"/>
  <c r="F1459" i="2"/>
  <c r="E1459" i="2"/>
  <c r="D1459" i="2"/>
  <c r="C1459" i="2"/>
  <c r="B1459" i="2"/>
  <c r="A1459" i="2"/>
  <c r="AX1458" i="2"/>
  <c r="AV1458" i="2"/>
  <c r="AU1458" i="2"/>
  <c r="AT1458" i="2"/>
  <c r="AR1458" i="2"/>
  <c r="AO1458" i="2"/>
  <c r="AM1458" i="2"/>
  <c r="AL1458" i="2"/>
  <c r="AK1458" i="2"/>
  <c r="AJ1458" i="2"/>
  <c r="AI1458" i="2"/>
  <c r="AH1458" i="2"/>
  <c r="AG1458" i="2"/>
  <c r="AD1458" i="2"/>
  <c r="AC1458" i="2"/>
  <c r="AA1458" i="2"/>
  <c r="Z1458" i="2"/>
  <c r="Y1458" i="2"/>
  <c r="W1458" i="2"/>
  <c r="V1458" i="2"/>
  <c r="U1458" i="2"/>
  <c r="T1458" i="2"/>
  <c r="S1458" i="2"/>
  <c r="R1458" i="2"/>
  <c r="Q1458" i="2"/>
  <c r="P1458" i="2"/>
  <c r="O1458" i="2"/>
  <c r="N1458" i="2"/>
  <c r="M1458" i="2"/>
  <c r="L1458" i="2"/>
  <c r="K1458" i="2"/>
  <c r="J1458" i="2"/>
  <c r="I1458" i="2"/>
  <c r="H1458" i="2"/>
  <c r="G1458" i="2"/>
  <c r="F1458" i="2"/>
  <c r="E1458" i="2"/>
  <c r="D1458" i="2"/>
  <c r="C1458" i="2"/>
  <c r="B1458" i="2"/>
  <c r="A1458" i="2"/>
  <c r="AX1457" i="2"/>
  <c r="AV1457" i="2"/>
  <c r="AU1457" i="2"/>
  <c r="AS1457" i="2"/>
  <c r="AR1457" i="2"/>
  <c r="AQ1457" i="2"/>
  <c r="AP1457" i="2"/>
  <c r="AO1457" i="2"/>
  <c r="AM1457" i="2"/>
  <c r="AL1457" i="2"/>
  <c r="AK1457" i="2"/>
  <c r="AI1457" i="2"/>
  <c r="AH1457" i="2"/>
  <c r="AG1457" i="2"/>
  <c r="AE1457" i="2"/>
  <c r="AC1457" i="2"/>
  <c r="Z1457" i="2"/>
  <c r="Y1457" i="2"/>
  <c r="X1457" i="2"/>
  <c r="V1457" i="2"/>
  <c r="U1457" i="2"/>
  <c r="T1457" i="2"/>
  <c r="S1457" i="2"/>
  <c r="R1457" i="2"/>
  <c r="Q1457" i="2"/>
  <c r="P1457" i="2"/>
  <c r="O1457" i="2"/>
  <c r="N1457" i="2"/>
  <c r="M1457" i="2"/>
  <c r="L1457" i="2"/>
  <c r="K1457" i="2"/>
  <c r="J1457" i="2"/>
  <c r="I1457" i="2"/>
  <c r="H1457" i="2"/>
  <c r="G1457" i="2"/>
  <c r="F1457" i="2"/>
  <c r="E1457" i="2"/>
  <c r="D1457" i="2"/>
  <c r="C1457" i="2"/>
  <c r="B1457" i="2"/>
  <c r="A1457" i="2"/>
  <c r="AX1456" i="2"/>
  <c r="AV1456" i="2"/>
  <c r="AU1456" i="2"/>
  <c r="AT1456" i="2"/>
  <c r="AS1456" i="2"/>
  <c r="AR1456" i="2"/>
  <c r="AQ1456" i="2"/>
  <c r="AP1456" i="2"/>
  <c r="AO1456" i="2"/>
  <c r="AM1456" i="2"/>
  <c r="AL1456" i="2"/>
  <c r="AK1456" i="2"/>
  <c r="AJ1456" i="2"/>
  <c r="AI1456" i="2"/>
  <c r="AH1456" i="2"/>
  <c r="AG1456" i="2"/>
  <c r="AE1456" i="2"/>
  <c r="AD1456" i="2"/>
  <c r="AC1456" i="2"/>
  <c r="AA1456" i="2"/>
  <c r="Z1456" i="2"/>
  <c r="Y1456" i="2"/>
  <c r="X1456" i="2"/>
  <c r="W1456" i="2"/>
  <c r="R1456" i="2"/>
  <c r="Q1456" i="2"/>
  <c r="P1456" i="2"/>
  <c r="O1456" i="2"/>
  <c r="N1456" i="2"/>
  <c r="M1456" i="2"/>
  <c r="L1456" i="2"/>
  <c r="K1456" i="2"/>
  <c r="J1456" i="2"/>
  <c r="I1456" i="2"/>
  <c r="H1456" i="2"/>
  <c r="G1456" i="2"/>
  <c r="F1456" i="2"/>
  <c r="E1456" i="2"/>
  <c r="D1456" i="2"/>
  <c r="C1456" i="2"/>
  <c r="B1456" i="2"/>
  <c r="A1456" i="2"/>
  <c r="AX1455" i="2"/>
  <c r="AV1455" i="2"/>
  <c r="AU1455" i="2"/>
  <c r="AR1455" i="2"/>
  <c r="AO1455" i="2"/>
  <c r="AM1455" i="2"/>
  <c r="AL1455" i="2"/>
  <c r="AK1455" i="2"/>
  <c r="AJ1455" i="2"/>
  <c r="AH1455" i="2"/>
  <c r="AG1455" i="2"/>
  <c r="AE1455" i="2"/>
  <c r="AD1455" i="2"/>
  <c r="AC1455" i="2"/>
  <c r="AA1455" i="2"/>
  <c r="Z1455" i="2"/>
  <c r="Y1455" i="2"/>
  <c r="W1455" i="2"/>
  <c r="V1455" i="2"/>
  <c r="U1455" i="2"/>
  <c r="T1455" i="2"/>
  <c r="S1455" i="2"/>
  <c r="R1455" i="2"/>
  <c r="Q1455" i="2"/>
  <c r="P1455" i="2"/>
  <c r="O1455" i="2"/>
  <c r="N1455" i="2"/>
  <c r="M1455" i="2"/>
  <c r="L1455" i="2"/>
  <c r="K1455" i="2"/>
  <c r="J1455" i="2"/>
  <c r="I1455" i="2"/>
  <c r="H1455" i="2"/>
  <c r="G1455" i="2"/>
  <c r="F1455" i="2"/>
  <c r="E1455" i="2"/>
  <c r="D1455" i="2"/>
  <c r="C1455" i="2"/>
  <c r="B1455" i="2"/>
  <c r="A1455" i="2"/>
  <c r="AX1454" i="2"/>
  <c r="AV1454" i="2"/>
  <c r="AU1454" i="2"/>
  <c r="AR1454" i="2"/>
  <c r="AP1454" i="2"/>
  <c r="AO1454" i="2"/>
  <c r="AM1454" i="2"/>
  <c r="AL1454" i="2"/>
  <c r="AK1454" i="2"/>
  <c r="AJ1454" i="2"/>
  <c r="AI1454" i="2"/>
  <c r="AH1454" i="2"/>
  <c r="AG1454" i="2"/>
  <c r="AE1454" i="2"/>
  <c r="AD1454" i="2"/>
  <c r="AC1454" i="2"/>
  <c r="AA1454" i="2"/>
  <c r="Z1454" i="2"/>
  <c r="Y1454" i="2"/>
  <c r="X1454" i="2"/>
  <c r="V1454" i="2"/>
  <c r="U1454" i="2"/>
  <c r="T1454" i="2"/>
  <c r="S1454" i="2"/>
  <c r="R1454" i="2"/>
  <c r="Q1454" i="2"/>
  <c r="P1454" i="2"/>
  <c r="O1454" i="2"/>
  <c r="N1454" i="2"/>
  <c r="M1454" i="2"/>
  <c r="L1454" i="2"/>
  <c r="K1454" i="2"/>
  <c r="J1454" i="2"/>
  <c r="I1454" i="2"/>
  <c r="H1454" i="2"/>
  <c r="G1454" i="2"/>
  <c r="F1454" i="2"/>
  <c r="E1454" i="2"/>
  <c r="D1454" i="2"/>
  <c r="C1454" i="2"/>
  <c r="B1454" i="2"/>
  <c r="A1454" i="2"/>
  <c r="AX1453" i="2"/>
  <c r="AV1453" i="2"/>
  <c r="AU1453" i="2"/>
  <c r="AS1453" i="2"/>
  <c r="AR1453" i="2"/>
  <c r="AO1453" i="2"/>
  <c r="AM1453" i="2"/>
  <c r="AK1453" i="2"/>
  <c r="AJ1453" i="2"/>
  <c r="AI1453" i="2"/>
  <c r="AH1453" i="2"/>
  <c r="AG1453" i="2"/>
  <c r="AD1453" i="2"/>
  <c r="AC1453" i="2"/>
  <c r="Z1453" i="2"/>
  <c r="Y1453" i="2"/>
  <c r="X1453" i="2"/>
  <c r="W1453" i="2"/>
  <c r="V1453" i="2"/>
  <c r="U1453" i="2"/>
  <c r="T1453" i="2"/>
  <c r="S1453" i="2"/>
  <c r="R1453" i="2"/>
  <c r="Q1453" i="2"/>
  <c r="P1453" i="2"/>
  <c r="O1453" i="2"/>
  <c r="N1453" i="2"/>
  <c r="M1453" i="2"/>
  <c r="L1453" i="2"/>
  <c r="K1453" i="2"/>
  <c r="J1453" i="2"/>
  <c r="I1453" i="2"/>
  <c r="H1453" i="2"/>
  <c r="G1453" i="2"/>
  <c r="F1453" i="2"/>
  <c r="E1453" i="2"/>
  <c r="D1453" i="2"/>
  <c r="C1453" i="2"/>
  <c r="B1453" i="2"/>
  <c r="A1453" i="2"/>
  <c r="AX1452" i="2"/>
  <c r="AV1452" i="2"/>
  <c r="AU1452" i="2"/>
  <c r="AO1452" i="2"/>
  <c r="AM1452" i="2"/>
  <c r="AL1452" i="2"/>
  <c r="AK1452" i="2"/>
  <c r="AJ1452" i="2"/>
  <c r="AI1452" i="2"/>
  <c r="AH1452" i="2"/>
  <c r="AG1452" i="2"/>
  <c r="AE1452" i="2"/>
  <c r="AD1452" i="2"/>
  <c r="AC1452" i="2"/>
  <c r="AA1452" i="2"/>
  <c r="Z1452" i="2"/>
  <c r="Y1452" i="2"/>
  <c r="X1452" i="2"/>
  <c r="V1452" i="2"/>
  <c r="U1452" i="2"/>
  <c r="T1452" i="2"/>
  <c r="S1452" i="2"/>
  <c r="Q1452" i="2"/>
  <c r="P1452" i="2"/>
  <c r="O1452" i="2"/>
  <c r="N1452" i="2"/>
  <c r="M1452" i="2"/>
  <c r="L1452" i="2"/>
  <c r="K1452" i="2"/>
  <c r="J1452" i="2"/>
  <c r="I1452" i="2"/>
  <c r="H1452" i="2"/>
  <c r="G1452" i="2"/>
  <c r="F1452" i="2"/>
  <c r="E1452" i="2"/>
  <c r="D1452" i="2"/>
  <c r="C1452" i="2"/>
  <c r="B1452" i="2"/>
  <c r="A1452" i="2"/>
  <c r="AX1451" i="2"/>
  <c r="AV1451" i="2"/>
  <c r="AU1451" i="2"/>
  <c r="AS1451" i="2"/>
  <c r="AR1451" i="2"/>
  <c r="AO1451" i="2"/>
  <c r="AM1451" i="2"/>
  <c r="AL1451" i="2"/>
  <c r="AK1451" i="2"/>
  <c r="AJ1451" i="2"/>
  <c r="AI1451" i="2"/>
  <c r="AH1451" i="2"/>
  <c r="AG1451" i="2"/>
  <c r="AF1451" i="2"/>
  <c r="AE1451" i="2"/>
  <c r="AD1451" i="2"/>
  <c r="AC1451" i="2"/>
  <c r="AA1451" i="2"/>
  <c r="Z1451" i="2"/>
  <c r="Y1451" i="2"/>
  <c r="X1451" i="2"/>
  <c r="W1451" i="2"/>
  <c r="V1451" i="2"/>
  <c r="U1451" i="2"/>
  <c r="T1451" i="2"/>
  <c r="S1451" i="2"/>
  <c r="R1451" i="2"/>
  <c r="Q1451" i="2"/>
  <c r="P1451" i="2"/>
  <c r="O1451" i="2"/>
  <c r="N1451" i="2"/>
  <c r="M1451" i="2"/>
  <c r="L1451" i="2"/>
  <c r="K1451" i="2"/>
  <c r="J1451" i="2"/>
  <c r="I1451" i="2"/>
  <c r="H1451" i="2"/>
  <c r="G1451" i="2"/>
  <c r="F1451" i="2"/>
  <c r="E1451" i="2"/>
  <c r="D1451" i="2"/>
  <c r="C1451" i="2"/>
  <c r="B1451" i="2"/>
  <c r="A1451" i="2"/>
  <c r="AX1450" i="2"/>
  <c r="AV1450" i="2"/>
  <c r="AU1450" i="2"/>
  <c r="AR1450" i="2"/>
  <c r="AO1450" i="2"/>
  <c r="AM1450" i="2"/>
  <c r="AK1450" i="2"/>
  <c r="AJ1450" i="2"/>
  <c r="AI1450" i="2"/>
  <c r="AH1450" i="2"/>
  <c r="AG1450" i="2"/>
  <c r="AC1450" i="2"/>
  <c r="Z1450" i="2"/>
  <c r="Y1450" i="2"/>
  <c r="X1450" i="2"/>
  <c r="W1450" i="2"/>
  <c r="V1450" i="2"/>
  <c r="U1450" i="2"/>
  <c r="T1450" i="2"/>
  <c r="S1450" i="2"/>
  <c r="R1450" i="2"/>
  <c r="Q1450" i="2"/>
  <c r="P1450" i="2"/>
  <c r="O1450" i="2"/>
  <c r="N1450" i="2"/>
  <c r="M1450" i="2"/>
  <c r="L1450" i="2"/>
  <c r="K1450" i="2"/>
  <c r="J1450" i="2"/>
  <c r="I1450" i="2"/>
  <c r="H1450" i="2"/>
  <c r="G1450" i="2"/>
  <c r="F1450" i="2"/>
  <c r="E1450" i="2"/>
  <c r="D1450" i="2"/>
  <c r="C1450" i="2"/>
  <c r="B1450" i="2"/>
  <c r="A1450" i="2"/>
  <c r="AX1449" i="2"/>
  <c r="AV1449" i="2"/>
  <c r="AU1449" i="2"/>
  <c r="AR1449" i="2"/>
  <c r="AO1449" i="2"/>
  <c r="AM1449" i="2"/>
  <c r="AL1449" i="2"/>
  <c r="AK1449" i="2"/>
  <c r="AJ1449" i="2"/>
  <c r="AI1449" i="2"/>
  <c r="AH1449" i="2"/>
  <c r="AG1449" i="2"/>
  <c r="AD1449" i="2"/>
  <c r="AC1449" i="2"/>
  <c r="AA1449" i="2"/>
  <c r="Z1449" i="2"/>
  <c r="Y1449" i="2"/>
  <c r="X1449" i="2"/>
  <c r="W1449" i="2"/>
  <c r="V1449" i="2"/>
  <c r="U1449" i="2"/>
  <c r="T1449" i="2"/>
  <c r="S1449" i="2"/>
  <c r="R1449" i="2"/>
  <c r="Q1449" i="2"/>
  <c r="P1449" i="2"/>
  <c r="O1449" i="2"/>
  <c r="N1449" i="2"/>
  <c r="M1449" i="2"/>
  <c r="L1449" i="2"/>
  <c r="K1449" i="2"/>
  <c r="J1449" i="2"/>
  <c r="I1449" i="2"/>
  <c r="H1449" i="2"/>
  <c r="G1449" i="2"/>
  <c r="F1449" i="2"/>
  <c r="E1449" i="2"/>
  <c r="D1449" i="2"/>
  <c r="C1449" i="2"/>
  <c r="B1449" i="2"/>
  <c r="A1449" i="2"/>
  <c r="AX1448" i="2"/>
  <c r="AV1448" i="2"/>
  <c r="AU1448" i="2"/>
  <c r="AS1448" i="2"/>
  <c r="AR1448" i="2"/>
  <c r="AO1448" i="2"/>
  <c r="AM1448" i="2"/>
  <c r="AJ1448" i="2"/>
  <c r="AI1448" i="2"/>
  <c r="AH1448" i="2"/>
  <c r="AG1448" i="2"/>
  <c r="AC1448" i="2"/>
  <c r="Z1448" i="2"/>
  <c r="Y1448" i="2"/>
  <c r="X1448" i="2"/>
  <c r="W1448" i="2"/>
  <c r="V1448" i="2"/>
  <c r="U1448" i="2"/>
  <c r="T1448" i="2"/>
  <c r="S1448" i="2"/>
  <c r="R1448" i="2"/>
  <c r="Q1448" i="2"/>
  <c r="P1448" i="2"/>
  <c r="O1448" i="2"/>
  <c r="N1448" i="2"/>
  <c r="M1448" i="2"/>
  <c r="L1448" i="2"/>
  <c r="K1448" i="2"/>
  <c r="J1448" i="2"/>
  <c r="I1448" i="2"/>
  <c r="H1448" i="2"/>
  <c r="G1448" i="2"/>
  <c r="F1448" i="2"/>
  <c r="E1448" i="2"/>
  <c r="D1448" i="2"/>
  <c r="C1448" i="2"/>
  <c r="B1448" i="2"/>
  <c r="A1448" i="2"/>
  <c r="AX1447" i="2"/>
  <c r="AV1447" i="2"/>
  <c r="AU1447" i="2"/>
  <c r="AR1447" i="2"/>
  <c r="AO1447" i="2"/>
  <c r="AM1447" i="2"/>
  <c r="AL1447" i="2"/>
  <c r="AK1447" i="2"/>
  <c r="AJ1447" i="2"/>
  <c r="AI1447" i="2"/>
  <c r="AH1447" i="2"/>
  <c r="AG1447" i="2"/>
  <c r="AF1447" i="2"/>
  <c r="AE1447" i="2"/>
  <c r="AD1447" i="2"/>
  <c r="AC1447" i="2"/>
  <c r="AA1447" i="2"/>
  <c r="Z1447" i="2"/>
  <c r="Y1447" i="2"/>
  <c r="X1447" i="2"/>
  <c r="W1447" i="2"/>
  <c r="V1447" i="2"/>
  <c r="U1447" i="2"/>
  <c r="T1447" i="2"/>
  <c r="S1447" i="2"/>
  <c r="R1447" i="2"/>
  <c r="Q1447" i="2"/>
  <c r="P1447" i="2"/>
  <c r="O1447" i="2"/>
  <c r="N1447" i="2"/>
  <c r="M1447" i="2"/>
  <c r="L1447" i="2"/>
  <c r="K1447" i="2"/>
  <c r="J1447" i="2"/>
  <c r="I1447" i="2"/>
  <c r="H1447" i="2"/>
  <c r="G1447" i="2"/>
  <c r="F1447" i="2"/>
  <c r="E1447" i="2"/>
  <c r="D1447" i="2"/>
  <c r="C1447" i="2"/>
  <c r="B1447" i="2"/>
  <c r="A1447" i="2"/>
  <c r="AX1446" i="2"/>
  <c r="AV1446" i="2"/>
  <c r="AU1446" i="2"/>
  <c r="AR1446" i="2"/>
  <c r="AO1446" i="2"/>
  <c r="AM1446" i="2"/>
  <c r="AK1446" i="2"/>
  <c r="AJ1446" i="2"/>
  <c r="AI1446" i="2"/>
  <c r="AH1446" i="2"/>
  <c r="AG1446" i="2"/>
  <c r="AD1446" i="2"/>
  <c r="AC1446" i="2"/>
  <c r="AA1446" i="2"/>
  <c r="Z1446" i="2"/>
  <c r="Y1446" i="2"/>
  <c r="X1446" i="2"/>
  <c r="W1446" i="2"/>
  <c r="V1446" i="2"/>
  <c r="U1446" i="2"/>
  <c r="T1446" i="2"/>
  <c r="S1446" i="2"/>
  <c r="R1446" i="2"/>
  <c r="Q1446" i="2"/>
  <c r="P1446" i="2"/>
  <c r="O1446" i="2"/>
  <c r="N1446" i="2"/>
  <c r="M1446" i="2"/>
  <c r="L1446" i="2"/>
  <c r="K1446" i="2"/>
  <c r="J1446" i="2"/>
  <c r="I1446" i="2"/>
  <c r="H1446" i="2"/>
  <c r="G1446" i="2"/>
  <c r="F1446" i="2"/>
  <c r="E1446" i="2"/>
  <c r="D1446" i="2"/>
  <c r="C1446" i="2"/>
  <c r="B1446" i="2"/>
  <c r="A1446" i="2"/>
  <c r="AX1445" i="2"/>
  <c r="AV1445" i="2"/>
  <c r="AU1445" i="2"/>
  <c r="AR1445" i="2"/>
  <c r="AO1445" i="2"/>
  <c r="AM1445" i="2"/>
  <c r="AK1445" i="2"/>
  <c r="AJ1445" i="2"/>
  <c r="AI1445" i="2"/>
  <c r="AH1445" i="2"/>
  <c r="AG1445" i="2"/>
  <c r="AD1445" i="2"/>
  <c r="AC1445" i="2"/>
  <c r="Z1445" i="2"/>
  <c r="Y1445" i="2"/>
  <c r="X1445" i="2"/>
  <c r="W1445" i="2"/>
  <c r="V1445" i="2"/>
  <c r="U1445" i="2"/>
  <c r="T1445" i="2"/>
  <c r="S1445" i="2"/>
  <c r="R1445" i="2"/>
  <c r="Q1445" i="2"/>
  <c r="P1445" i="2"/>
  <c r="O1445" i="2"/>
  <c r="N1445" i="2"/>
  <c r="M1445" i="2"/>
  <c r="L1445" i="2"/>
  <c r="K1445" i="2"/>
  <c r="J1445" i="2"/>
  <c r="I1445" i="2"/>
  <c r="H1445" i="2"/>
  <c r="G1445" i="2"/>
  <c r="F1445" i="2"/>
  <c r="E1445" i="2"/>
  <c r="D1445" i="2"/>
  <c r="C1445" i="2"/>
  <c r="B1445" i="2"/>
  <c r="A1445" i="2"/>
  <c r="AX1444" i="2"/>
  <c r="AV1444" i="2"/>
  <c r="AU1444" i="2"/>
  <c r="AS1444" i="2"/>
  <c r="AR1444" i="2"/>
  <c r="AO1444" i="2"/>
  <c r="AM1444" i="2"/>
  <c r="AL1444" i="2"/>
  <c r="AK1444" i="2"/>
  <c r="AI1444" i="2"/>
  <c r="AH1444" i="2"/>
  <c r="AG1444" i="2"/>
  <c r="AD1444" i="2"/>
  <c r="AC1444" i="2"/>
  <c r="AA1444" i="2"/>
  <c r="Z1444" i="2"/>
  <c r="Y1444" i="2"/>
  <c r="X1444" i="2"/>
  <c r="W1444" i="2"/>
  <c r="V1444" i="2"/>
  <c r="U1444" i="2"/>
  <c r="T1444" i="2"/>
  <c r="S1444" i="2"/>
  <c r="R1444" i="2"/>
  <c r="Q1444" i="2"/>
  <c r="P1444" i="2"/>
  <c r="O1444" i="2"/>
  <c r="N1444" i="2"/>
  <c r="M1444" i="2"/>
  <c r="L1444" i="2"/>
  <c r="K1444" i="2"/>
  <c r="J1444" i="2"/>
  <c r="I1444" i="2"/>
  <c r="H1444" i="2"/>
  <c r="G1444" i="2"/>
  <c r="F1444" i="2"/>
  <c r="E1444" i="2"/>
  <c r="D1444" i="2"/>
  <c r="C1444" i="2"/>
  <c r="B1444" i="2"/>
  <c r="A1444" i="2"/>
  <c r="AX1443" i="2"/>
  <c r="AV1443" i="2"/>
  <c r="AU1443" i="2"/>
  <c r="AT1443" i="2"/>
  <c r="AR1443" i="2"/>
  <c r="AO1443" i="2"/>
  <c r="AN1443" i="2"/>
  <c r="AM1443" i="2"/>
  <c r="AL1443" i="2"/>
  <c r="AK1443" i="2"/>
  <c r="AJ1443" i="2"/>
  <c r="AI1443" i="2"/>
  <c r="AH1443" i="2"/>
  <c r="AG1443" i="2"/>
  <c r="AE1443" i="2"/>
  <c r="AD1443" i="2"/>
  <c r="AC1443" i="2"/>
  <c r="AA1443" i="2"/>
  <c r="Z1443" i="2"/>
  <c r="Y1443" i="2"/>
  <c r="W1443" i="2"/>
  <c r="V1443" i="2"/>
  <c r="U1443" i="2"/>
  <c r="T1443" i="2"/>
  <c r="S1443" i="2"/>
  <c r="R1443" i="2"/>
  <c r="Q1443" i="2"/>
  <c r="P1443" i="2"/>
  <c r="O1443" i="2"/>
  <c r="N1443" i="2"/>
  <c r="M1443" i="2"/>
  <c r="L1443" i="2"/>
  <c r="K1443" i="2"/>
  <c r="J1443" i="2"/>
  <c r="I1443" i="2"/>
  <c r="H1443" i="2"/>
  <c r="G1443" i="2"/>
  <c r="F1443" i="2"/>
  <c r="E1443" i="2"/>
  <c r="D1443" i="2"/>
  <c r="C1443" i="2"/>
  <c r="B1443" i="2"/>
  <c r="A1443" i="2"/>
  <c r="AX1442" i="2"/>
  <c r="AV1442" i="2"/>
  <c r="AU1442" i="2"/>
  <c r="AR1442" i="2"/>
  <c r="AO1442" i="2"/>
  <c r="AM1442" i="2"/>
  <c r="AK1442" i="2"/>
  <c r="AJ1442" i="2"/>
  <c r="AI1442" i="2"/>
  <c r="AH1442" i="2"/>
  <c r="AG1442" i="2"/>
  <c r="AD1442" i="2"/>
  <c r="AC1442" i="2"/>
  <c r="Z1442" i="2"/>
  <c r="Y1442" i="2"/>
  <c r="X1442" i="2"/>
  <c r="W1442" i="2"/>
  <c r="V1442" i="2"/>
  <c r="U1442" i="2"/>
  <c r="T1442" i="2"/>
  <c r="S1442" i="2"/>
  <c r="R1442" i="2"/>
  <c r="Q1442" i="2"/>
  <c r="P1442" i="2"/>
  <c r="O1442" i="2"/>
  <c r="N1442" i="2"/>
  <c r="M1442" i="2"/>
  <c r="L1442" i="2"/>
  <c r="K1442" i="2"/>
  <c r="J1442" i="2"/>
  <c r="I1442" i="2"/>
  <c r="H1442" i="2"/>
  <c r="G1442" i="2"/>
  <c r="F1442" i="2"/>
  <c r="E1442" i="2"/>
  <c r="D1442" i="2"/>
  <c r="C1442" i="2"/>
  <c r="B1442" i="2"/>
  <c r="A1442" i="2"/>
  <c r="AX1441" i="2"/>
  <c r="AV1441" i="2"/>
  <c r="AU1441" i="2"/>
  <c r="AS1441" i="2"/>
  <c r="AR1441" i="2"/>
  <c r="AO1441" i="2"/>
  <c r="AM1441" i="2"/>
  <c r="AL1441" i="2"/>
  <c r="AK1441" i="2"/>
  <c r="AJ1441" i="2"/>
  <c r="AI1441" i="2"/>
  <c r="AH1441" i="2"/>
  <c r="AG1441" i="2"/>
  <c r="AE1441" i="2"/>
  <c r="AD1441" i="2"/>
  <c r="AC1441" i="2"/>
  <c r="AA1441" i="2"/>
  <c r="Z1441" i="2"/>
  <c r="Y1441" i="2"/>
  <c r="X1441" i="2"/>
  <c r="V1441" i="2"/>
  <c r="U1441" i="2"/>
  <c r="T1441" i="2"/>
  <c r="S1441" i="2"/>
  <c r="R1441" i="2"/>
  <c r="Q1441" i="2"/>
  <c r="P1441" i="2"/>
  <c r="O1441" i="2"/>
  <c r="N1441" i="2"/>
  <c r="M1441" i="2"/>
  <c r="L1441" i="2"/>
  <c r="K1441" i="2"/>
  <c r="J1441" i="2"/>
  <c r="I1441" i="2"/>
  <c r="H1441" i="2"/>
  <c r="G1441" i="2"/>
  <c r="F1441" i="2"/>
  <c r="E1441" i="2"/>
  <c r="D1441" i="2"/>
  <c r="C1441" i="2"/>
  <c r="B1441" i="2"/>
  <c r="A1441" i="2"/>
  <c r="AX1440" i="2"/>
  <c r="AV1440" i="2"/>
  <c r="AU1440" i="2"/>
  <c r="AR1440" i="2"/>
  <c r="AO1440" i="2"/>
  <c r="AM1440" i="2"/>
  <c r="AK1440" i="2"/>
  <c r="AJ1440" i="2"/>
  <c r="AI1440" i="2"/>
  <c r="AH1440" i="2"/>
  <c r="AG1440" i="2"/>
  <c r="AD1440" i="2"/>
  <c r="AC1440" i="2"/>
  <c r="Z1440" i="2"/>
  <c r="Y1440" i="2"/>
  <c r="X1440" i="2"/>
  <c r="V1440" i="2"/>
  <c r="U1440" i="2"/>
  <c r="T1440" i="2"/>
  <c r="S1440" i="2"/>
  <c r="R1440" i="2"/>
  <c r="Q1440" i="2"/>
  <c r="P1440" i="2"/>
  <c r="O1440" i="2"/>
  <c r="N1440" i="2"/>
  <c r="M1440" i="2"/>
  <c r="L1440" i="2"/>
  <c r="K1440" i="2"/>
  <c r="J1440" i="2"/>
  <c r="I1440" i="2"/>
  <c r="H1440" i="2"/>
  <c r="G1440" i="2"/>
  <c r="F1440" i="2"/>
  <c r="E1440" i="2"/>
  <c r="D1440" i="2"/>
  <c r="C1440" i="2"/>
  <c r="B1440" i="2"/>
  <c r="A1440" i="2"/>
  <c r="AX1439" i="2"/>
  <c r="AV1439" i="2"/>
  <c r="AU1439" i="2"/>
  <c r="AR1439" i="2"/>
  <c r="AO1439" i="2"/>
  <c r="AM1439" i="2"/>
  <c r="AK1439" i="2"/>
  <c r="AJ1439" i="2"/>
  <c r="AI1439" i="2"/>
  <c r="AH1439" i="2"/>
  <c r="AG1439" i="2"/>
  <c r="AD1439" i="2"/>
  <c r="AC1439" i="2"/>
  <c r="Z1439" i="2"/>
  <c r="Y1439" i="2"/>
  <c r="X1439" i="2"/>
  <c r="W1439" i="2"/>
  <c r="V1439" i="2"/>
  <c r="U1439" i="2"/>
  <c r="T1439" i="2"/>
  <c r="S1439" i="2"/>
  <c r="R1439" i="2"/>
  <c r="Q1439" i="2"/>
  <c r="P1439" i="2"/>
  <c r="O1439" i="2"/>
  <c r="N1439" i="2"/>
  <c r="M1439" i="2"/>
  <c r="L1439" i="2"/>
  <c r="K1439" i="2"/>
  <c r="J1439" i="2"/>
  <c r="I1439" i="2"/>
  <c r="H1439" i="2"/>
  <c r="G1439" i="2"/>
  <c r="F1439" i="2"/>
  <c r="E1439" i="2"/>
  <c r="D1439" i="2"/>
  <c r="C1439" i="2"/>
  <c r="B1439" i="2"/>
  <c r="A1439" i="2"/>
  <c r="AX1438" i="2"/>
  <c r="AV1438" i="2"/>
  <c r="AU1438" i="2"/>
  <c r="AR1438" i="2"/>
  <c r="AO1438" i="2"/>
  <c r="AM1438" i="2"/>
  <c r="AK1438" i="2"/>
  <c r="AJ1438" i="2"/>
  <c r="AI1438" i="2"/>
  <c r="AH1438" i="2"/>
  <c r="AG1438" i="2"/>
  <c r="AC1438" i="2"/>
  <c r="Z1438" i="2"/>
  <c r="Y1438" i="2"/>
  <c r="X1438" i="2"/>
  <c r="W1438" i="2"/>
  <c r="V1438" i="2"/>
  <c r="U1438" i="2"/>
  <c r="T1438" i="2"/>
  <c r="S1438" i="2"/>
  <c r="R1438" i="2"/>
  <c r="Q1438" i="2"/>
  <c r="P1438" i="2"/>
  <c r="O1438" i="2"/>
  <c r="N1438" i="2"/>
  <c r="M1438" i="2"/>
  <c r="L1438" i="2"/>
  <c r="K1438" i="2"/>
  <c r="J1438" i="2"/>
  <c r="I1438" i="2"/>
  <c r="H1438" i="2"/>
  <c r="G1438" i="2"/>
  <c r="F1438" i="2"/>
  <c r="E1438" i="2"/>
  <c r="D1438" i="2"/>
  <c r="C1438" i="2"/>
  <c r="B1438" i="2"/>
  <c r="A1438" i="2"/>
  <c r="AX1437" i="2"/>
  <c r="AV1437" i="2"/>
  <c r="AU1437" i="2"/>
  <c r="AR1437" i="2"/>
  <c r="AO1437" i="2"/>
  <c r="AM1437" i="2"/>
  <c r="AL1437" i="2"/>
  <c r="AK1437" i="2"/>
  <c r="AJ1437" i="2"/>
  <c r="AI1437" i="2"/>
  <c r="AH1437" i="2"/>
  <c r="AG1437" i="2"/>
  <c r="AE1437" i="2"/>
  <c r="AD1437" i="2"/>
  <c r="AC1437" i="2"/>
  <c r="AA1437" i="2"/>
  <c r="Z1437" i="2"/>
  <c r="Y1437" i="2"/>
  <c r="X1437" i="2"/>
  <c r="W1437" i="2"/>
  <c r="V1437" i="2"/>
  <c r="U1437" i="2"/>
  <c r="T1437" i="2"/>
  <c r="S1437" i="2"/>
  <c r="R1437" i="2"/>
  <c r="Q1437" i="2"/>
  <c r="P1437" i="2"/>
  <c r="O1437" i="2"/>
  <c r="N1437" i="2"/>
  <c r="M1437" i="2"/>
  <c r="L1437" i="2"/>
  <c r="K1437" i="2"/>
  <c r="J1437" i="2"/>
  <c r="I1437" i="2"/>
  <c r="H1437" i="2"/>
  <c r="G1437" i="2"/>
  <c r="F1437" i="2"/>
  <c r="E1437" i="2"/>
  <c r="D1437" i="2"/>
  <c r="C1437" i="2"/>
  <c r="B1437" i="2"/>
  <c r="A1437" i="2"/>
  <c r="AX1436" i="2"/>
  <c r="AV1436" i="2"/>
  <c r="AU1436" i="2"/>
  <c r="AS1436" i="2"/>
  <c r="AR1436" i="2"/>
  <c r="AO1436" i="2"/>
  <c r="AM1436" i="2"/>
  <c r="AL1436" i="2"/>
  <c r="AK1436" i="2"/>
  <c r="AJ1436" i="2"/>
  <c r="AI1436" i="2"/>
  <c r="AH1436" i="2"/>
  <c r="AG1436" i="2"/>
  <c r="AE1436" i="2"/>
  <c r="AD1436" i="2"/>
  <c r="AC1436" i="2"/>
  <c r="AA1436" i="2"/>
  <c r="Z1436" i="2"/>
  <c r="Y1436" i="2"/>
  <c r="X1436" i="2"/>
  <c r="U1436" i="2"/>
  <c r="T1436" i="2"/>
  <c r="S1436" i="2"/>
  <c r="R1436" i="2"/>
  <c r="Q1436" i="2"/>
  <c r="P1436" i="2"/>
  <c r="O1436" i="2"/>
  <c r="N1436" i="2"/>
  <c r="M1436" i="2"/>
  <c r="L1436" i="2"/>
  <c r="K1436" i="2"/>
  <c r="J1436" i="2"/>
  <c r="I1436" i="2"/>
  <c r="H1436" i="2"/>
  <c r="G1436" i="2"/>
  <c r="F1436" i="2"/>
  <c r="E1436" i="2"/>
  <c r="D1436" i="2"/>
  <c r="C1436" i="2"/>
  <c r="B1436" i="2"/>
  <c r="A1436" i="2"/>
  <c r="AX1435" i="2"/>
  <c r="AV1435" i="2"/>
  <c r="AU1435" i="2"/>
  <c r="AS1435" i="2"/>
  <c r="AR1435" i="2"/>
  <c r="AO1435" i="2"/>
  <c r="AM1435" i="2"/>
  <c r="AL1435" i="2"/>
  <c r="AK1435" i="2"/>
  <c r="AJ1435" i="2"/>
  <c r="AI1435" i="2"/>
  <c r="AH1435" i="2"/>
  <c r="AG1435" i="2"/>
  <c r="AE1435" i="2"/>
  <c r="AD1435" i="2"/>
  <c r="AC1435" i="2"/>
  <c r="AA1435" i="2"/>
  <c r="Z1435" i="2"/>
  <c r="Y1435" i="2"/>
  <c r="X1435" i="2"/>
  <c r="W1435" i="2"/>
  <c r="V1435" i="2"/>
  <c r="U1435" i="2"/>
  <c r="T1435" i="2"/>
  <c r="S1435" i="2"/>
  <c r="R1435" i="2"/>
  <c r="Q1435" i="2"/>
  <c r="P1435" i="2"/>
  <c r="N1435" i="2"/>
  <c r="M1435" i="2"/>
  <c r="L1435" i="2"/>
  <c r="K1435" i="2"/>
  <c r="J1435" i="2"/>
  <c r="I1435" i="2"/>
  <c r="H1435" i="2"/>
  <c r="G1435" i="2"/>
  <c r="F1435" i="2"/>
  <c r="E1435" i="2"/>
  <c r="D1435" i="2"/>
  <c r="C1435" i="2"/>
  <c r="B1435" i="2"/>
  <c r="A1435" i="2"/>
  <c r="AX1434" i="2"/>
  <c r="AV1434" i="2"/>
  <c r="AU1434" i="2"/>
  <c r="AT1434" i="2"/>
  <c r="AS1434" i="2"/>
  <c r="AR1434" i="2"/>
  <c r="AP1434" i="2"/>
  <c r="AO1434" i="2"/>
  <c r="AM1434" i="2"/>
  <c r="AL1434" i="2"/>
  <c r="AK1434" i="2"/>
  <c r="AI1434" i="2"/>
  <c r="AH1434" i="2"/>
  <c r="AG1434" i="2"/>
  <c r="AE1434" i="2"/>
  <c r="AD1434" i="2"/>
  <c r="AC1434" i="2"/>
  <c r="AA1434" i="2"/>
  <c r="Z1434" i="2"/>
  <c r="Y1434" i="2"/>
  <c r="W1434" i="2"/>
  <c r="V1434" i="2"/>
  <c r="U1434" i="2"/>
  <c r="T1434" i="2"/>
  <c r="S1434" i="2"/>
  <c r="R1434" i="2"/>
  <c r="Q1434" i="2"/>
  <c r="P1434" i="2"/>
  <c r="O1434" i="2"/>
  <c r="N1434" i="2"/>
  <c r="M1434" i="2"/>
  <c r="L1434" i="2"/>
  <c r="K1434" i="2"/>
  <c r="J1434" i="2"/>
  <c r="I1434" i="2"/>
  <c r="H1434" i="2"/>
  <c r="G1434" i="2"/>
  <c r="F1434" i="2"/>
  <c r="E1434" i="2"/>
  <c r="D1434" i="2"/>
  <c r="C1434" i="2"/>
  <c r="B1434" i="2"/>
  <c r="A1434" i="2"/>
  <c r="AX1433" i="2"/>
  <c r="AV1433" i="2"/>
  <c r="AU1433" i="2"/>
  <c r="AT1433" i="2"/>
  <c r="AS1433" i="2"/>
  <c r="AR1433" i="2"/>
  <c r="AP1433" i="2"/>
  <c r="AM1433" i="2"/>
  <c r="AL1433" i="2"/>
  <c r="AI1433" i="2"/>
  <c r="AH1433" i="2"/>
  <c r="AG1433" i="2"/>
  <c r="AE1433" i="2"/>
  <c r="AD1433" i="2"/>
  <c r="AC1433" i="2"/>
  <c r="Z1433" i="2"/>
  <c r="Y1433" i="2"/>
  <c r="X1433" i="2"/>
  <c r="W1433" i="2"/>
  <c r="V1433" i="2"/>
  <c r="U1433" i="2"/>
  <c r="T1433" i="2"/>
  <c r="S1433" i="2"/>
  <c r="R1433" i="2"/>
  <c r="Q1433" i="2"/>
  <c r="P1433" i="2"/>
  <c r="O1433" i="2"/>
  <c r="N1433" i="2"/>
  <c r="M1433" i="2"/>
  <c r="L1433" i="2"/>
  <c r="K1433" i="2"/>
  <c r="J1433" i="2"/>
  <c r="I1433" i="2"/>
  <c r="H1433" i="2"/>
  <c r="G1433" i="2"/>
  <c r="F1433" i="2"/>
  <c r="E1433" i="2"/>
  <c r="D1433" i="2"/>
  <c r="C1433" i="2"/>
  <c r="B1433" i="2"/>
  <c r="A1433" i="2"/>
  <c r="AX1432" i="2"/>
  <c r="AV1432" i="2"/>
  <c r="AU1432" i="2"/>
  <c r="AR1432" i="2"/>
  <c r="AO1432" i="2"/>
  <c r="AM1432" i="2"/>
  <c r="AL1432" i="2"/>
  <c r="AK1432" i="2"/>
  <c r="AJ1432" i="2"/>
  <c r="AI1432" i="2"/>
  <c r="AH1432" i="2"/>
  <c r="AG1432" i="2"/>
  <c r="AE1432" i="2"/>
  <c r="AD1432" i="2"/>
  <c r="AC1432" i="2"/>
  <c r="AA1432" i="2"/>
  <c r="Z1432" i="2"/>
  <c r="Y1432" i="2"/>
  <c r="X1432" i="2"/>
  <c r="W1432" i="2"/>
  <c r="V1432" i="2"/>
  <c r="U1432" i="2"/>
  <c r="T1432" i="2"/>
  <c r="S1432" i="2"/>
  <c r="R1432" i="2"/>
  <c r="Q1432" i="2"/>
  <c r="P1432" i="2"/>
  <c r="O1432" i="2"/>
  <c r="N1432" i="2"/>
  <c r="M1432" i="2"/>
  <c r="L1432" i="2"/>
  <c r="K1432" i="2"/>
  <c r="J1432" i="2"/>
  <c r="I1432" i="2"/>
  <c r="H1432" i="2"/>
  <c r="G1432" i="2"/>
  <c r="F1432" i="2"/>
  <c r="E1432" i="2"/>
  <c r="D1432" i="2"/>
  <c r="C1432" i="2"/>
  <c r="B1432" i="2"/>
  <c r="A1432" i="2"/>
  <c r="AX1431" i="2"/>
  <c r="AV1431" i="2"/>
  <c r="AU1431" i="2"/>
  <c r="AR1431" i="2"/>
  <c r="AO1431" i="2"/>
  <c r="AM1431" i="2"/>
  <c r="AK1431" i="2"/>
  <c r="AJ1431" i="2"/>
  <c r="AH1431" i="2"/>
  <c r="AG1431" i="2"/>
  <c r="AC1431" i="2"/>
  <c r="Z1431" i="2"/>
  <c r="Y1431" i="2"/>
  <c r="X1431" i="2"/>
  <c r="V1431" i="2"/>
  <c r="U1431" i="2"/>
  <c r="T1431" i="2"/>
  <c r="S1431" i="2"/>
  <c r="R1431" i="2"/>
  <c r="Q1431" i="2"/>
  <c r="P1431" i="2"/>
  <c r="O1431" i="2"/>
  <c r="N1431" i="2"/>
  <c r="M1431" i="2"/>
  <c r="L1431" i="2"/>
  <c r="K1431" i="2"/>
  <c r="J1431" i="2"/>
  <c r="I1431" i="2"/>
  <c r="H1431" i="2"/>
  <c r="G1431" i="2"/>
  <c r="F1431" i="2"/>
  <c r="E1431" i="2"/>
  <c r="D1431" i="2"/>
  <c r="C1431" i="2"/>
  <c r="B1431" i="2"/>
  <c r="A1431" i="2"/>
  <c r="AX1430" i="2"/>
  <c r="AV1430" i="2"/>
  <c r="AU1430" i="2"/>
  <c r="AR1430" i="2"/>
  <c r="AP1430" i="2"/>
  <c r="AO1430" i="2"/>
  <c r="AM1430" i="2"/>
  <c r="AK1430" i="2"/>
  <c r="AJ1430" i="2"/>
  <c r="AI1430" i="2"/>
  <c r="AH1430" i="2"/>
  <c r="AG1430" i="2"/>
  <c r="AC1430" i="2"/>
  <c r="Z1430" i="2"/>
  <c r="Y1430" i="2"/>
  <c r="X1430" i="2"/>
  <c r="W1430" i="2"/>
  <c r="V1430" i="2"/>
  <c r="U1430" i="2"/>
  <c r="T1430" i="2"/>
  <c r="S1430" i="2"/>
  <c r="R1430" i="2"/>
  <c r="Q1430" i="2"/>
  <c r="P1430" i="2"/>
  <c r="O1430" i="2"/>
  <c r="N1430" i="2"/>
  <c r="M1430" i="2"/>
  <c r="L1430" i="2"/>
  <c r="K1430" i="2"/>
  <c r="J1430" i="2"/>
  <c r="I1430" i="2"/>
  <c r="H1430" i="2"/>
  <c r="G1430" i="2"/>
  <c r="F1430" i="2"/>
  <c r="E1430" i="2"/>
  <c r="D1430" i="2"/>
  <c r="C1430" i="2"/>
  <c r="B1430" i="2"/>
  <c r="A1430" i="2"/>
  <c r="AX1429" i="2"/>
  <c r="AV1429" i="2"/>
  <c r="AU1429" i="2"/>
  <c r="AR1429" i="2"/>
  <c r="AO1429" i="2"/>
  <c r="AM1429" i="2"/>
  <c r="AK1429" i="2"/>
  <c r="AJ1429" i="2"/>
  <c r="AI1429" i="2"/>
  <c r="AH1429" i="2"/>
  <c r="AG1429" i="2"/>
  <c r="AD1429" i="2"/>
  <c r="AC1429" i="2"/>
  <c r="Z1429" i="2"/>
  <c r="Y1429" i="2"/>
  <c r="X1429" i="2"/>
  <c r="W1429" i="2"/>
  <c r="V1429" i="2"/>
  <c r="U1429" i="2"/>
  <c r="T1429" i="2"/>
  <c r="S1429" i="2"/>
  <c r="R1429" i="2"/>
  <c r="Q1429" i="2"/>
  <c r="P1429" i="2"/>
  <c r="O1429" i="2"/>
  <c r="N1429" i="2"/>
  <c r="M1429" i="2"/>
  <c r="L1429" i="2"/>
  <c r="K1429" i="2"/>
  <c r="J1429" i="2"/>
  <c r="I1429" i="2"/>
  <c r="H1429" i="2"/>
  <c r="G1429" i="2"/>
  <c r="F1429" i="2"/>
  <c r="E1429" i="2"/>
  <c r="D1429" i="2"/>
  <c r="C1429" i="2"/>
  <c r="B1429" i="2"/>
  <c r="A1429" i="2"/>
  <c r="AX1428" i="2"/>
  <c r="AV1428" i="2"/>
  <c r="AU1428" i="2"/>
  <c r="AT1428" i="2"/>
  <c r="AS1428" i="2"/>
  <c r="AR1428" i="2"/>
  <c r="AP1428" i="2"/>
  <c r="AO1428" i="2"/>
  <c r="AM1428" i="2"/>
  <c r="AK1428" i="2"/>
  <c r="AI1428" i="2"/>
  <c r="AH1428" i="2"/>
  <c r="AG1428" i="2"/>
  <c r="AE1428" i="2"/>
  <c r="AC1428" i="2"/>
  <c r="Z1428" i="2"/>
  <c r="Y1428" i="2"/>
  <c r="X1428" i="2"/>
  <c r="W1428" i="2"/>
  <c r="V1428" i="2"/>
  <c r="U1428" i="2"/>
  <c r="T1428" i="2"/>
  <c r="S1428" i="2"/>
  <c r="R1428" i="2"/>
  <c r="Q1428" i="2"/>
  <c r="P1428" i="2"/>
  <c r="O1428" i="2"/>
  <c r="N1428" i="2"/>
  <c r="M1428" i="2"/>
  <c r="L1428" i="2"/>
  <c r="K1428" i="2"/>
  <c r="J1428" i="2"/>
  <c r="I1428" i="2"/>
  <c r="H1428" i="2"/>
  <c r="G1428" i="2"/>
  <c r="F1428" i="2"/>
  <c r="E1428" i="2"/>
  <c r="D1428" i="2"/>
  <c r="C1428" i="2"/>
  <c r="B1428" i="2"/>
  <c r="A1428" i="2"/>
  <c r="AX1427" i="2"/>
  <c r="AV1427" i="2"/>
  <c r="AU1427" i="2"/>
  <c r="AS1427" i="2"/>
  <c r="AR1427" i="2"/>
  <c r="AO1427" i="2"/>
  <c r="AM1427" i="2"/>
  <c r="AK1427" i="2"/>
  <c r="AJ1427" i="2"/>
  <c r="AI1427" i="2"/>
  <c r="AH1427" i="2"/>
  <c r="AG1427" i="2"/>
  <c r="AD1427" i="2"/>
  <c r="AC1427" i="2"/>
  <c r="AA1427" i="2"/>
  <c r="Z1427" i="2"/>
  <c r="Y1427" i="2"/>
  <c r="X1427" i="2"/>
  <c r="W1427" i="2"/>
  <c r="V1427" i="2"/>
  <c r="U1427" i="2"/>
  <c r="T1427" i="2"/>
  <c r="S1427" i="2"/>
  <c r="R1427" i="2"/>
  <c r="Q1427" i="2"/>
  <c r="P1427" i="2"/>
  <c r="O1427" i="2"/>
  <c r="N1427" i="2"/>
  <c r="M1427" i="2"/>
  <c r="L1427" i="2"/>
  <c r="K1427" i="2"/>
  <c r="J1427" i="2"/>
  <c r="I1427" i="2"/>
  <c r="H1427" i="2"/>
  <c r="G1427" i="2"/>
  <c r="F1427" i="2"/>
  <c r="E1427" i="2"/>
  <c r="D1427" i="2"/>
  <c r="C1427" i="2"/>
  <c r="B1427" i="2"/>
  <c r="A1427" i="2"/>
  <c r="AX1426" i="2"/>
  <c r="AV1426" i="2"/>
  <c r="AU1426" i="2"/>
  <c r="AR1426" i="2"/>
  <c r="AP1426" i="2"/>
  <c r="AO1426" i="2"/>
  <c r="AM1426" i="2"/>
  <c r="AL1426" i="2"/>
  <c r="AK1426" i="2"/>
  <c r="AJ1426" i="2"/>
  <c r="AI1426" i="2"/>
  <c r="AH1426" i="2"/>
  <c r="AG1426" i="2"/>
  <c r="AE1426" i="2"/>
  <c r="AD1426" i="2"/>
  <c r="AC1426" i="2"/>
  <c r="AA1426" i="2"/>
  <c r="Z1426" i="2"/>
  <c r="Y1426" i="2"/>
  <c r="X1426" i="2"/>
  <c r="V1426" i="2"/>
  <c r="U1426" i="2"/>
  <c r="T1426" i="2"/>
  <c r="S1426" i="2"/>
  <c r="R1426" i="2"/>
  <c r="Q1426" i="2"/>
  <c r="P1426" i="2"/>
  <c r="O1426" i="2"/>
  <c r="N1426" i="2"/>
  <c r="M1426" i="2"/>
  <c r="L1426" i="2"/>
  <c r="K1426" i="2"/>
  <c r="J1426" i="2"/>
  <c r="I1426" i="2"/>
  <c r="H1426" i="2"/>
  <c r="G1426" i="2"/>
  <c r="F1426" i="2"/>
  <c r="E1426" i="2"/>
  <c r="D1426" i="2"/>
  <c r="C1426" i="2"/>
  <c r="B1426" i="2"/>
  <c r="A1426" i="2"/>
  <c r="AX1425" i="2"/>
  <c r="AV1425" i="2"/>
  <c r="AU1425" i="2"/>
  <c r="AS1425" i="2"/>
  <c r="AR1425" i="2"/>
  <c r="AO1425" i="2"/>
  <c r="AM1425" i="2"/>
  <c r="AJ1425" i="2"/>
  <c r="AH1425" i="2"/>
  <c r="AG1425" i="2"/>
  <c r="AE1425" i="2"/>
  <c r="AD1425" i="2"/>
  <c r="AC1425" i="2"/>
  <c r="Z1425" i="2"/>
  <c r="Y1425" i="2"/>
  <c r="X1425" i="2"/>
  <c r="W1425" i="2"/>
  <c r="V1425" i="2"/>
  <c r="U1425" i="2"/>
  <c r="T1425" i="2"/>
  <c r="S1425" i="2"/>
  <c r="R1425" i="2"/>
  <c r="Q1425" i="2"/>
  <c r="P1425" i="2"/>
  <c r="O1425" i="2"/>
  <c r="N1425" i="2"/>
  <c r="M1425" i="2"/>
  <c r="L1425" i="2"/>
  <c r="K1425" i="2"/>
  <c r="J1425" i="2"/>
  <c r="I1425" i="2"/>
  <c r="H1425" i="2"/>
  <c r="G1425" i="2"/>
  <c r="F1425" i="2"/>
  <c r="E1425" i="2"/>
  <c r="D1425" i="2"/>
  <c r="C1425" i="2"/>
  <c r="B1425" i="2"/>
  <c r="A1425" i="2"/>
  <c r="AX1424" i="2"/>
  <c r="AV1424" i="2"/>
  <c r="AU1424" i="2"/>
  <c r="AO1424" i="2"/>
  <c r="AM1424" i="2"/>
  <c r="AK1424" i="2"/>
  <c r="AJ1424" i="2"/>
  <c r="AI1424" i="2"/>
  <c r="AH1424" i="2"/>
  <c r="AG1424" i="2"/>
  <c r="AD1424" i="2"/>
  <c r="AC1424" i="2"/>
  <c r="AB1424" i="2"/>
  <c r="AA1424" i="2"/>
  <c r="Z1424" i="2"/>
  <c r="Y1424" i="2"/>
  <c r="X1424" i="2"/>
  <c r="W1424" i="2"/>
  <c r="V1424" i="2"/>
  <c r="U1424" i="2"/>
  <c r="T1424" i="2"/>
  <c r="S1424" i="2"/>
  <c r="R1424" i="2"/>
  <c r="Q1424" i="2"/>
  <c r="P1424" i="2"/>
  <c r="O1424" i="2"/>
  <c r="N1424" i="2"/>
  <c r="M1424" i="2"/>
  <c r="L1424" i="2"/>
  <c r="K1424" i="2"/>
  <c r="J1424" i="2"/>
  <c r="I1424" i="2"/>
  <c r="H1424" i="2"/>
  <c r="G1424" i="2"/>
  <c r="F1424" i="2"/>
  <c r="E1424" i="2"/>
  <c r="D1424" i="2"/>
  <c r="C1424" i="2"/>
  <c r="B1424" i="2"/>
  <c r="A1424" i="2"/>
  <c r="AX1423" i="2"/>
  <c r="AV1423" i="2"/>
  <c r="AU1423" i="2"/>
  <c r="AS1423" i="2"/>
  <c r="AR1423" i="2"/>
  <c r="AO1423" i="2"/>
  <c r="AM1423" i="2"/>
  <c r="AK1423" i="2"/>
  <c r="AJ1423" i="2"/>
  <c r="AI1423" i="2"/>
  <c r="AH1423" i="2"/>
  <c r="AG1423" i="2"/>
  <c r="AE1423" i="2"/>
  <c r="AD1423" i="2"/>
  <c r="AC1423" i="2"/>
  <c r="AA1423" i="2"/>
  <c r="Z1423" i="2"/>
  <c r="Y1423" i="2"/>
  <c r="X1423" i="2"/>
  <c r="W1423" i="2"/>
  <c r="V1423" i="2"/>
  <c r="U1423" i="2"/>
  <c r="T1423" i="2"/>
  <c r="S1423" i="2"/>
  <c r="R1423" i="2"/>
  <c r="Q1423" i="2"/>
  <c r="P1423" i="2"/>
  <c r="O1423" i="2"/>
  <c r="N1423" i="2"/>
  <c r="M1423" i="2"/>
  <c r="L1423" i="2"/>
  <c r="K1423" i="2"/>
  <c r="J1423" i="2"/>
  <c r="I1423" i="2"/>
  <c r="H1423" i="2"/>
  <c r="G1423" i="2"/>
  <c r="F1423" i="2"/>
  <c r="E1423" i="2"/>
  <c r="D1423" i="2"/>
  <c r="C1423" i="2"/>
  <c r="B1423" i="2"/>
  <c r="A1423" i="2"/>
  <c r="AX1422" i="2"/>
  <c r="AV1422" i="2"/>
  <c r="AU1422" i="2"/>
  <c r="AT1422" i="2"/>
  <c r="AS1422" i="2"/>
  <c r="AR1422" i="2"/>
  <c r="AO1422" i="2"/>
  <c r="AM1422" i="2"/>
  <c r="AL1422" i="2"/>
  <c r="AK1422" i="2"/>
  <c r="AJ1422" i="2"/>
  <c r="AI1422" i="2"/>
  <c r="AH1422" i="2"/>
  <c r="AG1422" i="2"/>
  <c r="AE1422" i="2"/>
  <c r="AD1422" i="2"/>
  <c r="AC1422" i="2"/>
  <c r="AA1422" i="2"/>
  <c r="Z1422" i="2"/>
  <c r="Y1422" i="2"/>
  <c r="X1422" i="2"/>
  <c r="W1422" i="2"/>
  <c r="V1422" i="2"/>
  <c r="U1422" i="2"/>
  <c r="T1422" i="2"/>
  <c r="S1422" i="2"/>
  <c r="R1422" i="2"/>
  <c r="Q1422" i="2"/>
  <c r="P1422" i="2"/>
  <c r="O1422" i="2"/>
  <c r="N1422" i="2"/>
  <c r="M1422" i="2"/>
  <c r="L1422" i="2"/>
  <c r="K1422" i="2"/>
  <c r="J1422" i="2"/>
  <c r="I1422" i="2"/>
  <c r="H1422" i="2"/>
  <c r="G1422" i="2"/>
  <c r="F1422" i="2"/>
  <c r="E1422" i="2"/>
  <c r="D1422" i="2"/>
  <c r="C1422" i="2"/>
  <c r="B1422" i="2"/>
  <c r="A1422" i="2"/>
  <c r="AX1421" i="2"/>
  <c r="AV1421" i="2"/>
  <c r="AU1421" i="2"/>
  <c r="AT1421" i="2"/>
  <c r="AR1421" i="2"/>
  <c r="AP1421" i="2"/>
  <c r="AO1421" i="2"/>
  <c r="AM1421" i="2"/>
  <c r="AK1421" i="2"/>
  <c r="AI1421" i="2"/>
  <c r="AH1421" i="2"/>
  <c r="AG1421" i="2"/>
  <c r="AE1421" i="2"/>
  <c r="AD1421" i="2"/>
  <c r="AC1421" i="2"/>
  <c r="Z1421" i="2"/>
  <c r="Y1421" i="2"/>
  <c r="X1421" i="2"/>
  <c r="V1421" i="2"/>
  <c r="U1421" i="2"/>
  <c r="T1421" i="2"/>
  <c r="S1421" i="2"/>
  <c r="R1421" i="2"/>
  <c r="Q1421" i="2"/>
  <c r="P1421" i="2"/>
  <c r="O1421" i="2"/>
  <c r="N1421" i="2"/>
  <c r="M1421" i="2"/>
  <c r="L1421" i="2"/>
  <c r="K1421" i="2"/>
  <c r="J1421" i="2"/>
  <c r="I1421" i="2"/>
  <c r="H1421" i="2"/>
  <c r="G1421" i="2"/>
  <c r="F1421" i="2"/>
  <c r="E1421" i="2"/>
  <c r="D1421" i="2"/>
  <c r="C1421" i="2"/>
  <c r="B1421" i="2"/>
  <c r="A1421" i="2"/>
  <c r="AX1420" i="2"/>
  <c r="AV1420" i="2"/>
  <c r="AU1420" i="2"/>
  <c r="AR1420" i="2"/>
  <c r="AM1420" i="2"/>
  <c r="AL1420" i="2"/>
  <c r="AK1420" i="2"/>
  <c r="AJ1420" i="2"/>
  <c r="AI1420" i="2"/>
  <c r="AH1420" i="2"/>
  <c r="AG1420" i="2"/>
  <c r="AE1420" i="2"/>
  <c r="AD1420" i="2"/>
  <c r="AC1420" i="2"/>
  <c r="Z1420" i="2"/>
  <c r="Y1420" i="2"/>
  <c r="X1420" i="2"/>
  <c r="W1420" i="2"/>
  <c r="V1420" i="2"/>
  <c r="U1420" i="2"/>
  <c r="T1420" i="2"/>
  <c r="S1420" i="2"/>
  <c r="R1420" i="2"/>
  <c r="Q1420" i="2"/>
  <c r="P1420" i="2"/>
  <c r="O1420" i="2"/>
  <c r="N1420" i="2"/>
  <c r="M1420" i="2"/>
  <c r="L1420" i="2"/>
  <c r="K1420" i="2"/>
  <c r="J1420" i="2"/>
  <c r="I1420" i="2"/>
  <c r="H1420" i="2"/>
  <c r="G1420" i="2"/>
  <c r="F1420" i="2"/>
  <c r="E1420" i="2"/>
  <c r="D1420" i="2"/>
  <c r="C1420" i="2"/>
  <c r="B1420" i="2"/>
  <c r="A1420" i="2"/>
  <c r="AX1419" i="2"/>
  <c r="AV1419" i="2"/>
  <c r="AU1419" i="2"/>
  <c r="AO1419" i="2"/>
  <c r="AM1419" i="2"/>
  <c r="AK1419" i="2"/>
  <c r="AJ1419" i="2"/>
  <c r="AI1419" i="2"/>
  <c r="AH1419" i="2"/>
  <c r="AG1419" i="2"/>
  <c r="AE1419" i="2"/>
  <c r="AD1419" i="2"/>
  <c r="AC1419" i="2"/>
  <c r="AA1419" i="2"/>
  <c r="Z1419" i="2"/>
  <c r="Y1419" i="2"/>
  <c r="X1419" i="2"/>
  <c r="W1419" i="2"/>
  <c r="V1419" i="2"/>
  <c r="U1419" i="2"/>
  <c r="T1419" i="2"/>
  <c r="S1419" i="2"/>
  <c r="R1419" i="2"/>
  <c r="Q1419" i="2"/>
  <c r="P1419" i="2"/>
  <c r="O1419" i="2"/>
  <c r="N1419" i="2"/>
  <c r="M1419" i="2"/>
  <c r="L1419" i="2"/>
  <c r="K1419" i="2"/>
  <c r="J1419" i="2"/>
  <c r="I1419" i="2"/>
  <c r="H1419" i="2"/>
  <c r="G1419" i="2"/>
  <c r="F1419" i="2"/>
  <c r="E1419" i="2"/>
  <c r="D1419" i="2"/>
  <c r="C1419" i="2"/>
  <c r="B1419" i="2"/>
  <c r="A1419" i="2"/>
  <c r="AX1418" i="2"/>
  <c r="AV1418" i="2"/>
  <c r="AU1418" i="2"/>
  <c r="AR1418" i="2"/>
  <c r="AO1418" i="2"/>
  <c r="AM1418" i="2"/>
  <c r="AK1418" i="2"/>
  <c r="AJ1418" i="2"/>
  <c r="AI1418" i="2"/>
  <c r="AH1418" i="2"/>
  <c r="AG1418" i="2"/>
  <c r="AD1418" i="2"/>
  <c r="AC1418" i="2"/>
  <c r="Z1418" i="2"/>
  <c r="Y1418" i="2"/>
  <c r="W1418" i="2"/>
  <c r="V1418" i="2"/>
  <c r="U1418" i="2"/>
  <c r="T1418" i="2"/>
  <c r="S1418" i="2"/>
  <c r="R1418" i="2"/>
  <c r="Q1418" i="2"/>
  <c r="P1418" i="2"/>
  <c r="O1418" i="2"/>
  <c r="N1418" i="2"/>
  <c r="M1418" i="2"/>
  <c r="L1418" i="2"/>
  <c r="K1418" i="2"/>
  <c r="J1418" i="2"/>
  <c r="I1418" i="2"/>
  <c r="H1418" i="2"/>
  <c r="G1418" i="2"/>
  <c r="F1418" i="2"/>
  <c r="E1418" i="2"/>
  <c r="D1418" i="2"/>
  <c r="C1418" i="2"/>
  <c r="B1418" i="2"/>
  <c r="A1418" i="2"/>
  <c r="AX1417" i="2"/>
  <c r="AV1417" i="2"/>
  <c r="AU1417" i="2"/>
  <c r="AR1417" i="2"/>
  <c r="AO1417" i="2"/>
  <c r="AM1417" i="2"/>
  <c r="AK1417" i="2"/>
  <c r="AJ1417" i="2"/>
  <c r="AI1417" i="2"/>
  <c r="AH1417" i="2"/>
  <c r="AG1417" i="2"/>
  <c r="AD1417" i="2"/>
  <c r="AC1417" i="2"/>
  <c r="AA1417" i="2"/>
  <c r="Z1417" i="2"/>
  <c r="Y1417" i="2"/>
  <c r="X1417" i="2"/>
  <c r="W1417" i="2"/>
  <c r="V1417" i="2"/>
  <c r="U1417" i="2"/>
  <c r="T1417" i="2"/>
  <c r="S1417" i="2"/>
  <c r="Q1417" i="2"/>
  <c r="P1417" i="2"/>
  <c r="O1417" i="2"/>
  <c r="N1417" i="2"/>
  <c r="M1417" i="2"/>
  <c r="L1417" i="2"/>
  <c r="K1417" i="2"/>
  <c r="J1417" i="2"/>
  <c r="I1417" i="2"/>
  <c r="H1417" i="2"/>
  <c r="G1417" i="2"/>
  <c r="F1417" i="2"/>
  <c r="E1417" i="2"/>
  <c r="D1417" i="2"/>
  <c r="C1417" i="2"/>
  <c r="B1417" i="2"/>
  <c r="A1417" i="2"/>
  <c r="AX1416" i="2"/>
  <c r="AV1416" i="2"/>
  <c r="AU1416" i="2"/>
  <c r="AR1416" i="2"/>
  <c r="AO1416" i="2"/>
  <c r="AM1416" i="2"/>
  <c r="AL1416" i="2"/>
  <c r="AK1416" i="2"/>
  <c r="AJ1416" i="2"/>
  <c r="AI1416" i="2"/>
  <c r="AH1416" i="2"/>
  <c r="AG1416" i="2"/>
  <c r="AF1416" i="2"/>
  <c r="AE1416" i="2"/>
  <c r="AD1416" i="2"/>
  <c r="AC1416" i="2"/>
  <c r="AA1416" i="2"/>
  <c r="Z1416" i="2"/>
  <c r="Y1416" i="2"/>
  <c r="X1416" i="2"/>
  <c r="W1416" i="2"/>
  <c r="V1416" i="2"/>
  <c r="U1416" i="2"/>
  <c r="T1416" i="2"/>
  <c r="S1416" i="2"/>
  <c r="R1416" i="2"/>
  <c r="Q1416" i="2"/>
  <c r="P1416" i="2"/>
  <c r="O1416" i="2"/>
  <c r="N1416" i="2"/>
  <c r="M1416" i="2"/>
  <c r="L1416" i="2"/>
  <c r="K1416" i="2"/>
  <c r="J1416" i="2"/>
  <c r="I1416" i="2"/>
  <c r="H1416" i="2"/>
  <c r="G1416" i="2"/>
  <c r="F1416" i="2"/>
  <c r="E1416" i="2"/>
  <c r="D1416" i="2"/>
  <c r="C1416" i="2"/>
  <c r="B1416" i="2"/>
  <c r="A1416" i="2"/>
  <c r="AX1415" i="2"/>
  <c r="AV1415" i="2"/>
  <c r="AU1415" i="2"/>
  <c r="AR1415" i="2"/>
  <c r="AO1415" i="2"/>
  <c r="AM1415" i="2"/>
  <c r="AJ1415" i="2"/>
  <c r="AI1415" i="2"/>
  <c r="AH1415" i="2"/>
  <c r="AG1415" i="2"/>
  <c r="AD1415" i="2"/>
  <c r="AC1415" i="2"/>
  <c r="Z1415" i="2"/>
  <c r="Y1415" i="2"/>
  <c r="X1415" i="2"/>
  <c r="W1415" i="2"/>
  <c r="V1415" i="2"/>
  <c r="U1415" i="2"/>
  <c r="T1415" i="2"/>
  <c r="S1415" i="2"/>
  <c r="R1415" i="2"/>
  <c r="Q1415" i="2"/>
  <c r="P1415" i="2"/>
  <c r="O1415" i="2"/>
  <c r="N1415" i="2"/>
  <c r="M1415" i="2"/>
  <c r="L1415" i="2"/>
  <c r="K1415" i="2"/>
  <c r="J1415" i="2"/>
  <c r="I1415" i="2"/>
  <c r="H1415" i="2"/>
  <c r="G1415" i="2"/>
  <c r="F1415" i="2"/>
  <c r="E1415" i="2"/>
  <c r="D1415" i="2"/>
  <c r="C1415" i="2"/>
  <c r="B1415" i="2"/>
  <c r="A1415" i="2"/>
  <c r="AX1414" i="2"/>
  <c r="AV1414" i="2"/>
  <c r="AU1414" i="2"/>
  <c r="AR1414" i="2"/>
  <c r="AO1414" i="2"/>
  <c r="AM1414" i="2"/>
  <c r="AK1414" i="2"/>
  <c r="AJ1414" i="2"/>
  <c r="AI1414" i="2"/>
  <c r="AH1414" i="2"/>
  <c r="AG1414" i="2"/>
  <c r="AD1414" i="2"/>
  <c r="AC1414" i="2"/>
  <c r="Z1414" i="2"/>
  <c r="Y1414" i="2"/>
  <c r="X1414" i="2"/>
  <c r="W1414" i="2"/>
  <c r="V1414" i="2"/>
  <c r="U1414" i="2"/>
  <c r="T1414" i="2"/>
  <c r="S1414" i="2"/>
  <c r="R1414" i="2"/>
  <c r="Q1414" i="2"/>
  <c r="P1414" i="2"/>
  <c r="O1414" i="2"/>
  <c r="N1414" i="2"/>
  <c r="M1414" i="2"/>
  <c r="L1414" i="2"/>
  <c r="K1414" i="2"/>
  <c r="J1414" i="2"/>
  <c r="I1414" i="2"/>
  <c r="H1414" i="2"/>
  <c r="G1414" i="2"/>
  <c r="F1414" i="2"/>
  <c r="E1414" i="2"/>
  <c r="D1414" i="2"/>
  <c r="C1414" i="2"/>
  <c r="B1414" i="2"/>
  <c r="A1414" i="2"/>
  <c r="AX1413" i="2"/>
  <c r="AV1413" i="2"/>
  <c r="AU1413" i="2"/>
  <c r="AR1413" i="2"/>
  <c r="AO1413" i="2"/>
  <c r="AM1413" i="2"/>
  <c r="AJ1413" i="2"/>
  <c r="AI1413" i="2"/>
  <c r="AH1413" i="2"/>
  <c r="AG1413" i="2"/>
  <c r="AD1413" i="2"/>
  <c r="AC1413" i="2"/>
  <c r="Z1413" i="2"/>
  <c r="Y1413" i="2"/>
  <c r="X1413" i="2"/>
  <c r="W1413" i="2"/>
  <c r="V1413" i="2"/>
  <c r="U1413" i="2"/>
  <c r="T1413" i="2"/>
  <c r="S1413" i="2"/>
  <c r="R1413" i="2"/>
  <c r="Q1413" i="2"/>
  <c r="P1413" i="2"/>
  <c r="O1413" i="2"/>
  <c r="N1413" i="2"/>
  <c r="M1413" i="2"/>
  <c r="L1413" i="2"/>
  <c r="K1413" i="2"/>
  <c r="J1413" i="2"/>
  <c r="I1413" i="2"/>
  <c r="H1413" i="2"/>
  <c r="G1413" i="2"/>
  <c r="F1413" i="2"/>
  <c r="E1413" i="2"/>
  <c r="D1413" i="2"/>
  <c r="C1413" i="2"/>
  <c r="B1413" i="2"/>
  <c r="A1413" i="2"/>
  <c r="AX1412" i="2"/>
  <c r="AV1412" i="2"/>
  <c r="AU1412" i="2"/>
  <c r="AT1412" i="2"/>
  <c r="AS1412" i="2"/>
  <c r="AR1412" i="2"/>
  <c r="AQ1412" i="2"/>
  <c r="AP1412" i="2"/>
  <c r="AO1412" i="2"/>
  <c r="AM1412" i="2"/>
  <c r="AL1412" i="2"/>
  <c r="AK1412" i="2"/>
  <c r="AJ1412" i="2"/>
  <c r="AI1412" i="2"/>
  <c r="AH1412" i="2"/>
  <c r="AG1412" i="2"/>
  <c r="AF1412" i="2"/>
  <c r="AE1412" i="2"/>
  <c r="AC1412" i="2"/>
  <c r="Z1412" i="2"/>
  <c r="Y1412" i="2"/>
  <c r="X1412" i="2"/>
  <c r="W1412" i="2"/>
  <c r="V1412" i="2"/>
  <c r="U1412" i="2"/>
  <c r="T1412" i="2"/>
  <c r="S1412" i="2"/>
  <c r="R1412" i="2"/>
  <c r="Q1412" i="2"/>
  <c r="P1412" i="2"/>
  <c r="O1412" i="2"/>
  <c r="N1412" i="2"/>
  <c r="M1412" i="2"/>
  <c r="L1412" i="2"/>
  <c r="K1412" i="2"/>
  <c r="J1412" i="2"/>
  <c r="I1412" i="2"/>
  <c r="H1412" i="2"/>
  <c r="G1412" i="2"/>
  <c r="F1412" i="2"/>
  <c r="E1412" i="2"/>
  <c r="D1412" i="2"/>
  <c r="C1412" i="2"/>
  <c r="B1412" i="2"/>
  <c r="A1412" i="2"/>
  <c r="AX1411" i="2"/>
  <c r="AV1411" i="2"/>
  <c r="AU1411" i="2"/>
  <c r="AR1411" i="2"/>
  <c r="AO1411" i="2"/>
  <c r="AM1411" i="2"/>
  <c r="AJ1411" i="2"/>
  <c r="AI1411" i="2"/>
  <c r="AH1411" i="2"/>
  <c r="AG1411" i="2"/>
  <c r="AE1411" i="2"/>
  <c r="AC1411" i="2"/>
  <c r="Z1411" i="2"/>
  <c r="Y1411" i="2"/>
  <c r="X1411" i="2"/>
  <c r="W1411" i="2"/>
  <c r="V1411" i="2"/>
  <c r="U1411" i="2"/>
  <c r="T1411" i="2"/>
  <c r="S1411" i="2"/>
  <c r="R1411" i="2"/>
  <c r="Q1411" i="2"/>
  <c r="P1411" i="2"/>
  <c r="O1411" i="2"/>
  <c r="N1411" i="2"/>
  <c r="M1411" i="2"/>
  <c r="L1411" i="2"/>
  <c r="K1411" i="2"/>
  <c r="J1411" i="2"/>
  <c r="I1411" i="2"/>
  <c r="H1411" i="2"/>
  <c r="G1411" i="2"/>
  <c r="F1411" i="2"/>
  <c r="E1411" i="2"/>
  <c r="D1411" i="2"/>
  <c r="C1411" i="2"/>
  <c r="B1411" i="2"/>
  <c r="A1411" i="2"/>
  <c r="AX1410" i="2"/>
  <c r="AV1410" i="2"/>
  <c r="AU1410" i="2"/>
  <c r="AT1410" i="2"/>
  <c r="AO1410" i="2"/>
  <c r="AM1410" i="2"/>
  <c r="AJ1410" i="2"/>
  <c r="AH1410" i="2"/>
  <c r="AG1410" i="2"/>
  <c r="AD1410" i="2"/>
  <c r="AC1410" i="2"/>
  <c r="Z1410" i="2"/>
  <c r="Y1410" i="2"/>
  <c r="X1410" i="2"/>
  <c r="W1410" i="2"/>
  <c r="V1410" i="2"/>
  <c r="U1410" i="2"/>
  <c r="T1410" i="2"/>
  <c r="S1410" i="2"/>
  <c r="R1410" i="2"/>
  <c r="Q1410" i="2"/>
  <c r="P1410" i="2"/>
  <c r="O1410" i="2"/>
  <c r="N1410" i="2"/>
  <c r="M1410" i="2"/>
  <c r="L1410" i="2"/>
  <c r="K1410" i="2"/>
  <c r="J1410" i="2"/>
  <c r="I1410" i="2"/>
  <c r="H1410" i="2"/>
  <c r="G1410" i="2"/>
  <c r="F1410" i="2"/>
  <c r="E1410" i="2"/>
  <c r="D1410" i="2"/>
  <c r="C1410" i="2"/>
  <c r="B1410" i="2"/>
  <c r="A1410" i="2"/>
  <c r="AX1409" i="2"/>
  <c r="AV1409" i="2"/>
  <c r="AU1409" i="2"/>
  <c r="AR1409" i="2"/>
  <c r="AO1409" i="2"/>
  <c r="AM1409" i="2"/>
  <c r="AJ1409" i="2"/>
  <c r="AI1409" i="2"/>
  <c r="AH1409" i="2"/>
  <c r="AG1409" i="2"/>
  <c r="AC1409" i="2"/>
  <c r="Z1409" i="2"/>
  <c r="Y1409" i="2"/>
  <c r="X1409" i="2"/>
  <c r="W1409" i="2"/>
  <c r="V1409" i="2"/>
  <c r="U1409" i="2"/>
  <c r="T1409" i="2"/>
  <c r="S1409" i="2"/>
  <c r="R1409" i="2"/>
  <c r="Q1409" i="2"/>
  <c r="P1409" i="2"/>
  <c r="O1409" i="2"/>
  <c r="N1409" i="2"/>
  <c r="M1409" i="2"/>
  <c r="L1409" i="2"/>
  <c r="K1409" i="2"/>
  <c r="J1409" i="2"/>
  <c r="I1409" i="2"/>
  <c r="H1409" i="2"/>
  <c r="G1409" i="2"/>
  <c r="F1409" i="2"/>
  <c r="E1409" i="2"/>
  <c r="D1409" i="2"/>
  <c r="C1409" i="2"/>
  <c r="B1409" i="2"/>
  <c r="A1409" i="2"/>
  <c r="AX1408" i="2"/>
  <c r="AV1408" i="2"/>
  <c r="AU1408" i="2"/>
  <c r="AS1408" i="2"/>
  <c r="AR1408" i="2"/>
  <c r="AO1408" i="2"/>
  <c r="AM1408" i="2"/>
  <c r="AL1408" i="2"/>
  <c r="AK1408" i="2"/>
  <c r="AJ1408" i="2"/>
  <c r="AI1408" i="2"/>
  <c r="AH1408" i="2"/>
  <c r="AG1408" i="2"/>
  <c r="AF1408" i="2"/>
  <c r="AE1408" i="2"/>
  <c r="AD1408" i="2"/>
  <c r="AC1408" i="2"/>
  <c r="AA1408" i="2"/>
  <c r="Z1408" i="2"/>
  <c r="Y1408" i="2"/>
  <c r="X1408" i="2"/>
  <c r="W1408" i="2"/>
  <c r="V1408" i="2"/>
  <c r="U1408" i="2"/>
  <c r="T1408" i="2"/>
  <c r="S1408" i="2"/>
  <c r="R1408" i="2"/>
  <c r="Q1408" i="2"/>
  <c r="P1408" i="2"/>
  <c r="O1408" i="2"/>
  <c r="N1408" i="2"/>
  <c r="M1408" i="2"/>
  <c r="L1408" i="2"/>
  <c r="K1408" i="2"/>
  <c r="J1408" i="2"/>
  <c r="I1408" i="2"/>
  <c r="H1408" i="2"/>
  <c r="G1408" i="2"/>
  <c r="F1408" i="2"/>
  <c r="E1408" i="2"/>
  <c r="D1408" i="2"/>
  <c r="C1408" i="2"/>
  <c r="B1408" i="2"/>
  <c r="A1408" i="2"/>
  <c r="AX1407" i="2"/>
  <c r="AV1407" i="2"/>
  <c r="AU1407" i="2"/>
  <c r="AT1407" i="2"/>
  <c r="AS1407" i="2"/>
  <c r="AR1407" i="2"/>
  <c r="AQ1407" i="2"/>
  <c r="AP1407" i="2"/>
  <c r="AO1407" i="2"/>
  <c r="AM1407" i="2"/>
  <c r="AL1407" i="2"/>
  <c r="AK1407" i="2"/>
  <c r="AJ1407" i="2"/>
  <c r="AI1407" i="2"/>
  <c r="AH1407" i="2"/>
  <c r="AG1407" i="2"/>
  <c r="AE1407" i="2"/>
  <c r="AD1407" i="2"/>
  <c r="AC1407" i="2"/>
  <c r="AA1407" i="2"/>
  <c r="Z1407" i="2"/>
  <c r="Y1407" i="2"/>
  <c r="X1407" i="2"/>
  <c r="W1407" i="2"/>
  <c r="V1407" i="2"/>
  <c r="U1407" i="2"/>
  <c r="T1407" i="2"/>
  <c r="S1407" i="2"/>
  <c r="R1407" i="2"/>
  <c r="Q1407" i="2"/>
  <c r="P1407" i="2"/>
  <c r="N1407" i="2"/>
  <c r="M1407" i="2"/>
  <c r="L1407" i="2"/>
  <c r="K1407" i="2"/>
  <c r="J1407" i="2"/>
  <c r="I1407" i="2"/>
  <c r="H1407" i="2"/>
  <c r="G1407" i="2"/>
  <c r="F1407" i="2"/>
  <c r="E1407" i="2"/>
  <c r="D1407" i="2"/>
  <c r="C1407" i="2"/>
  <c r="B1407" i="2"/>
  <c r="A1407" i="2"/>
  <c r="AX1406" i="2"/>
  <c r="AV1406" i="2"/>
  <c r="AU1406" i="2"/>
  <c r="AT1406" i="2"/>
  <c r="AS1406" i="2"/>
  <c r="AQ1406" i="2"/>
  <c r="AP1406" i="2"/>
  <c r="AO1406" i="2"/>
  <c r="AM1406" i="2"/>
  <c r="AL1406" i="2"/>
  <c r="AK1406" i="2"/>
  <c r="AJ1406" i="2"/>
  <c r="AI1406" i="2"/>
  <c r="AH1406" i="2"/>
  <c r="AG1406" i="2"/>
  <c r="AE1406" i="2"/>
  <c r="AD1406" i="2"/>
  <c r="AC1406" i="2"/>
  <c r="AA1406" i="2"/>
  <c r="Z1406" i="2"/>
  <c r="Y1406" i="2"/>
  <c r="X1406" i="2"/>
  <c r="W1406" i="2"/>
  <c r="V1406" i="2"/>
  <c r="U1406" i="2"/>
  <c r="T1406" i="2"/>
  <c r="S1406" i="2"/>
  <c r="R1406" i="2"/>
  <c r="Q1406" i="2"/>
  <c r="P1406" i="2"/>
  <c r="O1406" i="2"/>
  <c r="N1406" i="2"/>
  <c r="M1406" i="2"/>
  <c r="L1406" i="2"/>
  <c r="K1406" i="2"/>
  <c r="J1406" i="2"/>
  <c r="I1406" i="2"/>
  <c r="H1406" i="2"/>
  <c r="G1406" i="2"/>
  <c r="F1406" i="2"/>
  <c r="E1406" i="2"/>
  <c r="D1406" i="2"/>
  <c r="C1406" i="2"/>
  <c r="B1406" i="2"/>
  <c r="A1406" i="2"/>
  <c r="AX1405" i="2"/>
  <c r="AV1405" i="2"/>
  <c r="AU1405" i="2"/>
  <c r="AT1405" i="2"/>
  <c r="AS1405" i="2"/>
  <c r="AR1405" i="2"/>
  <c r="AQ1405" i="2"/>
  <c r="AP1405" i="2"/>
  <c r="AO1405" i="2"/>
  <c r="AM1405" i="2"/>
  <c r="AL1405" i="2"/>
  <c r="AK1405" i="2"/>
  <c r="AJ1405" i="2"/>
  <c r="AI1405" i="2"/>
  <c r="AH1405" i="2"/>
  <c r="AG1405" i="2"/>
  <c r="AE1405" i="2"/>
  <c r="AD1405" i="2"/>
  <c r="AC1405" i="2"/>
  <c r="AB1405" i="2"/>
  <c r="Z1405" i="2"/>
  <c r="Y1405" i="2"/>
  <c r="X1405" i="2"/>
  <c r="W1405" i="2"/>
  <c r="V1405" i="2"/>
  <c r="U1405" i="2"/>
  <c r="T1405" i="2"/>
  <c r="S1405" i="2"/>
  <c r="R1405" i="2"/>
  <c r="Q1405" i="2"/>
  <c r="P1405" i="2"/>
  <c r="O1405" i="2"/>
  <c r="N1405" i="2"/>
  <c r="M1405" i="2"/>
  <c r="L1405" i="2"/>
  <c r="K1405" i="2"/>
  <c r="J1405" i="2"/>
  <c r="I1405" i="2"/>
  <c r="H1405" i="2"/>
  <c r="G1405" i="2"/>
  <c r="F1405" i="2"/>
  <c r="E1405" i="2"/>
  <c r="D1405" i="2"/>
  <c r="C1405" i="2"/>
  <c r="B1405" i="2"/>
  <c r="A1405" i="2"/>
  <c r="AX1404" i="2"/>
  <c r="AV1404" i="2"/>
  <c r="AU1404" i="2"/>
  <c r="AT1404" i="2"/>
  <c r="AS1404" i="2"/>
  <c r="AR1404" i="2"/>
  <c r="AO1404" i="2"/>
  <c r="AM1404" i="2"/>
  <c r="AK1404" i="2"/>
  <c r="AJ1404" i="2"/>
  <c r="AI1404" i="2"/>
  <c r="AH1404" i="2"/>
  <c r="AG1404" i="2"/>
  <c r="AE1404" i="2"/>
  <c r="AC1404" i="2"/>
  <c r="AA1404" i="2"/>
  <c r="Z1404" i="2"/>
  <c r="Y1404" i="2"/>
  <c r="X1404" i="2"/>
  <c r="W1404" i="2"/>
  <c r="V1404" i="2"/>
  <c r="U1404" i="2"/>
  <c r="T1404" i="2"/>
  <c r="S1404" i="2"/>
  <c r="R1404" i="2"/>
  <c r="Q1404" i="2"/>
  <c r="P1404" i="2"/>
  <c r="O1404" i="2"/>
  <c r="N1404" i="2"/>
  <c r="M1404" i="2"/>
  <c r="L1404" i="2"/>
  <c r="K1404" i="2"/>
  <c r="J1404" i="2"/>
  <c r="I1404" i="2"/>
  <c r="H1404" i="2"/>
  <c r="G1404" i="2"/>
  <c r="F1404" i="2"/>
  <c r="E1404" i="2"/>
  <c r="D1404" i="2"/>
  <c r="C1404" i="2"/>
  <c r="B1404" i="2"/>
  <c r="A1404" i="2"/>
  <c r="AX1403" i="2"/>
  <c r="AV1403" i="2"/>
  <c r="AU1403" i="2"/>
  <c r="AT1403" i="2"/>
  <c r="AS1403" i="2"/>
  <c r="AR1403" i="2"/>
  <c r="AO1403" i="2"/>
  <c r="AM1403" i="2"/>
  <c r="AL1403" i="2"/>
  <c r="AK1403" i="2"/>
  <c r="AJ1403" i="2"/>
  <c r="AI1403" i="2"/>
  <c r="AH1403" i="2"/>
  <c r="AG1403" i="2"/>
  <c r="AE1403" i="2"/>
  <c r="AD1403" i="2"/>
  <c r="AC1403" i="2"/>
  <c r="AB1403" i="2"/>
  <c r="AA1403" i="2"/>
  <c r="Z1403" i="2"/>
  <c r="Y1403" i="2"/>
  <c r="X1403" i="2"/>
  <c r="W1403" i="2"/>
  <c r="V1403" i="2"/>
  <c r="U1403" i="2"/>
  <c r="T1403" i="2"/>
  <c r="S1403" i="2"/>
  <c r="R1403" i="2"/>
  <c r="Q1403" i="2"/>
  <c r="P1403" i="2"/>
  <c r="O1403" i="2"/>
  <c r="N1403" i="2"/>
  <c r="M1403" i="2"/>
  <c r="L1403" i="2"/>
  <c r="K1403" i="2"/>
  <c r="J1403" i="2"/>
  <c r="I1403" i="2"/>
  <c r="H1403" i="2"/>
  <c r="G1403" i="2"/>
  <c r="F1403" i="2"/>
  <c r="E1403" i="2"/>
  <c r="D1403" i="2"/>
  <c r="C1403" i="2"/>
  <c r="B1403" i="2"/>
  <c r="A1403" i="2"/>
  <c r="AX1402" i="2"/>
  <c r="AV1402" i="2"/>
  <c r="AU1402" i="2"/>
  <c r="AS1402" i="2"/>
  <c r="AR1402" i="2"/>
  <c r="AP1402" i="2"/>
  <c r="AO1402" i="2"/>
  <c r="AM1402" i="2"/>
  <c r="AJ1402" i="2"/>
  <c r="AI1402" i="2"/>
  <c r="AH1402" i="2"/>
  <c r="AG1402" i="2"/>
  <c r="AE1402" i="2"/>
  <c r="AC1402" i="2"/>
  <c r="Z1402" i="2"/>
  <c r="Y1402" i="2"/>
  <c r="X1402" i="2"/>
  <c r="W1402" i="2"/>
  <c r="V1402" i="2"/>
  <c r="U1402" i="2"/>
  <c r="T1402" i="2"/>
  <c r="S1402" i="2"/>
  <c r="R1402" i="2"/>
  <c r="Q1402" i="2"/>
  <c r="P1402" i="2"/>
  <c r="O1402" i="2"/>
  <c r="N1402" i="2"/>
  <c r="M1402" i="2"/>
  <c r="L1402" i="2"/>
  <c r="K1402" i="2"/>
  <c r="J1402" i="2"/>
  <c r="I1402" i="2"/>
  <c r="H1402" i="2"/>
  <c r="G1402" i="2"/>
  <c r="F1402" i="2"/>
  <c r="E1402" i="2"/>
  <c r="D1402" i="2"/>
  <c r="C1402" i="2"/>
  <c r="B1402" i="2"/>
  <c r="A1402" i="2"/>
  <c r="AX1401" i="2"/>
  <c r="AV1401" i="2"/>
  <c r="AU1401" i="2"/>
  <c r="AT1401" i="2"/>
  <c r="AS1401" i="2"/>
  <c r="AR1401" i="2"/>
  <c r="AP1401" i="2"/>
  <c r="AO1401" i="2"/>
  <c r="AM1401" i="2"/>
  <c r="AJ1401" i="2"/>
  <c r="AI1401" i="2"/>
  <c r="AH1401" i="2"/>
  <c r="AG1401" i="2"/>
  <c r="AD1401" i="2"/>
  <c r="AC1401" i="2"/>
  <c r="AA1401" i="2"/>
  <c r="Z1401" i="2"/>
  <c r="Y1401" i="2"/>
  <c r="X1401" i="2"/>
  <c r="W1401" i="2"/>
  <c r="V1401" i="2"/>
  <c r="U1401" i="2"/>
  <c r="T1401" i="2"/>
  <c r="S1401" i="2"/>
  <c r="R1401" i="2"/>
  <c r="Q1401" i="2"/>
  <c r="P1401" i="2"/>
  <c r="O1401" i="2"/>
  <c r="N1401" i="2"/>
  <c r="M1401" i="2"/>
  <c r="L1401" i="2"/>
  <c r="K1401" i="2"/>
  <c r="J1401" i="2"/>
  <c r="I1401" i="2"/>
  <c r="H1401" i="2"/>
  <c r="G1401" i="2"/>
  <c r="F1401" i="2"/>
  <c r="E1401" i="2"/>
  <c r="D1401" i="2"/>
  <c r="C1401" i="2"/>
  <c r="B1401" i="2"/>
  <c r="A1401" i="2"/>
  <c r="AX1400" i="2"/>
  <c r="AV1400" i="2"/>
  <c r="AU1400" i="2"/>
  <c r="AR1400" i="2"/>
  <c r="AO1400" i="2"/>
  <c r="AM1400" i="2"/>
  <c r="AK1400" i="2"/>
  <c r="AJ1400" i="2"/>
  <c r="AI1400" i="2"/>
  <c r="AH1400" i="2"/>
  <c r="AG1400" i="2"/>
  <c r="AD1400" i="2"/>
  <c r="AC1400" i="2"/>
  <c r="Z1400" i="2"/>
  <c r="Y1400" i="2"/>
  <c r="X1400" i="2"/>
  <c r="W1400" i="2"/>
  <c r="V1400" i="2"/>
  <c r="U1400" i="2"/>
  <c r="T1400" i="2"/>
  <c r="S1400" i="2"/>
  <c r="R1400" i="2"/>
  <c r="Q1400" i="2"/>
  <c r="P1400" i="2"/>
  <c r="O1400" i="2"/>
  <c r="N1400" i="2"/>
  <c r="L1400" i="2"/>
  <c r="K1400" i="2"/>
  <c r="J1400" i="2"/>
  <c r="I1400" i="2"/>
  <c r="H1400" i="2"/>
  <c r="G1400" i="2"/>
  <c r="F1400" i="2"/>
  <c r="E1400" i="2"/>
  <c r="D1400" i="2"/>
  <c r="C1400" i="2"/>
  <c r="B1400" i="2"/>
  <c r="A1400" i="2"/>
  <c r="AX1399" i="2"/>
  <c r="AV1399" i="2"/>
  <c r="AU1399" i="2"/>
  <c r="AR1399" i="2"/>
  <c r="AP1399" i="2"/>
  <c r="AO1399" i="2"/>
  <c r="AM1399" i="2"/>
  <c r="AJ1399" i="2"/>
  <c r="AI1399" i="2"/>
  <c r="AH1399" i="2"/>
  <c r="AG1399" i="2"/>
  <c r="AE1399" i="2"/>
  <c r="AD1399" i="2"/>
  <c r="AC1399" i="2"/>
  <c r="Z1399" i="2"/>
  <c r="Y1399" i="2"/>
  <c r="X1399" i="2"/>
  <c r="W1399" i="2"/>
  <c r="V1399" i="2"/>
  <c r="U1399" i="2"/>
  <c r="T1399" i="2"/>
  <c r="S1399" i="2"/>
  <c r="R1399" i="2"/>
  <c r="Q1399" i="2"/>
  <c r="P1399" i="2"/>
  <c r="O1399" i="2"/>
  <c r="N1399" i="2"/>
  <c r="M1399" i="2"/>
  <c r="L1399" i="2"/>
  <c r="K1399" i="2"/>
  <c r="J1399" i="2"/>
  <c r="I1399" i="2"/>
  <c r="H1399" i="2"/>
  <c r="G1399" i="2"/>
  <c r="F1399" i="2"/>
  <c r="E1399" i="2"/>
  <c r="D1399" i="2"/>
  <c r="C1399" i="2"/>
  <c r="B1399" i="2"/>
  <c r="A1399" i="2"/>
  <c r="AX1398" i="2"/>
  <c r="AV1398" i="2"/>
  <c r="AU1398" i="2"/>
  <c r="AS1398" i="2"/>
  <c r="AR1398" i="2"/>
  <c r="AO1398" i="2"/>
  <c r="AM1398" i="2"/>
  <c r="AL1398" i="2"/>
  <c r="AK1398" i="2"/>
  <c r="AJ1398" i="2"/>
  <c r="AI1398" i="2"/>
  <c r="AH1398" i="2"/>
  <c r="AG1398" i="2"/>
  <c r="AF1398" i="2"/>
  <c r="AE1398" i="2"/>
  <c r="AD1398" i="2"/>
  <c r="AC1398" i="2"/>
  <c r="AA1398" i="2"/>
  <c r="Z1398" i="2"/>
  <c r="Y1398" i="2"/>
  <c r="X1398" i="2"/>
  <c r="W1398" i="2"/>
  <c r="V1398" i="2"/>
  <c r="U1398" i="2"/>
  <c r="T1398" i="2"/>
  <c r="S1398" i="2"/>
  <c r="R1398" i="2"/>
  <c r="Q1398" i="2"/>
  <c r="P1398" i="2"/>
  <c r="O1398" i="2"/>
  <c r="N1398" i="2"/>
  <c r="M1398" i="2"/>
  <c r="L1398" i="2"/>
  <c r="K1398" i="2"/>
  <c r="J1398" i="2"/>
  <c r="I1398" i="2"/>
  <c r="H1398" i="2"/>
  <c r="G1398" i="2"/>
  <c r="F1398" i="2"/>
  <c r="E1398" i="2"/>
  <c r="D1398" i="2"/>
  <c r="C1398" i="2"/>
  <c r="B1398" i="2"/>
  <c r="A1398" i="2"/>
  <c r="AX1397" i="2"/>
  <c r="AV1397" i="2"/>
  <c r="AU1397" i="2"/>
  <c r="AT1397" i="2"/>
  <c r="AS1397" i="2"/>
  <c r="AP1397" i="2"/>
  <c r="AO1397" i="2"/>
  <c r="AM1397" i="2"/>
  <c r="AL1397" i="2"/>
  <c r="AK1397" i="2"/>
  <c r="AJ1397" i="2"/>
  <c r="AI1397" i="2"/>
  <c r="AH1397" i="2"/>
  <c r="AG1397" i="2"/>
  <c r="AE1397" i="2"/>
  <c r="AD1397" i="2"/>
  <c r="AC1397" i="2"/>
  <c r="AA1397" i="2"/>
  <c r="Z1397" i="2"/>
  <c r="Y1397" i="2"/>
  <c r="X1397" i="2"/>
  <c r="W1397" i="2"/>
  <c r="V1397" i="2"/>
  <c r="U1397" i="2"/>
  <c r="T1397" i="2"/>
  <c r="S1397" i="2"/>
  <c r="R1397" i="2"/>
  <c r="Q1397" i="2"/>
  <c r="P1397" i="2"/>
  <c r="O1397" i="2"/>
  <c r="N1397" i="2"/>
  <c r="M1397" i="2"/>
  <c r="L1397" i="2"/>
  <c r="K1397" i="2"/>
  <c r="J1397" i="2"/>
  <c r="I1397" i="2"/>
  <c r="H1397" i="2"/>
  <c r="G1397" i="2"/>
  <c r="F1397" i="2"/>
  <c r="E1397" i="2"/>
  <c r="D1397" i="2"/>
  <c r="C1397" i="2"/>
  <c r="B1397" i="2"/>
  <c r="A1397" i="2"/>
  <c r="AX1396" i="2"/>
  <c r="AV1396" i="2"/>
  <c r="AU1396" i="2"/>
  <c r="AR1396" i="2"/>
  <c r="AO1396" i="2"/>
  <c r="AM1396" i="2"/>
  <c r="AL1396" i="2"/>
  <c r="AK1396" i="2"/>
  <c r="AI1396" i="2"/>
  <c r="AH1396" i="2"/>
  <c r="AG1396" i="2"/>
  <c r="AF1396" i="2"/>
  <c r="AE1396" i="2"/>
  <c r="AD1396" i="2"/>
  <c r="AC1396" i="2"/>
  <c r="AA1396" i="2"/>
  <c r="Z1396" i="2"/>
  <c r="Y1396" i="2"/>
  <c r="X1396" i="2"/>
  <c r="W1396" i="2"/>
  <c r="V1396" i="2"/>
  <c r="U1396" i="2"/>
  <c r="T1396" i="2"/>
  <c r="S1396" i="2"/>
  <c r="R1396" i="2"/>
  <c r="Q1396" i="2"/>
  <c r="P1396" i="2"/>
  <c r="O1396" i="2"/>
  <c r="N1396" i="2"/>
  <c r="M1396" i="2"/>
  <c r="L1396" i="2"/>
  <c r="K1396" i="2"/>
  <c r="J1396" i="2"/>
  <c r="I1396" i="2"/>
  <c r="H1396" i="2"/>
  <c r="G1396" i="2"/>
  <c r="F1396" i="2"/>
  <c r="E1396" i="2"/>
  <c r="D1396" i="2"/>
  <c r="C1396" i="2"/>
  <c r="B1396" i="2"/>
  <c r="A1396" i="2"/>
  <c r="AX1395" i="2"/>
  <c r="AV1395" i="2"/>
  <c r="AU1395" i="2"/>
  <c r="AR1395" i="2"/>
  <c r="AO1395" i="2"/>
  <c r="AM1395" i="2"/>
  <c r="AL1395" i="2"/>
  <c r="AK1395" i="2"/>
  <c r="AJ1395" i="2"/>
  <c r="AI1395" i="2"/>
  <c r="AH1395" i="2"/>
  <c r="AG1395" i="2"/>
  <c r="AF1395" i="2"/>
  <c r="AE1395" i="2"/>
  <c r="AD1395" i="2"/>
  <c r="AC1395" i="2"/>
  <c r="AA1395" i="2"/>
  <c r="Z1395" i="2"/>
  <c r="Y1395" i="2"/>
  <c r="X1395" i="2"/>
  <c r="W1395" i="2"/>
  <c r="V1395" i="2"/>
  <c r="U1395" i="2"/>
  <c r="T1395" i="2"/>
  <c r="S1395" i="2"/>
  <c r="R1395" i="2"/>
  <c r="Q1395" i="2"/>
  <c r="P1395" i="2"/>
  <c r="O1395" i="2"/>
  <c r="N1395" i="2"/>
  <c r="M1395" i="2"/>
  <c r="L1395" i="2"/>
  <c r="K1395" i="2"/>
  <c r="J1395" i="2"/>
  <c r="I1395" i="2"/>
  <c r="H1395" i="2"/>
  <c r="G1395" i="2"/>
  <c r="F1395" i="2"/>
  <c r="E1395" i="2"/>
  <c r="D1395" i="2"/>
  <c r="C1395" i="2"/>
  <c r="B1395" i="2"/>
  <c r="A1395" i="2"/>
  <c r="AX1394" i="2"/>
  <c r="AV1394" i="2"/>
  <c r="AU1394" i="2"/>
  <c r="AR1394" i="2"/>
  <c r="AO1394" i="2"/>
  <c r="AM1394" i="2"/>
  <c r="AL1394" i="2"/>
  <c r="AK1394" i="2"/>
  <c r="AJ1394" i="2"/>
  <c r="AI1394" i="2"/>
  <c r="AH1394" i="2"/>
  <c r="AG1394" i="2"/>
  <c r="AE1394" i="2"/>
  <c r="AD1394" i="2"/>
  <c r="AC1394" i="2"/>
  <c r="AA1394" i="2"/>
  <c r="Z1394" i="2"/>
  <c r="Y1394" i="2"/>
  <c r="X1394" i="2"/>
  <c r="W1394" i="2"/>
  <c r="V1394" i="2"/>
  <c r="U1394" i="2"/>
  <c r="T1394" i="2"/>
  <c r="S1394" i="2"/>
  <c r="R1394" i="2"/>
  <c r="Q1394" i="2"/>
  <c r="P1394" i="2"/>
  <c r="O1394" i="2"/>
  <c r="N1394" i="2"/>
  <c r="M1394" i="2"/>
  <c r="L1394" i="2"/>
  <c r="K1394" i="2"/>
  <c r="J1394" i="2"/>
  <c r="I1394" i="2"/>
  <c r="H1394" i="2"/>
  <c r="G1394" i="2"/>
  <c r="F1394" i="2"/>
  <c r="E1394" i="2"/>
  <c r="D1394" i="2"/>
  <c r="C1394" i="2"/>
  <c r="B1394" i="2"/>
  <c r="A1394" i="2"/>
  <c r="AX1393" i="2"/>
  <c r="AV1393" i="2"/>
  <c r="AU1393" i="2"/>
  <c r="AR1393" i="2"/>
  <c r="AO1393" i="2"/>
  <c r="AM1393" i="2"/>
  <c r="AJ1393" i="2"/>
  <c r="AI1393" i="2"/>
  <c r="AH1393" i="2"/>
  <c r="AG1393" i="2"/>
  <c r="AD1393" i="2"/>
  <c r="AC1393" i="2"/>
  <c r="Z1393" i="2"/>
  <c r="Y1393" i="2"/>
  <c r="X1393" i="2"/>
  <c r="W1393" i="2"/>
  <c r="V1393" i="2"/>
  <c r="U1393" i="2"/>
  <c r="T1393" i="2"/>
  <c r="S1393" i="2"/>
  <c r="R1393" i="2"/>
  <c r="Q1393" i="2"/>
  <c r="P1393" i="2"/>
  <c r="O1393" i="2"/>
  <c r="N1393" i="2"/>
  <c r="M1393" i="2"/>
  <c r="L1393" i="2"/>
  <c r="K1393" i="2"/>
  <c r="J1393" i="2"/>
  <c r="I1393" i="2"/>
  <c r="H1393" i="2"/>
  <c r="G1393" i="2"/>
  <c r="F1393" i="2"/>
  <c r="E1393" i="2"/>
  <c r="D1393" i="2"/>
  <c r="C1393" i="2"/>
  <c r="B1393" i="2"/>
  <c r="A1393" i="2"/>
  <c r="AX1392" i="2"/>
  <c r="AV1392" i="2"/>
  <c r="AU1392" i="2"/>
  <c r="AT1392" i="2"/>
  <c r="AS1392" i="2"/>
  <c r="AR1392" i="2"/>
  <c r="AQ1392" i="2"/>
  <c r="AP1392" i="2"/>
  <c r="AO1392" i="2"/>
  <c r="AM1392" i="2"/>
  <c r="AK1392" i="2"/>
  <c r="AI1392" i="2"/>
  <c r="AH1392" i="2"/>
  <c r="AG1392" i="2"/>
  <c r="AF1392" i="2"/>
  <c r="AE1392" i="2"/>
  <c r="AD1392" i="2"/>
  <c r="AC1392" i="2"/>
  <c r="AA1392" i="2"/>
  <c r="Z1392" i="2"/>
  <c r="Y1392" i="2"/>
  <c r="X1392" i="2"/>
  <c r="W1392" i="2"/>
  <c r="V1392" i="2"/>
  <c r="U1392" i="2"/>
  <c r="T1392" i="2"/>
  <c r="S1392" i="2"/>
  <c r="R1392" i="2"/>
  <c r="Q1392" i="2"/>
  <c r="P1392" i="2"/>
  <c r="O1392" i="2"/>
  <c r="N1392" i="2"/>
  <c r="M1392" i="2"/>
  <c r="L1392" i="2"/>
  <c r="K1392" i="2"/>
  <c r="J1392" i="2"/>
  <c r="I1392" i="2"/>
  <c r="H1392" i="2"/>
  <c r="G1392" i="2"/>
  <c r="F1392" i="2"/>
  <c r="E1392" i="2"/>
  <c r="D1392" i="2"/>
  <c r="C1392" i="2"/>
  <c r="B1392" i="2"/>
  <c r="A1392" i="2"/>
  <c r="AX1391" i="2"/>
  <c r="AV1391" i="2"/>
  <c r="AU1391" i="2"/>
  <c r="AR1391" i="2"/>
  <c r="AO1391" i="2"/>
  <c r="AM1391" i="2"/>
  <c r="AL1391" i="2"/>
  <c r="AK1391" i="2"/>
  <c r="AJ1391" i="2"/>
  <c r="AI1391" i="2"/>
  <c r="AH1391" i="2"/>
  <c r="AG1391" i="2"/>
  <c r="AD1391" i="2"/>
  <c r="AC1391" i="2"/>
  <c r="AA1391" i="2"/>
  <c r="Z1391" i="2"/>
  <c r="Y1391" i="2"/>
  <c r="X1391" i="2"/>
  <c r="V1391" i="2"/>
  <c r="U1391" i="2"/>
  <c r="T1391" i="2"/>
  <c r="S1391" i="2"/>
  <c r="R1391" i="2"/>
  <c r="Q1391" i="2"/>
  <c r="P1391" i="2"/>
  <c r="O1391" i="2"/>
  <c r="N1391" i="2"/>
  <c r="M1391" i="2"/>
  <c r="L1391" i="2"/>
  <c r="K1391" i="2"/>
  <c r="J1391" i="2"/>
  <c r="I1391" i="2"/>
  <c r="H1391" i="2"/>
  <c r="G1391" i="2"/>
  <c r="F1391" i="2"/>
  <c r="E1391" i="2"/>
  <c r="D1391" i="2"/>
  <c r="C1391" i="2"/>
  <c r="B1391" i="2"/>
  <c r="A1391" i="2"/>
  <c r="AX1390" i="2"/>
  <c r="AV1390" i="2"/>
  <c r="AU1390" i="2"/>
  <c r="AT1390" i="2"/>
  <c r="AR1390" i="2"/>
  <c r="AO1390" i="2"/>
  <c r="AM1390" i="2"/>
  <c r="AL1390" i="2"/>
  <c r="AK1390" i="2"/>
  <c r="AJ1390" i="2"/>
  <c r="AI1390" i="2"/>
  <c r="AH1390" i="2"/>
  <c r="AG1390" i="2"/>
  <c r="AE1390" i="2"/>
  <c r="AD1390" i="2"/>
  <c r="AC1390" i="2"/>
  <c r="AA1390" i="2"/>
  <c r="Z1390" i="2"/>
  <c r="Y1390" i="2"/>
  <c r="X1390" i="2"/>
  <c r="W1390" i="2"/>
  <c r="V1390" i="2"/>
  <c r="U1390" i="2"/>
  <c r="T1390" i="2"/>
  <c r="S1390" i="2"/>
  <c r="R1390" i="2"/>
  <c r="Q1390" i="2"/>
  <c r="P1390" i="2"/>
  <c r="O1390" i="2"/>
  <c r="N1390" i="2"/>
  <c r="M1390" i="2"/>
  <c r="L1390" i="2"/>
  <c r="K1390" i="2"/>
  <c r="J1390" i="2"/>
  <c r="I1390" i="2"/>
  <c r="H1390" i="2"/>
  <c r="G1390" i="2"/>
  <c r="F1390" i="2"/>
  <c r="E1390" i="2"/>
  <c r="D1390" i="2"/>
  <c r="C1390" i="2"/>
  <c r="B1390" i="2"/>
  <c r="A1390" i="2"/>
  <c r="AX1389" i="2"/>
  <c r="AV1389" i="2"/>
  <c r="AU1389" i="2"/>
  <c r="AT1389" i="2"/>
  <c r="AS1389" i="2"/>
  <c r="AO1389" i="2"/>
  <c r="AM1389" i="2"/>
  <c r="AK1389" i="2"/>
  <c r="AI1389" i="2"/>
  <c r="AH1389" i="2"/>
  <c r="AG1389" i="2"/>
  <c r="AE1389" i="2"/>
  <c r="AD1389" i="2"/>
  <c r="AC1389" i="2"/>
  <c r="AA1389" i="2"/>
  <c r="Z1389" i="2"/>
  <c r="Y1389" i="2"/>
  <c r="X1389" i="2"/>
  <c r="W1389" i="2"/>
  <c r="V1389" i="2"/>
  <c r="U1389" i="2"/>
  <c r="T1389" i="2"/>
  <c r="S1389" i="2"/>
  <c r="R1389" i="2"/>
  <c r="Q1389" i="2"/>
  <c r="P1389" i="2"/>
  <c r="O1389" i="2"/>
  <c r="N1389" i="2"/>
  <c r="M1389" i="2"/>
  <c r="L1389" i="2"/>
  <c r="K1389" i="2"/>
  <c r="J1389" i="2"/>
  <c r="I1389" i="2"/>
  <c r="H1389" i="2"/>
  <c r="G1389" i="2"/>
  <c r="F1389" i="2"/>
  <c r="E1389" i="2"/>
  <c r="D1389" i="2"/>
  <c r="C1389" i="2"/>
  <c r="B1389" i="2"/>
  <c r="A1389" i="2"/>
  <c r="AX1388" i="2"/>
  <c r="AV1388" i="2"/>
  <c r="AU1388" i="2"/>
  <c r="AS1388" i="2"/>
  <c r="AR1388" i="2"/>
  <c r="AO1388" i="2"/>
  <c r="AM1388" i="2"/>
  <c r="AL1388" i="2"/>
  <c r="AK1388" i="2"/>
  <c r="AJ1388" i="2"/>
  <c r="AI1388" i="2"/>
  <c r="AH1388" i="2"/>
  <c r="AG1388" i="2"/>
  <c r="AE1388" i="2"/>
  <c r="AD1388" i="2"/>
  <c r="AC1388" i="2"/>
  <c r="AA1388" i="2"/>
  <c r="Z1388" i="2"/>
  <c r="Y1388" i="2"/>
  <c r="X1388" i="2"/>
  <c r="W1388" i="2"/>
  <c r="V1388" i="2"/>
  <c r="U1388" i="2"/>
  <c r="T1388" i="2"/>
  <c r="S1388" i="2"/>
  <c r="R1388" i="2"/>
  <c r="Q1388" i="2"/>
  <c r="P1388" i="2"/>
  <c r="O1388" i="2"/>
  <c r="N1388" i="2"/>
  <c r="M1388" i="2"/>
  <c r="L1388" i="2"/>
  <c r="K1388" i="2"/>
  <c r="J1388" i="2"/>
  <c r="I1388" i="2"/>
  <c r="H1388" i="2"/>
  <c r="G1388" i="2"/>
  <c r="F1388" i="2"/>
  <c r="E1388" i="2"/>
  <c r="D1388" i="2"/>
  <c r="C1388" i="2"/>
  <c r="B1388" i="2"/>
  <c r="A1388" i="2"/>
  <c r="AX1387" i="2"/>
  <c r="AV1387" i="2"/>
  <c r="AU1387" i="2"/>
  <c r="AT1387" i="2"/>
  <c r="AR1387" i="2"/>
  <c r="AO1387" i="2"/>
  <c r="AN1387" i="2"/>
  <c r="AM1387" i="2"/>
  <c r="AL1387" i="2"/>
  <c r="AK1387" i="2"/>
  <c r="AJ1387" i="2"/>
  <c r="AI1387" i="2"/>
  <c r="AH1387" i="2"/>
  <c r="AG1387" i="2"/>
  <c r="AF1387" i="2"/>
  <c r="AE1387" i="2"/>
  <c r="AD1387" i="2"/>
  <c r="AC1387" i="2"/>
  <c r="AA1387" i="2"/>
  <c r="Z1387" i="2"/>
  <c r="Y1387" i="2"/>
  <c r="X1387" i="2"/>
  <c r="W1387" i="2"/>
  <c r="V1387" i="2"/>
  <c r="U1387" i="2"/>
  <c r="T1387" i="2"/>
  <c r="S1387" i="2"/>
  <c r="R1387" i="2"/>
  <c r="Q1387" i="2"/>
  <c r="P1387" i="2"/>
  <c r="O1387" i="2"/>
  <c r="N1387" i="2"/>
  <c r="M1387" i="2"/>
  <c r="L1387" i="2"/>
  <c r="K1387" i="2"/>
  <c r="J1387" i="2"/>
  <c r="I1387" i="2"/>
  <c r="H1387" i="2"/>
  <c r="G1387" i="2"/>
  <c r="F1387" i="2"/>
  <c r="E1387" i="2"/>
  <c r="D1387" i="2"/>
  <c r="C1387" i="2"/>
  <c r="B1387" i="2"/>
  <c r="A1387" i="2"/>
  <c r="AX1386" i="2"/>
  <c r="AV1386" i="2"/>
  <c r="AU1386" i="2"/>
  <c r="AT1386" i="2"/>
  <c r="AS1386" i="2"/>
  <c r="AR1386" i="2"/>
  <c r="AQ1386" i="2"/>
  <c r="AP1386" i="2"/>
  <c r="AO1386" i="2"/>
  <c r="AN1386" i="2"/>
  <c r="AM1386" i="2"/>
  <c r="AL1386" i="2"/>
  <c r="AK1386" i="2"/>
  <c r="AJ1386" i="2"/>
  <c r="AI1386" i="2"/>
  <c r="AH1386" i="2"/>
  <c r="AG1386" i="2"/>
  <c r="AE1386" i="2"/>
  <c r="AD1386" i="2"/>
  <c r="AC1386" i="2"/>
  <c r="Z1386" i="2"/>
  <c r="Y1386" i="2"/>
  <c r="X1386" i="2"/>
  <c r="W1386" i="2"/>
  <c r="V1386" i="2"/>
  <c r="U1386" i="2"/>
  <c r="T1386" i="2"/>
  <c r="S1386" i="2"/>
  <c r="R1386" i="2"/>
  <c r="Q1386" i="2"/>
  <c r="P1386" i="2"/>
  <c r="O1386" i="2"/>
  <c r="N1386" i="2"/>
  <c r="M1386" i="2"/>
  <c r="L1386" i="2"/>
  <c r="K1386" i="2"/>
  <c r="J1386" i="2"/>
  <c r="I1386" i="2"/>
  <c r="H1386" i="2"/>
  <c r="G1386" i="2"/>
  <c r="F1386" i="2"/>
  <c r="E1386" i="2"/>
  <c r="D1386" i="2"/>
  <c r="C1386" i="2"/>
  <c r="B1386" i="2"/>
  <c r="A1386" i="2"/>
  <c r="AX1385" i="2"/>
  <c r="AV1385" i="2"/>
  <c r="AU1385" i="2"/>
  <c r="AS1385" i="2"/>
  <c r="AR1385" i="2"/>
  <c r="AO1385" i="2"/>
  <c r="AM1385" i="2"/>
  <c r="AL1385" i="2"/>
  <c r="AK1385" i="2"/>
  <c r="AJ1385" i="2"/>
  <c r="AI1385" i="2"/>
  <c r="AH1385" i="2"/>
  <c r="AG1385" i="2"/>
  <c r="AE1385" i="2"/>
  <c r="AD1385" i="2"/>
  <c r="AC1385" i="2"/>
  <c r="AA1385" i="2"/>
  <c r="Z1385" i="2"/>
  <c r="Y1385" i="2"/>
  <c r="X1385" i="2"/>
  <c r="W1385" i="2"/>
  <c r="V1385" i="2"/>
  <c r="U1385" i="2"/>
  <c r="T1385" i="2"/>
  <c r="S1385" i="2"/>
  <c r="Q1385" i="2"/>
  <c r="P1385" i="2"/>
  <c r="O1385" i="2"/>
  <c r="N1385" i="2"/>
  <c r="M1385" i="2"/>
  <c r="L1385" i="2"/>
  <c r="K1385" i="2"/>
  <c r="J1385" i="2"/>
  <c r="I1385" i="2"/>
  <c r="H1385" i="2"/>
  <c r="G1385" i="2"/>
  <c r="F1385" i="2"/>
  <c r="E1385" i="2"/>
  <c r="D1385" i="2"/>
  <c r="C1385" i="2"/>
  <c r="B1385" i="2"/>
  <c r="A1385" i="2"/>
  <c r="AX1384" i="2"/>
  <c r="AV1384" i="2"/>
  <c r="AU1384" i="2"/>
  <c r="AR1384" i="2"/>
  <c r="AO1384" i="2"/>
  <c r="AM1384" i="2"/>
  <c r="AK1384" i="2"/>
  <c r="AJ1384" i="2"/>
  <c r="AI1384" i="2"/>
  <c r="AH1384" i="2"/>
  <c r="AG1384" i="2"/>
  <c r="AD1384" i="2"/>
  <c r="AC1384" i="2"/>
  <c r="Z1384" i="2"/>
  <c r="Y1384" i="2"/>
  <c r="X1384" i="2"/>
  <c r="W1384" i="2"/>
  <c r="V1384" i="2"/>
  <c r="U1384" i="2"/>
  <c r="T1384" i="2"/>
  <c r="S1384" i="2"/>
  <c r="R1384" i="2"/>
  <c r="Q1384" i="2"/>
  <c r="P1384" i="2"/>
  <c r="O1384" i="2"/>
  <c r="N1384" i="2"/>
  <c r="M1384" i="2"/>
  <c r="L1384" i="2"/>
  <c r="K1384" i="2"/>
  <c r="J1384" i="2"/>
  <c r="I1384" i="2"/>
  <c r="H1384" i="2"/>
  <c r="G1384" i="2"/>
  <c r="F1384" i="2"/>
  <c r="E1384" i="2"/>
  <c r="D1384" i="2"/>
  <c r="C1384" i="2"/>
  <c r="B1384" i="2"/>
  <c r="A1384" i="2"/>
  <c r="AX1383" i="2"/>
  <c r="AV1383" i="2"/>
  <c r="AU1383" i="2"/>
  <c r="AR1383" i="2"/>
  <c r="AO1383" i="2"/>
  <c r="AM1383" i="2"/>
  <c r="AL1383" i="2"/>
  <c r="AK1383" i="2"/>
  <c r="AJ1383" i="2"/>
  <c r="AI1383" i="2"/>
  <c r="AH1383" i="2"/>
  <c r="AG1383" i="2"/>
  <c r="AF1383" i="2"/>
  <c r="AE1383" i="2"/>
  <c r="AD1383" i="2"/>
  <c r="AC1383" i="2"/>
  <c r="AA1383" i="2"/>
  <c r="Z1383" i="2"/>
  <c r="Y1383" i="2"/>
  <c r="X1383" i="2"/>
  <c r="W1383" i="2"/>
  <c r="V1383" i="2"/>
  <c r="U1383" i="2"/>
  <c r="T1383" i="2"/>
  <c r="S1383" i="2"/>
  <c r="R1383" i="2"/>
  <c r="Q1383" i="2"/>
  <c r="P1383" i="2"/>
  <c r="O1383" i="2"/>
  <c r="N1383" i="2"/>
  <c r="M1383" i="2"/>
  <c r="L1383" i="2"/>
  <c r="K1383" i="2"/>
  <c r="J1383" i="2"/>
  <c r="I1383" i="2"/>
  <c r="H1383" i="2"/>
  <c r="G1383" i="2"/>
  <c r="F1383" i="2"/>
  <c r="E1383" i="2"/>
  <c r="D1383" i="2"/>
  <c r="C1383" i="2"/>
  <c r="B1383" i="2"/>
  <c r="A1383" i="2"/>
  <c r="AX1382" i="2"/>
  <c r="AV1382" i="2"/>
  <c r="AU1382" i="2"/>
  <c r="AT1382" i="2"/>
  <c r="AP1382" i="2"/>
  <c r="AM1382" i="2"/>
  <c r="AL1382" i="2"/>
  <c r="AK1382" i="2"/>
  <c r="AI1382" i="2"/>
  <c r="AH1382" i="2"/>
  <c r="AG1382" i="2"/>
  <c r="AE1382" i="2"/>
  <c r="AD1382" i="2"/>
  <c r="AC1382" i="2"/>
  <c r="AA1382" i="2"/>
  <c r="Z1382" i="2"/>
  <c r="Y1382" i="2"/>
  <c r="X1382" i="2"/>
  <c r="W1382" i="2"/>
  <c r="V1382" i="2"/>
  <c r="U1382" i="2"/>
  <c r="T1382" i="2"/>
  <c r="S1382" i="2"/>
  <c r="R1382" i="2"/>
  <c r="Q1382" i="2"/>
  <c r="P1382" i="2"/>
  <c r="O1382" i="2"/>
  <c r="N1382" i="2"/>
  <c r="M1382" i="2"/>
  <c r="L1382" i="2"/>
  <c r="K1382" i="2"/>
  <c r="J1382" i="2"/>
  <c r="I1382" i="2"/>
  <c r="H1382" i="2"/>
  <c r="G1382" i="2"/>
  <c r="F1382" i="2"/>
  <c r="E1382" i="2"/>
  <c r="D1382" i="2"/>
  <c r="C1382" i="2"/>
  <c r="B1382" i="2"/>
  <c r="A1382" i="2"/>
  <c r="AX1381" i="2"/>
  <c r="AV1381" i="2"/>
  <c r="AU1381" i="2"/>
  <c r="AT1381" i="2"/>
  <c r="AR1381" i="2"/>
  <c r="AQ1381" i="2"/>
  <c r="AP1381" i="2"/>
  <c r="AO1381" i="2"/>
  <c r="AM1381" i="2"/>
  <c r="AL1381" i="2"/>
  <c r="AK1381" i="2"/>
  <c r="AJ1381" i="2"/>
  <c r="AI1381" i="2"/>
  <c r="AH1381" i="2"/>
  <c r="AG1381" i="2"/>
  <c r="AE1381" i="2"/>
  <c r="AD1381" i="2"/>
  <c r="AC1381" i="2"/>
  <c r="AA1381" i="2"/>
  <c r="Z1381" i="2"/>
  <c r="Y1381" i="2"/>
  <c r="X1381" i="2"/>
  <c r="W1381" i="2"/>
  <c r="V1381" i="2"/>
  <c r="U1381" i="2"/>
  <c r="T1381" i="2"/>
  <c r="S1381" i="2"/>
  <c r="R1381" i="2"/>
  <c r="Q1381" i="2"/>
  <c r="P1381" i="2"/>
  <c r="O1381" i="2"/>
  <c r="N1381" i="2"/>
  <c r="M1381" i="2"/>
  <c r="L1381" i="2"/>
  <c r="K1381" i="2"/>
  <c r="J1381" i="2"/>
  <c r="I1381" i="2"/>
  <c r="H1381" i="2"/>
  <c r="G1381" i="2"/>
  <c r="F1381" i="2"/>
  <c r="E1381" i="2"/>
  <c r="D1381" i="2"/>
  <c r="C1381" i="2"/>
  <c r="B1381" i="2"/>
  <c r="A1381" i="2"/>
  <c r="AX1380" i="2"/>
  <c r="AV1380" i="2"/>
  <c r="AU1380" i="2"/>
  <c r="AT1380" i="2"/>
  <c r="AS1380" i="2"/>
  <c r="AR1380" i="2"/>
  <c r="AP1380" i="2"/>
  <c r="AO1380" i="2"/>
  <c r="AM1380" i="2"/>
  <c r="AL1380" i="2"/>
  <c r="AK1380" i="2"/>
  <c r="AJ1380" i="2"/>
  <c r="AI1380" i="2"/>
  <c r="AH1380" i="2"/>
  <c r="AG1380" i="2"/>
  <c r="AE1380" i="2"/>
  <c r="AD1380" i="2"/>
  <c r="AC1380" i="2"/>
  <c r="AA1380" i="2"/>
  <c r="Z1380" i="2"/>
  <c r="Y1380" i="2"/>
  <c r="X1380" i="2"/>
  <c r="W1380" i="2"/>
  <c r="V1380" i="2"/>
  <c r="U1380" i="2"/>
  <c r="T1380" i="2"/>
  <c r="S1380" i="2"/>
  <c r="R1380" i="2"/>
  <c r="Q1380" i="2"/>
  <c r="P1380" i="2"/>
  <c r="O1380" i="2"/>
  <c r="N1380" i="2"/>
  <c r="M1380" i="2"/>
  <c r="L1380" i="2"/>
  <c r="K1380" i="2"/>
  <c r="J1380" i="2"/>
  <c r="I1380" i="2"/>
  <c r="H1380" i="2"/>
  <c r="G1380" i="2"/>
  <c r="F1380" i="2"/>
  <c r="E1380" i="2"/>
  <c r="D1380" i="2"/>
  <c r="C1380" i="2"/>
  <c r="B1380" i="2"/>
  <c r="A1380" i="2"/>
  <c r="AX1379" i="2"/>
  <c r="AV1379" i="2"/>
  <c r="AU1379" i="2"/>
  <c r="AT1379" i="2"/>
  <c r="AS1379" i="2"/>
  <c r="AR1379" i="2"/>
  <c r="AQ1379" i="2"/>
  <c r="AP1379" i="2"/>
  <c r="AO1379" i="2"/>
  <c r="AM1379" i="2"/>
  <c r="AL1379" i="2"/>
  <c r="AK1379" i="2"/>
  <c r="AJ1379" i="2"/>
  <c r="AI1379" i="2"/>
  <c r="AH1379" i="2"/>
  <c r="AG1379" i="2"/>
  <c r="AE1379" i="2"/>
  <c r="AD1379" i="2"/>
  <c r="AC1379" i="2"/>
  <c r="AA1379" i="2"/>
  <c r="Z1379" i="2"/>
  <c r="Y1379" i="2"/>
  <c r="X1379" i="2"/>
  <c r="W1379" i="2"/>
  <c r="V1379" i="2"/>
  <c r="U1379" i="2"/>
  <c r="T1379" i="2"/>
  <c r="S1379" i="2"/>
  <c r="R1379" i="2"/>
  <c r="Q1379" i="2"/>
  <c r="P1379" i="2"/>
  <c r="O1379" i="2"/>
  <c r="N1379" i="2"/>
  <c r="M1379" i="2"/>
  <c r="L1379" i="2"/>
  <c r="K1379" i="2"/>
  <c r="J1379" i="2"/>
  <c r="I1379" i="2"/>
  <c r="H1379" i="2"/>
  <c r="G1379" i="2"/>
  <c r="F1379" i="2"/>
  <c r="E1379" i="2"/>
  <c r="D1379" i="2"/>
  <c r="C1379" i="2"/>
  <c r="B1379" i="2"/>
  <c r="A1379" i="2"/>
  <c r="AX1378" i="2"/>
  <c r="AV1378" i="2"/>
  <c r="AU1378" i="2"/>
  <c r="AS1378" i="2"/>
  <c r="AR1378" i="2"/>
  <c r="AQ1378" i="2"/>
  <c r="AP1378" i="2"/>
  <c r="AO1378" i="2"/>
  <c r="AM1378" i="2"/>
  <c r="AK1378" i="2"/>
  <c r="AJ1378" i="2"/>
  <c r="AI1378" i="2"/>
  <c r="AH1378" i="2"/>
  <c r="AG1378" i="2"/>
  <c r="AE1378" i="2"/>
  <c r="AD1378" i="2"/>
  <c r="AC1378" i="2"/>
  <c r="Z1378" i="2"/>
  <c r="Y1378" i="2"/>
  <c r="X1378" i="2"/>
  <c r="W1378" i="2"/>
  <c r="V1378" i="2"/>
  <c r="U1378" i="2"/>
  <c r="T1378" i="2"/>
  <c r="S1378" i="2"/>
  <c r="R1378" i="2"/>
  <c r="Q1378" i="2"/>
  <c r="P1378" i="2"/>
  <c r="O1378" i="2"/>
  <c r="N1378" i="2"/>
  <c r="M1378" i="2"/>
  <c r="L1378" i="2"/>
  <c r="K1378" i="2"/>
  <c r="J1378" i="2"/>
  <c r="I1378" i="2"/>
  <c r="H1378" i="2"/>
  <c r="G1378" i="2"/>
  <c r="F1378" i="2"/>
  <c r="E1378" i="2"/>
  <c r="D1378" i="2"/>
  <c r="C1378" i="2"/>
  <c r="B1378" i="2"/>
  <c r="A1378" i="2"/>
  <c r="AX1377" i="2"/>
  <c r="AV1377" i="2"/>
  <c r="AU1377" i="2"/>
  <c r="AT1377" i="2"/>
  <c r="AP1377" i="2"/>
  <c r="AO1377" i="2"/>
  <c r="AM1377" i="2"/>
  <c r="AL1377" i="2"/>
  <c r="AK1377" i="2"/>
  <c r="AJ1377" i="2"/>
  <c r="AI1377" i="2"/>
  <c r="AH1377" i="2"/>
  <c r="AG1377" i="2"/>
  <c r="AE1377" i="2"/>
  <c r="AD1377" i="2"/>
  <c r="AC1377" i="2"/>
  <c r="AA1377" i="2"/>
  <c r="Z1377" i="2"/>
  <c r="Y1377" i="2"/>
  <c r="X1377" i="2"/>
  <c r="W1377" i="2"/>
  <c r="V1377" i="2"/>
  <c r="U1377" i="2"/>
  <c r="T1377" i="2"/>
  <c r="S1377" i="2"/>
  <c r="R1377" i="2"/>
  <c r="Q1377" i="2"/>
  <c r="P1377" i="2"/>
  <c r="O1377" i="2"/>
  <c r="N1377" i="2"/>
  <c r="M1377" i="2"/>
  <c r="L1377" i="2"/>
  <c r="K1377" i="2"/>
  <c r="J1377" i="2"/>
  <c r="I1377" i="2"/>
  <c r="H1377" i="2"/>
  <c r="G1377" i="2"/>
  <c r="F1377" i="2"/>
  <c r="E1377" i="2"/>
  <c r="D1377" i="2"/>
  <c r="C1377" i="2"/>
  <c r="B1377" i="2"/>
  <c r="A1377" i="2"/>
  <c r="AX1376" i="2"/>
  <c r="AV1376" i="2"/>
  <c r="AU1376" i="2"/>
  <c r="AS1376" i="2"/>
  <c r="AR1376" i="2"/>
  <c r="AO1376" i="2"/>
  <c r="AM1376" i="2"/>
  <c r="AK1376" i="2"/>
  <c r="AJ1376" i="2"/>
  <c r="AH1376" i="2"/>
  <c r="AG1376" i="2"/>
  <c r="AF1376" i="2"/>
  <c r="AE1376" i="2"/>
  <c r="AD1376" i="2"/>
  <c r="AC1376" i="2"/>
  <c r="Z1376" i="2"/>
  <c r="Y1376" i="2"/>
  <c r="X1376" i="2"/>
  <c r="W1376" i="2"/>
  <c r="V1376" i="2"/>
  <c r="U1376" i="2"/>
  <c r="T1376" i="2"/>
  <c r="S1376" i="2"/>
  <c r="R1376" i="2"/>
  <c r="Q1376" i="2"/>
  <c r="P1376" i="2"/>
  <c r="O1376" i="2"/>
  <c r="N1376" i="2"/>
  <c r="M1376" i="2"/>
  <c r="L1376" i="2"/>
  <c r="K1376" i="2"/>
  <c r="J1376" i="2"/>
  <c r="I1376" i="2"/>
  <c r="H1376" i="2"/>
  <c r="G1376" i="2"/>
  <c r="F1376" i="2"/>
  <c r="E1376" i="2"/>
  <c r="D1376" i="2"/>
  <c r="C1376" i="2"/>
  <c r="B1376" i="2"/>
  <c r="A1376" i="2"/>
  <c r="AX1375" i="2"/>
  <c r="AV1375" i="2"/>
  <c r="AU1375" i="2"/>
  <c r="AR1375" i="2"/>
  <c r="AO1375" i="2"/>
  <c r="AM1375" i="2"/>
  <c r="AK1375" i="2"/>
  <c r="AJ1375" i="2"/>
  <c r="AI1375" i="2"/>
  <c r="AH1375" i="2"/>
  <c r="AF1375" i="2"/>
  <c r="AE1375" i="2"/>
  <c r="AD1375" i="2"/>
  <c r="AC1375" i="2"/>
  <c r="AA1375" i="2"/>
  <c r="Z1375" i="2"/>
  <c r="Y1375" i="2"/>
  <c r="X1375" i="2"/>
  <c r="W1375" i="2"/>
  <c r="V1375" i="2"/>
  <c r="U1375" i="2"/>
  <c r="T1375" i="2"/>
  <c r="S1375" i="2"/>
  <c r="R1375" i="2"/>
  <c r="Q1375" i="2"/>
  <c r="P1375" i="2"/>
  <c r="O1375" i="2"/>
  <c r="N1375" i="2"/>
  <c r="M1375" i="2"/>
  <c r="L1375" i="2"/>
  <c r="K1375" i="2"/>
  <c r="J1375" i="2"/>
  <c r="I1375" i="2"/>
  <c r="H1375" i="2"/>
  <c r="G1375" i="2"/>
  <c r="F1375" i="2"/>
  <c r="E1375" i="2"/>
  <c r="D1375" i="2"/>
  <c r="C1375" i="2"/>
  <c r="B1375" i="2"/>
  <c r="A1375" i="2"/>
  <c r="AX1374" i="2"/>
  <c r="AV1374" i="2"/>
  <c r="AU1374" i="2"/>
  <c r="AR1374" i="2"/>
  <c r="AO1374" i="2"/>
  <c r="AM1374" i="2"/>
  <c r="AK1374" i="2"/>
  <c r="AJ1374" i="2"/>
  <c r="AI1374" i="2"/>
  <c r="AH1374" i="2"/>
  <c r="AG1374" i="2"/>
  <c r="AE1374" i="2"/>
  <c r="AD1374" i="2"/>
  <c r="AC1374" i="2"/>
  <c r="AA1374" i="2"/>
  <c r="Z1374" i="2"/>
  <c r="Y1374" i="2"/>
  <c r="X1374" i="2"/>
  <c r="W1374" i="2"/>
  <c r="V1374" i="2"/>
  <c r="U1374" i="2"/>
  <c r="T1374" i="2"/>
  <c r="S1374" i="2"/>
  <c r="R1374" i="2"/>
  <c r="Q1374" i="2"/>
  <c r="P1374" i="2"/>
  <c r="O1374" i="2"/>
  <c r="N1374" i="2"/>
  <c r="M1374" i="2"/>
  <c r="L1374" i="2"/>
  <c r="K1374" i="2"/>
  <c r="J1374" i="2"/>
  <c r="I1374" i="2"/>
  <c r="H1374" i="2"/>
  <c r="G1374" i="2"/>
  <c r="F1374" i="2"/>
  <c r="E1374" i="2"/>
  <c r="D1374" i="2"/>
  <c r="C1374" i="2"/>
  <c r="B1374" i="2"/>
  <c r="A1374" i="2"/>
  <c r="AX1373" i="2"/>
  <c r="AV1373" i="2"/>
  <c r="AU1373" i="2"/>
  <c r="AT1373" i="2"/>
  <c r="AS1373" i="2"/>
  <c r="AR1373" i="2"/>
  <c r="AP1373" i="2"/>
  <c r="AM1373" i="2"/>
  <c r="AL1373" i="2"/>
  <c r="AK1373" i="2"/>
  <c r="AI1373" i="2"/>
  <c r="AH1373" i="2"/>
  <c r="AG1373" i="2"/>
  <c r="AE1373" i="2"/>
  <c r="AC1373" i="2"/>
  <c r="AA1373" i="2"/>
  <c r="Z1373" i="2"/>
  <c r="Y1373" i="2"/>
  <c r="X1373" i="2"/>
  <c r="W1373" i="2"/>
  <c r="V1373" i="2"/>
  <c r="U1373" i="2"/>
  <c r="T1373" i="2"/>
  <c r="S1373" i="2"/>
  <c r="R1373" i="2"/>
  <c r="Q1373" i="2"/>
  <c r="P1373" i="2"/>
  <c r="O1373" i="2"/>
  <c r="N1373" i="2"/>
  <c r="M1373" i="2"/>
  <c r="L1373" i="2"/>
  <c r="K1373" i="2"/>
  <c r="J1373" i="2"/>
  <c r="I1373" i="2"/>
  <c r="H1373" i="2"/>
  <c r="G1373" i="2"/>
  <c r="F1373" i="2"/>
  <c r="E1373" i="2"/>
  <c r="D1373" i="2"/>
  <c r="C1373" i="2"/>
  <c r="B1373" i="2"/>
  <c r="A1373" i="2"/>
  <c r="AX1372" i="2"/>
  <c r="AV1372" i="2"/>
  <c r="AU1372" i="2"/>
  <c r="AT1372" i="2"/>
  <c r="AS1372" i="2"/>
  <c r="AP1372" i="2"/>
  <c r="AO1372" i="2"/>
  <c r="AN1372" i="2"/>
  <c r="AM1372" i="2"/>
  <c r="AL1372" i="2"/>
  <c r="AK1372" i="2"/>
  <c r="AI1372" i="2"/>
  <c r="AH1372" i="2"/>
  <c r="AG1372" i="2"/>
  <c r="AE1372" i="2"/>
  <c r="AD1372" i="2"/>
  <c r="AC1372" i="2"/>
  <c r="AA1372" i="2"/>
  <c r="Z1372" i="2"/>
  <c r="Y1372" i="2"/>
  <c r="X1372" i="2"/>
  <c r="W1372" i="2"/>
  <c r="V1372" i="2"/>
  <c r="U1372" i="2"/>
  <c r="T1372" i="2"/>
  <c r="S1372" i="2"/>
  <c r="R1372" i="2"/>
  <c r="Q1372" i="2"/>
  <c r="P1372" i="2"/>
  <c r="O1372" i="2"/>
  <c r="N1372" i="2"/>
  <c r="M1372" i="2"/>
  <c r="L1372" i="2"/>
  <c r="K1372" i="2"/>
  <c r="J1372" i="2"/>
  <c r="I1372" i="2"/>
  <c r="H1372" i="2"/>
  <c r="G1372" i="2"/>
  <c r="F1372" i="2"/>
  <c r="E1372" i="2"/>
  <c r="D1372" i="2"/>
  <c r="C1372" i="2"/>
  <c r="B1372" i="2"/>
  <c r="A1372" i="2"/>
  <c r="AX1371" i="2"/>
  <c r="AV1371" i="2"/>
  <c r="AU1371" i="2"/>
  <c r="AS1371" i="2"/>
  <c r="AR1371" i="2"/>
  <c r="AO1371" i="2"/>
  <c r="AM1371" i="2"/>
  <c r="AL1371" i="2"/>
  <c r="AK1371" i="2"/>
  <c r="AJ1371" i="2"/>
  <c r="AI1371" i="2"/>
  <c r="AH1371" i="2"/>
  <c r="AG1371" i="2"/>
  <c r="AE1371" i="2"/>
  <c r="AD1371" i="2"/>
  <c r="AC1371" i="2"/>
  <c r="AA1371" i="2"/>
  <c r="Z1371" i="2"/>
  <c r="Y1371" i="2"/>
  <c r="X1371" i="2"/>
  <c r="W1371" i="2"/>
  <c r="V1371" i="2"/>
  <c r="U1371" i="2"/>
  <c r="T1371" i="2"/>
  <c r="S1371" i="2"/>
  <c r="R1371" i="2"/>
  <c r="Q1371" i="2"/>
  <c r="P1371" i="2"/>
  <c r="O1371" i="2"/>
  <c r="N1371" i="2"/>
  <c r="M1371" i="2"/>
  <c r="L1371" i="2"/>
  <c r="K1371" i="2"/>
  <c r="J1371" i="2"/>
  <c r="I1371" i="2"/>
  <c r="H1371" i="2"/>
  <c r="G1371" i="2"/>
  <c r="F1371" i="2"/>
  <c r="E1371" i="2"/>
  <c r="D1371" i="2"/>
  <c r="C1371" i="2"/>
  <c r="B1371" i="2"/>
  <c r="A1371" i="2"/>
  <c r="AX1370" i="2"/>
  <c r="AV1370" i="2"/>
  <c r="AU1370" i="2"/>
  <c r="AO1370" i="2"/>
  <c r="AM1370" i="2"/>
  <c r="AL1370" i="2"/>
  <c r="AK1370" i="2"/>
  <c r="AJ1370" i="2"/>
  <c r="AI1370" i="2"/>
  <c r="AH1370" i="2"/>
  <c r="AG1370" i="2"/>
  <c r="AE1370" i="2"/>
  <c r="AD1370" i="2"/>
  <c r="AC1370" i="2"/>
  <c r="AA1370" i="2"/>
  <c r="Z1370" i="2"/>
  <c r="Y1370" i="2"/>
  <c r="X1370" i="2"/>
  <c r="W1370" i="2"/>
  <c r="V1370" i="2"/>
  <c r="U1370" i="2"/>
  <c r="T1370" i="2"/>
  <c r="S1370" i="2"/>
  <c r="R1370" i="2"/>
  <c r="Q1370" i="2"/>
  <c r="P1370" i="2"/>
  <c r="O1370" i="2"/>
  <c r="N1370" i="2"/>
  <c r="M1370" i="2"/>
  <c r="L1370" i="2"/>
  <c r="K1370" i="2"/>
  <c r="J1370" i="2"/>
  <c r="I1370" i="2"/>
  <c r="H1370" i="2"/>
  <c r="G1370" i="2"/>
  <c r="F1370" i="2"/>
  <c r="E1370" i="2"/>
  <c r="D1370" i="2"/>
  <c r="C1370" i="2"/>
  <c r="B1370" i="2"/>
  <c r="A1370" i="2"/>
  <c r="AX1369" i="2"/>
  <c r="AV1369" i="2"/>
  <c r="AU1369" i="2"/>
  <c r="AS1369" i="2"/>
  <c r="AR1369" i="2"/>
  <c r="AO1369" i="2"/>
  <c r="AM1369" i="2"/>
  <c r="AK1369" i="2"/>
  <c r="AJ1369" i="2"/>
  <c r="AI1369" i="2"/>
  <c r="AH1369" i="2"/>
  <c r="AE1369" i="2"/>
  <c r="AD1369" i="2"/>
  <c r="AC1369" i="2"/>
  <c r="AA1369" i="2"/>
  <c r="Z1369" i="2"/>
  <c r="Y1369" i="2"/>
  <c r="X1369" i="2"/>
  <c r="W1369" i="2"/>
  <c r="V1369" i="2"/>
  <c r="U1369" i="2"/>
  <c r="T1369" i="2"/>
  <c r="S1369" i="2"/>
  <c r="R1369" i="2"/>
  <c r="Q1369" i="2"/>
  <c r="P1369" i="2"/>
  <c r="O1369" i="2"/>
  <c r="N1369" i="2"/>
  <c r="M1369" i="2"/>
  <c r="L1369" i="2"/>
  <c r="K1369" i="2"/>
  <c r="J1369" i="2"/>
  <c r="I1369" i="2"/>
  <c r="H1369" i="2"/>
  <c r="G1369" i="2"/>
  <c r="F1369" i="2"/>
  <c r="E1369" i="2"/>
  <c r="D1369" i="2"/>
  <c r="C1369" i="2"/>
  <c r="B1369" i="2"/>
  <c r="A1369" i="2"/>
  <c r="AX1368" i="2"/>
  <c r="AV1368" i="2"/>
  <c r="AU1368" i="2"/>
  <c r="AR1368" i="2"/>
  <c r="AO1368" i="2"/>
  <c r="AM1368" i="2"/>
  <c r="AK1368" i="2"/>
  <c r="AJ1368" i="2"/>
  <c r="AI1368" i="2"/>
  <c r="AH1368" i="2"/>
  <c r="AG1368" i="2"/>
  <c r="AF1368" i="2"/>
  <c r="AE1368" i="2"/>
  <c r="AD1368" i="2"/>
  <c r="AC1368" i="2"/>
  <c r="AA1368" i="2"/>
  <c r="Z1368" i="2"/>
  <c r="Y1368" i="2"/>
  <c r="X1368" i="2"/>
  <c r="W1368" i="2"/>
  <c r="V1368" i="2"/>
  <c r="U1368" i="2"/>
  <c r="T1368" i="2"/>
  <c r="S1368" i="2"/>
  <c r="R1368" i="2"/>
  <c r="Q1368" i="2"/>
  <c r="P1368" i="2"/>
  <c r="O1368" i="2"/>
  <c r="N1368" i="2"/>
  <c r="M1368" i="2"/>
  <c r="L1368" i="2"/>
  <c r="K1368" i="2"/>
  <c r="J1368" i="2"/>
  <c r="I1368" i="2"/>
  <c r="H1368" i="2"/>
  <c r="G1368" i="2"/>
  <c r="F1368" i="2"/>
  <c r="E1368" i="2"/>
  <c r="D1368" i="2"/>
  <c r="C1368" i="2"/>
  <c r="B1368" i="2"/>
  <c r="A1368" i="2"/>
  <c r="AX1367" i="2"/>
  <c r="AV1367" i="2"/>
  <c r="AU1367" i="2"/>
  <c r="AT1367" i="2"/>
  <c r="AS1367" i="2"/>
  <c r="AR1367" i="2"/>
  <c r="AP1367" i="2"/>
  <c r="AO1367" i="2"/>
  <c r="AM1367" i="2"/>
  <c r="AL1367" i="2"/>
  <c r="AK1367" i="2"/>
  <c r="AJ1367" i="2"/>
  <c r="AI1367" i="2"/>
  <c r="AH1367" i="2"/>
  <c r="AG1367" i="2"/>
  <c r="AE1367" i="2"/>
  <c r="AD1367" i="2"/>
  <c r="AC1367" i="2"/>
  <c r="AA1367" i="2"/>
  <c r="Z1367" i="2"/>
  <c r="Y1367" i="2"/>
  <c r="X1367" i="2"/>
  <c r="W1367" i="2"/>
  <c r="V1367" i="2"/>
  <c r="U1367" i="2"/>
  <c r="T1367" i="2"/>
  <c r="S1367" i="2"/>
  <c r="R1367" i="2"/>
  <c r="Q1367" i="2"/>
  <c r="P1367" i="2"/>
  <c r="O1367" i="2"/>
  <c r="N1367" i="2"/>
  <c r="M1367" i="2"/>
  <c r="L1367" i="2"/>
  <c r="K1367" i="2"/>
  <c r="J1367" i="2"/>
  <c r="I1367" i="2"/>
  <c r="H1367" i="2"/>
  <c r="G1367" i="2"/>
  <c r="F1367" i="2"/>
  <c r="E1367" i="2"/>
  <c r="D1367" i="2"/>
  <c r="C1367" i="2"/>
  <c r="B1367" i="2"/>
  <c r="A1367" i="2"/>
  <c r="AX1366" i="2"/>
  <c r="AV1366" i="2"/>
  <c r="AU1366" i="2"/>
  <c r="AT1366" i="2"/>
  <c r="AO1366" i="2"/>
  <c r="AM1366" i="2"/>
  <c r="AL1366" i="2"/>
  <c r="AK1366" i="2"/>
  <c r="AJ1366" i="2"/>
  <c r="AI1366" i="2"/>
  <c r="AH1366" i="2"/>
  <c r="AG1366" i="2"/>
  <c r="AE1366" i="2"/>
  <c r="AD1366" i="2"/>
  <c r="AC1366" i="2"/>
  <c r="AA1366" i="2"/>
  <c r="Z1366" i="2"/>
  <c r="Y1366" i="2"/>
  <c r="X1366" i="2"/>
  <c r="W1366" i="2"/>
  <c r="V1366" i="2"/>
  <c r="U1366" i="2"/>
  <c r="T1366" i="2"/>
  <c r="S1366" i="2"/>
  <c r="R1366" i="2"/>
  <c r="Q1366" i="2"/>
  <c r="P1366" i="2"/>
  <c r="O1366" i="2"/>
  <c r="N1366" i="2"/>
  <c r="M1366" i="2"/>
  <c r="L1366" i="2"/>
  <c r="K1366" i="2"/>
  <c r="J1366" i="2"/>
  <c r="I1366" i="2"/>
  <c r="H1366" i="2"/>
  <c r="G1366" i="2"/>
  <c r="F1366" i="2"/>
  <c r="E1366" i="2"/>
  <c r="D1366" i="2"/>
  <c r="C1366" i="2"/>
  <c r="B1366" i="2"/>
  <c r="A1366" i="2"/>
  <c r="AX1365" i="2"/>
  <c r="AV1365" i="2"/>
  <c r="AU1365" i="2"/>
  <c r="AT1365" i="2"/>
  <c r="AS1365" i="2"/>
  <c r="AR1365" i="2"/>
  <c r="AM1365" i="2"/>
  <c r="AL1365" i="2"/>
  <c r="AK1365" i="2"/>
  <c r="AI1365" i="2"/>
  <c r="AH1365" i="2"/>
  <c r="AG1365" i="2"/>
  <c r="AE1365" i="2"/>
  <c r="AD1365" i="2"/>
  <c r="AC1365" i="2"/>
  <c r="AA1365" i="2"/>
  <c r="Z1365" i="2"/>
  <c r="Y1365" i="2"/>
  <c r="X1365" i="2"/>
  <c r="V1365" i="2"/>
  <c r="U1365" i="2"/>
  <c r="T1365" i="2"/>
  <c r="S1365" i="2"/>
  <c r="R1365" i="2"/>
  <c r="Q1365" i="2"/>
  <c r="P1365" i="2"/>
  <c r="O1365" i="2"/>
  <c r="N1365" i="2"/>
  <c r="M1365" i="2"/>
  <c r="L1365" i="2"/>
  <c r="K1365" i="2"/>
  <c r="J1365" i="2"/>
  <c r="I1365" i="2"/>
  <c r="H1365" i="2"/>
  <c r="G1365" i="2"/>
  <c r="F1365" i="2"/>
  <c r="E1365" i="2"/>
  <c r="D1365" i="2"/>
  <c r="C1365" i="2"/>
  <c r="B1365" i="2"/>
  <c r="A1365" i="2"/>
  <c r="AX1364" i="2"/>
  <c r="AV1364" i="2"/>
  <c r="AU1364" i="2"/>
  <c r="AR1364" i="2"/>
  <c r="AO1364" i="2"/>
  <c r="AM1364" i="2"/>
  <c r="AK1364" i="2"/>
  <c r="AJ1364" i="2"/>
  <c r="AI1364" i="2"/>
  <c r="AH1364" i="2"/>
  <c r="AG1364" i="2"/>
  <c r="AE1364" i="2"/>
  <c r="AD1364" i="2"/>
  <c r="AC1364" i="2"/>
  <c r="Z1364" i="2"/>
  <c r="Y1364" i="2"/>
  <c r="X1364" i="2"/>
  <c r="V1364" i="2"/>
  <c r="U1364" i="2"/>
  <c r="T1364" i="2"/>
  <c r="S1364" i="2"/>
  <c r="R1364" i="2"/>
  <c r="Q1364" i="2"/>
  <c r="P1364" i="2"/>
  <c r="O1364" i="2"/>
  <c r="N1364" i="2"/>
  <c r="M1364" i="2"/>
  <c r="L1364" i="2"/>
  <c r="K1364" i="2"/>
  <c r="J1364" i="2"/>
  <c r="I1364" i="2"/>
  <c r="H1364" i="2"/>
  <c r="G1364" i="2"/>
  <c r="F1364" i="2"/>
  <c r="E1364" i="2"/>
  <c r="D1364" i="2"/>
  <c r="C1364" i="2"/>
  <c r="B1364" i="2"/>
  <c r="A1364" i="2"/>
  <c r="AX1363" i="2"/>
  <c r="AV1363" i="2"/>
  <c r="AU1363" i="2"/>
  <c r="AR1363" i="2"/>
  <c r="AO1363" i="2"/>
  <c r="AM1363" i="2"/>
  <c r="AK1363" i="2"/>
  <c r="AI1363" i="2"/>
  <c r="AH1363" i="2"/>
  <c r="AG1363" i="2"/>
  <c r="AE1363" i="2"/>
  <c r="AC1363" i="2"/>
  <c r="Z1363" i="2"/>
  <c r="Y1363" i="2"/>
  <c r="X1363" i="2"/>
  <c r="W1363" i="2"/>
  <c r="V1363" i="2"/>
  <c r="U1363" i="2"/>
  <c r="T1363" i="2"/>
  <c r="S1363" i="2"/>
  <c r="R1363" i="2"/>
  <c r="Q1363" i="2"/>
  <c r="P1363" i="2"/>
  <c r="O1363" i="2"/>
  <c r="N1363" i="2"/>
  <c r="M1363" i="2"/>
  <c r="L1363" i="2"/>
  <c r="K1363" i="2"/>
  <c r="J1363" i="2"/>
  <c r="I1363" i="2"/>
  <c r="H1363" i="2"/>
  <c r="G1363" i="2"/>
  <c r="F1363" i="2"/>
  <c r="E1363" i="2"/>
  <c r="D1363" i="2"/>
  <c r="C1363" i="2"/>
  <c r="B1363" i="2"/>
  <c r="A1363" i="2"/>
  <c r="AX1362" i="2"/>
  <c r="AV1362" i="2"/>
  <c r="AU1362" i="2"/>
  <c r="AR1362" i="2"/>
  <c r="AO1362" i="2"/>
  <c r="AM1362" i="2"/>
  <c r="AK1362" i="2"/>
  <c r="AJ1362" i="2"/>
  <c r="AI1362" i="2"/>
  <c r="AH1362" i="2"/>
  <c r="AG1362" i="2"/>
  <c r="AF1362" i="2"/>
  <c r="AE1362" i="2"/>
  <c r="AD1362" i="2"/>
  <c r="AC1362" i="2"/>
  <c r="AA1362" i="2"/>
  <c r="Z1362" i="2"/>
  <c r="Y1362" i="2"/>
  <c r="X1362" i="2"/>
  <c r="W1362" i="2"/>
  <c r="V1362" i="2"/>
  <c r="U1362" i="2"/>
  <c r="T1362" i="2"/>
  <c r="S1362" i="2"/>
  <c r="R1362" i="2"/>
  <c r="Q1362" i="2"/>
  <c r="P1362" i="2"/>
  <c r="N1362" i="2"/>
  <c r="M1362" i="2"/>
  <c r="L1362" i="2"/>
  <c r="K1362" i="2"/>
  <c r="J1362" i="2"/>
  <c r="I1362" i="2"/>
  <c r="H1362" i="2"/>
  <c r="G1362" i="2"/>
  <c r="F1362" i="2"/>
  <c r="E1362" i="2"/>
  <c r="D1362" i="2"/>
  <c r="C1362" i="2"/>
  <c r="B1362" i="2"/>
  <c r="A1362" i="2"/>
  <c r="AX1361" i="2"/>
  <c r="AV1361" i="2"/>
  <c r="AU1361" i="2"/>
  <c r="AR1361" i="2"/>
  <c r="AP1361" i="2"/>
  <c r="AO1361" i="2"/>
  <c r="AM1361" i="2"/>
  <c r="AK1361" i="2"/>
  <c r="AJ1361" i="2"/>
  <c r="AI1361" i="2"/>
  <c r="AH1361" i="2"/>
  <c r="AG1361" i="2"/>
  <c r="AE1361" i="2"/>
  <c r="AD1361" i="2"/>
  <c r="AC1361" i="2"/>
  <c r="AA1361" i="2"/>
  <c r="Z1361" i="2"/>
  <c r="Y1361" i="2"/>
  <c r="X1361" i="2"/>
  <c r="W1361" i="2"/>
  <c r="V1361" i="2"/>
  <c r="U1361" i="2"/>
  <c r="T1361" i="2"/>
  <c r="S1361" i="2"/>
  <c r="R1361" i="2"/>
  <c r="Q1361" i="2"/>
  <c r="P1361" i="2"/>
  <c r="N1361" i="2"/>
  <c r="M1361" i="2"/>
  <c r="L1361" i="2"/>
  <c r="K1361" i="2"/>
  <c r="J1361" i="2"/>
  <c r="I1361" i="2"/>
  <c r="H1361" i="2"/>
  <c r="G1361" i="2"/>
  <c r="F1361" i="2"/>
  <c r="E1361" i="2"/>
  <c r="D1361" i="2"/>
  <c r="C1361" i="2"/>
  <c r="B1361" i="2"/>
  <c r="A1361" i="2"/>
  <c r="AX1360" i="2"/>
  <c r="AV1360" i="2"/>
  <c r="AU1360" i="2"/>
  <c r="AT1360" i="2"/>
  <c r="AR1360" i="2"/>
  <c r="AO1360" i="2"/>
  <c r="AM1360" i="2"/>
  <c r="AK1360" i="2"/>
  <c r="AJ1360" i="2"/>
  <c r="AI1360" i="2"/>
  <c r="AH1360" i="2"/>
  <c r="AG1360" i="2"/>
  <c r="AF1360" i="2"/>
  <c r="AE1360" i="2"/>
  <c r="AD1360" i="2"/>
  <c r="AC1360" i="2"/>
  <c r="AA1360" i="2"/>
  <c r="Z1360" i="2"/>
  <c r="Y1360" i="2"/>
  <c r="X1360" i="2"/>
  <c r="W1360" i="2"/>
  <c r="V1360" i="2"/>
  <c r="U1360" i="2"/>
  <c r="T1360" i="2"/>
  <c r="S1360" i="2"/>
  <c r="R1360" i="2"/>
  <c r="Q1360" i="2"/>
  <c r="P1360" i="2"/>
  <c r="O1360" i="2"/>
  <c r="N1360" i="2"/>
  <c r="M1360" i="2"/>
  <c r="L1360" i="2"/>
  <c r="K1360" i="2"/>
  <c r="J1360" i="2"/>
  <c r="I1360" i="2"/>
  <c r="H1360" i="2"/>
  <c r="G1360" i="2"/>
  <c r="F1360" i="2"/>
  <c r="E1360" i="2"/>
  <c r="D1360" i="2"/>
  <c r="C1360" i="2"/>
  <c r="B1360" i="2"/>
  <c r="A1360" i="2"/>
  <c r="AX1359" i="2"/>
  <c r="AV1359" i="2"/>
  <c r="AU1359" i="2"/>
  <c r="AS1359" i="2"/>
  <c r="AR1359" i="2"/>
  <c r="AO1359" i="2"/>
  <c r="AM1359" i="2"/>
  <c r="AK1359" i="2"/>
  <c r="AJ1359" i="2"/>
  <c r="AI1359" i="2"/>
  <c r="AH1359" i="2"/>
  <c r="AG1359" i="2"/>
  <c r="AF1359" i="2"/>
  <c r="AE1359" i="2"/>
  <c r="AD1359" i="2"/>
  <c r="AC1359" i="2"/>
  <c r="AA1359" i="2"/>
  <c r="Z1359" i="2"/>
  <c r="Y1359" i="2"/>
  <c r="X1359" i="2"/>
  <c r="W1359" i="2"/>
  <c r="V1359" i="2"/>
  <c r="U1359" i="2"/>
  <c r="T1359" i="2"/>
  <c r="S1359" i="2"/>
  <c r="R1359" i="2"/>
  <c r="Q1359" i="2"/>
  <c r="P1359" i="2"/>
  <c r="O1359" i="2"/>
  <c r="N1359" i="2"/>
  <c r="M1359" i="2"/>
  <c r="L1359" i="2"/>
  <c r="K1359" i="2"/>
  <c r="J1359" i="2"/>
  <c r="I1359" i="2"/>
  <c r="H1359" i="2"/>
  <c r="G1359" i="2"/>
  <c r="F1359" i="2"/>
  <c r="E1359" i="2"/>
  <c r="D1359" i="2"/>
  <c r="C1359" i="2"/>
  <c r="B1359" i="2"/>
  <c r="A1359" i="2"/>
  <c r="AX1358" i="2"/>
  <c r="AV1358" i="2"/>
  <c r="AU1358" i="2"/>
  <c r="AT1358" i="2"/>
  <c r="AR1358" i="2"/>
  <c r="AQ1358" i="2"/>
  <c r="AP1358" i="2"/>
  <c r="AO1358" i="2"/>
  <c r="AM1358" i="2"/>
  <c r="AL1358" i="2"/>
  <c r="AK1358" i="2"/>
  <c r="AJ1358" i="2"/>
  <c r="AI1358" i="2"/>
  <c r="AH1358" i="2"/>
  <c r="AG1358" i="2"/>
  <c r="AE1358" i="2"/>
  <c r="AD1358" i="2"/>
  <c r="AC1358" i="2"/>
  <c r="AA1358" i="2"/>
  <c r="Z1358" i="2"/>
  <c r="Y1358" i="2"/>
  <c r="X1358" i="2"/>
  <c r="W1358" i="2"/>
  <c r="V1358" i="2"/>
  <c r="U1358" i="2"/>
  <c r="T1358" i="2"/>
  <c r="S1358" i="2"/>
  <c r="R1358" i="2"/>
  <c r="Q1358" i="2"/>
  <c r="P1358" i="2"/>
  <c r="O1358" i="2"/>
  <c r="N1358" i="2"/>
  <c r="M1358" i="2"/>
  <c r="L1358" i="2"/>
  <c r="K1358" i="2"/>
  <c r="J1358" i="2"/>
  <c r="I1358" i="2"/>
  <c r="H1358" i="2"/>
  <c r="G1358" i="2"/>
  <c r="F1358" i="2"/>
  <c r="E1358" i="2"/>
  <c r="D1358" i="2"/>
  <c r="C1358" i="2"/>
  <c r="B1358" i="2"/>
  <c r="A1358" i="2"/>
  <c r="AX1357" i="2"/>
  <c r="AV1357" i="2"/>
  <c r="AU1357" i="2"/>
  <c r="AT1357" i="2"/>
  <c r="AR1357" i="2"/>
  <c r="AO1357" i="2"/>
  <c r="AM1357" i="2"/>
  <c r="AK1357" i="2"/>
  <c r="AJ1357" i="2"/>
  <c r="AI1357" i="2"/>
  <c r="AH1357" i="2"/>
  <c r="AG1357" i="2"/>
  <c r="AE1357" i="2"/>
  <c r="AC1357" i="2"/>
  <c r="AA1357" i="2"/>
  <c r="Z1357" i="2"/>
  <c r="Y1357" i="2"/>
  <c r="X1357" i="2"/>
  <c r="W1357" i="2"/>
  <c r="V1357" i="2"/>
  <c r="U1357" i="2"/>
  <c r="T1357" i="2"/>
  <c r="S1357" i="2"/>
  <c r="R1357" i="2"/>
  <c r="Q1357" i="2"/>
  <c r="P1357" i="2"/>
  <c r="N1357" i="2"/>
  <c r="M1357" i="2"/>
  <c r="L1357" i="2"/>
  <c r="K1357" i="2"/>
  <c r="J1357" i="2"/>
  <c r="I1357" i="2"/>
  <c r="H1357" i="2"/>
  <c r="G1357" i="2"/>
  <c r="F1357" i="2"/>
  <c r="E1357" i="2"/>
  <c r="D1357" i="2"/>
  <c r="C1357" i="2"/>
  <c r="B1357" i="2"/>
  <c r="A1357" i="2"/>
  <c r="AX1356" i="2"/>
  <c r="AV1356" i="2"/>
  <c r="AU1356" i="2"/>
  <c r="AR1356" i="2"/>
  <c r="AO1356" i="2"/>
  <c r="AM1356" i="2"/>
  <c r="AL1356" i="2"/>
  <c r="AK1356" i="2"/>
  <c r="AJ1356" i="2"/>
  <c r="AI1356" i="2"/>
  <c r="AH1356" i="2"/>
  <c r="AG1356" i="2"/>
  <c r="AF1356" i="2"/>
  <c r="AE1356" i="2"/>
  <c r="AD1356" i="2"/>
  <c r="AC1356" i="2"/>
  <c r="AA1356" i="2"/>
  <c r="Z1356" i="2"/>
  <c r="Y1356" i="2"/>
  <c r="X1356" i="2"/>
  <c r="W1356" i="2"/>
  <c r="V1356" i="2"/>
  <c r="U1356" i="2"/>
  <c r="T1356" i="2"/>
  <c r="S1356" i="2"/>
  <c r="R1356" i="2"/>
  <c r="Q1356" i="2"/>
  <c r="P1356" i="2"/>
  <c r="O1356" i="2"/>
  <c r="N1356" i="2"/>
  <c r="M1356" i="2"/>
  <c r="L1356" i="2"/>
  <c r="K1356" i="2"/>
  <c r="J1356" i="2"/>
  <c r="I1356" i="2"/>
  <c r="H1356" i="2"/>
  <c r="G1356" i="2"/>
  <c r="F1356" i="2"/>
  <c r="E1356" i="2"/>
  <c r="D1356" i="2"/>
  <c r="C1356" i="2"/>
  <c r="B1356" i="2"/>
  <c r="A1356" i="2"/>
  <c r="AX1355" i="2"/>
  <c r="AV1355" i="2"/>
  <c r="AU1355" i="2"/>
  <c r="AR1355" i="2"/>
  <c r="AO1355" i="2"/>
  <c r="AM1355" i="2"/>
  <c r="AL1355" i="2"/>
  <c r="AK1355" i="2"/>
  <c r="AI1355" i="2"/>
  <c r="AH1355" i="2"/>
  <c r="AG1355" i="2"/>
  <c r="AD1355" i="2"/>
  <c r="AC1355" i="2"/>
  <c r="AA1355" i="2"/>
  <c r="Z1355" i="2"/>
  <c r="Y1355" i="2"/>
  <c r="X1355" i="2"/>
  <c r="W1355" i="2"/>
  <c r="V1355" i="2"/>
  <c r="U1355" i="2"/>
  <c r="T1355" i="2"/>
  <c r="S1355" i="2"/>
  <c r="R1355" i="2"/>
  <c r="Q1355" i="2"/>
  <c r="P1355" i="2"/>
  <c r="O1355" i="2"/>
  <c r="N1355" i="2"/>
  <c r="M1355" i="2"/>
  <c r="L1355" i="2"/>
  <c r="K1355" i="2"/>
  <c r="J1355" i="2"/>
  <c r="I1355" i="2"/>
  <c r="H1355" i="2"/>
  <c r="G1355" i="2"/>
  <c r="F1355" i="2"/>
  <c r="E1355" i="2"/>
  <c r="D1355" i="2"/>
  <c r="C1355" i="2"/>
  <c r="B1355" i="2"/>
  <c r="A1355" i="2"/>
  <c r="AX1354" i="2"/>
  <c r="AV1354" i="2"/>
  <c r="AU1354" i="2"/>
  <c r="AS1354" i="2"/>
  <c r="AR1354" i="2"/>
  <c r="AO1354" i="2"/>
  <c r="AL1354" i="2"/>
  <c r="AK1354" i="2"/>
  <c r="AJ1354" i="2"/>
  <c r="AI1354" i="2"/>
  <c r="AH1354" i="2"/>
  <c r="AG1354" i="2"/>
  <c r="AE1354" i="2"/>
  <c r="AD1354" i="2"/>
  <c r="AC1354" i="2"/>
  <c r="AA1354" i="2"/>
  <c r="Z1354" i="2"/>
  <c r="Y1354" i="2"/>
  <c r="X1354" i="2"/>
  <c r="W1354" i="2"/>
  <c r="V1354" i="2"/>
  <c r="U1354" i="2"/>
  <c r="T1354" i="2"/>
  <c r="S1354" i="2"/>
  <c r="R1354" i="2"/>
  <c r="Q1354" i="2"/>
  <c r="P1354" i="2"/>
  <c r="O1354" i="2"/>
  <c r="N1354" i="2"/>
  <c r="M1354" i="2"/>
  <c r="L1354" i="2"/>
  <c r="K1354" i="2"/>
  <c r="J1354" i="2"/>
  <c r="I1354" i="2"/>
  <c r="H1354" i="2"/>
  <c r="G1354" i="2"/>
  <c r="F1354" i="2"/>
  <c r="E1354" i="2"/>
  <c r="D1354" i="2"/>
  <c r="C1354" i="2"/>
  <c r="B1354" i="2"/>
  <c r="A1354" i="2"/>
  <c r="AX1353" i="2"/>
  <c r="AV1353" i="2"/>
  <c r="AU1353" i="2"/>
  <c r="AR1353" i="2"/>
  <c r="AO1353" i="2"/>
  <c r="AM1353" i="2"/>
  <c r="AK1353" i="2"/>
  <c r="AJ1353" i="2"/>
  <c r="AI1353" i="2"/>
  <c r="AH1353" i="2"/>
  <c r="AG1353" i="2"/>
  <c r="AE1353" i="2"/>
  <c r="AD1353" i="2"/>
  <c r="AC1353" i="2"/>
  <c r="Z1353" i="2"/>
  <c r="Y1353" i="2"/>
  <c r="X1353" i="2"/>
  <c r="W1353" i="2"/>
  <c r="V1353" i="2"/>
  <c r="U1353" i="2"/>
  <c r="T1353" i="2"/>
  <c r="S1353" i="2"/>
  <c r="R1353" i="2"/>
  <c r="Q1353" i="2"/>
  <c r="P1353" i="2"/>
  <c r="O1353" i="2"/>
  <c r="N1353" i="2"/>
  <c r="M1353" i="2"/>
  <c r="L1353" i="2"/>
  <c r="K1353" i="2"/>
  <c r="J1353" i="2"/>
  <c r="I1353" i="2"/>
  <c r="H1353" i="2"/>
  <c r="G1353" i="2"/>
  <c r="F1353" i="2"/>
  <c r="E1353" i="2"/>
  <c r="D1353" i="2"/>
  <c r="C1353" i="2"/>
  <c r="B1353" i="2"/>
  <c r="A1353" i="2"/>
  <c r="AX1352" i="2"/>
  <c r="AV1352" i="2"/>
  <c r="AU1352" i="2"/>
  <c r="AR1352" i="2"/>
  <c r="AO1352" i="2"/>
  <c r="AN1352" i="2"/>
  <c r="AM1352" i="2"/>
  <c r="AL1352" i="2"/>
  <c r="AK1352" i="2"/>
  <c r="AJ1352" i="2"/>
  <c r="AI1352" i="2"/>
  <c r="AH1352" i="2"/>
  <c r="AG1352" i="2"/>
  <c r="AE1352" i="2"/>
  <c r="AD1352" i="2"/>
  <c r="AC1352" i="2"/>
  <c r="AA1352" i="2"/>
  <c r="Z1352" i="2"/>
  <c r="Y1352" i="2"/>
  <c r="X1352" i="2"/>
  <c r="W1352" i="2"/>
  <c r="V1352" i="2"/>
  <c r="U1352" i="2"/>
  <c r="T1352" i="2"/>
  <c r="S1352" i="2"/>
  <c r="R1352" i="2"/>
  <c r="Q1352" i="2"/>
  <c r="P1352" i="2"/>
  <c r="O1352" i="2"/>
  <c r="N1352" i="2"/>
  <c r="M1352" i="2"/>
  <c r="L1352" i="2"/>
  <c r="K1352" i="2"/>
  <c r="J1352" i="2"/>
  <c r="I1352" i="2"/>
  <c r="H1352" i="2"/>
  <c r="G1352" i="2"/>
  <c r="F1352" i="2"/>
  <c r="E1352" i="2"/>
  <c r="D1352" i="2"/>
  <c r="C1352" i="2"/>
  <c r="B1352" i="2"/>
  <c r="A1352" i="2"/>
  <c r="AX1351" i="2"/>
  <c r="AV1351" i="2"/>
  <c r="AU1351" i="2"/>
  <c r="AR1351" i="2"/>
  <c r="AP1351" i="2"/>
  <c r="AO1351" i="2"/>
  <c r="AM1351" i="2"/>
  <c r="AK1351" i="2"/>
  <c r="AJ1351" i="2"/>
  <c r="AI1351" i="2"/>
  <c r="AH1351" i="2"/>
  <c r="AG1351" i="2"/>
  <c r="AF1351" i="2"/>
  <c r="AE1351" i="2"/>
  <c r="AC1351" i="2"/>
  <c r="Z1351" i="2"/>
  <c r="Y1351" i="2"/>
  <c r="X1351" i="2"/>
  <c r="W1351" i="2"/>
  <c r="V1351" i="2"/>
  <c r="U1351" i="2"/>
  <c r="T1351" i="2"/>
  <c r="S1351" i="2"/>
  <c r="R1351" i="2"/>
  <c r="Q1351" i="2"/>
  <c r="P1351" i="2"/>
  <c r="O1351" i="2"/>
  <c r="N1351" i="2"/>
  <c r="M1351" i="2"/>
  <c r="L1351" i="2"/>
  <c r="K1351" i="2"/>
  <c r="J1351" i="2"/>
  <c r="I1351" i="2"/>
  <c r="H1351" i="2"/>
  <c r="G1351" i="2"/>
  <c r="F1351" i="2"/>
  <c r="E1351" i="2"/>
  <c r="D1351" i="2"/>
  <c r="C1351" i="2"/>
  <c r="B1351" i="2"/>
  <c r="A1351" i="2"/>
  <c r="AX1350" i="2"/>
  <c r="AV1350" i="2"/>
  <c r="AU1350" i="2"/>
  <c r="AR1350" i="2"/>
  <c r="AO1350" i="2"/>
  <c r="AM1350" i="2"/>
  <c r="AL1350" i="2"/>
  <c r="AK1350" i="2"/>
  <c r="AJ1350" i="2"/>
  <c r="AI1350" i="2"/>
  <c r="AH1350" i="2"/>
  <c r="AG1350" i="2"/>
  <c r="AF1350" i="2"/>
  <c r="AE1350" i="2"/>
  <c r="AD1350" i="2"/>
  <c r="AC1350" i="2"/>
  <c r="AA1350" i="2"/>
  <c r="Z1350" i="2"/>
  <c r="Y1350" i="2"/>
  <c r="X1350" i="2"/>
  <c r="W1350" i="2"/>
  <c r="V1350" i="2"/>
  <c r="U1350" i="2"/>
  <c r="T1350" i="2"/>
  <c r="S1350" i="2"/>
  <c r="R1350" i="2"/>
  <c r="Q1350" i="2"/>
  <c r="P1350" i="2"/>
  <c r="O1350" i="2"/>
  <c r="N1350" i="2"/>
  <c r="M1350" i="2"/>
  <c r="L1350" i="2"/>
  <c r="K1350" i="2"/>
  <c r="J1350" i="2"/>
  <c r="I1350" i="2"/>
  <c r="H1350" i="2"/>
  <c r="G1350" i="2"/>
  <c r="F1350" i="2"/>
  <c r="E1350" i="2"/>
  <c r="D1350" i="2"/>
  <c r="C1350" i="2"/>
  <c r="B1350" i="2"/>
  <c r="A1350" i="2"/>
  <c r="AX1349" i="2"/>
  <c r="AV1349" i="2"/>
  <c r="AU1349" i="2"/>
  <c r="AR1349" i="2"/>
  <c r="AQ1349" i="2"/>
  <c r="AP1349" i="2"/>
  <c r="AO1349" i="2"/>
  <c r="AM1349" i="2"/>
  <c r="AL1349" i="2"/>
  <c r="AK1349" i="2"/>
  <c r="AJ1349" i="2"/>
  <c r="AI1349" i="2"/>
  <c r="AH1349" i="2"/>
  <c r="AG1349" i="2"/>
  <c r="AE1349" i="2"/>
  <c r="AD1349" i="2"/>
  <c r="AC1349" i="2"/>
  <c r="AA1349" i="2"/>
  <c r="Z1349" i="2"/>
  <c r="Y1349" i="2"/>
  <c r="X1349" i="2"/>
  <c r="W1349" i="2"/>
  <c r="V1349" i="2"/>
  <c r="U1349" i="2"/>
  <c r="T1349" i="2"/>
  <c r="S1349" i="2"/>
  <c r="R1349" i="2"/>
  <c r="Q1349" i="2"/>
  <c r="P1349" i="2"/>
  <c r="O1349" i="2"/>
  <c r="N1349" i="2"/>
  <c r="M1349" i="2"/>
  <c r="L1349" i="2"/>
  <c r="K1349" i="2"/>
  <c r="J1349" i="2"/>
  <c r="I1349" i="2"/>
  <c r="H1349" i="2"/>
  <c r="G1349" i="2"/>
  <c r="F1349" i="2"/>
  <c r="E1349" i="2"/>
  <c r="D1349" i="2"/>
  <c r="C1349" i="2"/>
  <c r="B1349" i="2"/>
  <c r="A1349" i="2"/>
  <c r="AX1348" i="2"/>
  <c r="AV1348" i="2"/>
  <c r="AU1348" i="2"/>
  <c r="AR1348" i="2"/>
  <c r="AO1348" i="2"/>
  <c r="AM1348" i="2"/>
  <c r="AK1348" i="2"/>
  <c r="AJ1348" i="2"/>
  <c r="AI1348" i="2"/>
  <c r="AH1348" i="2"/>
  <c r="AG1348" i="2"/>
  <c r="AC1348" i="2"/>
  <c r="AA1348" i="2"/>
  <c r="Z1348" i="2"/>
  <c r="Y1348" i="2"/>
  <c r="X1348" i="2"/>
  <c r="W1348" i="2"/>
  <c r="V1348" i="2"/>
  <c r="U1348" i="2"/>
  <c r="T1348" i="2"/>
  <c r="S1348" i="2"/>
  <c r="R1348" i="2"/>
  <c r="Q1348" i="2"/>
  <c r="P1348" i="2"/>
  <c r="O1348" i="2"/>
  <c r="N1348" i="2"/>
  <c r="M1348" i="2"/>
  <c r="L1348" i="2"/>
  <c r="K1348" i="2"/>
  <c r="J1348" i="2"/>
  <c r="I1348" i="2"/>
  <c r="H1348" i="2"/>
  <c r="G1348" i="2"/>
  <c r="F1348" i="2"/>
  <c r="E1348" i="2"/>
  <c r="D1348" i="2"/>
  <c r="C1348" i="2"/>
  <c r="B1348" i="2"/>
  <c r="A1348" i="2"/>
  <c r="AX1347" i="2"/>
  <c r="AV1347" i="2"/>
  <c r="AU1347" i="2"/>
  <c r="AR1347" i="2"/>
  <c r="AO1347" i="2"/>
  <c r="AM1347" i="2"/>
  <c r="AK1347" i="2"/>
  <c r="AJ1347" i="2"/>
  <c r="AI1347" i="2"/>
  <c r="AH1347" i="2"/>
  <c r="AG1347" i="2"/>
  <c r="AD1347" i="2"/>
  <c r="AC1347" i="2"/>
  <c r="AA1347" i="2"/>
  <c r="Z1347" i="2"/>
  <c r="Y1347" i="2"/>
  <c r="X1347" i="2"/>
  <c r="W1347" i="2"/>
  <c r="V1347" i="2"/>
  <c r="U1347" i="2"/>
  <c r="T1347" i="2"/>
  <c r="S1347" i="2"/>
  <c r="R1347" i="2"/>
  <c r="Q1347" i="2"/>
  <c r="P1347" i="2"/>
  <c r="O1347" i="2"/>
  <c r="N1347" i="2"/>
  <c r="M1347" i="2"/>
  <c r="L1347" i="2"/>
  <c r="K1347" i="2"/>
  <c r="J1347" i="2"/>
  <c r="I1347" i="2"/>
  <c r="H1347" i="2"/>
  <c r="G1347" i="2"/>
  <c r="F1347" i="2"/>
  <c r="E1347" i="2"/>
  <c r="D1347" i="2"/>
  <c r="C1347" i="2"/>
  <c r="B1347" i="2"/>
  <c r="A1347" i="2"/>
  <c r="AX1346" i="2"/>
  <c r="AV1346" i="2"/>
  <c r="AU1346" i="2"/>
  <c r="AR1346" i="2"/>
  <c r="AO1346" i="2"/>
  <c r="AM1346" i="2"/>
  <c r="AK1346" i="2"/>
  <c r="AJ1346" i="2"/>
  <c r="AI1346" i="2"/>
  <c r="AH1346" i="2"/>
  <c r="AG1346" i="2"/>
  <c r="AC1346" i="2"/>
  <c r="AA1346" i="2"/>
  <c r="Z1346" i="2"/>
  <c r="Y1346" i="2"/>
  <c r="X1346" i="2"/>
  <c r="W1346" i="2"/>
  <c r="V1346" i="2"/>
  <c r="U1346" i="2"/>
  <c r="T1346" i="2"/>
  <c r="S1346" i="2"/>
  <c r="R1346" i="2"/>
  <c r="Q1346" i="2"/>
  <c r="P1346" i="2"/>
  <c r="O1346" i="2"/>
  <c r="N1346" i="2"/>
  <c r="M1346" i="2"/>
  <c r="L1346" i="2"/>
  <c r="K1346" i="2"/>
  <c r="J1346" i="2"/>
  <c r="I1346" i="2"/>
  <c r="H1346" i="2"/>
  <c r="G1346" i="2"/>
  <c r="F1346" i="2"/>
  <c r="E1346" i="2"/>
  <c r="D1346" i="2"/>
  <c r="C1346" i="2"/>
  <c r="B1346" i="2"/>
  <c r="A1346" i="2"/>
  <c r="AX1345" i="2"/>
  <c r="AV1345" i="2"/>
  <c r="AU1345" i="2"/>
  <c r="AT1345" i="2"/>
  <c r="AR1345" i="2"/>
  <c r="AO1345" i="2"/>
  <c r="AM1345" i="2"/>
  <c r="AK1345" i="2"/>
  <c r="AJ1345" i="2"/>
  <c r="AI1345" i="2"/>
  <c r="AH1345" i="2"/>
  <c r="AG1345" i="2"/>
  <c r="AD1345" i="2"/>
  <c r="AC1345" i="2"/>
  <c r="AA1345" i="2"/>
  <c r="Z1345" i="2"/>
  <c r="Y1345" i="2"/>
  <c r="X1345" i="2"/>
  <c r="W1345" i="2"/>
  <c r="V1345" i="2"/>
  <c r="U1345" i="2"/>
  <c r="T1345" i="2"/>
  <c r="S1345" i="2"/>
  <c r="R1345" i="2"/>
  <c r="Q1345" i="2"/>
  <c r="P1345" i="2"/>
  <c r="O1345" i="2"/>
  <c r="N1345" i="2"/>
  <c r="M1345" i="2"/>
  <c r="L1345" i="2"/>
  <c r="K1345" i="2"/>
  <c r="J1345" i="2"/>
  <c r="I1345" i="2"/>
  <c r="H1345" i="2"/>
  <c r="G1345" i="2"/>
  <c r="F1345" i="2"/>
  <c r="E1345" i="2"/>
  <c r="D1345" i="2"/>
  <c r="C1345" i="2"/>
  <c r="B1345" i="2"/>
  <c r="A1345" i="2"/>
  <c r="AX1344" i="2"/>
  <c r="AV1344" i="2"/>
  <c r="AU1344" i="2"/>
  <c r="AR1344" i="2"/>
  <c r="AO1344" i="2"/>
  <c r="AM1344" i="2"/>
  <c r="AL1344" i="2"/>
  <c r="AK1344" i="2"/>
  <c r="AJ1344" i="2"/>
  <c r="AI1344" i="2"/>
  <c r="AH1344" i="2"/>
  <c r="AG1344" i="2"/>
  <c r="AE1344" i="2"/>
  <c r="AD1344" i="2"/>
  <c r="AC1344" i="2"/>
  <c r="AA1344" i="2"/>
  <c r="Z1344" i="2"/>
  <c r="Y1344" i="2"/>
  <c r="W1344" i="2"/>
  <c r="V1344" i="2"/>
  <c r="U1344" i="2"/>
  <c r="T1344" i="2"/>
  <c r="S1344" i="2"/>
  <c r="R1344" i="2"/>
  <c r="Q1344" i="2"/>
  <c r="P1344" i="2"/>
  <c r="O1344" i="2"/>
  <c r="N1344" i="2"/>
  <c r="M1344" i="2"/>
  <c r="L1344" i="2"/>
  <c r="K1344" i="2"/>
  <c r="J1344" i="2"/>
  <c r="I1344" i="2"/>
  <c r="H1344" i="2"/>
  <c r="G1344" i="2"/>
  <c r="F1344" i="2"/>
  <c r="E1344" i="2"/>
  <c r="D1344" i="2"/>
  <c r="C1344" i="2"/>
  <c r="B1344" i="2"/>
  <c r="A1344" i="2"/>
  <c r="AX1343" i="2"/>
  <c r="AV1343" i="2"/>
  <c r="AU1343" i="2"/>
  <c r="AR1343" i="2"/>
  <c r="AO1343" i="2"/>
  <c r="AM1343" i="2"/>
  <c r="AK1343" i="2"/>
  <c r="AJ1343" i="2"/>
  <c r="AI1343" i="2"/>
  <c r="AH1343" i="2"/>
  <c r="AG1343" i="2"/>
  <c r="AE1343" i="2"/>
  <c r="AC1343" i="2"/>
  <c r="Z1343" i="2"/>
  <c r="Y1343" i="2"/>
  <c r="X1343" i="2"/>
  <c r="W1343" i="2"/>
  <c r="V1343" i="2"/>
  <c r="U1343" i="2"/>
  <c r="T1343" i="2"/>
  <c r="S1343" i="2"/>
  <c r="R1343" i="2"/>
  <c r="Q1343" i="2"/>
  <c r="P1343" i="2"/>
  <c r="O1343" i="2"/>
  <c r="N1343" i="2"/>
  <c r="M1343" i="2"/>
  <c r="L1343" i="2"/>
  <c r="K1343" i="2"/>
  <c r="J1343" i="2"/>
  <c r="I1343" i="2"/>
  <c r="H1343" i="2"/>
  <c r="G1343" i="2"/>
  <c r="F1343" i="2"/>
  <c r="E1343" i="2"/>
  <c r="D1343" i="2"/>
  <c r="C1343" i="2"/>
  <c r="B1343" i="2"/>
  <c r="A1343" i="2"/>
  <c r="AX1342" i="2"/>
  <c r="AV1342" i="2"/>
  <c r="AU1342" i="2"/>
  <c r="AR1342" i="2"/>
  <c r="AO1342" i="2"/>
  <c r="AM1342" i="2"/>
  <c r="AL1342" i="2"/>
  <c r="AK1342" i="2"/>
  <c r="AJ1342" i="2"/>
  <c r="AI1342" i="2"/>
  <c r="AH1342" i="2"/>
  <c r="AG1342" i="2"/>
  <c r="AF1342" i="2"/>
  <c r="AE1342" i="2"/>
  <c r="AD1342" i="2"/>
  <c r="AC1342" i="2"/>
  <c r="AA1342" i="2"/>
  <c r="Z1342" i="2"/>
  <c r="Y1342" i="2"/>
  <c r="X1342" i="2"/>
  <c r="W1342" i="2"/>
  <c r="V1342" i="2"/>
  <c r="U1342" i="2"/>
  <c r="T1342" i="2"/>
  <c r="S1342" i="2"/>
  <c r="R1342" i="2"/>
  <c r="Q1342" i="2"/>
  <c r="P1342" i="2"/>
  <c r="O1342" i="2"/>
  <c r="N1342" i="2"/>
  <c r="M1342" i="2"/>
  <c r="L1342" i="2"/>
  <c r="K1342" i="2"/>
  <c r="J1342" i="2"/>
  <c r="I1342" i="2"/>
  <c r="H1342" i="2"/>
  <c r="G1342" i="2"/>
  <c r="F1342" i="2"/>
  <c r="E1342" i="2"/>
  <c r="D1342" i="2"/>
  <c r="C1342" i="2"/>
  <c r="B1342" i="2"/>
  <c r="A1342" i="2"/>
  <c r="AX1341" i="2"/>
  <c r="AV1341" i="2"/>
  <c r="AU1341" i="2"/>
  <c r="AR1341" i="2"/>
  <c r="AO1341" i="2"/>
  <c r="AM1341" i="2"/>
  <c r="AK1341" i="2"/>
  <c r="AJ1341" i="2"/>
  <c r="AI1341" i="2"/>
  <c r="AH1341" i="2"/>
  <c r="AG1341" i="2"/>
  <c r="AC1341" i="2"/>
  <c r="AA1341" i="2"/>
  <c r="Z1341" i="2"/>
  <c r="Y1341" i="2"/>
  <c r="X1341" i="2"/>
  <c r="W1341" i="2"/>
  <c r="V1341" i="2"/>
  <c r="U1341" i="2"/>
  <c r="T1341" i="2"/>
  <c r="S1341" i="2"/>
  <c r="R1341" i="2"/>
  <c r="Q1341" i="2"/>
  <c r="P1341" i="2"/>
  <c r="O1341" i="2"/>
  <c r="N1341" i="2"/>
  <c r="M1341" i="2"/>
  <c r="L1341" i="2"/>
  <c r="K1341" i="2"/>
  <c r="J1341" i="2"/>
  <c r="I1341" i="2"/>
  <c r="H1341" i="2"/>
  <c r="G1341" i="2"/>
  <c r="F1341" i="2"/>
  <c r="E1341" i="2"/>
  <c r="D1341" i="2"/>
  <c r="C1341" i="2"/>
  <c r="B1341" i="2"/>
  <c r="A1341" i="2"/>
  <c r="AX1340" i="2"/>
  <c r="AV1340" i="2"/>
  <c r="AU1340" i="2"/>
  <c r="AR1340" i="2"/>
  <c r="AO1340" i="2"/>
  <c r="AM1340" i="2"/>
  <c r="AK1340" i="2"/>
  <c r="AJ1340" i="2"/>
  <c r="AI1340" i="2"/>
  <c r="AH1340" i="2"/>
  <c r="AG1340" i="2"/>
  <c r="AE1340" i="2"/>
  <c r="AC1340" i="2"/>
  <c r="Z1340" i="2"/>
  <c r="Y1340" i="2"/>
  <c r="X1340" i="2"/>
  <c r="W1340" i="2"/>
  <c r="V1340" i="2"/>
  <c r="U1340" i="2"/>
  <c r="T1340" i="2"/>
  <c r="S1340" i="2"/>
  <c r="R1340" i="2"/>
  <c r="Q1340" i="2"/>
  <c r="P1340" i="2"/>
  <c r="O1340" i="2"/>
  <c r="N1340" i="2"/>
  <c r="M1340" i="2"/>
  <c r="L1340" i="2"/>
  <c r="K1340" i="2"/>
  <c r="J1340" i="2"/>
  <c r="I1340" i="2"/>
  <c r="H1340" i="2"/>
  <c r="G1340" i="2"/>
  <c r="F1340" i="2"/>
  <c r="E1340" i="2"/>
  <c r="D1340" i="2"/>
  <c r="C1340" i="2"/>
  <c r="B1340" i="2"/>
  <c r="A1340" i="2"/>
  <c r="AX1339" i="2"/>
  <c r="AV1339" i="2"/>
  <c r="AU1339" i="2"/>
  <c r="AR1339" i="2"/>
  <c r="AO1339" i="2"/>
  <c r="AM1339" i="2"/>
  <c r="AK1339" i="2"/>
  <c r="AJ1339" i="2"/>
  <c r="AI1339" i="2"/>
  <c r="AH1339" i="2"/>
  <c r="AG1339" i="2"/>
  <c r="AC1339" i="2"/>
  <c r="Z1339" i="2"/>
  <c r="Y1339" i="2"/>
  <c r="X1339" i="2"/>
  <c r="W1339" i="2"/>
  <c r="V1339" i="2"/>
  <c r="U1339" i="2"/>
  <c r="T1339" i="2"/>
  <c r="S1339" i="2"/>
  <c r="R1339" i="2"/>
  <c r="Q1339" i="2"/>
  <c r="P1339" i="2"/>
  <c r="O1339" i="2"/>
  <c r="N1339" i="2"/>
  <c r="M1339" i="2"/>
  <c r="L1339" i="2"/>
  <c r="K1339" i="2"/>
  <c r="J1339" i="2"/>
  <c r="I1339" i="2"/>
  <c r="H1339" i="2"/>
  <c r="G1339" i="2"/>
  <c r="F1339" i="2"/>
  <c r="E1339" i="2"/>
  <c r="D1339" i="2"/>
  <c r="C1339" i="2"/>
  <c r="B1339" i="2"/>
  <c r="A1339" i="2"/>
  <c r="AX1338" i="2"/>
  <c r="AV1338" i="2"/>
  <c r="AU1338" i="2"/>
  <c r="AS1338" i="2"/>
  <c r="AM1338" i="2"/>
  <c r="AL1338" i="2"/>
  <c r="AK1338" i="2"/>
  <c r="AJ1338" i="2"/>
  <c r="AI1338" i="2"/>
  <c r="AH1338" i="2"/>
  <c r="AG1338" i="2"/>
  <c r="AE1338" i="2"/>
  <c r="AD1338" i="2"/>
  <c r="AC1338" i="2"/>
  <c r="AA1338" i="2"/>
  <c r="Z1338" i="2"/>
  <c r="Y1338" i="2"/>
  <c r="V1338" i="2"/>
  <c r="U1338" i="2"/>
  <c r="T1338" i="2"/>
  <c r="S1338" i="2"/>
  <c r="R1338" i="2"/>
  <c r="Q1338" i="2"/>
  <c r="P1338" i="2"/>
  <c r="O1338" i="2"/>
  <c r="N1338" i="2"/>
  <c r="M1338" i="2"/>
  <c r="L1338" i="2"/>
  <c r="K1338" i="2"/>
  <c r="J1338" i="2"/>
  <c r="I1338" i="2"/>
  <c r="H1338" i="2"/>
  <c r="G1338" i="2"/>
  <c r="F1338" i="2"/>
  <c r="E1338" i="2"/>
  <c r="D1338" i="2"/>
  <c r="C1338" i="2"/>
  <c r="B1338" i="2"/>
  <c r="A1338" i="2"/>
  <c r="AX1337" i="2"/>
  <c r="AV1337" i="2"/>
  <c r="AU1337" i="2"/>
  <c r="AS1337" i="2"/>
  <c r="AR1337" i="2"/>
  <c r="AO1337" i="2"/>
  <c r="AM1337" i="2"/>
  <c r="AL1337" i="2"/>
  <c r="AK1337" i="2"/>
  <c r="AJ1337" i="2"/>
  <c r="AI1337" i="2"/>
  <c r="AH1337" i="2"/>
  <c r="AG1337" i="2"/>
  <c r="AE1337" i="2"/>
  <c r="AD1337" i="2"/>
  <c r="AC1337" i="2"/>
  <c r="AA1337" i="2"/>
  <c r="Z1337" i="2"/>
  <c r="Y1337" i="2"/>
  <c r="X1337" i="2"/>
  <c r="W1337" i="2"/>
  <c r="V1337" i="2"/>
  <c r="U1337" i="2"/>
  <c r="T1337" i="2"/>
  <c r="S1337" i="2"/>
  <c r="R1337" i="2"/>
  <c r="Q1337" i="2"/>
  <c r="P1337" i="2"/>
  <c r="O1337" i="2"/>
  <c r="N1337" i="2"/>
  <c r="M1337" i="2"/>
  <c r="L1337" i="2"/>
  <c r="K1337" i="2"/>
  <c r="J1337" i="2"/>
  <c r="I1337" i="2"/>
  <c r="H1337" i="2"/>
  <c r="G1337" i="2"/>
  <c r="F1337" i="2"/>
  <c r="E1337" i="2"/>
  <c r="D1337" i="2"/>
  <c r="C1337" i="2"/>
  <c r="B1337" i="2"/>
  <c r="A1337" i="2"/>
  <c r="AX1336" i="2"/>
  <c r="AV1336" i="2"/>
  <c r="AU1336" i="2"/>
  <c r="AR1336" i="2"/>
  <c r="AO1336" i="2"/>
  <c r="AM1336" i="2"/>
  <c r="AJ1336" i="2"/>
  <c r="AI1336" i="2"/>
  <c r="AH1336" i="2"/>
  <c r="AG1336" i="2"/>
  <c r="AC1336" i="2"/>
  <c r="Z1336" i="2"/>
  <c r="Y1336" i="2"/>
  <c r="V1336" i="2"/>
  <c r="U1336" i="2"/>
  <c r="T1336" i="2"/>
  <c r="S1336" i="2"/>
  <c r="R1336" i="2"/>
  <c r="Q1336" i="2"/>
  <c r="P1336" i="2"/>
  <c r="O1336" i="2"/>
  <c r="N1336" i="2"/>
  <c r="M1336" i="2"/>
  <c r="L1336" i="2"/>
  <c r="K1336" i="2"/>
  <c r="J1336" i="2"/>
  <c r="I1336" i="2"/>
  <c r="H1336" i="2"/>
  <c r="G1336" i="2"/>
  <c r="F1336" i="2"/>
  <c r="E1336" i="2"/>
  <c r="D1336" i="2"/>
  <c r="C1336" i="2"/>
  <c r="B1336" i="2"/>
  <c r="A1336" i="2"/>
  <c r="AX1335" i="2"/>
  <c r="AV1335" i="2"/>
  <c r="AU1335" i="2"/>
  <c r="AS1335" i="2"/>
  <c r="AR1335" i="2"/>
  <c r="AO1335" i="2"/>
  <c r="AM1335" i="2"/>
  <c r="AL1335" i="2"/>
  <c r="AK1335" i="2"/>
  <c r="AJ1335" i="2"/>
  <c r="AI1335" i="2"/>
  <c r="AH1335" i="2"/>
  <c r="AG1335" i="2"/>
  <c r="AE1335" i="2"/>
  <c r="AD1335" i="2"/>
  <c r="AC1335" i="2"/>
  <c r="AA1335" i="2"/>
  <c r="Z1335" i="2"/>
  <c r="Y1335" i="2"/>
  <c r="X1335" i="2"/>
  <c r="W1335" i="2"/>
  <c r="V1335" i="2"/>
  <c r="U1335" i="2"/>
  <c r="T1335" i="2"/>
  <c r="S1335" i="2"/>
  <c r="R1335" i="2"/>
  <c r="Q1335" i="2"/>
  <c r="P1335" i="2"/>
  <c r="O1335" i="2"/>
  <c r="N1335" i="2"/>
  <c r="M1335" i="2"/>
  <c r="L1335" i="2"/>
  <c r="K1335" i="2"/>
  <c r="J1335" i="2"/>
  <c r="I1335" i="2"/>
  <c r="H1335" i="2"/>
  <c r="G1335" i="2"/>
  <c r="F1335" i="2"/>
  <c r="E1335" i="2"/>
  <c r="D1335" i="2"/>
  <c r="C1335" i="2"/>
  <c r="B1335" i="2"/>
  <c r="A1335" i="2"/>
  <c r="AX1334" i="2"/>
  <c r="AV1334" i="2"/>
  <c r="AU1334" i="2"/>
  <c r="AT1334" i="2"/>
  <c r="AS1334" i="2"/>
  <c r="AR1334" i="2"/>
  <c r="AO1334" i="2"/>
  <c r="AM1334" i="2"/>
  <c r="AK1334" i="2"/>
  <c r="AJ1334" i="2"/>
  <c r="AI1334" i="2"/>
  <c r="AH1334" i="2"/>
  <c r="AG1334" i="2"/>
  <c r="AE1334" i="2"/>
  <c r="AC1334" i="2"/>
  <c r="Z1334" i="2"/>
  <c r="Y1334" i="2"/>
  <c r="X1334" i="2"/>
  <c r="W1334" i="2"/>
  <c r="V1334" i="2"/>
  <c r="U1334" i="2"/>
  <c r="T1334" i="2"/>
  <c r="S1334" i="2"/>
  <c r="R1334" i="2"/>
  <c r="Q1334" i="2"/>
  <c r="P1334" i="2"/>
  <c r="O1334" i="2"/>
  <c r="N1334" i="2"/>
  <c r="M1334" i="2"/>
  <c r="L1334" i="2"/>
  <c r="K1334" i="2"/>
  <c r="J1334" i="2"/>
  <c r="I1334" i="2"/>
  <c r="H1334" i="2"/>
  <c r="G1334" i="2"/>
  <c r="F1334" i="2"/>
  <c r="E1334" i="2"/>
  <c r="D1334" i="2"/>
  <c r="C1334" i="2"/>
  <c r="B1334" i="2"/>
  <c r="A1334" i="2"/>
  <c r="AX1333" i="2"/>
  <c r="AV1333" i="2"/>
  <c r="AU1333" i="2"/>
  <c r="AR1333" i="2"/>
  <c r="AO1333" i="2"/>
  <c r="AM1333" i="2"/>
  <c r="AK1333" i="2"/>
  <c r="AJ1333" i="2"/>
  <c r="AI1333" i="2"/>
  <c r="AH1333" i="2"/>
  <c r="AG1333" i="2"/>
  <c r="AE1333" i="2"/>
  <c r="AC1333" i="2"/>
  <c r="Z1333" i="2"/>
  <c r="Y1333" i="2"/>
  <c r="X1333" i="2"/>
  <c r="W1333" i="2"/>
  <c r="V1333" i="2"/>
  <c r="U1333" i="2"/>
  <c r="T1333" i="2"/>
  <c r="S1333" i="2"/>
  <c r="R1333" i="2"/>
  <c r="Q1333" i="2"/>
  <c r="P1333" i="2"/>
  <c r="O1333" i="2"/>
  <c r="N1333" i="2"/>
  <c r="M1333" i="2"/>
  <c r="L1333" i="2"/>
  <c r="K1333" i="2"/>
  <c r="J1333" i="2"/>
  <c r="I1333" i="2"/>
  <c r="H1333" i="2"/>
  <c r="G1333" i="2"/>
  <c r="F1333" i="2"/>
  <c r="E1333" i="2"/>
  <c r="D1333" i="2"/>
  <c r="C1333" i="2"/>
  <c r="B1333" i="2"/>
  <c r="A1333" i="2"/>
  <c r="AX1332" i="2"/>
  <c r="AV1332" i="2"/>
  <c r="AU1332" i="2"/>
  <c r="AT1332" i="2"/>
  <c r="AS1332" i="2"/>
  <c r="AP1332" i="2"/>
  <c r="AM1332" i="2"/>
  <c r="AL1332" i="2"/>
  <c r="AK1332" i="2"/>
  <c r="AI1332" i="2"/>
  <c r="AH1332" i="2"/>
  <c r="AG1332" i="2"/>
  <c r="AE1332" i="2"/>
  <c r="AD1332" i="2"/>
  <c r="AC1332" i="2"/>
  <c r="Z1332" i="2"/>
  <c r="Y1332" i="2"/>
  <c r="X1332" i="2"/>
  <c r="W1332" i="2"/>
  <c r="V1332" i="2"/>
  <c r="U1332" i="2"/>
  <c r="T1332" i="2"/>
  <c r="S1332" i="2"/>
  <c r="R1332" i="2"/>
  <c r="Q1332" i="2"/>
  <c r="P1332" i="2"/>
  <c r="O1332" i="2"/>
  <c r="N1332" i="2"/>
  <c r="M1332" i="2"/>
  <c r="L1332" i="2"/>
  <c r="K1332" i="2"/>
  <c r="J1332" i="2"/>
  <c r="I1332" i="2"/>
  <c r="H1332" i="2"/>
  <c r="G1332" i="2"/>
  <c r="F1332" i="2"/>
  <c r="E1332" i="2"/>
  <c r="D1332" i="2"/>
  <c r="C1332" i="2"/>
  <c r="B1332" i="2"/>
  <c r="A1332" i="2"/>
  <c r="AX1331" i="2"/>
  <c r="AV1331" i="2"/>
  <c r="AU1331" i="2"/>
  <c r="AT1331" i="2"/>
  <c r="AP1331" i="2"/>
  <c r="AI1331" i="2"/>
  <c r="AC1331" i="2"/>
  <c r="AA1331" i="2"/>
  <c r="Z1331" i="2"/>
  <c r="Y1331" i="2"/>
  <c r="X1331" i="2"/>
  <c r="W1331" i="2"/>
  <c r="V1331" i="2"/>
  <c r="U1331" i="2"/>
  <c r="T1331" i="2"/>
  <c r="S1331" i="2"/>
  <c r="R1331" i="2"/>
  <c r="Q1331" i="2"/>
  <c r="P1331" i="2"/>
  <c r="O1331" i="2"/>
  <c r="N1331" i="2"/>
  <c r="M1331" i="2"/>
  <c r="L1331" i="2"/>
  <c r="K1331" i="2"/>
  <c r="J1331" i="2"/>
  <c r="I1331" i="2"/>
  <c r="H1331" i="2"/>
  <c r="G1331" i="2"/>
  <c r="F1331" i="2"/>
  <c r="E1331" i="2"/>
  <c r="D1331" i="2"/>
  <c r="C1331" i="2"/>
  <c r="B1331" i="2"/>
  <c r="A1331" i="2"/>
  <c r="AX1330" i="2"/>
  <c r="AV1330" i="2"/>
  <c r="AU1330" i="2"/>
  <c r="AT1330" i="2"/>
  <c r="AO1330" i="2"/>
  <c r="AM1330" i="2"/>
  <c r="AK1330" i="2"/>
  <c r="AJ1330" i="2"/>
  <c r="AI1330" i="2"/>
  <c r="AH1330" i="2"/>
  <c r="AG1330" i="2"/>
  <c r="AE1330" i="2"/>
  <c r="AD1330" i="2"/>
  <c r="AC1330" i="2"/>
  <c r="AA1330" i="2"/>
  <c r="Z1330" i="2"/>
  <c r="Y1330" i="2"/>
  <c r="X1330" i="2"/>
  <c r="W1330" i="2"/>
  <c r="V1330" i="2"/>
  <c r="U1330" i="2"/>
  <c r="T1330" i="2"/>
  <c r="S1330" i="2"/>
  <c r="R1330" i="2"/>
  <c r="Q1330" i="2"/>
  <c r="P1330" i="2"/>
  <c r="O1330" i="2"/>
  <c r="N1330" i="2"/>
  <c r="M1330" i="2"/>
  <c r="L1330" i="2"/>
  <c r="K1330" i="2"/>
  <c r="J1330" i="2"/>
  <c r="I1330" i="2"/>
  <c r="H1330" i="2"/>
  <c r="G1330" i="2"/>
  <c r="F1330" i="2"/>
  <c r="E1330" i="2"/>
  <c r="D1330" i="2"/>
  <c r="C1330" i="2"/>
  <c r="B1330" i="2"/>
  <c r="A1330" i="2"/>
  <c r="AX1329" i="2"/>
  <c r="AV1329" i="2"/>
  <c r="AU1329" i="2"/>
  <c r="AT1329" i="2"/>
  <c r="AS1329" i="2"/>
  <c r="AR1329" i="2"/>
  <c r="AQ1329" i="2"/>
  <c r="AP1329" i="2"/>
  <c r="AO1329" i="2"/>
  <c r="AM1329" i="2"/>
  <c r="AL1329" i="2"/>
  <c r="AK1329" i="2"/>
  <c r="AJ1329" i="2"/>
  <c r="AI1329" i="2"/>
  <c r="AH1329" i="2"/>
  <c r="AG1329" i="2"/>
  <c r="AE1329" i="2"/>
  <c r="AD1329" i="2"/>
  <c r="AC1329" i="2"/>
  <c r="AB1329" i="2"/>
  <c r="AA1329" i="2"/>
  <c r="Z1329" i="2"/>
  <c r="Y1329" i="2"/>
  <c r="X1329" i="2"/>
  <c r="W1329" i="2"/>
  <c r="V1329" i="2"/>
  <c r="U1329" i="2"/>
  <c r="T1329" i="2"/>
  <c r="S1329" i="2"/>
  <c r="R1329" i="2"/>
  <c r="Q1329" i="2"/>
  <c r="P1329" i="2"/>
  <c r="O1329" i="2"/>
  <c r="N1329" i="2"/>
  <c r="M1329" i="2"/>
  <c r="L1329" i="2"/>
  <c r="K1329" i="2"/>
  <c r="J1329" i="2"/>
  <c r="I1329" i="2"/>
  <c r="H1329" i="2"/>
  <c r="G1329" i="2"/>
  <c r="F1329" i="2"/>
  <c r="E1329" i="2"/>
  <c r="D1329" i="2"/>
  <c r="C1329" i="2"/>
  <c r="B1329" i="2"/>
  <c r="A1329" i="2"/>
  <c r="AX1328" i="2"/>
  <c r="AV1328" i="2"/>
  <c r="AU1328" i="2"/>
  <c r="AR1328" i="2"/>
  <c r="AO1328" i="2"/>
  <c r="AM1328" i="2"/>
  <c r="AK1328" i="2"/>
  <c r="AJ1328" i="2"/>
  <c r="AI1328" i="2"/>
  <c r="AH1328" i="2"/>
  <c r="AG1328" i="2"/>
  <c r="AD1328" i="2"/>
  <c r="AC1328" i="2"/>
  <c r="AA1328" i="2"/>
  <c r="Z1328" i="2"/>
  <c r="Y1328" i="2"/>
  <c r="X1328" i="2"/>
  <c r="W1328" i="2"/>
  <c r="V1328" i="2"/>
  <c r="U1328" i="2"/>
  <c r="T1328" i="2"/>
  <c r="S1328" i="2"/>
  <c r="R1328" i="2"/>
  <c r="Q1328" i="2"/>
  <c r="P1328" i="2"/>
  <c r="O1328" i="2"/>
  <c r="N1328" i="2"/>
  <c r="M1328" i="2"/>
  <c r="L1328" i="2"/>
  <c r="K1328" i="2"/>
  <c r="J1328" i="2"/>
  <c r="I1328" i="2"/>
  <c r="H1328" i="2"/>
  <c r="G1328" i="2"/>
  <c r="F1328" i="2"/>
  <c r="E1328" i="2"/>
  <c r="D1328" i="2"/>
  <c r="C1328" i="2"/>
  <c r="B1328" i="2"/>
  <c r="A1328" i="2"/>
  <c r="AX1327" i="2"/>
  <c r="AV1327" i="2"/>
  <c r="AU1327" i="2"/>
  <c r="AO1327" i="2"/>
  <c r="AM1327" i="2"/>
  <c r="AL1327" i="2"/>
  <c r="AK1327" i="2"/>
  <c r="AI1327" i="2"/>
  <c r="AH1327" i="2"/>
  <c r="AG1327" i="2"/>
  <c r="AD1327" i="2"/>
  <c r="AC1327" i="2"/>
  <c r="AA1327" i="2"/>
  <c r="Z1327" i="2"/>
  <c r="Y1327" i="2"/>
  <c r="V1327" i="2"/>
  <c r="T1327" i="2"/>
  <c r="S1327" i="2"/>
  <c r="Q1327" i="2"/>
  <c r="P1327" i="2"/>
  <c r="O1327" i="2"/>
  <c r="N1327" i="2"/>
  <c r="L1327" i="2"/>
  <c r="K1327" i="2"/>
  <c r="J1327" i="2"/>
  <c r="I1327" i="2"/>
  <c r="H1327" i="2"/>
  <c r="G1327" i="2"/>
  <c r="F1327" i="2"/>
  <c r="E1327" i="2"/>
  <c r="D1327" i="2"/>
  <c r="C1327" i="2"/>
  <c r="B1327" i="2"/>
  <c r="A1327" i="2"/>
  <c r="AX1326" i="2"/>
  <c r="AV1326" i="2"/>
  <c r="AU1326" i="2"/>
  <c r="AR1326" i="2"/>
  <c r="AO1326" i="2"/>
  <c r="AM1326" i="2"/>
  <c r="AK1326" i="2"/>
  <c r="AJ1326" i="2"/>
  <c r="AI1326" i="2"/>
  <c r="AH1326" i="2"/>
  <c r="AG1326" i="2"/>
  <c r="AE1326" i="2"/>
  <c r="AD1326" i="2"/>
  <c r="AC1326" i="2"/>
  <c r="AA1326" i="2"/>
  <c r="Z1326" i="2"/>
  <c r="Y1326" i="2"/>
  <c r="X1326" i="2"/>
  <c r="W1326" i="2"/>
  <c r="V1326" i="2"/>
  <c r="U1326" i="2"/>
  <c r="T1326" i="2"/>
  <c r="S1326" i="2"/>
  <c r="R1326" i="2"/>
  <c r="Q1326" i="2"/>
  <c r="P1326" i="2"/>
  <c r="O1326" i="2"/>
  <c r="N1326" i="2"/>
  <c r="M1326" i="2"/>
  <c r="L1326" i="2"/>
  <c r="K1326" i="2"/>
  <c r="J1326" i="2"/>
  <c r="I1326" i="2"/>
  <c r="H1326" i="2"/>
  <c r="G1326" i="2"/>
  <c r="F1326" i="2"/>
  <c r="E1326" i="2"/>
  <c r="D1326" i="2"/>
  <c r="C1326" i="2"/>
  <c r="B1326" i="2"/>
  <c r="A1326" i="2"/>
  <c r="AX1325" i="2"/>
  <c r="AV1325" i="2"/>
  <c r="AU1325" i="2"/>
  <c r="AR1325" i="2"/>
  <c r="AO1325" i="2"/>
  <c r="AM1325" i="2"/>
  <c r="AL1325" i="2"/>
  <c r="AK1325" i="2"/>
  <c r="AJ1325" i="2"/>
  <c r="AI1325" i="2"/>
  <c r="AH1325" i="2"/>
  <c r="AG1325" i="2"/>
  <c r="AF1325" i="2"/>
  <c r="AE1325" i="2"/>
  <c r="AD1325" i="2"/>
  <c r="AC1325" i="2"/>
  <c r="AA1325" i="2"/>
  <c r="Z1325" i="2"/>
  <c r="Y1325" i="2"/>
  <c r="X1325" i="2"/>
  <c r="W1325" i="2"/>
  <c r="V1325" i="2"/>
  <c r="U1325" i="2"/>
  <c r="T1325" i="2"/>
  <c r="S1325" i="2"/>
  <c r="R1325" i="2"/>
  <c r="Q1325" i="2"/>
  <c r="P1325" i="2"/>
  <c r="O1325" i="2"/>
  <c r="N1325" i="2"/>
  <c r="M1325" i="2"/>
  <c r="L1325" i="2"/>
  <c r="K1325" i="2"/>
  <c r="J1325" i="2"/>
  <c r="I1325" i="2"/>
  <c r="H1325" i="2"/>
  <c r="G1325" i="2"/>
  <c r="F1325" i="2"/>
  <c r="E1325" i="2"/>
  <c r="D1325" i="2"/>
  <c r="C1325" i="2"/>
  <c r="B1325" i="2"/>
  <c r="A1325" i="2"/>
  <c r="AX1324" i="2"/>
  <c r="AV1324" i="2"/>
  <c r="AU1324" i="2"/>
  <c r="AT1324" i="2"/>
  <c r="AS1324" i="2"/>
  <c r="AR1324" i="2"/>
  <c r="AO1324" i="2"/>
  <c r="AM1324" i="2"/>
  <c r="AK1324" i="2"/>
  <c r="AJ1324" i="2"/>
  <c r="AI1324" i="2"/>
  <c r="AH1324" i="2"/>
  <c r="AG1324" i="2"/>
  <c r="AE1324" i="2"/>
  <c r="AD1324" i="2"/>
  <c r="AC1324" i="2"/>
  <c r="AA1324" i="2"/>
  <c r="Z1324" i="2"/>
  <c r="Y1324" i="2"/>
  <c r="X1324" i="2"/>
  <c r="W1324" i="2"/>
  <c r="V1324" i="2"/>
  <c r="U1324" i="2"/>
  <c r="T1324" i="2"/>
  <c r="S1324" i="2"/>
  <c r="R1324" i="2"/>
  <c r="Q1324" i="2"/>
  <c r="P1324" i="2"/>
  <c r="O1324" i="2"/>
  <c r="N1324" i="2"/>
  <c r="M1324" i="2"/>
  <c r="L1324" i="2"/>
  <c r="K1324" i="2"/>
  <c r="J1324" i="2"/>
  <c r="I1324" i="2"/>
  <c r="H1324" i="2"/>
  <c r="G1324" i="2"/>
  <c r="F1324" i="2"/>
  <c r="E1324" i="2"/>
  <c r="D1324" i="2"/>
  <c r="C1324" i="2"/>
  <c r="B1324" i="2"/>
  <c r="A1324" i="2"/>
  <c r="AX1323" i="2"/>
  <c r="AV1323" i="2"/>
  <c r="AU1323" i="2"/>
  <c r="AR1323" i="2"/>
  <c r="AQ1323" i="2"/>
  <c r="AP1323" i="2"/>
  <c r="AO1323" i="2"/>
  <c r="AM1323" i="2"/>
  <c r="AL1323" i="2"/>
  <c r="AK1323" i="2"/>
  <c r="AJ1323" i="2"/>
  <c r="AI1323" i="2"/>
  <c r="AH1323" i="2"/>
  <c r="AG1323" i="2"/>
  <c r="AE1323" i="2"/>
  <c r="AD1323" i="2"/>
  <c r="AC1323" i="2"/>
  <c r="AA1323" i="2"/>
  <c r="Z1323" i="2"/>
  <c r="Y1323" i="2"/>
  <c r="X1323" i="2"/>
  <c r="W1323" i="2"/>
  <c r="V1323" i="2"/>
  <c r="U1323" i="2"/>
  <c r="T1323" i="2"/>
  <c r="S1323" i="2"/>
  <c r="R1323" i="2"/>
  <c r="Q1323" i="2"/>
  <c r="P1323" i="2"/>
  <c r="O1323" i="2"/>
  <c r="N1323" i="2"/>
  <c r="M1323" i="2"/>
  <c r="L1323" i="2"/>
  <c r="K1323" i="2"/>
  <c r="J1323" i="2"/>
  <c r="I1323" i="2"/>
  <c r="H1323" i="2"/>
  <c r="G1323" i="2"/>
  <c r="F1323" i="2"/>
  <c r="E1323" i="2"/>
  <c r="D1323" i="2"/>
  <c r="C1323" i="2"/>
  <c r="B1323" i="2"/>
  <c r="A1323" i="2"/>
  <c r="AX1322" i="2"/>
  <c r="AV1322" i="2"/>
  <c r="AU1322" i="2"/>
  <c r="AS1322" i="2"/>
  <c r="AR1322" i="2"/>
  <c r="AO1322" i="2"/>
  <c r="AM1322" i="2"/>
  <c r="AJ1322" i="2"/>
  <c r="AI1322" i="2"/>
  <c r="AH1322" i="2"/>
  <c r="AG1322" i="2"/>
  <c r="AD1322" i="2"/>
  <c r="AC1322" i="2"/>
  <c r="Z1322" i="2"/>
  <c r="Y1322" i="2"/>
  <c r="X1322" i="2"/>
  <c r="W1322" i="2"/>
  <c r="V1322" i="2"/>
  <c r="U1322" i="2"/>
  <c r="T1322" i="2"/>
  <c r="S1322" i="2"/>
  <c r="R1322" i="2"/>
  <c r="Q1322" i="2"/>
  <c r="P1322" i="2"/>
  <c r="O1322" i="2"/>
  <c r="N1322" i="2"/>
  <c r="M1322" i="2"/>
  <c r="L1322" i="2"/>
  <c r="K1322" i="2"/>
  <c r="J1322" i="2"/>
  <c r="I1322" i="2"/>
  <c r="H1322" i="2"/>
  <c r="G1322" i="2"/>
  <c r="F1322" i="2"/>
  <c r="E1322" i="2"/>
  <c r="D1322" i="2"/>
  <c r="C1322" i="2"/>
  <c r="B1322" i="2"/>
  <c r="A1322" i="2"/>
  <c r="AX1321" i="2"/>
  <c r="AV1321" i="2"/>
  <c r="AU1321" i="2"/>
  <c r="AR1321" i="2"/>
  <c r="AO1321" i="2"/>
  <c r="AM1321" i="2"/>
  <c r="AK1321" i="2"/>
  <c r="AI1321" i="2"/>
  <c r="AH1321" i="2"/>
  <c r="AG1321" i="2"/>
  <c r="AD1321" i="2"/>
  <c r="AC1321" i="2"/>
  <c r="AA1321" i="2"/>
  <c r="Z1321" i="2"/>
  <c r="Y1321" i="2"/>
  <c r="X1321" i="2"/>
  <c r="W1321" i="2"/>
  <c r="V1321" i="2"/>
  <c r="U1321" i="2"/>
  <c r="T1321" i="2"/>
  <c r="S1321" i="2"/>
  <c r="R1321" i="2"/>
  <c r="Q1321" i="2"/>
  <c r="P1321" i="2"/>
  <c r="O1321" i="2"/>
  <c r="N1321" i="2"/>
  <c r="M1321" i="2"/>
  <c r="L1321" i="2"/>
  <c r="K1321" i="2"/>
  <c r="J1321" i="2"/>
  <c r="I1321" i="2"/>
  <c r="H1321" i="2"/>
  <c r="G1321" i="2"/>
  <c r="F1321" i="2"/>
  <c r="E1321" i="2"/>
  <c r="D1321" i="2"/>
  <c r="C1321" i="2"/>
  <c r="B1321" i="2"/>
  <c r="A1321" i="2"/>
  <c r="AX1320" i="2"/>
  <c r="AV1320" i="2"/>
  <c r="AU1320" i="2"/>
  <c r="AR1320" i="2"/>
  <c r="AQ1320" i="2"/>
  <c r="AO1320" i="2"/>
  <c r="AM1320" i="2"/>
  <c r="AL1320" i="2"/>
  <c r="AK1320" i="2"/>
  <c r="AJ1320" i="2"/>
  <c r="AI1320" i="2"/>
  <c r="AH1320" i="2"/>
  <c r="AG1320" i="2"/>
  <c r="AE1320" i="2"/>
  <c r="AD1320" i="2"/>
  <c r="AC1320" i="2"/>
  <c r="AA1320" i="2"/>
  <c r="Z1320" i="2"/>
  <c r="Y1320" i="2"/>
  <c r="X1320" i="2"/>
  <c r="W1320" i="2"/>
  <c r="V1320" i="2"/>
  <c r="U1320" i="2"/>
  <c r="T1320" i="2"/>
  <c r="S1320" i="2"/>
  <c r="R1320" i="2"/>
  <c r="Q1320" i="2"/>
  <c r="P1320" i="2"/>
  <c r="O1320" i="2"/>
  <c r="N1320" i="2"/>
  <c r="M1320" i="2"/>
  <c r="L1320" i="2"/>
  <c r="K1320" i="2"/>
  <c r="J1320" i="2"/>
  <c r="I1320" i="2"/>
  <c r="H1320" i="2"/>
  <c r="G1320" i="2"/>
  <c r="F1320" i="2"/>
  <c r="E1320" i="2"/>
  <c r="D1320" i="2"/>
  <c r="C1320" i="2"/>
  <c r="B1320" i="2"/>
  <c r="A1320" i="2"/>
  <c r="AX1319" i="2"/>
  <c r="AV1319" i="2"/>
  <c r="AU1319" i="2"/>
  <c r="AR1319" i="2"/>
  <c r="AP1319" i="2"/>
  <c r="AO1319" i="2"/>
  <c r="AM1319" i="2"/>
  <c r="AL1319" i="2"/>
  <c r="AK1319" i="2"/>
  <c r="AJ1319" i="2"/>
  <c r="AI1319" i="2"/>
  <c r="AH1319" i="2"/>
  <c r="AG1319" i="2"/>
  <c r="AE1319" i="2"/>
  <c r="AD1319" i="2"/>
  <c r="AC1319" i="2"/>
  <c r="AA1319" i="2"/>
  <c r="Z1319" i="2"/>
  <c r="Y1319" i="2"/>
  <c r="X1319" i="2"/>
  <c r="W1319" i="2"/>
  <c r="V1319" i="2"/>
  <c r="U1319" i="2"/>
  <c r="T1319" i="2"/>
  <c r="S1319" i="2"/>
  <c r="R1319" i="2"/>
  <c r="Q1319" i="2"/>
  <c r="P1319" i="2"/>
  <c r="O1319" i="2"/>
  <c r="N1319" i="2"/>
  <c r="M1319" i="2"/>
  <c r="L1319" i="2"/>
  <c r="K1319" i="2"/>
  <c r="J1319" i="2"/>
  <c r="I1319" i="2"/>
  <c r="H1319" i="2"/>
  <c r="G1319" i="2"/>
  <c r="F1319" i="2"/>
  <c r="E1319" i="2"/>
  <c r="D1319" i="2"/>
  <c r="C1319" i="2"/>
  <c r="B1319" i="2"/>
  <c r="A1319" i="2"/>
  <c r="AX1318" i="2"/>
  <c r="AV1318" i="2"/>
  <c r="AU1318" i="2"/>
  <c r="AR1318" i="2"/>
  <c r="AO1318" i="2"/>
  <c r="AM1318" i="2"/>
  <c r="AL1318" i="2"/>
  <c r="AK1318" i="2"/>
  <c r="AJ1318" i="2"/>
  <c r="AI1318" i="2"/>
  <c r="AH1318" i="2"/>
  <c r="AG1318" i="2"/>
  <c r="AE1318" i="2"/>
  <c r="AD1318" i="2"/>
  <c r="AC1318" i="2"/>
  <c r="Z1318" i="2"/>
  <c r="Y1318" i="2"/>
  <c r="X1318" i="2"/>
  <c r="W1318" i="2"/>
  <c r="V1318" i="2"/>
  <c r="U1318" i="2"/>
  <c r="T1318" i="2"/>
  <c r="S1318" i="2"/>
  <c r="R1318" i="2"/>
  <c r="Q1318" i="2"/>
  <c r="P1318" i="2"/>
  <c r="O1318" i="2"/>
  <c r="N1318" i="2"/>
  <c r="M1318" i="2"/>
  <c r="L1318" i="2"/>
  <c r="K1318" i="2"/>
  <c r="J1318" i="2"/>
  <c r="I1318" i="2"/>
  <c r="H1318" i="2"/>
  <c r="G1318" i="2"/>
  <c r="F1318" i="2"/>
  <c r="E1318" i="2"/>
  <c r="D1318" i="2"/>
  <c r="C1318" i="2"/>
  <c r="B1318" i="2"/>
  <c r="A1318" i="2"/>
  <c r="AX1317" i="2"/>
  <c r="AV1317" i="2"/>
  <c r="AU1317" i="2"/>
  <c r="AT1317" i="2"/>
  <c r="AO1317" i="2"/>
  <c r="AM1317" i="2"/>
  <c r="AL1317" i="2"/>
  <c r="AK1317" i="2"/>
  <c r="AJ1317" i="2"/>
  <c r="AI1317" i="2"/>
  <c r="AH1317" i="2"/>
  <c r="AG1317" i="2"/>
  <c r="AE1317" i="2"/>
  <c r="AD1317" i="2"/>
  <c r="AC1317" i="2"/>
  <c r="AA1317" i="2"/>
  <c r="Z1317" i="2"/>
  <c r="Y1317" i="2"/>
  <c r="X1317" i="2"/>
  <c r="W1317" i="2"/>
  <c r="V1317" i="2"/>
  <c r="U1317" i="2"/>
  <c r="T1317" i="2"/>
  <c r="S1317" i="2"/>
  <c r="R1317" i="2"/>
  <c r="Q1317" i="2"/>
  <c r="P1317" i="2"/>
  <c r="O1317" i="2"/>
  <c r="N1317" i="2"/>
  <c r="M1317" i="2"/>
  <c r="L1317" i="2"/>
  <c r="K1317" i="2"/>
  <c r="J1317" i="2"/>
  <c r="I1317" i="2"/>
  <c r="H1317" i="2"/>
  <c r="G1317" i="2"/>
  <c r="F1317" i="2"/>
  <c r="E1317" i="2"/>
  <c r="D1317" i="2"/>
  <c r="C1317" i="2"/>
  <c r="B1317" i="2"/>
  <c r="A1317" i="2"/>
  <c r="AX1316" i="2"/>
  <c r="AV1316" i="2"/>
  <c r="AU1316" i="2"/>
  <c r="AS1316" i="2"/>
  <c r="AR1316" i="2"/>
  <c r="AQ1316" i="2"/>
  <c r="AP1316" i="2"/>
  <c r="AO1316" i="2"/>
  <c r="AM1316" i="2"/>
  <c r="AL1316" i="2"/>
  <c r="AK1316" i="2"/>
  <c r="AJ1316" i="2"/>
  <c r="AI1316" i="2"/>
  <c r="AH1316" i="2"/>
  <c r="AG1316" i="2"/>
  <c r="AE1316" i="2"/>
  <c r="AD1316" i="2"/>
  <c r="AC1316" i="2"/>
  <c r="AA1316" i="2"/>
  <c r="Z1316" i="2"/>
  <c r="Y1316" i="2"/>
  <c r="X1316" i="2"/>
  <c r="W1316" i="2"/>
  <c r="V1316" i="2"/>
  <c r="U1316" i="2"/>
  <c r="T1316" i="2"/>
  <c r="S1316" i="2"/>
  <c r="R1316" i="2"/>
  <c r="Q1316" i="2"/>
  <c r="P1316" i="2"/>
  <c r="O1316" i="2"/>
  <c r="N1316" i="2"/>
  <c r="M1316" i="2"/>
  <c r="L1316" i="2"/>
  <c r="K1316" i="2"/>
  <c r="J1316" i="2"/>
  <c r="I1316" i="2"/>
  <c r="H1316" i="2"/>
  <c r="G1316" i="2"/>
  <c r="F1316" i="2"/>
  <c r="E1316" i="2"/>
  <c r="D1316" i="2"/>
  <c r="C1316" i="2"/>
  <c r="B1316" i="2"/>
  <c r="A1316" i="2"/>
  <c r="AX1315" i="2"/>
  <c r="AV1315" i="2"/>
  <c r="AU1315" i="2"/>
  <c r="AO1315" i="2"/>
  <c r="AM1315" i="2"/>
  <c r="AL1315" i="2"/>
  <c r="AK1315" i="2"/>
  <c r="AJ1315" i="2"/>
  <c r="AI1315" i="2"/>
  <c r="AH1315" i="2"/>
  <c r="AG1315" i="2"/>
  <c r="AD1315" i="2"/>
  <c r="AC1315" i="2"/>
  <c r="AA1315" i="2"/>
  <c r="Z1315" i="2"/>
  <c r="Y1315" i="2"/>
  <c r="X1315" i="2"/>
  <c r="W1315" i="2"/>
  <c r="V1315" i="2"/>
  <c r="U1315" i="2"/>
  <c r="T1315" i="2"/>
  <c r="S1315" i="2"/>
  <c r="R1315" i="2"/>
  <c r="Q1315" i="2"/>
  <c r="P1315" i="2"/>
  <c r="O1315" i="2"/>
  <c r="N1315" i="2"/>
  <c r="M1315" i="2"/>
  <c r="L1315" i="2"/>
  <c r="K1315" i="2"/>
  <c r="J1315" i="2"/>
  <c r="I1315" i="2"/>
  <c r="H1315" i="2"/>
  <c r="G1315" i="2"/>
  <c r="F1315" i="2"/>
  <c r="E1315" i="2"/>
  <c r="D1315" i="2"/>
  <c r="C1315" i="2"/>
  <c r="B1315" i="2"/>
  <c r="A1315" i="2"/>
  <c r="AX1314" i="2"/>
  <c r="AV1314" i="2"/>
  <c r="AU1314" i="2"/>
  <c r="AR1314" i="2"/>
  <c r="AO1314" i="2"/>
  <c r="AM1314" i="2"/>
  <c r="AL1314" i="2"/>
  <c r="AK1314" i="2"/>
  <c r="AJ1314" i="2"/>
  <c r="AI1314" i="2"/>
  <c r="AH1314" i="2"/>
  <c r="AG1314" i="2"/>
  <c r="AD1314" i="2"/>
  <c r="AC1314" i="2"/>
  <c r="AA1314" i="2"/>
  <c r="Z1314" i="2"/>
  <c r="Y1314" i="2"/>
  <c r="X1314" i="2"/>
  <c r="W1314" i="2"/>
  <c r="V1314" i="2"/>
  <c r="U1314" i="2"/>
  <c r="T1314" i="2"/>
  <c r="S1314" i="2"/>
  <c r="R1314" i="2"/>
  <c r="Q1314" i="2"/>
  <c r="P1314" i="2"/>
  <c r="O1314" i="2"/>
  <c r="N1314" i="2"/>
  <c r="M1314" i="2"/>
  <c r="L1314" i="2"/>
  <c r="K1314" i="2"/>
  <c r="J1314" i="2"/>
  <c r="I1314" i="2"/>
  <c r="H1314" i="2"/>
  <c r="G1314" i="2"/>
  <c r="F1314" i="2"/>
  <c r="E1314" i="2"/>
  <c r="D1314" i="2"/>
  <c r="C1314" i="2"/>
  <c r="B1314" i="2"/>
  <c r="A1314" i="2"/>
  <c r="AX1313" i="2"/>
  <c r="AV1313" i="2"/>
  <c r="AU1313" i="2"/>
  <c r="AT1313" i="2"/>
  <c r="AS1313" i="2"/>
  <c r="AR1313" i="2"/>
  <c r="AO1313" i="2"/>
  <c r="AM1313" i="2"/>
  <c r="AL1313" i="2"/>
  <c r="AK1313" i="2"/>
  <c r="AJ1313" i="2"/>
  <c r="AI1313" i="2"/>
  <c r="AH1313" i="2"/>
  <c r="AG1313" i="2"/>
  <c r="AE1313" i="2"/>
  <c r="AD1313" i="2"/>
  <c r="AC1313" i="2"/>
  <c r="AA1313" i="2"/>
  <c r="Z1313" i="2"/>
  <c r="Y1313" i="2"/>
  <c r="X1313" i="2"/>
  <c r="V1313" i="2"/>
  <c r="U1313" i="2"/>
  <c r="T1313" i="2"/>
  <c r="S1313" i="2"/>
  <c r="R1313" i="2"/>
  <c r="Q1313" i="2"/>
  <c r="P1313" i="2"/>
  <c r="O1313" i="2"/>
  <c r="N1313" i="2"/>
  <c r="M1313" i="2"/>
  <c r="L1313" i="2"/>
  <c r="K1313" i="2"/>
  <c r="J1313" i="2"/>
  <c r="I1313" i="2"/>
  <c r="H1313" i="2"/>
  <c r="G1313" i="2"/>
  <c r="F1313" i="2"/>
  <c r="E1313" i="2"/>
  <c r="D1313" i="2"/>
  <c r="C1313" i="2"/>
  <c r="B1313" i="2"/>
  <c r="A1313" i="2"/>
  <c r="AX1312" i="2"/>
  <c r="AV1312" i="2"/>
  <c r="AU1312" i="2"/>
  <c r="AR1312" i="2"/>
  <c r="AP1312" i="2"/>
  <c r="AO1312" i="2"/>
  <c r="AM1312" i="2"/>
  <c r="AK1312" i="2"/>
  <c r="AJ1312" i="2"/>
  <c r="AI1312" i="2"/>
  <c r="AH1312" i="2"/>
  <c r="AG1312" i="2"/>
  <c r="AE1312" i="2"/>
  <c r="AC1312" i="2"/>
  <c r="Z1312" i="2"/>
  <c r="Y1312" i="2"/>
  <c r="X1312" i="2"/>
  <c r="W1312" i="2"/>
  <c r="V1312" i="2"/>
  <c r="U1312" i="2"/>
  <c r="T1312" i="2"/>
  <c r="S1312" i="2"/>
  <c r="R1312" i="2"/>
  <c r="Q1312" i="2"/>
  <c r="P1312" i="2"/>
  <c r="O1312" i="2"/>
  <c r="N1312" i="2"/>
  <c r="M1312" i="2"/>
  <c r="L1312" i="2"/>
  <c r="K1312" i="2"/>
  <c r="J1312" i="2"/>
  <c r="I1312" i="2"/>
  <c r="H1312" i="2"/>
  <c r="G1312" i="2"/>
  <c r="F1312" i="2"/>
  <c r="E1312" i="2"/>
  <c r="D1312" i="2"/>
  <c r="C1312" i="2"/>
  <c r="B1312" i="2"/>
  <c r="A1312" i="2"/>
  <c r="AX1311" i="2"/>
  <c r="AV1311" i="2"/>
  <c r="AU1311" i="2"/>
  <c r="AO1311" i="2"/>
  <c r="AM1311" i="2"/>
  <c r="AL1311" i="2"/>
  <c r="AK1311" i="2"/>
  <c r="AJ1311" i="2"/>
  <c r="AI1311" i="2"/>
  <c r="AH1311" i="2"/>
  <c r="AG1311" i="2"/>
  <c r="AC1311" i="2"/>
  <c r="Z1311" i="2"/>
  <c r="Y1311" i="2"/>
  <c r="X1311" i="2"/>
  <c r="W1311" i="2"/>
  <c r="V1311" i="2"/>
  <c r="U1311" i="2"/>
  <c r="T1311" i="2"/>
  <c r="S1311" i="2"/>
  <c r="R1311" i="2"/>
  <c r="Q1311" i="2"/>
  <c r="P1311" i="2"/>
  <c r="O1311" i="2"/>
  <c r="N1311" i="2"/>
  <c r="M1311" i="2"/>
  <c r="L1311" i="2"/>
  <c r="K1311" i="2"/>
  <c r="J1311" i="2"/>
  <c r="I1311" i="2"/>
  <c r="H1311" i="2"/>
  <c r="G1311" i="2"/>
  <c r="F1311" i="2"/>
  <c r="E1311" i="2"/>
  <c r="D1311" i="2"/>
  <c r="C1311" i="2"/>
  <c r="B1311" i="2"/>
  <c r="A1311" i="2"/>
  <c r="AX1310" i="2"/>
  <c r="AV1310" i="2"/>
  <c r="AU1310" i="2"/>
  <c r="AR1310" i="2"/>
  <c r="AO1310" i="2"/>
  <c r="AM1310" i="2"/>
  <c r="AK1310" i="2"/>
  <c r="AJ1310" i="2"/>
  <c r="AI1310" i="2"/>
  <c r="AH1310" i="2"/>
  <c r="AG1310" i="2"/>
  <c r="AE1310" i="2"/>
  <c r="AD1310" i="2"/>
  <c r="AC1310" i="2"/>
  <c r="AA1310" i="2"/>
  <c r="Z1310" i="2"/>
  <c r="Y1310" i="2"/>
  <c r="X1310" i="2"/>
  <c r="W1310" i="2"/>
  <c r="V1310" i="2"/>
  <c r="U1310" i="2"/>
  <c r="T1310" i="2"/>
  <c r="S1310" i="2"/>
  <c r="R1310" i="2"/>
  <c r="Q1310" i="2"/>
  <c r="P1310" i="2"/>
  <c r="O1310" i="2"/>
  <c r="N1310" i="2"/>
  <c r="M1310" i="2"/>
  <c r="L1310" i="2"/>
  <c r="K1310" i="2"/>
  <c r="J1310" i="2"/>
  <c r="I1310" i="2"/>
  <c r="H1310" i="2"/>
  <c r="G1310" i="2"/>
  <c r="F1310" i="2"/>
  <c r="E1310" i="2"/>
  <c r="D1310" i="2"/>
  <c r="C1310" i="2"/>
  <c r="B1310" i="2"/>
  <c r="A1310" i="2"/>
  <c r="AX1309" i="2"/>
  <c r="AV1309" i="2"/>
  <c r="AU1309" i="2"/>
  <c r="AT1309" i="2"/>
  <c r="AR1309" i="2"/>
  <c r="AQ1309" i="2"/>
  <c r="AP1309" i="2"/>
  <c r="AO1309" i="2"/>
  <c r="AM1309" i="2"/>
  <c r="AL1309" i="2"/>
  <c r="AK1309" i="2"/>
  <c r="AJ1309" i="2"/>
  <c r="AI1309" i="2"/>
  <c r="AH1309" i="2"/>
  <c r="AG1309" i="2"/>
  <c r="AE1309" i="2"/>
  <c r="AD1309" i="2"/>
  <c r="AC1309" i="2"/>
  <c r="AA1309" i="2"/>
  <c r="Z1309" i="2"/>
  <c r="Y1309" i="2"/>
  <c r="X1309" i="2"/>
  <c r="W1309" i="2"/>
  <c r="V1309" i="2"/>
  <c r="U1309" i="2"/>
  <c r="T1309" i="2"/>
  <c r="S1309" i="2"/>
  <c r="R1309" i="2"/>
  <c r="Q1309" i="2"/>
  <c r="P1309" i="2"/>
  <c r="O1309" i="2"/>
  <c r="N1309" i="2"/>
  <c r="M1309" i="2"/>
  <c r="L1309" i="2"/>
  <c r="K1309" i="2"/>
  <c r="J1309" i="2"/>
  <c r="I1309" i="2"/>
  <c r="H1309" i="2"/>
  <c r="G1309" i="2"/>
  <c r="F1309" i="2"/>
  <c r="E1309" i="2"/>
  <c r="D1309" i="2"/>
  <c r="C1309" i="2"/>
  <c r="B1309" i="2"/>
  <c r="A1309" i="2"/>
  <c r="AX1308" i="2"/>
  <c r="AV1308" i="2"/>
  <c r="AU1308" i="2"/>
  <c r="AR1308" i="2"/>
  <c r="AO1308" i="2"/>
  <c r="AM1308" i="2"/>
  <c r="AK1308" i="2"/>
  <c r="AJ1308" i="2"/>
  <c r="AI1308" i="2"/>
  <c r="AH1308" i="2"/>
  <c r="AG1308" i="2"/>
  <c r="AE1308" i="2"/>
  <c r="AD1308" i="2"/>
  <c r="AC1308" i="2"/>
  <c r="Z1308" i="2"/>
  <c r="Y1308" i="2"/>
  <c r="X1308" i="2"/>
  <c r="W1308" i="2"/>
  <c r="V1308" i="2"/>
  <c r="U1308" i="2"/>
  <c r="T1308" i="2"/>
  <c r="S1308" i="2"/>
  <c r="R1308" i="2"/>
  <c r="Q1308" i="2"/>
  <c r="P1308" i="2"/>
  <c r="O1308" i="2"/>
  <c r="N1308" i="2"/>
  <c r="M1308" i="2"/>
  <c r="L1308" i="2"/>
  <c r="K1308" i="2"/>
  <c r="J1308" i="2"/>
  <c r="I1308" i="2"/>
  <c r="H1308" i="2"/>
  <c r="G1308" i="2"/>
  <c r="F1308" i="2"/>
  <c r="E1308" i="2"/>
  <c r="D1308" i="2"/>
  <c r="C1308" i="2"/>
  <c r="B1308" i="2"/>
  <c r="A1308" i="2"/>
  <c r="AX1307" i="2"/>
  <c r="AV1307" i="2"/>
  <c r="AU1307" i="2"/>
  <c r="AR1307" i="2"/>
  <c r="AO1307" i="2"/>
  <c r="AM1307" i="2"/>
  <c r="AK1307" i="2"/>
  <c r="AJ1307" i="2"/>
  <c r="AI1307" i="2"/>
  <c r="AH1307" i="2"/>
  <c r="AG1307" i="2"/>
  <c r="AE1307" i="2"/>
  <c r="AD1307" i="2"/>
  <c r="AC1307" i="2"/>
  <c r="Z1307" i="2"/>
  <c r="Y1307" i="2"/>
  <c r="X1307" i="2"/>
  <c r="W1307" i="2"/>
  <c r="V1307" i="2"/>
  <c r="U1307" i="2"/>
  <c r="T1307" i="2"/>
  <c r="S1307" i="2"/>
  <c r="R1307" i="2"/>
  <c r="Q1307" i="2"/>
  <c r="P1307" i="2"/>
  <c r="O1307" i="2"/>
  <c r="N1307" i="2"/>
  <c r="M1307" i="2"/>
  <c r="L1307" i="2"/>
  <c r="K1307" i="2"/>
  <c r="J1307" i="2"/>
  <c r="I1307" i="2"/>
  <c r="H1307" i="2"/>
  <c r="G1307" i="2"/>
  <c r="F1307" i="2"/>
  <c r="E1307" i="2"/>
  <c r="D1307" i="2"/>
  <c r="C1307" i="2"/>
  <c r="B1307" i="2"/>
  <c r="A1307" i="2"/>
  <c r="AX1306" i="2"/>
  <c r="AV1306" i="2"/>
  <c r="AU1306" i="2"/>
  <c r="AT1306" i="2"/>
  <c r="AR1306" i="2"/>
  <c r="AQ1306" i="2"/>
  <c r="AP1306" i="2"/>
  <c r="AO1306" i="2"/>
  <c r="AM1306" i="2"/>
  <c r="AL1306" i="2"/>
  <c r="AK1306" i="2"/>
  <c r="AI1306" i="2"/>
  <c r="AH1306" i="2"/>
  <c r="AG1306" i="2"/>
  <c r="AD1306" i="2"/>
  <c r="AC1306" i="2"/>
  <c r="Z1306" i="2"/>
  <c r="Y1306" i="2"/>
  <c r="X1306" i="2"/>
  <c r="W1306" i="2"/>
  <c r="V1306" i="2"/>
  <c r="U1306" i="2"/>
  <c r="T1306" i="2"/>
  <c r="S1306" i="2"/>
  <c r="R1306" i="2"/>
  <c r="Q1306" i="2"/>
  <c r="P1306" i="2"/>
  <c r="O1306" i="2"/>
  <c r="N1306" i="2"/>
  <c r="M1306" i="2"/>
  <c r="L1306" i="2"/>
  <c r="K1306" i="2"/>
  <c r="J1306" i="2"/>
  <c r="I1306" i="2"/>
  <c r="H1306" i="2"/>
  <c r="G1306" i="2"/>
  <c r="F1306" i="2"/>
  <c r="E1306" i="2"/>
  <c r="D1306" i="2"/>
  <c r="C1306" i="2"/>
  <c r="B1306" i="2"/>
  <c r="A1306" i="2"/>
  <c r="AX1305" i="2"/>
  <c r="AV1305" i="2"/>
  <c r="AU1305" i="2"/>
  <c r="AT1305" i="2"/>
  <c r="AS1305" i="2"/>
  <c r="AR1305" i="2"/>
  <c r="AQ1305" i="2"/>
  <c r="AP1305" i="2"/>
  <c r="AO1305" i="2"/>
  <c r="AM1305" i="2"/>
  <c r="AL1305" i="2"/>
  <c r="AK1305" i="2"/>
  <c r="AJ1305" i="2"/>
  <c r="AI1305" i="2"/>
  <c r="AH1305" i="2"/>
  <c r="AG1305" i="2"/>
  <c r="AE1305" i="2"/>
  <c r="AD1305" i="2"/>
  <c r="AC1305" i="2"/>
  <c r="AA1305" i="2"/>
  <c r="Z1305" i="2"/>
  <c r="Y1305" i="2"/>
  <c r="X1305" i="2"/>
  <c r="W1305" i="2"/>
  <c r="V1305" i="2"/>
  <c r="U1305" i="2"/>
  <c r="T1305" i="2"/>
  <c r="S1305" i="2"/>
  <c r="R1305" i="2"/>
  <c r="Q1305" i="2"/>
  <c r="P1305" i="2"/>
  <c r="O1305" i="2"/>
  <c r="N1305" i="2"/>
  <c r="M1305" i="2"/>
  <c r="L1305" i="2"/>
  <c r="K1305" i="2"/>
  <c r="J1305" i="2"/>
  <c r="I1305" i="2"/>
  <c r="H1305" i="2"/>
  <c r="G1305" i="2"/>
  <c r="F1305" i="2"/>
  <c r="E1305" i="2"/>
  <c r="D1305" i="2"/>
  <c r="C1305" i="2"/>
  <c r="B1305" i="2"/>
  <c r="A1305" i="2"/>
  <c r="AX1304" i="2"/>
  <c r="AV1304" i="2"/>
  <c r="AU1304" i="2"/>
  <c r="AT1304" i="2"/>
  <c r="AR1304" i="2"/>
  <c r="AP1304" i="2"/>
  <c r="AO1304" i="2"/>
  <c r="AM1304" i="2"/>
  <c r="AK1304" i="2"/>
  <c r="AJ1304" i="2"/>
  <c r="AI1304" i="2"/>
  <c r="AH1304" i="2"/>
  <c r="AG1304" i="2"/>
  <c r="AF1304" i="2"/>
  <c r="AE1304" i="2"/>
  <c r="AD1304" i="2"/>
  <c r="AC1304" i="2"/>
  <c r="AA1304" i="2"/>
  <c r="Z1304" i="2"/>
  <c r="Y1304" i="2"/>
  <c r="X1304" i="2"/>
  <c r="W1304" i="2"/>
  <c r="V1304" i="2"/>
  <c r="U1304" i="2"/>
  <c r="T1304" i="2"/>
  <c r="S1304" i="2"/>
  <c r="R1304" i="2"/>
  <c r="Q1304" i="2"/>
  <c r="P1304" i="2"/>
  <c r="O1304" i="2"/>
  <c r="N1304" i="2"/>
  <c r="M1304" i="2"/>
  <c r="L1304" i="2"/>
  <c r="K1304" i="2"/>
  <c r="J1304" i="2"/>
  <c r="I1304" i="2"/>
  <c r="H1304" i="2"/>
  <c r="G1304" i="2"/>
  <c r="F1304" i="2"/>
  <c r="E1304" i="2"/>
  <c r="D1304" i="2"/>
  <c r="C1304" i="2"/>
  <c r="B1304" i="2"/>
  <c r="A1304" i="2"/>
  <c r="AX1303" i="2"/>
  <c r="AV1303" i="2"/>
  <c r="AU1303" i="2"/>
  <c r="AT1303" i="2"/>
  <c r="AS1303" i="2"/>
  <c r="AR1303" i="2"/>
  <c r="AO1303" i="2"/>
  <c r="AM1303" i="2"/>
  <c r="AL1303" i="2"/>
  <c r="AK1303" i="2"/>
  <c r="AJ1303" i="2"/>
  <c r="AI1303" i="2"/>
  <c r="AH1303" i="2"/>
  <c r="AG1303" i="2"/>
  <c r="AE1303" i="2"/>
  <c r="AD1303" i="2"/>
  <c r="AC1303" i="2"/>
  <c r="AA1303" i="2"/>
  <c r="Z1303" i="2"/>
  <c r="Y1303" i="2"/>
  <c r="W1303" i="2"/>
  <c r="V1303" i="2"/>
  <c r="U1303" i="2"/>
  <c r="T1303" i="2"/>
  <c r="S1303" i="2"/>
  <c r="R1303" i="2"/>
  <c r="Q1303" i="2"/>
  <c r="P1303" i="2"/>
  <c r="O1303" i="2"/>
  <c r="N1303" i="2"/>
  <c r="M1303" i="2"/>
  <c r="L1303" i="2"/>
  <c r="K1303" i="2"/>
  <c r="J1303" i="2"/>
  <c r="I1303" i="2"/>
  <c r="H1303" i="2"/>
  <c r="G1303" i="2"/>
  <c r="F1303" i="2"/>
  <c r="E1303" i="2"/>
  <c r="D1303" i="2"/>
  <c r="C1303" i="2"/>
  <c r="B1303" i="2"/>
  <c r="A1303" i="2"/>
  <c r="AX1302" i="2"/>
  <c r="AV1302" i="2"/>
  <c r="AU1302" i="2"/>
  <c r="AR1302" i="2"/>
  <c r="AO1302" i="2"/>
  <c r="AM1302" i="2"/>
  <c r="AK1302" i="2"/>
  <c r="AJ1302" i="2"/>
  <c r="AI1302" i="2"/>
  <c r="AH1302" i="2"/>
  <c r="AG1302" i="2"/>
  <c r="AE1302" i="2"/>
  <c r="AD1302" i="2"/>
  <c r="AC1302" i="2"/>
  <c r="AA1302" i="2"/>
  <c r="Z1302" i="2"/>
  <c r="Y1302" i="2"/>
  <c r="X1302" i="2"/>
  <c r="W1302" i="2"/>
  <c r="V1302" i="2"/>
  <c r="U1302" i="2"/>
  <c r="T1302" i="2"/>
  <c r="S1302" i="2"/>
  <c r="R1302" i="2"/>
  <c r="Q1302" i="2"/>
  <c r="P1302" i="2"/>
  <c r="O1302" i="2"/>
  <c r="N1302" i="2"/>
  <c r="M1302" i="2"/>
  <c r="L1302" i="2"/>
  <c r="K1302" i="2"/>
  <c r="J1302" i="2"/>
  <c r="I1302" i="2"/>
  <c r="H1302" i="2"/>
  <c r="G1302" i="2"/>
  <c r="F1302" i="2"/>
  <c r="E1302" i="2"/>
  <c r="D1302" i="2"/>
  <c r="C1302" i="2"/>
  <c r="B1302" i="2"/>
  <c r="A1302" i="2"/>
  <c r="AX1301" i="2"/>
  <c r="AV1301" i="2"/>
  <c r="AU1301" i="2"/>
  <c r="AT1301" i="2"/>
  <c r="AR1301" i="2"/>
  <c r="AO1301" i="2"/>
  <c r="AM1301" i="2"/>
  <c r="AK1301" i="2"/>
  <c r="AJ1301" i="2"/>
  <c r="AI1301" i="2"/>
  <c r="AH1301" i="2"/>
  <c r="AG1301" i="2"/>
  <c r="AE1301" i="2"/>
  <c r="AD1301" i="2"/>
  <c r="AC1301" i="2"/>
  <c r="AA1301" i="2"/>
  <c r="Z1301" i="2"/>
  <c r="Y1301" i="2"/>
  <c r="X1301" i="2"/>
  <c r="W1301" i="2"/>
  <c r="V1301" i="2"/>
  <c r="U1301" i="2"/>
  <c r="T1301" i="2"/>
  <c r="S1301" i="2"/>
  <c r="R1301" i="2"/>
  <c r="Q1301" i="2"/>
  <c r="P1301" i="2"/>
  <c r="O1301" i="2"/>
  <c r="N1301" i="2"/>
  <c r="M1301" i="2"/>
  <c r="L1301" i="2"/>
  <c r="K1301" i="2"/>
  <c r="J1301" i="2"/>
  <c r="I1301" i="2"/>
  <c r="H1301" i="2"/>
  <c r="G1301" i="2"/>
  <c r="F1301" i="2"/>
  <c r="E1301" i="2"/>
  <c r="D1301" i="2"/>
  <c r="C1301" i="2"/>
  <c r="B1301" i="2"/>
  <c r="A1301" i="2"/>
  <c r="AX1300" i="2"/>
  <c r="AV1300" i="2"/>
  <c r="AU1300" i="2"/>
  <c r="AR1300" i="2"/>
  <c r="AO1300" i="2"/>
  <c r="AM1300" i="2"/>
  <c r="AL1300" i="2"/>
  <c r="AK1300" i="2"/>
  <c r="AJ1300" i="2"/>
  <c r="AI1300" i="2"/>
  <c r="AH1300" i="2"/>
  <c r="AG1300" i="2"/>
  <c r="AE1300" i="2"/>
  <c r="AD1300" i="2"/>
  <c r="AC1300" i="2"/>
  <c r="AA1300" i="2"/>
  <c r="Z1300" i="2"/>
  <c r="Y1300" i="2"/>
  <c r="X1300" i="2"/>
  <c r="W1300" i="2"/>
  <c r="V1300" i="2"/>
  <c r="U1300" i="2"/>
  <c r="T1300" i="2"/>
  <c r="S1300" i="2"/>
  <c r="Q1300" i="2"/>
  <c r="P1300" i="2"/>
  <c r="O1300" i="2"/>
  <c r="N1300" i="2"/>
  <c r="M1300" i="2"/>
  <c r="L1300" i="2"/>
  <c r="K1300" i="2"/>
  <c r="J1300" i="2"/>
  <c r="I1300" i="2"/>
  <c r="H1300" i="2"/>
  <c r="G1300" i="2"/>
  <c r="F1300" i="2"/>
  <c r="E1300" i="2"/>
  <c r="D1300" i="2"/>
  <c r="C1300" i="2"/>
  <c r="B1300" i="2"/>
  <c r="A1300" i="2"/>
  <c r="AX1299" i="2"/>
  <c r="AV1299" i="2"/>
  <c r="AU1299" i="2"/>
  <c r="AT1299" i="2"/>
  <c r="AR1299" i="2"/>
  <c r="AP1299" i="2"/>
  <c r="AO1299" i="2"/>
  <c r="AM1299" i="2"/>
  <c r="AK1299" i="2"/>
  <c r="AJ1299" i="2"/>
  <c r="AI1299" i="2"/>
  <c r="AH1299" i="2"/>
  <c r="AG1299" i="2"/>
  <c r="AE1299" i="2"/>
  <c r="AD1299" i="2"/>
  <c r="AC1299" i="2"/>
  <c r="Z1299" i="2"/>
  <c r="Y1299" i="2"/>
  <c r="X1299" i="2"/>
  <c r="W1299" i="2"/>
  <c r="V1299" i="2"/>
  <c r="U1299" i="2"/>
  <c r="T1299" i="2"/>
  <c r="S1299" i="2"/>
  <c r="R1299" i="2"/>
  <c r="Q1299" i="2"/>
  <c r="P1299" i="2"/>
  <c r="O1299" i="2"/>
  <c r="N1299" i="2"/>
  <c r="M1299" i="2"/>
  <c r="L1299" i="2"/>
  <c r="K1299" i="2"/>
  <c r="J1299" i="2"/>
  <c r="I1299" i="2"/>
  <c r="H1299" i="2"/>
  <c r="G1299" i="2"/>
  <c r="F1299" i="2"/>
  <c r="E1299" i="2"/>
  <c r="D1299" i="2"/>
  <c r="C1299" i="2"/>
  <c r="B1299" i="2"/>
  <c r="A1299" i="2"/>
  <c r="AX1298" i="2"/>
  <c r="AV1298" i="2"/>
  <c r="AU1298" i="2"/>
  <c r="AS1298" i="2"/>
  <c r="AR1298" i="2"/>
  <c r="AQ1298" i="2"/>
  <c r="AO1298" i="2"/>
  <c r="AM1298" i="2"/>
  <c r="AL1298" i="2"/>
  <c r="AK1298" i="2"/>
  <c r="AJ1298" i="2"/>
  <c r="AI1298" i="2"/>
  <c r="AH1298" i="2"/>
  <c r="AG1298" i="2"/>
  <c r="AE1298" i="2"/>
  <c r="AD1298" i="2"/>
  <c r="AC1298" i="2"/>
  <c r="Z1298" i="2"/>
  <c r="Y1298" i="2"/>
  <c r="X1298" i="2"/>
  <c r="W1298" i="2"/>
  <c r="V1298" i="2"/>
  <c r="U1298" i="2"/>
  <c r="T1298" i="2"/>
  <c r="S1298" i="2"/>
  <c r="R1298" i="2"/>
  <c r="Q1298" i="2"/>
  <c r="P1298" i="2"/>
  <c r="O1298" i="2"/>
  <c r="N1298" i="2"/>
  <c r="M1298" i="2"/>
  <c r="L1298" i="2"/>
  <c r="K1298" i="2"/>
  <c r="J1298" i="2"/>
  <c r="I1298" i="2"/>
  <c r="H1298" i="2"/>
  <c r="G1298" i="2"/>
  <c r="F1298" i="2"/>
  <c r="E1298" i="2"/>
  <c r="D1298" i="2"/>
  <c r="C1298" i="2"/>
  <c r="B1298" i="2"/>
  <c r="A1298" i="2"/>
  <c r="AX1297" i="2"/>
  <c r="AV1297" i="2"/>
  <c r="AU1297" i="2"/>
  <c r="AT1297" i="2"/>
  <c r="AR1297" i="2"/>
  <c r="AQ1297" i="2"/>
  <c r="AP1297" i="2"/>
  <c r="AO1297" i="2"/>
  <c r="AM1297" i="2"/>
  <c r="AK1297" i="2"/>
  <c r="AJ1297" i="2"/>
  <c r="AI1297" i="2"/>
  <c r="AH1297" i="2"/>
  <c r="AG1297" i="2"/>
  <c r="AE1297" i="2"/>
  <c r="AD1297" i="2"/>
  <c r="AC1297" i="2"/>
  <c r="AA1297" i="2"/>
  <c r="Z1297" i="2"/>
  <c r="Y1297" i="2"/>
  <c r="X1297" i="2"/>
  <c r="W1297" i="2"/>
  <c r="V1297" i="2"/>
  <c r="U1297" i="2"/>
  <c r="T1297" i="2"/>
  <c r="S1297" i="2"/>
  <c r="R1297" i="2"/>
  <c r="Q1297" i="2"/>
  <c r="P1297" i="2"/>
  <c r="O1297" i="2"/>
  <c r="N1297" i="2"/>
  <c r="M1297" i="2"/>
  <c r="L1297" i="2"/>
  <c r="K1297" i="2"/>
  <c r="J1297" i="2"/>
  <c r="I1297" i="2"/>
  <c r="H1297" i="2"/>
  <c r="G1297" i="2"/>
  <c r="F1297" i="2"/>
  <c r="E1297" i="2"/>
  <c r="D1297" i="2"/>
  <c r="C1297" i="2"/>
  <c r="B1297" i="2"/>
  <c r="A1297" i="2"/>
  <c r="AX1296" i="2"/>
  <c r="AV1296" i="2"/>
  <c r="AU1296" i="2"/>
  <c r="AS1296" i="2"/>
  <c r="AR1296" i="2"/>
  <c r="AO1296" i="2"/>
  <c r="AM1296" i="2"/>
  <c r="AL1296" i="2"/>
  <c r="AK1296" i="2"/>
  <c r="AJ1296" i="2"/>
  <c r="AI1296" i="2"/>
  <c r="AH1296" i="2"/>
  <c r="AG1296" i="2"/>
  <c r="AF1296" i="2"/>
  <c r="AE1296" i="2"/>
  <c r="AD1296" i="2"/>
  <c r="AC1296" i="2"/>
  <c r="AA1296" i="2"/>
  <c r="Z1296" i="2"/>
  <c r="Y1296" i="2"/>
  <c r="W1296" i="2"/>
  <c r="V1296" i="2"/>
  <c r="U1296" i="2"/>
  <c r="T1296" i="2"/>
  <c r="S1296" i="2"/>
  <c r="R1296" i="2"/>
  <c r="Q1296" i="2"/>
  <c r="P1296" i="2"/>
  <c r="O1296" i="2"/>
  <c r="N1296" i="2"/>
  <c r="L1296" i="2"/>
  <c r="K1296" i="2"/>
  <c r="J1296" i="2"/>
  <c r="I1296" i="2"/>
  <c r="H1296" i="2"/>
  <c r="G1296" i="2"/>
  <c r="F1296" i="2"/>
  <c r="E1296" i="2"/>
  <c r="D1296" i="2"/>
  <c r="C1296" i="2"/>
  <c r="B1296" i="2"/>
  <c r="A1296" i="2"/>
  <c r="AX1295" i="2"/>
  <c r="AV1295" i="2"/>
  <c r="AU1295" i="2"/>
  <c r="AT1295" i="2"/>
  <c r="AR1295" i="2"/>
  <c r="AP1295" i="2"/>
  <c r="AO1295" i="2"/>
  <c r="AM1295" i="2"/>
  <c r="AL1295" i="2"/>
  <c r="AK1295" i="2"/>
  <c r="AJ1295" i="2"/>
  <c r="AI1295" i="2"/>
  <c r="AH1295" i="2"/>
  <c r="AG1295" i="2"/>
  <c r="AE1295" i="2"/>
  <c r="AD1295" i="2"/>
  <c r="AC1295" i="2"/>
  <c r="AA1295" i="2"/>
  <c r="Z1295" i="2"/>
  <c r="Y1295" i="2"/>
  <c r="X1295" i="2"/>
  <c r="W1295" i="2"/>
  <c r="V1295" i="2"/>
  <c r="U1295" i="2"/>
  <c r="T1295" i="2"/>
  <c r="S1295" i="2"/>
  <c r="R1295" i="2"/>
  <c r="Q1295" i="2"/>
  <c r="P1295" i="2"/>
  <c r="O1295" i="2"/>
  <c r="N1295" i="2"/>
  <c r="M1295" i="2"/>
  <c r="L1295" i="2"/>
  <c r="K1295" i="2"/>
  <c r="J1295" i="2"/>
  <c r="I1295" i="2"/>
  <c r="H1295" i="2"/>
  <c r="G1295" i="2"/>
  <c r="F1295" i="2"/>
  <c r="E1295" i="2"/>
  <c r="D1295" i="2"/>
  <c r="C1295" i="2"/>
  <c r="B1295" i="2"/>
  <c r="A1295" i="2"/>
  <c r="AX1294" i="2"/>
  <c r="AV1294" i="2"/>
  <c r="AU1294" i="2"/>
  <c r="AS1294" i="2"/>
  <c r="AR1294" i="2"/>
  <c r="AQ1294" i="2"/>
  <c r="AP1294" i="2"/>
  <c r="AO1294" i="2"/>
  <c r="AM1294" i="2"/>
  <c r="AK1294" i="2"/>
  <c r="AJ1294" i="2"/>
  <c r="AI1294" i="2"/>
  <c r="AH1294" i="2"/>
  <c r="AG1294" i="2"/>
  <c r="AE1294" i="2"/>
  <c r="AD1294" i="2"/>
  <c r="AC1294" i="2"/>
  <c r="AA1294" i="2"/>
  <c r="Z1294" i="2"/>
  <c r="Y1294" i="2"/>
  <c r="X1294" i="2"/>
  <c r="W1294" i="2"/>
  <c r="V1294" i="2"/>
  <c r="U1294" i="2"/>
  <c r="T1294" i="2"/>
  <c r="S1294" i="2"/>
  <c r="R1294" i="2"/>
  <c r="Q1294" i="2"/>
  <c r="P1294" i="2"/>
  <c r="O1294" i="2"/>
  <c r="N1294" i="2"/>
  <c r="M1294" i="2"/>
  <c r="L1294" i="2"/>
  <c r="K1294" i="2"/>
  <c r="J1294" i="2"/>
  <c r="I1294" i="2"/>
  <c r="H1294" i="2"/>
  <c r="G1294" i="2"/>
  <c r="F1294" i="2"/>
  <c r="E1294" i="2"/>
  <c r="D1294" i="2"/>
  <c r="C1294" i="2"/>
  <c r="B1294" i="2"/>
  <c r="A1294" i="2"/>
  <c r="AX1293" i="2"/>
  <c r="AV1293" i="2"/>
  <c r="AU1293" i="2"/>
  <c r="AT1293" i="2"/>
  <c r="AS1293" i="2"/>
  <c r="AR1293" i="2"/>
  <c r="AO1293" i="2"/>
  <c r="AM1293" i="2"/>
  <c r="AL1293" i="2"/>
  <c r="AK1293" i="2"/>
  <c r="AJ1293" i="2"/>
  <c r="AI1293" i="2"/>
  <c r="AH1293" i="2"/>
  <c r="AG1293" i="2"/>
  <c r="AE1293" i="2"/>
  <c r="AD1293" i="2"/>
  <c r="AC1293" i="2"/>
  <c r="AA1293" i="2"/>
  <c r="Z1293" i="2"/>
  <c r="Y1293" i="2"/>
  <c r="X1293" i="2"/>
  <c r="W1293" i="2"/>
  <c r="V1293" i="2"/>
  <c r="U1293" i="2"/>
  <c r="T1293" i="2"/>
  <c r="S1293" i="2"/>
  <c r="R1293" i="2"/>
  <c r="Q1293" i="2"/>
  <c r="P1293" i="2"/>
  <c r="O1293" i="2"/>
  <c r="N1293" i="2"/>
  <c r="M1293" i="2"/>
  <c r="L1293" i="2"/>
  <c r="K1293" i="2"/>
  <c r="J1293" i="2"/>
  <c r="I1293" i="2"/>
  <c r="H1293" i="2"/>
  <c r="G1293" i="2"/>
  <c r="F1293" i="2"/>
  <c r="E1293" i="2"/>
  <c r="D1293" i="2"/>
  <c r="C1293" i="2"/>
  <c r="B1293" i="2"/>
  <c r="A1293" i="2"/>
  <c r="AX1292" i="2"/>
  <c r="AV1292" i="2"/>
  <c r="AU1292" i="2"/>
  <c r="AR1292" i="2"/>
  <c r="AO1292" i="2"/>
  <c r="AM1292" i="2"/>
  <c r="AK1292" i="2"/>
  <c r="AJ1292" i="2"/>
  <c r="AI1292" i="2"/>
  <c r="AH1292" i="2"/>
  <c r="AG1292" i="2"/>
  <c r="AF1292" i="2"/>
  <c r="AE1292" i="2"/>
  <c r="AD1292" i="2"/>
  <c r="AC1292" i="2"/>
  <c r="Z1292" i="2"/>
  <c r="Y1292" i="2"/>
  <c r="X1292" i="2"/>
  <c r="W1292" i="2"/>
  <c r="V1292" i="2"/>
  <c r="U1292" i="2"/>
  <c r="T1292" i="2"/>
  <c r="S1292" i="2"/>
  <c r="R1292" i="2"/>
  <c r="Q1292" i="2"/>
  <c r="P1292" i="2"/>
  <c r="O1292" i="2"/>
  <c r="N1292" i="2"/>
  <c r="M1292" i="2"/>
  <c r="L1292" i="2"/>
  <c r="K1292" i="2"/>
  <c r="J1292" i="2"/>
  <c r="I1292" i="2"/>
  <c r="H1292" i="2"/>
  <c r="G1292" i="2"/>
  <c r="F1292" i="2"/>
  <c r="E1292" i="2"/>
  <c r="D1292" i="2"/>
  <c r="C1292" i="2"/>
  <c r="B1292" i="2"/>
  <c r="A1292" i="2"/>
  <c r="AX1291" i="2"/>
  <c r="AV1291" i="2"/>
  <c r="AU1291" i="2"/>
  <c r="AR1291" i="2"/>
  <c r="AO1291" i="2"/>
  <c r="AM1291" i="2"/>
  <c r="AK1291" i="2"/>
  <c r="AJ1291" i="2"/>
  <c r="AI1291" i="2"/>
  <c r="AH1291" i="2"/>
  <c r="AG1291" i="2"/>
  <c r="AE1291" i="2"/>
  <c r="AD1291" i="2"/>
  <c r="AC1291" i="2"/>
  <c r="AA1291" i="2"/>
  <c r="Z1291" i="2"/>
  <c r="Y1291" i="2"/>
  <c r="X1291" i="2"/>
  <c r="W1291" i="2"/>
  <c r="V1291" i="2"/>
  <c r="U1291" i="2"/>
  <c r="T1291" i="2"/>
  <c r="S1291" i="2"/>
  <c r="R1291" i="2"/>
  <c r="Q1291" i="2"/>
  <c r="P1291" i="2"/>
  <c r="O1291" i="2"/>
  <c r="N1291" i="2"/>
  <c r="M1291" i="2"/>
  <c r="L1291" i="2"/>
  <c r="K1291" i="2"/>
  <c r="J1291" i="2"/>
  <c r="I1291" i="2"/>
  <c r="H1291" i="2"/>
  <c r="G1291" i="2"/>
  <c r="F1291" i="2"/>
  <c r="E1291" i="2"/>
  <c r="D1291" i="2"/>
  <c r="C1291" i="2"/>
  <c r="B1291" i="2"/>
  <c r="A1291" i="2"/>
  <c r="AX1290" i="2"/>
  <c r="AV1290" i="2"/>
  <c r="AU1290" i="2"/>
  <c r="AS1290" i="2"/>
  <c r="AR1290" i="2"/>
  <c r="AP1290" i="2"/>
  <c r="AO1290" i="2"/>
  <c r="AM1290" i="2"/>
  <c r="AK1290" i="2"/>
  <c r="AJ1290" i="2"/>
  <c r="AI1290" i="2"/>
  <c r="AH1290" i="2"/>
  <c r="AG1290" i="2"/>
  <c r="AF1290" i="2"/>
  <c r="AE1290" i="2"/>
  <c r="AD1290" i="2"/>
  <c r="AC1290" i="2"/>
  <c r="AA1290" i="2"/>
  <c r="Z1290" i="2"/>
  <c r="Y1290" i="2"/>
  <c r="X1290" i="2"/>
  <c r="W1290" i="2"/>
  <c r="V1290" i="2"/>
  <c r="U1290" i="2"/>
  <c r="T1290" i="2"/>
  <c r="S1290" i="2"/>
  <c r="R1290" i="2"/>
  <c r="Q1290" i="2"/>
  <c r="P1290" i="2"/>
  <c r="O1290" i="2"/>
  <c r="N1290" i="2"/>
  <c r="M1290" i="2"/>
  <c r="L1290" i="2"/>
  <c r="K1290" i="2"/>
  <c r="J1290" i="2"/>
  <c r="I1290" i="2"/>
  <c r="H1290" i="2"/>
  <c r="G1290" i="2"/>
  <c r="F1290" i="2"/>
  <c r="E1290" i="2"/>
  <c r="D1290" i="2"/>
  <c r="C1290" i="2"/>
  <c r="B1290" i="2"/>
  <c r="A1290" i="2"/>
  <c r="AX1289" i="2"/>
  <c r="AV1289" i="2"/>
  <c r="AU1289" i="2"/>
  <c r="AR1289" i="2"/>
  <c r="AO1289" i="2"/>
  <c r="AM1289" i="2"/>
  <c r="AL1289" i="2"/>
  <c r="AK1289" i="2"/>
  <c r="AJ1289" i="2"/>
  <c r="AI1289" i="2"/>
  <c r="AH1289" i="2"/>
  <c r="AG1289" i="2"/>
  <c r="AD1289" i="2"/>
  <c r="AC1289" i="2"/>
  <c r="AA1289" i="2"/>
  <c r="Z1289" i="2"/>
  <c r="Y1289" i="2"/>
  <c r="X1289" i="2"/>
  <c r="W1289" i="2"/>
  <c r="V1289" i="2"/>
  <c r="U1289" i="2"/>
  <c r="T1289" i="2"/>
  <c r="S1289" i="2"/>
  <c r="R1289" i="2"/>
  <c r="Q1289" i="2"/>
  <c r="P1289" i="2"/>
  <c r="N1289" i="2"/>
  <c r="M1289" i="2"/>
  <c r="L1289" i="2"/>
  <c r="K1289" i="2"/>
  <c r="J1289" i="2"/>
  <c r="I1289" i="2"/>
  <c r="H1289" i="2"/>
  <c r="G1289" i="2"/>
  <c r="F1289" i="2"/>
  <c r="E1289" i="2"/>
  <c r="D1289" i="2"/>
  <c r="C1289" i="2"/>
  <c r="B1289" i="2"/>
  <c r="A1289" i="2"/>
  <c r="AX1288" i="2"/>
  <c r="AV1288" i="2"/>
  <c r="AU1288" i="2"/>
  <c r="AT1288" i="2"/>
  <c r="AS1288" i="2"/>
  <c r="AR1288" i="2"/>
  <c r="AP1288" i="2"/>
  <c r="AO1288" i="2"/>
  <c r="AM1288" i="2"/>
  <c r="AL1288" i="2"/>
  <c r="AK1288" i="2"/>
  <c r="AJ1288" i="2"/>
  <c r="AI1288" i="2"/>
  <c r="AH1288" i="2"/>
  <c r="AG1288" i="2"/>
  <c r="AE1288" i="2"/>
  <c r="AD1288" i="2"/>
  <c r="AC1288" i="2"/>
  <c r="AA1288" i="2"/>
  <c r="Z1288" i="2"/>
  <c r="Y1288" i="2"/>
  <c r="X1288" i="2"/>
  <c r="W1288" i="2"/>
  <c r="V1288" i="2"/>
  <c r="U1288" i="2"/>
  <c r="T1288" i="2"/>
  <c r="S1288" i="2"/>
  <c r="R1288" i="2"/>
  <c r="Q1288" i="2"/>
  <c r="P1288" i="2"/>
  <c r="O1288" i="2"/>
  <c r="N1288" i="2"/>
  <c r="M1288" i="2"/>
  <c r="L1288" i="2"/>
  <c r="K1288" i="2"/>
  <c r="J1288" i="2"/>
  <c r="I1288" i="2"/>
  <c r="H1288" i="2"/>
  <c r="G1288" i="2"/>
  <c r="F1288" i="2"/>
  <c r="E1288" i="2"/>
  <c r="D1288" i="2"/>
  <c r="C1288" i="2"/>
  <c r="B1288" i="2"/>
  <c r="A1288" i="2"/>
  <c r="AX1287" i="2"/>
  <c r="AV1287" i="2"/>
  <c r="AU1287" i="2"/>
  <c r="AS1287" i="2"/>
  <c r="AR1287" i="2"/>
  <c r="AQ1287" i="2"/>
  <c r="AP1287" i="2"/>
  <c r="AO1287" i="2"/>
  <c r="AM1287" i="2"/>
  <c r="AK1287" i="2"/>
  <c r="AJ1287" i="2"/>
  <c r="AI1287" i="2"/>
  <c r="AH1287" i="2"/>
  <c r="AG1287" i="2"/>
  <c r="AE1287" i="2"/>
  <c r="AD1287" i="2"/>
  <c r="AC1287" i="2"/>
  <c r="AA1287" i="2"/>
  <c r="Z1287" i="2"/>
  <c r="Y1287" i="2"/>
  <c r="X1287" i="2"/>
  <c r="W1287" i="2"/>
  <c r="V1287" i="2"/>
  <c r="U1287" i="2"/>
  <c r="T1287" i="2"/>
  <c r="S1287" i="2"/>
  <c r="R1287" i="2"/>
  <c r="Q1287" i="2"/>
  <c r="P1287" i="2"/>
  <c r="O1287" i="2"/>
  <c r="N1287" i="2"/>
  <c r="M1287" i="2"/>
  <c r="L1287" i="2"/>
  <c r="K1287" i="2"/>
  <c r="J1287" i="2"/>
  <c r="I1287" i="2"/>
  <c r="H1287" i="2"/>
  <c r="G1287" i="2"/>
  <c r="F1287" i="2"/>
  <c r="E1287" i="2"/>
  <c r="D1287" i="2"/>
  <c r="C1287" i="2"/>
  <c r="B1287" i="2"/>
  <c r="A1287" i="2"/>
  <c r="AX1286" i="2"/>
  <c r="AV1286" i="2"/>
  <c r="AU1286" i="2"/>
  <c r="AT1286" i="2"/>
  <c r="AS1286" i="2"/>
  <c r="AR1286" i="2"/>
  <c r="AP1286" i="2"/>
  <c r="AO1286" i="2"/>
  <c r="AM1286" i="2"/>
  <c r="AL1286" i="2"/>
  <c r="AK1286" i="2"/>
  <c r="AJ1286" i="2"/>
  <c r="AI1286" i="2"/>
  <c r="AH1286" i="2"/>
  <c r="AG1286" i="2"/>
  <c r="AE1286" i="2"/>
  <c r="AD1286" i="2"/>
  <c r="AC1286" i="2"/>
  <c r="AA1286" i="2"/>
  <c r="Z1286" i="2"/>
  <c r="Y1286" i="2"/>
  <c r="X1286" i="2"/>
  <c r="W1286" i="2"/>
  <c r="V1286" i="2"/>
  <c r="U1286" i="2"/>
  <c r="T1286" i="2"/>
  <c r="S1286" i="2"/>
  <c r="R1286" i="2"/>
  <c r="Q1286" i="2"/>
  <c r="P1286" i="2"/>
  <c r="O1286" i="2"/>
  <c r="N1286" i="2"/>
  <c r="M1286" i="2"/>
  <c r="L1286" i="2"/>
  <c r="K1286" i="2"/>
  <c r="J1286" i="2"/>
  <c r="I1286" i="2"/>
  <c r="H1286" i="2"/>
  <c r="G1286" i="2"/>
  <c r="F1286" i="2"/>
  <c r="E1286" i="2"/>
  <c r="D1286" i="2"/>
  <c r="C1286" i="2"/>
  <c r="B1286" i="2"/>
  <c r="A1286" i="2"/>
  <c r="AX1285" i="2"/>
  <c r="AV1285" i="2"/>
  <c r="AU1285" i="2"/>
  <c r="AT1285" i="2"/>
  <c r="AS1285" i="2"/>
  <c r="AR1285" i="2"/>
  <c r="AP1285" i="2"/>
  <c r="AO1285" i="2"/>
  <c r="AM1285" i="2"/>
  <c r="AL1285" i="2"/>
  <c r="AK1285" i="2"/>
  <c r="AJ1285" i="2"/>
  <c r="AI1285" i="2"/>
  <c r="AH1285" i="2"/>
  <c r="AG1285" i="2"/>
  <c r="AE1285" i="2"/>
  <c r="AD1285" i="2"/>
  <c r="AC1285" i="2"/>
  <c r="AA1285" i="2"/>
  <c r="Z1285" i="2"/>
  <c r="Y1285" i="2"/>
  <c r="X1285" i="2"/>
  <c r="W1285" i="2"/>
  <c r="V1285" i="2"/>
  <c r="U1285" i="2"/>
  <c r="T1285" i="2"/>
  <c r="S1285" i="2"/>
  <c r="R1285" i="2"/>
  <c r="Q1285" i="2"/>
  <c r="P1285" i="2"/>
  <c r="O1285" i="2"/>
  <c r="N1285" i="2"/>
  <c r="M1285" i="2"/>
  <c r="L1285" i="2"/>
  <c r="K1285" i="2"/>
  <c r="J1285" i="2"/>
  <c r="I1285" i="2"/>
  <c r="H1285" i="2"/>
  <c r="G1285" i="2"/>
  <c r="F1285" i="2"/>
  <c r="E1285" i="2"/>
  <c r="D1285" i="2"/>
  <c r="C1285" i="2"/>
  <c r="B1285" i="2"/>
  <c r="A1285" i="2"/>
  <c r="AX1284" i="2"/>
  <c r="AV1284" i="2"/>
  <c r="AU1284" i="2"/>
  <c r="AS1284" i="2"/>
  <c r="AR1284" i="2"/>
  <c r="AP1284" i="2"/>
  <c r="AO1284" i="2"/>
  <c r="AM1284" i="2"/>
  <c r="AK1284" i="2"/>
  <c r="AJ1284" i="2"/>
  <c r="AI1284" i="2"/>
  <c r="AH1284" i="2"/>
  <c r="AG1284" i="2"/>
  <c r="AF1284" i="2"/>
  <c r="AE1284" i="2"/>
  <c r="AD1284" i="2"/>
  <c r="AC1284" i="2"/>
  <c r="Z1284" i="2"/>
  <c r="Y1284" i="2"/>
  <c r="X1284" i="2"/>
  <c r="W1284" i="2"/>
  <c r="V1284" i="2"/>
  <c r="U1284" i="2"/>
  <c r="T1284" i="2"/>
  <c r="S1284" i="2"/>
  <c r="R1284" i="2"/>
  <c r="Q1284" i="2"/>
  <c r="P1284" i="2"/>
  <c r="O1284" i="2"/>
  <c r="N1284" i="2"/>
  <c r="M1284" i="2"/>
  <c r="L1284" i="2"/>
  <c r="K1284" i="2"/>
  <c r="J1284" i="2"/>
  <c r="I1284" i="2"/>
  <c r="H1284" i="2"/>
  <c r="G1284" i="2"/>
  <c r="F1284" i="2"/>
  <c r="E1284" i="2"/>
  <c r="D1284" i="2"/>
  <c r="C1284" i="2"/>
  <c r="B1284" i="2"/>
  <c r="A1284" i="2"/>
  <c r="AX1283" i="2"/>
  <c r="AV1283" i="2"/>
  <c r="AU1283" i="2"/>
  <c r="AT1283" i="2"/>
  <c r="AS1283" i="2"/>
  <c r="AR1283" i="2"/>
  <c r="AO1283" i="2"/>
  <c r="AM1283" i="2"/>
  <c r="AK1283" i="2"/>
  <c r="AJ1283" i="2"/>
  <c r="AI1283" i="2"/>
  <c r="AH1283" i="2"/>
  <c r="AG1283" i="2"/>
  <c r="AE1283" i="2"/>
  <c r="AC1283" i="2"/>
  <c r="Z1283" i="2"/>
  <c r="Y1283" i="2"/>
  <c r="X1283" i="2"/>
  <c r="W1283" i="2"/>
  <c r="V1283" i="2"/>
  <c r="U1283" i="2"/>
  <c r="T1283" i="2"/>
  <c r="S1283" i="2"/>
  <c r="R1283" i="2"/>
  <c r="Q1283" i="2"/>
  <c r="P1283" i="2"/>
  <c r="O1283" i="2"/>
  <c r="N1283" i="2"/>
  <c r="M1283" i="2"/>
  <c r="L1283" i="2"/>
  <c r="K1283" i="2"/>
  <c r="J1283" i="2"/>
  <c r="I1283" i="2"/>
  <c r="H1283" i="2"/>
  <c r="G1283" i="2"/>
  <c r="F1283" i="2"/>
  <c r="E1283" i="2"/>
  <c r="D1283" i="2"/>
  <c r="C1283" i="2"/>
  <c r="B1283" i="2"/>
  <c r="A1283" i="2"/>
  <c r="AX1282" i="2"/>
  <c r="AV1282" i="2"/>
  <c r="AU1282" i="2"/>
  <c r="AR1282" i="2"/>
  <c r="AO1282" i="2"/>
  <c r="AM1282" i="2"/>
  <c r="AL1282" i="2"/>
  <c r="AK1282" i="2"/>
  <c r="AJ1282" i="2"/>
  <c r="AI1282" i="2"/>
  <c r="AH1282" i="2"/>
  <c r="AG1282" i="2"/>
  <c r="AE1282" i="2"/>
  <c r="AD1282" i="2"/>
  <c r="AC1282" i="2"/>
  <c r="Z1282" i="2"/>
  <c r="Y1282" i="2"/>
  <c r="X1282" i="2"/>
  <c r="W1282" i="2"/>
  <c r="V1282" i="2"/>
  <c r="U1282" i="2"/>
  <c r="T1282" i="2"/>
  <c r="S1282" i="2"/>
  <c r="R1282" i="2"/>
  <c r="Q1282" i="2"/>
  <c r="P1282" i="2"/>
  <c r="O1282" i="2"/>
  <c r="N1282" i="2"/>
  <c r="M1282" i="2"/>
  <c r="L1282" i="2"/>
  <c r="K1282" i="2"/>
  <c r="J1282" i="2"/>
  <c r="I1282" i="2"/>
  <c r="H1282" i="2"/>
  <c r="G1282" i="2"/>
  <c r="F1282" i="2"/>
  <c r="E1282" i="2"/>
  <c r="D1282" i="2"/>
  <c r="C1282" i="2"/>
  <c r="B1282" i="2"/>
  <c r="A1282" i="2"/>
  <c r="AX1281" i="2"/>
  <c r="AV1281" i="2"/>
  <c r="AU1281" i="2"/>
  <c r="AR1281" i="2"/>
  <c r="AP1281" i="2"/>
  <c r="AO1281" i="2"/>
  <c r="AM1281" i="2"/>
  <c r="AL1281" i="2"/>
  <c r="AK1281" i="2"/>
  <c r="AJ1281" i="2"/>
  <c r="AI1281" i="2"/>
  <c r="AH1281" i="2"/>
  <c r="AG1281" i="2"/>
  <c r="AC1281" i="2"/>
  <c r="Z1281" i="2"/>
  <c r="Y1281" i="2"/>
  <c r="V1281" i="2"/>
  <c r="U1281" i="2"/>
  <c r="T1281" i="2"/>
  <c r="S1281" i="2"/>
  <c r="R1281" i="2"/>
  <c r="Q1281" i="2"/>
  <c r="P1281" i="2"/>
  <c r="O1281" i="2"/>
  <c r="N1281" i="2"/>
  <c r="M1281" i="2"/>
  <c r="L1281" i="2"/>
  <c r="K1281" i="2"/>
  <c r="J1281" i="2"/>
  <c r="I1281" i="2"/>
  <c r="H1281" i="2"/>
  <c r="G1281" i="2"/>
  <c r="F1281" i="2"/>
  <c r="E1281" i="2"/>
  <c r="D1281" i="2"/>
  <c r="C1281" i="2"/>
  <c r="B1281" i="2"/>
  <c r="A1281" i="2"/>
  <c r="AX1280" i="2"/>
  <c r="AV1280" i="2"/>
  <c r="AU1280" i="2"/>
  <c r="AS1280" i="2"/>
  <c r="AR1280" i="2"/>
  <c r="AQ1280" i="2"/>
  <c r="AP1280" i="2"/>
  <c r="AO1280" i="2"/>
  <c r="AM1280" i="2"/>
  <c r="AK1280" i="2"/>
  <c r="AJ1280" i="2"/>
  <c r="AI1280" i="2"/>
  <c r="AH1280" i="2"/>
  <c r="AG1280" i="2"/>
  <c r="AE1280" i="2"/>
  <c r="AD1280" i="2"/>
  <c r="AC1280" i="2"/>
  <c r="Z1280" i="2"/>
  <c r="Y1280" i="2"/>
  <c r="X1280" i="2"/>
  <c r="W1280" i="2"/>
  <c r="V1280" i="2"/>
  <c r="U1280" i="2"/>
  <c r="T1280" i="2"/>
  <c r="S1280" i="2"/>
  <c r="R1280" i="2"/>
  <c r="Q1280" i="2"/>
  <c r="P1280" i="2"/>
  <c r="O1280" i="2"/>
  <c r="N1280" i="2"/>
  <c r="M1280" i="2"/>
  <c r="L1280" i="2"/>
  <c r="K1280" i="2"/>
  <c r="J1280" i="2"/>
  <c r="I1280" i="2"/>
  <c r="H1280" i="2"/>
  <c r="G1280" i="2"/>
  <c r="F1280" i="2"/>
  <c r="E1280" i="2"/>
  <c r="D1280" i="2"/>
  <c r="C1280" i="2"/>
  <c r="B1280" i="2"/>
  <c r="A1280" i="2"/>
  <c r="AX1279" i="2"/>
  <c r="AV1279" i="2"/>
  <c r="AU1279" i="2"/>
  <c r="AT1279" i="2"/>
  <c r="AS1279" i="2"/>
  <c r="AR1279" i="2"/>
  <c r="AO1279" i="2"/>
  <c r="AM1279" i="2"/>
  <c r="AL1279" i="2"/>
  <c r="AK1279" i="2"/>
  <c r="AJ1279" i="2"/>
  <c r="AI1279" i="2"/>
  <c r="AH1279" i="2"/>
  <c r="AG1279" i="2"/>
  <c r="AE1279" i="2"/>
  <c r="AD1279" i="2"/>
  <c r="AC1279" i="2"/>
  <c r="AA1279" i="2"/>
  <c r="Z1279" i="2"/>
  <c r="Y1279" i="2"/>
  <c r="X1279" i="2"/>
  <c r="W1279" i="2"/>
  <c r="V1279" i="2"/>
  <c r="U1279" i="2"/>
  <c r="T1279" i="2"/>
  <c r="S1279" i="2"/>
  <c r="R1279" i="2"/>
  <c r="Q1279" i="2"/>
  <c r="P1279" i="2"/>
  <c r="O1279" i="2"/>
  <c r="N1279" i="2"/>
  <c r="M1279" i="2"/>
  <c r="L1279" i="2"/>
  <c r="K1279" i="2"/>
  <c r="J1279" i="2"/>
  <c r="I1279" i="2"/>
  <c r="H1279" i="2"/>
  <c r="G1279" i="2"/>
  <c r="F1279" i="2"/>
  <c r="E1279" i="2"/>
  <c r="D1279" i="2"/>
  <c r="C1279" i="2"/>
  <c r="B1279" i="2"/>
  <c r="A1279" i="2"/>
  <c r="AX1278" i="2"/>
  <c r="AV1278" i="2"/>
  <c r="AU1278" i="2"/>
  <c r="AR1278" i="2"/>
  <c r="AP1278" i="2"/>
  <c r="AO1278" i="2"/>
  <c r="AM1278" i="2"/>
  <c r="AK1278" i="2"/>
  <c r="AJ1278" i="2"/>
  <c r="AI1278" i="2"/>
  <c r="AH1278" i="2"/>
  <c r="AG1278" i="2"/>
  <c r="AE1278" i="2"/>
  <c r="AC1278" i="2"/>
  <c r="Z1278" i="2"/>
  <c r="Y1278" i="2"/>
  <c r="X1278" i="2"/>
  <c r="W1278" i="2"/>
  <c r="V1278" i="2"/>
  <c r="U1278" i="2"/>
  <c r="T1278" i="2"/>
  <c r="S1278" i="2"/>
  <c r="R1278" i="2"/>
  <c r="Q1278" i="2"/>
  <c r="P1278" i="2"/>
  <c r="O1278" i="2"/>
  <c r="N1278" i="2"/>
  <c r="M1278" i="2"/>
  <c r="L1278" i="2"/>
  <c r="K1278" i="2"/>
  <c r="J1278" i="2"/>
  <c r="I1278" i="2"/>
  <c r="H1278" i="2"/>
  <c r="G1278" i="2"/>
  <c r="F1278" i="2"/>
  <c r="E1278" i="2"/>
  <c r="D1278" i="2"/>
  <c r="C1278" i="2"/>
  <c r="B1278" i="2"/>
  <c r="A1278" i="2"/>
  <c r="AX1277" i="2"/>
  <c r="AV1277" i="2"/>
  <c r="AU1277" i="2"/>
  <c r="AS1277" i="2"/>
  <c r="AR1277" i="2"/>
  <c r="AQ1277" i="2"/>
  <c r="AP1277" i="2"/>
  <c r="AO1277" i="2"/>
  <c r="AM1277" i="2"/>
  <c r="AK1277" i="2"/>
  <c r="AJ1277" i="2"/>
  <c r="AI1277" i="2"/>
  <c r="AH1277" i="2"/>
  <c r="AG1277" i="2"/>
  <c r="AE1277" i="2"/>
  <c r="AD1277" i="2"/>
  <c r="AC1277" i="2"/>
  <c r="AA1277" i="2"/>
  <c r="Z1277" i="2"/>
  <c r="Y1277" i="2"/>
  <c r="X1277" i="2"/>
  <c r="W1277" i="2"/>
  <c r="V1277" i="2"/>
  <c r="U1277" i="2"/>
  <c r="T1277" i="2"/>
  <c r="S1277" i="2"/>
  <c r="R1277" i="2"/>
  <c r="Q1277" i="2"/>
  <c r="P1277" i="2"/>
  <c r="O1277" i="2"/>
  <c r="N1277" i="2"/>
  <c r="M1277" i="2"/>
  <c r="L1277" i="2"/>
  <c r="K1277" i="2"/>
  <c r="J1277" i="2"/>
  <c r="I1277" i="2"/>
  <c r="H1277" i="2"/>
  <c r="G1277" i="2"/>
  <c r="F1277" i="2"/>
  <c r="E1277" i="2"/>
  <c r="D1277" i="2"/>
  <c r="C1277" i="2"/>
  <c r="B1277" i="2"/>
  <c r="A1277" i="2"/>
  <c r="AX1276" i="2"/>
  <c r="AV1276" i="2"/>
  <c r="AU1276" i="2"/>
  <c r="AT1276" i="2"/>
  <c r="AR1276" i="2"/>
  <c r="AO1276" i="2"/>
  <c r="AM1276" i="2"/>
  <c r="AK1276" i="2"/>
  <c r="AJ1276" i="2"/>
  <c r="AI1276" i="2"/>
  <c r="AH1276" i="2"/>
  <c r="AG1276" i="2"/>
  <c r="AE1276" i="2"/>
  <c r="AD1276" i="2"/>
  <c r="AC1276" i="2"/>
  <c r="AA1276" i="2"/>
  <c r="Z1276" i="2"/>
  <c r="Y1276" i="2"/>
  <c r="X1276" i="2"/>
  <c r="W1276" i="2"/>
  <c r="V1276" i="2"/>
  <c r="U1276" i="2"/>
  <c r="T1276" i="2"/>
  <c r="S1276" i="2"/>
  <c r="R1276" i="2"/>
  <c r="Q1276" i="2"/>
  <c r="P1276" i="2"/>
  <c r="O1276" i="2"/>
  <c r="N1276" i="2"/>
  <c r="M1276" i="2"/>
  <c r="L1276" i="2"/>
  <c r="K1276" i="2"/>
  <c r="J1276" i="2"/>
  <c r="I1276" i="2"/>
  <c r="H1276" i="2"/>
  <c r="G1276" i="2"/>
  <c r="F1276" i="2"/>
  <c r="E1276" i="2"/>
  <c r="D1276" i="2"/>
  <c r="C1276" i="2"/>
  <c r="B1276" i="2"/>
  <c r="A1276" i="2"/>
  <c r="AX1275" i="2"/>
  <c r="AV1275" i="2"/>
  <c r="AU1275" i="2"/>
  <c r="AS1275" i="2"/>
  <c r="AR1275" i="2"/>
  <c r="AP1275" i="2"/>
  <c r="AO1275" i="2"/>
  <c r="AM1275" i="2"/>
  <c r="AK1275" i="2"/>
  <c r="AJ1275" i="2"/>
  <c r="AI1275" i="2"/>
  <c r="AH1275" i="2"/>
  <c r="AG1275" i="2"/>
  <c r="AE1275" i="2"/>
  <c r="AC1275" i="2"/>
  <c r="AA1275" i="2"/>
  <c r="Z1275" i="2"/>
  <c r="Y1275" i="2"/>
  <c r="X1275" i="2"/>
  <c r="W1275" i="2"/>
  <c r="V1275" i="2"/>
  <c r="U1275" i="2"/>
  <c r="T1275" i="2"/>
  <c r="S1275" i="2"/>
  <c r="R1275" i="2"/>
  <c r="Q1275" i="2"/>
  <c r="P1275" i="2"/>
  <c r="O1275" i="2"/>
  <c r="N1275" i="2"/>
  <c r="M1275" i="2"/>
  <c r="L1275" i="2"/>
  <c r="K1275" i="2"/>
  <c r="J1275" i="2"/>
  <c r="I1275" i="2"/>
  <c r="H1275" i="2"/>
  <c r="G1275" i="2"/>
  <c r="F1275" i="2"/>
  <c r="E1275" i="2"/>
  <c r="D1275" i="2"/>
  <c r="C1275" i="2"/>
  <c r="B1275" i="2"/>
  <c r="A1275" i="2"/>
  <c r="AX1274" i="2"/>
  <c r="AV1274" i="2"/>
  <c r="AU1274" i="2"/>
  <c r="AT1274" i="2"/>
  <c r="AR1274" i="2"/>
  <c r="AO1274" i="2"/>
  <c r="AM1274" i="2"/>
  <c r="AK1274" i="2"/>
  <c r="AJ1274" i="2"/>
  <c r="AI1274" i="2"/>
  <c r="AH1274" i="2"/>
  <c r="AG1274" i="2"/>
  <c r="AE1274" i="2"/>
  <c r="AC1274" i="2"/>
  <c r="Z1274" i="2"/>
  <c r="Y1274" i="2"/>
  <c r="X1274" i="2"/>
  <c r="W1274" i="2"/>
  <c r="V1274" i="2"/>
  <c r="U1274" i="2"/>
  <c r="T1274" i="2"/>
  <c r="S1274" i="2"/>
  <c r="R1274" i="2"/>
  <c r="Q1274" i="2"/>
  <c r="P1274" i="2"/>
  <c r="O1274" i="2"/>
  <c r="N1274" i="2"/>
  <c r="M1274" i="2"/>
  <c r="L1274" i="2"/>
  <c r="K1274" i="2"/>
  <c r="J1274" i="2"/>
  <c r="I1274" i="2"/>
  <c r="H1274" i="2"/>
  <c r="G1274" i="2"/>
  <c r="F1274" i="2"/>
  <c r="E1274" i="2"/>
  <c r="D1274" i="2"/>
  <c r="C1274" i="2"/>
  <c r="B1274" i="2"/>
  <c r="A1274" i="2"/>
  <c r="AX1273" i="2"/>
  <c r="AV1273" i="2"/>
  <c r="AU1273" i="2"/>
  <c r="AR1273" i="2"/>
  <c r="AP1273" i="2"/>
  <c r="AO1273" i="2"/>
  <c r="AM1273" i="2"/>
  <c r="AL1273" i="2"/>
  <c r="AK1273" i="2"/>
  <c r="AJ1273" i="2"/>
  <c r="AI1273" i="2"/>
  <c r="AH1273" i="2"/>
  <c r="AG1273" i="2"/>
  <c r="AE1273" i="2"/>
  <c r="AD1273" i="2"/>
  <c r="AC1273" i="2"/>
  <c r="AA1273" i="2"/>
  <c r="Z1273" i="2"/>
  <c r="Y1273" i="2"/>
  <c r="X1273" i="2"/>
  <c r="W1273" i="2"/>
  <c r="V1273" i="2"/>
  <c r="U1273" i="2"/>
  <c r="T1273" i="2"/>
  <c r="S1273" i="2"/>
  <c r="R1273" i="2"/>
  <c r="Q1273" i="2"/>
  <c r="P1273" i="2"/>
  <c r="O1273" i="2"/>
  <c r="N1273" i="2"/>
  <c r="M1273" i="2"/>
  <c r="L1273" i="2"/>
  <c r="K1273" i="2"/>
  <c r="J1273" i="2"/>
  <c r="I1273" i="2"/>
  <c r="H1273" i="2"/>
  <c r="G1273" i="2"/>
  <c r="F1273" i="2"/>
  <c r="E1273" i="2"/>
  <c r="D1273" i="2"/>
  <c r="C1273" i="2"/>
  <c r="B1273" i="2"/>
  <c r="A1273" i="2"/>
  <c r="AX1272" i="2"/>
  <c r="AV1272" i="2"/>
  <c r="AU1272" i="2"/>
  <c r="AR1272" i="2"/>
  <c r="AP1272" i="2"/>
  <c r="AO1272" i="2"/>
  <c r="AM1272" i="2"/>
  <c r="AK1272" i="2"/>
  <c r="AJ1272" i="2"/>
  <c r="AI1272" i="2"/>
  <c r="AH1272" i="2"/>
  <c r="AG1272" i="2"/>
  <c r="AE1272" i="2"/>
  <c r="AD1272" i="2"/>
  <c r="AC1272" i="2"/>
  <c r="Z1272" i="2"/>
  <c r="Y1272" i="2"/>
  <c r="X1272" i="2"/>
  <c r="W1272" i="2"/>
  <c r="V1272" i="2"/>
  <c r="U1272" i="2"/>
  <c r="T1272" i="2"/>
  <c r="S1272" i="2"/>
  <c r="R1272" i="2"/>
  <c r="Q1272" i="2"/>
  <c r="P1272" i="2"/>
  <c r="O1272" i="2"/>
  <c r="N1272" i="2"/>
  <c r="M1272" i="2"/>
  <c r="L1272" i="2"/>
  <c r="K1272" i="2"/>
  <c r="J1272" i="2"/>
  <c r="I1272" i="2"/>
  <c r="H1272" i="2"/>
  <c r="G1272" i="2"/>
  <c r="F1272" i="2"/>
  <c r="E1272" i="2"/>
  <c r="D1272" i="2"/>
  <c r="C1272" i="2"/>
  <c r="B1272" i="2"/>
  <c r="A1272" i="2"/>
  <c r="AX1271" i="2"/>
  <c r="AV1271" i="2"/>
  <c r="AU1271" i="2"/>
  <c r="AR1271" i="2"/>
  <c r="AP1271" i="2"/>
  <c r="AO1271" i="2"/>
  <c r="AM1271" i="2"/>
  <c r="AK1271" i="2"/>
  <c r="AJ1271" i="2"/>
  <c r="AI1271" i="2"/>
  <c r="AH1271" i="2"/>
  <c r="AG1271" i="2"/>
  <c r="AF1271" i="2"/>
  <c r="AE1271" i="2"/>
  <c r="AC1271" i="2"/>
  <c r="Z1271" i="2"/>
  <c r="Y1271" i="2"/>
  <c r="X1271" i="2"/>
  <c r="W1271" i="2"/>
  <c r="V1271" i="2"/>
  <c r="U1271" i="2"/>
  <c r="T1271" i="2"/>
  <c r="S1271" i="2"/>
  <c r="R1271" i="2"/>
  <c r="Q1271" i="2"/>
  <c r="P1271" i="2"/>
  <c r="O1271" i="2"/>
  <c r="N1271" i="2"/>
  <c r="M1271" i="2"/>
  <c r="L1271" i="2"/>
  <c r="K1271" i="2"/>
  <c r="J1271" i="2"/>
  <c r="I1271" i="2"/>
  <c r="H1271" i="2"/>
  <c r="G1271" i="2"/>
  <c r="F1271" i="2"/>
  <c r="E1271" i="2"/>
  <c r="D1271" i="2"/>
  <c r="C1271" i="2"/>
  <c r="B1271" i="2"/>
  <c r="A1271" i="2"/>
  <c r="AX1270" i="2"/>
  <c r="AV1270" i="2"/>
  <c r="AU1270" i="2"/>
  <c r="AT1270" i="2"/>
  <c r="AS1270" i="2"/>
  <c r="AR1270" i="2"/>
  <c r="AP1270" i="2"/>
  <c r="AO1270" i="2"/>
  <c r="AM1270" i="2"/>
  <c r="AK1270" i="2"/>
  <c r="AJ1270" i="2"/>
  <c r="AI1270" i="2"/>
  <c r="AH1270" i="2"/>
  <c r="AG1270" i="2"/>
  <c r="AE1270" i="2"/>
  <c r="AD1270" i="2"/>
  <c r="AC1270" i="2"/>
  <c r="AA1270" i="2"/>
  <c r="Z1270" i="2"/>
  <c r="Y1270" i="2"/>
  <c r="X1270" i="2"/>
  <c r="W1270" i="2"/>
  <c r="V1270" i="2"/>
  <c r="U1270" i="2"/>
  <c r="T1270" i="2"/>
  <c r="S1270" i="2"/>
  <c r="R1270" i="2"/>
  <c r="Q1270" i="2"/>
  <c r="P1270" i="2"/>
  <c r="O1270" i="2"/>
  <c r="N1270" i="2"/>
  <c r="M1270" i="2"/>
  <c r="L1270" i="2"/>
  <c r="K1270" i="2"/>
  <c r="J1270" i="2"/>
  <c r="I1270" i="2"/>
  <c r="H1270" i="2"/>
  <c r="G1270" i="2"/>
  <c r="F1270" i="2"/>
  <c r="E1270" i="2"/>
  <c r="D1270" i="2"/>
  <c r="C1270" i="2"/>
  <c r="B1270" i="2"/>
  <c r="A1270" i="2"/>
  <c r="AX1269" i="2"/>
  <c r="AV1269" i="2"/>
  <c r="AU1269" i="2"/>
  <c r="AR1269" i="2"/>
  <c r="AO1269" i="2"/>
  <c r="AM1269" i="2"/>
  <c r="AL1269" i="2"/>
  <c r="AK1269" i="2"/>
  <c r="AJ1269" i="2"/>
  <c r="AI1269" i="2"/>
  <c r="AH1269" i="2"/>
  <c r="AG1269" i="2"/>
  <c r="AE1269" i="2"/>
  <c r="AD1269" i="2"/>
  <c r="AC1269" i="2"/>
  <c r="AA1269" i="2"/>
  <c r="Z1269" i="2"/>
  <c r="Y1269" i="2"/>
  <c r="X1269" i="2"/>
  <c r="W1269" i="2"/>
  <c r="V1269" i="2"/>
  <c r="U1269" i="2"/>
  <c r="T1269" i="2"/>
  <c r="S1269" i="2"/>
  <c r="R1269" i="2"/>
  <c r="Q1269" i="2"/>
  <c r="P1269" i="2"/>
  <c r="O1269" i="2"/>
  <c r="N1269" i="2"/>
  <c r="M1269" i="2"/>
  <c r="L1269" i="2"/>
  <c r="K1269" i="2"/>
  <c r="J1269" i="2"/>
  <c r="I1269" i="2"/>
  <c r="H1269" i="2"/>
  <c r="G1269" i="2"/>
  <c r="F1269" i="2"/>
  <c r="E1269" i="2"/>
  <c r="D1269" i="2"/>
  <c r="C1269" i="2"/>
  <c r="B1269" i="2"/>
  <c r="A1269" i="2"/>
  <c r="AX1268" i="2"/>
  <c r="AV1268" i="2"/>
  <c r="AU1268" i="2"/>
  <c r="AT1268" i="2"/>
  <c r="AR1268" i="2"/>
  <c r="AP1268" i="2"/>
  <c r="AO1268" i="2"/>
  <c r="AM1268" i="2"/>
  <c r="AL1268" i="2"/>
  <c r="AK1268" i="2"/>
  <c r="AJ1268" i="2"/>
  <c r="AI1268" i="2"/>
  <c r="AH1268" i="2"/>
  <c r="AG1268" i="2"/>
  <c r="AE1268" i="2"/>
  <c r="AD1268" i="2"/>
  <c r="AC1268" i="2"/>
  <c r="AA1268" i="2"/>
  <c r="Z1268" i="2"/>
  <c r="Y1268" i="2"/>
  <c r="X1268" i="2"/>
  <c r="W1268" i="2"/>
  <c r="V1268" i="2"/>
  <c r="U1268" i="2"/>
  <c r="T1268" i="2"/>
  <c r="S1268" i="2"/>
  <c r="R1268" i="2"/>
  <c r="Q1268" i="2"/>
  <c r="P1268" i="2"/>
  <c r="O1268" i="2"/>
  <c r="N1268" i="2"/>
  <c r="M1268" i="2"/>
  <c r="L1268" i="2"/>
  <c r="K1268" i="2"/>
  <c r="J1268" i="2"/>
  <c r="I1268" i="2"/>
  <c r="H1268" i="2"/>
  <c r="G1268" i="2"/>
  <c r="F1268" i="2"/>
  <c r="E1268" i="2"/>
  <c r="D1268" i="2"/>
  <c r="C1268" i="2"/>
  <c r="B1268" i="2"/>
  <c r="A1268" i="2"/>
  <c r="AX1267" i="2"/>
  <c r="AV1267" i="2"/>
  <c r="AU1267" i="2"/>
  <c r="AT1267" i="2"/>
  <c r="AR1267" i="2"/>
  <c r="AO1267" i="2"/>
  <c r="AM1267" i="2"/>
  <c r="AL1267" i="2"/>
  <c r="AK1267" i="2"/>
  <c r="AJ1267" i="2"/>
  <c r="AI1267" i="2"/>
  <c r="AH1267" i="2"/>
  <c r="AG1267" i="2"/>
  <c r="AF1267" i="2"/>
  <c r="AE1267" i="2"/>
  <c r="AD1267" i="2"/>
  <c r="AC1267" i="2"/>
  <c r="AA1267" i="2"/>
  <c r="Z1267" i="2"/>
  <c r="Y1267" i="2"/>
  <c r="X1267" i="2"/>
  <c r="W1267" i="2"/>
  <c r="V1267" i="2"/>
  <c r="U1267" i="2"/>
  <c r="T1267" i="2"/>
  <c r="S1267" i="2"/>
  <c r="R1267" i="2"/>
  <c r="Q1267" i="2"/>
  <c r="P1267" i="2"/>
  <c r="O1267" i="2"/>
  <c r="N1267" i="2"/>
  <c r="M1267" i="2"/>
  <c r="L1267" i="2"/>
  <c r="K1267" i="2"/>
  <c r="J1267" i="2"/>
  <c r="I1267" i="2"/>
  <c r="H1267" i="2"/>
  <c r="G1267" i="2"/>
  <c r="F1267" i="2"/>
  <c r="E1267" i="2"/>
  <c r="D1267" i="2"/>
  <c r="C1267" i="2"/>
  <c r="B1267" i="2"/>
  <c r="A1267" i="2"/>
  <c r="AX1266" i="2"/>
  <c r="AV1266" i="2"/>
  <c r="AU1266" i="2"/>
  <c r="AR1266" i="2"/>
  <c r="AO1266" i="2"/>
  <c r="AM1266" i="2"/>
  <c r="AL1266" i="2"/>
  <c r="AK1266" i="2"/>
  <c r="AJ1266" i="2"/>
  <c r="AI1266" i="2"/>
  <c r="AH1266" i="2"/>
  <c r="AG1266" i="2"/>
  <c r="AE1266" i="2"/>
  <c r="AD1266" i="2"/>
  <c r="AC1266" i="2"/>
  <c r="AA1266" i="2"/>
  <c r="Z1266" i="2"/>
  <c r="Y1266" i="2"/>
  <c r="X1266" i="2"/>
  <c r="W1266" i="2"/>
  <c r="V1266" i="2"/>
  <c r="U1266" i="2"/>
  <c r="T1266" i="2"/>
  <c r="S1266" i="2"/>
  <c r="R1266" i="2"/>
  <c r="Q1266" i="2"/>
  <c r="P1266" i="2"/>
  <c r="O1266" i="2"/>
  <c r="N1266" i="2"/>
  <c r="M1266" i="2"/>
  <c r="L1266" i="2"/>
  <c r="K1266" i="2"/>
  <c r="J1266" i="2"/>
  <c r="I1266" i="2"/>
  <c r="H1266" i="2"/>
  <c r="G1266" i="2"/>
  <c r="F1266" i="2"/>
  <c r="E1266" i="2"/>
  <c r="D1266" i="2"/>
  <c r="C1266" i="2"/>
  <c r="B1266" i="2"/>
  <c r="A1266" i="2"/>
  <c r="AX1265" i="2"/>
  <c r="AV1265" i="2"/>
  <c r="AU1265" i="2"/>
  <c r="AR1265" i="2"/>
  <c r="AO1265" i="2"/>
  <c r="AM1265" i="2"/>
  <c r="AK1265" i="2"/>
  <c r="AJ1265" i="2"/>
  <c r="AI1265" i="2"/>
  <c r="AH1265" i="2"/>
  <c r="AG1265" i="2"/>
  <c r="AE1265" i="2"/>
  <c r="AD1265" i="2"/>
  <c r="AC1265" i="2"/>
  <c r="Z1265" i="2"/>
  <c r="Y1265" i="2"/>
  <c r="X1265" i="2"/>
  <c r="W1265" i="2"/>
  <c r="V1265" i="2"/>
  <c r="U1265" i="2"/>
  <c r="T1265" i="2"/>
  <c r="S1265" i="2"/>
  <c r="R1265" i="2"/>
  <c r="Q1265" i="2"/>
  <c r="P1265" i="2"/>
  <c r="O1265" i="2"/>
  <c r="N1265" i="2"/>
  <c r="M1265" i="2"/>
  <c r="L1265" i="2"/>
  <c r="K1265" i="2"/>
  <c r="J1265" i="2"/>
  <c r="I1265" i="2"/>
  <c r="H1265" i="2"/>
  <c r="G1265" i="2"/>
  <c r="F1265" i="2"/>
  <c r="E1265" i="2"/>
  <c r="D1265" i="2"/>
  <c r="C1265" i="2"/>
  <c r="B1265" i="2"/>
  <c r="A1265" i="2"/>
  <c r="AX1264" i="2"/>
  <c r="AV1264" i="2"/>
  <c r="AU1264" i="2"/>
  <c r="AT1264" i="2"/>
  <c r="AR1264" i="2"/>
  <c r="AQ1264" i="2"/>
  <c r="AP1264" i="2"/>
  <c r="AO1264" i="2"/>
  <c r="AM1264" i="2"/>
  <c r="AK1264" i="2"/>
  <c r="AJ1264" i="2"/>
  <c r="AI1264" i="2"/>
  <c r="AH1264" i="2"/>
  <c r="AG1264" i="2"/>
  <c r="AE1264" i="2"/>
  <c r="AD1264" i="2"/>
  <c r="AC1264" i="2"/>
  <c r="AA1264" i="2"/>
  <c r="Z1264" i="2"/>
  <c r="Y1264" i="2"/>
  <c r="X1264" i="2"/>
  <c r="W1264" i="2"/>
  <c r="V1264" i="2"/>
  <c r="U1264" i="2"/>
  <c r="T1264" i="2"/>
  <c r="S1264" i="2"/>
  <c r="R1264" i="2"/>
  <c r="Q1264" i="2"/>
  <c r="P1264" i="2"/>
  <c r="O1264" i="2"/>
  <c r="N1264" i="2"/>
  <c r="M1264" i="2"/>
  <c r="L1264" i="2"/>
  <c r="K1264" i="2"/>
  <c r="J1264" i="2"/>
  <c r="I1264" i="2"/>
  <c r="H1264" i="2"/>
  <c r="G1264" i="2"/>
  <c r="F1264" i="2"/>
  <c r="E1264" i="2"/>
  <c r="D1264" i="2"/>
  <c r="C1264" i="2"/>
  <c r="B1264" i="2"/>
  <c r="A1264" i="2"/>
  <c r="AX1263" i="2"/>
  <c r="AV1263" i="2"/>
  <c r="AU1263" i="2"/>
  <c r="AR1263" i="2"/>
  <c r="AO1263" i="2"/>
  <c r="AM1263" i="2"/>
  <c r="AK1263" i="2"/>
  <c r="AJ1263" i="2"/>
  <c r="AI1263" i="2"/>
  <c r="AH1263" i="2"/>
  <c r="AG1263" i="2"/>
  <c r="AE1263" i="2"/>
  <c r="AC1263" i="2"/>
  <c r="Z1263" i="2"/>
  <c r="Y1263" i="2"/>
  <c r="X1263" i="2"/>
  <c r="W1263" i="2"/>
  <c r="V1263" i="2"/>
  <c r="U1263" i="2"/>
  <c r="T1263" i="2"/>
  <c r="S1263" i="2"/>
  <c r="R1263" i="2"/>
  <c r="Q1263" i="2"/>
  <c r="P1263" i="2"/>
  <c r="O1263" i="2"/>
  <c r="N1263" i="2"/>
  <c r="M1263" i="2"/>
  <c r="L1263" i="2"/>
  <c r="K1263" i="2"/>
  <c r="J1263" i="2"/>
  <c r="I1263" i="2"/>
  <c r="H1263" i="2"/>
  <c r="G1263" i="2"/>
  <c r="F1263" i="2"/>
  <c r="E1263" i="2"/>
  <c r="D1263" i="2"/>
  <c r="C1263" i="2"/>
  <c r="B1263" i="2"/>
  <c r="A1263" i="2"/>
  <c r="AX1262" i="2"/>
  <c r="AV1262" i="2"/>
  <c r="AU1262" i="2"/>
  <c r="AT1262" i="2"/>
  <c r="AS1262" i="2"/>
  <c r="AR1262" i="2"/>
  <c r="AQ1262" i="2"/>
  <c r="AP1262" i="2"/>
  <c r="AO1262" i="2"/>
  <c r="AM1262" i="2"/>
  <c r="AL1262" i="2"/>
  <c r="AK1262" i="2"/>
  <c r="AJ1262" i="2"/>
  <c r="AI1262" i="2"/>
  <c r="AH1262" i="2"/>
  <c r="AG1262" i="2"/>
  <c r="AE1262" i="2"/>
  <c r="AD1262" i="2"/>
  <c r="AC1262" i="2"/>
  <c r="AA1262" i="2"/>
  <c r="Z1262" i="2"/>
  <c r="Y1262" i="2"/>
  <c r="X1262" i="2"/>
  <c r="V1262" i="2"/>
  <c r="U1262" i="2"/>
  <c r="T1262" i="2"/>
  <c r="S1262" i="2"/>
  <c r="R1262" i="2"/>
  <c r="Q1262" i="2"/>
  <c r="P1262" i="2"/>
  <c r="O1262" i="2"/>
  <c r="N1262" i="2"/>
  <c r="M1262" i="2"/>
  <c r="L1262" i="2"/>
  <c r="K1262" i="2"/>
  <c r="J1262" i="2"/>
  <c r="I1262" i="2"/>
  <c r="H1262" i="2"/>
  <c r="G1262" i="2"/>
  <c r="F1262" i="2"/>
  <c r="E1262" i="2"/>
  <c r="D1262" i="2"/>
  <c r="C1262" i="2"/>
  <c r="B1262" i="2"/>
  <c r="A1262" i="2"/>
  <c r="AX1261" i="2"/>
  <c r="AV1261" i="2"/>
  <c r="AU1261" i="2"/>
  <c r="AR1261" i="2"/>
  <c r="AQ1261" i="2"/>
  <c r="AP1261" i="2"/>
  <c r="AO1261" i="2"/>
  <c r="AM1261" i="2"/>
  <c r="AL1261" i="2"/>
  <c r="AK1261" i="2"/>
  <c r="AJ1261" i="2"/>
  <c r="AI1261" i="2"/>
  <c r="AH1261" i="2"/>
  <c r="AG1261" i="2"/>
  <c r="AE1261" i="2"/>
  <c r="AD1261" i="2"/>
  <c r="AC1261" i="2"/>
  <c r="AA1261" i="2"/>
  <c r="Z1261" i="2"/>
  <c r="Y1261" i="2"/>
  <c r="X1261" i="2"/>
  <c r="W1261" i="2"/>
  <c r="V1261" i="2"/>
  <c r="U1261" i="2"/>
  <c r="T1261" i="2"/>
  <c r="S1261" i="2"/>
  <c r="R1261" i="2"/>
  <c r="Q1261" i="2"/>
  <c r="P1261" i="2"/>
  <c r="O1261" i="2"/>
  <c r="N1261" i="2"/>
  <c r="M1261" i="2"/>
  <c r="L1261" i="2"/>
  <c r="K1261" i="2"/>
  <c r="J1261" i="2"/>
  <c r="I1261" i="2"/>
  <c r="H1261" i="2"/>
  <c r="G1261" i="2"/>
  <c r="F1261" i="2"/>
  <c r="E1261" i="2"/>
  <c r="D1261" i="2"/>
  <c r="C1261" i="2"/>
  <c r="B1261" i="2"/>
  <c r="A1261" i="2"/>
  <c r="AX1260" i="2"/>
  <c r="AV1260" i="2"/>
  <c r="AU1260" i="2"/>
  <c r="AR1260" i="2"/>
  <c r="AO1260" i="2"/>
  <c r="AM1260" i="2"/>
  <c r="AK1260" i="2"/>
  <c r="AJ1260" i="2"/>
  <c r="AI1260" i="2"/>
  <c r="AH1260" i="2"/>
  <c r="AG1260" i="2"/>
  <c r="AE1260" i="2"/>
  <c r="AD1260" i="2"/>
  <c r="AC1260" i="2"/>
  <c r="Z1260" i="2"/>
  <c r="Y1260" i="2"/>
  <c r="X1260" i="2"/>
  <c r="W1260" i="2"/>
  <c r="V1260" i="2"/>
  <c r="U1260" i="2"/>
  <c r="T1260" i="2"/>
  <c r="S1260" i="2"/>
  <c r="R1260" i="2"/>
  <c r="Q1260" i="2"/>
  <c r="P1260" i="2"/>
  <c r="O1260" i="2"/>
  <c r="N1260" i="2"/>
  <c r="M1260" i="2"/>
  <c r="L1260" i="2"/>
  <c r="K1260" i="2"/>
  <c r="J1260" i="2"/>
  <c r="I1260" i="2"/>
  <c r="H1260" i="2"/>
  <c r="G1260" i="2"/>
  <c r="F1260" i="2"/>
  <c r="E1260" i="2"/>
  <c r="D1260" i="2"/>
  <c r="C1260" i="2"/>
  <c r="B1260" i="2"/>
  <c r="A1260" i="2"/>
  <c r="AX1259" i="2"/>
  <c r="AV1259" i="2"/>
  <c r="AU1259" i="2"/>
  <c r="AR1259" i="2"/>
  <c r="AQ1259" i="2"/>
  <c r="AP1259" i="2"/>
  <c r="AO1259" i="2"/>
  <c r="AM1259" i="2"/>
  <c r="AL1259" i="2"/>
  <c r="AK1259" i="2"/>
  <c r="AJ1259" i="2"/>
  <c r="AI1259" i="2"/>
  <c r="AH1259" i="2"/>
  <c r="AE1259" i="2"/>
  <c r="AD1259" i="2"/>
  <c r="AC1259" i="2"/>
  <c r="AA1259" i="2"/>
  <c r="Z1259" i="2"/>
  <c r="Y1259" i="2"/>
  <c r="X1259" i="2"/>
  <c r="W1259" i="2"/>
  <c r="V1259" i="2"/>
  <c r="U1259" i="2"/>
  <c r="T1259" i="2"/>
  <c r="S1259" i="2"/>
  <c r="R1259" i="2"/>
  <c r="Q1259" i="2"/>
  <c r="P1259" i="2"/>
  <c r="O1259" i="2"/>
  <c r="N1259" i="2"/>
  <c r="M1259" i="2"/>
  <c r="L1259" i="2"/>
  <c r="K1259" i="2"/>
  <c r="J1259" i="2"/>
  <c r="I1259" i="2"/>
  <c r="H1259" i="2"/>
  <c r="G1259" i="2"/>
  <c r="F1259" i="2"/>
  <c r="E1259" i="2"/>
  <c r="D1259" i="2"/>
  <c r="C1259" i="2"/>
  <c r="B1259" i="2"/>
  <c r="A1259" i="2"/>
  <c r="AX1258" i="2"/>
  <c r="AV1258" i="2"/>
  <c r="AU1258" i="2"/>
  <c r="AT1258" i="2"/>
  <c r="AS1258" i="2"/>
  <c r="AR1258" i="2"/>
  <c r="AQ1258" i="2"/>
  <c r="AP1258" i="2"/>
  <c r="AO1258" i="2"/>
  <c r="AM1258" i="2"/>
  <c r="AK1258" i="2"/>
  <c r="AJ1258" i="2"/>
  <c r="AI1258" i="2"/>
  <c r="AH1258" i="2"/>
  <c r="AG1258" i="2"/>
  <c r="AE1258" i="2"/>
  <c r="AD1258" i="2"/>
  <c r="AC1258" i="2"/>
  <c r="AA1258" i="2"/>
  <c r="Z1258" i="2"/>
  <c r="Y1258" i="2"/>
  <c r="X1258" i="2"/>
  <c r="W1258" i="2"/>
  <c r="V1258" i="2"/>
  <c r="U1258" i="2"/>
  <c r="T1258" i="2"/>
  <c r="S1258" i="2"/>
  <c r="R1258" i="2"/>
  <c r="Q1258" i="2"/>
  <c r="P1258" i="2"/>
  <c r="O1258" i="2"/>
  <c r="N1258" i="2"/>
  <c r="M1258" i="2"/>
  <c r="L1258" i="2"/>
  <c r="K1258" i="2"/>
  <c r="J1258" i="2"/>
  <c r="I1258" i="2"/>
  <c r="H1258" i="2"/>
  <c r="G1258" i="2"/>
  <c r="F1258" i="2"/>
  <c r="E1258" i="2"/>
  <c r="D1258" i="2"/>
  <c r="C1258" i="2"/>
  <c r="B1258" i="2"/>
  <c r="A1258" i="2"/>
  <c r="AX1257" i="2"/>
  <c r="AV1257" i="2"/>
  <c r="AU1257" i="2"/>
  <c r="AR1257" i="2"/>
  <c r="AO1257" i="2"/>
  <c r="AM1257" i="2"/>
  <c r="AL1257" i="2"/>
  <c r="AK1257" i="2"/>
  <c r="AI1257" i="2"/>
  <c r="AH1257" i="2"/>
  <c r="AG1257" i="2"/>
  <c r="AE1257" i="2"/>
  <c r="AC1257" i="2"/>
  <c r="Z1257" i="2"/>
  <c r="Y1257" i="2"/>
  <c r="W1257" i="2"/>
  <c r="V1257" i="2"/>
  <c r="U1257" i="2"/>
  <c r="T1257" i="2"/>
  <c r="S1257" i="2"/>
  <c r="R1257" i="2"/>
  <c r="Q1257" i="2"/>
  <c r="P1257" i="2"/>
  <c r="O1257" i="2"/>
  <c r="N1257" i="2"/>
  <c r="M1257" i="2"/>
  <c r="L1257" i="2"/>
  <c r="K1257" i="2"/>
  <c r="J1257" i="2"/>
  <c r="I1257" i="2"/>
  <c r="H1257" i="2"/>
  <c r="G1257" i="2"/>
  <c r="F1257" i="2"/>
  <c r="E1257" i="2"/>
  <c r="D1257" i="2"/>
  <c r="C1257" i="2"/>
  <c r="B1257" i="2"/>
  <c r="A1257" i="2"/>
  <c r="AX1256" i="2"/>
  <c r="AV1256" i="2"/>
  <c r="AU1256" i="2"/>
  <c r="AR1256" i="2"/>
  <c r="AO1256" i="2"/>
  <c r="AM1256" i="2"/>
  <c r="AL1256" i="2"/>
  <c r="AK1256" i="2"/>
  <c r="AJ1256" i="2"/>
  <c r="AI1256" i="2"/>
  <c r="AH1256" i="2"/>
  <c r="AG1256" i="2"/>
  <c r="AE1256" i="2"/>
  <c r="AD1256" i="2"/>
  <c r="AC1256" i="2"/>
  <c r="Z1256" i="2"/>
  <c r="Y1256" i="2"/>
  <c r="X1256" i="2"/>
  <c r="W1256" i="2"/>
  <c r="V1256" i="2"/>
  <c r="U1256" i="2"/>
  <c r="T1256" i="2"/>
  <c r="S1256" i="2"/>
  <c r="R1256" i="2"/>
  <c r="Q1256" i="2"/>
  <c r="P1256" i="2"/>
  <c r="O1256" i="2"/>
  <c r="N1256" i="2"/>
  <c r="M1256" i="2"/>
  <c r="L1256" i="2"/>
  <c r="K1256" i="2"/>
  <c r="J1256" i="2"/>
  <c r="I1256" i="2"/>
  <c r="H1256" i="2"/>
  <c r="G1256" i="2"/>
  <c r="F1256" i="2"/>
  <c r="E1256" i="2"/>
  <c r="D1256" i="2"/>
  <c r="C1256" i="2"/>
  <c r="B1256" i="2"/>
  <c r="A1256" i="2"/>
  <c r="AX1255" i="2"/>
  <c r="AV1255" i="2"/>
  <c r="AU1255" i="2"/>
  <c r="AS1255" i="2"/>
  <c r="AR1255" i="2"/>
  <c r="AO1255" i="2"/>
  <c r="AM1255" i="2"/>
  <c r="AL1255" i="2"/>
  <c r="AK1255" i="2"/>
  <c r="AJ1255" i="2"/>
  <c r="AI1255" i="2"/>
  <c r="AH1255" i="2"/>
  <c r="AG1255" i="2"/>
  <c r="AE1255" i="2"/>
  <c r="AD1255" i="2"/>
  <c r="AC1255" i="2"/>
  <c r="AA1255" i="2"/>
  <c r="Z1255" i="2"/>
  <c r="Y1255" i="2"/>
  <c r="X1255" i="2"/>
  <c r="W1255" i="2"/>
  <c r="V1255" i="2"/>
  <c r="U1255" i="2"/>
  <c r="T1255" i="2"/>
  <c r="S1255" i="2"/>
  <c r="R1255" i="2"/>
  <c r="Q1255" i="2"/>
  <c r="P1255" i="2"/>
  <c r="O1255" i="2"/>
  <c r="N1255" i="2"/>
  <c r="M1255" i="2"/>
  <c r="L1255" i="2"/>
  <c r="K1255" i="2"/>
  <c r="J1255" i="2"/>
  <c r="I1255" i="2"/>
  <c r="H1255" i="2"/>
  <c r="G1255" i="2"/>
  <c r="F1255" i="2"/>
  <c r="E1255" i="2"/>
  <c r="D1255" i="2"/>
  <c r="C1255" i="2"/>
  <c r="B1255" i="2"/>
  <c r="A1255" i="2"/>
  <c r="AX1254" i="2"/>
  <c r="AV1254" i="2"/>
  <c r="AU1254" i="2"/>
  <c r="AT1254" i="2"/>
  <c r="AS1254" i="2"/>
  <c r="AO1254" i="2"/>
  <c r="AM1254" i="2"/>
  <c r="AL1254" i="2"/>
  <c r="AK1254" i="2"/>
  <c r="AJ1254" i="2"/>
  <c r="AI1254" i="2"/>
  <c r="AH1254" i="2"/>
  <c r="AG1254" i="2"/>
  <c r="AE1254" i="2"/>
  <c r="AD1254" i="2"/>
  <c r="AC1254" i="2"/>
  <c r="AA1254" i="2"/>
  <c r="Z1254" i="2"/>
  <c r="Y1254" i="2"/>
  <c r="X1254" i="2"/>
  <c r="W1254" i="2"/>
  <c r="V1254" i="2"/>
  <c r="U1254" i="2"/>
  <c r="T1254" i="2"/>
  <c r="S1254" i="2"/>
  <c r="R1254" i="2"/>
  <c r="Q1254" i="2"/>
  <c r="P1254" i="2"/>
  <c r="O1254" i="2"/>
  <c r="N1254" i="2"/>
  <c r="M1254" i="2"/>
  <c r="L1254" i="2"/>
  <c r="K1254" i="2"/>
  <c r="J1254" i="2"/>
  <c r="I1254" i="2"/>
  <c r="H1254" i="2"/>
  <c r="G1254" i="2"/>
  <c r="F1254" i="2"/>
  <c r="E1254" i="2"/>
  <c r="D1254" i="2"/>
  <c r="C1254" i="2"/>
  <c r="B1254" i="2"/>
  <c r="A1254" i="2"/>
  <c r="AX1253" i="2"/>
  <c r="AV1253" i="2"/>
  <c r="AU1253" i="2"/>
  <c r="AT1253" i="2"/>
  <c r="AS1253" i="2"/>
  <c r="AR1253" i="2"/>
  <c r="AQ1253" i="2"/>
  <c r="AP1253" i="2"/>
  <c r="AM1253" i="2"/>
  <c r="AK1253" i="2"/>
  <c r="AI1253" i="2"/>
  <c r="AH1253" i="2"/>
  <c r="AG1253" i="2"/>
  <c r="AF1253" i="2"/>
  <c r="AE1253" i="2"/>
  <c r="AD1253" i="2"/>
  <c r="AC1253" i="2"/>
  <c r="AA1253" i="2"/>
  <c r="Z1253" i="2"/>
  <c r="Y1253" i="2"/>
  <c r="X1253" i="2"/>
  <c r="W1253" i="2"/>
  <c r="V1253" i="2"/>
  <c r="U1253" i="2"/>
  <c r="T1253" i="2"/>
  <c r="S1253" i="2"/>
  <c r="R1253" i="2"/>
  <c r="Q1253" i="2"/>
  <c r="P1253" i="2"/>
  <c r="O1253" i="2"/>
  <c r="N1253" i="2"/>
  <c r="M1253" i="2"/>
  <c r="L1253" i="2"/>
  <c r="K1253" i="2"/>
  <c r="J1253" i="2"/>
  <c r="I1253" i="2"/>
  <c r="H1253" i="2"/>
  <c r="G1253" i="2"/>
  <c r="F1253" i="2"/>
  <c r="E1253" i="2"/>
  <c r="D1253" i="2"/>
  <c r="C1253" i="2"/>
  <c r="B1253" i="2"/>
  <c r="A1253" i="2"/>
  <c r="AX1252" i="2"/>
  <c r="AV1252" i="2"/>
  <c r="AU1252" i="2"/>
  <c r="AS1252" i="2"/>
  <c r="AR1252" i="2"/>
  <c r="AQ1252" i="2"/>
  <c r="AP1252" i="2"/>
  <c r="AO1252" i="2"/>
  <c r="AM1252" i="2"/>
  <c r="AK1252" i="2"/>
  <c r="AJ1252" i="2"/>
  <c r="AI1252" i="2"/>
  <c r="AH1252" i="2"/>
  <c r="AG1252" i="2"/>
  <c r="AE1252" i="2"/>
  <c r="AD1252" i="2"/>
  <c r="AC1252" i="2"/>
  <c r="AA1252" i="2"/>
  <c r="Z1252" i="2"/>
  <c r="Y1252" i="2"/>
  <c r="X1252" i="2"/>
  <c r="W1252" i="2"/>
  <c r="V1252" i="2"/>
  <c r="U1252" i="2"/>
  <c r="T1252" i="2"/>
  <c r="S1252" i="2"/>
  <c r="R1252" i="2"/>
  <c r="Q1252" i="2"/>
  <c r="P1252" i="2"/>
  <c r="O1252" i="2"/>
  <c r="N1252" i="2"/>
  <c r="M1252" i="2"/>
  <c r="L1252" i="2"/>
  <c r="K1252" i="2"/>
  <c r="J1252" i="2"/>
  <c r="I1252" i="2"/>
  <c r="H1252" i="2"/>
  <c r="G1252" i="2"/>
  <c r="F1252" i="2"/>
  <c r="E1252" i="2"/>
  <c r="D1252" i="2"/>
  <c r="C1252" i="2"/>
  <c r="B1252" i="2"/>
  <c r="A1252" i="2"/>
  <c r="AX1251" i="2"/>
  <c r="AV1251" i="2"/>
  <c r="AU1251" i="2"/>
  <c r="AS1251" i="2"/>
  <c r="AR1251" i="2"/>
  <c r="AP1251" i="2"/>
  <c r="AO1251" i="2"/>
  <c r="AM1251" i="2"/>
  <c r="AK1251" i="2"/>
  <c r="AJ1251" i="2"/>
  <c r="AI1251" i="2"/>
  <c r="AH1251" i="2"/>
  <c r="AG1251" i="2"/>
  <c r="AD1251" i="2"/>
  <c r="AC1251" i="2"/>
  <c r="AA1251" i="2"/>
  <c r="Z1251" i="2"/>
  <c r="Y1251" i="2"/>
  <c r="X1251" i="2"/>
  <c r="W1251" i="2"/>
  <c r="V1251" i="2"/>
  <c r="U1251" i="2"/>
  <c r="T1251" i="2"/>
  <c r="S1251" i="2"/>
  <c r="R1251" i="2"/>
  <c r="Q1251" i="2"/>
  <c r="P1251" i="2"/>
  <c r="O1251" i="2"/>
  <c r="N1251" i="2"/>
  <c r="M1251" i="2"/>
  <c r="L1251" i="2"/>
  <c r="K1251" i="2"/>
  <c r="J1251" i="2"/>
  <c r="I1251" i="2"/>
  <c r="H1251" i="2"/>
  <c r="G1251" i="2"/>
  <c r="F1251" i="2"/>
  <c r="E1251" i="2"/>
  <c r="D1251" i="2"/>
  <c r="C1251" i="2"/>
  <c r="B1251" i="2"/>
  <c r="A1251" i="2"/>
  <c r="AX1250" i="2"/>
  <c r="AV1250" i="2"/>
  <c r="AU1250" i="2"/>
  <c r="AR1250" i="2"/>
  <c r="AQ1250" i="2"/>
  <c r="AP1250" i="2"/>
  <c r="AO1250" i="2"/>
  <c r="AM1250" i="2"/>
  <c r="AL1250" i="2"/>
  <c r="AK1250" i="2"/>
  <c r="AJ1250" i="2"/>
  <c r="AI1250" i="2"/>
  <c r="AH1250" i="2"/>
  <c r="AG1250" i="2"/>
  <c r="AE1250" i="2"/>
  <c r="AD1250" i="2"/>
  <c r="AC1250" i="2"/>
  <c r="AA1250" i="2"/>
  <c r="Z1250" i="2"/>
  <c r="Y1250" i="2"/>
  <c r="X1250" i="2"/>
  <c r="W1250" i="2"/>
  <c r="V1250" i="2"/>
  <c r="U1250" i="2"/>
  <c r="T1250" i="2"/>
  <c r="S1250" i="2"/>
  <c r="R1250" i="2"/>
  <c r="Q1250" i="2"/>
  <c r="P1250" i="2"/>
  <c r="O1250" i="2"/>
  <c r="N1250" i="2"/>
  <c r="M1250" i="2"/>
  <c r="L1250" i="2"/>
  <c r="K1250" i="2"/>
  <c r="J1250" i="2"/>
  <c r="I1250" i="2"/>
  <c r="H1250" i="2"/>
  <c r="G1250" i="2"/>
  <c r="F1250" i="2"/>
  <c r="E1250" i="2"/>
  <c r="D1250" i="2"/>
  <c r="C1250" i="2"/>
  <c r="B1250" i="2"/>
  <c r="A1250" i="2"/>
  <c r="AX1249" i="2"/>
  <c r="AV1249" i="2"/>
  <c r="AU1249" i="2"/>
  <c r="AS1249" i="2"/>
  <c r="AQ1249" i="2"/>
  <c r="AP1249" i="2"/>
  <c r="AO1249" i="2"/>
  <c r="AM1249" i="2"/>
  <c r="AK1249" i="2"/>
  <c r="AJ1249" i="2"/>
  <c r="AI1249" i="2"/>
  <c r="AH1249" i="2"/>
  <c r="AG1249" i="2"/>
  <c r="AE1249" i="2"/>
  <c r="AD1249" i="2"/>
  <c r="AC1249" i="2"/>
  <c r="AA1249" i="2"/>
  <c r="Z1249" i="2"/>
  <c r="Y1249" i="2"/>
  <c r="X1249" i="2"/>
  <c r="W1249" i="2"/>
  <c r="V1249" i="2"/>
  <c r="U1249" i="2"/>
  <c r="T1249" i="2"/>
  <c r="S1249" i="2"/>
  <c r="R1249" i="2"/>
  <c r="Q1249" i="2"/>
  <c r="P1249" i="2"/>
  <c r="O1249" i="2"/>
  <c r="N1249" i="2"/>
  <c r="M1249" i="2"/>
  <c r="L1249" i="2"/>
  <c r="K1249" i="2"/>
  <c r="J1249" i="2"/>
  <c r="I1249" i="2"/>
  <c r="H1249" i="2"/>
  <c r="G1249" i="2"/>
  <c r="F1249" i="2"/>
  <c r="E1249" i="2"/>
  <c r="D1249" i="2"/>
  <c r="C1249" i="2"/>
  <c r="B1249" i="2"/>
  <c r="A1249" i="2"/>
  <c r="AX1248" i="2"/>
  <c r="AV1248" i="2"/>
  <c r="AU1248" i="2"/>
  <c r="AT1248" i="2"/>
  <c r="AS1248" i="2"/>
  <c r="AR1248" i="2"/>
  <c r="AP1248" i="2"/>
  <c r="AO1248" i="2"/>
  <c r="AN1248" i="2"/>
  <c r="AM1248" i="2"/>
  <c r="AL1248" i="2"/>
  <c r="AK1248" i="2"/>
  <c r="AJ1248" i="2"/>
  <c r="AI1248" i="2"/>
  <c r="AH1248" i="2"/>
  <c r="AG1248" i="2"/>
  <c r="AF1248" i="2"/>
  <c r="AE1248" i="2"/>
  <c r="AD1248" i="2"/>
  <c r="AC1248" i="2"/>
  <c r="AA1248" i="2"/>
  <c r="Z1248" i="2"/>
  <c r="Y1248" i="2"/>
  <c r="W1248" i="2"/>
  <c r="V1248" i="2"/>
  <c r="U1248" i="2"/>
  <c r="T1248" i="2"/>
  <c r="S1248" i="2"/>
  <c r="R1248" i="2"/>
  <c r="Q1248" i="2"/>
  <c r="P1248" i="2"/>
  <c r="O1248" i="2"/>
  <c r="N1248" i="2"/>
  <c r="M1248" i="2"/>
  <c r="L1248" i="2"/>
  <c r="K1248" i="2"/>
  <c r="J1248" i="2"/>
  <c r="I1248" i="2"/>
  <c r="H1248" i="2"/>
  <c r="G1248" i="2"/>
  <c r="F1248" i="2"/>
  <c r="E1248" i="2"/>
  <c r="D1248" i="2"/>
  <c r="C1248" i="2"/>
  <c r="B1248" i="2"/>
  <c r="A1248" i="2"/>
  <c r="AX1247" i="2"/>
  <c r="AV1247" i="2"/>
  <c r="AU1247" i="2"/>
  <c r="AS1247" i="2"/>
  <c r="AR1247" i="2"/>
  <c r="AO1247" i="2"/>
  <c r="AM1247" i="2"/>
  <c r="AK1247" i="2"/>
  <c r="AJ1247" i="2"/>
  <c r="AI1247" i="2"/>
  <c r="AH1247" i="2"/>
  <c r="AG1247" i="2"/>
  <c r="AC1247" i="2"/>
  <c r="Z1247" i="2"/>
  <c r="Y1247" i="2"/>
  <c r="X1247" i="2"/>
  <c r="T1247" i="2"/>
  <c r="S1247" i="2"/>
  <c r="R1247" i="2"/>
  <c r="Q1247" i="2"/>
  <c r="P1247" i="2"/>
  <c r="O1247" i="2"/>
  <c r="N1247" i="2"/>
  <c r="M1247" i="2"/>
  <c r="L1247" i="2"/>
  <c r="K1247" i="2"/>
  <c r="J1247" i="2"/>
  <c r="I1247" i="2"/>
  <c r="H1247" i="2"/>
  <c r="G1247" i="2"/>
  <c r="F1247" i="2"/>
  <c r="E1247" i="2"/>
  <c r="D1247" i="2"/>
  <c r="C1247" i="2"/>
  <c r="B1247" i="2"/>
  <c r="A1247" i="2"/>
  <c r="AX1246" i="2"/>
  <c r="AV1246" i="2"/>
  <c r="AU1246" i="2"/>
  <c r="AR1246" i="2"/>
  <c r="AO1246" i="2"/>
  <c r="AM1246" i="2"/>
  <c r="AL1246" i="2"/>
  <c r="AK1246" i="2"/>
  <c r="AJ1246" i="2"/>
  <c r="AI1246" i="2"/>
  <c r="AH1246" i="2"/>
  <c r="AG1246" i="2"/>
  <c r="AE1246" i="2"/>
  <c r="AD1246" i="2"/>
  <c r="AC1246" i="2"/>
  <c r="AA1246" i="2"/>
  <c r="Z1246" i="2"/>
  <c r="Y1246" i="2"/>
  <c r="U1246" i="2"/>
  <c r="T1246" i="2"/>
  <c r="S1246" i="2"/>
  <c r="R1246" i="2"/>
  <c r="Q1246" i="2"/>
  <c r="P1246" i="2"/>
  <c r="O1246" i="2"/>
  <c r="N1246" i="2"/>
  <c r="M1246" i="2"/>
  <c r="L1246" i="2"/>
  <c r="K1246" i="2"/>
  <c r="J1246" i="2"/>
  <c r="I1246" i="2"/>
  <c r="H1246" i="2"/>
  <c r="G1246" i="2"/>
  <c r="F1246" i="2"/>
  <c r="E1246" i="2"/>
  <c r="D1246" i="2"/>
  <c r="C1246" i="2"/>
  <c r="B1246" i="2"/>
  <c r="A1246" i="2"/>
  <c r="AX1245" i="2"/>
  <c r="AV1245" i="2"/>
  <c r="AU1245" i="2"/>
  <c r="AT1245" i="2"/>
  <c r="AR1245" i="2"/>
  <c r="AO1245" i="2"/>
  <c r="AM1245" i="2"/>
  <c r="AK1245" i="2"/>
  <c r="AJ1245" i="2"/>
  <c r="AI1245" i="2"/>
  <c r="AH1245" i="2"/>
  <c r="AG1245" i="2"/>
  <c r="AE1245" i="2"/>
  <c r="AC1245" i="2"/>
  <c r="Z1245" i="2"/>
  <c r="Y1245" i="2"/>
  <c r="X1245" i="2"/>
  <c r="W1245" i="2"/>
  <c r="V1245" i="2"/>
  <c r="U1245" i="2"/>
  <c r="T1245" i="2"/>
  <c r="S1245" i="2"/>
  <c r="R1245" i="2"/>
  <c r="Q1245" i="2"/>
  <c r="P1245" i="2"/>
  <c r="O1245" i="2"/>
  <c r="N1245" i="2"/>
  <c r="M1245" i="2"/>
  <c r="L1245" i="2"/>
  <c r="K1245" i="2"/>
  <c r="J1245" i="2"/>
  <c r="I1245" i="2"/>
  <c r="H1245" i="2"/>
  <c r="G1245" i="2"/>
  <c r="F1245" i="2"/>
  <c r="E1245" i="2"/>
  <c r="D1245" i="2"/>
  <c r="C1245" i="2"/>
  <c r="B1245" i="2"/>
  <c r="A1245" i="2"/>
  <c r="AX1244" i="2"/>
  <c r="AV1244" i="2"/>
  <c r="AU1244" i="2"/>
  <c r="AS1244" i="2"/>
  <c r="AR1244" i="2"/>
  <c r="AO1244" i="2"/>
  <c r="AN1244" i="2"/>
  <c r="AM1244" i="2"/>
  <c r="AL1244" i="2"/>
  <c r="AJ1244" i="2"/>
  <c r="AI1244" i="2"/>
  <c r="AH1244" i="2"/>
  <c r="AG1244" i="2"/>
  <c r="AE1244" i="2"/>
  <c r="AD1244" i="2"/>
  <c r="AC1244" i="2"/>
  <c r="Z1244" i="2"/>
  <c r="Y1244" i="2"/>
  <c r="X1244" i="2"/>
  <c r="W1244" i="2"/>
  <c r="V1244" i="2"/>
  <c r="U1244" i="2"/>
  <c r="T1244" i="2"/>
  <c r="S1244" i="2"/>
  <c r="R1244" i="2"/>
  <c r="Q1244" i="2"/>
  <c r="P1244" i="2"/>
  <c r="O1244" i="2"/>
  <c r="N1244" i="2"/>
  <c r="M1244" i="2"/>
  <c r="L1244" i="2"/>
  <c r="K1244" i="2"/>
  <c r="J1244" i="2"/>
  <c r="I1244" i="2"/>
  <c r="H1244" i="2"/>
  <c r="G1244" i="2"/>
  <c r="F1244" i="2"/>
  <c r="E1244" i="2"/>
  <c r="D1244" i="2"/>
  <c r="C1244" i="2"/>
  <c r="B1244" i="2"/>
  <c r="A1244" i="2"/>
  <c r="AX1243" i="2"/>
  <c r="AV1243" i="2"/>
  <c r="AU1243" i="2"/>
  <c r="AT1243" i="2"/>
  <c r="AO1243" i="2"/>
  <c r="AM1243" i="2"/>
  <c r="AK1243" i="2"/>
  <c r="AJ1243" i="2"/>
  <c r="AI1243" i="2"/>
  <c r="AH1243" i="2"/>
  <c r="AE1243" i="2"/>
  <c r="AD1243" i="2"/>
  <c r="AC1243" i="2"/>
  <c r="AA1243" i="2"/>
  <c r="Z1243" i="2"/>
  <c r="Y1243" i="2"/>
  <c r="X1243" i="2"/>
  <c r="W1243" i="2"/>
  <c r="V1243" i="2"/>
  <c r="U1243" i="2"/>
  <c r="T1243" i="2"/>
  <c r="S1243" i="2"/>
  <c r="R1243" i="2"/>
  <c r="Q1243" i="2"/>
  <c r="P1243" i="2"/>
  <c r="O1243" i="2"/>
  <c r="N1243" i="2"/>
  <c r="M1243" i="2"/>
  <c r="L1243" i="2"/>
  <c r="K1243" i="2"/>
  <c r="J1243" i="2"/>
  <c r="I1243" i="2"/>
  <c r="H1243" i="2"/>
  <c r="G1243" i="2"/>
  <c r="F1243" i="2"/>
  <c r="E1243" i="2"/>
  <c r="D1243" i="2"/>
  <c r="C1243" i="2"/>
  <c r="B1243" i="2"/>
  <c r="A1243" i="2"/>
  <c r="AX1242" i="2"/>
  <c r="AV1242" i="2"/>
  <c r="AU1242" i="2"/>
  <c r="AT1242" i="2"/>
  <c r="AS1242" i="2"/>
  <c r="AO1242" i="2"/>
  <c r="AM1242" i="2"/>
  <c r="AL1242" i="2"/>
  <c r="AK1242" i="2"/>
  <c r="AI1242" i="2"/>
  <c r="AH1242" i="2"/>
  <c r="AG1242" i="2"/>
  <c r="AE1242" i="2"/>
  <c r="AD1242" i="2"/>
  <c r="AC1242" i="2"/>
  <c r="AA1242" i="2"/>
  <c r="Z1242" i="2"/>
  <c r="Y1242" i="2"/>
  <c r="X1242" i="2"/>
  <c r="W1242" i="2"/>
  <c r="V1242" i="2"/>
  <c r="U1242" i="2"/>
  <c r="T1242" i="2"/>
  <c r="S1242" i="2"/>
  <c r="R1242" i="2"/>
  <c r="Q1242" i="2"/>
  <c r="P1242" i="2"/>
  <c r="O1242" i="2"/>
  <c r="N1242" i="2"/>
  <c r="M1242" i="2"/>
  <c r="L1242" i="2"/>
  <c r="K1242" i="2"/>
  <c r="J1242" i="2"/>
  <c r="I1242" i="2"/>
  <c r="H1242" i="2"/>
  <c r="G1242" i="2"/>
  <c r="F1242" i="2"/>
  <c r="E1242" i="2"/>
  <c r="D1242" i="2"/>
  <c r="C1242" i="2"/>
  <c r="B1242" i="2"/>
  <c r="A1242" i="2"/>
  <c r="AX1241" i="2"/>
  <c r="AV1241" i="2"/>
  <c r="AU1241" i="2"/>
  <c r="AT1241" i="2"/>
  <c r="AS1241" i="2"/>
  <c r="AR1241" i="2"/>
  <c r="AP1241" i="2"/>
  <c r="AO1241" i="2"/>
  <c r="AM1241" i="2"/>
  <c r="AL1241" i="2"/>
  <c r="AK1241" i="2"/>
  <c r="AJ1241" i="2"/>
  <c r="AI1241" i="2"/>
  <c r="AH1241" i="2"/>
  <c r="AG1241" i="2"/>
  <c r="AE1241" i="2"/>
  <c r="AD1241" i="2"/>
  <c r="AC1241" i="2"/>
  <c r="AA1241" i="2"/>
  <c r="Z1241" i="2"/>
  <c r="Y1241" i="2"/>
  <c r="X1241" i="2"/>
  <c r="W1241" i="2"/>
  <c r="V1241" i="2"/>
  <c r="U1241" i="2"/>
  <c r="T1241" i="2"/>
  <c r="S1241" i="2"/>
  <c r="R1241" i="2"/>
  <c r="Q1241" i="2"/>
  <c r="P1241" i="2"/>
  <c r="O1241" i="2"/>
  <c r="N1241" i="2"/>
  <c r="M1241" i="2"/>
  <c r="L1241" i="2"/>
  <c r="K1241" i="2"/>
  <c r="J1241" i="2"/>
  <c r="I1241" i="2"/>
  <c r="H1241" i="2"/>
  <c r="G1241" i="2"/>
  <c r="F1241" i="2"/>
  <c r="E1241" i="2"/>
  <c r="D1241" i="2"/>
  <c r="C1241" i="2"/>
  <c r="B1241" i="2"/>
  <c r="A1241" i="2"/>
  <c r="AX1240" i="2"/>
  <c r="AV1240" i="2"/>
  <c r="AU1240" i="2"/>
  <c r="AS1240" i="2"/>
  <c r="AR1240" i="2"/>
  <c r="AO1240" i="2"/>
  <c r="AM1240" i="2"/>
  <c r="AK1240" i="2"/>
  <c r="AJ1240" i="2"/>
  <c r="AI1240" i="2"/>
  <c r="AH1240" i="2"/>
  <c r="AG1240" i="2"/>
  <c r="AD1240" i="2"/>
  <c r="AC1240" i="2"/>
  <c r="AA1240" i="2"/>
  <c r="Z1240" i="2"/>
  <c r="Y1240" i="2"/>
  <c r="X1240" i="2"/>
  <c r="W1240" i="2"/>
  <c r="V1240" i="2"/>
  <c r="U1240" i="2"/>
  <c r="T1240" i="2"/>
  <c r="S1240" i="2"/>
  <c r="R1240" i="2"/>
  <c r="Q1240" i="2"/>
  <c r="P1240" i="2"/>
  <c r="O1240" i="2"/>
  <c r="N1240" i="2"/>
  <c r="M1240" i="2"/>
  <c r="L1240" i="2"/>
  <c r="K1240" i="2"/>
  <c r="J1240" i="2"/>
  <c r="I1240" i="2"/>
  <c r="H1240" i="2"/>
  <c r="G1240" i="2"/>
  <c r="F1240" i="2"/>
  <c r="E1240" i="2"/>
  <c r="D1240" i="2"/>
  <c r="C1240" i="2"/>
  <c r="B1240" i="2"/>
  <c r="A1240" i="2"/>
  <c r="AX1239" i="2"/>
  <c r="AV1239" i="2"/>
  <c r="AU1239" i="2"/>
  <c r="AS1239" i="2"/>
  <c r="AR1239" i="2"/>
  <c r="AO1239" i="2"/>
  <c r="AM1239" i="2"/>
  <c r="AL1239" i="2"/>
  <c r="AK1239" i="2"/>
  <c r="AJ1239" i="2"/>
  <c r="AI1239" i="2"/>
  <c r="AH1239" i="2"/>
  <c r="AG1239" i="2"/>
  <c r="AE1239" i="2"/>
  <c r="AD1239" i="2"/>
  <c r="AC1239" i="2"/>
  <c r="AA1239" i="2"/>
  <c r="Z1239" i="2"/>
  <c r="Y1239" i="2"/>
  <c r="X1239" i="2"/>
  <c r="W1239" i="2"/>
  <c r="V1239" i="2"/>
  <c r="U1239" i="2"/>
  <c r="T1239" i="2"/>
  <c r="S1239" i="2"/>
  <c r="R1239" i="2"/>
  <c r="Q1239" i="2"/>
  <c r="P1239" i="2"/>
  <c r="O1239" i="2"/>
  <c r="N1239" i="2"/>
  <c r="M1239" i="2"/>
  <c r="L1239" i="2"/>
  <c r="K1239" i="2"/>
  <c r="J1239" i="2"/>
  <c r="I1239" i="2"/>
  <c r="H1239" i="2"/>
  <c r="G1239" i="2"/>
  <c r="F1239" i="2"/>
  <c r="E1239" i="2"/>
  <c r="D1239" i="2"/>
  <c r="C1239" i="2"/>
  <c r="B1239" i="2"/>
  <c r="A1239" i="2"/>
  <c r="AX1238" i="2"/>
  <c r="AV1238" i="2"/>
  <c r="AU1238" i="2"/>
  <c r="AR1238" i="2"/>
  <c r="AO1238" i="2"/>
  <c r="AM1238" i="2"/>
  <c r="AK1238" i="2"/>
  <c r="AJ1238" i="2"/>
  <c r="AI1238" i="2"/>
  <c r="AH1238" i="2"/>
  <c r="AG1238" i="2"/>
  <c r="AD1238" i="2"/>
  <c r="AC1238" i="2"/>
  <c r="AA1238" i="2"/>
  <c r="Z1238" i="2"/>
  <c r="Y1238" i="2"/>
  <c r="X1238" i="2"/>
  <c r="V1238" i="2"/>
  <c r="U1238" i="2"/>
  <c r="T1238" i="2"/>
  <c r="S1238" i="2"/>
  <c r="R1238" i="2"/>
  <c r="Q1238" i="2"/>
  <c r="P1238" i="2"/>
  <c r="O1238" i="2"/>
  <c r="N1238" i="2"/>
  <c r="M1238" i="2"/>
  <c r="L1238" i="2"/>
  <c r="K1238" i="2"/>
  <c r="J1238" i="2"/>
  <c r="I1238" i="2"/>
  <c r="H1238" i="2"/>
  <c r="G1238" i="2"/>
  <c r="F1238" i="2"/>
  <c r="E1238" i="2"/>
  <c r="D1238" i="2"/>
  <c r="C1238" i="2"/>
  <c r="B1238" i="2"/>
  <c r="A1238" i="2"/>
  <c r="AX1237" i="2"/>
  <c r="AV1237" i="2"/>
  <c r="AU1237" i="2"/>
  <c r="AR1237" i="2"/>
  <c r="AO1237" i="2"/>
  <c r="AM1237" i="2"/>
  <c r="AL1237" i="2"/>
  <c r="AK1237" i="2"/>
  <c r="AJ1237" i="2"/>
  <c r="AI1237" i="2"/>
  <c r="AH1237" i="2"/>
  <c r="AG1237" i="2"/>
  <c r="AE1237" i="2"/>
  <c r="AD1237" i="2"/>
  <c r="AC1237" i="2"/>
  <c r="AA1237" i="2"/>
  <c r="Z1237" i="2"/>
  <c r="Y1237" i="2"/>
  <c r="X1237" i="2"/>
  <c r="W1237" i="2"/>
  <c r="V1237" i="2"/>
  <c r="U1237" i="2"/>
  <c r="T1237" i="2"/>
  <c r="S1237" i="2"/>
  <c r="R1237" i="2"/>
  <c r="Q1237" i="2"/>
  <c r="P1237" i="2"/>
  <c r="O1237" i="2"/>
  <c r="N1237" i="2"/>
  <c r="M1237" i="2"/>
  <c r="L1237" i="2"/>
  <c r="K1237" i="2"/>
  <c r="J1237" i="2"/>
  <c r="I1237" i="2"/>
  <c r="H1237" i="2"/>
  <c r="G1237" i="2"/>
  <c r="F1237" i="2"/>
  <c r="E1237" i="2"/>
  <c r="D1237" i="2"/>
  <c r="C1237" i="2"/>
  <c r="B1237" i="2"/>
  <c r="A1237" i="2"/>
  <c r="AX1236" i="2"/>
  <c r="AV1236" i="2"/>
  <c r="AU1236" i="2"/>
  <c r="AT1236" i="2"/>
  <c r="AR1236" i="2"/>
  <c r="AM1236" i="2"/>
  <c r="AL1236" i="2"/>
  <c r="AK1236" i="2"/>
  <c r="AJ1236" i="2"/>
  <c r="AI1236" i="2"/>
  <c r="AH1236" i="2"/>
  <c r="AG1236" i="2"/>
  <c r="AE1236" i="2"/>
  <c r="AD1236" i="2"/>
  <c r="AC1236" i="2"/>
  <c r="Z1236" i="2"/>
  <c r="Y1236" i="2"/>
  <c r="X1236" i="2"/>
  <c r="W1236" i="2"/>
  <c r="V1236" i="2"/>
  <c r="U1236" i="2"/>
  <c r="T1236" i="2"/>
  <c r="S1236" i="2"/>
  <c r="R1236" i="2"/>
  <c r="Q1236" i="2"/>
  <c r="P1236" i="2"/>
  <c r="O1236" i="2"/>
  <c r="N1236" i="2"/>
  <c r="M1236" i="2"/>
  <c r="L1236" i="2"/>
  <c r="K1236" i="2"/>
  <c r="J1236" i="2"/>
  <c r="I1236" i="2"/>
  <c r="H1236" i="2"/>
  <c r="G1236" i="2"/>
  <c r="F1236" i="2"/>
  <c r="E1236" i="2"/>
  <c r="D1236" i="2"/>
  <c r="C1236" i="2"/>
  <c r="B1236" i="2"/>
  <c r="A1236" i="2"/>
  <c r="AX1235" i="2"/>
  <c r="AV1235" i="2"/>
  <c r="AU1235" i="2"/>
  <c r="AR1235" i="2"/>
  <c r="AO1235" i="2"/>
  <c r="AM1235" i="2"/>
  <c r="AK1235" i="2"/>
  <c r="AJ1235" i="2"/>
  <c r="AI1235" i="2"/>
  <c r="AH1235" i="2"/>
  <c r="AG1235" i="2"/>
  <c r="AE1235" i="2"/>
  <c r="AC1235" i="2"/>
  <c r="Z1235" i="2"/>
  <c r="Y1235" i="2"/>
  <c r="X1235" i="2"/>
  <c r="W1235" i="2"/>
  <c r="V1235" i="2"/>
  <c r="U1235" i="2"/>
  <c r="T1235" i="2"/>
  <c r="S1235" i="2"/>
  <c r="R1235" i="2"/>
  <c r="Q1235" i="2"/>
  <c r="P1235" i="2"/>
  <c r="O1235" i="2"/>
  <c r="N1235" i="2"/>
  <c r="M1235" i="2"/>
  <c r="L1235" i="2"/>
  <c r="K1235" i="2"/>
  <c r="J1235" i="2"/>
  <c r="I1235" i="2"/>
  <c r="H1235" i="2"/>
  <c r="G1235" i="2"/>
  <c r="F1235" i="2"/>
  <c r="E1235" i="2"/>
  <c r="D1235" i="2"/>
  <c r="C1235" i="2"/>
  <c r="B1235" i="2"/>
  <c r="A1235" i="2"/>
  <c r="AX1234" i="2"/>
  <c r="AV1234" i="2"/>
  <c r="AU1234" i="2"/>
  <c r="AT1234" i="2"/>
  <c r="AR1234" i="2"/>
  <c r="AO1234" i="2"/>
  <c r="AM1234" i="2"/>
  <c r="AK1234" i="2"/>
  <c r="AJ1234" i="2"/>
  <c r="AI1234" i="2"/>
  <c r="AH1234" i="2"/>
  <c r="AG1234" i="2"/>
  <c r="AD1234" i="2"/>
  <c r="AC1234" i="2"/>
  <c r="AA1234" i="2"/>
  <c r="Z1234" i="2"/>
  <c r="Y1234" i="2"/>
  <c r="X1234" i="2"/>
  <c r="W1234" i="2"/>
  <c r="V1234" i="2"/>
  <c r="U1234" i="2"/>
  <c r="T1234" i="2"/>
  <c r="S1234" i="2"/>
  <c r="R1234" i="2"/>
  <c r="Q1234" i="2"/>
  <c r="P1234" i="2"/>
  <c r="O1234" i="2"/>
  <c r="N1234" i="2"/>
  <c r="M1234" i="2"/>
  <c r="L1234" i="2"/>
  <c r="K1234" i="2"/>
  <c r="J1234" i="2"/>
  <c r="I1234" i="2"/>
  <c r="H1234" i="2"/>
  <c r="G1234" i="2"/>
  <c r="F1234" i="2"/>
  <c r="E1234" i="2"/>
  <c r="D1234" i="2"/>
  <c r="C1234" i="2"/>
  <c r="B1234" i="2"/>
  <c r="A1234" i="2"/>
  <c r="AX1233" i="2"/>
  <c r="AV1233" i="2"/>
  <c r="AU1233" i="2"/>
  <c r="AT1233" i="2"/>
  <c r="AS1233" i="2"/>
  <c r="AR1233" i="2"/>
  <c r="AQ1233" i="2"/>
  <c r="AO1233" i="2"/>
  <c r="AM1233" i="2"/>
  <c r="AK1233" i="2"/>
  <c r="AJ1233" i="2"/>
  <c r="AI1233" i="2"/>
  <c r="AH1233" i="2"/>
  <c r="AG1233" i="2"/>
  <c r="AE1233" i="2"/>
  <c r="AD1233" i="2"/>
  <c r="AC1233" i="2"/>
  <c r="AA1233" i="2"/>
  <c r="Z1233" i="2"/>
  <c r="Y1233" i="2"/>
  <c r="X1233" i="2"/>
  <c r="W1233" i="2"/>
  <c r="V1233" i="2"/>
  <c r="U1233" i="2"/>
  <c r="T1233" i="2"/>
  <c r="S1233" i="2"/>
  <c r="R1233" i="2"/>
  <c r="Q1233" i="2"/>
  <c r="P1233" i="2"/>
  <c r="O1233" i="2"/>
  <c r="N1233" i="2"/>
  <c r="M1233" i="2"/>
  <c r="L1233" i="2"/>
  <c r="K1233" i="2"/>
  <c r="J1233" i="2"/>
  <c r="I1233" i="2"/>
  <c r="H1233" i="2"/>
  <c r="G1233" i="2"/>
  <c r="F1233" i="2"/>
  <c r="E1233" i="2"/>
  <c r="D1233" i="2"/>
  <c r="C1233" i="2"/>
  <c r="B1233" i="2"/>
  <c r="A1233" i="2"/>
  <c r="AX1232" i="2"/>
  <c r="AV1232" i="2"/>
  <c r="AU1232" i="2"/>
  <c r="AR1232" i="2"/>
  <c r="AM1232" i="2"/>
  <c r="AK1232" i="2"/>
  <c r="AJ1232" i="2"/>
  <c r="AI1232" i="2"/>
  <c r="AH1232" i="2"/>
  <c r="AG1232" i="2"/>
  <c r="AE1232" i="2"/>
  <c r="AD1232" i="2"/>
  <c r="AC1232" i="2"/>
  <c r="Z1232" i="2"/>
  <c r="Y1232" i="2"/>
  <c r="X1232" i="2"/>
  <c r="W1232" i="2"/>
  <c r="V1232" i="2"/>
  <c r="U1232" i="2"/>
  <c r="T1232" i="2"/>
  <c r="S1232" i="2"/>
  <c r="R1232" i="2"/>
  <c r="Q1232" i="2"/>
  <c r="P1232" i="2"/>
  <c r="O1232" i="2"/>
  <c r="N1232" i="2"/>
  <c r="M1232" i="2"/>
  <c r="L1232" i="2"/>
  <c r="K1232" i="2"/>
  <c r="J1232" i="2"/>
  <c r="I1232" i="2"/>
  <c r="H1232" i="2"/>
  <c r="G1232" i="2"/>
  <c r="F1232" i="2"/>
  <c r="E1232" i="2"/>
  <c r="D1232" i="2"/>
  <c r="C1232" i="2"/>
  <c r="B1232" i="2"/>
  <c r="A1232" i="2"/>
  <c r="AX1231" i="2"/>
  <c r="AV1231" i="2"/>
  <c r="AU1231" i="2"/>
  <c r="AT1231" i="2"/>
  <c r="AR1231" i="2"/>
  <c r="AO1231" i="2"/>
  <c r="AM1231" i="2"/>
  <c r="AL1231" i="2"/>
  <c r="AK1231" i="2"/>
  <c r="AJ1231" i="2"/>
  <c r="AI1231" i="2"/>
  <c r="AH1231" i="2"/>
  <c r="AG1231" i="2"/>
  <c r="AF1231" i="2"/>
  <c r="AE1231" i="2"/>
  <c r="AD1231" i="2"/>
  <c r="AC1231" i="2"/>
  <c r="AA1231" i="2"/>
  <c r="Z1231" i="2"/>
  <c r="Y1231" i="2"/>
  <c r="X1231" i="2"/>
  <c r="W1231" i="2"/>
  <c r="V1231" i="2"/>
  <c r="U1231" i="2"/>
  <c r="T1231" i="2"/>
  <c r="S1231" i="2"/>
  <c r="R1231" i="2"/>
  <c r="Q1231" i="2"/>
  <c r="P1231" i="2"/>
  <c r="O1231" i="2"/>
  <c r="N1231" i="2"/>
  <c r="M1231" i="2"/>
  <c r="L1231" i="2"/>
  <c r="K1231" i="2"/>
  <c r="J1231" i="2"/>
  <c r="I1231" i="2"/>
  <c r="H1231" i="2"/>
  <c r="G1231" i="2"/>
  <c r="F1231" i="2"/>
  <c r="E1231" i="2"/>
  <c r="D1231" i="2"/>
  <c r="C1231" i="2"/>
  <c r="B1231" i="2"/>
  <c r="A1231" i="2"/>
  <c r="AX1230" i="2"/>
  <c r="AV1230" i="2"/>
  <c r="AU1230" i="2"/>
  <c r="AT1230" i="2"/>
  <c r="AS1230" i="2"/>
  <c r="AR1230" i="2"/>
  <c r="AO1230" i="2"/>
  <c r="AM1230" i="2"/>
  <c r="AK1230" i="2"/>
  <c r="AJ1230" i="2"/>
  <c r="AI1230" i="2"/>
  <c r="AH1230" i="2"/>
  <c r="AG1230" i="2"/>
  <c r="AD1230" i="2"/>
  <c r="AC1230" i="2"/>
  <c r="AA1230" i="2"/>
  <c r="Z1230" i="2"/>
  <c r="Y1230" i="2"/>
  <c r="X1230" i="2"/>
  <c r="W1230" i="2"/>
  <c r="V1230" i="2"/>
  <c r="U1230" i="2"/>
  <c r="T1230" i="2"/>
  <c r="S1230" i="2"/>
  <c r="R1230" i="2"/>
  <c r="Q1230" i="2"/>
  <c r="P1230" i="2"/>
  <c r="O1230" i="2"/>
  <c r="N1230" i="2"/>
  <c r="M1230" i="2"/>
  <c r="L1230" i="2"/>
  <c r="K1230" i="2"/>
  <c r="J1230" i="2"/>
  <c r="I1230" i="2"/>
  <c r="H1230" i="2"/>
  <c r="G1230" i="2"/>
  <c r="F1230" i="2"/>
  <c r="E1230" i="2"/>
  <c r="D1230" i="2"/>
  <c r="C1230" i="2"/>
  <c r="B1230" i="2"/>
  <c r="A1230" i="2"/>
  <c r="AX1229" i="2"/>
  <c r="AV1229" i="2"/>
  <c r="AU1229" i="2"/>
  <c r="AR1229" i="2"/>
  <c r="AO1229" i="2"/>
  <c r="AM1229" i="2"/>
  <c r="AL1229" i="2"/>
  <c r="AK1229" i="2"/>
  <c r="AJ1229" i="2"/>
  <c r="AI1229" i="2"/>
  <c r="AH1229" i="2"/>
  <c r="AG1229" i="2"/>
  <c r="AF1229" i="2"/>
  <c r="AE1229" i="2"/>
  <c r="AD1229" i="2"/>
  <c r="AC1229" i="2"/>
  <c r="AA1229" i="2"/>
  <c r="Z1229" i="2"/>
  <c r="Y1229" i="2"/>
  <c r="X1229" i="2"/>
  <c r="W1229" i="2"/>
  <c r="V1229" i="2"/>
  <c r="U1229" i="2"/>
  <c r="T1229" i="2"/>
  <c r="S1229" i="2"/>
  <c r="R1229" i="2"/>
  <c r="Q1229" i="2"/>
  <c r="P1229" i="2"/>
  <c r="O1229" i="2"/>
  <c r="N1229" i="2"/>
  <c r="M1229" i="2"/>
  <c r="L1229" i="2"/>
  <c r="K1229" i="2"/>
  <c r="J1229" i="2"/>
  <c r="I1229" i="2"/>
  <c r="H1229" i="2"/>
  <c r="G1229" i="2"/>
  <c r="F1229" i="2"/>
  <c r="E1229" i="2"/>
  <c r="D1229" i="2"/>
  <c r="C1229" i="2"/>
  <c r="B1229" i="2"/>
  <c r="A1229" i="2"/>
  <c r="AX1228" i="2"/>
  <c r="AV1228" i="2"/>
  <c r="AU1228" i="2"/>
  <c r="AR1228" i="2"/>
  <c r="AO1228" i="2"/>
  <c r="AM1228" i="2"/>
  <c r="AK1228" i="2"/>
  <c r="AJ1228" i="2"/>
  <c r="AI1228" i="2"/>
  <c r="AH1228" i="2"/>
  <c r="AG1228" i="2"/>
  <c r="AE1228" i="2"/>
  <c r="AD1228" i="2"/>
  <c r="AC1228" i="2"/>
  <c r="Z1228" i="2"/>
  <c r="Y1228" i="2"/>
  <c r="X1228" i="2"/>
  <c r="W1228" i="2"/>
  <c r="V1228" i="2"/>
  <c r="U1228" i="2"/>
  <c r="T1228" i="2"/>
  <c r="S1228" i="2"/>
  <c r="R1228" i="2"/>
  <c r="Q1228" i="2"/>
  <c r="P1228" i="2"/>
  <c r="O1228" i="2"/>
  <c r="N1228" i="2"/>
  <c r="M1228" i="2"/>
  <c r="L1228" i="2"/>
  <c r="K1228" i="2"/>
  <c r="J1228" i="2"/>
  <c r="I1228" i="2"/>
  <c r="H1228" i="2"/>
  <c r="G1228" i="2"/>
  <c r="F1228" i="2"/>
  <c r="E1228" i="2"/>
  <c r="D1228" i="2"/>
  <c r="C1228" i="2"/>
  <c r="B1228" i="2"/>
  <c r="A1228" i="2"/>
  <c r="AX1227" i="2"/>
  <c r="AV1227" i="2"/>
  <c r="AU1227" i="2"/>
  <c r="AR1227" i="2"/>
  <c r="AQ1227" i="2"/>
  <c r="AP1227" i="2"/>
  <c r="AO1227" i="2"/>
  <c r="AM1227" i="2"/>
  <c r="AK1227" i="2"/>
  <c r="AJ1227" i="2"/>
  <c r="AI1227" i="2"/>
  <c r="AH1227" i="2"/>
  <c r="AG1227" i="2"/>
  <c r="AF1227" i="2"/>
  <c r="AE1227" i="2"/>
  <c r="AD1227" i="2"/>
  <c r="AC1227" i="2"/>
  <c r="Z1227" i="2"/>
  <c r="Y1227" i="2"/>
  <c r="X1227" i="2"/>
  <c r="W1227" i="2"/>
  <c r="V1227" i="2"/>
  <c r="U1227" i="2"/>
  <c r="T1227" i="2"/>
  <c r="S1227" i="2"/>
  <c r="R1227" i="2"/>
  <c r="Q1227" i="2"/>
  <c r="P1227" i="2"/>
  <c r="N1227" i="2"/>
  <c r="M1227" i="2"/>
  <c r="L1227" i="2"/>
  <c r="K1227" i="2"/>
  <c r="J1227" i="2"/>
  <c r="I1227" i="2"/>
  <c r="H1227" i="2"/>
  <c r="G1227" i="2"/>
  <c r="F1227" i="2"/>
  <c r="E1227" i="2"/>
  <c r="D1227" i="2"/>
  <c r="C1227" i="2"/>
  <c r="B1227" i="2"/>
  <c r="A1227" i="2"/>
  <c r="AX1226" i="2"/>
  <c r="AV1226" i="2"/>
  <c r="AU1226" i="2"/>
  <c r="AT1226" i="2"/>
  <c r="AS1226" i="2"/>
  <c r="AR1226" i="2"/>
  <c r="AP1226" i="2"/>
  <c r="AO1226" i="2"/>
  <c r="AM1226" i="2"/>
  <c r="AL1226" i="2"/>
  <c r="AK1226" i="2"/>
  <c r="AJ1226" i="2"/>
  <c r="AI1226" i="2"/>
  <c r="AH1226" i="2"/>
  <c r="AG1226" i="2"/>
  <c r="AE1226" i="2"/>
  <c r="AD1226" i="2"/>
  <c r="AC1226" i="2"/>
  <c r="AA1226" i="2"/>
  <c r="Z1226" i="2"/>
  <c r="Y1226" i="2"/>
  <c r="X1226" i="2"/>
  <c r="W1226" i="2"/>
  <c r="V1226" i="2"/>
  <c r="U1226" i="2"/>
  <c r="T1226" i="2"/>
  <c r="S1226" i="2"/>
  <c r="R1226" i="2"/>
  <c r="Q1226" i="2"/>
  <c r="P1226" i="2"/>
  <c r="O1226" i="2"/>
  <c r="N1226" i="2"/>
  <c r="M1226" i="2"/>
  <c r="L1226" i="2"/>
  <c r="K1226" i="2"/>
  <c r="J1226" i="2"/>
  <c r="I1226" i="2"/>
  <c r="H1226" i="2"/>
  <c r="G1226" i="2"/>
  <c r="F1226" i="2"/>
  <c r="E1226" i="2"/>
  <c r="D1226" i="2"/>
  <c r="C1226" i="2"/>
  <c r="B1226" i="2"/>
  <c r="A1226" i="2"/>
  <c r="AX1225" i="2"/>
  <c r="AV1225" i="2"/>
  <c r="AU1225" i="2"/>
  <c r="AS1225" i="2"/>
  <c r="AR1225" i="2"/>
  <c r="AO1225" i="2"/>
  <c r="AM1225" i="2"/>
  <c r="AL1225" i="2"/>
  <c r="AK1225" i="2"/>
  <c r="AJ1225" i="2"/>
  <c r="AI1225" i="2"/>
  <c r="AH1225" i="2"/>
  <c r="AG1225" i="2"/>
  <c r="AE1225" i="2"/>
  <c r="AD1225" i="2"/>
  <c r="AC1225" i="2"/>
  <c r="AA1225" i="2"/>
  <c r="Z1225" i="2"/>
  <c r="Y1225" i="2"/>
  <c r="X1225" i="2"/>
  <c r="W1225" i="2"/>
  <c r="V1225" i="2"/>
  <c r="U1225" i="2"/>
  <c r="T1225" i="2"/>
  <c r="S1225" i="2"/>
  <c r="R1225" i="2"/>
  <c r="Q1225" i="2"/>
  <c r="P1225" i="2"/>
  <c r="N1225" i="2"/>
  <c r="M1225" i="2"/>
  <c r="L1225" i="2"/>
  <c r="K1225" i="2"/>
  <c r="J1225" i="2"/>
  <c r="I1225" i="2"/>
  <c r="H1225" i="2"/>
  <c r="G1225" i="2"/>
  <c r="F1225" i="2"/>
  <c r="E1225" i="2"/>
  <c r="D1225" i="2"/>
  <c r="C1225" i="2"/>
  <c r="B1225" i="2"/>
  <c r="A1225" i="2"/>
  <c r="AX1224" i="2"/>
  <c r="AV1224" i="2"/>
  <c r="AU1224" i="2"/>
  <c r="AS1224" i="2"/>
  <c r="AR1224" i="2"/>
  <c r="AO1224" i="2"/>
  <c r="AM1224" i="2"/>
  <c r="AK1224" i="2"/>
  <c r="AJ1224" i="2"/>
  <c r="AI1224" i="2"/>
  <c r="AH1224" i="2"/>
  <c r="AG1224" i="2"/>
  <c r="AE1224" i="2"/>
  <c r="AD1224" i="2"/>
  <c r="AC1224" i="2"/>
  <c r="AA1224" i="2"/>
  <c r="Z1224" i="2"/>
  <c r="Y1224" i="2"/>
  <c r="X1224" i="2"/>
  <c r="W1224" i="2"/>
  <c r="V1224" i="2"/>
  <c r="U1224" i="2"/>
  <c r="T1224" i="2"/>
  <c r="S1224" i="2"/>
  <c r="R1224" i="2"/>
  <c r="Q1224" i="2"/>
  <c r="P1224" i="2"/>
  <c r="O1224" i="2"/>
  <c r="N1224" i="2"/>
  <c r="M1224" i="2"/>
  <c r="L1224" i="2"/>
  <c r="K1224" i="2"/>
  <c r="J1224" i="2"/>
  <c r="I1224" i="2"/>
  <c r="H1224" i="2"/>
  <c r="G1224" i="2"/>
  <c r="F1224" i="2"/>
  <c r="E1224" i="2"/>
  <c r="D1224" i="2"/>
  <c r="C1224" i="2"/>
  <c r="B1224" i="2"/>
  <c r="A1224" i="2"/>
  <c r="AX1223" i="2"/>
  <c r="AV1223" i="2"/>
  <c r="AU1223" i="2"/>
  <c r="AR1223" i="2"/>
  <c r="AO1223" i="2"/>
  <c r="AN1223" i="2"/>
  <c r="AM1223" i="2"/>
  <c r="AL1223" i="2"/>
  <c r="AK1223" i="2"/>
  <c r="AJ1223" i="2"/>
  <c r="AI1223" i="2"/>
  <c r="AH1223" i="2"/>
  <c r="AG1223" i="2"/>
  <c r="AE1223" i="2"/>
  <c r="AD1223" i="2"/>
  <c r="AC1223" i="2"/>
  <c r="AA1223" i="2"/>
  <c r="Z1223" i="2"/>
  <c r="Y1223" i="2"/>
  <c r="X1223" i="2"/>
  <c r="W1223" i="2"/>
  <c r="V1223" i="2"/>
  <c r="U1223" i="2"/>
  <c r="T1223" i="2"/>
  <c r="S1223" i="2"/>
  <c r="R1223" i="2"/>
  <c r="Q1223" i="2"/>
  <c r="P1223" i="2"/>
  <c r="O1223" i="2"/>
  <c r="N1223" i="2"/>
  <c r="M1223" i="2"/>
  <c r="L1223" i="2"/>
  <c r="K1223" i="2"/>
  <c r="J1223" i="2"/>
  <c r="I1223" i="2"/>
  <c r="H1223" i="2"/>
  <c r="G1223" i="2"/>
  <c r="F1223" i="2"/>
  <c r="E1223" i="2"/>
  <c r="D1223" i="2"/>
  <c r="C1223" i="2"/>
  <c r="B1223" i="2"/>
  <c r="A1223" i="2"/>
  <c r="AX1222" i="2"/>
  <c r="AV1222" i="2"/>
  <c r="AU1222" i="2"/>
  <c r="AS1222" i="2"/>
  <c r="AR1222" i="2"/>
  <c r="AO1222" i="2"/>
  <c r="AM1222" i="2"/>
  <c r="AL1222" i="2"/>
  <c r="AK1222" i="2"/>
  <c r="AJ1222" i="2"/>
  <c r="AI1222" i="2"/>
  <c r="AH1222" i="2"/>
  <c r="AG1222" i="2"/>
  <c r="AE1222" i="2"/>
  <c r="AD1222" i="2"/>
  <c r="AC1222" i="2"/>
  <c r="AA1222" i="2"/>
  <c r="Z1222" i="2"/>
  <c r="Y1222" i="2"/>
  <c r="X1222" i="2"/>
  <c r="W1222" i="2"/>
  <c r="V1222" i="2"/>
  <c r="U1222" i="2"/>
  <c r="T1222" i="2"/>
  <c r="S1222" i="2"/>
  <c r="R1222" i="2"/>
  <c r="Q1222" i="2"/>
  <c r="P1222" i="2"/>
  <c r="O1222" i="2"/>
  <c r="N1222" i="2"/>
  <c r="M1222" i="2"/>
  <c r="L1222" i="2"/>
  <c r="K1222" i="2"/>
  <c r="J1222" i="2"/>
  <c r="I1222" i="2"/>
  <c r="H1222" i="2"/>
  <c r="G1222" i="2"/>
  <c r="F1222" i="2"/>
  <c r="E1222" i="2"/>
  <c r="D1222" i="2"/>
  <c r="C1222" i="2"/>
  <c r="B1222" i="2"/>
  <c r="A1222" i="2"/>
  <c r="AX1221" i="2"/>
  <c r="AV1221" i="2"/>
  <c r="AU1221" i="2"/>
  <c r="AT1221" i="2"/>
  <c r="AS1221" i="2"/>
  <c r="AR1221" i="2"/>
  <c r="AQ1221" i="2"/>
  <c r="AO1221" i="2"/>
  <c r="AM1221" i="2"/>
  <c r="AK1221" i="2"/>
  <c r="AJ1221" i="2"/>
  <c r="AI1221" i="2"/>
  <c r="AH1221" i="2"/>
  <c r="AG1221" i="2"/>
  <c r="AF1221" i="2"/>
  <c r="AE1221" i="2"/>
  <c r="AD1221" i="2"/>
  <c r="AC1221" i="2"/>
  <c r="AA1221" i="2"/>
  <c r="Z1221" i="2"/>
  <c r="Y1221" i="2"/>
  <c r="X1221" i="2"/>
  <c r="W1221" i="2"/>
  <c r="V1221" i="2"/>
  <c r="U1221" i="2"/>
  <c r="T1221" i="2"/>
  <c r="S1221" i="2"/>
  <c r="R1221" i="2"/>
  <c r="Q1221" i="2"/>
  <c r="P1221" i="2"/>
  <c r="O1221" i="2"/>
  <c r="N1221" i="2"/>
  <c r="M1221" i="2"/>
  <c r="L1221" i="2"/>
  <c r="K1221" i="2"/>
  <c r="J1221" i="2"/>
  <c r="I1221" i="2"/>
  <c r="H1221" i="2"/>
  <c r="G1221" i="2"/>
  <c r="F1221" i="2"/>
  <c r="E1221" i="2"/>
  <c r="D1221" i="2"/>
  <c r="C1221" i="2"/>
  <c r="B1221" i="2"/>
  <c r="A1221" i="2"/>
  <c r="AX1220" i="2"/>
  <c r="AV1220" i="2"/>
  <c r="AU1220" i="2"/>
  <c r="AS1220" i="2"/>
  <c r="AR1220" i="2"/>
  <c r="AO1220" i="2"/>
  <c r="AM1220" i="2"/>
  <c r="AL1220" i="2"/>
  <c r="AK1220" i="2"/>
  <c r="AJ1220" i="2"/>
  <c r="AI1220" i="2"/>
  <c r="AH1220" i="2"/>
  <c r="AG1220" i="2"/>
  <c r="AE1220" i="2"/>
  <c r="AD1220" i="2"/>
  <c r="AC1220" i="2"/>
  <c r="AA1220" i="2"/>
  <c r="Z1220" i="2"/>
  <c r="Y1220" i="2"/>
  <c r="X1220" i="2"/>
  <c r="W1220" i="2"/>
  <c r="V1220" i="2"/>
  <c r="U1220" i="2"/>
  <c r="T1220" i="2"/>
  <c r="S1220" i="2"/>
  <c r="R1220" i="2"/>
  <c r="Q1220" i="2"/>
  <c r="P1220" i="2"/>
  <c r="N1220" i="2"/>
  <c r="M1220" i="2"/>
  <c r="L1220" i="2"/>
  <c r="K1220" i="2"/>
  <c r="J1220" i="2"/>
  <c r="I1220" i="2"/>
  <c r="H1220" i="2"/>
  <c r="G1220" i="2"/>
  <c r="F1220" i="2"/>
  <c r="E1220" i="2"/>
  <c r="D1220" i="2"/>
  <c r="C1220" i="2"/>
  <c r="B1220" i="2"/>
  <c r="A1220" i="2"/>
  <c r="AX1219" i="2"/>
  <c r="AV1219" i="2"/>
  <c r="AU1219" i="2"/>
  <c r="AT1219" i="2"/>
  <c r="AS1219" i="2"/>
  <c r="AR1219" i="2"/>
  <c r="AP1219" i="2"/>
  <c r="AO1219" i="2"/>
  <c r="AM1219" i="2"/>
  <c r="AL1219" i="2"/>
  <c r="AK1219" i="2"/>
  <c r="AJ1219" i="2"/>
  <c r="AI1219" i="2"/>
  <c r="AH1219" i="2"/>
  <c r="AG1219" i="2"/>
  <c r="AE1219" i="2"/>
  <c r="AD1219" i="2"/>
  <c r="AC1219" i="2"/>
  <c r="AA1219" i="2"/>
  <c r="Z1219" i="2"/>
  <c r="Y1219" i="2"/>
  <c r="X1219" i="2"/>
  <c r="W1219" i="2"/>
  <c r="V1219" i="2"/>
  <c r="U1219" i="2"/>
  <c r="T1219" i="2"/>
  <c r="S1219" i="2"/>
  <c r="R1219" i="2"/>
  <c r="Q1219" i="2"/>
  <c r="P1219" i="2"/>
  <c r="O1219" i="2"/>
  <c r="N1219" i="2"/>
  <c r="M1219" i="2"/>
  <c r="L1219" i="2"/>
  <c r="K1219" i="2"/>
  <c r="J1219" i="2"/>
  <c r="I1219" i="2"/>
  <c r="H1219" i="2"/>
  <c r="G1219" i="2"/>
  <c r="F1219" i="2"/>
  <c r="E1219" i="2"/>
  <c r="D1219" i="2"/>
  <c r="C1219" i="2"/>
  <c r="B1219" i="2"/>
  <c r="A1219" i="2"/>
  <c r="AX1218" i="2"/>
  <c r="AV1218" i="2"/>
  <c r="AU1218" i="2"/>
  <c r="AR1218" i="2"/>
  <c r="AO1218" i="2"/>
  <c r="AM1218" i="2"/>
  <c r="AK1218" i="2"/>
  <c r="AJ1218" i="2"/>
  <c r="AI1218" i="2"/>
  <c r="AH1218" i="2"/>
  <c r="AG1218" i="2"/>
  <c r="AE1218" i="2"/>
  <c r="AD1218" i="2"/>
  <c r="AC1218" i="2"/>
  <c r="AA1218" i="2"/>
  <c r="Z1218" i="2"/>
  <c r="Y1218" i="2"/>
  <c r="X1218" i="2"/>
  <c r="W1218" i="2"/>
  <c r="V1218" i="2"/>
  <c r="U1218" i="2"/>
  <c r="T1218" i="2"/>
  <c r="S1218" i="2"/>
  <c r="R1218" i="2"/>
  <c r="Q1218" i="2"/>
  <c r="P1218" i="2"/>
  <c r="O1218" i="2"/>
  <c r="N1218" i="2"/>
  <c r="M1218" i="2"/>
  <c r="L1218" i="2"/>
  <c r="K1218" i="2"/>
  <c r="J1218" i="2"/>
  <c r="I1218" i="2"/>
  <c r="H1218" i="2"/>
  <c r="G1218" i="2"/>
  <c r="F1218" i="2"/>
  <c r="E1218" i="2"/>
  <c r="D1218" i="2"/>
  <c r="C1218" i="2"/>
  <c r="B1218" i="2"/>
  <c r="A1218" i="2"/>
  <c r="AX1217" i="2"/>
  <c r="AV1217" i="2"/>
  <c r="AU1217" i="2"/>
  <c r="AS1217" i="2"/>
  <c r="AR1217" i="2"/>
  <c r="AO1217" i="2"/>
  <c r="AM1217" i="2"/>
  <c r="AL1217" i="2"/>
  <c r="AK1217" i="2"/>
  <c r="AJ1217" i="2"/>
  <c r="AI1217" i="2"/>
  <c r="AH1217" i="2"/>
  <c r="AG1217" i="2"/>
  <c r="AE1217" i="2"/>
  <c r="AD1217" i="2"/>
  <c r="AC1217" i="2"/>
  <c r="AA1217" i="2"/>
  <c r="Z1217" i="2"/>
  <c r="Y1217" i="2"/>
  <c r="X1217" i="2"/>
  <c r="W1217" i="2"/>
  <c r="V1217" i="2"/>
  <c r="U1217" i="2"/>
  <c r="T1217" i="2"/>
  <c r="S1217" i="2"/>
  <c r="R1217" i="2"/>
  <c r="Q1217" i="2"/>
  <c r="P1217" i="2"/>
  <c r="O1217" i="2"/>
  <c r="N1217" i="2"/>
  <c r="M1217" i="2"/>
  <c r="L1217" i="2"/>
  <c r="K1217" i="2"/>
  <c r="J1217" i="2"/>
  <c r="I1217" i="2"/>
  <c r="H1217" i="2"/>
  <c r="G1217" i="2"/>
  <c r="F1217" i="2"/>
  <c r="E1217" i="2"/>
  <c r="D1217" i="2"/>
  <c r="C1217" i="2"/>
  <c r="B1217" i="2"/>
  <c r="A1217" i="2"/>
  <c r="AX1216" i="2"/>
  <c r="AV1216" i="2"/>
  <c r="AU1216" i="2"/>
  <c r="AR1216" i="2"/>
  <c r="AO1216" i="2"/>
  <c r="AM1216" i="2"/>
  <c r="AL1216" i="2"/>
  <c r="AK1216" i="2"/>
  <c r="AJ1216" i="2"/>
  <c r="AI1216" i="2"/>
  <c r="AH1216" i="2"/>
  <c r="AG1216" i="2"/>
  <c r="AF1216" i="2"/>
  <c r="AE1216" i="2"/>
  <c r="AD1216" i="2"/>
  <c r="AC1216" i="2"/>
  <c r="AA1216" i="2"/>
  <c r="Z1216" i="2"/>
  <c r="Y1216" i="2"/>
  <c r="X1216" i="2"/>
  <c r="W1216" i="2"/>
  <c r="V1216" i="2"/>
  <c r="U1216" i="2"/>
  <c r="T1216" i="2"/>
  <c r="S1216" i="2"/>
  <c r="R1216" i="2"/>
  <c r="Q1216" i="2"/>
  <c r="P1216" i="2"/>
  <c r="O1216" i="2"/>
  <c r="N1216" i="2"/>
  <c r="M1216" i="2"/>
  <c r="L1216" i="2"/>
  <c r="K1216" i="2"/>
  <c r="J1216" i="2"/>
  <c r="I1216" i="2"/>
  <c r="H1216" i="2"/>
  <c r="G1216" i="2"/>
  <c r="F1216" i="2"/>
  <c r="E1216" i="2"/>
  <c r="D1216" i="2"/>
  <c r="C1216" i="2"/>
  <c r="B1216" i="2"/>
  <c r="A1216" i="2"/>
  <c r="AX1215" i="2"/>
  <c r="AV1215" i="2"/>
  <c r="AU1215" i="2"/>
  <c r="AS1215" i="2"/>
  <c r="AO1215" i="2"/>
  <c r="AM1215" i="2"/>
  <c r="AK1215" i="2"/>
  <c r="AJ1215" i="2"/>
  <c r="AI1215" i="2"/>
  <c r="AH1215" i="2"/>
  <c r="AG1215" i="2"/>
  <c r="AE1215" i="2"/>
  <c r="AD1215" i="2"/>
  <c r="AC1215" i="2"/>
  <c r="AA1215" i="2"/>
  <c r="Z1215" i="2"/>
  <c r="Y1215" i="2"/>
  <c r="X1215" i="2"/>
  <c r="W1215" i="2"/>
  <c r="V1215" i="2"/>
  <c r="U1215" i="2"/>
  <c r="T1215" i="2"/>
  <c r="S1215" i="2"/>
  <c r="R1215" i="2"/>
  <c r="Q1215" i="2"/>
  <c r="P1215" i="2"/>
  <c r="O1215" i="2"/>
  <c r="N1215" i="2"/>
  <c r="M1215" i="2"/>
  <c r="L1215" i="2"/>
  <c r="K1215" i="2"/>
  <c r="J1215" i="2"/>
  <c r="I1215" i="2"/>
  <c r="H1215" i="2"/>
  <c r="G1215" i="2"/>
  <c r="F1215" i="2"/>
  <c r="E1215" i="2"/>
  <c r="D1215" i="2"/>
  <c r="C1215" i="2"/>
  <c r="B1215" i="2"/>
  <c r="A1215" i="2"/>
  <c r="AX1214" i="2"/>
  <c r="AV1214" i="2"/>
  <c r="AU1214" i="2"/>
  <c r="AR1214" i="2"/>
  <c r="AO1214" i="2"/>
  <c r="AM1214" i="2"/>
  <c r="AK1214" i="2"/>
  <c r="AJ1214" i="2"/>
  <c r="AI1214" i="2"/>
  <c r="AH1214" i="2"/>
  <c r="AG1214" i="2"/>
  <c r="AF1214" i="2"/>
  <c r="AE1214" i="2"/>
  <c r="AD1214" i="2"/>
  <c r="AC1214" i="2"/>
  <c r="AA1214" i="2"/>
  <c r="Z1214" i="2"/>
  <c r="Y1214" i="2"/>
  <c r="X1214" i="2"/>
  <c r="W1214" i="2"/>
  <c r="V1214" i="2"/>
  <c r="U1214" i="2"/>
  <c r="T1214" i="2"/>
  <c r="S1214" i="2"/>
  <c r="R1214" i="2"/>
  <c r="Q1214" i="2"/>
  <c r="P1214" i="2"/>
  <c r="O1214" i="2"/>
  <c r="N1214" i="2"/>
  <c r="M1214" i="2"/>
  <c r="L1214" i="2"/>
  <c r="K1214" i="2"/>
  <c r="J1214" i="2"/>
  <c r="I1214" i="2"/>
  <c r="H1214" i="2"/>
  <c r="G1214" i="2"/>
  <c r="F1214" i="2"/>
  <c r="E1214" i="2"/>
  <c r="D1214" i="2"/>
  <c r="C1214" i="2"/>
  <c r="B1214" i="2"/>
  <c r="A1214" i="2"/>
  <c r="AX1213" i="2"/>
  <c r="AV1213" i="2"/>
  <c r="AU1213" i="2"/>
  <c r="AS1213" i="2"/>
  <c r="AR1213" i="2"/>
  <c r="AO1213" i="2"/>
  <c r="AM1213" i="2"/>
  <c r="AL1213" i="2"/>
  <c r="AK1213" i="2"/>
  <c r="AJ1213" i="2"/>
  <c r="AI1213" i="2"/>
  <c r="AH1213" i="2"/>
  <c r="AG1213" i="2"/>
  <c r="AE1213" i="2"/>
  <c r="AD1213" i="2"/>
  <c r="AC1213" i="2"/>
  <c r="AA1213" i="2"/>
  <c r="Z1213" i="2"/>
  <c r="Y1213" i="2"/>
  <c r="X1213" i="2"/>
  <c r="W1213" i="2"/>
  <c r="V1213" i="2"/>
  <c r="U1213" i="2"/>
  <c r="T1213" i="2"/>
  <c r="S1213" i="2"/>
  <c r="Q1213" i="2"/>
  <c r="P1213" i="2"/>
  <c r="O1213" i="2"/>
  <c r="N1213" i="2"/>
  <c r="M1213" i="2"/>
  <c r="L1213" i="2"/>
  <c r="K1213" i="2"/>
  <c r="J1213" i="2"/>
  <c r="I1213" i="2"/>
  <c r="H1213" i="2"/>
  <c r="G1213" i="2"/>
  <c r="F1213" i="2"/>
  <c r="E1213" i="2"/>
  <c r="D1213" i="2"/>
  <c r="C1213" i="2"/>
  <c r="B1213" i="2"/>
  <c r="A1213" i="2"/>
  <c r="AX1212" i="2"/>
  <c r="AV1212" i="2"/>
  <c r="AU1212" i="2"/>
  <c r="AR1212" i="2"/>
  <c r="AO1212" i="2"/>
  <c r="AM1212" i="2"/>
  <c r="AK1212" i="2"/>
  <c r="AJ1212" i="2"/>
  <c r="AI1212" i="2"/>
  <c r="AH1212" i="2"/>
  <c r="AG1212" i="2"/>
  <c r="AE1212" i="2"/>
  <c r="AC1212" i="2"/>
  <c r="Z1212" i="2"/>
  <c r="Y1212" i="2"/>
  <c r="X1212" i="2"/>
  <c r="W1212" i="2"/>
  <c r="V1212" i="2"/>
  <c r="U1212" i="2"/>
  <c r="T1212" i="2"/>
  <c r="S1212" i="2"/>
  <c r="R1212" i="2"/>
  <c r="Q1212" i="2"/>
  <c r="P1212" i="2"/>
  <c r="O1212" i="2"/>
  <c r="N1212" i="2"/>
  <c r="M1212" i="2"/>
  <c r="L1212" i="2"/>
  <c r="K1212" i="2"/>
  <c r="J1212" i="2"/>
  <c r="I1212" i="2"/>
  <c r="H1212" i="2"/>
  <c r="G1212" i="2"/>
  <c r="F1212" i="2"/>
  <c r="E1212" i="2"/>
  <c r="D1212" i="2"/>
  <c r="C1212" i="2"/>
  <c r="B1212" i="2"/>
  <c r="A1212" i="2"/>
  <c r="AX1211" i="2"/>
  <c r="AV1211" i="2"/>
  <c r="AU1211" i="2"/>
  <c r="AT1211" i="2"/>
  <c r="AS1211" i="2"/>
  <c r="AR1211" i="2"/>
  <c r="AO1211" i="2"/>
  <c r="AN1211" i="2"/>
  <c r="AM1211" i="2"/>
  <c r="AL1211" i="2"/>
  <c r="AK1211" i="2"/>
  <c r="AJ1211" i="2"/>
  <c r="AI1211" i="2"/>
  <c r="AH1211" i="2"/>
  <c r="AG1211" i="2"/>
  <c r="AE1211" i="2"/>
  <c r="AD1211" i="2"/>
  <c r="AC1211" i="2"/>
  <c r="AB1211" i="2"/>
  <c r="AA1211" i="2"/>
  <c r="Z1211" i="2"/>
  <c r="Y1211" i="2"/>
  <c r="X1211" i="2"/>
  <c r="W1211" i="2"/>
  <c r="V1211" i="2"/>
  <c r="U1211" i="2"/>
  <c r="T1211" i="2"/>
  <c r="S1211" i="2"/>
  <c r="R1211" i="2"/>
  <c r="Q1211" i="2"/>
  <c r="P1211" i="2"/>
  <c r="O1211" i="2"/>
  <c r="N1211" i="2"/>
  <c r="M1211" i="2"/>
  <c r="L1211" i="2"/>
  <c r="K1211" i="2"/>
  <c r="J1211" i="2"/>
  <c r="I1211" i="2"/>
  <c r="H1211" i="2"/>
  <c r="G1211" i="2"/>
  <c r="F1211" i="2"/>
  <c r="E1211" i="2"/>
  <c r="D1211" i="2"/>
  <c r="C1211" i="2"/>
  <c r="B1211" i="2"/>
  <c r="A1211" i="2"/>
  <c r="AX1210" i="2"/>
  <c r="AW1210" i="2"/>
  <c r="AV1210" i="2"/>
  <c r="AU1210" i="2"/>
  <c r="AT1210" i="2"/>
  <c r="AS1210" i="2"/>
  <c r="AR1210" i="2"/>
  <c r="AQ1210" i="2"/>
  <c r="AP1210" i="2"/>
  <c r="AO1210" i="2"/>
  <c r="AM1210" i="2"/>
  <c r="AK1210" i="2"/>
  <c r="AJ1210" i="2"/>
  <c r="AI1210" i="2"/>
  <c r="AH1210" i="2"/>
  <c r="AG1210" i="2"/>
  <c r="AE1210" i="2"/>
  <c r="AD1210" i="2"/>
  <c r="AC1210" i="2"/>
  <c r="AB1210" i="2"/>
  <c r="AA1210" i="2"/>
  <c r="Z1210" i="2"/>
  <c r="Y1210" i="2"/>
  <c r="X1210" i="2"/>
  <c r="U1210" i="2"/>
  <c r="T1210" i="2"/>
  <c r="S1210" i="2"/>
  <c r="R1210" i="2"/>
  <c r="Q1210" i="2"/>
  <c r="P1210" i="2"/>
  <c r="O1210" i="2"/>
  <c r="N1210" i="2"/>
  <c r="M1210" i="2"/>
  <c r="L1210" i="2"/>
  <c r="K1210" i="2"/>
  <c r="J1210" i="2"/>
  <c r="I1210" i="2"/>
  <c r="H1210" i="2"/>
  <c r="G1210" i="2"/>
  <c r="F1210" i="2"/>
  <c r="E1210" i="2"/>
  <c r="D1210" i="2"/>
  <c r="C1210" i="2"/>
  <c r="B1210" i="2"/>
  <c r="A1210" i="2"/>
  <c r="AX1209" i="2"/>
  <c r="AV1209" i="2"/>
  <c r="AU1209" i="2"/>
  <c r="AS1209" i="2"/>
  <c r="AR1209" i="2"/>
  <c r="AO1209" i="2"/>
  <c r="AM1209" i="2"/>
  <c r="AL1209" i="2"/>
  <c r="AK1209" i="2"/>
  <c r="AJ1209" i="2"/>
  <c r="AI1209" i="2"/>
  <c r="AH1209" i="2"/>
  <c r="AG1209" i="2"/>
  <c r="AF1209" i="2"/>
  <c r="AE1209" i="2"/>
  <c r="AD1209" i="2"/>
  <c r="AC1209" i="2"/>
  <c r="AA1209" i="2"/>
  <c r="Z1209" i="2"/>
  <c r="Y1209" i="2"/>
  <c r="X1209" i="2"/>
  <c r="W1209" i="2"/>
  <c r="V1209" i="2"/>
  <c r="U1209" i="2"/>
  <c r="T1209" i="2"/>
  <c r="S1209" i="2"/>
  <c r="R1209" i="2"/>
  <c r="Q1209" i="2"/>
  <c r="P1209" i="2"/>
  <c r="O1209" i="2"/>
  <c r="N1209" i="2"/>
  <c r="M1209" i="2"/>
  <c r="L1209" i="2"/>
  <c r="K1209" i="2"/>
  <c r="J1209" i="2"/>
  <c r="I1209" i="2"/>
  <c r="H1209" i="2"/>
  <c r="G1209" i="2"/>
  <c r="F1209" i="2"/>
  <c r="E1209" i="2"/>
  <c r="D1209" i="2"/>
  <c r="C1209" i="2"/>
  <c r="B1209" i="2"/>
  <c r="A1209" i="2"/>
  <c r="AX1208" i="2"/>
  <c r="AV1208" i="2"/>
  <c r="AU1208" i="2"/>
  <c r="AR1208" i="2"/>
  <c r="AO1208" i="2"/>
  <c r="AM1208" i="2"/>
  <c r="AK1208" i="2"/>
  <c r="AJ1208" i="2"/>
  <c r="AI1208" i="2"/>
  <c r="AH1208" i="2"/>
  <c r="AG1208" i="2"/>
  <c r="AD1208" i="2"/>
  <c r="AC1208" i="2"/>
  <c r="Z1208" i="2"/>
  <c r="Y1208" i="2"/>
  <c r="X1208" i="2"/>
  <c r="W1208" i="2"/>
  <c r="V1208" i="2"/>
  <c r="U1208" i="2"/>
  <c r="T1208" i="2"/>
  <c r="S1208" i="2"/>
  <c r="Q1208" i="2"/>
  <c r="P1208" i="2"/>
  <c r="O1208" i="2"/>
  <c r="N1208" i="2"/>
  <c r="M1208" i="2"/>
  <c r="L1208" i="2"/>
  <c r="K1208" i="2"/>
  <c r="J1208" i="2"/>
  <c r="I1208" i="2"/>
  <c r="H1208" i="2"/>
  <c r="G1208" i="2"/>
  <c r="F1208" i="2"/>
  <c r="E1208" i="2"/>
  <c r="D1208" i="2"/>
  <c r="C1208" i="2"/>
  <c r="B1208" i="2"/>
  <c r="A1208" i="2"/>
  <c r="AX1207" i="2"/>
  <c r="AV1207" i="2"/>
  <c r="AU1207" i="2"/>
  <c r="AR1207" i="2"/>
  <c r="AQ1207" i="2"/>
  <c r="AP1207" i="2"/>
  <c r="AO1207" i="2"/>
  <c r="AM1207" i="2"/>
  <c r="AK1207" i="2"/>
  <c r="AJ1207" i="2"/>
  <c r="AI1207" i="2"/>
  <c r="AH1207" i="2"/>
  <c r="AG1207" i="2"/>
  <c r="AE1207" i="2"/>
  <c r="AD1207" i="2"/>
  <c r="AC1207" i="2"/>
  <c r="Z1207" i="2"/>
  <c r="Y1207" i="2"/>
  <c r="X1207" i="2"/>
  <c r="W1207" i="2"/>
  <c r="V1207" i="2"/>
  <c r="U1207" i="2"/>
  <c r="T1207" i="2"/>
  <c r="S1207" i="2"/>
  <c r="R1207" i="2"/>
  <c r="Q1207" i="2"/>
  <c r="P1207" i="2"/>
  <c r="O1207" i="2"/>
  <c r="N1207" i="2"/>
  <c r="M1207" i="2"/>
  <c r="L1207" i="2"/>
  <c r="K1207" i="2"/>
  <c r="J1207" i="2"/>
  <c r="I1207" i="2"/>
  <c r="H1207" i="2"/>
  <c r="G1207" i="2"/>
  <c r="F1207" i="2"/>
  <c r="E1207" i="2"/>
  <c r="D1207" i="2"/>
  <c r="C1207" i="2"/>
  <c r="B1207" i="2"/>
  <c r="A1207" i="2"/>
  <c r="AX1206" i="2"/>
  <c r="AV1206" i="2"/>
  <c r="AU1206" i="2"/>
  <c r="AO1206" i="2"/>
  <c r="AN1206" i="2"/>
  <c r="AM1206" i="2"/>
  <c r="AK1206" i="2"/>
  <c r="AJ1206" i="2"/>
  <c r="AI1206" i="2"/>
  <c r="AH1206" i="2"/>
  <c r="AG1206" i="2"/>
  <c r="AD1206" i="2"/>
  <c r="AC1206" i="2"/>
  <c r="AB1206" i="2"/>
  <c r="Z1206" i="2"/>
  <c r="Y1206" i="2"/>
  <c r="X1206" i="2"/>
  <c r="W1206" i="2"/>
  <c r="V1206" i="2"/>
  <c r="U1206" i="2"/>
  <c r="T1206" i="2"/>
  <c r="S1206" i="2"/>
  <c r="Q1206" i="2"/>
  <c r="P1206" i="2"/>
  <c r="O1206" i="2"/>
  <c r="N1206" i="2"/>
  <c r="M1206" i="2"/>
  <c r="L1206" i="2"/>
  <c r="K1206" i="2"/>
  <c r="J1206" i="2"/>
  <c r="I1206" i="2"/>
  <c r="H1206" i="2"/>
  <c r="G1206" i="2"/>
  <c r="F1206" i="2"/>
  <c r="E1206" i="2"/>
  <c r="D1206" i="2"/>
  <c r="C1206" i="2"/>
  <c r="B1206" i="2"/>
  <c r="A1206" i="2"/>
  <c r="AX1205" i="2"/>
  <c r="AV1205" i="2"/>
  <c r="AU1205" i="2"/>
  <c r="AS1205" i="2"/>
  <c r="AR1205" i="2"/>
  <c r="AO1205" i="2"/>
  <c r="AN1205" i="2"/>
  <c r="AM1205" i="2"/>
  <c r="AL1205" i="2"/>
  <c r="AK1205" i="2"/>
  <c r="AI1205" i="2"/>
  <c r="AH1205" i="2"/>
  <c r="AG1205" i="2"/>
  <c r="AD1205" i="2"/>
  <c r="AC1205" i="2"/>
  <c r="AB1205" i="2"/>
  <c r="AA1205" i="2"/>
  <c r="Z1205" i="2"/>
  <c r="Y1205" i="2"/>
  <c r="X1205" i="2"/>
  <c r="W1205" i="2"/>
  <c r="V1205" i="2"/>
  <c r="U1205" i="2"/>
  <c r="T1205" i="2"/>
  <c r="S1205" i="2"/>
  <c r="R1205" i="2"/>
  <c r="Q1205" i="2"/>
  <c r="P1205" i="2"/>
  <c r="O1205" i="2"/>
  <c r="N1205" i="2"/>
  <c r="M1205" i="2"/>
  <c r="L1205" i="2"/>
  <c r="K1205" i="2"/>
  <c r="J1205" i="2"/>
  <c r="I1205" i="2"/>
  <c r="H1205" i="2"/>
  <c r="G1205" i="2"/>
  <c r="F1205" i="2"/>
  <c r="E1205" i="2"/>
  <c r="D1205" i="2"/>
  <c r="C1205" i="2"/>
  <c r="B1205" i="2"/>
  <c r="A1205" i="2"/>
  <c r="AX1204" i="2"/>
  <c r="AV1204" i="2"/>
  <c r="AU1204" i="2"/>
  <c r="AR1204" i="2"/>
  <c r="AO1204" i="2"/>
  <c r="AM1204" i="2"/>
  <c r="AJ1204" i="2"/>
  <c r="AI1204" i="2"/>
  <c r="AH1204" i="2"/>
  <c r="AG1204" i="2"/>
  <c r="AD1204" i="2"/>
  <c r="AC1204" i="2"/>
  <c r="Z1204" i="2"/>
  <c r="Y1204" i="2"/>
  <c r="X1204" i="2"/>
  <c r="W1204" i="2"/>
  <c r="V1204" i="2"/>
  <c r="U1204" i="2"/>
  <c r="T1204" i="2"/>
  <c r="S1204" i="2"/>
  <c r="R1204" i="2"/>
  <c r="Q1204" i="2"/>
  <c r="P1204" i="2"/>
  <c r="O1204" i="2"/>
  <c r="N1204" i="2"/>
  <c r="M1204" i="2"/>
  <c r="L1204" i="2"/>
  <c r="K1204" i="2"/>
  <c r="J1204" i="2"/>
  <c r="I1204" i="2"/>
  <c r="H1204" i="2"/>
  <c r="G1204" i="2"/>
  <c r="F1204" i="2"/>
  <c r="E1204" i="2"/>
  <c r="D1204" i="2"/>
  <c r="C1204" i="2"/>
  <c r="B1204" i="2"/>
  <c r="A1204" i="2"/>
  <c r="AX1203" i="2"/>
  <c r="AV1203" i="2"/>
  <c r="AU1203" i="2"/>
  <c r="AT1203" i="2"/>
  <c r="AR1203" i="2"/>
  <c r="AQ1203" i="2"/>
  <c r="AP1203" i="2"/>
  <c r="AO1203" i="2"/>
  <c r="AM1203" i="2"/>
  <c r="AK1203" i="2"/>
  <c r="AJ1203" i="2"/>
  <c r="AI1203" i="2"/>
  <c r="AH1203" i="2"/>
  <c r="AG1203" i="2"/>
  <c r="AF1203" i="2"/>
  <c r="AE1203" i="2"/>
  <c r="AD1203" i="2"/>
  <c r="AC1203" i="2"/>
  <c r="AA1203" i="2"/>
  <c r="Z1203" i="2"/>
  <c r="Y1203" i="2"/>
  <c r="X1203" i="2"/>
  <c r="W1203" i="2"/>
  <c r="T1203" i="2"/>
  <c r="S1203" i="2"/>
  <c r="R1203" i="2"/>
  <c r="Q1203" i="2"/>
  <c r="P1203" i="2"/>
  <c r="O1203" i="2"/>
  <c r="N1203" i="2"/>
  <c r="M1203" i="2"/>
  <c r="L1203" i="2"/>
  <c r="K1203" i="2"/>
  <c r="J1203" i="2"/>
  <c r="I1203" i="2"/>
  <c r="H1203" i="2"/>
  <c r="G1203" i="2"/>
  <c r="F1203" i="2"/>
  <c r="E1203" i="2"/>
  <c r="D1203" i="2"/>
  <c r="C1203" i="2"/>
  <c r="B1203" i="2"/>
  <c r="A1203" i="2"/>
  <c r="AX1202" i="2"/>
  <c r="AV1202" i="2"/>
  <c r="AU1202" i="2"/>
  <c r="AR1202" i="2"/>
  <c r="AO1202" i="2"/>
  <c r="AM1202" i="2"/>
  <c r="AL1202" i="2"/>
  <c r="AK1202" i="2"/>
  <c r="AJ1202" i="2"/>
  <c r="AI1202" i="2"/>
  <c r="AH1202" i="2"/>
  <c r="AG1202" i="2"/>
  <c r="AE1202" i="2"/>
  <c r="AD1202" i="2"/>
  <c r="AC1202" i="2"/>
  <c r="AA1202" i="2"/>
  <c r="Z1202" i="2"/>
  <c r="Y1202" i="2"/>
  <c r="X1202" i="2"/>
  <c r="W1202" i="2"/>
  <c r="V1202" i="2"/>
  <c r="U1202" i="2"/>
  <c r="T1202" i="2"/>
  <c r="S1202" i="2"/>
  <c r="Q1202" i="2"/>
  <c r="P1202" i="2"/>
  <c r="O1202" i="2"/>
  <c r="N1202" i="2"/>
  <c r="M1202" i="2"/>
  <c r="L1202" i="2"/>
  <c r="K1202" i="2"/>
  <c r="J1202" i="2"/>
  <c r="I1202" i="2"/>
  <c r="H1202" i="2"/>
  <c r="G1202" i="2"/>
  <c r="F1202" i="2"/>
  <c r="E1202" i="2"/>
  <c r="D1202" i="2"/>
  <c r="C1202" i="2"/>
  <c r="B1202" i="2"/>
  <c r="A1202" i="2"/>
  <c r="AX1201" i="2"/>
  <c r="AV1201" i="2"/>
  <c r="AU1201" i="2"/>
  <c r="AT1201" i="2"/>
  <c r="AO1201" i="2"/>
  <c r="AM1201" i="2"/>
  <c r="AK1201" i="2"/>
  <c r="AJ1201" i="2"/>
  <c r="AI1201" i="2"/>
  <c r="AH1201" i="2"/>
  <c r="AG1201" i="2"/>
  <c r="AE1201" i="2"/>
  <c r="AC1201" i="2"/>
  <c r="Z1201" i="2"/>
  <c r="Y1201" i="2"/>
  <c r="X1201" i="2"/>
  <c r="W1201" i="2"/>
  <c r="V1201" i="2"/>
  <c r="U1201" i="2"/>
  <c r="T1201" i="2"/>
  <c r="S1201" i="2"/>
  <c r="R1201" i="2"/>
  <c r="Q1201" i="2"/>
  <c r="P1201" i="2"/>
  <c r="O1201" i="2"/>
  <c r="N1201" i="2"/>
  <c r="M1201" i="2"/>
  <c r="L1201" i="2"/>
  <c r="K1201" i="2"/>
  <c r="J1201" i="2"/>
  <c r="I1201" i="2"/>
  <c r="H1201" i="2"/>
  <c r="G1201" i="2"/>
  <c r="F1201" i="2"/>
  <c r="E1201" i="2"/>
  <c r="D1201" i="2"/>
  <c r="C1201" i="2"/>
  <c r="B1201" i="2"/>
  <c r="A1201" i="2"/>
  <c r="AX1200" i="2"/>
  <c r="AV1200" i="2"/>
  <c r="AU1200" i="2"/>
  <c r="AO1200" i="2"/>
  <c r="AM1200" i="2"/>
  <c r="AL1200" i="2"/>
  <c r="AK1200" i="2"/>
  <c r="AI1200" i="2"/>
  <c r="AH1200" i="2"/>
  <c r="AG1200" i="2"/>
  <c r="AC1200" i="2"/>
  <c r="Z1200" i="2"/>
  <c r="Y1200" i="2"/>
  <c r="X1200" i="2"/>
  <c r="V1200" i="2"/>
  <c r="U1200" i="2"/>
  <c r="T1200" i="2"/>
  <c r="S1200" i="2"/>
  <c r="R1200" i="2"/>
  <c r="Q1200" i="2"/>
  <c r="P1200" i="2"/>
  <c r="O1200" i="2"/>
  <c r="N1200" i="2"/>
  <c r="M1200" i="2"/>
  <c r="L1200" i="2"/>
  <c r="K1200" i="2"/>
  <c r="J1200" i="2"/>
  <c r="I1200" i="2"/>
  <c r="H1200" i="2"/>
  <c r="G1200" i="2"/>
  <c r="F1200" i="2"/>
  <c r="E1200" i="2"/>
  <c r="D1200" i="2"/>
  <c r="C1200" i="2"/>
  <c r="B1200" i="2"/>
  <c r="A1200" i="2"/>
  <c r="AX1199" i="2"/>
  <c r="AV1199" i="2"/>
  <c r="AU1199" i="2"/>
  <c r="AR1199" i="2"/>
  <c r="AO1199" i="2"/>
  <c r="AM1199" i="2"/>
  <c r="AK1199" i="2"/>
  <c r="AJ1199" i="2"/>
  <c r="AI1199" i="2"/>
  <c r="AH1199" i="2"/>
  <c r="AG1199" i="2"/>
  <c r="AE1199" i="2"/>
  <c r="AD1199" i="2"/>
  <c r="AC1199" i="2"/>
  <c r="AA1199" i="2"/>
  <c r="Z1199" i="2"/>
  <c r="Y1199" i="2"/>
  <c r="X1199" i="2"/>
  <c r="W1199" i="2"/>
  <c r="V1199" i="2"/>
  <c r="U1199" i="2"/>
  <c r="T1199" i="2"/>
  <c r="S1199" i="2"/>
  <c r="R1199" i="2"/>
  <c r="Q1199" i="2"/>
  <c r="P1199" i="2"/>
  <c r="O1199" i="2"/>
  <c r="N1199" i="2"/>
  <c r="M1199" i="2"/>
  <c r="L1199" i="2"/>
  <c r="K1199" i="2"/>
  <c r="J1199" i="2"/>
  <c r="I1199" i="2"/>
  <c r="H1199" i="2"/>
  <c r="G1199" i="2"/>
  <c r="F1199" i="2"/>
  <c r="E1199" i="2"/>
  <c r="D1199" i="2"/>
  <c r="C1199" i="2"/>
  <c r="B1199" i="2"/>
  <c r="A1199" i="2"/>
  <c r="AX1198" i="2"/>
  <c r="AV1198" i="2"/>
  <c r="AU1198" i="2"/>
  <c r="AT1198" i="2"/>
  <c r="AO1198" i="2"/>
  <c r="AM1198" i="2"/>
  <c r="AL1198" i="2"/>
  <c r="AK1198" i="2"/>
  <c r="AI1198" i="2"/>
  <c r="AH1198" i="2"/>
  <c r="AG1198" i="2"/>
  <c r="AE1198" i="2"/>
  <c r="AD1198" i="2"/>
  <c r="AC1198" i="2"/>
  <c r="AA1198" i="2"/>
  <c r="Z1198" i="2"/>
  <c r="Y1198" i="2"/>
  <c r="X1198" i="2"/>
  <c r="W1198" i="2"/>
  <c r="V1198" i="2"/>
  <c r="U1198" i="2"/>
  <c r="T1198" i="2"/>
  <c r="S1198" i="2"/>
  <c r="R1198" i="2"/>
  <c r="Q1198" i="2"/>
  <c r="P1198" i="2"/>
  <c r="O1198" i="2"/>
  <c r="N1198" i="2"/>
  <c r="M1198" i="2"/>
  <c r="L1198" i="2"/>
  <c r="K1198" i="2"/>
  <c r="J1198" i="2"/>
  <c r="I1198" i="2"/>
  <c r="H1198" i="2"/>
  <c r="G1198" i="2"/>
  <c r="F1198" i="2"/>
  <c r="E1198" i="2"/>
  <c r="D1198" i="2"/>
  <c r="C1198" i="2"/>
  <c r="B1198" i="2"/>
  <c r="A1198" i="2"/>
  <c r="AX1197" i="2"/>
  <c r="AV1197" i="2"/>
  <c r="AU1197" i="2"/>
  <c r="AR1197" i="2"/>
  <c r="AO1197" i="2"/>
  <c r="AM1197" i="2"/>
  <c r="AK1197" i="2"/>
  <c r="AJ1197" i="2"/>
  <c r="AI1197" i="2"/>
  <c r="AH1197" i="2"/>
  <c r="AG1197" i="2"/>
  <c r="AE1197" i="2"/>
  <c r="AC1197" i="2"/>
  <c r="Z1197" i="2"/>
  <c r="Y1197" i="2"/>
  <c r="X1197" i="2"/>
  <c r="W1197" i="2"/>
  <c r="V1197" i="2"/>
  <c r="U1197" i="2"/>
  <c r="T1197" i="2"/>
  <c r="S1197" i="2"/>
  <c r="R1197" i="2"/>
  <c r="Q1197" i="2"/>
  <c r="P1197" i="2"/>
  <c r="O1197" i="2"/>
  <c r="N1197" i="2"/>
  <c r="M1197" i="2"/>
  <c r="L1197" i="2"/>
  <c r="K1197" i="2"/>
  <c r="J1197" i="2"/>
  <c r="I1197" i="2"/>
  <c r="H1197" i="2"/>
  <c r="G1197" i="2"/>
  <c r="F1197" i="2"/>
  <c r="E1197" i="2"/>
  <c r="D1197" i="2"/>
  <c r="C1197" i="2"/>
  <c r="B1197" i="2"/>
  <c r="A1197" i="2"/>
  <c r="AX1196" i="2"/>
  <c r="AV1196" i="2"/>
  <c r="AU1196" i="2"/>
  <c r="AR1196" i="2"/>
  <c r="AO1196" i="2"/>
  <c r="AM1196" i="2"/>
  <c r="AL1196" i="2"/>
  <c r="AK1196" i="2"/>
  <c r="AJ1196" i="2"/>
  <c r="AI1196" i="2"/>
  <c r="AH1196" i="2"/>
  <c r="AG1196" i="2"/>
  <c r="AE1196" i="2"/>
  <c r="AD1196" i="2"/>
  <c r="AC1196" i="2"/>
  <c r="AA1196" i="2"/>
  <c r="Z1196" i="2"/>
  <c r="Y1196" i="2"/>
  <c r="X1196" i="2"/>
  <c r="W1196" i="2"/>
  <c r="V1196" i="2"/>
  <c r="U1196" i="2"/>
  <c r="T1196" i="2"/>
  <c r="S1196" i="2"/>
  <c r="Q1196" i="2"/>
  <c r="P1196" i="2"/>
  <c r="O1196" i="2"/>
  <c r="N1196" i="2"/>
  <c r="M1196" i="2"/>
  <c r="L1196" i="2"/>
  <c r="K1196" i="2"/>
  <c r="J1196" i="2"/>
  <c r="I1196" i="2"/>
  <c r="H1196" i="2"/>
  <c r="G1196" i="2"/>
  <c r="F1196" i="2"/>
  <c r="E1196" i="2"/>
  <c r="D1196" i="2"/>
  <c r="C1196" i="2"/>
  <c r="B1196" i="2"/>
  <c r="A1196" i="2"/>
  <c r="AX1195" i="2"/>
  <c r="AV1195" i="2"/>
  <c r="AU1195" i="2"/>
  <c r="AT1195" i="2"/>
  <c r="AS1195" i="2"/>
  <c r="AQ1195" i="2"/>
  <c r="AP1195" i="2"/>
  <c r="AO1195" i="2"/>
  <c r="AN1195" i="2"/>
  <c r="AM1195" i="2"/>
  <c r="AL1195" i="2"/>
  <c r="AK1195" i="2"/>
  <c r="AI1195" i="2"/>
  <c r="AH1195" i="2"/>
  <c r="AG1195" i="2"/>
  <c r="AE1195" i="2"/>
  <c r="AD1195" i="2"/>
  <c r="AC1195" i="2"/>
  <c r="AA1195" i="2"/>
  <c r="Z1195" i="2"/>
  <c r="Y1195" i="2"/>
  <c r="X1195" i="2"/>
  <c r="W1195" i="2"/>
  <c r="V1195" i="2"/>
  <c r="U1195" i="2"/>
  <c r="T1195" i="2"/>
  <c r="S1195" i="2"/>
  <c r="R1195" i="2"/>
  <c r="Q1195" i="2"/>
  <c r="P1195" i="2"/>
  <c r="O1195" i="2"/>
  <c r="N1195" i="2"/>
  <c r="M1195" i="2"/>
  <c r="L1195" i="2"/>
  <c r="K1195" i="2"/>
  <c r="J1195" i="2"/>
  <c r="I1195" i="2"/>
  <c r="H1195" i="2"/>
  <c r="G1195" i="2"/>
  <c r="F1195" i="2"/>
  <c r="E1195" i="2"/>
  <c r="D1195" i="2"/>
  <c r="C1195" i="2"/>
  <c r="B1195" i="2"/>
  <c r="A1195" i="2"/>
  <c r="AX1194" i="2"/>
  <c r="AV1194" i="2"/>
  <c r="AU1194" i="2"/>
  <c r="AS1194" i="2"/>
  <c r="AR1194" i="2"/>
  <c r="AO1194" i="2"/>
  <c r="AM1194" i="2"/>
  <c r="AL1194" i="2"/>
  <c r="AK1194" i="2"/>
  <c r="AJ1194" i="2"/>
  <c r="AI1194" i="2"/>
  <c r="AH1194" i="2"/>
  <c r="AG1194" i="2"/>
  <c r="AF1194" i="2"/>
  <c r="AE1194" i="2"/>
  <c r="AD1194" i="2"/>
  <c r="AC1194" i="2"/>
  <c r="AA1194" i="2"/>
  <c r="Z1194" i="2"/>
  <c r="Y1194" i="2"/>
  <c r="X1194" i="2"/>
  <c r="W1194" i="2"/>
  <c r="V1194" i="2"/>
  <c r="U1194" i="2"/>
  <c r="T1194" i="2"/>
  <c r="S1194" i="2"/>
  <c r="R1194" i="2"/>
  <c r="Q1194" i="2"/>
  <c r="P1194" i="2"/>
  <c r="O1194" i="2"/>
  <c r="N1194" i="2"/>
  <c r="M1194" i="2"/>
  <c r="L1194" i="2"/>
  <c r="K1194" i="2"/>
  <c r="J1194" i="2"/>
  <c r="I1194" i="2"/>
  <c r="H1194" i="2"/>
  <c r="G1194" i="2"/>
  <c r="F1194" i="2"/>
  <c r="E1194" i="2"/>
  <c r="D1194" i="2"/>
  <c r="C1194" i="2"/>
  <c r="B1194" i="2"/>
  <c r="A1194" i="2"/>
  <c r="AX1193" i="2"/>
  <c r="AV1193" i="2"/>
  <c r="AU1193" i="2"/>
  <c r="AT1193" i="2"/>
  <c r="AR1193" i="2"/>
  <c r="AQ1193" i="2"/>
  <c r="AP1193" i="2"/>
  <c r="AO1193" i="2"/>
  <c r="AM1193" i="2"/>
  <c r="AK1193" i="2"/>
  <c r="AJ1193" i="2"/>
  <c r="AI1193" i="2"/>
  <c r="AH1193" i="2"/>
  <c r="AG1193" i="2"/>
  <c r="AE1193" i="2"/>
  <c r="AD1193" i="2"/>
  <c r="AC1193" i="2"/>
  <c r="AA1193" i="2"/>
  <c r="Z1193" i="2"/>
  <c r="Y1193" i="2"/>
  <c r="X1193" i="2"/>
  <c r="W1193" i="2"/>
  <c r="V1193" i="2"/>
  <c r="U1193" i="2"/>
  <c r="T1193" i="2"/>
  <c r="S1193" i="2"/>
  <c r="R1193" i="2"/>
  <c r="Q1193" i="2"/>
  <c r="P1193" i="2"/>
  <c r="O1193" i="2"/>
  <c r="N1193" i="2"/>
  <c r="M1193" i="2"/>
  <c r="L1193" i="2"/>
  <c r="K1193" i="2"/>
  <c r="J1193" i="2"/>
  <c r="I1193" i="2"/>
  <c r="H1193" i="2"/>
  <c r="G1193" i="2"/>
  <c r="F1193" i="2"/>
  <c r="E1193" i="2"/>
  <c r="D1193" i="2"/>
  <c r="C1193" i="2"/>
  <c r="B1193" i="2"/>
  <c r="A1193" i="2"/>
  <c r="AX1192" i="2"/>
  <c r="AV1192" i="2"/>
  <c r="AU1192" i="2"/>
  <c r="AT1192" i="2"/>
  <c r="AS1192" i="2"/>
  <c r="AR1192" i="2"/>
  <c r="AP1192" i="2"/>
  <c r="AO1192" i="2"/>
  <c r="AM1192" i="2"/>
  <c r="AL1192" i="2"/>
  <c r="AK1192" i="2"/>
  <c r="AJ1192" i="2"/>
  <c r="AI1192" i="2"/>
  <c r="AH1192" i="2"/>
  <c r="AG1192" i="2"/>
  <c r="AE1192" i="2"/>
  <c r="AD1192" i="2"/>
  <c r="AC1192" i="2"/>
  <c r="AA1192" i="2"/>
  <c r="Z1192" i="2"/>
  <c r="Y1192" i="2"/>
  <c r="X1192" i="2"/>
  <c r="W1192" i="2"/>
  <c r="V1192" i="2"/>
  <c r="U1192" i="2"/>
  <c r="T1192" i="2"/>
  <c r="S1192" i="2"/>
  <c r="R1192" i="2"/>
  <c r="Q1192" i="2"/>
  <c r="P1192" i="2"/>
  <c r="O1192" i="2"/>
  <c r="N1192" i="2"/>
  <c r="M1192" i="2"/>
  <c r="K1192" i="2"/>
  <c r="J1192" i="2"/>
  <c r="I1192" i="2"/>
  <c r="H1192" i="2"/>
  <c r="G1192" i="2"/>
  <c r="F1192" i="2"/>
  <c r="E1192" i="2"/>
  <c r="D1192" i="2"/>
  <c r="C1192" i="2"/>
  <c r="B1192" i="2"/>
  <c r="A1192" i="2"/>
  <c r="AX1191" i="2"/>
  <c r="AV1191" i="2"/>
  <c r="AU1191" i="2"/>
  <c r="AT1191" i="2"/>
  <c r="AS1191" i="2"/>
  <c r="AR1191" i="2"/>
  <c r="AO1191" i="2"/>
  <c r="AM1191" i="2"/>
  <c r="AJ1191" i="2"/>
  <c r="AI1191" i="2"/>
  <c r="AH1191" i="2"/>
  <c r="AG1191" i="2"/>
  <c r="AE1191" i="2"/>
  <c r="AD1191" i="2"/>
  <c r="AC1191" i="2"/>
  <c r="Z1191" i="2"/>
  <c r="Y1191" i="2"/>
  <c r="X1191" i="2"/>
  <c r="W1191" i="2"/>
  <c r="V1191" i="2"/>
  <c r="U1191" i="2"/>
  <c r="T1191" i="2"/>
  <c r="S1191" i="2"/>
  <c r="R1191" i="2"/>
  <c r="Q1191" i="2"/>
  <c r="P1191" i="2"/>
  <c r="O1191" i="2"/>
  <c r="N1191" i="2"/>
  <c r="M1191" i="2"/>
  <c r="K1191" i="2"/>
  <c r="J1191" i="2"/>
  <c r="I1191" i="2"/>
  <c r="H1191" i="2"/>
  <c r="G1191" i="2"/>
  <c r="F1191" i="2"/>
  <c r="E1191" i="2"/>
  <c r="D1191" i="2"/>
  <c r="C1191" i="2"/>
  <c r="B1191" i="2"/>
  <c r="A1191" i="2"/>
  <c r="AX1190" i="2"/>
  <c r="AV1190" i="2"/>
  <c r="AU1190" i="2"/>
  <c r="AT1190" i="2"/>
  <c r="AS1190" i="2"/>
  <c r="AR1190" i="2"/>
  <c r="AO1190" i="2"/>
  <c r="AM1190" i="2"/>
  <c r="AK1190" i="2"/>
  <c r="AI1190" i="2"/>
  <c r="AH1190" i="2"/>
  <c r="AG1190" i="2"/>
  <c r="AE1190" i="2"/>
  <c r="AD1190" i="2"/>
  <c r="AC1190" i="2"/>
  <c r="Z1190" i="2"/>
  <c r="Y1190" i="2"/>
  <c r="X1190" i="2"/>
  <c r="W1190" i="2"/>
  <c r="V1190" i="2"/>
  <c r="U1190" i="2"/>
  <c r="T1190" i="2"/>
  <c r="S1190" i="2"/>
  <c r="R1190" i="2"/>
  <c r="Q1190" i="2"/>
  <c r="P1190" i="2"/>
  <c r="O1190" i="2"/>
  <c r="N1190" i="2"/>
  <c r="M1190" i="2"/>
  <c r="L1190" i="2"/>
  <c r="K1190" i="2"/>
  <c r="J1190" i="2"/>
  <c r="I1190" i="2"/>
  <c r="H1190" i="2"/>
  <c r="G1190" i="2"/>
  <c r="F1190" i="2"/>
  <c r="E1190" i="2"/>
  <c r="D1190" i="2"/>
  <c r="C1190" i="2"/>
  <c r="B1190" i="2"/>
  <c r="A1190" i="2"/>
  <c r="AX1189" i="2"/>
  <c r="AV1189" i="2"/>
  <c r="AU1189" i="2"/>
  <c r="AR1189" i="2"/>
  <c r="AO1189" i="2"/>
  <c r="AM1189" i="2"/>
  <c r="AL1189" i="2"/>
  <c r="AK1189" i="2"/>
  <c r="AJ1189" i="2"/>
  <c r="AI1189" i="2"/>
  <c r="AH1189" i="2"/>
  <c r="AG1189" i="2"/>
  <c r="AE1189" i="2"/>
  <c r="AD1189" i="2"/>
  <c r="AC1189" i="2"/>
  <c r="AA1189" i="2"/>
  <c r="Z1189" i="2"/>
  <c r="Y1189" i="2"/>
  <c r="X1189" i="2"/>
  <c r="W1189" i="2"/>
  <c r="V1189" i="2"/>
  <c r="U1189" i="2"/>
  <c r="T1189" i="2"/>
  <c r="S1189" i="2"/>
  <c r="R1189" i="2"/>
  <c r="Q1189" i="2"/>
  <c r="P1189" i="2"/>
  <c r="O1189" i="2"/>
  <c r="N1189" i="2"/>
  <c r="M1189" i="2"/>
  <c r="L1189" i="2"/>
  <c r="K1189" i="2"/>
  <c r="J1189" i="2"/>
  <c r="I1189" i="2"/>
  <c r="H1189" i="2"/>
  <c r="G1189" i="2"/>
  <c r="F1189" i="2"/>
  <c r="E1189" i="2"/>
  <c r="D1189" i="2"/>
  <c r="C1189" i="2"/>
  <c r="B1189" i="2"/>
  <c r="A1189" i="2"/>
  <c r="AX1188" i="2"/>
  <c r="AV1188" i="2"/>
  <c r="AU1188" i="2"/>
  <c r="AR1188" i="2"/>
  <c r="AM1188" i="2"/>
  <c r="AJ1188" i="2"/>
  <c r="AI1188" i="2"/>
  <c r="AH1188" i="2"/>
  <c r="AG1188" i="2"/>
  <c r="AF1188" i="2"/>
  <c r="AE1188" i="2"/>
  <c r="AD1188" i="2"/>
  <c r="AC1188" i="2"/>
  <c r="Z1188" i="2"/>
  <c r="Y1188" i="2"/>
  <c r="X1188" i="2"/>
  <c r="W1188" i="2"/>
  <c r="V1188" i="2"/>
  <c r="U1188" i="2"/>
  <c r="T1188" i="2"/>
  <c r="S1188" i="2"/>
  <c r="R1188" i="2"/>
  <c r="Q1188" i="2"/>
  <c r="P1188" i="2"/>
  <c r="O1188" i="2"/>
  <c r="N1188" i="2"/>
  <c r="M1188" i="2"/>
  <c r="L1188" i="2"/>
  <c r="K1188" i="2"/>
  <c r="J1188" i="2"/>
  <c r="I1188" i="2"/>
  <c r="H1188" i="2"/>
  <c r="G1188" i="2"/>
  <c r="F1188" i="2"/>
  <c r="E1188" i="2"/>
  <c r="D1188" i="2"/>
  <c r="C1188" i="2"/>
  <c r="B1188" i="2"/>
  <c r="A1188" i="2"/>
  <c r="AX1187" i="2"/>
  <c r="AV1187" i="2"/>
  <c r="AU1187" i="2"/>
  <c r="AT1187" i="2"/>
  <c r="AS1187" i="2"/>
  <c r="AR1187" i="2"/>
  <c r="AO1187" i="2"/>
  <c r="AM1187" i="2"/>
  <c r="AK1187" i="2"/>
  <c r="AI1187" i="2"/>
  <c r="AH1187" i="2"/>
  <c r="AG1187" i="2"/>
  <c r="AF1187" i="2"/>
  <c r="AE1187" i="2"/>
  <c r="AD1187" i="2"/>
  <c r="AC1187" i="2"/>
  <c r="Z1187" i="2"/>
  <c r="Y1187" i="2"/>
  <c r="X1187" i="2"/>
  <c r="W1187" i="2"/>
  <c r="V1187" i="2"/>
  <c r="U1187" i="2"/>
  <c r="T1187" i="2"/>
  <c r="S1187" i="2"/>
  <c r="R1187" i="2"/>
  <c r="Q1187" i="2"/>
  <c r="P1187" i="2"/>
  <c r="O1187" i="2"/>
  <c r="N1187" i="2"/>
  <c r="M1187" i="2"/>
  <c r="L1187" i="2"/>
  <c r="K1187" i="2"/>
  <c r="J1187" i="2"/>
  <c r="I1187" i="2"/>
  <c r="H1187" i="2"/>
  <c r="G1187" i="2"/>
  <c r="F1187" i="2"/>
  <c r="E1187" i="2"/>
  <c r="D1187" i="2"/>
  <c r="C1187" i="2"/>
  <c r="B1187" i="2"/>
  <c r="A1187" i="2"/>
  <c r="AX1186" i="2"/>
  <c r="AV1186" i="2"/>
  <c r="AU1186" i="2"/>
  <c r="AT1186" i="2"/>
  <c r="AS1186" i="2"/>
  <c r="AR1186" i="2"/>
  <c r="AO1186" i="2"/>
  <c r="AM1186" i="2"/>
  <c r="AK1186" i="2"/>
  <c r="AJ1186" i="2"/>
  <c r="AI1186" i="2"/>
  <c r="AH1186" i="2"/>
  <c r="AE1186" i="2"/>
  <c r="AD1186" i="2"/>
  <c r="AC1186" i="2"/>
  <c r="AA1186" i="2"/>
  <c r="Z1186" i="2"/>
  <c r="Y1186" i="2"/>
  <c r="X1186" i="2"/>
  <c r="W1186" i="2"/>
  <c r="V1186" i="2"/>
  <c r="U1186" i="2"/>
  <c r="T1186" i="2"/>
  <c r="S1186" i="2"/>
  <c r="R1186" i="2"/>
  <c r="Q1186" i="2"/>
  <c r="P1186" i="2"/>
  <c r="O1186" i="2"/>
  <c r="N1186" i="2"/>
  <c r="M1186" i="2"/>
  <c r="L1186" i="2"/>
  <c r="K1186" i="2"/>
  <c r="J1186" i="2"/>
  <c r="I1186" i="2"/>
  <c r="H1186" i="2"/>
  <c r="G1186" i="2"/>
  <c r="F1186" i="2"/>
  <c r="E1186" i="2"/>
  <c r="D1186" i="2"/>
  <c r="C1186" i="2"/>
  <c r="B1186" i="2"/>
  <c r="A1186" i="2"/>
  <c r="AX1185" i="2"/>
  <c r="AV1185" i="2"/>
  <c r="AU1185" i="2"/>
  <c r="AR1185" i="2"/>
  <c r="AO1185" i="2"/>
  <c r="AM1185" i="2"/>
  <c r="AJ1185" i="2"/>
  <c r="AI1185" i="2"/>
  <c r="AH1185" i="2"/>
  <c r="AG1185" i="2"/>
  <c r="AD1185" i="2"/>
  <c r="AC1185" i="2"/>
  <c r="Z1185" i="2"/>
  <c r="Y1185" i="2"/>
  <c r="X1185" i="2"/>
  <c r="W1185" i="2"/>
  <c r="V1185" i="2"/>
  <c r="U1185" i="2"/>
  <c r="T1185" i="2"/>
  <c r="S1185" i="2"/>
  <c r="R1185" i="2"/>
  <c r="Q1185" i="2"/>
  <c r="P1185" i="2"/>
  <c r="O1185" i="2"/>
  <c r="N1185" i="2"/>
  <c r="M1185" i="2"/>
  <c r="L1185" i="2"/>
  <c r="K1185" i="2"/>
  <c r="J1185" i="2"/>
  <c r="I1185" i="2"/>
  <c r="H1185" i="2"/>
  <c r="G1185" i="2"/>
  <c r="F1185" i="2"/>
  <c r="E1185" i="2"/>
  <c r="D1185" i="2"/>
  <c r="C1185" i="2"/>
  <c r="B1185" i="2"/>
  <c r="A1185" i="2"/>
  <c r="AX1184" i="2"/>
  <c r="AV1184" i="2"/>
  <c r="AU1184" i="2"/>
  <c r="AR1184" i="2"/>
  <c r="AO1184" i="2"/>
  <c r="AM1184" i="2"/>
  <c r="AK1184" i="2"/>
  <c r="AJ1184" i="2"/>
  <c r="AI1184" i="2"/>
  <c r="AH1184" i="2"/>
  <c r="AG1184" i="2"/>
  <c r="AC1184" i="2"/>
  <c r="Z1184" i="2"/>
  <c r="Y1184" i="2"/>
  <c r="X1184" i="2"/>
  <c r="W1184" i="2"/>
  <c r="V1184" i="2"/>
  <c r="U1184" i="2"/>
  <c r="T1184" i="2"/>
  <c r="S1184" i="2"/>
  <c r="R1184" i="2"/>
  <c r="Q1184" i="2"/>
  <c r="P1184" i="2"/>
  <c r="O1184" i="2"/>
  <c r="N1184" i="2"/>
  <c r="M1184" i="2"/>
  <c r="L1184" i="2"/>
  <c r="K1184" i="2"/>
  <c r="J1184" i="2"/>
  <c r="I1184" i="2"/>
  <c r="H1184" i="2"/>
  <c r="G1184" i="2"/>
  <c r="F1184" i="2"/>
  <c r="E1184" i="2"/>
  <c r="D1184" i="2"/>
  <c r="C1184" i="2"/>
  <c r="B1184" i="2"/>
  <c r="A1184" i="2"/>
  <c r="AX1183" i="2"/>
  <c r="AV1183" i="2"/>
  <c r="AU1183" i="2"/>
  <c r="AR1183" i="2"/>
  <c r="AO1183" i="2"/>
  <c r="AM1183" i="2"/>
  <c r="AL1183" i="2"/>
  <c r="AK1183" i="2"/>
  <c r="AJ1183" i="2"/>
  <c r="AI1183" i="2"/>
  <c r="AH1183" i="2"/>
  <c r="AG1183" i="2"/>
  <c r="AE1183" i="2"/>
  <c r="AD1183" i="2"/>
  <c r="AC1183" i="2"/>
  <c r="AA1183" i="2"/>
  <c r="Z1183" i="2"/>
  <c r="Y1183" i="2"/>
  <c r="X1183" i="2"/>
  <c r="W1183" i="2"/>
  <c r="V1183" i="2"/>
  <c r="U1183" i="2"/>
  <c r="T1183" i="2"/>
  <c r="S1183" i="2"/>
  <c r="R1183" i="2"/>
  <c r="Q1183" i="2"/>
  <c r="P1183" i="2"/>
  <c r="O1183" i="2"/>
  <c r="N1183" i="2"/>
  <c r="M1183" i="2"/>
  <c r="L1183" i="2"/>
  <c r="K1183" i="2"/>
  <c r="J1183" i="2"/>
  <c r="I1183" i="2"/>
  <c r="H1183" i="2"/>
  <c r="G1183" i="2"/>
  <c r="F1183" i="2"/>
  <c r="E1183" i="2"/>
  <c r="D1183" i="2"/>
  <c r="C1183" i="2"/>
  <c r="B1183" i="2"/>
  <c r="A1183" i="2"/>
  <c r="AX1182" i="2"/>
  <c r="AV1182" i="2"/>
  <c r="AU1182" i="2"/>
  <c r="AT1182" i="2"/>
  <c r="AR1182" i="2"/>
  <c r="AO1182" i="2"/>
  <c r="AM1182" i="2"/>
  <c r="AL1182" i="2"/>
  <c r="AK1182" i="2"/>
  <c r="AJ1182" i="2"/>
  <c r="AI1182" i="2"/>
  <c r="AH1182" i="2"/>
  <c r="AG1182" i="2"/>
  <c r="AF1182" i="2"/>
  <c r="AE1182" i="2"/>
  <c r="AD1182" i="2"/>
  <c r="AC1182" i="2"/>
  <c r="AA1182" i="2"/>
  <c r="Z1182" i="2"/>
  <c r="Y1182" i="2"/>
  <c r="X1182" i="2"/>
  <c r="W1182" i="2"/>
  <c r="V1182" i="2"/>
  <c r="U1182" i="2"/>
  <c r="T1182" i="2"/>
  <c r="S1182" i="2"/>
  <c r="R1182" i="2"/>
  <c r="Q1182" i="2"/>
  <c r="P1182" i="2"/>
  <c r="O1182" i="2"/>
  <c r="N1182" i="2"/>
  <c r="M1182" i="2"/>
  <c r="L1182" i="2"/>
  <c r="K1182" i="2"/>
  <c r="J1182" i="2"/>
  <c r="I1182" i="2"/>
  <c r="H1182" i="2"/>
  <c r="G1182" i="2"/>
  <c r="F1182" i="2"/>
  <c r="E1182" i="2"/>
  <c r="D1182" i="2"/>
  <c r="C1182" i="2"/>
  <c r="B1182" i="2"/>
  <c r="A1182" i="2"/>
  <c r="AX1181" i="2"/>
  <c r="AV1181" i="2"/>
  <c r="AU1181" i="2"/>
  <c r="AR1181" i="2"/>
  <c r="AO1181" i="2"/>
  <c r="AM1181" i="2"/>
  <c r="AL1181" i="2"/>
  <c r="AK1181" i="2"/>
  <c r="AJ1181" i="2"/>
  <c r="AI1181" i="2"/>
  <c r="AH1181" i="2"/>
  <c r="AG1181" i="2"/>
  <c r="AE1181" i="2"/>
  <c r="AD1181" i="2"/>
  <c r="AC1181" i="2"/>
  <c r="AA1181" i="2"/>
  <c r="Z1181" i="2"/>
  <c r="Y1181" i="2"/>
  <c r="X1181" i="2"/>
  <c r="W1181" i="2"/>
  <c r="V1181" i="2"/>
  <c r="U1181" i="2"/>
  <c r="T1181" i="2"/>
  <c r="S1181" i="2"/>
  <c r="R1181" i="2"/>
  <c r="Q1181" i="2"/>
  <c r="P1181" i="2"/>
  <c r="O1181" i="2"/>
  <c r="N1181" i="2"/>
  <c r="M1181" i="2"/>
  <c r="L1181" i="2"/>
  <c r="K1181" i="2"/>
  <c r="J1181" i="2"/>
  <c r="I1181" i="2"/>
  <c r="H1181" i="2"/>
  <c r="G1181" i="2"/>
  <c r="F1181" i="2"/>
  <c r="E1181" i="2"/>
  <c r="D1181" i="2"/>
  <c r="C1181" i="2"/>
  <c r="B1181" i="2"/>
  <c r="A1181" i="2"/>
  <c r="AX1180" i="2"/>
  <c r="AV1180" i="2"/>
  <c r="AU1180" i="2"/>
  <c r="AP1180" i="2"/>
  <c r="AO1180" i="2"/>
  <c r="AM1180" i="2"/>
  <c r="AJ1180" i="2"/>
  <c r="AI1180" i="2"/>
  <c r="AH1180" i="2"/>
  <c r="AG1180" i="2"/>
  <c r="AE1180" i="2"/>
  <c r="AD1180" i="2"/>
  <c r="AC1180" i="2"/>
  <c r="Z1180" i="2"/>
  <c r="Y1180" i="2"/>
  <c r="X1180" i="2"/>
  <c r="W1180" i="2"/>
  <c r="V1180" i="2"/>
  <c r="U1180" i="2"/>
  <c r="T1180" i="2"/>
  <c r="S1180" i="2"/>
  <c r="R1180" i="2"/>
  <c r="Q1180" i="2"/>
  <c r="P1180" i="2"/>
  <c r="O1180" i="2"/>
  <c r="N1180" i="2"/>
  <c r="M1180" i="2"/>
  <c r="L1180" i="2"/>
  <c r="K1180" i="2"/>
  <c r="J1180" i="2"/>
  <c r="I1180" i="2"/>
  <c r="H1180" i="2"/>
  <c r="G1180" i="2"/>
  <c r="F1180" i="2"/>
  <c r="E1180" i="2"/>
  <c r="D1180" i="2"/>
  <c r="C1180" i="2"/>
  <c r="B1180" i="2"/>
  <c r="A1180" i="2"/>
  <c r="AX1179" i="2"/>
  <c r="AV1179" i="2"/>
  <c r="AU1179" i="2"/>
  <c r="AT1179" i="2"/>
  <c r="AS1179" i="2"/>
  <c r="AO1179" i="2"/>
  <c r="AM1179" i="2"/>
  <c r="AL1179" i="2"/>
  <c r="AK1179" i="2"/>
  <c r="AJ1179" i="2"/>
  <c r="AI1179" i="2"/>
  <c r="AH1179" i="2"/>
  <c r="AG1179" i="2"/>
  <c r="AF1179" i="2"/>
  <c r="AE1179" i="2"/>
  <c r="AD1179" i="2"/>
  <c r="AC1179" i="2"/>
  <c r="AA1179" i="2"/>
  <c r="Z1179" i="2"/>
  <c r="Y1179" i="2"/>
  <c r="X1179" i="2"/>
  <c r="W1179" i="2"/>
  <c r="V1179" i="2"/>
  <c r="U1179" i="2"/>
  <c r="T1179" i="2"/>
  <c r="S1179" i="2"/>
  <c r="R1179" i="2"/>
  <c r="Q1179" i="2"/>
  <c r="P1179" i="2"/>
  <c r="O1179" i="2"/>
  <c r="N1179" i="2"/>
  <c r="M1179" i="2"/>
  <c r="L1179" i="2"/>
  <c r="K1179" i="2"/>
  <c r="J1179" i="2"/>
  <c r="I1179" i="2"/>
  <c r="H1179" i="2"/>
  <c r="G1179" i="2"/>
  <c r="F1179" i="2"/>
  <c r="E1179" i="2"/>
  <c r="D1179" i="2"/>
  <c r="C1179" i="2"/>
  <c r="B1179" i="2"/>
  <c r="A1179" i="2"/>
  <c r="AX1178" i="2"/>
  <c r="AV1178" i="2"/>
  <c r="AU1178" i="2"/>
  <c r="AR1178" i="2"/>
  <c r="AO1178" i="2"/>
  <c r="AM1178" i="2"/>
  <c r="AL1178" i="2"/>
  <c r="AK1178" i="2"/>
  <c r="AJ1178" i="2"/>
  <c r="AI1178" i="2"/>
  <c r="AH1178" i="2"/>
  <c r="AG1178" i="2"/>
  <c r="AE1178" i="2"/>
  <c r="AD1178" i="2"/>
  <c r="AC1178" i="2"/>
  <c r="AA1178" i="2"/>
  <c r="Z1178" i="2"/>
  <c r="Y1178" i="2"/>
  <c r="X1178" i="2"/>
  <c r="W1178" i="2"/>
  <c r="V1178" i="2"/>
  <c r="U1178" i="2"/>
  <c r="T1178" i="2"/>
  <c r="S1178" i="2"/>
  <c r="R1178" i="2"/>
  <c r="Q1178" i="2"/>
  <c r="P1178" i="2"/>
  <c r="O1178" i="2"/>
  <c r="N1178" i="2"/>
  <c r="M1178" i="2"/>
  <c r="L1178" i="2"/>
  <c r="K1178" i="2"/>
  <c r="J1178" i="2"/>
  <c r="I1178" i="2"/>
  <c r="H1178" i="2"/>
  <c r="G1178" i="2"/>
  <c r="F1178" i="2"/>
  <c r="E1178" i="2"/>
  <c r="D1178" i="2"/>
  <c r="C1178" i="2"/>
  <c r="B1178" i="2"/>
  <c r="A1178" i="2"/>
  <c r="AX1177" i="2"/>
  <c r="AV1177" i="2"/>
  <c r="AU1177" i="2"/>
  <c r="AT1177" i="2"/>
  <c r="AS1177" i="2"/>
  <c r="AR1177" i="2"/>
  <c r="AO1177" i="2"/>
  <c r="AM1177" i="2"/>
  <c r="AK1177" i="2"/>
  <c r="AJ1177" i="2"/>
  <c r="AI1177" i="2"/>
  <c r="AH1177" i="2"/>
  <c r="AG1177" i="2"/>
  <c r="AE1177" i="2"/>
  <c r="AC1177" i="2"/>
  <c r="Z1177" i="2"/>
  <c r="Y1177" i="2"/>
  <c r="X1177" i="2"/>
  <c r="W1177" i="2"/>
  <c r="V1177" i="2"/>
  <c r="U1177" i="2"/>
  <c r="T1177" i="2"/>
  <c r="S1177" i="2"/>
  <c r="R1177" i="2"/>
  <c r="Q1177" i="2"/>
  <c r="P1177" i="2"/>
  <c r="O1177" i="2"/>
  <c r="N1177" i="2"/>
  <c r="M1177" i="2"/>
  <c r="L1177" i="2"/>
  <c r="K1177" i="2"/>
  <c r="J1177" i="2"/>
  <c r="I1177" i="2"/>
  <c r="H1177" i="2"/>
  <c r="G1177" i="2"/>
  <c r="F1177" i="2"/>
  <c r="E1177" i="2"/>
  <c r="D1177" i="2"/>
  <c r="C1177" i="2"/>
  <c r="B1177" i="2"/>
  <c r="A1177" i="2"/>
  <c r="AX1176" i="2"/>
  <c r="AV1176" i="2"/>
  <c r="AU1176" i="2"/>
  <c r="AT1176" i="2"/>
  <c r="AS1176" i="2"/>
  <c r="AR1176" i="2"/>
  <c r="AO1176" i="2"/>
  <c r="AM1176" i="2"/>
  <c r="AL1176" i="2"/>
  <c r="AK1176" i="2"/>
  <c r="AJ1176" i="2"/>
  <c r="AI1176" i="2"/>
  <c r="AH1176" i="2"/>
  <c r="AG1176" i="2"/>
  <c r="AE1176" i="2"/>
  <c r="AD1176" i="2"/>
  <c r="AC1176" i="2"/>
  <c r="AA1176" i="2"/>
  <c r="Z1176" i="2"/>
  <c r="Y1176" i="2"/>
  <c r="X1176" i="2"/>
  <c r="W1176" i="2"/>
  <c r="V1176" i="2"/>
  <c r="U1176" i="2"/>
  <c r="T1176" i="2"/>
  <c r="S1176" i="2"/>
  <c r="R1176" i="2"/>
  <c r="Q1176" i="2"/>
  <c r="P1176" i="2"/>
  <c r="O1176" i="2"/>
  <c r="N1176" i="2"/>
  <c r="M1176" i="2"/>
  <c r="L1176" i="2"/>
  <c r="K1176" i="2"/>
  <c r="J1176" i="2"/>
  <c r="I1176" i="2"/>
  <c r="H1176" i="2"/>
  <c r="G1176" i="2"/>
  <c r="F1176" i="2"/>
  <c r="E1176" i="2"/>
  <c r="D1176" i="2"/>
  <c r="C1176" i="2"/>
  <c r="B1176" i="2"/>
  <c r="A1176" i="2"/>
  <c r="AX1175" i="2"/>
  <c r="AV1175" i="2"/>
  <c r="AU1175" i="2"/>
  <c r="AR1175" i="2"/>
  <c r="AO1175" i="2"/>
  <c r="AM1175" i="2"/>
  <c r="AL1175" i="2"/>
  <c r="AK1175" i="2"/>
  <c r="AJ1175" i="2"/>
  <c r="AI1175" i="2"/>
  <c r="AH1175" i="2"/>
  <c r="AG1175" i="2"/>
  <c r="AF1175" i="2"/>
  <c r="AE1175" i="2"/>
  <c r="AD1175" i="2"/>
  <c r="AC1175" i="2"/>
  <c r="AA1175" i="2"/>
  <c r="Z1175" i="2"/>
  <c r="Y1175" i="2"/>
  <c r="X1175" i="2"/>
  <c r="W1175" i="2"/>
  <c r="V1175" i="2"/>
  <c r="U1175" i="2"/>
  <c r="T1175" i="2"/>
  <c r="S1175" i="2"/>
  <c r="R1175" i="2"/>
  <c r="Q1175" i="2"/>
  <c r="P1175" i="2"/>
  <c r="O1175" i="2"/>
  <c r="N1175" i="2"/>
  <c r="M1175" i="2"/>
  <c r="L1175" i="2"/>
  <c r="K1175" i="2"/>
  <c r="J1175" i="2"/>
  <c r="I1175" i="2"/>
  <c r="H1175" i="2"/>
  <c r="G1175" i="2"/>
  <c r="F1175" i="2"/>
  <c r="E1175" i="2"/>
  <c r="D1175" i="2"/>
  <c r="C1175" i="2"/>
  <c r="B1175" i="2"/>
  <c r="A1175" i="2"/>
  <c r="AX1174" i="2"/>
  <c r="AV1174" i="2"/>
  <c r="AU1174" i="2"/>
  <c r="AT1174" i="2"/>
  <c r="AS1174" i="2"/>
  <c r="AR1174" i="2"/>
  <c r="AO1174" i="2"/>
  <c r="AM1174" i="2"/>
  <c r="AK1174" i="2"/>
  <c r="AJ1174" i="2"/>
  <c r="AI1174" i="2"/>
  <c r="AH1174" i="2"/>
  <c r="AG1174" i="2"/>
  <c r="AE1174" i="2"/>
  <c r="AD1174" i="2"/>
  <c r="AC1174" i="2"/>
  <c r="AA1174" i="2"/>
  <c r="Z1174" i="2"/>
  <c r="Y1174" i="2"/>
  <c r="X1174" i="2"/>
  <c r="W1174" i="2"/>
  <c r="V1174" i="2"/>
  <c r="U1174" i="2"/>
  <c r="T1174" i="2"/>
  <c r="S1174" i="2"/>
  <c r="R1174" i="2"/>
  <c r="Q1174" i="2"/>
  <c r="P1174" i="2"/>
  <c r="O1174" i="2"/>
  <c r="N1174" i="2"/>
  <c r="M1174" i="2"/>
  <c r="L1174" i="2"/>
  <c r="K1174" i="2"/>
  <c r="J1174" i="2"/>
  <c r="I1174" i="2"/>
  <c r="H1174" i="2"/>
  <c r="G1174" i="2"/>
  <c r="F1174" i="2"/>
  <c r="E1174" i="2"/>
  <c r="D1174" i="2"/>
  <c r="C1174" i="2"/>
  <c r="B1174" i="2"/>
  <c r="A1174" i="2"/>
  <c r="AX1173" i="2"/>
  <c r="AV1173" i="2"/>
  <c r="AU1173" i="2"/>
  <c r="AR1173" i="2"/>
  <c r="AO1173" i="2"/>
  <c r="AM1173" i="2"/>
  <c r="AK1173" i="2"/>
  <c r="AJ1173" i="2"/>
  <c r="AI1173" i="2"/>
  <c r="AH1173" i="2"/>
  <c r="AG1173" i="2"/>
  <c r="AE1173" i="2"/>
  <c r="AC1173" i="2"/>
  <c r="Z1173" i="2"/>
  <c r="Y1173" i="2"/>
  <c r="X1173" i="2"/>
  <c r="W1173" i="2"/>
  <c r="V1173" i="2"/>
  <c r="U1173" i="2"/>
  <c r="T1173" i="2"/>
  <c r="S1173" i="2"/>
  <c r="R1173" i="2"/>
  <c r="Q1173" i="2"/>
  <c r="P1173" i="2"/>
  <c r="O1173" i="2"/>
  <c r="N1173" i="2"/>
  <c r="M1173" i="2"/>
  <c r="L1173" i="2"/>
  <c r="K1173" i="2"/>
  <c r="J1173" i="2"/>
  <c r="I1173" i="2"/>
  <c r="H1173" i="2"/>
  <c r="G1173" i="2"/>
  <c r="F1173" i="2"/>
  <c r="E1173" i="2"/>
  <c r="D1173" i="2"/>
  <c r="C1173" i="2"/>
  <c r="B1173" i="2"/>
  <c r="A1173" i="2"/>
  <c r="AX1172" i="2"/>
  <c r="AV1172" i="2"/>
  <c r="AU1172" i="2"/>
  <c r="AT1172" i="2"/>
  <c r="AR1172" i="2"/>
  <c r="AO1172" i="2"/>
  <c r="AM1172" i="2"/>
  <c r="AK1172" i="2"/>
  <c r="AI1172" i="2"/>
  <c r="AH1172" i="2"/>
  <c r="AG1172" i="2"/>
  <c r="AE1172" i="2"/>
  <c r="AD1172" i="2"/>
  <c r="AC1172" i="2"/>
  <c r="AA1172" i="2"/>
  <c r="Z1172" i="2"/>
  <c r="Y1172" i="2"/>
  <c r="X1172" i="2"/>
  <c r="W1172" i="2"/>
  <c r="V1172" i="2"/>
  <c r="U1172" i="2"/>
  <c r="T1172" i="2"/>
  <c r="S1172" i="2"/>
  <c r="R1172" i="2"/>
  <c r="Q1172" i="2"/>
  <c r="P1172" i="2"/>
  <c r="O1172" i="2"/>
  <c r="N1172" i="2"/>
  <c r="M1172" i="2"/>
  <c r="L1172" i="2"/>
  <c r="K1172" i="2"/>
  <c r="J1172" i="2"/>
  <c r="I1172" i="2"/>
  <c r="H1172" i="2"/>
  <c r="G1172" i="2"/>
  <c r="F1172" i="2"/>
  <c r="E1172" i="2"/>
  <c r="D1172" i="2"/>
  <c r="C1172" i="2"/>
  <c r="B1172" i="2"/>
  <c r="A1172" i="2"/>
  <c r="AX1171" i="2"/>
  <c r="AV1171" i="2"/>
  <c r="AU1171" i="2"/>
  <c r="AS1171" i="2"/>
  <c r="AP1171" i="2"/>
  <c r="AO1171" i="2"/>
  <c r="AM1171" i="2"/>
  <c r="AL1171" i="2"/>
  <c r="AK1171" i="2"/>
  <c r="AJ1171" i="2"/>
  <c r="AI1171" i="2"/>
  <c r="AH1171" i="2"/>
  <c r="AG1171" i="2"/>
  <c r="AF1171" i="2"/>
  <c r="AE1171" i="2"/>
  <c r="AD1171" i="2"/>
  <c r="AC1171" i="2"/>
  <c r="AA1171" i="2"/>
  <c r="Y1171" i="2"/>
  <c r="X1171" i="2"/>
  <c r="W1171" i="2"/>
  <c r="V1171" i="2"/>
  <c r="U1171" i="2"/>
  <c r="T1171" i="2"/>
  <c r="S1171" i="2"/>
  <c r="R1171" i="2"/>
  <c r="Q1171" i="2"/>
  <c r="P1171" i="2"/>
  <c r="O1171" i="2"/>
  <c r="N1171" i="2"/>
  <c r="M1171" i="2"/>
  <c r="L1171" i="2"/>
  <c r="K1171" i="2"/>
  <c r="J1171" i="2"/>
  <c r="I1171" i="2"/>
  <c r="H1171" i="2"/>
  <c r="G1171" i="2"/>
  <c r="F1171" i="2"/>
  <c r="E1171" i="2"/>
  <c r="D1171" i="2"/>
  <c r="C1171" i="2"/>
  <c r="B1171" i="2"/>
  <c r="A1171" i="2"/>
  <c r="AX1170" i="2"/>
  <c r="AV1170" i="2"/>
  <c r="AU1170" i="2"/>
  <c r="AT1170" i="2"/>
  <c r="AO1170" i="2"/>
  <c r="AM1170" i="2"/>
  <c r="AK1170" i="2"/>
  <c r="AJ1170" i="2"/>
  <c r="AI1170" i="2"/>
  <c r="AH1170" i="2"/>
  <c r="AG1170" i="2"/>
  <c r="AF1170" i="2"/>
  <c r="AE1170" i="2"/>
  <c r="AD1170" i="2"/>
  <c r="AC1170" i="2"/>
  <c r="AA1170" i="2"/>
  <c r="Z1170" i="2"/>
  <c r="Y1170" i="2"/>
  <c r="X1170" i="2"/>
  <c r="W1170" i="2"/>
  <c r="V1170" i="2"/>
  <c r="U1170" i="2"/>
  <c r="T1170" i="2"/>
  <c r="S1170" i="2"/>
  <c r="R1170" i="2"/>
  <c r="Q1170" i="2"/>
  <c r="P1170" i="2"/>
  <c r="O1170" i="2"/>
  <c r="N1170" i="2"/>
  <c r="M1170" i="2"/>
  <c r="L1170" i="2"/>
  <c r="K1170" i="2"/>
  <c r="J1170" i="2"/>
  <c r="I1170" i="2"/>
  <c r="H1170" i="2"/>
  <c r="G1170" i="2"/>
  <c r="F1170" i="2"/>
  <c r="E1170" i="2"/>
  <c r="D1170" i="2"/>
  <c r="C1170" i="2"/>
  <c r="B1170" i="2"/>
  <c r="A1170" i="2"/>
  <c r="AX1169" i="2"/>
  <c r="AV1169" i="2"/>
  <c r="AU1169" i="2"/>
  <c r="AR1169" i="2"/>
  <c r="AO1169" i="2"/>
  <c r="AM1169" i="2"/>
  <c r="AL1169" i="2"/>
  <c r="AK1169" i="2"/>
  <c r="AJ1169" i="2"/>
  <c r="AI1169" i="2"/>
  <c r="AH1169" i="2"/>
  <c r="AG1169" i="2"/>
  <c r="AE1169" i="2"/>
  <c r="AC1169" i="2"/>
  <c r="Z1169" i="2"/>
  <c r="Y1169" i="2"/>
  <c r="X1169" i="2"/>
  <c r="W1169" i="2"/>
  <c r="V1169" i="2"/>
  <c r="U1169" i="2"/>
  <c r="T1169" i="2"/>
  <c r="S1169" i="2"/>
  <c r="Q1169" i="2"/>
  <c r="P1169" i="2"/>
  <c r="O1169" i="2"/>
  <c r="N1169" i="2"/>
  <c r="M1169" i="2"/>
  <c r="L1169" i="2"/>
  <c r="K1169" i="2"/>
  <c r="J1169" i="2"/>
  <c r="I1169" i="2"/>
  <c r="H1169" i="2"/>
  <c r="G1169" i="2"/>
  <c r="F1169" i="2"/>
  <c r="E1169" i="2"/>
  <c r="D1169" i="2"/>
  <c r="C1169" i="2"/>
  <c r="B1169" i="2"/>
  <c r="A1169" i="2"/>
  <c r="AX1168" i="2"/>
  <c r="AV1168" i="2"/>
  <c r="AU1168" i="2"/>
  <c r="AS1168" i="2"/>
  <c r="AR1168" i="2"/>
  <c r="AO1168" i="2"/>
  <c r="AM1168" i="2"/>
  <c r="AL1168" i="2"/>
  <c r="AK1168" i="2"/>
  <c r="AJ1168" i="2"/>
  <c r="AI1168" i="2"/>
  <c r="AH1168" i="2"/>
  <c r="AG1168" i="2"/>
  <c r="AE1168" i="2"/>
  <c r="AD1168" i="2"/>
  <c r="AC1168" i="2"/>
  <c r="AA1168" i="2"/>
  <c r="Z1168" i="2"/>
  <c r="Y1168" i="2"/>
  <c r="X1168" i="2"/>
  <c r="W1168" i="2"/>
  <c r="V1168" i="2"/>
  <c r="U1168" i="2"/>
  <c r="T1168" i="2"/>
  <c r="S1168" i="2"/>
  <c r="R1168" i="2"/>
  <c r="Q1168" i="2"/>
  <c r="P1168" i="2"/>
  <c r="O1168" i="2"/>
  <c r="N1168" i="2"/>
  <c r="M1168" i="2"/>
  <c r="L1168" i="2"/>
  <c r="K1168" i="2"/>
  <c r="J1168" i="2"/>
  <c r="I1168" i="2"/>
  <c r="H1168" i="2"/>
  <c r="G1168" i="2"/>
  <c r="F1168" i="2"/>
  <c r="E1168" i="2"/>
  <c r="D1168" i="2"/>
  <c r="C1168" i="2"/>
  <c r="B1168" i="2"/>
  <c r="A1168" i="2"/>
  <c r="AX1167" i="2"/>
  <c r="AV1167" i="2"/>
  <c r="AU1167" i="2"/>
  <c r="AT1167" i="2"/>
  <c r="AS1167" i="2"/>
  <c r="AR1167" i="2"/>
  <c r="AO1167" i="2"/>
  <c r="AM1167" i="2"/>
  <c r="AL1167" i="2"/>
  <c r="AK1167" i="2"/>
  <c r="AJ1167" i="2"/>
  <c r="AI1167" i="2"/>
  <c r="AH1167" i="2"/>
  <c r="AG1167" i="2"/>
  <c r="AF1167" i="2"/>
  <c r="AE1167" i="2"/>
  <c r="AD1167" i="2"/>
  <c r="AC1167" i="2"/>
  <c r="Z1167" i="2"/>
  <c r="Y1167" i="2"/>
  <c r="X1167" i="2"/>
  <c r="W1167" i="2"/>
  <c r="V1167" i="2"/>
  <c r="U1167" i="2"/>
  <c r="T1167" i="2"/>
  <c r="S1167" i="2"/>
  <c r="R1167" i="2"/>
  <c r="Q1167" i="2"/>
  <c r="P1167" i="2"/>
  <c r="O1167" i="2"/>
  <c r="N1167" i="2"/>
  <c r="M1167" i="2"/>
  <c r="L1167" i="2"/>
  <c r="K1167" i="2"/>
  <c r="J1167" i="2"/>
  <c r="I1167" i="2"/>
  <c r="H1167" i="2"/>
  <c r="G1167" i="2"/>
  <c r="F1167" i="2"/>
  <c r="E1167" i="2"/>
  <c r="D1167" i="2"/>
  <c r="C1167" i="2"/>
  <c r="B1167" i="2"/>
  <c r="A1167" i="2"/>
  <c r="AX1166" i="2"/>
  <c r="AV1166" i="2"/>
  <c r="AU1166" i="2"/>
  <c r="AT1166" i="2"/>
  <c r="AR1166" i="2"/>
  <c r="AO1166" i="2"/>
  <c r="AM1166" i="2"/>
  <c r="AK1166" i="2"/>
  <c r="AJ1166" i="2"/>
  <c r="AI1166" i="2"/>
  <c r="AH1166" i="2"/>
  <c r="AG1166" i="2"/>
  <c r="AE1166" i="2"/>
  <c r="AD1166" i="2"/>
  <c r="AC1166" i="2"/>
  <c r="AA1166" i="2"/>
  <c r="Z1166" i="2"/>
  <c r="Y1166" i="2"/>
  <c r="X1166" i="2"/>
  <c r="W1166" i="2"/>
  <c r="V1166" i="2"/>
  <c r="U1166" i="2"/>
  <c r="T1166" i="2"/>
  <c r="S1166" i="2"/>
  <c r="R1166" i="2"/>
  <c r="Q1166" i="2"/>
  <c r="P1166" i="2"/>
  <c r="O1166" i="2"/>
  <c r="N1166" i="2"/>
  <c r="M1166" i="2"/>
  <c r="L1166" i="2"/>
  <c r="K1166" i="2"/>
  <c r="J1166" i="2"/>
  <c r="I1166" i="2"/>
  <c r="H1166" i="2"/>
  <c r="G1166" i="2"/>
  <c r="F1166" i="2"/>
  <c r="E1166" i="2"/>
  <c r="D1166" i="2"/>
  <c r="C1166" i="2"/>
  <c r="B1166" i="2"/>
  <c r="A1166" i="2"/>
  <c r="AX1165" i="2"/>
  <c r="AV1165" i="2"/>
  <c r="AU1165" i="2"/>
  <c r="AT1165" i="2"/>
  <c r="AS1165" i="2"/>
  <c r="AR1165" i="2"/>
  <c r="AO1165" i="2"/>
  <c r="AM1165" i="2"/>
  <c r="AK1165" i="2"/>
  <c r="AJ1165" i="2"/>
  <c r="AI1165" i="2"/>
  <c r="AH1165" i="2"/>
  <c r="AG1165" i="2"/>
  <c r="AE1165" i="2"/>
  <c r="AC1165" i="2"/>
  <c r="Z1165" i="2"/>
  <c r="Y1165" i="2"/>
  <c r="X1165" i="2"/>
  <c r="W1165" i="2"/>
  <c r="V1165" i="2"/>
  <c r="U1165" i="2"/>
  <c r="T1165" i="2"/>
  <c r="S1165" i="2"/>
  <c r="R1165" i="2"/>
  <c r="Q1165" i="2"/>
  <c r="P1165" i="2"/>
  <c r="O1165" i="2"/>
  <c r="N1165" i="2"/>
  <c r="M1165" i="2"/>
  <c r="L1165" i="2"/>
  <c r="K1165" i="2"/>
  <c r="J1165" i="2"/>
  <c r="I1165" i="2"/>
  <c r="H1165" i="2"/>
  <c r="G1165" i="2"/>
  <c r="F1165" i="2"/>
  <c r="E1165" i="2"/>
  <c r="D1165" i="2"/>
  <c r="C1165" i="2"/>
  <c r="B1165" i="2"/>
  <c r="A1165" i="2"/>
  <c r="AX1164" i="2"/>
  <c r="AV1164" i="2"/>
  <c r="AU1164" i="2"/>
  <c r="AT1164" i="2"/>
  <c r="AS1164" i="2"/>
  <c r="AR1164" i="2"/>
  <c r="AQ1164" i="2"/>
  <c r="AP1164" i="2"/>
  <c r="AM1164" i="2"/>
  <c r="AL1164" i="2"/>
  <c r="AK1164" i="2"/>
  <c r="AJ1164" i="2"/>
  <c r="AI1164" i="2"/>
  <c r="AH1164" i="2"/>
  <c r="AG1164" i="2"/>
  <c r="AE1164" i="2"/>
  <c r="AC1164" i="2"/>
  <c r="AA1164" i="2"/>
  <c r="Z1164" i="2"/>
  <c r="Y1164" i="2"/>
  <c r="X1164" i="2"/>
  <c r="W1164" i="2"/>
  <c r="V1164" i="2"/>
  <c r="U1164" i="2"/>
  <c r="T1164" i="2"/>
  <c r="S1164" i="2"/>
  <c r="R1164" i="2"/>
  <c r="Q1164" i="2"/>
  <c r="P1164" i="2"/>
  <c r="O1164" i="2"/>
  <c r="N1164" i="2"/>
  <c r="M1164" i="2"/>
  <c r="K1164" i="2"/>
  <c r="J1164" i="2"/>
  <c r="I1164" i="2"/>
  <c r="H1164" i="2"/>
  <c r="G1164" i="2"/>
  <c r="F1164" i="2"/>
  <c r="E1164" i="2"/>
  <c r="D1164" i="2"/>
  <c r="C1164" i="2"/>
  <c r="B1164" i="2"/>
  <c r="A1164" i="2"/>
  <c r="AX1163" i="2"/>
  <c r="AV1163" i="2"/>
  <c r="AU1163" i="2"/>
  <c r="AR1163" i="2"/>
  <c r="AO1163" i="2"/>
  <c r="AM1163" i="2"/>
  <c r="AL1163" i="2"/>
  <c r="AK1163" i="2"/>
  <c r="AJ1163" i="2"/>
  <c r="AI1163" i="2"/>
  <c r="AH1163" i="2"/>
  <c r="AG1163" i="2"/>
  <c r="AF1163" i="2"/>
  <c r="AE1163" i="2"/>
  <c r="AD1163" i="2"/>
  <c r="AC1163" i="2"/>
  <c r="AA1163" i="2"/>
  <c r="Z1163" i="2"/>
  <c r="Y1163" i="2"/>
  <c r="X1163" i="2"/>
  <c r="W1163" i="2"/>
  <c r="V1163" i="2"/>
  <c r="U1163" i="2"/>
  <c r="T1163" i="2"/>
  <c r="S1163" i="2"/>
  <c r="R1163" i="2"/>
  <c r="Q1163" i="2"/>
  <c r="P1163" i="2"/>
  <c r="O1163" i="2"/>
  <c r="N1163" i="2"/>
  <c r="M1163" i="2"/>
  <c r="L1163" i="2"/>
  <c r="K1163" i="2"/>
  <c r="J1163" i="2"/>
  <c r="I1163" i="2"/>
  <c r="H1163" i="2"/>
  <c r="G1163" i="2"/>
  <c r="F1163" i="2"/>
  <c r="E1163" i="2"/>
  <c r="D1163" i="2"/>
  <c r="C1163" i="2"/>
  <c r="B1163" i="2"/>
  <c r="A1163" i="2"/>
  <c r="AX1162" i="2"/>
  <c r="AV1162" i="2"/>
  <c r="AU1162" i="2"/>
  <c r="AT1162" i="2"/>
  <c r="AR1162" i="2"/>
  <c r="AO1162" i="2"/>
  <c r="AM1162" i="2"/>
  <c r="AK1162" i="2"/>
  <c r="AJ1162" i="2"/>
  <c r="AI1162" i="2"/>
  <c r="AH1162" i="2"/>
  <c r="AG1162" i="2"/>
  <c r="AE1162" i="2"/>
  <c r="AD1162" i="2"/>
  <c r="AC1162" i="2"/>
  <c r="Z1162" i="2"/>
  <c r="Y1162" i="2"/>
  <c r="X1162" i="2"/>
  <c r="W1162" i="2"/>
  <c r="V1162" i="2"/>
  <c r="U1162" i="2"/>
  <c r="T1162" i="2"/>
  <c r="S1162" i="2"/>
  <c r="R1162" i="2"/>
  <c r="Q1162" i="2"/>
  <c r="P1162" i="2"/>
  <c r="O1162" i="2"/>
  <c r="N1162" i="2"/>
  <c r="M1162" i="2"/>
  <c r="L1162" i="2"/>
  <c r="K1162" i="2"/>
  <c r="J1162" i="2"/>
  <c r="I1162" i="2"/>
  <c r="H1162" i="2"/>
  <c r="G1162" i="2"/>
  <c r="F1162" i="2"/>
  <c r="E1162" i="2"/>
  <c r="D1162" i="2"/>
  <c r="C1162" i="2"/>
  <c r="B1162" i="2"/>
  <c r="A1162" i="2"/>
  <c r="AX1161" i="2"/>
  <c r="AV1161" i="2"/>
  <c r="AU1161" i="2"/>
  <c r="AT1161" i="2"/>
  <c r="AS1161" i="2"/>
  <c r="AQ1161" i="2"/>
  <c r="AP1161" i="2"/>
  <c r="AO1161" i="2"/>
  <c r="AM1161" i="2"/>
  <c r="AL1161" i="2"/>
  <c r="AK1161" i="2"/>
  <c r="AJ1161" i="2"/>
  <c r="AI1161" i="2"/>
  <c r="AH1161" i="2"/>
  <c r="AG1161" i="2"/>
  <c r="AE1161" i="2"/>
  <c r="AD1161" i="2"/>
  <c r="AC1161" i="2"/>
  <c r="AA1161" i="2"/>
  <c r="Z1161" i="2"/>
  <c r="Y1161" i="2"/>
  <c r="X1161" i="2"/>
  <c r="W1161" i="2"/>
  <c r="V1161" i="2"/>
  <c r="U1161" i="2"/>
  <c r="T1161" i="2"/>
  <c r="S1161" i="2"/>
  <c r="R1161" i="2"/>
  <c r="Q1161" i="2"/>
  <c r="P1161" i="2"/>
  <c r="O1161" i="2"/>
  <c r="N1161" i="2"/>
  <c r="M1161" i="2"/>
  <c r="L1161" i="2"/>
  <c r="K1161" i="2"/>
  <c r="J1161" i="2"/>
  <c r="I1161" i="2"/>
  <c r="H1161" i="2"/>
  <c r="G1161" i="2"/>
  <c r="F1161" i="2"/>
  <c r="E1161" i="2"/>
  <c r="D1161" i="2"/>
  <c r="C1161" i="2"/>
  <c r="B1161" i="2"/>
  <c r="A1161" i="2"/>
  <c r="AX1160" i="2"/>
  <c r="AV1160" i="2"/>
  <c r="AU1160" i="2"/>
  <c r="AT1160" i="2"/>
  <c r="AR1160" i="2"/>
  <c r="AM1160" i="2"/>
  <c r="AK1160" i="2"/>
  <c r="AJ1160" i="2"/>
  <c r="AI1160" i="2"/>
  <c r="AH1160" i="2"/>
  <c r="AG1160" i="2"/>
  <c r="AF1160" i="2"/>
  <c r="AE1160" i="2"/>
  <c r="AD1160" i="2"/>
  <c r="AC1160" i="2"/>
  <c r="AA1160" i="2"/>
  <c r="Z1160" i="2"/>
  <c r="Y1160" i="2"/>
  <c r="X1160" i="2"/>
  <c r="W1160" i="2"/>
  <c r="V1160" i="2"/>
  <c r="U1160" i="2"/>
  <c r="T1160" i="2"/>
  <c r="S1160" i="2"/>
  <c r="R1160" i="2"/>
  <c r="Q1160" i="2"/>
  <c r="P1160" i="2"/>
  <c r="O1160" i="2"/>
  <c r="N1160" i="2"/>
  <c r="M1160" i="2"/>
  <c r="L1160" i="2"/>
  <c r="K1160" i="2"/>
  <c r="J1160" i="2"/>
  <c r="I1160" i="2"/>
  <c r="H1160" i="2"/>
  <c r="G1160" i="2"/>
  <c r="F1160" i="2"/>
  <c r="E1160" i="2"/>
  <c r="D1160" i="2"/>
  <c r="C1160" i="2"/>
  <c r="B1160" i="2"/>
  <c r="A1160" i="2"/>
  <c r="AX1159" i="2"/>
  <c r="AV1159" i="2"/>
  <c r="AU1159" i="2"/>
  <c r="AO1159" i="2"/>
  <c r="AM1159" i="2"/>
  <c r="AK1159" i="2"/>
  <c r="AJ1159" i="2"/>
  <c r="AI1159" i="2"/>
  <c r="AH1159" i="2"/>
  <c r="AG1159" i="2"/>
  <c r="AF1159" i="2"/>
  <c r="AE1159" i="2"/>
  <c r="AD1159" i="2"/>
  <c r="AC1159" i="2"/>
  <c r="Z1159" i="2"/>
  <c r="Y1159" i="2"/>
  <c r="X1159" i="2"/>
  <c r="W1159" i="2"/>
  <c r="V1159" i="2"/>
  <c r="U1159" i="2"/>
  <c r="T1159" i="2"/>
  <c r="S1159" i="2"/>
  <c r="R1159" i="2"/>
  <c r="Q1159" i="2"/>
  <c r="P1159" i="2"/>
  <c r="O1159" i="2"/>
  <c r="N1159" i="2"/>
  <c r="M1159" i="2"/>
  <c r="L1159" i="2"/>
  <c r="K1159" i="2"/>
  <c r="J1159" i="2"/>
  <c r="I1159" i="2"/>
  <c r="H1159" i="2"/>
  <c r="G1159" i="2"/>
  <c r="F1159" i="2"/>
  <c r="E1159" i="2"/>
  <c r="D1159" i="2"/>
  <c r="C1159" i="2"/>
  <c r="B1159" i="2"/>
  <c r="A1159" i="2"/>
  <c r="AX1158" i="2"/>
  <c r="AV1158" i="2"/>
  <c r="AU1158" i="2"/>
  <c r="AT1158" i="2"/>
  <c r="AS1158" i="2"/>
  <c r="AR1158" i="2"/>
  <c r="AO1158" i="2"/>
  <c r="AM1158" i="2"/>
  <c r="AK1158" i="2"/>
  <c r="AJ1158" i="2"/>
  <c r="AI1158" i="2"/>
  <c r="AH1158" i="2"/>
  <c r="AG1158" i="2"/>
  <c r="AE1158" i="2"/>
  <c r="AC1158" i="2"/>
  <c r="AA1158" i="2"/>
  <c r="Z1158" i="2"/>
  <c r="Y1158" i="2"/>
  <c r="X1158" i="2"/>
  <c r="W1158" i="2"/>
  <c r="V1158" i="2"/>
  <c r="U1158" i="2"/>
  <c r="T1158" i="2"/>
  <c r="S1158" i="2"/>
  <c r="R1158" i="2"/>
  <c r="Q1158" i="2"/>
  <c r="P1158" i="2"/>
  <c r="O1158" i="2"/>
  <c r="N1158" i="2"/>
  <c r="M1158" i="2"/>
  <c r="L1158" i="2"/>
  <c r="K1158" i="2"/>
  <c r="J1158" i="2"/>
  <c r="I1158" i="2"/>
  <c r="H1158" i="2"/>
  <c r="G1158" i="2"/>
  <c r="F1158" i="2"/>
  <c r="E1158" i="2"/>
  <c r="D1158" i="2"/>
  <c r="C1158" i="2"/>
  <c r="B1158" i="2"/>
  <c r="A1158" i="2"/>
  <c r="AX1157" i="2"/>
  <c r="AV1157" i="2"/>
  <c r="AU1157" i="2"/>
  <c r="AT1157" i="2"/>
  <c r="AS1157" i="2"/>
  <c r="AP1157" i="2"/>
  <c r="AO1157" i="2"/>
  <c r="AM1157" i="2"/>
  <c r="AK1157" i="2"/>
  <c r="AJ1157" i="2"/>
  <c r="AI1157" i="2"/>
  <c r="AH1157" i="2"/>
  <c r="AG1157" i="2"/>
  <c r="AE1157" i="2"/>
  <c r="AD1157" i="2"/>
  <c r="AC1157" i="2"/>
  <c r="AA1157" i="2"/>
  <c r="Z1157" i="2"/>
  <c r="Y1157" i="2"/>
  <c r="X1157" i="2"/>
  <c r="W1157" i="2"/>
  <c r="V1157" i="2"/>
  <c r="U1157" i="2"/>
  <c r="T1157" i="2"/>
  <c r="S1157" i="2"/>
  <c r="R1157" i="2"/>
  <c r="Q1157" i="2"/>
  <c r="P1157" i="2"/>
  <c r="O1157" i="2"/>
  <c r="N1157" i="2"/>
  <c r="M1157" i="2"/>
  <c r="L1157" i="2"/>
  <c r="K1157" i="2"/>
  <c r="J1157" i="2"/>
  <c r="I1157" i="2"/>
  <c r="H1157" i="2"/>
  <c r="G1157" i="2"/>
  <c r="F1157" i="2"/>
  <c r="E1157" i="2"/>
  <c r="D1157" i="2"/>
  <c r="C1157" i="2"/>
  <c r="B1157" i="2"/>
  <c r="A1157" i="2"/>
  <c r="AX1156" i="2"/>
  <c r="AV1156" i="2"/>
  <c r="AU1156" i="2"/>
  <c r="AT1156" i="2"/>
  <c r="AS1156" i="2"/>
  <c r="AR1156" i="2"/>
  <c r="AO1156" i="2"/>
  <c r="AM1156" i="2"/>
  <c r="AK1156" i="2"/>
  <c r="AJ1156" i="2"/>
  <c r="AI1156" i="2"/>
  <c r="AH1156" i="2"/>
  <c r="AG1156" i="2"/>
  <c r="AE1156" i="2"/>
  <c r="AD1156" i="2"/>
  <c r="AC1156" i="2"/>
  <c r="AA1156" i="2"/>
  <c r="Z1156" i="2"/>
  <c r="Y1156" i="2"/>
  <c r="X1156" i="2"/>
  <c r="W1156" i="2"/>
  <c r="V1156" i="2"/>
  <c r="U1156" i="2"/>
  <c r="T1156" i="2"/>
  <c r="S1156" i="2"/>
  <c r="R1156" i="2"/>
  <c r="Q1156" i="2"/>
  <c r="P1156" i="2"/>
  <c r="O1156" i="2"/>
  <c r="N1156" i="2"/>
  <c r="M1156" i="2"/>
  <c r="L1156" i="2"/>
  <c r="K1156" i="2"/>
  <c r="J1156" i="2"/>
  <c r="I1156" i="2"/>
  <c r="H1156" i="2"/>
  <c r="G1156" i="2"/>
  <c r="F1156" i="2"/>
  <c r="E1156" i="2"/>
  <c r="D1156" i="2"/>
  <c r="C1156" i="2"/>
  <c r="B1156" i="2"/>
  <c r="A1156" i="2"/>
  <c r="AX1155" i="2"/>
  <c r="AV1155" i="2"/>
  <c r="AU1155" i="2"/>
  <c r="AT1155" i="2"/>
  <c r="AR1155" i="2"/>
  <c r="AO1155" i="2"/>
  <c r="AM1155" i="2"/>
  <c r="AK1155" i="2"/>
  <c r="AJ1155" i="2"/>
  <c r="AI1155" i="2"/>
  <c r="AH1155" i="2"/>
  <c r="AG1155" i="2"/>
  <c r="AE1155" i="2"/>
  <c r="AD1155" i="2"/>
  <c r="AC1155" i="2"/>
  <c r="Z1155" i="2"/>
  <c r="Y1155" i="2"/>
  <c r="X1155" i="2"/>
  <c r="W1155" i="2"/>
  <c r="V1155" i="2"/>
  <c r="U1155" i="2"/>
  <c r="T1155" i="2"/>
  <c r="S1155" i="2"/>
  <c r="R1155" i="2"/>
  <c r="Q1155" i="2"/>
  <c r="P1155" i="2"/>
  <c r="O1155" i="2"/>
  <c r="N1155" i="2"/>
  <c r="M1155" i="2"/>
  <c r="L1155" i="2"/>
  <c r="K1155" i="2"/>
  <c r="J1155" i="2"/>
  <c r="I1155" i="2"/>
  <c r="H1155" i="2"/>
  <c r="G1155" i="2"/>
  <c r="F1155" i="2"/>
  <c r="E1155" i="2"/>
  <c r="D1155" i="2"/>
  <c r="C1155" i="2"/>
  <c r="B1155" i="2"/>
  <c r="A1155" i="2"/>
  <c r="AX1154" i="2"/>
  <c r="AV1154" i="2"/>
  <c r="AU1154" i="2"/>
  <c r="AT1154" i="2"/>
  <c r="AR1154" i="2"/>
  <c r="AO1154" i="2"/>
  <c r="AM1154" i="2"/>
  <c r="AK1154" i="2"/>
  <c r="AJ1154" i="2"/>
  <c r="AI1154" i="2"/>
  <c r="AH1154" i="2"/>
  <c r="AG1154" i="2"/>
  <c r="AE1154" i="2"/>
  <c r="AD1154" i="2"/>
  <c r="AC1154" i="2"/>
  <c r="Z1154" i="2"/>
  <c r="Y1154" i="2"/>
  <c r="X1154" i="2"/>
  <c r="W1154" i="2"/>
  <c r="V1154" i="2"/>
  <c r="U1154" i="2"/>
  <c r="T1154" i="2"/>
  <c r="S1154" i="2"/>
  <c r="R1154" i="2"/>
  <c r="Q1154" i="2"/>
  <c r="P1154" i="2"/>
  <c r="O1154" i="2"/>
  <c r="N1154" i="2"/>
  <c r="M1154" i="2"/>
  <c r="L1154" i="2"/>
  <c r="K1154" i="2"/>
  <c r="J1154" i="2"/>
  <c r="I1154" i="2"/>
  <c r="H1154" i="2"/>
  <c r="G1154" i="2"/>
  <c r="F1154" i="2"/>
  <c r="E1154" i="2"/>
  <c r="D1154" i="2"/>
  <c r="C1154" i="2"/>
  <c r="B1154" i="2"/>
  <c r="A1154" i="2"/>
  <c r="AX1153" i="2"/>
  <c r="AV1153" i="2"/>
  <c r="AU1153" i="2"/>
  <c r="AS1153" i="2"/>
  <c r="AR1153" i="2"/>
  <c r="AO1153" i="2"/>
  <c r="AM1153" i="2"/>
  <c r="AL1153" i="2"/>
  <c r="AK1153" i="2"/>
  <c r="AJ1153" i="2"/>
  <c r="AI1153" i="2"/>
  <c r="AH1153" i="2"/>
  <c r="AG1153" i="2"/>
  <c r="AF1153" i="2"/>
  <c r="AE1153" i="2"/>
  <c r="AD1153" i="2"/>
  <c r="AC1153" i="2"/>
  <c r="AA1153" i="2"/>
  <c r="Z1153" i="2"/>
  <c r="Y1153" i="2"/>
  <c r="X1153" i="2"/>
  <c r="W1153" i="2"/>
  <c r="V1153" i="2"/>
  <c r="U1153" i="2"/>
  <c r="T1153" i="2"/>
  <c r="S1153" i="2"/>
  <c r="R1153" i="2"/>
  <c r="Q1153" i="2"/>
  <c r="P1153" i="2"/>
  <c r="O1153" i="2"/>
  <c r="N1153" i="2"/>
  <c r="M1153" i="2"/>
  <c r="L1153" i="2"/>
  <c r="K1153" i="2"/>
  <c r="J1153" i="2"/>
  <c r="I1153" i="2"/>
  <c r="H1153" i="2"/>
  <c r="G1153" i="2"/>
  <c r="F1153" i="2"/>
  <c r="E1153" i="2"/>
  <c r="D1153" i="2"/>
  <c r="C1153" i="2"/>
  <c r="B1153" i="2"/>
  <c r="A1153" i="2"/>
  <c r="AX1152" i="2"/>
  <c r="AV1152" i="2"/>
  <c r="AU1152" i="2"/>
  <c r="AS1152" i="2"/>
  <c r="AR1152" i="2"/>
  <c r="AO1152" i="2"/>
  <c r="AM1152" i="2"/>
  <c r="AL1152" i="2"/>
  <c r="AK1152" i="2"/>
  <c r="AJ1152" i="2"/>
  <c r="AI1152" i="2"/>
  <c r="AH1152" i="2"/>
  <c r="AG1152" i="2"/>
  <c r="AF1152" i="2"/>
  <c r="AE1152" i="2"/>
  <c r="AD1152" i="2"/>
  <c r="AC1152" i="2"/>
  <c r="AA1152" i="2"/>
  <c r="Z1152" i="2"/>
  <c r="Y1152" i="2"/>
  <c r="X1152" i="2"/>
  <c r="W1152" i="2"/>
  <c r="V1152" i="2"/>
  <c r="U1152" i="2"/>
  <c r="T1152" i="2"/>
  <c r="S1152" i="2"/>
  <c r="R1152" i="2"/>
  <c r="Q1152" i="2"/>
  <c r="P1152" i="2"/>
  <c r="O1152" i="2"/>
  <c r="N1152" i="2"/>
  <c r="M1152" i="2"/>
  <c r="L1152" i="2"/>
  <c r="K1152" i="2"/>
  <c r="J1152" i="2"/>
  <c r="I1152" i="2"/>
  <c r="H1152" i="2"/>
  <c r="G1152" i="2"/>
  <c r="F1152" i="2"/>
  <c r="E1152" i="2"/>
  <c r="D1152" i="2"/>
  <c r="C1152" i="2"/>
  <c r="B1152" i="2"/>
  <c r="A1152" i="2"/>
  <c r="AX1151" i="2"/>
  <c r="AV1151" i="2"/>
  <c r="AU1151" i="2"/>
  <c r="AT1151" i="2"/>
  <c r="AR1151" i="2"/>
  <c r="AQ1151" i="2"/>
  <c r="AP1151" i="2"/>
  <c r="AO1151" i="2"/>
  <c r="AM1151" i="2"/>
  <c r="AK1151" i="2"/>
  <c r="AJ1151" i="2"/>
  <c r="AI1151" i="2"/>
  <c r="AH1151" i="2"/>
  <c r="AG1151" i="2"/>
  <c r="AE1151" i="2"/>
  <c r="AD1151" i="2"/>
  <c r="AC1151" i="2"/>
  <c r="Z1151" i="2"/>
  <c r="Y1151" i="2"/>
  <c r="X1151" i="2"/>
  <c r="W1151" i="2"/>
  <c r="V1151" i="2"/>
  <c r="U1151" i="2"/>
  <c r="T1151" i="2"/>
  <c r="S1151" i="2"/>
  <c r="R1151" i="2"/>
  <c r="Q1151" i="2"/>
  <c r="P1151" i="2"/>
  <c r="O1151" i="2"/>
  <c r="N1151" i="2"/>
  <c r="M1151" i="2"/>
  <c r="L1151" i="2"/>
  <c r="K1151" i="2"/>
  <c r="J1151" i="2"/>
  <c r="I1151" i="2"/>
  <c r="H1151" i="2"/>
  <c r="G1151" i="2"/>
  <c r="F1151" i="2"/>
  <c r="E1151" i="2"/>
  <c r="D1151" i="2"/>
  <c r="C1151" i="2"/>
  <c r="B1151" i="2"/>
  <c r="A1151" i="2"/>
  <c r="AX1150" i="2"/>
  <c r="AV1150" i="2"/>
  <c r="AU1150" i="2"/>
  <c r="AT1150" i="2"/>
  <c r="AS1150" i="2"/>
  <c r="AO1150" i="2"/>
  <c r="AM1150" i="2"/>
  <c r="AK1150" i="2"/>
  <c r="AJ1150" i="2"/>
  <c r="AI1150" i="2"/>
  <c r="AH1150" i="2"/>
  <c r="AG1150" i="2"/>
  <c r="AE1150" i="2"/>
  <c r="AD1150" i="2"/>
  <c r="AC1150" i="2"/>
  <c r="Z1150" i="2"/>
  <c r="Y1150" i="2"/>
  <c r="X1150" i="2"/>
  <c r="W1150" i="2"/>
  <c r="V1150" i="2"/>
  <c r="U1150" i="2"/>
  <c r="T1150" i="2"/>
  <c r="S1150" i="2"/>
  <c r="R1150" i="2"/>
  <c r="Q1150" i="2"/>
  <c r="P1150" i="2"/>
  <c r="O1150" i="2"/>
  <c r="N1150" i="2"/>
  <c r="M1150" i="2"/>
  <c r="L1150" i="2"/>
  <c r="K1150" i="2"/>
  <c r="J1150" i="2"/>
  <c r="I1150" i="2"/>
  <c r="H1150" i="2"/>
  <c r="G1150" i="2"/>
  <c r="F1150" i="2"/>
  <c r="E1150" i="2"/>
  <c r="D1150" i="2"/>
  <c r="C1150" i="2"/>
  <c r="B1150" i="2"/>
  <c r="A1150" i="2"/>
  <c r="AX1149" i="2"/>
  <c r="AV1149" i="2"/>
  <c r="AU1149" i="2"/>
  <c r="AT1149" i="2"/>
  <c r="AS1149" i="2"/>
  <c r="AR1149" i="2"/>
  <c r="AO1149" i="2"/>
  <c r="AM1149" i="2"/>
  <c r="AL1149" i="2"/>
  <c r="AK1149" i="2"/>
  <c r="AJ1149" i="2"/>
  <c r="AI1149" i="2"/>
  <c r="AH1149" i="2"/>
  <c r="AG1149" i="2"/>
  <c r="AF1149" i="2"/>
  <c r="AE1149" i="2"/>
  <c r="AD1149" i="2"/>
  <c r="AC1149" i="2"/>
  <c r="AA1149" i="2"/>
  <c r="Z1149" i="2"/>
  <c r="Y1149" i="2"/>
  <c r="X1149" i="2"/>
  <c r="W1149" i="2"/>
  <c r="V1149" i="2"/>
  <c r="U1149" i="2"/>
  <c r="T1149" i="2"/>
  <c r="S1149" i="2"/>
  <c r="R1149" i="2"/>
  <c r="Q1149" i="2"/>
  <c r="P1149" i="2"/>
  <c r="O1149" i="2"/>
  <c r="N1149" i="2"/>
  <c r="M1149" i="2"/>
  <c r="L1149" i="2"/>
  <c r="K1149" i="2"/>
  <c r="J1149" i="2"/>
  <c r="I1149" i="2"/>
  <c r="H1149" i="2"/>
  <c r="G1149" i="2"/>
  <c r="F1149" i="2"/>
  <c r="E1149" i="2"/>
  <c r="D1149" i="2"/>
  <c r="C1149" i="2"/>
  <c r="B1149" i="2"/>
  <c r="A1149" i="2"/>
  <c r="AX1148" i="2"/>
  <c r="AV1148" i="2"/>
  <c r="AU1148" i="2"/>
  <c r="AS1148" i="2"/>
  <c r="AR1148" i="2"/>
  <c r="AO1148" i="2"/>
  <c r="AM1148" i="2"/>
  <c r="AK1148" i="2"/>
  <c r="AJ1148" i="2"/>
  <c r="AI1148" i="2"/>
  <c r="AH1148" i="2"/>
  <c r="AG1148" i="2"/>
  <c r="AE1148" i="2"/>
  <c r="AC1148" i="2"/>
  <c r="Z1148" i="2"/>
  <c r="Y1148" i="2"/>
  <c r="X1148" i="2"/>
  <c r="W1148" i="2"/>
  <c r="V1148" i="2"/>
  <c r="U1148" i="2"/>
  <c r="T1148" i="2"/>
  <c r="S1148" i="2"/>
  <c r="R1148" i="2"/>
  <c r="Q1148" i="2"/>
  <c r="P1148" i="2"/>
  <c r="O1148" i="2"/>
  <c r="N1148" i="2"/>
  <c r="M1148" i="2"/>
  <c r="L1148" i="2"/>
  <c r="K1148" i="2"/>
  <c r="J1148" i="2"/>
  <c r="I1148" i="2"/>
  <c r="H1148" i="2"/>
  <c r="G1148" i="2"/>
  <c r="F1148" i="2"/>
  <c r="E1148" i="2"/>
  <c r="D1148" i="2"/>
  <c r="C1148" i="2"/>
  <c r="B1148" i="2"/>
  <c r="A1148" i="2"/>
  <c r="AX1147" i="2"/>
  <c r="AV1147" i="2"/>
  <c r="AU1147" i="2"/>
  <c r="AS1147" i="2"/>
  <c r="AO1147" i="2"/>
  <c r="AM1147" i="2"/>
  <c r="AL1147" i="2"/>
  <c r="AK1147" i="2"/>
  <c r="AJ1147" i="2"/>
  <c r="AI1147" i="2"/>
  <c r="AH1147" i="2"/>
  <c r="AG1147" i="2"/>
  <c r="AE1147" i="2"/>
  <c r="AD1147" i="2"/>
  <c r="AC1147" i="2"/>
  <c r="AA1147" i="2"/>
  <c r="Z1147" i="2"/>
  <c r="Y1147" i="2"/>
  <c r="X1147" i="2"/>
  <c r="W1147" i="2"/>
  <c r="V1147" i="2"/>
  <c r="U1147" i="2"/>
  <c r="T1147" i="2"/>
  <c r="S1147" i="2"/>
  <c r="R1147" i="2"/>
  <c r="Q1147" i="2"/>
  <c r="P1147" i="2"/>
  <c r="O1147" i="2"/>
  <c r="N1147" i="2"/>
  <c r="M1147" i="2"/>
  <c r="L1147" i="2"/>
  <c r="K1147" i="2"/>
  <c r="J1147" i="2"/>
  <c r="I1147" i="2"/>
  <c r="H1147" i="2"/>
  <c r="G1147" i="2"/>
  <c r="F1147" i="2"/>
  <c r="E1147" i="2"/>
  <c r="D1147" i="2"/>
  <c r="C1147" i="2"/>
  <c r="B1147" i="2"/>
  <c r="A1147" i="2"/>
  <c r="AX1146" i="2"/>
  <c r="AV1146" i="2"/>
  <c r="AU1146" i="2"/>
  <c r="AS1146" i="2"/>
  <c r="AR1146" i="2"/>
  <c r="AO1146" i="2"/>
  <c r="AM1146" i="2"/>
  <c r="AL1146" i="2"/>
  <c r="AK1146" i="2"/>
  <c r="AJ1146" i="2"/>
  <c r="AI1146" i="2"/>
  <c r="AH1146" i="2"/>
  <c r="AG1146" i="2"/>
  <c r="AE1146" i="2"/>
  <c r="AD1146" i="2"/>
  <c r="AC1146" i="2"/>
  <c r="AA1146" i="2"/>
  <c r="Z1146" i="2"/>
  <c r="Y1146" i="2"/>
  <c r="X1146" i="2"/>
  <c r="W1146" i="2"/>
  <c r="V1146" i="2"/>
  <c r="U1146" i="2"/>
  <c r="T1146" i="2"/>
  <c r="S1146" i="2"/>
  <c r="R1146" i="2"/>
  <c r="Q1146" i="2"/>
  <c r="P1146" i="2"/>
  <c r="O1146" i="2"/>
  <c r="N1146" i="2"/>
  <c r="M1146" i="2"/>
  <c r="L1146" i="2"/>
  <c r="K1146" i="2"/>
  <c r="J1146" i="2"/>
  <c r="I1146" i="2"/>
  <c r="H1146" i="2"/>
  <c r="G1146" i="2"/>
  <c r="F1146" i="2"/>
  <c r="E1146" i="2"/>
  <c r="D1146" i="2"/>
  <c r="C1146" i="2"/>
  <c r="B1146" i="2"/>
  <c r="A1146" i="2"/>
  <c r="AX1145" i="2"/>
  <c r="AV1145" i="2"/>
  <c r="AU1145" i="2"/>
  <c r="AR1145" i="2"/>
  <c r="AO1145" i="2"/>
  <c r="AM1145" i="2"/>
  <c r="AL1145" i="2"/>
  <c r="AK1145" i="2"/>
  <c r="AJ1145" i="2"/>
  <c r="AI1145" i="2"/>
  <c r="AH1145" i="2"/>
  <c r="AG1145" i="2"/>
  <c r="AE1145" i="2"/>
  <c r="AC1145" i="2"/>
  <c r="Z1145" i="2"/>
  <c r="Y1145" i="2"/>
  <c r="X1145" i="2"/>
  <c r="W1145" i="2"/>
  <c r="V1145" i="2"/>
  <c r="U1145" i="2"/>
  <c r="T1145" i="2"/>
  <c r="S1145" i="2"/>
  <c r="R1145" i="2"/>
  <c r="Q1145" i="2"/>
  <c r="P1145" i="2"/>
  <c r="O1145" i="2"/>
  <c r="N1145" i="2"/>
  <c r="M1145" i="2"/>
  <c r="L1145" i="2"/>
  <c r="K1145" i="2"/>
  <c r="J1145" i="2"/>
  <c r="I1145" i="2"/>
  <c r="H1145" i="2"/>
  <c r="G1145" i="2"/>
  <c r="F1145" i="2"/>
  <c r="E1145" i="2"/>
  <c r="D1145" i="2"/>
  <c r="C1145" i="2"/>
  <c r="B1145" i="2"/>
  <c r="A1145" i="2"/>
  <c r="AX1144" i="2"/>
  <c r="AV1144" i="2"/>
  <c r="AU1144" i="2"/>
  <c r="AT1144" i="2"/>
  <c r="AR1144" i="2"/>
  <c r="AQ1144" i="2"/>
  <c r="AP1144" i="2"/>
  <c r="AO1144" i="2"/>
  <c r="AM1144" i="2"/>
  <c r="AK1144" i="2"/>
  <c r="AJ1144" i="2"/>
  <c r="AI1144" i="2"/>
  <c r="AH1144" i="2"/>
  <c r="AG1144" i="2"/>
  <c r="AE1144" i="2"/>
  <c r="AD1144" i="2"/>
  <c r="AC1144" i="2"/>
  <c r="Z1144" i="2"/>
  <c r="Y1144" i="2"/>
  <c r="X1144" i="2"/>
  <c r="W1144" i="2"/>
  <c r="V1144" i="2"/>
  <c r="U1144" i="2"/>
  <c r="T1144" i="2"/>
  <c r="S1144" i="2"/>
  <c r="R1144" i="2"/>
  <c r="Q1144" i="2"/>
  <c r="P1144" i="2"/>
  <c r="O1144" i="2"/>
  <c r="N1144" i="2"/>
  <c r="M1144" i="2"/>
  <c r="L1144" i="2"/>
  <c r="K1144" i="2"/>
  <c r="J1144" i="2"/>
  <c r="I1144" i="2"/>
  <c r="H1144" i="2"/>
  <c r="G1144" i="2"/>
  <c r="F1144" i="2"/>
  <c r="E1144" i="2"/>
  <c r="D1144" i="2"/>
  <c r="C1144" i="2"/>
  <c r="B1144" i="2"/>
  <c r="A1144" i="2"/>
  <c r="AX1143" i="2"/>
  <c r="AV1143" i="2"/>
  <c r="AU1143" i="2"/>
  <c r="AS1143" i="2"/>
  <c r="AR1143" i="2"/>
  <c r="AO1143" i="2"/>
  <c r="AM1143" i="2"/>
  <c r="AL1143" i="2"/>
  <c r="AK1143" i="2"/>
  <c r="AJ1143" i="2"/>
  <c r="AI1143" i="2"/>
  <c r="AH1143" i="2"/>
  <c r="AG1143" i="2"/>
  <c r="AE1143" i="2"/>
  <c r="AD1143" i="2"/>
  <c r="AC1143" i="2"/>
  <c r="AA1143" i="2"/>
  <c r="Z1143" i="2"/>
  <c r="Y1143" i="2"/>
  <c r="X1143" i="2"/>
  <c r="W1143" i="2"/>
  <c r="V1143" i="2"/>
  <c r="U1143" i="2"/>
  <c r="T1143" i="2"/>
  <c r="S1143" i="2"/>
  <c r="R1143" i="2"/>
  <c r="Q1143" i="2"/>
  <c r="P1143" i="2"/>
  <c r="O1143" i="2"/>
  <c r="N1143" i="2"/>
  <c r="M1143" i="2"/>
  <c r="L1143" i="2"/>
  <c r="K1143" i="2"/>
  <c r="J1143" i="2"/>
  <c r="I1143" i="2"/>
  <c r="H1143" i="2"/>
  <c r="G1143" i="2"/>
  <c r="F1143" i="2"/>
  <c r="E1143" i="2"/>
  <c r="D1143" i="2"/>
  <c r="C1143" i="2"/>
  <c r="B1143" i="2"/>
  <c r="A1143" i="2"/>
  <c r="AX1142" i="2"/>
  <c r="AV1142" i="2"/>
  <c r="AU1142" i="2"/>
  <c r="AT1142" i="2"/>
  <c r="AS1142" i="2"/>
  <c r="AP1142" i="2"/>
  <c r="AO1142" i="2"/>
  <c r="AM1142" i="2"/>
  <c r="AK1142" i="2"/>
  <c r="AJ1142" i="2"/>
  <c r="AI1142" i="2"/>
  <c r="AH1142" i="2"/>
  <c r="AG1142" i="2"/>
  <c r="AE1142" i="2"/>
  <c r="AD1142" i="2"/>
  <c r="AC1142" i="2"/>
  <c r="Z1142" i="2"/>
  <c r="Y1142" i="2"/>
  <c r="X1142" i="2"/>
  <c r="W1142" i="2"/>
  <c r="V1142" i="2"/>
  <c r="U1142" i="2"/>
  <c r="T1142" i="2"/>
  <c r="S1142" i="2"/>
  <c r="R1142" i="2"/>
  <c r="Q1142" i="2"/>
  <c r="P1142" i="2"/>
  <c r="O1142" i="2"/>
  <c r="N1142" i="2"/>
  <c r="M1142" i="2"/>
  <c r="L1142" i="2"/>
  <c r="K1142" i="2"/>
  <c r="J1142" i="2"/>
  <c r="I1142" i="2"/>
  <c r="H1142" i="2"/>
  <c r="G1142" i="2"/>
  <c r="F1142" i="2"/>
  <c r="E1142" i="2"/>
  <c r="D1142" i="2"/>
  <c r="C1142" i="2"/>
  <c r="B1142" i="2"/>
  <c r="A1142" i="2"/>
  <c r="AX1141" i="2"/>
  <c r="AV1141" i="2"/>
  <c r="AU1141" i="2"/>
  <c r="AT1141" i="2"/>
  <c r="AS1141" i="2"/>
  <c r="AR1141" i="2"/>
  <c r="AO1141" i="2"/>
  <c r="AM1141" i="2"/>
  <c r="AK1141" i="2"/>
  <c r="AJ1141" i="2"/>
  <c r="AI1141" i="2"/>
  <c r="AH1141" i="2"/>
  <c r="AG1141" i="2"/>
  <c r="AE1141" i="2"/>
  <c r="AC1141" i="2"/>
  <c r="AA1141" i="2"/>
  <c r="Z1141" i="2"/>
  <c r="Y1141" i="2"/>
  <c r="X1141" i="2"/>
  <c r="W1141" i="2"/>
  <c r="V1141" i="2"/>
  <c r="U1141" i="2"/>
  <c r="T1141" i="2"/>
  <c r="S1141" i="2"/>
  <c r="R1141" i="2"/>
  <c r="Q1141" i="2"/>
  <c r="P1141" i="2"/>
  <c r="O1141" i="2"/>
  <c r="N1141" i="2"/>
  <c r="M1141" i="2"/>
  <c r="L1141" i="2"/>
  <c r="K1141" i="2"/>
  <c r="J1141" i="2"/>
  <c r="I1141" i="2"/>
  <c r="H1141" i="2"/>
  <c r="G1141" i="2"/>
  <c r="F1141" i="2"/>
  <c r="E1141" i="2"/>
  <c r="D1141" i="2"/>
  <c r="C1141" i="2"/>
  <c r="B1141" i="2"/>
  <c r="A1141" i="2"/>
  <c r="AX1140" i="2"/>
  <c r="AV1140" i="2"/>
  <c r="AU1140" i="2"/>
  <c r="AS1140" i="2"/>
  <c r="AR1140" i="2"/>
  <c r="AO1140" i="2"/>
  <c r="AM1140" i="2"/>
  <c r="AK1140" i="2"/>
  <c r="AJ1140" i="2"/>
  <c r="AI1140" i="2"/>
  <c r="AH1140" i="2"/>
  <c r="AG1140" i="2"/>
  <c r="AE1140" i="2"/>
  <c r="AD1140" i="2"/>
  <c r="AC1140" i="2"/>
  <c r="AA1140" i="2"/>
  <c r="Z1140" i="2"/>
  <c r="Y1140" i="2"/>
  <c r="X1140" i="2"/>
  <c r="W1140" i="2"/>
  <c r="V1140" i="2"/>
  <c r="U1140" i="2"/>
  <c r="T1140" i="2"/>
  <c r="S1140" i="2"/>
  <c r="R1140" i="2"/>
  <c r="Q1140" i="2"/>
  <c r="P1140" i="2"/>
  <c r="O1140" i="2"/>
  <c r="N1140" i="2"/>
  <c r="M1140" i="2"/>
  <c r="L1140" i="2"/>
  <c r="K1140" i="2"/>
  <c r="J1140" i="2"/>
  <c r="I1140" i="2"/>
  <c r="H1140" i="2"/>
  <c r="G1140" i="2"/>
  <c r="F1140" i="2"/>
  <c r="E1140" i="2"/>
  <c r="D1140" i="2"/>
  <c r="C1140" i="2"/>
  <c r="B1140" i="2"/>
  <c r="A1140" i="2"/>
  <c r="AX1139" i="2"/>
  <c r="AV1139" i="2"/>
  <c r="AU1139" i="2"/>
  <c r="AT1139" i="2"/>
  <c r="AR1139" i="2"/>
  <c r="AP1139" i="2"/>
  <c r="AO1139" i="2"/>
  <c r="AM1139" i="2"/>
  <c r="AK1139" i="2"/>
  <c r="AJ1139" i="2"/>
  <c r="AI1139" i="2"/>
  <c r="AH1139" i="2"/>
  <c r="AG1139" i="2"/>
  <c r="AF1139" i="2"/>
  <c r="AE1139" i="2"/>
  <c r="AD1139" i="2"/>
  <c r="AC1139" i="2"/>
  <c r="AA1139" i="2"/>
  <c r="Z1139" i="2"/>
  <c r="Y1139" i="2"/>
  <c r="X1139" i="2"/>
  <c r="W1139" i="2"/>
  <c r="V1139" i="2"/>
  <c r="U1139" i="2"/>
  <c r="T1139" i="2"/>
  <c r="S1139" i="2"/>
  <c r="R1139" i="2"/>
  <c r="Q1139" i="2"/>
  <c r="P1139" i="2"/>
  <c r="O1139" i="2"/>
  <c r="N1139" i="2"/>
  <c r="M1139" i="2"/>
  <c r="L1139" i="2"/>
  <c r="K1139" i="2"/>
  <c r="J1139" i="2"/>
  <c r="I1139" i="2"/>
  <c r="H1139" i="2"/>
  <c r="G1139" i="2"/>
  <c r="F1139" i="2"/>
  <c r="E1139" i="2"/>
  <c r="D1139" i="2"/>
  <c r="C1139" i="2"/>
  <c r="B1139" i="2"/>
  <c r="A1139" i="2"/>
  <c r="AX1138" i="2"/>
  <c r="AV1138" i="2"/>
  <c r="AU1138" i="2"/>
  <c r="AR1138" i="2"/>
  <c r="AO1138" i="2"/>
  <c r="AM1138" i="2"/>
  <c r="AK1138" i="2"/>
  <c r="AJ1138" i="2"/>
  <c r="AI1138" i="2"/>
  <c r="AH1138" i="2"/>
  <c r="AG1138" i="2"/>
  <c r="AC1138" i="2"/>
  <c r="Z1138" i="2"/>
  <c r="Y1138" i="2"/>
  <c r="X1138" i="2"/>
  <c r="W1138" i="2"/>
  <c r="V1138" i="2"/>
  <c r="U1138" i="2"/>
  <c r="T1138" i="2"/>
  <c r="S1138" i="2"/>
  <c r="R1138" i="2"/>
  <c r="Q1138" i="2"/>
  <c r="P1138" i="2"/>
  <c r="O1138" i="2"/>
  <c r="N1138" i="2"/>
  <c r="M1138" i="2"/>
  <c r="L1138" i="2"/>
  <c r="K1138" i="2"/>
  <c r="J1138" i="2"/>
  <c r="I1138" i="2"/>
  <c r="H1138" i="2"/>
  <c r="G1138" i="2"/>
  <c r="F1138" i="2"/>
  <c r="E1138" i="2"/>
  <c r="D1138" i="2"/>
  <c r="C1138" i="2"/>
  <c r="B1138" i="2"/>
  <c r="A1138" i="2"/>
  <c r="AX1137" i="2"/>
  <c r="AV1137" i="2"/>
  <c r="AU1137" i="2"/>
  <c r="AT1137" i="2"/>
  <c r="AS1137" i="2"/>
  <c r="AR1137" i="2"/>
  <c r="AO1137" i="2"/>
  <c r="AM1137" i="2"/>
  <c r="AL1137" i="2"/>
  <c r="AK1137" i="2"/>
  <c r="AJ1137" i="2"/>
  <c r="AI1137" i="2"/>
  <c r="AH1137" i="2"/>
  <c r="AG1137" i="2"/>
  <c r="AE1137" i="2"/>
  <c r="AD1137" i="2"/>
  <c r="AC1137" i="2"/>
  <c r="AA1137" i="2"/>
  <c r="Z1137" i="2"/>
  <c r="Y1137" i="2"/>
  <c r="X1137" i="2"/>
  <c r="W1137" i="2"/>
  <c r="V1137" i="2"/>
  <c r="U1137" i="2"/>
  <c r="T1137" i="2"/>
  <c r="S1137" i="2"/>
  <c r="R1137" i="2"/>
  <c r="Q1137" i="2"/>
  <c r="P1137" i="2"/>
  <c r="O1137" i="2"/>
  <c r="N1137" i="2"/>
  <c r="M1137" i="2"/>
  <c r="L1137" i="2"/>
  <c r="K1137" i="2"/>
  <c r="J1137" i="2"/>
  <c r="I1137" i="2"/>
  <c r="H1137" i="2"/>
  <c r="G1137" i="2"/>
  <c r="F1137" i="2"/>
  <c r="E1137" i="2"/>
  <c r="D1137" i="2"/>
  <c r="C1137" i="2"/>
  <c r="B1137" i="2"/>
  <c r="A1137" i="2"/>
  <c r="AX1136" i="2"/>
  <c r="AV1136" i="2"/>
  <c r="AU1136" i="2"/>
  <c r="AS1136" i="2"/>
  <c r="AR1136" i="2"/>
  <c r="AP1136" i="2"/>
  <c r="AO1136" i="2"/>
  <c r="AM1136" i="2"/>
  <c r="AL1136" i="2"/>
  <c r="AK1136" i="2"/>
  <c r="AJ1136" i="2"/>
  <c r="AI1136" i="2"/>
  <c r="AH1136" i="2"/>
  <c r="AG1136" i="2"/>
  <c r="AE1136" i="2"/>
  <c r="AD1136" i="2"/>
  <c r="AC1136" i="2"/>
  <c r="AA1136" i="2"/>
  <c r="Z1136" i="2"/>
  <c r="Y1136" i="2"/>
  <c r="X1136" i="2"/>
  <c r="W1136" i="2"/>
  <c r="V1136" i="2"/>
  <c r="U1136" i="2"/>
  <c r="T1136" i="2"/>
  <c r="S1136" i="2"/>
  <c r="R1136" i="2"/>
  <c r="Q1136" i="2"/>
  <c r="P1136" i="2"/>
  <c r="O1136" i="2"/>
  <c r="N1136" i="2"/>
  <c r="M1136" i="2"/>
  <c r="L1136" i="2"/>
  <c r="K1136" i="2"/>
  <c r="J1136" i="2"/>
  <c r="I1136" i="2"/>
  <c r="H1136" i="2"/>
  <c r="G1136" i="2"/>
  <c r="F1136" i="2"/>
  <c r="E1136" i="2"/>
  <c r="D1136" i="2"/>
  <c r="C1136" i="2"/>
  <c r="B1136" i="2"/>
  <c r="A1136" i="2"/>
  <c r="AX1135" i="2"/>
  <c r="AV1135" i="2"/>
  <c r="AU1135" i="2"/>
  <c r="AS1135" i="2"/>
  <c r="AR1135" i="2"/>
  <c r="AO1135" i="2"/>
  <c r="AM1135" i="2"/>
  <c r="AL1135" i="2"/>
  <c r="AK1135" i="2"/>
  <c r="AJ1135" i="2"/>
  <c r="AI1135" i="2"/>
  <c r="AH1135" i="2"/>
  <c r="AG1135" i="2"/>
  <c r="AF1135" i="2"/>
  <c r="AE1135" i="2"/>
  <c r="AD1135" i="2"/>
  <c r="AC1135" i="2"/>
  <c r="AA1135" i="2"/>
  <c r="Z1135" i="2"/>
  <c r="Y1135" i="2"/>
  <c r="X1135" i="2"/>
  <c r="W1135" i="2"/>
  <c r="V1135" i="2"/>
  <c r="U1135" i="2"/>
  <c r="T1135" i="2"/>
  <c r="S1135" i="2"/>
  <c r="R1135" i="2"/>
  <c r="Q1135" i="2"/>
  <c r="P1135" i="2"/>
  <c r="O1135" i="2"/>
  <c r="N1135" i="2"/>
  <c r="M1135" i="2"/>
  <c r="L1135" i="2"/>
  <c r="K1135" i="2"/>
  <c r="J1135" i="2"/>
  <c r="I1135" i="2"/>
  <c r="H1135" i="2"/>
  <c r="G1135" i="2"/>
  <c r="F1135" i="2"/>
  <c r="E1135" i="2"/>
  <c r="D1135" i="2"/>
  <c r="C1135" i="2"/>
  <c r="B1135" i="2"/>
  <c r="A1135" i="2"/>
  <c r="AX1134" i="2"/>
  <c r="AV1134" i="2"/>
  <c r="AU1134" i="2"/>
  <c r="AR1134" i="2"/>
  <c r="AM1134" i="2"/>
  <c r="AJ1134" i="2"/>
  <c r="AI1134" i="2"/>
  <c r="AH1134" i="2"/>
  <c r="AG1134" i="2"/>
  <c r="AE1134" i="2"/>
  <c r="AC1134" i="2"/>
  <c r="Z1134" i="2"/>
  <c r="Y1134" i="2"/>
  <c r="X1134" i="2"/>
  <c r="W1134" i="2"/>
  <c r="V1134" i="2"/>
  <c r="U1134" i="2"/>
  <c r="T1134" i="2"/>
  <c r="S1134" i="2"/>
  <c r="R1134" i="2"/>
  <c r="Q1134" i="2"/>
  <c r="P1134" i="2"/>
  <c r="O1134" i="2"/>
  <c r="N1134" i="2"/>
  <c r="M1134" i="2"/>
  <c r="L1134" i="2"/>
  <c r="K1134" i="2"/>
  <c r="J1134" i="2"/>
  <c r="I1134" i="2"/>
  <c r="H1134" i="2"/>
  <c r="G1134" i="2"/>
  <c r="F1134" i="2"/>
  <c r="E1134" i="2"/>
  <c r="D1134" i="2"/>
  <c r="C1134" i="2"/>
  <c r="B1134" i="2"/>
  <c r="A1134" i="2"/>
  <c r="AX1133" i="2"/>
  <c r="AV1133" i="2"/>
  <c r="AU1133" i="2"/>
  <c r="AS1133" i="2"/>
  <c r="AR1133" i="2"/>
  <c r="AO1133" i="2"/>
  <c r="AM1133" i="2"/>
  <c r="AK1133" i="2"/>
  <c r="AJ1133" i="2"/>
  <c r="AI1133" i="2"/>
  <c r="AH1133" i="2"/>
  <c r="AG1133" i="2"/>
  <c r="AF1133" i="2"/>
  <c r="AE1133" i="2"/>
  <c r="AD1133" i="2"/>
  <c r="AC1133" i="2"/>
  <c r="AA1133" i="2"/>
  <c r="Z1133" i="2"/>
  <c r="Y1133" i="2"/>
  <c r="X1133" i="2"/>
  <c r="W1133" i="2"/>
  <c r="V1133" i="2"/>
  <c r="U1133" i="2"/>
  <c r="T1133" i="2"/>
  <c r="S1133" i="2"/>
  <c r="R1133" i="2"/>
  <c r="Q1133" i="2"/>
  <c r="P1133" i="2"/>
  <c r="O1133" i="2"/>
  <c r="N1133" i="2"/>
  <c r="M1133" i="2"/>
  <c r="L1133" i="2"/>
  <c r="K1133" i="2"/>
  <c r="J1133" i="2"/>
  <c r="I1133" i="2"/>
  <c r="H1133" i="2"/>
  <c r="G1133" i="2"/>
  <c r="F1133" i="2"/>
  <c r="E1133" i="2"/>
  <c r="D1133" i="2"/>
  <c r="C1133" i="2"/>
  <c r="B1133" i="2"/>
  <c r="A1133" i="2"/>
  <c r="AX1132" i="2"/>
  <c r="AV1132" i="2"/>
  <c r="AU1132" i="2"/>
  <c r="AS1132" i="2"/>
  <c r="AR1132" i="2"/>
  <c r="AO1132" i="2"/>
  <c r="AM1132" i="2"/>
  <c r="AL1132" i="2"/>
  <c r="AK1132" i="2"/>
  <c r="AJ1132" i="2"/>
  <c r="AI1132" i="2"/>
  <c r="AH1132" i="2"/>
  <c r="AG1132" i="2"/>
  <c r="AE1132" i="2"/>
  <c r="AD1132" i="2"/>
  <c r="AC1132" i="2"/>
  <c r="AA1132" i="2"/>
  <c r="Z1132" i="2"/>
  <c r="Y1132" i="2"/>
  <c r="X1132" i="2"/>
  <c r="W1132" i="2"/>
  <c r="V1132" i="2"/>
  <c r="U1132" i="2"/>
  <c r="T1132" i="2"/>
  <c r="S1132" i="2"/>
  <c r="R1132" i="2"/>
  <c r="Q1132" i="2"/>
  <c r="P1132" i="2"/>
  <c r="O1132" i="2"/>
  <c r="N1132" i="2"/>
  <c r="M1132" i="2"/>
  <c r="L1132" i="2"/>
  <c r="K1132" i="2"/>
  <c r="J1132" i="2"/>
  <c r="I1132" i="2"/>
  <c r="H1132" i="2"/>
  <c r="G1132" i="2"/>
  <c r="F1132" i="2"/>
  <c r="E1132" i="2"/>
  <c r="D1132" i="2"/>
  <c r="C1132" i="2"/>
  <c r="B1132" i="2"/>
  <c r="A1132" i="2"/>
  <c r="AX1131" i="2"/>
  <c r="AV1131" i="2"/>
  <c r="AU1131" i="2"/>
  <c r="AS1131" i="2"/>
  <c r="AR1131" i="2"/>
  <c r="AO1131" i="2"/>
  <c r="AM1131" i="2"/>
  <c r="AK1131" i="2"/>
  <c r="AJ1131" i="2"/>
  <c r="AI1131" i="2"/>
  <c r="AH1131" i="2"/>
  <c r="AG1131" i="2"/>
  <c r="AE1131" i="2"/>
  <c r="AD1131" i="2"/>
  <c r="AC1131" i="2"/>
  <c r="AA1131" i="2"/>
  <c r="Z1131" i="2"/>
  <c r="Y1131" i="2"/>
  <c r="X1131" i="2"/>
  <c r="W1131" i="2"/>
  <c r="V1131" i="2"/>
  <c r="U1131" i="2"/>
  <c r="T1131" i="2"/>
  <c r="S1131" i="2"/>
  <c r="R1131" i="2"/>
  <c r="Q1131" i="2"/>
  <c r="P1131" i="2"/>
  <c r="O1131" i="2"/>
  <c r="N1131" i="2"/>
  <c r="M1131" i="2"/>
  <c r="L1131" i="2"/>
  <c r="K1131" i="2"/>
  <c r="J1131" i="2"/>
  <c r="I1131" i="2"/>
  <c r="H1131" i="2"/>
  <c r="G1131" i="2"/>
  <c r="F1131" i="2"/>
  <c r="E1131" i="2"/>
  <c r="D1131" i="2"/>
  <c r="C1131" i="2"/>
  <c r="B1131" i="2"/>
  <c r="A1131" i="2"/>
  <c r="AX1130" i="2"/>
  <c r="AV1130" i="2"/>
  <c r="AU1130" i="2"/>
  <c r="AT1130" i="2"/>
  <c r="AS1130" i="2"/>
  <c r="AR1130" i="2"/>
  <c r="AP1130" i="2"/>
  <c r="AM1130" i="2"/>
  <c r="AL1130" i="2"/>
  <c r="AK1130" i="2"/>
  <c r="AJ1130" i="2"/>
  <c r="AI1130" i="2"/>
  <c r="AH1130" i="2"/>
  <c r="AG1130" i="2"/>
  <c r="AE1130" i="2"/>
  <c r="AD1130" i="2"/>
  <c r="AC1130" i="2"/>
  <c r="AA1130" i="2"/>
  <c r="Z1130" i="2"/>
  <c r="Y1130" i="2"/>
  <c r="X1130" i="2"/>
  <c r="W1130" i="2"/>
  <c r="V1130" i="2"/>
  <c r="U1130" i="2"/>
  <c r="T1130" i="2"/>
  <c r="S1130" i="2"/>
  <c r="R1130" i="2"/>
  <c r="Q1130" i="2"/>
  <c r="P1130" i="2"/>
  <c r="O1130" i="2"/>
  <c r="N1130" i="2"/>
  <c r="M1130" i="2"/>
  <c r="L1130" i="2"/>
  <c r="K1130" i="2"/>
  <c r="J1130" i="2"/>
  <c r="I1130" i="2"/>
  <c r="H1130" i="2"/>
  <c r="G1130" i="2"/>
  <c r="F1130" i="2"/>
  <c r="E1130" i="2"/>
  <c r="D1130" i="2"/>
  <c r="C1130" i="2"/>
  <c r="B1130" i="2"/>
  <c r="A1130" i="2"/>
  <c r="AX1129" i="2"/>
  <c r="AV1129" i="2"/>
  <c r="AU1129" i="2"/>
  <c r="AS1129" i="2"/>
  <c r="AR1129" i="2"/>
  <c r="AO1129" i="2"/>
  <c r="AM1129" i="2"/>
  <c r="AL1129" i="2"/>
  <c r="AK1129" i="2"/>
  <c r="AJ1129" i="2"/>
  <c r="AI1129" i="2"/>
  <c r="AH1129" i="2"/>
  <c r="AG1129" i="2"/>
  <c r="AD1129" i="2"/>
  <c r="AC1129" i="2"/>
  <c r="AA1129" i="2"/>
  <c r="Z1129" i="2"/>
  <c r="Y1129" i="2"/>
  <c r="X1129" i="2"/>
  <c r="W1129" i="2"/>
  <c r="V1129" i="2"/>
  <c r="U1129" i="2"/>
  <c r="T1129" i="2"/>
  <c r="S1129" i="2"/>
  <c r="R1129" i="2"/>
  <c r="Q1129" i="2"/>
  <c r="P1129" i="2"/>
  <c r="O1129" i="2"/>
  <c r="N1129" i="2"/>
  <c r="M1129" i="2"/>
  <c r="L1129" i="2"/>
  <c r="K1129" i="2"/>
  <c r="J1129" i="2"/>
  <c r="I1129" i="2"/>
  <c r="H1129" i="2"/>
  <c r="G1129" i="2"/>
  <c r="F1129" i="2"/>
  <c r="E1129" i="2"/>
  <c r="D1129" i="2"/>
  <c r="C1129" i="2"/>
  <c r="B1129" i="2"/>
  <c r="A1129" i="2"/>
  <c r="AX1128" i="2"/>
  <c r="AV1128" i="2"/>
  <c r="AU1128" i="2"/>
  <c r="AS1128" i="2"/>
  <c r="AR1128" i="2"/>
  <c r="AQ1128" i="2"/>
  <c r="AP1128" i="2"/>
  <c r="AM1128" i="2"/>
  <c r="AL1128" i="2"/>
  <c r="AK1128" i="2"/>
  <c r="AJ1128" i="2"/>
  <c r="AI1128" i="2"/>
  <c r="AH1128" i="2"/>
  <c r="AG1128" i="2"/>
  <c r="AE1128" i="2"/>
  <c r="AD1128" i="2"/>
  <c r="AC1128" i="2"/>
  <c r="AA1128" i="2"/>
  <c r="Z1128" i="2"/>
  <c r="Y1128" i="2"/>
  <c r="X1128" i="2"/>
  <c r="W1128" i="2"/>
  <c r="V1128" i="2"/>
  <c r="U1128" i="2"/>
  <c r="T1128" i="2"/>
  <c r="S1128" i="2"/>
  <c r="R1128" i="2"/>
  <c r="Q1128" i="2"/>
  <c r="P1128" i="2"/>
  <c r="O1128" i="2"/>
  <c r="N1128" i="2"/>
  <c r="M1128" i="2"/>
  <c r="L1128" i="2"/>
  <c r="K1128" i="2"/>
  <c r="J1128" i="2"/>
  <c r="I1128" i="2"/>
  <c r="H1128" i="2"/>
  <c r="G1128" i="2"/>
  <c r="F1128" i="2"/>
  <c r="E1128" i="2"/>
  <c r="D1128" i="2"/>
  <c r="C1128" i="2"/>
  <c r="B1128" i="2"/>
  <c r="A1128" i="2"/>
  <c r="AX1127" i="2"/>
  <c r="AV1127" i="2"/>
  <c r="AU1127" i="2"/>
  <c r="AT1127" i="2"/>
  <c r="AS1127" i="2"/>
  <c r="AO1127" i="2"/>
  <c r="AM1127" i="2"/>
  <c r="AL1127" i="2"/>
  <c r="AK1127" i="2"/>
  <c r="AJ1127" i="2"/>
  <c r="AI1127" i="2"/>
  <c r="AH1127" i="2"/>
  <c r="AG1127" i="2"/>
  <c r="AE1127" i="2"/>
  <c r="AD1127" i="2"/>
  <c r="AC1127" i="2"/>
  <c r="AA1127" i="2"/>
  <c r="Z1127" i="2"/>
  <c r="Y1127" i="2"/>
  <c r="X1127" i="2"/>
  <c r="W1127" i="2"/>
  <c r="V1127" i="2"/>
  <c r="U1127" i="2"/>
  <c r="T1127" i="2"/>
  <c r="S1127" i="2"/>
  <c r="R1127" i="2"/>
  <c r="Q1127" i="2"/>
  <c r="P1127" i="2"/>
  <c r="O1127" i="2"/>
  <c r="N1127" i="2"/>
  <c r="M1127" i="2"/>
  <c r="L1127" i="2"/>
  <c r="K1127" i="2"/>
  <c r="J1127" i="2"/>
  <c r="I1127" i="2"/>
  <c r="H1127" i="2"/>
  <c r="G1127" i="2"/>
  <c r="F1127" i="2"/>
  <c r="E1127" i="2"/>
  <c r="D1127" i="2"/>
  <c r="C1127" i="2"/>
  <c r="B1127" i="2"/>
  <c r="A1127" i="2"/>
  <c r="AX1126" i="2"/>
  <c r="AV1126" i="2"/>
  <c r="AU1126" i="2"/>
  <c r="AT1126" i="2"/>
  <c r="AS1126" i="2"/>
  <c r="AR1126" i="2"/>
  <c r="AO1126" i="2"/>
  <c r="AM1126" i="2"/>
  <c r="AL1126" i="2"/>
  <c r="AK1126" i="2"/>
  <c r="AJ1126" i="2"/>
  <c r="AI1126" i="2"/>
  <c r="AH1126" i="2"/>
  <c r="AG1126" i="2"/>
  <c r="AE1126" i="2"/>
  <c r="AD1126" i="2"/>
  <c r="AC1126" i="2"/>
  <c r="AA1126" i="2"/>
  <c r="Z1126" i="2"/>
  <c r="Y1126" i="2"/>
  <c r="X1126" i="2"/>
  <c r="W1126" i="2"/>
  <c r="V1126" i="2"/>
  <c r="U1126" i="2"/>
  <c r="T1126" i="2"/>
  <c r="S1126" i="2"/>
  <c r="R1126" i="2"/>
  <c r="Q1126" i="2"/>
  <c r="P1126" i="2"/>
  <c r="O1126" i="2"/>
  <c r="N1126" i="2"/>
  <c r="M1126" i="2"/>
  <c r="L1126" i="2"/>
  <c r="K1126" i="2"/>
  <c r="J1126" i="2"/>
  <c r="I1126" i="2"/>
  <c r="H1126" i="2"/>
  <c r="G1126" i="2"/>
  <c r="F1126" i="2"/>
  <c r="E1126" i="2"/>
  <c r="D1126" i="2"/>
  <c r="C1126" i="2"/>
  <c r="B1126" i="2"/>
  <c r="A1126" i="2"/>
  <c r="AX1125" i="2"/>
  <c r="AV1125" i="2"/>
  <c r="AU1125" i="2"/>
  <c r="AR1125" i="2"/>
  <c r="AO1125" i="2"/>
  <c r="AM1125" i="2"/>
  <c r="AK1125" i="2"/>
  <c r="AJ1125" i="2"/>
  <c r="AI1125" i="2"/>
  <c r="AH1125" i="2"/>
  <c r="AG1125" i="2"/>
  <c r="AE1125" i="2"/>
  <c r="AD1125" i="2"/>
  <c r="AC1125" i="2"/>
  <c r="Z1125" i="2"/>
  <c r="Y1125" i="2"/>
  <c r="X1125" i="2"/>
  <c r="W1125" i="2"/>
  <c r="V1125" i="2"/>
  <c r="U1125" i="2"/>
  <c r="T1125" i="2"/>
  <c r="S1125" i="2"/>
  <c r="R1125" i="2"/>
  <c r="Q1125" i="2"/>
  <c r="P1125" i="2"/>
  <c r="O1125" i="2"/>
  <c r="N1125" i="2"/>
  <c r="M1125" i="2"/>
  <c r="L1125" i="2"/>
  <c r="K1125" i="2"/>
  <c r="J1125" i="2"/>
  <c r="I1125" i="2"/>
  <c r="H1125" i="2"/>
  <c r="G1125" i="2"/>
  <c r="F1125" i="2"/>
  <c r="E1125" i="2"/>
  <c r="D1125" i="2"/>
  <c r="C1125" i="2"/>
  <c r="B1125" i="2"/>
  <c r="A1125" i="2"/>
  <c r="AX1124" i="2"/>
  <c r="AV1124" i="2"/>
  <c r="AU1124" i="2"/>
  <c r="AS1124" i="2"/>
  <c r="AR1124" i="2"/>
  <c r="AO1124" i="2"/>
  <c r="AM1124" i="2"/>
  <c r="AK1124" i="2"/>
  <c r="AJ1124" i="2"/>
  <c r="AI1124" i="2"/>
  <c r="AH1124" i="2"/>
  <c r="AG1124" i="2"/>
  <c r="AE1124" i="2"/>
  <c r="AD1124" i="2"/>
  <c r="AC1124" i="2"/>
  <c r="AA1124" i="2"/>
  <c r="Z1124" i="2"/>
  <c r="Y1124" i="2"/>
  <c r="X1124" i="2"/>
  <c r="W1124" i="2"/>
  <c r="V1124" i="2"/>
  <c r="U1124" i="2"/>
  <c r="T1124" i="2"/>
  <c r="S1124" i="2"/>
  <c r="R1124" i="2"/>
  <c r="Q1124" i="2"/>
  <c r="P1124" i="2"/>
  <c r="O1124" i="2"/>
  <c r="N1124" i="2"/>
  <c r="M1124" i="2"/>
  <c r="L1124" i="2"/>
  <c r="K1124" i="2"/>
  <c r="J1124" i="2"/>
  <c r="I1124" i="2"/>
  <c r="H1124" i="2"/>
  <c r="G1124" i="2"/>
  <c r="F1124" i="2"/>
  <c r="E1124" i="2"/>
  <c r="D1124" i="2"/>
  <c r="C1124" i="2"/>
  <c r="B1124" i="2"/>
  <c r="A1124" i="2"/>
  <c r="AX1123" i="2"/>
  <c r="AV1123" i="2"/>
  <c r="AU1123" i="2"/>
  <c r="AT1123" i="2"/>
  <c r="AS1123" i="2"/>
  <c r="AR1123" i="2"/>
  <c r="AO1123" i="2"/>
  <c r="AM1123" i="2"/>
  <c r="AL1123" i="2"/>
  <c r="AK1123" i="2"/>
  <c r="AJ1123" i="2"/>
  <c r="AI1123" i="2"/>
  <c r="AH1123" i="2"/>
  <c r="AG1123" i="2"/>
  <c r="AE1123" i="2"/>
  <c r="AC1123" i="2"/>
  <c r="Z1123" i="2"/>
  <c r="Y1123" i="2"/>
  <c r="X1123" i="2"/>
  <c r="U1123" i="2"/>
  <c r="T1123" i="2"/>
  <c r="S1123" i="2"/>
  <c r="R1123" i="2"/>
  <c r="Q1123" i="2"/>
  <c r="P1123" i="2"/>
  <c r="O1123" i="2"/>
  <c r="N1123" i="2"/>
  <c r="M1123" i="2"/>
  <c r="L1123" i="2"/>
  <c r="K1123" i="2"/>
  <c r="J1123" i="2"/>
  <c r="I1123" i="2"/>
  <c r="H1123" i="2"/>
  <c r="G1123" i="2"/>
  <c r="F1123" i="2"/>
  <c r="E1123" i="2"/>
  <c r="D1123" i="2"/>
  <c r="C1123" i="2"/>
  <c r="B1123" i="2"/>
  <c r="A1123" i="2"/>
  <c r="AX1122" i="2"/>
  <c r="AV1122" i="2"/>
  <c r="AU1122" i="2"/>
  <c r="AT1122" i="2"/>
  <c r="AS1122" i="2"/>
  <c r="AR1122" i="2"/>
  <c r="AO1122" i="2"/>
  <c r="AM1122" i="2"/>
  <c r="AL1122" i="2"/>
  <c r="AK1122" i="2"/>
  <c r="AJ1122" i="2"/>
  <c r="AI1122" i="2"/>
  <c r="AH1122" i="2"/>
  <c r="AG1122" i="2"/>
  <c r="AE1122" i="2"/>
  <c r="AD1122" i="2"/>
  <c r="AC1122" i="2"/>
  <c r="AA1122" i="2"/>
  <c r="Z1122" i="2"/>
  <c r="Y1122" i="2"/>
  <c r="X1122" i="2"/>
  <c r="W1122" i="2"/>
  <c r="V1122" i="2"/>
  <c r="U1122" i="2"/>
  <c r="T1122" i="2"/>
  <c r="S1122" i="2"/>
  <c r="R1122" i="2"/>
  <c r="Q1122" i="2"/>
  <c r="P1122" i="2"/>
  <c r="O1122" i="2"/>
  <c r="N1122" i="2"/>
  <c r="M1122" i="2"/>
  <c r="L1122" i="2"/>
  <c r="K1122" i="2"/>
  <c r="J1122" i="2"/>
  <c r="I1122" i="2"/>
  <c r="H1122" i="2"/>
  <c r="G1122" i="2"/>
  <c r="F1122" i="2"/>
  <c r="E1122" i="2"/>
  <c r="D1122" i="2"/>
  <c r="C1122" i="2"/>
  <c r="B1122" i="2"/>
  <c r="A1122" i="2"/>
  <c r="AX1121" i="2"/>
  <c r="AV1121" i="2"/>
  <c r="AU1121" i="2"/>
  <c r="AT1121" i="2"/>
  <c r="AS1121" i="2"/>
  <c r="AR1121" i="2"/>
  <c r="AQ1121" i="2"/>
  <c r="AP1121" i="2"/>
  <c r="AO1121" i="2"/>
  <c r="AM1121" i="2"/>
  <c r="AL1121" i="2"/>
  <c r="AK1121" i="2"/>
  <c r="AJ1121" i="2"/>
  <c r="AI1121" i="2"/>
  <c r="AH1121" i="2"/>
  <c r="AG1121" i="2"/>
  <c r="AE1121" i="2"/>
  <c r="AD1121" i="2"/>
  <c r="AC1121" i="2"/>
  <c r="AA1121" i="2"/>
  <c r="Z1121" i="2"/>
  <c r="Y1121" i="2"/>
  <c r="X1121" i="2"/>
  <c r="W1121" i="2"/>
  <c r="V1121" i="2"/>
  <c r="U1121" i="2"/>
  <c r="T1121" i="2"/>
  <c r="S1121" i="2"/>
  <c r="R1121" i="2"/>
  <c r="Q1121" i="2"/>
  <c r="P1121" i="2"/>
  <c r="O1121" i="2"/>
  <c r="N1121" i="2"/>
  <c r="M1121" i="2"/>
  <c r="L1121" i="2"/>
  <c r="K1121" i="2"/>
  <c r="J1121" i="2"/>
  <c r="I1121" i="2"/>
  <c r="H1121" i="2"/>
  <c r="G1121" i="2"/>
  <c r="F1121" i="2"/>
  <c r="E1121" i="2"/>
  <c r="D1121" i="2"/>
  <c r="C1121" i="2"/>
  <c r="B1121" i="2"/>
  <c r="A1121" i="2"/>
  <c r="AX1120" i="2"/>
  <c r="AV1120" i="2"/>
  <c r="AU1120" i="2"/>
  <c r="AT1120" i="2"/>
  <c r="AS1120" i="2"/>
  <c r="AR1120" i="2"/>
  <c r="AP1120" i="2"/>
  <c r="AO1120" i="2"/>
  <c r="AM1120" i="2"/>
  <c r="AL1120" i="2"/>
  <c r="AK1120" i="2"/>
  <c r="AJ1120" i="2"/>
  <c r="AI1120" i="2"/>
  <c r="AH1120" i="2"/>
  <c r="AG1120" i="2"/>
  <c r="AF1120" i="2"/>
  <c r="AE1120" i="2"/>
  <c r="AD1120" i="2"/>
  <c r="AC1120" i="2"/>
  <c r="AA1120" i="2"/>
  <c r="Z1120" i="2"/>
  <c r="Y1120" i="2"/>
  <c r="X1120" i="2"/>
  <c r="W1120" i="2"/>
  <c r="V1120" i="2"/>
  <c r="U1120" i="2"/>
  <c r="T1120" i="2"/>
  <c r="S1120" i="2"/>
  <c r="R1120" i="2"/>
  <c r="Q1120" i="2"/>
  <c r="P1120" i="2"/>
  <c r="O1120" i="2"/>
  <c r="N1120" i="2"/>
  <c r="M1120" i="2"/>
  <c r="L1120" i="2"/>
  <c r="K1120" i="2"/>
  <c r="J1120" i="2"/>
  <c r="I1120" i="2"/>
  <c r="H1120" i="2"/>
  <c r="G1120" i="2"/>
  <c r="F1120" i="2"/>
  <c r="E1120" i="2"/>
  <c r="D1120" i="2"/>
  <c r="C1120" i="2"/>
  <c r="B1120" i="2"/>
  <c r="A1120" i="2"/>
  <c r="AX1119" i="2"/>
  <c r="AV1119" i="2"/>
  <c r="AU1119" i="2"/>
  <c r="AT1119" i="2"/>
  <c r="AS1119" i="2"/>
  <c r="AP1119" i="2"/>
  <c r="AO1119" i="2"/>
  <c r="AM1119" i="2"/>
  <c r="AK1119" i="2"/>
  <c r="AJ1119" i="2"/>
  <c r="AI1119" i="2"/>
  <c r="AH1119" i="2"/>
  <c r="AG1119" i="2"/>
  <c r="AF1119" i="2"/>
  <c r="AE1119" i="2"/>
  <c r="AD1119" i="2"/>
  <c r="AC1119" i="2"/>
  <c r="AA1119" i="2"/>
  <c r="Z1119" i="2"/>
  <c r="Y1119" i="2"/>
  <c r="X1119" i="2"/>
  <c r="W1119" i="2"/>
  <c r="V1119" i="2"/>
  <c r="U1119" i="2"/>
  <c r="T1119" i="2"/>
  <c r="S1119" i="2"/>
  <c r="R1119" i="2"/>
  <c r="Q1119" i="2"/>
  <c r="P1119" i="2"/>
  <c r="O1119" i="2"/>
  <c r="N1119" i="2"/>
  <c r="M1119" i="2"/>
  <c r="L1119" i="2"/>
  <c r="K1119" i="2"/>
  <c r="J1119" i="2"/>
  <c r="I1119" i="2"/>
  <c r="H1119" i="2"/>
  <c r="G1119" i="2"/>
  <c r="F1119" i="2"/>
  <c r="E1119" i="2"/>
  <c r="D1119" i="2"/>
  <c r="C1119" i="2"/>
  <c r="B1119" i="2"/>
  <c r="A1119" i="2"/>
  <c r="AX1118" i="2"/>
  <c r="AV1118" i="2"/>
  <c r="AU1118" i="2"/>
  <c r="AS1118" i="2"/>
  <c r="AO1118" i="2"/>
  <c r="AM1118" i="2"/>
  <c r="AK1118" i="2"/>
  <c r="AJ1118" i="2"/>
  <c r="AI1118" i="2"/>
  <c r="AH1118" i="2"/>
  <c r="AG1118" i="2"/>
  <c r="AE1118" i="2"/>
  <c r="AD1118" i="2"/>
  <c r="AC1118" i="2"/>
  <c r="AA1118" i="2"/>
  <c r="Z1118" i="2"/>
  <c r="Y1118" i="2"/>
  <c r="X1118" i="2"/>
  <c r="W1118" i="2"/>
  <c r="V1118" i="2"/>
  <c r="U1118" i="2"/>
  <c r="T1118" i="2"/>
  <c r="S1118" i="2"/>
  <c r="R1118" i="2"/>
  <c r="Q1118" i="2"/>
  <c r="P1118" i="2"/>
  <c r="O1118" i="2"/>
  <c r="N1118" i="2"/>
  <c r="M1118" i="2"/>
  <c r="L1118" i="2"/>
  <c r="K1118" i="2"/>
  <c r="J1118" i="2"/>
  <c r="I1118" i="2"/>
  <c r="H1118" i="2"/>
  <c r="G1118" i="2"/>
  <c r="F1118" i="2"/>
  <c r="E1118" i="2"/>
  <c r="D1118" i="2"/>
  <c r="C1118" i="2"/>
  <c r="B1118" i="2"/>
  <c r="A1118" i="2"/>
  <c r="AX1117" i="2"/>
  <c r="AV1117" i="2"/>
  <c r="AU1117" i="2"/>
  <c r="AS1117" i="2"/>
  <c r="AR1117" i="2"/>
  <c r="AO1117" i="2"/>
  <c r="AM1117" i="2"/>
  <c r="AL1117" i="2"/>
  <c r="AK1117" i="2"/>
  <c r="AJ1117" i="2"/>
  <c r="AI1117" i="2"/>
  <c r="AH1117" i="2"/>
  <c r="AG1117" i="2"/>
  <c r="AE1117" i="2"/>
  <c r="AD1117" i="2"/>
  <c r="AC1117" i="2"/>
  <c r="AA1117" i="2"/>
  <c r="Z1117" i="2"/>
  <c r="Y1117" i="2"/>
  <c r="X1117" i="2"/>
  <c r="W1117" i="2"/>
  <c r="V1117" i="2"/>
  <c r="U1117" i="2"/>
  <c r="T1117" i="2"/>
  <c r="S1117" i="2"/>
  <c r="R1117" i="2"/>
  <c r="Q1117" i="2"/>
  <c r="P1117" i="2"/>
  <c r="O1117" i="2"/>
  <c r="N1117" i="2"/>
  <c r="M1117" i="2"/>
  <c r="L1117" i="2"/>
  <c r="K1117" i="2"/>
  <c r="J1117" i="2"/>
  <c r="I1117" i="2"/>
  <c r="H1117" i="2"/>
  <c r="G1117" i="2"/>
  <c r="F1117" i="2"/>
  <c r="E1117" i="2"/>
  <c r="D1117" i="2"/>
  <c r="C1117" i="2"/>
  <c r="B1117" i="2"/>
  <c r="A1117" i="2"/>
  <c r="AX1116" i="2"/>
  <c r="AV1116" i="2"/>
  <c r="AU1116" i="2"/>
  <c r="AT1116" i="2"/>
  <c r="AS1116" i="2"/>
  <c r="AR1116" i="2"/>
  <c r="AO1116" i="2"/>
  <c r="AM1116" i="2"/>
  <c r="AL1116" i="2"/>
  <c r="AK1116" i="2"/>
  <c r="AJ1116" i="2"/>
  <c r="AI1116" i="2"/>
  <c r="AH1116" i="2"/>
  <c r="AG1116" i="2"/>
  <c r="AE1116" i="2"/>
  <c r="AD1116" i="2"/>
  <c r="AC1116" i="2"/>
  <c r="Z1116" i="2"/>
  <c r="Y1116" i="2"/>
  <c r="X1116" i="2"/>
  <c r="W1116" i="2"/>
  <c r="V1116" i="2"/>
  <c r="U1116" i="2"/>
  <c r="T1116" i="2"/>
  <c r="S1116" i="2"/>
  <c r="R1116" i="2"/>
  <c r="Q1116" i="2"/>
  <c r="P1116" i="2"/>
  <c r="O1116" i="2"/>
  <c r="N1116" i="2"/>
  <c r="M1116" i="2"/>
  <c r="L1116" i="2"/>
  <c r="K1116" i="2"/>
  <c r="J1116" i="2"/>
  <c r="I1116" i="2"/>
  <c r="H1116" i="2"/>
  <c r="G1116" i="2"/>
  <c r="F1116" i="2"/>
  <c r="E1116" i="2"/>
  <c r="D1116" i="2"/>
  <c r="C1116" i="2"/>
  <c r="B1116" i="2"/>
  <c r="A1116" i="2"/>
  <c r="AX1115" i="2"/>
  <c r="AV1115" i="2"/>
  <c r="AU1115" i="2"/>
  <c r="AS1115" i="2"/>
  <c r="AR1115" i="2"/>
  <c r="AO1115" i="2"/>
  <c r="AM1115" i="2"/>
  <c r="AK1115" i="2"/>
  <c r="AJ1115" i="2"/>
  <c r="AI1115" i="2"/>
  <c r="AH1115" i="2"/>
  <c r="AG1115" i="2"/>
  <c r="AE1115" i="2"/>
  <c r="AD1115" i="2"/>
  <c r="AC1115" i="2"/>
  <c r="Z1115" i="2"/>
  <c r="Y1115" i="2"/>
  <c r="X1115" i="2"/>
  <c r="W1115" i="2"/>
  <c r="V1115" i="2"/>
  <c r="U1115" i="2"/>
  <c r="T1115" i="2"/>
  <c r="S1115" i="2"/>
  <c r="R1115" i="2"/>
  <c r="Q1115" i="2"/>
  <c r="P1115" i="2"/>
  <c r="O1115" i="2"/>
  <c r="N1115" i="2"/>
  <c r="M1115" i="2"/>
  <c r="L1115" i="2"/>
  <c r="K1115" i="2"/>
  <c r="J1115" i="2"/>
  <c r="I1115" i="2"/>
  <c r="H1115" i="2"/>
  <c r="G1115" i="2"/>
  <c r="F1115" i="2"/>
  <c r="E1115" i="2"/>
  <c r="D1115" i="2"/>
  <c r="C1115" i="2"/>
  <c r="B1115" i="2"/>
  <c r="A1115" i="2"/>
  <c r="AX1114" i="2"/>
  <c r="AV1114" i="2"/>
  <c r="AU1114" i="2"/>
  <c r="AT1114" i="2"/>
  <c r="AS1114" i="2"/>
  <c r="AR1114" i="2"/>
  <c r="AO1114" i="2"/>
  <c r="AM1114" i="2"/>
  <c r="AL1114" i="2"/>
  <c r="AK1114" i="2"/>
  <c r="AJ1114" i="2"/>
  <c r="AI1114" i="2"/>
  <c r="AH1114" i="2"/>
  <c r="AG1114" i="2"/>
  <c r="AE1114" i="2"/>
  <c r="AD1114" i="2"/>
  <c r="AC1114" i="2"/>
  <c r="AA1114" i="2"/>
  <c r="Z1114" i="2"/>
  <c r="Y1114" i="2"/>
  <c r="X1114" i="2"/>
  <c r="W1114" i="2"/>
  <c r="V1114" i="2"/>
  <c r="U1114" i="2"/>
  <c r="T1114" i="2"/>
  <c r="S1114" i="2"/>
  <c r="R1114" i="2"/>
  <c r="Q1114" i="2"/>
  <c r="P1114" i="2"/>
  <c r="O1114" i="2"/>
  <c r="N1114" i="2"/>
  <c r="M1114" i="2"/>
  <c r="L1114" i="2"/>
  <c r="K1114" i="2"/>
  <c r="J1114" i="2"/>
  <c r="I1114" i="2"/>
  <c r="H1114" i="2"/>
  <c r="G1114" i="2"/>
  <c r="F1114" i="2"/>
  <c r="E1114" i="2"/>
  <c r="D1114" i="2"/>
  <c r="C1114" i="2"/>
  <c r="B1114" i="2"/>
  <c r="A1114" i="2"/>
  <c r="AX1113" i="2"/>
  <c r="AV1113" i="2"/>
  <c r="AU1113" i="2"/>
  <c r="AT1113" i="2"/>
  <c r="AS1113" i="2"/>
  <c r="AR1113" i="2"/>
  <c r="AO1113" i="2"/>
  <c r="AM1113" i="2"/>
  <c r="AK1113" i="2"/>
  <c r="AJ1113" i="2"/>
  <c r="AI1113" i="2"/>
  <c r="AH1113" i="2"/>
  <c r="AG1113" i="2"/>
  <c r="AE1113" i="2"/>
  <c r="AD1113" i="2"/>
  <c r="AC1113" i="2"/>
  <c r="AA1113" i="2"/>
  <c r="Z1113" i="2"/>
  <c r="Y1113" i="2"/>
  <c r="X1113" i="2"/>
  <c r="W1113" i="2"/>
  <c r="V1113" i="2"/>
  <c r="U1113" i="2"/>
  <c r="T1113" i="2"/>
  <c r="S1113" i="2"/>
  <c r="R1113" i="2"/>
  <c r="Q1113" i="2"/>
  <c r="P1113" i="2"/>
  <c r="O1113" i="2"/>
  <c r="N1113" i="2"/>
  <c r="M1113" i="2"/>
  <c r="L1113" i="2"/>
  <c r="K1113" i="2"/>
  <c r="J1113" i="2"/>
  <c r="I1113" i="2"/>
  <c r="H1113" i="2"/>
  <c r="G1113" i="2"/>
  <c r="F1113" i="2"/>
  <c r="E1113" i="2"/>
  <c r="D1113" i="2"/>
  <c r="C1113" i="2"/>
  <c r="B1113" i="2"/>
  <c r="A1113" i="2"/>
  <c r="AX1112" i="2"/>
  <c r="AV1112" i="2"/>
  <c r="AU1112" i="2"/>
  <c r="AT1112" i="2"/>
  <c r="AS1112" i="2"/>
  <c r="AO1112" i="2"/>
  <c r="AM1112" i="2"/>
  <c r="AL1112" i="2"/>
  <c r="AK1112" i="2"/>
  <c r="AJ1112" i="2"/>
  <c r="AI1112" i="2"/>
  <c r="AH1112" i="2"/>
  <c r="AG1112" i="2"/>
  <c r="AE1112" i="2"/>
  <c r="AD1112" i="2"/>
  <c r="AC1112" i="2"/>
  <c r="AA1112" i="2"/>
  <c r="Z1112" i="2"/>
  <c r="Y1112" i="2"/>
  <c r="X1112" i="2"/>
  <c r="W1112" i="2"/>
  <c r="V1112" i="2"/>
  <c r="U1112" i="2"/>
  <c r="T1112" i="2"/>
  <c r="S1112" i="2"/>
  <c r="R1112" i="2"/>
  <c r="Q1112" i="2"/>
  <c r="P1112" i="2"/>
  <c r="O1112" i="2"/>
  <c r="N1112" i="2"/>
  <c r="M1112" i="2"/>
  <c r="L1112" i="2"/>
  <c r="K1112" i="2"/>
  <c r="J1112" i="2"/>
  <c r="I1112" i="2"/>
  <c r="H1112" i="2"/>
  <c r="G1112" i="2"/>
  <c r="F1112" i="2"/>
  <c r="E1112" i="2"/>
  <c r="D1112" i="2"/>
  <c r="C1112" i="2"/>
  <c r="B1112" i="2"/>
  <c r="A1112" i="2"/>
  <c r="AX1111" i="2"/>
  <c r="AV1111" i="2"/>
  <c r="AU1111" i="2"/>
  <c r="AR1111" i="2"/>
  <c r="AO1111" i="2"/>
  <c r="AM1111" i="2"/>
  <c r="AL1111" i="2"/>
  <c r="AK1111" i="2"/>
  <c r="AJ1111" i="2"/>
  <c r="AI1111" i="2"/>
  <c r="AH1111" i="2"/>
  <c r="AG1111" i="2"/>
  <c r="AE1111" i="2"/>
  <c r="AD1111" i="2"/>
  <c r="AC1111" i="2"/>
  <c r="AA1111" i="2"/>
  <c r="Z1111" i="2"/>
  <c r="Y1111" i="2"/>
  <c r="X1111" i="2"/>
  <c r="W1111" i="2"/>
  <c r="V1111" i="2"/>
  <c r="U1111" i="2"/>
  <c r="T1111" i="2"/>
  <c r="S1111" i="2"/>
  <c r="R1111" i="2"/>
  <c r="Q1111" i="2"/>
  <c r="P1111" i="2"/>
  <c r="O1111" i="2"/>
  <c r="N1111" i="2"/>
  <c r="M1111" i="2"/>
  <c r="L1111" i="2"/>
  <c r="K1111" i="2"/>
  <c r="J1111" i="2"/>
  <c r="I1111" i="2"/>
  <c r="H1111" i="2"/>
  <c r="G1111" i="2"/>
  <c r="F1111" i="2"/>
  <c r="E1111" i="2"/>
  <c r="D1111" i="2"/>
  <c r="C1111" i="2"/>
  <c r="B1111" i="2"/>
  <c r="A1111" i="2"/>
  <c r="AX1110" i="2"/>
  <c r="AV1110" i="2"/>
  <c r="AU1110" i="2"/>
  <c r="AS1110" i="2"/>
  <c r="AR1110" i="2"/>
  <c r="AP1110" i="2"/>
  <c r="AO1110" i="2"/>
  <c r="AM1110" i="2"/>
  <c r="AL1110" i="2"/>
  <c r="AK1110" i="2"/>
  <c r="AJ1110" i="2"/>
  <c r="AI1110" i="2"/>
  <c r="AH1110" i="2"/>
  <c r="AG1110" i="2"/>
  <c r="AF1110" i="2"/>
  <c r="AE1110" i="2"/>
  <c r="AD1110" i="2"/>
  <c r="AC1110" i="2"/>
  <c r="AA1110" i="2"/>
  <c r="Z1110" i="2"/>
  <c r="Y1110" i="2"/>
  <c r="X1110" i="2"/>
  <c r="U1110" i="2"/>
  <c r="T1110" i="2"/>
  <c r="S1110" i="2"/>
  <c r="R1110" i="2"/>
  <c r="Q1110" i="2"/>
  <c r="P1110" i="2"/>
  <c r="O1110" i="2"/>
  <c r="N1110" i="2"/>
  <c r="M1110" i="2"/>
  <c r="L1110" i="2"/>
  <c r="K1110" i="2"/>
  <c r="J1110" i="2"/>
  <c r="I1110" i="2"/>
  <c r="H1110" i="2"/>
  <c r="G1110" i="2"/>
  <c r="F1110" i="2"/>
  <c r="E1110" i="2"/>
  <c r="D1110" i="2"/>
  <c r="C1110" i="2"/>
  <c r="B1110" i="2"/>
  <c r="A1110" i="2"/>
  <c r="AX1109" i="2"/>
  <c r="AV1109" i="2"/>
  <c r="AU1109" i="2"/>
  <c r="AT1109" i="2"/>
  <c r="AR1109" i="2"/>
  <c r="AO1109" i="2"/>
  <c r="AM1109" i="2"/>
  <c r="AK1109" i="2"/>
  <c r="AJ1109" i="2"/>
  <c r="AI1109" i="2"/>
  <c r="AH1109" i="2"/>
  <c r="AG1109" i="2"/>
  <c r="AE1109" i="2"/>
  <c r="AC1109" i="2"/>
  <c r="Z1109" i="2"/>
  <c r="Y1109" i="2"/>
  <c r="X1109" i="2"/>
  <c r="V1109" i="2"/>
  <c r="U1109" i="2"/>
  <c r="T1109" i="2"/>
  <c r="S1109" i="2"/>
  <c r="R1109" i="2"/>
  <c r="Q1109" i="2"/>
  <c r="P1109" i="2"/>
  <c r="O1109" i="2"/>
  <c r="N1109" i="2"/>
  <c r="M1109" i="2"/>
  <c r="L1109" i="2"/>
  <c r="K1109" i="2"/>
  <c r="J1109" i="2"/>
  <c r="I1109" i="2"/>
  <c r="H1109" i="2"/>
  <c r="G1109" i="2"/>
  <c r="F1109" i="2"/>
  <c r="E1109" i="2"/>
  <c r="D1109" i="2"/>
  <c r="C1109" i="2"/>
  <c r="B1109" i="2"/>
  <c r="A1109" i="2"/>
  <c r="AX1108" i="2"/>
  <c r="AV1108" i="2"/>
  <c r="AU1108" i="2"/>
  <c r="AT1108" i="2"/>
  <c r="AS1108" i="2"/>
  <c r="AR1108" i="2"/>
  <c r="AO1108" i="2"/>
  <c r="AM1108" i="2"/>
  <c r="AL1108" i="2"/>
  <c r="AK1108" i="2"/>
  <c r="AJ1108" i="2"/>
  <c r="AI1108" i="2"/>
  <c r="AH1108" i="2"/>
  <c r="AF1108" i="2"/>
  <c r="AE1108" i="2"/>
  <c r="AD1108" i="2"/>
  <c r="AC1108" i="2"/>
  <c r="AA1108" i="2"/>
  <c r="Z1108" i="2"/>
  <c r="Y1108" i="2"/>
  <c r="X1108" i="2"/>
  <c r="W1108" i="2"/>
  <c r="V1108" i="2"/>
  <c r="U1108" i="2"/>
  <c r="T1108" i="2"/>
  <c r="S1108" i="2"/>
  <c r="R1108" i="2"/>
  <c r="Q1108" i="2"/>
  <c r="P1108" i="2"/>
  <c r="O1108" i="2"/>
  <c r="N1108" i="2"/>
  <c r="M1108" i="2"/>
  <c r="L1108" i="2"/>
  <c r="K1108" i="2"/>
  <c r="J1108" i="2"/>
  <c r="I1108" i="2"/>
  <c r="H1108" i="2"/>
  <c r="G1108" i="2"/>
  <c r="F1108" i="2"/>
  <c r="E1108" i="2"/>
  <c r="D1108" i="2"/>
  <c r="C1108" i="2"/>
  <c r="B1108" i="2"/>
  <c r="A1108" i="2"/>
  <c r="AX1107" i="2"/>
  <c r="AV1107" i="2"/>
  <c r="AU1107" i="2"/>
  <c r="AS1107" i="2"/>
  <c r="AP1107" i="2"/>
  <c r="AO1107" i="2"/>
  <c r="AM1107" i="2"/>
  <c r="AL1107" i="2"/>
  <c r="AK1107" i="2"/>
  <c r="AJ1107" i="2"/>
  <c r="AI1107" i="2"/>
  <c r="AH1107" i="2"/>
  <c r="AG1107" i="2"/>
  <c r="AE1107" i="2"/>
  <c r="AC1107" i="2"/>
  <c r="AA1107" i="2"/>
  <c r="Z1107" i="2"/>
  <c r="Y1107" i="2"/>
  <c r="X1107" i="2"/>
  <c r="V1107" i="2"/>
  <c r="U1107" i="2"/>
  <c r="T1107" i="2"/>
  <c r="S1107" i="2"/>
  <c r="R1107" i="2"/>
  <c r="Q1107" i="2"/>
  <c r="P1107" i="2"/>
  <c r="O1107" i="2"/>
  <c r="N1107" i="2"/>
  <c r="M1107" i="2"/>
  <c r="L1107" i="2"/>
  <c r="K1107" i="2"/>
  <c r="J1107" i="2"/>
  <c r="I1107" i="2"/>
  <c r="H1107" i="2"/>
  <c r="G1107" i="2"/>
  <c r="F1107" i="2"/>
  <c r="E1107" i="2"/>
  <c r="D1107" i="2"/>
  <c r="C1107" i="2"/>
  <c r="B1107" i="2"/>
  <c r="A1107" i="2"/>
  <c r="AX1106" i="2"/>
  <c r="AV1106" i="2"/>
  <c r="AU1106" i="2"/>
  <c r="AT1106" i="2"/>
  <c r="AS1106" i="2"/>
  <c r="AR1106" i="2"/>
  <c r="AM1106" i="2"/>
  <c r="AK1106" i="2"/>
  <c r="AJ1106" i="2"/>
  <c r="AI1106" i="2"/>
  <c r="AH1106" i="2"/>
  <c r="AG1106" i="2"/>
  <c r="AF1106" i="2"/>
  <c r="AE1106" i="2"/>
  <c r="AD1106" i="2"/>
  <c r="AC1106" i="2"/>
  <c r="AA1106" i="2"/>
  <c r="Z1106" i="2"/>
  <c r="Y1106" i="2"/>
  <c r="X1106" i="2"/>
  <c r="W1106" i="2"/>
  <c r="V1106" i="2"/>
  <c r="U1106" i="2"/>
  <c r="T1106" i="2"/>
  <c r="S1106" i="2"/>
  <c r="R1106" i="2"/>
  <c r="Q1106" i="2"/>
  <c r="P1106" i="2"/>
  <c r="O1106" i="2"/>
  <c r="N1106" i="2"/>
  <c r="M1106" i="2"/>
  <c r="L1106" i="2"/>
  <c r="K1106" i="2"/>
  <c r="J1106" i="2"/>
  <c r="I1106" i="2"/>
  <c r="H1106" i="2"/>
  <c r="G1106" i="2"/>
  <c r="F1106" i="2"/>
  <c r="E1106" i="2"/>
  <c r="D1106" i="2"/>
  <c r="C1106" i="2"/>
  <c r="B1106" i="2"/>
  <c r="A1106" i="2"/>
  <c r="AX1105" i="2"/>
  <c r="AV1105" i="2"/>
  <c r="AU1105" i="2"/>
  <c r="AS1105" i="2"/>
  <c r="AR1105" i="2"/>
  <c r="AO1105" i="2"/>
  <c r="AM1105" i="2"/>
  <c r="AK1105" i="2"/>
  <c r="AJ1105" i="2"/>
  <c r="AI1105" i="2"/>
  <c r="AH1105" i="2"/>
  <c r="AG1105" i="2"/>
  <c r="AE1105" i="2"/>
  <c r="AD1105" i="2"/>
  <c r="AC1105" i="2"/>
  <c r="AA1105" i="2"/>
  <c r="Z1105" i="2"/>
  <c r="Y1105" i="2"/>
  <c r="X1105" i="2"/>
  <c r="W1105" i="2"/>
  <c r="V1105" i="2"/>
  <c r="U1105" i="2"/>
  <c r="T1105" i="2"/>
  <c r="S1105" i="2"/>
  <c r="R1105" i="2"/>
  <c r="Q1105" i="2"/>
  <c r="P1105" i="2"/>
  <c r="O1105" i="2"/>
  <c r="N1105" i="2"/>
  <c r="M1105" i="2"/>
  <c r="L1105" i="2"/>
  <c r="K1105" i="2"/>
  <c r="J1105" i="2"/>
  <c r="I1105" i="2"/>
  <c r="H1105" i="2"/>
  <c r="G1105" i="2"/>
  <c r="F1105" i="2"/>
  <c r="E1105" i="2"/>
  <c r="D1105" i="2"/>
  <c r="C1105" i="2"/>
  <c r="B1105" i="2"/>
  <c r="A1105" i="2"/>
  <c r="AX1104" i="2"/>
  <c r="AV1104" i="2"/>
  <c r="AU1104" i="2"/>
  <c r="AT1104" i="2"/>
  <c r="AS1104" i="2"/>
  <c r="AR1104" i="2"/>
  <c r="AO1104" i="2"/>
  <c r="AM1104" i="2"/>
  <c r="AL1104" i="2"/>
  <c r="AK1104" i="2"/>
  <c r="AJ1104" i="2"/>
  <c r="AI1104" i="2"/>
  <c r="AH1104" i="2"/>
  <c r="AG1104" i="2"/>
  <c r="AE1104" i="2"/>
  <c r="AD1104" i="2"/>
  <c r="AC1104" i="2"/>
  <c r="AA1104" i="2"/>
  <c r="Z1104" i="2"/>
  <c r="Y1104" i="2"/>
  <c r="X1104" i="2"/>
  <c r="W1104" i="2"/>
  <c r="V1104" i="2"/>
  <c r="U1104" i="2"/>
  <c r="T1104" i="2"/>
  <c r="S1104" i="2"/>
  <c r="R1104" i="2"/>
  <c r="Q1104" i="2"/>
  <c r="P1104" i="2"/>
  <c r="O1104" i="2"/>
  <c r="N1104" i="2"/>
  <c r="M1104" i="2"/>
  <c r="L1104" i="2"/>
  <c r="K1104" i="2"/>
  <c r="J1104" i="2"/>
  <c r="I1104" i="2"/>
  <c r="H1104" i="2"/>
  <c r="G1104" i="2"/>
  <c r="F1104" i="2"/>
  <c r="E1104" i="2"/>
  <c r="D1104" i="2"/>
  <c r="C1104" i="2"/>
  <c r="B1104" i="2"/>
  <c r="A1104" i="2"/>
  <c r="AX1103" i="2"/>
  <c r="AV1103" i="2"/>
  <c r="AU1103" i="2"/>
  <c r="AT1103" i="2"/>
  <c r="AS1103" i="2"/>
  <c r="AR1103" i="2"/>
  <c r="AO1103" i="2"/>
  <c r="AM1103" i="2"/>
  <c r="AL1103" i="2"/>
  <c r="AK1103" i="2"/>
  <c r="AJ1103" i="2"/>
  <c r="AI1103" i="2"/>
  <c r="AH1103" i="2"/>
  <c r="AG1103" i="2"/>
  <c r="AE1103" i="2"/>
  <c r="AD1103" i="2"/>
  <c r="AC1103" i="2"/>
  <c r="AA1103" i="2"/>
  <c r="Z1103" i="2"/>
  <c r="Y1103" i="2"/>
  <c r="X1103" i="2"/>
  <c r="W1103" i="2"/>
  <c r="V1103" i="2"/>
  <c r="U1103" i="2"/>
  <c r="T1103" i="2"/>
  <c r="S1103" i="2"/>
  <c r="R1103" i="2"/>
  <c r="Q1103" i="2"/>
  <c r="P1103" i="2"/>
  <c r="O1103" i="2"/>
  <c r="N1103" i="2"/>
  <c r="M1103" i="2"/>
  <c r="L1103" i="2"/>
  <c r="K1103" i="2"/>
  <c r="J1103" i="2"/>
  <c r="I1103" i="2"/>
  <c r="H1103" i="2"/>
  <c r="G1103" i="2"/>
  <c r="F1103" i="2"/>
  <c r="E1103" i="2"/>
  <c r="D1103" i="2"/>
  <c r="C1103" i="2"/>
  <c r="B1103" i="2"/>
  <c r="A1103" i="2"/>
  <c r="AX1102" i="2"/>
  <c r="AV1102" i="2"/>
  <c r="AU1102" i="2"/>
  <c r="AT1102" i="2"/>
  <c r="AS1102" i="2"/>
  <c r="AR1102" i="2"/>
  <c r="AP1102" i="2"/>
  <c r="AO1102" i="2"/>
  <c r="AM1102" i="2"/>
  <c r="AL1102" i="2"/>
  <c r="AK1102" i="2"/>
  <c r="AJ1102" i="2"/>
  <c r="AI1102" i="2"/>
  <c r="AH1102" i="2"/>
  <c r="AG1102" i="2"/>
  <c r="AE1102" i="2"/>
  <c r="AC1102" i="2"/>
  <c r="Z1102" i="2"/>
  <c r="Y1102" i="2"/>
  <c r="X1102" i="2"/>
  <c r="W1102" i="2"/>
  <c r="V1102" i="2"/>
  <c r="U1102" i="2"/>
  <c r="T1102" i="2"/>
  <c r="S1102" i="2"/>
  <c r="R1102" i="2"/>
  <c r="Q1102" i="2"/>
  <c r="P1102" i="2"/>
  <c r="O1102" i="2"/>
  <c r="N1102" i="2"/>
  <c r="M1102" i="2"/>
  <c r="L1102" i="2"/>
  <c r="K1102" i="2"/>
  <c r="J1102" i="2"/>
  <c r="I1102" i="2"/>
  <c r="H1102" i="2"/>
  <c r="G1102" i="2"/>
  <c r="F1102" i="2"/>
  <c r="E1102" i="2"/>
  <c r="D1102" i="2"/>
  <c r="C1102" i="2"/>
  <c r="B1102" i="2"/>
  <c r="A1102" i="2"/>
  <c r="AX1101" i="2"/>
  <c r="AV1101" i="2"/>
  <c r="AU1101" i="2"/>
  <c r="AS1101" i="2"/>
  <c r="AO1101" i="2"/>
  <c r="AM1101" i="2"/>
  <c r="AL1101" i="2"/>
  <c r="AK1101" i="2"/>
  <c r="AJ1101" i="2"/>
  <c r="AI1101" i="2"/>
  <c r="AH1101" i="2"/>
  <c r="AG1101" i="2"/>
  <c r="AE1101" i="2"/>
  <c r="AD1101" i="2"/>
  <c r="AC1101" i="2"/>
  <c r="AA1101" i="2"/>
  <c r="Z1101" i="2"/>
  <c r="Y1101" i="2"/>
  <c r="X1101" i="2"/>
  <c r="W1101" i="2"/>
  <c r="V1101" i="2"/>
  <c r="U1101" i="2"/>
  <c r="T1101" i="2"/>
  <c r="S1101" i="2"/>
  <c r="R1101" i="2"/>
  <c r="Q1101" i="2"/>
  <c r="P1101" i="2"/>
  <c r="O1101" i="2"/>
  <c r="N1101" i="2"/>
  <c r="M1101" i="2"/>
  <c r="L1101" i="2"/>
  <c r="K1101" i="2"/>
  <c r="J1101" i="2"/>
  <c r="I1101" i="2"/>
  <c r="H1101" i="2"/>
  <c r="G1101" i="2"/>
  <c r="F1101" i="2"/>
  <c r="E1101" i="2"/>
  <c r="D1101" i="2"/>
  <c r="C1101" i="2"/>
  <c r="B1101" i="2"/>
  <c r="A1101" i="2"/>
  <c r="AX1100" i="2"/>
  <c r="AV1100" i="2"/>
  <c r="AU1100" i="2"/>
  <c r="AT1100" i="2"/>
  <c r="AS1100" i="2"/>
  <c r="AR1100" i="2"/>
  <c r="AO1100" i="2"/>
  <c r="AM1100" i="2"/>
  <c r="AL1100" i="2"/>
  <c r="AK1100" i="2"/>
  <c r="AJ1100" i="2"/>
  <c r="AI1100" i="2"/>
  <c r="AH1100" i="2"/>
  <c r="AG1100" i="2"/>
  <c r="AF1100" i="2"/>
  <c r="AE1100" i="2"/>
  <c r="AD1100" i="2"/>
  <c r="AC1100" i="2"/>
  <c r="AA1100" i="2"/>
  <c r="Z1100" i="2"/>
  <c r="Y1100" i="2"/>
  <c r="X1100" i="2"/>
  <c r="W1100" i="2"/>
  <c r="V1100" i="2"/>
  <c r="U1100" i="2"/>
  <c r="T1100" i="2"/>
  <c r="S1100" i="2"/>
  <c r="R1100" i="2"/>
  <c r="Q1100" i="2"/>
  <c r="P1100" i="2"/>
  <c r="O1100" i="2"/>
  <c r="N1100" i="2"/>
  <c r="M1100" i="2"/>
  <c r="L1100" i="2"/>
  <c r="K1100" i="2"/>
  <c r="J1100" i="2"/>
  <c r="I1100" i="2"/>
  <c r="H1100" i="2"/>
  <c r="G1100" i="2"/>
  <c r="F1100" i="2"/>
  <c r="E1100" i="2"/>
  <c r="D1100" i="2"/>
  <c r="C1100" i="2"/>
  <c r="B1100" i="2"/>
  <c r="A1100" i="2"/>
  <c r="AX1099" i="2"/>
  <c r="AV1099" i="2"/>
  <c r="AU1099" i="2"/>
  <c r="AS1099" i="2"/>
  <c r="AR1099" i="2"/>
  <c r="AO1099" i="2"/>
  <c r="AM1099" i="2"/>
  <c r="AL1099" i="2"/>
  <c r="AK1099" i="2"/>
  <c r="AJ1099" i="2"/>
  <c r="AI1099" i="2"/>
  <c r="AH1099" i="2"/>
  <c r="AG1099" i="2"/>
  <c r="AE1099" i="2"/>
  <c r="AD1099" i="2"/>
  <c r="AC1099" i="2"/>
  <c r="AA1099" i="2"/>
  <c r="Z1099" i="2"/>
  <c r="Y1099" i="2"/>
  <c r="X1099" i="2"/>
  <c r="W1099" i="2"/>
  <c r="V1099" i="2"/>
  <c r="U1099" i="2"/>
  <c r="T1099" i="2"/>
  <c r="S1099" i="2"/>
  <c r="R1099" i="2"/>
  <c r="Q1099" i="2"/>
  <c r="P1099" i="2"/>
  <c r="O1099" i="2"/>
  <c r="N1099" i="2"/>
  <c r="M1099" i="2"/>
  <c r="L1099" i="2"/>
  <c r="K1099" i="2"/>
  <c r="J1099" i="2"/>
  <c r="I1099" i="2"/>
  <c r="H1099" i="2"/>
  <c r="G1099" i="2"/>
  <c r="F1099" i="2"/>
  <c r="E1099" i="2"/>
  <c r="D1099" i="2"/>
  <c r="C1099" i="2"/>
  <c r="B1099" i="2"/>
  <c r="A1099" i="2"/>
  <c r="AX1098" i="2"/>
  <c r="AV1098" i="2"/>
  <c r="AU1098" i="2"/>
  <c r="AT1098" i="2"/>
  <c r="AS1098" i="2"/>
  <c r="AR1098" i="2"/>
  <c r="AO1098" i="2"/>
  <c r="AM1098" i="2"/>
  <c r="AL1098" i="2"/>
  <c r="AK1098" i="2"/>
  <c r="AJ1098" i="2"/>
  <c r="AI1098" i="2"/>
  <c r="AH1098" i="2"/>
  <c r="AG1098" i="2"/>
  <c r="AE1098" i="2"/>
  <c r="AD1098" i="2"/>
  <c r="AC1098" i="2"/>
  <c r="Z1098" i="2"/>
  <c r="Y1098" i="2"/>
  <c r="X1098" i="2"/>
  <c r="W1098" i="2"/>
  <c r="V1098" i="2"/>
  <c r="U1098" i="2"/>
  <c r="T1098" i="2"/>
  <c r="S1098" i="2"/>
  <c r="R1098" i="2"/>
  <c r="Q1098" i="2"/>
  <c r="P1098" i="2"/>
  <c r="O1098" i="2"/>
  <c r="N1098" i="2"/>
  <c r="M1098" i="2"/>
  <c r="L1098" i="2"/>
  <c r="K1098" i="2"/>
  <c r="J1098" i="2"/>
  <c r="I1098" i="2"/>
  <c r="H1098" i="2"/>
  <c r="G1098" i="2"/>
  <c r="F1098" i="2"/>
  <c r="E1098" i="2"/>
  <c r="D1098" i="2"/>
  <c r="C1098" i="2"/>
  <c r="B1098" i="2"/>
  <c r="A1098" i="2"/>
  <c r="AX1097" i="2"/>
  <c r="AV1097" i="2"/>
  <c r="AU1097" i="2"/>
  <c r="AS1097" i="2"/>
  <c r="AR1097" i="2"/>
  <c r="AO1097" i="2"/>
  <c r="AM1097" i="2"/>
  <c r="AL1097" i="2"/>
  <c r="AK1097" i="2"/>
  <c r="AJ1097" i="2"/>
  <c r="AI1097" i="2"/>
  <c r="AH1097" i="2"/>
  <c r="AG1097" i="2"/>
  <c r="AE1097" i="2"/>
  <c r="AD1097" i="2"/>
  <c r="AC1097" i="2"/>
  <c r="AA1097" i="2"/>
  <c r="Z1097" i="2"/>
  <c r="Y1097" i="2"/>
  <c r="X1097" i="2"/>
  <c r="W1097" i="2"/>
  <c r="V1097" i="2"/>
  <c r="U1097" i="2"/>
  <c r="T1097" i="2"/>
  <c r="S1097" i="2"/>
  <c r="R1097" i="2"/>
  <c r="Q1097" i="2"/>
  <c r="P1097" i="2"/>
  <c r="O1097" i="2"/>
  <c r="N1097" i="2"/>
  <c r="M1097" i="2"/>
  <c r="L1097" i="2"/>
  <c r="K1097" i="2"/>
  <c r="J1097" i="2"/>
  <c r="I1097" i="2"/>
  <c r="H1097" i="2"/>
  <c r="G1097" i="2"/>
  <c r="F1097" i="2"/>
  <c r="E1097" i="2"/>
  <c r="D1097" i="2"/>
  <c r="C1097" i="2"/>
  <c r="B1097" i="2"/>
  <c r="A1097" i="2"/>
  <c r="AX1096" i="2"/>
  <c r="AV1096" i="2"/>
  <c r="AU1096" i="2"/>
  <c r="AS1096" i="2"/>
  <c r="AP1096" i="2"/>
  <c r="AO1096" i="2"/>
  <c r="AM1096" i="2"/>
  <c r="AK1096" i="2"/>
  <c r="AJ1096" i="2"/>
  <c r="AI1096" i="2"/>
  <c r="AH1096" i="2"/>
  <c r="AG1096" i="2"/>
  <c r="AF1096" i="2"/>
  <c r="AE1096" i="2"/>
  <c r="AD1096" i="2"/>
  <c r="AC1096" i="2"/>
  <c r="AA1096" i="2"/>
  <c r="Z1096" i="2"/>
  <c r="Y1096" i="2"/>
  <c r="X1096" i="2"/>
  <c r="W1096" i="2"/>
  <c r="V1096" i="2"/>
  <c r="U1096" i="2"/>
  <c r="T1096" i="2"/>
  <c r="S1096" i="2"/>
  <c r="R1096" i="2"/>
  <c r="Q1096" i="2"/>
  <c r="P1096" i="2"/>
  <c r="O1096" i="2"/>
  <c r="N1096" i="2"/>
  <c r="M1096" i="2"/>
  <c r="L1096" i="2"/>
  <c r="K1096" i="2"/>
  <c r="J1096" i="2"/>
  <c r="I1096" i="2"/>
  <c r="H1096" i="2"/>
  <c r="G1096" i="2"/>
  <c r="F1096" i="2"/>
  <c r="E1096" i="2"/>
  <c r="D1096" i="2"/>
  <c r="C1096" i="2"/>
  <c r="B1096" i="2"/>
  <c r="A1096" i="2"/>
  <c r="AX1095" i="2"/>
  <c r="AV1095" i="2"/>
  <c r="AU1095" i="2"/>
  <c r="AT1095" i="2"/>
  <c r="AS1095" i="2"/>
  <c r="AR1095" i="2"/>
  <c r="AO1095" i="2"/>
  <c r="AM1095" i="2"/>
  <c r="AL1095" i="2"/>
  <c r="AK1095" i="2"/>
  <c r="AJ1095" i="2"/>
  <c r="AI1095" i="2"/>
  <c r="AH1095" i="2"/>
  <c r="AG1095" i="2"/>
  <c r="AE1095" i="2"/>
  <c r="AD1095" i="2"/>
  <c r="AC1095" i="2"/>
  <c r="AA1095" i="2"/>
  <c r="Z1095" i="2"/>
  <c r="Y1095" i="2"/>
  <c r="X1095" i="2"/>
  <c r="W1095" i="2"/>
  <c r="V1095" i="2"/>
  <c r="U1095" i="2"/>
  <c r="T1095" i="2"/>
  <c r="S1095" i="2"/>
  <c r="R1095" i="2"/>
  <c r="Q1095" i="2"/>
  <c r="P1095" i="2"/>
  <c r="O1095" i="2"/>
  <c r="N1095" i="2"/>
  <c r="M1095" i="2"/>
  <c r="L1095" i="2"/>
  <c r="K1095" i="2"/>
  <c r="J1095" i="2"/>
  <c r="I1095" i="2"/>
  <c r="H1095" i="2"/>
  <c r="G1095" i="2"/>
  <c r="F1095" i="2"/>
  <c r="E1095" i="2"/>
  <c r="D1095" i="2"/>
  <c r="C1095" i="2"/>
  <c r="B1095" i="2"/>
  <c r="A1095" i="2"/>
  <c r="AX1094" i="2"/>
  <c r="AV1094" i="2"/>
  <c r="AU1094" i="2"/>
  <c r="AT1094" i="2"/>
  <c r="AS1094" i="2"/>
  <c r="AR1094" i="2"/>
  <c r="AO1094" i="2"/>
  <c r="AM1094" i="2"/>
  <c r="AL1094" i="2"/>
  <c r="AK1094" i="2"/>
  <c r="AJ1094" i="2"/>
  <c r="AI1094" i="2"/>
  <c r="AH1094" i="2"/>
  <c r="AG1094" i="2"/>
  <c r="AE1094" i="2"/>
  <c r="AD1094" i="2"/>
  <c r="AC1094" i="2"/>
  <c r="AA1094" i="2"/>
  <c r="Z1094" i="2"/>
  <c r="Y1094" i="2"/>
  <c r="X1094" i="2"/>
  <c r="W1094" i="2"/>
  <c r="V1094" i="2"/>
  <c r="U1094" i="2"/>
  <c r="T1094" i="2"/>
  <c r="S1094" i="2"/>
  <c r="R1094" i="2"/>
  <c r="Q1094" i="2"/>
  <c r="P1094" i="2"/>
  <c r="O1094" i="2"/>
  <c r="N1094" i="2"/>
  <c r="M1094" i="2"/>
  <c r="L1094" i="2"/>
  <c r="K1094" i="2"/>
  <c r="J1094" i="2"/>
  <c r="I1094" i="2"/>
  <c r="H1094" i="2"/>
  <c r="G1094" i="2"/>
  <c r="F1094" i="2"/>
  <c r="E1094" i="2"/>
  <c r="D1094" i="2"/>
  <c r="C1094" i="2"/>
  <c r="B1094" i="2"/>
  <c r="A1094" i="2"/>
  <c r="AX1093" i="2"/>
  <c r="AV1093" i="2"/>
  <c r="AU1093" i="2"/>
  <c r="AS1093" i="2"/>
  <c r="AR1093" i="2"/>
  <c r="AO1093" i="2"/>
  <c r="AM1093" i="2"/>
  <c r="AK1093" i="2"/>
  <c r="AJ1093" i="2"/>
  <c r="AI1093" i="2"/>
  <c r="AH1093" i="2"/>
  <c r="AG1093" i="2"/>
  <c r="AE1093" i="2"/>
  <c r="AD1093" i="2"/>
  <c r="AC1093" i="2"/>
  <c r="Z1093" i="2"/>
  <c r="Y1093" i="2"/>
  <c r="X1093" i="2"/>
  <c r="W1093" i="2"/>
  <c r="V1093" i="2"/>
  <c r="U1093" i="2"/>
  <c r="T1093" i="2"/>
  <c r="S1093" i="2"/>
  <c r="R1093" i="2"/>
  <c r="Q1093" i="2"/>
  <c r="P1093" i="2"/>
  <c r="O1093" i="2"/>
  <c r="N1093" i="2"/>
  <c r="M1093" i="2"/>
  <c r="L1093" i="2"/>
  <c r="K1093" i="2"/>
  <c r="J1093" i="2"/>
  <c r="I1093" i="2"/>
  <c r="H1093" i="2"/>
  <c r="G1093" i="2"/>
  <c r="F1093" i="2"/>
  <c r="E1093" i="2"/>
  <c r="D1093" i="2"/>
  <c r="C1093" i="2"/>
  <c r="B1093" i="2"/>
  <c r="A1093" i="2"/>
  <c r="AX1092" i="2"/>
  <c r="AV1092" i="2"/>
  <c r="AU1092" i="2"/>
  <c r="AT1092" i="2"/>
  <c r="AS1092" i="2"/>
  <c r="AR1092" i="2"/>
  <c r="AQ1092" i="2"/>
  <c r="AP1092" i="2"/>
  <c r="AO1092" i="2"/>
  <c r="AM1092" i="2"/>
  <c r="AL1092" i="2"/>
  <c r="AK1092" i="2"/>
  <c r="AJ1092" i="2"/>
  <c r="AI1092" i="2"/>
  <c r="AH1092" i="2"/>
  <c r="AG1092" i="2"/>
  <c r="AE1092" i="2"/>
  <c r="AD1092" i="2"/>
  <c r="AC1092" i="2"/>
  <c r="AA1092" i="2"/>
  <c r="Z1092" i="2"/>
  <c r="Y1092" i="2"/>
  <c r="X1092" i="2"/>
  <c r="W1092" i="2"/>
  <c r="V1092" i="2"/>
  <c r="U1092" i="2"/>
  <c r="T1092" i="2"/>
  <c r="S1092" i="2"/>
  <c r="R1092" i="2"/>
  <c r="Q1092" i="2"/>
  <c r="P1092" i="2"/>
  <c r="O1092" i="2"/>
  <c r="N1092" i="2"/>
  <c r="M1092" i="2"/>
  <c r="L1092" i="2"/>
  <c r="K1092" i="2"/>
  <c r="J1092" i="2"/>
  <c r="I1092" i="2"/>
  <c r="H1092" i="2"/>
  <c r="G1092" i="2"/>
  <c r="F1092" i="2"/>
  <c r="E1092" i="2"/>
  <c r="D1092" i="2"/>
  <c r="C1092" i="2"/>
  <c r="B1092" i="2"/>
  <c r="A1092" i="2"/>
  <c r="AX1091" i="2"/>
  <c r="AV1091" i="2"/>
  <c r="AU1091" i="2"/>
  <c r="AS1091" i="2"/>
  <c r="AR1091" i="2"/>
  <c r="AP1091" i="2"/>
  <c r="AO1091" i="2"/>
  <c r="AM1091" i="2"/>
  <c r="AK1091" i="2"/>
  <c r="AJ1091" i="2"/>
  <c r="AI1091" i="2"/>
  <c r="AH1091" i="2"/>
  <c r="AG1091" i="2"/>
  <c r="AE1091" i="2"/>
  <c r="AD1091" i="2"/>
  <c r="AC1091" i="2"/>
  <c r="AA1091" i="2"/>
  <c r="Z1091" i="2"/>
  <c r="Y1091" i="2"/>
  <c r="X1091" i="2"/>
  <c r="V1091" i="2"/>
  <c r="U1091" i="2"/>
  <c r="T1091" i="2"/>
  <c r="S1091" i="2"/>
  <c r="R1091" i="2"/>
  <c r="Q1091" i="2"/>
  <c r="P1091" i="2"/>
  <c r="O1091" i="2"/>
  <c r="N1091" i="2"/>
  <c r="M1091" i="2"/>
  <c r="L1091" i="2"/>
  <c r="K1091" i="2"/>
  <c r="J1091" i="2"/>
  <c r="I1091" i="2"/>
  <c r="H1091" i="2"/>
  <c r="G1091" i="2"/>
  <c r="F1091" i="2"/>
  <c r="E1091" i="2"/>
  <c r="D1091" i="2"/>
  <c r="C1091" i="2"/>
  <c r="B1091" i="2"/>
  <c r="A1091" i="2"/>
  <c r="AX1090" i="2"/>
  <c r="AV1090" i="2"/>
  <c r="AU1090" i="2"/>
  <c r="AT1090" i="2"/>
  <c r="AS1090" i="2"/>
  <c r="AR1090" i="2"/>
  <c r="AO1090" i="2"/>
  <c r="AM1090" i="2"/>
  <c r="AL1090" i="2"/>
  <c r="AK1090" i="2"/>
  <c r="AJ1090" i="2"/>
  <c r="AI1090" i="2"/>
  <c r="AH1090" i="2"/>
  <c r="AG1090" i="2"/>
  <c r="AF1090" i="2"/>
  <c r="AE1090" i="2"/>
  <c r="AD1090" i="2"/>
  <c r="AC1090" i="2"/>
  <c r="AA1090" i="2"/>
  <c r="Z1090" i="2"/>
  <c r="Y1090" i="2"/>
  <c r="X1090" i="2"/>
  <c r="W1090" i="2"/>
  <c r="V1090" i="2"/>
  <c r="U1090" i="2"/>
  <c r="T1090" i="2"/>
  <c r="S1090" i="2"/>
  <c r="R1090" i="2"/>
  <c r="Q1090" i="2"/>
  <c r="P1090" i="2"/>
  <c r="O1090" i="2"/>
  <c r="N1090" i="2"/>
  <c r="M1090" i="2"/>
  <c r="L1090" i="2"/>
  <c r="K1090" i="2"/>
  <c r="J1090" i="2"/>
  <c r="I1090" i="2"/>
  <c r="H1090" i="2"/>
  <c r="G1090" i="2"/>
  <c r="F1090" i="2"/>
  <c r="E1090" i="2"/>
  <c r="D1090" i="2"/>
  <c r="C1090" i="2"/>
  <c r="B1090" i="2"/>
  <c r="A1090" i="2"/>
  <c r="AX1089" i="2"/>
  <c r="AV1089" i="2"/>
  <c r="AU1089" i="2"/>
  <c r="AT1089" i="2"/>
  <c r="AS1089" i="2"/>
  <c r="AR1089" i="2"/>
  <c r="AO1089" i="2"/>
  <c r="AM1089" i="2"/>
  <c r="AL1089" i="2"/>
  <c r="AK1089" i="2"/>
  <c r="AJ1089" i="2"/>
  <c r="AI1089" i="2"/>
  <c r="AH1089" i="2"/>
  <c r="AG1089" i="2"/>
  <c r="AE1089" i="2"/>
  <c r="AD1089" i="2"/>
  <c r="AC1089" i="2"/>
  <c r="AA1089" i="2"/>
  <c r="Z1089" i="2"/>
  <c r="Y1089" i="2"/>
  <c r="X1089" i="2"/>
  <c r="W1089" i="2"/>
  <c r="V1089" i="2"/>
  <c r="U1089" i="2"/>
  <c r="T1089" i="2"/>
  <c r="S1089" i="2"/>
  <c r="R1089" i="2"/>
  <c r="Q1089" i="2"/>
  <c r="P1089" i="2"/>
  <c r="O1089" i="2"/>
  <c r="N1089" i="2"/>
  <c r="M1089" i="2"/>
  <c r="L1089" i="2"/>
  <c r="K1089" i="2"/>
  <c r="J1089" i="2"/>
  <c r="I1089" i="2"/>
  <c r="H1089" i="2"/>
  <c r="G1089" i="2"/>
  <c r="F1089" i="2"/>
  <c r="E1089" i="2"/>
  <c r="D1089" i="2"/>
  <c r="C1089" i="2"/>
  <c r="B1089" i="2"/>
  <c r="A1089" i="2"/>
  <c r="AX1088" i="2"/>
  <c r="AV1088" i="2"/>
  <c r="AU1088" i="2"/>
  <c r="AT1088" i="2"/>
  <c r="AS1088" i="2"/>
  <c r="AR1088" i="2"/>
  <c r="AP1088" i="2"/>
  <c r="AO1088" i="2"/>
  <c r="AM1088" i="2"/>
  <c r="AL1088" i="2"/>
  <c r="AK1088" i="2"/>
  <c r="AJ1088" i="2"/>
  <c r="AI1088" i="2"/>
  <c r="AH1088" i="2"/>
  <c r="AG1088" i="2"/>
  <c r="AE1088" i="2"/>
  <c r="AD1088" i="2"/>
  <c r="AC1088" i="2"/>
  <c r="AA1088" i="2"/>
  <c r="Z1088" i="2"/>
  <c r="Y1088" i="2"/>
  <c r="X1088" i="2"/>
  <c r="W1088" i="2"/>
  <c r="V1088" i="2"/>
  <c r="U1088" i="2"/>
  <c r="T1088" i="2"/>
  <c r="S1088" i="2"/>
  <c r="R1088" i="2"/>
  <c r="Q1088" i="2"/>
  <c r="P1088" i="2"/>
  <c r="O1088" i="2"/>
  <c r="N1088" i="2"/>
  <c r="M1088" i="2"/>
  <c r="L1088" i="2"/>
  <c r="K1088" i="2"/>
  <c r="J1088" i="2"/>
  <c r="I1088" i="2"/>
  <c r="H1088" i="2"/>
  <c r="G1088" i="2"/>
  <c r="F1088" i="2"/>
  <c r="E1088" i="2"/>
  <c r="D1088" i="2"/>
  <c r="C1088" i="2"/>
  <c r="B1088" i="2"/>
  <c r="A1088" i="2"/>
  <c r="AX1087" i="2"/>
  <c r="AV1087" i="2"/>
  <c r="AU1087" i="2"/>
  <c r="AT1087" i="2"/>
  <c r="AS1087" i="2"/>
  <c r="AR1087" i="2"/>
  <c r="AO1087" i="2"/>
  <c r="AM1087" i="2"/>
  <c r="AL1087" i="2"/>
  <c r="AK1087" i="2"/>
  <c r="AJ1087" i="2"/>
  <c r="AI1087" i="2"/>
  <c r="AH1087" i="2"/>
  <c r="AG1087" i="2"/>
  <c r="AE1087" i="2"/>
  <c r="AC1087" i="2"/>
  <c r="AA1087" i="2"/>
  <c r="Z1087" i="2"/>
  <c r="Y1087" i="2"/>
  <c r="X1087" i="2"/>
  <c r="W1087" i="2"/>
  <c r="V1087" i="2"/>
  <c r="U1087" i="2"/>
  <c r="T1087" i="2"/>
  <c r="S1087" i="2"/>
  <c r="R1087" i="2"/>
  <c r="Q1087" i="2"/>
  <c r="P1087" i="2"/>
  <c r="O1087" i="2"/>
  <c r="N1087" i="2"/>
  <c r="M1087" i="2"/>
  <c r="L1087" i="2"/>
  <c r="K1087" i="2"/>
  <c r="J1087" i="2"/>
  <c r="I1087" i="2"/>
  <c r="H1087" i="2"/>
  <c r="G1087" i="2"/>
  <c r="F1087" i="2"/>
  <c r="E1087" i="2"/>
  <c r="D1087" i="2"/>
  <c r="C1087" i="2"/>
  <c r="B1087" i="2"/>
  <c r="A1087" i="2"/>
  <c r="AX1086" i="2"/>
  <c r="AV1086" i="2"/>
  <c r="AU1086" i="2"/>
  <c r="AT1086" i="2"/>
  <c r="AS1086" i="2"/>
  <c r="AM1086" i="2"/>
  <c r="AI1086" i="2"/>
  <c r="AC1086" i="2"/>
  <c r="AA1086" i="2"/>
  <c r="Z1086" i="2"/>
  <c r="Y1086" i="2"/>
  <c r="X1086" i="2"/>
  <c r="W1086" i="2"/>
  <c r="V1086" i="2"/>
  <c r="U1086" i="2"/>
  <c r="T1086" i="2"/>
  <c r="S1086" i="2"/>
  <c r="R1086" i="2"/>
  <c r="Q1086" i="2"/>
  <c r="P1086" i="2"/>
  <c r="O1086" i="2"/>
  <c r="N1086" i="2"/>
  <c r="M1086" i="2"/>
  <c r="L1086" i="2"/>
  <c r="K1086" i="2"/>
  <c r="J1086" i="2"/>
  <c r="I1086" i="2"/>
  <c r="H1086" i="2"/>
  <c r="G1086" i="2"/>
  <c r="F1086" i="2"/>
  <c r="E1086" i="2"/>
  <c r="D1086" i="2"/>
  <c r="C1086" i="2"/>
  <c r="B1086" i="2"/>
  <c r="A1086" i="2"/>
  <c r="AX1085" i="2"/>
  <c r="AV1085" i="2"/>
  <c r="AU1085" i="2"/>
  <c r="AT1085" i="2"/>
  <c r="AS1085" i="2"/>
  <c r="AR1085" i="2"/>
  <c r="AP1085" i="2"/>
  <c r="AO1085" i="2"/>
  <c r="AM1085" i="2"/>
  <c r="AL1085" i="2"/>
  <c r="AK1085" i="2"/>
  <c r="AJ1085" i="2"/>
  <c r="AI1085" i="2"/>
  <c r="AH1085" i="2"/>
  <c r="AG1085" i="2"/>
  <c r="AE1085" i="2"/>
  <c r="AD1085" i="2"/>
  <c r="AC1085" i="2"/>
  <c r="Z1085" i="2"/>
  <c r="Y1085" i="2"/>
  <c r="X1085" i="2"/>
  <c r="W1085" i="2"/>
  <c r="V1085" i="2"/>
  <c r="U1085" i="2"/>
  <c r="T1085" i="2"/>
  <c r="S1085" i="2"/>
  <c r="R1085" i="2"/>
  <c r="Q1085" i="2"/>
  <c r="P1085" i="2"/>
  <c r="O1085" i="2"/>
  <c r="N1085" i="2"/>
  <c r="M1085" i="2"/>
  <c r="L1085" i="2"/>
  <c r="K1085" i="2"/>
  <c r="J1085" i="2"/>
  <c r="I1085" i="2"/>
  <c r="H1085" i="2"/>
  <c r="G1085" i="2"/>
  <c r="F1085" i="2"/>
  <c r="E1085" i="2"/>
  <c r="D1085" i="2"/>
  <c r="C1085" i="2"/>
  <c r="B1085" i="2"/>
  <c r="A1085" i="2"/>
  <c r="AX1084" i="2"/>
  <c r="AV1084" i="2"/>
  <c r="AU1084" i="2"/>
  <c r="AT1084" i="2"/>
  <c r="AS1084" i="2"/>
  <c r="AR1084" i="2"/>
  <c r="AO1084" i="2"/>
  <c r="AM1084" i="2"/>
  <c r="AL1084" i="2"/>
  <c r="AK1084" i="2"/>
  <c r="AJ1084" i="2"/>
  <c r="AI1084" i="2"/>
  <c r="AH1084" i="2"/>
  <c r="AG1084" i="2"/>
  <c r="AE1084" i="2"/>
  <c r="AD1084" i="2"/>
  <c r="AC1084" i="2"/>
  <c r="AA1084" i="2"/>
  <c r="Z1084" i="2"/>
  <c r="Y1084" i="2"/>
  <c r="X1084" i="2"/>
  <c r="W1084" i="2"/>
  <c r="V1084" i="2"/>
  <c r="U1084" i="2"/>
  <c r="T1084" i="2"/>
  <c r="S1084" i="2"/>
  <c r="R1084" i="2"/>
  <c r="Q1084" i="2"/>
  <c r="P1084" i="2"/>
  <c r="O1084" i="2"/>
  <c r="N1084" i="2"/>
  <c r="M1084" i="2"/>
  <c r="L1084" i="2"/>
  <c r="K1084" i="2"/>
  <c r="J1084" i="2"/>
  <c r="I1084" i="2"/>
  <c r="H1084" i="2"/>
  <c r="G1084" i="2"/>
  <c r="F1084" i="2"/>
  <c r="E1084" i="2"/>
  <c r="D1084" i="2"/>
  <c r="C1084" i="2"/>
  <c r="B1084" i="2"/>
  <c r="A1084" i="2"/>
  <c r="AX1083" i="2"/>
  <c r="AV1083" i="2"/>
  <c r="AU1083" i="2"/>
  <c r="AT1083" i="2"/>
  <c r="AS1083" i="2"/>
  <c r="AR1083" i="2"/>
  <c r="AP1083" i="2"/>
  <c r="AO1083" i="2"/>
  <c r="AM1083" i="2"/>
  <c r="AL1083" i="2"/>
  <c r="AK1083" i="2"/>
  <c r="AJ1083" i="2"/>
  <c r="AI1083" i="2"/>
  <c r="AH1083" i="2"/>
  <c r="AG1083" i="2"/>
  <c r="AE1083" i="2"/>
  <c r="AD1083" i="2"/>
  <c r="AC1083" i="2"/>
  <c r="AA1083" i="2"/>
  <c r="Z1083" i="2"/>
  <c r="Y1083" i="2"/>
  <c r="X1083" i="2"/>
  <c r="W1083" i="2"/>
  <c r="V1083" i="2"/>
  <c r="U1083" i="2"/>
  <c r="T1083" i="2"/>
  <c r="S1083" i="2"/>
  <c r="R1083" i="2"/>
  <c r="Q1083" i="2"/>
  <c r="P1083" i="2"/>
  <c r="O1083" i="2"/>
  <c r="N1083" i="2"/>
  <c r="M1083" i="2"/>
  <c r="L1083" i="2"/>
  <c r="K1083" i="2"/>
  <c r="J1083" i="2"/>
  <c r="I1083" i="2"/>
  <c r="H1083" i="2"/>
  <c r="G1083" i="2"/>
  <c r="F1083" i="2"/>
  <c r="E1083" i="2"/>
  <c r="D1083" i="2"/>
  <c r="C1083" i="2"/>
  <c r="B1083" i="2"/>
  <c r="A1083" i="2"/>
  <c r="AX1082" i="2"/>
  <c r="AV1082" i="2"/>
  <c r="AU1082" i="2"/>
  <c r="AT1082" i="2"/>
  <c r="AS1082" i="2"/>
  <c r="AR1082" i="2"/>
  <c r="AP1082" i="2"/>
  <c r="AO1082" i="2"/>
  <c r="AM1082" i="2"/>
  <c r="AL1082" i="2"/>
  <c r="AK1082" i="2"/>
  <c r="AJ1082" i="2"/>
  <c r="AI1082" i="2"/>
  <c r="AH1082" i="2"/>
  <c r="AG1082" i="2"/>
  <c r="AE1082" i="2"/>
  <c r="AD1082" i="2"/>
  <c r="AC1082" i="2"/>
  <c r="AA1082" i="2"/>
  <c r="Z1082" i="2"/>
  <c r="Y1082" i="2"/>
  <c r="X1082" i="2"/>
  <c r="W1082" i="2"/>
  <c r="V1082" i="2"/>
  <c r="U1082" i="2"/>
  <c r="T1082" i="2"/>
  <c r="S1082" i="2"/>
  <c r="R1082" i="2"/>
  <c r="Q1082" i="2"/>
  <c r="P1082" i="2"/>
  <c r="O1082" i="2"/>
  <c r="N1082" i="2"/>
  <c r="M1082" i="2"/>
  <c r="L1082" i="2"/>
  <c r="K1082" i="2"/>
  <c r="J1082" i="2"/>
  <c r="I1082" i="2"/>
  <c r="H1082" i="2"/>
  <c r="G1082" i="2"/>
  <c r="F1082" i="2"/>
  <c r="E1082" i="2"/>
  <c r="D1082" i="2"/>
  <c r="C1082" i="2"/>
  <c r="B1082" i="2"/>
  <c r="A1082" i="2"/>
  <c r="AX1081" i="2"/>
  <c r="AV1081" i="2"/>
  <c r="AU1081" i="2"/>
  <c r="AT1081" i="2"/>
  <c r="AS1081" i="2"/>
  <c r="AR1081" i="2"/>
  <c r="AQ1081" i="2"/>
  <c r="AP1081" i="2"/>
  <c r="AO1081" i="2"/>
  <c r="AN1081" i="2"/>
  <c r="AM1081" i="2"/>
  <c r="AL1081" i="2"/>
  <c r="AK1081" i="2"/>
  <c r="AI1081" i="2"/>
  <c r="AH1081" i="2"/>
  <c r="AG1081" i="2"/>
  <c r="AE1081" i="2"/>
  <c r="AD1081" i="2"/>
  <c r="AC1081" i="2"/>
  <c r="AB1081" i="2"/>
  <c r="AA1081" i="2"/>
  <c r="Z1081" i="2"/>
  <c r="Y1081" i="2"/>
  <c r="X1081" i="2"/>
  <c r="W1081" i="2"/>
  <c r="V1081" i="2"/>
  <c r="U1081" i="2"/>
  <c r="T1081" i="2"/>
  <c r="S1081" i="2"/>
  <c r="R1081" i="2"/>
  <c r="Q1081" i="2"/>
  <c r="P1081" i="2"/>
  <c r="O1081" i="2"/>
  <c r="N1081" i="2"/>
  <c r="M1081" i="2"/>
  <c r="L1081" i="2"/>
  <c r="K1081" i="2"/>
  <c r="J1081" i="2"/>
  <c r="I1081" i="2"/>
  <c r="H1081" i="2"/>
  <c r="G1081" i="2"/>
  <c r="F1081" i="2"/>
  <c r="E1081" i="2"/>
  <c r="D1081" i="2"/>
  <c r="C1081" i="2"/>
  <c r="B1081" i="2"/>
  <c r="A1081" i="2"/>
  <c r="AX1080" i="2"/>
  <c r="AV1080" i="2"/>
  <c r="AU1080" i="2"/>
  <c r="AT1080" i="2"/>
  <c r="AS1080" i="2"/>
  <c r="AR1080" i="2"/>
  <c r="AO1080" i="2"/>
  <c r="AM1080" i="2"/>
  <c r="AK1080" i="2"/>
  <c r="AJ1080" i="2"/>
  <c r="AI1080" i="2"/>
  <c r="AH1080" i="2"/>
  <c r="AG1080" i="2"/>
  <c r="AE1080" i="2"/>
  <c r="AD1080" i="2"/>
  <c r="AC1080" i="2"/>
  <c r="AA1080" i="2"/>
  <c r="Z1080" i="2"/>
  <c r="Y1080" i="2"/>
  <c r="X1080" i="2"/>
  <c r="W1080" i="2"/>
  <c r="V1080" i="2"/>
  <c r="U1080" i="2"/>
  <c r="T1080" i="2"/>
  <c r="S1080" i="2"/>
  <c r="R1080" i="2"/>
  <c r="Q1080" i="2"/>
  <c r="P1080" i="2"/>
  <c r="O1080" i="2"/>
  <c r="N1080" i="2"/>
  <c r="M1080" i="2"/>
  <c r="L1080" i="2"/>
  <c r="K1080" i="2"/>
  <c r="J1080" i="2"/>
  <c r="I1080" i="2"/>
  <c r="H1080" i="2"/>
  <c r="G1080" i="2"/>
  <c r="F1080" i="2"/>
  <c r="E1080" i="2"/>
  <c r="D1080" i="2"/>
  <c r="C1080" i="2"/>
  <c r="B1080" i="2"/>
  <c r="A1080" i="2"/>
  <c r="AX1079" i="2"/>
  <c r="AV1079" i="2"/>
  <c r="AU1079" i="2"/>
  <c r="AT1079" i="2"/>
  <c r="AS1079" i="2"/>
  <c r="AO1079" i="2"/>
  <c r="AM1079" i="2"/>
  <c r="AK1079" i="2"/>
  <c r="AI1079" i="2"/>
  <c r="AH1079" i="2"/>
  <c r="AG1079" i="2"/>
  <c r="AE1079" i="2"/>
  <c r="AD1079" i="2"/>
  <c r="AC1079" i="2"/>
  <c r="Z1079" i="2"/>
  <c r="Y1079" i="2"/>
  <c r="X1079" i="2"/>
  <c r="W1079" i="2"/>
  <c r="V1079" i="2"/>
  <c r="U1079" i="2"/>
  <c r="T1079" i="2"/>
  <c r="S1079" i="2"/>
  <c r="R1079" i="2"/>
  <c r="Q1079" i="2"/>
  <c r="P1079" i="2"/>
  <c r="O1079" i="2"/>
  <c r="N1079" i="2"/>
  <c r="M1079" i="2"/>
  <c r="L1079" i="2"/>
  <c r="K1079" i="2"/>
  <c r="J1079" i="2"/>
  <c r="I1079" i="2"/>
  <c r="H1079" i="2"/>
  <c r="G1079" i="2"/>
  <c r="F1079" i="2"/>
  <c r="E1079" i="2"/>
  <c r="D1079" i="2"/>
  <c r="C1079" i="2"/>
  <c r="B1079" i="2"/>
  <c r="A1079" i="2"/>
  <c r="AX1078" i="2"/>
  <c r="AV1078" i="2"/>
  <c r="AU1078" i="2"/>
  <c r="AS1078" i="2"/>
  <c r="AR1078" i="2"/>
  <c r="AO1078" i="2"/>
  <c r="AM1078" i="2"/>
  <c r="AK1078" i="2"/>
  <c r="AJ1078" i="2"/>
  <c r="AI1078" i="2"/>
  <c r="AH1078" i="2"/>
  <c r="AG1078" i="2"/>
  <c r="AE1078" i="2"/>
  <c r="AD1078" i="2"/>
  <c r="AC1078" i="2"/>
  <c r="Z1078" i="2"/>
  <c r="Y1078" i="2"/>
  <c r="X1078" i="2"/>
  <c r="W1078" i="2"/>
  <c r="V1078" i="2"/>
  <c r="U1078" i="2"/>
  <c r="T1078" i="2"/>
  <c r="S1078" i="2"/>
  <c r="R1078" i="2"/>
  <c r="Q1078" i="2"/>
  <c r="P1078" i="2"/>
  <c r="O1078" i="2"/>
  <c r="N1078" i="2"/>
  <c r="M1078" i="2"/>
  <c r="L1078" i="2"/>
  <c r="K1078" i="2"/>
  <c r="J1078" i="2"/>
  <c r="I1078" i="2"/>
  <c r="H1078" i="2"/>
  <c r="G1078" i="2"/>
  <c r="F1078" i="2"/>
  <c r="E1078" i="2"/>
  <c r="D1078" i="2"/>
  <c r="C1078" i="2"/>
  <c r="B1078" i="2"/>
  <c r="A1078" i="2"/>
  <c r="AX1077" i="2"/>
  <c r="AV1077" i="2"/>
  <c r="AU1077" i="2"/>
  <c r="AT1077" i="2"/>
  <c r="AS1077" i="2"/>
  <c r="AR1077" i="2"/>
  <c r="AP1077" i="2"/>
  <c r="AO1077" i="2"/>
  <c r="AM1077" i="2"/>
  <c r="AL1077" i="2"/>
  <c r="AK1077" i="2"/>
  <c r="AJ1077" i="2"/>
  <c r="AI1077" i="2"/>
  <c r="AH1077" i="2"/>
  <c r="AG1077" i="2"/>
  <c r="AF1077" i="2"/>
  <c r="AE1077" i="2"/>
  <c r="AD1077" i="2"/>
  <c r="AC1077" i="2"/>
  <c r="AA1077" i="2"/>
  <c r="Z1077" i="2"/>
  <c r="Y1077" i="2"/>
  <c r="X1077" i="2"/>
  <c r="W1077" i="2"/>
  <c r="V1077" i="2"/>
  <c r="U1077" i="2"/>
  <c r="T1077" i="2"/>
  <c r="S1077" i="2"/>
  <c r="R1077" i="2"/>
  <c r="Q1077" i="2"/>
  <c r="P1077" i="2"/>
  <c r="O1077" i="2"/>
  <c r="N1077" i="2"/>
  <c r="M1077" i="2"/>
  <c r="L1077" i="2"/>
  <c r="K1077" i="2"/>
  <c r="J1077" i="2"/>
  <c r="I1077" i="2"/>
  <c r="H1077" i="2"/>
  <c r="G1077" i="2"/>
  <c r="F1077" i="2"/>
  <c r="E1077" i="2"/>
  <c r="D1077" i="2"/>
  <c r="C1077" i="2"/>
  <c r="B1077" i="2"/>
  <c r="A1077" i="2"/>
  <c r="AX1076" i="2"/>
  <c r="AV1076" i="2"/>
  <c r="AU1076" i="2"/>
  <c r="AS1076" i="2"/>
  <c r="AO1076" i="2"/>
  <c r="AM1076" i="2"/>
  <c r="AL1076" i="2"/>
  <c r="AK1076" i="2"/>
  <c r="AI1076" i="2"/>
  <c r="AH1076" i="2"/>
  <c r="AG1076" i="2"/>
  <c r="AF1076" i="2"/>
  <c r="AE1076" i="2"/>
  <c r="AD1076" i="2"/>
  <c r="AC1076" i="2"/>
  <c r="Z1076" i="2"/>
  <c r="Y1076" i="2"/>
  <c r="X1076" i="2"/>
  <c r="W1076" i="2"/>
  <c r="V1076" i="2"/>
  <c r="U1076" i="2"/>
  <c r="T1076" i="2"/>
  <c r="S1076" i="2"/>
  <c r="R1076" i="2"/>
  <c r="Q1076" i="2"/>
  <c r="P1076" i="2"/>
  <c r="O1076" i="2"/>
  <c r="N1076" i="2"/>
  <c r="M1076" i="2"/>
  <c r="L1076" i="2"/>
  <c r="K1076" i="2"/>
  <c r="J1076" i="2"/>
  <c r="I1076" i="2"/>
  <c r="H1076" i="2"/>
  <c r="G1076" i="2"/>
  <c r="F1076" i="2"/>
  <c r="E1076" i="2"/>
  <c r="D1076" i="2"/>
  <c r="C1076" i="2"/>
  <c r="B1076" i="2"/>
  <c r="A1076" i="2"/>
  <c r="AX1075" i="2"/>
  <c r="AV1075" i="2"/>
  <c r="AU1075" i="2"/>
  <c r="AT1075" i="2"/>
  <c r="AS1075" i="2"/>
  <c r="AO1075" i="2"/>
  <c r="AM1075" i="2"/>
  <c r="AK1075" i="2"/>
  <c r="AJ1075" i="2"/>
  <c r="AI1075" i="2"/>
  <c r="AH1075" i="2"/>
  <c r="AG1075" i="2"/>
  <c r="AE1075" i="2"/>
  <c r="AD1075" i="2"/>
  <c r="AC1075" i="2"/>
  <c r="Z1075" i="2"/>
  <c r="Y1075" i="2"/>
  <c r="X1075" i="2"/>
  <c r="W1075" i="2"/>
  <c r="V1075" i="2"/>
  <c r="U1075" i="2"/>
  <c r="T1075" i="2"/>
  <c r="S1075" i="2"/>
  <c r="R1075" i="2"/>
  <c r="Q1075" i="2"/>
  <c r="P1075" i="2"/>
  <c r="O1075" i="2"/>
  <c r="N1075" i="2"/>
  <c r="M1075" i="2"/>
  <c r="L1075" i="2"/>
  <c r="K1075" i="2"/>
  <c r="J1075" i="2"/>
  <c r="I1075" i="2"/>
  <c r="H1075" i="2"/>
  <c r="G1075" i="2"/>
  <c r="F1075" i="2"/>
  <c r="E1075" i="2"/>
  <c r="D1075" i="2"/>
  <c r="C1075" i="2"/>
  <c r="B1075" i="2"/>
  <c r="A1075" i="2"/>
  <c r="AX1074" i="2"/>
  <c r="AV1074" i="2"/>
  <c r="AU1074" i="2"/>
  <c r="AT1074" i="2"/>
  <c r="AS1074" i="2"/>
  <c r="AR1074" i="2"/>
  <c r="AP1074" i="2"/>
  <c r="AO1074" i="2"/>
  <c r="AM1074" i="2"/>
  <c r="AK1074" i="2"/>
  <c r="AJ1074" i="2"/>
  <c r="AI1074" i="2"/>
  <c r="AH1074" i="2"/>
  <c r="AG1074" i="2"/>
  <c r="AE1074" i="2"/>
  <c r="AC1074" i="2"/>
  <c r="Z1074" i="2"/>
  <c r="Y1074" i="2"/>
  <c r="X1074" i="2"/>
  <c r="W1074" i="2"/>
  <c r="V1074" i="2"/>
  <c r="U1074" i="2"/>
  <c r="T1074" i="2"/>
  <c r="S1074" i="2"/>
  <c r="R1074" i="2"/>
  <c r="Q1074" i="2"/>
  <c r="P1074" i="2"/>
  <c r="O1074" i="2"/>
  <c r="N1074" i="2"/>
  <c r="M1074" i="2"/>
  <c r="L1074" i="2"/>
  <c r="K1074" i="2"/>
  <c r="J1074" i="2"/>
  <c r="I1074" i="2"/>
  <c r="H1074" i="2"/>
  <c r="G1074" i="2"/>
  <c r="F1074" i="2"/>
  <c r="E1074" i="2"/>
  <c r="D1074" i="2"/>
  <c r="C1074" i="2"/>
  <c r="B1074" i="2"/>
  <c r="A1074" i="2"/>
  <c r="AX1073" i="2"/>
  <c r="AV1073" i="2"/>
  <c r="AU1073" i="2"/>
  <c r="AT1073" i="2"/>
  <c r="AS1073" i="2"/>
  <c r="AR1073" i="2"/>
  <c r="AP1073" i="2"/>
  <c r="AO1073" i="2"/>
  <c r="AM1073" i="2"/>
  <c r="AL1073" i="2"/>
  <c r="AK1073" i="2"/>
  <c r="AI1073" i="2"/>
  <c r="AH1073" i="2"/>
  <c r="AG1073" i="2"/>
  <c r="AE1073" i="2"/>
  <c r="AD1073" i="2"/>
  <c r="AC1073" i="2"/>
  <c r="Z1073" i="2"/>
  <c r="Y1073" i="2"/>
  <c r="X1073" i="2"/>
  <c r="W1073" i="2"/>
  <c r="V1073" i="2"/>
  <c r="U1073" i="2"/>
  <c r="T1073" i="2"/>
  <c r="S1073" i="2"/>
  <c r="R1073" i="2"/>
  <c r="Q1073" i="2"/>
  <c r="P1073" i="2"/>
  <c r="O1073" i="2"/>
  <c r="N1073" i="2"/>
  <c r="M1073" i="2"/>
  <c r="L1073" i="2"/>
  <c r="K1073" i="2"/>
  <c r="J1073" i="2"/>
  <c r="I1073" i="2"/>
  <c r="H1073" i="2"/>
  <c r="G1073" i="2"/>
  <c r="F1073" i="2"/>
  <c r="E1073" i="2"/>
  <c r="D1073" i="2"/>
  <c r="C1073" i="2"/>
  <c r="B1073" i="2"/>
  <c r="A1073" i="2"/>
  <c r="AX1072" i="2"/>
  <c r="AV1072" i="2"/>
  <c r="AU1072" i="2"/>
  <c r="AS1072" i="2"/>
  <c r="AR1072" i="2"/>
  <c r="AP1072" i="2"/>
  <c r="AO1072" i="2"/>
  <c r="AM1072" i="2"/>
  <c r="AL1072" i="2"/>
  <c r="AK1072" i="2"/>
  <c r="AJ1072" i="2"/>
  <c r="AI1072" i="2"/>
  <c r="AH1072" i="2"/>
  <c r="AG1072" i="2"/>
  <c r="AF1072" i="2"/>
  <c r="AE1072" i="2"/>
  <c r="AD1072" i="2"/>
  <c r="AC1072" i="2"/>
  <c r="AA1072" i="2"/>
  <c r="Z1072" i="2"/>
  <c r="Y1072" i="2"/>
  <c r="X1072" i="2"/>
  <c r="W1072" i="2"/>
  <c r="V1072" i="2"/>
  <c r="U1072" i="2"/>
  <c r="T1072" i="2"/>
  <c r="S1072" i="2"/>
  <c r="R1072" i="2"/>
  <c r="Q1072" i="2"/>
  <c r="P1072" i="2"/>
  <c r="O1072" i="2"/>
  <c r="N1072" i="2"/>
  <c r="M1072" i="2"/>
  <c r="L1072" i="2"/>
  <c r="K1072" i="2"/>
  <c r="J1072" i="2"/>
  <c r="I1072" i="2"/>
  <c r="H1072" i="2"/>
  <c r="G1072" i="2"/>
  <c r="F1072" i="2"/>
  <c r="E1072" i="2"/>
  <c r="D1072" i="2"/>
  <c r="C1072" i="2"/>
  <c r="B1072" i="2"/>
  <c r="A1072" i="2"/>
  <c r="AX1071" i="2"/>
  <c r="AV1071" i="2"/>
  <c r="AU1071" i="2"/>
  <c r="AT1071" i="2"/>
  <c r="AS1071" i="2"/>
  <c r="AR1071" i="2"/>
  <c r="AP1071" i="2"/>
  <c r="AO1071" i="2"/>
  <c r="AM1071" i="2"/>
  <c r="AL1071" i="2"/>
  <c r="AK1071" i="2"/>
  <c r="AJ1071" i="2"/>
  <c r="AI1071" i="2"/>
  <c r="AH1071" i="2"/>
  <c r="AG1071" i="2"/>
  <c r="AE1071" i="2"/>
  <c r="AD1071" i="2"/>
  <c r="AC1071" i="2"/>
  <c r="AA1071" i="2"/>
  <c r="Z1071" i="2"/>
  <c r="Y1071" i="2"/>
  <c r="X1071" i="2"/>
  <c r="W1071" i="2"/>
  <c r="V1071" i="2"/>
  <c r="U1071" i="2"/>
  <c r="T1071" i="2"/>
  <c r="S1071" i="2"/>
  <c r="R1071" i="2"/>
  <c r="Q1071" i="2"/>
  <c r="P1071" i="2"/>
  <c r="O1071" i="2"/>
  <c r="N1071" i="2"/>
  <c r="M1071" i="2"/>
  <c r="L1071" i="2"/>
  <c r="K1071" i="2"/>
  <c r="J1071" i="2"/>
  <c r="I1071" i="2"/>
  <c r="H1071" i="2"/>
  <c r="G1071" i="2"/>
  <c r="F1071" i="2"/>
  <c r="E1071" i="2"/>
  <c r="D1071" i="2"/>
  <c r="C1071" i="2"/>
  <c r="B1071" i="2"/>
  <c r="A1071" i="2"/>
  <c r="AX1070" i="2"/>
  <c r="AV1070" i="2"/>
  <c r="AU1070" i="2"/>
  <c r="AT1070" i="2"/>
  <c r="AS1070" i="2"/>
  <c r="AR1070" i="2"/>
  <c r="AO1070" i="2"/>
  <c r="AM1070" i="2"/>
  <c r="AJ1070" i="2"/>
  <c r="AI1070" i="2"/>
  <c r="AH1070" i="2"/>
  <c r="AG1070" i="2"/>
  <c r="AE1070" i="2"/>
  <c r="AC1070" i="2"/>
  <c r="Z1070" i="2"/>
  <c r="Y1070" i="2"/>
  <c r="X1070" i="2"/>
  <c r="W1070" i="2"/>
  <c r="V1070" i="2"/>
  <c r="U1070" i="2"/>
  <c r="T1070" i="2"/>
  <c r="S1070" i="2"/>
  <c r="R1070" i="2"/>
  <c r="Q1070" i="2"/>
  <c r="P1070" i="2"/>
  <c r="O1070" i="2"/>
  <c r="N1070" i="2"/>
  <c r="M1070" i="2"/>
  <c r="L1070" i="2"/>
  <c r="K1070" i="2"/>
  <c r="J1070" i="2"/>
  <c r="I1070" i="2"/>
  <c r="H1070" i="2"/>
  <c r="G1070" i="2"/>
  <c r="F1070" i="2"/>
  <c r="E1070" i="2"/>
  <c r="D1070" i="2"/>
  <c r="C1070" i="2"/>
  <c r="B1070" i="2"/>
  <c r="A1070" i="2"/>
  <c r="AX1069" i="2"/>
  <c r="AV1069" i="2"/>
  <c r="AU1069" i="2"/>
  <c r="AT1069" i="2"/>
  <c r="AM1069" i="2"/>
  <c r="AC1069" i="2"/>
  <c r="AA1069" i="2"/>
  <c r="Z1069" i="2"/>
  <c r="Y1069" i="2"/>
  <c r="X1069" i="2"/>
  <c r="W1069" i="2"/>
  <c r="V1069" i="2"/>
  <c r="U1069" i="2"/>
  <c r="T1069" i="2"/>
  <c r="S1069" i="2"/>
  <c r="R1069" i="2"/>
  <c r="Q1069" i="2"/>
  <c r="P1069" i="2"/>
  <c r="O1069" i="2"/>
  <c r="N1069" i="2"/>
  <c r="M1069" i="2"/>
  <c r="L1069" i="2"/>
  <c r="K1069" i="2"/>
  <c r="J1069" i="2"/>
  <c r="I1069" i="2"/>
  <c r="H1069" i="2"/>
  <c r="G1069" i="2"/>
  <c r="F1069" i="2"/>
  <c r="E1069" i="2"/>
  <c r="D1069" i="2"/>
  <c r="C1069" i="2"/>
  <c r="B1069" i="2"/>
  <c r="A1069" i="2"/>
  <c r="AX1068" i="2"/>
  <c r="AV1068" i="2"/>
  <c r="AU1068" i="2"/>
  <c r="AT1068" i="2"/>
  <c r="AS1068" i="2"/>
  <c r="AR1068" i="2"/>
  <c r="AO1068" i="2"/>
  <c r="AM1068" i="2"/>
  <c r="AL1068" i="2"/>
  <c r="AK1068" i="2"/>
  <c r="AJ1068" i="2"/>
  <c r="AI1068" i="2"/>
  <c r="AH1068" i="2"/>
  <c r="AG1068" i="2"/>
  <c r="AD1068" i="2"/>
  <c r="AC1068" i="2"/>
  <c r="Z1068" i="2"/>
  <c r="Y1068" i="2"/>
  <c r="X1068" i="2"/>
  <c r="W1068" i="2"/>
  <c r="V1068" i="2"/>
  <c r="U1068" i="2"/>
  <c r="T1068" i="2"/>
  <c r="S1068" i="2"/>
  <c r="R1068" i="2"/>
  <c r="Q1068" i="2"/>
  <c r="P1068" i="2"/>
  <c r="O1068" i="2"/>
  <c r="N1068" i="2"/>
  <c r="M1068" i="2"/>
  <c r="L1068" i="2"/>
  <c r="K1068" i="2"/>
  <c r="J1068" i="2"/>
  <c r="I1068" i="2"/>
  <c r="H1068" i="2"/>
  <c r="G1068" i="2"/>
  <c r="F1068" i="2"/>
  <c r="E1068" i="2"/>
  <c r="D1068" i="2"/>
  <c r="C1068" i="2"/>
  <c r="B1068" i="2"/>
  <c r="A1068" i="2"/>
  <c r="AX1067" i="2"/>
  <c r="AV1067" i="2"/>
  <c r="AU1067" i="2"/>
  <c r="AT1067" i="2"/>
  <c r="AS1067" i="2"/>
  <c r="AR1067" i="2"/>
  <c r="AO1067" i="2"/>
  <c r="AN1067" i="2"/>
  <c r="AM1067" i="2"/>
  <c r="AL1067" i="2"/>
  <c r="AK1067" i="2"/>
  <c r="AI1067" i="2"/>
  <c r="AH1067" i="2"/>
  <c r="AG1067" i="2"/>
  <c r="AE1067" i="2"/>
  <c r="AD1067" i="2"/>
  <c r="AC1067" i="2"/>
  <c r="AA1067" i="2"/>
  <c r="Z1067" i="2"/>
  <c r="Y1067" i="2"/>
  <c r="X1067" i="2"/>
  <c r="W1067" i="2"/>
  <c r="V1067" i="2"/>
  <c r="U1067" i="2"/>
  <c r="T1067" i="2"/>
  <c r="S1067" i="2"/>
  <c r="R1067" i="2"/>
  <c r="Q1067" i="2"/>
  <c r="P1067" i="2"/>
  <c r="O1067" i="2"/>
  <c r="N1067" i="2"/>
  <c r="M1067" i="2"/>
  <c r="L1067" i="2"/>
  <c r="K1067" i="2"/>
  <c r="J1067" i="2"/>
  <c r="I1067" i="2"/>
  <c r="H1067" i="2"/>
  <c r="G1067" i="2"/>
  <c r="F1067" i="2"/>
  <c r="E1067" i="2"/>
  <c r="D1067" i="2"/>
  <c r="C1067" i="2"/>
  <c r="B1067" i="2"/>
  <c r="A1067" i="2"/>
  <c r="AX1066" i="2"/>
  <c r="AV1066" i="2"/>
  <c r="AU1066" i="2"/>
  <c r="AT1066" i="2"/>
  <c r="AS1066" i="2"/>
  <c r="AR1066" i="2"/>
  <c r="AO1066" i="2"/>
  <c r="AM1066" i="2"/>
  <c r="AK1066" i="2"/>
  <c r="AJ1066" i="2"/>
  <c r="AI1066" i="2"/>
  <c r="AH1066" i="2"/>
  <c r="AG1066" i="2"/>
  <c r="AE1066" i="2"/>
  <c r="AC1066" i="2"/>
  <c r="Z1066" i="2"/>
  <c r="Y1066" i="2"/>
  <c r="X1066" i="2"/>
  <c r="W1066" i="2"/>
  <c r="V1066" i="2"/>
  <c r="U1066" i="2"/>
  <c r="T1066" i="2"/>
  <c r="S1066" i="2"/>
  <c r="R1066" i="2"/>
  <c r="Q1066" i="2"/>
  <c r="P1066" i="2"/>
  <c r="O1066" i="2"/>
  <c r="N1066" i="2"/>
  <c r="M1066" i="2"/>
  <c r="L1066" i="2"/>
  <c r="K1066" i="2"/>
  <c r="J1066" i="2"/>
  <c r="I1066" i="2"/>
  <c r="H1066" i="2"/>
  <c r="G1066" i="2"/>
  <c r="F1066" i="2"/>
  <c r="E1066" i="2"/>
  <c r="D1066" i="2"/>
  <c r="C1066" i="2"/>
  <c r="B1066" i="2"/>
  <c r="A1066" i="2"/>
  <c r="AX1065" i="2"/>
  <c r="AV1065" i="2"/>
  <c r="AU1065" i="2"/>
  <c r="AT1065" i="2"/>
  <c r="AR1065" i="2"/>
  <c r="AO1065" i="2"/>
  <c r="AM1065" i="2"/>
  <c r="AK1065" i="2"/>
  <c r="AJ1065" i="2"/>
  <c r="AI1065" i="2"/>
  <c r="AH1065" i="2"/>
  <c r="AG1065" i="2"/>
  <c r="AF1065" i="2"/>
  <c r="AE1065" i="2"/>
  <c r="AD1065" i="2"/>
  <c r="AC1065" i="2"/>
  <c r="AA1065" i="2"/>
  <c r="Z1065" i="2"/>
  <c r="Y1065" i="2"/>
  <c r="X1065" i="2"/>
  <c r="W1065" i="2"/>
  <c r="V1065" i="2"/>
  <c r="U1065" i="2"/>
  <c r="T1065" i="2"/>
  <c r="S1065" i="2"/>
  <c r="R1065" i="2"/>
  <c r="Q1065" i="2"/>
  <c r="P1065" i="2"/>
  <c r="O1065" i="2"/>
  <c r="N1065" i="2"/>
  <c r="M1065" i="2"/>
  <c r="L1065" i="2"/>
  <c r="K1065" i="2"/>
  <c r="J1065" i="2"/>
  <c r="I1065" i="2"/>
  <c r="H1065" i="2"/>
  <c r="G1065" i="2"/>
  <c r="F1065" i="2"/>
  <c r="E1065" i="2"/>
  <c r="D1065" i="2"/>
  <c r="C1065" i="2"/>
  <c r="B1065" i="2"/>
  <c r="A1065" i="2"/>
  <c r="AX1064" i="2"/>
  <c r="AV1064" i="2"/>
  <c r="AU1064" i="2"/>
  <c r="AS1064" i="2"/>
  <c r="AR1064" i="2"/>
  <c r="AO1064" i="2"/>
  <c r="AM1064" i="2"/>
  <c r="AL1064" i="2"/>
  <c r="AK1064" i="2"/>
  <c r="AJ1064" i="2"/>
  <c r="AI1064" i="2"/>
  <c r="AH1064" i="2"/>
  <c r="AG1064" i="2"/>
  <c r="AE1064" i="2"/>
  <c r="AD1064" i="2"/>
  <c r="AC1064" i="2"/>
  <c r="AA1064" i="2"/>
  <c r="Z1064" i="2"/>
  <c r="Y1064" i="2"/>
  <c r="X1064" i="2"/>
  <c r="W1064" i="2"/>
  <c r="V1064" i="2"/>
  <c r="U1064" i="2"/>
  <c r="T1064" i="2"/>
  <c r="S1064" i="2"/>
  <c r="R1064" i="2"/>
  <c r="Q1064" i="2"/>
  <c r="P1064" i="2"/>
  <c r="O1064" i="2"/>
  <c r="N1064" i="2"/>
  <c r="M1064" i="2"/>
  <c r="L1064" i="2"/>
  <c r="K1064" i="2"/>
  <c r="J1064" i="2"/>
  <c r="I1064" i="2"/>
  <c r="H1064" i="2"/>
  <c r="G1064" i="2"/>
  <c r="F1064" i="2"/>
  <c r="E1064" i="2"/>
  <c r="D1064" i="2"/>
  <c r="C1064" i="2"/>
  <c r="B1064" i="2"/>
  <c r="A1064" i="2"/>
  <c r="AX1063" i="2"/>
  <c r="AV1063" i="2"/>
  <c r="AU1063" i="2"/>
  <c r="AT1063" i="2"/>
  <c r="AS1063" i="2"/>
  <c r="AR1063" i="2"/>
  <c r="AO1063" i="2"/>
  <c r="AM1063" i="2"/>
  <c r="AK1063" i="2"/>
  <c r="AJ1063" i="2"/>
  <c r="AI1063" i="2"/>
  <c r="AH1063" i="2"/>
  <c r="AG1063" i="2"/>
  <c r="AF1063" i="2"/>
  <c r="AE1063" i="2"/>
  <c r="AD1063" i="2"/>
  <c r="AC1063" i="2"/>
  <c r="AA1063" i="2"/>
  <c r="Z1063" i="2"/>
  <c r="Y1063" i="2"/>
  <c r="X1063" i="2"/>
  <c r="W1063" i="2"/>
  <c r="V1063" i="2"/>
  <c r="U1063" i="2"/>
  <c r="T1063" i="2"/>
  <c r="S1063" i="2"/>
  <c r="R1063" i="2"/>
  <c r="Q1063" i="2"/>
  <c r="P1063" i="2"/>
  <c r="O1063" i="2"/>
  <c r="N1063" i="2"/>
  <c r="M1063" i="2"/>
  <c r="L1063" i="2"/>
  <c r="K1063" i="2"/>
  <c r="J1063" i="2"/>
  <c r="I1063" i="2"/>
  <c r="H1063" i="2"/>
  <c r="G1063" i="2"/>
  <c r="F1063" i="2"/>
  <c r="E1063" i="2"/>
  <c r="D1063" i="2"/>
  <c r="C1063" i="2"/>
  <c r="B1063" i="2"/>
  <c r="A1063" i="2"/>
  <c r="AX1062" i="2"/>
  <c r="AV1062" i="2"/>
  <c r="AU1062" i="2"/>
  <c r="AT1062" i="2"/>
  <c r="AR1062" i="2"/>
  <c r="AO1062" i="2"/>
  <c r="AM1062" i="2"/>
  <c r="AK1062" i="2"/>
  <c r="AJ1062" i="2"/>
  <c r="AI1062" i="2"/>
  <c r="AH1062" i="2"/>
  <c r="AG1062" i="2"/>
  <c r="AE1062" i="2"/>
  <c r="AD1062" i="2"/>
  <c r="AC1062" i="2"/>
  <c r="Z1062" i="2"/>
  <c r="Y1062" i="2"/>
  <c r="X1062" i="2"/>
  <c r="W1062" i="2"/>
  <c r="V1062" i="2"/>
  <c r="U1062" i="2"/>
  <c r="T1062" i="2"/>
  <c r="S1062" i="2"/>
  <c r="R1062" i="2"/>
  <c r="Q1062" i="2"/>
  <c r="P1062" i="2"/>
  <c r="O1062" i="2"/>
  <c r="N1062" i="2"/>
  <c r="M1062" i="2"/>
  <c r="L1062" i="2"/>
  <c r="K1062" i="2"/>
  <c r="J1062" i="2"/>
  <c r="I1062" i="2"/>
  <c r="H1062" i="2"/>
  <c r="G1062" i="2"/>
  <c r="F1062" i="2"/>
  <c r="E1062" i="2"/>
  <c r="D1062" i="2"/>
  <c r="C1062" i="2"/>
  <c r="B1062" i="2"/>
  <c r="A1062" i="2"/>
  <c r="AX1061" i="2"/>
  <c r="AV1061" i="2"/>
  <c r="AU1061" i="2"/>
  <c r="AT1061" i="2"/>
  <c r="AS1061" i="2"/>
  <c r="AO1061" i="2"/>
  <c r="AM1061" i="2"/>
  <c r="AL1061" i="2"/>
  <c r="AK1061" i="2"/>
  <c r="AI1061" i="2"/>
  <c r="AH1061" i="2"/>
  <c r="AG1061" i="2"/>
  <c r="AE1061" i="2"/>
  <c r="AD1061" i="2"/>
  <c r="AC1061" i="2"/>
  <c r="AA1061" i="2"/>
  <c r="Z1061" i="2"/>
  <c r="Y1061" i="2"/>
  <c r="X1061" i="2"/>
  <c r="W1061" i="2"/>
  <c r="V1061" i="2"/>
  <c r="U1061" i="2"/>
  <c r="T1061" i="2"/>
  <c r="S1061" i="2"/>
  <c r="R1061" i="2"/>
  <c r="Q1061" i="2"/>
  <c r="P1061" i="2"/>
  <c r="O1061" i="2"/>
  <c r="N1061" i="2"/>
  <c r="M1061" i="2"/>
  <c r="L1061" i="2"/>
  <c r="K1061" i="2"/>
  <c r="J1061" i="2"/>
  <c r="I1061" i="2"/>
  <c r="H1061" i="2"/>
  <c r="G1061" i="2"/>
  <c r="F1061" i="2"/>
  <c r="E1061" i="2"/>
  <c r="D1061" i="2"/>
  <c r="C1061" i="2"/>
  <c r="B1061" i="2"/>
  <c r="A1061" i="2"/>
  <c r="AX1060" i="2"/>
  <c r="AV1060" i="2"/>
  <c r="AU1060" i="2"/>
  <c r="AT1060" i="2"/>
  <c r="AS1060" i="2"/>
  <c r="AR1060" i="2"/>
  <c r="AO1060" i="2"/>
  <c r="AM1060" i="2"/>
  <c r="AL1060" i="2"/>
  <c r="AK1060" i="2"/>
  <c r="AI1060" i="2"/>
  <c r="AH1060" i="2"/>
  <c r="AG1060" i="2"/>
  <c r="AE1060" i="2"/>
  <c r="AD1060" i="2"/>
  <c r="AC1060" i="2"/>
  <c r="AA1060" i="2"/>
  <c r="Z1060" i="2"/>
  <c r="Y1060" i="2"/>
  <c r="X1060" i="2"/>
  <c r="W1060" i="2"/>
  <c r="V1060" i="2"/>
  <c r="U1060" i="2"/>
  <c r="T1060" i="2"/>
  <c r="S1060" i="2"/>
  <c r="R1060" i="2"/>
  <c r="Q1060" i="2"/>
  <c r="P1060" i="2"/>
  <c r="O1060" i="2"/>
  <c r="N1060" i="2"/>
  <c r="M1060" i="2"/>
  <c r="L1060" i="2"/>
  <c r="K1060" i="2"/>
  <c r="J1060" i="2"/>
  <c r="I1060" i="2"/>
  <c r="H1060" i="2"/>
  <c r="G1060" i="2"/>
  <c r="F1060" i="2"/>
  <c r="E1060" i="2"/>
  <c r="D1060" i="2"/>
  <c r="C1060" i="2"/>
  <c r="B1060" i="2"/>
  <c r="A1060" i="2"/>
  <c r="AX1059" i="2"/>
  <c r="AV1059" i="2"/>
  <c r="AU1059" i="2"/>
  <c r="AI1059" i="2"/>
  <c r="AC1059" i="2"/>
  <c r="AA1059" i="2"/>
  <c r="Z1059" i="2"/>
  <c r="Y1059" i="2"/>
  <c r="X1059" i="2"/>
  <c r="W1059" i="2"/>
  <c r="V1059" i="2"/>
  <c r="U1059" i="2"/>
  <c r="T1059" i="2"/>
  <c r="S1059" i="2"/>
  <c r="R1059" i="2"/>
  <c r="Q1059" i="2"/>
  <c r="P1059" i="2"/>
  <c r="O1059" i="2"/>
  <c r="N1059" i="2"/>
  <c r="M1059" i="2"/>
  <c r="L1059" i="2"/>
  <c r="K1059" i="2"/>
  <c r="J1059" i="2"/>
  <c r="I1059" i="2"/>
  <c r="H1059" i="2"/>
  <c r="G1059" i="2"/>
  <c r="F1059" i="2"/>
  <c r="E1059" i="2"/>
  <c r="D1059" i="2"/>
  <c r="C1059" i="2"/>
  <c r="B1059" i="2"/>
  <c r="A1059" i="2"/>
  <c r="AX1058" i="2"/>
  <c r="AV1058" i="2"/>
  <c r="AU1058" i="2"/>
  <c r="AS1058" i="2"/>
  <c r="AO1058" i="2"/>
  <c r="AM1058" i="2"/>
  <c r="AL1058" i="2"/>
  <c r="AK1058" i="2"/>
  <c r="AJ1058" i="2"/>
  <c r="AI1058" i="2"/>
  <c r="AH1058" i="2"/>
  <c r="AG1058" i="2"/>
  <c r="AE1058" i="2"/>
  <c r="AD1058" i="2"/>
  <c r="AC1058" i="2"/>
  <c r="AA1058" i="2"/>
  <c r="Z1058" i="2"/>
  <c r="Y1058" i="2"/>
  <c r="X1058" i="2"/>
  <c r="W1058" i="2"/>
  <c r="V1058" i="2"/>
  <c r="U1058" i="2"/>
  <c r="T1058" i="2"/>
  <c r="S1058" i="2"/>
  <c r="R1058" i="2"/>
  <c r="Q1058" i="2"/>
  <c r="P1058" i="2"/>
  <c r="O1058" i="2"/>
  <c r="N1058" i="2"/>
  <c r="M1058" i="2"/>
  <c r="L1058" i="2"/>
  <c r="K1058" i="2"/>
  <c r="J1058" i="2"/>
  <c r="I1058" i="2"/>
  <c r="H1058" i="2"/>
  <c r="G1058" i="2"/>
  <c r="F1058" i="2"/>
  <c r="E1058" i="2"/>
  <c r="D1058" i="2"/>
  <c r="C1058" i="2"/>
  <c r="B1058" i="2"/>
  <c r="A1058" i="2"/>
  <c r="AX1057" i="2"/>
  <c r="AV1057" i="2"/>
  <c r="AU1057" i="2"/>
  <c r="AT1057" i="2"/>
  <c r="AR1057" i="2"/>
  <c r="AO1057" i="2"/>
  <c r="AM1057" i="2"/>
  <c r="AJ1057" i="2"/>
  <c r="AI1057" i="2"/>
  <c r="AH1057" i="2"/>
  <c r="AG1057" i="2"/>
  <c r="AD1057" i="2"/>
  <c r="AC1057" i="2"/>
  <c r="Z1057" i="2"/>
  <c r="Y1057" i="2"/>
  <c r="X1057" i="2"/>
  <c r="W1057" i="2"/>
  <c r="V1057" i="2"/>
  <c r="U1057" i="2"/>
  <c r="T1057" i="2"/>
  <c r="S1057" i="2"/>
  <c r="R1057" i="2"/>
  <c r="Q1057" i="2"/>
  <c r="P1057" i="2"/>
  <c r="O1057" i="2"/>
  <c r="N1057" i="2"/>
  <c r="M1057" i="2"/>
  <c r="L1057" i="2"/>
  <c r="K1057" i="2"/>
  <c r="J1057" i="2"/>
  <c r="I1057" i="2"/>
  <c r="H1057" i="2"/>
  <c r="G1057" i="2"/>
  <c r="F1057" i="2"/>
  <c r="E1057" i="2"/>
  <c r="D1057" i="2"/>
  <c r="C1057" i="2"/>
  <c r="B1057" i="2"/>
  <c r="A1057" i="2"/>
  <c r="AX1056" i="2"/>
  <c r="AV1056" i="2"/>
  <c r="AU1056" i="2"/>
  <c r="AT1056" i="2"/>
  <c r="AS1056" i="2"/>
  <c r="AR1056" i="2"/>
  <c r="AO1056" i="2"/>
  <c r="AM1056" i="2"/>
  <c r="AL1056" i="2"/>
  <c r="AK1056" i="2"/>
  <c r="AJ1056" i="2"/>
  <c r="AI1056" i="2"/>
  <c r="AH1056" i="2"/>
  <c r="AG1056" i="2"/>
  <c r="AE1056" i="2"/>
  <c r="AD1056" i="2"/>
  <c r="AC1056" i="2"/>
  <c r="AA1056" i="2"/>
  <c r="Z1056" i="2"/>
  <c r="Y1056" i="2"/>
  <c r="X1056" i="2"/>
  <c r="W1056" i="2"/>
  <c r="V1056" i="2"/>
  <c r="U1056" i="2"/>
  <c r="T1056" i="2"/>
  <c r="S1056" i="2"/>
  <c r="R1056" i="2"/>
  <c r="Q1056" i="2"/>
  <c r="P1056" i="2"/>
  <c r="O1056" i="2"/>
  <c r="N1056" i="2"/>
  <c r="M1056" i="2"/>
  <c r="L1056" i="2"/>
  <c r="K1056" i="2"/>
  <c r="J1056" i="2"/>
  <c r="I1056" i="2"/>
  <c r="H1056" i="2"/>
  <c r="G1056" i="2"/>
  <c r="F1056" i="2"/>
  <c r="E1056" i="2"/>
  <c r="D1056" i="2"/>
  <c r="C1056" i="2"/>
  <c r="B1056" i="2"/>
  <c r="A1056" i="2"/>
  <c r="AX1055" i="2"/>
  <c r="AV1055" i="2"/>
  <c r="AU1055" i="2"/>
  <c r="AT1055" i="2"/>
  <c r="AS1055" i="2"/>
  <c r="AR1055" i="2"/>
  <c r="AO1055" i="2"/>
  <c r="AM1055" i="2"/>
  <c r="AK1055" i="2"/>
  <c r="AJ1055" i="2"/>
  <c r="AI1055" i="2"/>
  <c r="AH1055" i="2"/>
  <c r="AG1055" i="2"/>
  <c r="AD1055" i="2"/>
  <c r="AC1055" i="2"/>
  <c r="AA1055" i="2"/>
  <c r="Z1055" i="2"/>
  <c r="Y1055" i="2"/>
  <c r="X1055" i="2"/>
  <c r="W1055" i="2"/>
  <c r="V1055" i="2"/>
  <c r="U1055" i="2"/>
  <c r="T1055" i="2"/>
  <c r="S1055" i="2"/>
  <c r="R1055" i="2"/>
  <c r="Q1055" i="2"/>
  <c r="P1055" i="2"/>
  <c r="O1055" i="2"/>
  <c r="N1055" i="2"/>
  <c r="M1055" i="2"/>
  <c r="L1055" i="2"/>
  <c r="K1055" i="2"/>
  <c r="J1055" i="2"/>
  <c r="I1055" i="2"/>
  <c r="H1055" i="2"/>
  <c r="G1055" i="2"/>
  <c r="F1055" i="2"/>
  <c r="E1055" i="2"/>
  <c r="D1055" i="2"/>
  <c r="C1055" i="2"/>
  <c r="B1055" i="2"/>
  <c r="A1055" i="2"/>
  <c r="AX1054" i="2"/>
  <c r="AV1054" i="2"/>
  <c r="AU1054" i="2"/>
  <c r="AS1054" i="2"/>
  <c r="AR1054" i="2"/>
  <c r="AO1054" i="2"/>
  <c r="AM1054" i="2"/>
  <c r="AL1054" i="2"/>
  <c r="AK1054" i="2"/>
  <c r="AJ1054" i="2"/>
  <c r="AI1054" i="2"/>
  <c r="AH1054" i="2"/>
  <c r="AG1054" i="2"/>
  <c r="AE1054" i="2"/>
  <c r="AD1054" i="2"/>
  <c r="AC1054" i="2"/>
  <c r="AA1054" i="2"/>
  <c r="Z1054" i="2"/>
  <c r="Y1054" i="2"/>
  <c r="X1054" i="2"/>
  <c r="W1054" i="2"/>
  <c r="V1054" i="2"/>
  <c r="U1054" i="2"/>
  <c r="T1054" i="2"/>
  <c r="S1054" i="2"/>
  <c r="R1054" i="2"/>
  <c r="Q1054" i="2"/>
  <c r="P1054" i="2"/>
  <c r="O1054" i="2"/>
  <c r="N1054" i="2"/>
  <c r="M1054" i="2"/>
  <c r="L1054" i="2"/>
  <c r="K1054" i="2"/>
  <c r="J1054" i="2"/>
  <c r="I1054" i="2"/>
  <c r="H1054" i="2"/>
  <c r="G1054" i="2"/>
  <c r="F1054" i="2"/>
  <c r="E1054" i="2"/>
  <c r="D1054" i="2"/>
  <c r="C1054" i="2"/>
  <c r="B1054" i="2"/>
  <c r="A1054" i="2"/>
  <c r="AX1053" i="2"/>
  <c r="AV1053" i="2"/>
  <c r="AU1053" i="2"/>
  <c r="AT1053" i="2"/>
  <c r="AS1053" i="2"/>
  <c r="AR1053" i="2"/>
  <c r="AP1053" i="2"/>
  <c r="AO1053" i="2"/>
  <c r="AM1053" i="2"/>
  <c r="AL1053" i="2"/>
  <c r="AK1053" i="2"/>
  <c r="AI1053" i="2"/>
  <c r="AH1053" i="2"/>
  <c r="AG1053" i="2"/>
  <c r="AE1053" i="2"/>
  <c r="AD1053" i="2"/>
  <c r="AC1053" i="2"/>
  <c r="AA1053" i="2"/>
  <c r="Z1053" i="2"/>
  <c r="Y1053" i="2"/>
  <c r="X1053" i="2"/>
  <c r="W1053" i="2"/>
  <c r="V1053" i="2"/>
  <c r="U1053" i="2"/>
  <c r="T1053" i="2"/>
  <c r="S1053" i="2"/>
  <c r="R1053" i="2"/>
  <c r="Q1053" i="2"/>
  <c r="P1053" i="2"/>
  <c r="O1053" i="2"/>
  <c r="N1053" i="2"/>
  <c r="M1053" i="2"/>
  <c r="L1053" i="2"/>
  <c r="K1053" i="2"/>
  <c r="J1053" i="2"/>
  <c r="I1053" i="2"/>
  <c r="H1053" i="2"/>
  <c r="G1053" i="2"/>
  <c r="F1053" i="2"/>
  <c r="E1053" i="2"/>
  <c r="D1053" i="2"/>
  <c r="C1053" i="2"/>
  <c r="B1053" i="2"/>
  <c r="A1053" i="2"/>
  <c r="AX1052" i="2"/>
  <c r="AV1052" i="2"/>
  <c r="AU1052" i="2"/>
  <c r="AS1052" i="2"/>
  <c r="AR1052" i="2"/>
  <c r="AO1052" i="2"/>
  <c r="AM1052" i="2"/>
  <c r="AL1052" i="2"/>
  <c r="AK1052" i="2"/>
  <c r="AJ1052" i="2"/>
  <c r="AI1052" i="2"/>
  <c r="AH1052" i="2"/>
  <c r="AG1052" i="2"/>
  <c r="AE1052" i="2"/>
  <c r="AD1052" i="2"/>
  <c r="AC1052" i="2"/>
  <c r="Z1052" i="2"/>
  <c r="Y1052" i="2"/>
  <c r="X1052" i="2"/>
  <c r="W1052" i="2"/>
  <c r="V1052" i="2"/>
  <c r="U1052" i="2"/>
  <c r="T1052" i="2"/>
  <c r="S1052" i="2"/>
  <c r="R1052" i="2"/>
  <c r="Q1052" i="2"/>
  <c r="P1052" i="2"/>
  <c r="O1052" i="2"/>
  <c r="N1052" i="2"/>
  <c r="M1052" i="2"/>
  <c r="L1052" i="2"/>
  <c r="K1052" i="2"/>
  <c r="J1052" i="2"/>
  <c r="I1052" i="2"/>
  <c r="H1052" i="2"/>
  <c r="G1052" i="2"/>
  <c r="F1052" i="2"/>
  <c r="E1052" i="2"/>
  <c r="D1052" i="2"/>
  <c r="C1052" i="2"/>
  <c r="B1052" i="2"/>
  <c r="A1052" i="2"/>
  <c r="AX1051" i="2"/>
  <c r="AV1051" i="2"/>
  <c r="AU1051" i="2"/>
  <c r="AT1051" i="2"/>
  <c r="AS1051" i="2"/>
  <c r="AR1051" i="2"/>
  <c r="AO1051" i="2"/>
  <c r="AM1051" i="2"/>
  <c r="AK1051" i="2"/>
  <c r="AJ1051" i="2"/>
  <c r="AI1051" i="2"/>
  <c r="AH1051" i="2"/>
  <c r="AG1051" i="2"/>
  <c r="AF1051" i="2"/>
  <c r="AE1051" i="2"/>
  <c r="AD1051" i="2"/>
  <c r="AC1051" i="2"/>
  <c r="AA1051" i="2"/>
  <c r="Z1051" i="2"/>
  <c r="Y1051" i="2"/>
  <c r="X1051" i="2"/>
  <c r="W1051" i="2"/>
  <c r="V1051" i="2"/>
  <c r="U1051" i="2"/>
  <c r="T1051" i="2"/>
  <c r="S1051" i="2"/>
  <c r="R1051" i="2"/>
  <c r="Q1051" i="2"/>
  <c r="P1051" i="2"/>
  <c r="O1051" i="2"/>
  <c r="N1051" i="2"/>
  <c r="M1051" i="2"/>
  <c r="L1051" i="2"/>
  <c r="K1051" i="2"/>
  <c r="J1051" i="2"/>
  <c r="I1051" i="2"/>
  <c r="H1051" i="2"/>
  <c r="G1051" i="2"/>
  <c r="F1051" i="2"/>
  <c r="E1051" i="2"/>
  <c r="D1051" i="2"/>
  <c r="C1051" i="2"/>
  <c r="B1051" i="2"/>
  <c r="A1051" i="2"/>
  <c r="AX1050" i="2"/>
  <c r="AV1050" i="2"/>
  <c r="AU1050" i="2"/>
  <c r="AT1050" i="2"/>
  <c r="AS1050" i="2"/>
  <c r="AR1050" i="2"/>
  <c r="AO1050" i="2"/>
  <c r="AM1050" i="2"/>
  <c r="AK1050" i="2"/>
  <c r="AJ1050" i="2"/>
  <c r="AI1050" i="2"/>
  <c r="AH1050" i="2"/>
  <c r="AG1050" i="2"/>
  <c r="AE1050" i="2"/>
  <c r="AD1050" i="2"/>
  <c r="AC1050" i="2"/>
  <c r="AA1050" i="2"/>
  <c r="Z1050" i="2"/>
  <c r="Y1050" i="2"/>
  <c r="X1050" i="2"/>
  <c r="W1050" i="2"/>
  <c r="V1050" i="2"/>
  <c r="U1050" i="2"/>
  <c r="T1050" i="2"/>
  <c r="S1050" i="2"/>
  <c r="R1050" i="2"/>
  <c r="Q1050" i="2"/>
  <c r="P1050" i="2"/>
  <c r="O1050" i="2"/>
  <c r="N1050" i="2"/>
  <c r="M1050" i="2"/>
  <c r="L1050" i="2"/>
  <c r="K1050" i="2"/>
  <c r="J1050" i="2"/>
  <c r="I1050" i="2"/>
  <c r="H1050" i="2"/>
  <c r="G1050" i="2"/>
  <c r="F1050" i="2"/>
  <c r="E1050" i="2"/>
  <c r="D1050" i="2"/>
  <c r="C1050" i="2"/>
  <c r="B1050" i="2"/>
  <c r="A1050" i="2"/>
  <c r="AX1049" i="2"/>
  <c r="AV1049" i="2"/>
  <c r="AU1049" i="2"/>
  <c r="AS1049" i="2"/>
  <c r="AR1049" i="2"/>
  <c r="AO1049" i="2"/>
  <c r="AM1049" i="2"/>
  <c r="AL1049" i="2"/>
  <c r="AK1049" i="2"/>
  <c r="AJ1049" i="2"/>
  <c r="AI1049" i="2"/>
  <c r="AH1049" i="2"/>
  <c r="AG1049" i="2"/>
  <c r="AE1049" i="2"/>
  <c r="AD1049" i="2"/>
  <c r="AC1049" i="2"/>
  <c r="AA1049" i="2"/>
  <c r="Z1049" i="2"/>
  <c r="Y1049" i="2"/>
  <c r="X1049" i="2"/>
  <c r="W1049" i="2"/>
  <c r="V1049" i="2"/>
  <c r="U1049" i="2"/>
  <c r="T1049" i="2"/>
  <c r="S1049" i="2"/>
  <c r="R1049" i="2"/>
  <c r="Q1049" i="2"/>
  <c r="P1049" i="2"/>
  <c r="O1049" i="2"/>
  <c r="N1049" i="2"/>
  <c r="M1049" i="2"/>
  <c r="L1049" i="2"/>
  <c r="K1049" i="2"/>
  <c r="J1049" i="2"/>
  <c r="I1049" i="2"/>
  <c r="H1049" i="2"/>
  <c r="G1049" i="2"/>
  <c r="F1049" i="2"/>
  <c r="E1049" i="2"/>
  <c r="D1049" i="2"/>
  <c r="C1049" i="2"/>
  <c r="B1049" i="2"/>
  <c r="A1049" i="2"/>
  <c r="AX1048" i="2"/>
  <c r="AV1048" i="2"/>
  <c r="AU1048" i="2"/>
  <c r="AT1048" i="2"/>
  <c r="AR1048" i="2"/>
  <c r="AO1048" i="2"/>
  <c r="AM1048" i="2"/>
  <c r="AK1048" i="2"/>
  <c r="AJ1048" i="2"/>
  <c r="AI1048" i="2"/>
  <c r="AH1048" i="2"/>
  <c r="AG1048" i="2"/>
  <c r="AF1048" i="2"/>
  <c r="AE1048" i="2"/>
  <c r="AD1048" i="2"/>
  <c r="AC1048" i="2"/>
  <c r="Z1048" i="2"/>
  <c r="Y1048" i="2"/>
  <c r="X1048" i="2"/>
  <c r="W1048" i="2"/>
  <c r="V1048" i="2"/>
  <c r="U1048" i="2"/>
  <c r="T1048" i="2"/>
  <c r="S1048" i="2"/>
  <c r="R1048" i="2"/>
  <c r="Q1048" i="2"/>
  <c r="P1048" i="2"/>
  <c r="O1048" i="2"/>
  <c r="N1048" i="2"/>
  <c r="M1048" i="2"/>
  <c r="L1048" i="2"/>
  <c r="K1048" i="2"/>
  <c r="J1048" i="2"/>
  <c r="I1048" i="2"/>
  <c r="H1048" i="2"/>
  <c r="G1048" i="2"/>
  <c r="F1048" i="2"/>
  <c r="E1048" i="2"/>
  <c r="D1048" i="2"/>
  <c r="C1048" i="2"/>
  <c r="B1048" i="2"/>
  <c r="A1048" i="2"/>
  <c r="AX1047" i="2"/>
  <c r="AV1047" i="2"/>
  <c r="AU1047" i="2"/>
  <c r="AT1047" i="2"/>
  <c r="AM1047" i="2"/>
  <c r="AI1047" i="2"/>
  <c r="AC1047" i="2"/>
  <c r="AA1047" i="2"/>
  <c r="Z1047" i="2"/>
  <c r="Y1047" i="2"/>
  <c r="X1047" i="2"/>
  <c r="W1047" i="2"/>
  <c r="V1047" i="2"/>
  <c r="U1047" i="2"/>
  <c r="T1047" i="2"/>
  <c r="S1047" i="2"/>
  <c r="R1047" i="2"/>
  <c r="Q1047" i="2"/>
  <c r="P1047" i="2"/>
  <c r="O1047" i="2"/>
  <c r="N1047" i="2"/>
  <c r="M1047" i="2"/>
  <c r="L1047" i="2"/>
  <c r="K1047" i="2"/>
  <c r="J1047" i="2"/>
  <c r="I1047" i="2"/>
  <c r="H1047" i="2"/>
  <c r="G1047" i="2"/>
  <c r="F1047" i="2"/>
  <c r="E1047" i="2"/>
  <c r="D1047" i="2"/>
  <c r="C1047" i="2"/>
  <c r="B1047" i="2"/>
  <c r="A1047" i="2"/>
  <c r="AX1046" i="2"/>
  <c r="AV1046" i="2"/>
  <c r="AU1046" i="2"/>
  <c r="AT1046" i="2"/>
  <c r="AR1046" i="2"/>
  <c r="AO1046" i="2"/>
  <c r="AM1046" i="2"/>
  <c r="AK1046" i="2"/>
  <c r="AJ1046" i="2"/>
  <c r="AI1046" i="2"/>
  <c r="AH1046" i="2"/>
  <c r="AG1046" i="2"/>
  <c r="AC1046" i="2"/>
  <c r="Z1046" i="2"/>
  <c r="Y1046" i="2"/>
  <c r="X1046" i="2"/>
  <c r="W1046" i="2"/>
  <c r="V1046" i="2"/>
  <c r="U1046" i="2"/>
  <c r="T1046" i="2"/>
  <c r="S1046" i="2"/>
  <c r="R1046" i="2"/>
  <c r="Q1046" i="2"/>
  <c r="P1046" i="2"/>
  <c r="O1046" i="2"/>
  <c r="N1046" i="2"/>
  <c r="M1046" i="2"/>
  <c r="L1046" i="2"/>
  <c r="K1046" i="2"/>
  <c r="J1046" i="2"/>
  <c r="I1046" i="2"/>
  <c r="H1046" i="2"/>
  <c r="G1046" i="2"/>
  <c r="F1046" i="2"/>
  <c r="E1046" i="2"/>
  <c r="D1046" i="2"/>
  <c r="C1046" i="2"/>
  <c r="B1046" i="2"/>
  <c r="A1046" i="2"/>
  <c r="AX1045" i="2"/>
  <c r="AV1045" i="2"/>
  <c r="AU1045" i="2"/>
  <c r="AT1045" i="2"/>
  <c r="AO1045" i="2"/>
  <c r="AM1045" i="2"/>
  <c r="AK1045" i="2"/>
  <c r="AJ1045" i="2"/>
  <c r="AI1045" i="2"/>
  <c r="AH1045" i="2"/>
  <c r="AG1045" i="2"/>
  <c r="AE1045" i="2"/>
  <c r="AD1045" i="2"/>
  <c r="AC1045" i="2"/>
  <c r="Z1045" i="2"/>
  <c r="Y1045" i="2"/>
  <c r="X1045" i="2"/>
  <c r="W1045" i="2"/>
  <c r="V1045" i="2"/>
  <c r="U1045" i="2"/>
  <c r="T1045" i="2"/>
  <c r="S1045" i="2"/>
  <c r="R1045" i="2"/>
  <c r="Q1045" i="2"/>
  <c r="P1045" i="2"/>
  <c r="O1045" i="2"/>
  <c r="N1045" i="2"/>
  <c r="M1045" i="2"/>
  <c r="L1045" i="2"/>
  <c r="K1045" i="2"/>
  <c r="J1045" i="2"/>
  <c r="I1045" i="2"/>
  <c r="H1045" i="2"/>
  <c r="G1045" i="2"/>
  <c r="F1045" i="2"/>
  <c r="E1045" i="2"/>
  <c r="D1045" i="2"/>
  <c r="C1045" i="2"/>
  <c r="B1045" i="2"/>
  <c r="A1045" i="2"/>
  <c r="AX1044" i="2"/>
  <c r="AV1044" i="2"/>
  <c r="AU1044" i="2"/>
  <c r="AT1044" i="2"/>
  <c r="AS1044" i="2"/>
  <c r="AR1044" i="2"/>
  <c r="AO1044" i="2"/>
  <c r="AM1044" i="2"/>
  <c r="AL1044" i="2"/>
  <c r="AK1044" i="2"/>
  <c r="AJ1044" i="2"/>
  <c r="AI1044" i="2"/>
  <c r="AH1044" i="2"/>
  <c r="AG1044" i="2"/>
  <c r="AF1044" i="2"/>
  <c r="AE1044" i="2"/>
  <c r="AD1044" i="2"/>
  <c r="AC1044" i="2"/>
  <c r="AA1044" i="2"/>
  <c r="Z1044" i="2"/>
  <c r="Y1044" i="2"/>
  <c r="X1044" i="2"/>
  <c r="W1044" i="2"/>
  <c r="V1044" i="2"/>
  <c r="U1044" i="2"/>
  <c r="T1044" i="2"/>
  <c r="S1044" i="2"/>
  <c r="R1044" i="2"/>
  <c r="Q1044" i="2"/>
  <c r="P1044" i="2"/>
  <c r="O1044" i="2"/>
  <c r="N1044" i="2"/>
  <c r="M1044" i="2"/>
  <c r="L1044" i="2"/>
  <c r="K1044" i="2"/>
  <c r="J1044" i="2"/>
  <c r="I1044" i="2"/>
  <c r="H1044" i="2"/>
  <c r="G1044" i="2"/>
  <c r="F1044" i="2"/>
  <c r="E1044" i="2"/>
  <c r="D1044" i="2"/>
  <c r="C1044" i="2"/>
  <c r="B1044" i="2"/>
  <c r="A1044" i="2"/>
  <c r="AX1043" i="2"/>
  <c r="AV1043" i="2"/>
  <c r="AU1043" i="2"/>
  <c r="AT1043" i="2"/>
  <c r="AS1043" i="2"/>
  <c r="AR1043" i="2"/>
  <c r="AO1043" i="2"/>
  <c r="AM1043" i="2"/>
  <c r="AK1043" i="2"/>
  <c r="AJ1043" i="2"/>
  <c r="AI1043" i="2"/>
  <c r="AH1043" i="2"/>
  <c r="AG1043" i="2"/>
  <c r="AD1043" i="2"/>
  <c r="AC1043" i="2"/>
  <c r="AA1043" i="2"/>
  <c r="Z1043" i="2"/>
  <c r="Y1043" i="2"/>
  <c r="X1043" i="2"/>
  <c r="W1043" i="2"/>
  <c r="V1043" i="2"/>
  <c r="U1043" i="2"/>
  <c r="T1043" i="2"/>
  <c r="S1043" i="2"/>
  <c r="R1043" i="2"/>
  <c r="Q1043" i="2"/>
  <c r="P1043" i="2"/>
  <c r="O1043" i="2"/>
  <c r="N1043" i="2"/>
  <c r="M1043" i="2"/>
  <c r="L1043" i="2"/>
  <c r="K1043" i="2"/>
  <c r="J1043" i="2"/>
  <c r="I1043" i="2"/>
  <c r="H1043" i="2"/>
  <c r="G1043" i="2"/>
  <c r="F1043" i="2"/>
  <c r="E1043" i="2"/>
  <c r="D1043" i="2"/>
  <c r="C1043" i="2"/>
  <c r="B1043" i="2"/>
  <c r="A1043" i="2"/>
  <c r="AX1042" i="2"/>
  <c r="AV1042" i="2"/>
  <c r="AU1042" i="2"/>
  <c r="AS1042" i="2"/>
  <c r="AR1042" i="2"/>
  <c r="AO1042" i="2"/>
  <c r="AM1042" i="2"/>
  <c r="AK1042" i="2"/>
  <c r="AJ1042" i="2"/>
  <c r="AI1042" i="2"/>
  <c r="AH1042" i="2"/>
  <c r="AG1042" i="2"/>
  <c r="AE1042" i="2"/>
  <c r="AD1042" i="2"/>
  <c r="AC1042" i="2"/>
  <c r="AA1042" i="2"/>
  <c r="Z1042" i="2"/>
  <c r="Y1042" i="2"/>
  <c r="X1042" i="2"/>
  <c r="W1042" i="2"/>
  <c r="V1042" i="2"/>
  <c r="U1042" i="2"/>
  <c r="T1042" i="2"/>
  <c r="S1042" i="2"/>
  <c r="R1042" i="2"/>
  <c r="Q1042" i="2"/>
  <c r="P1042" i="2"/>
  <c r="O1042" i="2"/>
  <c r="N1042" i="2"/>
  <c r="M1042" i="2"/>
  <c r="L1042" i="2"/>
  <c r="K1042" i="2"/>
  <c r="J1042" i="2"/>
  <c r="I1042" i="2"/>
  <c r="H1042" i="2"/>
  <c r="G1042" i="2"/>
  <c r="F1042" i="2"/>
  <c r="E1042" i="2"/>
  <c r="D1042" i="2"/>
  <c r="C1042" i="2"/>
  <c r="B1042" i="2"/>
  <c r="A1042" i="2"/>
  <c r="AX1041" i="2"/>
  <c r="AV1041" i="2"/>
  <c r="AU1041" i="2"/>
  <c r="AT1041" i="2"/>
  <c r="AS1041" i="2"/>
  <c r="AR1041" i="2"/>
  <c r="AO1041" i="2"/>
  <c r="AM1041" i="2"/>
  <c r="AL1041" i="2"/>
  <c r="AK1041" i="2"/>
  <c r="AJ1041" i="2"/>
  <c r="AI1041" i="2"/>
  <c r="AH1041" i="2"/>
  <c r="AG1041" i="2"/>
  <c r="AE1041" i="2"/>
  <c r="AD1041" i="2"/>
  <c r="AC1041" i="2"/>
  <c r="AA1041" i="2"/>
  <c r="Z1041" i="2"/>
  <c r="Y1041" i="2"/>
  <c r="X1041" i="2"/>
  <c r="W1041" i="2"/>
  <c r="V1041" i="2"/>
  <c r="U1041" i="2"/>
  <c r="T1041" i="2"/>
  <c r="S1041" i="2"/>
  <c r="R1041" i="2"/>
  <c r="Q1041" i="2"/>
  <c r="P1041" i="2"/>
  <c r="O1041" i="2"/>
  <c r="N1041" i="2"/>
  <c r="M1041" i="2"/>
  <c r="L1041" i="2"/>
  <c r="K1041" i="2"/>
  <c r="J1041" i="2"/>
  <c r="I1041" i="2"/>
  <c r="H1041" i="2"/>
  <c r="G1041" i="2"/>
  <c r="F1041" i="2"/>
  <c r="E1041" i="2"/>
  <c r="D1041" i="2"/>
  <c r="C1041" i="2"/>
  <c r="B1041" i="2"/>
  <c r="A1041" i="2"/>
  <c r="AX1040" i="2"/>
  <c r="AV1040" i="2"/>
  <c r="AU1040" i="2"/>
  <c r="AT1040" i="2"/>
  <c r="AS1040" i="2"/>
  <c r="AR1040" i="2"/>
  <c r="AQ1040" i="2"/>
  <c r="AP1040" i="2"/>
  <c r="AO1040" i="2"/>
  <c r="AM1040" i="2"/>
  <c r="AK1040" i="2"/>
  <c r="AJ1040" i="2"/>
  <c r="AI1040" i="2"/>
  <c r="AH1040" i="2"/>
  <c r="AG1040" i="2"/>
  <c r="AE1040" i="2"/>
  <c r="AD1040" i="2"/>
  <c r="AC1040" i="2"/>
  <c r="AA1040" i="2"/>
  <c r="Z1040" i="2"/>
  <c r="Y1040" i="2"/>
  <c r="X1040" i="2"/>
  <c r="W1040" i="2"/>
  <c r="V1040" i="2"/>
  <c r="U1040" i="2"/>
  <c r="T1040" i="2"/>
  <c r="S1040" i="2"/>
  <c r="R1040" i="2"/>
  <c r="Q1040" i="2"/>
  <c r="P1040" i="2"/>
  <c r="O1040" i="2"/>
  <c r="N1040" i="2"/>
  <c r="M1040" i="2"/>
  <c r="L1040" i="2"/>
  <c r="K1040" i="2"/>
  <c r="J1040" i="2"/>
  <c r="I1040" i="2"/>
  <c r="H1040" i="2"/>
  <c r="G1040" i="2"/>
  <c r="F1040" i="2"/>
  <c r="E1040" i="2"/>
  <c r="D1040" i="2"/>
  <c r="C1040" i="2"/>
  <c r="B1040" i="2"/>
  <c r="A1040" i="2"/>
  <c r="AX1039" i="2"/>
  <c r="AV1039" i="2"/>
  <c r="AU1039" i="2"/>
  <c r="AS1039" i="2"/>
  <c r="AR1039" i="2"/>
  <c r="AO1039" i="2"/>
  <c r="AM1039" i="2"/>
  <c r="AK1039" i="2"/>
  <c r="AJ1039" i="2"/>
  <c r="AI1039" i="2"/>
  <c r="AH1039" i="2"/>
  <c r="AG1039" i="2"/>
  <c r="AE1039" i="2"/>
  <c r="AD1039" i="2"/>
  <c r="AC1039" i="2"/>
  <c r="AA1039" i="2"/>
  <c r="Z1039" i="2"/>
  <c r="Y1039" i="2"/>
  <c r="X1039" i="2"/>
  <c r="W1039" i="2"/>
  <c r="V1039" i="2"/>
  <c r="U1039" i="2"/>
  <c r="T1039" i="2"/>
  <c r="S1039" i="2"/>
  <c r="R1039" i="2"/>
  <c r="Q1039" i="2"/>
  <c r="P1039" i="2"/>
  <c r="O1039" i="2"/>
  <c r="N1039" i="2"/>
  <c r="M1039" i="2"/>
  <c r="L1039" i="2"/>
  <c r="K1039" i="2"/>
  <c r="J1039" i="2"/>
  <c r="I1039" i="2"/>
  <c r="H1039" i="2"/>
  <c r="G1039" i="2"/>
  <c r="F1039" i="2"/>
  <c r="E1039" i="2"/>
  <c r="D1039" i="2"/>
  <c r="C1039" i="2"/>
  <c r="B1039" i="2"/>
  <c r="A1039" i="2"/>
  <c r="AX1038" i="2"/>
  <c r="AV1038" i="2"/>
  <c r="AU1038" i="2"/>
  <c r="AT1038" i="2"/>
  <c r="AS1038" i="2"/>
  <c r="AQ1038" i="2"/>
  <c r="AO1038" i="2"/>
  <c r="AM1038" i="2"/>
  <c r="AL1038" i="2"/>
  <c r="AK1038" i="2"/>
  <c r="AJ1038" i="2"/>
  <c r="AI1038" i="2"/>
  <c r="AH1038" i="2"/>
  <c r="AG1038" i="2"/>
  <c r="AE1038" i="2"/>
  <c r="AD1038" i="2"/>
  <c r="AC1038" i="2"/>
  <c r="AA1038" i="2"/>
  <c r="Z1038" i="2"/>
  <c r="Y1038" i="2"/>
  <c r="X1038" i="2"/>
  <c r="W1038" i="2"/>
  <c r="V1038" i="2"/>
  <c r="U1038" i="2"/>
  <c r="T1038" i="2"/>
  <c r="S1038" i="2"/>
  <c r="R1038" i="2"/>
  <c r="Q1038" i="2"/>
  <c r="P1038" i="2"/>
  <c r="O1038" i="2"/>
  <c r="N1038" i="2"/>
  <c r="M1038" i="2"/>
  <c r="L1038" i="2"/>
  <c r="K1038" i="2"/>
  <c r="J1038" i="2"/>
  <c r="I1038" i="2"/>
  <c r="H1038" i="2"/>
  <c r="G1038" i="2"/>
  <c r="F1038" i="2"/>
  <c r="E1038" i="2"/>
  <c r="D1038" i="2"/>
  <c r="C1038" i="2"/>
  <c r="B1038" i="2"/>
  <c r="A1038" i="2"/>
  <c r="AX1037" i="2"/>
  <c r="AV1037" i="2"/>
  <c r="AU1037" i="2"/>
  <c r="AT1037" i="2"/>
  <c r="AS1037" i="2"/>
  <c r="AO1037" i="2"/>
  <c r="AM1037" i="2"/>
  <c r="AK1037" i="2"/>
  <c r="AJ1037" i="2"/>
  <c r="AI1037" i="2"/>
  <c r="AH1037" i="2"/>
  <c r="AG1037" i="2"/>
  <c r="AF1037" i="2"/>
  <c r="AE1037" i="2"/>
  <c r="AD1037" i="2"/>
  <c r="AC1037" i="2"/>
  <c r="AA1037" i="2"/>
  <c r="Z1037" i="2"/>
  <c r="Y1037" i="2"/>
  <c r="X1037" i="2"/>
  <c r="W1037" i="2"/>
  <c r="V1037" i="2"/>
  <c r="U1037" i="2"/>
  <c r="T1037" i="2"/>
  <c r="S1037" i="2"/>
  <c r="R1037" i="2"/>
  <c r="Q1037" i="2"/>
  <c r="P1037" i="2"/>
  <c r="O1037" i="2"/>
  <c r="N1037" i="2"/>
  <c r="M1037" i="2"/>
  <c r="L1037" i="2"/>
  <c r="K1037" i="2"/>
  <c r="J1037" i="2"/>
  <c r="I1037" i="2"/>
  <c r="H1037" i="2"/>
  <c r="G1037" i="2"/>
  <c r="F1037" i="2"/>
  <c r="E1037" i="2"/>
  <c r="D1037" i="2"/>
  <c r="C1037" i="2"/>
  <c r="B1037" i="2"/>
  <c r="A1037" i="2"/>
  <c r="AX1036" i="2"/>
  <c r="AV1036" i="2"/>
  <c r="AU1036" i="2"/>
  <c r="AS1036" i="2"/>
  <c r="AO1036" i="2"/>
  <c r="AM1036" i="2"/>
  <c r="AK1036" i="2"/>
  <c r="AJ1036" i="2"/>
  <c r="AI1036" i="2"/>
  <c r="AH1036" i="2"/>
  <c r="AG1036" i="2"/>
  <c r="AE1036" i="2"/>
  <c r="AD1036" i="2"/>
  <c r="AC1036" i="2"/>
  <c r="AA1036" i="2"/>
  <c r="Z1036" i="2"/>
  <c r="Y1036" i="2"/>
  <c r="X1036" i="2"/>
  <c r="W1036" i="2"/>
  <c r="V1036" i="2"/>
  <c r="U1036" i="2"/>
  <c r="T1036" i="2"/>
  <c r="S1036" i="2"/>
  <c r="R1036" i="2"/>
  <c r="Q1036" i="2"/>
  <c r="P1036" i="2"/>
  <c r="O1036" i="2"/>
  <c r="N1036" i="2"/>
  <c r="M1036" i="2"/>
  <c r="L1036" i="2"/>
  <c r="K1036" i="2"/>
  <c r="J1036" i="2"/>
  <c r="I1036" i="2"/>
  <c r="H1036" i="2"/>
  <c r="G1036" i="2"/>
  <c r="F1036" i="2"/>
  <c r="E1036" i="2"/>
  <c r="D1036" i="2"/>
  <c r="C1036" i="2"/>
  <c r="B1036" i="2"/>
  <c r="A1036" i="2"/>
  <c r="AX1035" i="2"/>
  <c r="AV1035" i="2"/>
  <c r="AU1035" i="2"/>
  <c r="AS1035" i="2"/>
  <c r="AR1035" i="2"/>
  <c r="AP1035" i="2"/>
  <c r="AO1035" i="2"/>
  <c r="AM1035" i="2"/>
  <c r="AL1035" i="2"/>
  <c r="AK1035" i="2"/>
  <c r="AJ1035" i="2"/>
  <c r="AI1035" i="2"/>
  <c r="AH1035" i="2"/>
  <c r="AG1035" i="2"/>
  <c r="AE1035" i="2"/>
  <c r="AD1035" i="2"/>
  <c r="AC1035" i="2"/>
  <c r="AA1035" i="2"/>
  <c r="Z1035" i="2"/>
  <c r="Y1035" i="2"/>
  <c r="X1035" i="2"/>
  <c r="W1035" i="2"/>
  <c r="V1035" i="2"/>
  <c r="U1035" i="2"/>
  <c r="T1035" i="2"/>
  <c r="S1035" i="2"/>
  <c r="R1035" i="2"/>
  <c r="Q1035" i="2"/>
  <c r="P1035" i="2"/>
  <c r="O1035" i="2"/>
  <c r="N1035" i="2"/>
  <c r="M1035" i="2"/>
  <c r="L1035" i="2"/>
  <c r="K1035" i="2"/>
  <c r="J1035" i="2"/>
  <c r="I1035" i="2"/>
  <c r="H1035" i="2"/>
  <c r="G1035" i="2"/>
  <c r="F1035" i="2"/>
  <c r="E1035" i="2"/>
  <c r="D1035" i="2"/>
  <c r="C1035" i="2"/>
  <c r="B1035" i="2"/>
  <c r="A1035" i="2"/>
  <c r="AX1034" i="2"/>
  <c r="AV1034" i="2"/>
  <c r="AU1034" i="2"/>
  <c r="AT1034" i="2"/>
  <c r="AS1034" i="2"/>
  <c r="AR1034" i="2"/>
  <c r="AO1034" i="2"/>
  <c r="AM1034" i="2"/>
  <c r="AL1034" i="2"/>
  <c r="AK1034" i="2"/>
  <c r="AJ1034" i="2"/>
  <c r="AI1034" i="2"/>
  <c r="AH1034" i="2"/>
  <c r="AG1034" i="2"/>
  <c r="AE1034" i="2"/>
  <c r="AD1034" i="2"/>
  <c r="AC1034" i="2"/>
  <c r="AA1034" i="2"/>
  <c r="Z1034" i="2"/>
  <c r="Y1034" i="2"/>
  <c r="X1034" i="2"/>
  <c r="W1034" i="2"/>
  <c r="V1034" i="2"/>
  <c r="U1034" i="2"/>
  <c r="T1034" i="2"/>
  <c r="S1034" i="2"/>
  <c r="R1034" i="2"/>
  <c r="Q1034" i="2"/>
  <c r="P1034" i="2"/>
  <c r="O1034" i="2"/>
  <c r="N1034" i="2"/>
  <c r="M1034" i="2"/>
  <c r="L1034" i="2"/>
  <c r="K1034" i="2"/>
  <c r="J1034" i="2"/>
  <c r="I1034" i="2"/>
  <c r="H1034" i="2"/>
  <c r="G1034" i="2"/>
  <c r="F1034" i="2"/>
  <c r="E1034" i="2"/>
  <c r="D1034" i="2"/>
  <c r="C1034" i="2"/>
  <c r="B1034" i="2"/>
  <c r="A1034" i="2"/>
  <c r="AX1033" i="2"/>
  <c r="AV1033" i="2"/>
  <c r="AU1033" i="2"/>
  <c r="AS1033" i="2"/>
  <c r="AR1033" i="2"/>
  <c r="AO1033" i="2"/>
  <c r="AM1033" i="2"/>
  <c r="AL1033" i="2"/>
  <c r="AK1033" i="2"/>
  <c r="AJ1033" i="2"/>
  <c r="AI1033" i="2"/>
  <c r="AH1033" i="2"/>
  <c r="AG1033" i="2"/>
  <c r="AE1033" i="2"/>
  <c r="AD1033" i="2"/>
  <c r="AC1033" i="2"/>
  <c r="Z1033" i="2"/>
  <c r="Y1033" i="2"/>
  <c r="X1033" i="2"/>
  <c r="W1033" i="2"/>
  <c r="V1033" i="2"/>
  <c r="U1033" i="2"/>
  <c r="T1033" i="2"/>
  <c r="S1033" i="2"/>
  <c r="R1033" i="2"/>
  <c r="Q1033" i="2"/>
  <c r="P1033" i="2"/>
  <c r="O1033" i="2"/>
  <c r="N1033" i="2"/>
  <c r="M1033" i="2"/>
  <c r="L1033" i="2"/>
  <c r="K1033" i="2"/>
  <c r="J1033" i="2"/>
  <c r="I1033" i="2"/>
  <c r="H1033" i="2"/>
  <c r="G1033" i="2"/>
  <c r="F1033" i="2"/>
  <c r="E1033" i="2"/>
  <c r="D1033" i="2"/>
  <c r="C1033" i="2"/>
  <c r="B1033" i="2"/>
  <c r="A1033" i="2"/>
  <c r="AX1032" i="2"/>
  <c r="AV1032" i="2"/>
  <c r="AU1032" i="2"/>
  <c r="AT1032" i="2"/>
  <c r="AR1032" i="2"/>
  <c r="AO1032" i="2"/>
  <c r="AM1032" i="2"/>
  <c r="AJ1032" i="2"/>
  <c r="AI1032" i="2"/>
  <c r="AH1032" i="2"/>
  <c r="AG1032" i="2"/>
  <c r="AE1032" i="2"/>
  <c r="AD1032" i="2"/>
  <c r="AC1032" i="2"/>
  <c r="Z1032" i="2"/>
  <c r="Y1032" i="2"/>
  <c r="X1032" i="2"/>
  <c r="W1032" i="2"/>
  <c r="V1032" i="2"/>
  <c r="U1032" i="2"/>
  <c r="T1032" i="2"/>
  <c r="S1032" i="2"/>
  <c r="R1032" i="2"/>
  <c r="Q1032" i="2"/>
  <c r="P1032" i="2"/>
  <c r="O1032" i="2"/>
  <c r="N1032" i="2"/>
  <c r="M1032" i="2"/>
  <c r="L1032" i="2"/>
  <c r="K1032" i="2"/>
  <c r="J1032" i="2"/>
  <c r="I1032" i="2"/>
  <c r="H1032" i="2"/>
  <c r="G1032" i="2"/>
  <c r="F1032" i="2"/>
  <c r="E1032" i="2"/>
  <c r="D1032" i="2"/>
  <c r="C1032" i="2"/>
  <c r="B1032" i="2"/>
  <c r="A1032" i="2"/>
  <c r="AX1031" i="2"/>
  <c r="AV1031" i="2"/>
  <c r="AU1031" i="2"/>
  <c r="AT1031" i="2"/>
  <c r="AS1031" i="2"/>
  <c r="AR1031" i="2"/>
  <c r="AM1031" i="2"/>
  <c r="AK1031" i="2"/>
  <c r="AI1031" i="2"/>
  <c r="AH1031" i="2"/>
  <c r="AG1031" i="2"/>
  <c r="AE1031" i="2"/>
  <c r="AD1031" i="2"/>
  <c r="AC1031" i="2"/>
  <c r="Z1031" i="2"/>
  <c r="Y1031" i="2"/>
  <c r="X1031" i="2"/>
  <c r="W1031" i="2"/>
  <c r="V1031" i="2"/>
  <c r="U1031" i="2"/>
  <c r="T1031" i="2"/>
  <c r="S1031" i="2"/>
  <c r="R1031" i="2"/>
  <c r="Q1031" i="2"/>
  <c r="P1031" i="2"/>
  <c r="O1031" i="2"/>
  <c r="N1031" i="2"/>
  <c r="M1031" i="2"/>
  <c r="L1031" i="2"/>
  <c r="K1031" i="2"/>
  <c r="J1031" i="2"/>
  <c r="I1031" i="2"/>
  <c r="H1031" i="2"/>
  <c r="G1031" i="2"/>
  <c r="F1031" i="2"/>
  <c r="E1031" i="2"/>
  <c r="D1031" i="2"/>
  <c r="C1031" i="2"/>
  <c r="B1031" i="2"/>
  <c r="A1031" i="2"/>
  <c r="AX1030" i="2"/>
  <c r="AV1030" i="2"/>
  <c r="AU1030" i="2"/>
  <c r="AS1030" i="2"/>
  <c r="AR1030" i="2"/>
  <c r="AO1030" i="2"/>
  <c r="AM1030" i="2"/>
  <c r="AK1030" i="2"/>
  <c r="AJ1030" i="2"/>
  <c r="AI1030" i="2"/>
  <c r="AH1030" i="2"/>
  <c r="AG1030" i="2"/>
  <c r="AD1030" i="2"/>
  <c r="AC1030" i="2"/>
  <c r="AA1030" i="2"/>
  <c r="Z1030" i="2"/>
  <c r="Y1030" i="2"/>
  <c r="X1030" i="2"/>
  <c r="W1030" i="2"/>
  <c r="V1030" i="2"/>
  <c r="U1030" i="2"/>
  <c r="T1030" i="2"/>
  <c r="S1030" i="2"/>
  <c r="R1030" i="2"/>
  <c r="Q1030" i="2"/>
  <c r="P1030" i="2"/>
  <c r="O1030" i="2"/>
  <c r="N1030" i="2"/>
  <c r="M1030" i="2"/>
  <c r="L1030" i="2"/>
  <c r="K1030" i="2"/>
  <c r="J1030" i="2"/>
  <c r="I1030" i="2"/>
  <c r="H1030" i="2"/>
  <c r="G1030" i="2"/>
  <c r="F1030" i="2"/>
  <c r="E1030" i="2"/>
  <c r="D1030" i="2"/>
  <c r="C1030" i="2"/>
  <c r="B1030" i="2"/>
  <c r="A1030" i="2"/>
  <c r="AX1029" i="2"/>
  <c r="AV1029" i="2"/>
  <c r="AU1029" i="2"/>
  <c r="AO1029" i="2"/>
  <c r="AM1029" i="2"/>
  <c r="AK1029" i="2"/>
  <c r="AJ1029" i="2"/>
  <c r="AI1029" i="2"/>
  <c r="AH1029" i="2"/>
  <c r="AG1029" i="2"/>
  <c r="AE1029" i="2"/>
  <c r="AD1029" i="2"/>
  <c r="AC1029" i="2"/>
  <c r="AA1029" i="2"/>
  <c r="Z1029" i="2"/>
  <c r="Y1029" i="2"/>
  <c r="X1029" i="2"/>
  <c r="W1029" i="2"/>
  <c r="V1029" i="2"/>
  <c r="U1029" i="2"/>
  <c r="T1029" i="2"/>
  <c r="S1029" i="2"/>
  <c r="R1029" i="2"/>
  <c r="Q1029" i="2"/>
  <c r="P1029" i="2"/>
  <c r="O1029" i="2"/>
  <c r="N1029" i="2"/>
  <c r="M1029" i="2"/>
  <c r="L1029" i="2"/>
  <c r="K1029" i="2"/>
  <c r="J1029" i="2"/>
  <c r="I1029" i="2"/>
  <c r="H1029" i="2"/>
  <c r="G1029" i="2"/>
  <c r="F1029" i="2"/>
  <c r="E1029" i="2"/>
  <c r="D1029" i="2"/>
  <c r="C1029" i="2"/>
  <c r="B1029" i="2"/>
  <c r="A1029" i="2"/>
  <c r="AX1028" i="2"/>
  <c r="AV1028" i="2"/>
  <c r="AU1028" i="2"/>
  <c r="AS1028" i="2"/>
  <c r="AR1028" i="2"/>
  <c r="AP1028" i="2"/>
  <c r="AO1028" i="2"/>
  <c r="AN1028" i="2"/>
  <c r="AM1028" i="2"/>
  <c r="AL1028" i="2"/>
  <c r="AI1028" i="2"/>
  <c r="AH1028" i="2"/>
  <c r="AG1028" i="2"/>
  <c r="AE1028" i="2"/>
  <c r="AD1028" i="2"/>
  <c r="AC1028" i="2"/>
  <c r="AA1028" i="2"/>
  <c r="Z1028" i="2"/>
  <c r="Y1028" i="2"/>
  <c r="X1028" i="2"/>
  <c r="W1028" i="2"/>
  <c r="V1028" i="2"/>
  <c r="U1028" i="2"/>
  <c r="T1028" i="2"/>
  <c r="S1028" i="2"/>
  <c r="R1028" i="2"/>
  <c r="Q1028" i="2"/>
  <c r="P1028" i="2"/>
  <c r="O1028" i="2"/>
  <c r="N1028" i="2"/>
  <c r="M1028" i="2"/>
  <c r="L1028" i="2"/>
  <c r="K1028" i="2"/>
  <c r="J1028" i="2"/>
  <c r="I1028" i="2"/>
  <c r="H1028" i="2"/>
  <c r="G1028" i="2"/>
  <c r="F1028" i="2"/>
  <c r="E1028" i="2"/>
  <c r="D1028" i="2"/>
  <c r="C1028" i="2"/>
  <c r="B1028" i="2"/>
  <c r="A1028" i="2"/>
  <c r="AX1027" i="2"/>
  <c r="AV1027" i="2"/>
  <c r="AU1027" i="2"/>
  <c r="AS1027" i="2"/>
  <c r="AR1027" i="2"/>
  <c r="AO1027" i="2"/>
  <c r="AM1027" i="2"/>
  <c r="AK1027" i="2"/>
  <c r="AI1027" i="2"/>
  <c r="AH1027" i="2"/>
  <c r="AG1027" i="2"/>
  <c r="AE1027" i="2"/>
  <c r="AC1027" i="2"/>
  <c r="AA1027" i="2"/>
  <c r="Z1027" i="2"/>
  <c r="Y1027" i="2"/>
  <c r="X1027" i="2"/>
  <c r="W1027" i="2"/>
  <c r="V1027" i="2"/>
  <c r="U1027" i="2"/>
  <c r="T1027" i="2"/>
  <c r="S1027" i="2"/>
  <c r="R1027" i="2"/>
  <c r="Q1027" i="2"/>
  <c r="P1027" i="2"/>
  <c r="O1027" i="2"/>
  <c r="N1027" i="2"/>
  <c r="M1027" i="2"/>
  <c r="L1027" i="2"/>
  <c r="K1027" i="2"/>
  <c r="J1027" i="2"/>
  <c r="I1027" i="2"/>
  <c r="H1027" i="2"/>
  <c r="G1027" i="2"/>
  <c r="F1027" i="2"/>
  <c r="E1027" i="2"/>
  <c r="D1027" i="2"/>
  <c r="C1027" i="2"/>
  <c r="B1027" i="2"/>
  <c r="A1027" i="2"/>
  <c r="AX1026" i="2"/>
  <c r="AV1026" i="2"/>
  <c r="AU1026" i="2"/>
  <c r="AS1026" i="2"/>
  <c r="AR1026" i="2"/>
  <c r="AO1026" i="2"/>
  <c r="AM1026" i="2"/>
  <c r="AL1026" i="2"/>
  <c r="AK1026" i="2"/>
  <c r="AJ1026" i="2"/>
  <c r="AI1026" i="2"/>
  <c r="AH1026" i="2"/>
  <c r="AG1026" i="2"/>
  <c r="AE1026" i="2"/>
  <c r="AD1026" i="2"/>
  <c r="AC1026" i="2"/>
  <c r="AA1026" i="2"/>
  <c r="Z1026" i="2"/>
  <c r="Y1026" i="2"/>
  <c r="X1026" i="2"/>
  <c r="V1026" i="2"/>
  <c r="U1026" i="2"/>
  <c r="T1026" i="2"/>
  <c r="S1026" i="2"/>
  <c r="R1026" i="2"/>
  <c r="Q1026" i="2"/>
  <c r="P1026" i="2"/>
  <c r="O1026" i="2"/>
  <c r="N1026" i="2"/>
  <c r="M1026" i="2"/>
  <c r="L1026" i="2"/>
  <c r="K1026" i="2"/>
  <c r="J1026" i="2"/>
  <c r="I1026" i="2"/>
  <c r="H1026" i="2"/>
  <c r="G1026" i="2"/>
  <c r="F1026" i="2"/>
  <c r="E1026" i="2"/>
  <c r="D1026" i="2"/>
  <c r="C1026" i="2"/>
  <c r="B1026" i="2"/>
  <c r="A1026" i="2"/>
  <c r="AX1025" i="2"/>
  <c r="AV1025" i="2"/>
  <c r="AU1025" i="2"/>
  <c r="AS1025" i="2"/>
  <c r="AO1025" i="2"/>
  <c r="AM1025" i="2"/>
  <c r="AJ1025" i="2"/>
  <c r="AI1025" i="2"/>
  <c r="AH1025" i="2"/>
  <c r="AG1025" i="2"/>
  <c r="AD1025" i="2"/>
  <c r="AC1025" i="2"/>
  <c r="Z1025" i="2"/>
  <c r="Y1025" i="2"/>
  <c r="X1025" i="2"/>
  <c r="W1025" i="2"/>
  <c r="V1025" i="2"/>
  <c r="U1025" i="2"/>
  <c r="T1025" i="2"/>
  <c r="S1025" i="2"/>
  <c r="R1025" i="2"/>
  <c r="Q1025" i="2"/>
  <c r="P1025" i="2"/>
  <c r="O1025" i="2"/>
  <c r="N1025" i="2"/>
  <c r="M1025" i="2"/>
  <c r="L1025" i="2"/>
  <c r="K1025" i="2"/>
  <c r="J1025" i="2"/>
  <c r="I1025" i="2"/>
  <c r="H1025" i="2"/>
  <c r="G1025" i="2"/>
  <c r="F1025" i="2"/>
  <c r="E1025" i="2"/>
  <c r="D1025" i="2"/>
  <c r="C1025" i="2"/>
  <c r="B1025" i="2"/>
  <c r="A1025" i="2"/>
  <c r="AX1024" i="2"/>
  <c r="AV1024" i="2"/>
  <c r="AU1024" i="2"/>
  <c r="AT1024" i="2"/>
  <c r="AS1024" i="2"/>
  <c r="AR1024" i="2"/>
  <c r="AO1024" i="2"/>
  <c r="AM1024" i="2"/>
  <c r="AL1024" i="2"/>
  <c r="AK1024" i="2"/>
  <c r="AJ1024" i="2"/>
  <c r="AI1024" i="2"/>
  <c r="AH1024" i="2"/>
  <c r="AG1024" i="2"/>
  <c r="AE1024" i="2"/>
  <c r="AD1024" i="2"/>
  <c r="AC1024" i="2"/>
  <c r="AA1024" i="2"/>
  <c r="Z1024" i="2"/>
  <c r="Y1024" i="2"/>
  <c r="X1024" i="2"/>
  <c r="W1024" i="2"/>
  <c r="V1024" i="2"/>
  <c r="U1024" i="2"/>
  <c r="T1024" i="2"/>
  <c r="S1024" i="2"/>
  <c r="R1024" i="2"/>
  <c r="Q1024" i="2"/>
  <c r="P1024" i="2"/>
  <c r="O1024" i="2"/>
  <c r="N1024" i="2"/>
  <c r="M1024" i="2"/>
  <c r="L1024" i="2"/>
  <c r="K1024" i="2"/>
  <c r="J1024" i="2"/>
  <c r="I1024" i="2"/>
  <c r="H1024" i="2"/>
  <c r="G1024" i="2"/>
  <c r="F1024" i="2"/>
  <c r="E1024" i="2"/>
  <c r="D1024" i="2"/>
  <c r="C1024" i="2"/>
  <c r="B1024" i="2"/>
  <c r="A1024" i="2"/>
  <c r="AX1023" i="2"/>
  <c r="AV1023" i="2"/>
  <c r="AU1023" i="2"/>
  <c r="AS1023" i="2"/>
  <c r="AR1023" i="2"/>
  <c r="AO1023" i="2"/>
  <c r="AM1023" i="2"/>
  <c r="AK1023" i="2"/>
  <c r="AJ1023" i="2"/>
  <c r="AI1023" i="2"/>
  <c r="AH1023" i="2"/>
  <c r="AG1023" i="2"/>
  <c r="AF1023" i="2"/>
  <c r="AE1023" i="2"/>
  <c r="AD1023" i="2"/>
  <c r="AC1023" i="2"/>
  <c r="AA1023" i="2"/>
  <c r="Z1023" i="2"/>
  <c r="Y1023" i="2"/>
  <c r="X1023" i="2"/>
  <c r="W1023" i="2"/>
  <c r="V1023" i="2"/>
  <c r="U1023" i="2"/>
  <c r="T1023" i="2"/>
  <c r="S1023" i="2"/>
  <c r="R1023" i="2"/>
  <c r="Q1023" i="2"/>
  <c r="P1023" i="2"/>
  <c r="O1023" i="2"/>
  <c r="N1023" i="2"/>
  <c r="M1023" i="2"/>
  <c r="L1023" i="2"/>
  <c r="K1023" i="2"/>
  <c r="J1023" i="2"/>
  <c r="I1023" i="2"/>
  <c r="H1023" i="2"/>
  <c r="G1023" i="2"/>
  <c r="F1023" i="2"/>
  <c r="E1023" i="2"/>
  <c r="D1023" i="2"/>
  <c r="C1023" i="2"/>
  <c r="B1023" i="2"/>
  <c r="A1023" i="2"/>
  <c r="AX1022" i="2"/>
  <c r="AV1022" i="2"/>
  <c r="AU1022" i="2"/>
  <c r="AT1022" i="2"/>
  <c r="AS1022" i="2"/>
  <c r="AR1022" i="2"/>
  <c r="AO1022" i="2"/>
  <c r="AM1022" i="2"/>
  <c r="AK1022" i="2"/>
  <c r="AJ1022" i="2"/>
  <c r="AI1022" i="2"/>
  <c r="AH1022" i="2"/>
  <c r="AG1022" i="2"/>
  <c r="AE1022" i="2"/>
  <c r="AD1022" i="2"/>
  <c r="AC1022" i="2"/>
  <c r="Z1022" i="2"/>
  <c r="Y1022" i="2"/>
  <c r="X1022" i="2"/>
  <c r="W1022" i="2"/>
  <c r="V1022" i="2"/>
  <c r="U1022" i="2"/>
  <c r="T1022" i="2"/>
  <c r="S1022" i="2"/>
  <c r="R1022" i="2"/>
  <c r="Q1022" i="2"/>
  <c r="P1022" i="2"/>
  <c r="O1022" i="2"/>
  <c r="N1022" i="2"/>
  <c r="M1022" i="2"/>
  <c r="L1022" i="2"/>
  <c r="K1022" i="2"/>
  <c r="J1022" i="2"/>
  <c r="I1022" i="2"/>
  <c r="H1022" i="2"/>
  <c r="G1022" i="2"/>
  <c r="F1022" i="2"/>
  <c r="E1022" i="2"/>
  <c r="D1022" i="2"/>
  <c r="C1022" i="2"/>
  <c r="B1022" i="2"/>
  <c r="A1022" i="2"/>
  <c r="AX1021" i="2"/>
  <c r="AV1021" i="2"/>
  <c r="AU1021" i="2"/>
  <c r="AS1021" i="2"/>
  <c r="AR1021" i="2"/>
  <c r="AO1021" i="2"/>
  <c r="AM1021" i="2"/>
  <c r="AL1021" i="2"/>
  <c r="AK1021" i="2"/>
  <c r="AJ1021" i="2"/>
  <c r="AI1021" i="2"/>
  <c r="AH1021" i="2"/>
  <c r="AG1021" i="2"/>
  <c r="AE1021" i="2"/>
  <c r="AD1021" i="2"/>
  <c r="AC1021" i="2"/>
  <c r="AA1021" i="2"/>
  <c r="Z1021" i="2"/>
  <c r="Y1021" i="2"/>
  <c r="X1021" i="2"/>
  <c r="W1021" i="2"/>
  <c r="V1021" i="2"/>
  <c r="U1021" i="2"/>
  <c r="T1021" i="2"/>
  <c r="S1021" i="2"/>
  <c r="R1021" i="2"/>
  <c r="Q1021" i="2"/>
  <c r="P1021" i="2"/>
  <c r="O1021" i="2"/>
  <c r="N1021" i="2"/>
  <c r="M1021" i="2"/>
  <c r="L1021" i="2"/>
  <c r="K1021" i="2"/>
  <c r="J1021" i="2"/>
  <c r="I1021" i="2"/>
  <c r="H1021" i="2"/>
  <c r="G1021" i="2"/>
  <c r="F1021" i="2"/>
  <c r="E1021" i="2"/>
  <c r="D1021" i="2"/>
  <c r="C1021" i="2"/>
  <c r="B1021" i="2"/>
  <c r="A1021" i="2"/>
  <c r="AX1020" i="2"/>
  <c r="AV1020" i="2"/>
  <c r="AU1020" i="2"/>
  <c r="AT1020" i="2"/>
  <c r="AP1020" i="2"/>
  <c r="AO1020" i="2"/>
  <c r="AM1020" i="2"/>
  <c r="AL1020" i="2"/>
  <c r="AK1020" i="2"/>
  <c r="AJ1020" i="2"/>
  <c r="AI1020" i="2"/>
  <c r="AH1020" i="2"/>
  <c r="AG1020" i="2"/>
  <c r="AE1020" i="2"/>
  <c r="AD1020" i="2"/>
  <c r="AC1020" i="2"/>
  <c r="AA1020" i="2"/>
  <c r="Z1020" i="2"/>
  <c r="Y1020" i="2"/>
  <c r="X1020" i="2"/>
  <c r="W1020" i="2"/>
  <c r="V1020" i="2"/>
  <c r="U1020" i="2"/>
  <c r="T1020" i="2"/>
  <c r="S1020" i="2"/>
  <c r="R1020" i="2"/>
  <c r="Q1020" i="2"/>
  <c r="P1020" i="2"/>
  <c r="O1020" i="2"/>
  <c r="N1020" i="2"/>
  <c r="M1020" i="2"/>
  <c r="L1020" i="2"/>
  <c r="K1020" i="2"/>
  <c r="J1020" i="2"/>
  <c r="I1020" i="2"/>
  <c r="H1020" i="2"/>
  <c r="G1020" i="2"/>
  <c r="F1020" i="2"/>
  <c r="E1020" i="2"/>
  <c r="D1020" i="2"/>
  <c r="C1020" i="2"/>
  <c r="B1020" i="2"/>
  <c r="A1020" i="2"/>
  <c r="AX1019" i="2"/>
  <c r="AV1019" i="2"/>
  <c r="AU1019" i="2"/>
  <c r="AS1019" i="2"/>
  <c r="AR1019" i="2"/>
  <c r="AQ1019" i="2"/>
  <c r="AP1019" i="2"/>
  <c r="AO1019" i="2"/>
  <c r="AM1019" i="2"/>
  <c r="AK1019" i="2"/>
  <c r="AJ1019" i="2"/>
  <c r="AI1019" i="2"/>
  <c r="AH1019" i="2"/>
  <c r="AG1019" i="2"/>
  <c r="AD1019" i="2"/>
  <c r="AC1019" i="2"/>
  <c r="AA1019" i="2"/>
  <c r="Z1019" i="2"/>
  <c r="Y1019" i="2"/>
  <c r="X1019" i="2"/>
  <c r="W1019" i="2"/>
  <c r="V1019" i="2"/>
  <c r="U1019" i="2"/>
  <c r="T1019" i="2"/>
  <c r="S1019" i="2"/>
  <c r="R1019" i="2"/>
  <c r="Q1019" i="2"/>
  <c r="P1019" i="2"/>
  <c r="O1019" i="2"/>
  <c r="N1019" i="2"/>
  <c r="M1019" i="2"/>
  <c r="L1019" i="2"/>
  <c r="K1019" i="2"/>
  <c r="J1019" i="2"/>
  <c r="I1019" i="2"/>
  <c r="H1019" i="2"/>
  <c r="G1019" i="2"/>
  <c r="F1019" i="2"/>
  <c r="E1019" i="2"/>
  <c r="D1019" i="2"/>
  <c r="C1019" i="2"/>
  <c r="B1019" i="2"/>
  <c r="A1019" i="2"/>
  <c r="AX1018" i="2"/>
  <c r="AV1018" i="2"/>
  <c r="AU1018" i="2"/>
  <c r="AS1018" i="2"/>
  <c r="AR1018" i="2"/>
  <c r="AP1018" i="2"/>
  <c r="AO1018" i="2"/>
  <c r="AM1018" i="2"/>
  <c r="AK1018" i="2"/>
  <c r="AJ1018" i="2"/>
  <c r="AI1018" i="2"/>
  <c r="AH1018" i="2"/>
  <c r="AG1018" i="2"/>
  <c r="AC1018" i="2"/>
  <c r="Z1018" i="2"/>
  <c r="Y1018" i="2"/>
  <c r="X1018" i="2"/>
  <c r="W1018" i="2"/>
  <c r="V1018" i="2"/>
  <c r="U1018" i="2"/>
  <c r="T1018" i="2"/>
  <c r="S1018" i="2"/>
  <c r="R1018" i="2"/>
  <c r="Q1018" i="2"/>
  <c r="P1018" i="2"/>
  <c r="O1018" i="2"/>
  <c r="N1018" i="2"/>
  <c r="M1018" i="2"/>
  <c r="L1018" i="2"/>
  <c r="K1018" i="2"/>
  <c r="J1018" i="2"/>
  <c r="I1018" i="2"/>
  <c r="H1018" i="2"/>
  <c r="G1018" i="2"/>
  <c r="F1018" i="2"/>
  <c r="E1018" i="2"/>
  <c r="D1018" i="2"/>
  <c r="C1018" i="2"/>
  <c r="B1018" i="2"/>
  <c r="A1018" i="2"/>
  <c r="AX1017" i="2"/>
  <c r="AV1017" i="2"/>
  <c r="AU1017" i="2"/>
  <c r="AS1017" i="2"/>
  <c r="AR1017" i="2"/>
  <c r="AO1017" i="2"/>
  <c r="AM1017" i="2"/>
  <c r="AK1017" i="2"/>
  <c r="AJ1017" i="2"/>
  <c r="AI1017" i="2"/>
  <c r="AH1017" i="2"/>
  <c r="AG1017" i="2"/>
  <c r="AD1017" i="2"/>
  <c r="AC1017" i="2"/>
  <c r="Z1017" i="2"/>
  <c r="Y1017" i="2"/>
  <c r="X1017" i="2"/>
  <c r="W1017" i="2"/>
  <c r="V1017" i="2"/>
  <c r="U1017" i="2"/>
  <c r="T1017" i="2"/>
  <c r="S1017" i="2"/>
  <c r="R1017" i="2"/>
  <c r="Q1017" i="2"/>
  <c r="P1017" i="2"/>
  <c r="O1017" i="2"/>
  <c r="N1017" i="2"/>
  <c r="M1017" i="2"/>
  <c r="L1017" i="2"/>
  <c r="K1017" i="2"/>
  <c r="J1017" i="2"/>
  <c r="I1017" i="2"/>
  <c r="H1017" i="2"/>
  <c r="G1017" i="2"/>
  <c r="F1017" i="2"/>
  <c r="E1017" i="2"/>
  <c r="D1017" i="2"/>
  <c r="C1017" i="2"/>
  <c r="B1017" i="2"/>
  <c r="A1017" i="2"/>
  <c r="AX1016" i="2"/>
  <c r="AV1016" i="2"/>
  <c r="AU1016" i="2"/>
  <c r="AT1016" i="2"/>
  <c r="AM1016" i="2"/>
  <c r="AC1016" i="2"/>
  <c r="AA1016" i="2"/>
  <c r="Z1016" i="2"/>
  <c r="Y1016" i="2"/>
  <c r="X1016" i="2"/>
  <c r="W1016" i="2"/>
  <c r="V1016" i="2"/>
  <c r="U1016" i="2"/>
  <c r="T1016" i="2"/>
  <c r="S1016" i="2"/>
  <c r="R1016" i="2"/>
  <c r="Q1016" i="2"/>
  <c r="P1016" i="2"/>
  <c r="O1016" i="2"/>
  <c r="N1016" i="2"/>
  <c r="M1016" i="2"/>
  <c r="L1016" i="2"/>
  <c r="K1016" i="2"/>
  <c r="J1016" i="2"/>
  <c r="I1016" i="2"/>
  <c r="H1016" i="2"/>
  <c r="G1016" i="2"/>
  <c r="F1016" i="2"/>
  <c r="E1016" i="2"/>
  <c r="D1016" i="2"/>
  <c r="C1016" i="2"/>
  <c r="B1016" i="2"/>
  <c r="A1016" i="2"/>
  <c r="AX1015" i="2"/>
  <c r="AV1015" i="2"/>
  <c r="AU1015" i="2"/>
  <c r="AS1015" i="2"/>
  <c r="AR1015" i="2"/>
  <c r="AP1015" i="2"/>
  <c r="AO1015" i="2"/>
  <c r="AM1015" i="2"/>
  <c r="AK1015" i="2"/>
  <c r="AJ1015" i="2"/>
  <c r="AI1015" i="2"/>
  <c r="AH1015" i="2"/>
  <c r="AG1015" i="2"/>
  <c r="AD1015" i="2"/>
  <c r="AC1015" i="2"/>
  <c r="AA1015" i="2"/>
  <c r="Z1015" i="2"/>
  <c r="Y1015" i="2"/>
  <c r="X1015" i="2"/>
  <c r="W1015" i="2"/>
  <c r="V1015" i="2"/>
  <c r="U1015" i="2"/>
  <c r="T1015" i="2"/>
  <c r="S1015" i="2"/>
  <c r="R1015" i="2"/>
  <c r="Q1015" i="2"/>
  <c r="P1015" i="2"/>
  <c r="O1015" i="2"/>
  <c r="N1015" i="2"/>
  <c r="M1015" i="2"/>
  <c r="L1015" i="2"/>
  <c r="K1015" i="2"/>
  <c r="J1015" i="2"/>
  <c r="I1015" i="2"/>
  <c r="H1015" i="2"/>
  <c r="G1015" i="2"/>
  <c r="F1015" i="2"/>
  <c r="E1015" i="2"/>
  <c r="D1015" i="2"/>
  <c r="C1015" i="2"/>
  <c r="B1015" i="2"/>
  <c r="A1015" i="2"/>
  <c r="AX1014" i="2"/>
  <c r="AV1014" i="2"/>
  <c r="AU1014" i="2"/>
  <c r="AT1014" i="2"/>
  <c r="AS1014" i="2"/>
  <c r="AR1014" i="2"/>
  <c r="AO1014" i="2"/>
  <c r="AM1014" i="2"/>
  <c r="AK1014" i="2"/>
  <c r="AJ1014" i="2"/>
  <c r="AI1014" i="2"/>
  <c r="AH1014" i="2"/>
  <c r="AG1014" i="2"/>
  <c r="AE1014" i="2"/>
  <c r="AD1014" i="2"/>
  <c r="AC1014" i="2"/>
  <c r="AA1014" i="2"/>
  <c r="Z1014" i="2"/>
  <c r="Y1014" i="2"/>
  <c r="X1014" i="2"/>
  <c r="W1014" i="2"/>
  <c r="V1014" i="2"/>
  <c r="U1014" i="2"/>
  <c r="T1014" i="2"/>
  <c r="S1014" i="2"/>
  <c r="R1014" i="2"/>
  <c r="Q1014" i="2"/>
  <c r="P1014" i="2"/>
  <c r="O1014" i="2"/>
  <c r="N1014" i="2"/>
  <c r="M1014" i="2"/>
  <c r="L1014" i="2"/>
  <c r="K1014" i="2"/>
  <c r="J1014" i="2"/>
  <c r="I1014" i="2"/>
  <c r="H1014" i="2"/>
  <c r="G1014" i="2"/>
  <c r="F1014" i="2"/>
  <c r="E1014" i="2"/>
  <c r="D1014" i="2"/>
  <c r="C1014" i="2"/>
  <c r="B1014" i="2"/>
  <c r="A1014" i="2"/>
  <c r="AX1013" i="2"/>
  <c r="AV1013" i="2"/>
  <c r="AU1013" i="2"/>
  <c r="AT1013" i="2"/>
  <c r="AS1013" i="2"/>
  <c r="AR1013" i="2"/>
  <c r="AP1013" i="2"/>
  <c r="AO1013" i="2"/>
  <c r="AM1013" i="2"/>
  <c r="AK1013" i="2"/>
  <c r="AJ1013" i="2"/>
  <c r="AI1013" i="2"/>
  <c r="AH1013" i="2"/>
  <c r="AG1013" i="2"/>
  <c r="AE1013" i="2"/>
  <c r="AD1013" i="2"/>
  <c r="AC1013" i="2"/>
  <c r="Z1013" i="2"/>
  <c r="Y1013" i="2"/>
  <c r="X1013" i="2"/>
  <c r="W1013" i="2"/>
  <c r="V1013" i="2"/>
  <c r="U1013" i="2"/>
  <c r="T1013" i="2"/>
  <c r="S1013" i="2"/>
  <c r="R1013" i="2"/>
  <c r="Q1013" i="2"/>
  <c r="P1013" i="2"/>
  <c r="O1013" i="2"/>
  <c r="N1013" i="2"/>
  <c r="M1013" i="2"/>
  <c r="L1013" i="2"/>
  <c r="K1013" i="2"/>
  <c r="J1013" i="2"/>
  <c r="I1013" i="2"/>
  <c r="H1013" i="2"/>
  <c r="G1013" i="2"/>
  <c r="F1013" i="2"/>
  <c r="E1013" i="2"/>
  <c r="D1013" i="2"/>
  <c r="C1013" i="2"/>
  <c r="B1013" i="2"/>
  <c r="A1013" i="2"/>
  <c r="AX1012" i="2"/>
  <c r="AV1012" i="2"/>
  <c r="AU1012" i="2"/>
  <c r="AT1012" i="2"/>
  <c r="AR1012" i="2"/>
  <c r="AO1012" i="2"/>
  <c r="AM1012" i="2"/>
  <c r="AL1012" i="2"/>
  <c r="AK1012" i="2"/>
  <c r="AJ1012" i="2"/>
  <c r="AI1012" i="2"/>
  <c r="AH1012" i="2"/>
  <c r="AG1012" i="2"/>
  <c r="AF1012" i="2"/>
  <c r="AE1012" i="2"/>
  <c r="AD1012" i="2"/>
  <c r="AC1012" i="2"/>
  <c r="AA1012" i="2"/>
  <c r="Z1012" i="2"/>
  <c r="Y1012" i="2"/>
  <c r="X1012" i="2"/>
  <c r="W1012" i="2"/>
  <c r="V1012" i="2"/>
  <c r="U1012" i="2"/>
  <c r="T1012" i="2"/>
  <c r="S1012" i="2"/>
  <c r="R1012" i="2"/>
  <c r="Q1012" i="2"/>
  <c r="P1012" i="2"/>
  <c r="O1012" i="2"/>
  <c r="N1012" i="2"/>
  <c r="M1012" i="2"/>
  <c r="L1012" i="2"/>
  <c r="K1012" i="2"/>
  <c r="J1012" i="2"/>
  <c r="I1012" i="2"/>
  <c r="H1012" i="2"/>
  <c r="G1012" i="2"/>
  <c r="F1012" i="2"/>
  <c r="E1012" i="2"/>
  <c r="D1012" i="2"/>
  <c r="C1012" i="2"/>
  <c r="B1012" i="2"/>
  <c r="A1012" i="2"/>
  <c r="AX1011" i="2"/>
  <c r="AV1011" i="2"/>
  <c r="AU1011" i="2"/>
  <c r="AT1011" i="2"/>
  <c r="AS1011" i="2"/>
  <c r="AR1011" i="2"/>
  <c r="AO1011" i="2"/>
  <c r="AM1011" i="2"/>
  <c r="AK1011" i="2"/>
  <c r="AJ1011" i="2"/>
  <c r="AI1011" i="2"/>
  <c r="AH1011" i="2"/>
  <c r="AG1011" i="2"/>
  <c r="AE1011" i="2"/>
  <c r="AD1011" i="2"/>
  <c r="AC1011" i="2"/>
  <c r="AA1011" i="2"/>
  <c r="Z1011" i="2"/>
  <c r="Y1011" i="2"/>
  <c r="X1011" i="2"/>
  <c r="W1011" i="2"/>
  <c r="V1011" i="2"/>
  <c r="U1011" i="2"/>
  <c r="T1011" i="2"/>
  <c r="S1011" i="2"/>
  <c r="R1011" i="2"/>
  <c r="Q1011" i="2"/>
  <c r="P1011" i="2"/>
  <c r="O1011" i="2"/>
  <c r="N1011" i="2"/>
  <c r="M1011" i="2"/>
  <c r="L1011" i="2"/>
  <c r="K1011" i="2"/>
  <c r="J1011" i="2"/>
  <c r="I1011" i="2"/>
  <c r="H1011" i="2"/>
  <c r="G1011" i="2"/>
  <c r="F1011" i="2"/>
  <c r="E1011" i="2"/>
  <c r="D1011" i="2"/>
  <c r="C1011" i="2"/>
  <c r="B1011" i="2"/>
  <c r="A1011" i="2"/>
  <c r="AX1010" i="2"/>
  <c r="AV1010" i="2"/>
  <c r="AU1010" i="2"/>
  <c r="AT1010" i="2"/>
  <c r="AS1010" i="2"/>
  <c r="AR1010" i="2"/>
  <c r="AQ1010" i="2"/>
  <c r="AO1010" i="2"/>
  <c r="AM1010" i="2"/>
  <c r="AL1010" i="2"/>
  <c r="AK1010" i="2"/>
  <c r="AJ1010" i="2"/>
  <c r="AI1010" i="2"/>
  <c r="AH1010" i="2"/>
  <c r="AG1010" i="2"/>
  <c r="AE1010" i="2"/>
  <c r="AD1010" i="2"/>
  <c r="AC1010" i="2"/>
  <c r="AA1010" i="2"/>
  <c r="Z1010" i="2"/>
  <c r="Y1010" i="2"/>
  <c r="X1010" i="2"/>
  <c r="W1010" i="2"/>
  <c r="V1010" i="2"/>
  <c r="U1010" i="2"/>
  <c r="T1010" i="2"/>
  <c r="S1010" i="2"/>
  <c r="R1010" i="2"/>
  <c r="Q1010" i="2"/>
  <c r="P1010" i="2"/>
  <c r="O1010" i="2"/>
  <c r="N1010" i="2"/>
  <c r="M1010" i="2"/>
  <c r="L1010" i="2"/>
  <c r="K1010" i="2"/>
  <c r="J1010" i="2"/>
  <c r="I1010" i="2"/>
  <c r="H1010" i="2"/>
  <c r="G1010" i="2"/>
  <c r="F1010" i="2"/>
  <c r="E1010" i="2"/>
  <c r="D1010" i="2"/>
  <c r="C1010" i="2"/>
  <c r="B1010" i="2"/>
  <c r="A1010" i="2"/>
  <c r="AX1009" i="2"/>
  <c r="AV1009" i="2"/>
  <c r="AU1009" i="2"/>
  <c r="AT1009" i="2"/>
  <c r="AS1009" i="2"/>
  <c r="AR1009" i="2"/>
  <c r="AO1009" i="2"/>
  <c r="AM1009" i="2"/>
  <c r="AK1009" i="2"/>
  <c r="AJ1009" i="2"/>
  <c r="AI1009" i="2"/>
  <c r="AH1009" i="2"/>
  <c r="AG1009" i="2"/>
  <c r="AE1009" i="2"/>
  <c r="AC1009" i="2"/>
  <c r="Z1009" i="2"/>
  <c r="Y1009" i="2"/>
  <c r="X1009" i="2"/>
  <c r="W1009" i="2"/>
  <c r="V1009" i="2"/>
  <c r="U1009" i="2"/>
  <c r="T1009" i="2"/>
  <c r="S1009" i="2"/>
  <c r="R1009" i="2"/>
  <c r="Q1009" i="2"/>
  <c r="P1009" i="2"/>
  <c r="O1009" i="2"/>
  <c r="N1009" i="2"/>
  <c r="M1009" i="2"/>
  <c r="L1009" i="2"/>
  <c r="K1009" i="2"/>
  <c r="J1009" i="2"/>
  <c r="I1009" i="2"/>
  <c r="H1009" i="2"/>
  <c r="G1009" i="2"/>
  <c r="F1009" i="2"/>
  <c r="E1009" i="2"/>
  <c r="D1009" i="2"/>
  <c r="C1009" i="2"/>
  <c r="B1009" i="2"/>
  <c r="A1009" i="2"/>
  <c r="AX1008" i="2"/>
  <c r="AV1008" i="2"/>
  <c r="AU1008" i="2"/>
  <c r="AS1008" i="2"/>
  <c r="AR1008" i="2"/>
  <c r="AO1008" i="2"/>
  <c r="AM1008" i="2"/>
  <c r="AL1008" i="2"/>
  <c r="AK1008" i="2"/>
  <c r="AJ1008" i="2"/>
  <c r="AI1008" i="2"/>
  <c r="AH1008" i="2"/>
  <c r="AG1008" i="2"/>
  <c r="AF1008" i="2"/>
  <c r="AE1008" i="2"/>
  <c r="AD1008" i="2"/>
  <c r="AC1008" i="2"/>
  <c r="AA1008" i="2"/>
  <c r="Z1008" i="2"/>
  <c r="Y1008" i="2"/>
  <c r="X1008" i="2"/>
  <c r="W1008" i="2"/>
  <c r="V1008" i="2"/>
  <c r="U1008" i="2"/>
  <c r="T1008" i="2"/>
  <c r="S1008" i="2"/>
  <c r="R1008" i="2"/>
  <c r="Q1008" i="2"/>
  <c r="P1008" i="2"/>
  <c r="O1008" i="2"/>
  <c r="N1008" i="2"/>
  <c r="M1008" i="2"/>
  <c r="L1008" i="2"/>
  <c r="K1008" i="2"/>
  <c r="J1008" i="2"/>
  <c r="I1008" i="2"/>
  <c r="H1008" i="2"/>
  <c r="G1008" i="2"/>
  <c r="F1008" i="2"/>
  <c r="E1008" i="2"/>
  <c r="D1008" i="2"/>
  <c r="C1008" i="2"/>
  <c r="B1008" i="2"/>
  <c r="A1008" i="2"/>
  <c r="AX1007" i="2"/>
  <c r="AV1007" i="2"/>
  <c r="AU1007" i="2"/>
  <c r="AS1007" i="2"/>
  <c r="AR1007" i="2"/>
  <c r="AO1007" i="2"/>
  <c r="AM1007" i="2"/>
  <c r="AL1007" i="2"/>
  <c r="AK1007" i="2"/>
  <c r="AJ1007" i="2"/>
  <c r="AI1007" i="2"/>
  <c r="AH1007" i="2"/>
  <c r="AG1007" i="2"/>
  <c r="AE1007" i="2"/>
  <c r="AD1007" i="2"/>
  <c r="AC1007" i="2"/>
  <c r="AA1007" i="2"/>
  <c r="Z1007" i="2"/>
  <c r="Y1007" i="2"/>
  <c r="X1007" i="2"/>
  <c r="W1007" i="2"/>
  <c r="V1007" i="2"/>
  <c r="U1007" i="2"/>
  <c r="T1007" i="2"/>
  <c r="S1007" i="2"/>
  <c r="R1007" i="2"/>
  <c r="Q1007" i="2"/>
  <c r="P1007" i="2"/>
  <c r="O1007" i="2"/>
  <c r="N1007" i="2"/>
  <c r="M1007" i="2"/>
  <c r="L1007" i="2"/>
  <c r="K1007" i="2"/>
  <c r="J1007" i="2"/>
  <c r="I1007" i="2"/>
  <c r="H1007" i="2"/>
  <c r="G1007" i="2"/>
  <c r="F1007" i="2"/>
  <c r="E1007" i="2"/>
  <c r="D1007" i="2"/>
  <c r="C1007" i="2"/>
  <c r="B1007" i="2"/>
  <c r="A1007" i="2"/>
  <c r="AX1006" i="2"/>
  <c r="AV1006" i="2"/>
  <c r="AU1006" i="2"/>
  <c r="AS1006" i="2"/>
  <c r="AR1006" i="2"/>
  <c r="AO1006" i="2"/>
  <c r="AM1006" i="2"/>
  <c r="AK1006" i="2"/>
  <c r="AJ1006" i="2"/>
  <c r="AI1006" i="2"/>
  <c r="AH1006" i="2"/>
  <c r="AG1006" i="2"/>
  <c r="AE1006" i="2"/>
  <c r="AC1006" i="2"/>
  <c r="Z1006" i="2"/>
  <c r="Y1006" i="2"/>
  <c r="X1006" i="2"/>
  <c r="W1006" i="2"/>
  <c r="V1006" i="2"/>
  <c r="U1006" i="2"/>
  <c r="T1006" i="2"/>
  <c r="S1006" i="2"/>
  <c r="R1006" i="2"/>
  <c r="Q1006" i="2"/>
  <c r="P1006" i="2"/>
  <c r="O1006" i="2"/>
  <c r="N1006" i="2"/>
  <c r="M1006" i="2"/>
  <c r="L1006" i="2"/>
  <c r="K1006" i="2"/>
  <c r="J1006" i="2"/>
  <c r="I1006" i="2"/>
  <c r="H1006" i="2"/>
  <c r="G1006" i="2"/>
  <c r="F1006" i="2"/>
  <c r="E1006" i="2"/>
  <c r="D1006" i="2"/>
  <c r="C1006" i="2"/>
  <c r="B1006" i="2"/>
  <c r="A1006" i="2"/>
  <c r="AX1005" i="2"/>
  <c r="AV1005" i="2"/>
  <c r="AU1005" i="2"/>
  <c r="AS1005" i="2"/>
  <c r="AR1005" i="2"/>
  <c r="AO1005" i="2"/>
  <c r="AM1005" i="2"/>
  <c r="AL1005" i="2"/>
  <c r="AK1005" i="2"/>
  <c r="AJ1005" i="2"/>
  <c r="AI1005" i="2"/>
  <c r="AH1005" i="2"/>
  <c r="AG1005" i="2"/>
  <c r="AE1005" i="2"/>
  <c r="AD1005" i="2"/>
  <c r="AC1005" i="2"/>
  <c r="AA1005" i="2"/>
  <c r="Z1005" i="2"/>
  <c r="Y1005" i="2"/>
  <c r="X1005" i="2"/>
  <c r="W1005" i="2"/>
  <c r="V1005" i="2"/>
  <c r="U1005" i="2"/>
  <c r="T1005" i="2"/>
  <c r="S1005" i="2"/>
  <c r="R1005" i="2"/>
  <c r="Q1005" i="2"/>
  <c r="P1005" i="2"/>
  <c r="O1005" i="2"/>
  <c r="N1005" i="2"/>
  <c r="M1005" i="2"/>
  <c r="L1005" i="2"/>
  <c r="K1005" i="2"/>
  <c r="J1005" i="2"/>
  <c r="I1005" i="2"/>
  <c r="H1005" i="2"/>
  <c r="G1005" i="2"/>
  <c r="F1005" i="2"/>
  <c r="E1005" i="2"/>
  <c r="D1005" i="2"/>
  <c r="C1005" i="2"/>
  <c r="B1005" i="2"/>
  <c r="A1005" i="2"/>
  <c r="AX1004" i="2"/>
  <c r="AV1004" i="2"/>
  <c r="AU1004" i="2"/>
  <c r="AR1004" i="2"/>
  <c r="AO1004" i="2"/>
  <c r="AM1004" i="2"/>
  <c r="AL1004" i="2"/>
  <c r="AK1004" i="2"/>
  <c r="AJ1004" i="2"/>
  <c r="AI1004" i="2"/>
  <c r="AH1004" i="2"/>
  <c r="AG1004" i="2"/>
  <c r="AE1004" i="2"/>
  <c r="AD1004" i="2"/>
  <c r="AC1004" i="2"/>
  <c r="AA1004" i="2"/>
  <c r="Z1004" i="2"/>
  <c r="Y1004" i="2"/>
  <c r="X1004" i="2"/>
  <c r="W1004" i="2"/>
  <c r="V1004" i="2"/>
  <c r="U1004" i="2"/>
  <c r="T1004" i="2"/>
  <c r="S1004" i="2"/>
  <c r="R1004" i="2"/>
  <c r="Q1004" i="2"/>
  <c r="P1004" i="2"/>
  <c r="O1004" i="2"/>
  <c r="N1004" i="2"/>
  <c r="M1004" i="2"/>
  <c r="L1004" i="2"/>
  <c r="K1004" i="2"/>
  <c r="J1004" i="2"/>
  <c r="I1004" i="2"/>
  <c r="H1004" i="2"/>
  <c r="G1004" i="2"/>
  <c r="F1004" i="2"/>
  <c r="E1004" i="2"/>
  <c r="D1004" i="2"/>
  <c r="C1004" i="2"/>
  <c r="B1004" i="2"/>
  <c r="A1004" i="2"/>
  <c r="AX1003" i="2"/>
  <c r="AV1003" i="2"/>
  <c r="AU1003" i="2"/>
  <c r="AS1003" i="2"/>
  <c r="AR1003" i="2"/>
  <c r="AO1003" i="2"/>
  <c r="AM1003" i="2"/>
  <c r="AK1003" i="2"/>
  <c r="AJ1003" i="2"/>
  <c r="AI1003" i="2"/>
  <c r="AH1003" i="2"/>
  <c r="AG1003" i="2"/>
  <c r="AE1003" i="2"/>
  <c r="AD1003" i="2"/>
  <c r="AC1003" i="2"/>
  <c r="Z1003" i="2"/>
  <c r="Y1003" i="2"/>
  <c r="X1003" i="2"/>
  <c r="V1003" i="2"/>
  <c r="U1003" i="2"/>
  <c r="T1003" i="2"/>
  <c r="S1003" i="2"/>
  <c r="R1003" i="2"/>
  <c r="Q1003" i="2"/>
  <c r="P1003" i="2"/>
  <c r="O1003" i="2"/>
  <c r="N1003" i="2"/>
  <c r="M1003" i="2"/>
  <c r="L1003" i="2"/>
  <c r="K1003" i="2"/>
  <c r="J1003" i="2"/>
  <c r="I1003" i="2"/>
  <c r="H1003" i="2"/>
  <c r="G1003" i="2"/>
  <c r="F1003" i="2"/>
  <c r="E1003" i="2"/>
  <c r="D1003" i="2"/>
  <c r="C1003" i="2"/>
  <c r="B1003" i="2"/>
  <c r="A1003" i="2"/>
  <c r="AX1002" i="2"/>
  <c r="AV1002" i="2"/>
  <c r="AU1002" i="2"/>
  <c r="AS1002" i="2"/>
  <c r="AR1002" i="2"/>
  <c r="AO1002" i="2"/>
  <c r="AM1002" i="2"/>
  <c r="AK1002" i="2"/>
  <c r="AJ1002" i="2"/>
  <c r="AI1002" i="2"/>
  <c r="AH1002" i="2"/>
  <c r="AG1002" i="2"/>
  <c r="AE1002" i="2"/>
  <c r="AD1002" i="2"/>
  <c r="AC1002" i="2"/>
  <c r="AA1002" i="2"/>
  <c r="Z1002" i="2"/>
  <c r="Y1002" i="2"/>
  <c r="X1002" i="2"/>
  <c r="W1002" i="2"/>
  <c r="V1002" i="2"/>
  <c r="U1002" i="2"/>
  <c r="T1002" i="2"/>
  <c r="S1002" i="2"/>
  <c r="R1002" i="2"/>
  <c r="Q1002" i="2"/>
  <c r="P1002" i="2"/>
  <c r="O1002" i="2"/>
  <c r="N1002" i="2"/>
  <c r="M1002" i="2"/>
  <c r="L1002" i="2"/>
  <c r="K1002" i="2"/>
  <c r="J1002" i="2"/>
  <c r="I1002" i="2"/>
  <c r="H1002" i="2"/>
  <c r="G1002" i="2"/>
  <c r="F1002" i="2"/>
  <c r="E1002" i="2"/>
  <c r="D1002" i="2"/>
  <c r="C1002" i="2"/>
  <c r="B1002" i="2"/>
  <c r="A1002" i="2"/>
  <c r="AX1001" i="2"/>
  <c r="AV1001" i="2"/>
  <c r="AU1001" i="2"/>
  <c r="AS1001" i="2"/>
  <c r="AR1001" i="2"/>
  <c r="AO1001" i="2"/>
  <c r="AM1001" i="2"/>
  <c r="AK1001" i="2"/>
  <c r="AJ1001" i="2"/>
  <c r="AI1001" i="2"/>
  <c r="AH1001" i="2"/>
  <c r="AG1001" i="2"/>
  <c r="AE1001" i="2"/>
  <c r="AD1001" i="2"/>
  <c r="AC1001" i="2"/>
  <c r="Z1001" i="2"/>
  <c r="Y1001" i="2"/>
  <c r="X1001" i="2"/>
  <c r="W1001" i="2"/>
  <c r="V1001" i="2"/>
  <c r="U1001" i="2"/>
  <c r="T1001" i="2"/>
  <c r="S1001" i="2"/>
  <c r="R1001" i="2"/>
  <c r="Q1001" i="2"/>
  <c r="P1001" i="2"/>
  <c r="O1001" i="2"/>
  <c r="N1001" i="2"/>
  <c r="M1001" i="2"/>
  <c r="L1001" i="2"/>
  <c r="K1001" i="2"/>
  <c r="J1001" i="2"/>
  <c r="I1001" i="2"/>
  <c r="H1001" i="2"/>
  <c r="G1001" i="2"/>
  <c r="F1001" i="2"/>
  <c r="E1001" i="2"/>
  <c r="D1001" i="2"/>
  <c r="C1001" i="2"/>
  <c r="B1001" i="2"/>
  <c r="A1001" i="2"/>
  <c r="AX1000" i="2"/>
  <c r="AV1000" i="2"/>
  <c r="AU1000" i="2"/>
  <c r="AS1000" i="2"/>
  <c r="AR1000" i="2"/>
  <c r="AQ1000" i="2"/>
  <c r="AO1000" i="2"/>
  <c r="AN1000" i="2"/>
  <c r="AM1000" i="2"/>
  <c r="AK1000" i="2"/>
  <c r="AJ1000" i="2"/>
  <c r="AI1000" i="2"/>
  <c r="AH1000" i="2"/>
  <c r="AG1000" i="2"/>
  <c r="AE1000" i="2"/>
  <c r="AD1000" i="2"/>
  <c r="AC1000" i="2"/>
  <c r="Z1000" i="2"/>
  <c r="Y1000" i="2"/>
  <c r="X1000" i="2"/>
  <c r="W1000" i="2"/>
  <c r="V1000" i="2"/>
  <c r="U1000" i="2"/>
  <c r="T1000" i="2"/>
  <c r="S1000" i="2"/>
  <c r="R1000" i="2"/>
  <c r="Q1000" i="2"/>
  <c r="P1000" i="2"/>
  <c r="O1000" i="2"/>
  <c r="N1000" i="2"/>
  <c r="M1000" i="2"/>
  <c r="L1000" i="2"/>
  <c r="K1000" i="2"/>
  <c r="J1000" i="2"/>
  <c r="I1000" i="2"/>
  <c r="H1000" i="2"/>
  <c r="G1000" i="2"/>
  <c r="F1000" i="2"/>
  <c r="E1000" i="2"/>
  <c r="D1000" i="2"/>
  <c r="C1000" i="2"/>
  <c r="B1000" i="2"/>
  <c r="A1000" i="2"/>
  <c r="AX999" i="2"/>
  <c r="AV999" i="2"/>
  <c r="AU999" i="2"/>
  <c r="AS999" i="2"/>
  <c r="AR999" i="2"/>
  <c r="AO999" i="2"/>
  <c r="AN999" i="2"/>
  <c r="AM999" i="2"/>
  <c r="AL999" i="2"/>
  <c r="AK999" i="2"/>
  <c r="AJ999" i="2"/>
  <c r="AI999" i="2"/>
  <c r="AH999" i="2"/>
  <c r="AG999" i="2"/>
  <c r="AE999" i="2"/>
  <c r="AD999" i="2"/>
  <c r="AC999" i="2"/>
  <c r="AA999" i="2"/>
  <c r="Z999" i="2"/>
  <c r="Y999" i="2"/>
  <c r="X999" i="2"/>
  <c r="W999" i="2"/>
  <c r="V999" i="2"/>
  <c r="U999" i="2"/>
  <c r="T999" i="2"/>
  <c r="S999" i="2"/>
  <c r="R999" i="2"/>
  <c r="Q999" i="2"/>
  <c r="P999" i="2"/>
  <c r="O999" i="2"/>
  <c r="N999" i="2"/>
  <c r="M999" i="2"/>
  <c r="L999" i="2"/>
  <c r="K999" i="2"/>
  <c r="J999" i="2"/>
  <c r="I999" i="2"/>
  <c r="H999" i="2"/>
  <c r="G999" i="2"/>
  <c r="F999" i="2"/>
  <c r="E999" i="2"/>
  <c r="D999" i="2"/>
  <c r="C999" i="2"/>
  <c r="B999" i="2"/>
  <c r="A999" i="2"/>
  <c r="AX998" i="2"/>
  <c r="AV998" i="2"/>
  <c r="AU998" i="2"/>
  <c r="AR998" i="2"/>
  <c r="AO998" i="2"/>
  <c r="AN998" i="2"/>
  <c r="AM998" i="2"/>
  <c r="AK998" i="2"/>
  <c r="AJ998" i="2"/>
  <c r="AI998" i="2"/>
  <c r="AH998" i="2"/>
  <c r="AG998" i="2"/>
  <c r="AE998" i="2"/>
  <c r="AC998" i="2"/>
  <c r="Z998" i="2"/>
  <c r="Y998" i="2"/>
  <c r="X998" i="2"/>
  <c r="W998" i="2"/>
  <c r="V998" i="2"/>
  <c r="U998" i="2"/>
  <c r="T998" i="2"/>
  <c r="S998" i="2"/>
  <c r="R998" i="2"/>
  <c r="Q998" i="2"/>
  <c r="P998" i="2"/>
  <c r="O998" i="2"/>
  <c r="N998" i="2"/>
  <c r="M998" i="2"/>
  <c r="L998" i="2"/>
  <c r="K998" i="2"/>
  <c r="J998" i="2"/>
  <c r="I998" i="2"/>
  <c r="H998" i="2"/>
  <c r="G998" i="2"/>
  <c r="F998" i="2"/>
  <c r="E998" i="2"/>
  <c r="D998" i="2"/>
  <c r="C998" i="2"/>
  <c r="B998" i="2"/>
  <c r="A998" i="2"/>
  <c r="AX997" i="2"/>
  <c r="AV997" i="2"/>
  <c r="AU997" i="2"/>
  <c r="AT997" i="2"/>
  <c r="AS997" i="2"/>
  <c r="AR997" i="2"/>
  <c r="AQ997" i="2"/>
  <c r="AP997" i="2"/>
  <c r="AO997" i="2"/>
  <c r="AN997" i="2"/>
  <c r="AM997" i="2"/>
  <c r="AL997" i="2"/>
  <c r="AK997" i="2"/>
  <c r="AJ997" i="2"/>
  <c r="AI997" i="2"/>
  <c r="AH997" i="2"/>
  <c r="AG997" i="2"/>
  <c r="AE997" i="2"/>
  <c r="AD997" i="2"/>
  <c r="AC997" i="2"/>
  <c r="AA997" i="2"/>
  <c r="Z997" i="2"/>
  <c r="Y997" i="2"/>
  <c r="X997" i="2"/>
  <c r="W997" i="2"/>
  <c r="V997" i="2"/>
  <c r="U997" i="2"/>
  <c r="T997" i="2"/>
  <c r="S997" i="2"/>
  <c r="R997" i="2"/>
  <c r="Q997" i="2"/>
  <c r="P997" i="2"/>
  <c r="O997" i="2"/>
  <c r="N997" i="2"/>
  <c r="M997" i="2"/>
  <c r="L997" i="2"/>
  <c r="K997" i="2"/>
  <c r="J997" i="2"/>
  <c r="I997" i="2"/>
  <c r="H997" i="2"/>
  <c r="G997" i="2"/>
  <c r="F997" i="2"/>
  <c r="E997" i="2"/>
  <c r="D997" i="2"/>
  <c r="C997" i="2"/>
  <c r="B997" i="2"/>
  <c r="A997" i="2"/>
  <c r="AX996" i="2"/>
  <c r="AV996" i="2"/>
  <c r="AU996" i="2"/>
  <c r="AT996" i="2"/>
  <c r="AS996" i="2"/>
  <c r="AR996" i="2"/>
  <c r="AO996" i="2"/>
  <c r="AN996" i="2"/>
  <c r="AM996" i="2"/>
  <c r="AJ996" i="2"/>
  <c r="AI996" i="2"/>
  <c r="AH996" i="2"/>
  <c r="AG996" i="2"/>
  <c r="AE996" i="2"/>
  <c r="AD996" i="2"/>
  <c r="AC996" i="2"/>
  <c r="AA996" i="2"/>
  <c r="Z996" i="2"/>
  <c r="Y996" i="2"/>
  <c r="X996" i="2"/>
  <c r="W996" i="2"/>
  <c r="V996" i="2"/>
  <c r="U996" i="2"/>
  <c r="T996" i="2"/>
  <c r="S996" i="2"/>
  <c r="R996" i="2"/>
  <c r="Q996" i="2"/>
  <c r="P996" i="2"/>
  <c r="O996" i="2"/>
  <c r="N996" i="2"/>
  <c r="M996" i="2"/>
  <c r="L996" i="2"/>
  <c r="K996" i="2"/>
  <c r="J996" i="2"/>
  <c r="I996" i="2"/>
  <c r="H996" i="2"/>
  <c r="G996" i="2"/>
  <c r="F996" i="2"/>
  <c r="E996" i="2"/>
  <c r="D996" i="2"/>
  <c r="C996" i="2"/>
  <c r="B996" i="2"/>
  <c r="A996" i="2"/>
  <c r="AX995" i="2"/>
  <c r="AV995" i="2"/>
  <c r="AU995" i="2"/>
  <c r="AS995" i="2"/>
  <c r="AR995" i="2"/>
  <c r="AO995" i="2"/>
  <c r="AN995" i="2"/>
  <c r="AM995" i="2"/>
  <c r="AK995" i="2"/>
  <c r="AJ995" i="2"/>
  <c r="AI995" i="2"/>
  <c r="AH995" i="2"/>
  <c r="AG995" i="2"/>
  <c r="AE995" i="2"/>
  <c r="AC995" i="2"/>
  <c r="Z995" i="2"/>
  <c r="Y995" i="2"/>
  <c r="X995" i="2"/>
  <c r="W995" i="2"/>
  <c r="V995" i="2"/>
  <c r="U995" i="2"/>
  <c r="T995" i="2"/>
  <c r="S995" i="2"/>
  <c r="R995" i="2"/>
  <c r="Q995" i="2"/>
  <c r="P995" i="2"/>
  <c r="O995" i="2"/>
  <c r="N995" i="2"/>
  <c r="M995" i="2"/>
  <c r="L995" i="2"/>
  <c r="K995" i="2"/>
  <c r="J995" i="2"/>
  <c r="I995" i="2"/>
  <c r="H995" i="2"/>
  <c r="G995" i="2"/>
  <c r="F995" i="2"/>
  <c r="E995" i="2"/>
  <c r="D995" i="2"/>
  <c r="C995" i="2"/>
  <c r="B995" i="2"/>
  <c r="A995" i="2"/>
  <c r="AX994" i="2"/>
  <c r="AV994" i="2"/>
  <c r="AU994" i="2"/>
  <c r="AS994" i="2"/>
  <c r="AR994" i="2"/>
  <c r="AO994" i="2"/>
  <c r="AN994" i="2"/>
  <c r="AM994" i="2"/>
  <c r="AL994" i="2"/>
  <c r="AK994" i="2"/>
  <c r="AJ994" i="2"/>
  <c r="AI994" i="2"/>
  <c r="AH994" i="2"/>
  <c r="AG994" i="2"/>
  <c r="AE994" i="2"/>
  <c r="AD994" i="2"/>
  <c r="AC994" i="2"/>
  <c r="AA994" i="2"/>
  <c r="Z994" i="2"/>
  <c r="Y994" i="2"/>
  <c r="X994" i="2"/>
  <c r="W994" i="2"/>
  <c r="V994" i="2"/>
  <c r="U994" i="2"/>
  <c r="T994" i="2"/>
  <c r="S994" i="2"/>
  <c r="R994" i="2"/>
  <c r="Q994" i="2"/>
  <c r="P994" i="2"/>
  <c r="O994" i="2"/>
  <c r="N994" i="2"/>
  <c r="M994" i="2"/>
  <c r="L994" i="2"/>
  <c r="K994" i="2"/>
  <c r="J994" i="2"/>
  <c r="I994" i="2"/>
  <c r="H994" i="2"/>
  <c r="G994" i="2"/>
  <c r="F994" i="2"/>
  <c r="E994" i="2"/>
  <c r="D994" i="2"/>
  <c r="C994" i="2"/>
  <c r="B994" i="2"/>
  <c r="A994" i="2"/>
  <c r="AX993" i="2"/>
  <c r="AV993" i="2"/>
  <c r="AU993" i="2"/>
  <c r="AS993" i="2"/>
  <c r="AR993" i="2"/>
  <c r="AO993" i="2"/>
  <c r="AN993" i="2"/>
  <c r="AM993" i="2"/>
  <c r="AK993" i="2"/>
  <c r="AJ993" i="2"/>
  <c r="AI993" i="2"/>
  <c r="AH993" i="2"/>
  <c r="AG993" i="2"/>
  <c r="AE993" i="2"/>
  <c r="AC993" i="2"/>
  <c r="Z993" i="2"/>
  <c r="Y993" i="2"/>
  <c r="X993" i="2"/>
  <c r="W993" i="2"/>
  <c r="V993" i="2"/>
  <c r="U993" i="2"/>
  <c r="T993" i="2"/>
  <c r="S993" i="2"/>
  <c r="R993" i="2"/>
  <c r="Q993" i="2"/>
  <c r="P993" i="2"/>
  <c r="O993" i="2"/>
  <c r="N993" i="2"/>
  <c r="M993" i="2"/>
  <c r="L993" i="2"/>
  <c r="K993" i="2"/>
  <c r="J993" i="2"/>
  <c r="I993" i="2"/>
  <c r="H993" i="2"/>
  <c r="G993" i="2"/>
  <c r="F993" i="2"/>
  <c r="E993" i="2"/>
  <c r="D993" i="2"/>
  <c r="C993" i="2"/>
  <c r="B993" i="2"/>
  <c r="A993" i="2"/>
  <c r="AX992" i="2"/>
  <c r="AV992" i="2"/>
  <c r="AU992" i="2"/>
  <c r="AS992" i="2"/>
  <c r="AR992" i="2"/>
  <c r="AQ992" i="2"/>
  <c r="AP992" i="2"/>
  <c r="AO992" i="2"/>
  <c r="AN992" i="2"/>
  <c r="AM992" i="2"/>
  <c r="AK992" i="2"/>
  <c r="AI992" i="2"/>
  <c r="AH992" i="2"/>
  <c r="AG992" i="2"/>
  <c r="AE992" i="2"/>
  <c r="AC992" i="2"/>
  <c r="AA992" i="2"/>
  <c r="Z992" i="2"/>
  <c r="Y992" i="2"/>
  <c r="X992" i="2"/>
  <c r="W992" i="2"/>
  <c r="V992" i="2"/>
  <c r="U992" i="2"/>
  <c r="T992" i="2"/>
  <c r="S992" i="2"/>
  <c r="R992" i="2"/>
  <c r="Q992" i="2"/>
  <c r="P992" i="2"/>
  <c r="O992" i="2"/>
  <c r="N992" i="2"/>
  <c r="M992" i="2"/>
  <c r="L992" i="2"/>
  <c r="K992" i="2"/>
  <c r="J992" i="2"/>
  <c r="I992" i="2"/>
  <c r="H992" i="2"/>
  <c r="G992" i="2"/>
  <c r="F992" i="2"/>
  <c r="E992" i="2"/>
  <c r="D992" i="2"/>
  <c r="C992" i="2"/>
  <c r="B992" i="2"/>
  <c r="A992" i="2"/>
  <c r="AX991" i="2"/>
  <c r="AV991" i="2"/>
  <c r="AU991" i="2"/>
  <c r="AT991" i="2"/>
  <c r="AS991" i="2"/>
  <c r="AR991" i="2"/>
  <c r="AP991" i="2"/>
  <c r="AO991" i="2"/>
  <c r="AN991" i="2"/>
  <c r="AM991" i="2"/>
  <c r="AK991" i="2"/>
  <c r="AJ991" i="2"/>
  <c r="AI991" i="2"/>
  <c r="AH991" i="2"/>
  <c r="AG991" i="2"/>
  <c r="AE991" i="2"/>
  <c r="AD991" i="2"/>
  <c r="AC991" i="2"/>
  <c r="AA991" i="2"/>
  <c r="Z991" i="2"/>
  <c r="Y991" i="2"/>
  <c r="X991" i="2"/>
  <c r="W991" i="2"/>
  <c r="V991" i="2"/>
  <c r="U991" i="2"/>
  <c r="T991" i="2"/>
  <c r="S991" i="2"/>
  <c r="R991" i="2"/>
  <c r="Q991" i="2"/>
  <c r="P991" i="2"/>
  <c r="O991" i="2"/>
  <c r="N991" i="2"/>
  <c r="M991" i="2"/>
  <c r="L991" i="2"/>
  <c r="K991" i="2"/>
  <c r="J991" i="2"/>
  <c r="I991" i="2"/>
  <c r="H991" i="2"/>
  <c r="G991" i="2"/>
  <c r="F991" i="2"/>
  <c r="E991" i="2"/>
  <c r="D991" i="2"/>
  <c r="C991" i="2"/>
  <c r="B991" i="2"/>
  <c r="A991" i="2"/>
  <c r="AX990" i="2"/>
  <c r="AV990" i="2"/>
  <c r="AU990" i="2"/>
  <c r="AT990" i="2"/>
  <c r="AS990" i="2"/>
  <c r="AR990" i="2"/>
  <c r="AO990" i="2"/>
  <c r="AN990" i="2"/>
  <c r="AM990" i="2"/>
  <c r="AK990" i="2"/>
  <c r="AI990" i="2"/>
  <c r="AH990" i="2"/>
  <c r="AG990" i="2"/>
  <c r="AF990" i="2"/>
  <c r="AE990" i="2"/>
  <c r="AD990" i="2"/>
  <c r="AC990" i="2"/>
  <c r="AA990" i="2"/>
  <c r="Z990" i="2"/>
  <c r="Y990" i="2"/>
  <c r="X990" i="2"/>
  <c r="W990" i="2"/>
  <c r="V990" i="2"/>
  <c r="U990" i="2"/>
  <c r="T990" i="2"/>
  <c r="S990" i="2"/>
  <c r="R990" i="2"/>
  <c r="Q990" i="2"/>
  <c r="P990" i="2"/>
  <c r="O990" i="2"/>
  <c r="N990" i="2"/>
  <c r="M990" i="2"/>
  <c r="L990" i="2"/>
  <c r="K990" i="2"/>
  <c r="J990" i="2"/>
  <c r="I990" i="2"/>
  <c r="H990" i="2"/>
  <c r="G990" i="2"/>
  <c r="F990" i="2"/>
  <c r="E990" i="2"/>
  <c r="D990" i="2"/>
  <c r="C990" i="2"/>
  <c r="B990" i="2"/>
  <c r="A990" i="2"/>
  <c r="AX989" i="2"/>
  <c r="AV989" i="2"/>
  <c r="AU989" i="2"/>
  <c r="AS989" i="2"/>
  <c r="AR989" i="2"/>
  <c r="AO989" i="2"/>
  <c r="AN989" i="2"/>
  <c r="AM989" i="2"/>
  <c r="AL989" i="2"/>
  <c r="AI989" i="2"/>
  <c r="AH989" i="2"/>
  <c r="AG989" i="2"/>
  <c r="AE989" i="2"/>
  <c r="AD989" i="2"/>
  <c r="AC989" i="2"/>
  <c r="AA989" i="2"/>
  <c r="Z989" i="2"/>
  <c r="Y989" i="2"/>
  <c r="X989" i="2"/>
  <c r="W989" i="2"/>
  <c r="V989" i="2"/>
  <c r="U989" i="2"/>
  <c r="T989" i="2"/>
  <c r="S989" i="2"/>
  <c r="R989" i="2"/>
  <c r="Q989" i="2"/>
  <c r="P989" i="2"/>
  <c r="O989" i="2"/>
  <c r="N989" i="2"/>
  <c r="M989" i="2"/>
  <c r="L989" i="2"/>
  <c r="K989" i="2"/>
  <c r="J989" i="2"/>
  <c r="I989" i="2"/>
  <c r="H989" i="2"/>
  <c r="G989" i="2"/>
  <c r="F989" i="2"/>
  <c r="E989" i="2"/>
  <c r="D989" i="2"/>
  <c r="C989" i="2"/>
  <c r="B989" i="2"/>
  <c r="A989" i="2"/>
  <c r="AX988" i="2"/>
  <c r="AV988" i="2"/>
  <c r="AU988" i="2"/>
  <c r="AS988" i="2"/>
  <c r="AR988" i="2"/>
  <c r="AO988" i="2"/>
  <c r="AN988" i="2"/>
  <c r="AM988" i="2"/>
  <c r="AL988" i="2"/>
  <c r="AK988" i="2"/>
  <c r="AJ988" i="2"/>
  <c r="AI988" i="2"/>
  <c r="AH988" i="2"/>
  <c r="AG988" i="2"/>
  <c r="AF988" i="2"/>
  <c r="AE988" i="2"/>
  <c r="AD988" i="2"/>
  <c r="AC988" i="2"/>
  <c r="AA988" i="2"/>
  <c r="Z988" i="2"/>
  <c r="Y988" i="2"/>
  <c r="X988" i="2"/>
  <c r="W988" i="2"/>
  <c r="V988" i="2"/>
  <c r="U988" i="2"/>
  <c r="T988" i="2"/>
  <c r="S988" i="2"/>
  <c r="R988" i="2"/>
  <c r="Q988" i="2"/>
  <c r="P988" i="2"/>
  <c r="O988" i="2"/>
  <c r="N988" i="2"/>
  <c r="M988" i="2"/>
  <c r="L988" i="2"/>
  <c r="K988" i="2"/>
  <c r="J988" i="2"/>
  <c r="I988" i="2"/>
  <c r="H988" i="2"/>
  <c r="G988" i="2"/>
  <c r="F988" i="2"/>
  <c r="E988" i="2"/>
  <c r="D988" i="2"/>
  <c r="C988" i="2"/>
  <c r="B988" i="2"/>
  <c r="A988" i="2"/>
  <c r="AX987" i="2"/>
  <c r="AV987" i="2"/>
  <c r="AU987" i="2"/>
  <c r="AT987" i="2"/>
  <c r="AS987" i="2"/>
  <c r="AR987" i="2"/>
  <c r="AO987" i="2"/>
  <c r="AN987" i="2"/>
  <c r="AM987" i="2"/>
  <c r="AK987" i="2"/>
  <c r="AJ987" i="2"/>
  <c r="AI987" i="2"/>
  <c r="AH987" i="2"/>
  <c r="AG987" i="2"/>
  <c r="AF987" i="2"/>
  <c r="AE987" i="2"/>
  <c r="AD987" i="2"/>
  <c r="AC987" i="2"/>
  <c r="AA987" i="2"/>
  <c r="Z987" i="2"/>
  <c r="Y987" i="2"/>
  <c r="X987" i="2"/>
  <c r="W987" i="2"/>
  <c r="V987" i="2"/>
  <c r="U987" i="2"/>
  <c r="T987" i="2"/>
  <c r="S987" i="2"/>
  <c r="R987" i="2"/>
  <c r="Q987" i="2"/>
  <c r="P987" i="2"/>
  <c r="O987" i="2"/>
  <c r="N987" i="2"/>
  <c r="M987" i="2"/>
  <c r="L987" i="2"/>
  <c r="K987" i="2"/>
  <c r="J987" i="2"/>
  <c r="I987" i="2"/>
  <c r="H987" i="2"/>
  <c r="G987" i="2"/>
  <c r="F987" i="2"/>
  <c r="E987" i="2"/>
  <c r="D987" i="2"/>
  <c r="C987" i="2"/>
  <c r="B987" i="2"/>
  <c r="A987" i="2"/>
  <c r="AX986" i="2"/>
  <c r="AV986" i="2"/>
  <c r="AU986" i="2"/>
  <c r="AT986" i="2"/>
  <c r="AS986" i="2"/>
  <c r="AR986" i="2"/>
  <c r="AO986" i="2"/>
  <c r="AN986" i="2"/>
  <c r="AM986" i="2"/>
  <c r="AL986" i="2"/>
  <c r="AK986" i="2"/>
  <c r="AJ986" i="2"/>
  <c r="AI986" i="2"/>
  <c r="AH986" i="2"/>
  <c r="AG986" i="2"/>
  <c r="AE986" i="2"/>
  <c r="AD986" i="2"/>
  <c r="AC986" i="2"/>
  <c r="AA986" i="2"/>
  <c r="Z986" i="2"/>
  <c r="Y986" i="2"/>
  <c r="X986" i="2"/>
  <c r="W986" i="2"/>
  <c r="V986" i="2"/>
  <c r="U986" i="2"/>
  <c r="T986" i="2"/>
  <c r="S986" i="2"/>
  <c r="R986" i="2"/>
  <c r="Q986" i="2"/>
  <c r="P986" i="2"/>
  <c r="O986" i="2"/>
  <c r="N986" i="2"/>
  <c r="M986" i="2"/>
  <c r="L986" i="2"/>
  <c r="K986" i="2"/>
  <c r="J986" i="2"/>
  <c r="I986" i="2"/>
  <c r="H986" i="2"/>
  <c r="G986" i="2"/>
  <c r="F986" i="2"/>
  <c r="E986" i="2"/>
  <c r="D986" i="2"/>
  <c r="C986" i="2"/>
  <c r="B986" i="2"/>
  <c r="A986" i="2"/>
  <c r="AX985" i="2"/>
  <c r="AV985" i="2"/>
  <c r="AU985" i="2"/>
  <c r="AS985" i="2"/>
  <c r="AR985" i="2"/>
  <c r="AO985" i="2"/>
  <c r="AN985" i="2"/>
  <c r="AM985" i="2"/>
  <c r="AL985" i="2"/>
  <c r="AK985" i="2"/>
  <c r="AJ985" i="2"/>
  <c r="AI985" i="2"/>
  <c r="AH985" i="2"/>
  <c r="AG985" i="2"/>
  <c r="AE985" i="2"/>
  <c r="AD985" i="2"/>
  <c r="AC985" i="2"/>
  <c r="AA985" i="2"/>
  <c r="Z985" i="2"/>
  <c r="Y985" i="2"/>
  <c r="X985" i="2"/>
  <c r="W985" i="2"/>
  <c r="V985" i="2"/>
  <c r="U985" i="2"/>
  <c r="T985" i="2"/>
  <c r="S985" i="2"/>
  <c r="R985" i="2"/>
  <c r="Q985" i="2"/>
  <c r="P985" i="2"/>
  <c r="O985" i="2"/>
  <c r="N985" i="2"/>
  <c r="M985" i="2"/>
  <c r="L985" i="2"/>
  <c r="K985" i="2"/>
  <c r="J985" i="2"/>
  <c r="I985" i="2"/>
  <c r="H985" i="2"/>
  <c r="G985" i="2"/>
  <c r="F985" i="2"/>
  <c r="E985" i="2"/>
  <c r="D985" i="2"/>
  <c r="C985" i="2"/>
  <c r="B985" i="2"/>
  <c r="A985" i="2"/>
  <c r="AX984" i="2"/>
  <c r="AV984" i="2"/>
  <c r="AU984" i="2"/>
  <c r="AS984" i="2"/>
  <c r="AR984" i="2"/>
  <c r="AO984" i="2"/>
  <c r="AN984" i="2"/>
  <c r="AM984" i="2"/>
  <c r="AK984" i="2"/>
  <c r="AJ984" i="2"/>
  <c r="AI984" i="2"/>
  <c r="AH984" i="2"/>
  <c r="AG984" i="2"/>
  <c r="AE984" i="2"/>
  <c r="AD984" i="2"/>
  <c r="AC984" i="2"/>
  <c r="AA984" i="2"/>
  <c r="Z984" i="2"/>
  <c r="Y984" i="2"/>
  <c r="X984" i="2"/>
  <c r="W984" i="2"/>
  <c r="V984" i="2"/>
  <c r="U984" i="2"/>
  <c r="T984" i="2"/>
  <c r="S984" i="2"/>
  <c r="R984" i="2"/>
  <c r="Q984" i="2"/>
  <c r="P984" i="2"/>
  <c r="O984" i="2"/>
  <c r="N984" i="2"/>
  <c r="M984" i="2"/>
  <c r="L984" i="2"/>
  <c r="K984" i="2"/>
  <c r="J984" i="2"/>
  <c r="I984" i="2"/>
  <c r="H984" i="2"/>
  <c r="G984" i="2"/>
  <c r="F984" i="2"/>
  <c r="E984" i="2"/>
  <c r="D984" i="2"/>
  <c r="C984" i="2"/>
  <c r="B984" i="2"/>
  <c r="A984" i="2"/>
  <c r="AX983" i="2"/>
  <c r="AV983" i="2"/>
  <c r="AU983" i="2"/>
  <c r="AS983" i="2"/>
  <c r="AR983" i="2"/>
  <c r="AO983" i="2"/>
  <c r="AN983" i="2"/>
  <c r="AM983" i="2"/>
  <c r="AK983" i="2"/>
  <c r="AJ983" i="2"/>
  <c r="AI983" i="2"/>
  <c r="AH983" i="2"/>
  <c r="AG983" i="2"/>
  <c r="AE983" i="2"/>
  <c r="AD983" i="2"/>
  <c r="AC983" i="2"/>
  <c r="AA983" i="2"/>
  <c r="Z983" i="2"/>
  <c r="Y983" i="2"/>
  <c r="X983" i="2"/>
  <c r="W983" i="2"/>
  <c r="V983" i="2"/>
  <c r="U983" i="2"/>
  <c r="T983" i="2"/>
  <c r="S983" i="2"/>
  <c r="R983" i="2"/>
  <c r="Q983" i="2"/>
  <c r="P983" i="2"/>
  <c r="O983" i="2"/>
  <c r="N983" i="2"/>
  <c r="M983" i="2"/>
  <c r="L983" i="2"/>
  <c r="K983" i="2"/>
  <c r="J983" i="2"/>
  <c r="I983" i="2"/>
  <c r="H983" i="2"/>
  <c r="G983" i="2"/>
  <c r="F983" i="2"/>
  <c r="E983" i="2"/>
  <c r="D983" i="2"/>
  <c r="C983" i="2"/>
  <c r="B983" i="2"/>
  <c r="A983" i="2"/>
  <c r="AX982" i="2"/>
  <c r="AV982" i="2"/>
  <c r="AU982" i="2"/>
  <c r="AT982" i="2"/>
  <c r="AS982" i="2"/>
  <c r="AR982" i="2"/>
  <c r="AQ982" i="2"/>
  <c r="AP982" i="2"/>
  <c r="AO982" i="2"/>
  <c r="AN982" i="2"/>
  <c r="AM982" i="2"/>
  <c r="AK982" i="2"/>
  <c r="AI982" i="2"/>
  <c r="AH982" i="2"/>
  <c r="AG982" i="2"/>
  <c r="AE982" i="2"/>
  <c r="AD982" i="2"/>
  <c r="AC982" i="2"/>
  <c r="AA982" i="2"/>
  <c r="Z982" i="2"/>
  <c r="Y982" i="2"/>
  <c r="X982" i="2"/>
  <c r="W982" i="2"/>
  <c r="V982" i="2"/>
  <c r="U982" i="2"/>
  <c r="T982" i="2"/>
  <c r="S982" i="2"/>
  <c r="R982" i="2"/>
  <c r="Q982" i="2"/>
  <c r="P982" i="2"/>
  <c r="O982" i="2"/>
  <c r="N982" i="2"/>
  <c r="M982" i="2"/>
  <c r="L982" i="2"/>
  <c r="K982" i="2"/>
  <c r="J982" i="2"/>
  <c r="I982" i="2"/>
  <c r="H982" i="2"/>
  <c r="G982" i="2"/>
  <c r="F982" i="2"/>
  <c r="E982" i="2"/>
  <c r="D982" i="2"/>
  <c r="C982" i="2"/>
  <c r="B982" i="2"/>
  <c r="A982" i="2"/>
  <c r="AX981" i="2"/>
  <c r="AV981" i="2"/>
  <c r="AU981" i="2"/>
  <c r="AT981" i="2"/>
  <c r="AS981" i="2"/>
  <c r="AR981" i="2"/>
  <c r="AQ981" i="2"/>
  <c r="AP981" i="2"/>
  <c r="AO981" i="2"/>
  <c r="AN981" i="2"/>
  <c r="AM981" i="2"/>
  <c r="AK981" i="2"/>
  <c r="AJ981" i="2"/>
  <c r="AI981" i="2"/>
  <c r="AH981" i="2"/>
  <c r="AG981" i="2"/>
  <c r="AF981" i="2"/>
  <c r="AE981" i="2"/>
  <c r="AD981" i="2"/>
  <c r="AC981" i="2"/>
  <c r="AA981" i="2"/>
  <c r="Z981" i="2"/>
  <c r="Y981" i="2"/>
  <c r="X981" i="2"/>
  <c r="W981" i="2"/>
  <c r="V981" i="2"/>
  <c r="U981" i="2"/>
  <c r="T981" i="2"/>
  <c r="S981" i="2"/>
  <c r="R981" i="2"/>
  <c r="Q981" i="2"/>
  <c r="P981" i="2"/>
  <c r="O981" i="2"/>
  <c r="N981" i="2"/>
  <c r="M981" i="2"/>
  <c r="L981" i="2"/>
  <c r="K981" i="2"/>
  <c r="J981" i="2"/>
  <c r="I981" i="2"/>
  <c r="H981" i="2"/>
  <c r="G981" i="2"/>
  <c r="F981" i="2"/>
  <c r="E981" i="2"/>
  <c r="D981" i="2"/>
  <c r="C981" i="2"/>
  <c r="B981" i="2"/>
  <c r="A981" i="2"/>
  <c r="AX980" i="2"/>
  <c r="AV980" i="2"/>
  <c r="AU980" i="2"/>
  <c r="AT980" i="2"/>
  <c r="AS980" i="2"/>
  <c r="AR980" i="2"/>
  <c r="AO980" i="2"/>
  <c r="AN980" i="2"/>
  <c r="AM980" i="2"/>
  <c r="AK980" i="2"/>
  <c r="AI980" i="2"/>
  <c r="AH980" i="2"/>
  <c r="AG980" i="2"/>
  <c r="AC980" i="2"/>
  <c r="Z980" i="2"/>
  <c r="Y980" i="2"/>
  <c r="X980" i="2"/>
  <c r="W980" i="2"/>
  <c r="V980" i="2"/>
  <c r="U980" i="2"/>
  <c r="T980" i="2"/>
  <c r="S980" i="2"/>
  <c r="R980" i="2"/>
  <c r="Q980" i="2"/>
  <c r="P980" i="2"/>
  <c r="O980" i="2"/>
  <c r="N980" i="2"/>
  <c r="M980" i="2"/>
  <c r="L980" i="2"/>
  <c r="K980" i="2"/>
  <c r="J980" i="2"/>
  <c r="I980" i="2"/>
  <c r="H980" i="2"/>
  <c r="G980" i="2"/>
  <c r="F980" i="2"/>
  <c r="E980" i="2"/>
  <c r="D980" i="2"/>
  <c r="C980" i="2"/>
  <c r="B980" i="2"/>
  <c r="A980" i="2"/>
  <c r="AX979" i="2"/>
  <c r="AV979" i="2"/>
  <c r="AU979" i="2"/>
  <c r="AS979" i="2"/>
  <c r="AR979" i="2"/>
  <c r="AO979" i="2"/>
  <c r="AN979" i="2"/>
  <c r="AM979" i="2"/>
  <c r="AK979" i="2"/>
  <c r="AJ979" i="2"/>
  <c r="AI979" i="2"/>
  <c r="AH979" i="2"/>
  <c r="AG979" i="2"/>
  <c r="AE979" i="2"/>
  <c r="AD979" i="2"/>
  <c r="AC979" i="2"/>
  <c r="Z979" i="2"/>
  <c r="Y979" i="2"/>
  <c r="X979" i="2"/>
  <c r="W979" i="2"/>
  <c r="V979" i="2"/>
  <c r="U979" i="2"/>
  <c r="T979" i="2"/>
  <c r="S979" i="2"/>
  <c r="R979" i="2"/>
  <c r="Q979" i="2"/>
  <c r="P979" i="2"/>
  <c r="O979" i="2"/>
  <c r="N979" i="2"/>
  <c r="M979" i="2"/>
  <c r="L979" i="2"/>
  <c r="K979" i="2"/>
  <c r="J979" i="2"/>
  <c r="I979" i="2"/>
  <c r="H979" i="2"/>
  <c r="G979" i="2"/>
  <c r="F979" i="2"/>
  <c r="E979" i="2"/>
  <c r="D979" i="2"/>
  <c r="C979" i="2"/>
  <c r="B979" i="2"/>
  <c r="A979" i="2"/>
  <c r="AX978" i="2"/>
  <c r="AV978" i="2"/>
  <c r="AU978" i="2"/>
  <c r="AS978" i="2"/>
  <c r="AR978" i="2"/>
  <c r="AO978" i="2"/>
  <c r="AN978" i="2"/>
  <c r="AM978" i="2"/>
  <c r="AL978" i="2"/>
  <c r="AK978" i="2"/>
  <c r="AJ978" i="2"/>
  <c r="AI978" i="2"/>
  <c r="AH978" i="2"/>
  <c r="AG978" i="2"/>
  <c r="AE978" i="2"/>
  <c r="AD978" i="2"/>
  <c r="AC978" i="2"/>
  <c r="AA978" i="2"/>
  <c r="Z978" i="2"/>
  <c r="Y978" i="2"/>
  <c r="X978" i="2"/>
  <c r="W978" i="2"/>
  <c r="V978" i="2"/>
  <c r="U978" i="2"/>
  <c r="T978" i="2"/>
  <c r="S978" i="2"/>
  <c r="R978" i="2"/>
  <c r="Q978" i="2"/>
  <c r="P978" i="2"/>
  <c r="O978" i="2"/>
  <c r="N978" i="2"/>
  <c r="M978" i="2"/>
  <c r="L978" i="2"/>
  <c r="K978" i="2"/>
  <c r="J978" i="2"/>
  <c r="I978" i="2"/>
  <c r="H978" i="2"/>
  <c r="G978" i="2"/>
  <c r="F978" i="2"/>
  <c r="E978" i="2"/>
  <c r="D978" i="2"/>
  <c r="C978" i="2"/>
  <c r="B978" i="2"/>
  <c r="A978" i="2"/>
  <c r="AX977" i="2"/>
  <c r="AV977" i="2"/>
  <c r="AU977" i="2"/>
  <c r="AT977" i="2"/>
  <c r="AS977" i="2"/>
  <c r="AR977" i="2"/>
  <c r="AP977" i="2"/>
  <c r="AO977" i="2"/>
  <c r="AN977" i="2"/>
  <c r="AM977" i="2"/>
  <c r="AK977" i="2"/>
  <c r="AJ977" i="2"/>
  <c r="AI977" i="2"/>
  <c r="AH977" i="2"/>
  <c r="AG977" i="2"/>
  <c r="AE977" i="2"/>
  <c r="AD977" i="2"/>
  <c r="AC977" i="2"/>
  <c r="AA977" i="2"/>
  <c r="Z977" i="2"/>
  <c r="Y977" i="2"/>
  <c r="X977" i="2"/>
  <c r="W977" i="2"/>
  <c r="V977" i="2"/>
  <c r="U977" i="2"/>
  <c r="T977" i="2"/>
  <c r="S977" i="2"/>
  <c r="R977" i="2"/>
  <c r="Q977" i="2"/>
  <c r="P977" i="2"/>
  <c r="O977" i="2"/>
  <c r="N977" i="2"/>
  <c r="M977" i="2"/>
  <c r="L977" i="2"/>
  <c r="K977" i="2"/>
  <c r="J977" i="2"/>
  <c r="I977" i="2"/>
  <c r="H977" i="2"/>
  <c r="G977" i="2"/>
  <c r="F977" i="2"/>
  <c r="E977" i="2"/>
  <c r="D977" i="2"/>
  <c r="C977" i="2"/>
  <c r="B977" i="2"/>
  <c r="A977" i="2"/>
  <c r="AX976" i="2"/>
  <c r="AV976" i="2"/>
  <c r="AU976" i="2"/>
  <c r="AS976" i="2"/>
  <c r="AR976" i="2"/>
  <c r="AO976" i="2"/>
  <c r="AN976" i="2"/>
  <c r="AM976" i="2"/>
  <c r="AK976" i="2"/>
  <c r="AJ976" i="2"/>
  <c r="AI976" i="2"/>
  <c r="AH976" i="2"/>
  <c r="AG976" i="2"/>
  <c r="AE976" i="2"/>
  <c r="AD976" i="2"/>
  <c r="AC976" i="2"/>
  <c r="AA976" i="2"/>
  <c r="Z976" i="2"/>
  <c r="Y976" i="2"/>
  <c r="X976" i="2"/>
  <c r="W976" i="2"/>
  <c r="V976" i="2"/>
  <c r="U976" i="2"/>
  <c r="T976" i="2"/>
  <c r="S976" i="2"/>
  <c r="R976" i="2"/>
  <c r="Q976" i="2"/>
  <c r="P976" i="2"/>
  <c r="O976" i="2"/>
  <c r="N976" i="2"/>
  <c r="M976" i="2"/>
  <c r="L976" i="2"/>
  <c r="K976" i="2"/>
  <c r="J976" i="2"/>
  <c r="I976" i="2"/>
  <c r="H976" i="2"/>
  <c r="G976" i="2"/>
  <c r="F976" i="2"/>
  <c r="E976" i="2"/>
  <c r="D976" i="2"/>
  <c r="C976" i="2"/>
  <c r="B976" i="2"/>
  <c r="A976" i="2"/>
  <c r="AX975" i="2"/>
  <c r="AV975" i="2"/>
  <c r="AU975" i="2"/>
  <c r="AT975" i="2"/>
  <c r="AS975" i="2"/>
  <c r="AR975" i="2"/>
  <c r="AO975" i="2"/>
  <c r="AN975" i="2"/>
  <c r="AM975" i="2"/>
  <c r="AK975" i="2"/>
  <c r="AI975" i="2"/>
  <c r="AH975" i="2"/>
  <c r="AG975" i="2"/>
  <c r="AF975" i="2"/>
  <c r="AE975" i="2"/>
  <c r="AD975" i="2"/>
  <c r="AC975" i="2"/>
  <c r="AA975" i="2"/>
  <c r="Z975" i="2"/>
  <c r="Y975" i="2"/>
  <c r="X975" i="2"/>
  <c r="W975" i="2"/>
  <c r="V975" i="2"/>
  <c r="U975" i="2"/>
  <c r="T975" i="2"/>
  <c r="S975" i="2"/>
  <c r="R975" i="2"/>
  <c r="Q975" i="2"/>
  <c r="P975" i="2"/>
  <c r="O975" i="2"/>
  <c r="N975" i="2"/>
  <c r="M975" i="2"/>
  <c r="L975" i="2"/>
  <c r="K975" i="2"/>
  <c r="J975" i="2"/>
  <c r="I975" i="2"/>
  <c r="H975" i="2"/>
  <c r="G975" i="2"/>
  <c r="F975" i="2"/>
  <c r="E975" i="2"/>
  <c r="D975" i="2"/>
  <c r="C975" i="2"/>
  <c r="B975" i="2"/>
  <c r="A975" i="2"/>
  <c r="AX974" i="2"/>
  <c r="AV974" i="2"/>
  <c r="AU974" i="2"/>
  <c r="AS974" i="2"/>
  <c r="AR974" i="2"/>
  <c r="AO974" i="2"/>
  <c r="AN974" i="2"/>
  <c r="AM974" i="2"/>
  <c r="AK974" i="2"/>
  <c r="AJ974" i="2"/>
  <c r="AI974" i="2"/>
  <c r="AH974" i="2"/>
  <c r="AG974" i="2"/>
  <c r="AE974" i="2"/>
  <c r="AD974" i="2"/>
  <c r="AC974" i="2"/>
  <c r="Z974" i="2"/>
  <c r="Y974" i="2"/>
  <c r="X974" i="2"/>
  <c r="W974" i="2"/>
  <c r="V974" i="2"/>
  <c r="U974" i="2"/>
  <c r="T974" i="2"/>
  <c r="S974" i="2"/>
  <c r="R974" i="2"/>
  <c r="Q974" i="2"/>
  <c r="P974" i="2"/>
  <c r="O974" i="2"/>
  <c r="N974" i="2"/>
  <c r="M974" i="2"/>
  <c r="L974" i="2"/>
  <c r="K974" i="2"/>
  <c r="J974" i="2"/>
  <c r="I974" i="2"/>
  <c r="H974" i="2"/>
  <c r="G974" i="2"/>
  <c r="F974" i="2"/>
  <c r="E974" i="2"/>
  <c r="D974" i="2"/>
  <c r="C974" i="2"/>
  <c r="B974" i="2"/>
  <c r="A974" i="2"/>
  <c r="AX973" i="2"/>
  <c r="AV973" i="2"/>
  <c r="AU973" i="2"/>
  <c r="AS973" i="2"/>
  <c r="AR973" i="2"/>
  <c r="AO973" i="2"/>
  <c r="AN973" i="2"/>
  <c r="AM973" i="2"/>
  <c r="AL973" i="2"/>
  <c r="AK973" i="2"/>
  <c r="AJ973" i="2"/>
  <c r="AI973" i="2"/>
  <c r="AH973" i="2"/>
  <c r="AG973" i="2"/>
  <c r="AE973" i="2"/>
  <c r="AD973" i="2"/>
  <c r="AC973" i="2"/>
  <c r="AA973" i="2"/>
  <c r="Z973" i="2"/>
  <c r="Y973" i="2"/>
  <c r="X973" i="2"/>
  <c r="W973" i="2"/>
  <c r="V973" i="2"/>
  <c r="U973" i="2"/>
  <c r="T973" i="2"/>
  <c r="S973" i="2"/>
  <c r="R973" i="2"/>
  <c r="Q973" i="2"/>
  <c r="P973" i="2"/>
  <c r="O973" i="2"/>
  <c r="N973" i="2"/>
  <c r="M973" i="2"/>
  <c r="L973" i="2"/>
  <c r="K973" i="2"/>
  <c r="J973" i="2"/>
  <c r="I973" i="2"/>
  <c r="H973" i="2"/>
  <c r="G973" i="2"/>
  <c r="F973" i="2"/>
  <c r="E973" i="2"/>
  <c r="D973" i="2"/>
  <c r="C973" i="2"/>
  <c r="B973" i="2"/>
  <c r="A973" i="2"/>
  <c r="AX972" i="2"/>
  <c r="AV972" i="2"/>
  <c r="AU972" i="2"/>
  <c r="AS972" i="2"/>
  <c r="AR972" i="2"/>
  <c r="AO972" i="2"/>
  <c r="AN972" i="2"/>
  <c r="AM972" i="2"/>
  <c r="AK972" i="2"/>
  <c r="AJ972" i="2"/>
  <c r="AI972" i="2"/>
  <c r="AH972" i="2"/>
  <c r="AG972" i="2"/>
  <c r="AF972" i="2"/>
  <c r="AE972" i="2"/>
  <c r="AD972" i="2"/>
  <c r="AA972" i="2"/>
  <c r="Z972" i="2"/>
  <c r="Y972" i="2"/>
  <c r="X972" i="2"/>
  <c r="T972" i="2"/>
  <c r="S972" i="2"/>
  <c r="R972" i="2"/>
  <c r="Q972" i="2"/>
  <c r="P972" i="2"/>
  <c r="O972" i="2"/>
  <c r="N972" i="2"/>
  <c r="M972" i="2"/>
  <c r="L972" i="2"/>
  <c r="K972" i="2"/>
  <c r="J972" i="2"/>
  <c r="I972" i="2"/>
  <c r="H972" i="2"/>
  <c r="G972" i="2"/>
  <c r="F972" i="2"/>
  <c r="E972" i="2"/>
  <c r="D972" i="2"/>
  <c r="C972" i="2"/>
  <c r="B972" i="2"/>
  <c r="A972" i="2"/>
  <c r="AX971" i="2"/>
  <c r="AV971" i="2"/>
  <c r="AU971" i="2"/>
  <c r="AS971" i="2"/>
  <c r="AR971" i="2"/>
  <c r="AQ971" i="2"/>
  <c r="AO971" i="2"/>
  <c r="AN971" i="2"/>
  <c r="AM971" i="2"/>
  <c r="AK971" i="2"/>
  <c r="AJ971" i="2"/>
  <c r="AI971" i="2"/>
  <c r="AH971" i="2"/>
  <c r="AG971" i="2"/>
  <c r="AF971" i="2"/>
  <c r="AE971" i="2"/>
  <c r="AC971" i="2"/>
  <c r="Z971" i="2"/>
  <c r="Y971" i="2"/>
  <c r="X971" i="2"/>
  <c r="W971" i="2"/>
  <c r="V971" i="2"/>
  <c r="U971" i="2"/>
  <c r="T971" i="2"/>
  <c r="S971" i="2"/>
  <c r="R971" i="2"/>
  <c r="Q971" i="2"/>
  <c r="P971" i="2"/>
  <c r="O971" i="2"/>
  <c r="N971" i="2"/>
  <c r="M971" i="2"/>
  <c r="L971" i="2"/>
  <c r="K971" i="2"/>
  <c r="J971" i="2"/>
  <c r="I971" i="2"/>
  <c r="H971" i="2"/>
  <c r="G971" i="2"/>
  <c r="F971" i="2"/>
  <c r="E971" i="2"/>
  <c r="D971" i="2"/>
  <c r="C971" i="2"/>
  <c r="B971" i="2"/>
  <c r="A971" i="2"/>
  <c r="AX970" i="2"/>
  <c r="AV970" i="2"/>
  <c r="AU970" i="2"/>
  <c r="AS970" i="2"/>
  <c r="AO970" i="2"/>
  <c r="AN970" i="2"/>
  <c r="AM970" i="2"/>
  <c r="AK970" i="2"/>
  <c r="AJ970" i="2"/>
  <c r="AI970" i="2"/>
  <c r="AH970" i="2"/>
  <c r="AG970" i="2"/>
  <c r="AE970" i="2"/>
  <c r="AD970" i="2"/>
  <c r="AC970" i="2"/>
  <c r="AA970" i="2"/>
  <c r="Z970" i="2"/>
  <c r="Y970" i="2"/>
  <c r="X970" i="2"/>
  <c r="W970" i="2"/>
  <c r="V970" i="2"/>
  <c r="U970" i="2"/>
  <c r="T970" i="2"/>
  <c r="S970" i="2"/>
  <c r="R970" i="2"/>
  <c r="Q970" i="2"/>
  <c r="P970" i="2"/>
  <c r="O970" i="2"/>
  <c r="N970" i="2"/>
  <c r="M970" i="2"/>
  <c r="L970" i="2"/>
  <c r="K970" i="2"/>
  <c r="J970" i="2"/>
  <c r="I970" i="2"/>
  <c r="H970" i="2"/>
  <c r="G970" i="2"/>
  <c r="F970" i="2"/>
  <c r="E970" i="2"/>
  <c r="D970" i="2"/>
  <c r="C970" i="2"/>
  <c r="B970" i="2"/>
  <c r="A970" i="2"/>
  <c r="AX969" i="2"/>
  <c r="AV969" i="2"/>
  <c r="AU969" i="2"/>
  <c r="AS969" i="2"/>
  <c r="AR969" i="2"/>
  <c r="AQ969" i="2"/>
  <c r="AO969" i="2"/>
  <c r="AN969" i="2"/>
  <c r="AM969" i="2"/>
  <c r="AK969" i="2"/>
  <c r="AJ969" i="2"/>
  <c r="AI969" i="2"/>
  <c r="AH969" i="2"/>
  <c r="AG969" i="2"/>
  <c r="AE969" i="2"/>
  <c r="AC969" i="2"/>
  <c r="Z969" i="2"/>
  <c r="Y969" i="2"/>
  <c r="X969" i="2"/>
  <c r="W969" i="2"/>
  <c r="V969" i="2"/>
  <c r="U969" i="2"/>
  <c r="T969" i="2"/>
  <c r="S969" i="2"/>
  <c r="R969" i="2"/>
  <c r="Q969" i="2"/>
  <c r="P969" i="2"/>
  <c r="O969" i="2"/>
  <c r="N969" i="2"/>
  <c r="M969" i="2"/>
  <c r="L969" i="2"/>
  <c r="K969" i="2"/>
  <c r="J969" i="2"/>
  <c r="I969" i="2"/>
  <c r="H969" i="2"/>
  <c r="G969" i="2"/>
  <c r="F969" i="2"/>
  <c r="E969" i="2"/>
  <c r="D969" i="2"/>
  <c r="C969" i="2"/>
  <c r="B969" i="2"/>
  <c r="A969" i="2"/>
  <c r="AX968" i="2"/>
  <c r="AV968" i="2"/>
  <c r="AU968" i="2"/>
  <c r="AT968" i="2"/>
  <c r="AS968" i="2"/>
  <c r="AR968" i="2"/>
  <c r="AO968" i="2"/>
  <c r="AN968" i="2"/>
  <c r="AM968" i="2"/>
  <c r="AK968" i="2"/>
  <c r="AJ968" i="2"/>
  <c r="AI968" i="2"/>
  <c r="AH968" i="2"/>
  <c r="AG968" i="2"/>
  <c r="AF968" i="2"/>
  <c r="AE968" i="2"/>
  <c r="AD968" i="2"/>
  <c r="AC968" i="2"/>
  <c r="AA968" i="2"/>
  <c r="Z968" i="2"/>
  <c r="Y968" i="2"/>
  <c r="X968" i="2"/>
  <c r="W968" i="2"/>
  <c r="V968" i="2"/>
  <c r="U968" i="2"/>
  <c r="T968" i="2"/>
  <c r="S968" i="2"/>
  <c r="R968" i="2"/>
  <c r="Q968" i="2"/>
  <c r="P968" i="2"/>
  <c r="O968" i="2"/>
  <c r="N968" i="2"/>
  <c r="M968" i="2"/>
  <c r="L968" i="2"/>
  <c r="K968" i="2"/>
  <c r="J968" i="2"/>
  <c r="I968" i="2"/>
  <c r="H968" i="2"/>
  <c r="G968" i="2"/>
  <c r="F968" i="2"/>
  <c r="E968" i="2"/>
  <c r="D968" i="2"/>
  <c r="C968" i="2"/>
  <c r="B968" i="2"/>
  <c r="A968" i="2"/>
  <c r="AX967" i="2"/>
  <c r="AV967" i="2"/>
  <c r="AU967" i="2"/>
  <c r="AR967" i="2"/>
  <c r="AO967" i="2"/>
  <c r="AN967" i="2"/>
  <c r="AM967" i="2"/>
  <c r="AI967" i="2"/>
  <c r="AH967" i="2"/>
  <c r="AG967" i="2"/>
  <c r="Z967" i="2"/>
  <c r="Y967" i="2"/>
  <c r="X967" i="2"/>
  <c r="W967" i="2"/>
  <c r="V967" i="2"/>
  <c r="U967" i="2"/>
  <c r="T967" i="2"/>
  <c r="S967" i="2"/>
  <c r="R967" i="2"/>
  <c r="Q967" i="2"/>
  <c r="P967" i="2"/>
  <c r="O967" i="2"/>
  <c r="N967" i="2"/>
  <c r="M967" i="2"/>
  <c r="L967" i="2"/>
  <c r="K967" i="2"/>
  <c r="J967" i="2"/>
  <c r="I967" i="2"/>
  <c r="H967" i="2"/>
  <c r="G967" i="2"/>
  <c r="F967" i="2"/>
  <c r="E967" i="2"/>
  <c r="D967" i="2"/>
  <c r="C967" i="2"/>
  <c r="B967" i="2"/>
  <c r="A967" i="2"/>
  <c r="AX966" i="2"/>
  <c r="AV966" i="2"/>
  <c r="AU966" i="2"/>
  <c r="AT966" i="2"/>
  <c r="AS966" i="2"/>
  <c r="AR966" i="2"/>
  <c r="AO966" i="2"/>
  <c r="AN966" i="2"/>
  <c r="AM966" i="2"/>
  <c r="AK966" i="2"/>
  <c r="AJ966" i="2"/>
  <c r="AI966" i="2"/>
  <c r="AH966" i="2"/>
  <c r="AG966" i="2"/>
  <c r="AE966" i="2"/>
  <c r="AC966" i="2"/>
  <c r="Z966" i="2"/>
  <c r="Y966" i="2"/>
  <c r="X966" i="2"/>
  <c r="W966" i="2"/>
  <c r="V966" i="2"/>
  <c r="U966" i="2"/>
  <c r="T966" i="2"/>
  <c r="S966" i="2"/>
  <c r="R966" i="2"/>
  <c r="Q966" i="2"/>
  <c r="P966" i="2"/>
  <c r="O966" i="2"/>
  <c r="N966" i="2"/>
  <c r="M966" i="2"/>
  <c r="L966" i="2"/>
  <c r="K966" i="2"/>
  <c r="J966" i="2"/>
  <c r="I966" i="2"/>
  <c r="H966" i="2"/>
  <c r="G966" i="2"/>
  <c r="F966" i="2"/>
  <c r="E966" i="2"/>
  <c r="D966" i="2"/>
  <c r="C966" i="2"/>
  <c r="B966" i="2"/>
  <c r="A966" i="2"/>
  <c r="AX965" i="2"/>
  <c r="AV965" i="2"/>
  <c r="AU965" i="2"/>
  <c r="AT965" i="2"/>
  <c r="AS965" i="2"/>
  <c r="AR965" i="2"/>
  <c r="AO965" i="2"/>
  <c r="AN965" i="2"/>
  <c r="AM965" i="2"/>
  <c r="AK965" i="2"/>
  <c r="AI965" i="2"/>
  <c r="AH965" i="2"/>
  <c r="AG965" i="2"/>
  <c r="AE965" i="2"/>
  <c r="AD965" i="2"/>
  <c r="AC965" i="2"/>
  <c r="AA965" i="2"/>
  <c r="Z965" i="2"/>
  <c r="Y965" i="2"/>
  <c r="X965" i="2"/>
  <c r="W965" i="2"/>
  <c r="V965" i="2"/>
  <c r="U965" i="2"/>
  <c r="T965" i="2"/>
  <c r="S965" i="2"/>
  <c r="R965" i="2"/>
  <c r="Q965" i="2"/>
  <c r="P965" i="2"/>
  <c r="O965" i="2"/>
  <c r="N965" i="2"/>
  <c r="M965" i="2"/>
  <c r="L965" i="2"/>
  <c r="K965" i="2"/>
  <c r="J965" i="2"/>
  <c r="I965" i="2"/>
  <c r="H965" i="2"/>
  <c r="G965" i="2"/>
  <c r="F965" i="2"/>
  <c r="E965" i="2"/>
  <c r="D965" i="2"/>
  <c r="C965" i="2"/>
  <c r="B965" i="2"/>
  <c r="A965" i="2"/>
  <c r="AX964" i="2"/>
  <c r="AV964" i="2"/>
  <c r="AU964" i="2"/>
  <c r="AS964" i="2"/>
  <c r="AR964" i="2"/>
  <c r="AO964" i="2"/>
  <c r="AN964" i="2"/>
  <c r="AM964" i="2"/>
  <c r="AK964" i="2"/>
  <c r="AI964" i="2"/>
  <c r="AH964" i="2"/>
  <c r="AG964" i="2"/>
  <c r="AE964" i="2"/>
  <c r="AC964" i="2"/>
  <c r="Z964" i="2"/>
  <c r="Y964" i="2"/>
  <c r="X964" i="2"/>
  <c r="W964" i="2"/>
  <c r="V964" i="2"/>
  <c r="U964" i="2"/>
  <c r="T964" i="2"/>
  <c r="S964" i="2"/>
  <c r="R964" i="2"/>
  <c r="Q964" i="2"/>
  <c r="P964" i="2"/>
  <c r="O964" i="2"/>
  <c r="N964" i="2"/>
  <c r="M964" i="2"/>
  <c r="L964" i="2"/>
  <c r="K964" i="2"/>
  <c r="J964" i="2"/>
  <c r="I964" i="2"/>
  <c r="H964" i="2"/>
  <c r="G964" i="2"/>
  <c r="F964" i="2"/>
  <c r="E964" i="2"/>
  <c r="D964" i="2"/>
  <c r="C964" i="2"/>
  <c r="B964" i="2"/>
  <c r="A964" i="2"/>
  <c r="AX963" i="2"/>
  <c r="AV963" i="2"/>
  <c r="AU963" i="2"/>
  <c r="AS963" i="2"/>
  <c r="AR963" i="2"/>
  <c r="AO963" i="2"/>
  <c r="AN963" i="2"/>
  <c r="AM963" i="2"/>
  <c r="AK963" i="2"/>
  <c r="AJ963" i="2"/>
  <c r="AI963" i="2"/>
  <c r="AH963" i="2"/>
  <c r="AG963" i="2"/>
  <c r="AF963" i="2"/>
  <c r="AE963" i="2"/>
  <c r="AD963" i="2"/>
  <c r="AC963" i="2"/>
  <c r="AA963" i="2"/>
  <c r="Z963" i="2"/>
  <c r="Y963" i="2"/>
  <c r="X963" i="2"/>
  <c r="W963" i="2"/>
  <c r="V963" i="2"/>
  <c r="U963" i="2"/>
  <c r="T963" i="2"/>
  <c r="S963" i="2"/>
  <c r="R963" i="2"/>
  <c r="Q963" i="2"/>
  <c r="P963" i="2"/>
  <c r="O963" i="2"/>
  <c r="N963" i="2"/>
  <c r="M963" i="2"/>
  <c r="L963" i="2"/>
  <c r="K963" i="2"/>
  <c r="J963" i="2"/>
  <c r="I963" i="2"/>
  <c r="H963" i="2"/>
  <c r="G963" i="2"/>
  <c r="F963" i="2"/>
  <c r="E963" i="2"/>
  <c r="D963" i="2"/>
  <c r="C963" i="2"/>
  <c r="B963" i="2"/>
  <c r="A963" i="2"/>
  <c r="AX962" i="2"/>
  <c r="AV962" i="2"/>
  <c r="AU962" i="2"/>
  <c r="AS962" i="2"/>
  <c r="AR962" i="2"/>
  <c r="AO962" i="2"/>
  <c r="AN962" i="2"/>
  <c r="AM962" i="2"/>
  <c r="AL962" i="2"/>
  <c r="AK962" i="2"/>
  <c r="AJ962" i="2"/>
  <c r="AI962" i="2"/>
  <c r="AH962" i="2"/>
  <c r="AG962" i="2"/>
  <c r="AE962" i="2"/>
  <c r="AD962" i="2"/>
  <c r="AC962" i="2"/>
  <c r="AA962" i="2"/>
  <c r="Z962" i="2"/>
  <c r="Y962" i="2"/>
  <c r="X962" i="2"/>
  <c r="W962" i="2"/>
  <c r="V962" i="2"/>
  <c r="U962" i="2"/>
  <c r="T962" i="2"/>
  <c r="S962" i="2"/>
  <c r="R962" i="2"/>
  <c r="Q962" i="2"/>
  <c r="P962" i="2"/>
  <c r="O962" i="2"/>
  <c r="N962" i="2"/>
  <c r="M962" i="2"/>
  <c r="L962" i="2"/>
  <c r="K962" i="2"/>
  <c r="J962" i="2"/>
  <c r="I962" i="2"/>
  <c r="H962" i="2"/>
  <c r="G962" i="2"/>
  <c r="F962" i="2"/>
  <c r="E962" i="2"/>
  <c r="D962" i="2"/>
  <c r="C962" i="2"/>
  <c r="B962" i="2"/>
  <c r="A962" i="2"/>
  <c r="AX961" i="2"/>
  <c r="AV961" i="2"/>
  <c r="AU961" i="2"/>
  <c r="AS961" i="2"/>
  <c r="AR961" i="2"/>
  <c r="AO961" i="2"/>
  <c r="AN961" i="2"/>
  <c r="AM961" i="2"/>
  <c r="AL961" i="2"/>
  <c r="AK961" i="2"/>
  <c r="AJ961" i="2"/>
  <c r="AI961" i="2"/>
  <c r="AH961" i="2"/>
  <c r="AG961" i="2"/>
  <c r="AE961" i="2"/>
  <c r="AD961" i="2"/>
  <c r="AC961" i="2"/>
  <c r="AA961" i="2"/>
  <c r="Z961" i="2"/>
  <c r="Y961" i="2"/>
  <c r="X961" i="2"/>
  <c r="W961" i="2"/>
  <c r="V961" i="2"/>
  <c r="U961" i="2"/>
  <c r="T961" i="2"/>
  <c r="S961" i="2"/>
  <c r="R961" i="2"/>
  <c r="Q961" i="2"/>
  <c r="P961" i="2"/>
  <c r="O961" i="2"/>
  <c r="N961" i="2"/>
  <c r="M961" i="2"/>
  <c r="L961" i="2"/>
  <c r="K961" i="2"/>
  <c r="J961" i="2"/>
  <c r="I961" i="2"/>
  <c r="H961" i="2"/>
  <c r="G961" i="2"/>
  <c r="F961" i="2"/>
  <c r="E961" i="2"/>
  <c r="D961" i="2"/>
  <c r="C961" i="2"/>
  <c r="B961" i="2"/>
  <c r="A961" i="2"/>
  <c r="AX960" i="2"/>
  <c r="AV960" i="2"/>
  <c r="AU960" i="2"/>
  <c r="AS960" i="2"/>
  <c r="AP960" i="2"/>
  <c r="AO960" i="2"/>
  <c r="AN960" i="2"/>
  <c r="AM960" i="2"/>
  <c r="AL960" i="2"/>
  <c r="AK960" i="2"/>
  <c r="AJ960" i="2"/>
  <c r="AI960" i="2"/>
  <c r="AH960" i="2"/>
  <c r="AG960" i="2"/>
  <c r="AE960" i="2"/>
  <c r="AD960" i="2"/>
  <c r="AC960" i="2"/>
  <c r="AA960" i="2"/>
  <c r="Z960" i="2"/>
  <c r="Y960" i="2"/>
  <c r="X960" i="2"/>
  <c r="V960" i="2"/>
  <c r="U960" i="2"/>
  <c r="T960" i="2"/>
  <c r="S960" i="2"/>
  <c r="R960" i="2"/>
  <c r="Q960" i="2"/>
  <c r="P960" i="2"/>
  <c r="O960" i="2"/>
  <c r="N960" i="2"/>
  <c r="M960" i="2"/>
  <c r="L960" i="2"/>
  <c r="K960" i="2"/>
  <c r="J960" i="2"/>
  <c r="I960" i="2"/>
  <c r="H960" i="2"/>
  <c r="G960" i="2"/>
  <c r="F960" i="2"/>
  <c r="E960" i="2"/>
  <c r="D960" i="2"/>
  <c r="C960" i="2"/>
  <c r="B960" i="2"/>
  <c r="A960" i="2"/>
  <c r="AX959" i="2"/>
  <c r="AV959" i="2"/>
  <c r="AU959" i="2"/>
  <c r="AS959" i="2"/>
  <c r="AR959" i="2"/>
  <c r="AO959" i="2"/>
  <c r="AN959" i="2"/>
  <c r="AM959" i="2"/>
  <c r="AL959" i="2"/>
  <c r="AK959" i="2"/>
  <c r="AJ959" i="2"/>
  <c r="AI959" i="2"/>
  <c r="AH959" i="2"/>
  <c r="AG959" i="2"/>
  <c r="AE959" i="2"/>
  <c r="AD959" i="2"/>
  <c r="AC959" i="2"/>
  <c r="AA959" i="2"/>
  <c r="Z959" i="2"/>
  <c r="Y959" i="2"/>
  <c r="X959" i="2"/>
  <c r="W959" i="2"/>
  <c r="V959" i="2"/>
  <c r="U959" i="2"/>
  <c r="T959" i="2"/>
  <c r="S959" i="2"/>
  <c r="R959" i="2"/>
  <c r="Q959" i="2"/>
  <c r="P959" i="2"/>
  <c r="O959" i="2"/>
  <c r="N959" i="2"/>
  <c r="M959" i="2"/>
  <c r="L959" i="2"/>
  <c r="K959" i="2"/>
  <c r="J959" i="2"/>
  <c r="I959" i="2"/>
  <c r="H959" i="2"/>
  <c r="G959" i="2"/>
  <c r="F959" i="2"/>
  <c r="E959" i="2"/>
  <c r="D959" i="2"/>
  <c r="C959" i="2"/>
  <c r="B959" i="2"/>
  <c r="A959" i="2"/>
  <c r="AX958" i="2"/>
  <c r="AV958" i="2"/>
  <c r="AU958" i="2"/>
  <c r="AT958" i="2"/>
  <c r="AS958" i="2"/>
  <c r="AR958" i="2"/>
  <c r="AO958" i="2"/>
  <c r="AN958" i="2"/>
  <c r="AM958" i="2"/>
  <c r="AL958" i="2"/>
  <c r="AK958" i="2"/>
  <c r="AJ958" i="2"/>
  <c r="AI958" i="2"/>
  <c r="AH958" i="2"/>
  <c r="AG958" i="2"/>
  <c r="AE958" i="2"/>
  <c r="AD958" i="2"/>
  <c r="AC958" i="2"/>
  <c r="AA958" i="2"/>
  <c r="Z958" i="2"/>
  <c r="Y958" i="2"/>
  <c r="X958" i="2"/>
  <c r="W958" i="2"/>
  <c r="V958" i="2"/>
  <c r="U958" i="2"/>
  <c r="T958" i="2"/>
  <c r="S958" i="2"/>
  <c r="R958" i="2"/>
  <c r="Q958" i="2"/>
  <c r="P958" i="2"/>
  <c r="O958" i="2"/>
  <c r="N958" i="2"/>
  <c r="M958" i="2"/>
  <c r="L958" i="2"/>
  <c r="K958" i="2"/>
  <c r="J958" i="2"/>
  <c r="I958" i="2"/>
  <c r="H958" i="2"/>
  <c r="G958" i="2"/>
  <c r="F958" i="2"/>
  <c r="E958" i="2"/>
  <c r="D958" i="2"/>
  <c r="C958" i="2"/>
  <c r="B958" i="2"/>
  <c r="A958" i="2"/>
  <c r="AX957" i="2"/>
  <c r="AV957" i="2"/>
  <c r="AU957" i="2"/>
  <c r="AT957" i="2"/>
  <c r="AS957" i="2"/>
  <c r="AR957" i="2"/>
  <c r="AO957" i="2"/>
  <c r="AN957" i="2"/>
  <c r="AM957" i="2"/>
  <c r="AL957" i="2"/>
  <c r="AK957" i="2"/>
  <c r="AI957" i="2"/>
  <c r="AH957" i="2"/>
  <c r="AG957" i="2"/>
  <c r="AE957" i="2"/>
  <c r="AD957" i="2"/>
  <c r="AC957" i="2"/>
  <c r="AB957" i="2"/>
  <c r="AA957" i="2"/>
  <c r="Z957" i="2"/>
  <c r="Y957" i="2"/>
  <c r="X957" i="2"/>
  <c r="W957" i="2"/>
  <c r="V957" i="2"/>
  <c r="U957" i="2"/>
  <c r="T957" i="2"/>
  <c r="S957" i="2"/>
  <c r="R957" i="2"/>
  <c r="Q957" i="2"/>
  <c r="P957" i="2"/>
  <c r="O957" i="2"/>
  <c r="N957" i="2"/>
  <c r="M957" i="2"/>
  <c r="L957" i="2"/>
  <c r="K957" i="2"/>
  <c r="J957" i="2"/>
  <c r="I957" i="2"/>
  <c r="H957" i="2"/>
  <c r="G957" i="2"/>
  <c r="F957" i="2"/>
  <c r="E957" i="2"/>
  <c r="D957" i="2"/>
  <c r="C957" i="2"/>
  <c r="B957" i="2"/>
  <c r="A957" i="2"/>
  <c r="AX956" i="2"/>
  <c r="AV956" i="2"/>
  <c r="AU956" i="2"/>
  <c r="AS956" i="2"/>
  <c r="AR956" i="2"/>
  <c r="AO956" i="2"/>
  <c r="AN956" i="2"/>
  <c r="AM956" i="2"/>
  <c r="AL956" i="2"/>
  <c r="AK956" i="2"/>
  <c r="AJ956" i="2"/>
  <c r="AI956" i="2"/>
  <c r="AH956" i="2"/>
  <c r="AG956" i="2"/>
  <c r="AE956" i="2"/>
  <c r="AD956" i="2"/>
  <c r="AC956" i="2"/>
  <c r="AA956" i="2"/>
  <c r="Z956" i="2"/>
  <c r="Y956" i="2"/>
  <c r="X956" i="2"/>
  <c r="W956" i="2"/>
  <c r="V956" i="2"/>
  <c r="U956" i="2"/>
  <c r="T956" i="2"/>
  <c r="S956" i="2"/>
  <c r="R956" i="2"/>
  <c r="Q956" i="2"/>
  <c r="P956" i="2"/>
  <c r="O956" i="2"/>
  <c r="N956" i="2"/>
  <c r="M956" i="2"/>
  <c r="L956" i="2"/>
  <c r="K956" i="2"/>
  <c r="J956" i="2"/>
  <c r="I956" i="2"/>
  <c r="H956" i="2"/>
  <c r="G956" i="2"/>
  <c r="F956" i="2"/>
  <c r="E956" i="2"/>
  <c r="D956" i="2"/>
  <c r="C956" i="2"/>
  <c r="B956" i="2"/>
  <c r="A956" i="2"/>
  <c r="AX955" i="2"/>
  <c r="AV955" i="2"/>
  <c r="AU955" i="2"/>
  <c r="AS955" i="2"/>
  <c r="AR955" i="2"/>
  <c r="AP955" i="2"/>
  <c r="AO955" i="2"/>
  <c r="AN955" i="2"/>
  <c r="AM955" i="2"/>
  <c r="AK955" i="2"/>
  <c r="AJ955" i="2"/>
  <c r="AI955" i="2"/>
  <c r="AH955" i="2"/>
  <c r="AG955" i="2"/>
  <c r="AE955" i="2"/>
  <c r="AD955" i="2"/>
  <c r="AC955" i="2"/>
  <c r="AA955" i="2"/>
  <c r="Z955" i="2"/>
  <c r="Y955" i="2"/>
  <c r="X955" i="2"/>
  <c r="W955" i="2"/>
  <c r="V955" i="2"/>
  <c r="U955" i="2"/>
  <c r="T955" i="2"/>
  <c r="S955" i="2"/>
  <c r="R955" i="2"/>
  <c r="Q955" i="2"/>
  <c r="P955" i="2"/>
  <c r="O955" i="2"/>
  <c r="N955" i="2"/>
  <c r="M955" i="2"/>
  <c r="L955" i="2"/>
  <c r="K955" i="2"/>
  <c r="J955" i="2"/>
  <c r="I955" i="2"/>
  <c r="H955" i="2"/>
  <c r="G955" i="2"/>
  <c r="F955" i="2"/>
  <c r="E955" i="2"/>
  <c r="D955" i="2"/>
  <c r="C955" i="2"/>
  <c r="B955" i="2"/>
  <c r="A955" i="2"/>
  <c r="AX954" i="2"/>
  <c r="AV954" i="2"/>
  <c r="AU954" i="2"/>
  <c r="AS954" i="2"/>
  <c r="AR954" i="2"/>
  <c r="AO954" i="2"/>
  <c r="AN954" i="2"/>
  <c r="AM954" i="2"/>
  <c r="AK954" i="2"/>
  <c r="AJ954" i="2"/>
  <c r="AI954" i="2"/>
  <c r="AH954" i="2"/>
  <c r="AG954" i="2"/>
  <c r="AF954" i="2"/>
  <c r="AE954" i="2"/>
  <c r="AD954" i="2"/>
  <c r="AC954" i="2"/>
  <c r="AA954" i="2"/>
  <c r="Z954" i="2"/>
  <c r="Y954" i="2"/>
  <c r="X954" i="2"/>
  <c r="W954" i="2"/>
  <c r="V954" i="2"/>
  <c r="U954" i="2"/>
  <c r="T954" i="2"/>
  <c r="S954" i="2"/>
  <c r="R954" i="2"/>
  <c r="Q954" i="2"/>
  <c r="P954" i="2"/>
  <c r="O954" i="2"/>
  <c r="N954" i="2"/>
  <c r="M954" i="2"/>
  <c r="L954" i="2"/>
  <c r="K954" i="2"/>
  <c r="J954" i="2"/>
  <c r="I954" i="2"/>
  <c r="H954" i="2"/>
  <c r="G954" i="2"/>
  <c r="F954" i="2"/>
  <c r="E954" i="2"/>
  <c r="D954" i="2"/>
  <c r="C954" i="2"/>
  <c r="B954" i="2"/>
  <c r="A954" i="2"/>
  <c r="AX953" i="2"/>
  <c r="AV953" i="2"/>
  <c r="AU953" i="2"/>
  <c r="AS953" i="2"/>
  <c r="AR953" i="2"/>
  <c r="AO953" i="2"/>
  <c r="AN953" i="2"/>
  <c r="AM953" i="2"/>
  <c r="AK953" i="2"/>
  <c r="AJ953" i="2"/>
  <c r="AI953" i="2"/>
  <c r="AH953" i="2"/>
  <c r="AG953" i="2"/>
  <c r="AE953" i="2"/>
  <c r="AD953" i="2"/>
  <c r="AC953" i="2"/>
  <c r="AA953" i="2"/>
  <c r="Z953" i="2"/>
  <c r="Y953" i="2"/>
  <c r="X953" i="2"/>
  <c r="W953" i="2"/>
  <c r="V953" i="2"/>
  <c r="U953" i="2"/>
  <c r="T953" i="2"/>
  <c r="S953" i="2"/>
  <c r="R953" i="2"/>
  <c r="Q953" i="2"/>
  <c r="P953" i="2"/>
  <c r="O953" i="2"/>
  <c r="N953" i="2"/>
  <c r="M953" i="2"/>
  <c r="L953" i="2"/>
  <c r="K953" i="2"/>
  <c r="J953" i="2"/>
  <c r="I953" i="2"/>
  <c r="H953" i="2"/>
  <c r="G953" i="2"/>
  <c r="F953" i="2"/>
  <c r="E953" i="2"/>
  <c r="D953" i="2"/>
  <c r="C953" i="2"/>
  <c r="B953" i="2"/>
  <c r="A953" i="2"/>
  <c r="AX952" i="2"/>
  <c r="AV952" i="2"/>
  <c r="AU952" i="2"/>
  <c r="AS952" i="2"/>
  <c r="AR952" i="2"/>
  <c r="AO952" i="2"/>
  <c r="AN952" i="2"/>
  <c r="AM952" i="2"/>
  <c r="AK952" i="2"/>
  <c r="AJ952" i="2"/>
  <c r="AI952" i="2"/>
  <c r="AH952" i="2"/>
  <c r="AG952" i="2"/>
  <c r="AE952" i="2"/>
  <c r="AD952" i="2"/>
  <c r="AC952" i="2"/>
  <c r="AA952" i="2"/>
  <c r="Z952" i="2"/>
  <c r="Y952" i="2"/>
  <c r="X952" i="2"/>
  <c r="W952" i="2"/>
  <c r="V952" i="2"/>
  <c r="U952" i="2"/>
  <c r="T952" i="2"/>
  <c r="S952" i="2"/>
  <c r="R952" i="2"/>
  <c r="Q952" i="2"/>
  <c r="P952" i="2"/>
  <c r="O952" i="2"/>
  <c r="N952" i="2"/>
  <c r="M952" i="2"/>
  <c r="L952" i="2"/>
  <c r="K952" i="2"/>
  <c r="J952" i="2"/>
  <c r="I952" i="2"/>
  <c r="H952" i="2"/>
  <c r="G952" i="2"/>
  <c r="F952" i="2"/>
  <c r="E952" i="2"/>
  <c r="D952" i="2"/>
  <c r="C952" i="2"/>
  <c r="B952" i="2"/>
  <c r="A952" i="2"/>
  <c r="AX951" i="2"/>
  <c r="AV951" i="2"/>
  <c r="AU951" i="2"/>
  <c r="AS951" i="2"/>
  <c r="AR951" i="2"/>
  <c r="AO951" i="2"/>
  <c r="AN951" i="2"/>
  <c r="AM951" i="2"/>
  <c r="AK951" i="2"/>
  <c r="AJ951" i="2"/>
  <c r="AI951" i="2"/>
  <c r="AH951" i="2"/>
  <c r="AG951" i="2"/>
  <c r="AE951" i="2"/>
  <c r="AC951" i="2"/>
  <c r="Z951" i="2"/>
  <c r="Y951" i="2"/>
  <c r="X951" i="2"/>
  <c r="W951" i="2"/>
  <c r="V951" i="2"/>
  <c r="U951" i="2"/>
  <c r="T951" i="2"/>
  <c r="S951" i="2"/>
  <c r="R951" i="2"/>
  <c r="Q951" i="2"/>
  <c r="P951" i="2"/>
  <c r="O951" i="2"/>
  <c r="N951" i="2"/>
  <c r="M951" i="2"/>
  <c r="L951" i="2"/>
  <c r="K951" i="2"/>
  <c r="J951" i="2"/>
  <c r="I951" i="2"/>
  <c r="H951" i="2"/>
  <c r="G951" i="2"/>
  <c r="F951" i="2"/>
  <c r="E951" i="2"/>
  <c r="D951" i="2"/>
  <c r="C951" i="2"/>
  <c r="B951" i="2"/>
  <c r="A951" i="2"/>
  <c r="AX950" i="2"/>
  <c r="AV950" i="2"/>
  <c r="AU950" i="2"/>
  <c r="AR950" i="2"/>
  <c r="AO950" i="2"/>
  <c r="AN950" i="2"/>
  <c r="AM950" i="2"/>
  <c r="AK950" i="2"/>
  <c r="AJ950" i="2"/>
  <c r="AI950" i="2"/>
  <c r="AH950" i="2"/>
  <c r="AG950" i="2"/>
  <c r="AE950" i="2"/>
  <c r="AD950" i="2"/>
  <c r="AC950" i="2"/>
  <c r="Z950" i="2"/>
  <c r="Y950" i="2"/>
  <c r="X950" i="2"/>
  <c r="W950" i="2"/>
  <c r="V950" i="2"/>
  <c r="U950" i="2"/>
  <c r="T950" i="2"/>
  <c r="S950" i="2"/>
  <c r="R950" i="2"/>
  <c r="Q950" i="2"/>
  <c r="P950" i="2"/>
  <c r="O950" i="2"/>
  <c r="N950" i="2"/>
  <c r="M950" i="2"/>
  <c r="L950" i="2"/>
  <c r="K950" i="2"/>
  <c r="J950" i="2"/>
  <c r="I950" i="2"/>
  <c r="H950" i="2"/>
  <c r="G950" i="2"/>
  <c r="F950" i="2"/>
  <c r="E950" i="2"/>
  <c r="D950" i="2"/>
  <c r="C950" i="2"/>
  <c r="B950" i="2"/>
  <c r="A950" i="2"/>
  <c r="AX949" i="2"/>
  <c r="AV949" i="2"/>
  <c r="AU949" i="2"/>
  <c r="AS949" i="2"/>
  <c r="AR949" i="2"/>
  <c r="AO949" i="2"/>
  <c r="AN949" i="2"/>
  <c r="AM949" i="2"/>
  <c r="AK949" i="2"/>
  <c r="AJ949" i="2"/>
  <c r="AI949" i="2"/>
  <c r="AH949" i="2"/>
  <c r="AG949" i="2"/>
  <c r="AE949" i="2"/>
  <c r="AD949" i="2"/>
  <c r="AC949" i="2"/>
  <c r="Z949" i="2"/>
  <c r="Y949" i="2"/>
  <c r="X949" i="2"/>
  <c r="W949" i="2"/>
  <c r="V949" i="2"/>
  <c r="U949" i="2"/>
  <c r="T949" i="2"/>
  <c r="S949" i="2"/>
  <c r="R949" i="2"/>
  <c r="Q949" i="2"/>
  <c r="P949" i="2"/>
  <c r="O949" i="2"/>
  <c r="N949" i="2"/>
  <c r="M949" i="2"/>
  <c r="L949" i="2"/>
  <c r="K949" i="2"/>
  <c r="J949" i="2"/>
  <c r="I949" i="2"/>
  <c r="H949" i="2"/>
  <c r="G949" i="2"/>
  <c r="F949" i="2"/>
  <c r="E949" i="2"/>
  <c r="D949" i="2"/>
  <c r="C949" i="2"/>
  <c r="B949" i="2"/>
  <c r="A949" i="2"/>
  <c r="AX948" i="2"/>
  <c r="AV948" i="2"/>
  <c r="AU948" i="2"/>
  <c r="AS948" i="2"/>
  <c r="AR948" i="2"/>
  <c r="AO948" i="2"/>
  <c r="AN948" i="2"/>
  <c r="AM948" i="2"/>
  <c r="AK948" i="2"/>
  <c r="AJ948" i="2"/>
  <c r="AI948" i="2"/>
  <c r="AH948" i="2"/>
  <c r="AG948" i="2"/>
  <c r="AF948" i="2"/>
  <c r="AE948" i="2"/>
  <c r="AD948" i="2"/>
  <c r="AC948" i="2"/>
  <c r="AA948" i="2"/>
  <c r="Z948" i="2"/>
  <c r="Y948" i="2"/>
  <c r="X948" i="2"/>
  <c r="W948" i="2"/>
  <c r="V948" i="2"/>
  <c r="U948" i="2"/>
  <c r="T948" i="2"/>
  <c r="S948" i="2"/>
  <c r="R948" i="2"/>
  <c r="Q948" i="2"/>
  <c r="P948" i="2"/>
  <c r="O948" i="2"/>
  <c r="N948" i="2"/>
  <c r="M948" i="2"/>
  <c r="L948" i="2"/>
  <c r="K948" i="2"/>
  <c r="J948" i="2"/>
  <c r="I948" i="2"/>
  <c r="H948" i="2"/>
  <c r="G948" i="2"/>
  <c r="F948" i="2"/>
  <c r="E948" i="2"/>
  <c r="D948" i="2"/>
  <c r="C948" i="2"/>
  <c r="B948" i="2"/>
  <c r="A948" i="2"/>
  <c r="AX947" i="2"/>
  <c r="AV947" i="2"/>
  <c r="AU947" i="2"/>
  <c r="AS947" i="2"/>
  <c r="AR947" i="2"/>
  <c r="AO947" i="2"/>
  <c r="AN947" i="2"/>
  <c r="AM947" i="2"/>
  <c r="AK947" i="2"/>
  <c r="AJ947" i="2"/>
  <c r="AI947" i="2"/>
  <c r="AH947" i="2"/>
  <c r="AG947" i="2"/>
  <c r="AE947" i="2"/>
  <c r="AD947" i="2"/>
  <c r="AC947" i="2"/>
  <c r="AA947" i="2"/>
  <c r="Z947" i="2"/>
  <c r="Y947" i="2"/>
  <c r="X947" i="2"/>
  <c r="W947" i="2"/>
  <c r="V947" i="2"/>
  <c r="U947" i="2"/>
  <c r="T947" i="2"/>
  <c r="S947" i="2"/>
  <c r="R947" i="2"/>
  <c r="Q947" i="2"/>
  <c r="P947" i="2"/>
  <c r="O947" i="2"/>
  <c r="N947" i="2"/>
  <c r="M947" i="2"/>
  <c r="L947" i="2"/>
  <c r="K947" i="2"/>
  <c r="J947" i="2"/>
  <c r="I947" i="2"/>
  <c r="H947" i="2"/>
  <c r="G947" i="2"/>
  <c r="F947" i="2"/>
  <c r="E947" i="2"/>
  <c r="D947" i="2"/>
  <c r="C947" i="2"/>
  <c r="B947" i="2"/>
  <c r="A947" i="2"/>
  <c r="AX946" i="2"/>
  <c r="AV946" i="2"/>
  <c r="AU946" i="2"/>
  <c r="AS946" i="2"/>
  <c r="AO946" i="2"/>
  <c r="AM946" i="2"/>
  <c r="AL946" i="2"/>
  <c r="AK946" i="2"/>
  <c r="AJ946" i="2"/>
  <c r="AI946" i="2"/>
  <c r="AH946" i="2"/>
  <c r="AG946" i="2"/>
  <c r="AF946" i="2"/>
  <c r="AE946" i="2"/>
  <c r="AD946" i="2"/>
  <c r="AC946" i="2"/>
  <c r="AA946" i="2"/>
  <c r="Z946" i="2"/>
  <c r="Y946" i="2"/>
  <c r="W946" i="2"/>
  <c r="V946" i="2"/>
  <c r="U946" i="2"/>
  <c r="T946" i="2"/>
  <c r="S946" i="2"/>
  <c r="R946" i="2"/>
  <c r="Q946" i="2"/>
  <c r="P946" i="2"/>
  <c r="O946" i="2"/>
  <c r="N946" i="2"/>
  <c r="M946" i="2"/>
  <c r="L946" i="2"/>
  <c r="K946" i="2"/>
  <c r="J946" i="2"/>
  <c r="I946" i="2"/>
  <c r="H946" i="2"/>
  <c r="G946" i="2"/>
  <c r="F946" i="2"/>
  <c r="E946" i="2"/>
  <c r="D946" i="2"/>
  <c r="C946" i="2"/>
  <c r="B946" i="2"/>
  <c r="A946" i="2"/>
  <c r="AX945" i="2"/>
  <c r="AV945" i="2"/>
  <c r="AU945" i="2"/>
  <c r="AS945" i="2"/>
  <c r="AR945" i="2"/>
  <c r="AO945" i="2"/>
  <c r="AN945" i="2"/>
  <c r="AM945" i="2"/>
  <c r="AK945" i="2"/>
  <c r="AJ945" i="2"/>
  <c r="AI945" i="2"/>
  <c r="AH945" i="2"/>
  <c r="AG945" i="2"/>
  <c r="AE945" i="2"/>
  <c r="AD945" i="2"/>
  <c r="AC945" i="2"/>
  <c r="AA945" i="2"/>
  <c r="Z945" i="2"/>
  <c r="Y945" i="2"/>
  <c r="X945" i="2"/>
  <c r="W945" i="2"/>
  <c r="V945" i="2"/>
  <c r="U945" i="2"/>
  <c r="T945" i="2"/>
  <c r="S945" i="2"/>
  <c r="R945" i="2"/>
  <c r="Q945" i="2"/>
  <c r="P945" i="2"/>
  <c r="O945" i="2"/>
  <c r="N945" i="2"/>
  <c r="M945" i="2"/>
  <c r="L945" i="2"/>
  <c r="K945" i="2"/>
  <c r="J945" i="2"/>
  <c r="I945" i="2"/>
  <c r="H945" i="2"/>
  <c r="G945" i="2"/>
  <c r="F945" i="2"/>
  <c r="E945" i="2"/>
  <c r="D945" i="2"/>
  <c r="C945" i="2"/>
  <c r="B945" i="2"/>
  <c r="A945" i="2"/>
  <c r="AX944" i="2"/>
  <c r="AV944" i="2"/>
  <c r="AU944" i="2"/>
  <c r="AS944" i="2"/>
  <c r="AR944" i="2"/>
  <c r="AO944" i="2"/>
  <c r="AN944" i="2"/>
  <c r="AM944" i="2"/>
  <c r="AK944" i="2"/>
  <c r="AJ944" i="2"/>
  <c r="AI944" i="2"/>
  <c r="AH944" i="2"/>
  <c r="AG944" i="2"/>
  <c r="AE944" i="2"/>
  <c r="AD944" i="2"/>
  <c r="AC944" i="2"/>
  <c r="AA944" i="2"/>
  <c r="Z944" i="2"/>
  <c r="Y944" i="2"/>
  <c r="X944" i="2"/>
  <c r="W944" i="2"/>
  <c r="V944" i="2"/>
  <c r="U944" i="2"/>
  <c r="T944" i="2"/>
  <c r="S944" i="2"/>
  <c r="R944" i="2"/>
  <c r="Q944" i="2"/>
  <c r="P944" i="2"/>
  <c r="O944" i="2"/>
  <c r="N944" i="2"/>
  <c r="M944" i="2"/>
  <c r="L944" i="2"/>
  <c r="K944" i="2"/>
  <c r="J944" i="2"/>
  <c r="I944" i="2"/>
  <c r="H944" i="2"/>
  <c r="G944" i="2"/>
  <c r="F944" i="2"/>
  <c r="E944" i="2"/>
  <c r="D944" i="2"/>
  <c r="C944" i="2"/>
  <c r="B944" i="2"/>
  <c r="A944" i="2"/>
  <c r="AX943" i="2"/>
  <c r="AV943" i="2"/>
  <c r="AU943" i="2"/>
  <c r="AS943" i="2"/>
  <c r="AR943" i="2"/>
  <c r="AO943" i="2"/>
  <c r="AN943" i="2"/>
  <c r="AM943" i="2"/>
  <c r="AK943" i="2"/>
  <c r="AJ943" i="2"/>
  <c r="AI943" i="2"/>
  <c r="AH943" i="2"/>
  <c r="AG943" i="2"/>
  <c r="AE943" i="2"/>
  <c r="AC943" i="2"/>
  <c r="Z943" i="2"/>
  <c r="Y943" i="2"/>
  <c r="X943" i="2"/>
  <c r="W943" i="2"/>
  <c r="V943" i="2"/>
  <c r="U943" i="2"/>
  <c r="T943" i="2"/>
  <c r="S943" i="2"/>
  <c r="R943" i="2"/>
  <c r="Q943" i="2"/>
  <c r="P943" i="2"/>
  <c r="O943" i="2"/>
  <c r="N943" i="2"/>
  <c r="M943" i="2"/>
  <c r="L943" i="2"/>
  <c r="K943" i="2"/>
  <c r="J943" i="2"/>
  <c r="I943" i="2"/>
  <c r="H943" i="2"/>
  <c r="G943" i="2"/>
  <c r="F943" i="2"/>
  <c r="E943" i="2"/>
  <c r="D943" i="2"/>
  <c r="C943" i="2"/>
  <c r="B943" i="2"/>
  <c r="A943" i="2"/>
  <c r="AX942" i="2"/>
  <c r="AV942" i="2"/>
  <c r="AU942" i="2"/>
  <c r="AS942" i="2"/>
  <c r="AR942" i="2"/>
  <c r="AO942" i="2"/>
  <c r="AN942" i="2"/>
  <c r="AM942" i="2"/>
  <c r="AK942" i="2"/>
  <c r="AJ942" i="2"/>
  <c r="AI942" i="2"/>
  <c r="AH942" i="2"/>
  <c r="AG942" i="2"/>
  <c r="AE942" i="2"/>
  <c r="AD942" i="2"/>
  <c r="AC942" i="2"/>
  <c r="Z942" i="2"/>
  <c r="Y942" i="2"/>
  <c r="X942" i="2"/>
  <c r="W942" i="2"/>
  <c r="V942" i="2"/>
  <c r="U942" i="2"/>
  <c r="T942" i="2"/>
  <c r="S942" i="2"/>
  <c r="R942" i="2"/>
  <c r="Q942" i="2"/>
  <c r="P942" i="2"/>
  <c r="O942" i="2"/>
  <c r="N942" i="2"/>
  <c r="M942" i="2"/>
  <c r="L942" i="2"/>
  <c r="K942" i="2"/>
  <c r="J942" i="2"/>
  <c r="I942" i="2"/>
  <c r="H942" i="2"/>
  <c r="G942" i="2"/>
  <c r="F942" i="2"/>
  <c r="E942" i="2"/>
  <c r="D942" i="2"/>
  <c r="C942" i="2"/>
  <c r="B942" i="2"/>
  <c r="A942" i="2"/>
  <c r="AX941" i="2"/>
  <c r="AV941" i="2"/>
  <c r="AU941" i="2"/>
  <c r="AS941" i="2"/>
  <c r="AR941" i="2"/>
  <c r="AO941" i="2"/>
  <c r="AN941" i="2"/>
  <c r="AM941" i="2"/>
  <c r="AK941" i="2"/>
  <c r="AJ941" i="2"/>
  <c r="AI941" i="2"/>
  <c r="AH941" i="2"/>
  <c r="AG941" i="2"/>
  <c r="AE941" i="2"/>
  <c r="AD941" i="2"/>
  <c r="AC941" i="2"/>
  <c r="AA941" i="2"/>
  <c r="Z941" i="2"/>
  <c r="Y941" i="2"/>
  <c r="X941" i="2"/>
  <c r="U941" i="2"/>
  <c r="T941" i="2"/>
  <c r="S941" i="2"/>
  <c r="R941" i="2"/>
  <c r="Q941" i="2"/>
  <c r="P941" i="2"/>
  <c r="O941" i="2"/>
  <c r="N941" i="2"/>
  <c r="M941" i="2"/>
  <c r="L941" i="2"/>
  <c r="K941" i="2"/>
  <c r="J941" i="2"/>
  <c r="I941" i="2"/>
  <c r="H941" i="2"/>
  <c r="G941" i="2"/>
  <c r="F941" i="2"/>
  <c r="E941" i="2"/>
  <c r="D941" i="2"/>
  <c r="C941" i="2"/>
  <c r="B941" i="2"/>
  <c r="A941" i="2"/>
  <c r="AX940" i="2"/>
  <c r="AV940" i="2"/>
  <c r="AU940" i="2"/>
  <c r="AT940" i="2"/>
  <c r="AR940" i="2"/>
  <c r="AP940" i="2"/>
  <c r="AO940" i="2"/>
  <c r="AN940" i="2"/>
  <c r="AM940" i="2"/>
  <c r="AK940" i="2"/>
  <c r="AI940" i="2"/>
  <c r="AH940" i="2"/>
  <c r="AG940" i="2"/>
  <c r="AE940" i="2"/>
  <c r="AD940" i="2"/>
  <c r="AC940" i="2"/>
  <c r="Z940" i="2"/>
  <c r="Y940" i="2"/>
  <c r="X940" i="2"/>
  <c r="W940" i="2"/>
  <c r="V940" i="2"/>
  <c r="U940" i="2"/>
  <c r="T940" i="2"/>
  <c r="S940" i="2"/>
  <c r="R940" i="2"/>
  <c r="Q940" i="2"/>
  <c r="P940" i="2"/>
  <c r="O940" i="2"/>
  <c r="N940" i="2"/>
  <c r="M940" i="2"/>
  <c r="L940" i="2"/>
  <c r="K940" i="2"/>
  <c r="J940" i="2"/>
  <c r="I940" i="2"/>
  <c r="H940" i="2"/>
  <c r="G940" i="2"/>
  <c r="F940" i="2"/>
  <c r="E940" i="2"/>
  <c r="D940" i="2"/>
  <c r="C940" i="2"/>
  <c r="B940" i="2"/>
  <c r="A940" i="2"/>
  <c r="AX939" i="2"/>
  <c r="AV939" i="2"/>
  <c r="AU939" i="2"/>
  <c r="AR939" i="2"/>
  <c r="AO939" i="2"/>
  <c r="AN939" i="2"/>
  <c r="AM939" i="2"/>
  <c r="AK939" i="2"/>
  <c r="AJ939" i="2"/>
  <c r="AI939" i="2"/>
  <c r="AH939" i="2"/>
  <c r="AG939" i="2"/>
  <c r="AE939" i="2"/>
  <c r="AD939" i="2"/>
  <c r="AC939" i="2"/>
  <c r="AA939" i="2"/>
  <c r="Z939" i="2"/>
  <c r="Y939" i="2"/>
  <c r="X939" i="2"/>
  <c r="W939" i="2"/>
  <c r="V939" i="2"/>
  <c r="U939" i="2"/>
  <c r="T939" i="2"/>
  <c r="S939" i="2"/>
  <c r="R939" i="2"/>
  <c r="Q939" i="2"/>
  <c r="P939" i="2"/>
  <c r="O939" i="2"/>
  <c r="N939" i="2"/>
  <c r="M939" i="2"/>
  <c r="L939" i="2"/>
  <c r="K939" i="2"/>
  <c r="J939" i="2"/>
  <c r="I939" i="2"/>
  <c r="H939" i="2"/>
  <c r="G939" i="2"/>
  <c r="F939" i="2"/>
  <c r="E939" i="2"/>
  <c r="D939" i="2"/>
  <c r="C939" i="2"/>
  <c r="B939" i="2"/>
  <c r="A939" i="2"/>
  <c r="AX938" i="2"/>
  <c r="AV938" i="2"/>
  <c r="AU938" i="2"/>
  <c r="AS938" i="2"/>
  <c r="AR938" i="2"/>
  <c r="AO938" i="2"/>
  <c r="AN938" i="2"/>
  <c r="AM938" i="2"/>
  <c r="AL938" i="2"/>
  <c r="AK938" i="2"/>
  <c r="AJ938" i="2"/>
  <c r="AI938" i="2"/>
  <c r="AH938" i="2"/>
  <c r="AG938" i="2"/>
  <c r="AE938" i="2"/>
  <c r="AD938" i="2"/>
  <c r="AC938" i="2"/>
  <c r="AA938" i="2"/>
  <c r="Z938" i="2"/>
  <c r="Y938" i="2"/>
  <c r="X938" i="2"/>
  <c r="W938" i="2"/>
  <c r="V938" i="2"/>
  <c r="U938" i="2"/>
  <c r="T938" i="2"/>
  <c r="S938" i="2"/>
  <c r="R938" i="2"/>
  <c r="Q938" i="2"/>
  <c r="P938" i="2"/>
  <c r="O938" i="2"/>
  <c r="N938" i="2"/>
  <c r="M938" i="2"/>
  <c r="L938" i="2"/>
  <c r="K938" i="2"/>
  <c r="J938" i="2"/>
  <c r="I938" i="2"/>
  <c r="H938" i="2"/>
  <c r="G938" i="2"/>
  <c r="F938" i="2"/>
  <c r="E938" i="2"/>
  <c r="D938" i="2"/>
  <c r="C938" i="2"/>
  <c r="B938" i="2"/>
  <c r="A938" i="2"/>
  <c r="AX937" i="2"/>
  <c r="AV937" i="2"/>
  <c r="AU937" i="2"/>
  <c r="AS937" i="2"/>
  <c r="AR937" i="2"/>
  <c r="AO937" i="2"/>
  <c r="AN937" i="2"/>
  <c r="AM937" i="2"/>
  <c r="AK937" i="2"/>
  <c r="AJ937" i="2"/>
  <c r="AI937" i="2"/>
  <c r="AH937" i="2"/>
  <c r="AG937" i="2"/>
  <c r="AE937" i="2"/>
  <c r="AC937" i="2"/>
  <c r="Z937" i="2"/>
  <c r="Y937" i="2"/>
  <c r="X937" i="2"/>
  <c r="W937" i="2"/>
  <c r="V937" i="2"/>
  <c r="U937" i="2"/>
  <c r="T937" i="2"/>
  <c r="S937" i="2"/>
  <c r="R937" i="2"/>
  <c r="Q937" i="2"/>
  <c r="P937" i="2"/>
  <c r="O937" i="2"/>
  <c r="N937" i="2"/>
  <c r="M937" i="2"/>
  <c r="L937" i="2"/>
  <c r="K937" i="2"/>
  <c r="J937" i="2"/>
  <c r="I937" i="2"/>
  <c r="H937" i="2"/>
  <c r="G937" i="2"/>
  <c r="F937" i="2"/>
  <c r="E937" i="2"/>
  <c r="D937" i="2"/>
  <c r="C937" i="2"/>
  <c r="B937" i="2"/>
  <c r="A937" i="2"/>
  <c r="AX936" i="2"/>
  <c r="AV936" i="2"/>
  <c r="AU936" i="2"/>
  <c r="AS936" i="2"/>
  <c r="AR936" i="2"/>
  <c r="AO936" i="2"/>
  <c r="AN936" i="2"/>
  <c r="AM936" i="2"/>
  <c r="AK936" i="2"/>
  <c r="AJ936" i="2"/>
  <c r="AI936" i="2"/>
  <c r="AH936" i="2"/>
  <c r="AG936" i="2"/>
  <c r="AE936" i="2"/>
  <c r="AC936" i="2"/>
  <c r="AA936" i="2"/>
  <c r="Z936" i="2"/>
  <c r="Y936" i="2"/>
  <c r="X936" i="2"/>
  <c r="W936" i="2"/>
  <c r="V936" i="2"/>
  <c r="U936" i="2"/>
  <c r="T936" i="2"/>
  <c r="S936" i="2"/>
  <c r="R936" i="2"/>
  <c r="Q936" i="2"/>
  <c r="P936" i="2"/>
  <c r="O936" i="2"/>
  <c r="N936" i="2"/>
  <c r="M936" i="2"/>
  <c r="L936" i="2"/>
  <c r="K936" i="2"/>
  <c r="J936" i="2"/>
  <c r="I936" i="2"/>
  <c r="H936" i="2"/>
  <c r="G936" i="2"/>
  <c r="F936" i="2"/>
  <c r="E936" i="2"/>
  <c r="D936" i="2"/>
  <c r="C936" i="2"/>
  <c r="B936" i="2"/>
  <c r="A936" i="2"/>
  <c r="AX935" i="2"/>
  <c r="AV935" i="2"/>
  <c r="AU935" i="2"/>
  <c r="AS935" i="2"/>
  <c r="AR935" i="2"/>
  <c r="AO935" i="2"/>
  <c r="AN935" i="2"/>
  <c r="AM935" i="2"/>
  <c r="AK935" i="2"/>
  <c r="AJ935" i="2"/>
  <c r="AI935" i="2"/>
  <c r="AH935" i="2"/>
  <c r="AG935" i="2"/>
  <c r="AE935" i="2"/>
  <c r="AC935" i="2"/>
  <c r="Z935" i="2"/>
  <c r="Y935" i="2"/>
  <c r="X935" i="2"/>
  <c r="W935" i="2"/>
  <c r="V935" i="2"/>
  <c r="U935" i="2"/>
  <c r="T935" i="2"/>
  <c r="S935" i="2"/>
  <c r="R935" i="2"/>
  <c r="Q935" i="2"/>
  <c r="P935" i="2"/>
  <c r="O935" i="2"/>
  <c r="N935" i="2"/>
  <c r="M935" i="2"/>
  <c r="L935" i="2"/>
  <c r="K935" i="2"/>
  <c r="J935" i="2"/>
  <c r="I935" i="2"/>
  <c r="H935" i="2"/>
  <c r="G935" i="2"/>
  <c r="F935" i="2"/>
  <c r="E935" i="2"/>
  <c r="D935" i="2"/>
  <c r="C935" i="2"/>
  <c r="B935" i="2"/>
  <c r="A935" i="2"/>
  <c r="AX934" i="2"/>
  <c r="AV934" i="2"/>
  <c r="AU934" i="2"/>
  <c r="AS934" i="2"/>
  <c r="AR934" i="2"/>
  <c r="AO934" i="2"/>
  <c r="AN934" i="2"/>
  <c r="AM934" i="2"/>
  <c r="AL934" i="2"/>
  <c r="AK934" i="2"/>
  <c r="AJ934" i="2"/>
  <c r="AI934" i="2"/>
  <c r="AH934" i="2"/>
  <c r="AG934" i="2"/>
  <c r="AE934" i="2"/>
  <c r="AD934" i="2"/>
  <c r="AC934" i="2"/>
  <c r="AA934" i="2"/>
  <c r="Z934" i="2"/>
  <c r="Y934" i="2"/>
  <c r="X934" i="2"/>
  <c r="W934" i="2"/>
  <c r="V934" i="2"/>
  <c r="U934" i="2"/>
  <c r="T934" i="2"/>
  <c r="S934" i="2"/>
  <c r="R934" i="2"/>
  <c r="Q934" i="2"/>
  <c r="P934" i="2"/>
  <c r="O934" i="2"/>
  <c r="N934" i="2"/>
  <c r="M934" i="2"/>
  <c r="L934" i="2"/>
  <c r="K934" i="2"/>
  <c r="J934" i="2"/>
  <c r="I934" i="2"/>
  <c r="H934" i="2"/>
  <c r="G934" i="2"/>
  <c r="F934" i="2"/>
  <c r="E934" i="2"/>
  <c r="D934" i="2"/>
  <c r="C934" i="2"/>
  <c r="B934" i="2"/>
  <c r="A934" i="2"/>
  <c r="AX933" i="2"/>
  <c r="AV933" i="2"/>
  <c r="AU933" i="2"/>
  <c r="AS933" i="2"/>
  <c r="AR933" i="2"/>
  <c r="AO933" i="2"/>
  <c r="AN933" i="2"/>
  <c r="AM933" i="2"/>
  <c r="AK933" i="2"/>
  <c r="AJ933" i="2"/>
  <c r="AI933" i="2"/>
  <c r="AH933" i="2"/>
  <c r="AG933" i="2"/>
  <c r="AE933" i="2"/>
  <c r="AC933" i="2"/>
  <c r="AA933" i="2"/>
  <c r="Z933" i="2"/>
  <c r="Y933" i="2"/>
  <c r="X933" i="2"/>
  <c r="W933" i="2"/>
  <c r="V933" i="2"/>
  <c r="U933" i="2"/>
  <c r="T933" i="2"/>
  <c r="S933" i="2"/>
  <c r="R933" i="2"/>
  <c r="Q933" i="2"/>
  <c r="P933" i="2"/>
  <c r="O933" i="2"/>
  <c r="N933" i="2"/>
  <c r="M933" i="2"/>
  <c r="L933" i="2"/>
  <c r="K933" i="2"/>
  <c r="J933" i="2"/>
  <c r="I933" i="2"/>
  <c r="H933" i="2"/>
  <c r="G933" i="2"/>
  <c r="F933" i="2"/>
  <c r="E933" i="2"/>
  <c r="D933" i="2"/>
  <c r="C933" i="2"/>
  <c r="B933" i="2"/>
  <c r="A933" i="2"/>
  <c r="AX932" i="2"/>
  <c r="AV932" i="2"/>
  <c r="AU932" i="2"/>
  <c r="AR932" i="2"/>
  <c r="AO932" i="2"/>
  <c r="AN932" i="2"/>
  <c r="AM932" i="2"/>
  <c r="AK932" i="2"/>
  <c r="AJ932" i="2"/>
  <c r="AI932" i="2"/>
  <c r="AH932" i="2"/>
  <c r="AG932" i="2"/>
  <c r="AE932" i="2"/>
  <c r="AC932" i="2"/>
  <c r="Z932" i="2"/>
  <c r="Y932" i="2"/>
  <c r="X932" i="2"/>
  <c r="W932" i="2"/>
  <c r="V932" i="2"/>
  <c r="U932" i="2"/>
  <c r="T932" i="2"/>
  <c r="S932" i="2"/>
  <c r="R932" i="2"/>
  <c r="Q932" i="2"/>
  <c r="P932" i="2"/>
  <c r="O932" i="2"/>
  <c r="N932" i="2"/>
  <c r="M932" i="2"/>
  <c r="L932" i="2"/>
  <c r="K932" i="2"/>
  <c r="J932" i="2"/>
  <c r="I932" i="2"/>
  <c r="H932" i="2"/>
  <c r="G932" i="2"/>
  <c r="F932" i="2"/>
  <c r="E932" i="2"/>
  <c r="D932" i="2"/>
  <c r="C932" i="2"/>
  <c r="B932" i="2"/>
  <c r="A932" i="2"/>
  <c r="AX931" i="2"/>
  <c r="AV931" i="2"/>
  <c r="AU931" i="2"/>
  <c r="AS931" i="2"/>
  <c r="AR931" i="2"/>
  <c r="AO931" i="2"/>
  <c r="AN931" i="2"/>
  <c r="AM931" i="2"/>
  <c r="AK931" i="2"/>
  <c r="AJ931" i="2"/>
  <c r="AI931" i="2"/>
  <c r="AH931" i="2"/>
  <c r="AG931" i="2"/>
  <c r="AE931" i="2"/>
  <c r="AC931" i="2"/>
  <c r="Z931" i="2"/>
  <c r="Y931" i="2"/>
  <c r="X931" i="2"/>
  <c r="W931" i="2"/>
  <c r="V931" i="2"/>
  <c r="U931" i="2"/>
  <c r="T931" i="2"/>
  <c r="S931" i="2"/>
  <c r="R931" i="2"/>
  <c r="Q931" i="2"/>
  <c r="P931" i="2"/>
  <c r="O931" i="2"/>
  <c r="N931" i="2"/>
  <c r="M931" i="2"/>
  <c r="L931" i="2"/>
  <c r="K931" i="2"/>
  <c r="J931" i="2"/>
  <c r="I931" i="2"/>
  <c r="H931" i="2"/>
  <c r="G931" i="2"/>
  <c r="F931" i="2"/>
  <c r="E931" i="2"/>
  <c r="D931" i="2"/>
  <c r="C931" i="2"/>
  <c r="B931" i="2"/>
  <c r="A931" i="2"/>
  <c r="AX930" i="2"/>
  <c r="AV930" i="2"/>
  <c r="AU930" i="2"/>
  <c r="AS930" i="2"/>
  <c r="AR930" i="2"/>
  <c r="AO930" i="2"/>
  <c r="AN930" i="2"/>
  <c r="AM930" i="2"/>
  <c r="AK930" i="2"/>
  <c r="AJ930" i="2"/>
  <c r="AI930" i="2"/>
  <c r="AH930" i="2"/>
  <c r="AG930" i="2"/>
  <c r="AE930" i="2"/>
  <c r="AC930" i="2"/>
  <c r="Z930" i="2"/>
  <c r="Y930" i="2"/>
  <c r="X930" i="2"/>
  <c r="W930" i="2"/>
  <c r="V930" i="2"/>
  <c r="U930" i="2"/>
  <c r="T930" i="2"/>
  <c r="S930" i="2"/>
  <c r="R930" i="2"/>
  <c r="Q930" i="2"/>
  <c r="P930" i="2"/>
  <c r="O930" i="2"/>
  <c r="N930" i="2"/>
  <c r="M930" i="2"/>
  <c r="L930" i="2"/>
  <c r="K930" i="2"/>
  <c r="J930" i="2"/>
  <c r="I930" i="2"/>
  <c r="H930" i="2"/>
  <c r="G930" i="2"/>
  <c r="F930" i="2"/>
  <c r="E930" i="2"/>
  <c r="D930" i="2"/>
  <c r="C930" i="2"/>
  <c r="B930" i="2"/>
  <c r="A930" i="2"/>
  <c r="AX929" i="2"/>
  <c r="AV929" i="2"/>
  <c r="AU929" i="2"/>
  <c r="AT929" i="2"/>
  <c r="AS929" i="2"/>
  <c r="AR929" i="2"/>
  <c r="AP929" i="2"/>
  <c r="AO929" i="2"/>
  <c r="AN929" i="2"/>
  <c r="AM929" i="2"/>
  <c r="AK929" i="2"/>
  <c r="AJ929" i="2"/>
  <c r="AI929" i="2"/>
  <c r="AH929" i="2"/>
  <c r="AG929" i="2"/>
  <c r="AE929" i="2"/>
  <c r="AC929" i="2"/>
  <c r="AA929" i="2"/>
  <c r="Z929" i="2"/>
  <c r="Y929" i="2"/>
  <c r="X929" i="2"/>
  <c r="W929" i="2"/>
  <c r="V929" i="2"/>
  <c r="U929" i="2"/>
  <c r="T929" i="2"/>
  <c r="S929" i="2"/>
  <c r="R929" i="2"/>
  <c r="Q929" i="2"/>
  <c r="P929" i="2"/>
  <c r="O929" i="2"/>
  <c r="N929" i="2"/>
  <c r="M929" i="2"/>
  <c r="L929" i="2"/>
  <c r="K929" i="2"/>
  <c r="J929" i="2"/>
  <c r="I929" i="2"/>
  <c r="H929" i="2"/>
  <c r="G929" i="2"/>
  <c r="F929" i="2"/>
  <c r="E929" i="2"/>
  <c r="D929" i="2"/>
  <c r="C929" i="2"/>
  <c r="B929" i="2"/>
  <c r="A929" i="2"/>
  <c r="AX928" i="2"/>
  <c r="AV928" i="2"/>
  <c r="AU928" i="2"/>
  <c r="AT928" i="2"/>
  <c r="AS928" i="2"/>
  <c r="AR928" i="2"/>
  <c r="AO928" i="2"/>
  <c r="AN928" i="2"/>
  <c r="AM928" i="2"/>
  <c r="AK928" i="2"/>
  <c r="AJ928" i="2"/>
  <c r="AI928" i="2"/>
  <c r="AH928" i="2"/>
  <c r="AG928" i="2"/>
  <c r="AF928" i="2"/>
  <c r="AE928" i="2"/>
  <c r="AC928" i="2"/>
  <c r="AA928" i="2"/>
  <c r="Z928" i="2"/>
  <c r="Y928" i="2"/>
  <c r="X928" i="2"/>
  <c r="W928" i="2"/>
  <c r="V928" i="2"/>
  <c r="U928" i="2"/>
  <c r="T928" i="2"/>
  <c r="S928" i="2"/>
  <c r="R928" i="2"/>
  <c r="Q928" i="2"/>
  <c r="P928" i="2"/>
  <c r="O928" i="2"/>
  <c r="N928" i="2"/>
  <c r="M928" i="2"/>
  <c r="L928" i="2"/>
  <c r="K928" i="2"/>
  <c r="J928" i="2"/>
  <c r="I928" i="2"/>
  <c r="H928" i="2"/>
  <c r="G928" i="2"/>
  <c r="F928" i="2"/>
  <c r="E928" i="2"/>
  <c r="D928" i="2"/>
  <c r="C928" i="2"/>
  <c r="B928" i="2"/>
  <c r="A928" i="2"/>
  <c r="AX927" i="2"/>
  <c r="AV927" i="2"/>
  <c r="AU927" i="2"/>
  <c r="AS927" i="2"/>
  <c r="AR927" i="2"/>
  <c r="AO927" i="2"/>
  <c r="AN927" i="2"/>
  <c r="AM927" i="2"/>
  <c r="AK927" i="2"/>
  <c r="AJ927" i="2"/>
  <c r="AI927" i="2"/>
  <c r="AH927" i="2"/>
  <c r="AG927" i="2"/>
  <c r="AF927" i="2"/>
  <c r="AE927" i="2"/>
  <c r="AD927" i="2"/>
  <c r="AC927" i="2"/>
  <c r="Z927" i="2"/>
  <c r="Y927" i="2"/>
  <c r="X927" i="2"/>
  <c r="W927" i="2"/>
  <c r="V927" i="2"/>
  <c r="U927" i="2"/>
  <c r="T927" i="2"/>
  <c r="S927" i="2"/>
  <c r="R927" i="2"/>
  <c r="Q927" i="2"/>
  <c r="P927" i="2"/>
  <c r="O927" i="2"/>
  <c r="N927" i="2"/>
  <c r="M927" i="2"/>
  <c r="L927" i="2"/>
  <c r="K927" i="2"/>
  <c r="J927" i="2"/>
  <c r="I927" i="2"/>
  <c r="H927" i="2"/>
  <c r="G927" i="2"/>
  <c r="F927" i="2"/>
  <c r="E927" i="2"/>
  <c r="D927" i="2"/>
  <c r="C927" i="2"/>
  <c r="B927" i="2"/>
  <c r="A927" i="2"/>
  <c r="AX926" i="2"/>
  <c r="AV926" i="2"/>
  <c r="AU926" i="2"/>
  <c r="AT926" i="2"/>
  <c r="AS926" i="2"/>
  <c r="AR926" i="2"/>
  <c r="AO926" i="2"/>
  <c r="AN926" i="2"/>
  <c r="AM926" i="2"/>
  <c r="AK926" i="2"/>
  <c r="AJ926" i="2"/>
  <c r="AI926" i="2"/>
  <c r="AH926" i="2"/>
  <c r="AG926" i="2"/>
  <c r="AE926" i="2"/>
  <c r="AD926" i="2"/>
  <c r="AC926" i="2"/>
  <c r="AA926" i="2"/>
  <c r="Z926" i="2"/>
  <c r="Y926" i="2"/>
  <c r="X926" i="2"/>
  <c r="W926" i="2"/>
  <c r="V926" i="2"/>
  <c r="U926" i="2"/>
  <c r="T926" i="2"/>
  <c r="S926" i="2"/>
  <c r="R926" i="2"/>
  <c r="Q926" i="2"/>
  <c r="P926" i="2"/>
  <c r="O926" i="2"/>
  <c r="N926" i="2"/>
  <c r="M926" i="2"/>
  <c r="L926" i="2"/>
  <c r="K926" i="2"/>
  <c r="J926" i="2"/>
  <c r="I926" i="2"/>
  <c r="H926" i="2"/>
  <c r="G926" i="2"/>
  <c r="F926" i="2"/>
  <c r="E926" i="2"/>
  <c r="D926" i="2"/>
  <c r="C926" i="2"/>
  <c r="B926" i="2"/>
  <c r="A926" i="2"/>
  <c r="AX925" i="2"/>
  <c r="AV925" i="2"/>
  <c r="AU925" i="2"/>
  <c r="AS925" i="2"/>
  <c r="AR925" i="2"/>
  <c r="AQ925" i="2"/>
  <c r="AO925" i="2"/>
  <c r="AN925" i="2"/>
  <c r="AM925" i="2"/>
  <c r="AK925" i="2"/>
  <c r="AJ925" i="2"/>
  <c r="AI925" i="2"/>
  <c r="AH925" i="2"/>
  <c r="AG925" i="2"/>
  <c r="AE925" i="2"/>
  <c r="AC925" i="2"/>
  <c r="Z925" i="2"/>
  <c r="Y925" i="2"/>
  <c r="X925" i="2"/>
  <c r="W925" i="2"/>
  <c r="V925" i="2"/>
  <c r="U925" i="2"/>
  <c r="T925" i="2"/>
  <c r="S925" i="2"/>
  <c r="R925" i="2"/>
  <c r="Q925" i="2"/>
  <c r="P925" i="2"/>
  <c r="O925" i="2"/>
  <c r="N925" i="2"/>
  <c r="M925" i="2"/>
  <c r="L925" i="2"/>
  <c r="K925" i="2"/>
  <c r="J925" i="2"/>
  <c r="I925" i="2"/>
  <c r="H925" i="2"/>
  <c r="G925" i="2"/>
  <c r="F925" i="2"/>
  <c r="E925" i="2"/>
  <c r="D925" i="2"/>
  <c r="C925" i="2"/>
  <c r="B925" i="2"/>
  <c r="A925" i="2"/>
  <c r="AX924" i="2"/>
  <c r="AV924" i="2"/>
  <c r="AU924" i="2"/>
  <c r="AS924" i="2"/>
  <c r="AR924" i="2"/>
  <c r="AO924" i="2"/>
  <c r="AN924" i="2"/>
  <c r="AM924" i="2"/>
  <c r="AK924" i="2"/>
  <c r="AJ924" i="2"/>
  <c r="AI924" i="2"/>
  <c r="AH924" i="2"/>
  <c r="AG924" i="2"/>
  <c r="AC924" i="2"/>
  <c r="Z924" i="2"/>
  <c r="Y924" i="2"/>
  <c r="X924" i="2"/>
  <c r="W924" i="2"/>
  <c r="V924" i="2"/>
  <c r="U924" i="2"/>
  <c r="T924" i="2"/>
  <c r="S924" i="2"/>
  <c r="R924" i="2"/>
  <c r="Q924" i="2"/>
  <c r="P924" i="2"/>
  <c r="O924" i="2"/>
  <c r="N924" i="2"/>
  <c r="M924" i="2"/>
  <c r="L924" i="2"/>
  <c r="K924" i="2"/>
  <c r="J924" i="2"/>
  <c r="I924" i="2"/>
  <c r="H924" i="2"/>
  <c r="G924" i="2"/>
  <c r="F924" i="2"/>
  <c r="E924" i="2"/>
  <c r="D924" i="2"/>
  <c r="C924" i="2"/>
  <c r="B924" i="2"/>
  <c r="A924" i="2"/>
  <c r="AX923" i="2"/>
  <c r="AV923" i="2"/>
  <c r="AU923" i="2"/>
  <c r="AS923" i="2"/>
  <c r="AR923" i="2"/>
  <c r="AO923" i="2"/>
  <c r="AN923" i="2"/>
  <c r="AM923" i="2"/>
  <c r="AK923" i="2"/>
  <c r="AJ923" i="2"/>
  <c r="AI923" i="2"/>
  <c r="AH923" i="2"/>
  <c r="AG923" i="2"/>
  <c r="AE923" i="2"/>
  <c r="AD923" i="2"/>
  <c r="AC923" i="2"/>
  <c r="AA923" i="2"/>
  <c r="Z923" i="2"/>
  <c r="Y923" i="2"/>
  <c r="X923" i="2"/>
  <c r="W923" i="2"/>
  <c r="V923" i="2"/>
  <c r="U923" i="2"/>
  <c r="T923" i="2"/>
  <c r="S923" i="2"/>
  <c r="R923" i="2"/>
  <c r="Q923" i="2"/>
  <c r="P923" i="2"/>
  <c r="O923" i="2"/>
  <c r="N923" i="2"/>
  <c r="M923" i="2"/>
  <c r="L923" i="2"/>
  <c r="K923" i="2"/>
  <c r="J923" i="2"/>
  <c r="I923" i="2"/>
  <c r="H923" i="2"/>
  <c r="G923" i="2"/>
  <c r="F923" i="2"/>
  <c r="E923" i="2"/>
  <c r="D923" i="2"/>
  <c r="C923" i="2"/>
  <c r="B923" i="2"/>
  <c r="A923" i="2"/>
  <c r="AX922" i="2"/>
  <c r="AV922" i="2"/>
  <c r="AU922" i="2"/>
  <c r="AS922" i="2"/>
  <c r="AR922" i="2"/>
  <c r="AP922" i="2"/>
  <c r="AO922" i="2"/>
  <c r="AN922" i="2"/>
  <c r="AM922" i="2"/>
  <c r="AK922" i="2"/>
  <c r="AJ922" i="2"/>
  <c r="AI922" i="2"/>
  <c r="AH922" i="2"/>
  <c r="AG922" i="2"/>
  <c r="AE922" i="2"/>
  <c r="AD922" i="2"/>
  <c r="AC922" i="2"/>
  <c r="AA922" i="2"/>
  <c r="Z922" i="2"/>
  <c r="Y922" i="2"/>
  <c r="X922" i="2"/>
  <c r="W922" i="2"/>
  <c r="V922" i="2"/>
  <c r="U922" i="2"/>
  <c r="T922" i="2"/>
  <c r="S922" i="2"/>
  <c r="R922" i="2"/>
  <c r="Q922" i="2"/>
  <c r="P922" i="2"/>
  <c r="O922" i="2"/>
  <c r="N922" i="2"/>
  <c r="M922" i="2"/>
  <c r="L922" i="2"/>
  <c r="K922" i="2"/>
  <c r="J922" i="2"/>
  <c r="I922" i="2"/>
  <c r="H922" i="2"/>
  <c r="G922" i="2"/>
  <c r="F922" i="2"/>
  <c r="E922" i="2"/>
  <c r="D922" i="2"/>
  <c r="C922" i="2"/>
  <c r="B922" i="2"/>
  <c r="A922" i="2"/>
  <c r="AX921" i="2"/>
  <c r="AV921" i="2"/>
  <c r="AU921" i="2"/>
  <c r="AT921" i="2"/>
  <c r="AS921" i="2"/>
  <c r="AR921" i="2"/>
  <c r="AO921" i="2"/>
  <c r="AN921" i="2"/>
  <c r="AM921" i="2"/>
  <c r="AK921" i="2"/>
  <c r="AJ921" i="2"/>
  <c r="AI921" i="2"/>
  <c r="AH921" i="2"/>
  <c r="AG921" i="2"/>
  <c r="AE921" i="2"/>
  <c r="AD921" i="2"/>
  <c r="AC921" i="2"/>
  <c r="AA921" i="2"/>
  <c r="Z921" i="2"/>
  <c r="Y921" i="2"/>
  <c r="X921" i="2"/>
  <c r="W921" i="2"/>
  <c r="V921" i="2"/>
  <c r="U921" i="2"/>
  <c r="T921" i="2"/>
  <c r="S921" i="2"/>
  <c r="R921" i="2"/>
  <c r="Q921" i="2"/>
  <c r="P921" i="2"/>
  <c r="O921" i="2"/>
  <c r="N921" i="2"/>
  <c r="M921" i="2"/>
  <c r="L921" i="2"/>
  <c r="K921" i="2"/>
  <c r="J921" i="2"/>
  <c r="I921" i="2"/>
  <c r="H921" i="2"/>
  <c r="G921" i="2"/>
  <c r="F921" i="2"/>
  <c r="E921" i="2"/>
  <c r="D921" i="2"/>
  <c r="C921" i="2"/>
  <c r="B921" i="2"/>
  <c r="A921" i="2"/>
  <c r="AX920" i="2"/>
  <c r="AV920" i="2"/>
  <c r="AU920" i="2"/>
  <c r="AS920" i="2"/>
  <c r="AR920" i="2"/>
  <c r="AO920" i="2"/>
  <c r="AN920" i="2"/>
  <c r="AM920" i="2"/>
  <c r="AK920" i="2"/>
  <c r="AJ920" i="2"/>
  <c r="AI920" i="2"/>
  <c r="AH920" i="2"/>
  <c r="AG920" i="2"/>
  <c r="AC920" i="2"/>
  <c r="Z920" i="2"/>
  <c r="Y920" i="2"/>
  <c r="X920" i="2"/>
  <c r="W920" i="2"/>
  <c r="V920" i="2"/>
  <c r="U920" i="2"/>
  <c r="T920" i="2"/>
  <c r="S920" i="2"/>
  <c r="R920" i="2"/>
  <c r="Q920" i="2"/>
  <c r="P920" i="2"/>
  <c r="O920" i="2"/>
  <c r="N920" i="2"/>
  <c r="M920" i="2"/>
  <c r="L920" i="2"/>
  <c r="K920" i="2"/>
  <c r="J920" i="2"/>
  <c r="I920" i="2"/>
  <c r="H920" i="2"/>
  <c r="G920" i="2"/>
  <c r="F920" i="2"/>
  <c r="E920" i="2"/>
  <c r="D920" i="2"/>
  <c r="C920" i="2"/>
  <c r="B920" i="2"/>
  <c r="A920" i="2"/>
  <c r="AX919" i="2"/>
  <c r="AV919" i="2"/>
  <c r="AU919" i="2"/>
  <c r="AT919" i="2"/>
  <c r="AS919" i="2"/>
  <c r="AR919" i="2"/>
  <c r="AO919" i="2"/>
  <c r="AN919" i="2"/>
  <c r="AM919" i="2"/>
  <c r="AL919" i="2"/>
  <c r="AK919" i="2"/>
  <c r="AJ919" i="2"/>
  <c r="AI919" i="2"/>
  <c r="AH919" i="2"/>
  <c r="AG919" i="2"/>
  <c r="AD919" i="2"/>
  <c r="AC919" i="2"/>
  <c r="AA919" i="2"/>
  <c r="Z919" i="2"/>
  <c r="Y919" i="2"/>
  <c r="X919" i="2"/>
  <c r="W919" i="2"/>
  <c r="V919" i="2"/>
  <c r="U919" i="2"/>
  <c r="T919" i="2"/>
  <c r="S919" i="2"/>
  <c r="R919" i="2"/>
  <c r="Q919" i="2"/>
  <c r="P919" i="2"/>
  <c r="O919" i="2"/>
  <c r="N919" i="2"/>
  <c r="M919" i="2"/>
  <c r="L919" i="2"/>
  <c r="K919" i="2"/>
  <c r="J919" i="2"/>
  <c r="I919" i="2"/>
  <c r="H919" i="2"/>
  <c r="G919" i="2"/>
  <c r="F919" i="2"/>
  <c r="E919" i="2"/>
  <c r="D919" i="2"/>
  <c r="C919" i="2"/>
  <c r="B919" i="2"/>
  <c r="A919" i="2"/>
  <c r="AX918" i="2"/>
  <c r="AV918" i="2"/>
  <c r="AU918" i="2"/>
  <c r="AT918" i="2"/>
  <c r="AS918" i="2"/>
  <c r="AR918" i="2"/>
  <c r="AO918" i="2"/>
  <c r="AN918" i="2"/>
  <c r="AM918" i="2"/>
  <c r="AL918" i="2"/>
  <c r="AK918" i="2"/>
  <c r="AJ918" i="2"/>
  <c r="AI918" i="2"/>
  <c r="AH918" i="2"/>
  <c r="AG918" i="2"/>
  <c r="AE918" i="2"/>
  <c r="AD918" i="2"/>
  <c r="AC918" i="2"/>
  <c r="AA918" i="2"/>
  <c r="Z918" i="2"/>
  <c r="Y918" i="2"/>
  <c r="X918" i="2"/>
  <c r="W918" i="2"/>
  <c r="V918" i="2"/>
  <c r="U918" i="2"/>
  <c r="T918" i="2"/>
  <c r="S918" i="2"/>
  <c r="R918" i="2"/>
  <c r="Q918" i="2"/>
  <c r="P918" i="2"/>
  <c r="O918" i="2"/>
  <c r="N918" i="2"/>
  <c r="M918" i="2"/>
  <c r="L918" i="2"/>
  <c r="K918" i="2"/>
  <c r="J918" i="2"/>
  <c r="I918" i="2"/>
  <c r="H918" i="2"/>
  <c r="G918" i="2"/>
  <c r="F918" i="2"/>
  <c r="E918" i="2"/>
  <c r="D918" i="2"/>
  <c r="C918" i="2"/>
  <c r="B918" i="2"/>
  <c r="A918" i="2"/>
  <c r="AX917" i="2"/>
  <c r="AV917" i="2"/>
  <c r="AU917" i="2"/>
  <c r="AR917" i="2"/>
  <c r="AO917" i="2"/>
  <c r="AN917" i="2"/>
  <c r="AM917" i="2"/>
  <c r="AL917" i="2"/>
  <c r="AK917" i="2"/>
  <c r="AJ917" i="2"/>
  <c r="AI917" i="2"/>
  <c r="AH917" i="2"/>
  <c r="AG917" i="2"/>
  <c r="AD917" i="2"/>
  <c r="AC917" i="2"/>
  <c r="Z917" i="2"/>
  <c r="Y917" i="2"/>
  <c r="X917" i="2"/>
  <c r="W917" i="2"/>
  <c r="V917" i="2"/>
  <c r="U917" i="2"/>
  <c r="T917" i="2"/>
  <c r="S917" i="2"/>
  <c r="R917" i="2"/>
  <c r="Q917" i="2"/>
  <c r="P917" i="2"/>
  <c r="O917" i="2"/>
  <c r="N917" i="2"/>
  <c r="M917" i="2"/>
  <c r="L917" i="2"/>
  <c r="K917" i="2"/>
  <c r="J917" i="2"/>
  <c r="I917" i="2"/>
  <c r="H917" i="2"/>
  <c r="G917" i="2"/>
  <c r="F917" i="2"/>
  <c r="E917" i="2"/>
  <c r="D917" i="2"/>
  <c r="C917" i="2"/>
  <c r="B917" i="2"/>
  <c r="A917" i="2"/>
  <c r="AX916" i="2"/>
  <c r="AV916" i="2"/>
  <c r="AU916" i="2"/>
  <c r="AT916" i="2"/>
  <c r="AS916" i="2"/>
  <c r="AR916" i="2"/>
  <c r="AO916" i="2"/>
  <c r="AN916" i="2"/>
  <c r="AM916" i="2"/>
  <c r="AL916" i="2"/>
  <c r="AK916" i="2"/>
  <c r="AJ916" i="2"/>
  <c r="AI916" i="2"/>
  <c r="AH916" i="2"/>
  <c r="AG916" i="2"/>
  <c r="AD916" i="2"/>
  <c r="AC916" i="2"/>
  <c r="AA916" i="2"/>
  <c r="Z916" i="2"/>
  <c r="Y916" i="2"/>
  <c r="X916" i="2"/>
  <c r="W916" i="2"/>
  <c r="V916" i="2"/>
  <c r="U916" i="2"/>
  <c r="T916" i="2"/>
  <c r="S916" i="2"/>
  <c r="R916" i="2"/>
  <c r="Q916" i="2"/>
  <c r="P916" i="2"/>
  <c r="O916" i="2"/>
  <c r="N916" i="2"/>
  <c r="M916" i="2"/>
  <c r="L916" i="2"/>
  <c r="K916" i="2"/>
  <c r="J916" i="2"/>
  <c r="I916" i="2"/>
  <c r="H916" i="2"/>
  <c r="G916" i="2"/>
  <c r="F916" i="2"/>
  <c r="E916" i="2"/>
  <c r="D916" i="2"/>
  <c r="C916" i="2"/>
  <c r="B916" i="2"/>
  <c r="A916" i="2"/>
  <c r="AX915" i="2"/>
  <c r="AV915" i="2"/>
  <c r="AU915" i="2"/>
  <c r="AS915" i="2"/>
  <c r="AR915" i="2"/>
  <c r="AO915" i="2"/>
  <c r="AN915" i="2"/>
  <c r="AM915" i="2"/>
  <c r="AL915" i="2"/>
  <c r="AK915" i="2"/>
  <c r="AJ915" i="2"/>
  <c r="AI915" i="2"/>
  <c r="AH915" i="2"/>
  <c r="AG915" i="2"/>
  <c r="AD915" i="2"/>
  <c r="AC915" i="2"/>
  <c r="AA915" i="2"/>
  <c r="Z915" i="2"/>
  <c r="Y915" i="2"/>
  <c r="X915" i="2"/>
  <c r="W915" i="2"/>
  <c r="V915" i="2"/>
  <c r="U915" i="2"/>
  <c r="T915" i="2"/>
  <c r="S915" i="2"/>
  <c r="R915" i="2"/>
  <c r="Q915" i="2"/>
  <c r="P915" i="2"/>
  <c r="O915" i="2"/>
  <c r="N915" i="2"/>
  <c r="M915" i="2"/>
  <c r="L915" i="2"/>
  <c r="K915" i="2"/>
  <c r="J915" i="2"/>
  <c r="I915" i="2"/>
  <c r="H915" i="2"/>
  <c r="G915" i="2"/>
  <c r="F915" i="2"/>
  <c r="E915" i="2"/>
  <c r="D915" i="2"/>
  <c r="C915" i="2"/>
  <c r="B915" i="2"/>
  <c r="A915" i="2"/>
  <c r="AX914" i="2"/>
  <c r="AV914" i="2"/>
  <c r="AU914" i="2"/>
  <c r="AT914" i="2"/>
  <c r="AS914" i="2"/>
  <c r="AR914" i="2"/>
  <c r="AO914" i="2"/>
  <c r="AN914" i="2"/>
  <c r="AM914" i="2"/>
  <c r="AL914" i="2"/>
  <c r="AK914" i="2"/>
  <c r="AJ914" i="2"/>
  <c r="AI914" i="2"/>
  <c r="AH914" i="2"/>
  <c r="AG914" i="2"/>
  <c r="AE914" i="2"/>
  <c r="AD914" i="2"/>
  <c r="AC914" i="2"/>
  <c r="Z914" i="2"/>
  <c r="Y914" i="2"/>
  <c r="X914" i="2"/>
  <c r="W914" i="2"/>
  <c r="V914" i="2"/>
  <c r="U914" i="2"/>
  <c r="T914" i="2"/>
  <c r="S914" i="2"/>
  <c r="R914" i="2"/>
  <c r="Q914" i="2"/>
  <c r="P914" i="2"/>
  <c r="O914" i="2"/>
  <c r="N914" i="2"/>
  <c r="M914" i="2"/>
  <c r="L914" i="2"/>
  <c r="K914" i="2"/>
  <c r="J914" i="2"/>
  <c r="I914" i="2"/>
  <c r="H914" i="2"/>
  <c r="G914" i="2"/>
  <c r="F914" i="2"/>
  <c r="E914" i="2"/>
  <c r="D914" i="2"/>
  <c r="C914" i="2"/>
  <c r="B914" i="2"/>
  <c r="A914" i="2"/>
  <c r="AX913" i="2"/>
  <c r="AV913" i="2"/>
  <c r="AU913" i="2"/>
  <c r="AT913" i="2"/>
  <c r="AS913" i="2"/>
  <c r="AR913" i="2"/>
  <c r="AO913" i="2"/>
  <c r="AN913" i="2"/>
  <c r="AM913" i="2"/>
  <c r="AK913" i="2"/>
  <c r="AJ913" i="2"/>
  <c r="AI913" i="2"/>
  <c r="AH913" i="2"/>
  <c r="AG913" i="2"/>
  <c r="AE913" i="2"/>
  <c r="AD913" i="2"/>
  <c r="AC913" i="2"/>
  <c r="Z913" i="2"/>
  <c r="Y913" i="2"/>
  <c r="X913" i="2"/>
  <c r="W913" i="2"/>
  <c r="V913" i="2"/>
  <c r="U913" i="2"/>
  <c r="T913" i="2"/>
  <c r="S913" i="2"/>
  <c r="R913" i="2"/>
  <c r="Q913" i="2"/>
  <c r="P913" i="2"/>
  <c r="O913" i="2"/>
  <c r="N913" i="2"/>
  <c r="M913" i="2"/>
  <c r="L913" i="2"/>
  <c r="K913" i="2"/>
  <c r="J913" i="2"/>
  <c r="I913" i="2"/>
  <c r="H913" i="2"/>
  <c r="G913" i="2"/>
  <c r="F913" i="2"/>
  <c r="E913" i="2"/>
  <c r="D913" i="2"/>
  <c r="C913" i="2"/>
  <c r="B913" i="2"/>
  <c r="A913" i="2"/>
  <c r="AX912" i="2"/>
  <c r="AV912" i="2"/>
  <c r="AU912" i="2"/>
  <c r="AT912" i="2"/>
  <c r="AS912" i="2"/>
  <c r="AR912" i="2"/>
  <c r="AO912" i="2"/>
  <c r="AN912" i="2"/>
  <c r="AM912" i="2"/>
  <c r="AK912" i="2"/>
  <c r="AJ912" i="2"/>
  <c r="AI912" i="2"/>
  <c r="AH912" i="2"/>
  <c r="AG912" i="2"/>
  <c r="AE912" i="2"/>
  <c r="AC912" i="2"/>
  <c r="AA912" i="2"/>
  <c r="Z912" i="2"/>
  <c r="Y912" i="2"/>
  <c r="X912" i="2"/>
  <c r="W912" i="2"/>
  <c r="V912" i="2"/>
  <c r="U912" i="2"/>
  <c r="T912" i="2"/>
  <c r="S912" i="2"/>
  <c r="R912" i="2"/>
  <c r="Q912" i="2"/>
  <c r="P912" i="2"/>
  <c r="O912" i="2"/>
  <c r="N912" i="2"/>
  <c r="M912" i="2"/>
  <c r="L912" i="2"/>
  <c r="K912" i="2"/>
  <c r="J912" i="2"/>
  <c r="I912" i="2"/>
  <c r="H912" i="2"/>
  <c r="G912" i="2"/>
  <c r="F912" i="2"/>
  <c r="E912" i="2"/>
  <c r="D912" i="2"/>
  <c r="C912" i="2"/>
  <c r="B912" i="2"/>
  <c r="A912" i="2"/>
  <c r="AX911" i="2"/>
  <c r="AV911" i="2"/>
  <c r="AU911" i="2"/>
  <c r="AT911" i="2"/>
  <c r="AS911" i="2"/>
  <c r="AR911" i="2"/>
  <c r="AO911" i="2"/>
  <c r="AN911" i="2"/>
  <c r="AM911" i="2"/>
  <c r="AL911" i="2"/>
  <c r="AK911" i="2"/>
  <c r="AJ911" i="2"/>
  <c r="AI911" i="2"/>
  <c r="AH911" i="2"/>
  <c r="AG911" i="2"/>
  <c r="AE911" i="2"/>
  <c r="AD911" i="2"/>
  <c r="AC911" i="2"/>
  <c r="AA911" i="2"/>
  <c r="Z911" i="2"/>
  <c r="Y911" i="2"/>
  <c r="X911" i="2"/>
  <c r="W911" i="2"/>
  <c r="V911" i="2"/>
  <c r="U911" i="2"/>
  <c r="T911" i="2"/>
  <c r="S911" i="2"/>
  <c r="R911" i="2"/>
  <c r="Q911" i="2"/>
  <c r="P911" i="2"/>
  <c r="O911" i="2"/>
  <c r="N911" i="2"/>
  <c r="M911" i="2"/>
  <c r="L911" i="2"/>
  <c r="K911" i="2"/>
  <c r="J911" i="2"/>
  <c r="I911" i="2"/>
  <c r="H911" i="2"/>
  <c r="G911" i="2"/>
  <c r="F911" i="2"/>
  <c r="E911" i="2"/>
  <c r="D911" i="2"/>
  <c r="C911" i="2"/>
  <c r="B911" i="2"/>
  <c r="A911" i="2"/>
  <c r="AX910" i="2"/>
  <c r="AV910" i="2"/>
  <c r="AU910" i="2"/>
  <c r="AS910" i="2"/>
  <c r="AR910" i="2"/>
  <c r="AO910" i="2"/>
  <c r="AN910" i="2"/>
  <c r="AM910" i="2"/>
  <c r="AK910" i="2"/>
  <c r="AJ910" i="2"/>
  <c r="AI910" i="2"/>
  <c r="AH910" i="2"/>
  <c r="AG910" i="2"/>
  <c r="AF910" i="2"/>
  <c r="AE910" i="2"/>
  <c r="AD910" i="2"/>
  <c r="AC910" i="2"/>
  <c r="AA910" i="2"/>
  <c r="Z910" i="2"/>
  <c r="Y910" i="2"/>
  <c r="X910" i="2"/>
  <c r="W910" i="2"/>
  <c r="V910" i="2"/>
  <c r="U910" i="2"/>
  <c r="T910" i="2"/>
  <c r="S910" i="2"/>
  <c r="R910" i="2"/>
  <c r="Q910" i="2"/>
  <c r="P910" i="2"/>
  <c r="O910" i="2"/>
  <c r="N910" i="2"/>
  <c r="M910" i="2"/>
  <c r="L910" i="2"/>
  <c r="K910" i="2"/>
  <c r="J910" i="2"/>
  <c r="I910" i="2"/>
  <c r="H910" i="2"/>
  <c r="G910" i="2"/>
  <c r="F910" i="2"/>
  <c r="E910" i="2"/>
  <c r="D910" i="2"/>
  <c r="C910" i="2"/>
  <c r="B910" i="2"/>
  <c r="A910" i="2"/>
  <c r="AX909" i="2"/>
  <c r="AV909" i="2"/>
  <c r="AU909" i="2"/>
  <c r="AS909" i="2"/>
  <c r="AR909" i="2"/>
  <c r="AO909" i="2"/>
  <c r="AN909" i="2"/>
  <c r="AM909" i="2"/>
  <c r="AK909" i="2"/>
  <c r="AJ909" i="2"/>
  <c r="AI909" i="2"/>
  <c r="AH909" i="2"/>
  <c r="AG909" i="2"/>
  <c r="AE909" i="2"/>
  <c r="AD909" i="2"/>
  <c r="AC909" i="2"/>
  <c r="Z909" i="2"/>
  <c r="Y909" i="2"/>
  <c r="X909" i="2"/>
  <c r="W909" i="2"/>
  <c r="V909" i="2"/>
  <c r="U909" i="2"/>
  <c r="T909" i="2"/>
  <c r="S909" i="2"/>
  <c r="R909" i="2"/>
  <c r="Q909" i="2"/>
  <c r="P909" i="2"/>
  <c r="O909" i="2"/>
  <c r="N909" i="2"/>
  <c r="M909" i="2"/>
  <c r="L909" i="2"/>
  <c r="K909" i="2"/>
  <c r="J909" i="2"/>
  <c r="I909" i="2"/>
  <c r="H909" i="2"/>
  <c r="G909" i="2"/>
  <c r="F909" i="2"/>
  <c r="E909" i="2"/>
  <c r="D909" i="2"/>
  <c r="C909" i="2"/>
  <c r="B909" i="2"/>
  <c r="A909" i="2"/>
  <c r="AX908" i="2"/>
  <c r="AV908" i="2"/>
  <c r="AU908" i="2"/>
  <c r="AT908" i="2"/>
  <c r="AS908" i="2"/>
  <c r="AR908" i="2"/>
  <c r="AQ908" i="2"/>
  <c r="AP908" i="2"/>
  <c r="AO908" i="2"/>
  <c r="AN908" i="2"/>
  <c r="AM908" i="2"/>
  <c r="AL908" i="2"/>
  <c r="AK908" i="2"/>
  <c r="AI908" i="2"/>
  <c r="AH908" i="2"/>
  <c r="AG908" i="2"/>
  <c r="AE908" i="2"/>
  <c r="AD908" i="2"/>
  <c r="AC908" i="2"/>
  <c r="AA908" i="2"/>
  <c r="Z908" i="2"/>
  <c r="Y908" i="2"/>
  <c r="X908" i="2"/>
  <c r="W908" i="2"/>
  <c r="V908" i="2"/>
  <c r="U908" i="2"/>
  <c r="T908" i="2"/>
  <c r="S908" i="2"/>
  <c r="R908" i="2"/>
  <c r="Q908" i="2"/>
  <c r="P908" i="2"/>
  <c r="O908" i="2"/>
  <c r="N908" i="2"/>
  <c r="M908" i="2"/>
  <c r="L908" i="2"/>
  <c r="K908" i="2"/>
  <c r="J908" i="2"/>
  <c r="I908" i="2"/>
  <c r="H908" i="2"/>
  <c r="G908" i="2"/>
  <c r="F908" i="2"/>
  <c r="E908" i="2"/>
  <c r="D908" i="2"/>
  <c r="C908" i="2"/>
  <c r="B908" i="2"/>
  <c r="A908" i="2"/>
  <c r="AX907" i="2"/>
  <c r="AV907" i="2"/>
  <c r="AU907" i="2"/>
  <c r="AT907" i="2"/>
  <c r="AS907" i="2"/>
  <c r="AR907" i="2"/>
  <c r="AO907" i="2"/>
  <c r="AN907" i="2"/>
  <c r="AM907" i="2"/>
  <c r="AK907" i="2"/>
  <c r="AI907" i="2"/>
  <c r="AH907" i="2"/>
  <c r="AG907" i="2"/>
  <c r="AF907" i="2"/>
  <c r="AE907" i="2"/>
  <c r="AD907" i="2"/>
  <c r="AC907" i="2"/>
  <c r="AA907" i="2"/>
  <c r="Z907" i="2"/>
  <c r="Y907" i="2"/>
  <c r="X907" i="2"/>
  <c r="W907" i="2"/>
  <c r="V907" i="2"/>
  <c r="U907" i="2"/>
  <c r="T907" i="2"/>
  <c r="S907" i="2"/>
  <c r="R907" i="2"/>
  <c r="Q907" i="2"/>
  <c r="P907" i="2"/>
  <c r="O907" i="2"/>
  <c r="N907" i="2"/>
  <c r="M907" i="2"/>
  <c r="L907" i="2"/>
  <c r="K907" i="2"/>
  <c r="J907" i="2"/>
  <c r="I907" i="2"/>
  <c r="H907" i="2"/>
  <c r="G907" i="2"/>
  <c r="F907" i="2"/>
  <c r="E907" i="2"/>
  <c r="D907" i="2"/>
  <c r="C907" i="2"/>
  <c r="B907" i="2"/>
  <c r="A907" i="2"/>
  <c r="AX906" i="2"/>
  <c r="AV906" i="2"/>
  <c r="AU906" i="2"/>
  <c r="AT906" i="2"/>
  <c r="AS906" i="2"/>
  <c r="AR906" i="2"/>
  <c r="AO906" i="2"/>
  <c r="AN906" i="2"/>
  <c r="AM906" i="2"/>
  <c r="AK906" i="2"/>
  <c r="AJ906" i="2"/>
  <c r="AI906" i="2"/>
  <c r="AH906" i="2"/>
  <c r="AG906" i="2"/>
  <c r="AE906" i="2"/>
  <c r="AC906" i="2"/>
  <c r="Z906" i="2"/>
  <c r="Y906" i="2"/>
  <c r="X906" i="2"/>
  <c r="W906" i="2"/>
  <c r="V906" i="2"/>
  <c r="U906" i="2"/>
  <c r="T906" i="2"/>
  <c r="S906" i="2"/>
  <c r="R906" i="2"/>
  <c r="Q906" i="2"/>
  <c r="P906" i="2"/>
  <c r="O906" i="2"/>
  <c r="N906" i="2"/>
  <c r="M906" i="2"/>
  <c r="L906" i="2"/>
  <c r="K906" i="2"/>
  <c r="J906" i="2"/>
  <c r="I906" i="2"/>
  <c r="H906" i="2"/>
  <c r="G906" i="2"/>
  <c r="F906" i="2"/>
  <c r="E906" i="2"/>
  <c r="D906" i="2"/>
  <c r="C906" i="2"/>
  <c r="B906" i="2"/>
  <c r="A906" i="2"/>
  <c r="AX905" i="2"/>
  <c r="AV905" i="2"/>
  <c r="AU905" i="2"/>
  <c r="AT905" i="2"/>
  <c r="AS905" i="2"/>
  <c r="AR905" i="2"/>
  <c r="AO905" i="2"/>
  <c r="AN905" i="2"/>
  <c r="AM905" i="2"/>
  <c r="AK905" i="2"/>
  <c r="AJ905" i="2"/>
  <c r="AI905" i="2"/>
  <c r="AH905" i="2"/>
  <c r="AG905" i="2"/>
  <c r="AD905" i="2"/>
  <c r="AC905" i="2"/>
  <c r="Z905" i="2"/>
  <c r="Y905" i="2"/>
  <c r="X905" i="2"/>
  <c r="W905" i="2"/>
  <c r="V905" i="2"/>
  <c r="U905" i="2"/>
  <c r="T905" i="2"/>
  <c r="S905" i="2"/>
  <c r="R905" i="2"/>
  <c r="Q905" i="2"/>
  <c r="P905" i="2"/>
  <c r="O905" i="2"/>
  <c r="N905" i="2"/>
  <c r="M905" i="2"/>
  <c r="L905" i="2"/>
  <c r="K905" i="2"/>
  <c r="J905" i="2"/>
  <c r="I905" i="2"/>
  <c r="H905" i="2"/>
  <c r="G905" i="2"/>
  <c r="F905" i="2"/>
  <c r="E905" i="2"/>
  <c r="D905" i="2"/>
  <c r="C905" i="2"/>
  <c r="B905" i="2"/>
  <c r="A905" i="2"/>
  <c r="AX904" i="2"/>
  <c r="AV904" i="2"/>
  <c r="AU904" i="2"/>
  <c r="AS904" i="2"/>
  <c r="AO904" i="2"/>
  <c r="AM904" i="2"/>
  <c r="AL904" i="2"/>
  <c r="AK904" i="2"/>
  <c r="AJ904" i="2"/>
  <c r="AI904" i="2"/>
  <c r="AH904" i="2"/>
  <c r="AG904" i="2"/>
  <c r="AE904" i="2"/>
  <c r="AD904" i="2"/>
  <c r="AC904" i="2"/>
  <c r="AA904" i="2"/>
  <c r="Z904" i="2"/>
  <c r="Y904" i="2"/>
  <c r="X904" i="2"/>
  <c r="U904" i="2"/>
  <c r="T904" i="2"/>
  <c r="S904" i="2"/>
  <c r="R904" i="2"/>
  <c r="Q904" i="2"/>
  <c r="P904" i="2"/>
  <c r="O904" i="2"/>
  <c r="N904" i="2"/>
  <c r="M904" i="2"/>
  <c r="L904" i="2"/>
  <c r="K904" i="2"/>
  <c r="J904" i="2"/>
  <c r="I904" i="2"/>
  <c r="H904" i="2"/>
  <c r="G904" i="2"/>
  <c r="F904" i="2"/>
  <c r="E904" i="2"/>
  <c r="D904" i="2"/>
  <c r="C904" i="2"/>
  <c r="B904" i="2"/>
  <c r="A904" i="2"/>
  <c r="AX903" i="2"/>
  <c r="AV903" i="2"/>
  <c r="AU903" i="2"/>
  <c r="AS903" i="2"/>
  <c r="AR903" i="2"/>
  <c r="AO903" i="2"/>
  <c r="AN903" i="2"/>
  <c r="AM903" i="2"/>
  <c r="AK903" i="2"/>
  <c r="AJ903" i="2"/>
  <c r="AI903" i="2"/>
  <c r="AH903" i="2"/>
  <c r="AG903" i="2"/>
  <c r="AE903" i="2"/>
  <c r="AD903" i="2"/>
  <c r="AC903" i="2"/>
  <c r="AA903" i="2"/>
  <c r="Z903" i="2"/>
  <c r="Y903" i="2"/>
  <c r="X903" i="2"/>
  <c r="W903" i="2"/>
  <c r="V903" i="2"/>
  <c r="U903" i="2"/>
  <c r="T903" i="2"/>
  <c r="S903" i="2"/>
  <c r="R903" i="2"/>
  <c r="Q903" i="2"/>
  <c r="P903" i="2"/>
  <c r="O903" i="2"/>
  <c r="N903" i="2"/>
  <c r="M903" i="2"/>
  <c r="L903" i="2"/>
  <c r="K903" i="2"/>
  <c r="J903" i="2"/>
  <c r="I903" i="2"/>
  <c r="H903" i="2"/>
  <c r="G903" i="2"/>
  <c r="F903" i="2"/>
  <c r="E903" i="2"/>
  <c r="D903" i="2"/>
  <c r="C903" i="2"/>
  <c r="B903" i="2"/>
  <c r="A903" i="2"/>
  <c r="AX902" i="2"/>
  <c r="AV902" i="2"/>
  <c r="AU902" i="2"/>
  <c r="AS902" i="2"/>
  <c r="AR902" i="2"/>
  <c r="AO902" i="2"/>
  <c r="AN902" i="2"/>
  <c r="AM902" i="2"/>
  <c r="AK902" i="2"/>
  <c r="AJ902" i="2"/>
  <c r="AI902" i="2"/>
  <c r="AH902" i="2"/>
  <c r="AG902" i="2"/>
  <c r="AE902" i="2"/>
  <c r="AD902" i="2"/>
  <c r="AC902" i="2"/>
  <c r="AA902" i="2"/>
  <c r="Z902" i="2"/>
  <c r="Y902" i="2"/>
  <c r="X902" i="2"/>
  <c r="W902" i="2"/>
  <c r="V902" i="2"/>
  <c r="U902" i="2"/>
  <c r="T902" i="2"/>
  <c r="S902" i="2"/>
  <c r="R902" i="2"/>
  <c r="Q902" i="2"/>
  <c r="P902" i="2"/>
  <c r="O902" i="2"/>
  <c r="N902" i="2"/>
  <c r="M902" i="2"/>
  <c r="L902" i="2"/>
  <c r="K902" i="2"/>
  <c r="J902" i="2"/>
  <c r="I902" i="2"/>
  <c r="H902" i="2"/>
  <c r="G902" i="2"/>
  <c r="F902" i="2"/>
  <c r="E902" i="2"/>
  <c r="D902" i="2"/>
  <c r="C902" i="2"/>
  <c r="B902" i="2"/>
  <c r="A902" i="2"/>
  <c r="AX901" i="2"/>
  <c r="AV901" i="2"/>
  <c r="AU901" i="2"/>
  <c r="AT901" i="2"/>
  <c r="AS901" i="2"/>
  <c r="AR901" i="2"/>
  <c r="AP901" i="2"/>
  <c r="AO901" i="2"/>
  <c r="AN901" i="2"/>
  <c r="AM901" i="2"/>
  <c r="AK901" i="2"/>
  <c r="AI901" i="2"/>
  <c r="AH901" i="2"/>
  <c r="AG901" i="2"/>
  <c r="AF901" i="2"/>
  <c r="AE901" i="2"/>
  <c r="AD901" i="2"/>
  <c r="AC901" i="2"/>
  <c r="AA901" i="2"/>
  <c r="Z901" i="2"/>
  <c r="Y901" i="2"/>
  <c r="X901" i="2"/>
  <c r="W901" i="2"/>
  <c r="V901" i="2"/>
  <c r="U901" i="2"/>
  <c r="T901" i="2"/>
  <c r="S901" i="2"/>
  <c r="R901" i="2"/>
  <c r="Q901" i="2"/>
  <c r="P901" i="2"/>
  <c r="O901" i="2"/>
  <c r="N901" i="2"/>
  <c r="M901" i="2"/>
  <c r="L901" i="2"/>
  <c r="K901" i="2"/>
  <c r="J901" i="2"/>
  <c r="I901" i="2"/>
  <c r="H901" i="2"/>
  <c r="G901" i="2"/>
  <c r="F901" i="2"/>
  <c r="E901" i="2"/>
  <c r="D901" i="2"/>
  <c r="C901" i="2"/>
  <c r="B901" i="2"/>
  <c r="A901" i="2"/>
  <c r="AX900" i="2"/>
  <c r="AV900" i="2"/>
  <c r="AU900" i="2"/>
  <c r="AS900" i="2"/>
  <c r="AR900" i="2"/>
  <c r="AO900" i="2"/>
  <c r="AN900" i="2"/>
  <c r="AM900" i="2"/>
  <c r="AK900" i="2"/>
  <c r="AJ900" i="2"/>
  <c r="AI900" i="2"/>
  <c r="AH900" i="2"/>
  <c r="AG900" i="2"/>
  <c r="AE900" i="2"/>
  <c r="AD900" i="2"/>
  <c r="AC900" i="2"/>
  <c r="AA900" i="2"/>
  <c r="Z900" i="2"/>
  <c r="Y900" i="2"/>
  <c r="X900" i="2"/>
  <c r="W900" i="2"/>
  <c r="V900" i="2"/>
  <c r="U900" i="2"/>
  <c r="T900" i="2"/>
  <c r="S900" i="2"/>
  <c r="R900" i="2"/>
  <c r="Q900" i="2"/>
  <c r="P900" i="2"/>
  <c r="O900" i="2"/>
  <c r="N900" i="2"/>
  <c r="M900" i="2"/>
  <c r="L900" i="2"/>
  <c r="K900" i="2"/>
  <c r="J900" i="2"/>
  <c r="I900" i="2"/>
  <c r="H900" i="2"/>
  <c r="G900" i="2"/>
  <c r="F900" i="2"/>
  <c r="E900" i="2"/>
  <c r="D900" i="2"/>
  <c r="C900" i="2"/>
  <c r="B900" i="2"/>
  <c r="A900" i="2"/>
  <c r="AX899" i="2"/>
  <c r="AV899" i="2"/>
  <c r="AU899" i="2"/>
  <c r="AS899" i="2"/>
  <c r="AR899" i="2"/>
  <c r="AO899" i="2"/>
  <c r="AN899" i="2"/>
  <c r="AM899" i="2"/>
  <c r="AK899" i="2"/>
  <c r="AI899" i="2"/>
  <c r="AH899" i="2"/>
  <c r="AG899" i="2"/>
  <c r="AF899" i="2"/>
  <c r="AE899" i="2"/>
  <c r="AD899" i="2"/>
  <c r="AC899" i="2"/>
  <c r="AA899" i="2"/>
  <c r="Z899" i="2"/>
  <c r="Y899" i="2"/>
  <c r="X899" i="2"/>
  <c r="W899" i="2"/>
  <c r="V899" i="2"/>
  <c r="U899" i="2"/>
  <c r="T899" i="2"/>
  <c r="S899" i="2"/>
  <c r="R899" i="2"/>
  <c r="Q899" i="2"/>
  <c r="P899" i="2"/>
  <c r="O899" i="2"/>
  <c r="N899" i="2"/>
  <c r="M899" i="2"/>
  <c r="L899" i="2"/>
  <c r="K899" i="2"/>
  <c r="J899" i="2"/>
  <c r="I899" i="2"/>
  <c r="H899" i="2"/>
  <c r="G899" i="2"/>
  <c r="F899" i="2"/>
  <c r="E899" i="2"/>
  <c r="D899" i="2"/>
  <c r="C899" i="2"/>
  <c r="B899" i="2"/>
  <c r="A899" i="2"/>
  <c r="AX898" i="2"/>
  <c r="AV898" i="2"/>
  <c r="AU898" i="2"/>
  <c r="AT898" i="2"/>
  <c r="AS898" i="2"/>
  <c r="AR898" i="2"/>
  <c r="AO898" i="2"/>
  <c r="AN898" i="2"/>
  <c r="AM898" i="2"/>
  <c r="AK898" i="2"/>
  <c r="AJ898" i="2"/>
  <c r="AI898" i="2"/>
  <c r="AH898" i="2"/>
  <c r="AG898" i="2"/>
  <c r="AF898" i="2"/>
  <c r="AE898" i="2"/>
  <c r="AC898" i="2"/>
  <c r="Z898" i="2"/>
  <c r="Y898" i="2"/>
  <c r="X898" i="2"/>
  <c r="W898" i="2"/>
  <c r="V898" i="2"/>
  <c r="U898" i="2"/>
  <c r="T898" i="2"/>
  <c r="S898" i="2"/>
  <c r="R898" i="2"/>
  <c r="Q898" i="2"/>
  <c r="P898" i="2"/>
  <c r="O898" i="2"/>
  <c r="N898" i="2"/>
  <c r="M898" i="2"/>
  <c r="L898" i="2"/>
  <c r="K898" i="2"/>
  <c r="J898" i="2"/>
  <c r="I898" i="2"/>
  <c r="H898" i="2"/>
  <c r="G898" i="2"/>
  <c r="F898" i="2"/>
  <c r="E898" i="2"/>
  <c r="D898" i="2"/>
  <c r="C898" i="2"/>
  <c r="B898" i="2"/>
  <c r="A898" i="2"/>
  <c r="AX897" i="2"/>
  <c r="AV897" i="2"/>
  <c r="AU897" i="2"/>
  <c r="AR897" i="2"/>
  <c r="AO897" i="2"/>
  <c r="AN897" i="2"/>
  <c r="AM897" i="2"/>
  <c r="AJ897" i="2"/>
  <c r="AI897" i="2"/>
  <c r="AH897" i="2"/>
  <c r="AG897" i="2"/>
  <c r="AE897" i="2"/>
  <c r="AC897" i="2"/>
  <c r="Z897" i="2"/>
  <c r="Y897" i="2"/>
  <c r="X897" i="2"/>
  <c r="W897" i="2"/>
  <c r="V897" i="2"/>
  <c r="U897" i="2"/>
  <c r="T897" i="2"/>
  <c r="S897" i="2"/>
  <c r="R897" i="2"/>
  <c r="Q897" i="2"/>
  <c r="P897" i="2"/>
  <c r="O897" i="2"/>
  <c r="N897" i="2"/>
  <c r="M897" i="2"/>
  <c r="L897" i="2"/>
  <c r="K897" i="2"/>
  <c r="J897" i="2"/>
  <c r="I897" i="2"/>
  <c r="H897" i="2"/>
  <c r="G897" i="2"/>
  <c r="F897" i="2"/>
  <c r="E897" i="2"/>
  <c r="D897" i="2"/>
  <c r="C897" i="2"/>
  <c r="B897" i="2"/>
  <c r="A897" i="2"/>
  <c r="AX896" i="2"/>
  <c r="AV896" i="2"/>
  <c r="AU896" i="2"/>
  <c r="AS896" i="2"/>
  <c r="AR896" i="2"/>
  <c r="AO896" i="2"/>
  <c r="AN896" i="2"/>
  <c r="AM896" i="2"/>
  <c r="AK896" i="2"/>
  <c r="AJ896" i="2"/>
  <c r="AI896" i="2"/>
  <c r="AH896" i="2"/>
  <c r="AG896" i="2"/>
  <c r="AE896" i="2"/>
  <c r="AD896" i="2"/>
  <c r="AC896" i="2"/>
  <c r="AA896" i="2"/>
  <c r="Z896" i="2"/>
  <c r="Y896" i="2"/>
  <c r="X896" i="2"/>
  <c r="W896" i="2"/>
  <c r="V896" i="2"/>
  <c r="U896" i="2"/>
  <c r="T896" i="2"/>
  <c r="S896" i="2"/>
  <c r="R896" i="2"/>
  <c r="Q896" i="2"/>
  <c r="P896" i="2"/>
  <c r="O896" i="2"/>
  <c r="N896" i="2"/>
  <c r="M896" i="2"/>
  <c r="L896" i="2"/>
  <c r="K896" i="2"/>
  <c r="J896" i="2"/>
  <c r="I896" i="2"/>
  <c r="H896" i="2"/>
  <c r="G896" i="2"/>
  <c r="F896" i="2"/>
  <c r="E896" i="2"/>
  <c r="D896" i="2"/>
  <c r="C896" i="2"/>
  <c r="B896" i="2"/>
  <c r="A896" i="2"/>
  <c r="AX895" i="2"/>
  <c r="AV895" i="2"/>
  <c r="AU895" i="2"/>
  <c r="AO895" i="2"/>
  <c r="AN895" i="2"/>
  <c r="AM895" i="2"/>
  <c r="AL895" i="2"/>
  <c r="AK895" i="2"/>
  <c r="AJ895" i="2"/>
  <c r="AI895" i="2"/>
  <c r="AH895" i="2"/>
  <c r="AG895" i="2"/>
  <c r="AE895" i="2"/>
  <c r="AD895" i="2"/>
  <c r="AC895" i="2"/>
  <c r="AA895" i="2"/>
  <c r="Z895" i="2"/>
  <c r="Y895" i="2"/>
  <c r="X895" i="2"/>
  <c r="W895" i="2"/>
  <c r="V895" i="2"/>
  <c r="U895" i="2"/>
  <c r="T895" i="2"/>
  <c r="S895" i="2"/>
  <c r="R895" i="2"/>
  <c r="Q895" i="2"/>
  <c r="P895" i="2"/>
  <c r="O895" i="2"/>
  <c r="N895" i="2"/>
  <c r="M895" i="2"/>
  <c r="L895" i="2"/>
  <c r="K895" i="2"/>
  <c r="J895" i="2"/>
  <c r="I895" i="2"/>
  <c r="H895" i="2"/>
  <c r="G895" i="2"/>
  <c r="F895" i="2"/>
  <c r="E895" i="2"/>
  <c r="D895" i="2"/>
  <c r="C895" i="2"/>
  <c r="B895" i="2"/>
  <c r="A895" i="2"/>
  <c r="AX894" i="2"/>
  <c r="AV894" i="2"/>
  <c r="AU894" i="2"/>
  <c r="AS894" i="2"/>
  <c r="AR894" i="2"/>
  <c r="AO894" i="2"/>
  <c r="AN894" i="2"/>
  <c r="AM894" i="2"/>
  <c r="AK894" i="2"/>
  <c r="AJ894" i="2"/>
  <c r="AI894" i="2"/>
  <c r="AH894" i="2"/>
  <c r="AG894" i="2"/>
  <c r="AF894" i="2"/>
  <c r="AE894" i="2"/>
  <c r="AD894" i="2"/>
  <c r="AC894" i="2"/>
  <c r="Z894" i="2"/>
  <c r="Y894" i="2"/>
  <c r="X894" i="2"/>
  <c r="W894" i="2"/>
  <c r="V894" i="2"/>
  <c r="U894" i="2"/>
  <c r="T894" i="2"/>
  <c r="S894" i="2"/>
  <c r="R894" i="2"/>
  <c r="Q894" i="2"/>
  <c r="P894" i="2"/>
  <c r="O894" i="2"/>
  <c r="N894" i="2"/>
  <c r="M894" i="2"/>
  <c r="L894" i="2"/>
  <c r="K894" i="2"/>
  <c r="J894" i="2"/>
  <c r="I894" i="2"/>
  <c r="H894" i="2"/>
  <c r="G894" i="2"/>
  <c r="F894" i="2"/>
  <c r="E894" i="2"/>
  <c r="D894" i="2"/>
  <c r="C894" i="2"/>
  <c r="B894" i="2"/>
  <c r="A894" i="2"/>
  <c r="AX893" i="2"/>
  <c r="AV893" i="2"/>
  <c r="AU893" i="2"/>
  <c r="AT893" i="2"/>
  <c r="AR893" i="2"/>
  <c r="AO893" i="2"/>
  <c r="AN893" i="2"/>
  <c r="AM893" i="2"/>
  <c r="AK893" i="2"/>
  <c r="AI893" i="2"/>
  <c r="AH893" i="2"/>
  <c r="AG893" i="2"/>
  <c r="AF893" i="2"/>
  <c r="AE893" i="2"/>
  <c r="AD893" i="2"/>
  <c r="AC893" i="2"/>
  <c r="AA893" i="2"/>
  <c r="Z893" i="2"/>
  <c r="Y893" i="2"/>
  <c r="X893" i="2"/>
  <c r="W893" i="2"/>
  <c r="V893" i="2"/>
  <c r="U893" i="2"/>
  <c r="T893" i="2"/>
  <c r="S893" i="2"/>
  <c r="R893" i="2"/>
  <c r="Q893" i="2"/>
  <c r="P893" i="2"/>
  <c r="O893" i="2"/>
  <c r="N893" i="2"/>
  <c r="M893" i="2"/>
  <c r="L893" i="2"/>
  <c r="K893" i="2"/>
  <c r="J893" i="2"/>
  <c r="I893" i="2"/>
  <c r="H893" i="2"/>
  <c r="G893" i="2"/>
  <c r="F893" i="2"/>
  <c r="E893" i="2"/>
  <c r="D893" i="2"/>
  <c r="C893" i="2"/>
  <c r="B893" i="2"/>
  <c r="A893" i="2"/>
  <c r="AX892" i="2"/>
  <c r="AV892" i="2"/>
  <c r="AU892" i="2"/>
  <c r="AS892" i="2"/>
  <c r="AO892" i="2"/>
  <c r="AN892" i="2"/>
  <c r="AM892" i="2"/>
  <c r="AL892" i="2"/>
  <c r="AK892" i="2"/>
  <c r="AJ892" i="2"/>
  <c r="AI892" i="2"/>
  <c r="AH892" i="2"/>
  <c r="AG892" i="2"/>
  <c r="AE892" i="2"/>
  <c r="AD892" i="2"/>
  <c r="AC892" i="2"/>
  <c r="AA892" i="2"/>
  <c r="Z892" i="2"/>
  <c r="Y892" i="2"/>
  <c r="X892" i="2"/>
  <c r="W892" i="2"/>
  <c r="V892" i="2"/>
  <c r="U892" i="2"/>
  <c r="T892" i="2"/>
  <c r="S892" i="2"/>
  <c r="R892" i="2"/>
  <c r="Q892" i="2"/>
  <c r="P892" i="2"/>
  <c r="O892" i="2"/>
  <c r="N892" i="2"/>
  <c r="M892" i="2"/>
  <c r="L892" i="2"/>
  <c r="K892" i="2"/>
  <c r="J892" i="2"/>
  <c r="I892" i="2"/>
  <c r="H892" i="2"/>
  <c r="G892" i="2"/>
  <c r="F892" i="2"/>
  <c r="E892" i="2"/>
  <c r="D892" i="2"/>
  <c r="C892" i="2"/>
  <c r="B892" i="2"/>
  <c r="A892" i="2"/>
  <c r="AX891" i="2"/>
  <c r="AV891" i="2"/>
  <c r="AU891" i="2"/>
  <c r="AR891" i="2"/>
  <c r="AO891" i="2"/>
  <c r="AN891" i="2"/>
  <c r="AM891" i="2"/>
  <c r="AK891" i="2"/>
  <c r="AJ891" i="2"/>
  <c r="AI891" i="2"/>
  <c r="AH891" i="2"/>
  <c r="AG891" i="2"/>
  <c r="AD891" i="2"/>
  <c r="AC891" i="2"/>
  <c r="Z891" i="2"/>
  <c r="Y891" i="2"/>
  <c r="X891" i="2"/>
  <c r="W891" i="2"/>
  <c r="V891" i="2"/>
  <c r="U891" i="2"/>
  <c r="T891" i="2"/>
  <c r="S891" i="2"/>
  <c r="R891" i="2"/>
  <c r="Q891" i="2"/>
  <c r="P891" i="2"/>
  <c r="O891" i="2"/>
  <c r="N891" i="2"/>
  <c r="M891" i="2"/>
  <c r="L891" i="2"/>
  <c r="K891" i="2"/>
  <c r="J891" i="2"/>
  <c r="I891" i="2"/>
  <c r="H891" i="2"/>
  <c r="G891" i="2"/>
  <c r="F891" i="2"/>
  <c r="E891" i="2"/>
  <c r="D891" i="2"/>
  <c r="C891" i="2"/>
  <c r="B891" i="2"/>
  <c r="A891" i="2"/>
  <c r="AX890" i="2"/>
  <c r="AV890" i="2"/>
  <c r="AU890" i="2"/>
  <c r="AS890" i="2"/>
  <c r="AR890" i="2"/>
  <c r="AQ890" i="2"/>
  <c r="AO890" i="2"/>
  <c r="AN890" i="2"/>
  <c r="AM890" i="2"/>
  <c r="AK890" i="2"/>
  <c r="AJ890" i="2"/>
  <c r="AI890" i="2"/>
  <c r="AH890" i="2"/>
  <c r="AG890" i="2"/>
  <c r="AF890" i="2"/>
  <c r="AE890" i="2"/>
  <c r="AD890" i="2"/>
  <c r="AC890" i="2"/>
  <c r="AA890" i="2"/>
  <c r="Z890" i="2"/>
  <c r="Y890" i="2"/>
  <c r="X890" i="2"/>
  <c r="W890" i="2"/>
  <c r="V890" i="2"/>
  <c r="U890" i="2"/>
  <c r="T890" i="2"/>
  <c r="S890" i="2"/>
  <c r="R890" i="2"/>
  <c r="Q890" i="2"/>
  <c r="P890" i="2"/>
  <c r="O890" i="2"/>
  <c r="N890" i="2"/>
  <c r="M890" i="2"/>
  <c r="L890" i="2"/>
  <c r="K890" i="2"/>
  <c r="J890" i="2"/>
  <c r="I890" i="2"/>
  <c r="H890" i="2"/>
  <c r="G890" i="2"/>
  <c r="F890" i="2"/>
  <c r="E890" i="2"/>
  <c r="D890" i="2"/>
  <c r="C890" i="2"/>
  <c r="B890" i="2"/>
  <c r="A890" i="2"/>
  <c r="AX889" i="2"/>
  <c r="AV889" i="2"/>
  <c r="AU889" i="2"/>
  <c r="AS889" i="2"/>
  <c r="AR889" i="2"/>
  <c r="AQ889" i="2"/>
  <c r="AO889" i="2"/>
  <c r="AN889" i="2"/>
  <c r="AM889" i="2"/>
  <c r="AK889" i="2"/>
  <c r="AJ889" i="2"/>
  <c r="AI889" i="2"/>
  <c r="AH889" i="2"/>
  <c r="AG889" i="2"/>
  <c r="AD889" i="2"/>
  <c r="AC889" i="2"/>
  <c r="AA889" i="2"/>
  <c r="Z889" i="2"/>
  <c r="Y889" i="2"/>
  <c r="X889" i="2"/>
  <c r="W889" i="2"/>
  <c r="V889" i="2"/>
  <c r="U889" i="2"/>
  <c r="T889" i="2"/>
  <c r="S889" i="2"/>
  <c r="R889" i="2"/>
  <c r="Q889" i="2"/>
  <c r="P889" i="2"/>
  <c r="O889" i="2"/>
  <c r="N889" i="2"/>
  <c r="M889" i="2"/>
  <c r="L889" i="2"/>
  <c r="K889" i="2"/>
  <c r="J889" i="2"/>
  <c r="I889" i="2"/>
  <c r="H889" i="2"/>
  <c r="G889" i="2"/>
  <c r="F889" i="2"/>
  <c r="E889" i="2"/>
  <c r="D889" i="2"/>
  <c r="C889" i="2"/>
  <c r="B889" i="2"/>
  <c r="A889" i="2"/>
  <c r="AX888" i="2"/>
  <c r="AV888" i="2"/>
  <c r="AU888" i="2"/>
  <c r="AS888" i="2"/>
  <c r="AR888" i="2"/>
  <c r="AO888" i="2"/>
  <c r="AN888" i="2"/>
  <c r="AM888" i="2"/>
  <c r="AL888" i="2"/>
  <c r="AK888" i="2"/>
  <c r="AJ888" i="2"/>
  <c r="AI888" i="2"/>
  <c r="AH888" i="2"/>
  <c r="AG888" i="2"/>
  <c r="AE888" i="2"/>
  <c r="AD888" i="2"/>
  <c r="AC888" i="2"/>
  <c r="AA888" i="2"/>
  <c r="Z888" i="2"/>
  <c r="Y888" i="2"/>
  <c r="X888" i="2"/>
  <c r="W888" i="2"/>
  <c r="V888" i="2"/>
  <c r="U888" i="2"/>
  <c r="T888" i="2"/>
  <c r="S888" i="2"/>
  <c r="R888" i="2"/>
  <c r="Q888" i="2"/>
  <c r="P888" i="2"/>
  <c r="O888" i="2"/>
  <c r="N888" i="2"/>
  <c r="M888" i="2"/>
  <c r="L888" i="2"/>
  <c r="K888" i="2"/>
  <c r="J888" i="2"/>
  <c r="I888" i="2"/>
  <c r="H888" i="2"/>
  <c r="G888" i="2"/>
  <c r="F888" i="2"/>
  <c r="E888" i="2"/>
  <c r="D888" i="2"/>
  <c r="C888" i="2"/>
  <c r="B888" i="2"/>
  <c r="A888" i="2"/>
  <c r="AX887" i="2"/>
  <c r="AV887" i="2"/>
  <c r="AU887" i="2"/>
  <c r="AS887" i="2"/>
  <c r="AR887" i="2"/>
  <c r="AO887" i="2"/>
  <c r="AN887" i="2"/>
  <c r="AM887" i="2"/>
  <c r="AJ887" i="2"/>
  <c r="AI887" i="2"/>
  <c r="AH887" i="2"/>
  <c r="AG887" i="2"/>
  <c r="AE887" i="2"/>
  <c r="AD887" i="2"/>
  <c r="AC887" i="2"/>
  <c r="Z887" i="2"/>
  <c r="Y887" i="2"/>
  <c r="X887" i="2"/>
  <c r="W887" i="2"/>
  <c r="V887" i="2"/>
  <c r="U887" i="2"/>
  <c r="T887" i="2"/>
  <c r="S887" i="2"/>
  <c r="R887" i="2"/>
  <c r="Q887" i="2"/>
  <c r="P887" i="2"/>
  <c r="O887" i="2"/>
  <c r="N887" i="2"/>
  <c r="M887" i="2"/>
  <c r="L887" i="2"/>
  <c r="K887" i="2"/>
  <c r="J887" i="2"/>
  <c r="I887" i="2"/>
  <c r="H887" i="2"/>
  <c r="G887" i="2"/>
  <c r="F887" i="2"/>
  <c r="E887" i="2"/>
  <c r="D887" i="2"/>
  <c r="C887" i="2"/>
  <c r="B887" i="2"/>
  <c r="A887" i="2"/>
  <c r="AX886" i="2"/>
  <c r="AV886" i="2"/>
  <c r="AU886" i="2"/>
  <c r="AS886" i="2"/>
  <c r="AR886" i="2"/>
  <c r="AO886" i="2"/>
  <c r="AN886" i="2"/>
  <c r="AM886" i="2"/>
  <c r="AL886" i="2"/>
  <c r="AK886" i="2"/>
  <c r="AJ886" i="2"/>
  <c r="AI886" i="2"/>
  <c r="AH886" i="2"/>
  <c r="AG886" i="2"/>
  <c r="AD886" i="2"/>
  <c r="AC886" i="2"/>
  <c r="AA886" i="2"/>
  <c r="Z886" i="2"/>
  <c r="Y886" i="2"/>
  <c r="X886" i="2"/>
  <c r="W886" i="2"/>
  <c r="V886" i="2"/>
  <c r="U886" i="2"/>
  <c r="T886" i="2"/>
  <c r="S886" i="2"/>
  <c r="R886" i="2"/>
  <c r="Q886" i="2"/>
  <c r="P886" i="2"/>
  <c r="O886" i="2"/>
  <c r="N886" i="2"/>
  <c r="M886" i="2"/>
  <c r="L886" i="2"/>
  <c r="K886" i="2"/>
  <c r="J886" i="2"/>
  <c r="I886" i="2"/>
  <c r="H886" i="2"/>
  <c r="G886" i="2"/>
  <c r="F886" i="2"/>
  <c r="E886" i="2"/>
  <c r="D886" i="2"/>
  <c r="C886" i="2"/>
  <c r="B886" i="2"/>
  <c r="A886" i="2"/>
  <c r="AX885" i="2"/>
  <c r="AV885" i="2"/>
  <c r="AU885" i="2"/>
  <c r="AS885" i="2"/>
  <c r="AP885" i="2"/>
  <c r="AO885" i="2"/>
  <c r="AN885" i="2"/>
  <c r="AM885" i="2"/>
  <c r="AL885" i="2"/>
  <c r="AK885" i="2"/>
  <c r="AJ885" i="2"/>
  <c r="AI885" i="2"/>
  <c r="AH885" i="2"/>
  <c r="AG885" i="2"/>
  <c r="AE885" i="2"/>
  <c r="AD885" i="2"/>
  <c r="AC885" i="2"/>
  <c r="AA885" i="2"/>
  <c r="Z885" i="2"/>
  <c r="Y885" i="2"/>
  <c r="X885" i="2"/>
  <c r="W885" i="2"/>
  <c r="V885" i="2"/>
  <c r="U885" i="2"/>
  <c r="T885" i="2"/>
  <c r="S885" i="2"/>
  <c r="R885" i="2"/>
  <c r="Q885" i="2"/>
  <c r="P885" i="2"/>
  <c r="O885" i="2"/>
  <c r="N885" i="2"/>
  <c r="M885" i="2"/>
  <c r="L885" i="2"/>
  <c r="K885" i="2"/>
  <c r="J885" i="2"/>
  <c r="I885" i="2"/>
  <c r="H885" i="2"/>
  <c r="G885" i="2"/>
  <c r="F885" i="2"/>
  <c r="E885" i="2"/>
  <c r="D885" i="2"/>
  <c r="C885" i="2"/>
  <c r="B885" i="2"/>
  <c r="A885" i="2"/>
  <c r="AX884" i="2"/>
  <c r="AV884" i="2"/>
  <c r="AU884" i="2"/>
  <c r="AT884" i="2"/>
  <c r="AS884" i="2"/>
  <c r="AR884" i="2"/>
  <c r="AO884" i="2"/>
  <c r="AN884" i="2"/>
  <c r="AM884" i="2"/>
  <c r="AK884" i="2"/>
  <c r="AJ884" i="2"/>
  <c r="AI884" i="2"/>
  <c r="AH884" i="2"/>
  <c r="AG884" i="2"/>
  <c r="AC884" i="2"/>
  <c r="Z884" i="2"/>
  <c r="Y884" i="2"/>
  <c r="X884" i="2"/>
  <c r="W884" i="2"/>
  <c r="V884" i="2"/>
  <c r="U884" i="2"/>
  <c r="T884" i="2"/>
  <c r="S884" i="2"/>
  <c r="R884" i="2"/>
  <c r="Q884" i="2"/>
  <c r="P884" i="2"/>
  <c r="O884" i="2"/>
  <c r="N884" i="2"/>
  <c r="M884" i="2"/>
  <c r="L884" i="2"/>
  <c r="K884" i="2"/>
  <c r="J884" i="2"/>
  <c r="I884" i="2"/>
  <c r="H884" i="2"/>
  <c r="G884" i="2"/>
  <c r="F884" i="2"/>
  <c r="E884" i="2"/>
  <c r="D884" i="2"/>
  <c r="C884" i="2"/>
  <c r="B884" i="2"/>
  <c r="A884" i="2"/>
  <c r="AX883" i="2"/>
  <c r="AV883" i="2"/>
  <c r="AU883" i="2"/>
  <c r="AS883" i="2"/>
  <c r="AR883" i="2"/>
  <c r="AP883" i="2"/>
  <c r="AO883" i="2"/>
  <c r="AN883" i="2"/>
  <c r="AM883" i="2"/>
  <c r="AK883" i="2"/>
  <c r="AJ883" i="2"/>
  <c r="AI883" i="2"/>
  <c r="AH883" i="2"/>
  <c r="AG883" i="2"/>
  <c r="AF883" i="2"/>
  <c r="AE883" i="2"/>
  <c r="AC883" i="2"/>
  <c r="Z883" i="2"/>
  <c r="Y883" i="2"/>
  <c r="X883" i="2"/>
  <c r="W883" i="2"/>
  <c r="V883" i="2"/>
  <c r="U883" i="2"/>
  <c r="T883" i="2"/>
  <c r="S883" i="2"/>
  <c r="R883" i="2"/>
  <c r="Q883" i="2"/>
  <c r="P883" i="2"/>
  <c r="O883" i="2"/>
  <c r="N883" i="2"/>
  <c r="M883" i="2"/>
  <c r="L883" i="2"/>
  <c r="K883" i="2"/>
  <c r="J883" i="2"/>
  <c r="I883" i="2"/>
  <c r="H883" i="2"/>
  <c r="G883" i="2"/>
  <c r="F883" i="2"/>
  <c r="E883" i="2"/>
  <c r="D883" i="2"/>
  <c r="C883" i="2"/>
  <c r="B883" i="2"/>
  <c r="A883" i="2"/>
  <c r="AX882" i="2"/>
  <c r="AV882" i="2"/>
  <c r="AU882" i="2"/>
  <c r="AS882" i="2"/>
  <c r="AR882" i="2"/>
  <c r="AO882" i="2"/>
  <c r="AN882" i="2"/>
  <c r="AM882" i="2"/>
  <c r="AK882" i="2"/>
  <c r="AJ882" i="2"/>
  <c r="AI882" i="2"/>
  <c r="AH882" i="2"/>
  <c r="AG882" i="2"/>
  <c r="AC882" i="2"/>
  <c r="Z882" i="2"/>
  <c r="Y882" i="2"/>
  <c r="X882" i="2"/>
  <c r="W882" i="2"/>
  <c r="V882" i="2"/>
  <c r="U882" i="2"/>
  <c r="T882" i="2"/>
  <c r="S882" i="2"/>
  <c r="R882" i="2"/>
  <c r="Q882" i="2"/>
  <c r="P882" i="2"/>
  <c r="O882" i="2"/>
  <c r="N882" i="2"/>
  <c r="M882" i="2"/>
  <c r="L882" i="2"/>
  <c r="K882" i="2"/>
  <c r="J882" i="2"/>
  <c r="I882" i="2"/>
  <c r="H882" i="2"/>
  <c r="G882" i="2"/>
  <c r="F882" i="2"/>
  <c r="E882" i="2"/>
  <c r="D882" i="2"/>
  <c r="C882" i="2"/>
  <c r="B882" i="2"/>
  <c r="A882" i="2"/>
  <c r="AX881" i="2"/>
  <c r="AV881" i="2"/>
  <c r="AU881" i="2"/>
  <c r="AS881" i="2"/>
  <c r="AR881" i="2"/>
  <c r="AQ881" i="2"/>
  <c r="AP881" i="2"/>
  <c r="AO881" i="2"/>
  <c r="AN881" i="2"/>
  <c r="AM881" i="2"/>
  <c r="AK881" i="2"/>
  <c r="AJ881" i="2"/>
  <c r="AI881" i="2"/>
  <c r="AH881" i="2"/>
  <c r="AG881" i="2"/>
  <c r="AF881" i="2"/>
  <c r="AE881" i="2"/>
  <c r="AD881" i="2"/>
  <c r="AC881" i="2"/>
  <c r="AA881" i="2"/>
  <c r="Z881" i="2"/>
  <c r="Y881" i="2"/>
  <c r="X881" i="2"/>
  <c r="W881" i="2"/>
  <c r="V881" i="2"/>
  <c r="U881" i="2"/>
  <c r="T881" i="2"/>
  <c r="S881" i="2"/>
  <c r="R881" i="2"/>
  <c r="Q881" i="2"/>
  <c r="P881" i="2"/>
  <c r="O881" i="2"/>
  <c r="N881" i="2"/>
  <c r="M881" i="2"/>
  <c r="L881" i="2"/>
  <c r="K881" i="2"/>
  <c r="J881" i="2"/>
  <c r="I881" i="2"/>
  <c r="H881" i="2"/>
  <c r="G881" i="2"/>
  <c r="F881" i="2"/>
  <c r="E881" i="2"/>
  <c r="D881" i="2"/>
  <c r="C881" i="2"/>
  <c r="B881" i="2"/>
  <c r="A881" i="2"/>
  <c r="AX880" i="2"/>
  <c r="AV880" i="2"/>
  <c r="AU880" i="2"/>
  <c r="AS880" i="2"/>
  <c r="AR880" i="2"/>
  <c r="AO880" i="2"/>
  <c r="AN880" i="2"/>
  <c r="AM880" i="2"/>
  <c r="AK880" i="2"/>
  <c r="AJ880" i="2"/>
  <c r="AI880" i="2"/>
  <c r="AH880" i="2"/>
  <c r="AG880" i="2"/>
  <c r="AE880" i="2"/>
  <c r="AD880" i="2"/>
  <c r="AC880" i="2"/>
  <c r="AA880" i="2"/>
  <c r="Z880" i="2"/>
  <c r="Y880" i="2"/>
  <c r="X880" i="2"/>
  <c r="W880" i="2"/>
  <c r="V880" i="2"/>
  <c r="U880" i="2"/>
  <c r="T880" i="2"/>
  <c r="S880" i="2"/>
  <c r="R880" i="2"/>
  <c r="Q880" i="2"/>
  <c r="P880" i="2"/>
  <c r="O880" i="2"/>
  <c r="N880" i="2"/>
  <c r="M880" i="2"/>
  <c r="L880" i="2"/>
  <c r="K880" i="2"/>
  <c r="J880" i="2"/>
  <c r="I880" i="2"/>
  <c r="H880" i="2"/>
  <c r="G880" i="2"/>
  <c r="F880" i="2"/>
  <c r="E880" i="2"/>
  <c r="D880" i="2"/>
  <c r="C880" i="2"/>
  <c r="B880" i="2"/>
  <c r="A880" i="2"/>
  <c r="AX879" i="2"/>
  <c r="AV879" i="2"/>
  <c r="AU879" i="2"/>
  <c r="AS879" i="2"/>
  <c r="AR879" i="2"/>
  <c r="AO879" i="2"/>
  <c r="AN879" i="2"/>
  <c r="AM879" i="2"/>
  <c r="AK879" i="2"/>
  <c r="AJ879" i="2"/>
  <c r="AI879" i="2"/>
  <c r="AH879" i="2"/>
  <c r="AG879" i="2"/>
  <c r="AE879" i="2"/>
  <c r="AD879" i="2"/>
  <c r="AC879" i="2"/>
  <c r="AA879" i="2"/>
  <c r="Z879" i="2"/>
  <c r="Y879" i="2"/>
  <c r="X879" i="2"/>
  <c r="W879" i="2"/>
  <c r="V879" i="2"/>
  <c r="U879" i="2"/>
  <c r="T879" i="2"/>
  <c r="S879" i="2"/>
  <c r="R879" i="2"/>
  <c r="Q879" i="2"/>
  <c r="P879" i="2"/>
  <c r="O879" i="2"/>
  <c r="N879" i="2"/>
  <c r="M879" i="2"/>
  <c r="L879" i="2"/>
  <c r="K879" i="2"/>
  <c r="J879" i="2"/>
  <c r="I879" i="2"/>
  <c r="H879" i="2"/>
  <c r="G879" i="2"/>
  <c r="F879" i="2"/>
  <c r="E879" i="2"/>
  <c r="D879" i="2"/>
  <c r="C879" i="2"/>
  <c r="B879" i="2"/>
  <c r="A879" i="2"/>
  <c r="AX878" i="2"/>
  <c r="AV878" i="2"/>
  <c r="AU878" i="2"/>
  <c r="AS878" i="2"/>
  <c r="AR878" i="2"/>
  <c r="AO878" i="2"/>
  <c r="AN878" i="2"/>
  <c r="AM878" i="2"/>
  <c r="AK878" i="2"/>
  <c r="AJ878" i="2"/>
  <c r="AI878" i="2"/>
  <c r="AH878" i="2"/>
  <c r="AG878" i="2"/>
  <c r="AD878" i="2"/>
  <c r="AC878" i="2"/>
  <c r="AA878" i="2"/>
  <c r="Z878" i="2"/>
  <c r="Y878" i="2"/>
  <c r="X878" i="2"/>
  <c r="W878" i="2"/>
  <c r="V878" i="2"/>
  <c r="U878" i="2"/>
  <c r="T878" i="2"/>
  <c r="S878" i="2"/>
  <c r="R878" i="2"/>
  <c r="Q878" i="2"/>
  <c r="P878" i="2"/>
  <c r="O878" i="2"/>
  <c r="N878" i="2"/>
  <c r="M878" i="2"/>
  <c r="L878" i="2"/>
  <c r="K878" i="2"/>
  <c r="J878" i="2"/>
  <c r="I878" i="2"/>
  <c r="H878" i="2"/>
  <c r="G878" i="2"/>
  <c r="F878" i="2"/>
  <c r="E878" i="2"/>
  <c r="D878" i="2"/>
  <c r="C878" i="2"/>
  <c r="B878" i="2"/>
  <c r="A878" i="2"/>
  <c r="AX877" i="2"/>
  <c r="AV877" i="2"/>
  <c r="AU877" i="2"/>
  <c r="AS877" i="2"/>
  <c r="AO877" i="2"/>
  <c r="AM877" i="2"/>
  <c r="AK877" i="2"/>
  <c r="AI877" i="2"/>
  <c r="AH877" i="2"/>
  <c r="AG877" i="2"/>
  <c r="AC877" i="2"/>
  <c r="AA877" i="2"/>
  <c r="Z877" i="2"/>
  <c r="Y877" i="2"/>
  <c r="X877" i="2"/>
  <c r="W877" i="2"/>
  <c r="V877" i="2"/>
  <c r="U877" i="2"/>
  <c r="T877" i="2"/>
  <c r="S877" i="2"/>
  <c r="R877" i="2"/>
  <c r="Q877" i="2"/>
  <c r="P877" i="2"/>
  <c r="O877" i="2"/>
  <c r="N877" i="2"/>
  <c r="M877" i="2"/>
  <c r="L877" i="2"/>
  <c r="K877" i="2"/>
  <c r="J877" i="2"/>
  <c r="I877" i="2"/>
  <c r="H877" i="2"/>
  <c r="G877" i="2"/>
  <c r="F877" i="2"/>
  <c r="E877" i="2"/>
  <c r="D877" i="2"/>
  <c r="C877" i="2"/>
  <c r="B877" i="2"/>
  <c r="A877" i="2"/>
  <c r="AX876" i="2"/>
  <c r="AV876" i="2"/>
  <c r="AU876" i="2"/>
  <c r="AS876" i="2"/>
  <c r="AR876" i="2"/>
  <c r="AO876" i="2"/>
  <c r="AN876" i="2"/>
  <c r="AM876" i="2"/>
  <c r="AI876" i="2"/>
  <c r="AH876" i="2"/>
  <c r="AG876" i="2"/>
  <c r="AE876" i="2"/>
  <c r="AC876" i="2"/>
  <c r="Z876" i="2"/>
  <c r="Y876" i="2"/>
  <c r="X876" i="2"/>
  <c r="W876" i="2"/>
  <c r="V876" i="2"/>
  <c r="U876" i="2"/>
  <c r="T876" i="2"/>
  <c r="S876" i="2"/>
  <c r="R876" i="2"/>
  <c r="Q876" i="2"/>
  <c r="P876" i="2"/>
  <c r="O876" i="2"/>
  <c r="N876" i="2"/>
  <c r="M876" i="2"/>
  <c r="L876" i="2"/>
  <c r="K876" i="2"/>
  <c r="J876" i="2"/>
  <c r="I876" i="2"/>
  <c r="H876" i="2"/>
  <c r="G876" i="2"/>
  <c r="F876" i="2"/>
  <c r="E876" i="2"/>
  <c r="D876" i="2"/>
  <c r="C876" i="2"/>
  <c r="B876" i="2"/>
  <c r="A876" i="2"/>
  <c r="AX875" i="2"/>
  <c r="AV875" i="2"/>
  <c r="AU875" i="2"/>
  <c r="AS875" i="2"/>
  <c r="AR875" i="2"/>
  <c r="AO875" i="2"/>
  <c r="AN875" i="2"/>
  <c r="AM875" i="2"/>
  <c r="AK875" i="2"/>
  <c r="AJ875" i="2"/>
  <c r="AI875" i="2"/>
  <c r="AH875" i="2"/>
  <c r="AG875" i="2"/>
  <c r="AE875" i="2"/>
  <c r="AC875" i="2"/>
  <c r="Z875" i="2"/>
  <c r="Y875" i="2"/>
  <c r="X875" i="2"/>
  <c r="W875" i="2"/>
  <c r="V875" i="2"/>
  <c r="U875" i="2"/>
  <c r="T875" i="2"/>
  <c r="S875" i="2"/>
  <c r="R875" i="2"/>
  <c r="Q875" i="2"/>
  <c r="P875" i="2"/>
  <c r="O875" i="2"/>
  <c r="N875" i="2"/>
  <c r="M875" i="2"/>
  <c r="L875" i="2"/>
  <c r="K875" i="2"/>
  <c r="J875" i="2"/>
  <c r="I875" i="2"/>
  <c r="H875" i="2"/>
  <c r="G875" i="2"/>
  <c r="F875" i="2"/>
  <c r="E875" i="2"/>
  <c r="D875" i="2"/>
  <c r="C875" i="2"/>
  <c r="B875" i="2"/>
  <c r="A875" i="2"/>
  <c r="AX874" i="2"/>
  <c r="AV874" i="2"/>
  <c r="AU874" i="2"/>
  <c r="AS874" i="2"/>
  <c r="AR874" i="2"/>
  <c r="AP874" i="2"/>
  <c r="AN874" i="2"/>
  <c r="AL874" i="2"/>
  <c r="AK874" i="2"/>
  <c r="AI874" i="2"/>
  <c r="AH874" i="2"/>
  <c r="AG874" i="2"/>
  <c r="AE874" i="2"/>
  <c r="AC874" i="2"/>
  <c r="Z874" i="2"/>
  <c r="Y874" i="2"/>
  <c r="X874" i="2"/>
  <c r="W874" i="2"/>
  <c r="V874" i="2"/>
  <c r="U874" i="2"/>
  <c r="T874" i="2"/>
  <c r="S874" i="2"/>
  <c r="R874" i="2"/>
  <c r="Q874" i="2"/>
  <c r="P874" i="2"/>
  <c r="O874" i="2"/>
  <c r="N874" i="2"/>
  <c r="M874" i="2"/>
  <c r="L874" i="2"/>
  <c r="K874" i="2"/>
  <c r="J874" i="2"/>
  <c r="I874" i="2"/>
  <c r="H874" i="2"/>
  <c r="G874" i="2"/>
  <c r="F874" i="2"/>
  <c r="E874" i="2"/>
  <c r="D874" i="2"/>
  <c r="C874" i="2"/>
  <c r="B874" i="2"/>
  <c r="A874" i="2"/>
  <c r="AX873" i="2"/>
  <c r="AV873" i="2"/>
  <c r="AU873" i="2"/>
  <c r="AS873" i="2"/>
  <c r="AR873" i="2"/>
  <c r="AO873" i="2"/>
  <c r="AN873" i="2"/>
  <c r="AM873" i="2"/>
  <c r="AL873" i="2"/>
  <c r="AK873" i="2"/>
  <c r="AJ873" i="2"/>
  <c r="AI873" i="2"/>
  <c r="AH873" i="2"/>
  <c r="AG873" i="2"/>
  <c r="AF873" i="2"/>
  <c r="AE873" i="2"/>
  <c r="AC873" i="2"/>
  <c r="AA873" i="2"/>
  <c r="Z873" i="2"/>
  <c r="Y873" i="2"/>
  <c r="X873" i="2"/>
  <c r="W873" i="2"/>
  <c r="V873" i="2"/>
  <c r="U873" i="2"/>
  <c r="T873" i="2"/>
  <c r="S873" i="2"/>
  <c r="R873" i="2"/>
  <c r="Q873" i="2"/>
  <c r="P873" i="2"/>
  <c r="O873" i="2"/>
  <c r="N873" i="2"/>
  <c r="M873" i="2"/>
  <c r="L873" i="2"/>
  <c r="K873" i="2"/>
  <c r="J873" i="2"/>
  <c r="I873" i="2"/>
  <c r="H873" i="2"/>
  <c r="G873" i="2"/>
  <c r="F873" i="2"/>
  <c r="E873" i="2"/>
  <c r="D873" i="2"/>
  <c r="C873" i="2"/>
  <c r="B873" i="2"/>
  <c r="A873" i="2"/>
  <c r="AX872" i="2"/>
  <c r="AV872" i="2"/>
  <c r="AU872" i="2"/>
  <c r="AS872" i="2"/>
  <c r="AR872" i="2"/>
  <c r="AP872" i="2"/>
  <c r="AO872" i="2"/>
  <c r="AN872" i="2"/>
  <c r="AM872" i="2"/>
  <c r="AL872" i="2"/>
  <c r="AK872" i="2"/>
  <c r="AJ872" i="2"/>
  <c r="AI872" i="2"/>
  <c r="AH872" i="2"/>
  <c r="AG872" i="2"/>
  <c r="AE872" i="2"/>
  <c r="AD872" i="2"/>
  <c r="AC872" i="2"/>
  <c r="AA872" i="2"/>
  <c r="Z872" i="2"/>
  <c r="Y872" i="2"/>
  <c r="X872" i="2"/>
  <c r="W872" i="2"/>
  <c r="V872" i="2"/>
  <c r="U872" i="2"/>
  <c r="T872" i="2"/>
  <c r="S872" i="2"/>
  <c r="R872" i="2"/>
  <c r="Q872" i="2"/>
  <c r="P872" i="2"/>
  <c r="O872" i="2"/>
  <c r="N872" i="2"/>
  <c r="M872" i="2"/>
  <c r="L872" i="2"/>
  <c r="K872" i="2"/>
  <c r="J872" i="2"/>
  <c r="I872" i="2"/>
  <c r="H872" i="2"/>
  <c r="G872" i="2"/>
  <c r="F872" i="2"/>
  <c r="E872" i="2"/>
  <c r="D872" i="2"/>
  <c r="C872" i="2"/>
  <c r="B872" i="2"/>
  <c r="A872" i="2"/>
  <c r="AX871" i="2"/>
  <c r="AV871" i="2"/>
  <c r="AU871" i="2"/>
  <c r="AT871" i="2"/>
  <c r="AS871" i="2"/>
  <c r="AR871" i="2"/>
  <c r="AP871" i="2"/>
  <c r="AO871" i="2"/>
  <c r="AN871" i="2"/>
  <c r="AM871" i="2"/>
  <c r="AK871" i="2"/>
  <c r="AI871" i="2"/>
  <c r="AH871" i="2"/>
  <c r="AG871" i="2"/>
  <c r="AF871" i="2"/>
  <c r="AE871" i="2"/>
  <c r="AD871" i="2"/>
  <c r="AC871" i="2"/>
  <c r="AA871" i="2"/>
  <c r="Z871" i="2"/>
  <c r="Y871" i="2"/>
  <c r="X871" i="2"/>
  <c r="W871" i="2"/>
  <c r="V871" i="2"/>
  <c r="U871" i="2"/>
  <c r="T871" i="2"/>
  <c r="S871" i="2"/>
  <c r="R871" i="2"/>
  <c r="Q871" i="2"/>
  <c r="P871" i="2"/>
  <c r="O871" i="2"/>
  <c r="N871" i="2"/>
  <c r="M871" i="2"/>
  <c r="L871" i="2"/>
  <c r="K871" i="2"/>
  <c r="J871" i="2"/>
  <c r="I871" i="2"/>
  <c r="H871" i="2"/>
  <c r="G871" i="2"/>
  <c r="F871" i="2"/>
  <c r="E871" i="2"/>
  <c r="D871" i="2"/>
  <c r="C871" i="2"/>
  <c r="B871" i="2"/>
  <c r="A871" i="2"/>
  <c r="AX870" i="2"/>
  <c r="AV870" i="2"/>
  <c r="AU870" i="2"/>
  <c r="AT870" i="2"/>
  <c r="AS870" i="2"/>
  <c r="AR870" i="2"/>
  <c r="AO870" i="2"/>
  <c r="AN870" i="2"/>
  <c r="AM870" i="2"/>
  <c r="AK870" i="2"/>
  <c r="AI870" i="2"/>
  <c r="AH870" i="2"/>
  <c r="AG870" i="2"/>
  <c r="AE870" i="2"/>
  <c r="AC870" i="2"/>
  <c r="AA870" i="2"/>
  <c r="Z870" i="2"/>
  <c r="Y870" i="2"/>
  <c r="X870" i="2"/>
  <c r="W870" i="2"/>
  <c r="V870" i="2"/>
  <c r="U870" i="2"/>
  <c r="T870" i="2"/>
  <c r="S870" i="2"/>
  <c r="R870" i="2"/>
  <c r="Q870" i="2"/>
  <c r="P870" i="2"/>
  <c r="O870" i="2"/>
  <c r="N870" i="2"/>
  <c r="M870" i="2"/>
  <c r="L870" i="2"/>
  <c r="K870" i="2"/>
  <c r="J870" i="2"/>
  <c r="I870" i="2"/>
  <c r="H870" i="2"/>
  <c r="G870" i="2"/>
  <c r="F870" i="2"/>
  <c r="E870" i="2"/>
  <c r="D870" i="2"/>
  <c r="C870" i="2"/>
  <c r="B870" i="2"/>
  <c r="A870" i="2"/>
  <c r="AX869" i="2"/>
  <c r="AV869" i="2"/>
  <c r="AU869" i="2"/>
  <c r="AS869" i="2"/>
  <c r="AR869" i="2"/>
  <c r="AO869" i="2"/>
  <c r="AN869" i="2"/>
  <c r="AM869" i="2"/>
  <c r="AK869" i="2"/>
  <c r="AJ869" i="2"/>
  <c r="AI869" i="2"/>
  <c r="AH869" i="2"/>
  <c r="AG869" i="2"/>
  <c r="AE869" i="2"/>
  <c r="AD869" i="2"/>
  <c r="AC869" i="2"/>
  <c r="AA869" i="2"/>
  <c r="Z869" i="2"/>
  <c r="Y869" i="2"/>
  <c r="X869" i="2"/>
  <c r="W869" i="2"/>
  <c r="V869" i="2"/>
  <c r="U869" i="2"/>
  <c r="T869" i="2"/>
  <c r="S869" i="2"/>
  <c r="R869" i="2"/>
  <c r="Q869" i="2"/>
  <c r="P869" i="2"/>
  <c r="O869" i="2"/>
  <c r="N869" i="2"/>
  <c r="M869" i="2"/>
  <c r="L869" i="2"/>
  <c r="K869" i="2"/>
  <c r="J869" i="2"/>
  <c r="I869" i="2"/>
  <c r="H869" i="2"/>
  <c r="G869" i="2"/>
  <c r="F869" i="2"/>
  <c r="E869" i="2"/>
  <c r="D869" i="2"/>
  <c r="C869" i="2"/>
  <c r="B869" i="2"/>
  <c r="A869" i="2"/>
  <c r="AX868" i="2"/>
  <c r="AV868" i="2"/>
  <c r="AU868" i="2"/>
  <c r="AS868" i="2"/>
  <c r="AR868" i="2"/>
  <c r="AO868" i="2"/>
  <c r="AN868" i="2"/>
  <c r="AM868" i="2"/>
  <c r="AK868" i="2"/>
  <c r="AJ868" i="2"/>
  <c r="AI868" i="2"/>
  <c r="AH868" i="2"/>
  <c r="AG868" i="2"/>
  <c r="AD868" i="2"/>
  <c r="AC868" i="2"/>
  <c r="Z868" i="2"/>
  <c r="Y868" i="2"/>
  <c r="X868" i="2"/>
  <c r="W868" i="2"/>
  <c r="V868" i="2"/>
  <c r="U868" i="2"/>
  <c r="T868" i="2"/>
  <c r="S868" i="2"/>
  <c r="R868" i="2"/>
  <c r="Q868" i="2"/>
  <c r="P868" i="2"/>
  <c r="O868" i="2"/>
  <c r="N868" i="2"/>
  <c r="M868" i="2"/>
  <c r="L868" i="2"/>
  <c r="K868" i="2"/>
  <c r="J868" i="2"/>
  <c r="I868" i="2"/>
  <c r="H868" i="2"/>
  <c r="G868" i="2"/>
  <c r="F868" i="2"/>
  <c r="E868" i="2"/>
  <c r="D868" i="2"/>
  <c r="C868" i="2"/>
  <c r="B868" i="2"/>
  <c r="A868" i="2"/>
  <c r="AX867" i="2"/>
  <c r="AV867" i="2"/>
  <c r="AU867" i="2"/>
  <c r="AS867" i="2"/>
  <c r="AR867" i="2"/>
  <c r="AO867" i="2"/>
  <c r="AN867" i="2"/>
  <c r="AM867" i="2"/>
  <c r="AK867" i="2"/>
  <c r="AI867" i="2"/>
  <c r="AH867" i="2"/>
  <c r="AG867" i="2"/>
  <c r="AC867" i="2"/>
  <c r="Z867" i="2"/>
  <c r="Y867" i="2"/>
  <c r="X867" i="2"/>
  <c r="W867" i="2"/>
  <c r="V867" i="2"/>
  <c r="U867" i="2"/>
  <c r="T867" i="2"/>
  <c r="S867" i="2"/>
  <c r="R867" i="2"/>
  <c r="Q867" i="2"/>
  <c r="P867" i="2"/>
  <c r="O867" i="2"/>
  <c r="N867" i="2"/>
  <c r="M867" i="2"/>
  <c r="L867" i="2"/>
  <c r="K867" i="2"/>
  <c r="J867" i="2"/>
  <c r="I867" i="2"/>
  <c r="H867" i="2"/>
  <c r="G867" i="2"/>
  <c r="F867" i="2"/>
  <c r="E867" i="2"/>
  <c r="D867" i="2"/>
  <c r="C867" i="2"/>
  <c r="B867" i="2"/>
  <c r="A867" i="2"/>
  <c r="AX866" i="2"/>
  <c r="AV866" i="2"/>
  <c r="AU866" i="2"/>
  <c r="AT866" i="2"/>
  <c r="AS866" i="2"/>
  <c r="AR866" i="2"/>
  <c r="AO866" i="2"/>
  <c r="AN866" i="2"/>
  <c r="AM866" i="2"/>
  <c r="AK866" i="2"/>
  <c r="AJ866" i="2"/>
  <c r="AI866" i="2"/>
  <c r="AH866" i="2"/>
  <c r="AG866" i="2"/>
  <c r="AD866" i="2"/>
  <c r="AC866" i="2"/>
  <c r="Z866" i="2"/>
  <c r="Y866" i="2"/>
  <c r="X866" i="2"/>
  <c r="W866" i="2"/>
  <c r="V866" i="2"/>
  <c r="U866" i="2"/>
  <c r="T866" i="2"/>
  <c r="S866" i="2"/>
  <c r="R866" i="2"/>
  <c r="Q866" i="2"/>
  <c r="P866" i="2"/>
  <c r="O866" i="2"/>
  <c r="N866" i="2"/>
  <c r="M866" i="2"/>
  <c r="L866" i="2"/>
  <c r="K866" i="2"/>
  <c r="J866" i="2"/>
  <c r="I866" i="2"/>
  <c r="H866" i="2"/>
  <c r="G866" i="2"/>
  <c r="F866" i="2"/>
  <c r="E866" i="2"/>
  <c r="D866" i="2"/>
  <c r="C866" i="2"/>
  <c r="B866" i="2"/>
  <c r="A866" i="2"/>
  <c r="AX865" i="2"/>
  <c r="AV865" i="2"/>
  <c r="AU865" i="2"/>
  <c r="AS865" i="2"/>
  <c r="AR865" i="2"/>
  <c r="AQ865" i="2"/>
  <c r="AP865" i="2"/>
  <c r="AO865" i="2"/>
  <c r="AN865" i="2"/>
  <c r="AM865" i="2"/>
  <c r="AK865" i="2"/>
  <c r="AI865" i="2"/>
  <c r="AH865" i="2"/>
  <c r="AG865" i="2"/>
  <c r="AC865" i="2"/>
  <c r="Z865" i="2"/>
  <c r="Y865" i="2"/>
  <c r="X865" i="2"/>
  <c r="W865" i="2"/>
  <c r="V865" i="2"/>
  <c r="U865" i="2"/>
  <c r="T865" i="2"/>
  <c r="S865" i="2"/>
  <c r="R865" i="2"/>
  <c r="Q865" i="2"/>
  <c r="P865" i="2"/>
  <c r="O865" i="2"/>
  <c r="N865" i="2"/>
  <c r="M865" i="2"/>
  <c r="L865" i="2"/>
  <c r="K865" i="2"/>
  <c r="J865" i="2"/>
  <c r="I865" i="2"/>
  <c r="H865" i="2"/>
  <c r="G865" i="2"/>
  <c r="F865" i="2"/>
  <c r="E865" i="2"/>
  <c r="D865" i="2"/>
  <c r="C865" i="2"/>
  <c r="B865" i="2"/>
  <c r="A865" i="2"/>
  <c r="AX864" i="2"/>
  <c r="AV864" i="2"/>
  <c r="AU864" i="2"/>
  <c r="AT864" i="2"/>
  <c r="AS864" i="2"/>
  <c r="AR864" i="2"/>
  <c r="AO864" i="2"/>
  <c r="AN864" i="2"/>
  <c r="AM864" i="2"/>
  <c r="AK864" i="2"/>
  <c r="AI864" i="2"/>
  <c r="AH864" i="2"/>
  <c r="AG864" i="2"/>
  <c r="AE864" i="2"/>
  <c r="AD864" i="2"/>
  <c r="AC864" i="2"/>
  <c r="AA864" i="2"/>
  <c r="Z864" i="2"/>
  <c r="Y864" i="2"/>
  <c r="X864" i="2"/>
  <c r="W864" i="2"/>
  <c r="V864" i="2"/>
  <c r="U864" i="2"/>
  <c r="T864" i="2"/>
  <c r="S864" i="2"/>
  <c r="R864" i="2"/>
  <c r="Q864" i="2"/>
  <c r="P864" i="2"/>
  <c r="O864" i="2"/>
  <c r="N864" i="2"/>
  <c r="M864" i="2"/>
  <c r="L864" i="2"/>
  <c r="K864" i="2"/>
  <c r="J864" i="2"/>
  <c r="I864" i="2"/>
  <c r="H864" i="2"/>
  <c r="G864" i="2"/>
  <c r="F864" i="2"/>
  <c r="E864" i="2"/>
  <c r="D864" i="2"/>
  <c r="C864" i="2"/>
  <c r="B864" i="2"/>
  <c r="A864" i="2"/>
  <c r="AX863" i="2"/>
  <c r="AV863" i="2"/>
  <c r="AU863" i="2"/>
  <c r="AS863" i="2"/>
  <c r="AR863" i="2"/>
  <c r="AO863" i="2"/>
  <c r="AN863" i="2"/>
  <c r="AM863" i="2"/>
  <c r="AK863" i="2"/>
  <c r="AJ863" i="2"/>
  <c r="AI863" i="2"/>
  <c r="AH863" i="2"/>
  <c r="AG863" i="2"/>
  <c r="AE863" i="2"/>
  <c r="AD863" i="2"/>
  <c r="AC863" i="2"/>
  <c r="AA863" i="2"/>
  <c r="Z863" i="2"/>
  <c r="Y863" i="2"/>
  <c r="X863" i="2"/>
  <c r="W863" i="2"/>
  <c r="V863" i="2"/>
  <c r="U863" i="2"/>
  <c r="T863" i="2"/>
  <c r="S863" i="2"/>
  <c r="R863" i="2"/>
  <c r="Q863" i="2"/>
  <c r="P863" i="2"/>
  <c r="O863" i="2"/>
  <c r="N863" i="2"/>
  <c r="M863" i="2"/>
  <c r="L863" i="2"/>
  <c r="K863" i="2"/>
  <c r="J863" i="2"/>
  <c r="I863" i="2"/>
  <c r="H863" i="2"/>
  <c r="G863" i="2"/>
  <c r="F863" i="2"/>
  <c r="E863" i="2"/>
  <c r="D863" i="2"/>
  <c r="C863" i="2"/>
  <c r="B863" i="2"/>
  <c r="A863" i="2"/>
  <c r="AX862" i="2"/>
  <c r="AV862" i="2"/>
  <c r="AU862" i="2"/>
  <c r="AS862" i="2"/>
  <c r="AR862" i="2"/>
  <c r="AO862" i="2"/>
  <c r="AN862" i="2"/>
  <c r="AM862" i="2"/>
  <c r="AL862" i="2"/>
  <c r="AK862" i="2"/>
  <c r="AJ862" i="2"/>
  <c r="AI862" i="2"/>
  <c r="AH862" i="2"/>
  <c r="AG862" i="2"/>
  <c r="AE862" i="2"/>
  <c r="AD862" i="2"/>
  <c r="AC862" i="2"/>
  <c r="Z862" i="2"/>
  <c r="Y862" i="2"/>
  <c r="X862" i="2"/>
  <c r="W862" i="2"/>
  <c r="V862" i="2"/>
  <c r="U862" i="2"/>
  <c r="T862" i="2"/>
  <c r="S862" i="2"/>
  <c r="R862" i="2"/>
  <c r="Q862" i="2"/>
  <c r="P862" i="2"/>
  <c r="O862" i="2"/>
  <c r="N862" i="2"/>
  <c r="M862" i="2"/>
  <c r="L862" i="2"/>
  <c r="K862" i="2"/>
  <c r="J862" i="2"/>
  <c r="I862" i="2"/>
  <c r="H862" i="2"/>
  <c r="G862" i="2"/>
  <c r="F862" i="2"/>
  <c r="E862" i="2"/>
  <c r="D862" i="2"/>
  <c r="C862" i="2"/>
  <c r="B862" i="2"/>
  <c r="A862" i="2"/>
  <c r="AX861" i="2"/>
  <c r="AV861" i="2"/>
  <c r="AU861" i="2"/>
  <c r="AS861" i="2"/>
  <c r="AR861" i="2"/>
  <c r="AO861" i="2"/>
  <c r="AN861" i="2"/>
  <c r="AM861" i="2"/>
  <c r="AK861" i="2"/>
  <c r="AJ861" i="2"/>
  <c r="AI861" i="2"/>
  <c r="AH861" i="2"/>
  <c r="AG861" i="2"/>
  <c r="AD861" i="2"/>
  <c r="AC861" i="2"/>
  <c r="Z861" i="2"/>
  <c r="Y861" i="2"/>
  <c r="X861" i="2"/>
  <c r="W861" i="2"/>
  <c r="V861" i="2"/>
  <c r="U861" i="2"/>
  <c r="T861" i="2"/>
  <c r="S861" i="2"/>
  <c r="R861" i="2"/>
  <c r="Q861" i="2"/>
  <c r="P861" i="2"/>
  <c r="O861" i="2"/>
  <c r="N861" i="2"/>
  <c r="M861" i="2"/>
  <c r="L861" i="2"/>
  <c r="K861" i="2"/>
  <c r="J861" i="2"/>
  <c r="I861" i="2"/>
  <c r="H861" i="2"/>
  <c r="G861" i="2"/>
  <c r="F861" i="2"/>
  <c r="E861" i="2"/>
  <c r="D861" i="2"/>
  <c r="C861" i="2"/>
  <c r="B861" i="2"/>
  <c r="A861" i="2"/>
  <c r="AX860" i="2"/>
  <c r="AV860" i="2"/>
  <c r="AU860" i="2"/>
  <c r="AT860" i="2"/>
  <c r="AS860" i="2"/>
  <c r="AR860" i="2"/>
  <c r="AO860" i="2"/>
  <c r="AN860" i="2"/>
  <c r="AM860" i="2"/>
  <c r="AK860" i="2"/>
  <c r="AJ860" i="2"/>
  <c r="AI860" i="2"/>
  <c r="AH860" i="2"/>
  <c r="AG860" i="2"/>
  <c r="AE860" i="2"/>
  <c r="AD860" i="2"/>
  <c r="AC860" i="2"/>
  <c r="Z860" i="2"/>
  <c r="Y860" i="2"/>
  <c r="X860" i="2"/>
  <c r="W860" i="2"/>
  <c r="V860" i="2"/>
  <c r="U860" i="2"/>
  <c r="T860" i="2"/>
  <c r="S860" i="2"/>
  <c r="R860" i="2"/>
  <c r="Q860" i="2"/>
  <c r="P860" i="2"/>
  <c r="O860" i="2"/>
  <c r="N860" i="2"/>
  <c r="M860" i="2"/>
  <c r="L860" i="2"/>
  <c r="K860" i="2"/>
  <c r="J860" i="2"/>
  <c r="I860" i="2"/>
  <c r="H860" i="2"/>
  <c r="G860" i="2"/>
  <c r="F860" i="2"/>
  <c r="E860" i="2"/>
  <c r="D860" i="2"/>
  <c r="C860" i="2"/>
  <c r="B860" i="2"/>
  <c r="A860" i="2"/>
  <c r="AX859" i="2"/>
  <c r="AV859" i="2"/>
  <c r="AU859" i="2"/>
  <c r="AT859" i="2"/>
  <c r="AS859" i="2"/>
  <c r="AR859" i="2"/>
  <c r="AO859" i="2"/>
  <c r="AN859" i="2"/>
  <c r="AM859" i="2"/>
  <c r="AK859" i="2"/>
  <c r="AJ859" i="2"/>
  <c r="AI859" i="2"/>
  <c r="AH859" i="2"/>
  <c r="AG859" i="2"/>
  <c r="AE859" i="2"/>
  <c r="AC859" i="2"/>
  <c r="Z859" i="2"/>
  <c r="Y859" i="2"/>
  <c r="X859" i="2"/>
  <c r="W859" i="2"/>
  <c r="V859" i="2"/>
  <c r="U859" i="2"/>
  <c r="T859" i="2"/>
  <c r="S859" i="2"/>
  <c r="R859" i="2"/>
  <c r="Q859" i="2"/>
  <c r="P859" i="2"/>
  <c r="O859" i="2"/>
  <c r="N859" i="2"/>
  <c r="M859" i="2"/>
  <c r="L859" i="2"/>
  <c r="K859" i="2"/>
  <c r="J859" i="2"/>
  <c r="I859" i="2"/>
  <c r="H859" i="2"/>
  <c r="G859" i="2"/>
  <c r="F859" i="2"/>
  <c r="E859" i="2"/>
  <c r="D859" i="2"/>
  <c r="C859" i="2"/>
  <c r="B859" i="2"/>
  <c r="A859" i="2"/>
  <c r="AX858" i="2"/>
  <c r="AV858" i="2"/>
  <c r="AU858" i="2"/>
  <c r="AS858" i="2"/>
  <c r="AR858" i="2"/>
  <c r="AQ858" i="2"/>
  <c r="AP858" i="2"/>
  <c r="AO858" i="2"/>
  <c r="AN858" i="2"/>
  <c r="AM858" i="2"/>
  <c r="AK858" i="2"/>
  <c r="AJ858" i="2"/>
  <c r="AI858" i="2"/>
  <c r="AH858" i="2"/>
  <c r="AG858" i="2"/>
  <c r="AD858" i="2"/>
  <c r="AC858" i="2"/>
  <c r="AA858" i="2"/>
  <c r="Z858" i="2"/>
  <c r="Y858" i="2"/>
  <c r="X858" i="2"/>
  <c r="W858" i="2"/>
  <c r="V858" i="2"/>
  <c r="U858" i="2"/>
  <c r="T858" i="2"/>
  <c r="S858" i="2"/>
  <c r="R858" i="2"/>
  <c r="Q858" i="2"/>
  <c r="P858" i="2"/>
  <c r="O858" i="2"/>
  <c r="N858" i="2"/>
  <c r="M858" i="2"/>
  <c r="L858" i="2"/>
  <c r="K858" i="2"/>
  <c r="J858" i="2"/>
  <c r="I858" i="2"/>
  <c r="H858" i="2"/>
  <c r="G858" i="2"/>
  <c r="F858" i="2"/>
  <c r="E858" i="2"/>
  <c r="D858" i="2"/>
  <c r="C858" i="2"/>
  <c r="B858" i="2"/>
  <c r="A858" i="2"/>
  <c r="AX857" i="2"/>
  <c r="AV857" i="2"/>
  <c r="AU857" i="2"/>
  <c r="AT857" i="2"/>
  <c r="AS857" i="2"/>
  <c r="AR857" i="2"/>
  <c r="AO857" i="2"/>
  <c r="AN857" i="2"/>
  <c r="AM857" i="2"/>
  <c r="AK857" i="2"/>
  <c r="AJ857" i="2"/>
  <c r="AI857" i="2"/>
  <c r="AH857" i="2"/>
  <c r="AG857" i="2"/>
  <c r="AF857" i="2"/>
  <c r="AE857" i="2"/>
  <c r="AD857" i="2"/>
  <c r="AC857" i="2"/>
  <c r="AA857" i="2"/>
  <c r="Z857" i="2"/>
  <c r="Y857" i="2"/>
  <c r="X857" i="2"/>
  <c r="W857" i="2"/>
  <c r="V857" i="2"/>
  <c r="U857" i="2"/>
  <c r="T857" i="2"/>
  <c r="S857" i="2"/>
  <c r="R857" i="2"/>
  <c r="Q857" i="2"/>
  <c r="P857" i="2"/>
  <c r="O857" i="2"/>
  <c r="N857" i="2"/>
  <c r="M857" i="2"/>
  <c r="L857" i="2"/>
  <c r="K857" i="2"/>
  <c r="J857" i="2"/>
  <c r="I857" i="2"/>
  <c r="H857" i="2"/>
  <c r="G857" i="2"/>
  <c r="F857" i="2"/>
  <c r="E857" i="2"/>
  <c r="D857" i="2"/>
  <c r="C857" i="2"/>
  <c r="B857" i="2"/>
  <c r="A857" i="2"/>
  <c r="AX856" i="2"/>
  <c r="AV856" i="2"/>
  <c r="AU856" i="2"/>
  <c r="AS856" i="2"/>
  <c r="AR856" i="2"/>
  <c r="AO856" i="2"/>
  <c r="AN856" i="2"/>
  <c r="AM856" i="2"/>
  <c r="AK856" i="2"/>
  <c r="AJ856" i="2"/>
  <c r="AI856" i="2"/>
  <c r="AH856" i="2"/>
  <c r="AG856" i="2"/>
  <c r="AD856" i="2"/>
  <c r="AC856" i="2"/>
  <c r="AA856" i="2"/>
  <c r="Z856" i="2"/>
  <c r="Y856" i="2"/>
  <c r="X856" i="2"/>
  <c r="W856" i="2"/>
  <c r="V856" i="2"/>
  <c r="U856" i="2"/>
  <c r="T856" i="2"/>
  <c r="S856" i="2"/>
  <c r="R856" i="2"/>
  <c r="Q856" i="2"/>
  <c r="P856" i="2"/>
  <c r="O856" i="2"/>
  <c r="N856" i="2"/>
  <c r="M856" i="2"/>
  <c r="L856" i="2"/>
  <c r="K856" i="2"/>
  <c r="J856" i="2"/>
  <c r="I856" i="2"/>
  <c r="H856" i="2"/>
  <c r="G856" i="2"/>
  <c r="F856" i="2"/>
  <c r="E856" i="2"/>
  <c r="D856" i="2"/>
  <c r="C856" i="2"/>
  <c r="B856" i="2"/>
  <c r="A856" i="2"/>
  <c r="AX855" i="2"/>
  <c r="AV855" i="2"/>
  <c r="AU855" i="2"/>
  <c r="AT855" i="2"/>
  <c r="AR855" i="2"/>
  <c r="AQ855" i="2"/>
  <c r="AN855" i="2"/>
  <c r="AL855" i="2"/>
  <c r="AK855" i="2"/>
  <c r="AJ855" i="2"/>
  <c r="AI855" i="2"/>
  <c r="AH855" i="2"/>
  <c r="AG855" i="2"/>
  <c r="AE855" i="2"/>
  <c r="AD855" i="2"/>
  <c r="AC855" i="2"/>
  <c r="Z855" i="2"/>
  <c r="Y855" i="2"/>
  <c r="X855" i="2"/>
  <c r="W855" i="2"/>
  <c r="V855" i="2"/>
  <c r="U855" i="2"/>
  <c r="T855" i="2"/>
  <c r="S855" i="2"/>
  <c r="R855" i="2"/>
  <c r="Q855" i="2"/>
  <c r="P855" i="2"/>
  <c r="O855" i="2"/>
  <c r="N855" i="2"/>
  <c r="M855" i="2"/>
  <c r="L855" i="2"/>
  <c r="K855" i="2"/>
  <c r="J855" i="2"/>
  <c r="I855" i="2"/>
  <c r="H855" i="2"/>
  <c r="G855" i="2"/>
  <c r="F855" i="2"/>
  <c r="E855" i="2"/>
  <c r="D855" i="2"/>
  <c r="C855" i="2"/>
  <c r="B855" i="2"/>
  <c r="A855" i="2"/>
  <c r="AX854" i="2"/>
  <c r="AV854" i="2"/>
  <c r="AU854" i="2"/>
  <c r="AS854" i="2"/>
  <c r="AR854" i="2"/>
  <c r="AQ854" i="2"/>
  <c r="AP854" i="2"/>
  <c r="AO854" i="2"/>
  <c r="AN854" i="2"/>
  <c r="AM854" i="2"/>
  <c r="AK854" i="2"/>
  <c r="AJ854" i="2"/>
  <c r="AI854" i="2"/>
  <c r="AH854" i="2"/>
  <c r="AG854" i="2"/>
  <c r="AE854" i="2"/>
  <c r="AD854" i="2"/>
  <c r="AC854" i="2"/>
  <c r="Z854" i="2"/>
  <c r="Y854" i="2"/>
  <c r="X854" i="2"/>
  <c r="W854" i="2"/>
  <c r="V854" i="2"/>
  <c r="U854" i="2"/>
  <c r="T854" i="2"/>
  <c r="S854" i="2"/>
  <c r="R854" i="2"/>
  <c r="Q854" i="2"/>
  <c r="P854" i="2"/>
  <c r="O854" i="2"/>
  <c r="N854" i="2"/>
  <c r="M854" i="2"/>
  <c r="L854" i="2"/>
  <c r="K854" i="2"/>
  <c r="J854" i="2"/>
  <c r="I854" i="2"/>
  <c r="H854" i="2"/>
  <c r="G854" i="2"/>
  <c r="F854" i="2"/>
  <c r="E854" i="2"/>
  <c r="D854" i="2"/>
  <c r="C854" i="2"/>
  <c r="B854" i="2"/>
  <c r="A854" i="2"/>
  <c r="AX853" i="2"/>
  <c r="AV853" i="2"/>
  <c r="AU853" i="2"/>
  <c r="AS853" i="2"/>
  <c r="AR853" i="2"/>
  <c r="AO853" i="2"/>
  <c r="AN853" i="2"/>
  <c r="AM853" i="2"/>
  <c r="AK853" i="2"/>
  <c r="AJ853" i="2"/>
  <c r="AI853" i="2"/>
  <c r="AH853" i="2"/>
  <c r="AG853" i="2"/>
  <c r="AE853" i="2"/>
  <c r="AC853" i="2"/>
  <c r="AA853" i="2"/>
  <c r="Z853" i="2"/>
  <c r="Y853" i="2"/>
  <c r="X853" i="2"/>
  <c r="W853" i="2"/>
  <c r="V853" i="2"/>
  <c r="U853" i="2"/>
  <c r="T853" i="2"/>
  <c r="S853" i="2"/>
  <c r="R853" i="2"/>
  <c r="Q853" i="2"/>
  <c r="P853" i="2"/>
  <c r="O853" i="2"/>
  <c r="N853" i="2"/>
  <c r="M853" i="2"/>
  <c r="L853" i="2"/>
  <c r="K853" i="2"/>
  <c r="J853" i="2"/>
  <c r="I853" i="2"/>
  <c r="H853" i="2"/>
  <c r="G853" i="2"/>
  <c r="F853" i="2"/>
  <c r="E853" i="2"/>
  <c r="D853" i="2"/>
  <c r="C853" i="2"/>
  <c r="B853" i="2"/>
  <c r="A853" i="2"/>
  <c r="AX852" i="2"/>
  <c r="AV852" i="2"/>
  <c r="AU852" i="2"/>
  <c r="AT852" i="2"/>
  <c r="AS852" i="2"/>
  <c r="AR852" i="2"/>
  <c r="AQ852" i="2"/>
  <c r="AP852" i="2"/>
  <c r="AO852" i="2"/>
  <c r="AN852" i="2"/>
  <c r="AM852" i="2"/>
  <c r="AK852" i="2"/>
  <c r="AI852" i="2"/>
  <c r="AH852" i="2"/>
  <c r="AG852" i="2"/>
  <c r="AC852" i="2"/>
  <c r="Z852" i="2"/>
  <c r="Y852" i="2"/>
  <c r="X852" i="2"/>
  <c r="W852" i="2"/>
  <c r="V852" i="2"/>
  <c r="U852" i="2"/>
  <c r="T852" i="2"/>
  <c r="S852" i="2"/>
  <c r="R852" i="2"/>
  <c r="Q852" i="2"/>
  <c r="P852" i="2"/>
  <c r="O852" i="2"/>
  <c r="N852" i="2"/>
  <c r="M852" i="2"/>
  <c r="L852" i="2"/>
  <c r="K852" i="2"/>
  <c r="J852" i="2"/>
  <c r="I852" i="2"/>
  <c r="H852" i="2"/>
  <c r="G852" i="2"/>
  <c r="F852" i="2"/>
  <c r="E852" i="2"/>
  <c r="D852" i="2"/>
  <c r="C852" i="2"/>
  <c r="B852" i="2"/>
  <c r="A852" i="2"/>
  <c r="AX851" i="2"/>
  <c r="AV851" i="2"/>
  <c r="AU851" i="2"/>
  <c r="AS851" i="2"/>
  <c r="AR851" i="2"/>
  <c r="AP851" i="2"/>
  <c r="AO851" i="2"/>
  <c r="AN851" i="2"/>
  <c r="AM851" i="2"/>
  <c r="AL851" i="2"/>
  <c r="AK851" i="2"/>
  <c r="AJ851" i="2"/>
  <c r="AI851" i="2"/>
  <c r="AH851" i="2"/>
  <c r="AG851" i="2"/>
  <c r="AE851" i="2"/>
  <c r="AD851" i="2"/>
  <c r="AC851" i="2"/>
  <c r="AA851" i="2"/>
  <c r="Z851" i="2"/>
  <c r="Y851" i="2"/>
  <c r="X851" i="2"/>
  <c r="W851" i="2"/>
  <c r="V851" i="2"/>
  <c r="U851" i="2"/>
  <c r="T851" i="2"/>
  <c r="S851" i="2"/>
  <c r="R851" i="2"/>
  <c r="Q851" i="2"/>
  <c r="P851" i="2"/>
  <c r="O851" i="2"/>
  <c r="N851" i="2"/>
  <c r="M851" i="2"/>
  <c r="L851" i="2"/>
  <c r="K851" i="2"/>
  <c r="J851" i="2"/>
  <c r="I851" i="2"/>
  <c r="H851" i="2"/>
  <c r="G851" i="2"/>
  <c r="F851" i="2"/>
  <c r="E851" i="2"/>
  <c r="D851" i="2"/>
  <c r="C851" i="2"/>
  <c r="B851" i="2"/>
  <c r="A851" i="2"/>
  <c r="AX850" i="2"/>
  <c r="AV850" i="2"/>
  <c r="AU850" i="2"/>
  <c r="AT850" i="2"/>
  <c r="AS850" i="2"/>
  <c r="AR850" i="2"/>
  <c r="AO850" i="2"/>
  <c r="AN850" i="2"/>
  <c r="AM850" i="2"/>
  <c r="AK850" i="2"/>
  <c r="AJ850" i="2"/>
  <c r="AI850" i="2"/>
  <c r="AH850" i="2"/>
  <c r="AG850" i="2"/>
  <c r="AC850" i="2"/>
  <c r="AA850" i="2"/>
  <c r="Z850" i="2"/>
  <c r="Y850" i="2"/>
  <c r="X850" i="2"/>
  <c r="W850" i="2"/>
  <c r="V850" i="2"/>
  <c r="U850" i="2"/>
  <c r="T850" i="2"/>
  <c r="S850" i="2"/>
  <c r="R850" i="2"/>
  <c r="Q850" i="2"/>
  <c r="P850" i="2"/>
  <c r="O850" i="2"/>
  <c r="N850" i="2"/>
  <c r="M850" i="2"/>
  <c r="L850" i="2"/>
  <c r="K850" i="2"/>
  <c r="J850" i="2"/>
  <c r="I850" i="2"/>
  <c r="H850" i="2"/>
  <c r="G850" i="2"/>
  <c r="F850" i="2"/>
  <c r="E850" i="2"/>
  <c r="D850" i="2"/>
  <c r="C850" i="2"/>
  <c r="B850" i="2"/>
  <c r="A850" i="2"/>
  <c r="AX849" i="2"/>
  <c r="AV849" i="2"/>
  <c r="AU849" i="2"/>
  <c r="AS849" i="2"/>
  <c r="AR849" i="2"/>
  <c r="AO849" i="2"/>
  <c r="AN849" i="2"/>
  <c r="AM849" i="2"/>
  <c r="AK849" i="2"/>
  <c r="AI849" i="2"/>
  <c r="AH849" i="2"/>
  <c r="AG849" i="2"/>
  <c r="AC849" i="2"/>
  <c r="Z849" i="2"/>
  <c r="Y849" i="2"/>
  <c r="X849" i="2"/>
  <c r="W849" i="2"/>
  <c r="V849" i="2"/>
  <c r="U849" i="2"/>
  <c r="T849" i="2"/>
  <c r="S849" i="2"/>
  <c r="R849" i="2"/>
  <c r="Q849" i="2"/>
  <c r="P849" i="2"/>
  <c r="O849" i="2"/>
  <c r="N849" i="2"/>
  <c r="M849" i="2"/>
  <c r="L849" i="2"/>
  <c r="K849" i="2"/>
  <c r="J849" i="2"/>
  <c r="I849" i="2"/>
  <c r="H849" i="2"/>
  <c r="G849" i="2"/>
  <c r="F849" i="2"/>
  <c r="E849" i="2"/>
  <c r="D849" i="2"/>
  <c r="C849" i="2"/>
  <c r="B849" i="2"/>
  <c r="A849" i="2"/>
  <c r="AX848" i="2"/>
  <c r="AV848" i="2"/>
  <c r="AU848" i="2"/>
  <c r="AS848" i="2"/>
  <c r="AR848" i="2"/>
  <c r="AO848" i="2"/>
  <c r="AN848" i="2"/>
  <c r="AM848" i="2"/>
  <c r="AL848" i="2"/>
  <c r="AK848" i="2"/>
  <c r="AJ848" i="2"/>
  <c r="AI848" i="2"/>
  <c r="AH848" i="2"/>
  <c r="AG848" i="2"/>
  <c r="AD848" i="2"/>
  <c r="AC848" i="2"/>
  <c r="AA848" i="2"/>
  <c r="Z848" i="2"/>
  <c r="Y848" i="2"/>
  <c r="X848" i="2"/>
  <c r="W848" i="2"/>
  <c r="V848" i="2"/>
  <c r="U848" i="2"/>
  <c r="T848" i="2"/>
  <c r="S848" i="2"/>
  <c r="R848" i="2"/>
  <c r="Q848" i="2"/>
  <c r="P848" i="2"/>
  <c r="O848" i="2"/>
  <c r="N848" i="2"/>
  <c r="M848" i="2"/>
  <c r="L848" i="2"/>
  <c r="K848" i="2"/>
  <c r="J848" i="2"/>
  <c r="I848" i="2"/>
  <c r="H848" i="2"/>
  <c r="G848" i="2"/>
  <c r="F848" i="2"/>
  <c r="E848" i="2"/>
  <c r="D848" i="2"/>
  <c r="C848" i="2"/>
  <c r="B848" i="2"/>
  <c r="A848" i="2"/>
  <c r="AX847" i="2"/>
  <c r="AV847" i="2"/>
  <c r="AU847" i="2"/>
  <c r="AT847" i="2"/>
  <c r="AS847" i="2"/>
  <c r="AR847" i="2"/>
  <c r="AO847" i="2"/>
  <c r="AN847" i="2"/>
  <c r="AM847" i="2"/>
  <c r="AK847" i="2"/>
  <c r="AJ847" i="2"/>
  <c r="AI847" i="2"/>
  <c r="AH847" i="2"/>
  <c r="AG847" i="2"/>
  <c r="AC847" i="2"/>
  <c r="Z847" i="2"/>
  <c r="Y847" i="2"/>
  <c r="X847" i="2"/>
  <c r="W847" i="2"/>
  <c r="V847" i="2"/>
  <c r="U847" i="2"/>
  <c r="T847" i="2"/>
  <c r="S847" i="2"/>
  <c r="R847" i="2"/>
  <c r="Q847" i="2"/>
  <c r="P847" i="2"/>
  <c r="O847" i="2"/>
  <c r="N847" i="2"/>
  <c r="M847" i="2"/>
  <c r="L847" i="2"/>
  <c r="K847" i="2"/>
  <c r="J847" i="2"/>
  <c r="I847" i="2"/>
  <c r="H847" i="2"/>
  <c r="G847" i="2"/>
  <c r="F847" i="2"/>
  <c r="E847" i="2"/>
  <c r="D847" i="2"/>
  <c r="C847" i="2"/>
  <c r="B847" i="2"/>
  <c r="A847" i="2"/>
  <c r="AX846" i="2"/>
  <c r="AV846" i="2"/>
  <c r="AU846" i="2"/>
  <c r="AS846" i="2"/>
  <c r="AR846" i="2"/>
  <c r="AN846" i="2"/>
  <c r="AM846" i="2"/>
  <c r="AL846" i="2"/>
  <c r="AK846" i="2"/>
  <c r="AJ846" i="2"/>
  <c r="AI846" i="2"/>
  <c r="AH846" i="2"/>
  <c r="AG846" i="2"/>
  <c r="AE846" i="2"/>
  <c r="AD846" i="2"/>
  <c r="AC846" i="2"/>
  <c r="Z846" i="2"/>
  <c r="Y846" i="2"/>
  <c r="X846" i="2"/>
  <c r="W846" i="2"/>
  <c r="V846" i="2"/>
  <c r="U846" i="2"/>
  <c r="T846" i="2"/>
  <c r="S846" i="2"/>
  <c r="R846" i="2"/>
  <c r="Q846" i="2"/>
  <c r="P846" i="2"/>
  <c r="O846" i="2"/>
  <c r="N846" i="2"/>
  <c r="M846" i="2"/>
  <c r="L846" i="2"/>
  <c r="K846" i="2"/>
  <c r="J846" i="2"/>
  <c r="I846" i="2"/>
  <c r="H846" i="2"/>
  <c r="G846" i="2"/>
  <c r="F846" i="2"/>
  <c r="E846" i="2"/>
  <c r="D846" i="2"/>
  <c r="C846" i="2"/>
  <c r="B846" i="2"/>
  <c r="A846" i="2"/>
  <c r="AX845" i="2"/>
  <c r="AV845" i="2"/>
  <c r="AU845" i="2"/>
  <c r="AS845" i="2"/>
  <c r="AR845" i="2"/>
  <c r="AN845" i="2"/>
  <c r="AM845" i="2"/>
  <c r="AL845" i="2"/>
  <c r="AK845" i="2"/>
  <c r="AJ845" i="2"/>
  <c r="AI845" i="2"/>
  <c r="AH845" i="2"/>
  <c r="AG845" i="2"/>
  <c r="AF845" i="2"/>
  <c r="AE845" i="2"/>
  <c r="AD845" i="2"/>
  <c r="AC845" i="2"/>
  <c r="AA845" i="2"/>
  <c r="Z845" i="2"/>
  <c r="Y845" i="2"/>
  <c r="X845" i="2"/>
  <c r="W845" i="2"/>
  <c r="V845" i="2"/>
  <c r="U845" i="2"/>
  <c r="T845" i="2"/>
  <c r="S845" i="2"/>
  <c r="R845" i="2"/>
  <c r="Q845" i="2"/>
  <c r="P845" i="2"/>
  <c r="O845" i="2"/>
  <c r="N845" i="2"/>
  <c r="M845" i="2"/>
  <c r="L845" i="2"/>
  <c r="K845" i="2"/>
  <c r="J845" i="2"/>
  <c r="I845" i="2"/>
  <c r="H845" i="2"/>
  <c r="G845" i="2"/>
  <c r="F845" i="2"/>
  <c r="E845" i="2"/>
  <c r="D845" i="2"/>
  <c r="C845" i="2"/>
  <c r="B845" i="2"/>
  <c r="A845" i="2"/>
  <c r="AX844" i="2"/>
  <c r="AV844" i="2"/>
  <c r="AU844" i="2"/>
  <c r="AS844" i="2"/>
  <c r="AR844" i="2"/>
  <c r="AN844" i="2"/>
  <c r="AM844" i="2"/>
  <c r="AK844" i="2"/>
  <c r="AJ844" i="2"/>
  <c r="AI844" i="2"/>
  <c r="AH844" i="2"/>
  <c r="AG844" i="2"/>
  <c r="AD844" i="2"/>
  <c r="AC844" i="2"/>
  <c r="AA844" i="2"/>
  <c r="Z844" i="2"/>
  <c r="Y844" i="2"/>
  <c r="X844" i="2"/>
  <c r="W844" i="2"/>
  <c r="V844" i="2"/>
  <c r="U844" i="2"/>
  <c r="T844" i="2"/>
  <c r="S844" i="2"/>
  <c r="R844" i="2"/>
  <c r="Q844" i="2"/>
  <c r="P844" i="2"/>
  <c r="O844" i="2"/>
  <c r="N844" i="2"/>
  <c r="M844" i="2"/>
  <c r="L844" i="2"/>
  <c r="K844" i="2"/>
  <c r="J844" i="2"/>
  <c r="I844" i="2"/>
  <c r="H844" i="2"/>
  <c r="G844" i="2"/>
  <c r="F844" i="2"/>
  <c r="E844" i="2"/>
  <c r="D844" i="2"/>
  <c r="C844" i="2"/>
  <c r="B844" i="2"/>
  <c r="A844" i="2"/>
  <c r="AX843" i="2"/>
  <c r="AV843" i="2"/>
  <c r="AU843" i="2"/>
  <c r="AS843" i="2"/>
  <c r="AR843" i="2"/>
  <c r="AN843" i="2"/>
  <c r="AM843" i="2"/>
  <c r="AK843" i="2"/>
  <c r="AJ843" i="2"/>
  <c r="AI843" i="2"/>
  <c r="AH843" i="2"/>
  <c r="AG843" i="2"/>
  <c r="AC843" i="2"/>
  <c r="Z843" i="2"/>
  <c r="Y843" i="2"/>
  <c r="X843" i="2"/>
  <c r="W843" i="2"/>
  <c r="V843" i="2"/>
  <c r="U843" i="2"/>
  <c r="T843" i="2"/>
  <c r="S843" i="2"/>
  <c r="R843" i="2"/>
  <c r="Q843" i="2"/>
  <c r="P843" i="2"/>
  <c r="O843" i="2"/>
  <c r="N843" i="2"/>
  <c r="M843" i="2"/>
  <c r="L843" i="2"/>
  <c r="K843" i="2"/>
  <c r="J843" i="2"/>
  <c r="I843" i="2"/>
  <c r="H843" i="2"/>
  <c r="G843" i="2"/>
  <c r="F843" i="2"/>
  <c r="E843" i="2"/>
  <c r="D843" i="2"/>
  <c r="C843" i="2"/>
  <c r="B843" i="2"/>
  <c r="A843" i="2"/>
  <c r="AX842" i="2"/>
  <c r="AV842" i="2"/>
  <c r="AU842" i="2"/>
  <c r="AS842" i="2"/>
  <c r="AR842" i="2"/>
  <c r="AN842" i="2"/>
  <c r="AM842" i="2"/>
  <c r="AK842" i="2"/>
  <c r="AI842" i="2"/>
  <c r="AH842" i="2"/>
  <c r="AG842" i="2"/>
  <c r="AE842" i="2"/>
  <c r="AD842" i="2"/>
  <c r="AC842" i="2"/>
  <c r="AA842" i="2"/>
  <c r="Z842" i="2"/>
  <c r="Y842" i="2"/>
  <c r="X842" i="2"/>
  <c r="W842" i="2"/>
  <c r="V842" i="2"/>
  <c r="U842" i="2"/>
  <c r="T842" i="2"/>
  <c r="S842" i="2"/>
  <c r="R842" i="2"/>
  <c r="Q842" i="2"/>
  <c r="P842" i="2"/>
  <c r="O842" i="2"/>
  <c r="N842" i="2"/>
  <c r="M842" i="2"/>
  <c r="L842" i="2"/>
  <c r="K842" i="2"/>
  <c r="J842" i="2"/>
  <c r="I842" i="2"/>
  <c r="H842" i="2"/>
  <c r="G842" i="2"/>
  <c r="F842" i="2"/>
  <c r="E842" i="2"/>
  <c r="D842" i="2"/>
  <c r="C842" i="2"/>
  <c r="B842" i="2"/>
  <c r="A842" i="2"/>
  <c r="AX841" i="2"/>
  <c r="AV841" i="2"/>
  <c r="AU841" i="2"/>
  <c r="AT841" i="2"/>
  <c r="AS841" i="2"/>
  <c r="AR841" i="2"/>
  <c r="AN841" i="2"/>
  <c r="AM841" i="2"/>
  <c r="AK841" i="2"/>
  <c r="AI841" i="2"/>
  <c r="AH841" i="2"/>
  <c r="AG841" i="2"/>
  <c r="AE841" i="2"/>
  <c r="AD841" i="2"/>
  <c r="AC841" i="2"/>
  <c r="AB841" i="2"/>
  <c r="AA841" i="2"/>
  <c r="Z841" i="2"/>
  <c r="Y841" i="2"/>
  <c r="X841" i="2"/>
  <c r="W841" i="2"/>
  <c r="V841" i="2"/>
  <c r="U841" i="2"/>
  <c r="T841" i="2"/>
  <c r="S841" i="2"/>
  <c r="R841" i="2"/>
  <c r="Q841" i="2"/>
  <c r="P841" i="2"/>
  <c r="O841" i="2"/>
  <c r="N841" i="2"/>
  <c r="M841" i="2"/>
  <c r="L841" i="2"/>
  <c r="K841" i="2"/>
  <c r="J841" i="2"/>
  <c r="I841" i="2"/>
  <c r="H841" i="2"/>
  <c r="G841" i="2"/>
  <c r="F841" i="2"/>
  <c r="E841" i="2"/>
  <c r="D841" i="2"/>
  <c r="C841" i="2"/>
  <c r="B841" i="2"/>
  <c r="A841" i="2"/>
  <c r="AX840" i="2"/>
  <c r="AV840" i="2"/>
  <c r="AU840" i="2"/>
  <c r="AS840" i="2"/>
  <c r="AN840" i="2"/>
  <c r="AM840" i="2"/>
  <c r="AK840" i="2"/>
  <c r="AJ840" i="2"/>
  <c r="AI840" i="2"/>
  <c r="AH840" i="2"/>
  <c r="AG840" i="2"/>
  <c r="AE840" i="2"/>
  <c r="Z840" i="2"/>
  <c r="Y840" i="2"/>
  <c r="X840" i="2"/>
  <c r="T840" i="2"/>
  <c r="S840" i="2"/>
  <c r="R840" i="2"/>
  <c r="Q840" i="2"/>
  <c r="P840" i="2"/>
  <c r="O840" i="2"/>
  <c r="N840" i="2"/>
  <c r="M840" i="2"/>
  <c r="L840" i="2"/>
  <c r="K840" i="2"/>
  <c r="J840" i="2"/>
  <c r="I840" i="2"/>
  <c r="H840" i="2"/>
  <c r="G840" i="2"/>
  <c r="F840" i="2"/>
  <c r="E840" i="2"/>
  <c r="D840" i="2"/>
  <c r="C840" i="2"/>
  <c r="B840" i="2"/>
  <c r="A840" i="2"/>
  <c r="AX839" i="2"/>
  <c r="AV839" i="2"/>
  <c r="AU839" i="2"/>
  <c r="AS839" i="2"/>
  <c r="AR839" i="2"/>
  <c r="AN839" i="2"/>
  <c r="AM839" i="2"/>
  <c r="AK839" i="2"/>
  <c r="AJ839" i="2"/>
  <c r="AI839" i="2"/>
  <c r="AH839" i="2"/>
  <c r="AG839" i="2"/>
  <c r="AD839" i="2"/>
  <c r="AC839" i="2"/>
  <c r="AA839" i="2"/>
  <c r="Z839" i="2"/>
  <c r="Y839" i="2"/>
  <c r="X839" i="2"/>
  <c r="W839" i="2"/>
  <c r="V839" i="2"/>
  <c r="U839" i="2"/>
  <c r="T839" i="2"/>
  <c r="S839" i="2"/>
  <c r="R839" i="2"/>
  <c r="Q839" i="2"/>
  <c r="P839" i="2"/>
  <c r="O839" i="2"/>
  <c r="N839" i="2"/>
  <c r="M839" i="2"/>
  <c r="L839" i="2"/>
  <c r="K839" i="2"/>
  <c r="J839" i="2"/>
  <c r="I839" i="2"/>
  <c r="H839" i="2"/>
  <c r="G839" i="2"/>
  <c r="F839" i="2"/>
  <c r="E839" i="2"/>
  <c r="D839" i="2"/>
  <c r="C839" i="2"/>
  <c r="B839" i="2"/>
  <c r="A839" i="2"/>
  <c r="AX838" i="2"/>
  <c r="AV838" i="2"/>
  <c r="AU838" i="2"/>
  <c r="AT838" i="2"/>
  <c r="AS838" i="2"/>
  <c r="AN838" i="2"/>
  <c r="AM838" i="2"/>
  <c r="AL838" i="2"/>
  <c r="AK838" i="2"/>
  <c r="AJ838" i="2"/>
  <c r="AI838" i="2"/>
  <c r="AH838" i="2"/>
  <c r="AG838" i="2"/>
  <c r="AF838" i="2"/>
  <c r="AE838" i="2"/>
  <c r="AD838" i="2"/>
  <c r="AC838" i="2"/>
  <c r="AA838" i="2"/>
  <c r="Z838" i="2"/>
  <c r="Y838" i="2"/>
  <c r="X838" i="2"/>
  <c r="W838" i="2"/>
  <c r="V838" i="2"/>
  <c r="U838" i="2"/>
  <c r="T838" i="2"/>
  <c r="S838" i="2"/>
  <c r="R838" i="2"/>
  <c r="Q838" i="2"/>
  <c r="P838" i="2"/>
  <c r="O838" i="2"/>
  <c r="N838" i="2"/>
  <c r="M838" i="2"/>
  <c r="L838" i="2"/>
  <c r="K838" i="2"/>
  <c r="J838" i="2"/>
  <c r="I838" i="2"/>
  <c r="H838" i="2"/>
  <c r="G838" i="2"/>
  <c r="F838" i="2"/>
  <c r="E838" i="2"/>
  <c r="D838" i="2"/>
  <c r="C838" i="2"/>
  <c r="B838" i="2"/>
  <c r="A838" i="2"/>
  <c r="AX837" i="2"/>
  <c r="AV837" i="2"/>
  <c r="AU837" i="2"/>
  <c r="AS837" i="2"/>
  <c r="AR837" i="2"/>
  <c r="AN837" i="2"/>
  <c r="AM837" i="2"/>
  <c r="AL837" i="2"/>
  <c r="AK837" i="2"/>
  <c r="AI837" i="2"/>
  <c r="AH837" i="2"/>
  <c r="AG837" i="2"/>
  <c r="AD837" i="2"/>
  <c r="AC837" i="2"/>
  <c r="Z837" i="2"/>
  <c r="Y837" i="2"/>
  <c r="X837" i="2"/>
  <c r="W837" i="2"/>
  <c r="V837" i="2"/>
  <c r="U837" i="2"/>
  <c r="T837" i="2"/>
  <c r="S837" i="2"/>
  <c r="R837" i="2"/>
  <c r="Q837" i="2"/>
  <c r="P837" i="2"/>
  <c r="O837" i="2"/>
  <c r="N837" i="2"/>
  <c r="M837" i="2"/>
  <c r="L837" i="2"/>
  <c r="K837" i="2"/>
  <c r="J837" i="2"/>
  <c r="I837" i="2"/>
  <c r="H837" i="2"/>
  <c r="G837" i="2"/>
  <c r="F837" i="2"/>
  <c r="E837" i="2"/>
  <c r="D837" i="2"/>
  <c r="C837" i="2"/>
  <c r="B837" i="2"/>
  <c r="A837" i="2"/>
  <c r="AX836" i="2"/>
  <c r="AV836" i="2"/>
  <c r="AU836" i="2"/>
  <c r="AT836" i="2"/>
  <c r="AR836" i="2"/>
  <c r="AN836" i="2"/>
  <c r="AM836" i="2"/>
  <c r="AK836" i="2"/>
  <c r="AJ836" i="2"/>
  <c r="AI836" i="2"/>
  <c r="AH836" i="2"/>
  <c r="AG836" i="2"/>
  <c r="AC836" i="2"/>
  <c r="AA836" i="2"/>
  <c r="Z836" i="2"/>
  <c r="Y836" i="2"/>
  <c r="X836" i="2"/>
  <c r="W836" i="2"/>
  <c r="V836" i="2"/>
  <c r="U836" i="2"/>
  <c r="T836" i="2"/>
  <c r="S836" i="2"/>
  <c r="R836" i="2"/>
  <c r="Q836" i="2"/>
  <c r="P836" i="2"/>
  <c r="O836" i="2"/>
  <c r="N836" i="2"/>
  <c r="M836" i="2"/>
  <c r="L836" i="2"/>
  <c r="K836" i="2"/>
  <c r="J836" i="2"/>
  <c r="I836" i="2"/>
  <c r="H836" i="2"/>
  <c r="G836" i="2"/>
  <c r="F836" i="2"/>
  <c r="E836" i="2"/>
  <c r="D836" i="2"/>
  <c r="C836" i="2"/>
  <c r="B836" i="2"/>
  <c r="A836" i="2"/>
  <c r="AX835" i="2"/>
  <c r="AV835" i="2"/>
  <c r="AU835" i="2"/>
  <c r="AS835" i="2"/>
  <c r="AR835" i="2"/>
  <c r="AN835" i="2"/>
  <c r="AM835" i="2"/>
  <c r="AK835" i="2"/>
  <c r="AJ835" i="2"/>
  <c r="AI835" i="2"/>
  <c r="AH835" i="2"/>
  <c r="AG835" i="2"/>
  <c r="AD835" i="2"/>
  <c r="AC835" i="2"/>
  <c r="AA835" i="2"/>
  <c r="Z835" i="2"/>
  <c r="Y835" i="2"/>
  <c r="X835" i="2"/>
  <c r="W835" i="2"/>
  <c r="V835" i="2"/>
  <c r="U835" i="2"/>
  <c r="T835" i="2"/>
  <c r="S835" i="2"/>
  <c r="R835" i="2"/>
  <c r="Q835" i="2"/>
  <c r="P835" i="2"/>
  <c r="O835" i="2"/>
  <c r="N835" i="2"/>
  <c r="M835" i="2"/>
  <c r="L835" i="2"/>
  <c r="K835" i="2"/>
  <c r="J835" i="2"/>
  <c r="I835" i="2"/>
  <c r="H835" i="2"/>
  <c r="G835" i="2"/>
  <c r="F835" i="2"/>
  <c r="E835" i="2"/>
  <c r="D835" i="2"/>
  <c r="C835" i="2"/>
  <c r="B835" i="2"/>
  <c r="A835" i="2"/>
  <c r="AX834" i="2"/>
  <c r="AV834" i="2"/>
  <c r="AU834" i="2"/>
  <c r="AT834" i="2"/>
  <c r="AS834" i="2"/>
  <c r="AR834" i="2"/>
  <c r="AN834" i="2"/>
  <c r="AM834" i="2"/>
  <c r="AK834" i="2"/>
  <c r="AI834" i="2"/>
  <c r="AH834" i="2"/>
  <c r="AG834" i="2"/>
  <c r="AD834" i="2"/>
  <c r="AC834" i="2"/>
  <c r="AA834" i="2"/>
  <c r="Z834" i="2"/>
  <c r="Y834" i="2"/>
  <c r="X834" i="2"/>
  <c r="W834" i="2"/>
  <c r="V834" i="2"/>
  <c r="U834" i="2"/>
  <c r="T834" i="2"/>
  <c r="S834" i="2"/>
  <c r="R834" i="2"/>
  <c r="Q834" i="2"/>
  <c r="P834" i="2"/>
  <c r="O834" i="2"/>
  <c r="N834" i="2"/>
  <c r="M834" i="2"/>
  <c r="L834" i="2"/>
  <c r="K834" i="2"/>
  <c r="J834" i="2"/>
  <c r="I834" i="2"/>
  <c r="H834" i="2"/>
  <c r="G834" i="2"/>
  <c r="F834" i="2"/>
  <c r="E834" i="2"/>
  <c r="D834" i="2"/>
  <c r="C834" i="2"/>
  <c r="B834" i="2"/>
  <c r="A834" i="2"/>
  <c r="AX833" i="2"/>
  <c r="AV833" i="2"/>
  <c r="AU833" i="2"/>
  <c r="AS833" i="2"/>
  <c r="AR833" i="2"/>
  <c r="AN833" i="2"/>
  <c r="AM833" i="2"/>
  <c r="AL833" i="2"/>
  <c r="AK833" i="2"/>
  <c r="AI833" i="2"/>
  <c r="AH833" i="2"/>
  <c r="AG833" i="2"/>
  <c r="AE833" i="2"/>
  <c r="AD833" i="2"/>
  <c r="AC833" i="2"/>
  <c r="AA833" i="2"/>
  <c r="Z833" i="2"/>
  <c r="Y833" i="2"/>
  <c r="X833" i="2"/>
  <c r="W833" i="2"/>
  <c r="V833" i="2"/>
  <c r="U833" i="2"/>
  <c r="T833" i="2"/>
  <c r="S833" i="2"/>
  <c r="R833" i="2"/>
  <c r="Q833" i="2"/>
  <c r="P833" i="2"/>
  <c r="O833" i="2"/>
  <c r="N833" i="2"/>
  <c r="M833" i="2"/>
  <c r="L833" i="2"/>
  <c r="K833" i="2"/>
  <c r="J833" i="2"/>
  <c r="I833" i="2"/>
  <c r="H833" i="2"/>
  <c r="G833" i="2"/>
  <c r="F833" i="2"/>
  <c r="E833" i="2"/>
  <c r="D833" i="2"/>
  <c r="C833" i="2"/>
  <c r="B833" i="2"/>
  <c r="A833" i="2"/>
  <c r="AX832" i="2"/>
  <c r="AV832" i="2"/>
  <c r="AU832" i="2"/>
  <c r="AS832" i="2"/>
  <c r="AR832" i="2"/>
  <c r="AN832" i="2"/>
  <c r="AM832" i="2"/>
  <c r="AK832" i="2"/>
  <c r="AJ832" i="2"/>
  <c r="AI832" i="2"/>
  <c r="AH832" i="2"/>
  <c r="AG832" i="2"/>
  <c r="AD832" i="2"/>
  <c r="AC832" i="2"/>
  <c r="AA832" i="2"/>
  <c r="Z832" i="2"/>
  <c r="Y832" i="2"/>
  <c r="X832" i="2"/>
  <c r="W832" i="2"/>
  <c r="V832" i="2"/>
  <c r="U832" i="2"/>
  <c r="T832" i="2"/>
  <c r="S832" i="2"/>
  <c r="R832" i="2"/>
  <c r="Q832" i="2"/>
  <c r="P832" i="2"/>
  <c r="O832" i="2"/>
  <c r="N832" i="2"/>
  <c r="M832" i="2"/>
  <c r="L832" i="2"/>
  <c r="K832" i="2"/>
  <c r="J832" i="2"/>
  <c r="I832" i="2"/>
  <c r="H832" i="2"/>
  <c r="G832" i="2"/>
  <c r="F832" i="2"/>
  <c r="E832" i="2"/>
  <c r="D832" i="2"/>
  <c r="C832" i="2"/>
  <c r="B832" i="2"/>
  <c r="A832" i="2"/>
  <c r="AX831" i="2"/>
  <c r="AV831" i="2"/>
  <c r="AU831" i="2"/>
  <c r="AT831" i="2"/>
  <c r="AS831" i="2"/>
  <c r="AR831" i="2"/>
  <c r="AN831" i="2"/>
  <c r="AM831" i="2"/>
  <c r="AK831" i="2"/>
  <c r="AJ831" i="2"/>
  <c r="AI831" i="2"/>
  <c r="AH831" i="2"/>
  <c r="AG831" i="2"/>
  <c r="AC831" i="2"/>
  <c r="AA831" i="2"/>
  <c r="Z831" i="2"/>
  <c r="Y831" i="2"/>
  <c r="X831" i="2"/>
  <c r="W831" i="2"/>
  <c r="V831" i="2"/>
  <c r="U831" i="2"/>
  <c r="T831" i="2"/>
  <c r="S831" i="2"/>
  <c r="R831" i="2"/>
  <c r="Q831" i="2"/>
  <c r="P831" i="2"/>
  <c r="O831" i="2"/>
  <c r="N831" i="2"/>
  <c r="M831" i="2"/>
  <c r="L831" i="2"/>
  <c r="K831" i="2"/>
  <c r="J831" i="2"/>
  <c r="I831" i="2"/>
  <c r="H831" i="2"/>
  <c r="G831" i="2"/>
  <c r="F831" i="2"/>
  <c r="E831" i="2"/>
  <c r="D831" i="2"/>
  <c r="C831" i="2"/>
  <c r="B831" i="2"/>
  <c r="A831" i="2"/>
  <c r="AX830" i="2"/>
  <c r="AV830" i="2"/>
  <c r="AU830" i="2"/>
  <c r="AT830" i="2"/>
  <c r="AS830" i="2"/>
  <c r="AR830" i="2"/>
  <c r="AN830" i="2"/>
  <c r="AM830" i="2"/>
  <c r="AK830" i="2"/>
  <c r="AI830" i="2"/>
  <c r="AH830" i="2"/>
  <c r="AG830" i="2"/>
  <c r="AD830" i="2"/>
  <c r="AC830" i="2"/>
  <c r="AA830" i="2"/>
  <c r="Z830" i="2"/>
  <c r="Y830" i="2"/>
  <c r="X830" i="2"/>
  <c r="W830" i="2"/>
  <c r="V830" i="2"/>
  <c r="U830" i="2"/>
  <c r="T830" i="2"/>
  <c r="S830" i="2"/>
  <c r="R830" i="2"/>
  <c r="Q830" i="2"/>
  <c r="P830" i="2"/>
  <c r="O830" i="2"/>
  <c r="N830" i="2"/>
  <c r="M830" i="2"/>
  <c r="L830" i="2"/>
  <c r="K830" i="2"/>
  <c r="J830" i="2"/>
  <c r="I830" i="2"/>
  <c r="H830" i="2"/>
  <c r="G830" i="2"/>
  <c r="F830" i="2"/>
  <c r="E830" i="2"/>
  <c r="D830" i="2"/>
  <c r="C830" i="2"/>
  <c r="B830" i="2"/>
  <c r="A830" i="2"/>
  <c r="AX829" i="2"/>
  <c r="AV829" i="2"/>
  <c r="AU829" i="2"/>
  <c r="AT829" i="2"/>
  <c r="AS829" i="2"/>
  <c r="AR829" i="2"/>
  <c r="AN829" i="2"/>
  <c r="AM829" i="2"/>
  <c r="AK829" i="2"/>
  <c r="AJ829" i="2"/>
  <c r="AI829" i="2"/>
  <c r="AH829" i="2"/>
  <c r="AG829" i="2"/>
  <c r="AC829" i="2"/>
  <c r="AA829" i="2"/>
  <c r="Z829" i="2"/>
  <c r="Y829" i="2"/>
  <c r="X829" i="2"/>
  <c r="W829" i="2"/>
  <c r="V829" i="2"/>
  <c r="U829" i="2"/>
  <c r="T829" i="2"/>
  <c r="S829" i="2"/>
  <c r="R829" i="2"/>
  <c r="Q829" i="2"/>
  <c r="P829" i="2"/>
  <c r="O829" i="2"/>
  <c r="N829" i="2"/>
  <c r="M829" i="2"/>
  <c r="L829" i="2"/>
  <c r="K829" i="2"/>
  <c r="J829" i="2"/>
  <c r="I829" i="2"/>
  <c r="H829" i="2"/>
  <c r="G829" i="2"/>
  <c r="F829" i="2"/>
  <c r="E829" i="2"/>
  <c r="D829" i="2"/>
  <c r="C829" i="2"/>
  <c r="B829" i="2"/>
  <c r="A829" i="2"/>
  <c r="AX828" i="2"/>
  <c r="AV828" i="2"/>
  <c r="AU828" i="2"/>
  <c r="AS828" i="2"/>
  <c r="AR828" i="2"/>
  <c r="AN828" i="2"/>
  <c r="AM828" i="2"/>
  <c r="AK828" i="2"/>
  <c r="AJ828" i="2"/>
  <c r="AI828" i="2"/>
  <c r="AH828" i="2"/>
  <c r="AG828" i="2"/>
  <c r="AE828" i="2"/>
  <c r="AD828" i="2"/>
  <c r="AC828" i="2"/>
  <c r="AA828" i="2"/>
  <c r="Z828" i="2"/>
  <c r="Y828" i="2"/>
  <c r="X828" i="2"/>
  <c r="W828" i="2"/>
  <c r="V828" i="2"/>
  <c r="U828" i="2"/>
  <c r="T828" i="2"/>
  <c r="S828" i="2"/>
  <c r="R828" i="2"/>
  <c r="Q828" i="2"/>
  <c r="P828" i="2"/>
  <c r="O828" i="2"/>
  <c r="N828" i="2"/>
  <c r="M828" i="2"/>
  <c r="L828" i="2"/>
  <c r="K828" i="2"/>
  <c r="J828" i="2"/>
  <c r="I828" i="2"/>
  <c r="H828" i="2"/>
  <c r="G828" i="2"/>
  <c r="F828" i="2"/>
  <c r="E828" i="2"/>
  <c r="D828" i="2"/>
  <c r="C828" i="2"/>
  <c r="B828" i="2"/>
  <c r="A828" i="2"/>
  <c r="AX827" i="2"/>
  <c r="AV827" i="2"/>
  <c r="AU827" i="2"/>
  <c r="AS827" i="2"/>
  <c r="AR827" i="2"/>
  <c r="AN827" i="2"/>
  <c r="AM827" i="2"/>
  <c r="AL827" i="2"/>
  <c r="AK827" i="2"/>
  <c r="AJ827" i="2"/>
  <c r="AI827" i="2"/>
  <c r="AH827" i="2"/>
  <c r="AG827" i="2"/>
  <c r="AE827" i="2"/>
  <c r="AD827" i="2"/>
  <c r="AC827" i="2"/>
  <c r="AA827" i="2"/>
  <c r="Z827" i="2"/>
  <c r="Y827" i="2"/>
  <c r="X827" i="2"/>
  <c r="W827" i="2"/>
  <c r="V827" i="2"/>
  <c r="U827" i="2"/>
  <c r="T827" i="2"/>
  <c r="S827" i="2"/>
  <c r="R827" i="2"/>
  <c r="Q827" i="2"/>
  <c r="P827" i="2"/>
  <c r="O827" i="2"/>
  <c r="N827" i="2"/>
  <c r="M827" i="2"/>
  <c r="L827" i="2"/>
  <c r="K827" i="2"/>
  <c r="J827" i="2"/>
  <c r="I827" i="2"/>
  <c r="H827" i="2"/>
  <c r="G827" i="2"/>
  <c r="F827" i="2"/>
  <c r="E827" i="2"/>
  <c r="D827" i="2"/>
  <c r="C827" i="2"/>
  <c r="B827" i="2"/>
  <c r="A827" i="2"/>
  <c r="AX826" i="2"/>
  <c r="AV826" i="2"/>
  <c r="AU826" i="2"/>
  <c r="AT826" i="2"/>
  <c r="AS826" i="2"/>
  <c r="AR826" i="2"/>
  <c r="AP826" i="2"/>
  <c r="AN826" i="2"/>
  <c r="AM826" i="2"/>
  <c r="AL826" i="2"/>
  <c r="AJ826" i="2"/>
  <c r="AI826" i="2"/>
  <c r="AH826" i="2"/>
  <c r="AG826" i="2"/>
  <c r="AE826" i="2"/>
  <c r="AD826" i="2"/>
  <c r="AC826" i="2"/>
  <c r="AA826" i="2"/>
  <c r="Z826" i="2"/>
  <c r="Y826" i="2"/>
  <c r="X826" i="2"/>
  <c r="W826" i="2"/>
  <c r="V826" i="2"/>
  <c r="U826" i="2"/>
  <c r="T826" i="2"/>
  <c r="S826" i="2"/>
  <c r="R826" i="2"/>
  <c r="Q826" i="2"/>
  <c r="P826" i="2"/>
  <c r="O826" i="2"/>
  <c r="N826" i="2"/>
  <c r="M826" i="2"/>
  <c r="L826" i="2"/>
  <c r="K826" i="2"/>
  <c r="J826" i="2"/>
  <c r="I826" i="2"/>
  <c r="H826" i="2"/>
  <c r="G826" i="2"/>
  <c r="F826" i="2"/>
  <c r="E826" i="2"/>
  <c r="D826" i="2"/>
  <c r="C826" i="2"/>
  <c r="B826" i="2"/>
  <c r="A826" i="2"/>
  <c r="AX825" i="2"/>
  <c r="AV825" i="2"/>
  <c r="AU825" i="2"/>
  <c r="AT825" i="2"/>
  <c r="AS825" i="2"/>
  <c r="AR825" i="2"/>
  <c r="AN825" i="2"/>
  <c r="AM825" i="2"/>
  <c r="AL825" i="2"/>
  <c r="AK825" i="2"/>
  <c r="AJ825" i="2"/>
  <c r="AI825" i="2"/>
  <c r="AH825" i="2"/>
  <c r="AG825" i="2"/>
  <c r="AE825" i="2"/>
  <c r="AD825" i="2"/>
  <c r="AC825" i="2"/>
  <c r="AA825" i="2"/>
  <c r="Z825" i="2"/>
  <c r="Y825" i="2"/>
  <c r="X825" i="2"/>
  <c r="W825" i="2"/>
  <c r="V825" i="2"/>
  <c r="U825" i="2"/>
  <c r="T825" i="2"/>
  <c r="S825" i="2"/>
  <c r="R825" i="2"/>
  <c r="Q825" i="2"/>
  <c r="P825" i="2"/>
  <c r="O825" i="2"/>
  <c r="N825" i="2"/>
  <c r="M825" i="2"/>
  <c r="L825" i="2"/>
  <c r="K825" i="2"/>
  <c r="J825" i="2"/>
  <c r="I825" i="2"/>
  <c r="H825" i="2"/>
  <c r="G825" i="2"/>
  <c r="F825" i="2"/>
  <c r="E825" i="2"/>
  <c r="D825" i="2"/>
  <c r="C825" i="2"/>
  <c r="B825" i="2"/>
  <c r="A825" i="2"/>
  <c r="AX824" i="2"/>
  <c r="AV824" i="2"/>
  <c r="AU824" i="2"/>
  <c r="AT824" i="2"/>
  <c r="AS824" i="2"/>
  <c r="AR824" i="2"/>
  <c r="AQ824" i="2"/>
  <c r="AP824" i="2"/>
  <c r="AO824" i="2"/>
  <c r="AN824" i="2"/>
  <c r="AM824" i="2"/>
  <c r="AK824" i="2"/>
  <c r="AI824" i="2"/>
  <c r="AH824" i="2"/>
  <c r="AG824" i="2"/>
  <c r="AE824" i="2"/>
  <c r="AD824" i="2"/>
  <c r="AC824" i="2"/>
  <c r="AA824" i="2"/>
  <c r="Z824" i="2"/>
  <c r="Y824" i="2"/>
  <c r="X824" i="2"/>
  <c r="W824" i="2"/>
  <c r="V824" i="2"/>
  <c r="U824" i="2"/>
  <c r="T824" i="2"/>
  <c r="S824" i="2"/>
  <c r="R824" i="2"/>
  <c r="Q824" i="2"/>
  <c r="P824" i="2"/>
  <c r="O824" i="2"/>
  <c r="N824" i="2"/>
  <c r="M824" i="2"/>
  <c r="L824" i="2"/>
  <c r="K824" i="2"/>
  <c r="J824" i="2"/>
  <c r="I824" i="2"/>
  <c r="H824" i="2"/>
  <c r="G824" i="2"/>
  <c r="F824" i="2"/>
  <c r="E824" i="2"/>
  <c r="D824" i="2"/>
  <c r="C824" i="2"/>
  <c r="B824" i="2"/>
  <c r="A824" i="2"/>
  <c r="AX823" i="2"/>
  <c r="AV823" i="2"/>
  <c r="AU823" i="2"/>
  <c r="AS823" i="2"/>
  <c r="AR823" i="2"/>
  <c r="AN823" i="2"/>
  <c r="AM823" i="2"/>
  <c r="AK823" i="2"/>
  <c r="AI823" i="2"/>
  <c r="AH823" i="2"/>
  <c r="AG823" i="2"/>
  <c r="AD823" i="2"/>
  <c r="AC823" i="2"/>
  <c r="AA823" i="2"/>
  <c r="Z823" i="2"/>
  <c r="Y823" i="2"/>
  <c r="X823" i="2"/>
  <c r="W823" i="2"/>
  <c r="V823" i="2"/>
  <c r="U823" i="2"/>
  <c r="T823" i="2"/>
  <c r="S823" i="2"/>
  <c r="R823" i="2"/>
  <c r="Q823" i="2"/>
  <c r="P823" i="2"/>
  <c r="O823" i="2"/>
  <c r="N823" i="2"/>
  <c r="M823" i="2"/>
  <c r="L823" i="2"/>
  <c r="K823" i="2"/>
  <c r="J823" i="2"/>
  <c r="I823" i="2"/>
  <c r="H823" i="2"/>
  <c r="G823" i="2"/>
  <c r="F823" i="2"/>
  <c r="E823" i="2"/>
  <c r="D823" i="2"/>
  <c r="C823" i="2"/>
  <c r="B823" i="2"/>
  <c r="A823" i="2"/>
  <c r="AX822" i="2"/>
  <c r="AV822" i="2"/>
  <c r="AU822" i="2"/>
  <c r="AT822" i="2"/>
  <c r="AS822" i="2"/>
  <c r="AR822" i="2"/>
  <c r="AN822" i="2"/>
  <c r="AM822" i="2"/>
  <c r="AK822" i="2"/>
  <c r="AI822" i="2"/>
  <c r="AH822" i="2"/>
  <c r="AG822" i="2"/>
  <c r="AD822" i="2"/>
  <c r="AC822" i="2"/>
  <c r="AA822" i="2"/>
  <c r="Z822" i="2"/>
  <c r="Y822" i="2"/>
  <c r="X822" i="2"/>
  <c r="W822" i="2"/>
  <c r="V822" i="2"/>
  <c r="U822" i="2"/>
  <c r="T822" i="2"/>
  <c r="S822" i="2"/>
  <c r="R822" i="2"/>
  <c r="Q822" i="2"/>
  <c r="P822" i="2"/>
  <c r="O822" i="2"/>
  <c r="N822" i="2"/>
  <c r="M822" i="2"/>
  <c r="L822" i="2"/>
  <c r="K822" i="2"/>
  <c r="J822" i="2"/>
  <c r="I822" i="2"/>
  <c r="H822" i="2"/>
  <c r="G822" i="2"/>
  <c r="F822" i="2"/>
  <c r="E822" i="2"/>
  <c r="D822" i="2"/>
  <c r="C822" i="2"/>
  <c r="B822" i="2"/>
  <c r="A822" i="2"/>
  <c r="AX821" i="2"/>
  <c r="AW821" i="2"/>
  <c r="AV821" i="2"/>
  <c r="AU821" i="2"/>
  <c r="AT821" i="2"/>
  <c r="AS821" i="2"/>
  <c r="AR821" i="2"/>
  <c r="AO821" i="2"/>
  <c r="AN821" i="2"/>
  <c r="AM821" i="2"/>
  <c r="AL821" i="2"/>
  <c r="AK821" i="2"/>
  <c r="AJ821" i="2"/>
  <c r="AI821" i="2"/>
  <c r="AH821" i="2"/>
  <c r="AG821" i="2"/>
  <c r="AF821" i="2"/>
  <c r="AE821" i="2"/>
  <c r="AD821" i="2"/>
  <c r="AC821" i="2"/>
  <c r="AB821" i="2"/>
  <c r="AA821" i="2"/>
  <c r="Z821" i="2"/>
  <c r="Y821" i="2"/>
  <c r="X821" i="2"/>
  <c r="W821" i="2"/>
  <c r="V821" i="2"/>
  <c r="U821" i="2"/>
  <c r="T821" i="2"/>
  <c r="S821" i="2"/>
  <c r="R821" i="2"/>
  <c r="Q821" i="2"/>
  <c r="P821" i="2"/>
  <c r="O821" i="2"/>
  <c r="N821" i="2"/>
  <c r="M821" i="2"/>
  <c r="L821" i="2"/>
  <c r="K821" i="2"/>
  <c r="J821" i="2"/>
  <c r="I821" i="2"/>
  <c r="H821" i="2"/>
  <c r="G821" i="2"/>
  <c r="F821" i="2"/>
  <c r="E821" i="2"/>
  <c r="D821" i="2"/>
  <c r="C821" i="2"/>
  <c r="B821" i="2"/>
  <c r="A821" i="2"/>
  <c r="AX820" i="2"/>
  <c r="AV820" i="2"/>
  <c r="AU820" i="2"/>
  <c r="AT820" i="2"/>
  <c r="AS820" i="2"/>
  <c r="AR820" i="2"/>
  <c r="AO820" i="2"/>
  <c r="AN820" i="2"/>
  <c r="AM820" i="2"/>
  <c r="AK820" i="2"/>
  <c r="AJ820" i="2"/>
  <c r="AI820" i="2"/>
  <c r="AH820" i="2"/>
  <c r="AG820" i="2"/>
  <c r="AD820" i="2"/>
  <c r="AC820" i="2"/>
  <c r="AA820" i="2"/>
  <c r="Z820" i="2"/>
  <c r="Y820" i="2"/>
  <c r="X820" i="2"/>
  <c r="W820" i="2"/>
  <c r="V820" i="2"/>
  <c r="U820" i="2"/>
  <c r="T820" i="2"/>
  <c r="S820" i="2"/>
  <c r="R820" i="2"/>
  <c r="Q820" i="2"/>
  <c r="P820" i="2"/>
  <c r="O820" i="2"/>
  <c r="N820" i="2"/>
  <c r="M820" i="2"/>
  <c r="L820" i="2"/>
  <c r="K820" i="2"/>
  <c r="J820" i="2"/>
  <c r="I820" i="2"/>
  <c r="H820" i="2"/>
  <c r="G820" i="2"/>
  <c r="F820" i="2"/>
  <c r="E820" i="2"/>
  <c r="D820" i="2"/>
  <c r="C820" i="2"/>
  <c r="B820" i="2"/>
  <c r="A820" i="2"/>
  <c r="AX819" i="2"/>
  <c r="AV819" i="2"/>
  <c r="AU819" i="2"/>
  <c r="AS819" i="2"/>
  <c r="AR819" i="2"/>
  <c r="AO819" i="2"/>
  <c r="AN819" i="2"/>
  <c r="AM819" i="2"/>
  <c r="AK819" i="2"/>
  <c r="AI819" i="2"/>
  <c r="AH819" i="2"/>
  <c r="AG819" i="2"/>
  <c r="AE819" i="2"/>
  <c r="AD819" i="2"/>
  <c r="AC819" i="2"/>
  <c r="Z819" i="2"/>
  <c r="Y819" i="2"/>
  <c r="X819" i="2"/>
  <c r="W819" i="2"/>
  <c r="V819" i="2"/>
  <c r="U819" i="2"/>
  <c r="T819" i="2"/>
  <c r="S819" i="2"/>
  <c r="R819" i="2"/>
  <c r="Q819" i="2"/>
  <c r="P819" i="2"/>
  <c r="O819" i="2"/>
  <c r="N819" i="2"/>
  <c r="M819" i="2"/>
  <c r="L819" i="2"/>
  <c r="K819" i="2"/>
  <c r="J819" i="2"/>
  <c r="I819" i="2"/>
  <c r="H819" i="2"/>
  <c r="G819" i="2"/>
  <c r="F819" i="2"/>
  <c r="E819" i="2"/>
  <c r="D819" i="2"/>
  <c r="C819" i="2"/>
  <c r="B819" i="2"/>
  <c r="A819" i="2"/>
  <c r="AX818" i="2"/>
  <c r="AV818" i="2"/>
  <c r="AU818" i="2"/>
  <c r="AT818" i="2"/>
  <c r="AS818" i="2"/>
  <c r="AR818" i="2"/>
  <c r="AO818" i="2"/>
  <c r="AN818" i="2"/>
  <c r="AM818" i="2"/>
  <c r="AK818" i="2"/>
  <c r="AJ818" i="2"/>
  <c r="AI818" i="2"/>
  <c r="AH818" i="2"/>
  <c r="AG818" i="2"/>
  <c r="AF818" i="2"/>
  <c r="AE818" i="2"/>
  <c r="AD818" i="2"/>
  <c r="AC818" i="2"/>
  <c r="Z818" i="2"/>
  <c r="Y818" i="2"/>
  <c r="X818" i="2"/>
  <c r="W818" i="2"/>
  <c r="V818" i="2"/>
  <c r="U818" i="2"/>
  <c r="T818" i="2"/>
  <c r="S818" i="2"/>
  <c r="R818" i="2"/>
  <c r="Q818" i="2"/>
  <c r="P818" i="2"/>
  <c r="O818" i="2"/>
  <c r="N818" i="2"/>
  <c r="M818" i="2"/>
  <c r="L818" i="2"/>
  <c r="K818" i="2"/>
  <c r="J818" i="2"/>
  <c r="I818" i="2"/>
  <c r="H818" i="2"/>
  <c r="G818" i="2"/>
  <c r="F818" i="2"/>
  <c r="E818" i="2"/>
  <c r="D818" i="2"/>
  <c r="C818" i="2"/>
  <c r="B818" i="2"/>
  <c r="A818" i="2"/>
  <c r="AX817" i="2"/>
  <c r="AV817" i="2"/>
  <c r="AU817" i="2"/>
  <c r="AT817" i="2"/>
  <c r="AS817" i="2"/>
  <c r="AR817" i="2"/>
  <c r="AN817" i="2"/>
  <c r="AM817" i="2"/>
  <c r="AK817" i="2"/>
  <c r="AJ817" i="2"/>
  <c r="AI817" i="2"/>
  <c r="AH817" i="2"/>
  <c r="AG817" i="2"/>
  <c r="AD817" i="2"/>
  <c r="AC817" i="2"/>
  <c r="Z817" i="2"/>
  <c r="Y817" i="2"/>
  <c r="X817" i="2"/>
  <c r="W817" i="2"/>
  <c r="V817" i="2"/>
  <c r="U817" i="2"/>
  <c r="T817" i="2"/>
  <c r="S817" i="2"/>
  <c r="R817" i="2"/>
  <c r="Q817" i="2"/>
  <c r="P817" i="2"/>
  <c r="O817" i="2"/>
  <c r="N817" i="2"/>
  <c r="M817" i="2"/>
  <c r="L817" i="2"/>
  <c r="K817" i="2"/>
  <c r="J817" i="2"/>
  <c r="I817" i="2"/>
  <c r="H817" i="2"/>
  <c r="G817" i="2"/>
  <c r="F817" i="2"/>
  <c r="E817" i="2"/>
  <c r="D817" i="2"/>
  <c r="C817" i="2"/>
  <c r="B817" i="2"/>
  <c r="A817" i="2"/>
  <c r="AX816" i="2"/>
  <c r="AV816" i="2"/>
  <c r="AU816" i="2"/>
  <c r="AT816" i="2"/>
  <c r="AS816" i="2"/>
  <c r="AR816" i="2"/>
  <c r="AO816" i="2"/>
  <c r="AN816" i="2"/>
  <c r="AM816" i="2"/>
  <c r="AL816" i="2"/>
  <c r="AK816" i="2"/>
  <c r="AJ816" i="2"/>
  <c r="AI816" i="2"/>
  <c r="AH816" i="2"/>
  <c r="AG816" i="2"/>
  <c r="AE816" i="2"/>
  <c r="AD816" i="2"/>
  <c r="AC816" i="2"/>
  <c r="AA816" i="2"/>
  <c r="Z816" i="2"/>
  <c r="Y816" i="2"/>
  <c r="X816" i="2"/>
  <c r="W816" i="2"/>
  <c r="V816" i="2"/>
  <c r="U816" i="2"/>
  <c r="T816" i="2"/>
  <c r="S816" i="2"/>
  <c r="R816" i="2"/>
  <c r="Q816" i="2"/>
  <c r="P816" i="2"/>
  <c r="O816" i="2"/>
  <c r="N816" i="2"/>
  <c r="M816" i="2"/>
  <c r="L816" i="2"/>
  <c r="K816" i="2"/>
  <c r="J816" i="2"/>
  <c r="I816" i="2"/>
  <c r="H816" i="2"/>
  <c r="G816" i="2"/>
  <c r="F816" i="2"/>
  <c r="E816" i="2"/>
  <c r="D816" i="2"/>
  <c r="C816" i="2"/>
  <c r="B816" i="2"/>
  <c r="A816" i="2"/>
  <c r="AX815" i="2"/>
  <c r="AV815" i="2"/>
  <c r="AU815" i="2"/>
  <c r="AT815" i="2"/>
  <c r="AS815" i="2"/>
  <c r="AR815" i="2"/>
  <c r="AO815" i="2"/>
  <c r="AN815" i="2"/>
  <c r="AM815" i="2"/>
  <c r="AL815" i="2"/>
  <c r="AK815" i="2"/>
  <c r="AI815" i="2"/>
  <c r="AH815" i="2"/>
  <c r="AG815" i="2"/>
  <c r="AD815" i="2"/>
  <c r="AC815" i="2"/>
  <c r="AA815" i="2"/>
  <c r="Z815" i="2"/>
  <c r="Y815" i="2"/>
  <c r="X815" i="2"/>
  <c r="W815" i="2"/>
  <c r="V815" i="2"/>
  <c r="U815" i="2"/>
  <c r="T815" i="2"/>
  <c r="S815" i="2"/>
  <c r="R815" i="2"/>
  <c r="Q815" i="2"/>
  <c r="P815" i="2"/>
  <c r="O815" i="2"/>
  <c r="N815" i="2"/>
  <c r="M815" i="2"/>
  <c r="L815" i="2"/>
  <c r="K815" i="2"/>
  <c r="J815" i="2"/>
  <c r="I815" i="2"/>
  <c r="H815" i="2"/>
  <c r="G815" i="2"/>
  <c r="F815" i="2"/>
  <c r="E815" i="2"/>
  <c r="D815" i="2"/>
  <c r="C815" i="2"/>
  <c r="B815" i="2"/>
  <c r="A815" i="2"/>
  <c r="AX814" i="2"/>
  <c r="AV814" i="2"/>
  <c r="AU814" i="2"/>
  <c r="AT814" i="2"/>
  <c r="AS814" i="2"/>
  <c r="AR814" i="2"/>
  <c r="AQ814" i="2"/>
  <c r="AP814" i="2"/>
  <c r="AO814" i="2"/>
  <c r="AN814" i="2"/>
  <c r="AM814" i="2"/>
  <c r="AL814" i="2"/>
  <c r="AK814" i="2"/>
  <c r="AI814" i="2"/>
  <c r="AH814" i="2"/>
  <c r="AG814" i="2"/>
  <c r="AC814" i="2"/>
  <c r="Z814" i="2"/>
  <c r="Y814" i="2"/>
  <c r="X814" i="2"/>
  <c r="W814" i="2"/>
  <c r="V814" i="2"/>
  <c r="U814" i="2"/>
  <c r="T814" i="2"/>
  <c r="S814" i="2"/>
  <c r="R814" i="2"/>
  <c r="Q814" i="2"/>
  <c r="P814" i="2"/>
  <c r="O814" i="2"/>
  <c r="N814" i="2"/>
  <c r="M814" i="2"/>
  <c r="L814" i="2"/>
  <c r="K814" i="2"/>
  <c r="J814" i="2"/>
  <c r="I814" i="2"/>
  <c r="H814" i="2"/>
  <c r="G814" i="2"/>
  <c r="F814" i="2"/>
  <c r="E814" i="2"/>
  <c r="D814" i="2"/>
  <c r="C814" i="2"/>
  <c r="B814" i="2"/>
  <c r="A814" i="2"/>
  <c r="AX813" i="2"/>
  <c r="AV813" i="2"/>
  <c r="AU813" i="2"/>
  <c r="AT813" i="2"/>
  <c r="AS813" i="2"/>
  <c r="AR813" i="2"/>
  <c r="AO813" i="2"/>
  <c r="AN813" i="2"/>
  <c r="AM813" i="2"/>
  <c r="AK813" i="2"/>
  <c r="AJ813" i="2"/>
  <c r="AI813" i="2"/>
  <c r="AH813" i="2"/>
  <c r="AG813" i="2"/>
  <c r="AD813" i="2"/>
  <c r="AC813" i="2"/>
  <c r="Z813" i="2"/>
  <c r="Y813" i="2"/>
  <c r="X813" i="2"/>
  <c r="W813" i="2"/>
  <c r="V813" i="2"/>
  <c r="U813" i="2"/>
  <c r="T813" i="2"/>
  <c r="S813" i="2"/>
  <c r="R813" i="2"/>
  <c r="Q813" i="2"/>
  <c r="P813" i="2"/>
  <c r="O813" i="2"/>
  <c r="N813" i="2"/>
  <c r="M813" i="2"/>
  <c r="L813" i="2"/>
  <c r="K813" i="2"/>
  <c r="J813" i="2"/>
  <c r="I813" i="2"/>
  <c r="H813" i="2"/>
  <c r="G813" i="2"/>
  <c r="F813" i="2"/>
  <c r="E813" i="2"/>
  <c r="D813" i="2"/>
  <c r="C813" i="2"/>
  <c r="B813" i="2"/>
  <c r="A813" i="2"/>
  <c r="AX812" i="2"/>
  <c r="AV812" i="2"/>
  <c r="AU812" i="2"/>
  <c r="AS812" i="2"/>
  <c r="AR812" i="2"/>
  <c r="AO812" i="2"/>
  <c r="AN812" i="2"/>
  <c r="AM812" i="2"/>
  <c r="AK812" i="2"/>
  <c r="AI812" i="2"/>
  <c r="AH812" i="2"/>
  <c r="AG812" i="2"/>
  <c r="AC812" i="2"/>
  <c r="Z812" i="2"/>
  <c r="Y812" i="2"/>
  <c r="X812" i="2"/>
  <c r="W812" i="2"/>
  <c r="V812" i="2"/>
  <c r="U812" i="2"/>
  <c r="T812" i="2"/>
  <c r="S812" i="2"/>
  <c r="R812" i="2"/>
  <c r="Q812" i="2"/>
  <c r="P812" i="2"/>
  <c r="O812" i="2"/>
  <c r="N812" i="2"/>
  <c r="M812" i="2"/>
  <c r="L812" i="2"/>
  <c r="K812" i="2"/>
  <c r="J812" i="2"/>
  <c r="I812" i="2"/>
  <c r="H812" i="2"/>
  <c r="G812" i="2"/>
  <c r="F812" i="2"/>
  <c r="E812" i="2"/>
  <c r="D812" i="2"/>
  <c r="C812" i="2"/>
  <c r="B812" i="2"/>
  <c r="A812" i="2"/>
  <c r="AX811" i="2"/>
  <c r="AV811" i="2"/>
  <c r="AU811" i="2"/>
  <c r="AT811" i="2"/>
  <c r="AS811" i="2"/>
  <c r="AR811" i="2"/>
  <c r="AO811" i="2"/>
  <c r="AN811" i="2"/>
  <c r="AM811" i="2"/>
  <c r="AK811" i="2"/>
  <c r="AI811" i="2"/>
  <c r="AH811" i="2"/>
  <c r="AG811" i="2"/>
  <c r="AD811" i="2"/>
  <c r="AC811" i="2"/>
  <c r="Z811" i="2"/>
  <c r="Y811" i="2"/>
  <c r="X811" i="2"/>
  <c r="W811" i="2"/>
  <c r="V811" i="2"/>
  <c r="U811" i="2"/>
  <c r="T811" i="2"/>
  <c r="S811" i="2"/>
  <c r="R811" i="2"/>
  <c r="Q811" i="2"/>
  <c r="P811" i="2"/>
  <c r="O811" i="2"/>
  <c r="N811" i="2"/>
  <c r="M811" i="2"/>
  <c r="L811" i="2"/>
  <c r="K811" i="2"/>
  <c r="J811" i="2"/>
  <c r="I811" i="2"/>
  <c r="H811" i="2"/>
  <c r="G811" i="2"/>
  <c r="F811" i="2"/>
  <c r="E811" i="2"/>
  <c r="D811" i="2"/>
  <c r="C811" i="2"/>
  <c r="B811" i="2"/>
  <c r="A811" i="2"/>
  <c r="AX810" i="2"/>
  <c r="AV810" i="2"/>
  <c r="AU810" i="2"/>
  <c r="AS810" i="2"/>
  <c r="AR810" i="2"/>
  <c r="AP810" i="2"/>
  <c r="AO810" i="2"/>
  <c r="AN810" i="2"/>
  <c r="AM810" i="2"/>
  <c r="AL810" i="2"/>
  <c r="AK810" i="2"/>
  <c r="AI810" i="2"/>
  <c r="AH810" i="2"/>
  <c r="AG810" i="2"/>
  <c r="AD810" i="2"/>
  <c r="AC810" i="2"/>
  <c r="AA810" i="2"/>
  <c r="Z810" i="2"/>
  <c r="Y810" i="2"/>
  <c r="X810" i="2"/>
  <c r="W810" i="2"/>
  <c r="V810" i="2"/>
  <c r="U810" i="2"/>
  <c r="T810" i="2"/>
  <c r="S810" i="2"/>
  <c r="R810" i="2"/>
  <c r="Q810" i="2"/>
  <c r="P810" i="2"/>
  <c r="O810" i="2"/>
  <c r="N810" i="2"/>
  <c r="M810" i="2"/>
  <c r="L810" i="2"/>
  <c r="K810" i="2"/>
  <c r="J810" i="2"/>
  <c r="I810" i="2"/>
  <c r="H810" i="2"/>
  <c r="G810" i="2"/>
  <c r="F810" i="2"/>
  <c r="E810" i="2"/>
  <c r="D810" i="2"/>
  <c r="C810" i="2"/>
  <c r="B810" i="2"/>
  <c r="A810" i="2"/>
  <c r="AX809" i="2"/>
  <c r="AV809" i="2"/>
  <c r="AU809" i="2"/>
  <c r="AS809" i="2"/>
  <c r="AR809" i="2"/>
  <c r="AO809" i="2"/>
  <c r="AN809" i="2"/>
  <c r="AM809" i="2"/>
  <c r="AL809" i="2"/>
  <c r="AK809" i="2"/>
  <c r="AJ809" i="2"/>
  <c r="AI809" i="2"/>
  <c r="AH809" i="2"/>
  <c r="AG809" i="2"/>
  <c r="AF809" i="2"/>
  <c r="AE809" i="2"/>
  <c r="AD809" i="2"/>
  <c r="AC809" i="2"/>
  <c r="AA809" i="2"/>
  <c r="Z809" i="2"/>
  <c r="Y809" i="2"/>
  <c r="X809" i="2"/>
  <c r="W809" i="2"/>
  <c r="V809" i="2"/>
  <c r="U809" i="2"/>
  <c r="T809" i="2"/>
  <c r="S809" i="2"/>
  <c r="R809" i="2"/>
  <c r="Q809" i="2"/>
  <c r="P809" i="2"/>
  <c r="O809" i="2"/>
  <c r="N809" i="2"/>
  <c r="M809" i="2"/>
  <c r="L809" i="2"/>
  <c r="K809" i="2"/>
  <c r="J809" i="2"/>
  <c r="I809" i="2"/>
  <c r="H809" i="2"/>
  <c r="G809" i="2"/>
  <c r="F809" i="2"/>
  <c r="E809" i="2"/>
  <c r="D809" i="2"/>
  <c r="C809" i="2"/>
  <c r="B809" i="2"/>
  <c r="A809" i="2"/>
  <c r="AX808" i="2"/>
  <c r="AV808" i="2"/>
  <c r="AU808" i="2"/>
  <c r="AS808" i="2"/>
  <c r="AR808" i="2"/>
  <c r="AO808" i="2"/>
  <c r="AN808" i="2"/>
  <c r="AM808" i="2"/>
  <c r="AJ808" i="2"/>
  <c r="AI808" i="2"/>
  <c r="AH808" i="2"/>
  <c r="AG808" i="2"/>
  <c r="AD808" i="2"/>
  <c r="AC808" i="2"/>
  <c r="AA808" i="2"/>
  <c r="Z808" i="2"/>
  <c r="Y808" i="2"/>
  <c r="X808" i="2"/>
  <c r="W808" i="2"/>
  <c r="V808" i="2"/>
  <c r="U808" i="2"/>
  <c r="T808" i="2"/>
  <c r="S808" i="2"/>
  <c r="R808" i="2"/>
  <c r="Q808" i="2"/>
  <c r="P808" i="2"/>
  <c r="O808" i="2"/>
  <c r="N808" i="2"/>
  <c r="M808" i="2"/>
  <c r="L808" i="2"/>
  <c r="K808" i="2"/>
  <c r="J808" i="2"/>
  <c r="I808" i="2"/>
  <c r="H808" i="2"/>
  <c r="G808" i="2"/>
  <c r="F808" i="2"/>
  <c r="E808" i="2"/>
  <c r="D808" i="2"/>
  <c r="C808" i="2"/>
  <c r="B808" i="2"/>
  <c r="A808" i="2"/>
  <c r="AX807" i="2"/>
  <c r="AV807" i="2"/>
  <c r="AU807" i="2"/>
  <c r="AT807" i="2"/>
  <c r="AS807" i="2"/>
  <c r="AR807" i="2"/>
  <c r="AQ807" i="2"/>
  <c r="AP807" i="2"/>
  <c r="AO807" i="2"/>
  <c r="AN807" i="2"/>
  <c r="AM807" i="2"/>
  <c r="AL807" i="2"/>
  <c r="AK807" i="2"/>
  <c r="AI807" i="2"/>
  <c r="AH807" i="2"/>
  <c r="AG807" i="2"/>
  <c r="AE807" i="2"/>
  <c r="AD807" i="2"/>
  <c r="AC807" i="2"/>
  <c r="Z807" i="2"/>
  <c r="Y807" i="2"/>
  <c r="X807" i="2"/>
  <c r="W807" i="2"/>
  <c r="V807" i="2"/>
  <c r="U807" i="2"/>
  <c r="T807" i="2"/>
  <c r="S807" i="2"/>
  <c r="R807" i="2"/>
  <c r="Q807" i="2"/>
  <c r="P807" i="2"/>
  <c r="O807" i="2"/>
  <c r="N807" i="2"/>
  <c r="M807" i="2"/>
  <c r="L807" i="2"/>
  <c r="K807" i="2"/>
  <c r="J807" i="2"/>
  <c r="I807" i="2"/>
  <c r="H807" i="2"/>
  <c r="G807" i="2"/>
  <c r="F807" i="2"/>
  <c r="E807" i="2"/>
  <c r="D807" i="2"/>
  <c r="C807" i="2"/>
  <c r="B807" i="2"/>
  <c r="A807" i="2"/>
  <c r="AX806" i="2"/>
  <c r="AV806" i="2"/>
  <c r="AU806" i="2"/>
  <c r="AS806" i="2"/>
  <c r="AR806" i="2"/>
  <c r="AO806" i="2"/>
  <c r="AN806" i="2"/>
  <c r="AM806" i="2"/>
  <c r="AL806" i="2"/>
  <c r="AK806" i="2"/>
  <c r="AJ806" i="2"/>
  <c r="AI806" i="2"/>
  <c r="AH806" i="2"/>
  <c r="AG806" i="2"/>
  <c r="AD806" i="2"/>
  <c r="AC806" i="2"/>
  <c r="AA806" i="2"/>
  <c r="Z806" i="2"/>
  <c r="Y806" i="2"/>
  <c r="X806" i="2"/>
  <c r="W806" i="2"/>
  <c r="V806" i="2"/>
  <c r="U806" i="2"/>
  <c r="T806" i="2"/>
  <c r="S806" i="2"/>
  <c r="R806" i="2"/>
  <c r="Q806" i="2"/>
  <c r="P806" i="2"/>
  <c r="O806" i="2"/>
  <c r="N806" i="2"/>
  <c r="M806" i="2"/>
  <c r="L806" i="2"/>
  <c r="K806" i="2"/>
  <c r="J806" i="2"/>
  <c r="I806" i="2"/>
  <c r="H806" i="2"/>
  <c r="G806" i="2"/>
  <c r="F806" i="2"/>
  <c r="E806" i="2"/>
  <c r="D806" i="2"/>
  <c r="C806" i="2"/>
  <c r="B806" i="2"/>
  <c r="A806" i="2"/>
  <c r="AX805" i="2"/>
  <c r="AV805" i="2"/>
  <c r="AU805" i="2"/>
  <c r="AT805" i="2"/>
  <c r="AS805" i="2"/>
  <c r="AO805" i="2"/>
  <c r="AN805" i="2"/>
  <c r="AM805" i="2"/>
  <c r="AL805" i="2"/>
  <c r="AK805" i="2"/>
  <c r="AJ805" i="2"/>
  <c r="AI805" i="2"/>
  <c r="AH805" i="2"/>
  <c r="AG805" i="2"/>
  <c r="AE805" i="2"/>
  <c r="AD805" i="2"/>
  <c r="AC805" i="2"/>
  <c r="AA805" i="2"/>
  <c r="Z805" i="2"/>
  <c r="Y805" i="2"/>
  <c r="X805" i="2"/>
  <c r="W805" i="2"/>
  <c r="V805" i="2"/>
  <c r="U805" i="2"/>
  <c r="T805" i="2"/>
  <c r="S805" i="2"/>
  <c r="R805" i="2"/>
  <c r="Q805" i="2"/>
  <c r="P805" i="2"/>
  <c r="O805" i="2"/>
  <c r="N805" i="2"/>
  <c r="M805" i="2"/>
  <c r="L805" i="2"/>
  <c r="K805" i="2"/>
  <c r="J805" i="2"/>
  <c r="I805" i="2"/>
  <c r="H805" i="2"/>
  <c r="G805" i="2"/>
  <c r="F805" i="2"/>
  <c r="E805" i="2"/>
  <c r="D805" i="2"/>
  <c r="C805" i="2"/>
  <c r="B805" i="2"/>
  <c r="A805" i="2"/>
  <c r="AX804" i="2"/>
  <c r="AW804" i="2"/>
  <c r="AV804" i="2"/>
  <c r="AU804" i="2"/>
  <c r="AT804" i="2"/>
  <c r="AS804" i="2"/>
  <c r="AR804" i="2"/>
  <c r="AO804" i="2"/>
  <c r="AN804" i="2"/>
  <c r="AM804" i="2"/>
  <c r="AL804" i="2"/>
  <c r="AK804" i="2"/>
  <c r="AJ804" i="2"/>
  <c r="AI804" i="2"/>
  <c r="AH804" i="2"/>
  <c r="AG804" i="2"/>
  <c r="AE804" i="2"/>
  <c r="AD804" i="2"/>
  <c r="AC804" i="2"/>
  <c r="AB804" i="2"/>
  <c r="Z804" i="2"/>
  <c r="Y804" i="2"/>
  <c r="X804" i="2"/>
  <c r="V804" i="2"/>
  <c r="U804" i="2"/>
  <c r="T804" i="2"/>
  <c r="S804" i="2"/>
  <c r="R804" i="2"/>
  <c r="Q804" i="2"/>
  <c r="P804" i="2"/>
  <c r="O804" i="2"/>
  <c r="N804" i="2"/>
  <c r="M804" i="2"/>
  <c r="L804" i="2"/>
  <c r="K804" i="2"/>
  <c r="J804" i="2"/>
  <c r="I804" i="2"/>
  <c r="H804" i="2"/>
  <c r="G804" i="2"/>
  <c r="F804" i="2"/>
  <c r="E804" i="2"/>
  <c r="D804" i="2"/>
  <c r="C804" i="2"/>
  <c r="B804" i="2"/>
  <c r="A804" i="2"/>
  <c r="AX803" i="2"/>
  <c r="AV803" i="2"/>
  <c r="AU803" i="2"/>
  <c r="AT803" i="2"/>
  <c r="AS803" i="2"/>
  <c r="AR803" i="2"/>
  <c r="AO803" i="2"/>
  <c r="AN803" i="2"/>
  <c r="AM803" i="2"/>
  <c r="AK803" i="2"/>
  <c r="AI803" i="2"/>
  <c r="AH803" i="2"/>
  <c r="AG803" i="2"/>
  <c r="AD803" i="2"/>
  <c r="AC803" i="2"/>
  <c r="Z803" i="2"/>
  <c r="Y803" i="2"/>
  <c r="X803" i="2"/>
  <c r="W803" i="2"/>
  <c r="V803" i="2"/>
  <c r="U803" i="2"/>
  <c r="T803" i="2"/>
  <c r="S803" i="2"/>
  <c r="R803" i="2"/>
  <c r="Q803" i="2"/>
  <c r="P803" i="2"/>
  <c r="O803" i="2"/>
  <c r="N803" i="2"/>
  <c r="M803" i="2"/>
  <c r="L803" i="2"/>
  <c r="K803" i="2"/>
  <c r="J803" i="2"/>
  <c r="I803" i="2"/>
  <c r="H803" i="2"/>
  <c r="G803" i="2"/>
  <c r="F803" i="2"/>
  <c r="E803" i="2"/>
  <c r="D803" i="2"/>
  <c r="C803" i="2"/>
  <c r="B803" i="2"/>
  <c r="A803" i="2"/>
  <c r="AX802" i="2"/>
  <c r="AV802" i="2"/>
  <c r="AU802" i="2"/>
  <c r="AS802" i="2"/>
  <c r="AR802" i="2"/>
  <c r="AO802" i="2"/>
  <c r="AN802" i="2"/>
  <c r="AM802" i="2"/>
  <c r="AK802" i="2"/>
  <c r="AJ802" i="2"/>
  <c r="AI802" i="2"/>
  <c r="AH802" i="2"/>
  <c r="AG802" i="2"/>
  <c r="AD802" i="2"/>
  <c r="AC802" i="2"/>
  <c r="AA802" i="2"/>
  <c r="Z802" i="2"/>
  <c r="Y802" i="2"/>
  <c r="X802" i="2"/>
  <c r="W802" i="2"/>
  <c r="V802" i="2"/>
  <c r="U802" i="2"/>
  <c r="T802" i="2"/>
  <c r="S802" i="2"/>
  <c r="R802" i="2"/>
  <c r="Q802" i="2"/>
  <c r="P802" i="2"/>
  <c r="O802" i="2"/>
  <c r="N802" i="2"/>
  <c r="M802" i="2"/>
  <c r="L802" i="2"/>
  <c r="K802" i="2"/>
  <c r="J802" i="2"/>
  <c r="I802" i="2"/>
  <c r="H802" i="2"/>
  <c r="G802" i="2"/>
  <c r="F802" i="2"/>
  <c r="E802" i="2"/>
  <c r="D802" i="2"/>
  <c r="C802" i="2"/>
  <c r="B802" i="2"/>
  <c r="A802" i="2"/>
  <c r="AX801" i="2"/>
  <c r="AV801" i="2"/>
  <c r="AU801" i="2"/>
  <c r="AT801" i="2"/>
  <c r="AS801" i="2"/>
  <c r="AR801" i="2"/>
  <c r="AO801" i="2"/>
  <c r="AN801" i="2"/>
  <c r="AM801" i="2"/>
  <c r="AL801" i="2"/>
  <c r="AK801" i="2"/>
  <c r="AJ801" i="2"/>
  <c r="AI801" i="2"/>
  <c r="AH801" i="2"/>
  <c r="AG801" i="2"/>
  <c r="AE801" i="2"/>
  <c r="AD801" i="2"/>
  <c r="AC801" i="2"/>
  <c r="AA801" i="2"/>
  <c r="Z801" i="2"/>
  <c r="Y801" i="2"/>
  <c r="X801" i="2"/>
  <c r="W801" i="2"/>
  <c r="V801" i="2"/>
  <c r="U801" i="2"/>
  <c r="T801" i="2"/>
  <c r="S801" i="2"/>
  <c r="R801" i="2"/>
  <c r="Q801" i="2"/>
  <c r="P801" i="2"/>
  <c r="O801" i="2"/>
  <c r="N801" i="2"/>
  <c r="M801" i="2"/>
  <c r="L801" i="2"/>
  <c r="K801" i="2"/>
  <c r="J801" i="2"/>
  <c r="I801" i="2"/>
  <c r="H801" i="2"/>
  <c r="G801" i="2"/>
  <c r="F801" i="2"/>
  <c r="E801" i="2"/>
  <c r="D801" i="2"/>
  <c r="C801" i="2"/>
  <c r="B801" i="2"/>
  <c r="A801" i="2"/>
  <c r="AX800" i="2"/>
  <c r="AV800" i="2"/>
  <c r="AU800" i="2"/>
  <c r="AS800" i="2"/>
  <c r="AR800" i="2"/>
  <c r="AO800" i="2"/>
  <c r="AN800" i="2"/>
  <c r="AM800" i="2"/>
  <c r="AK800" i="2"/>
  <c r="AJ800" i="2"/>
  <c r="AI800" i="2"/>
  <c r="AH800" i="2"/>
  <c r="AG800" i="2"/>
  <c r="AE800" i="2"/>
  <c r="AD800" i="2"/>
  <c r="AC800" i="2"/>
  <c r="AA800" i="2"/>
  <c r="Z800" i="2"/>
  <c r="Y800" i="2"/>
  <c r="X800" i="2"/>
  <c r="W800" i="2"/>
  <c r="V800" i="2"/>
  <c r="U800" i="2"/>
  <c r="T800" i="2"/>
  <c r="S800" i="2"/>
  <c r="R800" i="2"/>
  <c r="Q800" i="2"/>
  <c r="P800" i="2"/>
  <c r="O800" i="2"/>
  <c r="N800" i="2"/>
  <c r="M800" i="2"/>
  <c r="L800" i="2"/>
  <c r="K800" i="2"/>
  <c r="J800" i="2"/>
  <c r="I800" i="2"/>
  <c r="H800" i="2"/>
  <c r="G800" i="2"/>
  <c r="F800" i="2"/>
  <c r="E800" i="2"/>
  <c r="D800" i="2"/>
  <c r="C800" i="2"/>
  <c r="B800" i="2"/>
  <c r="A800" i="2"/>
  <c r="AX799" i="2"/>
  <c r="AV799" i="2"/>
  <c r="AU799" i="2"/>
  <c r="AS799" i="2"/>
  <c r="AR799" i="2"/>
  <c r="AO799" i="2"/>
  <c r="AN799" i="2"/>
  <c r="AM799" i="2"/>
  <c r="AL799" i="2"/>
  <c r="AK799" i="2"/>
  <c r="AJ799" i="2"/>
  <c r="AI799" i="2"/>
  <c r="AH799" i="2"/>
  <c r="AG799" i="2"/>
  <c r="AF799" i="2"/>
  <c r="AE799" i="2"/>
  <c r="AD799" i="2"/>
  <c r="AC799" i="2"/>
  <c r="AA799" i="2"/>
  <c r="Z799" i="2"/>
  <c r="Y799" i="2"/>
  <c r="X799" i="2"/>
  <c r="W799" i="2"/>
  <c r="V799" i="2"/>
  <c r="U799" i="2"/>
  <c r="T799" i="2"/>
  <c r="S799" i="2"/>
  <c r="R799" i="2"/>
  <c r="Q799" i="2"/>
  <c r="P799" i="2"/>
  <c r="O799" i="2"/>
  <c r="N799" i="2"/>
  <c r="M799" i="2"/>
  <c r="L799" i="2"/>
  <c r="K799" i="2"/>
  <c r="J799" i="2"/>
  <c r="I799" i="2"/>
  <c r="H799" i="2"/>
  <c r="G799" i="2"/>
  <c r="F799" i="2"/>
  <c r="E799" i="2"/>
  <c r="D799" i="2"/>
  <c r="C799" i="2"/>
  <c r="B799" i="2"/>
  <c r="A799" i="2"/>
  <c r="AX798" i="2"/>
  <c r="AV798" i="2"/>
  <c r="AU798" i="2"/>
  <c r="AS798" i="2"/>
  <c r="AR798" i="2"/>
  <c r="AO798" i="2"/>
  <c r="AN798" i="2"/>
  <c r="AM798" i="2"/>
  <c r="AL798" i="2"/>
  <c r="AK798" i="2"/>
  <c r="AJ798" i="2"/>
  <c r="AI798" i="2"/>
  <c r="AH798" i="2"/>
  <c r="AG798" i="2"/>
  <c r="AE798" i="2"/>
  <c r="AD798" i="2"/>
  <c r="AC798" i="2"/>
  <c r="AA798" i="2"/>
  <c r="Z798" i="2"/>
  <c r="Y798" i="2"/>
  <c r="X798" i="2"/>
  <c r="W798" i="2"/>
  <c r="V798" i="2"/>
  <c r="U798" i="2"/>
  <c r="T798" i="2"/>
  <c r="S798" i="2"/>
  <c r="R798" i="2"/>
  <c r="Q798" i="2"/>
  <c r="P798" i="2"/>
  <c r="O798" i="2"/>
  <c r="N798" i="2"/>
  <c r="M798" i="2"/>
  <c r="L798" i="2"/>
  <c r="K798" i="2"/>
  <c r="J798" i="2"/>
  <c r="I798" i="2"/>
  <c r="H798" i="2"/>
  <c r="G798" i="2"/>
  <c r="F798" i="2"/>
  <c r="E798" i="2"/>
  <c r="D798" i="2"/>
  <c r="C798" i="2"/>
  <c r="B798" i="2"/>
  <c r="A798" i="2"/>
  <c r="AX797" i="2"/>
  <c r="AV797" i="2"/>
  <c r="AU797" i="2"/>
  <c r="AT797" i="2"/>
  <c r="AS797" i="2"/>
  <c r="AR797" i="2"/>
  <c r="AO797" i="2"/>
  <c r="AN797" i="2"/>
  <c r="AM797" i="2"/>
  <c r="AL797" i="2"/>
  <c r="AK797" i="2"/>
  <c r="AJ797" i="2"/>
  <c r="AI797" i="2"/>
  <c r="AH797" i="2"/>
  <c r="AG797" i="2"/>
  <c r="AF797" i="2"/>
  <c r="AE797" i="2"/>
  <c r="AD797" i="2"/>
  <c r="AC797" i="2"/>
  <c r="Z797" i="2"/>
  <c r="Y797" i="2"/>
  <c r="X797" i="2"/>
  <c r="W797" i="2"/>
  <c r="V797" i="2"/>
  <c r="U797" i="2"/>
  <c r="T797" i="2"/>
  <c r="S797" i="2"/>
  <c r="R797" i="2"/>
  <c r="Q797" i="2"/>
  <c r="P797" i="2"/>
  <c r="O797" i="2"/>
  <c r="N797" i="2"/>
  <c r="M797" i="2"/>
  <c r="L797" i="2"/>
  <c r="K797" i="2"/>
  <c r="J797" i="2"/>
  <c r="I797" i="2"/>
  <c r="H797" i="2"/>
  <c r="G797" i="2"/>
  <c r="F797" i="2"/>
  <c r="E797" i="2"/>
  <c r="D797" i="2"/>
  <c r="C797" i="2"/>
  <c r="B797" i="2"/>
  <c r="A797" i="2"/>
  <c r="AX796" i="2"/>
  <c r="AV796" i="2"/>
  <c r="AU796" i="2"/>
  <c r="AS796" i="2"/>
  <c r="AR796" i="2"/>
  <c r="AO796" i="2"/>
  <c r="AN796" i="2"/>
  <c r="AM796" i="2"/>
  <c r="AL796" i="2"/>
  <c r="AK796" i="2"/>
  <c r="AJ796" i="2"/>
  <c r="AI796" i="2"/>
  <c r="AH796" i="2"/>
  <c r="AG796" i="2"/>
  <c r="AE796" i="2"/>
  <c r="AD796" i="2"/>
  <c r="AC796" i="2"/>
  <c r="AA796" i="2"/>
  <c r="Z796" i="2"/>
  <c r="Y796" i="2"/>
  <c r="X796" i="2"/>
  <c r="W796" i="2"/>
  <c r="V796" i="2"/>
  <c r="U796" i="2"/>
  <c r="T796" i="2"/>
  <c r="S796" i="2"/>
  <c r="R796" i="2"/>
  <c r="Q796" i="2"/>
  <c r="P796" i="2"/>
  <c r="O796" i="2"/>
  <c r="N796" i="2"/>
  <c r="M796" i="2"/>
  <c r="L796" i="2"/>
  <c r="K796" i="2"/>
  <c r="J796" i="2"/>
  <c r="I796" i="2"/>
  <c r="H796" i="2"/>
  <c r="G796" i="2"/>
  <c r="F796" i="2"/>
  <c r="E796" i="2"/>
  <c r="D796" i="2"/>
  <c r="C796" i="2"/>
  <c r="B796" i="2"/>
  <c r="A796" i="2"/>
  <c r="AX795" i="2"/>
  <c r="AV795" i="2"/>
  <c r="AU795" i="2"/>
  <c r="AT795" i="2"/>
  <c r="AS795" i="2"/>
  <c r="AR795" i="2"/>
  <c r="AO795" i="2"/>
  <c r="AN795" i="2"/>
  <c r="AM795" i="2"/>
  <c r="AK795" i="2"/>
  <c r="AJ795" i="2"/>
  <c r="AI795" i="2"/>
  <c r="AH795" i="2"/>
  <c r="AG795" i="2"/>
  <c r="AD795" i="2"/>
  <c r="AC795" i="2"/>
  <c r="AA795" i="2"/>
  <c r="Z795" i="2"/>
  <c r="Y795" i="2"/>
  <c r="X795" i="2"/>
  <c r="W795" i="2"/>
  <c r="V795" i="2"/>
  <c r="U795" i="2"/>
  <c r="T795" i="2"/>
  <c r="S795" i="2"/>
  <c r="R795" i="2"/>
  <c r="Q795" i="2"/>
  <c r="P795" i="2"/>
  <c r="O795" i="2"/>
  <c r="N795" i="2"/>
  <c r="M795" i="2"/>
  <c r="L795" i="2"/>
  <c r="K795" i="2"/>
  <c r="J795" i="2"/>
  <c r="I795" i="2"/>
  <c r="H795" i="2"/>
  <c r="G795" i="2"/>
  <c r="F795" i="2"/>
  <c r="E795" i="2"/>
  <c r="D795" i="2"/>
  <c r="C795" i="2"/>
  <c r="B795" i="2"/>
  <c r="A795" i="2"/>
  <c r="AX794" i="2"/>
  <c r="AV794" i="2"/>
  <c r="AU794" i="2"/>
  <c r="AT794" i="2"/>
  <c r="AS794" i="2"/>
  <c r="AR794" i="2"/>
  <c r="AO794" i="2"/>
  <c r="AN794" i="2"/>
  <c r="AM794" i="2"/>
  <c r="AK794" i="2"/>
  <c r="AJ794" i="2"/>
  <c r="AI794" i="2"/>
  <c r="AH794" i="2"/>
  <c r="AG794" i="2"/>
  <c r="AE794" i="2"/>
  <c r="AD794" i="2"/>
  <c r="AC794" i="2"/>
  <c r="Z794" i="2"/>
  <c r="Y794" i="2"/>
  <c r="X794" i="2"/>
  <c r="W794" i="2"/>
  <c r="V794" i="2"/>
  <c r="U794" i="2"/>
  <c r="T794" i="2"/>
  <c r="S794" i="2"/>
  <c r="R794" i="2"/>
  <c r="Q794" i="2"/>
  <c r="P794" i="2"/>
  <c r="O794" i="2"/>
  <c r="N794" i="2"/>
  <c r="M794" i="2"/>
  <c r="L794" i="2"/>
  <c r="K794" i="2"/>
  <c r="J794" i="2"/>
  <c r="I794" i="2"/>
  <c r="H794" i="2"/>
  <c r="G794" i="2"/>
  <c r="F794" i="2"/>
  <c r="E794" i="2"/>
  <c r="D794" i="2"/>
  <c r="C794" i="2"/>
  <c r="B794" i="2"/>
  <c r="A794" i="2"/>
  <c r="AX793" i="2"/>
  <c r="AV793" i="2"/>
  <c r="AU793" i="2"/>
  <c r="AS793" i="2"/>
  <c r="AR793" i="2"/>
  <c r="AO793" i="2"/>
  <c r="AN793" i="2"/>
  <c r="AM793" i="2"/>
  <c r="AK793" i="2"/>
  <c r="AJ793" i="2"/>
  <c r="AI793" i="2"/>
  <c r="AH793" i="2"/>
  <c r="AG793" i="2"/>
  <c r="AD793" i="2"/>
  <c r="AC793" i="2"/>
  <c r="Z793" i="2"/>
  <c r="Y793" i="2"/>
  <c r="X793" i="2"/>
  <c r="W793" i="2"/>
  <c r="V793" i="2"/>
  <c r="U793" i="2"/>
  <c r="T793" i="2"/>
  <c r="S793" i="2"/>
  <c r="R793" i="2"/>
  <c r="Q793" i="2"/>
  <c r="P793" i="2"/>
  <c r="O793" i="2"/>
  <c r="N793" i="2"/>
  <c r="M793" i="2"/>
  <c r="L793" i="2"/>
  <c r="K793" i="2"/>
  <c r="J793" i="2"/>
  <c r="I793" i="2"/>
  <c r="H793" i="2"/>
  <c r="G793" i="2"/>
  <c r="F793" i="2"/>
  <c r="E793" i="2"/>
  <c r="D793" i="2"/>
  <c r="C793" i="2"/>
  <c r="B793" i="2"/>
  <c r="A793" i="2"/>
  <c r="AX792" i="2"/>
  <c r="AV792" i="2"/>
  <c r="AU792" i="2"/>
  <c r="AT792" i="2"/>
  <c r="AS792" i="2"/>
  <c r="AR792" i="2"/>
  <c r="AO792" i="2"/>
  <c r="AN792" i="2"/>
  <c r="AM792" i="2"/>
  <c r="AL792" i="2"/>
  <c r="AK792" i="2"/>
  <c r="AJ792" i="2"/>
  <c r="AI792" i="2"/>
  <c r="AH792" i="2"/>
  <c r="AG792" i="2"/>
  <c r="AE792" i="2"/>
  <c r="AD792" i="2"/>
  <c r="AC792" i="2"/>
  <c r="AA792" i="2"/>
  <c r="Z792" i="2"/>
  <c r="Y792" i="2"/>
  <c r="X792" i="2"/>
  <c r="W792" i="2"/>
  <c r="V792" i="2"/>
  <c r="U792" i="2"/>
  <c r="T792" i="2"/>
  <c r="S792" i="2"/>
  <c r="R792" i="2"/>
  <c r="Q792" i="2"/>
  <c r="P792" i="2"/>
  <c r="O792" i="2"/>
  <c r="N792" i="2"/>
  <c r="M792" i="2"/>
  <c r="L792" i="2"/>
  <c r="K792" i="2"/>
  <c r="J792" i="2"/>
  <c r="I792" i="2"/>
  <c r="H792" i="2"/>
  <c r="G792" i="2"/>
  <c r="F792" i="2"/>
  <c r="E792" i="2"/>
  <c r="D792" i="2"/>
  <c r="C792" i="2"/>
  <c r="B792" i="2"/>
  <c r="A792" i="2"/>
  <c r="AX791" i="2"/>
  <c r="AV791" i="2"/>
  <c r="AU791" i="2"/>
  <c r="AS791" i="2"/>
  <c r="AR791" i="2"/>
  <c r="AO791" i="2"/>
  <c r="AN791" i="2"/>
  <c r="AM791" i="2"/>
  <c r="AK791" i="2"/>
  <c r="AJ791" i="2"/>
  <c r="AI791" i="2"/>
  <c r="AH791" i="2"/>
  <c r="AG791" i="2"/>
  <c r="AD791" i="2"/>
  <c r="AC791" i="2"/>
  <c r="Z791" i="2"/>
  <c r="Y791" i="2"/>
  <c r="X791" i="2"/>
  <c r="W791" i="2"/>
  <c r="V791" i="2"/>
  <c r="U791" i="2"/>
  <c r="T791" i="2"/>
  <c r="S791" i="2"/>
  <c r="R791" i="2"/>
  <c r="Q791" i="2"/>
  <c r="P791" i="2"/>
  <c r="O791" i="2"/>
  <c r="N791" i="2"/>
  <c r="M791" i="2"/>
  <c r="L791" i="2"/>
  <c r="K791" i="2"/>
  <c r="J791" i="2"/>
  <c r="I791" i="2"/>
  <c r="H791" i="2"/>
  <c r="G791" i="2"/>
  <c r="F791" i="2"/>
  <c r="E791" i="2"/>
  <c r="D791" i="2"/>
  <c r="C791" i="2"/>
  <c r="B791" i="2"/>
  <c r="A791" i="2"/>
  <c r="AX790" i="2"/>
  <c r="AV790" i="2"/>
  <c r="AU790" i="2"/>
  <c r="AT790" i="2"/>
  <c r="AS790" i="2"/>
  <c r="AR790" i="2"/>
  <c r="AO790" i="2"/>
  <c r="AN790" i="2"/>
  <c r="AM790" i="2"/>
  <c r="AK790" i="2"/>
  <c r="AJ790" i="2"/>
  <c r="AI790" i="2"/>
  <c r="AH790" i="2"/>
  <c r="AG790" i="2"/>
  <c r="AE790" i="2"/>
  <c r="AD790" i="2"/>
  <c r="AC790" i="2"/>
  <c r="Z790" i="2"/>
  <c r="Y790" i="2"/>
  <c r="X790" i="2"/>
  <c r="W790" i="2"/>
  <c r="V790" i="2"/>
  <c r="U790" i="2"/>
  <c r="T790" i="2"/>
  <c r="S790" i="2"/>
  <c r="R790" i="2"/>
  <c r="Q790" i="2"/>
  <c r="P790" i="2"/>
  <c r="O790" i="2"/>
  <c r="N790" i="2"/>
  <c r="M790" i="2"/>
  <c r="L790" i="2"/>
  <c r="K790" i="2"/>
  <c r="J790" i="2"/>
  <c r="I790" i="2"/>
  <c r="H790" i="2"/>
  <c r="G790" i="2"/>
  <c r="F790" i="2"/>
  <c r="E790" i="2"/>
  <c r="D790" i="2"/>
  <c r="C790" i="2"/>
  <c r="B790" i="2"/>
  <c r="A790" i="2"/>
  <c r="AX789" i="2"/>
  <c r="AV789" i="2"/>
  <c r="AU789" i="2"/>
  <c r="AS789" i="2"/>
  <c r="AR789" i="2"/>
  <c r="AO789" i="2"/>
  <c r="AN789" i="2"/>
  <c r="AM789" i="2"/>
  <c r="AL789" i="2"/>
  <c r="AK789" i="2"/>
  <c r="AJ789" i="2"/>
  <c r="AI789" i="2"/>
  <c r="AH789" i="2"/>
  <c r="AG789" i="2"/>
  <c r="AE789" i="2"/>
  <c r="AD789" i="2"/>
  <c r="AC789" i="2"/>
  <c r="AA789" i="2"/>
  <c r="Z789" i="2"/>
  <c r="Y789" i="2"/>
  <c r="X789" i="2"/>
  <c r="W789" i="2"/>
  <c r="V789" i="2"/>
  <c r="U789" i="2"/>
  <c r="T789" i="2"/>
  <c r="S789" i="2"/>
  <c r="R789" i="2"/>
  <c r="Q789" i="2"/>
  <c r="P789" i="2"/>
  <c r="O789" i="2"/>
  <c r="N789" i="2"/>
  <c r="M789" i="2"/>
  <c r="L789" i="2"/>
  <c r="K789" i="2"/>
  <c r="J789" i="2"/>
  <c r="I789" i="2"/>
  <c r="H789" i="2"/>
  <c r="G789" i="2"/>
  <c r="F789" i="2"/>
  <c r="E789" i="2"/>
  <c r="D789" i="2"/>
  <c r="C789" i="2"/>
  <c r="B789" i="2"/>
  <c r="A789" i="2"/>
  <c r="AX788" i="2"/>
  <c r="AV788" i="2"/>
  <c r="AU788" i="2"/>
  <c r="AT788" i="2"/>
  <c r="AS788" i="2"/>
  <c r="AR788" i="2"/>
  <c r="AO788" i="2"/>
  <c r="AN788" i="2"/>
  <c r="AM788" i="2"/>
  <c r="AK788" i="2"/>
  <c r="AJ788" i="2"/>
  <c r="AI788" i="2"/>
  <c r="AH788" i="2"/>
  <c r="AG788" i="2"/>
  <c r="AE788" i="2"/>
  <c r="AD788" i="2"/>
  <c r="AC788" i="2"/>
  <c r="Z788" i="2"/>
  <c r="Y788" i="2"/>
  <c r="X788" i="2"/>
  <c r="W788" i="2"/>
  <c r="V788" i="2"/>
  <c r="U788" i="2"/>
  <c r="T788" i="2"/>
  <c r="S788" i="2"/>
  <c r="R788" i="2"/>
  <c r="Q788" i="2"/>
  <c r="P788" i="2"/>
  <c r="O788" i="2"/>
  <c r="N788" i="2"/>
  <c r="M788" i="2"/>
  <c r="L788" i="2"/>
  <c r="K788" i="2"/>
  <c r="J788" i="2"/>
  <c r="I788" i="2"/>
  <c r="H788" i="2"/>
  <c r="G788" i="2"/>
  <c r="F788" i="2"/>
  <c r="E788" i="2"/>
  <c r="D788" i="2"/>
  <c r="C788" i="2"/>
  <c r="B788" i="2"/>
  <c r="A788" i="2"/>
  <c r="AX787" i="2"/>
  <c r="AV787" i="2"/>
  <c r="AU787" i="2"/>
  <c r="AS787" i="2"/>
  <c r="AR787" i="2"/>
  <c r="AO787" i="2"/>
  <c r="AN787" i="2"/>
  <c r="AM787" i="2"/>
  <c r="AL787" i="2"/>
  <c r="AK787" i="2"/>
  <c r="AJ787" i="2"/>
  <c r="AI787" i="2"/>
  <c r="AH787" i="2"/>
  <c r="AG787" i="2"/>
  <c r="AE787" i="2"/>
  <c r="AD787" i="2"/>
  <c r="AC787" i="2"/>
  <c r="AA787" i="2"/>
  <c r="Z787" i="2"/>
  <c r="Y787" i="2"/>
  <c r="X787" i="2"/>
  <c r="W787" i="2"/>
  <c r="V787" i="2"/>
  <c r="U787" i="2"/>
  <c r="T787" i="2"/>
  <c r="S787" i="2"/>
  <c r="R787" i="2"/>
  <c r="Q787" i="2"/>
  <c r="P787" i="2"/>
  <c r="O787" i="2"/>
  <c r="N787" i="2"/>
  <c r="M787" i="2"/>
  <c r="L787" i="2"/>
  <c r="K787" i="2"/>
  <c r="J787" i="2"/>
  <c r="I787" i="2"/>
  <c r="H787" i="2"/>
  <c r="G787" i="2"/>
  <c r="F787" i="2"/>
  <c r="E787" i="2"/>
  <c r="D787" i="2"/>
  <c r="C787" i="2"/>
  <c r="B787" i="2"/>
  <c r="A787" i="2"/>
  <c r="AX786" i="2"/>
  <c r="AV786" i="2"/>
  <c r="AU786" i="2"/>
  <c r="AS786" i="2"/>
  <c r="AR786" i="2"/>
  <c r="AO786" i="2"/>
  <c r="AN786" i="2"/>
  <c r="AM786" i="2"/>
  <c r="AL786" i="2"/>
  <c r="AK786" i="2"/>
  <c r="AJ786" i="2"/>
  <c r="AI786" i="2"/>
  <c r="AH786" i="2"/>
  <c r="AG786" i="2"/>
  <c r="AF786" i="2"/>
  <c r="AE786" i="2"/>
  <c r="AD786" i="2"/>
  <c r="AC786" i="2"/>
  <c r="AA786" i="2"/>
  <c r="Z786" i="2"/>
  <c r="Y786" i="2"/>
  <c r="X786" i="2"/>
  <c r="W786" i="2"/>
  <c r="V786" i="2"/>
  <c r="U786" i="2"/>
  <c r="T786" i="2"/>
  <c r="S786" i="2"/>
  <c r="R786" i="2"/>
  <c r="Q786" i="2"/>
  <c r="P786" i="2"/>
  <c r="O786" i="2"/>
  <c r="N786" i="2"/>
  <c r="M786" i="2"/>
  <c r="L786" i="2"/>
  <c r="K786" i="2"/>
  <c r="J786" i="2"/>
  <c r="I786" i="2"/>
  <c r="H786" i="2"/>
  <c r="G786" i="2"/>
  <c r="F786" i="2"/>
  <c r="E786" i="2"/>
  <c r="D786" i="2"/>
  <c r="C786" i="2"/>
  <c r="B786" i="2"/>
  <c r="A786" i="2"/>
  <c r="AX785" i="2"/>
  <c r="AV785" i="2"/>
  <c r="AU785" i="2"/>
  <c r="AS785" i="2"/>
  <c r="AR785" i="2"/>
  <c r="AO785" i="2"/>
  <c r="AN785" i="2"/>
  <c r="AM785" i="2"/>
  <c r="AL785" i="2"/>
  <c r="AK785" i="2"/>
  <c r="AJ785" i="2"/>
  <c r="AI785" i="2"/>
  <c r="AH785" i="2"/>
  <c r="AG785" i="2"/>
  <c r="AF785" i="2"/>
  <c r="AE785" i="2"/>
  <c r="AD785" i="2"/>
  <c r="AC785" i="2"/>
  <c r="AA785" i="2"/>
  <c r="Z785" i="2"/>
  <c r="Y785" i="2"/>
  <c r="X785" i="2"/>
  <c r="W785" i="2"/>
  <c r="V785" i="2"/>
  <c r="U785" i="2"/>
  <c r="T785" i="2"/>
  <c r="S785" i="2"/>
  <c r="R785" i="2"/>
  <c r="Q785" i="2"/>
  <c r="P785" i="2"/>
  <c r="O785" i="2"/>
  <c r="N785" i="2"/>
  <c r="M785" i="2"/>
  <c r="L785" i="2"/>
  <c r="K785" i="2"/>
  <c r="J785" i="2"/>
  <c r="I785" i="2"/>
  <c r="H785" i="2"/>
  <c r="G785" i="2"/>
  <c r="F785" i="2"/>
  <c r="E785" i="2"/>
  <c r="D785" i="2"/>
  <c r="C785" i="2"/>
  <c r="B785" i="2"/>
  <c r="A785" i="2"/>
  <c r="AX784" i="2"/>
  <c r="AV784" i="2"/>
  <c r="AU784" i="2"/>
  <c r="AT784" i="2"/>
  <c r="AS784" i="2"/>
  <c r="AR784" i="2"/>
  <c r="AO784" i="2"/>
  <c r="AN784" i="2"/>
  <c r="AM784" i="2"/>
  <c r="AL784" i="2"/>
  <c r="AK784" i="2"/>
  <c r="AJ784" i="2"/>
  <c r="AI784" i="2"/>
  <c r="AH784" i="2"/>
  <c r="AG784" i="2"/>
  <c r="AE784" i="2"/>
  <c r="AD784" i="2"/>
  <c r="AC784" i="2"/>
  <c r="AA784" i="2"/>
  <c r="Z784" i="2"/>
  <c r="Y784" i="2"/>
  <c r="X784" i="2"/>
  <c r="W784" i="2"/>
  <c r="V784" i="2"/>
  <c r="U784" i="2"/>
  <c r="T784" i="2"/>
  <c r="S784" i="2"/>
  <c r="R784" i="2"/>
  <c r="Q784" i="2"/>
  <c r="P784" i="2"/>
  <c r="O784" i="2"/>
  <c r="N784" i="2"/>
  <c r="M784" i="2"/>
  <c r="L784" i="2"/>
  <c r="K784" i="2"/>
  <c r="J784" i="2"/>
  <c r="I784" i="2"/>
  <c r="H784" i="2"/>
  <c r="G784" i="2"/>
  <c r="F784" i="2"/>
  <c r="E784" i="2"/>
  <c r="D784" i="2"/>
  <c r="C784" i="2"/>
  <c r="B784" i="2"/>
  <c r="A784" i="2"/>
  <c r="AX783" i="2"/>
  <c r="AV783" i="2"/>
  <c r="AU783" i="2"/>
  <c r="AS783" i="2"/>
  <c r="AR783" i="2"/>
  <c r="AO783" i="2"/>
  <c r="AN783" i="2"/>
  <c r="AM783" i="2"/>
  <c r="AK783" i="2"/>
  <c r="AJ783" i="2"/>
  <c r="AI783" i="2"/>
  <c r="AH783" i="2"/>
  <c r="AG783" i="2"/>
  <c r="AD783" i="2"/>
  <c r="AC783" i="2"/>
  <c r="AA783" i="2"/>
  <c r="Z783" i="2"/>
  <c r="Y783" i="2"/>
  <c r="X783" i="2"/>
  <c r="W783" i="2"/>
  <c r="V783" i="2"/>
  <c r="U783" i="2"/>
  <c r="T783" i="2"/>
  <c r="S783" i="2"/>
  <c r="R783" i="2"/>
  <c r="Q783" i="2"/>
  <c r="P783" i="2"/>
  <c r="O783" i="2"/>
  <c r="N783" i="2"/>
  <c r="M783" i="2"/>
  <c r="L783" i="2"/>
  <c r="K783" i="2"/>
  <c r="J783" i="2"/>
  <c r="I783" i="2"/>
  <c r="H783" i="2"/>
  <c r="G783" i="2"/>
  <c r="F783" i="2"/>
  <c r="E783" i="2"/>
  <c r="D783" i="2"/>
  <c r="C783" i="2"/>
  <c r="B783" i="2"/>
  <c r="A783" i="2"/>
  <c r="AX782" i="2"/>
  <c r="AV782" i="2"/>
  <c r="AU782" i="2"/>
  <c r="AT782" i="2"/>
  <c r="AS782" i="2"/>
  <c r="AR782" i="2"/>
  <c r="AO782" i="2"/>
  <c r="AN782" i="2"/>
  <c r="AM782" i="2"/>
  <c r="AK782" i="2"/>
  <c r="AJ782" i="2"/>
  <c r="AI782" i="2"/>
  <c r="AH782" i="2"/>
  <c r="AG782" i="2"/>
  <c r="AF782" i="2"/>
  <c r="AE782" i="2"/>
  <c r="AD782" i="2"/>
  <c r="AC782" i="2"/>
  <c r="AA782" i="2"/>
  <c r="Z782" i="2"/>
  <c r="Y782" i="2"/>
  <c r="X782" i="2"/>
  <c r="W782" i="2"/>
  <c r="V782" i="2"/>
  <c r="U782" i="2"/>
  <c r="T782" i="2"/>
  <c r="S782" i="2"/>
  <c r="R782" i="2"/>
  <c r="Q782" i="2"/>
  <c r="P782" i="2"/>
  <c r="O782" i="2"/>
  <c r="N782" i="2"/>
  <c r="M782" i="2"/>
  <c r="L782" i="2"/>
  <c r="K782" i="2"/>
  <c r="J782" i="2"/>
  <c r="I782" i="2"/>
  <c r="H782" i="2"/>
  <c r="G782" i="2"/>
  <c r="F782" i="2"/>
  <c r="E782" i="2"/>
  <c r="D782" i="2"/>
  <c r="C782" i="2"/>
  <c r="B782" i="2"/>
  <c r="A782" i="2"/>
  <c r="AX781" i="2"/>
  <c r="AV781" i="2"/>
  <c r="AU781" i="2"/>
  <c r="AT781" i="2"/>
  <c r="AS781" i="2"/>
  <c r="AR781" i="2"/>
  <c r="AO781" i="2"/>
  <c r="AN781" i="2"/>
  <c r="AM781" i="2"/>
  <c r="AL781" i="2"/>
  <c r="AK781" i="2"/>
  <c r="AJ781" i="2"/>
  <c r="AI781" i="2"/>
  <c r="AH781" i="2"/>
  <c r="AG781" i="2"/>
  <c r="AE781" i="2"/>
  <c r="AC781" i="2"/>
  <c r="Z781" i="2"/>
  <c r="Y781" i="2"/>
  <c r="X781" i="2"/>
  <c r="W781" i="2"/>
  <c r="V781" i="2"/>
  <c r="U781" i="2"/>
  <c r="T781" i="2"/>
  <c r="S781" i="2"/>
  <c r="R781" i="2"/>
  <c r="Q781" i="2"/>
  <c r="P781" i="2"/>
  <c r="O781" i="2"/>
  <c r="N781" i="2"/>
  <c r="M781" i="2"/>
  <c r="L781" i="2"/>
  <c r="K781" i="2"/>
  <c r="J781" i="2"/>
  <c r="I781" i="2"/>
  <c r="H781" i="2"/>
  <c r="G781" i="2"/>
  <c r="F781" i="2"/>
  <c r="E781" i="2"/>
  <c r="D781" i="2"/>
  <c r="C781" i="2"/>
  <c r="B781" i="2"/>
  <c r="A781" i="2"/>
  <c r="AX780" i="2"/>
  <c r="AV780" i="2"/>
  <c r="AU780" i="2"/>
  <c r="AT780" i="2"/>
  <c r="AS780" i="2"/>
  <c r="AR780" i="2"/>
  <c r="AO780" i="2"/>
  <c r="AN780" i="2"/>
  <c r="AM780" i="2"/>
  <c r="AL780" i="2"/>
  <c r="AK780" i="2"/>
  <c r="AJ780" i="2"/>
  <c r="AI780" i="2"/>
  <c r="AH780" i="2"/>
  <c r="AG780" i="2"/>
  <c r="AF780" i="2"/>
  <c r="AE780" i="2"/>
  <c r="AD780" i="2"/>
  <c r="AC780" i="2"/>
  <c r="AA780" i="2"/>
  <c r="Z780" i="2"/>
  <c r="Y780" i="2"/>
  <c r="X780" i="2"/>
  <c r="W780" i="2"/>
  <c r="V780" i="2"/>
  <c r="U780" i="2"/>
  <c r="T780" i="2"/>
  <c r="S780" i="2"/>
  <c r="R780" i="2"/>
  <c r="Q780" i="2"/>
  <c r="P780" i="2"/>
  <c r="O780" i="2"/>
  <c r="N780" i="2"/>
  <c r="M780" i="2"/>
  <c r="L780" i="2"/>
  <c r="K780" i="2"/>
  <c r="J780" i="2"/>
  <c r="I780" i="2"/>
  <c r="H780" i="2"/>
  <c r="G780" i="2"/>
  <c r="F780" i="2"/>
  <c r="E780" i="2"/>
  <c r="D780" i="2"/>
  <c r="C780" i="2"/>
  <c r="B780" i="2"/>
  <c r="A780" i="2"/>
  <c r="AX779" i="2"/>
  <c r="AV779" i="2"/>
  <c r="AU779" i="2"/>
  <c r="AT779" i="2"/>
  <c r="AS779" i="2"/>
  <c r="AR779" i="2"/>
  <c r="AQ779" i="2"/>
  <c r="AP779" i="2"/>
  <c r="AO779" i="2"/>
  <c r="AN779" i="2"/>
  <c r="AM779" i="2"/>
  <c r="AL779" i="2"/>
  <c r="AK779" i="2"/>
  <c r="AJ779" i="2"/>
  <c r="AI779" i="2"/>
  <c r="AH779" i="2"/>
  <c r="AG779" i="2"/>
  <c r="AE779" i="2"/>
  <c r="AD779" i="2"/>
  <c r="AC779" i="2"/>
  <c r="AA779" i="2"/>
  <c r="Z779" i="2"/>
  <c r="Y779" i="2"/>
  <c r="X779" i="2"/>
  <c r="W779" i="2"/>
  <c r="V779" i="2"/>
  <c r="U779" i="2"/>
  <c r="T779" i="2"/>
  <c r="S779" i="2"/>
  <c r="R779" i="2"/>
  <c r="Q779" i="2"/>
  <c r="P779" i="2"/>
  <c r="O779" i="2"/>
  <c r="N779" i="2"/>
  <c r="M779" i="2"/>
  <c r="L779" i="2"/>
  <c r="K779" i="2"/>
  <c r="J779" i="2"/>
  <c r="I779" i="2"/>
  <c r="H779" i="2"/>
  <c r="G779" i="2"/>
  <c r="F779" i="2"/>
  <c r="E779" i="2"/>
  <c r="D779" i="2"/>
  <c r="C779" i="2"/>
  <c r="B779" i="2"/>
  <c r="A779" i="2"/>
  <c r="AX778" i="2"/>
  <c r="AV778" i="2"/>
  <c r="AU778" i="2"/>
  <c r="AS778" i="2"/>
  <c r="AR778" i="2"/>
  <c r="AO778" i="2"/>
  <c r="AN778" i="2"/>
  <c r="AM778" i="2"/>
  <c r="AK778" i="2"/>
  <c r="AJ778" i="2"/>
  <c r="AI778" i="2"/>
  <c r="AH778" i="2"/>
  <c r="AG778" i="2"/>
  <c r="AF778" i="2"/>
  <c r="AE778" i="2"/>
  <c r="AD778" i="2"/>
  <c r="AC778" i="2"/>
  <c r="AA778" i="2"/>
  <c r="Z778" i="2"/>
  <c r="Y778" i="2"/>
  <c r="X778" i="2"/>
  <c r="W778" i="2"/>
  <c r="V778" i="2"/>
  <c r="U778" i="2"/>
  <c r="T778" i="2"/>
  <c r="S778" i="2"/>
  <c r="R778" i="2"/>
  <c r="Q778" i="2"/>
  <c r="P778" i="2"/>
  <c r="O778" i="2"/>
  <c r="N778" i="2"/>
  <c r="M778" i="2"/>
  <c r="L778" i="2"/>
  <c r="K778" i="2"/>
  <c r="J778" i="2"/>
  <c r="I778" i="2"/>
  <c r="H778" i="2"/>
  <c r="G778" i="2"/>
  <c r="F778" i="2"/>
  <c r="E778" i="2"/>
  <c r="D778" i="2"/>
  <c r="C778" i="2"/>
  <c r="B778" i="2"/>
  <c r="A778" i="2"/>
  <c r="AX777" i="2"/>
  <c r="AV777" i="2"/>
  <c r="AU777" i="2"/>
  <c r="AS777" i="2"/>
  <c r="AR777" i="2"/>
  <c r="AO777" i="2"/>
  <c r="AN777" i="2"/>
  <c r="AM777" i="2"/>
  <c r="AL777" i="2"/>
  <c r="AK777" i="2"/>
  <c r="AJ777" i="2"/>
  <c r="AI777" i="2"/>
  <c r="AH777" i="2"/>
  <c r="AG777" i="2"/>
  <c r="AE777" i="2"/>
  <c r="AD777" i="2"/>
  <c r="AC777" i="2"/>
  <c r="AA777" i="2"/>
  <c r="Z777" i="2"/>
  <c r="Y777" i="2"/>
  <c r="X777" i="2"/>
  <c r="W777" i="2"/>
  <c r="V777" i="2"/>
  <c r="U777" i="2"/>
  <c r="T777" i="2"/>
  <c r="S777" i="2"/>
  <c r="R777" i="2"/>
  <c r="Q777" i="2"/>
  <c r="P777" i="2"/>
  <c r="O777" i="2"/>
  <c r="N777" i="2"/>
  <c r="M777" i="2"/>
  <c r="L777" i="2"/>
  <c r="K777" i="2"/>
  <c r="J777" i="2"/>
  <c r="I777" i="2"/>
  <c r="H777" i="2"/>
  <c r="G777" i="2"/>
  <c r="F777" i="2"/>
  <c r="E777" i="2"/>
  <c r="D777" i="2"/>
  <c r="C777" i="2"/>
  <c r="B777" i="2"/>
  <c r="A777" i="2"/>
  <c r="AX776" i="2"/>
  <c r="AV776" i="2"/>
  <c r="AU776" i="2"/>
  <c r="AT776" i="2"/>
  <c r="AS776" i="2"/>
  <c r="AR776" i="2"/>
  <c r="AO776" i="2"/>
  <c r="AN776" i="2"/>
  <c r="AM776" i="2"/>
  <c r="AL776" i="2"/>
  <c r="AK776" i="2"/>
  <c r="AI776" i="2"/>
  <c r="AH776" i="2"/>
  <c r="AG776" i="2"/>
  <c r="AE776" i="2"/>
  <c r="AD776" i="2"/>
  <c r="AC776" i="2"/>
  <c r="Z776" i="2"/>
  <c r="Y776" i="2"/>
  <c r="X776" i="2"/>
  <c r="W776" i="2"/>
  <c r="V776" i="2"/>
  <c r="U776" i="2"/>
  <c r="T776" i="2"/>
  <c r="S776" i="2"/>
  <c r="R776" i="2"/>
  <c r="Q776" i="2"/>
  <c r="P776" i="2"/>
  <c r="O776" i="2"/>
  <c r="N776" i="2"/>
  <c r="M776" i="2"/>
  <c r="L776" i="2"/>
  <c r="K776" i="2"/>
  <c r="J776" i="2"/>
  <c r="I776" i="2"/>
  <c r="H776" i="2"/>
  <c r="G776" i="2"/>
  <c r="F776" i="2"/>
  <c r="E776" i="2"/>
  <c r="D776" i="2"/>
  <c r="C776" i="2"/>
  <c r="B776" i="2"/>
  <c r="A776" i="2"/>
  <c r="AX775" i="2"/>
  <c r="AV775" i="2"/>
  <c r="AU775" i="2"/>
  <c r="AT775" i="2"/>
  <c r="AS775" i="2"/>
  <c r="AR775" i="2"/>
  <c r="AO775" i="2"/>
  <c r="AN775" i="2"/>
  <c r="AM775" i="2"/>
  <c r="AK775" i="2"/>
  <c r="AI775" i="2"/>
  <c r="AH775" i="2"/>
  <c r="AG775" i="2"/>
  <c r="AE775" i="2"/>
  <c r="AD775" i="2"/>
  <c r="AC775" i="2"/>
  <c r="AA775" i="2"/>
  <c r="Z775" i="2"/>
  <c r="Y775" i="2"/>
  <c r="X775" i="2"/>
  <c r="W775" i="2"/>
  <c r="V775" i="2"/>
  <c r="U775" i="2"/>
  <c r="T775" i="2"/>
  <c r="S775" i="2"/>
  <c r="R775" i="2"/>
  <c r="Q775" i="2"/>
  <c r="P775" i="2"/>
  <c r="O775" i="2"/>
  <c r="N775" i="2"/>
  <c r="M775" i="2"/>
  <c r="L775" i="2"/>
  <c r="K775" i="2"/>
  <c r="J775" i="2"/>
  <c r="I775" i="2"/>
  <c r="H775" i="2"/>
  <c r="G775" i="2"/>
  <c r="F775" i="2"/>
  <c r="E775" i="2"/>
  <c r="D775" i="2"/>
  <c r="C775" i="2"/>
  <c r="B775" i="2"/>
  <c r="A775" i="2"/>
  <c r="AX774" i="2"/>
  <c r="AV774" i="2"/>
  <c r="AU774" i="2"/>
  <c r="AT774" i="2"/>
  <c r="AS774" i="2"/>
  <c r="AR774" i="2"/>
  <c r="AO774" i="2"/>
  <c r="AN774" i="2"/>
  <c r="AM774" i="2"/>
  <c r="AL774" i="2"/>
  <c r="AK774" i="2"/>
  <c r="AJ774" i="2"/>
  <c r="AI774" i="2"/>
  <c r="AH774" i="2"/>
  <c r="AG774" i="2"/>
  <c r="AE774" i="2"/>
  <c r="AD774" i="2"/>
  <c r="AC774" i="2"/>
  <c r="AA774" i="2"/>
  <c r="Z774" i="2"/>
  <c r="Y774" i="2"/>
  <c r="X774" i="2"/>
  <c r="W774" i="2"/>
  <c r="V774" i="2"/>
  <c r="U774" i="2"/>
  <c r="T774" i="2"/>
  <c r="S774" i="2"/>
  <c r="R774" i="2"/>
  <c r="Q774" i="2"/>
  <c r="P774" i="2"/>
  <c r="O774" i="2"/>
  <c r="N774" i="2"/>
  <c r="M774" i="2"/>
  <c r="L774" i="2"/>
  <c r="K774" i="2"/>
  <c r="J774" i="2"/>
  <c r="I774" i="2"/>
  <c r="H774" i="2"/>
  <c r="G774" i="2"/>
  <c r="F774" i="2"/>
  <c r="E774" i="2"/>
  <c r="D774" i="2"/>
  <c r="C774" i="2"/>
  <c r="B774" i="2"/>
  <c r="A774" i="2"/>
  <c r="AX773" i="2"/>
  <c r="AV773" i="2"/>
  <c r="AU773" i="2"/>
  <c r="AT773" i="2"/>
  <c r="AS773" i="2"/>
  <c r="AR773" i="2"/>
  <c r="AQ773" i="2"/>
  <c r="AP773" i="2"/>
  <c r="AO773" i="2"/>
  <c r="AN773" i="2"/>
  <c r="AM773" i="2"/>
  <c r="AL773" i="2"/>
  <c r="AK773" i="2"/>
  <c r="AJ773" i="2"/>
  <c r="AI773" i="2"/>
  <c r="AH773" i="2"/>
  <c r="AG773" i="2"/>
  <c r="AE773" i="2"/>
  <c r="AD773" i="2"/>
  <c r="AC773" i="2"/>
  <c r="AA773" i="2"/>
  <c r="Z773" i="2"/>
  <c r="Y773" i="2"/>
  <c r="X773" i="2"/>
  <c r="W773" i="2"/>
  <c r="V773" i="2"/>
  <c r="U773" i="2"/>
  <c r="T773" i="2"/>
  <c r="S773" i="2"/>
  <c r="R773" i="2"/>
  <c r="Q773" i="2"/>
  <c r="P773" i="2"/>
  <c r="O773" i="2"/>
  <c r="N773" i="2"/>
  <c r="M773" i="2"/>
  <c r="L773" i="2"/>
  <c r="K773" i="2"/>
  <c r="J773" i="2"/>
  <c r="I773" i="2"/>
  <c r="H773" i="2"/>
  <c r="G773" i="2"/>
  <c r="F773" i="2"/>
  <c r="E773" i="2"/>
  <c r="D773" i="2"/>
  <c r="C773" i="2"/>
  <c r="B773" i="2"/>
  <c r="A773" i="2"/>
  <c r="AX772" i="2"/>
  <c r="AV772" i="2"/>
  <c r="AU772" i="2"/>
  <c r="AT772" i="2"/>
  <c r="AS772" i="2"/>
  <c r="AR772" i="2"/>
  <c r="AO772" i="2"/>
  <c r="AN772" i="2"/>
  <c r="AM772" i="2"/>
  <c r="AK772" i="2"/>
  <c r="AJ772" i="2"/>
  <c r="AI772" i="2"/>
  <c r="AH772" i="2"/>
  <c r="AG772" i="2"/>
  <c r="AE772" i="2"/>
  <c r="AD772" i="2"/>
  <c r="AC772" i="2"/>
  <c r="Z772" i="2"/>
  <c r="Y772" i="2"/>
  <c r="X772" i="2"/>
  <c r="W772" i="2"/>
  <c r="V772" i="2"/>
  <c r="U772" i="2"/>
  <c r="T772" i="2"/>
  <c r="S772" i="2"/>
  <c r="R772" i="2"/>
  <c r="Q772" i="2"/>
  <c r="P772" i="2"/>
  <c r="O772" i="2"/>
  <c r="N772" i="2"/>
  <c r="M772" i="2"/>
  <c r="L772" i="2"/>
  <c r="K772" i="2"/>
  <c r="J772" i="2"/>
  <c r="I772" i="2"/>
  <c r="H772" i="2"/>
  <c r="G772" i="2"/>
  <c r="F772" i="2"/>
  <c r="E772" i="2"/>
  <c r="D772" i="2"/>
  <c r="C772" i="2"/>
  <c r="B772" i="2"/>
  <c r="A772" i="2"/>
  <c r="AX771" i="2"/>
  <c r="AV771" i="2"/>
  <c r="AU771" i="2"/>
  <c r="AS771" i="2"/>
  <c r="AR771" i="2"/>
  <c r="AO771" i="2"/>
  <c r="AN771" i="2"/>
  <c r="AM771" i="2"/>
  <c r="AK771" i="2"/>
  <c r="AI771" i="2"/>
  <c r="AH771" i="2"/>
  <c r="AG771" i="2"/>
  <c r="AE771" i="2"/>
  <c r="AD771" i="2"/>
  <c r="AC771" i="2"/>
  <c r="AA771" i="2"/>
  <c r="Z771" i="2"/>
  <c r="Y771" i="2"/>
  <c r="X771" i="2"/>
  <c r="W771" i="2"/>
  <c r="V771" i="2"/>
  <c r="U771" i="2"/>
  <c r="T771" i="2"/>
  <c r="S771" i="2"/>
  <c r="R771" i="2"/>
  <c r="Q771" i="2"/>
  <c r="P771" i="2"/>
  <c r="O771" i="2"/>
  <c r="N771" i="2"/>
  <c r="M771" i="2"/>
  <c r="L771" i="2"/>
  <c r="K771" i="2"/>
  <c r="J771" i="2"/>
  <c r="I771" i="2"/>
  <c r="H771" i="2"/>
  <c r="G771" i="2"/>
  <c r="F771" i="2"/>
  <c r="E771" i="2"/>
  <c r="D771" i="2"/>
  <c r="C771" i="2"/>
  <c r="B771" i="2"/>
  <c r="A771" i="2"/>
  <c r="AX770" i="2"/>
  <c r="AV770" i="2"/>
  <c r="AU770" i="2"/>
  <c r="AT770" i="2"/>
  <c r="AS770" i="2"/>
  <c r="AR770" i="2"/>
  <c r="AP770" i="2"/>
  <c r="AO770" i="2"/>
  <c r="AN770" i="2"/>
  <c r="AM770" i="2"/>
  <c r="AL770" i="2"/>
  <c r="AK770" i="2"/>
  <c r="AJ770" i="2"/>
  <c r="AI770" i="2"/>
  <c r="AH770" i="2"/>
  <c r="AG770" i="2"/>
  <c r="AE770" i="2"/>
  <c r="AD770" i="2"/>
  <c r="AC770" i="2"/>
  <c r="AA770" i="2"/>
  <c r="Z770" i="2"/>
  <c r="Y770" i="2"/>
  <c r="X770" i="2"/>
  <c r="W770" i="2"/>
  <c r="V770" i="2"/>
  <c r="U770" i="2"/>
  <c r="T770" i="2"/>
  <c r="S770" i="2"/>
  <c r="R770" i="2"/>
  <c r="Q770" i="2"/>
  <c r="P770" i="2"/>
  <c r="O770" i="2"/>
  <c r="N770" i="2"/>
  <c r="M770" i="2"/>
  <c r="L770" i="2"/>
  <c r="K770" i="2"/>
  <c r="J770" i="2"/>
  <c r="I770" i="2"/>
  <c r="H770" i="2"/>
  <c r="G770" i="2"/>
  <c r="F770" i="2"/>
  <c r="E770" i="2"/>
  <c r="D770" i="2"/>
  <c r="C770" i="2"/>
  <c r="B770" i="2"/>
  <c r="A770" i="2"/>
  <c r="AX769" i="2"/>
  <c r="AV769" i="2"/>
  <c r="AU769" i="2"/>
  <c r="AT769" i="2"/>
  <c r="AS769" i="2"/>
  <c r="AR769" i="2"/>
  <c r="AO769" i="2"/>
  <c r="AN769" i="2"/>
  <c r="AM769" i="2"/>
  <c r="AK769" i="2"/>
  <c r="AJ769" i="2"/>
  <c r="AI769" i="2"/>
  <c r="AH769" i="2"/>
  <c r="AG769" i="2"/>
  <c r="AE769" i="2"/>
  <c r="AD769" i="2"/>
  <c r="AC769" i="2"/>
  <c r="Z769" i="2"/>
  <c r="Y769" i="2"/>
  <c r="X769" i="2"/>
  <c r="W769" i="2"/>
  <c r="V769" i="2"/>
  <c r="U769" i="2"/>
  <c r="T769" i="2"/>
  <c r="S769" i="2"/>
  <c r="R769" i="2"/>
  <c r="Q769" i="2"/>
  <c r="P769" i="2"/>
  <c r="O769" i="2"/>
  <c r="N769" i="2"/>
  <c r="M769" i="2"/>
  <c r="L769" i="2"/>
  <c r="K769" i="2"/>
  <c r="J769" i="2"/>
  <c r="I769" i="2"/>
  <c r="H769" i="2"/>
  <c r="G769" i="2"/>
  <c r="F769" i="2"/>
  <c r="E769" i="2"/>
  <c r="D769" i="2"/>
  <c r="C769" i="2"/>
  <c r="B769" i="2"/>
  <c r="A769" i="2"/>
  <c r="AX768" i="2"/>
  <c r="AV768" i="2"/>
  <c r="AU768" i="2"/>
  <c r="AT768" i="2"/>
  <c r="AS768" i="2"/>
  <c r="AR768" i="2"/>
  <c r="AQ768" i="2"/>
  <c r="AP768" i="2"/>
  <c r="AO768" i="2"/>
  <c r="AN768" i="2"/>
  <c r="AM768" i="2"/>
  <c r="AL768" i="2"/>
  <c r="AK768" i="2"/>
  <c r="AI768" i="2"/>
  <c r="AH768" i="2"/>
  <c r="AG768" i="2"/>
  <c r="AE768" i="2"/>
  <c r="AD768" i="2"/>
  <c r="AC768" i="2"/>
  <c r="AA768" i="2"/>
  <c r="Z768" i="2"/>
  <c r="Y768" i="2"/>
  <c r="X768" i="2"/>
  <c r="W768" i="2"/>
  <c r="V768" i="2"/>
  <c r="U768" i="2"/>
  <c r="T768" i="2"/>
  <c r="S768" i="2"/>
  <c r="R768" i="2"/>
  <c r="Q768" i="2"/>
  <c r="P768" i="2"/>
  <c r="O768" i="2"/>
  <c r="N768" i="2"/>
  <c r="M768" i="2"/>
  <c r="L768" i="2"/>
  <c r="K768" i="2"/>
  <c r="J768" i="2"/>
  <c r="I768" i="2"/>
  <c r="H768" i="2"/>
  <c r="G768" i="2"/>
  <c r="F768" i="2"/>
  <c r="E768" i="2"/>
  <c r="D768" i="2"/>
  <c r="C768" i="2"/>
  <c r="B768" i="2"/>
  <c r="A768" i="2"/>
  <c r="AX767" i="2"/>
  <c r="AV767" i="2"/>
  <c r="AU767" i="2"/>
  <c r="AT767" i="2"/>
  <c r="AS767" i="2"/>
  <c r="AR767" i="2"/>
  <c r="AQ767" i="2"/>
  <c r="AP767" i="2"/>
  <c r="AN767" i="2"/>
  <c r="AM767" i="2"/>
  <c r="AL767" i="2"/>
  <c r="AK767" i="2"/>
  <c r="AJ767" i="2"/>
  <c r="AI767" i="2"/>
  <c r="AH767" i="2"/>
  <c r="AG767" i="2"/>
  <c r="AE767" i="2"/>
  <c r="AD767" i="2"/>
  <c r="AC767" i="2"/>
  <c r="Z767" i="2"/>
  <c r="Y767" i="2"/>
  <c r="X767" i="2"/>
  <c r="W767" i="2"/>
  <c r="V767" i="2"/>
  <c r="U767" i="2"/>
  <c r="T767" i="2"/>
  <c r="S767" i="2"/>
  <c r="R767" i="2"/>
  <c r="Q767" i="2"/>
  <c r="P767" i="2"/>
  <c r="O767" i="2"/>
  <c r="N767" i="2"/>
  <c r="M767" i="2"/>
  <c r="L767" i="2"/>
  <c r="K767" i="2"/>
  <c r="J767" i="2"/>
  <c r="I767" i="2"/>
  <c r="H767" i="2"/>
  <c r="G767" i="2"/>
  <c r="F767" i="2"/>
  <c r="E767" i="2"/>
  <c r="D767" i="2"/>
  <c r="C767" i="2"/>
  <c r="B767" i="2"/>
  <c r="A767" i="2"/>
  <c r="AX766" i="2"/>
  <c r="AV766" i="2"/>
  <c r="AU766" i="2"/>
  <c r="AS766" i="2"/>
  <c r="AR766" i="2"/>
  <c r="AN766" i="2"/>
  <c r="AM766" i="2"/>
  <c r="AK766" i="2"/>
  <c r="AJ766" i="2"/>
  <c r="AI766" i="2"/>
  <c r="AH766" i="2"/>
  <c r="AG766" i="2"/>
  <c r="AE766" i="2"/>
  <c r="AD766" i="2"/>
  <c r="AC766" i="2"/>
  <c r="AA766" i="2"/>
  <c r="Z766" i="2"/>
  <c r="Y766" i="2"/>
  <c r="X766" i="2"/>
  <c r="W766" i="2"/>
  <c r="V766" i="2"/>
  <c r="U766" i="2"/>
  <c r="T766" i="2"/>
  <c r="S766" i="2"/>
  <c r="R766" i="2"/>
  <c r="Q766" i="2"/>
  <c r="P766" i="2"/>
  <c r="O766" i="2"/>
  <c r="N766" i="2"/>
  <c r="M766" i="2"/>
  <c r="L766" i="2"/>
  <c r="K766" i="2"/>
  <c r="J766" i="2"/>
  <c r="I766" i="2"/>
  <c r="H766" i="2"/>
  <c r="G766" i="2"/>
  <c r="F766" i="2"/>
  <c r="E766" i="2"/>
  <c r="D766" i="2"/>
  <c r="C766" i="2"/>
  <c r="B766" i="2"/>
  <c r="A766" i="2"/>
  <c r="AX765" i="2"/>
  <c r="AV765" i="2"/>
  <c r="AU765" i="2"/>
  <c r="AT765" i="2"/>
  <c r="AS765" i="2"/>
  <c r="AR765" i="2"/>
  <c r="AN765" i="2"/>
  <c r="AM765" i="2"/>
  <c r="AL765" i="2"/>
  <c r="AK765" i="2"/>
  <c r="AJ765" i="2"/>
  <c r="AI765" i="2"/>
  <c r="AH765" i="2"/>
  <c r="AG765" i="2"/>
  <c r="AE765" i="2"/>
  <c r="AD765" i="2"/>
  <c r="AC765" i="2"/>
  <c r="AA765" i="2"/>
  <c r="Z765" i="2"/>
  <c r="Y765" i="2"/>
  <c r="X765" i="2"/>
  <c r="W765" i="2"/>
  <c r="V765" i="2"/>
  <c r="U765" i="2"/>
  <c r="T765" i="2"/>
  <c r="S765" i="2"/>
  <c r="R765" i="2"/>
  <c r="Q765" i="2"/>
  <c r="P765" i="2"/>
  <c r="O765" i="2"/>
  <c r="N765" i="2"/>
  <c r="M765" i="2"/>
  <c r="L765" i="2"/>
  <c r="K765" i="2"/>
  <c r="J765" i="2"/>
  <c r="I765" i="2"/>
  <c r="H765" i="2"/>
  <c r="G765" i="2"/>
  <c r="F765" i="2"/>
  <c r="E765" i="2"/>
  <c r="D765" i="2"/>
  <c r="C765" i="2"/>
  <c r="B765" i="2"/>
  <c r="A765" i="2"/>
  <c r="AX764" i="2"/>
  <c r="AV764" i="2"/>
  <c r="AU764" i="2"/>
  <c r="AT764" i="2"/>
  <c r="AS764" i="2"/>
  <c r="AR764" i="2"/>
  <c r="AN764" i="2"/>
  <c r="AL764" i="2"/>
  <c r="AK764" i="2"/>
  <c r="AJ764" i="2"/>
  <c r="AI764" i="2"/>
  <c r="AH764" i="2"/>
  <c r="AG764" i="2"/>
  <c r="AE764" i="2"/>
  <c r="AD764" i="2"/>
  <c r="AC764" i="2"/>
  <c r="AA764" i="2"/>
  <c r="Z764" i="2"/>
  <c r="Y764" i="2"/>
  <c r="X764" i="2"/>
  <c r="W764" i="2"/>
  <c r="V764" i="2"/>
  <c r="U764" i="2"/>
  <c r="T764" i="2"/>
  <c r="S764" i="2"/>
  <c r="R764" i="2"/>
  <c r="Q764" i="2"/>
  <c r="P764" i="2"/>
  <c r="O764" i="2"/>
  <c r="N764" i="2"/>
  <c r="M764" i="2"/>
  <c r="L764" i="2"/>
  <c r="K764" i="2"/>
  <c r="J764" i="2"/>
  <c r="I764" i="2"/>
  <c r="H764" i="2"/>
  <c r="G764" i="2"/>
  <c r="F764" i="2"/>
  <c r="E764" i="2"/>
  <c r="D764" i="2"/>
  <c r="C764" i="2"/>
  <c r="B764" i="2"/>
  <c r="A764" i="2"/>
  <c r="AX763" i="2"/>
  <c r="AV763" i="2"/>
  <c r="AU763" i="2"/>
  <c r="AR763" i="2"/>
  <c r="AN763" i="2"/>
  <c r="AM763" i="2"/>
  <c r="AL763" i="2"/>
  <c r="AJ763" i="2"/>
  <c r="AI763" i="2"/>
  <c r="AH763" i="2"/>
  <c r="AG763" i="2"/>
  <c r="AC763" i="2"/>
  <c r="Z763" i="2"/>
  <c r="Y763" i="2"/>
  <c r="X763" i="2"/>
  <c r="W763" i="2"/>
  <c r="V763" i="2"/>
  <c r="U763" i="2"/>
  <c r="T763" i="2"/>
  <c r="S763" i="2"/>
  <c r="R763" i="2"/>
  <c r="Q763" i="2"/>
  <c r="P763" i="2"/>
  <c r="O763" i="2"/>
  <c r="N763" i="2"/>
  <c r="M763" i="2"/>
  <c r="L763" i="2"/>
  <c r="K763" i="2"/>
  <c r="J763" i="2"/>
  <c r="I763" i="2"/>
  <c r="H763" i="2"/>
  <c r="G763" i="2"/>
  <c r="F763" i="2"/>
  <c r="E763" i="2"/>
  <c r="D763" i="2"/>
  <c r="C763" i="2"/>
  <c r="B763" i="2"/>
  <c r="A763" i="2"/>
  <c r="AX762" i="2"/>
  <c r="AV762" i="2"/>
  <c r="AU762" i="2"/>
  <c r="AS762" i="2"/>
  <c r="AR762" i="2"/>
  <c r="AN762" i="2"/>
  <c r="AM762" i="2"/>
  <c r="AK762" i="2"/>
  <c r="AI762" i="2"/>
  <c r="AH762" i="2"/>
  <c r="AG762" i="2"/>
  <c r="AE762" i="2"/>
  <c r="AC762" i="2"/>
  <c r="Z762" i="2"/>
  <c r="Y762" i="2"/>
  <c r="X762" i="2"/>
  <c r="W762" i="2"/>
  <c r="V762" i="2"/>
  <c r="U762" i="2"/>
  <c r="T762" i="2"/>
  <c r="S762" i="2"/>
  <c r="R762" i="2"/>
  <c r="Q762" i="2"/>
  <c r="P762" i="2"/>
  <c r="O762" i="2"/>
  <c r="N762" i="2"/>
  <c r="M762" i="2"/>
  <c r="L762" i="2"/>
  <c r="K762" i="2"/>
  <c r="J762" i="2"/>
  <c r="I762" i="2"/>
  <c r="H762" i="2"/>
  <c r="G762" i="2"/>
  <c r="F762" i="2"/>
  <c r="E762" i="2"/>
  <c r="D762" i="2"/>
  <c r="C762" i="2"/>
  <c r="B762" i="2"/>
  <c r="A762" i="2"/>
  <c r="AX761" i="2"/>
  <c r="AV761" i="2"/>
  <c r="AU761" i="2"/>
  <c r="AS761" i="2"/>
  <c r="AR761" i="2"/>
  <c r="AN761" i="2"/>
  <c r="AM761" i="2"/>
  <c r="AK761" i="2"/>
  <c r="AJ761" i="2"/>
  <c r="AI761" i="2"/>
  <c r="AH761" i="2"/>
  <c r="AG761" i="2"/>
  <c r="AD761" i="2"/>
  <c r="AC761" i="2"/>
  <c r="AA761" i="2"/>
  <c r="Z761" i="2"/>
  <c r="Y761" i="2"/>
  <c r="X761" i="2"/>
  <c r="W761" i="2"/>
  <c r="V761" i="2"/>
  <c r="U761" i="2"/>
  <c r="T761" i="2"/>
  <c r="S761" i="2"/>
  <c r="R761" i="2"/>
  <c r="Q761" i="2"/>
  <c r="P761" i="2"/>
  <c r="O761" i="2"/>
  <c r="N761" i="2"/>
  <c r="M761" i="2"/>
  <c r="L761" i="2"/>
  <c r="K761" i="2"/>
  <c r="J761" i="2"/>
  <c r="I761" i="2"/>
  <c r="H761" i="2"/>
  <c r="G761" i="2"/>
  <c r="F761" i="2"/>
  <c r="E761" i="2"/>
  <c r="D761" i="2"/>
  <c r="C761" i="2"/>
  <c r="B761" i="2"/>
  <c r="A761" i="2"/>
  <c r="AX760" i="2"/>
  <c r="AV760" i="2"/>
  <c r="AU760" i="2"/>
  <c r="AT760" i="2"/>
  <c r="AS760" i="2"/>
  <c r="AR760" i="2"/>
  <c r="AN760" i="2"/>
  <c r="AM760" i="2"/>
  <c r="AL760" i="2"/>
  <c r="AK760" i="2"/>
  <c r="AJ760" i="2"/>
  <c r="AI760" i="2"/>
  <c r="AH760" i="2"/>
  <c r="AG760" i="2"/>
  <c r="AE760" i="2"/>
  <c r="AD760" i="2"/>
  <c r="AC760" i="2"/>
  <c r="AA760" i="2"/>
  <c r="Z760" i="2"/>
  <c r="Y760" i="2"/>
  <c r="X760" i="2"/>
  <c r="W760" i="2"/>
  <c r="V760" i="2"/>
  <c r="U760" i="2"/>
  <c r="T760" i="2"/>
  <c r="S760" i="2"/>
  <c r="R760" i="2"/>
  <c r="Q760" i="2"/>
  <c r="P760" i="2"/>
  <c r="O760" i="2"/>
  <c r="N760" i="2"/>
  <c r="M760" i="2"/>
  <c r="L760" i="2"/>
  <c r="K760" i="2"/>
  <c r="J760" i="2"/>
  <c r="I760" i="2"/>
  <c r="H760" i="2"/>
  <c r="G760" i="2"/>
  <c r="F760" i="2"/>
  <c r="E760" i="2"/>
  <c r="D760" i="2"/>
  <c r="C760" i="2"/>
  <c r="B760" i="2"/>
  <c r="A760" i="2"/>
  <c r="AX759" i="2"/>
  <c r="AV759" i="2"/>
  <c r="AU759" i="2"/>
  <c r="AS759" i="2"/>
  <c r="AR759" i="2"/>
  <c r="AN759" i="2"/>
  <c r="AM759" i="2"/>
  <c r="AK759" i="2"/>
  <c r="AJ759" i="2"/>
  <c r="AI759" i="2"/>
  <c r="AH759" i="2"/>
  <c r="AG759" i="2"/>
  <c r="AE759" i="2"/>
  <c r="AD759" i="2"/>
  <c r="AC759" i="2"/>
  <c r="Z759" i="2"/>
  <c r="Y759" i="2"/>
  <c r="X759" i="2"/>
  <c r="W759" i="2"/>
  <c r="V759" i="2"/>
  <c r="U759" i="2"/>
  <c r="T759" i="2"/>
  <c r="S759" i="2"/>
  <c r="R759" i="2"/>
  <c r="Q759" i="2"/>
  <c r="P759" i="2"/>
  <c r="O759" i="2"/>
  <c r="N759" i="2"/>
  <c r="M759" i="2"/>
  <c r="L759" i="2"/>
  <c r="K759" i="2"/>
  <c r="J759" i="2"/>
  <c r="I759" i="2"/>
  <c r="H759" i="2"/>
  <c r="G759" i="2"/>
  <c r="F759" i="2"/>
  <c r="E759" i="2"/>
  <c r="D759" i="2"/>
  <c r="C759" i="2"/>
  <c r="B759" i="2"/>
  <c r="A759" i="2"/>
  <c r="AX758" i="2"/>
  <c r="AV758" i="2"/>
  <c r="AU758" i="2"/>
  <c r="AS758" i="2"/>
  <c r="AR758" i="2"/>
  <c r="AN758" i="2"/>
  <c r="AM758" i="2"/>
  <c r="AK758" i="2"/>
  <c r="AJ758" i="2"/>
  <c r="AI758" i="2"/>
  <c r="AH758" i="2"/>
  <c r="AG758" i="2"/>
  <c r="AD758" i="2"/>
  <c r="AC758" i="2"/>
  <c r="AA758" i="2"/>
  <c r="Z758" i="2"/>
  <c r="Y758" i="2"/>
  <c r="X758" i="2"/>
  <c r="W758" i="2"/>
  <c r="V758" i="2"/>
  <c r="U758" i="2"/>
  <c r="T758" i="2"/>
  <c r="S758" i="2"/>
  <c r="R758" i="2"/>
  <c r="Q758" i="2"/>
  <c r="P758" i="2"/>
  <c r="O758" i="2"/>
  <c r="N758" i="2"/>
  <c r="M758" i="2"/>
  <c r="L758" i="2"/>
  <c r="K758" i="2"/>
  <c r="J758" i="2"/>
  <c r="I758" i="2"/>
  <c r="H758" i="2"/>
  <c r="G758" i="2"/>
  <c r="F758" i="2"/>
  <c r="E758" i="2"/>
  <c r="D758" i="2"/>
  <c r="C758" i="2"/>
  <c r="B758" i="2"/>
  <c r="A758" i="2"/>
  <c r="AX757" i="2"/>
  <c r="AV757" i="2"/>
  <c r="AU757" i="2"/>
  <c r="AT757" i="2"/>
  <c r="AS757" i="2"/>
  <c r="AR757" i="2"/>
  <c r="AN757" i="2"/>
  <c r="AM757" i="2"/>
  <c r="AL757" i="2"/>
  <c r="AK757" i="2"/>
  <c r="AI757" i="2"/>
  <c r="AH757" i="2"/>
  <c r="AG757" i="2"/>
  <c r="AE757" i="2"/>
  <c r="AD757" i="2"/>
  <c r="AC757" i="2"/>
  <c r="AA757" i="2"/>
  <c r="Z757" i="2"/>
  <c r="Y757" i="2"/>
  <c r="X757" i="2"/>
  <c r="W757" i="2"/>
  <c r="V757" i="2"/>
  <c r="U757" i="2"/>
  <c r="T757" i="2"/>
  <c r="S757" i="2"/>
  <c r="R757" i="2"/>
  <c r="Q757" i="2"/>
  <c r="P757" i="2"/>
  <c r="O757" i="2"/>
  <c r="N757" i="2"/>
  <c r="M757" i="2"/>
  <c r="L757" i="2"/>
  <c r="K757" i="2"/>
  <c r="J757" i="2"/>
  <c r="I757" i="2"/>
  <c r="H757" i="2"/>
  <c r="G757" i="2"/>
  <c r="F757" i="2"/>
  <c r="E757" i="2"/>
  <c r="D757" i="2"/>
  <c r="C757" i="2"/>
  <c r="B757" i="2"/>
  <c r="A757" i="2"/>
  <c r="AX756" i="2"/>
  <c r="AV756" i="2"/>
  <c r="AU756" i="2"/>
  <c r="AT756" i="2"/>
  <c r="AS756" i="2"/>
  <c r="AR756" i="2"/>
  <c r="AN756" i="2"/>
  <c r="AM756" i="2"/>
  <c r="AK756" i="2"/>
  <c r="AJ756" i="2"/>
  <c r="AI756" i="2"/>
  <c r="AH756" i="2"/>
  <c r="AG756" i="2"/>
  <c r="AF756" i="2"/>
  <c r="AE756" i="2"/>
  <c r="AD756" i="2"/>
  <c r="AC756" i="2"/>
  <c r="AA756" i="2"/>
  <c r="Z756" i="2"/>
  <c r="Y756" i="2"/>
  <c r="X756" i="2"/>
  <c r="W756" i="2"/>
  <c r="V756" i="2"/>
  <c r="U756" i="2"/>
  <c r="T756" i="2"/>
  <c r="S756" i="2"/>
  <c r="R756" i="2"/>
  <c r="Q756" i="2"/>
  <c r="P756" i="2"/>
  <c r="O756" i="2"/>
  <c r="N756" i="2"/>
  <c r="M756" i="2"/>
  <c r="L756" i="2"/>
  <c r="K756" i="2"/>
  <c r="J756" i="2"/>
  <c r="I756" i="2"/>
  <c r="H756" i="2"/>
  <c r="G756" i="2"/>
  <c r="F756" i="2"/>
  <c r="E756" i="2"/>
  <c r="D756" i="2"/>
  <c r="C756" i="2"/>
  <c r="B756" i="2"/>
  <c r="A756" i="2"/>
  <c r="AX755" i="2"/>
  <c r="AV755" i="2"/>
  <c r="AU755" i="2"/>
  <c r="AS755" i="2"/>
  <c r="AR755" i="2"/>
  <c r="AN755" i="2"/>
  <c r="AM755" i="2"/>
  <c r="AK755" i="2"/>
  <c r="AJ755" i="2"/>
  <c r="AI755" i="2"/>
  <c r="AH755" i="2"/>
  <c r="AG755" i="2"/>
  <c r="AF755" i="2"/>
  <c r="AE755" i="2"/>
  <c r="AD755" i="2"/>
  <c r="AC755" i="2"/>
  <c r="AA755" i="2"/>
  <c r="Z755" i="2"/>
  <c r="Y755" i="2"/>
  <c r="X755" i="2"/>
  <c r="W755" i="2"/>
  <c r="V755" i="2"/>
  <c r="U755" i="2"/>
  <c r="T755" i="2"/>
  <c r="S755" i="2"/>
  <c r="R755" i="2"/>
  <c r="Q755" i="2"/>
  <c r="P755" i="2"/>
  <c r="O755" i="2"/>
  <c r="N755" i="2"/>
  <c r="M755" i="2"/>
  <c r="L755" i="2"/>
  <c r="K755" i="2"/>
  <c r="J755" i="2"/>
  <c r="I755" i="2"/>
  <c r="H755" i="2"/>
  <c r="G755" i="2"/>
  <c r="F755" i="2"/>
  <c r="E755" i="2"/>
  <c r="D755" i="2"/>
  <c r="C755" i="2"/>
  <c r="B755" i="2"/>
  <c r="A755" i="2"/>
  <c r="AX754" i="2"/>
  <c r="AW754" i="2"/>
  <c r="AV754" i="2"/>
  <c r="AU754" i="2"/>
  <c r="AT754" i="2"/>
  <c r="AS754" i="2"/>
  <c r="AR754" i="2"/>
  <c r="AO754" i="2"/>
  <c r="AN754" i="2"/>
  <c r="AM754" i="2"/>
  <c r="AL754" i="2"/>
  <c r="AK754" i="2"/>
  <c r="AJ754" i="2"/>
  <c r="AI754" i="2"/>
  <c r="AH754" i="2"/>
  <c r="AG754" i="2"/>
  <c r="AE754" i="2"/>
  <c r="AD754" i="2"/>
  <c r="AC754" i="2"/>
  <c r="AB754" i="2"/>
  <c r="AA754" i="2"/>
  <c r="Z754" i="2"/>
  <c r="Y754" i="2"/>
  <c r="X754" i="2"/>
  <c r="W754" i="2"/>
  <c r="V754" i="2"/>
  <c r="U754" i="2"/>
  <c r="T754" i="2"/>
  <c r="S754" i="2"/>
  <c r="R754" i="2"/>
  <c r="Q754" i="2"/>
  <c r="P754" i="2"/>
  <c r="O754" i="2"/>
  <c r="N754" i="2"/>
  <c r="M754" i="2"/>
  <c r="L754" i="2"/>
  <c r="K754" i="2"/>
  <c r="J754" i="2"/>
  <c r="I754" i="2"/>
  <c r="H754" i="2"/>
  <c r="G754" i="2"/>
  <c r="F754" i="2"/>
  <c r="E754" i="2"/>
  <c r="D754" i="2"/>
  <c r="C754" i="2"/>
  <c r="B754" i="2"/>
  <c r="A754" i="2"/>
  <c r="AX753" i="2"/>
  <c r="AV753" i="2"/>
  <c r="AU753" i="2"/>
  <c r="AS753" i="2"/>
  <c r="AR753" i="2"/>
  <c r="AN753" i="2"/>
  <c r="AM753" i="2"/>
  <c r="AL753" i="2"/>
  <c r="AK753" i="2"/>
  <c r="AJ753" i="2"/>
  <c r="AI753" i="2"/>
  <c r="AH753" i="2"/>
  <c r="AG753" i="2"/>
  <c r="AE753" i="2"/>
  <c r="AD753" i="2"/>
  <c r="AC753" i="2"/>
  <c r="AA753" i="2"/>
  <c r="Z753" i="2"/>
  <c r="Y753" i="2"/>
  <c r="X753" i="2"/>
  <c r="W753" i="2"/>
  <c r="V753" i="2"/>
  <c r="U753" i="2"/>
  <c r="T753" i="2"/>
  <c r="S753" i="2"/>
  <c r="R753" i="2"/>
  <c r="Q753" i="2"/>
  <c r="P753" i="2"/>
  <c r="O753" i="2"/>
  <c r="N753" i="2"/>
  <c r="M753" i="2"/>
  <c r="L753" i="2"/>
  <c r="K753" i="2"/>
  <c r="J753" i="2"/>
  <c r="I753" i="2"/>
  <c r="H753" i="2"/>
  <c r="G753" i="2"/>
  <c r="F753" i="2"/>
  <c r="E753" i="2"/>
  <c r="D753" i="2"/>
  <c r="C753" i="2"/>
  <c r="B753" i="2"/>
  <c r="A753" i="2"/>
  <c r="AX752" i="2"/>
  <c r="AV752" i="2"/>
  <c r="AU752" i="2"/>
  <c r="AS752" i="2"/>
  <c r="AR752" i="2"/>
  <c r="AN752" i="2"/>
  <c r="AM752" i="2"/>
  <c r="AK752" i="2"/>
  <c r="AJ752" i="2"/>
  <c r="AI752" i="2"/>
  <c r="AH752" i="2"/>
  <c r="AG752" i="2"/>
  <c r="AD752" i="2"/>
  <c r="AC752" i="2"/>
  <c r="Z752" i="2"/>
  <c r="Y752" i="2"/>
  <c r="X752" i="2"/>
  <c r="W752" i="2"/>
  <c r="V752" i="2"/>
  <c r="U752" i="2"/>
  <c r="T752" i="2"/>
  <c r="S752" i="2"/>
  <c r="R752" i="2"/>
  <c r="Q752" i="2"/>
  <c r="P752" i="2"/>
  <c r="O752" i="2"/>
  <c r="N752" i="2"/>
  <c r="M752" i="2"/>
  <c r="L752" i="2"/>
  <c r="K752" i="2"/>
  <c r="J752" i="2"/>
  <c r="I752" i="2"/>
  <c r="H752" i="2"/>
  <c r="G752" i="2"/>
  <c r="F752" i="2"/>
  <c r="E752" i="2"/>
  <c r="D752" i="2"/>
  <c r="C752" i="2"/>
  <c r="B752" i="2"/>
  <c r="A752" i="2"/>
  <c r="AX751" i="2"/>
  <c r="AV751" i="2"/>
  <c r="AU751" i="2"/>
  <c r="AT751" i="2"/>
  <c r="AS751" i="2"/>
  <c r="AR751" i="2"/>
  <c r="AN751" i="2"/>
  <c r="AM751" i="2"/>
  <c r="AK751" i="2"/>
  <c r="AJ751" i="2"/>
  <c r="AI751" i="2"/>
  <c r="AH751" i="2"/>
  <c r="AG751" i="2"/>
  <c r="AD751" i="2"/>
  <c r="AC751" i="2"/>
  <c r="AA751" i="2"/>
  <c r="Z751" i="2"/>
  <c r="Y751" i="2"/>
  <c r="X751" i="2"/>
  <c r="W751" i="2"/>
  <c r="V751" i="2"/>
  <c r="U751" i="2"/>
  <c r="T751" i="2"/>
  <c r="S751" i="2"/>
  <c r="R751" i="2"/>
  <c r="Q751" i="2"/>
  <c r="P751" i="2"/>
  <c r="O751" i="2"/>
  <c r="N751" i="2"/>
  <c r="M751" i="2"/>
  <c r="L751" i="2"/>
  <c r="K751" i="2"/>
  <c r="J751" i="2"/>
  <c r="I751" i="2"/>
  <c r="H751" i="2"/>
  <c r="G751" i="2"/>
  <c r="F751" i="2"/>
  <c r="E751" i="2"/>
  <c r="D751" i="2"/>
  <c r="C751" i="2"/>
  <c r="B751" i="2"/>
  <c r="A751" i="2"/>
  <c r="AX750" i="2"/>
  <c r="AV750" i="2"/>
  <c r="AU750" i="2"/>
  <c r="AT750" i="2"/>
  <c r="AS750" i="2"/>
  <c r="AR750" i="2"/>
  <c r="AN750" i="2"/>
  <c r="AM750" i="2"/>
  <c r="AK750" i="2"/>
  <c r="AJ750" i="2"/>
  <c r="AI750" i="2"/>
  <c r="AH750" i="2"/>
  <c r="AG750" i="2"/>
  <c r="AD750" i="2"/>
  <c r="AC750" i="2"/>
  <c r="AA750" i="2"/>
  <c r="Z750" i="2"/>
  <c r="Y750" i="2"/>
  <c r="X750" i="2"/>
  <c r="W750" i="2"/>
  <c r="V750" i="2"/>
  <c r="U750" i="2"/>
  <c r="T750" i="2"/>
  <c r="S750" i="2"/>
  <c r="R750" i="2"/>
  <c r="Q750" i="2"/>
  <c r="P750" i="2"/>
  <c r="O750" i="2"/>
  <c r="N750" i="2"/>
  <c r="M750" i="2"/>
  <c r="L750" i="2"/>
  <c r="K750" i="2"/>
  <c r="J750" i="2"/>
  <c r="I750" i="2"/>
  <c r="H750" i="2"/>
  <c r="G750" i="2"/>
  <c r="F750" i="2"/>
  <c r="E750" i="2"/>
  <c r="D750" i="2"/>
  <c r="C750" i="2"/>
  <c r="B750" i="2"/>
  <c r="A750" i="2"/>
  <c r="AX749" i="2"/>
  <c r="AV749" i="2"/>
  <c r="AU749" i="2"/>
  <c r="AS749" i="2"/>
  <c r="AR749" i="2"/>
  <c r="AN749" i="2"/>
  <c r="AM749" i="2"/>
  <c r="AL749" i="2"/>
  <c r="AK749" i="2"/>
  <c r="AJ749" i="2"/>
  <c r="AI749" i="2"/>
  <c r="AH749" i="2"/>
  <c r="AG749" i="2"/>
  <c r="AE749" i="2"/>
  <c r="AD749" i="2"/>
  <c r="AC749" i="2"/>
  <c r="AA749" i="2"/>
  <c r="Z749" i="2"/>
  <c r="Y749" i="2"/>
  <c r="X749" i="2"/>
  <c r="W749" i="2"/>
  <c r="V749" i="2"/>
  <c r="U749" i="2"/>
  <c r="T749" i="2"/>
  <c r="S749" i="2"/>
  <c r="R749" i="2"/>
  <c r="Q749" i="2"/>
  <c r="P749" i="2"/>
  <c r="O749" i="2"/>
  <c r="N749" i="2"/>
  <c r="M749" i="2"/>
  <c r="L749" i="2"/>
  <c r="K749" i="2"/>
  <c r="J749" i="2"/>
  <c r="I749" i="2"/>
  <c r="H749" i="2"/>
  <c r="G749" i="2"/>
  <c r="F749" i="2"/>
  <c r="E749" i="2"/>
  <c r="D749" i="2"/>
  <c r="C749" i="2"/>
  <c r="B749" i="2"/>
  <c r="A749" i="2"/>
  <c r="AX748" i="2"/>
  <c r="AV748" i="2"/>
  <c r="AU748" i="2"/>
  <c r="AS748" i="2"/>
  <c r="AR748" i="2"/>
  <c r="AO748" i="2"/>
  <c r="AN748" i="2"/>
  <c r="AM748" i="2"/>
  <c r="AL748" i="2"/>
  <c r="AK748" i="2"/>
  <c r="AJ748" i="2"/>
  <c r="AI748" i="2"/>
  <c r="AH748" i="2"/>
  <c r="AG748" i="2"/>
  <c r="AE748" i="2"/>
  <c r="AD748" i="2"/>
  <c r="AC748" i="2"/>
  <c r="AA748" i="2"/>
  <c r="Z748" i="2"/>
  <c r="Y748" i="2"/>
  <c r="X748" i="2"/>
  <c r="W748" i="2"/>
  <c r="V748" i="2"/>
  <c r="U748" i="2"/>
  <c r="T748" i="2"/>
  <c r="S748" i="2"/>
  <c r="R748" i="2"/>
  <c r="Q748" i="2"/>
  <c r="P748" i="2"/>
  <c r="O748" i="2"/>
  <c r="N748" i="2"/>
  <c r="M748" i="2"/>
  <c r="L748" i="2"/>
  <c r="K748" i="2"/>
  <c r="J748" i="2"/>
  <c r="I748" i="2"/>
  <c r="H748" i="2"/>
  <c r="G748" i="2"/>
  <c r="F748" i="2"/>
  <c r="E748" i="2"/>
  <c r="D748" i="2"/>
  <c r="C748" i="2"/>
  <c r="B748" i="2"/>
  <c r="A748" i="2"/>
  <c r="AX747" i="2"/>
  <c r="AV747" i="2"/>
  <c r="AU747" i="2"/>
  <c r="AT747" i="2"/>
  <c r="AS747" i="2"/>
  <c r="AR747" i="2"/>
  <c r="AN747" i="2"/>
  <c r="AM747" i="2"/>
  <c r="AK747" i="2"/>
  <c r="AJ747" i="2"/>
  <c r="AI747" i="2"/>
  <c r="AH747" i="2"/>
  <c r="AG747" i="2"/>
  <c r="AE747" i="2"/>
  <c r="AD747" i="2"/>
  <c r="AC747" i="2"/>
  <c r="AA747" i="2"/>
  <c r="Z747" i="2"/>
  <c r="Y747" i="2"/>
  <c r="X747" i="2"/>
  <c r="W747" i="2"/>
  <c r="V747" i="2"/>
  <c r="U747" i="2"/>
  <c r="T747" i="2"/>
  <c r="S747" i="2"/>
  <c r="R747" i="2"/>
  <c r="Q747" i="2"/>
  <c r="P747" i="2"/>
  <c r="O747" i="2"/>
  <c r="N747" i="2"/>
  <c r="M747" i="2"/>
  <c r="L747" i="2"/>
  <c r="K747" i="2"/>
  <c r="J747" i="2"/>
  <c r="I747" i="2"/>
  <c r="H747" i="2"/>
  <c r="G747" i="2"/>
  <c r="F747" i="2"/>
  <c r="E747" i="2"/>
  <c r="D747" i="2"/>
  <c r="C747" i="2"/>
  <c r="B747" i="2"/>
  <c r="A747" i="2"/>
  <c r="AX746" i="2"/>
  <c r="AV746" i="2"/>
  <c r="AU746" i="2"/>
  <c r="AT746" i="2"/>
  <c r="AS746" i="2"/>
  <c r="AR746" i="2"/>
  <c r="AP746" i="2"/>
  <c r="AN746" i="2"/>
  <c r="AK746" i="2"/>
  <c r="AI746" i="2"/>
  <c r="AH746" i="2"/>
  <c r="AG746" i="2"/>
  <c r="AE746" i="2"/>
  <c r="AC746" i="2"/>
  <c r="Z746" i="2"/>
  <c r="Y746" i="2"/>
  <c r="X746" i="2"/>
  <c r="W746" i="2"/>
  <c r="V746" i="2"/>
  <c r="U746" i="2"/>
  <c r="T746" i="2"/>
  <c r="S746" i="2"/>
  <c r="R746" i="2"/>
  <c r="Q746" i="2"/>
  <c r="P746" i="2"/>
  <c r="O746" i="2"/>
  <c r="N746" i="2"/>
  <c r="M746" i="2"/>
  <c r="L746" i="2"/>
  <c r="K746" i="2"/>
  <c r="J746" i="2"/>
  <c r="I746" i="2"/>
  <c r="H746" i="2"/>
  <c r="G746" i="2"/>
  <c r="F746" i="2"/>
  <c r="E746" i="2"/>
  <c r="D746" i="2"/>
  <c r="C746" i="2"/>
  <c r="B746" i="2"/>
  <c r="A746" i="2"/>
  <c r="AX745" i="2"/>
  <c r="AV745" i="2"/>
  <c r="AU745" i="2"/>
  <c r="AS745" i="2"/>
  <c r="AR745" i="2"/>
  <c r="AO745" i="2"/>
  <c r="AN745" i="2"/>
  <c r="AM745" i="2"/>
  <c r="AK745" i="2"/>
  <c r="AJ745" i="2"/>
  <c r="AI745" i="2"/>
  <c r="AH745" i="2"/>
  <c r="AG745" i="2"/>
  <c r="AD745" i="2"/>
  <c r="AC745" i="2"/>
  <c r="AA745" i="2"/>
  <c r="Z745" i="2"/>
  <c r="Y745" i="2"/>
  <c r="X745" i="2"/>
  <c r="W745" i="2"/>
  <c r="V745" i="2"/>
  <c r="U745" i="2"/>
  <c r="T745" i="2"/>
  <c r="S745" i="2"/>
  <c r="R745" i="2"/>
  <c r="Q745" i="2"/>
  <c r="P745" i="2"/>
  <c r="O745" i="2"/>
  <c r="N745" i="2"/>
  <c r="M745" i="2"/>
  <c r="L745" i="2"/>
  <c r="K745" i="2"/>
  <c r="J745" i="2"/>
  <c r="I745" i="2"/>
  <c r="H745" i="2"/>
  <c r="G745" i="2"/>
  <c r="F745" i="2"/>
  <c r="E745" i="2"/>
  <c r="D745" i="2"/>
  <c r="C745" i="2"/>
  <c r="B745" i="2"/>
  <c r="A745" i="2"/>
  <c r="AX744" i="2"/>
  <c r="AV744" i="2"/>
  <c r="AU744" i="2"/>
  <c r="AS744" i="2"/>
  <c r="AR744" i="2"/>
  <c r="AP744" i="2"/>
  <c r="AO744" i="2"/>
  <c r="AN744" i="2"/>
  <c r="AM744" i="2"/>
  <c r="AJ744" i="2"/>
  <c r="AI744" i="2"/>
  <c r="AH744" i="2"/>
  <c r="AG744" i="2"/>
  <c r="AD744" i="2"/>
  <c r="AC744" i="2"/>
  <c r="Z744" i="2"/>
  <c r="Y744" i="2"/>
  <c r="X744" i="2"/>
  <c r="W744" i="2"/>
  <c r="V744" i="2"/>
  <c r="U744" i="2"/>
  <c r="T744" i="2"/>
  <c r="S744" i="2"/>
  <c r="R744" i="2"/>
  <c r="Q744" i="2"/>
  <c r="P744" i="2"/>
  <c r="O744" i="2"/>
  <c r="N744" i="2"/>
  <c r="M744" i="2"/>
  <c r="L744" i="2"/>
  <c r="K744" i="2"/>
  <c r="J744" i="2"/>
  <c r="I744" i="2"/>
  <c r="H744" i="2"/>
  <c r="G744" i="2"/>
  <c r="F744" i="2"/>
  <c r="E744" i="2"/>
  <c r="D744" i="2"/>
  <c r="C744" i="2"/>
  <c r="B744" i="2"/>
  <c r="A744" i="2"/>
  <c r="AX743" i="2"/>
  <c r="AV743" i="2"/>
  <c r="AU743" i="2"/>
  <c r="AT743" i="2"/>
  <c r="AS743" i="2"/>
  <c r="AR743" i="2"/>
  <c r="AO743" i="2"/>
  <c r="AN743" i="2"/>
  <c r="AM743" i="2"/>
  <c r="AL743" i="2"/>
  <c r="AK743" i="2"/>
  <c r="AJ743" i="2"/>
  <c r="AI743" i="2"/>
  <c r="AH743" i="2"/>
  <c r="AG743" i="2"/>
  <c r="AE743" i="2"/>
  <c r="AD743" i="2"/>
  <c r="AC743" i="2"/>
  <c r="AA743" i="2"/>
  <c r="Z743" i="2"/>
  <c r="Y743" i="2"/>
  <c r="X743" i="2"/>
  <c r="W743" i="2"/>
  <c r="V743" i="2"/>
  <c r="U743" i="2"/>
  <c r="T743" i="2"/>
  <c r="S743" i="2"/>
  <c r="R743" i="2"/>
  <c r="Q743" i="2"/>
  <c r="P743" i="2"/>
  <c r="O743" i="2"/>
  <c r="N743" i="2"/>
  <c r="M743" i="2"/>
  <c r="L743" i="2"/>
  <c r="K743" i="2"/>
  <c r="J743" i="2"/>
  <c r="I743" i="2"/>
  <c r="H743" i="2"/>
  <c r="G743" i="2"/>
  <c r="F743" i="2"/>
  <c r="E743" i="2"/>
  <c r="D743" i="2"/>
  <c r="C743" i="2"/>
  <c r="B743" i="2"/>
  <c r="A743" i="2"/>
  <c r="AX742" i="2"/>
  <c r="AV742" i="2"/>
  <c r="AU742" i="2"/>
  <c r="AT742" i="2"/>
  <c r="AS742" i="2"/>
  <c r="AR742" i="2"/>
  <c r="AO742" i="2"/>
  <c r="AN742" i="2"/>
  <c r="AM742" i="2"/>
  <c r="AK742" i="2"/>
  <c r="AJ742" i="2"/>
  <c r="AI742" i="2"/>
  <c r="AH742" i="2"/>
  <c r="AG742" i="2"/>
  <c r="AE742" i="2"/>
  <c r="AC742" i="2"/>
  <c r="Z742" i="2"/>
  <c r="Y742" i="2"/>
  <c r="X742" i="2"/>
  <c r="W742" i="2"/>
  <c r="V742" i="2"/>
  <c r="U742" i="2"/>
  <c r="T742" i="2"/>
  <c r="S742" i="2"/>
  <c r="R742" i="2"/>
  <c r="Q742" i="2"/>
  <c r="P742" i="2"/>
  <c r="O742" i="2"/>
  <c r="N742" i="2"/>
  <c r="M742" i="2"/>
  <c r="L742" i="2"/>
  <c r="K742" i="2"/>
  <c r="J742" i="2"/>
  <c r="I742" i="2"/>
  <c r="H742" i="2"/>
  <c r="G742" i="2"/>
  <c r="F742" i="2"/>
  <c r="E742" i="2"/>
  <c r="D742" i="2"/>
  <c r="C742" i="2"/>
  <c r="B742" i="2"/>
  <c r="A742" i="2"/>
  <c r="AX741" i="2"/>
  <c r="AV741" i="2"/>
  <c r="AU741" i="2"/>
  <c r="AT741" i="2"/>
  <c r="AS741" i="2"/>
  <c r="AR741" i="2"/>
  <c r="AO741" i="2"/>
  <c r="AN741" i="2"/>
  <c r="AM741" i="2"/>
  <c r="AK741" i="2"/>
  <c r="AJ741" i="2"/>
  <c r="AI741" i="2"/>
  <c r="AH741" i="2"/>
  <c r="AG741" i="2"/>
  <c r="AE741" i="2"/>
  <c r="AD741" i="2"/>
  <c r="AC741" i="2"/>
  <c r="AA741" i="2"/>
  <c r="Z741" i="2"/>
  <c r="Y741" i="2"/>
  <c r="X741" i="2"/>
  <c r="W741" i="2"/>
  <c r="V741" i="2"/>
  <c r="U741" i="2"/>
  <c r="T741" i="2"/>
  <c r="S741" i="2"/>
  <c r="R741" i="2"/>
  <c r="Q741" i="2"/>
  <c r="P741" i="2"/>
  <c r="O741" i="2"/>
  <c r="N741" i="2"/>
  <c r="M741" i="2"/>
  <c r="L741" i="2"/>
  <c r="K741" i="2"/>
  <c r="J741" i="2"/>
  <c r="I741" i="2"/>
  <c r="H741" i="2"/>
  <c r="G741" i="2"/>
  <c r="F741" i="2"/>
  <c r="E741" i="2"/>
  <c r="D741" i="2"/>
  <c r="C741" i="2"/>
  <c r="B741" i="2"/>
  <c r="A741" i="2"/>
  <c r="AX740" i="2"/>
  <c r="AV740" i="2"/>
  <c r="AU740" i="2"/>
  <c r="AS740" i="2"/>
  <c r="AR740" i="2"/>
  <c r="AP740" i="2"/>
  <c r="AO740" i="2"/>
  <c r="AN740" i="2"/>
  <c r="AM740" i="2"/>
  <c r="AK740" i="2"/>
  <c r="AJ740" i="2"/>
  <c r="AI740" i="2"/>
  <c r="AH740" i="2"/>
  <c r="AG740" i="2"/>
  <c r="AD740" i="2"/>
  <c r="AC740" i="2"/>
  <c r="Z740" i="2"/>
  <c r="Y740" i="2"/>
  <c r="X740" i="2"/>
  <c r="W740" i="2"/>
  <c r="V740" i="2"/>
  <c r="U740" i="2"/>
  <c r="T740" i="2"/>
  <c r="S740" i="2"/>
  <c r="R740" i="2"/>
  <c r="Q740" i="2"/>
  <c r="P740" i="2"/>
  <c r="O740" i="2"/>
  <c r="N740" i="2"/>
  <c r="M740" i="2"/>
  <c r="L740" i="2"/>
  <c r="K740" i="2"/>
  <c r="J740" i="2"/>
  <c r="I740" i="2"/>
  <c r="H740" i="2"/>
  <c r="G740" i="2"/>
  <c r="F740" i="2"/>
  <c r="E740" i="2"/>
  <c r="D740" i="2"/>
  <c r="C740" i="2"/>
  <c r="B740" i="2"/>
  <c r="A740" i="2"/>
  <c r="AX739" i="2"/>
  <c r="AV739" i="2"/>
  <c r="AU739" i="2"/>
  <c r="AT739" i="2"/>
  <c r="AS739" i="2"/>
  <c r="AR739" i="2"/>
  <c r="AO739" i="2"/>
  <c r="AN739" i="2"/>
  <c r="AM739" i="2"/>
  <c r="AK739" i="2"/>
  <c r="AJ739" i="2"/>
  <c r="AI739" i="2"/>
  <c r="AH739" i="2"/>
  <c r="AG739" i="2"/>
  <c r="AD739" i="2"/>
  <c r="AC739" i="2"/>
  <c r="AA739" i="2"/>
  <c r="Z739" i="2"/>
  <c r="Y739" i="2"/>
  <c r="X739" i="2"/>
  <c r="W739" i="2"/>
  <c r="V739" i="2"/>
  <c r="U739" i="2"/>
  <c r="T739" i="2"/>
  <c r="S739" i="2"/>
  <c r="R739" i="2"/>
  <c r="Q739" i="2"/>
  <c r="P739" i="2"/>
  <c r="O739" i="2"/>
  <c r="N739" i="2"/>
  <c r="M739" i="2"/>
  <c r="L739" i="2"/>
  <c r="K739" i="2"/>
  <c r="J739" i="2"/>
  <c r="I739" i="2"/>
  <c r="H739" i="2"/>
  <c r="G739" i="2"/>
  <c r="F739" i="2"/>
  <c r="E739" i="2"/>
  <c r="D739" i="2"/>
  <c r="C739" i="2"/>
  <c r="B739" i="2"/>
  <c r="A739" i="2"/>
  <c r="AX738" i="2"/>
  <c r="AV738" i="2"/>
  <c r="AU738" i="2"/>
  <c r="AT738" i="2"/>
  <c r="AS738" i="2"/>
  <c r="AR738" i="2"/>
  <c r="AO738" i="2"/>
  <c r="AN738" i="2"/>
  <c r="AM738" i="2"/>
  <c r="AK738" i="2"/>
  <c r="AJ738" i="2"/>
  <c r="AI738" i="2"/>
  <c r="AH738" i="2"/>
  <c r="AG738" i="2"/>
  <c r="AC738" i="2"/>
  <c r="AA738" i="2"/>
  <c r="Z738" i="2"/>
  <c r="Y738" i="2"/>
  <c r="X738" i="2"/>
  <c r="W738" i="2"/>
  <c r="V738" i="2"/>
  <c r="U738" i="2"/>
  <c r="T738" i="2"/>
  <c r="S738" i="2"/>
  <c r="R738" i="2"/>
  <c r="Q738" i="2"/>
  <c r="P738" i="2"/>
  <c r="O738" i="2"/>
  <c r="N738" i="2"/>
  <c r="M738" i="2"/>
  <c r="L738" i="2"/>
  <c r="K738" i="2"/>
  <c r="J738" i="2"/>
  <c r="I738" i="2"/>
  <c r="H738" i="2"/>
  <c r="G738" i="2"/>
  <c r="F738" i="2"/>
  <c r="E738" i="2"/>
  <c r="D738" i="2"/>
  <c r="C738" i="2"/>
  <c r="B738" i="2"/>
  <c r="A738" i="2"/>
  <c r="AX737" i="2"/>
  <c r="AV737" i="2"/>
  <c r="AU737" i="2"/>
  <c r="AT737" i="2"/>
  <c r="AS737" i="2"/>
  <c r="AR737" i="2"/>
  <c r="AO737" i="2"/>
  <c r="AN737" i="2"/>
  <c r="AM737" i="2"/>
  <c r="AL737" i="2"/>
  <c r="AK737" i="2"/>
  <c r="AJ737" i="2"/>
  <c r="AI737" i="2"/>
  <c r="AH737" i="2"/>
  <c r="AG737" i="2"/>
  <c r="AF737" i="2"/>
  <c r="AE737" i="2"/>
  <c r="AD737" i="2"/>
  <c r="AC737" i="2"/>
  <c r="AA737" i="2"/>
  <c r="Z737" i="2"/>
  <c r="Y737" i="2"/>
  <c r="X737" i="2"/>
  <c r="W737" i="2"/>
  <c r="V737" i="2"/>
  <c r="U737" i="2"/>
  <c r="T737" i="2"/>
  <c r="S737" i="2"/>
  <c r="R737" i="2"/>
  <c r="Q737" i="2"/>
  <c r="P737" i="2"/>
  <c r="O737" i="2"/>
  <c r="N737" i="2"/>
  <c r="M737" i="2"/>
  <c r="L737" i="2"/>
  <c r="K737" i="2"/>
  <c r="J737" i="2"/>
  <c r="I737" i="2"/>
  <c r="H737" i="2"/>
  <c r="G737" i="2"/>
  <c r="F737" i="2"/>
  <c r="E737" i="2"/>
  <c r="D737" i="2"/>
  <c r="C737" i="2"/>
  <c r="B737" i="2"/>
  <c r="A737" i="2"/>
  <c r="AX736" i="2"/>
  <c r="AV736" i="2"/>
  <c r="AU736" i="2"/>
  <c r="AS736" i="2"/>
  <c r="AR736" i="2"/>
  <c r="AO736" i="2"/>
  <c r="AN736" i="2"/>
  <c r="AM736" i="2"/>
  <c r="AL736" i="2"/>
  <c r="AK736" i="2"/>
  <c r="AI736" i="2"/>
  <c r="AH736" i="2"/>
  <c r="AG736" i="2"/>
  <c r="AD736" i="2"/>
  <c r="AC736" i="2"/>
  <c r="AA736" i="2"/>
  <c r="Z736" i="2"/>
  <c r="Y736" i="2"/>
  <c r="X736" i="2"/>
  <c r="V736" i="2"/>
  <c r="U736" i="2"/>
  <c r="T736" i="2"/>
  <c r="S736" i="2"/>
  <c r="R736" i="2"/>
  <c r="Q736" i="2"/>
  <c r="P736" i="2"/>
  <c r="O736" i="2"/>
  <c r="N736" i="2"/>
  <c r="M736" i="2"/>
  <c r="L736" i="2"/>
  <c r="K736" i="2"/>
  <c r="J736" i="2"/>
  <c r="I736" i="2"/>
  <c r="H736" i="2"/>
  <c r="G736" i="2"/>
  <c r="F736" i="2"/>
  <c r="E736" i="2"/>
  <c r="D736" i="2"/>
  <c r="C736" i="2"/>
  <c r="B736" i="2"/>
  <c r="A736" i="2"/>
  <c r="AX735" i="2"/>
  <c r="AV735" i="2"/>
  <c r="AU735" i="2"/>
  <c r="AT735" i="2"/>
  <c r="AS735" i="2"/>
  <c r="AR735" i="2"/>
  <c r="AO735" i="2"/>
  <c r="AN735" i="2"/>
  <c r="AM735" i="2"/>
  <c r="AK735" i="2"/>
  <c r="AI735" i="2"/>
  <c r="AH735" i="2"/>
  <c r="AG735" i="2"/>
  <c r="AC735" i="2"/>
  <c r="Z735" i="2"/>
  <c r="Y735" i="2"/>
  <c r="X735" i="2"/>
  <c r="W735" i="2"/>
  <c r="V735" i="2"/>
  <c r="U735" i="2"/>
  <c r="T735" i="2"/>
  <c r="S735" i="2"/>
  <c r="R735" i="2"/>
  <c r="Q735" i="2"/>
  <c r="P735" i="2"/>
  <c r="O735" i="2"/>
  <c r="N735" i="2"/>
  <c r="M735" i="2"/>
  <c r="L735" i="2"/>
  <c r="K735" i="2"/>
  <c r="J735" i="2"/>
  <c r="I735" i="2"/>
  <c r="H735" i="2"/>
  <c r="G735" i="2"/>
  <c r="F735" i="2"/>
  <c r="E735" i="2"/>
  <c r="D735" i="2"/>
  <c r="C735" i="2"/>
  <c r="B735" i="2"/>
  <c r="A735" i="2"/>
  <c r="AX734" i="2"/>
  <c r="AV734" i="2"/>
  <c r="AU734" i="2"/>
  <c r="AT734" i="2"/>
  <c r="AS734" i="2"/>
  <c r="AR734" i="2"/>
  <c r="AO734" i="2"/>
  <c r="AN734" i="2"/>
  <c r="AM734" i="2"/>
  <c r="AL734" i="2"/>
  <c r="AK734" i="2"/>
  <c r="AI734" i="2"/>
  <c r="AH734" i="2"/>
  <c r="AG734" i="2"/>
  <c r="AE734" i="2"/>
  <c r="AD734" i="2"/>
  <c r="AC734" i="2"/>
  <c r="AA734" i="2"/>
  <c r="Z734" i="2"/>
  <c r="Y734" i="2"/>
  <c r="X734" i="2"/>
  <c r="W734" i="2"/>
  <c r="V734" i="2"/>
  <c r="U734" i="2"/>
  <c r="T734" i="2"/>
  <c r="S734" i="2"/>
  <c r="R734" i="2"/>
  <c r="Q734" i="2"/>
  <c r="P734" i="2"/>
  <c r="O734" i="2"/>
  <c r="N734" i="2"/>
  <c r="M734" i="2"/>
  <c r="L734" i="2"/>
  <c r="K734" i="2"/>
  <c r="J734" i="2"/>
  <c r="I734" i="2"/>
  <c r="H734" i="2"/>
  <c r="G734" i="2"/>
  <c r="F734" i="2"/>
  <c r="E734" i="2"/>
  <c r="D734" i="2"/>
  <c r="C734" i="2"/>
  <c r="B734" i="2"/>
  <c r="A734" i="2"/>
  <c r="AX733" i="2"/>
  <c r="AV733" i="2"/>
  <c r="AU733" i="2"/>
  <c r="AS733" i="2"/>
  <c r="AR733" i="2"/>
  <c r="AO733" i="2"/>
  <c r="AN733" i="2"/>
  <c r="AM733" i="2"/>
  <c r="AL733" i="2"/>
  <c r="AK733" i="2"/>
  <c r="AJ733" i="2"/>
  <c r="AI733" i="2"/>
  <c r="AH733" i="2"/>
  <c r="AG733" i="2"/>
  <c r="AE733" i="2"/>
  <c r="AD733" i="2"/>
  <c r="AC733" i="2"/>
  <c r="AA733" i="2"/>
  <c r="Z733" i="2"/>
  <c r="Y733" i="2"/>
  <c r="X733" i="2"/>
  <c r="W733" i="2"/>
  <c r="V733" i="2"/>
  <c r="U733" i="2"/>
  <c r="T733" i="2"/>
  <c r="S733" i="2"/>
  <c r="R733" i="2"/>
  <c r="Q733" i="2"/>
  <c r="P733" i="2"/>
  <c r="O733" i="2"/>
  <c r="N733" i="2"/>
  <c r="M733" i="2"/>
  <c r="L733" i="2"/>
  <c r="K733" i="2"/>
  <c r="J733" i="2"/>
  <c r="I733" i="2"/>
  <c r="H733" i="2"/>
  <c r="G733" i="2"/>
  <c r="F733" i="2"/>
  <c r="E733" i="2"/>
  <c r="D733" i="2"/>
  <c r="C733" i="2"/>
  <c r="B733" i="2"/>
  <c r="A733" i="2"/>
  <c r="AX732" i="2"/>
  <c r="AV732" i="2"/>
  <c r="AU732" i="2"/>
  <c r="AS732" i="2"/>
  <c r="AR732" i="2"/>
  <c r="AO732" i="2"/>
  <c r="AN732" i="2"/>
  <c r="AM732" i="2"/>
  <c r="AK732" i="2"/>
  <c r="AJ732" i="2"/>
  <c r="AI732" i="2"/>
  <c r="AH732" i="2"/>
  <c r="AG732" i="2"/>
  <c r="AE732" i="2"/>
  <c r="AD732" i="2"/>
  <c r="AC732" i="2"/>
  <c r="AA732" i="2"/>
  <c r="Z732" i="2"/>
  <c r="Y732" i="2"/>
  <c r="X732" i="2"/>
  <c r="W732" i="2"/>
  <c r="V732" i="2"/>
  <c r="U732" i="2"/>
  <c r="T732" i="2"/>
  <c r="S732" i="2"/>
  <c r="R732" i="2"/>
  <c r="Q732" i="2"/>
  <c r="P732" i="2"/>
  <c r="O732" i="2"/>
  <c r="N732" i="2"/>
  <c r="M732" i="2"/>
  <c r="L732" i="2"/>
  <c r="K732" i="2"/>
  <c r="J732" i="2"/>
  <c r="I732" i="2"/>
  <c r="H732" i="2"/>
  <c r="G732" i="2"/>
  <c r="F732" i="2"/>
  <c r="E732" i="2"/>
  <c r="D732" i="2"/>
  <c r="C732" i="2"/>
  <c r="B732" i="2"/>
  <c r="A732" i="2"/>
  <c r="AX731" i="2"/>
  <c r="AV731" i="2"/>
  <c r="AU731" i="2"/>
  <c r="AT731" i="2"/>
  <c r="AS731" i="2"/>
  <c r="AR731" i="2"/>
  <c r="AO731" i="2"/>
  <c r="AN731" i="2"/>
  <c r="AM731" i="2"/>
  <c r="AK731" i="2"/>
  <c r="AJ731" i="2"/>
  <c r="AI731" i="2"/>
  <c r="AH731" i="2"/>
  <c r="AG731" i="2"/>
  <c r="AF731" i="2"/>
  <c r="AE731" i="2"/>
  <c r="AD731" i="2"/>
  <c r="AC731" i="2"/>
  <c r="AA731" i="2"/>
  <c r="Z731" i="2"/>
  <c r="Y731" i="2"/>
  <c r="X731" i="2"/>
  <c r="W731" i="2"/>
  <c r="V731" i="2"/>
  <c r="U731" i="2"/>
  <c r="T731" i="2"/>
  <c r="S731" i="2"/>
  <c r="R731" i="2"/>
  <c r="Q731" i="2"/>
  <c r="P731" i="2"/>
  <c r="O731" i="2"/>
  <c r="N731" i="2"/>
  <c r="M731" i="2"/>
  <c r="L731" i="2"/>
  <c r="K731" i="2"/>
  <c r="J731" i="2"/>
  <c r="I731" i="2"/>
  <c r="H731" i="2"/>
  <c r="G731" i="2"/>
  <c r="F731" i="2"/>
  <c r="E731" i="2"/>
  <c r="D731" i="2"/>
  <c r="C731" i="2"/>
  <c r="B731" i="2"/>
  <c r="A731" i="2"/>
  <c r="AX730" i="2"/>
  <c r="AV730" i="2"/>
  <c r="AU730" i="2"/>
  <c r="AT730" i="2"/>
  <c r="AS730" i="2"/>
  <c r="AR730" i="2"/>
  <c r="AO730" i="2"/>
  <c r="AN730" i="2"/>
  <c r="AM730" i="2"/>
  <c r="AL730" i="2"/>
  <c r="AK730" i="2"/>
  <c r="AJ730" i="2"/>
  <c r="AI730" i="2"/>
  <c r="AH730" i="2"/>
  <c r="AG730" i="2"/>
  <c r="AE730" i="2"/>
  <c r="AD730" i="2"/>
  <c r="AC730" i="2"/>
  <c r="AA730" i="2"/>
  <c r="Z730" i="2"/>
  <c r="Y730" i="2"/>
  <c r="X730" i="2"/>
  <c r="W730" i="2"/>
  <c r="V730" i="2"/>
  <c r="U730" i="2"/>
  <c r="T730" i="2"/>
  <c r="S730" i="2"/>
  <c r="R730" i="2"/>
  <c r="Q730" i="2"/>
  <c r="P730" i="2"/>
  <c r="O730" i="2"/>
  <c r="N730" i="2"/>
  <c r="M730" i="2"/>
  <c r="L730" i="2"/>
  <c r="K730" i="2"/>
  <c r="J730" i="2"/>
  <c r="I730" i="2"/>
  <c r="H730" i="2"/>
  <c r="G730" i="2"/>
  <c r="F730" i="2"/>
  <c r="E730" i="2"/>
  <c r="D730" i="2"/>
  <c r="C730" i="2"/>
  <c r="B730" i="2"/>
  <c r="A730" i="2"/>
  <c r="AX729" i="2"/>
  <c r="AV729" i="2"/>
  <c r="AU729" i="2"/>
  <c r="AT729" i="2"/>
  <c r="AS729" i="2"/>
  <c r="AR729" i="2"/>
  <c r="AQ729" i="2"/>
  <c r="AP729" i="2"/>
  <c r="AO729" i="2"/>
  <c r="AN729" i="2"/>
  <c r="AM729" i="2"/>
  <c r="AK729" i="2"/>
  <c r="AJ729" i="2"/>
  <c r="AI729" i="2"/>
  <c r="AH729" i="2"/>
  <c r="AG729" i="2"/>
  <c r="AE729" i="2"/>
  <c r="AD729" i="2"/>
  <c r="AC729" i="2"/>
  <c r="Z729" i="2"/>
  <c r="Y729" i="2"/>
  <c r="X729" i="2"/>
  <c r="W729" i="2"/>
  <c r="V729" i="2"/>
  <c r="U729" i="2"/>
  <c r="T729" i="2"/>
  <c r="S729" i="2"/>
  <c r="R729" i="2"/>
  <c r="Q729" i="2"/>
  <c r="P729" i="2"/>
  <c r="O729" i="2"/>
  <c r="N729" i="2"/>
  <c r="M729" i="2"/>
  <c r="L729" i="2"/>
  <c r="K729" i="2"/>
  <c r="J729" i="2"/>
  <c r="I729" i="2"/>
  <c r="H729" i="2"/>
  <c r="G729" i="2"/>
  <c r="F729" i="2"/>
  <c r="E729" i="2"/>
  <c r="D729" i="2"/>
  <c r="C729" i="2"/>
  <c r="B729" i="2"/>
  <c r="A729" i="2"/>
  <c r="AX728" i="2"/>
  <c r="AV728" i="2"/>
  <c r="AU728" i="2"/>
  <c r="AT728" i="2"/>
  <c r="AS728" i="2"/>
  <c r="AR728" i="2"/>
  <c r="AO728" i="2"/>
  <c r="AN728" i="2"/>
  <c r="AM728" i="2"/>
  <c r="AK728" i="2"/>
  <c r="AJ728" i="2"/>
  <c r="AI728" i="2"/>
  <c r="AH728" i="2"/>
  <c r="AG728" i="2"/>
  <c r="AD728" i="2"/>
  <c r="AC728" i="2"/>
  <c r="AA728" i="2"/>
  <c r="Z728" i="2"/>
  <c r="Y728" i="2"/>
  <c r="X728" i="2"/>
  <c r="W728" i="2"/>
  <c r="V728" i="2"/>
  <c r="U728" i="2"/>
  <c r="T728" i="2"/>
  <c r="S728" i="2"/>
  <c r="R728" i="2"/>
  <c r="Q728" i="2"/>
  <c r="P728" i="2"/>
  <c r="O728" i="2"/>
  <c r="N728" i="2"/>
  <c r="M728" i="2"/>
  <c r="L728" i="2"/>
  <c r="K728" i="2"/>
  <c r="J728" i="2"/>
  <c r="I728" i="2"/>
  <c r="H728" i="2"/>
  <c r="G728" i="2"/>
  <c r="F728" i="2"/>
  <c r="E728" i="2"/>
  <c r="D728" i="2"/>
  <c r="C728" i="2"/>
  <c r="B728" i="2"/>
  <c r="A728" i="2"/>
  <c r="AX727" i="2"/>
  <c r="AV727" i="2"/>
  <c r="AU727" i="2"/>
  <c r="AS727" i="2"/>
  <c r="AR727" i="2"/>
  <c r="AO727" i="2"/>
  <c r="AN727" i="2"/>
  <c r="AM727" i="2"/>
  <c r="AL727" i="2"/>
  <c r="AK727" i="2"/>
  <c r="AJ727" i="2"/>
  <c r="AI727" i="2"/>
  <c r="AH727" i="2"/>
  <c r="AG727" i="2"/>
  <c r="AD727" i="2"/>
  <c r="AC727" i="2"/>
  <c r="Z727" i="2"/>
  <c r="Y727" i="2"/>
  <c r="X727" i="2"/>
  <c r="W727" i="2"/>
  <c r="V727" i="2"/>
  <c r="U727" i="2"/>
  <c r="T727" i="2"/>
  <c r="S727" i="2"/>
  <c r="R727" i="2"/>
  <c r="Q727" i="2"/>
  <c r="P727" i="2"/>
  <c r="O727" i="2"/>
  <c r="N727" i="2"/>
  <c r="M727" i="2"/>
  <c r="L727" i="2"/>
  <c r="K727" i="2"/>
  <c r="J727" i="2"/>
  <c r="I727" i="2"/>
  <c r="H727" i="2"/>
  <c r="G727" i="2"/>
  <c r="F727" i="2"/>
  <c r="E727" i="2"/>
  <c r="D727" i="2"/>
  <c r="C727" i="2"/>
  <c r="B727" i="2"/>
  <c r="A727" i="2"/>
  <c r="AX726" i="2"/>
  <c r="AV726" i="2"/>
  <c r="AU726" i="2"/>
  <c r="AS726" i="2"/>
  <c r="AR726" i="2"/>
  <c r="AO726" i="2"/>
  <c r="AN726" i="2"/>
  <c r="AM726" i="2"/>
  <c r="AL726" i="2"/>
  <c r="AK726" i="2"/>
  <c r="AJ726" i="2"/>
  <c r="AI726" i="2"/>
  <c r="AH726" i="2"/>
  <c r="AG726" i="2"/>
  <c r="AA726" i="2"/>
  <c r="Z726" i="2"/>
  <c r="Y726" i="2"/>
  <c r="X726" i="2"/>
  <c r="W726" i="2"/>
  <c r="V726" i="2"/>
  <c r="U726" i="2"/>
  <c r="T726" i="2"/>
  <c r="S726" i="2"/>
  <c r="R726" i="2"/>
  <c r="Q726" i="2"/>
  <c r="P726" i="2"/>
  <c r="O726" i="2"/>
  <c r="N726" i="2"/>
  <c r="M726" i="2"/>
  <c r="L726" i="2"/>
  <c r="K726" i="2"/>
  <c r="J726" i="2"/>
  <c r="I726" i="2"/>
  <c r="H726" i="2"/>
  <c r="G726" i="2"/>
  <c r="F726" i="2"/>
  <c r="E726" i="2"/>
  <c r="D726" i="2"/>
  <c r="C726" i="2"/>
  <c r="B726" i="2"/>
  <c r="A726" i="2"/>
  <c r="AX725" i="2"/>
  <c r="AV725" i="2"/>
  <c r="AU725" i="2"/>
  <c r="AT725" i="2"/>
  <c r="AS725" i="2"/>
  <c r="AR725" i="2"/>
  <c r="AO725" i="2"/>
  <c r="AN725" i="2"/>
  <c r="AM725" i="2"/>
  <c r="AL725" i="2"/>
  <c r="AK725" i="2"/>
  <c r="AJ725" i="2"/>
  <c r="AI725" i="2"/>
  <c r="AH725" i="2"/>
  <c r="AG725" i="2"/>
  <c r="AF725" i="2"/>
  <c r="AE725" i="2"/>
  <c r="AD725" i="2"/>
  <c r="AC725" i="2"/>
  <c r="AA725" i="2"/>
  <c r="Z725" i="2"/>
  <c r="Y725" i="2"/>
  <c r="X725" i="2"/>
  <c r="W725" i="2"/>
  <c r="V725" i="2"/>
  <c r="U725" i="2"/>
  <c r="T725" i="2"/>
  <c r="S725" i="2"/>
  <c r="R725" i="2"/>
  <c r="Q725" i="2"/>
  <c r="P725" i="2"/>
  <c r="O725" i="2"/>
  <c r="N725" i="2"/>
  <c r="M725" i="2"/>
  <c r="L725" i="2"/>
  <c r="K725" i="2"/>
  <c r="J725" i="2"/>
  <c r="I725" i="2"/>
  <c r="H725" i="2"/>
  <c r="G725" i="2"/>
  <c r="F725" i="2"/>
  <c r="E725" i="2"/>
  <c r="D725" i="2"/>
  <c r="C725" i="2"/>
  <c r="B725" i="2"/>
  <c r="A725" i="2"/>
  <c r="AX724" i="2"/>
  <c r="AV724" i="2"/>
  <c r="AU724" i="2"/>
  <c r="AT724" i="2"/>
  <c r="AS724" i="2"/>
  <c r="AR724" i="2"/>
  <c r="AO724" i="2"/>
  <c r="AN724" i="2"/>
  <c r="AM724" i="2"/>
  <c r="AL724" i="2"/>
  <c r="AK724" i="2"/>
  <c r="AJ724" i="2"/>
  <c r="AI724" i="2"/>
  <c r="AH724" i="2"/>
  <c r="AG724" i="2"/>
  <c r="AE724" i="2"/>
  <c r="AD724" i="2"/>
  <c r="AC724" i="2"/>
  <c r="AA724" i="2"/>
  <c r="Z724" i="2"/>
  <c r="Y724" i="2"/>
  <c r="X724" i="2"/>
  <c r="W724" i="2"/>
  <c r="V724" i="2"/>
  <c r="U724" i="2"/>
  <c r="T724" i="2"/>
  <c r="S724" i="2"/>
  <c r="R724" i="2"/>
  <c r="Q724" i="2"/>
  <c r="P724" i="2"/>
  <c r="O724" i="2"/>
  <c r="N724" i="2"/>
  <c r="M724" i="2"/>
  <c r="L724" i="2"/>
  <c r="K724" i="2"/>
  <c r="J724" i="2"/>
  <c r="I724" i="2"/>
  <c r="H724" i="2"/>
  <c r="G724" i="2"/>
  <c r="F724" i="2"/>
  <c r="E724" i="2"/>
  <c r="D724" i="2"/>
  <c r="C724" i="2"/>
  <c r="B724" i="2"/>
  <c r="A724" i="2"/>
  <c r="AX723" i="2"/>
  <c r="AV723" i="2"/>
  <c r="AU723" i="2"/>
  <c r="AT723" i="2"/>
  <c r="AS723" i="2"/>
  <c r="AR723" i="2"/>
  <c r="AP723" i="2"/>
  <c r="AO723" i="2"/>
  <c r="AN723" i="2"/>
  <c r="AM723" i="2"/>
  <c r="AL723" i="2"/>
  <c r="AK723" i="2"/>
  <c r="AJ723" i="2"/>
  <c r="AI723" i="2"/>
  <c r="AH723" i="2"/>
  <c r="AG723" i="2"/>
  <c r="AF723" i="2"/>
  <c r="AE723" i="2"/>
  <c r="AD723" i="2"/>
  <c r="AC723" i="2"/>
  <c r="AA723" i="2"/>
  <c r="Z723" i="2"/>
  <c r="Y723" i="2"/>
  <c r="X723" i="2"/>
  <c r="W723" i="2"/>
  <c r="V723" i="2"/>
  <c r="U723" i="2"/>
  <c r="T723" i="2"/>
  <c r="S723" i="2"/>
  <c r="R723" i="2"/>
  <c r="Q723" i="2"/>
  <c r="P723" i="2"/>
  <c r="O723" i="2"/>
  <c r="N723" i="2"/>
  <c r="M723" i="2"/>
  <c r="L723" i="2"/>
  <c r="K723" i="2"/>
  <c r="J723" i="2"/>
  <c r="I723" i="2"/>
  <c r="H723" i="2"/>
  <c r="G723" i="2"/>
  <c r="F723" i="2"/>
  <c r="E723" i="2"/>
  <c r="D723" i="2"/>
  <c r="C723" i="2"/>
  <c r="B723" i="2"/>
  <c r="A723" i="2"/>
  <c r="AX722" i="2"/>
  <c r="AV722" i="2"/>
  <c r="AU722" i="2"/>
  <c r="AS722" i="2"/>
  <c r="AR722" i="2"/>
  <c r="AO722" i="2"/>
  <c r="AN722" i="2"/>
  <c r="AM722" i="2"/>
  <c r="AJ722" i="2"/>
  <c r="AI722" i="2"/>
  <c r="AH722" i="2"/>
  <c r="AG722" i="2"/>
  <c r="AC722" i="2"/>
  <c r="Z722" i="2"/>
  <c r="Y722" i="2"/>
  <c r="X722" i="2"/>
  <c r="W722" i="2"/>
  <c r="V722" i="2"/>
  <c r="U722" i="2"/>
  <c r="T722" i="2"/>
  <c r="S722" i="2"/>
  <c r="R722" i="2"/>
  <c r="Q722" i="2"/>
  <c r="P722" i="2"/>
  <c r="O722" i="2"/>
  <c r="N722" i="2"/>
  <c r="M722" i="2"/>
  <c r="L722" i="2"/>
  <c r="K722" i="2"/>
  <c r="J722" i="2"/>
  <c r="I722" i="2"/>
  <c r="H722" i="2"/>
  <c r="G722" i="2"/>
  <c r="F722" i="2"/>
  <c r="E722" i="2"/>
  <c r="D722" i="2"/>
  <c r="C722" i="2"/>
  <c r="B722" i="2"/>
  <c r="A722" i="2"/>
  <c r="AX721" i="2"/>
  <c r="AV721" i="2"/>
  <c r="AU721" i="2"/>
  <c r="AS721" i="2"/>
  <c r="AR721" i="2"/>
  <c r="AO721" i="2"/>
  <c r="AN721" i="2"/>
  <c r="AM721" i="2"/>
  <c r="AK721" i="2"/>
  <c r="AJ721" i="2"/>
  <c r="AI721" i="2"/>
  <c r="AH721" i="2"/>
  <c r="AG721" i="2"/>
  <c r="AF721" i="2"/>
  <c r="AE721" i="2"/>
  <c r="AD721" i="2"/>
  <c r="AC721" i="2"/>
  <c r="AA721" i="2"/>
  <c r="Z721" i="2"/>
  <c r="Y721" i="2"/>
  <c r="X721" i="2"/>
  <c r="W721" i="2"/>
  <c r="V721" i="2"/>
  <c r="U721" i="2"/>
  <c r="T721" i="2"/>
  <c r="S721" i="2"/>
  <c r="R721" i="2"/>
  <c r="Q721" i="2"/>
  <c r="P721" i="2"/>
  <c r="O721" i="2"/>
  <c r="N721" i="2"/>
  <c r="M721" i="2"/>
  <c r="L721" i="2"/>
  <c r="K721" i="2"/>
  <c r="J721" i="2"/>
  <c r="I721" i="2"/>
  <c r="H721" i="2"/>
  <c r="G721" i="2"/>
  <c r="F721" i="2"/>
  <c r="E721" i="2"/>
  <c r="D721" i="2"/>
  <c r="C721" i="2"/>
  <c r="B721" i="2"/>
  <c r="A721" i="2"/>
  <c r="AX720" i="2"/>
  <c r="AV720" i="2"/>
  <c r="AU720" i="2"/>
  <c r="AT720" i="2"/>
  <c r="AS720" i="2"/>
  <c r="AR720" i="2"/>
  <c r="AN720" i="2"/>
  <c r="AM720" i="2"/>
  <c r="AL720" i="2"/>
  <c r="AK720" i="2"/>
  <c r="AI720" i="2"/>
  <c r="AH720" i="2"/>
  <c r="AG720" i="2"/>
  <c r="AE720" i="2"/>
  <c r="AC720" i="2"/>
  <c r="Z720" i="2"/>
  <c r="Y720" i="2"/>
  <c r="X720" i="2"/>
  <c r="W720" i="2"/>
  <c r="V720" i="2"/>
  <c r="U720" i="2"/>
  <c r="T720" i="2"/>
  <c r="S720" i="2"/>
  <c r="R720" i="2"/>
  <c r="Q720" i="2"/>
  <c r="P720" i="2"/>
  <c r="O720" i="2"/>
  <c r="N720" i="2"/>
  <c r="M720" i="2"/>
  <c r="L720" i="2"/>
  <c r="K720" i="2"/>
  <c r="J720" i="2"/>
  <c r="I720" i="2"/>
  <c r="H720" i="2"/>
  <c r="G720" i="2"/>
  <c r="F720" i="2"/>
  <c r="E720" i="2"/>
  <c r="D720" i="2"/>
  <c r="C720" i="2"/>
  <c r="B720" i="2"/>
  <c r="A720" i="2"/>
  <c r="AX719" i="2"/>
  <c r="AV719" i="2"/>
  <c r="AU719" i="2"/>
  <c r="AS719" i="2"/>
  <c r="AR719" i="2"/>
  <c r="AO719" i="2"/>
  <c r="AN719" i="2"/>
  <c r="AM719" i="2"/>
  <c r="AL719" i="2"/>
  <c r="AK719" i="2"/>
  <c r="AJ719" i="2"/>
  <c r="AI719" i="2"/>
  <c r="AH719" i="2"/>
  <c r="AG719" i="2"/>
  <c r="AD719" i="2"/>
  <c r="AA719" i="2"/>
  <c r="Z719" i="2"/>
  <c r="Y719" i="2"/>
  <c r="X719" i="2"/>
  <c r="W719" i="2"/>
  <c r="V719" i="2"/>
  <c r="U719" i="2"/>
  <c r="T719" i="2"/>
  <c r="S719" i="2"/>
  <c r="R719" i="2"/>
  <c r="Q719" i="2"/>
  <c r="P719" i="2"/>
  <c r="O719" i="2"/>
  <c r="N719" i="2"/>
  <c r="M719" i="2"/>
  <c r="L719" i="2"/>
  <c r="K719" i="2"/>
  <c r="J719" i="2"/>
  <c r="I719" i="2"/>
  <c r="H719" i="2"/>
  <c r="G719" i="2"/>
  <c r="F719" i="2"/>
  <c r="E719" i="2"/>
  <c r="D719" i="2"/>
  <c r="C719" i="2"/>
  <c r="B719" i="2"/>
  <c r="A719" i="2"/>
  <c r="AX718" i="2"/>
  <c r="AV718" i="2"/>
  <c r="AU718" i="2"/>
  <c r="AT718" i="2"/>
  <c r="AS718" i="2"/>
  <c r="AR718" i="2"/>
  <c r="AO718" i="2"/>
  <c r="AN718" i="2"/>
  <c r="AM718" i="2"/>
  <c r="AK718" i="2"/>
  <c r="AJ718" i="2"/>
  <c r="AI718" i="2"/>
  <c r="AH718" i="2"/>
  <c r="AG718" i="2"/>
  <c r="AF718" i="2"/>
  <c r="AE718" i="2"/>
  <c r="AD718" i="2"/>
  <c r="AC718" i="2"/>
  <c r="AA718" i="2"/>
  <c r="Z718" i="2"/>
  <c r="Y718" i="2"/>
  <c r="X718" i="2"/>
  <c r="W718" i="2"/>
  <c r="V718" i="2"/>
  <c r="U718" i="2"/>
  <c r="T718" i="2"/>
  <c r="S718" i="2"/>
  <c r="R718" i="2"/>
  <c r="Q718" i="2"/>
  <c r="P718" i="2"/>
  <c r="O718" i="2"/>
  <c r="N718" i="2"/>
  <c r="M718" i="2"/>
  <c r="L718" i="2"/>
  <c r="K718" i="2"/>
  <c r="J718" i="2"/>
  <c r="I718" i="2"/>
  <c r="H718" i="2"/>
  <c r="G718" i="2"/>
  <c r="F718" i="2"/>
  <c r="E718" i="2"/>
  <c r="D718" i="2"/>
  <c r="C718" i="2"/>
  <c r="B718" i="2"/>
  <c r="A718" i="2"/>
  <c r="AX717" i="2"/>
  <c r="AV717" i="2"/>
  <c r="AU717" i="2"/>
  <c r="AT717" i="2"/>
  <c r="AS717" i="2"/>
  <c r="AR717" i="2"/>
  <c r="AO717" i="2"/>
  <c r="AN717" i="2"/>
  <c r="AM717" i="2"/>
  <c r="AK717" i="2"/>
  <c r="AJ717" i="2"/>
  <c r="AI717" i="2"/>
  <c r="AH717" i="2"/>
  <c r="AG717" i="2"/>
  <c r="AE717" i="2"/>
  <c r="AD717" i="2"/>
  <c r="AC717" i="2"/>
  <c r="AA717" i="2"/>
  <c r="Z717" i="2"/>
  <c r="Y717" i="2"/>
  <c r="X717" i="2"/>
  <c r="W717" i="2"/>
  <c r="V717" i="2"/>
  <c r="U717" i="2"/>
  <c r="T717" i="2"/>
  <c r="S717" i="2"/>
  <c r="R717" i="2"/>
  <c r="Q717" i="2"/>
  <c r="P717" i="2"/>
  <c r="O717" i="2"/>
  <c r="N717" i="2"/>
  <c r="M717" i="2"/>
  <c r="L717" i="2"/>
  <c r="K717" i="2"/>
  <c r="J717" i="2"/>
  <c r="I717" i="2"/>
  <c r="H717" i="2"/>
  <c r="G717" i="2"/>
  <c r="F717" i="2"/>
  <c r="E717" i="2"/>
  <c r="D717" i="2"/>
  <c r="C717" i="2"/>
  <c r="B717" i="2"/>
  <c r="A717" i="2"/>
  <c r="AX716" i="2"/>
  <c r="AV716" i="2"/>
  <c r="AU716" i="2"/>
  <c r="AT716" i="2"/>
  <c r="AS716" i="2"/>
  <c r="AR716" i="2"/>
  <c r="AP716" i="2"/>
  <c r="AO716" i="2"/>
  <c r="AN716" i="2"/>
  <c r="AM716" i="2"/>
  <c r="AL716" i="2"/>
  <c r="AK716" i="2"/>
  <c r="AJ716" i="2"/>
  <c r="AI716" i="2"/>
  <c r="AH716" i="2"/>
  <c r="AG716" i="2"/>
  <c r="AE716" i="2"/>
  <c r="AD716" i="2"/>
  <c r="AC716" i="2"/>
  <c r="AA716" i="2"/>
  <c r="Z716" i="2"/>
  <c r="Y716" i="2"/>
  <c r="X716" i="2"/>
  <c r="W716" i="2"/>
  <c r="V716" i="2"/>
  <c r="U716" i="2"/>
  <c r="T716" i="2"/>
  <c r="S716" i="2"/>
  <c r="R716" i="2"/>
  <c r="Q716" i="2"/>
  <c r="P716" i="2"/>
  <c r="O716" i="2"/>
  <c r="N716" i="2"/>
  <c r="M716" i="2"/>
  <c r="L716" i="2"/>
  <c r="K716" i="2"/>
  <c r="J716" i="2"/>
  <c r="I716" i="2"/>
  <c r="H716" i="2"/>
  <c r="G716" i="2"/>
  <c r="F716" i="2"/>
  <c r="E716" i="2"/>
  <c r="D716" i="2"/>
  <c r="C716" i="2"/>
  <c r="B716" i="2"/>
  <c r="A716" i="2"/>
  <c r="AX715" i="2"/>
  <c r="AV715" i="2"/>
  <c r="AU715" i="2"/>
  <c r="AT715" i="2"/>
  <c r="AS715" i="2"/>
  <c r="AR715" i="2"/>
  <c r="AO715" i="2"/>
  <c r="AN715" i="2"/>
  <c r="AM715" i="2"/>
  <c r="AL715" i="2"/>
  <c r="AK715" i="2"/>
  <c r="AJ715" i="2"/>
  <c r="AI715" i="2"/>
  <c r="AH715" i="2"/>
  <c r="AG715" i="2"/>
  <c r="AE715" i="2"/>
  <c r="AD715" i="2"/>
  <c r="AC715" i="2"/>
  <c r="AA715" i="2"/>
  <c r="Z715" i="2"/>
  <c r="Y715" i="2"/>
  <c r="X715" i="2"/>
  <c r="W715" i="2"/>
  <c r="V715" i="2"/>
  <c r="U715" i="2"/>
  <c r="T715" i="2"/>
  <c r="S715" i="2"/>
  <c r="R715" i="2"/>
  <c r="Q715" i="2"/>
  <c r="P715" i="2"/>
  <c r="O715" i="2"/>
  <c r="N715" i="2"/>
  <c r="M715" i="2"/>
  <c r="L715" i="2"/>
  <c r="K715" i="2"/>
  <c r="J715" i="2"/>
  <c r="I715" i="2"/>
  <c r="H715" i="2"/>
  <c r="G715" i="2"/>
  <c r="F715" i="2"/>
  <c r="E715" i="2"/>
  <c r="D715" i="2"/>
  <c r="C715" i="2"/>
  <c r="B715" i="2"/>
  <c r="A715" i="2"/>
  <c r="AX714" i="2"/>
  <c r="AV714" i="2"/>
  <c r="AU714" i="2"/>
  <c r="AT714" i="2"/>
  <c r="AS714" i="2"/>
  <c r="AR714" i="2"/>
  <c r="AO714" i="2"/>
  <c r="AN714" i="2"/>
  <c r="AM714" i="2"/>
  <c r="AK714" i="2"/>
  <c r="AJ714" i="2"/>
  <c r="AI714" i="2"/>
  <c r="AH714" i="2"/>
  <c r="AG714" i="2"/>
  <c r="AF714" i="2"/>
  <c r="AE714" i="2"/>
  <c r="AD714" i="2"/>
  <c r="AC714" i="2"/>
  <c r="AA714" i="2"/>
  <c r="Z714" i="2"/>
  <c r="Y714" i="2"/>
  <c r="X714" i="2"/>
  <c r="W714" i="2"/>
  <c r="V714" i="2"/>
  <c r="U714" i="2"/>
  <c r="T714" i="2"/>
  <c r="S714" i="2"/>
  <c r="R714" i="2"/>
  <c r="Q714" i="2"/>
  <c r="P714" i="2"/>
  <c r="O714" i="2"/>
  <c r="N714" i="2"/>
  <c r="M714" i="2"/>
  <c r="L714" i="2"/>
  <c r="K714" i="2"/>
  <c r="J714" i="2"/>
  <c r="I714" i="2"/>
  <c r="H714" i="2"/>
  <c r="G714" i="2"/>
  <c r="F714" i="2"/>
  <c r="E714" i="2"/>
  <c r="D714" i="2"/>
  <c r="C714" i="2"/>
  <c r="B714" i="2"/>
  <c r="A714" i="2"/>
  <c r="AX713" i="2"/>
  <c r="AV713" i="2"/>
  <c r="AU713" i="2"/>
  <c r="AT713" i="2"/>
  <c r="AS713" i="2"/>
  <c r="AR713" i="2"/>
  <c r="AO713" i="2"/>
  <c r="AN713" i="2"/>
  <c r="AM713" i="2"/>
  <c r="AL713" i="2"/>
  <c r="AK713" i="2"/>
  <c r="AJ713" i="2"/>
  <c r="AI713" i="2"/>
  <c r="AH713" i="2"/>
  <c r="AG713" i="2"/>
  <c r="AE713" i="2"/>
  <c r="AD713" i="2"/>
  <c r="AC713" i="2"/>
  <c r="AA713" i="2"/>
  <c r="Z713" i="2"/>
  <c r="Y713" i="2"/>
  <c r="X713" i="2"/>
  <c r="W713" i="2"/>
  <c r="V713" i="2"/>
  <c r="U713" i="2"/>
  <c r="T713" i="2"/>
  <c r="S713" i="2"/>
  <c r="R713" i="2"/>
  <c r="Q713" i="2"/>
  <c r="P713" i="2"/>
  <c r="O713" i="2"/>
  <c r="N713" i="2"/>
  <c r="M713" i="2"/>
  <c r="L713" i="2"/>
  <c r="K713" i="2"/>
  <c r="J713" i="2"/>
  <c r="I713" i="2"/>
  <c r="H713" i="2"/>
  <c r="G713" i="2"/>
  <c r="F713" i="2"/>
  <c r="E713" i="2"/>
  <c r="D713" i="2"/>
  <c r="C713" i="2"/>
  <c r="B713" i="2"/>
  <c r="A713" i="2"/>
  <c r="AX712" i="2"/>
  <c r="AV712" i="2"/>
  <c r="AU712" i="2"/>
  <c r="AS712" i="2"/>
  <c r="AR712" i="2"/>
  <c r="AO712" i="2"/>
  <c r="AN712" i="2"/>
  <c r="AM712" i="2"/>
  <c r="AL712" i="2"/>
  <c r="AK712" i="2"/>
  <c r="AJ712" i="2"/>
  <c r="AI712" i="2"/>
  <c r="AH712" i="2"/>
  <c r="AG712" i="2"/>
  <c r="AF712" i="2"/>
  <c r="AE712" i="2"/>
  <c r="AD712" i="2"/>
  <c r="AC712" i="2"/>
  <c r="AA712" i="2"/>
  <c r="Z712" i="2"/>
  <c r="Y712" i="2"/>
  <c r="X712" i="2"/>
  <c r="W712" i="2"/>
  <c r="V712" i="2"/>
  <c r="U712" i="2"/>
  <c r="T712" i="2"/>
  <c r="S712" i="2"/>
  <c r="R712" i="2"/>
  <c r="Q712" i="2"/>
  <c r="P712" i="2"/>
  <c r="O712" i="2"/>
  <c r="N712" i="2"/>
  <c r="M712" i="2"/>
  <c r="L712" i="2"/>
  <c r="K712" i="2"/>
  <c r="J712" i="2"/>
  <c r="I712" i="2"/>
  <c r="H712" i="2"/>
  <c r="G712" i="2"/>
  <c r="F712" i="2"/>
  <c r="E712" i="2"/>
  <c r="D712" i="2"/>
  <c r="C712" i="2"/>
  <c r="B712" i="2"/>
  <c r="A712" i="2"/>
  <c r="AX711" i="2"/>
  <c r="AV711" i="2"/>
  <c r="AU711" i="2"/>
  <c r="AS711" i="2"/>
  <c r="AR711" i="2"/>
  <c r="AQ711" i="2"/>
  <c r="AP711" i="2"/>
  <c r="AO711" i="2"/>
  <c r="AN711" i="2"/>
  <c r="AM711" i="2"/>
  <c r="AL711" i="2"/>
  <c r="AK711" i="2"/>
  <c r="AJ711" i="2"/>
  <c r="AI711" i="2"/>
  <c r="AH711" i="2"/>
  <c r="AG711" i="2"/>
  <c r="AE711" i="2"/>
  <c r="AD711" i="2"/>
  <c r="AC711" i="2"/>
  <c r="AA711" i="2"/>
  <c r="Z711" i="2"/>
  <c r="Y711" i="2"/>
  <c r="X711" i="2"/>
  <c r="W711" i="2"/>
  <c r="V711" i="2"/>
  <c r="U711" i="2"/>
  <c r="T711" i="2"/>
  <c r="S711" i="2"/>
  <c r="R711" i="2"/>
  <c r="Q711" i="2"/>
  <c r="P711" i="2"/>
  <c r="O711" i="2"/>
  <c r="N711" i="2"/>
  <c r="M711" i="2"/>
  <c r="L711" i="2"/>
  <c r="K711" i="2"/>
  <c r="J711" i="2"/>
  <c r="I711" i="2"/>
  <c r="H711" i="2"/>
  <c r="G711" i="2"/>
  <c r="F711" i="2"/>
  <c r="E711" i="2"/>
  <c r="D711" i="2"/>
  <c r="C711" i="2"/>
  <c r="B711" i="2"/>
  <c r="A711" i="2"/>
  <c r="AX710" i="2"/>
  <c r="AV710" i="2"/>
  <c r="AU710" i="2"/>
  <c r="AT710" i="2"/>
  <c r="AS710" i="2"/>
  <c r="AR710" i="2"/>
  <c r="AO710" i="2"/>
  <c r="AN710" i="2"/>
  <c r="AM710" i="2"/>
  <c r="AK710" i="2"/>
  <c r="AJ710" i="2"/>
  <c r="AI710" i="2"/>
  <c r="AH710" i="2"/>
  <c r="AG710" i="2"/>
  <c r="AF710" i="2"/>
  <c r="AE710" i="2"/>
  <c r="AC710" i="2"/>
  <c r="AA710" i="2"/>
  <c r="Z710" i="2"/>
  <c r="Y710" i="2"/>
  <c r="X710" i="2"/>
  <c r="W710" i="2"/>
  <c r="V710" i="2"/>
  <c r="U710" i="2"/>
  <c r="T710" i="2"/>
  <c r="S710" i="2"/>
  <c r="R710" i="2"/>
  <c r="Q710" i="2"/>
  <c r="P710" i="2"/>
  <c r="O710" i="2"/>
  <c r="N710" i="2"/>
  <c r="M710" i="2"/>
  <c r="L710" i="2"/>
  <c r="K710" i="2"/>
  <c r="J710" i="2"/>
  <c r="I710" i="2"/>
  <c r="H710" i="2"/>
  <c r="G710" i="2"/>
  <c r="F710" i="2"/>
  <c r="E710" i="2"/>
  <c r="D710" i="2"/>
  <c r="C710" i="2"/>
  <c r="B710" i="2"/>
  <c r="A710" i="2"/>
  <c r="AX709" i="2"/>
  <c r="AV709" i="2"/>
  <c r="AU709" i="2"/>
  <c r="AT709" i="2"/>
  <c r="AS709" i="2"/>
  <c r="AR709" i="2"/>
  <c r="AO709" i="2"/>
  <c r="AN709" i="2"/>
  <c r="AM709" i="2"/>
  <c r="AL709" i="2"/>
  <c r="AK709" i="2"/>
  <c r="AJ709" i="2"/>
  <c r="AI709" i="2"/>
  <c r="AH709" i="2"/>
  <c r="AG709" i="2"/>
  <c r="AF709" i="2"/>
  <c r="AE709" i="2"/>
  <c r="AD709" i="2"/>
  <c r="AC709" i="2"/>
  <c r="AA709" i="2"/>
  <c r="Z709" i="2"/>
  <c r="Y709" i="2"/>
  <c r="X709" i="2"/>
  <c r="W709" i="2"/>
  <c r="V709" i="2"/>
  <c r="U709" i="2"/>
  <c r="T709" i="2"/>
  <c r="S709" i="2"/>
  <c r="R709" i="2"/>
  <c r="Q709" i="2"/>
  <c r="P709" i="2"/>
  <c r="O709" i="2"/>
  <c r="N709" i="2"/>
  <c r="M709" i="2"/>
  <c r="L709" i="2"/>
  <c r="K709" i="2"/>
  <c r="J709" i="2"/>
  <c r="I709" i="2"/>
  <c r="H709" i="2"/>
  <c r="G709" i="2"/>
  <c r="F709" i="2"/>
  <c r="E709" i="2"/>
  <c r="D709" i="2"/>
  <c r="C709" i="2"/>
  <c r="B709" i="2"/>
  <c r="A709" i="2"/>
  <c r="AX708" i="2"/>
  <c r="AV708" i="2"/>
  <c r="AU708" i="2"/>
  <c r="AT708" i="2"/>
  <c r="AS708" i="2"/>
  <c r="AR708" i="2"/>
  <c r="AO708" i="2"/>
  <c r="AN708" i="2"/>
  <c r="AM708" i="2"/>
  <c r="AL708" i="2"/>
  <c r="AK708" i="2"/>
  <c r="AJ708" i="2"/>
  <c r="AI708" i="2"/>
  <c r="AH708" i="2"/>
  <c r="AG708" i="2"/>
  <c r="AE708" i="2"/>
  <c r="AD708" i="2"/>
  <c r="AC708" i="2"/>
  <c r="AA708" i="2"/>
  <c r="Z708" i="2"/>
  <c r="Y708" i="2"/>
  <c r="X708" i="2"/>
  <c r="W708" i="2"/>
  <c r="V708" i="2"/>
  <c r="U708" i="2"/>
  <c r="T708" i="2"/>
  <c r="S708" i="2"/>
  <c r="R708" i="2"/>
  <c r="Q708" i="2"/>
  <c r="P708" i="2"/>
  <c r="O708" i="2"/>
  <c r="N708" i="2"/>
  <c r="M708" i="2"/>
  <c r="L708" i="2"/>
  <c r="K708" i="2"/>
  <c r="J708" i="2"/>
  <c r="I708" i="2"/>
  <c r="H708" i="2"/>
  <c r="G708" i="2"/>
  <c r="F708" i="2"/>
  <c r="E708" i="2"/>
  <c r="D708" i="2"/>
  <c r="C708" i="2"/>
  <c r="B708" i="2"/>
  <c r="A708" i="2"/>
  <c r="AX707" i="2"/>
  <c r="AV707" i="2"/>
  <c r="AU707" i="2"/>
  <c r="AS707" i="2"/>
  <c r="AR707" i="2"/>
  <c r="AO707" i="2"/>
  <c r="AN707" i="2"/>
  <c r="AM707" i="2"/>
  <c r="AK707" i="2"/>
  <c r="AJ707" i="2"/>
  <c r="AI707" i="2"/>
  <c r="AH707" i="2"/>
  <c r="AG707" i="2"/>
  <c r="AE707" i="2"/>
  <c r="AD707" i="2"/>
  <c r="AC707" i="2"/>
  <c r="AA707" i="2"/>
  <c r="Z707" i="2"/>
  <c r="Y707" i="2"/>
  <c r="X707" i="2"/>
  <c r="W707" i="2"/>
  <c r="V707" i="2"/>
  <c r="U707" i="2"/>
  <c r="T707" i="2"/>
  <c r="S707" i="2"/>
  <c r="R707" i="2"/>
  <c r="Q707" i="2"/>
  <c r="P707" i="2"/>
  <c r="O707" i="2"/>
  <c r="N707" i="2"/>
  <c r="M707" i="2"/>
  <c r="L707" i="2"/>
  <c r="K707" i="2"/>
  <c r="J707" i="2"/>
  <c r="I707" i="2"/>
  <c r="H707" i="2"/>
  <c r="G707" i="2"/>
  <c r="F707" i="2"/>
  <c r="E707" i="2"/>
  <c r="D707" i="2"/>
  <c r="C707" i="2"/>
  <c r="B707" i="2"/>
  <c r="A707" i="2"/>
  <c r="AX706" i="2"/>
  <c r="AV706" i="2"/>
  <c r="AU706" i="2"/>
  <c r="AT706" i="2"/>
  <c r="AS706" i="2"/>
  <c r="AR706" i="2"/>
  <c r="AP706" i="2"/>
  <c r="AO706" i="2"/>
  <c r="AN706" i="2"/>
  <c r="AM706" i="2"/>
  <c r="AL706" i="2"/>
  <c r="AK706" i="2"/>
  <c r="AI706" i="2"/>
  <c r="AH706" i="2"/>
  <c r="AG706" i="2"/>
  <c r="AE706" i="2"/>
  <c r="AC706" i="2"/>
  <c r="AA706" i="2"/>
  <c r="Z706" i="2"/>
  <c r="Y706" i="2"/>
  <c r="X706" i="2"/>
  <c r="W706" i="2"/>
  <c r="V706" i="2"/>
  <c r="U706" i="2"/>
  <c r="T706" i="2"/>
  <c r="S706" i="2"/>
  <c r="R706" i="2"/>
  <c r="Q706" i="2"/>
  <c r="P706" i="2"/>
  <c r="O706" i="2"/>
  <c r="N706" i="2"/>
  <c r="M706" i="2"/>
  <c r="L706" i="2"/>
  <c r="K706" i="2"/>
  <c r="J706" i="2"/>
  <c r="I706" i="2"/>
  <c r="H706" i="2"/>
  <c r="G706" i="2"/>
  <c r="F706" i="2"/>
  <c r="E706" i="2"/>
  <c r="D706" i="2"/>
  <c r="C706" i="2"/>
  <c r="B706" i="2"/>
  <c r="A706" i="2"/>
  <c r="AX705" i="2"/>
  <c r="AV705" i="2"/>
  <c r="AU705" i="2"/>
  <c r="AT705" i="2"/>
  <c r="AS705" i="2"/>
  <c r="AR705" i="2"/>
  <c r="AO705" i="2"/>
  <c r="AN705" i="2"/>
  <c r="AM705" i="2"/>
  <c r="AL705" i="2"/>
  <c r="AK705" i="2"/>
  <c r="AJ705" i="2"/>
  <c r="AI705" i="2"/>
  <c r="AH705" i="2"/>
  <c r="AG705" i="2"/>
  <c r="AE705" i="2"/>
  <c r="AD705" i="2"/>
  <c r="AC705" i="2"/>
  <c r="AA705" i="2"/>
  <c r="Z705" i="2"/>
  <c r="Y705" i="2"/>
  <c r="X705" i="2"/>
  <c r="W705" i="2"/>
  <c r="V705" i="2"/>
  <c r="U705" i="2"/>
  <c r="T705" i="2"/>
  <c r="S705" i="2"/>
  <c r="R705" i="2"/>
  <c r="Q705" i="2"/>
  <c r="P705" i="2"/>
  <c r="O705" i="2"/>
  <c r="N705" i="2"/>
  <c r="M705" i="2"/>
  <c r="L705" i="2"/>
  <c r="K705" i="2"/>
  <c r="J705" i="2"/>
  <c r="I705" i="2"/>
  <c r="H705" i="2"/>
  <c r="G705" i="2"/>
  <c r="F705" i="2"/>
  <c r="E705" i="2"/>
  <c r="D705" i="2"/>
  <c r="C705" i="2"/>
  <c r="B705" i="2"/>
  <c r="A705" i="2"/>
  <c r="AX704" i="2"/>
  <c r="AV704" i="2"/>
  <c r="AU704" i="2"/>
  <c r="AS704" i="2"/>
  <c r="AR704" i="2"/>
  <c r="AO704" i="2"/>
  <c r="AN704" i="2"/>
  <c r="AM704" i="2"/>
  <c r="AK704" i="2"/>
  <c r="AJ704" i="2"/>
  <c r="AI704" i="2"/>
  <c r="AH704" i="2"/>
  <c r="AG704" i="2"/>
  <c r="AE704" i="2"/>
  <c r="AD704" i="2"/>
  <c r="AC704" i="2"/>
  <c r="AA704" i="2"/>
  <c r="Z704" i="2"/>
  <c r="Y704" i="2"/>
  <c r="X704" i="2"/>
  <c r="W704" i="2"/>
  <c r="V704" i="2"/>
  <c r="U704" i="2"/>
  <c r="T704" i="2"/>
  <c r="S704" i="2"/>
  <c r="R704" i="2"/>
  <c r="Q704" i="2"/>
  <c r="P704" i="2"/>
  <c r="O704" i="2"/>
  <c r="N704" i="2"/>
  <c r="M704" i="2"/>
  <c r="L704" i="2"/>
  <c r="K704" i="2"/>
  <c r="J704" i="2"/>
  <c r="I704" i="2"/>
  <c r="H704" i="2"/>
  <c r="G704" i="2"/>
  <c r="F704" i="2"/>
  <c r="E704" i="2"/>
  <c r="D704" i="2"/>
  <c r="C704" i="2"/>
  <c r="B704" i="2"/>
  <c r="A704" i="2"/>
  <c r="AX703" i="2"/>
  <c r="AV703" i="2"/>
  <c r="AU703" i="2"/>
  <c r="AT703" i="2"/>
  <c r="AS703" i="2"/>
  <c r="AR703" i="2"/>
  <c r="AO703" i="2"/>
  <c r="AN703" i="2"/>
  <c r="AM703" i="2"/>
  <c r="AK703" i="2"/>
  <c r="AJ703" i="2"/>
  <c r="AI703" i="2"/>
  <c r="AH703" i="2"/>
  <c r="AG703" i="2"/>
  <c r="AE703" i="2"/>
  <c r="AD703" i="2"/>
  <c r="AC703" i="2"/>
  <c r="Z703" i="2"/>
  <c r="Y703" i="2"/>
  <c r="X703" i="2"/>
  <c r="W703" i="2"/>
  <c r="V703" i="2"/>
  <c r="U703" i="2"/>
  <c r="T703" i="2"/>
  <c r="S703" i="2"/>
  <c r="R703" i="2"/>
  <c r="Q703" i="2"/>
  <c r="P703" i="2"/>
  <c r="O703" i="2"/>
  <c r="N703" i="2"/>
  <c r="M703" i="2"/>
  <c r="L703" i="2"/>
  <c r="K703" i="2"/>
  <c r="J703" i="2"/>
  <c r="I703" i="2"/>
  <c r="H703" i="2"/>
  <c r="G703" i="2"/>
  <c r="F703" i="2"/>
  <c r="E703" i="2"/>
  <c r="D703" i="2"/>
  <c r="C703" i="2"/>
  <c r="B703" i="2"/>
  <c r="A703" i="2"/>
  <c r="AX702" i="2"/>
  <c r="AV702" i="2"/>
  <c r="AU702" i="2"/>
  <c r="AT702" i="2"/>
  <c r="AS702" i="2"/>
  <c r="AR702" i="2"/>
  <c r="AO702" i="2"/>
  <c r="AN702" i="2"/>
  <c r="AM702" i="2"/>
  <c r="AK702" i="2"/>
  <c r="AJ702" i="2"/>
  <c r="AI702" i="2"/>
  <c r="AH702" i="2"/>
  <c r="AG702" i="2"/>
  <c r="AE702" i="2"/>
  <c r="AD702" i="2"/>
  <c r="AC702" i="2"/>
  <c r="AA702" i="2"/>
  <c r="Z702" i="2"/>
  <c r="Y702" i="2"/>
  <c r="X702" i="2"/>
  <c r="W702" i="2"/>
  <c r="V702" i="2"/>
  <c r="U702" i="2"/>
  <c r="T702" i="2"/>
  <c r="S702" i="2"/>
  <c r="R702" i="2"/>
  <c r="Q702" i="2"/>
  <c r="P702" i="2"/>
  <c r="O702" i="2"/>
  <c r="N702" i="2"/>
  <c r="M702" i="2"/>
  <c r="L702" i="2"/>
  <c r="K702" i="2"/>
  <c r="J702" i="2"/>
  <c r="I702" i="2"/>
  <c r="H702" i="2"/>
  <c r="G702" i="2"/>
  <c r="F702" i="2"/>
  <c r="E702" i="2"/>
  <c r="D702" i="2"/>
  <c r="C702" i="2"/>
  <c r="B702" i="2"/>
  <c r="A702" i="2"/>
  <c r="AX701" i="2"/>
  <c r="AV701" i="2"/>
  <c r="AU701" i="2"/>
  <c r="AT701" i="2"/>
  <c r="AS701" i="2"/>
  <c r="AO701" i="2"/>
  <c r="AN701" i="2"/>
  <c r="AM701" i="2"/>
  <c r="AL701" i="2"/>
  <c r="AK701" i="2"/>
  <c r="AJ701" i="2"/>
  <c r="AI701" i="2"/>
  <c r="AH701" i="2"/>
  <c r="AG701" i="2"/>
  <c r="AE701" i="2"/>
  <c r="AD701" i="2"/>
  <c r="AC701" i="2"/>
  <c r="AA701" i="2"/>
  <c r="Z701" i="2"/>
  <c r="Y701" i="2"/>
  <c r="X701" i="2"/>
  <c r="W701" i="2"/>
  <c r="V701" i="2"/>
  <c r="U701" i="2"/>
  <c r="T701" i="2"/>
  <c r="S701" i="2"/>
  <c r="R701" i="2"/>
  <c r="Q701" i="2"/>
  <c r="P701" i="2"/>
  <c r="O701" i="2"/>
  <c r="N701" i="2"/>
  <c r="M701" i="2"/>
  <c r="L701" i="2"/>
  <c r="K701" i="2"/>
  <c r="J701" i="2"/>
  <c r="I701" i="2"/>
  <c r="H701" i="2"/>
  <c r="G701" i="2"/>
  <c r="F701" i="2"/>
  <c r="E701" i="2"/>
  <c r="D701" i="2"/>
  <c r="C701" i="2"/>
  <c r="B701" i="2"/>
  <c r="A701" i="2"/>
  <c r="AX700" i="2"/>
  <c r="AV700" i="2"/>
  <c r="AU700" i="2"/>
  <c r="AT700" i="2"/>
  <c r="AS700" i="2"/>
  <c r="AR700" i="2"/>
  <c r="AO700" i="2"/>
  <c r="AN700" i="2"/>
  <c r="AM700" i="2"/>
  <c r="AK700" i="2"/>
  <c r="AJ700" i="2"/>
  <c r="AI700" i="2"/>
  <c r="AH700" i="2"/>
  <c r="AG700" i="2"/>
  <c r="AE700" i="2"/>
  <c r="AD700" i="2"/>
  <c r="AC700" i="2"/>
  <c r="AA700" i="2"/>
  <c r="Z700" i="2"/>
  <c r="Y700" i="2"/>
  <c r="X700" i="2"/>
  <c r="W700" i="2"/>
  <c r="V700" i="2"/>
  <c r="U700" i="2"/>
  <c r="T700" i="2"/>
  <c r="S700" i="2"/>
  <c r="R700" i="2"/>
  <c r="Q700" i="2"/>
  <c r="P700" i="2"/>
  <c r="O700" i="2"/>
  <c r="N700" i="2"/>
  <c r="M700" i="2"/>
  <c r="L700" i="2"/>
  <c r="K700" i="2"/>
  <c r="J700" i="2"/>
  <c r="I700" i="2"/>
  <c r="H700" i="2"/>
  <c r="G700" i="2"/>
  <c r="F700" i="2"/>
  <c r="E700" i="2"/>
  <c r="D700" i="2"/>
  <c r="C700" i="2"/>
  <c r="B700" i="2"/>
  <c r="A700" i="2"/>
  <c r="AX699" i="2"/>
  <c r="AV699" i="2"/>
  <c r="AU699" i="2"/>
  <c r="AT699" i="2"/>
  <c r="AS699" i="2"/>
  <c r="AR699" i="2"/>
  <c r="AO699" i="2"/>
  <c r="AN699" i="2"/>
  <c r="AM699" i="2"/>
  <c r="AK699" i="2"/>
  <c r="AJ699" i="2"/>
  <c r="AI699" i="2"/>
  <c r="AH699" i="2"/>
  <c r="AG699" i="2"/>
  <c r="AF699" i="2"/>
  <c r="AE699" i="2"/>
  <c r="AD699" i="2"/>
  <c r="AC699" i="2"/>
  <c r="AA699" i="2"/>
  <c r="Z699" i="2"/>
  <c r="Y699" i="2"/>
  <c r="X699" i="2"/>
  <c r="W699" i="2"/>
  <c r="V699" i="2"/>
  <c r="U699" i="2"/>
  <c r="T699" i="2"/>
  <c r="S699" i="2"/>
  <c r="R699" i="2"/>
  <c r="Q699" i="2"/>
  <c r="P699" i="2"/>
  <c r="O699" i="2"/>
  <c r="N699" i="2"/>
  <c r="M699" i="2"/>
  <c r="L699" i="2"/>
  <c r="K699" i="2"/>
  <c r="J699" i="2"/>
  <c r="I699" i="2"/>
  <c r="H699" i="2"/>
  <c r="G699" i="2"/>
  <c r="F699" i="2"/>
  <c r="E699" i="2"/>
  <c r="D699" i="2"/>
  <c r="C699" i="2"/>
  <c r="B699" i="2"/>
  <c r="A699" i="2"/>
  <c r="AX698" i="2"/>
  <c r="AV698" i="2"/>
  <c r="AU698" i="2"/>
  <c r="AT698" i="2"/>
  <c r="AS698" i="2"/>
  <c r="AR698" i="2"/>
  <c r="AN698" i="2"/>
  <c r="AM698" i="2"/>
  <c r="AK698" i="2"/>
  <c r="AJ698" i="2"/>
  <c r="AI698" i="2"/>
  <c r="AH698" i="2"/>
  <c r="AG698" i="2"/>
  <c r="AF698" i="2"/>
  <c r="AE698" i="2"/>
  <c r="AC698" i="2"/>
  <c r="Z698" i="2"/>
  <c r="Y698" i="2"/>
  <c r="X698" i="2"/>
  <c r="W698" i="2"/>
  <c r="V698" i="2"/>
  <c r="U698" i="2"/>
  <c r="T698" i="2"/>
  <c r="S698" i="2"/>
  <c r="R698" i="2"/>
  <c r="Q698" i="2"/>
  <c r="P698" i="2"/>
  <c r="O698" i="2"/>
  <c r="N698" i="2"/>
  <c r="M698" i="2"/>
  <c r="L698" i="2"/>
  <c r="K698" i="2"/>
  <c r="J698" i="2"/>
  <c r="I698" i="2"/>
  <c r="H698" i="2"/>
  <c r="G698" i="2"/>
  <c r="F698" i="2"/>
  <c r="E698" i="2"/>
  <c r="D698" i="2"/>
  <c r="C698" i="2"/>
  <c r="B698" i="2"/>
  <c r="A698" i="2"/>
  <c r="AX697" i="2"/>
  <c r="AV697" i="2"/>
  <c r="AU697" i="2"/>
  <c r="AT697" i="2"/>
  <c r="AS697" i="2"/>
  <c r="AR697" i="2"/>
  <c r="AO697" i="2"/>
  <c r="AN697" i="2"/>
  <c r="AM697" i="2"/>
  <c r="AK697" i="2"/>
  <c r="AI697" i="2"/>
  <c r="AH697" i="2"/>
  <c r="AG697" i="2"/>
  <c r="AE697" i="2"/>
  <c r="AD697" i="2"/>
  <c r="AC697" i="2"/>
  <c r="Z697" i="2"/>
  <c r="Y697" i="2"/>
  <c r="X697" i="2"/>
  <c r="W697" i="2"/>
  <c r="V697" i="2"/>
  <c r="U697" i="2"/>
  <c r="T697" i="2"/>
  <c r="S697" i="2"/>
  <c r="R697" i="2"/>
  <c r="Q697" i="2"/>
  <c r="P697" i="2"/>
  <c r="O697" i="2"/>
  <c r="N697" i="2"/>
  <c r="M697" i="2"/>
  <c r="L697" i="2"/>
  <c r="K697" i="2"/>
  <c r="J697" i="2"/>
  <c r="I697" i="2"/>
  <c r="H697" i="2"/>
  <c r="G697" i="2"/>
  <c r="F697" i="2"/>
  <c r="E697" i="2"/>
  <c r="D697" i="2"/>
  <c r="C697" i="2"/>
  <c r="B697" i="2"/>
  <c r="A697" i="2"/>
  <c r="AX696" i="2"/>
  <c r="AV696" i="2"/>
  <c r="AU696" i="2"/>
  <c r="AT696" i="2"/>
  <c r="AS696" i="2"/>
  <c r="AR696" i="2"/>
  <c r="AO696" i="2"/>
  <c r="AN696" i="2"/>
  <c r="AM696" i="2"/>
  <c r="AK696" i="2"/>
  <c r="AJ696" i="2"/>
  <c r="AI696" i="2"/>
  <c r="AH696" i="2"/>
  <c r="AG696" i="2"/>
  <c r="AF696" i="2"/>
  <c r="AE696" i="2"/>
  <c r="AD696" i="2"/>
  <c r="AC696" i="2"/>
  <c r="AA696" i="2"/>
  <c r="Z696" i="2"/>
  <c r="Y696" i="2"/>
  <c r="X696" i="2"/>
  <c r="W696" i="2"/>
  <c r="V696" i="2"/>
  <c r="U696" i="2"/>
  <c r="T696" i="2"/>
  <c r="S696" i="2"/>
  <c r="R696" i="2"/>
  <c r="Q696" i="2"/>
  <c r="P696" i="2"/>
  <c r="O696" i="2"/>
  <c r="N696" i="2"/>
  <c r="M696" i="2"/>
  <c r="L696" i="2"/>
  <c r="K696" i="2"/>
  <c r="J696" i="2"/>
  <c r="I696" i="2"/>
  <c r="H696" i="2"/>
  <c r="G696" i="2"/>
  <c r="F696" i="2"/>
  <c r="E696" i="2"/>
  <c r="D696" i="2"/>
  <c r="C696" i="2"/>
  <c r="B696" i="2"/>
  <c r="A696" i="2"/>
  <c r="AX695" i="2"/>
  <c r="AV695" i="2"/>
  <c r="AU695" i="2"/>
  <c r="AS695" i="2"/>
  <c r="AR695" i="2"/>
  <c r="AO695" i="2"/>
  <c r="AN695" i="2"/>
  <c r="AM695" i="2"/>
  <c r="AK695" i="2"/>
  <c r="AJ695" i="2"/>
  <c r="AI695" i="2"/>
  <c r="AH695" i="2"/>
  <c r="AG695" i="2"/>
  <c r="AF695" i="2"/>
  <c r="AE695" i="2"/>
  <c r="AD695" i="2"/>
  <c r="AC695" i="2"/>
  <c r="AA695" i="2"/>
  <c r="Z695" i="2"/>
  <c r="Y695" i="2"/>
  <c r="X695" i="2"/>
  <c r="W695" i="2"/>
  <c r="V695" i="2"/>
  <c r="U695" i="2"/>
  <c r="T695" i="2"/>
  <c r="S695" i="2"/>
  <c r="R695" i="2"/>
  <c r="Q695" i="2"/>
  <c r="P695" i="2"/>
  <c r="O695" i="2"/>
  <c r="N695" i="2"/>
  <c r="M695" i="2"/>
  <c r="L695" i="2"/>
  <c r="K695" i="2"/>
  <c r="J695" i="2"/>
  <c r="I695" i="2"/>
  <c r="H695" i="2"/>
  <c r="G695" i="2"/>
  <c r="F695" i="2"/>
  <c r="E695" i="2"/>
  <c r="D695" i="2"/>
  <c r="C695" i="2"/>
  <c r="B695" i="2"/>
  <c r="A695" i="2"/>
  <c r="AX694" i="2"/>
  <c r="AV694" i="2"/>
  <c r="AU694" i="2"/>
  <c r="AS694" i="2"/>
  <c r="AR694" i="2"/>
  <c r="AO694" i="2"/>
  <c r="AN694" i="2"/>
  <c r="AM694" i="2"/>
  <c r="AK694" i="2"/>
  <c r="AJ694" i="2"/>
  <c r="AI694" i="2"/>
  <c r="AH694" i="2"/>
  <c r="AG694" i="2"/>
  <c r="AE694" i="2"/>
  <c r="AD694" i="2"/>
  <c r="AC694" i="2"/>
  <c r="AA694" i="2"/>
  <c r="Z694" i="2"/>
  <c r="Y694" i="2"/>
  <c r="X694" i="2"/>
  <c r="W694" i="2"/>
  <c r="V694" i="2"/>
  <c r="U694" i="2"/>
  <c r="T694" i="2"/>
  <c r="S694" i="2"/>
  <c r="R694" i="2"/>
  <c r="Q694" i="2"/>
  <c r="P694" i="2"/>
  <c r="O694" i="2"/>
  <c r="N694" i="2"/>
  <c r="M694" i="2"/>
  <c r="L694" i="2"/>
  <c r="K694" i="2"/>
  <c r="J694" i="2"/>
  <c r="I694" i="2"/>
  <c r="H694" i="2"/>
  <c r="G694" i="2"/>
  <c r="F694" i="2"/>
  <c r="E694" i="2"/>
  <c r="D694" i="2"/>
  <c r="C694" i="2"/>
  <c r="B694" i="2"/>
  <c r="A694" i="2"/>
  <c r="AX693" i="2"/>
  <c r="AV693" i="2"/>
  <c r="AU693" i="2"/>
  <c r="AS693" i="2"/>
  <c r="AR693" i="2"/>
  <c r="AO693" i="2"/>
  <c r="AN693" i="2"/>
  <c r="AM693" i="2"/>
  <c r="AL693" i="2"/>
  <c r="AK693" i="2"/>
  <c r="AJ693" i="2"/>
  <c r="AI693" i="2"/>
  <c r="AH693" i="2"/>
  <c r="AG693" i="2"/>
  <c r="AF693" i="2"/>
  <c r="AE693" i="2"/>
  <c r="AD693" i="2"/>
  <c r="AC693" i="2"/>
  <c r="AA693" i="2"/>
  <c r="Z693" i="2"/>
  <c r="Y693" i="2"/>
  <c r="X693" i="2"/>
  <c r="W693" i="2"/>
  <c r="V693" i="2"/>
  <c r="U693" i="2"/>
  <c r="T693" i="2"/>
  <c r="S693" i="2"/>
  <c r="R693" i="2"/>
  <c r="Q693" i="2"/>
  <c r="P693" i="2"/>
  <c r="O693" i="2"/>
  <c r="N693" i="2"/>
  <c r="M693" i="2"/>
  <c r="L693" i="2"/>
  <c r="K693" i="2"/>
  <c r="J693" i="2"/>
  <c r="I693" i="2"/>
  <c r="H693" i="2"/>
  <c r="G693" i="2"/>
  <c r="F693" i="2"/>
  <c r="E693" i="2"/>
  <c r="D693" i="2"/>
  <c r="C693" i="2"/>
  <c r="B693" i="2"/>
  <c r="A693" i="2"/>
  <c r="AX692" i="2"/>
  <c r="AV692" i="2"/>
  <c r="AU692" i="2"/>
  <c r="AS692" i="2"/>
  <c r="AR692" i="2"/>
  <c r="AO692" i="2"/>
  <c r="AN692" i="2"/>
  <c r="AM692" i="2"/>
  <c r="AK692" i="2"/>
  <c r="AJ692" i="2"/>
  <c r="AI692" i="2"/>
  <c r="AH692" i="2"/>
  <c r="AG692" i="2"/>
  <c r="AE692" i="2"/>
  <c r="AD692" i="2"/>
  <c r="AC692" i="2"/>
  <c r="AA692" i="2"/>
  <c r="Z692" i="2"/>
  <c r="Y692" i="2"/>
  <c r="X692" i="2"/>
  <c r="W692" i="2"/>
  <c r="V692" i="2"/>
  <c r="U692" i="2"/>
  <c r="T692" i="2"/>
  <c r="S692" i="2"/>
  <c r="R692" i="2"/>
  <c r="Q692" i="2"/>
  <c r="P692" i="2"/>
  <c r="O692" i="2"/>
  <c r="N692" i="2"/>
  <c r="M692" i="2"/>
  <c r="L692" i="2"/>
  <c r="K692" i="2"/>
  <c r="J692" i="2"/>
  <c r="I692" i="2"/>
  <c r="H692" i="2"/>
  <c r="G692" i="2"/>
  <c r="F692" i="2"/>
  <c r="E692" i="2"/>
  <c r="D692" i="2"/>
  <c r="C692" i="2"/>
  <c r="B692" i="2"/>
  <c r="A692" i="2"/>
  <c r="AX691" i="2"/>
  <c r="AV691" i="2"/>
  <c r="AU691" i="2"/>
  <c r="AS691" i="2"/>
  <c r="AR691" i="2"/>
  <c r="AO691" i="2"/>
  <c r="AN691" i="2"/>
  <c r="AM691" i="2"/>
  <c r="AK691" i="2"/>
  <c r="AJ691" i="2"/>
  <c r="AI691" i="2"/>
  <c r="AH691" i="2"/>
  <c r="AG691" i="2"/>
  <c r="Z691" i="2"/>
  <c r="Y691" i="2"/>
  <c r="X691" i="2"/>
  <c r="W691" i="2"/>
  <c r="V691" i="2"/>
  <c r="U691" i="2"/>
  <c r="T691" i="2"/>
  <c r="S691" i="2"/>
  <c r="R691" i="2"/>
  <c r="Q691" i="2"/>
  <c r="P691" i="2"/>
  <c r="O691" i="2"/>
  <c r="N691" i="2"/>
  <c r="M691" i="2"/>
  <c r="L691" i="2"/>
  <c r="K691" i="2"/>
  <c r="J691" i="2"/>
  <c r="I691" i="2"/>
  <c r="H691" i="2"/>
  <c r="G691" i="2"/>
  <c r="F691" i="2"/>
  <c r="E691" i="2"/>
  <c r="D691" i="2"/>
  <c r="C691" i="2"/>
  <c r="B691" i="2"/>
  <c r="A691" i="2"/>
  <c r="AX690" i="2"/>
  <c r="AV690" i="2"/>
  <c r="AU690" i="2"/>
  <c r="AT690" i="2"/>
  <c r="AS690" i="2"/>
  <c r="AR690" i="2"/>
  <c r="AO690" i="2"/>
  <c r="AN690" i="2"/>
  <c r="AM690" i="2"/>
  <c r="AK690" i="2"/>
  <c r="AJ690" i="2"/>
  <c r="AI690" i="2"/>
  <c r="AH690" i="2"/>
  <c r="AG690" i="2"/>
  <c r="AD690" i="2"/>
  <c r="AC690" i="2"/>
  <c r="AA690" i="2"/>
  <c r="Z690" i="2"/>
  <c r="Y690" i="2"/>
  <c r="X690" i="2"/>
  <c r="W690" i="2"/>
  <c r="V690" i="2"/>
  <c r="U690" i="2"/>
  <c r="T690" i="2"/>
  <c r="S690" i="2"/>
  <c r="R690" i="2"/>
  <c r="Q690" i="2"/>
  <c r="P690" i="2"/>
  <c r="O690" i="2"/>
  <c r="N690" i="2"/>
  <c r="M690" i="2"/>
  <c r="L690" i="2"/>
  <c r="K690" i="2"/>
  <c r="J690" i="2"/>
  <c r="I690" i="2"/>
  <c r="H690" i="2"/>
  <c r="G690" i="2"/>
  <c r="F690" i="2"/>
  <c r="E690" i="2"/>
  <c r="D690" i="2"/>
  <c r="C690" i="2"/>
  <c r="B690" i="2"/>
  <c r="A690" i="2"/>
  <c r="AX689" i="2"/>
  <c r="AV689" i="2"/>
  <c r="AU689" i="2"/>
  <c r="AS689" i="2"/>
  <c r="AR689" i="2"/>
  <c r="AO689" i="2"/>
  <c r="AN689" i="2"/>
  <c r="AM689" i="2"/>
  <c r="AK689" i="2"/>
  <c r="AJ689" i="2"/>
  <c r="AI689" i="2"/>
  <c r="AH689" i="2"/>
  <c r="AG689" i="2"/>
  <c r="AC689" i="2"/>
  <c r="AA689" i="2"/>
  <c r="Z689" i="2"/>
  <c r="Y689" i="2"/>
  <c r="X689" i="2"/>
  <c r="W689" i="2"/>
  <c r="V689" i="2"/>
  <c r="U689" i="2"/>
  <c r="T689" i="2"/>
  <c r="S689" i="2"/>
  <c r="R689" i="2"/>
  <c r="Q689" i="2"/>
  <c r="P689" i="2"/>
  <c r="O689" i="2"/>
  <c r="N689" i="2"/>
  <c r="M689" i="2"/>
  <c r="L689" i="2"/>
  <c r="K689" i="2"/>
  <c r="J689" i="2"/>
  <c r="I689" i="2"/>
  <c r="H689" i="2"/>
  <c r="G689" i="2"/>
  <c r="F689" i="2"/>
  <c r="E689" i="2"/>
  <c r="D689" i="2"/>
  <c r="C689" i="2"/>
  <c r="B689" i="2"/>
  <c r="A689" i="2"/>
  <c r="AX688" i="2"/>
  <c r="AV688" i="2"/>
  <c r="AU688" i="2"/>
  <c r="AT688" i="2"/>
  <c r="AS688" i="2"/>
  <c r="AR688" i="2"/>
  <c r="AO688" i="2"/>
  <c r="AN688" i="2"/>
  <c r="AM688" i="2"/>
  <c r="AL688" i="2"/>
  <c r="AK688" i="2"/>
  <c r="AJ688" i="2"/>
  <c r="AI688" i="2"/>
  <c r="AH688" i="2"/>
  <c r="AG688" i="2"/>
  <c r="AE688" i="2"/>
  <c r="AD688" i="2"/>
  <c r="AC688" i="2"/>
  <c r="AA688" i="2"/>
  <c r="Z688" i="2"/>
  <c r="Y688" i="2"/>
  <c r="X688" i="2"/>
  <c r="W688" i="2"/>
  <c r="V688" i="2"/>
  <c r="U688" i="2"/>
  <c r="T688" i="2"/>
  <c r="S688" i="2"/>
  <c r="R688" i="2"/>
  <c r="Q688" i="2"/>
  <c r="P688" i="2"/>
  <c r="O688" i="2"/>
  <c r="N688" i="2"/>
  <c r="M688" i="2"/>
  <c r="L688" i="2"/>
  <c r="K688" i="2"/>
  <c r="J688" i="2"/>
  <c r="I688" i="2"/>
  <c r="H688" i="2"/>
  <c r="G688" i="2"/>
  <c r="F688" i="2"/>
  <c r="E688" i="2"/>
  <c r="D688" i="2"/>
  <c r="C688" i="2"/>
  <c r="B688" i="2"/>
  <c r="A688" i="2"/>
  <c r="AX687" i="2"/>
  <c r="AV687" i="2"/>
  <c r="AU687" i="2"/>
  <c r="AS687" i="2"/>
  <c r="AR687" i="2"/>
  <c r="AO687" i="2"/>
  <c r="AN687" i="2"/>
  <c r="AM687" i="2"/>
  <c r="AK687" i="2"/>
  <c r="AJ687" i="2"/>
  <c r="AI687" i="2"/>
  <c r="AH687" i="2"/>
  <c r="AG687" i="2"/>
  <c r="AD687" i="2"/>
  <c r="AC687" i="2"/>
  <c r="Z687" i="2"/>
  <c r="Y687" i="2"/>
  <c r="X687" i="2"/>
  <c r="W687" i="2"/>
  <c r="V687" i="2"/>
  <c r="U687" i="2"/>
  <c r="T687" i="2"/>
  <c r="S687" i="2"/>
  <c r="R687" i="2"/>
  <c r="Q687" i="2"/>
  <c r="P687" i="2"/>
  <c r="O687" i="2"/>
  <c r="N687" i="2"/>
  <c r="M687" i="2"/>
  <c r="L687" i="2"/>
  <c r="K687" i="2"/>
  <c r="J687" i="2"/>
  <c r="I687" i="2"/>
  <c r="H687" i="2"/>
  <c r="G687" i="2"/>
  <c r="F687" i="2"/>
  <c r="E687" i="2"/>
  <c r="D687" i="2"/>
  <c r="C687" i="2"/>
  <c r="B687" i="2"/>
  <c r="A687" i="2"/>
  <c r="AX686" i="2"/>
  <c r="AV686" i="2"/>
  <c r="AU686" i="2"/>
  <c r="AS686" i="2"/>
  <c r="AR686" i="2"/>
  <c r="AO686" i="2"/>
  <c r="AN686" i="2"/>
  <c r="AM686" i="2"/>
  <c r="AK686" i="2"/>
  <c r="AJ686" i="2"/>
  <c r="AI686" i="2"/>
  <c r="AH686" i="2"/>
  <c r="AG686" i="2"/>
  <c r="AE686" i="2"/>
  <c r="AD686" i="2"/>
  <c r="AC686" i="2"/>
  <c r="AA686" i="2"/>
  <c r="Z686" i="2"/>
  <c r="Y686" i="2"/>
  <c r="X686" i="2"/>
  <c r="W686" i="2"/>
  <c r="V686" i="2"/>
  <c r="U686" i="2"/>
  <c r="T686" i="2"/>
  <c r="S686" i="2"/>
  <c r="R686" i="2"/>
  <c r="Q686" i="2"/>
  <c r="P686" i="2"/>
  <c r="O686" i="2"/>
  <c r="N686" i="2"/>
  <c r="M686" i="2"/>
  <c r="L686" i="2"/>
  <c r="K686" i="2"/>
  <c r="J686" i="2"/>
  <c r="I686" i="2"/>
  <c r="H686" i="2"/>
  <c r="G686" i="2"/>
  <c r="F686" i="2"/>
  <c r="E686" i="2"/>
  <c r="D686" i="2"/>
  <c r="C686" i="2"/>
  <c r="B686" i="2"/>
  <c r="A686" i="2"/>
  <c r="AX685" i="2"/>
  <c r="AV685" i="2"/>
  <c r="AU685" i="2"/>
  <c r="AT685" i="2"/>
  <c r="AS685" i="2"/>
  <c r="AR685" i="2"/>
  <c r="AO685" i="2"/>
  <c r="AN685" i="2"/>
  <c r="AM685" i="2"/>
  <c r="AL685" i="2"/>
  <c r="AK685" i="2"/>
  <c r="AJ685" i="2"/>
  <c r="AI685" i="2"/>
  <c r="AH685" i="2"/>
  <c r="AG685" i="2"/>
  <c r="AE685" i="2"/>
  <c r="AD685" i="2"/>
  <c r="AC685" i="2"/>
  <c r="AA685" i="2"/>
  <c r="Z685" i="2"/>
  <c r="Y685" i="2"/>
  <c r="X685" i="2"/>
  <c r="W685" i="2"/>
  <c r="V685" i="2"/>
  <c r="U685" i="2"/>
  <c r="T685" i="2"/>
  <c r="S685" i="2"/>
  <c r="R685" i="2"/>
  <c r="Q685" i="2"/>
  <c r="P685" i="2"/>
  <c r="O685" i="2"/>
  <c r="N685" i="2"/>
  <c r="M685" i="2"/>
  <c r="L685" i="2"/>
  <c r="K685" i="2"/>
  <c r="J685" i="2"/>
  <c r="I685" i="2"/>
  <c r="H685" i="2"/>
  <c r="G685" i="2"/>
  <c r="F685" i="2"/>
  <c r="E685" i="2"/>
  <c r="D685" i="2"/>
  <c r="C685" i="2"/>
  <c r="B685" i="2"/>
  <c r="A685" i="2"/>
  <c r="AX684" i="2"/>
  <c r="AV684" i="2"/>
  <c r="AU684" i="2"/>
  <c r="AS684" i="2"/>
  <c r="AR684" i="2"/>
  <c r="AO684" i="2"/>
  <c r="AN684" i="2"/>
  <c r="AM684" i="2"/>
  <c r="AK684" i="2"/>
  <c r="AJ684" i="2"/>
  <c r="AI684" i="2"/>
  <c r="AH684" i="2"/>
  <c r="AG684" i="2"/>
  <c r="AE684" i="2"/>
  <c r="AD684" i="2"/>
  <c r="AC684" i="2"/>
  <c r="AA684" i="2"/>
  <c r="Z684" i="2"/>
  <c r="Y684" i="2"/>
  <c r="X684" i="2"/>
  <c r="W684" i="2"/>
  <c r="V684" i="2"/>
  <c r="U684" i="2"/>
  <c r="T684" i="2"/>
  <c r="S684" i="2"/>
  <c r="R684" i="2"/>
  <c r="Q684" i="2"/>
  <c r="P684" i="2"/>
  <c r="O684" i="2"/>
  <c r="N684" i="2"/>
  <c r="M684" i="2"/>
  <c r="L684" i="2"/>
  <c r="K684" i="2"/>
  <c r="J684" i="2"/>
  <c r="I684" i="2"/>
  <c r="H684" i="2"/>
  <c r="G684" i="2"/>
  <c r="F684" i="2"/>
  <c r="E684" i="2"/>
  <c r="D684" i="2"/>
  <c r="C684" i="2"/>
  <c r="B684" i="2"/>
  <c r="A684" i="2"/>
  <c r="AX683" i="2"/>
  <c r="AV683" i="2"/>
  <c r="AU683" i="2"/>
  <c r="AS683" i="2"/>
  <c r="AR683" i="2"/>
  <c r="AO683" i="2"/>
  <c r="AN683" i="2"/>
  <c r="AM683" i="2"/>
  <c r="AL683" i="2"/>
  <c r="AK683" i="2"/>
  <c r="AJ683" i="2"/>
  <c r="AI683" i="2"/>
  <c r="AH683" i="2"/>
  <c r="AG683" i="2"/>
  <c r="AE683" i="2"/>
  <c r="AD683" i="2"/>
  <c r="AC683" i="2"/>
  <c r="AA683" i="2"/>
  <c r="Z683" i="2"/>
  <c r="Y683" i="2"/>
  <c r="X683" i="2"/>
  <c r="W683" i="2"/>
  <c r="V683" i="2"/>
  <c r="U683" i="2"/>
  <c r="T683" i="2"/>
  <c r="S683" i="2"/>
  <c r="R683" i="2"/>
  <c r="Q683" i="2"/>
  <c r="P683" i="2"/>
  <c r="O683" i="2"/>
  <c r="N683" i="2"/>
  <c r="M683" i="2"/>
  <c r="L683" i="2"/>
  <c r="K683" i="2"/>
  <c r="J683" i="2"/>
  <c r="I683" i="2"/>
  <c r="H683" i="2"/>
  <c r="G683" i="2"/>
  <c r="F683" i="2"/>
  <c r="E683" i="2"/>
  <c r="D683" i="2"/>
  <c r="C683" i="2"/>
  <c r="B683" i="2"/>
  <c r="A683" i="2"/>
  <c r="AX682" i="2"/>
  <c r="AV682" i="2"/>
  <c r="AU682" i="2"/>
  <c r="AS682" i="2"/>
  <c r="AR682" i="2"/>
  <c r="AO682" i="2"/>
  <c r="AN682" i="2"/>
  <c r="AM682" i="2"/>
  <c r="AL682" i="2"/>
  <c r="AK682" i="2"/>
  <c r="AJ682" i="2"/>
  <c r="AI682" i="2"/>
  <c r="AH682" i="2"/>
  <c r="AG682" i="2"/>
  <c r="AE682" i="2"/>
  <c r="AD682" i="2"/>
  <c r="AC682" i="2"/>
  <c r="AA682" i="2"/>
  <c r="Z682" i="2"/>
  <c r="Y682" i="2"/>
  <c r="X682" i="2"/>
  <c r="W682" i="2"/>
  <c r="V682" i="2"/>
  <c r="U682" i="2"/>
  <c r="T682" i="2"/>
  <c r="S682" i="2"/>
  <c r="R682" i="2"/>
  <c r="Q682" i="2"/>
  <c r="P682" i="2"/>
  <c r="O682" i="2"/>
  <c r="N682" i="2"/>
  <c r="M682" i="2"/>
  <c r="L682" i="2"/>
  <c r="K682" i="2"/>
  <c r="J682" i="2"/>
  <c r="I682" i="2"/>
  <c r="H682" i="2"/>
  <c r="G682" i="2"/>
  <c r="F682" i="2"/>
  <c r="E682" i="2"/>
  <c r="D682" i="2"/>
  <c r="C682" i="2"/>
  <c r="B682" i="2"/>
  <c r="A682" i="2"/>
  <c r="AX681" i="2"/>
  <c r="AV681" i="2"/>
  <c r="AU681" i="2"/>
  <c r="AS681" i="2"/>
  <c r="AR681" i="2"/>
  <c r="AO681" i="2"/>
  <c r="AN681" i="2"/>
  <c r="AM681" i="2"/>
  <c r="AK681" i="2"/>
  <c r="AJ681" i="2"/>
  <c r="AI681" i="2"/>
  <c r="AH681" i="2"/>
  <c r="AG681" i="2"/>
  <c r="AC681" i="2"/>
  <c r="Z681" i="2"/>
  <c r="Y681" i="2"/>
  <c r="X681" i="2"/>
  <c r="W681" i="2"/>
  <c r="V681" i="2"/>
  <c r="U681" i="2"/>
  <c r="T681" i="2"/>
  <c r="S681" i="2"/>
  <c r="R681" i="2"/>
  <c r="Q681" i="2"/>
  <c r="P681" i="2"/>
  <c r="O681" i="2"/>
  <c r="N681" i="2"/>
  <c r="M681" i="2"/>
  <c r="L681" i="2"/>
  <c r="K681" i="2"/>
  <c r="J681" i="2"/>
  <c r="I681" i="2"/>
  <c r="H681" i="2"/>
  <c r="G681" i="2"/>
  <c r="F681" i="2"/>
  <c r="E681" i="2"/>
  <c r="D681" i="2"/>
  <c r="C681" i="2"/>
  <c r="B681" i="2"/>
  <c r="A681" i="2"/>
  <c r="AX680" i="2"/>
  <c r="AV680" i="2"/>
  <c r="AU680" i="2"/>
  <c r="AT680" i="2"/>
  <c r="AS680" i="2"/>
  <c r="AR680" i="2"/>
  <c r="AO680" i="2"/>
  <c r="AN680" i="2"/>
  <c r="AM680" i="2"/>
  <c r="AK680" i="2"/>
  <c r="AJ680" i="2"/>
  <c r="AI680" i="2"/>
  <c r="AH680" i="2"/>
  <c r="AG680" i="2"/>
  <c r="AD680" i="2"/>
  <c r="AC680" i="2"/>
  <c r="AA680" i="2"/>
  <c r="Z680" i="2"/>
  <c r="Y680" i="2"/>
  <c r="X680" i="2"/>
  <c r="W680" i="2"/>
  <c r="V680" i="2"/>
  <c r="U680" i="2"/>
  <c r="T680" i="2"/>
  <c r="S680" i="2"/>
  <c r="R680" i="2"/>
  <c r="Q680" i="2"/>
  <c r="P680" i="2"/>
  <c r="O680" i="2"/>
  <c r="N680" i="2"/>
  <c r="M680" i="2"/>
  <c r="L680" i="2"/>
  <c r="K680" i="2"/>
  <c r="J680" i="2"/>
  <c r="I680" i="2"/>
  <c r="H680" i="2"/>
  <c r="G680" i="2"/>
  <c r="F680" i="2"/>
  <c r="E680" i="2"/>
  <c r="D680" i="2"/>
  <c r="C680" i="2"/>
  <c r="B680" i="2"/>
  <c r="A680" i="2"/>
  <c r="AX679" i="2"/>
  <c r="AV679" i="2"/>
  <c r="AU679" i="2"/>
  <c r="AS679" i="2"/>
  <c r="AR679" i="2"/>
  <c r="AO679" i="2"/>
  <c r="AN679" i="2"/>
  <c r="AM679" i="2"/>
  <c r="AK679" i="2"/>
  <c r="AJ679" i="2"/>
  <c r="AI679" i="2"/>
  <c r="AH679" i="2"/>
  <c r="AG679" i="2"/>
  <c r="Z679" i="2"/>
  <c r="Y679" i="2"/>
  <c r="X679" i="2"/>
  <c r="W679" i="2"/>
  <c r="V679" i="2"/>
  <c r="U679" i="2"/>
  <c r="T679" i="2"/>
  <c r="S679" i="2"/>
  <c r="R679" i="2"/>
  <c r="Q679" i="2"/>
  <c r="P679" i="2"/>
  <c r="O679" i="2"/>
  <c r="N679" i="2"/>
  <c r="M679" i="2"/>
  <c r="L679" i="2"/>
  <c r="K679" i="2"/>
  <c r="J679" i="2"/>
  <c r="I679" i="2"/>
  <c r="H679" i="2"/>
  <c r="G679" i="2"/>
  <c r="F679" i="2"/>
  <c r="E679" i="2"/>
  <c r="D679" i="2"/>
  <c r="C679" i="2"/>
  <c r="B679" i="2"/>
  <c r="A679" i="2"/>
  <c r="AX678" i="2"/>
  <c r="AV678" i="2"/>
  <c r="AU678" i="2"/>
  <c r="AT678" i="2"/>
  <c r="AS678" i="2"/>
  <c r="AR678" i="2"/>
  <c r="AO678" i="2"/>
  <c r="AN678" i="2"/>
  <c r="AM678" i="2"/>
  <c r="AK678" i="2"/>
  <c r="AJ678" i="2"/>
  <c r="AI678" i="2"/>
  <c r="AH678" i="2"/>
  <c r="AG678" i="2"/>
  <c r="AE678" i="2"/>
  <c r="AD678" i="2"/>
  <c r="AC678" i="2"/>
  <c r="AA678" i="2"/>
  <c r="Z678" i="2"/>
  <c r="Y678" i="2"/>
  <c r="X678" i="2"/>
  <c r="W678" i="2"/>
  <c r="V678" i="2"/>
  <c r="U678" i="2"/>
  <c r="T678" i="2"/>
  <c r="S678" i="2"/>
  <c r="R678" i="2"/>
  <c r="Q678" i="2"/>
  <c r="P678" i="2"/>
  <c r="O678" i="2"/>
  <c r="N678" i="2"/>
  <c r="M678" i="2"/>
  <c r="L678" i="2"/>
  <c r="K678" i="2"/>
  <c r="J678" i="2"/>
  <c r="I678" i="2"/>
  <c r="H678" i="2"/>
  <c r="G678" i="2"/>
  <c r="F678" i="2"/>
  <c r="E678" i="2"/>
  <c r="D678" i="2"/>
  <c r="C678" i="2"/>
  <c r="B678" i="2"/>
  <c r="A678" i="2"/>
  <c r="AX677" i="2"/>
  <c r="AV677" i="2"/>
  <c r="AU677" i="2"/>
  <c r="AT677" i="2"/>
  <c r="AS677" i="2"/>
  <c r="AR677" i="2"/>
  <c r="AO677" i="2"/>
  <c r="AN677" i="2"/>
  <c r="AM677" i="2"/>
  <c r="AL677" i="2"/>
  <c r="AK677" i="2"/>
  <c r="AJ677" i="2"/>
  <c r="AI677" i="2"/>
  <c r="AH677" i="2"/>
  <c r="AG677" i="2"/>
  <c r="AE677" i="2"/>
  <c r="AD677" i="2"/>
  <c r="AC677" i="2"/>
  <c r="AA677" i="2"/>
  <c r="Z677" i="2"/>
  <c r="Y677" i="2"/>
  <c r="X677" i="2"/>
  <c r="W677" i="2"/>
  <c r="V677" i="2"/>
  <c r="U677" i="2"/>
  <c r="T677" i="2"/>
  <c r="S677" i="2"/>
  <c r="R677" i="2"/>
  <c r="Q677" i="2"/>
  <c r="P677" i="2"/>
  <c r="O677" i="2"/>
  <c r="N677" i="2"/>
  <c r="M677" i="2"/>
  <c r="L677" i="2"/>
  <c r="K677" i="2"/>
  <c r="J677" i="2"/>
  <c r="I677" i="2"/>
  <c r="H677" i="2"/>
  <c r="G677" i="2"/>
  <c r="F677" i="2"/>
  <c r="E677" i="2"/>
  <c r="D677" i="2"/>
  <c r="C677" i="2"/>
  <c r="B677" i="2"/>
  <c r="A677" i="2"/>
  <c r="AX676" i="2"/>
  <c r="AV676" i="2"/>
  <c r="AU676" i="2"/>
  <c r="AT676" i="2"/>
  <c r="AS676" i="2"/>
  <c r="AR676" i="2"/>
  <c r="AQ676" i="2"/>
  <c r="AP676" i="2"/>
  <c r="AO676" i="2"/>
  <c r="AN676" i="2"/>
  <c r="AM676" i="2"/>
  <c r="AL676" i="2"/>
  <c r="AK676" i="2"/>
  <c r="AJ676" i="2"/>
  <c r="AI676" i="2"/>
  <c r="AH676" i="2"/>
  <c r="AG676" i="2"/>
  <c r="AE676" i="2"/>
  <c r="AC676" i="2"/>
  <c r="Z676" i="2"/>
  <c r="Y676" i="2"/>
  <c r="X676" i="2"/>
  <c r="V676" i="2"/>
  <c r="U676" i="2"/>
  <c r="T676" i="2"/>
  <c r="S676" i="2"/>
  <c r="R676" i="2"/>
  <c r="Q676" i="2"/>
  <c r="P676" i="2"/>
  <c r="O676" i="2"/>
  <c r="N676" i="2"/>
  <c r="M676" i="2"/>
  <c r="L676" i="2"/>
  <c r="K676" i="2"/>
  <c r="J676" i="2"/>
  <c r="I676" i="2"/>
  <c r="H676" i="2"/>
  <c r="G676" i="2"/>
  <c r="F676" i="2"/>
  <c r="E676" i="2"/>
  <c r="D676" i="2"/>
  <c r="C676" i="2"/>
  <c r="B676" i="2"/>
  <c r="A676" i="2"/>
  <c r="AX675" i="2"/>
  <c r="AV675" i="2"/>
  <c r="AU675" i="2"/>
  <c r="AT675" i="2"/>
  <c r="AS675" i="2"/>
  <c r="AR675" i="2"/>
  <c r="AO675" i="2"/>
  <c r="AN675" i="2"/>
  <c r="AM675" i="2"/>
  <c r="AL675" i="2"/>
  <c r="AK675" i="2"/>
  <c r="AJ675" i="2"/>
  <c r="AI675" i="2"/>
  <c r="AH675" i="2"/>
  <c r="AG675" i="2"/>
  <c r="AF675" i="2"/>
  <c r="AE675" i="2"/>
  <c r="AD675" i="2"/>
  <c r="AC675" i="2"/>
  <c r="AA675" i="2"/>
  <c r="Z675" i="2"/>
  <c r="Y675" i="2"/>
  <c r="X675" i="2"/>
  <c r="W675" i="2"/>
  <c r="V675" i="2"/>
  <c r="U675" i="2"/>
  <c r="T675" i="2"/>
  <c r="S675" i="2"/>
  <c r="R675" i="2"/>
  <c r="Q675" i="2"/>
  <c r="P675" i="2"/>
  <c r="O675" i="2"/>
  <c r="N675" i="2"/>
  <c r="M675" i="2"/>
  <c r="L675" i="2"/>
  <c r="K675" i="2"/>
  <c r="J675" i="2"/>
  <c r="I675" i="2"/>
  <c r="H675" i="2"/>
  <c r="G675" i="2"/>
  <c r="F675" i="2"/>
  <c r="E675" i="2"/>
  <c r="D675" i="2"/>
  <c r="C675" i="2"/>
  <c r="B675" i="2"/>
  <c r="A675" i="2"/>
  <c r="AX674" i="2"/>
  <c r="AV674" i="2"/>
  <c r="AU674" i="2"/>
  <c r="AT674" i="2"/>
  <c r="AS674" i="2"/>
  <c r="AR674" i="2"/>
  <c r="AO674" i="2"/>
  <c r="AN674" i="2"/>
  <c r="AM674" i="2"/>
  <c r="AL674" i="2"/>
  <c r="AK674" i="2"/>
  <c r="AJ674" i="2"/>
  <c r="AI674" i="2"/>
  <c r="AH674" i="2"/>
  <c r="AG674" i="2"/>
  <c r="AE674" i="2"/>
  <c r="AA674" i="2"/>
  <c r="Z674" i="2"/>
  <c r="Y674" i="2"/>
  <c r="X674" i="2"/>
  <c r="W674" i="2"/>
  <c r="V674" i="2"/>
  <c r="U674" i="2"/>
  <c r="T674" i="2"/>
  <c r="S674" i="2"/>
  <c r="R674" i="2"/>
  <c r="Q674" i="2"/>
  <c r="P674" i="2"/>
  <c r="O674" i="2"/>
  <c r="N674" i="2"/>
  <c r="M674" i="2"/>
  <c r="L674" i="2"/>
  <c r="K674" i="2"/>
  <c r="J674" i="2"/>
  <c r="I674" i="2"/>
  <c r="H674" i="2"/>
  <c r="G674" i="2"/>
  <c r="F674" i="2"/>
  <c r="E674" i="2"/>
  <c r="D674" i="2"/>
  <c r="C674" i="2"/>
  <c r="B674" i="2"/>
  <c r="A674" i="2"/>
  <c r="AX673" i="2"/>
  <c r="AV673" i="2"/>
  <c r="AU673" i="2"/>
  <c r="AT673" i="2"/>
  <c r="AR673" i="2"/>
  <c r="AO673" i="2"/>
  <c r="AN673" i="2"/>
  <c r="AM673" i="2"/>
  <c r="AK673" i="2"/>
  <c r="AJ673" i="2"/>
  <c r="AI673" i="2"/>
  <c r="AH673" i="2"/>
  <c r="AG673" i="2"/>
  <c r="AC673" i="2"/>
  <c r="Z673" i="2"/>
  <c r="Y673" i="2"/>
  <c r="X673" i="2"/>
  <c r="W673" i="2"/>
  <c r="V673" i="2"/>
  <c r="U673" i="2"/>
  <c r="T673" i="2"/>
  <c r="S673" i="2"/>
  <c r="R673" i="2"/>
  <c r="Q673" i="2"/>
  <c r="P673" i="2"/>
  <c r="O673" i="2"/>
  <c r="N673" i="2"/>
  <c r="M673" i="2"/>
  <c r="L673" i="2"/>
  <c r="K673" i="2"/>
  <c r="J673" i="2"/>
  <c r="I673" i="2"/>
  <c r="H673" i="2"/>
  <c r="G673" i="2"/>
  <c r="F673" i="2"/>
  <c r="E673" i="2"/>
  <c r="D673" i="2"/>
  <c r="C673" i="2"/>
  <c r="B673" i="2"/>
  <c r="A673" i="2"/>
  <c r="AX672" i="2"/>
  <c r="AV672" i="2"/>
  <c r="AU672" i="2"/>
  <c r="AT672" i="2"/>
  <c r="AR672" i="2"/>
  <c r="AO672" i="2"/>
  <c r="AN672" i="2"/>
  <c r="AM672" i="2"/>
  <c r="AJ672" i="2"/>
  <c r="AI672" i="2"/>
  <c r="AH672" i="2"/>
  <c r="AG672" i="2"/>
  <c r="AD672" i="2"/>
  <c r="AC672" i="2"/>
  <c r="Z672" i="2"/>
  <c r="Y672" i="2"/>
  <c r="X672" i="2"/>
  <c r="W672" i="2"/>
  <c r="V672" i="2"/>
  <c r="U672" i="2"/>
  <c r="T672" i="2"/>
  <c r="S672" i="2"/>
  <c r="R672" i="2"/>
  <c r="Q672" i="2"/>
  <c r="P672" i="2"/>
  <c r="O672" i="2"/>
  <c r="N672" i="2"/>
  <c r="M672" i="2"/>
  <c r="L672" i="2"/>
  <c r="K672" i="2"/>
  <c r="J672" i="2"/>
  <c r="I672" i="2"/>
  <c r="H672" i="2"/>
  <c r="G672" i="2"/>
  <c r="F672" i="2"/>
  <c r="E672" i="2"/>
  <c r="D672" i="2"/>
  <c r="C672" i="2"/>
  <c r="B672" i="2"/>
  <c r="A672" i="2"/>
  <c r="AX671" i="2"/>
  <c r="AV671" i="2"/>
  <c r="AU671" i="2"/>
  <c r="AS671" i="2"/>
  <c r="AR671" i="2"/>
  <c r="AO671" i="2"/>
  <c r="AN671" i="2"/>
  <c r="AM671" i="2"/>
  <c r="AL671" i="2"/>
  <c r="AK671" i="2"/>
  <c r="AJ671" i="2"/>
  <c r="AI671" i="2"/>
  <c r="AH671" i="2"/>
  <c r="AG671" i="2"/>
  <c r="AE671" i="2"/>
  <c r="AD671" i="2"/>
  <c r="AC671" i="2"/>
  <c r="AA671" i="2"/>
  <c r="Z671" i="2"/>
  <c r="Y671" i="2"/>
  <c r="X671" i="2"/>
  <c r="W671" i="2"/>
  <c r="V671" i="2"/>
  <c r="U671" i="2"/>
  <c r="T671" i="2"/>
  <c r="S671" i="2"/>
  <c r="R671" i="2"/>
  <c r="Q671" i="2"/>
  <c r="P671" i="2"/>
  <c r="O671" i="2"/>
  <c r="N671" i="2"/>
  <c r="M671" i="2"/>
  <c r="L671" i="2"/>
  <c r="K671" i="2"/>
  <c r="J671" i="2"/>
  <c r="I671" i="2"/>
  <c r="H671" i="2"/>
  <c r="G671" i="2"/>
  <c r="F671" i="2"/>
  <c r="E671" i="2"/>
  <c r="D671" i="2"/>
  <c r="C671" i="2"/>
  <c r="B671" i="2"/>
  <c r="A671" i="2"/>
  <c r="AX670" i="2"/>
  <c r="AV670" i="2"/>
  <c r="AU670" i="2"/>
  <c r="AR670" i="2"/>
  <c r="AO670" i="2"/>
  <c r="AN670" i="2"/>
  <c r="AM670" i="2"/>
  <c r="AL670" i="2"/>
  <c r="AK670" i="2"/>
  <c r="AJ670" i="2"/>
  <c r="AI670" i="2"/>
  <c r="AH670" i="2"/>
  <c r="AG670" i="2"/>
  <c r="AE670" i="2"/>
  <c r="AD670" i="2"/>
  <c r="AC670" i="2"/>
  <c r="AA670" i="2"/>
  <c r="Z670" i="2"/>
  <c r="Y670" i="2"/>
  <c r="X670" i="2"/>
  <c r="W670" i="2"/>
  <c r="V670" i="2"/>
  <c r="U670" i="2"/>
  <c r="T670" i="2"/>
  <c r="S670" i="2"/>
  <c r="R670" i="2"/>
  <c r="Q670" i="2"/>
  <c r="P670" i="2"/>
  <c r="O670" i="2"/>
  <c r="N670" i="2"/>
  <c r="M670" i="2"/>
  <c r="L670" i="2"/>
  <c r="K670" i="2"/>
  <c r="J670" i="2"/>
  <c r="I670" i="2"/>
  <c r="H670" i="2"/>
  <c r="G670" i="2"/>
  <c r="F670" i="2"/>
  <c r="E670" i="2"/>
  <c r="D670" i="2"/>
  <c r="C670" i="2"/>
  <c r="B670" i="2"/>
  <c r="A670" i="2"/>
  <c r="AX669" i="2"/>
  <c r="AV669" i="2"/>
  <c r="AU669" i="2"/>
  <c r="AT669" i="2"/>
  <c r="AS669" i="2"/>
  <c r="AR669" i="2"/>
  <c r="AO669" i="2"/>
  <c r="AN669" i="2"/>
  <c r="AM669" i="2"/>
  <c r="AL669" i="2"/>
  <c r="AK669" i="2"/>
  <c r="AJ669" i="2"/>
  <c r="AI669" i="2"/>
  <c r="AH669" i="2"/>
  <c r="AG669" i="2"/>
  <c r="AE669" i="2"/>
  <c r="AD669" i="2"/>
  <c r="AC669" i="2"/>
  <c r="AA669" i="2"/>
  <c r="Z669" i="2"/>
  <c r="Y669" i="2"/>
  <c r="X669" i="2"/>
  <c r="W669" i="2"/>
  <c r="V669" i="2"/>
  <c r="U669" i="2"/>
  <c r="T669" i="2"/>
  <c r="S669" i="2"/>
  <c r="R669" i="2"/>
  <c r="Q669" i="2"/>
  <c r="P669" i="2"/>
  <c r="O669" i="2"/>
  <c r="N669" i="2"/>
  <c r="M669" i="2"/>
  <c r="L669" i="2"/>
  <c r="K669" i="2"/>
  <c r="J669" i="2"/>
  <c r="I669" i="2"/>
  <c r="H669" i="2"/>
  <c r="G669" i="2"/>
  <c r="F669" i="2"/>
  <c r="E669" i="2"/>
  <c r="D669" i="2"/>
  <c r="C669" i="2"/>
  <c r="B669" i="2"/>
  <c r="A669" i="2"/>
  <c r="AX668" i="2"/>
  <c r="AV668" i="2"/>
  <c r="AU668" i="2"/>
  <c r="AS668" i="2"/>
  <c r="AR668" i="2"/>
  <c r="AO668" i="2"/>
  <c r="AN668" i="2"/>
  <c r="AM668" i="2"/>
  <c r="AL668" i="2"/>
  <c r="AK668" i="2"/>
  <c r="AJ668" i="2"/>
  <c r="AI668" i="2"/>
  <c r="AH668" i="2"/>
  <c r="AG668" i="2"/>
  <c r="AE668" i="2"/>
  <c r="AD668" i="2"/>
  <c r="AC668" i="2"/>
  <c r="AA668" i="2"/>
  <c r="Z668" i="2"/>
  <c r="Y668" i="2"/>
  <c r="X668" i="2"/>
  <c r="W668" i="2"/>
  <c r="V668" i="2"/>
  <c r="U668" i="2"/>
  <c r="T668" i="2"/>
  <c r="S668" i="2"/>
  <c r="R668" i="2"/>
  <c r="Q668" i="2"/>
  <c r="P668" i="2"/>
  <c r="O668" i="2"/>
  <c r="N668" i="2"/>
  <c r="M668" i="2"/>
  <c r="L668" i="2"/>
  <c r="K668" i="2"/>
  <c r="J668" i="2"/>
  <c r="I668" i="2"/>
  <c r="H668" i="2"/>
  <c r="G668" i="2"/>
  <c r="F668" i="2"/>
  <c r="E668" i="2"/>
  <c r="D668" i="2"/>
  <c r="C668" i="2"/>
  <c r="B668" i="2"/>
  <c r="A668" i="2"/>
  <c r="AX667" i="2"/>
  <c r="AV667" i="2"/>
  <c r="AU667" i="2"/>
  <c r="AS667" i="2"/>
  <c r="AR667" i="2"/>
  <c r="AO667" i="2"/>
  <c r="AN667" i="2"/>
  <c r="AM667" i="2"/>
  <c r="AL667" i="2"/>
  <c r="AK667" i="2"/>
  <c r="AI667" i="2"/>
  <c r="AH667" i="2"/>
  <c r="AG667" i="2"/>
  <c r="AF667" i="2"/>
  <c r="AE667" i="2"/>
  <c r="AD667" i="2"/>
  <c r="AC667" i="2"/>
  <c r="AA667" i="2"/>
  <c r="Z667" i="2"/>
  <c r="Y667" i="2"/>
  <c r="X667" i="2"/>
  <c r="W667" i="2"/>
  <c r="V667" i="2"/>
  <c r="U667" i="2"/>
  <c r="T667" i="2"/>
  <c r="S667" i="2"/>
  <c r="R667" i="2"/>
  <c r="Q667" i="2"/>
  <c r="P667" i="2"/>
  <c r="O667" i="2"/>
  <c r="N667" i="2"/>
  <c r="M667" i="2"/>
  <c r="L667" i="2"/>
  <c r="K667" i="2"/>
  <c r="J667" i="2"/>
  <c r="I667" i="2"/>
  <c r="H667" i="2"/>
  <c r="G667" i="2"/>
  <c r="F667" i="2"/>
  <c r="E667" i="2"/>
  <c r="D667" i="2"/>
  <c r="C667" i="2"/>
  <c r="B667" i="2"/>
  <c r="A667" i="2"/>
  <c r="AX666" i="2"/>
  <c r="AV666" i="2"/>
  <c r="AU666" i="2"/>
  <c r="AS666" i="2"/>
  <c r="AR666" i="2"/>
  <c r="AO666" i="2"/>
  <c r="AN666" i="2"/>
  <c r="AM666" i="2"/>
  <c r="AK666" i="2"/>
  <c r="AJ666" i="2"/>
  <c r="AI666" i="2"/>
  <c r="AH666" i="2"/>
  <c r="AG666" i="2"/>
  <c r="AE666" i="2"/>
  <c r="AD666" i="2"/>
  <c r="AC666" i="2"/>
  <c r="Z666" i="2"/>
  <c r="Y666" i="2"/>
  <c r="X666" i="2"/>
  <c r="W666" i="2"/>
  <c r="V666" i="2"/>
  <c r="U666" i="2"/>
  <c r="T666" i="2"/>
  <c r="S666" i="2"/>
  <c r="R666" i="2"/>
  <c r="Q666" i="2"/>
  <c r="P666" i="2"/>
  <c r="O666" i="2"/>
  <c r="N666" i="2"/>
  <c r="M666" i="2"/>
  <c r="L666" i="2"/>
  <c r="K666" i="2"/>
  <c r="J666" i="2"/>
  <c r="I666" i="2"/>
  <c r="H666" i="2"/>
  <c r="G666" i="2"/>
  <c r="F666" i="2"/>
  <c r="E666" i="2"/>
  <c r="D666" i="2"/>
  <c r="C666" i="2"/>
  <c r="B666" i="2"/>
  <c r="A666" i="2"/>
  <c r="AX665" i="2"/>
  <c r="AV665" i="2"/>
  <c r="AU665" i="2"/>
  <c r="AT665" i="2"/>
  <c r="AS665" i="2"/>
  <c r="AR665" i="2"/>
  <c r="AO665" i="2"/>
  <c r="AN665" i="2"/>
  <c r="AM665" i="2"/>
  <c r="AL665" i="2"/>
  <c r="AK665" i="2"/>
  <c r="AJ665" i="2"/>
  <c r="AI665" i="2"/>
  <c r="AH665" i="2"/>
  <c r="AG665" i="2"/>
  <c r="AE665" i="2"/>
  <c r="AD665" i="2"/>
  <c r="AC665" i="2"/>
  <c r="AA665" i="2"/>
  <c r="Z665" i="2"/>
  <c r="Y665" i="2"/>
  <c r="X665" i="2"/>
  <c r="W665" i="2"/>
  <c r="V665" i="2"/>
  <c r="U665" i="2"/>
  <c r="T665" i="2"/>
  <c r="S665" i="2"/>
  <c r="R665" i="2"/>
  <c r="Q665" i="2"/>
  <c r="P665" i="2"/>
  <c r="O665" i="2"/>
  <c r="N665" i="2"/>
  <c r="M665" i="2"/>
  <c r="L665" i="2"/>
  <c r="K665" i="2"/>
  <c r="J665" i="2"/>
  <c r="I665" i="2"/>
  <c r="H665" i="2"/>
  <c r="G665" i="2"/>
  <c r="F665" i="2"/>
  <c r="E665" i="2"/>
  <c r="D665" i="2"/>
  <c r="C665" i="2"/>
  <c r="B665" i="2"/>
  <c r="A665" i="2"/>
  <c r="AX664" i="2"/>
  <c r="AV664" i="2"/>
  <c r="AU664" i="2"/>
  <c r="AT664" i="2"/>
  <c r="AS664" i="2"/>
  <c r="AR664" i="2"/>
  <c r="AQ664" i="2"/>
  <c r="AO664" i="2"/>
  <c r="AN664" i="2"/>
  <c r="AM664" i="2"/>
  <c r="AK664" i="2"/>
  <c r="AJ664" i="2"/>
  <c r="AI664" i="2"/>
  <c r="AH664" i="2"/>
  <c r="AG664" i="2"/>
  <c r="AF664" i="2"/>
  <c r="AE664" i="2"/>
  <c r="AD664" i="2"/>
  <c r="AC664" i="2"/>
  <c r="AA664" i="2"/>
  <c r="Z664" i="2"/>
  <c r="Y664" i="2"/>
  <c r="X664" i="2"/>
  <c r="W664" i="2"/>
  <c r="V664" i="2"/>
  <c r="U664" i="2"/>
  <c r="T664" i="2"/>
  <c r="S664" i="2"/>
  <c r="R664" i="2"/>
  <c r="Q664" i="2"/>
  <c r="P664" i="2"/>
  <c r="O664" i="2"/>
  <c r="N664" i="2"/>
  <c r="M664" i="2"/>
  <c r="L664" i="2"/>
  <c r="K664" i="2"/>
  <c r="J664" i="2"/>
  <c r="I664" i="2"/>
  <c r="H664" i="2"/>
  <c r="G664" i="2"/>
  <c r="F664" i="2"/>
  <c r="E664" i="2"/>
  <c r="D664" i="2"/>
  <c r="C664" i="2"/>
  <c r="B664" i="2"/>
  <c r="A664" i="2"/>
  <c r="AX663" i="2"/>
  <c r="AV663" i="2"/>
  <c r="AU663" i="2"/>
  <c r="AT663" i="2"/>
  <c r="AS663" i="2"/>
  <c r="AR663" i="2"/>
  <c r="AO663" i="2"/>
  <c r="AN663" i="2"/>
  <c r="AM663" i="2"/>
  <c r="AL663" i="2"/>
  <c r="AK663" i="2"/>
  <c r="AJ663" i="2"/>
  <c r="AI663" i="2"/>
  <c r="AH663" i="2"/>
  <c r="AG663" i="2"/>
  <c r="AE663" i="2"/>
  <c r="AD663" i="2"/>
  <c r="AC663" i="2"/>
  <c r="AA663" i="2"/>
  <c r="Z663" i="2"/>
  <c r="Y663" i="2"/>
  <c r="X663" i="2"/>
  <c r="W663" i="2"/>
  <c r="V663" i="2"/>
  <c r="U663" i="2"/>
  <c r="T663" i="2"/>
  <c r="S663" i="2"/>
  <c r="R663" i="2"/>
  <c r="Q663" i="2"/>
  <c r="P663" i="2"/>
  <c r="O663" i="2"/>
  <c r="N663" i="2"/>
  <c r="M663" i="2"/>
  <c r="L663" i="2"/>
  <c r="K663" i="2"/>
  <c r="J663" i="2"/>
  <c r="I663" i="2"/>
  <c r="H663" i="2"/>
  <c r="G663" i="2"/>
  <c r="F663" i="2"/>
  <c r="E663" i="2"/>
  <c r="D663" i="2"/>
  <c r="C663" i="2"/>
  <c r="B663" i="2"/>
  <c r="A663" i="2"/>
  <c r="AX662" i="2"/>
  <c r="AV662" i="2"/>
  <c r="AU662" i="2"/>
  <c r="AT662" i="2"/>
  <c r="AS662" i="2"/>
  <c r="AR662" i="2"/>
  <c r="AO662" i="2"/>
  <c r="AN662" i="2"/>
  <c r="AM662" i="2"/>
  <c r="AL662" i="2"/>
  <c r="AK662" i="2"/>
  <c r="AJ662" i="2"/>
  <c r="AI662" i="2"/>
  <c r="AH662" i="2"/>
  <c r="AG662" i="2"/>
  <c r="AE662" i="2"/>
  <c r="AD662" i="2"/>
  <c r="AC662" i="2"/>
  <c r="AA662" i="2"/>
  <c r="Z662" i="2"/>
  <c r="Y662" i="2"/>
  <c r="X662" i="2"/>
  <c r="W662" i="2"/>
  <c r="V662" i="2"/>
  <c r="U662" i="2"/>
  <c r="T662" i="2"/>
  <c r="S662" i="2"/>
  <c r="R662" i="2"/>
  <c r="Q662" i="2"/>
  <c r="P662" i="2"/>
  <c r="O662" i="2"/>
  <c r="N662" i="2"/>
  <c r="M662" i="2"/>
  <c r="L662" i="2"/>
  <c r="K662" i="2"/>
  <c r="J662" i="2"/>
  <c r="I662" i="2"/>
  <c r="H662" i="2"/>
  <c r="G662" i="2"/>
  <c r="F662" i="2"/>
  <c r="E662" i="2"/>
  <c r="D662" i="2"/>
  <c r="C662" i="2"/>
  <c r="B662" i="2"/>
  <c r="A662" i="2"/>
  <c r="AX661" i="2"/>
  <c r="AV661" i="2"/>
  <c r="AU661" i="2"/>
  <c r="AT661" i="2"/>
  <c r="AS661" i="2"/>
  <c r="AR661" i="2"/>
  <c r="AO661" i="2"/>
  <c r="AN661" i="2"/>
  <c r="AM661" i="2"/>
  <c r="AL661" i="2"/>
  <c r="AK661" i="2"/>
  <c r="AJ661" i="2"/>
  <c r="AI661" i="2"/>
  <c r="AH661" i="2"/>
  <c r="AG661" i="2"/>
  <c r="AE661" i="2"/>
  <c r="AD661" i="2"/>
  <c r="AC661" i="2"/>
  <c r="AA661" i="2"/>
  <c r="Z661" i="2"/>
  <c r="Y661" i="2"/>
  <c r="X661" i="2"/>
  <c r="V661" i="2"/>
  <c r="U661" i="2"/>
  <c r="T661" i="2"/>
  <c r="S661" i="2"/>
  <c r="R661" i="2"/>
  <c r="Q661" i="2"/>
  <c r="P661" i="2"/>
  <c r="O661" i="2"/>
  <c r="N661" i="2"/>
  <c r="M661" i="2"/>
  <c r="L661" i="2"/>
  <c r="K661" i="2"/>
  <c r="J661" i="2"/>
  <c r="I661" i="2"/>
  <c r="H661" i="2"/>
  <c r="G661" i="2"/>
  <c r="F661" i="2"/>
  <c r="E661" i="2"/>
  <c r="D661" i="2"/>
  <c r="C661" i="2"/>
  <c r="B661" i="2"/>
  <c r="A661" i="2"/>
  <c r="AX660" i="2"/>
  <c r="AV660" i="2"/>
  <c r="AU660" i="2"/>
  <c r="AT660" i="2"/>
  <c r="AS660" i="2"/>
  <c r="AR660" i="2"/>
  <c r="AO660" i="2"/>
  <c r="AN660" i="2"/>
  <c r="AM660" i="2"/>
  <c r="AL660" i="2"/>
  <c r="AK660" i="2"/>
  <c r="AJ660" i="2"/>
  <c r="AI660" i="2"/>
  <c r="AH660" i="2"/>
  <c r="AG660" i="2"/>
  <c r="AE660" i="2"/>
  <c r="AD660" i="2"/>
  <c r="AC660" i="2"/>
  <c r="AA660" i="2"/>
  <c r="Z660" i="2"/>
  <c r="Y660" i="2"/>
  <c r="X660" i="2"/>
  <c r="W660" i="2"/>
  <c r="V660" i="2"/>
  <c r="U660" i="2"/>
  <c r="T660" i="2"/>
  <c r="S660" i="2"/>
  <c r="R660" i="2"/>
  <c r="Q660" i="2"/>
  <c r="P660" i="2"/>
  <c r="O660" i="2"/>
  <c r="N660" i="2"/>
  <c r="M660" i="2"/>
  <c r="L660" i="2"/>
  <c r="K660" i="2"/>
  <c r="J660" i="2"/>
  <c r="I660" i="2"/>
  <c r="H660" i="2"/>
  <c r="G660" i="2"/>
  <c r="F660" i="2"/>
  <c r="E660" i="2"/>
  <c r="D660" i="2"/>
  <c r="C660" i="2"/>
  <c r="B660" i="2"/>
  <c r="A660" i="2"/>
  <c r="AX659" i="2"/>
  <c r="AV659" i="2"/>
  <c r="AU659" i="2"/>
  <c r="AT659" i="2"/>
  <c r="AS659" i="2"/>
  <c r="AR659" i="2"/>
  <c r="AQ659" i="2"/>
  <c r="AP659" i="2"/>
  <c r="AO659" i="2"/>
  <c r="AN659" i="2"/>
  <c r="AM659" i="2"/>
  <c r="AL659" i="2"/>
  <c r="AK659" i="2"/>
  <c r="AJ659" i="2"/>
  <c r="AI659" i="2"/>
  <c r="AH659" i="2"/>
  <c r="AG659" i="2"/>
  <c r="AF659" i="2"/>
  <c r="AE659" i="2"/>
  <c r="AD659" i="2"/>
  <c r="AC659" i="2"/>
  <c r="AA659" i="2"/>
  <c r="Z659" i="2"/>
  <c r="Y659" i="2"/>
  <c r="X659" i="2"/>
  <c r="W659" i="2"/>
  <c r="V659" i="2"/>
  <c r="U659" i="2"/>
  <c r="T659" i="2"/>
  <c r="S659" i="2"/>
  <c r="R659" i="2"/>
  <c r="Q659" i="2"/>
  <c r="P659" i="2"/>
  <c r="O659" i="2"/>
  <c r="N659" i="2"/>
  <c r="M659" i="2"/>
  <c r="L659" i="2"/>
  <c r="K659" i="2"/>
  <c r="J659" i="2"/>
  <c r="I659" i="2"/>
  <c r="H659" i="2"/>
  <c r="G659" i="2"/>
  <c r="F659" i="2"/>
  <c r="E659" i="2"/>
  <c r="D659" i="2"/>
  <c r="C659" i="2"/>
  <c r="B659" i="2"/>
  <c r="A659" i="2"/>
  <c r="AX658" i="2"/>
  <c r="AV658" i="2"/>
  <c r="AU658" i="2"/>
  <c r="AT658" i="2"/>
  <c r="AS658" i="2"/>
  <c r="AR658" i="2"/>
  <c r="AO658" i="2"/>
  <c r="AN658" i="2"/>
  <c r="AM658" i="2"/>
  <c r="AK658" i="2"/>
  <c r="AJ658" i="2"/>
  <c r="AI658" i="2"/>
  <c r="AH658" i="2"/>
  <c r="AG658" i="2"/>
  <c r="AE658" i="2"/>
  <c r="AD658" i="2"/>
  <c r="AC658" i="2"/>
  <c r="AA658" i="2"/>
  <c r="Z658" i="2"/>
  <c r="Y658" i="2"/>
  <c r="X658" i="2"/>
  <c r="W658" i="2"/>
  <c r="V658" i="2"/>
  <c r="U658" i="2"/>
  <c r="T658" i="2"/>
  <c r="S658" i="2"/>
  <c r="R658" i="2"/>
  <c r="Q658" i="2"/>
  <c r="P658" i="2"/>
  <c r="O658" i="2"/>
  <c r="N658" i="2"/>
  <c r="M658" i="2"/>
  <c r="L658" i="2"/>
  <c r="K658" i="2"/>
  <c r="J658" i="2"/>
  <c r="I658" i="2"/>
  <c r="H658" i="2"/>
  <c r="G658" i="2"/>
  <c r="F658" i="2"/>
  <c r="E658" i="2"/>
  <c r="D658" i="2"/>
  <c r="C658" i="2"/>
  <c r="B658" i="2"/>
  <c r="A658" i="2"/>
  <c r="AX657" i="2"/>
  <c r="AV657" i="2"/>
  <c r="AU657" i="2"/>
  <c r="AT657" i="2"/>
  <c r="AS657" i="2"/>
  <c r="AR657" i="2"/>
  <c r="AO657" i="2"/>
  <c r="AN657" i="2"/>
  <c r="AM657" i="2"/>
  <c r="AL657" i="2"/>
  <c r="AK657" i="2"/>
  <c r="AJ657" i="2"/>
  <c r="AI657" i="2"/>
  <c r="AH657" i="2"/>
  <c r="AG657" i="2"/>
  <c r="AF657" i="2"/>
  <c r="AE657" i="2"/>
  <c r="AD657" i="2"/>
  <c r="AC657" i="2"/>
  <c r="AA657" i="2"/>
  <c r="Z657" i="2"/>
  <c r="Y657" i="2"/>
  <c r="X657" i="2"/>
  <c r="W657" i="2"/>
  <c r="V657" i="2"/>
  <c r="U657" i="2"/>
  <c r="T657" i="2"/>
  <c r="S657" i="2"/>
  <c r="R657" i="2"/>
  <c r="Q657" i="2"/>
  <c r="P657" i="2"/>
  <c r="O657" i="2"/>
  <c r="N657" i="2"/>
  <c r="M657" i="2"/>
  <c r="L657" i="2"/>
  <c r="K657" i="2"/>
  <c r="J657" i="2"/>
  <c r="I657" i="2"/>
  <c r="H657" i="2"/>
  <c r="G657" i="2"/>
  <c r="F657" i="2"/>
  <c r="E657" i="2"/>
  <c r="D657" i="2"/>
  <c r="C657" i="2"/>
  <c r="B657" i="2"/>
  <c r="A657" i="2"/>
  <c r="AX656" i="2"/>
  <c r="AV656" i="2"/>
  <c r="AU656" i="2"/>
  <c r="AT656" i="2"/>
  <c r="AS656" i="2"/>
  <c r="AQ656" i="2"/>
  <c r="AP656" i="2"/>
  <c r="AO656" i="2"/>
  <c r="AN656" i="2"/>
  <c r="AM656" i="2"/>
  <c r="AL656" i="2"/>
  <c r="AK656" i="2"/>
  <c r="AJ656" i="2"/>
  <c r="AI656" i="2"/>
  <c r="AH656" i="2"/>
  <c r="AG656" i="2"/>
  <c r="AE656" i="2"/>
  <c r="AD656" i="2"/>
  <c r="AC656" i="2"/>
  <c r="AA656" i="2"/>
  <c r="Z656" i="2"/>
  <c r="Y656" i="2"/>
  <c r="X656" i="2"/>
  <c r="W656" i="2"/>
  <c r="V656" i="2"/>
  <c r="U656" i="2"/>
  <c r="T656" i="2"/>
  <c r="S656" i="2"/>
  <c r="R656" i="2"/>
  <c r="Q656" i="2"/>
  <c r="P656" i="2"/>
  <c r="O656" i="2"/>
  <c r="N656" i="2"/>
  <c r="M656" i="2"/>
  <c r="L656" i="2"/>
  <c r="K656" i="2"/>
  <c r="J656" i="2"/>
  <c r="I656" i="2"/>
  <c r="H656" i="2"/>
  <c r="G656" i="2"/>
  <c r="F656" i="2"/>
  <c r="E656" i="2"/>
  <c r="D656" i="2"/>
  <c r="C656" i="2"/>
  <c r="B656" i="2"/>
  <c r="A656" i="2"/>
  <c r="AX655" i="2"/>
  <c r="AV655" i="2"/>
  <c r="AU655" i="2"/>
  <c r="AT655" i="2"/>
  <c r="AS655" i="2"/>
  <c r="AR655" i="2"/>
  <c r="AQ655" i="2"/>
  <c r="AP655" i="2"/>
  <c r="AO655" i="2"/>
  <c r="AN655" i="2"/>
  <c r="AM655" i="2"/>
  <c r="AL655" i="2"/>
  <c r="AK655" i="2"/>
  <c r="AJ655" i="2"/>
  <c r="AI655" i="2"/>
  <c r="AH655" i="2"/>
  <c r="AG655" i="2"/>
  <c r="AE655" i="2"/>
  <c r="AD655" i="2"/>
  <c r="AC655" i="2"/>
  <c r="AA655" i="2"/>
  <c r="Z655" i="2"/>
  <c r="Y655" i="2"/>
  <c r="X655" i="2"/>
  <c r="W655" i="2"/>
  <c r="V655" i="2"/>
  <c r="U655" i="2"/>
  <c r="T655" i="2"/>
  <c r="S655" i="2"/>
  <c r="R655" i="2"/>
  <c r="Q655" i="2"/>
  <c r="P655" i="2"/>
  <c r="O655" i="2"/>
  <c r="N655" i="2"/>
  <c r="M655" i="2"/>
  <c r="L655" i="2"/>
  <c r="K655" i="2"/>
  <c r="J655" i="2"/>
  <c r="I655" i="2"/>
  <c r="H655" i="2"/>
  <c r="G655" i="2"/>
  <c r="F655" i="2"/>
  <c r="E655" i="2"/>
  <c r="D655" i="2"/>
  <c r="C655" i="2"/>
  <c r="B655" i="2"/>
  <c r="A655" i="2"/>
  <c r="AX654" i="2"/>
  <c r="AV654" i="2"/>
  <c r="AU654" i="2"/>
  <c r="AT654" i="2"/>
  <c r="AS654" i="2"/>
  <c r="AR654" i="2"/>
  <c r="AO654" i="2"/>
  <c r="AN654" i="2"/>
  <c r="AM654" i="2"/>
  <c r="AK654" i="2"/>
  <c r="AJ654" i="2"/>
  <c r="AI654" i="2"/>
  <c r="AH654" i="2"/>
  <c r="AG654" i="2"/>
  <c r="AE654" i="2"/>
  <c r="AD654" i="2"/>
  <c r="AC654" i="2"/>
  <c r="Z654" i="2"/>
  <c r="Y654" i="2"/>
  <c r="X654" i="2"/>
  <c r="W654" i="2"/>
  <c r="V654" i="2"/>
  <c r="U654" i="2"/>
  <c r="T654" i="2"/>
  <c r="S654" i="2"/>
  <c r="R654" i="2"/>
  <c r="Q654" i="2"/>
  <c r="P654" i="2"/>
  <c r="O654" i="2"/>
  <c r="N654" i="2"/>
  <c r="M654" i="2"/>
  <c r="L654" i="2"/>
  <c r="K654" i="2"/>
  <c r="J654" i="2"/>
  <c r="I654" i="2"/>
  <c r="H654" i="2"/>
  <c r="G654" i="2"/>
  <c r="F654" i="2"/>
  <c r="E654" i="2"/>
  <c r="D654" i="2"/>
  <c r="C654" i="2"/>
  <c r="B654" i="2"/>
  <c r="A654" i="2"/>
  <c r="AX653" i="2"/>
  <c r="AV653" i="2"/>
  <c r="AU653" i="2"/>
  <c r="AT653" i="2"/>
  <c r="AS653" i="2"/>
  <c r="AR653" i="2"/>
  <c r="AO653" i="2"/>
  <c r="AN653" i="2"/>
  <c r="AM653" i="2"/>
  <c r="AL653" i="2"/>
  <c r="AK653" i="2"/>
  <c r="AJ653" i="2"/>
  <c r="AI653" i="2"/>
  <c r="AH653" i="2"/>
  <c r="AG653" i="2"/>
  <c r="AE653" i="2"/>
  <c r="AD653" i="2"/>
  <c r="AC653" i="2"/>
  <c r="AA653" i="2"/>
  <c r="Z653" i="2"/>
  <c r="Y653" i="2"/>
  <c r="X653" i="2"/>
  <c r="W653" i="2"/>
  <c r="V653" i="2"/>
  <c r="U653" i="2"/>
  <c r="T653" i="2"/>
  <c r="S653" i="2"/>
  <c r="R653" i="2"/>
  <c r="Q653" i="2"/>
  <c r="P653" i="2"/>
  <c r="O653" i="2"/>
  <c r="N653" i="2"/>
  <c r="M653" i="2"/>
  <c r="L653" i="2"/>
  <c r="K653" i="2"/>
  <c r="J653" i="2"/>
  <c r="I653" i="2"/>
  <c r="H653" i="2"/>
  <c r="G653" i="2"/>
  <c r="F653" i="2"/>
  <c r="E653" i="2"/>
  <c r="D653" i="2"/>
  <c r="C653" i="2"/>
  <c r="B653" i="2"/>
  <c r="A653" i="2"/>
  <c r="AX652" i="2"/>
  <c r="AV652" i="2"/>
  <c r="AU652" i="2"/>
  <c r="AT652" i="2"/>
  <c r="AS652" i="2"/>
  <c r="AR652" i="2"/>
  <c r="AO652" i="2"/>
  <c r="AN652" i="2"/>
  <c r="AM652" i="2"/>
  <c r="AK652" i="2"/>
  <c r="AJ652" i="2"/>
  <c r="AI652" i="2"/>
  <c r="AH652" i="2"/>
  <c r="AG652" i="2"/>
  <c r="AF652" i="2"/>
  <c r="AE652" i="2"/>
  <c r="AD652" i="2"/>
  <c r="AC652" i="2"/>
  <c r="AA652" i="2"/>
  <c r="Z652" i="2"/>
  <c r="Y652" i="2"/>
  <c r="X652" i="2"/>
  <c r="W652" i="2"/>
  <c r="V652" i="2"/>
  <c r="U652" i="2"/>
  <c r="T652" i="2"/>
  <c r="S652" i="2"/>
  <c r="R652" i="2"/>
  <c r="Q652" i="2"/>
  <c r="P652" i="2"/>
  <c r="O652" i="2"/>
  <c r="N652" i="2"/>
  <c r="M652" i="2"/>
  <c r="L652" i="2"/>
  <c r="K652" i="2"/>
  <c r="J652" i="2"/>
  <c r="I652" i="2"/>
  <c r="H652" i="2"/>
  <c r="G652" i="2"/>
  <c r="F652" i="2"/>
  <c r="E652" i="2"/>
  <c r="D652" i="2"/>
  <c r="C652" i="2"/>
  <c r="B652" i="2"/>
  <c r="A652" i="2"/>
  <c r="AX651" i="2"/>
  <c r="AV651" i="2"/>
  <c r="AU651" i="2"/>
  <c r="AT651" i="2"/>
  <c r="AS651" i="2"/>
  <c r="AR651" i="2"/>
  <c r="AO651" i="2"/>
  <c r="AN651" i="2"/>
  <c r="AM651" i="2"/>
  <c r="AL651" i="2"/>
  <c r="AK651" i="2"/>
  <c r="AJ651" i="2"/>
  <c r="AI651" i="2"/>
  <c r="AH651" i="2"/>
  <c r="AG651" i="2"/>
  <c r="AE651" i="2"/>
  <c r="AD651" i="2"/>
  <c r="AC651" i="2"/>
  <c r="AA651" i="2"/>
  <c r="Z651" i="2"/>
  <c r="Y651" i="2"/>
  <c r="X651" i="2"/>
  <c r="W651" i="2"/>
  <c r="V651" i="2"/>
  <c r="U651" i="2"/>
  <c r="T651" i="2"/>
  <c r="S651" i="2"/>
  <c r="R651" i="2"/>
  <c r="Q651" i="2"/>
  <c r="P651" i="2"/>
  <c r="O651" i="2"/>
  <c r="N651" i="2"/>
  <c r="M651" i="2"/>
  <c r="L651" i="2"/>
  <c r="K651" i="2"/>
  <c r="J651" i="2"/>
  <c r="I651" i="2"/>
  <c r="H651" i="2"/>
  <c r="G651" i="2"/>
  <c r="F651" i="2"/>
  <c r="E651" i="2"/>
  <c r="D651" i="2"/>
  <c r="C651" i="2"/>
  <c r="B651" i="2"/>
  <c r="A651" i="2"/>
  <c r="AX650" i="2"/>
  <c r="AV650" i="2"/>
  <c r="AU650" i="2"/>
  <c r="AT650" i="2"/>
  <c r="AS650" i="2"/>
  <c r="AR650" i="2"/>
  <c r="AO650" i="2"/>
  <c r="AN650" i="2"/>
  <c r="AM650" i="2"/>
  <c r="AL650" i="2"/>
  <c r="AK650" i="2"/>
  <c r="AJ650" i="2"/>
  <c r="AI650" i="2"/>
  <c r="AH650" i="2"/>
  <c r="AG650" i="2"/>
  <c r="AE650" i="2"/>
  <c r="AD650" i="2"/>
  <c r="AC650" i="2"/>
  <c r="AA650" i="2"/>
  <c r="Z650" i="2"/>
  <c r="Y650" i="2"/>
  <c r="X650" i="2"/>
  <c r="W650" i="2"/>
  <c r="V650" i="2"/>
  <c r="U650" i="2"/>
  <c r="T650" i="2"/>
  <c r="S650" i="2"/>
  <c r="R650" i="2"/>
  <c r="Q650" i="2"/>
  <c r="P650" i="2"/>
  <c r="O650" i="2"/>
  <c r="N650" i="2"/>
  <c r="M650" i="2"/>
  <c r="L650" i="2"/>
  <c r="K650" i="2"/>
  <c r="J650" i="2"/>
  <c r="I650" i="2"/>
  <c r="H650" i="2"/>
  <c r="G650" i="2"/>
  <c r="F650" i="2"/>
  <c r="E650" i="2"/>
  <c r="D650" i="2"/>
  <c r="C650" i="2"/>
  <c r="B650" i="2"/>
  <c r="A650" i="2"/>
  <c r="AX649" i="2"/>
  <c r="AV649" i="2"/>
  <c r="AU649" i="2"/>
  <c r="AT649" i="2"/>
  <c r="AS649" i="2"/>
  <c r="AR649" i="2"/>
  <c r="AQ649" i="2"/>
  <c r="AP649" i="2"/>
  <c r="AO649" i="2"/>
  <c r="AN649" i="2"/>
  <c r="AM649" i="2"/>
  <c r="AL649" i="2"/>
  <c r="AK649" i="2"/>
  <c r="AJ649" i="2"/>
  <c r="AI649" i="2"/>
  <c r="AH649" i="2"/>
  <c r="AG649" i="2"/>
  <c r="AE649" i="2"/>
  <c r="AD649" i="2"/>
  <c r="AC649" i="2"/>
  <c r="AA649" i="2"/>
  <c r="Z649" i="2"/>
  <c r="Y649" i="2"/>
  <c r="X649" i="2"/>
  <c r="V649" i="2"/>
  <c r="U649" i="2"/>
  <c r="T649" i="2"/>
  <c r="S649" i="2"/>
  <c r="R649" i="2"/>
  <c r="Q649" i="2"/>
  <c r="P649" i="2"/>
  <c r="O649" i="2"/>
  <c r="N649" i="2"/>
  <c r="M649" i="2"/>
  <c r="L649" i="2"/>
  <c r="K649" i="2"/>
  <c r="J649" i="2"/>
  <c r="I649" i="2"/>
  <c r="H649" i="2"/>
  <c r="G649" i="2"/>
  <c r="F649" i="2"/>
  <c r="E649" i="2"/>
  <c r="D649" i="2"/>
  <c r="C649" i="2"/>
  <c r="B649" i="2"/>
  <c r="A649" i="2"/>
  <c r="AX648" i="2"/>
  <c r="AV648" i="2"/>
  <c r="AU648" i="2"/>
  <c r="AT648" i="2"/>
  <c r="AS648" i="2"/>
  <c r="AR648" i="2"/>
  <c r="AO648" i="2"/>
  <c r="AN648" i="2"/>
  <c r="AM648" i="2"/>
  <c r="AL648" i="2"/>
  <c r="AK648" i="2"/>
  <c r="AJ648" i="2"/>
  <c r="AI648" i="2"/>
  <c r="AH648" i="2"/>
  <c r="AG648" i="2"/>
  <c r="AF648" i="2"/>
  <c r="AE648" i="2"/>
  <c r="AD648" i="2"/>
  <c r="AC648" i="2"/>
  <c r="AA648" i="2"/>
  <c r="Z648" i="2"/>
  <c r="Y648" i="2"/>
  <c r="X648" i="2"/>
  <c r="W648" i="2"/>
  <c r="V648" i="2"/>
  <c r="U648" i="2"/>
  <c r="T648" i="2"/>
  <c r="S648" i="2"/>
  <c r="R648" i="2"/>
  <c r="Q648" i="2"/>
  <c r="P648" i="2"/>
  <c r="O648" i="2"/>
  <c r="N648" i="2"/>
  <c r="M648" i="2"/>
  <c r="L648" i="2"/>
  <c r="K648" i="2"/>
  <c r="J648" i="2"/>
  <c r="I648" i="2"/>
  <c r="H648" i="2"/>
  <c r="G648" i="2"/>
  <c r="F648" i="2"/>
  <c r="E648" i="2"/>
  <c r="D648" i="2"/>
  <c r="C648" i="2"/>
  <c r="B648" i="2"/>
  <c r="A648" i="2"/>
  <c r="AX647" i="2"/>
  <c r="AV647" i="2"/>
  <c r="AU647" i="2"/>
  <c r="AT647" i="2"/>
  <c r="AS647" i="2"/>
  <c r="AR647" i="2"/>
  <c r="AO647" i="2"/>
  <c r="AN647" i="2"/>
  <c r="AM647" i="2"/>
  <c r="AL647" i="2"/>
  <c r="AK647" i="2"/>
  <c r="AJ647" i="2"/>
  <c r="AI647" i="2"/>
  <c r="AH647" i="2"/>
  <c r="AG647" i="2"/>
  <c r="AE647" i="2"/>
  <c r="AD647" i="2"/>
  <c r="AC647" i="2"/>
  <c r="AA647" i="2"/>
  <c r="Z647" i="2"/>
  <c r="Y647" i="2"/>
  <c r="X647" i="2"/>
  <c r="W647" i="2"/>
  <c r="V647" i="2"/>
  <c r="U647" i="2"/>
  <c r="T647" i="2"/>
  <c r="S647" i="2"/>
  <c r="R647" i="2"/>
  <c r="Q647" i="2"/>
  <c r="P647" i="2"/>
  <c r="O647" i="2"/>
  <c r="N647" i="2"/>
  <c r="M647" i="2"/>
  <c r="L647" i="2"/>
  <c r="K647" i="2"/>
  <c r="J647" i="2"/>
  <c r="I647" i="2"/>
  <c r="H647" i="2"/>
  <c r="G647" i="2"/>
  <c r="F647" i="2"/>
  <c r="E647" i="2"/>
  <c r="D647" i="2"/>
  <c r="C647" i="2"/>
  <c r="B647" i="2"/>
  <c r="A647" i="2"/>
  <c r="AX646" i="2"/>
  <c r="AV646" i="2"/>
  <c r="AU646" i="2"/>
  <c r="AT646" i="2"/>
  <c r="AS646" i="2"/>
  <c r="AR646" i="2"/>
  <c r="AO646" i="2"/>
  <c r="AM646" i="2"/>
  <c r="AL646" i="2"/>
  <c r="AK646" i="2"/>
  <c r="AJ646" i="2"/>
  <c r="AI646" i="2"/>
  <c r="AH646" i="2"/>
  <c r="AG646" i="2"/>
  <c r="AE646" i="2"/>
  <c r="AD646" i="2"/>
  <c r="AC646" i="2"/>
  <c r="Z646" i="2"/>
  <c r="Y646" i="2"/>
  <c r="X646" i="2"/>
  <c r="W646" i="2"/>
  <c r="V646" i="2"/>
  <c r="U646" i="2"/>
  <c r="T646" i="2"/>
  <c r="S646" i="2"/>
  <c r="R646" i="2"/>
  <c r="Q646" i="2"/>
  <c r="P646" i="2"/>
  <c r="O646" i="2"/>
  <c r="N646" i="2"/>
  <c r="M646" i="2"/>
  <c r="L646" i="2"/>
  <c r="K646" i="2"/>
  <c r="J646" i="2"/>
  <c r="I646" i="2"/>
  <c r="H646" i="2"/>
  <c r="G646" i="2"/>
  <c r="F646" i="2"/>
  <c r="E646" i="2"/>
  <c r="D646" i="2"/>
  <c r="C646" i="2"/>
  <c r="B646" i="2"/>
  <c r="A646" i="2"/>
  <c r="AX645" i="2"/>
  <c r="AV645" i="2"/>
  <c r="AU645" i="2"/>
  <c r="AT645" i="2"/>
  <c r="AS645" i="2"/>
  <c r="AR645" i="2"/>
  <c r="AO645" i="2"/>
  <c r="AN645" i="2"/>
  <c r="AM645" i="2"/>
  <c r="AK645" i="2"/>
  <c r="AJ645" i="2"/>
  <c r="AI645" i="2"/>
  <c r="AH645" i="2"/>
  <c r="AG645" i="2"/>
  <c r="AE645" i="2"/>
  <c r="AD645" i="2"/>
  <c r="AC645" i="2"/>
  <c r="Z645" i="2"/>
  <c r="Y645" i="2"/>
  <c r="X645" i="2"/>
  <c r="W645" i="2"/>
  <c r="V645" i="2"/>
  <c r="U645" i="2"/>
  <c r="T645" i="2"/>
  <c r="S645" i="2"/>
  <c r="R645" i="2"/>
  <c r="Q645" i="2"/>
  <c r="P645" i="2"/>
  <c r="O645" i="2"/>
  <c r="N645" i="2"/>
  <c r="M645" i="2"/>
  <c r="L645" i="2"/>
  <c r="K645" i="2"/>
  <c r="J645" i="2"/>
  <c r="I645" i="2"/>
  <c r="H645" i="2"/>
  <c r="G645" i="2"/>
  <c r="F645" i="2"/>
  <c r="E645" i="2"/>
  <c r="D645" i="2"/>
  <c r="C645" i="2"/>
  <c r="B645" i="2"/>
  <c r="A645" i="2"/>
  <c r="AX644" i="2"/>
  <c r="AV644" i="2"/>
  <c r="AU644" i="2"/>
  <c r="AT644" i="2"/>
  <c r="AS644" i="2"/>
  <c r="AR644" i="2"/>
  <c r="AO644" i="2"/>
  <c r="AN644" i="2"/>
  <c r="AM644" i="2"/>
  <c r="AK644" i="2"/>
  <c r="AJ644" i="2"/>
  <c r="AI644" i="2"/>
  <c r="AH644" i="2"/>
  <c r="AG644" i="2"/>
  <c r="AE644" i="2"/>
  <c r="AD644" i="2"/>
  <c r="AC644" i="2"/>
  <c r="Z644" i="2"/>
  <c r="Y644" i="2"/>
  <c r="X644" i="2"/>
  <c r="W644" i="2"/>
  <c r="V644" i="2"/>
  <c r="U644" i="2"/>
  <c r="T644" i="2"/>
  <c r="S644" i="2"/>
  <c r="R644" i="2"/>
  <c r="Q644" i="2"/>
  <c r="P644" i="2"/>
  <c r="O644" i="2"/>
  <c r="N644" i="2"/>
  <c r="M644" i="2"/>
  <c r="L644" i="2"/>
  <c r="K644" i="2"/>
  <c r="J644" i="2"/>
  <c r="I644" i="2"/>
  <c r="H644" i="2"/>
  <c r="G644" i="2"/>
  <c r="F644" i="2"/>
  <c r="E644" i="2"/>
  <c r="D644" i="2"/>
  <c r="C644" i="2"/>
  <c r="B644" i="2"/>
  <c r="A644" i="2"/>
  <c r="AX643" i="2"/>
  <c r="AV643" i="2"/>
  <c r="AU643" i="2"/>
  <c r="AT643" i="2"/>
  <c r="AS643" i="2"/>
  <c r="AR643" i="2"/>
  <c r="AO643" i="2"/>
  <c r="AN643" i="2"/>
  <c r="AM643" i="2"/>
  <c r="AJ643" i="2"/>
  <c r="AI643" i="2"/>
  <c r="AH643" i="2"/>
  <c r="AG643" i="2"/>
  <c r="AD643" i="2"/>
  <c r="AC643" i="2"/>
  <c r="Z643" i="2"/>
  <c r="Y643" i="2"/>
  <c r="X643" i="2"/>
  <c r="W643" i="2"/>
  <c r="V643" i="2"/>
  <c r="U643" i="2"/>
  <c r="T643" i="2"/>
  <c r="S643" i="2"/>
  <c r="R643" i="2"/>
  <c r="Q643" i="2"/>
  <c r="P643" i="2"/>
  <c r="O643" i="2"/>
  <c r="N643" i="2"/>
  <c r="M643" i="2"/>
  <c r="L643" i="2"/>
  <c r="K643" i="2"/>
  <c r="J643" i="2"/>
  <c r="I643" i="2"/>
  <c r="H643" i="2"/>
  <c r="G643" i="2"/>
  <c r="F643" i="2"/>
  <c r="E643" i="2"/>
  <c r="D643" i="2"/>
  <c r="C643" i="2"/>
  <c r="B643" i="2"/>
  <c r="A643" i="2"/>
  <c r="AX642" i="2"/>
  <c r="AV642" i="2"/>
  <c r="AU642" i="2"/>
  <c r="AT642" i="2"/>
  <c r="AS642" i="2"/>
  <c r="AR642" i="2"/>
  <c r="AQ642" i="2"/>
  <c r="AP642" i="2"/>
  <c r="AO642" i="2"/>
  <c r="AN642" i="2"/>
  <c r="AM642" i="2"/>
  <c r="AL642" i="2"/>
  <c r="AK642" i="2"/>
  <c r="AJ642" i="2"/>
  <c r="AI642" i="2"/>
  <c r="AH642" i="2"/>
  <c r="AG642" i="2"/>
  <c r="AE642" i="2"/>
  <c r="AD642" i="2"/>
  <c r="AC642" i="2"/>
  <c r="AA642" i="2"/>
  <c r="Z642" i="2"/>
  <c r="Y642" i="2"/>
  <c r="X642" i="2"/>
  <c r="W642" i="2"/>
  <c r="V642" i="2"/>
  <c r="U642" i="2"/>
  <c r="T642" i="2"/>
  <c r="S642" i="2"/>
  <c r="R642" i="2"/>
  <c r="Q642" i="2"/>
  <c r="P642" i="2"/>
  <c r="O642" i="2"/>
  <c r="N642" i="2"/>
  <c r="M642" i="2"/>
  <c r="L642" i="2"/>
  <c r="K642" i="2"/>
  <c r="J642" i="2"/>
  <c r="I642" i="2"/>
  <c r="H642" i="2"/>
  <c r="G642" i="2"/>
  <c r="F642" i="2"/>
  <c r="E642" i="2"/>
  <c r="D642" i="2"/>
  <c r="C642" i="2"/>
  <c r="B642" i="2"/>
  <c r="A642" i="2"/>
  <c r="AX641" i="2"/>
  <c r="AV641" i="2"/>
  <c r="AU641" i="2"/>
  <c r="AT641" i="2"/>
  <c r="AS641" i="2"/>
  <c r="AR641" i="2"/>
  <c r="AO641" i="2"/>
  <c r="AN641" i="2"/>
  <c r="AM641" i="2"/>
  <c r="AK641" i="2"/>
  <c r="AJ641" i="2"/>
  <c r="AI641" i="2"/>
  <c r="AH641" i="2"/>
  <c r="AG641" i="2"/>
  <c r="AE641" i="2"/>
  <c r="AD641" i="2"/>
  <c r="AC641" i="2"/>
  <c r="AA641" i="2"/>
  <c r="Z641" i="2"/>
  <c r="Y641" i="2"/>
  <c r="X641" i="2"/>
  <c r="W641" i="2"/>
  <c r="V641" i="2"/>
  <c r="U641" i="2"/>
  <c r="T641" i="2"/>
  <c r="S641" i="2"/>
  <c r="R641" i="2"/>
  <c r="Q641" i="2"/>
  <c r="P641" i="2"/>
  <c r="O641" i="2"/>
  <c r="N641" i="2"/>
  <c r="M641" i="2"/>
  <c r="L641" i="2"/>
  <c r="K641" i="2"/>
  <c r="J641" i="2"/>
  <c r="I641" i="2"/>
  <c r="H641" i="2"/>
  <c r="G641" i="2"/>
  <c r="F641" i="2"/>
  <c r="E641" i="2"/>
  <c r="D641" i="2"/>
  <c r="C641" i="2"/>
  <c r="B641" i="2"/>
  <c r="A641" i="2"/>
  <c r="AX640" i="2"/>
  <c r="AV640" i="2"/>
  <c r="AU640" i="2"/>
  <c r="AT640" i="2"/>
  <c r="AS640" i="2"/>
  <c r="AR640" i="2"/>
  <c r="AO640" i="2"/>
  <c r="AN640" i="2"/>
  <c r="AM640" i="2"/>
  <c r="AL640" i="2"/>
  <c r="AK640" i="2"/>
  <c r="AJ640" i="2"/>
  <c r="AI640" i="2"/>
  <c r="AH640" i="2"/>
  <c r="AG640" i="2"/>
  <c r="AE640" i="2"/>
  <c r="AD640" i="2"/>
  <c r="AC640" i="2"/>
  <c r="AA640" i="2"/>
  <c r="Z640" i="2"/>
  <c r="Y640" i="2"/>
  <c r="X640" i="2"/>
  <c r="W640" i="2"/>
  <c r="V640" i="2"/>
  <c r="U640" i="2"/>
  <c r="T640" i="2"/>
  <c r="S640" i="2"/>
  <c r="R640" i="2"/>
  <c r="Q640" i="2"/>
  <c r="P640" i="2"/>
  <c r="O640" i="2"/>
  <c r="N640" i="2"/>
  <c r="M640" i="2"/>
  <c r="L640" i="2"/>
  <c r="K640" i="2"/>
  <c r="J640" i="2"/>
  <c r="I640" i="2"/>
  <c r="H640" i="2"/>
  <c r="G640" i="2"/>
  <c r="F640" i="2"/>
  <c r="E640" i="2"/>
  <c r="D640" i="2"/>
  <c r="C640" i="2"/>
  <c r="B640" i="2"/>
  <c r="A640" i="2"/>
  <c r="AX639" i="2"/>
  <c r="AV639" i="2"/>
  <c r="AU639" i="2"/>
  <c r="AT639" i="2"/>
  <c r="AS639" i="2"/>
  <c r="AR639" i="2"/>
  <c r="AO639" i="2"/>
  <c r="AN639" i="2"/>
  <c r="AM639" i="2"/>
  <c r="AK639" i="2"/>
  <c r="AJ639" i="2"/>
  <c r="AI639" i="2"/>
  <c r="AH639" i="2"/>
  <c r="AG639" i="2"/>
  <c r="AE639" i="2"/>
  <c r="AD639" i="2"/>
  <c r="AC639" i="2"/>
  <c r="Z639" i="2"/>
  <c r="Y639" i="2"/>
  <c r="X639" i="2"/>
  <c r="W639" i="2"/>
  <c r="V639" i="2"/>
  <c r="U639" i="2"/>
  <c r="T639" i="2"/>
  <c r="S639" i="2"/>
  <c r="R639" i="2"/>
  <c r="Q639" i="2"/>
  <c r="P639" i="2"/>
  <c r="O639" i="2"/>
  <c r="N639" i="2"/>
  <c r="M639" i="2"/>
  <c r="L639" i="2"/>
  <c r="K639" i="2"/>
  <c r="J639" i="2"/>
  <c r="I639" i="2"/>
  <c r="H639" i="2"/>
  <c r="G639" i="2"/>
  <c r="F639" i="2"/>
  <c r="E639" i="2"/>
  <c r="D639" i="2"/>
  <c r="C639" i="2"/>
  <c r="B639" i="2"/>
  <c r="A639" i="2"/>
  <c r="AX638" i="2"/>
  <c r="AV638" i="2"/>
  <c r="AU638" i="2"/>
  <c r="AT638" i="2"/>
  <c r="AS638" i="2"/>
  <c r="AR638" i="2"/>
  <c r="AO638" i="2"/>
  <c r="AN638" i="2"/>
  <c r="AM638" i="2"/>
  <c r="AK638" i="2"/>
  <c r="AJ638" i="2"/>
  <c r="AI638" i="2"/>
  <c r="AH638" i="2"/>
  <c r="AG638" i="2"/>
  <c r="AF638" i="2"/>
  <c r="AE638" i="2"/>
  <c r="AD638" i="2"/>
  <c r="AC638" i="2"/>
  <c r="Z638" i="2"/>
  <c r="Y638" i="2"/>
  <c r="X638" i="2"/>
  <c r="V638" i="2"/>
  <c r="U638" i="2"/>
  <c r="T638" i="2"/>
  <c r="S638" i="2"/>
  <c r="R638" i="2"/>
  <c r="Q638" i="2"/>
  <c r="P638" i="2"/>
  <c r="O638" i="2"/>
  <c r="N638" i="2"/>
  <c r="M638" i="2"/>
  <c r="L638" i="2"/>
  <c r="K638" i="2"/>
  <c r="J638" i="2"/>
  <c r="I638" i="2"/>
  <c r="H638" i="2"/>
  <c r="G638" i="2"/>
  <c r="F638" i="2"/>
  <c r="E638" i="2"/>
  <c r="D638" i="2"/>
  <c r="C638" i="2"/>
  <c r="B638" i="2"/>
  <c r="A638" i="2"/>
  <c r="AX637" i="2"/>
  <c r="AV637" i="2"/>
  <c r="AU637" i="2"/>
  <c r="AT637" i="2"/>
  <c r="AS637" i="2"/>
  <c r="AR637" i="2"/>
  <c r="AO637" i="2"/>
  <c r="AN637" i="2"/>
  <c r="AM637" i="2"/>
  <c r="AL637" i="2"/>
  <c r="AK637" i="2"/>
  <c r="AJ637" i="2"/>
  <c r="AI637" i="2"/>
  <c r="AH637" i="2"/>
  <c r="AG637" i="2"/>
  <c r="AE637" i="2"/>
  <c r="AD637" i="2"/>
  <c r="AC637" i="2"/>
  <c r="AA637" i="2"/>
  <c r="Z637" i="2"/>
  <c r="Y637" i="2"/>
  <c r="X637" i="2"/>
  <c r="V637" i="2"/>
  <c r="U637" i="2"/>
  <c r="T637" i="2"/>
  <c r="S637" i="2"/>
  <c r="R637" i="2"/>
  <c r="Q637" i="2"/>
  <c r="P637" i="2"/>
  <c r="O637" i="2"/>
  <c r="N637" i="2"/>
  <c r="M637" i="2"/>
  <c r="L637" i="2"/>
  <c r="K637" i="2"/>
  <c r="J637" i="2"/>
  <c r="I637" i="2"/>
  <c r="H637" i="2"/>
  <c r="G637" i="2"/>
  <c r="F637" i="2"/>
  <c r="E637" i="2"/>
  <c r="D637" i="2"/>
  <c r="C637" i="2"/>
  <c r="B637" i="2"/>
  <c r="A637" i="2"/>
  <c r="AX636" i="2"/>
  <c r="AV636" i="2"/>
  <c r="AU636" i="2"/>
  <c r="AT636" i="2"/>
  <c r="AS636" i="2"/>
  <c r="AR636" i="2"/>
  <c r="AO636" i="2"/>
  <c r="AN636" i="2"/>
  <c r="AM636" i="2"/>
  <c r="AK636" i="2"/>
  <c r="AJ636" i="2"/>
  <c r="AI636" i="2"/>
  <c r="AH636" i="2"/>
  <c r="AG636" i="2"/>
  <c r="AC636" i="2"/>
  <c r="AA636" i="2"/>
  <c r="Z636" i="2"/>
  <c r="Y636" i="2"/>
  <c r="X636" i="2"/>
  <c r="W636" i="2"/>
  <c r="V636" i="2"/>
  <c r="U636" i="2"/>
  <c r="T636" i="2"/>
  <c r="S636" i="2"/>
  <c r="R636" i="2"/>
  <c r="Q636" i="2"/>
  <c r="P636" i="2"/>
  <c r="O636" i="2"/>
  <c r="N636" i="2"/>
  <c r="M636" i="2"/>
  <c r="L636" i="2"/>
  <c r="K636" i="2"/>
  <c r="J636" i="2"/>
  <c r="I636" i="2"/>
  <c r="H636" i="2"/>
  <c r="G636" i="2"/>
  <c r="F636" i="2"/>
  <c r="E636" i="2"/>
  <c r="D636" i="2"/>
  <c r="C636" i="2"/>
  <c r="B636" i="2"/>
  <c r="A636" i="2"/>
  <c r="AX635" i="2"/>
  <c r="AV635" i="2"/>
  <c r="AU635" i="2"/>
  <c r="AT635" i="2"/>
  <c r="AS635" i="2"/>
  <c r="AR635" i="2"/>
  <c r="AO635" i="2"/>
  <c r="AN635" i="2"/>
  <c r="AM635" i="2"/>
  <c r="AK635" i="2"/>
  <c r="AJ635" i="2"/>
  <c r="AI635" i="2"/>
  <c r="AH635" i="2"/>
  <c r="AG635" i="2"/>
  <c r="AF635" i="2"/>
  <c r="AE635" i="2"/>
  <c r="AD635" i="2"/>
  <c r="AC635" i="2"/>
  <c r="AA635" i="2"/>
  <c r="Z635" i="2"/>
  <c r="Y635" i="2"/>
  <c r="X635" i="2"/>
  <c r="W635" i="2"/>
  <c r="V635" i="2"/>
  <c r="U635" i="2"/>
  <c r="T635" i="2"/>
  <c r="S635" i="2"/>
  <c r="R635" i="2"/>
  <c r="Q635" i="2"/>
  <c r="P635" i="2"/>
  <c r="O635" i="2"/>
  <c r="N635" i="2"/>
  <c r="M635" i="2"/>
  <c r="L635" i="2"/>
  <c r="K635" i="2"/>
  <c r="J635" i="2"/>
  <c r="I635" i="2"/>
  <c r="H635" i="2"/>
  <c r="G635" i="2"/>
  <c r="F635" i="2"/>
  <c r="E635" i="2"/>
  <c r="D635" i="2"/>
  <c r="C635" i="2"/>
  <c r="B635" i="2"/>
  <c r="A635" i="2"/>
  <c r="AX634" i="2"/>
  <c r="AV634" i="2"/>
  <c r="AU634" i="2"/>
  <c r="AT634" i="2"/>
  <c r="AS634" i="2"/>
  <c r="AR634" i="2"/>
  <c r="AO634" i="2"/>
  <c r="AN634" i="2"/>
  <c r="AM634" i="2"/>
  <c r="AL634" i="2"/>
  <c r="AK634" i="2"/>
  <c r="AJ634" i="2"/>
  <c r="AI634" i="2"/>
  <c r="AH634" i="2"/>
  <c r="AG634" i="2"/>
  <c r="AD634" i="2"/>
  <c r="AC634" i="2"/>
  <c r="AA634" i="2"/>
  <c r="Z634" i="2"/>
  <c r="Y634" i="2"/>
  <c r="X634" i="2"/>
  <c r="W634" i="2"/>
  <c r="V634" i="2"/>
  <c r="U634" i="2"/>
  <c r="T634" i="2"/>
  <c r="S634" i="2"/>
  <c r="R634" i="2"/>
  <c r="Q634" i="2"/>
  <c r="P634" i="2"/>
  <c r="O634" i="2"/>
  <c r="N634" i="2"/>
  <c r="M634" i="2"/>
  <c r="L634" i="2"/>
  <c r="K634" i="2"/>
  <c r="J634" i="2"/>
  <c r="I634" i="2"/>
  <c r="H634" i="2"/>
  <c r="G634" i="2"/>
  <c r="F634" i="2"/>
  <c r="E634" i="2"/>
  <c r="D634" i="2"/>
  <c r="C634" i="2"/>
  <c r="B634" i="2"/>
  <c r="A634" i="2"/>
  <c r="AX633" i="2"/>
  <c r="AV633" i="2"/>
  <c r="AU633" i="2"/>
  <c r="AT633" i="2"/>
  <c r="AS633" i="2"/>
  <c r="AR633" i="2"/>
  <c r="AO633" i="2"/>
  <c r="AN633" i="2"/>
  <c r="AM633" i="2"/>
  <c r="AL633" i="2"/>
  <c r="AK633" i="2"/>
  <c r="AJ633" i="2"/>
  <c r="AI633" i="2"/>
  <c r="AH633" i="2"/>
  <c r="AG633" i="2"/>
  <c r="AD633" i="2"/>
  <c r="AC633" i="2"/>
  <c r="AA633" i="2"/>
  <c r="Z633" i="2"/>
  <c r="Y633" i="2"/>
  <c r="X633" i="2"/>
  <c r="W633" i="2"/>
  <c r="V633" i="2"/>
  <c r="U633" i="2"/>
  <c r="T633" i="2"/>
  <c r="S633" i="2"/>
  <c r="R633" i="2"/>
  <c r="Q633" i="2"/>
  <c r="P633" i="2"/>
  <c r="O633" i="2"/>
  <c r="N633" i="2"/>
  <c r="M633" i="2"/>
  <c r="L633" i="2"/>
  <c r="K633" i="2"/>
  <c r="J633" i="2"/>
  <c r="I633" i="2"/>
  <c r="H633" i="2"/>
  <c r="G633" i="2"/>
  <c r="F633" i="2"/>
  <c r="E633" i="2"/>
  <c r="D633" i="2"/>
  <c r="C633" i="2"/>
  <c r="B633" i="2"/>
  <c r="A633" i="2"/>
  <c r="AX632" i="2"/>
  <c r="AV632" i="2"/>
  <c r="AU632" i="2"/>
  <c r="AT632" i="2"/>
  <c r="AS632" i="2"/>
  <c r="AR632" i="2"/>
  <c r="AO632" i="2"/>
  <c r="AN632" i="2"/>
  <c r="AM632" i="2"/>
  <c r="AK632" i="2"/>
  <c r="AJ632" i="2"/>
  <c r="AI632" i="2"/>
  <c r="AH632" i="2"/>
  <c r="AG632" i="2"/>
  <c r="AE632" i="2"/>
  <c r="AD632" i="2"/>
  <c r="AC632" i="2"/>
  <c r="AA632" i="2"/>
  <c r="Z632" i="2"/>
  <c r="Y632" i="2"/>
  <c r="X632" i="2"/>
  <c r="W632" i="2"/>
  <c r="V632" i="2"/>
  <c r="U632" i="2"/>
  <c r="T632" i="2"/>
  <c r="S632" i="2"/>
  <c r="R632" i="2"/>
  <c r="Q632" i="2"/>
  <c r="P632" i="2"/>
  <c r="O632" i="2"/>
  <c r="N632" i="2"/>
  <c r="M632" i="2"/>
  <c r="L632" i="2"/>
  <c r="K632" i="2"/>
  <c r="J632" i="2"/>
  <c r="I632" i="2"/>
  <c r="H632" i="2"/>
  <c r="G632" i="2"/>
  <c r="F632" i="2"/>
  <c r="E632" i="2"/>
  <c r="D632" i="2"/>
  <c r="C632" i="2"/>
  <c r="B632" i="2"/>
  <c r="A632" i="2"/>
  <c r="AX631" i="2"/>
  <c r="AV631" i="2"/>
  <c r="AU631" i="2"/>
  <c r="AT631" i="2"/>
  <c r="AS631" i="2"/>
  <c r="AR631" i="2"/>
  <c r="AO631" i="2"/>
  <c r="AN631" i="2"/>
  <c r="AM631" i="2"/>
  <c r="AK631" i="2"/>
  <c r="AJ631" i="2"/>
  <c r="AI631" i="2"/>
  <c r="AH631" i="2"/>
  <c r="AG631" i="2"/>
  <c r="AE631" i="2"/>
  <c r="AD631" i="2"/>
  <c r="AC631" i="2"/>
  <c r="Z631" i="2"/>
  <c r="Y631" i="2"/>
  <c r="X631" i="2"/>
  <c r="W631" i="2"/>
  <c r="V631" i="2"/>
  <c r="U631" i="2"/>
  <c r="T631" i="2"/>
  <c r="S631" i="2"/>
  <c r="R631" i="2"/>
  <c r="Q631" i="2"/>
  <c r="P631" i="2"/>
  <c r="O631" i="2"/>
  <c r="N631" i="2"/>
  <c r="M631" i="2"/>
  <c r="L631" i="2"/>
  <c r="K631" i="2"/>
  <c r="J631" i="2"/>
  <c r="I631" i="2"/>
  <c r="H631" i="2"/>
  <c r="G631" i="2"/>
  <c r="F631" i="2"/>
  <c r="E631" i="2"/>
  <c r="D631" i="2"/>
  <c r="C631" i="2"/>
  <c r="B631" i="2"/>
  <c r="A631" i="2"/>
  <c r="AX630" i="2"/>
  <c r="AV630" i="2"/>
  <c r="AU630" i="2"/>
  <c r="AT630" i="2"/>
  <c r="AS630" i="2"/>
  <c r="AR630" i="2"/>
  <c r="AO630" i="2"/>
  <c r="AN630" i="2"/>
  <c r="AM630" i="2"/>
  <c r="AK630" i="2"/>
  <c r="AJ630" i="2"/>
  <c r="AI630" i="2"/>
  <c r="AH630" i="2"/>
  <c r="AG630" i="2"/>
  <c r="AE630" i="2"/>
  <c r="AC630" i="2"/>
  <c r="Z630" i="2"/>
  <c r="Y630" i="2"/>
  <c r="X630" i="2"/>
  <c r="W630" i="2"/>
  <c r="V630" i="2"/>
  <c r="U630" i="2"/>
  <c r="T630" i="2"/>
  <c r="S630" i="2"/>
  <c r="R630" i="2"/>
  <c r="Q630" i="2"/>
  <c r="P630" i="2"/>
  <c r="O630" i="2"/>
  <c r="N630" i="2"/>
  <c r="M630" i="2"/>
  <c r="L630" i="2"/>
  <c r="K630" i="2"/>
  <c r="J630" i="2"/>
  <c r="I630" i="2"/>
  <c r="H630" i="2"/>
  <c r="G630" i="2"/>
  <c r="F630" i="2"/>
  <c r="E630" i="2"/>
  <c r="D630" i="2"/>
  <c r="C630" i="2"/>
  <c r="B630" i="2"/>
  <c r="A630" i="2"/>
  <c r="AX629" i="2"/>
  <c r="AV629" i="2"/>
  <c r="AU629" i="2"/>
  <c r="AT629" i="2"/>
  <c r="AS629" i="2"/>
  <c r="AR629" i="2"/>
  <c r="AO629" i="2"/>
  <c r="AN629" i="2"/>
  <c r="AM629" i="2"/>
  <c r="AL629" i="2"/>
  <c r="AK629" i="2"/>
  <c r="AJ629" i="2"/>
  <c r="AI629" i="2"/>
  <c r="AH629" i="2"/>
  <c r="AG629" i="2"/>
  <c r="AE629" i="2"/>
  <c r="AD629" i="2"/>
  <c r="AC629" i="2"/>
  <c r="AA629" i="2"/>
  <c r="Z629" i="2"/>
  <c r="Y629" i="2"/>
  <c r="X629" i="2"/>
  <c r="W629" i="2"/>
  <c r="V629" i="2"/>
  <c r="U629" i="2"/>
  <c r="T629" i="2"/>
  <c r="S629" i="2"/>
  <c r="R629" i="2"/>
  <c r="Q629" i="2"/>
  <c r="P629" i="2"/>
  <c r="O629" i="2"/>
  <c r="N629" i="2"/>
  <c r="M629" i="2"/>
  <c r="L629" i="2"/>
  <c r="K629" i="2"/>
  <c r="J629" i="2"/>
  <c r="I629" i="2"/>
  <c r="H629" i="2"/>
  <c r="G629" i="2"/>
  <c r="F629" i="2"/>
  <c r="E629" i="2"/>
  <c r="D629" i="2"/>
  <c r="C629" i="2"/>
  <c r="B629" i="2"/>
  <c r="A629" i="2"/>
  <c r="AX628" i="2"/>
  <c r="AV628" i="2"/>
  <c r="AU628" i="2"/>
  <c r="AT628" i="2"/>
  <c r="AS628" i="2"/>
  <c r="AR628" i="2"/>
  <c r="AO628" i="2"/>
  <c r="AN628" i="2"/>
  <c r="AM628" i="2"/>
  <c r="AK628" i="2"/>
  <c r="AI628" i="2"/>
  <c r="AH628" i="2"/>
  <c r="AG628" i="2"/>
  <c r="AF628" i="2"/>
  <c r="AE628" i="2"/>
  <c r="AC628" i="2"/>
  <c r="Z628" i="2"/>
  <c r="Y628" i="2"/>
  <c r="X628" i="2"/>
  <c r="W628" i="2"/>
  <c r="V628" i="2"/>
  <c r="U628" i="2"/>
  <c r="T628" i="2"/>
  <c r="S628" i="2"/>
  <c r="R628" i="2"/>
  <c r="Q628" i="2"/>
  <c r="P628" i="2"/>
  <c r="O628" i="2"/>
  <c r="N628" i="2"/>
  <c r="M628" i="2"/>
  <c r="L628" i="2"/>
  <c r="K628" i="2"/>
  <c r="J628" i="2"/>
  <c r="I628" i="2"/>
  <c r="H628" i="2"/>
  <c r="G628" i="2"/>
  <c r="F628" i="2"/>
  <c r="E628" i="2"/>
  <c r="D628" i="2"/>
  <c r="C628" i="2"/>
  <c r="B628" i="2"/>
  <c r="A628" i="2"/>
  <c r="AX627" i="2"/>
  <c r="AV627" i="2"/>
  <c r="AU627" i="2"/>
  <c r="AT627" i="2"/>
  <c r="AS627" i="2"/>
  <c r="AR627" i="2"/>
  <c r="AO627" i="2"/>
  <c r="AN627" i="2"/>
  <c r="AM627" i="2"/>
  <c r="AL627" i="2"/>
  <c r="AK627" i="2"/>
  <c r="AJ627" i="2"/>
  <c r="AI627" i="2"/>
  <c r="AH627" i="2"/>
  <c r="AG627" i="2"/>
  <c r="AE627" i="2"/>
  <c r="AD627" i="2"/>
  <c r="AC627" i="2"/>
  <c r="AA627" i="2"/>
  <c r="Z627" i="2"/>
  <c r="Y627" i="2"/>
  <c r="X627" i="2"/>
  <c r="W627" i="2"/>
  <c r="V627" i="2"/>
  <c r="U627" i="2"/>
  <c r="T627" i="2"/>
  <c r="S627" i="2"/>
  <c r="R627" i="2"/>
  <c r="Q627" i="2"/>
  <c r="P627" i="2"/>
  <c r="O627" i="2"/>
  <c r="N627" i="2"/>
  <c r="M627" i="2"/>
  <c r="L627" i="2"/>
  <c r="K627" i="2"/>
  <c r="J627" i="2"/>
  <c r="I627" i="2"/>
  <c r="H627" i="2"/>
  <c r="G627" i="2"/>
  <c r="F627" i="2"/>
  <c r="E627" i="2"/>
  <c r="D627" i="2"/>
  <c r="C627" i="2"/>
  <c r="B627" i="2"/>
  <c r="A627" i="2"/>
  <c r="AX626" i="2"/>
  <c r="AV626" i="2"/>
  <c r="AU626" i="2"/>
  <c r="AT626" i="2"/>
  <c r="AS626" i="2"/>
  <c r="AR626" i="2"/>
  <c r="AO626" i="2"/>
  <c r="AN626" i="2"/>
  <c r="AM626" i="2"/>
  <c r="AL626" i="2"/>
  <c r="AK626" i="2"/>
  <c r="AJ626" i="2"/>
  <c r="AI626" i="2"/>
  <c r="AH626" i="2"/>
  <c r="AG626" i="2"/>
  <c r="AF626" i="2"/>
  <c r="AE626" i="2"/>
  <c r="AD626" i="2"/>
  <c r="AC626" i="2"/>
  <c r="AA626" i="2"/>
  <c r="Z626" i="2"/>
  <c r="Y626" i="2"/>
  <c r="X626" i="2"/>
  <c r="W626" i="2"/>
  <c r="V626" i="2"/>
  <c r="U626" i="2"/>
  <c r="T626" i="2"/>
  <c r="S626" i="2"/>
  <c r="R626" i="2"/>
  <c r="Q626" i="2"/>
  <c r="P626" i="2"/>
  <c r="O626" i="2"/>
  <c r="N626" i="2"/>
  <c r="M626" i="2"/>
  <c r="L626" i="2"/>
  <c r="K626" i="2"/>
  <c r="J626" i="2"/>
  <c r="I626" i="2"/>
  <c r="H626" i="2"/>
  <c r="G626" i="2"/>
  <c r="F626" i="2"/>
  <c r="E626" i="2"/>
  <c r="D626" i="2"/>
  <c r="C626" i="2"/>
  <c r="B626" i="2"/>
  <c r="A626" i="2"/>
  <c r="AX625" i="2"/>
  <c r="AV625" i="2"/>
  <c r="AU625" i="2"/>
  <c r="AT625" i="2"/>
  <c r="AS625" i="2"/>
  <c r="AR625" i="2"/>
  <c r="AQ625" i="2"/>
  <c r="AP625" i="2"/>
  <c r="AO625" i="2"/>
  <c r="AN625" i="2"/>
  <c r="AM625" i="2"/>
  <c r="AK625" i="2"/>
  <c r="AJ625" i="2"/>
  <c r="AI625" i="2"/>
  <c r="AH625" i="2"/>
  <c r="AG625" i="2"/>
  <c r="AE625" i="2"/>
  <c r="AD625" i="2"/>
  <c r="AC625" i="2"/>
  <c r="AA625" i="2"/>
  <c r="Z625" i="2"/>
  <c r="Y625" i="2"/>
  <c r="X625" i="2"/>
  <c r="W625" i="2"/>
  <c r="V625" i="2"/>
  <c r="U625" i="2"/>
  <c r="T625" i="2"/>
  <c r="S625" i="2"/>
  <c r="R625" i="2"/>
  <c r="Q625" i="2"/>
  <c r="P625" i="2"/>
  <c r="O625" i="2"/>
  <c r="N625" i="2"/>
  <c r="M625" i="2"/>
  <c r="L625" i="2"/>
  <c r="K625" i="2"/>
  <c r="J625" i="2"/>
  <c r="I625" i="2"/>
  <c r="H625" i="2"/>
  <c r="G625" i="2"/>
  <c r="F625" i="2"/>
  <c r="E625" i="2"/>
  <c r="D625" i="2"/>
  <c r="C625" i="2"/>
  <c r="B625" i="2"/>
  <c r="A625" i="2"/>
  <c r="AX624" i="2"/>
  <c r="AV624" i="2"/>
  <c r="AU624" i="2"/>
  <c r="AT624" i="2"/>
  <c r="AS624" i="2"/>
  <c r="AR624" i="2"/>
  <c r="AO624" i="2"/>
  <c r="AN624" i="2"/>
  <c r="AM624" i="2"/>
  <c r="AK624" i="2"/>
  <c r="AI624" i="2"/>
  <c r="AH624" i="2"/>
  <c r="AG624" i="2"/>
  <c r="AC624" i="2"/>
  <c r="Z624" i="2"/>
  <c r="Y624" i="2"/>
  <c r="X624" i="2"/>
  <c r="W624" i="2"/>
  <c r="V624" i="2"/>
  <c r="U624" i="2"/>
  <c r="T624" i="2"/>
  <c r="S624" i="2"/>
  <c r="R624" i="2"/>
  <c r="Q624" i="2"/>
  <c r="P624" i="2"/>
  <c r="O624" i="2"/>
  <c r="N624" i="2"/>
  <c r="M624" i="2"/>
  <c r="L624" i="2"/>
  <c r="K624" i="2"/>
  <c r="J624" i="2"/>
  <c r="I624" i="2"/>
  <c r="H624" i="2"/>
  <c r="G624" i="2"/>
  <c r="F624" i="2"/>
  <c r="E624" i="2"/>
  <c r="D624" i="2"/>
  <c r="C624" i="2"/>
  <c r="B624" i="2"/>
  <c r="A624" i="2"/>
  <c r="AX623" i="2"/>
  <c r="AV623" i="2"/>
  <c r="AU623" i="2"/>
  <c r="AT623" i="2"/>
  <c r="AS623" i="2"/>
  <c r="AR623" i="2"/>
  <c r="AO623" i="2"/>
  <c r="AN623" i="2"/>
  <c r="AM623" i="2"/>
  <c r="AK623" i="2"/>
  <c r="AJ623" i="2"/>
  <c r="AI623" i="2"/>
  <c r="AH623" i="2"/>
  <c r="AG623" i="2"/>
  <c r="AD623" i="2"/>
  <c r="AC623" i="2"/>
  <c r="AA623" i="2"/>
  <c r="Z623" i="2"/>
  <c r="Y623" i="2"/>
  <c r="X623" i="2"/>
  <c r="W623" i="2"/>
  <c r="V623" i="2"/>
  <c r="U623" i="2"/>
  <c r="T623" i="2"/>
  <c r="S623" i="2"/>
  <c r="R623" i="2"/>
  <c r="Q623" i="2"/>
  <c r="P623" i="2"/>
  <c r="O623" i="2"/>
  <c r="N623" i="2"/>
  <c r="M623" i="2"/>
  <c r="L623" i="2"/>
  <c r="K623" i="2"/>
  <c r="J623" i="2"/>
  <c r="I623" i="2"/>
  <c r="H623" i="2"/>
  <c r="G623" i="2"/>
  <c r="F623" i="2"/>
  <c r="E623" i="2"/>
  <c r="D623" i="2"/>
  <c r="C623" i="2"/>
  <c r="B623" i="2"/>
  <c r="A623" i="2"/>
  <c r="AX622" i="2"/>
  <c r="AV622" i="2"/>
  <c r="AU622" i="2"/>
  <c r="AS622" i="2"/>
  <c r="AR622" i="2"/>
  <c r="AO622" i="2"/>
  <c r="AN622" i="2"/>
  <c r="AM622" i="2"/>
  <c r="AL622" i="2"/>
  <c r="AK622" i="2"/>
  <c r="AJ622" i="2"/>
  <c r="AI622" i="2"/>
  <c r="AH622" i="2"/>
  <c r="AG622" i="2"/>
  <c r="AE622" i="2"/>
  <c r="AD622" i="2"/>
  <c r="AC622" i="2"/>
  <c r="AA622" i="2"/>
  <c r="Z622" i="2"/>
  <c r="Y622" i="2"/>
  <c r="X622" i="2"/>
  <c r="W622" i="2"/>
  <c r="V622" i="2"/>
  <c r="U622" i="2"/>
  <c r="T622" i="2"/>
  <c r="S622" i="2"/>
  <c r="R622" i="2"/>
  <c r="Q622" i="2"/>
  <c r="P622" i="2"/>
  <c r="O622" i="2"/>
  <c r="N622" i="2"/>
  <c r="M622" i="2"/>
  <c r="L622" i="2"/>
  <c r="K622" i="2"/>
  <c r="J622" i="2"/>
  <c r="I622" i="2"/>
  <c r="H622" i="2"/>
  <c r="G622" i="2"/>
  <c r="F622" i="2"/>
  <c r="E622" i="2"/>
  <c r="D622" i="2"/>
  <c r="C622" i="2"/>
  <c r="B622" i="2"/>
  <c r="A622" i="2"/>
  <c r="AX621" i="2"/>
  <c r="AV621" i="2"/>
  <c r="AU621" i="2"/>
  <c r="AT621" i="2"/>
  <c r="AS621" i="2"/>
  <c r="AR621" i="2"/>
  <c r="AO621" i="2"/>
  <c r="AN621" i="2"/>
  <c r="AM621" i="2"/>
  <c r="AL621" i="2"/>
  <c r="AK621" i="2"/>
  <c r="AJ621" i="2"/>
  <c r="AI621" i="2"/>
  <c r="AH621" i="2"/>
  <c r="AG621" i="2"/>
  <c r="AD621" i="2"/>
  <c r="AC621" i="2"/>
  <c r="AA621" i="2"/>
  <c r="Z621" i="2"/>
  <c r="Y621" i="2"/>
  <c r="X621" i="2"/>
  <c r="W621" i="2"/>
  <c r="V621" i="2"/>
  <c r="U621" i="2"/>
  <c r="T621" i="2"/>
  <c r="S621" i="2"/>
  <c r="R621" i="2"/>
  <c r="Q621" i="2"/>
  <c r="P621" i="2"/>
  <c r="O621" i="2"/>
  <c r="N621" i="2"/>
  <c r="M621" i="2"/>
  <c r="L621" i="2"/>
  <c r="K621" i="2"/>
  <c r="J621" i="2"/>
  <c r="I621" i="2"/>
  <c r="H621" i="2"/>
  <c r="G621" i="2"/>
  <c r="F621" i="2"/>
  <c r="E621" i="2"/>
  <c r="D621" i="2"/>
  <c r="C621" i="2"/>
  <c r="B621" i="2"/>
  <c r="A621" i="2"/>
  <c r="AX620" i="2"/>
  <c r="AV620" i="2"/>
  <c r="AU620" i="2"/>
  <c r="AR620" i="2"/>
  <c r="AO620" i="2"/>
  <c r="AN620" i="2"/>
  <c r="AM620" i="2"/>
  <c r="AK620" i="2"/>
  <c r="AJ620" i="2"/>
  <c r="AI620" i="2"/>
  <c r="AH620" i="2"/>
  <c r="AG620" i="2"/>
  <c r="AD620" i="2"/>
  <c r="AC620" i="2"/>
  <c r="Z620" i="2"/>
  <c r="Y620" i="2"/>
  <c r="X620" i="2"/>
  <c r="W620" i="2"/>
  <c r="V620" i="2"/>
  <c r="U620" i="2"/>
  <c r="T620" i="2"/>
  <c r="S620" i="2"/>
  <c r="R620" i="2"/>
  <c r="Q620" i="2"/>
  <c r="P620" i="2"/>
  <c r="O620" i="2"/>
  <c r="N620" i="2"/>
  <c r="M620" i="2"/>
  <c r="L620" i="2"/>
  <c r="K620" i="2"/>
  <c r="J620" i="2"/>
  <c r="I620" i="2"/>
  <c r="H620" i="2"/>
  <c r="G620" i="2"/>
  <c r="F620" i="2"/>
  <c r="E620" i="2"/>
  <c r="D620" i="2"/>
  <c r="C620" i="2"/>
  <c r="B620" i="2"/>
  <c r="A620" i="2"/>
  <c r="AX619" i="2"/>
  <c r="AV619" i="2"/>
  <c r="AU619" i="2"/>
  <c r="AT619" i="2"/>
  <c r="AS619" i="2"/>
  <c r="AR619" i="2"/>
  <c r="AQ619" i="2"/>
  <c r="AP619" i="2"/>
  <c r="AO619" i="2"/>
  <c r="AN619" i="2"/>
  <c r="AM619" i="2"/>
  <c r="AL619" i="2"/>
  <c r="AK619" i="2"/>
  <c r="AJ619" i="2"/>
  <c r="AI619" i="2"/>
  <c r="AH619" i="2"/>
  <c r="AG619" i="2"/>
  <c r="AE619" i="2"/>
  <c r="AD619" i="2"/>
  <c r="AC619" i="2"/>
  <c r="AA619" i="2"/>
  <c r="Z619" i="2"/>
  <c r="Y619" i="2"/>
  <c r="X619" i="2"/>
  <c r="W619" i="2"/>
  <c r="V619" i="2"/>
  <c r="U619" i="2"/>
  <c r="T619" i="2"/>
  <c r="S619" i="2"/>
  <c r="R619" i="2"/>
  <c r="Q619" i="2"/>
  <c r="P619" i="2"/>
  <c r="O619" i="2"/>
  <c r="N619" i="2"/>
  <c r="M619" i="2"/>
  <c r="L619" i="2"/>
  <c r="K619" i="2"/>
  <c r="J619" i="2"/>
  <c r="I619" i="2"/>
  <c r="H619" i="2"/>
  <c r="G619" i="2"/>
  <c r="F619" i="2"/>
  <c r="E619" i="2"/>
  <c r="D619" i="2"/>
  <c r="C619" i="2"/>
  <c r="B619" i="2"/>
  <c r="A619" i="2"/>
  <c r="AX618" i="2"/>
  <c r="AV618" i="2"/>
  <c r="AU618" i="2"/>
  <c r="AT618" i="2"/>
  <c r="AS618" i="2"/>
  <c r="AR618" i="2"/>
  <c r="AO618" i="2"/>
  <c r="AN618" i="2"/>
  <c r="AM618" i="2"/>
  <c r="AK618" i="2"/>
  <c r="AJ618" i="2"/>
  <c r="AI618" i="2"/>
  <c r="AH618" i="2"/>
  <c r="AG618" i="2"/>
  <c r="AF618" i="2"/>
  <c r="AE618" i="2"/>
  <c r="AD618" i="2"/>
  <c r="AC618" i="2"/>
  <c r="AA618" i="2"/>
  <c r="Z618" i="2"/>
  <c r="Y618" i="2"/>
  <c r="X618" i="2"/>
  <c r="W618" i="2"/>
  <c r="V618" i="2"/>
  <c r="U618" i="2"/>
  <c r="T618" i="2"/>
  <c r="S618" i="2"/>
  <c r="R618" i="2"/>
  <c r="Q618" i="2"/>
  <c r="P618" i="2"/>
  <c r="O618" i="2"/>
  <c r="N618" i="2"/>
  <c r="M618" i="2"/>
  <c r="L618" i="2"/>
  <c r="K618" i="2"/>
  <c r="J618" i="2"/>
  <c r="I618" i="2"/>
  <c r="H618" i="2"/>
  <c r="G618" i="2"/>
  <c r="F618" i="2"/>
  <c r="E618" i="2"/>
  <c r="D618" i="2"/>
  <c r="C618" i="2"/>
  <c r="B618" i="2"/>
  <c r="A618" i="2"/>
  <c r="AX617" i="2"/>
  <c r="AV617" i="2"/>
  <c r="AU617" i="2"/>
  <c r="AS617" i="2"/>
  <c r="AR617" i="2"/>
  <c r="AQ617" i="2"/>
  <c r="AP617" i="2"/>
  <c r="AN617" i="2"/>
  <c r="AK617" i="2"/>
  <c r="AJ617" i="2"/>
  <c r="AI617" i="2"/>
  <c r="AH617" i="2"/>
  <c r="AG617" i="2"/>
  <c r="AF617" i="2"/>
  <c r="AE617" i="2"/>
  <c r="AC617" i="2"/>
  <c r="Z617" i="2"/>
  <c r="Y617" i="2"/>
  <c r="X617" i="2"/>
  <c r="W617" i="2"/>
  <c r="V617" i="2"/>
  <c r="U617" i="2"/>
  <c r="T617" i="2"/>
  <c r="S617" i="2"/>
  <c r="R617" i="2"/>
  <c r="Q617" i="2"/>
  <c r="P617" i="2"/>
  <c r="O617" i="2"/>
  <c r="N617" i="2"/>
  <c r="M617" i="2"/>
  <c r="L617" i="2"/>
  <c r="K617" i="2"/>
  <c r="J617" i="2"/>
  <c r="I617" i="2"/>
  <c r="H617" i="2"/>
  <c r="G617" i="2"/>
  <c r="F617" i="2"/>
  <c r="E617" i="2"/>
  <c r="D617" i="2"/>
  <c r="C617" i="2"/>
  <c r="B617" i="2"/>
  <c r="A617" i="2"/>
  <c r="AX616" i="2"/>
  <c r="AV616" i="2"/>
  <c r="AU616" i="2"/>
  <c r="AT616" i="2"/>
  <c r="AS616" i="2"/>
  <c r="AR616" i="2"/>
  <c r="AO616" i="2"/>
  <c r="AN616" i="2"/>
  <c r="AM616" i="2"/>
  <c r="AK616" i="2"/>
  <c r="AJ616" i="2"/>
  <c r="AI616" i="2"/>
  <c r="AH616" i="2"/>
  <c r="AG616" i="2"/>
  <c r="AC616" i="2"/>
  <c r="Z616" i="2"/>
  <c r="Y616" i="2"/>
  <c r="X616" i="2"/>
  <c r="W616" i="2"/>
  <c r="V616" i="2"/>
  <c r="U616" i="2"/>
  <c r="T616" i="2"/>
  <c r="S616" i="2"/>
  <c r="R616" i="2"/>
  <c r="Q616" i="2"/>
  <c r="P616" i="2"/>
  <c r="O616" i="2"/>
  <c r="N616" i="2"/>
  <c r="M616" i="2"/>
  <c r="L616" i="2"/>
  <c r="K616" i="2"/>
  <c r="J616" i="2"/>
  <c r="I616" i="2"/>
  <c r="H616" i="2"/>
  <c r="G616" i="2"/>
  <c r="F616" i="2"/>
  <c r="E616" i="2"/>
  <c r="D616" i="2"/>
  <c r="C616" i="2"/>
  <c r="B616" i="2"/>
  <c r="A616" i="2"/>
  <c r="AX615" i="2"/>
  <c r="AV615" i="2"/>
  <c r="AU615" i="2"/>
  <c r="AT615" i="2"/>
  <c r="AS615" i="2"/>
  <c r="AR615" i="2"/>
  <c r="AO615" i="2"/>
  <c r="AN615" i="2"/>
  <c r="AM615" i="2"/>
  <c r="AK615" i="2"/>
  <c r="AJ615" i="2"/>
  <c r="AI615" i="2"/>
  <c r="AH615" i="2"/>
  <c r="AG615" i="2"/>
  <c r="AC615" i="2"/>
  <c r="Z615" i="2"/>
  <c r="Y615" i="2"/>
  <c r="X615" i="2"/>
  <c r="W615" i="2"/>
  <c r="V615" i="2"/>
  <c r="U615" i="2"/>
  <c r="T615" i="2"/>
  <c r="S615" i="2"/>
  <c r="R615" i="2"/>
  <c r="Q615" i="2"/>
  <c r="P615" i="2"/>
  <c r="O615" i="2"/>
  <c r="N615" i="2"/>
  <c r="M615" i="2"/>
  <c r="L615" i="2"/>
  <c r="K615" i="2"/>
  <c r="J615" i="2"/>
  <c r="I615" i="2"/>
  <c r="H615" i="2"/>
  <c r="G615" i="2"/>
  <c r="F615" i="2"/>
  <c r="E615" i="2"/>
  <c r="D615" i="2"/>
  <c r="C615" i="2"/>
  <c r="B615" i="2"/>
  <c r="A615" i="2"/>
  <c r="AX614" i="2"/>
  <c r="AV614" i="2"/>
  <c r="AU614" i="2"/>
  <c r="AT614" i="2"/>
  <c r="AR614" i="2"/>
  <c r="AO614" i="2"/>
  <c r="AN614" i="2"/>
  <c r="AM614" i="2"/>
  <c r="AJ614" i="2"/>
  <c r="AI614" i="2"/>
  <c r="AH614" i="2"/>
  <c r="AG614" i="2"/>
  <c r="AC614" i="2"/>
  <c r="Z614" i="2"/>
  <c r="Y614" i="2"/>
  <c r="X614" i="2"/>
  <c r="W614" i="2"/>
  <c r="V614" i="2"/>
  <c r="U614" i="2"/>
  <c r="T614" i="2"/>
  <c r="S614" i="2"/>
  <c r="R614" i="2"/>
  <c r="Q614" i="2"/>
  <c r="P614" i="2"/>
  <c r="O614" i="2"/>
  <c r="N614" i="2"/>
  <c r="M614" i="2"/>
  <c r="L614" i="2"/>
  <c r="K614" i="2"/>
  <c r="J614" i="2"/>
  <c r="I614" i="2"/>
  <c r="H614" i="2"/>
  <c r="G614" i="2"/>
  <c r="F614" i="2"/>
  <c r="E614" i="2"/>
  <c r="D614" i="2"/>
  <c r="C614" i="2"/>
  <c r="B614" i="2"/>
  <c r="A614" i="2"/>
  <c r="AX613" i="2"/>
  <c r="AV613" i="2"/>
  <c r="AU613" i="2"/>
  <c r="AT613" i="2"/>
  <c r="AS613" i="2"/>
  <c r="AR613" i="2"/>
  <c r="AO613" i="2"/>
  <c r="AN613" i="2"/>
  <c r="AM613" i="2"/>
  <c r="AK613" i="2"/>
  <c r="AJ613" i="2"/>
  <c r="AI613" i="2"/>
  <c r="AH613" i="2"/>
  <c r="AG613" i="2"/>
  <c r="AE613" i="2"/>
  <c r="AD613" i="2"/>
  <c r="AC613" i="2"/>
  <c r="AA613" i="2"/>
  <c r="Z613" i="2"/>
  <c r="Y613" i="2"/>
  <c r="X613" i="2"/>
  <c r="W613" i="2"/>
  <c r="V613" i="2"/>
  <c r="U613" i="2"/>
  <c r="T613" i="2"/>
  <c r="S613" i="2"/>
  <c r="R613" i="2"/>
  <c r="Q613" i="2"/>
  <c r="P613" i="2"/>
  <c r="O613" i="2"/>
  <c r="N613" i="2"/>
  <c r="M613" i="2"/>
  <c r="L613" i="2"/>
  <c r="K613" i="2"/>
  <c r="J613" i="2"/>
  <c r="I613" i="2"/>
  <c r="H613" i="2"/>
  <c r="G613" i="2"/>
  <c r="F613" i="2"/>
  <c r="E613" i="2"/>
  <c r="D613" i="2"/>
  <c r="C613" i="2"/>
  <c r="B613" i="2"/>
  <c r="A613" i="2"/>
  <c r="AX612" i="2"/>
  <c r="AV612" i="2"/>
  <c r="AU612" i="2"/>
  <c r="AT612" i="2"/>
  <c r="AS612" i="2"/>
  <c r="AR612" i="2"/>
  <c r="AO612" i="2"/>
  <c r="AN612" i="2"/>
  <c r="AM612" i="2"/>
  <c r="AK612" i="2"/>
  <c r="AJ612" i="2"/>
  <c r="AI612" i="2"/>
  <c r="AH612" i="2"/>
  <c r="AG612" i="2"/>
  <c r="AE612" i="2"/>
  <c r="AC612" i="2"/>
  <c r="Z612" i="2"/>
  <c r="Y612" i="2"/>
  <c r="X612" i="2"/>
  <c r="W612" i="2"/>
  <c r="V612" i="2"/>
  <c r="U612" i="2"/>
  <c r="T612" i="2"/>
  <c r="S612" i="2"/>
  <c r="R612" i="2"/>
  <c r="Q612" i="2"/>
  <c r="P612" i="2"/>
  <c r="O612" i="2"/>
  <c r="N612" i="2"/>
  <c r="M612" i="2"/>
  <c r="L612" i="2"/>
  <c r="K612" i="2"/>
  <c r="J612" i="2"/>
  <c r="I612" i="2"/>
  <c r="H612" i="2"/>
  <c r="G612" i="2"/>
  <c r="F612" i="2"/>
  <c r="E612" i="2"/>
  <c r="D612" i="2"/>
  <c r="C612" i="2"/>
  <c r="B612" i="2"/>
  <c r="A612" i="2"/>
  <c r="AX611" i="2"/>
  <c r="AV611" i="2"/>
  <c r="AU611" i="2"/>
  <c r="AT611" i="2"/>
  <c r="AS611" i="2"/>
  <c r="AR611" i="2"/>
  <c r="AQ611" i="2"/>
  <c r="AP611" i="2"/>
  <c r="AO611" i="2"/>
  <c r="AN611" i="2"/>
  <c r="AM611" i="2"/>
  <c r="AK611" i="2"/>
  <c r="AJ611" i="2"/>
  <c r="AI611" i="2"/>
  <c r="AH611" i="2"/>
  <c r="AG611" i="2"/>
  <c r="AE611" i="2"/>
  <c r="AC611" i="2"/>
  <c r="AA611" i="2"/>
  <c r="Z611" i="2"/>
  <c r="Y611" i="2"/>
  <c r="X611" i="2"/>
  <c r="W611" i="2"/>
  <c r="V611" i="2"/>
  <c r="U611" i="2"/>
  <c r="T611" i="2"/>
  <c r="S611" i="2"/>
  <c r="R611" i="2"/>
  <c r="Q611" i="2"/>
  <c r="P611" i="2"/>
  <c r="O611" i="2"/>
  <c r="N611" i="2"/>
  <c r="M611" i="2"/>
  <c r="L611" i="2"/>
  <c r="K611" i="2"/>
  <c r="J611" i="2"/>
  <c r="I611" i="2"/>
  <c r="H611" i="2"/>
  <c r="G611" i="2"/>
  <c r="F611" i="2"/>
  <c r="E611" i="2"/>
  <c r="D611" i="2"/>
  <c r="C611" i="2"/>
  <c r="B611" i="2"/>
  <c r="A611" i="2"/>
  <c r="AX610" i="2"/>
  <c r="AV610" i="2"/>
  <c r="AU610" i="2"/>
  <c r="AT610" i="2"/>
  <c r="AS610" i="2"/>
  <c r="AR610" i="2"/>
  <c r="AO610" i="2"/>
  <c r="AN610" i="2"/>
  <c r="AM610" i="2"/>
  <c r="AL610" i="2"/>
  <c r="AK610" i="2"/>
  <c r="AJ610" i="2"/>
  <c r="AI610" i="2"/>
  <c r="AH610" i="2"/>
  <c r="AG610" i="2"/>
  <c r="AE610" i="2"/>
  <c r="AD610" i="2"/>
  <c r="AC610" i="2"/>
  <c r="Z610" i="2"/>
  <c r="Y610" i="2"/>
  <c r="X610" i="2"/>
  <c r="V610" i="2"/>
  <c r="U610" i="2"/>
  <c r="T610" i="2"/>
  <c r="S610" i="2"/>
  <c r="R610" i="2"/>
  <c r="Q610" i="2"/>
  <c r="P610" i="2"/>
  <c r="O610" i="2"/>
  <c r="N610" i="2"/>
  <c r="M610" i="2"/>
  <c r="L610" i="2"/>
  <c r="K610" i="2"/>
  <c r="J610" i="2"/>
  <c r="I610" i="2"/>
  <c r="H610" i="2"/>
  <c r="G610" i="2"/>
  <c r="F610" i="2"/>
  <c r="E610" i="2"/>
  <c r="D610" i="2"/>
  <c r="C610" i="2"/>
  <c r="B610" i="2"/>
  <c r="A610" i="2"/>
  <c r="AX609" i="2"/>
  <c r="AV609" i="2"/>
  <c r="AU609" i="2"/>
  <c r="AT609" i="2"/>
  <c r="AS609" i="2"/>
  <c r="AR609" i="2"/>
  <c r="AO609" i="2"/>
  <c r="AN609" i="2"/>
  <c r="AM609" i="2"/>
  <c r="AK609" i="2"/>
  <c r="AJ609" i="2"/>
  <c r="AI609" i="2"/>
  <c r="AH609" i="2"/>
  <c r="AG609" i="2"/>
  <c r="AE609" i="2"/>
  <c r="AC609" i="2"/>
  <c r="Z609" i="2"/>
  <c r="Y609" i="2"/>
  <c r="X609" i="2"/>
  <c r="W609" i="2"/>
  <c r="V609" i="2"/>
  <c r="U609" i="2"/>
  <c r="T609" i="2"/>
  <c r="S609" i="2"/>
  <c r="R609" i="2"/>
  <c r="Q609" i="2"/>
  <c r="P609" i="2"/>
  <c r="O609" i="2"/>
  <c r="N609" i="2"/>
  <c r="M609" i="2"/>
  <c r="L609" i="2"/>
  <c r="K609" i="2"/>
  <c r="J609" i="2"/>
  <c r="I609" i="2"/>
  <c r="H609" i="2"/>
  <c r="G609" i="2"/>
  <c r="F609" i="2"/>
  <c r="E609" i="2"/>
  <c r="D609" i="2"/>
  <c r="C609" i="2"/>
  <c r="B609" i="2"/>
  <c r="A609" i="2"/>
  <c r="AX608" i="2"/>
  <c r="AV608" i="2"/>
  <c r="AU608" i="2"/>
  <c r="AT608" i="2"/>
  <c r="AS608" i="2"/>
  <c r="AR608" i="2"/>
  <c r="AQ608" i="2"/>
  <c r="AP608" i="2"/>
  <c r="AN608" i="2"/>
  <c r="AM608" i="2"/>
  <c r="AI608" i="2"/>
  <c r="AH608" i="2"/>
  <c r="AG608" i="2"/>
  <c r="AE608" i="2"/>
  <c r="AD608" i="2"/>
  <c r="AC608" i="2"/>
  <c r="Z608" i="2"/>
  <c r="Y608" i="2"/>
  <c r="X608" i="2"/>
  <c r="W608" i="2"/>
  <c r="V608" i="2"/>
  <c r="U608" i="2"/>
  <c r="T608" i="2"/>
  <c r="S608" i="2"/>
  <c r="R608" i="2"/>
  <c r="Q608" i="2"/>
  <c r="P608" i="2"/>
  <c r="O608" i="2"/>
  <c r="N608" i="2"/>
  <c r="M608" i="2"/>
  <c r="L608" i="2"/>
  <c r="K608" i="2"/>
  <c r="J608" i="2"/>
  <c r="I608" i="2"/>
  <c r="H608" i="2"/>
  <c r="G608" i="2"/>
  <c r="F608" i="2"/>
  <c r="E608" i="2"/>
  <c r="D608" i="2"/>
  <c r="C608" i="2"/>
  <c r="B608" i="2"/>
  <c r="A608" i="2"/>
  <c r="AX607" i="2"/>
  <c r="AV607" i="2"/>
  <c r="AU607" i="2"/>
  <c r="AT607" i="2"/>
  <c r="AS607" i="2"/>
  <c r="AR607" i="2"/>
  <c r="AO607" i="2"/>
  <c r="AN607" i="2"/>
  <c r="AM607" i="2"/>
  <c r="AK607" i="2"/>
  <c r="AI607" i="2"/>
  <c r="AH607" i="2"/>
  <c r="AG607" i="2"/>
  <c r="AF607" i="2"/>
  <c r="AE607" i="2"/>
  <c r="AC607" i="2"/>
  <c r="Z607" i="2"/>
  <c r="Y607" i="2"/>
  <c r="X607" i="2"/>
  <c r="W607" i="2"/>
  <c r="V607" i="2"/>
  <c r="U607" i="2"/>
  <c r="T607" i="2"/>
  <c r="S607" i="2"/>
  <c r="R607" i="2"/>
  <c r="Q607" i="2"/>
  <c r="P607" i="2"/>
  <c r="O607" i="2"/>
  <c r="N607" i="2"/>
  <c r="M607" i="2"/>
  <c r="L607" i="2"/>
  <c r="K607" i="2"/>
  <c r="J607" i="2"/>
  <c r="I607" i="2"/>
  <c r="H607" i="2"/>
  <c r="G607" i="2"/>
  <c r="F607" i="2"/>
  <c r="E607" i="2"/>
  <c r="D607" i="2"/>
  <c r="C607" i="2"/>
  <c r="B607" i="2"/>
  <c r="A607" i="2"/>
  <c r="AX606" i="2"/>
  <c r="AV606" i="2"/>
  <c r="AU606" i="2"/>
  <c r="AT606" i="2"/>
  <c r="AS606" i="2"/>
  <c r="AR606" i="2"/>
  <c r="AO606" i="2"/>
  <c r="AN606" i="2"/>
  <c r="AM606" i="2"/>
  <c r="AK606" i="2"/>
  <c r="AI606" i="2"/>
  <c r="AH606" i="2"/>
  <c r="AG606" i="2"/>
  <c r="AE606" i="2"/>
  <c r="AD606" i="2"/>
  <c r="AC606" i="2"/>
  <c r="Z606" i="2"/>
  <c r="Y606" i="2"/>
  <c r="X606" i="2"/>
  <c r="V606" i="2"/>
  <c r="U606" i="2"/>
  <c r="T606" i="2"/>
  <c r="S606" i="2"/>
  <c r="R606" i="2"/>
  <c r="Q606" i="2"/>
  <c r="P606" i="2"/>
  <c r="O606" i="2"/>
  <c r="N606" i="2"/>
  <c r="M606" i="2"/>
  <c r="L606" i="2"/>
  <c r="K606" i="2"/>
  <c r="J606" i="2"/>
  <c r="I606" i="2"/>
  <c r="H606" i="2"/>
  <c r="G606" i="2"/>
  <c r="F606" i="2"/>
  <c r="E606" i="2"/>
  <c r="D606" i="2"/>
  <c r="C606" i="2"/>
  <c r="B606" i="2"/>
  <c r="A606" i="2"/>
  <c r="AX605" i="2"/>
  <c r="AV605" i="2"/>
  <c r="AU605" i="2"/>
  <c r="AT605" i="2"/>
  <c r="AS605" i="2"/>
  <c r="AR605" i="2"/>
  <c r="AO605" i="2"/>
  <c r="AN605" i="2"/>
  <c r="AM605" i="2"/>
  <c r="AL605" i="2"/>
  <c r="AK605" i="2"/>
  <c r="AJ605" i="2"/>
  <c r="AI605" i="2"/>
  <c r="AH605" i="2"/>
  <c r="AG605" i="2"/>
  <c r="AE605" i="2"/>
  <c r="AD605" i="2"/>
  <c r="AC605" i="2"/>
  <c r="Z605" i="2"/>
  <c r="Y605" i="2"/>
  <c r="X605" i="2"/>
  <c r="W605" i="2"/>
  <c r="V605" i="2"/>
  <c r="U605" i="2"/>
  <c r="T605" i="2"/>
  <c r="S605" i="2"/>
  <c r="R605" i="2"/>
  <c r="Q605" i="2"/>
  <c r="P605" i="2"/>
  <c r="O605" i="2"/>
  <c r="N605" i="2"/>
  <c r="M605" i="2"/>
  <c r="L605" i="2"/>
  <c r="K605" i="2"/>
  <c r="J605" i="2"/>
  <c r="I605" i="2"/>
  <c r="H605" i="2"/>
  <c r="G605" i="2"/>
  <c r="F605" i="2"/>
  <c r="E605" i="2"/>
  <c r="D605" i="2"/>
  <c r="C605" i="2"/>
  <c r="B605" i="2"/>
  <c r="A605" i="2"/>
  <c r="AX604" i="2"/>
  <c r="AV604" i="2"/>
  <c r="AU604" i="2"/>
  <c r="AT604" i="2"/>
  <c r="AS604" i="2"/>
  <c r="AR604" i="2"/>
  <c r="AO604" i="2"/>
  <c r="AN604" i="2"/>
  <c r="AM604" i="2"/>
  <c r="AK604" i="2"/>
  <c r="AJ604" i="2"/>
  <c r="AI604" i="2"/>
  <c r="AH604" i="2"/>
  <c r="AG604" i="2"/>
  <c r="AE604" i="2"/>
  <c r="AC604" i="2"/>
  <c r="Z604" i="2"/>
  <c r="Y604" i="2"/>
  <c r="X604" i="2"/>
  <c r="W604" i="2"/>
  <c r="V604" i="2"/>
  <c r="U604" i="2"/>
  <c r="T604" i="2"/>
  <c r="S604" i="2"/>
  <c r="R604" i="2"/>
  <c r="Q604" i="2"/>
  <c r="P604" i="2"/>
  <c r="O604" i="2"/>
  <c r="N604" i="2"/>
  <c r="M604" i="2"/>
  <c r="L604" i="2"/>
  <c r="K604" i="2"/>
  <c r="J604" i="2"/>
  <c r="I604" i="2"/>
  <c r="H604" i="2"/>
  <c r="G604" i="2"/>
  <c r="F604" i="2"/>
  <c r="E604" i="2"/>
  <c r="D604" i="2"/>
  <c r="C604" i="2"/>
  <c r="B604" i="2"/>
  <c r="A604" i="2"/>
  <c r="AX603" i="2"/>
  <c r="AV603" i="2"/>
  <c r="AU603" i="2"/>
  <c r="AT603" i="2"/>
  <c r="AS603" i="2"/>
  <c r="AR603" i="2"/>
  <c r="AO603" i="2"/>
  <c r="AN603" i="2"/>
  <c r="AM603" i="2"/>
  <c r="AL603" i="2"/>
  <c r="AK603" i="2"/>
  <c r="AJ603" i="2"/>
  <c r="AI603" i="2"/>
  <c r="AH603" i="2"/>
  <c r="AG603" i="2"/>
  <c r="AE603" i="2"/>
  <c r="AD603" i="2"/>
  <c r="AC603" i="2"/>
  <c r="AA603" i="2"/>
  <c r="Z603" i="2"/>
  <c r="Y603" i="2"/>
  <c r="X603" i="2"/>
  <c r="W603" i="2"/>
  <c r="V603" i="2"/>
  <c r="U603" i="2"/>
  <c r="T603" i="2"/>
  <c r="S603" i="2"/>
  <c r="R603" i="2"/>
  <c r="Q603" i="2"/>
  <c r="P603" i="2"/>
  <c r="O603" i="2"/>
  <c r="N603" i="2"/>
  <c r="M603" i="2"/>
  <c r="L603" i="2"/>
  <c r="K603" i="2"/>
  <c r="J603" i="2"/>
  <c r="I603" i="2"/>
  <c r="H603" i="2"/>
  <c r="G603" i="2"/>
  <c r="F603" i="2"/>
  <c r="E603" i="2"/>
  <c r="D603" i="2"/>
  <c r="C603" i="2"/>
  <c r="B603" i="2"/>
  <c r="A603" i="2"/>
  <c r="AX602" i="2"/>
  <c r="AV602" i="2"/>
  <c r="AU602" i="2"/>
  <c r="AT602" i="2"/>
  <c r="AS602" i="2"/>
  <c r="AR602" i="2"/>
  <c r="AO602" i="2"/>
  <c r="AN602" i="2"/>
  <c r="AM602" i="2"/>
  <c r="AK602" i="2"/>
  <c r="AJ602" i="2"/>
  <c r="AI602" i="2"/>
  <c r="AH602" i="2"/>
  <c r="AG602" i="2"/>
  <c r="AE602" i="2"/>
  <c r="AD602" i="2"/>
  <c r="AC602" i="2"/>
  <c r="Z602" i="2"/>
  <c r="Y602" i="2"/>
  <c r="X602" i="2"/>
  <c r="W602" i="2"/>
  <c r="V602" i="2"/>
  <c r="U602" i="2"/>
  <c r="T602" i="2"/>
  <c r="S602" i="2"/>
  <c r="R602" i="2"/>
  <c r="Q602" i="2"/>
  <c r="P602" i="2"/>
  <c r="O602" i="2"/>
  <c r="N602" i="2"/>
  <c r="M602" i="2"/>
  <c r="L602" i="2"/>
  <c r="K602" i="2"/>
  <c r="J602" i="2"/>
  <c r="I602" i="2"/>
  <c r="H602" i="2"/>
  <c r="G602" i="2"/>
  <c r="F602" i="2"/>
  <c r="E602" i="2"/>
  <c r="D602" i="2"/>
  <c r="C602" i="2"/>
  <c r="B602" i="2"/>
  <c r="A602" i="2"/>
  <c r="AX601" i="2"/>
  <c r="AV601" i="2"/>
  <c r="AU601" i="2"/>
  <c r="AT601" i="2"/>
  <c r="AS601" i="2"/>
  <c r="AR601" i="2"/>
  <c r="AO601" i="2"/>
  <c r="AN601" i="2"/>
  <c r="AM601" i="2"/>
  <c r="AL601" i="2"/>
  <c r="AK601" i="2"/>
  <c r="AJ601" i="2"/>
  <c r="AI601" i="2"/>
  <c r="AH601" i="2"/>
  <c r="AG601" i="2"/>
  <c r="AE601" i="2"/>
  <c r="AD601" i="2"/>
  <c r="AC601" i="2"/>
  <c r="AA601" i="2"/>
  <c r="Z601" i="2"/>
  <c r="Y601" i="2"/>
  <c r="X601" i="2"/>
  <c r="W601" i="2"/>
  <c r="V601" i="2"/>
  <c r="U601" i="2"/>
  <c r="T601" i="2"/>
  <c r="S601" i="2"/>
  <c r="R601" i="2"/>
  <c r="Q601" i="2"/>
  <c r="P601" i="2"/>
  <c r="O601" i="2"/>
  <c r="N601" i="2"/>
  <c r="M601" i="2"/>
  <c r="L601" i="2"/>
  <c r="K601" i="2"/>
  <c r="J601" i="2"/>
  <c r="I601" i="2"/>
  <c r="H601" i="2"/>
  <c r="G601" i="2"/>
  <c r="F601" i="2"/>
  <c r="E601" i="2"/>
  <c r="D601" i="2"/>
  <c r="C601" i="2"/>
  <c r="B601" i="2"/>
  <c r="A601" i="2"/>
  <c r="AX600" i="2"/>
  <c r="AV600" i="2"/>
  <c r="AU600" i="2"/>
  <c r="AT600" i="2"/>
  <c r="AS600" i="2"/>
  <c r="AR600" i="2"/>
  <c r="AO600" i="2"/>
  <c r="AN600" i="2"/>
  <c r="AM600" i="2"/>
  <c r="AK600" i="2"/>
  <c r="AJ600" i="2"/>
  <c r="AI600" i="2"/>
  <c r="AH600" i="2"/>
  <c r="AG600" i="2"/>
  <c r="AD600" i="2"/>
  <c r="AC600" i="2"/>
  <c r="AA600" i="2"/>
  <c r="Z600" i="2"/>
  <c r="Y600" i="2"/>
  <c r="X600" i="2"/>
  <c r="W600" i="2"/>
  <c r="V600" i="2"/>
  <c r="U600" i="2"/>
  <c r="T600" i="2"/>
  <c r="S600" i="2"/>
  <c r="R600" i="2"/>
  <c r="Q600" i="2"/>
  <c r="P600" i="2"/>
  <c r="O600" i="2"/>
  <c r="N600" i="2"/>
  <c r="M600" i="2"/>
  <c r="L600" i="2"/>
  <c r="K600" i="2"/>
  <c r="J600" i="2"/>
  <c r="I600" i="2"/>
  <c r="H600" i="2"/>
  <c r="G600" i="2"/>
  <c r="F600" i="2"/>
  <c r="E600" i="2"/>
  <c r="D600" i="2"/>
  <c r="C600" i="2"/>
  <c r="B600" i="2"/>
  <c r="A600" i="2"/>
  <c r="AX599" i="2"/>
  <c r="AV599" i="2"/>
  <c r="AU599" i="2"/>
  <c r="AT599" i="2"/>
  <c r="AS599" i="2"/>
  <c r="AR599" i="2"/>
  <c r="AP599" i="2"/>
  <c r="AO599" i="2"/>
  <c r="AN599" i="2"/>
  <c r="AM599" i="2"/>
  <c r="AL599" i="2"/>
  <c r="AK599" i="2"/>
  <c r="AJ599" i="2"/>
  <c r="AI599" i="2"/>
  <c r="AH599" i="2"/>
  <c r="AG599" i="2"/>
  <c r="AE599" i="2"/>
  <c r="AD599" i="2"/>
  <c r="AC599" i="2"/>
  <c r="AB599" i="2"/>
  <c r="AA599" i="2"/>
  <c r="Z599" i="2"/>
  <c r="Y599" i="2"/>
  <c r="X599" i="2"/>
  <c r="W599" i="2"/>
  <c r="V599" i="2"/>
  <c r="U599" i="2"/>
  <c r="T599" i="2"/>
  <c r="S599" i="2"/>
  <c r="R599" i="2"/>
  <c r="Q599" i="2"/>
  <c r="P599" i="2"/>
  <c r="O599" i="2"/>
  <c r="N599" i="2"/>
  <c r="M599" i="2"/>
  <c r="L599" i="2"/>
  <c r="K599" i="2"/>
  <c r="J599" i="2"/>
  <c r="I599" i="2"/>
  <c r="H599" i="2"/>
  <c r="G599" i="2"/>
  <c r="F599" i="2"/>
  <c r="E599" i="2"/>
  <c r="D599" i="2"/>
  <c r="C599" i="2"/>
  <c r="B599" i="2"/>
  <c r="A599" i="2"/>
  <c r="AX598" i="2"/>
  <c r="AV598" i="2"/>
  <c r="AU598" i="2"/>
  <c r="AT598" i="2"/>
  <c r="AS598" i="2"/>
  <c r="AR598" i="2"/>
  <c r="AP598" i="2"/>
  <c r="AO598" i="2"/>
  <c r="AN598" i="2"/>
  <c r="AM598" i="2"/>
  <c r="AK598" i="2"/>
  <c r="AJ598" i="2"/>
  <c r="AI598" i="2"/>
  <c r="AH598" i="2"/>
  <c r="AG598" i="2"/>
  <c r="AE598" i="2"/>
  <c r="AC598" i="2"/>
  <c r="AB598" i="2"/>
  <c r="Z598" i="2"/>
  <c r="Y598" i="2"/>
  <c r="X598" i="2"/>
  <c r="W598" i="2"/>
  <c r="V598" i="2"/>
  <c r="U598" i="2"/>
  <c r="T598" i="2"/>
  <c r="S598" i="2"/>
  <c r="R598" i="2"/>
  <c r="Q598" i="2"/>
  <c r="P598" i="2"/>
  <c r="O598" i="2"/>
  <c r="N598" i="2"/>
  <c r="M598" i="2"/>
  <c r="L598" i="2"/>
  <c r="K598" i="2"/>
  <c r="J598" i="2"/>
  <c r="I598" i="2"/>
  <c r="H598" i="2"/>
  <c r="G598" i="2"/>
  <c r="F598" i="2"/>
  <c r="E598" i="2"/>
  <c r="D598" i="2"/>
  <c r="C598" i="2"/>
  <c r="B598" i="2"/>
  <c r="A598" i="2"/>
  <c r="AX597" i="2"/>
  <c r="AV597" i="2"/>
  <c r="AU597" i="2"/>
  <c r="AT597" i="2"/>
  <c r="AR597" i="2"/>
  <c r="AO597" i="2"/>
  <c r="AN597" i="2"/>
  <c r="AM597" i="2"/>
  <c r="AK597" i="2"/>
  <c r="AJ597" i="2"/>
  <c r="AI597" i="2"/>
  <c r="AH597" i="2"/>
  <c r="AG597" i="2"/>
  <c r="AD597" i="2"/>
  <c r="AC597" i="2"/>
  <c r="AB597" i="2"/>
  <c r="AA597" i="2"/>
  <c r="Z597" i="2"/>
  <c r="Y597" i="2"/>
  <c r="X597" i="2"/>
  <c r="W597" i="2"/>
  <c r="V597" i="2"/>
  <c r="U597" i="2"/>
  <c r="T597" i="2"/>
  <c r="S597" i="2"/>
  <c r="R597" i="2"/>
  <c r="Q597" i="2"/>
  <c r="P597" i="2"/>
  <c r="O597" i="2"/>
  <c r="N597" i="2"/>
  <c r="M597" i="2"/>
  <c r="L597" i="2"/>
  <c r="K597" i="2"/>
  <c r="J597" i="2"/>
  <c r="I597" i="2"/>
  <c r="H597" i="2"/>
  <c r="G597" i="2"/>
  <c r="F597" i="2"/>
  <c r="E597" i="2"/>
  <c r="D597" i="2"/>
  <c r="C597" i="2"/>
  <c r="B597" i="2"/>
  <c r="A597" i="2"/>
  <c r="AX596" i="2"/>
  <c r="AV596" i="2"/>
  <c r="AU596" i="2"/>
  <c r="AT596" i="2"/>
  <c r="AS596" i="2"/>
  <c r="AR596" i="2"/>
  <c r="AO596" i="2"/>
  <c r="AN596" i="2"/>
  <c r="AM596" i="2"/>
  <c r="AL596" i="2"/>
  <c r="AK596" i="2"/>
  <c r="AJ596" i="2"/>
  <c r="AI596" i="2"/>
  <c r="AH596" i="2"/>
  <c r="AG596" i="2"/>
  <c r="AE596" i="2"/>
  <c r="AD596" i="2"/>
  <c r="AC596" i="2"/>
  <c r="AB596" i="2"/>
  <c r="AA596" i="2"/>
  <c r="Z596" i="2"/>
  <c r="Y596" i="2"/>
  <c r="X596" i="2"/>
  <c r="W596" i="2"/>
  <c r="V596" i="2"/>
  <c r="U596" i="2"/>
  <c r="T596" i="2"/>
  <c r="S596" i="2"/>
  <c r="Q596" i="2"/>
  <c r="P596" i="2"/>
  <c r="O596" i="2"/>
  <c r="N596" i="2"/>
  <c r="M596" i="2"/>
  <c r="L596" i="2"/>
  <c r="K596" i="2"/>
  <c r="J596" i="2"/>
  <c r="I596" i="2"/>
  <c r="H596" i="2"/>
  <c r="G596" i="2"/>
  <c r="F596" i="2"/>
  <c r="E596" i="2"/>
  <c r="D596" i="2"/>
  <c r="C596" i="2"/>
  <c r="B596" i="2"/>
  <c r="A596" i="2"/>
  <c r="AX595" i="2"/>
  <c r="AV595" i="2"/>
  <c r="AU595" i="2"/>
  <c r="AT595" i="2"/>
  <c r="AS595" i="2"/>
  <c r="AR595" i="2"/>
  <c r="AQ595" i="2"/>
  <c r="AP595" i="2"/>
  <c r="AO595" i="2"/>
  <c r="AN595" i="2"/>
  <c r="AM595" i="2"/>
  <c r="AK595" i="2"/>
  <c r="AJ595" i="2"/>
  <c r="AI595" i="2"/>
  <c r="AH595" i="2"/>
  <c r="AG595" i="2"/>
  <c r="AE595" i="2"/>
  <c r="AD595" i="2"/>
  <c r="AC595" i="2"/>
  <c r="AB595" i="2"/>
  <c r="Z595" i="2"/>
  <c r="Y595" i="2"/>
  <c r="X595" i="2"/>
  <c r="W595" i="2"/>
  <c r="V595" i="2"/>
  <c r="U595" i="2"/>
  <c r="T595" i="2"/>
  <c r="S595" i="2"/>
  <c r="R595" i="2"/>
  <c r="Q595" i="2"/>
  <c r="P595" i="2"/>
  <c r="O595" i="2"/>
  <c r="N595" i="2"/>
  <c r="M595" i="2"/>
  <c r="L595" i="2"/>
  <c r="K595" i="2"/>
  <c r="J595" i="2"/>
  <c r="I595" i="2"/>
  <c r="H595" i="2"/>
  <c r="G595" i="2"/>
  <c r="F595" i="2"/>
  <c r="E595" i="2"/>
  <c r="D595" i="2"/>
  <c r="C595" i="2"/>
  <c r="B595" i="2"/>
  <c r="A595" i="2"/>
  <c r="AX594" i="2"/>
  <c r="AV594" i="2"/>
  <c r="AU594" i="2"/>
  <c r="AT594" i="2"/>
  <c r="AS594" i="2"/>
  <c r="AR594" i="2"/>
  <c r="AO594" i="2"/>
  <c r="AN594" i="2"/>
  <c r="AM594" i="2"/>
  <c r="AK594" i="2"/>
  <c r="AJ594" i="2"/>
  <c r="AI594" i="2"/>
  <c r="AH594" i="2"/>
  <c r="AG594" i="2"/>
  <c r="AC594" i="2"/>
  <c r="AB594" i="2"/>
  <c r="AA594" i="2"/>
  <c r="Z594" i="2"/>
  <c r="Y594" i="2"/>
  <c r="X594" i="2"/>
  <c r="W594" i="2"/>
  <c r="V594" i="2"/>
  <c r="U594" i="2"/>
  <c r="T594" i="2"/>
  <c r="S594" i="2"/>
  <c r="R594" i="2"/>
  <c r="Q594" i="2"/>
  <c r="P594" i="2"/>
  <c r="O594" i="2"/>
  <c r="N594" i="2"/>
  <c r="M594" i="2"/>
  <c r="L594" i="2"/>
  <c r="K594" i="2"/>
  <c r="J594" i="2"/>
  <c r="I594" i="2"/>
  <c r="H594" i="2"/>
  <c r="G594" i="2"/>
  <c r="F594" i="2"/>
  <c r="E594" i="2"/>
  <c r="D594" i="2"/>
  <c r="C594" i="2"/>
  <c r="B594" i="2"/>
  <c r="A594" i="2"/>
  <c r="AX593" i="2"/>
  <c r="AV593" i="2"/>
  <c r="AU593" i="2"/>
  <c r="AT593" i="2"/>
  <c r="AS593" i="2"/>
  <c r="AR593" i="2"/>
  <c r="AO593" i="2"/>
  <c r="AN593" i="2"/>
  <c r="AM593" i="2"/>
  <c r="AL593" i="2"/>
  <c r="AK593" i="2"/>
  <c r="AJ593" i="2"/>
  <c r="AI593" i="2"/>
  <c r="AH593" i="2"/>
  <c r="AG593" i="2"/>
  <c r="AE593" i="2"/>
  <c r="AD593" i="2"/>
  <c r="AC593" i="2"/>
  <c r="AB593" i="2"/>
  <c r="AA593" i="2"/>
  <c r="Z593" i="2"/>
  <c r="Y593" i="2"/>
  <c r="X593" i="2"/>
  <c r="W593" i="2"/>
  <c r="V593" i="2"/>
  <c r="U593" i="2"/>
  <c r="T593" i="2"/>
  <c r="S593" i="2"/>
  <c r="R593" i="2"/>
  <c r="Q593" i="2"/>
  <c r="P593" i="2"/>
  <c r="O593" i="2"/>
  <c r="N593" i="2"/>
  <c r="M593" i="2"/>
  <c r="L593" i="2"/>
  <c r="K593" i="2"/>
  <c r="J593" i="2"/>
  <c r="I593" i="2"/>
  <c r="H593" i="2"/>
  <c r="G593" i="2"/>
  <c r="F593" i="2"/>
  <c r="E593" i="2"/>
  <c r="D593" i="2"/>
  <c r="C593" i="2"/>
  <c r="B593" i="2"/>
  <c r="A593" i="2"/>
  <c r="AX592" i="2"/>
  <c r="AV592" i="2"/>
  <c r="AU592" i="2"/>
  <c r="AT592" i="2"/>
  <c r="AS592" i="2"/>
  <c r="AR592" i="2"/>
  <c r="AO592" i="2"/>
  <c r="AN592" i="2"/>
  <c r="AM592" i="2"/>
  <c r="AK592" i="2"/>
  <c r="AJ592" i="2"/>
  <c r="AI592" i="2"/>
  <c r="AH592" i="2"/>
  <c r="AG592" i="2"/>
  <c r="AE592" i="2"/>
  <c r="AD592" i="2"/>
  <c r="AC592" i="2"/>
  <c r="AB592" i="2"/>
  <c r="AA592" i="2"/>
  <c r="Z592" i="2"/>
  <c r="Y592" i="2"/>
  <c r="X592" i="2"/>
  <c r="W592" i="2"/>
  <c r="V592" i="2"/>
  <c r="U592" i="2"/>
  <c r="T592" i="2"/>
  <c r="S592" i="2"/>
  <c r="R592" i="2"/>
  <c r="Q592" i="2"/>
  <c r="P592" i="2"/>
  <c r="O592" i="2"/>
  <c r="N592" i="2"/>
  <c r="M592" i="2"/>
  <c r="L592" i="2"/>
  <c r="K592" i="2"/>
  <c r="J592" i="2"/>
  <c r="I592" i="2"/>
  <c r="H592" i="2"/>
  <c r="G592" i="2"/>
  <c r="F592" i="2"/>
  <c r="E592" i="2"/>
  <c r="D592" i="2"/>
  <c r="C592" i="2"/>
  <c r="B592" i="2"/>
  <c r="A592" i="2"/>
  <c r="AX591" i="2"/>
  <c r="AV591" i="2"/>
  <c r="AU591" i="2"/>
  <c r="AT591" i="2"/>
  <c r="AS591" i="2"/>
  <c r="AR591" i="2"/>
  <c r="AO591" i="2"/>
  <c r="AN591" i="2"/>
  <c r="AM591" i="2"/>
  <c r="AK591" i="2"/>
  <c r="AJ591" i="2"/>
  <c r="AI591" i="2"/>
  <c r="AH591" i="2"/>
  <c r="AG591" i="2"/>
  <c r="AE591" i="2"/>
  <c r="AC591" i="2"/>
  <c r="AB591" i="2"/>
  <c r="Z591" i="2"/>
  <c r="Y591" i="2"/>
  <c r="X591" i="2"/>
  <c r="W591" i="2"/>
  <c r="V591" i="2"/>
  <c r="U591" i="2"/>
  <c r="T591" i="2"/>
  <c r="S591" i="2"/>
  <c r="R591" i="2"/>
  <c r="Q591" i="2"/>
  <c r="P591" i="2"/>
  <c r="O591" i="2"/>
  <c r="N591" i="2"/>
  <c r="M591" i="2"/>
  <c r="L591" i="2"/>
  <c r="K591" i="2"/>
  <c r="J591" i="2"/>
  <c r="I591" i="2"/>
  <c r="H591" i="2"/>
  <c r="G591" i="2"/>
  <c r="F591" i="2"/>
  <c r="E591" i="2"/>
  <c r="D591" i="2"/>
  <c r="C591" i="2"/>
  <c r="B591" i="2"/>
  <c r="A591" i="2"/>
  <c r="AX590" i="2"/>
  <c r="AV590" i="2"/>
  <c r="AU590" i="2"/>
  <c r="AT590" i="2"/>
  <c r="AS590" i="2"/>
  <c r="AR590" i="2"/>
  <c r="AO590" i="2"/>
  <c r="AN590" i="2"/>
  <c r="AM590" i="2"/>
  <c r="AK590" i="2"/>
  <c r="AJ590" i="2"/>
  <c r="AI590" i="2"/>
  <c r="AH590" i="2"/>
  <c r="AG590" i="2"/>
  <c r="AE590" i="2"/>
  <c r="AD590" i="2"/>
  <c r="AC590" i="2"/>
  <c r="AB590" i="2"/>
  <c r="AA590" i="2"/>
  <c r="Z590" i="2"/>
  <c r="Y590" i="2"/>
  <c r="X590" i="2"/>
  <c r="W590" i="2"/>
  <c r="V590" i="2"/>
  <c r="U590" i="2"/>
  <c r="T590" i="2"/>
  <c r="S590" i="2"/>
  <c r="R590" i="2"/>
  <c r="Q590" i="2"/>
  <c r="P590" i="2"/>
  <c r="O590" i="2"/>
  <c r="N590" i="2"/>
  <c r="M590" i="2"/>
  <c r="L590" i="2"/>
  <c r="K590" i="2"/>
  <c r="J590" i="2"/>
  <c r="I590" i="2"/>
  <c r="H590" i="2"/>
  <c r="G590" i="2"/>
  <c r="F590" i="2"/>
  <c r="E590" i="2"/>
  <c r="D590" i="2"/>
  <c r="C590" i="2"/>
  <c r="B590" i="2"/>
  <c r="A590" i="2"/>
  <c r="AX589" i="2"/>
  <c r="AV589" i="2"/>
  <c r="AU589" i="2"/>
  <c r="AT589" i="2"/>
  <c r="AS589" i="2"/>
  <c r="AR589" i="2"/>
  <c r="AO589" i="2"/>
  <c r="AN589" i="2"/>
  <c r="AM589" i="2"/>
  <c r="AL589" i="2"/>
  <c r="AK589" i="2"/>
  <c r="AJ589" i="2"/>
  <c r="AI589" i="2"/>
  <c r="AH589" i="2"/>
  <c r="AG589" i="2"/>
  <c r="AE589" i="2"/>
  <c r="AD589" i="2"/>
  <c r="AC589" i="2"/>
  <c r="AB589" i="2"/>
  <c r="AA589" i="2"/>
  <c r="Z589" i="2"/>
  <c r="Y589" i="2"/>
  <c r="X589" i="2"/>
  <c r="W589" i="2"/>
  <c r="V589" i="2"/>
  <c r="U589" i="2"/>
  <c r="T589" i="2"/>
  <c r="S589" i="2"/>
  <c r="R589" i="2"/>
  <c r="Q589" i="2"/>
  <c r="P589" i="2"/>
  <c r="O589" i="2"/>
  <c r="N589" i="2"/>
  <c r="M589" i="2"/>
  <c r="L589" i="2"/>
  <c r="K589" i="2"/>
  <c r="J589" i="2"/>
  <c r="I589" i="2"/>
  <c r="H589" i="2"/>
  <c r="G589" i="2"/>
  <c r="F589" i="2"/>
  <c r="E589" i="2"/>
  <c r="D589" i="2"/>
  <c r="C589" i="2"/>
  <c r="B589" i="2"/>
  <c r="A589" i="2"/>
  <c r="AX588" i="2"/>
  <c r="AV588" i="2"/>
  <c r="AU588" i="2"/>
  <c r="AT588" i="2"/>
  <c r="AS588" i="2"/>
  <c r="AR588" i="2"/>
  <c r="AO588" i="2"/>
  <c r="AN588" i="2"/>
  <c r="AM588" i="2"/>
  <c r="AK588" i="2"/>
  <c r="AJ588" i="2"/>
  <c r="AI588" i="2"/>
  <c r="AH588" i="2"/>
  <c r="AG588" i="2"/>
  <c r="AC588" i="2"/>
  <c r="AB588" i="2"/>
  <c r="Z588" i="2"/>
  <c r="Y588" i="2"/>
  <c r="X588" i="2"/>
  <c r="W588" i="2"/>
  <c r="V588" i="2"/>
  <c r="U588" i="2"/>
  <c r="T588" i="2"/>
  <c r="S588" i="2"/>
  <c r="R588" i="2"/>
  <c r="Q588" i="2"/>
  <c r="P588" i="2"/>
  <c r="O588" i="2"/>
  <c r="N588" i="2"/>
  <c r="M588" i="2"/>
  <c r="L588" i="2"/>
  <c r="K588" i="2"/>
  <c r="J588" i="2"/>
  <c r="I588" i="2"/>
  <c r="H588" i="2"/>
  <c r="G588" i="2"/>
  <c r="F588" i="2"/>
  <c r="E588" i="2"/>
  <c r="D588" i="2"/>
  <c r="C588" i="2"/>
  <c r="B588" i="2"/>
  <c r="A588" i="2"/>
  <c r="AX587" i="2"/>
  <c r="AV587" i="2"/>
  <c r="AU587" i="2"/>
  <c r="AT587" i="2"/>
  <c r="AS587" i="2"/>
  <c r="AR587" i="2"/>
  <c r="AO587" i="2"/>
  <c r="AN587" i="2"/>
  <c r="AM587" i="2"/>
  <c r="AK587" i="2"/>
  <c r="AJ587" i="2"/>
  <c r="AI587" i="2"/>
  <c r="AH587" i="2"/>
  <c r="AG587" i="2"/>
  <c r="AE587" i="2"/>
  <c r="AD587" i="2"/>
  <c r="AC587" i="2"/>
  <c r="AB587" i="2"/>
  <c r="AA587" i="2"/>
  <c r="Z587" i="2"/>
  <c r="Y587" i="2"/>
  <c r="X587" i="2"/>
  <c r="W587" i="2"/>
  <c r="V587" i="2"/>
  <c r="U587" i="2"/>
  <c r="T587" i="2"/>
  <c r="S587" i="2"/>
  <c r="R587" i="2"/>
  <c r="Q587" i="2"/>
  <c r="P587" i="2"/>
  <c r="O587" i="2"/>
  <c r="N587" i="2"/>
  <c r="M587" i="2"/>
  <c r="L587" i="2"/>
  <c r="K587" i="2"/>
  <c r="J587" i="2"/>
  <c r="I587" i="2"/>
  <c r="H587" i="2"/>
  <c r="G587" i="2"/>
  <c r="F587" i="2"/>
  <c r="E587" i="2"/>
  <c r="D587" i="2"/>
  <c r="C587" i="2"/>
  <c r="B587" i="2"/>
  <c r="A587" i="2"/>
  <c r="AX586" i="2"/>
  <c r="AV586" i="2"/>
  <c r="AU586" i="2"/>
  <c r="AT586" i="2"/>
  <c r="AS586" i="2"/>
  <c r="AR586" i="2"/>
  <c r="AO586" i="2"/>
  <c r="AN586" i="2"/>
  <c r="AM586" i="2"/>
  <c r="AL586" i="2"/>
  <c r="AK586" i="2"/>
  <c r="AJ586" i="2"/>
  <c r="AI586" i="2"/>
  <c r="AH586" i="2"/>
  <c r="AG586" i="2"/>
  <c r="AE586" i="2"/>
  <c r="AD586" i="2"/>
  <c r="AC586" i="2"/>
  <c r="AB586" i="2"/>
  <c r="AA586" i="2"/>
  <c r="Z586" i="2"/>
  <c r="Y586" i="2"/>
  <c r="X586" i="2"/>
  <c r="W586" i="2"/>
  <c r="V586" i="2"/>
  <c r="U586" i="2"/>
  <c r="T586" i="2"/>
  <c r="S586" i="2"/>
  <c r="R586" i="2"/>
  <c r="Q586" i="2"/>
  <c r="P586" i="2"/>
  <c r="O586" i="2"/>
  <c r="N586" i="2"/>
  <c r="M586" i="2"/>
  <c r="L586" i="2"/>
  <c r="K586" i="2"/>
  <c r="J586" i="2"/>
  <c r="I586" i="2"/>
  <c r="H586" i="2"/>
  <c r="G586" i="2"/>
  <c r="F586" i="2"/>
  <c r="E586" i="2"/>
  <c r="D586" i="2"/>
  <c r="C586" i="2"/>
  <c r="B586" i="2"/>
  <c r="A586" i="2"/>
  <c r="AX585" i="2"/>
  <c r="AV585" i="2"/>
  <c r="AU585" i="2"/>
  <c r="AT585" i="2"/>
  <c r="AR585" i="2"/>
  <c r="AO585" i="2"/>
  <c r="AN585" i="2"/>
  <c r="AM585" i="2"/>
  <c r="AK585" i="2"/>
  <c r="AJ585" i="2"/>
  <c r="AI585" i="2"/>
  <c r="AH585" i="2"/>
  <c r="AG585" i="2"/>
  <c r="AD585" i="2"/>
  <c r="AC585" i="2"/>
  <c r="Z585" i="2"/>
  <c r="Y585" i="2"/>
  <c r="X585" i="2"/>
  <c r="V585" i="2"/>
  <c r="U585" i="2"/>
  <c r="T585" i="2"/>
  <c r="S585" i="2"/>
  <c r="R585" i="2"/>
  <c r="Q585" i="2"/>
  <c r="P585" i="2"/>
  <c r="O585" i="2"/>
  <c r="N585" i="2"/>
  <c r="M585" i="2"/>
  <c r="L585" i="2"/>
  <c r="K585" i="2"/>
  <c r="J585" i="2"/>
  <c r="I585" i="2"/>
  <c r="H585" i="2"/>
  <c r="G585" i="2"/>
  <c r="F585" i="2"/>
  <c r="E585" i="2"/>
  <c r="D585" i="2"/>
  <c r="C585" i="2"/>
  <c r="B585" i="2"/>
  <c r="A585" i="2"/>
  <c r="AX584" i="2"/>
  <c r="AV584" i="2"/>
  <c r="AU584" i="2"/>
  <c r="AT584" i="2"/>
  <c r="AS584" i="2"/>
  <c r="AR584" i="2"/>
  <c r="AO584" i="2"/>
  <c r="AN584" i="2"/>
  <c r="AM584" i="2"/>
  <c r="AL584" i="2"/>
  <c r="AK584" i="2"/>
  <c r="AJ584" i="2"/>
  <c r="AI584" i="2"/>
  <c r="AH584" i="2"/>
  <c r="AG584" i="2"/>
  <c r="AE584" i="2"/>
  <c r="AD584" i="2"/>
  <c r="AC584" i="2"/>
  <c r="AB584" i="2"/>
  <c r="AA584" i="2"/>
  <c r="Z584" i="2"/>
  <c r="Y584" i="2"/>
  <c r="X584" i="2"/>
  <c r="W584" i="2"/>
  <c r="V584" i="2"/>
  <c r="U584" i="2"/>
  <c r="T584" i="2"/>
  <c r="S584" i="2"/>
  <c r="R584" i="2"/>
  <c r="Q584" i="2"/>
  <c r="P584" i="2"/>
  <c r="O584" i="2"/>
  <c r="N584" i="2"/>
  <c r="M584" i="2"/>
  <c r="K584" i="2"/>
  <c r="J584" i="2"/>
  <c r="I584" i="2"/>
  <c r="H584" i="2"/>
  <c r="G584" i="2"/>
  <c r="F584" i="2"/>
  <c r="E584" i="2"/>
  <c r="D584" i="2"/>
  <c r="C584" i="2"/>
  <c r="B584" i="2"/>
  <c r="A584" i="2"/>
  <c r="AX583" i="2"/>
  <c r="AV583" i="2"/>
  <c r="AU583" i="2"/>
  <c r="AT583" i="2"/>
  <c r="AS583" i="2"/>
  <c r="AR583" i="2"/>
  <c r="AO583" i="2"/>
  <c r="AN583" i="2"/>
  <c r="AM583" i="2"/>
  <c r="AL583" i="2"/>
  <c r="AK583" i="2"/>
  <c r="AJ583" i="2"/>
  <c r="AI583" i="2"/>
  <c r="AH583" i="2"/>
  <c r="AG583" i="2"/>
  <c r="AE583" i="2"/>
  <c r="AD583" i="2"/>
  <c r="AC583" i="2"/>
  <c r="AA583" i="2"/>
  <c r="Z583" i="2"/>
  <c r="Y583" i="2"/>
  <c r="X583" i="2"/>
  <c r="W583" i="2"/>
  <c r="V583" i="2"/>
  <c r="U583" i="2"/>
  <c r="T583" i="2"/>
  <c r="S583" i="2"/>
  <c r="R583" i="2"/>
  <c r="Q583" i="2"/>
  <c r="P583" i="2"/>
  <c r="O583" i="2"/>
  <c r="N583" i="2"/>
  <c r="M583" i="2"/>
  <c r="L583" i="2"/>
  <c r="K583" i="2"/>
  <c r="J583" i="2"/>
  <c r="I583" i="2"/>
  <c r="H583" i="2"/>
  <c r="G583" i="2"/>
  <c r="F583" i="2"/>
  <c r="E583" i="2"/>
  <c r="D583" i="2"/>
  <c r="C583" i="2"/>
  <c r="B583" i="2"/>
  <c r="A583" i="2"/>
  <c r="AX582" i="2"/>
  <c r="AV582" i="2"/>
  <c r="AU582" i="2"/>
  <c r="AT582" i="2"/>
  <c r="AS582" i="2"/>
  <c r="AR582" i="2"/>
  <c r="AO582" i="2"/>
  <c r="AN582" i="2"/>
  <c r="AM582" i="2"/>
  <c r="AL582" i="2"/>
  <c r="AJ582" i="2"/>
  <c r="AI582" i="2"/>
  <c r="AH582" i="2"/>
  <c r="AG582" i="2"/>
  <c r="AE582" i="2"/>
  <c r="AD582" i="2"/>
  <c r="AC582" i="2"/>
  <c r="AB582" i="2"/>
  <c r="AA582" i="2"/>
  <c r="Z582" i="2"/>
  <c r="Y582" i="2"/>
  <c r="X582" i="2"/>
  <c r="W582" i="2"/>
  <c r="V582" i="2"/>
  <c r="U582" i="2"/>
  <c r="T582" i="2"/>
  <c r="S582" i="2"/>
  <c r="R582" i="2"/>
  <c r="Q582" i="2"/>
  <c r="P582" i="2"/>
  <c r="O582" i="2"/>
  <c r="N582" i="2"/>
  <c r="M582" i="2"/>
  <c r="L582" i="2"/>
  <c r="K582" i="2"/>
  <c r="J582" i="2"/>
  <c r="I582" i="2"/>
  <c r="H582" i="2"/>
  <c r="G582" i="2"/>
  <c r="F582" i="2"/>
  <c r="E582" i="2"/>
  <c r="D582" i="2"/>
  <c r="C582" i="2"/>
  <c r="B582" i="2"/>
  <c r="A582" i="2"/>
  <c r="AX581" i="2"/>
  <c r="AV581" i="2"/>
  <c r="AU581" i="2"/>
  <c r="AT581" i="2"/>
  <c r="AS581" i="2"/>
  <c r="AR581" i="2"/>
  <c r="AO581" i="2"/>
  <c r="AN581" i="2"/>
  <c r="AM581" i="2"/>
  <c r="AL581" i="2"/>
  <c r="AK581" i="2"/>
  <c r="AJ581" i="2"/>
  <c r="AI581" i="2"/>
  <c r="AH581" i="2"/>
  <c r="AG581" i="2"/>
  <c r="AE581" i="2"/>
  <c r="AD581" i="2"/>
  <c r="Z581" i="2"/>
  <c r="Y581" i="2"/>
  <c r="X581" i="2"/>
  <c r="W581" i="2"/>
  <c r="V581" i="2"/>
  <c r="U581" i="2"/>
  <c r="T581" i="2"/>
  <c r="S581" i="2"/>
  <c r="R581" i="2"/>
  <c r="Q581" i="2"/>
  <c r="P581" i="2"/>
  <c r="O581" i="2"/>
  <c r="N581" i="2"/>
  <c r="M581" i="2"/>
  <c r="L581" i="2"/>
  <c r="K581" i="2"/>
  <c r="J581" i="2"/>
  <c r="I581" i="2"/>
  <c r="H581" i="2"/>
  <c r="G581" i="2"/>
  <c r="F581" i="2"/>
  <c r="E581" i="2"/>
  <c r="D581" i="2"/>
  <c r="C581" i="2"/>
  <c r="B581" i="2"/>
  <c r="A581" i="2"/>
  <c r="AX580" i="2"/>
  <c r="AV580" i="2"/>
  <c r="AU580" i="2"/>
  <c r="AT580" i="2"/>
  <c r="AS580" i="2"/>
  <c r="AR580" i="2"/>
  <c r="AQ580" i="2"/>
  <c r="AP580" i="2"/>
  <c r="AO580" i="2"/>
  <c r="AN580" i="2"/>
  <c r="AM580" i="2"/>
  <c r="AK580" i="2"/>
  <c r="AJ580" i="2"/>
  <c r="AI580" i="2"/>
  <c r="AH580" i="2"/>
  <c r="AG580" i="2"/>
  <c r="AC580" i="2"/>
  <c r="Z580" i="2"/>
  <c r="Y580" i="2"/>
  <c r="X580" i="2"/>
  <c r="W580" i="2"/>
  <c r="V580" i="2"/>
  <c r="U580" i="2"/>
  <c r="T580" i="2"/>
  <c r="S580" i="2"/>
  <c r="R580" i="2"/>
  <c r="Q580" i="2"/>
  <c r="P580" i="2"/>
  <c r="O580" i="2"/>
  <c r="N580" i="2"/>
  <c r="M580" i="2"/>
  <c r="L580" i="2"/>
  <c r="K580" i="2"/>
  <c r="J580" i="2"/>
  <c r="I580" i="2"/>
  <c r="H580" i="2"/>
  <c r="G580" i="2"/>
  <c r="F580" i="2"/>
  <c r="E580" i="2"/>
  <c r="D580" i="2"/>
  <c r="C580" i="2"/>
  <c r="B580" i="2"/>
  <c r="A580" i="2"/>
  <c r="AX579" i="2"/>
  <c r="AV579" i="2"/>
  <c r="AU579" i="2"/>
  <c r="AT579" i="2"/>
  <c r="AR579" i="2"/>
  <c r="AO579" i="2"/>
  <c r="AN579" i="2"/>
  <c r="AM579" i="2"/>
  <c r="AK579" i="2"/>
  <c r="AJ579" i="2"/>
  <c r="AI579" i="2"/>
  <c r="AH579" i="2"/>
  <c r="AG579" i="2"/>
  <c r="AC579" i="2"/>
  <c r="AB579" i="2"/>
  <c r="AA579" i="2"/>
  <c r="Z579" i="2"/>
  <c r="Y579" i="2"/>
  <c r="X579" i="2"/>
  <c r="W579" i="2"/>
  <c r="V579" i="2"/>
  <c r="U579" i="2"/>
  <c r="T579" i="2"/>
  <c r="S579" i="2"/>
  <c r="R579" i="2"/>
  <c r="Q579" i="2"/>
  <c r="P579" i="2"/>
  <c r="O579" i="2"/>
  <c r="N579" i="2"/>
  <c r="M579" i="2"/>
  <c r="L579" i="2"/>
  <c r="K579" i="2"/>
  <c r="J579" i="2"/>
  <c r="I579" i="2"/>
  <c r="H579" i="2"/>
  <c r="G579" i="2"/>
  <c r="F579" i="2"/>
  <c r="E579" i="2"/>
  <c r="D579" i="2"/>
  <c r="C579" i="2"/>
  <c r="B579" i="2"/>
  <c r="A579" i="2"/>
  <c r="AX578" i="2"/>
  <c r="AV578" i="2"/>
  <c r="AU578" i="2"/>
  <c r="AT578" i="2"/>
  <c r="AS578" i="2"/>
  <c r="AR578" i="2"/>
  <c r="AP578" i="2"/>
  <c r="AO578" i="2"/>
  <c r="AN578" i="2"/>
  <c r="AM578" i="2"/>
  <c r="AJ578" i="2"/>
  <c r="AI578" i="2"/>
  <c r="AH578" i="2"/>
  <c r="AG578" i="2"/>
  <c r="AC578" i="2"/>
  <c r="Z578" i="2"/>
  <c r="Y578" i="2"/>
  <c r="X578" i="2"/>
  <c r="W578" i="2"/>
  <c r="V578" i="2"/>
  <c r="U578" i="2"/>
  <c r="T578" i="2"/>
  <c r="S578" i="2"/>
  <c r="R578" i="2"/>
  <c r="Q578" i="2"/>
  <c r="P578" i="2"/>
  <c r="O578" i="2"/>
  <c r="N578" i="2"/>
  <c r="M578" i="2"/>
  <c r="L578" i="2"/>
  <c r="K578" i="2"/>
  <c r="J578" i="2"/>
  <c r="I578" i="2"/>
  <c r="H578" i="2"/>
  <c r="G578" i="2"/>
  <c r="F578" i="2"/>
  <c r="E578" i="2"/>
  <c r="D578" i="2"/>
  <c r="C578" i="2"/>
  <c r="B578" i="2"/>
  <c r="A578" i="2"/>
  <c r="AX577" i="2"/>
  <c r="AV577" i="2"/>
  <c r="AU577" i="2"/>
  <c r="AT577" i="2"/>
  <c r="AS577" i="2"/>
  <c r="AR577" i="2"/>
  <c r="AO577" i="2"/>
  <c r="AN577" i="2"/>
  <c r="AM577" i="2"/>
  <c r="AL577" i="2"/>
  <c r="AK577" i="2"/>
  <c r="AJ577" i="2"/>
  <c r="AI577" i="2"/>
  <c r="AH577" i="2"/>
  <c r="AG577" i="2"/>
  <c r="AE577" i="2"/>
  <c r="AD577" i="2"/>
  <c r="AC577" i="2"/>
  <c r="AB577" i="2"/>
  <c r="AA577" i="2"/>
  <c r="Z577" i="2"/>
  <c r="Y577" i="2"/>
  <c r="X577" i="2"/>
  <c r="W577" i="2"/>
  <c r="V577" i="2"/>
  <c r="U577" i="2"/>
  <c r="T577" i="2"/>
  <c r="S577" i="2"/>
  <c r="R577" i="2"/>
  <c r="Q577" i="2"/>
  <c r="P577" i="2"/>
  <c r="O577" i="2"/>
  <c r="N577" i="2"/>
  <c r="M577" i="2"/>
  <c r="L577" i="2"/>
  <c r="K577" i="2"/>
  <c r="J577" i="2"/>
  <c r="I577" i="2"/>
  <c r="H577" i="2"/>
  <c r="G577" i="2"/>
  <c r="F577" i="2"/>
  <c r="E577" i="2"/>
  <c r="D577" i="2"/>
  <c r="C577" i="2"/>
  <c r="B577" i="2"/>
  <c r="A577" i="2"/>
  <c r="AX576" i="2"/>
  <c r="AV576" i="2"/>
  <c r="AU576" i="2"/>
  <c r="AT576" i="2"/>
  <c r="AS576" i="2"/>
  <c r="AR576" i="2"/>
  <c r="AO576" i="2"/>
  <c r="AN576" i="2"/>
  <c r="AM576" i="2"/>
  <c r="AJ576" i="2"/>
  <c r="AI576" i="2"/>
  <c r="AH576" i="2"/>
  <c r="AG576" i="2"/>
  <c r="AC576" i="2"/>
  <c r="Z576" i="2"/>
  <c r="Y576" i="2"/>
  <c r="X576" i="2"/>
  <c r="W576" i="2"/>
  <c r="V576" i="2"/>
  <c r="U576" i="2"/>
  <c r="T576" i="2"/>
  <c r="S576" i="2"/>
  <c r="R576" i="2"/>
  <c r="Q576" i="2"/>
  <c r="P576" i="2"/>
  <c r="O576" i="2"/>
  <c r="N576" i="2"/>
  <c r="M576" i="2"/>
  <c r="L576" i="2"/>
  <c r="K576" i="2"/>
  <c r="J576" i="2"/>
  <c r="I576" i="2"/>
  <c r="H576" i="2"/>
  <c r="G576" i="2"/>
  <c r="F576" i="2"/>
  <c r="E576" i="2"/>
  <c r="D576" i="2"/>
  <c r="C576" i="2"/>
  <c r="B576" i="2"/>
  <c r="A576" i="2"/>
  <c r="AX575" i="2"/>
  <c r="AV575" i="2"/>
  <c r="AU575" i="2"/>
  <c r="AT575" i="2"/>
  <c r="AS575" i="2"/>
  <c r="AR575" i="2"/>
  <c r="AO575" i="2"/>
  <c r="AN575" i="2"/>
  <c r="AM575" i="2"/>
  <c r="AL575" i="2"/>
  <c r="AK575" i="2"/>
  <c r="AJ575" i="2"/>
  <c r="AI575" i="2"/>
  <c r="AH575" i="2"/>
  <c r="AG575" i="2"/>
  <c r="AE575" i="2"/>
  <c r="AD575" i="2"/>
  <c r="AC575" i="2"/>
  <c r="AB575" i="2"/>
  <c r="AA575" i="2"/>
  <c r="Z575" i="2"/>
  <c r="Y575" i="2"/>
  <c r="X575" i="2"/>
  <c r="W575" i="2"/>
  <c r="V575" i="2"/>
  <c r="U575" i="2"/>
  <c r="T575" i="2"/>
  <c r="S575" i="2"/>
  <c r="R575" i="2"/>
  <c r="Q575" i="2"/>
  <c r="P575" i="2"/>
  <c r="O575" i="2"/>
  <c r="N575" i="2"/>
  <c r="M575" i="2"/>
  <c r="L575" i="2"/>
  <c r="K575" i="2"/>
  <c r="J575" i="2"/>
  <c r="I575" i="2"/>
  <c r="H575" i="2"/>
  <c r="G575" i="2"/>
  <c r="F575" i="2"/>
  <c r="E575" i="2"/>
  <c r="D575" i="2"/>
  <c r="C575" i="2"/>
  <c r="B575" i="2"/>
  <c r="A575" i="2"/>
  <c r="AX574" i="2"/>
  <c r="AV574" i="2"/>
  <c r="AU574" i="2"/>
  <c r="AT574" i="2"/>
  <c r="AS574" i="2"/>
  <c r="AR574" i="2"/>
  <c r="AO574" i="2"/>
  <c r="AN574" i="2"/>
  <c r="AM574" i="2"/>
  <c r="AL574" i="2"/>
  <c r="AK574" i="2"/>
  <c r="AJ574" i="2"/>
  <c r="AI574" i="2"/>
  <c r="AH574" i="2"/>
  <c r="AG574" i="2"/>
  <c r="AE574" i="2"/>
  <c r="AD574" i="2"/>
  <c r="AC574" i="2"/>
  <c r="AB574" i="2"/>
  <c r="AA574" i="2"/>
  <c r="Z574" i="2"/>
  <c r="Y574" i="2"/>
  <c r="X574" i="2"/>
  <c r="W574" i="2"/>
  <c r="V574" i="2"/>
  <c r="U574" i="2"/>
  <c r="T574" i="2"/>
  <c r="S574" i="2"/>
  <c r="R574" i="2"/>
  <c r="Q574" i="2"/>
  <c r="P574" i="2"/>
  <c r="O574" i="2"/>
  <c r="N574" i="2"/>
  <c r="M574" i="2"/>
  <c r="L574" i="2"/>
  <c r="K574" i="2"/>
  <c r="J574" i="2"/>
  <c r="I574" i="2"/>
  <c r="H574" i="2"/>
  <c r="G574" i="2"/>
  <c r="F574" i="2"/>
  <c r="E574" i="2"/>
  <c r="D574" i="2"/>
  <c r="C574" i="2"/>
  <c r="B574" i="2"/>
  <c r="A574" i="2"/>
  <c r="AX573" i="2"/>
  <c r="AV573" i="2"/>
  <c r="AU573" i="2"/>
  <c r="AT573" i="2"/>
  <c r="AS573" i="2"/>
  <c r="AR573" i="2"/>
  <c r="AO573" i="2"/>
  <c r="AN573" i="2"/>
  <c r="AM573" i="2"/>
  <c r="AK573" i="2"/>
  <c r="AJ573" i="2"/>
  <c r="AI573" i="2"/>
  <c r="AH573" i="2"/>
  <c r="AG573" i="2"/>
  <c r="AE573" i="2"/>
  <c r="AD573" i="2"/>
  <c r="AC573" i="2"/>
  <c r="Z573" i="2"/>
  <c r="Y573" i="2"/>
  <c r="X573" i="2"/>
  <c r="W573" i="2"/>
  <c r="V573" i="2"/>
  <c r="U573" i="2"/>
  <c r="T573" i="2"/>
  <c r="S573" i="2"/>
  <c r="R573" i="2"/>
  <c r="Q573" i="2"/>
  <c r="P573" i="2"/>
  <c r="O573" i="2"/>
  <c r="N573" i="2"/>
  <c r="M573" i="2"/>
  <c r="L573" i="2"/>
  <c r="K573" i="2"/>
  <c r="J573" i="2"/>
  <c r="I573" i="2"/>
  <c r="H573" i="2"/>
  <c r="G573" i="2"/>
  <c r="F573" i="2"/>
  <c r="E573" i="2"/>
  <c r="D573" i="2"/>
  <c r="C573" i="2"/>
  <c r="B573" i="2"/>
  <c r="A573" i="2"/>
  <c r="AX572" i="2"/>
  <c r="AV572" i="2"/>
  <c r="AU572" i="2"/>
  <c r="AT572" i="2"/>
  <c r="AS572" i="2"/>
  <c r="AR572" i="2"/>
  <c r="AO572" i="2"/>
  <c r="AN572" i="2"/>
  <c r="AM572" i="2"/>
  <c r="AK572" i="2"/>
  <c r="AJ572" i="2"/>
  <c r="AI572" i="2"/>
  <c r="AH572" i="2"/>
  <c r="AG572" i="2"/>
  <c r="AE572" i="2"/>
  <c r="AD572" i="2"/>
  <c r="AC572" i="2"/>
  <c r="Z572" i="2"/>
  <c r="Y572" i="2"/>
  <c r="X572" i="2"/>
  <c r="W572" i="2"/>
  <c r="V572" i="2"/>
  <c r="U572" i="2"/>
  <c r="T572" i="2"/>
  <c r="S572" i="2"/>
  <c r="R572" i="2"/>
  <c r="Q572" i="2"/>
  <c r="P572" i="2"/>
  <c r="O572" i="2"/>
  <c r="N572" i="2"/>
  <c r="M572" i="2"/>
  <c r="L572" i="2"/>
  <c r="K572" i="2"/>
  <c r="J572" i="2"/>
  <c r="I572" i="2"/>
  <c r="H572" i="2"/>
  <c r="G572" i="2"/>
  <c r="F572" i="2"/>
  <c r="E572" i="2"/>
  <c r="D572" i="2"/>
  <c r="C572" i="2"/>
  <c r="B572" i="2"/>
  <c r="A572" i="2"/>
  <c r="AX571" i="2"/>
  <c r="AV571" i="2"/>
  <c r="AU571" i="2"/>
  <c r="AS571" i="2"/>
  <c r="AR571" i="2"/>
  <c r="AO571" i="2"/>
  <c r="AN571" i="2"/>
  <c r="AM571" i="2"/>
  <c r="AK571" i="2"/>
  <c r="AJ571" i="2"/>
  <c r="AI571" i="2"/>
  <c r="AH571" i="2"/>
  <c r="AG571" i="2"/>
  <c r="AC571" i="2"/>
  <c r="AB571" i="2"/>
  <c r="Z571" i="2"/>
  <c r="Y571" i="2"/>
  <c r="X571" i="2"/>
  <c r="V571" i="2"/>
  <c r="U571" i="2"/>
  <c r="T571" i="2"/>
  <c r="S571" i="2"/>
  <c r="R571" i="2"/>
  <c r="Q571" i="2"/>
  <c r="P571" i="2"/>
  <c r="O571" i="2"/>
  <c r="N571" i="2"/>
  <c r="M571" i="2"/>
  <c r="L571" i="2"/>
  <c r="K571" i="2"/>
  <c r="J571" i="2"/>
  <c r="I571" i="2"/>
  <c r="H571" i="2"/>
  <c r="G571" i="2"/>
  <c r="F571" i="2"/>
  <c r="E571" i="2"/>
  <c r="D571" i="2"/>
  <c r="C571" i="2"/>
  <c r="B571" i="2"/>
  <c r="A571" i="2"/>
  <c r="AX570" i="2"/>
  <c r="AV570" i="2"/>
  <c r="AU570" i="2"/>
  <c r="AT570" i="2"/>
  <c r="AS570" i="2"/>
  <c r="AR570" i="2"/>
  <c r="AO570" i="2"/>
  <c r="AN570" i="2"/>
  <c r="AM570" i="2"/>
  <c r="AL570" i="2"/>
  <c r="AK570" i="2"/>
  <c r="AJ570" i="2"/>
  <c r="AI570" i="2"/>
  <c r="AH570" i="2"/>
  <c r="AG570" i="2"/>
  <c r="AE570" i="2"/>
  <c r="AD570" i="2"/>
  <c r="AC570" i="2"/>
  <c r="AB570" i="2"/>
  <c r="AA570" i="2"/>
  <c r="Z570" i="2"/>
  <c r="Y570" i="2"/>
  <c r="X570" i="2"/>
  <c r="W570" i="2"/>
  <c r="V570" i="2"/>
  <c r="U570" i="2"/>
  <c r="T570" i="2"/>
  <c r="S570" i="2"/>
  <c r="R570" i="2"/>
  <c r="Q570" i="2"/>
  <c r="P570" i="2"/>
  <c r="O570" i="2"/>
  <c r="N570" i="2"/>
  <c r="M570" i="2"/>
  <c r="L570" i="2"/>
  <c r="K570" i="2"/>
  <c r="J570" i="2"/>
  <c r="I570" i="2"/>
  <c r="H570" i="2"/>
  <c r="G570" i="2"/>
  <c r="F570" i="2"/>
  <c r="E570" i="2"/>
  <c r="D570" i="2"/>
  <c r="C570" i="2"/>
  <c r="B570" i="2"/>
  <c r="A570" i="2"/>
  <c r="AX569" i="2"/>
  <c r="AV569" i="2"/>
  <c r="AU569" i="2"/>
  <c r="AT569" i="2"/>
  <c r="AS569" i="2"/>
  <c r="AR569" i="2"/>
  <c r="AP569" i="2"/>
  <c r="AO569" i="2"/>
  <c r="AN569" i="2"/>
  <c r="AM569" i="2"/>
  <c r="AL569" i="2"/>
  <c r="AK569" i="2"/>
  <c r="AJ569" i="2"/>
  <c r="AI569" i="2"/>
  <c r="AH569" i="2"/>
  <c r="AG569" i="2"/>
  <c r="AE569" i="2"/>
  <c r="AD569" i="2"/>
  <c r="AC569" i="2"/>
  <c r="AB569" i="2"/>
  <c r="AA569" i="2"/>
  <c r="Z569" i="2"/>
  <c r="Y569" i="2"/>
  <c r="X569" i="2"/>
  <c r="W569" i="2"/>
  <c r="V569" i="2"/>
  <c r="U569" i="2"/>
  <c r="T569" i="2"/>
  <c r="S569" i="2"/>
  <c r="R569" i="2"/>
  <c r="Q569" i="2"/>
  <c r="P569" i="2"/>
  <c r="O569" i="2"/>
  <c r="N569" i="2"/>
  <c r="M569" i="2"/>
  <c r="L569" i="2"/>
  <c r="K569" i="2"/>
  <c r="J569" i="2"/>
  <c r="I569" i="2"/>
  <c r="H569" i="2"/>
  <c r="G569" i="2"/>
  <c r="F569" i="2"/>
  <c r="E569" i="2"/>
  <c r="D569" i="2"/>
  <c r="C569" i="2"/>
  <c r="B569" i="2"/>
  <c r="A569" i="2"/>
  <c r="AX568" i="2"/>
  <c r="AV568" i="2"/>
  <c r="AU568" i="2"/>
  <c r="AT568" i="2"/>
  <c r="AS568" i="2"/>
  <c r="AR568" i="2"/>
  <c r="AP568" i="2"/>
  <c r="AO568" i="2"/>
  <c r="AN568" i="2"/>
  <c r="AM568" i="2"/>
  <c r="AL568" i="2"/>
  <c r="AK568" i="2"/>
  <c r="AJ568" i="2"/>
  <c r="AI568" i="2"/>
  <c r="AH568" i="2"/>
  <c r="AG568" i="2"/>
  <c r="AE568" i="2"/>
  <c r="AD568" i="2"/>
  <c r="AC568" i="2"/>
  <c r="AB568" i="2"/>
  <c r="Z568" i="2"/>
  <c r="Y568" i="2"/>
  <c r="X568" i="2"/>
  <c r="W568" i="2"/>
  <c r="V568" i="2"/>
  <c r="U568" i="2"/>
  <c r="T568" i="2"/>
  <c r="S568" i="2"/>
  <c r="R568" i="2"/>
  <c r="Q568" i="2"/>
  <c r="P568" i="2"/>
  <c r="O568" i="2"/>
  <c r="N568" i="2"/>
  <c r="M568" i="2"/>
  <c r="L568" i="2"/>
  <c r="K568" i="2"/>
  <c r="J568" i="2"/>
  <c r="I568" i="2"/>
  <c r="H568" i="2"/>
  <c r="G568" i="2"/>
  <c r="F568" i="2"/>
  <c r="E568" i="2"/>
  <c r="D568" i="2"/>
  <c r="C568" i="2"/>
  <c r="B568" i="2"/>
  <c r="A568" i="2"/>
  <c r="AX567" i="2"/>
  <c r="AV567" i="2"/>
  <c r="AU567" i="2"/>
  <c r="AT567" i="2"/>
  <c r="AR567" i="2"/>
  <c r="AO567" i="2"/>
  <c r="AN567" i="2"/>
  <c r="AM567" i="2"/>
  <c r="AL567" i="2"/>
  <c r="AK567" i="2"/>
  <c r="AJ567" i="2"/>
  <c r="AI567" i="2"/>
  <c r="AH567" i="2"/>
  <c r="AG567" i="2"/>
  <c r="AE567" i="2"/>
  <c r="AC567" i="2"/>
  <c r="Z567" i="2"/>
  <c r="Y567" i="2"/>
  <c r="X567" i="2"/>
  <c r="W567" i="2"/>
  <c r="V567" i="2"/>
  <c r="U567" i="2"/>
  <c r="T567" i="2"/>
  <c r="S567" i="2"/>
  <c r="R567" i="2"/>
  <c r="Q567" i="2"/>
  <c r="P567" i="2"/>
  <c r="O567" i="2"/>
  <c r="N567" i="2"/>
  <c r="M567" i="2"/>
  <c r="L567" i="2"/>
  <c r="K567" i="2"/>
  <c r="J567" i="2"/>
  <c r="I567" i="2"/>
  <c r="H567" i="2"/>
  <c r="G567" i="2"/>
  <c r="F567" i="2"/>
  <c r="E567" i="2"/>
  <c r="D567" i="2"/>
  <c r="C567" i="2"/>
  <c r="B567" i="2"/>
  <c r="A567" i="2"/>
  <c r="AX566" i="2"/>
  <c r="AV566" i="2"/>
  <c r="AU566" i="2"/>
  <c r="AT566" i="2"/>
  <c r="AS566" i="2"/>
  <c r="AR566" i="2"/>
  <c r="AO566" i="2"/>
  <c r="AN566" i="2"/>
  <c r="AM566" i="2"/>
  <c r="AL566" i="2"/>
  <c r="AK566" i="2"/>
  <c r="AJ566" i="2"/>
  <c r="AI566" i="2"/>
  <c r="AH566" i="2"/>
  <c r="AG566" i="2"/>
  <c r="AE566" i="2"/>
  <c r="AD566" i="2"/>
  <c r="AC566" i="2"/>
  <c r="AB566" i="2"/>
  <c r="AA566" i="2"/>
  <c r="Z566" i="2"/>
  <c r="Y566" i="2"/>
  <c r="X566" i="2"/>
  <c r="W566" i="2"/>
  <c r="V566" i="2"/>
  <c r="U566" i="2"/>
  <c r="T566" i="2"/>
  <c r="S566" i="2"/>
  <c r="R566" i="2"/>
  <c r="Q566" i="2"/>
  <c r="P566" i="2"/>
  <c r="O566" i="2"/>
  <c r="N566" i="2"/>
  <c r="M566" i="2"/>
  <c r="L566" i="2"/>
  <c r="K566" i="2"/>
  <c r="J566" i="2"/>
  <c r="I566" i="2"/>
  <c r="H566" i="2"/>
  <c r="G566" i="2"/>
  <c r="F566" i="2"/>
  <c r="E566" i="2"/>
  <c r="D566" i="2"/>
  <c r="C566" i="2"/>
  <c r="B566" i="2"/>
  <c r="A566" i="2"/>
  <c r="AX565" i="2"/>
  <c r="AV565" i="2"/>
  <c r="AU565" i="2"/>
  <c r="AT565" i="2"/>
  <c r="AS565" i="2"/>
  <c r="AR565" i="2"/>
  <c r="AO565" i="2"/>
  <c r="AN565" i="2"/>
  <c r="AM565" i="2"/>
  <c r="AK565" i="2"/>
  <c r="AJ565" i="2"/>
  <c r="AI565" i="2"/>
  <c r="AH565" i="2"/>
  <c r="AG565" i="2"/>
  <c r="AE565" i="2"/>
  <c r="AD565" i="2"/>
  <c r="AC565" i="2"/>
  <c r="AB565" i="2"/>
  <c r="AA565" i="2"/>
  <c r="Z565" i="2"/>
  <c r="Y565" i="2"/>
  <c r="X565" i="2"/>
  <c r="W565" i="2"/>
  <c r="V565" i="2"/>
  <c r="U565" i="2"/>
  <c r="T565" i="2"/>
  <c r="S565" i="2"/>
  <c r="R565" i="2"/>
  <c r="Q565" i="2"/>
  <c r="P565" i="2"/>
  <c r="O565" i="2"/>
  <c r="N565" i="2"/>
  <c r="M565" i="2"/>
  <c r="L565" i="2"/>
  <c r="K565" i="2"/>
  <c r="J565" i="2"/>
  <c r="I565" i="2"/>
  <c r="H565" i="2"/>
  <c r="G565" i="2"/>
  <c r="F565" i="2"/>
  <c r="E565" i="2"/>
  <c r="D565" i="2"/>
  <c r="C565" i="2"/>
  <c r="B565" i="2"/>
  <c r="A565" i="2"/>
  <c r="AX564" i="2"/>
  <c r="AV564" i="2"/>
  <c r="AU564" i="2"/>
  <c r="AT564" i="2"/>
  <c r="AS564" i="2"/>
  <c r="AR564" i="2"/>
  <c r="AO564" i="2"/>
  <c r="AN564" i="2"/>
  <c r="AM564" i="2"/>
  <c r="AL564" i="2"/>
  <c r="AK564" i="2"/>
  <c r="AJ564" i="2"/>
  <c r="AI564" i="2"/>
  <c r="AH564" i="2"/>
  <c r="AG564" i="2"/>
  <c r="AE564" i="2"/>
  <c r="AD564" i="2"/>
  <c r="AC564" i="2"/>
  <c r="AB564" i="2"/>
  <c r="AA564" i="2"/>
  <c r="Z564" i="2"/>
  <c r="Y564" i="2"/>
  <c r="X564" i="2"/>
  <c r="W564" i="2"/>
  <c r="V564" i="2"/>
  <c r="U564" i="2"/>
  <c r="T564" i="2"/>
  <c r="S564" i="2"/>
  <c r="R564" i="2"/>
  <c r="Q564" i="2"/>
  <c r="P564" i="2"/>
  <c r="O564" i="2"/>
  <c r="N564" i="2"/>
  <c r="M564" i="2"/>
  <c r="L564" i="2"/>
  <c r="K564" i="2"/>
  <c r="J564" i="2"/>
  <c r="I564" i="2"/>
  <c r="H564" i="2"/>
  <c r="G564" i="2"/>
  <c r="F564" i="2"/>
  <c r="E564" i="2"/>
  <c r="D564" i="2"/>
  <c r="C564" i="2"/>
  <c r="B564" i="2"/>
  <c r="A564" i="2"/>
  <c r="AX563" i="2"/>
  <c r="AV563" i="2"/>
  <c r="AU563" i="2"/>
  <c r="AT563" i="2"/>
  <c r="AS563" i="2"/>
  <c r="AR563" i="2"/>
  <c r="AO563" i="2"/>
  <c r="AN563" i="2"/>
  <c r="AM563" i="2"/>
  <c r="AL563" i="2"/>
  <c r="AK563" i="2"/>
  <c r="AJ563" i="2"/>
  <c r="AI563" i="2"/>
  <c r="AH563" i="2"/>
  <c r="AG563" i="2"/>
  <c r="AD563" i="2"/>
  <c r="AC563" i="2"/>
  <c r="AB563" i="2"/>
  <c r="AA563" i="2"/>
  <c r="Z563" i="2"/>
  <c r="Y563" i="2"/>
  <c r="X563" i="2"/>
  <c r="W563" i="2"/>
  <c r="V563" i="2"/>
  <c r="U563" i="2"/>
  <c r="T563" i="2"/>
  <c r="S563" i="2"/>
  <c r="Q563" i="2"/>
  <c r="P563" i="2"/>
  <c r="O563" i="2"/>
  <c r="N563" i="2"/>
  <c r="M563" i="2"/>
  <c r="L563" i="2"/>
  <c r="K563" i="2"/>
  <c r="J563" i="2"/>
  <c r="I563" i="2"/>
  <c r="H563" i="2"/>
  <c r="G563" i="2"/>
  <c r="F563" i="2"/>
  <c r="E563" i="2"/>
  <c r="D563" i="2"/>
  <c r="C563" i="2"/>
  <c r="B563" i="2"/>
  <c r="A563" i="2"/>
  <c r="AX562" i="2"/>
  <c r="AV562" i="2"/>
  <c r="AU562" i="2"/>
  <c r="AT562" i="2"/>
  <c r="AS562" i="2"/>
  <c r="AR562" i="2"/>
  <c r="AQ562" i="2"/>
  <c r="AP562" i="2"/>
  <c r="AO562" i="2"/>
  <c r="AN562" i="2"/>
  <c r="AM562" i="2"/>
  <c r="AL562" i="2"/>
  <c r="AK562" i="2"/>
  <c r="AJ562" i="2"/>
  <c r="AI562" i="2"/>
  <c r="AH562" i="2"/>
  <c r="AG562" i="2"/>
  <c r="AE562" i="2"/>
  <c r="AD562" i="2"/>
  <c r="AC562" i="2"/>
  <c r="AB562" i="2"/>
  <c r="AA562" i="2"/>
  <c r="Z562" i="2"/>
  <c r="Y562" i="2"/>
  <c r="X562" i="2"/>
  <c r="W562" i="2"/>
  <c r="V562" i="2"/>
  <c r="U562" i="2"/>
  <c r="T562" i="2"/>
  <c r="S562" i="2"/>
  <c r="R562" i="2"/>
  <c r="Q562" i="2"/>
  <c r="P562" i="2"/>
  <c r="O562" i="2"/>
  <c r="N562" i="2"/>
  <c r="M562" i="2"/>
  <c r="L562" i="2"/>
  <c r="K562" i="2"/>
  <c r="J562" i="2"/>
  <c r="I562" i="2"/>
  <c r="H562" i="2"/>
  <c r="G562" i="2"/>
  <c r="F562" i="2"/>
  <c r="E562" i="2"/>
  <c r="D562" i="2"/>
  <c r="C562" i="2"/>
  <c r="B562" i="2"/>
  <c r="A562" i="2"/>
  <c r="AX561" i="2"/>
  <c r="AV561" i="2"/>
  <c r="AU561" i="2"/>
  <c r="AT561" i="2"/>
  <c r="AR561" i="2"/>
  <c r="AO561" i="2"/>
  <c r="AN561" i="2"/>
  <c r="AM561" i="2"/>
  <c r="AK561" i="2"/>
  <c r="AJ561" i="2"/>
  <c r="AI561" i="2"/>
  <c r="AH561" i="2"/>
  <c r="AG561" i="2"/>
  <c r="AD561" i="2"/>
  <c r="AC561" i="2"/>
  <c r="Z561" i="2"/>
  <c r="Y561" i="2"/>
  <c r="X561" i="2"/>
  <c r="W561" i="2"/>
  <c r="V561" i="2"/>
  <c r="U561" i="2"/>
  <c r="T561" i="2"/>
  <c r="S561" i="2"/>
  <c r="R561" i="2"/>
  <c r="Q561" i="2"/>
  <c r="P561" i="2"/>
  <c r="O561" i="2"/>
  <c r="N561" i="2"/>
  <c r="M561" i="2"/>
  <c r="L561" i="2"/>
  <c r="K561" i="2"/>
  <c r="J561" i="2"/>
  <c r="I561" i="2"/>
  <c r="H561" i="2"/>
  <c r="G561" i="2"/>
  <c r="F561" i="2"/>
  <c r="E561" i="2"/>
  <c r="D561" i="2"/>
  <c r="C561" i="2"/>
  <c r="B561" i="2"/>
  <c r="A561" i="2"/>
  <c r="AX560" i="2"/>
  <c r="AV560" i="2"/>
  <c r="AU560" i="2"/>
  <c r="AT560" i="2"/>
  <c r="AS560" i="2"/>
  <c r="AR560" i="2"/>
  <c r="AO560" i="2"/>
  <c r="AN560" i="2"/>
  <c r="AM560" i="2"/>
  <c r="AL560" i="2"/>
  <c r="AK560" i="2"/>
  <c r="AJ560" i="2"/>
  <c r="AI560" i="2"/>
  <c r="AH560" i="2"/>
  <c r="AG560" i="2"/>
  <c r="AE560" i="2"/>
  <c r="AD560" i="2"/>
  <c r="AC560" i="2"/>
  <c r="AB560" i="2"/>
  <c r="AA560" i="2"/>
  <c r="Z560" i="2"/>
  <c r="Y560" i="2"/>
  <c r="X560" i="2"/>
  <c r="W560" i="2"/>
  <c r="V560" i="2"/>
  <c r="U560" i="2"/>
  <c r="T560" i="2"/>
  <c r="S560" i="2"/>
  <c r="R560" i="2"/>
  <c r="Q560" i="2"/>
  <c r="P560" i="2"/>
  <c r="O560" i="2"/>
  <c r="N560" i="2"/>
  <c r="M560" i="2"/>
  <c r="L560" i="2"/>
  <c r="K560" i="2"/>
  <c r="J560" i="2"/>
  <c r="I560" i="2"/>
  <c r="H560" i="2"/>
  <c r="G560" i="2"/>
  <c r="F560" i="2"/>
  <c r="E560" i="2"/>
  <c r="D560" i="2"/>
  <c r="C560" i="2"/>
  <c r="B560" i="2"/>
  <c r="A560" i="2"/>
  <c r="AX559" i="2"/>
  <c r="AV559" i="2"/>
  <c r="AU559" i="2"/>
  <c r="AT559" i="2"/>
  <c r="AS559" i="2"/>
  <c r="AR559" i="2"/>
  <c r="AO559" i="2"/>
  <c r="AN559" i="2"/>
  <c r="AM559" i="2"/>
  <c r="AK559" i="2"/>
  <c r="AJ559" i="2"/>
  <c r="AI559" i="2"/>
  <c r="AH559" i="2"/>
  <c r="AG559" i="2"/>
  <c r="AE559" i="2"/>
  <c r="AD559" i="2"/>
  <c r="AC559" i="2"/>
  <c r="AB559" i="2"/>
  <c r="Z559" i="2"/>
  <c r="Y559" i="2"/>
  <c r="X559" i="2"/>
  <c r="W559" i="2"/>
  <c r="V559" i="2"/>
  <c r="U559" i="2"/>
  <c r="T559" i="2"/>
  <c r="S559" i="2"/>
  <c r="R559" i="2"/>
  <c r="Q559" i="2"/>
  <c r="P559" i="2"/>
  <c r="O559" i="2"/>
  <c r="N559" i="2"/>
  <c r="M559" i="2"/>
  <c r="L559" i="2"/>
  <c r="K559" i="2"/>
  <c r="J559" i="2"/>
  <c r="I559" i="2"/>
  <c r="H559" i="2"/>
  <c r="G559" i="2"/>
  <c r="F559" i="2"/>
  <c r="E559" i="2"/>
  <c r="D559" i="2"/>
  <c r="C559" i="2"/>
  <c r="B559" i="2"/>
  <c r="A559" i="2"/>
  <c r="AX558" i="2"/>
  <c r="AV558" i="2"/>
  <c r="AU558" i="2"/>
  <c r="AT558" i="2"/>
  <c r="AS558" i="2"/>
  <c r="AR558" i="2"/>
  <c r="AQ558" i="2"/>
  <c r="AP558" i="2"/>
  <c r="AO558" i="2"/>
  <c r="AN558" i="2"/>
  <c r="AM558" i="2"/>
  <c r="AL558" i="2"/>
  <c r="AK558" i="2"/>
  <c r="AJ558" i="2"/>
  <c r="AI558" i="2"/>
  <c r="AH558" i="2"/>
  <c r="AG558" i="2"/>
  <c r="AE558" i="2"/>
  <c r="AD558" i="2"/>
  <c r="AC558" i="2"/>
  <c r="AB558" i="2"/>
  <c r="AA558" i="2"/>
  <c r="Z558" i="2"/>
  <c r="Y558" i="2"/>
  <c r="X558" i="2"/>
  <c r="W558" i="2"/>
  <c r="V558" i="2"/>
  <c r="U558" i="2"/>
  <c r="T558" i="2"/>
  <c r="S558" i="2"/>
  <c r="R558" i="2"/>
  <c r="Q558" i="2"/>
  <c r="P558" i="2"/>
  <c r="O558" i="2"/>
  <c r="N558" i="2"/>
  <c r="M558" i="2"/>
  <c r="L558" i="2"/>
  <c r="K558" i="2"/>
  <c r="J558" i="2"/>
  <c r="I558" i="2"/>
  <c r="H558" i="2"/>
  <c r="G558" i="2"/>
  <c r="F558" i="2"/>
  <c r="E558" i="2"/>
  <c r="D558" i="2"/>
  <c r="C558" i="2"/>
  <c r="B558" i="2"/>
  <c r="A558" i="2"/>
  <c r="AX557" i="2"/>
  <c r="AV557" i="2"/>
  <c r="AU557" i="2"/>
  <c r="AT557" i="2"/>
  <c r="AS557" i="2"/>
  <c r="AR557" i="2"/>
  <c r="AO557" i="2"/>
  <c r="AN557" i="2"/>
  <c r="AM557" i="2"/>
  <c r="AK557" i="2"/>
  <c r="AJ557" i="2"/>
  <c r="AI557" i="2"/>
  <c r="AH557" i="2"/>
  <c r="AG557" i="2"/>
  <c r="AD557" i="2"/>
  <c r="AC557" i="2"/>
  <c r="Z557" i="2"/>
  <c r="Y557" i="2"/>
  <c r="X557" i="2"/>
  <c r="W557" i="2"/>
  <c r="V557" i="2"/>
  <c r="U557" i="2"/>
  <c r="T557" i="2"/>
  <c r="S557" i="2"/>
  <c r="R557" i="2"/>
  <c r="Q557" i="2"/>
  <c r="P557" i="2"/>
  <c r="O557" i="2"/>
  <c r="N557" i="2"/>
  <c r="M557" i="2"/>
  <c r="L557" i="2"/>
  <c r="K557" i="2"/>
  <c r="J557" i="2"/>
  <c r="I557" i="2"/>
  <c r="H557" i="2"/>
  <c r="G557" i="2"/>
  <c r="F557" i="2"/>
  <c r="E557" i="2"/>
  <c r="D557" i="2"/>
  <c r="C557" i="2"/>
  <c r="B557" i="2"/>
  <c r="A557" i="2"/>
  <c r="AX556" i="2"/>
  <c r="AV556" i="2"/>
  <c r="AU556" i="2"/>
  <c r="AS556" i="2"/>
  <c r="AR556" i="2"/>
  <c r="AO556" i="2"/>
  <c r="AN556" i="2"/>
  <c r="AM556" i="2"/>
  <c r="AL556" i="2"/>
  <c r="AK556" i="2"/>
  <c r="AJ556" i="2"/>
  <c r="AI556" i="2"/>
  <c r="AH556" i="2"/>
  <c r="AG556" i="2"/>
  <c r="AE556" i="2"/>
  <c r="AD556" i="2"/>
  <c r="AC556" i="2"/>
  <c r="AB556" i="2"/>
  <c r="AA556" i="2"/>
  <c r="Z556" i="2"/>
  <c r="Y556" i="2"/>
  <c r="X556" i="2"/>
  <c r="W556" i="2"/>
  <c r="V556" i="2"/>
  <c r="U556" i="2"/>
  <c r="T556" i="2"/>
  <c r="S556" i="2"/>
  <c r="R556" i="2"/>
  <c r="Q556" i="2"/>
  <c r="P556" i="2"/>
  <c r="O556" i="2"/>
  <c r="N556" i="2"/>
  <c r="M556" i="2"/>
  <c r="L556" i="2"/>
  <c r="K556" i="2"/>
  <c r="J556" i="2"/>
  <c r="I556" i="2"/>
  <c r="H556" i="2"/>
  <c r="G556" i="2"/>
  <c r="F556" i="2"/>
  <c r="E556" i="2"/>
  <c r="D556" i="2"/>
  <c r="C556" i="2"/>
  <c r="B556" i="2"/>
  <c r="A556" i="2"/>
  <c r="AX555" i="2"/>
  <c r="AW555" i="2"/>
  <c r="AV555" i="2"/>
  <c r="AU555" i="2"/>
  <c r="AT555" i="2"/>
  <c r="AS555" i="2"/>
  <c r="AR555" i="2"/>
  <c r="AO555" i="2"/>
  <c r="AN555" i="2"/>
  <c r="AM555" i="2"/>
  <c r="AL555" i="2"/>
  <c r="AK555" i="2"/>
  <c r="AJ555" i="2"/>
  <c r="AI555" i="2"/>
  <c r="AH555" i="2"/>
  <c r="AG555" i="2"/>
  <c r="AE555" i="2"/>
  <c r="AD555" i="2"/>
  <c r="AC555" i="2"/>
  <c r="AB555" i="2"/>
  <c r="AA555" i="2"/>
  <c r="Z555" i="2"/>
  <c r="Y555" i="2"/>
  <c r="X555" i="2"/>
  <c r="W555" i="2"/>
  <c r="V555" i="2"/>
  <c r="U555" i="2"/>
  <c r="T555" i="2"/>
  <c r="S555" i="2"/>
  <c r="R555" i="2"/>
  <c r="Q555" i="2"/>
  <c r="P555" i="2"/>
  <c r="O555" i="2"/>
  <c r="N555" i="2"/>
  <c r="M555" i="2"/>
  <c r="L555" i="2"/>
  <c r="K555" i="2"/>
  <c r="J555" i="2"/>
  <c r="I555" i="2"/>
  <c r="H555" i="2"/>
  <c r="G555" i="2"/>
  <c r="F555" i="2"/>
  <c r="E555" i="2"/>
  <c r="D555" i="2"/>
  <c r="C555" i="2"/>
  <c r="B555" i="2"/>
  <c r="A555" i="2"/>
  <c r="AX554" i="2"/>
  <c r="AV554" i="2"/>
  <c r="AU554" i="2"/>
  <c r="AT554" i="2"/>
  <c r="AS554" i="2"/>
  <c r="AR554" i="2"/>
  <c r="AQ554" i="2"/>
  <c r="AP554" i="2"/>
  <c r="AO554" i="2"/>
  <c r="AN554" i="2"/>
  <c r="AM554" i="2"/>
  <c r="AK554" i="2"/>
  <c r="AJ554" i="2"/>
  <c r="AI554" i="2"/>
  <c r="AH554" i="2"/>
  <c r="AG554" i="2"/>
  <c r="AE554" i="2"/>
  <c r="AD554" i="2"/>
  <c r="AC554" i="2"/>
  <c r="AB554" i="2"/>
  <c r="Z554" i="2"/>
  <c r="Y554" i="2"/>
  <c r="X554" i="2"/>
  <c r="W554" i="2"/>
  <c r="V554" i="2"/>
  <c r="U554" i="2"/>
  <c r="T554" i="2"/>
  <c r="S554" i="2"/>
  <c r="R554" i="2"/>
  <c r="Q554" i="2"/>
  <c r="P554" i="2"/>
  <c r="O554" i="2"/>
  <c r="N554" i="2"/>
  <c r="M554" i="2"/>
  <c r="L554" i="2"/>
  <c r="K554" i="2"/>
  <c r="J554" i="2"/>
  <c r="I554" i="2"/>
  <c r="H554" i="2"/>
  <c r="G554" i="2"/>
  <c r="F554" i="2"/>
  <c r="E554" i="2"/>
  <c r="D554" i="2"/>
  <c r="C554" i="2"/>
  <c r="B554" i="2"/>
  <c r="A554" i="2"/>
  <c r="AX553" i="2"/>
  <c r="AV553" i="2"/>
  <c r="AU553" i="2"/>
  <c r="AS553" i="2"/>
  <c r="AR553" i="2"/>
  <c r="AO553" i="2"/>
  <c r="AN553" i="2"/>
  <c r="AM553" i="2"/>
  <c r="AL553" i="2"/>
  <c r="AK553" i="2"/>
  <c r="AJ553" i="2"/>
  <c r="AI553" i="2"/>
  <c r="AH553" i="2"/>
  <c r="AG553" i="2"/>
  <c r="AF553" i="2"/>
  <c r="AE553" i="2"/>
  <c r="AD553" i="2"/>
  <c r="AC553" i="2"/>
  <c r="AB553" i="2"/>
  <c r="AA553" i="2"/>
  <c r="Z553" i="2"/>
  <c r="Y553" i="2"/>
  <c r="X553" i="2"/>
  <c r="W553" i="2"/>
  <c r="V553" i="2"/>
  <c r="U553" i="2"/>
  <c r="T553" i="2"/>
  <c r="S553" i="2"/>
  <c r="R553" i="2"/>
  <c r="Q553" i="2"/>
  <c r="P553" i="2"/>
  <c r="O553" i="2"/>
  <c r="N553" i="2"/>
  <c r="M553" i="2"/>
  <c r="L553" i="2"/>
  <c r="K553" i="2"/>
  <c r="J553" i="2"/>
  <c r="I553" i="2"/>
  <c r="H553" i="2"/>
  <c r="G553" i="2"/>
  <c r="F553" i="2"/>
  <c r="E553" i="2"/>
  <c r="D553" i="2"/>
  <c r="C553" i="2"/>
  <c r="B553" i="2"/>
  <c r="A553" i="2"/>
  <c r="AX552" i="2"/>
  <c r="AV552" i="2"/>
  <c r="AU552" i="2"/>
  <c r="AT552" i="2"/>
  <c r="AS552" i="2"/>
  <c r="AR552" i="2"/>
  <c r="AO552" i="2"/>
  <c r="AN552" i="2"/>
  <c r="AM552" i="2"/>
  <c r="AK552" i="2"/>
  <c r="AJ552" i="2"/>
  <c r="AI552" i="2"/>
  <c r="AH552" i="2"/>
  <c r="AG552" i="2"/>
  <c r="AE552" i="2"/>
  <c r="AD552" i="2"/>
  <c r="AC552" i="2"/>
  <c r="AB552" i="2"/>
  <c r="AA552" i="2"/>
  <c r="Z552" i="2"/>
  <c r="Y552" i="2"/>
  <c r="X552" i="2"/>
  <c r="W552" i="2"/>
  <c r="V552" i="2"/>
  <c r="U552" i="2"/>
  <c r="T552" i="2"/>
  <c r="S552" i="2"/>
  <c r="R552" i="2"/>
  <c r="Q552" i="2"/>
  <c r="P552" i="2"/>
  <c r="O552" i="2"/>
  <c r="N552" i="2"/>
  <c r="M552" i="2"/>
  <c r="L552" i="2"/>
  <c r="K552" i="2"/>
  <c r="J552" i="2"/>
  <c r="I552" i="2"/>
  <c r="H552" i="2"/>
  <c r="G552" i="2"/>
  <c r="F552" i="2"/>
  <c r="E552" i="2"/>
  <c r="D552" i="2"/>
  <c r="C552" i="2"/>
  <c r="B552" i="2"/>
  <c r="A552" i="2"/>
  <c r="AX551" i="2"/>
  <c r="AV551" i="2"/>
  <c r="AU551" i="2"/>
  <c r="AT551" i="2"/>
  <c r="AS551" i="2"/>
  <c r="AR551" i="2"/>
  <c r="AO551" i="2"/>
  <c r="AN551" i="2"/>
  <c r="AM551" i="2"/>
  <c r="AL551" i="2"/>
  <c r="AK551" i="2"/>
  <c r="AJ551" i="2"/>
  <c r="AI551" i="2"/>
  <c r="AH551" i="2"/>
  <c r="AG551" i="2"/>
  <c r="AD551" i="2"/>
  <c r="AC551" i="2"/>
  <c r="Z551" i="2"/>
  <c r="Y551" i="2"/>
  <c r="X551" i="2"/>
  <c r="W551" i="2"/>
  <c r="V551" i="2"/>
  <c r="U551" i="2"/>
  <c r="T551" i="2"/>
  <c r="S551" i="2"/>
  <c r="R551" i="2"/>
  <c r="Q551" i="2"/>
  <c r="P551" i="2"/>
  <c r="O551" i="2"/>
  <c r="N551" i="2"/>
  <c r="M551" i="2"/>
  <c r="L551" i="2"/>
  <c r="K551" i="2"/>
  <c r="J551" i="2"/>
  <c r="I551" i="2"/>
  <c r="H551" i="2"/>
  <c r="G551" i="2"/>
  <c r="F551" i="2"/>
  <c r="E551" i="2"/>
  <c r="D551" i="2"/>
  <c r="C551" i="2"/>
  <c r="B551" i="2"/>
  <c r="A551" i="2"/>
  <c r="AX550" i="2"/>
  <c r="AV550" i="2"/>
  <c r="AU550" i="2"/>
  <c r="AT550" i="2"/>
  <c r="AS550" i="2"/>
  <c r="AR550" i="2"/>
  <c r="AP550" i="2"/>
  <c r="AO550" i="2"/>
  <c r="AN550" i="2"/>
  <c r="AM550" i="2"/>
  <c r="AL550" i="2"/>
  <c r="AK550" i="2"/>
  <c r="AJ550" i="2"/>
  <c r="AI550" i="2"/>
  <c r="AH550" i="2"/>
  <c r="AG550" i="2"/>
  <c r="AE550" i="2"/>
  <c r="AD550" i="2"/>
  <c r="AC550" i="2"/>
  <c r="AA550" i="2"/>
  <c r="Z550" i="2"/>
  <c r="Y550" i="2"/>
  <c r="X550" i="2"/>
  <c r="W550" i="2"/>
  <c r="V550" i="2"/>
  <c r="U550" i="2"/>
  <c r="T550" i="2"/>
  <c r="S550" i="2"/>
  <c r="R550" i="2"/>
  <c r="Q550" i="2"/>
  <c r="P550" i="2"/>
  <c r="O550" i="2"/>
  <c r="N550" i="2"/>
  <c r="M550" i="2"/>
  <c r="L550" i="2"/>
  <c r="K550" i="2"/>
  <c r="J550" i="2"/>
  <c r="I550" i="2"/>
  <c r="H550" i="2"/>
  <c r="G550" i="2"/>
  <c r="F550" i="2"/>
  <c r="E550" i="2"/>
  <c r="D550" i="2"/>
  <c r="C550" i="2"/>
  <c r="B550" i="2"/>
  <c r="A550" i="2"/>
  <c r="AX549" i="2"/>
  <c r="AV549" i="2"/>
  <c r="AU549" i="2"/>
  <c r="AT549" i="2"/>
  <c r="AS549" i="2"/>
  <c r="AR549" i="2"/>
  <c r="AO549" i="2"/>
  <c r="AN549" i="2"/>
  <c r="AM549" i="2"/>
  <c r="AL549" i="2"/>
  <c r="AK549" i="2"/>
  <c r="AJ549" i="2"/>
  <c r="AI549" i="2"/>
  <c r="AH549" i="2"/>
  <c r="AG549" i="2"/>
  <c r="AE549" i="2"/>
  <c r="AD549" i="2"/>
  <c r="AC549" i="2"/>
  <c r="AB549" i="2"/>
  <c r="AA549" i="2"/>
  <c r="Z549" i="2"/>
  <c r="Y549" i="2"/>
  <c r="X549" i="2"/>
  <c r="V549" i="2"/>
  <c r="U549" i="2"/>
  <c r="T549" i="2"/>
  <c r="S549" i="2"/>
  <c r="R549" i="2"/>
  <c r="Q549" i="2"/>
  <c r="P549" i="2"/>
  <c r="O549" i="2"/>
  <c r="N549" i="2"/>
  <c r="M549" i="2"/>
  <c r="L549" i="2"/>
  <c r="K549" i="2"/>
  <c r="J549" i="2"/>
  <c r="I549" i="2"/>
  <c r="H549" i="2"/>
  <c r="G549" i="2"/>
  <c r="F549" i="2"/>
  <c r="E549" i="2"/>
  <c r="D549" i="2"/>
  <c r="C549" i="2"/>
  <c r="B549" i="2"/>
  <c r="A549" i="2"/>
  <c r="AX548" i="2"/>
  <c r="AV548" i="2"/>
  <c r="AU548" i="2"/>
  <c r="AT548" i="2"/>
  <c r="AS548" i="2"/>
  <c r="AR548" i="2"/>
  <c r="AO548" i="2"/>
  <c r="AN548" i="2"/>
  <c r="AM548" i="2"/>
  <c r="AK548" i="2"/>
  <c r="AJ548" i="2"/>
  <c r="AI548" i="2"/>
  <c r="AH548" i="2"/>
  <c r="AG548" i="2"/>
  <c r="AE548" i="2"/>
  <c r="AD548" i="2"/>
  <c r="AC548" i="2"/>
  <c r="AB548" i="2"/>
  <c r="AA548" i="2"/>
  <c r="Z548" i="2"/>
  <c r="Y548" i="2"/>
  <c r="X548" i="2"/>
  <c r="W548" i="2"/>
  <c r="V548" i="2"/>
  <c r="U548" i="2"/>
  <c r="T548" i="2"/>
  <c r="S548" i="2"/>
  <c r="R548" i="2"/>
  <c r="Q548" i="2"/>
  <c r="P548" i="2"/>
  <c r="O548" i="2"/>
  <c r="N548" i="2"/>
  <c r="M548" i="2"/>
  <c r="L548" i="2"/>
  <c r="K548" i="2"/>
  <c r="J548" i="2"/>
  <c r="I548" i="2"/>
  <c r="H548" i="2"/>
  <c r="G548" i="2"/>
  <c r="F548" i="2"/>
  <c r="E548" i="2"/>
  <c r="D548" i="2"/>
  <c r="C548" i="2"/>
  <c r="B548" i="2"/>
  <c r="A548" i="2"/>
  <c r="AX547" i="2"/>
  <c r="AV547" i="2"/>
  <c r="AU547" i="2"/>
  <c r="AT547" i="2"/>
  <c r="AS547" i="2"/>
  <c r="AR547" i="2"/>
  <c r="AO547" i="2"/>
  <c r="AN547" i="2"/>
  <c r="AM547" i="2"/>
  <c r="AK547" i="2"/>
  <c r="AJ547" i="2"/>
  <c r="AI547" i="2"/>
  <c r="AH547" i="2"/>
  <c r="AG547" i="2"/>
  <c r="AD547" i="2"/>
  <c r="AC547" i="2"/>
  <c r="Z547" i="2"/>
  <c r="Y547" i="2"/>
  <c r="X547" i="2"/>
  <c r="W547" i="2"/>
  <c r="V547" i="2"/>
  <c r="U547" i="2"/>
  <c r="T547" i="2"/>
  <c r="S547" i="2"/>
  <c r="R547" i="2"/>
  <c r="Q547" i="2"/>
  <c r="P547" i="2"/>
  <c r="O547" i="2"/>
  <c r="N547" i="2"/>
  <c r="M547" i="2"/>
  <c r="L547" i="2"/>
  <c r="K547" i="2"/>
  <c r="J547" i="2"/>
  <c r="I547" i="2"/>
  <c r="H547" i="2"/>
  <c r="G547" i="2"/>
  <c r="F547" i="2"/>
  <c r="E547" i="2"/>
  <c r="D547" i="2"/>
  <c r="C547" i="2"/>
  <c r="B547" i="2"/>
  <c r="A547" i="2"/>
  <c r="AX546" i="2"/>
  <c r="AV546" i="2"/>
  <c r="AU546" i="2"/>
  <c r="AT546" i="2"/>
  <c r="AS546" i="2"/>
  <c r="AR546" i="2"/>
  <c r="AO546" i="2"/>
  <c r="AN546" i="2"/>
  <c r="AM546" i="2"/>
  <c r="AK546" i="2"/>
  <c r="AJ546" i="2"/>
  <c r="AI546" i="2"/>
  <c r="AH546" i="2"/>
  <c r="AG546" i="2"/>
  <c r="AC546" i="2"/>
  <c r="AA546" i="2"/>
  <c r="Z546" i="2"/>
  <c r="Y546" i="2"/>
  <c r="X546" i="2"/>
  <c r="W546" i="2"/>
  <c r="V546" i="2"/>
  <c r="U546" i="2"/>
  <c r="T546" i="2"/>
  <c r="S546" i="2"/>
  <c r="R546" i="2"/>
  <c r="Q546" i="2"/>
  <c r="P546" i="2"/>
  <c r="O546" i="2"/>
  <c r="N546" i="2"/>
  <c r="M546" i="2"/>
  <c r="L546" i="2"/>
  <c r="K546" i="2"/>
  <c r="J546" i="2"/>
  <c r="I546" i="2"/>
  <c r="H546" i="2"/>
  <c r="G546" i="2"/>
  <c r="F546" i="2"/>
  <c r="E546" i="2"/>
  <c r="D546" i="2"/>
  <c r="C546" i="2"/>
  <c r="B546" i="2"/>
  <c r="A546" i="2"/>
  <c r="AX545" i="2"/>
  <c r="AV545" i="2"/>
  <c r="AU545" i="2"/>
  <c r="AT545" i="2"/>
  <c r="AS545" i="2"/>
  <c r="AR545" i="2"/>
  <c r="AO545" i="2"/>
  <c r="AN545" i="2"/>
  <c r="AM545" i="2"/>
  <c r="AL545" i="2"/>
  <c r="AK545" i="2"/>
  <c r="AJ545" i="2"/>
  <c r="AI545" i="2"/>
  <c r="AH545" i="2"/>
  <c r="AG545" i="2"/>
  <c r="AD545" i="2"/>
  <c r="AC545" i="2"/>
  <c r="AB545" i="2"/>
  <c r="Z545" i="2"/>
  <c r="Y545" i="2"/>
  <c r="X545" i="2"/>
  <c r="V545" i="2"/>
  <c r="U545" i="2"/>
  <c r="T545" i="2"/>
  <c r="S545" i="2"/>
  <c r="R545" i="2"/>
  <c r="Q545" i="2"/>
  <c r="P545" i="2"/>
  <c r="O545" i="2"/>
  <c r="N545" i="2"/>
  <c r="M545" i="2"/>
  <c r="L545" i="2"/>
  <c r="K545" i="2"/>
  <c r="J545" i="2"/>
  <c r="I545" i="2"/>
  <c r="H545" i="2"/>
  <c r="G545" i="2"/>
  <c r="F545" i="2"/>
  <c r="E545" i="2"/>
  <c r="D545" i="2"/>
  <c r="C545" i="2"/>
  <c r="B545" i="2"/>
  <c r="A545" i="2"/>
  <c r="AX544" i="2"/>
  <c r="AV544" i="2"/>
  <c r="AU544" i="2"/>
  <c r="AT544" i="2"/>
  <c r="AS544" i="2"/>
  <c r="AR544" i="2"/>
  <c r="AO544" i="2"/>
  <c r="AN544" i="2"/>
  <c r="AM544" i="2"/>
  <c r="AK544" i="2"/>
  <c r="AJ544" i="2"/>
  <c r="AI544" i="2"/>
  <c r="AH544" i="2"/>
  <c r="AG544" i="2"/>
  <c r="AC544" i="2"/>
  <c r="AB544" i="2"/>
  <c r="Z544" i="2"/>
  <c r="Y544" i="2"/>
  <c r="X544" i="2"/>
  <c r="W544" i="2"/>
  <c r="V544" i="2"/>
  <c r="U544" i="2"/>
  <c r="T544" i="2"/>
  <c r="S544" i="2"/>
  <c r="R544" i="2"/>
  <c r="Q544" i="2"/>
  <c r="P544" i="2"/>
  <c r="O544" i="2"/>
  <c r="N544" i="2"/>
  <c r="M544" i="2"/>
  <c r="L544" i="2"/>
  <c r="K544" i="2"/>
  <c r="J544" i="2"/>
  <c r="I544" i="2"/>
  <c r="H544" i="2"/>
  <c r="G544" i="2"/>
  <c r="F544" i="2"/>
  <c r="E544" i="2"/>
  <c r="D544" i="2"/>
  <c r="C544" i="2"/>
  <c r="B544" i="2"/>
  <c r="A544" i="2"/>
  <c r="AX543" i="2"/>
  <c r="AW543" i="2"/>
  <c r="AV543" i="2"/>
  <c r="AU543" i="2"/>
  <c r="AS543" i="2"/>
  <c r="AR543" i="2"/>
  <c r="AQ543" i="2"/>
  <c r="AP543" i="2"/>
  <c r="AO543" i="2"/>
  <c r="AN543" i="2"/>
  <c r="AM543" i="2"/>
  <c r="AK543" i="2"/>
  <c r="AJ543" i="2"/>
  <c r="AI543" i="2"/>
  <c r="AH543" i="2"/>
  <c r="AG543" i="2"/>
  <c r="AE543" i="2"/>
  <c r="AD543" i="2"/>
  <c r="AC543" i="2"/>
  <c r="AA543" i="2"/>
  <c r="Z543" i="2"/>
  <c r="Y543" i="2"/>
  <c r="X543" i="2"/>
  <c r="U543" i="2"/>
  <c r="T543" i="2"/>
  <c r="S543" i="2"/>
  <c r="R543" i="2"/>
  <c r="Q543" i="2"/>
  <c r="P543" i="2"/>
  <c r="O543" i="2"/>
  <c r="N543" i="2"/>
  <c r="M543" i="2"/>
  <c r="L543" i="2"/>
  <c r="K543" i="2"/>
  <c r="J543" i="2"/>
  <c r="I543" i="2"/>
  <c r="H543" i="2"/>
  <c r="G543" i="2"/>
  <c r="F543" i="2"/>
  <c r="E543" i="2"/>
  <c r="D543" i="2"/>
  <c r="C543" i="2"/>
  <c r="B543" i="2"/>
  <c r="A543" i="2"/>
  <c r="AX542" i="2"/>
  <c r="AV542" i="2"/>
  <c r="AU542" i="2"/>
  <c r="AS542" i="2"/>
  <c r="AR542" i="2"/>
  <c r="AO542" i="2"/>
  <c r="AN542" i="2"/>
  <c r="AM542" i="2"/>
  <c r="AK542" i="2"/>
  <c r="AJ542" i="2"/>
  <c r="AI542" i="2"/>
  <c r="AH542" i="2"/>
  <c r="AG542" i="2"/>
  <c r="AE542" i="2"/>
  <c r="AD542" i="2"/>
  <c r="AC542" i="2"/>
  <c r="AB542" i="2"/>
  <c r="Z542" i="2"/>
  <c r="Y542" i="2"/>
  <c r="X542" i="2"/>
  <c r="W542" i="2"/>
  <c r="V542" i="2"/>
  <c r="U542" i="2"/>
  <c r="T542" i="2"/>
  <c r="S542" i="2"/>
  <c r="R542" i="2"/>
  <c r="Q542" i="2"/>
  <c r="P542" i="2"/>
  <c r="O542" i="2"/>
  <c r="N542" i="2"/>
  <c r="M542" i="2"/>
  <c r="L542" i="2"/>
  <c r="K542" i="2"/>
  <c r="J542" i="2"/>
  <c r="I542" i="2"/>
  <c r="H542" i="2"/>
  <c r="G542" i="2"/>
  <c r="F542" i="2"/>
  <c r="E542" i="2"/>
  <c r="D542" i="2"/>
  <c r="C542" i="2"/>
  <c r="B542" i="2"/>
  <c r="A542" i="2"/>
  <c r="AX541" i="2"/>
  <c r="AV541" i="2"/>
  <c r="AU541" i="2"/>
  <c r="AT541" i="2"/>
  <c r="AS541" i="2"/>
  <c r="AR541" i="2"/>
  <c r="AO541" i="2"/>
  <c r="AN541" i="2"/>
  <c r="AM541" i="2"/>
  <c r="AL541" i="2"/>
  <c r="AK541" i="2"/>
  <c r="AJ541" i="2"/>
  <c r="AI541" i="2"/>
  <c r="AH541" i="2"/>
  <c r="AG541" i="2"/>
  <c r="AE541" i="2"/>
  <c r="AC541" i="2"/>
  <c r="Z541" i="2"/>
  <c r="Y541" i="2"/>
  <c r="X541" i="2"/>
  <c r="W541" i="2"/>
  <c r="V541" i="2"/>
  <c r="U541" i="2"/>
  <c r="T541" i="2"/>
  <c r="S541" i="2"/>
  <c r="R541" i="2"/>
  <c r="Q541" i="2"/>
  <c r="P541" i="2"/>
  <c r="O541" i="2"/>
  <c r="N541" i="2"/>
  <c r="M541" i="2"/>
  <c r="L541" i="2"/>
  <c r="K541" i="2"/>
  <c r="J541" i="2"/>
  <c r="I541" i="2"/>
  <c r="H541" i="2"/>
  <c r="G541" i="2"/>
  <c r="F541" i="2"/>
  <c r="E541" i="2"/>
  <c r="D541" i="2"/>
  <c r="C541" i="2"/>
  <c r="B541" i="2"/>
  <c r="A541" i="2"/>
  <c r="AX540" i="2"/>
  <c r="AV540" i="2"/>
  <c r="AU540" i="2"/>
  <c r="AT540" i="2"/>
  <c r="AS540" i="2"/>
  <c r="AR540" i="2"/>
  <c r="AQ540" i="2"/>
  <c r="AP540" i="2"/>
  <c r="AO540" i="2"/>
  <c r="AN540" i="2"/>
  <c r="AM540" i="2"/>
  <c r="AL540" i="2"/>
  <c r="AK540" i="2"/>
  <c r="AJ540" i="2"/>
  <c r="AI540" i="2"/>
  <c r="AH540" i="2"/>
  <c r="AG540" i="2"/>
  <c r="AF540" i="2"/>
  <c r="AE540" i="2"/>
  <c r="AD540" i="2"/>
  <c r="AC540" i="2"/>
  <c r="AB540" i="2"/>
  <c r="AA540" i="2"/>
  <c r="Z540" i="2"/>
  <c r="Y540" i="2"/>
  <c r="X540" i="2"/>
  <c r="W540" i="2"/>
  <c r="V540" i="2"/>
  <c r="U540" i="2"/>
  <c r="T540" i="2"/>
  <c r="S540" i="2"/>
  <c r="R540" i="2"/>
  <c r="Q540" i="2"/>
  <c r="P540" i="2"/>
  <c r="O540" i="2"/>
  <c r="N540" i="2"/>
  <c r="M540" i="2"/>
  <c r="L540" i="2"/>
  <c r="K540" i="2"/>
  <c r="J540" i="2"/>
  <c r="I540" i="2"/>
  <c r="H540" i="2"/>
  <c r="G540" i="2"/>
  <c r="F540" i="2"/>
  <c r="E540" i="2"/>
  <c r="D540" i="2"/>
  <c r="C540" i="2"/>
  <c r="B540" i="2"/>
  <c r="A540" i="2"/>
  <c r="AX539" i="2"/>
  <c r="AV539" i="2"/>
  <c r="AU539" i="2"/>
  <c r="AT539" i="2"/>
  <c r="AS539" i="2"/>
  <c r="AR539" i="2"/>
  <c r="AO539" i="2"/>
  <c r="AN539" i="2"/>
  <c r="AM539" i="2"/>
  <c r="AL539" i="2"/>
  <c r="AK539" i="2"/>
  <c r="AJ539" i="2"/>
  <c r="AI539" i="2"/>
  <c r="AH539" i="2"/>
  <c r="AG539" i="2"/>
  <c r="AE539" i="2"/>
  <c r="AD539" i="2"/>
  <c r="AC539" i="2"/>
  <c r="AB539" i="2"/>
  <c r="AA539" i="2"/>
  <c r="Z539" i="2"/>
  <c r="Y539" i="2"/>
  <c r="X539" i="2"/>
  <c r="W539" i="2"/>
  <c r="V539" i="2"/>
  <c r="U539" i="2"/>
  <c r="T539" i="2"/>
  <c r="S539" i="2"/>
  <c r="R539" i="2"/>
  <c r="Q539" i="2"/>
  <c r="P539" i="2"/>
  <c r="O539" i="2"/>
  <c r="N539" i="2"/>
  <c r="M539" i="2"/>
  <c r="L539" i="2"/>
  <c r="K539" i="2"/>
  <c r="J539" i="2"/>
  <c r="I539" i="2"/>
  <c r="H539" i="2"/>
  <c r="G539" i="2"/>
  <c r="F539" i="2"/>
  <c r="E539" i="2"/>
  <c r="D539" i="2"/>
  <c r="C539" i="2"/>
  <c r="B539" i="2"/>
  <c r="A539" i="2"/>
  <c r="AX538" i="2"/>
  <c r="AV538" i="2"/>
  <c r="AU538" i="2"/>
  <c r="AT538" i="2"/>
  <c r="AR538" i="2"/>
  <c r="AO538" i="2"/>
  <c r="AN538" i="2"/>
  <c r="AM538" i="2"/>
  <c r="AL538" i="2"/>
  <c r="AK538" i="2"/>
  <c r="AJ538" i="2"/>
  <c r="AI538" i="2"/>
  <c r="AH538" i="2"/>
  <c r="AG538" i="2"/>
  <c r="AE538" i="2"/>
  <c r="AD538" i="2"/>
  <c r="AC538" i="2"/>
  <c r="Z538" i="2"/>
  <c r="Y538" i="2"/>
  <c r="X538" i="2"/>
  <c r="W538" i="2"/>
  <c r="V538" i="2"/>
  <c r="U538" i="2"/>
  <c r="T538" i="2"/>
  <c r="S538" i="2"/>
  <c r="R538" i="2"/>
  <c r="Q538" i="2"/>
  <c r="P538" i="2"/>
  <c r="O538" i="2"/>
  <c r="N538" i="2"/>
  <c r="M538" i="2"/>
  <c r="L538" i="2"/>
  <c r="K538" i="2"/>
  <c r="J538" i="2"/>
  <c r="I538" i="2"/>
  <c r="H538" i="2"/>
  <c r="G538" i="2"/>
  <c r="F538" i="2"/>
  <c r="E538" i="2"/>
  <c r="D538" i="2"/>
  <c r="C538" i="2"/>
  <c r="B538" i="2"/>
  <c r="A538" i="2"/>
  <c r="AX537" i="2"/>
  <c r="AV537" i="2"/>
  <c r="AU537" i="2"/>
  <c r="AT537" i="2"/>
  <c r="AR537" i="2"/>
  <c r="AO537" i="2"/>
  <c r="AN537" i="2"/>
  <c r="AM537" i="2"/>
  <c r="AL537" i="2"/>
  <c r="AK537" i="2"/>
  <c r="AJ537" i="2"/>
  <c r="AI537" i="2"/>
  <c r="AH537" i="2"/>
  <c r="AG537" i="2"/>
  <c r="AF537" i="2"/>
  <c r="AE537" i="2"/>
  <c r="AD537" i="2"/>
  <c r="AC537" i="2"/>
  <c r="AB537" i="2"/>
  <c r="AA537" i="2"/>
  <c r="Z537" i="2"/>
  <c r="Y537" i="2"/>
  <c r="X537" i="2"/>
  <c r="W537" i="2"/>
  <c r="V537" i="2"/>
  <c r="U537" i="2"/>
  <c r="T537" i="2"/>
  <c r="S537" i="2"/>
  <c r="R537" i="2"/>
  <c r="Q537" i="2"/>
  <c r="P537" i="2"/>
  <c r="O537" i="2"/>
  <c r="N537" i="2"/>
  <c r="M537" i="2"/>
  <c r="L537" i="2"/>
  <c r="K537" i="2"/>
  <c r="J537" i="2"/>
  <c r="I537" i="2"/>
  <c r="H537" i="2"/>
  <c r="G537" i="2"/>
  <c r="F537" i="2"/>
  <c r="E537" i="2"/>
  <c r="D537" i="2"/>
  <c r="C537" i="2"/>
  <c r="B537" i="2"/>
  <c r="A537" i="2"/>
  <c r="AX536" i="2"/>
  <c r="AV536" i="2"/>
  <c r="AU536" i="2"/>
  <c r="AT536" i="2"/>
  <c r="AS536" i="2"/>
  <c r="AR536" i="2"/>
  <c r="AO536" i="2"/>
  <c r="AN536" i="2"/>
  <c r="AM536" i="2"/>
  <c r="AL536" i="2"/>
  <c r="AK536" i="2"/>
  <c r="AJ536" i="2"/>
  <c r="AI536" i="2"/>
  <c r="AH536" i="2"/>
  <c r="AG536" i="2"/>
  <c r="AF536" i="2"/>
  <c r="AE536" i="2"/>
  <c r="AD536" i="2"/>
  <c r="AC536" i="2"/>
  <c r="AB536" i="2"/>
  <c r="AA536" i="2"/>
  <c r="Z536" i="2"/>
  <c r="Y536" i="2"/>
  <c r="X536" i="2"/>
  <c r="W536" i="2"/>
  <c r="V536" i="2"/>
  <c r="U536" i="2"/>
  <c r="T536" i="2"/>
  <c r="S536" i="2"/>
  <c r="R536" i="2"/>
  <c r="Q536" i="2"/>
  <c r="P536" i="2"/>
  <c r="O536" i="2"/>
  <c r="N536" i="2"/>
  <c r="M536" i="2"/>
  <c r="L536" i="2"/>
  <c r="K536" i="2"/>
  <c r="J536" i="2"/>
  <c r="I536" i="2"/>
  <c r="H536" i="2"/>
  <c r="G536" i="2"/>
  <c r="F536" i="2"/>
  <c r="E536" i="2"/>
  <c r="D536" i="2"/>
  <c r="C536" i="2"/>
  <c r="B536" i="2"/>
  <c r="A536" i="2"/>
  <c r="AX535" i="2"/>
  <c r="AV535" i="2"/>
  <c r="AU535" i="2"/>
  <c r="AT535" i="2"/>
  <c r="AS535" i="2"/>
  <c r="AR535" i="2"/>
  <c r="AO535" i="2"/>
  <c r="AN535" i="2"/>
  <c r="AM535" i="2"/>
  <c r="AK535" i="2"/>
  <c r="AJ535" i="2"/>
  <c r="AI535" i="2"/>
  <c r="AH535" i="2"/>
  <c r="AG535" i="2"/>
  <c r="AE535" i="2"/>
  <c r="AC535" i="2"/>
  <c r="Z535" i="2"/>
  <c r="Y535" i="2"/>
  <c r="X535" i="2"/>
  <c r="U535" i="2"/>
  <c r="T535" i="2"/>
  <c r="S535" i="2"/>
  <c r="R535" i="2"/>
  <c r="Q535" i="2"/>
  <c r="P535" i="2"/>
  <c r="O535" i="2"/>
  <c r="N535" i="2"/>
  <c r="M535" i="2"/>
  <c r="L535" i="2"/>
  <c r="K535" i="2"/>
  <c r="J535" i="2"/>
  <c r="I535" i="2"/>
  <c r="H535" i="2"/>
  <c r="G535" i="2"/>
  <c r="F535" i="2"/>
  <c r="E535" i="2"/>
  <c r="D535" i="2"/>
  <c r="C535" i="2"/>
  <c r="B535" i="2"/>
  <c r="A535" i="2"/>
  <c r="AX534" i="2"/>
  <c r="AV534" i="2"/>
  <c r="AU534" i="2"/>
  <c r="AS534" i="2"/>
  <c r="AR534" i="2"/>
  <c r="AQ534" i="2"/>
  <c r="AP534" i="2"/>
  <c r="AO534" i="2"/>
  <c r="AN534" i="2"/>
  <c r="AM534" i="2"/>
  <c r="AL534" i="2"/>
  <c r="AK534" i="2"/>
  <c r="AJ534" i="2"/>
  <c r="AI534" i="2"/>
  <c r="AH534" i="2"/>
  <c r="AG534" i="2"/>
  <c r="AE534" i="2"/>
  <c r="AD534" i="2"/>
  <c r="AC534" i="2"/>
  <c r="AB534" i="2"/>
  <c r="AA534" i="2"/>
  <c r="Z534" i="2"/>
  <c r="Y534" i="2"/>
  <c r="X534" i="2"/>
  <c r="W534" i="2"/>
  <c r="V534" i="2"/>
  <c r="U534" i="2"/>
  <c r="T534" i="2"/>
  <c r="S534" i="2"/>
  <c r="R534" i="2"/>
  <c r="Q534" i="2"/>
  <c r="P534" i="2"/>
  <c r="O534" i="2"/>
  <c r="N534" i="2"/>
  <c r="M534" i="2"/>
  <c r="L534" i="2"/>
  <c r="K534" i="2"/>
  <c r="J534" i="2"/>
  <c r="I534" i="2"/>
  <c r="H534" i="2"/>
  <c r="G534" i="2"/>
  <c r="F534" i="2"/>
  <c r="E534" i="2"/>
  <c r="D534" i="2"/>
  <c r="C534" i="2"/>
  <c r="B534" i="2"/>
  <c r="A534" i="2"/>
  <c r="AX533" i="2"/>
  <c r="AV533" i="2"/>
  <c r="AU533" i="2"/>
  <c r="AT533" i="2"/>
  <c r="AS533" i="2"/>
  <c r="AR533" i="2"/>
  <c r="AO533" i="2"/>
  <c r="AN533" i="2"/>
  <c r="AM533" i="2"/>
  <c r="AK533" i="2"/>
  <c r="AJ533" i="2"/>
  <c r="AI533" i="2"/>
  <c r="AH533" i="2"/>
  <c r="AG533" i="2"/>
  <c r="AF533" i="2"/>
  <c r="AE533" i="2"/>
  <c r="AD533" i="2"/>
  <c r="AC533" i="2"/>
  <c r="AB533" i="2"/>
  <c r="AA533" i="2"/>
  <c r="Z533" i="2"/>
  <c r="Y533" i="2"/>
  <c r="X533" i="2"/>
  <c r="W533" i="2"/>
  <c r="V533" i="2"/>
  <c r="U533" i="2"/>
  <c r="T533" i="2"/>
  <c r="S533" i="2"/>
  <c r="R533" i="2"/>
  <c r="Q533" i="2"/>
  <c r="P533" i="2"/>
  <c r="O533" i="2"/>
  <c r="N533" i="2"/>
  <c r="M533" i="2"/>
  <c r="L533" i="2"/>
  <c r="K533" i="2"/>
  <c r="J533" i="2"/>
  <c r="I533" i="2"/>
  <c r="H533" i="2"/>
  <c r="G533" i="2"/>
  <c r="F533" i="2"/>
  <c r="E533" i="2"/>
  <c r="D533" i="2"/>
  <c r="C533" i="2"/>
  <c r="B533" i="2"/>
  <c r="A533" i="2"/>
  <c r="AX532" i="2"/>
  <c r="AV532" i="2"/>
  <c r="AU532" i="2"/>
  <c r="AT532" i="2"/>
  <c r="AS532" i="2"/>
  <c r="AR532" i="2"/>
  <c r="AO532" i="2"/>
  <c r="AN532" i="2"/>
  <c r="AM532" i="2"/>
  <c r="AL532" i="2"/>
  <c r="AK532" i="2"/>
  <c r="AJ532" i="2"/>
  <c r="AI532" i="2"/>
  <c r="AH532" i="2"/>
  <c r="AG532" i="2"/>
  <c r="AE532" i="2"/>
  <c r="AD532" i="2"/>
  <c r="AC532" i="2"/>
  <c r="AB532" i="2"/>
  <c r="AA532" i="2"/>
  <c r="Z532" i="2"/>
  <c r="Y532" i="2"/>
  <c r="X532" i="2"/>
  <c r="W532" i="2"/>
  <c r="V532" i="2"/>
  <c r="U532" i="2"/>
  <c r="T532" i="2"/>
  <c r="S532" i="2"/>
  <c r="R532" i="2"/>
  <c r="Q532" i="2"/>
  <c r="P532" i="2"/>
  <c r="O532" i="2"/>
  <c r="N532" i="2"/>
  <c r="M532" i="2"/>
  <c r="L532" i="2"/>
  <c r="K532" i="2"/>
  <c r="J532" i="2"/>
  <c r="I532" i="2"/>
  <c r="H532" i="2"/>
  <c r="G532" i="2"/>
  <c r="F532" i="2"/>
  <c r="E532" i="2"/>
  <c r="D532" i="2"/>
  <c r="C532" i="2"/>
  <c r="B532" i="2"/>
  <c r="A532" i="2"/>
  <c r="AX531" i="2"/>
  <c r="AV531" i="2"/>
  <c r="AU531" i="2"/>
  <c r="AT531" i="2"/>
  <c r="AS531" i="2"/>
  <c r="AR531" i="2"/>
  <c r="AQ531" i="2"/>
  <c r="AP531" i="2"/>
  <c r="AO531" i="2"/>
  <c r="AN531" i="2"/>
  <c r="AM531" i="2"/>
  <c r="AK531" i="2"/>
  <c r="AJ531" i="2"/>
  <c r="AI531" i="2"/>
  <c r="AH531" i="2"/>
  <c r="AG531" i="2"/>
  <c r="AE531" i="2"/>
  <c r="AD531" i="2"/>
  <c r="AC531" i="2"/>
  <c r="AB531" i="2"/>
  <c r="AA531" i="2"/>
  <c r="Z531" i="2"/>
  <c r="Y531" i="2"/>
  <c r="X531" i="2"/>
  <c r="W531" i="2"/>
  <c r="V531" i="2"/>
  <c r="U531" i="2"/>
  <c r="T531" i="2"/>
  <c r="S531" i="2"/>
  <c r="R531" i="2"/>
  <c r="Q531" i="2"/>
  <c r="P531" i="2"/>
  <c r="O531" i="2"/>
  <c r="N531" i="2"/>
  <c r="M531" i="2"/>
  <c r="L531" i="2"/>
  <c r="K531" i="2"/>
  <c r="J531" i="2"/>
  <c r="I531" i="2"/>
  <c r="H531" i="2"/>
  <c r="G531" i="2"/>
  <c r="F531" i="2"/>
  <c r="E531" i="2"/>
  <c r="D531" i="2"/>
  <c r="C531" i="2"/>
  <c r="B531" i="2"/>
  <c r="A531" i="2"/>
  <c r="AX530" i="2"/>
  <c r="AV530" i="2"/>
  <c r="AU530" i="2"/>
  <c r="AT530" i="2"/>
  <c r="AS530" i="2"/>
  <c r="AR530" i="2"/>
  <c r="AO530" i="2"/>
  <c r="AN530" i="2"/>
  <c r="AM530" i="2"/>
  <c r="AK530" i="2"/>
  <c r="AJ530" i="2"/>
  <c r="AI530" i="2"/>
  <c r="AH530" i="2"/>
  <c r="AG530" i="2"/>
  <c r="AE530" i="2"/>
  <c r="AD530" i="2"/>
  <c r="AC530" i="2"/>
  <c r="Z530" i="2"/>
  <c r="Y530" i="2"/>
  <c r="V530" i="2"/>
  <c r="U530" i="2"/>
  <c r="T530" i="2"/>
  <c r="S530" i="2"/>
  <c r="R530" i="2"/>
  <c r="Q530" i="2"/>
  <c r="P530" i="2"/>
  <c r="O530" i="2"/>
  <c r="N530" i="2"/>
  <c r="M530" i="2"/>
  <c r="L530" i="2"/>
  <c r="K530" i="2"/>
  <c r="J530" i="2"/>
  <c r="I530" i="2"/>
  <c r="H530" i="2"/>
  <c r="G530" i="2"/>
  <c r="F530" i="2"/>
  <c r="E530" i="2"/>
  <c r="D530" i="2"/>
  <c r="C530" i="2"/>
  <c r="B530" i="2"/>
  <c r="A530" i="2"/>
  <c r="AX529" i="2"/>
  <c r="AV529" i="2"/>
  <c r="AU529" i="2"/>
  <c r="AT529" i="2"/>
  <c r="AR529" i="2"/>
  <c r="AQ529" i="2"/>
  <c r="AP529" i="2"/>
  <c r="AO529" i="2"/>
  <c r="AN529" i="2"/>
  <c r="AM529" i="2"/>
  <c r="AL529" i="2"/>
  <c r="AK529" i="2"/>
  <c r="AJ529" i="2"/>
  <c r="AI529" i="2"/>
  <c r="AH529" i="2"/>
  <c r="AG529" i="2"/>
  <c r="AE529" i="2"/>
  <c r="AD529" i="2"/>
  <c r="AC529" i="2"/>
  <c r="Z529" i="2"/>
  <c r="Y529" i="2"/>
  <c r="X529" i="2"/>
  <c r="W529" i="2"/>
  <c r="V529" i="2"/>
  <c r="U529" i="2"/>
  <c r="T529" i="2"/>
  <c r="S529" i="2"/>
  <c r="R529" i="2"/>
  <c r="Q529" i="2"/>
  <c r="P529" i="2"/>
  <c r="O529" i="2"/>
  <c r="N529" i="2"/>
  <c r="M529" i="2"/>
  <c r="L529" i="2"/>
  <c r="K529" i="2"/>
  <c r="J529" i="2"/>
  <c r="I529" i="2"/>
  <c r="H529" i="2"/>
  <c r="G529" i="2"/>
  <c r="F529" i="2"/>
  <c r="E529" i="2"/>
  <c r="D529" i="2"/>
  <c r="C529" i="2"/>
  <c r="B529" i="2"/>
  <c r="A529" i="2"/>
  <c r="AX528" i="2"/>
  <c r="AV528" i="2"/>
  <c r="AU528" i="2"/>
  <c r="AS528" i="2"/>
  <c r="AR528" i="2"/>
  <c r="AO528" i="2"/>
  <c r="AN528" i="2"/>
  <c r="AM528" i="2"/>
  <c r="AL528" i="2"/>
  <c r="AK528" i="2"/>
  <c r="AJ528" i="2"/>
  <c r="AI528" i="2"/>
  <c r="AH528" i="2"/>
  <c r="AG528" i="2"/>
  <c r="AD528" i="2"/>
  <c r="AC528" i="2"/>
  <c r="AB528" i="2"/>
  <c r="AA528" i="2"/>
  <c r="Z528" i="2"/>
  <c r="Y528" i="2"/>
  <c r="X528" i="2"/>
  <c r="W528" i="2"/>
  <c r="V528" i="2"/>
  <c r="U528" i="2"/>
  <c r="T528" i="2"/>
  <c r="S528" i="2"/>
  <c r="R528" i="2"/>
  <c r="Q528" i="2"/>
  <c r="P528" i="2"/>
  <c r="O528" i="2"/>
  <c r="N528" i="2"/>
  <c r="M528" i="2"/>
  <c r="L528" i="2"/>
  <c r="K528" i="2"/>
  <c r="J528" i="2"/>
  <c r="I528" i="2"/>
  <c r="H528" i="2"/>
  <c r="G528" i="2"/>
  <c r="F528" i="2"/>
  <c r="E528" i="2"/>
  <c r="D528" i="2"/>
  <c r="C528" i="2"/>
  <c r="B528" i="2"/>
  <c r="A528" i="2"/>
  <c r="AX527" i="2"/>
  <c r="AV527" i="2"/>
  <c r="AU527" i="2"/>
  <c r="AT527" i="2"/>
  <c r="AS527" i="2"/>
  <c r="AR527" i="2"/>
  <c r="AO527" i="2"/>
  <c r="AN527" i="2"/>
  <c r="AM527" i="2"/>
  <c r="AK527" i="2"/>
  <c r="AJ527" i="2"/>
  <c r="AI527" i="2"/>
  <c r="AH527" i="2"/>
  <c r="AG527" i="2"/>
  <c r="AF527" i="2"/>
  <c r="AE527" i="2"/>
  <c r="AD527" i="2"/>
  <c r="AC527" i="2"/>
  <c r="AB527" i="2"/>
  <c r="AA527" i="2"/>
  <c r="Z527" i="2"/>
  <c r="Y527" i="2"/>
  <c r="X527" i="2"/>
  <c r="W527" i="2"/>
  <c r="V527" i="2"/>
  <c r="U527" i="2"/>
  <c r="T527" i="2"/>
  <c r="S527" i="2"/>
  <c r="R527" i="2"/>
  <c r="Q527" i="2"/>
  <c r="P527" i="2"/>
  <c r="O527" i="2"/>
  <c r="N527" i="2"/>
  <c r="M527" i="2"/>
  <c r="L527" i="2"/>
  <c r="K527" i="2"/>
  <c r="J527" i="2"/>
  <c r="I527" i="2"/>
  <c r="H527" i="2"/>
  <c r="G527" i="2"/>
  <c r="F527" i="2"/>
  <c r="E527" i="2"/>
  <c r="D527" i="2"/>
  <c r="C527" i="2"/>
  <c r="B527" i="2"/>
  <c r="A527" i="2"/>
  <c r="AX526" i="2"/>
  <c r="AV526" i="2"/>
  <c r="AU526" i="2"/>
  <c r="AT526" i="2"/>
  <c r="AS526" i="2"/>
  <c r="AR526" i="2"/>
  <c r="AO526" i="2"/>
  <c r="AN526" i="2"/>
  <c r="AM526" i="2"/>
  <c r="AL526" i="2"/>
  <c r="AK526" i="2"/>
  <c r="AJ526" i="2"/>
  <c r="AI526" i="2"/>
  <c r="AH526" i="2"/>
  <c r="AG526" i="2"/>
  <c r="AE526" i="2"/>
  <c r="AD526" i="2"/>
  <c r="AC526" i="2"/>
  <c r="AB526" i="2"/>
  <c r="AA526" i="2"/>
  <c r="Z526" i="2"/>
  <c r="Y526" i="2"/>
  <c r="X526" i="2"/>
  <c r="W526" i="2"/>
  <c r="V526" i="2"/>
  <c r="U526" i="2"/>
  <c r="T526" i="2"/>
  <c r="S526" i="2"/>
  <c r="R526" i="2"/>
  <c r="Q526" i="2"/>
  <c r="P526" i="2"/>
  <c r="O526" i="2"/>
  <c r="N526" i="2"/>
  <c r="M526" i="2"/>
  <c r="L526" i="2"/>
  <c r="K526" i="2"/>
  <c r="J526" i="2"/>
  <c r="I526" i="2"/>
  <c r="H526" i="2"/>
  <c r="G526" i="2"/>
  <c r="F526" i="2"/>
  <c r="E526" i="2"/>
  <c r="D526" i="2"/>
  <c r="C526" i="2"/>
  <c r="B526" i="2"/>
  <c r="A526" i="2"/>
  <c r="AX525" i="2"/>
  <c r="AV525" i="2"/>
  <c r="AU525" i="2"/>
  <c r="AT525" i="2"/>
  <c r="AS525" i="2"/>
  <c r="AR525" i="2"/>
  <c r="AO525" i="2"/>
  <c r="AN525" i="2"/>
  <c r="AM525" i="2"/>
  <c r="AL525" i="2"/>
  <c r="AK525" i="2"/>
  <c r="AJ525" i="2"/>
  <c r="AI525" i="2"/>
  <c r="AH525" i="2"/>
  <c r="AG525" i="2"/>
  <c r="AE525" i="2"/>
  <c r="AD525" i="2"/>
  <c r="AC525" i="2"/>
  <c r="AB525" i="2"/>
  <c r="AA525" i="2"/>
  <c r="Z525" i="2"/>
  <c r="Y525" i="2"/>
  <c r="X525" i="2"/>
  <c r="W525" i="2"/>
  <c r="V525" i="2"/>
  <c r="U525" i="2"/>
  <c r="T525" i="2"/>
  <c r="S525" i="2"/>
  <c r="R525" i="2"/>
  <c r="Q525" i="2"/>
  <c r="P525" i="2"/>
  <c r="O525" i="2"/>
  <c r="N525" i="2"/>
  <c r="M525" i="2"/>
  <c r="L525" i="2"/>
  <c r="K525" i="2"/>
  <c r="J525" i="2"/>
  <c r="I525" i="2"/>
  <c r="H525" i="2"/>
  <c r="G525" i="2"/>
  <c r="F525" i="2"/>
  <c r="E525" i="2"/>
  <c r="D525" i="2"/>
  <c r="C525" i="2"/>
  <c r="B525" i="2"/>
  <c r="A525" i="2"/>
  <c r="AX524" i="2"/>
  <c r="AV524" i="2"/>
  <c r="AU524" i="2"/>
  <c r="AT524" i="2"/>
  <c r="AS524" i="2"/>
  <c r="AR524" i="2"/>
  <c r="AO524" i="2"/>
  <c r="AN524" i="2"/>
  <c r="AM524" i="2"/>
  <c r="AL524" i="2"/>
  <c r="AK524" i="2"/>
  <c r="AJ524" i="2"/>
  <c r="AI524" i="2"/>
  <c r="AH524" i="2"/>
  <c r="AG524" i="2"/>
  <c r="AE524" i="2"/>
  <c r="AD524" i="2"/>
  <c r="AC524" i="2"/>
  <c r="AB524" i="2"/>
  <c r="AA524" i="2"/>
  <c r="Z524" i="2"/>
  <c r="Y524" i="2"/>
  <c r="X524" i="2"/>
  <c r="W524" i="2"/>
  <c r="V524" i="2"/>
  <c r="U524" i="2"/>
  <c r="T524" i="2"/>
  <c r="S524" i="2"/>
  <c r="R524" i="2"/>
  <c r="Q524" i="2"/>
  <c r="P524" i="2"/>
  <c r="O524" i="2"/>
  <c r="N524" i="2"/>
  <c r="M524" i="2"/>
  <c r="L524" i="2"/>
  <c r="K524" i="2"/>
  <c r="J524" i="2"/>
  <c r="I524" i="2"/>
  <c r="H524" i="2"/>
  <c r="G524" i="2"/>
  <c r="F524" i="2"/>
  <c r="E524" i="2"/>
  <c r="D524" i="2"/>
  <c r="C524" i="2"/>
  <c r="B524" i="2"/>
  <c r="A524" i="2"/>
  <c r="AX523" i="2"/>
  <c r="AV523" i="2"/>
  <c r="AU523" i="2"/>
  <c r="AT523" i="2"/>
  <c r="AS523" i="2"/>
  <c r="AR523" i="2"/>
  <c r="AO523" i="2"/>
  <c r="AN523" i="2"/>
  <c r="AM523" i="2"/>
  <c r="AL523" i="2"/>
  <c r="AK523" i="2"/>
  <c r="AJ523" i="2"/>
  <c r="AI523" i="2"/>
  <c r="AH523" i="2"/>
  <c r="AG523" i="2"/>
  <c r="AE523" i="2"/>
  <c r="AD523" i="2"/>
  <c r="AC523" i="2"/>
  <c r="AB523" i="2"/>
  <c r="AA523" i="2"/>
  <c r="Z523" i="2"/>
  <c r="Y523" i="2"/>
  <c r="X523" i="2"/>
  <c r="W523" i="2"/>
  <c r="V523" i="2"/>
  <c r="U523" i="2"/>
  <c r="T523" i="2"/>
  <c r="S523" i="2"/>
  <c r="R523" i="2"/>
  <c r="Q523" i="2"/>
  <c r="P523" i="2"/>
  <c r="O523" i="2"/>
  <c r="N523" i="2"/>
  <c r="M523" i="2"/>
  <c r="L523" i="2"/>
  <c r="K523" i="2"/>
  <c r="J523" i="2"/>
  <c r="I523" i="2"/>
  <c r="H523" i="2"/>
  <c r="G523" i="2"/>
  <c r="F523" i="2"/>
  <c r="E523" i="2"/>
  <c r="D523" i="2"/>
  <c r="C523" i="2"/>
  <c r="B523" i="2"/>
  <c r="A523" i="2"/>
  <c r="AX522" i="2"/>
  <c r="AW522" i="2"/>
  <c r="AV522" i="2"/>
  <c r="AU522" i="2"/>
  <c r="AT522" i="2"/>
  <c r="AS522" i="2"/>
  <c r="AR522" i="2"/>
  <c r="AO522" i="2"/>
  <c r="AN522" i="2"/>
  <c r="AM522" i="2"/>
  <c r="AL522" i="2"/>
  <c r="AK522" i="2"/>
  <c r="AJ522" i="2"/>
  <c r="AI522" i="2"/>
  <c r="AH522" i="2"/>
  <c r="AG522" i="2"/>
  <c r="AE522" i="2"/>
  <c r="AC522" i="2"/>
  <c r="Z522" i="2"/>
  <c r="Y522" i="2"/>
  <c r="X522" i="2"/>
  <c r="W522" i="2"/>
  <c r="V522" i="2"/>
  <c r="U522" i="2"/>
  <c r="T522" i="2"/>
  <c r="S522" i="2"/>
  <c r="R522" i="2"/>
  <c r="Q522" i="2"/>
  <c r="P522" i="2"/>
  <c r="O522" i="2"/>
  <c r="N522" i="2"/>
  <c r="M522" i="2"/>
  <c r="L522" i="2"/>
  <c r="K522" i="2"/>
  <c r="J522" i="2"/>
  <c r="I522" i="2"/>
  <c r="H522" i="2"/>
  <c r="G522" i="2"/>
  <c r="F522" i="2"/>
  <c r="E522" i="2"/>
  <c r="D522" i="2"/>
  <c r="C522" i="2"/>
  <c r="B522" i="2"/>
  <c r="A522" i="2"/>
  <c r="AX521" i="2"/>
  <c r="AV521" i="2"/>
  <c r="AU521" i="2"/>
  <c r="AS521" i="2"/>
  <c r="AR521" i="2"/>
  <c r="AO521" i="2"/>
  <c r="AN521" i="2"/>
  <c r="AM521" i="2"/>
  <c r="AL521" i="2"/>
  <c r="AK521" i="2"/>
  <c r="AJ521" i="2"/>
  <c r="AI521" i="2"/>
  <c r="AH521" i="2"/>
  <c r="AG521" i="2"/>
  <c r="AE521" i="2"/>
  <c r="AD521" i="2"/>
  <c r="AC521" i="2"/>
  <c r="AB521" i="2"/>
  <c r="AA521" i="2"/>
  <c r="Z521" i="2"/>
  <c r="Y521" i="2"/>
  <c r="X521" i="2"/>
  <c r="W521" i="2"/>
  <c r="V521" i="2"/>
  <c r="U521" i="2"/>
  <c r="T521" i="2"/>
  <c r="S521" i="2"/>
  <c r="R521" i="2"/>
  <c r="Q521" i="2"/>
  <c r="P521" i="2"/>
  <c r="O521" i="2"/>
  <c r="N521" i="2"/>
  <c r="M521" i="2"/>
  <c r="L521" i="2"/>
  <c r="K521" i="2"/>
  <c r="J521" i="2"/>
  <c r="I521" i="2"/>
  <c r="H521" i="2"/>
  <c r="G521" i="2"/>
  <c r="F521" i="2"/>
  <c r="E521" i="2"/>
  <c r="D521" i="2"/>
  <c r="C521" i="2"/>
  <c r="B521" i="2"/>
  <c r="A521" i="2"/>
  <c r="AX520" i="2"/>
  <c r="AV520" i="2"/>
  <c r="AU520" i="2"/>
  <c r="AT520" i="2"/>
  <c r="AS520" i="2"/>
  <c r="AR520" i="2"/>
  <c r="AO520" i="2"/>
  <c r="AN520" i="2"/>
  <c r="AM520" i="2"/>
  <c r="AL520" i="2"/>
  <c r="AK520" i="2"/>
  <c r="AJ520" i="2"/>
  <c r="AI520" i="2"/>
  <c r="AH520" i="2"/>
  <c r="AG520" i="2"/>
  <c r="AF520" i="2"/>
  <c r="AE520" i="2"/>
  <c r="AC520" i="2"/>
  <c r="AA520" i="2"/>
  <c r="Z520" i="2"/>
  <c r="Y520" i="2"/>
  <c r="X520" i="2"/>
  <c r="W520" i="2"/>
  <c r="V520" i="2"/>
  <c r="U520" i="2"/>
  <c r="T520" i="2"/>
  <c r="S520" i="2"/>
  <c r="R520" i="2"/>
  <c r="Q520" i="2"/>
  <c r="P520" i="2"/>
  <c r="O520" i="2"/>
  <c r="N520" i="2"/>
  <c r="M520" i="2"/>
  <c r="L520" i="2"/>
  <c r="K520" i="2"/>
  <c r="J520" i="2"/>
  <c r="I520" i="2"/>
  <c r="H520" i="2"/>
  <c r="G520" i="2"/>
  <c r="F520" i="2"/>
  <c r="E520" i="2"/>
  <c r="D520" i="2"/>
  <c r="C520" i="2"/>
  <c r="B520" i="2"/>
  <c r="A520" i="2"/>
  <c r="AX519" i="2"/>
  <c r="AV519" i="2"/>
  <c r="AU519" i="2"/>
  <c r="AS519" i="2"/>
  <c r="AR519" i="2"/>
  <c r="AO519" i="2"/>
  <c r="AN519" i="2"/>
  <c r="AM519" i="2"/>
  <c r="AL519" i="2"/>
  <c r="AK519" i="2"/>
  <c r="AJ519" i="2"/>
  <c r="AI519" i="2"/>
  <c r="AH519" i="2"/>
  <c r="AG519" i="2"/>
  <c r="AE519" i="2"/>
  <c r="AD519" i="2"/>
  <c r="AC519" i="2"/>
  <c r="AB519" i="2"/>
  <c r="AA519" i="2"/>
  <c r="Z519" i="2"/>
  <c r="Y519" i="2"/>
  <c r="X519" i="2"/>
  <c r="W519" i="2"/>
  <c r="V519" i="2"/>
  <c r="U519" i="2"/>
  <c r="T519" i="2"/>
  <c r="S519" i="2"/>
  <c r="R519" i="2"/>
  <c r="Q519" i="2"/>
  <c r="P519" i="2"/>
  <c r="O519" i="2"/>
  <c r="N519" i="2"/>
  <c r="M519" i="2"/>
  <c r="L519" i="2"/>
  <c r="K519" i="2"/>
  <c r="J519" i="2"/>
  <c r="I519" i="2"/>
  <c r="H519" i="2"/>
  <c r="G519" i="2"/>
  <c r="F519" i="2"/>
  <c r="E519" i="2"/>
  <c r="D519" i="2"/>
  <c r="C519" i="2"/>
  <c r="B519" i="2"/>
  <c r="A519" i="2"/>
  <c r="AX518" i="2"/>
  <c r="AV518" i="2"/>
  <c r="AU518" i="2"/>
  <c r="AT518" i="2"/>
  <c r="AS518" i="2"/>
  <c r="AR518" i="2"/>
  <c r="AO518" i="2"/>
  <c r="AN518" i="2"/>
  <c r="AM518" i="2"/>
  <c r="AL518" i="2"/>
  <c r="AK518" i="2"/>
  <c r="AJ518" i="2"/>
  <c r="AI518" i="2"/>
  <c r="AH518" i="2"/>
  <c r="AG518" i="2"/>
  <c r="AE518" i="2"/>
  <c r="AD518" i="2"/>
  <c r="AC518" i="2"/>
  <c r="Z518" i="2"/>
  <c r="Y518" i="2"/>
  <c r="X518" i="2"/>
  <c r="W518" i="2"/>
  <c r="V518" i="2"/>
  <c r="U518" i="2"/>
  <c r="T518" i="2"/>
  <c r="S518" i="2"/>
  <c r="R518" i="2"/>
  <c r="Q518" i="2"/>
  <c r="P518" i="2"/>
  <c r="O518" i="2"/>
  <c r="N518" i="2"/>
  <c r="M518" i="2"/>
  <c r="L518" i="2"/>
  <c r="K518" i="2"/>
  <c r="J518" i="2"/>
  <c r="I518" i="2"/>
  <c r="H518" i="2"/>
  <c r="G518" i="2"/>
  <c r="F518" i="2"/>
  <c r="E518" i="2"/>
  <c r="D518" i="2"/>
  <c r="C518" i="2"/>
  <c r="B518" i="2"/>
  <c r="A518" i="2"/>
  <c r="AX517" i="2"/>
  <c r="AV517" i="2"/>
  <c r="AU517" i="2"/>
  <c r="AT517" i="2"/>
  <c r="AS517" i="2"/>
  <c r="AQ517" i="2"/>
  <c r="AP517" i="2"/>
  <c r="AO517" i="2"/>
  <c r="AN517" i="2"/>
  <c r="AM517" i="2"/>
  <c r="AL517" i="2"/>
  <c r="AK517" i="2"/>
  <c r="AJ517" i="2"/>
  <c r="AI517" i="2"/>
  <c r="AH517" i="2"/>
  <c r="AG517" i="2"/>
  <c r="AE517" i="2"/>
  <c r="AD517" i="2"/>
  <c r="AC517" i="2"/>
  <c r="AB517" i="2"/>
  <c r="Z517" i="2"/>
  <c r="Y517" i="2"/>
  <c r="X517" i="2"/>
  <c r="V517" i="2"/>
  <c r="U517" i="2"/>
  <c r="T517" i="2"/>
  <c r="S517" i="2"/>
  <c r="R517" i="2"/>
  <c r="Q517" i="2"/>
  <c r="P517" i="2"/>
  <c r="O517" i="2"/>
  <c r="N517" i="2"/>
  <c r="M517" i="2"/>
  <c r="L517" i="2"/>
  <c r="K517" i="2"/>
  <c r="J517" i="2"/>
  <c r="I517" i="2"/>
  <c r="H517" i="2"/>
  <c r="G517" i="2"/>
  <c r="F517" i="2"/>
  <c r="E517" i="2"/>
  <c r="D517" i="2"/>
  <c r="C517" i="2"/>
  <c r="B517" i="2"/>
  <c r="A517" i="2"/>
  <c r="AX516" i="2"/>
  <c r="AV516" i="2"/>
  <c r="AU516" i="2"/>
  <c r="AT516" i="2"/>
  <c r="AS516" i="2"/>
  <c r="AR516" i="2"/>
  <c r="AO516" i="2"/>
  <c r="AN516" i="2"/>
  <c r="AM516" i="2"/>
  <c r="AL516" i="2"/>
  <c r="AK516" i="2"/>
  <c r="AJ516" i="2"/>
  <c r="AI516" i="2"/>
  <c r="AH516" i="2"/>
  <c r="AG516" i="2"/>
  <c r="AD516" i="2"/>
  <c r="AC516" i="2"/>
  <c r="AA516" i="2"/>
  <c r="Z516" i="2"/>
  <c r="Y516" i="2"/>
  <c r="X516" i="2"/>
  <c r="V516" i="2"/>
  <c r="U516" i="2"/>
  <c r="T516" i="2"/>
  <c r="S516" i="2"/>
  <c r="Q516" i="2"/>
  <c r="P516" i="2"/>
  <c r="O516" i="2"/>
  <c r="N516" i="2"/>
  <c r="M516" i="2"/>
  <c r="L516" i="2"/>
  <c r="K516" i="2"/>
  <c r="J516" i="2"/>
  <c r="I516" i="2"/>
  <c r="H516" i="2"/>
  <c r="G516" i="2"/>
  <c r="F516" i="2"/>
  <c r="E516" i="2"/>
  <c r="D516" i="2"/>
  <c r="C516" i="2"/>
  <c r="B516" i="2"/>
  <c r="A516" i="2"/>
  <c r="AX515" i="2"/>
  <c r="AV515" i="2"/>
  <c r="AU515" i="2"/>
  <c r="AT515" i="2"/>
  <c r="AS515" i="2"/>
  <c r="AR515" i="2"/>
  <c r="AP515" i="2"/>
  <c r="AO515" i="2"/>
  <c r="AN515" i="2"/>
  <c r="AM515" i="2"/>
  <c r="AL515" i="2"/>
  <c r="AK515" i="2"/>
  <c r="AJ515" i="2"/>
  <c r="AI515" i="2"/>
  <c r="AH515" i="2"/>
  <c r="AG515" i="2"/>
  <c r="AE515" i="2"/>
  <c r="AD515" i="2"/>
  <c r="AC515" i="2"/>
  <c r="AB515" i="2"/>
  <c r="Z515" i="2"/>
  <c r="Y515" i="2"/>
  <c r="X515" i="2"/>
  <c r="W515" i="2"/>
  <c r="V515" i="2"/>
  <c r="U515" i="2"/>
  <c r="T515" i="2"/>
  <c r="S515" i="2"/>
  <c r="R515" i="2"/>
  <c r="Q515" i="2"/>
  <c r="P515" i="2"/>
  <c r="O515" i="2"/>
  <c r="N515" i="2"/>
  <c r="M515" i="2"/>
  <c r="L515" i="2"/>
  <c r="K515" i="2"/>
  <c r="J515" i="2"/>
  <c r="I515" i="2"/>
  <c r="H515" i="2"/>
  <c r="G515" i="2"/>
  <c r="F515" i="2"/>
  <c r="E515" i="2"/>
  <c r="D515" i="2"/>
  <c r="C515" i="2"/>
  <c r="B515" i="2"/>
  <c r="A515" i="2"/>
  <c r="AX514" i="2"/>
  <c r="AV514" i="2"/>
  <c r="AU514" i="2"/>
  <c r="AT514" i="2"/>
  <c r="AS514" i="2"/>
  <c r="AR514" i="2"/>
  <c r="AO514" i="2"/>
  <c r="AN514" i="2"/>
  <c r="AM514" i="2"/>
  <c r="AK514" i="2"/>
  <c r="AJ514" i="2"/>
  <c r="AI514" i="2"/>
  <c r="AH514" i="2"/>
  <c r="AG514" i="2"/>
  <c r="AE514" i="2"/>
  <c r="AD514" i="2"/>
  <c r="AC514" i="2"/>
  <c r="AB514" i="2"/>
  <c r="AA514" i="2"/>
  <c r="Z514" i="2"/>
  <c r="Y514" i="2"/>
  <c r="X514" i="2"/>
  <c r="W514" i="2"/>
  <c r="V514" i="2"/>
  <c r="U514" i="2"/>
  <c r="T514" i="2"/>
  <c r="S514" i="2"/>
  <c r="R514" i="2"/>
  <c r="Q514" i="2"/>
  <c r="P514" i="2"/>
  <c r="O514" i="2"/>
  <c r="N514" i="2"/>
  <c r="M514" i="2"/>
  <c r="L514" i="2"/>
  <c r="K514" i="2"/>
  <c r="J514" i="2"/>
  <c r="I514" i="2"/>
  <c r="H514" i="2"/>
  <c r="G514" i="2"/>
  <c r="F514" i="2"/>
  <c r="E514" i="2"/>
  <c r="D514" i="2"/>
  <c r="C514" i="2"/>
  <c r="B514" i="2"/>
  <c r="A514" i="2"/>
  <c r="AX513" i="2"/>
  <c r="AV513" i="2"/>
  <c r="AU513" i="2"/>
  <c r="AT513" i="2"/>
  <c r="AS513" i="2"/>
  <c r="AR513" i="2"/>
  <c r="AO513" i="2"/>
  <c r="AN513" i="2"/>
  <c r="AM513" i="2"/>
  <c r="AK513" i="2"/>
  <c r="AJ513" i="2"/>
  <c r="AI513" i="2"/>
  <c r="AH513" i="2"/>
  <c r="AG513" i="2"/>
  <c r="AC513" i="2"/>
  <c r="Z513" i="2"/>
  <c r="Y513" i="2"/>
  <c r="X513" i="2"/>
  <c r="W513" i="2"/>
  <c r="V513" i="2"/>
  <c r="U513" i="2"/>
  <c r="T513" i="2"/>
  <c r="S513" i="2"/>
  <c r="R513" i="2"/>
  <c r="Q513" i="2"/>
  <c r="P513" i="2"/>
  <c r="O513" i="2"/>
  <c r="N513" i="2"/>
  <c r="M513" i="2"/>
  <c r="L513" i="2"/>
  <c r="K513" i="2"/>
  <c r="J513" i="2"/>
  <c r="I513" i="2"/>
  <c r="H513" i="2"/>
  <c r="G513" i="2"/>
  <c r="F513" i="2"/>
  <c r="E513" i="2"/>
  <c r="D513" i="2"/>
  <c r="C513" i="2"/>
  <c r="B513" i="2"/>
  <c r="A513" i="2"/>
  <c r="AX512" i="2"/>
  <c r="AV512" i="2"/>
  <c r="AU512" i="2"/>
  <c r="AT512" i="2"/>
  <c r="AS512" i="2"/>
  <c r="AR512" i="2"/>
  <c r="AO512" i="2"/>
  <c r="AN512" i="2"/>
  <c r="AM512" i="2"/>
  <c r="AK512" i="2"/>
  <c r="AJ512" i="2"/>
  <c r="AI512" i="2"/>
  <c r="AH512" i="2"/>
  <c r="AG512" i="2"/>
  <c r="AC512" i="2"/>
  <c r="AB512" i="2"/>
  <c r="AA512" i="2"/>
  <c r="Z512" i="2"/>
  <c r="Y512" i="2"/>
  <c r="X512" i="2"/>
  <c r="W512" i="2"/>
  <c r="V512" i="2"/>
  <c r="U512" i="2"/>
  <c r="T512" i="2"/>
  <c r="S512" i="2"/>
  <c r="R512" i="2"/>
  <c r="Q512" i="2"/>
  <c r="P512" i="2"/>
  <c r="O512" i="2"/>
  <c r="N512" i="2"/>
  <c r="M512" i="2"/>
  <c r="L512" i="2"/>
  <c r="K512" i="2"/>
  <c r="J512" i="2"/>
  <c r="I512" i="2"/>
  <c r="H512" i="2"/>
  <c r="G512" i="2"/>
  <c r="F512" i="2"/>
  <c r="E512" i="2"/>
  <c r="D512" i="2"/>
  <c r="C512" i="2"/>
  <c r="B512" i="2"/>
  <c r="A512" i="2"/>
  <c r="AX511" i="2"/>
  <c r="AW511" i="2"/>
  <c r="AV511" i="2"/>
  <c r="AU511" i="2"/>
  <c r="AT511" i="2"/>
  <c r="AS511" i="2"/>
  <c r="AR511" i="2"/>
  <c r="AO511" i="2"/>
  <c r="AN511" i="2"/>
  <c r="AM511" i="2"/>
  <c r="AK511" i="2"/>
  <c r="AJ511" i="2"/>
  <c r="AI511" i="2"/>
  <c r="AH511" i="2"/>
  <c r="AG511" i="2"/>
  <c r="AE511" i="2"/>
  <c r="AC511" i="2"/>
  <c r="Z511" i="2"/>
  <c r="Y511" i="2"/>
  <c r="X511" i="2"/>
  <c r="W511" i="2"/>
  <c r="V511" i="2"/>
  <c r="U511" i="2"/>
  <c r="T511" i="2"/>
  <c r="S511" i="2"/>
  <c r="R511" i="2"/>
  <c r="Q511" i="2"/>
  <c r="P511" i="2"/>
  <c r="O511" i="2"/>
  <c r="N511" i="2"/>
  <c r="M511" i="2"/>
  <c r="L511" i="2"/>
  <c r="K511" i="2"/>
  <c r="J511" i="2"/>
  <c r="I511" i="2"/>
  <c r="H511" i="2"/>
  <c r="G511" i="2"/>
  <c r="F511" i="2"/>
  <c r="E511" i="2"/>
  <c r="D511" i="2"/>
  <c r="C511" i="2"/>
  <c r="B511" i="2"/>
  <c r="A511" i="2"/>
  <c r="AX510" i="2"/>
  <c r="AW510" i="2"/>
  <c r="AV510" i="2"/>
  <c r="AU510" i="2"/>
  <c r="AT510" i="2"/>
  <c r="AS510" i="2"/>
  <c r="AR510" i="2"/>
  <c r="AO510" i="2"/>
  <c r="AN510" i="2"/>
  <c r="AM510" i="2"/>
  <c r="AL510" i="2"/>
  <c r="AK510" i="2"/>
  <c r="AJ510" i="2"/>
  <c r="AI510" i="2"/>
  <c r="AH510" i="2"/>
  <c r="AG510" i="2"/>
  <c r="AE510" i="2"/>
  <c r="AC510" i="2"/>
  <c r="Z510" i="2"/>
  <c r="Y510" i="2"/>
  <c r="X510" i="2"/>
  <c r="V510" i="2"/>
  <c r="U510" i="2"/>
  <c r="T510" i="2"/>
  <c r="S510" i="2"/>
  <c r="R510" i="2"/>
  <c r="Q510" i="2"/>
  <c r="P510" i="2"/>
  <c r="O510" i="2"/>
  <c r="N510" i="2"/>
  <c r="M510" i="2"/>
  <c r="L510" i="2"/>
  <c r="K510" i="2"/>
  <c r="J510" i="2"/>
  <c r="I510" i="2"/>
  <c r="H510" i="2"/>
  <c r="G510" i="2"/>
  <c r="F510" i="2"/>
  <c r="E510" i="2"/>
  <c r="D510" i="2"/>
  <c r="C510" i="2"/>
  <c r="B510" i="2"/>
  <c r="A510" i="2"/>
  <c r="AX509" i="2"/>
  <c r="AW509" i="2"/>
  <c r="AV509" i="2"/>
  <c r="AU509" i="2"/>
  <c r="AR509" i="2"/>
  <c r="AO509" i="2"/>
  <c r="AN509" i="2"/>
  <c r="AM509" i="2"/>
  <c r="AL509" i="2"/>
  <c r="AK509" i="2"/>
  <c r="AI509" i="2"/>
  <c r="AH509" i="2"/>
  <c r="AG509" i="2"/>
  <c r="AF509" i="2"/>
  <c r="AE509" i="2"/>
  <c r="AD509" i="2"/>
  <c r="AC509" i="2"/>
  <c r="AA509" i="2"/>
  <c r="Z509" i="2"/>
  <c r="Y509" i="2"/>
  <c r="X509" i="2"/>
  <c r="W509" i="2"/>
  <c r="V509" i="2"/>
  <c r="U509" i="2"/>
  <c r="T509" i="2"/>
  <c r="S509" i="2"/>
  <c r="R509" i="2"/>
  <c r="Q509" i="2"/>
  <c r="P509" i="2"/>
  <c r="O509" i="2"/>
  <c r="N509" i="2"/>
  <c r="M509" i="2"/>
  <c r="L509" i="2"/>
  <c r="K509" i="2"/>
  <c r="J509" i="2"/>
  <c r="I509" i="2"/>
  <c r="H509" i="2"/>
  <c r="G509" i="2"/>
  <c r="F509" i="2"/>
  <c r="E509" i="2"/>
  <c r="D509" i="2"/>
  <c r="C509" i="2"/>
  <c r="B509" i="2"/>
  <c r="A509" i="2"/>
  <c r="AX508" i="2"/>
  <c r="AW508" i="2"/>
  <c r="AV508" i="2"/>
  <c r="AU508" i="2"/>
  <c r="AT508" i="2"/>
  <c r="AS508" i="2"/>
  <c r="AR508" i="2"/>
  <c r="AO508" i="2"/>
  <c r="AN508" i="2"/>
  <c r="AM508" i="2"/>
  <c r="AK508" i="2"/>
  <c r="AJ508" i="2"/>
  <c r="AI508" i="2"/>
  <c r="AH508" i="2"/>
  <c r="AG508" i="2"/>
  <c r="AE508" i="2"/>
  <c r="AC508" i="2"/>
  <c r="Z508" i="2"/>
  <c r="Y508" i="2"/>
  <c r="X508" i="2"/>
  <c r="W508" i="2"/>
  <c r="V508" i="2"/>
  <c r="U508" i="2"/>
  <c r="T508" i="2"/>
  <c r="S508" i="2"/>
  <c r="R508" i="2"/>
  <c r="Q508" i="2"/>
  <c r="P508" i="2"/>
  <c r="O508" i="2"/>
  <c r="N508" i="2"/>
  <c r="M508" i="2"/>
  <c r="L508" i="2"/>
  <c r="K508" i="2"/>
  <c r="J508" i="2"/>
  <c r="I508" i="2"/>
  <c r="H508" i="2"/>
  <c r="G508" i="2"/>
  <c r="F508" i="2"/>
  <c r="E508" i="2"/>
  <c r="D508" i="2"/>
  <c r="C508" i="2"/>
  <c r="B508" i="2"/>
  <c r="A508" i="2"/>
  <c r="AX507" i="2"/>
  <c r="AW507" i="2"/>
  <c r="AV507" i="2"/>
  <c r="AU507" i="2"/>
  <c r="AT507" i="2"/>
  <c r="AS507" i="2"/>
  <c r="AR507" i="2"/>
  <c r="AP507" i="2"/>
  <c r="AO507" i="2"/>
  <c r="AN507" i="2"/>
  <c r="AM507" i="2"/>
  <c r="AL507" i="2"/>
  <c r="AK507" i="2"/>
  <c r="AJ507" i="2"/>
  <c r="AI507" i="2"/>
  <c r="AH507" i="2"/>
  <c r="AG507" i="2"/>
  <c r="AE507" i="2"/>
  <c r="AD507" i="2"/>
  <c r="AC507" i="2"/>
  <c r="AB507" i="2"/>
  <c r="AA507" i="2"/>
  <c r="Z507" i="2"/>
  <c r="Y507" i="2"/>
  <c r="X507" i="2"/>
  <c r="W507" i="2"/>
  <c r="V507" i="2"/>
  <c r="U507" i="2"/>
  <c r="T507" i="2"/>
  <c r="S507" i="2"/>
  <c r="R507" i="2"/>
  <c r="Q507" i="2"/>
  <c r="P507" i="2"/>
  <c r="O507" i="2"/>
  <c r="N507" i="2"/>
  <c r="M507" i="2"/>
  <c r="L507" i="2"/>
  <c r="K507" i="2"/>
  <c r="J507" i="2"/>
  <c r="I507" i="2"/>
  <c r="H507" i="2"/>
  <c r="G507" i="2"/>
  <c r="F507" i="2"/>
  <c r="E507" i="2"/>
  <c r="D507" i="2"/>
  <c r="C507" i="2"/>
  <c r="B507" i="2"/>
  <c r="A507" i="2"/>
  <c r="AX506" i="2"/>
  <c r="AW506" i="2"/>
  <c r="AV506" i="2"/>
  <c r="AU506" i="2"/>
  <c r="AT506" i="2"/>
  <c r="AS506" i="2"/>
  <c r="AR506" i="2"/>
  <c r="AO506" i="2"/>
  <c r="AN506" i="2"/>
  <c r="AM506" i="2"/>
  <c r="AK506" i="2"/>
  <c r="AJ506" i="2"/>
  <c r="AI506" i="2"/>
  <c r="AH506" i="2"/>
  <c r="AG506" i="2"/>
  <c r="AE506" i="2"/>
  <c r="AC506" i="2"/>
  <c r="Z506" i="2"/>
  <c r="Y506" i="2"/>
  <c r="X506" i="2"/>
  <c r="W506" i="2"/>
  <c r="V506" i="2"/>
  <c r="U506" i="2"/>
  <c r="T506" i="2"/>
  <c r="S506" i="2"/>
  <c r="R506" i="2"/>
  <c r="Q506" i="2"/>
  <c r="P506" i="2"/>
  <c r="O506" i="2"/>
  <c r="N506" i="2"/>
  <c r="M506" i="2"/>
  <c r="L506" i="2"/>
  <c r="K506" i="2"/>
  <c r="J506" i="2"/>
  <c r="I506" i="2"/>
  <c r="H506" i="2"/>
  <c r="G506" i="2"/>
  <c r="F506" i="2"/>
  <c r="E506" i="2"/>
  <c r="D506" i="2"/>
  <c r="C506" i="2"/>
  <c r="B506" i="2"/>
  <c r="A506" i="2"/>
  <c r="AX505" i="2"/>
  <c r="AV505" i="2"/>
  <c r="AU505" i="2"/>
  <c r="AT505" i="2"/>
  <c r="AS505" i="2"/>
  <c r="AR505" i="2"/>
  <c r="AO505" i="2"/>
  <c r="AN505" i="2"/>
  <c r="AM505" i="2"/>
  <c r="AK505" i="2"/>
  <c r="AI505" i="2"/>
  <c r="AH505" i="2"/>
  <c r="AG505" i="2"/>
  <c r="AD505" i="2"/>
  <c r="AC505" i="2"/>
  <c r="AB505" i="2"/>
  <c r="Z505" i="2"/>
  <c r="Y505" i="2"/>
  <c r="X505" i="2"/>
  <c r="W505" i="2"/>
  <c r="V505" i="2"/>
  <c r="U505" i="2"/>
  <c r="T505" i="2"/>
  <c r="S505" i="2"/>
  <c r="R505" i="2"/>
  <c r="Q505" i="2"/>
  <c r="P505" i="2"/>
  <c r="O505" i="2"/>
  <c r="N505" i="2"/>
  <c r="M505" i="2"/>
  <c r="L505" i="2"/>
  <c r="K505" i="2"/>
  <c r="J505" i="2"/>
  <c r="I505" i="2"/>
  <c r="H505" i="2"/>
  <c r="G505" i="2"/>
  <c r="F505" i="2"/>
  <c r="E505" i="2"/>
  <c r="D505" i="2"/>
  <c r="C505" i="2"/>
  <c r="B505" i="2"/>
  <c r="A505" i="2"/>
  <c r="AX504" i="2"/>
  <c r="AW504" i="2"/>
  <c r="AV504" i="2"/>
  <c r="AU504" i="2"/>
  <c r="AT504" i="2"/>
  <c r="AS504" i="2"/>
  <c r="AR504" i="2"/>
  <c r="AO504" i="2"/>
  <c r="AN504" i="2"/>
  <c r="AM504" i="2"/>
  <c r="AK504" i="2"/>
  <c r="AJ504" i="2"/>
  <c r="AI504" i="2"/>
  <c r="AH504" i="2"/>
  <c r="AG504" i="2"/>
  <c r="AD504" i="2"/>
  <c r="AC504" i="2"/>
  <c r="AB504" i="2"/>
  <c r="Z504" i="2"/>
  <c r="Y504" i="2"/>
  <c r="X504" i="2"/>
  <c r="V504" i="2"/>
  <c r="U504" i="2"/>
  <c r="T504" i="2"/>
  <c r="S504" i="2"/>
  <c r="R504" i="2"/>
  <c r="Q504" i="2"/>
  <c r="P504" i="2"/>
  <c r="O504" i="2"/>
  <c r="N504" i="2"/>
  <c r="M504" i="2"/>
  <c r="L504" i="2"/>
  <c r="K504" i="2"/>
  <c r="J504" i="2"/>
  <c r="I504" i="2"/>
  <c r="H504" i="2"/>
  <c r="G504" i="2"/>
  <c r="F504" i="2"/>
  <c r="E504" i="2"/>
  <c r="D504" i="2"/>
  <c r="C504" i="2"/>
  <c r="B504" i="2"/>
  <c r="A504" i="2"/>
  <c r="AX503" i="2"/>
  <c r="AW503" i="2"/>
  <c r="AV503" i="2"/>
  <c r="AU503" i="2"/>
  <c r="AT503" i="2"/>
  <c r="AS503" i="2"/>
  <c r="AR503" i="2"/>
  <c r="AQ503" i="2"/>
  <c r="AP503" i="2"/>
  <c r="AN503" i="2"/>
  <c r="AL503" i="2"/>
  <c r="AK503" i="2"/>
  <c r="AJ503" i="2"/>
  <c r="AI503" i="2"/>
  <c r="AH503" i="2"/>
  <c r="AG503" i="2"/>
  <c r="AE503" i="2"/>
  <c r="AC503" i="2"/>
  <c r="Z503" i="2"/>
  <c r="Y503" i="2"/>
  <c r="X503" i="2"/>
  <c r="W503" i="2"/>
  <c r="V503" i="2"/>
  <c r="U503" i="2"/>
  <c r="T503" i="2"/>
  <c r="S503" i="2"/>
  <c r="R503" i="2"/>
  <c r="Q503" i="2"/>
  <c r="P503" i="2"/>
  <c r="O503" i="2"/>
  <c r="N503" i="2"/>
  <c r="M503" i="2"/>
  <c r="L503" i="2"/>
  <c r="K503" i="2"/>
  <c r="J503" i="2"/>
  <c r="I503" i="2"/>
  <c r="H503" i="2"/>
  <c r="G503" i="2"/>
  <c r="F503" i="2"/>
  <c r="E503" i="2"/>
  <c r="D503" i="2"/>
  <c r="C503" i="2"/>
  <c r="B503" i="2"/>
  <c r="A503" i="2"/>
  <c r="AX502" i="2"/>
  <c r="AW502" i="2"/>
  <c r="AV502" i="2"/>
  <c r="AU502" i="2"/>
  <c r="AS502" i="2"/>
  <c r="AR502" i="2"/>
  <c r="AQ502" i="2"/>
  <c r="AP502" i="2"/>
  <c r="AO502" i="2"/>
  <c r="AN502" i="2"/>
  <c r="AM502" i="2"/>
  <c r="AK502" i="2"/>
  <c r="AJ502" i="2"/>
  <c r="AI502" i="2"/>
  <c r="AH502" i="2"/>
  <c r="AG502" i="2"/>
  <c r="AC502" i="2"/>
  <c r="Z502" i="2"/>
  <c r="Y502" i="2"/>
  <c r="X502" i="2"/>
  <c r="W502" i="2"/>
  <c r="V502" i="2"/>
  <c r="U502" i="2"/>
  <c r="T502" i="2"/>
  <c r="S502" i="2"/>
  <c r="R502" i="2"/>
  <c r="Q502" i="2"/>
  <c r="P502" i="2"/>
  <c r="O502" i="2"/>
  <c r="N502" i="2"/>
  <c r="M502" i="2"/>
  <c r="L502" i="2"/>
  <c r="K502" i="2"/>
  <c r="J502" i="2"/>
  <c r="I502" i="2"/>
  <c r="H502" i="2"/>
  <c r="G502" i="2"/>
  <c r="F502" i="2"/>
  <c r="E502" i="2"/>
  <c r="D502" i="2"/>
  <c r="C502" i="2"/>
  <c r="B502" i="2"/>
  <c r="A502" i="2"/>
  <c r="AX501" i="2"/>
  <c r="AW501" i="2"/>
  <c r="AV501" i="2"/>
  <c r="AU501" i="2"/>
  <c r="AS501" i="2"/>
  <c r="AR501" i="2"/>
  <c r="AO501" i="2"/>
  <c r="AN501" i="2"/>
  <c r="AM501" i="2"/>
  <c r="AL501" i="2"/>
  <c r="AK501" i="2"/>
  <c r="AJ501" i="2"/>
  <c r="AI501" i="2"/>
  <c r="AH501" i="2"/>
  <c r="AG501" i="2"/>
  <c r="AE501" i="2"/>
  <c r="AD501" i="2"/>
  <c r="AC501" i="2"/>
  <c r="AB501" i="2"/>
  <c r="AA501" i="2"/>
  <c r="Z501" i="2"/>
  <c r="Y501" i="2"/>
  <c r="X501" i="2"/>
  <c r="V501" i="2"/>
  <c r="U501" i="2"/>
  <c r="T501" i="2"/>
  <c r="S501" i="2"/>
  <c r="R501" i="2"/>
  <c r="Q501" i="2"/>
  <c r="P501" i="2"/>
  <c r="O501" i="2"/>
  <c r="N501" i="2"/>
  <c r="M501" i="2"/>
  <c r="L501" i="2"/>
  <c r="K501" i="2"/>
  <c r="J501" i="2"/>
  <c r="I501" i="2"/>
  <c r="H501" i="2"/>
  <c r="G501" i="2"/>
  <c r="F501" i="2"/>
  <c r="E501" i="2"/>
  <c r="D501" i="2"/>
  <c r="C501" i="2"/>
  <c r="B501" i="2"/>
  <c r="A501" i="2"/>
  <c r="AX500" i="2"/>
  <c r="AW500" i="2"/>
  <c r="AV500" i="2"/>
  <c r="AU500" i="2"/>
  <c r="AT500" i="2"/>
  <c r="AS500" i="2"/>
  <c r="AR500" i="2"/>
  <c r="AO500" i="2"/>
  <c r="AN500" i="2"/>
  <c r="AM500" i="2"/>
  <c r="AK500" i="2"/>
  <c r="AJ500" i="2"/>
  <c r="AI500" i="2"/>
  <c r="AH500" i="2"/>
  <c r="AG500" i="2"/>
  <c r="AF500" i="2"/>
  <c r="AE500" i="2"/>
  <c r="AD500" i="2"/>
  <c r="AC500" i="2"/>
  <c r="AB500" i="2"/>
  <c r="AA500" i="2"/>
  <c r="Z500" i="2"/>
  <c r="Y500" i="2"/>
  <c r="X500" i="2"/>
  <c r="W500" i="2"/>
  <c r="V500" i="2"/>
  <c r="U500" i="2"/>
  <c r="T500" i="2"/>
  <c r="S500" i="2"/>
  <c r="R500" i="2"/>
  <c r="Q500" i="2"/>
  <c r="P500" i="2"/>
  <c r="O500" i="2"/>
  <c r="N500" i="2"/>
  <c r="M500" i="2"/>
  <c r="L500" i="2"/>
  <c r="K500" i="2"/>
  <c r="J500" i="2"/>
  <c r="I500" i="2"/>
  <c r="H500" i="2"/>
  <c r="G500" i="2"/>
  <c r="F500" i="2"/>
  <c r="E500" i="2"/>
  <c r="D500" i="2"/>
  <c r="C500" i="2"/>
  <c r="B500" i="2"/>
  <c r="A500" i="2"/>
  <c r="AX499" i="2"/>
  <c r="AW499" i="2"/>
  <c r="AV499" i="2"/>
  <c r="AU499" i="2"/>
  <c r="AT499" i="2"/>
  <c r="AS499" i="2"/>
  <c r="AR499" i="2"/>
  <c r="AQ499" i="2"/>
  <c r="AN499" i="2"/>
  <c r="AM499" i="2"/>
  <c r="AL499" i="2"/>
  <c r="AK499" i="2"/>
  <c r="AI499" i="2"/>
  <c r="AH499" i="2"/>
  <c r="AG499" i="2"/>
  <c r="AE499" i="2"/>
  <c r="AC499" i="2"/>
  <c r="Z499" i="2"/>
  <c r="Y499" i="2"/>
  <c r="X499" i="2"/>
  <c r="W499" i="2"/>
  <c r="V499" i="2"/>
  <c r="U499" i="2"/>
  <c r="T499" i="2"/>
  <c r="S499" i="2"/>
  <c r="R499" i="2"/>
  <c r="Q499" i="2"/>
  <c r="P499" i="2"/>
  <c r="O499" i="2"/>
  <c r="N499" i="2"/>
  <c r="M499" i="2"/>
  <c r="L499" i="2"/>
  <c r="K499" i="2"/>
  <c r="J499" i="2"/>
  <c r="I499" i="2"/>
  <c r="H499" i="2"/>
  <c r="G499" i="2"/>
  <c r="F499" i="2"/>
  <c r="E499" i="2"/>
  <c r="D499" i="2"/>
  <c r="C499" i="2"/>
  <c r="B499" i="2"/>
  <c r="A499" i="2"/>
  <c r="AX498" i="2"/>
  <c r="AW498" i="2"/>
  <c r="AV498" i="2"/>
  <c r="AU498" i="2"/>
  <c r="AS498" i="2"/>
  <c r="AR498" i="2"/>
  <c r="AO498" i="2"/>
  <c r="AN498" i="2"/>
  <c r="AM498" i="2"/>
  <c r="AL498" i="2"/>
  <c r="AK498" i="2"/>
  <c r="AJ498" i="2"/>
  <c r="AI498" i="2"/>
  <c r="AH498" i="2"/>
  <c r="AG498" i="2"/>
  <c r="AE498" i="2"/>
  <c r="AD498" i="2"/>
  <c r="AB498" i="2"/>
  <c r="AA498" i="2"/>
  <c r="Z498" i="2"/>
  <c r="Y498" i="2"/>
  <c r="X498" i="2"/>
  <c r="T498" i="2"/>
  <c r="S498" i="2"/>
  <c r="R498" i="2"/>
  <c r="Q498" i="2"/>
  <c r="P498" i="2"/>
  <c r="O498" i="2"/>
  <c r="N498" i="2"/>
  <c r="M498" i="2"/>
  <c r="L498" i="2"/>
  <c r="K498" i="2"/>
  <c r="J498" i="2"/>
  <c r="I498" i="2"/>
  <c r="H498" i="2"/>
  <c r="G498" i="2"/>
  <c r="F498" i="2"/>
  <c r="E498" i="2"/>
  <c r="D498" i="2"/>
  <c r="C498" i="2"/>
  <c r="B498" i="2"/>
  <c r="A498" i="2"/>
  <c r="AX497" i="2"/>
  <c r="AW497" i="2"/>
  <c r="AV497" i="2"/>
  <c r="AU497" i="2"/>
  <c r="AT497" i="2"/>
  <c r="AS497" i="2"/>
  <c r="AR497" i="2"/>
  <c r="AO497" i="2"/>
  <c r="AN497" i="2"/>
  <c r="AM497" i="2"/>
  <c r="AK497" i="2"/>
  <c r="AI497" i="2"/>
  <c r="AH497" i="2"/>
  <c r="AG497" i="2"/>
  <c r="AD497" i="2"/>
  <c r="AC497" i="2"/>
  <c r="AB497" i="2"/>
  <c r="Z497" i="2"/>
  <c r="Y497" i="2"/>
  <c r="X497" i="2"/>
  <c r="W497" i="2"/>
  <c r="V497" i="2"/>
  <c r="U497" i="2"/>
  <c r="T497" i="2"/>
  <c r="S497" i="2"/>
  <c r="R497" i="2"/>
  <c r="Q497" i="2"/>
  <c r="P497" i="2"/>
  <c r="O497" i="2"/>
  <c r="N497" i="2"/>
  <c r="M497" i="2"/>
  <c r="L497" i="2"/>
  <c r="K497" i="2"/>
  <c r="J497" i="2"/>
  <c r="I497" i="2"/>
  <c r="H497" i="2"/>
  <c r="G497" i="2"/>
  <c r="F497" i="2"/>
  <c r="E497" i="2"/>
  <c r="D497" i="2"/>
  <c r="C497" i="2"/>
  <c r="B497" i="2"/>
  <c r="A497" i="2"/>
  <c r="AX496" i="2"/>
  <c r="AW496" i="2"/>
  <c r="AV496" i="2"/>
  <c r="AU496" i="2"/>
  <c r="AS496" i="2"/>
  <c r="AR496" i="2"/>
  <c r="AO496" i="2"/>
  <c r="AN496" i="2"/>
  <c r="AM496" i="2"/>
  <c r="AK496" i="2"/>
  <c r="AJ496" i="2"/>
  <c r="AI496" i="2"/>
  <c r="AH496" i="2"/>
  <c r="AG496" i="2"/>
  <c r="AE496" i="2"/>
  <c r="AD496" i="2"/>
  <c r="AC496" i="2"/>
  <c r="Z496" i="2"/>
  <c r="Y496" i="2"/>
  <c r="X496" i="2"/>
  <c r="W496" i="2"/>
  <c r="V496" i="2"/>
  <c r="U496" i="2"/>
  <c r="T496" i="2"/>
  <c r="S496" i="2"/>
  <c r="R496" i="2"/>
  <c r="Q496" i="2"/>
  <c r="P496" i="2"/>
  <c r="O496" i="2"/>
  <c r="N496" i="2"/>
  <c r="M496" i="2"/>
  <c r="L496" i="2"/>
  <c r="K496" i="2"/>
  <c r="J496" i="2"/>
  <c r="I496" i="2"/>
  <c r="H496" i="2"/>
  <c r="G496" i="2"/>
  <c r="F496" i="2"/>
  <c r="E496" i="2"/>
  <c r="D496" i="2"/>
  <c r="C496" i="2"/>
  <c r="B496" i="2"/>
  <c r="A496" i="2"/>
  <c r="AX495" i="2"/>
  <c r="AW495" i="2"/>
  <c r="AV495" i="2"/>
  <c r="AU495" i="2"/>
  <c r="AT495" i="2"/>
  <c r="AS495" i="2"/>
  <c r="AR495" i="2"/>
  <c r="AO495" i="2"/>
  <c r="AN495" i="2"/>
  <c r="AM495" i="2"/>
  <c r="AK495" i="2"/>
  <c r="AI495" i="2"/>
  <c r="AH495" i="2"/>
  <c r="AG495" i="2"/>
  <c r="AE495" i="2"/>
  <c r="AC495" i="2"/>
  <c r="AB495" i="2"/>
  <c r="Z495" i="2"/>
  <c r="Y495" i="2"/>
  <c r="X495" i="2"/>
  <c r="W495" i="2"/>
  <c r="V495" i="2"/>
  <c r="U495" i="2"/>
  <c r="T495" i="2"/>
  <c r="S495" i="2"/>
  <c r="R495" i="2"/>
  <c r="Q495" i="2"/>
  <c r="P495" i="2"/>
  <c r="O495" i="2"/>
  <c r="N495" i="2"/>
  <c r="M495" i="2"/>
  <c r="L495" i="2"/>
  <c r="K495" i="2"/>
  <c r="J495" i="2"/>
  <c r="I495" i="2"/>
  <c r="H495" i="2"/>
  <c r="G495" i="2"/>
  <c r="F495" i="2"/>
  <c r="E495" i="2"/>
  <c r="D495" i="2"/>
  <c r="C495" i="2"/>
  <c r="B495" i="2"/>
  <c r="A495" i="2"/>
  <c r="AX494" i="2"/>
  <c r="AW494" i="2"/>
  <c r="AV494" i="2"/>
  <c r="AU494" i="2"/>
  <c r="AT494" i="2"/>
  <c r="AS494" i="2"/>
  <c r="AR494" i="2"/>
  <c r="AO494" i="2"/>
  <c r="AN494" i="2"/>
  <c r="AM494" i="2"/>
  <c r="AL494" i="2"/>
  <c r="AK494" i="2"/>
  <c r="AJ494" i="2"/>
  <c r="AI494" i="2"/>
  <c r="AH494" i="2"/>
  <c r="AG494" i="2"/>
  <c r="AE494" i="2"/>
  <c r="AD494" i="2"/>
  <c r="AC494" i="2"/>
  <c r="AA494" i="2"/>
  <c r="Z494" i="2"/>
  <c r="Y494" i="2"/>
  <c r="X494" i="2"/>
  <c r="W494" i="2"/>
  <c r="V494" i="2"/>
  <c r="U494" i="2"/>
  <c r="T494" i="2"/>
  <c r="S494" i="2"/>
  <c r="R494" i="2"/>
  <c r="Q494" i="2"/>
  <c r="P494" i="2"/>
  <c r="O494" i="2"/>
  <c r="N494" i="2"/>
  <c r="M494" i="2"/>
  <c r="L494" i="2"/>
  <c r="K494" i="2"/>
  <c r="J494" i="2"/>
  <c r="I494" i="2"/>
  <c r="H494" i="2"/>
  <c r="G494" i="2"/>
  <c r="F494" i="2"/>
  <c r="E494" i="2"/>
  <c r="D494" i="2"/>
  <c r="C494" i="2"/>
  <c r="B494" i="2"/>
  <c r="A494" i="2"/>
  <c r="AX493" i="2"/>
  <c r="AW493" i="2"/>
  <c r="AV493" i="2"/>
  <c r="AU493" i="2"/>
  <c r="AT493" i="2"/>
  <c r="AS493" i="2"/>
  <c r="AR493" i="2"/>
  <c r="AO493" i="2"/>
  <c r="AN493" i="2"/>
  <c r="AM493" i="2"/>
  <c r="AL493" i="2"/>
  <c r="AK493" i="2"/>
  <c r="AJ493" i="2"/>
  <c r="AI493" i="2"/>
  <c r="AH493" i="2"/>
  <c r="AG493" i="2"/>
  <c r="AE493" i="2"/>
  <c r="AD493" i="2"/>
  <c r="AC493" i="2"/>
  <c r="AB493" i="2"/>
  <c r="AA493" i="2"/>
  <c r="Z493" i="2"/>
  <c r="Y493" i="2"/>
  <c r="X493" i="2"/>
  <c r="W493" i="2"/>
  <c r="V493" i="2"/>
  <c r="U493" i="2"/>
  <c r="T493" i="2"/>
  <c r="S493" i="2"/>
  <c r="R493" i="2"/>
  <c r="Q493" i="2"/>
  <c r="P493" i="2"/>
  <c r="O493" i="2"/>
  <c r="N493" i="2"/>
  <c r="M493" i="2"/>
  <c r="L493" i="2"/>
  <c r="K493" i="2"/>
  <c r="J493" i="2"/>
  <c r="I493" i="2"/>
  <c r="H493" i="2"/>
  <c r="G493" i="2"/>
  <c r="F493" i="2"/>
  <c r="E493" i="2"/>
  <c r="D493" i="2"/>
  <c r="C493" i="2"/>
  <c r="B493" i="2"/>
  <c r="A493" i="2"/>
  <c r="AX492" i="2"/>
  <c r="AW492" i="2"/>
  <c r="AV492" i="2"/>
  <c r="AU492" i="2"/>
  <c r="AT492" i="2"/>
  <c r="AS492" i="2"/>
  <c r="AR492" i="2"/>
  <c r="AO492" i="2"/>
  <c r="AN492" i="2"/>
  <c r="AM492" i="2"/>
  <c r="AL492" i="2"/>
  <c r="AK492" i="2"/>
  <c r="AJ492" i="2"/>
  <c r="AI492" i="2"/>
  <c r="AH492" i="2"/>
  <c r="AG492" i="2"/>
  <c r="AF492" i="2"/>
  <c r="AE492" i="2"/>
  <c r="AD492" i="2"/>
  <c r="AC492" i="2"/>
  <c r="AB492" i="2"/>
  <c r="AA492" i="2"/>
  <c r="Z492" i="2"/>
  <c r="Y492" i="2"/>
  <c r="X492" i="2"/>
  <c r="W492" i="2"/>
  <c r="V492" i="2"/>
  <c r="U492" i="2"/>
  <c r="T492" i="2"/>
  <c r="S492" i="2"/>
  <c r="R492" i="2"/>
  <c r="Q492" i="2"/>
  <c r="P492" i="2"/>
  <c r="O492" i="2"/>
  <c r="N492" i="2"/>
  <c r="M492" i="2"/>
  <c r="L492" i="2"/>
  <c r="K492" i="2"/>
  <c r="J492" i="2"/>
  <c r="I492" i="2"/>
  <c r="H492" i="2"/>
  <c r="G492" i="2"/>
  <c r="F492" i="2"/>
  <c r="E492" i="2"/>
  <c r="D492" i="2"/>
  <c r="C492" i="2"/>
  <c r="B492" i="2"/>
  <c r="A492" i="2"/>
  <c r="AX491" i="2"/>
  <c r="AW491" i="2"/>
  <c r="AV491" i="2"/>
  <c r="AU491" i="2"/>
  <c r="AT491" i="2"/>
  <c r="AS491" i="2"/>
  <c r="AR491" i="2"/>
  <c r="AO491" i="2"/>
  <c r="AN491" i="2"/>
  <c r="AM491" i="2"/>
  <c r="AK491" i="2"/>
  <c r="AJ491" i="2"/>
  <c r="AI491" i="2"/>
  <c r="AH491" i="2"/>
  <c r="AG491" i="2"/>
  <c r="AE491" i="2"/>
  <c r="AD491" i="2"/>
  <c r="AC491" i="2"/>
  <c r="AB491" i="2"/>
  <c r="Z491" i="2"/>
  <c r="Y491" i="2"/>
  <c r="X491" i="2"/>
  <c r="W491" i="2"/>
  <c r="V491" i="2"/>
  <c r="U491" i="2"/>
  <c r="T491" i="2"/>
  <c r="S491" i="2"/>
  <c r="R491" i="2"/>
  <c r="Q491" i="2"/>
  <c r="P491" i="2"/>
  <c r="O491" i="2"/>
  <c r="N491" i="2"/>
  <c r="M491" i="2"/>
  <c r="L491" i="2"/>
  <c r="K491" i="2"/>
  <c r="J491" i="2"/>
  <c r="I491" i="2"/>
  <c r="H491" i="2"/>
  <c r="G491" i="2"/>
  <c r="F491" i="2"/>
  <c r="E491" i="2"/>
  <c r="D491" i="2"/>
  <c r="C491" i="2"/>
  <c r="B491" i="2"/>
  <c r="A491" i="2"/>
  <c r="AX490" i="2"/>
  <c r="AW490" i="2"/>
  <c r="AV490" i="2"/>
  <c r="AU490" i="2"/>
  <c r="AT490" i="2"/>
  <c r="AS490" i="2"/>
  <c r="AR490" i="2"/>
  <c r="AO490" i="2"/>
  <c r="AN490" i="2"/>
  <c r="AM490" i="2"/>
  <c r="AK490" i="2"/>
  <c r="AJ490" i="2"/>
  <c r="AI490" i="2"/>
  <c r="AH490" i="2"/>
  <c r="AG490" i="2"/>
  <c r="AE490" i="2"/>
  <c r="AD490" i="2"/>
  <c r="AC490" i="2"/>
  <c r="AB490" i="2"/>
  <c r="AA490" i="2"/>
  <c r="Z490" i="2"/>
  <c r="Y490" i="2"/>
  <c r="X490" i="2"/>
  <c r="W490" i="2"/>
  <c r="V490" i="2"/>
  <c r="U490" i="2"/>
  <c r="T490" i="2"/>
  <c r="S490" i="2"/>
  <c r="R490" i="2"/>
  <c r="Q490" i="2"/>
  <c r="P490" i="2"/>
  <c r="O490" i="2"/>
  <c r="N490" i="2"/>
  <c r="M490" i="2"/>
  <c r="L490" i="2"/>
  <c r="K490" i="2"/>
  <c r="J490" i="2"/>
  <c r="I490" i="2"/>
  <c r="H490" i="2"/>
  <c r="G490" i="2"/>
  <c r="F490" i="2"/>
  <c r="E490" i="2"/>
  <c r="D490" i="2"/>
  <c r="C490" i="2"/>
  <c r="B490" i="2"/>
  <c r="A490" i="2"/>
  <c r="AX489" i="2"/>
  <c r="AW489" i="2"/>
  <c r="AV489" i="2"/>
  <c r="AU489" i="2"/>
  <c r="AS489" i="2"/>
  <c r="AR489" i="2"/>
  <c r="AO489" i="2"/>
  <c r="AN489" i="2"/>
  <c r="AM489" i="2"/>
  <c r="AK489" i="2"/>
  <c r="AJ489" i="2"/>
  <c r="AI489" i="2"/>
  <c r="AH489" i="2"/>
  <c r="AG489" i="2"/>
  <c r="AF489" i="2"/>
  <c r="AE489" i="2"/>
  <c r="AD489" i="2"/>
  <c r="AC489" i="2"/>
  <c r="AB489" i="2"/>
  <c r="AA489" i="2"/>
  <c r="Z489" i="2"/>
  <c r="Y489" i="2"/>
  <c r="X489" i="2"/>
  <c r="W489" i="2"/>
  <c r="V489" i="2"/>
  <c r="U489" i="2"/>
  <c r="T489" i="2"/>
  <c r="S489" i="2"/>
  <c r="R489" i="2"/>
  <c r="Q489" i="2"/>
  <c r="P489" i="2"/>
  <c r="O489" i="2"/>
  <c r="N489" i="2"/>
  <c r="M489" i="2"/>
  <c r="L489" i="2"/>
  <c r="K489" i="2"/>
  <c r="J489" i="2"/>
  <c r="I489" i="2"/>
  <c r="H489" i="2"/>
  <c r="G489" i="2"/>
  <c r="F489" i="2"/>
  <c r="E489" i="2"/>
  <c r="D489" i="2"/>
  <c r="C489" i="2"/>
  <c r="B489" i="2"/>
  <c r="A489" i="2"/>
  <c r="AS488" i="2"/>
  <c r="AR488" i="2"/>
  <c r="AQ488" i="2"/>
  <c r="AP488" i="2"/>
  <c r="AO488" i="2"/>
  <c r="AN488" i="2"/>
  <c r="AM488" i="2"/>
  <c r="AL488" i="2"/>
  <c r="AK488" i="2"/>
  <c r="AI488" i="2"/>
  <c r="AH488" i="2"/>
  <c r="AG488" i="2"/>
  <c r="AE488" i="2"/>
  <c r="AD488" i="2"/>
  <c r="AC488" i="2"/>
  <c r="AB488" i="2"/>
  <c r="AA488" i="2"/>
  <c r="Z488" i="2"/>
  <c r="Y488" i="2"/>
  <c r="X488" i="2"/>
  <c r="W488" i="2"/>
  <c r="V488" i="2"/>
  <c r="U488" i="2"/>
  <c r="T488" i="2"/>
  <c r="S488" i="2"/>
  <c r="R488" i="2"/>
  <c r="Q488" i="2"/>
  <c r="P488" i="2"/>
  <c r="O488" i="2"/>
  <c r="N488" i="2"/>
  <c r="M488" i="2"/>
  <c r="L488" i="2"/>
  <c r="K488" i="2"/>
  <c r="J488" i="2"/>
  <c r="I488" i="2"/>
  <c r="H488" i="2"/>
  <c r="G488" i="2"/>
  <c r="F488" i="2"/>
  <c r="E488" i="2"/>
  <c r="D488" i="2"/>
  <c r="C488" i="2"/>
  <c r="B488" i="2"/>
  <c r="A488" i="2"/>
  <c r="AX487" i="2"/>
  <c r="AW487" i="2"/>
  <c r="AV487" i="2"/>
  <c r="AU487" i="2"/>
  <c r="AT487" i="2"/>
  <c r="AS487" i="2"/>
  <c r="AR487" i="2"/>
  <c r="AO487" i="2"/>
  <c r="AM487" i="2"/>
  <c r="AL487" i="2"/>
  <c r="AI487" i="2"/>
  <c r="AH487" i="2"/>
  <c r="AG487" i="2"/>
  <c r="AE487" i="2"/>
  <c r="AD487" i="2"/>
  <c r="AC487" i="2"/>
  <c r="AB487" i="2"/>
  <c r="AA487" i="2"/>
  <c r="Z487" i="2"/>
  <c r="Y487" i="2"/>
  <c r="X487" i="2"/>
  <c r="W487" i="2"/>
  <c r="V487" i="2"/>
  <c r="U487" i="2"/>
  <c r="T487" i="2"/>
  <c r="S487" i="2"/>
  <c r="R487" i="2"/>
  <c r="Q487" i="2"/>
  <c r="P487" i="2"/>
  <c r="O487" i="2"/>
  <c r="N487" i="2"/>
  <c r="M487" i="2"/>
  <c r="L487" i="2"/>
  <c r="K487" i="2"/>
  <c r="J487" i="2"/>
  <c r="I487" i="2"/>
  <c r="H487" i="2"/>
  <c r="G487" i="2"/>
  <c r="F487" i="2"/>
  <c r="E487" i="2"/>
  <c r="D487" i="2"/>
  <c r="C487" i="2"/>
  <c r="B487" i="2"/>
  <c r="A487" i="2"/>
  <c r="AX486" i="2"/>
  <c r="AW486" i="2"/>
  <c r="AV486" i="2"/>
  <c r="AU486" i="2"/>
  <c r="AT486" i="2"/>
  <c r="AS486" i="2"/>
  <c r="AR486" i="2"/>
  <c r="AO486" i="2"/>
  <c r="AN486" i="2"/>
  <c r="AM486" i="2"/>
  <c r="AK486" i="2"/>
  <c r="AI486" i="2"/>
  <c r="AH486" i="2"/>
  <c r="AG486" i="2"/>
  <c r="AE486" i="2"/>
  <c r="AD486" i="2"/>
  <c r="AC486" i="2"/>
  <c r="AB486" i="2"/>
  <c r="AA486" i="2"/>
  <c r="Z486" i="2"/>
  <c r="Y486" i="2"/>
  <c r="X486" i="2"/>
  <c r="W486" i="2"/>
  <c r="V486" i="2"/>
  <c r="U486" i="2"/>
  <c r="T486" i="2"/>
  <c r="S486" i="2"/>
  <c r="R486" i="2"/>
  <c r="Q486" i="2"/>
  <c r="P486" i="2"/>
  <c r="O486" i="2"/>
  <c r="N486" i="2"/>
  <c r="M486" i="2"/>
  <c r="L486" i="2"/>
  <c r="K486" i="2"/>
  <c r="J486" i="2"/>
  <c r="I486" i="2"/>
  <c r="H486" i="2"/>
  <c r="G486" i="2"/>
  <c r="F486" i="2"/>
  <c r="E486" i="2"/>
  <c r="D486" i="2"/>
  <c r="C486" i="2"/>
  <c r="B486" i="2"/>
  <c r="A486" i="2"/>
  <c r="AX485" i="2"/>
  <c r="AW485" i="2"/>
  <c r="AV485" i="2"/>
  <c r="AU485" i="2"/>
  <c r="AS485" i="2"/>
  <c r="AR485" i="2"/>
  <c r="AO485" i="2"/>
  <c r="AN485" i="2"/>
  <c r="AM485" i="2"/>
  <c r="AK485" i="2"/>
  <c r="AI485" i="2"/>
  <c r="AH485" i="2"/>
  <c r="AG485" i="2"/>
  <c r="AE485" i="2"/>
  <c r="AC485" i="2"/>
  <c r="AB485" i="2"/>
  <c r="AA485" i="2"/>
  <c r="Z485" i="2"/>
  <c r="Y485" i="2"/>
  <c r="X485" i="2"/>
  <c r="W485" i="2"/>
  <c r="V485" i="2"/>
  <c r="U485" i="2"/>
  <c r="T485" i="2"/>
  <c r="S485" i="2"/>
  <c r="R485" i="2"/>
  <c r="Q485" i="2"/>
  <c r="P485" i="2"/>
  <c r="O485" i="2"/>
  <c r="N485" i="2"/>
  <c r="M485" i="2"/>
  <c r="L485" i="2"/>
  <c r="K485" i="2"/>
  <c r="J485" i="2"/>
  <c r="I485" i="2"/>
  <c r="H485" i="2"/>
  <c r="G485" i="2"/>
  <c r="F485" i="2"/>
  <c r="E485" i="2"/>
  <c r="D485" i="2"/>
  <c r="C485" i="2"/>
  <c r="B485" i="2"/>
  <c r="A485" i="2"/>
  <c r="AX484" i="2"/>
  <c r="AW484" i="2"/>
  <c r="AV484" i="2"/>
  <c r="AU484" i="2"/>
  <c r="AT484" i="2"/>
  <c r="AS484" i="2"/>
  <c r="AR484" i="2"/>
  <c r="AO484" i="2"/>
  <c r="AN484" i="2"/>
  <c r="AM484" i="2"/>
  <c r="AL484" i="2"/>
  <c r="AK484" i="2"/>
  <c r="AJ484" i="2"/>
  <c r="AI484" i="2"/>
  <c r="AH484" i="2"/>
  <c r="AG484" i="2"/>
  <c r="AF484" i="2"/>
  <c r="AE484" i="2"/>
  <c r="AD484" i="2"/>
  <c r="AC484" i="2"/>
  <c r="AB484" i="2"/>
  <c r="AA484" i="2"/>
  <c r="Z484" i="2"/>
  <c r="Y484" i="2"/>
  <c r="X484" i="2"/>
  <c r="W484" i="2"/>
  <c r="V484" i="2"/>
  <c r="U484" i="2"/>
  <c r="T484" i="2"/>
  <c r="S484" i="2"/>
  <c r="R484" i="2"/>
  <c r="Q484" i="2"/>
  <c r="P484" i="2"/>
  <c r="O484" i="2"/>
  <c r="N484" i="2"/>
  <c r="M484" i="2"/>
  <c r="L484" i="2"/>
  <c r="K484" i="2"/>
  <c r="J484" i="2"/>
  <c r="I484" i="2"/>
  <c r="H484" i="2"/>
  <c r="G484" i="2"/>
  <c r="F484" i="2"/>
  <c r="E484" i="2"/>
  <c r="D484" i="2"/>
  <c r="C484" i="2"/>
  <c r="B484" i="2"/>
  <c r="A484" i="2"/>
  <c r="AX483" i="2"/>
  <c r="AW483" i="2"/>
  <c r="AV483" i="2"/>
  <c r="AU483" i="2"/>
  <c r="AS483" i="2"/>
  <c r="AR483" i="2"/>
  <c r="AO483" i="2"/>
  <c r="AN483" i="2"/>
  <c r="AM483" i="2"/>
  <c r="AK483" i="2"/>
  <c r="AJ483" i="2"/>
  <c r="AI483" i="2"/>
  <c r="AH483" i="2"/>
  <c r="AG483" i="2"/>
  <c r="AF483" i="2"/>
  <c r="AE483" i="2"/>
  <c r="AD483" i="2"/>
  <c r="AC483" i="2"/>
  <c r="AB483" i="2"/>
  <c r="AA483" i="2"/>
  <c r="Z483" i="2"/>
  <c r="Y483" i="2"/>
  <c r="X483" i="2"/>
  <c r="W483" i="2"/>
  <c r="V483" i="2"/>
  <c r="U483" i="2"/>
  <c r="T483" i="2"/>
  <c r="S483" i="2"/>
  <c r="R483" i="2"/>
  <c r="Q483" i="2"/>
  <c r="P483" i="2"/>
  <c r="O483" i="2"/>
  <c r="N483" i="2"/>
  <c r="M483" i="2"/>
  <c r="L483" i="2"/>
  <c r="K483" i="2"/>
  <c r="J483" i="2"/>
  <c r="I483" i="2"/>
  <c r="H483" i="2"/>
  <c r="G483" i="2"/>
  <c r="F483" i="2"/>
  <c r="E483" i="2"/>
  <c r="D483" i="2"/>
  <c r="C483" i="2"/>
  <c r="B483" i="2"/>
  <c r="A483" i="2"/>
  <c r="AX482" i="2"/>
  <c r="AW482" i="2"/>
  <c r="AV482" i="2"/>
  <c r="AU482" i="2"/>
  <c r="AT482" i="2"/>
  <c r="AS482" i="2"/>
  <c r="AR482" i="2"/>
  <c r="AO482" i="2"/>
  <c r="AN482" i="2"/>
  <c r="AM482" i="2"/>
  <c r="AL482" i="2"/>
  <c r="AK482" i="2"/>
  <c r="AJ482" i="2"/>
  <c r="AI482" i="2"/>
  <c r="AH482" i="2"/>
  <c r="AG482" i="2"/>
  <c r="AE482" i="2"/>
  <c r="AD482" i="2"/>
  <c r="AC482" i="2"/>
  <c r="AB482" i="2"/>
  <c r="Z482" i="2"/>
  <c r="Y482" i="2"/>
  <c r="X482" i="2"/>
  <c r="U482" i="2"/>
  <c r="T482" i="2"/>
  <c r="S482" i="2"/>
  <c r="R482" i="2"/>
  <c r="Q482" i="2"/>
  <c r="P482" i="2"/>
  <c r="O482" i="2"/>
  <c r="N482" i="2"/>
  <c r="M482" i="2"/>
  <c r="L482" i="2"/>
  <c r="K482" i="2"/>
  <c r="J482" i="2"/>
  <c r="I482" i="2"/>
  <c r="H482" i="2"/>
  <c r="G482" i="2"/>
  <c r="F482" i="2"/>
  <c r="E482" i="2"/>
  <c r="D482" i="2"/>
  <c r="C482" i="2"/>
  <c r="B482" i="2"/>
  <c r="A482" i="2"/>
  <c r="AX481" i="2"/>
  <c r="AW481" i="2"/>
  <c r="AV481" i="2"/>
  <c r="AU481" i="2"/>
  <c r="AT481" i="2"/>
  <c r="AS481" i="2"/>
  <c r="AR481" i="2"/>
  <c r="AO481" i="2"/>
  <c r="AN481" i="2"/>
  <c r="AM481" i="2"/>
  <c r="AK481" i="2"/>
  <c r="AJ481" i="2"/>
  <c r="AI481" i="2"/>
  <c r="AH481" i="2"/>
  <c r="AG481" i="2"/>
  <c r="AD481" i="2"/>
  <c r="AC481" i="2"/>
  <c r="AB481" i="2"/>
  <c r="AA481" i="2"/>
  <c r="Z481" i="2"/>
  <c r="Y481" i="2"/>
  <c r="X481" i="2"/>
  <c r="W481" i="2"/>
  <c r="V481" i="2"/>
  <c r="U481" i="2"/>
  <c r="T481" i="2"/>
  <c r="S481" i="2"/>
  <c r="R481" i="2"/>
  <c r="Q481" i="2"/>
  <c r="P481" i="2"/>
  <c r="O481" i="2"/>
  <c r="N481" i="2"/>
  <c r="M481" i="2"/>
  <c r="L481" i="2"/>
  <c r="K481" i="2"/>
  <c r="J481" i="2"/>
  <c r="I481" i="2"/>
  <c r="H481" i="2"/>
  <c r="G481" i="2"/>
  <c r="F481" i="2"/>
  <c r="E481" i="2"/>
  <c r="D481" i="2"/>
  <c r="C481" i="2"/>
  <c r="B481" i="2"/>
  <c r="A481" i="2"/>
  <c r="AX480" i="2"/>
  <c r="AW480" i="2"/>
  <c r="AV480" i="2"/>
  <c r="AU480" i="2"/>
  <c r="AT480" i="2"/>
  <c r="AS480" i="2"/>
  <c r="AR480" i="2"/>
  <c r="AO480" i="2"/>
  <c r="AN480" i="2"/>
  <c r="AM480" i="2"/>
  <c r="AL480" i="2"/>
  <c r="AK480" i="2"/>
  <c r="AI480" i="2"/>
  <c r="AH480" i="2"/>
  <c r="AG480" i="2"/>
  <c r="AE480" i="2"/>
  <c r="AD480" i="2"/>
  <c r="AC480" i="2"/>
  <c r="AB480" i="2"/>
  <c r="AA480" i="2"/>
  <c r="Z480" i="2"/>
  <c r="Y480" i="2"/>
  <c r="X480" i="2"/>
  <c r="V480" i="2"/>
  <c r="U480" i="2"/>
  <c r="T480" i="2"/>
  <c r="S480" i="2"/>
  <c r="R480" i="2"/>
  <c r="Q480" i="2"/>
  <c r="P480" i="2"/>
  <c r="O480" i="2"/>
  <c r="N480" i="2"/>
  <c r="M480" i="2"/>
  <c r="L480" i="2"/>
  <c r="K480" i="2"/>
  <c r="J480" i="2"/>
  <c r="I480" i="2"/>
  <c r="H480" i="2"/>
  <c r="G480" i="2"/>
  <c r="F480" i="2"/>
  <c r="E480" i="2"/>
  <c r="D480" i="2"/>
  <c r="C480" i="2"/>
  <c r="B480" i="2"/>
  <c r="A480" i="2"/>
  <c r="AX479" i="2"/>
  <c r="AW479" i="2"/>
  <c r="AV479" i="2"/>
  <c r="AU479" i="2"/>
  <c r="AT479" i="2"/>
  <c r="AS479" i="2"/>
  <c r="AR479" i="2"/>
  <c r="AO479" i="2"/>
  <c r="AN479" i="2"/>
  <c r="AM479" i="2"/>
  <c r="AK479" i="2"/>
  <c r="AJ479" i="2"/>
  <c r="AI479" i="2"/>
  <c r="AH479" i="2"/>
  <c r="AG479" i="2"/>
  <c r="AF479" i="2"/>
  <c r="AE479" i="2"/>
  <c r="AD479" i="2"/>
  <c r="AC479" i="2"/>
  <c r="Z479" i="2"/>
  <c r="Y479" i="2"/>
  <c r="X479" i="2"/>
  <c r="W479" i="2"/>
  <c r="V479" i="2"/>
  <c r="U479" i="2"/>
  <c r="T479" i="2"/>
  <c r="S479" i="2"/>
  <c r="R479" i="2"/>
  <c r="Q479" i="2"/>
  <c r="P479" i="2"/>
  <c r="O479" i="2"/>
  <c r="N479" i="2"/>
  <c r="M479" i="2"/>
  <c r="L479" i="2"/>
  <c r="K479" i="2"/>
  <c r="J479" i="2"/>
  <c r="I479" i="2"/>
  <c r="H479" i="2"/>
  <c r="G479" i="2"/>
  <c r="F479" i="2"/>
  <c r="E479" i="2"/>
  <c r="D479" i="2"/>
  <c r="C479" i="2"/>
  <c r="B479" i="2"/>
  <c r="A479" i="2"/>
  <c r="AX478" i="2"/>
  <c r="AW478" i="2"/>
  <c r="AV478" i="2"/>
  <c r="AU478" i="2"/>
  <c r="AT478" i="2"/>
  <c r="AS478" i="2"/>
  <c r="AR478" i="2"/>
  <c r="AO478" i="2"/>
  <c r="AN478" i="2"/>
  <c r="AM478" i="2"/>
  <c r="AL478" i="2"/>
  <c r="AK478" i="2"/>
  <c r="AJ478" i="2"/>
  <c r="AI478" i="2"/>
  <c r="AH478" i="2"/>
  <c r="AG478" i="2"/>
  <c r="AF478" i="2"/>
  <c r="AE478" i="2"/>
  <c r="AC478" i="2"/>
  <c r="Z478" i="2"/>
  <c r="Y478" i="2"/>
  <c r="X478" i="2"/>
  <c r="W478" i="2"/>
  <c r="V478" i="2"/>
  <c r="U478" i="2"/>
  <c r="T478" i="2"/>
  <c r="S478" i="2"/>
  <c r="R478" i="2"/>
  <c r="Q478" i="2"/>
  <c r="P478" i="2"/>
  <c r="O478" i="2"/>
  <c r="N478" i="2"/>
  <c r="M478" i="2"/>
  <c r="L478" i="2"/>
  <c r="K478" i="2"/>
  <c r="J478" i="2"/>
  <c r="I478" i="2"/>
  <c r="H478" i="2"/>
  <c r="G478" i="2"/>
  <c r="F478" i="2"/>
  <c r="E478" i="2"/>
  <c r="D478" i="2"/>
  <c r="C478" i="2"/>
  <c r="B478" i="2"/>
  <c r="A478" i="2"/>
  <c r="AX477" i="2"/>
  <c r="AW477" i="2"/>
  <c r="AV477" i="2"/>
  <c r="AU477" i="2"/>
  <c r="AT477" i="2"/>
  <c r="AR477" i="2"/>
  <c r="AO477" i="2"/>
  <c r="AN477" i="2"/>
  <c r="AM477" i="2"/>
  <c r="AI477" i="2"/>
  <c r="AH477" i="2"/>
  <c r="AG477" i="2"/>
  <c r="AE477" i="2"/>
  <c r="AC477" i="2"/>
  <c r="Z477" i="2"/>
  <c r="Y477" i="2"/>
  <c r="X477" i="2"/>
  <c r="W477" i="2"/>
  <c r="V477" i="2"/>
  <c r="U477" i="2"/>
  <c r="T477" i="2"/>
  <c r="S477" i="2"/>
  <c r="R477" i="2"/>
  <c r="Q477" i="2"/>
  <c r="P477" i="2"/>
  <c r="O477" i="2"/>
  <c r="N477" i="2"/>
  <c r="M477" i="2"/>
  <c r="L477" i="2"/>
  <c r="K477" i="2"/>
  <c r="J477" i="2"/>
  <c r="I477" i="2"/>
  <c r="H477" i="2"/>
  <c r="G477" i="2"/>
  <c r="F477" i="2"/>
  <c r="E477" i="2"/>
  <c r="D477" i="2"/>
  <c r="C477" i="2"/>
  <c r="B477" i="2"/>
  <c r="A477" i="2"/>
  <c r="AX476" i="2"/>
  <c r="AW476" i="2"/>
  <c r="AV476" i="2"/>
  <c r="AU476" i="2"/>
  <c r="AT476" i="2"/>
  <c r="AS476" i="2"/>
  <c r="AR476" i="2"/>
  <c r="AO476" i="2"/>
  <c r="AN476" i="2"/>
  <c r="AM476" i="2"/>
  <c r="AK476" i="2"/>
  <c r="AJ476" i="2"/>
  <c r="AI476" i="2"/>
  <c r="AH476" i="2"/>
  <c r="AG476" i="2"/>
  <c r="AD476" i="2"/>
  <c r="AC476" i="2"/>
  <c r="AB476" i="2"/>
  <c r="Z476" i="2"/>
  <c r="Y476" i="2"/>
  <c r="X476" i="2"/>
  <c r="W476" i="2"/>
  <c r="V476" i="2"/>
  <c r="U476" i="2"/>
  <c r="T476" i="2"/>
  <c r="S476" i="2"/>
  <c r="R476" i="2"/>
  <c r="Q476" i="2"/>
  <c r="P476" i="2"/>
  <c r="O476" i="2"/>
  <c r="N476" i="2"/>
  <c r="M476" i="2"/>
  <c r="L476" i="2"/>
  <c r="K476" i="2"/>
  <c r="J476" i="2"/>
  <c r="I476" i="2"/>
  <c r="H476" i="2"/>
  <c r="G476" i="2"/>
  <c r="F476" i="2"/>
  <c r="E476" i="2"/>
  <c r="D476" i="2"/>
  <c r="C476" i="2"/>
  <c r="B476" i="2"/>
  <c r="A476" i="2"/>
  <c r="AX475" i="2"/>
  <c r="AW475" i="2"/>
  <c r="AV475" i="2"/>
  <c r="AU475" i="2"/>
  <c r="AT475" i="2"/>
  <c r="AS475" i="2"/>
  <c r="AR475" i="2"/>
  <c r="AO475" i="2"/>
  <c r="AN475" i="2"/>
  <c r="AM475" i="2"/>
  <c r="AK475" i="2"/>
  <c r="AJ475" i="2"/>
  <c r="AI475" i="2"/>
  <c r="AH475" i="2"/>
  <c r="AG475" i="2"/>
  <c r="AF475" i="2"/>
  <c r="AE475" i="2"/>
  <c r="AC475" i="2"/>
  <c r="AA475" i="2"/>
  <c r="Z475" i="2"/>
  <c r="Y475" i="2"/>
  <c r="X475" i="2"/>
  <c r="W475" i="2"/>
  <c r="V475" i="2"/>
  <c r="U475" i="2"/>
  <c r="T475" i="2"/>
  <c r="S475" i="2"/>
  <c r="R475" i="2"/>
  <c r="Q475" i="2"/>
  <c r="P475" i="2"/>
  <c r="O475" i="2"/>
  <c r="N475" i="2"/>
  <c r="M475" i="2"/>
  <c r="L475" i="2"/>
  <c r="K475" i="2"/>
  <c r="J475" i="2"/>
  <c r="I475" i="2"/>
  <c r="H475" i="2"/>
  <c r="G475" i="2"/>
  <c r="F475" i="2"/>
  <c r="E475" i="2"/>
  <c r="D475" i="2"/>
  <c r="C475" i="2"/>
  <c r="B475" i="2"/>
  <c r="A475" i="2"/>
  <c r="AX474" i="2"/>
  <c r="AW474" i="2"/>
  <c r="AV474" i="2"/>
  <c r="AU474" i="2"/>
  <c r="AT474" i="2"/>
  <c r="AS474" i="2"/>
  <c r="AR474" i="2"/>
  <c r="AO474" i="2"/>
  <c r="AN474" i="2"/>
  <c r="AM474" i="2"/>
  <c r="AK474" i="2"/>
  <c r="AJ474" i="2"/>
  <c r="AI474" i="2"/>
  <c r="AH474" i="2"/>
  <c r="AG474" i="2"/>
  <c r="AF474" i="2"/>
  <c r="AE474" i="2"/>
  <c r="AD474" i="2"/>
  <c r="AC474" i="2"/>
  <c r="AB474" i="2"/>
  <c r="AA474" i="2"/>
  <c r="Z474" i="2"/>
  <c r="Y474" i="2"/>
  <c r="X474" i="2"/>
  <c r="W474" i="2"/>
  <c r="V474" i="2"/>
  <c r="U474" i="2"/>
  <c r="T474" i="2"/>
  <c r="S474" i="2"/>
  <c r="R474" i="2"/>
  <c r="Q474" i="2"/>
  <c r="P474" i="2"/>
  <c r="O474" i="2"/>
  <c r="N474" i="2"/>
  <c r="M474" i="2"/>
  <c r="L474" i="2"/>
  <c r="K474" i="2"/>
  <c r="J474" i="2"/>
  <c r="I474" i="2"/>
  <c r="H474" i="2"/>
  <c r="G474" i="2"/>
  <c r="F474" i="2"/>
  <c r="E474" i="2"/>
  <c r="D474" i="2"/>
  <c r="C474" i="2"/>
  <c r="B474" i="2"/>
  <c r="A474" i="2"/>
  <c r="AX473" i="2"/>
  <c r="AW473" i="2"/>
  <c r="AV473" i="2"/>
  <c r="AU473" i="2"/>
  <c r="AT473" i="2"/>
  <c r="AS473" i="2"/>
  <c r="AR473" i="2"/>
  <c r="AP473" i="2"/>
  <c r="AO473" i="2"/>
  <c r="AN473" i="2"/>
  <c r="AM473" i="2"/>
  <c r="AK473" i="2"/>
  <c r="AJ473" i="2"/>
  <c r="AI473" i="2"/>
  <c r="AH473" i="2"/>
  <c r="AG473" i="2"/>
  <c r="AE473" i="2"/>
  <c r="AD473" i="2"/>
  <c r="AC473" i="2"/>
  <c r="AB473" i="2"/>
  <c r="Z473" i="2"/>
  <c r="Y473" i="2"/>
  <c r="X473" i="2"/>
  <c r="W473" i="2"/>
  <c r="V473" i="2"/>
  <c r="U473" i="2"/>
  <c r="T473" i="2"/>
  <c r="S473" i="2"/>
  <c r="R473" i="2"/>
  <c r="Q473" i="2"/>
  <c r="P473" i="2"/>
  <c r="O473" i="2"/>
  <c r="N473" i="2"/>
  <c r="L473" i="2"/>
  <c r="J473" i="2"/>
  <c r="I473" i="2"/>
  <c r="H473" i="2"/>
  <c r="G473" i="2"/>
  <c r="F473" i="2"/>
  <c r="E473" i="2"/>
  <c r="D473" i="2"/>
  <c r="C473" i="2"/>
  <c r="B473" i="2"/>
  <c r="A473" i="2"/>
  <c r="AX472" i="2"/>
  <c r="AW472" i="2"/>
  <c r="AV472" i="2"/>
  <c r="AU472" i="2"/>
  <c r="AT472" i="2"/>
  <c r="AS472" i="2"/>
  <c r="AR472" i="2"/>
  <c r="AO472" i="2"/>
  <c r="AN472" i="2"/>
  <c r="AM472" i="2"/>
  <c r="AK472" i="2"/>
  <c r="AJ472" i="2"/>
  <c r="AI472" i="2"/>
  <c r="AH472" i="2"/>
  <c r="AG472" i="2"/>
  <c r="AE472" i="2"/>
  <c r="AC472" i="2"/>
  <c r="AB472" i="2"/>
  <c r="Z472" i="2"/>
  <c r="Y472" i="2"/>
  <c r="X472" i="2"/>
  <c r="W472" i="2"/>
  <c r="V472" i="2"/>
  <c r="U472" i="2"/>
  <c r="T472" i="2"/>
  <c r="S472" i="2"/>
  <c r="R472" i="2"/>
  <c r="Q472" i="2"/>
  <c r="P472" i="2"/>
  <c r="O472" i="2"/>
  <c r="N472" i="2"/>
  <c r="M472" i="2"/>
  <c r="L472" i="2"/>
  <c r="K472" i="2"/>
  <c r="J472" i="2"/>
  <c r="I472" i="2"/>
  <c r="H472" i="2"/>
  <c r="G472" i="2"/>
  <c r="F472" i="2"/>
  <c r="E472" i="2"/>
  <c r="D472" i="2"/>
  <c r="C472" i="2"/>
  <c r="B472" i="2"/>
  <c r="A472" i="2"/>
  <c r="AX471" i="2"/>
  <c r="AW471" i="2"/>
  <c r="AV471" i="2"/>
  <c r="AU471" i="2"/>
  <c r="AT471" i="2"/>
  <c r="AS471" i="2"/>
  <c r="AR471" i="2"/>
  <c r="AO471" i="2"/>
  <c r="AN471" i="2"/>
  <c r="AM471" i="2"/>
  <c r="AK471" i="2"/>
  <c r="AJ471" i="2"/>
  <c r="AI471" i="2"/>
  <c r="AH471" i="2"/>
  <c r="AG471" i="2"/>
  <c r="AE471" i="2"/>
  <c r="AD471" i="2"/>
  <c r="AC471" i="2"/>
  <c r="AA471" i="2"/>
  <c r="Z471" i="2"/>
  <c r="Y471" i="2"/>
  <c r="X471" i="2"/>
  <c r="W471" i="2"/>
  <c r="V471" i="2"/>
  <c r="U471" i="2"/>
  <c r="T471" i="2"/>
  <c r="S471" i="2"/>
  <c r="R471" i="2"/>
  <c r="Q471" i="2"/>
  <c r="P471" i="2"/>
  <c r="O471" i="2"/>
  <c r="N471" i="2"/>
  <c r="M471" i="2"/>
  <c r="L471" i="2"/>
  <c r="K471" i="2"/>
  <c r="J471" i="2"/>
  <c r="I471" i="2"/>
  <c r="H471" i="2"/>
  <c r="G471" i="2"/>
  <c r="F471" i="2"/>
  <c r="E471" i="2"/>
  <c r="D471" i="2"/>
  <c r="C471" i="2"/>
  <c r="B471" i="2"/>
  <c r="A471" i="2"/>
  <c r="AX470" i="2"/>
  <c r="AW470" i="2"/>
  <c r="AV470" i="2"/>
  <c r="AU470" i="2"/>
  <c r="AT470" i="2"/>
  <c r="AS470" i="2"/>
  <c r="AR470" i="2"/>
  <c r="AO470" i="2"/>
  <c r="AN470" i="2"/>
  <c r="AM470" i="2"/>
  <c r="AK470" i="2"/>
  <c r="AJ470" i="2"/>
  <c r="AI470" i="2"/>
  <c r="AH470" i="2"/>
  <c r="AG470" i="2"/>
  <c r="AD470" i="2"/>
  <c r="AC470" i="2"/>
  <c r="AB470" i="2"/>
  <c r="AA470" i="2"/>
  <c r="Z470" i="2"/>
  <c r="Y470" i="2"/>
  <c r="X470" i="2"/>
  <c r="W470" i="2"/>
  <c r="V470" i="2"/>
  <c r="U470" i="2"/>
  <c r="T470" i="2"/>
  <c r="S470" i="2"/>
  <c r="R470" i="2"/>
  <c r="Q470" i="2"/>
  <c r="P470" i="2"/>
  <c r="O470" i="2"/>
  <c r="N470" i="2"/>
  <c r="M470" i="2"/>
  <c r="L470" i="2"/>
  <c r="K470" i="2"/>
  <c r="J470" i="2"/>
  <c r="I470" i="2"/>
  <c r="H470" i="2"/>
  <c r="G470" i="2"/>
  <c r="F470" i="2"/>
  <c r="E470" i="2"/>
  <c r="D470" i="2"/>
  <c r="C470" i="2"/>
  <c r="B470" i="2"/>
  <c r="A470" i="2"/>
  <c r="AX469" i="2"/>
  <c r="AW469" i="2"/>
  <c r="AV469" i="2"/>
  <c r="AU469" i="2"/>
  <c r="AT469" i="2"/>
  <c r="AS469" i="2"/>
  <c r="AR469" i="2"/>
  <c r="AO469" i="2"/>
  <c r="AN469" i="2"/>
  <c r="AM469" i="2"/>
  <c r="AK469" i="2"/>
  <c r="AJ469" i="2"/>
  <c r="AI469" i="2"/>
  <c r="AH469" i="2"/>
  <c r="AG469" i="2"/>
  <c r="AD469" i="2"/>
  <c r="AC469" i="2"/>
  <c r="AB469" i="2"/>
  <c r="AA469" i="2"/>
  <c r="Z469" i="2"/>
  <c r="Y469" i="2"/>
  <c r="X469" i="2"/>
  <c r="W469" i="2"/>
  <c r="V469" i="2"/>
  <c r="U469" i="2"/>
  <c r="T469" i="2"/>
  <c r="S469" i="2"/>
  <c r="R469" i="2"/>
  <c r="Q469" i="2"/>
  <c r="P469" i="2"/>
  <c r="O469" i="2"/>
  <c r="N469" i="2"/>
  <c r="M469" i="2"/>
  <c r="L469" i="2"/>
  <c r="K469" i="2"/>
  <c r="J469" i="2"/>
  <c r="I469" i="2"/>
  <c r="H469" i="2"/>
  <c r="G469" i="2"/>
  <c r="F469" i="2"/>
  <c r="E469" i="2"/>
  <c r="D469" i="2"/>
  <c r="C469" i="2"/>
  <c r="B469" i="2"/>
  <c r="A469" i="2"/>
  <c r="AX468" i="2"/>
  <c r="AW468" i="2"/>
  <c r="AV468" i="2"/>
  <c r="AU468" i="2"/>
  <c r="AT468" i="2"/>
  <c r="AS468" i="2"/>
  <c r="AR468" i="2"/>
  <c r="AO468" i="2"/>
  <c r="AN468" i="2"/>
  <c r="AM468" i="2"/>
  <c r="AL468" i="2"/>
  <c r="AK468" i="2"/>
  <c r="AJ468" i="2"/>
  <c r="AI468" i="2"/>
  <c r="AH468" i="2"/>
  <c r="AG468" i="2"/>
  <c r="AF468" i="2"/>
  <c r="AE468" i="2"/>
  <c r="AD468" i="2"/>
  <c r="AC468" i="2"/>
  <c r="AB468" i="2"/>
  <c r="AA468" i="2"/>
  <c r="Z468" i="2"/>
  <c r="Y468" i="2"/>
  <c r="X468" i="2"/>
  <c r="W468" i="2"/>
  <c r="V468" i="2"/>
  <c r="U468" i="2"/>
  <c r="T468" i="2"/>
  <c r="S468" i="2"/>
  <c r="R468" i="2"/>
  <c r="Q468" i="2"/>
  <c r="P468" i="2"/>
  <c r="O468" i="2"/>
  <c r="N468" i="2"/>
  <c r="M468" i="2"/>
  <c r="L468" i="2"/>
  <c r="K468" i="2"/>
  <c r="J468" i="2"/>
  <c r="I468" i="2"/>
  <c r="H468" i="2"/>
  <c r="G468" i="2"/>
  <c r="F468" i="2"/>
  <c r="E468" i="2"/>
  <c r="D468" i="2"/>
  <c r="C468" i="2"/>
  <c r="B468" i="2"/>
  <c r="A468" i="2"/>
  <c r="AX467" i="2"/>
  <c r="AW467" i="2"/>
  <c r="AV467" i="2"/>
  <c r="AU467" i="2"/>
  <c r="AS467" i="2"/>
  <c r="AR467" i="2"/>
  <c r="AP467" i="2"/>
  <c r="AO467" i="2"/>
  <c r="AN467" i="2"/>
  <c r="AM467" i="2"/>
  <c r="AK467" i="2"/>
  <c r="AJ467" i="2"/>
  <c r="AI467" i="2"/>
  <c r="AH467" i="2"/>
  <c r="AG467" i="2"/>
  <c r="AE467" i="2"/>
  <c r="AD467" i="2"/>
  <c r="AC467" i="2"/>
  <c r="AB467" i="2"/>
  <c r="Z467" i="2"/>
  <c r="Y467" i="2"/>
  <c r="X467" i="2"/>
  <c r="W467" i="2"/>
  <c r="V467" i="2"/>
  <c r="U467" i="2"/>
  <c r="T467" i="2"/>
  <c r="S467" i="2"/>
  <c r="R467" i="2"/>
  <c r="Q467" i="2"/>
  <c r="P467" i="2"/>
  <c r="O467" i="2"/>
  <c r="N467" i="2"/>
  <c r="M467" i="2"/>
  <c r="L467" i="2"/>
  <c r="K467" i="2"/>
  <c r="J467" i="2"/>
  <c r="I467" i="2"/>
  <c r="H467" i="2"/>
  <c r="G467" i="2"/>
  <c r="F467" i="2"/>
  <c r="E467" i="2"/>
  <c r="D467" i="2"/>
  <c r="C467" i="2"/>
  <c r="B467" i="2"/>
  <c r="A467" i="2"/>
  <c r="AX466" i="2"/>
  <c r="AW466" i="2"/>
  <c r="AV466" i="2"/>
  <c r="AU466" i="2"/>
  <c r="AT466" i="2"/>
  <c r="AS466" i="2"/>
  <c r="AR466" i="2"/>
  <c r="AO466" i="2"/>
  <c r="AN466" i="2"/>
  <c r="AM466" i="2"/>
  <c r="AL466" i="2"/>
  <c r="AK466" i="2"/>
  <c r="AJ466" i="2"/>
  <c r="AI466" i="2"/>
  <c r="AH466" i="2"/>
  <c r="AG466" i="2"/>
  <c r="AE466" i="2"/>
  <c r="AD466" i="2"/>
  <c r="AC466" i="2"/>
  <c r="AB466" i="2"/>
  <c r="AA466" i="2"/>
  <c r="Z466" i="2"/>
  <c r="Y466" i="2"/>
  <c r="X466" i="2"/>
  <c r="W466" i="2"/>
  <c r="V466" i="2"/>
  <c r="U466" i="2"/>
  <c r="T466" i="2"/>
  <c r="S466" i="2"/>
  <c r="R466" i="2"/>
  <c r="Q466" i="2"/>
  <c r="P466" i="2"/>
  <c r="O466" i="2"/>
  <c r="N466" i="2"/>
  <c r="M466" i="2"/>
  <c r="L466" i="2"/>
  <c r="K466" i="2"/>
  <c r="J466" i="2"/>
  <c r="I466" i="2"/>
  <c r="H466" i="2"/>
  <c r="G466" i="2"/>
  <c r="F466" i="2"/>
  <c r="E466" i="2"/>
  <c r="D466" i="2"/>
  <c r="C466" i="2"/>
  <c r="B466" i="2"/>
  <c r="A466" i="2"/>
  <c r="AX465" i="2"/>
  <c r="AW465" i="2"/>
  <c r="AV465" i="2"/>
  <c r="AU465" i="2"/>
  <c r="AT465" i="2"/>
  <c r="AS465" i="2"/>
  <c r="AR465" i="2"/>
  <c r="AO465" i="2"/>
  <c r="AN465" i="2"/>
  <c r="AM465" i="2"/>
  <c r="AK465" i="2"/>
  <c r="AJ465" i="2"/>
  <c r="AI465" i="2"/>
  <c r="AH465" i="2"/>
  <c r="AG465" i="2"/>
  <c r="AE465" i="2"/>
  <c r="AD465" i="2"/>
  <c r="AC465" i="2"/>
  <c r="AB465" i="2"/>
  <c r="AA465" i="2"/>
  <c r="Z465" i="2"/>
  <c r="Y465" i="2"/>
  <c r="X465" i="2"/>
  <c r="W465" i="2"/>
  <c r="V465" i="2"/>
  <c r="U465" i="2"/>
  <c r="T465" i="2"/>
  <c r="S465" i="2"/>
  <c r="R465" i="2"/>
  <c r="Q465" i="2"/>
  <c r="P465" i="2"/>
  <c r="O465" i="2"/>
  <c r="N465" i="2"/>
  <c r="M465" i="2"/>
  <c r="L465" i="2"/>
  <c r="K465" i="2"/>
  <c r="J465" i="2"/>
  <c r="I465" i="2"/>
  <c r="H465" i="2"/>
  <c r="G465" i="2"/>
  <c r="F465" i="2"/>
  <c r="E465" i="2"/>
  <c r="D465" i="2"/>
  <c r="C465" i="2"/>
  <c r="B465" i="2"/>
  <c r="A465" i="2"/>
  <c r="AX464" i="2"/>
  <c r="AW464" i="2"/>
  <c r="AV464" i="2"/>
  <c r="AU464" i="2"/>
  <c r="AT464" i="2"/>
  <c r="AS464" i="2"/>
  <c r="AR464" i="2"/>
  <c r="AO464" i="2"/>
  <c r="AN464" i="2"/>
  <c r="AM464" i="2"/>
  <c r="AL464" i="2"/>
  <c r="AK464" i="2"/>
  <c r="AJ464" i="2"/>
  <c r="AI464" i="2"/>
  <c r="AH464" i="2"/>
  <c r="AG464" i="2"/>
  <c r="AF464" i="2"/>
  <c r="AE464" i="2"/>
  <c r="AC464" i="2"/>
  <c r="AA464" i="2"/>
  <c r="Z464" i="2"/>
  <c r="Y464" i="2"/>
  <c r="X464" i="2"/>
  <c r="W464" i="2"/>
  <c r="V464" i="2"/>
  <c r="U464" i="2"/>
  <c r="T464" i="2"/>
  <c r="S464" i="2"/>
  <c r="R464" i="2"/>
  <c r="Q464" i="2"/>
  <c r="P464" i="2"/>
  <c r="O464" i="2"/>
  <c r="N464" i="2"/>
  <c r="M464" i="2"/>
  <c r="L464" i="2"/>
  <c r="K464" i="2"/>
  <c r="J464" i="2"/>
  <c r="I464" i="2"/>
  <c r="H464" i="2"/>
  <c r="G464" i="2"/>
  <c r="F464" i="2"/>
  <c r="E464" i="2"/>
  <c r="D464" i="2"/>
  <c r="C464" i="2"/>
  <c r="B464" i="2"/>
  <c r="A464" i="2"/>
  <c r="AX463" i="2"/>
  <c r="AW463" i="2"/>
  <c r="AV463" i="2"/>
  <c r="AU463" i="2"/>
  <c r="AT463" i="2"/>
  <c r="AS463" i="2"/>
  <c r="AR463" i="2"/>
  <c r="AP463" i="2"/>
  <c r="AO463" i="2"/>
  <c r="AN463" i="2"/>
  <c r="AM463" i="2"/>
  <c r="AL463" i="2"/>
  <c r="AK463" i="2"/>
  <c r="AJ463" i="2"/>
  <c r="AI463" i="2"/>
  <c r="AH463" i="2"/>
  <c r="AG463" i="2"/>
  <c r="AE463" i="2"/>
  <c r="AD463" i="2"/>
  <c r="AC463" i="2"/>
  <c r="AB463" i="2"/>
  <c r="AA463" i="2"/>
  <c r="Z463" i="2"/>
  <c r="Y463" i="2"/>
  <c r="X463" i="2"/>
  <c r="W463" i="2"/>
  <c r="V463" i="2"/>
  <c r="U463" i="2"/>
  <c r="T463" i="2"/>
  <c r="S463" i="2"/>
  <c r="R463" i="2"/>
  <c r="Q463" i="2"/>
  <c r="P463" i="2"/>
  <c r="O463" i="2"/>
  <c r="N463" i="2"/>
  <c r="M463" i="2"/>
  <c r="L463" i="2"/>
  <c r="K463" i="2"/>
  <c r="J463" i="2"/>
  <c r="I463" i="2"/>
  <c r="H463" i="2"/>
  <c r="G463" i="2"/>
  <c r="F463" i="2"/>
  <c r="E463" i="2"/>
  <c r="D463" i="2"/>
  <c r="C463" i="2"/>
  <c r="B463" i="2"/>
  <c r="A463" i="2"/>
  <c r="AX462" i="2"/>
  <c r="AW462" i="2"/>
  <c r="AV462" i="2"/>
  <c r="AU462" i="2"/>
  <c r="AS462" i="2"/>
  <c r="AR462" i="2"/>
  <c r="AO462" i="2"/>
  <c r="AN462" i="2"/>
  <c r="AM462" i="2"/>
  <c r="AK462" i="2"/>
  <c r="AJ462" i="2"/>
  <c r="AI462" i="2"/>
  <c r="AH462" i="2"/>
  <c r="AG462" i="2"/>
  <c r="AD462" i="2"/>
  <c r="AC462" i="2"/>
  <c r="AB462" i="2"/>
  <c r="AA462" i="2"/>
  <c r="Z462" i="2"/>
  <c r="Y462" i="2"/>
  <c r="X462" i="2"/>
  <c r="W462" i="2"/>
  <c r="V462" i="2"/>
  <c r="U462" i="2"/>
  <c r="T462" i="2"/>
  <c r="S462" i="2"/>
  <c r="R462" i="2"/>
  <c r="Q462" i="2"/>
  <c r="P462" i="2"/>
  <c r="O462" i="2"/>
  <c r="N462" i="2"/>
  <c r="M462" i="2"/>
  <c r="L462" i="2"/>
  <c r="K462" i="2"/>
  <c r="J462" i="2"/>
  <c r="I462" i="2"/>
  <c r="H462" i="2"/>
  <c r="G462" i="2"/>
  <c r="F462" i="2"/>
  <c r="E462" i="2"/>
  <c r="D462" i="2"/>
  <c r="C462" i="2"/>
  <c r="B462" i="2"/>
  <c r="A462" i="2"/>
  <c r="AX461" i="2"/>
  <c r="AW461" i="2"/>
  <c r="AV461" i="2"/>
  <c r="AU461" i="2"/>
  <c r="AT461" i="2"/>
  <c r="AS461" i="2"/>
  <c r="AR461" i="2"/>
  <c r="AO461" i="2"/>
  <c r="AN461" i="2"/>
  <c r="AM461" i="2"/>
  <c r="AK461" i="2"/>
  <c r="AJ461" i="2"/>
  <c r="AI461" i="2"/>
  <c r="AH461" i="2"/>
  <c r="AG461" i="2"/>
  <c r="AF461" i="2"/>
  <c r="AE461" i="2"/>
  <c r="AD461" i="2"/>
  <c r="AC461" i="2"/>
  <c r="AB461" i="2"/>
  <c r="Z461" i="2"/>
  <c r="Y461" i="2"/>
  <c r="X461" i="2"/>
  <c r="W461" i="2"/>
  <c r="V461" i="2"/>
  <c r="U461" i="2"/>
  <c r="T461" i="2"/>
  <c r="S461" i="2"/>
  <c r="R461" i="2"/>
  <c r="Q461" i="2"/>
  <c r="P461" i="2"/>
  <c r="O461" i="2"/>
  <c r="N461" i="2"/>
  <c r="M461" i="2"/>
  <c r="L461" i="2"/>
  <c r="K461" i="2"/>
  <c r="J461" i="2"/>
  <c r="I461" i="2"/>
  <c r="H461" i="2"/>
  <c r="G461" i="2"/>
  <c r="F461" i="2"/>
  <c r="E461" i="2"/>
  <c r="D461" i="2"/>
  <c r="C461" i="2"/>
  <c r="B461" i="2"/>
  <c r="A461" i="2"/>
  <c r="AX460" i="2"/>
  <c r="AW460" i="2"/>
  <c r="AV460" i="2"/>
  <c r="AU460" i="2"/>
  <c r="AT460" i="2"/>
  <c r="AS460" i="2"/>
  <c r="AR460" i="2"/>
  <c r="AO460" i="2"/>
  <c r="AN460" i="2"/>
  <c r="AM460" i="2"/>
  <c r="AL460" i="2"/>
  <c r="AK460" i="2"/>
  <c r="AJ460" i="2"/>
  <c r="AI460" i="2"/>
  <c r="AH460" i="2"/>
  <c r="AG460" i="2"/>
  <c r="AF460" i="2"/>
  <c r="AE460" i="2"/>
  <c r="AD460" i="2"/>
  <c r="AC460" i="2"/>
  <c r="AB460" i="2"/>
  <c r="Z460" i="2"/>
  <c r="Y460" i="2"/>
  <c r="X460" i="2"/>
  <c r="W460" i="2"/>
  <c r="V460" i="2"/>
  <c r="U460" i="2"/>
  <c r="T460" i="2"/>
  <c r="S460" i="2"/>
  <c r="R460" i="2"/>
  <c r="Q460" i="2"/>
  <c r="P460" i="2"/>
  <c r="O460" i="2"/>
  <c r="N460" i="2"/>
  <c r="M460" i="2"/>
  <c r="L460" i="2"/>
  <c r="K460" i="2"/>
  <c r="J460" i="2"/>
  <c r="I460" i="2"/>
  <c r="H460" i="2"/>
  <c r="G460" i="2"/>
  <c r="F460" i="2"/>
  <c r="E460" i="2"/>
  <c r="D460" i="2"/>
  <c r="C460" i="2"/>
  <c r="B460" i="2"/>
  <c r="A460" i="2"/>
  <c r="AX459" i="2"/>
  <c r="AW459" i="2"/>
  <c r="AV459" i="2"/>
  <c r="AU459" i="2"/>
  <c r="AT459" i="2"/>
  <c r="AR459" i="2"/>
  <c r="AO459" i="2"/>
  <c r="AN459" i="2"/>
  <c r="AM459" i="2"/>
  <c r="AJ459" i="2"/>
  <c r="AI459" i="2"/>
  <c r="AH459" i="2"/>
  <c r="AG459" i="2"/>
  <c r="AE459" i="2"/>
  <c r="AD459" i="2"/>
  <c r="AC459" i="2"/>
  <c r="Z459" i="2"/>
  <c r="Y459" i="2"/>
  <c r="X459" i="2"/>
  <c r="W459" i="2"/>
  <c r="V459" i="2"/>
  <c r="U459" i="2"/>
  <c r="T459" i="2"/>
  <c r="S459" i="2"/>
  <c r="R459" i="2"/>
  <c r="Q459" i="2"/>
  <c r="P459" i="2"/>
  <c r="O459" i="2"/>
  <c r="N459" i="2"/>
  <c r="M459" i="2"/>
  <c r="L459" i="2"/>
  <c r="K459" i="2"/>
  <c r="J459" i="2"/>
  <c r="I459" i="2"/>
  <c r="H459" i="2"/>
  <c r="G459" i="2"/>
  <c r="F459" i="2"/>
  <c r="E459" i="2"/>
  <c r="D459" i="2"/>
  <c r="C459" i="2"/>
  <c r="B459" i="2"/>
  <c r="A459" i="2"/>
  <c r="AX458" i="2"/>
  <c r="AW458" i="2"/>
  <c r="AV458" i="2"/>
  <c r="AU458" i="2"/>
  <c r="AT458" i="2"/>
  <c r="AS458" i="2"/>
  <c r="AR458" i="2"/>
  <c r="AP458" i="2"/>
  <c r="AO458" i="2"/>
  <c r="AN458" i="2"/>
  <c r="AM458" i="2"/>
  <c r="AL458" i="2"/>
  <c r="AK458" i="2"/>
  <c r="AJ458" i="2"/>
  <c r="AI458" i="2"/>
  <c r="AH458" i="2"/>
  <c r="AG458" i="2"/>
  <c r="AE458" i="2"/>
  <c r="AD458" i="2"/>
  <c r="AC458" i="2"/>
  <c r="AA458" i="2"/>
  <c r="Z458" i="2"/>
  <c r="Y458" i="2"/>
  <c r="X458" i="2"/>
  <c r="W458" i="2"/>
  <c r="V458" i="2"/>
  <c r="U458" i="2"/>
  <c r="T458" i="2"/>
  <c r="S458" i="2"/>
  <c r="R458" i="2"/>
  <c r="Q458" i="2"/>
  <c r="P458" i="2"/>
  <c r="O458" i="2"/>
  <c r="N458" i="2"/>
  <c r="M458" i="2"/>
  <c r="L458" i="2"/>
  <c r="K458" i="2"/>
  <c r="J458" i="2"/>
  <c r="I458" i="2"/>
  <c r="H458" i="2"/>
  <c r="G458" i="2"/>
  <c r="F458" i="2"/>
  <c r="E458" i="2"/>
  <c r="D458" i="2"/>
  <c r="C458" i="2"/>
  <c r="B458" i="2"/>
  <c r="A458" i="2"/>
  <c r="AX457" i="2"/>
  <c r="AW457" i="2"/>
  <c r="AV457" i="2"/>
  <c r="AU457" i="2"/>
  <c r="AT457" i="2"/>
  <c r="AS457" i="2"/>
  <c r="AR457" i="2"/>
  <c r="AO457" i="2"/>
  <c r="AN457" i="2"/>
  <c r="AM457" i="2"/>
  <c r="AK457" i="2"/>
  <c r="AJ457" i="2"/>
  <c r="AI457" i="2"/>
  <c r="AH457" i="2"/>
  <c r="AG457" i="2"/>
  <c r="AE457" i="2"/>
  <c r="AC457" i="2"/>
  <c r="AA457" i="2"/>
  <c r="Z457" i="2"/>
  <c r="Y457" i="2"/>
  <c r="X457" i="2"/>
  <c r="W457" i="2"/>
  <c r="V457" i="2"/>
  <c r="U457" i="2"/>
  <c r="T457" i="2"/>
  <c r="S457" i="2"/>
  <c r="R457" i="2"/>
  <c r="Q457" i="2"/>
  <c r="P457" i="2"/>
  <c r="O457" i="2"/>
  <c r="N457" i="2"/>
  <c r="M457" i="2"/>
  <c r="L457" i="2"/>
  <c r="K457" i="2"/>
  <c r="J457" i="2"/>
  <c r="I457" i="2"/>
  <c r="H457" i="2"/>
  <c r="G457" i="2"/>
  <c r="F457" i="2"/>
  <c r="E457" i="2"/>
  <c r="D457" i="2"/>
  <c r="C457" i="2"/>
  <c r="B457" i="2"/>
  <c r="A457" i="2"/>
  <c r="AX456" i="2"/>
  <c r="AV456" i="2"/>
  <c r="AU456" i="2"/>
  <c r="AT456" i="2"/>
  <c r="AS456" i="2"/>
  <c r="AR456" i="2"/>
  <c r="AP456" i="2"/>
  <c r="AO456" i="2"/>
  <c r="AN456" i="2"/>
  <c r="AM456" i="2"/>
  <c r="AL456" i="2"/>
  <c r="AK456" i="2"/>
  <c r="AJ456" i="2"/>
  <c r="AI456" i="2"/>
  <c r="AH456" i="2"/>
  <c r="AG456" i="2"/>
  <c r="AE456" i="2"/>
  <c r="AC456" i="2"/>
  <c r="AB456" i="2"/>
  <c r="AA456" i="2"/>
  <c r="Z456" i="2"/>
  <c r="Y456" i="2"/>
  <c r="X456" i="2"/>
  <c r="W456" i="2"/>
  <c r="V456" i="2"/>
  <c r="U456" i="2"/>
  <c r="T456" i="2"/>
  <c r="S456" i="2"/>
  <c r="R456" i="2"/>
  <c r="Q456" i="2"/>
  <c r="P456" i="2"/>
  <c r="O456" i="2"/>
  <c r="N456" i="2"/>
  <c r="M456" i="2"/>
  <c r="L456" i="2"/>
  <c r="K456" i="2"/>
  <c r="J456" i="2"/>
  <c r="I456" i="2"/>
  <c r="H456" i="2"/>
  <c r="G456" i="2"/>
  <c r="F456" i="2"/>
  <c r="E456" i="2"/>
  <c r="D456" i="2"/>
  <c r="C456" i="2"/>
  <c r="B456" i="2"/>
  <c r="A456" i="2"/>
  <c r="AX455" i="2"/>
  <c r="AW455" i="2"/>
  <c r="AV455" i="2"/>
  <c r="AU455" i="2"/>
  <c r="AT455" i="2"/>
  <c r="AS455" i="2"/>
  <c r="AR455" i="2"/>
  <c r="AO455" i="2"/>
  <c r="AN455" i="2"/>
  <c r="AM455" i="2"/>
  <c r="AK455" i="2"/>
  <c r="AI455" i="2"/>
  <c r="AH455" i="2"/>
  <c r="AG455" i="2"/>
  <c r="AE455" i="2"/>
  <c r="AD455" i="2"/>
  <c r="AC455" i="2"/>
  <c r="AB455" i="2"/>
  <c r="AA455" i="2"/>
  <c r="Z455" i="2"/>
  <c r="Y455" i="2"/>
  <c r="X455" i="2"/>
  <c r="W455" i="2"/>
  <c r="V455" i="2"/>
  <c r="U455" i="2"/>
  <c r="T455" i="2"/>
  <c r="S455" i="2"/>
  <c r="R455" i="2"/>
  <c r="Q455" i="2"/>
  <c r="P455" i="2"/>
  <c r="O455" i="2"/>
  <c r="N455" i="2"/>
  <c r="M455" i="2"/>
  <c r="L455" i="2"/>
  <c r="K455" i="2"/>
  <c r="J455" i="2"/>
  <c r="I455" i="2"/>
  <c r="H455" i="2"/>
  <c r="G455" i="2"/>
  <c r="F455" i="2"/>
  <c r="E455" i="2"/>
  <c r="D455" i="2"/>
  <c r="C455" i="2"/>
  <c r="B455" i="2"/>
  <c r="A455" i="2"/>
  <c r="AX454" i="2"/>
  <c r="AW454" i="2"/>
  <c r="AV454" i="2"/>
  <c r="AU454" i="2"/>
  <c r="AT454" i="2"/>
  <c r="AS454" i="2"/>
  <c r="AR454" i="2"/>
  <c r="AQ454" i="2"/>
  <c r="AP454" i="2"/>
  <c r="AO454" i="2"/>
  <c r="AN454" i="2"/>
  <c r="AM454" i="2"/>
  <c r="AL454" i="2"/>
  <c r="AK454" i="2"/>
  <c r="AJ454" i="2"/>
  <c r="AI454" i="2"/>
  <c r="AH454" i="2"/>
  <c r="AG454" i="2"/>
  <c r="AE454" i="2"/>
  <c r="AC454" i="2"/>
  <c r="AB454" i="2"/>
  <c r="AA454" i="2"/>
  <c r="Z454" i="2"/>
  <c r="Y454" i="2"/>
  <c r="X454" i="2"/>
  <c r="W454" i="2"/>
  <c r="V454" i="2"/>
  <c r="U454" i="2"/>
  <c r="T454" i="2"/>
  <c r="S454" i="2"/>
  <c r="R454" i="2"/>
  <c r="Q454" i="2"/>
  <c r="P454" i="2"/>
  <c r="O454" i="2"/>
  <c r="N454" i="2"/>
  <c r="M454" i="2"/>
  <c r="L454" i="2"/>
  <c r="K454" i="2"/>
  <c r="J454" i="2"/>
  <c r="I454" i="2"/>
  <c r="H454" i="2"/>
  <c r="G454" i="2"/>
  <c r="F454" i="2"/>
  <c r="E454" i="2"/>
  <c r="D454" i="2"/>
  <c r="C454" i="2"/>
  <c r="B454" i="2"/>
  <c r="A454" i="2"/>
  <c r="AX453" i="2"/>
  <c r="AW453" i="2"/>
  <c r="AV453" i="2"/>
  <c r="AU453" i="2"/>
  <c r="AT453" i="2"/>
  <c r="AS453" i="2"/>
  <c r="AR453" i="2"/>
  <c r="AO453" i="2"/>
  <c r="AN453" i="2"/>
  <c r="AM453" i="2"/>
  <c r="AL453" i="2"/>
  <c r="AK453" i="2"/>
  <c r="AI453" i="2"/>
  <c r="AH453" i="2"/>
  <c r="AG453" i="2"/>
  <c r="AE453" i="2"/>
  <c r="AD453" i="2"/>
  <c r="AB453" i="2"/>
  <c r="AA453" i="2"/>
  <c r="Z453" i="2"/>
  <c r="Y453" i="2"/>
  <c r="X453" i="2"/>
  <c r="W453" i="2"/>
  <c r="V453" i="2"/>
  <c r="U453" i="2"/>
  <c r="T453" i="2"/>
  <c r="S453" i="2"/>
  <c r="R453" i="2"/>
  <c r="Q453" i="2"/>
  <c r="P453" i="2"/>
  <c r="O453" i="2"/>
  <c r="N453" i="2"/>
  <c r="M453" i="2"/>
  <c r="L453" i="2"/>
  <c r="K453" i="2"/>
  <c r="J453" i="2"/>
  <c r="I453" i="2"/>
  <c r="H453" i="2"/>
  <c r="G453" i="2"/>
  <c r="F453" i="2"/>
  <c r="E453" i="2"/>
  <c r="D453" i="2"/>
  <c r="C453" i="2"/>
  <c r="B453" i="2"/>
  <c r="A453" i="2"/>
  <c r="AX452" i="2"/>
  <c r="AW452" i="2"/>
  <c r="AV452" i="2"/>
  <c r="AU452" i="2"/>
  <c r="AT452" i="2"/>
  <c r="AS452" i="2"/>
  <c r="AR452" i="2"/>
  <c r="AQ452" i="2"/>
  <c r="AP452" i="2"/>
  <c r="AO452" i="2"/>
  <c r="AN452" i="2"/>
  <c r="AM452" i="2"/>
  <c r="AL452" i="2"/>
  <c r="AK452" i="2"/>
  <c r="AJ452" i="2"/>
  <c r="AI452" i="2"/>
  <c r="AH452" i="2"/>
  <c r="AG452" i="2"/>
  <c r="AE452" i="2"/>
  <c r="AD452" i="2"/>
  <c r="AC452" i="2"/>
  <c r="AB452" i="2"/>
  <c r="Z452" i="2"/>
  <c r="Y452" i="2"/>
  <c r="X452" i="2"/>
  <c r="W452" i="2"/>
  <c r="V452" i="2"/>
  <c r="U452" i="2"/>
  <c r="T452" i="2"/>
  <c r="S452" i="2"/>
  <c r="R452" i="2"/>
  <c r="Q452" i="2"/>
  <c r="P452" i="2"/>
  <c r="O452" i="2"/>
  <c r="N452" i="2"/>
  <c r="M452" i="2"/>
  <c r="L452" i="2"/>
  <c r="K452" i="2"/>
  <c r="J452" i="2"/>
  <c r="I452" i="2"/>
  <c r="H452" i="2"/>
  <c r="G452" i="2"/>
  <c r="F452" i="2"/>
  <c r="E452" i="2"/>
  <c r="D452" i="2"/>
  <c r="C452" i="2"/>
  <c r="B452" i="2"/>
  <c r="A452" i="2"/>
  <c r="AX451" i="2"/>
  <c r="AW451" i="2"/>
  <c r="AV451" i="2"/>
  <c r="AU451" i="2"/>
  <c r="AT451" i="2"/>
  <c r="AS451" i="2"/>
  <c r="AR451" i="2"/>
  <c r="AP451" i="2"/>
  <c r="AO451" i="2"/>
  <c r="AN451" i="2"/>
  <c r="AM451" i="2"/>
  <c r="AL451" i="2"/>
  <c r="AK451" i="2"/>
  <c r="AJ451" i="2"/>
  <c r="AI451" i="2"/>
  <c r="AH451" i="2"/>
  <c r="AG451" i="2"/>
  <c r="AE451" i="2"/>
  <c r="AD451" i="2"/>
  <c r="AC451" i="2"/>
  <c r="AB451" i="2"/>
  <c r="AA451" i="2"/>
  <c r="Z451" i="2"/>
  <c r="Y451" i="2"/>
  <c r="X451" i="2"/>
  <c r="W451" i="2"/>
  <c r="V451" i="2"/>
  <c r="U451" i="2"/>
  <c r="T451" i="2"/>
  <c r="S451" i="2"/>
  <c r="R451" i="2"/>
  <c r="Q451" i="2"/>
  <c r="P451" i="2"/>
  <c r="O451" i="2"/>
  <c r="N451" i="2"/>
  <c r="M451" i="2"/>
  <c r="L451" i="2"/>
  <c r="K451" i="2"/>
  <c r="J451" i="2"/>
  <c r="I451" i="2"/>
  <c r="H451" i="2"/>
  <c r="G451" i="2"/>
  <c r="F451" i="2"/>
  <c r="E451" i="2"/>
  <c r="D451" i="2"/>
  <c r="C451" i="2"/>
  <c r="B451" i="2"/>
  <c r="A451" i="2"/>
  <c r="AX450" i="2"/>
  <c r="AW450" i="2"/>
  <c r="AV450" i="2"/>
  <c r="AU450" i="2"/>
  <c r="AT450" i="2"/>
  <c r="AS450" i="2"/>
  <c r="AR450" i="2"/>
  <c r="AO450" i="2"/>
  <c r="AN450" i="2"/>
  <c r="AM450" i="2"/>
  <c r="AK450" i="2"/>
  <c r="AJ450" i="2"/>
  <c r="AI450" i="2"/>
  <c r="AH450" i="2"/>
  <c r="AG450" i="2"/>
  <c r="AE450" i="2"/>
  <c r="AD450" i="2"/>
  <c r="AC450" i="2"/>
  <c r="AB450" i="2"/>
  <c r="AA450" i="2"/>
  <c r="Z450" i="2"/>
  <c r="Y450" i="2"/>
  <c r="X450" i="2"/>
  <c r="W450" i="2"/>
  <c r="V450" i="2"/>
  <c r="U450" i="2"/>
  <c r="T450" i="2"/>
  <c r="S450" i="2"/>
  <c r="R450" i="2"/>
  <c r="Q450" i="2"/>
  <c r="P450" i="2"/>
  <c r="O450" i="2"/>
  <c r="N450" i="2"/>
  <c r="M450" i="2"/>
  <c r="L450" i="2"/>
  <c r="K450" i="2"/>
  <c r="J450" i="2"/>
  <c r="I450" i="2"/>
  <c r="H450" i="2"/>
  <c r="G450" i="2"/>
  <c r="F450" i="2"/>
  <c r="E450" i="2"/>
  <c r="D450" i="2"/>
  <c r="C450" i="2"/>
  <c r="B450" i="2"/>
  <c r="A450" i="2"/>
  <c r="AX449" i="2"/>
  <c r="AW449" i="2"/>
  <c r="AV449" i="2"/>
  <c r="AU449" i="2"/>
  <c r="AT449" i="2"/>
  <c r="AS449" i="2"/>
  <c r="AR449" i="2"/>
  <c r="AQ449" i="2"/>
  <c r="AP449" i="2"/>
  <c r="AO449" i="2"/>
  <c r="AN449" i="2"/>
  <c r="AM449" i="2"/>
  <c r="AK449" i="2"/>
  <c r="AJ449" i="2"/>
  <c r="AI449" i="2"/>
  <c r="AH449" i="2"/>
  <c r="AG449" i="2"/>
  <c r="AE449" i="2"/>
  <c r="AD449" i="2"/>
  <c r="AC449" i="2"/>
  <c r="AB449" i="2"/>
  <c r="AA449" i="2"/>
  <c r="Z449" i="2"/>
  <c r="Y449" i="2"/>
  <c r="X449" i="2"/>
  <c r="W449" i="2"/>
  <c r="V449" i="2"/>
  <c r="U449" i="2"/>
  <c r="T449" i="2"/>
  <c r="S449" i="2"/>
  <c r="R449" i="2"/>
  <c r="Q449" i="2"/>
  <c r="P449" i="2"/>
  <c r="O449" i="2"/>
  <c r="N449" i="2"/>
  <c r="M449" i="2"/>
  <c r="L449" i="2"/>
  <c r="K449" i="2"/>
  <c r="J449" i="2"/>
  <c r="I449" i="2"/>
  <c r="H449" i="2"/>
  <c r="G449" i="2"/>
  <c r="F449" i="2"/>
  <c r="E449" i="2"/>
  <c r="D449" i="2"/>
  <c r="C449" i="2"/>
  <c r="B449" i="2"/>
  <c r="A449" i="2"/>
  <c r="AX448" i="2"/>
  <c r="AW448" i="2"/>
  <c r="AV448" i="2"/>
  <c r="AU448" i="2"/>
  <c r="AT448" i="2"/>
  <c r="AS448" i="2"/>
  <c r="AR448" i="2"/>
  <c r="AO448" i="2"/>
  <c r="AN448" i="2"/>
  <c r="AM448" i="2"/>
  <c r="AL448" i="2"/>
  <c r="AK448" i="2"/>
  <c r="AJ448" i="2"/>
  <c r="AI448" i="2"/>
  <c r="AH448" i="2"/>
  <c r="AG448" i="2"/>
  <c r="AE448" i="2"/>
  <c r="AD448" i="2"/>
  <c r="AC448" i="2"/>
  <c r="AB448" i="2"/>
  <c r="AA448" i="2"/>
  <c r="Z448" i="2"/>
  <c r="Y448" i="2"/>
  <c r="X448" i="2"/>
  <c r="V448" i="2"/>
  <c r="U448" i="2"/>
  <c r="T448" i="2"/>
  <c r="S448" i="2"/>
  <c r="R448" i="2"/>
  <c r="Q448" i="2"/>
  <c r="P448" i="2"/>
  <c r="O448" i="2"/>
  <c r="N448" i="2"/>
  <c r="M448" i="2"/>
  <c r="L448" i="2"/>
  <c r="K448" i="2"/>
  <c r="J448" i="2"/>
  <c r="I448" i="2"/>
  <c r="H448" i="2"/>
  <c r="G448" i="2"/>
  <c r="F448" i="2"/>
  <c r="E448" i="2"/>
  <c r="D448" i="2"/>
  <c r="C448" i="2"/>
  <c r="B448" i="2"/>
  <c r="A448" i="2"/>
  <c r="AX447" i="2"/>
  <c r="AW447" i="2"/>
  <c r="AV447" i="2"/>
  <c r="AU447" i="2"/>
  <c r="AT447" i="2"/>
  <c r="AS447" i="2"/>
  <c r="AR447" i="2"/>
  <c r="AP447" i="2"/>
  <c r="AO447" i="2"/>
  <c r="AN447" i="2"/>
  <c r="AM447" i="2"/>
  <c r="AL447" i="2"/>
  <c r="AK447" i="2"/>
  <c r="AJ447" i="2"/>
  <c r="AI447" i="2"/>
  <c r="AH447" i="2"/>
  <c r="AG447" i="2"/>
  <c r="AE447" i="2"/>
  <c r="AD447" i="2"/>
  <c r="AC447" i="2"/>
  <c r="AB447" i="2"/>
  <c r="AA447" i="2"/>
  <c r="Z447" i="2"/>
  <c r="Y447" i="2"/>
  <c r="X447" i="2"/>
  <c r="W447" i="2"/>
  <c r="V447" i="2"/>
  <c r="U447" i="2"/>
  <c r="T447" i="2"/>
  <c r="S447" i="2"/>
  <c r="R447" i="2"/>
  <c r="Q447" i="2"/>
  <c r="P447" i="2"/>
  <c r="O447" i="2"/>
  <c r="N447" i="2"/>
  <c r="M447" i="2"/>
  <c r="L447" i="2"/>
  <c r="K447" i="2"/>
  <c r="J447" i="2"/>
  <c r="I447" i="2"/>
  <c r="H447" i="2"/>
  <c r="G447" i="2"/>
  <c r="F447" i="2"/>
  <c r="E447" i="2"/>
  <c r="D447" i="2"/>
  <c r="C447" i="2"/>
  <c r="B447" i="2"/>
  <c r="A447" i="2"/>
  <c r="AX446" i="2"/>
  <c r="AW446" i="2"/>
  <c r="AV446" i="2"/>
  <c r="AU446" i="2"/>
  <c r="AT446" i="2"/>
  <c r="AS446" i="2"/>
  <c r="AR446" i="2"/>
  <c r="AO446" i="2"/>
  <c r="AN446" i="2"/>
  <c r="AM446" i="2"/>
  <c r="AL446" i="2"/>
  <c r="AK446" i="2"/>
  <c r="AJ446" i="2"/>
  <c r="AI446" i="2"/>
  <c r="AH446" i="2"/>
  <c r="AG446" i="2"/>
  <c r="AF446" i="2"/>
  <c r="AE446" i="2"/>
  <c r="AD446" i="2"/>
  <c r="AC446" i="2"/>
  <c r="AB446" i="2"/>
  <c r="AA446" i="2"/>
  <c r="Z446" i="2"/>
  <c r="Y446" i="2"/>
  <c r="X446" i="2"/>
  <c r="W446" i="2"/>
  <c r="V446" i="2"/>
  <c r="U446" i="2"/>
  <c r="T446" i="2"/>
  <c r="S446" i="2"/>
  <c r="R446" i="2"/>
  <c r="Q446" i="2"/>
  <c r="P446" i="2"/>
  <c r="O446" i="2"/>
  <c r="N446" i="2"/>
  <c r="M446" i="2"/>
  <c r="L446" i="2"/>
  <c r="K446" i="2"/>
  <c r="J446" i="2"/>
  <c r="I446" i="2"/>
  <c r="H446" i="2"/>
  <c r="G446" i="2"/>
  <c r="F446" i="2"/>
  <c r="E446" i="2"/>
  <c r="D446" i="2"/>
  <c r="C446" i="2"/>
  <c r="B446" i="2"/>
  <c r="A446" i="2"/>
  <c r="AX445" i="2"/>
  <c r="AW445" i="2"/>
  <c r="AV445" i="2"/>
  <c r="AU445" i="2"/>
  <c r="AT445" i="2"/>
  <c r="AS445" i="2"/>
  <c r="AR445" i="2"/>
  <c r="AO445" i="2"/>
  <c r="AN445" i="2"/>
  <c r="AM445" i="2"/>
  <c r="AK445" i="2"/>
  <c r="AJ445" i="2"/>
  <c r="AI445" i="2"/>
  <c r="AH445" i="2"/>
  <c r="AG445" i="2"/>
  <c r="AE445" i="2"/>
  <c r="AD445" i="2"/>
  <c r="AC445" i="2"/>
  <c r="AB445" i="2"/>
  <c r="AA445" i="2"/>
  <c r="Z445" i="2"/>
  <c r="Y445" i="2"/>
  <c r="X445" i="2"/>
  <c r="W445" i="2"/>
  <c r="V445" i="2"/>
  <c r="U445" i="2"/>
  <c r="T445" i="2"/>
  <c r="S445" i="2"/>
  <c r="R445" i="2"/>
  <c r="Q445" i="2"/>
  <c r="P445" i="2"/>
  <c r="O445" i="2"/>
  <c r="N445" i="2"/>
  <c r="M445" i="2"/>
  <c r="L445" i="2"/>
  <c r="K445" i="2"/>
  <c r="J445" i="2"/>
  <c r="I445" i="2"/>
  <c r="H445" i="2"/>
  <c r="G445" i="2"/>
  <c r="F445" i="2"/>
  <c r="E445" i="2"/>
  <c r="D445" i="2"/>
  <c r="C445" i="2"/>
  <c r="B445" i="2"/>
  <c r="A445" i="2"/>
  <c r="AX444" i="2"/>
  <c r="AW444" i="2"/>
  <c r="AV444" i="2"/>
  <c r="AU444" i="2"/>
  <c r="AT444" i="2"/>
  <c r="AS444" i="2"/>
  <c r="AR444" i="2"/>
  <c r="AO444" i="2"/>
  <c r="AN444" i="2"/>
  <c r="AM444" i="2"/>
  <c r="AK444" i="2"/>
  <c r="AJ444" i="2"/>
  <c r="AI444" i="2"/>
  <c r="AH444" i="2"/>
  <c r="AG444" i="2"/>
  <c r="AE444" i="2"/>
  <c r="AD444" i="2"/>
  <c r="AC444" i="2"/>
  <c r="AB444" i="2"/>
  <c r="AA444" i="2"/>
  <c r="Z444" i="2"/>
  <c r="Y444" i="2"/>
  <c r="X444" i="2"/>
  <c r="W444" i="2"/>
  <c r="V444" i="2"/>
  <c r="U444" i="2"/>
  <c r="T444" i="2"/>
  <c r="S444" i="2"/>
  <c r="R444" i="2"/>
  <c r="Q444" i="2"/>
  <c r="P444" i="2"/>
  <c r="O444" i="2"/>
  <c r="N444" i="2"/>
  <c r="M444" i="2"/>
  <c r="L444" i="2"/>
  <c r="K444" i="2"/>
  <c r="J444" i="2"/>
  <c r="I444" i="2"/>
  <c r="H444" i="2"/>
  <c r="G444" i="2"/>
  <c r="F444" i="2"/>
  <c r="E444" i="2"/>
  <c r="D444" i="2"/>
  <c r="C444" i="2"/>
  <c r="B444" i="2"/>
  <c r="A444" i="2"/>
  <c r="AX443" i="2"/>
  <c r="AW443" i="2"/>
  <c r="AV443" i="2"/>
  <c r="AU443" i="2"/>
  <c r="AT443" i="2"/>
  <c r="AS443" i="2"/>
  <c r="AR443" i="2"/>
  <c r="AO443" i="2"/>
  <c r="AN443" i="2"/>
  <c r="AM443" i="2"/>
  <c r="AL443" i="2"/>
  <c r="AK443" i="2"/>
  <c r="AJ443" i="2"/>
  <c r="AI443" i="2"/>
  <c r="AH443" i="2"/>
  <c r="AG443" i="2"/>
  <c r="AE443" i="2"/>
  <c r="AD443" i="2"/>
  <c r="AC443" i="2"/>
  <c r="AB443" i="2"/>
  <c r="AA443" i="2"/>
  <c r="Z443" i="2"/>
  <c r="Y443" i="2"/>
  <c r="X443" i="2"/>
  <c r="W443" i="2"/>
  <c r="V443" i="2"/>
  <c r="U443" i="2"/>
  <c r="T443" i="2"/>
  <c r="S443" i="2"/>
  <c r="R443" i="2"/>
  <c r="Q443" i="2"/>
  <c r="P443" i="2"/>
  <c r="O443" i="2"/>
  <c r="N443" i="2"/>
  <c r="M443" i="2"/>
  <c r="L443" i="2"/>
  <c r="K443" i="2"/>
  <c r="J443" i="2"/>
  <c r="I443" i="2"/>
  <c r="H443" i="2"/>
  <c r="G443" i="2"/>
  <c r="F443" i="2"/>
  <c r="E443" i="2"/>
  <c r="D443" i="2"/>
  <c r="C443" i="2"/>
  <c r="B443" i="2"/>
  <c r="A443" i="2"/>
  <c r="AX442" i="2"/>
  <c r="AW442" i="2"/>
  <c r="AV442" i="2"/>
  <c r="AU442" i="2"/>
  <c r="AT442" i="2"/>
  <c r="AS442" i="2"/>
  <c r="AR442" i="2"/>
  <c r="AO442" i="2"/>
  <c r="AN442" i="2"/>
  <c r="AM442" i="2"/>
  <c r="AK442" i="2"/>
  <c r="AJ442" i="2"/>
  <c r="AI442" i="2"/>
  <c r="AH442" i="2"/>
  <c r="AG442" i="2"/>
  <c r="AE442" i="2"/>
  <c r="AD442" i="2"/>
  <c r="AC442" i="2"/>
  <c r="Z442" i="2"/>
  <c r="Y442" i="2"/>
  <c r="X442" i="2"/>
  <c r="W442" i="2"/>
  <c r="V442" i="2"/>
  <c r="U442" i="2"/>
  <c r="T442" i="2"/>
  <c r="S442" i="2"/>
  <c r="R442" i="2"/>
  <c r="Q442" i="2"/>
  <c r="P442" i="2"/>
  <c r="O442" i="2"/>
  <c r="N442" i="2"/>
  <c r="M442" i="2"/>
  <c r="L442" i="2"/>
  <c r="K442" i="2"/>
  <c r="J442" i="2"/>
  <c r="I442" i="2"/>
  <c r="H442" i="2"/>
  <c r="G442" i="2"/>
  <c r="F442" i="2"/>
  <c r="E442" i="2"/>
  <c r="D442" i="2"/>
  <c r="C442" i="2"/>
  <c r="B442" i="2"/>
  <c r="A442" i="2"/>
  <c r="AX441" i="2"/>
  <c r="AW441" i="2"/>
  <c r="AV441" i="2"/>
  <c r="AU441" i="2"/>
  <c r="AT441" i="2"/>
  <c r="AS441" i="2"/>
  <c r="AR441" i="2"/>
  <c r="AO441" i="2"/>
  <c r="AN441" i="2"/>
  <c r="AM441" i="2"/>
  <c r="AK441" i="2"/>
  <c r="AJ441" i="2"/>
  <c r="AI441" i="2"/>
  <c r="AH441" i="2"/>
  <c r="AG441" i="2"/>
  <c r="AC441" i="2"/>
  <c r="AB441" i="2"/>
  <c r="AA441" i="2"/>
  <c r="Z441" i="2"/>
  <c r="Y441" i="2"/>
  <c r="X441" i="2"/>
  <c r="W441" i="2"/>
  <c r="V441" i="2"/>
  <c r="U441" i="2"/>
  <c r="T441" i="2"/>
  <c r="S441" i="2"/>
  <c r="R441" i="2"/>
  <c r="Q441" i="2"/>
  <c r="P441" i="2"/>
  <c r="O441" i="2"/>
  <c r="N441" i="2"/>
  <c r="M441" i="2"/>
  <c r="L441" i="2"/>
  <c r="K441" i="2"/>
  <c r="J441" i="2"/>
  <c r="I441" i="2"/>
  <c r="H441" i="2"/>
  <c r="G441" i="2"/>
  <c r="F441" i="2"/>
  <c r="E441" i="2"/>
  <c r="D441" i="2"/>
  <c r="C441" i="2"/>
  <c r="B441" i="2"/>
  <c r="A441" i="2"/>
  <c r="AX440" i="2"/>
  <c r="AW440" i="2"/>
  <c r="AV440" i="2"/>
  <c r="AU440" i="2"/>
  <c r="AT440" i="2"/>
  <c r="AS440" i="2"/>
  <c r="AR440" i="2"/>
  <c r="AO440" i="2"/>
  <c r="AN440" i="2"/>
  <c r="AM440" i="2"/>
  <c r="AL440" i="2"/>
  <c r="AK440" i="2"/>
  <c r="AJ440" i="2"/>
  <c r="AI440" i="2"/>
  <c r="AH440" i="2"/>
  <c r="AG440" i="2"/>
  <c r="AE440" i="2"/>
  <c r="AD440" i="2"/>
  <c r="AC440" i="2"/>
  <c r="AB440" i="2"/>
  <c r="AA440" i="2"/>
  <c r="Z440" i="2"/>
  <c r="Y440" i="2"/>
  <c r="X440" i="2"/>
  <c r="W440" i="2"/>
  <c r="V440" i="2"/>
  <c r="U440" i="2"/>
  <c r="T440" i="2"/>
  <c r="S440" i="2"/>
  <c r="R440" i="2"/>
  <c r="Q440" i="2"/>
  <c r="P440" i="2"/>
  <c r="O440" i="2"/>
  <c r="N440" i="2"/>
  <c r="M440" i="2"/>
  <c r="L440" i="2"/>
  <c r="K440" i="2"/>
  <c r="J440" i="2"/>
  <c r="I440" i="2"/>
  <c r="H440" i="2"/>
  <c r="G440" i="2"/>
  <c r="F440" i="2"/>
  <c r="E440" i="2"/>
  <c r="D440" i="2"/>
  <c r="C440" i="2"/>
  <c r="B440" i="2"/>
  <c r="A440" i="2"/>
  <c r="AX439" i="2"/>
  <c r="AW439" i="2"/>
  <c r="AV439" i="2"/>
  <c r="AU439" i="2"/>
  <c r="AT439" i="2"/>
  <c r="AS439" i="2"/>
  <c r="AR439" i="2"/>
  <c r="AO439" i="2"/>
  <c r="AN439" i="2"/>
  <c r="AM439" i="2"/>
  <c r="AK439" i="2"/>
  <c r="AJ439" i="2"/>
  <c r="AI439" i="2"/>
  <c r="AH439" i="2"/>
  <c r="AG439" i="2"/>
  <c r="AE439" i="2"/>
  <c r="AD439" i="2"/>
  <c r="AC439" i="2"/>
  <c r="AB439" i="2"/>
  <c r="AA439" i="2"/>
  <c r="Z439" i="2"/>
  <c r="Y439" i="2"/>
  <c r="X439" i="2"/>
  <c r="W439" i="2"/>
  <c r="V439" i="2"/>
  <c r="U439" i="2"/>
  <c r="T439" i="2"/>
  <c r="S439" i="2"/>
  <c r="R439" i="2"/>
  <c r="Q439" i="2"/>
  <c r="P439" i="2"/>
  <c r="O439" i="2"/>
  <c r="N439" i="2"/>
  <c r="M439" i="2"/>
  <c r="L439" i="2"/>
  <c r="K439" i="2"/>
  <c r="J439" i="2"/>
  <c r="I439" i="2"/>
  <c r="H439" i="2"/>
  <c r="G439" i="2"/>
  <c r="F439" i="2"/>
  <c r="E439" i="2"/>
  <c r="D439" i="2"/>
  <c r="C439" i="2"/>
  <c r="B439" i="2"/>
  <c r="A439" i="2"/>
  <c r="AX438" i="2"/>
  <c r="AW438" i="2"/>
  <c r="AV438" i="2"/>
  <c r="AU438" i="2"/>
  <c r="AT438" i="2"/>
  <c r="AS438" i="2"/>
  <c r="AR438" i="2"/>
  <c r="AO438" i="2"/>
  <c r="AN438" i="2"/>
  <c r="AM438" i="2"/>
  <c r="AL438" i="2"/>
  <c r="AK438" i="2"/>
  <c r="AJ438" i="2"/>
  <c r="AI438" i="2"/>
  <c r="AH438" i="2"/>
  <c r="AG438" i="2"/>
  <c r="AE438" i="2"/>
  <c r="AD438" i="2"/>
  <c r="AC438" i="2"/>
  <c r="AB438" i="2"/>
  <c r="Z438" i="2"/>
  <c r="Y438" i="2"/>
  <c r="X438" i="2"/>
  <c r="W438" i="2"/>
  <c r="V438" i="2"/>
  <c r="U438" i="2"/>
  <c r="T438" i="2"/>
  <c r="S438" i="2"/>
  <c r="R438" i="2"/>
  <c r="Q438" i="2"/>
  <c r="P438" i="2"/>
  <c r="O438" i="2"/>
  <c r="N438" i="2"/>
  <c r="M438" i="2"/>
  <c r="L438" i="2"/>
  <c r="K438" i="2"/>
  <c r="J438" i="2"/>
  <c r="I438" i="2"/>
  <c r="H438" i="2"/>
  <c r="G438" i="2"/>
  <c r="F438" i="2"/>
  <c r="E438" i="2"/>
  <c r="D438" i="2"/>
  <c r="C438" i="2"/>
  <c r="B438" i="2"/>
  <c r="A438" i="2"/>
  <c r="AX437" i="2"/>
  <c r="AW437" i="2"/>
  <c r="AV437" i="2"/>
  <c r="AU437" i="2"/>
  <c r="AT437" i="2"/>
  <c r="AS437" i="2"/>
  <c r="AR437" i="2"/>
  <c r="AO437" i="2"/>
  <c r="AN437" i="2"/>
  <c r="AM437" i="2"/>
  <c r="AL437" i="2"/>
  <c r="AK437" i="2"/>
  <c r="AJ437" i="2"/>
  <c r="AI437" i="2"/>
  <c r="AH437" i="2"/>
  <c r="AG437" i="2"/>
  <c r="AE437" i="2"/>
  <c r="AD437" i="2"/>
  <c r="AC437" i="2"/>
  <c r="AB437" i="2"/>
  <c r="Z437" i="2"/>
  <c r="Y437" i="2"/>
  <c r="X437" i="2"/>
  <c r="W437" i="2"/>
  <c r="V437" i="2"/>
  <c r="U437" i="2"/>
  <c r="T437" i="2"/>
  <c r="S437" i="2"/>
  <c r="R437" i="2"/>
  <c r="Q437" i="2"/>
  <c r="P437" i="2"/>
  <c r="O437" i="2"/>
  <c r="N437" i="2"/>
  <c r="M437" i="2"/>
  <c r="L437" i="2"/>
  <c r="K437" i="2"/>
  <c r="J437" i="2"/>
  <c r="I437" i="2"/>
  <c r="H437" i="2"/>
  <c r="G437" i="2"/>
  <c r="F437" i="2"/>
  <c r="E437" i="2"/>
  <c r="D437" i="2"/>
  <c r="C437" i="2"/>
  <c r="B437" i="2"/>
  <c r="A437" i="2"/>
  <c r="AX436" i="2"/>
  <c r="AW436" i="2"/>
  <c r="AV436" i="2"/>
  <c r="AU436" i="2"/>
  <c r="AS436" i="2"/>
  <c r="AR436" i="2"/>
  <c r="AO436" i="2"/>
  <c r="AN436" i="2"/>
  <c r="AM436" i="2"/>
  <c r="AK436" i="2"/>
  <c r="AJ436" i="2"/>
  <c r="AI436" i="2"/>
  <c r="AH436" i="2"/>
  <c r="AG436" i="2"/>
  <c r="AD436" i="2"/>
  <c r="AC436" i="2"/>
  <c r="AB436" i="2"/>
  <c r="AA436" i="2"/>
  <c r="Z436" i="2"/>
  <c r="Y436" i="2"/>
  <c r="X436" i="2"/>
  <c r="W436" i="2"/>
  <c r="V436" i="2"/>
  <c r="U436" i="2"/>
  <c r="T436" i="2"/>
  <c r="S436" i="2"/>
  <c r="R436" i="2"/>
  <c r="Q436" i="2"/>
  <c r="P436" i="2"/>
  <c r="O436" i="2"/>
  <c r="N436" i="2"/>
  <c r="M436" i="2"/>
  <c r="L436" i="2"/>
  <c r="K436" i="2"/>
  <c r="J436" i="2"/>
  <c r="I436" i="2"/>
  <c r="H436" i="2"/>
  <c r="G436" i="2"/>
  <c r="F436" i="2"/>
  <c r="E436" i="2"/>
  <c r="D436" i="2"/>
  <c r="C436" i="2"/>
  <c r="B436" i="2"/>
  <c r="A436" i="2"/>
  <c r="AX435" i="2"/>
  <c r="AW435" i="2"/>
  <c r="AV435" i="2"/>
  <c r="AU435" i="2"/>
  <c r="AT435" i="2"/>
  <c r="AS435" i="2"/>
  <c r="AR435" i="2"/>
  <c r="AO435" i="2"/>
  <c r="AN435" i="2"/>
  <c r="AM435" i="2"/>
  <c r="AK435" i="2"/>
  <c r="AJ435" i="2"/>
  <c r="AI435" i="2"/>
  <c r="AH435" i="2"/>
  <c r="AG435" i="2"/>
  <c r="AD435" i="2"/>
  <c r="AC435" i="2"/>
  <c r="AB435" i="2"/>
  <c r="AA435" i="2"/>
  <c r="Z435" i="2"/>
  <c r="Y435" i="2"/>
  <c r="X435" i="2"/>
  <c r="W435" i="2"/>
  <c r="V435" i="2"/>
  <c r="U435" i="2"/>
  <c r="T435" i="2"/>
  <c r="S435" i="2"/>
  <c r="R435" i="2"/>
  <c r="Q435" i="2"/>
  <c r="P435" i="2"/>
  <c r="O435" i="2"/>
  <c r="N435" i="2"/>
  <c r="M435" i="2"/>
  <c r="L435" i="2"/>
  <c r="K435" i="2"/>
  <c r="J435" i="2"/>
  <c r="I435" i="2"/>
  <c r="H435" i="2"/>
  <c r="G435" i="2"/>
  <c r="F435" i="2"/>
  <c r="E435" i="2"/>
  <c r="D435" i="2"/>
  <c r="C435" i="2"/>
  <c r="B435" i="2"/>
  <c r="A435" i="2"/>
  <c r="AX434" i="2"/>
  <c r="AW434" i="2"/>
  <c r="AV434" i="2"/>
  <c r="AU434" i="2"/>
  <c r="AT434" i="2"/>
  <c r="AS434" i="2"/>
  <c r="AR434" i="2"/>
  <c r="AO434" i="2"/>
  <c r="AN434" i="2"/>
  <c r="AM434" i="2"/>
  <c r="AL434" i="2"/>
  <c r="AK434" i="2"/>
  <c r="AJ434" i="2"/>
  <c r="AI434" i="2"/>
  <c r="AH434" i="2"/>
  <c r="AG434" i="2"/>
  <c r="AF434" i="2"/>
  <c r="AE434" i="2"/>
  <c r="AD434" i="2"/>
  <c r="AC434" i="2"/>
  <c r="AB434" i="2"/>
  <c r="AA434" i="2"/>
  <c r="Z434" i="2"/>
  <c r="Y434" i="2"/>
  <c r="X434" i="2"/>
  <c r="V434" i="2"/>
  <c r="U434" i="2"/>
  <c r="T434" i="2"/>
  <c r="S434" i="2"/>
  <c r="R434" i="2"/>
  <c r="Q434" i="2"/>
  <c r="P434" i="2"/>
  <c r="O434" i="2"/>
  <c r="N434" i="2"/>
  <c r="M434" i="2"/>
  <c r="L434" i="2"/>
  <c r="K434" i="2"/>
  <c r="J434" i="2"/>
  <c r="I434" i="2"/>
  <c r="H434" i="2"/>
  <c r="G434" i="2"/>
  <c r="F434" i="2"/>
  <c r="E434" i="2"/>
  <c r="D434" i="2"/>
  <c r="C434" i="2"/>
  <c r="B434" i="2"/>
  <c r="A434" i="2"/>
  <c r="AX433" i="2"/>
  <c r="AW433" i="2"/>
  <c r="AV433" i="2"/>
  <c r="AU433" i="2"/>
  <c r="AT433" i="2"/>
  <c r="AS433" i="2"/>
  <c r="AR433" i="2"/>
  <c r="AP433" i="2"/>
  <c r="AO433" i="2"/>
  <c r="AN433" i="2"/>
  <c r="AM433" i="2"/>
  <c r="AL433" i="2"/>
  <c r="AK433" i="2"/>
  <c r="AJ433" i="2"/>
  <c r="AI433" i="2"/>
  <c r="AH433" i="2"/>
  <c r="AG433" i="2"/>
  <c r="AE433" i="2"/>
  <c r="AD433" i="2"/>
  <c r="AC433" i="2"/>
  <c r="AB433" i="2"/>
  <c r="AA433" i="2"/>
  <c r="Z433" i="2"/>
  <c r="Y433" i="2"/>
  <c r="X433" i="2"/>
  <c r="W433" i="2"/>
  <c r="V433" i="2"/>
  <c r="U433" i="2"/>
  <c r="T433" i="2"/>
  <c r="S433" i="2"/>
  <c r="R433" i="2"/>
  <c r="Q433" i="2"/>
  <c r="P433" i="2"/>
  <c r="O433" i="2"/>
  <c r="N433" i="2"/>
  <c r="M433" i="2"/>
  <c r="L433" i="2"/>
  <c r="K433" i="2"/>
  <c r="J433" i="2"/>
  <c r="I433" i="2"/>
  <c r="H433" i="2"/>
  <c r="G433" i="2"/>
  <c r="F433" i="2"/>
  <c r="E433" i="2"/>
  <c r="D433" i="2"/>
  <c r="C433" i="2"/>
  <c r="B433" i="2"/>
  <c r="A433" i="2"/>
  <c r="AX432" i="2"/>
  <c r="AW432" i="2"/>
  <c r="AV432" i="2"/>
  <c r="AU432" i="2"/>
  <c r="AT432" i="2"/>
  <c r="AS432" i="2"/>
  <c r="AR432" i="2"/>
  <c r="AO432" i="2"/>
  <c r="AN432" i="2"/>
  <c r="AM432" i="2"/>
  <c r="AK432" i="2"/>
  <c r="AJ432" i="2"/>
  <c r="AI432" i="2"/>
  <c r="AH432" i="2"/>
  <c r="AG432" i="2"/>
  <c r="AF432" i="2"/>
  <c r="AE432" i="2"/>
  <c r="AD432" i="2"/>
  <c r="AC432" i="2"/>
  <c r="AB432" i="2"/>
  <c r="AA432" i="2"/>
  <c r="Z432" i="2"/>
  <c r="Y432" i="2"/>
  <c r="X432" i="2"/>
  <c r="W432" i="2"/>
  <c r="V432" i="2"/>
  <c r="U432" i="2"/>
  <c r="T432" i="2"/>
  <c r="S432" i="2"/>
  <c r="R432" i="2"/>
  <c r="Q432" i="2"/>
  <c r="P432" i="2"/>
  <c r="O432" i="2"/>
  <c r="N432" i="2"/>
  <c r="M432" i="2"/>
  <c r="L432" i="2"/>
  <c r="K432" i="2"/>
  <c r="J432" i="2"/>
  <c r="I432" i="2"/>
  <c r="H432" i="2"/>
  <c r="G432" i="2"/>
  <c r="F432" i="2"/>
  <c r="E432" i="2"/>
  <c r="D432" i="2"/>
  <c r="C432" i="2"/>
  <c r="B432" i="2"/>
  <c r="A432" i="2"/>
  <c r="AX431" i="2"/>
  <c r="AW431" i="2"/>
  <c r="AV431" i="2"/>
  <c r="AU431" i="2"/>
  <c r="AT431" i="2"/>
  <c r="AS431" i="2"/>
  <c r="AR431" i="2"/>
  <c r="AO431" i="2"/>
  <c r="AN431" i="2"/>
  <c r="AM431" i="2"/>
  <c r="AK431" i="2"/>
  <c r="AJ431" i="2"/>
  <c r="AI431" i="2"/>
  <c r="AH431" i="2"/>
  <c r="AG431" i="2"/>
  <c r="AD431" i="2"/>
  <c r="AC431" i="2"/>
  <c r="Z431" i="2"/>
  <c r="Y431" i="2"/>
  <c r="X431" i="2"/>
  <c r="V431" i="2"/>
  <c r="U431" i="2"/>
  <c r="T431" i="2"/>
  <c r="S431" i="2"/>
  <c r="R431" i="2"/>
  <c r="Q431" i="2"/>
  <c r="P431" i="2"/>
  <c r="O431" i="2"/>
  <c r="N431" i="2"/>
  <c r="M431" i="2"/>
  <c r="L431" i="2"/>
  <c r="K431" i="2"/>
  <c r="J431" i="2"/>
  <c r="I431" i="2"/>
  <c r="H431" i="2"/>
  <c r="G431" i="2"/>
  <c r="F431" i="2"/>
  <c r="E431" i="2"/>
  <c r="D431" i="2"/>
  <c r="C431" i="2"/>
  <c r="B431" i="2"/>
  <c r="A431" i="2"/>
  <c r="AX430" i="2"/>
  <c r="AW430" i="2"/>
  <c r="AV430" i="2"/>
  <c r="AU430" i="2"/>
  <c r="AS430" i="2"/>
  <c r="AR430" i="2"/>
  <c r="AN430" i="2"/>
  <c r="AM430" i="2"/>
  <c r="AL430" i="2"/>
  <c r="AK430" i="2"/>
  <c r="AI430" i="2"/>
  <c r="AH430" i="2"/>
  <c r="AG430" i="2"/>
  <c r="AF430" i="2"/>
  <c r="AE430" i="2"/>
  <c r="AD430" i="2"/>
  <c r="AC430" i="2"/>
  <c r="AB430" i="2"/>
  <c r="AA430" i="2"/>
  <c r="Z430" i="2"/>
  <c r="Y430" i="2"/>
  <c r="X430" i="2"/>
  <c r="W430" i="2"/>
  <c r="V430" i="2"/>
  <c r="U430" i="2"/>
  <c r="T430" i="2"/>
  <c r="S430" i="2"/>
  <c r="R430" i="2"/>
  <c r="Q430" i="2"/>
  <c r="P430" i="2"/>
  <c r="O430" i="2"/>
  <c r="N430" i="2"/>
  <c r="M430" i="2"/>
  <c r="L430" i="2"/>
  <c r="K430" i="2"/>
  <c r="J430" i="2"/>
  <c r="I430" i="2"/>
  <c r="H430" i="2"/>
  <c r="G430" i="2"/>
  <c r="F430" i="2"/>
  <c r="E430" i="2"/>
  <c r="D430" i="2"/>
  <c r="C430" i="2"/>
  <c r="B430" i="2"/>
  <c r="A430" i="2"/>
  <c r="AX429" i="2"/>
  <c r="AW429" i="2"/>
  <c r="AV429" i="2"/>
  <c r="AU429" i="2"/>
  <c r="AT429" i="2"/>
  <c r="AS429" i="2"/>
  <c r="AR429" i="2"/>
  <c r="AO429" i="2"/>
  <c r="AN429" i="2"/>
  <c r="AM429" i="2"/>
  <c r="AL429" i="2"/>
  <c r="AK429" i="2"/>
  <c r="AJ429" i="2"/>
  <c r="AI429" i="2"/>
  <c r="AH429" i="2"/>
  <c r="AG429" i="2"/>
  <c r="AF429" i="2"/>
  <c r="AE429" i="2"/>
  <c r="AC429" i="2"/>
  <c r="AB429" i="2"/>
  <c r="AA429" i="2"/>
  <c r="Z429" i="2"/>
  <c r="Y429" i="2"/>
  <c r="X429" i="2"/>
  <c r="W429" i="2"/>
  <c r="V429" i="2"/>
  <c r="U429" i="2"/>
  <c r="T429" i="2"/>
  <c r="S429" i="2"/>
  <c r="R429" i="2"/>
  <c r="Q429" i="2"/>
  <c r="P429" i="2"/>
  <c r="O429" i="2"/>
  <c r="N429" i="2"/>
  <c r="M429" i="2"/>
  <c r="L429" i="2"/>
  <c r="K429" i="2"/>
  <c r="J429" i="2"/>
  <c r="I429" i="2"/>
  <c r="H429" i="2"/>
  <c r="G429" i="2"/>
  <c r="F429" i="2"/>
  <c r="E429" i="2"/>
  <c r="D429" i="2"/>
  <c r="C429" i="2"/>
  <c r="B429" i="2"/>
  <c r="A429" i="2"/>
  <c r="AX428" i="2"/>
  <c r="AW428" i="2"/>
  <c r="AV428" i="2"/>
  <c r="AU428" i="2"/>
  <c r="AT428" i="2"/>
  <c r="AS428" i="2"/>
  <c r="AR428" i="2"/>
  <c r="AO428" i="2"/>
  <c r="AN428" i="2"/>
  <c r="AM428" i="2"/>
  <c r="AK428" i="2"/>
  <c r="AJ428" i="2"/>
  <c r="AI428" i="2"/>
  <c r="AH428" i="2"/>
  <c r="AG428" i="2"/>
  <c r="AE428" i="2"/>
  <c r="AC428" i="2"/>
  <c r="Z428" i="2"/>
  <c r="Y428" i="2"/>
  <c r="X428" i="2"/>
  <c r="W428" i="2"/>
  <c r="V428" i="2"/>
  <c r="U428" i="2"/>
  <c r="T428" i="2"/>
  <c r="S428" i="2"/>
  <c r="R428" i="2"/>
  <c r="Q428" i="2"/>
  <c r="P428" i="2"/>
  <c r="O428" i="2"/>
  <c r="N428" i="2"/>
  <c r="M428" i="2"/>
  <c r="L428" i="2"/>
  <c r="K428" i="2"/>
  <c r="J428" i="2"/>
  <c r="I428" i="2"/>
  <c r="H428" i="2"/>
  <c r="G428" i="2"/>
  <c r="F428" i="2"/>
  <c r="E428" i="2"/>
  <c r="D428" i="2"/>
  <c r="C428" i="2"/>
  <c r="B428" i="2"/>
  <c r="A428" i="2"/>
  <c r="AX427" i="2"/>
  <c r="AW427" i="2"/>
  <c r="AV427" i="2"/>
  <c r="AU427" i="2"/>
  <c r="AT427" i="2"/>
  <c r="AS427" i="2"/>
  <c r="AR427" i="2"/>
  <c r="AO427" i="2"/>
  <c r="AN427" i="2"/>
  <c r="AM427" i="2"/>
  <c r="AL427" i="2"/>
  <c r="AK427" i="2"/>
  <c r="AJ427" i="2"/>
  <c r="AI427" i="2"/>
  <c r="AH427" i="2"/>
  <c r="AG427" i="2"/>
  <c r="AE427" i="2"/>
  <c r="AD427" i="2"/>
  <c r="AC427" i="2"/>
  <c r="AB427" i="2"/>
  <c r="AA427" i="2"/>
  <c r="Z427" i="2"/>
  <c r="Y427" i="2"/>
  <c r="X427" i="2"/>
  <c r="W427" i="2"/>
  <c r="V427" i="2"/>
  <c r="U427" i="2"/>
  <c r="T427" i="2"/>
  <c r="S427" i="2"/>
  <c r="R427" i="2"/>
  <c r="Q427" i="2"/>
  <c r="P427" i="2"/>
  <c r="O427" i="2"/>
  <c r="N427" i="2"/>
  <c r="M427" i="2"/>
  <c r="L427" i="2"/>
  <c r="K427" i="2"/>
  <c r="J427" i="2"/>
  <c r="I427" i="2"/>
  <c r="H427" i="2"/>
  <c r="G427" i="2"/>
  <c r="F427" i="2"/>
  <c r="E427" i="2"/>
  <c r="D427" i="2"/>
  <c r="C427" i="2"/>
  <c r="B427" i="2"/>
  <c r="A427" i="2"/>
  <c r="AX426" i="2"/>
  <c r="AW426" i="2"/>
  <c r="AV426" i="2"/>
  <c r="AU426" i="2"/>
  <c r="AR426" i="2"/>
  <c r="AO426" i="2"/>
  <c r="AN426" i="2"/>
  <c r="AM426" i="2"/>
  <c r="AL426" i="2"/>
  <c r="AK426" i="2"/>
  <c r="AJ426" i="2"/>
  <c r="AI426" i="2"/>
  <c r="AH426" i="2"/>
  <c r="AG426" i="2"/>
  <c r="Z426" i="2"/>
  <c r="Y426" i="2"/>
  <c r="T426" i="2"/>
  <c r="S426" i="2"/>
  <c r="R426" i="2"/>
  <c r="Q426" i="2"/>
  <c r="P426" i="2"/>
  <c r="O426" i="2"/>
  <c r="N426" i="2"/>
  <c r="M426" i="2"/>
  <c r="L426" i="2"/>
  <c r="K426" i="2"/>
  <c r="J426" i="2"/>
  <c r="I426" i="2"/>
  <c r="H426" i="2"/>
  <c r="G426" i="2"/>
  <c r="F426" i="2"/>
  <c r="E426" i="2"/>
  <c r="D426" i="2"/>
  <c r="C426" i="2"/>
  <c r="B426" i="2"/>
  <c r="A426" i="2"/>
  <c r="AX425" i="2"/>
  <c r="AW425" i="2"/>
  <c r="AV425" i="2"/>
  <c r="AU425" i="2"/>
  <c r="AT425" i="2"/>
  <c r="AS425" i="2"/>
  <c r="AR425" i="2"/>
  <c r="AP425" i="2"/>
  <c r="AO425" i="2"/>
  <c r="AN425" i="2"/>
  <c r="AM425" i="2"/>
  <c r="AL425" i="2"/>
  <c r="AK425" i="2"/>
  <c r="AJ425" i="2"/>
  <c r="AI425" i="2"/>
  <c r="AH425" i="2"/>
  <c r="AG425" i="2"/>
  <c r="AE425" i="2"/>
  <c r="AD425" i="2"/>
  <c r="AC425" i="2"/>
  <c r="AB425" i="2"/>
  <c r="AA425" i="2"/>
  <c r="Z425" i="2"/>
  <c r="Y425" i="2"/>
  <c r="X425" i="2"/>
  <c r="W425" i="2"/>
  <c r="V425" i="2"/>
  <c r="U425" i="2"/>
  <c r="T425" i="2"/>
  <c r="S425" i="2"/>
  <c r="R425" i="2"/>
  <c r="Q425" i="2"/>
  <c r="P425" i="2"/>
  <c r="O425" i="2"/>
  <c r="N425" i="2"/>
  <c r="M425" i="2"/>
  <c r="L425" i="2"/>
  <c r="K425" i="2"/>
  <c r="J425" i="2"/>
  <c r="I425" i="2"/>
  <c r="H425" i="2"/>
  <c r="G425" i="2"/>
  <c r="F425" i="2"/>
  <c r="E425" i="2"/>
  <c r="D425" i="2"/>
  <c r="C425" i="2"/>
  <c r="B425" i="2"/>
  <c r="A425" i="2"/>
  <c r="AX424" i="2"/>
  <c r="AW424" i="2"/>
  <c r="AV424" i="2"/>
  <c r="AU424" i="2"/>
  <c r="AT424" i="2"/>
  <c r="AS424" i="2"/>
  <c r="AR424" i="2"/>
  <c r="AP424" i="2"/>
  <c r="AO424" i="2"/>
  <c r="AN424" i="2"/>
  <c r="AM424" i="2"/>
  <c r="AL424" i="2"/>
  <c r="AK424" i="2"/>
  <c r="AJ424" i="2"/>
  <c r="AI424" i="2"/>
  <c r="AH424" i="2"/>
  <c r="AG424" i="2"/>
  <c r="AE424" i="2"/>
  <c r="AD424" i="2"/>
  <c r="AC424" i="2"/>
  <c r="AB424" i="2"/>
  <c r="AA424" i="2"/>
  <c r="Z424" i="2"/>
  <c r="Y424" i="2"/>
  <c r="X424" i="2"/>
  <c r="W424" i="2"/>
  <c r="V424" i="2"/>
  <c r="U424" i="2"/>
  <c r="T424" i="2"/>
  <c r="S424" i="2"/>
  <c r="R424" i="2"/>
  <c r="Q424" i="2"/>
  <c r="P424" i="2"/>
  <c r="O424" i="2"/>
  <c r="N424" i="2"/>
  <c r="M424" i="2"/>
  <c r="L424" i="2"/>
  <c r="K424" i="2"/>
  <c r="J424" i="2"/>
  <c r="I424" i="2"/>
  <c r="H424" i="2"/>
  <c r="G424" i="2"/>
  <c r="F424" i="2"/>
  <c r="E424" i="2"/>
  <c r="D424" i="2"/>
  <c r="C424" i="2"/>
  <c r="B424" i="2"/>
  <c r="A424" i="2"/>
  <c r="AX423" i="2"/>
  <c r="AW423" i="2"/>
  <c r="AV423" i="2"/>
  <c r="AU423" i="2"/>
  <c r="AT423" i="2"/>
  <c r="AS423" i="2"/>
  <c r="AR423" i="2"/>
  <c r="AO423" i="2"/>
  <c r="AN423" i="2"/>
  <c r="AM423" i="2"/>
  <c r="AL423" i="2"/>
  <c r="AK423" i="2"/>
  <c r="AJ423" i="2"/>
  <c r="AI423" i="2"/>
  <c r="AH423" i="2"/>
  <c r="AG423" i="2"/>
  <c r="AE423" i="2"/>
  <c r="AD423" i="2"/>
  <c r="AC423" i="2"/>
  <c r="AB423" i="2"/>
  <c r="AA423" i="2"/>
  <c r="Z423" i="2"/>
  <c r="Y423" i="2"/>
  <c r="X423" i="2"/>
  <c r="W423" i="2"/>
  <c r="V423" i="2"/>
  <c r="U423" i="2"/>
  <c r="T423" i="2"/>
  <c r="S423" i="2"/>
  <c r="R423" i="2"/>
  <c r="Q423" i="2"/>
  <c r="P423" i="2"/>
  <c r="O423" i="2"/>
  <c r="N423" i="2"/>
  <c r="M423" i="2"/>
  <c r="L423" i="2"/>
  <c r="K423" i="2"/>
  <c r="J423" i="2"/>
  <c r="I423" i="2"/>
  <c r="H423" i="2"/>
  <c r="G423" i="2"/>
  <c r="F423" i="2"/>
  <c r="E423" i="2"/>
  <c r="D423" i="2"/>
  <c r="C423" i="2"/>
  <c r="B423" i="2"/>
  <c r="A423" i="2"/>
  <c r="AX422" i="2"/>
  <c r="AW422" i="2"/>
  <c r="AV422" i="2"/>
  <c r="AU422" i="2"/>
  <c r="AT422" i="2"/>
  <c r="AR422" i="2"/>
  <c r="AO422" i="2"/>
  <c r="AN422" i="2"/>
  <c r="AM422" i="2"/>
  <c r="AJ422" i="2"/>
  <c r="AI422" i="2"/>
  <c r="AH422" i="2"/>
  <c r="AG422" i="2"/>
  <c r="AC422" i="2"/>
  <c r="Z422" i="2"/>
  <c r="Y422" i="2"/>
  <c r="X422" i="2"/>
  <c r="W422" i="2"/>
  <c r="V422" i="2"/>
  <c r="U422" i="2"/>
  <c r="T422" i="2"/>
  <c r="S422" i="2"/>
  <c r="R422" i="2"/>
  <c r="Q422" i="2"/>
  <c r="P422" i="2"/>
  <c r="O422" i="2"/>
  <c r="N422" i="2"/>
  <c r="M422" i="2"/>
  <c r="L422" i="2"/>
  <c r="K422" i="2"/>
  <c r="J422" i="2"/>
  <c r="I422" i="2"/>
  <c r="H422" i="2"/>
  <c r="G422" i="2"/>
  <c r="F422" i="2"/>
  <c r="E422" i="2"/>
  <c r="D422" i="2"/>
  <c r="C422" i="2"/>
  <c r="B422" i="2"/>
  <c r="A422" i="2"/>
  <c r="AX421" i="2"/>
  <c r="AW421" i="2"/>
  <c r="AV421" i="2"/>
  <c r="AU421" i="2"/>
  <c r="AT421" i="2"/>
  <c r="AS421" i="2"/>
  <c r="AR421" i="2"/>
  <c r="AO421" i="2"/>
  <c r="AN421" i="2"/>
  <c r="AM421" i="2"/>
  <c r="AL421" i="2"/>
  <c r="AJ421" i="2"/>
  <c r="AI421" i="2"/>
  <c r="AH421" i="2"/>
  <c r="AG421" i="2"/>
  <c r="AF421" i="2"/>
  <c r="AE421" i="2"/>
  <c r="AD421" i="2"/>
  <c r="AC421" i="2"/>
  <c r="AB421" i="2"/>
  <c r="AA421" i="2"/>
  <c r="Z421" i="2"/>
  <c r="Y421" i="2"/>
  <c r="X421" i="2"/>
  <c r="W421" i="2"/>
  <c r="V421" i="2"/>
  <c r="U421" i="2"/>
  <c r="T421" i="2"/>
  <c r="S421" i="2"/>
  <c r="R421" i="2"/>
  <c r="Q421" i="2"/>
  <c r="P421" i="2"/>
  <c r="O421" i="2"/>
  <c r="N421" i="2"/>
  <c r="M421" i="2"/>
  <c r="L421" i="2"/>
  <c r="K421" i="2"/>
  <c r="J421" i="2"/>
  <c r="I421" i="2"/>
  <c r="H421" i="2"/>
  <c r="G421" i="2"/>
  <c r="F421" i="2"/>
  <c r="E421" i="2"/>
  <c r="D421" i="2"/>
  <c r="C421" i="2"/>
  <c r="B421" i="2"/>
  <c r="A421" i="2"/>
  <c r="AX420" i="2"/>
  <c r="AW420" i="2"/>
  <c r="AV420" i="2"/>
  <c r="AU420" i="2"/>
  <c r="AT420" i="2"/>
  <c r="AS420" i="2"/>
  <c r="AR420" i="2"/>
  <c r="AO420" i="2"/>
  <c r="AN420" i="2"/>
  <c r="AM420" i="2"/>
  <c r="AL420" i="2"/>
  <c r="AK420" i="2"/>
  <c r="AJ420" i="2"/>
  <c r="AI420" i="2"/>
  <c r="AH420" i="2"/>
  <c r="AG420" i="2"/>
  <c r="AF420" i="2"/>
  <c r="AE420" i="2"/>
  <c r="AD420" i="2"/>
  <c r="AC420" i="2"/>
  <c r="AB420" i="2"/>
  <c r="AA420" i="2"/>
  <c r="Z420" i="2"/>
  <c r="Y420" i="2"/>
  <c r="X420" i="2"/>
  <c r="W420" i="2"/>
  <c r="V420" i="2"/>
  <c r="U420" i="2"/>
  <c r="T420" i="2"/>
  <c r="S420" i="2"/>
  <c r="R420" i="2"/>
  <c r="Q420" i="2"/>
  <c r="P420" i="2"/>
  <c r="O420" i="2"/>
  <c r="N420" i="2"/>
  <c r="M420" i="2"/>
  <c r="L420" i="2"/>
  <c r="K420" i="2"/>
  <c r="J420" i="2"/>
  <c r="I420" i="2"/>
  <c r="H420" i="2"/>
  <c r="G420" i="2"/>
  <c r="F420" i="2"/>
  <c r="E420" i="2"/>
  <c r="D420" i="2"/>
  <c r="C420" i="2"/>
  <c r="B420" i="2"/>
  <c r="A420" i="2"/>
  <c r="AX419" i="2"/>
  <c r="AW419" i="2"/>
  <c r="AV419" i="2"/>
  <c r="AU419" i="2"/>
  <c r="AT419" i="2"/>
  <c r="AS419" i="2"/>
  <c r="AR419" i="2"/>
  <c r="AQ419" i="2"/>
  <c r="AP419" i="2"/>
  <c r="AO419" i="2"/>
  <c r="AN419" i="2"/>
  <c r="AM419" i="2"/>
  <c r="AL419" i="2"/>
  <c r="AK419" i="2"/>
  <c r="AI419" i="2"/>
  <c r="AH419" i="2"/>
  <c r="AG419" i="2"/>
  <c r="AE419" i="2"/>
  <c r="AD419" i="2"/>
  <c r="AC419" i="2"/>
  <c r="AB419" i="2"/>
  <c r="AA419" i="2"/>
  <c r="Z419" i="2"/>
  <c r="Y419" i="2"/>
  <c r="X419" i="2"/>
  <c r="W419" i="2"/>
  <c r="V419" i="2"/>
  <c r="U419" i="2"/>
  <c r="T419" i="2"/>
  <c r="S419" i="2"/>
  <c r="R419" i="2"/>
  <c r="Q419" i="2"/>
  <c r="P419" i="2"/>
  <c r="O419" i="2"/>
  <c r="N419" i="2"/>
  <c r="M419" i="2"/>
  <c r="L419" i="2"/>
  <c r="K419" i="2"/>
  <c r="J419" i="2"/>
  <c r="I419" i="2"/>
  <c r="H419" i="2"/>
  <c r="G419" i="2"/>
  <c r="F419" i="2"/>
  <c r="E419" i="2"/>
  <c r="D419" i="2"/>
  <c r="C419" i="2"/>
  <c r="B419" i="2"/>
  <c r="A419" i="2"/>
  <c r="AX418" i="2"/>
  <c r="AW418" i="2"/>
  <c r="AV418" i="2"/>
  <c r="AU418" i="2"/>
  <c r="AT418" i="2"/>
  <c r="AS418" i="2"/>
  <c r="AR418" i="2"/>
  <c r="AO418" i="2"/>
  <c r="AN418" i="2"/>
  <c r="AM418" i="2"/>
  <c r="AL418" i="2"/>
  <c r="AK418" i="2"/>
  <c r="AJ418" i="2"/>
  <c r="AI418" i="2"/>
  <c r="AH418" i="2"/>
  <c r="AG418" i="2"/>
  <c r="AE418" i="2"/>
  <c r="AD418" i="2"/>
  <c r="AC418" i="2"/>
  <c r="AB418" i="2"/>
  <c r="AA418" i="2"/>
  <c r="Z418" i="2"/>
  <c r="Y418" i="2"/>
  <c r="X418" i="2"/>
  <c r="W418" i="2"/>
  <c r="V418" i="2"/>
  <c r="U418" i="2"/>
  <c r="T418" i="2"/>
  <c r="S418" i="2"/>
  <c r="R418" i="2"/>
  <c r="Q418" i="2"/>
  <c r="P418" i="2"/>
  <c r="O418" i="2"/>
  <c r="N418" i="2"/>
  <c r="M418" i="2"/>
  <c r="L418" i="2"/>
  <c r="K418" i="2"/>
  <c r="J418" i="2"/>
  <c r="I418" i="2"/>
  <c r="H418" i="2"/>
  <c r="G418" i="2"/>
  <c r="F418" i="2"/>
  <c r="E418" i="2"/>
  <c r="D418" i="2"/>
  <c r="C418" i="2"/>
  <c r="B418" i="2"/>
  <c r="A418" i="2"/>
  <c r="AX417" i="2"/>
  <c r="AW417" i="2"/>
  <c r="AV417" i="2"/>
  <c r="AU417" i="2"/>
  <c r="AT417" i="2"/>
  <c r="AS417" i="2"/>
  <c r="AR417" i="2"/>
  <c r="AO417" i="2"/>
  <c r="AN417" i="2"/>
  <c r="AM417" i="2"/>
  <c r="AK417" i="2"/>
  <c r="AJ417" i="2"/>
  <c r="AI417" i="2"/>
  <c r="AH417" i="2"/>
  <c r="AG417" i="2"/>
  <c r="Z417" i="2"/>
  <c r="Y417" i="2"/>
  <c r="X417" i="2"/>
  <c r="W417" i="2"/>
  <c r="V417" i="2"/>
  <c r="U417" i="2"/>
  <c r="T417" i="2"/>
  <c r="S417" i="2"/>
  <c r="R417" i="2"/>
  <c r="Q417" i="2"/>
  <c r="P417" i="2"/>
  <c r="O417" i="2"/>
  <c r="N417" i="2"/>
  <c r="M417" i="2"/>
  <c r="L417" i="2"/>
  <c r="K417" i="2"/>
  <c r="J417" i="2"/>
  <c r="I417" i="2"/>
  <c r="H417" i="2"/>
  <c r="G417" i="2"/>
  <c r="F417" i="2"/>
  <c r="E417" i="2"/>
  <c r="D417" i="2"/>
  <c r="C417" i="2"/>
  <c r="B417" i="2"/>
  <c r="A417" i="2"/>
  <c r="AX416" i="2"/>
  <c r="AW416" i="2"/>
  <c r="AV416" i="2"/>
  <c r="AU416" i="2"/>
  <c r="AT416" i="2"/>
  <c r="AS416" i="2"/>
  <c r="AR416" i="2"/>
  <c r="AO416" i="2"/>
  <c r="AN416" i="2"/>
  <c r="AM416" i="2"/>
  <c r="AK416" i="2"/>
  <c r="AJ416" i="2"/>
  <c r="AI416" i="2"/>
  <c r="AH416" i="2"/>
  <c r="AG416" i="2"/>
  <c r="AE416" i="2"/>
  <c r="AD416" i="2"/>
  <c r="AC416" i="2"/>
  <c r="AB416" i="2"/>
  <c r="AA416" i="2"/>
  <c r="Z416" i="2"/>
  <c r="Y416" i="2"/>
  <c r="X416" i="2"/>
  <c r="V416" i="2"/>
  <c r="U416" i="2"/>
  <c r="T416" i="2"/>
  <c r="S416" i="2"/>
  <c r="R416" i="2"/>
  <c r="Q416" i="2"/>
  <c r="P416" i="2"/>
  <c r="O416" i="2"/>
  <c r="N416" i="2"/>
  <c r="M416" i="2"/>
  <c r="L416" i="2"/>
  <c r="K416" i="2"/>
  <c r="J416" i="2"/>
  <c r="I416" i="2"/>
  <c r="H416" i="2"/>
  <c r="G416" i="2"/>
  <c r="F416" i="2"/>
  <c r="E416" i="2"/>
  <c r="D416" i="2"/>
  <c r="C416" i="2"/>
  <c r="B416" i="2"/>
  <c r="A416" i="2"/>
  <c r="AX415" i="2"/>
  <c r="AW415" i="2"/>
  <c r="AV415" i="2"/>
  <c r="AU415" i="2"/>
  <c r="AT415" i="2"/>
  <c r="AS415" i="2"/>
  <c r="AR415" i="2"/>
  <c r="AO415" i="2"/>
  <c r="AN415" i="2"/>
  <c r="AM415" i="2"/>
  <c r="AL415" i="2"/>
  <c r="AK415" i="2"/>
  <c r="AJ415" i="2"/>
  <c r="AI415" i="2"/>
  <c r="AH415" i="2"/>
  <c r="AG415" i="2"/>
  <c r="AE415" i="2"/>
  <c r="AC415" i="2"/>
  <c r="AA415" i="2"/>
  <c r="Z415" i="2"/>
  <c r="Y415" i="2"/>
  <c r="X415" i="2"/>
  <c r="W415" i="2"/>
  <c r="V415" i="2"/>
  <c r="U415" i="2"/>
  <c r="T415" i="2"/>
  <c r="S415" i="2"/>
  <c r="R415" i="2"/>
  <c r="Q415" i="2"/>
  <c r="P415" i="2"/>
  <c r="O415" i="2"/>
  <c r="N415" i="2"/>
  <c r="M415" i="2"/>
  <c r="L415" i="2"/>
  <c r="K415" i="2"/>
  <c r="J415" i="2"/>
  <c r="I415" i="2"/>
  <c r="H415" i="2"/>
  <c r="G415" i="2"/>
  <c r="F415" i="2"/>
  <c r="E415" i="2"/>
  <c r="D415" i="2"/>
  <c r="C415" i="2"/>
  <c r="B415" i="2"/>
  <c r="A415" i="2"/>
  <c r="AX414" i="2"/>
  <c r="AV414" i="2"/>
  <c r="AU414" i="2"/>
  <c r="AT414" i="2"/>
  <c r="AS414" i="2"/>
  <c r="AR414" i="2"/>
  <c r="AO414" i="2"/>
  <c r="AN414" i="2"/>
  <c r="AM414" i="2"/>
  <c r="AK414" i="2"/>
  <c r="AJ414" i="2"/>
  <c r="AI414" i="2"/>
  <c r="AH414" i="2"/>
  <c r="AG414" i="2"/>
  <c r="AE414" i="2"/>
  <c r="AD414" i="2"/>
  <c r="AC414" i="2"/>
  <c r="AB414" i="2"/>
  <c r="AA414" i="2"/>
  <c r="Z414" i="2"/>
  <c r="Y414" i="2"/>
  <c r="X414" i="2"/>
  <c r="W414" i="2"/>
  <c r="V414" i="2"/>
  <c r="U414" i="2"/>
  <c r="T414" i="2"/>
  <c r="S414" i="2"/>
  <c r="R414" i="2"/>
  <c r="Q414" i="2"/>
  <c r="P414" i="2"/>
  <c r="O414" i="2"/>
  <c r="N414" i="2"/>
  <c r="M414" i="2"/>
  <c r="L414" i="2"/>
  <c r="K414" i="2"/>
  <c r="J414" i="2"/>
  <c r="I414" i="2"/>
  <c r="H414" i="2"/>
  <c r="G414" i="2"/>
  <c r="F414" i="2"/>
  <c r="E414" i="2"/>
  <c r="D414" i="2"/>
  <c r="C414" i="2"/>
  <c r="B414" i="2"/>
  <c r="A414" i="2"/>
  <c r="AX413" i="2"/>
  <c r="AW413" i="2"/>
  <c r="AV413" i="2"/>
  <c r="AU413" i="2"/>
  <c r="AT413" i="2"/>
  <c r="AS413" i="2"/>
  <c r="AR413" i="2"/>
  <c r="AO413" i="2"/>
  <c r="AN413" i="2"/>
  <c r="AM413" i="2"/>
  <c r="AK413" i="2"/>
  <c r="AJ413" i="2"/>
  <c r="AI413" i="2"/>
  <c r="AH413" i="2"/>
  <c r="AG413" i="2"/>
  <c r="AE413" i="2"/>
  <c r="AD413" i="2"/>
  <c r="AC413" i="2"/>
  <c r="AB413" i="2"/>
  <c r="AA413" i="2"/>
  <c r="Z413" i="2"/>
  <c r="Y413" i="2"/>
  <c r="X413" i="2"/>
  <c r="W413" i="2"/>
  <c r="V413" i="2"/>
  <c r="U413" i="2"/>
  <c r="T413" i="2"/>
  <c r="S413" i="2"/>
  <c r="R413" i="2"/>
  <c r="Q413" i="2"/>
  <c r="P413" i="2"/>
  <c r="O413" i="2"/>
  <c r="N413" i="2"/>
  <c r="M413" i="2"/>
  <c r="L413" i="2"/>
  <c r="K413" i="2"/>
  <c r="J413" i="2"/>
  <c r="I413" i="2"/>
  <c r="H413" i="2"/>
  <c r="G413" i="2"/>
  <c r="F413" i="2"/>
  <c r="E413" i="2"/>
  <c r="D413" i="2"/>
  <c r="C413" i="2"/>
  <c r="B413" i="2"/>
  <c r="A413" i="2"/>
  <c r="AX412" i="2"/>
  <c r="AW412" i="2"/>
  <c r="AV412" i="2"/>
  <c r="AU412" i="2"/>
  <c r="AT412" i="2"/>
  <c r="AS412" i="2"/>
  <c r="AR412" i="2"/>
  <c r="AO412" i="2"/>
  <c r="AN412" i="2"/>
  <c r="AM412" i="2"/>
  <c r="AL412" i="2"/>
  <c r="AK412" i="2"/>
  <c r="AJ412" i="2"/>
  <c r="AI412" i="2"/>
  <c r="AH412" i="2"/>
  <c r="AG412" i="2"/>
  <c r="AE412" i="2"/>
  <c r="AD412" i="2"/>
  <c r="AC412" i="2"/>
  <c r="AB412" i="2"/>
  <c r="AA412" i="2"/>
  <c r="Z412" i="2"/>
  <c r="Y412" i="2"/>
  <c r="X412" i="2"/>
  <c r="W412" i="2"/>
  <c r="V412" i="2"/>
  <c r="U412" i="2"/>
  <c r="T412" i="2"/>
  <c r="S412" i="2"/>
  <c r="R412" i="2"/>
  <c r="Q412" i="2"/>
  <c r="P412" i="2"/>
  <c r="O412" i="2"/>
  <c r="N412" i="2"/>
  <c r="M412" i="2"/>
  <c r="L412" i="2"/>
  <c r="K412" i="2"/>
  <c r="J412" i="2"/>
  <c r="I412" i="2"/>
  <c r="H412" i="2"/>
  <c r="G412" i="2"/>
  <c r="F412" i="2"/>
  <c r="E412" i="2"/>
  <c r="D412" i="2"/>
  <c r="C412" i="2"/>
  <c r="B412" i="2"/>
  <c r="A412" i="2"/>
  <c r="AX411" i="2"/>
  <c r="AW411" i="2"/>
  <c r="AV411" i="2"/>
  <c r="AU411" i="2"/>
  <c r="AS411" i="2"/>
  <c r="AR411" i="2"/>
  <c r="AO411" i="2"/>
  <c r="AN411" i="2"/>
  <c r="AM411" i="2"/>
  <c r="AK411" i="2"/>
  <c r="AI411" i="2"/>
  <c r="AH411" i="2"/>
  <c r="AG411" i="2"/>
  <c r="AE411" i="2"/>
  <c r="AD411" i="2"/>
  <c r="AC411" i="2"/>
  <c r="AB411" i="2"/>
  <c r="AA411" i="2"/>
  <c r="Z411" i="2"/>
  <c r="Y411" i="2"/>
  <c r="X411" i="2"/>
  <c r="W411" i="2"/>
  <c r="V411" i="2"/>
  <c r="U411" i="2"/>
  <c r="T411" i="2"/>
  <c r="S411" i="2"/>
  <c r="R411" i="2"/>
  <c r="Q411" i="2"/>
  <c r="P411" i="2"/>
  <c r="O411" i="2"/>
  <c r="N411" i="2"/>
  <c r="M411" i="2"/>
  <c r="L411" i="2"/>
  <c r="K411" i="2"/>
  <c r="J411" i="2"/>
  <c r="I411" i="2"/>
  <c r="H411" i="2"/>
  <c r="G411" i="2"/>
  <c r="F411" i="2"/>
  <c r="E411" i="2"/>
  <c r="D411" i="2"/>
  <c r="C411" i="2"/>
  <c r="B411" i="2"/>
  <c r="A411" i="2"/>
  <c r="AX410" i="2"/>
  <c r="AW410" i="2"/>
  <c r="AV410" i="2"/>
  <c r="AU410" i="2"/>
  <c r="AT410" i="2"/>
  <c r="AS410" i="2"/>
  <c r="AR410" i="2"/>
  <c r="AO410" i="2"/>
  <c r="AN410" i="2"/>
  <c r="AM410" i="2"/>
  <c r="AK410" i="2"/>
  <c r="AJ410" i="2"/>
  <c r="AI410" i="2"/>
  <c r="AH410" i="2"/>
  <c r="AG410" i="2"/>
  <c r="AC410" i="2"/>
  <c r="AA410" i="2"/>
  <c r="Z410" i="2"/>
  <c r="Y410" i="2"/>
  <c r="X410" i="2"/>
  <c r="W410" i="2"/>
  <c r="V410" i="2"/>
  <c r="U410" i="2"/>
  <c r="T410" i="2"/>
  <c r="S410" i="2"/>
  <c r="R410" i="2"/>
  <c r="Q410" i="2"/>
  <c r="P410" i="2"/>
  <c r="O410" i="2"/>
  <c r="N410" i="2"/>
  <c r="M410" i="2"/>
  <c r="L410" i="2"/>
  <c r="K410" i="2"/>
  <c r="J410" i="2"/>
  <c r="I410" i="2"/>
  <c r="H410" i="2"/>
  <c r="G410" i="2"/>
  <c r="F410" i="2"/>
  <c r="E410" i="2"/>
  <c r="D410" i="2"/>
  <c r="C410" i="2"/>
  <c r="B410" i="2"/>
  <c r="A410" i="2"/>
  <c r="AX409" i="2"/>
  <c r="AW409" i="2"/>
  <c r="AV409" i="2"/>
  <c r="AU409" i="2"/>
  <c r="AT409" i="2"/>
  <c r="AS409" i="2"/>
  <c r="AR409" i="2"/>
  <c r="AO409" i="2"/>
  <c r="AN409" i="2"/>
  <c r="AM409" i="2"/>
  <c r="AL409" i="2"/>
  <c r="AK409" i="2"/>
  <c r="AJ409" i="2"/>
  <c r="AI409" i="2"/>
  <c r="AH409" i="2"/>
  <c r="AG409" i="2"/>
  <c r="AE409" i="2"/>
  <c r="AD409" i="2"/>
  <c r="AC409" i="2"/>
  <c r="AB409" i="2"/>
  <c r="AA409" i="2"/>
  <c r="Z409" i="2"/>
  <c r="Y409" i="2"/>
  <c r="X409" i="2"/>
  <c r="W409" i="2"/>
  <c r="V409" i="2"/>
  <c r="U409" i="2"/>
  <c r="T409" i="2"/>
  <c r="S409" i="2"/>
  <c r="R409" i="2"/>
  <c r="Q409" i="2"/>
  <c r="P409" i="2"/>
  <c r="O409" i="2"/>
  <c r="N409" i="2"/>
  <c r="M409" i="2"/>
  <c r="L409" i="2"/>
  <c r="K409" i="2"/>
  <c r="J409" i="2"/>
  <c r="I409" i="2"/>
  <c r="H409" i="2"/>
  <c r="G409" i="2"/>
  <c r="F409" i="2"/>
  <c r="E409" i="2"/>
  <c r="D409" i="2"/>
  <c r="C409" i="2"/>
  <c r="B409" i="2"/>
  <c r="A409" i="2"/>
  <c r="AX408" i="2"/>
  <c r="AW408" i="2"/>
  <c r="AV408" i="2"/>
  <c r="AU408" i="2"/>
  <c r="AT408" i="2"/>
  <c r="AS408" i="2"/>
  <c r="AR408" i="2"/>
  <c r="AP408" i="2"/>
  <c r="AO408" i="2"/>
  <c r="AN408" i="2"/>
  <c r="AM408" i="2"/>
  <c r="AL408" i="2"/>
  <c r="AK408" i="2"/>
  <c r="AI408" i="2"/>
  <c r="AH408" i="2"/>
  <c r="AG408" i="2"/>
  <c r="AE408" i="2"/>
  <c r="AD408" i="2"/>
  <c r="AC408" i="2"/>
  <c r="AB408" i="2"/>
  <c r="AA408" i="2"/>
  <c r="Z408" i="2"/>
  <c r="Y408" i="2"/>
  <c r="X408" i="2"/>
  <c r="W408" i="2"/>
  <c r="V408" i="2"/>
  <c r="U408" i="2"/>
  <c r="T408" i="2"/>
  <c r="S408" i="2"/>
  <c r="R408" i="2"/>
  <c r="Q408" i="2"/>
  <c r="P408" i="2"/>
  <c r="O408" i="2"/>
  <c r="N408" i="2"/>
  <c r="M408" i="2"/>
  <c r="L408" i="2"/>
  <c r="K408" i="2"/>
  <c r="J408" i="2"/>
  <c r="I408" i="2"/>
  <c r="H408" i="2"/>
  <c r="G408" i="2"/>
  <c r="F408" i="2"/>
  <c r="E408" i="2"/>
  <c r="D408" i="2"/>
  <c r="C408" i="2"/>
  <c r="B408" i="2"/>
  <c r="A408" i="2"/>
  <c r="AX407" i="2"/>
  <c r="AW407" i="2"/>
  <c r="AV407" i="2"/>
  <c r="AU407" i="2"/>
  <c r="AT407" i="2"/>
  <c r="AS407" i="2"/>
  <c r="AR407" i="2"/>
  <c r="AO407" i="2"/>
  <c r="AN407" i="2"/>
  <c r="AM407" i="2"/>
  <c r="AK407" i="2"/>
  <c r="AJ407" i="2"/>
  <c r="AI407" i="2"/>
  <c r="AH407" i="2"/>
  <c r="AG407" i="2"/>
  <c r="AE407" i="2"/>
  <c r="AD407" i="2"/>
  <c r="AC407" i="2"/>
  <c r="Z407" i="2"/>
  <c r="Y407" i="2"/>
  <c r="X407" i="2"/>
  <c r="W407" i="2"/>
  <c r="V407" i="2"/>
  <c r="U407" i="2"/>
  <c r="T407" i="2"/>
  <c r="S407" i="2"/>
  <c r="R407" i="2"/>
  <c r="Q407" i="2"/>
  <c r="P407" i="2"/>
  <c r="O407" i="2"/>
  <c r="N407" i="2"/>
  <c r="M407" i="2"/>
  <c r="L407" i="2"/>
  <c r="K407" i="2"/>
  <c r="J407" i="2"/>
  <c r="I407" i="2"/>
  <c r="H407" i="2"/>
  <c r="G407" i="2"/>
  <c r="F407" i="2"/>
  <c r="E407" i="2"/>
  <c r="D407" i="2"/>
  <c r="C407" i="2"/>
  <c r="B407" i="2"/>
  <c r="A407" i="2"/>
  <c r="AX406" i="2"/>
  <c r="AW406" i="2"/>
  <c r="AV406" i="2"/>
  <c r="AU406" i="2"/>
  <c r="AT406" i="2"/>
  <c r="AS406" i="2"/>
  <c r="AR406" i="2"/>
  <c r="AP406" i="2"/>
  <c r="AN406" i="2"/>
  <c r="AL406" i="2"/>
  <c r="AK406" i="2"/>
  <c r="AJ406" i="2"/>
  <c r="AI406" i="2"/>
  <c r="AH406" i="2"/>
  <c r="AG406" i="2"/>
  <c r="AE406" i="2"/>
  <c r="AD406" i="2"/>
  <c r="AC406" i="2"/>
  <c r="AB406" i="2"/>
  <c r="AA406" i="2"/>
  <c r="Z406" i="2"/>
  <c r="Y406" i="2"/>
  <c r="X406" i="2"/>
  <c r="W406" i="2"/>
  <c r="V406" i="2"/>
  <c r="U406" i="2"/>
  <c r="T406" i="2"/>
  <c r="S406" i="2"/>
  <c r="R406" i="2"/>
  <c r="Q406" i="2"/>
  <c r="P406" i="2"/>
  <c r="O406" i="2"/>
  <c r="N406" i="2"/>
  <c r="M406" i="2"/>
  <c r="L406" i="2"/>
  <c r="K406" i="2"/>
  <c r="J406" i="2"/>
  <c r="I406" i="2"/>
  <c r="H406" i="2"/>
  <c r="G406" i="2"/>
  <c r="F406" i="2"/>
  <c r="E406" i="2"/>
  <c r="D406" i="2"/>
  <c r="C406" i="2"/>
  <c r="B406" i="2"/>
  <c r="A406" i="2"/>
  <c r="AX405" i="2"/>
  <c r="AW405" i="2"/>
  <c r="AV405" i="2"/>
  <c r="AU405" i="2"/>
  <c r="AT405" i="2"/>
  <c r="AS405" i="2"/>
  <c r="AR405" i="2"/>
  <c r="AO405" i="2"/>
  <c r="AN405" i="2"/>
  <c r="AM405" i="2"/>
  <c r="AL405" i="2"/>
  <c r="AK405" i="2"/>
  <c r="AJ405" i="2"/>
  <c r="AI405" i="2"/>
  <c r="AH405" i="2"/>
  <c r="AG405" i="2"/>
  <c r="AE405" i="2"/>
  <c r="AD405" i="2"/>
  <c r="AC405" i="2"/>
  <c r="AB405" i="2"/>
  <c r="AA405" i="2"/>
  <c r="Z405" i="2"/>
  <c r="Y405" i="2"/>
  <c r="X405" i="2"/>
  <c r="W405" i="2"/>
  <c r="V405" i="2"/>
  <c r="U405" i="2"/>
  <c r="T405" i="2"/>
  <c r="S405" i="2"/>
  <c r="R405" i="2"/>
  <c r="Q405" i="2"/>
  <c r="P405" i="2"/>
  <c r="O405" i="2"/>
  <c r="N405" i="2"/>
  <c r="M405" i="2"/>
  <c r="L405" i="2"/>
  <c r="K405" i="2"/>
  <c r="J405" i="2"/>
  <c r="I405" i="2"/>
  <c r="H405" i="2"/>
  <c r="G405" i="2"/>
  <c r="F405" i="2"/>
  <c r="E405" i="2"/>
  <c r="D405" i="2"/>
  <c r="C405" i="2"/>
  <c r="B405" i="2"/>
  <c r="A405" i="2"/>
  <c r="AX404" i="2"/>
  <c r="AV404" i="2"/>
  <c r="AU404" i="2"/>
  <c r="AT404" i="2"/>
  <c r="AS404" i="2"/>
  <c r="AR404" i="2"/>
  <c r="AO404" i="2"/>
  <c r="AN404" i="2"/>
  <c r="AM404" i="2"/>
  <c r="AL404" i="2"/>
  <c r="AK404" i="2"/>
  <c r="AJ404" i="2"/>
  <c r="AI404" i="2"/>
  <c r="AH404" i="2"/>
  <c r="AG404" i="2"/>
  <c r="AE404" i="2"/>
  <c r="AD404" i="2"/>
  <c r="AC404" i="2"/>
  <c r="AB404" i="2"/>
  <c r="Z404" i="2"/>
  <c r="Y404" i="2"/>
  <c r="X404" i="2"/>
  <c r="W404" i="2"/>
  <c r="V404" i="2"/>
  <c r="U404" i="2"/>
  <c r="T404" i="2"/>
  <c r="S404" i="2"/>
  <c r="R404" i="2"/>
  <c r="Q404" i="2"/>
  <c r="P404" i="2"/>
  <c r="O404" i="2"/>
  <c r="N404" i="2"/>
  <c r="M404" i="2"/>
  <c r="L404" i="2"/>
  <c r="K404" i="2"/>
  <c r="J404" i="2"/>
  <c r="I404" i="2"/>
  <c r="H404" i="2"/>
  <c r="G404" i="2"/>
  <c r="F404" i="2"/>
  <c r="E404" i="2"/>
  <c r="D404" i="2"/>
  <c r="C404" i="2"/>
  <c r="B404" i="2"/>
  <c r="A404" i="2"/>
  <c r="AX403" i="2"/>
  <c r="AW403" i="2"/>
  <c r="AV403" i="2"/>
  <c r="AU403" i="2"/>
  <c r="AT403" i="2"/>
  <c r="AS403" i="2"/>
  <c r="AR403" i="2"/>
  <c r="AO403" i="2"/>
  <c r="AN403" i="2"/>
  <c r="AM403" i="2"/>
  <c r="AL403" i="2"/>
  <c r="AK403" i="2"/>
  <c r="AJ403" i="2"/>
  <c r="AI403" i="2"/>
  <c r="AH403" i="2"/>
  <c r="AG403" i="2"/>
  <c r="AF403" i="2"/>
  <c r="AE403" i="2"/>
  <c r="AD403" i="2"/>
  <c r="AC403" i="2"/>
  <c r="AB403" i="2"/>
  <c r="AA403" i="2"/>
  <c r="Z403" i="2"/>
  <c r="Y403" i="2"/>
  <c r="X403" i="2"/>
  <c r="W403" i="2"/>
  <c r="V403" i="2"/>
  <c r="U403" i="2"/>
  <c r="T403" i="2"/>
  <c r="S403" i="2"/>
  <c r="R403" i="2"/>
  <c r="Q403" i="2"/>
  <c r="P403" i="2"/>
  <c r="O403" i="2"/>
  <c r="N403" i="2"/>
  <c r="M403" i="2"/>
  <c r="L403" i="2"/>
  <c r="K403" i="2"/>
  <c r="J403" i="2"/>
  <c r="I403" i="2"/>
  <c r="H403" i="2"/>
  <c r="G403" i="2"/>
  <c r="F403" i="2"/>
  <c r="E403" i="2"/>
  <c r="D403" i="2"/>
  <c r="C403" i="2"/>
  <c r="B403" i="2"/>
  <c r="A403" i="2"/>
  <c r="AX402" i="2"/>
  <c r="AW402" i="2"/>
  <c r="AV402" i="2"/>
  <c r="AU402" i="2"/>
  <c r="AT402" i="2"/>
  <c r="AS402" i="2"/>
  <c r="AR402" i="2"/>
  <c r="AO402" i="2"/>
  <c r="AN402" i="2"/>
  <c r="AM402" i="2"/>
  <c r="AL402" i="2"/>
  <c r="AK402" i="2"/>
  <c r="AJ402" i="2"/>
  <c r="AI402" i="2"/>
  <c r="AH402" i="2"/>
  <c r="AG402" i="2"/>
  <c r="AE402" i="2"/>
  <c r="AC402" i="2"/>
  <c r="Z402" i="2"/>
  <c r="Y402" i="2"/>
  <c r="X402" i="2"/>
  <c r="W402" i="2"/>
  <c r="V402" i="2"/>
  <c r="U402" i="2"/>
  <c r="T402" i="2"/>
  <c r="S402" i="2"/>
  <c r="R402" i="2"/>
  <c r="Q402" i="2"/>
  <c r="P402" i="2"/>
  <c r="O402" i="2"/>
  <c r="N402" i="2"/>
  <c r="M402" i="2"/>
  <c r="L402" i="2"/>
  <c r="K402" i="2"/>
  <c r="J402" i="2"/>
  <c r="I402" i="2"/>
  <c r="H402" i="2"/>
  <c r="G402" i="2"/>
  <c r="F402" i="2"/>
  <c r="E402" i="2"/>
  <c r="D402" i="2"/>
  <c r="C402" i="2"/>
  <c r="B402" i="2"/>
  <c r="A402" i="2"/>
  <c r="AX401" i="2"/>
  <c r="AW401" i="2"/>
  <c r="AV401" i="2"/>
  <c r="AU401" i="2"/>
  <c r="AT401" i="2"/>
  <c r="AS401" i="2"/>
  <c r="AR401" i="2"/>
  <c r="AP401" i="2"/>
  <c r="AO401" i="2"/>
  <c r="AN401" i="2"/>
  <c r="AM401" i="2"/>
  <c r="AK401" i="2"/>
  <c r="AJ401" i="2"/>
  <c r="AI401" i="2"/>
  <c r="AH401" i="2"/>
  <c r="AG401" i="2"/>
  <c r="AE401" i="2"/>
  <c r="AD401" i="2"/>
  <c r="AC401" i="2"/>
  <c r="AB401" i="2"/>
  <c r="Z401" i="2"/>
  <c r="Y401" i="2"/>
  <c r="X401" i="2"/>
  <c r="W401" i="2"/>
  <c r="V401" i="2"/>
  <c r="U401" i="2"/>
  <c r="T401" i="2"/>
  <c r="S401" i="2"/>
  <c r="R401" i="2"/>
  <c r="Q401" i="2"/>
  <c r="P401" i="2"/>
  <c r="O401" i="2"/>
  <c r="N401" i="2"/>
  <c r="M401" i="2"/>
  <c r="L401" i="2"/>
  <c r="K401" i="2"/>
  <c r="J401" i="2"/>
  <c r="I401" i="2"/>
  <c r="H401" i="2"/>
  <c r="G401" i="2"/>
  <c r="F401" i="2"/>
  <c r="E401" i="2"/>
  <c r="D401" i="2"/>
  <c r="C401" i="2"/>
  <c r="B401" i="2"/>
  <c r="A401" i="2"/>
  <c r="AX400" i="2"/>
  <c r="AW400" i="2"/>
  <c r="AV400" i="2"/>
  <c r="AU400" i="2"/>
  <c r="AT400" i="2"/>
  <c r="AS400" i="2"/>
  <c r="AR400" i="2"/>
  <c r="AO400" i="2"/>
  <c r="AN400" i="2"/>
  <c r="AM400" i="2"/>
  <c r="AL400" i="2"/>
  <c r="AK400" i="2"/>
  <c r="AJ400" i="2"/>
  <c r="AI400" i="2"/>
  <c r="AH400" i="2"/>
  <c r="AG400" i="2"/>
  <c r="AE400" i="2"/>
  <c r="AD400" i="2"/>
  <c r="AC400" i="2"/>
  <c r="AB400" i="2"/>
  <c r="AA400" i="2"/>
  <c r="Z400" i="2"/>
  <c r="Y400" i="2"/>
  <c r="X400" i="2"/>
  <c r="W400" i="2"/>
  <c r="V400" i="2"/>
  <c r="U400" i="2"/>
  <c r="T400" i="2"/>
  <c r="S400" i="2"/>
  <c r="Q400" i="2"/>
  <c r="P400" i="2"/>
  <c r="O400" i="2"/>
  <c r="N400" i="2"/>
  <c r="M400" i="2"/>
  <c r="L400" i="2"/>
  <c r="K400" i="2"/>
  <c r="J400" i="2"/>
  <c r="I400" i="2"/>
  <c r="H400" i="2"/>
  <c r="G400" i="2"/>
  <c r="F400" i="2"/>
  <c r="E400" i="2"/>
  <c r="D400" i="2"/>
  <c r="C400" i="2"/>
  <c r="B400" i="2"/>
  <c r="A400" i="2"/>
  <c r="AX399" i="2"/>
  <c r="AW399" i="2"/>
  <c r="AV399" i="2"/>
  <c r="AU399" i="2"/>
  <c r="AT399" i="2"/>
  <c r="AS399" i="2"/>
  <c r="AR399" i="2"/>
  <c r="AP399" i="2"/>
  <c r="AO399" i="2"/>
  <c r="AN399" i="2"/>
  <c r="AM399" i="2"/>
  <c r="AL399" i="2"/>
  <c r="AK399" i="2"/>
  <c r="AJ399" i="2"/>
  <c r="AI399" i="2"/>
  <c r="AH399" i="2"/>
  <c r="AG399" i="2"/>
  <c r="AE399" i="2"/>
  <c r="AD399" i="2"/>
  <c r="AC399" i="2"/>
  <c r="AA399" i="2"/>
  <c r="Z399" i="2"/>
  <c r="Y399" i="2"/>
  <c r="X399" i="2"/>
  <c r="W399" i="2"/>
  <c r="V399" i="2"/>
  <c r="U399" i="2"/>
  <c r="T399" i="2"/>
  <c r="S399" i="2"/>
  <c r="R399" i="2"/>
  <c r="Q399" i="2"/>
  <c r="P399" i="2"/>
  <c r="O399" i="2"/>
  <c r="N399" i="2"/>
  <c r="M399" i="2"/>
  <c r="L399" i="2"/>
  <c r="K399" i="2"/>
  <c r="J399" i="2"/>
  <c r="I399" i="2"/>
  <c r="H399" i="2"/>
  <c r="G399" i="2"/>
  <c r="F399" i="2"/>
  <c r="E399" i="2"/>
  <c r="D399" i="2"/>
  <c r="C399" i="2"/>
  <c r="B399" i="2"/>
  <c r="A399" i="2"/>
  <c r="AX398" i="2"/>
  <c r="AW398" i="2"/>
  <c r="AV398" i="2"/>
  <c r="AU398" i="2"/>
  <c r="AT398" i="2"/>
  <c r="AS398" i="2"/>
  <c r="AR398" i="2"/>
  <c r="AO398" i="2"/>
  <c r="AN398" i="2"/>
  <c r="AM398" i="2"/>
  <c r="AL398" i="2"/>
  <c r="AK398" i="2"/>
  <c r="AJ398" i="2"/>
  <c r="AI398" i="2"/>
  <c r="AH398" i="2"/>
  <c r="AG398" i="2"/>
  <c r="AE398" i="2"/>
  <c r="AC398" i="2"/>
  <c r="AA398" i="2"/>
  <c r="Z398" i="2"/>
  <c r="Y398" i="2"/>
  <c r="X398" i="2"/>
  <c r="V398" i="2"/>
  <c r="U398" i="2"/>
  <c r="T398" i="2"/>
  <c r="S398" i="2"/>
  <c r="R398" i="2"/>
  <c r="Q398" i="2"/>
  <c r="P398" i="2"/>
  <c r="O398" i="2"/>
  <c r="N398" i="2"/>
  <c r="M398" i="2"/>
  <c r="L398" i="2"/>
  <c r="K398" i="2"/>
  <c r="J398" i="2"/>
  <c r="I398" i="2"/>
  <c r="H398" i="2"/>
  <c r="G398" i="2"/>
  <c r="F398" i="2"/>
  <c r="E398" i="2"/>
  <c r="D398" i="2"/>
  <c r="C398" i="2"/>
  <c r="B398" i="2"/>
  <c r="A398" i="2"/>
  <c r="AX397" i="2"/>
  <c r="AW397" i="2"/>
  <c r="AV397" i="2"/>
  <c r="AU397" i="2"/>
  <c r="AT397" i="2"/>
  <c r="AS397" i="2"/>
  <c r="AR397" i="2"/>
  <c r="AP397" i="2"/>
  <c r="AO397" i="2"/>
  <c r="AN397" i="2"/>
  <c r="AM397" i="2"/>
  <c r="AL397" i="2"/>
  <c r="AK397" i="2"/>
  <c r="AJ397" i="2"/>
  <c r="AI397" i="2"/>
  <c r="AH397" i="2"/>
  <c r="AG397" i="2"/>
  <c r="AE397" i="2"/>
  <c r="AD397" i="2"/>
  <c r="AC397" i="2"/>
  <c r="AB397" i="2"/>
  <c r="AA397" i="2"/>
  <c r="Z397" i="2"/>
  <c r="Y397" i="2"/>
  <c r="X397" i="2"/>
  <c r="V397" i="2"/>
  <c r="U397" i="2"/>
  <c r="T397" i="2"/>
  <c r="S397" i="2"/>
  <c r="R397" i="2"/>
  <c r="Q397" i="2"/>
  <c r="P397" i="2"/>
  <c r="O397" i="2"/>
  <c r="N397" i="2"/>
  <c r="M397" i="2"/>
  <c r="L397" i="2"/>
  <c r="K397" i="2"/>
  <c r="J397" i="2"/>
  <c r="I397" i="2"/>
  <c r="H397" i="2"/>
  <c r="G397" i="2"/>
  <c r="F397" i="2"/>
  <c r="E397" i="2"/>
  <c r="D397" i="2"/>
  <c r="C397" i="2"/>
  <c r="B397" i="2"/>
  <c r="A397" i="2"/>
  <c r="AX396" i="2"/>
  <c r="AW396" i="2"/>
  <c r="AV396" i="2"/>
  <c r="AU396" i="2"/>
  <c r="AT396" i="2"/>
  <c r="AS396" i="2"/>
  <c r="AR396" i="2"/>
  <c r="AP396" i="2"/>
  <c r="AO396" i="2"/>
  <c r="AN396" i="2"/>
  <c r="AM396" i="2"/>
  <c r="AK396" i="2"/>
  <c r="AJ396" i="2"/>
  <c r="AI396" i="2"/>
  <c r="AH396" i="2"/>
  <c r="AG396" i="2"/>
  <c r="AE396" i="2"/>
  <c r="AD396" i="2"/>
  <c r="AC396" i="2"/>
  <c r="AB396" i="2"/>
  <c r="Z396" i="2"/>
  <c r="Y396" i="2"/>
  <c r="X396" i="2"/>
  <c r="W396" i="2"/>
  <c r="V396" i="2"/>
  <c r="U396" i="2"/>
  <c r="T396" i="2"/>
  <c r="S396" i="2"/>
  <c r="R396" i="2"/>
  <c r="Q396" i="2"/>
  <c r="P396" i="2"/>
  <c r="O396" i="2"/>
  <c r="N396" i="2"/>
  <c r="M396" i="2"/>
  <c r="L396" i="2"/>
  <c r="K396" i="2"/>
  <c r="J396" i="2"/>
  <c r="I396" i="2"/>
  <c r="H396" i="2"/>
  <c r="G396" i="2"/>
  <c r="F396" i="2"/>
  <c r="E396" i="2"/>
  <c r="D396" i="2"/>
  <c r="C396" i="2"/>
  <c r="B396" i="2"/>
  <c r="A396" i="2"/>
  <c r="AX395" i="2"/>
  <c r="AW395" i="2"/>
  <c r="AV395" i="2"/>
  <c r="AU395" i="2"/>
  <c r="AT395" i="2"/>
  <c r="AR395" i="2"/>
  <c r="AO395" i="2"/>
  <c r="AN395" i="2"/>
  <c r="AM395" i="2"/>
  <c r="AL395" i="2"/>
  <c r="AK395" i="2"/>
  <c r="AI395" i="2"/>
  <c r="AH395" i="2"/>
  <c r="AG395" i="2"/>
  <c r="AE395" i="2"/>
  <c r="AD395" i="2"/>
  <c r="AC395" i="2"/>
  <c r="AB395" i="2"/>
  <c r="AA395" i="2"/>
  <c r="Z395" i="2"/>
  <c r="Y395" i="2"/>
  <c r="X395" i="2"/>
  <c r="W395" i="2"/>
  <c r="V395" i="2"/>
  <c r="U395" i="2"/>
  <c r="T395" i="2"/>
  <c r="S395" i="2"/>
  <c r="R395" i="2"/>
  <c r="Q395" i="2"/>
  <c r="P395" i="2"/>
  <c r="O395" i="2"/>
  <c r="N395" i="2"/>
  <c r="M395" i="2"/>
  <c r="L395" i="2"/>
  <c r="K395" i="2"/>
  <c r="J395" i="2"/>
  <c r="I395" i="2"/>
  <c r="H395" i="2"/>
  <c r="G395" i="2"/>
  <c r="F395" i="2"/>
  <c r="E395" i="2"/>
  <c r="D395" i="2"/>
  <c r="C395" i="2"/>
  <c r="B395" i="2"/>
  <c r="A395" i="2"/>
  <c r="AX394" i="2"/>
  <c r="AW394" i="2"/>
  <c r="AV394" i="2"/>
  <c r="AU394" i="2"/>
  <c r="AT394" i="2"/>
  <c r="AS394" i="2"/>
  <c r="AR394" i="2"/>
  <c r="AO394" i="2"/>
  <c r="AN394" i="2"/>
  <c r="AM394" i="2"/>
  <c r="AL394" i="2"/>
  <c r="AK394" i="2"/>
  <c r="AJ394" i="2"/>
  <c r="AI394" i="2"/>
  <c r="AH394" i="2"/>
  <c r="AG394" i="2"/>
  <c r="AF394" i="2"/>
  <c r="AE394" i="2"/>
  <c r="AD394" i="2"/>
  <c r="AC394" i="2"/>
  <c r="AB394" i="2"/>
  <c r="AA394" i="2"/>
  <c r="Z394" i="2"/>
  <c r="Y394" i="2"/>
  <c r="X394" i="2"/>
  <c r="W394" i="2"/>
  <c r="V394" i="2"/>
  <c r="U394" i="2"/>
  <c r="T394" i="2"/>
  <c r="S394" i="2"/>
  <c r="R394" i="2"/>
  <c r="Q394" i="2"/>
  <c r="P394" i="2"/>
  <c r="O394" i="2"/>
  <c r="N394" i="2"/>
  <c r="M394" i="2"/>
  <c r="K394" i="2"/>
  <c r="J394" i="2"/>
  <c r="I394" i="2"/>
  <c r="H394" i="2"/>
  <c r="G394" i="2"/>
  <c r="F394" i="2"/>
  <c r="E394" i="2"/>
  <c r="D394" i="2"/>
  <c r="C394" i="2"/>
  <c r="B394" i="2"/>
  <c r="A394" i="2"/>
  <c r="AX393" i="2"/>
  <c r="AW393" i="2"/>
  <c r="AV393" i="2"/>
  <c r="AU393" i="2"/>
  <c r="AT393" i="2"/>
  <c r="AS393" i="2"/>
  <c r="AR393" i="2"/>
  <c r="AO393" i="2"/>
  <c r="AN393" i="2"/>
  <c r="AM393" i="2"/>
  <c r="AL393" i="2"/>
  <c r="AK393" i="2"/>
  <c r="AJ393" i="2"/>
  <c r="AI393" i="2"/>
  <c r="AH393" i="2"/>
  <c r="AG393" i="2"/>
  <c r="AF393" i="2"/>
  <c r="AE393" i="2"/>
  <c r="AD393" i="2"/>
  <c r="AC393" i="2"/>
  <c r="Z393" i="2"/>
  <c r="Y393" i="2"/>
  <c r="X393" i="2"/>
  <c r="V393" i="2"/>
  <c r="U393" i="2"/>
  <c r="T393" i="2"/>
  <c r="S393" i="2"/>
  <c r="R393" i="2"/>
  <c r="Q393" i="2"/>
  <c r="P393" i="2"/>
  <c r="O393" i="2"/>
  <c r="N393" i="2"/>
  <c r="M393" i="2"/>
  <c r="L393" i="2"/>
  <c r="K393" i="2"/>
  <c r="J393" i="2"/>
  <c r="I393" i="2"/>
  <c r="H393" i="2"/>
  <c r="G393" i="2"/>
  <c r="F393" i="2"/>
  <c r="E393" i="2"/>
  <c r="D393" i="2"/>
  <c r="C393" i="2"/>
  <c r="B393" i="2"/>
  <c r="A393" i="2"/>
  <c r="AX392" i="2"/>
  <c r="AW392" i="2"/>
  <c r="AV392" i="2"/>
  <c r="AU392" i="2"/>
  <c r="AT392" i="2"/>
  <c r="AS392" i="2"/>
  <c r="AR392" i="2"/>
  <c r="AO392" i="2"/>
  <c r="AN392" i="2"/>
  <c r="AM392" i="2"/>
  <c r="AK392" i="2"/>
  <c r="AJ392" i="2"/>
  <c r="AI392" i="2"/>
  <c r="AH392" i="2"/>
  <c r="AG392" i="2"/>
  <c r="AF392" i="2"/>
  <c r="AE392" i="2"/>
  <c r="AD392" i="2"/>
  <c r="AC392" i="2"/>
  <c r="AA392" i="2"/>
  <c r="Z392" i="2"/>
  <c r="Y392" i="2"/>
  <c r="X392" i="2"/>
  <c r="W392" i="2"/>
  <c r="V392" i="2"/>
  <c r="U392" i="2"/>
  <c r="T392" i="2"/>
  <c r="S392" i="2"/>
  <c r="R392" i="2"/>
  <c r="Q392" i="2"/>
  <c r="P392" i="2"/>
  <c r="O392" i="2"/>
  <c r="N392" i="2"/>
  <c r="M392" i="2"/>
  <c r="L392" i="2"/>
  <c r="K392" i="2"/>
  <c r="J392" i="2"/>
  <c r="I392" i="2"/>
  <c r="H392" i="2"/>
  <c r="G392" i="2"/>
  <c r="F392" i="2"/>
  <c r="E392" i="2"/>
  <c r="D392" i="2"/>
  <c r="C392" i="2"/>
  <c r="B392" i="2"/>
  <c r="A392" i="2"/>
  <c r="AX391" i="2"/>
  <c r="AW391" i="2"/>
  <c r="AV391" i="2"/>
  <c r="AU391" i="2"/>
  <c r="AT391" i="2"/>
  <c r="AS391" i="2"/>
  <c r="AR391" i="2"/>
  <c r="AO391" i="2"/>
  <c r="AN391" i="2"/>
  <c r="AM391" i="2"/>
  <c r="AK391" i="2"/>
  <c r="AJ391" i="2"/>
  <c r="AI391" i="2"/>
  <c r="AH391" i="2"/>
  <c r="AG391" i="2"/>
  <c r="AF391" i="2"/>
  <c r="AE391" i="2"/>
  <c r="AD391" i="2"/>
  <c r="AC391" i="2"/>
  <c r="AB391" i="2"/>
  <c r="AA391" i="2"/>
  <c r="Z391" i="2"/>
  <c r="Y391" i="2"/>
  <c r="X391" i="2"/>
  <c r="W391" i="2"/>
  <c r="V391" i="2"/>
  <c r="U391" i="2"/>
  <c r="T391" i="2"/>
  <c r="S391" i="2"/>
  <c r="R391" i="2"/>
  <c r="Q391" i="2"/>
  <c r="P391" i="2"/>
  <c r="O391" i="2"/>
  <c r="N391" i="2"/>
  <c r="M391" i="2"/>
  <c r="L391" i="2"/>
  <c r="K391" i="2"/>
  <c r="J391" i="2"/>
  <c r="I391" i="2"/>
  <c r="H391" i="2"/>
  <c r="G391" i="2"/>
  <c r="F391" i="2"/>
  <c r="E391" i="2"/>
  <c r="D391" i="2"/>
  <c r="C391" i="2"/>
  <c r="B391" i="2"/>
  <c r="A391" i="2"/>
  <c r="AX390" i="2"/>
  <c r="AW390" i="2"/>
  <c r="AV390" i="2"/>
  <c r="AU390" i="2"/>
  <c r="AT390" i="2"/>
  <c r="AS390" i="2"/>
  <c r="AR390" i="2"/>
  <c r="AO390" i="2"/>
  <c r="AN390" i="2"/>
  <c r="AM390" i="2"/>
  <c r="AL390" i="2"/>
  <c r="AK390" i="2"/>
  <c r="AJ390" i="2"/>
  <c r="AI390" i="2"/>
  <c r="AH390" i="2"/>
  <c r="AG390" i="2"/>
  <c r="AE390" i="2"/>
  <c r="AD390" i="2"/>
  <c r="AC390" i="2"/>
  <c r="AB390" i="2"/>
  <c r="AA390" i="2"/>
  <c r="Z390" i="2"/>
  <c r="Y390" i="2"/>
  <c r="X390" i="2"/>
  <c r="W390" i="2"/>
  <c r="V390" i="2"/>
  <c r="U390" i="2"/>
  <c r="T390" i="2"/>
  <c r="S390" i="2"/>
  <c r="R390" i="2"/>
  <c r="Q390" i="2"/>
  <c r="P390" i="2"/>
  <c r="O390" i="2"/>
  <c r="N390" i="2"/>
  <c r="M390" i="2"/>
  <c r="L390" i="2"/>
  <c r="K390" i="2"/>
  <c r="J390" i="2"/>
  <c r="I390" i="2"/>
  <c r="H390" i="2"/>
  <c r="G390" i="2"/>
  <c r="F390" i="2"/>
  <c r="E390" i="2"/>
  <c r="D390" i="2"/>
  <c r="C390" i="2"/>
  <c r="B390" i="2"/>
  <c r="A390" i="2"/>
  <c r="AX389" i="2"/>
  <c r="AV389" i="2"/>
  <c r="AU389" i="2"/>
  <c r="AT389" i="2"/>
  <c r="AS389" i="2"/>
  <c r="AR389" i="2"/>
  <c r="AO389" i="2"/>
  <c r="AN389" i="2"/>
  <c r="AM389" i="2"/>
  <c r="AL389" i="2"/>
  <c r="AK389" i="2"/>
  <c r="AJ389" i="2"/>
  <c r="AI389" i="2"/>
  <c r="AH389" i="2"/>
  <c r="AG389" i="2"/>
  <c r="AF389" i="2"/>
  <c r="AE389" i="2"/>
  <c r="AD389" i="2"/>
  <c r="AC389" i="2"/>
  <c r="AB389" i="2"/>
  <c r="Z389" i="2"/>
  <c r="Y389" i="2"/>
  <c r="X389" i="2"/>
  <c r="W389" i="2"/>
  <c r="V389" i="2"/>
  <c r="U389" i="2"/>
  <c r="T389" i="2"/>
  <c r="S389" i="2"/>
  <c r="R389" i="2"/>
  <c r="Q389" i="2"/>
  <c r="P389" i="2"/>
  <c r="O389" i="2"/>
  <c r="N389" i="2"/>
  <c r="M389" i="2"/>
  <c r="L389" i="2"/>
  <c r="K389" i="2"/>
  <c r="J389" i="2"/>
  <c r="I389" i="2"/>
  <c r="H389" i="2"/>
  <c r="G389" i="2"/>
  <c r="F389" i="2"/>
  <c r="E389" i="2"/>
  <c r="D389" i="2"/>
  <c r="C389" i="2"/>
  <c r="B389" i="2"/>
  <c r="A389" i="2"/>
  <c r="AX388" i="2"/>
  <c r="AW388" i="2"/>
  <c r="AV388" i="2"/>
  <c r="AU388" i="2"/>
  <c r="AT388" i="2"/>
  <c r="AR388" i="2"/>
  <c r="AO388" i="2"/>
  <c r="AN388" i="2"/>
  <c r="AM388" i="2"/>
  <c r="AK388" i="2"/>
  <c r="AJ388" i="2"/>
  <c r="AI388" i="2"/>
  <c r="AH388" i="2"/>
  <c r="AG388" i="2"/>
  <c r="AC388" i="2"/>
  <c r="Z388" i="2"/>
  <c r="Y388" i="2"/>
  <c r="X388" i="2"/>
  <c r="W388" i="2"/>
  <c r="V388" i="2"/>
  <c r="U388" i="2"/>
  <c r="T388" i="2"/>
  <c r="S388" i="2"/>
  <c r="R388" i="2"/>
  <c r="Q388" i="2"/>
  <c r="P388" i="2"/>
  <c r="O388" i="2"/>
  <c r="N388" i="2"/>
  <c r="M388" i="2"/>
  <c r="L388" i="2"/>
  <c r="K388" i="2"/>
  <c r="J388" i="2"/>
  <c r="I388" i="2"/>
  <c r="H388" i="2"/>
  <c r="G388" i="2"/>
  <c r="F388" i="2"/>
  <c r="E388" i="2"/>
  <c r="D388" i="2"/>
  <c r="C388" i="2"/>
  <c r="B388" i="2"/>
  <c r="A388" i="2"/>
  <c r="AX387" i="2"/>
  <c r="AW387" i="2"/>
  <c r="AV387" i="2"/>
  <c r="AU387" i="2"/>
  <c r="AT387" i="2"/>
  <c r="AS387" i="2"/>
  <c r="AR387" i="2"/>
  <c r="AO387" i="2"/>
  <c r="AN387" i="2"/>
  <c r="AM387" i="2"/>
  <c r="AK387" i="2"/>
  <c r="AJ387" i="2"/>
  <c r="AI387" i="2"/>
  <c r="AH387" i="2"/>
  <c r="AG387" i="2"/>
  <c r="AC387" i="2"/>
  <c r="AB387" i="2"/>
  <c r="AA387" i="2"/>
  <c r="Z387" i="2"/>
  <c r="Y387" i="2"/>
  <c r="X387" i="2"/>
  <c r="W387" i="2"/>
  <c r="V387" i="2"/>
  <c r="U387" i="2"/>
  <c r="T387" i="2"/>
  <c r="S387" i="2"/>
  <c r="R387" i="2"/>
  <c r="Q387" i="2"/>
  <c r="P387" i="2"/>
  <c r="O387" i="2"/>
  <c r="N387" i="2"/>
  <c r="M387" i="2"/>
  <c r="L387" i="2"/>
  <c r="K387" i="2"/>
  <c r="J387" i="2"/>
  <c r="I387" i="2"/>
  <c r="H387" i="2"/>
  <c r="G387" i="2"/>
  <c r="F387" i="2"/>
  <c r="E387" i="2"/>
  <c r="D387" i="2"/>
  <c r="C387" i="2"/>
  <c r="B387" i="2"/>
  <c r="A387" i="2"/>
  <c r="AX386" i="2"/>
  <c r="AW386" i="2"/>
  <c r="AV386" i="2"/>
  <c r="AU386" i="2"/>
  <c r="AT386" i="2"/>
  <c r="AS386" i="2"/>
  <c r="AR386" i="2"/>
  <c r="AO386" i="2"/>
  <c r="AM386" i="2"/>
  <c r="AL386" i="2"/>
  <c r="AK386" i="2"/>
  <c r="AJ386" i="2"/>
  <c r="AI386" i="2"/>
  <c r="AH386" i="2"/>
  <c r="AG386" i="2"/>
  <c r="AE386" i="2"/>
  <c r="AD386" i="2"/>
  <c r="AC386" i="2"/>
  <c r="AA386" i="2"/>
  <c r="Z386" i="2"/>
  <c r="Y386" i="2"/>
  <c r="X386" i="2"/>
  <c r="W386" i="2"/>
  <c r="V386" i="2"/>
  <c r="U386" i="2"/>
  <c r="T386" i="2"/>
  <c r="S386" i="2"/>
  <c r="R386" i="2"/>
  <c r="Q386" i="2"/>
  <c r="P386" i="2"/>
  <c r="O386" i="2"/>
  <c r="N386" i="2"/>
  <c r="M386" i="2"/>
  <c r="L386" i="2"/>
  <c r="K386" i="2"/>
  <c r="J386" i="2"/>
  <c r="I386" i="2"/>
  <c r="H386" i="2"/>
  <c r="G386" i="2"/>
  <c r="F386" i="2"/>
  <c r="E386" i="2"/>
  <c r="D386" i="2"/>
  <c r="C386" i="2"/>
  <c r="B386" i="2"/>
  <c r="A386" i="2"/>
  <c r="AX385" i="2"/>
  <c r="AW385" i="2"/>
  <c r="AV385" i="2"/>
  <c r="AU385" i="2"/>
  <c r="AT385" i="2"/>
  <c r="AS385" i="2"/>
  <c r="AR385" i="2"/>
  <c r="AP385" i="2"/>
  <c r="AO385" i="2"/>
  <c r="AN385" i="2"/>
  <c r="AM385" i="2"/>
  <c r="AL385" i="2"/>
  <c r="AK385" i="2"/>
  <c r="AJ385" i="2"/>
  <c r="AI385" i="2"/>
  <c r="AH385" i="2"/>
  <c r="AG385" i="2"/>
  <c r="AE385" i="2"/>
  <c r="AD385" i="2"/>
  <c r="AC385" i="2"/>
  <c r="AA385" i="2"/>
  <c r="Z385" i="2"/>
  <c r="Y385" i="2"/>
  <c r="X385" i="2"/>
  <c r="W385" i="2"/>
  <c r="V385" i="2"/>
  <c r="U385" i="2"/>
  <c r="T385" i="2"/>
  <c r="S385" i="2"/>
  <c r="R385" i="2"/>
  <c r="Q385" i="2"/>
  <c r="P385" i="2"/>
  <c r="O385" i="2"/>
  <c r="N385" i="2"/>
  <c r="M385" i="2"/>
  <c r="L385" i="2"/>
  <c r="K385" i="2"/>
  <c r="J385" i="2"/>
  <c r="I385" i="2"/>
  <c r="H385" i="2"/>
  <c r="G385" i="2"/>
  <c r="F385" i="2"/>
  <c r="E385" i="2"/>
  <c r="D385" i="2"/>
  <c r="C385" i="2"/>
  <c r="B385" i="2"/>
  <c r="A385" i="2"/>
  <c r="AX384" i="2"/>
  <c r="AV384" i="2"/>
  <c r="AU384" i="2"/>
  <c r="AS384" i="2"/>
  <c r="AR384" i="2"/>
  <c r="AO384" i="2"/>
  <c r="AN384" i="2"/>
  <c r="AM384" i="2"/>
  <c r="AL384" i="2"/>
  <c r="AK384" i="2"/>
  <c r="AJ384" i="2"/>
  <c r="AI384" i="2"/>
  <c r="AH384" i="2"/>
  <c r="AG384" i="2"/>
  <c r="AE384" i="2"/>
  <c r="AD384" i="2"/>
  <c r="AC384" i="2"/>
  <c r="AB384" i="2"/>
  <c r="AA384" i="2"/>
  <c r="Z384" i="2"/>
  <c r="Y384" i="2"/>
  <c r="X384" i="2"/>
  <c r="W384" i="2"/>
  <c r="V384" i="2"/>
  <c r="U384" i="2"/>
  <c r="T384" i="2"/>
  <c r="S384" i="2"/>
  <c r="R384" i="2"/>
  <c r="Q384" i="2"/>
  <c r="P384" i="2"/>
  <c r="O384" i="2"/>
  <c r="N384" i="2"/>
  <c r="M384" i="2"/>
  <c r="L384" i="2"/>
  <c r="K384" i="2"/>
  <c r="J384" i="2"/>
  <c r="I384" i="2"/>
  <c r="H384" i="2"/>
  <c r="G384" i="2"/>
  <c r="F384" i="2"/>
  <c r="E384" i="2"/>
  <c r="D384" i="2"/>
  <c r="C384" i="2"/>
  <c r="B384" i="2"/>
  <c r="A384" i="2"/>
  <c r="AX383" i="2"/>
  <c r="AW383" i="2"/>
  <c r="AV383" i="2"/>
  <c r="AU383" i="2"/>
  <c r="AT383" i="2"/>
  <c r="AS383" i="2"/>
  <c r="AR383" i="2"/>
  <c r="AP383" i="2"/>
  <c r="AO383" i="2"/>
  <c r="AN383" i="2"/>
  <c r="AM383" i="2"/>
  <c r="AL383" i="2"/>
  <c r="AK383" i="2"/>
  <c r="AJ383" i="2"/>
  <c r="AI383" i="2"/>
  <c r="AH383" i="2"/>
  <c r="AG383" i="2"/>
  <c r="AE383" i="2"/>
  <c r="AD383" i="2"/>
  <c r="AC383" i="2"/>
  <c r="AB383" i="2"/>
  <c r="AA383" i="2"/>
  <c r="Z383" i="2"/>
  <c r="Y383" i="2"/>
  <c r="X383" i="2"/>
  <c r="W383" i="2"/>
  <c r="V383" i="2"/>
  <c r="U383" i="2"/>
  <c r="T383" i="2"/>
  <c r="S383" i="2"/>
  <c r="R383" i="2"/>
  <c r="Q383" i="2"/>
  <c r="P383" i="2"/>
  <c r="O383" i="2"/>
  <c r="N383" i="2"/>
  <c r="M383" i="2"/>
  <c r="L383" i="2"/>
  <c r="K383" i="2"/>
  <c r="J383" i="2"/>
  <c r="I383" i="2"/>
  <c r="H383" i="2"/>
  <c r="G383" i="2"/>
  <c r="F383" i="2"/>
  <c r="E383" i="2"/>
  <c r="D383" i="2"/>
  <c r="C383" i="2"/>
  <c r="B383" i="2"/>
  <c r="A383" i="2"/>
  <c r="AX382" i="2"/>
  <c r="AW382" i="2"/>
  <c r="AV382" i="2"/>
  <c r="AU382" i="2"/>
  <c r="AT382" i="2"/>
  <c r="AS382" i="2"/>
  <c r="AR382" i="2"/>
  <c r="AO382" i="2"/>
  <c r="AN382" i="2"/>
  <c r="AM382" i="2"/>
  <c r="AL382" i="2"/>
  <c r="AK382" i="2"/>
  <c r="AJ382" i="2"/>
  <c r="AI382" i="2"/>
  <c r="AH382" i="2"/>
  <c r="AG382" i="2"/>
  <c r="AE382" i="2"/>
  <c r="AD382" i="2"/>
  <c r="AC382" i="2"/>
  <c r="AB382" i="2"/>
  <c r="AA382" i="2"/>
  <c r="Z382" i="2"/>
  <c r="Y382" i="2"/>
  <c r="X382" i="2"/>
  <c r="W382" i="2"/>
  <c r="V382" i="2"/>
  <c r="U382" i="2"/>
  <c r="T382" i="2"/>
  <c r="S382" i="2"/>
  <c r="R382" i="2"/>
  <c r="Q382" i="2"/>
  <c r="P382" i="2"/>
  <c r="O382" i="2"/>
  <c r="N382" i="2"/>
  <c r="M382" i="2"/>
  <c r="L382" i="2"/>
  <c r="K382" i="2"/>
  <c r="J382" i="2"/>
  <c r="I382" i="2"/>
  <c r="H382" i="2"/>
  <c r="G382" i="2"/>
  <c r="F382" i="2"/>
  <c r="E382" i="2"/>
  <c r="D382" i="2"/>
  <c r="C382" i="2"/>
  <c r="B382" i="2"/>
  <c r="A382" i="2"/>
  <c r="AX381" i="2"/>
  <c r="AW381" i="2"/>
  <c r="AV381" i="2"/>
  <c r="AU381" i="2"/>
  <c r="AT381" i="2"/>
  <c r="AS381" i="2"/>
  <c r="AR381" i="2"/>
  <c r="AP381" i="2"/>
  <c r="AO381" i="2"/>
  <c r="AN381" i="2"/>
  <c r="AM381" i="2"/>
  <c r="AL381" i="2"/>
  <c r="AK381" i="2"/>
  <c r="AJ381" i="2"/>
  <c r="AI381" i="2"/>
  <c r="AH381" i="2"/>
  <c r="AG381" i="2"/>
  <c r="AF381" i="2"/>
  <c r="AE381" i="2"/>
  <c r="AD381" i="2"/>
  <c r="AC381" i="2"/>
  <c r="AB381" i="2"/>
  <c r="AA381" i="2"/>
  <c r="Z381" i="2"/>
  <c r="Y381" i="2"/>
  <c r="X381" i="2"/>
  <c r="W381" i="2"/>
  <c r="V381" i="2"/>
  <c r="U381" i="2"/>
  <c r="T381" i="2"/>
  <c r="S381" i="2"/>
  <c r="R381" i="2"/>
  <c r="Q381" i="2"/>
  <c r="P381" i="2"/>
  <c r="O381" i="2"/>
  <c r="N381" i="2"/>
  <c r="M381" i="2"/>
  <c r="L381" i="2"/>
  <c r="K381" i="2"/>
  <c r="J381" i="2"/>
  <c r="I381" i="2"/>
  <c r="H381" i="2"/>
  <c r="G381" i="2"/>
  <c r="F381" i="2"/>
  <c r="E381" i="2"/>
  <c r="D381" i="2"/>
  <c r="C381" i="2"/>
  <c r="B381" i="2"/>
  <c r="A381" i="2"/>
  <c r="AX380" i="2"/>
  <c r="AW380" i="2"/>
  <c r="AV380" i="2"/>
  <c r="AU380" i="2"/>
  <c r="AT380" i="2"/>
  <c r="AS380" i="2"/>
  <c r="AR380" i="2"/>
  <c r="AO380" i="2"/>
  <c r="AN380" i="2"/>
  <c r="AM380" i="2"/>
  <c r="AL380" i="2"/>
  <c r="AK380" i="2"/>
  <c r="AJ380" i="2"/>
  <c r="AI380" i="2"/>
  <c r="AH380" i="2"/>
  <c r="AG380" i="2"/>
  <c r="AF380" i="2"/>
  <c r="AE380" i="2"/>
  <c r="AD380" i="2"/>
  <c r="AC380" i="2"/>
  <c r="AB380" i="2"/>
  <c r="AA380" i="2"/>
  <c r="Z380" i="2"/>
  <c r="Y380" i="2"/>
  <c r="X380" i="2"/>
  <c r="W380" i="2"/>
  <c r="V380" i="2"/>
  <c r="U380" i="2"/>
  <c r="T380" i="2"/>
  <c r="S380" i="2"/>
  <c r="R380" i="2"/>
  <c r="Q380" i="2"/>
  <c r="P380" i="2"/>
  <c r="O380" i="2"/>
  <c r="N380" i="2"/>
  <c r="M380" i="2"/>
  <c r="L380" i="2"/>
  <c r="K380" i="2"/>
  <c r="J380" i="2"/>
  <c r="I380" i="2"/>
  <c r="H380" i="2"/>
  <c r="G380" i="2"/>
  <c r="F380" i="2"/>
  <c r="E380" i="2"/>
  <c r="D380" i="2"/>
  <c r="C380" i="2"/>
  <c r="B380" i="2"/>
  <c r="A380" i="2"/>
  <c r="AX379" i="2"/>
  <c r="AW379" i="2"/>
  <c r="AV379" i="2"/>
  <c r="AU379" i="2"/>
  <c r="AT379" i="2"/>
  <c r="AS379" i="2"/>
  <c r="AR379" i="2"/>
  <c r="AO379" i="2"/>
  <c r="AN379" i="2"/>
  <c r="AM379" i="2"/>
  <c r="AL379" i="2"/>
  <c r="AK379" i="2"/>
  <c r="AJ379" i="2"/>
  <c r="AI379" i="2"/>
  <c r="AH379" i="2"/>
  <c r="AG379" i="2"/>
  <c r="AF379" i="2"/>
  <c r="AE379" i="2"/>
  <c r="AD379" i="2"/>
  <c r="AC379" i="2"/>
  <c r="AB379" i="2"/>
  <c r="AA379" i="2"/>
  <c r="Z379" i="2"/>
  <c r="Y379" i="2"/>
  <c r="X379" i="2"/>
  <c r="W379" i="2"/>
  <c r="V379" i="2"/>
  <c r="U379" i="2"/>
  <c r="T379" i="2"/>
  <c r="S379" i="2"/>
  <c r="R379" i="2"/>
  <c r="Q379" i="2"/>
  <c r="P379" i="2"/>
  <c r="O379" i="2"/>
  <c r="N379" i="2"/>
  <c r="M379" i="2"/>
  <c r="L379" i="2"/>
  <c r="K379" i="2"/>
  <c r="J379" i="2"/>
  <c r="I379" i="2"/>
  <c r="H379" i="2"/>
  <c r="G379" i="2"/>
  <c r="F379" i="2"/>
  <c r="E379" i="2"/>
  <c r="D379" i="2"/>
  <c r="C379" i="2"/>
  <c r="B379" i="2"/>
  <c r="A379" i="2"/>
  <c r="AX378" i="2"/>
  <c r="AW378" i="2"/>
  <c r="AV378" i="2"/>
  <c r="AU378" i="2"/>
  <c r="AT378" i="2"/>
  <c r="AS378" i="2"/>
  <c r="AR378" i="2"/>
  <c r="AO378" i="2"/>
  <c r="AN378" i="2"/>
  <c r="AM378" i="2"/>
  <c r="AL378" i="2"/>
  <c r="AK378" i="2"/>
  <c r="AJ378" i="2"/>
  <c r="AI378" i="2"/>
  <c r="AH378" i="2"/>
  <c r="AG378" i="2"/>
  <c r="AC378" i="2"/>
  <c r="AB378" i="2"/>
  <c r="AA378" i="2"/>
  <c r="Z378" i="2"/>
  <c r="Y378" i="2"/>
  <c r="X378" i="2"/>
  <c r="V378" i="2"/>
  <c r="U378" i="2"/>
  <c r="T378" i="2"/>
  <c r="S378" i="2"/>
  <c r="R378" i="2"/>
  <c r="Q378" i="2"/>
  <c r="P378" i="2"/>
  <c r="O378" i="2"/>
  <c r="N378" i="2"/>
  <c r="M378" i="2"/>
  <c r="L378" i="2"/>
  <c r="K378" i="2"/>
  <c r="J378" i="2"/>
  <c r="I378" i="2"/>
  <c r="H378" i="2"/>
  <c r="G378" i="2"/>
  <c r="F378" i="2"/>
  <c r="E378" i="2"/>
  <c r="D378" i="2"/>
  <c r="C378" i="2"/>
  <c r="B378" i="2"/>
  <c r="A378" i="2"/>
  <c r="AX377" i="2"/>
  <c r="AW377" i="2"/>
  <c r="AV377" i="2"/>
  <c r="AU377" i="2"/>
  <c r="AT377" i="2"/>
  <c r="AS377" i="2"/>
  <c r="AR377" i="2"/>
  <c r="AO377" i="2"/>
  <c r="AN377" i="2"/>
  <c r="AM377" i="2"/>
  <c r="AK377" i="2"/>
  <c r="AI377" i="2"/>
  <c r="AH377" i="2"/>
  <c r="AG377" i="2"/>
  <c r="AE377" i="2"/>
  <c r="AD377" i="2"/>
  <c r="AC377" i="2"/>
  <c r="Z377" i="2"/>
  <c r="Y377" i="2"/>
  <c r="X377" i="2"/>
  <c r="V377" i="2"/>
  <c r="U377" i="2"/>
  <c r="T377" i="2"/>
  <c r="S377" i="2"/>
  <c r="R377" i="2"/>
  <c r="Q377" i="2"/>
  <c r="P377" i="2"/>
  <c r="O377" i="2"/>
  <c r="N377" i="2"/>
  <c r="M377" i="2"/>
  <c r="L377" i="2"/>
  <c r="K377" i="2"/>
  <c r="J377" i="2"/>
  <c r="I377" i="2"/>
  <c r="H377" i="2"/>
  <c r="G377" i="2"/>
  <c r="F377" i="2"/>
  <c r="E377" i="2"/>
  <c r="D377" i="2"/>
  <c r="C377" i="2"/>
  <c r="B377" i="2"/>
  <c r="A377" i="2"/>
  <c r="AX376" i="2"/>
  <c r="AW376" i="2"/>
  <c r="AV376" i="2"/>
  <c r="AU376" i="2"/>
  <c r="AT376" i="2"/>
  <c r="AS376" i="2"/>
  <c r="AR376" i="2"/>
  <c r="AO376" i="2"/>
  <c r="AN376" i="2"/>
  <c r="AM376" i="2"/>
  <c r="AL376" i="2"/>
  <c r="AK376" i="2"/>
  <c r="AJ376" i="2"/>
  <c r="AI376" i="2"/>
  <c r="AH376" i="2"/>
  <c r="AG376" i="2"/>
  <c r="AE376" i="2"/>
  <c r="AC376" i="2"/>
  <c r="Z376" i="2"/>
  <c r="Y376" i="2"/>
  <c r="X376" i="2"/>
  <c r="V376" i="2"/>
  <c r="U376" i="2"/>
  <c r="T376" i="2"/>
  <c r="S376" i="2"/>
  <c r="R376" i="2"/>
  <c r="Q376" i="2"/>
  <c r="P376" i="2"/>
  <c r="O376" i="2"/>
  <c r="N376" i="2"/>
  <c r="M376" i="2"/>
  <c r="L376" i="2"/>
  <c r="K376" i="2"/>
  <c r="J376" i="2"/>
  <c r="I376" i="2"/>
  <c r="H376" i="2"/>
  <c r="G376" i="2"/>
  <c r="F376" i="2"/>
  <c r="E376" i="2"/>
  <c r="D376" i="2"/>
  <c r="C376" i="2"/>
  <c r="B376" i="2"/>
  <c r="A376" i="2"/>
  <c r="AX375" i="2"/>
  <c r="AW375" i="2"/>
  <c r="AV375" i="2"/>
  <c r="AU375" i="2"/>
  <c r="AS375" i="2"/>
  <c r="AR375" i="2"/>
  <c r="AO375" i="2"/>
  <c r="AN375" i="2"/>
  <c r="AM375" i="2"/>
  <c r="AL375" i="2"/>
  <c r="AK375" i="2"/>
  <c r="AJ375" i="2"/>
  <c r="AI375" i="2"/>
  <c r="AH375" i="2"/>
  <c r="AG375" i="2"/>
  <c r="AE375" i="2"/>
  <c r="AD375" i="2"/>
  <c r="AC375" i="2"/>
  <c r="AB375" i="2"/>
  <c r="AA375" i="2"/>
  <c r="Z375" i="2"/>
  <c r="Y375" i="2"/>
  <c r="X375" i="2"/>
  <c r="V375" i="2"/>
  <c r="U375" i="2"/>
  <c r="T375" i="2"/>
  <c r="S375" i="2"/>
  <c r="R375" i="2"/>
  <c r="Q375" i="2"/>
  <c r="P375" i="2"/>
  <c r="O375" i="2"/>
  <c r="N375" i="2"/>
  <c r="M375" i="2"/>
  <c r="L375" i="2"/>
  <c r="K375" i="2"/>
  <c r="J375" i="2"/>
  <c r="I375" i="2"/>
  <c r="H375" i="2"/>
  <c r="G375" i="2"/>
  <c r="F375" i="2"/>
  <c r="E375" i="2"/>
  <c r="D375" i="2"/>
  <c r="C375" i="2"/>
  <c r="B375" i="2"/>
  <c r="A375" i="2"/>
  <c r="AX374" i="2"/>
  <c r="AW374" i="2"/>
  <c r="AV374" i="2"/>
  <c r="AU374" i="2"/>
  <c r="AT374" i="2"/>
  <c r="AS374" i="2"/>
  <c r="AR374" i="2"/>
  <c r="AO374" i="2"/>
  <c r="AN374" i="2"/>
  <c r="AM374" i="2"/>
  <c r="AL374" i="2"/>
  <c r="AK374" i="2"/>
  <c r="AJ374" i="2"/>
  <c r="AI374" i="2"/>
  <c r="AH374" i="2"/>
  <c r="AG374" i="2"/>
  <c r="AE374" i="2"/>
  <c r="AC374" i="2"/>
  <c r="Z374" i="2"/>
  <c r="Y374" i="2"/>
  <c r="X374" i="2"/>
  <c r="W374" i="2"/>
  <c r="V374" i="2"/>
  <c r="U374" i="2"/>
  <c r="T374" i="2"/>
  <c r="S374" i="2"/>
  <c r="R374" i="2"/>
  <c r="Q374" i="2"/>
  <c r="P374" i="2"/>
  <c r="O374" i="2"/>
  <c r="N374" i="2"/>
  <c r="M374" i="2"/>
  <c r="L374" i="2"/>
  <c r="K374" i="2"/>
  <c r="J374" i="2"/>
  <c r="I374" i="2"/>
  <c r="H374" i="2"/>
  <c r="G374" i="2"/>
  <c r="F374" i="2"/>
  <c r="E374" i="2"/>
  <c r="D374" i="2"/>
  <c r="C374" i="2"/>
  <c r="B374" i="2"/>
  <c r="A374" i="2"/>
  <c r="AX373" i="2"/>
  <c r="AW373" i="2"/>
  <c r="AV373" i="2"/>
  <c r="AU373" i="2"/>
  <c r="AT373" i="2"/>
  <c r="AS373" i="2"/>
  <c r="AR373" i="2"/>
  <c r="AO373" i="2"/>
  <c r="AN373" i="2"/>
  <c r="AM373" i="2"/>
  <c r="AK373" i="2"/>
  <c r="AJ373" i="2"/>
  <c r="AI373" i="2"/>
  <c r="AH373" i="2"/>
  <c r="AG373" i="2"/>
  <c r="AD373" i="2"/>
  <c r="AC373" i="2"/>
  <c r="AB373" i="2"/>
  <c r="AA373" i="2"/>
  <c r="Z373" i="2"/>
  <c r="Y373" i="2"/>
  <c r="X373" i="2"/>
  <c r="W373" i="2"/>
  <c r="V373" i="2"/>
  <c r="U373" i="2"/>
  <c r="T373" i="2"/>
  <c r="S373" i="2"/>
  <c r="R373" i="2"/>
  <c r="Q373" i="2"/>
  <c r="P373" i="2"/>
  <c r="O373" i="2"/>
  <c r="N373" i="2"/>
  <c r="M373" i="2"/>
  <c r="L373" i="2"/>
  <c r="K373" i="2"/>
  <c r="J373" i="2"/>
  <c r="I373" i="2"/>
  <c r="H373" i="2"/>
  <c r="G373" i="2"/>
  <c r="F373" i="2"/>
  <c r="E373" i="2"/>
  <c r="D373" i="2"/>
  <c r="C373" i="2"/>
  <c r="B373" i="2"/>
  <c r="A373" i="2"/>
  <c r="AX372" i="2"/>
  <c r="AW372" i="2"/>
  <c r="AV372" i="2"/>
  <c r="AU372" i="2"/>
  <c r="AT372" i="2"/>
  <c r="AS372" i="2"/>
  <c r="AR372" i="2"/>
  <c r="AO372" i="2"/>
  <c r="AN372" i="2"/>
  <c r="AM372" i="2"/>
  <c r="AL372" i="2"/>
  <c r="AK372" i="2"/>
  <c r="AJ372" i="2"/>
  <c r="AI372" i="2"/>
  <c r="AH372" i="2"/>
  <c r="AG372" i="2"/>
  <c r="AE372" i="2"/>
  <c r="AD372" i="2"/>
  <c r="AC372" i="2"/>
  <c r="AB372" i="2"/>
  <c r="AA372" i="2"/>
  <c r="Z372" i="2"/>
  <c r="Y372" i="2"/>
  <c r="X372" i="2"/>
  <c r="V372" i="2"/>
  <c r="U372" i="2"/>
  <c r="T372" i="2"/>
  <c r="S372" i="2"/>
  <c r="R372" i="2"/>
  <c r="Q372" i="2"/>
  <c r="P372" i="2"/>
  <c r="O372" i="2"/>
  <c r="N372" i="2"/>
  <c r="M372" i="2"/>
  <c r="L372" i="2"/>
  <c r="K372" i="2"/>
  <c r="J372" i="2"/>
  <c r="I372" i="2"/>
  <c r="H372" i="2"/>
  <c r="G372" i="2"/>
  <c r="F372" i="2"/>
  <c r="E372" i="2"/>
  <c r="D372" i="2"/>
  <c r="C372" i="2"/>
  <c r="B372" i="2"/>
  <c r="A372" i="2"/>
  <c r="AX371" i="2"/>
  <c r="AW371" i="2"/>
  <c r="AV371" i="2"/>
  <c r="AU371" i="2"/>
  <c r="AT371" i="2"/>
  <c r="AS371" i="2"/>
  <c r="AR371" i="2"/>
  <c r="AO371" i="2"/>
  <c r="AN371" i="2"/>
  <c r="AM371" i="2"/>
  <c r="AK371" i="2"/>
  <c r="AJ371" i="2"/>
  <c r="AI371" i="2"/>
  <c r="AH371" i="2"/>
  <c r="AG371" i="2"/>
  <c r="AE371" i="2"/>
  <c r="AD371" i="2"/>
  <c r="AC371" i="2"/>
  <c r="AB371" i="2"/>
  <c r="AA371" i="2"/>
  <c r="Z371" i="2"/>
  <c r="Y371" i="2"/>
  <c r="X371" i="2"/>
  <c r="W371" i="2"/>
  <c r="V371" i="2"/>
  <c r="U371" i="2"/>
  <c r="T371" i="2"/>
  <c r="S371" i="2"/>
  <c r="R371" i="2"/>
  <c r="Q371" i="2"/>
  <c r="P371" i="2"/>
  <c r="O371" i="2"/>
  <c r="N371" i="2"/>
  <c r="M371" i="2"/>
  <c r="L371" i="2"/>
  <c r="K371" i="2"/>
  <c r="J371" i="2"/>
  <c r="I371" i="2"/>
  <c r="H371" i="2"/>
  <c r="G371" i="2"/>
  <c r="F371" i="2"/>
  <c r="E371" i="2"/>
  <c r="D371" i="2"/>
  <c r="C371" i="2"/>
  <c r="B371" i="2"/>
  <c r="A371" i="2"/>
  <c r="AX370" i="2"/>
  <c r="AW370" i="2"/>
  <c r="AV370" i="2"/>
  <c r="AU370" i="2"/>
  <c r="AT370" i="2"/>
  <c r="AS370" i="2"/>
  <c r="AR370" i="2"/>
  <c r="AP370" i="2"/>
  <c r="AO370" i="2"/>
  <c r="AN370" i="2"/>
  <c r="AM370" i="2"/>
  <c r="AL370" i="2"/>
  <c r="AK370" i="2"/>
  <c r="AJ370" i="2"/>
  <c r="AI370" i="2"/>
  <c r="AH370" i="2"/>
  <c r="AG370" i="2"/>
  <c r="AF370" i="2"/>
  <c r="AE370" i="2"/>
  <c r="AC370" i="2"/>
  <c r="AB370" i="2"/>
  <c r="AA370" i="2"/>
  <c r="Z370" i="2"/>
  <c r="Y370" i="2"/>
  <c r="X370" i="2"/>
  <c r="W370" i="2"/>
  <c r="V370" i="2"/>
  <c r="U370" i="2"/>
  <c r="T370" i="2"/>
  <c r="S370" i="2"/>
  <c r="R370" i="2"/>
  <c r="Q370" i="2"/>
  <c r="P370" i="2"/>
  <c r="O370" i="2"/>
  <c r="N370" i="2"/>
  <c r="M370" i="2"/>
  <c r="L370" i="2"/>
  <c r="K370" i="2"/>
  <c r="J370" i="2"/>
  <c r="I370" i="2"/>
  <c r="H370" i="2"/>
  <c r="G370" i="2"/>
  <c r="F370" i="2"/>
  <c r="E370" i="2"/>
  <c r="D370" i="2"/>
  <c r="C370" i="2"/>
  <c r="B370" i="2"/>
  <c r="A370" i="2"/>
  <c r="AX369" i="2"/>
  <c r="AW369" i="2"/>
  <c r="AV369" i="2"/>
  <c r="AU369" i="2"/>
  <c r="AT369" i="2"/>
  <c r="AS369" i="2"/>
  <c r="AR369" i="2"/>
  <c r="AO369" i="2"/>
  <c r="AN369" i="2"/>
  <c r="AM369" i="2"/>
  <c r="AL369" i="2"/>
  <c r="AK369" i="2"/>
  <c r="AJ369" i="2"/>
  <c r="AI369" i="2"/>
  <c r="AH369" i="2"/>
  <c r="AG369" i="2"/>
  <c r="AC369" i="2"/>
  <c r="Z369" i="2"/>
  <c r="Y369" i="2"/>
  <c r="X369" i="2"/>
  <c r="W369" i="2"/>
  <c r="V369" i="2"/>
  <c r="U369" i="2"/>
  <c r="T369" i="2"/>
  <c r="S369" i="2"/>
  <c r="R369" i="2"/>
  <c r="Q369" i="2"/>
  <c r="P369" i="2"/>
  <c r="O369" i="2"/>
  <c r="N369" i="2"/>
  <c r="M369" i="2"/>
  <c r="L369" i="2"/>
  <c r="K369" i="2"/>
  <c r="J369" i="2"/>
  <c r="I369" i="2"/>
  <c r="H369" i="2"/>
  <c r="G369" i="2"/>
  <c r="F369" i="2"/>
  <c r="E369" i="2"/>
  <c r="D369" i="2"/>
  <c r="C369" i="2"/>
  <c r="B369" i="2"/>
  <c r="A369" i="2"/>
  <c r="AX368" i="2"/>
  <c r="AW368" i="2"/>
  <c r="AV368" i="2"/>
  <c r="AU368" i="2"/>
  <c r="AT368" i="2"/>
  <c r="AS368" i="2"/>
  <c r="AR368" i="2"/>
  <c r="AO368" i="2"/>
  <c r="AN368" i="2"/>
  <c r="AM368" i="2"/>
  <c r="AL368" i="2"/>
  <c r="AK368" i="2"/>
  <c r="AJ368" i="2"/>
  <c r="AI368" i="2"/>
  <c r="AH368" i="2"/>
  <c r="AG368" i="2"/>
  <c r="AE368" i="2"/>
  <c r="AD368" i="2"/>
  <c r="AC368" i="2"/>
  <c r="AB368" i="2"/>
  <c r="AA368" i="2"/>
  <c r="Z368" i="2"/>
  <c r="Y368" i="2"/>
  <c r="X368" i="2"/>
  <c r="W368" i="2"/>
  <c r="V368" i="2"/>
  <c r="U368" i="2"/>
  <c r="T368" i="2"/>
  <c r="S368" i="2"/>
  <c r="R368" i="2"/>
  <c r="Q368" i="2"/>
  <c r="P368" i="2"/>
  <c r="O368" i="2"/>
  <c r="N368" i="2"/>
  <c r="M368" i="2"/>
  <c r="L368" i="2"/>
  <c r="K368" i="2"/>
  <c r="J368" i="2"/>
  <c r="I368" i="2"/>
  <c r="H368" i="2"/>
  <c r="G368" i="2"/>
  <c r="F368" i="2"/>
  <c r="E368" i="2"/>
  <c r="D368" i="2"/>
  <c r="C368" i="2"/>
  <c r="B368" i="2"/>
  <c r="A368" i="2"/>
  <c r="AX367" i="2"/>
  <c r="AW367" i="2"/>
  <c r="AV367" i="2"/>
  <c r="AU367" i="2"/>
  <c r="AT367" i="2"/>
  <c r="AS367" i="2"/>
  <c r="AR367" i="2"/>
  <c r="AO367" i="2"/>
  <c r="AN367" i="2"/>
  <c r="AM367" i="2"/>
  <c r="AL367" i="2"/>
  <c r="AK367" i="2"/>
  <c r="AJ367" i="2"/>
  <c r="AI367" i="2"/>
  <c r="AH367" i="2"/>
  <c r="AG367" i="2"/>
  <c r="AE367" i="2"/>
  <c r="AD367" i="2"/>
  <c r="AC367" i="2"/>
  <c r="Z367" i="2"/>
  <c r="Y367" i="2"/>
  <c r="X367" i="2"/>
  <c r="W367" i="2"/>
  <c r="V367" i="2"/>
  <c r="U367" i="2"/>
  <c r="T367" i="2"/>
  <c r="S367" i="2"/>
  <c r="R367" i="2"/>
  <c r="Q367" i="2"/>
  <c r="P367" i="2"/>
  <c r="O367" i="2"/>
  <c r="N367" i="2"/>
  <c r="M367" i="2"/>
  <c r="L367" i="2"/>
  <c r="K367" i="2"/>
  <c r="J367" i="2"/>
  <c r="I367" i="2"/>
  <c r="H367" i="2"/>
  <c r="G367" i="2"/>
  <c r="F367" i="2"/>
  <c r="E367" i="2"/>
  <c r="D367" i="2"/>
  <c r="C367" i="2"/>
  <c r="B367" i="2"/>
  <c r="A367" i="2"/>
  <c r="AX366" i="2"/>
  <c r="AW366" i="2"/>
  <c r="AV366" i="2"/>
  <c r="AU366" i="2"/>
  <c r="AT366" i="2"/>
  <c r="AS366" i="2"/>
  <c r="AR366" i="2"/>
  <c r="AO366" i="2"/>
  <c r="AN366" i="2"/>
  <c r="AM366" i="2"/>
  <c r="AL366" i="2"/>
  <c r="AK366" i="2"/>
  <c r="AJ366" i="2"/>
  <c r="AI366" i="2"/>
  <c r="AH366" i="2"/>
  <c r="AG366" i="2"/>
  <c r="AF366" i="2"/>
  <c r="AE366" i="2"/>
  <c r="AD366" i="2"/>
  <c r="AC366" i="2"/>
  <c r="AB366" i="2"/>
  <c r="AA366" i="2"/>
  <c r="Z366" i="2"/>
  <c r="Y366" i="2"/>
  <c r="X366" i="2"/>
  <c r="W366" i="2"/>
  <c r="V366" i="2"/>
  <c r="U366" i="2"/>
  <c r="T366" i="2"/>
  <c r="S366" i="2"/>
  <c r="R366" i="2"/>
  <c r="Q366" i="2"/>
  <c r="P366" i="2"/>
  <c r="O366" i="2"/>
  <c r="N366" i="2"/>
  <c r="M366" i="2"/>
  <c r="L366" i="2"/>
  <c r="K366" i="2"/>
  <c r="J366" i="2"/>
  <c r="I366" i="2"/>
  <c r="H366" i="2"/>
  <c r="G366" i="2"/>
  <c r="F366" i="2"/>
  <c r="E366" i="2"/>
  <c r="D366" i="2"/>
  <c r="C366" i="2"/>
  <c r="B366" i="2"/>
  <c r="A366" i="2"/>
  <c r="AX365" i="2"/>
  <c r="AW365" i="2"/>
  <c r="AV365" i="2"/>
  <c r="AU365" i="2"/>
  <c r="AT365" i="2"/>
  <c r="AS365" i="2"/>
  <c r="AR365" i="2"/>
  <c r="AO365" i="2"/>
  <c r="AN365" i="2"/>
  <c r="AM365" i="2"/>
  <c r="AL365" i="2"/>
  <c r="AK365" i="2"/>
  <c r="AJ365" i="2"/>
  <c r="AI365" i="2"/>
  <c r="AH365" i="2"/>
  <c r="AG365" i="2"/>
  <c r="AE365" i="2"/>
  <c r="AD365" i="2"/>
  <c r="AC365" i="2"/>
  <c r="AB365" i="2"/>
  <c r="Z365" i="2"/>
  <c r="Y365" i="2"/>
  <c r="X365" i="2"/>
  <c r="W365" i="2"/>
  <c r="V365" i="2"/>
  <c r="U365" i="2"/>
  <c r="T365" i="2"/>
  <c r="S365" i="2"/>
  <c r="R365" i="2"/>
  <c r="Q365" i="2"/>
  <c r="P365" i="2"/>
  <c r="O365" i="2"/>
  <c r="N365" i="2"/>
  <c r="M365" i="2"/>
  <c r="L365" i="2"/>
  <c r="K365" i="2"/>
  <c r="J365" i="2"/>
  <c r="I365" i="2"/>
  <c r="H365" i="2"/>
  <c r="G365" i="2"/>
  <c r="F365" i="2"/>
  <c r="E365" i="2"/>
  <c r="D365" i="2"/>
  <c r="C365" i="2"/>
  <c r="B365" i="2"/>
  <c r="A365" i="2"/>
  <c r="AX364" i="2"/>
  <c r="AW364" i="2"/>
  <c r="AV364" i="2"/>
  <c r="AU364" i="2"/>
  <c r="AT364" i="2"/>
  <c r="AS364" i="2"/>
  <c r="AR364" i="2"/>
  <c r="AO364" i="2"/>
  <c r="AN364" i="2"/>
  <c r="AM364" i="2"/>
  <c r="AL364" i="2"/>
  <c r="AK364" i="2"/>
  <c r="AJ364" i="2"/>
  <c r="AI364" i="2"/>
  <c r="AH364" i="2"/>
  <c r="AG364" i="2"/>
  <c r="AE364" i="2"/>
  <c r="AD364" i="2"/>
  <c r="AC364" i="2"/>
  <c r="AB364" i="2"/>
  <c r="AA364" i="2"/>
  <c r="Z364" i="2"/>
  <c r="Y364" i="2"/>
  <c r="X364" i="2"/>
  <c r="W364" i="2"/>
  <c r="V364" i="2"/>
  <c r="U364" i="2"/>
  <c r="T364" i="2"/>
  <c r="S364" i="2"/>
  <c r="R364" i="2"/>
  <c r="Q364" i="2"/>
  <c r="P364" i="2"/>
  <c r="O364" i="2"/>
  <c r="N364" i="2"/>
  <c r="M364" i="2"/>
  <c r="L364" i="2"/>
  <c r="K364" i="2"/>
  <c r="J364" i="2"/>
  <c r="I364" i="2"/>
  <c r="H364" i="2"/>
  <c r="G364" i="2"/>
  <c r="F364" i="2"/>
  <c r="E364" i="2"/>
  <c r="D364" i="2"/>
  <c r="C364" i="2"/>
  <c r="B364" i="2"/>
  <c r="A364" i="2"/>
  <c r="AX363" i="2"/>
  <c r="AW363" i="2"/>
  <c r="AV363" i="2"/>
  <c r="AU363" i="2"/>
  <c r="AT363" i="2"/>
  <c r="AS363" i="2"/>
  <c r="AR363" i="2"/>
  <c r="AO363" i="2"/>
  <c r="AN363" i="2"/>
  <c r="AM363" i="2"/>
  <c r="AL363" i="2"/>
  <c r="AK363" i="2"/>
  <c r="AJ363" i="2"/>
  <c r="AI363" i="2"/>
  <c r="AH363" i="2"/>
  <c r="AG363" i="2"/>
  <c r="AF363" i="2"/>
  <c r="AE363" i="2"/>
  <c r="AD363" i="2"/>
  <c r="AC363" i="2"/>
  <c r="AA363" i="2"/>
  <c r="Z363" i="2"/>
  <c r="Y363" i="2"/>
  <c r="X363" i="2"/>
  <c r="W363" i="2"/>
  <c r="V363" i="2"/>
  <c r="U363" i="2"/>
  <c r="T363" i="2"/>
  <c r="S363" i="2"/>
  <c r="R363" i="2"/>
  <c r="Q363" i="2"/>
  <c r="P363" i="2"/>
  <c r="O363" i="2"/>
  <c r="N363" i="2"/>
  <c r="M363" i="2"/>
  <c r="L363" i="2"/>
  <c r="K363" i="2"/>
  <c r="J363" i="2"/>
  <c r="I363" i="2"/>
  <c r="H363" i="2"/>
  <c r="G363" i="2"/>
  <c r="F363" i="2"/>
  <c r="E363" i="2"/>
  <c r="D363" i="2"/>
  <c r="C363" i="2"/>
  <c r="B363" i="2"/>
  <c r="A363" i="2"/>
  <c r="AX362" i="2"/>
  <c r="AW362" i="2"/>
  <c r="AV362" i="2"/>
  <c r="AU362" i="2"/>
  <c r="AT362" i="2"/>
  <c r="AS362" i="2"/>
  <c r="AR362" i="2"/>
  <c r="AO362" i="2"/>
  <c r="AN362" i="2"/>
  <c r="AM362" i="2"/>
  <c r="AL362" i="2"/>
  <c r="AK362" i="2"/>
  <c r="AJ362" i="2"/>
  <c r="AI362" i="2"/>
  <c r="AH362" i="2"/>
  <c r="AG362" i="2"/>
  <c r="AE362" i="2"/>
  <c r="AD362" i="2"/>
  <c r="AC362" i="2"/>
  <c r="AA362" i="2"/>
  <c r="Z362" i="2"/>
  <c r="Y362" i="2"/>
  <c r="X362" i="2"/>
  <c r="V362" i="2"/>
  <c r="U362" i="2"/>
  <c r="T362" i="2"/>
  <c r="S362" i="2"/>
  <c r="R362" i="2"/>
  <c r="Q362" i="2"/>
  <c r="P362" i="2"/>
  <c r="O362" i="2"/>
  <c r="N362" i="2"/>
  <c r="M362" i="2"/>
  <c r="L362" i="2"/>
  <c r="K362" i="2"/>
  <c r="J362" i="2"/>
  <c r="I362" i="2"/>
  <c r="H362" i="2"/>
  <c r="G362" i="2"/>
  <c r="F362" i="2"/>
  <c r="E362" i="2"/>
  <c r="D362" i="2"/>
  <c r="C362" i="2"/>
  <c r="B362" i="2"/>
  <c r="A362" i="2"/>
  <c r="AX361" i="2"/>
  <c r="AW361" i="2"/>
  <c r="AV361" i="2"/>
  <c r="AU361" i="2"/>
  <c r="AT361" i="2"/>
  <c r="AS361" i="2"/>
  <c r="AR361" i="2"/>
  <c r="AO361" i="2"/>
  <c r="AN361" i="2"/>
  <c r="AM361" i="2"/>
  <c r="AL361" i="2"/>
  <c r="AK361" i="2"/>
  <c r="AJ361" i="2"/>
  <c r="AI361" i="2"/>
  <c r="AH361" i="2"/>
  <c r="AG361" i="2"/>
  <c r="AE361" i="2"/>
  <c r="AD361" i="2"/>
  <c r="AC361" i="2"/>
  <c r="AB361" i="2"/>
  <c r="AA361" i="2"/>
  <c r="Z361" i="2"/>
  <c r="Y361" i="2"/>
  <c r="X361" i="2"/>
  <c r="W361" i="2"/>
  <c r="V361" i="2"/>
  <c r="U361" i="2"/>
  <c r="T361" i="2"/>
  <c r="S361" i="2"/>
  <c r="R361" i="2"/>
  <c r="Q361" i="2"/>
  <c r="P361" i="2"/>
  <c r="O361" i="2"/>
  <c r="N361" i="2"/>
  <c r="M361" i="2"/>
  <c r="L361" i="2"/>
  <c r="K361" i="2"/>
  <c r="J361" i="2"/>
  <c r="I361" i="2"/>
  <c r="H361" i="2"/>
  <c r="G361" i="2"/>
  <c r="F361" i="2"/>
  <c r="E361" i="2"/>
  <c r="D361" i="2"/>
  <c r="C361" i="2"/>
  <c r="B361" i="2"/>
  <c r="A361" i="2"/>
  <c r="AX360" i="2"/>
  <c r="AW360" i="2"/>
  <c r="AV360" i="2"/>
  <c r="AU360" i="2"/>
  <c r="AT360" i="2"/>
  <c r="AS360" i="2"/>
  <c r="AR360" i="2"/>
  <c r="AO360" i="2"/>
  <c r="AN360" i="2"/>
  <c r="AM360" i="2"/>
  <c r="AL360" i="2"/>
  <c r="AK360" i="2"/>
  <c r="AJ360" i="2"/>
  <c r="AI360" i="2"/>
  <c r="AH360" i="2"/>
  <c r="AG360" i="2"/>
  <c r="AE360" i="2"/>
  <c r="AD360" i="2"/>
  <c r="AC360" i="2"/>
  <c r="AB360" i="2"/>
  <c r="AA360" i="2"/>
  <c r="Z360" i="2"/>
  <c r="Y360" i="2"/>
  <c r="X360" i="2"/>
  <c r="W360" i="2"/>
  <c r="V360" i="2"/>
  <c r="U360" i="2"/>
  <c r="T360" i="2"/>
  <c r="S360" i="2"/>
  <c r="R360" i="2"/>
  <c r="Q360" i="2"/>
  <c r="P360" i="2"/>
  <c r="O360" i="2"/>
  <c r="N360" i="2"/>
  <c r="M360" i="2"/>
  <c r="L360" i="2"/>
  <c r="K360" i="2"/>
  <c r="J360" i="2"/>
  <c r="I360" i="2"/>
  <c r="H360" i="2"/>
  <c r="G360" i="2"/>
  <c r="F360" i="2"/>
  <c r="E360" i="2"/>
  <c r="D360" i="2"/>
  <c r="C360" i="2"/>
  <c r="B360" i="2"/>
  <c r="A360" i="2"/>
  <c r="AX359" i="2"/>
  <c r="AW359" i="2"/>
  <c r="AV359" i="2"/>
  <c r="AU359" i="2"/>
  <c r="AT359" i="2"/>
  <c r="AS359" i="2"/>
  <c r="AR359" i="2"/>
  <c r="AO359" i="2"/>
  <c r="AN359" i="2"/>
  <c r="AM359" i="2"/>
  <c r="AL359" i="2"/>
  <c r="AK359" i="2"/>
  <c r="AJ359" i="2"/>
  <c r="AI359" i="2"/>
  <c r="AH359" i="2"/>
  <c r="AG359" i="2"/>
  <c r="AD359" i="2"/>
  <c r="AC359" i="2"/>
  <c r="Z359" i="2"/>
  <c r="Y359" i="2"/>
  <c r="X359" i="2"/>
  <c r="W359" i="2"/>
  <c r="V359" i="2"/>
  <c r="U359" i="2"/>
  <c r="T359" i="2"/>
  <c r="S359" i="2"/>
  <c r="R359" i="2"/>
  <c r="Q359" i="2"/>
  <c r="P359" i="2"/>
  <c r="O359" i="2"/>
  <c r="N359" i="2"/>
  <c r="M359" i="2"/>
  <c r="L359" i="2"/>
  <c r="K359" i="2"/>
  <c r="J359" i="2"/>
  <c r="I359" i="2"/>
  <c r="H359" i="2"/>
  <c r="G359" i="2"/>
  <c r="F359" i="2"/>
  <c r="E359" i="2"/>
  <c r="D359" i="2"/>
  <c r="C359" i="2"/>
  <c r="B359" i="2"/>
  <c r="A359" i="2"/>
  <c r="AX358" i="2"/>
  <c r="AW358" i="2"/>
  <c r="AV358" i="2"/>
  <c r="AU358" i="2"/>
  <c r="AT358" i="2"/>
  <c r="AS358" i="2"/>
  <c r="AR358" i="2"/>
  <c r="AO358" i="2"/>
  <c r="AN358" i="2"/>
  <c r="AM358" i="2"/>
  <c r="AL358" i="2"/>
  <c r="AK358" i="2"/>
  <c r="AJ358" i="2"/>
  <c r="AI358" i="2"/>
  <c r="AH358" i="2"/>
  <c r="AG358" i="2"/>
  <c r="AF358" i="2"/>
  <c r="AE358" i="2"/>
  <c r="AD358" i="2"/>
  <c r="AC358" i="2"/>
  <c r="AA358" i="2"/>
  <c r="Z358" i="2"/>
  <c r="Y358" i="2"/>
  <c r="X358" i="2"/>
  <c r="V358" i="2"/>
  <c r="U358" i="2"/>
  <c r="T358" i="2"/>
  <c r="S358" i="2"/>
  <c r="R358" i="2"/>
  <c r="Q358" i="2"/>
  <c r="P358" i="2"/>
  <c r="O358" i="2"/>
  <c r="N358" i="2"/>
  <c r="M358" i="2"/>
  <c r="L358" i="2"/>
  <c r="K358" i="2"/>
  <c r="J358" i="2"/>
  <c r="I358" i="2"/>
  <c r="H358" i="2"/>
  <c r="G358" i="2"/>
  <c r="F358" i="2"/>
  <c r="E358" i="2"/>
  <c r="D358" i="2"/>
  <c r="C358" i="2"/>
  <c r="B358" i="2"/>
  <c r="A358" i="2"/>
  <c r="AX357" i="2"/>
  <c r="AW357" i="2"/>
  <c r="AV357" i="2"/>
  <c r="AU357" i="2"/>
  <c r="AT357" i="2"/>
  <c r="AS357" i="2"/>
  <c r="AR357" i="2"/>
  <c r="AO357" i="2"/>
  <c r="AN357" i="2"/>
  <c r="AM357" i="2"/>
  <c r="AL357" i="2"/>
  <c r="AK357" i="2"/>
  <c r="AJ357" i="2"/>
  <c r="AI357" i="2"/>
  <c r="AH357" i="2"/>
  <c r="AG357" i="2"/>
  <c r="AF357" i="2"/>
  <c r="AE357" i="2"/>
  <c r="AD357" i="2"/>
  <c r="AC357" i="2"/>
  <c r="AA357" i="2"/>
  <c r="Z357" i="2"/>
  <c r="Y357" i="2"/>
  <c r="X357" i="2"/>
  <c r="W357" i="2"/>
  <c r="V357" i="2"/>
  <c r="U357" i="2"/>
  <c r="T357" i="2"/>
  <c r="S357" i="2"/>
  <c r="R357" i="2"/>
  <c r="Q357" i="2"/>
  <c r="P357" i="2"/>
  <c r="O357" i="2"/>
  <c r="N357" i="2"/>
  <c r="M357" i="2"/>
  <c r="L357" i="2"/>
  <c r="K357" i="2"/>
  <c r="J357" i="2"/>
  <c r="I357" i="2"/>
  <c r="H357" i="2"/>
  <c r="G357" i="2"/>
  <c r="F357" i="2"/>
  <c r="E357" i="2"/>
  <c r="D357" i="2"/>
  <c r="C357" i="2"/>
  <c r="B357" i="2"/>
  <c r="A357" i="2"/>
  <c r="AX356" i="2"/>
  <c r="AW356" i="2"/>
  <c r="AV356" i="2"/>
  <c r="AU356" i="2"/>
  <c r="AT356" i="2"/>
  <c r="AS356" i="2"/>
  <c r="AR356" i="2"/>
  <c r="AO356" i="2"/>
  <c r="AN356" i="2"/>
  <c r="AM356" i="2"/>
  <c r="AK356" i="2"/>
  <c r="AJ356" i="2"/>
  <c r="AI356" i="2"/>
  <c r="AH356" i="2"/>
  <c r="AG356" i="2"/>
  <c r="AE356" i="2"/>
  <c r="AC356" i="2"/>
  <c r="Z356" i="2"/>
  <c r="Y356" i="2"/>
  <c r="X356" i="2"/>
  <c r="W356" i="2"/>
  <c r="V356" i="2"/>
  <c r="U356" i="2"/>
  <c r="T356" i="2"/>
  <c r="S356" i="2"/>
  <c r="R356" i="2"/>
  <c r="Q356" i="2"/>
  <c r="P356" i="2"/>
  <c r="O356" i="2"/>
  <c r="N356" i="2"/>
  <c r="M356" i="2"/>
  <c r="L356" i="2"/>
  <c r="K356" i="2"/>
  <c r="J356" i="2"/>
  <c r="I356" i="2"/>
  <c r="H356" i="2"/>
  <c r="G356" i="2"/>
  <c r="F356" i="2"/>
  <c r="E356" i="2"/>
  <c r="D356" i="2"/>
  <c r="C356" i="2"/>
  <c r="B356" i="2"/>
  <c r="A356" i="2"/>
  <c r="AX355" i="2"/>
  <c r="AW355" i="2"/>
  <c r="AV355" i="2"/>
  <c r="AU355" i="2"/>
  <c r="AT355" i="2"/>
  <c r="AS355" i="2"/>
  <c r="AR355" i="2"/>
  <c r="AO355" i="2"/>
  <c r="AN355" i="2"/>
  <c r="AM355" i="2"/>
  <c r="AK355" i="2"/>
  <c r="AJ355" i="2"/>
  <c r="AI355" i="2"/>
  <c r="AH355" i="2"/>
  <c r="AG355" i="2"/>
  <c r="AF355" i="2"/>
  <c r="AE355" i="2"/>
  <c r="AD355" i="2"/>
  <c r="AC355" i="2"/>
  <c r="Z355" i="2"/>
  <c r="Y355" i="2"/>
  <c r="X355" i="2"/>
  <c r="W355" i="2"/>
  <c r="V355" i="2"/>
  <c r="U355" i="2"/>
  <c r="T355" i="2"/>
  <c r="S355" i="2"/>
  <c r="R355" i="2"/>
  <c r="Q355" i="2"/>
  <c r="P355" i="2"/>
  <c r="O355" i="2"/>
  <c r="N355" i="2"/>
  <c r="M355" i="2"/>
  <c r="L355" i="2"/>
  <c r="K355" i="2"/>
  <c r="J355" i="2"/>
  <c r="I355" i="2"/>
  <c r="H355" i="2"/>
  <c r="G355" i="2"/>
  <c r="F355" i="2"/>
  <c r="E355" i="2"/>
  <c r="D355" i="2"/>
  <c r="C355" i="2"/>
  <c r="B355" i="2"/>
  <c r="A355" i="2"/>
  <c r="AX354" i="2"/>
  <c r="AW354" i="2"/>
  <c r="AV354" i="2"/>
  <c r="AU354" i="2"/>
  <c r="AT354" i="2"/>
  <c r="AS354" i="2"/>
  <c r="AR354" i="2"/>
  <c r="AO354" i="2"/>
  <c r="AN354" i="2"/>
  <c r="AM354" i="2"/>
  <c r="AL354" i="2"/>
  <c r="AK354" i="2"/>
  <c r="AJ354" i="2"/>
  <c r="AI354" i="2"/>
  <c r="AH354" i="2"/>
  <c r="AG354" i="2"/>
  <c r="AF354" i="2"/>
  <c r="AE354" i="2"/>
  <c r="AD354" i="2"/>
  <c r="AC354" i="2"/>
  <c r="AB354" i="2"/>
  <c r="AA354" i="2"/>
  <c r="Z354" i="2"/>
  <c r="Y354" i="2"/>
  <c r="X354" i="2"/>
  <c r="W354" i="2"/>
  <c r="V354" i="2"/>
  <c r="U354" i="2"/>
  <c r="T354" i="2"/>
  <c r="S354" i="2"/>
  <c r="R354" i="2"/>
  <c r="Q354" i="2"/>
  <c r="P354" i="2"/>
  <c r="O354" i="2"/>
  <c r="N354" i="2"/>
  <c r="M354" i="2"/>
  <c r="L354" i="2"/>
  <c r="K354" i="2"/>
  <c r="J354" i="2"/>
  <c r="I354" i="2"/>
  <c r="H354" i="2"/>
  <c r="G354" i="2"/>
  <c r="F354" i="2"/>
  <c r="E354" i="2"/>
  <c r="D354" i="2"/>
  <c r="C354" i="2"/>
  <c r="B354" i="2"/>
  <c r="A354" i="2"/>
  <c r="AX353" i="2"/>
  <c r="AW353" i="2"/>
  <c r="AV353" i="2"/>
  <c r="AU353" i="2"/>
  <c r="AT353" i="2"/>
  <c r="AS353" i="2"/>
  <c r="AR353" i="2"/>
  <c r="AO353" i="2"/>
  <c r="AN353" i="2"/>
  <c r="AM353" i="2"/>
  <c r="AK353" i="2"/>
  <c r="AJ353" i="2"/>
  <c r="AI353" i="2"/>
  <c r="AH353" i="2"/>
  <c r="AG353" i="2"/>
  <c r="AE353" i="2"/>
  <c r="AD353" i="2"/>
  <c r="AC353" i="2"/>
  <c r="AB353" i="2"/>
  <c r="Z353" i="2"/>
  <c r="Y353" i="2"/>
  <c r="X353" i="2"/>
  <c r="W353" i="2"/>
  <c r="V353" i="2"/>
  <c r="U353" i="2"/>
  <c r="T353" i="2"/>
  <c r="S353" i="2"/>
  <c r="R353" i="2"/>
  <c r="Q353" i="2"/>
  <c r="P353" i="2"/>
  <c r="O353" i="2"/>
  <c r="N353" i="2"/>
  <c r="M353" i="2"/>
  <c r="L353" i="2"/>
  <c r="K353" i="2"/>
  <c r="J353" i="2"/>
  <c r="I353" i="2"/>
  <c r="H353" i="2"/>
  <c r="G353" i="2"/>
  <c r="F353" i="2"/>
  <c r="E353" i="2"/>
  <c r="D353" i="2"/>
  <c r="C353" i="2"/>
  <c r="B353" i="2"/>
  <c r="A353" i="2"/>
  <c r="AX352" i="2"/>
  <c r="AW352" i="2"/>
  <c r="AV352" i="2"/>
  <c r="AU352" i="2"/>
  <c r="AT352" i="2"/>
  <c r="AS352" i="2"/>
  <c r="AR352" i="2"/>
  <c r="AO352" i="2"/>
  <c r="AN352" i="2"/>
  <c r="AM352" i="2"/>
  <c r="AL352" i="2"/>
  <c r="AK352" i="2"/>
  <c r="AJ352" i="2"/>
  <c r="AI352" i="2"/>
  <c r="AH352" i="2"/>
  <c r="AG352" i="2"/>
  <c r="AE352" i="2"/>
  <c r="AC352" i="2"/>
  <c r="AB352" i="2"/>
  <c r="AA352" i="2"/>
  <c r="Z352" i="2"/>
  <c r="Y352" i="2"/>
  <c r="X352" i="2"/>
  <c r="W352" i="2"/>
  <c r="V352" i="2"/>
  <c r="U352" i="2"/>
  <c r="T352" i="2"/>
  <c r="S352" i="2"/>
  <c r="R352" i="2"/>
  <c r="Q352" i="2"/>
  <c r="P352" i="2"/>
  <c r="O352" i="2"/>
  <c r="N352" i="2"/>
  <c r="M352" i="2"/>
  <c r="L352" i="2"/>
  <c r="K352" i="2"/>
  <c r="J352" i="2"/>
  <c r="I352" i="2"/>
  <c r="H352" i="2"/>
  <c r="G352" i="2"/>
  <c r="F352" i="2"/>
  <c r="E352" i="2"/>
  <c r="D352" i="2"/>
  <c r="C352" i="2"/>
  <c r="B352" i="2"/>
  <c r="A352" i="2"/>
  <c r="AX351" i="2"/>
  <c r="AV351" i="2"/>
  <c r="AU351" i="2"/>
  <c r="AT351" i="2"/>
  <c r="AS351" i="2"/>
  <c r="AR351" i="2"/>
  <c r="AO351" i="2"/>
  <c r="AN351" i="2"/>
  <c r="AM351" i="2"/>
  <c r="AL351" i="2"/>
  <c r="AK351" i="2"/>
  <c r="AJ351" i="2"/>
  <c r="AI351" i="2"/>
  <c r="AH351" i="2"/>
  <c r="AG351" i="2"/>
  <c r="AE351" i="2"/>
  <c r="AD351" i="2"/>
  <c r="AC351" i="2"/>
  <c r="AB351" i="2"/>
  <c r="AA351" i="2"/>
  <c r="Z351" i="2"/>
  <c r="Y351" i="2"/>
  <c r="X351" i="2"/>
  <c r="W351" i="2"/>
  <c r="V351" i="2"/>
  <c r="U351" i="2"/>
  <c r="T351" i="2"/>
  <c r="S351" i="2"/>
  <c r="R351" i="2"/>
  <c r="Q351" i="2"/>
  <c r="P351" i="2"/>
  <c r="O351" i="2"/>
  <c r="N351" i="2"/>
  <c r="M351" i="2"/>
  <c r="L351" i="2"/>
  <c r="K351" i="2"/>
  <c r="J351" i="2"/>
  <c r="I351" i="2"/>
  <c r="H351" i="2"/>
  <c r="G351" i="2"/>
  <c r="F351" i="2"/>
  <c r="E351" i="2"/>
  <c r="D351" i="2"/>
  <c r="C351" i="2"/>
  <c r="B351" i="2"/>
  <c r="A351" i="2"/>
  <c r="AX350" i="2"/>
  <c r="AW350" i="2"/>
  <c r="AV350" i="2"/>
  <c r="AU350" i="2"/>
  <c r="AT350" i="2"/>
  <c r="AS350" i="2"/>
  <c r="AR350" i="2"/>
  <c r="AO350" i="2"/>
  <c r="AN350" i="2"/>
  <c r="AM350" i="2"/>
  <c r="AL350" i="2"/>
  <c r="AK350" i="2"/>
  <c r="AJ350" i="2"/>
  <c r="AI350" i="2"/>
  <c r="AH350" i="2"/>
  <c r="AG350" i="2"/>
  <c r="AE350" i="2"/>
  <c r="AD350" i="2"/>
  <c r="AC350" i="2"/>
  <c r="AB350" i="2"/>
  <c r="AA350" i="2"/>
  <c r="Z350" i="2"/>
  <c r="Y350" i="2"/>
  <c r="X350" i="2"/>
  <c r="W350" i="2"/>
  <c r="V350" i="2"/>
  <c r="U350" i="2"/>
  <c r="T350" i="2"/>
  <c r="S350" i="2"/>
  <c r="R350" i="2"/>
  <c r="Q350" i="2"/>
  <c r="P350" i="2"/>
  <c r="O350" i="2"/>
  <c r="N350" i="2"/>
  <c r="M350" i="2"/>
  <c r="L350" i="2"/>
  <c r="K350" i="2"/>
  <c r="J350" i="2"/>
  <c r="I350" i="2"/>
  <c r="H350" i="2"/>
  <c r="G350" i="2"/>
  <c r="F350" i="2"/>
  <c r="E350" i="2"/>
  <c r="D350" i="2"/>
  <c r="C350" i="2"/>
  <c r="B350" i="2"/>
  <c r="A350" i="2"/>
  <c r="AX349" i="2"/>
  <c r="AW349" i="2"/>
  <c r="AV349" i="2"/>
  <c r="AU349" i="2"/>
  <c r="AT349" i="2"/>
  <c r="AS349" i="2"/>
  <c r="AR349" i="2"/>
  <c r="AO349" i="2"/>
  <c r="AN349" i="2"/>
  <c r="AM349" i="2"/>
  <c r="AL349" i="2"/>
  <c r="AK349" i="2"/>
  <c r="AJ349" i="2"/>
  <c r="AI349" i="2"/>
  <c r="AH349" i="2"/>
  <c r="AG349" i="2"/>
  <c r="AE349" i="2"/>
  <c r="AD349" i="2"/>
  <c r="AC349" i="2"/>
  <c r="AB349" i="2"/>
  <c r="AA349" i="2"/>
  <c r="Z349" i="2"/>
  <c r="Y349" i="2"/>
  <c r="X349" i="2"/>
  <c r="W349" i="2"/>
  <c r="V349" i="2"/>
  <c r="U349" i="2"/>
  <c r="T349" i="2"/>
  <c r="S349" i="2"/>
  <c r="R349" i="2"/>
  <c r="Q349" i="2"/>
  <c r="P349" i="2"/>
  <c r="O349" i="2"/>
  <c r="N349" i="2"/>
  <c r="M349" i="2"/>
  <c r="L349" i="2"/>
  <c r="K349" i="2"/>
  <c r="J349" i="2"/>
  <c r="I349" i="2"/>
  <c r="H349" i="2"/>
  <c r="G349" i="2"/>
  <c r="F349" i="2"/>
  <c r="E349" i="2"/>
  <c r="D349" i="2"/>
  <c r="C349" i="2"/>
  <c r="B349" i="2"/>
  <c r="A349" i="2"/>
  <c r="AX348" i="2"/>
  <c r="AW348" i="2"/>
  <c r="AV348" i="2"/>
  <c r="AU348" i="2"/>
  <c r="AT348" i="2"/>
  <c r="AS348" i="2"/>
  <c r="AR348" i="2"/>
  <c r="AO348" i="2"/>
  <c r="AN348" i="2"/>
  <c r="AM348" i="2"/>
  <c r="AL348" i="2"/>
  <c r="AK348" i="2"/>
  <c r="AJ348" i="2"/>
  <c r="AI348" i="2"/>
  <c r="AH348" i="2"/>
  <c r="AG348" i="2"/>
  <c r="AE348" i="2"/>
  <c r="AC348" i="2"/>
  <c r="AA348" i="2"/>
  <c r="Z348" i="2"/>
  <c r="Y348" i="2"/>
  <c r="X348" i="2"/>
  <c r="W348" i="2"/>
  <c r="V348" i="2"/>
  <c r="U348" i="2"/>
  <c r="T348" i="2"/>
  <c r="S348" i="2"/>
  <c r="R348" i="2"/>
  <c r="Q348" i="2"/>
  <c r="P348" i="2"/>
  <c r="O348" i="2"/>
  <c r="N348" i="2"/>
  <c r="M348" i="2"/>
  <c r="L348" i="2"/>
  <c r="K348" i="2"/>
  <c r="J348" i="2"/>
  <c r="I348" i="2"/>
  <c r="H348" i="2"/>
  <c r="G348" i="2"/>
  <c r="F348" i="2"/>
  <c r="E348" i="2"/>
  <c r="D348" i="2"/>
  <c r="C348" i="2"/>
  <c r="B348" i="2"/>
  <c r="A348" i="2"/>
  <c r="AX347" i="2"/>
  <c r="AW347" i="2"/>
  <c r="AV347" i="2"/>
  <c r="AU347" i="2"/>
  <c r="AT347" i="2"/>
  <c r="AS347" i="2"/>
  <c r="AR347" i="2"/>
  <c r="AO347" i="2"/>
  <c r="AN347" i="2"/>
  <c r="AM347" i="2"/>
  <c r="AK347" i="2"/>
  <c r="AJ347" i="2"/>
  <c r="AI347" i="2"/>
  <c r="AH347" i="2"/>
  <c r="AG347" i="2"/>
  <c r="AC347" i="2"/>
  <c r="AA347" i="2"/>
  <c r="Z347" i="2"/>
  <c r="Y347" i="2"/>
  <c r="X347" i="2"/>
  <c r="W347" i="2"/>
  <c r="V347" i="2"/>
  <c r="U347" i="2"/>
  <c r="T347" i="2"/>
  <c r="S347" i="2"/>
  <c r="R347" i="2"/>
  <c r="Q347" i="2"/>
  <c r="P347" i="2"/>
  <c r="O347" i="2"/>
  <c r="N347" i="2"/>
  <c r="M347" i="2"/>
  <c r="L347" i="2"/>
  <c r="K347" i="2"/>
  <c r="J347" i="2"/>
  <c r="I347" i="2"/>
  <c r="H347" i="2"/>
  <c r="G347" i="2"/>
  <c r="F347" i="2"/>
  <c r="E347" i="2"/>
  <c r="D347" i="2"/>
  <c r="C347" i="2"/>
  <c r="B347" i="2"/>
  <c r="A347" i="2"/>
  <c r="AX346" i="2"/>
  <c r="AW346" i="2"/>
  <c r="AV346" i="2"/>
  <c r="AU346" i="2"/>
  <c r="AT346" i="2"/>
  <c r="AS346" i="2"/>
  <c r="AR346" i="2"/>
  <c r="AP346" i="2"/>
  <c r="AO346" i="2"/>
  <c r="AN346" i="2"/>
  <c r="AM346" i="2"/>
  <c r="AL346" i="2"/>
  <c r="AK346" i="2"/>
  <c r="AJ346" i="2"/>
  <c r="AI346" i="2"/>
  <c r="AH346" i="2"/>
  <c r="AG346" i="2"/>
  <c r="AE346" i="2"/>
  <c r="AC346" i="2"/>
  <c r="Z346" i="2"/>
  <c r="Y346" i="2"/>
  <c r="X346" i="2"/>
  <c r="W346" i="2"/>
  <c r="V346" i="2"/>
  <c r="U346" i="2"/>
  <c r="T346" i="2"/>
  <c r="S346" i="2"/>
  <c r="R346" i="2"/>
  <c r="Q346" i="2"/>
  <c r="P346" i="2"/>
  <c r="O346" i="2"/>
  <c r="N346" i="2"/>
  <c r="M346" i="2"/>
  <c r="L346" i="2"/>
  <c r="K346" i="2"/>
  <c r="J346" i="2"/>
  <c r="I346" i="2"/>
  <c r="H346" i="2"/>
  <c r="G346" i="2"/>
  <c r="F346" i="2"/>
  <c r="E346" i="2"/>
  <c r="D346" i="2"/>
  <c r="C346" i="2"/>
  <c r="B346" i="2"/>
  <c r="A346" i="2"/>
  <c r="AX345" i="2"/>
  <c r="AV345" i="2"/>
  <c r="AU345" i="2"/>
  <c r="AS345" i="2"/>
  <c r="AR345" i="2"/>
  <c r="AO345" i="2"/>
  <c r="AN345" i="2"/>
  <c r="AM345" i="2"/>
  <c r="AL345" i="2"/>
  <c r="AK345" i="2"/>
  <c r="AJ345" i="2"/>
  <c r="AI345" i="2"/>
  <c r="AH345" i="2"/>
  <c r="AG345" i="2"/>
  <c r="AE345" i="2"/>
  <c r="AD345" i="2"/>
  <c r="AC345" i="2"/>
  <c r="AA345" i="2"/>
  <c r="Z345" i="2"/>
  <c r="Y345" i="2"/>
  <c r="X345" i="2"/>
  <c r="T345" i="2"/>
  <c r="S345" i="2"/>
  <c r="Q345" i="2"/>
  <c r="P345" i="2"/>
  <c r="O345" i="2"/>
  <c r="N345" i="2"/>
  <c r="M345" i="2"/>
  <c r="L345" i="2"/>
  <c r="K345" i="2"/>
  <c r="J345" i="2"/>
  <c r="I345" i="2"/>
  <c r="H345" i="2"/>
  <c r="G345" i="2"/>
  <c r="F345" i="2"/>
  <c r="E345" i="2"/>
  <c r="D345" i="2"/>
  <c r="C345" i="2"/>
  <c r="B345" i="2"/>
  <c r="A345" i="2"/>
  <c r="AX344" i="2"/>
  <c r="AW344" i="2"/>
  <c r="AV344" i="2"/>
  <c r="AU344" i="2"/>
  <c r="AT344" i="2"/>
  <c r="AS344" i="2"/>
  <c r="AR344" i="2"/>
  <c r="AO344" i="2"/>
  <c r="AN344" i="2"/>
  <c r="AM344" i="2"/>
  <c r="AL344" i="2"/>
  <c r="AK344" i="2"/>
  <c r="AJ344" i="2"/>
  <c r="AI344" i="2"/>
  <c r="AH344" i="2"/>
  <c r="AG344" i="2"/>
  <c r="AF344" i="2"/>
  <c r="AE344" i="2"/>
  <c r="AD344" i="2"/>
  <c r="AC344" i="2"/>
  <c r="AB344" i="2"/>
  <c r="AA344" i="2"/>
  <c r="Z344" i="2"/>
  <c r="Y344" i="2"/>
  <c r="X344" i="2"/>
  <c r="W344" i="2"/>
  <c r="V344" i="2"/>
  <c r="U344" i="2"/>
  <c r="T344" i="2"/>
  <c r="S344" i="2"/>
  <c r="R344" i="2"/>
  <c r="Q344" i="2"/>
  <c r="P344" i="2"/>
  <c r="O344" i="2"/>
  <c r="N344" i="2"/>
  <c r="M344" i="2"/>
  <c r="L344" i="2"/>
  <c r="K344" i="2"/>
  <c r="J344" i="2"/>
  <c r="I344" i="2"/>
  <c r="H344" i="2"/>
  <c r="G344" i="2"/>
  <c r="F344" i="2"/>
  <c r="E344" i="2"/>
  <c r="D344" i="2"/>
  <c r="C344" i="2"/>
  <c r="B344" i="2"/>
  <c r="A344" i="2"/>
  <c r="AX343" i="2"/>
  <c r="AW343" i="2"/>
  <c r="AV343" i="2"/>
  <c r="AU343" i="2"/>
  <c r="AT343" i="2"/>
  <c r="AS343" i="2"/>
  <c r="AR343" i="2"/>
  <c r="AO343" i="2"/>
  <c r="AN343" i="2"/>
  <c r="AM343" i="2"/>
  <c r="AK343" i="2"/>
  <c r="AJ343" i="2"/>
  <c r="AI343" i="2"/>
  <c r="AH343" i="2"/>
  <c r="AG343" i="2"/>
  <c r="AC343" i="2"/>
  <c r="Z343" i="2"/>
  <c r="Y343" i="2"/>
  <c r="X343" i="2"/>
  <c r="W343" i="2"/>
  <c r="V343" i="2"/>
  <c r="U343" i="2"/>
  <c r="T343" i="2"/>
  <c r="S343" i="2"/>
  <c r="R343" i="2"/>
  <c r="Q343" i="2"/>
  <c r="P343" i="2"/>
  <c r="O343" i="2"/>
  <c r="N343" i="2"/>
  <c r="M343" i="2"/>
  <c r="L343" i="2"/>
  <c r="K343" i="2"/>
  <c r="J343" i="2"/>
  <c r="I343" i="2"/>
  <c r="H343" i="2"/>
  <c r="G343" i="2"/>
  <c r="F343" i="2"/>
  <c r="E343" i="2"/>
  <c r="D343" i="2"/>
  <c r="C343" i="2"/>
  <c r="B343" i="2"/>
  <c r="A343" i="2"/>
  <c r="AX342" i="2"/>
  <c r="AV342" i="2"/>
  <c r="AU342" i="2"/>
  <c r="AT342" i="2"/>
  <c r="AS342" i="2"/>
  <c r="AR342" i="2"/>
  <c r="AO342" i="2"/>
  <c r="AN342" i="2"/>
  <c r="AM342" i="2"/>
  <c r="AK342" i="2"/>
  <c r="AJ342" i="2"/>
  <c r="AI342" i="2"/>
  <c r="AH342" i="2"/>
  <c r="AG342" i="2"/>
  <c r="AC342" i="2"/>
  <c r="AA342" i="2"/>
  <c r="Z342" i="2"/>
  <c r="Y342" i="2"/>
  <c r="X342" i="2"/>
  <c r="W342" i="2"/>
  <c r="V342" i="2"/>
  <c r="U342" i="2"/>
  <c r="T342" i="2"/>
  <c r="S342" i="2"/>
  <c r="R342" i="2"/>
  <c r="Q342" i="2"/>
  <c r="P342" i="2"/>
  <c r="O342" i="2"/>
  <c r="N342" i="2"/>
  <c r="M342" i="2"/>
  <c r="L342" i="2"/>
  <c r="K342" i="2"/>
  <c r="J342" i="2"/>
  <c r="I342" i="2"/>
  <c r="H342" i="2"/>
  <c r="G342" i="2"/>
  <c r="F342" i="2"/>
  <c r="E342" i="2"/>
  <c r="D342" i="2"/>
  <c r="C342" i="2"/>
  <c r="B342" i="2"/>
  <c r="A342" i="2"/>
  <c r="AX341" i="2"/>
  <c r="AW341" i="2"/>
  <c r="AV341" i="2"/>
  <c r="AU341" i="2"/>
  <c r="AT341" i="2"/>
  <c r="AS341" i="2"/>
  <c r="AR341" i="2"/>
  <c r="AO341" i="2"/>
  <c r="AN341" i="2"/>
  <c r="AM341" i="2"/>
  <c r="AK341" i="2"/>
  <c r="AJ341" i="2"/>
  <c r="AI341" i="2"/>
  <c r="AH341" i="2"/>
  <c r="AG341" i="2"/>
  <c r="AD341" i="2"/>
  <c r="AC341" i="2"/>
  <c r="AB341" i="2"/>
  <c r="AA341" i="2"/>
  <c r="Z341" i="2"/>
  <c r="Y341" i="2"/>
  <c r="X341" i="2"/>
  <c r="W341" i="2"/>
  <c r="V341" i="2"/>
  <c r="U341" i="2"/>
  <c r="T341" i="2"/>
  <c r="S341" i="2"/>
  <c r="R341" i="2"/>
  <c r="Q341" i="2"/>
  <c r="P341" i="2"/>
  <c r="O341" i="2"/>
  <c r="N341" i="2"/>
  <c r="M341" i="2"/>
  <c r="L341" i="2"/>
  <c r="K341" i="2"/>
  <c r="J341" i="2"/>
  <c r="I341" i="2"/>
  <c r="H341" i="2"/>
  <c r="G341" i="2"/>
  <c r="F341" i="2"/>
  <c r="E341" i="2"/>
  <c r="D341" i="2"/>
  <c r="C341" i="2"/>
  <c r="B341" i="2"/>
  <c r="A341" i="2"/>
  <c r="AX340" i="2"/>
  <c r="AW340" i="2"/>
  <c r="AV340" i="2"/>
  <c r="AU340" i="2"/>
  <c r="AT340" i="2"/>
  <c r="AS340" i="2"/>
  <c r="AR340" i="2"/>
  <c r="AO340" i="2"/>
  <c r="AN340" i="2"/>
  <c r="AM340" i="2"/>
  <c r="AL340" i="2"/>
  <c r="AK340" i="2"/>
  <c r="AJ340" i="2"/>
  <c r="AI340" i="2"/>
  <c r="AH340" i="2"/>
  <c r="AG340" i="2"/>
  <c r="AE340" i="2"/>
  <c r="AD340" i="2"/>
  <c r="AC340" i="2"/>
  <c r="AB340" i="2"/>
  <c r="AA340" i="2"/>
  <c r="Z340" i="2"/>
  <c r="Y340" i="2"/>
  <c r="X340" i="2"/>
  <c r="W340" i="2"/>
  <c r="V340" i="2"/>
  <c r="U340" i="2"/>
  <c r="T340" i="2"/>
  <c r="S340" i="2"/>
  <c r="R340" i="2"/>
  <c r="Q340" i="2"/>
  <c r="P340" i="2"/>
  <c r="O340" i="2"/>
  <c r="N340" i="2"/>
  <c r="M340" i="2"/>
  <c r="L340" i="2"/>
  <c r="K340" i="2"/>
  <c r="J340" i="2"/>
  <c r="I340" i="2"/>
  <c r="H340" i="2"/>
  <c r="G340" i="2"/>
  <c r="F340" i="2"/>
  <c r="E340" i="2"/>
  <c r="D340" i="2"/>
  <c r="C340" i="2"/>
  <c r="B340" i="2"/>
  <c r="A340" i="2"/>
  <c r="AX339" i="2"/>
  <c r="AW339" i="2"/>
  <c r="AV339" i="2"/>
  <c r="AU339" i="2"/>
  <c r="AT339" i="2"/>
  <c r="AS339" i="2"/>
  <c r="AR339" i="2"/>
  <c r="AO339" i="2"/>
  <c r="AN339" i="2"/>
  <c r="AM339" i="2"/>
  <c r="AL339" i="2"/>
  <c r="AK339" i="2"/>
  <c r="AJ339" i="2"/>
  <c r="AI339" i="2"/>
  <c r="AH339" i="2"/>
  <c r="AG339" i="2"/>
  <c r="AE339" i="2"/>
  <c r="AD339" i="2"/>
  <c r="AC339" i="2"/>
  <c r="AB339" i="2"/>
  <c r="Z339" i="2"/>
  <c r="Y339" i="2"/>
  <c r="X339" i="2"/>
  <c r="W339" i="2"/>
  <c r="V339" i="2"/>
  <c r="U339" i="2"/>
  <c r="T339" i="2"/>
  <c r="S339" i="2"/>
  <c r="R339" i="2"/>
  <c r="Q339" i="2"/>
  <c r="P339" i="2"/>
  <c r="O339" i="2"/>
  <c r="N339" i="2"/>
  <c r="M339" i="2"/>
  <c r="L339" i="2"/>
  <c r="K339" i="2"/>
  <c r="J339" i="2"/>
  <c r="I339" i="2"/>
  <c r="H339" i="2"/>
  <c r="G339" i="2"/>
  <c r="F339" i="2"/>
  <c r="E339" i="2"/>
  <c r="D339" i="2"/>
  <c r="C339" i="2"/>
  <c r="B339" i="2"/>
  <c r="A339" i="2"/>
  <c r="AX338" i="2"/>
  <c r="AV338" i="2"/>
  <c r="AU338" i="2"/>
  <c r="AT338" i="2"/>
  <c r="AS338" i="2"/>
  <c r="AR338" i="2"/>
  <c r="AO338" i="2"/>
  <c r="AN338" i="2"/>
  <c r="AM338" i="2"/>
  <c r="AL338" i="2"/>
  <c r="AK338" i="2"/>
  <c r="AJ338" i="2"/>
  <c r="AI338" i="2"/>
  <c r="AH338" i="2"/>
  <c r="AG338" i="2"/>
  <c r="AE338" i="2"/>
  <c r="AD338" i="2"/>
  <c r="AC338" i="2"/>
  <c r="AB338" i="2"/>
  <c r="AA338" i="2"/>
  <c r="Z338" i="2"/>
  <c r="Y338" i="2"/>
  <c r="X338" i="2"/>
  <c r="W338" i="2"/>
  <c r="V338" i="2"/>
  <c r="U338" i="2"/>
  <c r="T338" i="2"/>
  <c r="S338" i="2"/>
  <c r="Q338" i="2"/>
  <c r="P338" i="2"/>
  <c r="O338" i="2"/>
  <c r="N338" i="2"/>
  <c r="M338" i="2"/>
  <c r="L338" i="2"/>
  <c r="K338" i="2"/>
  <c r="J338" i="2"/>
  <c r="I338" i="2"/>
  <c r="H338" i="2"/>
  <c r="G338" i="2"/>
  <c r="F338" i="2"/>
  <c r="E338" i="2"/>
  <c r="D338" i="2"/>
  <c r="C338" i="2"/>
  <c r="B338" i="2"/>
  <c r="A338" i="2"/>
  <c r="AX337" i="2"/>
  <c r="AW337" i="2"/>
  <c r="AV337" i="2"/>
  <c r="AU337" i="2"/>
  <c r="AT337" i="2"/>
  <c r="AS337" i="2"/>
  <c r="AR337" i="2"/>
  <c r="AO337" i="2"/>
  <c r="AN337" i="2"/>
  <c r="AM337" i="2"/>
  <c r="AL337" i="2"/>
  <c r="AK337" i="2"/>
  <c r="AJ337" i="2"/>
  <c r="AI337" i="2"/>
  <c r="AH337" i="2"/>
  <c r="AG337" i="2"/>
  <c r="AE337" i="2"/>
  <c r="AD337" i="2"/>
  <c r="AC337" i="2"/>
  <c r="AB337" i="2"/>
  <c r="Z337" i="2"/>
  <c r="Y337" i="2"/>
  <c r="X337" i="2"/>
  <c r="W337" i="2"/>
  <c r="V337" i="2"/>
  <c r="U337" i="2"/>
  <c r="T337" i="2"/>
  <c r="S337" i="2"/>
  <c r="R337" i="2"/>
  <c r="Q337" i="2"/>
  <c r="P337" i="2"/>
  <c r="O337" i="2"/>
  <c r="N337" i="2"/>
  <c r="M337" i="2"/>
  <c r="L337" i="2"/>
  <c r="K337" i="2"/>
  <c r="J337" i="2"/>
  <c r="I337" i="2"/>
  <c r="H337" i="2"/>
  <c r="G337" i="2"/>
  <c r="F337" i="2"/>
  <c r="E337" i="2"/>
  <c r="D337" i="2"/>
  <c r="C337" i="2"/>
  <c r="B337" i="2"/>
  <c r="A337" i="2"/>
  <c r="AX336" i="2"/>
  <c r="AW336" i="2"/>
  <c r="AV336" i="2"/>
  <c r="AU336" i="2"/>
  <c r="AT336" i="2"/>
  <c r="AR336" i="2"/>
  <c r="AO336" i="2"/>
  <c r="AN336" i="2"/>
  <c r="AM336" i="2"/>
  <c r="AK336" i="2"/>
  <c r="AJ336" i="2"/>
  <c r="AI336" i="2"/>
  <c r="AH336" i="2"/>
  <c r="AG336" i="2"/>
  <c r="AE336" i="2"/>
  <c r="AD336" i="2"/>
  <c r="AC336" i="2"/>
  <c r="Z336" i="2"/>
  <c r="Y336" i="2"/>
  <c r="X336" i="2"/>
  <c r="W336" i="2"/>
  <c r="V336" i="2"/>
  <c r="U336" i="2"/>
  <c r="T336" i="2"/>
  <c r="S336" i="2"/>
  <c r="R336" i="2"/>
  <c r="Q336" i="2"/>
  <c r="P336" i="2"/>
  <c r="O336" i="2"/>
  <c r="N336" i="2"/>
  <c r="M336" i="2"/>
  <c r="L336" i="2"/>
  <c r="K336" i="2"/>
  <c r="J336" i="2"/>
  <c r="I336" i="2"/>
  <c r="H336" i="2"/>
  <c r="G336" i="2"/>
  <c r="F336" i="2"/>
  <c r="E336" i="2"/>
  <c r="D336" i="2"/>
  <c r="C336" i="2"/>
  <c r="B336" i="2"/>
  <c r="A336" i="2"/>
  <c r="AX335" i="2"/>
  <c r="AW335" i="2"/>
  <c r="AV335" i="2"/>
  <c r="AU335" i="2"/>
  <c r="AT335" i="2"/>
  <c r="AS335" i="2"/>
  <c r="AR335" i="2"/>
  <c r="AO335" i="2"/>
  <c r="AN335" i="2"/>
  <c r="AM335" i="2"/>
  <c r="AL335" i="2"/>
  <c r="AK335" i="2"/>
  <c r="AJ335" i="2"/>
  <c r="AI335" i="2"/>
  <c r="AH335" i="2"/>
  <c r="AG335" i="2"/>
  <c r="AE335" i="2"/>
  <c r="AD335" i="2"/>
  <c r="AC335" i="2"/>
  <c r="AA335" i="2"/>
  <c r="Z335" i="2"/>
  <c r="Y335" i="2"/>
  <c r="X335" i="2"/>
  <c r="W335" i="2"/>
  <c r="V335" i="2"/>
  <c r="U335" i="2"/>
  <c r="T335" i="2"/>
  <c r="S335" i="2"/>
  <c r="R335" i="2"/>
  <c r="Q335" i="2"/>
  <c r="P335" i="2"/>
  <c r="O335" i="2"/>
  <c r="N335" i="2"/>
  <c r="M335" i="2"/>
  <c r="L335" i="2"/>
  <c r="K335" i="2"/>
  <c r="J335" i="2"/>
  <c r="I335" i="2"/>
  <c r="H335" i="2"/>
  <c r="G335" i="2"/>
  <c r="F335" i="2"/>
  <c r="E335" i="2"/>
  <c r="D335" i="2"/>
  <c r="C335" i="2"/>
  <c r="B335" i="2"/>
  <c r="A335" i="2"/>
  <c r="AX334" i="2"/>
  <c r="AW334" i="2"/>
  <c r="AV334" i="2"/>
  <c r="AU334" i="2"/>
  <c r="AT334" i="2"/>
  <c r="AR334" i="2"/>
  <c r="AO334" i="2"/>
  <c r="AN334" i="2"/>
  <c r="AM334" i="2"/>
  <c r="AK334" i="2"/>
  <c r="AJ334" i="2"/>
  <c r="AI334" i="2"/>
  <c r="AH334" i="2"/>
  <c r="AG334" i="2"/>
  <c r="AC334" i="2"/>
  <c r="Z334" i="2"/>
  <c r="Y334" i="2"/>
  <c r="X334" i="2"/>
  <c r="W334" i="2"/>
  <c r="V334" i="2"/>
  <c r="U334" i="2"/>
  <c r="T334" i="2"/>
  <c r="S334" i="2"/>
  <c r="R334" i="2"/>
  <c r="Q334" i="2"/>
  <c r="P334" i="2"/>
  <c r="O334" i="2"/>
  <c r="N334" i="2"/>
  <c r="M334" i="2"/>
  <c r="L334" i="2"/>
  <c r="K334" i="2"/>
  <c r="J334" i="2"/>
  <c r="I334" i="2"/>
  <c r="H334" i="2"/>
  <c r="G334" i="2"/>
  <c r="F334" i="2"/>
  <c r="E334" i="2"/>
  <c r="D334" i="2"/>
  <c r="C334" i="2"/>
  <c r="B334" i="2"/>
  <c r="A334" i="2"/>
  <c r="AX333" i="2"/>
  <c r="AW333" i="2"/>
  <c r="AV333" i="2"/>
  <c r="AU333" i="2"/>
  <c r="AT333" i="2"/>
  <c r="AS333" i="2"/>
  <c r="AR333" i="2"/>
  <c r="AO333" i="2"/>
  <c r="AN333" i="2"/>
  <c r="AM333" i="2"/>
  <c r="AK333" i="2"/>
  <c r="AJ333" i="2"/>
  <c r="AI333" i="2"/>
  <c r="AH333" i="2"/>
  <c r="AG333" i="2"/>
  <c r="AD333" i="2"/>
  <c r="AC333" i="2"/>
  <c r="AB333" i="2"/>
  <c r="AA333" i="2"/>
  <c r="Z333" i="2"/>
  <c r="Y333" i="2"/>
  <c r="X333" i="2"/>
  <c r="W333" i="2"/>
  <c r="V333" i="2"/>
  <c r="U333" i="2"/>
  <c r="T333" i="2"/>
  <c r="S333" i="2"/>
  <c r="R333" i="2"/>
  <c r="Q333" i="2"/>
  <c r="P333" i="2"/>
  <c r="O333" i="2"/>
  <c r="N333" i="2"/>
  <c r="M333" i="2"/>
  <c r="L333" i="2"/>
  <c r="K333" i="2"/>
  <c r="J333" i="2"/>
  <c r="I333" i="2"/>
  <c r="H333" i="2"/>
  <c r="G333" i="2"/>
  <c r="F333" i="2"/>
  <c r="E333" i="2"/>
  <c r="D333" i="2"/>
  <c r="C333" i="2"/>
  <c r="B333" i="2"/>
  <c r="A333" i="2"/>
  <c r="AX332" i="2"/>
  <c r="AW332" i="2"/>
  <c r="AV332" i="2"/>
  <c r="AU332" i="2"/>
  <c r="AT332" i="2"/>
  <c r="AS332" i="2"/>
  <c r="AR332" i="2"/>
  <c r="AO332" i="2"/>
  <c r="AN332" i="2"/>
  <c r="AM332" i="2"/>
  <c r="AL332" i="2"/>
  <c r="AK332" i="2"/>
  <c r="AJ332" i="2"/>
  <c r="AI332" i="2"/>
  <c r="AH332" i="2"/>
  <c r="AG332" i="2"/>
  <c r="AE332" i="2"/>
  <c r="AD332" i="2"/>
  <c r="AC332" i="2"/>
  <c r="AB332" i="2"/>
  <c r="AA332" i="2"/>
  <c r="Z332" i="2"/>
  <c r="Y332" i="2"/>
  <c r="X332" i="2"/>
  <c r="W332" i="2"/>
  <c r="V332" i="2"/>
  <c r="U332" i="2"/>
  <c r="T332" i="2"/>
  <c r="S332" i="2"/>
  <c r="R332" i="2"/>
  <c r="Q332" i="2"/>
  <c r="P332" i="2"/>
  <c r="O332" i="2"/>
  <c r="N332" i="2"/>
  <c r="M332" i="2"/>
  <c r="L332" i="2"/>
  <c r="K332" i="2"/>
  <c r="J332" i="2"/>
  <c r="I332" i="2"/>
  <c r="H332" i="2"/>
  <c r="G332" i="2"/>
  <c r="F332" i="2"/>
  <c r="E332" i="2"/>
  <c r="D332" i="2"/>
  <c r="C332" i="2"/>
  <c r="B332" i="2"/>
  <c r="A332" i="2"/>
  <c r="AX331" i="2"/>
  <c r="AW331" i="2"/>
  <c r="AV331" i="2"/>
  <c r="AU331" i="2"/>
  <c r="AT331" i="2"/>
  <c r="AS331" i="2"/>
  <c r="AR331" i="2"/>
  <c r="AO331" i="2"/>
  <c r="AN331" i="2"/>
  <c r="AM331" i="2"/>
  <c r="AL331" i="2"/>
  <c r="AK331" i="2"/>
  <c r="AJ331" i="2"/>
  <c r="AI331" i="2"/>
  <c r="AH331" i="2"/>
  <c r="AG331" i="2"/>
  <c r="AE331" i="2"/>
  <c r="AD331" i="2"/>
  <c r="AC331" i="2"/>
  <c r="AB331" i="2"/>
  <c r="AA331" i="2"/>
  <c r="Z331" i="2"/>
  <c r="Y331" i="2"/>
  <c r="X331" i="2"/>
  <c r="V331" i="2"/>
  <c r="U331" i="2"/>
  <c r="T331" i="2"/>
  <c r="S331" i="2"/>
  <c r="R331" i="2"/>
  <c r="Q331" i="2"/>
  <c r="P331" i="2"/>
  <c r="O331" i="2"/>
  <c r="N331" i="2"/>
  <c r="M331" i="2"/>
  <c r="L331" i="2"/>
  <c r="K331" i="2"/>
  <c r="J331" i="2"/>
  <c r="I331" i="2"/>
  <c r="H331" i="2"/>
  <c r="G331" i="2"/>
  <c r="F331" i="2"/>
  <c r="E331" i="2"/>
  <c r="D331" i="2"/>
  <c r="C331" i="2"/>
  <c r="B331" i="2"/>
  <c r="A331" i="2"/>
  <c r="Q330" i="2"/>
  <c r="M330" i="2"/>
  <c r="L330" i="2"/>
  <c r="K330" i="2"/>
  <c r="J330" i="2"/>
  <c r="I330" i="2"/>
  <c r="H330" i="2"/>
  <c r="G330" i="2"/>
  <c r="F330" i="2"/>
  <c r="E330" i="2"/>
  <c r="D330" i="2"/>
  <c r="C330" i="2"/>
  <c r="B330" i="2"/>
  <c r="A330" i="2"/>
  <c r="AX329" i="2"/>
  <c r="AW329" i="2"/>
  <c r="AV329" i="2"/>
  <c r="AU329" i="2"/>
  <c r="AT329" i="2"/>
  <c r="AS329" i="2"/>
  <c r="AR329" i="2"/>
  <c r="AO329" i="2"/>
  <c r="AN329" i="2"/>
  <c r="AM329" i="2"/>
  <c r="AJ329" i="2"/>
  <c r="AI329" i="2"/>
  <c r="AH329" i="2"/>
  <c r="AG329" i="2"/>
  <c r="AE329" i="2"/>
  <c r="AD329" i="2"/>
  <c r="AC329" i="2"/>
  <c r="Z329" i="2"/>
  <c r="Y329" i="2"/>
  <c r="X329" i="2"/>
  <c r="W329" i="2"/>
  <c r="V329" i="2"/>
  <c r="U329" i="2"/>
  <c r="T329" i="2"/>
  <c r="S329" i="2"/>
  <c r="R329" i="2"/>
  <c r="Q329" i="2"/>
  <c r="P329" i="2"/>
  <c r="O329" i="2"/>
  <c r="N329" i="2"/>
  <c r="M329" i="2"/>
  <c r="L329" i="2"/>
  <c r="K329" i="2"/>
  <c r="J329" i="2"/>
  <c r="I329" i="2"/>
  <c r="H329" i="2"/>
  <c r="G329" i="2"/>
  <c r="F329" i="2"/>
  <c r="E329" i="2"/>
  <c r="D329" i="2"/>
  <c r="C329" i="2"/>
  <c r="B329" i="2"/>
  <c r="A329" i="2"/>
  <c r="AX328" i="2"/>
  <c r="AW328" i="2"/>
  <c r="AV328" i="2"/>
  <c r="AU328" i="2"/>
  <c r="AT328" i="2"/>
  <c r="AS328" i="2"/>
  <c r="AR328" i="2"/>
  <c r="AO328" i="2"/>
  <c r="AN328" i="2"/>
  <c r="AM328" i="2"/>
  <c r="AJ328" i="2"/>
  <c r="AI328" i="2"/>
  <c r="AH328" i="2"/>
  <c r="AG328" i="2"/>
  <c r="AC328" i="2"/>
  <c r="Z328" i="2"/>
  <c r="Y328" i="2"/>
  <c r="X328" i="2"/>
  <c r="W328" i="2"/>
  <c r="V328" i="2"/>
  <c r="U328" i="2"/>
  <c r="T328" i="2"/>
  <c r="S328" i="2"/>
  <c r="R328" i="2"/>
  <c r="Q328" i="2"/>
  <c r="P328" i="2"/>
  <c r="O328" i="2"/>
  <c r="N328" i="2"/>
  <c r="M328" i="2"/>
  <c r="L328" i="2"/>
  <c r="K328" i="2"/>
  <c r="J328" i="2"/>
  <c r="I328" i="2"/>
  <c r="H328" i="2"/>
  <c r="G328" i="2"/>
  <c r="F328" i="2"/>
  <c r="E328" i="2"/>
  <c r="D328" i="2"/>
  <c r="C328" i="2"/>
  <c r="B328" i="2"/>
  <c r="A328" i="2"/>
  <c r="AX327" i="2"/>
  <c r="AW327" i="2"/>
  <c r="AV327" i="2"/>
  <c r="AU327" i="2"/>
  <c r="AT327" i="2"/>
  <c r="AS327" i="2"/>
  <c r="AR327" i="2"/>
  <c r="AO327" i="2"/>
  <c r="AN327" i="2"/>
  <c r="AM327" i="2"/>
  <c r="AL327" i="2"/>
  <c r="AK327" i="2"/>
  <c r="AJ327" i="2"/>
  <c r="AI327" i="2"/>
  <c r="AH327" i="2"/>
  <c r="AG327" i="2"/>
  <c r="AE327" i="2"/>
  <c r="AD327" i="2"/>
  <c r="AC327" i="2"/>
  <c r="AB327" i="2"/>
  <c r="AA327" i="2"/>
  <c r="Z327" i="2"/>
  <c r="Y327" i="2"/>
  <c r="X327" i="2"/>
  <c r="W327" i="2"/>
  <c r="V327" i="2"/>
  <c r="U327" i="2"/>
  <c r="T327" i="2"/>
  <c r="S327" i="2"/>
  <c r="R327" i="2"/>
  <c r="Q327" i="2"/>
  <c r="P327" i="2"/>
  <c r="O327" i="2"/>
  <c r="N327" i="2"/>
  <c r="M327" i="2"/>
  <c r="L327" i="2"/>
  <c r="K327" i="2"/>
  <c r="J327" i="2"/>
  <c r="I327" i="2"/>
  <c r="H327" i="2"/>
  <c r="G327" i="2"/>
  <c r="F327" i="2"/>
  <c r="E327" i="2"/>
  <c r="D327" i="2"/>
  <c r="C327" i="2"/>
  <c r="B327" i="2"/>
  <c r="A327" i="2"/>
  <c r="AX326" i="2"/>
  <c r="AV326" i="2"/>
  <c r="AU326" i="2"/>
  <c r="AT326" i="2"/>
  <c r="AS326" i="2"/>
  <c r="AR326" i="2"/>
  <c r="AO326" i="2"/>
  <c r="AN326" i="2"/>
  <c r="AM326" i="2"/>
  <c r="AL326" i="2"/>
  <c r="AK326" i="2"/>
  <c r="AJ326" i="2"/>
  <c r="AI326" i="2"/>
  <c r="AH326" i="2"/>
  <c r="AG326" i="2"/>
  <c r="AF326" i="2"/>
  <c r="AE326" i="2"/>
  <c r="AD326" i="2"/>
  <c r="AC326" i="2"/>
  <c r="AB326" i="2"/>
  <c r="AA326" i="2"/>
  <c r="Z326" i="2"/>
  <c r="Y326" i="2"/>
  <c r="X326" i="2"/>
  <c r="W326" i="2"/>
  <c r="V326" i="2"/>
  <c r="U326" i="2"/>
  <c r="T326" i="2"/>
  <c r="S326" i="2"/>
  <c r="R326" i="2"/>
  <c r="Q326" i="2"/>
  <c r="P326" i="2"/>
  <c r="O326" i="2"/>
  <c r="N326" i="2"/>
  <c r="M326" i="2"/>
  <c r="L326" i="2"/>
  <c r="K326" i="2"/>
  <c r="J326" i="2"/>
  <c r="I326" i="2"/>
  <c r="H326" i="2"/>
  <c r="G326" i="2"/>
  <c r="F326" i="2"/>
  <c r="E326" i="2"/>
  <c r="D326" i="2"/>
  <c r="C326" i="2"/>
  <c r="B326" i="2"/>
  <c r="A326" i="2"/>
  <c r="AX325" i="2"/>
  <c r="AW325" i="2"/>
  <c r="AV325" i="2"/>
  <c r="AU325" i="2"/>
  <c r="AT325" i="2"/>
  <c r="AS325" i="2"/>
  <c r="AR325" i="2"/>
  <c r="AO325" i="2"/>
  <c r="AN325" i="2"/>
  <c r="AM325" i="2"/>
  <c r="AJ325" i="2"/>
  <c r="AI325" i="2"/>
  <c r="AH325" i="2"/>
  <c r="AG325" i="2"/>
  <c r="AC325" i="2"/>
  <c r="Z325" i="2"/>
  <c r="Y325" i="2"/>
  <c r="X325" i="2"/>
  <c r="W325" i="2"/>
  <c r="V325" i="2"/>
  <c r="U325" i="2"/>
  <c r="T325" i="2"/>
  <c r="S325" i="2"/>
  <c r="R325" i="2"/>
  <c r="Q325" i="2"/>
  <c r="P325" i="2"/>
  <c r="O325" i="2"/>
  <c r="N325" i="2"/>
  <c r="M325" i="2"/>
  <c r="L325" i="2"/>
  <c r="K325" i="2"/>
  <c r="J325" i="2"/>
  <c r="I325" i="2"/>
  <c r="H325" i="2"/>
  <c r="G325" i="2"/>
  <c r="F325" i="2"/>
  <c r="E325" i="2"/>
  <c r="D325" i="2"/>
  <c r="C325" i="2"/>
  <c r="B325" i="2"/>
  <c r="A325" i="2"/>
  <c r="AX324" i="2"/>
  <c r="AW324" i="2"/>
  <c r="AV324" i="2"/>
  <c r="AU324" i="2"/>
  <c r="AT324" i="2"/>
  <c r="AS324" i="2"/>
  <c r="AR324" i="2"/>
  <c r="AO324" i="2"/>
  <c r="AN324" i="2"/>
  <c r="AM324" i="2"/>
  <c r="AL324" i="2"/>
  <c r="AK324" i="2"/>
  <c r="AJ324" i="2"/>
  <c r="AI324" i="2"/>
  <c r="AH324" i="2"/>
  <c r="AG324" i="2"/>
  <c r="AE324" i="2"/>
  <c r="AD324" i="2"/>
  <c r="AC324" i="2"/>
  <c r="AA324" i="2"/>
  <c r="Z324" i="2"/>
  <c r="Y324" i="2"/>
  <c r="X324" i="2"/>
  <c r="W324" i="2"/>
  <c r="V324" i="2"/>
  <c r="U324" i="2"/>
  <c r="T324" i="2"/>
  <c r="S324" i="2"/>
  <c r="R324" i="2"/>
  <c r="Q324" i="2"/>
  <c r="P324" i="2"/>
  <c r="O324" i="2"/>
  <c r="N324" i="2"/>
  <c r="M324" i="2"/>
  <c r="L324" i="2"/>
  <c r="K324" i="2"/>
  <c r="J324" i="2"/>
  <c r="I324" i="2"/>
  <c r="H324" i="2"/>
  <c r="G324" i="2"/>
  <c r="F324" i="2"/>
  <c r="E324" i="2"/>
  <c r="D324" i="2"/>
  <c r="C324" i="2"/>
  <c r="B324" i="2"/>
  <c r="A324" i="2"/>
  <c r="AX323" i="2"/>
  <c r="AW323" i="2"/>
  <c r="AV323" i="2"/>
  <c r="AU323" i="2"/>
  <c r="AT323" i="2"/>
  <c r="AS323" i="2"/>
  <c r="AR323" i="2"/>
  <c r="AP323" i="2"/>
  <c r="AO323" i="2"/>
  <c r="AN323" i="2"/>
  <c r="AM323" i="2"/>
  <c r="AL323" i="2"/>
  <c r="AK323" i="2"/>
  <c r="AJ323" i="2"/>
  <c r="AI323" i="2"/>
  <c r="AH323" i="2"/>
  <c r="AG323" i="2"/>
  <c r="AE323" i="2"/>
  <c r="AD323" i="2"/>
  <c r="AC323" i="2"/>
  <c r="AB323" i="2"/>
  <c r="AA323" i="2"/>
  <c r="Z323" i="2"/>
  <c r="Y323" i="2"/>
  <c r="X323" i="2"/>
  <c r="W323" i="2"/>
  <c r="V323" i="2"/>
  <c r="U323" i="2"/>
  <c r="T323" i="2"/>
  <c r="S323" i="2"/>
  <c r="R323" i="2"/>
  <c r="Q323" i="2"/>
  <c r="P323" i="2"/>
  <c r="O323" i="2"/>
  <c r="N323" i="2"/>
  <c r="M323" i="2"/>
  <c r="L323" i="2"/>
  <c r="K323" i="2"/>
  <c r="J323" i="2"/>
  <c r="I323" i="2"/>
  <c r="H323" i="2"/>
  <c r="G323" i="2"/>
  <c r="F323" i="2"/>
  <c r="E323" i="2"/>
  <c r="D323" i="2"/>
  <c r="C323" i="2"/>
  <c r="B323" i="2"/>
  <c r="A323" i="2"/>
  <c r="AX322" i="2"/>
  <c r="AW322" i="2"/>
  <c r="AV322" i="2"/>
  <c r="AU322" i="2"/>
  <c r="AT322" i="2"/>
  <c r="AS322" i="2"/>
  <c r="AR322" i="2"/>
  <c r="AO322" i="2"/>
  <c r="AN322" i="2"/>
  <c r="AM322" i="2"/>
  <c r="AL322" i="2"/>
  <c r="AK322" i="2"/>
  <c r="AJ322" i="2"/>
  <c r="AI322" i="2"/>
  <c r="AH322" i="2"/>
  <c r="AG322" i="2"/>
  <c r="AE322" i="2"/>
  <c r="AD322" i="2"/>
  <c r="AC322" i="2"/>
  <c r="AB322" i="2"/>
  <c r="Z322" i="2"/>
  <c r="Y322" i="2"/>
  <c r="X322" i="2"/>
  <c r="W322" i="2"/>
  <c r="V322" i="2"/>
  <c r="U322" i="2"/>
  <c r="T322" i="2"/>
  <c r="S322" i="2"/>
  <c r="R322" i="2"/>
  <c r="Q322" i="2"/>
  <c r="P322" i="2"/>
  <c r="O322" i="2"/>
  <c r="N322" i="2"/>
  <c r="M322" i="2"/>
  <c r="L322" i="2"/>
  <c r="K322" i="2"/>
  <c r="J322" i="2"/>
  <c r="I322" i="2"/>
  <c r="H322" i="2"/>
  <c r="G322" i="2"/>
  <c r="F322" i="2"/>
  <c r="E322" i="2"/>
  <c r="D322" i="2"/>
  <c r="C322" i="2"/>
  <c r="B322" i="2"/>
  <c r="A322" i="2"/>
  <c r="AX321" i="2"/>
  <c r="AW321" i="2"/>
  <c r="AV321" i="2"/>
  <c r="AU321" i="2"/>
  <c r="AT321" i="2"/>
  <c r="AS321" i="2"/>
  <c r="AR321" i="2"/>
  <c r="AO321" i="2"/>
  <c r="AN321" i="2"/>
  <c r="AM321" i="2"/>
  <c r="AK321" i="2"/>
  <c r="AJ321" i="2"/>
  <c r="AI321" i="2"/>
  <c r="AH321" i="2"/>
  <c r="AG321" i="2"/>
  <c r="AE321" i="2"/>
  <c r="AD321" i="2"/>
  <c r="AC321" i="2"/>
  <c r="AB321" i="2"/>
  <c r="AA321" i="2"/>
  <c r="Z321" i="2"/>
  <c r="Y321" i="2"/>
  <c r="X321" i="2"/>
  <c r="W321" i="2"/>
  <c r="V321" i="2"/>
  <c r="U321" i="2"/>
  <c r="T321" i="2"/>
  <c r="S321" i="2"/>
  <c r="R321" i="2"/>
  <c r="Q321" i="2"/>
  <c r="P321" i="2"/>
  <c r="O321" i="2"/>
  <c r="N321" i="2"/>
  <c r="M321" i="2"/>
  <c r="L321" i="2"/>
  <c r="K321" i="2"/>
  <c r="J321" i="2"/>
  <c r="I321" i="2"/>
  <c r="H321" i="2"/>
  <c r="G321" i="2"/>
  <c r="F321" i="2"/>
  <c r="E321" i="2"/>
  <c r="D321" i="2"/>
  <c r="C321" i="2"/>
  <c r="B321" i="2"/>
  <c r="A321" i="2"/>
  <c r="AX320" i="2"/>
  <c r="AW320" i="2"/>
  <c r="AV320" i="2"/>
  <c r="AU320" i="2"/>
  <c r="AT320" i="2"/>
  <c r="AR320" i="2"/>
  <c r="AO320" i="2"/>
  <c r="AN320" i="2"/>
  <c r="AM320" i="2"/>
  <c r="AL320" i="2"/>
  <c r="AK320" i="2"/>
  <c r="AJ320" i="2"/>
  <c r="AI320" i="2"/>
  <c r="AH320" i="2"/>
  <c r="AG320" i="2"/>
  <c r="AE320" i="2"/>
  <c r="AD320" i="2"/>
  <c r="AC320" i="2"/>
  <c r="AB320" i="2"/>
  <c r="AA320" i="2"/>
  <c r="Z320" i="2"/>
  <c r="Y320" i="2"/>
  <c r="X320" i="2"/>
  <c r="W320" i="2"/>
  <c r="V320" i="2"/>
  <c r="U320" i="2"/>
  <c r="T320" i="2"/>
  <c r="S320" i="2"/>
  <c r="R320" i="2"/>
  <c r="Q320" i="2"/>
  <c r="P320" i="2"/>
  <c r="O320" i="2"/>
  <c r="N320" i="2"/>
  <c r="M320" i="2"/>
  <c r="L320" i="2"/>
  <c r="K320" i="2"/>
  <c r="J320" i="2"/>
  <c r="I320" i="2"/>
  <c r="H320" i="2"/>
  <c r="G320" i="2"/>
  <c r="F320" i="2"/>
  <c r="E320" i="2"/>
  <c r="D320" i="2"/>
  <c r="C320" i="2"/>
  <c r="B320" i="2"/>
  <c r="A320" i="2"/>
  <c r="AX319" i="2"/>
  <c r="AW319" i="2"/>
  <c r="AV319" i="2"/>
  <c r="AU319" i="2"/>
  <c r="AT319" i="2"/>
  <c r="AR319" i="2"/>
  <c r="AO319" i="2"/>
  <c r="AN319" i="2"/>
  <c r="AM319" i="2"/>
  <c r="AJ319" i="2"/>
  <c r="AI319" i="2"/>
  <c r="AH319" i="2"/>
  <c r="AG319" i="2"/>
  <c r="AE319" i="2"/>
  <c r="AC319" i="2"/>
  <c r="Z319" i="2"/>
  <c r="Y319" i="2"/>
  <c r="X319" i="2"/>
  <c r="W319" i="2"/>
  <c r="V319" i="2"/>
  <c r="U319" i="2"/>
  <c r="T319" i="2"/>
  <c r="S319" i="2"/>
  <c r="R319" i="2"/>
  <c r="Q319" i="2"/>
  <c r="P319" i="2"/>
  <c r="O319" i="2"/>
  <c r="N319" i="2"/>
  <c r="M319" i="2"/>
  <c r="L319" i="2"/>
  <c r="K319" i="2"/>
  <c r="J319" i="2"/>
  <c r="I319" i="2"/>
  <c r="H319" i="2"/>
  <c r="G319" i="2"/>
  <c r="F319" i="2"/>
  <c r="E319" i="2"/>
  <c r="D319" i="2"/>
  <c r="C319" i="2"/>
  <c r="B319" i="2"/>
  <c r="A319" i="2"/>
  <c r="AX318" i="2"/>
  <c r="AW318" i="2"/>
  <c r="AV318" i="2"/>
  <c r="AU318" i="2"/>
  <c r="AT318" i="2"/>
  <c r="AS318" i="2"/>
  <c r="AR318" i="2"/>
  <c r="AP318" i="2"/>
  <c r="AO318" i="2"/>
  <c r="AN318" i="2"/>
  <c r="AM318" i="2"/>
  <c r="AL318" i="2"/>
  <c r="AK318" i="2"/>
  <c r="AJ318" i="2"/>
  <c r="AI318" i="2"/>
  <c r="AH318" i="2"/>
  <c r="AG318" i="2"/>
  <c r="AF318" i="2"/>
  <c r="AE318" i="2"/>
  <c r="AD318" i="2"/>
  <c r="AC318" i="2"/>
  <c r="Z318" i="2"/>
  <c r="Y318" i="2"/>
  <c r="X318" i="2"/>
  <c r="W318" i="2"/>
  <c r="V318" i="2"/>
  <c r="U318" i="2"/>
  <c r="T318" i="2"/>
  <c r="S318" i="2"/>
  <c r="R318" i="2"/>
  <c r="Q318" i="2"/>
  <c r="P318" i="2"/>
  <c r="O318" i="2"/>
  <c r="N318" i="2"/>
  <c r="M318" i="2"/>
  <c r="L318" i="2"/>
  <c r="K318" i="2"/>
  <c r="J318" i="2"/>
  <c r="I318" i="2"/>
  <c r="H318" i="2"/>
  <c r="G318" i="2"/>
  <c r="F318" i="2"/>
  <c r="E318" i="2"/>
  <c r="D318" i="2"/>
  <c r="C318" i="2"/>
  <c r="B318" i="2"/>
  <c r="A318" i="2"/>
  <c r="AX317" i="2"/>
  <c r="AW317" i="2"/>
  <c r="AV317" i="2"/>
  <c r="AU317" i="2"/>
  <c r="AT317" i="2"/>
  <c r="AS317" i="2"/>
  <c r="AR317" i="2"/>
  <c r="AP317" i="2"/>
  <c r="AO317" i="2"/>
  <c r="AN317" i="2"/>
  <c r="AM317" i="2"/>
  <c r="AL317" i="2"/>
  <c r="AK317" i="2"/>
  <c r="AJ317" i="2"/>
  <c r="AI317" i="2"/>
  <c r="AH317" i="2"/>
  <c r="AG317" i="2"/>
  <c r="AE317" i="2"/>
  <c r="AD317" i="2"/>
  <c r="AC317" i="2"/>
  <c r="AB317" i="2"/>
  <c r="AA317" i="2"/>
  <c r="Z317" i="2"/>
  <c r="Y317" i="2"/>
  <c r="X317" i="2"/>
  <c r="W317" i="2"/>
  <c r="V317" i="2"/>
  <c r="U317" i="2"/>
  <c r="T317" i="2"/>
  <c r="S317" i="2"/>
  <c r="R317" i="2"/>
  <c r="Q317" i="2"/>
  <c r="P317" i="2"/>
  <c r="O317" i="2"/>
  <c r="N317" i="2"/>
  <c r="M317" i="2"/>
  <c r="L317" i="2"/>
  <c r="K317" i="2"/>
  <c r="J317" i="2"/>
  <c r="I317" i="2"/>
  <c r="H317" i="2"/>
  <c r="G317" i="2"/>
  <c r="F317" i="2"/>
  <c r="E317" i="2"/>
  <c r="D317" i="2"/>
  <c r="C317" i="2"/>
  <c r="B317" i="2"/>
  <c r="A317" i="2"/>
  <c r="AX316" i="2"/>
  <c r="AW316" i="2"/>
  <c r="AV316" i="2"/>
  <c r="AU316" i="2"/>
  <c r="AT316" i="2"/>
  <c r="AS316" i="2"/>
  <c r="AR316" i="2"/>
  <c r="AP316" i="2"/>
  <c r="AO316" i="2"/>
  <c r="AN316" i="2"/>
  <c r="AM316" i="2"/>
  <c r="AL316" i="2"/>
  <c r="AK316" i="2"/>
  <c r="AJ316" i="2"/>
  <c r="AI316" i="2"/>
  <c r="AH316" i="2"/>
  <c r="AG316" i="2"/>
  <c r="AE316" i="2"/>
  <c r="AD316" i="2"/>
  <c r="AC316" i="2"/>
  <c r="AB316" i="2"/>
  <c r="AA316" i="2"/>
  <c r="Z316" i="2"/>
  <c r="Y316" i="2"/>
  <c r="X316" i="2"/>
  <c r="V316" i="2"/>
  <c r="U316" i="2"/>
  <c r="T316" i="2"/>
  <c r="S316" i="2"/>
  <c r="R316" i="2"/>
  <c r="Q316" i="2"/>
  <c r="P316" i="2"/>
  <c r="O316" i="2"/>
  <c r="N316" i="2"/>
  <c r="M316" i="2"/>
  <c r="L316" i="2"/>
  <c r="K316" i="2"/>
  <c r="J316" i="2"/>
  <c r="I316" i="2"/>
  <c r="H316" i="2"/>
  <c r="G316" i="2"/>
  <c r="F316" i="2"/>
  <c r="E316" i="2"/>
  <c r="D316" i="2"/>
  <c r="C316" i="2"/>
  <c r="B316" i="2"/>
  <c r="A316" i="2"/>
  <c r="R315" i="2"/>
  <c r="Q315" i="2"/>
  <c r="P315" i="2"/>
  <c r="O315" i="2"/>
  <c r="N315" i="2"/>
  <c r="M315" i="2"/>
  <c r="L315" i="2"/>
  <c r="K315" i="2"/>
  <c r="J315" i="2"/>
  <c r="I315" i="2"/>
  <c r="H315" i="2"/>
  <c r="G315" i="2"/>
  <c r="F315" i="2"/>
  <c r="E315" i="2"/>
  <c r="D315" i="2"/>
  <c r="C315" i="2"/>
  <c r="B315" i="2"/>
  <c r="A315" i="2"/>
  <c r="AX314" i="2"/>
  <c r="AW314" i="2"/>
  <c r="AV314" i="2"/>
  <c r="AU314" i="2"/>
  <c r="AT314" i="2"/>
  <c r="AS314" i="2"/>
  <c r="AR314" i="2"/>
  <c r="AO314" i="2"/>
  <c r="AN314" i="2"/>
  <c r="AM314" i="2"/>
  <c r="AL314" i="2"/>
  <c r="AK314" i="2"/>
  <c r="AJ314" i="2"/>
  <c r="AI314" i="2"/>
  <c r="AH314" i="2"/>
  <c r="AG314" i="2"/>
  <c r="AE314" i="2"/>
  <c r="AD314" i="2"/>
  <c r="AC314" i="2"/>
  <c r="AA314" i="2"/>
  <c r="Z314" i="2"/>
  <c r="Y314" i="2"/>
  <c r="X314" i="2"/>
  <c r="W314" i="2"/>
  <c r="V314" i="2"/>
  <c r="U314" i="2"/>
  <c r="T314" i="2"/>
  <c r="S314" i="2"/>
  <c r="R314" i="2"/>
  <c r="Q314" i="2"/>
  <c r="P314" i="2"/>
  <c r="O314" i="2"/>
  <c r="N314" i="2"/>
  <c r="M314" i="2"/>
  <c r="L314" i="2"/>
  <c r="K314" i="2"/>
  <c r="J314" i="2"/>
  <c r="I314" i="2"/>
  <c r="H314" i="2"/>
  <c r="G314" i="2"/>
  <c r="F314" i="2"/>
  <c r="E314" i="2"/>
  <c r="D314" i="2"/>
  <c r="C314" i="2"/>
  <c r="B314" i="2"/>
  <c r="A314" i="2"/>
  <c r="AX313" i="2"/>
  <c r="AW313" i="2"/>
  <c r="AV313" i="2"/>
  <c r="AU313" i="2"/>
  <c r="AT313" i="2"/>
  <c r="AS313" i="2"/>
  <c r="AR313" i="2"/>
  <c r="AO313" i="2"/>
  <c r="AN313" i="2"/>
  <c r="AM313" i="2"/>
  <c r="AL313" i="2"/>
  <c r="AK313" i="2"/>
  <c r="AJ313" i="2"/>
  <c r="AI313" i="2"/>
  <c r="AH313" i="2"/>
  <c r="AG313" i="2"/>
  <c r="AE313" i="2"/>
  <c r="AD313" i="2"/>
  <c r="AC313" i="2"/>
  <c r="AB313" i="2"/>
  <c r="AA313" i="2"/>
  <c r="Z313" i="2"/>
  <c r="Y313" i="2"/>
  <c r="X313" i="2"/>
  <c r="W313" i="2"/>
  <c r="V313" i="2"/>
  <c r="U313" i="2"/>
  <c r="T313" i="2"/>
  <c r="S313" i="2"/>
  <c r="R313" i="2"/>
  <c r="Q313" i="2"/>
  <c r="P313" i="2"/>
  <c r="O313" i="2"/>
  <c r="N313" i="2"/>
  <c r="M313" i="2"/>
  <c r="L313" i="2"/>
  <c r="K313" i="2"/>
  <c r="J313" i="2"/>
  <c r="I313" i="2"/>
  <c r="H313" i="2"/>
  <c r="G313" i="2"/>
  <c r="F313" i="2"/>
  <c r="E313" i="2"/>
  <c r="D313" i="2"/>
  <c r="C313" i="2"/>
  <c r="B313" i="2"/>
  <c r="A313" i="2"/>
  <c r="AX312" i="2"/>
  <c r="AV312" i="2"/>
  <c r="AU312" i="2"/>
  <c r="AT312" i="2"/>
  <c r="AS312" i="2"/>
  <c r="AR312" i="2"/>
  <c r="AO312" i="2"/>
  <c r="AN312" i="2"/>
  <c r="AM312" i="2"/>
  <c r="AK312" i="2"/>
  <c r="AJ312" i="2"/>
  <c r="AI312" i="2"/>
  <c r="AH312" i="2"/>
  <c r="AG312" i="2"/>
  <c r="AE312" i="2"/>
  <c r="AD312" i="2"/>
  <c r="AC312" i="2"/>
  <c r="AA312" i="2"/>
  <c r="Z312" i="2"/>
  <c r="Y312" i="2"/>
  <c r="X312" i="2"/>
  <c r="W312" i="2"/>
  <c r="V312" i="2"/>
  <c r="U312" i="2"/>
  <c r="T312" i="2"/>
  <c r="S312" i="2"/>
  <c r="Q312" i="2"/>
  <c r="P312" i="2"/>
  <c r="O312" i="2"/>
  <c r="N312" i="2"/>
  <c r="M312" i="2"/>
  <c r="L312" i="2"/>
  <c r="K312" i="2"/>
  <c r="J312" i="2"/>
  <c r="I312" i="2"/>
  <c r="H312" i="2"/>
  <c r="G312" i="2"/>
  <c r="F312" i="2"/>
  <c r="E312" i="2"/>
  <c r="D312" i="2"/>
  <c r="C312" i="2"/>
  <c r="B312" i="2"/>
  <c r="A312" i="2"/>
  <c r="AX311" i="2"/>
  <c r="AW311" i="2"/>
  <c r="AV311" i="2"/>
  <c r="AU311" i="2"/>
  <c r="AT311" i="2"/>
  <c r="AS311" i="2"/>
  <c r="AR311" i="2"/>
  <c r="AO311" i="2"/>
  <c r="AN311" i="2"/>
  <c r="AM311" i="2"/>
  <c r="AK311" i="2"/>
  <c r="AJ311" i="2"/>
  <c r="AI311" i="2"/>
  <c r="AH311" i="2"/>
  <c r="AG311" i="2"/>
  <c r="AF311" i="2"/>
  <c r="AE311" i="2"/>
  <c r="AD311" i="2"/>
  <c r="AC311" i="2"/>
  <c r="AB311" i="2"/>
  <c r="Z311" i="2"/>
  <c r="Y311" i="2"/>
  <c r="X311" i="2"/>
  <c r="W311" i="2"/>
  <c r="V311" i="2"/>
  <c r="U311" i="2"/>
  <c r="T311" i="2"/>
  <c r="S311" i="2"/>
  <c r="R311" i="2"/>
  <c r="Q311" i="2"/>
  <c r="P311" i="2"/>
  <c r="O311" i="2"/>
  <c r="N311" i="2"/>
  <c r="M311" i="2"/>
  <c r="L311" i="2"/>
  <c r="K311" i="2"/>
  <c r="J311" i="2"/>
  <c r="I311" i="2"/>
  <c r="H311" i="2"/>
  <c r="G311" i="2"/>
  <c r="F311" i="2"/>
  <c r="E311" i="2"/>
  <c r="D311" i="2"/>
  <c r="C311" i="2"/>
  <c r="B311" i="2"/>
  <c r="A311" i="2"/>
  <c r="AX310" i="2"/>
  <c r="AW310" i="2"/>
  <c r="AV310" i="2"/>
  <c r="AU310" i="2"/>
  <c r="AT310" i="2"/>
  <c r="AS310" i="2"/>
  <c r="AR310" i="2"/>
  <c r="AO310" i="2"/>
  <c r="AN310" i="2"/>
  <c r="AM310" i="2"/>
  <c r="AK310" i="2"/>
  <c r="AI310" i="2"/>
  <c r="AH310" i="2"/>
  <c r="AG310" i="2"/>
  <c r="AE310" i="2"/>
  <c r="AC310" i="2"/>
  <c r="Z310" i="2"/>
  <c r="Y310" i="2"/>
  <c r="X310" i="2"/>
  <c r="W310" i="2"/>
  <c r="V310" i="2"/>
  <c r="U310" i="2"/>
  <c r="T310" i="2"/>
  <c r="S310" i="2"/>
  <c r="R310" i="2"/>
  <c r="Q310" i="2"/>
  <c r="P310" i="2"/>
  <c r="O310" i="2"/>
  <c r="N310" i="2"/>
  <c r="M310" i="2"/>
  <c r="L310" i="2"/>
  <c r="K310" i="2"/>
  <c r="J310" i="2"/>
  <c r="I310" i="2"/>
  <c r="H310" i="2"/>
  <c r="G310" i="2"/>
  <c r="F310" i="2"/>
  <c r="E310" i="2"/>
  <c r="D310" i="2"/>
  <c r="C310" i="2"/>
  <c r="B310" i="2"/>
  <c r="A310" i="2"/>
  <c r="AX309" i="2"/>
  <c r="AW309" i="2"/>
  <c r="AV309" i="2"/>
  <c r="AU309" i="2"/>
  <c r="AT309" i="2"/>
  <c r="AS309" i="2"/>
  <c r="AR309" i="2"/>
  <c r="AO309" i="2"/>
  <c r="AN309" i="2"/>
  <c r="AM309" i="2"/>
  <c r="AK309" i="2"/>
  <c r="AJ309" i="2"/>
  <c r="AI309" i="2"/>
  <c r="AH309" i="2"/>
  <c r="AG309" i="2"/>
  <c r="AF309" i="2"/>
  <c r="AE309" i="2"/>
  <c r="AC309" i="2"/>
  <c r="Z309" i="2"/>
  <c r="Y309" i="2"/>
  <c r="X309" i="2"/>
  <c r="W309" i="2"/>
  <c r="V309" i="2"/>
  <c r="U309" i="2"/>
  <c r="T309" i="2"/>
  <c r="S309" i="2"/>
  <c r="R309" i="2"/>
  <c r="Q309" i="2"/>
  <c r="P309" i="2"/>
  <c r="O309" i="2"/>
  <c r="N309" i="2"/>
  <c r="M309" i="2"/>
  <c r="L309" i="2"/>
  <c r="K309" i="2"/>
  <c r="J309" i="2"/>
  <c r="I309" i="2"/>
  <c r="H309" i="2"/>
  <c r="G309" i="2"/>
  <c r="F309" i="2"/>
  <c r="E309" i="2"/>
  <c r="D309" i="2"/>
  <c r="C309" i="2"/>
  <c r="B309" i="2"/>
  <c r="A309" i="2"/>
  <c r="AX308" i="2"/>
  <c r="AW308" i="2"/>
  <c r="AV308" i="2"/>
  <c r="AU308" i="2"/>
  <c r="AT308" i="2"/>
  <c r="AS308" i="2"/>
  <c r="AR308" i="2"/>
  <c r="AO308" i="2"/>
  <c r="AN308" i="2"/>
  <c r="AM308" i="2"/>
  <c r="AL308" i="2"/>
  <c r="AK308" i="2"/>
  <c r="AJ308" i="2"/>
  <c r="AI308" i="2"/>
  <c r="AH308" i="2"/>
  <c r="AG308" i="2"/>
  <c r="AF308" i="2"/>
  <c r="AE308" i="2"/>
  <c r="AD308" i="2"/>
  <c r="AC308" i="2"/>
  <c r="AB308" i="2"/>
  <c r="AA308" i="2"/>
  <c r="Z308" i="2"/>
  <c r="Y308" i="2"/>
  <c r="X308" i="2"/>
  <c r="W308" i="2"/>
  <c r="V308" i="2"/>
  <c r="U308" i="2"/>
  <c r="T308" i="2"/>
  <c r="S308" i="2"/>
  <c r="R308" i="2"/>
  <c r="Q308" i="2"/>
  <c r="P308" i="2"/>
  <c r="O308" i="2"/>
  <c r="N308" i="2"/>
  <c r="M308" i="2"/>
  <c r="L308" i="2"/>
  <c r="K308" i="2"/>
  <c r="J308" i="2"/>
  <c r="I308" i="2"/>
  <c r="H308" i="2"/>
  <c r="G308" i="2"/>
  <c r="F308" i="2"/>
  <c r="E308" i="2"/>
  <c r="D308" i="2"/>
  <c r="C308" i="2"/>
  <c r="B308" i="2"/>
  <c r="A308" i="2"/>
  <c r="AX307" i="2"/>
  <c r="AV307" i="2"/>
  <c r="AU307" i="2"/>
  <c r="AT307" i="2"/>
  <c r="AR307" i="2"/>
  <c r="AO307" i="2"/>
  <c r="AN307" i="2"/>
  <c r="AM307" i="2"/>
  <c r="AK307" i="2"/>
  <c r="AJ307" i="2"/>
  <c r="AI307" i="2"/>
  <c r="AH307" i="2"/>
  <c r="AG307" i="2"/>
  <c r="AE307" i="2"/>
  <c r="AC307" i="2"/>
  <c r="AA307" i="2"/>
  <c r="Z307" i="2"/>
  <c r="Y307" i="2"/>
  <c r="X307" i="2"/>
  <c r="W307" i="2"/>
  <c r="V307" i="2"/>
  <c r="U307" i="2"/>
  <c r="T307" i="2"/>
  <c r="S307" i="2"/>
  <c r="Q307" i="2"/>
  <c r="P307" i="2"/>
  <c r="O307" i="2"/>
  <c r="N307" i="2"/>
  <c r="M307" i="2"/>
  <c r="L307" i="2"/>
  <c r="K307" i="2"/>
  <c r="J307" i="2"/>
  <c r="I307" i="2"/>
  <c r="H307" i="2"/>
  <c r="G307" i="2"/>
  <c r="F307" i="2"/>
  <c r="E307" i="2"/>
  <c r="D307" i="2"/>
  <c r="C307" i="2"/>
  <c r="B307" i="2"/>
  <c r="A307" i="2"/>
  <c r="AX306" i="2"/>
  <c r="AV306" i="2"/>
  <c r="AU306" i="2"/>
  <c r="AT306" i="2"/>
  <c r="AS306" i="2"/>
  <c r="AR306" i="2"/>
  <c r="AO306" i="2"/>
  <c r="AN306" i="2"/>
  <c r="AM306" i="2"/>
  <c r="AL306" i="2"/>
  <c r="AK306" i="2"/>
  <c r="AJ306" i="2"/>
  <c r="AI306" i="2"/>
  <c r="AH306" i="2"/>
  <c r="AG306" i="2"/>
  <c r="AE306" i="2"/>
  <c r="AD306" i="2"/>
  <c r="AC306" i="2"/>
  <c r="AB306" i="2"/>
  <c r="AA306" i="2"/>
  <c r="Z306" i="2"/>
  <c r="Y306" i="2"/>
  <c r="X306" i="2"/>
  <c r="W306" i="2"/>
  <c r="V306" i="2"/>
  <c r="U306" i="2"/>
  <c r="T306" i="2"/>
  <c r="S306" i="2"/>
  <c r="Q306" i="2"/>
  <c r="P306" i="2"/>
  <c r="O306" i="2"/>
  <c r="N306" i="2"/>
  <c r="M306" i="2"/>
  <c r="L306" i="2"/>
  <c r="K306" i="2"/>
  <c r="J306" i="2"/>
  <c r="I306" i="2"/>
  <c r="H306" i="2"/>
  <c r="G306" i="2"/>
  <c r="F306" i="2"/>
  <c r="E306" i="2"/>
  <c r="D306" i="2"/>
  <c r="C306" i="2"/>
  <c r="B306" i="2"/>
  <c r="A306" i="2"/>
  <c r="AX305" i="2"/>
  <c r="AW305" i="2"/>
  <c r="AV305" i="2"/>
  <c r="AU305" i="2"/>
  <c r="AT305" i="2"/>
  <c r="AR305" i="2"/>
  <c r="AQ305" i="2"/>
  <c r="AP305" i="2"/>
  <c r="AO305" i="2"/>
  <c r="AN305" i="2"/>
  <c r="AM305" i="2"/>
  <c r="AL305" i="2"/>
  <c r="AK305" i="2"/>
  <c r="AJ305" i="2"/>
  <c r="AI305" i="2"/>
  <c r="AH305" i="2"/>
  <c r="AG305" i="2"/>
  <c r="AE305" i="2"/>
  <c r="AD305" i="2"/>
  <c r="AC305" i="2"/>
  <c r="AA305" i="2"/>
  <c r="Z305" i="2"/>
  <c r="Y305" i="2"/>
  <c r="X305" i="2"/>
  <c r="W305" i="2"/>
  <c r="V305" i="2"/>
  <c r="U305" i="2"/>
  <c r="T305" i="2"/>
  <c r="S305" i="2"/>
  <c r="R305" i="2"/>
  <c r="Q305" i="2"/>
  <c r="P305" i="2"/>
  <c r="O305" i="2"/>
  <c r="N305" i="2"/>
  <c r="M305" i="2"/>
  <c r="L305" i="2"/>
  <c r="K305" i="2"/>
  <c r="J305" i="2"/>
  <c r="I305" i="2"/>
  <c r="H305" i="2"/>
  <c r="G305" i="2"/>
  <c r="F305" i="2"/>
  <c r="E305" i="2"/>
  <c r="D305" i="2"/>
  <c r="C305" i="2"/>
  <c r="B305" i="2"/>
  <c r="A305" i="2"/>
  <c r="AX304" i="2"/>
  <c r="AV304" i="2"/>
  <c r="AU304" i="2"/>
  <c r="AT304" i="2"/>
  <c r="AS304" i="2"/>
  <c r="AR304" i="2"/>
  <c r="AO304" i="2"/>
  <c r="AN304" i="2"/>
  <c r="AM304" i="2"/>
  <c r="AL304" i="2"/>
  <c r="AK304" i="2"/>
  <c r="AJ304" i="2"/>
  <c r="AI304" i="2"/>
  <c r="AH304" i="2"/>
  <c r="AG304" i="2"/>
  <c r="AE304" i="2"/>
  <c r="AD304" i="2"/>
  <c r="AC304" i="2"/>
  <c r="AB304" i="2"/>
  <c r="AA304" i="2"/>
  <c r="Z304" i="2"/>
  <c r="Y304" i="2"/>
  <c r="X304" i="2"/>
  <c r="W304" i="2"/>
  <c r="U304" i="2"/>
  <c r="T304" i="2"/>
  <c r="S304" i="2"/>
  <c r="Q304" i="2"/>
  <c r="P304" i="2"/>
  <c r="O304" i="2"/>
  <c r="N304" i="2"/>
  <c r="M304" i="2"/>
  <c r="L304" i="2"/>
  <c r="K304" i="2"/>
  <c r="J304" i="2"/>
  <c r="I304" i="2"/>
  <c r="H304" i="2"/>
  <c r="G304" i="2"/>
  <c r="F304" i="2"/>
  <c r="E304" i="2"/>
  <c r="D304" i="2"/>
  <c r="C304" i="2"/>
  <c r="B304" i="2"/>
  <c r="A304" i="2"/>
  <c r="AX303" i="2"/>
  <c r="AV303" i="2"/>
  <c r="AU303" i="2"/>
  <c r="AT303" i="2"/>
  <c r="AS303" i="2"/>
  <c r="AR303" i="2"/>
  <c r="AO303" i="2"/>
  <c r="AN303" i="2"/>
  <c r="AM303" i="2"/>
  <c r="AL303" i="2"/>
  <c r="AK303" i="2"/>
  <c r="AJ303" i="2"/>
  <c r="AI303" i="2"/>
  <c r="AH303" i="2"/>
  <c r="AG303" i="2"/>
  <c r="AE303" i="2"/>
  <c r="AD303" i="2"/>
  <c r="AC303" i="2"/>
  <c r="AB303" i="2"/>
  <c r="AA303" i="2"/>
  <c r="Z303" i="2"/>
  <c r="Y303" i="2"/>
  <c r="X303" i="2"/>
  <c r="W303" i="2"/>
  <c r="V303" i="2"/>
  <c r="U303" i="2"/>
  <c r="T303" i="2"/>
  <c r="S303" i="2"/>
  <c r="R303" i="2"/>
  <c r="Q303" i="2"/>
  <c r="P303" i="2"/>
  <c r="O303" i="2"/>
  <c r="N303" i="2"/>
  <c r="M303" i="2"/>
  <c r="L303" i="2"/>
  <c r="K303" i="2"/>
  <c r="J303" i="2"/>
  <c r="I303" i="2"/>
  <c r="H303" i="2"/>
  <c r="G303" i="2"/>
  <c r="F303" i="2"/>
  <c r="E303" i="2"/>
  <c r="D303" i="2"/>
  <c r="C303" i="2"/>
  <c r="B303" i="2"/>
  <c r="A303" i="2"/>
  <c r="AX302" i="2"/>
  <c r="AV302" i="2"/>
  <c r="AU302" i="2"/>
  <c r="AT302" i="2"/>
  <c r="AS302" i="2"/>
  <c r="AR302" i="2"/>
  <c r="AO302" i="2"/>
  <c r="AN302" i="2"/>
  <c r="AM302" i="2"/>
  <c r="AL302" i="2"/>
  <c r="AK302" i="2"/>
  <c r="AJ302" i="2"/>
  <c r="AI302" i="2"/>
  <c r="AH302" i="2"/>
  <c r="AG302" i="2"/>
  <c r="AE302" i="2"/>
  <c r="AB302" i="2"/>
  <c r="AA302" i="2"/>
  <c r="Z302" i="2"/>
  <c r="Y302" i="2"/>
  <c r="X302" i="2"/>
  <c r="W302" i="2"/>
  <c r="V302" i="2"/>
  <c r="U302" i="2"/>
  <c r="T302" i="2"/>
  <c r="S302" i="2"/>
  <c r="R302" i="2"/>
  <c r="Q302" i="2"/>
  <c r="P302" i="2"/>
  <c r="O302" i="2"/>
  <c r="N302" i="2"/>
  <c r="M302" i="2"/>
  <c r="L302" i="2"/>
  <c r="K302" i="2"/>
  <c r="J302" i="2"/>
  <c r="I302" i="2"/>
  <c r="H302" i="2"/>
  <c r="G302" i="2"/>
  <c r="F302" i="2"/>
  <c r="E302" i="2"/>
  <c r="D302" i="2"/>
  <c r="C302" i="2"/>
  <c r="B302" i="2"/>
  <c r="A302" i="2"/>
  <c r="AX301" i="2"/>
  <c r="AW301" i="2"/>
  <c r="AV301" i="2"/>
  <c r="AU301" i="2"/>
  <c r="AS301" i="2"/>
  <c r="AR301" i="2"/>
  <c r="AO301" i="2"/>
  <c r="AN301" i="2"/>
  <c r="AM301" i="2"/>
  <c r="AK301" i="2"/>
  <c r="AJ301" i="2"/>
  <c r="AI301" i="2"/>
  <c r="AH301" i="2"/>
  <c r="AG301" i="2"/>
  <c r="AF301" i="2"/>
  <c r="AE301" i="2"/>
  <c r="AD301" i="2"/>
  <c r="AC301" i="2"/>
  <c r="AB301" i="2"/>
  <c r="Z301" i="2"/>
  <c r="Y301" i="2"/>
  <c r="X301" i="2"/>
  <c r="W301" i="2"/>
  <c r="V301" i="2"/>
  <c r="U301" i="2"/>
  <c r="T301" i="2"/>
  <c r="S301" i="2"/>
  <c r="R301" i="2"/>
  <c r="Q301" i="2"/>
  <c r="P301" i="2"/>
  <c r="O301" i="2"/>
  <c r="N301" i="2"/>
  <c r="M301" i="2"/>
  <c r="L301" i="2"/>
  <c r="K301" i="2"/>
  <c r="J301" i="2"/>
  <c r="I301" i="2"/>
  <c r="H301" i="2"/>
  <c r="G301" i="2"/>
  <c r="F301" i="2"/>
  <c r="E301" i="2"/>
  <c r="D301" i="2"/>
  <c r="C301" i="2"/>
  <c r="B301" i="2"/>
  <c r="A301" i="2"/>
  <c r="AX300" i="2"/>
  <c r="AW300" i="2"/>
  <c r="AV300" i="2"/>
  <c r="AU300" i="2"/>
  <c r="AT300" i="2"/>
  <c r="AS300" i="2"/>
  <c r="AR300" i="2"/>
  <c r="AO300" i="2"/>
  <c r="AN300" i="2"/>
  <c r="AM300" i="2"/>
  <c r="AL300" i="2"/>
  <c r="AK300" i="2"/>
  <c r="AJ300" i="2"/>
  <c r="AI300" i="2"/>
  <c r="AH300" i="2"/>
  <c r="AG300" i="2"/>
  <c r="AE300" i="2"/>
  <c r="AD300" i="2"/>
  <c r="AC300" i="2"/>
  <c r="AB300" i="2"/>
  <c r="AA300" i="2"/>
  <c r="Z300" i="2"/>
  <c r="Y300" i="2"/>
  <c r="X300" i="2"/>
  <c r="W300" i="2"/>
  <c r="V300" i="2"/>
  <c r="U300" i="2"/>
  <c r="T300" i="2"/>
  <c r="S300" i="2"/>
  <c r="R300" i="2"/>
  <c r="Q300" i="2"/>
  <c r="P300" i="2"/>
  <c r="O300" i="2"/>
  <c r="N300" i="2"/>
  <c r="M300" i="2"/>
  <c r="L300" i="2"/>
  <c r="K300" i="2"/>
  <c r="J300" i="2"/>
  <c r="I300" i="2"/>
  <c r="H300" i="2"/>
  <c r="G300" i="2"/>
  <c r="F300" i="2"/>
  <c r="E300" i="2"/>
  <c r="D300" i="2"/>
  <c r="C300" i="2"/>
  <c r="B300" i="2"/>
  <c r="A300" i="2"/>
  <c r="AX299" i="2"/>
  <c r="AW299" i="2"/>
  <c r="AV299" i="2"/>
  <c r="AU299" i="2"/>
  <c r="AT299" i="2"/>
  <c r="AS299" i="2"/>
  <c r="AR299" i="2"/>
  <c r="AO299" i="2"/>
  <c r="AN299" i="2"/>
  <c r="AM299" i="2"/>
  <c r="AL299" i="2"/>
  <c r="AK299" i="2"/>
  <c r="AJ299" i="2"/>
  <c r="AI299" i="2"/>
  <c r="AH299" i="2"/>
  <c r="AG299" i="2"/>
  <c r="AE299" i="2"/>
  <c r="AC299" i="2"/>
  <c r="Z299" i="2"/>
  <c r="Y299" i="2"/>
  <c r="X299" i="2"/>
  <c r="W299" i="2"/>
  <c r="V299" i="2"/>
  <c r="U299" i="2"/>
  <c r="T299" i="2"/>
  <c r="S299" i="2"/>
  <c r="R299" i="2"/>
  <c r="Q299" i="2"/>
  <c r="P299" i="2"/>
  <c r="O299" i="2"/>
  <c r="N299" i="2"/>
  <c r="M299" i="2"/>
  <c r="L299" i="2"/>
  <c r="K299" i="2"/>
  <c r="J299" i="2"/>
  <c r="I299" i="2"/>
  <c r="H299" i="2"/>
  <c r="G299" i="2"/>
  <c r="F299" i="2"/>
  <c r="E299" i="2"/>
  <c r="D299" i="2"/>
  <c r="C299" i="2"/>
  <c r="B299" i="2"/>
  <c r="A299" i="2"/>
  <c r="AX298" i="2"/>
  <c r="AW298" i="2"/>
  <c r="AV298" i="2"/>
  <c r="AU298" i="2"/>
  <c r="AT298" i="2"/>
  <c r="AS298" i="2"/>
  <c r="AR298" i="2"/>
  <c r="AO298" i="2"/>
  <c r="AN298" i="2"/>
  <c r="AM298" i="2"/>
  <c r="AL298" i="2"/>
  <c r="AK298" i="2"/>
  <c r="AJ298" i="2"/>
  <c r="AI298" i="2"/>
  <c r="AH298" i="2"/>
  <c r="AG298" i="2"/>
  <c r="AE298" i="2"/>
  <c r="AD298" i="2"/>
  <c r="AC298" i="2"/>
  <c r="AB298" i="2"/>
  <c r="AA298" i="2"/>
  <c r="Z298" i="2"/>
  <c r="Y298" i="2"/>
  <c r="X298" i="2"/>
  <c r="W298" i="2"/>
  <c r="V298" i="2"/>
  <c r="U298" i="2"/>
  <c r="T298" i="2"/>
  <c r="S298" i="2"/>
  <c r="R298" i="2"/>
  <c r="Q298" i="2"/>
  <c r="P298" i="2"/>
  <c r="O298" i="2"/>
  <c r="N298" i="2"/>
  <c r="M298" i="2"/>
  <c r="L298" i="2"/>
  <c r="K298" i="2"/>
  <c r="J298" i="2"/>
  <c r="I298" i="2"/>
  <c r="H298" i="2"/>
  <c r="G298" i="2"/>
  <c r="F298" i="2"/>
  <c r="E298" i="2"/>
  <c r="D298" i="2"/>
  <c r="C298" i="2"/>
  <c r="B298" i="2"/>
  <c r="A298" i="2"/>
  <c r="AX297" i="2"/>
  <c r="AW297" i="2"/>
  <c r="AV297" i="2"/>
  <c r="AU297" i="2"/>
  <c r="AT297" i="2"/>
  <c r="AS297" i="2"/>
  <c r="AR297" i="2"/>
  <c r="AO297" i="2"/>
  <c r="AN297" i="2"/>
  <c r="AM297" i="2"/>
  <c r="AL297" i="2"/>
  <c r="AK297" i="2"/>
  <c r="AJ297" i="2"/>
  <c r="AI297" i="2"/>
  <c r="AH297" i="2"/>
  <c r="AG297" i="2"/>
  <c r="AE297" i="2"/>
  <c r="AD297" i="2"/>
  <c r="AC297" i="2"/>
  <c r="AB297" i="2"/>
  <c r="Z297" i="2"/>
  <c r="Y297" i="2"/>
  <c r="X297" i="2"/>
  <c r="W297" i="2"/>
  <c r="V297" i="2"/>
  <c r="U297" i="2"/>
  <c r="T297" i="2"/>
  <c r="S297" i="2"/>
  <c r="R297" i="2"/>
  <c r="Q297" i="2"/>
  <c r="P297" i="2"/>
  <c r="O297" i="2"/>
  <c r="N297" i="2"/>
  <c r="M297" i="2"/>
  <c r="L297" i="2"/>
  <c r="K297" i="2"/>
  <c r="J297" i="2"/>
  <c r="I297" i="2"/>
  <c r="H297" i="2"/>
  <c r="G297" i="2"/>
  <c r="F297" i="2"/>
  <c r="E297" i="2"/>
  <c r="D297" i="2"/>
  <c r="C297" i="2"/>
  <c r="B297" i="2"/>
  <c r="A297" i="2"/>
  <c r="AX296" i="2"/>
  <c r="AW296" i="2"/>
  <c r="AV296" i="2"/>
  <c r="AU296" i="2"/>
  <c r="AT296" i="2"/>
  <c r="AS296" i="2"/>
  <c r="AR296" i="2"/>
  <c r="AO296" i="2"/>
  <c r="AN296" i="2"/>
  <c r="AM296" i="2"/>
  <c r="AL296" i="2"/>
  <c r="AK296" i="2"/>
  <c r="AJ296" i="2"/>
  <c r="AI296" i="2"/>
  <c r="AH296" i="2"/>
  <c r="AG296" i="2"/>
  <c r="AE296" i="2"/>
  <c r="AC296" i="2"/>
  <c r="Z296" i="2"/>
  <c r="Y296" i="2"/>
  <c r="X296" i="2"/>
  <c r="W296" i="2"/>
  <c r="V296" i="2"/>
  <c r="U296" i="2"/>
  <c r="T296" i="2"/>
  <c r="S296" i="2"/>
  <c r="R296" i="2"/>
  <c r="Q296" i="2"/>
  <c r="P296" i="2"/>
  <c r="O296" i="2"/>
  <c r="N296" i="2"/>
  <c r="M296" i="2"/>
  <c r="L296" i="2"/>
  <c r="K296" i="2"/>
  <c r="J296" i="2"/>
  <c r="I296" i="2"/>
  <c r="H296" i="2"/>
  <c r="G296" i="2"/>
  <c r="F296" i="2"/>
  <c r="E296" i="2"/>
  <c r="D296" i="2"/>
  <c r="C296" i="2"/>
  <c r="B296" i="2"/>
  <c r="A296" i="2"/>
  <c r="AX295" i="2"/>
  <c r="AW295" i="2"/>
  <c r="AV295" i="2"/>
  <c r="AU295" i="2"/>
  <c r="AT295" i="2"/>
  <c r="AS295" i="2"/>
  <c r="AR295" i="2"/>
  <c r="AO295" i="2"/>
  <c r="AN295" i="2"/>
  <c r="AM295" i="2"/>
  <c r="AL295" i="2"/>
  <c r="AK295" i="2"/>
  <c r="AJ295" i="2"/>
  <c r="AI295" i="2"/>
  <c r="AH295" i="2"/>
  <c r="AG295" i="2"/>
  <c r="AE295" i="2"/>
  <c r="AD295" i="2"/>
  <c r="AC295" i="2"/>
  <c r="AB295" i="2"/>
  <c r="AA295" i="2"/>
  <c r="Z295" i="2"/>
  <c r="Y295" i="2"/>
  <c r="X295" i="2"/>
  <c r="W295" i="2"/>
  <c r="V295" i="2"/>
  <c r="U295" i="2"/>
  <c r="T295" i="2"/>
  <c r="S295" i="2"/>
  <c r="R295" i="2"/>
  <c r="Q295" i="2"/>
  <c r="P295" i="2"/>
  <c r="O295" i="2"/>
  <c r="N295" i="2"/>
  <c r="M295" i="2"/>
  <c r="L295" i="2"/>
  <c r="K295" i="2"/>
  <c r="J295" i="2"/>
  <c r="I295" i="2"/>
  <c r="H295" i="2"/>
  <c r="G295" i="2"/>
  <c r="F295" i="2"/>
  <c r="E295" i="2"/>
  <c r="D295" i="2"/>
  <c r="C295" i="2"/>
  <c r="B295" i="2"/>
  <c r="A295" i="2"/>
  <c r="AX294" i="2"/>
  <c r="AW294" i="2"/>
  <c r="AV294" i="2"/>
  <c r="AU294" i="2"/>
  <c r="AT294" i="2"/>
  <c r="AS294" i="2"/>
  <c r="AR294" i="2"/>
  <c r="AO294" i="2"/>
  <c r="AN294" i="2"/>
  <c r="AM294" i="2"/>
  <c r="AK294" i="2"/>
  <c r="AJ294" i="2"/>
  <c r="AI294" i="2"/>
  <c r="AH294" i="2"/>
  <c r="AG294" i="2"/>
  <c r="AD294" i="2"/>
  <c r="Z294" i="2"/>
  <c r="Y294" i="2"/>
  <c r="X294" i="2"/>
  <c r="W294" i="2"/>
  <c r="V294" i="2"/>
  <c r="U294" i="2"/>
  <c r="T294" i="2"/>
  <c r="S294" i="2"/>
  <c r="R294" i="2"/>
  <c r="Q294" i="2"/>
  <c r="P294" i="2"/>
  <c r="O294" i="2"/>
  <c r="N294" i="2"/>
  <c r="M294" i="2"/>
  <c r="L294" i="2"/>
  <c r="K294" i="2"/>
  <c r="J294" i="2"/>
  <c r="I294" i="2"/>
  <c r="H294" i="2"/>
  <c r="G294" i="2"/>
  <c r="F294" i="2"/>
  <c r="E294" i="2"/>
  <c r="D294" i="2"/>
  <c r="C294" i="2"/>
  <c r="B294" i="2"/>
  <c r="A294" i="2"/>
  <c r="AX293" i="2"/>
  <c r="AW293" i="2"/>
  <c r="AV293" i="2"/>
  <c r="AU293" i="2"/>
  <c r="AS293" i="2"/>
  <c r="AR293" i="2"/>
  <c r="AP293" i="2"/>
  <c r="AO293" i="2"/>
  <c r="AN293" i="2"/>
  <c r="AM293" i="2"/>
  <c r="AL293" i="2"/>
  <c r="AK293" i="2"/>
  <c r="AJ293" i="2"/>
  <c r="AI293" i="2"/>
  <c r="AH293" i="2"/>
  <c r="AG293" i="2"/>
  <c r="AE293" i="2"/>
  <c r="AD293" i="2"/>
  <c r="AC293" i="2"/>
  <c r="AB293" i="2"/>
  <c r="AA293" i="2"/>
  <c r="Z293" i="2"/>
  <c r="Y293" i="2"/>
  <c r="X293" i="2"/>
  <c r="W293" i="2"/>
  <c r="V293" i="2"/>
  <c r="U293" i="2"/>
  <c r="T293" i="2"/>
  <c r="S293" i="2"/>
  <c r="R293" i="2"/>
  <c r="Q293" i="2"/>
  <c r="P293" i="2"/>
  <c r="O293" i="2"/>
  <c r="N293" i="2"/>
  <c r="M293" i="2"/>
  <c r="L293" i="2"/>
  <c r="K293" i="2"/>
  <c r="J293" i="2"/>
  <c r="I293" i="2"/>
  <c r="H293" i="2"/>
  <c r="G293" i="2"/>
  <c r="F293" i="2"/>
  <c r="E293" i="2"/>
  <c r="D293" i="2"/>
  <c r="C293" i="2"/>
  <c r="B293" i="2"/>
  <c r="A293" i="2"/>
  <c r="AX292" i="2"/>
  <c r="AW292" i="2"/>
  <c r="AV292" i="2"/>
  <c r="AU292" i="2"/>
  <c r="AT292" i="2"/>
  <c r="AS292" i="2"/>
  <c r="AR292" i="2"/>
  <c r="AO292" i="2"/>
  <c r="AN292" i="2"/>
  <c r="AM292" i="2"/>
  <c r="AL292" i="2"/>
  <c r="AK292" i="2"/>
  <c r="AJ292" i="2"/>
  <c r="AI292" i="2"/>
  <c r="AH292" i="2"/>
  <c r="AG292" i="2"/>
  <c r="AE292" i="2"/>
  <c r="AD292" i="2"/>
  <c r="AC292" i="2"/>
  <c r="AB292" i="2"/>
  <c r="Z292" i="2"/>
  <c r="Y292" i="2"/>
  <c r="X292" i="2"/>
  <c r="U292" i="2"/>
  <c r="T292" i="2"/>
  <c r="S292" i="2"/>
  <c r="R292" i="2"/>
  <c r="Q292" i="2"/>
  <c r="P292" i="2"/>
  <c r="O292" i="2"/>
  <c r="N292" i="2"/>
  <c r="M292" i="2"/>
  <c r="L292" i="2"/>
  <c r="K292" i="2"/>
  <c r="J292" i="2"/>
  <c r="I292" i="2"/>
  <c r="H292" i="2"/>
  <c r="G292" i="2"/>
  <c r="F292" i="2"/>
  <c r="E292" i="2"/>
  <c r="D292" i="2"/>
  <c r="C292" i="2"/>
  <c r="B292" i="2"/>
  <c r="A292" i="2"/>
  <c r="AX291" i="2"/>
  <c r="AW291" i="2"/>
  <c r="AV291" i="2"/>
  <c r="AU291" i="2"/>
  <c r="AT291" i="2"/>
  <c r="AS291" i="2"/>
  <c r="AR291" i="2"/>
  <c r="AQ291" i="2"/>
  <c r="AP291" i="2"/>
  <c r="AO291" i="2"/>
  <c r="AN291" i="2"/>
  <c r="AM291" i="2"/>
  <c r="AL291" i="2"/>
  <c r="AK291" i="2"/>
  <c r="AJ291" i="2"/>
  <c r="AI291" i="2"/>
  <c r="AH291" i="2"/>
  <c r="AG291" i="2"/>
  <c r="AE291" i="2"/>
  <c r="AD291" i="2"/>
  <c r="AC291" i="2"/>
  <c r="AB291" i="2"/>
  <c r="AA291" i="2"/>
  <c r="Z291" i="2"/>
  <c r="Y291" i="2"/>
  <c r="X291" i="2"/>
  <c r="W291" i="2"/>
  <c r="V291" i="2"/>
  <c r="U291" i="2"/>
  <c r="T291" i="2"/>
  <c r="S291" i="2"/>
  <c r="R291" i="2"/>
  <c r="Q291" i="2"/>
  <c r="P291" i="2"/>
  <c r="O291" i="2"/>
  <c r="N291" i="2"/>
  <c r="M291" i="2"/>
  <c r="L291" i="2"/>
  <c r="K291" i="2"/>
  <c r="J291" i="2"/>
  <c r="I291" i="2"/>
  <c r="H291" i="2"/>
  <c r="G291" i="2"/>
  <c r="F291" i="2"/>
  <c r="E291" i="2"/>
  <c r="D291" i="2"/>
  <c r="C291" i="2"/>
  <c r="B291" i="2"/>
  <c r="A291" i="2"/>
  <c r="AX290" i="2"/>
  <c r="AW290" i="2"/>
  <c r="AV290" i="2"/>
  <c r="AU290" i="2"/>
  <c r="AT290" i="2"/>
  <c r="AS290" i="2"/>
  <c r="AR290" i="2"/>
  <c r="AO290" i="2"/>
  <c r="AN290" i="2"/>
  <c r="AM290" i="2"/>
  <c r="AL290" i="2"/>
  <c r="AK290" i="2"/>
  <c r="AJ290" i="2"/>
  <c r="AI290" i="2"/>
  <c r="AH290" i="2"/>
  <c r="AG290" i="2"/>
  <c r="AE290" i="2"/>
  <c r="AD290" i="2"/>
  <c r="AC290" i="2"/>
  <c r="AB290" i="2"/>
  <c r="Z290" i="2"/>
  <c r="Y290" i="2"/>
  <c r="X290" i="2"/>
  <c r="W290" i="2"/>
  <c r="V290" i="2"/>
  <c r="U290" i="2"/>
  <c r="T290" i="2"/>
  <c r="S290" i="2"/>
  <c r="R290" i="2"/>
  <c r="Q290" i="2"/>
  <c r="P290" i="2"/>
  <c r="O290" i="2"/>
  <c r="N290" i="2"/>
  <c r="M290" i="2"/>
  <c r="L290" i="2"/>
  <c r="K290" i="2"/>
  <c r="J290" i="2"/>
  <c r="I290" i="2"/>
  <c r="H290" i="2"/>
  <c r="G290" i="2"/>
  <c r="F290" i="2"/>
  <c r="E290" i="2"/>
  <c r="D290" i="2"/>
  <c r="C290" i="2"/>
  <c r="B290" i="2"/>
  <c r="A290" i="2"/>
  <c r="AX289" i="2"/>
  <c r="AW289" i="2"/>
  <c r="AV289" i="2"/>
  <c r="AU289" i="2"/>
  <c r="AT289" i="2"/>
  <c r="AS289" i="2"/>
  <c r="AR289" i="2"/>
  <c r="AO289" i="2"/>
  <c r="AN289" i="2"/>
  <c r="AM289" i="2"/>
  <c r="AK289" i="2"/>
  <c r="AJ289" i="2"/>
  <c r="AI289" i="2"/>
  <c r="AH289" i="2"/>
  <c r="AG289" i="2"/>
  <c r="AE289" i="2"/>
  <c r="AD289" i="2"/>
  <c r="AC289" i="2"/>
  <c r="Z289" i="2"/>
  <c r="Y289" i="2"/>
  <c r="X289" i="2"/>
  <c r="W289" i="2"/>
  <c r="V289" i="2"/>
  <c r="U289" i="2"/>
  <c r="T289" i="2"/>
  <c r="S289" i="2"/>
  <c r="R289" i="2"/>
  <c r="Q289" i="2"/>
  <c r="P289" i="2"/>
  <c r="O289" i="2"/>
  <c r="N289" i="2"/>
  <c r="M289" i="2"/>
  <c r="L289" i="2"/>
  <c r="K289" i="2"/>
  <c r="J289" i="2"/>
  <c r="I289" i="2"/>
  <c r="H289" i="2"/>
  <c r="G289" i="2"/>
  <c r="F289" i="2"/>
  <c r="E289" i="2"/>
  <c r="D289" i="2"/>
  <c r="C289" i="2"/>
  <c r="B289" i="2"/>
  <c r="A289" i="2"/>
  <c r="AX288" i="2"/>
  <c r="AW288" i="2"/>
  <c r="AV288" i="2"/>
  <c r="AU288" i="2"/>
  <c r="AT288" i="2"/>
  <c r="AS288" i="2"/>
  <c r="AR288" i="2"/>
  <c r="AQ288" i="2"/>
  <c r="AP288" i="2"/>
  <c r="AO288" i="2"/>
  <c r="AM288" i="2"/>
  <c r="AK288" i="2"/>
  <c r="AI288" i="2"/>
  <c r="AH288" i="2"/>
  <c r="AG288" i="2"/>
  <c r="AE288" i="2"/>
  <c r="AD288" i="2"/>
  <c r="AC288" i="2"/>
  <c r="AB288" i="2"/>
  <c r="AA288" i="2"/>
  <c r="Z288" i="2"/>
  <c r="Y288" i="2"/>
  <c r="X288" i="2"/>
  <c r="W288" i="2"/>
  <c r="V288" i="2"/>
  <c r="U288" i="2"/>
  <c r="T288" i="2"/>
  <c r="S288" i="2"/>
  <c r="R288" i="2"/>
  <c r="Q288" i="2"/>
  <c r="P288" i="2"/>
  <c r="O288" i="2"/>
  <c r="N288" i="2"/>
  <c r="M288" i="2"/>
  <c r="L288" i="2"/>
  <c r="K288" i="2"/>
  <c r="J288" i="2"/>
  <c r="I288" i="2"/>
  <c r="H288" i="2"/>
  <c r="G288" i="2"/>
  <c r="F288" i="2"/>
  <c r="E288" i="2"/>
  <c r="D288" i="2"/>
  <c r="C288" i="2"/>
  <c r="B288" i="2"/>
  <c r="A288" i="2"/>
  <c r="AX287" i="2"/>
  <c r="AW287" i="2"/>
  <c r="AV287" i="2"/>
  <c r="AU287" i="2"/>
  <c r="AT287" i="2"/>
  <c r="AS287" i="2"/>
  <c r="AR287" i="2"/>
  <c r="AO287" i="2"/>
  <c r="AN287" i="2"/>
  <c r="AM287" i="2"/>
  <c r="AK287" i="2"/>
  <c r="AJ287" i="2"/>
  <c r="AI287" i="2"/>
  <c r="AH287" i="2"/>
  <c r="AG287" i="2"/>
  <c r="AE287" i="2"/>
  <c r="AD287" i="2"/>
  <c r="AC287" i="2"/>
  <c r="AB287" i="2"/>
  <c r="Z287" i="2"/>
  <c r="Y287" i="2"/>
  <c r="X287" i="2"/>
  <c r="W287" i="2"/>
  <c r="V287" i="2"/>
  <c r="U287" i="2"/>
  <c r="T287" i="2"/>
  <c r="S287" i="2"/>
  <c r="R287" i="2"/>
  <c r="Q287" i="2"/>
  <c r="P287" i="2"/>
  <c r="O287" i="2"/>
  <c r="N287" i="2"/>
  <c r="M287" i="2"/>
  <c r="L287" i="2"/>
  <c r="K287" i="2"/>
  <c r="J287" i="2"/>
  <c r="I287" i="2"/>
  <c r="H287" i="2"/>
  <c r="G287" i="2"/>
  <c r="F287" i="2"/>
  <c r="E287" i="2"/>
  <c r="D287" i="2"/>
  <c r="C287" i="2"/>
  <c r="B287" i="2"/>
  <c r="A287" i="2"/>
  <c r="AX286" i="2"/>
  <c r="AW286" i="2"/>
  <c r="AV286" i="2"/>
  <c r="AU286" i="2"/>
  <c r="AT286" i="2"/>
  <c r="AS286" i="2"/>
  <c r="AR286" i="2"/>
  <c r="AO286" i="2"/>
  <c r="AN286" i="2"/>
  <c r="AM286" i="2"/>
  <c r="AL286" i="2"/>
  <c r="AK286" i="2"/>
  <c r="AJ286" i="2"/>
  <c r="AI286" i="2"/>
  <c r="AH286" i="2"/>
  <c r="AG286" i="2"/>
  <c r="AE286" i="2"/>
  <c r="AD286" i="2"/>
  <c r="AC286" i="2"/>
  <c r="AB286" i="2"/>
  <c r="AA286" i="2"/>
  <c r="Z286" i="2"/>
  <c r="Y286" i="2"/>
  <c r="X286" i="2"/>
  <c r="W286" i="2"/>
  <c r="V286" i="2"/>
  <c r="U286" i="2"/>
  <c r="T286" i="2"/>
  <c r="S286" i="2"/>
  <c r="R286" i="2"/>
  <c r="Q286" i="2"/>
  <c r="P286" i="2"/>
  <c r="O286" i="2"/>
  <c r="N286" i="2"/>
  <c r="M286" i="2"/>
  <c r="L286" i="2"/>
  <c r="K286" i="2"/>
  <c r="J286" i="2"/>
  <c r="I286" i="2"/>
  <c r="H286" i="2"/>
  <c r="G286" i="2"/>
  <c r="F286" i="2"/>
  <c r="E286" i="2"/>
  <c r="D286" i="2"/>
  <c r="C286" i="2"/>
  <c r="B286" i="2"/>
  <c r="A286" i="2"/>
  <c r="AX285" i="2"/>
  <c r="AW285" i="2"/>
  <c r="AV285" i="2"/>
  <c r="AU285" i="2"/>
  <c r="AT285" i="2"/>
  <c r="AR285" i="2"/>
  <c r="AQ285" i="2"/>
  <c r="AP285" i="2"/>
  <c r="AO285" i="2"/>
  <c r="AN285" i="2"/>
  <c r="AM285" i="2"/>
  <c r="AK285" i="2"/>
  <c r="AJ285" i="2"/>
  <c r="AI285" i="2"/>
  <c r="AH285" i="2"/>
  <c r="AG285" i="2"/>
  <c r="AE285" i="2"/>
  <c r="AD285" i="2"/>
  <c r="AC285" i="2"/>
  <c r="AB285" i="2"/>
  <c r="AA285" i="2"/>
  <c r="Z285" i="2"/>
  <c r="Y285" i="2"/>
  <c r="X285" i="2"/>
  <c r="W285" i="2"/>
  <c r="V285" i="2"/>
  <c r="U285" i="2"/>
  <c r="T285" i="2"/>
  <c r="S285" i="2"/>
  <c r="R285" i="2"/>
  <c r="Q285" i="2"/>
  <c r="P285" i="2"/>
  <c r="O285" i="2"/>
  <c r="N285" i="2"/>
  <c r="M285" i="2"/>
  <c r="L285" i="2"/>
  <c r="K285" i="2"/>
  <c r="J285" i="2"/>
  <c r="I285" i="2"/>
  <c r="H285" i="2"/>
  <c r="G285" i="2"/>
  <c r="F285" i="2"/>
  <c r="E285" i="2"/>
  <c r="D285" i="2"/>
  <c r="C285" i="2"/>
  <c r="B285" i="2"/>
  <c r="A285" i="2"/>
  <c r="AX284" i="2"/>
  <c r="AW284" i="2"/>
  <c r="AV284" i="2"/>
  <c r="AU284" i="2"/>
  <c r="AT284" i="2"/>
  <c r="AS284" i="2"/>
  <c r="AR284" i="2"/>
  <c r="AO284" i="2"/>
  <c r="AN284" i="2"/>
  <c r="AM284" i="2"/>
  <c r="AK284" i="2"/>
  <c r="AI284" i="2"/>
  <c r="AH284" i="2"/>
  <c r="AG284" i="2"/>
  <c r="AE284" i="2"/>
  <c r="AD284" i="2"/>
  <c r="AC284" i="2"/>
  <c r="AB284" i="2"/>
  <c r="AA284" i="2"/>
  <c r="Z284" i="2"/>
  <c r="Y284" i="2"/>
  <c r="X284" i="2"/>
  <c r="W284" i="2"/>
  <c r="V284" i="2"/>
  <c r="U284" i="2"/>
  <c r="T284" i="2"/>
  <c r="S284" i="2"/>
  <c r="R284" i="2"/>
  <c r="Q284" i="2"/>
  <c r="P284" i="2"/>
  <c r="O284" i="2"/>
  <c r="N284" i="2"/>
  <c r="M284" i="2"/>
  <c r="L284" i="2"/>
  <c r="K284" i="2"/>
  <c r="J284" i="2"/>
  <c r="I284" i="2"/>
  <c r="H284" i="2"/>
  <c r="G284" i="2"/>
  <c r="F284" i="2"/>
  <c r="E284" i="2"/>
  <c r="D284" i="2"/>
  <c r="C284" i="2"/>
  <c r="B284" i="2"/>
  <c r="A284" i="2"/>
  <c r="AX283" i="2"/>
  <c r="AW283" i="2"/>
  <c r="AV283" i="2"/>
  <c r="AU283" i="2"/>
  <c r="AT283" i="2"/>
  <c r="AS283" i="2"/>
  <c r="AR283" i="2"/>
  <c r="AO283" i="2"/>
  <c r="AN283" i="2"/>
  <c r="AM283" i="2"/>
  <c r="AL283" i="2"/>
  <c r="AK283" i="2"/>
  <c r="AJ283" i="2"/>
  <c r="AI283" i="2"/>
  <c r="AH283" i="2"/>
  <c r="AG283" i="2"/>
  <c r="AF283" i="2"/>
  <c r="AE283" i="2"/>
  <c r="AD283" i="2"/>
  <c r="AC283" i="2"/>
  <c r="AB283" i="2"/>
  <c r="Z283" i="2"/>
  <c r="Y283" i="2"/>
  <c r="X283" i="2"/>
  <c r="W283" i="2"/>
  <c r="V283" i="2"/>
  <c r="U283" i="2"/>
  <c r="T283" i="2"/>
  <c r="S283" i="2"/>
  <c r="R283" i="2"/>
  <c r="Q283" i="2"/>
  <c r="P283" i="2"/>
  <c r="O283" i="2"/>
  <c r="N283" i="2"/>
  <c r="M283" i="2"/>
  <c r="L283" i="2"/>
  <c r="K283" i="2"/>
  <c r="J283" i="2"/>
  <c r="I283" i="2"/>
  <c r="H283" i="2"/>
  <c r="G283" i="2"/>
  <c r="F283" i="2"/>
  <c r="E283" i="2"/>
  <c r="D283" i="2"/>
  <c r="C283" i="2"/>
  <c r="B283" i="2"/>
  <c r="A283" i="2"/>
  <c r="AX282" i="2"/>
  <c r="AW282" i="2"/>
  <c r="AV282" i="2"/>
  <c r="AU282" i="2"/>
  <c r="AT282" i="2"/>
  <c r="AS282" i="2"/>
  <c r="AR282" i="2"/>
  <c r="AO282" i="2"/>
  <c r="AN282" i="2"/>
  <c r="AM282" i="2"/>
  <c r="AL282" i="2"/>
  <c r="AK282" i="2"/>
  <c r="AJ282" i="2"/>
  <c r="AI282" i="2"/>
  <c r="AH282" i="2"/>
  <c r="AG282" i="2"/>
  <c r="AE282" i="2"/>
  <c r="AD282" i="2"/>
  <c r="AC282" i="2"/>
  <c r="AB282" i="2"/>
  <c r="AA282" i="2"/>
  <c r="Z282" i="2"/>
  <c r="Y282" i="2"/>
  <c r="X282" i="2"/>
  <c r="W282" i="2"/>
  <c r="V282" i="2"/>
  <c r="U282" i="2"/>
  <c r="T282" i="2"/>
  <c r="S282" i="2"/>
  <c r="R282" i="2"/>
  <c r="Q282" i="2"/>
  <c r="P282" i="2"/>
  <c r="O282" i="2"/>
  <c r="N282" i="2"/>
  <c r="M282" i="2"/>
  <c r="L282" i="2"/>
  <c r="K282" i="2"/>
  <c r="J282" i="2"/>
  <c r="I282" i="2"/>
  <c r="H282" i="2"/>
  <c r="G282" i="2"/>
  <c r="F282" i="2"/>
  <c r="E282" i="2"/>
  <c r="D282" i="2"/>
  <c r="C282" i="2"/>
  <c r="B282" i="2"/>
  <c r="A282" i="2"/>
  <c r="AX281" i="2"/>
  <c r="AW281" i="2"/>
  <c r="AV281" i="2"/>
  <c r="AU281" i="2"/>
  <c r="AT281" i="2"/>
  <c r="AS281" i="2"/>
  <c r="AR281" i="2"/>
  <c r="AO281" i="2"/>
  <c r="AN281" i="2"/>
  <c r="AM281" i="2"/>
  <c r="AK281" i="2"/>
  <c r="AI281" i="2"/>
  <c r="AH281" i="2"/>
  <c r="AG281" i="2"/>
  <c r="AC281" i="2"/>
  <c r="Z281" i="2"/>
  <c r="Y281" i="2"/>
  <c r="X281" i="2"/>
  <c r="W281" i="2"/>
  <c r="V281" i="2"/>
  <c r="U281" i="2"/>
  <c r="T281" i="2"/>
  <c r="S281" i="2"/>
  <c r="R281" i="2"/>
  <c r="Q281" i="2"/>
  <c r="P281" i="2"/>
  <c r="O281" i="2"/>
  <c r="N281" i="2"/>
  <c r="M281" i="2"/>
  <c r="L281" i="2"/>
  <c r="K281" i="2"/>
  <c r="J281" i="2"/>
  <c r="I281" i="2"/>
  <c r="H281" i="2"/>
  <c r="G281" i="2"/>
  <c r="F281" i="2"/>
  <c r="E281" i="2"/>
  <c r="D281" i="2"/>
  <c r="C281" i="2"/>
  <c r="B281" i="2"/>
  <c r="A281" i="2"/>
  <c r="AX280" i="2"/>
  <c r="AW280" i="2"/>
  <c r="AV280" i="2"/>
  <c r="AU280" i="2"/>
  <c r="AT280" i="2"/>
  <c r="AS280" i="2"/>
  <c r="AR280" i="2"/>
  <c r="AP280" i="2"/>
  <c r="AO280" i="2"/>
  <c r="AN280" i="2"/>
  <c r="AM280" i="2"/>
  <c r="AK280" i="2"/>
  <c r="AJ280" i="2"/>
  <c r="AI280" i="2"/>
  <c r="AH280" i="2"/>
  <c r="AG280" i="2"/>
  <c r="AE280" i="2"/>
  <c r="AC280" i="2"/>
  <c r="AB280" i="2"/>
  <c r="AA280" i="2"/>
  <c r="Z280" i="2"/>
  <c r="Y280" i="2"/>
  <c r="X280" i="2"/>
  <c r="W280" i="2"/>
  <c r="V280" i="2"/>
  <c r="U280" i="2"/>
  <c r="T280" i="2"/>
  <c r="S280" i="2"/>
  <c r="R280" i="2"/>
  <c r="Q280" i="2"/>
  <c r="P280" i="2"/>
  <c r="O280" i="2"/>
  <c r="N280" i="2"/>
  <c r="M280" i="2"/>
  <c r="L280" i="2"/>
  <c r="K280" i="2"/>
  <c r="J280" i="2"/>
  <c r="I280" i="2"/>
  <c r="H280" i="2"/>
  <c r="G280" i="2"/>
  <c r="F280" i="2"/>
  <c r="E280" i="2"/>
  <c r="D280" i="2"/>
  <c r="C280" i="2"/>
  <c r="B280" i="2"/>
  <c r="A280" i="2"/>
  <c r="AX279" i="2"/>
  <c r="AW279" i="2"/>
  <c r="AV279" i="2"/>
  <c r="AU279" i="2"/>
  <c r="AT279" i="2"/>
  <c r="AS279" i="2"/>
  <c r="AR279" i="2"/>
  <c r="AO279" i="2"/>
  <c r="AN279" i="2"/>
  <c r="AM279" i="2"/>
  <c r="AL279" i="2"/>
  <c r="AK279" i="2"/>
  <c r="AJ279" i="2"/>
  <c r="AI279" i="2"/>
  <c r="AH279" i="2"/>
  <c r="AG279" i="2"/>
  <c r="AE279" i="2"/>
  <c r="AD279" i="2"/>
  <c r="AC279" i="2"/>
  <c r="AB279" i="2"/>
  <c r="AA279" i="2"/>
  <c r="Z279" i="2"/>
  <c r="Y279" i="2"/>
  <c r="X279" i="2"/>
  <c r="W279" i="2"/>
  <c r="V279" i="2"/>
  <c r="U279" i="2"/>
  <c r="T279" i="2"/>
  <c r="S279" i="2"/>
  <c r="R279" i="2"/>
  <c r="Q279" i="2"/>
  <c r="P279" i="2"/>
  <c r="O279" i="2"/>
  <c r="N279" i="2"/>
  <c r="M279" i="2"/>
  <c r="L279" i="2"/>
  <c r="K279" i="2"/>
  <c r="J279" i="2"/>
  <c r="I279" i="2"/>
  <c r="H279" i="2"/>
  <c r="G279" i="2"/>
  <c r="F279" i="2"/>
  <c r="E279" i="2"/>
  <c r="D279" i="2"/>
  <c r="C279" i="2"/>
  <c r="B279" i="2"/>
  <c r="A279" i="2"/>
  <c r="AX278" i="2"/>
  <c r="AW278" i="2"/>
  <c r="AV278" i="2"/>
  <c r="AU278" i="2"/>
  <c r="AS278" i="2"/>
  <c r="AR278" i="2"/>
  <c r="AO278" i="2"/>
  <c r="AN278" i="2"/>
  <c r="AM278" i="2"/>
  <c r="AL278" i="2"/>
  <c r="AK278" i="2"/>
  <c r="AJ278" i="2"/>
  <c r="AI278" i="2"/>
  <c r="AH278" i="2"/>
  <c r="AG278" i="2"/>
  <c r="AF278" i="2"/>
  <c r="AE278" i="2"/>
  <c r="AD278" i="2"/>
  <c r="AC278" i="2"/>
  <c r="AB278" i="2"/>
  <c r="AA278" i="2"/>
  <c r="Z278" i="2"/>
  <c r="Y278" i="2"/>
  <c r="X278" i="2"/>
  <c r="W278" i="2"/>
  <c r="V278" i="2"/>
  <c r="U278" i="2"/>
  <c r="T278" i="2"/>
  <c r="S278" i="2"/>
  <c r="R278" i="2"/>
  <c r="Q278" i="2"/>
  <c r="P278" i="2"/>
  <c r="O278" i="2"/>
  <c r="N278" i="2"/>
  <c r="M278" i="2"/>
  <c r="L278" i="2"/>
  <c r="K278" i="2"/>
  <c r="J278" i="2"/>
  <c r="I278" i="2"/>
  <c r="H278" i="2"/>
  <c r="G278" i="2"/>
  <c r="F278" i="2"/>
  <c r="E278" i="2"/>
  <c r="D278" i="2"/>
  <c r="C278" i="2"/>
  <c r="B278" i="2"/>
  <c r="A278" i="2"/>
  <c r="AX277" i="2"/>
  <c r="AW277" i="2"/>
  <c r="AV277" i="2"/>
  <c r="AU277" i="2"/>
  <c r="AT277" i="2"/>
  <c r="AS277" i="2"/>
  <c r="AR277" i="2"/>
  <c r="AN277" i="2"/>
  <c r="AM277" i="2"/>
  <c r="AK277" i="2"/>
  <c r="AJ277" i="2"/>
  <c r="AI277" i="2"/>
  <c r="AH277" i="2"/>
  <c r="AG277" i="2"/>
  <c r="AF277" i="2"/>
  <c r="AE277" i="2"/>
  <c r="AC277" i="2"/>
  <c r="AA277" i="2"/>
  <c r="Z277" i="2"/>
  <c r="Y277" i="2"/>
  <c r="X277" i="2"/>
  <c r="W277" i="2"/>
  <c r="V277" i="2"/>
  <c r="U277" i="2"/>
  <c r="T277" i="2"/>
  <c r="S277" i="2"/>
  <c r="R277" i="2"/>
  <c r="Q277" i="2"/>
  <c r="P277" i="2"/>
  <c r="O277" i="2"/>
  <c r="N277" i="2"/>
  <c r="M277" i="2"/>
  <c r="L277" i="2"/>
  <c r="K277" i="2"/>
  <c r="J277" i="2"/>
  <c r="I277" i="2"/>
  <c r="H277" i="2"/>
  <c r="G277" i="2"/>
  <c r="F277" i="2"/>
  <c r="E277" i="2"/>
  <c r="D277" i="2"/>
  <c r="C277" i="2"/>
  <c r="B277" i="2"/>
  <c r="A277" i="2"/>
  <c r="AX276" i="2"/>
  <c r="AW276" i="2"/>
  <c r="AV276" i="2"/>
  <c r="AU276" i="2"/>
  <c r="AT276" i="2"/>
  <c r="AS276" i="2"/>
  <c r="AR276" i="2"/>
  <c r="AO276" i="2"/>
  <c r="AN276" i="2"/>
  <c r="AM276" i="2"/>
  <c r="AL276" i="2"/>
  <c r="AK276" i="2"/>
  <c r="AJ276" i="2"/>
  <c r="AI276" i="2"/>
  <c r="AH276" i="2"/>
  <c r="AG276" i="2"/>
  <c r="AE276" i="2"/>
  <c r="AD276" i="2"/>
  <c r="AC276" i="2"/>
  <c r="AB276" i="2"/>
  <c r="AA276" i="2"/>
  <c r="Z276" i="2"/>
  <c r="Y276" i="2"/>
  <c r="X276" i="2"/>
  <c r="W276" i="2"/>
  <c r="V276" i="2"/>
  <c r="U276" i="2"/>
  <c r="T276" i="2"/>
  <c r="S276" i="2"/>
  <c r="R276" i="2"/>
  <c r="Q276" i="2"/>
  <c r="P276" i="2"/>
  <c r="O276" i="2"/>
  <c r="N276" i="2"/>
  <c r="M276" i="2"/>
  <c r="L276" i="2"/>
  <c r="K276" i="2"/>
  <c r="J276" i="2"/>
  <c r="I276" i="2"/>
  <c r="H276" i="2"/>
  <c r="G276" i="2"/>
  <c r="F276" i="2"/>
  <c r="E276" i="2"/>
  <c r="D276" i="2"/>
  <c r="C276" i="2"/>
  <c r="B276" i="2"/>
  <c r="A276" i="2"/>
  <c r="AX275" i="2"/>
  <c r="AW275" i="2"/>
  <c r="AV275" i="2"/>
  <c r="AU275" i="2"/>
  <c r="AT275" i="2"/>
  <c r="AR275" i="2"/>
  <c r="AO275" i="2"/>
  <c r="AN275" i="2"/>
  <c r="AM275" i="2"/>
  <c r="AK275" i="2"/>
  <c r="AI275" i="2"/>
  <c r="AH275" i="2"/>
  <c r="AG275" i="2"/>
  <c r="AE275" i="2"/>
  <c r="AC275" i="2"/>
  <c r="Z275" i="2"/>
  <c r="Y275" i="2"/>
  <c r="X275" i="2"/>
  <c r="W275" i="2"/>
  <c r="V275" i="2"/>
  <c r="U275" i="2"/>
  <c r="T275" i="2"/>
  <c r="S275" i="2"/>
  <c r="R275" i="2"/>
  <c r="Q275" i="2"/>
  <c r="P275" i="2"/>
  <c r="O275" i="2"/>
  <c r="N275" i="2"/>
  <c r="M275" i="2"/>
  <c r="L275" i="2"/>
  <c r="K275" i="2"/>
  <c r="J275" i="2"/>
  <c r="I275" i="2"/>
  <c r="H275" i="2"/>
  <c r="G275" i="2"/>
  <c r="F275" i="2"/>
  <c r="E275" i="2"/>
  <c r="D275" i="2"/>
  <c r="C275" i="2"/>
  <c r="B275" i="2"/>
  <c r="A275" i="2"/>
  <c r="AX274" i="2"/>
  <c r="AW274" i="2"/>
  <c r="AV274" i="2"/>
  <c r="AU274" i="2"/>
  <c r="AT274" i="2"/>
  <c r="AS274" i="2"/>
  <c r="AR274" i="2"/>
  <c r="AO274" i="2"/>
  <c r="AN274" i="2"/>
  <c r="AM274" i="2"/>
  <c r="AK274" i="2"/>
  <c r="AI274" i="2"/>
  <c r="AH274" i="2"/>
  <c r="AG274" i="2"/>
  <c r="AD274" i="2"/>
  <c r="AC274" i="2"/>
  <c r="AB274" i="2"/>
  <c r="Z274" i="2"/>
  <c r="Y274" i="2"/>
  <c r="X274" i="2"/>
  <c r="W274" i="2"/>
  <c r="V274" i="2"/>
  <c r="U274" i="2"/>
  <c r="T274" i="2"/>
  <c r="S274" i="2"/>
  <c r="R274" i="2"/>
  <c r="Q274" i="2"/>
  <c r="P274" i="2"/>
  <c r="O274" i="2"/>
  <c r="N274" i="2"/>
  <c r="M274" i="2"/>
  <c r="L274" i="2"/>
  <c r="K274" i="2"/>
  <c r="J274" i="2"/>
  <c r="I274" i="2"/>
  <c r="H274" i="2"/>
  <c r="G274" i="2"/>
  <c r="F274" i="2"/>
  <c r="E274" i="2"/>
  <c r="D274" i="2"/>
  <c r="C274" i="2"/>
  <c r="B274" i="2"/>
  <c r="A274" i="2"/>
  <c r="AX273" i="2"/>
  <c r="AW273" i="2"/>
  <c r="AV273" i="2"/>
  <c r="AU273" i="2"/>
  <c r="AT273" i="2"/>
  <c r="AS273" i="2"/>
  <c r="AR273" i="2"/>
  <c r="AO273" i="2"/>
  <c r="AN273" i="2"/>
  <c r="AM273" i="2"/>
  <c r="AK273" i="2"/>
  <c r="AJ273" i="2"/>
  <c r="AI273" i="2"/>
  <c r="AH273" i="2"/>
  <c r="AG273" i="2"/>
  <c r="AE273" i="2"/>
  <c r="AD273" i="2"/>
  <c r="AC273" i="2"/>
  <c r="AB273" i="2"/>
  <c r="Z273" i="2"/>
  <c r="Y273" i="2"/>
  <c r="X273" i="2"/>
  <c r="W273" i="2"/>
  <c r="V273" i="2"/>
  <c r="U273" i="2"/>
  <c r="T273" i="2"/>
  <c r="S273" i="2"/>
  <c r="R273" i="2"/>
  <c r="Q273" i="2"/>
  <c r="P273" i="2"/>
  <c r="O273" i="2"/>
  <c r="N273" i="2"/>
  <c r="M273" i="2"/>
  <c r="L273" i="2"/>
  <c r="K273" i="2"/>
  <c r="J273" i="2"/>
  <c r="I273" i="2"/>
  <c r="H273" i="2"/>
  <c r="G273" i="2"/>
  <c r="F273" i="2"/>
  <c r="E273" i="2"/>
  <c r="D273" i="2"/>
  <c r="C273" i="2"/>
  <c r="B273" i="2"/>
  <c r="A273" i="2"/>
  <c r="AX272" i="2"/>
  <c r="AW272" i="2"/>
  <c r="AV272" i="2"/>
  <c r="AU272" i="2"/>
  <c r="AT272" i="2"/>
  <c r="AS272" i="2"/>
  <c r="AR272" i="2"/>
  <c r="AO272" i="2"/>
  <c r="AN272" i="2"/>
  <c r="AM272" i="2"/>
  <c r="AL272" i="2"/>
  <c r="AK272" i="2"/>
  <c r="AJ272" i="2"/>
  <c r="AI272" i="2"/>
  <c r="AH272" i="2"/>
  <c r="AG272" i="2"/>
  <c r="AE272" i="2"/>
  <c r="AD272" i="2"/>
  <c r="AC272" i="2"/>
  <c r="AB272" i="2"/>
  <c r="AA272" i="2"/>
  <c r="Z272" i="2"/>
  <c r="Y272" i="2"/>
  <c r="X272" i="2"/>
  <c r="W272" i="2"/>
  <c r="V272" i="2"/>
  <c r="U272" i="2"/>
  <c r="T272" i="2"/>
  <c r="S272" i="2"/>
  <c r="R272" i="2"/>
  <c r="Q272" i="2"/>
  <c r="P272" i="2"/>
  <c r="O272" i="2"/>
  <c r="N272" i="2"/>
  <c r="M272" i="2"/>
  <c r="L272" i="2"/>
  <c r="K272" i="2"/>
  <c r="J272" i="2"/>
  <c r="I272" i="2"/>
  <c r="H272" i="2"/>
  <c r="G272" i="2"/>
  <c r="F272" i="2"/>
  <c r="E272" i="2"/>
  <c r="D272" i="2"/>
  <c r="C272" i="2"/>
  <c r="B272" i="2"/>
  <c r="A272" i="2"/>
  <c r="AX271" i="2"/>
  <c r="AW271" i="2"/>
  <c r="AV271" i="2"/>
  <c r="AU271" i="2"/>
  <c r="AT271" i="2"/>
  <c r="AS271" i="2"/>
  <c r="AR271" i="2"/>
  <c r="AP271" i="2"/>
  <c r="AO271" i="2"/>
  <c r="AN271" i="2"/>
  <c r="AM271" i="2"/>
  <c r="AL271" i="2"/>
  <c r="AK271" i="2"/>
  <c r="AJ271" i="2"/>
  <c r="AI271" i="2"/>
  <c r="AH271" i="2"/>
  <c r="AG271" i="2"/>
  <c r="AE271" i="2"/>
  <c r="AD271" i="2"/>
  <c r="AC271" i="2"/>
  <c r="AB271" i="2"/>
  <c r="AA271" i="2"/>
  <c r="Z271" i="2"/>
  <c r="Y271" i="2"/>
  <c r="X271" i="2"/>
  <c r="W271" i="2"/>
  <c r="V271" i="2"/>
  <c r="U271" i="2"/>
  <c r="T271" i="2"/>
  <c r="S271" i="2"/>
  <c r="R271" i="2"/>
  <c r="Q271" i="2"/>
  <c r="P271" i="2"/>
  <c r="O271" i="2"/>
  <c r="N271" i="2"/>
  <c r="M271" i="2"/>
  <c r="L271" i="2"/>
  <c r="K271" i="2"/>
  <c r="J271" i="2"/>
  <c r="I271" i="2"/>
  <c r="H271" i="2"/>
  <c r="G271" i="2"/>
  <c r="F271" i="2"/>
  <c r="E271" i="2"/>
  <c r="D271" i="2"/>
  <c r="C271" i="2"/>
  <c r="B271" i="2"/>
  <c r="A271" i="2"/>
  <c r="AX270" i="2"/>
  <c r="AW270" i="2"/>
  <c r="AV270" i="2"/>
  <c r="AU270" i="2"/>
  <c r="AT270" i="2"/>
  <c r="AS270" i="2"/>
  <c r="AR270" i="2"/>
  <c r="AO270" i="2"/>
  <c r="AN270" i="2"/>
  <c r="AM270" i="2"/>
  <c r="AK270" i="2"/>
  <c r="AJ270" i="2"/>
  <c r="AI270" i="2"/>
  <c r="AH270" i="2"/>
  <c r="AG270" i="2"/>
  <c r="AE270" i="2"/>
  <c r="AD270" i="2"/>
  <c r="AC270" i="2"/>
  <c r="AB270" i="2"/>
  <c r="AA270" i="2"/>
  <c r="Z270" i="2"/>
  <c r="Y270" i="2"/>
  <c r="X270" i="2"/>
  <c r="W270" i="2"/>
  <c r="V270" i="2"/>
  <c r="U270" i="2"/>
  <c r="T270" i="2"/>
  <c r="S270" i="2"/>
  <c r="R270" i="2"/>
  <c r="Q270" i="2"/>
  <c r="P270" i="2"/>
  <c r="O270" i="2"/>
  <c r="N270" i="2"/>
  <c r="M270" i="2"/>
  <c r="L270" i="2"/>
  <c r="K270" i="2"/>
  <c r="J270" i="2"/>
  <c r="I270" i="2"/>
  <c r="H270" i="2"/>
  <c r="G270" i="2"/>
  <c r="F270" i="2"/>
  <c r="E270" i="2"/>
  <c r="D270" i="2"/>
  <c r="C270" i="2"/>
  <c r="B270" i="2"/>
  <c r="A270" i="2"/>
  <c r="AX269" i="2"/>
  <c r="AW269" i="2"/>
  <c r="AV269" i="2"/>
  <c r="AU269" i="2"/>
  <c r="AT269" i="2"/>
  <c r="AS269" i="2"/>
  <c r="AR269" i="2"/>
  <c r="AO269" i="2"/>
  <c r="AN269" i="2"/>
  <c r="AM269" i="2"/>
  <c r="AJ269" i="2"/>
  <c r="AI269" i="2"/>
  <c r="AH269" i="2"/>
  <c r="AG269" i="2"/>
  <c r="AE269" i="2"/>
  <c r="Z269" i="2"/>
  <c r="Y269" i="2"/>
  <c r="X269" i="2"/>
  <c r="W269" i="2"/>
  <c r="V269" i="2"/>
  <c r="U269" i="2"/>
  <c r="T269" i="2"/>
  <c r="S269" i="2"/>
  <c r="R269" i="2"/>
  <c r="Q269" i="2"/>
  <c r="P269" i="2"/>
  <c r="O269" i="2"/>
  <c r="N269" i="2"/>
  <c r="M269" i="2"/>
  <c r="L269" i="2"/>
  <c r="K269" i="2"/>
  <c r="J269" i="2"/>
  <c r="I269" i="2"/>
  <c r="H269" i="2"/>
  <c r="G269" i="2"/>
  <c r="F269" i="2"/>
  <c r="E269" i="2"/>
  <c r="D269" i="2"/>
  <c r="C269" i="2"/>
  <c r="B269" i="2"/>
  <c r="A269" i="2"/>
  <c r="AX268" i="2"/>
  <c r="AW268" i="2"/>
  <c r="AV268" i="2"/>
  <c r="AU268" i="2"/>
  <c r="AT268" i="2"/>
  <c r="AS268" i="2"/>
  <c r="AR268" i="2"/>
  <c r="AO268" i="2"/>
  <c r="AN268" i="2"/>
  <c r="AM268" i="2"/>
  <c r="AK268" i="2"/>
  <c r="AJ268" i="2"/>
  <c r="AI268" i="2"/>
  <c r="AH268" i="2"/>
  <c r="AG268" i="2"/>
  <c r="AD268" i="2"/>
  <c r="AC268" i="2"/>
  <c r="AB268" i="2"/>
  <c r="Z268" i="2"/>
  <c r="Y268" i="2"/>
  <c r="X268" i="2"/>
  <c r="W268" i="2"/>
  <c r="V268" i="2"/>
  <c r="U268" i="2"/>
  <c r="T268" i="2"/>
  <c r="S268" i="2"/>
  <c r="R268" i="2"/>
  <c r="Q268" i="2"/>
  <c r="P268" i="2"/>
  <c r="O268" i="2"/>
  <c r="N268" i="2"/>
  <c r="M268" i="2"/>
  <c r="L268" i="2"/>
  <c r="K268" i="2"/>
  <c r="J268" i="2"/>
  <c r="I268" i="2"/>
  <c r="H268" i="2"/>
  <c r="G268" i="2"/>
  <c r="F268" i="2"/>
  <c r="E268" i="2"/>
  <c r="D268" i="2"/>
  <c r="C268" i="2"/>
  <c r="B268" i="2"/>
  <c r="A268" i="2"/>
  <c r="AX267" i="2"/>
  <c r="AW267" i="2"/>
  <c r="AV267" i="2"/>
  <c r="AU267" i="2"/>
  <c r="AT267" i="2"/>
  <c r="AS267" i="2"/>
  <c r="AR267" i="2"/>
  <c r="AO267" i="2"/>
  <c r="AN267" i="2"/>
  <c r="AM267" i="2"/>
  <c r="AK267" i="2"/>
  <c r="AJ267" i="2"/>
  <c r="AI267" i="2"/>
  <c r="AH267" i="2"/>
  <c r="AG267" i="2"/>
  <c r="AD267" i="2"/>
  <c r="AC267" i="2"/>
  <c r="AB267" i="2"/>
  <c r="AA267" i="2"/>
  <c r="Z267" i="2"/>
  <c r="Y267" i="2"/>
  <c r="X267" i="2"/>
  <c r="V267" i="2"/>
  <c r="U267" i="2"/>
  <c r="T267" i="2"/>
  <c r="S267" i="2"/>
  <c r="R267" i="2"/>
  <c r="Q267" i="2"/>
  <c r="P267" i="2"/>
  <c r="O267" i="2"/>
  <c r="N267" i="2"/>
  <c r="M267" i="2"/>
  <c r="L267" i="2"/>
  <c r="K267" i="2"/>
  <c r="J267" i="2"/>
  <c r="I267" i="2"/>
  <c r="H267" i="2"/>
  <c r="G267" i="2"/>
  <c r="F267" i="2"/>
  <c r="E267" i="2"/>
  <c r="D267" i="2"/>
  <c r="C267" i="2"/>
  <c r="B267" i="2"/>
  <c r="A267" i="2"/>
  <c r="AX266" i="2"/>
  <c r="AW266" i="2"/>
  <c r="AV266" i="2"/>
  <c r="AU266" i="2"/>
  <c r="AT266" i="2"/>
  <c r="AS266" i="2"/>
  <c r="AR266" i="2"/>
  <c r="AO266" i="2"/>
  <c r="AN266" i="2"/>
  <c r="AM266" i="2"/>
  <c r="AL266" i="2"/>
  <c r="AK266" i="2"/>
  <c r="AJ266" i="2"/>
  <c r="AI266" i="2"/>
  <c r="AH266" i="2"/>
  <c r="AG266" i="2"/>
  <c r="AE266" i="2"/>
  <c r="AD266" i="2"/>
  <c r="AC266" i="2"/>
  <c r="AB266" i="2"/>
  <c r="AA266" i="2"/>
  <c r="Z266" i="2"/>
  <c r="Y266" i="2"/>
  <c r="X266" i="2"/>
  <c r="W266" i="2"/>
  <c r="V266" i="2"/>
  <c r="U266" i="2"/>
  <c r="T266" i="2"/>
  <c r="S266" i="2"/>
  <c r="R266" i="2"/>
  <c r="Q266" i="2"/>
  <c r="P266" i="2"/>
  <c r="O266" i="2"/>
  <c r="N266" i="2"/>
  <c r="M266" i="2"/>
  <c r="L266" i="2"/>
  <c r="K266" i="2"/>
  <c r="J266" i="2"/>
  <c r="I266" i="2"/>
  <c r="H266" i="2"/>
  <c r="G266" i="2"/>
  <c r="F266" i="2"/>
  <c r="E266" i="2"/>
  <c r="D266" i="2"/>
  <c r="C266" i="2"/>
  <c r="B266" i="2"/>
  <c r="A266" i="2"/>
  <c r="AX265" i="2"/>
  <c r="AW265" i="2"/>
  <c r="AV265" i="2"/>
  <c r="AU265" i="2"/>
  <c r="AT265" i="2"/>
  <c r="AS265" i="2"/>
  <c r="AR265" i="2"/>
  <c r="AP265" i="2"/>
  <c r="AO265" i="2"/>
  <c r="AN265" i="2"/>
  <c r="AM265" i="2"/>
  <c r="AL265" i="2"/>
  <c r="AK265" i="2"/>
  <c r="AI265" i="2"/>
  <c r="AH265" i="2"/>
  <c r="AG265" i="2"/>
  <c r="AF265" i="2"/>
  <c r="AE265" i="2"/>
  <c r="AD265" i="2"/>
  <c r="AC265" i="2"/>
  <c r="AB265" i="2"/>
  <c r="AA265" i="2"/>
  <c r="Z265" i="2"/>
  <c r="Y265" i="2"/>
  <c r="X265" i="2"/>
  <c r="W265" i="2"/>
  <c r="V265" i="2"/>
  <c r="U265" i="2"/>
  <c r="T265" i="2"/>
  <c r="S265" i="2"/>
  <c r="R265" i="2"/>
  <c r="Q265" i="2"/>
  <c r="P265" i="2"/>
  <c r="O265" i="2"/>
  <c r="N265" i="2"/>
  <c r="M265" i="2"/>
  <c r="L265" i="2"/>
  <c r="K265" i="2"/>
  <c r="J265" i="2"/>
  <c r="I265" i="2"/>
  <c r="H265" i="2"/>
  <c r="G265" i="2"/>
  <c r="F265" i="2"/>
  <c r="E265" i="2"/>
  <c r="D265" i="2"/>
  <c r="C265" i="2"/>
  <c r="B265" i="2"/>
  <c r="A265" i="2"/>
  <c r="AX264" i="2"/>
  <c r="AW264" i="2"/>
  <c r="AV264" i="2"/>
  <c r="AU264" i="2"/>
  <c r="AT264" i="2"/>
  <c r="AS264" i="2"/>
  <c r="AR264" i="2"/>
  <c r="AP264" i="2"/>
  <c r="AO264" i="2"/>
  <c r="AN264" i="2"/>
  <c r="AM264" i="2"/>
  <c r="AK264" i="2"/>
  <c r="AJ264" i="2"/>
  <c r="AI264" i="2"/>
  <c r="AH264" i="2"/>
  <c r="AG264" i="2"/>
  <c r="AE264" i="2"/>
  <c r="AD264" i="2"/>
  <c r="AC264" i="2"/>
  <c r="AB264" i="2"/>
  <c r="Z264" i="2"/>
  <c r="Y264" i="2"/>
  <c r="X264" i="2"/>
  <c r="W264" i="2"/>
  <c r="V264" i="2"/>
  <c r="U264" i="2"/>
  <c r="T264" i="2"/>
  <c r="S264" i="2"/>
  <c r="R264" i="2"/>
  <c r="Q264" i="2"/>
  <c r="P264" i="2"/>
  <c r="O264" i="2"/>
  <c r="N264" i="2"/>
  <c r="M264" i="2"/>
  <c r="L264" i="2"/>
  <c r="K264" i="2"/>
  <c r="J264" i="2"/>
  <c r="I264" i="2"/>
  <c r="H264" i="2"/>
  <c r="G264" i="2"/>
  <c r="F264" i="2"/>
  <c r="E264" i="2"/>
  <c r="D264" i="2"/>
  <c r="C264" i="2"/>
  <c r="B264" i="2"/>
  <c r="A264" i="2"/>
  <c r="AX263" i="2"/>
  <c r="AW263" i="2"/>
  <c r="AV263" i="2"/>
  <c r="AU263" i="2"/>
  <c r="AS263" i="2"/>
  <c r="AR263" i="2"/>
  <c r="AO263" i="2"/>
  <c r="AN263" i="2"/>
  <c r="AM263" i="2"/>
  <c r="AK263" i="2"/>
  <c r="AJ263" i="2"/>
  <c r="AI263" i="2"/>
  <c r="AH263" i="2"/>
  <c r="AG263" i="2"/>
  <c r="AC263" i="2"/>
  <c r="Z263" i="2"/>
  <c r="Y263" i="2"/>
  <c r="X263" i="2"/>
  <c r="W263" i="2"/>
  <c r="V263" i="2"/>
  <c r="U263" i="2"/>
  <c r="T263" i="2"/>
  <c r="S263" i="2"/>
  <c r="R263" i="2"/>
  <c r="Q263" i="2"/>
  <c r="P263" i="2"/>
  <c r="O263" i="2"/>
  <c r="N263" i="2"/>
  <c r="M263" i="2"/>
  <c r="L263" i="2"/>
  <c r="K263" i="2"/>
  <c r="J263" i="2"/>
  <c r="I263" i="2"/>
  <c r="H263" i="2"/>
  <c r="G263" i="2"/>
  <c r="F263" i="2"/>
  <c r="E263" i="2"/>
  <c r="D263" i="2"/>
  <c r="C263" i="2"/>
  <c r="B263" i="2"/>
  <c r="A263" i="2"/>
  <c r="AX262" i="2"/>
  <c r="AW262" i="2"/>
  <c r="AV262" i="2"/>
  <c r="AU262" i="2"/>
  <c r="AT262" i="2"/>
  <c r="AS262" i="2"/>
  <c r="AR262" i="2"/>
  <c r="AO262" i="2"/>
  <c r="AN262" i="2"/>
  <c r="AM262" i="2"/>
  <c r="AK262" i="2"/>
  <c r="AI262" i="2"/>
  <c r="AH262" i="2"/>
  <c r="AG262" i="2"/>
  <c r="AE262" i="2"/>
  <c r="AC262" i="2"/>
  <c r="AB262" i="2"/>
  <c r="Z262" i="2"/>
  <c r="Y262" i="2"/>
  <c r="X262" i="2"/>
  <c r="W262" i="2"/>
  <c r="V262" i="2"/>
  <c r="U262" i="2"/>
  <c r="T262" i="2"/>
  <c r="S262" i="2"/>
  <c r="R262" i="2"/>
  <c r="Q262" i="2"/>
  <c r="P262" i="2"/>
  <c r="O262" i="2"/>
  <c r="N262" i="2"/>
  <c r="M262" i="2"/>
  <c r="L262" i="2"/>
  <c r="K262" i="2"/>
  <c r="J262" i="2"/>
  <c r="I262" i="2"/>
  <c r="H262" i="2"/>
  <c r="G262" i="2"/>
  <c r="F262" i="2"/>
  <c r="E262" i="2"/>
  <c r="D262" i="2"/>
  <c r="C262" i="2"/>
  <c r="B262" i="2"/>
  <c r="A262" i="2"/>
  <c r="AX261" i="2"/>
  <c r="AW261" i="2"/>
  <c r="AV261" i="2"/>
  <c r="AU261" i="2"/>
  <c r="AS261" i="2"/>
  <c r="AR261" i="2"/>
  <c r="AO261" i="2"/>
  <c r="AN261" i="2"/>
  <c r="AM261" i="2"/>
  <c r="AK261" i="2"/>
  <c r="AJ261" i="2"/>
  <c r="AI261" i="2"/>
  <c r="AH261" i="2"/>
  <c r="AG261" i="2"/>
  <c r="AC261" i="2"/>
  <c r="Z261" i="2"/>
  <c r="Y261" i="2"/>
  <c r="X261" i="2"/>
  <c r="W261" i="2"/>
  <c r="V261" i="2"/>
  <c r="U261" i="2"/>
  <c r="T261" i="2"/>
  <c r="S261" i="2"/>
  <c r="R261" i="2"/>
  <c r="Q261" i="2"/>
  <c r="P261" i="2"/>
  <c r="O261" i="2"/>
  <c r="N261" i="2"/>
  <c r="M261" i="2"/>
  <c r="L261" i="2"/>
  <c r="K261" i="2"/>
  <c r="J261" i="2"/>
  <c r="I261" i="2"/>
  <c r="H261" i="2"/>
  <c r="G261" i="2"/>
  <c r="F261" i="2"/>
  <c r="E261" i="2"/>
  <c r="D261" i="2"/>
  <c r="C261" i="2"/>
  <c r="B261" i="2"/>
  <c r="A261" i="2"/>
  <c r="AX260" i="2"/>
  <c r="AW260" i="2"/>
  <c r="AV260" i="2"/>
  <c r="AU260" i="2"/>
  <c r="AT260" i="2"/>
  <c r="AS260" i="2"/>
  <c r="AR260" i="2"/>
  <c r="AO260" i="2"/>
  <c r="AN260" i="2"/>
  <c r="AM260" i="2"/>
  <c r="AL260" i="2"/>
  <c r="AK260" i="2"/>
  <c r="AJ260" i="2"/>
  <c r="AI260" i="2"/>
  <c r="AH260" i="2"/>
  <c r="AG260" i="2"/>
  <c r="AE260" i="2"/>
  <c r="AD260" i="2"/>
  <c r="AC260" i="2"/>
  <c r="AB260" i="2"/>
  <c r="AA260" i="2"/>
  <c r="Z260" i="2"/>
  <c r="Y260" i="2"/>
  <c r="X260" i="2"/>
  <c r="W260" i="2"/>
  <c r="V260" i="2"/>
  <c r="U260" i="2"/>
  <c r="T260" i="2"/>
  <c r="S260" i="2"/>
  <c r="R260" i="2"/>
  <c r="Q260" i="2"/>
  <c r="P260" i="2"/>
  <c r="O260" i="2"/>
  <c r="N260" i="2"/>
  <c r="M260" i="2"/>
  <c r="L260" i="2"/>
  <c r="K260" i="2"/>
  <c r="J260" i="2"/>
  <c r="I260" i="2"/>
  <c r="H260" i="2"/>
  <c r="G260" i="2"/>
  <c r="F260" i="2"/>
  <c r="E260" i="2"/>
  <c r="D260" i="2"/>
  <c r="C260" i="2"/>
  <c r="B260" i="2"/>
  <c r="A260" i="2"/>
  <c r="AX259" i="2"/>
  <c r="AW259" i="2"/>
  <c r="AV259" i="2"/>
  <c r="AU259" i="2"/>
  <c r="AT259" i="2"/>
  <c r="AS259" i="2"/>
  <c r="AR259" i="2"/>
  <c r="AP259" i="2"/>
  <c r="AO259" i="2"/>
  <c r="AN259" i="2"/>
  <c r="AM259" i="2"/>
  <c r="AL259" i="2"/>
  <c r="AK259" i="2"/>
  <c r="AJ259" i="2"/>
  <c r="AI259" i="2"/>
  <c r="AH259" i="2"/>
  <c r="AG259" i="2"/>
  <c r="AE259" i="2"/>
  <c r="AD259" i="2"/>
  <c r="AC259" i="2"/>
  <c r="AB259" i="2"/>
  <c r="AA259" i="2"/>
  <c r="Z259" i="2"/>
  <c r="Y259" i="2"/>
  <c r="X259" i="2"/>
  <c r="W259" i="2"/>
  <c r="V259" i="2"/>
  <c r="U259" i="2"/>
  <c r="T259" i="2"/>
  <c r="S259" i="2"/>
  <c r="R259" i="2"/>
  <c r="Q259" i="2"/>
  <c r="P259" i="2"/>
  <c r="O259" i="2"/>
  <c r="N259" i="2"/>
  <c r="M259" i="2"/>
  <c r="L259" i="2"/>
  <c r="K259" i="2"/>
  <c r="J259" i="2"/>
  <c r="I259" i="2"/>
  <c r="H259" i="2"/>
  <c r="G259" i="2"/>
  <c r="F259" i="2"/>
  <c r="E259" i="2"/>
  <c r="D259" i="2"/>
  <c r="C259" i="2"/>
  <c r="B259" i="2"/>
  <c r="A259" i="2"/>
  <c r="AX258" i="2"/>
  <c r="AW258" i="2"/>
  <c r="AV258" i="2"/>
  <c r="AU258" i="2"/>
  <c r="AT258" i="2"/>
  <c r="AS258" i="2"/>
  <c r="AR258" i="2"/>
  <c r="AQ258" i="2"/>
  <c r="AP258" i="2"/>
  <c r="AO258" i="2"/>
  <c r="AN258" i="2"/>
  <c r="AM258" i="2"/>
  <c r="AK258" i="2"/>
  <c r="AJ258" i="2"/>
  <c r="AI258" i="2"/>
  <c r="AH258" i="2"/>
  <c r="AG258" i="2"/>
  <c r="AE258" i="2"/>
  <c r="AD258" i="2"/>
  <c r="AC258" i="2"/>
  <c r="AB258" i="2"/>
  <c r="AA258" i="2"/>
  <c r="Z258" i="2"/>
  <c r="Y258" i="2"/>
  <c r="X258" i="2"/>
  <c r="W258" i="2"/>
  <c r="V258" i="2"/>
  <c r="U258" i="2"/>
  <c r="T258" i="2"/>
  <c r="S258" i="2"/>
  <c r="R258" i="2"/>
  <c r="Q258" i="2"/>
  <c r="P258" i="2"/>
  <c r="O258" i="2"/>
  <c r="N258" i="2"/>
  <c r="M258" i="2"/>
  <c r="L258" i="2"/>
  <c r="K258" i="2"/>
  <c r="J258" i="2"/>
  <c r="I258" i="2"/>
  <c r="H258" i="2"/>
  <c r="G258" i="2"/>
  <c r="F258" i="2"/>
  <c r="E258" i="2"/>
  <c r="D258" i="2"/>
  <c r="C258" i="2"/>
  <c r="B258" i="2"/>
  <c r="A258" i="2"/>
  <c r="AX257" i="2"/>
  <c r="AW257" i="2"/>
  <c r="AV257" i="2"/>
  <c r="AU257" i="2"/>
  <c r="AT257" i="2"/>
  <c r="AS257" i="2"/>
  <c r="AR257" i="2"/>
  <c r="AO257" i="2"/>
  <c r="AN257" i="2"/>
  <c r="AM257" i="2"/>
  <c r="AL257" i="2"/>
  <c r="AK257" i="2"/>
  <c r="AJ257" i="2"/>
  <c r="AI257" i="2"/>
  <c r="AH257" i="2"/>
  <c r="AG257" i="2"/>
  <c r="AF257" i="2"/>
  <c r="AE257" i="2"/>
  <c r="AD257" i="2"/>
  <c r="AC257" i="2"/>
  <c r="AB257" i="2"/>
  <c r="AA257" i="2"/>
  <c r="Z257" i="2"/>
  <c r="Y257" i="2"/>
  <c r="X257" i="2"/>
  <c r="W257" i="2"/>
  <c r="V257" i="2"/>
  <c r="U257" i="2"/>
  <c r="T257" i="2"/>
  <c r="S257" i="2"/>
  <c r="R257" i="2"/>
  <c r="Q257" i="2"/>
  <c r="P257" i="2"/>
  <c r="O257" i="2"/>
  <c r="N257" i="2"/>
  <c r="M257" i="2"/>
  <c r="L257" i="2"/>
  <c r="K257" i="2"/>
  <c r="J257" i="2"/>
  <c r="I257" i="2"/>
  <c r="H257" i="2"/>
  <c r="G257" i="2"/>
  <c r="F257" i="2"/>
  <c r="E257" i="2"/>
  <c r="D257" i="2"/>
  <c r="C257" i="2"/>
  <c r="B257" i="2"/>
  <c r="A257" i="2"/>
  <c r="AX256" i="2"/>
  <c r="AW256" i="2"/>
  <c r="AV256" i="2"/>
  <c r="AU256" i="2"/>
  <c r="AT256" i="2"/>
  <c r="AS256" i="2"/>
  <c r="AR256" i="2"/>
  <c r="AO256" i="2"/>
  <c r="AN256" i="2"/>
  <c r="AM256" i="2"/>
  <c r="AK256" i="2"/>
  <c r="AJ256" i="2"/>
  <c r="AI256" i="2"/>
  <c r="AH256" i="2"/>
  <c r="AG256" i="2"/>
  <c r="AF256" i="2"/>
  <c r="AE256" i="2"/>
  <c r="AD256" i="2"/>
  <c r="AC256" i="2"/>
  <c r="AB256" i="2"/>
  <c r="AA256" i="2"/>
  <c r="Z256" i="2"/>
  <c r="Y256" i="2"/>
  <c r="X256" i="2"/>
  <c r="W256" i="2"/>
  <c r="V256" i="2"/>
  <c r="U256" i="2"/>
  <c r="T256" i="2"/>
  <c r="S256" i="2"/>
  <c r="R256" i="2"/>
  <c r="Q256" i="2"/>
  <c r="P256" i="2"/>
  <c r="O256" i="2"/>
  <c r="N256" i="2"/>
  <c r="M256" i="2"/>
  <c r="L256" i="2"/>
  <c r="K256" i="2"/>
  <c r="J256" i="2"/>
  <c r="I256" i="2"/>
  <c r="H256" i="2"/>
  <c r="G256" i="2"/>
  <c r="F256" i="2"/>
  <c r="E256" i="2"/>
  <c r="D256" i="2"/>
  <c r="C256" i="2"/>
  <c r="B256" i="2"/>
  <c r="A256" i="2"/>
  <c r="AX255" i="2"/>
  <c r="AW255" i="2"/>
  <c r="AV255" i="2"/>
  <c r="AU255" i="2"/>
  <c r="AT255" i="2"/>
  <c r="AS255" i="2"/>
  <c r="AR255" i="2"/>
  <c r="AO255" i="2"/>
  <c r="AN255" i="2"/>
  <c r="AM255" i="2"/>
  <c r="AL255" i="2"/>
  <c r="AK255" i="2"/>
  <c r="AJ255" i="2"/>
  <c r="AI255" i="2"/>
  <c r="AH255" i="2"/>
  <c r="AG255" i="2"/>
  <c r="AF255" i="2"/>
  <c r="AE255" i="2"/>
  <c r="AD255" i="2"/>
  <c r="AC255" i="2"/>
  <c r="AB255" i="2"/>
  <c r="AA255" i="2"/>
  <c r="Z255" i="2"/>
  <c r="Y255" i="2"/>
  <c r="X255" i="2"/>
  <c r="W255" i="2"/>
  <c r="V255" i="2"/>
  <c r="U255" i="2"/>
  <c r="T255" i="2"/>
  <c r="S255" i="2"/>
  <c r="R255" i="2"/>
  <c r="Q255" i="2"/>
  <c r="P255" i="2"/>
  <c r="O255" i="2"/>
  <c r="N255" i="2"/>
  <c r="M255" i="2"/>
  <c r="L255" i="2"/>
  <c r="K255" i="2"/>
  <c r="J255" i="2"/>
  <c r="I255" i="2"/>
  <c r="H255" i="2"/>
  <c r="G255" i="2"/>
  <c r="F255" i="2"/>
  <c r="E255" i="2"/>
  <c r="D255" i="2"/>
  <c r="C255" i="2"/>
  <c r="B255" i="2"/>
  <c r="A255" i="2"/>
  <c r="AX254" i="2"/>
  <c r="AW254" i="2"/>
  <c r="AV254" i="2"/>
  <c r="AU254" i="2"/>
  <c r="AT254" i="2"/>
  <c r="AS254" i="2"/>
  <c r="AR254" i="2"/>
  <c r="AO254" i="2"/>
  <c r="AN254" i="2"/>
  <c r="AM254" i="2"/>
  <c r="AL254" i="2"/>
  <c r="AK254" i="2"/>
  <c r="AJ254" i="2"/>
  <c r="AI254" i="2"/>
  <c r="AH254" i="2"/>
  <c r="AG254" i="2"/>
  <c r="AE254" i="2"/>
  <c r="AD254" i="2"/>
  <c r="AC254" i="2"/>
  <c r="AB254" i="2"/>
  <c r="AA254" i="2"/>
  <c r="Z254" i="2"/>
  <c r="Y254" i="2"/>
  <c r="X254" i="2"/>
  <c r="W254" i="2"/>
  <c r="V254" i="2"/>
  <c r="U254" i="2"/>
  <c r="T254" i="2"/>
  <c r="S254" i="2"/>
  <c r="R254" i="2"/>
  <c r="Q254" i="2"/>
  <c r="P254" i="2"/>
  <c r="O254" i="2"/>
  <c r="N254" i="2"/>
  <c r="M254" i="2"/>
  <c r="L254" i="2"/>
  <c r="K254" i="2"/>
  <c r="J254" i="2"/>
  <c r="I254" i="2"/>
  <c r="H254" i="2"/>
  <c r="G254" i="2"/>
  <c r="F254" i="2"/>
  <c r="E254" i="2"/>
  <c r="D254" i="2"/>
  <c r="C254" i="2"/>
  <c r="B254" i="2"/>
  <c r="A254" i="2"/>
  <c r="AX253" i="2"/>
  <c r="AW253" i="2"/>
  <c r="AV253" i="2"/>
  <c r="AU253" i="2"/>
  <c r="AT253" i="2"/>
  <c r="AS253" i="2"/>
  <c r="AR253" i="2"/>
  <c r="AO253" i="2"/>
  <c r="AN253" i="2"/>
  <c r="AM253" i="2"/>
  <c r="AK253" i="2"/>
  <c r="AJ253" i="2"/>
  <c r="AI253" i="2"/>
  <c r="AH253" i="2"/>
  <c r="AG253" i="2"/>
  <c r="AE253" i="2"/>
  <c r="AD253" i="2"/>
  <c r="AC253" i="2"/>
  <c r="AB253" i="2"/>
  <c r="AA253" i="2"/>
  <c r="Z253" i="2"/>
  <c r="Y253" i="2"/>
  <c r="X253" i="2"/>
  <c r="W253" i="2"/>
  <c r="V253" i="2"/>
  <c r="U253" i="2"/>
  <c r="T253" i="2"/>
  <c r="S253" i="2"/>
  <c r="R253" i="2"/>
  <c r="Q253" i="2"/>
  <c r="P253" i="2"/>
  <c r="O253" i="2"/>
  <c r="N253" i="2"/>
  <c r="M253" i="2"/>
  <c r="L253" i="2"/>
  <c r="K253" i="2"/>
  <c r="J253" i="2"/>
  <c r="I253" i="2"/>
  <c r="H253" i="2"/>
  <c r="G253" i="2"/>
  <c r="F253" i="2"/>
  <c r="E253" i="2"/>
  <c r="D253" i="2"/>
  <c r="C253" i="2"/>
  <c r="B253" i="2"/>
  <c r="A253" i="2"/>
  <c r="AX252" i="2"/>
  <c r="AW252" i="2"/>
  <c r="AV252" i="2"/>
  <c r="AU252" i="2"/>
  <c r="AT252" i="2"/>
  <c r="AS252" i="2"/>
  <c r="AR252" i="2"/>
  <c r="AO252" i="2"/>
  <c r="AN252" i="2"/>
  <c r="AM252" i="2"/>
  <c r="AL252" i="2"/>
  <c r="AK252" i="2"/>
  <c r="AJ252" i="2"/>
  <c r="AI252" i="2"/>
  <c r="AH252" i="2"/>
  <c r="AG252" i="2"/>
  <c r="AE252" i="2"/>
  <c r="AD252" i="2"/>
  <c r="AC252" i="2"/>
  <c r="AB252" i="2"/>
  <c r="AA252" i="2"/>
  <c r="Z252" i="2"/>
  <c r="Y252" i="2"/>
  <c r="X252" i="2"/>
  <c r="W252" i="2"/>
  <c r="V252" i="2"/>
  <c r="U252" i="2"/>
  <c r="T252" i="2"/>
  <c r="S252" i="2"/>
  <c r="R252" i="2"/>
  <c r="Q252" i="2"/>
  <c r="P252" i="2"/>
  <c r="O252" i="2"/>
  <c r="N252" i="2"/>
  <c r="M252" i="2"/>
  <c r="L252" i="2"/>
  <c r="K252" i="2"/>
  <c r="J252" i="2"/>
  <c r="I252" i="2"/>
  <c r="H252" i="2"/>
  <c r="G252" i="2"/>
  <c r="F252" i="2"/>
  <c r="E252" i="2"/>
  <c r="D252" i="2"/>
  <c r="C252" i="2"/>
  <c r="B252" i="2"/>
  <c r="A252" i="2"/>
  <c r="AX251" i="2"/>
  <c r="AW251" i="2"/>
  <c r="AV251" i="2"/>
  <c r="AU251" i="2"/>
  <c r="AT251" i="2"/>
  <c r="AS251" i="2"/>
  <c r="AR251" i="2"/>
  <c r="AO251" i="2"/>
  <c r="AN251" i="2"/>
  <c r="AM251" i="2"/>
  <c r="AL251" i="2"/>
  <c r="AK251" i="2"/>
  <c r="AJ251" i="2"/>
  <c r="AI251" i="2"/>
  <c r="AH251" i="2"/>
  <c r="AG251" i="2"/>
  <c r="AE251" i="2"/>
  <c r="AD251" i="2"/>
  <c r="AC251" i="2"/>
  <c r="AB251" i="2"/>
  <c r="AA251" i="2"/>
  <c r="Z251" i="2"/>
  <c r="Y251" i="2"/>
  <c r="X251" i="2"/>
  <c r="W251" i="2"/>
  <c r="V251" i="2"/>
  <c r="U251" i="2"/>
  <c r="T251" i="2"/>
  <c r="S251" i="2"/>
  <c r="R251" i="2"/>
  <c r="Q251" i="2"/>
  <c r="P251" i="2"/>
  <c r="O251" i="2"/>
  <c r="N251" i="2"/>
  <c r="M251" i="2"/>
  <c r="L251" i="2"/>
  <c r="K251" i="2"/>
  <c r="J251" i="2"/>
  <c r="I251" i="2"/>
  <c r="H251" i="2"/>
  <c r="G251" i="2"/>
  <c r="F251" i="2"/>
  <c r="E251" i="2"/>
  <c r="D251" i="2"/>
  <c r="C251" i="2"/>
  <c r="B251" i="2"/>
  <c r="A251" i="2"/>
  <c r="AX250" i="2"/>
  <c r="AW250" i="2"/>
  <c r="AV250" i="2"/>
  <c r="AU250" i="2"/>
  <c r="AT250" i="2"/>
  <c r="AS250" i="2"/>
  <c r="AR250" i="2"/>
  <c r="AQ250" i="2"/>
  <c r="AP250" i="2"/>
  <c r="AO250" i="2"/>
  <c r="AN250" i="2"/>
  <c r="AM250" i="2"/>
  <c r="AK250" i="2"/>
  <c r="AJ250" i="2"/>
  <c r="AI250" i="2"/>
  <c r="AH250" i="2"/>
  <c r="AG250" i="2"/>
  <c r="AE250" i="2"/>
  <c r="AC250" i="2"/>
  <c r="Z250" i="2"/>
  <c r="Y250" i="2"/>
  <c r="X250" i="2"/>
  <c r="W250" i="2"/>
  <c r="V250" i="2"/>
  <c r="U250" i="2"/>
  <c r="T250" i="2"/>
  <c r="S250" i="2"/>
  <c r="R250" i="2"/>
  <c r="Q250" i="2"/>
  <c r="P250" i="2"/>
  <c r="O250" i="2"/>
  <c r="N250" i="2"/>
  <c r="M250" i="2"/>
  <c r="L250" i="2"/>
  <c r="K250" i="2"/>
  <c r="J250" i="2"/>
  <c r="I250" i="2"/>
  <c r="H250" i="2"/>
  <c r="G250" i="2"/>
  <c r="F250" i="2"/>
  <c r="E250" i="2"/>
  <c r="D250" i="2"/>
  <c r="C250" i="2"/>
  <c r="B250" i="2"/>
  <c r="A250" i="2"/>
  <c r="AX249" i="2"/>
  <c r="AW249" i="2"/>
  <c r="AV249" i="2"/>
  <c r="AU249" i="2"/>
  <c r="AT249" i="2"/>
  <c r="AS249" i="2"/>
  <c r="AR249" i="2"/>
  <c r="AO249" i="2"/>
  <c r="AN249" i="2"/>
  <c r="AM249" i="2"/>
  <c r="AL249" i="2"/>
  <c r="AK249" i="2"/>
  <c r="AJ249" i="2"/>
  <c r="AI249" i="2"/>
  <c r="AH249" i="2"/>
  <c r="AG249" i="2"/>
  <c r="AE249" i="2"/>
  <c r="AD249" i="2"/>
  <c r="AC249" i="2"/>
  <c r="AB249" i="2"/>
  <c r="Z249" i="2"/>
  <c r="Y249" i="2"/>
  <c r="X249" i="2"/>
  <c r="W249" i="2"/>
  <c r="V249" i="2"/>
  <c r="U249" i="2"/>
  <c r="T249" i="2"/>
  <c r="S249" i="2"/>
  <c r="R249" i="2"/>
  <c r="Q249" i="2"/>
  <c r="P249" i="2"/>
  <c r="O249" i="2"/>
  <c r="N249" i="2"/>
  <c r="M249" i="2"/>
  <c r="L249" i="2"/>
  <c r="K249" i="2"/>
  <c r="J249" i="2"/>
  <c r="I249" i="2"/>
  <c r="H249" i="2"/>
  <c r="G249" i="2"/>
  <c r="F249" i="2"/>
  <c r="E249" i="2"/>
  <c r="D249" i="2"/>
  <c r="C249" i="2"/>
  <c r="B249" i="2"/>
  <c r="A249" i="2"/>
  <c r="AX248" i="2"/>
  <c r="AW248" i="2"/>
  <c r="AV248" i="2"/>
  <c r="AU248" i="2"/>
  <c r="AT248" i="2"/>
  <c r="AS248" i="2"/>
  <c r="AR248" i="2"/>
  <c r="AO248" i="2"/>
  <c r="AN248" i="2"/>
  <c r="AM248" i="2"/>
  <c r="AK248" i="2"/>
  <c r="AJ248" i="2"/>
  <c r="AI248" i="2"/>
  <c r="AH248" i="2"/>
  <c r="AG248" i="2"/>
  <c r="AC248" i="2"/>
  <c r="Z248" i="2"/>
  <c r="Y248" i="2"/>
  <c r="X248" i="2"/>
  <c r="W248" i="2"/>
  <c r="V248" i="2"/>
  <c r="U248" i="2"/>
  <c r="T248" i="2"/>
  <c r="S248" i="2"/>
  <c r="R248" i="2"/>
  <c r="Q248" i="2"/>
  <c r="P248" i="2"/>
  <c r="O248" i="2"/>
  <c r="N248" i="2"/>
  <c r="M248" i="2"/>
  <c r="L248" i="2"/>
  <c r="K248" i="2"/>
  <c r="J248" i="2"/>
  <c r="I248" i="2"/>
  <c r="H248" i="2"/>
  <c r="G248" i="2"/>
  <c r="F248" i="2"/>
  <c r="E248" i="2"/>
  <c r="D248" i="2"/>
  <c r="C248" i="2"/>
  <c r="B248" i="2"/>
  <c r="A248" i="2"/>
  <c r="AX247" i="2"/>
  <c r="AW247" i="2"/>
  <c r="AV247" i="2"/>
  <c r="AU247" i="2"/>
  <c r="AT247" i="2"/>
  <c r="AS247" i="2"/>
  <c r="AR247" i="2"/>
  <c r="AO247" i="2"/>
  <c r="AN247" i="2"/>
  <c r="AM247" i="2"/>
  <c r="AK247" i="2"/>
  <c r="AJ247" i="2"/>
  <c r="AI247" i="2"/>
  <c r="AH247" i="2"/>
  <c r="AG247" i="2"/>
  <c r="AE247" i="2"/>
  <c r="AC247" i="2"/>
  <c r="Z247" i="2"/>
  <c r="Y247" i="2"/>
  <c r="X247" i="2"/>
  <c r="W247" i="2"/>
  <c r="V247" i="2"/>
  <c r="U247" i="2"/>
  <c r="T247" i="2"/>
  <c r="S247" i="2"/>
  <c r="R247" i="2"/>
  <c r="Q247" i="2"/>
  <c r="P247" i="2"/>
  <c r="O247" i="2"/>
  <c r="N247" i="2"/>
  <c r="M247" i="2"/>
  <c r="L247" i="2"/>
  <c r="K247" i="2"/>
  <c r="J247" i="2"/>
  <c r="I247" i="2"/>
  <c r="H247" i="2"/>
  <c r="G247" i="2"/>
  <c r="F247" i="2"/>
  <c r="E247" i="2"/>
  <c r="D247" i="2"/>
  <c r="C247" i="2"/>
  <c r="B247" i="2"/>
  <c r="A247" i="2"/>
  <c r="AX246" i="2"/>
  <c r="AW246" i="2"/>
  <c r="AV246" i="2"/>
  <c r="AU246" i="2"/>
  <c r="AT246" i="2"/>
  <c r="AS246" i="2"/>
  <c r="AR246" i="2"/>
  <c r="AO246" i="2"/>
  <c r="AN246" i="2"/>
  <c r="AM246" i="2"/>
  <c r="AK246" i="2"/>
  <c r="AJ246" i="2"/>
  <c r="AI246" i="2"/>
  <c r="AH246" i="2"/>
  <c r="AG246" i="2"/>
  <c r="AD246" i="2"/>
  <c r="AC246" i="2"/>
  <c r="AB246" i="2"/>
  <c r="AA246" i="2"/>
  <c r="Z246" i="2"/>
  <c r="Y246" i="2"/>
  <c r="X246" i="2"/>
  <c r="W246" i="2"/>
  <c r="V246" i="2"/>
  <c r="U246" i="2"/>
  <c r="T246" i="2"/>
  <c r="S246" i="2"/>
  <c r="R246" i="2"/>
  <c r="Q246" i="2"/>
  <c r="P246" i="2"/>
  <c r="O246" i="2"/>
  <c r="N246" i="2"/>
  <c r="M246" i="2"/>
  <c r="L246" i="2"/>
  <c r="K246" i="2"/>
  <c r="J246" i="2"/>
  <c r="I246" i="2"/>
  <c r="H246" i="2"/>
  <c r="G246" i="2"/>
  <c r="F246" i="2"/>
  <c r="E246" i="2"/>
  <c r="D246" i="2"/>
  <c r="C246" i="2"/>
  <c r="B246" i="2"/>
  <c r="A246" i="2"/>
  <c r="AX245" i="2"/>
  <c r="AW245" i="2"/>
  <c r="AV245" i="2"/>
  <c r="AU245" i="2"/>
  <c r="AT245" i="2"/>
  <c r="AS245" i="2"/>
  <c r="AR245" i="2"/>
  <c r="AO245" i="2"/>
  <c r="AN245" i="2"/>
  <c r="AM245" i="2"/>
  <c r="AK245" i="2"/>
  <c r="AJ245" i="2"/>
  <c r="AI245" i="2"/>
  <c r="AH245" i="2"/>
  <c r="AG245" i="2"/>
  <c r="AF245" i="2"/>
  <c r="AE245" i="2"/>
  <c r="AD245" i="2"/>
  <c r="AC245" i="2"/>
  <c r="AB245" i="2"/>
  <c r="AA245" i="2"/>
  <c r="Z245" i="2"/>
  <c r="Y245" i="2"/>
  <c r="X245" i="2"/>
  <c r="W245" i="2"/>
  <c r="V245" i="2"/>
  <c r="U245" i="2"/>
  <c r="T245" i="2"/>
  <c r="S245" i="2"/>
  <c r="R245" i="2"/>
  <c r="Q245" i="2"/>
  <c r="P245" i="2"/>
  <c r="O245" i="2"/>
  <c r="N245" i="2"/>
  <c r="M245" i="2"/>
  <c r="L245" i="2"/>
  <c r="K245" i="2"/>
  <c r="J245" i="2"/>
  <c r="I245" i="2"/>
  <c r="H245" i="2"/>
  <c r="G245" i="2"/>
  <c r="F245" i="2"/>
  <c r="E245" i="2"/>
  <c r="D245" i="2"/>
  <c r="C245" i="2"/>
  <c r="B245" i="2"/>
  <c r="A245" i="2"/>
  <c r="AX244" i="2"/>
  <c r="AW244" i="2"/>
  <c r="AV244" i="2"/>
  <c r="AU244" i="2"/>
  <c r="AT244" i="2"/>
  <c r="AS244" i="2"/>
  <c r="AR244" i="2"/>
  <c r="AO244" i="2"/>
  <c r="AN244" i="2"/>
  <c r="AM244" i="2"/>
  <c r="AK244" i="2"/>
  <c r="AJ244" i="2"/>
  <c r="AI244" i="2"/>
  <c r="AH244" i="2"/>
  <c r="AG244" i="2"/>
  <c r="AD244" i="2"/>
  <c r="AC244" i="2"/>
  <c r="AB244" i="2"/>
  <c r="AA244" i="2"/>
  <c r="Z244" i="2"/>
  <c r="Y244" i="2"/>
  <c r="X244" i="2"/>
  <c r="W244" i="2"/>
  <c r="V244" i="2"/>
  <c r="U244" i="2"/>
  <c r="T244" i="2"/>
  <c r="S244" i="2"/>
  <c r="R244" i="2"/>
  <c r="Q244" i="2"/>
  <c r="P244" i="2"/>
  <c r="O244" i="2"/>
  <c r="N244" i="2"/>
  <c r="M244" i="2"/>
  <c r="L244" i="2"/>
  <c r="K244" i="2"/>
  <c r="J244" i="2"/>
  <c r="I244" i="2"/>
  <c r="H244" i="2"/>
  <c r="G244" i="2"/>
  <c r="F244" i="2"/>
  <c r="E244" i="2"/>
  <c r="D244" i="2"/>
  <c r="C244" i="2"/>
  <c r="B244" i="2"/>
  <c r="A244" i="2"/>
  <c r="AX243" i="2"/>
  <c r="AW243" i="2"/>
  <c r="AV243" i="2"/>
  <c r="AU243" i="2"/>
  <c r="AT243" i="2"/>
  <c r="AS243" i="2"/>
  <c r="AR243" i="2"/>
  <c r="AO243" i="2"/>
  <c r="AN243" i="2"/>
  <c r="AM243" i="2"/>
  <c r="AL243" i="2"/>
  <c r="AK243" i="2"/>
  <c r="AJ243" i="2"/>
  <c r="AI243" i="2"/>
  <c r="AH243" i="2"/>
  <c r="AG243" i="2"/>
  <c r="AE243" i="2"/>
  <c r="AD243" i="2"/>
  <c r="AC243" i="2"/>
  <c r="AB243" i="2"/>
  <c r="AA243" i="2"/>
  <c r="Z243" i="2"/>
  <c r="Y243" i="2"/>
  <c r="X243" i="2"/>
  <c r="W243" i="2"/>
  <c r="V243" i="2"/>
  <c r="U243" i="2"/>
  <c r="T243" i="2"/>
  <c r="S243" i="2"/>
  <c r="R243" i="2"/>
  <c r="Q243" i="2"/>
  <c r="P243" i="2"/>
  <c r="O243" i="2"/>
  <c r="N243" i="2"/>
  <c r="M243" i="2"/>
  <c r="L243" i="2"/>
  <c r="K243" i="2"/>
  <c r="J243" i="2"/>
  <c r="I243" i="2"/>
  <c r="H243" i="2"/>
  <c r="G243" i="2"/>
  <c r="F243" i="2"/>
  <c r="E243" i="2"/>
  <c r="D243" i="2"/>
  <c r="C243" i="2"/>
  <c r="B243" i="2"/>
  <c r="A243" i="2"/>
  <c r="AX242" i="2"/>
  <c r="AW242" i="2"/>
  <c r="AV242" i="2"/>
  <c r="AU242" i="2"/>
  <c r="AT242" i="2"/>
  <c r="AS242" i="2"/>
  <c r="AR242" i="2"/>
  <c r="AO242" i="2"/>
  <c r="AN242" i="2"/>
  <c r="AM242" i="2"/>
  <c r="AL242" i="2"/>
  <c r="AK242" i="2"/>
  <c r="AJ242" i="2"/>
  <c r="AI242" i="2"/>
  <c r="AH242" i="2"/>
  <c r="AG242" i="2"/>
  <c r="AE242" i="2"/>
  <c r="AD242" i="2"/>
  <c r="AC242" i="2"/>
  <c r="AB242" i="2"/>
  <c r="AA242" i="2"/>
  <c r="Z242" i="2"/>
  <c r="Y242" i="2"/>
  <c r="X242" i="2"/>
  <c r="W242" i="2"/>
  <c r="V242" i="2"/>
  <c r="U242" i="2"/>
  <c r="T242" i="2"/>
  <c r="S242" i="2"/>
  <c r="R242" i="2"/>
  <c r="Q242" i="2"/>
  <c r="P242" i="2"/>
  <c r="O242" i="2"/>
  <c r="N242" i="2"/>
  <c r="M242" i="2"/>
  <c r="L242" i="2"/>
  <c r="K242" i="2"/>
  <c r="J242" i="2"/>
  <c r="I242" i="2"/>
  <c r="H242" i="2"/>
  <c r="G242" i="2"/>
  <c r="F242" i="2"/>
  <c r="E242" i="2"/>
  <c r="D242" i="2"/>
  <c r="C242" i="2"/>
  <c r="B242" i="2"/>
  <c r="A242" i="2"/>
  <c r="AX241" i="2"/>
  <c r="AW241" i="2"/>
  <c r="AV241" i="2"/>
  <c r="AU241" i="2"/>
  <c r="AT241" i="2"/>
  <c r="AS241" i="2"/>
  <c r="AR241" i="2"/>
  <c r="AO241" i="2"/>
  <c r="AN241" i="2"/>
  <c r="AM241" i="2"/>
  <c r="AL241" i="2"/>
  <c r="AK241" i="2"/>
  <c r="AJ241" i="2"/>
  <c r="AI241" i="2"/>
  <c r="AH241" i="2"/>
  <c r="AG241" i="2"/>
  <c r="AE241" i="2"/>
  <c r="AD241" i="2"/>
  <c r="AC241" i="2"/>
  <c r="AB241" i="2"/>
  <c r="AA241" i="2"/>
  <c r="Z241" i="2"/>
  <c r="Y241" i="2"/>
  <c r="X241" i="2"/>
  <c r="W241" i="2"/>
  <c r="V241" i="2"/>
  <c r="U241" i="2"/>
  <c r="T241" i="2"/>
  <c r="S241" i="2"/>
  <c r="R241" i="2"/>
  <c r="Q241" i="2"/>
  <c r="P241" i="2"/>
  <c r="O241" i="2"/>
  <c r="N241" i="2"/>
  <c r="M241" i="2"/>
  <c r="L241" i="2"/>
  <c r="K241" i="2"/>
  <c r="J241" i="2"/>
  <c r="I241" i="2"/>
  <c r="H241" i="2"/>
  <c r="G241" i="2"/>
  <c r="F241" i="2"/>
  <c r="E241" i="2"/>
  <c r="D241" i="2"/>
  <c r="C241" i="2"/>
  <c r="B241" i="2"/>
  <c r="A241" i="2"/>
  <c r="AX240" i="2"/>
  <c r="AW240" i="2"/>
  <c r="AV240" i="2"/>
  <c r="AU240" i="2"/>
  <c r="AT240" i="2"/>
  <c r="AS240" i="2"/>
  <c r="AR240" i="2"/>
  <c r="AO240" i="2"/>
  <c r="AN240" i="2"/>
  <c r="AM240" i="2"/>
  <c r="AL240" i="2"/>
  <c r="AK240" i="2"/>
  <c r="AJ240" i="2"/>
  <c r="AI240" i="2"/>
  <c r="AH240" i="2"/>
  <c r="AG240" i="2"/>
  <c r="AE240" i="2"/>
  <c r="AD240" i="2"/>
  <c r="AC240" i="2"/>
  <c r="AB240" i="2"/>
  <c r="AA240" i="2"/>
  <c r="Z240" i="2"/>
  <c r="Y240" i="2"/>
  <c r="X240" i="2"/>
  <c r="W240" i="2"/>
  <c r="V240" i="2"/>
  <c r="U240" i="2"/>
  <c r="T240" i="2"/>
  <c r="S240" i="2"/>
  <c r="R240" i="2"/>
  <c r="Q240" i="2"/>
  <c r="P240" i="2"/>
  <c r="O240" i="2"/>
  <c r="N240" i="2"/>
  <c r="M240" i="2"/>
  <c r="L240" i="2"/>
  <c r="K240" i="2"/>
  <c r="J240" i="2"/>
  <c r="I240" i="2"/>
  <c r="H240" i="2"/>
  <c r="G240" i="2"/>
  <c r="F240" i="2"/>
  <c r="E240" i="2"/>
  <c r="D240" i="2"/>
  <c r="C240" i="2"/>
  <c r="B240" i="2"/>
  <c r="A240" i="2"/>
  <c r="AX239" i="2"/>
  <c r="AW239" i="2"/>
  <c r="AV239" i="2"/>
  <c r="AU239" i="2"/>
  <c r="AT239" i="2"/>
  <c r="AS239" i="2"/>
  <c r="AR239" i="2"/>
  <c r="AQ239" i="2"/>
  <c r="AP239" i="2"/>
  <c r="AO239" i="2"/>
  <c r="AN239" i="2"/>
  <c r="AM239" i="2"/>
  <c r="AL239" i="2"/>
  <c r="AK239" i="2"/>
  <c r="AJ239" i="2"/>
  <c r="AI239" i="2"/>
  <c r="AH239" i="2"/>
  <c r="AG239" i="2"/>
  <c r="AE239" i="2"/>
  <c r="AD239" i="2"/>
  <c r="AC239" i="2"/>
  <c r="AB239" i="2"/>
  <c r="AA239" i="2"/>
  <c r="Z239" i="2"/>
  <c r="Y239" i="2"/>
  <c r="X239" i="2"/>
  <c r="W239" i="2"/>
  <c r="V239" i="2"/>
  <c r="U239" i="2"/>
  <c r="T239" i="2"/>
  <c r="S239" i="2"/>
  <c r="R239" i="2"/>
  <c r="Q239" i="2"/>
  <c r="P239" i="2"/>
  <c r="O239" i="2"/>
  <c r="N239" i="2"/>
  <c r="M239" i="2"/>
  <c r="L239" i="2"/>
  <c r="K239" i="2"/>
  <c r="J239" i="2"/>
  <c r="I239" i="2"/>
  <c r="H239" i="2"/>
  <c r="G239" i="2"/>
  <c r="F239" i="2"/>
  <c r="E239" i="2"/>
  <c r="D239" i="2"/>
  <c r="C239" i="2"/>
  <c r="B239" i="2"/>
  <c r="A239" i="2"/>
  <c r="AX238" i="2"/>
  <c r="AW238" i="2"/>
  <c r="AV238" i="2"/>
  <c r="AU238" i="2"/>
  <c r="AT238" i="2"/>
  <c r="AS238" i="2"/>
  <c r="AR238" i="2"/>
  <c r="AO238" i="2"/>
  <c r="AN238" i="2"/>
  <c r="AM238" i="2"/>
  <c r="AK238" i="2"/>
  <c r="AJ238" i="2"/>
  <c r="AI238" i="2"/>
  <c r="AH238" i="2"/>
  <c r="AG238" i="2"/>
  <c r="AE238" i="2"/>
  <c r="AD238" i="2"/>
  <c r="AC238" i="2"/>
  <c r="AB238" i="2"/>
  <c r="Z238" i="2"/>
  <c r="Y238" i="2"/>
  <c r="X238" i="2"/>
  <c r="W238" i="2"/>
  <c r="V238" i="2"/>
  <c r="U238" i="2"/>
  <c r="T238" i="2"/>
  <c r="S238" i="2"/>
  <c r="R238" i="2"/>
  <c r="Q238" i="2"/>
  <c r="P238" i="2"/>
  <c r="O238" i="2"/>
  <c r="N238" i="2"/>
  <c r="M238" i="2"/>
  <c r="L238" i="2"/>
  <c r="K238" i="2"/>
  <c r="J238" i="2"/>
  <c r="I238" i="2"/>
  <c r="H238" i="2"/>
  <c r="G238" i="2"/>
  <c r="F238" i="2"/>
  <c r="E238" i="2"/>
  <c r="D238" i="2"/>
  <c r="C238" i="2"/>
  <c r="B238" i="2"/>
  <c r="A238" i="2"/>
  <c r="AX237" i="2"/>
  <c r="AW237" i="2"/>
  <c r="AV237" i="2"/>
  <c r="AU237" i="2"/>
  <c r="AT237" i="2"/>
  <c r="AS237" i="2"/>
  <c r="AR237" i="2"/>
  <c r="AO237" i="2"/>
  <c r="AN237" i="2"/>
  <c r="AM237" i="2"/>
  <c r="AL237" i="2"/>
  <c r="AK237" i="2"/>
  <c r="AI237" i="2"/>
  <c r="AH237" i="2"/>
  <c r="AG237" i="2"/>
  <c r="AE237" i="2"/>
  <c r="AD237" i="2"/>
  <c r="AC237" i="2"/>
  <c r="AB237" i="2"/>
  <c r="AA237" i="2"/>
  <c r="Z237" i="2"/>
  <c r="Y237" i="2"/>
  <c r="X237" i="2"/>
  <c r="W237" i="2"/>
  <c r="V237" i="2"/>
  <c r="U237" i="2"/>
  <c r="T237" i="2"/>
  <c r="S237" i="2"/>
  <c r="R237" i="2"/>
  <c r="Q237" i="2"/>
  <c r="P237" i="2"/>
  <c r="O237" i="2"/>
  <c r="N237" i="2"/>
  <c r="M237" i="2"/>
  <c r="L237" i="2"/>
  <c r="K237" i="2"/>
  <c r="J237" i="2"/>
  <c r="I237" i="2"/>
  <c r="H237" i="2"/>
  <c r="G237" i="2"/>
  <c r="F237" i="2"/>
  <c r="E237" i="2"/>
  <c r="D237" i="2"/>
  <c r="C237" i="2"/>
  <c r="B237" i="2"/>
  <c r="A237" i="2"/>
  <c r="AX236" i="2"/>
  <c r="AW236" i="2"/>
  <c r="AV236" i="2"/>
  <c r="AU236" i="2"/>
  <c r="AT236" i="2"/>
  <c r="AS236" i="2"/>
  <c r="AR236" i="2"/>
  <c r="AO236" i="2"/>
  <c r="AN236" i="2"/>
  <c r="AM236" i="2"/>
  <c r="AL236" i="2"/>
  <c r="AK236" i="2"/>
  <c r="AJ236" i="2"/>
  <c r="AI236" i="2"/>
  <c r="AH236" i="2"/>
  <c r="AG236" i="2"/>
  <c r="AE236" i="2"/>
  <c r="AD236" i="2"/>
  <c r="AC236" i="2"/>
  <c r="AB236" i="2"/>
  <c r="AA236" i="2"/>
  <c r="Z236" i="2"/>
  <c r="Y236" i="2"/>
  <c r="X236" i="2"/>
  <c r="W236" i="2"/>
  <c r="V236" i="2"/>
  <c r="U236" i="2"/>
  <c r="T236" i="2"/>
  <c r="S236" i="2"/>
  <c r="R236" i="2"/>
  <c r="Q236" i="2"/>
  <c r="P236" i="2"/>
  <c r="O236" i="2"/>
  <c r="N236" i="2"/>
  <c r="M236" i="2"/>
  <c r="L236" i="2"/>
  <c r="K236" i="2"/>
  <c r="J236" i="2"/>
  <c r="I236" i="2"/>
  <c r="H236" i="2"/>
  <c r="G236" i="2"/>
  <c r="F236" i="2"/>
  <c r="E236" i="2"/>
  <c r="D236" i="2"/>
  <c r="C236" i="2"/>
  <c r="B236" i="2"/>
  <c r="A236" i="2"/>
  <c r="AX235" i="2"/>
  <c r="AW235" i="2"/>
  <c r="AV235" i="2"/>
  <c r="AU235" i="2"/>
  <c r="AT235" i="2"/>
  <c r="AS235" i="2"/>
  <c r="AR235" i="2"/>
  <c r="AO235" i="2"/>
  <c r="AN235" i="2"/>
  <c r="AM235" i="2"/>
  <c r="AL235" i="2"/>
  <c r="AK235" i="2"/>
  <c r="AJ235" i="2"/>
  <c r="AI235" i="2"/>
  <c r="AH235" i="2"/>
  <c r="AG235" i="2"/>
  <c r="AE235" i="2"/>
  <c r="AD235" i="2"/>
  <c r="AC235" i="2"/>
  <c r="AB235" i="2"/>
  <c r="AA235" i="2"/>
  <c r="Z235" i="2"/>
  <c r="Y235" i="2"/>
  <c r="X235" i="2"/>
  <c r="W235" i="2"/>
  <c r="V235" i="2"/>
  <c r="U235" i="2"/>
  <c r="T235" i="2"/>
  <c r="S235" i="2"/>
  <c r="R235" i="2"/>
  <c r="Q235" i="2"/>
  <c r="P235" i="2"/>
  <c r="O235" i="2"/>
  <c r="N235" i="2"/>
  <c r="M235" i="2"/>
  <c r="L235" i="2"/>
  <c r="K235" i="2"/>
  <c r="J235" i="2"/>
  <c r="I235" i="2"/>
  <c r="H235" i="2"/>
  <c r="G235" i="2"/>
  <c r="F235" i="2"/>
  <c r="E235" i="2"/>
  <c r="D235" i="2"/>
  <c r="C235" i="2"/>
  <c r="B235" i="2"/>
  <c r="A235" i="2"/>
  <c r="AX234" i="2"/>
  <c r="AW234" i="2"/>
  <c r="AV234" i="2"/>
  <c r="AU234" i="2"/>
  <c r="AT234" i="2"/>
  <c r="AS234" i="2"/>
  <c r="AR234" i="2"/>
  <c r="AO234" i="2"/>
  <c r="AN234" i="2"/>
  <c r="AM234" i="2"/>
  <c r="AK234" i="2"/>
  <c r="AJ234" i="2"/>
  <c r="AI234" i="2"/>
  <c r="AH234" i="2"/>
  <c r="AG234" i="2"/>
  <c r="AE234" i="2"/>
  <c r="AC234" i="2"/>
  <c r="AB234" i="2"/>
  <c r="AA234" i="2"/>
  <c r="Z234" i="2"/>
  <c r="Y234" i="2"/>
  <c r="X234" i="2"/>
  <c r="W234" i="2"/>
  <c r="V234" i="2"/>
  <c r="U234" i="2"/>
  <c r="T234" i="2"/>
  <c r="S234" i="2"/>
  <c r="R234" i="2"/>
  <c r="Q234" i="2"/>
  <c r="P234" i="2"/>
  <c r="O234" i="2"/>
  <c r="N234" i="2"/>
  <c r="M234" i="2"/>
  <c r="L234" i="2"/>
  <c r="K234" i="2"/>
  <c r="J234" i="2"/>
  <c r="I234" i="2"/>
  <c r="H234" i="2"/>
  <c r="G234" i="2"/>
  <c r="F234" i="2"/>
  <c r="E234" i="2"/>
  <c r="D234" i="2"/>
  <c r="C234" i="2"/>
  <c r="B234" i="2"/>
  <c r="A234" i="2"/>
  <c r="AX233" i="2"/>
  <c r="AW233" i="2"/>
  <c r="AV233" i="2"/>
  <c r="AU233" i="2"/>
  <c r="AT233" i="2"/>
  <c r="AS233" i="2"/>
  <c r="AR233" i="2"/>
  <c r="AO233" i="2"/>
  <c r="AN233" i="2"/>
  <c r="AM233" i="2"/>
  <c r="AL233" i="2"/>
  <c r="AK233" i="2"/>
  <c r="AJ233" i="2"/>
  <c r="AI233" i="2"/>
  <c r="AH233" i="2"/>
  <c r="AG233" i="2"/>
  <c r="AE233" i="2"/>
  <c r="AD233" i="2"/>
  <c r="AC233" i="2"/>
  <c r="AB233" i="2"/>
  <c r="AA233" i="2"/>
  <c r="Z233" i="2"/>
  <c r="Y233" i="2"/>
  <c r="X233" i="2"/>
  <c r="W233" i="2"/>
  <c r="V233" i="2"/>
  <c r="U233" i="2"/>
  <c r="T233" i="2"/>
  <c r="S233" i="2"/>
  <c r="R233" i="2"/>
  <c r="Q233" i="2"/>
  <c r="P233" i="2"/>
  <c r="O233" i="2"/>
  <c r="N233" i="2"/>
  <c r="M233" i="2"/>
  <c r="L233" i="2"/>
  <c r="K233" i="2"/>
  <c r="J233" i="2"/>
  <c r="I233" i="2"/>
  <c r="H233" i="2"/>
  <c r="G233" i="2"/>
  <c r="F233" i="2"/>
  <c r="E233" i="2"/>
  <c r="D233" i="2"/>
  <c r="C233" i="2"/>
  <c r="B233" i="2"/>
  <c r="A233" i="2"/>
  <c r="AX232" i="2"/>
  <c r="AW232" i="2"/>
  <c r="AV232" i="2"/>
  <c r="AU232" i="2"/>
  <c r="AT232" i="2"/>
  <c r="AS232" i="2"/>
  <c r="AR232" i="2"/>
  <c r="AO232" i="2"/>
  <c r="AN232" i="2"/>
  <c r="AM232" i="2"/>
  <c r="AK232" i="2"/>
  <c r="AJ232" i="2"/>
  <c r="AI232" i="2"/>
  <c r="AH232" i="2"/>
  <c r="AG232" i="2"/>
  <c r="Z232" i="2"/>
  <c r="Y232" i="2"/>
  <c r="X232" i="2"/>
  <c r="W232" i="2"/>
  <c r="V232" i="2"/>
  <c r="U232" i="2"/>
  <c r="T232" i="2"/>
  <c r="S232" i="2"/>
  <c r="R232" i="2"/>
  <c r="Q232" i="2"/>
  <c r="P232" i="2"/>
  <c r="O232" i="2"/>
  <c r="N232" i="2"/>
  <c r="M232" i="2"/>
  <c r="L232" i="2"/>
  <c r="K232" i="2"/>
  <c r="J232" i="2"/>
  <c r="I232" i="2"/>
  <c r="H232" i="2"/>
  <c r="G232" i="2"/>
  <c r="F232" i="2"/>
  <c r="E232" i="2"/>
  <c r="D232" i="2"/>
  <c r="C232" i="2"/>
  <c r="B232" i="2"/>
  <c r="A232" i="2"/>
  <c r="AX231" i="2"/>
  <c r="AW231" i="2"/>
  <c r="AV231" i="2"/>
  <c r="AU231" i="2"/>
  <c r="AT231" i="2"/>
  <c r="AS231" i="2"/>
  <c r="AR231" i="2"/>
  <c r="AO231" i="2"/>
  <c r="AN231" i="2"/>
  <c r="AM231" i="2"/>
  <c r="AL231" i="2"/>
  <c r="AK231" i="2"/>
  <c r="AJ231" i="2"/>
  <c r="AI231" i="2"/>
  <c r="AH231" i="2"/>
  <c r="AG231" i="2"/>
  <c r="AE231" i="2"/>
  <c r="AD231" i="2"/>
  <c r="AC231" i="2"/>
  <c r="AB231" i="2"/>
  <c r="AA231" i="2"/>
  <c r="Z231" i="2"/>
  <c r="Y231" i="2"/>
  <c r="X231" i="2"/>
  <c r="W231" i="2"/>
  <c r="V231" i="2"/>
  <c r="U231" i="2"/>
  <c r="T231" i="2"/>
  <c r="S231" i="2"/>
  <c r="R231" i="2"/>
  <c r="Q231" i="2"/>
  <c r="P231" i="2"/>
  <c r="O231" i="2"/>
  <c r="N231" i="2"/>
  <c r="M231" i="2"/>
  <c r="L231" i="2"/>
  <c r="K231" i="2"/>
  <c r="J231" i="2"/>
  <c r="I231" i="2"/>
  <c r="H231" i="2"/>
  <c r="G231" i="2"/>
  <c r="F231" i="2"/>
  <c r="E231" i="2"/>
  <c r="D231" i="2"/>
  <c r="C231" i="2"/>
  <c r="B231" i="2"/>
  <c r="A231" i="2"/>
  <c r="AX230" i="2"/>
  <c r="AW230" i="2"/>
  <c r="AV230" i="2"/>
  <c r="AU230" i="2"/>
  <c r="AT230" i="2"/>
  <c r="AS230" i="2"/>
  <c r="AR230" i="2"/>
  <c r="AO230" i="2"/>
  <c r="AN230" i="2"/>
  <c r="AM230" i="2"/>
  <c r="AK230" i="2"/>
  <c r="AJ230" i="2"/>
  <c r="AI230" i="2"/>
  <c r="AH230" i="2"/>
  <c r="AG230" i="2"/>
  <c r="AE230" i="2"/>
  <c r="AD230" i="2"/>
  <c r="AC230" i="2"/>
  <c r="AB230" i="2"/>
  <c r="AA230" i="2"/>
  <c r="Z230" i="2"/>
  <c r="Y230" i="2"/>
  <c r="X230" i="2"/>
  <c r="W230" i="2"/>
  <c r="V230" i="2"/>
  <c r="U230" i="2"/>
  <c r="T230" i="2"/>
  <c r="S230" i="2"/>
  <c r="R230" i="2"/>
  <c r="Q230" i="2"/>
  <c r="P230" i="2"/>
  <c r="O230" i="2"/>
  <c r="N230" i="2"/>
  <c r="M230" i="2"/>
  <c r="L230" i="2"/>
  <c r="K230" i="2"/>
  <c r="J230" i="2"/>
  <c r="I230" i="2"/>
  <c r="H230" i="2"/>
  <c r="G230" i="2"/>
  <c r="F230" i="2"/>
  <c r="E230" i="2"/>
  <c r="D230" i="2"/>
  <c r="C230" i="2"/>
  <c r="B230" i="2"/>
  <c r="A230" i="2"/>
  <c r="AX229" i="2"/>
  <c r="AW229" i="2"/>
  <c r="AV229" i="2"/>
  <c r="AU229" i="2"/>
  <c r="AT229" i="2"/>
  <c r="AS229" i="2"/>
  <c r="AR229" i="2"/>
  <c r="AO229" i="2"/>
  <c r="AN229" i="2"/>
  <c r="AM229" i="2"/>
  <c r="AL229" i="2"/>
  <c r="AK229" i="2"/>
  <c r="AJ229" i="2"/>
  <c r="AI229" i="2"/>
  <c r="AH229" i="2"/>
  <c r="AG229" i="2"/>
  <c r="AE229" i="2"/>
  <c r="AD229" i="2"/>
  <c r="AC229" i="2"/>
  <c r="AB229" i="2"/>
  <c r="Z229" i="2"/>
  <c r="Y229" i="2"/>
  <c r="X229" i="2"/>
  <c r="W229" i="2"/>
  <c r="V229" i="2"/>
  <c r="U229" i="2"/>
  <c r="T229" i="2"/>
  <c r="S229" i="2"/>
  <c r="R229" i="2"/>
  <c r="Q229" i="2"/>
  <c r="P229" i="2"/>
  <c r="O229" i="2"/>
  <c r="N229" i="2"/>
  <c r="M229" i="2"/>
  <c r="L229" i="2"/>
  <c r="K229" i="2"/>
  <c r="J229" i="2"/>
  <c r="I229" i="2"/>
  <c r="H229" i="2"/>
  <c r="G229" i="2"/>
  <c r="F229" i="2"/>
  <c r="E229" i="2"/>
  <c r="D229" i="2"/>
  <c r="C229" i="2"/>
  <c r="B229" i="2"/>
  <c r="A229" i="2"/>
  <c r="AX228" i="2"/>
  <c r="AW228" i="2"/>
  <c r="AV228" i="2"/>
  <c r="AU228" i="2"/>
  <c r="AT228" i="2"/>
  <c r="AS228" i="2"/>
  <c r="AR228" i="2"/>
  <c r="AO228" i="2"/>
  <c r="AN228" i="2"/>
  <c r="AM228" i="2"/>
  <c r="AL228" i="2"/>
  <c r="AJ228" i="2"/>
  <c r="AI228" i="2"/>
  <c r="AH228" i="2"/>
  <c r="AG228" i="2"/>
  <c r="AE228" i="2"/>
  <c r="AD228" i="2"/>
  <c r="AC228" i="2"/>
  <c r="AB228" i="2"/>
  <c r="AA228" i="2"/>
  <c r="Z228" i="2"/>
  <c r="Y228" i="2"/>
  <c r="X228" i="2"/>
  <c r="W228" i="2"/>
  <c r="V228" i="2"/>
  <c r="U228" i="2"/>
  <c r="T228" i="2"/>
  <c r="S228" i="2"/>
  <c r="R228" i="2"/>
  <c r="Q228" i="2"/>
  <c r="P228" i="2"/>
  <c r="O228" i="2"/>
  <c r="N228" i="2"/>
  <c r="M228" i="2"/>
  <c r="L228" i="2"/>
  <c r="K228" i="2"/>
  <c r="J228" i="2"/>
  <c r="I228" i="2"/>
  <c r="H228" i="2"/>
  <c r="G228" i="2"/>
  <c r="F228" i="2"/>
  <c r="E228" i="2"/>
  <c r="D228" i="2"/>
  <c r="C228" i="2"/>
  <c r="B228" i="2"/>
  <c r="A228" i="2"/>
  <c r="AX227" i="2"/>
  <c r="AW227" i="2"/>
  <c r="AV227" i="2"/>
  <c r="AU227" i="2"/>
  <c r="AT227" i="2"/>
  <c r="AS227" i="2"/>
  <c r="AR227" i="2"/>
  <c r="AO227" i="2"/>
  <c r="AN227" i="2"/>
  <c r="AM227" i="2"/>
  <c r="AK227" i="2"/>
  <c r="AJ227" i="2"/>
  <c r="AI227" i="2"/>
  <c r="AH227" i="2"/>
  <c r="AG227" i="2"/>
  <c r="AF227" i="2"/>
  <c r="AE227" i="2"/>
  <c r="AD227" i="2"/>
  <c r="AC227" i="2"/>
  <c r="AB227" i="2"/>
  <c r="AA227" i="2"/>
  <c r="Z227" i="2"/>
  <c r="Y227" i="2"/>
  <c r="X227" i="2"/>
  <c r="W227" i="2"/>
  <c r="V227" i="2"/>
  <c r="U227" i="2"/>
  <c r="T227" i="2"/>
  <c r="S227" i="2"/>
  <c r="R227" i="2"/>
  <c r="Q227" i="2"/>
  <c r="P227" i="2"/>
  <c r="O227" i="2"/>
  <c r="N227" i="2"/>
  <c r="M227" i="2"/>
  <c r="L227" i="2"/>
  <c r="K227" i="2"/>
  <c r="J227" i="2"/>
  <c r="I227" i="2"/>
  <c r="H227" i="2"/>
  <c r="G227" i="2"/>
  <c r="F227" i="2"/>
  <c r="E227" i="2"/>
  <c r="D227" i="2"/>
  <c r="C227" i="2"/>
  <c r="B227" i="2"/>
  <c r="A227" i="2"/>
  <c r="AX226" i="2"/>
  <c r="AW226" i="2"/>
  <c r="AV226" i="2"/>
  <c r="AU226" i="2"/>
  <c r="AT226" i="2"/>
  <c r="AS226" i="2"/>
  <c r="AR226" i="2"/>
  <c r="AO226" i="2"/>
  <c r="AN226" i="2"/>
  <c r="AM226" i="2"/>
  <c r="AL226" i="2"/>
  <c r="AK226" i="2"/>
  <c r="AJ226" i="2"/>
  <c r="AI226" i="2"/>
  <c r="AH226" i="2"/>
  <c r="AG226" i="2"/>
  <c r="AE226" i="2"/>
  <c r="AD226" i="2"/>
  <c r="AC226" i="2"/>
  <c r="AB226" i="2"/>
  <c r="AA226" i="2"/>
  <c r="Z226" i="2"/>
  <c r="Y226" i="2"/>
  <c r="X226" i="2"/>
  <c r="W226" i="2"/>
  <c r="V226" i="2"/>
  <c r="U226" i="2"/>
  <c r="T226" i="2"/>
  <c r="S226" i="2"/>
  <c r="R226" i="2"/>
  <c r="Q226" i="2"/>
  <c r="P226" i="2"/>
  <c r="O226" i="2"/>
  <c r="N226" i="2"/>
  <c r="M226" i="2"/>
  <c r="L226" i="2"/>
  <c r="K226" i="2"/>
  <c r="J226" i="2"/>
  <c r="I226" i="2"/>
  <c r="H226" i="2"/>
  <c r="G226" i="2"/>
  <c r="F226" i="2"/>
  <c r="E226" i="2"/>
  <c r="D226" i="2"/>
  <c r="C226" i="2"/>
  <c r="B226" i="2"/>
  <c r="A226" i="2"/>
  <c r="AX225" i="2"/>
  <c r="AW225" i="2"/>
  <c r="AV225" i="2"/>
  <c r="AU225" i="2"/>
  <c r="AT225" i="2"/>
  <c r="AS225" i="2"/>
  <c r="AR225" i="2"/>
  <c r="AO225" i="2"/>
  <c r="AN225" i="2"/>
  <c r="AM225" i="2"/>
  <c r="AL225" i="2"/>
  <c r="AK225" i="2"/>
  <c r="AJ225" i="2"/>
  <c r="AI225" i="2"/>
  <c r="AH225" i="2"/>
  <c r="AG225" i="2"/>
  <c r="AE225" i="2"/>
  <c r="AD225" i="2"/>
  <c r="AC225" i="2"/>
  <c r="Z225" i="2"/>
  <c r="Y225" i="2"/>
  <c r="X225" i="2"/>
  <c r="W225" i="2"/>
  <c r="V225" i="2"/>
  <c r="U225" i="2"/>
  <c r="T225" i="2"/>
  <c r="S225" i="2"/>
  <c r="R225" i="2"/>
  <c r="Q225" i="2"/>
  <c r="P225" i="2"/>
  <c r="O225" i="2"/>
  <c r="N225" i="2"/>
  <c r="M225" i="2"/>
  <c r="L225" i="2"/>
  <c r="K225" i="2"/>
  <c r="J225" i="2"/>
  <c r="I225" i="2"/>
  <c r="H225" i="2"/>
  <c r="G225" i="2"/>
  <c r="F225" i="2"/>
  <c r="E225" i="2"/>
  <c r="D225" i="2"/>
  <c r="C225" i="2"/>
  <c r="B225" i="2"/>
  <c r="A225" i="2"/>
  <c r="AX224" i="2"/>
  <c r="AW224" i="2"/>
  <c r="AV224" i="2"/>
  <c r="AU224" i="2"/>
  <c r="AT224" i="2"/>
  <c r="AS224" i="2"/>
  <c r="AR224" i="2"/>
  <c r="AO224" i="2"/>
  <c r="AN224" i="2"/>
  <c r="AM224" i="2"/>
  <c r="AK224" i="2"/>
  <c r="AJ224" i="2"/>
  <c r="AI224" i="2"/>
  <c r="AH224" i="2"/>
  <c r="AG224" i="2"/>
  <c r="AF224" i="2"/>
  <c r="AE224" i="2"/>
  <c r="AD224" i="2"/>
  <c r="AC224" i="2"/>
  <c r="AB224" i="2"/>
  <c r="AA224" i="2"/>
  <c r="Z224" i="2"/>
  <c r="Y224" i="2"/>
  <c r="X224" i="2"/>
  <c r="W224" i="2"/>
  <c r="V224" i="2"/>
  <c r="U224" i="2"/>
  <c r="T224" i="2"/>
  <c r="S224" i="2"/>
  <c r="R224" i="2"/>
  <c r="Q224" i="2"/>
  <c r="P224" i="2"/>
  <c r="O224" i="2"/>
  <c r="N224" i="2"/>
  <c r="M224" i="2"/>
  <c r="L224" i="2"/>
  <c r="K224" i="2"/>
  <c r="J224" i="2"/>
  <c r="I224" i="2"/>
  <c r="H224" i="2"/>
  <c r="G224" i="2"/>
  <c r="F224" i="2"/>
  <c r="E224" i="2"/>
  <c r="D224" i="2"/>
  <c r="C224" i="2"/>
  <c r="B224" i="2"/>
  <c r="A224" i="2"/>
  <c r="AX223" i="2"/>
  <c r="AV223" i="2"/>
  <c r="AU223" i="2"/>
  <c r="AT223" i="2"/>
  <c r="AS223" i="2"/>
  <c r="AR223" i="2"/>
  <c r="AO223" i="2"/>
  <c r="AN223" i="2"/>
  <c r="AM223" i="2"/>
  <c r="AL223" i="2"/>
  <c r="AK223" i="2"/>
  <c r="AJ223" i="2"/>
  <c r="AI223" i="2"/>
  <c r="AH223" i="2"/>
  <c r="AG223" i="2"/>
  <c r="AC223" i="2"/>
  <c r="AA223" i="2"/>
  <c r="Z223" i="2"/>
  <c r="Y223" i="2"/>
  <c r="X223" i="2"/>
  <c r="W223" i="2"/>
  <c r="V223" i="2"/>
  <c r="U223" i="2"/>
  <c r="T223" i="2"/>
  <c r="S223" i="2"/>
  <c r="Q223" i="2"/>
  <c r="P223" i="2"/>
  <c r="O223" i="2"/>
  <c r="N223" i="2"/>
  <c r="M223" i="2"/>
  <c r="L223" i="2"/>
  <c r="K223" i="2"/>
  <c r="J223" i="2"/>
  <c r="I223" i="2"/>
  <c r="H223" i="2"/>
  <c r="G223" i="2"/>
  <c r="F223" i="2"/>
  <c r="E223" i="2"/>
  <c r="D223" i="2"/>
  <c r="C223" i="2"/>
  <c r="B223" i="2"/>
  <c r="A223" i="2"/>
  <c r="AX222" i="2"/>
  <c r="AW222" i="2"/>
  <c r="AV222" i="2"/>
  <c r="AU222" i="2"/>
  <c r="AT222" i="2"/>
  <c r="AS222" i="2"/>
  <c r="AR222" i="2"/>
  <c r="AO222" i="2"/>
  <c r="AN222" i="2"/>
  <c r="AM222" i="2"/>
  <c r="AL222" i="2"/>
  <c r="AK222" i="2"/>
  <c r="AJ222" i="2"/>
  <c r="AI222" i="2"/>
  <c r="AH222" i="2"/>
  <c r="AG222" i="2"/>
  <c r="AE222" i="2"/>
  <c r="Z222" i="2"/>
  <c r="Y222" i="2"/>
  <c r="X222" i="2"/>
  <c r="W222" i="2"/>
  <c r="V222" i="2"/>
  <c r="U222" i="2"/>
  <c r="T222" i="2"/>
  <c r="S222" i="2"/>
  <c r="R222" i="2"/>
  <c r="Q222" i="2"/>
  <c r="P222" i="2"/>
  <c r="O222" i="2"/>
  <c r="N222" i="2"/>
  <c r="M222" i="2"/>
  <c r="L222" i="2"/>
  <c r="K222" i="2"/>
  <c r="J222" i="2"/>
  <c r="I222" i="2"/>
  <c r="H222" i="2"/>
  <c r="G222" i="2"/>
  <c r="F222" i="2"/>
  <c r="E222" i="2"/>
  <c r="D222" i="2"/>
  <c r="C222" i="2"/>
  <c r="B222" i="2"/>
  <c r="A222" i="2"/>
  <c r="AX221" i="2"/>
  <c r="AW221" i="2"/>
  <c r="AV221" i="2"/>
  <c r="AU221" i="2"/>
  <c r="AT221" i="2"/>
  <c r="AS221" i="2"/>
  <c r="AR221" i="2"/>
  <c r="AO221" i="2"/>
  <c r="AN221" i="2"/>
  <c r="AM221" i="2"/>
  <c r="AL221" i="2"/>
  <c r="AK221" i="2"/>
  <c r="AJ221" i="2"/>
  <c r="AI221" i="2"/>
  <c r="AH221" i="2"/>
  <c r="AG221" i="2"/>
  <c r="AE221" i="2"/>
  <c r="AD221" i="2"/>
  <c r="AC221" i="2"/>
  <c r="AA221" i="2"/>
  <c r="Z221" i="2"/>
  <c r="Y221" i="2"/>
  <c r="X221" i="2"/>
  <c r="V221" i="2"/>
  <c r="U221" i="2"/>
  <c r="T221" i="2"/>
  <c r="S221" i="2"/>
  <c r="R221" i="2"/>
  <c r="Q221" i="2"/>
  <c r="P221" i="2"/>
  <c r="O221" i="2"/>
  <c r="N221" i="2"/>
  <c r="M221" i="2"/>
  <c r="L221" i="2"/>
  <c r="K221" i="2"/>
  <c r="J221" i="2"/>
  <c r="I221" i="2"/>
  <c r="H221" i="2"/>
  <c r="G221" i="2"/>
  <c r="F221" i="2"/>
  <c r="E221" i="2"/>
  <c r="D221" i="2"/>
  <c r="C221" i="2"/>
  <c r="B221" i="2"/>
  <c r="A221" i="2"/>
  <c r="AX220" i="2"/>
  <c r="AW220" i="2"/>
  <c r="AV220" i="2"/>
  <c r="AU220" i="2"/>
  <c r="AT220" i="2"/>
  <c r="AS220" i="2"/>
  <c r="AR220" i="2"/>
  <c r="AO220" i="2"/>
  <c r="AN220" i="2"/>
  <c r="AM220" i="2"/>
  <c r="AL220" i="2"/>
  <c r="AK220" i="2"/>
  <c r="AJ220" i="2"/>
  <c r="AI220" i="2"/>
  <c r="AH220" i="2"/>
  <c r="AG220" i="2"/>
  <c r="AE220" i="2"/>
  <c r="AD220" i="2"/>
  <c r="AC220" i="2"/>
  <c r="AB220" i="2"/>
  <c r="AA220" i="2"/>
  <c r="Z220" i="2"/>
  <c r="Y220" i="2"/>
  <c r="X220" i="2"/>
  <c r="V220" i="2"/>
  <c r="U220" i="2"/>
  <c r="T220" i="2"/>
  <c r="S220" i="2"/>
  <c r="R220" i="2"/>
  <c r="Q220" i="2"/>
  <c r="P220" i="2"/>
  <c r="O220" i="2"/>
  <c r="N220" i="2"/>
  <c r="M220" i="2"/>
  <c r="L220" i="2"/>
  <c r="K220" i="2"/>
  <c r="J220" i="2"/>
  <c r="I220" i="2"/>
  <c r="H220" i="2"/>
  <c r="G220" i="2"/>
  <c r="F220" i="2"/>
  <c r="E220" i="2"/>
  <c r="D220" i="2"/>
  <c r="C220" i="2"/>
  <c r="B220" i="2"/>
  <c r="A220" i="2"/>
  <c r="AX219" i="2"/>
  <c r="AW219" i="2"/>
  <c r="AV219" i="2"/>
  <c r="AU219" i="2"/>
  <c r="AT219" i="2"/>
  <c r="AS219" i="2"/>
  <c r="AR219" i="2"/>
  <c r="AQ219" i="2"/>
  <c r="AP219" i="2"/>
  <c r="AO219" i="2"/>
  <c r="AN219" i="2"/>
  <c r="AM219" i="2"/>
  <c r="AL219" i="2"/>
  <c r="AK219" i="2"/>
  <c r="AJ219" i="2"/>
  <c r="AI219" i="2"/>
  <c r="AH219" i="2"/>
  <c r="AG219" i="2"/>
  <c r="AE219" i="2"/>
  <c r="AD219" i="2"/>
  <c r="AC219" i="2"/>
  <c r="AB219" i="2"/>
  <c r="AA219" i="2"/>
  <c r="Z219" i="2"/>
  <c r="Y219" i="2"/>
  <c r="X219" i="2"/>
  <c r="W219" i="2"/>
  <c r="V219" i="2"/>
  <c r="U219" i="2"/>
  <c r="T219" i="2"/>
  <c r="S219" i="2"/>
  <c r="R219" i="2"/>
  <c r="Q219" i="2"/>
  <c r="P219" i="2"/>
  <c r="O219" i="2"/>
  <c r="N219" i="2"/>
  <c r="M219" i="2"/>
  <c r="L219" i="2"/>
  <c r="K219" i="2"/>
  <c r="J219" i="2"/>
  <c r="I219" i="2"/>
  <c r="H219" i="2"/>
  <c r="G219" i="2"/>
  <c r="F219" i="2"/>
  <c r="E219" i="2"/>
  <c r="D219" i="2"/>
  <c r="C219" i="2"/>
  <c r="B219" i="2"/>
  <c r="A219" i="2"/>
  <c r="AX218" i="2"/>
  <c r="AW218" i="2"/>
  <c r="AV218" i="2"/>
  <c r="AU218" i="2"/>
  <c r="AT218" i="2"/>
  <c r="AS218" i="2"/>
  <c r="AR218" i="2"/>
  <c r="AO218" i="2"/>
  <c r="AN218" i="2"/>
  <c r="AM218" i="2"/>
  <c r="AK218" i="2"/>
  <c r="AJ218" i="2"/>
  <c r="AI218" i="2"/>
  <c r="AH218" i="2"/>
  <c r="AG218" i="2"/>
  <c r="AD218" i="2"/>
  <c r="AC218" i="2"/>
  <c r="AB218" i="2"/>
  <c r="AA218" i="2"/>
  <c r="Z218" i="2"/>
  <c r="Y218" i="2"/>
  <c r="X218" i="2"/>
  <c r="W218" i="2"/>
  <c r="V218" i="2"/>
  <c r="U218" i="2"/>
  <c r="T218" i="2"/>
  <c r="S218" i="2"/>
  <c r="R218" i="2"/>
  <c r="Q218" i="2"/>
  <c r="P218" i="2"/>
  <c r="O218" i="2"/>
  <c r="N218" i="2"/>
  <c r="M218" i="2"/>
  <c r="L218" i="2"/>
  <c r="K218" i="2"/>
  <c r="J218" i="2"/>
  <c r="I218" i="2"/>
  <c r="H218" i="2"/>
  <c r="G218" i="2"/>
  <c r="F218" i="2"/>
  <c r="E218" i="2"/>
  <c r="D218" i="2"/>
  <c r="C218" i="2"/>
  <c r="B218" i="2"/>
  <c r="A218" i="2"/>
  <c r="AX217" i="2"/>
  <c r="AW217" i="2"/>
  <c r="AV217" i="2"/>
  <c r="AU217" i="2"/>
  <c r="AT217" i="2"/>
  <c r="AS217" i="2"/>
  <c r="AR217" i="2"/>
  <c r="AO217" i="2"/>
  <c r="AN217" i="2"/>
  <c r="AM217" i="2"/>
  <c r="AK217" i="2"/>
  <c r="AJ217" i="2"/>
  <c r="AI217" i="2"/>
  <c r="AH217" i="2"/>
  <c r="AG217" i="2"/>
  <c r="AC217" i="2"/>
  <c r="AA217" i="2"/>
  <c r="Z217" i="2"/>
  <c r="Y217" i="2"/>
  <c r="X217" i="2"/>
  <c r="W217" i="2"/>
  <c r="V217" i="2"/>
  <c r="U217" i="2"/>
  <c r="T217" i="2"/>
  <c r="S217" i="2"/>
  <c r="R217" i="2"/>
  <c r="Q217" i="2"/>
  <c r="P217" i="2"/>
  <c r="O217" i="2"/>
  <c r="N217" i="2"/>
  <c r="M217" i="2"/>
  <c r="L217" i="2"/>
  <c r="K217" i="2"/>
  <c r="J217" i="2"/>
  <c r="I217" i="2"/>
  <c r="H217" i="2"/>
  <c r="G217" i="2"/>
  <c r="F217" i="2"/>
  <c r="E217" i="2"/>
  <c r="D217" i="2"/>
  <c r="C217" i="2"/>
  <c r="B217" i="2"/>
  <c r="A217" i="2"/>
  <c r="AX216" i="2"/>
  <c r="AW216" i="2"/>
  <c r="AV216" i="2"/>
  <c r="AU216" i="2"/>
  <c r="AT216" i="2"/>
  <c r="AS216" i="2"/>
  <c r="AR216" i="2"/>
  <c r="AO216" i="2"/>
  <c r="AN216" i="2"/>
  <c r="AM216" i="2"/>
  <c r="AL216" i="2"/>
  <c r="AK216" i="2"/>
  <c r="AJ216" i="2"/>
  <c r="AI216" i="2"/>
  <c r="AH216" i="2"/>
  <c r="AG216" i="2"/>
  <c r="AD216" i="2"/>
  <c r="AC216" i="2"/>
  <c r="AA216" i="2"/>
  <c r="Z216" i="2"/>
  <c r="Y216" i="2"/>
  <c r="X216" i="2"/>
  <c r="W216" i="2"/>
  <c r="V216" i="2"/>
  <c r="U216" i="2"/>
  <c r="T216" i="2"/>
  <c r="S216" i="2"/>
  <c r="R216" i="2"/>
  <c r="Q216" i="2"/>
  <c r="P216" i="2"/>
  <c r="O216" i="2"/>
  <c r="N216" i="2"/>
  <c r="M216" i="2"/>
  <c r="L216" i="2"/>
  <c r="K216" i="2"/>
  <c r="J216" i="2"/>
  <c r="I216" i="2"/>
  <c r="H216" i="2"/>
  <c r="G216" i="2"/>
  <c r="F216" i="2"/>
  <c r="E216" i="2"/>
  <c r="D216" i="2"/>
  <c r="C216" i="2"/>
  <c r="B216" i="2"/>
  <c r="A216" i="2"/>
  <c r="AX215" i="2"/>
  <c r="AW215" i="2"/>
  <c r="AV215" i="2"/>
  <c r="AU215" i="2"/>
  <c r="AT215" i="2"/>
  <c r="AS215" i="2"/>
  <c r="AR215" i="2"/>
  <c r="AO215" i="2"/>
  <c r="AN215" i="2"/>
  <c r="AM215" i="2"/>
  <c r="AL215" i="2"/>
  <c r="AK215" i="2"/>
  <c r="AI215" i="2"/>
  <c r="AH215" i="2"/>
  <c r="AG215" i="2"/>
  <c r="AE215" i="2"/>
  <c r="AD215" i="2"/>
  <c r="AC215" i="2"/>
  <c r="AB215" i="2"/>
  <c r="AA215" i="2"/>
  <c r="Z215" i="2"/>
  <c r="Y215" i="2"/>
  <c r="X215" i="2"/>
  <c r="W215" i="2"/>
  <c r="V215" i="2"/>
  <c r="U215" i="2"/>
  <c r="T215" i="2"/>
  <c r="S215" i="2"/>
  <c r="R215" i="2"/>
  <c r="Q215" i="2"/>
  <c r="P215" i="2"/>
  <c r="O215" i="2"/>
  <c r="N215" i="2"/>
  <c r="M215" i="2"/>
  <c r="L215" i="2"/>
  <c r="K215" i="2"/>
  <c r="J215" i="2"/>
  <c r="I215" i="2"/>
  <c r="H215" i="2"/>
  <c r="G215" i="2"/>
  <c r="F215" i="2"/>
  <c r="E215" i="2"/>
  <c r="D215" i="2"/>
  <c r="C215" i="2"/>
  <c r="B215" i="2"/>
  <c r="A215" i="2"/>
  <c r="AX214" i="2"/>
  <c r="AW214" i="2"/>
  <c r="AV214" i="2"/>
  <c r="AU214" i="2"/>
  <c r="AT214" i="2"/>
  <c r="AS214" i="2"/>
  <c r="AR214" i="2"/>
  <c r="AO214" i="2"/>
  <c r="AN214" i="2"/>
  <c r="AM214" i="2"/>
  <c r="AL214" i="2"/>
  <c r="AK214" i="2"/>
  <c r="AJ214" i="2"/>
  <c r="AI214" i="2"/>
  <c r="AH214" i="2"/>
  <c r="AG214" i="2"/>
  <c r="AE214" i="2"/>
  <c r="AD214" i="2"/>
  <c r="AC214" i="2"/>
  <c r="AB214" i="2"/>
  <c r="AA214" i="2"/>
  <c r="Z214" i="2"/>
  <c r="Y214" i="2"/>
  <c r="X214" i="2"/>
  <c r="W214" i="2"/>
  <c r="V214" i="2"/>
  <c r="U214" i="2"/>
  <c r="T214" i="2"/>
  <c r="S214" i="2"/>
  <c r="R214" i="2"/>
  <c r="Q214" i="2"/>
  <c r="P214" i="2"/>
  <c r="O214" i="2"/>
  <c r="N214" i="2"/>
  <c r="M214" i="2"/>
  <c r="L214" i="2"/>
  <c r="K214" i="2"/>
  <c r="J214" i="2"/>
  <c r="I214" i="2"/>
  <c r="H214" i="2"/>
  <c r="G214" i="2"/>
  <c r="F214" i="2"/>
  <c r="E214" i="2"/>
  <c r="D214" i="2"/>
  <c r="C214" i="2"/>
  <c r="B214" i="2"/>
  <c r="A214" i="2"/>
  <c r="AX213" i="2"/>
  <c r="AW213" i="2"/>
  <c r="AV213" i="2"/>
  <c r="AU213" i="2"/>
  <c r="AT213" i="2"/>
  <c r="AS213" i="2"/>
  <c r="AR213" i="2"/>
  <c r="AO213" i="2"/>
  <c r="AN213" i="2"/>
  <c r="AM213" i="2"/>
  <c r="AK213" i="2"/>
  <c r="AJ213" i="2"/>
  <c r="AI213" i="2"/>
  <c r="AH213" i="2"/>
  <c r="AG213" i="2"/>
  <c r="AD213" i="2"/>
  <c r="AC213" i="2"/>
  <c r="AB213" i="2"/>
  <c r="AA213" i="2"/>
  <c r="Z213" i="2"/>
  <c r="Y213" i="2"/>
  <c r="X213" i="2"/>
  <c r="W213" i="2"/>
  <c r="V213" i="2"/>
  <c r="U213" i="2"/>
  <c r="T213" i="2"/>
  <c r="S213" i="2"/>
  <c r="R213" i="2"/>
  <c r="Q213" i="2"/>
  <c r="P213" i="2"/>
  <c r="O213" i="2"/>
  <c r="N213" i="2"/>
  <c r="M213" i="2"/>
  <c r="L213" i="2"/>
  <c r="K213" i="2"/>
  <c r="J213" i="2"/>
  <c r="I213" i="2"/>
  <c r="H213" i="2"/>
  <c r="G213" i="2"/>
  <c r="F213" i="2"/>
  <c r="E213" i="2"/>
  <c r="D213" i="2"/>
  <c r="C213" i="2"/>
  <c r="B213" i="2"/>
  <c r="A213" i="2"/>
  <c r="AX212" i="2"/>
  <c r="AW212" i="2"/>
  <c r="AV212" i="2"/>
  <c r="AU212" i="2"/>
  <c r="AS212" i="2"/>
  <c r="AR212" i="2"/>
  <c r="AO212" i="2"/>
  <c r="AN212" i="2"/>
  <c r="AM212" i="2"/>
  <c r="AL212" i="2"/>
  <c r="AK212" i="2"/>
  <c r="AJ212" i="2"/>
  <c r="AI212" i="2"/>
  <c r="AH212" i="2"/>
  <c r="AG212" i="2"/>
  <c r="AE212" i="2"/>
  <c r="AD212" i="2"/>
  <c r="AC212" i="2"/>
  <c r="AB212" i="2"/>
  <c r="AA212" i="2"/>
  <c r="Z212" i="2"/>
  <c r="Y212" i="2"/>
  <c r="X212" i="2"/>
  <c r="U212" i="2"/>
  <c r="T212" i="2"/>
  <c r="S212" i="2"/>
  <c r="R212" i="2"/>
  <c r="Q212" i="2"/>
  <c r="P212" i="2"/>
  <c r="O212" i="2"/>
  <c r="N212" i="2"/>
  <c r="M212" i="2"/>
  <c r="L212" i="2"/>
  <c r="K212" i="2"/>
  <c r="J212" i="2"/>
  <c r="I212" i="2"/>
  <c r="H212" i="2"/>
  <c r="G212" i="2"/>
  <c r="F212" i="2"/>
  <c r="E212" i="2"/>
  <c r="D212" i="2"/>
  <c r="C212" i="2"/>
  <c r="B212" i="2"/>
  <c r="A212" i="2"/>
  <c r="AX211" i="2"/>
  <c r="AW211" i="2"/>
  <c r="AV211" i="2"/>
  <c r="AU211" i="2"/>
  <c r="AT211" i="2"/>
  <c r="AS211" i="2"/>
  <c r="AR211" i="2"/>
  <c r="AQ211" i="2"/>
  <c r="AP211" i="2"/>
  <c r="AO211" i="2"/>
  <c r="AN211" i="2"/>
  <c r="AM211" i="2"/>
  <c r="AL211" i="2"/>
  <c r="AK211" i="2"/>
  <c r="AJ211" i="2"/>
  <c r="AI211" i="2"/>
  <c r="AH211" i="2"/>
  <c r="AG211" i="2"/>
  <c r="AF211" i="2"/>
  <c r="AE211" i="2"/>
  <c r="AC211" i="2"/>
  <c r="AB211" i="2"/>
  <c r="AA211" i="2"/>
  <c r="Z211" i="2"/>
  <c r="Y211" i="2"/>
  <c r="X211" i="2"/>
  <c r="W211" i="2"/>
  <c r="V211" i="2"/>
  <c r="U211" i="2"/>
  <c r="T211" i="2"/>
  <c r="S211" i="2"/>
  <c r="R211" i="2"/>
  <c r="Q211" i="2"/>
  <c r="P211" i="2"/>
  <c r="O211" i="2"/>
  <c r="N211" i="2"/>
  <c r="M211" i="2"/>
  <c r="L211" i="2"/>
  <c r="K211" i="2"/>
  <c r="J211" i="2"/>
  <c r="I211" i="2"/>
  <c r="H211" i="2"/>
  <c r="G211" i="2"/>
  <c r="F211" i="2"/>
  <c r="E211" i="2"/>
  <c r="D211" i="2"/>
  <c r="C211" i="2"/>
  <c r="B211" i="2"/>
  <c r="A211" i="2"/>
  <c r="AX210" i="2"/>
  <c r="AW210" i="2"/>
  <c r="AV210" i="2"/>
  <c r="AU210" i="2"/>
  <c r="AT210" i="2"/>
  <c r="AS210" i="2"/>
  <c r="AO210" i="2"/>
  <c r="AN210" i="2"/>
  <c r="AM210" i="2"/>
  <c r="AL210" i="2"/>
  <c r="AK210" i="2"/>
  <c r="AJ210" i="2"/>
  <c r="AI210" i="2"/>
  <c r="AH210" i="2"/>
  <c r="AG210" i="2"/>
  <c r="AE210" i="2"/>
  <c r="AD210" i="2"/>
  <c r="AC210" i="2"/>
  <c r="AB210" i="2"/>
  <c r="AA210" i="2"/>
  <c r="Z210" i="2"/>
  <c r="Y210" i="2"/>
  <c r="X210" i="2"/>
  <c r="W210" i="2"/>
  <c r="V210" i="2"/>
  <c r="U210" i="2"/>
  <c r="T210" i="2"/>
  <c r="S210" i="2"/>
  <c r="R210" i="2"/>
  <c r="Q210" i="2"/>
  <c r="P210" i="2"/>
  <c r="O210" i="2"/>
  <c r="N210" i="2"/>
  <c r="M210" i="2"/>
  <c r="L210" i="2"/>
  <c r="K210" i="2"/>
  <c r="J210" i="2"/>
  <c r="I210" i="2"/>
  <c r="H210" i="2"/>
  <c r="G210" i="2"/>
  <c r="F210" i="2"/>
  <c r="E210" i="2"/>
  <c r="D210" i="2"/>
  <c r="C210" i="2"/>
  <c r="B210" i="2"/>
  <c r="A210" i="2"/>
  <c r="AX209" i="2"/>
  <c r="AW209" i="2"/>
  <c r="AV209" i="2"/>
  <c r="AU209" i="2"/>
  <c r="AT209" i="2"/>
  <c r="AS209" i="2"/>
  <c r="AR209" i="2"/>
  <c r="AO209" i="2"/>
  <c r="AN209" i="2"/>
  <c r="AM209" i="2"/>
  <c r="AL209" i="2"/>
  <c r="AK209" i="2"/>
  <c r="AJ209" i="2"/>
  <c r="AI209" i="2"/>
  <c r="AH209" i="2"/>
  <c r="AG209" i="2"/>
  <c r="AF209" i="2"/>
  <c r="AE209" i="2"/>
  <c r="AD209" i="2"/>
  <c r="AC209" i="2"/>
  <c r="AB209" i="2"/>
  <c r="AA209" i="2"/>
  <c r="Z209" i="2"/>
  <c r="Y209" i="2"/>
  <c r="X209" i="2"/>
  <c r="W209" i="2"/>
  <c r="V209" i="2"/>
  <c r="U209" i="2"/>
  <c r="T209" i="2"/>
  <c r="S209" i="2"/>
  <c r="R209" i="2"/>
  <c r="Q209" i="2"/>
  <c r="P209" i="2"/>
  <c r="O209" i="2"/>
  <c r="N209" i="2"/>
  <c r="M209" i="2"/>
  <c r="L209" i="2"/>
  <c r="K209" i="2"/>
  <c r="J209" i="2"/>
  <c r="I209" i="2"/>
  <c r="H209" i="2"/>
  <c r="G209" i="2"/>
  <c r="F209" i="2"/>
  <c r="E209" i="2"/>
  <c r="D209" i="2"/>
  <c r="C209" i="2"/>
  <c r="B209" i="2"/>
  <c r="A209" i="2"/>
  <c r="AX208" i="2"/>
  <c r="AW208" i="2"/>
  <c r="AV208" i="2"/>
  <c r="AU208" i="2"/>
  <c r="AS208" i="2"/>
  <c r="AR208" i="2"/>
  <c r="AO208" i="2"/>
  <c r="AN208" i="2"/>
  <c r="AM208" i="2"/>
  <c r="AK208" i="2"/>
  <c r="AJ208" i="2"/>
  <c r="AI208" i="2"/>
  <c r="AH208" i="2"/>
  <c r="AG208" i="2"/>
  <c r="AD208" i="2"/>
  <c r="AC208" i="2"/>
  <c r="AB208" i="2"/>
  <c r="AA208" i="2"/>
  <c r="Z208" i="2"/>
  <c r="Y208" i="2"/>
  <c r="X208" i="2"/>
  <c r="W208" i="2"/>
  <c r="V208" i="2"/>
  <c r="U208" i="2"/>
  <c r="T208" i="2"/>
  <c r="S208" i="2"/>
  <c r="R208" i="2"/>
  <c r="Q208" i="2"/>
  <c r="P208" i="2"/>
  <c r="O208" i="2"/>
  <c r="N208" i="2"/>
  <c r="M208" i="2"/>
  <c r="L208" i="2"/>
  <c r="K208" i="2"/>
  <c r="J208" i="2"/>
  <c r="I208" i="2"/>
  <c r="H208" i="2"/>
  <c r="G208" i="2"/>
  <c r="F208" i="2"/>
  <c r="E208" i="2"/>
  <c r="D208" i="2"/>
  <c r="C208" i="2"/>
  <c r="B208" i="2"/>
  <c r="A208" i="2"/>
  <c r="AX207" i="2"/>
  <c r="AW207" i="2"/>
  <c r="AV207" i="2"/>
  <c r="AU207" i="2"/>
  <c r="AT207" i="2"/>
  <c r="AS207" i="2"/>
  <c r="AR207" i="2"/>
  <c r="AO207" i="2"/>
  <c r="AN207" i="2"/>
  <c r="AM207" i="2"/>
  <c r="AK207" i="2"/>
  <c r="AI207" i="2"/>
  <c r="AH207" i="2"/>
  <c r="AG207" i="2"/>
  <c r="AE207" i="2"/>
  <c r="AD207" i="2"/>
  <c r="AC207" i="2"/>
  <c r="AB207" i="2"/>
  <c r="AA207" i="2"/>
  <c r="Z207" i="2"/>
  <c r="Y207" i="2"/>
  <c r="X207" i="2"/>
  <c r="W207" i="2"/>
  <c r="V207" i="2"/>
  <c r="U207" i="2"/>
  <c r="T207" i="2"/>
  <c r="S207" i="2"/>
  <c r="R207" i="2"/>
  <c r="Q207" i="2"/>
  <c r="P207" i="2"/>
  <c r="O207" i="2"/>
  <c r="N207" i="2"/>
  <c r="M207" i="2"/>
  <c r="L207" i="2"/>
  <c r="K207" i="2"/>
  <c r="J207" i="2"/>
  <c r="I207" i="2"/>
  <c r="H207" i="2"/>
  <c r="G207" i="2"/>
  <c r="F207" i="2"/>
  <c r="E207" i="2"/>
  <c r="D207" i="2"/>
  <c r="C207" i="2"/>
  <c r="B207" i="2"/>
  <c r="A207" i="2"/>
  <c r="AX206" i="2"/>
  <c r="AW206" i="2"/>
  <c r="AV206" i="2"/>
  <c r="AU206" i="2"/>
  <c r="AT206" i="2"/>
  <c r="AS206" i="2"/>
  <c r="AR206" i="2"/>
  <c r="AP206" i="2"/>
  <c r="AO206" i="2"/>
  <c r="AN206" i="2"/>
  <c r="AM206" i="2"/>
  <c r="AL206" i="2"/>
  <c r="AK206" i="2"/>
  <c r="AJ206" i="2"/>
  <c r="AI206" i="2"/>
  <c r="AH206" i="2"/>
  <c r="AG206" i="2"/>
  <c r="AE206" i="2"/>
  <c r="AD206" i="2"/>
  <c r="AC206" i="2"/>
  <c r="AB206" i="2"/>
  <c r="AA206" i="2"/>
  <c r="Z206" i="2"/>
  <c r="Y206" i="2"/>
  <c r="X206" i="2"/>
  <c r="W206" i="2"/>
  <c r="V206" i="2"/>
  <c r="U206" i="2"/>
  <c r="T206" i="2"/>
  <c r="S206" i="2"/>
  <c r="R206" i="2"/>
  <c r="Q206" i="2"/>
  <c r="P206" i="2"/>
  <c r="O206" i="2"/>
  <c r="N206" i="2"/>
  <c r="M206" i="2"/>
  <c r="L206" i="2"/>
  <c r="K206" i="2"/>
  <c r="J206" i="2"/>
  <c r="I206" i="2"/>
  <c r="H206" i="2"/>
  <c r="G206" i="2"/>
  <c r="F206" i="2"/>
  <c r="E206" i="2"/>
  <c r="D206" i="2"/>
  <c r="C206" i="2"/>
  <c r="B206" i="2"/>
  <c r="A206" i="2"/>
  <c r="AX205" i="2"/>
  <c r="AW205" i="2"/>
  <c r="AV205" i="2"/>
  <c r="AU205" i="2"/>
  <c r="AT205" i="2"/>
  <c r="AS205" i="2"/>
  <c r="AR205" i="2"/>
  <c r="AO205" i="2"/>
  <c r="AN205" i="2"/>
  <c r="AM205" i="2"/>
  <c r="AK205" i="2"/>
  <c r="AI205" i="2"/>
  <c r="AH205" i="2"/>
  <c r="AG205" i="2"/>
  <c r="AE205" i="2"/>
  <c r="AD205" i="2"/>
  <c r="AC205" i="2"/>
  <c r="AB205" i="2"/>
  <c r="AA205" i="2"/>
  <c r="Z205" i="2"/>
  <c r="Y205" i="2"/>
  <c r="X205" i="2"/>
  <c r="W205" i="2"/>
  <c r="V205" i="2"/>
  <c r="U205" i="2"/>
  <c r="T205" i="2"/>
  <c r="S205" i="2"/>
  <c r="R205" i="2"/>
  <c r="Q205" i="2"/>
  <c r="P205" i="2"/>
  <c r="O205" i="2"/>
  <c r="N205" i="2"/>
  <c r="M205" i="2"/>
  <c r="L205" i="2"/>
  <c r="K205" i="2"/>
  <c r="J205" i="2"/>
  <c r="I205" i="2"/>
  <c r="H205" i="2"/>
  <c r="G205" i="2"/>
  <c r="F205" i="2"/>
  <c r="E205" i="2"/>
  <c r="D205" i="2"/>
  <c r="C205" i="2"/>
  <c r="B205" i="2"/>
  <c r="A205" i="2"/>
  <c r="AX204" i="2"/>
  <c r="AV204" i="2"/>
  <c r="AU204" i="2"/>
  <c r="AT204" i="2"/>
  <c r="AS204" i="2"/>
  <c r="AR204" i="2"/>
  <c r="AO204" i="2"/>
  <c r="AN204" i="2"/>
  <c r="AM204" i="2"/>
  <c r="AK204" i="2"/>
  <c r="AJ204" i="2"/>
  <c r="AI204" i="2"/>
  <c r="AH204" i="2"/>
  <c r="AG204" i="2"/>
  <c r="AD204" i="2"/>
  <c r="AC204" i="2"/>
  <c r="AA204" i="2"/>
  <c r="Z204" i="2"/>
  <c r="Y204" i="2"/>
  <c r="X204" i="2"/>
  <c r="W204" i="2"/>
  <c r="V204" i="2"/>
  <c r="U204" i="2"/>
  <c r="T204" i="2"/>
  <c r="S204" i="2"/>
  <c r="Q204" i="2"/>
  <c r="P204" i="2"/>
  <c r="O204" i="2"/>
  <c r="N204" i="2"/>
  <c r="M204" i="2"/>
  <c r="L204" i="2"/>
  <c r="K204" i="2"/>
  <c r="J204" i="2"/>
  <c r="I204" i="2"/>
  <c r="H204" i="2"/>
  <c r="G204" i="2"/>
  <c r="F204" i="2"/>
  <c r="E204" i="2"/>
  <c r="D204" i="2"/>
  <c r="C204" i="2"/>
  <c r="B204" i="2"/>
  <c r="A204" i="2"/>
  <c r="AX203" i="2"/>
  <c r="AW203" i="2"/>
  <c r="AV203" i="2"/>
  <c r="AU203" i="2"/>
  <c r="AT203" i="2"/>
  <c r="AS203" i="2"/>
  <c r="AR203" i="2"/>
  <c r="AO203" i="2"/>
  <c r="AN203" i="2"/>
  <c r="AM203" i="2"/>
  <c r="AL203" i="2"/>
  <c r="AK203" i="2"/>
  <c r="AJ203" i="2"/>
  <c r="AI203" i="2"/>
  <c r="AH203" i="2"/>
  <c r="AG203" i="2"/>
  <c r="AF203" i="2"/>
  <c r="AE203" i="2"/>
  <c r="AD203" i="2"/>
  <c r="AC203" i="2"/>
  <c r="AB203" i="2"/>
  <c r="AA203" i="2"/>
  <c r="Z203" i="2"/>
  <c r="Y203" i="2"/>
  <c r="X203" i="2"/>
  <c r="V203" i="2"/>
  <c r="U203" i="2"/>
  <c r="T203" i="2"/>
  <c r="S203" i="2"/>
  <c r="R203" i="2"/>
  <c r="Q203" i="2"/>
  <c r="P203" i="2"/>
  <c r="O203" i="2"/>
  <c r="N203" i="2"/>
  <c r="M203" i="2"/>
  <c r="L203" i="2"/>
  <c r="K203" i="2"/>
  <c r="J203" i="2"/>
  <c r="I203" i="2"/>
  <c r="H203" i="2"/>
  <c r="G203" i="2"/>
  <c r="F203" i="2"/>
  <c r="E203" i="2"/>
  <c r="D203" i="2"/>
  <c r="C203" i="2"/>
  <c r="B203" i="2"/>
  <c r="A203" i="2"/>
  <c r="AX202" i="2"/>
  <c r="AW202" i="2"/>
  <c r="AV202" i="2"/>
  <c r="AU202" i="2"/>
  <c r="AT202" i="2"/>
  <c r="AS202" i="2"/>
  <c r="AR202" i="2"/>
  <c r="AO202" i="2"/>
  <c r="AN202" i="2"/>
  <c r="AM202" i="2"/>
  <c r="AK202" i="2"/>
  <c r="AI202" i="2"/>
  <c r="AH202" i="2"/>
  <c r="AG202" i="2"/>
  <c r="AF202" i="2"/>
  <c r="AE202" i="2"/>
  <c r="AD202" i="2"/>
  <c r="AC202" i="2"/>
  <c r="Z202" i="2"/>
  <c r="Y202" i="2"/>
  <c r="X202" i="2"/>
  <c r="W202" i="2"/>
  <c r="V202" i="2"/>
  <c r="U202" i="2"/>
  <c r="T202" i="2"/>
  <c r="S202" i="2"/>
  <c r="R202" i="2"/>
  <c r="Q202" i="2"/>
  <c r="P202" i="2"/>
  <c r="O202" i="2"/>
  <c r="N202" i="2"/>
  <c r="M202" i="2"/>
  <c r="L202" i="2"/>
  <c r="K202" i="2"/>
  <c r="J202" i="2"/>
  <c r="I202" i="2"/>
  <c r="H202" i="2"/>
  <c r="G202" i="2"/>
  <c r="F202" i="2"/>
  <c r="E202" i="2"/>
  <c r="D202" i="2"/>
  <c r="C202" i="2"/>
  <c r="B202" i="2"/>
  <c r="A202" i="2"/>
  <c r="AX201" i="2"/>
  <c r="AW201" i="2"/>
  <c r="AV201" i="2"/>
  <c r="AU201" i="2"/>
  <c r="AT201" i="2"/>
  <c r="AS201" i="2"/>
  <c r="AR201" i="2"/>
  <c r="AO201" i="2"/>
  <c r="AN201" i="2"/>
  <c r="AM201" i="2"/>
  <c r="AK201" i="2"/>
  <c r="AI201" i="2"/>
  <c r="AH201" i="2"/>
  <c r="AG201" i="2"/>
  <c r="AD201" i="2"/>
  <c r="AC201" i="2"/>
  <c r="Z201" i="2"/>
  <c r="Y201" i="2"/>
  <c r="X201" i="2"/>
  <c r="W201" i="2"/>
  <c r="V201" i="2"/>
  <c r="U201" i="2"/>
  <c r="T201" i="2"/>
  <c r="S201" i="2"/>
  <c r="R201" i="2"/>
  <c r="Q201" i="2"/>
  <c r="P201" i="2"/>
  <c r="O201" i="2"/>
  <c r="N201" i="2"/>
  <c r="M201" i="2"/>
  <c r="L201" i="2"/>
  <c r="K201" i="2"/>
  <c r="J201" i="2"/>
  <c r="I201" i="2"/>
  <c r="H201" i="2"/>
  <c r="G201" i="2"/>
  <c r="F201" i="2"/>
  <c r="E201" i="2"/>
  <c r="D201" i="2"/>
  <c r="C201" i="2"/>
  <c r="B201" i="2"/>
  <c r="A201" i="2"/>
  <c r="AX200" i="2"/>
  <c r="AW200" i="2"/>
  <c r="AV200" i="2"/>
  <c r="AU200" i="2"/>
  <c r="AT200" i="2"/>
  <c r="AS200" i="2"/>
  <c r="AR200" i="2"/>
  <c r="AO200" i="2"/>
  <c r="AN200" i="2"/>
  <c r="AM200" i="2"/>
  <c r="AL200" i="2"/>
  <c r="AK200" i="2"/>
  <c r="AJ200" i="2"/>
  <c r="AI200" i="2"/>
  <c r="AH200" i="2"/>
  <c r="AG200" i="2"/>
  <c r="AE200" i="2"/>
  <c r="AD200" i="2"/>
  <c r="AC200" i="2"/>
  <c r="AB200" i="2"/>
  <c r="AA200" i="2"/>
  <c r="Z200" i="2"/>
  <c r="Y200" i="2"/>
  <c r="X200" i="2"/>
  <c r="V200" i="2"/>
  <c r="U200" i="2"/>
  <c r="T200" i="2"/>
  <c r="S200" i="2"/>
  <c r="R200" i="2"/>
  <c r="Q200" i="2"/>
  <c r="P200" i="2"/>
  <c r="O200" i="2"/>
  <c r="N200" i="2"/>
  <c r="M200" i="2"/>
  <c r="L200" i="2"/>
  <c r="K200" i="2"/>
  <c r="J200" i="2"/>
  <c r="I200" i="2"/>
  <c r="H200" i="2"/>
  <c r="G200" i="2"/>
  <c r="F200" i="2"/>
  <c r="E200" i="2"/>
  <c r="D200" i="2"/>
  <c r="C200" i="2"/>
  <c r="B200" i="2"/>
  <c r="A200" i="2"/>
  <c r="AX199" i="2"/>
  <c r="AW199" i="2"/>
  <c r="AV199" i="2"/>
  <c r="AU199" i="2"/>
  <c r="AT199" i="2"/>
  <c r="AS199" i="2"/>
  <c r="AR199" i="2"/>
  <c r="AO199" i="2"/>
  <c r="AN199" i="2"/>
  <c r="AM199" i="2"/>
  <c r="AJ199" i="2"/>
  <c r="AI199" i="2"/>
  <c r="AH199" i="2"/>
  <c r="AG199" i="2"/>
  <c r="AC199" i="2"/>
  <c r="Z199" i="2"/>
  <c r="Y199" i="2"/>
  <c r="X199" i="2"/>
  <c r="W199" i="2"/>
  <c r="V199" i="2"/>
  <c r="U199" i="2"/>
  <c r="T199" i="2"/>
  <c r="S199" i="2"/>
  <c r="R199" i="2"/>
  <c r="Q199" i="2"/>
  <c r="P199" i="2"/>
  <c r="O199" i="2"/>
  <c r="N199" i="2"/>
  <c r="M199" i="2"/>
  <c r="L199" i="2"/>
  <c r="K199" i="2"/>
  <c r="J199" i="2"/>
  <c r="I199" i="2"/>
  <c r="H199" i="2"/>
  <c r="G199" i="2"/>
  <c r="F199" i="2"/>
  <c r="E199" i="2"/>
  <c r="D199" i="2"/>
  <c r="C199" i="2"/>
  <c r="B199" i="2"/>
  <c r="A199" i="2"/>
  <c r="AX198" i="2"/>
  <c r="AW198" i="2"/>
  <c r="AV198" i="2"/>
  <c r="AU198" i="2"/>
  <c r="AT198" i="2"/>
  <c r="AS198" i="2"/>
  <c r="AR198" i="2"/>
  <c r="AO198" i="2"/>
  <c r="AN198" i="2"/>
  <c r="AM198" i="2"/>
  <c r="AJ198" i="2"/>
  <c r="AI198" i="2"/>
  <c r="AH198" i="2"/>
  <c r="AG198" i="2"/>
  <c r="AC198" i="2"/>
  <c r="Z198" i="2"/>
  <c r="Y198" i="2"/>
  <c r="X198" i="2"/>
  <c r="W198" i="2"/>
  <c r="V198" i="2"/>
  <c r="U198" i="2"/>
  <c r="T198" i="2"/>
  <c r="S198" i="2"/>
  <c r="R198" i="2"/>
  <c r="Q198" i="2"/>
  <c r="P198" i="2"/>
  <c r="O198" i="2"/>
  <c r="N198" i="2"/>
  <c r="M198" i="2"/>
  <c r="L198" i="2"/>
  <c r="K198" i="2"/>
  <c r="J198" i="2"/>
  <c r="I198" i="2"/>
  <c r="H198" i="2"/>
  <c r="G198" i="2"/>
  <c r="F198" i="2"/>
  <c r="E198" i="2"/>
  <c r="D198" i="2"/>
  <c r="C198" i="2"/>
  <c r="B198" i="2"/>
  <c r="A198" i="2"/>
  <c r="AX197" i="2"/>
  <c r="AW197" i="2"/>
  <c r="AV197" i="2"/>
  <c r="AU197" i="2"/>
  <c r="AS197" i="2"/>
  <c r="AR197" i="2"/>
  <c r="AO197" i="2"/>
  <c r="AN197" i="2"/>
  <c r="AM197" i="2"/>
  <c r="AL197" i="2"/>
  <c r="AK197" i="2"/>
  <c r="AJ197" i="2"/>
  <c r="AI197" i="2"/>
  <c r="AH197" i="2"/>
  <c r="AG197" i="2"/>
  <c r="AE197" i="2"/>
  <c r="AD197" i="2"/>
  <c r="AC197" i="2"/>
  <c r="AB197" i="2"/>
  <c r="AA197" i="2"/>
  <c r="Z197" i="2"/>
  <c r="Y197" i="2"/>
  <c r="X197" i="2"/>
  <c r="W197" i="2"/>
  <c r="V197" i="2"/>
  <c r="U197" i="2"/>
  <c r="T197" i="2"/>
  <c r="S197" i="2"/>
  <c r="R197" i="2"/>
  <c r="Q197" i="2"/>
  <c r="P197" i="2"/>
  <c r="O197" i="2"/>
  <c r="N197" i="2"/>
  <c r="M197" i="2"/>
  <c r="L197" i="2"/>
  <c r="K197" i="2"/>
  <c r="J197" i="2"/>
  <c r="I197" i="2"/>
  <c r="H197" i="2"/>
  <c r="G197" i="2"/>
  <c r="F197" i="2"/>
  <c r="E197" i="2"/>
  <c r="D197" i="2"/>
  <c r="C197" i="2"/>
  <c r="B197" i="2"/>
  <c r="A197" i="2"/>
  <c r="AX196" i="2"/>
  <c r="AW196" i="2"/>
  <c r="AV196" i="2"/>
  <c r="AU196" i="2"/>
  <c r="AT196" i="2"/>
  <c r="AS196" i="2"/>
  <c r="AR196" i="2"/>
  <c r="AO196" i="2"/>
  <c r="AN196" i="2"/>
  <c r="AM196" i="2"/>
  <c r="AL196" i="2"/>
  <c r="AK196" i="2"/>
  <c r="AJ196" i="2"/>
  <c r="AI196" i="2"/>
  <c r="AH196" i="2"/>
  <c r="AG196" i="2"/>
  <c r="AE196" i="2"/>
  <c r="AD196" i="2"/>
  <c r="AC196" i="2"/>
  <c r="AA196" i="2"/>
  <c r="Z196" i="2"/>
  <c r="Y196" i="2"/>
  <c r="X196" i="2"/>
  <c r="V196" i="2"/>
  <c r="U196" i="2"/>
  <c r="T196" i="2"/>
  <c r="S196" i="2"/>
  <c r="R196" i="2"/>
  <c r="Q196" i="2"/>
  <c r="P196" i="2"/>
  <c r="O196" i="2"/>
  <c r="N196" i="2"/>
  <c r="M196" i="2"/>
  <c r="L196" i="2"/>
  <c r="K196" i="2"/>
  <c r="J196" i="2"/>
  <c r="I196" i="2"/>
  <c r="H196" i="2"/>
  <c r="G196" i="2"/>
  <c r="F196" i="2"/>
  <c r="E196" i="2"/>
  <c r="D196" i="2"/>
  <c r="C196" i="2"/>
  <c r="B196" i="2"/>
  <c r="A196" i="2"/>
  <c r="AX195" i="2"/>
  <c r="AW195" i="2"/>
  <c r="AV195" i="2"/>
  <c r="AU195" i="2"/>
  <c r="AT195" i="2"/>
  <c r="AS195" i="2"/>
  <c r="AR195" i="2"/>
  <c r="AO195" i="2"/>
  <c r="AN195" i="2"/>
  <c r="AM195" i="2"/>
  <c r="AL195" i="2"/>
  <c r="AK195" i="2"/>
  <c r="AJ195" i="2"/>
  <c r="AI195" i="2"/>
  <c r="AH195" i="2"/>
  <c r="AG195" i="2"/>
  <c r="AE195" i="2"/>
  <c r="AD195" i="2"/>
  <c r="AC195" i="2"/>
  <c r="AB195" i="2"/>
  <c r="AA195" i="2"/>
  <c r="Z195" i="2"/>
  <c r="Y195" i="2"/>
  <c r="X195" i="2"/>
  <c r="W195" i="2"/>
  <c r="V195" i="2"/>
  <c r="U195" i="2"/>
  <c r="T195" i="2"/>
  <c r="S195" i="2"/>
  <c r="R195" i="2"/>
  <c r="Q195" i="2"/>
  <c r="P195" i="2"/>
  <c r="O195" i="2"/>
  <c r="N195" i="2"/>
  <c r="M195" i="2"/>
  <c r="L195" i="2"/>
  <c r="K195" i="2"/>
  <c r="J195" i="2"/>
  <c r="I195" i="2"/>
  <c r="H195" i="2"/>
  <c r="G195" i="2"/>
  <c r="F195" i="2"/>
  <c r="E195" i="2"/>
  <c r="D195" i="2"/>
  <c r="C195" i="2"/>
  <c r="B195" i="2"/>
  <c r="A195" i="2"/>
  <c r="AX194" i="2"/>
  <c r="AW194" i="2"/>
  <c r="AV194" i="2"/>
  <c r="AU194" i="2"/>
  <c r="AS194" i="2"/>
  <c r="AR194" i="2"/>
  <c r="AQ194" i="2"/>
  <c r="AP194" i="2"/>
  <c r="AO194" i="2"/>
  <c r="AN194" i="2"/>
  <c r="AM194" i="2"/>
  <c r="AL194" i="2"/>
  <c r="AK194" i="2"/>
  <c r="AJ194" i="2"/>
  <c r="AI194" i="2"/>
  <c r="AH194" i="2"/>
  <c r="AG194" i="2"/>
  <c r="AE194" i="2"/>
  <c r="AD194" i="2"/>
  <c r="AC194" i="2"/>
  <c r="AB194" i="2"/>
  <c r="AA194" i="2"/>
  <c r="Z194" i="2"/>
  <c r="Y194" i="2"/>
  <c r="X194" i="2"/>
  <c r="W194" i="2"/>
  <c r="V194" i="2"/>
  <c r="U194" i="2"/>
  <c r="T194" i="2"/>
  <c r="S194" i="2"/>
  <c r="R194" i="2"/>
  <c r="Q194" i="2"/>
  <c r="P194" i="2"/>
  <c r="O194" i="2"/>
  <c r="N194" i="2"/>
  <c r="M194" i="2"/>
  <c r="L194" i="2"/>
  <c r="K194" i="2"/>
  <c r="J194" i="2"/>
  <c r="I194" i="2"/>
  <c r="H194" i="2"/>
  <c r="G194" i="2"/>
  <c r="F194" i="2"/>
  <c r="E194" i="2"/>
  <c r="D194" i="2"/>
  <c r="C194" i="2"/>
  <c r="B194" i="2"/>
  <c r="A194" i="2"/>
  <c r="AX193" i="2"/>
  <c r="AW193" i="2"/>
  <c r="AV193" i="2"/>
  <c r="AU193" i="2"/>
  <c r="AT193" i="2"/>
  <c r="AS193" i="2"/>
  <c r="AR193" i="2"/>
  <c r="AP193" i="2"/>
  <c r="AO193" i="2"/>
  <c r="AN193" i="2"/>
  <c r="AM193" i="2"/>
  <c r="AK193" i="2"/>
  <c r="AJ193" i="2"/>
  <c r="AI193" i="2"/>
  <c r="AH193" i="2"/>
  <c r="AG193" i="2"/>
  <c r="AE193" i="2"/>
  <c r="AD193" i="2"/>
  <c r="AC193" i="2"/>
  <c r="AB193" i="2"/>
  <c r="AA193" i="2"/>
  <c r="Z193" i="2"/>
  <c r="Y193" i="2"/>
  <c r="X193" i="2"/>
  <c r="W193" i="2"/>
  <c r="V193" i="2"/>
  <c r="U193" i="2"/>
  <c r="T193" i="2"/>
  <c r="S193" i="2"/>
  <c r="R193" i="2"/>
  <c r="Q193" i="2"/>
  <c r="P193" i="2"/>
  <c r="O193" i="2"/>
  <c r="N193" i="2"/>
  <c r="M193" i="2"/>
  <c r="L193" i="2"/>
  <c r="K193" i="2"/>
  <c r="J193" i="2"/>
  <c r="I193" i="2"/>
  <c r="H193" i="2"/>
  <c r="G193" i="2"/>
  <c r="F193" i="2"/>
  <c r="E193" i="2"/>
  <c r="D193" i="2"/>
  <c r="C193" i="2"/>
  <c r="B193" i="2"/>
  <c r="A193" i="2"/>
  <c r="AX192" i="2"/>
  <c r="AW192" i="2"/>
  <c r="AV192" i="2"/>
  <c r="AU192" i="2"/>
  <c r="AT192" i="2"/>
  <c r="AS192" i="2"/>
  <c r="AR192" i="2"/>
  <c r="AO192" i="2"/>
  <c r="AN192" i="2"/>
  <c r="AM192" i="2"/>
  <c r="AK192" i="2"/>
  <c r="AJ192" i="2"/>
  <c r="AI192" i="2"/>
  <c r="AH192" i="2"/>
  <c r="AG192" i="2"/>
  <c r="AF192" i="2"/>
  <c r="AE192" i="2"/>
  <c r="AD192" i="2"/>
  <c r="AC192" i="2"/>
  <c r="Z192" i="2"/>
  <c r="Y192" i="2"/>
  <c r="X192" i="2"/>
  <c r="W192" i="2"/>
  <c r="V192" i="2"/>
  <c r="U192" i="2"/>
  <c r="T192" i="2"/>
  <c r="S192" i="2"/>
  <c r="R192" i="2"/>
  <c r="Q192" i="2"/>
  <c r="P192" i="2"/>
  <c r="O192" i="2"/>
  <c r="N192" i="2"/>
  <c r="M192" i="2"/>
  <c r="L192" i="2"/>
  <c r="K192" i="2"/>
  <c r="J192" i="2"/>
  <c r="I192" i="2"/>
  <c r="H192" i="2"/>
  <c r="G192" i="2"/>
  <c r="F192" i="2"/>
  <c r="E192" i="2"/>
  <c r="D192" i="2"/>
  <c r="C192" i="2"/>
  <c r="B192" i="2"/>
  <c r="A192" i="2"/>
  <c r="AX191" i="2"/>
  <c r="AW191" i="2"/>
  <c r="AV191" i="2"/>
  <c r="AU191" i="2"/>
  <c r="AT191" i="2"/>
  <c r="AS191" i="2"/>
  <c r="AR191" i="2"/>
  <c r="AO191" i="2"/>
  <c r="AN191" i="2"/>
  <c r="AM191" i="2"/>
  <c r="AL191" i="2"/>
  <c r="AK191" i="2"/>
  <c r="AJ191" i="2"/>
  <c r="AI191" i="2"/>
  <c r="AH191" i="2"/>
  <c r="AG191" i="2"/>
  <c r="AF191" i="2"/>
  <c r="AE191" i="2"/>
  <c r="AD191" i="2"/>
  <c r="AC191" i="2"/>
  <c r="AB191" i="2"/>
  <c r="Z191" i="2"/>
  <c r="Y191" i="2"/>
  <c r="X191" i="2"/>
  <c r="W191" i="2"/>
  <c r="V191" i="2"/>
  <c r="U191" i="2"/>
  <c r="T191" i="2"/>
  <c r="S191" i="2"/>
  <c r="R191" i="2"/>
  <c r="Q191" i="2"/>
  <c r="P191" i="2"/>
  <c r="O191" i="2"/>
  <c r="N191" i="2"/>
  <c r="M191" i="2"/>
  <c r="L191" i="2"/>
  <c r="K191" i="2"/>
  <c r="J191" i="2"/>
  <c r="I191" i="2"/>
  <c r="H191" i="2"/>
  <c r="G191" i="2"/>
  <c r="F191" i="2"/>
  <c r="E191" i="2"/>
  <c r="D191" i="2"/>
  <c r="C191" i="2"/>
  <c r="B191" i="2"/>
  <c r="A191" i="2"/>
  <c r="AX190" i="2"/>
  <c r="AW190" i="2"/>
  <c r="AV190" i="2"/>
  <c r="AU190" i="2"/>
  <c r="AT190" i="2"/>
  <c r="AS190" i="2"/>
  <c r="AR190" i="2"/>
  <c r="AO190" i="2"/>
  <c r="AN190" i="2"/>
  <c r="AM190" i="2"/>
  <c r="AL190" i="2"/>
  <c r="AK190" i="2"/>
  <c r="AJ190" i="2"/>
  <c r="AI190" i="2"/>
  <c r="AH190" i="2"/>
  <c r="AG190" i="2"/>
  <c r="AE190" i="2"/>
  <c r="AD190" i="2"/>
  <c r="AC190" i="2"/>
  <c r="AB190" i="2"/>
  <c r="AA190" i="2"/>
  <c r="Z190" i="2"/>
  <c r="Y190" i="2"/>
  <c r="X190" i="2"/>
  <c r="W190" i="2"/>
  <c r="V190" i="2"/>
  <c r="U190" i="2"/>
  <c r="T190" i="2"/>
  <c r="S190" i="2"/>
  <c r="R190" i="2"/>
  <c r="Q190" i="2"/>
  <c r="P190" i="2"/>
  <c r="O190" i="2"/>
  <c r="N190" i="2"/>
  <c r="M190" i="2"/>
  <c r="L190" i="2"/>
  <c r="K190" i="2"/>
  <c r="J190" i="2"/>
  <c r="I190" i="2"/>
  <c r="H190" i="2"/>
  <c r="G190" i="2"/>
  <c r="F190" i="2"/>
  <c r="E190" i="2"/>
  <c r="D190" i="2"/>
  <c r="C190" i="2"/>
  <c r="B190" i="2"/>
  <c r="A190" i="2"/>
  <c r="AX189" i="2"/>
  <c r="AW189" i="2"/>
  <c r="AV189" i="2"/>
  <c r="AU189" i="2"/>
  <c r="AS189" i="2"/>
  <c r="AR189" i="2"/>
  <c r="AQ189" i="2"/>
  <c r="AP189" i="2"/>
  <c r="AO189" i="2"/>
  <c r="AN189" i="2"/>
  <c r="AM189" i="2"/>
  <c r="AL189" i="2"/>
  <c r="AK189" i="2"/>
  <c r="AJ189" i="2"/>
  <c r="AI189" i="2"/>
  <c r="AH189" i="2"/>
  <c r="AG189" i="2"/>
  <c r="AF189" i="2"/>
  <c r="AE189" i="2"/>
  <c r="AD189" i="2"/>
  <c r="AC189" i="2"/>
  <c r="AB189" i="2"/>
  <c r="AA189" i="2"/>
  <c r="Z189" i="2"/>
  <c r="Y189" i="2"/>
  <c r="X189" i="2"/>
  <c r="U189" i="2"/>
  <c r="T189" i="2"/>
  <c r="S189" i="2"/>
  <c r="R189" i="2"/>
  <c r="Q189" i="2"/>
  <c r="P189" i="2"/>
  <c r="O189" i="2"/>
  <c r="N189" i="2"/>
  <c r="M189" i="2"/>
  <c r="L189" i="2"/>
  <c r="K189" i="2"/>
  <c r="J189" i="2"/>
  <c r="I189" i="2"/>
  <c r="H189" i="2"/>
  <c r="G189" i="2"/>
  <c r="F189" i="2"/>
  <c r="E189" i="2"/>
  <c r="D189" i="2"/>
  <c r="C189" i="2"/>
  <c r="B189" i="2"/>
  <c r="A189" i="2"/>
  <c r="AX188" i="2"/>
  <c r="AW188" i="2"/>
  <c r="AV188" i="2"/>
  <c r="AU188" i="2"/>
  <c r="AT188" i="2"/>
  <c r="AS188" i="2"/>
  <c r="AR188" i="2"/>
  <c r="AO188" i="2"/>
  <c r="AN188" i="2"/>
  <c r="AM188" i="2"/>
  <c r="AK188" i="2"/>
  <c r="AI188" i="2"/>
  <c r="AH188" i="2"/>
  <c r="AG188" i="2"/>
  <c r="AC188" i="2"/>
  <c r="AB188" i="2"/>
  <c r="AA188" i="2"/>
  <c r="Z188" i="2"/>
  <c r="Y188" i="2"/>
  <c r="X188" i="2"/>
  <c r="W188" i="2"/>
  <c r="V188" i="2"/>
  <c r="U188" i="2"/>
  <c r="T188" i="2"/>
  <c r="S188" i="2"/>
  <c r="R188" i="2"/>
  <c r="Q188" i="2"/>
  <c r="P188" i="2"/>
  <c r="O188" i="2"/>
  <c r="N188" i="2"/>
  <c r="M188" i="2"/>
  <c r="L188" i="2"/>
  <c r="K188" i="2"/>
  <c r="J188" i="2"/>
  <c r="I188" i="2"/>
  <c r="H188" i="2"/>
  <c r="G188" i="2"/>
  <c r="F188" i="2"/>
  <c r="E188" i="2"/>
  <c r="D188" i="2"/>
  <c r="C188" i="2"/>
  <c r="B188" i="2"/>
  <c r="A188" i="2"/>
  <c r="AX187" i="2"/>
  <c r="AW187" i="2"/>
  <c r="AV187" i="2"/>
  <c r="AU187" i="2"/>
  <c r="AT187" i="2"/>
  <c r="AS187" i="2"/>
  <c r="AR187" i="2"/>
  <c r="AO187" i="2"/>
  <c r="AN187" i="2"/>
  <c r="AM187" i="2"/>
  <c r="AL187" i="2"/>
  <c r="AK187" i="2"/>
  <c r="AJ187" i="2"/>
  <c r="AI187" i="2"/>
  <c r="AH187" i="2"/>
  <c r="AG187" i="2"/>
  <c r="AE187" i="2"/>
  <c r="AD187" i="2"/>
  <c r="AC187" i="2"/>
  <c r="AA187" i="2"/>
  <c r="Z187" i="2"/>
  <c r="Y187" i="2"/>
  <c r="X187" i="2"/>
  <c r="W187" i="2"/>
  <c r="V187" i="2"/>
  <c r="U187" i="2"/>
  <c r="T187" i="2"/>
  <c r="S187" i="2"/>
  <c r="R187" i="2"/>
  <c r="Q187" i="2"/>
  <c r="P187" i="2"/>
  <c r="O187" i="2"/>
  <c r="N187" i="2"/>
  <c r="M187" i="2"/>
  <c r="L187" i="2"/>
  <c r="K187" i="2"/>
  <c r="J187" i="2"/>
  <c r="I187" i="2"/>
  <c r="H187" i="2"/>
  <c r="G187" i="2"/>
  <c r="F187" i="2"/>
  <c r="E187" i="2"/>
  <c r="D187" i="2"/>
  <c r="C187" i="2"/>
  <c r="B187" i="2"/>
  <c r="A187" i="2"/>
  <c r="AX186" i="2"/>
  <c r="AW186" i="2"/>
  <c r="AV186" i="2"/>
  <c r="AU186" i="2"/>
  <c r="AT186" i="2"/>
  <c r="AS186" i="2"/>
  <c r="AR186" i="2"/>
  <c r="AQ186" i="2"/>
  <c r="AP186" i="2"/>
  <c r="AO186" i="2"/>
  <c r="AN186" i="2"/>
  <c r="AM186" i="2"/>
  <c r="AL186" i="2"/>
  <c r="AK186" i="2"/>
  <c r="AJ186" i="2"/>
  <c r="AI186" i="2"/>
  <c r="AH186" i="2"/>
  <c r="AG186" i="2"/>
  <c r="AE186" i="2"/>
  <c r="AD186" i="2"/>
  <c r="AC186" i="2"/>
  <c r="AB186" i="2"/>
  <c r="AA186" i="2"/>
  <c r="Z186" i="2"/>
  <c r="Y186" i="2"/>
  <c r="X186" i="2"/>
  <c r="V186" i="2"/>
  <c r="U186" i="2"/>
  <c r="T186" i="2"/>
  <c r="S186" i="2"/>
  <c r="Q186" i="2"/>
  <c r="P186" i="2"/>
  <c r="O186" i="2"/>
  <c r="N186" i="2"/>
  <c r="M186" i="2"/>
  <c r="L186" i="2"/>
  <c r="K186" i="2"/>
  <c r="J186" i="2"/>
  <c r="I186" i="2"/>
  <c r="H186" i="2"/>
  <c r="G186" i="2"/>
  <c r="F186" i="2"/>
  <c r="E186" i="2"/>
  <c r="D186" i="2"/>
  <c r="C186" i="2"/>
  <c r="B186" i="2"/>
  <c r="A186" i="2"/>
  <c r="AX185" i="2"/>
  <c r="AW185" i="2"/>
  <c r="AV185" i="2"/>
  <c r="AU185" i="2"/>
  <c r="AT185" i="2"/>
  <c r="AS185" i="2"/>
  <c r="AR185" i="2"/>
  <c r="AQ185" i="2"/>
  <c r="AP185" i="2"/>
  <c r="AO185" i="2"/>
  <c r="AN185" i="2"/>
  <c r="AM185" i="2"/>
  <c r="AL185" i="2"/>
  <c r="AK185" i="2"/>
  <c r="AJ185" i="2"/>
  <c r="AI185" i="2"/>
  <c r="AH185" i="2"/>
  <c r="AG185" i="2"/>
  <c r="AE185" i="2"/>
  <c r="AD185" i="2"/>
  <c r="AC185" i="2"/>
  <c r="AB185" i="2"/>
  <c r="AA185" i="2"/>
  <c r="Z185" i="2"/>
  <c r="Y185" i="2"/>
  <c r="X185" i="2"/>
  <c r="W185" i="2"/>
  <c r="V185" i="2"/>
  <c r="U185" i="2"/>
  <c r="T185" i="2"/>
  <c r="R185" i="2"/>
  <c r="Q185" i="2"/>
  <c r="P185" i="2"/>
  <c r="O185" i="2"/>
  <c r="N185" i="2"/>
  <c r="M185" i="2"/>
  <c r="L185" i="2"/>
  <c r="K185" i="2"/>
  <c r="J185" i="2"/>
  <c r="I185" i="2"/>
  <c r="H185" i="2"/>
  <c r="G185" i="2"/>
  <c r="F185" i="2"/>
  <c r="E185" i="2"/>
  <c r="D185" i="2"/>
  <c r="C185" i="2"/>
  <c r="B185" i="2"/>
  <c r="A185" i="2"/>
  <c r="AX184" i="2"/>
  <c r="AW184" i="2"/>
  <c r="AV184" i="2"/>
  <c r="AU184" i="2"/>
  <c r="AT184" i="2"/>
  <c r="AS184" i="2"/>
  <c r="AR184" i="2"/>
  <c r="AQ184" i="2"/>
  <c r="AP184" i="2"/>
  <c r="AO184" i="2"/>
  <c r="AN184" i="2"/>
  <c r="AM184" i="2"/>
  <c r="AK184" i="2"/>
  <c r="AJ184" i="2"/>
  <c r="AI184" i="2"/>
  <c r="AH184" i="2"/>
  <c r="AG184" i="2"/>
  <c r="AE184" i="2"/>
  <c r="AD184" i="2"/>
  <c r="AC184" i="2"/>
  <c r="AB184" i="2"/>
  <c r="AA184" i="2"/>
  <c r="Z184" i="2"/>
  <c r="Y184" i="2"/>
  <c r="X184" i="2"/>
  <c r="W184" i="2"/>
  <c r="V184" i="2"/>
  <c r="U184" i="2"/>
  <c r="T184" i="2"/>
  <c r="S184" i="2"/>
  <c r="R184" i="2"/>
  <c r="Q184" i="2"/>
  <c r="P184" i="2"/>
  <c r="O184" i="2"/>
  <c r="N184" i="2"/>
  <c r="M184" i="2"/>
  <c r="L184" i="2"/>
  <c r="K184" i="2"/>
  <c r="J184" i="2"/>
  <c r="I184" i="2"/>
  <c r="H184" i="2"/>
  <c r="G184" i="2"/>
  <c r="F184" i="2"/>
  <c r="E184" i="2"/>
  <c r="D184" i="2"/>
  <c r="C184" i="2"/>
  <c r="B184" i="2"/>
  <c r="A184" i="2"/>
  <c r="AX183" i="2"/>
  <c r="AW183" i="2"/>
  <c r="AV183" i="2"/>
  <c r="AU183" i="2"/>
  <c r="AT183" i="2"/>
  <c r="AS183" i="2"/>
  <c r="AR183" i="2"/>
  <c r="AQ183" i="2"/>
  <c r="AP183" i="2"/>
  <c r="AO183" i="2"/>
  <c r="AN183" i="2"/>
  <c r="AM183" i="2"/>
  <c r="AL183" i="2"/>
  <c r="AK183" i="2"/>
  <c r="AJ183" i="2"/>
  <c r="AI183" i="2"/>
  <c r="AH183" i="2"/>
  <c r="AG183" i="2"/>
  <c r="AE183" i="2"/>
  <c r="AD183" i="2"/>
  <c r="AC183" i="2"/>
  <c r="AB183" i="2"/>
  <c r="AA183" i="2"/>
  <c r="Z183" i="2"/>
  <c r="Y183" i="2"/>
  <c r="X183" i="2"/>
  <c r="V183" i="2"/>
  <c r="U183" i="2"/>
  <c r="T183" i="2"/>
  <c r="S183" i="2"/>
  <c r="R183" i="2"/>
  <c r="Q183" i="2"/>
  <c r="P183" i="2"/>
  <c r="O183" i="2"/>
  <c r="N183" i="2"/>
  <c r="M183" i="2"/>
  <c r="L183" i="2"/>
  <c r="K183" i="2"/>
  <c r="J183" i="2"/>
  <c r="I183" i="2"/>
  <c r="H183" i="2"/>
  <c r="G183" i="2"/>
  <c r="F183" i="2"/>
  <c r="E183" i="2"/>
  <c r="D183" i="2"/>
  <c r="C183" i="2"/>
  <c r="B183" i="2"/>
  <c r="A183" i="2"/>
  <c r="AX182" i="2"/>
  <c r="AW182" i="2"/>
  <c r="AV182" i="2"/>
  <c r="AU182" i="2"/>
  <c r="AT182" i="2"/>
  <c r="AS182" i="2"/>
  <c r="AR182" i="2"/>
  <c r="AQ182" i="2"/>
  <c r="AP182" i="2"/>
  <c r="AO182" i="2"/>
  <c r="AN182" i="2"/>
  <c r="AM182" i="2"/>
  <c r="AL182" i="2"/>
  <c r="AK182" i="2"/>
  <c r="AJ182" i="2"/>
  <c r="AI182" i="2"/>
  <c r="AH182" i="2"/>
  <c r="AG182" i="2"/>
  <c r="AE182" i="2"/>
  <c r="AD182" i="2"/>
  <c r="AC182" i="2"/>
  <c r="AB182" i="2"/>
  <c r="AA182" i="2"/>
  <c r="Z182" i="2"/>
  <c r="Y182" i="2"/>
  <c r="X182" i="2"/>
  <c r="W182" i="2"/>
  <c r="V182" i="2"/>
  <c r="U182" i="2"/>
  <c r="T182" i="2"/>
  <c r="S182" i="2"/>
  <c r="R182" i="2"/>
  <c r="Q182" i="2"/>
  <c r="P182" i="2"/>
  <c r="O182" i="2"/>
  <c r="N182" i="2"/>
  <c r="M182" i="2"/>
  <c r="L182" i="2"/>
  <c r="K182" i="2"/>
  <c r="J182" i="2"/>
  <c r="I182" i="2"/>
  <c r="H182" i="2"/>
  <c r="G182" i="2"/>
  <c r="F182" i="2"/>
  <c r="E182" i="2"/>
  <c r="D182" i="2"/>
  <c r="C182" i="2"/>
  <c r="B182" i="2"/>
  <c r="A182" i="2"/>
  <c r="AX181" i="2"/>
  <c r="AW181" i="2"/>
  <c r="AV181" i="2"/>
  <c r="AU181" i="2"/>
  <c r="AT181" i="2"/>
  <c r="AS181" i="2"/>
  <c r="AR181" i="2"/>
  <c r="AQ181" i="2"/>
  <c r="AP181" i="2"/>
  <c r="AO181" i="2"/>
  <c r="AN181" i="2"/>
  <c r="AM181" i="2"/>
  <c r="AK181" i="2"/>
  <c r="AJ181" i="2"/>
  <c r="AI181" i="2"/>
  <c r="AH181" i="2"/>
  <c r="AG181" i="2"/>
  <c r="AD181" i="2"/>
  <c r="AC181" i="2"/>
  <c r="AB181" i="2"/>
  <c r="AA181" i="2"/>
  <c r="Z181" i="2"/>
  <c r="Y181" i="2"/>
  <c r="X181" i="2"/>
  <c r="W181" i="2"/>
  <c r="V181" i="2"/>
  <c r="U181" i="2"/>
  <c r="T181" i="2"/>
  <c r="S181" i="2"/>
  <c r="R181" i="2"/>
  <c r="Q181" i="2"/>
  <c r="P181" i="2"/>
  <c r="O181" i="2"/>
  <c r="N181" i="2"/>
  <c r="M181" i="2"/>
  <c r="L181" i="2"/>
  <c r="K181" i="2"/>
  <c r="J181" i="2"/>
  <c r="I181" i="2"/>
  <c r="H181" i="2"/>
  <c r="G181" i="2"/>
  <c r="F181" i="2"/>
  <c r="E181" i="2"/>
  <c r="D181" i="2"/>
  <c r="C181" i="2"/>
  <c r="B181" i="2"/>
  <c r="A181" i="2"/>
  <c r="AX180" i="2"/>
  <c r="AW180" i="2"/>
  <c r="AV180" i="2"/>
  <c r="AU180" i="2"/>
  <c r="AT180" i="2"/>
  <c r="AS180" i="2"/>
  <c r="AR180" i="2"/>
  <c r="AQ180" i="2"/>
  <c r="AP180" i="2"/>
  <c r="AO180" i="2"/>
  <c r="AN180" i="2"/>
  <c r="AM180" i="2"/>
  <c r="AL180" i="2"/>
  <c r="AK180" i="2"/>
  <c r="AJ180" i="2"/>
  <c r="AI180" i="2"/>
  <c r="AH180" i="2"/>
  <c r="AG180" i="2"/>
  <c r="AE180" i="2"/>
  <c r="AD180" i="2"/>
  <c r="AC180" i="2"/>
  <c r="AB180" i="2"/>
  <c r="AA180" i="2"/>
  <c r="Z180" i="2"/>
  <c r="Y180" i="2"/>
  <c r="X180" i="2"/>
  <c r="W180" i="2"/>
  <c r="V180" i="2"/>
  <c r="U180" i="2"/>
  <c r="T180" i="2"/>
  <c r="S180" i="2"/>
  <c r="R180" i="2"/>
  <c r="Q180" i="2"/>
  <c r="P180" i="2"/>
  <c r="O180" i="2"/>
  <c r="N180" i="2"/>
  <c r="M180" i="2"/>
  <c r="L180" i="2"/>
  <c r="K180" i="2"/>
  <c r="J180" i="2"/>
  <c r="I180" i="2"/>
  <c r="H180" i="2"/>
  <c r="G180" i="2"/>
  <c r="F180" i="2"/>
  <c r="E180" i="2"/>
  <c r="D180" i="2"/>
  <c r="C180" i="2"/>
  <c r="B180" i="2"/>
  <c r="A180" i="2"/>
  <c r="AX179" i="2"/>
  <c r="AW179" i="2"/>
  <c r="AV179" i="2"/>
  <c r="AU179" i="2"/>
  <c r="AT179" i="2"/>
  <c r="AS179" i="2"/>
  <c r="AR179" i="2"/>
  <c r="AO179" i="2"/>
  <c r="AN179" i="2"/>
  <c r="AM179" i="2"/>
  <c r="AL179" i="2"/>
  <c r="AK179" i="2"/>
  <c r="AJ179" i="2"/>
  <c r="AI179" i="2"/>
  <c r="AH179" i="2"/>
  <c r="AG179" i="2"/>
  <c r="AE179" i="2"/>
  <c r="AD179" i="2"/>
  <c r="AC179" i="2"/>
  <c r="AB179" i="2"/>
  <c r="AA179" i="2"/>
  <c r="Z179" i="2"/>
  <c r="Y179" i="2"/>
  <c r="X179" i="2"/>
  <c r="W179" i="2"/>
  <c r="V179" i="2"/>
  <c r="U179" i="2"/>
  <c r="T179" i="2"/>
  <c r="S179" i="2"/>
  <c r="R179" i="2"/>
  <c r="Q179" i="2"/>
  <c r="P179" i="2"/>
  <c r="O179" i="2"/>
  <c r="N179" i="2"/>
  <c r="M179" i="2"/>
  <c r="L179" i="2"/>
  <c r="K179" i="2"/>
  <c r="J179" i="2"/>
  <c r="I179" i="2"/>
  <c r="H179" i="2"/>
  <c r="G179" i="2"/>
  <c r="F179" i="2"/>
  <c r="E179" i="2"/>
  <c r="D179" i="2"/>
  <c r="C179" i="2"/>
  <c r="B179" i="2"/>
  <c r="A179" i="2"/>
  <c r="AX178" i="2"/>
  <c r="AW178" i="2"/>
  <c r="AV178" i="2"/>
  <c r="AU178" i="2"/>
  <c r="AT178" i="2"/>
  <c r="AS178" i="2"/>
  <c r="AR178" i="2"/>
  <c r="AO178" i="2"/>
  <c r="AN178" i="2"/>
  <c r="AM178" i="2"/>
  <c r="AK178" i="2"/>
  <c r="AJ178" i="2"/>
  <c r="AI178" i="2"/>
  <c r="AH178" i="2"/>
  <c r="AG178" i="2"/>
  <c r="AE178" i="2"/>
  <c r="AD178" i="2"/>
  <c r="AC178" i="2"/>
  <c r="AB178" i="2"/>
  <c r="AA178" i="2"/>
  <c r="Z178" i="2"/>
  <c r="Y178" i="2"/>
  <c r="X178" i="2"/>
  <c r="W178" i="2"/>
  <c r="V178" i="2"/>
  <c r="U178" i="2"/>
  <c r="T178" i="2"/>
  <c r="S178" i="2"/>
  <c r="R178" i="2"/>
  <c r="Q178" i="2"/>
  <c r="P178" i="2"/>
  <c r="O178" i="2"/>
  <c r="N178" i="2"/>
  <c r="M178" i="2"/>
  <c r="L178" i="2"/>
  <c r="K178" i="2"/>
  <c r="J178" i="2"/>
  <c r="I178" i="2"/>
  <c r="H178" i="2"/>
  <c r="G178" i="2"/>
  <c r="F178" i="2"/>
  <c r="E178" i="2"/>
  <c r="D178" i="2"/>
  <c r="C178" i="2"/>
  <c r="B178" i="2"/>
  <c r="A178" i="2"/>
  <c r="AX177" i="2"/>
  <c r="AW177" i="2"/>
  <c r="AV177" i="2"/>
  <c r="AU177" i="2"/>
  <c r="AT177" i="2"/>
  <c r="AS177" i="2"/>
  <c r="AR177" i="2"/>
  <c r="AO177" i="2"/>
  <c r="AN177" i="2"/>
  <c r="AM177" i="2"/>
  <c r="AK177" i="2"/>
  <c r="AJ177" i="2"/>
  <c r="AI177" i="2"/>
  <c r="AH177" i="2"/>
  <c r="AG177" i="2"/>
  <c r="AE177" i="2"/>
  <c r="AD177" i="2"/>
  <c r="AC177" i="2"/>
  <c r="AB177" i="2"/>
  <c r="Z177" i="2"/>
  <c r="Y177" i="2"/>
  <c r="X177" i="2"/>
  <c r="W177" i="2"/>
  <c r="V177" i="2"/>
  <c r="U177" i="2"/>
  <c r="T177" i="2"/>
  <c r="S177" i="2"/>
  <c r="R177" i="2"/>
  <c r="Q177" i="2"/>
  <c r="P177" i="2"/>
  <c r="O177" i="2"/>
  <c r="N177" i="2"/>
  <c r="M177" i="2"/>
  <c r="L177" i="2"/>
  <c r="K177" i="2"/>
  <c r="J177" i="2"/>
  <c r="I177" i="2"/>
  <c r="H177" i="2"/>
  <c r="G177" i="2"/>
  <c r="F177" i="2"/>
  <c r="E177" i="2"/>
  <c r="D177" i="2"/>
  <c r="C177" i="2"/>
  <c r="B177" i="2"/>
  <c r="A177" i="2"/>
  <c r="AX176" i="2"/>
  <c r="AW176" i="2"/>
  <c r="AV176" i="2"/>
  <c r="AU176" i="2"/>
  <c r="AT176" i="2"/>
  <c r="AS176" i="2"/>
  <c r="AR176" i="2"/>
  <c r="AO176" i="2"/>
  <c r="AN176" i="2"/>
  <c r="AM176" i="2"/>
  <c r="AK176" i="2"/>
  <c r="AJ176" i="2"/>
  <c r="AI176" i="2"/>
  <c r="AH176" i="2"/>
  <c r="AG176" i="2"/>
  <c r="AE176" i="2"/>
  <c r="AC176" i="2"/>
  <c r="Z176" i="2"/>
  <c r="Y176" i="2"/>
  <c r="X176" i="2"/>
  <c r="W176" i="2"/>
  <c r="V176" i="2"/>
  <c r="U176" i="2"/>
  <c r="T176" i="2"/>
  <c r="S176" i="2"/>
  <c r="R176" i="2"/>
  <c r="Q176" i="2"/>
  <c r="P176" i="2"/>
  <c r="O176" i="2"/>
  <c r="N176" i="2"/>
  <c r="M176" i="2"/>
  <c r="L176" i="2"/>
  <c r="K176" i="2"/>
  <c r="J176" i="2"/>
  <c r="I176" i="2"/>
  <c r="H176" i="2"/>
  <c r="G176" i="2"/>
  <c r="F176" i="2"/>
  <c r="E176" i="2"/>
  <c r="D176" i="2"/>
  <c r="C176" i="2"/>
  <c r="B176" i="2"/>
  <c r="A176" i="2"/>
  <c r="AX175" i="2"/>
  <c r="AW175" i="2"/>
  <c r="AV175" i="2"/>
  <c r="AU175" i="2"/>
  <c r="AT175" i="2"/>
  <c r="AR175" i="2"/>
  <c r="AO175" i="2"/>
  <c r="AN175" i="2"/>
  <c r="AM175" i="2"/>
  <c r="AK175" i="2"/>
  <c r="AJ175" i="2"/>
  <c r="AI175" i="2"/>
  <c r="AH175" i="2"/>
  <c r="AG175" i="2"/>
  <c r="AD175" i="2"/>
  <c r="AC175" i="2"/>
  <c r="AB175" i="2"/>
  <c r="Z175" i="2"/>
  <c r="Y175" i="2"/>
  <c r="X175" i="2"/>
  <c r="W175" i="2"/>
  <c r="V175" i="2"/>
  <c r="U175" i="2"/>
  <c r="T175" i="2"/>
  <c r="S175" i="2"/>
  <c r="R175" i="2"/>
  <c r="Q175" i="2"/>
  <c r="P175" i="2"/>
  <c r="O175" i="2"/>
  <c r="N175" i="2"/>
  <c r="M175" i="2"/>
  <c r="L175" i="2"/>
  <c r="K175" i="2"/>
  <c r="J175" i="2"/>
  <c r="I175" i="2"/>
  <c r="H175" i="2"/>
  <c r="G175" i="2"/>
  <c r="F175" i="2"/>
  <c r="E175" i="2"/>
  <c r="D175" i="2"/>
  <c r="C175" i="2"/>
  <c r="B175" i="2"/>
  <c r="A175" i="2"/>
  <c r="AX174" i="2"/>
  <c r="AW174" i="2"/>
  <c r="AV174" i="2"/>
  <c r="AU174" i="2"/>
  <c r="AT174" i="2"/>
  <c r="AR174" i="2"/>
  <c r="AO174" i="2"/>
  <c r="AN174" i="2"/>
  <c r="AM174" i="2"/>
  <c r="AK174" i="2"/>
  <c r="AJ174" i="2"/>
  <c r="AI174" i="2"/>
  <c r="AH174" i="2"/>
  <c r="AG174" i="2"/>
  <c r="AE174" i="2"/>
  <c r="AD174" i="2"/>
  <c r="AC174" i="2"/>
  <c r="AB174" i="2"/>
  <c r="Z174" i="2"/>
  <c r="Y174" i="2"/>
  <c r="X174" i="2"/>
  <c r="W174" i="2"/>
  <c r="V174" i="2"/>
  <c r="U174" i="2"/>
  <c r="T174" i="2"/>
  <c r="S174" i="2"/>
  <c r="R174" i="2"/>
  <c r="Q174" i="2"/>
  <c r="P174" i="2"/>
  <c r="O174" i="2"/>
  <c r="N174" i="2"/>
  <c r="M174" i="2"/>
  <c r="L174" i="2"/>
  <c r="K174" i="2"/>
  <c r="J174" i="2"/>
  <c r="I174" i="2"/>
  <c r="H174" i="2"/>
  <c r="G174" i="2"/>
  <c r="F174" i="2"/>
  <c r="E174" i="2"/>
  <c r="D174" i="2"/>
  <c r="C174" i="2"/>
  <c r="B174" i="2"/>
  <c r="A174" i="2"/>
  <c r="AX173" i="2"/>
  <c r="AW173" i="2"/>
  <c r="AV173" i="2"/>
  <c r="AU173" i="2"/>
  <c r="AT173" i="2"/>
  <c r="AS173" i="2"/>
  <c r="AR173" i="2"/>
  <c r="AO173" i="2"/>
  <c r="AN173" i="2"/>
  <c r="AM173" i="2"/>
  <c r="AK173" i="2"/>
  <c r="AJ173" i="2"/>
  <c r="AI173" i="2"/>
  <c r="AH173" i="2"/>
  <c r="AG173" i="2"/>
  <c r="AF173" i="2"/>
  <c r="AE173" i="2"/>
  <c r="AD173" i="2"/>
  <c r="AC173" i="2"/>
  <c r="AB173" i="2"/>
  <c r="AA173" i="2"/>
  <c r="Z173" i="2"/>
  <c r="Y173" i="2"/>
  <c r="X173" i="2"/>
  <c r="W173" i="2"/>
  <c r="V173" i="2"/>
  <c r="U173" i="2"/>
  <c r="T173" i="2"/>
  <c r="S173" i="2"/>
  <c r="R173" i="2"/>
  <c r="Q173" i="2"/>
  <c r="P173" i="2"/>
  <c r="O173" i="2"/>
  <c r="N173" i="2"/>
  <c r="M173" i="2"/>
  <c r="L173" i="2"/>
  <c r="K173" i="2"/>
  <c r="J173" i="2"/>
  <c r="I173" i="2"/>
  <c r="H173" i="2"/>
  <c r="G173" i="2"/>
  <c r="F173" i="2"/>
  <c r="E173" i="2"/>
  <c r="D173" i="2"/>
  <c r="C173" i="2"/>
  <c r="B173" i="2"/>
  <c r="A173" i="2"/>
  <c r="AX172" i="2"/>
  <c r="AW172" i="2"/>
  <c r="AV172" i="2"/>
  <c r="AU172" i="2"/>
  <c r="AT172" i="2"/>
  <c r="AS172" i="2"/>
  <c r="AR172" i="2"/>
  <c r="AO172" i="2"/>
  <c r="AN172" i="2"/>
  <c r="AM172" i="2"/>
  <c r="AL172" i="2"/>
  <c r="AI172" i="2"/>
  <c r="AH172" i="2"/>
  <c r="AG172" i="2"/>
  <c r="AE172" i="2"/>
  <c r="AD172" i="2"/>
  <c r="AC172" i="2"/>
  <c r="AB172" i="2"/>
  <c r="Z172" i="2"/>
  <c r="Y172" i="2"/>
  <c r="X172" i="2"/>
  <c r="W172" i="2"/>
  <c r="V172" i="2"/>
  <c r="U172" i="2"/>
  <c r="T172" i="2"/>
  <c r="S172" i="2"/>
  <c r="R172" i="2"/>
  <c r="Q172" i="2"/>
  <c r="P172" i="2"/>
  <c r="O172" i="2"/>
  <c r="N172" i="2"/>
  <c r="M172" i="2"/>
  <c r="L172" i="2"/>
  <c r="K172" i="2"/>
  <c r="J172" i="2"/>
  <c r="I172" i="2"/>
  <c r="H172" i="2"/>
  <c r="G172" i="2"/>
  <c r="F172" i="2"/>
  <c r="E172" i="2"/>
  <c r="D172" i="2"/>
  <c r="C172" i="2"/>
  <c r="B172" i="2"/>
  <c r="A172" i="2"/>
  <c r="AX171" i="2"/>
  <c r="AW171" i="2"/>
  <c r="AV171" i="2"/>
  <c r="AU171" i="2"/>
  <c r="AT171" i="2"/>
  <c r="AS171" i="2"/>
  <c r="AR171" i="2"/>
  <c r="AP171" i="2"/>
  <c r="AO171" i="2"/>
  <c r="AN171" i="2"/>
  <c r="AM171" i="2"/>
  <c r="AL171" i="2"/>
  <c r="AK171" i="2"/>
  <c r="AJ171" i="2"/>
  <c r="AI171" i="2"/>
  <c r="AH171" i="2"/>
  <c r="AG171" i="2"/>
  <c r="AE171" i="2"/>
  <c r="AD171" i="2"/>
  <c r="AC171" i="2"/>
  <c r="AB171" i="2"/>
  <c r="AA171" i="2"/>
  <c r="Z171" i="2"/>
  <c r="Y171" i="2"/>
  <c r="X171" i="2"/>
  <c r="W171" i="2"/>
  <c r="V171" i="2"/>
  <c r="U171" i="2"/>
  <c r="T171" i="2"/>
  <c r="S171" i="2"/>
  <c r="R171" i="2"/>
  <c r="Q171" i="2"/>
  <c r="P171" i="2"/>
  <c r="O171" i="2"/>
  <c r="N171" i="2"/>
  <c r="M171" i="2"/>
  <c r="L171" i="2"/>
  <c r="K171" i="2"/>
  <c r="J171" i="2"/>
  <c r="I171" i="2"/>
  <c r="H171" i="2"/>
  <c r="G171" i="2"/>
  <c r="F171" i="2"/>
  <c r="E171" i="2"/>
  <c r="D171" i="2"/>
  <c r="C171" i="2"/>
  <c r="B171" i="2"/>
  <c r="A171" i="2"/>
  <c r="AX170" i="2"/>
  <c r="AW170" i="2"/>
  <c r="AV170" i="2"/>
  <c r="AU170" i="2"/>
  <c r="AT170" i="2"/>
  <c r="AS170" i="2"/>
  <c r="AR170" i="2"/>
  <c r="AQ170" i="2"/>
  <c r="AP170" i="2"/>
  <c r="AO170" i="2"/>
  <c r="AN170" i="2"/>
  <c r="AM170" i="2"/>
  <c r="AK170" i="2"/>
  <c r="AJ170" i="2"/>
  <c r="AI170" i="2"/>
  <c r="AH170" i="2"/>
  <c r="AG170" i="2"/>
  <c r="AF170" i="2"/>
  <c r="AE170" i="2"/>
  <c r="AD170" i="2"/>
  <c r="AC170" i="2"/>
  <c r="AB170" i="2"/>
  <c r="AA170" i="2"/>
  <c r="Z170" i="2"/>
  <c r="Y170" i="2"/>
  <c r="X170" i="2"/>
  <c r="W170" i="2"/>
  <c r="V170" i="2"/>
  <c r="U170" i="2"/>
  <c r="T170" i="2"/>
  <c r="S170" i="2"/>
  <c r="R170" i="2"/>
  <c r="Q170" i="2"/>
  <c r="P170" i="2"/>
  <c r="O170" i="2"/>
  <c r="N170" i="2"/>
  <c r="M170" i="2"/>
  <c r="L170" i="2"/>
  <c r="K170" i="2"/>
  <c r="J170" i="2"/>
  <c r="I170" i="2"/>
  <c r="H170" i="2"/>
  <c r="G170" i="2"/>
  <c r="F170" i="2"/>
  <c r="E170" i="2"/>
  <c r="D170" i="2"/>
  <c r="C170" i="2"/>
  <c r="B170" i="2"/>
  <c r="A170" i="2"/>
  <c r="AX169" i="2"/>
  <c r="AW169" i="2"/>
  <c r="AV169" i="2"/>
  <c r="AU169" i="2"/>
  <c r="AT169" i="2"/>
  <c r="AS169" i="2"/>
  <c r="AR169" i="2"/>
  <c r="AO169" i="2"/>
  <c r="AN169" i="2"/>
  <c r="AM169" i="2"/>
  <c r="AL169" i="2"/>
  <c r="AK169" i="2"/>
  <c r="AI169" i="2"/>
  <c r="AH169" i="2"/>
  <c r="AG169" i="2"/>
  <c r="AE169" i="2"/>
  <c r="AD169" i="2"/>
  <c r="AC169" i="2"/>
  <c r="AB169" i="2"/>
  <c r="AA169" i="2"/>
  <c r="Z169" i="2"/>
  <c r="Y169" i="2"/>
  <c r="X169" i="2"/>
  <c r="W169" i="2"/>
  <c r="V169" i="2"/>
  <c r="U169" i="2"/>
  <c r="T169" i="2"/>
  <c r="S169" i="2"/>
  <c r="R169" i="2"/>
  <c r="Q169" i="2"/>
  <c r="P169" i="2"/>
  <c r="O169" i="2"/>
  <c r="N169" i="2"/>
  <c r="M169" i="2"/>
  <c r="L169" i="2"/>
  <c r="K169" i="2"/>
  <c r="J169" i="2"/>
  <c r="I169" i="2"/>
  <c r="H169" i="2"/>
  <c r="G169" i="2"/>
  <c r="F169" i="2"/>
  <c r="E169" i="2"/>
  <c r="D169" i="2"/>
  <c r="C169" i="2"/>
  <c r="B169" i="2"/>
  <c r="A169" i="2"/>
  <c r="AX168" i="2"/>
  <c r="AW168" i="2"/>
  <c r="AV168" i="2"/>
  <c r="AU168" i="2"/>
  <c r="AT168" i="2"/>
  <c r="AS168" i="2"/>
  <c r="AR168" i="2"/>
  <c r="AO168" i="2"/>
  <c r="AN168" i="2"/>
  <c r="AM168" i="2"/>
  <c r="AL168" i="2"/>
  <c r="AK168" i="2"/>
  <c r="AJ168" i="2"/>
  <c r="AI168" i="2"/>
  <c r="AH168" i="2"/>
  <c r="AG168" i="2"/>
  <c r="AE168" i="2"/>
  <c r="AD168" i="2"/>
  <c r="AC168" i="2"/>
  <c r="AB168" i="2"/>
  <c r="AA168" i="2"/>
  <c r="Z168" i="2"/>
  <c r="Y168" i="2"/>
  <c r="X168" i="2"/>
  <c r="W168" i="2"/>
  <c r="V168" i="2"/>
  <c r="U168" i="2"/>
  <c r="T168" i="2"/>
  <c r="S168" i="2"/>
  <c r="R168" i="2"/>
  <c r="Q168" i="2"/>
  <c r="P168" i="2"/>
  <c r="O168" i="2"/>
  <c r="N168" i="2"/>
  <c r="M168" i="2"/>
  <c r="L168" i="2"/>
  <c r="K168" i="2"/>
  <c r="J168" i="2"/>
  <c r="I168" i="2"/>
  <c r="H168" i="2"/>
  <c r="G168" i="2"/>
  <c r="F168" i="2"/>
  <c r="E168" i="2"/>
  <c r="D168" i="2"/>
  <c r="C168" i="2"/>
  <c r="B168" i="2"/>
  <c r="A168" i="2"/>
  <c r="AX167" i="2"/>
  <c r="AW167" i="2"/>
  <c r="AV167" i="2"/>
  <c r="AU167" i="2"/>
  <c r="AT167" i="2"/>
  <c r="AS167" i="2"/>
  <c r="AR167" i="2"/>
  <c r="AO167" i="2"/>
  <c r="AN167" i="2"/>
  <c r="AM167" i="2"/>
  <c r="AL167" i="2"/>
  <c r="AK167" i="2"/>
  <c r="AJ167" i="2"/>
  <c r="AI167" i="2"/>
  <c r="AH167" i="2"/>
  <c r="AG167" i="2"/>
  <c r="AE167" i="2"/>
  <c r="AD167" i="2"/>
  <c r="AC167" i="2"/>
  <c r="AB167" i="2"/>
  <c r="AA167" i="2"/>
  <c r="Z167" i="2"/>
  <c r="Y167" i="2"/>
  <c r="X167" i="2"/>
  <c r="W167" i="2"/>
  <c r="V167" i="2"/>
  <c r="U167" i="2"/>
  <c r="T167" i="2"/>
  <c r="S167" i="2"/>
  <c r="R167" i="2"/>
  <c r="Q167" i="2"/>
  <c r="P167" i="2"/>
  <c r="O167" i="2"/>
  <c r="N167" i="2"/>
  <c r="M167" i="2"/>
  <c r="L167" i="2"/>
  <c r="K167" i="2"/>
  <c r="J167" i="2"/>
  <c r="I167" i="2"/>
  <c r="H167" i="2"/>
  <c r="G167" i="2"/>
  <c r="F167" i="2"/>
  <c r="E167" i="2"/>
  <c r="D167" i="2"/>
  <c r="C167" i="2"/>
  <c r="B167" i="2"/>
  <c r="A167" i="2"/>
  <c r="AX166" i="2"/>
  <c r="AW166" i="2"/>
  <c r="AV166" i="2"/>
  <c r="AU166" i="2"/>
  <c r="AT166" i="2"/>
  <c r="AR166" i="2"/>
  <c r="AO166" i="2"/>
  <c r="AN166" i="2"/>
  <c r="AM166" i="2"/>
  <c r="AL166" i="2"/>
  <c r="AJ166" i="2"/>
  <c r="AI166" i="2"/>
  <c r="AH166" i="2"/>
  <c r="AG166" i="2"/>
  <c r="AC166" i="2"/>
  <c r="Z166" i="2"/>
  <c r="Y166" i="2"/>
  <c r="X166" i="2"/>
  <c r="W166" i="2"/>
  <c r="V166" i="2"/>
  <c r="U166" i="2"/>
  <c r="T166" i="2"/>
  <c r="S166" i="2"/>
  <c r="R166" i="2"/>
  <c r="Q166" i="2"/>
  <c r="P166" i="2"/>
  <c r="O166" i="2"/>
  <c r="N166" i="2"/>
  <c r="M166" i="2"/>
  <c r="L166" i="2"/>
  <c r="K166" i="2"/>
  <c r="J166" i="2"/>
  <c r="I166" i="2"/>
  <c r="H166" i="2"/>
  <c r="G166" i="2"/>
  <c r="F166" i="2"/>
  <c r="E166" i="2"/>
  <c r="D166" i="2"/>
  <c r="C166" i="2"/>
  <c r="B166" i="2"/>
  <c r="A166" i="2"/>
  <c r="AX165" i="2"/>
  <c r="AW165" i="2"/>
  <c r="AV165" i="2"/>
  <c r="AU165" i="2"/>
  <c r="AT165" i="2"/>
  <c r="AS165" i="2"/>
  <c r="AR165" i="2"/>
  <c r="AQ165" i="2"/>
  <c r="AP165" i="2"/>
  <c r="AO165" i="2"/>
  <c r="AN165" i="2"/>
  <c r="AM165" i="2"/>
  <c r="AL165" i="2"/>
  <c r="AK165" i="2"/>
  <c r="AI165" i="2"/>
  <c r="AH165" i="2"/>
  <c r="AG165" i="2"/>
  <c r="AE165" i="2"/>
  <c r="AD165" i="2"/>
  <c r="AC165" i="2"/>
  <c r="AB165" i="2"/>
  <c r="AA165" i="2"/>
  <c r="Z165" i="2"/>
  <c r="Y165" i="2"/>
  <c r="X165" i="2"/>
  <c r="W165" i="2"/>
  <c r="V165" i="2"/>
  <c r="U165" i="2"/>
  <c r="T165" i="2"/>
  <c r="S165" i="2"/>
  <c r="R165" i="2"/>
  <c r="Q165" i="2"/>
  <c r="P165" i="2"/>
  <c r="O165" i="2"/>
  <c r="N165" i="2"/>
  <c r="M165" i="2"/>
  <c r="L165" i="2"/>
  <c r="K165" i="2"/>
  <c r="J165" i="2"/>
  <c r="I165" i="2"/>
  <c r="H165" i="2"/>
  <c r="G165" i="2"/>
  <c r="F165" i="2"/>
  <c r="E165" i="2"/>
  <c r="D165" i="2"/>
  <c r="C165" i="2"/>
  <c r="B165" i="2"/>
  <c r="A165" i="2"/>
  <c r="AX164" i="2"/>
  <c r="AW164" i="2"/>
  <c r="AV164" i="2"/>
  <c r="AU164" i="2"/>
  <c r="AT164" i="2"/>
  <c r="AR164" i="2"/>
  <c r="AO164" i="2"/>
  <c r="AN164" i="2"/>
  <c r="AM164" i="2"/>
  <c r="AK164" i="2"/>
  <c r="AJ164" i="2"/>
  <c r="AI164" i="2"/>
  <c r="AH164" i="2"/>
  <c r="AG164" i="2"/>
  <c r="Z164" i="2"/>
  <c r="Y164" i="2"/>
  <c r="X164" i="2"/>
  <c r="W164" i="2"/>
  <c r="V164" i="2"/>
  <c r="U164" i="2"/>
  <c r="T164" i="2"/>
  <c r="S164" i="2"/>
  <c r="R164" i="2"/>
  <c r="Q164" i="2"/>
  <c r="P164" i="2"/>
  <c r="O164" i="2"/>
  <c r="N164" i="2"/>
  <c r="M164" i="2"/>
  <c r="L164" i="2"/>
  <c r="K164" i="2"/>
  <c r="J164" i="2"/>
  <c r="I164" i="2"/>
  <c r="H164" i="2"/>
  <c r="G164" i="2"/>
  <c r="F164" i="2"/>
  <c r="E164" i="2"/>
  <c r="D164" i="2"/>
  <c r="C164" i="2"/>
  <c r="B164" i="2"/>
  <c r="A164" i="2"/>
  <c r="AX163" i="2"/>
  <c r="AW163" i="2"/>
  <c r="AV163" i="2"/>
  <c r="AU163" i="2"/>
  <c r="AS163" i="2"/>
  <c r="AR163" i="2"/>
  <c r="AO163" i="2"/>
  <c r="AN163" i="2"/>
  <c r="AM163" i="2"/>
  <c r="AK163" i="2"/>
  <c r="AJ163" i="2"/>
  <c r="AI163" i="2"/>
  <c r="AH163" i="2"/>
  <c r="AG163" i="2"/>
  <c r="AC163" i="2"/>
  <c r="Z163" i="2"/>
  <c r="Y163" i="2"/>
  <c r="X163" i="2"/>
  <c r="W163" i="2"/>
  <c r="V163" i="2"/>
  <c r="U163" i="2"/>
  <c r="T163" i="2"/>
  <c r="S163" i="2"/>
  <c r="R163" i="2"/>
  <c r="Q163" i="2"/>
  <c r="P163" i="2"/>
  <c r="O163" i="2"/>
  <c r="N163" i="2"/>
  <c r="M163" i="2"/>
  <c r="L163" i="2"/>
  <c r="K163" i="2"/>
  <c r="J163" i="2"/>
  <c r="I163" i="2"/>
  <c r="H163" i="2"/>
  <c r="G163" i="2"/>
  <c r="F163" i="2"/>
  <c r="E163" i="2"/>
  <c r="D163" i="2"/>
  <c r="C163" i="2"/>
  <c r="B163" i="2"/>
  <c r="A163" i="2"/>
  <c r="AX162" i="2"/>
  <c r="AW162" i="2"/>
  <c r="AV162" i="2"/>
  <c r="AU162" i="2"/>
  <c r="AT162" i="2"/>
  <c r="AS162" i="2"/>
  <c r="AR162" i="2"/>
  <c r="AN162" i="2"/>
  <c r="AM162" i="2"/>
  <c r="AI162" i="2"/>
  <c r="AH162" i="2"/>
  <c r="AG162" i="2"/>
  <c r="AC162" i="2"/>
  <c r="Z162" i="2"/>
  <c r="Y162" i="2"/>
  <c r="X162" i="2"/>
  <c r="W162" i="2"/>
  <c r="V162" i="2"/>
  <c r="U162" i="2"/>
  <c r="T162" i="2"/>
  <c r="S162" i="2"/>
  <c r="R162" i="2"/>
  <c r="Q162" i="2"/>
  <c r="P162" i="2"/>
  <c r="O162" i="2"/>
  <c r="N162" i="2"/>
  <c r="M162" i="2"/>
  <c r="L162" i="2"/>
  <c r="K162" i="2"/>
  <c r="J162" i="2"/>
  <c r="I162" i="2"/>
  <c r="H162" i="2"/>
  <c r="G162" i="2"/>
  <c r="F162" i="2"/>
  <c r="E162" i="2"/>
  <c r="D162" i="2"/>
  <c r="C162" i="2"/>
  <c r="B162" i="2"/>
  <c r="A162" i="2"/>
  <c r="AX161" i="2"/>
  <c r="AW161" i="2"/>
  <c r="AV161" i="2"/>
  <c r="AU161" i="2"/>
  <c r="AS161" i="2"/>
  <c r="AR161" i="2"/>
  <c r="AQ161" i="2"/>
  <c r="AP161" i="2"/>
  <c r="AO161" i="2"/>
  <c r="AN161" i="2"/>
  <c r="AM161" i="2"/>
  <c r="AL161" i="2"/>
  <c r="AK161" i="2"/>
  <c r="AI161" i="2"/>
  <c r="AH161" i="2"/>
  <c r="AG161" i="2"/>
  <c r="AE161" i="2"/>
  <c r="AD161" i="2"/>
  <c r="AC161" i="2"/>
  <c r="AB161" i="2"/>
  <c r="AA161" i="2"/>
  <c r="Z161" i="2"/>
  <c r="Y161" i="2"/>
  <c r="X161" i="2"/>
  <c r="W161" i="2"/>
  <c r="V161" i="2"/>
  <c r="U161" i="2"/>
  <c r="T161" i="2"/>
  <c r="S161" i="2"/>
  <c r="R161" i="2"/>
  <c r="Q161" i="2"/>
  <c r="P161" i="2"/>
  <c r="O161" i="2"/>
  <c r="N161" i="2"/>
  <c r="M161" i="2"/>
  <c r="L161" i="2"/>
  <c r="K161" i="2"/>
  <c r="J161" i="2"/>
  <c r="I161" i="2"/>
  <c r="H161" i="2"/>
  <c r="G161" i="2"/>
  <c r="F161" i="2"/>
  <c r="E161" i="2"/>
  <c r="D161" i="2"/>
  <c r="C161" i="2"/>
  <c r="B161" i="2"/>
  <c r="A161" i="2"/>
  <c r="AX160" i="2"/>
  <c r="AW160" i="2"/>
  <c r="AV160" i="2"/>
  <c r="AU160" i="2"/>
  <c r="AT160" i="2"/>
  <c r="AS160" i="2"/>
  <c r="AR160" i="2"/>
  <c r="AO160" i="2"/>
  <c r="AN160" i="2"/>
  <c r="AM160" i="2"/>
  <c r="AL160" i="2"/>
  <c r="AK160" i="2"/>
  <c r="AJ160" i="2"/>
  <c r="AI160" i="2"/>
  <c r="AH160" i="2"/>
  <c r="AG160" i="2"/>
  <c r="AE160" i="2"/>
  <c r="AD160" i="2"/>
  <c r="AC160" i="2"/>
  <c r="Z160" i="2"/>
  <c r="Y160" i="2"/>
  <c r="X160" i="2"/>
  <c r="W160" i="2"/>
  <c r="V160" i="2"/>
  <c r="U160" i="2"/>
  <c r="T160" i="2"/>
  <c r="S160" i="2"/>
  <c r="R160" i="2"/>
  <c r="Q160" i="2"/>
  <c r="P160" i="2"/>
  <c r="O160" i="2"/>
  <c r="N160" i="2"/>
  <c r="M160" i="2"/>
  <c r="L160" i="2"/>
  <c r="K160" i="2"/>
  <c r="J160" i="2"/>
  <c r="I160" i="2"/>
  <c r="H160" i="2"/>
  <c r="G160" i="2"/>
  <c r="F160" i="2"/>
  <c r="E160" i="2"/>
  <c r="D160" i="2"/>
  <c r="C160" i="2"/>
  <c r="B160" i="2"/>
  <c r="A160" i="2"/>
  <c r="AX159" i="2"/>
  <c r="AW159" i="2"/>
  <c r="AV159" i="2"/>
  <c r="AU159" i="2"/>
  <c r="AS159" i="2"/>
  <c r="AR159" i="2"/>
  <c r="AO159" i="2"/>
  <c r="AN159" i="2"/>
  <c r="AM159" i="2"/>
  <c r="AK159" i="2"/>
  <c r="AJ159" i="2"/>
  <c r="AI159" i="2"/>
  <c r="AH159" i="2"/>
  <c r="AG159" i="2"/>
  <c r="AE159" i="2"/>
  <c r="AD159" i="2"/>
  <c r="AC159" i="2"/>
  <c r="AB159" i="2"/>
  <c r="Z159" i="2"/>
  <c r="Y159" i="2"/>
  <c r="X159" i="2"/>
  <c r="W159" i="2"/>
  <c r="V159" i="2"/>
  <c r="U159" i="2"/>
  <c r="T159" i="2"/>
  <c r="S159" i="2"/>
  <c r="R159" i="2"/>
  <c r="Q159" i="2"/>
  <c r="P159" i="2"/>
  <c r="O159" i="2"/>
  <c r="N159" i="2"/>
  <c r="M159" i="2"/>
  <c r="L159" i="2"/>
  <c r="K159" i="2"/>
  <c r="J159" i="2"/>
  <c r="I159" i="2"/>
  <c r="H159" i="2"/>
  <c r="G159" i="2"/>
  <c r="F159" i="2"/>
  <c r="E159" i="2"/>
  <c r="D159" i="2"/>
  <c r="C159" i="2"/>
  <c r="B159" i="2"/>
  <c r="A159" i="2"/>
  <c r="AX158" i="2"/>
  <c r="AW158" i="2"/>
  <c r="AV158" i="2"/>
  <c r="AU158" i="2"/>
  <c r="AT158" i="2"/>
  <c r="AS158" i="2"/>
  <c r="AR158" i="2"/>
  <c r="AO158" i="2"/>
  <c r="AN158" i="2"/>
  <c r="AM158" i="2"/>
  <c r="AL158" i="2"/>
  <c r="AK158" i="2"/>
  <c r="AJ158" i="2"/>
  <c r="AI158" i="2"/>
  <c r="AH158" i="2"/>
  <c r="AG158" i="2"/>
  <c r="AE158" i="2"/>
  <c r="AD158" i="2"/>
  <c r="AC158" i="2"/>
  <c r="AB158" i="2"/>
  <c r="AA158" i="2"/>
  <c r="Z158" i="2"/>
  <c r="Y158" i="2"/>
  <c r="X158" i="2"/>
  <c r="W158" i="2"/>
  <c r="V158" i="2"/>
  <c r="U158" i="2"/>
  <c r="T158" i="2"/>
  <c r="S158" i="2"/>
  <c r="R158" i="2"/>
  <c r="Q158" i="2"/>
  <c r="P158" i="2"/>
  <c r="O158" i="2"/>
  <c r="N158" i="2"/>
  <c r="M158" i="2"/>
  <c r="L158" i="2"/>
  <c r="K158" i="2"/>
  <c r="J158" i="2"/>
  <c r="I158" i="2"/>
  <c r="H158" i="2"/>
  <c r="G158" i="2"/>
  <c r="F158" i="2"/>
  <c r="E158" i="2"/>
  <c r="D158" i="2"/>
  <c r="C158" i="2"/>
  <c r="B158" i="2"/>
  <c r="A158" i="2"/>
  <c r="AX157" i="2"/>
  <c r="AW157" i="2"/>
  <c r="AV157" i="2"/>
  <c r="AU157" i="2"/>
  <c r="AT157" i="2"/>
  <c r="AR157" i="2"/>
  <c r="AO157" i="2"/>
  <c r="AN157" i="2"/>
  <c r="AM157" i="2"/>
  <c r="AK157" i="2"/>
  <c r="AJ157" i="2"/>
  <c r="AI157" i="2"/>
  <c r="AH157" i="2"/>
  <c r="AG157" i="2"/>
  <c r="AE157" i="2"/>
  <c r="AC157" i="2"/>
  <c r="Z157" i="2"/>
  <c r="Y157" i="2"/>
  <c r="X157" i="2"/>
  <c r="W157" i="2"/>
  <c r="V157" i="2"/>
  <c r="U157" i="2"/>
  <c r="T157" i="2"/>
  <c r="S157" i="2"/>
  <c r="R157" i="2"/>
  <c r="Q157" i="2"/>
  <c r="P157" i="2"/>
  <c r="O157" i="2"/>
  <c r="N157" i="2"/>
  <c r="M157" i="2"/>
  <c r="L157" i="2"/>
  <c r="K157" i="2"/>
  <c r="J157" i="2"/>
  <c r="I157" i="2"/>
  <c r="H157" i="2"/>
  <c r="G157" i="2"/>
  <c r="F157" i="2"/>
  <c r="E157" i="2"/>
  <c r="D157" i="2"/>
  <c r="C157" i="2"/>
  <c r="B157" i="2"/>
  <c r="A157" i="2"/>
  <c r="AX156" i="2"/>
  <c r="AW156" i="2"/>
  <c r="AV156" i="2"/>
  <c r="AU156" i="2"/>
  <c r="AR156" i="2"/>
  <c r="AQ156" i="2"/>
  <c r="AP156" i="2"/>
  <c r="AO156" i="2"/>
  <c r="AN156" i="2"/>
  <c r="AM156" i="2"/>
  <c r="AL156" i="2"/>
  <c r="AK156" i="2"/>
  <c r="AJ156" i="2"/>
  <c r="AI156" i="2"/>
  <c r="AH156" i="2"/>
  <c r="AG156" i="2"/>
  <c r="AE156" i="2"/>
  <c r="AD156" i="2"/>
  <c r="AC156" i="2"/>
  <c r="AA156" i="2"/>
  <c r="Z156" i="2"/>
  <c r="Y156" i="2"/>
  <c r="X156" i="2"/>
  <c r="V156" i="2"/>
  <c r="U156" i="2"/>
  <c r="T156" i="2"/>
  <c r="S156" i="2"/>
  <c r="R156" i="2"/>
  <c r="Q156" i="2"/>
  <c r="P156" i="2"/>
  <c r="O156" i="2"/>
  <c r="N156" i="2"/>
  <c r="M156" i="2"/>
  <c r="L156" i="2"/>
  <c r="K156" i="2"/>
  <c r="J156" i="2"/>
  <c r="I156" i="2"/>
  <c r="H156" i="2"/>
  <c r="G156" i="2"/>
  <c r="F156" i="2"/>
  <c r="E156" i="2"/>
  <c r="D156" i="2"/>
  <c r="C156" i="2"/>
  <c r="B156" i="2"/>
  <c r="A156" i="2"/>
  <c r="AX155" i="2"/>
  <c r="AW155" i="2"/>
  <c r="AV155" i="2"/>
  <c r="AU155" i="2"/>
  <c r="AT155" i="2"/>
  <c r="AS155" i="2"/>
  <c r="AR155" i="2"/>
  <c r="AO155" i="2"/>
  <c r="AN155" i="2"/>
  <c r="AM155" i="2"/>
  <c r="AL155" i="2"/>
  <c r="AK155" i="2"/>
  <c r="AJ155" i="2"/>
  <c r="AI155" i="2"/>
  <c r="AH155" i="2"/>
  <c r="AG155" i="2"/>
  <c r="AE155" i="2"/>
  <c r="AD155" i="2"/>
  <c r="AC155" i="2"/>
  <c r="AB155" i="2"/>
  <c r="AA155" i="2"/>
  <c r="Z155" i="2"/>
  <c r="Y155" i="2"/>
  <c r="X155" i="2"/>
  <c r="W155" i="2"/>
  <c r="V155" i="2"/>
  <c r="U155" i="2"/>
  <c r="T155" i="2"/>
  <c r="S155" i="2"/>
  <c r="R155" i="2"/>
  <c r="Q155" i="2"/>
  <c r="P155" i="2"/>
  <c r="O155" i="2"/>
  <c r="N155" i="2"/>
  <c r="M155" i="2"/>
  <c r="L155" i="2"/>
  <c r="K155" i="2"/>
  <c r="J155" i="2"/>
  <c r="I155" i="2"/>
  <c r="H155" i="2"/>
  <c r="G155" i="2"/>
  <c r="F155" i="2"/>
  <c r="E155" i="2"/>
  <c r="D155" i="2"/>
  <c r="C155" i="2"/>
  <c r="B155" i="2"/>
  <c r="A155" i="2"/>
  <c r="AX154" i="2"/>
  <c r="AW154" i="2"/>
  <c r="AV154" i="2"/>
  <c r="AU154" i="2"/>
  <c r="AT154" i="2"/>
  <c r="AS154" i="2"/>
  <c r="AR154" i="2"/>
  <c r="AO154" i="2"/>
  <c r="AN154" i="2"/>
  <c r="AM154" i="2"/>
  <c r="AK154" i="2"/>
  <c r="AJ154" i="2"/>
  <c r="AI154" i="2"/>
  <c r="AH154" i="2"/>
  <c r="AG154" i="2"/>
  <c r="AD154" i="2"/>
  <c r="AC154" i="2"/>
  <c r="AB154" i="2"/>
  <c r="AA154" i="2"/>
  <c r="Z154" i="2"/>
  <c r="Y154" i="2"/>
  <c r="X154" i="2"/>
  <c r="W154" i="2"/>
  <c r="V154" i="2"/>
  <c r="U154" i="2"/>
  <c r="T154" i="2"/>
  <c r="S154" i="2"/>
  <c r="R154" i="2"/>
  <c r="Q154" i="2"/>
  <c r="P154" i="2"/>
  <c r="O154" i="2"/>
  <c r="N154" i="2"/>
  <c r="M154" i="2"/>
  <c r="L154" i="2"/>
  <c r="K154" i="2"/>
  <c r="J154" i="2"/>
  <c r="I154" i="2"/>
  <c r="H154" i="2"/>
  <c r="G154" i="2"/>
  <c r="F154" i="2"/>
  <c r="E154" i="2"/>
  <c r="D154" i="2"/>
  <c r="C154" i="2"/>
  <c r="B154" i="2"/>
  <c r="A154" i="2"/>
  <c r="AX153" i="2"/>
  <c r="AW153" i="2"/>
  <c r="AV153" i="2"/>
  <c r="AU153" i="2"/>
  <c r="AT153" i="2"/>
  <c r="AS153" i="2"/>
  <c r="AR153" i="2"/>
  <c r="AO153" i="2"/>
  <c r="AN153" i="2"/>
  <c r="AM153" i="2"/>
  <c r="AL153" i="2"/>
  <c r="AK153" i="2"/>
  <c r="AJ153" i="2"/>
  <c r="AI153" i="2"/>
  <c r="AH153" i="2"/>
  <c r="AG153" i="2"/>
  <c r="AD153" i="2"/>
  <c r="AC153" i="2"/>
  <c r="Z153" i="2"/>
  <c r="Y153" i="2"/>
  <c r="X153" i="2"/>
  <c r="W153" i="2"/>
  <c r="V153" i="2"/>
  <c r="U153" i="2"/>
  <c r="T153" i="2"/>
  <c r="S153" i="2"/>
  <c r="R153" i="2"/>
  <c r="Q153" i="2"/>
  <c r="P153" i="2"/>
  <c r="O153" i="2"/>
  <c r="N153" i="2"/>
  <c r="M153" i="2"/>
  <c r="L153" i="2"/>
  <c r="K153" i="2"/>
  <c r="J153" i="2"/>
  <c r="I153" i="2"/>
  <c r="H153" i="2"/>
  <c r="G153" i="2"/>
  <c r="F153" i="2"/>
  <c r="E153" i="2"/>
  <c r="D153" i="2"/>
  <c r="C153" i="2"/>
  <c r="B153" i="2"/>
  <c r="A153" i="2"/>
  <c r="AX152" i="2"/>
  <c r="AW152" i="2"/>
  <c r="AV152" i="2"/>
  <c r="AU152" i="2"/>
  <c r="AT152" i="2"/>
  <c r="AS152" i="2"/>
  <c r="AR152" i="2"/>
  <c r="AO152" i="2"/>
  <c r="AN152" i="2"/>
  <c r="AM152" i="2"/>
  <c r="AK152" i="2"/>
  <c r="AJ152" i="2"/>
  <c r="AI152" i="2"/>
  <c r="AH152" i="2"/>
  <c r="AG152" i="2"/>
  <c r="AD152" i="2"/>
  <c r="AC152" i="2"/>
  <c r="AA152" i="2"/>
  <c r="Z152" i="2"/>
  <c r="Y152" i="2"/>
  <c r="X152" i="2"/>
  <c r="W152" i="2"/>
  <c r="V152" i="2"/>
  <c r="U152" i="2"/>
  <c r="T152" i="2"/>
  <c r="S152" i="2"/>
  <c r="R152" i="2"/>
  <c r="Q152" i="2"/>
  <c r="P152" i="2"/>
  <c r="O152" i="2"/>
  <c r="N152" i="2"/>
  <c r="M152" i="2"/>
  <c r="L152" i="2"/>
  <c r="K152" i="2"/>
  <c r="J152" i="2"/>
  <c r="I152" i="2"/>
  <c r="H152" i="2"/>
  <c r="G152" i="2"/>
  <c r="F152" i="2"/>
  <c r="E152" i="2"/>
  <c r="D152" i="2"/>
  <c r="C152" i="2"/>
  <c r="B152" i="2"/>
  <c r="A152" i="2"/>
  <c r="AX151" i="2"/>
  <c r="AW151" i="2"/>
  <c r="AV151" i="2"/>
  <c r="AU151" i="2"/>
  <c r="AT151" i="2"/>
  <c r="AS151" i="2"/>
  <c r="AR151" i="2"/>
  <c r="AO151" i="2"/>
  <c r="AN151" i="2"/>
  <c r="AM151" i="2"/>
  <c r="AL151" i="2"/>
  <c r="AK151" i="2"/>
  <c r="AJ151" i="2"/>
  <c r="AI151" i="2"/>
  <c r="AH151" i="2"/>
  <c r="AG151" i="2"/>
  <c r="AF151" i="2"/>
  <c r="AE151" i="2"/>
  <c r="AD151" i="2"/>
  <c r="AC151" i="2"/>
  <c r="AA151" i="2"/>
  <c r="Z151" i="2"/>
  <c r="Y151" i="2"/>
  <c r="X151" i="2"/>
  <c r="V151" i="2"/>
  <c r="U151" i="2"/>
  <c r="T151" i="2"/>
  <c r="S151" i="2"/>
  <c r="R151" i="2"/>
  <c r="Q151" i="2"/>
  <c r="P151" i="2"/>
  <c r="O151" i="2"/>
  <c r="N151" i="2"/>
  <c r="M151" i="2"/>
  <c r="L151" i="2"/>
  <c r="K151" i="2"/>
  <c r="J151" i="2"/>
  <c r="I151" i="2"/>
  <c r="H151" i="2"/>
  <c r="G151" i="2"/>
  <c r="F151" i="2"/>
  <c r="E151" i="2"/>
  <c r="D151" i="2"/>
  <c r="C151" i="2"/>
  <c r="B151" i="2"/>
  <c r="A151" i="2"/>
  <c r="AX150" i="2"/>
  <c r="AW150" i="2"/>
  <c r="AV150" i="2"/>
  <c r="AU150" i="2"/>
  <c r="AT150" i="2"/>
  <c r="AS150" i="2"/>
  <c r="AR150" i="2"/>
  <c r="AO150" i="2"/>
  <c r="AN150" i="2"/>
  <c r="AM150" i="2"/>
  <c r="AK150" i="2"/>
  <c r="AJ150" i="2"/>
  <c r="AI150" i="2"/>
  <c r="AH150" i="2"/>
  <c r="AG150" i="2"/>
  <c r="AF150" i="2"/>
  <c r="AE150" i="2"/>
  <c r="AD150" i="2"/>
  <c r="AC150" i="2"/>
  <c r="AB150" i="2"/>
  <c r="AA150" i="2"/>
  <c r="Z150" i="2"/>
  <c r="Y150" i="2"/>
  <c r="X150" i="2"/>
  <c r="W150" i="2"/>
  <c r="V150" i="2"/>
  <c r="U150" i="2"/>
  <c r="T150" i="2"/>
  <c r="S150" i="2"/>
  <c r="R150" i="2"/>
  <c r="Q150" i="2"/>
  <c r="P150" i="2"/>
  <c r="O150" i="2"/>
  <c r="N150" i="2"/>
  <c r="M150" i="2"/>
  <c r="L150" i="2"/>
  <c r="K150" i="2"/>
  <c r="J150" i="2"/>
  <c r="I150" i="2"/>
  <c r="H150" i="2"/>
  <c r="G150" i="2"/>
  <c r="F150" i="2"/>
  <c r="E150" i="2"/>
  <c r="D150" i="2"/>
  <c r="C150" i="2"/>
  <c r="B150" i="2"/>
  <c r="A150" i="2"/>
  <c r="AX149" i="2"/>
  <c r="AW149" i="2"/>
  <c r="AV149" i="2"/>
  <c r="AU149" i="2"/>
  <c r="AT149" i="2"/>
  <c r="AS149" i="2"/>
  <c r="AR149" i="2"/>
  <c r="AO149" i="2"/>
  <c r="AN149" i="2"/>
  <c r="AM149" i="2"/>
  <c r="AK149" i="2"/>
  <c r="AI149" i="2"/>
  <c r="AH149" i="2"/>
  <c r="AG149" i="2"/>
  <c r="AE149" i="2"/>
  <c r="AD149" i="2"/>
  <c r="AC149" i="2"/>
  <c r="AA149" i="2"/>
  <c r="Z149" i="2"/>
  <c r="Y149" i="2"/>
  <c r="X149" i="2"/>
  <c r="U149" i="2"/>
  <c r="T149" i="2"/>
  <c r="S149" i="2"/>
  <c r="R149" i="2"/>
  <c r="Q149" i="2"/>
  <c r="P149" i="2"/>
  <c r="O149" i="2"/>
  <c r="N149" i="2"/>
  <c r="M149" i="2"/>
  <c r="L149" i="2"/>
  <c r="K149" i="2"/>
  <c r="J149" i="2"/>
  <c r="I149" i="2"/>
  <c r="H149" i="2"/>
  <c r="G149" i="2"/>
  <c r="F149" i="2"/>
  <c r="E149" i="2"/>
  <c r="D149" i="2"/>
  <c r="C149" i="2"/>
  <c r="B149" i="2"/>
  <c r="A149" i="2"/>
  <c r="AX148" i="2"/>
  <c r="AW148" i="2"/>
  <c r="AV148" i="2"/>
  <c r="AU148" i="2"/>
  <c r="AT148" i="2"/>
  <c r="AS148" i="2"/>
  <c r="AR148" i="2"/>
  <c r="AO148" i="2"/>
  <c r="AN148" i="2"/>
  <c r="AM148" i="2"/>
  <c r="AL148" i="2"/>
  <c r="AK148" i="2"/>
  <c r="AJ148" i="2"/>
  <c r="AI148" i="2"/>
  <c r="AH148" i="2"/>
  <c r="AG148" i="2"/>
  <c r="AE148" i="2"/>
  <c r="AD148" i="2"/>
  <c r="AC148" i="2"/>
  <c r="AA148" i="2"/>
  <c r="Z148" i="2"/>
  <c r="Y148" i="2"/>
  <c r="X148" i="2"/>
  <c r="W148" i="2"/>
  <c r="V148" i="2"/>
  <c r="U148" i="2"/>
  <c r="T148" i="2"/>
  <c r="S148" i="2"/>
  <c r="R148" i="2"/>
  <c r="Q148" i="2"/>
  <c r="P148" i="2"/>
  <c r="O148" i="2"/>
  <c r="N148" i="2"/>
  <c r="M148" i="2"/>
  <c r="L148" i="2"/>
  <c r="K148" i="2"/>
  <c r="J148" i="2"/>
  <c r="I148" i="2"/>
  <c r="H148" i="2"/>
  <c r="G148" i="2"/>
  <c r="F148" i="2"/>
  <c r="E148" i="2"/>
  <c r="D148" i="2"/>
  <c r="C148" i="2"/>
  <c r="B148" i="2"/>
  <c r="A148" i="2"/>
  <c r="AX147" i="2"/>
  <c r="AW147" i="2"/>
  <c r="AV147" i="2"/>
  <c r="AU147" i="2"/>
  <c r="AT147" i="2"/>
  <c r="AS147" i="2"/>
  <c r="AR147" i="2"/>
  <c r="AO147" i="2"/>
  <c r="AN147" i="2"/>
  <c r="AM147" i="2"/>
  <c r="AK147" i="2"/>
  <c r="AI147" i="2"/>
  <c r="AH147" i="2"/>
  <c r="AG147" i="2"/>
  <c r="AE147" i="2"/>
  <c r="AD147" i="2"/>
  <c r="AC147" i="2"/>
  <c r="AB147" i="2"/>
  <c r="Z147" i="2"/>
  <c r="Y147" i="2"/>
  <c r="X147" i="2"/>
  <c r="W147" i="2"/>
  <c r="V147" i="2"/>
  <c r="U147" i="2"/>
  <c r="T147" i="2"/>
  <c r="S147" i="2"/>
  <c r="R147" i="2"/>
  <c r="Q147" i="2"/>
  <c r="P147" i="2"/>
  <c r="O147" i="2"/>
  <c r="N147" i="2"/>
  <c r="M147" i="2"/>
  <c r="L147" i="2"/>
  <c r="K147" i="2"/>
  <c r="J147" i="2"/>
  <c r="I147" i="2"/>
  <c r="H147" i="2"/>
  <c r="G147" i="2"/>
  <c r="F147" i="2"/>
  <c r="E147" i="2"/>
  <c r="D147" i="2"/>
  <c r="C147" i="2"/>
  <c r="B147" i="2"/>
  <c r="A147" i="2"/>
  <c r="AX146" i="2"/>
  <c r="AW146" i="2"/>
  <c r="AV146" i="2"/>
  <c r="AU146" i="2"/>
  <c r="AT146" i="2"/>
  <c r="AS146" i="2"/>
  <c r="AR146" i="2"/>
  <c r="AO146" i="2"/>
  <c r="AN146" i="2"/>
  <c r="AM146" i="2"/>
  <c r="AK146" i="2"/>
  <c r="AJ146" i="2"/>
  <c r="AI146" i="2"/>
  <c r="AH146" i="2"/>
  <c r="AG146" i="2"/>
  <c r="AC146" i="2"/>
  <c r="Z146" i="2"/>
  <c r="Y146" i="2"/>
  <c r="X146" i="2"/>
  <c r="W146" i="2"/>
  <c r="V146" i="2"/>
  <c r="U146" i="2"/>
  <c r="T146" i="2"/>
  <c r="S146" i="2"/>
  <c r="R146" i="2"/>
  <c r="Q146" i="2"/>
  <c r="P146" i="2"/>
  <c r="O146" i="2"/>
  <c r="N146" i="2"/>
  <c r="M146" i="2"/>
  <c r="L146" i="2"/>
  <c r="K146" i="2"/>
  <c r="J146" i="2"/>
  <c r="I146" i="2"/>
  <c r="H146" i="2"/>
  <c r="G146" i="2"/>
  <c r="F146" i="2"/>
  <c r="E146" i="2"/>
  <c r="D146" i="2"/>
  <c r="C146" i="2"/>
  <c r="B146" i="2"/>
  <c r="A146" i="2"/>
  <c r="AX145" i="2"/>
  <c r="AW145" i="2"/>
  <c r="AV145" i="2"/>
  <c r="AU145" i="2"/>
  <c r="AT145" i="2"/>
  <c r="AS145" i="2"/>
  <c r="AR145" i="2"/>
  <c r="AO145" i="2"/>
  <c r="AN145" i="2"/>
  <c r="AM145" i="2"/>
  <c r="AJ145" i="2"/>
  <c r="AI145" i="2"/>
  <c r="AH145" i="2"/>
  <c r="AG145" i="2"/>
  <c r="AC145" i="2"/>
  <c r="Z145" i="2"/>
  <c r="Y145" i="2"/>
  <c r="X145" i="2"/>
  <c r="W145" i="2"/>
  <c r="V145" i="2"/>
  <c r="U145" i="2"/>
  <c r="T145" i="2"/>
  <c r="S145" i="2"/>
  <c r="R145" i="2"/>
  <c r="Q145" i="2"/>
  <c r="P145" i="2"/>
  <c r="O145" i="2"/>
  <c r="N145" i="2"/>
  <c r="M145" i="2"/>
  <c r="L145" i="2"/>
  <c r="K145" i="2"/>
  <c r="J145" i="2"/>
  <c r="I145" i="2"/>
  <c r="H145" i="2"/>
  <c r="G145" i="2"/>
  <c r="F145" i="2"/>
  <c r="E145" i="2"/>
  <c r="D145" i="2"/>
  <c r="C145" i="2"/>
  <c r="B145" i="2"/>
  <c r="A145" i="2"/>
  <c r="AX144" i="2"/>
  <c r="AW144" i="2"/>
  <c r="AV144" i="2"/>
  <c r="AU144" i="2"/>
  <c r="AT144" i="2"/>
  <c r="AS144" i="2"/>
  <c r="AR144" i="2"/>
  <c r="AO144" i="2"/>
  <c r="AN144" i="2"/>
  <c r="AM144" i="2"/>
  <c r="AJ144" i="2"/>
  <c r="AI144" i="2"/>
  <c r="AH144" i="2"/>
  <c r="AG144" i="2"/>
  <c r="AD144" i="2"/>
  <c r="AC144" i="2"/>
  <c r="AB144" i="2"/>
  <c r="AA144" i="2"/>
  <c r="Z144" i="2"/>
  <c r="Y144" i="2"/>
  <c r="X144" i="2"/>
  <c r="W144" i="2"/>
  <c r="V144" i="2"/>
  <c r="U144" i="2"/>
  <c r="T144" i="2"/>
  <c r="S144" i="2"/>
  <c r="R144" i="2"/>
  <c r="Q144" i="2"/>
  <c r="P144" i="2"/>
  <c r="O144" i="2"/>
  <c r="N144" i="2"/>
  <c r="M144" i="2"/>
  <c r="L144" i="2"/>
  <c r="K144" i="2"/>
  <c r="J144" i="2"/>
  <c r="I144" i="2"/>
  <c r="H144" i="2"/>
  <c r="G144" i="2"/>
  <c r="F144" i="2"/>
  <c r="E144" i="2"/>
  <c r="D144" i="2"/>
  <c r="C144" i="2"/>
  <c r="B144" i="2"/>
  <c r="A144" i="2"/>
  <c r="AX143" i="2"/>
  <c r="AW143" i="2"/>
  <c r="AV143" i="2"/>
  <c r="AU143" i="2"/>
  <c r="AT143" i="2"/>
  <c r="AR143" i="2"/>
  <c r="AO143" i="2"/>
  <c r="AN143" i="2"/>
  <c r="AM143" i="2"/>
  <c r="AK143" i="2"/>
  <c r="AI143" i="2"/>
  <c r="AH143" i="2"/>
  <c r="AG143" i="2"/>
  <c r="AE143" i="2"/>
  <c r="AD143" i="2"/>
  <c r="AC143" i="2"/>
  <c r="AB143" i="2"/>
  <c r="Z143" i="2"/>
  <c r="Y143" i="2"/>
  <c r="X143" i="2"/>
  <c r="W143" i="2"/>
  <c r="V143" i="2"/>
  <c r="U143" i="2"/>
  <c r="T143" i="2"/>
  <c r="S143" i="2"/>
  <c r="R143" i="2"/>
  <c r="Q143" i="2"/>
  <c r="P143" i="2"/>
  <c r="O143" i="2"/>
  <c r="N143" i="2"/>
  <c r="M143" i="2"/>
  <c r="L143" i="2"/>
  <c r="K143" i="2"/>
  <c r="J143" i="2"/>
  <c r="I143" i="2"/>
  <c r="H143" i="2"/>
  <c r="G143" i="2"/>
  <c r="F143" i="2"/>
  <c r="E143" i="2"/>
  <c r="D143" i="2"/>
  <c r="C143" i="2"/>
  <c r="B143" i="2"/>
  <c r="A143" i="2"/>
  <c r="AX142" i="2"/>
  <c r="AW142" i="2"/>
  <c r="AV142" i="2"/>
  <c r="AU142" i="2"/>
  <c r="AT142" i="2"/>
  <c r="AS142" i="2"/>
  <c r="AR142" i="2"/>
  <c r="AO142" i="2"/>
  <c r="AN142" i="2"/>
  <c r="AM142" i="2"/>
  <c r="AK142" i="2"/>
  <c r="AJ142" i="2"/>
  <c r="AI142" i="2"/>
  <c r="AH142" i="2"/>
  <c r="AG142" i="2"/>
  <c r="AE142" i="2"/>
  <c r="AD142" i="2"/>
  <c r="AC142" i="2"/>
  <c r="AB142" i="2"/>
  <c r="Z142" i="2"/>
  <c r="Y142" i="2"/>
  <c r="X142" i="2"/>
  <c r="W142" i="2"/>
  <c r="V142" i="2"/>
  <c r="U142" i="2"/>
  <c r="T142" i="2"/>
  <c r="S142" i="2"/>
  <c r="R142" i="2"/>
  <c r="Q142" i="2"/>
  <c r="P142" i="2"/>
  <c r="O142" i="2"/>
  <c r="N142" i="2"/>
  <c r="M142" i="2"/>
  <c r="L142" i="2"/>
  <c r="K142" i="2"/>
  <c r="J142" i="2"/>
  <c r="I142" i="2"/>
  <c r="H142" i="2"/>
  <c r="G142" i="2"/>
  <c r="F142" i="2"/>
  <c r="E142" i="2"/>
  <c r="D142" i="2"/>
  <c r="C142" i="2"/>
  <c r="B142" i="2"/>
  <c r="A142" i="2"/>
  <c r="AX141" i="2"/>
  <c r="AW141" i="2"/>
  <c r="AV141" i="2"/>
  <c r="AU141" i="2"/>
  <c r="AT141" i="2"/>
  <c r="AS141" i="2"/>
  <c r="AR141" i="2"/>
  <c r="AP141" i="2"/>
  <c r="AO141" i="2"/>
  <c r="AN141" i="2"/>
  <c r="AM141" i="2"/>
  <c r="AL141" i="2"/>
  <c r="AJ141" i="2"/>
  <c r="AI141" i="2"/>
  <c r="AH141" i="2"/>
  <c r="AG141" i="2"/>
  <c r="AD141" i="2"/>
  <c r="AC141" i="2"/>
  <c r="AB141" i="2"/>
  <c r="AA141" i="2"/>
  <c r="Z141" i="2"/>
  <c r="Y141" i="2"/>
  <c r="X141" i="2"/>
  <c r="W141" i="2"/>
  <c r="V141" i="2"/>
  <c r="U141" i="2"/>
  <c r="T141" i="2"/>
  <c r="S141" i="2"/>
  <c r="R141" i="2"/>
  <c r="Q141" i="2"/>
  <c r="P141" i="2"/>
  <c r="O141" i="2"/>
  <c r="N141" i="2"/>
  <c r="M141" i="2"/>
  <c r="L141" i="2"/>
  <c r="K141" i="2"/>
  <c r="J141" i="2"/>
  <c r="I141" i="2"/>
  <c r="H141" i="2"/>
  <c r="G141" i="2"/>
  <c r="F141" i="2"/>
  <c r="E141" i="2"/>
  <c r="D141" i="2"/>
  <c r="C141" i="2"/>
  <c r="B141" i="2"/>
  <c r="A141" i="2"/>
  <c r="AX140" i="2"/>
  <c r="AW140" i="2"/>
  <c r="AV140" i="2"/>
  <c r="AU140" i="2"/>
  <c r="AT140" i="2"/>
  <c r="AS140" i="2"/>
  <c r="AR140" i="2"/>
  <c r="AO140" i="2"/>
  <c r="AN140" i="2"/>
  <c r="AM140" i="2"/>
  <c r="AL140" i="2"/>
  <c r="AK140" i="2"/>
  <c r="AJ140" i="2"/>
  <c r="AI140" i="2"/>
  <c r="AH140" i="2"/>
  <c r="AG140" i="2"/>
  <c r="AE140" i="2"/>
  <c r="AD140" i="2"/>
  <c r="AC140" i="2"/>
  <c r="AA140" i="2"/>
  <c r="Z140" i="2"/>
  <c r="Y140" i="2"/>
  <c r="X140" i="2"/>
  <c r="W140" i="2"/>
  <c r="V140" i="2"/>
  <c r="U140" i="2"/>
  <c r="T140" i="2"/>
  <c r="S140" i="2"/>
  <c r="R140" i="2"/>
  <c r="Q140" i="2"/>
  <c r="P140" i="2"/>
  <c r="O140" i="2"/>
  <c r="N140" i="2"/>
  <c r="M140" i="2"/>
  <c r="L140" i="2"/>
  <c r="K140" i="2"/>
  <c r="J140" i="2"/>
  <c r="I140" i="2"/>
  <c r="H140" i="2"/>
  <c r="G140" i="2"/>
  <c r="F140" i="2"/>
  <c r="E140" i="2"/>
  <c r="D140" i="2"/>
  <c r="C140" i="2"/>
  <c r="B140" i="2"/>
  <c r="A140" i="2"/>
  <c r="AX139" i="2"/>
  <c r="AW139" i="2"/>
  <c r="AV139" i="2"/>
  <c r="AU139" i="2"/>
  <c r="AT139" i="2"/>
  <c r="AS139" i="2"/>
  <c r="AR139" i="2"/>
  <c r="AL139" i="2"/>
  <c r="AK139" i="2"/>
  <c r="AI139" i="2"/>
  <c r="AH139" i="2"/>
  <c r="AG139" i="2"/>
  <c r="AE139" i="2"/>
  <c r="AC139" i="2"/>
  <c r="Z139" i="2"/>
  <c r="Y139" i="2"/>
  <c r="X139" i="2"/>
  <c r="W139" i="2"/>
  <c r="V139" i="2"/>
  <c r="U139" i="2"/>
  <c r="T139" i="2"/>
  <c r="S139" i="2"/>
  <c r="R139" i="2"/>
  <c r="Q139" i="2"/>
  <c r="P139" i="2"/>
  <c r="O139" i="2"/>
  <c r="N139" i="2"/>
  <c r="M139" i="2"/>
  <c r="L139" i="2"/>
  <c r="K139" i="2"/>
  <c r="J139" i="2"/>
  <c r="I139" i="2"/>
  <c r="H139" i="2"/>
  <c r="G139" i="2"/>
  <c r="F139" i="2"/>
  <c r="E139" i="2"/>
  <c r="D139" i="2"/>
  <c r="C139" i="2"/>
  <c r="B139" i="2"/>
  <c r="A139" i="2"/>
  <c r="AX138" i="2"/>
  <c r="AW138" i="2"/>
  <c r="AV138" i="2"/>
  <c r="AU138" i="2"/>
  <c r="AT138" i="2"/>
  <c r="AS138" i="2"/>
  <c r="AR138" i="2"/>
  <c r="AO138" i="2"/>
  <c r="AN138" i="2"/>
  <c r="AM138" i="2"/>
  <c r="AL138" i="2"/>
  <c r="AK138" i="2"/>
  <c r="AJ138" i="2"/>
  <c r="AI138" i="2"/>
  <c r="AH138" i="2"/>
  <c r="AG138" i="2"/>
  <c r="AE138" i="2"/>
  <c r="AD138" i="2"/>
  <c r="AC138" i="2"/>
  <c r="AB138" i="2"/>
  <c r="AA138" i="2"/>
  <c r="Z138" i="2"/>
  <c r="Y138" i="2"/>
  <c r="X138" i="2"/>
  <c r="W138" i="2"/>
  <c r="V138" i="2"/>
  <c r="U138" i="2"/>
  <c r="T138" i="2"/>
  <c r="S138" i="2"/>
  <c r="R138" i="2"/>
  <c r="Q138" i="2"/>
  <c r="P138" i="2"/>
  <c r="O138" i="2"/>
  <c r="N138" i="2"/>
  <c r="M138" i="2"/>
  <c r="L138" i="2"/>
  <c r="K138" i="2"/>
  <c r="J138" i="2"/>
  <c r="I138" i="2"/>
  <c r="H138" i="2"/>
  <c r="G138" i="2"/>
  <c r="F138" i="2"/>
  <c r="E138" i="2"/>
  <c r="D138" i="2"/>
  <c r="C138" i="2"/>
  <c r="B138" i="2"/>
  <c r="A138" i="2"/>
  <c r="AX137" i="2"/>
  <c r="AW137" i="2"/>
  <c r="AV137" i="2"/>
  <c r="AU137" i="2"/>
  <c r="AT137" i="2"/>
  <c r="AS137" i="2"/>
  <c r="AR137" i="2"/>
  <c r="AP137" i="2"/>
  <c r="AO137" i="2"/>
  <c r="AN137" i="2"/>
  <c r="AM137" i="2"/>
  <c r="AK137" i="2"/>
  <c r="AJ137" i="2"/>
  <c r="AI137" i="2"/>
  <c r="AH137" i="2"/>
  <c r="AG137" i="2"/>
  <c r="AE137" i="2"/>
  <c r="AD137" i="2"/>
  <c r="AC137" i="2"/>
  <c r="AB137" i="2"/>
  <c r="AA137" i="2"/>
  <c r="Z137" i="2"/>
  <c r="Y137" i="2"/>
  <c r="X137" i="2"/>
  <c r="W137" i="2"/>
  <c r="V137" i="2"/>
  <c r="U137" i="2"/>
  <c r="T137" i="2"/>
  <c r="S137" i="2"/>
  <c r="R137" i="2"/>
  <c r="Q137" i="2"/>
  <c r="P137" i="2"/>
  <c r="O137" i="2"/>
  <c r="N137" i="2"/>
  <c r="M137" i="2"/>
  <c r="L137" i="2"/>
  <c r="K137" i="2"/>
  <c r="J137" i="2"/>
  <c r="I137" i="2"/>
  <c r="H137" i="2"/>
  <c r="G137" i="2"/>
  <c r="F137" i="2"/>
  <c r="E137" i="2"/>
  <c r="D137" i="2"/>
  <c r="C137" i="2"/>
  <c r="B137" i="2"/>
  <c r="A137" i="2"/>
  <c r="AX136" i="2"/>
  <c r="AW136" i="2"/>
  <c r="AV136" i="2"/>
  <c r="AU136" i="2"/>
  <c r="AT136" i="2"/>
  <c r="AS136" i="2"/>
  <c r="AR136" i="2"/>
  <c r="AO136" i="2"/>
  <c r="AN136" i="2"/>
  <c r="AM136" i="2"/>
  <c r="AL136" i="2"/>
  <c r="AK136" i="2"/>
  <c r="AJ136" i="2"/>
  <c r="AI136" i="2"/>
  <c r="AH136" i="2"/>
  <c r="AG136" i="2"/>
  <c r="AF136" i="2"/>
  <c r="AE136" i="2"/>
  <c r="AD136" i="2"/>
  <c r="AC136" i="2"/>
  <c r="AB136" i="2"/>
  <c r="AA136" i="2"/>
  <c r="Z136" i="2"/>
  <c r="Y136" i="2"/>
  <c r="X136" i="2"/>
  <c r="W136" i="2"/>
  <c r="V136" i="2"/>
  <c r="U136" i="2"/>
  <c r="T136" i="2"/>
  <c r="S136" i="2"/>
  <c r="R136" i="2"/>
  <c r="Q136" i="2"/>
  <c r="P136" i="2"/>
  <c r="O136" i="2"/>
  <c r="N136" i="2"/>
  <c r="M136" i="2"/>
  <c r="L136" i="2"/>
  <c r="K136" i="2"/>
  <c r="J136" i="2"/>
  <c r="I136" i="2"/>
  <c r="H136" i="2"/>
  <c r="G136" i="2"/>
  <c r="F136" i="2"/>
  <c r="E136" i="2"/>
  <c r="D136" i="2"/>
  <c r="C136" i="2"/>
  <c r="B136" i="2"/>
  <c r="A136" i="2"/>
  <c r="AX135" i="2"/>
  <c r="AW135" i="2"/>
  <c r="AV135" i="2"/>
  <c r="AU135" i="2"/>
  <c r="AT135" i="2"/>
  <c r="AS135" i="2"/>
  <c r="AR135" i="2"/>
  <c r="AO135" i="2"/>
  <c r="AN135" i="2"/>
  <c r="AM135" i="2"/>
  <c r="AL135" i="2"/>
  <c r="AK135" i="2"/>
  <c r="AJ135" i="2"/>
  <c r="AI135" i="2"/>
  <c r="AH135" i="2"/>
  <c r="AG135" i="2"/>
  <c r="AF135" i="2"/>
  <c r="AE135" i="2"/>
  <c r="AD135" i="2"/>
  <c r="AC135" i="2"/>
  <c r="AB135" i="2"/>
  <c r="AA135" i="2"/>
  <c r="Z135" i="2"/>
  <c r="Y135" i="2"/>
  <c r="X135" i="2"/>
  <c r="W135" i="2"/>
  <c r="V135" i="2"/>
  <c r="U135" i="2"/>
  <c r="T135" i="2"/>
  <c r="S135" i="2"/>
  <c r="R135" i="2"/>
  <c r="Q135" i="2"/>
  <c r="P135" i="2"/>
  <c r="O135" i="2"/>
  <c r="N135" i="2"/>
  <c r="M135" i="2"/>
  <c r="L135" i="2"/>
  <c r="K135" i="2"/>
  <c r="J135" i="2"/>
  <c r="I135" i="2"/>
  <c r="H135" i="2"/>
  <c r="G135" i="2"/>
  <c r="F135" i="2"/>
  <c r="E135" i="2"/>
  <c r="D135" i="2"/>
  <c r="C135" i="2"/>
  <c r="B135" i="2"/>
  <c r="A135" i="2"/>
  <c r="AX134" i="2"/>
  <c r="AW134" i="2"/>
  <c r="AV134" i="2"/>
  <c r="AU134" i="2"/>
  <c r="AT134" i="2"/>
  <c r="AS134" i="2"/>
  <c r="AR134" i="2"/>
  <c r="AO134" i="2"/>
  <c r="AN134" i="2"/>
  <c r="AM134" i="2"/>
  <c r="AL134" i="2"/>
  <c r="AK134" i="2"/>
  <c r="AJ134" i="2"/>
  <c r="AI134" i="2"/>
  <c r="AH134" i="2"/>
  <c r="AG134" i="2"/>
  <c r="AE134" i="2"/>
  <c r="AD134" i="2"/>
  <c r="AC134" i="2"/>
  <c r="AA134" i="2"/>
  <c r="Z134" i="2"/>
  <c r="Y134" i="2"/>
  <c r="X134" i="2"/>
  <c r="W134" i="2"/>
  <c r="V134" i="2"/>
  <c r="U134" i="2"/>
  <c r="T134" i="2"/>
  <c r="S134" i="2"/>
  <c r="R134" i="2"/>
  <c r="Q134" i="2"/>
  <c r="P134" i="2"/>
  <c r="O134" i="2"/>
  <c r="N134" i="2"/>
  <c r="M134" i="2"/>
  <c r="L134" i="2"/>
  <c r="K134" i="2"/>
  <c r="J134" i="2"/>
  <c r="I134" i="2"/>
  <c r="H134" i="2"/>
  <c r="G134" i="2"/>
  <c r="F134" i="2"/>
  <c r="E134" i="2"/>
  <c r="D134" i="2"/>
  <c r="C134" i="2"/>
  <c r="B134" i="2"/>
  <c r="A134" i="2"/>
  <c r="AX133" i="2"/>
  <c r="AW133" i="2"/>
  <c r="AV133" i="2"/>
  <c r="AU133" i="2"/>
  <c r="AT133" i="2"/>
  <c r="AS133" i="2"/>
  <c r="AR133" i="2"/>
  <c r="AO133" i="2"/>
  <c r="AN133" i="2"/>
  <c r="AM133" i="2"/>
  <c r="AL133" i="2"/>
  <c r="AK133" i="2"/>
  <c r="AJ133" i="2"/>
  <c r="AI133" i="2"/>
  <c r="AH133" i="2"/>
  <c r="AG133" i="2"/>
  <c r="AC133" i="2"/>
  <c r="Z133" i="2"/>
  <c r="Y133" i="2"/>
  <c r="X133" i="2"/>
  <c r="W133" i="2"/>
  <c r="V133" i="2"/>
  <c r="U133" i="2"/>
  <c r="T133" i="2"/>
  <c r="S133" i="2"/>
  <c r="R133" i="2"/>
  <c r="Q133" i="2"/>
  <c r="P133" i="2"/>
  <c r="O133" i="2"/>
  <c r="N133" i="2"/>
  <c r="M133" i="2"/>
  <c r="L133" i="2"/>
  <c r="K133" i="2"/>
  <c r="J133" i="2"/>
  <c r="I133" i="2"/>
  <c r="H133" i="2"/>
  <c r="G133" i="2"/>
  <c r="F133" i="2"/>
  <c r="E133" i="2"/>
  <c r="D133" i="2"/>
  <c r="C133" i="2"/>
  <c r="B133" i="2"/>
  <c r="A133" i="2"/>
  <c r="AX132" i="2"/>
  <c r="AW132" i="2"/>
  <c r="AV132" i="2"/>
  <c r="AU132" i="2"/>
  <c r="AT132" i="2"/>
  <c r="AS132" i="2"/>
  <c r="AR132" i="2"/>
  <c r="AO132" i="2"/>
  <c r="AN132" i="2"/>
  <c r="AM132" i="2"/>
  <c r="AK132" i="2"/>
  <c r="AJ132" i="2"/>
  <c r="AI132" i="2"/>
  <c r="AH132" i="2"/>
  <c r="AG132" i="2"/>
  <c r="AC132" i="2"/>
  <c r="Z132" i="2"/>
  <c r="Y132" i="2"/>
  <c r="X132" i="2"/>
  <c r="W132" i="2"/>
  <c r="V132" i="2"/>
  <c r="U132" i="2"/>
  <c r="T132" i="2"/>
  <c r="S132" i="2"/>
  <c r="R132" i="2"/>
  <c r="Q132" i="2"/>
  <c r="P132" i="2"/>
  <c r="O132" i="2"/>
  <c r="N132" i="2"/>
  <c r="M132" i="2"/>
  <c r="L132" i="2"/>
  <c r="K132" i="2"/>
  <c r="J132" i="2"/>
  <c r="I132" i="2"/>
  <c r="H132" i="2"/>
  <c r="G132" i="2"/>
  <c r="F132" i="2"/>
  <c r="E132" i="2"/>
  <c r="D132" i="2"/>
  <c r="C132" i="2"/>
  <c r="B132" i="2"/>
  <c r="A132" i="2"/>
  <c r="AX131" i="2"/>
  <c r="AW131" i="2"/>
  <c r="AV131" i="2"/>
  <c r="AU131" i="2"/>
  <c r="AT131" i="2"/>
  <c r="AS131" i="2"/>
  <c r="AR131" i="2"/>
  <c r="AQ131" i="2"/>
  <c r="AP131" i="2"/>
  <c r="AO131" i="2"/>
  <c r="AN131" i="2"/>
  <c r="AM131" i="2"/>
  <c r="AK131" i="2"/>
  <c r="AJ131" i="2"/>
  <c r="AI131" i="2"/>
  <c r="AH131" i="2"/>
  <c r="AG131" i="2"/>
  <c r="AF131" i="2"/>
  <c r="AE131" i="2"/>
  <c r="AD131" i="2"/>
  <c r="AC131" i="2"/>
  <c r="AB131" i="2"/>
  <c r="AA131" i="2"/>
  <c r="Z131" i="2"/>
  <c r="Y131" i="2"/>
  <c r="X131" i="2"/>
  <c r="W131" i="2"/>
  <c r="V131" i="2"/>
  <c r="U131" i="2"/>
  <c r="T131" i="2"/>
  <c r="S131" i="2"/>
  <c r="R131" i="2"/>
  <c r="Q131" i="2"/>
  <c r="P131" i="2"/>
  <c r="O131" i="2"/>
  <c r="N131" i="2"/>
  <c r="M131" i="2"/>
  <c r="L131" i="2"/>
  <c r="K131" i="2"/>
  <c r="J131" i="2"/>
  <c r="I131" i="2"/>
  <c r="H131" i="2"/>
  <c r="G131" i="2"/>
  <c r="F131" i="2"/>
  <c r="E131" i="2"/>
  <c r="D131" i="2"/>
  <c r="C131" i="2"/>
  <c r="B131" i="2"/>
  <c r="A131" i="2"/>
  <c r="AX130" i="2"/>
  <c r="AW130" i="2"/>
  <c r="AV130" i="2"/>
  <c r="AU130" i="2"/>
  <c r="AT130" i="2"/>
  <c r="AS130" i="2"/>
  <c r="AR130" i="2"/>
  <c r="AO130" i="2"/>
  <c r="AN130" i="2"/>
  <c r="AM130" i="2"/>
  <c r="AL130" i="2"/>
  <c r="AK130" i="2"/>
  <c r="AJ130" i="2"/>
  <c r="AI130" i="2"/>
  <c r="AH130" i="2"/>
  <c r="AG130" i="2"/>
  <c r="AE130" i="2"/>
  <c r="AD130" i="2"/>
  <c r="AC130" i="2"/>
  <c r="Z130" i="2"/>
  <c r="Y130" i="2"/>
  <c r="X130" i="2"/>
  <c r="W130" i="2"/>
  <c r="V130" i="2"/>
  <c r="U130" i="2"/>
  <c r="T130" i="2"/>
  <c r="S130" i="2"/>
  <c r="R130" i="2"/>
  <c r="Q130" i="2"/>
  <c r="P130" i="2"/>
  <c r="O130" i="2"/>
  <c r="N130" i="2"/>
  <c r="M130" i="2"/>
  <c r="L130" i="2"/>
  <c r="K130" i="2"/>
  <c r="J130" i="2"/>
  <c r="I130" i="2"/>
  <c r="H130" i="2"/>
  <c r="G130" i="2"/>
  <c r="F130" i="2"/>
  <c r="E130" i="2"/>
  <c r="D130" i="2"/>
  <c r="C130" i="2"/>
  <c r="B130" i="2"/>
  <c r="A130" i="2"/>
  <c r="AX129" i="2"/>
  <c r="AW129" i="2"/>
  <c r="AV129" i="2"/>
  <c r="AU129" i="2"/>
  <c r="AT129" i="2"/>
  <c r="AS129" i="2"/>
  <c r="AR129" i="2"/>
  <c r="AO129" i="2"/>
  <c r="AN129" i="2"/>
  <c r="AM129" i="2"/>
  <c r="AL129" i="2"/>
  <c r="AK129" i="2"/>
  <c r="AJ129" i="2"/>
  <c r="AI129" i="2"/>
  <c r="AH129" i="2"/>
  <c r="AG129" i="2"/>
  <c r="AF129" i="2"/>
  <c r="AE129" i="2"/>
  <c r="AD129" i="2"/>
  <c r="AC129" i="2"/>
  <c r="AB129" i="2"/>
  <c r="Z129" i="2"/>
  <c r="Y129" i="2"/>
  <c r="X129" i="2"/>
  <c r="W129" i="2"/>
  <c r="V129" i="2"/>
  <c r="U129" i="2"/>
  <c r="T129" i="2"/>
  <c r="S129" i="2"/>
  <c r="R129" i="2"/>
  <c r="Q129" i="2"/>
  <c r="P129" i="2"/>
  <c r="O129" i="2"/>
  <c r="N129" i="2"/>
  <c r="M129" i="2"/>
  <c r="L129" i="2"/>
  <c r="K129" i="2"/>
  <c r="J129" i="2"/>
  <c r="I129" i="2"/>
  <c r="H129" i="2"/>
  <c r="G129" i="2"/>
  <c r="F129" i="2"/>
  <c r="E129" i="2"/>
  <c r="D129" i="2"/>
  <c r="C129" i="2"/>
  <c r="B129" i="2"/>
  <c r="A129" i="2"/>
  <c r="AX128" i="2"/>
  <c r="AW128" i="2"/>
  <c r="AV128" i="2"/>
  <c r="AU128" i="2"/>
  <c r="AT128" i="2"/>
  <c r="AS128" i="2"/>
  <c r="AR128" i="2"/>
  <c r="AO128" i="2"/>
  <c r="AN128" i="2"/>
  <c r="AM128" i="2"/>
  <c r="AK128" i="2"/>
  <c r="AJ128" i="2"/>
  <c r="AI128" i="2"/>
  <c r="AH128" i="2"/>
  <c r="AG128" i="2"/>
  <c r="AC128" i="2"/>
  <c r="AB128" i="2"/>
  <c r="Z128" i="2"/>
  <c r="Y128" i="2"/>
  <c r="X128" i="2"/>
  <c r="W128" i="2"/>
  <c r="V128" i="2"/>
  <c r="U128" i="2"/>
  <c r="T128" i="2"/>
  <c r="S128" i="2"/>
  <c r="R128" i="2"/>
  <c r="Q128" i="2"/>
  <c r="P128" i="2"/>
  <c r="O128" i="2"/>
  <c r="N128" i="2"/>
  <c r="M128" i="2"/>
  <c r="L128" i="2"/>
  <c r="K128" i="2"/>
  <c r="J128" i="2"/>
  <c r="I128" i="2"/>
  <c r="H128" i="2"/>
  <c r="G128" i="2"/>
  <c r="F128" i="2"/>
  <c r="E128" i="2"/>
  <c r="D128" i="2"/>
  <c r="C128" i="2"/>
  <c r="B128" i="2"/>
  <c r="A128" i="2"/>
  <c r="AX127" i="2"/>
  <c r="AW127" i="2"/>
  <c r="AV127" i="2"/>
  <c r="AU127" i="2"/>
  <c r="AT127" i="2"/>
  <c r="AR127" i="2"/>
  <c r="AO127" i="2"/>
  <c r="AN127" i="2"/>
  <c r="AM127" i="2"/>
  <c r="AL127" i="2"/>
  <c r="AK127" i="2"/>
  <c r="AJ127" i="2"/>
  <c r="AI127" i="2"/>
  <c r="AH127" i="2"/>
  <c r="AG127" i="2"/>
  <c r="AC127" i="2"/>
  <c r="Z127" i="2"/>
  <c r="Y127" i="2"/>
  <c r="X127" i="2"/>
  <c r="W127" i="2"/>
  <c r="V127" i="2"/>
  <c r="U127" i="2"/>
  <c r="T127" i="2"/>
  <c r="S127" i="2"/>
  <c r="R127" i="2"/>
  <c r="Q127" i="2"/>
  <c r="P127" i="2"/>
  <c r="O127" i="2"/>
  <c r="N127" i="2"/>
  <c r="M127" i="2"/>
  <c r="L127" i="2"/>
  <c r="K127" i="2"/>
  <c r="J127" i="2"/>
  <c r="I127" i="2"/>
  <c r="H127" i="2"/>
  <c r="G127" i="2"/>
  <c r="F127" i="2"/>
  <c r="E127" i="2"/>
  <c r="D127" i="2"/>
  <c r="C127" i="2"/>
  <c r="B127" i="2"/>
  <c r="A127" i="2"/>
  <c r="AX126" i="2"/>
  <c r="AW126" i="2"/>
  <c r="AV126" i="2"/>
  <c r="AU126" i="2"/>
  <c r="AT126" i="2"/>
  <c r="AS126" i="2"/>
  <c r="AR126" i="2"/>
  <c r="AO126" i="2"/>
  <c r="AN126" i="2"/>
  <c r="AM126" i="2"/>
  <c r="AK126" i="2"/>
  <c r="AJ126" i="2"/>
  <c r="AI126" i="2"/>
  <c r="AH126" i="2"/>
  <c r="AG126" i="2"/>
  <c r="AF126" i="2"/>
  <c r="AE126" i="2"/>
  <c r="AD126" i="2"/>
  <c r="AC126" i="2"/>
  <c r="AB126" i="2"/>
  <c r="Z126" i="2"/>
  <c r="Y126" i="2"/>
  <c r="X126" i="2"/>
  <c r="W126" i="2"/>
  <c r="V126" i="2"/>
  <c r="U126" i="2"/>
  <c r="T126" i="2"/>
  <c r="S126" i="2"/>
  <c r="R126" i="2"/>
  <c r="Q126" i="2"/>
  <c r="P126" i="2"/>
  <c r="O126" i="2"/>
  <c r="N126" i="2"/>
  <c r="M126" i="2"/>
  <c r="L126" i="2"/>
  <c r="K126" i="2"/>
  <c r="J126" i="2"/>
  <c r="I126" i="2"/>
  <c r="H126" i="2"/>
  <c r="G126" i="2"/>
  <c r="F126" i="2"/>
  <c r="E126" i="2"/>
  <c r="D126" i="2"/>
  <c r="C126" i="2"/>
  <c r="B126" i="2"/>
  <c r="A126" i="2"/>
  <c r="AX125" i="2"/>
  <c r="AW125" i="2"/>
  <c r="AV125" i="2"/>
  <c r="AU125" i="2"/>
  <c r="AT125" i="2"/>
  <c r="AS125" i="2"/>
  <c r="AR125" i="2"/>
  <c r="AO125" i="2"/>
  <c r="AN125" i="2"/>
  <c r="AM125" i="2"/>
  <c r="AL125" i="2"/>
  <c r="AK125" i="2"/>
  <c r="AJ125" i="2"/>
  <c r="AI125" i="2"/>
  <c r="AH125" i="2"/>
  <c r="AG125" i="2"/>
  <c r="AE125" i="2"/>
  <c r="AD125" i="2"/>
  <c r="AC125" i="2"/>
  <c r="AB125" i="2"/>
  <c r="AA125" i="2"/>
  <c r="Z125" i="2"/>
  <c r="Y125" i="2"/>
  <c r="X125" i="2"/>
  <c r="W125" i="2"/>
  <c r="V125" i="2"/>
  <c r="U125" i="2"/>
  <c r="T125" i="2"/>
  <c r="S125" i="2"/>
  <c r="R125" i="2"/>
  <c r="Q125" i="2"/>
  <c r="P125" i="2"/>
  <c r="O125" i="2"/>
  <c r="N125" i="2"/>
  <c r="M125" i="2"/>
  <c r="L125" i="2"/>
  <c r="K125" i="2"/>
  <c r="J125" i="2"/>
  <c r="I125" i="2"/>
  <c r="H125" i="2"/>
  <c r="G125" i="2"/>
  <c r="F125" i="2"/>
  <c r="E125" i="2"/>
  <c r="D125" i="2"/>
  <c r="C125" i="2"/>
  <c r="B125" i="2"/>
  <c r="A125" i="2"/>
  <c r="AX124" i="2"/>
  <c r="AW124" i="2"/>
  <c r="AV124" i="2"/>
  <c r="AU124" i="2"/>
  <c r="AT124" i="2"/>
  <c r="AS124" i="2"/>
  <c r="AR124" i="2"/>
  <c r="AO124" i="2"/>
  <c r="AN124" i="2"/>
  <c r="AM124" i="2"/>
  <c r="AL124" i="2"/>
  <c r="AK124" i="2"/>
  <c r="AJ124" i="2"/>
  <c r="AI124" i="2"/>
  <c r="AH124" i="2"/>
  <c r="AG124" i="2"/>
  <c r="AE124" i="2"/>
  <c r="AD124" i="2"/>
  <c r="AC124" i="2"/>
  <c r="AB124" i="2"/>
  <c r="AA124" i="2"/>
  <c r="Z124" i="2"/>
  <c r="Y124" i="2"/>
  <c r="X124" i="2"/>
  <c r="W124" i="2"/>
  <c r="V124" i="2"/>
  <c r="U124" i="2"/>
  <c r="T124" i="2"/>
  <c r="S124" i="2"/>
  <c r="R124" i="2"/>
  <c r="Q124" i="2"/>
  <c r="P124" i="2"/>
  <c r="O124" i="2"/>
  <c r="N124" i="2"/>
  <c r="M124" i="2"/>
  <c r="L124" i="2"/>
  <c r="K124" i="2"/>
  <c r="J124" i="2"/>
  <c r="I124" i="2"/>
  <c r="H124" i="2"/>
  <c r="G124" i="2"/>
  <c r="F124" i="2"/>
  <c r="E124" i="2"/>
  <c r="D124" i="2"/>
  <c r="C124" i="2"/>
  <c r="B124" i="2"/>
  <c r="A124" i="2"/>
  <c r="AX123" i="2"/>
  <c r="AW123" i="2"/>
  <c r="AV123" i="2"/>
  <c r="AU123" i="2"/>
  <c r="AT123" i="2"/>
  <c r="AS123" i="2"/>
  <c r="AR123" i="2"/>
  <c r="AQ123" i="2"/>
  <c r="AP123" i="2"/>
  <c r="AO123" i="2"/>
  <c r="AN123" i="2"/>
  <c r="AM123" i="2"/>
  <c r="AL123" i="2"/>
  <c r="AK123" i="2"/>
  <c r="AJ123" i="2"/>
  <c r="AI123" i="2"/>
  <c r="AH123" i="2"/>
  <c r="AG123" i="2"/>
  <c r="AE123" i="2"/>
  <c r="AD123" i="2"/>
  <c r="AC123" i="2"/>
  <c r="AB123" i="2"/>
  <c r="AA123" i="2"/>
  <c r="Z123" i="2"/>
  <c r="Y123" i="2"/>
  <c r="X123" i="2"/>
  <c r="W123" i="2"/>
  <c r="V123" i="2"/>
  <c r="U123" i="2"/>
  <c r="T123" i="2"/>
  <c r="S123" i="2"/>
  <c r="R123" i="2"/>
  <c r="Q123" i="2"/>
  <c r="P123" i="2"/>
  <c r="O123" i="2"/>
  <c r="N123" i="2"/>
  <c r="M123" i="2"/>
  <c r="L123" i="2"/>
  <c r="K123" i="2"/>
  <c r="J123" i="2"/>
  <c r="I123" i="2"/>
  <c r="H123" i="2"/>
  <c r="G123" i="2"/>
  <c r="F123" i="2"/>
  <c r="E123" i="2"/>
  <c r="D123" i="2"/>
  <c r="C123" i="2"/>
  <c r="B123" i="2"/>
  <c r="A123" i="2"/>
  <c r="AX122" i="2"/>
  <c r="AW122" i="2"/>
  <c r="AV122" i="2"/>
  <c r="AU122" i="2"/>
  <c r="AT122" i="2"/>
  <c r="AS122" i="2"/>
  <c r="AR122" i="2"/>
  <c r="AO122" i="2"/>
  <c r="AN122" i="2"/>
  <c r="AM122" i="2"/>
  <c r="AL122" i="2"/>
  <c r="AK122" i="2"/>
  <c r="AJ122" i="2"/>
  <c r="AI122" i="2"/>
  <c r="AH122" i="2"/>
  <c r="AG122" i="2"/>
  <c r="AD122" i="2"/>
  <c r="AC122" i="2"/>
  <c r="AB122" i="2"/>
  <c r="AA122" i="2"/>
  <c r="Z122" i="2"/>
  <c r="Y122" i="2"/>
  <c r="X122" i="2"/>
  <c r="W122" i="2"/>
  <c r="V122" i="2"/>
  <c r="U122" i="2"/>
  <c r="T122" i="2"/>
  <c r="S122" i="2"/>
  <c r="R122" i="2"/>
  <c r="Q122" i="2"/>
  <c r="P122" i="2"/>
  <c r="O122" i="2"/>
  <c r="N122" i="2"/>
  <c r="M122" i="2"/>
  <c r="L122" i="2"/>
  <c r="K122" i="2"/>
  <c r="J122" i="2"/>
  <c r="I122" i="2"/>
  <c r="H122" i="2"/>
  <c r="G122" i="2"/>
  <c r="F122" i="2"/>
  <c r="E122" i="2"/>
  <c r="D122" i="2"/>
  <c r="C122" i="2"/>
  <c r="B122" i="2"/>
  <c r="A122" i="2"/>
  <c r="AX121" i="2"/>
  <c r="AW121" i="2"/>
  <c r="AV121" i="2"/>
  <c r="AU121" i="2"/>
  <c r="AT121" i="2"/>
  <c r="AS121" i="2"/>
  <c r="AR121" i="2"/>
  <c r="AO121" i="2"/>
  <c r="AN121" i="2"/>
  <c r="AM121" i="2"/>
  <c r="AL121" i="2"/>
  <c r="AK121" i="2"/>
  <c r="AJ121" i="2"/>
  <c r="AI121" i="2"/>
  <c r="AH121" i="2"/>
  <c r="AG121" i="2"/>
  <c r="AE121" i="2"/>
  <c r="AD121" i="2"/>
  <c r="AC121" i="2"/>
  <c r="AB121" i="2"/>
  <c r="AA121" i="2"/>
  <c r="Z121" i="2"/>
  <c r="Y121" i="2"/>
  <c r="X121" i="2"/>
  <c r="W121" i="2"/>
  <c r="V121" i="2"/>
  <c r="U121" i="2"/>
  <c r="T121" i="2"/>
  <c r="S121" i="2"/>
  <c r="R121" i="2"/>
  <c r="Q121" i="2"/>
  <c r="P121" i="2"/>
  <c r="O121" i="2"/>
  <c r="N121" i="2"/>
  <c r="M121" i="2"/>
  <c r="L121" i="2"/>
  <c r="K121" i="2"/>
  <c r="J121" i="2"/>
  <c r="I121" i="2"/>
  <c r="H121" i="2"/>
  <c r="G121" i="2"/>
  <c r="F121" i="2"/>
  <c r="E121" i="2"/>
  <c r="D121" i="2"/>
  <c r="C121" i="2"/>
  <c r="B121" i="2"/>
  <c r="A121" i="2"/>
  <c r="AX120" i="2"/>
  <c r="AW120" i="2"/>
  <c r="AV120" i="2"/>
  <c r="AU120" i="2"/>
  <c r="AT120" i="2"/>
  <c r="AS120" i="2"/>
  <c r="AR120" i="2"/>
  <c r="AO120" i="2"/>
  <c r="AN120" i="2"/>
  <c r="AM120" i="2"/>
  <c r="AL120" i="2"/>
  <c r="AK120" i="2"/>
  <c r="AJ120" i="2"/>
  <c r="AI120" i="2"/>
  <c r="AH120" i="2"/>
  <c r="AG120" i="2"/>
  <c r="AF120" i="2"/>
  <c r="AE120" i="2"/>
  <c r="AD120" i="2"/>
  <c r="AC120" i="2"/>
  <c r="AB120" i="2"/>
  <c r="Z120" i="2"/>
  <c r="Y120" i="2"/>
  <c r="X120" i="2"/>
  <c r="W120" i="2"/>
  <c r="V120" i="2"/>
  <c r="U120" i="2"/>
  <c r="T120" i="2"/>
  <c r="S120" i="2"/>
  <c r="R120" i="2"/>
  <c r="Q120" i="2"/>
  <c r="P120" i="2"/>
  <c r="O120" i="2"/>
  <c r="N120" i="2"/>
  <c r="M120" i="2"/>
  <c r="L120" i="2"/>
  <c r="K120" i="2"/>
  <c r="J120" i="2"/>
  <c r="I120" i="2"/>
  <c r="H120" i="2"/>
  <c r="G120" i="2"/>
  <c r="F120" i="2"/>
  <c r="E120" i="2"/>
  <c r="D120" i="2"/>
  <c r="C120" i="2"/>
  <c r="B120" i="2"/>
  <c r="A120" i="2"/>
  <c r="AX119" i="2"/>
  <c r="AW119" i="2"/>
  <c r="AV119" i="2"/>
  <c r="AU119" i="2"/>
  <c r="AT119" i="2"/>
  <c r="AS119" i="2"/>
  <c r="AR119" i="2"/>
  <c r="AO119" i="2"/>
  <c r="AN119" i="2"/>
  <c r="AM119" i="2"/>
  <c r="AL119" i="2"/>
  <c r="AK119" i="2"/>
  <c r="AJ119" i="2"/>
  <c r="AI119" i="2"/>
  <c r="AH119" i="2"/>
  <c r="AG119" i="2"/>
  <c r="AE119" i="2"/>
  <c r="AD119" i="2"/>
  <c r="AC119" i="2"/>
  <c r="Z119" i="2"/>
  <c r="Y119" i="2"/>
  <c r="X119" i="2"/>
  <c r="W119" i="2"/>
  <c r="V119" i="2"/>
  <c r="U119" i="2"/>
  <c r="T119" i="2"/>
  <c r="S119" i="2"/>
  <c r="R119" i="2"/>
  <c r="Q119" i="2"/>
  <c r="P119" i="2"/>
  <c r="O119" i="2"/>
  <c r="N119" i="2"/>
  <c r="M119" i="2"/>
  <c r="L119" i="2"/>
  <c r="K119" i="2"/>
  <c r="J119" i="2"/>
  <c r="I119" i="2"/>
  <c r="H119" i="2"/>
  <c r="G119" i="2"/>
  <c r="F119" i="2"/>
  <c r="E119" i="2"/>
  <c r="D119" i="2"/>
  <c r="C119" i="2"/>
  <c r="B119" i="2"/>
  <c r="A119" i="2"/>
  <c r="AX118" i="2"/>
  <c r="AW118" i="2"/>
  <c r="AV118" i="2"/>
  <c r="AU118" i="2"/>
  <c r="AS118" i="2"/>
  <c r="AR118" i="2"/>
  <c r="AO118" i="2"/>
  <c r="AN118" i="2"/>
  <c r="AM118" i="2"/>
  <c r="AL118" i="2"/>
  <c r="AK118" i="2"/>
  <c r="AJ118" i="2"/>
  <c r="AI118" i="2"/>
  <c r="AH118" i="2"/>
  <c r="AG118" i="2"/>
  <c r="AE118" i="2"/>
  <c r="AD118" i="2"/>
  <c r="AC118" i="2"/>
  <c r="AB118" i="2"/>
  <c r="AA118" i="2"/>
  <c r="Z118" i="2"/>
  <c r="Y118" i="2"/>
  <c r="X118" i="2"/>
  <c r="W118" i="2"/>
  <c r="V118" i="2"/>
  <c r="U118" i="2"/>
  <c r="T118" i="2"/>
  <c r="S118" i="2"/>
  <c r="R118" i="2"/>
  <c r="Q118" i="2"/>
  <c r="P118" i="2"/>
  <c r="O118" i="2"/>
  <c r="N118" i="2"/>
  <c r="M118" i="2"/>
  <c r="L118" i="2"/>
  <c r="K118" i="2"/>
  <c r="J118" i="2"/>
  <c r="I118" i="2"/>
  <c r="H118" i="2"/>
  <c r="G118" i="2"/>
  <c r="F118" i="2"/>
  <c r="E118" i="2"/>
  <c r="D118" i="2"/>
  <c r="C118" i="2"/>
  <c r="B118" i="2"/>
  <c r="A118" i="2"/>
  <c r="AX117" i="2"/>
  <c r="AW117" i="2"/>
  <c r="AV117" i="2"/>
  <c r="AU117" i="2"/>
  <c r="AT117" i="2"/>
  <c r="AS117" i="2"/>
  <c r="AR117" i="2"/>
  <c r="AO117" i="2"/>
  <c r="AN117" i="2"/>
  <c r="AM117" i="2"/>
  <c r="AL117" i="2"/>
  <c r="AK117" i="2"/>
  <c r="AJ117" i="2"/>
  <c r="AI117" i="2"/>
  <c r="AH117" i="2"/>
  <c r="AG117" i="2"/>
  <c r="AE117" i="2"/>
  <c r="AC117" i="2"/>
  <c r="Z117" i="2"/>
  <c r="Y117" i="2"/>
  <c r="X117" i="2"/>
  <c r="W117" i="2"/>
  <c r="V117" i="2"/>
  <c r="U117" i="2"/>
  <c r="T117" i="2"/>
  <c r="S117" i="2"/>
  <c r="R117" i="2"/>
  <c r="Q117" i="2"/>
  <c r="P117" i="2"/>
  <c r="O117" i="2"/>
  <c r="N117" i="2"/>
  <c r="M117" i="2"/>
  <c r="L117" i="2"/>
  <c r="K117" i="2"/>
  <c r="J117" i="2"/>
  <c r="I117" i="2"/>
  <c r="H117" i="2"/>
  <c r="G117" i="2"/>
  <c r="F117" i="2"/>
  <c r="E117" i="2"/>
  <c r="D117" i="2"/>
  <c r="C117" i="2"/>
  <c r="B117" i="2"/>
  <c r="A117" i="2"/>
  <c r="AX116" i="2"/>
  <c r="AW116" i="2"/>
  <c r="AV116" i="2"/>
  <c r="AU116" i="2"/>
  <c r="AT116" i="2"/>
  <c r="AS116" i="2"/>
  <c r="AR116" i="2"/>
  <c r="AQ116" i="2"/>
  <c r="AP116" i="2"/>
  <c r="AO116" i="2"/>
  <c r="AN116" i="2"/>
  <c r="AM116" i="2"/>
  <c r="AL116" i="2"/>
  <c r="AK116" i="2"/>
  <c r="AJ116" i="2"/>
  <c r="AI116" i="2"/>
  <c r="AH116" i="2"/>
  <c r="AG116" i="2"/>
  <c r="AE116" i="2"/>
  <c r="AD116" i="2"/>
  <c r="AC116" i="2"/>
  <c r="AB116" i="2"/>
  <c r="AA116" i="2"/>
  <c r="Z116" i="2"/>
  <c r="Y116" i="2"/>
  <c r="X116" i="2"/>
  <c r="W116" i="2"/>
  <c r="V116" i="2"/>
  <c r="U116" i="2"/>
  <c r="T116" i="2"/>
  <c r="S116" i="2"/>
  <c r="R116" i="2"/>
  <c r="Q116" i="2"/>
  <c r="P116" i="2"/>
  <c r="O116" i="2"/>
  <c r="N116" i="2"/>
  <c r="M116" i="2"/>
  <c r="L116" i="2"/>
  <c r="K116" i="2"/>
  <c r="J116" i="2"/>
  <c r="I116" i="2"/>
  <c r="H116" i="2"/>
  <c r="G116" i="2"/>
  <c r="F116" i="2"/>
  <c r="E116" i="2"/>
  <c r="D116" i="2"/>
  <c r="C116" i="2"/>
  <c r="B116" i="2"/>
  <c r="A116" i="2"/>
  <c r="AX115" i="2"/>
  <c r="AW115" i="2"/>
  <c r="AV115" i="2"/>
  <c r="AU115" i="2"/>
  <c r="AR115" i="2"/>
  <c r="AO115" i="2"/>
  <c r="AN115" i="2"/>
  <c r="AM115" i="2"/>
  <c r="AK115" i="2"/>
  <c r="AJ115" i="2"/>
  <c r="AI115" i="2"/>
  <c r="AH115" i="2"/>
  <c r="AG115" i="2"/>
  <c r="AC115" i="2"/>
  <c r="Z115" i="2"/>
  <c r="Y115" i="2"/>
  <c r="X115" i="2"/>
  <c r="W115" i="2"/>
  <c r="V115" i="2"/>
  <c r="U115" i="2"/>
  <c r="T115" i="2"/>
  <c r="S115" i="2"/>
  <c r="R115" i="2"/>
  <c r="Q115" i="2"/>
  <c r="P115" i="2"/>
  <c r="O115" i="2"/>
  <c r="N115" i="2"/>
  <c r="M115" i="2"/>
  <c r="L115" i="2"/>
  <c r="K115" i="2"/>
  <c r="J115" i="2"/>
  <c r="I115" i="2"/>
  <c r="H115" i="2"/>
  <c r="G115" i="2"/>
  <c r="F115" i="2"/>
  <c r="E115" i="2"/>
  <c r="D115" i="2"/>
  <c r="C115" i="2"/>
  <c r="B115" i="2"/>
  <c r="A115" i="2"/>
  <c r="AX114" i="2"/>
  <c r="AW114" i="2"/>
  <c r="AV114" i="2"/>
  <c r="AU114" i="2"/>
  <c r="AT114" i="2"/>
  <c r="AS114" i="2"/>
  <c r="AR114" i="2"/>
  <c r="AP114" i="2"/>
  <c r="AN114" i="2"/>
  <c r="AL114" i="2"/>
  <c r="AK114" i="2"/>
  <c r="AJ114" i="2"/>
  <c r="AI114" i="2"/>
  <c r="AH114" i="2"/>
  <c r="AG114" i="2"/>
  <c r="AE114" i="2"/>
  <c r="AC114" i="2"/>
  <c r="Z114" i="2"/>
  <c r="Y114" i="2"/>
  <c r="X114" i="2"/>
  <c r="W114" i="2"/>
  <c r="V114" i="2"/>
  <c r="U114" i="2"/>
  <c r="T114" i="2"/>
  <c r="S114" i="2"/>
  <c r="R114" i="2"/>
  <c r="Q114" i="2"/>
  <c r="P114" i="2"/>
  <c r="O114" i="2"/>
  <c r="N114" i="2"/>
  <c r="M114" i="2"/>
  <c r="L114" i="2"/>
  <c r="K114" i="2"/>
  <c r="J114" i="2"/>
  <c r="I114" i="2"/>
  <c r="H114" i="2"/>
  <c r="G114" i="2"/>
  <c r="F114" i="2"/>
  <c r="E114" i="2"/>
  <c r="D114" i="2"/>
  <c r="C114" i="2"/>
  <c r="B114" i="2"/>
  <c r="A114" i="2"/>
  <c r="AX113" i="2"/>
  <c r="AW113" i="2"/>
  <c r="AV113" i="2"/>
  <c r="AU113" i="2"/>
  <c r="AT113" i="2"/>
  <c r="AS113" i="2"/>
  <c r="AR113" i="2"/>
  <c r="AO113" i="2"/>
  <c r="AN113" i="2"/>
  <c r="AM113" i="2"/>
  <c r="AL113" i="2"/>
  <c r="AK113" i="2"/>
  <c r="AI113" i="2"/>
  <c r="AH113" i="2"/>
  <c r="AG113" i="2"/>
  <c r="AE113" i="2"/>
  <c r="AD113" i="2"/>
  <c r="AC113" i="2"/>
  <c r="AB113" i="2"/>
  <c r="Z113" i="2"/>
  <c r="Y113" i="2"/>
  <c r="X113" i="2"/>
  <c r="W113" i="2"/>
  <c r="V113" i="2"/>
  <c r="U113" i="2"/>
  <c r="T113" i="2"/>
  <c r="S113" i="2"/>
  <c r="R113" i="2"/>
  <c r="Q113" i="2"/>
  <c r="P113" i="2"/>
  <c r="O113" i="2"/>
  <c r="N113" i="2"/>
  <c r="M113" i="2"/>
  <c r="L113" i="2"/>
  <c r="K113" i="2"/>
  <c r="J113" i="2"/>
  <c r="I113" i="2"/>
  <c r="H113" i="2"/>
  <c r="G113" i="2"/>
  <c r="F113" i="2"/>
  <c r="E113" i="2"/>
  <c r="D113" i="2"/>
  <c r="C113" i="2"/>
  <c r="B113" i="2"/>
  <c r="A113" i="2"/>
  <c r="AX112" i="2"/>
  <c r="AW112" i="2"/>
  <c r="AV112" i="2"/>
  <c r="AU112" i="2"/>
  <c r="AT112" i="2"/>
  <c r="AS112" i="2"/>
  <c r="AR112" i="2"/>
  <c r="AQ112" i="2"/>
  <c r="AP112" i="2"/>
  <c r="AO112" i="2"/>
  <c r="AN112" i="2"/>
  <c r="AM112" i="2"/>
  <c r="AK112" i="2"/>
  <c r="AJ112" i="2"/>
  <c r="AI112" i="2"/>
  <c r="AH112" i="2"/>
  <c r="AG112" i="2"/>
  <c r="AD112" i="2"/>
  <c r="AC112" i="2"/>
  <c r="AB112" i="2"/>
  <c r="AA112" i="2"/>
  <c r="Z112" i="2"/>
  <c r="Y112" i="2"/>
  <c r="X112" i="2"/>
  <c r="W112" i="2"/>
  <c r="V112" i="2"/>
  <c r="U112" i="2"/>
  <c r="T112" i="2"/>
  <c r="S112" i="2"/>
  <c r="R112" i="2"/>
  <c r="Q112" i="2"/>
  <c r="P112" i="2"/>
  <c r="O112" i="2"/>
  <c r="N112" i="2"/>
  <c r="M112" i="2"/>
  <c r="L112" i="2"/>
  <c r="K112" i="2"/>
  <c r="J112" i="2"/>
  <c r="I112" i="2"/>
  <c r="H112" i="2"/>
  <c r="G112" i="2"/>
  <c r="F112" i="2"/>
  <c r="E112" i="2"/>
  <c r="D112" i="2"/>
  <c r="C112" i="2"/>
  <c r="B112" i="2"/>
  <c r="A112" i="2"/>
  <c r="AX111" i="2"/>
  <c r="AW111" i="2"/>
  <c r="AV111" i="2"/>
  <c r="AU111" i="2"/>
  <c r="AT111" i="2"/>
  <c r="AS111" i="2"/>
  <c r="AR111" i="2"/>
  <c r="AO111" i="2"/>
  <c r="AN111" i="2"/>
  <c r="AM111" i="2"/>
  <c r="AL111" i="2"/>
  <c r="AK111" i="2"/>
  <c r="AJ111" i="2"/>
  <c r="AI111" i="2"/>
  <c r="AH111" i="2"/>
  <c r="AG111" i="2"/>
  <c r="AF111" i="2"/>
  <c r="AE111" i="2"/>
  <c r="AD111" i="2"/>
  <c r="AC111" i="2"/>
  <c r="AB111" i="2"/>
  <c r="Z111" i="2"/>
  <c r="Y111" i="2"/>
  <c r="X111" i="2"/>
  <c r="W111" i="2"/>
  <c r="V111" i="2"/>
  <c r="U111" i="2"/>
  <c r="T111" i="2"/>
  <c r="S111" i="2"/>
  <c r="R111" i="2"/>
  <c r="Q111" i="2"/>
  <c r="P111" i="2"/>
  <c r="O111" i="2"/>
  <c r="N111" i="2"/>
  <c r="M111" i="2"/>
  <c r="L111" i="2"/>
  <c r="K111" i="2"/>
  <c r="J111" i="2"/>
  <c r="I111" i="2"/>
  <c r="H111" i="2"/>
  <c r="G111" i="2"/>
  <c r="F111" i="2"/>
  <c r="E111" i="2"/>
  <c r="D111" i="2"/>
  <c r="C111" i="2"/>
  <c r="B111" i="2"/>
  <c r="A111" i="2"/>
  <c r="AX110" i="2"/>
  <c r="AW110" i="2"/>
  <c r="AV110" i="2"/>
  <c r="AU110" i="2"/>
  <c r="AT110" i="2"/>
  <c r="AS110" i="2"/>
  <c r="AR110" i="2"/>
  <c r="AO110" i="2"/>
  <c r="AN110" i="2"/>
  <c r="AM110" i="2"/>
  <c r="AL110" i="2"/>
  <c r="AK110" i="2"/>
  <c r="AJ110" i="2"/>
  <c r="AI110" i="2"/>
  <c r="AH110" i="2"/>
  <c r="AG110" i="2"/>
  <c r="AE110" i="2"/>
  <c r="AD110" i="2"/>
  <c r="AC110" i="2"/>
  <c r="AB110" i="2"/>
  <c r="AA110" i="2"/>
  <c r="Z110" i="2"/>
  <c r="Y110" i="2"/>
  <c r="X110" i="2"/>
  <c r="W110" i="2"/>
  <c r="V110" i="2"/>
  <c r="U110" i="2"/>
  <c r="T110" i="2"/>
  <c r="S110" i="2"/>
  <c r="R110" i="2"/>
  <c r="Q110" i="2"/>
  <c r="P110" i="2"/>
  <c r="O110" i="2"/>
  <c r="N110" i="2"/>
  <c r="M110" i="2"/>
  <c r="L110" i="2"/>
  <c r="K110" i="2"/>
  <c r="J110" i="2"/>
  <c r="I110" i="2"/>
  <c r="H110" i="2"/>
  <c r="G110" i="2"/>
  <c r="F110" i="2"/>
  <c r="E110" i="2"/>
  <c r="D110" i="2"/>
  <c r="C110" i="2"/>
  <c r="B110" i="2"/>
  <c r="A110" i="2"/>
  <c r="AX109" i="2"/>
  <c r="AW109" i="2"/>
  <c r="AV109" i="2"/>
  <c r="AU109" i="2"/>
  <c r="AT109" i="2"/>
  <c r="AS109" i="2"/>
  <c r="AR109" i="2"/>
  <c r="AO109" i="2"/>
  <c r="AN109" i="2"/>
  <c r="AM109" i="2"/>
  <c r="AL109" i="2"/>
  <c r="AK109" i="2"/>
  <c r="AJ109" i="2"/>
  <c r="AI109" i="2"/>
  <c r="AH109" i="2"/>
  <c r="AG109" i="2"/>
  <c r="AE109" i="2"/>
  <c r="AD109" i="2"/>
  <c r="AC109" i="2"/>
  <c r="AB109" i="2"/>
  <c r="AA109" i="2"/>
  <c r="Z109" i="2"/>
  <c r="Y109" i="2"/>
  <c r="X109" i="2"/>
  <c r="W109" i="2"/>
  <c r="V109" i="2"/>
  <c r="U109" i="2"/>
  <c r="T109" i="2"/>
  <c r="S109" i="2"/>
  <c r="R109" i="2"/>
  <c r="Q109" i="2"/>
  <c r="P109" i="2"/>
  <c r="O109" i="2"/>
  <c r="N109" i="2"/>
  <c r="M109" i="2"/>
  <c r="L109" i="2"/>
  <c r="K109" i="2"/>
  <c r="J109" i="2"/>
  <c r="I109" i="2"/>
  <c r="H109" i="2"/>
  <c r="G109" i="2"/>
  <c r="F109" i="2"/>
  <c r="E109" i="2"/>
  <c r="D109" i="2"/>
  <c r="C109" i="2"/>
  <c r="B109" i="2"/>
  <c r="A109" i="2"/>
  <c r="AX108" i="2"/>
  <c r="AW108" i="2"/>
  <c r="AV108" i="2"/>
  <c r="AU108" i="2"/>
  <c r="AT108" i="2"/>
  <c r="AS108" i="2"/>
  <c r="AR108" i="2"/>
  <c r="AO108" i="2"/>
  <c r="AN108" i="2"/>
  <c r="AM108" i="2"/>
  <c r="AL108" i="2"/>
  <c r="AK108" i="2"/>
  <c r="AJ108" i="2"/>
  <c r="AI108" i="2"/>
  <c r="AH108" i="2"/>
  <c r="AG108" i="2"/>
  <c r="AE108" i="2"/>
  <c r="AD108" i="2"/>
  <c r="AC108" i="2"/>
  <c r="AB108" i="2"/>
  <c r="AA108" i="2"/>
  <c r="Z108" i="2"/>
  <c r="Y108" i="2"/>
  <c r="X108" i="2"/>
  <c r="W108" i="2"/>
  <c r="V108" i="2"/>
  <c r="U108" i="2"/>
  <c r="T108" i="2"/>
  <c r="S108" i="2"/>
  <c r="R108" i="2"/>
  <c r="Q108" i="2"/>
  <c r="P108" i="2"/>
  <c r="O108" i="2"/>
  <c r="N108" i="2"/>
  <c r="M108" i="2"/>
  <c r="L108" i="2"/>
  <c r="K108" i="2"/>
  <c r="J108" i="2"/>
  <c r="I108" i="2"/>
  <c r="H108" i="2"/>
  <c r="G108" i="2"/>
  <c r="F108" i="2"/>
  <c r="E108" i="2"/>
  <c r="D108" i="2"/>
  <c r="C108" i="2"/>
  <c r="B108" i="2"/>
  <c r="A108" i="2"/>
  <c r="AX107" i="2"/>
  <c r="AW107" i="2"/>
  <c r="AV107" i="2"/>
  <c r="AU107" i="2"/>
  <c r="AS107" i="2"/>
  <c r="AR107" i="2"/>
  <c r="AO107" i="2"/>
  <c r="AN107" i="2"/>
  <c r="AM107" i="2"/>
  <c r="AL107" i="2"/>
  <c r="AK107" i="2"/>
  <c r="AJ107" i="2"/>
  <c r="AI107" i="2"/>
  <c r="AH107" i="2"/>
  <c r="AG107" i="2"/>
  <c r="AE107" i="2"/>
  <c r="AD107" i="2"/>
  <c r="AB107" i="2"/>
  <c r="AA107" i="2"/>
  <c r="Z107" i="2"/>
  <c r="Y107" i="2"/>
  <c r="X107" i="2"/>
  <c r="T107" i="2"/>
  <c r="S107" i="2"/>
  <c r="R107" i="2"/>
  <c r="Q107" i="2"/>
  <c r="P107" i="2"/>
  <c r="O107" i="2"/>
  <c r="N107" i="2"/>
  <c r="M107" i="2"/>
  <c r="L107" i="2"/>
  <c r="K107" i="2"/>
  <c r="J107" i="2"/>
  <c r="I107" i="2"/>
  <c r="H107" i="2"/>
  <c r="G107" i="2"/>
  <c r="F107" i="2"/>
  <c r="E107" i="2"/>
  <c r="D107" i="2"/>
  <c r="C107" i="2"/>
  <c r="B107" i="2"/>
  <c r="A107" i="2"/>
  <c r="AX106" i="2"/>
  <c r="AW106" i="2"/>
  <c r="AV106" i="2"/>
  <c r="AU106" i="2"/>
  <c r="AT106" i="2"/>
  <c r="AS106" i="2"/>
  <c r="AR106" i="2"/>
  <c r="AO106" i="2"/>
  <c r="AN106" i="2"/>
  <c r="AM106" i="2"/>
  <c r="AL106" i="2"/>
  <c r="AK106" i="2"/>
  <c r="AJ106" i="2"/>
  <c r="AI106" i="2"/>
  <c r="AH106" i="2"/>
  <c r="AG106" i="2"/>
  <c r="AE106" i="2"/>
  <c r="AD106" i="2"/>
  <c r="AC106" i="2"/>
  <c r="AB106" i="2"/>
  <c r="AA106" i="2"/>
  <c r="Z106" i="2"/>
  <c r="Y106" i="2"/>
  <c r="X106" i="2"/>
  <c r="W106" i="2"/>
  <c r="V106" i="2"/>
  <c r="U106" i="2"/>
  <c r="T106" i="2"/>
  <c r="S106" i="2"/>
  <c r="R106" i="2"/>
  <c r="Q106" i="2"/>
  <c r="P106" i="2"/>
  <c r="O106" i="2"/>
  <c r="N106" i="2"/>
  <c r="M106" i="2"/>
  <c r="L106" i="2"/>
  <c r="K106" i="2"/>
  <c r="J106" i="2"/>
  <c r="I106" i="2"/>
  <c r="H106" i="2"/>
  <c r="G106" i="2"/>
  <c r="F106" i="2"/>
  <c r="E106" i="2"/>
  <c r="D106" i="2"/>
  <c r="C106" i="2"/>
  <c r="B106" i="2"/>
  <c r="A106" i="2"/>
  <c r="AX105" i="2"/>
  <c r="AW105" i="2"/>
  <c r="AV105" i="2"/>
  <c r="AU105" i="2"/>
  <c r="AT105" i="2"/>
  <c r="AS105" i="2"/>
  <c r="AR105" i="2"/>
  <c r="AO105" i="2"/>
  <c r="AN105" i="2"/>
  <c r="AM105" i="2"/>
  <c r="AK105" i="2"/>
  <c r="AJ105" i="2"/>
  <c r="AI105" i="2"/>
  <c r="AH105" i="2"/>
  <c r="AG105" i="2"/>
  <c r="AD105" i="2"/>
  <c r="AC105" i="2"/>
  <c r="Z105" i="2"/>
  <c r="Y105" i="2"/>
  <c r="X105" i="2"/>
  <c r="W105" i="2"/>
  <c r="V105" i="2"/>
  <c r="U105" i="2"/>
  <c r="T105" i="2"/>
  <c r="S105" i="2"/>
  <c r="R105" i="2"/>
  <c r="Q105" i="2"/>
  <c r="P105" i="2"/>
  <c r="O105" i="2"/>
  <c r="N105" i="2"/>
  <c r="M105" i="2"/>
  <c r="L105" i="2"/>
  <c r="K105" i="2"/>
  <c r="J105" i="2"/>
  <c r="I105" i="2"/>
  <c r="H105" i="2"/>
  <c r="G105" i="2"/>
  <c r="F105" i="2"/>
  <c r="E105" i="2"/>
  <c r="D105" i="2"/>
  <c r="C105" i="2"/>
  <c r="B105" i="2"/>
  <c r="A105" i="2"/>
  <c r="AX104" i="2"/>
  <c r="AW104" i="2"/>
  <c r="AV104" i="2"/>
  <c r="AU104" i="2"/>
  <c r="AT104" i="2"/>
  <c r="AS104" i="2"/>
  <c r="AR104" i="2"/>
  <c r="AO104" i="2"/>
  <c r="AN104" i="2"/>
  <c r="AM104" i="2"/>
  <c r="AK104" i="2"/>
  <c r="AJ104" i="2"/>
  <c r="AI104" i="2"/>
  <c r="AH104" i="2"/>
  <c r="AG104" i="2"/>
  <c r="AE104" i="2"/>
  <c r="AC104" i="2"/>
  <c r="Z104" i="2"/>
  <c r="Y104" i="2"/>
  <c r="X104" i="2"/>
  <c r="W104" i="2"/>
  <c r="V104" i="2"/>
  <c r="U104" i="2"/>
  <c r="T104" i="2"/>
  <c r="S104" i="2"/>
  <c r="R104" i="2"/>
  <c r="Q104" i="2"/>
  <c r="P104" i="2"/>
  <c r="O104" i="2"/>
  <c r="N104" i="2"/>
  <c r="M104" i="2"/>
  <c r="L104" i="2"/>
  <c r="K104" i="2"/>
  <c r="J104" i="2"/>
  <c r="I104" i="2"/>
  <c r="H104" i="2"/>
  <c r="G104" i="2"/>
  <c r="F104" i="2"/>
  <c r="E104" i="2"/>
  <c r="D104" i="2"/>
  <c r="C104" i="2"/>
  <c r="B104" i="2"/>
  <c r="A104" i="2"/>
  <c r="AX103" i="2"/>
  <c r="AW103" i="2"/>
  <c r="AV103" i="2"/>
  <c r="AU103" i="2"/>
  <c r="AT103" i="2"/>
  <c r="AS103" i="2"/>
  <c r="AR103" i="2"/>
  <c r="AP103" i="2"/>
  <c r="AO103" i="2"/>
  <c r="AN103" i="2"/>
  <c r="AM103" i="2"/>
  <c r="AL103" i="2"/>
  <c r="AK103" i="2"/>
  <c r="AJ103" i="2"/>
  <c r="AI103" i="2"/>
  <c r="AH103" i="2"/>
  <c r="AG103" i="2"/>
  <c r="AE103" i="2"/>
  <c r="AD103" i="2"/>
  <c r="AC103" i="2"/>
  <c r="AB103" i="2"/>
  <c r="AA103" i="2"/>
  <c r="Z103" i="2"/>
  <c r="Y103" i="2"/>
  <c r="X103" i="2"/>
  <c r="W103" i="2"/>
  <c r="V103" i="2"/>
  <c r="U103" i="2"/>
  <c r="T103" i="2"/>
  <c r="S103" i="2"/>
  <c r="R103" i="2"/>
  <c r="Q103" i="2"/>
  <c r="P103" i="2"/>
  <c r="O103" i="2"/>
  <c r="N103" i="2"/>
  <c r="M103" i="2"/>
  <c r="L103" i="2"/>
  <c r="K103" i="2"/>
  <c r="J103" i="2"/>
  <c r="I103" i="2"/>
  <c r="H103" i="2"/>
  <c r="G103" i="2"/>
  <c r="F103" i="2"/>
  <c r="E103" i="2"/>
  <c r="D103" i="2"/>
  <c r="C103" i="2"/>
  <c r="B103" i="2"/>
  <c r="A103" i="2"/>
  <c r="AX102" i="2"/>
  <c r="AW102" i="2"/>
  <c r="AV102" i="2"/>
  <c r="AU102" i="2"/>
  <c r="AT102" i="2"/>
  <c r="AS102" i="2"/>
  <c r="AR102" i="2"/>
  <c r="AQ102" i="2"/>
  <c r="AP102" i="2"/>
  <c r="AO102" i="2"/>
  <c r="AN102" i="2"/>
  <c r="AM102" i="2"/>
  <c r="AK102" i="2"/>
  <c r="AI102" i="2"/>
  <c r="AH102" i="2"/>
  <c r="AG102" i="2"/>
  <c r="AF102" i="2"/>
  <c r="AE102" i="2"/>
  <c r="AD102" i="2"/>
  <c r="AC102" i="2"/>
  <c r="AB102" i="2"/>
  <c r="AA102" i="2"/>
  <c r="Z102" i="2"/>
  <c r="Y102" i="2"/>
  <c r="X102" i="2"/>
  <c r="W102" i="2"/>
  <c r="V102" i="2"/>
  <c r="U102" i="2"/>
  <c r="T102" i="2"/>
  <c r="S102" i="2"/>
  <c r="R102" i="2"/>
  <c r="Q102" i="2"/>
  <c r="P102" i="2"/>
  <c r="O102" i="2"/>
  <c r="N102" i="2"/>
  <c r="M102" i="2"/>
  <c r="L102" i="2"/>
  <c r="K102" i="2"/>
  <c r="J102" i="2"/>
  <c r="I102" i="2"/>
  <c r="H102" i="2"/>
  <c r="G102" i="2"/>
  <c r="F102" i="2"/>
  <c r="E102" i="2"/>
  <c r="D102" i="2"/>
  <c r="C102" i="2"/>
  <c r="B102" i="2"/>
  <c r="A102" i="2"/>
  <c r="AX101" i="2"/>
  <c r="AW101" i="2"/>
  <c r="AV101" i="2"/>
  <c r="AU101" i="2"/>
  <c r="AS101" i="2"/>
  <c r="AR101" i="2"/>
  <c r="AO101" i="2"/>
  <c r="AN101" i="2"/>
  <c r="AM101" i="2"/>
  <c r="AK101" i="2"/>
  <c r="AJ101" i="2"/>
  <c r="AI101" i="2"/>
  <c r="AH101" i="2"/>
  <c r="AG101" i="2"/>
  <c r="AF101" i="2"/>
  <c r="AE101" i="2"/>
  <c r="AD101" i="2"/>
  <c r="AC101" i="2"/>
  <c r="AB101" i="2"/>
  <c r="AA101" i="2"/>
  <c r="Z101" i="2"/>
  <c r="Y101" i="2"/>
  <c r="X101" i="2"/>
  <c r="W101" i="2"/>
  <c r="V101" i="2"/>
  <c r="U101" i="2"/>
  <c r="T101" i="2"/>
  <c r="S101" i="2"/>
  <c r="R101" i="2"/>
  <c r="Q101" i="2"/>
  <c r="P101" i="2"/>
  <c r="O101" i="2"/>
  <c r="N101" i="2"/>
  <c r="M101" i="2"/>
  <c r="L101" i="2"/>
  <c r="K101" i="2"/>
  <c r="J101" i="2"/>
  <c r="I101" i="2"/>
  <c r="H101" i="2"/>
  <c r="G101" i="2"/>
  <c r="F101" i="2"/>
  <c r="E101" i="2"/>
  <c r="D101" i="2"/>
  <c r="C101" i="2"/>
  <c r="B101" i="2"/>
  <c r="A101" i="2"/>
  <c r="AX100" i="2"/>
  <c r="AW100" i="2"/>
  <c r="AV100" i="2"/>
  <c r="AU100" i="2"/>
  <c r="AT100" i="2"/>
  <c r="AS100" i="2"/>
  <c r="AR100" i="2"/>
  <c r="AP100" i="2"/>
  <c r="AO100" i="2"/>
  <c r="AN100" i="2"/>
  <c r="AM100" i="2"/>
  <c r="AK100" i="2"/>
  <c r="AJ100" i="2"/>
  <c r="AI100" i="2"/>
  <c r="AH100" i="2"/>
  <c r="AG100" i="2"/>
  <c r="AE100" i="2"/>
  <c r="AD100" i="2"/>
  <c r="AC100" i="2"/>
  <c r="Z100" i="2"/>
  <c r="Y100" i="2"/>
  <c r="X100" i="2"/>
  <c r="W100" i="2"/>
  <c r="V100" i="2"/>
  <c r="U100" i="2"/>
  <c r="T100" i="2"/>
  <c r="S100" i="2"/>
  <c r="R100" i="2"/>
  <c r="Q100" i="2"/>
  <c r="P100" i="2"/>
  <c r="O100" i="2"/>
  <c r="N100" i="2"/>
  <c r="M100" i="2"/>
  <c r="L100" i="2"/>
  <c r="K100" i="2"/>
  <c r="J100" i="2"/>
  <c r="I100" i="2"/>
  <c r="H100" i="2"/>
  <c r="G100" i="2"/>
  <c r="F100" i="2"/>
  <c r="E100" i="2"/>
  <c r="D100" i="2"/>
  <c r="C100" i="2"/>
  <c r="B100" i="2"/>
  <c r="A100" i="2"/>
  <c r="AX99" i="2"/>
  <c r="AW99" i="2"/>
  <c r="AV99" i="2"/>
  <c r="AU99" i="2"/>
  <c r="AT99" i="2"/>
  <c r="AS99" i="2"/>
  <c r="AR99" i="2"/>
  <c r="AQ99" i="2"/>
  <c r="AP99" i="2"/>
  <c r="AO99" i="2"/>
  <c r="AN99" i="2"/>
  <c r="AM99" i="2"/>
  <c r="AL99" i="2"/>
  <c r="AK99" i="2"/>
  <c r="AJ99" i="2"/>
  <c r="AI99" i="2"/>
  <c r="AH99" i="2"/>
  <c r="AG99" i="2"/>
  <c r="AE99" i="2"/>
  <c r="AD99" i="2"/>
  <c r="AC99" i="2"/>
  <c r="AB99" i="2"/>
  <c r="AA99" i="2"/>
  <c r="Z99" i="2"/>
  <c r="Y99" i="2"/>
  <c r="X99" i="2"/>
  <c r="V99" i="2"/>
  <c r="U99" i="2"/>
  <c r="T99" i="2"/>
  <c r="S99" i="2"/>
  <c r="R99" i="2"/>
  <c r="Q99" i="2"/>
  <c r="P99" i="2"/>
  <c r="O99" i="2"/>
  <c r="N99" i="2"/>
  <c r="M99" i="2"/>
  <c r="L99" i="2"/>
  <c r="K99" i="2"/>
  <c r="J99" i="2"/>
  <c r="I99" i="2"/>
  <c r="H99" i="2"/>
  <c r="G99" i="2"/>
  <c r="F99" i="2"/>
  <c r="E99" i="2"/>
  <c r="D99" i="2"/>
  <c r="C99" i="2"/>
  <c r="B99" i="2"/>
  <c r="A99" i="2"/>
  <c r="AX98" i="2"/>
  <c r="AW98" i="2"/>
  <c r="AV98" i="2"/>
  <c r="AU98" i="2"/>
  <c r="AT98" i="2"/>
  <c r="AR98" i="2"/>
  <c r="AO98" i="2"/>
  <c r="AN98" i="2"/>
  <c r="AM98" i="2"/>
  <c r="AL98" i="2"/>
  <c r="AI98" i="2"/>
  <c r="AH98" i="2"/>
  <c r="AG98" i="2"/>
  <c r="Z98" i="2"/>
  <c r="Y98" i="2"/>
  <c r="X98" i="2"/>
  <c r="W98" i="2"/>
  <c r="V98" i="2"/>
  <c r="U98" i="2"/>
  <c r="T98" i="2"/>
  <c r="S98" i="2"/>
  <c r="R98" i="2"/>
  <c r="Q98" i="2"/>
  <c r="P98" i="2"/>
  <c r="O98" i="2"/>
  <c r="N98" i="2"/>
  <c r="M98" i="2"/>
  <c r="L98" i="2"/>
  <c r="K98" i="2"/>
  <c r="J98" i="2"/>
  <c r="I98" i="2"/>
  <c r="H98" i="2"/>
  <c r="G98" i="2"/>
  <c r="F98" i="2"/>
  <c r="E98" i="2"/>
  <c r="D98" i="2"/>
  <c r="C98" i="2"/>
  <c r="B98" i="2"/>
  <c r="A98" i="2"/>
  <c r="AX97" i="2"/>
  <c r="AW97" i="2"/>
  <c r="AV97" i="2"/>
  <c r="AU97" i="2"/>
  <c r="AT97" i="2"/>
  <c r="AR97" i="2"/>
  <c r="AO97" i="2"/>
  <c r="AN97" i="2"/>
  <c r="AM97" i="2"/>
  <c r="AK97" i="2"/>
  <c r="AJ97" i="2"/>
  <c r="AI97" i="2"/>
  <c r="AH97" i="2"/>
  <c r="AG97" i="2"/>
  <c r="AF97" i="2"/>
  <c r="AE97" i="2"/>
  <c r="AD97" i="2"/>
  <c r="Z97" i="2"/>
  <c r="Y97" i="2"/>
  <c r="X97" i="2"/>
  <c r="W97" i="2"/>
  <c r="V97" i="2"/>
  <c r="U97" i="2"/>
  <c r="T97" i="2"/>
  <c r="S97" i="2"/>
  <c r="R97" i="2"/>
  <c r="Q97" i="2"/>
  <c r="P97" i="2"/>
  <c r="O97" i="2"/>
  <c r="N97" i="2"/>
  <c r="M97" i="2"/>
  <c r="L97" i="2"/>
  <c r="K97" i="2"/>
  <c r="J97" i="2"/>
  <c r="I97" i="2"/>
  <c r="H97" i="2"/>
  <c r="G97" i="2"/>
  <c r="F97" i="2"/>
  <c r="E97" i="2"/>
  <c r="D97" i="2"/>
  <c r="C97" i="2"/>
  <c r="B97" i="2"/>
  <c r="A97" i="2"/>
  <c r="AX96" i="2"/>
  <c r="AW96" i="2"/>
  <c r="AV96" i="2"/>
  <c r="AU96" i="2"/>
  <c r="AT96" i="2"/>
  <c r="AS96" i="2"/>
  <c r="AR96" i="2"/>
  <c r="AO96" i="2"/>
  <c r="AN96" i="2"/>
  <c r="AM96" i="2"/>
  <c r="AK96" i="2"/>
  <c r="AJ96" i="2"/>
  <c r="AI96" i="2"/>
  <c r="AH96" i="2"/>
  <c r="AG96" i="2"/>
  <c r="AD96" i="2"/>
  <c r="AC96" i="2"/>
  <c r="AB96" i="2"/>
  <c r="AA96" i="2"/>
  <c r="Z96" i="2"/>
  <c r="Y96" i="2"/>
  <c r="X96" i="2"/>
  <c r="W96" i="2"/>
  <c r="V96" i="2"/>
  <c r="U96" i="2"/>
  <c r="T96" i="2"/>
  <c r="S96" i="2"/>
  <c r="R96" i="2"/>
  <c r="Q96" i="2"/>
  <c r="P96" i="2"/>
  <c r="O96" i="2"/>
  <c r="N96" i="2"/>
  <c r="M96" i="2"/>
  <c r="L96" i="2"/>
  <c r="K96" i="2"/>
  <c r="J96" i="2"/>
  <c r="I96" i="2"/>
  <c r="H96" i="2"/>
  <c r="G96" i="2"/>
  <c r="F96" i="2"/>
  <c r="E96" i="2"/>
  <c r="D96" i="2"/>
  <c r="C96" i="2"/>
  <c r="B96" i="2"/>
  <c r="A96" i="2"/>
  <c r="AX95" i="2"/>
  <c r="AW95" i="2"/>
  <c r="AV95" i="2"/>
  <c r="AU95" i="2"/>
  <c r="AT95" i="2"/>
  <c r="AS95" i="2"/>
  <c r="AR95" i="2"/>
  <c r="AO95" i="2"/>
  <c r="AN95" i="2"/>
  <c r="AM95" i="2"/>
  <c r="AK95" i="2"/>
  <c r="AJ95" i="2"/>
  <c r="AI95" i="2"/>
  <c r="AH95" i="2"/>
  <c r="AG95" i="2"/>
  <c r="AF95" i="2"/>
  <c r="AE95" i="2"/>
  <c r="AD95" i="2"/>
  <c r="AC95" i="2"/>
  <c r="AB95" i="2"/>
  <c r="Z95" i="2"/>
  <c r="Y95" i="2"/>
  <c r="X95" i="2"/>
  <c r="W95" i="2"/>
  <c r="V95" i="2"/>
  <c r="U95" i="2"/>
  <c r="T95" i="2"/>
  <c r="S95" i="2"/>
  <c r="R95" i="2"/>
  <c r="Q95" i="2"/>
  <c r="P95" i="2"/>
  <c r="O95" i="2"/>
  <c r="N95" i="2"/>
  <c r="M95" i="2"/>
  <c r="L95" i="2"/>
  <c r="K95" i="2"/>
  <c r="J95" i="2"/>
  <c r="I95" i="2"/>
  <c r="H95" i="2"/>
  <c r="G95" i="2"/>
  <c r="F95" i="2"/>
  <c r="E95" i="2"/>
  <c r="D95" i="2"/>
  <c r="C95" i="2"/>
  <c r="B95" i="2"/>
  <c r="A95" i="2"/>
  <c r="AX94" i="2"/>
  <c r="AW94" i="2"/>
  <c r="AV94" i="2"/>
  <c r="AU94" i="2"/>
  <c r="AT94" i="2"/>
  <c r="AS94" i="2"/>
  <c r="AR94" i="2"/>
  <c r="AO94" i="2"/>
  <c r="AN94" i="2"/>
  <c r="AM94" i="2"/>
  <c r="AL94" i="2"/>
  <c r="AK94" i="2"/>
  <c r="AJ94" i="2"/>
  <c r="AI94" i="2"/>
  <c r="AH94" i="2"/>
  <c r="AG94" i="2"/>
  <c r="AE94" i="2"/>
  <c r="AD94" i="2"/>
  <c r="AC94" i="2"/>
  <c r="AB94" i="2"/>
  <c r="AA94" i="2"/>
  <c r="Z94" i="2"/>
  <c r="Y94" i="2"/>
  <c r="X94" i="2"/>
  <c r="W94" i="2"/>
  <c r="V94" i="2"/>
  <c r="U94" i="2"/>
  <c r="T94" i="2"/>
  <c r="S94" i="2"/>
  <c r="R94" i="2"/>
  <c r="Q94" i="2"/>
  <c r="P94" i="2"/>
  <c r="O94" i="2"/>
  <c r="N94" i="2"/>
  <c r="M94" i="2"/>
  <c r="L94" i="2"/>
  <c r="K94" i="2"/>
  <c r="J94" i="2"/>
  <c r="I94" i="2"/>
  <c r="H94" i="2"/>
  <c r="G94" i="2"/>
  <c r="F94" i="2"/>
  <c r="E94" i="2"/>
  <c r="D94" i="2"/>
  <c r="C94" i="2"/>
  <c r="B94" i="2"/>
  <c r="A94" i="2"/>
  <c r="AX93" i="2"/>
  <c r="AW93" i="2"/>
  <c r="AV93" i="2"/>
  <c r="AU93" i="2"/>
  <c r="AT93" i="2"/>
  <c r="AS93" i="2"/>
  <c r="AR93" i="2"/>
  <c r="AO93" i="2"/>
  <c r="AN93" i="2"/>
  <c r="AM93" i="2"/>
  <c r="AK93" i="2"/>
  <c r="AJ93" i="2"/>
  <c r="AI93" i="2"/>
  <c r="AH93" i="2"/>
  <c r="AG93" i="2"/>
  <c r="AD93" i="2"/>
  <c r="AC93" i="2"/>
  <c r="AB93" i="2"/>
  <c r="Z93" i="2"/>
  <c r="Y93" i="2"/>
  <c r="X93" i="2"/>
  <c r="V93" i="2"/>
  <c r="U93" i="2"/>
  <c r="T93" i="2"/>
  <c r="S93" i="2"/>
  <c r="R93" i="2"/>
  <c r="Q93" i="2"/>
  <c r="P93" i="2"/>
  <c r="O93" i="2"/>
  <c r="N93" i="2"/>
  <c r="M93" i="2"/>
  <c r="L93" i="2"/>
  <c r="K93" i="2"/>
  <c r="J93" i="2"/>
  <c r="I93" i="2"/>
  <c r="H93" i="2"/>
  <c r="G93" i="2"/>
  <c r="F93" i="2"/>
  <c r="E93" i="2"/>
  <c r="D93" i="2"/>
  <c r="C93" i="2"/>
  <c r="B93" i="2"/>
  <c r="A93" i="2"/>
  <c r="AX92" i="2"/>
  <c r="AW92" i="2"/>
  <c r="AV92" i="2"/>
  <c r="AU92" i="2"/>
  <c r="AS92" i="2"/>
  <c r="AR92" i="2"/>
  <c r="AQ92" i="2"/>
  <c r="AP92" i="2"/>
  <c r="AO92" i="2"/>
  <c r="AN92" i="2"/>
  <c r="AM92" i="2"/>
  <c r="AL92" i="2"/>
  <c r="AK92" i="2"/>
  <c r="AJ92" i="2"/>
  <c r="AI92" i="2"/>
  <c r="AH92" i="2"/>
  <c r="AG92" i="2"/>
  <c r="AE92" i="2"/>
  <c r="AD92" i="2"/>
  <c r="AC92" i="2"/>
  <c r="AB92" i="2"/>
  <c r="AA92" i="2"/>
  <c r="Z92" i="2"/>
  <c r="Y92" i="2"/>
  <c r="X92" i="2"/>
  <c r="W92" i="2"/>
  <c r="V92" i="2"/>
  <c r="U92" i="2"/>
  <c r="T92" i="2"/>
  <c r="S92" i="2"/>
  <c r="R92" i="2"/>
  <c r="Q92" i="2"/>
  <c r="P92" i="2"/>
  <c r="O92" i="2"/>
  <c r="N92" i="2"/>
  <c r="M92" i="2"/>
  <c r="L92" i="2"/>
  <c r="K92" i="2"/>
  <c r="J92" i="2"/>
  <c r="I92" i="2"/>
  <c r="H92" i="2"/>
  <c r="G92" i="2"/>
  <c r="F92" i="2"/>
  <c r="E92" i="2"/>
  <c r="D92" i="2"/>
  <c r="C92" i="2"/>
  <c r="B92" i="2"/>
  <c r="A92" i="2"/>
  <c r="AX91" i="2"/>
  <c r="AW91" i="2"/>
  <c r="AV91" i="2"/>
  <c r="AU91" i="2"/>
  <c r="AT91" i="2"/>
  <c r="AS91" i="2"/>
  <c r="AR91" i="2"/>
  <c r="AO91" i="2"/>
  <c r="AN91" i="2"/>
  <c r="AM91" i="2"/>
  <c r="AL91" i="2"/>
  <c r="AK91" i="2"/>
  <c r="AI91" i="2"/>
  <c r="AH91" i="2"/>
  <c r="AG91" i="2"/>
  <c r="AE91" i="2"/>
  <c r="AD91" i="2"/>
  <c r="AC91" i="2"/>
  <c r="AB91" i="2"/>
  <c r="AA91" i="2"/>
  <c r="Z91" i="2"/>
  <c r="Y91" i="2"/>
  <c r="X91" i="2"/>
  <c r="W91" i="2"/>
  <c r="V91" i="2"/>
  <c r="U91" i="2"/>
  <c r="T91" i="2"/>
  <c r="S91" i="2"/>
  <c r="R91" i="2"/>
  <c r="Q91" i="2"/>
  <c r="P91" i="2"/>
  <c r="O91" i="2"/>
  <c r="N91" i="2"/>
  <c r="M91" i="2"/>
  <c r="L91" i="2"/>
  <c r="K91" i="2"/>
  <c r="J91" i="2"/>
  <c r="I91" i="2"/>
  <c r="H91" i="2"/>
  <c r="G91" i="2"/>
  <c r="F91" i="2"/>
  <c r="E91" i="2"/>
  <c r="D91" i="2"/>
  <c r="C91" i="2"/>
  <c r="B91" i="2"/>
  <c r="A91" i="2"/>
  <c r="AX90" i="2"/>
  <c r="AW90" i="2"/>
  <c r="AV90" i="2"/>
  <c r="AU90" i="2"/>
  <c r="AT90" i="2"/>
  <c r="AS90" i="2"/>
  <c r="AR90" i="2"/>
  <c r="AQ90" i="2"/>
  <c r="AP90" i="2"/>
  <c r="AO90" i="2"/>
  <c r="AN90" i="2"/>
  <c r="AM90" i="2"/>
  <c r="AL90" i="2"/>
  <c r="AK90" i="2"/>
  <c r="AJ90" i="2"/>
  <c r="AI90" i="2"/>
  <c r="AH90" i="2"/>
  <c r="AG90" i="2"/>
  <c r="AF90" i="2"/>
  <c r="AE90" i="2"/>
  <c r="AD90" i="2"/>
  <c r="AC90" i="2"/>
  <c r="Z90" i="2"/>
  <c r="Y90" i="2"/>
  <c r="X90" i="2"/>
  <c r="W90" i="2"/>
  <c r="V90" i="2"/>
  <c r="U90" i="2"/>
  <c r="T90" i="2"/>
  <c r="S90" i="2"/>
  <c r="R90" i="2"/>
  <c r="Q90" i="2"/>
  <c r="P90" i="2"/>
  <c r="O90" i="2"/>
  <c r="N90" i="2"/>
  <c r="M90" i="2"/>
  <c r="L90" i="2"/>
  <c r="K90" i="2"/>
  <c r="J90" i="2"/>
  <c r="I90" i="2"/>
  <c r="H90" i="2"/>
  <c r="G90" i="2"/>
  <c r="F90" i="2"/>
  <c r="E90" i="2"/>
  <c r="D90" i="2"/>
  <c r="C90" i="2"/>
  <c r="B90" i="2"/>
  <c r="A90" i="2"/>
  <c r="AX89" i="2"/>
  <c r="AW89" i="2"/>
  <c r="AV89" i="2"/>
  <c r="AU89" i="2"/>
  <c r="AT89" i="2"/>
  <c r="AS89" i="2"/>
  <c r="AR89" i="2"/>
  <c r="AO89" i="2"/>
  <c r="AN89" i="2"/>
  <c r="AM89" i="2"/>
  <c r="AL89" i="2"/>
  <c r="AK89" i="2"/>
  <c r="AJ89" i="2"/>
  <c r="AI89" i="2"/>
  <c r="AH89" i="2"/>
  <c r="AG89" i="2"/>
  <c r="AE89" i="2"/>
  <c r="AD89" i="2"/>
  <c r="AC89" i="2"/>
  <c r="AB89" i="2"/>
  <c r="AA89" i="2"/>
  <c r="Z89" i="2"/>
  <c r="Y89" i="2"/>
  <c r="X89" i="2"/>
  <c r="V89" i="2"/>
  <c r="U89" i="2"/>
  <c r="T89" i="2"/>
  <c r="S89" i="2"/>
  <c r="R89" i="2"/>
  <c r="Q89" i="2"/>
  <c r="P89" i="2"/>
  <c r="O89" i="2"/>
  <c r="N89" i="2"/>
  <c r="M89" i="2"/>
  <c r="L89" i="2"/>
  <c r="K89" i="2"/>
  <c r="J89" i="2"/>
  <c r="I89" i="2"/>
  <c r="H89" i="2"/>
  <c r="G89" i="2"/>
  <c r="F89" i="2"/>
  <c r="E89" i="2"/>
  <c r="D89" i="2"/>
  <c r="C89" i="2"/>
  <c r="B89" i="2"/>
  <c r="A89" i="2"/>
  <c r="AX88" i="2"/>
  <c r="AW88" i="2"/>
  <c r="AV88" i="2"/>
  <c r="AU88" i="2"/>
  <c r="AS88" i="2"/>
  <c r="AR88" i="2"/>
  <c r="AO88" i="2"/>
  <c r="AN88" i="2"/>
  <c r="AM88" i="2"/>
  <c r="AL88" i="2"/>
  <c r="AK88" i="2"/>
  <c r="AJ88" i="2"/>
  <c r="AI88" i="2"/>
  <c r="AH88" i="2"/>
  <c r="AG88" i="2"/>
  <c r="AF88" i="2"/>
  <c r="AE88" i="2"/>
  <c r="AD88" i="2"/>
  <c r="AC88" i="2"/>
  <c r="AB88" i="2"/>
  <c r="AA88" i="2"/>
  <c r="Z88" i="2"/>
  <c r="Y88" i="2"/>
  <c r="X88" i="2"/>
  <c r="W88" i="2"/>
  <c r="V88" i="2"/>
  <c r="U88" i="2"/>
  <c r="T88" i="2"/>
  <c r="S88" i="2"/>
  <c r="R88" i="2"/>
  <c r="Q88" i="2"/>
  <c r="P88" i="2"/>
  <c r="O88" i="2"/>
  <c r="N88" i="2"/>
  <c r="M88" i="2"/>
  <c r="L88" i="2"/>
  <c r="K88" i="2"/>
  <c r="J88" i="2"/>
  <c r="I88" i="2"/>
  <c r="H88" i="2"/>
  <c r="G88" i="2"/>
  <c r="F88" i="2"/>
  <c r="E88" i="2"/>
  <c r="D88" i="2"/>
  <c r="C88" i="2"/>
  <c r="B88" i="2"/>
  <c r="A88" i="2"/>
  <c r="AX87" i="2"/>
  <c r="AW87" i="2"/>
  <c r="AV87" i="2"/>
  <c r="AU87" i="2"/>
  <c r="AT87" i="2"/>
  <c r="AS87" i="2"/>
  <c r="AR87" i="2"/>
  <c r="AO87" i="2"/>
  <c r="AN87" i="2"/>
  <c r="AM87" i="2"/>
  <c r="AK87" i="2"/>
  <c r="AJ87" i="2"/>
  <c r="AI87" i="2"/>
  <c r="AH87" i="2"/>
  <c r="AG87" i="2"/>
  <c r="AE87" i="2"/>
  <c r="AD87" i="2"/>
  <c r="AC87" i="2"/>
  <c r="AB87" i="2"/>
  <c r="AA87" i="2"/>
  <c r="Z87" i="2"/>
  <c r="Y87" i="2"/>
  <c r="X87" i="2"/>
  <c r="W87" i="2"/>
  <c r="V87" i="2"/>
  <c r="U87" i="2"/>
  <c r="T87" i="2"/>
  <c r="S87" i="2"/>
  <c r="R87" i="2"/>
  <c r="Q87" i="2"/>
  <c r="P87" i="2"/>
  <c r="O87" i="2"/>
  <c r="N87" i="2"/>
  <c r="M87" i="2"/>
  <c r="L87" i="2"/>
  <c r="K87" i="2"/>
  <c r="J87" i="2"/>
  <c r="I87" i="2"/>
  <c r="H87" i="2"/>
  <c r="G87" i="2"/>
  <c r="F87" i="2"/>
  <c r="E87" i="2"/>
  <c r="D87" i="2"/>
  <c r="C87" i="2"/>
  <c r="B87" i="2"/>
  <c r="A87" i="2"/>
  <c r="AX86" i="2"/>
  <c r="AW86" i="2"/>
  <c r="AV86" i="2"/>
  <c r="AU86" i="2"/>
  <c r="AT86" i="2"/>
  <c r="AS86" i="2"/>
  <c r="AR86" i="2"/>
  <c r="AO86" i="2"/>
  <c r="AN86" i="2"/>
  <c r="AM86" i="2"/>
  <c r="AL86" i="2"/>
  <c r="AK86" i="2"/>
  <c r="AJ86" i="2"/>
  <c r="AI86" i="2"/>
  <c r="AH86" i="2"/>
  <c r="AG86" i="2"/>
  <c r="AF86" i="2"/>
  <c r="AE86" i="2"/>
  <c r="AD86" i="2"/>
  <c r="AC86" i="2"/>
  <c r="AB86" i="2"/>
  <c r="AA86" i="2"/>
  <c r="Z86" i="2"/>
  <c r="Y86" i="2"/>
  <c r="X86" i="2"/>
  <c r="W86" i="2"/>
  <c r="V86" i="2"/>
  <c r="U86" i="2"/>
  <c r="T86" i="2"/>
  <c r="S86" i="2"/>
  <c r="R86" i="2"/>
  <c r="Q86" i="2"/>
  <c r="P86" i="2"/>
  <c r="O86" i="2"/>
  <c r="N86" i="2"/>
  <c r="M86" i="2"/>
  <c r="L86" i="2"/>
  <c r="K86" i="2"/>
  <c r="J86" i="2"/>
  <c r="I86" i="2"/>
  <c r="H86" i="2"/>
  <c r="G86" i="2"/>
  <c r="F86" i="2"/>
  <c r="E86" i="2"/>
  <c r="D86" i="2"/>
  <c r="C86" i="2"/>
  <c r="B86" i="2"/>
  <c r="A86" i="2"/>
  <c r="AX85" i="2"/>
  <c r="AW85" i="2"/>
  <c r="AV85" i="2"/>
  <c r="AU85" i="2"/>
  <c r="AS85" i="2"/>
  <c r="AR85" i="2"/>
  <c r="AQ85" i="2"/>
  <c r="AP85" i="2"/>
  <c r="AO85" i="2"/>
  <c r="AN85" i="2"/>
  <c r="AM85" i="2"/>
  <c r="AL85" i="2"/>
  <c r="AK85" i="2"/>
  <c r="AJ85" i="2"/>
  <c r="AI85" i="2"/>
  <c r="AH85" i="2"/>
  <c r="AG85" i="2"/>
  <c r="AE85" i="2"/>
  <c r="AD85" i="2"/>
  <c r="AC85" i="2"/>
  <c r="Z85" i="2"/>
  <c r="Y85" i="2"/>
  <c r="X85" i="2"/>
  <c r="W85" i="2"/>
  <c r="V85" i="2"/>
  <c r="U85" i="2"/>
  <c r="T85" i="2"/>
  <c r="S85" i="2"/>
  <c r="R85" i="2"/>
  <c r="Q85" i="2"/>
  <c r="P85" i="2"/>
  <c r="O85" i="2"/>
  <c r="N85" i="2"/>
  <c r="M85" i="2"/>
  <c r="L85" i="2"/>
  <c r="K85" i="2"/>
  <c r="J85" i="2"/>
  <c r="I85" i="2"/>
  <c r="H85" i="2"/>
  <c r="G85" i="2"/>
  <c r="F85" i="2"/>
  <c r="E85" i="2"/>
  <c r="D85" i="2"/>
  <c r="C85" i="2"/>
  <c r="B85" i="2"/>
  <c r="A85" i="2"/>
  <c r="AX84" i="2"/>
  <c r="AW84" i="2"/>
  <c r="AV84" i="2"/>
  <c r="AU84" i="2"/>
  <c r="AS84" i="2"/>
  <c r="AR84" i="2"/>
  <c r="AO84" i="2"/>
  <c r="AN84" i="2"/>
  <c r="AM84" i="2"/>
  <c r="AL84" i="2"/>
  <c r="AK84" i="2"/>
  <c r="AJ84" i="2"/>
  <c r="AI84" i="2"/>
  <c r="AH84" i="2"/>
  <c r="AG84" i="2"/>
  <c r="AE84" i="2"/>
  <c r="AD84" i="2"/>
  <c r="AC84" i="2"/>
  <c r="AB84" i="2"/>
  <c r="AA84" i="2"/>
  <c r="Z84" i="2"/>
  <c r="Y84" i="2"/>
  <c r="X84" i="2"/>
  <c r="W84" i="2"/>
  <c r="V84" i="2"/>
  <c r="U84" i="2"/>
  <c r="T84" i="2"/>
  <c r="S84" i="2"/>
  <c r="R84" i="2"/>
  <c r="Q84" i="2"/>
  <c r="P84" i="2"/>
  <c r="O84" i="2"/>
  <c r="N84" i="2"/>
  <c r="M84" i="2"/>
  <c r="L84" i="2"/>
  <c r="K84" i="2"/>
  <c r="J84" i="2"/>
  <c r="I84" i="2"/>
  <c r="H84" i="2"/>
  <c r="G84" i="2"/>
  <c r="F84" i="2"/>
  <c r="E84" i="2"/>
  <c r="D84" i="2"/>
  <c r="C84" i="2"/>
  <c r="B84" i="2"/>
  <c r="A84" i="2"/>
  <c r="AX83" i="2"/>
  <c r="AW83" i="2"/>
  <c r="AV83" i="2"/>
  <c r="AU83" i="2"/>
  <c r="AS83" i="2"/>
  <c r="AR83" i="2"/>
  <c r="AO83" i="2"/>
  <c r="AN83" i="2"/>
  <c r="AM83" i="2"/>
  <c r="AL83" i="2"/>
  <c r="AK83" i="2"/>
  <c r="AJ83" i="2"/>
  <c r="AI83" i="2"/>
  <c r="AH83" i="2"/>
  <c r="AG83" i="2"/>
  <c r="AF83" i="2"/>
  <c r="AE83" i="2"/>
  <c r="AD83" i="2"/>
  <c r="AC83" i="2"/>
  <c r="AB83" i="2"/>
  <c r="AA83" i="2"/>
  <c r="Z83" i="2"/>
  <c r="Y83" i="2"/>
  <c r="X83" i="2"/>
  <c r="W83" i="2"/>
  <c r="V83" i="2"/>
  <c r="U83" i="2"/>
  <c r="T83" i="2"/>
  <c r="S83" i="2"/>
  <c r="R83" i="2"/>
  <c r="Q83" i="2"/>
  <c r="P83" i="2"/>
  <c r="O83" i="2"/>
  <c r="N83" i="2"/>
  <c r="M83" i="2"/>
  <c r="L83" i="2"/>
  <c r="K83" i="2"/>
  <c r="J83" i="2"/>
  <c r="I83" i="2"/>
  <c r="H83" i="2"/>
  <c r="G83" i="2"/>
  <c r="F83" i="2"/>
  <c r="E83" i="2"/>
  <c r="D83" i="2"/>
  <c r="C83" i="2"/>
  <c r="B83" i="2"/>
  <c r="A83" i="2"/>
  <c r="AX82" i="2"/>
  <c r="AW82" i="2"/>
  <c r="AV82" i="2"/>
  <c r="AU82" i="2"/>
  <c r="AT82" i="2"/>
  <c r="AS82" i="2"/>
  <c r="AR82" i="2"/>
  <c r="AO82" i="2"/>
  <c r="AN82" i="2"/>
  <c r="AM82" i="2"/>
  <c r="AL82" i="2"/>
  <c r="AK82" i="2"/>
  <c r="AJ82" i="2"/>
  <c r="AI82" i="2"/>
  <c r="AH82" i="2"/>
  <c r="AG82" i="2"/>
  <c r="AE82" i="2"/>
  <c r="AD82" i="2"/>
  <c r="AC82" i="2"/>
  <c r="AB82" i="2"/>
  <c r="AA82" i="2"/>
  <c r="Z82" i="2"/>
  <c r="Y82" i="2"/>
  <c r="X82" i="2"/>
  <c r="W82" i="2"/>
  <c r="V82" i="2"/>
  <c r="U82" i="2"/>
  <c r="T82" i="2"/>
  <c r="S82" i="2"/>
  <c r="R82" i="2"/>
  <c r="Q82" i="2"/>
  <c r="P82" i="2"/>
  <c r="O82" i="2"/>
  <c r="N82" i="2"/>
  <c r="M82" i="2"/>
  <c r="L82" i="2"/>
  <c r="K82" i="2"/>
  <c r="J82" i="2"/>
  <c r="I82" i="2"/>
  <c r="H82" i="2"/>
  <c r="G82" i="2"/>
  <c r="F82" i="2"/>
  <c r="E82" i="2"/>
  <c r="D82" i="2"/>
  <c r="C82" i="2"/>
  <c r="B82" i="2"/>
  <c r="A82" i="2"/>
  <c r="AX81" i="2"/>
  <c r="AW81" i="2"/>
  <c r="AV81" i="2"/>
  <c r="AU81" i="2"/>
  <c r="AT81" i="2"/>
  <c r="AS81" i="2"/>
  <c r="AR81" i="2"/>
  <c r="AO81" i="2"/>
  <c r="AN81" i="2"/>
  <c r="AM81" i="2"/>
  <c r="AK81" i="2"/>
  <c r="AJ81" i="2"/>
  <c r="AI81" i="2"/>
  <c r="AH81" i="2"/>
  <c r="AG81" i="2"/>
  <c r="AC81" i="2"/>
  <c r="AB81" i="2"/>
  <c r="Z81" i="2"/>
  <c r="Y81" i="2"/>
  <c r="X81" i="2"/>
  <c r="W81" i="2"/>
  <c r="V81" i="2"/>
  <c r="U81" i="2"/>
  <c r="T81" i="2"/>
  <c r="S81" i="2"/>
  <c r="R81" i="2"/>
  <c r="Q81" i="2"/>
  <c r="P81" i="2"/>
  <c r="O81" i="2"/>
  <c r="N81" i="2"/>
  <c r="M81" i="2"/>
  <c r="L81" i="2"/>
  <c r="K81" i="2"/>
  <c r="J81" i="2"/>
  <c r="I81" i="2"/>
  <c r="H81" i="2"/>
  <c r="G81" i="2"/>
  <c r="F81" i="2"/>
  <c r="E81" i="2"/>
  <c r="D81" i="2"/>
  <c r="C81" i="2"/>
  <c r="B81" i="2"/>
  <c r="A81" i="2"/>
  <c r="AX80" i="2"/>
  <c r="AV80" i="2"/>
  <c r="AU80" i="2"/>
  <c r="AT80" i="2"/>
  <c r="AS80" i="2"/>
  <c r="AR80" i="2"/>
  <c r="AO80" i="2"/>
  <c r="AN80" i="2"/>
  <c r="AM80" i="2"/>
  <c r="AL80" i="2"/>
  <c r="AK80" i="2"/>
  <c r="AJ80" i="2"/>
  <c r="AI80" i="2"/>
  <c r="AH80" i="2"/>
  <c r="AG80" i="2"/>
  <c r="AE80" i="2"/>
  <c r="AD80" i="2"/>
  <c r="AC80" i="2"/>
  <c r="AB80" i="2"/>
  <c r="AA80" i="2"/>
  <c r="Z80" i="2"/>
  <c r="Y80" i="2"/>
  <c r="X80" i="2"/>
  <c r="W80" i="2"/>
  <c r="V80" i="2"/>
  <c r="U80" i="2"/>
  <c r="T80" i="2"/>
  <c r="S80" i="2"/>
  <c r="R80" i="2"/>
  <c r="Q80" i="2"/>
  <c r="P80" i="2"/>
  <c r="O80" i="2"/>
  <c r="N80" i="2"/>
  <c r="M80" i="2"/>
  <c r="L80" i="2"/>
  <c r="K80" i="2"/>
  <c r="J80" i="2"/>
  <c r="I80" i="2"/>
  <c r="H80" i="2"/>
  <c r="G80" i="2"/>
  <c r="F80" i="2"/>
  <c r="E80" i="2"/>
  <c r="D80" i="2"/>
  <c r="C80" i="2"/>
  <c r="B80" i="2"/>
  <c r="A80" i="2"/>
  <c r="AX79" i="2"/>
  <c r="AW79" i="2"/>
  <c r="AV79" i="2"/>
  <c r="AU79" i="2"/>
  <c r="AT79" i="2"/>
  <c r="AS79" i="2"/>
  <c r="AR79" i="2"/>
  <c r="AQ79" i="2"/>
  <c r="AP79" i="2"/>
  <c r="AO79" i="2"/>
  <c r="AN79" i="2"/>
  <c r="AM79" i="2"/>
  <c r="AL79" i="2"/>
  <c r="AK79" i="2"/>
  <c r="AJ79" i="2"/>
  <c r="AI79" i="2"/>
  <c r="AH79" i="2"/>
  <c r="AG79" i="2"/>
  <c r="AE79" i="2"/>
  <c r="AD79" i="2"/>
  <c r="AC79" i="2"/>
  <c r="AB79" i="2"/>
  <c r="AA79" i="2"/>
  <c r="Z79" i="2"/>
  <c r="Y79" i="2"/>
  <c r="X79" i="2"/>
  <c r="W79" i="2"/>
  <c r="V79" i="2"/>
  <c r="U79" i="2"/>
  <c r="T79" i="2"/>
  <c r="S79" i="2"/>
  <c r="R79" i="2"/>
  <c r="Q79" i="2"/>
  <c r="P79" i="2"/>
  <c r="O79" i="2"/>
  <c r="N79" i="2"/>
  <c r="M79" i="2"/>
  <c r="L79" i="2"/>
  <c r="K79" i="2"/>
  <c r="J79" i="2"/>
  <c r="I79" i="2"/>
  <c r="H79" i="2"/>
  <c r="G79" i="2"/>
  <c r="F79" i="2"/>
  <c r="E79" i="2"/>
  <c r="D79" i="2"/>
  <c r="C79" i="2"/>
  <c r="B79" i="2"/>
  <c r="A79" i="2"/>
  <c r="AX78" i="2"/>
  <c r="AW78" i="2"/>
  <c r="AV78" i="2"/>
  <c r="AU78" i="2"/>
  <c r="AT78" i="2"/>
  <c r="AS78" i="2"/>
  <c r="AR78" i="2"/>
  <c r="AO78" i="2"/>
  <c r="AN78" i="2"/>
  <c r="AM78" i="2"/>
  <c r="AL78" i="2"/>
  <c r="AK78" i="2"/>
  <c r="AJ78" i="2"/>
  <c r="AI78" i="2"/>
  <c r="AH78" i="2"/>
  <c r="AG78" i="2"/>
  <c r="AF78" i="2"/>
  <c r="AE78" i="2"/>
  <c r="AD78" i="2"/>
  <c r="AC78" i="2"/>
  <c r="AB78" i="2"/>
  <c r="AA78" i="2"/>
  <c r="Z78" i="2"/>
  <c r="Y78" i="2"/>
  <c r="X78" i="2"/>
  <c r="W78" i="2"/>
  <c r="V78" i="2"/>
  <c r="U78" i="2"/>
  <c r="T78" i="2"/>
  <c r="S78" i="2"/>
  <c r="R78" i="2"/>
  <c r="Q78" i="2"/>
  <c r="P78" i="2"/>
  <c r="O78" i="2"/>
  <c r="N78" i="2"/>
  <c r="M78" i="2"/>
  <c r="L78" i="2"/>
  <c r="K78" i="2"/>
  <c r="J78" i="2"/>
  <c r="I78" i="2"/>
  <c r="H78" i="2"/>
  <c r="G78" i="2"/>
  <c r="F78" i="2"/>
  <c r="E78" i="2"/>
  <c r="D78" i="2"/>
  <c r="C78" i="2"/>
  <c r="B78" i="2"/>
  <c r="A78" i="2"/>
  <c r="AX77" i="2"/>
  <c r="AW77" i="2"/>
  <c r="AV77" i="2"/>
  <c r="AU77" i="2"/>
  <c r="AS77" i="2"/>
  <c r="AR77" i="2"/>
  <c r="AO77" i="2"/>
  <c r="AN77" i="2"/>
  <c r="AM77" i="2"/>
  <c r="AK77" i="2"/>
  <c r="AI77" i="2"/>
  <c r="AH77" i="2"/>
  <c r="AG77" i="2"/>
  <c r="AF77" i="2"/>
  <c r="AE77" i="2"/>
  <c r="AD77" i="2"/>
  <c r="AC77" i="2"/>
  <c r="AB77" i="2"/>
  <c r="AA77" i="2"/>
  <c r="Z77" i="2"/>
  <c r="Y77" i="2"/>
  <c r="X77" i="2"/>
  <c r="W77" i="2"/>
  <c r="V77" i="2"/>
  <c r="U77" i="2"/>
  <c r="T77" i="2"/>
  <c r="S77" i="2"/>
  <c r="R77" i="2"/>
  <c r="Q77" i="2"/>
  <c r="P77" i="2"/>
  <c r="O77" i="2"/>
  <c r="N77" i="2"/>
  <c r="M77" i="2"/>
  <c r="L77" i="2"/>
  <c r="K77" i="2"/>
  <c r="J77" i="2"/>
  <c r="I77" i="2"/>
  <c r="H77" i="2"/>
  <c r="G77" i="2"/>
  <c r="F77" i="2"/>
  <c r="E77" i="2"/>
  <c r="D77" i="2"/>
  <c r="C77" i="2"/>
  <c r="B77" i="2"/>
  <c r="A77" i="2"/>
  <c r="AX76" i="2"/>
  <c r="AW76" i="2"/>
  <c r="AV76" i="2"/>
  <c r="AU76" i="2"/>
  <c r="AT76" i="2"/>
  <c r="AS76" i="2"/>
  <c r="AR76" i="2"/>
  <c r="AO76" i="2"/>
  <c r="AN76" i="2"/>
  <c r="AM76" i="2"/>
  <c r="AK76" i="2"/>
  <c r="AI76" i="2"/>
  <c r="AH76" i="2"/>
  <c r="AG76" i="2"/>
  <c r="AE76" i="2"/>
  <c r="AD76" i="2"/>
  <c r="AC76" i="2"/>
  <c r="AB76" i="2"/>
  <c r="AA76" i="2"/>
  <c r="Z76" i="2"/>
  <c r="Y76" i="2"/>
  <c r="X76" i="2"/>
  <c r="W76" i="2"/>
  <c r="V76" i="2"/>
  <c r="U76" i="2"/>
  <c r="T76" i="2"/>
  <c r="S76" i="2"/>
  <c r="R76" i="2"/>
  <c r="Q76" i="2"/>
  <c r="P76" i="2"/>
  <c r="O76" i="2"/>
  <c r="N76" i="2"/>
  <c r="M76" i="2"/>
  <c r="L76" i="2"/>
  <c r="K76" i="2"/>
  <c r="J76" i="2"/>
  <c r="I76" i="2"/>
  <c r="H76" i="2"/>
  <c r="G76" i="2"/>
  <c r="F76" i="2"/>
  <c r="E76" i="2"/>
  <c r="D76" i="2"/>
  <c r="C76" i="2"/>
  <c r="B76" i="2"/>
  <c r="A76" i="2"/>
  <c r="AX75" i="2"/>
  <c r="AW75" i="2"/>
  <c r="AV75" i="2"/>
  <c r="AU75" i="2"/>
  <c r="AT75" i="2"/>
  <c r="AS75" i="2"/>
  <c r="AR75" i="2"/>
  <c r="AO75" i="2"/>
  <c r="AN75" i="2"/>
  <c r="AM75" i="2"/>
  <c r="AK75" i="2"/>
  <c r="AJ75" i="2"/>
  <c r="AI75" i="2"/>
  <c r="AH75" i="2"/>
  <c r="AG75" i="2"/>
  <c r="AF75" i="2"/>
  <c r="AE75" i="2"/>
  <c r="AD75" i="2"/>
  <c r="AC75" i="2"/>
  <c r="AB75" i="2"/>
  <c r="Z75" i="2"/>
  <c r="Y75" i="2"/>
  <c r="X75" i="2"/>
  <c r="W75" i="2"/>
  <c r="V75" i="2"/>
  <c r="U75" i="2"/>
  <c r="T75" i="2"/>
  <c r="S75" i="2"/>
  <c r="R75" i="2"/>
  <c r="Q75" i="2"/>
  <c r="P75" i="2"/>
  <c r="O75" i="2"/>
  <c r="N75" i="2"/>
  <c r="M75" i="2"/>
  <c r="L75" i="2"/>
  <c r="K75" i="2"/>
  <c r="J75" i="2"/>
  <c r="I75" i="2"/>
  <c r="H75" i="2"/>
  <c r="G75" i="2"/>
  <c r="F75" i="2"/>
  <c r="E75" i="2"/>
  <c r="D75" i="2"/>
  <c r="C75" i="2"/>
  <c r="B75" i="2"/>
  <c r="A75" i="2"/>
  <c r="AX74" i="2"/>
  <c r="AW74" i="2"/>
  <c r="AV74" i="2"/>
  <c r="AU74" i="2"/>
  <c r="AT74" i="2"/>
  <c r="AR74" i="2"/>
  <c r="AO74" i="2"/>
  <c r="AN74" i="2"/>
  <c r="AM74" i="2"/>
  <c r="AL74" i="2"/>
  <c r="AK74" i="2"/>
  <c r="AJ74" i="2"/>
  <c r="AI74" i="2"/>
  <c r="AH74" i="2"/>
  <c r="AG74" i="2"/>
  <c r="AD74" i="2"/>
  <c r="AC74" i="2"/>
  <c r="AB74" i="2"/>
  <c r="AA74" i="2"/>
  <c r="Z74" i="2"/>
  <c r="Y74" i="2"/>
  <c r="X74" i="2"/>
  <c r="W74" i="2"/>
  <c r="V74" i="2"/>
  <c r="U74" i="2"/>
  <c r="T74" i="2"/>
  <c r="S74" i="2"/>
  <c r="R74" i="2"/>
  <c r="Q74" i="2"/>
  <c r="P74" i="2"/>
  <c r="O74" i="2"/>
  <c r="N74" i="2"/>
  <c r="M74" i="2"/>
  <c r="L74" i="2"/>
  <c r="K74" i="2"/>
  <c r="J74" i="2"/>
  <c r="I74" i="2"/>
  <c r="H74" i="2"/>
  <c r="G74" i="2"/>
  <c r="F74" i="2"/>
  <c r="E74" i="2"/>
  <c r="D74" i="2"/>
  <c r="C74" i="2"/>
  <c r="B74" i="2"/>
  <c r="A74" i="2"/>
  <c r="AX73" i="2"/>
  <c r="AW73" i="2"/>
  <c r="AV73" i="2"/>
  <c r="AU73" i="2"/>
  <c r="AS73" i="2"/>
  <c r="AR73" i="2"/>
  <c r="AO73" i="2"/>
  <c r="AN73" i="2"/>
  <c r="AM73" i="2"/>
  <c r="AK73" i="2"/>
  <c r="AJ73" i="2"/>
  <c r="AI73" i="2"/>
  <c r="AH73" i="2"/>
  <c r="AG73" i="2"/>
  <c r="AC73" i="2"/>
  <c r="AA73" i="2"/>
  <c r="Z73" i="2"/>
  <c r="Y73" i="2"/>
  <c r="X73" i="2"/>
  <c r="W73" i="2"/>
  <c r="V73" i="2"/>
  <c r="U73" i="2"/>
  <c r="T73" i="2"/>
  <c r="S73" i="2"/>
  <c r="R73" i="2"/>
  <c r="Q73" i="2"/>
  <c r="P73" i="2"/>
  <c r="O73" i="2"/>
  <c r="N73" i="2"/>
  <c r="M73" i="2"/>
  <c r="L73" i="2"/>
  <c r="K73" i="2"/>
  <c r="J73" i="2"/>
  <c r="I73" i="2"/>
  <c r="H73" i="2"/>
  <c r="G73" i="2"/>
  <c r="F73" i="2"/>
  <c r="E73" i="2"/>
  <c r="D73" i="2"/>
  <c r="C73" i="2"/>
  <c r="B73" i="2"/>
  <c r="A73" i="2"/>
  <c r="AX72" i="2"/>
  <c r="AW72" i="2"/>
  <c r="AV72" i="2"/>
  <c r="AU72" i="2"/>
  <c r="AT72" i="2"/>
  <c r="AS72" i="2"/>
  <c r="AQ72" i="2"/>
  <c r="AP72" i="2"/>
  <c r="AO72" i="2"/>
  <c r="AN72" i="2"/>
  <c r="AM72" i="2"/>
  <c r="AL72" i="2"/>
  <c r="AK72" i="2"/>
  <c r="AJ72" i="2"/>
  <c r="AI72" i="2"/>
  <c r="AH72" i="2"/>
  <c r="AG72" i="2"/>
  <c r="AE72" i="2"/>
  <c r="AD72" i="2"/>
  <c r="AC72" i="2"/>
  <c r="AB72" i="2"/>
  <c r="AA72" i="2"/>
  <c r="Z72" i="2"/>
  <c r="Y72" i="2"/>
  <c r="X72" i="2"/>
  <c r="U72" i="2"/>
  <c r="T72" i="2"/>
  <c r="S72" i="2"/>
  <c r="R72" i="2"/>
  <c r="Q72" i="2"/>
  <c r="P72" i="2"/>
  <c r="O72" i="2"/>
  <c r="N72" i="2"/>
  <c r="M72" i="2"/>
  <c r="L72" i="2"/>
  <c r="K72" i="2"/>
  <c r="J72" i="2"/>
  <c r="I72" i="2"/>
  <c r="H72" i="2"/>
  <c r="G72" i="2"/>
  <c r="F72" i="2"/>
  <c r="E72" i="2"/>
  <c r="D72" i="2"/>
  <c r="C72" i="2"/>
  <c r="B72" i="2"/>
  <c r="A72" i="2"/>
  <c r="AX71" i="2"/>
  <c r="AW71" i="2"/>
  <c r="AV71" i="2"/>
  <c r="AU71" i="2"/>
  <c r="AT71" i="2"/>
  <c r="AS71" i="2"/>
  <c r="AR71" i="2"/>
  <c r="AO71" i="2"/>
  <c r="AN71" i="2"/>
  <c r="AM71" i="2"/>
  <c r="AL71" i="2"/>
  <c r="AK71" i="2"/>
  <c r="AJ71" i="2"/>
  <c r="AI71" i="2"/>
  <c r="AH71" i="2"/>
  <c r="AG71" i="2"/>
  <c r="AF71" i="2"/>
  <c r="AE71" i="2"/>
  <c r="AD71" i="2"/>
  <c r="AC71" i="2"/>
  <c r="AB71" i="2"/>
  <c r="AA71" i="2"/>
  <c r="Z71" i="2"/>
  <c r="Y71" i="2"/>
  <c r="X71" i="2"/>
  <c r="W71" i="2"/>
  <c r="V71" i="2"/>
  <c r="U71" i="2"/>
  <c r="T71" i="2"/>
  <c r="S71" i="2"/>
  <c r="R71" i="2"/>
  <c r="Q71" i="2"/>
  <c r="P71" i="2"/>
  <c r="O71" i="2"/>
  <c r="N71" i="2"/>
  <c r="M71" i="2"/>
  <c r="L71" i="2"/>
  <c r="K71" i="2"/>
  <c r="J71" i="2"/>
  <c r="I71" i="2"/>
  <c r="H71" i="2"/>
  <c r="G71" i="2"/>
  <c r="F71" i="2"/>
  <c r="E71" i="2"/>
  <c r="D71" i="2"/>
  <c r="C71" i="2"/>
  <c r="B71" i="2"/>
  <c r="A71" i="2"/>
  <c r="AX70" i="2"/>
  <c r="AW70" i="2"/>
  <c r="AV70" i="2"/>
  <c r="AU70" i="2"/>
  <c r="AT70" i="2"/>
  <c r="AS70" i="2"/>
  <c r="AR70" i="2"/>
  <c r="AO70" i="2"/>
  <c r="AN70" i="2"/>
  <c r="AM70" i="2"/>
  <c r="AL70" i="2"/>
  <c r="AK70" i="2"/>
  <c r="AJ70" i="2"/>
  <c r="AI70" i="2"/>
  <c r="AH70" i="2"/>
  <c r="AG70" i="2"/>
  <c r="AE70" i="2"/>
  <c r="AD70" i="2"/>
  <c r="AC70" i="2"/>
  <c r="AB70" i="2"/>
  <c r="AA70" i="2"/>
  <c r="Z70" i="2"/>
  <c r="Y70" i="2"/>
  <c r="X70" i="2"/>
  <c r="V70" i="2"/>
  <c r="U70" i="2"/>
  <c r="T70" i="2"/>
  <c r="S70" i="2"/>
  <c r="R70" i="2"/>
  <c r="Q70" i="2"/>
  <c r="P70" i="2"/>
  <c r="O70" i="2"/>
  <c r="N70" i="2"/>
  <c r="M70" i="2"/>
  <c r="L70" i="2"/>
  <c r="K70" i="2"/>
  <c r="J70" i="2"/>
  <c r="I70" i="2"/>
  <c r="H70" i="2"/>
  <c r="G70" i="2"/>
  <c r="F70" i="2"/>
  <c r="E70" i="2"/>
  <c r="D70" i="2"/>
  <c r="C70" i="2"/>
  <c r="B70" i="2"/>
  <c r="A70" i="2"/>
  <c r="AX69" i="2"/>
  <c r="AW69" i="2"/>
  <c r="AV69" i="2"/>
  <c r="AU69" i="2"/>
  <c r="AT69" i="2"/>
  <c r="AS69" i="2"/>
  <c r="AR69" i="2"/>
  <c r="AO69" i="2"/>
  <c r="AN69" i="2"/>
  <c r="AM69" i="2"/>
  <c r="AK69" i="2"/>
  <c r="AJ69" i="2"/>
  <c r="AI69" i="2"/>
  <c r="AH69" i="2"/>
  <c r="AG69" i="2"/>
  <c r="AF69" i="2"/>
  <c r="AE69" i="2"/>
  <c r="AD69" i="2"/>
  <c r="AC69" i="2"/>
  <c r="AB69" i="2"/>
  <c r="Z69" i="2"/>
  <c r="Y69" i="2"/>
  <c r="X69" i="2"/>
  <c r="W69" i="2"/>
  <c r="V69" i="2"/>
  <c r="U69" i="2"/>
  <c r="T69" i="2"/>
  <c r="S69" i="2"/>
  <c r="R69" i="2"/>
  <c r="Q69" i="2"/>
  <c r="P69" i="2"/>
  <c r="O69" i="2"/>
  <c r="N69" i="2"/>
  <c r="M69" i="2"/>
  <c r="L69" i="2"/>
  <c r="K69" i="2"/>
  <c r="J69" i="2"/>
  <c r="I69" i="2"/>
  <c r="H69" i="2"/>
  <c r="G69" i="2"/>
  <c r="F69" i="2"/>
  <c r="E69" i="2"/>
  <c r="D69" i="2"/>
  <c r="C69" i="2"/>
  <c r="B69" i="2"/>
  <c r="A69" i="2"/>
  <c r="AX68" i="2"/>
  <c r="AW68" i="2"/>
  <c r="AV68" i="2"/>
  <c r="AU68" i="2"/>
  <c r="AT68" i="2"/>
  <c r="AS68" i="2"/>
  <c r="AR68" i="2"/>
  <c r="AO68" i="2"/>
  <c r="AN68" i="2"/>
  <c r="AM68" i="2"/>
  <c r="AL68" i="2"/>
  <c r="AK68" i="2"/>
  <c r="AJ68" i="2"/>
  <c r="AI68" i="2"/>
  <c r="AH68" i="2"/>
  <c r="AG68" i="2"/>
  <c r="AF68" i="2"/>
  <c r="AE68" i="2"/>
  <c r="AD68" i="2"/>
  <c r="AC68" i="2"/>
  <c r="AB68" i="2"/>
  <c r="AA68" i="2"/>
  <c r="Z68" i="2"/>
  <c r="Y68" i="2"/>
  <c r="X68" i="2"/>
  <c r="W68" i="2"/>
  <c r="V68" i="2"/>
  <c r="U68" i="2"/>
  <c r="T68" i="2"/>
  <c r="S68" i="2"/>
  <c r="R68" i="2"/>
  <c r="Q68" i="2"/>
  <c r="P68" i="2"/>
  <c r="O68" i="2"/>
  <c r="N68" i="2"/>
  <c r="M68" i="2"/>
  <c r="L68" i="2"/>
  <c r="K68" i="2"/>
  <c r="J68" i="2"/>
  <c r="I68" i="2"/>
  <c r="H68" i="2"/>
  <c r="G68" i="2"/>
  <c r="F68" i="2"/>
  <c r="E68" i="2"/>
  <c r="D68" i="2"/>
  <c r="C68" i="2"/>
  <c r="B68" i="2"/>
  <c r="A68" i="2"/>
  <c r="AX67" i="2"/>
  <c r="AW67" i="2"/>
  <c r="AV67" i="2"/>
  <c r="AU67" i="2"/>
  <c r="AT67" i="2"/>
  <c r="AS67" i="2"/>
  <c r="AR67" i="2"/>
  <c r="AO67" i="2"/>
  <c r="AN67" i="2"/>
  <c r="AM67" i="2"/>
  <c r="AL67" i="2"/>
  <c r="AK67" i="2"/>
  <c r="AJ67" i="2"/>
  <c r="AI67" i="2"/>
  <c r="AH67" i="2"/>
  <c r="AG67" i="2"/>
  <c r="AE67" i="2"/>
  <c r="AD67" i="2"/>
  <c r="AC67" i="2"/>
  <c r="AB67" i="2"/>
  <c r="AA67" i="2"/>
  <c r="Z67" i="2"/>
  <c r="Y67" i="2"/>
  <c r="X67" i="2"/>
  <c r="W67" i="2"/>
  <c r="V67" i="2"/>
  <c r="U67" i="2"/>
  <c r="T67" i="2"/>
  <c r="S67" i="2"/>
  <c r="R67" i="2"/>
  <c r="Q67" i="2"/>
  <c r="P67" i="2"/>
  <c r="O67" i="2"/>
  <c r="N67" i="2"/>
  <c r="M67" i="2"/>
  <c r="L67" i="2"/>
  <c r="K67" i="2"/>
  <c r="J67" i="2"/>
  <c r="I67" i="2"/>
  <c r="H67" i="2"/>
  <c r="G67" i="2"/>
  <c r="F67" i="2"/>
  <c r="E67" i="2"/>
  <c r="D67" i="2"/>
  <c r="C67" i="2"/>
  <c r="B67" i="2"/>
  <c r="A67" i="2"/>
  <c r="AX66" i="2"/>
  <c r="AW66" i="2"/>
  <c r="AV66" i="2"/>
  <c r="AU66" i="2"/>
  <c r="AT66" i="2"/>
  <c r="AS66" i="2"/>
  <c r="AR66" i="2"/>
  <c r="AO66" i="2"/>
  <c r="AN66" i="2"/>
  <c r="AM66" i="2"/>
  <c r="AK66" i="2"/>
  <c r="AJ66" i="2"/>
  <c r="AI66" i="2"/>
  <c r="AH66" i="2"/>
  <c r="AG66" i="2"/>
  <c r="Z66" i="2"/>
  <c r="Y66" i="2"/>
  <c r="X66" i="2"/>
  <c r="W66" i="2"/>
  <c r="V66" i="2"/>
  <c r="U66" i="2"/>
  <c r="T66" i="2"/>
  <c r="S66" i="2"/>
  <c r="R66" i="2"/>
  <c r="Q66" i="2"/>
  <c r="P66" i="2"/>
  <c r="O66" i="2"/>
  <c r="N66" i="2"/>
  <c r="M66" i="2"/>
  <c r="L66" i="2"/>
  <c r="K66" i="2"/>
  <c r="J66" i="2"/>
  <c r="I66" i="2"/>
  <c r="H66" i="2"/>
  <c r="G66" i="2"/>
  <c r="F66" i="2"/>
  <c r="E66" i="2"/>
  <c r="D66" i="2"/>
  <c r="C66" i="2"/>
  <c r="B66" i="2"/>
  <c r="A66" i="2"/>
  <c r="AX65" i="2"/>
  <c r="AW65" i="2"/>
  <c r="AV65" i="2"/>
  <c r="AU65" i="2"/>
  <c r="AT65" i="2"/>
  <c r="AS65" i="2"/>
  <c r="AR65" i="2"/>
  <c r="AO65" i="2"/>
  <c r="AN65" i="2"/>
  <c r="AM65" i="2"/>
  <c r="AK65" i="2"/>
  <c r="AJ65" i="2"/>
  <c r="AI65" i="2"/>
  <c r="AH65" i="2"/>
  <c r="AG65" i="2"/>
  <c r="AF65" i="2"/>
  <c r="AE65" i="2"/>
  <c r="AD65" i="2"/>
  <c r="AC65" i="2"/>
  <c r="AB65" i="2"/>
  <c r="AA65" i="2"/>
  <c r="Z65" i="2"/>
  <c r="Y65" i="2"/>
  <c r="X65" i="2"/>
  <c r="W65" i="2"/>
  <c r="V65" i="2"/>
  <c r="U65" i="2"/>
  <c r="T65" i="2"/>
  <c r="S65" i="2"/>
  <c r="R65" i="2"/>
  <c r="Q65" i="2"/>
  <c r="P65" i="2"/>
  <c r="O65" i="2"/>
  <c r="N65" i="2"/>
  <c r="M65" i="2"/>
  <c r="L65" i="2"/>
  <c r="K65" i="2"/>
  <c r="J65" i="2"/>
  <c r="I65" i="2"/>
  <c r="H65" i="2"/>
  <c r="G65" i="2"/>
  <c r="F65" i="2"/>
  <c r="E65" i="2"/>
  <c r="D65" i="2"/>
  <c r="C65" i="2"/>
  <c r="B65" i="2"/>
  <c r="A65" i="2"/>
  <c r="AX64" i="2"/>
  <c r="AW64" i="2"/>
  <c r="AV64" i="2"/>
  <c r="AU64" i="2"/>
  <c r="AT64" i="2"/>
  <c r="AS64" i="2"/>
  <c r="AR64" i="2"/>
  <c r="AO64" i="2"/>
  <c r="AN64" i="2"/>
  <c r="AM64" i="2"/>
  <c r="AK64" i="2"/>
  <c r="AJ64" i="2"/>
  <c r="AI64" i="2"/>
  <c r="AH64" i="2"/>
  <c r="AG64" i="2"/>
  <c r="AD64" i="2"/>
  <c r="AC64" i="2"/>
  <c r="AB64" i="2"/>
  <c r="AA64" i="2"/>
  <c r="Z64" i="2"/>
  <c r="Y64" i="2"/>
  <c r="X64" i="2"/>
  <c r="W64" i="2"/>
  <c r="V64" i="2"/>
  <c r="U64" i="2"/>
  <c r="T64" i="2"/>
  <c r="S64" i="2"/>
  <c r="R64" i="2"/>
  <c r="Q64" i="2"/>
  <c r="P64" i="2"/>
  <c r="O64" i="2"/>
  <c r="N64" i="2"/>
  <c r="M64" i="2"/>
  <c r="L64" i="2"/>
  <c r="K64" i="2"/>
  <c r="J64" i="2"/>
  <c r="I64" i="2"/>
  <c r="H64" i="2"/>
  <c r="G64" i="2"/>
  <c r="F64" i="2"/>
  <c r="E64" i="2"/>
  <c r="D64" i="2"/>
  <c r="C64" i="2"/>
  <c r="B64" i="2"/>
  <c r="A64" i="2"/>
  <c r="AX63" i="2"/>
  <c r="AV63" i="2"/>
  <c r="AU63" i="2"/>
  <c r="AT63" i="2"/>
  <c r="AS63" i="2"/>
  <c r="AR63" i="2"/>
  <c r="AO63" i="2"/>
  <c r="AN63" i="2"/>
  <c r="AM63" i="2"/>
  <c r="AL63" i="2"/>
  <c r="AK63" i="2"/>
  <c r="AJ63" i="2"/>
  <c r="AI63" i="2"/>
  <c r="AH63" i="2"/>
  <c r="AG63" i="2"/>
  <c r="AD63" i="2"/>
  <c r="AC63" i="2"/>
  <c r="AB63" i="2"/>
  <c r="AA63" i="2"/>
  <c r="Z63" i="2"/>
  <c r="Y63" i="2"/>
  <c r="X63" i="2"/>
  <c r="W63" i="2"/>
  <c r="V63" i="2"/>
  <c r="U63" i="2"/>
  <c r="T63" i="2"/>
  <c r="S63" i="2"/>
  <c r="R63" i="2"/>
  <c r="Q63" i="2"/>
  <c r="P63" i="2"/>
  <c r="O63" i="2"/>
  <c r="N63" i="2"/>
  <c r="M63" i="2"/>
  <c r="L63" i="2"/>
  <c r="K63" i="2"/>
  <c r="J63" i="2"/>
  <c r="I63" i="2"/>
  <c r="H63" i="2"/>
  <c r="G63" i="2"/>
  <c r="F63" i="2"/>
  <c r="E63" i="2"/>
  <c r="D63" i="2"/>
  <c r="C63" i="2"/>
  <c r="B63" i="2"/>
  <c r="A63" i="2"/>
  <c r="AX62" i="2"/>
  <c r="AW62" i="2"/>
  <c r="AV62" i="2"/>
  <c r="AU62" i="2"/>
  <c r="AT62" i="2"/>
  <c r="AS62" i="2"/>
  <c r="AR62" i="2"/>
  <c r="AO62" i="2"/>
  <c r="AN62" i="2"/>
  <c r="AM62" i="2"/>
  <c r="AK62" i="2"/>
  <c r="AJ62" i="2"/>
  <c r="AI62" i="2"/>
  <c r="AH62" i="2"/>
  <c r="AG62" i="2"/>
  <c r="AF62" i="2"/>
  <c r="AE62" i="2"/>
  <c r="AD62" i="2"/>
  <c r="AC62" i="2"/>
  <c r="AB62" i="2"/>
  <c r="Z62" i="2"/>
  <c r="Y62" i="2"/>
  <c r="X62" i="2"/>
  <c r="W62" i="2"/>
  <c r="V62" i="2"/>
  <c r="U62" i="2"/>
  <c r="T62" i="2"/>
  <c r="S62" i="2"/>
  <c r="R62" i="2"/>
  <c r="Q62" i="2"/>
  <c r="P62" i="2"/>
  <c r="O62" i="2"/>
  <c r="N62" i="2"/>
  <c r="M62" i="2"/>
  <c r="L62" i="2"/>
  <c r="K62" i="2"/>
  <c r="J62" i="2"/>
  <c r="I62" i="2"/>
  <c r="H62" i="2"/>
  <c r="G62" i="2"/>
  <c r="F62" i="2"/>
  <c r="E62" i="2"/>
  <c r="D62" i="2"/>
  <c r="C62" i="2"/>
  <c r="B62" i="2"/>
  <c r="A62" i="2"/>
  <c r="AX61" i="2"/>
  <c r="AW61" i="2"/>
  <c r="AV61" i="2"/>
  <c r="AU61" i="2"/>
  <c r="AT61" i="2"/>
  <c r="AS61" i="2"/>
  <c r="AR61" i="2"/>
  <c r="AO61" i="2"/>
  <c r="AN61" i="2"/>
  <c r="AM61" i="2"/>
  <c r="AL61" i="2"/>
  <c r="AK61" i="2"/>
  <c r="AJ61" i="2"/>
  <c r="AI61" i="2"/>
  <c r="AH61" i="2"/>
  <c r="AG61" i="2"/>
  <c r="AE61" i="2"/>
  <c r="AD61" i="2"/>
  <c r="AC61" i="2"/>
  <c r="AB61" i="2"/>
  <c r="AA61" i="2"/>
  <c r="Z61" i="2"/>
  <c r="Y61" i="2"/>
  <c r="X61" i="2"/>
  <c r="W61" i="2"/>
  <c r="V61" i="2"/>
  <c r="U61" i="2"/>
  <c r="T61" i="2"/>
  <c r="S61" i="2"/>
  <c r="R61" i="2"/>
  <c r="Q61" i="2"/>
  <c r="P61" i="2"/>
  <c r="O61" i="2"/>
  <c r="N61" i="2"/>
  <c r="M61" i="2"/>
  <c r="L61" i="2"/>
  <c r="K61" i="2"/>
  <c r="J61" i="2"/>
  <c r="I61" i="2"/>
  <c r="H61" i="2"/>
  <c r="G61" i="2"/>
  <c r="F61" i="2"/>
  <c r="E61" i="2"/>
  <c r="D61" i="2"/>
  <c r="C61" i="2"/>
  <c r="B61" i="2"/>
  <c r="A61" i="2"/>
  <c r="AX60" i="2"/>
  <c r="AW60" i="2"/>
  <c r="AV60" i="2"/>
  <c r="AU60" i="2"/>
  <c r="AT60" i="2"/>
  <c r="AS60" i="2"/>
  <c r="AR60" i="2"/>
  <c r="AQ60" i="2"/>
  <c r="AP60" i="2"/>
  <c r="AO60" i="2"/>
  <c r="AN60" i="2"/>
  <c r="AM60" i="2"/>
  <c r="AL60" i="2"/>
  <c r="AK60" i="2"/>
  <c r="AJ60" i="2"/>
  <c r="AI60" i="2"/>
  <c r="AH60" i="2"/>
  <c r="AG60" i="2"/>
  <c r="AF60" i="2"/>
  <c r="AE60" i="2"/>
  <c r="AD60" i="2"/>
  <c r="AC60" i="2"/>
  <c r="AB60" i="2"/>
  <c r="AA60" i="2"/>
  <c r="Z60" i="2"/>
  <c r="Y60" i="2"/>
  <c r="X60" i="2"/>
  <c r="W60" i="2"/>
  <c r="V60" i="2"/>
  <c r="U60" i="2"/>
  <c r="T60" i="2"/>
  <c r="S60" i="2"/>
  <c r="R60" i="2"/>
  <c r="Q60" i="2"/>
  <c r="P60" i="2"/>
  <c r="O60" i="2"/>
  <c r="N60" i="2"/>
  <c r="M60" i="2"/>
  <c r="L60" i="2"/>
  <c r="K60" i="2"/>
  <c r="J60" i="2"/>
  <c r="I60" i="2"/>
  <c r="H60" i="2"/>
  <c r="G60" i="2"/>
  <c r="F60" i="2"/>
  <c r="E60" i="2"/>
  <c r="D60" i="2"/>
  <c r="C60" i="2"/>
  <c r="B60" i="2"/>
  <c r="A60" i="2"/>
  <c r="AX59" i="2"/>
  <c r="AW59" i="2"/>
  <c r="AV59" i="2"/>
  <c r="AU59" i="2"/>
  <c r="AT59" i="2"/>
  <c r="AS59" i="2"/>
  <c r="AR59" i="2"/>
  <c r="AP59" i="2"/>
  <c r="AO59" i="2"/>
  <c r="AN59" i="2"/>
  <c r="AM59" i="2"/>
  <c r="AL59" i="2"/>
  <c r="AK59" i="2"/>
  <c r="AJ59" i="2"/>
  <c r="AI59" i="2"/>
  <c r="AH59" i="2"/>
  <c r="AG59" i="2"/>
  <c r="AF59" i="2"/>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C59" i="2"/>
  <c r="B59" i="2"/>
  <c r="A59" i="2"/>
  <c r="AX58" i="2"/>
  <c r="AW58" i="2"/>
  <c r="AV58" i="2"/>
  <c r="AU58" i="2"/>
  <c r="AT58" i="2"/>
  <c r="AS58" i="2"/>
  <c r="AR58" i="2"/>
  <c r="AO58" i="2"/>
  <c r="AN58" i="2"/>
  <c r="AM58" i="2"/>
  <c r="AL58" i="2"/>
  <c r="AK58" i="2"/>
  <c r="AJ58" i="2"/>
  <c r="AI58" i="2"/>
  <c r="AH58" i="2"/>
  <c r="AG58" i="2"/>
  <c r="AD58" i="2"/>
  <c r="AC58" i="2"/>
  <c r="Z58" i="2"/>
  <c r="Y58" i="2"/>
  <c r="X58" i="2"/>
  <c r="W58" i="2"/>
  <c r="V58" i="2"/>
  <c r="U58" i="2"/>
  <c r="T58" i="2"/>
  <c r="S58" i="2"/>
  <c r="R58" i="2"/>
  <c r="Q58" i="2"/>
  <c r="P58" i="2"/>
  <c r="O58" i="2"/>
  <c r="N58" i="2"/>
  <c r="M58" i="2"/>
  <c r="L58" i="2"/>
  <c r="K58" i="2"/>
  <c r="J58" i="2"/>
  <c r="I58" i="2"/>
  <c r="H58" i="2"/>
  <c r="G58" i="2"/>
  <c r="F58" i="2"/>
  <c r="E58" i="2"/>
  <c r="D58" i="2"/>
  <c r="C58" i="2"/>
  <c r="B58" i="2"/>
  <c r="A58" i="2"/>
  <c r="AX57" i="2"/>
  <c r="AW57" i="2"/>
  <c r="AV57" i="2"/>
  <c r="AU57" i="2"/>
  <c r="AT57" i="2"/>
  <c r="AS57" i="2"/>
  <c r="AR57" i="2"/>
  <c r="AO57" i="2"/>
  <c r="AN57" i="2"/>
  <c r="AM57" i="2"/>
  <c r="AK57" i="2"/>
  <c r="AI57" i="2"/>
  <c r="AH57" i="2"/>
  <c r="AG57" i="2"/>
  <c r="AC57" i="2"/>
  <c r="Z57" i="2"/>
  <c r="Y57" i="2"/>
  <c r="X57" i="2"/>
  <c r="W57" i="2"/>
  <c r="V57" i="2"/>
  <c r="U57" i="2"/>
  <c r="T57" i="2"/>
  <c r="S57" i="2"/>
  <c r="R57" i="2"/>
  <c r="Q57" i="2"/>
  <c r="P57" i="2"/>
  <c r="O57" i="2"/>
  <c r="N57" i="2"/>
  <c r="M57" i="2"/>
  <c r="L57" i="2"/>
  <c r="K57" i="2"/>
  <c r="J57" i="2"/>
  <c r="I57" i="2"/>
  <c r="H57" i="2"/>
  <c r="G57" i="2"/>
  <c r="F57" i="2"/>
  <c r="E57" i="2"/>
  <c r="D57" i="2"/>
  <c r="C57" i="2"/>
  <c r="B57" i="2"/>
  <c r="A57" i="2"/>
  <c r="AX56" i="2"/>
  <c r="AW56" i="2"/>
  <c r="AV56" i="2"/>
  <c r="AU56" i="2"/>
  <c r="AT56" i="2"/>
  <c r="AS56" i="2"/>
  <c r="AR56" i="2"/>
  <c r="AO56" i="2"/>
  <c r="AN56" i="2"/>
  <c r="AM56" i="2"/>
  <c r="AK56" i="2"/>
  <c r="AJ56" i="2"/>
  <c r="AI56" i="2"/>
  <c r="AH56" i="2"/>
  <c r="AG56" i="2"/>
  <c r="AD56" i="2"/>
  <c r="AC56" i="2"/>
  <c r="AB56" i="2"/>
  <c r="AA56" i="2"/>
  <c r="Z56" i="2"/>
  <c r="Y56" i="2"/>
  <c r="X56" i="2"/>
  <c r="W56" i="2"/>
  <c r="V56" i="2"/>
  <c r="U56" i="2"/>
  <c r="T56" i="2"/>
  <c r="S56" i="2"/>
  <c r="R56" i="2"/>
  <c r="Q56" i="2"/>
  <c r="P56" i="2"/>
  <c r="O56" i="2"/>
  <c r="N56" i="2"/>
  <c r="M56" i="2"/>
  <c r="L56" i="2"/>
  <c r="K56" i="2"/>
  <c r="J56" i="2"/>
  <c r="I56" i="2"/>
  <c r="H56" i="2"/>
  <c r="G56" i="2"/>
  <c r="F56" i="2"/>
  <c r="E56" i="2"/>
  <c r="D56" i="2"/>
  <c r="C56" i="2"/>
  <c r="B56" i="2"/>
  <c r="A56" i="2"/>
  <c r="AX55" i="2"/>
  <c r="AW55" i="2"/>
  <c r="AV55" i="2"/>
  <c r="AU55" i="2"/>
  <c r="AT55" i="2"/>
  <c r="AS55" i="2"/>
  <c r="AR55" i="2"/>
  <c r="AQ55" i="2"/>
  <c r="AP55" i="2"/>
  <c r="AO55" i="2"/>
  <c r="AN55" i="2"/>
  <c r="AM55" i="2"/>
  <c r="AL55" i="2"/>
  <c r="AK55" i="2"/>
  <c r="AJ55" i="2"/>
  <c r="AI55" i="2"/>
  <c r="AH55" i="2"/>
  <c r="AG55" i="2"/>
  <c r="AF55" i="2"/>
  <c r="AE55" i="2"/>
  <c r="AD55" i="2"/>
  <c r="AC55" i="2"/>
  <c r="AB55" i="2"/>
  <c r="AA55" i="2"/>
  <c r="Z55" i="2"/>
  <c r="Y55" i="2"/>
  <c r="X55" i="2"/>
  <c r="W55" i="2"/>
  <c r="V55" i="2"/>
  <c r="U55" i="2"/>
  <c r="T55" i="2"/>
  <c r="S55" i="2"/>
  <c r="R55" i="2"/>
  <c r="Q55" i="2"/>
  <c r="P55" i="2"/>
  <c r="O55" i="2"/>
  <c r="N55" i="2"/>
  <c r="M55" i="2"/>
  <c r="L55" i="2"/>
  <c r="K55" i="2"/>
  <c r="J55" i="2"/>
  <c r="I55" i="2"/>
  <c r="H55" i="2"/>
  <c r="G55" i="2"/>
  <c r="F55" i="2"/>
  <c r="E55" i="2"/>
  <c r="D55" i="2"/>
  <c r="C55" i="2"/>
  <c r="B55" i="2"/>
  <c r="A55" i="2"/>
  <c r="AX54" i="2"/>
  <c r="AW54" i="2"/>
  <c r="AV54" i="2"/>
  <c r="AU54" i="2"/>
  <c r="AT54" i="2"/>
  <c r="AS54" i="2"/>
  <c r="AR54" i="2"/>
  <c r="AQ54" i="2"/>
  <c r="AP54" i="2"/>
  <c r="AO54" i="2"/>
  <c r="AN54" i="2"/>
  <c r="AM54" i="2"/>
  <c r="AL54" i="2"/>
  <c r="AK54" i="2"/>
  <c r="AJ54" i="2"/>
  <c r="AI54" i="2"/>
  <c r="AH54" i="2"/>
  <c r="AG54" i="2"/>
  <c r="AE54" i="2"/>
  <c r="AD54" i="2"/>
  <c r="AC54" i="2"/>
  <c r="AB54" i="2"/>
  <c r="AA54" i="2"/>
  <c r="Z54" i="2"/>
  <c r="Y54" i="2"/>
  <c r="X54" i="2"/>
  <c r="W54" i="2"/>
  <c r="V54" i="2"/>
  <c r="U54" i="2"/>
  <c r="T54" i="2"/>
  <c r="S54" i="2"/>
  <c r="R54" i="2"/>
  <c r="Q54" i="2"/>
  <c r="P54" i="2"/>
  <c r="O54" i="2"/>
  <c r="N54" i="2"/>
  <c r="M54" i="2"/>
  <c r="L54" i="2"/>
  <c r="K54" i="2"/>
  <c r="J54" i="2"/>
  <c r="I54" i="2"/>
  <c r="H54" i="2"/>
  <c r="G54" i="2"/>
  <c r="F54" i="2"/>
  <c r="E54" i="2"/>
  <c r="D54" i="2"/>
  <c r="C54" i="2"/>
  <c r="B54" i="2"/>
  <c r="A54" i="2"/>
  <c r="AX53" i="2"/>
  <c r="AW53" i="2"/>
  <c r="AV53" i="2"/>
  <c r="AU53" i="2"/>
  <c r="AT53" i="2"/>
  <c r="AS53" i="2"/>
  <c r="AR53" i="2"/>
  <c r="AO53" i="2"/>
  <c r="AN53" i="2"/>
  <c r="AM53" i="2"/>
  <c r="AK53" i="2"/>
  <c r="AJ53" i="2"/>
  <c r="AI53" i="2"/>
  <c r="AH53" i="2"/>
  <c r="AG53" i="2"/>
  <c r="AC53" i="2"/>
  <c r="Z53" i="2"/>
  <c r="Y53" i="2"/>
  <c r="X53" i="2"/>
  <c r="W53" i="2"/>
  <c r="V53" i="2"/>
  <c r="U53" i="2"/>
  <c r="T53" i="2"/>
  <c r="S53" i="2"/>
  <c r="R53" i="2"/>
  <c r="Q53" i="2"/>
  <c r="P53" i="2"/>
  <c r="O53" i="2"/>
  <c r="N53" i="2"/>
  <c r="M53" i="2"/>
  <c r="L53" i="2"/>
  <c r="K53" i="2"/>
  <c r="J53" i="2"/>
  <c r="I53" i="2"/>
  <c r="H53" i="2"/>
  <c r="G53" i="2"/>
  <c r="F53" i="2"/>
  <c r="E53" i="2"/>
  <c r="D53" i="2"/>
  <c r="C53" i="2"/>
  <c r="B53" i="2"/>
  <c r="A53" i="2"/>
  <c r="AX52" i="2"/>
  <c r="AW52" i="2"/>
  <c r="AV52" i="2"/>
  <c r="AU52" i="2"/>
  <c r="AT52" i="2"/>
  <c r="AS52" i="2"/>
  <c r="AR52" i="2"/>
  <c r="AO52" i="2"/>
  <c r="AN52" i="2"/>
  <c r="AM52" i="2"/>
  <c r="AL52" i="2"/>
  <c r="AK52" i="2"/>
  <c r="AJ52" i="2"/>
  <c r="AI52" i="2"/>
  <c r="AH52" i="2"/>
  <c r="AG52" i="2"/>
  <c r="AE52" i="2"/>
  <c r="AD52" i="2"/>
  <c r="AC52" i="2"/>
  <c r="AB52" i="2"/>
  <c r="AA52" i="2"/>
  <c r="Z52" i="2"/>
  <c r="Y52" i="2"/>
  <c r="X52" i="2"/>
  <c r="W52" i="2"/>
  <c r="V52" i="2"/>
  <c r="U52" i="2"/>
  <c r="T52" i="2"/>
  <c r="S52" i="2"/>
  <c r="R52" i="2"/>
  <c r="Q52" i="2"/>
  <c r="P52" i="2"/>
  <c r="O52" i="2"/>
  <c r="N52" i="2"/>
  <c r="M52" i="2"/>
  <c r="L52" i="2"/>
  <c r="K52" i="2"/>
  <c r="J52" i="2"/>
  <c r="I52" i="2"/>
  <c r="H52" i="2"/>
  <c r="G52" i="2"/>
  <c r="F52" i="2"/>
  <c r="E52" i="2"/>
  <c r="D52" i="2"/>
  <c r="C52" i="2"/>
  <c r="B52" i="2"/>
  <c r="A52" i="2"/>
  <c r="AX51" i="2"/>
  <c r="AW51" i="2"/>
  <c r="AV51" i="2"/>
  <c r="AU51" i="2"/>
  <c r="AT51" i="2"/>
  <c r="AS51" i="2"/>
  <c r="AR51" i="2"/>
  <c r="AO51" i="2"/>
  <c r="AN51" i="2"/>
  <c r="AM51" i="2"/>
  <c r="AK51" i="2"/>
  <c r="AJ51" i="2"/>
  <c r="AI51" i="2"/>
  <c r="AH51" i="2"/>
  <c r="AG51" i="2"/>
  <c r="AE51" i="2"/>
  <c r="AD51" i="2"/>
  <c r="AC51" i="2"/>
  <c r="AB51" i="2"/>
  <c r="AA51" i="2"/>
  <c r="Z51" i="2"/>
  <c r="Y51" i="2"/>
  <c r="X51" i="2"/>
  <c r="W51" i="2"/>
  <c r="V51" i="2"/>
  <c r="U51" i="2"/>
  <c r="T51" i="2"/>
  <c r="S51" i="2"/>
  <c r="R51" i="2"/>
  <c r="Q51" i="2"/>
  <c r="P51" i="2"/>
  <c r="O51" i="2"/>
  <c r="N51" i="2"/>
  <c r="M51" i="2"/>
  <c r="L51" i="2"/>
  <c r="K51" i="2"/>
  <c r="J51" i="2"/>
  <c r="I51" i="2"/>
  <c r="H51" i="2"/>
  <c r="G51" i="2"/>
  <c r="F51" i="2"/>
  <c r="E51" i="2"/>
  <c r="D51" i="2"/>
  <c r="C51" i="2"/>
  <c r="B51" i="2"/>
  <c r="A51" i="2"/>
  <c r="AX50" i="2"/>
  <c r="AW50" i="2"/>
  <c r="AV50" i="2"/>
  <c r="AU50" i="2"/>
  <c r="AT50" i="2"/>
  <c r="AS50" i="2"/>
  <c r="AR50" i="2"/>
  <c r="AQ50" i="2"/>
  <c r="AP50" i="2"/>
  <c r="AO50" i="2"/>
  <c r="AN50" i="2"/>
  <c r="AM50" i="2"/>
  <c r="AL50" i="2"/>
  <c r="AK50" i="2"/>
  <c r="AJ50" i="2"/>
  <c r="AI50" i="2"/>
  <c r="AH50" i="2"/>
  <c r="AG50" i="2"/>
  <c r="AE50" i="2"/>
  <c r="AD50" i="2"/>
  <c r="AC50" i="2"/>
  <c r="AB50" i="2"/>
  <c r="AA50" i="2"/>
  <c r="Z50" i="2"/>
  <c r="Y50" i="2"/>
  <c r="X50" i="2"/>
  <c r="W50" i="2"/>
  <c r="V50" i="2"/>
  <c r="U50" i="2"/>
  <c r="T50" i="2"/>
  <c r="S50" i="2"/>
  <c r="R50" i="2"/>
  <c r="Q50" i="2"/>
  <c r="P50" i="2"/>
  <c r="O50" i="2"/>
  <c r="N50" i="2"/>
  <c r="M50" i="2"/>
  <c r="L50" i="2"/>
  <c r="K50" i="2"/>
  <c r="J50" i="2"/>
  <c r="I50" i="2"/>
  <c r="H50" i="2"/>
  <c r="G50" i="2"/>
  <c r="F50" i="2"/>
  <c r="E50" i="2"/>
  <c r="D50" i="2"/>
  <c r="C50" i="2"/>
  <c r="B50" i="2"/>
  <c r="A50" i="2"/>
  <c r="AX49" i="2"/>
  <c r="AW49" i="2"/>
  <c r="AV49" i="2"/>
  <c r="AU49" i="2"/>
  <c r="AT49" i="2"/>
  <c r="AS49" i="2"/>
  <c r="AR49" i="2"/>
  <c r="AO49" i="2"/>
  <c r="AN49" i="2"/>
  <c r="AM49" i="2"/>
  <c r="AK49" i="2"/>
  <c r="AJ49" i="2"/>
  <c r="AI49" i="2"/>
  <c r="AH49" i="2"/>
  <c r="AG49" i="2"/>
  <c r="AE49" i="2"/>
  <c r="AD49" i="2"/>
  <c r="AC49" i="2"/>
  <c r="Z49" i="2"/>
  <c r="Y49" i="2"/>
  <c r="X49" i="2"/>
  <c r="W49" i="2"/>
  <c r="V49" i="2"/>
  <c r="U49" i="2"/>
  <c r="T49" i="2"/>
  <c r="S49" i="2"/>
  <c r="R49" i="2"/>
  <c r="Q49" i="2"/>
  <c r="P49" i="2"/>
  <c r="O49" i="2"/>
  <c r="N49" i="2"/>
  <c r="M49" i="2"/>
  <c r="L49" i="2"/>
  <c r="K49" i="2"/>
  <c r="J49" i="2"/>
  <c r="I49" i="2"/>
  <c r="H49" i="2"/>
  <c r="G49" i="2"/>
  <c r="F49" i="2"/>
  <c r="E49" i="2"/>
  <c r="D49" i="2"/>
  <c r="C49" i="2"/>
  <c r="B49" i="2"/>
  <c r="A49" i="2"/>
  <c r="AX48" i="2"/>
  <c r="AW48" i="2"/>
  <c r="AV48" i="2"/>
  <c r="AU48" i="2"/>
  <c r="AT48" i="2"/>
  <c r="AS48" i="2"/>
  <c r="AR48" i="2"/>
  <c r="AO48" i="2"/>
  <c r="AN48" i="2"/>
  <c r="AM48" i="2"/>
  <c r="AK48" i="2"/>
  <c r="AJ48" i="2"/>
  <c r="AI48" i="2"/>
  <c r="AH48" i="2"/>
  <c r="AG48" i="2"/>
  <c r="AE48" i="2"/>
  <c r="AD48" i="2"/>
  <c r="AC48" i="2"/>
  <c r="Z48" i="2"/>
  <c r="Y48" i="2"/>
  <c r="X48" i="2"/>
  <c r="W48" i="2"/>
  <c r="V48" i="2"/>
  <c r="U48" i="2"/>
  <c r="T48" i="2"/>
  <c r="S48" i="2"/>
  <c r="R48" i="2"/>
  <c r="Q48" i="2"/>
  <c r="P48" i="2"/>
  <c r="O48" i="2"/>
  <c r="N48" i="2"/>
  <c r="M48" i="2"/>
  <c r="L48" i="2"/>
  <c r="K48" i="2"/>
  <c r="J48" i="2"/>
  <c r="I48" i="2"/>
  <c r="H48" i="2"/>
  <c r="G48" i="2"/>
  <c r="F48" i="2"/>
  <c r="E48" i="2"/>
  <c r="D48" i="2"/>
  <c r="C48" i="2"/>
  <c r="B48" i="2"/>
  <c r="A48" i="2"/>
  <c r="AX47" i="2"/>
  <c r="AW47" i="2"/>
  <c r="AV47" i="2"/>
  <c r="AU47" i="2"/>
  <c r="AT47" i="2"/>
  <c r="AS47" i="2"/>
  <c r="AR47" i="2"/>
  <c r="AO47" i="2"/>
  <c r="AN47" i="2"/>
  <c r="AM47" i="2"/>
  <c r="AK47" i="2"/>
  <c r="AJ47" i="2"/>
  <c r="AI47" i="2"/>
  <c r="AH47" i="2"/>
  <c r="AG47" i="2"/>
  <c r="AC47" i="2"/>
  <c r="Z47" i="2"/>
  <c r="Y47" i="2"/>
  <c r="X47" i="2"/>
  <c r="W47" i="2"/>
  <c r="V47" i="2"/>
  <c r="U47" i="2"/>
  <c r="T47" i="2"/>
  <c r="S47" i="2"/>
  <c r="R47" i="2"/>
  <c r="Q47" i="2"/>
  <c r="P47" i="2"/>
  <c r="O47" i="2"/>
  <c r="N47" i="2"/>
  <c r="M47" i="2"/>
  <c r="L47" i="2"/>
  <c r="K47" i="2"/>
  <c r="J47" i="2"/>
  <c r="I47" i="2"/>
  <c r="H47" i="2"/>
  <c r="G47" i="2"/>
  <c r="F47" i="2"/>
  <c r="E47" i="2"/>
  <c r="D47" i="2"/>
  <c r="C47" i="2"/>
  <c r="B47" i="2"/>
  <c r="A47" i="2"/>
  <c r="AX46" i="2"/>
  <c r="AW46" i="2"/>
  <c r="AV46" i="2"/>
  <c r="AU46" i="2"/>
  <c r="AT46" i="2"/>
  <c r="AS46" i="2"/>
  <c r="AR46" i="2"/>
  <c r="AO46" i="2"/>
  <c r="AN46" i="2"/>
  <c r="AM46" i="2"/>
  <c r="AK46" i="2"/>
  <c r="AJ46" i="2"/>
  <c r="AI46"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F46" i="2"/>
  <c r="E46" i="2"/>
  <c r="D46" i="2"/>
  <c r="C46" i="2"/>
  <c r="B46" i="2"/>
  <c r="A46" i="2"/>
  <c r="AX45" i="2"/>
  <c r="AW45" i="2"/>
  <c r="AV45" i="2"/>
  <c r="AU45" i="2"/>
  <c r="AT45" i="2"/>
  <c r="AS45" i="2"/>
  <c r="AR45" i="2"/>
  <c r="AO45" i="2"/>
  <c r="AN45" i="2"/>
  <c r="AM45" i="2"/>
  <c r="AK45" i="2"/>
  <c r="AJ45" i="2"/>
  <c r="AI45" i="2"/>
  <c r="AH45" i="2"/>
  <c r="AG45" i="2"/>
  <c r="AD45" i="2"/>
  <c r="AC45" i="2"/>
  <c r="AB45" i="2"/>
  <c r="Z45" i="2"/>
  <c r="Y45" i="2"/>
  <c r="X45" i="2"/>
  <c r="W45" i="2"/>
  <c r="V45" i="2"/>
  <c r="U45" i="2"/>
  <c r="T45" i="2"/>
  <c r="S45" i="2"/>
  <c r="R45" i="2"/>
  <c r="Q45" i="2"/>
  <c r="P45" i="2"/>
  <c r="O45" i="2"/>
  <c r="N45" i="2"/>
  <c r="M45" i="2"/>
  <c r="L45" i="2"/>
  <c r="K45" i="2"/>
  <c r="J45" i="2"/>
  <c r="I45" i="2"/>
  <c r="H45" i="2"/>
  <c r="G45" i="2"/>
  <c r="F45" i="2"/>
  <c r="E45" i="2"/>
  <c r="D45" i="2"/>
  <c r="C45" i="2"/>
  <c r="B45" i="2"/>
  <c r="A45" i="2"/>
  <c r="AX44" i="2"/>
  <c r="AW44" i="2"/>
  <c r="AV44" i="2"/>
  <c r="AU44" i="2"/>
  <c r="AT44" i="2"/>
  <c r="AS44" i="2"/>
  <c r="AR44" i="2"/>
  <c r="AO44" i="2"/>
  <c r="AN44" i="2"/>
  <c r="AM44" i="2"/>
  <c r="AL44" i="2"/>
  <c r="AK44" i="2"/>
  <c r="AJ44" i="2"/>
  <c r="AI44" i="2"/>
  <c r="AH44" i="2"/>
  <c r="AG44" i="2"/>
  <c r="AE44" i="2"/>
  <c r="AD44" i="2"/>
  <c r="AC44" i="2"/>
  <c r="AB44" i="2"/>
  <c r="AA44" i="2"/>
  <c r="Z44" i="2"/>
  <c r="Y44" i="2"/>
  <c r="X44" i="2"/>
  <c r="W44" i="2"/>
  <c r="V44" i="2"/>
  <c r="U44" i="2"/>
  <c r="T44" i="2"/>
  <c r="S44" i="2"/>
  <c r="R44" i="2"/>
  <c r="Q44" i="2"/>
  <c r="P44" i="2"/>
  <c r="O44" i="2"/>
  <c r="N44" i="2"/>
  <c r="M44" i="2"/>
  <c r="L44" i="2"/>
  <c r="K44" i="2"/>
  <c r="J44" i="2"/>
  <c r="I44" i="2"/>
  <c r="H44" i="2"/>
  <c r="G44" i="2"/>
  <c r="F44" i="2"/>
  <c r="E44" i="2"/>
  <c r="D44" i="2"/>
  <c r="C44" i="2"/>
  <c r="B44" i="2"/>
  <c r="A44" i="2"/>
  <c r="AX43" i="2"/>
  <c r="AW43" i="2"/>
  <c r="AV43" i="2"/>
  <c r="AU43" i="2"/>
  <c r="AT43" i="2"/>
  <c r="AS43" i="2"/>
  <c r="AR43" i="2"/>
  <c r="AO43" i="2"/>
  <c r="AN43" i="2"/>
  <c r="AM43" i="2"/>
  <c r="AK43" i="2"/>
  <c r="AJ43" i="2"/>
  <c r="AI43" i="2"/>
  <c r="AH43" i="2"/>
  <c r="AG43" i="2"/>
  <c r="AC43" i="2"/>
  <c r="AB43" i="2"/>
  <c r="AA43" i="2"/>
  <c r="Z43" i="2"/>
  <c r="Y43" i="2"/>
  <c r="X43" i="2"/>
  <c r="V43" i="2"/>
  <c r="U43" i="2"/>
  <c r="T43" i="2"/>
  <c r="S43" i="2"/>
  <c r="R43" i="2"/>
  <c r="Q43" i="2"/>
  <c r="P43" i="2"/>
  <c r="O43" i="2"/>
  <c r="N43" i="2"/>
  <c r="M43" i="2"/>
  <c r="L43" i="2"/>
  <c r="K43" i="2"/>
  <c r="J43" i="2"/>
  <c r="I43" i="2"/>
  <c r="H43" i="2"/>
  <c r="G43" i="2"/>
  <c r="F43" i="2"/>
  <c r="E43" i="2"/>
  <c r="D43" i="2"/>
  <c r="C43" i="2"/>
  <c r="B43" i="2"/>
  <c r="A43" i="2"/>
  <c r="AX42" i="2"/>
  <c r="AW42" i="2"/>
  <c r="AV42" i="2"/>
  <c r="AU42" i="2"/>
  <c r="AT42" i="2"/>
  <c r="AS42" i="2"/>
  <c r="AR42" i="2"/>
  <c r="AO42" i="2"/>
  <c r="AN42" i="2"/>
  <c r="AM42" i="2"/>
  <c r="AK42" i="2"/>
  <c r="AJ42" i="2"/>
  <c r="AI42" i="2"/>
  <c r="AH42" i="2"/>
  <c r="AG42" i="2"/>
  <c r="AE42" i="2"/>
  <c r="AC42" i="2"/>
  <c r="Z42" i="2"/>
  <c r="Y42" i="2"/>
  <c r="X42" i="2"/>
  <c r="W42" i="2"/>
  <c r="V42" i="2"/>
  <c r="U42" i="2"/>
  <c r="T42" i="2"/>
  <c r="S42" i="2"/>
  <c r="R42" i="2"/>
  <c r="Q42" i="2"/>
  <c r="P42" i="2"/>
  <c r="O42" i="2"/>
  <c r="N42" i="2"/>
  <c r="M42" i="2"/>
  <c r="L42" i="2"/>
  <c r="K42" i="2"/>
  <c r="J42" i="2"/>
  <c r="I42" i="2"/>
  <c r="H42" i="2"/>
  <c r="G42" i="2"/>
  <c r="F42" i="2"/>
  <c r="E42" i="2"/>
  <c r="D42" i="2"/>
  <c r="C42" i="2"/>
  <c r="B42" i="2"/>
  <c r="A42" i="2"/>
  <c r="AX41" i="2"/>
  <c r="AW41" i="2"/>
  <c r="AV41" i="2"/>
  <c r="AU41" i="2"/>
  <c r="AT41" i="2"/>
  <c r="AS41" i="2"/>
  <c r="AR41" i="2"/>
  <c r="AO41" i="2"/>
  <c r="AN41" i="2"/>
  <c r="AM41" i="2"/>
  <c r="AL41" i="2"/>
  <c r="AK41" i="2"/>
  <c r="AJ41" i="2"/>
  <c r="AI41" i="2"/>
  <c r="AH41" i="2"/>
  <c r="AG41" i="2"/>
  <c r="AE41" i="2"/>
  <c r="AD41" i="2"/>
  <c r="AC41" i="2"/>
  <c r="AB41" i="2"/>
  <c r="AA41" i="2"/>
  <c r="Z41" i="2"/>
  <c r="Y41" i="2"/>
  <c r="X41" i="2"/>
  <c r="W41" i="2"/>
  <c r="V41" i="2"/>
  <c r="U41" i="2"/>
  <c r="T41" i="2"/>
  <c r="S41" i="2"/>
  <c r="R41" i="2"/>
  <c r="Q41" i="2"/>
  <c r="P41" i="2"/>
  <c r="O41" i="2"/>
  <c r="N41" i="2"/>
  <c r="M41" i="2"/>
  <c r="L41" i="2"/>
  <c r="K41" i="2"/>
  <c r="J41" i="2"/>
  <c r="I41" i="2"/>
  <c r="H41" i="2"/>
  <c r="G41" i="2"/>
  <c r="F41" i="2"/>
  <c r="E41" i="2"/>
  <c r="D41" i="2"/>
  <c r="C41" i="2"/>
  <c r="B41" i="2"/>
  <c r="A41" i="2"/>
  <c r="AX40" i="2"/>
  <c r="AW40" i="2"/>
  <c r="AV40" i="2"/>
  <c r="AU40" i="2"/>
  <c r="AT40" i="2"/>
  <c r="AS40" i="2"/>
  <c r="AR40" i="2"/>
  <c r="AO40" i="2"/>
  <c r="AN40" i="2"/>
  <c r="AM40" i="2"/>
  <c r="AL40" i="2"/>
  <c r="AK40" i="2"/>
  <c r="AJ40" i="2"/>
  <c r="AI40" i="2"/>
  <c r="AH40" i="2"/>
  <c r="AG40" i="2"/>
  <c r="AE40" i="2"/>
  <c r="AD40" i="2"/>
  <c r="AC40" i="2"/>
  <c r="AB40" i="2"/>
  <c r="AA40" i="2"/>
  <c r="Z40" i="2"/>
  <c r="Y40" i="2"/>
  <c r="X40" i="2"/>
  <c r="W40" i="2"/>
  <c r="V40" i="2"/>
  <c r="U40" i="2"/>
  <c r="T40" i="2"/>
  <c r="S40" i="2"/>
  <c r="R40" i="2"/>
  <c r="Q40" i="2"/>
  <c r="P40" i="2"/>
  <c r="O40" i="2"/>
  <c r="N40" i="2"/>
  <c r="M40" i="2"/>
  <c r="L40" i="2"/>
  <c r="K40" i="2"/>
  <c r="J40" i="2"/>
  <c r="I40" i="2"/>
  <c r="H40" i="2"/>
  <c r="G40" i="2"/>
  <c r="F40" i="2"/>
  <c r="E40" i="2"/>
  <c r="D40" i="2"/>
  <c r="C40" i="2"/>
  <c r="B40" i="2"/>
  <c r="A40" i="2"/>
  <c r="AX39" i="2"/>
  <c r="AW39" i="2"/>
  <c r="AV39" i="2"/>
  <c r="AU39" i="2"/>
  <c r="AT39" i="2"/>
  <c r="AS39" i="2"/>
  <c r="AR39" i="2"/>
  <c r="AO39" i="2"/>
  <c r="AN39" i="2"/>
  <c r="AM39" i="2"/>
  <c r="AK39" i="2"/>
  <c r="AJ39" i="2"/>
  <c r="AI39" i="2"/>
  <c r="AH39" i="2"/>
  <c r="AG39" i="2"/>
  <c r="AE39" i="2"/>
  <c r="AC39" i="2"/>
  <c r="Z39" i="2"/>
  <c r="Y39" i="2"/>
  <c r="X39" i="2"/>
  <c r="V39" i="2"/>
  <c r="U39" i="2"/>
  <c r="T39" i="2"/>
  <c r="S39" i="2"/>
  <c r="R39" i="2"/>
  <c r="Q39" i="2"/>
  <c r="P39" i="2"/>
  <c r="O39" i="2"/>
  <c r="N39" i="2"/>
  <c r="M39" i="2"/>
  <c r="L39" i="2"/>
  <c r="K39" i="2"/>
  <c r="J39" i="2"/>
  <c r="I39" i="2"/>
  <c r="H39" i="2"/>
  <c r="G39" i="2"/>
  <c r="F39" i="2"/>
  <c r="E39" i="2"/>
  <c r="D39" i="2"/>
  <c r="C39" i="2"/>
  <c r="B39" i="2"/>
  <c r="A39" i="2"/>
  <c r="AX38" i="2"/>
  <c r="AW38" i="2"/>
  <c r="AV38" i="2"/>
  <c r="AU38" i="2"/>
  <c r="AT38" i="2"/>
  <c r="AS38" i="2"/>
  <c r="AR38" i="2"/>
  <c r="AO38" i="2"/>
  <c r="AN38" i="2"/>
  <c r="AM38" i="2"/>
  <c r="AK38" i="2"/>
  <c r="AJ38" i="2"/>
  <c r="AI38" i="2"/>
  <c r="AH38" i="2"/>
  <c r="AG38" i="2"/>
  <c r="AE38" i="2"/>
  <c r="AD38" i="2"/>
  <c r="AC38" i="2"/>
  <c r="AB38" i="2"/>
  <c r="Z38" i="2"/>
  <c r="Y38" i="2"/>
  <c r="X38" i="2"/>
  <c r="W38" i="2"/>
  <c r="V38" i="2"/>
  <c r="U38" i="2"/>
  <c r="T38" i="2"/>
  <c r="S38" i="2"/>
  <c r="R38" i="2"/>
  <c r="Q38" i="2"/>
  <c r="P38" i="2"/>
  <c r="O38" i="2"/>
  <c r="N38" i="2"/>
  <c r="M38" i="2"/>
  <c r="L38" i="2"/>
  <c r="K38" i="2"/>
  <c r="J38" i="2"/>
  <c r="I38" i="2"/>
  <c r="H38" i="2"/>
  <c r="G38" i="2"/>
  <c r="F38" i="2"/>
  <c r="E38" i="2"/>
  <c r="D38" i="2"/>
  <c r="C38" i="2"/>
  <c r="B38" i="2"/>
  <c r="A38" i="2"/>
  <c r="AX37" i="2"/>
  <c r="AW37" i="2"/>
  <c r="AV37" i="2"/>
  <c r="AU37" i="2"/>
  <c r="AT37" i="2"/>
  <c r="AS37" i="2"/>
  <c r="AR37" i="2"/>
  <c r="AO37" i="2"/>
  <c r="AN37" i="2"/>
  <c r="AM37" i="2"/>
  <c r="AL37" i="2"/>
  <c r="AK37" i="2"/>
  <c r="AJ37" i="2"/>
  <c r="AI37" i="2"/>
  <c r="AH37" i="2"/>
  <c r="AG37" i="2"/>
  <c r="AE37" i="2"/>
  <c r="AD37" i="2"/>
  <c r="AC37" i="2"/>
  <c r="AB37" i="2"/>
  <c r="AA37" i="2"/>
  <c r="Z37" i="2"/>
  <c r="Y37" i="2"/>
  <c r="X37" i="2"/>
  <c r="W37" i="2"/>
  <c r="V37" i="2"/>
  <c r="U37" i="2"/>
  <c r="T37" i="2"/>
  <c r="S37" i="2"/>
  <c r="R37" i="2"/>
  <c r="Q37" i="2"/>
  <c r="P37" i="2"/>
  <c r="O37" i="2"/>
  <c r="N37" i="2"/>
  <c r="M37" i="2"/>
  <c r="L37" i="2"/>
  <c r="K37" i="2"/>
  <c r="J37" i="2"/>
  <c r="I37" i="2"/>
  <c r="H37" i="2"/>
  <c r="G37" i="2"/>
  <c r="F37" i="2"/>
  <c r="E37" i="2"/>
  <c r="D37" i="2"/>
  <c r="C37" i="2"/>
  <c r="B37" i="2"/>
  <c r="A37" i="2"/>
  <c r="AX36" i="2"/>
  <c r="AW36" i="2"/>
  <c r="AV36" i="2"/>
  <c r="AU36" i="2"/>
  <c r="AT36" i="2"/>
  <c r="AS36" i="2"/>
  <c r="AR36" i="2"/>
  <c r="AP36" i="2"/>
  <c r="AO36" i="2"/>
  <c r="AN36" i="2"/>
  <c r="AM36" i="2"/>
  <c r="AK36" i="2"/>
  <c r="AJ36" i="2"/>
  <c r="AI36" i="2"/>
  <c r="AH36" i="2"/>
  <c r="AG36" i="2"/>
  <c r="AD36" i="2"/>
  <c r="AC36" i="2"/>
  <c r="AB36" i="2"/>
  <c r="AA36" i="2"/>
  <c r="Z36" i="2"/>
  <c r="Y36" i="2"/>
  <c r="X36" i="2"/>
  <c r="W36" i="2"/>
  <c r="V36" i="2"/>
  <c r="U36" i="2"/>
  <c r="T36" i="2"/>
  <c r="S36" i="2"/>
  <c r="R36" i="2"/>
  <c r="Q36" i="2"/>
  <c r="P36" i="2"/>
  <c r="O36" i="2"/>
  <c r="N36" i="2"/>
  <c r="M36" i="2"/>
  <c r="L36" i="2"/>
  <c r="K36" i="2"/>
  <c r="J36" i="2"/>
  <c r="I36" i="2"/>
  <c r="H36" i="2"/>
  <c r="G36" i="2"/>
  <c r="F36" i="2"/>
  <c r="E36" i="2"/>
  <c r="D36" i="2"/>
  <c r="C36" i="2"/>
  <c r="B36" i="2"/>
  <c r="A36" i="2"/>
  <c r="AX35" i="2"/>
  <c r="AW35" i="2"/>
  <c r="AV35" i="2"/>
  <c r="AU35" i="2"/>
  <c r="AT35" i="2"/>
  <c r="AS35" i="2"/>
  <c r="AR35" i="2"/>
  <c r="AP35" i="2"/>
  <c r="AO35" i="2"/>
  <c r="AN35" i="2"/>
  <c r="AM35" i="2"/>
  <c r="AL35" i="2"/>
  <c r="AK35" i="2"/>
  <c r="AJ35" i="2"/>
  <c r="AI35" i="2"/>
  <c r="AH35" i="2"/>
  <c r="AG35" i="2"/>
  <c r="AE35" i="2"/>
  <c r="AD35" i="2"/>
  <c r="AC35" i="2"/>
  <c r="AB35" i="2"/>
  <c r="AA35" i="2"/>
  <c r="Z35" i="2"/>
  <c r="Y35" i="2"/>
  <c r="X35" i="2"/>
  <c r="W35" i="2"/>
  <c r="V35" i="2"/>
  <c r="U35" i="2"/>
  <c r="T35" i="2"/>
  <c r="S35" i="2"/>
  <c r="R35" i="2"/>
  <c r="Q35" i="2"/>
  <c r="P35" i="2"/>
  <c r="O35" i="2"/>
  <c r="N35" i="2"/>
  <c r="M35" i="2"/>
  <c r="L35" i="2"/>
  <c r="K35" i="2"/>
  <c r="J35" i="2"/>
  <c r="I35" i="2"/>
  <c r="H35" i="2"/>
  <c r="G35" i="2"/>
  <c r="F35" i="2"/>
  <c r="E35" i="2"/>
  <c r="D35" i="2"/>
  <c r="C35" i="2"/>
  <c r="B35" i="2"/>
  <c r="A35" i="2"/>
  <c r="AX34" i="2"/>
  <c r="AW34" i="2"/>
  <c r="AV34" i="2"/>
  <c r="AU34" i="2"/>
  <c r="AT34" i="2"/>
  <c r="AS34" i="2"/>
  <c r="AR34" i="2"/>
  <c r="AP34" i="2"/>
  <c r="AO34" i="2"/>
  <c r="AN34" i="2"/>
  <c r="AM34" i="2"/>
  <c r="AL34" i="2"/>
  <c r="AK34" i="2"/>
  <c r="AJ34" i="2"/>
  <c r="AI34" i="2"/>
  <c r="AH34" i="2"/>
  <c r="AG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34" i="2"/>
  <c r="A34" i="2"/>
  <c r="AX33" i="2"/>
  <c r="AV33" i="2"/>
  <c r="AU33" i="2"/>
  <c r="AT33" i="2"/>
  <c r="AS33" i="2"/>
  <c r="AR33" i="2"/>
  <c r="AO33" i="2"/>
  <c r="AN33" i="2"/>
  <c r="AM33" i="2"/>
  <c r="AL33" i="2"/>
  <c r="AK33" i="2"/>
  <c r="AJ33" i="2"/>
  <c r="AI33" i="2"/>
  <c r="AH33" i="2"/>
  <c r="AG33" i="2"/>
  <c r="AE33" i="2"/>
  <c r="AD33" i="2"/>
  <c r="AC33" i="2"/>
  <c r="AB33" i="2"/>
  <c r="AA33" i="2"/>
  <c r="Z33" i="2"/>
  <c r="Y33" i="2"/>
  <c r="X33" i="2"/>
  <c r="W33" i="2"/>
  <c r="V33" i="2"/>
  <c r="U33" i="2"/>
  <c r="T33" i="2"/>
  <c r="S33" i="2"/>
  <c r="R33" i="2"/>
  <c r="Q33" i="2"/>
  <c r="P33" i="2"/>
  <c r="O33" i="2"/>
  <c r="N33" i="2"/>
  <c r="M33" i="2"/>
  <c r="L33" i="2"/>
  <c r="K33" i="2"/>
  <c r="J33" i="2"/>
  <c r="I33" i="2"/>
  <c r="H33" i="2"/>
  <c r="G33" i="2"/>
  <c r="F33" i="2"/>
  <c r="E33" i="2"/>
  <c r="D33" i="2"/>
  <c r="C33" i="2"/>
  <c r="B33" i="2"/>
  <c r="A33" i="2"/>
  <c r="AX32" i="2"/>
  <c r="AW32" i="2"/>
  <c r="AV32" i="2"/>
  <c r="AU32" i="2"/>
  <c r="AS32" i="2"/>
  <c r="AO32" i="2"/>
  <c r="AM32" i="2"/>
  <c r="AL32" i="2"/>
  <c r="AK32" i="2"/>
  <c r="AJ32" i="2"/>
  <c r="AI32" i="2"/>
  <c r="AH32" i="2"/>
  <c r="AG32" i="2"/>
  <c r="AE32" i="2"/>
  <c r="Z32" i="2"/>
  <c r="Y32" i="2"/>
  <c r="X32" i="2"/>
  <c r="W32" i="2"/>
  <c r="V32" i="2"/>
  <c r="U32" i="2"/>
  <c r="R32" i="2"/>
  <c r="Q32" i="2"/>
  <c r="P32" i="2"/>
  <c r="O32" i="2"/>
  <c r="N32" i="2"/>
  <c r="M32" i="2"/>
  <c r="L32" i="2"/>
  <c r="K32" i="2"/>
  <c r="J32" i="2"/>
  <c r="I32" i="2"/>
  <c r="H32" i="2"/>
  <c r="G32" i="2"/>
  <c r="F32" i="2"/>
  <c r="E32" i="2"/>
  <c r="D32" i="2"/>
  <c r="C32" i="2"/>
  <c r="B32" i="2"/>
  <c r="A32" i="2"/>
  <c r="AX31" i="2"/>
  <c r="AW31" i="2"/>
  <c r="AV31" i="2"/>
  <c r="AU31" i="2"/>
  <c r="AT31" i="2"/>
  <c r="AS31" i="2"/>
  <c r="AR31" i="2"/>
  <c r="AO31" i="2"/>
  <c r="AN31" i="2"/>
  <c r="AM31" i="2"/>
  <c r="AL31" i="2"/>
  <c r="AK31" i="2"/>
  <c r="AJ31" i="2"/>
  <c r="AI31" i="2"/>
  <c r="AH31" i="2"/>
  <c r="AG31" i="2"/>
  <c r="AE31" i="2"/>
  <c r="AC31" i="2"/>
  <c r="AB31" i="2"/>
  <c r="AA31" i="2"/>
  <c r="Z31" i="2"/>
  <c r="Y31" i="2"/>
  <c r="X31" i="2"/>
  <c r="W31" i="2"/>
  <c r="V31" i="2"/>
  <c r="U31" i="2"/>
  <c r="T31" i="2"/>
  <c r="S31" i="2"/>
  <c r="R31" i="2"/>
  <c r="Q31" i="2"/>
  <c r="P31" i="2"/>
  <c r="O31" i="2"/>
  <c r="N31" i="2"/>
  <c r="M31" i="2"/>
  <c r="L31" i="2"/>
  <c r="K31" i="2"/>
  <c r="J31" i="2"/>
  <c r="I31" i="2"/>
  <c r="H31" i="2"/>
  <c r="G31" i="2"/>
  <c r="F31" i="2"/>
  <c r="E31" i="2"/>
  <c r="D31" i="2"/>
  <c r="C31" i="2"/>
  <c r="B31" i="2"/>
  <c r="A31" i="2"/>
  <c r="AX30" i="2"/>
  <c r="AW30" i="2"/>
  <c r="AV30" i="2"/>
  <c r="AU30" i="2"/>
  <c r="AT30" i="2"/>
  <c r="AS30" i="2"/>
  <c r="AR30" i="2"/>
  <c r="AO30" i="2"/>
  <c r="AN30" i="2"/>
  <c r="AM30" i="2"/>
  <c r="AL30" i="2"/>
  <c r="AK30" i="2"/>
  <c r="AJ30" i="2"/>
  <c r="AI30" i="2"/>
  <c r="AH30" i="2"/>
  <c r="AG30" i="2"/>
  <c r="AE30" i="2"/>
  <c r="AD30" i="2"/>
  <c r="AC30" i="2"/>
  <c r="AB30" i="2"/>
  <c r="AA30" i="2"/>
  <c r="Z30" i="2"/>
  <c r="Y30" i="2"/>
  <c r="X30" i="2"/>
  <c r="W30" i="2"/>
  <c r="V30" i="2"/>
  <c r="U30" i="2"/>
  <c r="T30" i="2"/>
  <c r="S30" i="2"/>
  <c r="R30" i="2"/>
  <c r="Q30" i="2"/>
  <c r="P30" i="2"/>
  <c r="O30" i="2"/>
  <c r="N30" i="2"/>
  <c r="M30" i="2"/>
  <c r="L30" i="2"/>
  <c r="K30" i="2"/>
  <c r="J30" i="2"/>
  <c r="I30" i="2"/>
  <c r="H30" i="2"/>
  <c r="G30" i="2"/>
  <c r="F30" i="2"/>
  <c r="E30" i="2"/>
  <c r="D30" i="2"/>
  <c r="C30" i="2"/>
  <c r="B30" i="2"/>
  <c r="A30" i="2"/>
  <c r="AX29" i="2"/>
  <c r="AW29" i="2"/>
  <c r="AV29" i="2"/>
  <c r="AU29" i="2"/>
  <c r="AT29" i="2"/>
  <c r="AS29" i="2"/>
  <c r="AR29" i="2"/>
  <c r="AO29" i="2"/>
  <c r="AN29" i="2"/>
  <c r="AM29" i="2"/>
  <c r="AK29" i="2"/>
  <c r="AJ29" i="2"/>
  <c r="AI29" i="2"/>
  <c r="AH29" i="2"/>
  <c r="AG29" i="2"/>
  <c r="AF29" i="2"/>
  <c r="AE29" i="2"/>
  <c r="AD29" i="2"/>
  <c r="AC29" i="2"/>
  <c r="AB29" i="2"/>
  <c r="AA29" i="2"/>
  <c r="Z29" i="2"/>
  <c r="Y29" i="2"/>
  <c r="X29" i="2"/>
  <c r="W29" i="2"/>
  <c r="V29" i="2"/>
  <c r="U29" i="2"/>
  <c r="T29" i="2"/>
  <c r="S29" i="2"/>
  <c r="R29" i="2"/>
  <c r="Q29" i="2"/>
  <c r="P29" i="2"/>
  <c r="O29" i="2"/>
  <c r="N29" i="2"/>
  <c r="M29" i="2"/>
  <c r="L29" i="2"/>
  <c r="K29" i="2"/>
  <c r="J29" i="2"/>
  <c r="I29" i="2"/>
  <c r="H29" i="2"/>
  <c r="G29" i="2"/>
  <c r="F29" i="2"/>
  <c r="E29" i="2"/>
  <c r="D29" i="2"/>
  <c r="C29" i="2"/>
  <c r="B29" i="2"/>
  <c r="A29" i="2"/>
  <c r="AX28" i="2"/>
  <c r="AW28" i="2"/>
  <c r="AV28" i="2"/>
  <c r="AU28" i="2"/>
  <c r="AT28" i="2"/>
  <c r="AS28" i="2"/>
  <c r="AR28" i="2"/>
  <c r="AO28" i="2"/>
  <c r="AN28" i="2"/>
  <c r="AM28" i="2"/>
  <c r="AK28" i="2"/>
  <c r="AJ28" i="2"/>
  <c r="AI28" i="2"/>
  <c r="AH28" i="2"/>
  <c r="AG28" i="2"/>
  <c r="AD28" i="2"/>
  <c r="AC28" i="2"/>
  <c r="AB28" i="2"/>
  <c r="AA28" i="2"/>
  <c r="Z28" i="2"/>
  <c r="Y28" i="2"/>
  <c r="X28" i="2"/>
  <c r="W28" i="2"/>
  <c r="V28" i="2"/>
  <c r="U28" i="2"/>
  <c r="T28" i="2"/>
  <c r="S28" i="2"/>
  <c r="R28" i="2"/>
  <c r="Q28" i="2"/>
  <c r="P28" i="2"/>
  <c r="O28" i="2"/>
  <c r="N28" i="2"/>
  <c r="M28" i="2"/>
  <c r="L28" i="2"/>
  <c r="K28" i="2"/>
  <c r="J28" i="2"/>
  <c r="I28" i="2"/>
  <c r="H28" i="2"/>
  <c r="G28" i="2"/>
  <c r="F28" i="2"/>
  <c r="E28" i="2"/>
  <c r="D28" i="2"/>
  <c r="C28" i="2"/>
  <c r="B28" i="2"/>
  <c r="A28" i="2"/>
  <c r="AX27" i="2"/>
  <c r="AW27" i="2"/>
  <c r="AV27" i="2"/>
  <c r="AU27" i="2"/>
  <c r="AT27" i="2"/>
  <c r="AS27" i="2"/>
  <c r="AR27" i="2"/>
  <c r="AP27" i="2"/>
  <c r="AO27" i="2"/>
  <c r="AN27" i="2"/>
  <c r="AM27" i="2"/>
  <c r="AL27" i="2"/>
  <c r="AK27" i="2"/>
  <c r="AI27" i="2"/>
  <c r="AH27" i="2"/>
  <c r="AG27" i="2"/>
  <c r="AE27" i="2"/>
  <c r="AD27" i="2"/>
  <c r="AC27" i="2"/>
  <c r="AB27" i="2"/>
  <c r="AA27" i="2"/>
  <c r="Z27" i="2"/>
  <c r="Y27" i="2"/>
  <c r="W27" i="2"/>
  <c r="V27" i="2"/>
  <c r="U27" i="2"/>
  <c r="T27" i="2"/>
  <c r="S27" i="2"/>
  <c r="R27" i="2"/>
  <c r="Q27" i="2"/>
  <c r="P27" i="2"/>
  <c r="O27" i="2"/>
  <c r="N27" i="2"/>
  <c r="M27" i="2"/>
  <c r="L27" i="2"/>
  <c r="K27" i="2"/>
  <c r="J27" i="2"/>
  <c r="I27" i="2"/>
  <c r="H27" i="2"/>
  <c r="G27" i="2"/>
  <c r="F27" i="2"/>
  <c r="E27" i="2"/>
  <c r="D27" i="2"/>
  <c r="C27" i="2"/>
  <c r="B27" i="2"/>
  <c r="A27" i="2"/>
  <c r="AX26" i="2"/>
  <c r="AW26" i="2"/>
  <c r="AV26" i="2"/>
  <c r="AU26" i="2"/>
  <c r="AT26" i="2"/>
  <c r="AS26" i="2"/>
  <c r="AR26" i="2"/>
  <c r="AP26" i="2"/>
  <c r="AN26" i="2"/>
  <c r="AM26" i="2"/>
  <c r="AL26" i="2"/>
  <c r="AK26" i="2"/>
  <c r="AI26" i="2"/>
  <c r="AH26" i="2"/>
  <c r="AG26" i="2"/>
  <c r="AE26" i="2"/>
  <c r="AD26" i="2"/>
  <c r="AC26" i="2"/>
  <c r="AB26" i="2"/>
  <c r="AA26" i="2"/>
  <c r="Z26" i="2"/>
  <c r="Y26" i="2"/>
  <c r="X26" i="2"/>
  <c r="W26" i="2"/>
  <c r="V26" i="2"/>
  <c r="U26" i="2"/>
  <c r="T26" i="2"/>
  <c r="S26" i="2"/>
  <c r="R26" i="2"/>
  <c r="Q26" i="2"/>
  <c r="P26" i="2"/>
  <c r="O26" i="2"/>
  <c r="N26" i="2"/>
  <c r="M26" i="2"/>
  <c r="L26" i="2"/>
  <c r="K26" i="2"/>
  <c r="J26" i="2"/>
  <c r="I26" i="2"/>
  <c r="H26" i="2"/>
  <c r="G26" i="2"/>
  <c r="F26" i="2"/>
  <c r="E26" i="2"/>
  <c r="D26" i="2"/>
  <c r="C26" i="2"/>
  <c r="B26" i="2"/>
  <c r="A26" i="2"/>
  <c r="AX25" i="2"/>
  <c r="AW25" i="2"/>
  <c r="AV25" i="2"/>
  <c r="AU25" i="2"/>
  <c r="AT25" i="2"/>
  <c r="AS25" i="2"/>
  <c r="AR25" i="2"/>
  <c r="AO25" i="2"/>
  <c r="AN25" i="2"/>
  <c r="AM25" i="2"/>
  <c r="AL25" i="2"/>
  <c r="AK25" i="2"/>
  <c r="AJ25" i="2"/>
  <c r="AI25" i="2"/>
  <c r="AH25" i="2"/>
  <c r="AG25" i="2"/>
  <c r="AE25" i="2"/>
  <c r="AD25" i="2"/>
  <c r="AC25" i="2"/>
  <c r="AB25" i="2"/>
  <c r="AA25" i="2"/>
  <c r="Z25" i="2"/>
  <c r="Y25" i="2"/>
  <c r="X25" i="2"/>
  <c r="W25" i="2"/>
  <c r="V25" i="2"/>
  <c r="U25" i="2"/>
  <c r="T25" i="2"/>
  <c r="S25" i="2"/>
  <c r="R25" i="2"/>
  <c r="Q25" i="2"/>
  <c r="P25" i="2"/>
  <c r="O25" i="2"/>
  <c r="N25" i="2"/>
  <c r="M25" i="2"/>
  <c r="L25" i="2"/>
  <c r="K25" i="2"/>
  <c r="J25" i="2"/>
  <c r="I25" i="2"/>
  <c r="H25" i="2"/>
  <c r="G25" i="2"/>
  <c r="F25" i="2"/>
  <c r="E25" i="2"/>
  <c r="D25" i="2"/>
  <c r="C25" i="2"/>
  <c r="B25" i="2"/>
  <c r="A25" i="2"/>
  <c r="AX24" i="2"/>
  <c r="AW24" i="2"/>
  <c r="AV24" i="2"/>
  <c r="AU24" i="2"/>
  <c r="AT24" i="2"/>
  <c r="AS24" i="2"/>
  <c r="AR24" i="2"/>
  <c r="AQ24" i="2"/>
  <c r="AP24" i="2"/>
  <c r="AO24" i="2"/>
  <c r="AN24" i="2"/>
  <c r="AM24" i="2"/>
  <c r="AK24" i="2"/>
  <c r="AJ24" i="2"/>
  <c r="AI24" i="2"/>
  <c r="AH24" i="2"/>
  <c r="AG24" i="2"/>
  <c r="AE24" i="2"/>
  <c r="AD24" i="2"/>
  <c r="AC24" i="2"/>
  <c r="AB24" i="2"/>
  <c r="AA24" i="2"/>
  <c r="Z24" i="2"/>
  <c r="Y24" i="2"/>
  <c r="X24" i="2"/>
  <c r="W24" i="2"/>
  <c r="V24" i="2"/>
  <c r="U24" i="2"/>
  <c r="T24" i="2"/>
  <c r="S24" i="2"/>
  <c r="R24" i="2"/>
  <c r="Q24" i="2"/>
  <c r="P24" i="2"/>
  <c r="O24" i="2"/>
  <c r="N24" i="2"/>
  <c r="M24" i="2"/>
  <c r="L24" i="2"/>
  <c r="K24" i="2"/>
  <c r="J24" i="2"/>
  <c r="I24" i="2"/>
  <c r="H24" i="2"/>
  <c r="G24" i="2"/>
  <c r="F24" i="2"/>
  <c r="E24" i="2"/>
  <c r="D24" i="2"/>
  <c r="C24" i="2"/>
  <c r="B24" i="2"/>
  <c r="A24" i="2"/>
  <c r="AX23" i="2"/>
  <c r="AW23" i="2"/>
  <c r="AV23" i="2"/>
  <c r="AU23" i="2"/>
  <c r="AT23" i="2"/>
  <c r="AS23" i="2"/>
  <c r="AR23" i="2"/>
  <c r="AO23" i="2"/>
  <c r="AN23" i="2"/>
  <c r="AM23" i="2"/>
  <c r="AK23" i="2"/>
  <c r="AJ23" i="2"/>
  <c r="AI23" i="2"/>
  <c r="AH23" i="2"/>
  <c r="AG23" i="2"/>
  <c r="AD23" i="2"/>
  <c r="AC23" i="2"/>
  <c r="AB23" i="2"/>
  <c r="AA23" i="2"/>
  <c r="Z23" i="2"/>
  <c r="Y23" i="2"/>
  <c r="X23" i="2"/>
  <c r="V23" i="2"/>
  <c r="U23" i="2"/>
  <c r="T23" i="2"/>
  <c r="S23" i="2"/>
  <c r="R23" i="2"/>
  <c r="Q23" i="2"/>
  <c r="P23" i="2"/>
  <c r="O23" i="2"/>
  <c r="N23" i="2"/>
  <c r="M23" i="2"/>
  <c r="L23" i="2"/>
  <c r="K23" i="2"/>
  <c r="J23" i="2"/>
  <c r="I23" i="2"/>
  <c r="H23" i="2"/>
  <c r="G23" i="2"/>
  <c r="F23" i="2"/>
  <c r="E23" i="2"/>
  <c r="D23" i="2"/>
  <c r="C23" i="2"/>
  <c r="B23" i="2"/>
  <c r="A23" i="2"/>
  <c r="AX22" i="2"/>
  <c r="AW22" i="2"/>
  <c r="AV22" i="2"/>
  <c r="AU22" i="2"/>
  <c r="AT22" i="2"/>
  <c r="AS22" i="2"/>
  <c r="AR22" i="2"/>
  <c r="AO22" i="2"/>
  <c r="AN22" i="2"/>
  <c r="AM22" i="2"/>
  <c r="AL22" i="2"/>
  <c r="AJ22" i="2"/>
  <c r="AI22" i="2"/>
  <c r="AH22" i="2"/>
  <c r="AG22" i="2"/>
  <c r="AE22" i="2"/>
  <c r="AD22" i="2"/>
  <c r="AC22" i="2"/>
  <c r="AB22" i="2"/>
  <c r="AA22" i="2"/>
  <c r="Z22" i="2"/>
  <c r="Y22" i="2"/>
  <c r="X22" i="2"/>
  <c r="W22" i="2"/>
  <c r="V22" i="2"/>
  <c r="U22" i="2"/>
  <c r="T22" i="2"/>
  <c r="S22" i="2"/>
  <c r="R22" i="2"/>
  <c r="Q22" i="2"/>
  <c r="P22" i="2"/>
  <c r="O22" i="2"/>
  <c r="N22" i="2"/>
  <c r="M22" i="2"/>
  <c r="L22" i="2"/>
  <c r="K22" i="2"/>
  <c r="J22" i="2"/>
  <c r="I22" i="2"/>
  <c r="H22" i="2"/>
  <c r="G22" i="2"/>
  <c r="F22" i="2"/>
  <c r="E22" i="2"/>
  <c r="D22" i="2"/>
  <c r="C22" i="2"/>
  <c r="B22" i="2"/>
  <c r="A22" i="2"/>
  <c r="AX21" i="2"/>
  <c r="AW21" i="2"/>
  <c r="AV21" i="2"/>
  <c r="AU21" i="2"/>
  <c r="AT21" i="2"/>
  <c r="AS21" i="2"/>
  <c r="AR21" i="2"/>
  <c r="AO21" i="2"/>
  <c r="AN21" i="2"/>
  <c r="AM21" i="2"/>
  <c r="AL21" i="2"/>
  <c r="AK21" i="2"/>
  <c r="AJ21" i="2"/>
  <c r="AI21" i="2"/>
  <c r="AH21" i="2"/>
  <c r="AG21" i="2"/>
  <c r="AF21" i="2"/>
  <c r="AE21" i="2"/>
  <c r="AD21" i="2"/>
  <c r="AC21" i="2"/>
  <c r="AA21" i="2"/>
  <c r="Z21" i="2"/>
  <c r="Y21" i="2"/>
  <c r="X21" i="2"/>
  <c r="W21" i="2"/>
  <c r="V21" i="2"/>
  <c r="U21" i="2"/>
  <c r="T21" i="2"/>
  <c r="S21" i="2"/>
  <c r="R21" i="2"/>
  <c r="Q21" i="2"/>
  <c r="P21" i="2"/>
  <c r="O21" i="2"/>
  <c r="N21" i="2"/>
  <c r="M21" i="2"/>
  <c r="L21" i="2"/>
  <c r="K21" i="2"/>
  <c r="J21" i="2"/>
  <c r="I21" i="2"/>
  <c r="H21" i="2"/>
  <c r="G21" i="2"/>
  <c r="F21" i="2"/>
  <c r="E21" i="2"/>
  <c r="D21" i="2"/>
  <c r="C21" i="2"/>
  <c r="B21" i="2"/>
  <c r="A21" i="2"/>
  <c r="AX20" i="2"/>
  <c r="AW20" i="2"/>
  <c r="AV20" i="2"/>
  <c r="AU20" i="2"/>
  <c r="AT20" i="2"/>
  <c r="AS20" i="2"/>
  <c r="AR20" i="2"/>
  <c r="AO20" i="2"/>
  <c r="AN20" i="2"/>
  <c r="AM20" i="2"/>
  <c r="AL20" i="2"/>
  <c r="AK20" i="2"/>
  <c r="AJ20" i="2"/>
  <c r="AI20" i="2"/>
  <c r="AH20" i="2"/>
  <c r="AG20" i="2"/>
  <c r="AE20" i="2"/>
  <c r="AD20" i="2"/>
  <c r="AC20" i="2"/>
  <c r="AB20" i="2"/>
  <c r="AA20" i="2"/>
  <c r="Z20" i="2"/>
  <c r="Y20" i="2"/>
  <c r="X20" i="2"/>
  <c r="W20" i="2"/>
  <c r="V20" i="2"/>
  <c r="U20" i="2"/>
  <c r="T20" i="2"/>
  <c r="S20" i="2"/>
  <c r="R20" i="2"/>
  <c r="Q20" i="2"/>
  <c r="P20" i="2"/>
  <c r="O20" i="2"/>
  <c r="N20" i="2"/>
  <c r="M20" i="2"/>
  <c r="L20" i="2"/>
  <c r="K20" i="2"/>
  <c r="J20" i="2"/>
  <c r="I20" i="2"/>
  <c r="H20" i="2"/>
  <c r="G20" i="2"/>
  <c r="F20" i="2"/>
  <c r="E20" i="2"/>
  <c r="D20" i="2"/>
  <c r="C20" i="2"/>
  <c r="B20" i="2"/>
  <c r="A20" i="2"/>
  <c r="AX19" i="2"/>
  <c r="AW19" i="2"/>
  <c r="AV19" i="2"/>
  <c r="AU19" i="2"/>
  <c r="AT19" i="2"/>
  <c r="AS19" i="2"/>
  <c r="AR19" i="2"/>
  <c r="AO19" i="2"/>
  <c r="AN19" i="2"/>
  <c r="AM19" i="2"/>
  <c r="AL19" i="2"/>
  <c r="AK19" i="2"/>
  <c r="AJ19" i="2"/>
  <c r="AI19" i="2"/>
  <c r="AH19" i="2"/>
  <c r="AG19" i="2"/>
  <c r="AF19" i="2"/>
  <c r="AE19" i="2"/>
  <c r="AD19" i="2"/>
  <c r="AC19" i="2"/>
  <c r="AB19" i="2"/>
  <c r="AA19" i="2"/>
  <c r="Z19" i="2"/>
  <c r="Y19" i="2"/>
  <c r="X19" i="2"/>
  <c r="W19" i="2"/>
  <c r="V19" i="2"/>
  <c r="U19" i="2"/>
  <c r="T19" i="2"/>
  <c r="S19" i="2"/>
  <c r="R19" i="2"/>
  <c r="Q19" i="2"/>
  <c r="P19" i="2"/>
  <c r="O19" i="2"/>
  <c r="N19" i="2"/>
  <c r="M19" i="2"/>
  <c r="L19" i="2"/>
  <c r="K19" i="2"/>
  <c r="J19" i="2"/>
  <c r="I19" i="2"/>
  <c r="H19" i="2"/>
  <c r="G19" i="2"/>
  <c r="F19" i="2"/>
  <c r="E19" i="2"/>
  <c r="D19" i="2"/>
  <c r="C19" i="2"/>
  <c r="B19" i="2"/>
  <c r="A19" i="2"/>
  <c r="AX18" i="2"/>
  <c r="AW18" i="2"/>
  <c r="AV18" i="2"/>
  <c r="AU18" i="2"/>
  <c r="AT18" i="2"/>
  <c r="AS18" i="2"/>
  <c r="AR18" i="2"/>
  <c r="AO18" i="2"/>
  <c r="AN18" i="2"/>
  <c r="AM18" i="2"/>
  <c r="AK18" i="2"/>
  <c r="AJ18" i="2"/>
  <c r="AI18" i="2"/>
  <c r="AH18" i="2"/>
  <c r="AG18" i="2"/>
  <c r="AD18" i="2"/>
  <c r="AC18" i="2"/>
  <c r="AB18" i="2"/>
  <c r="AA18" i="2"/>
  <c r="Z18" i="2"/>
  <c r="Y18" i="2"/>
  <c r="X18" i="2"/>
  <c r="W18" i="2"/>
  <c r="V18" i="2"/>
  <c r="U18" i="2"/>
  <c r="T18" i="2"/>
  <c r="S18" i="2"/>
  <c r="R18" i="2"/>
  <c r="Q18" i="2"/>
  <c r="P18" i="2"/>
  <c r="O18" i="2"/>
  <c r="N18" i="2"/>
  <c r="M18" i="2"/>
  <c r="L18" i="2"/>
  <c r="K18" i="2"/>
  <c r="J18" i="2"/>
  <c r="I18" i="2"/>
  <c r="H18" i="2"/>
  <c r="G18" i="2"/>
  <c r="F18" i="2"/>
  <c r="E18" i="2"/>
  <c r="D18" i="2"/>
  <c r="C18" i="2"/>
  <c r="B18" i="2"/>
  <c r="A18" i="2"/>
  <c r="AX17" i="2"/>
  <c r="AW17" i="2"/>
  <c r="AV17" i="2"/>
  <c r="AU17" i="2"/>
  <c r="AT17" i="2"/>
  <c r="AS17" i="2"/>
  <c r="AR17" i="2"/>
  <c r="AQ17" i="2"/>
  <c r="AP17" i="2"/>
  <c r="AO17" i="2"/>
  <c r="AN17" i="2"/>
  <c r="AM17" i="2"/>
  <c r="AL17" i="2"/>
  <c r="AK17" i="2"/>
  <c r="AI17" i="2"/>
  <c r="AH17" i="2"/>
  <c r="AG17" i="2"/>
  <c r="AE17" i="2"/>
  <c r="AD17" i="2"/>
  <c r="AC17" i="2"/>
  <c r="AB17" i="2"/>
  <c r="AA17" i="2"/>
  <c r="Z17" i="2"/>
  <c r="Y17" i="2"/>
  <c r="X17" i="2"/>
  <c r="W17" i="2"/>
  <c r="V17" i="2"/>
  <c r="U17" i="2"/>
  <c r="T17" i="2"/>
  <c r="S17" i="2"/>
  <c r="R17" i="2"/>
  <c r="Q17" i="2"/>
  <c r="P17" i="2"/>
  <c r="O17" i="2"/>
  <c r="N17" i="2"/>
  <c r="M17" i="2"/>
  <c r="L17" i="2"/>
  <c r="K17" i="2"/>
  <c r="J17" i="2"/>
  <c r="I17" i="2"/>
  <c r="H17" i="2"/>
  <c r="G17" i="2"/>
  <c r="F17" i="2"/>
  <c r="E17" i="2"/>
  <c r="D17" i="2"/>
  <c r="C17" i="2"/>
  <c r="B17" i="2"/>
  <c r="A17" i="2"/>
  <c r="AX16" i="2"/>
  <c r="AW16" i="2"/>
  <c r="AV16" i="2"/>
  <c r="AU16" i="2"/>
  <c r="AT16" i="2"/>
  <c r="AS16" i="2"/>
  <c r="AR16" i="2"/>
  <c r="AO16" i="2"/>
  <c r="AN16" i="2"/>
  <c r="AM16" i="2"/>
  <c r="AL16" i="2"/>
  <c r="AK16" i="2"/>
  <c r="AJ16" i="2"/>
  <c r="AI16" i="2"/>
  <c r="AH16" i="2"/>
  <c r="AG16" i="2"/>
  <c r="AD16" i="2"/>
  <c r="AC16" i="2"/>
  <c r="AB16" i="2"/>
  <c r="AA16" i="2"/>
  <c r="Z16" i="2"/>
  <c r="Y16" i="2"/>
  <c r="X16" i="2"/>
  <c r="U16" i="2"/>
  <c r="T16" i="2"/>
  <c r="S16" i="2"/>
  <c r="R16" i="2"/>
  <c r="Q16" i="2"/>
  <c r="P16" i="2"/>
  <c r="O16" i="2"/>
  <c r="N16" i="2"/>
  <c r="M16" i="2"/>
  <c r="L16" i="2"/>
  <c r="K16" i="2"/>
  <c r="J16" i="2"/>
  <c r="I16" i="2"/>
  <c r="H16" i="2"/>
  <c r="G16" i="2"/>
  <c r="F16" i="2"/>
  <c r="E16" i="2"/>
  <c r="D16" i="2"/>
  <c r="C16" i="2"/>
  <c r="B16" i="2"/>
  <c r="A16" i="2"/>
  <c r="AX15" i="2"/>
  <c r="AW15" i="2"/>
  <c r="AV15" i="2"/>
  <c r="AU15" i="2"/>
  <c r="AT15" i="2"/>
  <c r="AR15" i="2"/>
  <c r="AO15" i="2"/>
  <c r="AN15" i="2"/>
  <c r="AM15" i="2"/>
  <c r="AK15" i="2"/>
  <c r="AJ15" i="2"/>
  <c r="AI15" i="2"/>
  <c r="AH15" i="2"/>
  <c r="AG15" i="2"/>
  <c r="AC15" i="2"/>
  <c r="Z15" i="2"/>
  <c r="Y15" i="2"/>
  <c r="X15" i="2"/>
  <c r="W15" i="2"/>
  <c r="V15" i="2"/>
  <c r="U15" i="2"/>
  <c r="T15" i="2"/>
  <c r="S15" i="2"/>
  <c r="R15" i="2"/>
  <c r="Q15" i="2"/>
  <c r="P15" i="2"/>
  <c r="O15" i="2"/>
  <c r="N15" i="2"/>
  <c r="M15" i="2"/>
  <c r="L15" i="2"/>
  <c r="K15" i="2"/>
  <c r="J15" i="2"/>
  <c r="I15" i="2"/>
  <c r="H15" i="2"/>
  <c r="G15" i="2"/>
  <c r="F15" i="2"/>
  <c r="E15" i="2"/>
  <c r="D15" i="2"/>
  <c r="C15" i="2"/>
  <c r="B15" i="2"/>
  <c r="A15" i="2"/>
  <c r="AX14" i="2"/>
  <c r="AW14" i="2"/>
  <c r="AV14" i="2"/>
  <c r="AU14" i="2"/>
  <c r="AT14" i="2"/>
  <c r="AS14" i="2"/>
  <c r="AR14" i="2"/>
  <c r="AO14" i="2"/>
  <c r="AN14" i="2"/>
  <c r="AM14" i="2"/>
  <c r="AK14" i="2"/>
  <c r="AJ14" i="2"/>
  <c r="AI14" i="2"/>
  <c r="AH14" i="2"/>
  <c r="AG14" i="2"/>
  <c r="AC14" i="2"/>
  <c r="Z14" i="2"/>
  <c r="Y14" i="2"/>
  <c r="X14" i="2"/>
  <c r="W14" i="2"/>
  <c r="V14" i="2"/>
  <c r="U14" i="2"/>
  <c r="T14" i="2"/>
  <c r="S14" i="2"/>
  <c r="R14" i="2"/>
  <c r="Q14" i="2"/>
  <c r="P14" i="2"/>
  <c r="O14" i="2"/>
  <c r="N14" i="2"/>
  <c r="M14" i="2"/>
  <c r="L14" i="2"/>
  <c r="K14" i="2"/>
  <c r="J14" i="2"/>
  <c r="I14" i="2"/>
  <c r="H14" i="2"/>
  <c r="G14" i="2"/>
  <c r="F14" i="2"/>
  <c r="E14" i="2"/>
  <c r="D14" i="2"/>
  <c r="C14" i="2"/>
  <c r="B14" i="2"/>
  <c r="A14" i="2"/>
  <c r="AX13" i="2"/>
  <c r="AW13" i="2"/>
  <c r="AV13" i="2"/>
  <c r="AU13" i="2"/>
  <c r="AT13" i="2"/>
  <c r="AS13" i="2"/>
  <c r="AR13" i="2"/>
  <c r="AO13" i="2"/>
  <c r="AN13" i="2"/>
  <c r="AM13" i="2"/>
  <c r="AL13" i="2"/>
  <c r="AK13" i="2"/>
  <c r="AJ13" i="2"/>
  <c r="AI13" i="2"/>
  <c r="AH13" i="2"/>
  <c r="AG13" i="2"/>
  <c r="AC13" i="2"/>
  <c r="AA13" i="2"/>
  <c r="Z13" i="2"/>
  <c r="Y13" i="2"/>
  <c r="X13" i="2"/>
  <c r="W13" i="2"/>
  <c r="V13" i="2"/>
  <c r="U13" i="2"/>
  <c r="T13" i="2"/>
  <c r="S13" i="2"/>
  <c r="R13" i="2"/>
  <c r="Q13" i="2"/>
  <c r="P13" i="2"/>
  <c r="O13" i="2"/>
  <c r="N13" i="2"/>
  <c r="M13" i="2"/>
  <c r="L13" i="2"/>
  <c r="K13" i="2"/>
  <c r="J13" i="2"/>
  <c r="I13" i="2"/>
  <c r="H13" i="2"/>
  <c r="G13" i="2"/>
  <c r="F13" i="2"/>
  <c r="E13" i="2"/>
  <c r="D13" i="2"/>
  <c r="C13" i="2"/>
  <c r="B13" i="2"/>
  <c r="A13" i="2"/>
  <c r="AX12" i="2"/>
  <c r="AW12" i="2"/>
  <c r="AV12" i="2"/>
  <c r="AU12" i="2"/>
  <c r="AT12" i="2"/>
  <c r="AS12" i="2"/>
  <c r="AR12" i="2"/>
  <c r="AO12" i="2"/>
  <c r="AN12" i="2"/>
  <c r="AM12" i="2"/>
  <c r="AK12" i="2"/>
  <c r="AJ12" i="2"/>
  <c r="AI12" i="2"/>
  <c r="AH12" i="2"/>
  <c r="AG12" i="2"/>
  <c r="AF12" i="2"/>
  <c r="AE12" i="2"/>
  <c r="AD12" i="2"/>
  <c r="AC12" i="2"/>
  <c r="AB12" i="2"/>
  <c r="AA12" i="2"/>
  <c r="Z12" i="2"/>
  <c r="Y12" i="2"/>
  <c r="X12" i="2"/>
  <c r="W12" i="2"/>
  <c r="V12" i="2"/>
  <c r="U12" i="2"/>
  <c r="T12" i="2"/>
  <c r="S12" i="2"/>
  <c r="R12" i="2"/>
  <c r="Q12" i="2"/>
  <c r="P12" i="2"/>
  <c r="O12" i="2"/>
  <c r="N12" i="2"/>
  <c r="M12" i="2"/>
  <c r="L12" i="2"/>
  <c r="K12" i="2"/>
  <c r="J12" i="2"/>
  <c r="I12" i="2"/>
  <c r="H12" i="2"/>
  <c r="G12" i="2"/>
  <c r="F12" i="2"/>
  <c r="E12" i="2"/>
  <c r="D12" i="2"/>
  <c r="C12" i="2"/>
  <c r="B12" i="2"/>
  <c r="A12" i="2"/>
  <c r="AX11" i="2"/>
  <c r="AW11" i="2"/>
  <c r="AV11" i="2"/>
  <c r="AU11" i="2"/>
  <c r="AT11" i="2"/>
  <c r="AS11" i="2"/>
  <c r="AR11" i="2"/>
  <c r="AO11" i="2"/>
  <c r="AN11" i="2"/>
  <c r="AM11" i="2"/>
  <c r="AL11" i="2"/>
  <c r="AK11" i="2"/>
  <c r="AJ11" i="2"/>
  <c r="AI11" i="2"/>
  <c r="AH11" i="2"/>
  <c r="AG11" i="2"/>
  <c r="AE11" i="2"/>
  <c r="AD11" i="2"/>
  <c r="AC11" i="2"/>
  <c r="AB11" i="2"/>
  <c r="AA11" i="2"/>
  <c r="Z11" i="2"/>
  <c r="Y11" i="2"/>
  <c r="X11" i="2"/>
  <c r="W11" i="2"/>
  <c r="V11" i="2"/>
  <c r="U11" i="2"/>
  <c r="T11" i="2"/>
  <c r="S11" i="2"/>
  <c r="R11" i="2"/>
  <c r="Q11" i="2"/>
  <c r="P11" i="2"/>
  <c r="O11" i="2"/>
  <c r="N11" i="2"/>
  <c r="M11" i="2"/>
  <c r="L11" i="2"/>
  <c r="K11" i="2"/>
  <c r="J11" i="2"/>
  <c r="I11" i="2"/>
  <c r="H11" i="2"/>
  <c r="G11" i="2"/>
  <c r="F11" i="2"/>
  <c r="E11" i="2"/>
  <c r="D11" i="2"/>
  <c r="C11" i="2"/>
  <c r="B11" i="2"/>
  <c r="A11" i="2"/>
  <c r="AX10" i="2"/>
  <c r="AW10" i="2"/>
  <c r="AV10" i="2"/>
  <c r="AU10" i="2"/>
  <c r="AT10" i="2"/>
  <c r="AS10" i="2"/>
  <c r="AR10" i="2"/>
  <c r="AO10" i="2"/>
  <c r="AN10" i="2"/>
  <c r="AM10" i="2"/>
  <c r="AK10" i="2"/>
  <c r="AJ10" i="2"/>
  <c r="AI10" i="2"/>
  <c r="AH10" i="2"/>
  <c r="AG10" i="2"/>
  <c r="AE10" i="2"/>
  <c r="AD10" i="2"/>
  <c r="AC10" i="2"/>
  <c r="AB10" i="2"/>
  <c r="AA10" i="2"/>
  <c r="Z10" i="2"/>
  <c r="Y10" i="2"/>
  <c r="X10" i="2"/>
  <c r="W10" i="2"/>
  <c r="V10" i="2"/>
  <c r="U10" i="2"/>
  <c r="T10" i="2"/>
  <c r="S10" i="2"/>
  <c r="R10" i="2"/>
  <c r="Q10" i="2"/>
  <c r="P10" i="2"/>
  <c r="O10" i="2"/>
  <c r="N10" i="2"/>
  <c r="M10" i="2"/>
  <c r="L10" i="2"/>
  <c r="K10" i="2"/>
  <c r="J10" i="2"/>
  <c r="I10" i="2"/>
  <c r="H10" i="2"/>
  <c r="G10" i="2"/>
  <c r="F10" i="2"/>
  <c r="E10" i="2"/>
  <c r="D10" i="2"/>
  <c r="C10" i="2"/>
  <c r="B10" i="2"/>
  <c r="A10" i="2"/>
  <c r="AX9" i="2"/>
  <c r="AW9" i="2"/>
  <c r="AV9" i="2"/>
  <c r="AU9" i="2"/>
  <c r="AT9" i="2"/>
  <c r="AS9" i="2"/>
  <c r="AR9" i="2"/>
  <c r="AO9" i="2"/>
  <c r="AN9" i="2"/>
  <c r="AM9" i="2"/>
  <c r="AK9" i="2"/>
  <c r="AJ9" i="2"/>
  <c r="AI9" i="2"/>
  <c r="AH9" i="2"/>
  <c r="AG9" i="2"/>
  <c r="AC9" i="2"/>
  <c r="Z9" i="2"/>
  <c r="Y9" i="2"/>
  <c r="X9" i="2"/>
  <c r="W9" i="2"/>
  <c r="V9" i="2"/>
  <c r="U9" i="2"/>
  <c r="T9" i="2"/>
  <c r="S9" i="2"/>
  <c r="R9" i="2"/>
  <c r="Q9" i="2"/>
  <c r="P9" i="2"/>
  <c r="O9" i="2"/>
  <c r="N9" i="2"/>
  <c r="M9" i="2"/>
  <c r="L9" i="2"/>
  <c r="K9" i="2"/>
  <c r="J9" i="2"/>
  <c r="I9" i="2"/>
  <c r="H9" i="2"/>
  <c r="G9" i="2"/>
  <c r="F9" i="2"/>
  <c r="E9" i="2"/>
  <c r="D9" i="2"/>
  <c r="C9" i="2"/>
  <c r="B9" i="2"/>
  <c r="A9" i="2"/>
  <c r="AX8" i="2"/>
  <c r="AW8" i="2"/>
  <c r="AV8" i="2"/>
  <c r="AU8" i="2"/>
  <c r="AT8" i="2"/>
  <c r="AS8" i="2"/>
  <c r="AR8" i="2"/>
  <c r="AP8" i="2"/>
  <c r="AO8" i="2"/>
  <c r="AN8" i="2"/>
  <c r="AM8" i="2"/>
  <c r="AK8" i="2"/>
  <c r="AJ8" i="2"/>
  <c r="AI8" i="2"/>
  <c r="AH8" i="2"/>
  <c r="AG8" i="2"/>
  <c r="AF8" i="2"/>
  <c r="AE8" i="2"/>
  <c r="AD8" i="2"/>
  <c r="AC8" i="2"/>
  <c r="AB8" i="2"/>
  <c r="AA8" i="2"/>
  <c r="Z8" i="2"/>
  <c r="Y8" i="2"/>
  <c r="X8" i="2"/>
  <c r="W8" i="2"/>
  <c r="V8" i="2"/>
  <c r="U8" i="2"/>
  <c r="T8" i="2"/>
  <c r="S8" i="2"/>
  <c r="R8" i="2"/>
  <c r="Q8" i="2"/>
  <c r="P8" i="2"/>
  <c r="O8" i="2"/>
  <c r="N8" i="2"/>
  <c r="M8" i="2"/>
  <c r="L8" i="2"/>
  <c r="K8" i="2"/>
  <c r="J8" i="2"/>
  <c r="I8" i="2"/>
  <c r="H8" i="2"/>
  <c r="G8" i="2"/>
  <c r="F8" i="2"/>
  <c r="E8" i="2"/>
  <c r="D8" i="2"/>
  <c r="C8" i="2"/>
  <c r="B8" i="2"/>
  <c r="A8" i="2"/>
  <c r="AX7" i="2"/>
  <c r="AW7" i="2"/>
  <c r="AV7" i="2"/>
  <c r="AU7" i="2"/>
  <c r="AT7" i="2"/>
  <c r="AS7" i="2"/>
  <c r="AR7" i="2"/>
  <c r="AP7" i="2"/>
  <c r="AO7" i="2"/>
  <c r="AN7" i="2"/>
  <c r="AM7" i="2"/>
  <c r="AK7" i="2"/>
  <c r="AJ7" i="2"/>
  <c r="AI7" i="2"/>
  <c r="AH7" i="2"/>
  <c r="AG7" i="2"/>
  <c r="AE7" i="2"/>
  <c r="AD7" i="2"/>
  <c r="AC7" i="2"/>
  <c r="AB7" i="2"/>
  <c r="Z7" i="2"/>
  <c r="Y7" i="2"/>
  <c r="X7" i="2"/>
  <c r="W7" i="2"/>
  <c r="V7" i="2"/>
  <c r="U7" i="2"/>
  <c r="T7" i="2"/>
  <c r="S7" i="2"/>
  <c r="R7" i="2"/>
  <c r="Q7" i="2"/>
  <c r="P7" i="2"/>
  <c r="O7" i="2"/>
  <c r="N7" i="2"/>
  <c r="M7" i="2"/>
  <c r="L7" i="2"/>
  <c r="K7" i="2"/>
  <c r="J7" i="2"/>
  <c r="I7" i="2"/>
  <c r="H7" i="2"/>
  <c r="G7" i="2"/>
  <c r="F7" i="2"/>
  <c r="E7" i="2"/>
  <c r="D7" i="2"/>
  <c r="C7" i="2"/>
  <c r="B7" i="2"/>
  <c r="A7" i="2"/>
  <c r="AX6" i="2"/>
  <c r="AV6" i="2"/>
  <c r="AU6" i="2"/>
  <c r="AT6" i="2"/>
  <c r="AS6" i="2"/>
  <c r="AR6" i="2"/>
  <c r="AO6" i="2"/>
  <c r="AN6" i="2"/>
  <c r="AM6" i="2"/>
  <c r="AK6" i="2"/>
  <c r="AJ6" i="2"/>
  <c r="AI6" i="2"/>
  <c r="AH6" i="2"/>
  <c r="AG6" i="2"/>
  <c r="AF6" i="2"/>
  <c r="AE6" i="2"/>
  <c r="AD6" i="2"/>
  <c r="AC6" i="2"/>
  <c r="AB6" i="2"/>
  <c r="AA6" i="2"/>
  <c r="Z6" i="2"/>
  <c r="Y6" i="2"/>
  <c r="X6" i="2"/>
  <c r="W6" i="2"/>
  <c r="V6" i="2"/>
  <c r="U6" i="2"/>
  <c r="T6" i="2"/>
  <c r="S6" i="2"/>
  <c r="Q6" i="2"/>
  <c r="P6" i="2"/>
  <c r="O6" i="2"/>
  <c r="N6" i="2"/>
  <c r="M6" i="2"/>
  <c r="L6" i="2"/>
  <c r="K6" i="2"/>
  <c r="J6" i="2"/>
  <c r="I6" i="2"/>
  <c r="H6" i="2"/>
  <c r="G6" i="2"/>
  <c r="F6" i="2"/>
  <c r="E6" i="2"/>
  <c r="D6" i="2"/>
  <c r="C6" i="2"/>
  <c r="B6" i="2"/>
  <c r="A6" i="2"/>
  <c r="AX5" i="2"/>
  <c r="AW5" i="2"/>
  <c r="AV5" i="2"/>
  <c r="AU5" i="2"/>
  <c r="AT5" i="2"/>
  <c r="AS5" i="2"/>
  <c r="AR5" i="2"/>
  <c r="AO5" i="2"/>
  <c r="AN5" i="2"/>
  <c r="AM5" i="2"/>
  <c r="AK5" i="2"/>
  <c r="AJ5" i="2"/>
  <c r="AI5" i="2"/>
  <c r="AH5" i="2"/>
  <c r="AG5" i="2"/>
  <c r="AD5" i="2"/>
  <c r="AC5" i="2"/>
  <c r="Z5" i="2"/>
  <c r="Y5" i="2"/>
  <c r="X5" i="2"/>
  <c r="W5" i="2"/>
  <c r="V5" i="2"/>
  <c r="U5" i="2"/>
  <c r="T5" i="2"/>
  <c r="S5" i="2"/>
  <c r="R5" i="2"/>
  <c r="Q5" i="2"/>
  <c r="P5" i="2"/>
  <c r="O5" i="2"/>
  <c r="N5" i="2"/>
  <c r="M5" i="2"/>
  <c r="L5" i="2"/>
  <c r="K5" i="2"/>
  <c r="J5" i="2"/>
  <c r="I5" i="2"/>
  <c r="H5" i="2"/>
  <c r="G5" i="2"/>
  <c r="F5" i="2"/>
  <c r="E5" i="2"/>
  <c r="D5" i="2"/>
  <c r="C5" i="2"/>
  <c r="B5" i="2"/>
  <c r="A5" i="2"/>
  <c r="AX4" i="2"/>
  <c r="AW4" i="2"/>
  <c r="AV4" i="2"/>
  <c r="AU4" i="2"/>
  <c r="AT4" i="2"/>
  <c r="AS4" i="2"/>
  <c r="AR4" i="2"/>
  <c r="AO4" i="2"/>
  <c r="AN4" i="2"/>
  <c r="AM4" i="2"/>
  <c r="AL4" i="2"/>
  <c r="AK4" i="2"/>
  <c r="AJ4" i="2"/>
  <c r="AI4" i="2"/>
  <c r="AH4" i="2"/>
  <c r="AG4" i="2"/>
  <c r="AE4" i="2"/>
  <c r="AD4" i="2"/>
  <c r="AC4" i="2"/>
  <c r="AB4" i="2"/>
  <c r="AA4" i="2"/>
  <c r="Z4" i="2"/>
  <c r="Y4" i="2"/>
  <c r="X4" i="2"/>
  <c r="W4" i="2"/>
  <c r="V4" i="2"/>
  <c r="U4" i="2"/>
  <c r="T4" i="2"/>
  <c r="S4" i="2"/>
  <c r="R4" i="2"/>
  <c r="Q4" i="2"/>
  <c r="P4" i="2"/>
  <c r="O4" i="2"/>
  <c r="N4" i="2"/>
  <c r="M4" i="2"/>
  <c r="L4" i="2"/>
  <c r="K4" i="2"/>
  <c r="J4" i="2"/>
  <c r="I4" i="2"/>
  <c r="H4" i="2"/>
  <c r="G4" i="2"/>
  <c r="F4" i="2"/>
  <c r="E4" i="2"/>
  <c r="D4" i="2"/>
  <c r="C4" i="2"/>
  <c r="B4" i="2"/>
  <c r="A4" i="2"/>
  <c r="AX3" i="2"/>
  <c r="AV3" i="2"/>
  <c r="AU3" i="2"/>
  <c r="AT3" i="2"/>
  <c r="AS3" i="2"/>
  <c r="AR3" i="2"/>
  <c r="AP3" i="2"/>
  <c r="AO3" i="2"/>
  <c r="AN3" i="2"/>
  <c r="AM3" i="2"/>
  <c r="AK3" i="2"/>
  <c r="AJ3" i="2"/>
  <c r="AI3" i="2"/>
  <c r="AH3" i="2"/>
  <c r="AG3" i="2"/>
  <c r="AD3" i="2"/>
  <c r="AC3" i="2"/>
  <c r="AB3" i="2"/>
  <c r="AA3" i="2"/>
  <c r="Z3" i="2"/>
  <c r="Y3" i="2"/>
  <c r="X3" i="2"/>
  <c r="W3" i="2"/>
  <c r="V3" i="2"/>
  <c r="U3" i="2"/>
  <c r="T3" i="2"/>
  <c r="S3" i="2"/>
  <c r="R3" i="2"/>
  <c r="Q3" i="2"/>
  <c r="P3" i="2"/>
  <c r="O3" i="2"/>
  <c r="N3" i="2"/>
  <c r="M3" i="2"/>
  <c r="L3" i="2"/>
  <c r="K3" i="2"/>
  <c r="J3" i="2"/>
  <c r="I3" i="2"/>
  <c r="H3" i="2"/>
  <c r="G3" i="2"/>
  <c r="F3" i="2"/>
  <c r="E3" i="2"/>
  <c r="D3" i="2"/>
  <c r="C3" i="2"/>
  <c r="B3" i="2"/>
  <c r="A3" i="2"/>
  <c r="AX2" i="2"/>
  <c r="AW2" i="2"/>
  <c r="AV2" i="2"/>
  <c r="AU2" i="2"/>
  <c r="AT2" i="2"/>
  <c r="AS2" i="2"/>
  <c r="AR2" i="2"/>
  <c r="AO2" i="2"/>
  <c r="AN2" i="2"/>
  <c r="AM2" i="2"/>
  <c r="AK2" i="2"/>
  <c r="AJ2" i="2"/>
  <c r="AI2" i="2"/>
  <c r="AH2" i="2"/>
  <c r="AG2" i="2"/>
  <c r="AF2" i="2"/>
  <c r="AE2" i="2"/>
  <c r="AD2" i="2"/>
  <c r="AC2" i="2"/>
  <c r="Z2" i="2"/>
  <c r="Y2" i="2"/>
  <c r="X2" i="2"/>
  <c r="W2" i="2"/>
  <c r="V2" i="2"/>
  <c r="U2" i="2"/>
  <c r="T2" i="2"/>
  <c r="S2" i="2"/>
  <c r="R2" i="2"/>
  <c r="Q2" i="2"/>
  <c r="P2" i="2"/>
  <c r="O2" i="2"/>
  <c r="N2" i="2"/>
  <c r="M2" i="2"/>
  <c r="L2" i="2"/>
  <c r="K2" i="2"/>
  <c r="J2" i="2"/>
  <c r="I2" i="2"/>
  <c r="H2" i="2"/>
  <c r="G2" i="2"/>
  <c r="F2" i="2"/>
  <c r="E2" i="2"/>
  <c r="D2" i="2"/>
  <c r="C2" i="2"/>
  <c r="B2" i="2"/>
  <c r="A2" i="2"/>
  <c r="AX1" i="2"/>
  <c r="AW1" i="2"/>
  <c r="AV1" i="2"/>
  <c r="AU1" i="2"/>
  <c r="AT1" i="2"/>
  <c r="AS1" i="2"/>
  <c r="AR1" i="2"/>
  <c r="AQ1" i="2"/>
  <c r="AP1" i="2"/>
  <c r="AO1" i="2"/>
  <c r="AN1" i="2"/>
  <c r="AM1" i="2"/>
  <c r="AL1" i="2"/>
  <c r="AK1" i="2"/>
  <c r="AJ1" i="2"/>
  <c r="AI1" i="2"/>
  <c r="AH1" i="2"/>
  <c r="AG1" i="2"/>
  <c r="AF1" i="2"/>
  <c r="AE1" i="2"/>
  <c r="AD1" i="2"/>
  <c r="AC1" i="2"/>
  <c r="AB1" i="2"/>
  <c r="AA1" i="2"/>
  <c r="Z1" i="2"/>
  <c r="Y1" i="2"/>
  <c r="X1" i="2"/>
  <c r="W1" i="2"/>
  <c r="V1" i="2"/>
  <c r="U1" i="2"/>
  <c r="T1" i="2"/>
  <c r="S1" i="2"/>
  <c r="R1" i="2"/>
  <c r="Q1" i="2"/>
  <c r="P1" i="2"/>
  <c r="O1" i="2"/>
  <c r="N1" i="2"/>
  <c r="M1" i="2"/>
  <c r="L1" i="2"/>
  <c r="K1" i="2"/>
  <c r="J1" i="2"/>
  <c r="I1" i="2"/>
  <c r="H1" i="2"/>
  <c r="G1" i="2"/>
  <c r="F1" i="2"/>
  <c r="E1" i="2"/>
  <c r="D1" i="2"/>
  <c r="C1" i="2"/>
  <c r="B1" i="2"/>
  <c r="A1" i="2"/>
</calcChain>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8" x14ac:knownFonts="1">
    <font>
      <sz val="10"/>
      <color rgb="FF000000"/>
      <name val="Arial"/>
      <scheme val="minor"/>
    </font>
    <font>
      <sz val="10"/>
      <color theme="1"/>
      <name val="Arial"/>
      <family val="2"/>
      <scheme val="minor"/>
    </font>
    <font>
      <b/>
      <sz val="10"/>
      <color theme="1"/>
      <name val="Arial"/>
      <family val="2"/>
      <scheme val="minor"/>
    </font>
    <font>
      <b/>
      <sz val="12"/>
      <color rgb="FF202124"/>
      <name val="Arial"/>
      <family val="2"/>
      <scheme val="major"/>
    </font>
    <font>
      <sz val="12"/>
      <color rgb="FF000000"/>
      <name val="Arial"/>
      <family val="2"/>
      <scheme val="major"/>
    </font>
    <font>
      <b/>
      <sz val="12"/>
      <color theme="1"/>
      <name val="Arial"/>
      <family val="2"/>
      <scheme val="major"/>
    </font>
    <font>
      <sz val="12"/>
      <color theme="1"/>
      <name val="Arial"/>
      <family val="2"/>
      <scheme val="major"/>
    </font>
    <font>
      <u/>
      <sz val="12"/>
      <color rgb="FF0000FF"/>
      <name val="Arial"/>
      <family val="2"/>
      <scheme val="maj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wrapText="1"/>
    </xf>
    <xf numFmtId="0" fontId="1" fillId="0" borderId="0" xfId="0" applyFont="1"/>
    <xf numFmtId="0" fontId="2" fillId="0" borderId="0" xfId="0" applyFont="1"/>
    <xf numFmtId="0" fontId="3" fillId="2" borderId="0" xfId="0" applyFont="1" applyFill="1"/>
    <xf numFmtId="0" fontId="4" fillId="2" borderId="0" xfId="0" applyFont="1" applyFill="1"/>
    <xf numFmtId="0" fontId="5" fillId="0" borderId="0" xfId="0" applyFont="1"/>
    <xf numFmtId="0" fontId="5" fillId="0" borderId="0" xfId="0" applyFont="1" applyAlignment="1">
      <alignment wrapText="1"/>
    </xf>
    <xf numFmtId="0" fontId="6" fillId="0" borderId="0" xfId="0" applyFont="1"/>
    <xf numFmtId="14" fontId="6" fillId="0" borderId="0" xfId="0" applyNumberFormat="1" applyFont="1"/>
    <xf numFmtId="0" fontId="7" fillId="0" borderId="0" xfId="0" applyFont="1"/>
    <xf numFmtId="18" fontId="6" fillId="0" borderId="0" xfId="0" applyNumberFormat="1" applyFont="1"/>
    <xf numFmtId="0" fontId="6" fillId="0" borderId="0" xfId="0" applyFont="1" applyAlignment="1">
      <alignment wrapText="1"/>
    </xf>
    <xf numFmtId="164" fontId="6" fillId="0" borderId="0" xfId="0" applyNumberFormat="1" applyFont="1"/>
  </cellXfs>
  <cellStyles count="1">
    <cellStyle name="Normal" xfId="0" builtinId="0"/>
  </cellStyles>
  <dxfs count="3">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newspapers.com/image/752371201/?terms=shot%20at%20school&amp;match=1" TargetMode="External"/><Relationship Id="rId1827" Type="http://schemas.openxmlformats.org/officeDocument/2006/relationships/hyperlink" Target="https://www.newspapers.com/image/340859194/?terms=school%2Bshooting" TargetMode="External"/><Relationship Id="rId21" Type="http://schemas.openxmlformats.org/officeDocument/2006/relationships/hyperlink" Target="https://www.wlox.com/2025/08/20/gulfport-teen-15-arrested-after-firing-handgun-bus-police-say/" TargetMode="External"/><Relationship Id="rId170" Type="http://schemas.openxmlformats.org/officeDocument/2006/relationships/hyperlink" Target="https://fox4kc.com/news/developing-officers-find-two-people-shot-near-kansas-city-school/" TargetMode="External"/><Relationship Id="rId268" Type="http://schemas.openxmlformats.org/officeDocument/2006/relationships/hyperlink" Target="https://www.wfmynews2.com/video/news/local/irvin-park-elementary-school-gcs-gun-suspect/83-01a79eba-fec4-4c83-83d7-60907b1c51cb" TargetMode="External"/><Relationship Id="rId475" Type="http://schemas.openxmlformats.org/officeDocument/2006/relationships/hyperlink" Target="https://www.wdio.com/front-page/top-stories/10-students-struck-by-air-soft-gun-at-recess/" TargetMode="External"/><Relationship Id="rId682" Type="http://schemas.openxmlformats.org/officeDocument/2006/relationships/hyperlink" Target="https://www.wdbj7.com/2022/03/22/school-bus-shot-nw-roanoke/" TargetMode="External"/><Relationship Id="rId128" Type="http://schemas.openxmlformats.org/officeDocument/2006/relationships/hyperlink" Target="https://wjla.com/news/local/teen-juvenile-shooting-dc-southeast-eastern-high-school-apartment-prince-georges-county-alley-crime-injuries-gunshot-wound-east-street-chase-injuries-crime-impact" TargetMode="External"/><Relationship Id="rId335" Type="http://schemas.openxmlformats.org/officeDocument/2006/relationships/hyperlink" Target="https://www.whio.com/news/local/hes-bleeding-real-bad-15-year-old-shot-near-local-middle-school/TJBVE7EGMZE2ZGQFQ2CXTKOGBE/" TargetMode="External"/><Relationship Id="rId542" Type="http://schemas.openxmlformats.org/officeDocument/2006/relationships/hyperlink" Target="https://kfor.com/news/local/could-have-been-very-tragic-gun-accidentally-fired-near-elementary-school-strikes-teachers-car/" TargetMode="External"/><Relationship Id="rId987" Type="http://schemas.openxmlformats.org/officeDocument/2006/relationships/hyperlink" Target="http://www.mlive.com/news/jackson/index.ssf/2016/09/student_shot_on_school_bus_out.html" TargetMode="External"/><Relationship Id="rId1172" Type="http://schemas.openxmlformats.org/officeDocument/2006/relationships/hyperlink" Target="https://www.columbine-angels.com/School_Violence_2006-2007.htm" TargetMode="External"/><Relationship Id="rId402" Type="http://schemas.openxmlformats.org/officeDocument/2006/relationships/hyperlink" Target="https://www.robesonian.com/news/290864/ten-more-suspects-charged-in-shooting-during-lumberton-high-football-game" TargetMode="External"/><Relationship Id="rId847" Type="http://schemas.openxmlformats.org/officeDocument/2006/relationships/hyperlink" Target="https://wjla.com/news/local/dc-elementary-school-shot-again" TargetMode="External"/><Relationship Id="rId1032" Type="http://schemas.openxmlformats.org/officeDocument/2006/relationships/hyperlink" Target="https://fox17online.com/2014/12/17/basketball-player-shot-outside-godfrey-lee-high-school/" TargetMode="External"/><Relationship Id="rId1477" Type="http://schemas.openxmlformats.org/officeDocument/2006/relationships/hyperlink" Target="http://community.seattletimes.nwsource.com/archive/?date=19950118&amp;slug=2100074" TargetMode="External"/><Relationship Id="rId1684" Type="http://schemas.openxmlformats.org/officeDocument/2006/relationships/hyperlink" Target="https://www.newspapers.com/image/379323248/?terms=temple%2Bhigh%2Bschool%2Bshooting" TargetMode="External"/><Relationship Id="rId1891" Type="http://schemas.openxmlformats.org/officeDocument/2006/relationships/hyperlink" Target="https://www.newspapers.com/image/621110015/?terms=school%20shooting&amp;match=1" TargetMode="External"/><Relationship Id="rId707" Type="http://schemas.openxmlformats.org/officeDocument/2006/relationships/hyperlink" Target="https://www.13newsnow.com/article/news/local/mycity/newport-news/jury-finds-suspect-not-guilty-fatal-menchville-high-school-shooting/291-d656181e-e50e-4e80-8eb4-640ac983a789" TargetMode="External"/><Relationship Id="rId914" Type="http://schemas.openxmlformats.org/officeDocument/2006/relationships/hyperlink" Target="http://missoulian.com/news/local/report-gunshots-at-missoula-s-big-sky-high-fired-by/article_f14cb7f4-ee52-58e2-abda-afb0f8f33421.html" TargetMode="External"/><Relationship Id="rId1337" Type="http://schemas.openxmlformats.org/officeDocument/2006/relationships/hyperlink" Target="https://newsok.com/article/1961014/arrest-warrant-issued-in-high-school-shooting" TargetMode="External"/><Relationship Id="rId1544" Type="http://schemas.openxmlformats.org/officeDocument/2006/relationships/hyperlink" Target="https://www.nytimes.com/1992/02/27/nyregion/2-teen-agers-shot-to-death-in-a-brooklyn-school.html" TargetMode="External"/><Relationship Id="rId1751" Type="http://schemas.openxmlformats.org/officeDocument/2006/relationships/hyperlink" Target="https://www.newspapers.com/image/111103679/?terms=school%2Bshooting" TargetMode="External"/><Relationship Id="rId43" Type="http://schemas.openxmlformats.org/officeDocument/2006/relationships/hyperlink" Target="https://hoodline.com/2025/05/detroit-authorities-investigate-shooting-near-mlk-jr-high-school-during-prom-send-off/" TargetMode="External"/><Relationship Id="rId1404" Type="http://schemas.openxmlformats.org/officeDocument/2006/relationships/hyperlink" Target="https://www.newspapers.com/image/195721847/?terms=shooting%2Bhomecoming%2BMinneapolis" TargetMode="External"/><Relationship Id="rId1611" Type="http://schemas.openxmlformats.org/officeDocument/2006/relationships/hyperlink" Target="https://www.newspapers.com/image/99777421/?terms=lessenger" TargetMode="External"/><Relationship Id="rId1849" Type="http://schemas.openxmlformats.org/officeDocument/2006/relationships/hyperlink" Target="https://www.newspapers.com/image/246856502/?terms=xavier%2Bhigh%2Bschool%2Bshooting%2Bappleton" TargetMode="External"/><Relationship Id="rId192" Type="http://schemas.openxmlformats.org/officeDocument/2006/relationships/hyperlink" Target="https://www.bibbvoice.com/2024/08/29/shots-fired-during-school-class-event-on-duff-road/" TargetMode="External"/><Relationship Id="rId1709" Type="http://schemas.openxmlformats.org/officeDocument/2006/relationships/hyperlink" Target="https://www.nytimes.com/1981/12/24/nyregion/wrong-kid-is-fatally-shot-in-fight-at-brooklyn-school.html" TargetMode="External"/><Relationship Id="rId497" Type="http://schemas.openxmlformats.org/officeDocument/2006/relationships/hyperlink" Target="https://www.actionnewsnow.com/news/police-officers-respond-to-report-of-shot-child-in-elementary-school-parking-lot-friday/article_2bd6f258-d0ac-11ed-9ceb-d7abf9d9f12c.html" TargetMode="External"/><Relationship Id="rId357" Type="http://schemas.openxmlformats.org/officeDocument/2006/relationships/hyperlink" Target="https://www.wisn.com/article/germantown-school-board-incident-at-kennedy-middle-school/45620245" TargetMode="External"/><Relationship Id="rId1194" Type="http://schemas.openxmlformats.org/officeDocument/2006/relationships/hyperlink" Target="https://www.newspapers.com/image/231615256/?terms=Hillcrest%2BHigh%2BSchool%2Bshooting%2BDwight%2BWelch" TargetMode="External"/><Relationship Id="rId217" Type="http://schemas.openxmlformats.org/officeDocument/2006/relationships/hyperlink" Target="https://www.abc10.com/article/news/local/del-campo-high-school-freshman-arrested-armed-robbery/103-20450805-3b95-44f3-aac9-cbb731037846" TargetMode="External"/><Relationship Id="rId564" Type="http://schemas.openxmlformats.org/officeDocument/2006/relationships/hyperlink" Target="https://abc6onyourside.com/news/local/columbus-city-schools-beechcroft-high-school-shots-fired-at-building-black-colored-suv-no-injuries-were-reported" TargetMode="External"/><Relationship Id="rId771" Type="http://schemas.openxmlformats.org/officeDocument/2006/relationships/hyperlink" Target="https://www.wcnc.com/article/news/crime/dispute-leads-to-shooting-outside-chesterfield-county-school-says-district/275-8d5ebec8-d72c-41e4-899f-f352580cc0c9" TargetMode="External"/><Relationship Id="rId869" Type="http://schemas.openxmlformats.org/officeDocument/2006/relationships/hyperlink" Target="https://baltimore.cbslocal.com/2018/11/12/school-resource-officer-suicide/" TargetMode="External"/><Relationship Id="rId1499" Type="http://schemas.openxmlformats.org/officeDocument/2006/relationships/hyperlink" Target="https://www.newspapers.com/image/278601708/?terms=Bay%2BSprings%2BHigh%2BSchool%2Bshooting" TargetMode="External"/><Relationship Id="rId424" Type="http://schemas.openxmlformats.org/officeDocument/2006/relationships/hyperlink" Target="https://www.wlox.com/2023/08/19/16-year-old-shot-pascagoula-police-say/" TargetMode="External"/><Relationship Id="rId631" Type="http://schemas.openxmlformats.org/officeDocument/2006/relationships/hyperlink" Target="https://www.fox6now.com/news/shots-fired-near-milwaukees-barack-obama-school-2-charged" TargetMode="External"/><Relationship Id="rId729" Type="http://schemas.openxmlformats.org/officeDocument/2006/relationships/hyperlink" Target="https://chicago.cbslocal.com/video/6072449-video-of-shooting-outside-lakeview-high-school/" TargetMode="External"/><Relationship Id="rId1054" Type="http://schemas.openxmlformats.org/officeDocument/2006/relationships/hyperlink" Target="http://www.kansascity.com/news/local/crime/article9772547.html" TargetMode="External"/><Relationship Id="rId1261" Type="http://schemas.openxmlformats.org/officeDocument/2006/relationships/hyperlink" Target="http://articles.latimes.com/2005/oct/20/local/me-iebrief20" TargetMode="External"/><Relationship Id="rId1359" Type="http://schemas.openxmlformats.org/officeDocument/2006/relationships/hyperlink" Target="https://trib.com/news/state-and-regional/shots-fired-outside-colorado-high-school/article_6fc1cc83-9e5a-5600-ba1a-d3044ce97ab7.html" TargetMode="External"/><Relationship Id="rId936" Type="http://schemas.openxmlformats.org/officeDocument/2006/relationships/hyperlink" Target="https://abc13.com/2-wounded-when-gun-goes-off-in-car-at-sam-rayburn-hs/2774679/" TargetMode="External"/><Relationship Id="rId1121" Type="http://schemas.openxmlformats.org/officeDocument/2006/relationships/hyperlink" Target="http://www.latimes.com/la-me-locke01_ki20l0nc-photo.html" TargetMode="External"/><Relationship Id="rId1219" Type="http://schemas.openxmlformats.org/officeDocument/2006/relationships/hyperlink" Target="https://www.washingtonpost.com/archive/local/2006/08/30/teen-held-after-shot-is-fired-outside-se-school/a1d30f03-8e66-47af-a999-d43629af535b/?utm_term=.37a883ef0fca" TargetMode="External"/><Relationship Id="rId1566" Type="http://schemas.openxmlformats.org/officeDocument/2006/relationships/hyperlink" Target="https://www.newspapers.com/image/216895876/?terms=Booker%2BT.%2BWashington%2BHigh%2BSchool%2Bshooting" TargetMode="External"/><Relationship Id="rId1773" Type="http://schemas.openxmlformats.org/officeDocument/2006/relationships/hyperlink" Target="https://www.newspapers.com/image/43183929/?terms=school%2Bshooting" TargetMode="External"/><Relationship Id="rId65" Type="http://schemas.openxmlformats.org/officeDocument/2006/relationships/hyperlink" Target="https://goldrushcam.com/sierrasuntimes/index.php/news/local-news/66433-turlock-police-respond-to-discovery-of-firearm-at-middle-school-after-maintenance-worker-finds-weapon" TargetMode="External"/><Relationship Id="rId1426" Type="http://schemas.openxmlformats.org/officeDocument/2006/relationships/hyperlink" Target="https://lasvegassun.com/news/1999/oct/12/security-increased-after-shooting-at-clark-high/" TargetMode="External"/><Relationship Id="rId1633" Type="http://schemas.openxmlformats.org/officeDocument/2006/relationships/hyperlink" Target="https://www.nytimes.com/1986/12/06/us/failing-grade-is-linked-to-shooting-of-teacher.html" TargetMode="External"/><Relationship Id="rId1840" Type="http://schemas.openxmlformats.org/officeDocument/2006/relationships/hyperlink" Target="https://www.newspapers.com/image/9122502/?terms=school%2Bshooting" TargetMode="External"/><Relationship Id="rId1700" Type="http://schemas.openxmlformats.org/officeDocument/2006/relationships/hyperlink" Target="https://www.newspapers.com/image/283184637/?terms=student%2Bshot" TargetMode="External"/><Relationship Id="rId281" Type="http://schemas.openxmlformats.org/officeDocument/2006/relationships/hyperlink" Target="https://www.wral.com/story/person-with-loaded-handgun-walks-into-pembroke-elementary-school-behind-parent-during-morning-dropoff/21338714/" TargetMode="External"/><Relationship Id="rId141" Type="http://schemas.openxmlformats.org/officeDocument/2006/relationships/hyperlink" Target="https://www.news5cleveland.com/news/local-news/suspended-cle-officer-pleads-guilty-to-charges-in-connection-to-a-shot-fired-in-lake-co-school-parking-lot" TargetMode="External"/><Relationship Id="rId379" Type="http://schemas.openxmlformats.org/officeDocument/2006/relationships/hyperlink" Target="https://dailydispatch.dps.alaska.gov/Home/DisplayIncident?incidentNumber=AK23104653" TargetMode="External"/><Relationship Id="rId586" Type="http://schemas.openxmlformats.org/officeDocument/2006/relationships/hyperlink" Target="https://www.wsmv.com/2022/11/15/metro-police-investigating-after-19-year-old-shot-killed/" TargetMode="External"/><Relationship Id="rId793" Type="http://schemas.openxmlformats.org/officeDocument/2006/relationships/hyperlink" Target="https://newschannel20.com/news/local/man-elementary-school-window-shot-by-bb-gun" TargetMode="External"/><Relationship Id="rId7" Type="http://schemas.openxmlformats.org/officeDocument/2006/relationships/hyperlink" Target="https://abc6onyourside.com/news/local/lindbergh-elementary-school-juvenile-shot-wounded-near-columbus-ohio" TargetMode="External"/><Relationship Id="rId239" Type="http://schemas.openxmlformats.org/officeDocument/2006/relationships/hyperlink" Target="https://www.robesonian.com/news/breaking-news/301589/robeson-county-sheriffs-office-investigating-shooting-that-injured-two-near-purnell-swett-high-school" TargetMode="External"/><Relationship Id="rId446" Type="http://schemas.openxmlformats.org/officeDocument/2006/relationships/hyperlink" Target="https://westchester.news12.com/police-shots-fired-outside-school-in-town-of-wallkill" TargetMode="External"/><Relationship Id="rId653" Type="http://schemas.openxmlformats.org/officeDocument/2006/relationships/hyperlink" Target="https://www.mercedsunstar.com/news/local/crime/article263063843.html" TargetMode="External"/><Relationship Id="rId1076" Type="http://schemas.openxmlformats.org/officeDocument/2006/relationships/hyperlink" Target="https://www.dnainfo.com/chicago/20130927/albany-park/teen-arrested-for-shooting-student-near-roosevelt-high-school/slideshow/443194/" TargetMode="External"/><Relationship Id="rId1283" Type="http://schemas.openxmlformats.org/officeDocument/2006/relationships/hyperlink" Target="http://www.freerepublic.com/focus/news/1404328/posts" TargetMode="External"/><Relationship Id="rId1490" Type="http://schemas.openxmlformats.org/officeDocument/2006/relationships/hyperlink" Target="http://www.columbine-angels.com/School_Violence_1993-1994.htm" TargetMode="External"/><Relationship Id="rId306" Type="http://schemas.openxmlformats.org/officeDocument/2006/relationships/hyperlink" Target="https://www.fox10tv.com/2024/03/11/video-shows-leflore-student-putting-gun-victims-head-after-initial-shot-detective-testifies/" TargetMode="External"/><Relationship Id="rId860" Type="http://schemas.openxmlformats.org/officeDocument/2006/relationships/hyperlink" Target="https://fox2now.com/2019/01/18/gunfire-exchanged-in-hazelwood-east-parking-lot/" TargetMode="External"/><Relationship Id="rId958" Type="http://schemas.openxmlformats.org/officeDocument/2006/relationships/hyperlink" Target="https://www.wctv.tv/content/news/Shots-fired-during-Valdosta-Highs-Midnight-Madness-practice-437798503.html" TargetMode="External"/><Relationship Id="rId1143" Type="http://schemas.openxmlformats.org/officeDocument/2006/relationships/hyperlink" Target="https://www.modbee.com/latest-news/article3115798.html" TargetMode="External"/><Relationship Id="rId1588" Type="http://schemas.openxmlformats.org/officeDocument/2006/relationships/hyperlink" Target="http://articles.latimes.com/1990-06-15/local/me-106_1_rival-gang-member" TargetMode="External"/><Relationship Id="rId1795" Type="http://schemas.openxmlformats.org/officeDocument/2006/relationships/hyperlink" Target="https://www.newspapers.com/image/377591998/?terms=school%2Bshooting" TargetMode="External"/><Relationship Id="rId87" Type="http://schemas.openxmlformats.org/officeDocument/2006/relationships/hyperlink" Target="https://www.mytexasdaily.com/south-texas/hondo-police-respond-to-firearm-disturbance-at-high-school-softball-game/article_3288f610-bfbb-5e6d-b357-61e059da846d.html" TargetMode="External"/><Relationship Id="rId513" Type="http://schemas.openxmlformats.org/officeDocument/2006/relationships/hyperlink" Target="https://www.fox6now.com/news/shots-fired-barack-obama-school-man-charged" TargetMode="External"/><Relationship Id="rId720" Type="http://schemas.openxmlformats.org/officeDocument/2006/relationships/hyperlink" Target="https://www.klfy.com/local/vermilion-parish/teen-shot-in-head-getting-off-school-bus-in-abbeville-undergoes-hours-of-surgery/" TargetMode="External"/><Relationship Id="rId818" Type="http://schemas.openxmlformats.org/officeDocument/2006/relationships/hyperlink" Target="https://www.14news.com/2019/12/11/dispatch-police-called-evans-elem-after-gunshots-reported/" TargetMode="External"/><Relationship Id="rId1350" Type="http://schemas.openxmlformats.org/officeDocument/2006/relationships/hyperlink" Target="http://obits.dallasnews.com/obituaries/dallasmorningnews/obituary.aspx?page=lifestory&amp;pid=950952" TargetMode="External"/><Relationship Id="rId1448" Type="http://schemas.openxmlformats.org/officeDocument/2006/relationships/hyperlink" Target="https://www.tampabay.com/archive/1997/10/17/authorities-review-possible-charges-against-boy-s-mother/" TargetMode="External"/><Relationship Id="rId1655" Type="http://schemas.openxmlformats.org/officeDocument/2006/relationships/hyperlink" Target="https://www.newspapers.com/image/372547711/?terms=Lake%2BClifton%2BHigh%2BSchool%2Bshooting" TargetMode="External"/><Relationship Id="rId1003" Type="http://schemas.openxmlformats.org/officeDocument/2006/relationships/hyperlink" Target="https://www.wfla.com/news/local-news/loaded-gun-discharges-at-citrus-co-elementary-school/1051971907" TargetMode="External"/><Relationship Id="rId1210" Type="http://schemas.openxmlformats.org/officeDocument/2006/relationships/hyperlink" Target="http://www.wvlt.tv/home/headlines/4542511.html" TargetMode="External"/><Relationship Id="rId1308" Type="http://schemas.openxmlformats.org/officeDocument/2006/relationships/hyperlink" Target="https://www.sfgate.com/bayarea/article/HAYWARD-Man-fatally-shot-at-school-no-arrest-2679598.php" TargetMode="External"/><Relationship Id="rId1862" Type="http://schemas.openxmlformats.org/officeDocument/2006/relationships/hyperlink" Target="https://www.newspapers.com/image/18059538/?terms=school%2Bshooting" TargetMode="External"/><Relationship Id="rId1515" Type="http://schemas.openxmlformats.org/officeDocument/2006/relationships/hyperlink" Target="http://www.southcoasttoday.com/article/20150617/NEWS/150619469" TargetMode="External"/><Relationship Id="rId1722" Type="http://schemas.openxmlformats.org/officeDocument/2006/relationships/hyperlink" Target="https://www.newspapers.com/image/266962735/?terms=Central%2BHigh%2BSchool%2Btuscaloosa%2Bshooting" TargetMode="External"/><Relationship Id="rId14" Type="http://schemas.openxmlformats.org/officeDocument/2006/relationships/hyperlink" Target="https://www.fox23.com/news/local/tpd-arrest-teen-accused-of-shooting-at-a-vehicle-in-a-school-parking-lot/article_24a44474-539e-43bb-957d-7fa51e076cca.html" TargetMode="External"/><Relationship Id="rId163" Type="http://schemas.openxmlformats.org/officeDocument/2006/relationships/hyperlink" Target="https://myfox8.com/news/north-carolina/piedmont-triad/woman-accused-of-firing-gunshot-on-carver-high-school-property-in-forsyth-county-after-homecoming-football-game/" TargetMode="External"/><Relationship Id="rId370" Type="http://schemas.openxmlformats.org/officeDocument/2006/relationships/hyperlink" Target="https://wsvn.com/news/local/miami-dade/man-killed-in-police-involved-shooting-near-miami-edison-high-school-2nd-armed-subject-in-custody/" TargetMode="External"/><Relationship Id="rId230" Type="http://schemas.openxmlformats.org/officeDocument/2006/relationships/hyperlink" Target="https://www.kentreporter.com/news/man-18-found-shot-in-parking-lot-identified-as-kent-meridian-student/" TargetMode="External"/><Relationship Id="rId468" Type="http://schemas.openxmlformats.org/officeDocument/2006/relationships/hyperlink" Target="https://www.wavy.com/news/north-carolina/police-investigate-shots-fired-near-john-a-holmes-high-school-in-edenton/" TargetMode="External"/><Relationship Id="rId675" Type="http://schemas.openxmlformats.org/officeDocument/2006/relationships/hyperlink" Target="https://www.wtok.com/2022/04/15/three-students-shot-with-high-powered-air-rifles-neshoba-central/" TargetMode="External"/><Relationship Id="rId882" Type="http://schemas.openxmlformats.org/officeDocument/2006/relationships/hyperlink" Target="https://www.dailybulletin.com/2018/09/20/body-found-at-pomona-high-school/" TargetMode="External"/><Relationship Id="rId1098" Type="http://schemas.openxmlformats.org/officeDocument/2006/relationships/hyperlink" Target="https://921wlhr.com/banks-county-hs-students-mourn-loss-of-two-classmates/" TargetMode="External"/><Relationship Id="rId328" Type="http://schemas.openxmlformats.org/officeDocument/2006/relationships/hyperlink" Target="https://fox59.com/news/indycrime/shots-fired-in-parking-lot-at-lawrence-central-high-school-no-injuries-reported/" TargetMode="External"/><Relationship Id="rId535" Type="http://schemas.openxmlformats.org/officeDocument/2006/relationships/hyperlink" Target="https://www.cbsnews.com/newyork/news/staten-island-elementary-school-shots-fired-stapleton-ps-78/" TargetMode="External"/><Relationship Id="rId742" Type="http://schemas.openxmlformats.org/officeDocument/2006/relationships/hyperlink" Target="https://sanfrancisco.cbslocal.com/2021/09/03/palo-alto-man-arrested-shooting-child-school-air-rifle/" TargetMode="External"/><Relationship Id="rId1165" Type="http://schemas.openxmlformats.org/officeDocument/2006/relationships/hyperlink" Target="https://www.newspapers.com/image/282229204/?terms=markees%2Bsmith" TargetMode="External"/><Relationship Id="rId1372" Type="http://schemas.openxmlformats.org/officeDocument/2006/relationships/hyperlink" Target="https://www.newspapers.com/image/390065452/?terms=Roosevelt%2BHigh%2BSchool%2Bshooting%2BJose%2BVela" TargetMode="External"/><Relationship Id="rId602" Type="http://schemas.openxmlformats.org/officeDocument/2006/relationships/hyperlink" Target="https://www.yahoo.com/entertainment/denver-elementary-school-soccer-game-235324292.html" TargetMode="External"/><Relationship Id="rId1025" Type="http://schemas.openxmlformats.org/officeDocument/2006/relationships/hyperlink" Target="https://www.ksat.com/news/school-official-seguin-high-school-student-shoots-kills-self" TargetMode="External"/><Relationship Id="rId1232" Type="http://schemas.openxmlformats.org/officeDocument/2006/relationships/hyperlink" Target="https://www.wral.com/news/local/story/157302/" TargetMode="External"/><Relationship Id="rId1677" Type="http://schemas.openxmlformats.org/officeDocument/2006/relationships/hyperlink" Target="https://www.newspapers.com/image/216585063/?terms=student%2Bshot" TargetMode="External"/><Relationship Id="rId1884" Type="http://schemas.openxmlformats.org/officeDocument/2006/relationships/hyperlink" Target="https://www.newspapers.com/image/799791050/?terms=school%20shooting&amp;match=1" TargetMode="External"/><Relationship Id="rId907" Type="http://schemas.openxmlformats.org/officeDocument/2006/relationships/hyperlink" Target="http://www.cbs46.com/story/38020869/us-marshals-suspect-involved-in-mays-high-school-shooting-apprehended" TargetMode="External"/><Relationship Id="rId1537" Type="http://schemas.openxmlformats.org/officeDocument/2006/relationships/hyperlink" Target="https://www.washingtonpost.com/archive/politics/1992/06/01/9-are-slain-in-dc-area-in-2-days/32b3c46c-27dc-45f4-9f60-14ce403dbad5/" TargetMode="External"/><Relationship Id="rId1744" Type="http://schemas.openxmlformats.org/officeDocument/2006/relationships/hyperlink" Target="https://stltoday.newspapers.com/clip/7051030/3_wounded_in_university_city_high/" TargetMode="External"/><Relationship Id="rId36" Type="http://schemas.openxmlformats.org/officeDocument/2006/relationships/hyperlink" Target="https://www.koat.com/article/santa-fe-shooting-near-school/65209326" TargetMode="External"/><Relationship Id="rId1604" Type="http://schemas.openxmlformats.org/officeDocument/2006/relationships/hyperlink" Target="https://www.newspapers.com/image/69768900/?terms=Dennis%2BRay%2BHepler" TargetMode="External"/><Relationship Id="rId185" Type="http://schemas.openxmlformats.org/officeDocument/2006/relationships/hyperlink" Target="https://www.cbsnews.com/news/georgia-school-shooting-colt-gray-backpack-rifle/" TargetMode="External"/><Relationship Id="rId1811" Type="http://schemas.openxmlformats.org/officeDocument/2006/relationships/hyperlink" Target="https://www.newspapers.com/image/43038797/?terms=student%2Bshot" TargetMode="External"/><Relationship Id="rId392" Type="http://schemas.openxmlformats.org/officeDocument/2006/relationships/hyperlink" Target="https://foxsanantonio.com/newsletter-daily/fifth-grade-student-shot-with-bb-gun-on-school-playground-in-boerne-suspect-apprehended-recess-district-officials-precaution-police-investigation" TargetMode="External"/><Relationship Id="rId697" Type="http://schemas.openxmlformats.org/officeDocument/2006/relationships/hyperlink" Target="https://www.wnky.com/sheriffs-office-investigating-several-shots-fired-incidences-including-one-at-a-school-no-injuries/" TargetMode="External"/><Relationship Id="rId252" Type="http://schemas.openxmlformats.org/officeDocument/2006/relationships/hyperlink" Target="https://www.fox5atlanta.com/news/decatur-high-school-lockdown-weapon-found" TargetMode="External"/><Relationship Id="rId1187" Type="http://schemas.openxmlformats.org/officeDocument/2006/relationships/hyperlink" Target="https://www.newspapers.com/image/284085985/?terms=east%2Bridge%2Bhigh%2Bschool" TargetMode="External"/><Relationship Id="rId112" Type="http://schemas.openxmlformats.org/officeDocument/2006/relationships/hyperlink" Target="https://www.palmbeachpost.com/story/news/crime/2025/04/30/florida-man-posing-as-deputy-fantasized-about-violence-with-abundant-life-school-shooter-rupnow/83363141007/" TargetMode="External"/><Relationship Id="rId557" Type="http://schemas.openxmlformats.org/officeDocument/2006/relationships/hyperlink" Target="https://www.abc4.com/news/central-utah/student-injured-after-shots-fired-at-saratoga-springs-high-school-wrestling-team-bus/" TargetMode="External"/><Relationship Id="rId764" Type="http://schemas.openxmlformats.org/officeDocument/2006/relationships/hyperlink" Target="https://www.yourcentralvalley.com/news/local-news/driver-crashes-into-central-fresno-school-fence-after-being-shot-police-say/" TargetMode="External"/><Relationship Id="rId971" Type="http://schemas.openxmlformats.org/officeDocument/2006/relationships/hyperlink" Target="https://www.twincities.com/2017/02/18/man-kidnaps-ex-fiancee-kills-himself-in-middle-school-parking-lot/" TargetMode="External"/><Relationship Id="rId1394" Type="http://schemas.openxmlformats.org/officeDocument/2006/relationships/hyperlink" Target="http://edition.cnn.com/2001/US/02/02/detroit.shooting/index.html" TargetMode="External"/><Relationship Id="rId1699" Type="http://schemas.openxmlformats.org/officeDocument/2006/relationships/hyperlink" Target="https://www.newspapers.com/image/365939621/?terms=Lake%2BBraddock%2BSecondary%2BSchool%2Bshooting" TargetMode="External"/><Relationship Id="rId417" Type="http://schemas.openxmlformats.org/officeDocument/2006/relationships/hyperlink" Target="https://www.abc15.com/news/region-phoenix-metro/north-phoenix/student-shot-by-bb-gun-on-school-bus-in-phoenix-phoenix-police-investigating" TargetMode="External"/><Relationship Id="rId624" Type="http://schemas.openxmlformats.org/officeDocument/2006/relationships/hyperlink" Target="https://www.pennlive.com/news/2022/09/child-detained-after-bb-gun-shot-on-pa-school-bus-police.html" TargetMode="External"/><Relationship Id="rId831" Type="http://schemas.openxmlformats.org/officeDocument/2006/relationships/hyperlink" Target="https://dfw.cbslocal.com/2019/09/14/dispute-pee-wee-football-game-shooting-2-injured-fort-worth/" TargetMode="External"/><Relationship Id="rId1047" Type="http://schemas.openxmlformats.org/officeDocument/2006/relationships/hyperlink" Target="http://www.newsofmillcreek.com/content/weekend-shooting-horizon-elementary-school" TargetMode="External"/><Relationship Id="rId1254" Type="http://schemas.openxmlformats.org/officeDocument/2006/relationships/hyperlink" Target="https://www.ocregister.com/2005/12/08/five-arrests-made-in-santiago-high-shooting-death/" TargetMode="External"/><Relationship Id="rId1461" Type="http://schemas.openxmlformats.org/officeDocument/2006/relationships/hyperlink" Target="http://www.psychceu.com/school_violence/savd.pdf" TargetMode="External"/><Relationship Id="rId929" Type="http://schemas.openxmlformats.org/officeDocument/2006/relationships/hyperlink" Target="http://www.nola.com/crime/index.ssf/2018/02/how_many_school_shootings_2018.html" TargetMode="External"/><Relationship Id="rId1114" Type="http://schemas.openxmlformats.org/officeDocument/2006/relationships/hyperlink" Target="https://www.denverpost.com/2015/11/19/court-reverses-conviction-in-2010-aurora-shooting-that-paralyzed-victim/" TargetMode="External"/><Relationship Id="rId1321" Type="http://schemas.openxmlformats.org/officeDocument/2006/relationships/hyperlink" Target="https://www.newspapers.com/image/285023326/?terms=East%2BCampus%2BEducational%2BCenter%2BJulio%2BNajar" TargetMode="External"/><Relationship Id="rId1559" Type="http://schemas.openxmlformats.org/officeDocument/2006/relationships/hyperlink" Target="https://www.newspapers.com/image/176991255/?terms=Enterprise%2BMiddle%2BSchool%2Bshot%2Bcompton" TargetMode="External"/><Relationship Id="rId1766" Type="http://schemas.openxmlformats.org/officeDocument/2006/relationships/hyperlink" Target="https://www.newspapers.com/image/26422860/?terms=school%2Bshooting" TargetMode="External"/><Relationship Id="rId58" Type="http://schemas.openxmlformats.org/officeDocument/2006/relationships/hyperlink" Target="https://patch.com/california/los-angeles/gun-discharge-classroom-prompts-lockdown-elementary-school" TargetMode="External"/><Relationship Id="rId1419" Type="http://schemas.openxmlformats.org/officeDocument/2006/relationships/hyperlink" Target="https://www.newspapers.com/image/342081991/?terms=Albuquerque%2BHigh%2BSchool%2Bshooting" TargetMode="External"/><Relationship Id="rId1626" Type="http://schemas.openxmlformats.org/officeDocument/2006/relationships/hyperlink" Target="https://www.upi.com/Archives/1987/04/16/Gunshots-fired-in-a-high-school-gymnasium-killed-a/4536545544000/" TargetMode="External"/><Relationship Id="rId1833" Type="http://schemas.openxmlformats.org/officeDocument/2006/relationships/hyperlink" Target="https://www.newspapers.com/image/310892698/?terms=Grove%2BElementary%2BSchool%2Bshooting" TargetMode="External"/><Relationship Id="rId274" Type="http://schemas.openxmlformats.org/officeDocument/2006/relationships/hyperlink" Target="https://www.kshb.com/news/crime/victim-injured-in-kcmo-shooting-thursday-near-raytown-elementary-school" TargetMode="External"/><Relationship Id="rId481" Type="http://schemas.openxmlformats.org/officeDocument/2006/relationships/hyperlink" Target="https://www.fox35orlando.com/news/i-wouldve-shot-him-twice-florida-parent-arrested-for-road-rage-incident-near-childs-elementary-school" TargetMode="External"/><Relationship Id="rId134" Type="http://schemas.openxmlformats.org/officeDocument/2006/relationships/hyperlink" Target="https://www.fox13now.com/news/local-news/northern-utah/police-seeking-information-after-teen-shot-injured-at-west-high-school" TargetMode="External"/><Relationship Id="rId579" Type="http://schemas.openxmlformats.org/officeDocument/2006/relationships/hyperlink" Target="https://6abc.com/delcastle-technical-high-school-bus-shot-interstate-95-shut-down-delaware-police-chase-officer-involved-shooting/12519473/" TargetMode="External"/><Relationship Id="rId786" Type="http://schemas.openxmlformats.org/officeDocument/2006/relationships/hyperlink" Target="https://www.stamfordadvocate.com/policereports/article/Police-Man-shot-early-Tuesday-in-Stamford-15678594.php" TargetMode="External"/><Relationship Id="rId993" Type="http://schemas.openxmlformats.org/officeDocument/2006/relationships/hyperlink" Target="http://abc7chicago.com/news/cps-employee-fatally-shot-outside-mcnair-elementary-school/1388692/" TargetMode="External"/><Relationship Id="rId341" Type="http://schemas.openxmlformats.org/officeDocument/2006/relationships/hyperlink" Target="https://www.wdrb.com/news/jcps-bus-driver-threatening-to-resign-after-she-says-she-was-shot-by-student-with/article_309ec530-832c-11ee-ac74-3f871afea378.html" TargetMode="External"/><Relationship Id="rId439" Type="http://schemas.openxmlformats.org/officeDocument/2006/relationships/hyperlink" Target="https://www.thedailycitizen.com/news/searcy-29-year-old-arrested-thursday-after-shot-fired-behind-southwest-middle-school/article_df8b3bff-7239-5975-b421-47c0db37f071.html" TargetMode="External"/><Relationship Id="rId646" Type="http://schemas.openxmlformats.org/officeDocument/2006/relationships/hyperlink" Target="https://www.nbcboston.com/news/local/shooting-breaks-out-during-basketball-game-in-lynn-mass/2801412/" TargetMode="External"/><Relationship Id="rId1069" Type="http://schemas.openxmlformats.org/officeDocument/2006/relationships/hyperlink" Target="https://patch.com/georgia/stonemountain/stephenson-high-student-shot-at-school" TargetMode="External"/><Relationship Id="rId1276" Type="http://schemas.openxmlformats.org/officeDocument/2006/relationships/hyperlink" Target="https://www.nytimes.com/2005/07/20/nyregion/2-men-charged-in-slaying-of-officer-at-newark-school.html" TargetMode="External"/><Relationship Id="rId1483" Type="http://schemas.openxmlformats.org/officeDocument/2006/relationships/hyperlink" Target="https://www.gazettetimes.com/news/local/a-history-of-violence/article_54ce32a6-d4e3-5d34-8aa6-09d9437a0439.html" TargetMode="External"/><Relationship Id="rId201" Type="http://schemas.openxmlformats.org/officeDocument/2006/relationships/hyperlink" Target="https://www.syracuse.com/news/2024/08/school-bus-hit-by-bullet-in-syracuse-no-kids-injured-police-say.html" TargetMode="External"/><Relationship Id="rId506" Type="http://schemas.openxmlformats.org/officeDocument/2006/relationships/hyperlink" Target="https://abc3340.com/news/local/student-shot-at-anniston-high-school-school-evacuated-fake-bomb-threat-shooting-injured-tile-floor-grazed-injuries-police-department-investigating" TargetMode="External"/><Relationship Id="rId853" Type="http://schemas.openxmlformats.org/officeDocument/2006/relationships/hyperlink" Target="https://www.cbsnews.com/sacramento/news/police-2-bullet-holes-found-in-elementary-school-building-no-one-injured/" TargetMode="External"/><Relationship Id="rId1136" Type="http://schemas.openxmlformats.org/officeDocument/2006/relationships/hyperlink" Target="http://archive.longislandpress.com/2010/02/26/mastic-man-pleads-guilty-to-school-shooting/" TargetMode="External"/><Relationship Id="rId1690" Type="http://schemas.openxmlformats.org/officeDocument/2006/relationships/hyperlink" Target="https://www.nytimes.com/1983/05/17/nyregion/hostages-at-li-school-are-freed-and-gunman-then-kills-himself.html" TargetMode="External"/><Relationship Id="rId1788" Type="http://schemas.openxmlformats.org/officeDocument/2006/relationships/hyperlink" Target="https://www.newspapers.com/image/405249949/?terms=NICHOLAS%2BSUTTLES%2BTEACHER" TargetMode="External"/><Relationship Id="rId713" Type="http://schemas.openxmlformats.org/officeDocument/2006/relationships/hyperlink" Target="https://www.cnn.com/2021/12/04/us/michigan-oxford-high-school-shooting-timeline/index.html" TargetMode="External"/><Relationship Id="rId920" Type="http://schemas.openxmlformats.org/officeDocument/2006/relationships/hyperlink" Target="https://www.cnn.com/2022/07/18/us/nikolas-cruz-parkland-shooter-penalty-phase/index.html" TargetMode="External"/><Relationship Id="rId1343" Type="http://schemas.openxmlformats.org/officeDocument/2006/relationships/hyperlink" Target="http://articles.latimes.com/2003/oct/02/local/me-shooting2" TargetMode="External"/><Relationship Id="rId1550" Type="http://schemas.openxmlformats.org/officeDocument/2006/relationships/hyperlink" Target="https://www.newspapers.com/image/17145244/?terms=Milby%2BHIgh%2BSchool%2Bshot" TargetMode="External"/><Relationship Id="rId1648" Type="http://schemas.openxmlformats.org/officeDocument/2006/relationships/hyperlink" Target="https://www.newspapers.com/image/401857837/?terms=Vanguard%2BJunior%2BHigh%2BSchool%2Bshooting" TargetMode="External"/><Relationship Id="rId1203" Type="http://schemas.openxmlformats.org/officeDocument/2006/relationships/hyperlink" Target="https://www.columbine-angels.com/School_Violence_2006-2007.htm" TargetMode="External"/><Relationship Id="rId1410" Type="http://schemas.openxmlformats.org/officeDocument/2006/relationships/hyperlink" Target="https://www.newspapers.com/image/340040843/?terms=high%2Bschool%2Bsuicide%2Bdenver" TargetMode="External"/><Relationship Id="rId1508" Type="http://schemas.openxmlformats.org/officeDocument/2006/relationships/hyperlink" Target="https://www.newspapers.com/image/89590422/?terms=%22shot%20high%20school%20football%22&amp;match=1" TargetMode="External"/><Relationship Id="rId1855" Type="http://schemas.openxmlformats.org/officeDocument/2006/relationships/hyperlink" Target="https://www.newspapers.com/image/25156350/?terms=school%2Bshooting" TargetMode="External"/><Relationship Id="rId1715" Type="http://schemas.openxmlformats.org/officeDocument/2006/relationships/hyperlink" Target="https://www.newspapers.com/image/235456423/?terms=dillard%2Bhigh%2Bschool%2Bshooting" TargetMode="External"/><Relationship Id="rId296" Type="http://schemas.openxmlformats.org/officeDocument/2006/relationships/hyperlink" Target="https://wvmetronews.com/2024/02/27/mercer-county-sheriffs-continue-to-investigate-shots-fired-incident-in-a-bluefield-armory-parking-lot/" TargetMode="External"/><Relationship Id="rId156" Type="http://schemas.openxmlformats.org/officeDocument/2006/relationships/hyperlink" Target="https://www.wsbtv.com/news/local/douglas-county/shots-fired-near-douglas-county-high-school/A2ADI3XJDBBLXIZ3L2RUG53NXM/" TargetMode="External"/><Relationship Id="rId363" Type="http://schemas.openxmlformats.org/officeDocument/2006/relationships/hyperlink" Target="https://www.yourcentralvalley.com/news/crime/fresno-teen-arrested-for-shooting-fleeing-with-gun-to-elementary-school/" TargetMode="External"/><Relationship Id="rId570" Type="http://schemas.openxmlformats.org/officeDocument/2006/relationships/hyperlink" Target="https://www.whio.com/news/crime-and-law/large-fight-shots-fired-meadowdale-high-school/FK6OII7FJFAO7OSU4FVY6K3BSU/" TargetMode="External"/><Relationship Id="rId223" Type="http://schemas.openxmlformats.org/officeDocument/2006/relationships/hyperlink" Target="https://www.nbcwashington.com/news/local/suspect-charged-in-shooting-that-killed-man-hurt-child-outside-potomac-high-school/3645766/" TargetMode="External"/><Relationship Id="rId430" Type="http://schemas.openxmlformats.org/officeDocument/2006/relationships/hyperlink" Target="https://www.kiro7.com/news/local/kids-playing-with-spent-casing-leads-seattle-police-discovering-shots-fired-school/PQD4YFMXYVDXPLDANAUG4JYU5Q/" TargetMode="External"/><Relationship Id="rId668" Type="http://schemas.openxmlformats.org/officeDocument/2006/relationships/hyperlink" Target="https://wcyb.com/news/nation-world/2-people-shot-near-youth-football-game-at-middle-school-benton-middle-school-prince-william-county-manassas-virginia-gunshot-wounds-district-supervisor-coles-yesil-vega-man-with-medium-complexion-between-5-feet-6-inches-and-10-inches-tall" TargetMode="External"/><Relationship Id="rId875" Type="http://schemas.openxmlformats.org/officeDocument/2006/relationships/hyperlink" Target="https://fox61.com/2018/10/22/shot-fired-through-window-in-bridgeport-school/" TargetMode="External"/><Relationship Id="rId1060" Type="http://schemas.openxmlformats.org/officeDocument/2006/relationships/hyperlink" Target="http://articles.chicagotribune.com/keyword/roosevelt-high-school" TargetMode="External"/><Relationship Id="rId1298" Type="http://schemas.openxmlformats.org/officeDocument/2006/relationships/hyperlink" Target="http://www.pjstar.com/article/20131215/news/131219398" TargetMode="External"/><Relationship Id="rId528" Type="http://schemas.openxmlformats.org/officeDocument/2006/relationships/hyperlink" Target="https://www.ksla.com/2023/02/21/bullet-interrupts-high-school-softball-game/" TargetMode="External"/><Relationship Id="rId735" Type="http://schemas.openxmlformats.org/officeDocument/2006/relationships/hyperlink" Target="https://www.fox29.com/news/15-year-old-boy-shot-outside-school-in-north-philadelphia-police-say" TargetMode="External"/><Relationship Id="rId942" Type="http://schemas.openxmlformats.org/officeDocument/2006/relationships/hyperlink" Target="http://www.unionrecorder.com/news/update-gun-discharges-in-third-grader-s-book-bag/article_12323ddc-c65b-11e7-a275-f77a9d106f20.html" TargetMode="External"/><Relationship Id="rId1158" Type="http://schemas.openxmlformats.org/officeDocument/2006/relationships/hyperlink" Target="https://abcnews.go.com/US/eighth-grade-shooting-larry-king-brandon-mcinerney-boys/story?id=14666577" TargetMode="External"/><Relationship Id="rId1365" Type="http://schemas.openxmlformats.org/officeDocument/2006/relationships/hyperlink" Target="http://articles.latimes.com/2002/nov/15/local/me-carson15" TargetMode="External"/><Relationship Id="rId1572" Type="http://schemas.openxmlformats.org/officeDocument/2006/relationships/hyperlink" Target="https://www.upi.com/Archives/1990/09/11/Three-shot-wounded-in-confrontation-on-school-grounds/4334653025600/" TargetMode="External"/><Relationship Id="rId1018" Type="http://schemas.openxmlformats.org/officeDocument/2006/relationships/hyperlink" Target="https://www.mysanantonio.com/news/local/article/Suspect-killed-by-polcie-during-chase-identified-6355557.php" TargetMode="External"/><Relationship Id="rId1225" Type="http://schemas.openxmlformats.org/officeDocument/2006/relationships/hyperlink" Target="https://www.newspapers.com/image/330166745/" TargetMode="External"/><Relationship Id="rId1432" Type="http://schemas.openxmlformats.org/officeDocument/2006/relationships/hyperlink" Target="https://www.history.com/topics/columbine-high-school-shootings" TargetMode="External"/><Relationship Id="rId1877" Type="http://schemas.openxmlformats.org/officeDocument/2006/relationships/hyperlink" Target="https://www.newspapers.com/image/180928555/?terms=school%20hostage&amp;match=1" TargetMode="External"/><Relationship Id="rId71" Type="http://schemas.openxmlformats.org/officeDocument/2006/relationships/hyperlink" Target="https://www.click2houston.com/news/local/2025/04/10/shooting-near-wisdom-high-school-sends-two-students-to-hospital-in-southwest-houston/" TargetMode="External"/><Relationship Id="rId802" Type="http://schemas.openxmlformats.org/officeDocument/2006/relationships/hyperlink" Target="https://www.dailyherald.com/news/20200714/prospect-heights-man-charged-after-shooting-near-frost-elementary-school" TargetMode="External"/><Relationship Id="rId1737" Type="http://schemas.openxmlformats.org/officeDocument/2006/relationships/hyperlink" Target="https://www.newspapers.com/image/281107557/?terms=eastern%2Bhigh%2Bschool%2Bshooting%2Bbaltimore" TargetMode="External"/><Relationship Id="rId29" Type="http://schemas.openxmlformats.org/officeDocument/2006/relationships/hyperlink" Target="https://abc7chicago.com/post/cpd-working-determine-motive-west-ridge-chicago-shooting-injured-teen-stone-scholastic-academy-soccer-field/17120134/" TargetMode="External"/><Relationship Id="rId178" Type="http://schemas.openxmlformats.org/officeDocument/2006/relationships/hyperlink" Target="https://www.11alive.com/article/news/crime/shots-fired-frederick-douglass-high-campus-car-follows-school-bus-engages-fight-with-students/85-bb8b6ad7-01b7-4f24-9681-b8711d7ac443" TargetMode="External"/><Relationship Id="rId1804" Type="http://schemas.openxmlformats.org/officeDocument/2006/relationships/hyperlink" Target="https://www.newspapers.com/image/81731406/?terms=Student%2Bshot" TargetMode="External"/><Relationship Id="rId385" Type="http://schemas.openxmlformats.org/officeDocument/2006/relationships/hyperlink" Target="https://www.wbaltv.com/article/baltimore-police-shooting-near-gilmore-elementary/45306369" TargetMode="External"/><Relationship Id="rId592" Type="http://schemas.openxmlformats.org/officeDocument/2006/relationships/hyperlink" Target="https://www.fox4news.com/news/officer-shot-during-active-shooter-training-forest-hill" TargetMode="External"/><Relationship Id="rId245" Type="http://schemas.openxmlformats.org/officeDocument/2006/relationships/hyperlink" Target="https://www.kxan.com/news/local/manor/police-dispute-leads-to-multiple-assaults-alleged-firearm-discharge-at-manor-football-stadium/" TargetMode="External"/><Relationship Id="rId452" Type="http://schemas.openxmlformats.org/officeDocument/2006/relationships/hyperlink" Target="https://doverpolice.org/2023/05/19/shots-fired-leaves-dover-home-and-fairview-elementary-school-damaged/" TargetMode="External"/><Relationship Id="rId897" Type="http://schemas.openxmlformats.org/officeDocument/2006/relationships/hyperlink" Target="https://abcnews.go.com/US/critical-condition-shooting-kansas-elementary-school-police/story?id=56340440" TargetMode="External"/><Relationship Id="rId1082" Type="http://schemas.openxmlformats.org/officeDocument/2006/relationships/hyperlink" Target="https://www.wsoctv.com/news/local/gunfire-school-campus-part-undercover-drug-operati/335014423" TargetMode="External"/><Relationship Id="rId105" Type="http://schemas.openxmlformats.org/officeDocument/2006/relationships/hyperlink" Target="https://westchester.news12.com/district-reports-of-shots-fired-near-newburgh-free-academy-forces-temporary-lockout" TargetMode="External"/><Relationship Id="rId312" Type="http://schemas.openxmlformats.org/officeDocument/2006/relationships/hyperlink" Target="https://www.wishtv.com/news/indiana-news/juvenile-shot-killed-in-neighborhood-near-middle-school-in-fort-wayne/" TargetMode="External"/><Relationship Id="rId757" Type="http://schemas.openxmlformats.org/officeDocument/2006/relationships/hyperlink" Target="https://www.insidenova.com/news/crime_police/police-investigate-shots-fired-in-dale-city-school-parking-lot/article_ffda50d0-0061-11ec-945a-9343d5248cec.html" TargetMode="External"/><Relationship Id="rId964" Type="http://schemas.openxmlformats.org/officeDocument/2006/relationships/hyperlink" Target="http://abc3340.com/news/local/greensboro-hs-student-in-police-custody-after-shooting-at-another-student" TargetMode="External"/><Relationship Id="rId1387" Type="http://schemas.openxmlformats.org/officeDocument/2006/relationships/hyperlink" Target="https://products.kitsapsun.com/archive/2001/04-21/0043_in_the_headlines.html" TargetMode="External"/><Relationship Id="rId1594" Type="http://schemas.openxmlformats.org/officeDocument/2006/relationships/hyperlink" Target="https://www.newspapers.com/image/129470000/?terms=%22shot%20high%20school%20football%22&amp;match=1" TargetMode="External"/><Relationship Id="rId93" Type="http://schemas.openxmlformats.org/officeDocument/2006/relationships/hyperlink" Target="https://kfor.com/news/local/oklahoma-city-police-says-tuesday-night-shooting-was-a-gun-battle-leaving-two-dead/" TargetMode="External"/><Relationship Id="rId617" Type="http://schemas.openxmlformats.org/officeDocument/2006/relationships/hyperlink" Target="https://www.fox6now.com/news/milwaukee-shooting-man-wounded-walnut-rooseselt-ms" TargetMode="External"/><Relationship Id="rId824" Type="http://schemas.openxmlformats.org/officeDocument/2006/relationships/hyperlink" Target="https://www.fox29.com/news/man-sentenced-to-70-years-for-shooting-that-killed-10-year-old-at-nj-high-school-football-game" TargetMode="External"/><Relationship Id="rId1247" Type="http://schemas.openxmlformats.org/officeDocument/2006/relationships/hyperlink" Target="https://mtstandard.com/news/local/anaconda-students-expelled-after-air-gun-shooting-incident/article_846a24e2-3d18-5764-a1a7-ccfb3bb8e820.html" TargetMode="External"/><Relationship Id="rId1454" Type="http://schemas.openxmlformats.org/officeDocument/2006/relationships/hyperlink" Target="http://www.psychceu.com/school_violence/savd.pdf" TargetMode="External"/><Relationship Id="rId1661" Type="http://schemas.openxmlformats.org/officeDocument/2006/relationships/hyperlink" Target="https://www.upi.com/Archives/1985/04/19/A-high-school-senior-burst-into-a-school-office/9347482734800/" TargetMode="External"/><Relationship Id="rId1107" Type="http://schemas.openxmlformats.org/officeDocument/2006/relationships/hyperlink" Target="https://www.wbtv.com/story/15592235/man-shot-twice-at-garinger-high-school-police-say/" TargetMode="External"/><Relationship Id="rId1314" Type="http://schemas.openxmlformats.org/officeDocument/2006/relationships/hyperlink" Target="https://www.nwitimes.com/news/local/lake-county-news-briefs/article_cc5c39db-4f11-5fc4-8024-c813bc7b21f9.html" TargetMode="External"/><Relationship Id="rId1521" Type="http://schemas.openxmlformats.org/officeDocument/2006/relationships/hyperlink" Target="https://www.newspapers.com/image/752371201/?terms=shot%20at%20school&amp;match=1" TargetMode="External"/><Relationship Id="rId1759" Type="http://schemas.openxmlformats.org/officeDocument/2006/relationships/hyperlink" Target="https://www.newspapers.com/image/139488488/?terms=school%2Bshooting" TargetMode="External"/><Relationship Id="rId1619" Type="http://schemas.openxmlformats.org/officeDocument/2006/relationships/hyperlink" Target="https://www.newspapers.com/image/322419384/?terms=MARIA%2BSOLIS" TargetMode="External"/><Relationship Id="rId1826" Type="http://schemas.openxmlformats.org/officeDocument/2006/relationships/hyperlink" Target="https://www.newspapers.com/image/238598927/?terms=school%2Bshooting" TargetMode="External"/><Relationship Id="rId20" Type="http://schemas.openxmlformats.org/officeDocument/2006/relationships/hyperlink" Target="https://www.actionnews5.com/2025/08/20/shots-fired-riverview-middle-school-one-woman-detained-police-say/" TargetMode="External"/><Relationship Id="rId267" Type="http://schemas.openxmlformats.org/officeDocument/2006/relationships/hyperlink" Target="https://www.pahomepage.com/news/shots-fired-behind-luzerne-county-school-juveniles-charged/" TargetMode="External"/><Relationship Id="rId474" Type="http://schemas.openxmlformats.org/officeDocument/2006/relationships/hyperlink" Target="https://www.ajc.com/education/bullet-damage-found-twice-at-cobb-county-elementary-school/KZVVQFK33VFVPK7AIBKELPI62A/" TargetMode="External"/><Relationship Id="rId127" Type="http://schemas.openxmlformats.org/officeDocument/2006/relationships/hyperlink" Target="https://www.ctpost.com/news/article/new-haven-shooting-teen-hillhouse-19937015.php" TargetMode="External"/><Relationship Id="rId681" Type="http://schemas.openxmlformats.org/officeDocument/2006/relationships/hyperlink" Target="https://www.actionnews5.com/2022/03/26/shots-fired-during-candlelight-vigil-brighton-high-school/" TargetMode="External"/><Relationship Id="rId779" Type="http://schemas.openxmlformats.org/officeDocument/2006/relationships/hyperlink" Target="https://www.timesunion.com/news/article/Town-of-Perth-man-charged-for-alleged-animal-16084406.php" TargetMode="External"/><Relationship Id="rId986" Type="http://schemas.openxmlformats.org/officeDocument/2006/relationships/hyperlink" Target="https://www.wcpo.com/news/local-news/hamilton-county/cincinnati/three-people-shot-after-elder-high-soccer-game" TargetMode="External"/><Relationship Id="rId334" Type="http://schemas.openxmlformats.org/officeDocument/2006/relationships/hyperlink" Target="https://abc13.com/houston-crime-fulton-street-shooting-near-schools-northside-high-school/14113773/" TargetMode="External"/><Relationship Id="rId541" Type="http://schemas.openxmlformats.org/officeDocument/2006/relationships/hyperlink" Target="https://gephardtdaily.com/local/man-18-jailed-after-allegedly-firing-gun-during-fight-outside-st-george-elementary-school/" TargetMode="External"/><Relationship Id="rId639" Type="http://schemas.openxmlformats.org/officeDocument/2006/relationships/hyperlink" Target="https://www.13abc.com/2023/05/15/woman-convicted-firing-gun-toledo-elementary-school-property/" TargetMode="External"/><Relationship Id="rId1171" Type="http://schemas.openxmlformats.org/officeDocument/2006/relationships/hyperlink" Target="https://www.pressreader.com/usa/the-dallas-morning-news/20070629/282364035265089" TargetMode="External"/><Relationship Id="rId1269" Type="http://schemas.openxmlformats.org/officeDocument/2006/relationships/hyperlink" Target="https://journaltimes.com/news/local/two-shot-outside-game/article_d47cc868-bebb-5507-a91c-f48063e43285.html" TargetMode="External"/><Relationship Id="rId1476" Type="http://schemas.openxmlformats.org/officeDocument/2006/relationships/hyperlink" Target="http://articles.latimes.com/1995-01-25/news/mn-24213_1_attitude-problem" TargetMode="External"/><Relationship Id="rId401" Type="http://schemas.openxmlformats.org/officeDocument/2006/relationships/hyperlink" Target="https://www.arkansasonline.com/news/2023/sep/11/north-little-rock-police-responding-to-gunshot-fired-inside-premiere-high-school/" TargetMode="External"/><Relationship Id="rId846" Type="http://schemas.openxmlformats.org/officeDocument/2006/relationships/hyperlink" Target="https://chicago.suntimes.com/crime/2019/6/6/18656020/genevieve-melody-school-court-shooting" TargetMode="External"/><Relationship Id="rId1031" Type="http://schemas.openxmlformats.org/officeDocument/2006/relationships/hyperlink" Target="http://archive.jsonline.com/news/crime/milwaukee-man-charged-in-wisconsin-lutheran-high-school-shooting-b99431381z1-289512441.html/" TargetMode="External"/><Relationship Id="rId1129" Type="http://schemas.openxmlformats.org/officeDocument/2006/relationships/hyperlink" Target="https://www.columbine-angels.com/School_Violence_2008-2009.htm" TargetMode="External"/><Relationship Id="rId1683" Type="http://schemas.openxmlformats.org/officeDocument/2006/relationships/hyperlink" Target="https://www.newspapers.com/image/371003589/?terms=student%2Bshot&amp;match=10" TargetMode="External"/><Relationship Id="rId1890" Type="http://schemas.openxmlformats.org/officeDocument/2006/relationships/hyperlink" Target="https://www.newspapers.com/image/43852213/?terms=school%20shooting&amp;match=1" TargetMode="External"/><Relationship Id="rId706" Type="http://schemas.openxmlformats.org/officeDocument/2006/relationships/hyperlink" Target="https://bronx.news12.com/nypd-shots-fired-outside-of-p-s-26-in-brooklyn-no-injuries-reported" TargetMode="External"/><Relationship Id="rId913" Type="http://schemas.openxmlformats.org/officeDocument/2006/relationships/hyperlink" Target="https://pilotonline.com/news/local/crime/article_32543292-2bcc-11e8-a262-877b86c9daad.html" TargetMode="External"/><Relationship Id="rId1336" Type="http://schemas.openxmlformats.org/officeDocument/2006/relationships/hyperlink" Target="https://dailyegyptian.com/27496/archives/man-shot-in-leg-cchs-game/" TargetMode="External"/><Relationship Id="rId1543" Type="http://schemas.openxmlformats.org/officeDocument/2006/relationships/hyperlink" Target="https://www.newspapers.com/image/296856537/?terms=Hamilton%2BMiddle%2BSchool%2Bshooting" TargetMode="External"/><Relationship Id="rId1750" Type="http://schemas.openxmlformats.org/officeDocument/2006/relationships/hyperlink" Target="https://www.newspapers.com/image/98660556/?terms=school%2Bshooting" TargetMode="External"/><Relationship Id="rId42" Type="http://schemas.openxmlformats.org/officeDocument/2006/relationships/hyperlink" Target="https://www.khon2.com/local-news/big-island-police-investigating-overnight-shooting/" TargetMode="External"/><Relationship Id="rId1403" Type="http://schemas.openxmlformats.org/officeDocument/2006/relationships/hyperlink" Target="http://tucsoncitizen.com/morgue2/2000/10/25/84611-teen-holds-class-teacher-hostage-at-his-former-glendale-school/" TargetMode="External"/><Relationship Id="rId1610" Type="http://schemas.openxmlformats.org/officeDocument/2006/relationships/hyperlink" Target="https://www.newspapers.com/image/67975492/?terms=school%2Bbus%2Bshooting" TargetMode="External"/><Relationship Id="rId1848" Type="http://schemas.openxmlformats.org/officeDocument/2006/relationships/hyperlink" Target="https://www.newspapers.com/image/179956712" TargetMode="External"/><Relationship Id="rId191" Type="http://schemas.openxmlformats.org/officeDocument/2006/relationships/hyperlink" Target="https://www.justice.gov/usao-sdny/pr/four-bronx-men-charged-federal-firearms-offenses-engaging-school-zone-shootout" TargetMode="External"/><Relationship Id="rId1708" Type="http://schemas.openxmlformats.org/officeDocument/2006/relationships/hyperlink" Target="https://www.newspapers.com/image/209382299/?terms=student%2BshoT" TargetMode="External"/><Relationship Id="rId289" Type="http://schemas.openxmlformats.org/officeDocument/2006/relationships/hyperlink" Target="https://www.tdtnews.com/news/central_texas_news/article_7e843b90-e0bf-11ee-893d-d3842fe6ed82.html" TargetMode="External"/><Relationship Id="rId496" Type="http://schemas.openxmlformats.org/officeDocument/2006/relationships/hyperlink" Target="https://www.wusa9.com/article/news/local/dc/teen-shot-cardozo-education-campus/65-38ad044a-189d-40e8-bf39-30ff4c855188" TargetMode="External"/><Relationship Id="rId149" Type="http://schemas.openxmlformats.org/officeDocument/2006/relationships/hyperlink" Target="https://www.theadvocate.com/acadiana/news/crime_police/construction-worker-accidentally-shoots-himself-on-lafayette-high-school-campus/article_7e234a80-8d5b-11ef-bfd0-a7ff871461a2.html" TargetMode="External"/><Relationship Id="rId356" Type="http://schemas.openxmlformats.org/officeDocument/2006/relationships/hyperlink" Target="https://www.news4jax.com/news/local/2023/10/26/mother-shot-as-father-adult-son-struggle-over-gun-in-school-parking-lot-police-say/" TargetMode="External"/><Relationship Id="rId563" Type="http://schemas.openxmlformats.org/officeDocument/2006/relationships/hyperlink" Target="https://www.wftv.com/news/local/orange-county/orange-county-deputies-search-suspect-after-teen-shot-near-wekiva-high-school/XMT6V3ZCMVGOBHT2OKVEMFVLLI/" TargetMode="External"/><Relationship Id="rId770" Type="http://schemas.openxmlformats.org/officeDocument/2006/relationships/hyperlink" Target="https://www.chicagotribune.com/suburbs/post-tribune/ct-ptb-courts-riley-murder-st-0407-20210406-iuwci7kygfet5iwmiwcxasuwfa-story.html" TargetMode="External"/><Relationship Id="rId1193" Type="http://schemas.openxmlformats.org/officeDocument/2006/relationships/hyperlink" Target="https://www.columbine-angels.com/School_Violence_2006-2007.htm" TargetMode="External"/><Relationship Id="rId216" Type="http://schemas.openxmlformats.org/officeDocument/2006/relationships/hyperlink" Target="https://www.kiro7.com/news/local/man-arrested-after-firing-gun-car-mountlake-terrace-elementary-school-parking-lot/Y75A2CSUR5F7PN3SB4KQSIPLME/" TargetMode="External"/><Relationship Id="rId423" Type="http://schemas.openxmlformats.org/officeDocument/2006/relationships/hyperlink" Target="https://www.atlantanewsfirst.com/2023/08/20/discipline-issues-tiktok-challenges-several-high-school-football-games-canceled/" TargetMode="External"/><Relationship Id="rId868" Type="http://schemas.openxmlformats.org/officeDocument/2006/relationships/hyperlink" Target="https://wtkr.com/2018/11/20/shot-fired-by-portsmouth-elementary-school-police-investigate/" TargetMode="External"/><Relationship Id="rId1053" Type="http://schemas.openxmlformats.org/officeDocument/2006/relationships/hyperlink" Target="https://www.myarklamiss.com/crime/update-17-year-old-arrested-in-connection-with-friday-nights-shooting-in-madison-parish/166472643" TargetMode="External"/><Relationship Id="rId1260" Type="http://schemas.openxmlformats.org/officeDocument/2006/relationships/hyperlink" Target="https://www.michigandaily.com/content/school-shooting-injures-student" TargetMode="External"/><Relationship Id="rId1498" Type="http://schemas.openxmlformats.org/officeDocument/2006/relationships/hyperlink" Target="https://www.newspapers.com/image/195155455/?terms=Harold%2BPage%2BIII" TargetMode="External"/><Relationship Id="rId630" Type="http://schemas.openxmlformats.org/officeDocument/2006/relationships/hyperlink" Target="https://www.klfy.com/local/vermilion-parish/shooting-near-j-h-middle-school-in-abbeville-under-investigation/" TargetMode="External"/><Relationship Id="rId728" Type="http://schemas.openxmlformats.org/officeDocument/2006/relationships/hyperlink" Target="https://www.santafenewmexican.com/news/local_news/suspect-in-shooting-spree-near-santa-fe-indian-school-charged-with-murder/article_29ff33f0-5e89-11ec-b003-9f6af4c814ff.html" TargetMode="External"/><Relationship Id="rId935" Type="http://schemas.openxmlformats.org/officeDocument/2006/relationships/hyperlink" Target="https://www.nbcdfw.com/news/local/Dallas-ISD-Gun-Accidentally-Goes-Off-in-3rd-Grade-Classroom-464473823.html" TargetMode="External"/><Relationship Id="rId1358" Type="http://schemas.openxmlformats.org/officeDocument/2006/relationships/hyperlink" Target="https://azdailysun.com/teen-shoots-himself-in-principal-s-office/article_4262b5f6-0d4a-536c-9859-fb77384f957a.html" TargetMode="External"/><Relationship Id="rId1565" Type="http://schemas.openxmlformats.org/officeDocument/2006/relationships/hyperlink" Target="https://www.newspapers.com/image/200149579/?terms=Garinger%2BHigh%2BSchool%2Bshooting" TargetMode="External"/><Relationship Id="rId1772" Type="http://schemas.openxmlformats.org/officeDocument/2006/relationships/hyperlink" Target="https://news.google.com/newspapers?id=gblHAAAAIBAJ&amp;pg=3465,1557281" TargetMode="External"/><Relationship Id="rId64" Type="http://schemas.openxmlformats.org/officeDocument/2006/relationships/hyperlink" Target="https://www.wdbj7.com/2025/04/18/student-who-shot-4-dallas-high-school-was-targeting-specific-student-school-police-chief-says/" TargetMode="External"/><Relationship Id="rId1120" Type="http://schemas.openxmlformats.org/officeDocument/2006/relationships/hyperlink" Target="http://www.wsaw.com/home/headlines/44225502.html" TargetMode="External"/><Relationship Id="rId1218" Type="http://schemas.openxmlformats.org/officeDocument/2006/relationships/hyperlink" Target="https://www.newspapers.com/image/106551825/?terms=Oxford%2BHigh%2BSchool%2BHawkins%2Bshot" TargetMode="External"/><Relationship Id="rId1425" Type="http://schemas.openxmlformats.org/officeDocument/2006/relationships/hyperlink" Target="http://articles.latimes.com/1999/oct/22/local/me-24932" TargetMode="External"/><Relationship Id="rId1632" Type="http://schemas.openxmlformats.org/officeDocument/2006/relationships/hyperlink" Target="https://www.newspapers.com/image/229316333/?terms=oscar%2Bmartinez" TargetMode="External"/><Relationship Id="rId280" Type="http://schemas.openxmlformats.org/officeDocument/2006/relationships/hyperlink" Target="https://abc7.com/diamond-ranch-high-school-gun-students-caught-on-video/14557728/" TargetMode="External"/><Relationship Id="rId140" Type="http://schemas.openxmlformats.org/officeDocument/2006/relationships/hyperlink" Target="https://www.cbsnews.com/chicago/news/shooting-school-chicago-uptown-neighborhood/" TargetMode="External"/><Relationship Id="rId378" Type="http://schemas.openxmlformats.org/officeDocument/2006/relationships/hyperlink" Target="https://www.azfamily.com/2023/10/03/shots-fired-during-football-practice-near-west-phoenix-high-school/" TargetMode="External"/><Relationship Id="rId585" Type="http://schemas.openxmlformats.org/officeDocument/2006/relationships/hyperlink" Target="https://katu.com/news/local/police-investigate-shooting-near-mcminnville-high-school" TargetMode="External"/><Relationship Id="rId792" Type="http://schemas.openxmlformats.org/officeDocument/2006/relationships/hyperlink" Target="https://www.kwqc.com/2020/09/27/police-man-found-in-school-stairwell-and-arrested-after-shooting-friday-night/" TargetMode="External"/><Relationship Id="rId6" Type="http://schemas.openxmlformats.org/officeDocument/2006/relationships/hyperlink" Target="https://www.fox5dc.com/news/2-teens-shot-near-dc-charter-school-back-to-school-night-canceled" TargetMode="External"/><Relationship Id="rId238" Type="http://schemas.openxmlformats.org/officeDocument/2006/relationships/hyperlink" Target="https://www.wfla.com/news/florida/man-fatally-shot-in-parking-lot-of-north-marion-middle-school-during-awards-ceremony/" TargetMode="External"/><Relationship Id="rId445" Type="http://schemas.openxmlformats.org/officeDocument/2006/relationships/hyperlink" Target="https://news.yahoo.com/fort-worth-man-shot-near-012048702.html?guccounter=1&amp;guce_referrer=aHR0cHM6Ly93d3cuZ29vZ2xlLmNvbS8&amp;guce_referrer_sig=AQAAABJIcvttMv8xsAuRvsDxvk35jWdjY6pydSEBlBolFEbIzh1dkmrLAxX9HfNybnJR3OW0lC-1BPWz6WzO3b_mG1CxdvT7iB5WrdNqIpVp3sfAUnLgQuIZJ28DaLsqlZr_MlZ7YEXAaBSoCykD4i9KuC0sPwZD4jlwrSXELIDqY4fX" TargetMode="External"/><Relationship Id="rId652" Type="http://schemas.openxmlformats.org/officeDocument/2006/relationships/hyperlink" Target="https://www.msn.com/en-us/news/crime/shots-fired-near-john-finney-cause-lockdown/ar-AAZNJZH?ocid=hplocalnews&amp;srcref=rss" TargetMode="External"/><Relationship Id="rId1075" Type="http://schemas.openxmlformats.org/officeDocument/2006/relationships/hyperlink" Target="https://www.pressherald.com/2013/09/28/19-year-old-kills-himself-at-gray-new-gloucester-high-school/" TargetMode="External"/><Relationship Id="rId1282" Type="http://schemas.openxmlformats.org/officeDocument/2006/relationships/hyperlink" Target="https://cumberlink.com/news/murder-suicide-shocks-school/article_f20ad9ba-ef8b-5fc1-bf1e-2507ab486715.html" TargetMode="External"/><Relationship Id="rId305" Type="http://schemas.openxmlformats.org/officeDocument/2006/relationships/hyperlink" Target="https://www.cbsnews.com/sacramento/news/shooting-investigation-underway-at-grant-union-high-school-in-sacramento/" TargetMode="External"/><Relationship Id="rId512" Type="http://schemas.openxmlformats.org/officeDocument/2006/relationships/hyperlink" Target="https://www.cbsnews.com/newyork/live-updates/nypd-says-three-manhattan-shootings-may-be-connected/" TargetMode="External"/><Relationship Id="rId957" Type="http://schemas.openxmlformats.org/officeDocument/2006/relationships/hyperlink" Target="https://www.ajc.com/news/crime--law/veteran-lithia-springs-high-teacher-shoots-self-school-classes-canceled/ySkZFldVAcQEqaXTYrihbK/" TargetMode="External"/><Relationship Id="rId1142" Type="http://schemas.openxmlformats.org/officeDocument/2006/relationships/hyperlink" Target="https://www.eastbaytimes.com/2008/11/24/oaklands-cole-middle-school-to-use-metal-detectors-after-recent-gun-scare/" TargetMode="External"/><Relationship Id="rId1587" Type="http://schemas.openxmlformats.org/officeDocument/2006/relationships/hyperlink" Target="https://www.newspapers.com/image/228504621/?terms=student%2Bshot" TargetMode="External"/><Relationship Id="rId1794" Type="http://schemas.openxmlformats.org/officeDocument/2006/relationships/hyperlink" Target="https://www.newspapers.com/image/68536508/?terms=school%2Bshooting" TargetMode="External"/><Relationship Id="rId86" Type="http://schemas.openxmlformats.org/officeDocument/2006/relationships/hyperlink" Target="https://www.cbsnews.com/losangeles/news/two-arrested-for-armed-robbery-at-moreno-valley-high-school/" TargetMode="External"/><Relationship Id="rId817" Type="http://schemas.openxmlformats.org/officeDocument/2006/relationships/hyperlink" Target="https://www.wptv.com/news/region-the-glades/belle-glade/lockdown-lifted-at-glades-central-high-school-following-shooting" TargetMode="External"/><Relationship Id="rId1002" Type="http://schemas.openxmlformats.org/officeDocument/2006/relationships/hyperlink" Target="http://www.delcotimes.com/general-news/20160222/cops-chester-probes-source-of-gun-teen-used-in-shooting" TargetMode="External"/><Relationship Id="rId1447" Type="http://schemas.openxmlformats.org/officeDocument/2006/relationships/hyperlink" Target="https://www.questia.com/newspaper/1G1-57464504/two-students-shot-1-dead-teens-attacked-near-ribault" TargetMode="External"/><Relationship Id="rId1654" Type="http://schemas.openxmlformats.org/officeDocument/2006/relationships/hyperlink" Target="https://www.upi.com/Archives/1985/10/18/A-gunman-stepped-out-of-a-car-and-sprayed/5334498456000/" TargetMode="External"/><Relationship Id="rId1861" Type="http://schemas.openxmlformats.org/officeDocument/2006/relationships/hyperlink" Target="https://www.newspapers.com/image/23768017/?terms=school%2Bshooting" TargetMode="External"/><Relationship Id="rId1307" Type="http://schemas.openxmlformats.org/officeDocument/2006/relationships/hyperlink" Target="http://blog.al.com/spotnews/2009/04/suspect_in_drugrelated_titusvi.html" TargetMode="External"/><Relationship Id="rId1514" Type="http://schemas.openxmlformats.org/officeDocument/2006/relationships/hyperlink" Target="https://people.com/archive/roll-call-of-the-dead-vol-39-no-23/" TargetMode="External"/><Relationship Id="rId1721" Type="http://schemas.openxmlformats.org/officeDocument/2006/relationships/hyperlink" Target="https://www.newspapers.com/newspage/106527312/" TargetMode="External"/><Relationship Id="rId13" Type="http://schemas.openxmlformats.org/officeDocument/2006/relationships/hyperlink" Target="https://www.fox4news.com/news/father-shot-teen-fight-mesquite" TargetMode="External"/><Relationship Id="rId1819" Type="http://schemas.openxmlformats.org/officeDocument/2006/relationships/hyperlink" Target="https://www.newspapers.com/image/271348834/?terms=school%2Bshooting" TargetMode="External"/><Relationship Id="rId162" Type="http://schemas.openxmlformats.org/officeDocument/2006/relationships/hyperlink" Target="https://www.nbclosangeles.com/news/local/bellflower-shooting-saint-john-bosco-high-school/3528620/" TargetMode="External"/><Relationship Id="rId467" Type="http://schemas.openxmlformats.org/officeDocument/2006/relationships/hyperlink" Target="https://www.14news.com/2023/05/05/epd-investigating-early-friday-shooting-near-lincoln-school/" TargetMode="External"/><Relationship Id="rId1097" Type="http://schemas.openxmlformats.org/officeDocument/2006/relationships/hyperlink" Target="https://www.newspapers.com/image/452822197" TargetMode="External"/><Relationship Id="rId674" Type="http://schemas.openxmlformats.org/officeDocument/2006/relationships/hyperlink" Target="https://krcrtv.com/news/local/video-reports-of-shots-fired-near-middle-school" TargetMode="External"/><Relationship Id="rId881" Type="http://schemas.openxmlformats.org/officeDocument/2006/relationships/hyperlink" Target="https://www.wsav.com/news/local-news/update-student-found-shot-at-appling-co-hs-declared-dead-coroner-says/" TargetMode="External"/><Relationship Id="rId979" Type="http://schemas.openxmlformats.org/officeDocument/2006/relationships/hyperlink" Target="https://www.denverpost.com/2016/11/04/authorities-id-joshua-francis-berthoud-high-school-suicide/" TargetMode="External"/><Relationship Id="rId327" Type="http://schemas.openxmlformats.org/officeDocument/2006/relationships/hyperlink" Target="https://www.fox6now.com/news/waukesha-school-road-rage-charge" TargetMode="External"/><Relationship Id="rId534" Type="http://schemas.openxmlformats.org/officeDocument/2006/relationships/hyperlink" Target="https://www.9news.com/article/news/crime/downtown-denver-shooting/73-3ca39d22-248c-4bb5-8fc5-d79efdb59ec3" TargetMode="External"/><Relationship Id="rId741" Type="http://schemas.openxmlformats.org/officeDocument/2006/relationships/hyperlink" Target="https://www.ksdk.com/article/news/local/hazelwood-parents-bring-gun-school/63-858a7bac-0311-4c92-8471-c2770c2c7716" TargetMode="External"/><Relationship Id="rId839" Type="http://schemas.openxmlformats.org/officeDocument/2006/relationships/hyperlink" Target="https://cumberlink.com/news/local/crime-and-courts/school-saint-patrick-parent-accidentally-fires-gun-injures-self-in/article_d58b284e-fd55-5d1f-bf83-91de12e5302d.html" TargetMode="External"/><Relationship Id="rId1164" Type="http://schemas.openxmlformats.org/officeDocument/2006/relationships/hyperlink" Target="https://www.newspapers.com/image/432388038/?terms=student%2Bshot" TargetMode="External"/><Relationship Id="rId1371" Type="http://schemas.openxmlformats.org/officeDocument/2006/relationships/hyperlink" Target="https://www.newspapers.com/image/4986183/" TargetMode="External"/><Relationship Id="rId1469" Type="http://schemas.openxmlformats.org/officeDocument/2006/relationships/hyperlink" Target="https://www.columbine-angels.com/School_Violence_1995-1996.htm" TargetMode="External"/><Relationship Id="rId601" Type="http://schemas.openxmlformats.org/officeDocument/2006/relationships/hyperlink" Target="https://fox40.com/news/local-news/sacramento/sacramento-police-arrest-suspect-in-grant-union-high-school-parking-lot-shooting/" TargetMode="External"/><Relationship Id="rId1024" Type="http://schemas.openxmlformats.org/officeDocument/2006/relationships/hyperlink" Target="https://www.cbsnews.com/news/boy-11-arrested-after-accidentally-firing-handgun-at-school/" TargetMode="External"/><Relationship Id="rId1231" Type="http://schemas.openxmlformats.org/officeDocument/2006/relationships/hyperlink" Target="http://articles.sun-sentinel.com/2006-05-07/news/0605060367_1_charter-school-parking-lot-office-bill-robertson" TargetMode="External"/><Relationship Id="rId1676" Type="http://schemas.openxmlformats.org/officeDocument/2006/relationships/hyperlink" Target="https://www.newspapers.com/newspage/99072089/" TargetMode="External"/><Relationship Id="rId1883" Type="http://schemas.openxmlformats.org/officeDocument/2006/relationships/hyperlink" Target="https://www.newspapers.com/image/24753806/?terms=school%20shooting&amp;match=1" TargetMode="External"/><Relationship Id="rId906" Type="http://schemas.openxmlformats.org/officeDocument/2006/relationships/hyperlink" Target="https://www.mlive.com/news/jackson/index.ssf/2018/04/no_arrests_made_yet_after_jack.html" TargetMode="External"/><Relationship Id="rId1329" Type="http://schemas.openxmlformats.org/officeDocument/2006/relationships/hyperlink" Target="https://www.chron.com/news/houston-texas/article/Fifth-grader-accidentally-shoots-himself-at-school-1979500.php" TargetMode="External"/><Relationship Id="rId1536" Type="http://schemas.openxmlformats.org/officeDocument/2006/relationships/hyperlink" Target="https://www.detroitnews.com/story/news/local/oakland-county/2021/11/30/school-shootings-michigan-oxford-high-school-history-bath-school-bombing/8812624002/" TargetMode="External"/><Relationship Id="rId1743" Type="http://schemas.openxmlformats.org/officeDocument/2006/relationships/hyperlink" Target="https://www.newspapers.com/image/396100647/?terms=school%2Bshooting" TargetMode="External"/><Relationship Id="rId35" Type="http://schemas.openxmlformats.org/officeDocument/2006/relationships/hyperlink" Target="https://www.freep.com/story/news/local/michigan/detroit/2025/06/27/child-teenager-killed-triple-shooting-denby-high-school/84394657007/" TargetMode="External"/><Relationship Id="rId1603" Type="http://schemas.openxmlformats.org/officeDocument/2006/relationships/hyperlink" Target="https://www.newspapers.com/image/299882814/?terms=Lincoln%2BHigh%2BSchool%2Bdallas%2Bpep%2Brally" TargetMode="External"/><Relationship Id="rId1810" Type="http://schemas.openxmlformats.org/officeDocument/2006/relationships/hyperlink" Target="https://www.newspapers.com/image/381696060/?terms=school%2Bshooting" TargetMode="External"/><Relationship Id="rId184" Type="http://schemas.openxmlformats.org/officeDocument/2006/relationships/hyperlink" Target="https://www.kbtx.com/2024/09/07/school-district-employee-arrested-after-pointing-gun-students-head-police-say/" TargetMode="External"/><Relationship Id="rId391" Type="http://schemas.openxmlformats.org/officeDocument/2006/relationships/hyperlink" Target="https://abc7chicago.com/chicago-shooting-albany-park-boy-shot-crime-crimes-volta-elementary-school-police-news/13808290/" TargetMode="External"/><Relationship Id="rId251" Type="http://schemas.openxmlformats.org/officeDocument/2006/relationships/hyperlink" Target="https://www.wbaltv.com/article/middle-school-students-shot-copeland-street-annapolis/60704250" TargetMode="External"/><Relationship Id="rId489" Type="http://schemas.openxmlformats.org/officeDocument/2006/relationships/hyperlink" Target="https://www.witn.com/2023/04/07/greenville-police-investigating-apparent-accidental-shooting-school-bus/" TargetMode="External"/><Relationship Id="rId696" Type="http://schemas.openxmlformats.org/officeDocument/2006/relationships/hyperlink" Target="https://www.fox5atlanta.com/news/southwest-dekalb-high-school-student-accidentally-shot" TargetMode="External"/><Relationship Id="rId349" Type="http://schemas.openxmlformats.org/officeDocument/2006/relationships/hyperlink" Target="https://www.wtvm.com/2023/11/03/smiths-station-student-arrested-multiple-charges-including-terrorist-threats-charge/" TargetMode="External"/><Relationship Id="rId556" Type="http://schemas.openxmlformats.org/officeDocument/2006/relationships/hyperlink" Target="https://www.usnews.com/news/best-states/vermont/articles/2023-01-11/police-teacher-shot-with-pellet-gun-injury-superficial" TargetMode="External"/><Relationship Id="rId763" Type="http://schemas.openxmlformats.org/officeDocument/2006/relationships/hyperlink" Target="https://www.kark.com/news/local-news/little-rock-police-investigating-shooting-near-elementary-school-no-injuries-reported/" TargetMode="External"/><Relationship Id="rId1186" Type="http://schemas.openxmlformats.org/officeDocument/2006/relationships/hyperlink" Target="https://www.columbine-angels.com/School_Violence_2006-2007.htm" TargetMode="External"/><Relationship Id="rId1393" Type="http://schemas.openxmlformats.org/officeDocument/2006/relationships/hyperlink" Target="https://www.statesman.com/story/news/2018/05/18/santa-fe-is-the-deadliest-school-shooting-in-texas-since-ut-tower-shooting/10370668007/" TargetMode="External"/><Relationship Id="rId111" Type="http://schemas.openxmlformats.org/officeDocument/2006/relationships/hyperlink" Target="https://www.fox29.com/news/2-hospitalized-after-shooting-near-philly-middle-school-officials" TargetMode="External"/><Relationship Id="rId209" Type="http://schemas.openxmlformats.org/officeDocument/2006/relationships/hyperlink" Target="https://www.supertalk.fm/elderly-man-arrested-for-shooting-at-marion-county-school/" TargetMode="External"/><Relationship Id="rId416" Type="http://schemas.openxmlformats.org/officeDocument/2006/relationships/hyperlink" Target="https://www.taosnews.com/public-safety/taos-county-sheriffs-deputies-respond-to-shooting-near-ranchos-elementary-school/article_e0cf0aba-42ee-11ee-a38f-e3c0caddebe6.html" TargetMode="External"/><Relationship Id="rId970" Type="http://schemas.openxmlformats.org/officeDocument/2006/relationships/hyperlink" Target="https://www.thecalifornian.com/story/news/my-safety/2017/03/21/authorities-hunt-king-city-school-shooting-suspect/99464446/" TargetMode="External"/><Relationship Id="rId1046" Type="http://schemas.openxmlformats.org/officeDocument/2006/relationships/hyperlink" Target="https://www.nbcbayarea.com/news/local/Student-Shot-Kennedy-High-School-in-Richmond-on-Lockdown-259238751.html" TargetMode="External"/><Relationship Id="rId1253" Type="http://schemas.openxmlformats.org/officeDocument/2006/relationships/hyperlink" Target="https://www.nytimes.com/2006/01/05/nyregion/gangs-tied-to-violence-near-jersey-city-school.html" TargetMode="External"/><Relationship Id="rId1698" Type="http://schemas.openxmlformats.org/officeDocument/2006/relationships/hyperlink" Target="https://www.newspapers.com/image/356116122/?terms=STUDENT%2BSHOOTS" TargetMode="External"/><Relationship Id="rId623" Type="http://schemas.openxmlformats.org/officeDocument/2006/relationships/hyperlink" Target="https://www.11alive.com/article/news/state/gunfire-ends-high-school-football-game/85-ab5afbe9-ea46-4bbf-88ee-7add3fa67ef3" TargetMode="External"/><Relationship Id="rId830" Type="http://schemas.openxmlformats.org/officeDocument/2006/relationships/hyperlink" Target="https://wtop.com/dc/2019/09/northeast-shooting-sends-bullet-into-dc-elementary-school/" TargetMode="External"/><Relationship Id="rId928" Type="http://schemas.openxmlformats.org/officeDocument/2006/relationships/hyperlink" Target="https://lagniappemobile.com/police-student-fired-weapon-indiscriminately-campus/" TargetMode="External"/><Relationship Id="rId1460" Type="http://schemas.openxmlformats.org/officeDocument/2006/relationships/hyperlink" Target="https://www.upi.com/Archives/1996/10/10/Teen-charged-in-school-bus-slaying/5274844920000/" TargetMode="External"/><Relationship Id="rId1558" Type="http://schemas.openxmlformats.org/officeDocument/2006/relationships/hyperlink" Target="https://www.newspapers.com/image/300249662/?terms=Madison%2BHigh%2BSchool%2Bshooting%2Bhouston" TargetMode="External"/><Relationship Id="rId1765" Type="http://schemas.openxmlformats.org/officeDocument/2006/relationships/hyperlink" Target="https://www.newspapers.com/image/347216054/?terms=school%2Bshooting" TargetMode="External"/><Relationship Id="rId57" Type="http://schemas.openxmlformats.org/officeDocument/2006/relationships/hyperlink" Target="https://abc13.com/post/eisenhower-senior-high-school-students-seen-shooting-bayou-placing-campus-lockdown-aldine-isd-says/16286440/" TargetMode="External"/><Relationship Id="rId1113" Type="http://schemas.openxmlformats.org/officeDocument/2006/relationships/hyperlink" Target="https://www.newspapers.com/image/310759931/?terms=school%2B%2Bbus%2Bshooting" TargetMode="External"/><Relationship Id="rId1320" Type="http://schemas.openxmlformats.org/officeDocument/2006/relationships/hyperlink" Target="https://www.deseretnews.com/article/595065631/Man-kills-wife-self-at-West-High.html" TargetMode="External"/><Relationship Id="rId1418" Type="http://schemas.openxmlformats.org/officeDocument/2006/relationships/hyperlink" Target="http://www.tbo.com/pasco-county/teen-who-accidentally-shot-friend-lands-in-jail-as-adult-87255" TargetMode="External"/><Relationship Id="rId1625" Type="http://schemas.openxmlformats.org/officeDocument/2006/relationships/hyperlink" Target="https://www.newspapers.com/image/174030895/?terms=student%2Bshoots" TargetMode="External"/><Relationship Id="rId1832" Type="http://schemas.openxmlformats.org/officeDocument/2006/relationships/hyperlink" Target="https://www.newspapers.com/image/372317689/?terms=school%2Bshooting" TargetMode="External"/><Relationship Id="rId273" Type="http://schemas.openxmlformats.org/officeDocument/2006/relationships/hyperlink" Target="https://www.krqe.com/news/crime/gun-pulled-on-teacher-at-pecos-elementary-school/" TargetMode="External"/><Relationship Id="rId480" Type="http://schemas.openxmlformats.org/officeDocument/2006/relationships/hyperlink" Target="https://katv.com/news/local/shooting-near-central-high-school-causes-brief-lockdown-15th-and-jones-street" TargetMode="External"/><Relationship Id="rId133" Type="http://schemas.openxmlformats.org/officeDocument/2006/relationships/hyperlink" Target="https://www.cbsnews.com/chicago/news/staff-stop-potential-school-shooting-in-kenosha-wisconsin/" TargetMode="External"/><Relationship Id="rId340" Type="http://schemas.openxmlformats.org/officeDocument/2006/relationships/hyperlink" Target="https://www.thenewsherald.com/2023/11/15/resource-officer-promptly-arrests-student-with-loaded-gun-knife-in-backpack-at-lphs/" TargetMode="External"/><Relationship Id="rId578" Type="http://schemas.openxmlformats.org/officeDocument/2006/relationships/hyperlink" Target="https://www.fox6now.com/news/milwaukee-teen-fatally-shot-during-south-division-basketball-game" TargetMode="External"/><Relationship Id="rId785" Type="http://schemas.openxmlformats.org/officeDocument/2006/relationships/hyperlink" Target="https://spectrumlocalnews.com/nys/rochester/public-safety/2020/10/29/rpd--bullet-hits-rochester-prep-charter-school-in-apparent-drive-by-shooting-" TargetMode="External"/><Relationship Id="rId992" Type="http://schemas.openxmlformats.org/officeDocument/2006/relationships/hyperlink" Target="https://hanfordsentinel.com/news/local/crime/police-woman-shot-at-hanford-junior-high-school/article_e202ea04-65e0-5150-ad82-cea69301fb51.html" TargetMode="External"/><Relationship Id="rId200" Type="http://schemas.openxmlformats.org/officeDocument/2006/relationships/hyperlink" Target="https://theaugustapress.com/laney-westside-football-game-cancelled-late-in-third-quarter-after-reported-gun-shots/" TargetMode="External"/><Relationship Id="rId438" Type="http://schemas.openxmlformats.org/officeDocument/2006/relationships/hyperlink" Target="https://www.fox19.com/2023/07/07/man-shot-front-hughes-high-school-overnight/" TargetMode="External"/><Relationship Id="rId645" Type="http://schemas.openxmlformats.org/officeDocument/2006/relationships/hyperlink" Target="https://hudsonvalleypost.com/hudson-valley-man-fatally-shot-outside-new-york-school-poughkeepsie-dutchess-county/" TargetMode="External"/><Relationship Id="rId852" Type="http://schemas.openxmlformats.org/officeDocument/2006/relationships/hyperlink" Target="https://www.kxro.com/montesano-police-arrest-student-after-school-shooting-statements/" TargetMode="External"/><Relationship Id="rId1068" Type="http://schemas.openxmlformats.org/officeDocument/2006/relationships/hyperlink" Target="https://www.cbsnews.com/pittsburgh/news/young-man-sentenced-to-12-30-years-for-2013-brashear-h-s-shooting/" TargetMode="External"/><Relationship Id="rId1275" Type="http://schemas.openxmlformats.org/officeDocument/2006/relationships/hyperlink" Target="https://www.columbine-angels.com/School_Violence_2005-2006.htm" TargetMode="External"/><Relationship Id="rId1482" Type="http://schemas.openxmlformats.org/officeDocument/2006/relationships/hyperlink" Target="http://articles.chicagotribune.com/1994-10-18/news/9410180247_1_female-student-was-shot-christ-hospital-flesh-wound" TargetMode="External"/><Relationship Id="rId505" Type="http://schemas.openxmlformats.org/officeDocument/2006/relationships/hyperlink" Target="https://www.9news.com/article/news/crime/police-report-new-details-east-high-school-shooting-safety-plan/73-cda6ee08-cbff-4389-a471-dcea88bb078e" TargetMode="External"/><Relationship Id="rId712" Type="http://schemas.openxmlformats.org/officeDocument/2006/relationships/hyperlink" Target="https://www.khou.com/article/news/crime/armed-robbery-sam-rayburn-high-school/285-06becca9-eb0b-46ce-85e6-b710d108e7dc" TargetMode="External"/><Relationship Id="rId1135" Type="http://schemas.openxmlformats.org/officeDocument/2006/relationships/hyperlink" Target="https://www.postandcourier.com/news/teen-wounded-at-summerville-high/article_e9e8740e-ac4b-54fe-bf85-d2756db7f1cc.html" TargetMode="External"/><Relationship Id="rId1342" Type="http://schemas.openxmlformats.org/officeDocument/2006/relationships/hyperlink" Target="http://www.the-daily-record.com/news/20070723/kenmore-grad-remembers-every-detail-of-2003-school-shooting" TargetMode="External"/><Relationship Id="rId1787" Type="http://schemas.openxmlformats.org/officeDocument/2006/relationships/hyperlink" Target="https://www.newspapers.com/image/29775822/?terms=pupil%2Bshot" TargetMode="External"/><Relationship Id="rId79" Type="http://schemas.openxmlformats.org/officeDocument/2006/relationships/hyperlink" Target="https://ktla.com/news/local-news/2-women-dead-after-gunshots-crash-near-elementary-school-in-compton/" TargetMode="External"/><Relationship Id="rId1202" Type="http://schemas.openxmlformats.org/officeDocument/2006/relationships/hyperlink" Target="https://triblive.com/x/pittsburghtrib/news/regional/s_484514.html" TargetMode="External"/><Relationship Id="rId1647" Type="http://schemas.openxmlformats.org/officeDocument/2006/relationships/hyperlink" Target="https://www.newspapers.com/image/377738432/?terms=Lake%2BClifton%2BHigh%2BSchool%2Bshooting" TargetMode="External"/><Relationship Id="rId1854" Type="http://schemas.openxmlformats.org/officeDocument/2006/relationships/hyperlink" Target="https://www.newspapers.com/image/571585288/?terms=shot%2Bin%2Bschool%2Bparking%2Blot" TargetMode="External"/><Relationship Id="rId1507" Type="http://schemas.openxmlformats.org/officeDocument/2006/relationships/hyperlink" Target="https://www.newspapers.com/image/241417531/?terms=Roosevelt%2BHigh%2BSchool%2Bshooting" TargetMode="External"/><Relationship Id="rId1714" Type="http://schemas.openxmlformats.org/officeDocument/2006/relationships/hyperlink" Target="https://www.newspapers.com/image/278826646/?terms=student%2Bshot" TargetMode="External"/><Relationship Id="rId295" Type="http://schemas.openxmlformats.org/officeDocument/2006/relationships/hyperlink" Target="https://www.newswest9.com/article/news/local/student-injured-in-shooting-at-odessa-high-school/513-6f53289c-35f0-4fa3-8bbe-e68710f62d38" TargetMode="External"/><Relationship Id="rId155" Type="http://schemas.openxmlformats.org/officeDocument/2006/relationships/hyperlink" Target="https://newschannel9.com/news/local/teen-suspect-charged-with-firing-shots-near-ooltewah-high-school-football-game-friday" TargetMode="External"/><Relationship Id="rId362" Type="http://schemas.openxmlformats.org/officeDocument/2006/relationships/hyperlink" Target="https://www.kxan.com/news/local/austin/apd-says-scene-still-active-after-juvenile-shot-in-northeast-austin/" TargetMode="External"/><Relationship Id="rId1297" Type="http://schemas.openxmlformats.org/officeDocument/2006/relationships/hyperlink" Target="https://www.columbine-angels.com/School_Violence_2005-2006.htm" TargetMode="External"/><Relationship Id="rId222" Type="http://schemas.openxmlformats.org/officeDocument/2006/relationships/hyperlink" Target="https://archive.is/rKdvQ" TargetMode="External"/><Relationship Id="rId667" Type="http://schemas.openxmlformats.org/officeDocument/2006/relationships/hyperlink" Target="https://www.sbsun.com/2022/05/03/gunfire-in-san-bernardino-causes-car-to-crash-leaves-bullet-holes-in-school/" TargetMode="External"/><Relationship Id="rId874" Type="http://schemas.openxmlformats.org/officeDocument/2006/relationships/hyperlink" Target="https://www.wmur.com/amp/article/manchester-after-school-volunteer-shot-by-pellet-gun-at-elementary-school/24089076" TargetMode="External"/><Relationship Id="rId527" Type="http://schemas.openxmlformats.org/officeDocument/2006/relationships/hyperlink" Target="https://www.sacbee.com/news/nation-world/national/article272581192.html" TargetMode="External"/><Relationship Id="rId734" Type="http://schemas.openxmlformats.org/officeDocument/2006/relationships/hyperlink" Target="https://newyork.cbslocal.com/2021/09/22/teen-shot-near-brooklyn-schools/" TargetMode="External"/><Relationship Id="rId941" Type="http://schemas.openxmlformats.org/officeDocument/2006/relationships/hyperlink" Target="https://www.wbbjtv.com/2017/11/18/shots-fired-north-side-high-school-school-placed-brief-lockdown/" TargetMode="External"/><Relationship Id="rId1157" Type="http://schemas.openxmlformats.org/officeDocument/2006/relationships/hyperlink" Target="https://www.ktbs.com/news/student-found-shot-at-madison-high/article_0cdc830b-bca1-5acc-857b-e08b04bff7b2.html" TargetMode="External"/><Relationship Id="rId1364" Type="http://schemas.openxmlformats.org/officeDocument/2006/relationships/hyperlink" Target="https://www.myplainview.com/news/article/Scurry-Rosser-faculty-students-subdue-gunman-8787426.php" TargetMode="External"/><Relationship Id="rId1571" Type="http://schemas.openxmlformats.org/officeDocument/2006/relationships/hyperlink" Target="https://www.newspapers.com/image/106533912/?terms=shot%2Bat%2Bfootball%2Bgame" TargetMode="External"/><Relationship Id="rId70" Type="http://schemas.openxmlformats.org/officeDocument/2006/relationships/hyperlink" Target="https://www.fox13memphis.com/education/teen-girl-shot-in-park-leading-to-lockdown-at-overton-high-school/article_e4fbf905-3129-4b15-892d-0e3faf2d2950.html" TargetMode="External"/><Relationship Id="rId801" Type="http://schemas.openxmlformats.org/officeDocument/2006/relationships/hyperlink" Target="https://www.detroitnews.com/story/news/local/macomb-county/2020/07/14/sterling-heights-police-fight-shot-fired-school-grounds/5435977002/" TargetMode="External"/><Relationship Id="rId1017" Type="http://schemas.openxmlformats.org/officeDocument/2006/relationships/hyperlink" Target="http://www.wrdw.com/home/headlines/BREAKING-Student-at-Hornsby-School-shot-and-taken-to-hospital-322826461.html" TargetMode="External"/><Relationship Id="rId1224" Type="http://schemas.openxmlformats.org/officeDocument/2006/relationships/hyperlink" Target="https://www.newspapers.com/image/379718672/?terms=J.%2BT.%2BAlton%2BMiddle%2BSchool%2Bbullet%2Bceiling" TargetMode="External"/><Relationship Id="rId1431" Type="http://schemas.openxmlformats.org/officeDocument/2006/relationships/hyperlink" Target="https://www.newspapers.com/image/403219735/?terms=Geno%2BThomas%2Bshooting" TargetMode="External"/><Relationship Id="rId1669" Type="http://schemas.openxmlformats.org/officeDocument/2006/relationships/hyperlink" Target="https://www.newspapers.com/image/218042406/?terms=student%2Bshot" TargetMode="External"/><Relationship Id="rId1876" Type="http://schemas.openxmlformats.org/officeDocument/2006/relationships/hyperlink" Target="https://www.newspapers.com/image/163072591/?terms=school%20shooting&amp;match=1" TargetMode="External"/><Relationship Id="rId1529" Type="http://schemas.openxmlformats.org/officeDocument/2006/relationships/hyperlink" Target="https://www.newspapers.com/image/389807433/" TargetMode="External"/><Relationship Id="rId1736" Type="http://schemas.openxmlformats.org/officeDocument/2006/relationships/hyperlink" Target="https://www.newspapers.com/image/139639371/?terms=school%2Bshooting" TargetMode="External"/><Relationship Id="rId28" Type="http://schemas.openxmlformats.org/officeDocument/2006/relationships/hyperlink" Target="https://www.whio.com/news/local/1-shot-while-walking-through-school-parking-lot-springfield/LAWODHRIOBBWVNYUUFF4HVO6KQ/" TargetMode="External"/><Relationship Id="rId1803" Type="http://schemas.openxmlformats.org/officeDocument/2006/relationships/hyperlink" Target="https://www.newspapers.com/image/104353084/?terms=school%2Bshooting" TargetMode="External"/><Relationship Id="rId177" Type="http://schemas.openxmlformats.org/officeDocument/2006/relationships/hyperlink" Target="https://www.actionnews5.com/2024/09/16/police-shoot-kill-man-accused-carjacking/" TargetMode="External"/><Relationship Id="rId384" Type="http://schemas.openxmlformats.org/officeDocument/2006/relationships/hyperlink" Target="https://foxbaltimore.com/news/local/student-injured-after-shooting-self-near-dunbar-high-school" TargetMode="External"/><Relationship Id="rId591" Type="http://schemas.openxmlformats.org/officeDocument/2006/relationships/hyperlink" Target="https://www.king5.com/article/news/crime/teen-who-shot-ingraham-high-school-student-to-death-pleads-guilty/281-3780f972-6846-4bcc-9879-0d470b192d90" TargetMode="External"/><Relationship Id="rId244" Type="http://schemas.openxmlformats.org/officeDocument/2006/relationships/hyperlink" Target="https://www.wrtv.com/news/local-news/crime/lawrence-township-student-arrested-after-pointing-loaded-gun-at-another-student" TargetMode="External"/><Relationship Id="rId689" Type="http://schemas.openxmlformats.org/officeDocument/2006/relationships/hyperlink" Target="https://www.actionnews5.com/2022/03/11/memphis-mother-accused-pointing-gun-5-children-outside-school/" TargetMode="External"/><Relationship Id="rId896" Type="http://schemas.openxmlformats.org/officeDocument/2006/relationships/hyperlink" Target="https://wchstv.com/news/local/man-accused-of-firing-gun-at-hurricane-high-school-during-agrument" TargetMode="External"/><Relationship Id="rId1081" Type="http://schemas.openxmlformats.org/officeDocument/2006/relationships/hyperlink" Target="https://www.cbsnews.com/news/two-custodians-found-shot-to-death-at-fla-high-school-police-name-person-of-interest-report-says/" TargetMode="External"/><Relationship Id="rId451" Type="http://schemas.openxmlformats.org/officeDocument/2006/relationships/hyperlink" Target="https://www.tapinto.net/towns/newark/sections/police-and-fire/articles/person-of-interest-arrested-in-shooting-of-newark-13-year-old" TargetMode="External"/><Relationship Id="rId549" Type="http://schemas.openxmlformats.org/officeDocument/2006/relationships/hyperlink" Target="https://www.13abc.com/2023/01/25/police-tps-school-bus-hit-by-gunfire-with-students-board/" TargetMode="External"/><Relationship Id="rId756" Type="http://schemas.openxmlformats.org/officeDocument/2006/relationships/hyperlink" Target="https://bronx.news12.com/police-suspect-arrested-for-firing-shots-during-dispute-on-grounds-of-hauppauge-middle-school" TargetMode="External"/><Relationship Id="rId1179" Type="http://schemas.openxmlformats.org/officeDocument/2006/relationships/hyperlink" Target="https://www.columbine-angels.com/School_Violence_2006-2007.htm" TargetMode="External"/><Relationship Id="rId1386" Type="http://schemas.openxmlformats.org/officeDocument/2006/relationships/hyperlink" Target="https://nthfmemorial.org/mystery-in-ohio-demetrius-minifee/" TargetMode="External"/><Relationship Id="rId1593" Type="http://schemas.openxmlformats.org/officeDocument/2006/relationships/hyperlink" Target="https://www.newspapers.com/image/121870781/?terms=student%2Bshot" TargetMode="External"/><Relationship Id="rId104" Type="http://schemas.openxmlformats.org/officeDocument/2006/relationships/hyperlink" Target="https://www.themountainpress.com/news/state/grandmother-charged-after-shooting-ground-outside-school/article_3130738f-04c8-5cd0-89a1-9a4078cbebc0.html" TargetMode="External"/><Relationship Id="rId311" Type="http://schemas.openxmlformats.org/officeDocument/2006/relationships/hyperlink" Target="https://www.cbsnews.com/minnesota/news/man-accidentally-shot-in-leg-playing-basketball-at-st-paul-elementary-school/" TargetMode="External"/><Relationship Id="rId409" Type="http://schemas.openxmlformats.org/officeDocument/2006/relationships/hyperlink" Target="https://www.king5.com/article/news/local/juveniles-fire-shots-outside-des-moines-elementary-school/281-59052b02-95e0-446e-b78a-c075503bf165" TargetMode="External"/><Relationship Id="rId963" Type="http://schemas.openxmlformats.org/officeDocument/2006/relationships/hyperlink" Target="https://www.fox23.com/news/tulsa-police-respond-to-reports-of-shots-fired-at-mcclain-high-school/436311154" TargetMode="External"/><Relationship Id="rId1039" Type="http://schemas.openxmlformats.org/officeDocument/2006/relationships/hyperlink" Target="https://www.wsbtv.com/news/17-year-old-shot-killed-after-high-school-football/137193168" TargetMode="External"/><Relationship Id="rId1246" Type="http://schemas.openxmlformats.org/officeDocument/2006/relationships/hyperlink" Target="https://www.chron.com/news/houston-texas/article/Alvin-6th-grader-shoots-himself-in-the-leg-in-1939399.php" TargetMode="External"/><Relationship Id="rId92" Type="http://schemas.openxmlformats.org/officeDocument/2006/relationships/hyperlink" Target="https://www.wrdw.com/2025/02/21/teen-charged-with-pointing-gun-students-outside-millen-school/" TargetMode="External"/><Relationship Id="rId616" Type="http://schemas.openxmlformats.org/officeDocument/2006/relationships/hyperlink" Target="https://www.nbcphiladelphia.com/news/local/4-people-shot-at-roxborough-high-school/3375136/" TargetMode="External"/><Relationship Id="rId823" Type="http://schemas.openxmlformats.org/officeDocument/2006/relationships/hyperlink" Target="https://abc7chicago.com/rich-central-student-charged-after-pellet-hits-school-bus-injuring-another-student/5713973/" TargetMode="External"/><Relationship Id="rId1453" Type="http://schemas.openxmlformats.org/officeDocument/2006/relationships/hyperlink" Target="https://www.newspapers.com/image/186768947/?terms=student%2Bshoots" TargetMode="External"/><Relationship Id="rId1660" Type="http://schemas.openxmlformats.org/officeDocument/2006/relationships/hyperlink" Target="https://www.newspapers.com/image/320585636/?terms=school%2Bshooting" TargetMode="External"/><Relationship Id="rId1758" Type="http://schemas.openxmlformats.org/officeDocument/2006/relationships/hyperlink" Target="https://www.newspapers.com/image/295122036/?terms=school%2Bshooting" TargetMode="External"/><Relationship Id="rId1106" Type="http://schemas.openxmlformats.org/officeDocument/2006/relationships/hyperlink" Target="https://www.kgw.com/article/news/4-arrested-for-shots-fired-outside-wilson-high/283-73396732" TargetMode="External"/><Relationship Id="rId1313" Type="http://schemas.openxmlformats.org/officeDocument/2006/relationships/hyperlink" Target="https://www.theindependent.com/news/man-charged-with-shooting-at-jefferson-school/article_3665f3f8-7aea-525c-b6a2-1d6de44bd561.html" TargetMode="External"/><Relationship Id="rId1520" Type="http://schemas.openxmlformats.org/officeDocument/2006/relationships/hyperlink" Target="https://www.newspapers.com/image/402779742/?terms=North%2BClayton%2BHigh%2BSchool%2Bshooting" TargetMode="External"/><Relationship Id="rId1618" Type="http://schemas.openxmlformats.org/officeDocument/2006/relationships/hyperlink" Target="https://www.newspapers.com/image/321411477/?terms=student%2Bshoots%2Bdean%2Bcar" TargetMode="External"/><Relationship Id="rId1825" Type="http://schemas.openxmlformats.org/officeDocument/2006/relationships/hyperlink" Target="https://www.newspapers.com/image/6263611/?terms=school%2Bshooting" TargetMode="External"/><Relationship Id="rId199" Type="http://schemas.openxmlformats.org/officeDocument/2006/relationships/hyperlink" Target="https://www.nbcphiladelphia.com/news/local/1-dead-1-hurt-in-double-shooting-near-school-in-phillys-olney-neighborhood/3946837/" TargetMode="External"/><Relationship Id="rId266" Type="http://schemas.openxmlformats.org/officeDocument/2006/relationships/hyperlink" Target="https://nypost.com/2024/04/21/us-news/14-year-old-boy-shot-in-foot-while-in-nyc-park-police-say/" TargetMode="External"/><Relationship Id="rId473" Type="http://schemas.openxmlformats.org/officeDocument/2006/relationships/hyperlink" Target="https://www.wvlt.tv/2023/04/28/west-high-school-dismisses-after-lockdown/" TargetMode="External"/><Relationship Id="rId680" Type="http://schemas.openxmlformats.org/officeDocument/2006/relationships/hyperlink" Target="https://www.fox13now.com/news/local-news/utah-parent-says-tiktok-challenge-caused-son-to-be-shot-at-with-toy-gun-then-real-gun" TargetMode="External"/><Relationship Id="rId126" Type="http://schemas.openxmlformats.org/officeDocument/2006/relationships/hyperlink" Target="https://www.mercurynews.com/2024/12/12/police-student-wounded-at-an-oakland-high-school-in-apparent-accidental-shooting/" TargetMode="External"/><Relationship Id="rId333" Type="http://schemas.openxmlformats.org/officeDocument/2006/relationships/hyperlink" Target="https://www.wtol.com/article/news/crime/18-year-old-arrested-for-shooting-gun-nearby-school/512-c8a17ee7-a80c-451b-a302-98749418e2bf" TargetMode="External"/><Relationship Id="rId540" Type="http://schemas.openxmlformats.org/officeDocument/2006/relationships/hyperlink" Target="https://katv.com/news/local/arkansas-teenager-arrested-after-bringing-a-gun-to-a-basketball-game-police-say-fort-smith-kimmons-middle-school-14-year-old-boy-charged-aggravated-assault-and-terroristic-threatening-arkansas-teen-violence-mental-health-juvenile-crime" TargetMode="External"/><Relationship Id="rId778" Type="http://schemas.openxmlformats.org/officeDocument/2006/relationships/hyperlink" Target="https://www.wusa9.com/article/news/crime/silver-spring-man-prison-sentence-deadly-shooting-in-school-parking-lot/65-f6894523-1cc6-4b8e-b7a6-ef9c1de60aa1" TargetMode="External"/><Relationship Id="rId985" Type="http://schemas.openxmlformats.org/officeDocument/2006/relationships/hyperlink" Target="https://www.nbcchicago.com/news/local/chicago-school-bus-driver-shot-395469231.html" TargetMode="External"/><Relationship Id="rId1170" Type="http://schemas.openxmlformats.org/officeDocument/2006/relationships/hyperlink" Target="https://www.columbine-angels.com/School_Violence_2006-2007.htm" TargetMode="External"/><Relationship Id="rId638" Type="http://schemas.openxmlformats.org/officeDocument/2006/relationships/hyperlink" Target="https://www.wusa9.com/article/news/local/dc/northeast-dc-double-shooting-near-idea-charter-school/65-5f5a72d3-526e-4e68-9e6d-e7cd9194384f" TargetMode="External"/><Relationship Id="rId845" Type="http://schemas.openxmlformats.org/officeDocument/2006/relationships/hyperlink" Target="https://www.chicagotribune.com/suburbs/lake-county-news-sun/news/ct-lns-waukegan-shooting-arrests-blotter-st-0612-story.html" TargetMode="External"/><Relationship Id="rId1030" Type="http://schemas.openxmlformats.org/officeDocument/2006/relationships/hyperlink" Target="http://www.ocalapost.com/shooting-at-vanguard-high-injured-2/" TargetMode="External"/><Relationship Id="rId1268" Type="http://schemas.openxmlformats.org/officeDocument/2006/relationships/hyperlink" Target="http://articles.chicagotribune.com/2005-09-14/news/0509140261_1_student-chicago-public-schools-initial-fight" TargetMode="External"/><Relationship Id="rId1475" Type="http://schemas.openxmlformats.org/officeDocument/2006/relationships/hyperlink" Target="https://www.washingtonpost.com/archive/local/1995/01/25/student-wounded-in-school-shooting/43b9c1ae-244d-40ed-8bc7-18fec6c338f3/" TargetMode="External"/><Relationship Id="rId1682" Type="http://schemas.openxmlformats.org/officeDocument/2006/relationships/hyperlink" Target="https://www.newspapers.com/image/388094016/?terms=school%2Bshooting" TargetMode="External"/><Relationship Id="rId400" Type="http://schemas.openxmlformats.org/officeDocument/2006/relationships/hyperlink" Target="https://www.nbcwashington.com/news/local/prince-georges-county/girl-in-critical-condition-after-shooting-in-lanham-two-nearby-schools-on-lockdown/3420840/" TargetMode="External"/><Relationship Id="rId705" Type="http://schemas.openxmlformats.org/officeDocument/2006/relationships/hyperlink" Target="https://www.10tv.com/article/news/local/columbus-school-bus-hit-gunfire-i-670/530-4688dd7c-6ed3-4e46-9ac9-284f273997c6" TargetMode="External"/><Relationship Id="rId1128" Type="http://schemas.openxmlformats.org/officeDocument/2006/relationships/hyperlink" Target="https://abc7.com/archive/6651899/" TargetMode="External"/><Relationship Id="rId1335" Type="http://schemas.openxmlformats.org/officeDocument/2006/relationships/hyperlink" Target="http://articles.baltimoresun.com/2003-12-18/news/0312180341_1_two-middle-schools-school-officials-mill-high" TargetMode="External"/><Relationship Id="rId1542" Type="http://schemas.openxmlformats.org/officeDocument/2006/relationships/hyperlink" Target="https://www.nola.com/crime/index.ssf/2017/09/25_years_after_walker_students.html" TargetMode="External"/><Relationship Id="rId912" Type="http://schemas.openxmlformats.org/officeDocument/2006/relationships/hyperlink" Target="https://www.clarionledger.com/story/news/local/2018/05/31/school-shooting-suspect-detained-trial-authorities-advise-educators/628988002/" TargetMode="External"/><Relationship Id="rId1847" Type="http://schemas.openxmlformats.org/officeDocument/2006/relationships/hyperlink" Target="https://www.newspapers.com/image/20769968/?terms=school%2Bshooting" TargetMode="External"/><Relationship Id="rId41" Type="http://schemas.openxmlformats.org/officeDocument/2006/relationships/hyperlink" Target="https://kobi5.com/news/local-news/mpd-investigating-homicide-at-wilson-elementary-school-276546/" TargetMode="External"/><Relationship Id="rId1402" Type="http://schemas.openxmlformats.org/officeDocument/2006/relationships/hyperlink" Target="https://www.deseretnews.com/article/791173/Student-takes-class-hostage.html" TargetMode="External"/><Relationship Id="rId1707" Type="http://schemas.openxmlformats.org/officeDocument/2006/relationships/hyperlink" Target="https://www.nytimes.com/1981/12/24/nyregion/wrong-kid-is-fatally-shot-in-fight-at-brooklyn-school.html" TargetMode="External"/><Relationship Id="rId190" Type="http://schemas.openxmlformats.org/officeDocument/2006/relationships/hyperlink" Target="https://www.nebraska.tv/news/local/who-shot-the-scoreboard-hall-county-sheriff-investigates-high-school-vandalism" TargetMode="External"/><Relationship Id="rId288" Type="http://schemas.openxmlformats.org/officeDocument/2006/relationships/hyperlink" Target="https://www.wbaltv.com/article/police-womans-body-found-near-baltimore-school/60188521" TargetMode="External"/><Relationship Id="rId495" Type="http://schemas.openxmlformats.org/officeDocument/2006/relationships/hyperlink" Target="https://www.wlbt.com/2023/03/31/vehicle-riddled-with-bullets-near-elementary-school-jackson/" TargetMode="External"/><Relationship Id="rId148" Type="http://schemas.openxmlformats.org/officeDocument/2006/relationships/hyperlink" Target="https://www.delawareonline.com/story/news/2024/10/18/dover-police-respond-to-shot-fired-after-dover-football-game/75743495007/" TargetMode="External"/><Relationship Id="rId355" Type="http://schemas.openxmlformats.org/officeDocument/2006/relationships/hyperlink" Target="https://www.cbsnews.com/losangeles/news/officers-investigate-police-shooting-at-legacy-high-school/" TargetMode="External"/><Relationship Id="rId562" Type="http://schemas.openxmlformats.org/officeDocument/2006/relationships/hyperlink" Target="https://www.portlandoregon.gov/police/news/read.cfm?id=452696" TargetMode="External"/><Relationship Id="rId1192" Type="http://schemas.openxmlformats.org/officeDocument/2006/relationships/hyperlink" Target="https://portlandtribune.com/component/content/article?id=187719" TargetMode="External"/><Relationship Id="rId215" Type="http://schemas.openxmlformats.org/officeDocument/2006/relationships/hyperlink" Target="https://www.wjla.com/news/local/wise-high-school-shooting-vigil-kyhree-jackson-anthony-lytton-jr-isaiah-hazel-vigil-shooting-prince-georges-county-police-investigation-gun-violence-upper-marlboro-violent-crime-investigation" TargetMode="External"/><Relationship Id="rId422" Type="http://schemas.openxmlformats.org/officeDocument/2006/relationships/hyperlink" Target="https://ktla.com/news/local-news/teen-shot-high-school-football-game-rancho-cucamonga/" TargetMode="External"/><Relationship Id="rId867" Type="http://schemas.openxmlformats.org/officeDocument/2006/relationships/hyperlink" Target="https://www.mlive.com/news/muskegon/index.ssf/2018/11/man_suspected_of_shooting_out.html" TargetMode="External"/><Relationship Id="rId1052" Type="http://schemas.openxmlformats.org/officeDocument/2006/relationships/hyperlink" Target="http://miami.cbslocal.com/2014/03/14/man-accused-of-murdering-wife-near-miami-dade-preschool/" TargetMode="External"/><Relationship Id="rId1497" Type="http://schemas.openxmlformats.org/officeDocument/2006/relationships/hyperlink" Target="http://journaltimes.com/news/former-student-arrested-in-tosa-west-slaying/article_dfb15b1e-986c-5b2b-ba06-76388109b2cf.html" TargetMode="External"/><Relationship Id="rId727" Type="http://schemas.openxmlformats.org/officeDocument/2006/relationships/hyperlink" Target="https://wgntv.com/news/chicagocrime/separate-shooting-incidents-outside-cps-schools-has-parents-on-edge/" TargetMode="External"/><Relationship Id="rId934" Type="http://schemas.openxmlformats.org/officeDocument/2006/relationships/hyperlink" Target="http://www.wnem.com/story/37105109/breaking-police-investigate-shooting-at-beecher-high-school" TargetMode="External"/><Relationship Id="rId1357" Type="http://schemas.openxmlformats.org/officeDocument/2006/relationships/hyperlink" Target="https://www.franklincountytimes.com/2003/03/26/northeast-high-school-begins-healing-process/" TargetMode="External"/><Relationship Id="rId1564" Type="http://schemas.openxmlformats.org/officeDocument/2006/relationships/hyperlink" Target="http://articles.latimes.com/1991-04-25/news/mn-828_1_school-district" TargetMode="External"/><Relationship Id="rId1771" Type="http://schemas.openxmlformats.org/officeDocument/2006/relationships/hyperlink" Target="https://www.newspapers.com/image/165856618/?terms=school%2Bshooting" TargetMode="External"/><Relationship Id="rId63" Type="http://schemas.openxmlformats.org/officeDocument/2006/relationships/hyperlink" Target="https://abc7chicago.com/post/shooting-injures-teen-boy-east-87th-street-chicago-vocational-high-school-se-side-cpd/16180846/" TargetMode="External"/><Relationship Id="rId1217" Type="http://schemas.openxmlformats.org/officeDocument/2006/relationships/hyperlink" Target="https://www.columbine-angels.com/School_Violence_2006-2007.htm" TargetMode="External"/><Relationship Id="rId1424" Type="http://schemas.openxmlformats.org/officeDocument/2006/relationships/hyperlink" Target="https://www.newspapers.com/image/184629441/?terms=shooting%2BDonald%2BMcNeil" TargetMode="External"/><Relationship Id="rId1631" Type="http://schemas.openxmlformats.org/officeDocument/2006/relationships/hyperlink" Target="https://www.newspapers.com/image/99552670/?terms=redford%2Bhigh%2Bschool" TargetMode="External"/><Relationship Id="rId1869" Type="http://schemas.openxmlformats.org/officeDocument/2006/relationships/hyperlink" Target="https://www.newspapers.com/image/109484775/?terms=school%20shooting&amp;match=1" TargetMode="External"/><Relationship Id="rId1729" Type="http://schemas.openxmlformats.org/officeDocument/2006/relationships/hyperlink" Target="https://www.newspapers.com/image/281071758/?terms=Capeville%2BElementary%2BSchool%2Bshooting" TargetMode="External"/><Relationship Id="rId377" Type="http://schemas.openxmlformats.org/officeDocument/2006/relationships/hyperlink" Target="https://www.nbclosangeles.com/investigations/shooting-that-wounded-student-near-high-school-in-north-hills-investigated-as-possible-hate-crime/3237252/" TargetMode="External"/><Relationship Id="rId584" Type="http://schemas.openxmlformats.org/officeDocument/2006/relationships/hyperlink" Target="https://www.cbsnews.com/chicago/news/indiana-officer-gunfire-student/" TargetMode="External"/><Relationship Id="rId5" Type="http://schemas.openxmlformats.org/officeDocument/2006/relationships/hyperlink" Target="https://wjla.com/news/local/story/shots-ring-out-during-st-charles-high-school-football-game-no-injuries-found-by-police-maryland-county-shooting-kids-juveniles-players-stadium" TargetMode="External"/><Relationship Id="rId237" Type="http://schemas.openxmlformats.org/officeDocument/2006/relationships/hyperlink" Target="https://www.wdsu.com/article/jefferson-parish-west-jefferson-high-school-shooting/60885556" TargetMode="External"/><Relationship Id="rId791" Type="http://schemas.openxmlformats.org/officeDocument/2006/relationships/hyperlink" Target="https://www.mainlinemedianews.com/mainlinesuburbanlife/radnor-police-reports-shots-from-pellet-gun-hit-school-bus/article_a0646684-0c76-11eb-bae3-0702efefe48f.html" TargetMode="External"/><Relationship Id="rId889" Type="http://schemas.openxmlformats.org/officeDocument/2006/relationships/hyperlink" Target="https://www.nbcphiladelphia.com/news/local/Towne-Point-Elementary-School-Dover-Deadly-Shooting-491979251.html" TargetMode="External"/><Relationship Id="rId1074" Type="http://schemas.openxmlformats.org/officeDocument/2006/relationships/hyperlink" Target="https://boston.cbslocal.com/2013/10/04/police-nh-man-fired-pellet-gun-at-school-bus-over-students-obscene-gesture/" TargetMode="External"/><Relationship Id="rId444" Type="http://schemas.openxmlformats.org/officeDocument/2006/relationships/hyperlink" Target="https://www.arlnow.com/2023/06/07/now-police-on-scene-of-reported-fight-and-shot-fired-in-green-valley/" TargetMode="External"/><Relationship Id="rId651" Type="http://schemas.openxmlformats.org/officeDocument/2006/relationships/hyperlink" Target="https://local21news.com/news/local/man-wanted-by-police-for-discharging-firearm" TargetMode="External"/><Relationship Id="rId749" Type="http://schemas.openxmlformats.org/officeDocument/2006/relationships/hyperlink" Target="https://arktimes.com/arkansas-blog/2021/09/02/a-gun-brandished-at-little-rock-central-high-this-morning-but-no-shots-fired" TargetMode="External"/><Relationship Id="rId1281" Type="http://schemas.openxmlformats.org/officeDocument/2006/relationships/hyperlink" Target="http://articles.chicagotribune.com/2005-05-26/news/0505260268_1_hallman-pupils-soft-air-gun" TargetMode="External"/><Relationship Id="rId1379" Type="http://schemas.openxmlformats.org/officeDocument/2006/relationships/hyperlink" Target="https://www.newspapers.com/image/220634008/?terms=High%2BSchool%2BSaginaw%2Bgun%2Bjacket" TargetMode="External"/><Relationship Id="rId1586" Type="http://schemas.openxmlformats.org/officeDocument/2006/relationships/hyperlink" Target="https://www.newspapers.com/image/?spot=18344924&amp;fcfToken=536773687944775732446a58364954534665376d633843482b323739555a426a2f504561364e734836595337333573763434484338504843556571516b5a3172417a344c2b66306a4762733d" TargetMode="External"/><Relationship Id="rId304" Type="http://schemas.openxmlformats.org/officeDocument/2006/relationships/hyperlink" Target="https://www.nbcbayarea.com/news/local/east-bay/dublin-school-district-lawsuit-orbeez-gun/3446087/" TargetMode="External"/><Relationship Id="rId511" Type="http://schemas.openxmlformats.org/officeDocument/2006/relationships/hyperlink" Target="https://www.lodinews.com/news/article_0ca87658-c41e-11ed-b153-b764e5baf4f5.html" TargetMode="External"/><Relationship Id="rId609" Type="http://schemas.openxmlformats.org/officeDocument/2006/relationships/hyperlink" Target="https://www.koin.com/news/crime/shots-fired-near-reynolds-high-school-parents-concerned-about-response/" TargetMode="External"/><Relationship Id="rId956" Type="http://schemas.openxmlformats.org/officeDocument/2006/relationships/hyperlink" Target="https://www.sbsun.com/2017/09/01/shooting-cuts-arroyo-valley-high-school-football-game-short/" TargetMode="External"/><Relationship Id="rId1141" Type="http://schemas.openxmlformats.org/officeDocument/2006/relationships/hyperlink" Target="https://www.columbine-angels.com/School_Violence_2008-2009.htm" TargetMode="External"/><Relationship Id="rId1239" Type="http://schemas.openxmlformats.org/officeDocument/2006/relationships/hyperlink" Target="https://www.newspapers.com/image/164693932/?terms=William%2BPenn%2BHigh%2BSchool%2Bshooting" TargetMode="External"/><Relationship Id="rId1793" Type="http://schemas.openxmlformats.org/officeDocument/2006/relationships/hyperlink" Target="https://www.newspapers.com/image/31485570/?terms=school%2Bshooting" TargetMode="External"/><Relationship Id="rId85" Type="http://schemas.openxmlformats.org/officeDocument/2006/relationships/hyperlink" Target="https://www.click2houston.com/news/local/2025/03/17/teen-shot-to-death-in-galena-park-person-of-interest-arrested/" TargetMode="External"/><Relationship Id="rId816" Type="http://schemas.openxmlformats.org/officeDocument/2006/relationships/hyperlink" Target="https://www.wapt.com/article/australia-turns-from-defense-to-offense-in-wildfire-battle/30485441" TargetMode="External"/><Relationship Id="rId1001" Type="http://schemas.openxmlformats.org/officeDocument/2006/relationships/hyperlink" Target="http://www.wbrc.com/story/31487356/birmingham-police-identify-suspect-arrested-charged-in-huffman-high-school-shooting" TargetMode="External"/><Relationship Id="rId1446" Type="http://schemas.openxmlformats.org/officeDocument/2006/relationships/hyperlink" Target="https://www.apnews.com/4875a8815b27a22d306a61ab83a97d26" TargetMode="External"/><Relationship Id="rId1653" Type="http://schemas.openxmlformats.org/officeDocument/2006/relationships/hyperlink" Target="https://www.newspapers.com/image/292865629/?terms=Southern%2BHills%2BJoint%2BVocational%2BHigh%2BSchool%2Bshooting" TargetMode="External"/><Relationship Id="rId1860" Type="http://schemas.openxmlformats.org/officeDocument/2006/relationships/hyperlink" Target="https://www.newspapers.com/image/154804412/?terms=school%2Bshooting" TargetMode="External"/><Relationship Id="rId1306" Type="http://schemas.openxmlformats.org/officeDocument/2006/relationships/hyperlink" Target="https://www.nwitimes.com/news/local/suspect-in-school-shooting-in-custody/article_45dbc46d-b19d-5eda-a4e0-8823c211e6cd.html" TargetMode="External"/><Relationship Id="rId1513" Type="http://schemas.openxmlformats.org/officeDocument/2006/relationships/hyperlink" Target="http://articles.mcall.com/1993-05-25/news/2916043_1_michael-swann-upper-perkiomen-high-school-jason-michael-smith" TargetMode="External"/><Relationship Id="rId1720" Type="http://schemas.openxmlformats.org/officeDocument/2006/relationships/hyperlink" Target="https://www.newspapers.com/image/262419526/?terms=Parker%2BHigh%2BSchool%2Bshooting%2Bbirmingham" TargetMode="External"/><Relationship Id="rId12" Type="http://schemas.openxmlformats.org/officeDocument/2006/relationships/hyperlink" Target="https://www.mlive.com/news/kalamazoo/2025/09/shooting-near-battle-creek-high-school-leaves-1-injured-multiple-schools-on-lockdown.html" TargetMode="External"/><Relationship Id="rId1818" Type="http://schemas.openxmlformats.org/officeDocument/2006/relationships/hyperlink" Target="https://www.newspapers.com/image/208385082/?terms=boy+who+shot+students+may+have+stopped+riots" TargetMode="External"/><Relationship Id="rId161" Type="http://schemas.openxmlformats.org/officeDocument/2006/relationships/hyperlink" Target="https://wibc.com/462558/update-two-men-shot-at-cardinal-ritter-high-school-began-as-argument/" TargetMode="External"/><Relationship Id="rId399" Type="http://schemas.openxmlformats.org/officeDocument/2006/relationships/hyperlink" Target="https://www.yakimaherald.com/news/local/crime_and_courts/14-year-old-wounded-in-gang-shooting-outside-eisenhower-high-school-lockdown-measures-lifted/article_940601a4-5188-11ee-a9f4-d3dc7788405f.html" TargetMode="External"/><Relationship Id="rId259" Type="http://schemas.openxmlformats.org/officeDocument/2006/relationships/hyperlink" Target="https://www.theoutlookonline.com/news/gresham-police-say-teen-shot-school-buses-with-pellet-gun/article_3e579b16-029d-11ef-8605-87b45686d022.html" TargetMode="External"/><Relationship Id="rId466" Type="http://schemas.openxmlformats.org/officeDocument/2006/relationships/hyperlink" Target="https://www.ktnv.com/news/brother-of-ccsd-security-monitor-shooting-suspect-now-facing-felony-conspiracy-charges" TargetMode="External"/><Relationship Id="rId673" Type="http://schemas.openxmlformats.org/officeDocument/2006/relationships/hyperlink" Target="https://www.kptv.com/2022/04/23/teen-arrested-after-shooting-near-salem-middle-school/" TargetMode="External"/><Relationship Id="rId880" Type="http://schemas.openxmlformats.org/officeDocument/2006/relationships/hyperlink" Target="http://www.baltimoresun.com/news/maryland/crime/bs-md-ci-guns-fired-elementary-school-20180926-story.html" TargetMode="External"/><Relationship Id="rId1096" Type="http://schemas.openxmlformats.org/officeDocument/2006/relationships/hyperlink" Target="http://articles.chicagotribune.com/2012-10-30/news/chi-2nd-teen-charged-in-murder-of-teen-outside-south-side-high-school-20121030_1_adult-with-first-degree-murder-terrance-wright-banner-academy-south" TargetMode="External"/><Relationship Id="rId119" Type="http://schemas.openxmlformats.org/officeDocument/2006/relationships/hyperlink" Target="https://mynews4.com/news/local/two-carson-high-school-students-arrested-after-shooting-paintball-gun-on-campus" TargetMode="External"/><Relationship Id="rId326" Type="http://schemas.openxmlformats.org/officeDocument/2006/relationships/hyperlink" Target="https://www.ksdk.com/article/news/crime/normandy-high-school-meetup-shots-fired/63-c84ef949-e434-4531-b7e9-f6437222a98b" TargetMode="External"/><Relationship Id="rId533" Type="http://schemas.openxmlformats.org/officeDocument/2006/relationships/hyperlink" Target="https://abc7amarillo.com/news/local/dalhart-isd-police-identify-student-killed-in-accidental-shooting-in-school-parking-lot-preston-ralston-dalhart-texas-gun-crime-accidental-discharge" TargetMode="External"/><Relationship Id="rId978" Type="http://schemas.openxmlformats.org/officeDocument/2006/relationships/hyperlink" Target="http://www.mlive.com/news/bay-city/index.ssf/2016/12/deputy_who_fired_gun_in_school.html" TargetMode="External"/><Relationship Id="rId1163" Type="http://schemas.openxmlformats.org/officeDocument/2006/relationships/hyperlink" Target="http://www.uticaod.com/article/20071127/news/311279895" TargetMode="External"/><Relationship Id="rId1370" Type="http://schemas.openxmlformats.org/officeDocument/2006/relationships/hyperlink" Target="https://www.newspapers.com/image/229238117/?terms=Toran%2BJoseph%2BRichard%2BAntoine%2Bschool%2Bdance" TargetMode="External"/><Relationship Id="rId740" Type="http://schemas.openxmlformats.org/officeDocument/2006/relationships/hyperlink" Target="https://www.thesussireport.com/reports/car-windows-shot-out-at-high-school-football-game" TargetMode="External"/><Relationship Id="rId838" Type="http://schemas.openxmlformats.org/officeDocument/2006/relationships/hyperlink" Target="https://www.stltoday.com/news/kristina-curry-found-dead-with-gunshot-wounds-at-roosevelt-high/article_965e67bc-9a38-577b-8346-2cb10be3843a.html" TargetMode="External"/><Relationship Id="rId1023" Type="http://schemas.openxmlformats.org/officeDocument/2006/relationships/hyperlink" Target="https://smnewsnet.com/archives/283458/man-shot-behind-school/" TargetMode="External"/><Relationship Id="rId1468" Type="http://schemas.openxmlformats.org/officeDocument/2006/relationships/hyperlink" Target="https://www.newspapers.com/image/106718796/?terms=student%2Bshot" TargetMode="External"/><Relationship Id="rId1675" Type="http://schemas.openxmlformats.org/officeDocument/2006/relationships/hyperlink" Target="https://www.newspapers.com/image/337840295/?terms=STUDENT%2BSHOOTS" TargetMode="External"/><Relationship Id="rId1882" Type="http://schemas.openxmlformats.org/officeDocument/2006/relationships/hyperlink" Target="https://www.newspapers.com/image/621329373/?terms=school%20shooting&amp;match=1" TargetMode="External"/><Relationship Id="rId600" Type="http://schemas.openxmlformats.org/officeDocument/2006/relationships/hyperlink" Target="https://www.cbsnews.com/chicago/news/douglas-park-shooting-teen-death/" TargetMode="External"/><Relationship Id="rId1230" Type="http://schemas.openxmlformats.org/officeDocument/2006/relationships/hyperlink" Target="http://www.wistv.com/story/4933127/officer-shoots-at-intruder-at-dutch-fork-hs" TargetMode="External"/><Relationship Id="rId1328" Type="http://schemas.openxmlformats.org/officeDocument/2006/relationships/hyperlink" Target="https://www.shreveporttimes.com/story/news/2017/11/07/times-files-officer-fires-shot-fair-park-high/841429001/" TargetMode="External"/><Relationship Id="rId1535" Type="http://schemas.openxmlformats.org/officeDocument/2006/relationships/hyperlink" Target="https://www.newspapers.com/image/384174219/?terms=Hiram%2BJohnson%2BHigh%2BSchool%2Bshooting" TargetMode="External"/><Relationship Id="rId905" Type="http://schemas.openxmlformats.org/officeDocument/2006/relationships/hyperlink" Target="https://www.wxyz.com/news/off-duty-officer-accidentally-discharges-gun-during-wrestling-meet-at-michigan-high-school" TargetMode="External"/><Relationship Id="rId1742" Type="http://schemas.openxmlformats.org/officeDocument/2006/relationships/hyperlink" Target="https://www.newspapers.com/image/273435847/?terms=Wisconsin%2BLutheran%2BHigh%2BSchool%2Bjanitor%2Bshot%2Brocks" TargetMode="External"/><Relationship Id="rId34" Type="http://schemas.openxmlformats.org/officeDocument/2006/relationships/hyperlink" Target="https://www.nbcphiladelphia.com/news/local/police-school-safety-officer-shot-in-road-rage-incident-in-penns-landing/4221825/" TargetMode="External"/><Relationship Id="rId1602" Type="http://schemas.openxmlformats.org/officeDocument/2006/relationships/hyperlink" Target="https://www.newspapers.com/image/229988989/?terms=J.%2BE.%2BB.%2BStuart%2BJunior%2BHigh%2BSchool%2Bbus%2Bshooting" TargetMode="External"/><Relationship Id="rId183" Type="http://schemas.openxmlformats.org/officeDocument/2006/relationships/hyperlink" Target="https://www.cbsnews.com/newyork/news/bronx-teacher-grazed-by-bullet/" TargetMode="External"/><Relationship Id="rId390" Type="http://schemas.openxmlformats.org/officeDocument/2006/relationships/hyperlink" Target="https://wtmj.com/breaking-news/2023/09/23/breaking-shots-fired-near-milwaukee-high-school-football-game/" TargetMode="External"/><Relationship Id="rId250" Type="http://schemas.openxmlformats.org/officeDocument/2006/relationships/hyperlink" Target="https://www.wowt.com/2024/05/04/shooting-near-omaha-high-school-sends-one-hospital/" TargetMode="External"/><Relationship Id="rId488" Type="http://schemas.openxmlformats.org/officeDocument/2006/relationships/hyperlink" Target="https://www.seattletimes.com/seattle-news/law-justice/seattle-police-investigating-homicide-near-chief-sealth-high-school/" TargetMode="External"/><Relationship Id="rId695" Type="http://schemas.openxmlformats.org/officeDocument/2006/relationships/hyperlink" Target="https://www.wgrz.com/article/news/crime/teen-sentenced-for-shooting-security-officer-outside-mckinley-high-school-during-fight-criminal-investigation/71-017fb489-7f4b-4b9a-be2f-78652d105c98" TargetMode="External"/><Relationship Id="rId110" Type="http://schemas.openxmlformats.org/officeDocument/2006/relationships/hyperlink" Target="https://www.wtnh.com/news/police-one-shot-at-central-high-school-in-bridgeport/" TargetMode="External"/><Relationship Id="rId348" Type="http://schemas.openxmlformats.org/officeDocument/2006/relationships/hyperlink" Target="https://fox8.com/news/suspect-arrested-after-shooting-near-lorain-elementary-school/" TargetMode="External"/><Relationship Id="rId555" Type="http://schemas.openxmlformats.org/officeDocument/2006/relationships/hyperlink" Target="https://www.wtsp.com/article/news/local/manateecounty/manatee-county-school-buses-shot-bb-guns/67-a515a957-59ce-4552-9cb7-3897ddd4f919" TargetMode="External"/><Relationship Id="rId762" Type="http://schemas.openxmlformats.org/officeDocument/2006/relationships/hyperlink" Target="https://www.oregonlive.com/portland/2021/08/man-found-dead-after-shooting-in-portlands-powellhurst-gilbert-neighborhood-police-say.html" TargetMode="External"/><Relationship Id="rId1185" Type="http://schemas.openxmlformats.org/officeDocument/2006/relationships/hyperlink" Target="https://www.newspapers.com/image/243778502/?terms=Sarah%2BJ.%2BRawson%2BElementary%2BSchool%2Bshot" TargetMode="External"/><Relationship Id="rId1392" Type="http://schemas.openxmlformats.org/officeDocument/2006/relationships/hyperlink" Target="https://www.deseretnews.com/article/831817/School-hopes-suicide-doesnt-put-it-in-spotlight.html" TargetMode="External"/><Relationship Id="rId208" Type="http://schemas.openxmlformats.org/officeDocument/2006/relationships/hyperlink" Target="https://www.wlky.com/article/greenwood-elementary-louisville-parking-lot-shooting/61711433" TargetMode="External"/><Relationship Id="rId415" Type="http://schemas.openxmlformats.org/officeDocument/2006/relationships/hyperlink" Target="https://abcnews4.com/news/local/georgetown-high-school-football-game-canceled-after-shots-fired-police-say-friday-night-sports" TargetMode="External"/><Relationship Id="rId622" Type="http://schemas.openxmlformats.org/officeDocument/2006/relationships/hyperlink" Target="https://nypost.com/2022/09/17/nyc-kids-shot-at-with-pellet-guns-after-squabble-over-game-at-ues-playground/" TargetMode="External"/><Relationship Id="rId1045" Type="http://schemas.openxmlformats.org/officeDocument/2006/relationships/hyperlink" Target="https://www.fredericknewspost.com/news/crime_and_justice/cops_and_crime/two-face-charges-in-wednesday-gunfire-at-heather-ridge-school/article_737ade83-ddbb-5d49-af29-7f18d962e3a3.html" TargetMode="External"/><Relationship Id="rId1252" Type="http://schemas.openxmlformats.org/officeDocument/2006/relationships/hyperlink" Target="https://www.newspapers.com/image/164693932/?terms=Mount%2BPleasant%2BHigh%2BSchool%2Bshooting" TargetMode="External"/><Relationship Id="rId1697" Type="http://schemas.openxmlformats.org/officeDocument/2006/relationships/hyperlink" Target="https://www.newspapers.com/image/397000389/?terms=student%2Bshot" TargetMode="External"/><Relationship Id="rId927" Type="http://schemas.openxmlformats.org/officeDocument/2006/relationships/hyperlink" Target="https://www.freep.com/story/news/local/michigan/wayne/2018/01/27/dearborn-high-school-shooting/1071836001/" TargetMode="External"/><Relationship Id="rId1112" Type="http://schemas.openxmlformats.org/officeDocument/2006/relationships/hyperlink" Target="https://www.dailybreeze.com/2011/04/11/gardena-high-student-gets-9-months-for-having-gun-that-discharged/" TargetMode="External"/><Relationship Id="rId1557" Type="http://schemas.openxmlformats.org/officeDocument/2006/relationships/hyperlink" Target="https://www.newspapers.com/image/389496363/?terms=Woodson%2BHigh%2BSchool%2Bshooting" TargetMode="External"/><Relationship Id="rId1764" Type="http://schemas.openxmlformats.org/officeDocument/2006/relationships/hyperlink" Target="https://www.newspapers.com/image/112439487/?terms=school%2Bshooting" TargetMode="External"/><Relationship Id="rId56" Type="http://schemas.openxmlformats.org/officeDocument/2006/relationships/hyperlink" Target="https://www.fox32chicago.com/news/gun-fired-near-rolling-meadows-high-school-juvenile-custody" TargetMode="External"/><Relationship Id="rId1417" Type="http://schemas.openxmlformats.org/officeDocument/2006/relationships/hyperlink" Target="https://www.newspapers.com/image/197812875/?terms=Erwin%2BHigh%2BSchool%2Bshooting" TargetMode="External"/><Relationship Id="rId1624" Type="http://schemas.openxmlformats.org/officeDocument/2006/relationships/hyperlink" Target="https://www.newspapers.com/image/388845031/?terms=Dale%2BBruck" TargetMode="External"/><Relationship Id="rId1831" Type="http://schemas.openxmlformats.org/officeDocument/2006/relationships/hyperlink" Target="https://www.newspapers.com/image/377430624/?terms=husband%2Bkills%2Bteacher" TargetMode="External"/><Relationship Id="rId272" Type="http://schemas.openxmlformats.org/officeDocument/2006/relationships/hyperlink" Target="https://www.ksn.com/news/local/pellets-fired-at-two-goddard-school-buses/" TargetMode="External"/><Relationship Id="rId577" Type="http://schemas.openxmlformats.org/officeDocument/2006/relationships/hyperlink" Target="https://www.fox13memphis.com/news/local/child-may-have-been-accidentally-shot-memphis-school-police-say/36TUNL4VHRA3PALDZTAJW4GYZI/" TargetMode="External"/><Relationship Id="rId132" Type="http://schemas.openxmlformats.org/officeDocument/2006/relationships/hyperlink" Target="https://theaugustapress.com/rcso-respond-to-shooting-incident-near-t-w-josey-high-school/" TargetMode="External"/><Relationship Id="rId784" Type="http://schemas.openxmlformats.org/officeDocument/2006/relationships/hyperlink" Target="https://www.mywabashvalley.com/top-news/thpd-shots-fired-at-terre-haute-high-school-no-injuries/" TargetMode="External"/><Relationship Id="rId991" Type="http://schemas.openxmlformats.org/officeDocument/2006/relationships/hyperlink" Target="http://www.nbc4i.com/news/one-shot-at-west-side-middle-school-police-looking-for-group-of-males-as-suspects/1114333465" TargetMode="External"/><Relationship Id="rId1067" Type="http://schemas.openxmlformats.org/officeDocument/2006/relationships/hyperlink" Target="https://www.clickorlando.com/news/student-shot-in-face-at-west-orange-high-school-_2015110710074418" TargetMode="External"/><Relationship Id="rId437" Type="http://schemas.openxmlformats.org/officeDocument/2006/relationships/hyperlink" Target="https://dailyvoice.com/new-york/capital-district/16-year-old-in-critical-condition-after-shooting-near-troy-elementary-school/" TargetMode="External"/><Relationship Id="rId644" Type="http://schemas.openxmlformats.org/officeDocument/2006/relationships/hyperlink" Target="https://www.11alive.com/article/news/local/henry-county-high-lockdown/85-3fef23a6-d1b9-47e3-8f26-4e97e6cd9ed5" TargetMode="External"/><Relationship Id="rId851" Type="http://schemas.openxmlformats.org/officeDocument/2006/relationships/hyperlink" Target="https://www.mlive.com/news/flint/2019/04/shot-fired-at-flint-school-several-people-in-custody.html" TargetMode="External"/><Relationship Id="rId1274" Type="http://schemas.openxmlformats.org/officeDocument/2006/relationships/hyperlink" Target="https://www.columbine-angels.com/School_Violence_2005-2006.htm" TargetMode="External"/><Relationship Id="rId1481" Type="http://schemas.openxmlformats.org/officeDocument/2006/relationships/hyperlink" Target="http://articles.latimes.com/1994-11-01/local/me-57381_1_aliso-niguel-high-student" TargetMode="External"/><Relationship Id="rId1579" Type="http://schemas.openxmlformats.org/officeDocument/2006/relationships/hyperlink" Target="https://www.nytimes.com/1990/03/28/nyregion/a-black-is-shot-in-a-high-school-in-bensonshurst.html" TargetMode="External"/><Relationship Id="rId504" Type="http://schemas.openxmlformats.org/officeDocument/2006/relationships/hyperlink" Target="https://6abc.com/kingsessing-school-lockdown-hardy-williams-charter-warrington-avenue-shooting-philadelphia/12991741/" TargetMode="External"/><Relationship Id="rId711" Type="http://schemas.openxmlformats.org/officeDocument/2006/relationships/hyperlink" Target="https://www.cbsnews.com/philadelphia/news/police-woman-killed-north-philadelphia-shooting-william-dick-school-lockdown/" TargetMode="External"/><Relationship Id="rId949" Type="http://schemas.openxmlformats.org/officeDocument/2006/relationships/hyperlink" Target="https://triblive.com/local/regional/12794212-74/woman-shoots-boyfriend-in-indiana-county-school-parking-lot" TargetMode="External"/><Relationship Id="rId1134" Type="http://schemas.openxmlformats.org/officeDocument/2006/relationships/hyperlink" Target="https://www.columbine-angels.com/School_Violence_2008-2009.htm" TargetMode="External"/><Relationship Id="rId1341" Type="http://schemas.openxmlformats.org/officeDocument/2006/relationships/hyperlink" Target="https://www.newspapers.com/image/226188784/" TargetMode="External"/><Relationship Id="rId1786" Type="http://schemas.openxmlformats.org/officeDocument/2006/relationships/hyperlink" Target="https://www.newspapers.com/image/140698558/?terms=school%2Bshooting" TargetMode="External"/><Relationship Id="rId78" Type="http://schemas.openxmlformats.org/officeDocument/2006/relationships/hyperlink" Target="https://www.wdam.com/2025/04/03/student-shot-by-pellet-gun-during-baseball-practice-jones-county-school-district-says/" TargetMode="External"/><Relationship Id="rId809" Type="http://schemas.openxmlformats.org/officeDocument/2006/relationships/hyperlink" Target="https://www.abcactionnews.com/news/local-news/i-team-investigates/former-tampa-police-officer-sues-sig-sauer-alleging-weapon-fired-by-itself-causing-serious-injuries" TargetMode="External"/><Relationship Id="rId1201" Type="http://schemas.openxmlformats.org/officeDocument/2006/relationships/hyperlink" Target="http://www.keystosaferschools.com/2007startswithabang.htm" TargetMode="External"/><Relationship Id="rId1439" Type="http://schemas.openxmlformats.org/officeDocument/2006/relationships/hyperlink" Target="https://www.newspapers.com/image/156830644/?terms=student%2Bshot" TargetMode="External"/><Relationship Id="rId1646" Type="http://schemas.openxmlformats.org/officeDocument/2006/relationships/hyperlink" Target="https://www.newspapers.com/image/216501029/?terms=Boyet%2BJunior%2BHigh%2BSchool%2Bshooting" TargetMode="External"/><Relationship Id="rId1853" Type="http://schemas.openxmlformats.org/officeDocument/2006/relationships/hyperlink" Target="https://www.newspapers.com/image/338873635/?terms=school%2Bshooting" TargetMode="External"/><Relationship Id="rId1506" Type="http://schemas.openxmlformats.org/officeDocument/2006/relationships/hyperlink" Target="http://www.mysuburbanlife.com/2011/12/20/philip-powell-who-murdered-hinsdale-teen-barrett-modisette-after-downers-grove-south-high-school-football-game-released-early-from-prison/za3xo73/" TargetMode="External"/><Relationship Id="rId1713" Type="http://schemas.openxmlformats.org/officeDocument/2006/relationships/hyperlink" Target="https://www.newspapers.com/image/216284765/?terms=new%2BIberia%2Bteacher%2Bshot" TargetMode="External"/><Relationship Id="rId294" Type="http://schemas.openxmlformats.org/officeDocument/2006/relationships/hyperlink" Target="https://www.bangordailynews.com/2024/02/28/central-maine/central-maine-police-courts/man-dead-waterville-school-suicide/" TargetMode="External"/><Relationship Id="rId154" Type="http://schemas.openxmlformats.org/officeDocument/2006/relationships/hyperlink" Target="https://www.kfdm.com/news/local/witness-and-parent-react-to-shooting-near-west-orange-stark-middle-school" TargetMode="External"/><Relationship Id="rId361" Type="http://schemas.openxmlformats.org/officeDocument/2006/relationships/hyperlink" Target="https://wgntv.com/news/chicagocrime/alderman-shots-fired-near-mather-high-school-in-chicago/" TargetMode="External"/><Relationship Id="rId599" Type="http://schemas.openxmlformats.org/officeDocument/2006/relationships/hyperlink" Target="https://abc6onyourside.com/news/local/17-year-old-girl-grazed-after-shots-fired-near-elementary-school" TargetMode="External"/><Relationship Id="rId459" Type="http://schemas.openxmlformats.org/officeDocument/2006/relationships/hyperlink" Target="https://www.vvdailypress.com/story/news/crime/2023/05/18/shots-fired-toward-pinon-hills-elementary-school-led-to-arrest-of-man/70230116007/" TargetMode="External"/><Relationship Id="rId666" Type="http://schemas.openxmlformats.org/officeDocument/2006/relationships/hyperlink" Target="https://katv.com/news/local/man-convicted-in-arkansas-graduation-shooting-gets-105-years-in-prison-charles-johnson-jr-judge-ralph-ohm-hot-springs-convention-center-world-class-high-school-brock-price-mark-fraiser-mass-shooting-may-12-2022-garland-county-circuit-court-murder" TargetMode="External"/><Relationship Id="rId873" Type="http://schemas.openxmlformats.org/officeDocument/2006/relationships/hyperlink" Target="https://www.wxyz.com/news/detroit-police-confirm-shooting-on-cody-high-school-property" TargetMode="External"/><Relationship Id="rId1089" Type="http://schemas.openxmlformats.org/officeDocument/2006/relationships/hyperlink" Target="https://www.ajc.com/news/local/student-who-shot-herself-grady-high-due-court/2tFBhv5vj4RC2VqPUjIIxH/?icmp=np_inform_variation-control" TargetMode="External"/><Relationship Id="rId1296" Type="http://schemas.openxmlformats.org/officeDocument/2006/relationships/hyperlink" Target="http://articles.chicagotribune.com/2005-02-09/news/0502090400_1_chicago-public-schools-students-exits" TargetMode="External"/><Relationship Id="rId221" Type="http://schemas.openxmlformats.org/officeDocument/2006/relationships/hyperlink" Target="https://www.qcnews.com/news/u-s/north-carolina/cleveland-county/no-regard-for-anyones-life-man-who-shot-at-deputies-and-school-bus-during-chase-captured-near-days-inn-in-cleveland-county/" TargetMode="External"/><Relationship Id="rId319" Type="http://schemas.openxmlformats.org/officeDocument/2006/relationships/hyperlink" Target="https://www.knoe.com/2024/01/01/monroe-police-arrest-suspect-accused-shooting-firearm-behind-local-school/" TargetMode="External"/><Relationship Id="rId526" Type="http://schemas.openxmlformats.org/officeDocument/2006/relationships/hyperlink" Target="https://www.justice.gov/usao-ednc/pr/wilmington-crips-gang-member-who-fired-sawed-rifle-near-school-sentenced-15-years" TargetMode="External"/><Relationship Id="rId1156" Type="http://schemas.openxmlformats.org/officeDocument/2006/relationships/hyperlink" Target="https://www.columbine-angels.com/School_Violence_2008-2009.htm" TargetMode="External"/><Relationship Id="rId1363" Type="http://schemas.openxmlformats.org/officeDocument/2006/relationships/hyperlink" Target="https://www.newspapers.com/image/205047710/?terms=student%2Bshoots" TargetMode="External"/><Relationship Id="rId733" Type="http://schemas.openxmlformats.org/officeDocument/2006/relationships/hyperlink" Target="https://www.postregister.com/star/news/jefferson-joint-school-dist-moving-forward-after-another-gun-incident/article_e7b6f146-3426-5c60-a8c7-4668519062a5.html" TargetMode="External"/><Relationship Id="rId940" Type="http://schemas.openxmlformats.org/officeDocument/2006/relationships/hyperlink" Target="https://www.denverpost.com/2017/11/23/shooting-near-manual-high-school-denver/" TargetMode="External"/><Relationship Id="rId1016" Type="http://schemas.openxmlformats.org/officeDocument/2006/relationships/hyperlink" Target="https://www.statesmanjournal.com/story/news/2015/09/04/man-arrested-after-shots-fired-near-newberg-high-school/71699392/" TargetMode="External"/><Relationship Id="rId1570" Type="http://schemas.openxmlformats.org/officeDocument/2006/relationships/hyperlink" Target="https://www.columbine-angels.com/School_Violence_1990-1991.htm" TargetMode="External"/><Relationship Id="rId1668" Type="http://schemas.openxmlformats.org/officeDocument/2006/relationships/hyperlink" Target="https://www.newspapers.com/newspage/5937341/" TargetMode="External"/><Relationship Id="rId1875" Type="http://schemas.openxmlformats.org/officeDocument/2006/relationships/hyperlink" Target="https://www.newspapers.com/image/452075386/?terms=school%20shooting&amp;match=1" TargetMode="External"/><Relationship Id="rId800" Type="http://schemas.openxmlformats.org/officeDocument/2006/relationships/hyperlink" Target="https://abc17news.com/news/crime/shooting/2020/08/25/one-person-shot-near-west-middle-school-in-columbia/" TargetMode="External"/><Relationship Id="rId1223" Type="http://schemas.openxmlformats.org/officeDocument/2006/relationships/hyperlink" Target="http://www.pressreader.com/usa/austin-american-statesman/20060822/281908768618808" TargetMode="External"/><Relationship Id="rId1430" Type="http://schemas.openxmlformats.org/officeDocument/2006/relationships/hyperlink" Target="https://www.cbsnews.com/news/ga-teen-found-dead-in-truck/" TargetMode="External"/><Relationship Id="rId1528" Type="http://schemas.openxmlformats.org/officeDocument/2006/relationships/hyperlink" Target="https://www.newspapers.com/image/257172973/?terms=Virginia%2BWilcox" TargetMode="External"/><Relationship Id="rId1735" Type="http://schemas.openxmlformats.org/officeDocument/2006/relationships/hyperlink" Target="https://www.newspapers.com/image/234200567/?terms=student%2Bwho%2Bshot%2Bself" TargetMode="External"/><Relationship Id="rId27" Type="http://schemas.openxmlformats.org/officeDocument/2006/relationships/hyperlink" Target="https://www.koin.com/news/crime/woman-flies-in-to-fight-shot-at-vancouver-school/" TargetMode="External"/><Relationship Id="rId1802" Type="http://schemas.openxmlformats.org/officeDocument/2006/relationships/hyperlink" Target="https://www.newspapers.com/image/287719212/?terms=school%2Bshooting" TargetMode="External"/><Relationship Id="rId176" Type="http://schemas.openxmlformats.org/officeDocument/2006/relationships/hyperlink" Target="https://www.yahoo.com/news/boy-14-wounded-shooting-outside-001300491.html" TargetMode="External"/><Relationship Id="rId383" Type="http://schemas.openxmlformats.org/officeDocument/2006/relationships/hyperlink" Target="https://wjla.com/news/local/stanton-elementary-school-washington-dc-gunfire-bullets-building-struck-classrooms-lockdown-gunshots-staff-metropolitan-police-department-investigation-students-families-parents-district-bowser-violent-crime-chief-mpd-pamela-smith" TargetMode="External"/><Relationship Id="rId590" Type="http://schemas.openxmlformats.org/officeDocument/2006/relationships/hyperlink" Target="https://www.wave3.com/2022/11/10/man-wounded-by-his-own-gun-accidental-shooting-elementary-school-hallway/" TargetMode="External"/><Relationship Id="rId243" Type="http://schemas.openxmlformats.org/officeDocument/2006/relationships/hyperlink" Target="https://fox8.com/news/gun-pulled-at-cleveland-elementary-school/" TargetMode="External"/><Relationship Id="rId450" Type="http://schemas.openxmlformats.org/officeDocument/2006/relationships/hyperlink" Target="https://www.boston25news.com/news/local/police-accidental-discharge-officers-gun-prompted-huge-emergency-response-st-johns-prep/Y4CKJ7TLXZAXNIYNMLOC4KB7RM/" TargetMode="External"/><Relationship Id="rId688" Type="http://schemas.openxmlformats.org/officeDocument/2006/relationships/hyperlink" Target="https://www.wsaz.com/2022/03/11/school-lockdown-lifted-following-robbery-shots-fired-lawrence-county-fairgrounds/" TargetMode="External"/><Relationship Id="rId895" Type="http://schemas.openxmlformats.org/officeDocument/2006/relationships/hyperlink" Target="https://www.yakimaherald.com/news/crime_and_courts/shooting-victim-found-near-west-valley-school-identified/article_486a9ff4-8c56-11e8-886e-3bb30443843b.html" TargetMode="External"/><Relationship Id="rId1080" Type="http://schemas.openxmlformats.org/officeDocument/2006/relationships/hyperlink" Target="https://www.theleafchronicle.com/story/news/2017/03/10/one-familys-emotional-trial-ends-without-answers/98871314/" TargetMode="External"/><Relationship Id="rId103" Type="http://schemas.openxmlformats.org/officeDocument/2006/relationships/hyperlink" Target="https://www.13newsnow.com/article/news/crime/accidental-self-shooting-hampton-elementary-school/291-9a81625d-c573-48ae-837d-ef27cf82dbb4" TargetMode="External"/><Relationship Id="rId310" Type="http://schemas.openxmlformats.org/officeDocument/2006/relationships/hyperlink" Target="https://chicago.suntimes.com/crime/2024/1/22/24047515/brothers-shot-fatally-cics-wood-longwood-chicago-maurice-clay" TargetMode="External"/><Relationship Id="rId548" Type="http://schemas.openxmlformats.org/officeDocument/2006/relationships/hyperlink" Target="https://www.abc4.com/news/wasatch-front/shots-fired-taylorsville-high-school/" TargetMode="External"/><Relationship Id="rId755" Type="http://schemas.openxmlformats.org/officeDocument/2006/relationships/hyperlink" Target="https://www.wtol.com/article/news/local/fight-shots-fired-during-youth-football-game-at-northpointe-academy-elementary/512-86c1c571-4188-43c4-898e-3930ac7721aa" TargetMode="External"/><Relationship Id="rId962" Type="http://schemas.openxmlformats.org/officeDocument/2006/relationships/hyperlink" Target="https://chicago.suntimes.com/crime/2-boys-man-charged-with-warren-elementary-school-shooting/" TargetMode="External"/><Relationship Id="rId1178" Type="http://schemas.openxmlformats.org/officeDocument/2006/relationships/hyperlink" Target="http://starlocalmedia.com/mesquitenews/news/arrests-made-in-west-mesquite-shooting/article_c1de2b11-1f0a-5ac7-8ea4-807789bd19bc.html" TargetMode="External"/><Relationship Id="rId1385" Type="http://schemas.openxmlformats.org/officeDocument/2006/relationships/hyperlink" Target="https://www.deseretnews.com/article/843018/Texas-teen-kills-himself-at-school.html" TargetMode="External"/><Relationship Id="rId1592" Type="http://schemas.openxmlformats.org/officeDocument/2006/relationships/hyperlink" Target="https://books.google.com/books?id=paCVN9ECUc4C&amp;pg=PA10&amp;lpg=PA10&amp;dq=George+Rogers+Clark+High+School+hostage+1995&amp;source=bl&amp;ots=nnsA6mfWJP&amp;sig=Eg_GpHVGdpBSqw57FExYfpEPEGg&amp;hl=en&amp;sa=X&amp;ved=0ahUKEwjEzNrvk_7bAhUIpFkKHYajCvgQ6AEIiQEwEg" TargetMode="External"/><Relationship Id="rId91" Type="http://schemas.openxmlformats.org/officeDocument/2006/relationships/hyperlink" Target="https://abc7chicago.com/post/south-elgin-shooting-shots-fired-fox-meadow-elementary-school-jenna-drive-police-say-no-injuries-reported/15953649/" TargetMode="External"/><Relationship Id="rId408" Type="http://schemas.openxmlformats.org/officeDocument/2006/relationships/hyperlink" Target="https://www.wlbt.com/2023/08/31/11-year-old-boy-fires-gun-toward-or-near-lincoln-co-school-bus/" TargetMode="External"/><Relationship Id="rId615" Type="http://schemas.openxmlformats.org/officeDocument/2006/relationships/hyperlink" Target="https://www.wafb.com/2022/09/28/teen-fires-shots-into-car-br-private-school/" TargetMode="External"/><Relationship Id="rId822" Type="http://schemas.openxmlformats.org/officeDocument/2006/relationships/hyperlink" Target="https://abc7chicago.com/1-shot-outside-school-in-austin/5717900/" TargetMode="External"/><Relationship Id="rId1038" Type="http://schemas.openxmlformats.org/officeDocument/2006/relationships/hyperlink" Target="http://archive.commercialappeal.com/news/crime/student-shoots-himself-in-leg-at-a-maceo-walker-middle-memphis-police-say-ep-692582895-324312081.html/" TargetMode="External"/><Relationship Id="rId1245" Type="http://schemas.openxmlformats.org/officeDocument/2006/relationships/hyperlink" Target="https://pilotonline.com/news/article_91bd4bea-b9dc-5c30-bff7-43f583e1f7a9.html" TargetMode="External"/><Relationship Id="rId1452" Type="http://schemas.openxmlformats.org/officeDocument/2006/relationships/hyperlink" Target="https://www.newspapers.com/image/295695332/?terms=student%2Bshoots" TargetMode="External"/><Relationship Id="rId1105" Type="http://schemas.openxmlformats.org/officeDocument/2006/relationships/hyperlink" Target="http://www.fayobserver.com/news/20180817/cape-fear-high-shooting-lawsuit-settled-for-2-million" TargetMode="External"/><Relationship Id="rId1312" Type="http://schemas.openxmlformats.org/officeDocument/2006/relationships/hyperlink" Target="https://www.upi.com/Distraught-teen-kills-himself-at-school/59631097364281/" TargetMode="External"/><Relationship Id="rId1757" Type="http://schemas.openxmlformats.org/officeDocument/2006/relationships/hyperlink" Target="https://www.newspapers.com/image/303108537/?terms=school%2Bshooting" TargetMode="External"/><Relationship Id="rId49" Type="http://schemas.openxmlformats.org/officeDocument/2006/relationships/hyperlink" Target="https://www.ksat.com/news/local/2025/05/08/im-terrified-for-the-children-parents-fearful-after-apparent-suicide-at-northwest-side-school/" TargetMode="External"/><Relationship Id="rId1617" Type="http://schemas.openxmlformats.org/officeDocument/2006/relationships/hyperlink" Target="https://www.newspapers.com/image/406009908/?terms=STUDENT%2BSHOT" TargetMode="External"/><Relationship Id="rId1824" Type="http://schemas.openxmlformats.org/officeDocument/2006/relationships/hyperlink" Target="https://www.newspapers.com/image/227849615/?terms=husband%2Bkills%2Bteacher" TargetMode="External"/><Relationship Id="rId198" Type="http://schemas.openxmlformats.org/officeDocument/2006/relationships/hyperlink" Target="https://archive.is/I7Vn2" TargetMode="External"/><Relationship Id="rId265" Type="http://schemas.openxmlformats.org/officeDocument/2006/relationships/hyperlink" Target="https://www.wptv.com/news/region-c-palm-beach-county/riviera-beach/man-shot-by-police-officer-at-suncoast-community-high-school-sentenced-to-5-years-in-state-prison" TargetMode="External"/><Relationship Id="rId472" Type="http://schemas.openxmlformats.org/officeDocument/2006/relationships/hyperlink" Target="https://www.nbclosangeles.com/news/local/shots-fired-after-high-school-prom/3144633/" TargetMode="External"/><Relationship Id="rId125" Type="http://schemas.openxmlformats.org/officeDocument/2006/relationships/hyperlink" Target="https://www.wfaa.com/article/news/crime/one-person-shot-outside-mesquite-texas-elementary-school-police/287-36536b23-0d20-47a3-9799-4c0a3e31add7" TargetMode="External"/><Relationship Id="rId332" Type="http://schemas.openxmlformats.org/officeDocument/2006/relationships/hyperlink" Target="https://www.houstonpublicmedia.org/articles/news/crime/2023/11/30/471185/spring-branch-isd-police-officer-fatally-shoots-man-suspecting-of-killing-his-father-before-stealing-cars-outside-nearby-elementary-school/" TargetMode="External"/><Relationship Id="rId777" Type="http://schemas.openxmlformats.org/officeDocument/2006/relationships/hyperlink" Target="https://www.nbc4i.com/news/local-news/cpd-school-fight-leads-to-shooting/" TargetMode="External"/><Relationship Id="rId984" Type="http://schemas.openxmlformats.org/officeDocument/2006/relationships/hyperlink" Target="https://www.al.com/news/mobile/index.ssf/2016/10/teen_injured_in_high_school_sh.html" TargetMode="External"/><Relationship Id="rId637" Type="http://schemas.openxmlformats.org/officeDocument/2006/relationships/hyperlink" Target="https://www.fox29.com/news/police-3-people-hospitalized-after-being-shot-on-elementary-school-playground-in-kensington" TargetMode="External"/><Relationship Id="rId844" Type="http://schemas.openxmlformats.org/officeDocument/2006/relationships/hyperlink" Target="https://6abc.com/police-del-man-found-holding-loaded-gun-outside-nj-elementary-school/5346847/" TargetMode="External"/><Relationship Id="rId1267" Type="http://schemas.openxmlformats.org/officeDocument/2006/relationships/hyperlink" Target="https://www.schoolsecurity.org/wp-content/uploads/2023/09/Snip20230916_36.png" TargetMode="External"/><Relationship Id="rId1474" Type="http://schemas.openxmlformats.org/officeDocument/2006/relationships/hyperlink" Target="https://www.presstelegram.com/2015/10/16/javiers-dream-of-helping-people-lives-on-rich-archbold/" TargetMode="External"/><Relationship Id="rId1681" Type="http://schemas.openxmlformats.org/officeDocument/2006/relationships/hyperlink" Target="https://www.newspapers.com/image/178928817/?terms=student%2Bshot" TargetMode="External"/><Relationship Id="rId704" Type="http://schemas.openxmlformats.org/officeDocument/2006/relationships/hyperlink" Target="https://www.fox5dc.com/news/man-found-with-gun-at-gaithersburg-high-school-is-second-incident-in-montgomery-county-this-month" TargetMode="External"/><Relationship Id="rId911" Type="http://schemas.openxmlformats.org/officeDocument/2006/relationships/hyperlink" Target="https://www.cbsnews.com/news/kentucky-police-suspect-in-wifes-death-shot-behind-school/" TargetMode="External"/><Relationship Id="rId1127" Type="http://schemas.openxmlformats.org/officeDocument/2006/relationships/hyperlink" Target="https://www.newspapers.com/image/362815804/?terms=central%2Bhigh%2Bschool%2Bshooting%2Bdetroit" TargetMode="External"/><Relationship Id="rId1334" Type="http://schemas.openxmlformats.org/officeDocument/2006/relationships/hyperlink" Target="https://www.newspapers.com/image/225032236/?terms=Colonia%2BHigh%2BSchool%2Bhandgun" TargetMode="External"/><Relationship Id="rId1541" Type="http://schemas.openxmlformats.org/officeDocument/2006/relationships/hyperlink" Target="http://sacramento.cbslocal.com/2012/08/02/state-supreme-court-upholds-death-penalty-for-houston-in-lindhurst-high-rampage/" TargetMode="External"/><Relationship Id="rId1779" Type="http://schemas.openxmlformats.org/officeDocument/2006/relationships/hyperlink" Target="https://www.newspapers.com/image/117994783/?terms=school%2Bshooting" TargetMode="External"/><Relationship Id="rId40" Type="http://schemas.openxmlformats.org/officeDocument/2006/relationships/hyperlink" Target="https://www.nj.com/union/2025/06/high-school-teacher-shot-with-paintball-gun-while-pulling-out-of-parking-lot-cops-say.html" TargetMode="External"/><Relationship Id="rId1401" Type="http://schemas.openxmlformats.org/officeDocument/2006/relationships/hyperlink" Target="http://articles.latimes.com/2000/dec/02/local/me-60380" TargetMode="External"/><Relationship Id="rId1639" Type="http://schemas.openxmlformats.org/officeDocument/2006/relationships/hyperlink" Target="https://www.newspapers.com/image/321065578/?terms=KERRY%2BDICKENS" TargetMode="External"/><Relationship Id="rId1846" Type="http://schemas.openxmlformats.org/officeDocument/2006/relationships/hyperlink" Target="https://www.newspapers.com/image/296262312/?terms=school%2Bshooting" TargetMode="External"/><Relationship Id="rId1706" Type="http://schemas.openxmlformats.org/officeDocument/2006/relationships/hyperlink" Target="https://www.newspapers.com/image/279068651/?terms=teacher%2Bshot" TargetMode="External"/><Relationship Id="rId287" Type="http://schemas.openxmlformats.org/officeDocument/2006/relationships/hyperlink" Target="https://www.kiro7.com/news/local/video-girl-shot-near-garfield-high-school/f5af8864-2c59-45b8-9300-f9b717519a7f/" TargetMode="External"/><Relationship Id="rId494" Type="http://schemas.openxmlformats.org/officeDocument/2006/relationships/hyperlink" Target="https://6abc.com/philadelphia-shooting-2-teens-shot-father-judge-high-school-shots-fired/13082808/" TargetMode="External"/><Relationship Id="rId147" Type="http://schemas.openxmlformats.org/officeDocument/2006/relationships/hyperlink" Target="https://www.hawaiinewsnow.com/2024/10/19/man-arrested-after-allegedly-firing-bb-gun-cars-near-elementary-school/" TargetMode="External"/><Relationship Id="rId354" Type="http://schemas.openxmlformats.org/officeDocument/2006/relationships/hyperlink" Target="https://www.mlive.com/news/2023/10/15-year-old-shot-at-park-outside-a-detroit-high-school.html" TargetMode="External"/><Relationship Id="rId799" Type="http://schemas.openxmlformats.org/officeDocument/2006/relationships/hyperlink" Target="https://www.centralillinoisproud.com/news/local-news/peoria-public-schools-emphasizing-student-safety-after-school-bus-was-struck-by-stray-bullet-thursday/" TargetMode="External"/><Relationship Id="rId1191" Type="http://schemas.openxmlformats.org/officeDocument/2006/relationships/hyperlink" Target="https://www.columbine-angels.com/School_Violence_2006-2007.htm" TargetMode="External"/><Relationship Id="rId561" Type="http://schemas.openxmlformats.org/officeDocument/2006/relationships/hyperlink" Target="https://www.potomaclocal.com/2023/01/10/philadelphia-man-shot-pellets-at-county-school-bus-police-said/" TargetMode="External"/><Relationship Id="rId659" Type="http://schemas.openxmlformats.org/officeDocument/2006/relationships/hyperlink" Target="https://www.insidenova.com/headlines/potomac-high-school-student-charged-after-bathroom-brandishing/article_f3fa326e-d86d-11ec-bd21-f36cea08fd4d.html" TargetMode="External"/><Relationship Id="rId866" Type="http://schemas.openxmlformats.org/officeDocument/2006/relationships/hyperlink" Target="https://abc6onyourside.com/news/local/police-investigating-double-shooting-at-africentric-high-school" TargetMode="External"/><Relationship Id="rId1289" Type="http://schemas.openxmlformats.org/officeDocument/2006/relationships/hyperlink" Target="http://www.nydailynews.com/archives/news/b-klyn-hs-panic-boy-shoots-leg-article-1.589241" TargetMode="External"/><Relationship Id="rId1496" Type="http://schemas.openxmlformats.org/officeDocument/2006/relationships/hyperlink" Target="https://www.newspapers.com/image/175645669/?terms=New%2BBritain%2BHigh%2BSchool%2Bshooting" TargetMode="External"/><Relationship Id="rId214" Type="http://schemas.openxmlformats.org/officeDocument/2006/relationships/hyperlink" Target="https://www.wtvq.com/police-investigate-after-reports-of-shots-fired-near-a-lexington-middle-school/" TargetMode="External"/><Relationship Id="rId421" Type="http://schemas.openxmlformats.org/officeDocument/2006/relationships/hyperlink" Target="https://www.wsbtv.com/news/local/cobb-county/17-year-old-cobb-county-student-shot-during-violent-altercation-after-high-school-football-game/FG6H5QBBMNBRHJMROUQWGAJD4Y/" TargetMode="External"/><Relationship Id="rId519" Type="http://schemas.openxmlformats.org/officeDocument/2006/relationships/hyperlink" Target="https://www.montanarightnow.com/great-falls/two-boys-detained-for-shooting-a-bb-gun-towards-a-lewistown-elementary-school/article_edf116c8-b9fc-11ed-b140-ebb2cc17b0c6.html" TargetMode="External"/><Relationship Id="rId1051" Type="http://schemas.openxmlformats.org/officeDocument/2006/relationships/hyperlink" Target="https://www.ajc.com/news/local/fourth-person-arrested-after-shots-fired-outside-banneker-high-school/E7iAqMZysw5q4XheUNHn9K/" TargetMode="External"/><Relationship Id="rId1149" Type="http://schemas.openxmlformats.org/officeDocument/2006/relationships/hyperlink" Target="https://bangordailynews.com/2008/10/31/news/5th-graders-safe-after-police-arrest-armed-fugitive/" TargetMode="External"/><Relationship Id="rId1356" Type="http://schemas.openxmlformats.org/officeDocument/2006/relationships/hyperlink" Target="http://www.santacruzsentinel.com/article/zz/20080625/NEWS/806259869" TargetMode="External"/><Relationship Id="rId726" Type="http://schemas.openxmlformats.org/officeDocument/2006/relationships/hyperlink" Target="https://blockclubchicago.org/2021/10/26/shots-fired-during-fight-outside-west-town-school/" TargetMode="External"/><Relationship Id="rId933" Type="http://schemas.openxmlformats.org/officeDocument/2006/relationships/hyperlink" Target="https://www.dailynews.com/2017/12/28/man-arguing-with-girlfriend-in-lancaster-school-parking-lot-is-shot-by-another-man/" TargetMode="External"/><Relationship Id="rId1009" Type="http://schemas.openxmlformats.org/officeDocument/2006/relationships/hyperlink" Target="https://www.miamiherald.com/news/local/community/miami-dade/article45747750.html" TargetMode="External"/><Relationship Id="rId1563" Type="http://schemas.openxmlformats.org/officeDocument/2006/relationships/hyperlink" Target="https://www.newspapers.com/image/289233212/?terms=Franklin%2BAlternative%2BMiddle%2BSchool%2Bshooting" TargetMode="External"/><Relationship Id="rId1770" Type="http://schemas.openxmlformats.org/officeDocument/2006/relationships/hyperlink" Target="https://www.newspapers.com/image/18233056/?terms=Old%2BMain%2BEisenhower%2BHigh%2BSchool%2Bshooting" TargetMode="External"/><Relationship Id="rId1868" Type="http://schemas.openxmlformats.org/officeDocument/2006/relationships/hyperlink" Target="https://www.nytimes.com/1969/01/25/archives/principals-aide-in-capital-is-killed-chasing-thieves.html" TargetMode="External"/><Relationship Id="rId62" Type="http://schemas.openxmlformats.org/officeDocument/2006/relationships/hyperlink" Target="https://www.independentmail.com/story/news/local/2025/04/17/renaissance-academy-in-anderson-on-lockdown-shooting-reported-nearby/83143359007/" TargetMode="External"/><Relationship Id="rId1216" Type="http://schemas.openxmlformats.org/officeDocument/2006/relationships/hyperlink" Target="https://www.amazon.com/WIN-Memoir-Shooting-Gabe-Medrano/dp/1432793624" TargetMode="External"/><Relationship Id="rId1423" Type="http://schemas.openxmlformats.org/officeDocument/2006/relationships/hyperlink" Target="https://www.newspapers.com/image/220395374/?terms=Guyan%2BValley%2BHigh%2BSchool" TargetMode="External"/><Relationship Id="rId1630" Type="http://schemas.openxmlformats.org/officeDocument/2006/relationships/hyperlink" Target="https://www.newspapers.com/image/203093088/?terms=roger%2Bjoe%2Bedward%2Bjenkins" TargetMode="External"/><Relationship Id="rId1728" Type="http://schemas.openxmlformats.org/officeDocument/2006/relationships/hyperlink" Target="https://www.newspapers.com/image/335123478/?terms=student%2Bshoots%2Bself" TargetMode="External"/><Relationship Id="rId169" Type="http://schemas.openxmlformats.org/officeDocument/2006/relationships/hyperlink" Target="https://firststateupdate.com/2024/09/gunfire-near-charter-school-leads-to-arrest/" TargetMode="External"/><Relationship Id="rId376" Type="http://schemas.openxmlformats.org/officeDocument/2006/relationships/hyperlink" Target="https://www.poconorecord.com/story/news/crime/2023/11/16/child-shoots-gun-middle-smithfield-elementary-school-parking-lot/71603605007/" TargetMode="External"/><Relationship Id="rId583" Type="http://schemas.openxmlformats.org/officeDocument/2006/relationships/hyperlink" Target="https://www.erscream.com/post/shots-fired-the-inside-scoop-on-the-shooting-at-yosemite-park" TargetMode="External"/><Relationship Id="rId790" Type="http://schemas.openxmlformats.org/officeDocument/2006/relationships/hyperlink" Target="https://www.klkntv.com/shots-fired-at-a-lincoln-elementary-school-officers-say-its-alarming/" TargetMode="External"/><Relationship Id="rId4" Type="http://schemas.openxmlformats.org/officeDocument/2006/relationships/hyperlink" Target="https://1819news.com/news/item/shooting-reported-outside-lanett-v-lafayette-game" TargetMode="External"/><Relationship Id="rId236" Type="http://schemas.openxmlformats.org/officeDocument/2006/relationships/hyperlink" Target="https://www.kxlf.com/news/crime-and-courts/butte-police-seek-to-id-suspects-who-shot-out-school-windows-with-bb-gun" TargetMode="External"/><Relationship Id="rId443" Type="http://schemas.openxmlformats.org/officeDocument/2006/relationships/hyperlink" Target="https://www.wisn.com/article/school-bus-hit-by-gunfire-in-milwaukee/44115821" TargetMode="External"/><Relationship Id="rId650" Type="http://schemas.openxmlformats.org/officeDocument/2006/relationships/hyperlink" Target="https://www.fox44news.com/news/local-news/brazos/shots-fired-at-college-station-high-school-suspect-sought/" TargetMode="External"/><Relationship Id="rId888" Type="http://schemas.openxmlformats.org/officeDocument/2006/relationships/hyperlink" Target="https://www.woodtv.com/news/grand-rapids/shooting-outside-ottawa-hills-hs-leads-to-lockdowns/1406788527" TargetMode="External"/><Relationship Id="rId1073" Type="http://schemas.openxmlformats.org/officeDocument/2006/relationships/hyperlink" Target="https://www.wftv.com/news/local/teen-shot-agape-christian-academy-pine-hills/270794978" TargetMode="External"/><Relationship Id="rId1280" Type="http://schemas.openxmlformats.org/officeDocument/2006/relationships/hyperlink" Target="https://www.denverpost.com/2005/05/24/pellets-strike-2-adults-on-busy-school-playground/" TargetMode="External"/><Relationship Id="rId303" Type="http://schemas.openxmlformats.org/officeDocument/2006/relationships/hyperlink" Target="https://www.wsmv.com/2024/01/31/8th-grader-allegedly-confronted-classmate-with-gun-fired-shot-outside-haynes-middle-school/" TargetMode="External"/><Relationship Id="rId748" Type="http://schemas.openxmlformats.org/officeDocument/2006/relationships/hyperlink" Target="https://www.ajc.com/news/breaking-3-henry-schools-on-lockdown-due-to-suspicious-person/J6LSPTV7XVALNDGZOJVBSZJK2E/" TargetMode="External"/><Relationship Id="rId955" Type="http://schemas.openxmlformats.org/officeDocument/2006/relationships/hyperlink" Target="https://www.thv11.com/article/news/local/after-shooting-north-little-rock-high-to-increase-security-at-football-games/473815136" TargetMode="External"/><Relationship Id="rId1140" Type="http://schemas.openxmlformats.org/officeDocument/2006/relationships/hyperlink" Target="https://www.columbine-angels.com/School_Violence_2008-2009.htm" TargetMode="External"/><Relationship Id="rId1378" Type="http://schemas.openxmlformats.org/officeDocument/2006/relationships/hyperlink" Target="https://www.michigandaily.com/content/17-year-old-takes-hostages-school-commits-suicide" TargetMode="External"/><Relationship Id="rId1585" Type="http://schemas.openxmlformats.org/officeDocument/2006/relationships/hyperlink" Target="https://www.newspapers.com/image/410785023/?terms=W.%2BW.%2BSamuell%2BHigh%2BSchool" TargetMode="External"/><Relationship Id="rId1792" Type="http://schemas.openxmlformats.org/officeDocument/2006/relationships/hyperlink" Target="https://www.newspapers.com/image/68536508/?terms=school%2Bshooting" TargetMode="External"/><Relationship Id="rId84" Type="http://schemas.openxmlformats.org/officeDocument/2006/relationships/hyperlink" Target="https://www.wxii12.com/article/carver-high-school-shots-fired-baseball-field-wsfcs/64369438" TargetMode="External"/><Relationship Id="rId510" Type="http://schemas.openxmlformats.org/officeDocument/2006/relationships/hyperlink" Target="https://www.9news.com/article/news/crime/teens-charged-brighton-shooting/73-49712006-34c3-4896-a240-9327701d6ba1" TargetMode="External"/><Relationship Id="rId608" Type="http://schemas.openxmlformats.org/officeDocument/2006/relationships/hyperlink" Target="https://www.amny.com/new-york/brooklyn/cops-seek-suspect-in-brooklyn-school-bus-shooting/" TargetMode="External"/><Relationship Id="rId815" Type="http://schemas.openxmlformats.org/officeDocument/2006/relationships/hyperlink" Target="https://chicago.cbslocal.com/2020/01/22/lindblom-high-school-shooting-robbery-swim-team-members/" TargetMode="External"/><Relationship Id="rId1238" Type="http://schemas.openxmlformats.org/officeDocument/2006/relationships/hyperlink" Target="https://www.ydr.com/story/news/local/blogs/teen-takeover/2006/02/24/school-censoring-student-writi/31691051/" TargetMode="External"/><Relationship Id="rId1445" Type="http://schemas.openxmlformats.org/officeDocument/2006/relationships/hyperlink" Target="https://www.washingtonpost.com/nation/2022/08/28/school-shooting-paducah-kentucky-michael-carneal-parole/" TargetMode="External"/><Relationship Id="rId1652" Type="http://schemas.openxmlformats.org/officeDocument/2006/relationships/hyperlink" Target="http://www.apnewsarchive.com/1985/Distraught-Over-Losing-Boyfriend-Girl-Kills-Two-Then-Herself/id-075d33aa6600d2e6b30d969ba3edaf0d" TargetMode="External"/><Relationship Id="rId1000" Type="http://schemas.openxmlformats.org/officeDocument/2006/relationships/hyperlink" Target="http://www.kktv.com/home/headlines/PD-East-High-School-Staff-Hurt-In-Drive-By-Shooting-Near-School-378173411.html" TargetMode="External"/><Relationship Id="rId1305" Type="http://schemas.openxmlformats.org/officeDocument/2006/relationships/hyperlink" Target="http://www.wtoc.com/story/2578224/gunman-sought-in-battery-creek-high-shooting" TargetMode="External"/><Relationship Id="rId1512" Type="http://schemas.openxmlformats.org/officeDocument/2006/relationships/hyperlink" Target="https://www.newspapers.com/image/278618494/?terms=Francis%2BT.%2BNicholls%2BHigh%2BSchool%2Bshooting" TargetMode="External"/><Relationship Id="rId1817" Type="http://schemas.openxmlformats.org/officeDocument/2006/relationships/hyperlink" Target="https://www.newspapers.com/image/125303713/?terms=school%2Bshooting" TargetMode="External"/><Relationship Id="rId11" Type="http://schemas.openxmlformats.org/officeDocument/2006/relationships/hyperlink" Target="https://coloradosun.com/2025/09/17/how-the-evergreen-high-school-shooting-unfolded-moment-by-moment/" TargetMode="External"/><Relationship Id="rId398" Type="http://schemas.openxmlformats.org/officeDocument/2006/relationships/hyperlink" Target="https://www.fox5dc.com/news/man-shot-near-2-dc-schools" TargetMode="External"/><Relationship Id="rId160" Type="http://schemas.openxmlformats.org/officeDocument/2006/relationships/hyperlink" Target="https://www.fox4news.com/news/mesquite-police-shooting-poteet-high-school" TargetMode="External"/><Relationship Id="rId258" Type="http://schemas.openxmlformats.org/officeDocument/2006/relationships/hyperlink" Target="https://signalscv.com/2024/04/school-on-lockdown-after-reports-of-pellet-gun-attack/" TargetMode="External"/><Relationship Id="rId465" Type="http://schemas.openxmlformats.org/officeDocument/2006/relationships/hyperlink" Target="https://whyy.org/articles/gun-fired-rhodes-elementary-school-north-philadelphia/" TargetMode="External"/><Relationship Id="rId672" Type="http://schemas.openxmlformats.org/officeDocument/2006/relationships/hyperlink" Target="https://www.fox5atlanta.com/news/marietta-school-buses-windshield-shot" TargetMode="External"/><Relationship Id="rId1095" Type="http://schemas.openxmlformats.org/officeDocument/2006/relationships/hyperlink" Target="https://abc13.com/archive/8915159/" TargetMode="External"/><Relationship Id="rId118" Type="http://schemas.openxmlformats.org/officeDocument/2006/relationships/hyperlink" Target="https://www.keloland.com/news/local-news/dci-investigates-officer-involved-shooting-at-yankton-school/" TargetMode="External"/><Relationship Id="rId325" Type="http://schemas.openxmlformats.org/officeDocument/2006/relationships/hyperlink" Target="https://qns.com/2023/12/man-sought-shooting-firearm-in-front-fresh-meadows-school-nypd/" TargetMode="External"/><Relationship Id="rId532" Type="http://schemas.openxmlformats.org/officeDocument/2006/relationships/hyperlink" Target="https://www.fox5atlanta.com/news/gun-fired-inside-dekalb-county-middle-school-classroom-officials-say" TargetMode="External"/><Relationship Id="rId977" Type="http://schemas.openxmlformats.org/officeDocument/2006/relationships/hyperlink" Target="http://www.standard.net/Police-Fire/2017/02/13/Teen-accused-of-shooting-gun-in-Mueller-Park-Jr-High-pleads-guilty" TargetMode="External"/><Relationship Id="rId1162" Type="http://schemas.openxmlformats.org/officeDocument/2006/relationships/hyperlink" Target="https://www.foxnews.com/story/student-shot-at-north-carolina-charter-school" TargetMode="External"/><Relationship Id="rId837" Type="http://schemas.openxmlformats.org/officeDocument/2006/relationships/hyperlink" Target="https://patch.com/new-york/merrick/shooting-long-island-school-causes-lockdown" TargetMode="External"/><Relationship Id="rId1022" Type="http://schemas.openxmlformats.org/officeDocument/2006/relationships/hyperlink" Target="http://www.jacksonville.com/breaking-news/2015-05-14/story/two-students-shot-school-bus-jacksonvilles-westside-police-searching" TargetMode="External"/><Relationship Id="rId1467" Type="http://schemas.openxmlformats.org/officeDocument/2006/relationships/hyperlink" Target="https://www.columbine-angels.com/School_Violence_1995-1996.htm" TargetMode="External"/><Relationship Id="rId1674" Type="http://schemas.openxmlformats.org/officeDocument/2006/relationships/hyperlink" Target="https://www.newspapers.com/image/240845256/?terms=STUDENT%2BSHOOTS" TargetMode="External"/><Relationship Id="rId1881" Type="http://schemas.openxmlformats.org/officeDocument/2006/relationships/hyperlink" Target="https://www.newspapers.com/image/29901790/?terms=school%20shooting&amp;match=1" TargetMode="External"/><Relationship Id="rId904" Type="http://schemas.openxmlformats.org/officeDocument/2006/relationships/hyperlink" Target="https://www.kshb.com/news/crime/man-charged-in-shooting-at-center-high-school-graduation" TargetMode="External"/><Relationship Id="rId1327" Type="http://schemas.openxmlformats.org/officeDocument/2006/relationships/hyperlink" Target="http://www.foxnews.com/story/2006/03/16/two-guilty-in-slaying-philadelphia-boy.html" TargetMode="External"/><Relationship Id="rId1534" Type="http://schemas.openxmlformats.org/officeDocument/2006/relationships/hyperlink" Target="https://www.nytimes.com/1992/10/20/nyregion/3-teen-agers-shot-in-bronx-near-a-school.html" TargetMode="External"/><Relationship Id="rId1741" Type="http://schemas.openxmlformats.org/officeDocument/2006/relationships/hyperlink" Target="https://www.newspapers.com/image/407944749/?terms=school%2Bshooting" TargetMode="External"/><Relationship Id="rId33" Type="http://schemas.openxmlformats.org/officeDocument/2006/relationships/hyperlink" Target="https://www.yahoo.com/news/man-29-gunned-down-outside-164200037.html" TargetMode="External"/><Relationship Id="rId1601" Type="http://schemas.openxmlformats.org/officeDocument/2006/relationships/hyperlink" Target="https://www.newspapers.com/image/378123968/?terms=anita%2Bmoore" TargetMode="External"/><Relationship Id="rId1839" Type="http://schemas.openxmlformats.org/officeDocument/2006/relationships/hyperlink" Target="https://www.newspapers.com/image/346849918/?terms=school%2Bshooting" TargetMode="External"/><Relationship Id="rId182" Type="http://schemas.openxmlformats.org/officeDocument/2006/relationships/hyperlink" Target="https://www.baltimoresun.com/2024/09/06/joppatowne-school-suspected-shooting-at-joppatowne-high-school/" TargetMode="External"/><Relationship Id="rId487" Type="http://schemas.openxmlformats.org/officeDocument/2006/relationships/hyperlink" Target="https://www.cbsnews.com/sacramento/news/stockton-mourns-thai-khin-chavez-high-teen-killed-in-shooting-at-park-near-school/" TargetMode="External"/><Relationship Id="rId694" Type="http://schemas.openxmlformats.org/officeDocument/2006/relationships/hyperlink" Target="https://www.wusa9.com/article/news/local/dc/police-man-injured-shooting-parking-lot-dc-charter-school/65-f3074dfc-06a1-49b2-9051-45f4b25befdb" TargetMode="External"/><Relationship Id="rId347" Type="http://schemas.openxmlformats.org/officeDocument/2006/relationships/hyperlink" Target="https://morganton.com/news/local/crime-courts/2-men-charged-after-shots-fired-near-freedom-high-school/article_5728089e-79c5-11ee-a74b-8f3a4c64c7f2.html" TargetMode="External"/><Relationship Id="rId999" Type="http://schemas.openxmlformats.org/officeDocument/2006/relationships/hyperlink" Target="https://www.nbcwashington.com/news/local/Shooting-High-Point-High-School-378322341.html" TargetMode="External"/><Relationship Id="rId1184" Type="http://schemas.openxmlformats.org/officeDocument/2006/relationships/hyperlink" Target="http://www.wistv.com/story/6297864/student-shoots-himself-in-leg-at-myrtle-beach-high-school?clienttype=printable" TargetMode="External"/><Relationship Id="rId554" Type="http://schemas.openxmlformats.org/officeDocument/2006/relationships/hyperlink" Target="https://pix11.com/news/local-news/queens/boy-13-arrested-in-shooting-of-2-other-teens-outside-queens-school-police/" TargetMode="External"/><Relationship Id="rId761" Type="http://schemas.openxmlformats.org/officeDocument/2006/relationships/hyperlink" Target="https://www.pe.com/2021/08/12/early-morning-gunshot-locks-down-san-jacintos-north-mountain-middle-school/" TargetMode="External"/><Relationship Id="rId859" Type="http://schemas.openxmlformats.org/officeDocument/2006/relationships/hyperlink" Target="https://www.wral.com/durham-school-bus-hit-by-stray-bullet/18133535/" TargetMode="External"/><Relationship Id="rId1391" Type="http://schemas.openxmlformats.org/officeDocument/2006/relationships/hyperlink" Target="https://www.washingtontimes.com/news/2001/mar/8/20010308-021529-7742r/" TargetMode="External"/><Relationship Id="rId1489" Type="http://schemas.openxmlformats.org/officeDocument/2006/relationships/hyperlink" Target="http://www.wistv.com/story/23589594/school-shootings-in-south-carolina" TargetMode="External"/><Relationship Id="rId1696" Type="http://schemas.openxmlformats.org/officeDocument/2006/relationships/hyperlink" Target="https://www.newspapers.com/image/372294245/?terms=lemmel%2Bmiddle%2Bschool" TargetMode="External"/><Relationship Id="rId207" Type="http://schemas.openxmlformats.org/officeDocument/2006/relationships/hyperlink" Target="https://www.wtol.com/article/news/crime/two-juveniles-shot-near-waite-high-school-on-saturday-east-toledo/512-facf20d1-ac9a-4bd5-94ad-fcde99c8b938" TargetMode="External"/><Relationship Id="rId414" Type="http://schemas.openxmlformats.org/officeDocument/2006/relationships/hyperlink" Target="https://www.fox23.com/news/local/mass-exodus-seen-at-booker-t-washington-football-game-gun-recovered-suspect-at-large/article_c7aa322c-43c4-11ee-b8b2-8b6327f63cb4.html" TargetMode="External"/><Relationship Id="rId621" Type="http://schemas.openxmlformats.org/officeDocument/2006/relationships/hyperlink" Target="https://www.augustachronicle.com/story/news/crime/2022/09/26/suspect-wanted-after-josey-high-school-shooting-turns-himself/8123351001/" TargetMode="External"/><Relationship Id="rId1044" Type="http://schemas.openxmlformats.org/officeDocument/2006/relationships/hyperlink" Target="https://www.local10.com/news/florida/miami-dade/5-in-custody-after-shooting-outside-northwest-miami-dade-county-school" TargetMode="External"/><Relationship Id="rId1251" Type="http://schemas.openxmlformats.org/officeDocument/2006/relationships/hyperlink" Target="https://www.newspapers.com/image/343443050/?terms=girl%2Bshot%2Bschool%2Bplayground" TargetMode="External"/><Relationship Id="rId1349" Type="http://schemas.openxmlformats.org/officeDocument/2006/relationships/hyperlink" Target="https://newspaperarchive.com/altoona-mirror-may-14-2003-p-11/" TargetMode="External"/><Relationship Id="rId719" Type="http://schemas.openxmlformats.org/officeDocument/2006/relationships/hyperlink" Target="https://mynewsla.com/crime/2021/11/17/teens-attempted-suicide-prompts-anaheim-school-to-dismiss-classes/" TargetMode="External"/><Relationship Id="rId926" Type="http://schemas.openxmlformats.org/officeDocument/2006/relationships/hyperlink" Target="http://6abc.com/man-32-killed-outside-lincoln-high-school-in-mayfair-idd/3013312/" TargetMode="External"/><Relationship Id="rId1111" Type="http://schemas.openxmlformats.org/officeDocument/2006/relationships/hyperlink" Target="https://sacramento.cbslocal.com/2012/04/24/verdict-reached-in-placerville-principal-slaying/" TargetMode="External"/><Relationship Id="rId1556" Type="http://schemas.openxmlformats.org/officeDocument/2006/relationships/hyperlink" Target="https://www.newspapers.com/image/176460783/?terms=Dorsey%2BHigh%2BSchool%2Bshooting" TargetMode="External"/><Relationship Id="rId1763" Type="http://schemas.openxmlformats.org/officeDocument/2006/relationships/hyperlink" Target="https://www.newspapers.com/image/124954684/?terms=school%2Bshooting" TargetMode="External"/><Relationship Id="rId55" Type="http://schemas.openxmlformats.org/officeDocument/2006/relationships/hyperlink" Target="https://www.wusa9.com/article/news/crime/school-parking-lot-shooting-investigation-northeast-dc/65-156a5c32-7aa9-4805-9d88-dded4a9e32ec" TargetMode="External"/><Relationship Id="rId1209" Type="http://schemas.openxmlformats.org/officeDocument/2006/relationships/hyperlink" Target="https://www.eastbaytimes.com/2006/11/13/man-killed-at-oakland-school-party/" TargetMode="External"/><Relationship Id="rId1416" Type="http://schemas.openxmlformats.org/officeDocument/2006/relationships/hyperlink" Target="http://articles.chicagotribune.com/2000-03-30/news/0003300274_1_metal-detectors-elementary-schools-west-side-school" TargetMode="External"/><Relationship Id="rId1623" Type="http://schemas.openxmlformats.org/officeDocument/2006/relationships/hyperlink" Target="http://articles.chicagotribune.com/1987-09-30/news/8703130825_1_second-floor-classroom-shooting-smoking-on-school-grounds" TargetMode="External"/><Relationship Id="rId1830" Type="http://schemas.openxmlformats.org/officeDocument/2006/relationships/hyperlink" Target="https://www.newspapers.com/image/377397441/?terms=school%2Bshooting" TargetMode="External"/><Relationship Id="rId271" Type="http://schemas.openxmlformats.org/officeDocument/2006/relationships/hyperlink" Target="https://www.fox35orlando.com/news/accidental-shooting-outside-brevard-county-school-prompts-shelter-in-place-officials-say" TargetMode="External"/><Relationship Id="rId131" Type="http://schemas.openxmlformats.org/officeDocument/2006/relationships/hyperlink" Target="https://www.localmemphis.com/article/news/crime/shooting-central-high-school/522-28601705-6306-457d-b1ce-b4e0057bc8f0" TargetMode="External"/><Relationship Id="rId369" Type="http://schemas.openxmlformats.org/officeDocument/2006/relationships/hyperlink" Target="https://www.foxla.com/news/shooting-near-high-school-in-los-angeles-under-investigation" TargetMode="External"/><Relationship Id="rId576" Type="http://schemas.openxmlformats.org/officeDocument/2006/relationships/hyperlink" Target="https://www.wsfa.com/2022/12/06/shots-fired-near-montgomery-school-police-say/" TargetMode="External"/><Relationship Id="rId783" Type="http://schemas.openxmlformats.org/officeDocument/2006/relationships/hyperlink" Target="https://www.sgvtribune.com/2020/11/09/body-of-man-who-had-been-fatally-shot-is-found-at-school-near-la-puente/" TargetMode="External"/><Relationship Id="rId990" Type="http://schemas.openxmlformats.org/officeDocument/2006/relationships/hyperlink" Target="https://www.local10.com/news/2016/08/20/shots-fired-at-southridge-vs-south-plantation-football-game-police-say/" TargetMode="External"/><Relationship Id="rId229" Type="http://schemas.openxmlformats.org/officeDocument/2006/relationships/hyperlink" Target="https://www.denverpost.com/2024/06/03/milliken-police-shooting-weld-county/" TargetMode="External"/><Relationship Id="rId436" Type="http://schemas.openxmlformats.org/officeDocument/2006/relationships/hyperlink" Target="https://news4sanantonio.com/news/local/juvenile-arrested-after-firing-shots-in-san-antonio-elementary-school-parking-lot-crime-local-bexar-county-young-gun-police" TargetMode="External"/><Relationship Id="rId643" Type="http://schemas.openxmlformats.org/officeDocument/2006/relationships/hyperlink" Target="https://gbi.georgia.gov/press-releases/2022-08-12/gbi-investigates-union-county-school-shooting-incident" TargetMode="External"/><Relationship Id="rId1066" Type="http://schemas.openxmlformats.org/officeDocument/2006/relationships/hyperlink" Target="https://kmph.com/archive/fresno-police-arrest-four-teens-related-to-edison-high-school-shooting" TargetMode="External"/><Relationship Id="rId1273" Type="http://schemas.openxmlformats.org/officeDocument/2006/relationships/hyperlink" Target="https://www.schoolsecurity.org/wp-content/uploads/2023/09/Snip20230916_36.png" TargetMode="External"/><Relationship Id="rId1480" Type="http://schemas.openxmlformats.org/officeDocument/2006/relationships/hyperlink" Target="https://www.sfgate.com/bayarea/article/SAN-LEANDRO-Suspect-named-in-1994-slaying-2596999.php" TargetMode="External"/><Relationship Id="rId850" Type="http://schemas.openxmlformats.org/officeDocument/2006/relationships/hyperlink" Target="http://www.fox5atlanta.com/news/police-release-vehicle-description-in-fulton-county-school-bus-shooting" TargetMode="External"/><Relationship Id="rId948" Type="http://schemas.openxmlformats.org/officeDocument/2006/relationships/hyperlink" Target="https://newsmaven.io/charlottealerts/news/video-drug-dispute-erupts-into-shootout-at-gas-station-school-bus-gets-hit-ffkja5HUBEKh-yZn1VMiVQ" TargetMode="External"/><Relationship Id="rId1133" Type="http://schemas.openxmlformats.org/officeDocument/2006/relationships/hyperlink" Target="https://www.columbine-angels.com/School_Violence_2008-2009.htm" TargetMode="External"/><Relationship Id="rId1578" Type="http://schemas.openxmlformats.org/officeDocument/2006/relationships/hyperlink" Target="https://www.newspapers.com/image/13852014/?terms=Skyline%2BHigh%2BSchool%2Bshooting" TargetMode="External"/><Relationship Id="rId1785" Type="http://schemas.openxmlformats.org/officeDocument/2006/relationships/hyperlink" Target="https://www.newspapers.com/image/377431143/?terms=largo%20high%20parking%20lot%20shooting&amp;match=1" TargetMode="External"/><Relationship Id="rId77" Type="http://schemas.openxmlformats.org/officeDocument/2006/relationships/hyperlink" Target="https://longisland.news12.com/police-2-students-arrested-after-displaying-bb-gun-at-valley-stream-north-high-school" TargetMode="External"/><Relationship Id="rId503" Type="http://schemas.openxmlformats.org/officeDocument/2006/relationships/hyperlink" Target="https://www.fox13memphis.com/news/police-looking-for-child-who-opened-fire-near-memphis-high-school-mpd-says/article_0dc7e62c-cfd6-11ed-83d7-c3a92d0c1c61.html" TargetMode="External"/><Relationship Id="rId710" Type="http://schemas.openxmlformats.org/officeDocument/2006/relationships/hyperlink" Target="https://www.kait8.com/2021/12/06/man-arrested-following-school-parking-lot-shooting/" TargetMode="External"/><Relationship Id="rId808" Type="http://schemas.openxmlformats.org/officeDocument/2006/relationships/hyperlink" Target="https://www.wsmv.com/news/sro-accidentally-fires-gun-inside-elementary-school/article_37ac76fe-654b-11ea-88b9-3fd9db99f2ae.html" TargetMode="External"/><Relationship Id="rId1340" Type="http://schemas.openxmlformats.org/officeDocument/2006/relationships/hyperlink" Target="https://www.washingtonpost.com/archive/politics/2003/10/31/anacostia-high-student-is-fatally-shot-at-school/a36cda4b-5726-44b6-8658-07f7b3d2c499/?utm_term=.9b19cef0c21d" TargetMode="External"/><Relationship Id="rId1438" Type="http://schemas.openxmlformats.org/officeDocument/2006/relationships/hyperlink" Target="https://www.cbsnews.com/news/2-teens-shot-at-georgia-school/" TargetMode="External"/><Relationship Id="rId1645" Type="http://schemas.openxmlformats.org/officeDocument/2006/relationships/hyperlink" Target="http://articles.chicagotribune.com/1986-03-07/news/8601170427_1_second-teacher-third-period-classes-cap-gun" TargetMode="External"/><Relationship Id="rId1200" Type="http://schemas.openxmlformats.org/officeDocument/2006/relationships/hyperlink" Target="https://www.columbine-angels.com/School_Violence_2006-2007.htm" TargetMode="External"/><Relationship Id="rId1852" Type="http://schemas.openxmlformats.org/officeDocument/2006/relationships/hyperlink" Target="https://www.newspapers.com/image/284280856/?terms=school%2Bshooting" TargetMode="External"/><Relationship Id="rId654" Type="http://schemas.openxmlformats.org/officeDocument/2006/relationships/hyperlink" Target="https://www.cbsnews.com/chicago/news/woman-and-2-teenagers-injured-after-shooting-near-school-gresham/" TargetMode="External"/><Relationship Id="rId861" Type="http://schemas.openxmlformats.org/officeDocument/2006/relationships/hyperlink" Target="https://bringmethenews.com/minnesota-news/gunshots-fired-into-minneapolis-north-high-school-no-injuries" TargetMode="External"/><Relationship Id="rId959" Type="http://schemas.openxmlformats.org/officeDocument/2006/relationships/hyperlink" Target="https://fox13now.com/2017/07/21/19-year-old-shoots-teen-at-spanish-fork-high-before-taking-own-life/" TargetMode="External"/><Relationship Id="rId1284" Type="http://schemas.openxmlformats.org/officeDocument/2006/relationships/hyperlink" Target="https://www.columbine-angels.com/School_Violence_2004-2005.htm" TargetMode="External"/><Relationship Id="rId1491" Type="http://schemas.openxmlformats.org/officeDocument/2006/relationships/hyperlink" Target="http://www.goupstate.com/article/NC/19940219/News/605198620/SJ/" TargetMode="External"/><Relationship Id="rId1505" Type="http://schemas.openxmlformats.org/officeDocument/2006/relationships/hyperlink" Target="http://buffalonews.com/1993/09/18/gunman-wounds-4-at-school-kills-self-shooting-takes-place-on-football-field/" TargetMode="External"/><Relationship Id="rId1589" Type="http://schemas.openxmlformats.org/officeDocument/2006/relationships/hyperlink" Target="https://www.newspapers.com/image/112524612/?terms=Alfred%2BE.%2BSmith%2BHigh%2BSchool" TargetMode="External"/><Relationship Id="rId1712" Type="http://schemas.openxmlformats.org/officeDocument/2006/relationships/hyperlink" Target="https://www.newspapers.com/image/174012189/?terms=William%2BLongstreth%2BElementary%2BSchool%2Bshooting" TargetMode="External"/><Relationship Id="rId293" Type="http://schemas.openxmlformats.org/officeDocument/2006/relationships/hyperlink" Target="https://www.witn.com/video/2024/02/28/police-identify-ecu-scientist-shot-unprovoked-attack-near-elementary-school/" TargetMode="External"/><Relationship Id="rId307" Type="http://schemas.openxmlformats.org/officeDocument/2006/relationships/hyperlink" Target="https://chicago.suntimes.com/crime/2025/02/01/suspect-ambushed-teenagers-in-2024-shooting-outside-innovations-high-school-judge-says" TargetMode="External"/><Relationship Id="rId514" Type="http://schemas.openxmlformats.org/officeDocument/2006/relationships/hyperlink" Target="https://www.news5cleveland.com/news/local-news/1-injured-after-shooting-near-maple-heights-high-school-police-ask-for-publics-help" TargetMode="External"/><Relationship Id="rId721" Type="http://schemas.openxmlformats.org/officeDocument/2006/relationships/hyperlink" Target="https://nypost.com/2021/11/18/cops-arrest-gunman-who-fired-outside-nyc-school-police-say/" TargetMode="External"/><Relationship Id="rId1144" Type="http://schemas.openxmlformats.org/officeDocument/2006/relationships/hyperlink" Target="https://www.deseretnews.com/article/865556503/High-court-No-immunity-in-case-of-15-year-old-killed-by-prop-gun-used-in-school-play.html" TargetMode="External"/><Relationship Id="rId1351" Type="http://schemas.openxmlformats.org/officeDocument/2006/relationships/hyperlink" Target="https://www.latimes.com/archives/la-xpm-2003-apr-16-me-sbriefs16.5-story.html" TargetMode="External"/><Relationship Id="rId1449" Type="http://schemas.openxmlformats.org/officeDocument/2006/relationships/hyperlink" Target="https://ssristories.org/21-year-old-woman-shoots-herself/" TargetMode="External"/><Relationship Id="rId1796" Type="http://schemas.openxmlformats.org/officeDocument/2006/relationships/hyperlink" Target="https://www.newspapers.com/image/30473026/?terms=school%2Bshooting" TargetMode="External"/><Relationship Id="rId88" Type="http://schemas.openxmlformats.org/officeDocument/2006/relationships/hyperlink" Target="https://kool1079.com/bookcliff-middle-school-gun-arrest/" TargetMode="External"/><Relationship Id="rId153" Type="http://schemas.openxmlformats.org/officeDocument/2006/relationships/hyperlink" Target="https://whnt.com/community/school-officials-say-parent-pulled-gun-during-argument-in-huntsville-high-parking-lot/" TargetMode="External"/><Relationship Id="rId360" Type="http://schemas.openxmlformats.org/officeDocument/2006/relationships/hyperlink" Target="https://www.kptv.com/2023/10/24/district-facing-backlash-communication-over-evergreen-hs-shooting-lockdown/" TargetMode="External"/><Relationship Id="rId598" Type="http://schemas.openxmlformats.org/officeDocument/2006/relationships/hyperlink" Target="https://www.cbsnews.com/pittsburgh/news/downtown-pittsburgh-penn-avenue-shots-fired-passport-academy-charter-school/" TargetMode="External"/><Relationship Id="rId819" Type="http://schemas.openxmlformats.org/officeDocument/2006/relationships/hyperlink" Target="https://www.kshb.com/news/local-news/no-injuries-reported-after-school-bus-struck-by-gunfire-near-j-c-harmon-high-school" TargetMode="External"/><Relationship Id="rId1004" Type="http://schemas.openxmlformats.org/officeDocument/2006/relationships/hyperlink" Target="https://www.nbcphiladelphia.com/news/local/BREAKING-Benjamin-Franklin-High-School-on-Lockdown-After-Shell-Casing-Found-in-Stairwell--366996461.html" TargetMode="External"/><Relationship Id="rId1211" Type="http://schemas.openxmlformats.org/officeDocument/2006/relationships/hyperlink" Target="https://www.chron.com/news/houston-texas/article/Katy-student-shoots-himself-at-high-school-1862524.php" TargetMode="External"/><Relationship Id="rId1656" Type="http://schemas.openxmlformats.org/officeDocument/2006/relationships/hyperlink" Target="https://www.newspapers.com/image/395559841/?terms=TROTWOOD%2BMADISON%2BSCHOOL%2BSHOOTING" TargetMode="External"/><Relationship Id="rId1863" Type="http://schemas.openxmlformats.org/officeDocument/2006/relationships/hyperlink" Target="https://www.newspapers.com/image/156467116/?terms=school%2Bshooting" TargetMode="External"/><Relationship Id="rId220" Type="http://schemas.openxmlformats.org/officeDocument/2006/relationships/hyperlink" Target="https://midhudsonnews.com/2024/06/23/police-investigate-shooting-near-poughkeepsie-school/" TargetMode="External"/><Relationship Id="rId458" Type="http://schemas.openxmlformats.org/officeDocument/2006/relationships/hyperlink" Target="https://fox59.com/news/indycrime/2-teens-arrested-after-guns-were-found-at-indianapolis-metropolitan-high-school/" TargetMode="External"/><Relationship Id="rId665" Type="http://schemas.openxmlformats.org/officeDocument/2006/relationships/hyperlink" Target="https://wgxa.tv/news/local/friday-shooting-macon-school" TargetMode="External"/><Relationship Id="rId872" Type="http://schemas.openxmlformats.org/officeDocument/2006/relationships/hyperlink" Target="https://www.wbtw.com/crime/grand-strand-crime/12-year-old-issued-summons-after-bringing-bb-gun-to-conway-school-shooting-13-year-old-report-says/1579188190" TargetMode="External"/><Relationship Id="rId1088" Type="http://schemas.openxmlformats.org/officeDocument/2006/relationships/hyperlink" Target="https://www.usatoday.com/story/news/nation/2013/03/21/michigan-student-13-commits-suicide/2006643/" TargetMode="External"/><Relationship Id="rId1295" Type="http://schemas.openxmlformats.org/officeDocument/2006/relationships/hyperlink" Target="https://www.cbsnews.com/news/school-bus-driver-shot-to-death/" TargetMode="External"/><Relationship Id="rId1309" Type="http://schemas.openxmlformats.org/officeDocument/2006/relationships/hyperlink" Target="http://articles.baltimoresun.com/2004-10-23/news/0410230240_1_thurgood-marshall-high-school-violence-city-schools" TargetMode="External"/><Relationship Id="rId1516" Type="http://schemas.openxmlformats.org/officeDocument/2006/relationships/hyperlink" Target="https://www.newspapers.com/image/384227902/?terms=Vodrick%2BJohnson" TargetMode="External"/><Relationship Id="rId1723" Type="http://schemas.openxmlformats.org/officeDocument/2006/relationships/hyperlink" Target="https://www.newspapers.com/image/242933436/?terms=student%2Bshot" TargetMode="External"/><Relationship Id="rId15" Type="http://schemas.openxmlformats.org/officeDocument/2006/relationships/hyperlink" Target="https://ktul.com/news/local/gallery/shots-fired-near-pryor-middle-school-3-boys-apprehended-police-department-jeremy-cantrell-report-gunshots-gunfire-in-pryor-creek-three-juviniles-taken-into-custody-released-to-guardians-charges-state-law" TargetMode="External"/><Relationship Id="rId318" Type="http://schemas.openxmlformats.org/officeDocument/2006/relationships/hyperlink" Target="https://www.wtvr.com/news/local-news/manchester-hs-shooting-jan-3-2024" TargetMode="External"/><Relationship Id="rId525" Type="http://schemas.openxmlformats.org/officeDocument/2006/relationships/hyperlink" Target="https://www.wcpo.com/news/local-news/hamilton-county/cincinnati/bond-hill/woodward-high-school-briefly-put-on-lockdown-after-person-shot-nearby" TargetMode="External"/><Relationship Id="rId732" Type="http://schemas.openxmlformats.org/officeDocument/2006/relationships/hyperlink" Target="https://www.baltimoresun.com/maryland/baltimore-city/bs-md-ci-wildwood-parkway-shooting-20210925-foif3yhuzjahniqo7u35vophv4-story.html" TargetMode="External"/><Relationship Id="rId1155" Type="http://schemas.openxmlformats.org/officeDocument/2006/relationships/hyperlink" Target="https://www.seattletimes.com/seattle-news/suspect-arrested-in-fatal-shooting-last-week-outside-federal-way-middle-school/" TargetMode="External"/><Relationship Id="rId1362" Type="http://schemas.openxmlformats.org/officeDocument/2006/relationships/hyperlink" Target="http://articles.chicagotribune.com/2002-12-17/news/0212180098_1_chicago-public-schools-chicago-police-alleged" TargetMode="External"/><Relationship Id="rId99" Type="http://schemas.openxmlformats.org/officeDocument/2006/relationships/hyperlink" Target="https://www.wndu.com/2025/01/27/shooting-investigation-near-monroe-primary-school-south-bend/" TargetMode="External"/><Relationship Id="rId164" Type="http://schemas.openxmlformats.org/officeDocument/2006/relationships/hyperlink" Target="https://unfilteredwithkiran.com/west-feliciana-14-year-old-student-arrested-after-gun-goes-off-in-back-pack/" TargetMode="External"/><Relationship Id="rId371" Type="http://schemas.openxmlformats.org/officeDocument/2006/relationships/hyperlink" Target="https://fox2now.com/news/missouri/south-county-residents-shocked-after-gunfire-hits-elementary-school-driver-wanted/" TargetMode="External"/><Relationship Id="rId1015" Type="http://schemas.openxmlformats.org/officeDocument/2006/relationships/hyperlink" Target="https://www.dakotanewsnow.com/2023/04/19/harrisburg-school-shooter-violates-probation-sentenced-10-years-prison/" TargetMode="External"/><Relationship Id="rId1222" Type="http://schemas.openxmlformats.org/officeDocument/2006/relationships/hyperlink" Target="http://www.vindy.com/news/2009/jul/27/trial-under-way-for-man-accused-of-shooting-death/" TargetMode="External"/><Relationship Id="rId1667" Type="http://schemas.openxmlformats.org/officeDocument/2006/relationships/hyperlink" Target="https://www.newspapers.com/image/426484373/?terms=student%2Bshot" TargetMode="External"/><Relationship Id="rId1874" Type="http://schemas.openxmlformats.org/officeDocument/2006/relationships/hyperlink" Target="https://news.google.com/newspapers?id=bEpQAAAAIBAJ&amp;pg=4416,5249568" TargetMode="External"/><Relationship Id="rId469" Type="http://schemas.openxmlformats.org/officeDocument/2006/relationships/hyperlink" Target="https://www.azcentral.com/story/news/local/mesa-breaking/2023/05/02/man-injured-in-shooting-near-mesa-elementary-school/70174825007/" TargetMode="External"/><Relationship Id="rId676" Type="http://schemas.openxmlformats.org/officeDocument/2006/relationships/hyperlink" Target="https://www.clickondetroit.com/news/local/2022/04/13/11-year-old-shoots-fellow-student-with-bb-gun-during-recess-at-elementary-school-in-southgate/" TargetMode="External"/><Relationship Id="rId883" Type="http://schemas.openxmlformats.org/officeDocument/2006/relationships/hyperlink" Target="https://q13fox.com/2018/09/14/reports-of-shots-fired-outside-mariner-high-school-football-stadium-evacuated/" TargetMode="External"/><Relationship Id="rId1099" Type="http://schemas.openxmlformats.org/officeDocument/2006/relationships/hyperlink" Target="http://www.wmcactionnews5.com/story/19307558/students-shot-at-outside-memphis-high-school" TargetMode="External"/><Relationship Id="rId1527" Type="http://schemas.openxmlformats.org/officeDocument/2006/relationships/hyperlink" Target="https://www.nytimes.com/1993/01/07/nyregion/school-upset-by-shooting-of-teen-ager-during-game.html" TargetMode="External"/><Relationship Id="rId1734" Type="http://schemas.openxmlformats.org/officeDocument/2006/relationships/hyperlink" Target="https://www.washingtonpost.com/archive/local/1980/02/02/proving-gun-is-real-2nd-grader-at-langdon-school-is-shot/f83c3b73-ed9d-4a79-a529-984a01675142/?noredirect=on&amp;utm_term=.d238a08a83ec" TargetMode="External"/><Relationship Id="rId26" Type="http://schemas.openxmlformats.org/officeDocument/2006/relationships/hyperlink" Target="https://www.wavy.com/news/local-news/virginia-beach/arrest-made-after-shots-fired-outside-virginia-beach-middle-school/" TargetMode="External"/><Relationship Id="rId231" Type="http://schemas.openxmlformats.org/officeDocument/2006/relationships/hyperlink" Target="https://www.cbsnews.com/chicago/news/st-ignatius-shots-fired-at-priest-catalytic-converter-thieves/" TargetMode="External"/><Relationship Id="rId329" Type="http://schemas.openxmlformats.org/officeDocument/2006/relationships/hyperlink" Target="https://www.kvue.com/article/news/crime/austin-isd-police-officer-shot-nelson-field/269-b86565f8-e21d-46cb-88b7-afaa70398564" TargetMode="External"/><Relationship Id="rId536" Type="http://schemas.openxmlformats.org/officeDocument/2006/relationships/hyperlink" Target="https://www.fresnobee.com/news/local/crime/article272400143.html" TargetMode="External"/><Relationship Id="rId1166" Type="http://schemas.openxmlformats.org/officeDocument/2006/relationships/hyperlink" Target="https://www.savannahnow.com/story/news/2007/10/16/shots-fired-near-groves-high/13693845007/" TargetMode="External"/><Relationship Id="rId1373" Type="http://schemas.openxmlformats.org/officeDocument/2006/relationships/hyperlink" Target="http://articles.latimes.com/2002/feb/07/local/me-shot7" TargetMode="External"/><Relationship Id="rId175" Type="http://schemas.openxmlformats.org/officeDocument/2006/relationships/hyperlink" Target="https://www.ksat.com/news/local/2024/09/22/brackenridge-jrotc-students-help-school-resource-officer-after-accidental-shooting/" TargetMode="External"/><Relationship Id="rId743" Type="http://schemas.openxmlformats.org/officeDocument/2006/relationships/hyperlink" Target="https://www.wavy.com/news/crime/shooting-shatters-windows-at-elizabeth-city-elementary-school/" TargetMode="External"/><Relationship Id="rId950" Type="http://schemas.openxmlformats.org/officeDocument/2006/relationships/hyperlink" Target="https://fox4kc.com/2017/09/29/lees-summit-north-high-school-dismissing-students-early-due-to-an-incident/" TargetMode="External"/><Relationship Id="rId1026" Type="http://schemas.openxmlformats.org/officeDocument/2006/relationships/hyperlink" Target="http://www.mercedsunstar.com/news/local/crime/article11963273.html" TargetMode="External"/><Relationship Id="rId1580" Type="http://schemas.openxmlformats.org/officeDocument/2006/relationships/hyperlink" Target="https://www.newspapers.com/image/101597966/?terms=Taft%2BHigh%2BSchool%2Bshooting" TargetMode="External"/><Relationship Id="rId1678" Type="http://schemas.openxmlformats.org/officeDocument/2006/relationships/hyperlink" Target="https://www.newspapers.com/image/439511158/?terms=sharpstown%2Bhigh%2Bschool%2Bteacher" TargetMode="External"/><Relationship Id="rId1801" Type="http://schemas.openxmlformats.org/officeDocument/2006/relationships/hyperlink" Target="https://www.newspapers.com/image/382020739/?terms=school%2Bshooting" TargetMode="External"/><Relationship Id="rId1885" Type="http://schemas.openxmlformats.org/officeDocument/2006/relationships/hyperlink" Target="https://www.newspapers.com/image/183505800/?terms=school%20shooting&amp;match=1" TargetMode="External"/><Relationship Id="rId382" Type="http://schemas.openxmlformats.org/officeDocument/2006/relationships/hyperlink" Target="https://www.wtvm.com/2023/09/28/police-presence-middle-school-hunt-ave-columbus/" TargetMode="External"/><Relationship Id="rId603" Type="http://schemas.openxmlformats.org/officeDocument/2006/relationships/hyperlink" Target="https://www.reviewjournal.com/crime/homicides/fatal-shooting-reported-outside-east-las-vegas-high-school-2659925/" TargetMode="External"/><Relationship Id="rId687" Type="http://schemas.openxmlformats.org/officeDocument/2006/relationships/hyperlink" Target="https://www.cbs58.com/news/weapon-fired-inside-jerstad-agerholm-elementary-school-in-racine" TargetMode="External"/><Relationship Id="rId810" Type="http://schemas.openxmlformats.org/officeDocument/2006/relationships/hyperlink" Target="https://www.abqjournal.com/1424911/apd-drive-by-sent-bullets-flying-into-abq-school.html" TargetMode="External"/><Relationship Id="rId908" Type="http://schemas.openxmlformats.org/officeDocument/2006/relationships/hyperlink" Target="https://www.mlive.com/news/jackson/index.ssf/2018/04/no_arrests_made_yet_after_jack.html" TargetMode="External"/><Relationship Id="rId1233" Type="http://schemas.openxmlformats.org/officeDocument/2006/relationships/hyperlink" Target="https://www.chron.com/news/houston-texas/article/Two-cut-by-glass-after-HISD-bus-shot-1908192.php" TargetMode="External"/><Relationship Id="rId1440" Type="http://schemas.openxmlformats.org/officeDocument/2006/relationships/hyperlink" Target="http://articles.sun-sentinel.com/1998-09-30/news/9809300032_1_school-cafeteria-school-officials-high-school" TargetMode="External"/><Relationship Id="rId1538" Type="http://schemas.openxmlformats.org/officeDocument/2006/relationships/hyperlink" Target="https://www.newspapers.com/image/177465085" TargetMode="External"/><Relationship Id="rId242" Type="http://schemas.openxmlformats.org/officeDocument/2006/relationships/hyperlink" Target="https://www.wcpo.com/news/local-news/hamilton-county/cincinnati/hyde-park/cpd-1-injured-in-shooting-near-withrow-high-school" TargetMode="External"/><Relationship Id="rId894" Type="http://schemas.openxmlformats.org/officeDocument/2006/relationships/hyperlink" Target="https://www.thedailyjournal.com/story/news/crime/2018/08/09/man-critically-wounded-shooting-school-parking-lot-millville/953855002/" TargetMode="External"/><Relationship Id="rId1177" Type="http://schemas.openxmlformats.org/officeDocument/2006/relationships/hyperlink" Target="https://www.brownsvilleherald.com/news/local/parents-remove-children-after-student-fires-gun-at-school/article_10ab2498-9eb9-5db8-97fd-9bed18dcdc95.html" TargetMode="External"/><Relationship Id="rId1300" Type="http://schemas.openxmlformats.org/officeDocument/2006/relationships/hyperlink" Target="https://www.chron.com/news/houston-texas/article/1-dead-1-hurt-in-Richmond-State-School-shooting-1938319.php" TargetMode="External"/><Relationship Id="rId1745" Type="http://schemas.openxmlformats.org/officeDocument/2006/relationships/hyperlink" Target="https://www.newspapers.com/newspage/107532734/" TargetMode="External"/><Relationship Id="rId37" Type="http://schemas.openxmlformats.org/officeDocument/2006/relationships/hyperlink" Target="https://www.modbee.com/news/local/article309341525.html" TargetMode="External"/><Relationship Id="rId102" Type="http://schemas.openxmlformats.org/officeDocument/2006/relationships/hyperlink" Target="https://www.wbbjtv.com/2025/01/16/jmcss-issues-statement-following-shooting-near-northeast-middle/" TargetMode="External"/><Relationship Id="rId547" Type="http://schemas.openxmlformats.org/officeDocument/2006/relationships/hyperlink" Target="https://wpgtalkradio.com/monroe-twp-nj-police-teen-fired-flare-gun-at-another-teen-inside-elementary-school/" TargetMode="External"/><Relationship Id="rId754" Type="http://schemas.openxmlformats.org/officeDocument/2006/relationships/hyperlink" Target="https://www.seattletimes.com/seattle-news/crime/14-year-old-in-critical-condition-teen-in-custody-after-gunfire-erupts-outside-seattle-middle-school/" TargetMode="External"/><Relationship Id="rId961" Type="http://schemas.openxmlformats.org/officeDocument/2006/relationships/hyperlink" Target="https://www.wbtw.com/news/1-arrested-hospitalized-after-accidental-shooting-at-wilson-high-school/868539676" TargetMode="External"/><Relationship Id="rId1384" Type="http://schemas.openxmlformats.org/officeDocument/2006/relationships/hyperlink" Target="http://www.ladowntownnews.com/news/lockdown-at-belmont-high/article_cc919569-fc0c-5517-be27-6e7adfd7e46a.html" TargetMode="External"/><Relationship Id="rId1591" Type="http://schemas.openxmlformats.org/officeDocument/2006/relationships/hyperlink" Target="https://da.lacounty.gov/media/news/district-attorney-gasc-n-announces-exoneration-man-custody-over-33-years" TargetMode="External"/><Relationship Id="rId1605" Type="http://schemas.openxmlformats.org/officeDocument/2006/relationships/hyperlink" Target="https://www.newspapers.com/image/99828797/?terms=student%2Bshot" TargetMode="External"/><Relationship Id="rId1689" Type="http://schemas.openxmlformats.org/officeDocument/2006/relationships/hyperlink" Target="https://lakehighlands.advocatemag.com/2014/03/history-shooting-lake-highlands-cafeteria-worker-remembered/" TargetMode="External"/><Relationship Id="rId1812" Type="http://schemas.openxmlformats.org/officeDocument/2006/relationships/hyperlink" Target="https://www.newspapers.com/image/37911464/?terms=school%2Bshooting" TargetMode="External"/><Relationship Id="rId90" Type="http://schemas.openxmlformats.org/officeDocument/2006/relationships/hyperlink" Target="https://www.chicagotribune.com/2025/03/04/15-year-old-girl-wounded-tuesday-morning-in-drive-by-shooting-near-school/" TargetMode="External"/><Relationship Id="rId186" Type="http://schemas.openxmlformats.org/officeDocument/2006/relationships/hyperlink" Target="https://www.newyorkupstate.com/central-ny/2024/09/gun-fired-outside-upstate-ny-elementary-school-during-open-house-unintentional-negligent.html" TargetMode="External"/><Relationship Id="rId393" Type="http://schemas.openxmlformats.org/officeDocument/2006/relationships/hyperlink" Target="https://www.fox5dc.com/news/dc-charter-school-struck-by-bullets-during-shooting-in-southeast" TargetMode="External"/><Relationship Id="rId407" Type="http://schemas.openxmlformats.org/officeDocument/2006/relationships/hyperlink" Target="https://www.kake.com/story/49575845/pellet-gun-fired-at-students-coaches-at-wellington-sports-practices" TargetMode="External"/><Relationship Id="rId614" Type="http://schemas.openxmlformats.org/officeDocument/2006/relationships/hyperlink" Target="https://www.detroitnews.com/story/news/local/oakland-county/2022/10/04/security-guard-fires-gun-oxford-middle-school/69537444007/" TargetMode="External"/><Relationship Id="rId821" Type="http://schemas.openxmlformats.org/officeDocument/2006/relationships/hyperlink" Target="https://www.columbian.com/news/2019/nov/26/police-responding-to-shooting-at-vancouver-elementary-school/" TargetMode="External"/><Relationship Id="rId1037" Type="http://schemas.openxmlformats.org/officeDocument/2006/relationships/hyperlink" Target="https://www.wsbtv.com/news/shots-fired-lakewood-stadium/137231817" TargetMode="External"/><Relationship Id="rId1244" Type="http://schemas.openxmlformats.org/officeDocument/2006/relationships/hyperlink" Target="https://www.newspapers.com/image/102780485/?terms=Withrow%2BHigh%2BSchool%2Bshooting" TargetMode="External"/><Relationship Id="rId1451" Type="http://schemas.openxmlformats.org/officeDocument/2006/relationships/hyperlink" Target="https://www.newspapers.com/image/455228173/?terms=shot%2Bin%2Bschool%2Bparking%2Blot" TargetMode="External"/><Relationship Id="rId253" Type="http://schemas.openxmlformats.org/officeDocument/2006/relationships/hyperlink" Target="https://www.2news.com/news/boy-hospitalized-after-being-shot-near-lena-juniper-elementary/article_f3727384-0a4c-11ef-9439-57a3c7cf294a.html" TargetMode="External"/><Relationship Id="rId460" Type="http://schemas.openxmlformats.org/officeDocument/2006/relationships/hyperlink" Target="https://www.wusa9.com/article/news/crime/four-shooting-investigations-in-dc/65-99862e36-17c2-436e-8f56-c2bf33eb30f7" TargetMode="External"/><Relationship Id="rId698" Type="http://schemas.openxmlformats.org/officeDocument/2006/relationships/hyperlink" Target="https://www.channel3000.com/news/crime/teen-charged-in-homicide-outside-of-beloit-high-school-bound-over-for-trial/article_4a808055-b4ef-5eee-ab73-b2527e785f41.html" TargetMode="External"/><Relationship Id="rId919" Type="http://schemas.openxmlformats.org/officeDocument/2006/relationships/hyperlink" Target="https://www.thenewstribune.com/news/local/crime/article202366859.html" TargetMode="External"/><Relationship Id="rId1090" Type="http://schemas.openxmlformats.org/officeDocument/2006/relationships/hyperlink" Target="https://patch.com/california/sanleandro/man-sentenced-to-prison-for-fatal-2013-shooting-at-hillside-elementary" TargetMode="External"/><Relationship Id="rId1104" Type="http://schemas.openxmlformats.org/officeDocument/2006/relationships/hyperlink" Target="https://www.mysanantonio.com/news/local_news/article/Deadly-day-in-Brownsville-2440652.php" TargetMode="External"/><Relationship Id="rId1311" Type="http://schemas.openxmlformats.org/officeDocument/2006/relationships/hyperlink" Target="https://www.sfgate.com/bayarea/article/SUNNYVALE-2-killings-at-school-bring-murder-2641374.php" TargetMode="External"/><Relationship Id="rId1549" Type="http://schemas.openxmlformats.org/officeDocument/2006/relationships/hyperlink" Target="https://www.nytimes.com/1991/11/26/nyregion/16-year-old-is-shot-to-death-in-a-high-school-in-brooklyn.html" TargetMode="External"/><Relationship Id="rId1756" Type="http://schemas.openxmlformats.org/officeDocument/2006/relationships/hyperlink" Target="https://www.newspapers.com/image/342698296/?terms=school%2Bshooting" TargetMode="External"/><Relationship Id="rId48" Type="http://schemas.openxmlformats.org/officeDocument/2006/relationships/hyperlink" Target="https://www.news10.com/news/crime/schenectady-pd-investigating-after-bb-gun-pellet-strikes-school-bus-window/" TargetMode="External"/><Relationship Id="rId113" Type="http://schemas.openxmlformats.org/officeDocument/2006/relationships/hyperlink" Target="https://www.chattanoogan.com/2024/12/16/496751/Police-Investigating-Shots-Fired-Near.aspx" TargetMode="External"/><Relationship Id="rId320" Type="http://schemas.openxmlformats.org/officeDocument/2006/relationships/hyperlink" Target="https://www.wpri.com/news/local-news/providence/police-man-shot-at-east-providence-playground/" TargetMode="External"/><Relationship Id="rId558" Type="http://schemas.openxmlformats.org/officeDocument/2006/relationships/hyperlink" Target="https://www.news5cleveland.com/news/local-news/cleveland-metro/john-adams-high-school-closes-wednesday-after-student-shot-killed-at-bus-stop-tuesday" TargetMode="External"/><Relationship Id="rId765" Type="http://schemas.openxmlformats.org/officeDocument/2006/relationships/hyperlink" Target="https://6abc.com/young-man-shot-and-killed-near-philadelphia-school/10787708/" TargetMode="External"/><Relationship Id="rId972" Type="http://schemas.openxmlformats.org/officeDocument/2006/relationships/hyperlink" Target="http://www.theadvocate.com/baton_rouge/news/crime_police/article_c0f86974-ed92-11e6-98ec-1fec7cb6253b.html" TargetMode="External"/><Relationship Id="rId1188" Type="http://schemas.openxmlformats.org/officeDocument/2006/relationships/hyperlink" Target="http://www.heraldbanner.com/archives/shooting-shocks-ghs/article_411a3183-9998-56eb-9c2a-ed8b1c9788c2.html" TargetMode="External"/><Relationship Id="rId1395" Type="http://schemas.openxmlformats.org/officeDocument/2006/relationships/hyperlink" Target="http://articles.baltimoresun.com/2001-01-19/news/0101190243_1_sanders-inside-the-school-school-shooting" TargetMode="External"/><Relationship Id="rId1409" Type="http://schemas.openxmlformats.org/officeDocument/2006/relationships/hyperlink" Target="http://tucsoncitizen.com/morgue2/2000/05/11/58653-sierra-vista-shootings-prompt-safety-review/" TargetMode="External"/><Relationship Id="rId1616" Type="http://schemas.openxmlformats.org/officeDocument/2006/relationships/hyperlink" Target="https://www.newspapers.com/image/6664149/?terms=student%2Bshot" TargetMode="External"/><Relationship Id="rId1823" Type="http://schemas.openxmlformats.org/officeDocument/2006/relationships/hyperlink" Target="https://www.newspapers.com/image/151050501/?terms=principal%2Bof%2BLibby%2BC.%2BBooth%2BElementary%2BSchool%2Bwho%2Bwas%2Bshot%2Bto%2Bdeath" TargetMode="External"/><Relationship Id="rId197" Type="http://schemas.openxmlformats.org/officeDocument/2006/relationships/hyperlink" Target="https://www.ksla.com/2024/08/20/man-shot-bossier-high-parking-lot-preseason-game-underway-time/" TargetMode="External"/><Relationship Id="rId418" Type="http://schemas.openxmlformats.org/officeDocument/2006/relationships/hyperlink" Target="https://www.news9.com/story/64e5331547a1cb79b5e0625e/stillwater-high-school-students-accused-of-firing-gun-near-campus" TargetMode="External"/><Relationship Id="rId625" Type="http://schemas.openxmlformats.org/officeDocument/2006/relationships/hyperlink" Target="https://www.abc4.com/news/bountiful-high-placed-on-lockdown-school-threat/" TargetMode="External"/><Relationship Id="rId832" Type="http://schemas.openxmlformats.org/officeDocument/2006/relationships/hyperlink" Target="https://triblive.com/local/westmoreland/jeannette-man-sentenced-for-2019-fatal-shooting-outside-of-high-school-football-game/" TargetMode="External"/><Relationship Id="rId1048" Type="http://schemas.openxmlformats.org/officeDocument/2006/relationships/hyperlink" Target="https://www.cbsnews.com/news/cops-fatal-shooting-outside-detroit-high-school-gang-related/" TargetMode="External"/><Relationship Id="rId1255" Type="http://schemas.openxmlformats.org/officeDocument/2006/relationships/hyperlink" Target="http://archive.boston.com/news/local/articles/2005/12/07/a_mattapan_teen_gets_stiff_bail_terms/" TargetMode="External"/><Relationship Id="rId1462" Type="http://schemas.openxmlformats.org/officeDocument/2006/relationships/hyperlink" Target="http://www.psychceu.com/school_violence/savd.pdf" TargetMode="External"/><Relationship Id="rId264" Type="http://schemas.openxmlformats.org/officeDocument/2006/relationships/hyperlink" Target="https://www.nbcrightnow.com/news/adult-shot-outside-william-wiley-elementary-in-west-richland-suspect-home-on-lockdown/article_36a9c752-00fb-11ef-a74c-2fdeb93784a6.html" TargetMode="External"/><Relationship Id="rId471" Type="http://schemas.openxmlformats.org/officeDocument/2006/relationships/hyperlink" Target="https://www.kfvs12.com/2023/04/30/4-injured-shooting-prom-after-party-paducah/" TargetMode="External"/><Relationship Id="rId1115" Type="http://schemas.openxmlformats.org/officeDocument/2006/relationships/hyperlink" Target="https://madison.com/wsj/news/local/crime_and_courts/no-clues-found-in-marinette-school-standoff-that-ended-in/article_62c3dbb3-1712-52ec-b275-d599eff149de.html" TargetMode="External"/><Relationship Id="rId1322" Type="http://schemas.openxmlformats.org/officeDocument/2006/relationships/hyperlink" Target="https://www.chron.com/news/houston-texas/article/Gunfire-but-no-injuries-at-Kashmere-High-School-1651100.php" TargetMode="External"/><Relationship Id="rId1767" Type="http://schemas.openxmlformats.org/officeDocument/2006/relationships/hyperlink" Target="https://www.newspapers.com/image/29839915/?terms=school%2Bshooting" TargetMode="External"/><Relationship Id="rId59" Type="http://schemas.openxmlformats.org/officeDocument/2006/relationships/hyperlink" Target="https://www.wlbt.com/2025/04/28/jim-hill-high-school-temporary-lockdown-due-external-threat/" TargetMode="External"/><Relationship Id="rId124" Type="http://schemas.openxmlformats.org/officeDocument/2006/relationships/hyperlink" Target="https://www.nbc4i.com/news/local-news/columbus/one-dead-in-downtown-columbus-shooting/" TargetMode="External"/><Relationship Id="rId569" Type="http://schemas.openxmlformats.org/officeDocument/2006/relationships/hyperlink" Target="https://6abc.com/shooting-homicide/12554428/" TargetMode="External"/><Relationship Id="rId776" Type="http://schemas.openxmlformats.org/officeDocument/2006/relationships/hyperlink" Target="https://www.newson6.com/story/600ba2d50247a70bc6e22b8a/parent-accidentally-shoots-themself-while-picking-up-student-at-grove-lower-elementary" TargetMode="External"/><Relationship Id="rId983" Type="http://schemas.openxmlformats.org/officeDocument/2006/relationships/hyperlink" Target="http://www.dispatch.com/content/stories/local/2016/10/20/Two-charged-in-Linden-McKinley-shooting.html" TargetMode="External"/><Relationship Id="rId1199" Type="http://schemas.openxmlformats.org/officeDocument/2006/relationships/hyperlink" Target="https://www.newspapers.com/image/286391925/?terms=High%2BSchool%2BDixon%2BEdwards" TargetMode="External"/><Relationship Id="rId1627" Type="http://schemas.openxmlformats.org/officeDocument/2006/relationships/hyperlink" Target="https://www.newspapers.com/image/404237062/?terms=Panorama%2BElementary%2BSchool%2Bshooting" TargetMode="External"/><Relationship Id="rId1834" Type="http://schemas.openxmlformats.org/officeDocument/2006/relationships/hyperlink" Target="https://www.newspapers.com/image/377096935/" TargetMode="External"/><Relationship Id="rId331" Type="http://schemas.openxmlformats.org/officeDocument/2006/relationships/hyperlink" Target="https://www.beaconjournal.com/story/news/crime/2023/12/01/akron-police-say-teen-in-buchtel-fight-had-live-ammo-in-airsoft-gun/71774527007/" TargetMode="External"/><Relationship Id="rId429" Type="http://schemas.openxmlformats.org/officeDocument/2006/relationships/hyperlink" Target="https://www.news-gazette.com/news/local/courts-police-fire/police-investigating-shot-fired-into-window-at-champaign-elementary-school/article_2f53ca52-438b-5584-a3dd-439007eb6d2b.html" TargetMode="External"/><Relationship Id="rId636" Type="http://schemas.openxmlformats.org/officeDocument/2006/relationships/hyperlink" Target="https://www.baltimoresun.com/news/crime/bs-md-ci-cr-shooting-near-mervo-high-20220902-7vkk6gckhbdzrgodfepcdyjj6m-story.html" TargetMode="External"/><Relationship Id="rId1059" Type="http://schemas.openxmlformats.org/officeDocument/2006/relationships/hyperlink" Target="https://www.azcentral.com/story/news/local/phoenix/2014/04/03/phoenix-police-make-arrests-chavez-high-school-shooting-abrk/7264833/" TargetMode="External"/><Relationship Id="rId1266" Type="http://schemas.openxmlformats.org/officeDocument/2006/relationships/hyperlink" Target="https://www.newspapers.com/image/442838812/?terms=SAGINAW%2BDRIVE-BY%2BSHOOTING" TargetMode="External"/><Relationship Id="rId1473" Type="http://schemas.openxmlformats.org/officeDocument/2006/relationships/hyperlink" Target="https://apnews.com/a07c45ae91ad4f448d560abb24e292f1" TargetMode="External"/><Relationship Id="rId843" Type="http://schemas.openxmlformats.org/officeDocument/2006/relationships/hyperlink" Target="https://www.denverpost.com/2019/07/04/colorado-springs-shooting-victims/" TargetMode="External"/><Relationship Id="rId1126" Type="http://schemas.openxmlformats.org/officeDocument/2006/relationships/hyperlink" Target="https://www.columbine-angels.com/School_Violence_2008-2009.htm" TargetMode="External"/><Relationship Id="rId1680" Type="http://schemas.openxmlformats.org/officeDocument/2006/relationships/hyperlink" Target="https://news.google.com/newspapers?id=uSEVAAAAIBAJ&amp;sjid=UwYEAAAAIBAJ&amp;pg=3636,1012288&amp;dq=" TargetMode="External"/><Relationship Id="rId1778" Type="http://schemas.openxmlformats.org/officeDocument/2006/relationships/hyperlink" Target="https://www.newspapers.com/image/293916124/?terms=school%2Bshooting" TargetMode="External"/><Relationship Id="rId275" Type="http://schemas.openxmlformats.org/officeDocument/2006/relationships/hyperlink" Target="https://www.wftv.com/news/local/former-elevation-high-student-accused-pointing-gun-students-over-dispute-with-girlfriend/2RXZ2OCZKJBZFIBDQXPPREPZZM/" TargetMode="External"/><Relationship Id="rId482" Type="http://schemas.openxmlformats.org/officeDocument/2006/relationships/hyperlink" Target="https://www.nola.com/news/crime_police/school-bus-hit-in-monday-afternoon-shooting-police-say/article_e07e8304-de28-11ed-91f8-1ba20fd94b64.html" TargetMode="External"/><Relationship Id="rId703" Type="http://schemas.openxmlformats.org/officeDocument/2006/relationships/hyperlink" Target="https://www.khou.com/article/news/crime/deadly-shooting-pyburn-elementary-peppertree-lane-houston/285-c7d1292b-a102-4d22-953f-69636db73539" TargetMode="External"/><Relationship Id="rId910" Type="http://schemas.openxmlformats.org/officeDocument/2006/relationships/hyperlink" Target="http://www.leaderherald.com/news/local-news/2018/04/student-shot-with-bb-gun-at-school/" TargetMode="External"/><Relationship Id="rId1333" Type="http://schemas.openxmlformats.org/officeDocument/2006/relationships/hyperlink" Target="https://www.news4jax.com/news/two-brothers-arrested-for-school-lot-shooting" TargetMode="External"/><Relationship Id="rId1540" Type="http://schemas.openxmlformats.org/officeDocument/2006/relationships/hyperlink" Target="https://www.upi.com/Archives/1992/05/14/Student-opens-fire-in-school/6395705816000/" TargetMode="External"/><Relationship Id="rId1638" Type="http://schemas.openxmlformats.org/officeDocument/2006/relationships/hyperlink" Target="https://www.newspapers.com/image/404657287/?terms=Fairfax%2BHigh%2BSchool%2Bshooting" TargetMode="External"/><Relationship Id="rId135" Type="http://schemas.openxmlformats.org/officeDocument/2006/relationships/hyperlink" Target="https://www.delawareonline.com/story/news/local/2024/11/07/delaware-stanton-middle-school-constables-gun-accidentally-fires-no-injuries/76108171007/" TargetMode="External"/><Relationship Id="rId342" Type="http://schemas.openxmlformats.org/officeDocument/2006/relationships/hyperlink" Target="https://abc7ny.com/newark-central-high-school-teen-shot-drive-by-shooting/14053163/" TargetMode="External"/><Relationship Id="rId787" Type="http://schemas.openxmlformats.org/officeDocument/2006/relationships/hyperlink" Target="http://www.bradfordera.com/news/local/no-injuries-when-school-bus-shot-by-bb-gun-wednesday/article_5e809a44-23b0-5f69-a54c-b2ae8799785b.html" TargetMode="External"/><Relationship Id="rId994" Type="http://schemas.openxmlformats.org/officeDocument/2006/relationships/hyperlink" Target="http://boston.cbslocal.com/2016/06/22/raekwon-brown-murder-arrests-jeremiah-burke-high-school-shooting-boston-police/" TargetMode="External"/><Relationship Id="rId1400" Type="http://schemas.openxmlformats.org/officeDocument/2006/relationships/hyperlink" Target="http://www.berkeleydailyplanet.com/issue/2000-12-06/article/2518" TargetMode="External"/><Relationship Id="rId1845" Type="http://schemas.openxmlformats.org/officeDocument/2006/relationships/hyperlink" Target="https://www.newspapers.com/image/164611095/?terms=school%2Bshooting" TargetMode="External"/><Relationship Id="rId202" Type="http://schemas.openxmlformats.org/officeDocument/2006/relationships/hyperlink" Target="https://www.wdbj7.com/2024/08/12/charges-pending-after-accidental-shooting-galax-high-school/" TargetMode="External"/><Relationship Id="rId647" Type="http://schemas.openxmlformats.org/officeDocument/2006/relationships/hyperlink" Target="https://www.walb.com/2022/08/06/shots-fired-near-johnson-co-football-game/" TargetMode="External"/><Relationship Id="rId854" Type="http://schemas.openxmlformats.org/officeDocument/2006/relationships/hyperlink" Target="https://www.sentinelcolorado.com/0trending/aurora-high-school-dean-accused-of-bringing-loaded-concealed-weapon-to-campus-making-threats/" TargetMode="External"/><Relationship Id="rId1277" Type="http://schemas.openxmlformats.org/officeDocument/2006/relationships/hyperlink" Target="https://www.columbine-angels.com/School_Violence_2004-2005.htm" TargetMode="External"/><Relationship Id="rId1484" Type="http://schemas.openxmlformats.org/officeDocument/2006/relationships/hyperlink" Target="https://www.newspapers.com/image/159244311/?terms=Hollywood%2BHigh%2BSchool%2Bshooting" TargetMode="External"/><Relationship Id="rId1691" Type="http://schemas.openxmlformats.org/officeDocument/2006/relationships/hyperlink" Target="https://www.newspapers.com/image/139911306/?terms=student%2Bshot" TargetMode="External"/><Relationship Id="rId1705" Type="http://schemas.openxmlformats.org/officeDocument/2006/relationships/hyperlink" Target="https://www.newspapers.com/image/305864381/?terms=student%2Bshot" TargetMode="External"/><Relationship Id="rId286" Type="http://schemas.openxmlformats.org/officeDocument/2006/relationships/hyperlink" Target="https://mocoshow.com/2024/03/13/fox-chapel-elementary-school-in-lockdown-following-report-of-shots-fired-near-campus/" TargetMode="External"/><Relationship Id="rId493" Type="http://schemas.openxmlformats.org/officeDocument/2006/relationships/hyperlink" Target="https://www.wlwt.com/article/cincinnati-juveniles-charged-felonious-assault-after-shooting-near-woodward-high-school/43594486" TargetMode="External"/><Relationship Id="rId507" Type="http://schemas.openxmlformats.org/officeDocument/2006/relationships/hyperlink" Target="https://www.kezi.com/news/bullets-hit-sweet-home-elementary-school-neighbors-and-parents-outraged/article_a091589e-e3a9-11ed-91c8-8375068bd128.html" TargetMode="External"/><Relationship Id="rId714" Type="http://schemas.openxmlformats.org/officeDocument/2006/relationships/hyperlink" Target="https://losangeles.cbslocal.com/video/6166005-school-bus-hit-by-bb-gun/" TargetMode="External"/><Relationship Id="rId921" Type="http://schemas.openxmlformats.org/officeDocument/2006/relationships/hyperlink" Target="http://www.wsmv.com/story/37500077/14-year-old-suspect-wanted-in-shooting-outside-pearl-cohn-high-school" TargetMode="External"/><Relationship Id="rId1137" Type="http://schemas.openxmlformats.org/officeDocument/2006/relationships/hyperlink" Target="https://www.greensboro.com/news/a-playground-fight-turned-deadly/article_0aadff61-c881-5944-99d3-e81ee3468277.html" TargetMode="External"/><Relationship Id="rId1344" Type="http://schemas.openxmlformats.org/officeDocument/2006/relationships/hyperlink" Target="https://archive.is/16kFZ" TargetMode="External"/><Relationship Id="rId1551" Type="http://schemas.openxmlformats.org/officeDocument/2006/relationships/hyperlink" Target="https://www.newspapers.com/image/300241588/?terms=Spring%2BWoods%2BHigh%2BSchool%2Bstudent%2Bshot" TargetMode="External"/><Relationship Id="rId1789" Type="http://schemas.openxmlformats.org/officeDocument/2006/relationships/hyperlink" Target="https://www.newspapers.com/newspage/139614437/" TargetMode="External"/><Relationship Id="rId50" Type="http://schemas.openxmlformats.org/officeDocument/2006/relationships/hyperlink" Target="https://www.myrtlebeachonline.com/news/local/crime/article307944380.html" TargetMode="External"/><Relationship Id="rId146" Type="http://schemas.openxmlformats.org/officeDocument/2006/relationships/hyperlink" Target="https://www.al.com/news/2024/10/birmingham-man-gunned-down-in-high-school-parking-lot-in-selma.html" TargetMode="External"/><Relationship Id="rId353" Type="http://schemas.openxmlformats.org/officeDocument/2006/relationships/hyperlink" Target="https://abcnews.go.com/US/wireStory/3-teens-shot-wounded-west-baltimore-high-school-104428789" TargetMode="External"/><Relationship Id="rId560" Type="http://schemas.openxmlformats.org/officeDocument/2006/relationships/hyperlink" Target="https://www.lex18.com/news/police-respond-to-incident-involving-a-staff-member-at-stanford-elementary" TargetMode="External"/><Relationship Id="rId798" Type="http://schemas.openxmlformats.org/officeDocument/2006/relationships/hyperlink" Target="https://www.10tv.com/article/news/local/no-one-hurt-when-columbus-city-schools-bus-shot-in-northeast-columbus/530-16a8f216-efe8-4e7a-922d-4a9ba1c21493" TargetMode="External"/><Relationship Id="rId1190" Type="http://schemas.openxmlformats.org/officeDocument/2006/relationships/hyperlink" Target="https://www.columbine-angels.com/School_Violence_2006-2007.htm" TargetMode="External"/><Relationship Id="rId1204" Type="http://schemas.openxmlformats.org/officeDocument/2006/relationships/hyperlink" Target="http://www.foxnews.com/story/2006/12/12/teen-commits-suicide-in-hallway-pennsylvania-school.html" TargetMode="External"/><Relationship Id="rId1411" Type="http://schemas.openxmlformats.org/officeDocument/2006/relationships/hyperlink" Target="https://www.cbsnews.com/news/fear-turns-to-outrage-at-tucson-school/" TargetMode="External"/><Relationship Id="rId1649" Type="http://schemas.openxmlformats.org/officeDocument/2006/relationships/hyperlink" Target="https://www.newspapers.com/image/337579716/?terms=David%2BMancuso" TargetMode="External"/><Relationship Id="rId1856" Type="http://schemas.openxmlformats.org/officeDocument/2006/relationships/hyperlink" Target="https://www.newspapers.com/image/43039004/?terms=school%2Bshooting" TargetMode="External"/><Relationship Id="rId213" Type="http://schemas.openxmlformats.org/officeDocument/2006/relationships/hyperlink" Target="https://6abc.com/post/south-philadelphia-shooting-amazon-worker-christian-street/15065592/" TargetMode="External"/><Relationship Id="rId420" Type="http://schemas.openxmlformats.org/officeDocument/2006/relationships/hyperlink" Target="https://www.ksat.com/news/local/2023/08/22/seguin-isd-elementary-student-discharges-loaded-gun-on-school-bus-nobody-injured/" TargetMode="External"/><Relationship Id="rId658" Type="http://schemas.openxmlformats.org/officeDocument/2006/relationships/hyperlink" Target="https://www.tmj4.com/news/local-news/mpd-police-respond-to-riverside-high-school-twice-for-reports-of-shots-fired-fight" TargetMode="External"/><Relationship Id="rId865" Type="http://schemas.openxmlformats.org/officeDocument/2006/relationships/hyperlink" Target="https://www.nbcphiladelphia.com/news/local/Stray-Bullet-Strawberry-Mansion-High-School-Lockdown-Shooting--501474831.html" TargetMode="External"/><Relationship Id="rId1050" Type="http://schemas.openxmlformats.org/officeDocument/2006/relationships/hyperlink" Target="https://www.nbcnewyork.com/news/local/Newark-Shooting-Man-Wounded-School-Bus-Bullet-Hole-253840881.html" TargetMode="External"/><Relationship Id="rId1288" Type="http://schemas.openxmlformats.org/officeDocument/2006/relationships/hyperlink" Target="https://www.columbine-angels.com/School_Violence_2004-2005.htm" TargetMode="External"/><Relationship Id="rId1495" Type="http://schemas.openxmlformats.org/officeDocument/2006/relationships/hyperlink" Target="https://www.newspapers.com/image/403544801/?terms=Aron%2BGilliam" TargetMode="External"/><Relationship Id="rId1509" Type="http://schemas.openxmlformats.org/officeDocument/2006/relationships/hyperlink" Target="https://www.newspapers.com/image/1005267/?terms=Junction%2BCity%2BHigh%2BSchool%2Bshooting" TargetMode="External"/><Relationship Id="rId1716" Type="http://schemas.openxmlformats.org/officeDocument/2006/relationships/hyperlink" Target="https://www.newspapers.com/image/312662676/?terms=student%2Bshot" TargetMode="External"/><Relationship Id="rId297" Type="http://schemas.openxmlformats.org/officeDocument/2006/relationships/hyperlink" Target="https://www.cbsnews.com/colorado/news/shots-fired-outside-denver-prep-academy-no-injuries-police-say/" TargetMode="External"/><Relationship Id="rId518" Type="http://schemas.openxmlformats.org/officeDocument/2006/relationships/hyperlink" Target="https://nypost.com/2023/03/07/15-year-old-shot-outside-nycs-park-west-high-school/" TargetMode="External"/><Relationship Id="rId725" Type="http://schemas.openxmlformats.org/officeDocument/2006/relationships/hyperlink" Target="https://www.wltx.com/article/news/crime/calhoun-county-gunfire-teen-arrested/101-f7c8bca9-d90a-4583-a83e-0ceb27a6bd67" TargetMode="External"/><Relationship Id="rId932" Type="http://schemas.openxmlformats.org/officeDocument/2006/relationships/hyperlink" Target="https://www.nola.com/crime/index.ssf/2017/01/algiers_double_shooting.html" TargetMode="External"/><Relationship Id="rId1148" Type="http://schemas.openxmlformats.org/officeDocument/2006/relationships/hyperlink" Target="http://homicide.latimes.com/post/luis-rosas/" TargetMode="External"/><Relationship Id="rId1355" Type="http://schemas.openxmlformats.org/officeDocument/2006/relationships/hyperlink" Target="https://www.washingtontimes.com/news/2003/apr/4/20030404-090538-6902r/" TargetMode="External"/><Relationship Id="rId1562" Type="http://schemas.openxmlformats.org/officeDocument/2006/relationships/hyperlink" Target="https://www.newspapers.com/image/424939665/?terms=Coronado%2BMiddle%2BSchool" TargetMode="External"/><Relationship Id="rId157" Type="http://schemas.openxmlformats.org/officeDocument/2006/relationships/hyperlink" Target="https://www.fox4news.com/news/shots-fired-near-dallas-school-prompt-lockdown" TargetMode="External"/><Relationship Id="rId364" Type="http://schemas.openxmlformats.org/officeDocument/2006/relationships/hyperlink" Target="https://www.wisn.com/article/watertown-police-shoot-kill-man-near-elementary-school/45572872" TargetMode="External"/><Relationship Id="rId1008" Type="http://schemas.openxmlformats.org/officeDocument/2006/relationships/hyperlink" Target="http://www.doverpost.com/news/20160112/update-students-arrested-after-shot-fired-at-central-middle-school" TargetMode="External"/><Relationship Id="rId1215" Type="http://schemas.openxmlformats.org/officeDocument/2006/relationships/hyperlink" Target="https://www.newspapers.com/image/151778408/?terms=westminster%2Bchristian%2Bacademy" TargetMode="External"/><Relationship Id="rId1422" Type="http://schemas.openxmlformats.org/officeDocument/2006/relationships/hyperlink" Target="https://www.newspapers.com/image/442142079/?terms=Dorchester%20High%20School%20shooting&amp;match=1" TargetMode="External"/><Relationship Id="rId1867" Type="http://schemas.openxmlformats.org/officeDocument/2006/relationships/hyperlink" Target="http://archives.chicagotribune.com/1969/04/26/page/18/article/pupil-shot-as-teens-clash-at-tilden-high" TargetMode="External"/><Relationship Id="rId61" Type="http://schemas.openxmlformats.org/officeDocument/2006/relationships/hyperlink" Target="https://qns.com/2025/04/teen-shot-outside-ridgewood-school-tuesday/" TargetMode="External"/><Relationship Id="rId571" Type="http://schemas.openxmlformats.org/officeDocument/2006/relationships/hyperlink" Target="https://www.nbcwashington.com/news/local/suitland-high-school-on-lockdown-after-shooting-report/3228771/" TargetMode="External"/><Relationship Id="rId669" Type="http://schemas.openxmlformats.org/officeDocument/2006/relationships/hyperlink" Target="https://triblive.com/local/westmoreland/no-one-reported-hurt-after-shot-fired-during-fight-at-mckee-stadium-in-jeannette/" TargetMode="External"/><Relationship Id="rId876" Type="http://schemas.openxmlformats.org/officeDocument/2006/relationships/hyperlink" Target="https://wwmt.com/news/local/battle-creek-academy-locked-down-after-building-shot" TargetMode="External"/><Relationship Id="rId1299" Type="http://schemas.openxmlformats.org/officeDocument/2006/relationships/hyperlink" Target="http://www.philadelphiaweekly.com/news/state-of-disgrace/article_86c2a06b-190d-5781-ab53-23c8fb71c94c.html" TargetMode="External"/><Relationship Id="rId1727" Type="http://schemas.openxmlformats.org/officeDocument/2006/relationships/hyperlink" Target="https://www.newspapers.com/image/63246339/?terms=Whittier%2BHigh%2BSchool%2Bshooting" TargetMode="External"/><Relationship Id="rId19" Type="http://schemas.openxmlformats.org/officeDocument/2006/relationships/hyperlink" Target="https://www.thv11.com/article/news/local/shots-fired-beebe-high-school/91-e67088ae-6718-4c66-8dff-31ee3131cfcb" TargetMode="External"/><Relationship Id="rId224" Type="http://schemas.openxmlformats.org/officeDocument/2006/relationships/hyperlink" Target="https://archive.is/paZzM" TargetMode="External"/><Relationship Id="rId431" Type="http://schemas.openxmlformats.org/officeDocument/2006/relationships/hyperlink" Target="https://wjla.com/news/local/shooting-adams-morgan-kalorama-deadly-nw-dc-metropolitan-police-department-mpd-near-marie-reed-elementary-school-soccer-field-basketball-court-18-street-northwest-rec-center" TargetMode="External"/><Relationship Id="rId529" Type="http://schemas.openxmlformats.org/officeDocument/2006/relationships/hyperlink" Target="https://abc7chicago.com/chicago-shooting-today-catalyst-circle-rock-charter-school-south-austin/12833547/" TargetMode="External"/><Relationship Id="rId736" Type="http://schemas.openxmlformats.org/officeDocument/2006/relationships/hyperlink" Target="https://www.fox19.com/2021/09/22/middletown-school-bus-hit-with-bb-gun-fire/" TargetMode="External"/><Relationship Id="rId1061" Type="http://schemas.openxmlformats.org/officeDocument/2006/relationships/hyperlink" Target="http://www.kfvs12.com/story/24557239/1-injured-in-shooting-on-carbondale-school-parking-lot" TargetMode="External"/><Relationship Id="rId1159" Type="http://schemas.openxmlformats.org/officeDocument/2006/relationships/hyperlink" Target="https://www.nytimes.com/2008/02/12/us/12memphis.html" TargetMode="External"/><Relationship Id="rId1366" Type="http://schemas.openxmlformats.org/officeDocument/2006/relationships/hyperlink" Target="https://www.semissourian.com/story/152973.html" TargetMode="External"/><Relationship Id="rId168" Type="http://schemas.openxmlformats.org/officeDocument/2006/relationships/hyperlink" Target="https://www.wfmz.com/news/area/lehighvalley/governor-wolf-elementary-school-to-be-closed-friday-after-nearby-shooting-incident/article_185fd4c8-7cc8-11ef-b046-cb8a887d40f5.html" TargetMode="External"/><Relationship Id="rId943" Type="http://schemas.openxmlformats.org/officeDocument/2006/relationships/hyperlink" Target="http://www.fox5atlanta.com/news/two-students-accidentally-shot-at-banneker-high-school-according-to-principal" TargetMode="External"/><Relationship Id="rId1019" Type="http://schemas.openxmlformats.org/officeDocument/2006/relationships/hyperlink" Target="https://www.ibtimes.com/hartford-shooting-leaves-four-injured-rawson-elementary-school-basketball-tournament-1986922" TargetMode="External"/><Relationship Id="rId1573" Type="http://schemas.openxmlformats.org/officeDocument/2006/relationships/hyperlink" Target="https://www.columbine-angels.com/School_Violence_1990-1991.htm" TargetMode="External"/><Relationship Id="rId1780" Type="http://schemas.openxmlformats.org/officeDocument/2006/relationships/hyperlink" Target="https://www.newspapers.com/image/86248524/?terms=school%2Bshooting" TargetMode="External"/><Relationship Id="rId1878" Type="http://schemas.openxmlformats.org/officeDocument/2006/relationships/hyperlink" Target="https://www.newspapers.com/image/271128975/?terms=school%20shooting&amp;match=1" TargetMode="External"/><Relationship Id="rId72" Type="http://schemas.openxmlformats.org/officeDocument/2006/relationships/hyperlink" Target="https://komonews.com/news/local/school-shooting-lakeland-elementary-federal-way-district-13-year-old-suspect-released-juvenile-detention-king-county-sheriffs-office-parents-concerned-safety" TargetMode="External"/><Relationship Id="rId375" Type="http://schemas.openxmlformats.org/officeDocument/2006/relationships/hyperlink" Target="https://www.wxyz.com/news/2-students-shot-during-oak-park-high-school-homecoming-football-game-district-says" TargetMode="External"/><Relationship Id="rId582" Type="http://schemas.openxmlformats.org/officeDocument/2006/relationships/hyperlink" Target="https://www.localsyr.com/news/local-news/shots-fired-in-roberts-elementary-school-parking-lot-in-syracuse/" TargetMode="External"/><Relationship Id="rId803" Type="http://schemas.openxmlformats.org/officeDocument/2006/relationships/hyperlink" Target="https://www.cleveland.com/metro/2020/05/man-shot-to-death-in-school-parking-lot-in-clevelands-tremont-neighborhood.html" TargetMode="External"/><Relationship Id="rId1226" Type="http://schemas.openxmlformats.org/officeDocument/2006/relationships/hyperlink" Target="https://www.newspapers.com/image/363378271/?terms=Pershing%2BHigh%2BSchool%2Bshooting" TargetMode="External"/><Relationship Id="rId1433" Type="http://schemas.openxmlformats.org/officeDocument/2006/relationships/hyperlink" Target="http://articles.chicagotribune.com/1999-03-06/news/9903060113_1_hennessy-police-skokie" TargetMode="External"/><Relationship Id="rId1640" Type="http://schemas.openxmlformats.org/officeDocument/2006/relationships/hyperlink" Target="https://www.newspapers.com/image/399571341/?terms=tammy%2Bfowler%2Bcarver" TargetMode="External"/><Relationship Id="rId1738" Type="http://schemas.openxmlformats.org/officeDocument/2006/relationships/hyperlink" Target="https://www.newspapers.com/image/107586036/?terms=school%2Bshooting" TargetMode="External"/><Relationship Id="rId3" Type="http://schemas.openxmlformats.org/officeDocument/2006/relationships/hyperlink" Target="https://www.sunherald.com/news/local/crime/article312179859.html" TargetMode="External"/><Relationship Id="rId235" Type="http://schemas.openxmlformats.org/officeDocument/2006/relationships/hyperlink" Target="https://www.ncwlife.com/news/suspect-arrested-in-gunfire-on-east-wenatchee-school-grounds/article_f24eaccc-1f99-11ef-8753-e3081475a854.html" TargetMode="External"/><Relationship Id="rId442" Type="http://schemas.openxmlformats.org/officeDocument/2006/relationships/hyperlink" Target="https://www.wusa9.com/video/news/crime/dc-shooting-sends-school-into-lockdown/65-61405cfc-90e5-42c9-836a-fe0d65820db5" TargetMode="External"/><Relationship Id="rId887" Type="http://schemas.openxmlformats.org/officeDocument/2006/relationships/hyperlink" Target="https://abc7news.com/3-students-in-custody-1-hurt-after-police-find-gun-on-sf-campus/4100641/" TargetMode="External"/><Relationship Id="rId1072" Type="http://schemas.openxmlformats.org/officeDocument/2006/relationships/hyperlink" Target="http://www.foxnews.com/world/2013/10/17/texas-student-kills-himself-in-front-high-school-classmates.html" TargetMode="External"/><Relationship Id="rId1500" Type="http://schemas.openxmlformats.org/officeDocument/2006/relationships/hyperlink" Target="https://www.newspapers.com/image/179150239/?terms=Richard%2BJefferson%2BMitchell" TargetMode="External"/><Relationship Id="rId302" Type="http://schemas.openxmlformats.org/officeDocument/2006/relationships/hyperlink" Target="https://www.wkyc.com/article/news/crime/suspect-wanted-assault-bedford-high-school-student-gun-surrenders-laquan-evans/95-8fdae1ad-3450-47e7-b765-e56ff703b29a" TargetMode="External"/><Relationship Id="rId747" Type="http://schemas.openxmlformats.org/officeDocument/2006/relationships/hyperlink" Target="https://www.fox32chicago.com/news/gary-students-to-return-to-class-after-classmate-shot" TargetMode="External"/><Relationship Id="rId954" Type="http://schemas.openxmlformats.org/officeDocument/2006/relationships/hyperlink" Target="http://www.dispatch.com/news/20170912/counselor-describes-how-he-defused-columbus-scioto-school-shooter" TargetMode="External"/><Relationship Id="rId1377" Type="http://schemas.openxmlformats.org/officeDocument/2006/relationships/hyperlink" Target="https://www.chron.com/news/houston-texas/article/Friendswood-teacher-indicted-over-gunfire-2059926.php" TargetMode="External"/><Relationship Id="rId1584" Type="http://schemas.openxmlformats.org/officeDocument/2006/relationships/hyperlink" Target="https://www.newspapers.com/image/192086573/?terms=STUDENT%2BSHOT" TargetMode="External"/><Relationship Id="rId1791" Type="http://schemas.openxmlformats.org/officeDocument/2006/relationships/hyperlink" Target="https://www.newspapers.com/image/246204936/?terms=school%2Bshooting" TargetMode="External"/><Relationship Id="rId1805" Type="http://schemas.openxmlformats.org/officeDocument/2006/relationships/hyperlink" Target="https://www.newspapers.com/image/25814105/?terms=school%2Bshooting" TargetMode="External"/><Relationship Id="rId83" Type="http://schemas.openxmlformats.org/officeDocument/2006/relationships/hyperlink" Target="https://www.10tv.com/article/news/local/franklinton-school-lockdown-after-shots-fired-area-police-say/530-85dbad85-af9c-453c-8243-0fdf6d646fda" TargetMode="External"/><Relationship Id="rId179" Type="http://schemas.openxmlformats.org/officeDocument/2006/relationships/hyperlink" Target="https://www.ozarksfirst.com/news/parent-frustrations-swell-after-truman-elementary-situation/" TargetMode="External"/><Relationship Id="rId386" Type="http://schemas.openxmlformats.org/officeDocument/2006/relationships/hyperlink" Target="https://www.cleveland19.com/2023/09/28/woman-robbed-her-purse-gunpoint-cleveland-school-parking-lot-police-say/" TargetMode="External"/><Relationship Id="rId593" Type="http://schemas.openxmlformats.org/officeDocument/2006/relationships/hyperlink" Target="https://sports.yahoo.com/armed-man-threatened-shoot-students-202907424.html" TargetMode="External"/><Relationship Id="rId607" Type="http://schemas.openxmlformats.org/officeDocument/2006/relationships/hyperlink" Target="https://www.klfy.com/local/vermilion-parish/abbeville-police-shots-fired-at-j-h-williams-middle-school/" TargetMode="External"/><Relationship Id="rId814" Type="http://schemas.openxmlformats.org/officeDocument/2006/relationships/hyperlink" Target="https://www.klkntv.com/story/41605181/car-breakins-occur-at-a-lincoln-middle-school" TargetMode="External"/><Relationship Id="rId1237" Type="http://schemas.openxmlformats.org/officeDocument/2006/relationships/hyperlink" Target="http://www.post-gazette.com/local/city/2007/02/28/Rifle-used-to-shoot-teen-outside-school-tied-to-2nd-shooting/stories/200702280235" TargetMode="External"/><Relationship Id="rId1444" Type="http://schemas.openxmlformats.org/officeDocument/2006/relationships/hyperlink" Target="http://www.cnn.com/US/9712/19/school.shooting/" TargetMode="External"/><Relationship Id="rId1651" Type="http://schemas.openxmlformats.org/officeDocument/2006/relationships/hyperlink" Target="https://people.com/archive/a-16-year-old-alabama-boy-points-a-gun-shoots-a-friend-and-kills-himself-in-remorse-vol-25-no-2/" TargetMode="External"/><Relationship Id="rId1889" Type="http://schemas.openxmlformats.org/officeDocument/2006/relationships/hyperlink" Target="https://www.newspapers.com/image/17958969/?terms=school%20shooting&amp;match=1" TargetMode="External"/><Relationship Id="rId246" Type="http://schemas.openxmlformats.org/officeDocument/2006/relationships/hyperlink" Target="https://www.wxii12.com/article/39-year-old-man-arrested-not-properly-storing-firearm-shots-fired-near-elementary-school/60765318" TargetMode="External"/><Relationship Id="rId453" Type="http://schemas.openxmlformats.org/officeDocument/2006/relationships/hyperlink" Target="https://www.capitolhillseattle.com/2023/05/one-reported-injured-in-garfield-high-school-parking-lot-shooting/" TargetMode="External"/><Relationship Id="rId660" Type="http://schemas.openxmlformats.org/officeDocument/2006/relationships/hyperlink" Target="https://newschannel9.com/news/local/25-year-old-man-shot-to-death-in-chattanooga-near-school-early-friday-morning-east-lake-elementary-murder-homicide" TargetMode="External"/><Relationship Id="rId898" Type="http://schemas.openxmlformats.org/officeDocument/2006/relationships/hyperlink" Target="https://wreg.com/2018/07/02/man-slams-car-into-boarded-up-school-building-after-being-shot/" TargetMode="External"/><Relationship Id="rId1083" Type="http://schemas.openxmlformats.org/officeDocument/2006/relationships/hyperlink" Target="https://www.nbcmiami.com/news/local/Redland-Middle-School-Student-Injured-After-Bullet-Thrown-on-Floor-Exploded-Official-208862711.html" TargetMode="External"/><Relationship Id="rId1290" Type="http://schemas.openxmlformats.org/officeDocument/2006/relationships/hyperlink" Target="https://www.newspapers.com/image/321630892/?terms=o.%2Bperry%2Bhigh%2Bschool" TargetMode="External"/><Relationship Id="rId1304" Type="http://schemas.openxmlformats.org/officeDocument/2006/relationships/hyperlink" Target="http://articles.orlandosentinel.com/keyword/gun-to-school/recent/3" TargetMode="External"/><Relationship Id="rId1511" Type="http://schemas.openxmlformats.org/officeDocument/2006/relationships/hyperlink" Target="https://www.nytimes.com/1993/08/03/nyregion/student-shot-during-class-in-bronx-high-school.html" TargetMode="External"/><Relationship Id="rId1749" Type="http://schemas.openxmlformats.org/officeDocument/2006/relationships/hyperlink" Target="https://www.newspapers.com/image/385395737/?terms=Ridgewood%2BHigh%2BSchool%2Bdance" TargetMode="External"/><Relationship Id="rId106" Type="http://schemas.openxmlformats.org/officeDocument/2006/relationships/hyperlink" Target="https://www.wtnh.com/news/connecticut/hartford/suspect-in-custody-after-walking-near-playground-at-a-manchester-elementary-school-with-an-airsoft-rifle/" TargetMode="External"/><Relationship Id="rId313" Type="http://schemas.openxmlformats.org/officeDocument/2006/relationships/hyperlink" Target="https://newstalkkit.com/lockdown-lifted-at-white-swan-high-school-after-gun-incident/" TargetMode="External"/><Relationship Id="rId758" Type="http://schemas.openxmlformats.org/officeDocument/2006/relationships/hyperlink" Target="https://wpde.com/news/local/school-bus-windows-shot-out-with-bb-pellet-gun-in-hartsville" TargetMode="External"/><Relationship Id="rId965" Type="http://schemas.openxmlformats.org/officeDocument/2006/relationships/hyperlink" Target="http://www.ktre.com/story/35506610/kirbyville-high-school-principal-resigns-then-shoots-kills-self-in-parking-lot" TargetMode="External"/><Relationship Id="rId1150" Type="http://schemas.openxmlformats.org/officeDocument/2006/relationships/hyperlink" Target="https://www.columbine-angels.com/School_Violence_2008-2009.htm" TargetMode="External"/><Relationship Id="rId1388" Type="http://schemas.openxmlformats.org/officeDocument/2006/relationships/hyperlink" Target="https://www.chron.com/news/houston-texas/article/Eighth-grade-girl-dies-after-shooting-herself-at-2012069.php" TargetMode="External"/><Relationship Id="rId1595" Type="http://schemas.openxmlformats.org/officeDocument/2006/relationships/hyperlink" Target="https://www.deseretnews.com/article/34103/OFFICERS-SEEKING-ANSWERS-AFTER-JUNIOR-HIGH-SHOOTING.html" TargetMode="External"/><Relationship Id="rId1609" Type="http://schemas.openxmlformats.org/officeDocument/2006/relationships/hyperlink" Target="https://www.newspapers.com/image/363969550/?terms=school%2Bbus%2Bshooting" TargetMode="External"/><Relationship Id="rId1816" Type="http://schemas.openxmlformats.org/officeDocument/2006/relationships/hyperlink" Target="https://www.newspapers.com/image/133686805/?terms=STUDENT%2BSHOT" TargetMode="External"/><Relationship Id="rId10" Type="http://schemas.openxmlformats.org/officeDocument/2006/relationships/hyperlink" Target="https://www.knoe.com/2025/09/12/teens-arrested-after-two-separate-incidents-west-ouachita-high-east-ouachita-middle/" TargetMode="External"/><Relationship Id="rId94" Type="http://schemas.openxmlformats.org/officeDocument/2006/relationships/hyperlink" Target="https://www.wbaltv.com/article/shots-fired-call-woodlawn-high-school-shelter-in-place/63707105" TargetMode="External"/><Relationship Id="rId397" Type="http://schemas.openxmlformats.org/officeDocument/2006/relationships/hyperlink" Target="https://www.albanyherald.com/news/shooting-near-albany-elementary-school-under-investigation/article_958d3ce6-5303-11ee-b3fe-671ba7f87e57.html" TargetMode="External"/><Relationship Id="rId520" Type="http://schemas.openxmlformats.org/officeDocument/2006/relationships/hyperlink" Target="https://chicago.suntimes.com/crime/2023/3/2/23622163/andres-vasquez-lasso-chicago-police-officer-slain-kids-sawyer-elementary-gage-park" TargetMode="External"/><Relationship Id="rId618" Type="http://schemas.openxmlformats.org/officeDocument/2006/relationships/hyperlink" Target="https://www.ksbw.com/article/teen-shot-while-leaving-north-monterey-county-high-football-game/41395462" TargetMode="External"/><Relationship Id="rId825" Type="http://schemas.openxmlformats.org/officeDocument/2006/relationships/hyperlink" Target="https://www.kcra.com/article/shooting-scare-prompts-panic-at-stockton-football-game/29745486" TargetMode="External"/><Relationship Id="rId1248" Type="http://schemas.openxmlformats.org/officeDocument/2006/relationships/hyperlink" Target="https://www.columbine-angels.com/School_Violence_2005-2006.htm" TargetMode="External"/><Relationship Id="rId1455" Type="http://schemas.openxmlformats.org/officeDocument/2006/relationships/hyperlink" Target="https://m.lasvegassun.com/news/1997/feb/21/rival-gangs-blamed-in-rancho-shooting/" TargetMode="External"/><Relationship Id="rId1662" Type="http://schemas.openxmlformats.org/officeDocument/2006/relationships/hyperlink" Target="https://www.newspapers.com/image/245510114/?terms=Prince%2BTechnical%2BHigh%2BSchool" TargetMode="External"/><Relationship Id="rId257" Type="http://schemas.openxmlformats.org/officeDocument/2006/relationships/hyperlink" Target="https://www.wkyc.com/article/news/crime/cleveland-police-17-year-old-shot-glenville-high-school-health-center/95-c2d1f41c-68dc-4d9e-9809-e8809a59d32d" TargetMode="External"/><Relationship Id="rId464" Type="http://schemas.openxmlformats.org/officeDocument/2006/relationships/hyperlink" Target="https://www.live5news.com/2023/05/12/middle-school-student-charged-with-pointing-gun-school-property/" TargetMode="External"/><Relationship Id="rId1010" Type="http://schemas.openxmlformats.org/officeDocument/2006/relationships/hyperlink" Target="https://www.kait8.com/story/30492261/gun-goes-off-in-school-parking-lot-hitting-junior-high-student/" TargetMode="External"/><Relationship Id="rId1094" Type="http://schemas.openxmlformats.org/officeDocument/2006/relationships/hyperlink" Target="https://www.usatoday.com/story/news/nation/2013/01/08/school-shooting-florida/1817149/" TargetMode="External"/><Relationship Id="rId1108" Type="http://schemas.openxmlformats.org/officeDocument/2006/relationships/hyperlink" Target="https://www.heraldnet.com/news/marysville-teen-sentenced-to-10-years-for-shooting-outside-everett-school/" TargetMode="External"/><Relationship Id="rId1315" Type="http://schemas.openxmlformats.org/officeDocument/2006/relationships/hyperlink" Target="https://en.wikipedia.org/wiki/List_of_school_shootings_in_the_United_States" TargetMode="External"/><Relationship Id="rId117" Type="http://schemas.openxmlformats.org/officeDocument/2006/relationships/hyperlink" Target="https://www.yahoo.com/news/duo-charged-hunting-shooting-gun-000722483.html" TargetMode="External"/><Relationship Id="rId671" Type="http://schemas.openxmlformats.org/officeDocument/2006/relationships/hyperlink" Target="https://www.wndu.com/2022/04/27/investigation-underway-after-student-shoots-school-bus-window-with-bb-gun/" TargetMode="External"/><Relationship Id="rId769" Type="http://schemas.openxmlformats.org/officeDocument/2006/relationships/hyperlink" Target="https://chicago.cbslocal.com/2021/05/03/near-west-side-shooting-2/" TargetMode="External"/><Relationship Id="rId976" Type="http://schemas.openxmlformats.org/officeDocument/2006/relationships/hyperlink" Target="https://www.courierpress.com/story/news/local/2017/01/03/coroner-arriving-after-police-activity-central-high-school/96101214/" TargetMode="External"/><Relationship Id="rId1399" Type="http://schemas.openxmlformats.org/officeDocument/2006/relationships/hyperlink" Target="https://www.sfgate.com/bayarea/article/Drive-by-Shooter-Kills-Teen-2692458.php" TargetMode="External"/><Relationship Id="rId324" Type="http://schemas.openxmlformats.org/officeDocument/2006/relationships/hyperlink" Target="https://www.mercurynews.com/2023/12/14/armed-man-spotted-near-palo-alto-high-school-campus-under-shelter-in-place-order/" TargetMode="External"/><Relationship Id="rId531" Type="http://schemas.openxmlformats.org/officeDocument/2006/relationships/hyperlink" Target="https://cw39.com/news/local/aldine-isd-police-officer-fires-gun-during-fight-outside-davis-high-school-authorities-said/" TargetMode="External"/><Relationship Id="rId629" Type="http://schemas.openxmlformats.org/officeDocument/2006/relationships/hyperlink" Target="https://www.tmj4.com/news/local-news/occupied-school-bus-struck-during-shooting-near-sherman-and-capitol-1-injured" TargetMode="External"/><Relationship Id="rId1161" Type="http://schemas.openxmlformats.org/officeDocument/2006/relationships/hyperlink" Target="http://www.wmcactionnews5.com/story/7818497/police-investigate-shooting-inside-classroom-at-hamilton-high" TargetMode="External"/><Relationship Id="rId1259" Type="http://schemas.openxmlformats.org/officeDocument/2006/relationships/hyperlink" Target="http://articles.baltimoresun.com/2005-10-30/news/0510300052_1_annapolis-shooting-was-accidental-charged-in-shooting" TargetMode="External"/><Relationship Id="rId1466" Type="http://schemas.openxmlformats.org/officeDocument/2006/relationships/hyperlink" Target="https://www.columbine-angels.com/School_Violence_1995-1996.htm" TargetMode="External"/><Relationship Id="rId836" Type="http://schemas.openxmlformats.org/officeDocument/2006/relationships/hyperlink" Target="https://www.wnct.com/news/2-arrested-in-connection-to-a-shooting-at-a-kinston-football-game/" TargetMode="External"/><Relationship Id="rId1021" Type="http://schemas.openxmlformats.org/officeDocument/2006/relationships/hyperlink" Target="http://archive.naplesnews.com/news/crime/everglades-city-man-charged-in-shooting-ep-1109639680-337933051.html" TargetMode="External"/><Relationship Id="rId1119" Type="http://schemas.openxmlformats.org/officeDocument/2006/relationships/hyperlink" Target="https://www.wral.com/teen-charged-with-firing-handgun-at-westover-high/5885748/" TargetMode="External"/><Relationship Id="rId1673" Type="http://schemas.openxmlformats.org/officeDocument/2006/relationships/hyperlink" Target="https://www.newspapers.com/image/368938109/?terms=Norco%2BHigh%2BSchool%2Bshooting" TargetMode="External"/><Relationship Id="rId1880" Type="http://schemas.openxmlformats.org/officeDocument/2006/relationships/hyperlink" Target="https://www.newspapers.com/image/199495958/?terms=school%20shooting&amp;match=1" TargetMode="External"/><Relationship Id="rId903" Type="http://schemas.openxmlformats.org/officeDocument/2006/relationships/hyperlink" Target="https://www.wsbtv.com/news/local/breaking-personshot-in-elementary-school-parking-lot/753941792" TargetMode="External"/><Relationship Id="rId1326" Type="http://schemas.openxmlformats.org/officeDocument/2006/relationships/hyperlink" Target="https://www.newspapers.com/image/410611502/" TargetMode="External"/><Relationship Id="rId1533" Type="http://schemas.openxmlformats.org/officeDocument/2006/relationships/hyperlink" Target="https://www.newspapers.com/image/389728711/?terms=Willie%2BClayborn" TargetMode="External"/><Relationship Id="rId1740" Type="http://schemas.openxmlformats.org/officeDocument/2006/relationships/hyperlink" Target="https://www.newspapers.com/image/362214425/?terms=school%2Bshooting" TargetMode="External"/><Relationship Id="rId32" Type="http://schemas.openxmlformats.org/officeDocument/2006/relationships/hyperlink" Target="https://whdh.com/news/police-investigating-after-17-year-old-seriously-injured-in-shooting-in-brockton/" TargetMode="External"/><Relationship Id="rId1600" Type="http://schemas.openxmlformats.org/officeDocument/2006/relationships/hyperlink" Target="https://www.newspapers.com/image/200956524/?terms=arilyn%2Bjean%2BLelande" TargetMode="External"/><Relationship Id="rId1838" Type="http://schemas.openxmlformats.org/officeDocument/2006/relationships/hyperlink" Target="https://www.newspapers.com/image/190388672/?terms=school%2Bshooting" TargetMode="External"/><Relationship Id="rId181" Type="http://schemas.openxmlformats.org/officeDocument/2006/relationships/hyperlink" Target="https://panhandlenewsnetwork.com/2024/09/06/shooting-confirmed-near-martinsburg-high-school-football-game/" TargetMode="External"/><Relationship Id="rId279" Type="http://schemas.openxmlformats.org/officeDocument/2006/relationships/hyperlink" Target="https://www.rlsmedia.com/article/newark-man-found-shot-dead-behind-dumpster-shabazz-high-school-stadium" TargetMode="External"/><Relationship Id="rId486" Type="http://schemas.openxmlformats.org/officeDocument/2006/relationships/hyperlink" Target="https://abc13.com/teenager-shot-south-gessner-shots-fired-west-bellfort-shooting-teen-hurt-in/13117314/" TargetMode="External"/><Relationship Id="rId693" Type="http://schemas.openxmlformats.org/officeDocument/2006/relationships/hyperlink" Target="https://www.nbcnews.com/news/us-news/family-man-shot-middle-school-pickup-sues-colorado-deputies-wrongful-d-rcna71678" TargetMode="External"/><Relationship Id="rId139" Type="http://schemas.openxmlformats.org/officeDocument/2006/relationships/hyperlink" Target="https://13wham.com/news/local/school-bus-carrying-students-to-aquinas-shot-at-hit-by-gunfire-shooting-in-east-irondequoit-central-school-district-rochester-route-104-portland-avenue" TargetMode="External"/><Relationship Id="rId346" Type="http://schemas.openxmlformats.org/officeDocument/2006/relationships/hyperlink" Target="https://kmph.com/news/local/school-bus-driver-shot-at-from-inside-bus-teen-inside-bus-fresnoo-unified-school-district-airsoft-bb-damage-windown-bullard-high-chp-kids-students-county-resource-officers-depties-investigation" TargetMode="External"/><Relationship Id="rId553" Type="http://schemas.openxmlformats.org/officeDocument/2006/relationships/hyperlink" Target="https://okcfox.com/news/local/arrest-made-in-del-city-high-school-basketball-game-shooting-mid-del-schools-del-city-police-oklahoma-city-oklahoma-county-detention-center-gunshots-fired-at-high-school-basketball-game" TargetMode="External"/><Relationship Id="rId760" Type="http://schemas.openxmlformats.org/officeDocument/2006/relationships/hyperlink" Target="https://www.koat.com/article/bennie-hargrove-shooting-settlement/45811653" TargetMode="External"/><Relationship Id="rId998" Type="http://schemas.openxmlformats.org/officeDocument/2006/relationships/hyperlink" Target="http://www.newsherald.com/news/20160509/probe-into-detention-officers-accidental-shooting-near-oscar-patterson-underway" TargetMode="External"/><Relationship Id="rId1183" Type="http://schemas.openxmlformats.org/officeDocument/2006/relationships/hyperlink" Target="http://articles.chicagotribune.com/2007-04-12/news/0704110994_1_school-shooting-city-school-leaders-schools-chief-arne-duncan" TargetMode="External"/><Relationship Id="rId1390" Type="http://schemas.openxmlformats.org/officeDocument/2006/relationships/hyperlink" Target="http://community.seattletimes.nwsource.com/archive/?date=20010308&amp;slug=kent08m0" TargetMode="External"/><Relationship Id="rId206" Type="http://schemas.openxmlformats.org/officeDocument/2006/relationships/hyperlink" Target="https://www.koco.com/article/oklahoma-city-car-crash-practice-field-assault-victim-southeast-high-school/61738669" TargetMode="External"/><Relationship Id="rId413" Type="http://schemas.openxmlformats.org/officeDocument/2006/relationships/hyperlink" Target="https://www.latimes.com/california/story/2023-08-27/shooting-maya-angelou-high-school-football-game" TargetMode="External"/><Relationship Id="rId858" Type="http://schemas.openxmlformats.org/officeDocument/2006/relationships/hyperlink" Target="https://mynews4.com/news/local/2019-shooting-of-man-near-reno-high-school-by-reno-police-ruled-justified-by-washoe-da" TargetMode="External"/><Relationship Id="rId1043" Type="http://schemas.openxmlformats.org/officeDocument/2006/relationships/hyperlink" Target="https://www.desmoinesregister.com/story/news/crime-and-courts/2014/12/22/teen-arrested-shooting-north-high-school/20767421/" TargetMode="External"/><Relationship Id="rId1488" Type="http://schemas.openxmlformats.org/officeDocument/2006/relationships/hyperlink" Target="https://www.washingtonpost.com/archive/local/1994/04/20/man-found-slain-at-dc-school/64a705c4-ab7a-43d0-b027-dd0b21ec008b/?utm_term=.21348ca8fd4b" TargetMode="External"/><Relationship Id="rId1695" Type="http://schemas.openxmlformats.org/officeDocument/2006/relationships/hyperlink" Target="https://www.newspapers.com/image/227592168/?terms=student%2Bshoots" TargetMode="External"/><Relationship Id="rId620" Type="http://schemas.openxmlformats.org/officeDocument/2006/relationships/hyperlink" Target="https://www.tcpalm.com/story/news/2022/09/19/unintentional-discharge-deputys-gun-school-under-investigation/10429095002/" TargetMode="External"/><Relationship Id="rId718" Type="http://schemas.openxmlformats.org/officeDocument/2006/relationships/hyperlink" Target="https://www.cbsnews.com/colorado/news/2-sentenced-hinkley-high-school-parking-lot-shooting/" TargetMode="External"/><Relationship Id="rId925" Type="http://schemas.openxmlformats.org/officeDocument/2006/relationships/hyperlink" Target="http://abc7.com/charges-filed-against-12-year-old-girl-in-westlake-school-shooting/3023846/" TargetMode="External"/><Relationship Id="rId1250" Type="http://schemas.openxmlformats.org/officeDocument/2006/relationships/hyperlink" Target="http://www.gadsdentimes.com/lifestyle/20060116/student-charged-in-fatal-shooting-after-game" TargetMode="External"/><Relationship Id="rId1348" Type="http://schemas.openxmlformats.org/officeDocument/2006/relationships/hyperlink" Target="https://www.vicksburgpost.com/2003/09/11/former-vhs-student-shot-dead/" TargetMode="External"/><Relationship Id="rId1555" Type="http://schemas.openxmlformats.org/officeDocument/2006/relationships/hyperlink" Target="https://www.newspapers.com/image/176460783/?terms=Dorsey%2BHigh%2BSchool%2Bshooting" TargetMode="External"/><Relationship Id="rId1762" Type="http://schemas.openxmlformats.org/officeDocument/2006/relationships/hyperlink" Target="https://www.newspapers.com/image/131852835/?terms=school%2Bshooting" TargetMode="External"/><Relationship Id="rId1110" Type="http://schemas.openxmlformats.org/officeDocument/2006/relationships/hyperlink" Target="https://www.courtlistener.com/pdf/2012/06/11/michael_phelps_v._state_of_indiana.pdf" TargetMode="External"/><Relationship Id="rId1208" Type="http://schemas.openxmlformats.org/officeDocument/2006/relationships/hyperlink" Target="https://www.newspapers.com/image/422972655/?terms=Atlanta%2BMiddle%2BSchool%2BRicardo%2BAlexander" TargetMode="External"/><Relationship Id="rId1415" Type="http://schemas.openxmlformats.org/officeDocument/2006/relationships/hyperlink" Target="https://www.newspapers.com/image/775215625/?terms=Horn%20Lake%20High%20School%20shooting&amp;match=1" TargetMode="External"/><Relationship Id="rId54" Type="http://schemas.openxmlformats.org/officeDocument/2006/relationships/hyperlink" Target="https://www.wxii12.com/article/shots-fired-parking-lot-carver-high-school/64649025" TargetMode="External"/><Relationship Id="rId1622" Type="http://schemas.openxmlformats.org/officeDocument/2006/relationships/hyperlink" Target="https://www.newspapers.com/image/196275731/?terms=SOUTHWOOD%2BELEMENTARY%2BSCHOOL%2BSHOOTING" TargetMode="External"/><Relationship Id="rId270" Type="http://schemas.openxmlformats.org/officeDocument/2006/relationships/hyperlink" Target="https://fox4kc.com/news/2-killed-1-injured-in-blue-springs-shooting-at-wilbur-young-park/" TargetMode="External"/><Relationship Id="rId130" Type="http://schemas.openxmlformats.org/officeDocument/2006/relationships/hyperlink" Target="https://cdispatch.com/news/man-injured-school-bus-hit-in-northside-shooting/" TargetMode="External"/><Relationship Id="rId368" Type="http://schemas.openxmlformats.org/officeDocument/2006/relationships/hyperlink" Target="https://www.cleveland19.com/2023/12/17/teenager-found-guilty-shooting-outside-cleveland-central-catholic-high-school/" TargetMode="External"/><Relationship Id="rId575" Type="http://schemas.openxmlformats.org/officeDocument/2006/relationships/hyperlink" Target="https://abc7chicago.com/chicago-shooting-south-austin-west-harrison-street-michele-clark-magnet-hs/12537485/" TargetMode="External"/><Relationship Id="rId782" Type="http://schemas.openxmlformats.org/officeDocument/2006/relationships/hyperlink" Target="https://www.eastbaytimes.com/2020/11/13/union-city-man-shot-near-cesar-chavez-middle-school/" TargetMode="External"/><Relationship Id="rId228" Type="http://schemas.openxmlformats.org/officeDocument/2006/relationships/hyperlink" Target="https://www.local10.com/news/local/2024/06/05/police-man-on-scooter-shoots-at-couple-near-miami-school/" TargetMode="External"/><Relationship Id="rId435" Type="http://schemas.openxmlformats.org/officeDocument/2006/relationships/hyperlink" Target="https://www.wsbtv.com/news/local/man-kidnaps-ex-girlfriend-work-kills-her-after-chase-ends-outside-metro-high-school-police-say/I4Z2FR7NWBCB3H5B2CIISUKRV4/" TargetMode="External"/><Relationship Id="rId642" Type="http://schemas.openxmlformats.org/officeDocument/2006/relationships/hyperlink" Target="https://sports.yahoo.com/shots-ring-serrano-high-school-050531605.html" TargetMode="External"/><Relationship Id="rId1065" Type="http://schemas.openxmlformats.org/officeDocument/2006/relationships/hyperlink" Target="http://www.wbbjtv.com/2014/01/10/police-charge-suspect-in-liberty-tech-shooting/" TargetMode="External"/><Relationship Id="rId1272" Type="http://schemas.openxmlformats.org/officeDocument/2006/relationships/hyperlink" Target="http://www.foxnews.com/story/2005/11/09/principal-praised-as-hero-in-tenn-school-shooting.html" TargetMode="External"/><Relationship Id="rId502" Type="http://schemas.openxmlformats.org/officeDocument/2006/relationships/hyperlink" Target="https://wsbt.com/news/local/lockdown-lifted-following-emergency-at-northridge-middle-school-elkhart-county-developing-dismissal" TargetMode="External"/><Relationship Id="rId947" Type="http://schemas.openxmlformats.org/officeDocument/2006/relationships/hyperlink" Target="https://www.journalnow.com/news/crime/man-charged-after-gun-fired-at-kernersville-youth-football-game/article_18fb0bef-80e1-530a-bc1f-b6b61ce4d8fd.html" TargetMode="External"/><Relationship Id="rId1132" Type="http://schemas.openxmlformats.org/officeDocument/2006/relationships/hyperlink" Target="https://www.columbine-angels.com/School_Violence_2008-2009.htm" TargetMode="External"/><Relationship Id="rId1577" Type="http://schemas.openxmlformats.org/officeDocument/2006/relationships/hyperlink" Target="https://www.newspapers.com/image/462261165/?terms=Mount%2BPleasant%2BHigh%2BSchool%2Bshooting" TargetMode="External"/><Relationship Id="rId1784" Type="http://schemas.openxmlformats.org/officeDocument/2006/relationships/hyperlink" Target="https://www.newspapers.com/image/98347062/?terms=school%2Bshooting" TargetMode="External"/><Relationship Id="rId76" Type="http://schemas.openxmlformats.org/officeDocument/2006/relationships/hyperlink" Target="https://www.justice.gov/usao-ut/pr/felon-indicted-discharging-firearm-school-zone" TargetMode="External"/><Relationship Id="rId807" Type="http://schemas.openxmlformats.org/officeDocument/2006/relationships/hyperlink" Target="https://www.newsobserver.com/news/local/crime/article256631386.html" TargetMode="External"/><Relationship Id="rId1437" Type="http://schemas.openxmlformats.org/officeDocument/2006/relationships/hyperlink" Target="https://www.nytimes.com/1999/01/15/nyregion/2-students-shot-outside-bronx-high-school.html" TargetMode="External"/><Relationship Id="rId1644" Type="http://schemas.openxmlformats.org/officeDocument/2006/relationships/hyperlink" Target="https://www.newspapers.com/image/321178464/?terms=McCauley%2BCharles%2BDrew%2BMiddle%2BSchool" TargetMode="External"/><Relationship Id="rId1851" Type="http://schemas.openxmlformats.org/officeDocument/2006/relationships/hyperlink" Target="https://www.newspapers.com/image/284280856/?terms=school%2Bshooting" TargetMode="External"/><Relationship Id="rId1504" Type="http://schemas.openxmlformats.org/officeDocument/2006/relationships/hyperlink" Target="https://www.newspapers.com/image/276635826/?terms=Weatherless%2BElementary%2BSchool%2Bshooting" TargetMode="External"/><Relationship Id="rId1711" Type="http://schemas.openxmlformats.org/officeDocument/2006/relationships/hyperlink" Target="https://www.newspapers.com/image/130082201/?terms=student%2Bshoots" TargetMode="External"/><Relationship Id="rId292" Type="http://schemas.openxmlformats.org/officeDocument/2006/relationships/hyperlink" Target="https://www.cbsnews.com/news/shooting-outside-high-school-basketball-game-north-kansas-city-multiple-injuries/" TargetMode="External"/><Relationship Id="rId1809" Type="http://schemas.openxmlformats.org/officeDocument/2006/relationships/hyperlink" Target="https://www.newspapers.com/image/94426366/?terms=school%2Bshooting" TargetMode="External"/><Relationship Id="rId597" Type="http://schemas.openxmlformats.org/officeDocument/2006/relationships/hyperlink" Target="https://www.uvaldeleadernews.com/articles/no-charges-in-utopia-school-gun-discharge/" TargetMode="External"/><Relationship Id="rId152" Type="http://schemas.openxmlformats.org/officeDocument/2006/relationships/hyperlink" Target="https://www.nydailynews.com/2024/10/30/teen-shot-on-brooklyn-basketball-court-dies-2-weeks-later-boy-15-charged/" TargetMode="External"/><Relationship Id="rId457" Type="http://schemas.openxmlformats.org/officeDocument/2006/relationships/hyperlink" Target="https://katu.com/news/local/police-determine-gun-a-fake-in-creative-science-school-lockdown" TargetMode="External"/><Relationship Id="rId1087" Type="http://schemas.openxmlformats.org/officeDocument/2006/relationships/hyperlink" Target="http://ktemnews.com/student-who-shot-himself-at-temple-high-school-has-died/" TargetMode="External"/><Relationship Id="rId1294" Type="http://schemas.openxmlformats.org/officeDocument/2006/relationships/hyperlink" Target="https://www.columbine-angels.com/School_Violence_2004-2005.htm" TargetMode="External"/><Relationship Id="rId664" Type="http://schemas.openxmlformats.org/officeDocument/2006/relationships/hyperlink" Target="https://www.laconiadailysun.com/news/local/belmont-police-investigate-pellet-gun-shooting-targeted-at-children/article_19c3bb5e-d608-11ec-879e-5bb5cf440fe6.html" TargetMode="External"/><Relationship Id="rId871" Type="http://schemas.openxmlformats.org/officeDocument/2006/relationships/hyperlink" Target="https://ksby.com/news/2018/12/03/suspects-arrested-in-santa-barbara-elementary-school-shooting-linked-to-other-crimes" TargetMode="External"/><Relationship Id="rId969" Type="http://schemas.openxmlformats.org/officeDocument/2006/relationships/hyperlink" Target="https://www.localmemphis.com/article/news/local/19-year-old-found-shot-on-baseball-field-behind-raleigh-egypt-high-school/522-e736b428-22b9-41b9-922b-64b80f7efccd" TargetMode="External"/><Relationship Id="rId1599" Type="http://schemas.openxmlformats.org/officeDocument/2006/relationships/hyperlink" Target="https://www.newspapers.com/image/177559696/?terms=jacksonville%2Bhigh%2Bschool%2Bshooting" TargetMode="External"/><Relationship Id="rId317" Type="http://schemas.openxmlformats.org/officeDocument/2006/relationships/hyperlink" Target="https://htv-prod-media.s3.amazonaws.com/files/perry-school-shooting-report-press-release-67118f7926b6c.pdf" TargetMode="External"/><Relationship Id="rId524" Type="http://schemas.openxmlformats.org/officeDocument/2006/relationships/hyperlink" Target="https://www.cbsnews.com/losangeles/news/cerritos-shooting-investigation-shuts-down-gahr-high-school/" TargetMode="External"/><Relationship Id="rId731" Type="http://schemas.openxmlformats.org/officeDocument/2006/relationships/hyperlink" Target="https://www.lakemchenryscanner.com/2021/09/24/police-arrest-juvenile-who-brought-bb-gun-to-crystal-lake-elementary-school-shot-other-kids/" TargetMode="External"/><Relationship Id="rId1154" Type="http://schemas.openxmlformats.org/officeDocument/2006/relationships/hyperlink" Target="https://www.mcclatchydc.com/news/nation-world/national/article24600571.html" TargetMode="External"/><Relationship Id="rId1361" Type="http://schemas.openxmlformats.org/officeDocument/2006/relationships/hyperlink" Target="https://www.newspapers.com/image/362208049/?terms=Olive%2BHill%2Bschool%2Bhostage" TargetMode="External"/><Relationship Id="rId1459" Type="http://schemas.openxmlformats.org/officeDocument/2006/relationships/hyperlink" Target="http://www.psychceu.com/school_violence/savd.pdf" TargetMode="External"/><Relationship Id="rId98" Type="http://schemas.openxmlformats.org/officeDocument/2006/relationships/hyperlink" Target="https://komonews.com/news/local/teen-accused-of-firing-gun-during-argument-at-kent-high-school-shooting-student-police-crime-missing-investigation-washington" TargetMode="External"/><Relationship Id="rId829" Type="http://schemas.openxmlformats.org/officeDocument/2006/relationships/hyperlink" Target="https://www.wbtv.com/2019/09/28/arrested-after-multiple-fights-high-school-football-game-charlotte/" TargetMode="External"/><Relationship Id="rId1014" Type="http://schemas.openxmlformats.org/officeDocument/2006/relationships/hyperlink" Target="http://news4sanantonio.com/news/local/deputies-arrest-wagner-high-school-shooting-suspect" TargetMode="External"/><Relationship Id="rId1221" Type="http://schemas.openxmlformats.org/officeDocument/2006/relationships/hyperlink" Target="http://www.savannahnow.com/article/20060821/NEWS/308219914" TargetMode="External"/><Relationship Id="rId1666" Type="http://schemas.openxmlformats.org/officeDocument/2006/relationships/hyperlink" Target="https://www.newspapers.com/image/190761964/?terms=teacher%2Bshot" TargetMode="External"/><Relationship Id="rId1873" Type="http://schemas.openxmlformats.org/officeDocument/2006/relationships/hyperlink" Target="https://www.newspapers.com/image/842766463/?terms=school%20shooting&amp;match=1" TargetMode="External"/><Relationship Id="rId1319" Type="http://schemas.openxmlformats.org/officeDocument/2006/relationships/hyperlink" Target="https://www.eastbaytimes.com/2004/06/10/castlemont-pupils-shot-in-drive-by/" TargetMode="External"/><Relationship Id="rId1526" Type="http://schemas.openxmlformats.org/officeDocument/2006/relationships/hyperlink" Target="https://www.newspapers.com/image/510596731/?terms=shot%20at%20school&amp;match=1" TargetMode="External"/><Relationship Id="rId1733" Type="http://schemas.openxmlformats.org/officeDocument/2006/relationships/hyperlink" Target="https://www.newspapers.com/image/217265072/?terms=10-year%2Bold%2Bboy%2Baccidentally%2Bshot" TargetMode="External"/><Relationship Id="rId25" Type="http://schemas.openxmlformats.org/officeDocument/2006/relationships/hyperlink" Target="https://www.whas11.com/article/news/local/louisville-mayor-gives-passionate-plea-for-change-woman-killed-near-bus-stop/417-d394fe67-3d23-44d5-9074-3fee852bb376" TargetMode="External"/><Relationship Id="rId1800" Type="http://schemas.openxmlformats.org/officeDocument/2006/relationships/hyperlink" Target="https://www.newspapers.com/image/63455706/?terms=school%2Bshooting" TargetMode="External"/><Relationship Id="rId174" Type="http://schemas.openxmlformats.org/officeDocument/2006/relationships/hyperlink" Target="https://www.cenlanow.com/news/crime/deridder-teen-shot-during-high-school-band-practice/" TargetMode="External"/><Relationship Id="rId381" Type="http://schemas.openxmlformats.org/officeDocument/2006/relationships/hyperlink" Target="https://m.facebook.com/story.php?story_fbid=pfbid0mvyw4JvjUoDLAsFc65suyqy3NmfEgE58cmqR4Qzj9CYF3zugJA6fkZFfgY3n3Z77l&amp;id=100064677340284&amp;mibextid=qC1gEa" TargetMode="External"/><Relationship Id="rId241" Type="http://schemas.openxmlformats.org/officeDocument/2006/relationships/hyperlink" Target="https://www.kshb.com/news/crime/shots-fired-near-delasalle-education-center-graduation-saturday" TargetMode="External"/><Relationship Id="rId479" Type="http://schemas.openxmlformats.org/officeDocument/2006/relationships/hyperlink" Target="https://godanriver.com/shots-fired-near-danville-school-no-injuries-reported/article_3cdf154e-e236-11ed-8f4b-9388d96c6ba2.html" TargetMode="External"/><Relationship Id="rId686" Type="http://schemas.openxmlformats.org/officeDocument/2006/relationships/hyperlink" Target="https://6abc.com/new-foundations-charter-high-school-bullet-classroom-philadelphia-shooting-torresdale-ave/11651217/" TargetMode="External"/><Relationship Id="rId893" Type="http://schemas.openxmlformats.org/officeDocument/2006/relationships/hyperlink" Target="https://www.wsmv.com/news/police-identify-man-accused-of-shooting-youth-football-coach-on/article_f8653b71-1014-5896-bc31-37c289db30f9.html" TargetMode="External"/><Relationship Id="rId339" Type="http://schemas.openxmlformats.org/officeDocument/2006/relationships/hyperlink" Target="https://www.cleveland19.com/2023/11/16/victim-shot-near-school-clevelands-east-side/" TargetMode="External"/><Relationship Id="rId546" Type="http://schemas.openxmlformats.org/officeDocument/2006/relationships/hyperlink" Target="https://www.ky3.com/2023/01/29/spd-officers-investigating-shots-fired-near-glendale-high-school/" TargetMode="External"/><Relationship Id="rId753" Type="http://schemas.openxmlformats.org/officeDocument/2006/relationships/hyperlink" Target="https://www.wcax.com/2021/08/27/burlington-schools-canceled-due-police-incident/" TargetMode="External"/><Relationship Id="rId1176" Type="http://schemas.openxmlformats.org/officeDocument/2006/relationships/hyperlink" Target="https://www.columbine-angels.com/School_Violence_2006-2007.htm" TargetMode="External"/><Relationship Id="rId1383" Type="http://schemas.openxmlformats.org/officeDocument/2006/relationships/hyperlink" Target="http://www.enquirer.com/editions/2001/09/14/loc_children_who_saw.html" TargetMode="External"/><Relationship Id="rId101" Type="http://schemas.openxmlformats.org/officeDocument/2006/relationships/hyperlink" Target="https://www.wsmv.com/2025/05/02/antioch-school-shooter-signed-paperwork-not-have-gun-morning-shooting-juvenile-criminal-records-show/" TargetMode="External"/><Relationship Id="rId406" Type="http://schemas.openxmlformats.org/officeDocument/2006/relationships/hyperlink" Target="https://www.wafb.com/2023/09/02/teenager-killed-shooting-port-allen-high-school/" TargetMode="External"/><Relationship Id="rId960" Type="http://schemas.openxmlformats.org/officeDocument/2006/relationships/hyperlink" Target="https://fox6now.com/2017/07/19/police-32-year-old-shot-multiple-times-inside-school-gym-in-milwaukee-during-basketball-game/" TargetMode="External"/><Relationship Id="rId1036" Type="http://schemas.openxmlformats.org/officeDocument/2006/relationships/hyperlink" Target="https://www.miamiherald.com/news/local/crime/article4139118.html" TargetMode="External"/><Relationship Id="rId1243" Type="http://schemas.openxmlformats.org/officeDocument/2006/relationships/hyperlink" Target="http://www.thereporter.com/article/zz/20060124/NEWS/601249925" TargetMode="External"/><Relationship Id="rId1590" Type="http://schemas.openxmlformats.org/officeDocument/2006/relationships/hyperlink" Target="https://www.newspapers.com/image/300055668/?terms=Oliver%2BWendell%2BHolmes%2BMiddle%2BSchool%2Bshooting" TargetMode="External"/><Relationship Id="rId1688" Type="http://schemas.openxmlformats.org/officeDocument/2006/relationships/hyperlink" Target="https://www.newspapers.com/image/296835492/?terms=mansfield%2Bsenior%2Bhigh%2Bschool" TargetMode="External"/><Relationship Id="rId613" Type="http://schemas.openxmlformats.org/officeDocument/2006/relationships/hyperlink" Target="https://www.boston.com/news/local-news/2022/10/04/person-shot-tuesday-morning-near-jeremiah-burke-high-school-in-dorchester/" TargetMode="External"/><Relationship Id="rId820" Type="http://schemas.openxmlformats.org/officeDocument/2006/relationships/hyperlink" Target="https://www.wvtm13.com/article/mountain-brook-homicide-woman-found-dead-parking-lot-megan-montgomery/30065595" TargetMode="External"/><Relationship Id="rId918" Type="http://schemas.openxmlformats.org/officeDocument/2006/relationships/hyperlink" Target="https://fox2now.com/2018/03/05/students-sent-home-after-suicide-at-washington-county-school/" TargetMode="External"/><Relationship Id="rId1450" Type="http://schemas.openxmlformats.org/officeDocument/2006/relationships/hyperlink" Target="http://articles.chicagotribune.com/1997-10-12/news/9710120311_1_fatal-shooting-wallace-high-school-police" TargetMode="External"/><Relationship Id="rId1548" Type="http://schemas.openxmlformats.org/officeDocument/2006/relationships/hyperlink" Target="https://www.newspapers.com/image/218234824/?terms=Francis%2BW.%2BGregory%2BJunior%2BHigh%2BSchool%2Bshooting" TargetMode="External"/><Relationship Id="rId1755" Type="http://schemas.openxmlformats.org/officeDocument/2006/relationships/hyperlink" Target="https://news.google.com/newspapers?id=xeUrAAAAIBAJ&amp;pg=1382,878132" TargetMode="External"/><Relationship Id="rId1103" Type="http://schemas.openxmlformats.org/officeDocument/2006/relationships/hyperlink" Target="https://www.chron.com/news/houston-texas/article/Teen-shot-at-North-Forest-High-School-2457718.php" TargetMode="External"/><Relationship Id="rId1310" Type="http://schemas.openxmlformats.org/officeDocument/2006/relationships/hyperlink" Target="http://articles.latimes.com/2004/oct/17/local/me-sbriefs17.2" TargetMode="External"/><Relationship Id="rId1408" Type="http://schemas.openxmlformats.org/officeDocument/2006/relationships/hyperlink" Target="https://www.palmbeachpost.com/news/20200521/teen-teacher-gun-2000-school-shooting-staggered-palm-beach-county" TargetMode="External"/><Relationship Id="rId47" Type="http://schemas.openxmlformats.org/officeDocument/2006/relationships/hyperlink" Target="https://www.firstalert4.com/2025/05/16/shots-fired-near-high-school-graduation-ceremony-st-louis-city/" TargetMode="External"/><Relationship Id="rId1615" Type="http://schemas.openxmlformats.org/officeDocument/2006/relationships/hyperlink" Target="https://www.newspapers.com/image/169515600/?terms=charles%2Bmincey%2Bridley%2Bhigh%2Bschool" TargetMode="External"/><Relationship Id="rId1822" Type="http://schemas.openxmlformats.org/officeDocument/2006/relationships/hyperlink" Target="https://www.newspapers.com/image/105768941/" TargetMode="External"/><Relationship Id="rId196" Type="http://schemas.openxmlformats.org/officeDocument/2006/relationships/hyperlink" Target="https://www.wibw.com/2024/08/21/police-investigate-report-school-bus-shot-by-pellet-gun-tuesday-afternoon-east-topeka/" TargetMode="External"/><Relationship Id="rId263" Type="http://schemas.openxmlformats.org/officeDocument/2006/relationships/hyperlink" Target="https://fox4kc.com/news/airsoft-gun-incident-on-lees-summit-school-bus-leaves-parents-upset/" TargetMode="External"/><Relationship Id="rId470" Type="http://schemas.openxmlformats.org/officeDocument/2006/relationships/hyperlink" Target="https://upnorthlive.com/news/local/michigan-woman-picking-up-child-is-charged-in-shooting-outside-school" TargetMode="External"/><Relationship Id="rId123" Type="http://schemas.openxmlformats.org/officeDocument/2006/relationships/hyperlink" Target="https://www.10tv.com/article/news/crime/weinland-park-shooting-north-4th-street-columbus-suspect-arrested/530-fbe47df5-dab0-4c2a-9b18-bc236f81a32c" TargetMode="External"/><Relationship Id="rId330" Type="http://schemas.openxmlformats.org/officeDocument/2006/relationships/hyperlink" Target="https://dailyvoice.com/virginia/arlington/arrest-made-in-arlington-parking-lot-shooting/" TargetMode="External"/><Relationship Id="rId568" Type="http://schemas.openxmlformats.org/officeDocument/2006/relationships/hyperlink" Target="https://katu.com/news/local/police-presence-at-cleveland-high-school-monday-afternoon" TargetMode="External"/><Relationship Id="rId775" Type="http://schemas.openxmlformats.org/officeDocument/2006/relationships/hyperlink" Target="https://www.wate.com/news/local-news/dispatch-knoxville-police-respond-to-reported-shooting-in-north-knoxville/" TargetMode="External"/><Relationship Id="rId982" Type="http://schemas.openxmlformats.org/officeDocument/2006/relationships/hyperlink" Target="http://usatodayhss.com/2016/student-shot-outside-atlanta-high-school-after-football-game" TargetMode="External"/><Relationship Id="rId1198" Type="http://schemas.openxmlformats.org/officeDocument/2006/relationships/hyperlink" Target="http://articles.latimes.com/2007/jan/10/local/me-grant10" TargetMode="External"/><Relationship Id="rId428" Type="http://schemas.openxmlformats.org/officeDocument/2006/relationships/hyperlink" Target="https://www.actionnews5.com/2023/08/11/3-minors-1-adult-charged-cordova-high-school-jamboree-shooting/" TargetMode="External"/><Relationship Id="rId635" Type="http://schemas.openxmlformats.org/officeDocument/2006/relationships/hyperlink" Target="https://www.local10.com/news/local/2022/09/05/adult-gambling-causes-shooting-injuring-3-teens-during-broward-little-league-football-game-police-say/" TargetMode="External"/><Relationship Id="rId842" Type="http://schemas.openxmlformats.org/officeDocument/2006/relationships/hyperlink" Target="https://whdh.com/news/2-charged-in-fatal-shooting-of-man-found-behind-high-school/" TargetMode="External"/><Relationship Id="rId1058" Type="http://schemas.openxmlformats.org/officeDocument/2006/relationships/hyperlink" Target="http://www.kcci.com/article/police-investigate-shooting-outside-north-high-school/6888652" TargetMode="External"/><Relationship Id="rId1265" Type="http://schemas.openxmlformats.org/officeDocument/2006/relationships/hyperlink" Target="https://www.schoolsecurity.org/wp-content/uploads/2023/09/Snip20230916_36.png" TargetMode="External"/><Relationship Id="rId1472" Type="http://schemas.openxmlformats.org/officeDocument/2006/relationships/hyperlink" Target="https://www.detroitnews.com/story/news/local/oakland-county/2021/11/30/school-shootings-michigan-oxford-high-school-history-bath-school-bombing/8812624002/" TargetMode="External"/><Relationship Id="rId702" Type="http://schemas.openxmlformats.org/officeDocument/2006/relationships/hyperlink" Target="https://www.wusa9.com/article/news/crime/shooting-outside-anacostia-high-school-caught-on-camera/65-2ad8c323-8d37-4f4d-9ee6-dc8adcd8bc46" TargetMode="External"/><Relationship Id="rId1125" Type="http://schemas.openxmlformats.org/officeDocument/2006/relationships/hyperlink" Target="https://www.newspapers.com/image/243883968/?terms=robert%2Bfrost%2Belementary%2BSCHOOL" TargetMode="External"/><Relationship Id="rId1332" Type="http://schemas.openxmlformats.org/officeDocument/2006/relationships/hyperlink" Target="https://www.newspapers.com/image/192733466/?terms=Pomona%2BHigh%2BSchool%2Bstudent%2Bshot" TargetMode="External"/><Relationship Id="rId1777" Type="http://schemas.openxmlformats.org/officeDocument/2006/relationships/hyperlink" Target="https://news.google.com/newspapers?id=LQ9PAAAAIBAJ&amp;pg=3947,2156747" TargetMode="External"/><Relationship Id="rId69" Type="http://schemas.openxmlformats.org/officeDocument/2006/relationships/hyperlink" Target="https://www.wdtn.com/news/local-news/riverside-pd-looking-for-man-who-fired-gunshots-near-school/" TargetMode="External"/><Relationship Id="rId1637" Type="http://schemas.openxmlformats.org/officeDocument/2006/relationships/hyperlink" Target="https://www.newspapers.com/image/71348642/?terms=Benicia%2BHigh%2BSchool%2Bshooting" TargetMode="External"/><Relationship Id="rId1844" Type="http://schemas.openxmlformats.org/officeDocument/2006/relationships/hyperlink" Target="https://www.newspapers.com/image/48704588/" TargetMode="External"/><Relationship Id="rId1704" Type="http://schemas.openxmlformats.org/officeDocument/2006/relationships/hyperlink" Target="https://www.newspapers.com/image/199055882/?terms=STUDENT%2BSHOOTS" TargetMode="External"/><Relationship Id="rId285" Type="http://schemas.openxmlformats.org/officeDocument/2006/relationships/hyperlink" Target="https://clarksvillenow.com/local/woman-shot-at-basketball-courts-in-heritage-park-in-clarksville/" TargetMode="External"/><Relationship Id="rId492" Type="http://schemas.openxmlformats.org/officeDocument/2006/relationships/hyperlink" Target="https://www.houstonchronicle.com/news/houston-texas/crime/article/houston-chavez-high-school-3d-printed-gun-18086071.php" TargetMode="External"/><Relationship Id="rId797" Type="http://schemas.openxmlformats.org/officeDocument/2006/relationships/hyperlink" Target="https://www.heraldonline.com/news/local/crime/article245774640.html" TargetMode="External"/><Relationship Id="rId145" Type="http://schemas.openxmlformats.org/officeDocument/2006/relationships/hyperlink" Target="https://www.wdam.com/2024/10/23/west-jones-elementary-incident-adds-unease-after-weekend-shooting-ensuing-alleged-threats/" TargetMode="External"/><Relationship Id="rId352" Type="http://schemas.openxmlformats.org/officeDocument/2006/relationships/hyperlink" Target="https://www.wafb.com/2023/10/28/apso-1-man-dead-another-injured-shooting-near-donaldsonville-high-football-game/" TargetMode="External"/><Relationship Id="rId1287" Type="http://schemas.openxmlformats.org/officeDocument/2006/relationships/hyperlink" Target="https://www.columbine-angels.com/School_Violence_2004-2005.htm" TargetMode="External"/><Relationship Id="rId212" Type="http://schemas.openxmlformats.org/officeDocument/2006/relationships/hyperlink" Target="https://archive.is/IV0na" TargetMode="External"/><Relationship Id="rId657" Type="http://schemas.openxmlformats.org/officeDocument/2006/relationships/hyperlink" Target="https://www.chicagocatholic.com/chicagoland/-/article/2022/06/01/five-windows-at-st-margaret-of-scotland-school-shot-out" TargetMode="External"/><Relationship Id="rId864" Type="http://schemas.openxmlformats.org/officeDocument/2006/relationships/hyperlink" Target="https://democratherald.com/news/local/sheriff-death-of-teen-in-jefferson-apparently-suicide/article_3eb0d660-a01e-55d9-8d38-076025be56cb.html" TargetMode="External"/><Relationship Id="rId1494" Type="http://schemas.openxmlformats.org/officeDocument/2006/relationships/hyperlink" Target="https://www.mlive.com/politics/index.ssf/2013/04/chelsea_school_shooter_gun_con.html" TargetMode="External"/><Relationship Id="rId1799" Type="http://schemas.openxmlformats.org/officeDocument/2006/relationships/hyperlink" Target="https://www.newspapers.com/image/60655345/?terms=school%2Bshooting" TargetMode="External"/><Relationship Id="rId517" Type="http://schemas.openxmlformats.org/officeDocument/2006/relationships/hyperlink" Target="https://fox59.com/news/indycrime/person-shot-near-east-side-indy-high-school/" TargetMode="External"/><Relationship Id="rId724" Type="http://schemas.openxmlformats.org/officeDocument/2006/relationships/hyperlink" Target="https://www.wbtv.com/2021/11/10/mooresville-high-school-releases-students-early-after-apparent-suicide-campus-district-says/" TargetMode="External"/><Relationship Id="rId931" Type="http://schemas.openxmlformats.org/officeDocument/2006/relationships/hyperlink" Target="https://www.heraldnet.com/news/police-say-they-shot-up-the-school-then-bragged-about-it/" TargetMode="External"/><Relationship Id="rId1147" Type="http://schemas.openxmlformats.org/officeDocument/2006/relationships/hyperlink" Target="http://archive.vcstar.com/news/352401581.html/" TargetMode="External"/><Relationship Id="rId1354" Type="http://schemas.openxmlformats.org/officeDocument/2006/relationships/hyperlink" Target="https://web.archive.org/web/20050211181322/https:/www.nbc4.tv/news/2104581/detail.html" TargetMode="External"/><Relationship Id="rId1561" Type="http://schemas.openxmlformats.org/officeDocument/2006/relationships/hyperlink" Target="https://www.newspapers.com/image/176951271/?terms=Robert%2BA.%2BMillikan%2BJunior%2BHigh%2BSchool%2Bshooting" TargetMode="External"/><Relationship Id="rId60" Type="http://schemas.openxmlformats.org/officeDocument/2006/relationships/hyperlink" Target="https://wreg.com/news/local/everybody-misses-them-memphis-grieves-2-killed-in-tragic-shooting/" TargetMode="External"/><Relationship Id="rId1007" Type="http://schemas.openxmlformats.org/officeDocument/2006/relationships/hyperlink" Target="http://www.arkansasonline.com/news/2016/jan/14/student-accidentally-shot-outside-high-school-ouac/" TargetMode="External"/><Relationship Id="rId1214" Type="http://schemas.openxmlformats.org/officeDocument/2006/relationships/hyperlink" Target="http://www.washingtonpost.com/wp-dyn/content/article/2006/09/23/AR2006092301174.html" TargetMode="External"/><Relationship Id="rId1421" Type="http://schemas.openxmlformats.org/officeDocument/2006/relationships/hyperlink" Target="https://www.newspapers.com/image/13325920/?terms=Dickinson%2BHigh%2BSchool%2Bshooting" TargetMode="External"/><Relationship Id="rId1659" Type="http://schemas.openxmlformats.org/officeDocument/2006/relationships/hyperlink" Target="https://whnt.com/news/decatur/morgan-county-sheriffs-deputy-remembered-for-giving-life-to-prevent-possible-1985-school-shooting/" TargetMode="External"/><Relationship Id="rId1866" Type="http://schemas.openxmlformats.org/officeDocument/2006/relationships/hyperlink" Target="https://journalnow.com/news/local/13-year-old-boy-at-hanes-junior-high-school-accidently-shot-and-killed-in-1969/article_2b6f3f62-11e6-11e3-8b40-001a4bcf6878.html" TargetMode="External"/><Relationship Id="rId1519" Type="http://schemas.openxmlformats.org/officeDocument/2006/relationships/hyperlink" Target="https://mnmarshallus.genweb.io/people/obituaries/melby-eric-john-1979-1993/" TargetMode="External"/><Relationship Id="rId1726" Type="http://schemas.openxmlformats.org/officeDocument/2006/relationships/hyperlink" Target="https://www.newspapers.com/image/437154147/?terms=jim%2BScherny" TargetMode="External"/><Relationship Id="rId18" Type="http://schemas.openxmlformats.org/officeDocument/2006/relationships/hyperlink" Target="https://abcnews.go.com/US/3-children-injured-annunciation-church-shooting-police/story?id=125158788" TargetMode="External"/><Relationship Id="rId167" Type="http://schemas.openxmlformats.org/officeDocument/2006/relationships/hyperlink" Target="https://www.fox6now.com/news/wisconsin-lutheran-football-game-security-shooting" TargetMode="External"/><Relationship Id="rId374" Type="http://schemas.openxmlformats.org/officeDocument/2006/relationships/hyperlink" Target="https://www.cbsnews.com/chicago/news/youth-football-game-shooting-dolton-bears-thornridge-high-school/" TargetMode="External"/><Relationship Id="rId581" Type="http://schemas.openxmlformats.org/officeDocument/2006/relationships/hyperlink" Target="https://www.fox2detroit.com/news/16-year-old-charged-after-2-teens-shot-outside-detroits-henry-ford-high-school" TargetMode="External"/><Relationship Id="rId234" Type="http://schemas.openxmlformats.org/officeDocument/2006/relationships/hyperlink" Target="https://pix11.com/news/local-news/queens/gunmen-inadvertently-shot-2-teens-near-queens-school-nypd/" TargetMode="External"/><Relationship Id="rId679" Type="http://schemas.openxmlformats.org/officeDocument/2006/relationships/hyperlink" Target="https://www.foxcarolina.com/2023/12/14/upstate-school-shooter-face-waiver-hearing/" TargetMode="External"/><Relationship Id="rId886" Type="http://schemas.openxmlformats.org/officeDocument/2006/relationships/hyperlink" Target="http://www.nydailynews.com/new-york/nyc-crime/ny-metro-man-shot-outside-bronx-school-20180904-story.html" TargetMode="External"/><Relationship Id="rId2" Type="http://schemas.openxmlformats.org/officeDocument/2006/relationships/hyperlink" Target="https://www.wkbn.com/news/local-news/youngstown-news/police-presence-near-stambaugh-stadium-in-youngstown/" TargetMode="External"/><Relationship Id="rId441" Type="http://schemas.openxmlformats.org/officeDocument/2006/relationships/hyperlink" Target="https://www.wrbl.com/news/crime/cpd-investigating-shooting-behind-kendrick-high-school/" TargetMode="External"/><Relationship Id="rId539" Type="http://schemas.openxmlformats.org/officeDocument/2006/relationships/hyperlink" Target="https://www.cbsnews.com/miami/news/possible-shooting-at-miami-norland-senior-high-school-under-investigation/" TargetMode="External"/><Relationship Id="rId746" Type="http://schemas.openxmlformats.org/officeDocument/2006/relationships/hyperlink" Target="https://whdh.com/news/police-2-teens-facing-charges-after-shooting-bar-school-bus-more-than-40-cars-with-bb-guns-on-north-shore/" TargetMode="External"/><Relationship Id="rId1071" Type="http://schemas.openxmlformats.org/officeDocument/2006/relationships/hyperlink" Target="https://www.nbclosangeles.com/news/local/Chino-Newman-Elementary-School-Safety-Demonstration-Weapon-Gun-Misfires-Injures-228984301.html" TargetMode="External"/><Relationship Id="rId1169" Type="http://schemas.openxmlformats.org/officeDocument/2006/relationships/hyperlink" Target="https://www.nj.com/news/index.ssf/2010/09/newark_schoolyard_slaying_susp_1.html" TargetMode="External"/><Relationship Id="rId1376" Type="http://schemas.openxmlformats.org/officeDocument/2006/relationships/hyperlink" Target="https://www.cbsnews.com/news/arrest-in-nyc-school-shooting/" TargetMode="External"/><Relationship Id="rId1583" Type="http://schemas.openxmlformats.org/officeDocument/2006/relationships/hyperlink" Target="https://www.tampabay.com/archive/1990/01/06/boy-12-points-gun-at-self-in-school-yard/" TargetMode="External"/><Relationship Id="rId301" Type="http://schemas.openxmlformats.org/officeDocument/2006/relationships/hyperlink" Target="https://www.wsbtv.com/news/local/atlanta/teen-turns-himself-after-4-shot-atlanta-high-school-valentines-day-police-say/H662R5SSZZFPHKHKQJLBABC6X4/" TargetMode="External"/><Relationship Id="rId953" Type="http://schemas.openxmlformats.org/officeDocument/2006/relationships/hyperlink" Target="https://www.spokesman.com/stories/2022/aug/19/the-true-cost-of-evil-freeman-high-school-shooter-/" TargetMode="External"/><Relationship Id="rId1029" Type="http://schemas.openxmlformats.org/officeDocument/2006/relationships/hyperlink" Target="https://www.al.com/news/mobile/index.ssf/2015/01/one_shot_in_the_buttock_after.html" TargetMode="External"/><Relationship Id="rId1236" Type="http://schemas.openxmlformats.org/officeDocument/2006/relationships/hyperlink" Target="https://www.usatoday.com/story/news/2015/10/01/roseburg-had-school-shooting-2006/73168186/" TargetMode="External"/><Relationship Id="rId1790" Type="http://schemas.openxmlformats.org/officeDocument/2006/relationships/hyperlink" Target="https://www.newspapers.com/image/431914265/?terms=william%2Bgund" TargetMode="External"/><Relationship Id="rId1888" Type="http://schemas.openxmlformats.org/officeDocument/2006/relationships/hyperlink" Target="https://www.newspapers.com/image/564577824/?terms=school%20shooting&amp;match=1" TargetMode="External"/><Relationship Id="rId82" Type="http://schemas.openxmlformats.org/officeDocument/2006/relationships/hyperlink" Target="https://www.actionnews5.com/2025/03/24/girl-shot-near-north-memphis-charter-schools-police-say/" TargetMode="External"/><Relationship Id="rId606" Type="http://schemas.openxmlformats.org/officeDocument/2006/relationships/hyperlink" Target="https://myfox8.com/news/north-carolina/greensboro/1-shot-in-parking-lot-of-dudley-high-school-taken-to-hospital-police-say/" TargetMode="External"/><Relationship Id="rId813" Type="http://schemas.openxmlformats.org/officeDocument/2006/relationships/hyperlink" Target="https://kimatv.com/news/local/police-yakima-teen-arrested-for-threatening-woman-girl-at-and-elementary-school" TargetMode="External"/><Relationship Id="rId1443" Type="http://schemas.openxmlformats.org/officeDocument/2006/relationships/hyperlink" Target="https://cmuhistory.cmich.edu/?a=d&amp;d=IsabellaCML19980227.1.2&amp;" TargetMode="External"/><Relationship Id="rId1650" Type="http://schemas.openxmlformats.org/officeDocument/2006/relationships/hyperlink" Target="https://www.newspapers.com/image/182776909/?terms=Archbishop%2BRyan%2BHigh%2BSchool%2Bfor%2Bboys%2Bshooting" TargetMode="External"/><Relationship Id="rId1748" Type="http://schemas.openxmlformats.org/officeDocument/2006/relationships/hyperlink" Target="https://www.newspapers.com/image/178054448/?terms=school%2Bshooting" TargetMode="External"/><Relationship Id="rId1303" Type="http://schemas.openxmlformats.org/officeDocument/2006/relationships/hyperlink" Target="https://www.questia.com/newspaper/1G1-125515131/student-accidentally-shot-1-charged-terry-parker" TargetMode="External"/><Relationship Id="rId1510" Type="http://schemas.openxmlformats.org/officeDocument/2006/relationships/hyperlink" Target="https://www.newspapers.com/image/403198507/?terms=Marcus%2BTaylor%2Bdied" TargetMode="External"/><Relationship Id="rId1608" Type="http://schemas.openxmlformats.org/officeDocument/2006/relationships/hyperlink" Target="https://www.newspapers.com/image/388885712/?terms=martin%2Bluther%2Bking%2Bhigh%2Bschool" TargetMode="External"/><Relationship Id="rId1815" Type="http://schemas.openxmlformats.org/officeDocument/2006/relationships/hyperlink" Target="https://www.newspapers.com/image/18141346/?terms=school%2Bshooting" TargetMode="External"/><Relationship Id="rId189" Type="http://schemas.openxmlformats.org/officeDocument/2006/relationships/hyperlink" Target="https://newschannel9.com/news/local/shots-fired-near-high-school-in-walker-county-after-argument-brews-during-friday-football" TargetMode="External"/><Relationship Id="rId396" Type="http://schemas.openxmlformats.org/officeDocument/2006/relationships/hyperlink" Target="https://www.fox32chicago.com/news/hillcrest-high-school-shooting-country-club-hills" TargetMode="External"/><Relationship Id="rId256" Type="http://schemas.openxmlformats.org/officeDocument/2006/relationships/hyperlink" Target="https://www.wxyz.com/news/2-women-2-kids-shot-near-high-school-on-detroits-west-side-police-say" TargetMode="External"/><Relationship Id="rId463" Type="http://schemas.openxmlformats.org/officeDocument/2006/relationships/hyperlink" Target="https://www.nbcbayarea.com/news/local/east-bay/shooting-castlemont-high-school-oakland/3225716/" TargetMode="External"/><Relationship Id="rId670" Type="http://schemas.openxmlformats.org/officeDocument/2006/relationships/hyperlink" Target="https://news4sanantonio.com/news/local/police-shot-suspect-after-attempting-to-break-in-school" TargetMode="External"/><Relationship Id="rId1093" Type="http://schemas.openxmlformats.org/officeDocument/2006/relationships/hyperlink" Target="https://www.wxyz.com/news/region/detroit/16-year-old-boy-shot-at-after-basketball-game-in-detroit" TargetMode="External"/><Relationship Id="rId116" Type="http://schemas.openxmlformats.org/officeDocument/2006/relationships/hyperlink" Target="https://www.ksat.com/news/local/2024/12/12/death-of-sapd-officer-initially-reported-as-accidental-ruled-a-suicide-sapd-says/" TargetMode="External"/><Relationship Id="rId323" Type="http://schemas.openxmlformats.org/officeDocument/2006/relationships/hyperlink" Target="https://www.nwitimes.com/news/local/crime-courts/gun-fired-inside-eggers-middle-school/article_66b8bb88-9de6-11ee-90ec-2bf171a723f3.html" TargetMode="External"/><Relationship Id="rId530" Type="http://schemas.openxmlformats.org/officeDocument/2006/relationships/hyperlink" Target="https://www.fox26houston.com/news/friends-and-family-are-grieving-after-a-17-year-old-high-school-senior-is-shot-to-death-near-his-school" TargetMode="External"/><Relationship Id="rId768" Type="http://schemas.openxmlformats.org/officeDocument/2006/relationships/hyperlink" Target="https://abcnews.go.com/US/wireStory/soldier-hijacked-school-bus-found-guilty-insanity-97829956" TargetMode="External"/><Relationship Id="rId975" Type="http://schemas.openxmlformats.org/officeDocument/2006/relationships/hyperlink" Target="http://www.alexcityoutlook.com/2017/01/09/two-students-taken-into-custody-after-gun-goes-off-at-middle-school/" TargetMode="External"/><Relationship Id="rId1160" Type="http://schemas.openxmlformats.org/officeDocument/2006/relationships/hyperlink" Target="https://www.nbcnews.com/id/wbna23048362" TargetMode="External"/><Relationship Id="rId1398" Type="http://schemas.openxmlformats.org/officeDocument/2006/relationships/hyperlink" Target="http://articles.sun-sentinel.com/2000-12-21/news/0012210472_1_armored-car-armored-guard-routine-pickup" TargetMode="External"/><Relationship Id="rId628" Type="http://schemas.openxmlformats.org/officeDocument/2006/relationships/hyperlink" Target="https://www.wral.com/california-high-school-staff-member-shot-after-fight/20464618/" TargetMode="External"/><Relationship Id="rId835" Type="http://schemas.openxmlformats.org/officeDocument/2006/relationships/hyperlink" Target="https://www.13abc.com/content/news/Juvenile-shot-on-Central-Catholic-grounds-after-altercation-following-football-game-558889751.html" TargetMode="External"/><Relationship Id="rId1258" Type="http://schemas.openxmlformats.org/officeDocument/2006/relationships/hyperlink" Target="http://plainedgechat.proboards.com/thread/23" TargetMode="External"/><Relationship Id="rId1465" Type="http://schemas.openxmlformats.org/officeDocument/2006/relationships/hyperlink" Target="https://www.columbine-angels.com/School_Violence_1995-1996.htm" TargetMode="External"/><Relationship Id="rId1672" Type="http://schemas.openxmlformats.org/officeDocument/2006/relationships/hyperlink" Target="https://www.newspapers.com/image/153645072/?terms=michael%2Bbrody" TargetMode="External"/><Relationship Id="rId1020" Type="http://schemas.openxmlformats.org/officeDocument/2006/relationships/hyperlink" Target="https://www.citizen-times.com/story/news/crime/2015/06/04/armed-suspects-found-macon-county-school-custody/28467377/" TargetMode="External"/><Relationship Id="rId1118" Type="http://schemas.openxmlformats.org/officeDocument/2006/relationships/hyperlink" Target="https://www.mlive.com/news/flint/2009/09/post_39.html" TargetMode="External"/><Relationship Id="rId1325" Type="http://schemas.openxmlformats.org/officeDocument/2006/relationships/hyperlink" Target="https://www.iberianet.com/news/two-dead-in-friday-murder-suicide/article_6e2281d6-1558-5273-b883-8aa0132a8b2e.html" TargetMode="External"/><Relationship Id="rId1532" Type="http://schemas.openxmlformats.org/officeDocument/2006/relationships/hyperlink" Target="https://www.newspapers.com/image/106780083/?terms=Michael%2BJackson%2BJr" TargetMode="External"/><Relationship Id="rId902" Type="http://schemas.openxmlformats.org/officeDocument/2006/relationships/hyperlink" Target="https://www.whio.com/news/local/report-shot-possibly-fired-during-altercation-basketball-court-beavercreek-school/pik2z70Vnp3YXYCS9M5YKN/" TargetMode="External"/><Relationship Id="rId1837" Type="http://schemas.openxmlformats.org/officeDocument/2006/relationships/hyperlink" Target="https://www.newspapers.com/image/378657230/?terms=school%2Bshooting" TargetMode="External"/><Relationship Id="rId31" Type="http://schemas.openxmlformats.org/officeDocument/2006/relationships/hyperlink" Target="https://www.wvtm13.com/article/birmingham-police-investigate-shooting-near-high-school/65389016" TargetMode="External"/><Relationship Id="rId180" Type="http://schemas.openxmlformats.org/officeDocument/2006/relationships/hyperlink" Target="https://www.wrganews.com/2024/09/12/lafayette-police-officer-accidentally-shoots-himself-while-assisting-with-threat-call-at-trion-school/" TargetMode="External"/><Relationship Id="rId278" Type="http://schemas.openxmlformats.org/officeDocument/2006/relationships/hyperlink" Target="https://www.fox13memphis.com/news/woman-facing-attempted-murder-charges-after-shots-fired-at-memphis-high-school-records-show/article_1035006c-f865-11ee-bee0-537eec126459.html" TargetMode="External"/><Relationship Id="rId485" Type="http://schemas.openxmlformats.org/officeDocument/2006/relationships/hyperlink" Target="https://wgntv.com/news/chicagocrime/school-bus-damaged-by-gunfire-during-attempted-carjacking-on-west-side/" TargetMode="External"/><Relationship Id="rId692" Type="http://schemas.openxmlformats.org/officeDocument/2006/relationships/hyperlink" Target="https://www.fox5atlanta.com/news/gun-goes-off-at-jonesboro-high-school-prompting-lockdown" TargetMode="External"/><Relationship Id="rId138" Type="http://schemas.openxmlformats.org/officeDocument/2006/relationships/hyperlink" Target="https://www.wxii12.com/article/bb-gun-shot-bus-cameron-avenue-winston-salem-police/62807311" TargetMode="External"/><Relationship Id="rId345" Type="http://schemas.openxmlformats.org/officeDocument/2006/relationships/hyperlink" Target="https://news.yahoo.com/ct-elementary-school-custodian-helps-151400200.html" TargetMode="External"/><Relationship Id="rId552" Type="http://schemas.openxmlformats.org/officeDocument/2006/relationships/hyperlink" Target="https://pix11.com/news/local-news/brooklyn/teen-shot-after-leaving-basketball-game-at-brooklyn-school-police-say/" TargetMode="External"/><Relationship Id="rId997" Type="http://schemas.openxmlformats.org/officeDocument/2006/relationships/hyperlink" Target="https://magicvalley.com/news/local/education/update-school-district-students-in-custody-after-gun-fired-at/article_f23be68f-936b-51ce-847a-f0a02e99f3a0.html" TargetMode="External"/><Relationship Id="rId1182" Type="http://schemas.openxmlformats.org/officeDocument/2006/relationships/hyperlink" Target="http://blog.oregonlive.com/breakingnews/2007/04/gresham_teen_indicted_in_sprin.html" TargetMode="External"/><Relationship Id="rId205" Type="http://schemas.openxmlformats.org/officeDocument/2006/relationships/hyperlink" Target="https://kobi5.com/news/shooting-at-klamath-falls-school-injures-parent-police-looking-for-suspect-239557/" TargetMode="External"/><Relationship Id="rId412" Type="http://schemas.openxmlformats.org/officeDocument/2006/relationships/hyperlink" Target="https://www.ddtonline.com/local-sports/leland-obannon-football-game-ends-shooting" TargetMode="External"/><Relationship Id="rId857" Type="http://schemas.openxmlformats.org/officeDocument/2006/relationships/hyperlink" Target="https://kdvr.com/2019/02/18/man-shot-in-neighbor-dispute-idd-as-former-cu-football-player-assistant-high-school-principal/" TargetMode="External"/><Relationship Id="rId1042" Type="http://schemas.openxmlformats.org/officeDocument/2006/relationships/hyperlink" Target="https://manchesterinklink.com/man-gun-knife-arrested-inside-west-hs-lockdown/" TargetMode="External"/><Relationship Id="rId1487" Type="http://schemas.openxmlformats.org/officeDocument/2006/relationships/hyperlink" Target="https://www.newspapers.com/image/166926358/?terms=Amy%2BGamarello" TargetMode="External"/><Relationship Id="rId1694" Type="http://schemas.openxmlformats.org/officeDocument/2006/relationships/hyperlink" Target="https://www.newspapers.com/image/112306526/?terms=troy%2Bhale" TargetMode="External"/><Relationship Id="rId717" Type="http://schemas.openxmlformats.org/officeDocument/2006/relationships/hyperlink" Target="https://fox8.com/news/cleveland-school-bus-driver-robbed-at-gunpoint/" TargetMode="External"/><Relationship Id="rId924" Type="http://schemas.openxmlformats.org/officeDocument/2006/relationships/hyperlink" Target="http://pgpolice.blogspot.ca/2018/02/two-teenage-suspects-in-custody-for-non.html" TargetMode="External"/><Relationship Id="rId1347" Type="http://schemas.openxmlformats.org/officeDocument/2006/relationships/hyperlink" Target="http://archive.boston.com/news/local/articles/2003/09/18/teen_shot_near_charlestown_high/" TargetMode="External"/><Relationship Id="rId1554" Type="http://schemas.openxmlformats.org/officeDocument/2006/relationships/hyperlink" Target="https://www.nytimes.com/1991/10/09/nyregion/a-bronx-youth-is-shot-to-death-outside-a-school.html" TargetMode="External"/><Relationship Id="rId1761" Type="http://schemas.openxmlformats.org/officeDocument/2006/relationships/hyperlink" Target="https://www.newspapers.com/image/86275915/?terms=school%2Bshooting" TargetMode="External"/><Relationship Id="rId53" Type="http://schemas.openxmlformats.org/officeDocument/2006/relationships/hyperlink" Target="https://www.wfmz.com/news/area/lehighvalley/lehigh-county/allentown-area/man-fires-shots-into-air-points-handgun-at-school-security-officer-allentown-police-say/article_ad0da329-acca-4872-a149-5a31f332c2d9.html" TargetMode="External"/><Relationship Id="rId1207" Type="http://schemas.openxmlformats.org/officeDocument/2006/relationships/hyperlink" Target="http://www.witn.com/home/headlines/35382409.html" TargetMode="External"/><Relationship Id="rId1414" Type="http://schemas.openxmlformats.org/officeDocument/2006/relationships/hyperlink" Target="https://www.schoolsecurity.org/trends/violent-deaths-and-school-shootings/school-deaths-1999-2000/" TargetMode="External"/><Relationship Id="rId1621" Type="http://schemas.openxmlformats.org/officeDocument/2006/relationships/hyperlink" Target="https://www.newspapers.com/image/99920647/?terms=STUDENT%2BSHOT" TargetMode="External"/><Relationship Id="rId1859" Type="http://schemas.openxmlformats.org/officeDocument/2006/relationships/hyperlink" Target="https://www.newspapers.com/image/129716948/?terms=school%2Bshooting" TargetMode="External"/><Relationship Id="rId1719" Type="http://schemas.openxmlformats.org/officeDocument/2006/relationships/hyperlink" Target="https://www.upi.com/Archives/1981/01/21/A-science-teacher-was-shot-and-wounded-Wednesday-by/6947348901200/" TargetMode="External"/><Relationship Id="rId367" Type="http://schemas.openxmlformats.org/officeDocument/2006/relationships/hyperlink" Target="https://www.mysuncoast.com/2023/10/14/spd-investigating-shooting-incident-near-booker-high-school/" TargetMode="External"/><Relationship Id="rId574" Type="http://schemas.openxmlformats.org/officeDocument/2006/relationships/hyperlink" Target="https://fox59.com/indiana-news/investigation-underway-following-firearm-incident-near-west-th-elementary-school/" TargetMode="External"/><Relationship Id="rId227" Type="http://schemas.openxmlformats.org/officeDocument/2006/relationships/hyperlink" Target="https://www.king5.com/article/news/crime/family-slain-teen-sues-seattle-public-schools/281-7b04cef3-e4d3-4fa3-9fbc-27fd8dd7a826" TargetMode="External"/><Relationship Id="rId781" Type="http://schemas.openxmlformats.org/officeDocument/2006/relationships/hyperlink" Target="https://www.krtv.com/news/crime-and-courts/ledford-charged-with-shooting-out-windows-at-great-falls-high-school" TargetMode="External"/><Relationship Id="rId879" Type="http://schemas.openxmlformats.org/officeDocument/2006/relationships/hyperlink" Target="https://www.ksfy.com/content/news/High-school-football-game-evacuated-following-gunshot-494669791.html" TargetMode="External"/><Relationship Id="rId434" Type="http://schemas.openxmlformats.org/officeDocument/2006/relationships/hyperlink" Target="https://www.pennlive.com/crime/2023/08/15-year-old-charged-in-fatal-shooting-near-harrisburg-high-school.html" TargetMode="External"/><Relationship Id="rId641" Type="http://schemas.openxmlformats.org/officeDocument/2006/relationships/hyperlink" Target="https://www.woodtv.com/news/grand-rapids/man-sentenced-for-drug-charges-in-shots-fired-near-gr-school/" TargetMode="External"/><Relationship Id="rId739" Type="http://schemas.openxmlformats.org/officeDocument/2006/relationships/hyperlink" Target="https://www.nbc15.com/2021/09/16/reports-shots-fired-near-orchard-ridge-elementary-school/" TargetMode="External"/><Relationship Id="rId1064" Type="http://schemas.openxmlformats.org/officeDocument/2006/relationships/hyperlink" Target="https://www.nhregister.com/connecticut/article/New-Haven-teen-to-serve-6-years-in-two-shooting-11351580.php" TargetMode="External"/><Relationship Id="rId1271" Type="http://schemas.openxmlformats.org/officeDocument/2006/relationships/hyperlink" Target="https://www.columbine-angels.com/School_Violence_2005-2006.htm" TargetMode="External"/><Relationship Id="rId1369" Type="http://schemas.openxmlformats.org/officeDocument/2006/relationships/hyperlink" Target="http://ssristories.drugawareness.org/archive/showa5f5.html?item=224" TargetMode="External"/><Relationship Id="rId1576" Type="http://schemas.openxmlformats.org/officeDocument/2006/relationships/hyperlink" Target="https://news.google.com/newspapers?nid=1310&amp;dat=19900521&amp;id=wcJWAAAAIBAJ&amp;sjid=0eoDAAAAIBAJ&amp;pg=6655,5338612," TargetMode="External"/><Relationship Id="rId501" Type="http://schemas.openxmlformats.org/officeDocument/2006/relationships/hyperlink" Target="https://www.courierpostonline.com/story/news/local/2023/03/24/millville-nj-thunderbolt-academy-shelter-in-place-after-gun-shots/70045194007/" TargetMode="External"/><Relationship Id="rId946" Type="http://schemas.openxmlformats.org/officeDocument/2006/relationships/hyperlink" Target="https://www.wtol.com/article/text/news/police-shots-fired-in-parking-lot-area-of-start-high-school/512-4f7360d6-2e3f-434a-a6e6-0067351b41f4" TargetMode="External"/><Relationship Id="rId1131" Type="http://schemas.openxmlformats.org/officeDocument/2006/relationships/hyperlink" Target="http://www.cnn.com/2009/CRIME/01/10/school.shooting/index.html" TargetMode="External"/><Relationship Id="rId1229" Type="http://schemas.openxmlformats.org/officeDocument/2006/relationships/hyperlink" Target="http://articles.mcall.com/2006-05-26/news/3667295_1_students-or-teachers-district-s-zero-tolerance-senior-prom" TargetMode="External"/><Relationship Id="rId1783" Type="http://schemas.openxmlformats.org/officeDocument/2006/relationships/hyperlink" Target="https://www.newspapers.com/image/382147136/?terms=teacher%2Bshot" TargetMode="External"/><Relationship Id="rId75" Type="http://schemas.openxmlformats.org/officeDocument/2006/relationships/hyperlink" Target="https://apnews.com/article/priest-shot-killed-seneca-kansas-f418a0f3933baaef73b359e32abd8363" TargetMode="External"/><Relationship Id="rId806" Type="http://schemas.openxmlformats.org/officeDocument/2006/relationships/hyperlink" Target="https://abc11.com/nc-man-shoots-at-couple-after-mistaking-them-for-russian-mafia-/6196277/" TargetMode="External"/><Relationship Id="rId1436" Type="http://schemas.openxmlformats.org/officeDocument/2006/relationships/hyperlink" Target="https://www.newspapers.com/image/13671024/" TargetMode="External"/><Relationship Id="rId1643" Type="http://schemas.openxmlformats.org/officeDocument/2006/relationships/hyperlink" Target="http://articles.chicagotribune.com/1986-05-01/news/8601310677_1_science-class-elliott-student" TargetMode="External"/><Relationship Id="rId1850" Type="http://schemas.openxmlformats.org/officeDocument/2006/relationships/hyperlink" Target="https://www.newspapers.com/image/294129677/?terms=school%2Bshooting" TargetMode="External"/><Relationship Id="rId1503" Type="http://schemas.openxmlformats.org/officeDocument/2006/relationships/hyperlink" Target="https://www.newspapers.com/image/156503737/?terms=Dover%2BHigh%2BSchool%2Bsuicide" TargetMode="External"/><Relationship Id="rId1710" Type="http://schemas.openxmlformats.org/officeDocument/2006/relationships/hyperlink" Target="https://www.newspapers.com/image/371656005" TargetMode="External"/><Relationship Id="rId291" Type="http://schemas.openxmlformats.org/officeDocument/2006/relationships/hyperlink" Target="https://www.fox13memphis.com/education/hes-got-a-gun-mid-south-high-school-student-carjacks-classmate-at-gunpoint-police-say/article_ec319d82-da6f-11ee-9f12-4b6335391fcf.html" TargetMode="External"/><Relationship Id="rId1808" Type="http://schemas.openxmlformats.org/officeDocument/2006/relationships/hyperlink" Target="https://www.newspapers.com/image/152290612/?terms=a%2Bsingle%2Btragic%2Bincident" TargetMode="External"/><Relationship Id="rId151" Type="http://schemas.openxmlformats.org/officeDocument/2006/relationships/hyperlink" Target="https://www.whas11.com/article/news/education/jcps-student-injured-shooting-themselves-atherton-high-school-parking-lot/417-0a3f71d5-01e8-45f7-9a32-98bd671d15ae" TargetMode="External"/><Relationship Id="rId389" Type="http://schemas.openxmlformats.org/officeDocument/2006/relationships/hyperlink" Target="https://newschannel9.com/news/local/gunshots-heard-outside-finley-stadium-during-high-school-football-game" TargetMode="External"/><Relationship Id="rId596" Type="http://schemas.openxmlformats.org/officeDocument/2006/relationships/hyperlink" Target="https://www.9news.com/article/news/local/gun-flag-football-game-cresthill/73-7251ca4b-3365-4a6e-9c60-a29e425a3dca" TargetMode="External"/><Relationship Id="rId249" Type="http://schemas.openxmlformats.org/officeDocument/2006/relationships/hyperlink" Target="https://www.live5news.com/2024/05/05/police-investigating-after-reported-gunfire-north-charleston-high-school/" TargetMode="External"/><Relationship Id="rId456" Type="http://schemas.openxmlformats.org/officeDocument/2006/relationships/hyperlink" Target="https://www.kare11.com/article/news/crime/2-juveniles-charged-for-stolen-kia-weapons-shots-fired-at-davis-center/89-01623e39-2f89-46d9-90b8-4de86e347f2e" TargetMode="External"/><Relationship Id="rId663" Type="http://schemas.openxmlformats.org/officeDocument/2006/relationships/hyperlink" Target="https://www.mexiadailynews.com/breaking-news/defendant-sentenced-maximum-prison-time-taking-pistol-mexia-high-school" TargetMode="External"/><Relationship Id="rId870" Type="http://schemas.openxmlformats.org/officeDocument/2006/relationships/hyperlink" Target="https://www.mdjonline.com/news/gun-fired-in-garrett-middle-school-bathroom-students-charged/article_3efeedb6-e481-11e8-b800-e38d6827d46f.html" TargetMode="External"/><Relationship Id="rId1086" Type="http://schemas.openxmlformats.org/officeDocument/2006/relationships/hyperlink" Target="https://www.cbsnews.com/news/la-salle-high-school-shooting-update-gun-used-in-ohio-classroom-came-from-home-police-say/" TargetMode="External"/><Relationship Id="rId1293" Type="http://schemas.openxmlformats.org/officeDocument/2006/relationships/hyperlink" Target="https://www.columbine-angels.com/School_Violence_2004-2005.htm" TargetMode="External"/><Relationship Id="rId109" Type="http://schemas.openxmlformats.org/officeDocument/2006/relationships/hyperlink" Target="https://www.cbsnews.com/newyork/news/brooklyn-shooting-near-school/" TargetMode="External"/><Relationship Id="rId316" Type="http://schemas.openxmlformats.org/officeDocument/2006/relationships/hyperlink" Target="https://www.cbsnews.com/sanfrancisco/news/police-respond-to-shooting-near-richmond-high-school-no-injuries-reported/" TargetMode="External"/><Relationship Id="rId523" Type="http://schemas.openxmlformats.org/officeDocument/2006/relationships/hyperlink" Target="https://www.kktv.com/2023/03/01/standoff-near-pueblo-county-elementary-school-ends-with-suspect-shot/" TargetMode="External"/><Relationship Id="rId968" Type="http://schemas.openxmlformats.org/officeDocument/2006/relationships/hyperlink" Target="https://www.tulsaworld.com/homepagelatest/man-shot-in-chest-at-booker-t-washington-high-school/article_f6b588e9-926b-5c04-a9c5-aee4dc5c7ee8.html" TargetMode="External"/><Relationship Id="rId1153" Type="http://schemas.openxmlformats.org/officeDocument/2006/relationships/hyperlink" Target="http://www.latimes.com/local/la-me-shoot21-2008sep21-story.html" TargetMode="External"/><Relationship Id="rId1598" Type="http://schemas.openxmlformats.org/officeDocument/2006/relationships/hyperlink" Target="https://www.deseretnews.com/article/34103/OFFICERS-SEEKING-ANSWERS-AFTER-JUNIOR-HIGH-SHOOTING.html" TargetMode="External"/><Relationship Id="rId97" Type="http://schemas.openxmlformats.org/officeDocument/2006/relationships/hyperlink" Target="https://www.wbir.com/article/news/crime/shots-fired-near-madisonville-primary-school/51-1e2bb28a-22e2-4a32-89b3-2450874d0bb0" TargetMode="External"/><Relationship Id="rId730" Type="http://schemas.openxmlformats.org/officeDocument/2006/relationships/hyperlink" Target="https://www.cleveland19.com/2021/09/30/shot-fired-after-middle-school-football-game-east-cleveland/" TargetMode="External"/><Relationship Id="rId828" Type="http://schemas.openxmlformats.org/officeDocument/2006/relationships/hyperlink" Target="https://www.katc.com/news/acadia-parish/police-confirm-arrest-of-second-suspect-in-shooting-near-rayne-hs-stadium" TargetMode="External"/><Relationship Id="rId1013" Type="http://schemas.openxmlformats.org/officeDocument/2006/relationships/hyperlink" Target="https://www.mysanantonio.com/news/local/article/Man-fatally-shot-in-middle-school-parking-lot-6588994.php" TargetMode="External"/><Relationship Id="rId1360" Type="http://schemas.openxmlformats.org/officeDocument/2006/relationships/hyperlink" Target="https://www.tulsaworld.com/archives/jenks-student-yields-after-standoff/article_df79f378-452f-5400-9568-28cd4a828fdf.html" TargetMode="External"/><Relationship Id="rId1458" Type="http://schemas.openxmlformats.org/officeDocument/2006/relationships/hyperlink" Target="http://www.psychceu.com/school_violence/savd.pdf" TargetMode="External"/><Relationship Id="rId1665" Type="http://schemas.openxmlformats.org/officeDocument/2006/relationships/hyperlink" Target="https://www.nytimes.com/1994/11/10/nyregion/student-is-shot-at-a-high-school-in-new-haven.html" TargetMode="External"/><Relationship Id="rId1872" Type="http://schemas.openxmlformats.org/officeDocument/2006/relationships/hyperlink" Target="https://www.newspapers.com/image/376621972/?terms=school%20shooting&amp;match=1" TargetMode="External"/><Relationship Id="rId1220" Type="http://schemas.openxmlformats.org/officeDocument/2006/relationships/hyperlink" Target="http://www.14news.com/story/5306020/funeral-set-for-castle-suicide-victim?clienttype=printable&amp;redirected=true" TargetMode="External"/><Relationship Id="rId1318" Type="http://schemas.openxmlformats.org/officeDocument/2006/relationships/hyperlink" Target="http://www.gadsdentimes.com/article/DA/20040804/News/603205688/GT/" TargetMode="External"/><Relationship Id="rId1525" Type="http://schemas.openxmlformats.org/officeDocument/2006/relationships/hyperlink" Target="https://www.newspapers.com/image/238950794/?terms=Norland%2BSenior%2BHigh%2BSchool%2Bshooting" TargetMode="External"/><Relationship Id="rId1732" Type="http://schemas.openxmlformats.org/officeDocument/2006/relationships/hyperlink" Target="https://www.newspapers.com/image/107593168/?terms=DANIEL%2BPEREZ%2BARSENAL%2BTECHNICAL%2BHIGH%2BSCHOOL" TargetMode="External"/><Relationship Id="rId24" Type="http://schemas.openxmlformats.org/officeDocument/2006/relationships/hyperlink" Target="https://www.11alive.com/article/news/education/student-allegedly-fires-gun-into-toilet-at-meadowcreek-elementary/85-771a69b5-eb01-4db5-b7d9-6e38c6a9299d" TargetMode="External"/><Relationship Id="rId173" Type="http://schemas.openxmlformats.org/officeDocument/2006/relationships/hyperlink" Target="https://6abc.com/post/police-investigating-after-mans-body-found-martin-luther-king-high-school-philadelphias-west-mt-airy-section/15343081/" TargetMode="External"/><Relationship Id="rId380" Type="http://schemas.openxmlformats.org/officeDocument/2006/relationships/hyperlink" Target="https://www.wxii12.com/article/2nd-suspect-charged-connection-shooting-near-dudley-high-school/45899867" TargetMode="External"/><Relationship Id="rId240" Type="http://schemas.openxmlformats.org/officeDocument/2006/relationships/hyperlink" Target="https://www.wspa.com/news/local-news/man-pulls-gun-breaks-window-following-spartanburg-co-graduation/" TargetMode="External"/><Relationship Id="rId478" Type="http://schemas.openxmlformats.org/officeDocument/2006/relationships/hyperlink" Target="https://ktla.com/news/local-news/man-shot-to-death-outside-high-school-in-willowbook/" TargetMode="External"/><Relationship Id="rId685" Type="http://schemas.openxmlformats.org/officeDocument/2006/relationships/hyperlink" Target="https://www.fox5atlanta.com/news/gunshot-fired-in-clayton-county-middle-school-district-says" TargetMode="External"/><Relationship Id="rId892" Type="http://schemas.openxmlformats.org/officeDocument/2006/relationships/hyperlink" Target="https://www.montgomeryadvertiser.com/story/sports/high-school/football/2018/08/23/shooting-outside-asu-stadium-brings-halt-g-w-carver-jeff-davis-game/1081209002/" TargetMode="External"/><Relationship Id="rId100" Type="http://schemas.openxmlformats.org/officeDocument/2006/relationships/hyperlink" Target="https://www.wusa9.com/article/news/crime/northeast-dc-police-investigate-shooting-near-high-school/65-3e05674b-27eb-4bbb-a0c5-3483e92da522" TargetMode="External"/><Relationship Id="rId338" Type="http://schemas.openxmlformats.org/officeDocument/2006/relationships/hyperlink" Target="https://www.kplctv.com/2023/11/19/one-juvenile-taken-into-custody-after-shooting-acadiana-high/" TargetMode="External"/><Relationship Id="rId545" Type="http://schemas.openxmlformats.org/officeDocument/2006/relationships/hyperlink" Target="https://www.fox10tv.com/2023/02/01/one-vehicle-elementary-school-hit-by-bullets-after-shots-fired-nearby/" TargetMode="External"/><Relationship Id="rId752" Type="http://schemas.openxmlformats.org/officeDocument/2006/relationships/hyperlink" Target="https://keyt.com/news/crime/2021/08/28/police-investigating-shots-fired-at-santa-maria-high-school/" TargetMode="External"/><Relationship Id="rId1175" Type="http://schemas.openxmlformats.org/officeDocument/2006/relationships/hyperlink" Target="https://www.columbine-angels.com/School_Violence_2006-2007.htm" TargetMode="External"/><Relationship Id="rId1382" Type="http://schemas.openxmlformats.org/officeDocument/2006/relationships/hyperlink" Target="http://articles.baltimoresun.com/2001-09-21/news/0109210200_1_lake-clifton-neighborhood-dispute-inside-the-school" TargetMode="External"/><Relationship Id="rId405" Type="http://schemas.openxmlformats.org/officeDocument/2006/relationships/hyperlink" Target="https://abc7chicago.com/chicago-shooting-teen-girl-shot-boy-mount-carmel-high-school/13728531/" TargetMode="External"/><Relationship Id="rId612" Type="http://schemas.openxmlformats.org/officeDocument/2006/relationships/hyperlink" Target="https://news.scorebooklive.com/national/2022/10/08/shooting-at-arizona-high-school-football-game-forces-evacuation-to-auditorium" TargetMode="External"/><Relationship Id="rId1035" Type="http://schemas.openxmlformats.org/officeDocument/2006/relationships/hyperlink" Target="http://www.oregonlive.com/portland/index.ssf/2015/05/teen_who_shot_four_outside_ros.html" TargetMode="External"/><Relationship Id="rId1242" Type="http://schemas.openxmlformats.org/officeDocument/2006/relationships/hyperlink" Target="https://www.statesman.com/news/state--regional/santa-school-shooting-the-deadliest-texas-since-tower-shooting/pdX1aBkUi4kR3NUVqxdbJP/" TargetMode="External"/><Relationship Id="rId1687" Type="http://schemas.openxmlformats.org/officeDocument/2006/relationships/hyperlink" Target="https://www.newspapers.com/image/89740743/?terms=student%2Bshot" TargetMode="External"/><Relationship Id="rId917" Type="http://schemas.openxmlformats.org/officeDocument/2006/relationships/hyperlink" Target="http://www.wsaz.com/content/news/Reported-gunfire-at-Frederick-Douglas-High-School-in-Lexington-476375083.html" TargetMode="External"/><Relationship Id="rId1102" Type="http://schemas.openxmlformats.org/officeDocument/2006/relationships/hyperlink" Target="https://www.cbsnews.com/news/14-year-old-shoots-self-in-nh-school-cafeteria/" TargetMode="External"/><Relationship Id="rId1547" Type="http://schemas.openxmlformats.org/officeDocument/2006/relationships/hyperlink" Target="https://www.newspapers.com/image/218234824/?terms=Francis%2BW.%2BGregory%2BJunior%2BHigh%2BSchool%2Bshooting" TargetMode="External"/><Relationship Id="rId1754" Type="http://schemas.openxmlformats.org/officeDocument/2006/relationships/hyperlink" Target="https://www.wvgazettemail.com/news/cops_and_courts/before-school-shooting-became-a-common-term-junior-high-killing/article_6db5ead9-22c2-5c2c-8b56-32a110e4df26.html" TargetMode="External"/><Relationship Id="rId46" Type="http://schemas.openxmlformats.org/officeDocument/2006/relationships/hyperlink" Target="https://www.abc4.com/news/wasatch-front/kearns-high-school-parking-lot-murder/" TargetMode="External"/><Relationship Id="rId1407" Type="http://schemas.openxmlformats.org/officeDocument/2006/relationships/hyperlink" Target="https://products.kitsapsun.com/archive/2000/10-19/0036_cafeteria__teen_pleads_guilty_to_.html" TargetMode="External"/><Relationship Id="rId1614" Type="http://schemas.openxmlformats.org/officeDocument/2006/relationships/hyperlink" Target="https://www.newspapers.com/image/33621001/?terms=crawford%2Bcounty%2Bjoint%2Bvocational" TargetMode="External"/><Relationship Id="rId1821" Type="http://schemas.openxmlformats.org/officeDocument/2006/relationships/hyperlink" Target="https://www.newspapers.com/image/205331514/?terms=school%2Bshooting" TargetMode="External"/><Relationship Id="rId195" Type="http://schemas.openxmlformats.org/officeDocument/2006/relationships/hyperlink" Target="https://www.wwltv.com/article/news/crime/baton-rouge-man-arrested-threatening-school-bus-children-body-armor-carrying-a-gun/289-c0ba0e93-14f0-4ec9-9b22-da5f4b59c071" TargetMode="External"/><Relationship Id="rId262" Type="http://schemas.openxmlformats.org/officeDocument/2006/relationships/hyperlink" Target="https://kutv.com/news/local/west-valley-city-granite-district-police-stop-suspect-with-bb-style-gun-near-granger-high" TargetMode="External"/><Relationship Id="rId567" Type="http://schemas.openxmlformats.org/officeDocument/2006/relationships/hyperlink" Target="https://www.nbc4i.com/news/local-news/columbus/police-shots-fired-outside-columbus-school/" TargetMode="External"/><Relationship Id="rId1197" Type="http://schemas.openxmlformats.org/officeDocument/2006/relationships/hyperlink" Target="https://www.lasvegasnow.com/news/shooter-in-western-high-school-case-in-custody/81454838" TargetMode="External"/><Relationship Id="rId122" Type="http://schemas.openxmlformats.org/officeDocument/2006/relationships/hyperlink" Target="https://idfg.idaho.gov/article/white-tailed-deer-shot-orofino-elementary-parking-lot-nov-26" TargetMode="External"/><Relationship Id="rId774" Type="http://schemas.openxmlformats.org/officeDocument/2006/relationships/hyperlink" Target="https://abc30.com/visalia-shooting-houston-elementary-school-police-man-shot/10361223/" TargetMode="External"/><Relationship Id="rId981" Type="http://schemas.openxmlformats.org/officeDocument/2006/relationships/hyperlink" Target="https://www.sfgate.com/crime/article/Two-arrested-in-SF-school-shooting-that-injured-4-10005290.php" TargetMode="External"/><Relationship Id="rId1057" Type="http://schemas.openxmlformats.org/officeDocument/2006/relationships/hyperlink" Target="https://www.bendbulletin.com/home/1790423-151/details-emerge-in-bend-high-suicide" TargetMode="External"/><Relationship Id="rId427" Type="http://schemas.openxmlformats.org/officeDocument/2006/relationships/hyperlink" Target="https://www.ktiv.com/2023/08/13/three-teens-arrested-after-shots-fired-northeast-nebraska/" TargetMode="External"/><Relationship Id="rId634" Type="http://schemas.openxmlformats.org/officeDocument/2006/relationships/hyperlink" Target="https://www.radioiowa.com/2022/09/07/two-charged-after-firing-airsoft-gun-at-students-in-sioux-city/" TargetMode="External"/><Relationship Id="rId841" Type="http://schemas.openxmlformats.org/officeDocument/2006/relationships/hyperlink" Target="https://fox5sandiego.com/2019/07/19/mid-city-school-locks-down-over-bb-gun-shooting/" TargetMode="External"/><Relationship Id="rId1264" Type="http://schemas.openxmlformats.org/officeDocument/2006/relationships/hyperlink" Target="https://www.myplainview.com/news/article/Three-Duncanville-students-wounded-in-shooting-8703993.php" TargetMode="External"/><Relationship Id="rId1471" Type="http://schemas.openxmlformats.org/officeDocument/2006/relationships/hyperlink" Target="https://www.detroitnews.com/story/news/local/oakland-county/2021/11/30/school-shootings-michigan-oxford-high-school-history-bath-school-bombing/8812624002/" TargetMode="External"/><Relationship Id="rId1569" Type="http://schemas.openxmlformats.org/officeDocument/2006/relationships/hyperlink" Target="https://www.upi.com/Archives/1990/10/29/Teenager-holds-hostages-at-high-school-for-more-than-8-hours/6921657176400/" TargetMode="External"/><Relationship Id="rId701" Type="http://schemas.openxmlformats.org/officeDocument/2006/relationships/hyperlink" Target="https://www.wtae.com/article/pittsburgh-shooting-oliver-citywide-academy-student/43667811" TargetMode="External"/><Relationship Id="rId939" Type="http://schemas.openxmlformats.org/officeDocument/2006/relationships/hyperlink" Target="https://www.limaohio.com/news/273390/lima-man-arrested-after-gun-goes-off-accidentally-at-bath-high-school" TargetMode="External"/><Relationship Id="rId1124" Type="http://schemas.openxmlformats.org/officeDocument/2006/relationships/hyperlink" Target="https://www.wral.com/news/local/story/4689449/" TargetMode="External"/><Relationship Id="rId1331" Type="http://schemas.openxmlformats.org/officeDocument/2006/relationships/hyperlink" Target="https://lasvegassun.com/news/2004/feb/27/inquest-begins-in-shooting-at-elementary-school/" TargetMode="External"/><Relationship Id="rId1776" Type="http://schemas.openxmlformats.org/officeDocument/2006/relationships/hyperlink" Target="https://www.newspapers.com/image/29580657/?terms=school%2Bshooting" TargetMode="External"/><Relationship Id="rId68" Type="http://schemas.openxmlformats.org/officeDocument/2006/relationships/hyperlink" Target="https://abc7chicago.com/post/little-village-chicago-shooting-today-woman-shot-during-fight-street-4300-block-west-25th-place-police-department-says/16174329/" TargetMode="External"/><Relationship Id="rId1429" Type="http://schemas.openxmlformats.org/officeDocument/2006/relationships/hyperlink" Target="https://www.sfgate.com/bayarea/article/San-Jose-Boy-16-Fatally-Shoots-Himself-at-High-2909269.php" TargetMode="External"/><Relationship Id="rId1636" Type="http://schemas.openxmlformats.org/officeDocument/2006/relationships/hyperlink" Target="https://lawandcrime.com/crime/f-ing-with-her-for-too-long-woman-who-once-threatened-to-kill-her-teacher-now-charged-with-murdering-her-boss/" TargetMode="External"/><Relationship Id="rId1843" Type="http://schemas.openxmlformats.org/officeDocument/2006/relationships/hyperlink" Target="https://www.newspapers.com/image/365033298/?terms=school%2Bshooting" TargetMode="External"/><Relationship Id="rId1703" Type="http://schemas.openxmlformats.org/officeDocument/2006/relationships/hyperlink" Target="https://www.newspapers.com/image/155231508/?terms=STUDENT%2BSHOOTS" TargetMode="External"/><Relationship Id="rId284" Type="http://schemas.openxmlformats.org/officeDocument/2006/relationships/hyperlink" Target="https://www.cbsnews.com/chicago/news/13-year-boy-shot-multiple-times-south-side/" TargetMode="External"/><Relationship Id="rId491" Type="http://schemas.openxmlformats.org/officeDocument/2006/relationships/hyperlink" Target="https://www.wyff4.com/article/neighbors-frightened-drive-by-shooting-elementary-school-playground/43522483" TargetMode="External"/><Relationship Id="rId144" Type="http://schemas.openxmlformats.org/officeDocument/2006/relationships/hyperlink" Target="https://archive.is/XlphN" TargetMode="External"/><Relationship Id="rId589" Type="http://schemas.openxmlformats.org/officeDocument/2006/relationships/hyperlink" Target="https://www.wapt.com/article/hinds-county-sheriff-investigating-shooting-at-raymond-high-school/41941297" TargetMode="External"/><Relationship Id="rId796" Type="http://schemas.openxmlformats.org/officeDocument/2006/relationships/hyperlink" Target="https://www.kiro7.com/news/local/man-injured-gig-harbor-shooting/AMXZMA2TLZC53LAN53PMT5GNAE/" TargetMode="External"/><Relationship Id="rId351" Type="http://schemas.openxmlformats.org/officeDocument/2006/relationships/hyperlink" Target="https://abc11.com/raleigh-school-van-shot-student-hurt-driver-injured/14007877/" TargetMode="External"/><Relationship Id="rId449" Type="http://schemas.openxmlformats.org/officeDocument/2006/relationships/hyperlink" Target="https://abc11.com/northern-high-school-lockdown-secure-status-durham/13294368/" TargetMode="External"/><Relationship Id="rId656" Type="http://schemas.openxmlformats.org/officeDocument/2006/relationships/hyperlink" Target="https://www.postandcourier.com/news/berkeley-county-detention-officers-slaying-in-school-parking-lot-remains-a-mystery/article_14da3fac-0932-11ed-a50f-bb8eb3384a30.html" TargetMode="External"/><Relationship Id="rId863" Type="http://schemas.openxmlformats.org/officeDocument/2006/relationships/hyperlink" Target="https://fox4kc.com/2018/12/14/police-investigating-reports-of-shot-fired-into-air-and-shooting-at-2-metro-high-schools/" TargetMode="External"/><Relationship Id="rId1079" Type="http://schemas.openxmlformats.org/officeDocument/2006/relationships/hyperlink" Target="https://abcnews.go.com/amp/US/elementary-school-clerk-convinced-suspect-put-weapons-surrender/story?id=20014879" TargetMode="External"/><Relationship Id="rId1286" Type="http://schemas.openxmlformats.org/officeDocument/2006/relationships/hyperlink" Target="http://www.nbcnews.com/id/7420306/ns/us_news-crime_and_courts/t/wounded-coach-upset-some-players-parents/" TargetMode="External"/><Relationship Id="rId1493" Type="http://schemas.openxmlformats.org/officeDocument/2006/relationships/hyperlink" Target="https://www.newspapers.com/image/159190089/?terms=Los%2BAltos%2BHigh%2BSchool" TargetMode="External"/><Relationship Id="rId211" Type="http://schemas.openxmlformats.org/officeDocument/2006/relationships/hyperlink" Target="https://www.fox26houston.com/news/houston-shooting-woman-car-outside-high-school-carver" TargetMode="External"/><Relationship Id="rId309" Type="http://schemas.openxmlformats.org/officeDocument/2006/relationships/hyperlink" Target="https://wreg.com/news/local/shooting-near-west-memphis-school-kills-one/" TargetMode="External"/><Relationship Id="rId516" Type="http://schemas.openxmlformats.org/officeDocument/2006/relationships/hyperlink" Target="https://www.nbcphiladelphia.com/news/local/person-shot-near-school-in-west-philadelphia-police-say/3517052/" TargetMode="External"/><Relationship Id="rId1146" Type="http://schemas.openxmlformats.org/officeDocument/2006/relationships/hyperlink" Target="http://www.gainesville.com/news/20091210/teenage-girl-16-convicted-of-shooting-girlfriend-after-break-up" TargetMode="External"/><Relationship Id="rId1798" Type="http://schemas.openxmlformats.org/officeDocument/2006/relationships/hyperlink" Target="https://www.newspapers.com/image/236492101/?terms=school%2Bshooting" TargetMode="External"/><Relationship Id="rId723" Type="http://schemas.openxmlformats.org/officeDocument/2006/relationships/hyperlink" Target="https://fox2now.com/news/fox-files/dying-words-tie-teen-to-murder-outside-elementary-school/" TargetMode="External"/><Relationship Id="rId930" Type="http://schemas.openxmlformats.org/officeDocument/2006/relationships/hyperlink" Target="http://www.tucsonnewsnow.com/story/37226015/school-shooting-cochise-county-coronado-elementary-lockdown-suicide-sierra-vista" TargetMode="External"/><Relationship Id="rId1006" Type="http://schemas.openxmlformats.org/officeDocument/2006/relationships/hyperlink" Target="https://www.theindychannel.com/news/local-news/gun-goes-off-outside-northwest-community-hs" TargetMode="External"/><Relationship Id="rId1353" Type="http://schemas.openxmlformats.org/officeDocument/2006/relationships/hyperlink" Target="https://www.newspapers.com/image/220871722/?terms=Fair%2BPark%2BHigh%2BSchool%2BSteven%2BGreen" TargetMode="External"/><Relationship Id="rId1560" Type="http://schemas.openxmlformats.org/officeDocument/2006/relationships/hyperlink" Target="https://www.newspapers.com/image/176655612/?terms=Westchester%2BHigh%2BSchool%2Bshooting" TargetMode="External"/><Relationship Id="rId1658" Type="http://schemas.openxmlformats.org/officeDocument/2006/relationships/hyperlink" Target="https://www.apnews.com/2230ba54081db004aff5288eb8885c96" TargetMode="External"/><Relationship Id="rId1865" Type="http://schemas.openxmlformats.org/officeDocument/2006/relationships/hyperlink" Target="https://www.tomah.education/superintendent/blog/1614648/we-cant-say-it-wont-happen-here" TargetMode="External"/><Relationship Id="rId1213" Type="http://schemas.openxmlformats.org/officeDocument/2006/relationships/hyperlink" Target="https://www.newspapers.com/image/166180631/?terms=POMONA%2BMIDDLE%2BSCHOOL" TargetMode="External"/><Relationship Id="rId1420" Type="http://schemas.openxmlformats.org/officeDocument/2006/relationships/hyperlink" Target="https://www.abqjournal.com/news/state/apteen10-12-04.htm" TargetMode="External"/><Relationship Id="rId1518" Type="http://schemas.openxmlformats.org/officeDocument/2006/relationships/hyperlink" Target="https://www.highbeam.com/doc/1P2-8216829.html" TargetMode="External"/><Relationship Id="rId1725" Type="http://schemas.openxmlformats.org/officeDocument/2006/relationships/hyperlink" Target="https://www.washingtonpost.com/archive/local/1980/09/11/spingarn-high-student-fatally-shot-at-school-assembly/92b6d5ba-12ec-406d-9b40-92cbc30665c0/?utm_term=.a461da45a849" TargetMode="External"/><Relationship Id="rId17" Type="http://schemas.openxmlformats.org/officeDocument/2006/relationships/hyperlink" Target="https://www.kshb.com/news/crime/police-boy-accidentally-fires-gun-thursday-outside-of-blue-valley-middle-school" TargetMode="External"/><Relationship Id="rId166" Type="http://schemas.openxmlformats.org/officeDocument/2006/relationships/hyperlink" Target="https://www.sandiegouniontribune.com/2024/10/01/19-year-old-injured-in-oceanside-shooting-near-middle-school/" TargetMode="External"/><Relationship Id="rId373" Type="http://schemas.openxmlformats.org/officeDocument/2006/relationships/hyperlink" Target="https://wpde.com/news/local/heavy-police-first-responders-presence-reported-chestnut-street-darlington-county-possible-gunsfire-gunshots-heard-community-members-concerned-shooting-incident-developing-situation-south-carolina-october-10-2023" TargetMode="External"/><Relationship Id="rId580" Type="http://schemas.openxmlformats.org/officeDocument/2006/relationships/hyperlink" Target="https://www.abc12.com/news/no-injuries-on-standish-sterling-school-bus-after-it-was-hit-by-a-stray-bullet/article_b499147a-69e8-11ed-8cbc-4f35da469d5f.html" TargetMode="External"/><Relationship Id="rId1" Type="http://schemas.openxmlformats.org/officeDocument/2006/relationships/hyperlink" Target="https://www.lmtonline.com/local/article/gun-shooting-shots-fired-police-crime-san-isidro-21058585.php" TargetMode="External"/><Relationship Id="rId233" Type="http://schemas.openxmlformats.org/officeDocument/2006/relationships/hyperlink" Target="https://www.abc12.com/news/crime/shooting-reported-hours-after-arthur-hill-high-school-graduation/article_28d6d060-1f56-11ef-8a2e-0b8b0225cb3f.html" TargetMode="External"/><Relationship Id="rId440" Type="http://schemas.openxmlformats.org/officeDocument/2006/relationships/hyperlink" Target="https://news.yahoo.com/man-shot-front-elementary-school-095900208.html" TargetMode="External"/><Relationship Id="rId678" Type="http://schemas.openxmlformats.org/officeDocument/2006/relationships/hyperlink" Target="https://www.koin.com/news/crime/portland-police-investigate-shooting-near-roosevelt-high-school/" TargetMode="External"/><Relationship Id="rId885" Type="http://schemas.openxmlformats.org/officeDocument/2006/relationships/hyperlink" Target="https://www.desmoinesregister.com/story/news/2018/09/07/des-moines-hoover-north-homecoming-game-shooting-football-des-moines-police-mcgrane-stadium/1234471002/" TargetMode="External"/><Relationship Id="rId1070" Type="http://schemas.openxmlformats.org/officeDocument/2006/relationships/hyperlink" Target="https://whotv.com/2013/11/01/schools-closed-body-found-at-algona-school/" TargetMode="External"/><Relationship Id="rId300" Type="http://schemas.openxmlformats.org/officeDocument/2006/relationships/hyperlink" Target="https://www.cbsnews.com/texas/news/police-release-911-call-bodycam-video-from-mesquite-charter-school-shooting/" TargetMode="External"/><Relationship Id="rId538" Type="http://schemas.openxmlformats.org/officeDocument/2006/relationships/hyperlink" Target="https://www.mainlinemedianews.com/2024/07/15/pottstown-woman-admits-possessing-gun-on-spring-ford-area-high-school-campus/" TargetMode="External"/><Relationship Id="rId745" Type="http://schemas.openxmlformats.org/officeDocument/2006/relationships/hyperlink" Target="https://bringmethenews.com/minnesota-news/brooklyn-park-school-hit-by-bullets-cancels-classes-thursday" TargetMode="External"/><Relationship Id="rId952" Type="http://schemas.openxmlformats.org/officeDocument/2006/relationships/hyperlink" Target="https://www.cnn.com/2017/09/22/us/illinois-teacher-hero/index.html" TargetMode="External"/><Relationship Id="rId1168" Type="http://schemas.openxmlformats.org/officeDocument/2006/relationships/hyperlink" Target="https://www.newspapers.com/image/126118804/?terms=SS%3E%2BSImon%2Band%2BJude%2BCatholic%2Bschool" TargetMode="External"/><Relationship Id="rId1375" Type="http://schemas.openxmlformats.org/officeDocument/2006/relationships/hyperlink" Target="http://articles.mcall.com/2003-09-24/news/3482461_1_berks-christian-school-otto-nuss-bus-driver" TargetMode="External"/><Relationship Id="rId1582" Type="http://schemas.openxmlformats.org/officeDocument/2006/relationships/hyperlink" Target="https://www.upi.com/Archives/1990/01/16/Two-wounded-in-school-shooting-racial-tensions-blamed/1799632466000/" TargetMode="External"/><Relationship Id="rId81" Type="http://schemas.openxmlformats.org/officeDocument/2006/relationships/hyperlink" Target="https://brooklyn.news12.com/nypd-shots-fired-near-playground-in-crown-heights-prompts-shelter-in-place-at-ps-316" TargetMode="External"/><Relationship Id="rId605" Type="http://schemas.openxmlformats.org/officeDocument/2006/relationships/hyperlink" Target="https://www.wkrn.com/news/local-news/murfreesboro/investigation-underway-after-shooting-at-riverdale-oakland-high-school-football-game/" TargetMode="External"/><Relationship Id="rId812" Type="http://schemas.openxmlformats.org/officeDocument/2006/relationships/hyperlink" Target="https://abc13.com/shooting-at-hicks-elementary-leaves-man-injured/5897932/" TargetMode="External"/><Relationship Id="rId1028" Type="http://schemas.openxmlformats.org/officeDocument/2006/relationships/hyperlink" Target="https://minnesota.cbslocal.com/2015/01/26/police-man-fires-shot-at-school-before-shooting-himself/" TargetMode="External"/><Relationship Id="rId1235" Type="http://schemas.openxmlformats.org/officeDocument/2006/relationships/hyperlink" Target="http://www.downtownexpress.com/de_149/bbgunshotingatis89.html" TargetMode="External"/><Relationship Id="rId1442" Type="http://schemas.openxmlformats.org/officeDocument/2006/relationships/hyperlink" Target="https://www.newspapers.com/image/575248754/?terms=Pocatello%20standoff&amp;match=1" TargetMode="External"/><Relationship Id="rId1887" Type="http://schemas.openxmlformats.org/officeDocument/2006/relationships/hyperlink" Target="https://www.newspapers.com/image/320300867/?terms=school%20shooting&amp;match=1" TargetMode="External"/><Relationship Id="rId1302" Type="http://schemas.openxmlformats.org/officeDocument/2006/relationships/hyperlink" Target="http://www.spokesman.com/stories/2004/dec/11/skyler-cullitan-remembered-as-caring-outgoing/" TargetMode="External"/><Relationship Id="rId1747" Type="http://schemas.openxmlformats.org/officeDocument/2006/relationships/hyperlink" Target="https://www.newspapers.com/image/160873897/?terms=Adams%2BElementary%2BSchool%2Bshooting" TargetMode="External"/><Relationship Id="rId39" Type="http://schemas.openxmlformats.org/officeDocument/2006/relationships/hyperlink" Target="https://ktla.com/news/local-news/juvenile-shot-during-fight-with-15-20-people-rialto-school-briefly-locks-down/" TargetMode="External"/><Relationship Id="rId1607" Type="http://schemas.openxmlformats.org/officeDocument/2006/relationships/hyperlink" Target="https://www.newspapers.com/image/145067165/?terms=bridget%2Bisaacs" TargetMode="External"/><Relationship Id="rId1814" Type="http://schemas.openxmlformats.org/officeDocument/2006/relationships/hyperlink" Target="https://www.newspapers.com/image/53558183/?terms=school%2Bshooting" TargetMode="External"/><Relationship Id="rId188" Type="http://schemas.openxmlformats.org/officeDocument/2006/relationships/hyperlink" Target="https://www.cbsnews.com/pittsburgh/news/woodland-hills-penn-hills-football-game-incident/" TargetMode="External"/><Relationship Id="rId395" Type="http://schemas.openxmlformats.org/officeDocument/2006/relationships/hyperlink" Target="https://www.cbsnews.com/baltimore/news/two-teens-injured-by-gunfire-near-southwest-baltimore-elementary-school/" TargetMode="External"/><Relationship Id="rId255" Type="http://schemas.openxmlformats.org/officeDocument/2006/relationships/hyperlink" Target="https://www.axios.com/local/washington-dc/2024/05/02/deal-middle-school-toy-gun-attack" TargetMode="External"/><Relationship Id="rId462" Type="http://schemas.openxmlformats.org/officeDocument/2006/relationships/hyperlink" Target="https://nypost.com/2023/05/11/16-year-old-girl-shot-in-head-outside-nyc-school/" TargetMode="External"/><Relationship Id="rId1092" Type="http://schemas.openxmlformats.org/officeDocument/2006/relationships/hyperlink" Target="https://www.cbsnews.com/news/police-teen-shot-by-fellow-student-at-ga-school/" TargetMode="External"/><Relationship Id="rId1397" Type="http://schemas.openxmlformats.org/officeDocument/2006/relationships/hyperlink" Target="https://www.sfgate.com/news/article/Security-Review-After-Accident-Student-shot-2968986.php" TargetMode="External"/><Relationship Id="rId115" Type="http://schemas.openxmlformats.org/officeDocument/2006/relationships/hyperlink" Target="https://www.hawaiinewsnow.com/2024/12/11/21-year-old-man-seriously-injured-after-apparent-shooting-kalihi/" TargetMode="External"/><Relationship Id="rId322" Type="http://schemas.openxmlformats.org/officeDocument/2006/relationships/hyperlink" Target="https://starexponent.com/news/local/superintendent-orange-school-bus-windows-shot-with-bb-gun-while-parked-in-culpeper/article_04167536-9e92-11ee-831d-53c7fe42ca20.html" TargetMode="External"/><Relationship Id="rId767" Type="http://schemas.openxmlformats.org/officeDocument/2006/relationships/hyperlink" Target="https://www.nbcnews.com/news/us-news/16-year-old-critical-condition-after-getting-shot-outside-texas-n1269945" TargetMode="External"/><Relationship Id="rId974" Type="http://schemas.openxmlformats.org/officeDocument/2006/relationships/hyperlink" Target="http://www.wtxl.com/news/gun-goes-off-at-franklin-county-school/article_5f86d63a-ddb1-11e6-b2c8-b722f449d29e.html" TargetMode="External"/><Relationship Id="rId627" Type="http://schemas.openxmlformats.org/officeDocument/2006/relationships/hyperlink" Target="https://www.wusa9.com/article/news/crime/1-shot-behind-oxon-hill-high-school-maryland/65-a9856c58-c55d-401e-aef5-dc7b8a9b13fa" TargetMode="External"/><Relationship Id="rId834" Type="http://schemas.openxmlformats.org/officeDocument/2006/relationships/hyperlink" Target="https://www.wmar2news.com/news/crime-checker/baltimore-city-crime/triple-shooting-near-elementary-school-leaves-one-man-dead-on-monday" TargetMode="External"/><Relationship Id="rId1257" Type="http://schemas.openxmlformats.org/officeDocument/2006/relationships/hyperlink" Target="http://www.cnn.com/2005/US/11/15/florida.shooting/index.html" TargetMode="External"/><Relationship Id="rId1464" Type="http://schemas.openxmlformats.org/officeDocument/2006/relationships/hyperlink" Target="https://pepperbough.com/features/2012/08/17/who-mourns-for-sexy-x/" TargetMode="External"/><Relationship Id="rId1671" Type="http://schemas.openxmlformats.org/officeDocument/2006/relationships/hyperlink" Target="https://www.newspapers.com/image/99155324/?terms=student%2Bshot" TargetMode="External"/><Relationship Id="rId901" Type="http://schemas.openxmlformats.org/officeDocument/2006/relationships/hyperlink" Target="http://katu.com/news/local/police-man-found-shot-killed-on-se-portland-grant-high-school-track" TargetMode="External"/><Relationship Id="rId1117" Type="http://schemas.openxmlformats.org/officeDocument/2006/relationships/hyperlink" Target="http://www.wistv.com/story/23589594/school-shootings-in-south-carolina" TargetMode="External"/><Relationship Id="rId1324" Type="http://schemas.openxmlformats.org/officeDocument/2006/relationships/hyperlink" Target="https://www.newspapers.com/image/192854243/?terms=Los%2BAngeles%2Bhigh%2Bschool%2Bshooting" TargetMode="External"/><Relationship Id="rId1531" Type="http://schemas.openxmlformats.org/officeDocument/2006/relationships/hyperlink" Target="https://www.newspapers.com/image/389789093/?terms=laroyal%2Bcrowley" TargetMode="External"/><Relationship Id="rId1769" Type="http://schemas.openxmlformats.org/officeDocument/2006/relationships/hyperlink" Target="https://www.newspapers.com/image/127972205/?terms=school%2Bshooting" TargetMode="External"/><Relationship Id="rId30" Type="http://schemas.openxmlformats.org/officeDocument/2006/relationships/hyperlink" Target="https://newschannel9.com/news/local/heavy-police-presence-near-tyner-community-center" TargetMode="External"/><Relationship Id="rId1629" Type="http://schemas.openxmlformats.org/officeDocument/2006/relationships/hyperlink" Target="https://www.upi.com/Archives/1987/03/03/Death-of-unsung-hero-allows-classmates-to-escape/3177541746000/" TargetMode="External"/><Relationship Id="rId1836" Type="http://schemas.openxmlformats.org/officeDocument/2006/relationships/hyperlink" Target="https://www.newspapers.com/image/377094051/?terms=school%2Bshooting" TargetMode="External"/><Relationship Id="rId277" Type="http://schemas.openxmlformats.org/officeDocument/2006/relationships/hyperlink" Target="https://pix11.com/news/local-news/new-jersey/2-teens-shot-at-high-school-in-newark-officials/" TargetMode="External"/><Relationship Id="rId484" Type="http://schemas.openxmlformats.org/officeDocument/2006/relationships/hyperlink" Target="https://www.cbsnews.com/pittsburgh/news/school-bus-hit-by-bullet-in-swissvale-stemming-from-incident-in-edgewood-town-center/" TargetMode="External"/><Relationship Id="rId137" Type="http://schemas.openxmlformats.org/officeDocument/2006/relationships/hyperlink" Target="https://www.statesmanjournal.com/story/news/local/2024/11/05/hunting-rifle-scio-school-drop-off/76074435007/" TargetMode="External"/><Relationship Id="rId344" Type="http://schemas.openxmlformats.org/officeDocument/2006/relationships/hyperlink" Target="https://weartv.com/news/local/2-injured-after-accidental-gun-discharge-in-atmore-high-school-gym" TargetMode="External"/><Relationship Id="rId691" Type="http://schemas.openxmlformats.org/officeDocument/2006/relationships/hyperlink" Target="https://www.krqe.com/sports/high-school-sports/del-norte-school-bus-shot-with-paintballs-after-espanola-game/" TargetMode="External"/><Relationship Id="rId789" Type="http://schemas.openxmlformats.org/officeDocument/2006/relationships/hyperlink" Target="https://www.fox9.com/news/target-shooter-fires-accidental-shots-near-shakopee-sports-stadium" TargetMode="External"/><Relationship Id="rId996" Type="http://schemas.openxmlformats.org/officeDocument/2006/relationships/hyperlink" Target="http://www.wyff4.com/article/2-more-teens-charged-shooting-at-southside-high-school/7022388" TargetMode="External"/><Relationship Id="rId551" Type="http://schemas.openxmlformats.org/officeDocument/2006/relationships/hyperlink" Target="https://cbs12.com/news/local/henry-williams-arrested-bringing-firearm-to-glades-central-high-school-january-21" TargetMode="External"/><Relationship Id="rId649" Type="http://schemas.openxmlformats.org/officeDocument/2006/relationships/hyperlink" Target="https://www.kctv5.com/2022/07/27/police-man-involved-shooting-incident-with-gardner-police-wounded-himself/" TargetMode="External"/><Relationship Id="rId856" Type="http://schemas.openxmlformats.org/officeDocument/2006/relationships/hyperlink" Target="https://www.orlandosentinel.com/news/breaking-news/os-ne-lake-mary-lockdown-code-red-20190313-story.html" TargetMode="External"/><Relationship Id="rId1181" Type="http://schemas.openxmlformats.org/officeDocument/2006/relationships/hyperlink" Target="https://www.newspapers.com/image/411133269/?terms=school%2Bbus%2B313" TargetMode="External"/><Relationship Id="rId1279" Type="http://schemas.openxmlformats.org/officeDocument/2006/relationships/hyperlink" Target="https://www.newspapers.com/image/219341527/" TargetMode="External"/><Relationship Id="rId1486" Type="http://schemas.openxmlformats.org/officeDocument/2006/relationships/hyperlink" Target="https://www.publicsource.org/most-of-pennsylvanias-juvenile-lifers-are-still-awaiting-their-new-day-in-court/" TargetMode="External"/><Relationship Id="rId204" Type="http://schemas.openxmlformats.org/officeDocument/2006/relationships/hyperlink" Target="https://www.cbsnews.com/colorado/news/castle-rock-police-arrest-two-teens-outside-castle-view-high-school-gun-found-car-colorado/" TargetMode="External"/><Relationship Id="rId411" Type="http://schemas.openxmlformats.org/officeDocument/2006/relationships/hyperlink" Target="https://www.facebook.com/100064977000498/posts/682497583926136..." TargetMode="External"/><Relationship Id="rId509" Type="http://schemas.openxmlformats.org/officeDocument/2006/relationships/hyperlink" Target="https://www.fox17online.com/news/local-news/kent/wyoming-dps-grandville-pd-respond-to-shots-fired-near-school" TargetMode="External"/><Relationship Id="rId1041" Type="http://schemas.openxmlformats.org/officeDocument/2006/relationships/hyperlink" Target="http://www.wdrb.com/story/31888475/teen-sentenced-for-shooting-fern-creek-high-school-student-in-2014" TargetMode="External"/><Relationship Id="rId1139" Type="http://schemas.openxmlformats.org/officeDocument/2006/relationships/hyperlink" Target="https://www.ksbw.com/article/king-city-high-school-soccer-game-murderer-sentenced/1048897" TargetMode="External"/><Relationship Id="rId1346" Type="http://schemas.openxmlformats.org/officeDocument/2006/relationships/hyperlink" Target="https://en.wikipedia.org/wiki/List_of_school_shootings_in_the_United_States" TargetMode="External"/><Relationship Id="rId1693" Type="http://schemas.openxmlformats.org/officeDocument/2006/relationships/hyperlink" Target="https://www.newspapers.com/image/157419087/?terms=student%2Bshot" TargetMode="External"/><Relationship Id="rId716" Type="http://schemas.openxmlformats.org/officeDocument/2006/relationships/hyperlink" Target="https://www.chicagotribune.com/suburbs/daily-southtown/ct-sta-thornton-high-school-shots-fired-st-1125-20211124-23o46c2tavacvn4g6agtukzej4-story.html" TargetMode="External"/><Relationship Id="rId923" Type="http://schemas.openxmlformats.org/officeDocument/2006/relationships/hyperlink" Target="https://www.twincities.com/2018/02/05/maplewood-police-officers-gun-fires-at-school-no-injuries-reported/" TargetMode="External"/><Relationship Id="rId1553" Type="http://schemas.openxmlformats.org/officeDocument/2006/relationships/hyperlink" Target="https://www.newspapers.com/image/191964993/?terms=Woodruff%2BHigh%2BSchool%2Bshooting" TargetMode="External"/><Relationship Id="rId1760" Type="http://schemas.openxmlformats.org/officeDocument/2006/relationships/hyperlink" Target="https://www.newspapers.com/image/139128319/?terms=school%2Bshooting" TargetMode="External"/><Relationship Id="rId1858" Type="http://schemas.openxmlformats.org/officeDocument/2006/relationships/hyperlink" Target="https://www.newspapers.com/image/8204825/?terms=school%2Bshooting" TargetMode="External"/><Relationship Id="rId52" Type="http://schemas.openxmlformats.org/officeDocument/2006/relationships/hyperlink" Target="https://www.nbcphiladelphia.com/news/local/live-updates-philadelphia-police-officer-shot-while-breaking-up-fight-sources-say/4179355/" TargetMode="External"/><Relationship Id="rId1206" Type="http://schemas.openxmlformats.org/officeDocument/2006/relationships/hyperlink" Target="https://www.columbine-angels.com/School_Violence_2006-2007.htm" TargetMode="External"/><Relationship Id="rId1413" Type="http://schemas.openxmlformats.org/officeDocument/2006/relationships/hyperlink" Target="https://www.cbsnews.com/news/boy-charged-in-school-gun-scare/" TargetMode="External"/><Relationship Id="rId1620" Type="http://schemas.openxmlformats.org/officeDocument/2006/relationships/hyperlink" Target="https://www.newspapers.com/image/322900608/?terms=student%2Bshot" TargetMode="External"/><Relationship Id="rId1718" Type="http://schemas.openxmlformats.org/officeDocument/2006/relationships/hyperlink" Target="https://www.newspapers.com/image/377747566/?terms=student%2Bshot" TargetMode="External"/><Relationship Id="rId299" Type="http://schemas.openxmlformats.org/officeDocument/2006/relationships/hyperlink" Target="https://mynbc15.com/news/nation-world/6th-grader-honored-for-heroic-actions-after-classmate-threatened-to-shoot-someone-travis-middle-school-texas-gun-violence-threats-12-year-old-boys-attempted-aggravated-assault-unlawful-carry" TargetMode="External"/><Relationship Id="rId159" Type="http://schemas.openxmlformats.org/officeDocument/2006/relationships/hyperlink" Target="https://www.rochesterfirst.com/news/rpd/rochester-police-investigate-person-found-dead-on-flint-st/" TargetMode="External"/><Relationship Id="rId366" Type="http://schemas.openxmlformats.org/officeDocument/2006/relationships/hyperlink" Target="https://www.ksdk.com/article/news/crime/alleged-kirkwood-trunk-or-treat-shooter-pleads-guilty/63-cb2a5ca8-7a1a-49d1-b4f3-f2975b6f92e6" TargetMode="External"/><Relationship Id="rId573" Type="http://schemas.openxmlformats.org/officeDocument/2006/relationships/hyperlink" Target="https://www.heraldmailmedia.com/story/news/local/2022/12/15/pellet-or-bb-gun-used-to-shoot-school-bus-and-building-in-hagerstown/69725189007/" TargetMode="External"/><Relationship Id="rId780" Type="http://schemas.openxmlformats.org/officeDocument/2006/relationships/hyperlink" Target="https://wsvn.com/news/special-reports/bso-investigating-shooting-incident-outside-holiday-party-hosted-by-pompano-beach-school-for-at-risk-youth/" TargetMode="External"/><Relationship Id="rId226" Type="http://schemas.openxmlformats.org/officeDocument/2006/relationships/hyperlink" Target="https://kobi5.com/news/mount-shasta-schools-locked-down-after-gun-fired-in-area-suspect-arrested-230931/" TargetMode="External"/><Relationship Id="rId433" Type="http://schemas.openxmlformats.org/officeDocument/2006/relationships/hyperlink" Target="https://myfox8.com/news/north-carolina/charlotte/fight-between-two-adults-leads-to-shooting-at-north-carolina-high-school-police-say/" TargetMode="External"/><Relationship Id="rId878" Type="http://schemas.openxmlformats.org/officeDocument/2006/relationships/hyperlink" Target="https://www.arkansasonline.com/news/2018/oct/02/shots-fired-near-little-rock-elementary-school-pol/" TargetMode="External"/><Relationship Id="rId1063" Type="http://schemas.openxmlformats.org/officeDocument/2006/relationships/hyperlink" Target="https://www.wbrz.com/news/man-sentenced-to-15-years-for-2014-drive-by-shooting-outside-of-st-james-high-school/" TargetMode="External"/><Relationship Id="rId1270" Type="http://schemas.openxmlformats.org/officeDocument/2006/relationships/hyperlink" Target="https://www.questia.com/newspaper/1G1-136174022/student-shot-at-school-police-say-the-shooting-was" TargetMode="External"/><Relationship Id="rId640" Type="http://schemas.openxmlformats.org/officeDocument/2006/relationships/hyperlink" Target="https://www.wfla.com/news/hillsborough-county/no-active-shooter-at-lennard-high-school-sheriff-says/" TargetMode="External"/><Relationship Id="rId738" Type="http://schemas.openxmlformats.org/officeDocument/2006/relationships/hyperlink" Target="https://www.news5cleveland.com/news/local-news/cleveland-metro/teens-shot-near-k-6-school-in-clevelands-broadway-slavic-village-neighborhood" TargetMode="External"/><Relationship Id="rId945" Type="http://schemas.openxmlformats.org/officeDocument/2006/relationships/hyperlink" Target="https://www.wktv.com/content/news/453482573.html" TargetMode="External"/><Relationship Id="rId1368" Type="http://schemas.openxmlformats.org/officeDocument/2006/relationships/hyperlink" Target="https://www.theguardian.com/world/2002/oct/08/usgunviolence.usa" TargetMode="External"/><Relationship Id="rId1575" Type="http://schemas.openxmlformats.org/officeDocument/2006/relationships/hyperlink" Target="https://www.newspapers.com/image/400340582/?terms=Myers%2BPark%2BHigh%2BSchool%2Bshooting" TargetMode="External"/><Relationship Id="rId1782" Type="http://schemas.openxmlformats.org/officeDocument/2006/relationships/hyperlink" Target="https://www.newspapers.com/image/140719112/?terms=school%2Bshooting" TargetMode="External"/><Relationship Id="rId74" Type="http://schemas.openxmlformats.org/officeDocument/2006/relationships/hyperlink" Target="https://www.fox13seattle.com/news/juvenile-shot-king-county-middle-school" TargetMode="External"/><Relationship Id="rId500" Type="http://schemas.openxmlformats.org/officeDocument/2006/relationships/hyperlink" Target="https://www.atlantanewsfirst.com/2023/03/29/douglas-county-sheriff-looking-man-involved-shooting-near-high-school/" TargetMode="External"/><Relationship Id="rId805" Type="http://schemas.openxmlformats.org/officeDocument/2006/relationships/hyperlink" Target="https://fox8.com/news/man-killed-in-shooting-near-miles-elementary-school-in-cleveland/" TargetMode="External"/><Relationship Id="rId1130" Type="http://schemas.openxmlformats.org/officeDocument/2006/relationships/hyperlink" Target="https://www.mlive.com/news/flint/index.ssf/2009/01/four_shot_outside_beecher_high.html" TargetMode="External"/><Relationship Id="rId1228" Type="http://schemas.openxmlformats.org/officeDocument/2006/relationships/hyperlink" Target="http://articles.latimes.com/2006/jun/07/local/me-venice7" TargetMode="External"/><Relationship Id="rId1435" Type="http://schemas.openxmlformats.org/officeDocument/2006/relationships/hyperlink" Target="http://articles.chicagotribune.com/1999-02-12/news/9902120139_1_shooting-gunman-gang" TargetMode="External"/><Relationship Id="rId1642" Type="http://schemas.openxmlformats.org/officeDocument/2006/relationships/hyperlink" Target="https://www.upi.com/Archives/1986/05/07/Official-says-teenage-hostage-taker-unhappy-with-life/5055515822400/" TargetMode="External"/><Relationship Id="rId1502" Type="http://schemas.openxmlformats.org/officeDocument/2006/relationships/hyperlink" Target="https://www.newspapers.com/image/241267382/?terms=Sullivan%2BHigh%2BSchool%2Bshooting" TargetMode="External"/><Relationship Id="rId1807" Type="http://schemas.openxmlformats.org/officeDocument/2006/relationships/hyperlink" Target="https://www.newspapers.com/image/186814707/?terms=school%2Bshooting" TargetMode="External"/><Relationship Id="rId290" Type="http://schemas.openxmlformats.org/officeDocument/2006/relationships/hyperlink" Target="https://www.nbcnewyork.com/news/local/bronx-teen-shot-playground-longwood-school/5205544/" TargetMode="External"/><Relationship Id="rId388" Type="http://schemas.openxmlformats.org/officeDocument/2006/relationships/hyperlink" Target="https://www.wdrb.com/news/gunshots-fired-into-air-in-parking-lot-after-male-high-school-football-game-no-one/article_2fc52822-5b20-11ee-983d-a71662a894db.html" TargetMode="External"/><Relationship Id="rId150" Type="http://schemas.openxmlformats.org/officeDocument/2006/relationships/hyperlink" Target="https://www.kptv.com/2024/10/18/1-shot-behind-islamic-school-portland-alleged-shooter-custody/" TargetMode="External"/><Relationship Id="rId595" Type="http://schemas.openxmlformats.org/officeDocument/2006/relationships/hyperlink" Target="https://abc7amarillo.com/news/local/amarillo-texas-amarillo-police-department-15-year-old-boy-shot-fight-avondale-school-park-avondale-elementary-school-crime" TargetMode="External"/><Relationship Id="rId248" Type="http://schemas.openxmlformats.org/officeDocument/2006/relationships/hyperlink" Target="https://www.koat.com/article/albuquerque-convention-center-shooting/60737567" TargetMode="External"/><Relationship Id="rId455" Type="http://schemas.openxmlformats.org/officeDocument/2006/relationships/hyperlink" Target="https://www.nbcwashington.com/news/local/teen-shot-outside-roosevelt-high-school-in-dc-police/3350120/" TargetMode="External"/><Relationship Id="rId662" Type="http://schemas.openxmlformats.org/officeDocument/2006/relationships/hyperlink" Target="https://www.cbsnews.com/sanfrancisco/news/school-bus-in-san-francisco-hit-by-gunfire/" TargetMode="External"/><Relationship Id="rId1085" Type="http://schemas.openxmlformats.org/officeDocument/2006/relationships/hyperlink" Target="https://www.abqjournal.com/253495/grand-jury-shooting-outside-school-was-justified.html" TargetMode="External"/><Relationship Id="rId1292" Type="http://schemas.openxmlformats.org/officeDocument/2006/relationships/hyperlink" Target="https://www.bgfalconmedia.com/fourth-grader-injured-after-toting-gun-to-school/article_b41044bf-61db-5b3a-a623-89b6ca62a191.html" TargetMode="External"/><Relationship Id="rId108" Type="http://schemas.openxmlformats.org/officeDocument/2006/relationships/hyperlink" Target="https://www.kgw.com/article/news/crime/2-teens-shot-southeast-portland/283-9b1e5f77-a293-466b-a32b-e2acc682e5fd" TargetMode="External"/><Relationship Id="rId315" Type="http://schemas.openxmlformats.org/officeDocument/2006/relationships/hyperlink" Target="https://www.supertalk.fm/simpson-county-teen-recovering-after-being-shot-while-exiting-school-bus/" TargetMode="External"/><Relationship Id="rId522" Type="http://schemas.openxmlformats.org/officeDocument/2006/relationships/hyperlink" Target="https://www.wjcl.com/article/savannah-high-school-shooting-arrest/43166741" TargetMode="External"/><Relationship Id="rId967" Type="http://schemas.openxmlformats.org/officeDocument/2006/relationships/hyperlink" Target="https://www.kptv.com/news/crime-stoppers-2017-deadly-shooting-near-menlo-park-elementary-school-remains-unsolved/article_c6c7f520-9dfd-11eb-90de-33d857869811.html" TargetMode="External"/><Relationship Id="rId1152" Type="http://schemas.openxmlformats.org/officeDocument/2006/relationships/hyperlink" Target="https://www.newspapers.com/image/193364114/?terms=jeremiah%2Blasater" TargetMode="External"/><Relationship Id="rId1597" Type="http://schemas.openxmlformats.org/officeDocument/2006/relationships/hyperlink" Target="https://www.upi.com/Archives/1988/11/22/High-school-student-shoots-history-teacher-in-face/3742596178000/" TargetMode="External"/><Relationship Id="rId96" Type="http://schemas.openxmlformats.org/officeDocument/2006/relationships/hyperlink" Target="https://abc7chicago.com/post/chicago-shooting-1-killed-1-injured-austin-duke-ellington-elementary-school-fire-department-says/15852231/" TargetMode="External"/><Relationship Id="rId827" Type="http://schemas.openxmlformats.org/officeDocument/2006/relationships/hyperlink" Target="https://www.13abc.com/content/news/Shots-fired-at-Woodward-High-School-football-game-against-Rogers-563419051.html" TargetMode="External"/><Relationship Id="rId1012" Type="http://schemas.openxmlformats.org/officeDocument/2006/relationships/hyperlink" Target="http://www.moultrieobserver.com/news/local_news/student-fires-gun-during-struggle/article_149e02cc-84db-11e5-8369-ef294cd8fd87.html" TargetMode="External"/><Relationship Id="rId1457" Type="http://schemas.openxmlformats.org/officeDocument/2006/relationships/hyperlink" Target="https://www.nytimes.com/1997/02/14/nyregion/gunfire-injures-2-students-at-high-schools-in-bronx.html?auth=login-google" TargetMode="External"/><Relationship Id="rId1664" Type="http://schemas.openxmlformats.org/officeDocument/2006/relationships/hyperlink" Target="https://www.newspapers.com/image/140853530" TargetMode="External"/><Relationship Id="rId1871" Type="http://schemas.openxmlformats.org/officeDocument/2006/relationships/hyperlink" Target="https://chicagotribune.newspapers.com/image/376558128/?terms=tilden%2Bhigh%2Bschool" TargetMode="External"/><Relationship Id="rId1317" Type="http://schemas.openxmlformats.org/officeDocument/2006/relationships/hyperlink" Target="http://www.wmcactionnews5.com/story/7818497/police-investigate-shooting-inside-classroom-at-hamilton-high/" TargetMode="External"/><Relationship Id="rId1524" Type="http://schemas.openxmlformats.org/officeDocument/2006/relationships/hyperlink" Target="http://articles.latimes.com/1993-01-29/local/me-2165_1_student-body" TargetMode="External"/><Relationship Id="rId1731" Type="http://schemas.openxmlformats.org/officeDocument/2006/relationships/hyperlink" Target="https://www.newspapers.com/image/318405620/?terms=sandra%2Bviser%2Bmccomb" TargetMode="External"/><Relationship Id="rId23" Type="http://schemas.openxmlformats.org/officeDocument/2006/relationships/hyperlink" Target="https://abc11.com/post/shots-fired-football-jamboree-southeast-raleigh-high-school/17552535/" TargetMode="External"/><Relationship Id="rId1829" Type="http://schemas.openxmlformats.org/officeDocument/2006/relationships/hyperlink" Target="https://www.newspapers.com/image/377397441/?terms=school%2Bshooting" TargetMode="External"/><Relationship Id="rId172" Type="http://schemas.openxmlformats.org/officeDocument/2006/relationships/hyperlink" Target="https://abc7chicago.com/post/chicago-shooting-15-year-old-boy-shot-critically-injured-south-wolcott-avenue-west-englewood-police-say/15341448/" TargetMode="External"/><Relationship Id="rId477" Type="http://schemas.openxmlformats.org/officeDocument/2006/relationships/hyperlink" Target="https://www.fox5vegas.com/2023/04/25/police-investigating-after-henderson-school-allegedly-shot-monday-night/" TargetMode="External"/><Relationship Id="rId684" Type="http://schemas.openxmlformats.org/officeDocument/2006/relationships/hyperlink" Target="https://www.alaskasnewssource.com/2022/03/18/charges-forwarded-student-shooting-investigation-redington-jrsr-high-school/" TargetMode="External"/><Relationship Id="rId337" Type="http://schemas.openxmlformats.org/officeDocument/2006/relationships/hyperlink" Target="https://www.wcia.com/news/person-shot-outside-of-urbana-high-school/" TargetMode="External"/><Relationship Id="rId891" Type="http://schemas.openxmlformats.org/officeDocument/2006/relationships/hyperlink" Target="https://www.news4jax.com/news/2018/08/25/police-gang-shooting-after-raines-high-school-football-game-kills-1-injures-2/" TargetMode="External"/><Relationship Id="rId989" Type="http://schemas.openxmlformats.org/officeDocument/2006/relationships/hyperlink" Target="http://detroit.cbslocal.com/2016/09/07/detroit-principals-vehicle-reportedly-shot-up-in-parking-lot-on-second-day-of-school/" TargetMode="External"/><Relationship Id="rId544" Type="http://schemas.openxmlformats.org/officeDocument/2006/relationships/hyperlink" Target="https://www.12news.com/article/news/local/arizona/police-shots-fired-outside-high-school-yuma/75-28dcccc7-6502-4841-bf91-5252b4ab02ec" TargetMode="External"/><Relationship Id="rId751" Type="http://schemas.openxmlformats.org/officeDocument/2006/relationships/hyperlink" Target="https://cbs12.com/news/local/pbc-mom-complains-about-safety-on-buses-after-her-daughter-was-shot-with-a-pellet-gun" TargetMode="External"/><Relationship Id="rId849" Type="http://schemas.openxmlformats.org/officeDocument/2006/relationships/hyperlink" Target="https://www.wfla.com/news/pasco-county/deputies-pasco-school-officer-s-gun-discharges-in-cafeteria-no-one-injured/1966758072" TargetMode="External"/><Relationship Id="rId1174" Type="http://schemas.openxmlformats.org/officeDocument/2006/relationships/hyperlink" Target="https://www.columbine-angels.com/School_Violence_2006-2007.htm" TargetMode="External"/><Relationship Id="rId1381" Type="http://schemas.openxmlformats.org/officeDocument/2006/relationships/hyperlink" Target="https://www.deseretnews.com/article/868847/Boy-shoots-self-at-school.html" TargetMode="External"/><Relationship Id="rId1479" Type="http://schemas.openxmlformats.org/officeDocument/2006/relationships/hyperlink" Target="https://www.orlandosentinel.com/news/os-xpm-1994-12-09-9412080916-story.html" TargetMode="External"/><Relationship Id="rId1686" Type="http://schemas.openxmlformats.org/officeDocument/2006/relationships/hyperlink" Target="https://www.newspapers.com/image/97839646" TargetMode="External"/><Relationship Id="rId404" Type="http://schemas.openxmlformats.org/officeDocument/2006/relationships/hyperlink" Target="https://www.fox13memphis.com/news/shots-fired-in-area-of-melrose-high-mpd-says/article_8a2e7520-490f-11ee-951c-fbf57f8f8977.html" TargetMode="External"/><Relationship Id="rId611" Type="http://schemas.openxmlformats.org/officeDocument/2006/relationships/hyperlink" Target="https://www.witn.com/2022/10/08/student-shot-following-greenville-high-school-football-game/" TargetMode="External"/><Relationship Id="rId1034" Type="http://schemas.openxmlformats.org/officeDocument/2006/relationships/hyperlink" Target="https://pittsburgh.cbslocal.com/2014/12/17/shooting-at-stanton-heights-elementary-school/" TargetMode="External"/><Relationship Id="rId1241" Type="http://schemas.openxmlformats.org/officeDocument/2006/relationships/hyperlink" Target="https://mtstandard.com/news/state-and-regional/student-dies-in-suicide-at-c-m-russell/article_6b906cf5-ad30-5bc9-87cd-1929be726a82.html" TargetMode="External"/><Relationship Id="rId1339" Type="http://schemas.openxmlformats.org/officeDocument/2006/relationships/hyperlink" Target="https://www.chron.com/news/houston-texas/article/Man-convicted-of-killing-student-outside-stadium-1624934.php" TargetMode="External"/><Relationship Id="rId709" Type="http://schemas.openxmlformats.org/officeDocument/2006/relationships/hyperlink" Target="https://www.wave3.com/2021/12/08/shooting-near-st-matthews-elementary-school-under-investigation/" TargetMode="External"/><Relationship Id="rId916" Type="http://schemas.openxmlformats.org/officeDocument/2006/relationships/hyperlink" Target="http://www.ksbw.com/article/seaside-high-teacher-accidentally-fires-gun-in-class/19426017" TargetMode="External"/><Relationship Id="rId1101" Type="http://schemas.openxmlformats.org/officeDocument/2006/relationships/hyperlink" Target="http://www.dailytarheel.com/article/2014/10/man-pleads-guilty-of-murder-in-scroggs-elementary-shooting" TargetMode="External"/><Relationship Id="rId1546" Type="http://schemas.openxmlformats.org/officeDocument/2006/relationships/hyperlink" Target="https://newsok.com/article/2384331/city-campuses-close-after-shooting-death-security-searches-stepped-up" TargetMode="External"/><Relationship Id="rId1753" Type="http://schemas.openxmlformats.org/officeDocument/2006/relationships/hyperlink" Target="https://www.newspapers.com/newspage/207607604/" TargetMode="External"/><Relationship Id="rId45" Type="http://schemas.openxmlformats.org/officeDocument/2006/relationships/hyperlink" Target="https://www.wtvr.com/news/local-news/gunfire-chester-park-may-20-2025" TargetMode="External"/><Relationship Id="rId1406" Type="http://schemas.openxmlformats.org/officeDocument/2006/relationships/hyperlink" Target="http://enquirer.com/editions/2000/11/14/loc_driver_in_fatal.html" TargetMode="External"/><Relationship Id="rId1613" Type="http://schemas.openxmlformats.org/officeDocument/2006/relationships/hyperlink" Target="https://www.newspapers.com/image/364030604/?terms=consuela%2Breed" TargetMode="External"/><Relationship Id="rId1820" Type="http://schemas.openxmlformats.org/officeDocument/2006/relationships/hyperlink" Target="https://www.newspapers.com/image/294173364/?terms=teacher%2Bshot%2Band%2Bbeaten" TargetMode="External"/><Relationship Id="rId194" Type="http://schemas.openxmlformats.org/officeDocument/2006/relationships/hyperlink" Target="https://www.ksdk.com/article/news/crime/lemay-teen-shot-killed/63-b212f661-18da-40d1-a6cb-d135312d1375" TargetMode="External"/><Relationship Id="rId261" Type="http://schemas.openxmlformats.org/officeDocument/2006/relationships/hyperlink" Target="https://www.cbsnews.com/chicago/news/gunfire-south-suburban-chicago-school-lockdown/" TargetMode="External"/><Relationship Id="rId499" Type="http://schemas.openxmlformats.org/officeDocument/2006/relationships/hyperlink" Target="https://moco360.media/2023/03/30/shooting-occurs-outside-elementary-school-in-olney/" TargetMode="External"/><Relationship Id="rId359" Type="http://schemas.openxmlformats.org/officeDocument/2006/relationships/hyperlink" Target="https://www.wctv.tv/2023/10/20/lincoln-high-school-student-arrested-after-bringing-airsoft-rifle-campus/" TargetMode="External"/><Relationship Id="rId566" Type="http://schemas.openxmlformats.org/officeDocument/2006/relationships/hyperlink" Target="https://www.davisenterprise.com/news/local/woodland-police-investigate-chase-shooting-near-school-campus/" TargetMode="External"/><Relationship Id="rId773" Type="http://schemas.openxmlformats.org/officeDocument/2006/relationships/hyperlink" Target="https://13wham.com/news/local/court-docs-wayne-central-employee-shot-deouty-in-foot-during-altercation" TargetMode="External"/><Relationship Id="rId1196" Type="http://schemas.openxmlformats.org/officeDocument/2006/relationships/hyperlink" Target="http://www.philly.com/philly/news/20070119_dn_M_SAYR.html" TargetMode="External"/><Relationship Id="rId121" Type="http://schemas.openxmlformats.org/officeDocument/2006/relationships/hyperlink" Target="https://hayspost.com/posts/05bd50bb-d91b-48e8-ae71-be2770a24dcf" TargetMode="External"/><Relationship Id="rId219" Type="http://schemas.openxmlformats.org/officeDocument/2006/relationships/hyperlink" Target="https://www.kaaltv.com/news/man-arrested-with-replica-rifle-in-front-of-rochester-school/" TargetMode="External"/><Relationship Id="rId426" Type="http://schemas.openxmlformats.org/officeDocument/2006/relationships/hyperlink" Target="https://www.wrdw.com/2023/08/16/josey-high-shooting-student-injured-shooter-at-large/" TargetMode="External"/><Relationship Id="rId633" Type="http://schemas.openxmlformats.org/officeDocument/2006/relationships/hyperlink" Target="https://foxbaltimore.com/news/local/15-year-old-boy-grazed-in-head-by-bullet-in-west-baltimore-wednesday-evening" TargetMode="External"/><Relationship Id="rId980" Type="http://schemas.openxmlformats.org/officeDocument/2006/relationships/hyperlink" Target="https://www.ksl.com/?sid=42051617&amp;nid=148&amp;title=14-year-old-charged-with-attempted-murder-in-union-middle-school-shooting" TargetMode="External"/><Relationship Id="rId1056" Type="http://schemas.openxmlformats.org/officeDocument/2006/relationships/hyperlink" Target="http://www.wbtv.com/story/24683911/student-shot-at-salisbury-high-school" TargetMode="External"/><Relationship Id="rId1263" Type="http://schemas.openxmlformats.org/officeDocument/2006/relationships/hyperlink" Target="https://dailyjournalonline.com/news/local/farmington-youth-is-headed-for-prison/article_c56ed328-1d5d-5ef6-82a8-d88ae950e9e3.html" TargetMode="External"/><Relationship Id="rId840" Type="http://schemas.openxmlformats.org/officeDocument/2006/relationships/hyperlink" Target="https://www.wsmv.com/news/three-in-custody-after-shots-fired-at-east-high-school/article_9f788d58-bfcf-11e9-bdda-c788cc06a4b1.html" TargetMode="External"/><Relationship Id="rId938" Type="http://schemas.openxmlformats.org/officeDocument/2006/relationships/hyperlink" Target="https://www.news-gazette.com/news/update-potential-fight-might-have-sparked-gunfire/article_644ff6c6-f9f5-5327-b078-630facba2e9b.html" TargetMode="External"/><Relationship Id="rId1470" Type="http://schemas.openxmlformats.org/officeDocument/2006/relationships/hyperlink" Target="http://www.columbine-angels.com/School_Violence_1995-1996.htm" TargetMode="External"/><Relationship Id="rId1568" Type="http://schemas.openxmlformats.org/officeDocument/2006/relationships/hyperlink" Target="https://www.newspapers.com/image/300370142/?terms=Naaman%2BForest%2BHigh%2BSchool" TargetMode="External"/><Relationship Id="rId1775" Type="http://schemas.openxmlformats.org/officeDocument/2006/relationships/hyperlink" Target="https://www.newspapers.com/image/133980815/?terms=palm%2Bbeach%2Bgarden%2Bschool%2Bshooting" TargetMode="External"/><Relationship Id="rId67" Type="http://schemas.openxmlformats.org/officeDocument/2006/relationships/hyperlink" Target="https://www.nbcdfw.com/news/local/crowley-isd-elementary-school-closed-monday-due-to-nearby-police-investigation/3816298/" TargetMode="External"/><Relationship Id="rId700" Type="http://schemas.openxmlformats.org/officeDocument/2006/relationships/hyperlink" Target="https://www.wavy.com/news/local-news/portsmouth/police-3-charged-in-portsmouth-teens-murder-known-to-manor-high-school-staff/" TargetMode="External"/><Relationship Id="rId1123" Type="http://schemas.openxmlformats.org/officeDocument/2006/relationships/hyperlink" Target="http://www.jacksonville.com/news/metro/crime/2009-03-10/story/police_responding_to_shots_fired_at_ribault_high_school" TargetMode="External"/><Relationship Id="rId1330" Type="http://schemas.openxmlformats.org/officeDocument/2006/relationships/hyperlink" Target="http://www.washingtonpost.com/wp-dyn/articles/A13630-2004Feb4.html" TargetMode="External"/><Relationship Id="rId1428" Type="http://schemas.openxmlformats.org/officeDocument/2006/relationships/hyperlink" Target="https://www.newspapers.com/image/327236803/?terms=Lauren%2BKlingensmith" TargetMode="External"/><Relationship Id="rId1635" Type="http://schemas.openxmlformats.org/officeDocument/2006/relationships/hyperlink" Target="https://www.newspapers.com/image/64897451/?terms=Monrovia%2BHigh%2BSchool%2Bshooting" TargetMode="External"/><Relationship Id="rId1842" Type="http://schemas.openxmlformats.org/officeDocument/2006/relationships/hyperlink" Target="https://www.newspapers.com/image/255572230/?terms=school%2Bshooting" TargetMode="External"/><Relationship Id="rId1702" Type="http://schemas.openxmlformats.org/officeDocument/2006/relationships/hyperlink" Target="https://www.newspapers.com/image/377444331/?terms=TEACHER%2BSHOT" TargetMode="External"/><Relationship Id="rId283" Type="http://schemas.openxmlformats.org/officeDocument/2006/relationships/hyperlink" Target="https://www.news5cleveland.com/news/local-news/cleveland-elementary-school-placed-on-lockdown-after-shooting-occurs-in-parking-lot" TargetMode="External"/><Relationship Id="rId490" Type="http://schemas.openxmlformats.org/officeDocument/2006/relationships/hyperlink" Target="https://www.king5.com/article/news/local/man-sentenced-fatal-shooting-nathan-hale-high-school/281-205d3c67-0000-4d03-a144-06a8194250e1" TargetMode="External"/><Relationship Id="rId143" Type="http://schemas.openxmlformats.org/officeDocument/2006/relationships/hyperlink" Target="https://www.wyff4.com/article/union-county-sc-shooting-3-shot-along-highway/62728582" TargetMode="External"/><Relationship Id="rId350" Type="http://schemas.openxmlformats.org/officeDocument/2006/relationships/hyperlink" Target="https://www.fox5vegas.com/2023/11/16/las-vegas-man-arrested-after-allegedly-firing-gun-into-group-juveniles/" TargetMode="External"/><Relationship Id="rId588" Type="http://schemas.openxmlformats.org/officeDocument/2006/relationships/hyperlink" Target="https://www.palmbeachpost.com/story/sports/high-school/2022/11/12/parking-lot-shooting-halts-high-school-football-playoff-game-orlando/10687560002/" TargetMode="External"/><Relationship Id="rId795" Type="http://schemas.openxmlformats.org/officeDocument/2006/relationships/hyperlink" Target="https://www.wkyt.com/2020/09/19/one-shot-near-lexington-school/" TargetMode="External"/><Relationship Id="rId9" Type="http://schemas.openxmlformats.org/officeDocument/2006/relationships/hyperlink" Target="https://www.witn.com/2025/09/13/one-person-injured-shooting-southwest-edgecombe-tarboro-hs-football-game/" TargetMode="External"/><Relationship Id="rId210" Type="http://schemas.openxmlformats.org/officeDocument/2006/relationships/hyperlink" Target="https://www.postandcourier.com/aikenstandard/news/crime/shooting-sheriff-office-aiken-county-elementary-school/article_1a4fb0c6-4abb-11ef-8176-7f8d01e65cfb.html" TargetMode="External"/><Relationship Id="rId448" Type="http://schemas.openxmlformats.org/officeDocument/2006/relationships/hyperlink" Target="https://www.nbc4i.com/news/local-news/columbus/berwick-shooting-near-elementary-school-leaves-one-injured/" TargetMode="External"/><Relationship Id="rId655" Type="http://schemas.openxmlformats.org/officeDocument/2006/relationships/hyperlink" Target="https://www.q13fox.com/news/deputies-arrest-15-year-old-accused-of-firing-shots-outside-everett-high-school-causing-a-lockdown" TargetMode="External"/><Relationship Id="rId862" Type="http://schemas.openxmlformats.org/officeDocument/2006/relationships/hyperlink" Target="https://www.delawareonline.com/story/news/crime/2018/12/18/shots-fired-ai-dupont-high-school/2358011002/" TargetMode="External"/><Relationship Id="rId1078" Type="http://schemas.openxmlformats.org/officeDocument/2006/relationships/hyperlink" Target="http://www.wmcactionnews5.com/story/23229636/5-year-old-fires-gun-in-school-cafeteria" TargetMode="External"/><Relationship Id="rId1285" Type="http://schemas.openxmlformats.org/officeDocument/2006/relationships/hyperlink" Target="https://www.lobservateur.com/2005/05/02/godchaux-student-fires-handgun-in-class/" TargetMode="External"/><Relationship Id="rId1492" Type="http://schemas.openxmlformats.org/officeDocument/2006/relationships/hyperlink" Target="https://www.newspapers.com/image/219396903/?terms=Kennard%2BHigh%2BSchool%2Bsuicide" TargetMode="External"/><Relationship Id="rId308" Type="http://schemas.openxmlformats.org/officeDocument/2006/relationships/hyperlink" Target="https://jeffcosheriffal.com/arrest-made-in-shooting-outside-high-school/" TargetMode="External"/><Relationship Id="rId515" Type="http://schemas.openxmlformats.org/officeDocument/2006/relationships/hyperlink" Target="https://www.wvnstv.com/news/crime/summers-county-crime/man-arrested-after-shots-fired-near-elementary-school-in-summers-county/" TargetMode="External"/><Relationship Id="rId722" Type="http://schemas.openxmlformats.org/officeDocument/2006/relationships/hyperlink" Target="https://www.firstcoastnews.com/article/news/crime/jso-2-critically-wounded-after-moncrief-area-shooting-school-bus-hit-by-gunfire-jacksonville/77-3869f63b-d473-4a45-9724-e3fb6b7ba011" TargetMode="External"/><Relationship Id="rId1145" Type="http://schemas.openxmlformats.org/officeDocument/2006/relationships/hyperlink" Target="http://www.reporterherald.com/ci_18289600" TargetMode="External"/><Relationship Id="rId1352" Type="http://schemas.openxmlformats.org/officeDocument/2006/relationships/hyperlink" Target="https://www.washingtonpost.com/archive/politics/2003/04/15/youth-15-dies-in-shooting-at-new-orleans-high-school/a2b1c00e-b101-4b41-ae45-a150abc01ada/?utm_term=.0ec08f1f82f8" TargetMode="External"/><Relationship Id="rId1797" Type="http://schemas.openxmlformats.org/officeDocument/2006/relationships/hyperlink" Target="https://www.newspapers.com/image/252161775/?terms=school%2Bshooting" TargetMode="External"/><Relationship Id="rId89" Type="http://schemas.openxmlformats.org/officeDocument/2006/relationships/hyperlink" Target="https://www.wsmv.com/2025/03/06/tn-high-school-closed-after-teacher-found-dead/" TargetMode="External"/><Relationship Id="rId1005" Type="http://schemas.openxmlformats.org/officeDocument/2006/relationships/hyperlink" Target="https://www.indystar.com/story/news/crime/2016/01/25/teen-charged-shooting-lawrence-central-high-school/79319130/" TargetMode="External"/><Relationship Id="rId1212" Type="http://schemas.openxmlformats.org/officeDocument/2006/relationships/hyperlink" Target="https://www.washingtonexaminer.com/third-grader-at-grove-park-brings-gun-to-city-school" TargetMode="External"/><Relationship Id="rId1657" Type="http://schemas.openxmlformats.org/officeDocument/2006/relationships/hyperlink" Target="https://www.newspapers.com/image/310187745/?terms=Wheatley%2BHigh%2BSchool%2Bshooting" TargetMode="External"/><Relationship Id="rId1864" Type="http://schemas.openxmlformats.org/officeDocument/2006/relationships/hyperlink" Target="https://news.google.com/newspapers?id=AfRYAAAAIBAJ&amp;pg=3025,1894998" TargetMode="External"/><Relationship Id="rId1517" Type="http://schemas.openxmlformats.org/officeDocument/2006/relationships/hyperlink" Target="https://www.newspapers.com/image/141626514/?terms=Sumner%2BHigh%2BSchool" TargetMode="External"/><Relationship Id="rId1724" Type="http://schemas.openxmlformats.org/officeDocument/2006/relationships/hyperlink" Target="https://www.newspapers.com/image/265350967/?terms=marian%2Bgreen" TargetMode="External"/><Relationship Id="rId16" Type="http://schemas.openxmlformats.org/officeDocument/2006/relationships/hyperlink" Target="https://www.9news.com/article/news/education/fight-gunfire-north-high-school-arrest-safety-changes/73-2cdadbbf-8989-447a-8159-e0bb30678557" TargetMode="External"/><Relationship Id="rId165" Type="http://schemas.openxmlformats.org/officeDocument/2006/relationships/hyperlink" Target="https://www.cbsnews.com/chicago/news/boy-shot-outside-high-school-chicago-south-side/" TargetMode="External"/><Relationship Id="rId372" Type="http://schemas.openxmlformats.org/officeDocument/2006/relationships/hyperlink" Target="https://abc11.com/fayetteville-police-man-shoots-at-officer-terry-sanford-high-school-involved-shooting/13886712/" TargetMode="External"/><Relationship Id="rId677" Type="http://schemas.openxmlformats.org/officeDocument/2006/relationships/hyperlink" Target="https://www.mi-reporter.com/news/island-police-investigating-possible-pellet-gun-shooting-on-school-playfield/" TargetMode="External"/><Relationship Id="rId232" Type="http://schemas.openxmlformats.org/officeDocument/2006/relationships/hyperlink" Target="https://www.cbsnews.com/newyork/news/girls-shot-near-school-in-brownsville-brooklyn/" TargetMode="External"/><Relationship Id="rId884" Type="http://schemas.openxmlformats.org/officeDocument/2006/relationships/hyperlink" Target="https://www.nbcbayarea.com/news/local/Suspect-Arrested-After-Officer-Involved-Shooting-Chase-at-Gilroy-High-School--492815721.html" TargetMode="External"/><Relationship Id="rId537" Type="http://schemas.openxmlformats.org/officeDocument/2006/relationships/hyperlink" Target="https://bronx.news12.com/nypd-3-people-shot-near-williamsburg-charter-school" TargetMode="External"/><Relationship Id="rId744" Type="http://schemas.openxmlformats.org/officeDocument/2006/relationships/hyperlink" Target="https://www.detroitnews.com/story/news/local/oakland-county/2021/09/09/2-teens-arrested-school-parking-lot-shooting-royal-oak-twp/5781664001/" TargetMode="External"/><Relationship Id="rId951" Type="http://schemas.openxmlformats.org/officeDocument/2006/relationships/hyperlink" Target="http://abc7.com/5-injured-in-bb-gun-shooting-at-sun-valley-high-school/2469755/" TargetMode="External"/><Relationship Id="rId1167" Type="http://schemas.openxmlformats.org/officeDocument/2006/relationships/hyperlink" Target="https://www.newspapers.com/image/243658015/?terms=student%2Bshot" TargetMode="External"/><Relationship Id="rId1374" Type="http://schemas.openxmlformats.org/officeDocument/2006/relationships/hyperlink" Target="https://www.newspapers.com/image/434313780/?terms=thomas%2Bmcadams%2Barrested" TargetMode="External"/><Relationship Id="rId1581" Type="http://schemas.openxmlformats.org/officeDocument/2006/relationships/hyperlink" Target="https://www.newspapers.com/image/100014893/?terms=student%20shot" TargetMode="External"/><Relationship Id="rId1679" Type="http://schemas.openxmlformats.org/officeDocument/2006/relationships/hyperlink" Target="https://www.newspapers.com/image/109675401/?terms=student%2Bshot" TargetMode="External"/><Relationship Id="rId80" Type="http://schemas.openxmlformats.org/officeDocument/2006/relationships/hyperlink" Target="https://www.kens5.com/article/news/local/body-found-jefferson-high-school-san-antonio-texas/273-e6c950cb-9b47-4865-a401-0af8aae76952" TargetMode="External"/><Relationship Id="rId604" Type="http://schemas.openxmlformats.org/officeDocument/2006/relationships/hyperlink" Target="https://abc7news.com/sj-school-paintball-pellets-willow-glen-middle-shots-fired-san-jose/12340605/" TargetMode="External"/><Relationship Id="rId811" Type="http://schemas.openxmlformats.org/officeDocument/2006/relationships/hyperlink" Target="https://www.deseret.com/utah/2020/3/16/21182240/gunshot-west-high-guns-in-schools-juvenile-arrested" TargetMode="External"/><Relationship Id="rId1027" Type="http://schemas.openxmlformats.org/officeDocument/2006/relationships/hyperlink" Target="https://www.fredericknewspost.com/subjects/crime_and_justice/updated-two-students-wounded-in-frederick-high-school-shooting/article_153b667f-90c2-5c8c-b4ed-9c4ba869e442.html" TargetMode="External"/><Relationship Id="rId1234" Type="http://schemas.openxmlformats.org/officeDocument/2006/relationships/hyperlink" Target="https://www.washingtonpost.com/archive/business/technology/2006/04/05/shooting-at-roosevelt-high-injures-19-year-old-student/5e198f72-616c-4f3e-8b06-25cdc4162735/?utm_term=.0b3f619eca63" TargetMode="External"/><Relationship Id="rId1441" Type="http://schemas.openxmlformats.org/officeDocument/2006/relationships/hyperlink" Target="https://www.newspapers.com/image/575248754/?terms=Pocatello%20standoff&amp;match=1" TargetMode="External"/><Relationship Id="rId1886" Type="http://schemas.openxmlformats.org/officeDocument/2006/relationships/hyperlink" Target="https://www.newspapers.com/image/65984721/?terms=school%20shooting&amp;match=1" TargetMode="External"/><Relationship Id="rId909" Type="http://schemas.openxmlformats.org/officeDocument/2006/relationships/hyperlink" Target="http://www.kansascity.com/news/local/crime/article208770464.html" TargetMode="External"/><Relationship Id="rId1301" Type="http://schemas.openxmlformats.org/officeDocument/2006/relationships/hyperlink" Target="https://www.columbine-angels.com/School_Violence_2004-2005.htm" TargetMode="External"/><Relationship Id="rId1539" Type="http://schemas.openxmlformats.org/officeDocument/2006/relationships/hyperlink" Target="https://www.newspapers.com/image/300277708/?terms=Huntsville%2BJunior%2BHigh%2BSchool%2Bshooting" TargetMode="External"/><Relationship Id="rId1746" Type="http://schemas.openxmlformats.org/officeDocument/2006/relationships/hyperlink" Target="https://www.newspapers.com/image/72988843/?terms=Weymouth%2BSouth%2BHigh%2BSchool%2Bshooting" TargetMode="External"/><Relationship Id="rId38" Type="http://schemas.openxmlformats.org/officeDocument/2006/relationships/hyperlink" Target="https://www.denver7.com/news/crime/armed-man-dies-in-shooting-involving-denver-police-and-dps-officers-monday-night" TargetMode="External"/><Relationship Id="rId1606" Type="http://schemas.openxmlformats.org/officeDocument/2006/relationships/hyperlink" Target="https://news.google.com/newspapers?id=zWcaAAAAIBAJ&amp;pg=4608,2375219" TargetMode="External"/><Relationship Id="rId1813" Type="http://schemas.openxmlformats.org/officeDocument/2006/relationships/hyperlink" Target="https://www.newspapers.com/image/256798541/?terms=school%2Bshooting" TargetMode="External"/><Relationship Id="rId187" Type="http://schemas.openxmlformats.org/officeDocument/2006/relationships/hyperlink" Target="https://www.clickondetroit.com/news/local/2024/09/01/romulus-police-say-shots-fired-in-parking-lot-after-high-school-football-game/" TargetMode="External"/><Relationship Id="rId394" Type="http://schemas.openxmlformats.org/officeDocument/2006/relationships/hyperlink" Target="https://www.cleveland19.com/2023/09/17/police-man-shot-east-tech-high-school-parking-lot/" TargetMode="External"/><Relationship Id="rId254" Type="http://schemas.openxmlformats.org/officeDocument/2006/relationships/hyperlink" Target="https://www.fox5dc.com/video/1451872" TargetMode="External"/><Relationship Id="rId699" Type="http://schemas.openxmlformats.org/officeDocument/2006/relationships/hyperlink" Target="https://www.krem.com/article/news/crime/idaho-man-prison-threatening-shoot-school-police/293-a8d2c7b7-c4b5-4162-a54b-4b50fb03e493" TargetMode="External"/><Relationship Id="rId1091" Type="http://schemas.openxmlformats.org/officeDocument/2006/relationships/hyperlink" Target="https://www.wxyz.com/news/man-shot-near-martin-luther-king-jr-high-school-in-detroit" TargetMode="External"/><Relationship Id="rId114" Type="http://schemas.openxmlformats.org/officeDocument/2006/relationships/hyperlink" Target="https://fox17.com/news/local/shot-fired-into-air-near-nashville-middle-school-after-sro-breaks-up-fight-off-campus" TargetMode="External"/><Relationship Id="rId461" Type="http://schemas.openxmlformats.org/officeDocument/2006/relationships/hyperlink" Target="https://abc7chicago.com/gun-at-school-richton-park-il-police-neil-armstrong-elementary/13231590/" TargetMode="External"/><Relationship Id="rId559" Type="http://schemas.openxmlformats.org/officeDocument/2006/relationships/hyperlink" Target="https://www.wwltv.com/article/news/crime/nopd-investigating-shooting-at-booker-t-washington-high-school/289-4590bc69-0374-4c8a-9c77-6f03c773324b" TargetMode="External"/><Relationship Id="rId766" Type="http://schemas.openxmlformats.org/officeDocument/2006/relationships/hyperlink" Target="https://www.wgal.com/article/man-found-shot-in-columbia/36709512" TargetMode="External"/><Relationship Id="rId1189" Type="http://schemas.openxmlformats.org/officeDocument/2006/relationships/hyperlink" Target="https://www.columbine-angels.com/School_Violence_2006-2007.htm" TargetMode="External"/><Relationship Id="rId1396" Type="http://schemas.openxmlformats.org/officeDocument/2006/relationships/hyperlink" Target="http://articles.latimes.com/2001/jan/11/local/me-11081" TargetMode="External"/><Relationship Id="rId321" Type="http://schemas.openxmlformats.org/officeDocument/2006/relationships/hyperlink" Target="https://www.timesnownews.com/world/newark-new-jersey-shooting-update-teen-injured-lockdown-at-bragaw-avenue-school-article-106162460" TargetMode="External"/><Relationship Id="rId419" Type="http://schemas.openxmlformats.org/officeDocument/2006/relationships/hyperlink" Target="https://www.wbir.com/article/news/crime/crossville-police-department-2-arrested-after-road-rage-shooting-in-school-parking-lot/51-b42a3f6c-39e6-4641-a03c-94d364edc2c7" TargetMode="External"/><Relationship Id="rId626" Type="http://schemas.openxmlformats.org/officeDocument/2006/relationships/hyperlink" Target="https://www.wtol.com/article/news/local/jackson-michigan-middle-school-football-game-locked-down-shots-fired-in-vicinity/512-4d093342-30e0-4e92-b654-ee374f97fc87" TargetMode="External"/><Relationship Id="rId973" Type="http://schemas.openxmlformats.org/officeDocument/2006/relationships/hyperlink" Target="https://www.whio.com/news/local/prosecutor-opposes-school-shooter-appeal-ohio-high-court/mFdMS0ZHweTNdy0nEDwV2I/" TargetMode="External"/><Relationship Id="rId1049" Type="http://schemas.openxmlformats.org/officeDocument/2006/relationships/hyperlink" Target="https://wcti12.com/archive/two-j-h-rose-students-arrested-for-shooting-near-d-h-conley-1" TargetMode="External"/><Relationship Id="rId1256" Type="http://schemas.openxmlformats.org/officeDocument/2006/relationships/hyperlink" Target="http://www.kxii.com/home/headlines/1978757.html" TargetMode="External"/><Relationship Id="rId833" Type="http://schemas.openxmlformats.org/officeDocument/2006/relationships/hyperlink" Target="https://www.al.com/news/birmingham/2019/09/shots-fired-near-alabama-high-school-football-game-temporarily-stop-play-no-injures.html" TargetMode="External"/><Relationship Id="rId1116" Type="http://schemas.openxmlformats.org/officeDocument/2006/relationships/hyperlink" Target="https://www.ktbs.com/news/police-btw-shooter-was-spurned-lover/article_655e08f3-5404-5896-a955-81611d1a56b3.html" TargetMode="External"/><Relationship Id="rId1463" Type="http://schemas.openxmlformats.org/officeDocument/2006/relationships/hyperlink" Target="https://www.columbine-angels.com/School_Violence_1995-1996.htm" TargetMode="External"/><Relationship Id="rId1670" Type="http://schemas.openxmlformats.org/officeDocument/2006/relationships/hyperlink" Target="https://www.newspapers.com/image/217311653/?terms=student%2Bshot" TargetMode="External"/><Relationship Id="rId1768" Type="http://schemas.openxmlformats.org/officeDocument/2006/relationships/hyperlink" Target="https://www.newspapers.com/image/139488488/?terms=school%2Bshooting" TargetMode="External"/><Relationship Id="rId900" Type="http://schemas.openxmlformats.org/officeDocument/2006/relationships/hyperlink" Target="https://krld.radio.com/articles/suspect-arrested-after-16-yr-old-found-shot-near-skyline-high-school" TargetMode="External"/><Relationship Id="rId1323" Type="http://schemas.openxmlformats.org/officeDocument/2006/relationships/hyperlink" Target="http://community.seattletimes.nwsource.com/archive/?date=20040319&amp;slug=boyshot19m" TargetMode="External"/><Relationship Id="rId1530" Type="http://schemas.openxmlformats.org/officeDocument/2006/relationships/hyperlink" Target="https://www.newspapers.com/image/923226972/?terms=school%20shooting%20pennsylvania&amp;match=1" TargetMode="External"/><Relationship Id="rId1628" Type="http://schemas.openxmlformats.org/officeDocument/2006/relationships/hyperlink" Target="https://www.newspapers.com/image/430983332/?terms=student%2Bshot" TargetMode="External"/><Relationship Id="rId1835" Type="http://schemas.openxmlformats.org/officeDocument/2006/relationships/hyperlink" Target="https://www.newspapers.com/image/377096935/" TargetMode="External"/><Relationship Id="rId276" Type="http://schemas.openxmlformats.org/officeDocument/2006/relationships/hyperlink" Target="https://www.walb.com/2024/03/26/1-arrested-after-shots-were-fired-near-turner-co-high-school/" TargetMode="External"/><Relationship Id="rId483" Type="http://schemas.openxmlformats.org/officeDocument/2006/relationships/hyperlink" Target="https://www.fox6now.com/news/waukesha-north-school-gun" TargetMode="External"/><Relationship Id="rId690" Type="http://schemas.openxmlformats.org/officeDocument/2006/relationships/hyperlink" Target="https://kdvr.com/news/local/student-brings-pellet-type-gun-to-rock-canyon-hs/" TargetMode="External"/><Relationship Id="rId136" Type="http://schemas.openxmlformats.org/officeDocument/2006/relationships/hyperlink" Target="https://wgntv.com/news/chicagocrime/man-shot-while-driving-near-west-side-elementary-school/" TargetMode="External"/><Relationship Id="rId343" Type="http://schemas.openxmlformats.org/officeDocument/2006/relationships/hyperlink" Target="https://www.ktvu.com/news/juvenile-shot-friday-night-in-front-of-vallejo-high-school" TargetMode="External"/><Relationship Id="rId550" Type="http://schemas.openxmlformats.org/officeDocument/2006/relationships/hyperlink" Target="https://fox4kc.com/news/kansas-city-police-find-shooting-victim-near-high-school/" TargetMode="External"/><Relationship Id="rId788" Type="http://schemas.openxmlformats.org/officeDocument/2006/relationships/hyperlink" Target="https://www.wfaa.com/article/news/crime/no-one-injured-verbal-altercation-escalates-shooting-north-dallas-high-school-parking-lot-district-officials-say/287-2a04b92a-88da-45cc-8ed3-b8a7ab58ee78" TargetMode="External"/><Relationship Id="rId995" Type="http://schemas.openxmlformats.org/officeDocument/2006/relationships/hyperlink" Target="http://www.kwch.com/content/news/One-seriously-hurt-at-possible-shooting-at-Augusta-high-school-379583611.html" TargetMode="External"/><Relationship Id="rId1180" Type="http://schemas.openxmlformats.org/officeDocument/2006/relationships/hyperlink" Target="https://www.highbeam.com/doc/1G1-163016802.html" TargetMode="External"/><Relationship Id="rId203" Type="http://schemas.openxmlformats.org/officeDocument/2006/relationships/hyperlink" Target="https://www.kvoa.com/news/shooting-near-douglas-high-school/article_04ccc196-56a8-11ef-80a1-ff941d3cdeed.html" TargetMode="External"/><Relationship Id="rId648" Type="http://schemas.openxmlformats.org/officeDocument/2006/relationships/hyperlink" Target="https://connecticut.news12.com/hempstead-school-officials-to-speak-following-2-shootings-near-schools" TargetMode="External"/><Relationship Id="rId855" Type="http://schemas.openxmlformats.org/officeDocument/2006/relationships/hyperlink" Target="https://www.news4jax.com/news/2019/03/28/12-year-old-hurt-after-metal-projectile-hits-school-bus/" TargetMode="External"/><Relationship Id="rId1040" Type="http://schemas.openxmlformats.org/officeDocument/2006/relationships/hyperlink" Target="https://www.usatoday.com/story/news/2014/09/30/police-1-shot-at-albemarle-high-school-1-in-custody/16469203/" TargetMode="External"/><Relationship Id="rId1278" Type="http://schemas.openxmlformats.org/officeDocument/2006/relationships/hyperlink" Target="https://www.columbine-angels.com/School_Violence_2004-2005.htm" TargetMode="External"/><Relationship Id="rId1485" Type="http://schemas.openxmlformats.org/officeDocument/2006/relationships/hyperlink" Target="http://ottumwaradio.com/coffman-get-new-sentence-1994-murder-ottumwa-high-school/" TargetMode="External"/><Relationship Id="rId1692" Type="http://schemas.openxmlformats.org/officeDocument/2006/relationships/hyperlink" Target="https://www.newspapers.com/image/277257866/?terms=Santa%2BMaria%2BInCornata-Santa%2BLucia%2BSchool%2Bshooting" TargetMode="External"/><Relationship Id="rId410" Type="http://schemas.openxmlformats.org/officeDocument/2006/relationships/hyperlink" Target="https://news3lv.com/news/instagram/las-vegas-police-investigate-shooting-reported-near-clark-high-school-lvmpd-metro-southern-nevada" TargetMode="External"/><Relationship Id="rId508" Type="http://schemas.openxmlformats.org/officeDocument/2006/relationships/hyperlink" Target="https://abc7ny.com/nyc-crime-bronx-16-year-old-shot-mott-haven/12964197/" TargetMode="External"/><Relationship Id="rId715" Type="http://schemas.openxmlformats.org/officeDocument/2006/relationships/hyperlink" Target="https://www.wifr.com/2021/11/29/shots-fired-behind-west-middle-school/" TargetMode="External"/><Relationship Id="rId922" Type="http://schemas.openxmlformats.org/officeDocument/2006/relationships/hyperlink" Target="https://abc7ny.com/teen-in-custody-after-shot-fired-inside-bronx-high-school/3054112/" TargetMode="External"/><Relationship Id="rId1138" Type="http://schemas.openxmlformats.org/officeDocument/2006/relationships/hyperlink" Target="http://www.startribune.com/shattuck-st-mary-s-school-under-fire-on-2008-case/173333511/" TargetMode="External"/><Relationship Id="rId1345" Type="http://schemas.openxmlformats.org/officeDocument/2006/relationships/hyperlink" Target="http://www.spokesman.com/stories/2004/sep/04/father-says-police-too-aggressive-high-school-shoo/" TargetMode="External"/><Relationship Id="rId1552" Type="http://schemas.openxmlformats.org/officeDocument/2006/relationships/hyperlink" Target="https://www.newspapers.com/image/300231582/?terms=Genevieve%2BSparks%2BElementary%2BSchool" TargetMode="External"/><Relationship Id="rId1205" Type="http://schemas.openxmlformats.org/officeDocument/2006/relationships/hyperlink" Target="https://www.newspapers.com/image/232079346/?terms=Northwest%2BHigh%2BSchool%2Bgun%2Bpocket" TargetMode="External"/><Relationship Id="rId1857" Type="http://schemas.openxmlformats.org/officeDocument/2006/relationships/hyperlink" Target="https://www.newspapers.com/image/435429470/?terms=school%2Bshooting" TargetMode="External"/><Relationship Id="rId51" Type="http://schemas.openxmlformats.org/officeDocument/2006/relationships/hyperlink" Target="https://www.ktvu.com/news/bullet-from-nearby-shooting-floods-east-oakland-school-cafeteria" TargetMode="External"/><Relationship Id="rId1412" Type="http://schemas.openxmlformats.org/officeDocument/2006/relationships/hyperlink" Target="https://www.newspapers.com/image/454563845/?terms=Hugo%2BHigh%2BSchool%2Bshooting" TargetMode="External"/><Relationship Id="rId1717" Type="http://schemas.openxmlformats.org/officeDocument/2006/relationships/hyperlink" Target="https://www.newspapers.com/image/378838711/?terms=Manuel%2BArts%2BHigh%2BSchool%2Bshooting" TargetMode="External"/><Relationship Id="rId298" Type="http://schemas.openxmlformats.org/officeDocument/2006/relationships/hyperlink" Target="https://www.krgv.com/news/edinburg-police-officer-involved-shooting-prompts-lockdown-at-economedes-high-school" TargetMode="External"/><Relationship Id="rId158" Type="http://schemas.openxmlformats.org/officeDocument/2006/relationships/hyperlink" Target="https://www.wzzm13.com/article/news/crime/muskegon-police-investigating-shots-fired-near-elementary-school-reports-man-with-ar-15/69-36d6b724-459a-4a07-bb03-69ad9ee0fef5" TargetMode="External"/><Relationship Id="rId365" Type="http://schemas.openxmlformats.org/officeDocument/2006/relationships/hyperlink" Target="https://www.13abc.com/2023/10/16/man-shot-neck-after-confrontation-flag-football-game/" TargetMode="External"/><Relationship Id="rId572" Type="http://schemas.openxmlformats.org/officeDocument/2006/relationships/hyperlink" Target="https://www.kmov.com/2022/12/06/woman-shot-downtown-st-louis/" TargetMode="External"/><Relationship Id="rId225" Type="http://schemas.openxmlformats.org/officeDocument/2006/relationships/hyperlink" Target="https://ca.news.yahoo.com/shots-fired-outside-kansas-city-173827409.html" TargetMode="External"/><Relationship Id="rId432" Type="http://schemas.openxmlformats.org/officeDocument/2006/relationships/hyperlink" Target="https://www.fox13memphis.com/news/security-guard-shot-at-memphis-high-school-police-say/article_d887aebe-2aea-11ee-8f4b-9339c33a29be.html" TargetMode="External"/><Relationship Id="rId877" Type="http://schemas.openxmlformats.org/officeDocument/2006/relationships/hyperlink" Target="https://www.wavy.com/news/local-news/norfolk/police-respond-to-shooting-after-football-game-at-lake-taylor-high-school/1501979731" TargetMode="External"/><Relationship Id="rId1062" Type="http://schemas.openxmlformats.org/officeDocument/2006/relationships/hyperlink" Target="https://www.wgal.com/article/police-shot-fired-at-elementary-school-playground/6229898" TargetMode="External"/><Relationship Id="rId737" Type="http://schemas.openxmlformats.org/officeDocument/2006/relationships/hyperlink" Target="https://decaturish.com/2021/09/argument-outside-toomer-elementary-leads-to-shots-fired-temporary-lockdown/" TargetMode="External"/><Relationship Id="rId944" Type="http://schemas.openxmlformats.org/officeDocument/2006/relationships/hyperlink" Target="https://rumble.com/v3x6k9-documents-reveal-what-police-think-happened-outside-pattengill-academy.html" TargetMode="External"/><Relationship Id="rId1367" Type="http://schemas.openxmlformats.org/officeDocument/2006/relationships/hyperlink" Target="http://www.cnn.com/2002/US/Northeast/10/29/school.shooting/" TargetMode="External"/><Relationship Id="rId1574" Type="http://schemas.openxmlformats.org/officeDocument/2006/relationships/hyperlink" Target="https://lasvegassun.com/news/1998/jun/20/memories-linger-for-victims-mother/" TargetMode="External"/><Relationship Id="rId1781" Type="http://schemas.openxmlformats.org/officeDocument/2006/relationships/hyperlink" Target="https://www.newspapers.com/image/398982633/" TargetMode="External"/><Relationship Id="rId73" Type="http://schemas.openxmlformats.org/officeDocument/2006/relationships/hyperlink" Target="https://www.wdsu.com/article/new-orleans-police-arrest-man-dolores-aaron-school-gun/64422267" TargetMode="External"/><Relationship Id="rId804" Type="http://schemas.openxmlformats.org/officeDocument/2006/relationships/hyperlink" Target="https://www.fox10tv.com/news/mpd-makes-arrest-in-overnight-robbery-and-shooting-in-school-parking-lot/article_711aa7e0-9fa6-11ea-ac6c-ef149a798701.html" TargetMode="External"/><Relationship Id="rId1227" Type="http://schemas.openxmlformats.org/officeDocument/2006/relationships/hyperlink" Target="https://www.nwitimes.com/news/local/eskew-guilty-in-wirt-high-school-shooting/article_c43a6d4c-8921-5a4a-8e1a-8af4f3506ca2.html" TargetMode="External"/><Relationship Id="rId1434" Type="http://schemas.openxmlformats.org/officeDocument/2006/relationships/hyperlink" Target="https://www.deseretnews.com/article/679792/News-capsules.html" TargetMode="External"/><Relationship Id="rId1641" Type="http://schemas.openxmlformats.org/officeDocument/2006/relationships/hyperlink" Target="https://www.upi.com/Archives/1986/05/09/A-17-year-old-student-opened-fire-with-a-pistol-in/5107515995200/" TargetMode="External"/><Relationship Id="rId1879" Type="http://schemas.openxmlformats.org/officeDocument/2006/relationships/hyperlink" Target="https://www.newspapers.com/image/68321731/?terms=school%20shooting&amp;match=1" TargetMode="External"/><Relationship Id="rId1501" Type="http://schemas.openxmlformats.org/officeDocument/2006/relationships/hyperlink" Target="http://articles.courant.com/1995-07-21/news/9507210401_1_latin-king-rival-gang-gang-war" TargetMode="External"/><Relationship Id="rId1739" Type="http://schemas.openxmlformats.org/officeDocument/2006/relationships/hyperlink" Target="https://www.newspapers.com/image/307812073/?terms=school%2Bshooting" TargetMode="External"/><Relationship Id="rId1806" Type="http://schemas.openxmlformats.org/officeDocument/2006/relationships/hyperlink" Target="https://www.newspapers.com/image/305635210/?terms=school%2Bshooting" TargetMode="External"/><Relationship Id="rId387" Type="http://schemas.openxmlformats.org/officeDocument/2006/relationships/hyperlink" Target="https://ottumwaradio.com/2023/09/opd-shots-fired-outside-of-schafer-stadium-during-football-game-remains-under-investigation/" TargetMode="External"/><Relationship Id="rId594" Type="http://schemas.openxmlformats.org/officeDocument/2006/relationships/hyperlink" Target="https://www.wjcl.com/article/police-presence-elementary-school-savannah/41861811" TargetMode="External"/><Relationship Id="rId247" Type="http://schemas.openxmlformats.org/officeDocument/2006/relationships/hyperlink" Target="https://www.news5cleveland.com/news/local-news/i-thought-i-was-getting-shot-and-by-a-real-bullet-two-avon-teens-found-responsible-for-bb-gun-shooting" TargetMode="External"/><Relationship Id="rId899" Type="http://schemas.openxmlformats.org/officeDocument/2006/relationships/hyperlink" Target="https://www.springfieldnewssun.com/news/crime--law/update-teens-arrested-after-alleged-attempted-shooting-truck-strike-outside-springfield-school/Kv3diPzfq35me2wa7OrdBI/" TargetMode="External"/><Relationship Id="rId1084" Type="http://schemas.openxmlformats.org/officeDocument/2006/relationships/hyperlink" Target="http://www.wbrc.com/story/22251179/parent-allegedly-fires-gun-when-daughters-fight-at-school" TargetMode="External"/><Relationship Id="rId107" Type="http://schemas.openxmlformats.org/officeDocument/2006/relationships/hyperlink" Target="https://www.abc4.com/news/wasatch-front/teen-arrested-after-allegedly-brandishing-a-firearm-at-springville-high-school/" TargetMode="External"/><Relationship Id="rId454" Type="http://schemas.openxmlformats.org/officeDocument/2006/relationships/hyperlink" Target="https://www.cbsnews.com/losangeles/news/lapd-chase-armed-motorcyclist-accused-of-waving-a-gun-near-chaminade-high-school/" TargetMode="External"/><Relationship Id="rId661" Type="http://schemas.openxmlformats.org/officeDocument/2006/relationships/hyperlink" Target="https://www.myjournalcourier.com/news/article/Hallucinating-woman-arrested-after-shot-fired-17188158.php" TargetMode="External"/><Relationship Id="rId759" Type="http://schemas.openxmlformats.org/officeDocument/2006/relationships/hyperlink" Target="https://chicago.cbslocal.com/2021/08/14/15-year-old-boy-shot-near-elementary-school-calumet-heights/" TargetMode="External"/><Relationship Id="rId966" Type="http://schemas.openxmlformats.org/officeDocument/2006/relationships/hyperlink" Target="http://www.americanpress.com/news/local/year-old-shot-at-moss-bluff-school/article_bf746d62-ee60-11e7-ad5c-7b6da485d0a4.html" TargetMode="External"/><Relationship Id="rId1291" Type="http://schemas.openxmlformats.org/officeDocument/2006/relationships/hyperlink" Target="http://www.post-gazette.com/local/city/2007/05/02/Dueling-snitches-muddy-trial-in-Carrick-High-School-killing/stories/200705020345" TargetMode="External"/><Relationship Id="rId1389" Type="http://schemas.openxmlformats.org/officeDocument/2006/relationships/hyperlink" Target="http://edition.cnn.com/2001/US/03/31/school.shooting/" TargetMode="External"/><Relationship Id="rId1596" Type="http://schemas.openxmlformats.org/officeDocument/2006/relationships/hyperlink" Target="https://www.newspapers.com/image/285249029/?terms=Rigby%20Junior%20High%20hostage&amp;match=1" TargetMode="External"/><Relationship Id="rId314" Type="http://schemas.openxmlformats.org/officeDocument/2006/relationships/hyperlink" Target="https://abc13.com/houston-shooting-man-found-shot-outside-middle-school-homicide-investigation-hpd/14302020/" TargetMode="External"/><Relationship Id="rId521" Type="http://schemas.openxmlformats.org/officeDocument/2006/relationships/hyperlink" Target="https://www.kfvs12.com/2023/03/01/marion-ill-police-investigating-after-students-believed-be-shot-with-airsoft-pellets/" TargetMode="External"/><Relationship Id="rId619" Type="http://schemas.openxmlformats.org/officeDocument/2006/relationships/hyperlink" Target="https://www.fox10phoenix.com/news/woman-arrested-pulling-out-gun-phoenix-school" TargetMode="External"/><Relationship Id="rId1151" Type="http://schemas.openxmlformats.org/officeDocument/2006/relationships/hyperlink" Target="http://www.wsfa.com/story/9234390/wsfa-12-news-update-suspect-charged-with-attempted-murder-in-prattville-shooting" TargetMode="External"/><Relationship Id="rId1249" Type="http://schemas.openxmlformats.org/officeDocument/2006/relationships/hyperlink" Target="https://www.cbsnews.com/news/parents-we-told-police-gun-was-fake/" TargetMode="External"/><Relationship Id="rId95" Type="http://schemas.openxmlformats.org/officeDocument/2006/relationships/hyperlink" Target="https://www.clickondetroit.com/news/local/2025/02/09/michigan-officers-hit-aggressive-dogs-with-car-fatally-shoot-1-near-school-playground-police-say/" TargetMode="External"/><Relationship Id="rId826" Type="http://schemas.openxmlformats.org/officeDocument/2006/relationships/hyperlink" Target="https://dailyvoice.com/new-jersey/ocean/police-fire/asbury-park-teen-idd-charged-with-shooting-near-brick-high-school/794032/" TargetMode="External"/><Relationship Id="rId1011" Type="http://schemas.openxmlformats.org/officeDocument/2006/relationships/hyperlink" Target="https://www.tampabay.com/news/publicsafety/lecanto-high-student-airlifted-after-self-inflicted-gunshot/2253353/" TargetMode="External"/><Relationship Id="rId1109" Type="http://schemas.openxmlformats.org/officeDocument/2006/relationships/hyperlink" Target="https://abc13.com/archive/8044190/" TargetMode="External"/><Relationship Id="rId1456" Type="http://schemas.openxmlformats.org/officeDocument/2006/relationships/hyperlink" Target="https://www.nytimes.com/1997/02/14/nyregion/gunfire-injures-2-students-at-high-schools-in-bronx.html?auth=login-google" TargetMode="External"/><Relationship Id="rId1663" Type="http://schemas.openxmlformats.org/officeDocument/2006/relationships/hyperlink" Target="https://www.newspapers.com/image/437414203/?terms=school%2Bshooting" TargetMode="External"/><Relationship Id="rId1870" Type="http://schemas.openxmlformats.org/officeDocument/2006/relationships/hyperlink" Target="https://www.newspapers.com/image/799719070/?terms=school%20shooting&amp;match=1" TargetMode="External"/><Relationship Id="rId1316" Type="http://schemas.openxmlformats.org/officeDocument/2006/relationships/hyperlink" Target="http://articles.chicagotribune.com/2004-08-31/news/0408310214_1_gang-related-shooting-proviso-east-high-school-student-parking-lot" TargetMode="External"/><Relationship Id="rId1523" Type="http://schemas.openxmlformats.org/officeDocument/2006/relationships/hyperlink" Target="https://people.com/archive/roll-call-of-the-dead-vol-39-no-23/" TargetMode="External"/><Relationship Id="rId1730" Type="http://schemas.openxmlformats.org/officeDocument/2006/relationships/hyperlink" Target="https://www.newspapers.com/image/377692610/?terms=Frederick%2BDouglass%2BSenior%2BHigh%2BSchool%2Bshooting" TargetMode="External"/><Relationship Id="rId22" Type="http://schemas.openxmlformats.org/officeDocument/2006/relationships/hyperlink" Target="https://www.nwaonline.com/news/2025/aug/20/employee-of-little-rock-school-fatally-shot-in/" TargetMode="External"/><Relationship Id="rId1828" Type="http://schemas.openxmlformats.org/officeDocument/2006/relationships/hyperlink" Target="https://www.newspapers.com/image/340859194/?terms=school%2Bshooting" TargetMode="External"/><Relationship Id="rId171" Type="http://schemas.openxmlformats.org/officeDocument/2006/relationships/hyperlink" Target="https://www.ksat.com/news/local/2024/09/26/video-shows-gun-pulled-outside-of-san-antonio-isd-high-school-during-fight/" TargetMode="External"/><Relationship Id="rId269" Type="http://schemas.openxmlformats.org/officeDocument/2006/relationships/hyperlink" Target="https://madison.com/news/article_a0b27d40-fda1-11ee-b5a7-37bcbc1604b6.html" TargetMode="External"/><Relationship Id="rId476" Type="http://schemas.openxmlformats.org/officeDocument/2006/relationships/hyperlink" Target="https://www.wtnh.com/news/connecticut/new-haven/shots-fired-in-new-haven-school-parking-lot-officials/" TargetMode="External"/><Relationship Id="rId683" Type="http://schemas.openxmlformats.org/officeDocument/2006/relationships/hyperlink" Target="https://www.chicagotribune.com/news/breaking/ct-barrington-high-school-pellet-guns-shot-at-lgbtq-students-20220318-ans632prmngx3fxixmgzaq3vbu-story.html" TargetMode="External"/><Relationship Id="rId890" Type="http://schemas.openxmlformats.org/officeDocument/2006/relationships/hyperlink" Target="https://www.ksdk.com/article/news/local/metro-east-football-team-forced-to-cancel-game-after-shooting-in-chicago/63-587675552" TargetMode="External"/><Relationship Id="rId129" Type="http://schemas.openxmlformats.org/officeDocument/2006/relationships/hyperlink" Target="https://baynews9.com/fl/tampa/news/2024/12/10/teen-arrested-after-shooting-flare-gun-onto-crowded-soccer-field" TargetMode="External"/><Relationship Id="rId336" Type="http://schemas.openxmlformats.org/officeDocument/2006/relationships/hyperlink" Target="https://www.fox19.com/2023/11/24/man-hospitalized-thanksgiving-shooting-near-school-police-say/" TargetMode="External"/><Relationship Id="rId543" Type="http://schemas.openxmlformats.org/officeDocument/2006/relationships/hyperlink" Target="https://www.wusa9.com/article/news/crime/shooting-causes-school-lockdowns-dc/65-cc671c95-fcfc-4932-bcc1-5cf1a27b3033" TargetMode="External"/><Relationship Id="rId988" Type="http://schemas.openxmlformats.org/officeDocument/2006/relationships/hyperlink" Target="https://www.ydr.com/story/news/2016/09/09/shooting-reported-small-athletic-field-911-says/90154006/" TargetMode="External"/><Relationship Id="rId1173" Type="http://schemas.openxmlformats.org/officeDocument/2006/relationships/hyperlink" Target="https://www.wtsp.com/article/news/third-suspect-in-middleton-high-school-shooting-turns-himself-in/67-393322398" TargetMode="External"/><Relationship Id="rId1380" Type="http://schemas.openxmlformats.org/officeDocument/2006/relationships/hyperlink" Target="http://articles.latimes.com/2001/oct/27/local/me-62198" TargetMode="External"/><Relationship Id="rId403" Type="http://schemas.openxmlformats.org/officeDocument/2006/relationships/hyperlink" Target="https://www.clickorlando.com/news/local/2023/09/06/woman-fired-gun-at-school-bus-in-titusville-police-say/" TargetMode="External"/><Relationship Id="rId750" Type="http://schemas.openxmlformats.org/officeDocument/2006/relationships/hyperlink" Target="https://www.wmar2news.com/news/local-news/police-investigating-shots-fired-in-owings-mills-monday-afternoon" TargetMode="External"/><Relationship Id="rId848" Type="http://schemas.openxmlformats.org/officeDocument/2006/relationships/hyperlink" Target="https://www.kgw.com/article/news/local/police-id-student-accused-of-bringing-shotgun-to-parkrose-high-school/283-6998e18d-8460-4ab4-87bd-aab49b4082a8" TargetMode="External"/><Relationship Id="rId1033" Type="http://schemas.openxmlformats.org/officeDocument/2006/relationships/hyperlink" Target="https://www.centralmaine.com/2014/12/18/man-who-shot-himself-at-school-was-suspected-in-waterville-rape-police-say/" TargetMode="External"/><Relationship Id="rId1478" Type="http://schemas.openxmlformats.org/officeDocument/2006/relationships/hyperlink" Target="http://articles.sun-sentinel.com/1995-01-12/news/9501120169_1_high-schools-gun-school-administrators" TargetMode="External"/><Relationship Id="rId1685" Type="http://schemas.openxmlformats.org/officeDocument/2006/relationships/hyperlink" Target="https://www.newspapers.com/image/369822289" TargetMode="External"/><Relationship Id="rId610" Type="http://schemas.openxmlformats.org/officeDocument/2006/relationships/hyperlink" Target="https://apnews.com/article/sports-football-shootings-ohio-high-school-da5e242248f3a8cfa21765123ef32a5d" TargetMode="External"/><Relationship Id="rId708" Type="http://schemas.openxmlformats.org/officeDocument/2006/relationships/hyperlink" Target="https://www.wbtv.com/2021/12/09/shots-hit-cars-high-school-parking-lot-rowan-county-prompting-lockdown/" TargetMode="External"/><Relationship Id="rId915" Type="http://schemas.openxmlformats.org/officeDocument/2006/relationships/hyperlink" Target="http://www.alexandrianews.org/2018/05/gw-school-resource-officer-charged-after-discharge-of-weapon/" TargetMode="External"/><Relationship Id="rId1240" Type="http://schemas.openxmlformats.org/officeDocument/2006/relationships/hyperlink" Target="https://www.newspapers.com/image/192748872/?terms=Longfellow%2BElementary%2BSchool%2Belbow%2Bbus" TargetMode="External"/><Relationship Id="rId1338" Type="http://schemas.openxmlformats.org/officeDocument/2006/relationships/hyperlink" Target="https://www.columbine-angels.com/School_Violence_2003-2004.htm" TargetMode="External"/><Relationship Id="rId1545" Type="http://schemas.openxmlformats.org/officeDocument/2006/relationships/hyperlink" Target="http://articles.dailypress.com/1992-02-08/news/9202080051_1_place-on-school-property-critical-condition-school-officials" TargetMode="External"/><Relationship Id="rId1100" Type="http://schemas.openxmlformats.org/officeDocument/2006/relationships/hyperlink" Target="https://www.abc6.com/story/18962837/pawtucket-police-investigate-shooting-behind-fire-station" TargetMode="External"/><Relationship Id="rId1405" Type="http://schemas.openxmlformats.org/officeDocument/2006/relationships/hyperlink" Target="https://www.newspapers.com/image/324100036/?terms=Mount%2BHealthy%2C%2BOhio%2Bschool%2Bgun" TargetMode="External"/><Relationship Id="rId1752" Type="http://schemas.openxmlformats.org/officeDocument/2006/relationships/hyperlink" Target="https://www.newspapers.com/image/295196725/" TargetMode="External"/><Relationship Id="rId44" Type="http://schemas.openxmlformats.org/officeDocument/2006/relationships/hyperlink" Target="https://fox8.com/news/teen-shot-at-akron-i-promise-school/" TargetMode="External"/><Relationship Id="rId1612" Type="http://schemas.openxmlformats.org/officeDocument/2006/relationships/hyperlink" Target="https://www.newspapers.com/image/399821731/?terms=West%2BEnd%2BChristian%2BElementary%2BSchool" TargetMode="External"/><Relationship Id="rId193" Type="http://schemas.openxmlformats.org/officeDocument/2006/relationships/hyperlink" Target="https://wgntv.com/news/chicagocrime/teen-shot-in-parking-lot-of-gately-park-stadium/" TargetMode="External"/><Relationship Id="rId498" Type="http://schemas.openxmlformats.org/officeDocument/2006/relationships/hyperlink" Target="https://www.facebook.com/rbpd.org?fref=mentions" TargetMode="External"/><Relationship Id="rId260" Type="http://schemas.openxmlformats.org/officeDocument/2006/relationships/hyperlink" Target="https://www.fox4news.com/news/arlington-bowie-high-school-lockdown" TargetMode="External"/><Relationship Id="rId120" Type="http://schemas.openxmlformats.org/officeDocument/2006/relationships/hyperlink" Target="https://patch.com/new-york/brooklyn/17-year-old-shot-near-crown-heights-high-school-nypd" TargetMode="External"/><Relationship Id="rId358" Type="http://schemas.openxmlformats.org/officeDocument/2006/relationships/hyperlink" Target="https://dayton247now.com/news/local/at-least-one-taken-to-hospital-after-shooting-near-school" TargetMode="External"/><Relationship Id="rId565" Type="http://schemas.openxmlformats.org/officeDocument/2006/relationships/hyperlink" Target="https://www.clickondetroit.com/news/local/2023/01/04/man-killed-in-shooting-outside-trix-academy-on-detroits-east-side/" TargetMode="External"/><Relationship Id="rId772" Type="http://schemas.openxmlformats.org/officeDocument/2006/relationships/hyperlink" Target="https://www.newhavenindependent.org/article/amistad1" TargetMode="External"/><Relationship Id="rId1195" Type="http://schemas.openxmlformats.org/officeDocument/2006/relationships/hyperlink" Target="http://www.wmcactionnews5.com/story/5984007/17-year-old-in-critical-condition-at-the-med-after-school-shooting" TargetMode="External"/><Relationship Id="rId218" Type="http://schemas.openxmlformats.org/officeDocument/2006/relationships/hyperlink" Target="https://www.whio.com/news/local/large-planned-fight-leads-deadly-shooting-near-dayton-elementary-school/ALKTHCFXQBEGZHCME4ZNRDU74I/" TargetMode="External"/><Relationship Id="rId425" Type="http://schemas.openxmlformats.org/officeDocument/2006/relationships/hyperlink" Target="https://www.firstcoastnews.com/article/news/crime/jacksonville-sheriffs-officer-officer-involved-shooting-starratt-road-duval-station-road-first-coast-ribault-high-football-game/77-52cf860d-27eb-4007-b011-0e3b812edd6d" TargetMode="External"/><Relationship Id="rId632" Type="http://schemas.openxmlformats.org/officeDocument/2006/relationships/hyperlink" Target="https://www.whio.com/news/local/gunshots-disrupt-beavercreek-middle-school-football-practice-deputies-investigating/EXVQHSO2QVFEDGYIT4LUQIRVBU/" TargetMode="External"/><Relationship Id="rId1055" Type="http://schemas.openxmlformats.org/officeDocument/2006/relationships/hyperlink" Target="https://www.kmaland.com/news/charges-filed-in-glenwood-accidental-shooting/article_71bb9b24-883c-11e3-bf82-001a4bcf6878.html" TargetMode="External"/><Relationship Id="rId1262" Type="http://schemas.openxmlformats.org/officeDocument/2006/relationships/hyperlink" Target="https://nypost.com/2005/10/15/teen-shot-in-hs-madness-leg-hurt-by-punk-at-school/" TargetMode="External"/><Relationship Id="rId937" Type="http://schemas.openxmlformats.org/officeDocument/2006/relationships/hyperlink" Target="http://www.hpenews.com/free/shot-fired-at-central-high-school-no-one-injured/article_574ce5ba-dea8-11e7-b849-5ffd746bf19a.html" TargetMode="External"/><Relationship Id="rId1122" Type="http://schemas.openxmlformats.org/officeDocument/2006/relationships/hyperlink" Target="https://abc13.com/archive/6704811/" TargetMode="External"/><Relationship Id="rId1567" Type="http://schemas.openxmlformats.org/officeDocument/2006/relationships/hyperlink" Target="https://www.newspapers.com/image/16849683/?terms=%22shot%20high%20school%20football%22&amp;match=1" TargetMode="External"/><Relationship Id="rId1774" Type="http://schemas.openxmlformats.org/officeDocument/2006/relationships/hyperlink" Target="https://www.newspapers.com/image/12568764/?terms=school%2Bshooting" TargetMode="External"/><Relationship Id="rId66" Type="http://schemas.openxmlformats.org/officeDocument/2006/relationships/hyperlink" Target="https://www.whec.com/top-news/large-police-presence-on-webster-avenue-in-city/" TargetMode="External"/><Relationship Id="rId1427" Type="http://schemas.openxmlformats.org/officeDocument/2006/relationships/hyperlink" Target="https://www.cbsnews.com/news/vice-principal-shot-in-scuffle/" TargetMode="External"/><Relationship Id="rId1634" Type="http://schemas.openxmlformats.org/officeDocument/2006/relationships/hyperlink" Target="https://www.newspapers.com/image/195486648/?terms=South%2BOak%2BCliff%2BHigh%2BSchool%2Bshooting" TargetMode="External"/><Relationship Id="rId1841" Type="http://schemas.openxmlformats.org/officeDocument/2006/relationships/hyperlink" Target="https://www.newspapers.com/image/72973348/?terms=school%2Bshooting" TargetMode="External"/><Relationship Id="rId1701" Type="http://schemas.openxmlformats.org/officeDocument/2006/relationships/hyperlink" Target="https://www.newspapers.com/image/399546733/?terms=student%2Bshot&amp;match=3" TargetMode="External"/><Relationship Id="rId282" Type="http://schemas.openxmlformats.org/officeDocument/2006/relationships/hyperlink" Target="https://www.9news.com/article/news/crime/shots-fired-into-car-denver-high-school-parking-lot/73-0349bff4-e2ce-4700-9f04-53883e07b761" TargetMode="External"/><Relationship Id="rId587" Type="http://schemas.openxmlformats.org/officeDocument/2006/relationships/hyperlink" Target="https://www.kalb.com/2022/11/15/2-people-shot-near-camp-livingston-road-ball/" TargetMode="External"/><Relationship Id="rId8" Type="http://schemas.openxmlformats.org/officeDocument/2006/relationships/hyperlink" Target="https://abc7.com/post/anaheim-police-involved-shooting-places-nearby-elementary-school-temporary-lockdown/17822879/" TargetMode="External"/><Relationship Id="rId142" Type="http://schemas.openxmlformats.org/officeDocument/2006/relationships/hyperlink" Target="https://www.waka.com/2024/10/30/woman-charged-in-school-shooting-incident-in-wilcox-co/" TargetMode="External"/><Relationship Id="rId447" Type="http://schemas.openxmlformats.org/officeDocument/2006/relationships/hyperlink" Target="https://www.pahomepage.com/news/crime-courts/stolen-truck-dumped-shot-up-near-elementary-school/" TargetMode="External"/><Relationship Id="rId794" Type="http://schemas.openxmlformats.org/officeDocument/2006/relationships/hyperlink" Target="https://www.news4jax.com/news/local/2020/09/23/police-1-detained-after-shot-fired-at-duval-county-school-bus/" TargetMode="External"/><Relationship Id="rId1077" Type="http://schemas.openxmlformats.org/officeDocument/2006/relationships/hyperlink" Target="http://blog.gulflive.com/mississippi-press-news/2013/08/3_gang_members_arrested_afte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B3576"/>
  <sheetViews>
    <sheetView tabSelected="1" workbookViewId="0">
      <pane xSplit="6" ySplit="1" topLeftCell="AL3157" activePane="bottomRight" state="frozen"/>
      <selection pane="topRight" activeCell="G1" sqref="G1"/>
      <selection pane="bottomLeft" activeCell="A2" sqref="A2"/>
      <selection pane="bottomRight" activeCell="AL3157" sqref="AL3157"/>
    </sheetView>
  </sheetViews>
  <sheetFormatPr defaultColWidth="12.7109375" defaultRowHeight="15.75" customHeight="1" x14ac:dyDescent="0.2"/>
  <cols>
    <col min="1" max="1" width="17.28515625" customWidth="1"/>
    <col min="2" max="2" width="7" customWidth="1"/>
    <col min="3" max="3" width="5.28515625" customWidth="1"/>
    <col min="4" max="4" width="7" customWidth="1"/>
    <col min="5" max="5" width="12.7109375" bestFit="1" customWidth="1"/>
    <col min="6" max="6" width="33.85546875" customWidth="1"/>
    <col min="7" max="7" width="13.140625" customWidth="1"/>
    <col min="12" max="12" width="13.7109375" customWidth="1"/>
    <col min="13" max="13" width="10.28515625" customWidth="1"/>
    <col min="14" max="14" width="9.28515625" customWidth="1"/>
    <col min="15" max="15" width="9" customWidth="1"/>
    <col min="17" max="17" width="6.7109375" customWidth="1"/>
    <col min="18" max="18" width="8.140625" customWidth="1"/>
    <col min="20" max="20" width="23.7109375" customWidth="1"/>
    <col min="25" max="25" width="21.28515625" customWidth="1"/>
    <col min="26" max="26" width="61.85546875" customWidth="1"/>
    <col min="27" max="28" width="28.28515625" customWidth="1"/>
    <col min="41" max="41" width="25" customWidth="1"/>
  </cols>
  <sheetData>
    <row r="1" spans="1:54" ht="45.75" customHeight="1" x14ac:dyDescent="0.25">
      <c r="A1" s="5" t="str">
        <f ca="1">IFERROR(__xludf.DUMMYFUNCTION("IMPORTRANGE(""https://docs.google.com/spreadsheets/d/13by1rx0kMN24Sm2nKqqR6GsRtIyhgOO8U6IyuCHwhEU/edit#gid=1519919770"", ""Incident!A1:AO5000"")"),"Incident_ID")</f>
        <v>Incident_ID</v>
      </c>
      <c r="B1" s="6" t="str">
        <f ca="1">IFERROR(__xludf.DUMMYFUNCTION("""COMPUTED_VALUE"""),"Month")</f>
        <v>Month</v>
      </c>
      <c r="C1" s="6" t="str">
        <f ca="1">IFERROR(__xludf.DUMMYFUNCTION("""COMPUTED_VALUE"""),"Day")</f>
        <v>Day</v>
      </c>
      <c r="D1" s="6" t="str">
        <f ca="1">IFERROR(__xludf.DUMMYFUNCTION("""COMPUTED_VALUE"""),"Year")</f>
        <v>Year</v>
      </c>
      <c r="E1" s="6" t="str">
        <f ca="1">IFERROR(__xludf.DUMMYFUNCTION("""COMPUTED_VALUE"""),"Date")</f>
        <v>Date</v>
      </c>
      <c r="F1" s="6" t="str">
        <f ca="1">IFERROR(__xludf.DUMMYFUNCTION("""COMPUTED_VALUE"""),"School")</f>
        <v>School</v>
      </c>
      <c r="G1" s="6" t="str">
        <f ca="1">IFERROR(__xludf.DUMMYFUNCTION("""COMPUTED_VALUE"""),"Victims_Killed")</f>
        <v>Victims_Killed</v>
      </c>
      <c r="H1" s="6" t="str">
        <f ca="1">IFERROR(__xludf.DUMMYFUNCTION("""COMPUTED_VALUE"""),"Victims_Wounded")</f>
        <v>Victims_Wounded</v>
      </c>
      <c r="I1" s="6" t="str">
        <f ca="1">IFERROR(__xludf.DUMMYFUNCTION("""COMPUTED_VALUE"""),"Number_Victims")</f>
        <v>Number_Victims</v>
      </c>
      <c r="J1" s="6" t="str">
        <f ca="1">IFERROR(__xludf.DUMMYFUNCTION("""COMPUTED_VALUE"""),"Shooter_Killed")</f>
        <v>Shooter_Killed</v>
      </c>
      <c r="K1" s="6" t="str">
        <f ca="1">IFERROR(__xludf.DUMMYFUNCTION("""COMPUTED_VALUE"""),"Source")</f>
        <v>Source</v>
      </c>
      <c r="L1" s="6" t="str">
        <f ca="1">IFERROR(__xludf.DUMMYFUNCTION("""COMPUTED_VALUE"""),"Number_News")</f>
        <v>Number_News</v>
      </c>
      <c r="M1" s="6" t="str">
        <f ca="1">IFERROR(__xludf.DUMMYFUNCTION("""COMPUTED_VALUE"""),"Media_Attention")</f>
        <v>Media_Attention</v>
      </c>
      <c r="N1" s="6" t="str">
        <f ca="1">IFERROR(__xludf.DUMMYFUNCTION("""COMPUTED_VALUE"""),"Reliability")</f>
        <v>Reliability</v>
      </c>
      <c r="O1" s="6" t="str">
        <f ca="1">IFERROR(__xludf.DUMMYFUNCTION("""COMPUTED_VALUE"""),"Quarter")</f>
        <v>Quarter</v>
      </c>
      <c r="P1" s="6" t="str">
        <f ca="1">IFERROR(__xludf.DUMMYFUNCTION("""COMPUTED_VALUE"""),"City")</f>
        <v>City</v>
      </c>
      <c r="Q1" s="6" t="str">
        <f ca="1">IFERROR(__xludf.DUMMYFUNCTION("""COMPUTED_VALUE"""),"State")</f>
        <v>State</v>
      </c>
      <c r="R1" s="6" t="str">
        <f ca="1">IFERROR(__xludf.DUMMYFUNCTION("""COMPUTED_VALUE"""),"School_Level")</f>
        <v>School_Level</v>
      </c>
      <c r="S1" s="6" t="str">
        <f ca="1">IFERROR(__xludf.DUMMYFUNCTION("""COMPUTED_VALUE"""),"Location")</f>
        <v>Location</v>
      </c>
      <c r="T1" s="6" t="str">
        <f ca="1">IFERROR(__xludf.DUMMYFUNCTION("""COMPUTED_VALUE"""),"Location_Type")</f>
        <v>Location_Type</v>
      </c>
      <c r="U1" s="6" t="str">
        <f ca="1">IFERROR(__xludf.DUMMYFUNCTION("""COMPUTED_VALUE"""),"During_Classes")</f>
        <v>During_Classes</v>
      </c>
      <c r="V1" s="6" t="str">
        <f ca="1">IFERROR(__xludf.DUMMYFUNCTION("""COMPUTED_VALUE"""),"Time_Period")</f>
        <v>Time_Period</v>
      </c>
      <c r="W1" s="6" t="str">
        <f ca="1">IFERROR(__xludf.DUMMYFUNCTION("""COMPUTED_VALUE"""),"First_Shot")</f>
        <v>First_Shot</v>
      </c>
      <c r="X1" s="6" t="str">
        <f ca="1">IFERROR(__xludf.DUMMYFUNCTION("""COMPUTED_VALUE"""),"Duration_min")</f>
        <v>Duration_min</v>
      </c>
      <c r="Y1" s="7" t="str">
        <f ca="1">IFERROR(__xludf.DUMMYFUNCTION("""COMPUTED_VALUE"""),"Summary")</f>
        <v>Summary</v>
      </c>
      <c r="Z1" s="7" t="str">
        <f ca="1">IFERROR(__xludf.DUMMYFUNCTION("""COMPUTED_VALUE"""),"Narrative")</f>
        <v>Narrative</v>
      </c>
      <c r="AA1" s="6" t="str">
        <f ca="1">IFERROR(__xludf.DUMMYFUNCTION("""COMPUTED_VALUE"""),"Situation")</f>
        <v>Situation</v>
      </c>
      <c r="AB1" s="6" t="str">
        <f ca="1">IFERROR(__xludf.DUMMYFUNCTION("""COMPUTED_VALUE"""),"GV_Type")</f>
        <v>GV_Type</v>
      </c>
      <c r="AC1" s="6" t="str">
        <f ca="1">IFERROR(__xludf.DUMMYFUNCTION("""COMPUTED_VALUE"""),"Involves_Students_Staff")</f>
        <v>Involves_Students_Staff</v>
      </c>
      <c r="AD1" s="6" t="str">
        <f ca="1">IFERROR(__xludf.DUMMYFUNCTION("""COMPUTED_VALUE"""),"Targets")</f>
        <v>Targets</v>
      </c>
      <c r="AE1" s="6" t="str">
        <f ca="1">IFERROR(__xludf.DUMMYFUNCTION("""COMPUTED_VALUE"""),"Accomplice")</f>
        <v>Accomplice</v>
      </c>
      <c r="AF1" s="6" t="str">
        <f ca="1">IFERROR(__xludf.DUMMYFUNCTION("""COMPUTED_VALUE"""),"Accomplice_Narrative")</f>
        <v>Accomplice_Narrative</v>
      </c>
      <c r="AG1" s="6" t="str">
        <f ca="1">IFERROR(__xludf.DUMMYFUNCTION("""COMPUTED_VALUE"""),"Hostages")</f>
        <v>Hostages</v>
      </c>
      <c r="AH1" s="6" t="str">
        <f ca="1">IFERROR(__xludf.DUMMYFUNCTION("""COMPUTED_VALUE"""),"Barricade")</f>
        <v>Barricade</v>
      </c>
      <c r="AI1" s="6" t="str">
        <f ca="1">IFERROR(__xludf.DUMMYFUNCTION("""COMPUTED_VALUE"""),"Officer_Involved")</f>
        <v>Officer_Involved</v>
      </c>
      <c r="AJ1" s="6" t="str">
        <f ca="1">IFERROR(__xludf.DUMMYFUNCTION("""COMPUTED_VALUE"""),"Bullied")</f>
        <v>Bullied</v>
      </c>
      <c r="AK1" s="6" t="str">
        <f ca="1">IFERROR(__xludf.DUMMYFUNCTION("""COMPUTED_VALUE"""),"Domestic_Violence")</f>
        <v>Domestic_Violence</v>
      </c>
      <c r="AL1" s="4" t="str">
        <f ca="1">IFERROR(__xludf.DUMMYFUNCTION("""COMPUTED_VALUE"""),"Gang_Related")</f>
        <v>Gang_Related</v>
      </c>
      <c r="AM1" s="4" t="str">
        <f ca="1">IFERROR(__xludf.DUMMYFUNCTION("""COMPUTED_VALUE"""),"Active_Shooter_FBI")</f>
        <v>Active_Shooter_FBI</v>
      </c>
      <c r="AN1" s="6" t="str">
        <f ca="1">IFERROR(__xludf.DUMMYFUNCTION("""COMPUTED_VALUE"""),"Multiple_Location")</f>
        <v>Multiple_Location</v>
      </c>
      <c r="AO1" s="4" t="str">
        <f ca="1">IFERROR(__xludf.DUMMYFUNCTION("""COMPUTED_VALUE"""),"Preplanned")</f>
        <v>Preplanned</v>
      </c>
      <c r="AP1" s="6" t="str">
        <f ca="1">IFERROR(__xludf.DUMMYFUNCTION("IMPORTRANGE(""https://docs.google.com/spreadsheets/d/13by1rx0kMN24Sm2nKqqR6GsRtIyhgOO8U6IyuCHwhEU/edit#gid=1519919770"", ""Incident!AR1:AT5000"")"),"SRO_School")</f>
        <v>SRO_School</v>
      </c>
      <c r="AQ1" s="6" t="str">
        <f ca="1">IFERROR(__xludf.DUMMYFUNCTION("""COMPUTED_VALUE"""),"Security_Screening")</f>
        <v>Security_Screening</v>
      </c>
      <c r="AR1" s="6" t="str">
        <f ca="1">IFERROR(__xludf.DUMMYFUNCTION("""COMPUTED_VALUE"""),"Screening_Outcome")</f>
        <v>Screening_Outcome</v>
      </c>
      <c r="AS1" s="4" t="str">
        <f ca="1">IFERROR(__xludf.DUMMYFUNCTION("IMPORTRANGE(""https://docs.google.com/spreadsheets/d/13by1rx0kMN24Sm2nKqqR6GsRtIyhgOO8U6IyuCHwhEU/edit#gid=1519919770"", ""Incident!AW1:AW5000"")"),"Shots_Fired")</f>
        <v>Shots_Fired</v>
      </c>
      <c r="AT1" s="4" t="str">
        <f ca="1">IFERROR(__xludf.DUMMYFUNCTION("IMPORTRANGE(""https://docs.google.com/spreadsheets/d/13by1rx0kMN24Sm2nKqqR6GsRtIyhgOO8U6IyuCHwhEU/edit#gid=1519919770"", ""Incident!BE1:BE5000"")"),"School_Lockdown")</f>
        <v>School_Lockdown</v>
      </c>
      <c r="AU1" s="4" t="str">
        <f ca="1">IFERROR(__xludf.DUMMYFUNCTION("IMPORTRANGE(""https://docs.google.com/spreadsheets/d/13by1rx0kMN24Sm2nKqqR6GsRtIyhgOO8U6IyuCHwhEU/edit#gid=1519919770"", ""Incident!DW1:DY5000"")"),"LAT")</f>
        <v>LAT</v>
      </c>
      <c r="AV1" s="6" t="str">
        <f ca="1">IFERROR(__xludf.DUMMYFUNCTION("""COMPUTED_VALUE"""),"LNG")</f>
        <v>LNG</v>
      </c>
      <c r="AW1" s="6" t="str">
        <f ca="1">IFERROR(__xludf.DUMMYFUNCTION("""COMPUTED_VALUE"""),"Campus_Type")</f>
        <v>Campus_Type</v>
      </c>
      <c r="AX1" s="4" t="str">
        <f ca="1">IFERROR(__xludf.DUMMYFUNCTION("IMPORTRANGE(""https://docs.google.com/spreadsheets/d/13by1rx0kMN24Sm2nKqqR6GsRtIyhgOO8U6IyuCHwhEU/edit#gid=1519919770"", ""Incident!EB1:EB5000"")"),"Zipcode")</f>
        <v>Zipcode</v>
      </c>
      <c r="AY1" s="3"/>
      <c r="AZ1" s="3"/>
      <c r="BA1" s="3"/>
      <c r="BB1" s="3"/>
    </row>
    <row r="2" spans="1:54" ht="255" x14ac:dyDescent="0.2">
      <c r="A2" s="8" t="str">
        <f ca="1">IFERROR(__xludf.DUMMYFUNCTION("""COMPUTED_VALUE"""),"20250920TXSAL")</f>
        <v>20250920TXSAL</v>
      </c>
      <c r="B2" s="8">
        <f ca="1">IFERROR(__xludf.DUMMYFUNCTION("""COMPUTED_VALUE"""),9)</f>
        <v>9</v>
      </c>
      <c r="C2" s="8">
        <f ca="1">IFERROR(__xludf.DUMMYFUNCTION("""COMPUTED_VALUE"""),20)</f>
        <v>20</v>
      </c>
      <c r="D2" s="8">
        <f ca="1">IFERROR(__xludf.DUMMYFUNCTION("""COMPUTED_VALUE"""),2025)</f>
        <v>2025</v>
      </c>
      <c r="E2" s="9">
        <f ca="1">IFERROR(__xludf.DUMMYFUNCTION("""COMPUTED_VALUE"""),45920)</f>
        <v>45920</v>
      </c>
      <c r="F2" s="8" t="str">
        <f ca="1">IFERROR(__xludf.DUMMYFUNCTION("""COMPUTED_VALUE"""),"San Isidro Elementary School")</f>
        <v>San Isidro Elementary School</v>
      </c>
      <c r="G2" s="8">
        <f ca="1">IFERROR(__xludf.DUMMYFUNCTION("""COMPUTED_VALUE"""),0)</f>
        <v>0</v>
      </c>
      <c r="H2" s="8">
        <f ca="1">IFERROR(__xludf.DUMMYFUNCTION("""COMPUTED_VALUE"""),0)</f>
        <v>0</v>
      </c>
      <c r="I2" s="8">
        <f ca="1">IFERROR(__xludf.DUMMYFUNCTION("""COMPUTED_VALUE"""),0)</f>
        <v>0</v>
      </c>
      <c r="J2" s="8">
        <f ca="1">IFERROR(__xludf.DUMMYFUNCTION("""COMPUTED_VALUE"""),0)</f>
        <v>0</v>
      </c>
      <c r="K2" s="10" t="str">
        <f ca="1">IFERROR(__xludf.DUMMYFUNCTION("""COMPUTED_VALUE"""),"https://www.lmtonline.com/local/article/gun-shooting-shots-fired-police-crime-san-isidro-21058585.php")</f>
        <v>https://www.lmtonline.com/local/article/gun-shooting-shots-fired-police-crime-san-isidro-21058585.php</v>
      </c>
      <c r="L2" s="8">
        <f ca="1">IFERROR(__xludf.DUMMYFUNCTION("""COMPUTED_VALUE"""),1)</f>
        <v>1</v>
      </c>
      <c r="M2" s="8" t="str">
        <f ca="1">IFERROR(__xludf.DUMMYFUNCTION("""COMPUTED_VALUE"""),"Local")</f>
        <v>Local</v>
      </c>
      <c r="N2" s="8">
        <f ca="1">IFERROR(__xludf.DUMMYFUNCTION("""COMPUTED_VALUE"""),4)</f>
        <v>4</v>
      </c>
      <c r="O2" s="8" t="str">
        <f ca="1">IFERROR(__xludf.DUMMYFUNCTION("""COMPUTED_VALUE"""),"Fall")</f>
        <v>Fall</v>
      </c>
      <c r="P2" s="8" t="str">
        <f ca="1">IFERROR(__xludf.DUMMYFUNCTION("""COMPUTED_VALUE"""),"Lareno")</f>
        <v>Lareno</v>
      </c>
      <c r="Q2" s="8" t="str">
        <f ca="1">IFERROR(__xludf.DUMMYFUNCTION("""COMPUTED_VALUE"""),"TX")</f>
        <v>TX</v>
      </c>
      <c r="R2" s="8" t="str">
        <f ca="1">IFERROR(__xludf.DUMMYFUNCTION("""COMPUTED_VALUE"""),"Elementary")</f>
        <v>Elementary</v>
      </c>
      <c r="S2" s="8" t="str">
        <f ca="1">IFERROR(__xludf.DUMMYFUNCTION("""COMPUTED_VALUE"""),"Outside on School Property")</f>
        <v>Outside on School Property</v>
      </c>
      <c r="T2" s="8" t="str">
        <f ca="1">IFERROR(__xludf.DUMMYFUNCTION("""COMPUTED_VALUE"""),"Outside on School Property")</f>
        <v>Outside on School Property</v>
      </c>
      <c r="U2" s="8" t="str">
        <f ca="1">IFERROR(__xludf.DUMMYFUNCTION("""COMPUTED_VALUE"""),"No")</f>
        <v>No</v>
      </c>
      <c r="V2" s="8" t="str">
        <f ca="1">IFERROR(__xludf.DUMMYFUNCTION("""COMPUTED_VALUE"""),"Night")</f>
        <v>Night</v>
      </c>
      <c r="W2" s="11">
        <f ca="1">IFERROR(__xludf.DUMMYFUNCTION("""COMPUTED_VALUE"""),0.0694444444444444)</f>
        <v>6.9444444444444406E-2</v>
      </c>
      <c r="X2" s="8">
        <f ca="1">IFERROR(__xludf.DUMMYFUNCTION("""COMPUTED_VALUE"""),1)</f>
        <v>1</v>
      </c>
      <c r="Y2" s="12" t="str">
        <f ca="1">IFERROR(__xludf.DUMMYFUNCTION("""COMPUTED_VALUE"""),"Two teens fired shots with an AR-15 rifle on the campus")</f>
        <v>Two teens fired shots with an AR-15 rifle on the campus</v>
      </c>
      <c r="Z2" s="12" t="str">
        <f ca="1">IFERROR(__xludf.DUMMYFUNCTION("""COMPUTED_VALUE"""),"
Two teenagers were arrested early Saturday for allegedly firing a semi-automatic rifle near a north Laredo elementary school. According to police, dispatch received a call around 1:40 a.m. reporting shots fired near the intersection of Veracruz Drive an"&amp;"d Sonora Drive. Arriving officers noticed a black Ford pickup truck leaving the area. Officers conducted a traffic stop and began investigating the suspects, both 18-year-old men. Assisting officers found several spent casings near San Isidro Elementary S"&amp;"chool at 11021 Bucky Houdmann Blvd. No weapons were found in the vehicle, but the suspects confessed to each having fired rounds before disposing of the guns when they noticed officers approaching the area. After a diligent search, officers found a black "&amp;"semi-automatic 5.56-caliber rifle at 201 Kahlo Loop. They also found two empty ammunition magazines.")</f>
        <v xml:space="preserve">
Two teenagers were arrested early Saturday for allegedly firing a semi-automatic rifle near a north Laredo elementary school. According to police, dispatch received a call around 1:40 a.m. reporting shots fired near the intersection of Veracruz Drive and Sonora Drive. Arriving officers noticed a black Ford pickup truck leaving the area. Officers conducted a traffic stop and began investigating the suspects, both 18-year-old men. Assisting officers found several spent casings near San Isidro Elementary School at 11021 Bucky Houdmann Blvd. No weapons were found in the vehicle, but the suspects confessed to each having fired rounds before disposing of the guns when they noticed officers approaching the area. After a diligent search, officers found a black semi-automatic 5.56-caliber rifle at 201 Kahlo Loop. They also found two empty ammunition magazines.</v>
      </c>
      <c r="AA2" s="8"/>
      <c r="AB2" s="8"/>
      <c r="AC2" s="8" t="str">
        <f ca="1">IFERROR(__xludf.DUMMYFUNCTION("""COMPUTED_VALUE"""),"No")</f>
        <v>No</v>
      </c>
      <c r="AD2" s="8" t="str">
        <f ca="1">IFERROR(__xludf.DUMMYFUNCTION("""COMPUTED_VALUE"""),"Neither")</f>
        <v>Neither</v>
      </c>
      <c r="AE2" s="8" t="str">
        <f ca="1">IFERROR(__xludf.DUMMYFUNCTION("""COMPUTED_VALUE"""),"Yes")</f>
        <v>Yes</v>
      </c>
      <c r="AF2" s="8" t="str">
        <f ca="1">IFERROR(__xludf.DUMMYFUNCTION("""COMPUTED_VALUE"""),"Two teen")</f>
        <v>Two teen</v>
      </c>
      <c r="AG2" s="8" t="str">
        <f ca="1">IFERROR(__xludf.DUMMYFUNCTION("""COMPUTED_VALUE"""),"No")</f>
        <v>No</v>
      </c>
      <c r="AH2" s="8" t="str">
        <f ca="1">IFERROR(__xludf.DUMMYFUNCTION("""COMPUTED_VALUE"""),"No")</f>
        <v>No</v>
      </c>
      <c r="AI2" s="8" t="str">
        <f ca="1">IFERROR(__xludf.DUMMYFUNCTION("""COMPUTED_VALUE"""),"No")</f>
        <v>No</v>
      </c>
      <c r="AJ2" s="8" t="str">
        <f ca="1">IFERROR(__xludf.DUMMYFUNCTION("""COMPUTED_VALUE"""),"No")</f>
        <v>No</v>
      </c>
      <c r="AK2" s="8" t="str">
        <f ca="1">IFERROR(__xludf.DUMMYFUNCTION("""COMPUTED_VALUE"""),"No")</f>
        <v>No</v>
      </c>
      <c r="AL2" s="8"/>
      <c r="AM2" s="8" t="str">
        <f ca="1">IFERROR(__xludf.DUMMYFUNCTION("""COMPUTED_VALUE"""),"No")</f>
        <v>No</v>
      </c>
      <c r="AN2" s="8" t="str">
        <f ca="1">IFERROR(__xludf.DUMMYFUNCTION("""COMPUTED_VALUE"""),"Outside")</f>
        <v>Outside</v>
      </c>
      <c r="AO2" s="8" t="str">
        <f ca="1">IFERROR(__xludf.DUMMYFUNCTION("""COMPUTED_VALUE"""),"No")</f>
        <v>No</v>
      </c>
      <c r="AP2" s="8"/>
      <c r="AQ2" s="8"/>
      <c r="AR2" s="8" t="str">
        <f ca="1">IFERROR(__xludf.DUMMYFUNCTION("""COMPUTED_VALUE"""),"Outside/Off-Property")</f>
        <v>Outside/Off-Property</v>
      </c>
      <c r="AS2" s="8">
        <f ca="1">IFERROR(__xludf.DUMMYFUNCTION("""COMPUTED_VALUE"""),99)</f>
        <v>99</v>
      </c>
      <c r="AT2" s="8" t="str">
        <f ca="1">IFERROR(__xludf.DUMMYFUNCTION("""COMPUTED_VALUE"""),"No")</f>
        <v>No</v>
      </c>
      <c r="AU2" s="8">
        <f ca="1">IFERROR(__xludf.DUMMYFUNCTION("""COMPUTED_VALUE"""),27.619918)</f>
        <v>27.619917999999998</v>
      </c>
      <c r="AV2" s="8">
        <f ca="1">IFERROR(__xludf.DUMMYFUNCTION("""COMPUTED_VALUE"""),-99.458614)</f>
        <v>-99.458613999999997</v>
      </c>
      <c r="AW2" s="8" t="str">
        <f ca="1">IFERROR(__xludf.DUMMYFUNCTION("""COMPUTED_VALUE"""),"Single building indoor hallway")</f>
        <v>Single building indoor hallway</v>
      </c>
      <c r="AX2" s="8">
        <f ca="1">IFERROR(__xludf.DUMMYFUNCTION("""COMPUTED_VALUE"""),78045)</f>
        <v>78045</v>
      </c>
    </row>
    <row r="3" spans="1:54" ht="270" x14ac:dyDescent="0.2">
      <c r="A3" s="8" t="str">
        <f ca="1">IFERROR(__xludf.DUMMYFUNCTION("""COMPUTED_VALUE"""),"20250920OHCAY")</f>
        <v>20250920OHCAY</v>
      </c>
      <c r="B3" s="8">
        <f ca="1">IFERROR(__xludf.DUMMYFUNCTION("""COMPUTED_VALUE"""),9)</f>
        <v>9</v>
      </c>
      <c r="C3" s="8">
        <f ca="1">IFERROR(__xludf.DUMMYFUNCTION("""COMPUTED_VALUE"""),20)</f>
        <v>20</v>
      </c>
      <c r="D3" s="8">
        <f ca="1">IFERROR(__xludf.DUMMYFUNCTION("""COMPUTED_VALUE"""),2025)</f>
        <v>2025</v>
      </c>
      <c r="E3" s="9">
        <f ca="1">IFERROR(__xludf.DUMMYFUNCTION("""COMPUTED_VALUE"""),45920)</f>
        <v>45920</v>
      </c>
      <c r="F3" s="8" t="str">
        <f ca="1">IFERROR(__xludf.DUMMYFUNCTION("""COMPUTED_VALUE"""),"Cardinal Mooney High School")</f>
        <v>Cardinal Mooney High School</v>
      </c>
      <c r="G3" s="8">
        <f ca="1">IFERROR(__xludf.DUMMYFUNCTION("""COMPUTED_VALUE"""),0)</f>
        <v>0</v>
      </c>
      <c r="H3" s="8">
        <f ca="1">IFERROR(__xludf.DUMMYFUNCTION("""COMPUTED_VALUE"""),1)</f>
        <v>1</v>
      </c>
      <c r="I3" s="8">
        <f ca="1">IFERROR(__xludf.DUMMYFUNCTION("""COMPUTED_VALUE"""),1)</f>
        <v>1</v>
      </c>
      <c r="J3" s="8">
        <f ca="1">IFERROR(__xludf.DUMMYFUNCTION("""COMPUTED_VALUE"""),0)</f>
        <v>0</v>
      </c>
      <c r="K3" s="10" t="str">
        <f ca="1">IFERROR(__xludf.DUMMYFUNCTION("""COMPUTED_VALUE"""),"https://www.wkbn.com/news/local-news/youngstown-news/police-presence-near-stambaugh-stadium-in-youngstown/")</f>
        <v>https://www.wkbn.com/news/local-news/youngstown-news/police-presence-near-stambaugh-stadium-in-youngstown/</v>
      </c>
      <c r="L3" s="8">
        <f ca="1">IFERROR(__xludf.DUMMYFUNCTION("""COMPUTED_VALUE"""),10)</f>
        <v>10</v>
      </c>
      <c r="M3" s="8" t="str">
        <f ca="1">IFERROR(__xludf.DUMMYFUNCTION("""COMPUTED_VALUE"""),"Regional")</f>
        <v>Regional</v>
      </c>
      <c r="N3" s="8">
        <f ca="1">IFERROR(__xludf.DUMMYFUNCTION("""COMPUTED_VALUE"""),4)</f>
        <v>4</v>
      </c>
      <c r="O3" s="8" t="str">
        <f ca="1">IFERROR(__xludf.DUMMYFUNCTION("""COMPUTED_VALUE"""),"Fall")</f>
        <v>Fall</v>
      </c>
      <c r="P3" s="8" t="str">
        <f ca="1">IFERROR(__xludf.DUMMYFUNCTION("""COMPUTED_VALUE"""),"Youngstown")</f>
        <v>Youngstown</v>
      </c>
      <c r="Q3" s="8" t="str">
        <f ca="1">IFERROR(__xludf.DUMMYFUNCTION("""COMPUTED_VALUE"""),"OH")</f>
        <v>OH</v>
      </c>
      <c r="R3" s="8" t="str">
        <f ca="1">IFERROR(__xludf.DUMMYFUNCTION("""COMPUTED_VALUE"""),"High")</f>
        <v>High</v>
      </c>
      <c r="S3" s="8" t="str">
        <f ca="1">IFERROR(__xludf.DUMMYFUNCTION("""COMPUTED_VALUE"""),"Football Field/Track")</f>
        <v>Football Field/Track</v>
      </c>
      <c r="T3" s="8" t="str">
        <f ca="1">IFERROR(__xludf.DUMMYFUNCTION("""COMPUTED_VALUE"""),"Outside on School Property")</f>
        <v>Outside on School Property</v>
      </c>
      <c r="U3" s="8" t="str">
        <f ca="1">IFERROR(__xludf.DUMMYFUNCTION("""COMPUTED_VALUE"""),"No")</f>
        <v>No</v>
      </c>
      <c r="V3" s="8" t="str">
        <f ca="1">IFERROR(__xludf.DUMMYFUNCTION("""COMPUTED_VALUE"""),"Sport Event")</f>
        <v>Sport Event</v>
      </c>
      <c r="W3" s="11">
        <f ca="1">IFERROR(__xludf.DUMMYFUNCTION("""COMPUTED_VALUE"""),0.902083333333333)</f>
        <v>0.90208333333333302</v>
      </c>
      <c r="X3" s="8">
        <f ca="1">IFERROR(__xludf.DUMMYFUNCTION("""COMPUTED_VALUE"""),1)</f>
        <v>1</v>
      </c>
      <c r="Y3" s="12" t="str">
        <f ca="1">IFERROR(__xludf.DUMMYFUNCTION("""COMPUTED_VALUE"""),"Student shot inside the stadium at the end of high school football game")</f>
        <v>Student shot inside the stadium at the end of high school football game</v>
      </c>
      <c r="Z3" s="12" t="str">
        <f ca="1">IFERROR(__xludf.DUMMYFUNCTION("""COMPUTED_VALUE"""),"An incident occurred following the Cardinal Mooney High School football game, and someone was taken to the hospital, according to Youngstown State University police. “At tonight’s football game at YSU Stadium, there was a gunshot at the stadium after the "&amp;"game. One of our students was injured in the shooting and was taken straight to the hospital. The student is recovering and is in stable condition. The student’s family thanks you for your continued prayers for a full and speedy recovery,” Cardinal Mooney"&amp;" High School Principal Brenden Considine said in a statement Saturday night following the incident. On Saturday night at approximately 9:39 p.m., Youngstown State University sent out an alert to avoid Stambaugh Stadium, while the alert said that there was"&amp;" no immediate danger as the “situation is under control.” At approximately 10:10 p.m., Youngstown Police officers had reportedly left the scene, with Youngstown State University police appearing to vacate the area shortly after.")</f>
        <v>An incident occurred following the Cardinal Mooney High School football game, and someone was taken to the hospital, according to Youngstown State University police. “At tonight’s football game at YSU Stadium, there was a gunshot at the stadium after the game. One of our students was injured in the shooting and was taken straight to the hospital. The student is recovering and is in stable condition. The student’s family thanks you for your continued prayers for a full and speedy recovery,” Cardinal Mooney High School Principal Brenden Considine said in a statement Saturday night following the incident. On Saturday night at approximately 9:39 p.m., Youngstown State University sent out an alert to avoid Stambaugh Stadium, while the alert said that there was no immediate danger as the “situation is under control.” At approximately 10:10 p.m., Youngstown Police officers had reportedly left the scene, with Youngstown State University police appearing to vacate the area shortly after.</v>
      </c>
      <c r="AA3" s="8" t="str">
        <f ca="1">IFERROR(__xludf.DUMMYFUNCTION("""COMPUTED_VALUE"""),"Escalation of Dispute")</f>
        <v>Escalation of Dispute</v>
      </c>
      <c r="AB3" s="8" t="str">
        <f ca="1">IFERROR(__xludf.DUMMYFUNCTION("""COMPUTED_VALUE"""),"Spontaneous")</f>
        <v>Spontaneous</v>
      </c>
      <c r="AC3" s="8" t="str">
        <f ca="1">IFERROR(__xludf.DUMMYFUNCTION("""COMPUTED_VALUE"""),"Yes")</f>
        <v>Yes</v>
      </c>
      <c r="AD3" s="8" t="str">
        <f ca="1">IFERROR(__xludf.DUMMYFUNCTION("""COMPUTED_VALUE"""),"Victims Targeted")</f>
        <v>Victims Targeted</v>
      </c>
      <c r="AE3" s="8"/>
      <c r="AF3" s="8"/>
      <c r="AG3" s="8" t="str">
        <f ca="1">IFERROR(__xludf.DUMMYFUNCTION("""COMPUTED_VALUE"""),"No")</f>
        <v>No</v>
      </c>
      <c r="AH3" s="8" t="str">
        <f ca="1">IFERROR(__xludf.DUMMYFUNCTION("""COMPUTED_VALUE"""),"No")</f>
        <v>No</v>
      </c>
      <c r="AI3" s="8" t="str">
        <f ca="1">IFERROR(__xludf.DUMMYFUNCTION("""COMPUTED_VALUE"""),"No")</f>
        <v>No</v>
      </c>
      <c r="AJ3" s="8" t="str">
        <f ca="1">IFERROR(__xludf.DUMMYFUNCTION("""COMPUTED_VALUE"""),"No")</f>
        <v>No</v>
      </c>
      <c r="AK3" s="8" t="str">
        <f ca="1">IFERROR(__xludf.DUMMYFUNCTION("""COMPUTED_VALUE"""),"No")</f>
        <v>No</v>
      </c>
      <c r="AL3" s="8"/>
      <c r="AM3" s="8" t="str">
        <f ca="1">IFERROR(__xludf.DUMMYFUNCTION("""COMPUTED_VALUE"""),"No")</f>
        <v>No</v>
      </c>
      <c r="AN3" s="8" t="str">
        <f ca="1">IFERROR(__xludf.DUMMYFUNCTION("""COMPUTED_VALUE"""),"Outside")</f>
        <v>Outside</v>
      </c>
      <c r="AO3" s="8" t="str">
        <f ca="1">IFERROR(__xludf.DUMMYFUNCTION("""COMPUTED_VALUE"""),"No")</f>
        <v>No</v>
      </c>
      <c r="AP3" s="8" t="str">
        <f ca="1">IFERROR(__xludf.DUMMYFUNCTION("""COMPUTED_VALUE"""),"Yes")</f>
        <v>Yes</v>
      </c>
      <c r="AQ3" s="8"/>
      <c r="AR3" s="8" t="str">
        <f ca="1">IFERROR(__xludf.DUMMYFUNCTION("""COMPUTED_VALUE"""),"Failed")</f>
        <v>Failed</v>
      </c>
      <c r="AS3" s="8">
        <f ca="1">IFERROR(__xludf.DUMMYFUNCTION("""COMPUTED_VALUE"""),99)</f>
        <v>99</v>
      </c>
      <c r="AT3" s="8" t="str">
        <f ca="1">IFERROR(__xludf.DUMMYFUNCTION("""COMPUTED_VALUE"""),"No")</f>
        <v>No</v>
      </c>
      <c r="AU3" s="8">
        <f ca="1">IFERROR(__xludf.DUMMYFUNCTION("""COMPUTED_VALUE"""),41.110144)</f>
        <v>41.110143999999998</v>
      </c>
      <c r="AV3" s="8">
        <f ca="1">IFERROR(__xludf.DUMMYFUNCTION("""COMPUTED_VALUE"""),-80.64989)</f>
        <v>-80.649889999999999</v>
      </c>
      <c r="AW3" s="8"/>
      <c r="AX3" s="8">
        <f ca="1">IFERROR(__xludf.DUMMYFUNCTION("""COMPUTED_VALUE"""),44502)</f>
        <v>44502</v>
      </c>
    </row>
    <row r="4" spans="1:54" ht="105" x14ac:dyDescent="0.2">
      <c r="A4" s="8" t="str">
        <f ca="1">IFERROR(__xludf.DUMMYFUNCTION("""COMPUTED_VALUE"""),"20250919MSGAG")</f>
        <v>20250919MSGAG</v>
      </c>
      <c r="B4" s="8">
        <f ca="1">IFERROR(__xludf.DUMMYFUNCTION("""COMPUTED_VALUE"""),9)</f>
        <v>9</v>
      </c>
      <c r="C4" s="8">
        <f ca="1">IFERROR(__xludf.DUMMYFUNCTION("""COMPUTED_VALUE"""),19)</f>
        <v>19</v>
      </c>
      <c r="D4" s="8">
        <f ca="1">IFERROR(__xludf.DUMMYFUNCTION("""COMPUTED_VALUE"""),2025)</f>
        <v>2025</v>
      </c>
      <c r="E4" s="9">
        <f ca="1">IFERROR(__xludf.DUMMYFUNCTION("""COMPUTED_VALUE"""),45919)</f>
        <v>45919</v>
      </c>
      <c r="F4" s="8" t="str">
        <f ca="1">IFERROR(__xludf.DUMMYFUNCTION("""COMPUTED_VALUE"""),"Gautier High School")</f>
        <v>Gautier High School</v>
      </c>
      <c r="G4" s="8">
        <f ca="1">IFERROR(__xludf.DUMMYFUNCTION("""COMPUTED_VALUE"""),1)</f>
        <v>1</v>
      </c>
      <c r="H4" s="8">
        <f ca="1">IFERROR(__xludf.DUMMYFUNCTION("""COMPUTED_VALUE"""),2)</f>
        <v>2</v>
      </c>
      <c r="I4" s="8">
        <f ca="1">IFERROR(__xludf.DUMMYFUNCTION("""COMPUTED_VALUE"""),3)</f>
        <v>3</v>
      </c>
      <c r="J4" s="8">
        <f ca="1">IFERROR(__xludf.DUMMYFUNCTION("""COMPUTED_VALUE"""),0)</f>
        <v>0</v>
      </c>
      <c r="K4" s="10" t="str">
        <f ca="1">IFERROR(__xludf.DUMMYFUNCTION("""COMPUTED_VALUE"""),"https://www.wlox.com/2025/09/20/shooting-gautier-high-alumni-homecoming-event-leaves-one-dead-police-say/
https://www.sunherald.com/news/local/crime/article312179859.html")</f>
        <v>https://www.wlox.com/2025/09/20/shooting-gautier-high-alumni-homecoming-event-leaves-one-dead-police-say/
https://www.sunherald.com/news/local/crime/article312179859.html</v>
      </c>
      <c r="L4" s="8">
        <f ca="1">IFERROR(__xludf.DUMMYFUNCTION("""COMPUTED_VALUE"""),5)</f>
        <v>5</v>
      </c>
      <c r="M4" s="8" t="str">
        <f ca="1">IFERROR(__xludf.DUMMYFUNCTION("""COMPUTED_VALUE"""),"Regional")</f>
        <v>Regional</v>
      </c>
      <c r="N4" s="8">
        <f ca="1">IFERROR(__xludf.DUMMYFUNCTION("""COMPUTED_VALUE"""),4)</f>
        <v>4</v>
      </c>
      <c r="O4" s="8" t="str">
        <f ca="1">IFERROR(__xludf.DUMMYFUNCTION("""COMPUTED_VALUE"""),"Fall")</f>
        <v>Fall</v>
      </c>
      <c r="P4" s="8" t="str">
        <f ca="1">IFERROR(__xludf.DUMMYFUNCTION("""COMPUTED_VALUE"""),"Gautier")</f>
        <v>Gautier</v>
      </c>
      <c r="Q4" s="8" t="str">
        <f ca="1">IFERROR(__xludf.DUMMYFUNCTION("""COMPUTED_VALUE"""),"MS")</f>
        <v>MS</v>
      </c>
      <c r="R4" s="8" t="str">
        <f ca="1">IFERROR(__xludf.DUMMYFUNCTION("""COMPUTED_VALUE"""),"High")</f>
        <v>High</v>
      </c>
      <c r="S4" s="8" t="str">
        <f ca="1">IFERROR(__xludf.DUMMYFUNCTION("""COMPUTED_VALUE"""),"Parking Lot")</f>
        <v>Parking Lot</v>
      </c>
      <c r="T4" s="8" t="str">
        <f ca="1">IFERROR(__xludf.DUMMYFUNCTION("""COMPUTED_VALUE"""),"Outside on School Property")</f>
        <v>Outside on School Property</v>
      </c>
      <c r="U4" s="8" t="str">
        <f ca="1">IFERROR(__xludf.DUMMYFUNCTION("""COMPUTED_VALUE"""),"No")</f>
        <v>No</v>
      </c>
      <c r="V4" s="8" t="str">
        <f ca="1">IFERROR(__xludf.DUMMYFUNCTION("""COMPUTED_VALUE"""),"School Event")</f>
        <v>School Event</v>
      </c>
      <c r="W4" s="11">
        <f ca="1">IFERROR(__xludf.DUMMYFUNCTION("""COMPUTED_VALUE"""),0.916666666666666)</f>
        <v>0.91666666666666596</v>
      </c>
      <c r="X4" s="8">
        <f ca="1">IFERROR(__xludf.DUMMYFUNCTION("""COMPUTED_VALUE"""),1)</f>
        <v>1</v>
      </c>
      <c r="Y4" s="12" t="str">
        <f ca="1">IFERROR(__xludf.DUMMYFUNCTION("""COMPUTED_VALUE"""),"Three people shot during homecoming event")</f>
        <v>Three people shot during homecoming event</v>
      </c>
      <c r="Z4" s="12" t="str">
        <f ca="1">IFERROR(__xludf.DUMMYFUNCTION("""COMPUTED_VALUE"""),"The Gautier Police Department is investigating a deadly shooting that happened during a Gautier High School Alumni Homecoming Event. According to authorities, gunfire broke out around 10 p.m. on Friday on Dolphin Drive near the roundabout. Police said a 2"&amp;"2-year-old from Gautier died from injuries sustained during the shooting. Two others were also taken to the hospital with injuries.")</f>
        <v>The Gautier Police Department is investigating a deadly shooting that happened during a Gautier High School Alumni Homecoming Event. According to authorities, gunfire broke out around 10 p.m. on Friday on Dolphin Drive near the roundabout. Police said a 22-year-old from Gautier died from injuries sustained during the shooting. Two others were also taken to the hospital with injuries.</v>
      </c>
      <c r="AA4" s="8" t="str">
        <f ca="1">IFERROR(__xludf.DUMMYFUNCTION("""COMPUTED_VALUE"""),"Escalation of Dispute")</f>
        <v>Escalation of Dispute</v>
      </c>
      <c r="AB4" s="8" t="str">
        <f ca="1">IFERROR(__xludf.DUMMYFUNCTION("""COMPUTED_VALUE"""),"Spontaneous")</f>
        <v>Spontaneous</v>
      </c>
      <c r="AC4" s="8" t="str">
        <f ca="1">IFERROR(__xludf.DUMMYFUNCTION("""COMPUTED_VALUE"""),"Yes")</f>
        <v>Yes</v>
      </c>
      <c r="AD4" s="8" t="str">
        <f ca="1">IFERROR(__xludf.DUMMYFUNCTION("""COMPUTED_VALUE"""),"Both")</f>
        <v>Both</v>
      </c>
      <c r="AE4" s="8" t="str">
        <f ca="1">IFERROR(__xludf.DUMMYFUNCTION("""COMPUTED_VALUE"""),"No")</f>
        <v>No</v>
      </c>
      <c r="AF4" s="8"/>
      <c r="AG4" s="8" t="str">
        <f ca="1">IFERROR(__xludf.DUMMYFUNCTION("""COMPUTED_VALUE"""),"No")</f>
        <v>No</v>
      </c>
      <c r="AH4" s="8" t="str">
        <f ca="1">IFERROR(__xludf.DUMMYFUNCTION("""COMPUTED_VALUE"""),"No")</f>
        <v>No</v>
      </c>
      <c r="AI4" s="8" t="str">
        <f ca="1">IFERROR(__xludf.DUMMYFUNCTION("""COMPUTED_VALUE"""),"No")</f>
        <v>No</v>
      </c>
      <c r="AJ4" s="8" t="str">
        <f ca="1">IFERROR(__xludf.DUMMYFUNCTION("""COMPUTED_VALUE"""),"No")</f>
        <v>No</v>
      </c>
      <c r="AK4" s="8" t="str">
        <f ca="1">IFERROR(__xludf.DUMMYFUNCTION("""COMPUTED_VALUE"""),"No")</f>
        <v>No</v>
      </c>
      <c r="AL4" s="8" t="str">
        <f ca="1">IFERROR(__xludf.DUMMYFUNCTION("""COMPUTED_VALUE"""),"No")</f>
        <v>No</v>
      </c>
      <c r="AM4" s="8" t="str">
        <f ca="1">IFERROR(__xludf.DUMMYFUNCTION("""COMPUTED_VALUE"""),"No")</f>
        <v>No</v>
      </c>
      <c r="AN4" s="8" t="str">
        <f ca="1">IFERROR(__xludf.DUMMYFUNCTION("""COMPUTED_VALUE"""),"Outside")</f>
        <v>Outside</v>
      </c>
      <c r="AO4" s="8" t="str">
        <f ca="1">IFERROR(__xludf.DUMMYFUNCTION("""COMPUTED_VALUE"""),"No")</f>
        <v>No</v>
      </c>
      <c r="AP4" s="8"/>
      <c r="AQ4" s="8"/>
      <c r="AR4" s="8" t="str">
        <f ca="1">IFERROR(__xludf.DUMMYFUNCTION("""COMPUTED_VALUE"""),"Outside/Off-Property")</f>
        <v>Outside/Off-Property</v>
      </c>
      <c r="AS4" s="8">
        <f ca="1">IFERROR(__xludf.DUMMYFUNCTION("""COMPUTED_VALUE"""),99)</f>
        <v>99</v>
      </c>
      <c r="AT4" s="8" t="str">
        <f ca="1">IFERROR(__xludf.DUMMYFUNCTION("""COMPUTED_VALUE"""),"No")</f>
        <v>No</v>
      </c>
      <c r="AU4" s="8">
        <f ca="1">IFERROR(__xludf.DUMMYFUNCTION("""COMPUTED_VALUE"""),30.404435)</f>
        <v>30.404434999999999</v>
      </c>
      <c r="AV4" s="8">
        <f ca="1">IFERROR(__xludf.DUMMYFUNCTION("""COMPUTED_VALUE"""),-88.661796)</f>
        <v>-88.661795999999995</v>
      </c>
      <c r="AW4" s="8" t="str">
        <f ca="1">IFERROR(__xludf.DUMMYFUNCTION("""COMPUTED_VALUE"""),"Multiple attached buildings")</f>
        <v>Multiple attached buildings</v>
      </c>
      <c r="AX4" s="8">
        <f ca="1">IFERROR(__xludf.DUMMYFUNCTION("""COMPUTED_VALUE"""),49553)</f>
        <v>49553</v>
      </c>
    </row>
    <row r="5" spans="1:54" ht="165" x14ac:dyDescent="0.2">
      <c r="A5" s="8" t="str">
        <f ca="1">IFERROR(__xludf.DUMMYFUNCTION("""COMPUTED_VALUE"""),"20250919MDFOB")</f>
        <v>20250919MDFOB</v>
      </c>
      <c r="B5" s="8">
        <f ca="1">IFERROR(__xludf.DUMMYFUNCTION("""COMPUTED_VALUE"""),9)</f>
        <v>9</v>
      </c>
      <c r="C5" s="8">
        <f ca="1">IFERROR(__xludf.DUMMYFUNCTION("""COMPUTED_VALUE"""),19)</f>
        <v>19</v>
      </c>
      <c r="D5" s="8">
        <f ca="1">IFERROR(__xludf.DUMMYFUNCTION("""COMPUTED_VALUE"""),2025)</f>
        <v>2025</v>
      </c>
      <c r="E5" s="9">
        <f ca="1">IFERROR(__xludf.DUMMYFUNCTION("""COMPUTED_VALUE"""),45919)</f>
        <v>45919</v>
      </c>
      <c r="F5" s="8" t="str">
        <f ca="1">IFERROR(__xludf.DUMMYFUNCTION("""COMPUTED_VALUE"""),"Forest Park High School")</f>
        <v>Forest Park High School</v>
      </c>
      <c r="G5" s="8">
        <f ca="1">IFERROR(__xludf.DUMMYFUNCTION("""COMPUTED_VALUE"""),0)</f>
        <v>0</v>
      </c>
      <c r="H5" s="8">
        <f ca="1">IFERROR(__xludf.DUMMYFUNCTION("""COMPUTED_VALUE"""),1)</f>
        <v>1</v>
      </c>
      <c r="I5" s="8">
        <f ca="1">IFERROR(__xludf.DUMMYFUNCTION("""COMPUTED_VALUE"""),1)</f>
        <v>1</v>
      </c>
      <c r="J5" s="8">
        <f ca="1">IFERROR(__xludf.DUMMYFUNCTION("""COMPUTED_VALUE"""),0)</f>
        <v>0</v>
      </c>
      <c r="K5" s="8" t="str">
        <f ca="1">IFERROR(__xludf.DUMMYFUNCTION("""COMPUTED_VALUE"""),"https://foxbaltimore.com/news/local/baltimore-police-investigate-shooting-of-teenager-near-forest-park-high-school
https://www.thebanner.com/community/local-news/forest-park-high-school-shooting-WWDUIZMGMRDORGD5YZRI5PKXFA/")</f>
        <v>https://foxbaltimore.com/news/local/baltimore-police-investigate-shooting-of-teenager-near-forest-park-high-school
https://www.thebanner.com/community/local-news/forest-park-high-school-shooting-WWDUIZMGMRDORGD5YZRI5PKXFA/</v>
      </c>
      <c r="L5" s="8">
        <f ca="1">IFERROR(__xludf.DUMMYFUNCTION("""COMPUTED_VALUE"""),2)</f>
        <v>2</v>
      </c>
      <c r="M5" s="8" t="str">
        <f ca="1">IFERROR(__xludf.DUMMYFUNCTION("""COMPUTED_VALUE"""),"Local")</f>
        <v>Local</v>
      </c>
      <c r="N5" s="8">
        <f ca="1">IFERROR(__xludf.DUMMYFUNCTION("""COMPUTED_VALUE"""),4)</f>
        <v>4</v>
      </c>
      <c r="O5" s="8" t="str">
        <f ca="1">IFERROR(__xludf.DUMMYFUNCTION("""COMPUTED_VALUE"""),"Fall")</f>
        <v>Fall</v>
      </c>
      <c r="P5" s="8" t="str">
        <f ca="1">IFERROR(__xludf.DUMMYFUNCTION("""COMPUTED_VALUE"""),"Baltimore")</f>
        <v>Baltimore</v>
      </c>
      <c r="Q5" s="8" t="str">
        <f ca="1">IFERROR(__xludf.DUMMYFUNCTION("""COMPUTED_VALUE"""),"MD")</f>
        <v>MD</v>
      </c>
      <c r="R5" s="8" t="str">
        <f ca="1">IFERROR(__xludf.DUMMYFUNCTION("""COMPUTED_VALUE"""),"High")</f>
        <v>High</v>
      </c>
      <c r="S5" s="8" t="str">
        <f ca="1">IFERROR(__xludf.DUMMYFUNCTION("""COMPUTED_VALUE"""),"Beside Building")</f>
        <v>Beside Building</v>
      </c>
      <c r="T5" s="8" t="str">
        <f ca="1">IFERROR(__xludf.DUMMYFUNCTION("""COMPUTED_VALUE"""),"Outside on School Property")</f>
        <v>Outside on School Property</v>
      </c>
      <c r="U5" s="8" t="str">
        <f ca="1">IFERROR(__xludf.DUMMYFUNCTION("""COMPUTED_VALUE"""),"No")</f>
        <v>No</v>
      </c>
      <c r="V5" s="8" t="str">
        <f ca="1">IFERROR(__xludf.DUMMYFUNCTION("""COMPUTED_VALUE"""),"Sport Event")</f>
        <v>Sport Event</v>
      </c>
      <c r="W5" s="11">
        <f ca="1">IFERROR(__xludf.DUMMYFUNCTION("""COMPUTED_VALUE"""),0.765277777777777)</f>
        <v>0.76527777777777695</v>
      </c>
      <c r="X5" s="8">
        <f ca="1">IFERROR(__xludf.DUMMYFUNCTION("""COMPUTED_VALUE"""),1)</f>
        <v>1</v>
      </c>
      <c r="Y5" s="12" t="str">
        <f ca="1">IFERROR(__xludf.DUMMYFUNCTION("""COMPUTED_VALUE"""),"Teen shot on campus during high school football game")</f>
        <v>Teen shot on campus during high school football game</v>
      </c>
      <c r="Z5" s="12" t="str">
        <f ca="1">IFERROR(__xludf.DUMMYFUNCTION("""COMPUTED_VALUE"""),"A 19-year-old male was shot near Forest Park High School on Friday evening, according to Baltimore Police. On September 19 at around 6:22 p.m., officers responded to investigate a reported discharge of a firearm at the 3700 block of Eldorado Avenue. Once "&amp;"there, officials said they located the male with a gunshot wound to the body. The victim was transported to a nearby hospital and is reported to be in stable condition. Residents in the neighborhood said the shooting happened during a football game. “All "&amp;"of a sudden, we heard gunshots and people started running everywhere,” one man said.")</f>
        <v>A 19-year-old male was shot near Forest Park High School on Friday evening, according to Baltimore Police. On September 19 at around 6:22 p.m., officers responded to investigate a reported discharge of a firearm at the 3700 block of Eldorado Avenue. Once there, officials said they located the male with a gunshot wound to the body. The victim was transported to a nearby hospital and is reported to be in stable condition. Residents in the neighborhood said the shooting happened during a football game. “All of a sudden, we heard gunshots and people started running everywhere,” one man said.</v>
      </c>
      <c r="AA5" s="8"/>
      <c r="AB5" s="8"/>
      <c r="AC5" s="8" t="str">
        <f ca="1">IFERROR(__xludf.DUMMYFUNCTION("""COMPUTED_VALUE"""),"Yes")</f>
        <v>Yes</v>
      </c>
      <c r="AD5" s="8" t="str">
        <f ca="1">IFERROR(__xludf.DUMMYFUNCTION("""COMPUTED_VALUE"""),"Victims Targeted")</f>
        <v>Victims Targeted</v>
      </c>
      <c r="AE5" s="8"/>
      <c r="AF5" s="8"/>
      <c r="AG5" s="8" t="str">
        <f ca="1">IFERROR(__xludf.DUMMYFUNCTION("""COMPUTED_VALUE"""),"No")</f>
        <v>No</v>
      </c>
      <c r="AH5" s="8" t="str">
        <f ca="1">IFERROR(__xludf.DUMMYFUNCTION("""COMPUTED_VALUE"""),"No")</f>
        <v>No</v>
      </c>
      <c r="AI5" s="8" t="str">
        <f ca="1">IFERROR(__xludf.DUMMYFUNCTION("""COMPUTED_VALUE"""),"No")</f>
        <v>No</v>
      </c>
      <c r="AJ5" s="8" t="str">
        <f ca="1">IFERROR(__xludf.DUMMYFUNCTION("""COMPUTED_VALUE"""),"No")</f>
        <v>No</v>
      </c>
      <c r="AK5" s="8" t="str">
        <f ca="1">IFERROR(__xludf.DUMMYFUNCTION("""COMPUTED_VALUE"""),"No")</f>
        <v>No</v>
      </c>
      <c r="AL5" s="8"/>
      <c r="AM5" s="8" t="str">
        <f ca="1">IFERROR(__xludf.DUMMYFUNCTION("""COMPUTED_VALUE"""),"No")</f>
        <v>No</v>
      </c>
      <c r="AN5" s="8" t="str">
        <f ca="1">IFERROR(__xludf.DUMMYFUNCTION("""COMPUTED_VALUE"""),"Outside")</f>
        <v>Outside</v>
      </c>
      <c r="AO5" s="8" t="str">
        <f ca="1">IFERROR(__xludf.DUMMYFUNCTION("""COMPUTED_VALUE"""),"No")</f>
        <v>No</v>
      </c>
      <c r="AP5" s="8"/>
      <c r="AQ5" s="8"/>
      <c r="AR5" s="8" t="str">
        <f ca="1">IFERROR(__xludf.DUMMYFUNCTION("""COMPUTED_VALUE"""),"Outside/Off-Property")</f>
        <v>Outside/Off-Property</v>
      </c>
      <c r="AS5" s="8">
        <f ca="1">IFERROR(__xludf.DUMMYFUNCTION("""COMPUTED_VALUE"""),25)</f>
        <v>25</v>
      </c>
      <c r="AT5" s="8" t="str">
        <f ca="1">IFERROR(__xludf.DUMMYFUNCTION("""COMPUTED_VALUE"""),"No")</f>
        <v>No</v>
      </c>
      <c r="AU5" s="8">
        <f ca="1">IFERROR(__xludf.DUMMYFUNCTION("""COMPUTED_VALUE"""),39.33189)</f>
        <v>39.331890000000001</v>
      </c>
      <c r="AV5" s="8">
        <f ca="1">IFERROR(__xludf.DUMMYFUNCTION("""COMPUTED_VALUE"""),-76.689863)</f>
        <v>-76.689863000000003</v>
      </c>
      <c r="AW5" s="8" t="str">
        <f ca="1">IFERROR(__xludf.DUMMYFUNCTION("""COMPUTED_VALUE"""),"Single building indoor hallway")</f>
        <v>Single building indoor hallway</v>
      </c>
      <c r="AX5" s="8">
        <f ca="1">IFERROR(__xludf.DUMMYFUNCTION("""COMPUTED_VALUE"""),21207)</f>
        <v>21207</v>
      </c>
    </row>
    <row r="6" spans="1:54" ht="255" x14ac:dyDescent="0.2">
      <c r="A6" s="8" t="str">
        <f ca="1">IFERROR(__xludf.DUMMYFUNCTION("""COMPUTED_VALUE"""),"20250919NCGUG")</f>
        <v>20250919NCGUG</v>
      </c>
      <c r="B6" s="8">
        <f ca="1">IFERROR(__xludf.DUMMYFUNCTION("""COMPUTED_VALUE"""),9)</f>
        <v>9</v>
      </c>
      <c r="C6" s="8">
        <f ca="1">IFERROR(__xludf.DUMMYFUNCTION("""COMPUTED_VALUE"""),19)</f>
        <v>19</v>
      </c>
      <c r="D6" s="8">
        <f ca="1">IFERROR(__xludf.DUMMYFUNCTION("""COMPUTED_VALUE"""),2025)</f>
        <v>2025</v>
      </c>
      <c r="E6" s="9">
        <f ca="1">IFERROR(__xludf.DUMMYFUNCTION("""COMPUTED_VALUE"""),45919)</f>
        <v>45919</v>
      </c>
      <c r="F6" s="8" t="str">
        <f ca="1">IFERROR(__xludf.DUMMYFUNCTION("""COMPUTED_VALUE"""),"Guilford County Schools Bus")</f>
        <v>Guilford County Schools Bus</v>
      </c>
      <c r="G6" s="8">
        <f ca="1">IFERROR(__xludf.DUMMYFUNCTION("""COMPUTED_VALUE"""),0)</f>
        <v>0</v>
      </c>
      <c r="H6" s="8">
        <f ca="1">IFERROR(__xludf.DUMMYFUNCTION("""COMPUTED_VALUE"""),0)</f>
        <v>0</v>
      </c>
      <c r="I6" s="8">
        <f ca="1">IFERROR(__xludf.DUMMYFUNCTION("""COMPUTED_VALUE"""),0)</f>
        <v>0</v>
      </c>
      <c r="J6" s="8">
        <f ca="1">IFERROR(__xludf.DUMMYFUNCTION("""COMPUTED_VALUE"""),0)</f>
        <v>0</v>
      </c>
      <c r="K6" s="8" t="str">
        <f ca="1">IFERROR(__xludf.DUMMYFUNCTION("""COMPUTED_VALUE"""),"https://myfox8.com/news/north-carolina/greensboro/greensboro-officers-respond-after-shots-fired-near-the-intersection-of-east-cone-boulevard-north-elm-street-police-say/
google.com/url?rct=j&amp;sa=t&amp;url=https://myfox8.com/news/north-carolina/greensboro/green"&amp;"sboro-police-to-offer-update-after-stray-bullet-hits-school-bus-mirror/&amp;ct=ga&amp;cd=CAEYASoTMjUyOTM5NTg3NjUyOTc2NjYwMjIaMjhhZjA0MWI2YTkzNTNiZjpjb206ZW46VVM&amp;usg=AOvVaw14zFYw3AyPtYXzE8DOxOK-")</f>
        <v>https://myfox8.com/news/north-carolina/greensboro/greensboro-officers-respond-after-shots-fired-near-the-intersection-of-east-cone-boulevard-north-elm-street-police-say/
google.com/url?rct=j&amp;sa=t&amp;url=https://myfox8.com/news/north-carolina/greensboro/greensboro-police-to-offer-update-after-stray-bullet-hits-school-bus-mirror/&amp;ct=ga&amp;cd=CAEYASoTMjUyOTM5NTg3NjUyOTc2NjYwMjIaMjhhZjA0MWI2YTkzNTNiZjpjb206ZW46VVM&amp;usg=AOvVaw14zFYw3AyPtYXzE8DOxOK-</v>
      </c>
      <c r="L6" s="8">
        <f ca="1">IFERROR(__xludf.DUMMYFUNCTION("""COMPUTED_VALUE"""),15)</f>
        <v>15</v>
      </c>
      <c r="M6" s="8" t="str">
        <f ca="1">IFERROR(__xludf.DUMMYFUNCTION("""COMPUTED_VALUE"""),"re")</f>
        <v>re</v>
      </c>
      <c r="N6" s="8">
        <f ca="1">IFERROR(__xludf.DUMMYFUNCTION("""COMPUTED_VALUE"""),4)</f>
        <v>4</v>
      </c>
      <c r="O6" s="8" t="str">
        <f ca="1">IFERROR(__xludf.DUMMYFUNCTION("""COMPUTED_VALUE"""),"Fall")</f>
        <v>Fall</v>
      </c>
      <c r="P6" s="8" t="str">
        <f ca="1">IFERROR(__xludf.DUMMYFUNCTION("""COMPUTED_VALUE"""),"Greensboro")</f>
        <v>Greensboro</v>
      </c>
      <c r="Q6" s="8" t="str">
        <f ca="1">IFERROR(__xludf.DUMMYFUNCTION("""COMPUTED_VALUE"""),"NC")</f>
        <v>NC</v>
      </c>
      <c r="R6" s="8"/>
      <c r="S6" s="8" t="str">
        <f ca="1">IFERROR(__xludf.DUMMYFUNCTION("""COMPUTED_VALUE"""),"School Bus")</f>
        <v>School Bus</v>
      </c>
      <c r="T6" s="8" t="str">
        <f ca="1">IFERROR(__xludf.DUMMYFUNCTION("""COMPUTED_VALUE"""),"School Bus")</f>
        <v>School Bus</v>
      </c>
      <c r="U6" s="8" t="str">
        <f ca="1">IFERROR(__xludf.DUMMYFUNCTION("""COMPUTED_VALUE"""),"Yes")</f>
        <v>Yes</v>
      </c>
      <c r="V6" s="8" t="str">
        <f ca="1">IFERROR(__xludf.DUMMYFUNCTION("""COMPUTED_VALUE"""),"Dismissal")</f>
        <v>Dismissal</v>
      </c>
      <c r="W6" s="11">
        <f ca="1">IFERROR(__xludf.DUMMYFUNCTION("""COMPUTED_VALUE"""),0.625)</f>
        <v>0.625</v>
      </c>
      <c r="X6" s="8">
        <f ca="1">IFERROR(__xludf.DUMMYFUNCTION("""COMPUTED_VALUE"""),1)</f>
        <v>1</v>
      </c>
      <c r="Y6" s="12" t="str">
        <f ca="1">IFERROR(__xludf.DUMMYFUNCTION("""COMPUTED_VALUE"""),"Bullet hit school bus mirror during dismissal, bus was carrying elementary students")</f>
        <v>Bullet hit school bus mirror during dismissal, bus was carrying elementary students</v>
      </c>
      <c r="Z6" s="12" t="str">
        <f ca="1">IFERROR(__xludf.DUMMYFUNCTION("""COMPUTED_VALUE"""),"Three people have been arrested after a shooting that led to a stray bullet striking the mirror of a school bus in Greensboro on Friday. Shortly before 3 p.m. on Friday, shots were fired near the intersection of East Cone Boulevard and North Elm Street, a"&amp;"ccording to a statement released by the Greensboro Police Department. Assistant Chief Ric Alston said during a Saturday news conference that the shooting was the result of “some type of disorder that occurred between several individuals” that began near t"&amp;"he intersection of East Cone Boulevard and Summit Avenue before moving to the intersection of East Cone Boulevard and North Elm Street. No injuries were reported. However, Guilford County Schools confirmed that a stray bullet struck the mirror of a Doris "&amp;"Henderson Newcomers School bus. Three suspects were arrested within about two and a half hours of the shooting, Alston said. Officers also found the firearm that they believe was used in the shooting.")</f>
        <v>Three people have been arrested after a shooting that led to a stray bullet striking the mirror of a school bus in Greensboro on Friday. Shortly before 3 p.m. on Friday, shots were fired near the intersection of East Cone Boulevard and North Elm Street, according to a statement released by the Greensboro Police Department. Assistant Chief Ric Alston said during a Saturday news conference that the shooting was the result of “some type of disorder that occurred between several individuals” that began near the intersection of East Cone Boulevard and Summit Avenue before moving to the intersection of East Cone Boulevard and North Elm Street. No injuries were reported. However, Guilford County Schools confirmed that a stray bullet struck the mirror of a Doris Henderson Newcomers School bus. Three suspects were arrested within about two and a half hours of the shooting, Alston said. Officers also found the firearm that they believe was used in the shooting.</v>
      </c>
      <c r="AA6" s="8" t="str">
        <f ca="1">IFERROR(__xludf.DUMMYFUNCTION("""COMPUTED_VALUE"""),"Escalation of Dispute")</f>
        <v>Escalation of Dispute</v>
      </c>
      <c r="AB6" s="8" t="str">
        <f ca="1">IFERROR(__xludf.DUMMYFUNCTION("""COMPUTED_VALUE"""),"Spontaneous")</f>
        <v>Spontaneous</v>
      </c>
      <c r="AC6" s="8" t="str">
        <f ca="1">IFERROR(__xludf.DUMMYFUNCTION("""COMPUTED_VALUE"""),"Yes")</f>
        <v>Yes</v>
      </c>
      <c r="AD6" s="8" t="str">
        <f ca="1">IFERROR(__xludf.DUMMYFUNCTION("""COMPUTED_VALUE"""),"Victims Targeted")</f>
        <v>Victims Targeted</v>
      </c>
      <c r="AE6" s="8" t="str">
        <f ca="1">IFERROR(__xludf.DUMMYFUNCTION("""COMPUTED_VALUE"""),"Yes")</f>
        <v>Yes</v>
      </c>
      <c r="AF6" s="8" t="str">
        <f ca="1">IFERROR(__xludf.DUMMYFUNCTION("""COMPUTED_VALUE"""),"3 men arrested")</f>
        <v>3 men arrested</v>
      </c>
      <c r="AG6" s="8" t="str">
        <f ca="1">IFERROR(__xludf.DUMMYFUNCTION("""COMPUTED_VALUE"""),"No")</f>
        <v>No</v>
      </c>
      <c r="AH6" s="8" t="str">
        <f ca="1">IFERROR(__xludf.DUMMYFUNCTION("""COMPUTED_VALUE"""),"No")</f>
        <v>No</v>
      </c>
      <c r="AI6" s="8" t="str">
        <f ca="1">IFERROR(__xludf.DUMMYFUNCTION("""COMPUTED_VALUE"""),"No")</f>
        <v>No</v>
      </c>
      <c r="AJ6" s="8" t="str">
        <f ca="1">IFERROR(__xludf.DUMMYFUNCTION("""COMPUTED_VALUE"""),"No")</f>
        <v>No</v>
      </c>
      <c r="AK6" s="8" t="str">
        <f ca="1">IFERROR(__xludf.DUMMYFUNCTION("""COMPUTED_VALUE"""),"No")</f>
        <v>No</v>
      </c>
      <c r="AL6" s="8"/>
      <c r="AM6" s="8" t="str">
        <f ca="1">IFERROR(__xludf.DUMMYFUNCTION("""COMPUTED_VALUE"""),"No")</f>
        <v>No</v>
      </c>
      <c r="AN6" s="8" t="str">
        <f ca="1">IFERROR(__xludf.DUMMYFUNCTION("""COMPUTED_VALUE"""),"Outside")</f>
        <v>Outside</v>
      </c>
      <c r="AO6" s="8" t="str">
        <f ca="1">IFERROR(__xludf.DUMMYFUNCTION("""COMPUTED_VALUE"""),"No")</f>
        <v>No</v>
      </c>
      <c r="AP6" s="8"/>
      <c r="AQ6" s="8"/>
      <c r="AR6" s="8" t="str">
        <f ca="1">IFERROR(__xludf.DUMMYFUNCTION("""COMPUTED_VALUE"""),"Outside/Off-Property")</f>
        <v>Outside/Off-Property</v>
      </c>
      <c r="AS6" s="8">
        <f ca="1">IFERROR(__xludf.DUMMYFUNCTION("""COMPUTED_VALUE"""),1)</f>
        <v>1</v>
      </c>
      <c r="AT6" s="8" t="str">
        <f ca="1">IFERROR(__xludf.DUMMYFUNCTION("""COMPUTED_VALUE"""),"Yes")</f>
        <v>Yes</v>
      </c>
      <c r="AU6" s="8">
        <f ca="1">IFERROR(__xludf.DUMMYFUNCTION("""COMPUTED_VALUE"""),36.109566)</f>
        <v>36.109566000000001</v>
      </c>
      <c r="AV6" s="8">
        <f ca="1">IFERROR(__xludf.DUMMYFUNCTION("""COMPUTED_VALUE"""),-79.790851)</f>
        <v>-79.790851000000004</v>
      </c>
      <c r="AW6" s="8"/>
      <c r="AX6" s="8">
        <f ca="1">IFERROR(__xludf.DUMMYFUNCTION("""COMPUTED_VALUE"""),27408)</f>
        <v>27408</v>
      </c>
    </row>
    <row r="7" spans="1:54" ht="165" x14ac:dyDescent="0.2">
      <c r="A7" s="8" t="str">
        <f ca="1">IFERROR(__xludf.DUMMYFUNCTION("""COMPUTED_VALUE"""),"20250919LALAL")</f>
        <v>20250919LALAL</v>
      </c>
      <c r="B7" s="8">
        <f ca="1">IFERROR(__xludf.DUMMYFUNCTION("""COMPUTED_VALUE"""),9)</f>
        <v>9</v>
      </c>
      <c r="C7" s="8">
        <f ca="1">IFERROR(__xludf.DUMMYFUNCTION("""COMPUTED_VALUE"""),19)</f>
        <v>19</v>
      </c>
      <c r="D7" s="8">
        <f ca="1">IFERROR(__xludf.DUMMYFUNCTION("""COMPUTED_VALUE"""),2025)</f>
        <v>2025</v>
      </c>
      <c r="E7" s="9">
        <f ca="1">IFERROR(__xludf.DUMMYFUNCTION("""COMPUTED_VALUE"""),45919)</f>
        <v>45919</v>
      </c>
      <c r="F7" s="8" t="str">
        <f ca="1">IFERROR(__xludf.DUMMYFUNCTION("""COMPUTED_VALUE"""),"Lafayette High School")</f>
        <v>Lafayette High School</v>
      </c>
      <c r="G7" s="8">
        <f ca="1">IFERROR(__xludf.DUMMYFUNCTION("""COMPUTED_VALUE"""),0)</f>
        <v>0</v>
      </c>
      <c r="H7" s="8">
        <f ca="1">IFERROR(__xludf.DUMMYFUNCTION("""COMPUTED_VALUE"""),1)</f>
        <v>1</v>
      </c>
      <c r="I7" s="8">
        <f ca="1">IFERROR(__xludf.DUMMYFUNCTION("""COMPUTED_VALUE"""),1)</f>
        <v>1</v>
      </c>
      <c r="J7" s="8">
        <f ca="1">IFERROR(__xludf.DUMMYFUNCTION("""COMPUTED_VALUE"""),0)</f>
        <v>0</v>
      </c>
      <c r="K7" s="10" t="str">
        <f ca="1">IFERROR(__xludf.DUMMYFUNCTION("""COMPUTED_VALUE"""),"https://www.wtvm.com/2025/09/20/possible-shooting-reported-near-lafayette-high-football-game/
https://cnaw2news.com/2025/09/19/possible-shooting-reported-near-lafayette-high-football-game/
https://1819news.com/news/item/shooting-reported-outside-lanett-v-"&amp;"lafayette-game")</f>
        <v>https://www.wtvm.com/2025/09/20/possible-shooting-reported-near-lafayette-high-football-game/
https://cnaw2news.com/2025/09/19/possible-shooting-reported-near-lafayette-high-football-game/
https://1819news.com/news/item/shooting-reported-outside-lanett-v-lafayette-game</v>
      </c>
      <c r="L7" s="8">
        <f ca="1">IFERROR(__xludf.DUMMYFUNCTION("""COMPUTED_VALUE"""),4)</f>
        <v>4</v>
      </c>
      <c r="M7" s="8" t="str">
        <f ca="1">IFERROR(__xludf.DUMMYFUNCTION("""COMPUTED_VALUE"""),"Local")</f>
        <v>Local</v>
      </c>
      <c r="N7" s="8">
        <f ca="1">IFERROR(__xludf.DUMMYFUNCTION("""COMPUTED_VALUE"""),4)</f>
        <v>4</v>
      </c>
      <c r="O7" s="8" t="str">
        <f ca="1">IFERROR(__xludf.DUMMYFUNCTION("""COMPUTED_VALUE"""),"Fall")</f>
        <v>Fall</v>
      </c>
      <c r="P7" s="8" t="str">
        <f ca="1">IFERROR(__xludf.DUMMYFUNCTION("""COMPUTED_VALUE"""),"LaFayette")</f>
        <v>LaFayette</v>
      </c>
      <c r="Q7" s="8" t="str">
        <f ca="1">IFERROR(__xludf.DUMMYFUNCTION("""COMPUTED_VALUE"""),"LA")</f>
        <v>LA</v>
      </c>
      <c r="R7" s="8" t="str">
        <f ca="1">IFERROR(__xludf.DUMMYFUNCTION("""COMPUTED_VALUE"""),"High")</f>
        <v>High</v>
      </c>
      <c r="S7" s="8" t="str">
        <f ca="1">IFERROR(__xludf.DUMMYFUNCTION("""COMPUTED_VALUE"""),"Football Field/Track")</f>
        <v>Football Field/Track</v>
      </c>
      <c r="T7" s="8" t="str">
        <f ca="1">IFERROR(__xludf.DUMMYFUNCTION("""COMPUTED_VALUE"""),"Outside on School Property")</f>
        <v>Outside on School Property</v>
      </c>
      <c r="U7" s="8" t="str">
        <f ca="1">IFERROR(__xludf.DUMMYFUNCTION("""COMPUTED_VALUE"""),"No")</f>
        <v>No</v>
      </c>
      <c r="V7" s="8" t="str">
        <f ca="1">IFERROR(__xludf.DUMMYFUNCTION("""COMPUTED_VALUE"""),"Sport Event")</f>
        <v>Sport Event</v>
      </c>
      <c r="W7" s="11">
        <f ca="1">IFERROR(__xludf.DUMMYFUNCTION("""COMPUTED_VALUE"""),0.854166666666666)</f>
        <v>0.85416666666666596</v>
      </c>
      <c r="X7" s="8">
        <f ca="1">IFERROR(__xludf.DUMMYFUNCTION("""COMPUTED_VALUE"""),1)</f>
        <v>1</v>
      </c>
      <c r="Y7" s="12" t="str">
        <f ca="1">IFERROR(__xludf.DUMMYFUNCTION("""COMPUTED_VALUE"""),"Person shot next to the football field during halftime, second half cancelled")</f>
        <v>Person shot next to the football field during halftime, second half cancelled</v>
      </c>
      <c r="Z7" s="12" t="str">
        <f ca="1">IFERROR(__xludf.DUMMYFUNCTION("""COMPUTED_VALUE"""),"The LaFayette Police Department responded Friday night after reports of shots fired outside the high school football stadium. The Bulldogs were playing Lanett High School when witnesses said they heard gunfire. Police asked fans to stay inside the stadium"&amp;" and away from the scene on Alabama Avenue East while they investigated. Witnesses said they heard two shots and heard someone screaming for an ambulance. An ambulance was seen pulling in front of a home. Sportscaster D. Mark Mitchell reported one person "&amp;"was seriously injured outside the stadium. No players or coaches were hurt. ")</f>
        <v xml:space="preserve">The LaFayette Police Department responded Friday night after reports of shots fired outside the high school football stadium. The Bulldogs were playing Lanett High School when witnesses said they heard gunfire. Police asked fans to stay inside the stadium and away from the scene on Alabama Avenue East while they investigated. Witnesses said they heard two shots and heard someone screaming for an ambulance. An ambulance was seen pulling in front of a home. Sportscaster D. Mark Mitchell reported one person was seriously injured outside the stadium. No players or coaches were hurt. </v>
      </c>
      <c r="AA7" s="8"/>
      <c r="AB7" s="8" t="str">
        <f ca="1">IFERROR(__xludf.DUMMYFUNCTION("""COMPUTED_VALUE"""),"Spontaneous")</f>
        <v>Spontaneous</v>
      </c>
      <c r="AC7" s="8" t="str">
        <f ca="1">IFERROR(__xludf.DUMMYFUNCTION("""COMPUTED_VALUE"""),"Yes")</f>
        <v>Yes</v>
      </c>
      <c r="AD7" s="8" t="str">
        <f ca="1">IFERROR(__xludf.DUMMYFUNCTION("""COMPUTED_VALUE"""),"Victims Targeted")</f>
        <v>Victims Targeted</v>
      </c>
      <c r="AE7" s="8" t="str">
        <f ca="1">IFERROR(__xludf.DUMMYFUNCTION("""COMPUTED_VALUE"""),"No")</f>
        <v>No</v>
      </c>
      <c r="AF7" s="8"/>
      <c r="AG7" s="8" t="str">
        <f ca="1">IFERROR(__xludf.DUMMYFUNCTION("""COMPUTED_VALUE"""),"No")</f>
        <v>No</v>
      </c>
      <c r="AH7" s="8" t="str">
        <f ca="1">IFERROR(__xludf.DUMMYFUNCTION("""COMPUTED_VALUE"""),"No")</f>
        <v>No</v>
      </c>
      <c r="AI7" s="8" t="str">
        <f ca="1">IFERROR(__xludf.DUMMYFUNCTION("""COMPUTED_VALUE"""),"No")</f>
        <v>No</v>
      </c>
      <c r="AJ7" s="8" t="str">
        <f ca="1">IFERROR(__xludf.DUMMYFUNCTION("""COMPUTED_VALUE"""),"No")</f>
        <v>No</v>
      </c>
      <c r="AK7" s="8" t="str">
        <f ca="1">IFERROR(__xludf.DUMMYFUNCTION("""COMPUTED_VALUE"""),"No")</f>
        <v>No</v>
      </c>
      <c r="AL7" s="8"/>
      <c r="AM7" s="8" t="str">
        <f ca="1">IFERROR(__xludf.DUMMYFUNCTION("""COMPUTED_VALUE"""),"No")</f>
        <v>No</v>
      </c>
      <c r="AN7" s="8" t="str">
        <f ca="1">IFERROR(__xludf.DUMMYFUNCTION("""COMPUTED_VALUE"""),"Outside")</f>
        <v>Outside</v>
      </c>
      <c r="AO7" s="8" t="str">
        <f ca="1">IFERROR(__xludf.DUMMYFUNCTION("""COMPUTED_VALUE"""),"No")</f>
        <v>No</v>
      </c>
      <c r="AP7" s="8" t="str">
        <f ca="1">IFERROR(__xludf.DUMMYFUNCTION("""COMPUTED_VALUE"""),"Yes")</f>
        <v>Yes</v>
      </c>
      <c r="AQ7" s="8"/>
      <c r="AR7" s="8" t="str">
        <f ca="1">IFERROR(__xludf.DUMMYFUNCTION("""COMPUTED_VALUE"""),"Outside/Off-Property")</f>
        <v>Outside/Off-Property</v>
      </c>
      <c r="AS7" s="8">
        <f ca="1">IFERROR(__xludf.DUMMYFUNCTION("""COMPUTED_VALUE"""),2)</f>
        <v>2</v>
      </c>
      <c r="AT7" s="8" t="str">
        <f ca="1">IFERROR(__xludf.DUMMYFUNCTION("""COMPUTED_VALUE"""),"No")</f>
        <v>No</v>
      </c>
      <c r="AU7" s="8">
        <f ca="1">IFERROR(__xludf.DUMMYFUNCTION("""COMPUTED_VALUE"""),30.209093)</f>
        <v>30.209092999999999</v>
      </c>
      <c r="AV7" s="8">
        <f ca="1">IFERROR(__xludf.DUMMYFUNCTION("""COMPUTED_VALUE"""),-92.059248)</f>
        <v>-92.059247999999997</v>
      </c>
      <c r="AW7" s="8" t="str">
        <f ca="1">IFERROR(__xludf.DUMMYFUNCTION("""COMPUTED_VALUE"""),"Multiple detached buildings")</f>
        <v>Multiple detached buildings</v>
      </c>
      <c r="AX7" s="8">
        <f ca="1">IFERROR(__xludf.DUMMYFUNCTION("""COMPUTED_VALUE"""),70506)</f>
        <v>70506</v>
      </c>
    </row>
    <row r="8" spans="1:54" ht="195" x14ac:dyDescent="0.2">
      <c r="A8" s="8" t="str">
        <f ca="1">IFERROR(__xludf.DUMMYFUNCTION("""COMPUTED_VALUE"""),"20250918MDSTW")</f>
        <v>20250918MDSTW</v>
      </c>
      <c r="B8" s="8">
        <f ca="1">IFERROR(__xludf.DUMMYFUNCTION("""COMPUTED_VALUE"""),9)</f>
        <v>9</v>
      </c>
      <c r="C8" s="8">
        <f ca="1">IFERROR(__xludf.DUMMYFUNCTION("""COMPUTED_VALUE"""),18)</f>
        <v>18</v>
      </c>
      <c r="D8" s="8">
        <f ca="1">IFERROR(__xludf.DUMMYFUNCTION("""COMPUTED_VALUE"""),2025)</f>
        <v>2025</v>
      </c>
      <c r="E8" s="9">
        <f ca="1">IFERROR(__xludf.DUMMYFUNCTION("""COMPUTED_VALUE"""),45918)</f>
        <v>45918</v>
      </c>
      <c r="F8" s="8" t="str">
        <f ca="1">IFERROR(__xludf.DUMMYFUNCTION("""COMPUTED_VALUE"""),"St. Charles High School")</f>
        <v>St. Charles High School</v>
      </c>
      <c r="G8" s="8">
        <f ca="1">IFERROR(__xludf.DUMMYFUNCTION("""COMPUTED_VALUE"""),0)</f>
        <v>0</v>
      </c>
      <c r="H8" s="8">
        <f ca="1">IFERROR(__xludf.DUMMYFUNCTION("""COMPUTED_VALUE"""),0)</f>
        <v>0</v>
      </c>
      <c r="I8" s="8">
        <f ca="1">IFERROR(__xludf.DUMMYFUNCTION("""COMPUTED_VALUE"""),0)</f>
        <v>0</v>
      </c>
      <c r="J8" s="8">
        <f ca="1">IFERROR(__xludf.DUMMYFUNCTION("""COMPUTED_VALUE"""),0)</f>
        <v>0</v>
      </c>
      <c r="K8" s="10" t="str">
        <f ca="1">IFERROR(__xludf.DUMMYFUNCTION("""COMPUTED_VALUE"""),"https://wjla.com/news/local/story/shots-ring-out-during-st-charles-high-school-football-game-no-injuries-found-by-police-maryland-county-shooting-kids-juveniles-players-stadium")</f>
        <v>https://wjla.com/news/local/story/shots-ring-out-during-st-charles-high-school-football-game-no-injuries-found-by-police-maryland-county-shooting-kids-juveniles-players-stadium</v>
      </c>
      <c r="L8" s="8">
        <f ca="1">IFERROR(__xludf.DUMMYFUNCTION("""COMPUTED_VALUE"""),10)</f>
        <v>10</v>
      </c>
      <c r="M8" s="8" t="str">
        <f ca="1">IFERROR(__xludf.DUMMYFUNCTION("""COMPUTED_VALUE"""),"Regional")</f>
        <v>Regional</v>
      </c>
      <c r="N8" s="8">
        <f ca="1">IFERROR(__xludf.DUMMYFUNCTION("""COMPUTED_VALUE"""),4)</f>
        <v>4</v>
      </c>
      <c r="O8" s="8" t="str">
        <f ca="1">IFERROR(__xludf.DUMMYFUNCTION("""COMPUTED_VALUE"""),"Fall")</f>
        <v>Fall</v>
      </c>
      <c r="P8" s="8" t="str">
        <f ca="1">IFERROR(__xludf.DUMMYFUNCTION("""COMPUTED_VALUE"""),"Waldorf")</f>
        <v>Waldorf</v>
      </c>
      <c r="Q8" s="8" t="str">
        <f ca="1">IFERROR(__xludf.DUMMYFUNCTION("""COMPUTED_VALUE"""),"MD")</f>
        <v>MD</v>
      </c>
      <c r="R8" s="8" t="str">
        <f ca="1">IFERROR(__xludf.DUMMYFUNCTION("""COMPUTED_VALUE"""),"High")</f>
        <v>High</v>
      </c>
      <c r="S8" s="8" t="str">
        <f ca="1">IFERROR(__xludf.DUMMYFUNCTION("""COMPUTED_VALUE"""),"Parking Lot")</f>
        <v>Parking Lot</v>
      </c>
      <c r="T8" s="8" t="str">
        <f ca="1">IFERROR(__xludf.DUMMYFUNCTION("""COMPUTED_VALUE"""),"Outside on School Property")</f>
        <v>Outside on School Property</v>
      </c>
      <c r="U8" s="8" t="str">
        <f ca="1">IFERROR(__xludf.DUMMYFUNCTION("""COMPUTED_VALUE"""),"No")</f>
        <v>No</v>
      </c>
      <c r="V8" s="8" t="str">
        <f ca="1">IFERROR(__xludf.DUMMYFUNCTION("""COMPUTED_VALUE"""),"Sport Event")</f>
        <v>Sport Event</v>
      </c>
      <c r="W8" s="11">
        <f ca="1">IFERROR(__xludf.DUMMYFUNCTION("""COMPUTED_VALUE"""),0.791666666666666)</f>
        <v>0.79166666666666596</v>
      </c>
      <c r="X8" s="8">
        <f ca="1">IFERROR(__xludf.DUMMYFUNCTION("""COMPUTED_VALUE"""),1)</f>
        <v>1</v>
      </c>
      <c r="Y8" s="12" t="str">
        <f ca="1">IFERROR(__xludf.DUMMYFUNCTION("""COMPUTED_VALUE"""),"Two groups of teen fired shots at each other in the parking lot during a high school football game")</f>
        <v>Two groups of teen fired shots at each other in the parking lot during a high school football game</v>
      </c>
      <c r="Z8" s="12" t="str">
        <f ca="1">IFERROR(__xludf.DUMMYFUNCTION("""COMPUTED_VALUE"""),"Charles County schools will see increased security at high school football games. This comes after a game in Waldorf, Maryland, was stopped abruptly after shots were fired near the high school stadium Thursday evening, according to the Charles County Sher"&amp;"iff's Office. Sources told 7News Maryland Bureau Chief Brad Bell the shooting took place in the parking lot of St. Charles High School during the football game. Two groups of young people had been inside the game and may have been arguing, the source said"&amp;". They left the football stadium, and a short time later, several shots were fired in the parking lot. Investigators believe the shots were back-and-forth between the two groups. Evidence from the shooting was recovered at the scene.")</f>
        <v>Charles County schools will see increased security at high school football games. This comes after a game in Waldorf, Maryland, was stopped abruptly after shots were fired near the high school stadium Thursday evening, according to the Charles County Sheriff's Office. Sources told 7News Maryland Bureau Chief Brad Bell the shooting took place in the parking lot of St. Charles High School during the football game. Two groups of young people had been inside the game and may have been arguing, the source said. They left the football stadium, and a short time later, several shots were fired in the parking lot. Investigators believe the shots were back-and-forth between the two groups. Evidence from the shooting was recovered at the scene.</v>
      </c>
      <c r="AA8" s="8" t="str">
        <f ca="1">IFERROR(__xludf.DUMMYFUNCTION("""COMPUTED_VALUE"""),"Escalation of Dispute")</f>
        <v>Escalation of Dispute</v>
      </c>
      <c r="AB8" s="8" t="str">
        <f ca="1">IFERROR(__xludf.DUMMYFUNCTION("""COMPUTED_VALUE"""),"Spontaneous")</f>
        <v>Spontaneous</v>
      </c>
      <c r="AC8" s="8" t="str">
        <f ca="1">IFERROR(__xludf.DUMMYFUNCTION("""COMPUTED_VALUE"""),"Yes")</f>
        <v>Yes</v>
      </c>
      <c r="AD8" s="8" t="str">
        <f ca="1">IFERROR(__xludf.DUMMYFUNCTION("""COMPUTED_VALUE"""),"Victims Targeted")</f>
        <v>Victims Targeted</v>
      </c>
      <c r="AE8" s="8" t="str">
        <f ca="1">IFERROR(__xludf.DUMMYFUNCTION("""COMPUTED_VALUE"""),"Yes")</f>
        <v>Yes</v>
      </c>
      <c r="AF8" s="8" t="str">
        <f ca="1">IFERROR(__xludf.DUMMYFUNCTION("""COMPUTED_VALUE"""),"Two groups of teens")</f>
        <v>Two groups of teens</v>
      </c>
      <c r="AG8" s="8" t="str">
        <f ca="1">IFERROR(__xludf.DUMMYFUNCTION("""COMPUTED_VALUE"""),"No")</f>
        <v>No</v>
      </c>
      <c r="AH8" s="8" t="str">
        <f ca="1">IFERROR(__xludf.DUMMYFUNCTION("""COMPUTED_VALUE"""),"No")</f>
        <v>No</v>
      </c>
      <c r="AI8" s="8" t="str">
        <f ca="1">IFERROR(__xludf.DUMMYFUNCTION("""COMPUTED_VALUE"""),"No")</f>
        <v>No</v>
      </c>
      <c r="AJ8" s="8" t="str">
        <f ca="1">IFERROR(__xludf.DUMMYFUNCTION("""COMPUTED_VALUE"""),"No")</f>
        <v>No</v>
      </c>
      <c r="AK8" s="8" t="str">
        <f ca="1">IFERROR(__xludf.DUMMYFUNCTION("""COMPUTED_VALUE"""),"No")</f>
        <v>No</v>
      </c>
      <c r="AL8" s="8"/>
      <c r="AM8" s="8" t="str">
        <f ca="1">IFERROR(__xludf.DUMMYFUNCTION("""COMPUTED_VALUE"""),"No")</f>
        <v>No</v>
      </c>
      <c r="AN8" s="8" t="str">
        <f ca="1">IFERROR(__xludf.DUMMYFUNCTION("""COMPUTED_VALUE"""),"Outside")</f>
        <v>Outside</v>
      </c>
      <c r="AO8" s="8" t="str">
        <f ca="1">IFERROR(__xludf.DUMMYFUNCTION("""COMPUTED_VALUE"""),"No")</f>
        <v>No</v>
      </c>
      <c r="AP8" s="8" t="str">
        <f ca="1">IFERROR(__xludf.DUMMYFUNCTION("""COMPUTED_VALUE"""),"Yes")</f>
        <v>Yes</v>
      </c>
      <c r="AQ8" s="8"/>
      <c r="AR8" s="8" t="str">
        <f ca="1">IFERROR(__xludf.DUMMYFUNCTION("""COMPUTED_VALUE"""),"Outside/Off-Property")</f>
        <v>Outside/Off-Property</v>
      </c>
      <c r="AS8" s="8">
        <f ca="1">IFERROR(__xludf.DUMMYFUNCTION("""COMPUTED_VALUE"""),99)</f>
        <v>99</v>
      </c>
      <c r="AT8" s="8" t="str">
        <f ca="1">IFERROR(__xludf.DUMMYFUNCTION("""COMPUTED_VALUE"""),"No")</f>
        <v>No</v>
      </c>
      <c r="AU8" s="8">
        <f ca="1">IFERROR(__xludf.DUMMYFUNCTION("""COMPUTED_VALUE"""),38.568457)</f>
        <v>38.568457000000002</v>
      </c>
      <c r="AV8" s="8">
        <f ca="1">IFERROR(__xludf.DUMMYFUNCTION("""COMPUTED_VALUE"""),-76.908107)</f>
        <v>-76.908107000000001</v>
      </c>
      <c r="AW8" s="8" t="str">
        <f ca="1">IFERROR(__xludf.DUMMYFUNCTION("""COMPUTED_VALUE"""),"Multiple detached buildings")</f>
        <v>Multiple detached buildings</v>
      </c>
      <c r="AX8" s="8">
        <f ca="1">IFERROR(__xludf.DUMMYFUNCTION("""COMPUTED_VALUE"""),20695)</f>
        <v>20695</v>
      </c>
    </row>
    <row r="9" spans="1:54" ht="225" x14ac:dyDescent="0.2">
      <c r="A9" s="8" t="str">
        <f ca="1">IFERROR(__xludf.DUMMYFUNCTION("""COMPUTED_VALUE"""),"20250918DCKIW")</f>
        <v>20250918DCKIW</v>
      </c>
      <c r="B9" s="8">
        <f ca="1">IFERROR(__xludf.DUMMYFUNCTION("""COMPUTED_VALUE"""),9)</f>
        <v>9</v>
      </c>
      <c r="C9" s="8">
        <f ca="1">IFERROR(__xludf.DUMMYFUNCTION("""COMPUTED_VALUE"""),18)</f>
        <v>18</v>
      </c>
      <c r="D9" s="8">
        <f ca="1">IFERROR(__xludf.DUMMYFUNCTION("""COMPUTED_VALUE"""),2025)</f>
        <v>2025</v>
      </c>
      <c r="E9" s="9">
        <f ca="1">IFERROR(__xludf.DUMMYFUNCTION("""COMPUTED_VALUE"""),45918)</f>
        <v>45918</v>
      </c>
      <c r="F9" s="8" t="str">
        <f ca="1">IFERROR(__xludf.DUMMYFUNCTION("""COMPUTED_VALUE"""),"KIPP DC Wheeler Campus")</f>
        <v>KIPP DC Wheeler Campus</v>
      </c>
      <c r="G9" s="8">
        <f ca="1">IFERROR(__xludf.DUMMYFUNCTION("""COMPUTED_VALUE"""),0)</f>
        <v>0</v>
      </c>
      <c r="H9" s="8">
        <f ca="1">IFERROR(__xludf.DUMMYFUNCTION("""COMPUTED_VALUE"""),2)</f>
        <v>2</v>
      </c>
      <c r="I9" s="8">
        <f ca="1">IFERROR(__xludf.DUMMYFUNCTION("""COMPUTED_VALUE"""),2)</f>
        <v>2</v>
      </c>
      <c r="J9" s="8">
        <f ca="1">IFERROR(__xludf.DUMMYFUNCTION("""COMPUTED_VALUE"""),0)</f>
        <v>0</v>
      </c>
      <c r="K9" s="10" t="str">
        <f ca="1">IFERROR(__xludf.DUMMYFUNCTION("""COMPUTED_VALUE"""),"https://www.fox5dc.com/news/2-teens-shot-near-dc-charter-school-back-to-school-night-canceled")</f>
        <v>https://www.fox5dc.com/news/2-teens-shot-near-dc-charter-school-back-to-school-night-canceled</v>
      </c>
      <c r="L9" s="8">
        <f ca="1">IFERROR(__xludf.DUMMYFUNCTION("""COMPUTED_VALUE"""),2)</f>
        <v>2</v>
      </c>
      <c r="M9" s="8" t="str">
        <f ca="1">IFERROR(__xludf.DUMMYFUNCTION("""COMPUTED_VALUE"""),"Local")</f>
        <v>Local</v>
      </c>
      <c r="N9" s="8">
        <f ca="1">IFERROR(__xludf.DUMMYFUNCTION("""COMPUTED_VALUE"""),4)</f>
        <v>4</v>
      </c>
      <c r="O9" s="8" t="str">
        <f ca="1">IFERROR(__xludf.DUMMYFUNCTION("""COMPUTED_VALUE"""),"Fall")</f>
        <v>Fall</v>
      </c>
      <c r="P9" s="8" t="str">
        <f ca="1">IFERROR(__xludf.DUMMYFUNCTION("""COMPUTED_VALUE"""),"Washington")</f>
        <v>Washington</v>
      </c>
      <c r="Q9" s="8" t="str">
        <f ca="1">IFERROR(__xludf.DUMMYFUNCTION("""COMPUTED_VALUE"""),"DC")</f>
        <v>DC</v>
      </c>
      <c r="R9" s="8" t="str">
        <f ca="1">IFERROR(__xludf.DUMMYFUNCTION("""COMPUTED_VALUE"""),"Elementary")</f>
        <v>Elementary</v>
      </c>
      <c r="S9" s="8" t="str">
        <f ca="1">IFERROR(__xludf.DUMMYFUNCTION("""COMPUTED_VALUE"""),"Front of School")</f>
        <v>Front of School</v>
      </c>
      <c r="T9" s="8" t="str">
        <f ca="1">IFERROR(__xludf.DUMMYFUNCTION("""COMPUTED_VALUE"""),"Outside on School Property")</f>
        <v>Outside on School Property</v>
      </c>
      <c r="U9" s="8" t="str">
        <f ca="1">IFERROR(__xludf.DUMMYFUNCTION("""COMPUTED_VALUE"""),"Yes")</f>
        <v>Yes</v>
      </c>
      <c r="V9" s="8" t="str">
        <f ca="1">IFERROR(__xludf.DUMMYFUNCTION("""COMPUTED_VALUE"""),"After School")</f>
        <v>After School</v>
      </c>
      <c r="W9" s="11">
        <f ca="1">IFERROR(__xludf.DUMMYFUNCTION("""COMPUTED_VALUE"""),0.6875)</f>
        <v>0.6875</v>
      </c>
      <c r="X9" s="8">
        <f ca="1">IFERROR(__xludf.DUMMYFUNCTION("""COMPUTED_VALUE"""),1)</f>
        <v>1</v>
      </c>
      <c r="Y9" s="12" t="str">
        <f ca="1">IFERROR(__xludf.DUMMYFUNCTION("""COMPUTED_VALUE"""),"Two teen shot near the front door of the school, campus went on lockdown")</f>
        <v>Two teen shot near the front door of the school, campus went on lockdown</v>
      </c>
      <c r="Z9" s="12" t="str">
        <f ca="1">IFERROR(__xludf.DUMMYFUNCTION("""COMPUTED_VALUE"""),"Two teenage boys were injured in a shooting Thursday afternoon near KIPP DC Public Charter School, prompting a lockdown and cancellation of the school’s back-to-school night. The incident happened around 4:30 p.m., just as staff, students and some parents"&amp;" were inside preparing for the evening event. Gunfire rang out from across the street, and 7th District officers nearby responded immediately. Police found the two teens near the school entrance and provided emergency first aid before DC Fire and EMS tran"&amp;"sported them to nearby hospitals. Officials say the victims are not KIPP DC students. The campus was placed on secure status. In a message to parents, school leaders said students were quickly ushered back inside and that all staff and students were safe."&amp;" Back-to-school night was canceled and will be rescheduled.")</f>
        <v>Two teenage boys were injured in a shooting Thursday afternoon near KIPP DC Public Charter School, prompting a lockdown and cancellation of the school’s back-to-school night. The incident happened around 4:30 p.m., just as staff, students and some parents were inside preparing for the evening event. Gunfire rang out from across the street, and 7th District officers nearby responded immediately. Police found the two teens near the school entrance and provided emergency first aid before DC Fire and EMS transported them to nearby hospitals. Officials say the victims are not KIPP DC students. The campus was placed on secure status. In a message to parents, school leaders said students were quickly ushered back inside and that all staff and students were safe. Back-to-school night was canceled and will be rescheduled.</v>
      </c>
      <c r="AA9" s="8"/>
      <c r="AB9" s="8"/>
      <c r="AC9" s="8" t="str">
        <f ca="1">IFERROR(__xludf.DUMMYFUNCTION("""COMPUTED_VALUE"""),"Yes")</f>
        <v>Yes</v>
      </c>
      <c r="AD9" s="8"/>
      <c r="AE9" s="8"/>
      <c r="AF9" s="8"/>
      <c r="AG9" s="8" t="str">
        <f ca="1">IFERROR(__xludf.DUMMYFUNCTION("""COMPUTED_VALUE"""),"No")</f>
        <v>No</v>
      </c>
      <c r="AH9" s="8" t="str">
        <f ca="1">IFERROR(__xludf.DUMMYFUNCTION("""COMPUTED_VALUE"""),"No")</f>
        <v>No</v>
      </c>
      <c r="AI9" s="8" t="str">
        <f ca="1">IFERROR(__xludf.DUMMYFUNCTION("""COMPUTED_VALUE"""),"No")</f>
        <v>No</v>
      </c>
      <c r="AJ9" s="8" t="str">
        <f ca="1">IFERROR(__xludf.DUMMYFUNCTION("""COMPUTED_VALUE"""),"No")</f>
        <v>No</v>
      </c>
      <c r="AK9" s="8" t="str">
        <f ca="1">IFERROR(__xludf.DUMMYFUNCTION("""COMPUTED_VALUE"""),"No")</f>
        <v>No</v>
      </c>
      <c r="AL9" s="8"/>
      <c r="AM9" s="8" t="str">
        <f ca="1">IFERROR(__xludf.DUMMYFUNCTION("""COMPUTED_VALUE"""),"No")</f>
        <v>No</v>
      </c>
      <c r="AN9" s="8" t="str">
        <f ca="1">IFERROR(__xludf.DUMMYFUNCTION("""COMPUTED_VALUE"""),"Outside")</f>
        <v>Outside</v>
      </c>
      <c r="AO9" s="8" t="str">
        <f ca="1">IFERROR(__xludf.DUMMYFUNCTION("""COMPUTED_VALUE"""),"No")</f>
        <v>No</v>
      </c>
      <c r="AP9" s="8"/>
      <c r="AQ9" s="8"/>
      <c r="AR9" s="8" t="str">
        <f ca="1">IFERROR(__xludf.DUMMYFUNCTION("""COMPUTED_VALUE"""),"Outside/Off-Property")</f>
        <v>Outside/Off-Property</v>
      </c>
      <c r="AS9" s="8">
        <f ca="1">IFERROR(__xludf.DUMMYFUNCTION("""COMPUTED_VALUE"""),99)</f>
        <v>99</v>
      </c>
      <c r="AT9" s="8" t="str">
        <f ca="1">IFERROR(__xludf.DUMMYFUNCTION("""COMPUTED_VALUE"""),"Yes")</f>
        <v>Yes</v>
      </c>
      <c r="AU9" s="8">
        <f ca="1">IFERROR(__xludf.DUMMYFUNCTION("""COMPUTED_VALUE"""),38.841203)</f>
        <v>38.841203</v>
      </c>
      <c r="AV9" s="8">
        <f ca="1">IFERROR(__xludf.DUMMYFUNCTION("""COMPUTED_VALUE"""),-76.994846)</f>
        <v>-76.994845999999995</v>
      </c>
      <c r="AW9" s="8" t="str">
        <f ca="1">IFERROR(__xludf.DUMMYFUNCTION("""COMPUTED_VALUE"""),"Urban with fenced mini campus")</f>
        <v>Urban with fenced mini campus</v>
      </c>
      <c r="AX9" s="8">
        <f ca="1">IFERROR(__xludf.DUMMYFUNCTION("""COMPUTED_VALUE"""),20032)</f>
        <v>20032</v>
      </c>
    </row>
    <row r="10" spans="1:54" ht="195" x14ac:dyDescent="0.2">
      <c r="A10" s="8" t="str">
        <f ca="1">IFERROR(__xludf.DUMMYFUNCTION("""COMPUTED_VALUE"""),"20250916CAFAF")</f>
        <v>20250916CAFAF</v>
      </c>
      <c r="B10" s="8">
        <f ca="1">IFERROR(__xludf.DUMMYFUNCTION("""COMPUTED_VALUE"""),9)</f>
        <v>9</v>
      </c>
      <c r="C10" s="8">
        <f ca="1">IFERROR(__xludf.DUMMYFUNCTION("""COMPUTED_VALUE"""),16)</f>
        <v>16</v>
      </c>
      <c r="D10" s="8">
        <f ca="1">IFERROR(__xludf.DUMMYFUNCTION("""COMPUTED_VALUE"""),2025)</f>
        <v>2025</v>
      </c>
      <c r="E10" s="9">
        <f ca="1">IFERROR(__xludf.DUMMYFUNCTION("""COMPUTED_VALUE"""),45916)</f>
        <v>45916</v>
      </c>
      <c r="F10" s="8" t="str">
        <f ca="1">IFERROR(__xludf.DUMMYFUNCTION("""COMPUTED_VALUE"""),"Fairfield High School")</f>
        <v>Fairfield High School</v>
      </c>
      <c r="G10" s="8">
        <f ca="1">IFERROR(__xludf.DUMMYFUNCTION("""COMPUTED_VALUE"""),0)</f>
        <v>0</v>
      </c>
      <c r="H10" s="8">
        <f ca="1">IFERROR(__xludf.DUMMYFUNCTION("""COMPUTED_VALUE"""),0)</f>
        <v>0</v>
      </c>
      <c r="I10" s="8">
        <f ca="1">IFERROR(__xludf.DUMMYFUNCTION("""COMPUTED_VALUE"""),0)</f>
        <v>0</v>
      </c>
      <c r="J10" s="8">
        <f ca="1">IFERROR(__xludf.DUMMYFUNCTION("""COMPUTED_VALUE"""),0)</f>
        <v>0</v>
      </c>
      <c r="K10" s="8" t="str">
        <f ca="1">IFERROR(__xludf.DUMMYFUNCTION("""COMPUTED_VALUE"""),"https://www.kron4.com/news/bay-area/boy-turns-self-in-after-fairfield-high-school-shooting/
https://www.abc10.com/article/news/local/fairfield/fairfield-high-school-parking-lot-shooting-suspect-in-custody/103-a71cc312-1714-412e-8aac-89ebe0c82f63
https://w"&amp;"ww.kron4.com/news/bay-area/boy-turns-self-in-after-fairfield-high-school-shooting/")</f>
        <v>https://www.kron4.com/news/bay-area/boy-turns-self-in-after-fairfield-high-school-shooting/
https://www.abc10.com/article/news/local/fairfield/fairfield-high-school-parking-lot-shooting-suspect-in-custody/103-a71cc312-1714-412e-8aac-89ebe0c82f63
https://www.kron4.com/news/bay-area/boy-turns-self-in-after-fairfield-high-school-shooting/</v>
      </c>
      <c r="L10" s="8">
        <f ca="1">IFERROR(__xludf.DUMMYFUNCTION("""COMPUTED_VALUE"""),6)</f>
        <v>6</v>
      </c>
      <c r="M10" s="8" t="str">
        <f ca="1">IFERROR(__xludf.DUMMYFUNCTION("""COMPUTED_VALUE"""),"Regional")</f>
        <v>Regional</v>
      </c>
      <c r="N10" s="8">
        <f ca="1">IFERROR(__xludf.DUMMYFUNCTION("""COMPUTED_VALUE"""),4)</f>
        <v>4</v>
      </c>
      <c r="O10" s="8" t="str">
        <f ca="1">IFERROR(__xludf.DUMMYFUNCTION("""COMPUTED_VALUE"""),"Fall")</f>
        <v>Fall</v>
      </c>
      <c r="P10" s="8" t="str">
        <f ca="1">IFERROR(__xludf.DUMMYFUNCTION("""COMPUTED_VALUE"""),"Fairfield")</f>
        <v>Fairfield</v>
      </c>
      <c r="Q10" s="8" t="str">
        <f ca="1">IFERROR(__xludf.DUMMYFUNCTION("""COMPUTED_VALUE"""),"CA")</f>
        <v>CA</v>
      </c>
      <c r="R10" s="8" t="str">
        <f ca="1">IFERROR(__xludf.DUMMYFUNCTION("""COMPUTED_VALUE"""),"High")</f>
        <v>High</v>
      </c>
      <c r="S10" s="8" t="str">
        <f ca="1">IFERROR(__xludf.DUMMYFUNCTION("""COMPUTED_VALUE"""),"Parking Lot")</f>
        <v>Parking Lot</v>
      </c>
      <c r="T10" s="8" t="str">
        <f ca="1">IFERROR(__xludf.DUMMYFUNCTION("""COMPUTED_VALUE"""),"Outside on School Property")</f>
        <v>Outside on School Property</v>
      </c>
      <c r="U10" s="8" t="str">
        <f ca="1">IFERROR(__xludf.DUMMYFUNCTION("""COMPUTED_VALUE"""),"Yes")</f>
        <v>Yes</v>
      </c>
      <c r="V10" s="8" t="str">
        <f ca="1">IFERROR(__xludf.DUMMYFUNCTION("""COMPUTED_VALUE"""),"Dismissal")</f>
        <v>Dismissal</v>
      </c>
      <c r="W10" s="11">
        <f ca="1">IFERROR(__xludf.DUMMYFUNCTION("""COMPUTED_VALUE"""),0.645833333333333)</f>
        <v>0.64583333333333304</v>
      </c>
      <c r="X10" s="8">
        <f ca="1">IFERROR(__xludf.DUMMYFUNCTION("""COMPUTED_VALUE"""),1)</f>
        <v>1</v>
      </c>
      <c r="Y10" s="12" t="str">
        <f ca="1">IFERROR(__xludf.DUMMYFUNCTION("""COMPUTED_VALUE"""),"Student fired shot during a fight at dismissal")</f>
        <v>Student fired shot during a fight at dismissal</v>
      </c>
      <c r="Z10" s="12" t="str">
        <f ca="1">IFERROR(__xludf.DUMMYFUNCTION("""COMPUTED_VALUE"""),"A boy who allegedly fired a gun during a fight in Fairfield High School’s parking lot turned himself in to police on Wednesday. “A juvenile suspect was identified as the shooter and a warrant was issued for his arrest. The suspect turned himself to Fairfi"&amp;"eld Police Officers with the assistance of family members at approximately 9:00 a.m. this morning,” the Fairfield Police Department wrote. Investigators did not say if the suspected shooter is a Fairfield High School student. Police said the fight broke o"&amp;"ut around 3:30 p.m. Tuesday after classes ended for the day. At least one gunshot was fired at a vehicle with people inside related to the fight, police said. No one was struck by gunfire.")</f>
        <v>A boy who allegedly fired a gun during a fight in Fairfield High School’s parking lot turned himself in to police on Wednesday. “A juvenile suspect was identified as the shooter and a warrant was issued for his arrest. The suspect turned himself to Fairfield Police Officers with the assistance of family members at approximately 9:00 a.m. this morning,” the Fairfield Police Department wrote. Investigators did not say if the suspected shooter is a Fairfield High School student. Police said the fight broke out around 3:30 p.m. Tuesday after classes ended for the day. At least one gunshot was fired at a vehicle with people inside related to the fight, police said. No one was struck by gunfire.</v>
      </c>
      <c r="AA10" s="8" t="str">
        <f ca="1">IFERROR(__xludf.DUMMYFUNCTION("""COMPUTED_VALUE"""),"Escalation of Dispute")</f>
        <v>Escalation of Dispute</v>
      </c>
      <c r="AB10" s="8" t="str">
        <f ca="1">IFERROR(__xludf.DUMMYFUNCTION("""COMPUTED_VALUE"""),"Spontaneous")</f>
        <v>Spontaneous</v>
      </c>
      <c r="AC10" s="8" t="str">
        <f ca="1">IFERROR(__xludf.DUMMYFUNCTION("""COMPUTED_VALUE"""),"Yes")</f>
        <v>Yes</v>
      </c>
      <c r="AD10" s="8" t="str">
        <f ca="1">IFERROR(__xludf.DUMMYFUNCTION("""COMPUTED_VALUE"""),"Victims Targeted")</f>
        <v>Victims Targeted</v>
      </c>
      <c r="AE10" s="8" t="str">
        <f ca="1">IFERROR(__xludf.DUMMYFUNCTION("""COMPUTED_VALUE"""),"No")</f>
        <v>No</v>
      </c>
      <c r="AF10" s="8"/>
      <c r="AG10" s="8" t="str">
        <f ca="1">IFERROR(__xludf.DUMMYFUNCTION("""COMPUTED_VALUE"""),"No")</f>
        <v>No</v>
      </c>
      <c r="AH10" s="8" t="str">
        <f ca="1">IFERROR(__xludf.DUMMYFUNCTION("""COMPUTED_VALUE"""),"No")</f>
        <v>No</v>
      </c>
      <c r="AI10" s="8" t="str">
        <f ca="1">IFERROR(__xludf.DUMMYFUNCTION("""COMPUTED_VALUE"""),"No")</f>
        <v>No</v>
      </c>
      <c r="AJ10" s="8" t="str">
        <f ca="1">IFERROR(__xludf.DUMMYFUNCTION("""COMPUTED_VALUE"""),"No")</f>
        <v>No</v>
      </c>
      <c r="AK10" s="8" t="str">
        <f ca="1">IFERROR(__xludf.DUMMYFUNCTION("""COMPUTED_VALUE"""),"No")</f>
        <v>No</v>
      </c>
      <c r="AL10" s="8"/>
      <c r="AM10" s="8" t="str">
        <f ca="1">IFERROR(__xludf.DUMMYFUNCTION("""COMPUTED_VALUE"""),"No")</f>
        <v>No</v>
      </c>
      <c r="AN10" s="8" t="str">
        <f ca="1">IFERROR(__xludf.DUMMYFUNCTION("""COMPUTED_VALUE"""),"Outside")</f>
        <v>Outside</v>
      </c>
      <c r="AO10" s="8" t="str">
        <f ca="1">IFERROR(__xludf.DUMMYFUNCTION("""COMPUTED_VALUE"""),"No")</f>
        <v>No</v>
      </c>
      <c r="AP10" s="8"/>
      <c r="AQ10" s="8"/>
      <c r="AR10" s="8" t="str">
        <f ca="1">IFERROR(__xludf.DUMMYFUNCTION("""COMPUTED_VALUE"""),"Outside/Off-Property")</f>
        <v>Outside/Off-Property</v>
      </c>
      <c r="AS10" s="8">
        <f ca="1">IFERROR(__xludf.DUMMYFUNCTION("""COMPUTED_VALUE"""),1)</f>
        <v>1</v>
      </c>
      <c r="AT10" s="8" t="str">
        <f ca="1">IFERROR(__xludf.DUMMYFUNCTION("""COMPUTED_VALUE"""),"Yes")</f>
        <v>Yes</v>
      </c>
      <c r="AU10" s="8">
        <f ca="1">IFERROR(__xludf.DUMMYFUNCTION("""COMPUTED_VALUE"""),38.275261)</f>
        <v>38.275261</v>
      </c>
      <c r="AV10" s="8">
        <f ca="1">IFERROR(__xludf.DUMMYFUNCTION("""COMPUTED_VALUE"""),-122.030724)</f>
        <v>-122.03072400000001</v>
      </c>
      <c r="AW10" s="8" t="str">
        <f ca="1">IFERROR(__xludf.DUMMYFUNCTION("""COMPUTED_VALUE"""),"Multiple detached buildings")</f>
        <v>Multiple detached buildings</v>
      </c>
      <c r="AX10" s="8">
        <f ca="1">IFERROR(__xludf.DUMMYFUNCTION("""COMPUTED_VALUE"""),94533)</f>
        <v>94533</v>
      </c>
    </row>
    <row r="11" spans="1:54" ht="105" x14ac:dyDescent="0.2">
      <c r="A11" s="8" t="str">
        <f ca="1">IFERROR(__xludf.DUMMYFUNCTION("""COMPUTED_VALUE"""),"20250915ILLIB")</f>
        <v>20250915ILLIB</v>
      </c>
      <c r="B11" s="8">
        <f ca="1">IFERROR(__xludf.DUMMYFUNCTION("""COMPUTED_VALUE"""),9)</f>
        <v>9</v>
      </c>
      <c r="C11" s="8">
        <f ca="1">IFERROR(__xludf.DUMMYFUNCTION("""COMPUTED_VALUE"""),16)</f>
        <v>16</v>
      </c>
      <c r="D11" s="8">
        <f ca="1">IFERROR(__xludf.DUMMYFUNCTION("""COMPUTED_VALUE"""),2025)</f>
        <v>2025</v>
      </c>
      <c r="E11" s="9">
        <f ca="1">IFERROR(__xludf.DUMMYFUNCTION("""COMPUTED_VALUE"""),45916)</f>
        <v>45916</v>
      </c>
      <c r="F11" s="8" t="str">
        <f ca="1">IFERROR(__xludf.DUMMYFUNCTION("""COMPUTED_VALUE"""),"Lincoln Middle School")</f>
        <v>Lincoln Middle School</v>
      </c>
      <c r="G11" s="8">
        <f ca="1">IFERROR(__xludf.DUMMYFUNCTION("""COMPUTED_VALUE"""),2)</f>
        <v>2</v>
      </c>
      <c r="H11" s="8">
        <f ca="1">IFERROR(__xludf.DUMMYFUNCTION("""COMPUTED_VALUE"""),0)</f>
        <v>0</v>
      </c>
      <c r="I11" s="8">
        <f ca="1">IFERROR(__xludf.DUMMYFUNCTION("""COMPUTED_VALUE"""),2)</f>
        <v>2</v>
      </c>
      <c r="J11" s="8">
        <f ca="1">IFERROR(__xludf.DUMMYFUNCTION("""COMPUTED_VALUE"""),1)</f>
        <v>1</v>
      </c>
      <c r="K11" s="8" t="str">
        <f ca="1">IFERROR(__xludf.DUMMYFUNCTION("""COMPUTED_VALUE"""),"https://www.cbsnews.com/chicago/news/berwyn-shooting-lincoln-middle-school-assistant-principal-nerissa-lee-killed/
https://www.fox32chicago.com/news/police-activity-berwyn-middle-school
https://abc7chicago.com/post/berwyn-shooting-lincoln-middle-school-cl"&amp;"osed-wednesday-nearby-leaves-3-dead/17832882/")</f>
        <v>https://www.cbsnews.com/chicago/news/berwyn-shooting-lincoln-middle-school-assistant-principal-nerissa-lee-killed/
https://www.fox32chicago.com/news/police-activity-berwyn-middle-school
https://abc7chicago.com/post/berwyn-shooting-lincoln-middle-school-closed-wednesday-nearby-leaves-3-dead/17832882/</v>
      </c>
      <c r="L11" s="8">
        <f ca="1">IFERROR(__xludf.DUMMYFUNCTION("""COMPUTED_VALUE"""),30)</f>
        <v>30</v>
      </c>
      <c r="M11" s="8" t="str">
        <f ca="1">IFERROR(__xludf.DUMMYFUNCTION("""COMPUTED_VALUE"""),"Regional")</f>
        <v>Regional</v>
      </c>
      <c r="N11" s="8">
        <f ca="1">IFERROR(__xludf.DUMMYFUNCTION("""COMPUTED_VALUE"""),4)</f>
        <v>4</v>
      </c>
      <c r="O11" s="8" t="str">
        <f ca="1">IFERROR(__xludf.DUMMYFUNCTION("""COMPUTED_VALUE"""),"Fall")</f>
        <v>Fall</v>
      </c>
      <c r="P11" s="8" t="str">
        <f ca="1">IFERROR(__xludf.DUMMYFUNCTION("""COMPUTED_VALUE"""),"Berwyn")</f>
        <v>Berwyn</v>
      </c>
      <c r="Q11" s="8" t="str">
        <f ca="1">IFERROR(__xludf.DUMMYFUNCTION("""COMPUTED_VALUE"""),"IL")</f>
        <v>IL</v>
      </c>
      <c r="R11" s="8" t="str">
        <f ca="1">IFERROR(__xludf.DUMMYFUNCTION("""COMPUTED_VALUE"""),"Middle")</f>
        <v>Middle</v>
      </c>
      <c r="S11" s="8" t="str">
        <f ca="1">IFERROR(__xludf.DUMMYFUNCTION("""COMPUTED_VALUE"""),"Front of School")</f>
        <v>Front of School</v>
      </c>
      <c r="T11" s="8" t="str">
        <f ca="1">IFERROR(__xludf.DUMMYFUNCTION("""COMPUTED_VALUE"""),"Outside on School Property")</f>
        <v>Outside on School Property</v>
      </c>
      <c r="U11" s="8" t="str">
        <f ca="1">IFERROR(__xludf.DUMMYFUNCTION("""COMPUTED_VALUE"""),"Yes")</f>
        <v>Yes</v>
      </c>
      <c r="V11" s="8" t="str">
        <f ca="1">IFERROR(__xludf.DUMMYFUNCTION("""COMPUTED_VALUE"""),"Dismissal")</f>
        <v>Dismissal</v>
      </c>
      <c r="W11" s="11">
        <f ca="1">IFERROR(__xludf.DUMMYFUNCTION("""COMPUTED_VALUE"""),0.670138888888888)</f>
        <v>0.67013888888888795</v>
      </c>
      <c r="X11" s="8">
        <f ca="1">IFERROR(__xludf.DUMMYFUNCTION("""COMPUTED_VALUE"""),1)</f>
        <v>1</v>
      </c>
      <c r="Y11" s="12" t="str">
        <f ca="1">IFERROR(__xludf.DUMMYFUNCTION("""COMPUTED_VALUE"""),"Man with rifle killed assistant principal and another person in a vehicle near the front door at dismissal and then killed himsef")</f>
        <v>Man with rifle killed assistant principal and another person in a vehicle near the front door at dismissal and then killed himsef</v>
      </c>
      <c r="Z11" s="12" t="str">
        <f ca="1">IFERROR(__xludf.DUMMYFUNCTION("""COMPUTED_VALUE"""),"Husband of the school's assistant principal killed her, a second person, fired shots at police, and then killed himself at dismissal. The assistant principal would usually stand outside the front door of the school during dismissal. The man was armed with"&amp;" a rifle and fired approximately 30 shots.")</f>
        <v>Husband of the school's assistant principal killed her, a second person, fired shots at police, and then killed himself at dismissal. The assistant principal would usually stand outside the front door of the school during dismissal. The man was armed with a rifle and fired approximately 30 shots.</v>
      </c>
      <c r="AA11" s="8" t="str">
        <f ca="1">IFERROR(__xludf.DUMMYFUNCTION("""COMPUTED_VALUE"""),"Domestic w/ Targeted Victim")</f>
        <v>Domestic w/ Targeted Victim</v>
      </c>
      <c r="AB11" s="8" t="str">
        <f ca="1">IFERROR(__xludf.DUMMYFUNCTION("""COMPUTED_VALUE"""),"Targeted")</f>
        <v>Targeted</v>
      </c>
      <c r="AC11" s="8" t="str">
        <f ca="1">IFERROR(__xludf.DUMMYFUNCTION("""COMPUTED_VALUE"""),"Yes")</f>
        <v>Yes</v>
      </c>
      <c r="AD11" s="8" t="str">
        <f ca="1">IFERROR(__xludf.DUMMYFUNCTION("""COMPUTED_VALUE"""),"Victims Targeted")</f>
        <v>Victims Targeted</v>
      </c>
      <c r="AE11" s="8" t="str">
        <f ca="1">IFERROR(__xludf.DUMMYFUNCTION("""COMPUTED_VALUE"""),"No")</f>
        <v>No</v>
      </c>
      <c r="AF11" s="8"/>
      <c r="AG11" s="8" t="str">
        <f ca="1">IFERROR(__xludf.DUMMYFUNCTION("""COMPUTED_VALUE"""),"No")</f>
        <v>No</v>
      </c>
      <c r="AH11" s="8" t="str">
        <f ca="1">IFERROR(__xludf.DUMMYFUNCTION("""COMPUTED_VALUE"""),"No")</f>
        <v>No</v>
      </c>
      <c r="AI11" s="8" t="str">
        <f ca="1">IFERROR(__xludf.DUMMYFUNCTION("""COMPUTED_VALUE"""),"No")</f>
        <v>No</v>
      </c>
      <c r="AJ11" s="8" t="str">
        <f ca="1">IFERROR(__xludf.DUMMYFUNCTION("""COMPUTED_VALUE"""),"No")</f>
        <v>No</v>
      </c>
      <c r="AK11" s="8" t="str">
        <f ca="1">IFERROR(__xludf.DUMMYFUNCTION("""COMPUTED_VALUE"""),"Yes")</f>
        <v>Yes</v>
      </c>
      <c r="AL11" s="8" t="str">
        <f ca="1">IFERROR(__xludf.DUMMYFUNCTION("""COMPUTED_VALUE"""),"No")</f>
        <v>No</v>
      </c>
      <c r="AM11" s="8" t="str">
        <f ca="1">IFERROR(__xludf.DUMMYFUNCTION("""COMPUTED_VALUE"""),"Yes")</f>
        <v>Yes</v>
      </c>
      <c r="AN11" s="8" t="str">
        <f ca="1">IFERROR(__xludf.DUMMYFUNCTION("""COMPUTED_VALUE"""),"Outside")</f>
        <v>Outside</v>
      </c>
      <c r="AO11" s="8" t="str">
        <f ca="1">IFERROR(__xludf.DUMMYFUNCTION("""COMPUTED_VALUE"""),"Yes")</f>
        <v>Yes</v>
      </c>
      <c r="AP11" s="8"/>
      <c r="AQ11" s="8"/>
      <c r="AR11" s="8" t="str">
        <f ca="1">IFERROR(__xludf.DUMMYFUNCTION("""COMPUTED_VALUE"""),"Outside/Off-Property")</f>
        <v>Outside/Off-Property</v>
      </c>
      <c r="AS11" s="8">
        <f ca="1">IFERROR(__xludf.DUMMYFUNCTION("""COMPUTED_VALUE"""),99)</f>
        <v>99</v>
      </c>
      <c r="AT11" s="8" t="str">
        <f ca="1">IFERROR(__xludf.DUMMYFUNCTION("""COMPUTED_VALUE"""),"Yes")</f>
        <v>Yes</v>
      </c>
      <c r="AU11" s="8">
        <f ca="1">IFERROR(__xludf.DUMMYFUNCTION("""COMPUTED_VALUE"""),41.85793)</f>
        <v>41.857930000000003</v>
      </c>
      <c r="AV11" s="8">
        <f ca="1">IFERROR(__xludf.DUMMYFUNCTION("""COMPUTED_VALUE"""),-87.786044)</f>
        <v>-87.786044000000004</v>
      </c>
      <c r="AW11" s="8" t="str">
        <f ca="1">IFERROR(__xludf.DUMMYFUNCTION("""COMPUTED_VALUE"""),"Urban Street Standalone")</f>
        <v>Urban Street Standalone</v>
      </c>
      <c r="AX11" s="8">
        <f ca="1">IFERROR(__xludf.DUMMYFUNCTION("""COMPUTED_VALUE"""),60402)</f>
        <v>60402</v>
      </c>
    </row>
    <row r="12" spans="1:54" ht="210" x14ac:dyDescent="0.2">
      <c r="A12" s="8" t="str">
        <f ca="1">IFERROR(__xludf.DUMMYFUNCTION("""COMPUTED_VALUE"""),"20250916OHLIL")</f>
        <v>20250916OHLIL</v>
      </c>
      <c r="B12" s="8">
        <f ca="1">IFERROR(__xludf.DUMMYFUNCTION("""COMPUTED_VALUE"""),9)</f>
        <v>9</v>
      </c>
      <c r="C12" s="8">
        <f ca="1">IFERROR(__xludf.DUMMYFUNCTION("""COMPUTED_VALUE"""),16)</f>
        <v>16</v>
      </c>
      <c r="D12" s="8">
        <f ca="1">IFERROR(__xludf.DUMMYFUNCTION("""COMPUTED_VALUE"""),2025)</f>
        <v>2025</v>
      </c>
      <c r="E12" s="9">
        <f ca="1">IFERROR(__xludf.DUMMYFUNCTION("""COMPUTED_VALUE"""),45916)</f>
        <v>45916</v>
      </c>
      <c r="F12" s="8" t="str">
        <f ca="1">IFERROR(__xludf.DUMMYFUNCTION("""COMPUTED_VALUE"""),"Lindbergh Elementary School")</f>
        <v>Lindbergh Elementary School</v>
      </c>
      <c r="G12" s="8">
        <f ca="1">IFERROR(__xludf.DUMMYFUNCTION("""COMPUTED_VALUE"""),0)</f>
        <v>0</v>
      </c>
      <c r="H12" s="8">
        <f ca="1">IFERROR(__xludf.DUMMYFUNCTION("""COMPUTED_VALUE"""),1)</f>
        <v>1</v>
      </c>
      <c r="I12" s="8">
        <f ca="1">IFERROR(__xludf.DUMMYFUNCTION("""COMPUTED_VALUE"""),1)</f>
        <v>1</v>
      </c>
      <c r="J12" s="8">
        <f ca="1">IFERROR(__xludf.DUMMYFUNCTION("""COMPUTED_VALUE"""),0)</f>
        <v>0</v>
      </c>
      <c r="K12" s="10" t="str">
        <f ca="1">IFERROR(__xludf.DUMMYFUNCTION("""COMPUTED_VALUE"""),"https://abc6onyourside.com/news/local/lindbergh-elementary-school-juvenile-shot-wounded-near-columbus-ohio")</f>
        <v>https://abc6onyourside.com/news/local/lindbergh-elementary-school-juvenile-shot-wounded-near-columbus-ohio</v>
      </c>
      <c r="L12" s="8">
        <f ca="1">IFERROR(__xludf.DUMMYFUNCTION("""COMPUTED_VALUE"""),3)</f>
        <v>3</v>
      </c>
      <c r="M12" s="8" t="str">
        <f ca="1">IFERROR(__xludf.DUMMYFUNCTION("""COMPUTED_VALUE"""),"Local")</f>
        <v>Local</v>
      </c>
      <c r="N12" s="8">
        <f ca="1">IFERROR(__xludf.DUMMYFUNCTION("""COMPUTED_VALUE"""),4)</f>
        <v>4</v>
      </c>
      <c r="O12" s="8" t="str">
        <f ca="1">IFERROR(__xludf.DUMMYFUNCTION("""COMPUTED_VALUE"""),"Fall")</f>
        <v>Fall</v>
      </c>
      <c r="P12" s="8" t="str">
        <f ca="1">IFERROR(__xludf.DUMMYFUNCTION("""COMPUTED_VALUE"""),"Columbus")</f>
        <v>Columbus</v>
      </c>
      <c r="Q12" s="8" t="str">
        <f ca="1">IFERROR(__xludf.DUMMYFUNCTION("""COMPUTED_VALUE"""),"OH")</f>
        <v>OH</v>
      </c>
      <c r="R12" s="8" t="str">
        <f ca="1">IFERROR(__xludf.DUMMYFUNCTION("""COMPUTED_VALUE"""),"Elementary")</f>
        <v>Elementary</v>
      </c>
      <c r="S12" s="8" t="str">
        <f ca="1">IFERROR(__xludf.DUMMYFUNCTION("""COMPUTED_VALUE"""),"Field (General)")</f>
        <v>Field (General)</v>
      </c>
      <c r="T12" s="8" t="str">
        <f ca="1">IFERROR(__xludf.DUMMYFUNCTION("""COMPUTED_VALUE"""),"Outside on School Property")</f>
        <v>Outside on School Property</v>
      </c>
      <c r="U12" s="8" t="str">
        <f ca="1">IFERROR(__xludf.DUMMYFUNCTION("""COMPUTED_VALUE"""),"Yes")</f>
        <v>Yes</v>
      </c>
      <c r="V12" s="8" t="str">
        <f ca="1">IFERROR(__xludf.DUMMYFUNCTION("""COMPUTED_VALUE"""),"Dismissal")</f>
        <v>Dismissal</v>
      </c>
      <c r="W12" s="11">
        <f ca="1">IFERROR(__xludf.DUMMYFUNCTION("""COMPUTED_VALUE"""),0.625)</f>
        <v>0.625</v>
      </c>
      <c r="X12" s="8">
        <f ca="1">IFERROR(__xludf.DUMMYFUNCTION("""COMPUTED_VALUE"""),1)</f>
        <v>1</v>
      </c>
      <c r="Y12" s="12" t="str">
        <f ca="1">IFERROR(__xludf.DUMMYFUNCTION("""COMPUTED_VALUE"""),"14-year-old shot during fight between 30 teens")</f>
        <v>14-year-old shot during fight between 30 teens</v>
      </c>
      <c r="Z12" s="12" t="str">
        <f ca="1">IFERROR(__xludf.DUMMYFUNCTION("""COMPUTED_VALUE"""),"A 14-year-old was shot near Lindbergh Elementary School on the west side of Columbus, prompting a police response just before 3 p.m., authorities said. The teenager was transported to Nationwide Children's Hospital for treatment. Police have detained a pe"&amp;"rson of interest, but the suspect remains at large and is considered armed and dangerous, according to officials. The incident reportedly began as a group altercation involving 20 to 32 people in the school's athletic fields. In response to the gunfire, C"&amp;"olumbus City Schools placed Lindbergh, Binns Elementary School, and Briggs High School on a level 2 lockdown. A school spokesperson explained that this level of lockdown allows classes to continue while securing the buildings. All students were able to re"&amp;"turn home safely after the all-clear was given.")</f>
        <v>A 14-year-old was shot near Lindbergh Elementary School on the west side of Columbus, prompting a police response just before 3 p.m., authorities said. The teenager was transported to Nationwide Children's Hospital for treatment. Police have detained a person of interest, but the suspect remains at large and is considered armed and dangerous, according to officials. The incident reportedly began as a group altercation involving 20 to 32 people in the school's athletic fields. In response to the gunfire, Columbus City Schools placed Lindbergh, Binns Elementary School, and Briggs High School on a level 2 lockdown. A school spokesperson explained that this level of lockdown allows classes to continue while securing the buildings. All students were able to return home safely after the all-clear was given.</v>
      </c>
      <c r="AA12" s="8" t="str">
        <f ca="1">IFERROR(__xludf.DUMMYFUNCTION("""COMPUTED_VALUE"""),"Escalation of Dispute")</f>
        <v>Escalation of Dispute</v>
      </c>
      <c r="AB12" s="8" t="str">
        <f ca="1">IFERROR(__xludf.DUMMYFUNCTION("""COMPUTED_VALUE"""),"Spontaneous")</f>
        <v>Spontaneous</v>
      </c>
      <c r="AC12" s="8" t="str">
        <f ca="1">IFERROR(__xludf.DUMMYFUNCTION("""COMPUTED_VALUE"""),"Yes")</f>
        <v>Yes</v>
      </c>
      <c r="AD12" s="8" t="str">
        <f ca="1">IFERROR(__xludf.DUMMYFUNCTION("""COMPUTED_VALUE"""),"Both")</f>
        <v>Both</v>
      </c>
      <c r="AE12" s="8" t="str">
        <f ca="1">IFERROR(__xludf.DUMMYFUNCTION("""COMPUTED_VALUE"""),"Yes")</f>
        <v>Yes</v>
      </c>
      <c r="AF12" s="8" t="str">
        <f ca="1">IFERROR(__xludf.DUMMYFUNCTION("""COMPUTED_VALUE"""),"Large fight between 20-30 teens")</f>
        <v>Large fight between 20-30 teens</v>
      </c>
      <c r="AG12" s="8" t="str">
        <f ca="1">IFERROR(__xludf.DUMMYFUNCTION("""COMPUTED_VALUE"""),"No")</f>
        <v>No</v>
      </c>
      <c r="AH12" s="8" t="str">
        <f ca="1">IFERROR(__xludf.DUMMYFUNCTION("""COMPUTED_VALUE"""),"No")</f>
        <v>No</v>
      </c>
      <c r="AI12" s="8" t="str">
        <f ca="1">IFERROR(__xludf.DUMMYFUNCTION("""COMPUTED_VALUE"""),"No")</f>
        <v>No</v>
      </c>
      <c r="AJ12" s="8" t="str">
        <f ca="1">IFERROR(__xludf.DUMMYFUNCTION("""COMPUTED_VALUE"""),"No")</f>
        <v>No</v>
      </c>
      <c r="AK12" s="8" t="str">
        <f ca="1">IFERROR(__xludf.DUMMYFUNCTION("""COMPUTED_VALUE"""),"No")</f>
        <v>No</v>
      </c>
      <c r="AL12" s="8"/>
      <c r="AM12" s="8" t="str">
        <f ca="1">IFERROR(__xludf.DUMMYFUNCTION("""COMPUTED_VALUE"""),"No")</f>
        <v>No</v>
      </c>
      <c r="AN12" s="8" t="str">
        <f ca="1">IFERROR(__xludf.DUMMYFUNCTION("""COMPUTED_VALUE"""),"Outside")</f>
        <v>Outside</v>
      </c>
      <c r="AO12" s="8" t="str">
        <f ca="1">IFERROR(__xludf.DUMMYFUNCTION("""COMPUTED_VALUE"""),"No")</f>
        <v>No</v>
      </c>
      <c r="AP12" s="8"/>
      <c r="AQ12" s="8"/>
      <c r="AR12" s="8" t="str">
        <f ca="1">IFERROR(__xludf.DUMMYFUNCTION("""COMPUTED_VALUE"""),"Outside/Off-Property")</f>
        <v>Outside/Off-Property</v>
      </c>
      <c r="AS12" s="8">
        <f ca="1">IFERROR(__xludf.DUMMYFUNCTION("""COMPUTED_VALUE"""),99)</f>
        <v>99</v>
      </c>
      <c r="AT12" s="8" t="str">
        <f ca="1">IFERROR(__xludf.DUMMYFUNCTION("""COMPUTED_VALUE"""),"Yes")</f>
        <v>Yes</v>
      </c>
      <c r="AU12" s="8">
        <f ca="1">IFERROR(__xludf.DUMMYFUNCTION("""COMPUTED_VALUE"""),39.931825)</f>
        <v>39.931825000000003</v>
      </c>
      <c r="AV12" s="8">
        <f ca="1">IFERROR(__xludf.DUMMYFUNCTION("""COMPUTED_VALUE"""),-83.065313)</f>
        <v>-83.065313000000003</v>
      </c>
      <c r="AW12" s="8" t="str">
        <f ca="1">IFERROR(__xludf.DUMMYFUNCTION("""COMPUTED_VALUE"""),"Single building indoor hallway")</f>
        <v>Single building indoor hallway</v>
      </c>
      <c r="AX12" s="8">
        <f ca="1">IFERROR(__xludf.DUMMYFUNCTION("""COMPUTED_VALUE"""),43204)</f>
        <v>43204</v>
      </c>
    </row>
    <row r="13" spans="1:54" ht="225" x14ac:dyDescent="0.2">
      <c r="A13" s="8" t="str">
        <f ca="1">IFERROR(__xludf.DUMMYFUNCTION("""COMPUTED_VALUE"""),"20250915CAJOA")</f>
        <v>20250915CAJOA</v>
      </c>
      <c r="B13" s="8">
        <f ca="1">IFERROR(__xludf.DUMMYFUNCTION("""COMPUTED_VALUE"""),9)</f>
        <v>9</v>
      </c>
      <c r="C13" s="8">
        <f ca="1">IFERROR(__xludf.DUMMYFUNCTION("""COMPUTED_VALUE"""),15)</f>
        <v>15</v>
      </c>
      <c r="D13" s="8">
        <f ca="1">IFERROR(__xludf.DUMMYFUNCTION("""COMPUTED_VALUE"""),2025)</f>
        <v>2025</v>
      </c>
      <c r="E13" s="9">
        <f ca="1">IFERROR(__xludf.DUMMYFUNCTION("""COMPUTED_VALUE"""),45915)</f>
        <v>45915</v>
      </c>
      <c r="F13" s="8" t="str">
        <f ca="1">IFERROR(__xludf.DUMMYFUNCTION("""COMPUTED_VALUE"""),"John Marshall Elementary School")</f>
        <v>John Marshall Elementary School</v>
      </c>
      <c r="G13" s="8">
        <f ca="1">IFERROR(__xludf.DUMMYFUNCTION("""COMPUTED_VALUE"""),1)</f>
        <v>1</v>
      </c>
      <c r="H13" s="8">
        <f ca="1">IFERROR(__xludf.DUMMYFUNCTION("""COMPUTED_VALUE"""),0)</f>
        <v>0</v>
      </c>
      <c r="I13" s="8">
        <f ca="1">IFERROR(__xludf.DUMMYFUNCTION("""COMPUTED_VALUE"""),1)</f>
        <v>1</v>
      </c>
      <c r="J13" s="8">
        <f ca="1">IFERROR(__xludf.DUMMYFUNCTION("""COMPUTED_VALUE"""),0)</f>
        <v>0</v>
      </c>
      <c r="K13" s="10" t="str">
        <f ca="1">IFERROR(__xludf.DUMMYFUNCTION("""COMPUTED_VALUE"""),"https://abc7.com/post/anaheim-police-involved-shooting-places-nearby-elementary-school-temporary-lockdown/17822879/")</f>
        <v>https://abc7.com/post/anaheim-police-involved-shooting-places-nearby-elementary-school-temporary-lockdown/17822879/</v>
      </c>
      <c r="L13" s="8">
        <f ca="1">IFERROR(__xludf.DUMMYFUNCTION("""COMPUTED_VALUE"""),10)</f>
        <v>10</v>
      </c>
      <c r="M13" s="8" t="str">
        <f ca="1">IFERROR(__xludf.DUMMYFUNCTION("""COMPUTED_VALUE"""),"Regional")</f>
        <v>Regional</v>
      </c>
      <c r="N13" s="8">
        <f ca="1">IFERROR(__xludf.DUMMYFUNCTION("""COMPUTED_VALUE"""),4)</f>
        <v>4</v>
      </c>
      <c r="O13" s="8" t="str">
        <f ca="1">IFERROR(__xludf.DUMMYFUNCTION("""COMPUTED_VALUE"""),"Fall")</f>
        <v>Fall</v>
      </c>
      <c r="P13" s="8" t="str">
        <f ca="1">IFERROR(__xludf.DUMMYFUNCTION("""COMPUTED_VALUE"""),"Anaheim")</f>
        <v>Anaheim</v>
      </c>
      <c r="Q13" s="8" t="str">
        <f ca="1">IFERROR(__xludf.DUMMYFUNCTION("""COMPUTED_VALUE"""),"CA")</f>
        <v>CA</v>
      </c>
      <c r="R13" s="8" t="str">
        <f ca="1">IFERROR(__xludf.DUMMYFUNCTION("""COMPUTED_VALUE"""),"Elementary")</f>
        <v>Elementary</v>
      </c>
      <c r="S13" s="8" t="str">
        <f ca="1">IFERROR(__xludf.DUMMYFUNCTION("""COMPUTED_VALUE"""),"Front of School")</f>
        <v>Front of School</v>
      </c>
      <c r="T13" s="8" t="str">
        <f ca="1">IFERROR(__xludf.DUMMYFUNCTION("""COMPUTED_VALUE"""),"Outside on School Property")</f>
        <v>Outside on School Property</v>
      </c>
      <c r="U13" s="8" t="str">
        <f ca="1">IFERROR(__xludf.DUMMYFUNCTION("""COMPUTED_VALUE"""),"Yes")</f>
        <v>Yes</v>
      </c>
      <c r="V13" s="8" t="str">
        <f ca="1">IFERROR(__xludf.DUMMYFUNCTION("""COMPUTED_VALUE"""),"Afternoon Classes")</f>
        <v>Afternoon Classes</v>
      </c>
      <c r="W13" s="11">
        <f ca="1">IFERROR(__xludf.DUMMYFUNCTION("""COMPUTED_VALUE"""),0.53125)</f>
        <v>0.53125</v>
      </c>
      <c r="X13" s="8">
        <f ca="1">IFERROR(__xludf.DUMMYFUNCTION("""COMPUTED_VALUE"""),1)</f>
        <v>1</v>
      </c>
      <c r="Y13" s="12" t="str">
        <f ca="1">IFERROR(__xludf.DUMMYFUNCTION("""COMPUTED_VALUE"""),"Police fatally shot a man carrying a shovel outside of the school")</f>
        <v>Police fatally shot a man carrying a shovel outside of the school</v>
      </c>
      <c r="Z13" s="12" t="str">
        <f ca="1">IFERROR(__xludf.DUMMYFUNCTION("""COMPUTED_VALUE"""),"According to Anaheim police, an officer responded to the intersection of Holly Street and Falmouth Avenue around 12:45 p.m. in response to a call about a suspicious person. The caller said a man in the area was acting suspiciously and possibly under the i"&amp;"nfluence of drugs, carrying a brick and a shovel. When the officer arrived and encountered the man, the officer fired shots, hitting the suspect, according to the police department. The officer rendered first aid, and the man was taken to the hospital, wh"&amp;"ere he was pronounced dead approximately 30 minutes later. The police department said the officer was not hurt, and a shovel was recovered at the scene. The shooting happened outside of John Marshall Elementary School, sparking a temporary lockdown. Polic"&amp;"e said class was in session, but none of the students were exposed to the shooting.")</f>
        <v>According to Anaheim police, an officer responded to the intersection of Holly Street and Falmouth Avenue around 12:45 p.m. in response to a call about a suspicious person. The caller said a man in the area was acting suspiciously and possibly under the influence of drugs, carrying a brick and a shovel. When the officer arrived and encountered the man, the officer fired shots, hitting the suspect, according to the police department. The officer rendered first aid, and the man was taken to the hospital, where he was pronounced dead approximately 30 minutes later. The police department said the officer was not hurt, and a shovel was recovered at the scene. The shooting happened outside of John Marshall Elementary School, sparking a temporary lockdown. Police said class was in session, but none of the students were exposed to the shooting.</v>
      </c>
      <c r="AA13" s="8" t="str">
        <f ca="1">IFERROR(__xludf.DUMMYFUNCTION("""COMPUTED_VALUE"""),"Officer-Involved Shooting")</f>
        <v>Officer-Involved Shooting</v>
      </c>
      <c r="AB13" s="8"/>
      <c r="AC13" s="8" t="str">
        <f ca="1">IFERROR(__xludf.DUMMYFUNCTION("""COMPUTED_VALUE"""),"Yes")</f>
        <v>Yes</v>
      </c>
      <c r="AD13" s="8"/>
      <c r="AE13" s="8"/>
      <c r="AF13" s="8"/>
      <c r="AG13" s="8" t="str">
        <f ca="1">IFERROR(__xludf.DUMMYFUNCTION("""COMPUTED_VALUE"""),"No")</f>
        <v>No</v>
      </c>
      <c r="AH13" s="8" t="str">
        <f ca="1">IFERROR(__xludf.DUMMYFUNCTION("""COMPUTED_VALUE"""),"No")</f>
        <v>No</v>
      </c>
      <c r="AI13" s="8" t="str">
        <f ca="1">IFERROR(__xludf.DUMMYFUNCTION("""COMPUTED_VALUE"""),"Yes")</f>
        <v>Yes</v>
      </c>
      <c r="AJ13" s="8" t="str">
        <f ca="1">IFERROR(__xludf.DUMMYFUNCTION("""COMPUTED_VALUE"""),"No")</f>
        <v>No</v>
      </c>
      <c r="AK13" s="8" t="str">
        <f ca="1">IFERROR(__xludf.DUMMYFUNCTION("""COMPUTED_VALUE"""),"No")</f>
        <v>No</v>
      </c>
      <c r="AL13" s="8" t="str">
        <f ca="1">IFERROR(__xludf.DUMMYFUNCTION("""COMPUTED_VALUE"""),"No")</f>
        <v>No</v>
      </c>
      <c r="AM13" s="8" t="str">
        <f ca="1">IFERROR(__xludf.DUMMYFUNCTION("""COMPUTED_VALUE"""),"No")</f>
        <v>No</v>
      </c>
      <c r="AN13" s="8" t="str">
        <f ca="1">IFERROR(__xludf.DUMMYFUNCTION("""COMPUTED_VALUE"""),"Outside")</f>
        <v>Outside</v>
      </c>
      <c r="AO13" s="8" t="str">
        <f ca="1">IFERROR(__xludf.DUMMYFUNCTION("""COMPUTED_VALUE"""),"No")</f>
        <v>No</v>
      </c>
      <c r="AP13" s="8"/>
      <c r="AQ13" s="8"/>
      <c r="AR13" s="8" t="str">
        <f ca="1">IFERROR(__xludf.DUMMYFUNCTION("""COMPUTED_VALUE"""),"Outside/Off-Property")</f>
        <v>Outside/Off-Property</v>
      </c>
      <c r="AS13" s="8">
        <f ca="1">IFERROR(__xludf.DUMMYFUNCTION("""COMPUTED_VALUE"""),99)</f>
        <v>99</v>
      </c>
      <c r="AT13" s="8" t="str">
        <f ca="1">IFERROR(__xludf.DUMMYFUNCTION("""COMPUTED_VALUE"""),"Yes")</f>
        <v>Yes</v>
      </c>
      <c r="AU13" s="8">
        <f ca="1">IFERROR(__xludf.DUMMYFUNCTION("""COMPUTED_VALUE"""),33.848949)</f>
        <v>33.848948999999998</v>
      </c>
      <c r="AV13" s="8">
        <f ca="1">IFERROR(__xludf.DUMMYFUNCTION("""COMPUTED_VALUE"""),-117.955196)</f>
        <v>-117.955196</v>
      </c>
      <c r="AW13" s="8" t="str">
        <f ca="1">IFERROR(__xludf.DUMMYFUNCTION("""COMPUTED_VALUE"""),"Multiple attached buildings")</f>
        <v>Multiple attached buildings</v>
      </c>
      <c r="AX13" s="8">
        <f ca="1">IFERROR(__xludf.DUMMYFUNCTION("""COMPUTED_VALUE"""),92801)</f>
        <v>92801</v>
      </c>
    </row>
    <row r="14" spans="1:54" ht="45" x14ac:dyDescent="0.2">
      <c r="A14" s="8" t="str">
        <f ca="1">IFERROR(__xludf.DUMMYFUNCTION("""COMPUTED_VALUE"""),"20250912NCSOP")</f>
        <v>20250912NCSOP</v>
      </c>
      <c r="B14" s="8">
        <f ca="1">IFERROR(__xludf.DUMMYFUNCTION("""COMPUTED_VALUE"""),9)</f>
        <v>9</v>
      </c>
      <c r="C14" s="8">
        <f ca="1">IFERROR(__xludf.DUMMYFUNCTION("""COMPUTED_VALUE"""),12)</f>
        <v>12</v>
      </c>
      <c r="D14" s="8">
        <f ca="1">IFERROR(__xludf.DUMMYFUNCTION("""COMPUTED_VALUE"""),2025)</f>
        <v>2025</v>
      </c>
      <c r="E14" s="9">
        <f ca="1">IFERROR(__xludf.DUMMYFUNCTION("""COMPUTED_VALUE"""),45912)</f>
        <v>45912</v>
      </c>
      <c r="F14" s="8" t="str">
        <f ca="1">IFERROR(__xludf.DUMMYFUNCTION("""COMPUTED_VALUE"""),"Southwest Edgecombe High School")</f>
        <v>Southwest Edgecombe High School</v>
      </c>
      <c r="G14" s="8">
        <f ca="1">IFERROR(__xludf.DUMMYFUNCTION("""COMPUTED_VALUE"""),0)</f>
        <v>0</v>
      </c>
      <c r="H14" s="8">
        <f ca="1">IFERROR(__xludf.DUMMYFUNCTION("""COMPUTED_VALUE"""),2)</f>
        <v>2</v>
      </c>
      <c r="I14" s="8">
        <f ca="1">IFERROR(__xludf.DUMMYFUNCTION("""COMPUTED_VALUE"""),2)</f>
        <v>2</v>
      </c>
      <c r="J14" s="8">
        <f ca="1">IFERROR(__xludf.DUMMYFUNCTION("""COMPUTED_VALUE"""),0)</f>
        <v>0</v>
      </c>
      <c r="K14" s="10" t="str">
        <f ca="1">IFERROR(__xludf.DUMMYFUNCTION("""COMPUTED_VALUE"""),"https://www.witn.com/2025/09/14/residents-react-after-shooting-during-high-school-football-game-edgecombe-county/
https://www.wnct.com/news/suspect-detained-after-tarboro-high-football-game-shooting/
https://www.witn.com/2025/09/13/one-person-injured-shoo"&amp;"ting-southwest-edgecombe-tarboro-hs-football-game/")</f>
        <v>https://www.witn.com/2025/09/14/residents-react-after-shooting-during-high-school-football-game-edgecombe-county/
https://www.wnct.com/news/suspect-detained-after-tarboro-high-football-game-shooting/
https://www.witn.com/2025/09/13/one-person-injured-shooting-southwest-edgecombe-tarboro-hs-football-game/</v>
      </c>
      <c r="L14" s="8">
        <f ca="1">IFERROR(__xludf.DUMMYFUNCTION("""COMPUTED_VALUE"""),20)</f>
        <v>20</v>
      </c>
      <c r="M14" s="8" t="str">
        <f ca="1">IFERROR(__xludf.DUMMYFUNCTION("""COMPUTED_VALUE"""),"Regional")</f>
        <v>Regional</v>
      </c>
      <c r="N14" s="8">
        <f ca="1">IFERROR(__xludf.DUMMYFUNCTION("""COMPUTED_VALUE"""),4)</f>
        <v>4</v>
      </c>
      <c r="O14" s="8" t="str">
        <f ca="1">IFERROR(__xludf.DUMMYFUNCTION("""COMPUTED_VALUE"""),"Fall")</f>
        <v>Fall</v>
      </c>
      <c r="P14" s="8" t="str">
        <f ca="1">IFERROR(__xludf.DUMMYFUNCTION("""COMPUTED_VALUE"""),"Pinetops")</f>
        <v>Pinetops</v>
      </c>
      <c r="Q14" s="8" t="str">
        <f ca="1">IFERROR(__xludf.DUMMYFUNCTION("""COMPUTED_VALUE"""),"NC")</f>
        <v>NC</v>
      </c>
      <c r="R14" s="8" t="str">
        <f ca="1">IFERROR(__xludf.DUMMYFUNCTION("""COMPUTED_VALUE"""),"High")</f>
        <v>High</v>
      </c>
      <c r="S14" s="8" t="str">
        <f ca="1">IFERROR(__xludf.DUMMYFUNCTION("""COMPUTED_VALUE"""),"Football Field/Track")</f>
        <v>Football Field/Track</v>
      </c>
      <c r="T14" s="8" t="str">
        <f ca="1">IFERROR(__xludf.DUMMYFUNCTION("""COMPUTED_VALUE"""),"Outside on School Property")</f>
        <v>Outside on School Property</v>
      </c>
      <c r="U14" s="8" t="str">
        <f ca="1">IFERROR(__xludf.DUMMYFUNCTION("""COMPUTED_VALUE"""),"No")</f>
        <v>No</v>
      </c>
      <c r="V14" s="8" t="str">
        <f ca="1">IFERROR(__xludf.DUMMYFUNCTION("""COMPUTED_VALUE"""),"Sport Event")</f>
        <v>Sport Event</v>
      </c>
      <c r="W14" s="11">
        <f ca="1">IFERROR(__xludf.DUMMYFUNCTION("""COMPUTED_VALUE"""),0.875)</f>
        <v>0.875</v>
      </c>
      <c r="X14" s="8">
        <f ca="1">IFERROR(__xludf.DUMMYFUNCTION("""COMPUTED_VALUE"""),1)</f>
        <v>1</v>
      </c>
      <c r="Y14" s="12" t="str">
        <f ca="1">IFERROR(__xludf.DUMMYFUNCTION("""COMPUTED_VALUE"""),"Two students during high school football game")</f>
        <v>Two students during high school football game</v>
      </c>
      <c r="Z14" s="12" t="str">
        <f ca="1">IFERROR(__xludf.DUMMYFUNCTION("""COMPUTED_VALUE"""),"Two teens were shot during the high school football game. Players and fans fled from the stadium and the game was cancelled. ")</f>
        <v xml:space="preserve">Two teens were shot during the high school football game. Players and fans fled from the stadium and the game was cancelled. </v>
      </c>
      <c r="AA14" s="8"/>
      <c r="AB14" s="8"/>
      <c r="AC14" s="8" t="str">
        <f ca="1">IFERROR(__xludf.DUMMYFUNCTION("""COMPUTED_VALUE"""),"Yes")</f>
        <v>Yes</v>
      </c>
      <c r="AD14" s="8"/>
      <c r="AE14" s="8"/>
      <c r="AF14" s="8"/>
      <c r="AG14" s="8" t="str">
        <f ca="1">IFERROR(__xludf.DUMMYFUNCTION("""COMPUTED_VALUE"""),"No")</f>
        <v>No</v>
      </c>
      <c r="AH14" s="8" t="str">
        <f ca="1">IFERROR(__xludf.DUMMYFUNCTION("""COMPUTED_VALUE"""),"No")</f>
        <v>No</v>
      </c>
      <c r="AI14" s="8" t="str">
        <f ca="1">IFERROR(__xludf.DUMMYFUNCTION("""COMPUTED_VALUE"""),"No")</f>
        <v>No</v>
      </c>
      <c r="AJ14" s="8" t="str">
        <f ca="1">IFERROR(__xludf.DUMMYFUNCTION("""COMPUTED_VALUE"""),"No")</f>
        <v>No</v>
      </c>
      <c r="AK14" s="8" t="str">
        <f ca="1">IFERROR(__xludf.DUMMYFUNCTION("""COMPUTED_VALUE"""),"No")</f>
        <v>No</v>
      </c>
      <c r="AL14" s="8"/>
      <c r="AM14" s="8" t="str">
        <f ca="1">IFERROR(__xludf.DUMMYFUNCTION("""COMPUTED_VALUE"""),"No")</f>
        <v>No</v>
      </c>
      <c r="AN14" s="8" t="str">
        <f ca="1">IFERROR(__xludf.DUMMYFUNCTION("""COMPUTED_VALUE"""),"Outside")</f>
        <v>Outside</v>
      </c>
      <c r="AO14" s="8" t="str">
        <f ca="1">IFERROR(__xludf.DUMMYFUNCTION("""COMPUTED_VALUE"""),"No")</f>
        <v>No</v>
      </c>
      <c r="AP14" s="8"/>
      <c r="AQ14" s="8"/>
      <c r="AR14" s="8" t="str">
        <f ca="1">IFERROR(__xludf.DUMMYFUNCTION("""COMPUTED_VALUE"""),"Outside/Off-Property")</f>
        <v>Outside/Off-Property</v>
      </c>
      <c r="AS14" s="8">
        <f ca="1">IFERROR(__xludf.DUMMYFUNCTION("""COMPUTED_VALUE"""),99)</f>
        <v>99</v>
      </c>
      <c r="AT14" s="8" t="str">
        <f ca="1">IFERROR(__xludf.DUMMYFUNCTION("""COMPUTED_VALUE"""),"No")</f>
        <v>No</v>
      </c>
      <c r="AU14" s="8">
        <f ca="1">IFERROR(__xludf.DUMMYFUNCTION("""COMPUTED_VALUE"""),35.836567)</f>
        <v>35.836567000000002</v>
      </c>
      <c r="AV14" s="8">
        <f ca="1">IFERROR(__xludf.DUMMYFUNCTION("""COMPUTED_VALUE"""),-77.656778)</f>
        <v>-77.656778000000003</v>
      </c>
      <c r="AW14" s="8" t="str">
        <f ca="1">IFERROR(__xludf.DUMMYFUNCTION("""COMPUTED_VALUE"""),"Single building indoor hallway")</f>
        <v>Single building indoor hallway</v>
      </c>
      <c r="AX14" s="8">
        <f ca="1">IFERROR(__xludf.DUMMYFUNCTION("""COMPUTED_VALUE"""),27864)</f>
        <v>27864</v>
      </c>
    </row>
    <row r="15" spans="1:54" ht="120" x14ac:dyDescent="0.2">
      <c r="A15" s="8" t="str">
        <f ca="1">IFERROR(__xludf.DUMMYFUNCTION("""COMPUTED_VALUE"""),"20250912ARNON")</f>
        <v>20250912ARNON</v>
      </c>
      <c r="B15" s="8">
        <f ca="1">IFERROR(__xludf.DUMMYFUNCTION("""COMPUTED_VALUE"""),9)</f>
        <v>9</v>
      </c>
      <c r="C15" s="8">
        <f ca="1">IFERROR(__xludf.DUMMYFUNCTION("""COMPUTED_VALUE"""),12)</f>
        <v>12</v>
      </c>
      <c r="D15" s="8">
        <f ca="1">IFERROR(__xludf.DUMMYFUNCTION("""COMPUTED_VALUE"""),2025)</f>
        <v>2025</v>
      </c>
      <c r="E15" s="9">
        <f ca="1">IFERROR(__xludf.DUMMYFUNCTION("""COMPUTED_VALUE"""),45912)</f>
        <v>45912</v>
      </c>
      <c r="F15" s="8" t="str">
        <f ca="1">IFERROR(__xludf.DUMMYFUNCTION("""COMPUTED_VALUE"""),"North Little Rock High School")</f>
        <v>North Little Rock High School</v>
      </c>
      <c r="G15" s="8">
        <f ca="1">IFERROR(__xludf.DUMMYFUNCTION("""COMPUTED_VALUE"""),0)</f>
        <v>0</v>
      </c>
      <c r="H15" s="8">
        <f ca="1">IFERROR(__xludf.DUMMYFUNCTION("""COMPUTED_VALUE"""),1)</f>
        <v>1</v>
      </c>
      <c r="I15" s="8">
        <f ca="1">IFERROR(__xludf.DUMMYFUNCTION("""COMPUTED_VALUE"""),1)</f>
        <v>1</v>
      </c>
      <c r="J15" s="8">
        <f ca="1">IFERROR(__xludf.DUMMYFUNCTION("""COMPUTED_VALUE"""),0)</f>
        <v>0</v>
      </c>
      <c r="K15" s="8" t="str">
        <f ca="1">IFERROR(__xludf.DUMMYFUNCTION("""COMPUTED_VALUE"""),"https://www.kark.com/news/north-little-rock-police-provide-update-on-shooting-at-high-school-football-game/
https://www.si.com/high-school/arkansas/shooting-at-arkansas-high-school-football-game-sends-parent-to-hospital-game-called-at-halftime-01k51v9w8bm"&amp;"n")</f>
        <v>https://www.kark.com/news/north-little-rock-police-provide-update-on-shooting-at-high-school-football-game/
https://www.si.com/high-school/arkansas/shooting-at-arkansas-high-school-football-game-sends-parent-to-hospital-game-called-at-halftime-01k51v9w8bmn</v>
      </c>
      <c r="L15" s="8">
        <f ca="1">IFERROR(__xludf.DUMMYFUNCTION("""COMPUTED_VALUE"""),20)</f>
        <v>20</v>
      </c>
      <c r="M15" s="8" t="str">
        <f ca="1">IFERROR(__xludf.DUMMYFUNCTION("""COMPUTED_VALUE"""),"Regional")</f>
        <v>Regional</v>
      </c>
      <c r="N15" s="8">
        <f ca="1">IFERROR(__xludf.DUMMYFUNCTION("""COMPUTED_VALUE"""),4)</f>
        <v>4</v>
      </c>
      <c r="O15" s="8" t="str">
        <f ca="1">IFERROR(__xludf.DUMMYFUNCTION("""COMPUTED_VALUE"""),"Fall")</f>
        <v>Fall</v>
      </c>
      <c r="P15" s="8" t="str">
        <f ca="1">IFERROR(__xludf.DUMMYFUNCTION("""COMPUTED_VALUE"""),"North Little Rock")</f>
        <v>North Little Rock</v>
      </c>
      <c r="Q15" s="8" t="str">
        <f ca="1">IFERROR(__xludf.DUMMYFUNCTION("""COMPUTED_VALUE"""),"AR")</f>
        <v>AR</v>
      </c>
      <c r="R15" s="8" t="str">
        <f ca="1">IFERROR(__xludf.DUMMYFUNCTION("""COMPUTED_VALUE"""),"High")</f>
        <v>High</v>
      </c>
      <c r="S15" s="8" t="str">
        <f ca="1">IFERROR(__xludf.DUMMYFUNCTION("""COMPUTED_VALUE"""),"Football Field/Track")</f>
        <v>Football Field/Track</v>
      </c>
      <c r="T15" s="8" t="str">
        <f ca="1">IFERROR(__xludf.DUMMYFUNCTION("""COMPUTED_VALUE"""),"Outside on School Property")</f>
        <v>Outside on School Property</v>
      </c>
      <c r="U15" s="8" t="str">
        <f ca="1">IFERROR(__xludf.DUMMYFUNCTION("""COMPUTED_VALUE"""),"No")</f>
        <v>No</v>
      </c>
      <c r="V15" s="8" t="str">
        <f ca="1">IFERROR(__xludf.DUMMYFUNCTION("""COMPUTED_VALUE"""),"Sport Event")</f>
        <v>Sport Event</v>
      </c>
      <c r="W15" s="11">
        <f ca="1">IFERROR(__xludf.DUMMYFUNCTION("""COMPUTED_VALUE"""),0.845833333333333)</f>
        <v>0.84583333333333299</v>
      </c>
      <c r="X15" s="8">
        <f ca="1">IFERROR(__xludf.DUMMYFUNCTION("""COMPUTED_VALUE"""),1)</f>
        <v>1</v>
      </c>
      <c r="Y15" s="12" t="str">
        <f ca="1">IFERROR(__xludf.DUMMYFUNCTION("""COMPUTED_VALUE"""),"Man was shot while sitting in the stands during a high school football game")</f>
        <v>Man was shot while sitting in the stands during a high school football game</v>
      </c>
      <c r="Z15" s="12" t="str">
        <f ca="1">IFERROR(__xludf.DUMMYFUNCTION("""COMPUTED_VALUE"""),"North Little Rock Police Department officials said officers responded to the North Little Rock High School football stadium at 8:18 p.m. Police said officers already inside the stadium found a man who had been shot in the visitor’s section of the stadium."&amp;" Authorities said they found a man with a gunshot wound on his left side. He was taken to a hospital for treatment and has since been released, officials said. ")</f>
        <v xml:space="preserve">North Little Rock Police Department officials said officers responded to the North Little Rock High School football stadium at 8:18 p.m. Police said officers already inside the stadium found a man who had been shot in the visitor’s section of the stadium. Authorities said they found a man with a gunshot wound on his left side. He was taken to a hospital for treatment and has since been released, officials said. </v>
      </c>
      <c r="AA15" s="8"/>
      <c r="AB15" s="8"/>
      <c r="AC15" s="8" t="str">
        <f ca="1">IFERROR(__xludf.DUMMYFUNCTION("""COMPUTED_VALUE"""),"Yes")</f>
        <v>Yes</v>
      </c>
      <c r="AD15" s="8"/>
      <c r="AE15" s="8"/>
      <c r="AF15" s="8"/>
      <c r="AG15" s="8" t="str">
        <f ca="1">IFERROR(__xludf.DUMMYFUNCTION("""COMPUTED_VALUE"""),"No")</f>
        <v>No</v>
      </c>
      <c r="AH15" s="8" t="str">
        <f ca="1">IFERROR(__xludf.DUMMYFUNCTION("""COMPUTED_VALUE"""),"No")</f>
        <v>No</v>
      </c>
      <c r="AI15" s="8" t="str">
        <f ca="1">IFERROR(__xludf.DUMMYFUNCTION("""COMPUTED_VALUE"""),"No")</f>
        <v>No</v>
      </c>
      <c r="AJ15" s="8" t="str">
        <f ca="1">IFERROR(__xludf.DUMMYFUNCTION("""COMPUTED_VALUE"""),"No")</f>
        <v>No</v>
      </c>
      <c r="AK15" s="8" t="str">
        <f ca="1">IFERROR(__xludf.DUMMYFUNCTION("""COMPUTED_VALUE"""),"No")</f>
        <v>No</v>
      </c>
      <c r="AL15" s="8"/>
      <c r="AM15" s="8" t="str">
        <f ca="1">IFERROR(__xludf.DUMMYFUNCTION("""COMPUTED_VALUE"""),"No")</f>
        <v>No</v>
      </c>
      <c r="AN15" s="8" t="str">
        <f ca="1">IFERROR(__xludf.DUMMYFUNCTION("""COMPUTED_VALUE"""),"Outside")</f>
        <v>Outside</v>
      </c>
      <c r="AO15" s="8" t="str">
        <f ca="1">IFERROR(__xludf.DUMMYFUNCTION("""COMPUTED_VALUE"""),"No")</f>
        <v>No</v>
      </c>
      <c r="AP15" s="8"/>
      <c r="AQ15" s="8"/>
      <c r="AR15" s="8" t="str">
        <f ca="1">IFERROR(__xludf.DUMMYFUNCTION("""COMPUTED_VALUE"""),"Outside/Off-Property")</f>
        <v>Outside/Off-Property</v>
      </c>
      <c r="AS15" s="8"/>
      <c r="AT15" s="8" t="str">
        <f ca="1">IFERROR(__xludf.DUMMYFUNCTION("""COMPUTED_VALUE"""),"No")</f>
        <v>No</v>
      </c>
      <c r="AU15" s="8">
        <f ca="1">IFERROR(__xludf.DUMMYFUNCTION("""COMPUTED_VALUE"""),34.777286)</f>
        <v>34.777285999999997</v>
      </c>
      <c r="AV15" s="8">
        <f ca="1">IFERROR(__xludf.DUMMYFUNCTION("""COMPUTED_VALUE"""),-92.267913)</f>
        <v>-92.267912999999993</v>
      </c>
      <c r="AW15" s="8" t="str">
        <f ca="1">IFERROR(__xludf.DUMMYFUNCTION("""COMPUTED_VALUE"""),"Multiple attached buildings")</f>
        <v>Multiple attached buildings</v>
      </c>
      <c r="AX15" s="8">
        <f ca="1">IFERROR(__xludf.DUMMYFUNCTION("""COMPUTED_VALUE"""),72114)</f>
        <v>72114</v>
      </c>
    </row>
    <row r="16" spans="1:54" ht="135" x14ac:dyDescent="0.2">
      <c r="A16" s="8" t="str">
        <f ca="1">IFERROR(__xludf.DUMMYFUNCTION("""COMPUTED_VALUE"""),"20250911LAWEO")</f>
        <v>20250911LAWEO</v>
      </c>
      <c r="B16" s="8">
        <f ca="1">IFERROR(__xludf.DUMMYFUNCTION("""COMPUTED_VALUE"""),9)</f>
        <v>9</v>
      </c>
      <c r="C16" s="8">
        <f ca="1">IFERROR(__xludf.DUMMYFUNCTION("""COMPUTED_VALUE"""),11)</f>
        <v>11</v>
      </c>
      <c r="D16" s="8">
        <f ca="1">IFERROR(__xludf.DUMMYFUNCTION("""COMPUTED_VALUE"""),2025)</f>
        <v>2025</v>
      </c>
      <c r="E16" s="9">
        <f ca="1">IFERROR(__xludf.DUMMYFUNCTION("""COMPUTED_VALUE"""),45911)</f>
        <v>45911</v>
      </c>
      <c r="F16" s="8" t="str">
        <f ca="1">IFERROR(__xludf.DUMMYFUNCTION("""COMPUTED_VALUE"""),"East Ouachita Middle School")</f>
        <v>East Ouachita Middle School</v>
      </c>
      <c r="G16" s="8">
        <f ca="1">IFERROR(__xludf.DUMMYFUNCTION("""COMPUTED_VALUE"""),0)</f>
        <v>0</v>
      </c>
      <c r="H16" s="8">
        <f ca="1">IFERROR(__xludf.DUMMYFUNCTION("""COMPUTED_VALUE"""),1)</f>
        <v>1</v>
      </c>
      <c r="I16" s="8">
        <f ca="1">IFERROR(__xludf.DUMMYFUNCTION("""COMPUTED_VALUE"""),1)</f>
        <v>1</v>
      </c>
      <c r="J16" s="8">
        <f ca="1">IFERROR(__xludf.DUMMYFUNCTION("""COMPUTED_VALUE"""),0)</f>
        <v>0</v>
      </c>
      <c r="K16" s="10" t="str">
        <f ca="1">IFERROR(__xludf.DUMMYFUNCTION("""COMPUTED_VALUE"""),"https://www.knoe.com/2025/09/12/teens-arrested-after-two-separate-incidents-west-ouachita-high-east-ouachita-middle/")</f>
        <v>https://www.knoe.com/2025/09/12/teens-arrested-after-two-separate-incidents-west-ouachita-high-east-ouachita-middle/</v>
      </c>
      <c r="L16" s="8">
        <f ca="1">IFERROR(__xludf.DUMMYFUNCTION("""COMPUTED_VALUE"""),1)</f>
        <v>1</v>
      </c>
      <c r="M16" s="8" t="str">
        <f ca="1">IFERROR(__xludf.DUMMYFUNCTION("""COMPUTED_VALUE"""),"Local")</f>
        <v>Local</v>
      </c>
      <c r="N16" s="8">
        <f ca="1">IFERROR(__xludf.DUMMYFUNCTION("""COMPUTED_VALUE"""),4)</f>
        <v>4</v>
      </c>
      <c r="O16" s="8" t="str">
        <f ca="1">IFERROR(__xludf.DUMMYFUNCTION("""COMPUTED_VALUE"""),"Fall")</f>
        <v>Fall</v>
      </c>
      <c r="P16" s="8" t="str">
        <f ca="1">IFERROR(__xludf.DUMMYFUNCTION("""COMPUTED_VALUE"""),"Ouachita Parish")</f>
        <v>Ouachita Parish</v>
      </c>
      <c r="Q16" s="8" t="str">
        <f ca="1">IFERROR(__xludf.DUMMYFUNCTION("""COMPUTED_VALUE"""),"LA")</f>
        <v>LA</v>
      </c>
      <c r="R16" s="8" t="str">
        <f ca="1">IFERROR(__xludf.DUMMYFUNCTION("""COMPUTED_VALUE"""),"Middle")</f>
        <v>Middle</v>
      </c>
      <c r="S16" s="8" t="str">
        <f ca="1">IFERROR(__xludf.DUMMYFUNCTION("""COMPUTED_VALUE"""),"Office")</f>
        <v>Office</v>
      </c>
      <c r="T16" s="8" t="str">
        <f ca="1">IFERROR(__xludf.DUMMYFUNCTION("""COMPUTED_VALUE"""),"Inside School Building")</f>
        <v>Inside School Building</v>
      </c>
      <c r="U16" s="8" t="str">
        <f ca="1">IFERROR(__xludf.DUMMYFUNCTION("""COMPUTED_VALUE"""),"Yes")</f>
        <v>Yes</v>
      </c>
      <c r="V16" s="8"/>
      <c r="W16" s="8"/>
      <c r="X16" s="8">
        <f ca="1">IFERROR(__xludf.DUMMYFUNCTION("""COMPUTED_VALUE"""),1)</f>
        <v>1</v>
      </c>
      <c r="Y16" s="12" t="str">
        <f ca="1">IFERROR(__xludf.DUMMYFUNCTION("""COMPUTED_VALUE"""),"Student found gun inside a desk drawer in the library and accidentally fired it injuring another student")</f>
        <v>Student found gun inside a desk drawer in the library and accidentally fired it injuring another student</v>
      </c>
      <c r="Z16" s="12" t="str">
        <f ca="1">IFERROR(__xludf.DUMMYFUNCTION("""COMPUTED_VALUE"""),"OPSO said cheerleaders were practicing in the library when the two girls found a gun inside a sewing desk drawer. OPSO continued that the girls took the gun out of the drawer to “play” with it. The Ouachita Parish School Board said in a statement that the"&amp;" gun was fired into the floor, leaving a nearby student injured by debris. OPSO added that they are continuing to investigate how the gun got into the school. Both of the 13-year-old girls were arrested and charged with negligent injury.")</f>
        <v>OPSO said cheerleaders were practicing in the library when the two girls found a gun inside a sewing desk drawer. OPSO continued that the girls took the gun out of the drawer to “play” with it. The Ouachita Parish School Board said in a statement that the gun was fired into the floor, leaving a nearby student injured by debris. OPSO added that they are continuing to investigate how the gun got into the school. Both of the 13-year-old girls were arrested and charged with negligent injury.</v>
      </c>
      <c r="AA16" s="8" t="str">
        <f ca="1">IFERROR(__xludf.DUMMYFUNCTION("""COMPUTED_VALUE"""),"Accidental")</f>
        <v>Accidental</v>
      </c>
      <c r="AB16" s="8" t="str">
        <f ca="1">IFERROR(__xludf.DUMMYFUNCTION("""COMPUTED_VALUE"""),"Spontaneous")</f>
        <v>Spontaneous</v>
      </c>
      <c r="AC16" s="8" t="str">
        <f ca="1">IFERROR(__xludf.DUMMYFUNCTION("""COMPUTED_VALUE"""),"Yes")</f>
        <v>Yes</v>
      </c>
      <c r="AD16" s="8" t="str">
        <f ca="1">IFERROR(__xludf.DUMMYFUNCTION("""COMPUTED_VALUE"""),"Neither")</f>
        <v>Neither</v>
      </c>
      <c r="AE16" s="8"/>
      <c r="AF16" s="8"/>
      <c r="AG16" s="8" t="str">
        <f ca="1">IFERROR(__xludf.DUMMYFUNCTION("""COMPUTED_VALUE"""),"No")</f>
        <v>No</v>
      </c>
      <c r="AH16" s="8" t="str">
        <f ca="1">IFERROR(__xludf.DUMMYFUNCTION("""COMPUTED_VALUE"""),"No")</f>
        <v>No</v>
      </c>
      <c r="AI16" s="8" t="str">
        <f ca="1">IFERROR(__xludf.DUMMYFUNCTION("""COMPUTED_VALUE"""),"No")</f>
        <v>No</v>
      </c>
      <c r="AJ16" s="8" t="str">
        <f ca="1">IFERROR(__xludf.DUMMYFUNCTION("""COMPUTED_VALUE"""),"No")</f>
        <v>No</v>
      </c>
      <c r="AK16" s="8" t="str">
        <f ca="1">IFERROR(__xludf.DUMMYFUNCTION("""COMPUTED_VALUE"""),"No")</f>
        <v>No</v>
      </c>
      <c r="AL16" s="8" t="str">
        <f ca="1">IFERROR(__xludf.DUMMYFUNCTION("""COMPUTED_VALUE"""),"No")</f>
        <v>No</v>
      </c>
      <c r="AM16" s="8" t="str">
        <f ca="1">IFERROR(__xludf.DUMMYFUNCTION("""COMPUTED_VALUE"""),"No")</f>
        <v>No</v>
      </c>
      <c r="AN16" s="8" t="str">
        <f ca="1">IFERROR(__xludf.DUMMYFUNCTION("""COMPUTED_VALUE"""),"Single Room")</f>
        <v>Single Room</v>
      </c>
      <c r="AO16" s="8" t="str">
        <f ca="1">IFERROR(__xludf.DUMMYFUNCTION("""COMPUTED_VALUE"""),"No")</f>
        <v>No</v>
      </c>
      <c r="AP16" s="8"/>
      <c r="AQ16" s="8"/>
      <c r="AR16" s="8" t="str">
        <f ca="1">IFERROR(__xludf.DUMMYFUNCTION("""COMPUTED_VALUE"""),"Failed")</f>
        <v>Failed</v>
      </c>
      <c r="AS16" s="8">
        <f ca="1">IFERROR(__xludf.DUMMYFUNCTION("""COMPUTED_VALUE"""),1)</f>
        <v>1</v>
      </c>
      <c r="AT16" s="8" t="str">
        <f ca="1">IFERROR(__xludf.DUMMYFUNCTION("""COMPUTED_VALUE"""),"No")</f>
        <v>No</v>
      </c>
      <c r="AU16" s="8">
        <f ca="1">IFERROR(__xludf.DUMMYFUNCTION("""COMPUTED_VALUE"""),32.586776)</f>
        <v>32.586776</v>
      </c>
      <c r="AV16" s="8">
        <f ca="1">IFERROR(__xludf.DUMMYFUNCTION("""COMPUTED_VALUE"""),-91.994959)</f>
        <v>-91.994958999999994</v>
      </c>
      <c r="AW16" s="8" t="str">
        <f ca="1">IFERROR(__xludf.DUMMYFUNCTION("""COMPUTED_VALUE"""),"Multiple attached buildings")</f>
        <v>Multiple attached buildings</v>
      </c>
      <c r="AX16" s="8">
        <f ca="1">IFERROR(__xludf.DUMMYFUNCTION("""COMPUTED_VALUE"""),71203)</f>
        <v>71203</v>
      </c>
    </row>
    <row r="17" spans="1:50" ht="315" x14ac:dyDescent="0.2">
      <c r="A17" s="8" t="str">
        <f ca="1">IFERROR(__xludf.DUMMYFUNCTION("""COMPUTED_VALUE"""),"20250910COEVE")</f>
        <v>20250910COEVE</v>
      </c>
      <c r="B17" s="8">
        <f ca="1">IFERROR(__xludf.DUMMYFUNCTION("""COMPUTED_VALUE"""),9)</f>
        <v>9</v>
      </c>
      <c r="C17" s="8">
        <f ca="1">IFERROR(__xludf.DUMMYFUNCTION("""COMPUTED_VALUE"""),10)</f>
        <v>10</v>
      </c>
      <c r="D17" s="8">
        <f ca="1">IFERROR(__xludf.DUMMYFUNCTION("""COMPUTED_VALUE"""),2025)</f>
        <v>2025</v>
      </c>
      <c r="E17" s="9">
        <f ca="1">IFERROR(__xludf.DUMMYFUNCTION("""COMPUTED_VALUE"""),45910)</f>
        <v>45910</v>
      </c>
      <c r="F17" s="8" t="str">
        <f ca="1">IFERROR(__xludf.DUMMYFUNCTION("""COMPUTED_VALUE"""),"Evergreen High School")</f>
        <v>Evergreen High School</v>
      </c>
      <c r="G17" s="8">
        <f ca="1">IFERROR(__xludf.DUMMYFUNCTION("""COMPUTED_VALUE"""),0)</f>
        <v>0</v>
      </c>
      <c r="H17" s="8">
        <f ca="1">IFERROR(__xludf.DUMMYFUNCTION("""COMPUTED_VALUE"""),2)</f>
        <v>2</v>
      </c>
      <c r="I17" s="8">
        <f ca="1">IFERROR(__xludf.DUMMYFUNCTION("""COMPUTED_VALUE"""),2)</f>
        <v>2</v>
      </c>
      <c r="J17" s="8">
        <f ca="1">IFERROR(__xludf.DUMMYFUNCTION("""COMPUTED_VALUE"""),1)</f>
        <v>1</v>
      </c>
      <c r="K17" s="10" t="str">
        <f ca="1">IFERROR(__xludf.DUMMYFUNCTION("""COMPUTED_VALUE"""),"https://coloradosun.com/2025/09/17/how-the-evergreen-high-school-shooting-unfolded-moment-by-moment/
https://kdvr.com/news/local/student-suspect-in-evergreen-high-school-shooting-identified-sheriffs-office/
https://www.cbsnews.com/colorado/news/shooting-e"&amp;"vergreen-high-school-denver-metro-area/")</f>
        <v>https://coloradosun.com/2025/09/17/how-the-evergreen-high-school-shooting-unfolded-moment-by-moment/
https://kdvr.com/news/local/student-suspect-in-evergreen-high-school-shooting-identified-sheriffs-office/
https://www.cbsnews.com/colorado/news/shooting-evergreen-high-school-denver-metro-area/</v>
      </c>
      <c r="L17" s="8">
        <f ca="1">IFERROR(__xludf.DUMMYFUNCTION("""COMPUTED_VALUE"""),999)</f>
        <v>999</v>
      </c>
      <c r="M17" s="8" t="str">
        <f ca="1">IFERROR(__xludf.DUMMYFUNCTION("""COMPUTED_VALUE"""),"National")</f>
        <v>National</v>
      </c>
      <c r="N17" s="8">
        <f ca="1">IFERROR(__xludf.DUMMYFUNCTION("""COMPUTED_VALUE"""),4)</f>
        <v>4</v>
      </c>
      <c r="O17" s="8" t="str">
        <f ca="1">IFERROR(__xludf.DUMMYFUNCTION("""COMPUTED_VALUE"""),"Fall")</f>
        <v>Fall</v>
      </c>
      <c r="P17" s="8" t="str">
        <f ca="1">IFERROR(__xludf.DUMMYFUNCTION("""COMPUTED_VALUE"""),"Evergreen")</f>
        <v>Evergreen</v>
      </c>
      <c r="Q17" s="8" t="str">
        <f ca="1">IFERROR(__xludf.DUMMYFUNCTION("""COMPUTED_VALUE"""),"CO")</f>
        <v>CO</v>
      </c>
      <c r="R17" s="8" t="str">
        <f ca="1">IFERROR(__xludf.DUMMYFUNCTION("""COMPUTED_VALUE"""),"High")</f>
        <v>High</v>
      </c>
      <c r="S17" s="8" t="str">
        <f ca="1">IFERROR(__xludf.DUMMYFUNCTION("""COMPUTED_VALUE"""),"Cafeteria")</f>
        <v>Cafeteria</v>
      </c>
      <c r="T17" s="8" t="str">
        <f ca="1">IFERROR(__xludf.DUMMYFUNCTION("""COMPUTED_VALUE"""),"Both Inside/Outside")</f>
        <v>Both Inside/Outside</v>
      </c>
      <c r="U17" s="8" t="str">
        <f ca="1">IFERROR(__xludf.DUMMYFUNCTION("""COMPUTED_VALUE"""),"Yes")</f>
        <v>Yes</v>
      </c>
      <c r="V17" s="8" t="str">
        <f ca="1">IFERROR(__xludf.DUMMYFUNCTION("""COMPUTED_VALUE"""),"Lunch")</f>
        <v>Lunch</v>
      </c>
      <c r="W17" s="11">
        <f ca="1">IFERROR(__xludf.DUMMYFUNCTION("""COMPUTED_VALUE"""),0.514583333333333)</f>
        <v>0.51458333333333295</v>
      </c>
      <c r="X17" s="8">
        <f ca="1">IFERROR(__xludf.DUMMYFUNCTION("""COMPUTED_VALUE"""),9)</f>
        <v>9</v>
      </c>
      <c r="Y17" s="12" t="str">
        <f ca="1">IFERROR(__xludf.DUMMYFUNCTION("""COMPUTED_VALUE"""),"Student opened fire inside the school cafeteria, fired shots at students fleeing outside, and commit suicide when approached by police")</f>
        <v>Student opened fire inside the school cafeteria, fired shots at students fleeing outside, and commit suicide when approached by police</v>
      </c>
      <c r="Z17" s="12" t="str">
        <f ca="1">IFERROR(__xludf.DUMMYFUNCTION("""COMPUTED_VALUE"""),"Calls flooded in to 911 when the shooting happened at 12:24 p.m. on Wednesday, both inside and outside of the school. Three people were injured, including Holly, who died of a self-inflicted gunshot wound at a hospital on Wednesday evening, according to t"&amp;"he sheriff’s office. There were multiple crime scenes, some inside and some outside but all on school property. Investigators now know that one of the crime scenes spilled over onto the roadway behind the school. The spokesperson said one person was shot "&amp;"inside, and another was shot outside. The gun used was a revolver handgun of an unknown caliber. Holly also brought “quite a bit” of ammunition and continued to reload, the spokesperson said, adding that investigators are thankful that there were not more"&amp;" injuries. She said that the suspect’s gun was fired “a lot,” but the exact number of rounds is unknown. Security cameras inside the school captured the entire incident, which investigators are using to track Holly’s movement throughout the school. Some k"&amp;"ids were at lunch at the time of the shooting, so some were in the halls and outside. Some of the kids ran away from the gunfire, while others locked down.")</f>
        <v>Calls flooded in to 911 when the shooting happened at 12:24 p.m. on Wednesday, both inside and outside of the school. Three people were injured, including Holly, who died of a self-inflicted gunshot wound at a hospital on Wednesday evening, according to the sheriff’s office. There were multiple crime scenes, some inside and some outside but all on school property. Investigators now know that one of the crime scenes spilled over onto the roadway behind the school. The spokesperson said one person was shot inside, and another was shot outside. The gun used was a revolver handgun of an unknown caliber. Holly also brought “quite a bit” of ammunition and continued to reload, the spokesperson said, adding that investigators are thankful that there were not more injuries. She said that the suspect’s gun was fired “a lot,” but the exact number of rounds is unknown. Security cameras inside the school captured the entire incident, which investigators are using to track Holly’s movement throughout the school. Some kids were at lunch at the time of the shooting, so some were in the halls and outside. Some of the kids ran away from the gunfire, while others locked down.</v>
      </c>
      <c r="AA17" s="8" t="str">
        <f ca="1">IFERROR(__xludf.DUMMYFUNCTION("""COMPUTED_VALUE"""),"Indiscriminate Shooting")</f>
        <v>Indiscriminate Shooting</v>
      </c>
      <c r="AB17" s="8" t="str">
        <f ca="1">IFERROR(__xludf.DUMMYFUNCTION("""COMPUTED_VALUE"""),"Active Shooter/Planned Attack")</f>
        <v>Active Shooter/Planned Attack</v>
      </c>
      <c r="AC17" s="8" t="str">
        <f ca="1">IFERROR(__xludf.DUMMYFUNCTION("""COMPUTED_VALUE"""),"Yes")</f>
        <v>Yes</v>
      </c>
      <c r="AD17" s="8" t="str">
        <f ca="1">IFERROR(__xludf.DUMMYFUNCTION("""COMPUTED_VALUE"""),"Both")</f>
        <v>Both</v>
      </c>
      <c r="AE17" s="8" t="str">
        <f ca="1">IFERROR(__xludf.DUMMYFUNCTION("""COMPUTED_VALUE"""),"No")</f>
        <v>No</v>
      </c>
      <c r="AF17" s="8"/>
      <c r="AG17" s="8" t="str">
        <f ca="1">IFERROR(__xludf.DUMMYFUNCTION("""COMPUTED_VALUE"""),"No")</f>
        <v>No</v>
      </c>
      <c r="AH17" s="8" t="str">
        <f ca="1">IFERROR(__xludf.DUMMYFUNCTION("""COMPUTED_VALUE"""),"No")</f>
        <v>No</v>
      </c>
      <c r="AI17" s="8" t="str">
        <f ca="1">IFERROR(__xludf.DUMMYFUNCTION("""COMPUTED_VALUE"""),"No")</f>
        <v>No</v>
      </c>
      <c r="AJ17" s="8"/>
      <c r="AK17" s="8" t="str">
        <f ca="1">IFERROR(__xludf.DUMMYFUNCTION("""COMPUTED_VALUE"""),"No")</f>
        <v>No</v>
      </c>
      <c r="AL17" s="8" t="str">
        <f ca="1">IFERROR(__xludf.DUMMYFUNCTION("""COMPUTED_VALUE"""),"No")</f>
        <v>No</v>
      </c>
      <c r="AM17" s="8" t="str">
        <f ca="1">IFERROR(__xludf.DUMMYFUNCTION("""COMPUTED_VALUE"""),"Yes")</f>
        <v>Yes</v>
      </c>
      <c r="AN17" s="8" t="str">
        <f ca="1">IFERROR(__xludf.DUMMYFUNCTION("""COMPUTED_VALUE"""),"Multiple Rooms")</f>
        <v>Multiple Rooms</v>
      </c>
      <c r="AO17" s="8" t="str">
        <f ca="1">IFERROR(__xludf.DUMMYFUNCTION("""COMPUTED_VALUE"""),"Yes")</f>
        <v>Yes</v>
      </c>
      <c r="AP17" s="8" t="str">
        <f ca="1">IFERROR(__xludf.DUMMYFUNCTION("""COMPUTED_VALUE"""),"Yes")</f>
        <v>Yes</v>
      </c>
      <c r="AQ17" s="8" t="str">
        <f ca="1">IFERROR(__xludf.DUMMYFUNCTION("""COMPUTED_VALUE"""),"Armed Guards")</f>
        <v>Armed Guards</v>
      </c>
      <c r="AR17" s="8" t="str">
        <f ca="1">IFERROR(__xludf.DUMMYFUNCTION("""COMPUTED_VALUE"""),"Failed")</f>
        <v>Failed</v>
      </c>
      <c r="AS17" s="8">
        <f ca="1">IFERROR(__xludf.DUMMYFUNCTION("""COMPUTED_VALUE"""),20)</f>
        <v>20</v>
      </c>
      <c r="AT17" s="8" t="str">
        <f ca="1">IFERROR(__xludf.DUMMYFUNCTION("""COMPUTED_VALUE"""),"Yes")</f>
        <v>Yes</v>
      </c>
      <c r="AU17" s="8">
        <f ca="1">IFERROR(__xludf.DUMMYFUNCTION("""COMPUTED_VALUE"""),39.622478)</f>
        <v>39.622478000000001</v>
      </c>
      <c r="AV17" s="8">
        <f ca="1">IFERROR(__xludf.DUMMYFUNCTION("""COMPUTED_VALUE"""),-105.331635)</f>
        <v>-105.33163500000001</v>
      </c>
      <c r="AW17" s="8" t="str">
        <f ca="1">IFERROR(__xludf.DUMMYFUNCTION("""COMPUTED_VALUE"""),"Multiple attached buildings")</f>
        <v>Multiple attached buildings</v>
      </c>
      <c r="AX17" s="8">
        <f ca="1">IFERROR(__xludf.DUMMYFUNCTION("""COMPUTED_VALUE"""),80439)</f>
        <v>80439</v>
      </c>
    </row>
    <row r="18" spans="1:50" ht="270" x14ac:dyDescent="0.2">
      <c r="A18" s="8" t="str">
        <f ca="1">IFERROR(__xludf.DUMMYFUNCTION("""COMPUTED_VALUE"""),"20250908MIBAB")</f>
        <v>20250908MIBAB</v>
      </c>
      <c r="B18" s="8">
        <f ca="1">IFERROR(__xludf.DUMMYFUNCTION("""COMPUTED_VALUE"""),9)</f>
        <v>9</v>
      </c>
      <c r="C18" s="8">
        <f ca="1">IFERROR(__xludf.DUMMYFUNCTION("""COMPUTED_VALUE"""),8)</f>
        <v>8</v>
      </c>
      <c r="D18" s="8">
        <f ca="1">IFERROR(__xludf.DUMMYFUNCTION("""COMPUTED_VALUE"""),2025)</f>
        <v>2025</v>
      </c>
      <c r="E18" s="9">
        <f ca="1">IFERROR(__xludf.DUMMYFUNCTION("""COMPUTED_VALUE"""),45908)</f>
        <v>45908</v>
      </c>
      <c r="F18" s="8" t="str">
        <f ca="1">IFERROR(__xludf.DUMMYFUNCTION("""COMPUTED_VALUE"""),"Battle Creek Central High School")</f>
        <v>Battle Creek Central High School</v>
      </c>
      <c r="G18" s="8">
        <f ca="1">IFERROR(__xludf.DUMMYFUNCTION("""COMPUTED_VALUE"""),0)</f>
        <v>0</v>
      </c>
      <c r="H18" s="8">
        <f ca="1">IFERROR(__xludf.DUMMYFUNCTION("""COMPUTED_VALUE"""),1)</f>
        <v>1</v>
      </c>
      <c r="I18" s="8">
        <f ca="1">IFERROR(__xludf.DUMMYFUNCTION("""COMPUTED_VALUE"""),1)</f>
        <v>1</v>
      </c>
      <c r="J18" s="8">
        <f ca="1">IFERROR(__xludf.DUMMYFUNCTION("""COMPUTED_VALUE"""),0)</f>
        <v>0</v>
      </c>
      <c r="K18" s="10" t="str">
        <f ca="1">IFERROR(__xludf.DUMMYFUNCTION("""COMPUTED_VALUE"""),"https://www.woodtv.com/news/calhoun-county/police-1-injured-in-shooting-near-battle-creek-central-stadium/
https://www.mlive.com/news/kalamazoo/2025/09/shooting-near-battle-creek-high-school-leaves-1-injured-multiple-schools-on-lockdown.html")</f>
        <v>https://www.woodtv.com/news/calhoun-county/police-1-injured-in-shooting-near-battle-creek-central-stadium/
https://www.mlive.com/news/kalamazoo/2025/09/shooting-near-battle-creek-high-school-leaves-1-injured-multiple-schools-on-lockdown.html</v>
      </c>
      <c r="L18" s="8">
        <f ca="1">IFERROR(__xludf.DUMMYFUNCTION("""COMPUTED_VALUE"""),8)</f>
        <v>8</v>
      </c>
      <c r="M18" s="8" t="str">
        <f ca="1">IFERROR(__xludf.DUMMYFUNCTION("""COMPUTED_VALUE"""),"Regional")</f>
        <v>Regional</v>
      </c>
      <c r="N18" s="8">
        <f ca="1">IFERROR(__xludf.DUMMYFUNCTION("""COMPUTED_VALUE"""),4)</f>
        <v>4</v>
      </c>
      <c r="O18" s="8" t="str">
        <f ca="1">IFERROR(__xludf.DUMMYFUNCTION("""COMPUTED_VALUE"""),"Fall")</f>
        <v>Fall</v>
      </c>
      <c r="P18" s="8" t="str">
        <f ca="1">IFERROR(__xludf.DUMMYFUNCTION("""COMPUTED_VALUE"""),"Battle Creek")</f>
        <v>Battle Creek</v>
      </c>
      <c r="Q18" s="8" t="str">
        <f ca="1">IFERROR(__xludf.DUMMYFUNCTION("""COMPUTED_VALUE"""),"MI")</f>
        <v>MI</v>
      </c>
      <c r="R18" s="8" t="str">
        <f ca="1">IFERROR(__xludf.DUMMYFUNCTION("""COMPUTED_VALUE"""),"High")</f>
        <v>High</v>
      </c>
      <c r="S18" s="8" t="str">
        <f ca="1">IFERROR(__xludf.DUMMYFUNCTION("""COMPUTED_VALUE"""),"Football Field/Track")</f>
        <v>Football Field/Track</v>
      </c>
      <c r="T18" s="8" t="str">
        <f ca="1">IFERROR(__xludf.DUMMYFUNCTION("""COMPUTED_VALUE"""),"Outside on School Property")</f>
        <v>Outside on School Property</v>
      </c>
      <c r="U18" s="8" t="str">
        <f ca="1">IFERROR(__xludf.DUMMYFUNCTION("""COMPUTED_VALUE"""),"Yes")</f>
        <v>Yes</v>
      </c>
      <c r="V18" s="8" t="str">
        <f ca="1">IFERROR(__xludf.DUMMYFUNCTION("""COMPUTED_VALUE"""),"Dismissal")</f>
        <v>Dismissal</v>
      </c>
      <c r="W18" s="11">
        <f ca="1">IFERROR(__xludf.DUMMYFUNCTION("""COMPUTED_VALUE"""),0.618055555555555)</f>
        <v>0.61805555555555503</v>
      </c>
      <c r="X18" s="8">
        <f ca="1">IFERROR(__xludf.DUMMYFUNCTION("""COMPUTED_VALUE"""),1)</f>
        <v>1</v>
      </c>
      <c r="Y18" s="12" t="str">
        <f ca="1">IFERROR(__xludf.DUMMYFUNCTION("""COMPUTED_VALUE"""),"Person shot during fight at dismissal")</f>
        <v>Person shot during fight at dismissal</v>
      </c>
      <c r="Z18" s="12" t="str">
        <f ca="1">IFERROR(__xludf.DUMMYFUNCTION("""COMPUTED_VALUE"""),"A bystander sustained minor injuries when shots were fired near the Battle Creek Central High School stadium Monday, police say. The Battle Creek Police Department said there was an argument between a group of people in a car and a group on foot, after wh"&amp;"ich shots were fired. One person who was not involved in that confrontation was shot. The person sustained a minor injury and has already been treated and released, police said. They could not provide any information about whether or not the injured perso"&amp;"n is a student. Battle Creek Public Schools said it locked down Battle Creek Central, Battle Creek STEM Academy and athletics events in the wake of the shooting. While officers investigated, student athletics were on lockdown. Several parents picking up t"&amp;"heir children from football practice on Monday night told News 8 that their students texted them to let them know what was happening and that they were OK. The shooting happened before practice started. Parents said they were pleased with how the school r"&amp;"esponded.")</f>
        <v>A bystander sustained minor injuries when shots were fired near the Battle Creek Central High School stadium Monday, police say. The Battle Creek Police Department said there was an argument between a group of people in a car and a group on foot, after which shots were fired. One person who was not involved in that confrontation was shot. The person sustained a minor injury and has already been treated and released, police said. They could not provide any information about whether or not the injured person is a student. Battle Creek Public Schools said it locked down Battle Creek Central, Battle Creek STEM Academy and athletics events in the wake of the shooting. While officers investigated, student athletics were on lockdown. Several parents picking up their children from football practice on Monday night told News 8 that their students texted them to let them know what was happening and that they were OK. The shooting happened before practice started. Parents said they were pleased with how the school responded.</v>
      </c>
      <c r="AA18" s="8" t="str">
        <f ca="1">IFERROR(__xludf.DUMMYFUNCTION("""COMPUTED_VALUE"""),"Escalation of Dispute")</f>
        <v>Escalation of Dispute</v>
      </c>
      <c r="AB18" s="8" t="str">
        <f ca="1">IFERROR(__xludf.DUMMYFUNCTION("""COMPUTED_VALUE"""),"Spontaneous")</f>
        <v>Spontaneous</v>
      </c>
      <c r="AC18" s="8" t="str">
        <f ca="1">IFERROR(__xludf.DUMMYFUNCTION("""COMPUTED_VALUE"""),"Yes")</f>
        <v>Yes</v>
      </c>
      <c r="AD18" s="8" t="str">
        <f ca="1">IFERROR(__xludf.DUMMYFUNCTION("""COMPUTED_VALUE"""),"Victims Targeted")</f>
        <v>Victims Targeted</v>
      </c>
      <c r="AE18" s="8"/>
      <c r="AF18" s="8"/>
      <c r="AG18" s="8" t="str">
        <f ca="1">IFERROR(__xludf.DUMMYFUNCTION("""COMPUTED_VALUE"""),"No")</f>
        <v>No</v>
      </c>
      <c r="AH18" s="8" t="str">
        <f ca="1">IFERROR(__xludf.DUMMYFUNCTION("""COMPUTED_VALUE"""),"No")</f>
        <v>No</v>
      </c>
      <c r="AI18" s="8" t="str">
        <f ca="1">IFERROR(__xludf.DUMMYFUNCTION("""COMPUTED_VALUE"""),"No")</f>
        <v>No</v>
      </c>
      <c r="AJ18" s="8" t="str">
        <f ca="1">IFERROR(__xludf.DUMMYFUNCTION("""COMPUTED_VALUE"""),"No")</f>
        <v>No</v>
      </c>
      <c r="AK18" s="8" t="str">
        <f ca="1">IFERROR(__xludf.DUMMYFUNCTION("""COMPUTED_VALUE"""),"No")</f>
        <v>No</v>
      </c>
      <c r="AL18" s="8"/>
      <c r="AM18" s="8" t="str">
        <f ca="1">IFERROR(__xludf.DUMMYFUNCTION("""COMPUTED_VALUE"""),"No")</f>
        <v>No</v>
      </c>
      <c r="AN18" s="8" t="str">
        <f ca="1">IFERROR(__xludf.DUMMYFUNCTION("""COMPUTED_VALUE"""),"Outside")</f>
        <v>Outside</v>
      </c>
      <c r="AO18" s="8" t="str">
        <f ca="1">IFERROR(__xludf.DUMMYFUNCTION("""COMPUTED_VALUE"""),"No")</f>
        <v>No</v>
      </c>
      <c r="AP18" s="8"/>
      <c r="AQ18" s="8"/>
      <c r="AR18" s="8" t="str">
        <f ca="1">IFERROR(__xludf.DUMMYFUNCTION("""COMPUTED_VALUE"""),"Outside/Off-Property")</f>
        <v>Outside/Off-Property</v>
      </c>
      <c r="AS18" s="8">
        <f ca="1">IFERROR(__xludf.DUMMYFUNCTION("""COMPUTED_VALUE"""),99)</f>
        <v>99</v>
      </c>
      <c r="AT18" s="8" t="str">
        <f ca="1">IFERROR(__xludf.DUMMYFUNCTION("""COMPUTED_VALUE"""),"Yes")</f>
        <v>Yes</v>
      </c>
      <c r="AU18" s="8">
        <f ca="1">IFERROR(__xludf.DUMMYFUNCTION("""COMPUTED_VALUE"""),42.324259)</f>
        <v>42.324258999999998</v>
      </c>
      <c r="AV18" s="8">
        <f ca="1">IFERROR(__xludf.DUMMYFUNCTION("""COMPUTED_VALUE"""),-85.183506)</f>
        <v>-85.183505999999994</v>
      </c>
      <c r="AW18" s="8" t="str">
        <f ca="1">IFERROR(__xludf.DUMMYFUNCTION("""COMPUTED_VALUE"""),"Multiple detached buildings")</f>
        <v>Multiple detached buildings</v>
      </c>
      <c r="AX18" s="8">
        <f ca="1">IFERROR(__xludf.DUMMYFUNCTION("""COMPUTED_VALUE"""),49017)</f>
        <v>49017</v>
      </c>
    </row>
    <row r="19" spans="1:50" ht="150" x14ac:dyDescent="0.2">
      <c r="A19" s="8" t="str">
        <f ca="1">IFERROR(__xludf.DUMMYFUNCTION("""COMPUTED_VALUE"""),"20250907TXTHM")</f>
        <v>20250907TXTHM</v>
      </c>
      <c r="B19" s="8">
        <f ca="1">IFERROR(__xludf.DUMMYFUNCTION("""COMPUTED_VALUE"""),9)</f>
        <v>9</v>
      </c>
      <c r="C19" s="8">
        <f ca="1">IFERROR(__xludf.DUMMYFUNCTION("""COMPUTED_VALUE"""),7)</f>
        <v>7</v>
      </c>
      <c r="D19" s="8">
        <f ca="1">IFERROR(__xludf.DUMMYFUNCTION("""COMPUTED_VALUE"""),2025)</f>
        <v>2025</v>
      </c>
      <c r="E19" s="9">
        <f ca="1">IFERROR(__xludf.DUMMYFUNCTION("""COMPUTED_VALUE"""),45907)</f>
        <v>45907</v>
      </c>
      <c r="F19" s="8" t="str">
        <f ca="1">IFERROR(__xludf.DUMMYFUNCTION("""COMPUTED_VALUE"""),"Thompson Elementary School")</f>
        <v>Thompson Elementary School</v>
      </c>
      <c r="G19" s="8">
        <f ca="1">IFERROR(__xludf.DUMMYFUNCTION("""COMPUTED_VALUE"""),0)</f>
        <v>0</v>
      </c>
      <c r="H19" s="8">
        <f ca="1">IFERROR(__xludf.DUMMYFUNCTION("""COMPUTED_VALUE"""),1)</f>
        <v>1</v>
      </c>
      <c r="I19" s="8">
        <f ca="1">IFERROR(__xludf.DUMMYFUNCTION("""COMPUTED_VALUE"""),1)</f>
        <v>1</v>
      </c>
      <c r="J19" s="8">
        <f ca="1">IFERROR(__xludf.DUMMYFUNCTION("""COMPUTED_VALUE"""),0)</f>
        <v>0</v>
      </c>
      <c r="K19" s="10" t="str">
        <f ca="1">IFERROR(__xludf.DUMMYFUNCTION("""COMPUTED_VALUE"""),"https://www.fox4news.com/news/father-shot-teen-fight-mesquite")</f>
        <v>https://www.fox4news.com/news/father-shot-teen-fight-mesquite</v>
      </c>
      <c r="L19" s="8">
        <f ca="1">IFERROR(__xludf.DUMMYFUNCTION("""COMPUTED_VALUE"""),1)</f>
        <v>1</v>
      </c>
      <c r="M19" s="8" t="str">
        <f ca="1">IFERROR(__xludf.DUMMYFUNCTION("""COMPUTED_VALUE"""),"Local")</f>
        <v>Local</v>
      </c>
      <c r="N19" s="8">
        <f ca="1">IFERROR(__xludf.DUMMYFUNCTION("""COMPUTED_VALUE"""),3)</f>
        <v>3</v>
      </c>
      <c r="O19" s="8" t="str">
        <f ca="1">IFERROR(__xludf.DUMMYFUNCTION("""COMPUTED_VALUE"""),"Fall")</f>
        <v>Fall</v>
      </c>
      <c r="P19" s="8" t="str">
        <f ca="1">IFERROR(__xludf.DUMMYFUNCTION("""COMPUTED_VALUE"""),"Mesquite")</f>
        <v>Mesquite</v>
      </c>
      <c r="Q19" s="8" t="str">
        <f ca="1">IFERROR(__xludf.DUMMYFUNCTION("""COMPUTED_VALUE"""),"TX")</f>
        <v>TX</v>
      </c>
      <c r="R19" s="8" t="str">
        <f ca="1">IFERROR(__xludf.DUMMYFUNCTION("""COMPUTED_VALUE"""),"Elementary")</f>
        <v>Elementary</v>
      </c>
      <c r="S19" s="8" t="str">
        <f ca="1">IFERROR(__xludf.DUMMYFUNCTION("""COMPUTED_VALUE"""),"Parking Lot")</f>
        <v>Parking Lot</v>
      </c>
      <c r="T19" s="8" t="str">
        <f ca="1">IFERROR(__xludf.DUMMYFUNCTION("""COMPUTED_VALUE"""),"Outside on School Property")</f>
        <v>Outside on School Property</v>
      </c>
      <c r="U19" s="8" t="str">
        <f ca="1">IFERROR(__xludf.DUMMYFUNCTION("""COMPUTED_VALUE"""),"No")</f>
        <v>No</v>
      </c>
      <c r="V19" s="8" t="str">
        <f ca="1">IFERROR(__xludf.DUMMYFUNCTION("""COMPUTED_VALUE"""),"Evening")</f>
        <v>Evening</v>
      </c>
      <c r="W19" s="11">
        <f ca="1">IFERROR(__xludf.DUMMYFUNCTION("""COMPUTED_VALUE"""),0.854166666666666)</f>
        <v>0.85416666666666596</v>
      </c>
      <c r="X19" s="8">
        <f ca="1">IFERROR(__xludf.DUMMYFUNCTION("""COMPUTED_VALUE"""),1)</f>
        <v>1</v>
      </c>
      <c r="Y19" s="12" t="str">
        <f ca="1">IFERROR(__xludf.DUMMYFUNCTION("""COMPUTED_VALUE"""),"Father shot while breaking up fight between teens behind the school")</f>
        <v>Father shot while breaking up fight between teens behind the school</v>
      </c>
      <c r="Z19" s="12" t="str">
        <f ca="1">IFERROR(__xludf.DUMMYFUNCTION("""COMPUTED_VALUE"""),"A father was shot Sunday while trying to break up a fight between teenagers behind a Mesquite elementary school, police said. According to investigators, a teen who was being assaulted by two other teens went home and returned with his father and older br"&amp;"other to confront the attackers. During the confrontation, one of the suspects pulled out a gun and shot the father in the shoulder. The suspects then ran from the scene before police arrived. The father was transported to a local hospital where he was tr"&amp;"eated for injuries that were not life-threatening.")</f>
        <v>A father was shot Sunday while trying to break up a fight between teenagers behind a Mesquite elementary school, police said. According to investigators, a teen who was being assaulted by two other teens went home and returned with his father and older brother to confront the attackers. During the confrontation, one of the suspects pulled out a gun and shot the father in the shoulder. The suspects then ran from the scene before police arrived. The father was transported to a local hospital where he was treated for injuries that were not life-threatening.</v>
      </c>
      <c r="AA19" s="8" t="str">
        <f ca="1">IFERROR(__xludf.DUMMYFUNCTION("""COMPUTED_VALUE"""),"Escalation of Dispute")</f>
        <v>Escalation of Dispute</v>
      </c>
      <c r="AB19" s="8" t="str">
        <f ca="1">IFERROR(__xludf.DUMMYFUNCTION("""COMPUTED_VALUE"""),"Spontaneous")</f>
        <v>Spontaneous</v>
      </c>
      <c r="AC19" s="8" t="str">
        <f ca="1">IFERROR(__xludf.DUMMYFUNCTION("""COMPUTED_VALUE"""),"No")</f>
        <v>No</v>
      </c>
      <c r="AD19" s="8" t="str">
        <f ca="1">IFERROR(__xludf.DUMMYFUNCTION("""COMPUTED_VALUE"""),"Victims Targeted")</f>
        <v>Victims Targeted</v>
      </c>
      <c r="AE19" s="8" t="str">
        <f ca="1">IFERROR(__xludf.DUMMYFUNCTION("""COMPUTED_VALUE"""),"Yes")</f>
        <v>Yes</v>
      </c>
      <c r="AF19" s="8" t="str">
        <f ca="1">IFERROR(__xludf.DUMMYFUNCTION("""COMPUTED_VALUE"""),"Multiple teens involved")</f>
        <v>Multiple teens involved</v>
      </c>
      <c r="AG19" s="8" t="str">
        <f ca="1">IFERROR(__xludf.DUMMYFUNCTION("""COMPUTED_VALUE"""),"No")</f>
        <v>No</v>
      </c>
      <c r="AH19" s="8" t="str">
        <f ca="1">IFERROR(__xludf.DUMMYFUNCTION("""COMPUTED_VALUE"""),"No")</f>
        <v>No</v>
      </c>
      <c r="AI19" s="8" t="str">
        <f ca="1">IFERROR(__xludf.DUMMYFUNCTION("""COMPUTED_VALUE"""),"No")</f>
        <v>No</v>
      </c>
      <c r="AJ19" s="8" t="str">
        <f ca="1">IFERROR(__xludf.DUMMYFUNCTION("""COMPUTED_VALUE"""),"No")</f>
        <v>No</v>
      </c>
      <c r="AK19" s="8" t="str">
        <f ca="1">IFERROR(__xludf.DUMMYFUNCTION("""COMPUTED_VALUE"""),"No")</f>
        <v>No</v>
      </c>
      <c r="AL19" s="8" t="str">
        <f ca="1">IFERROR(__xludf.DUMMYFUNCTION("""COMPUTED_VALUE"""),"No")</f>
        <v>No</v>
      </c>
      <c r="AM19" s="8" t="str">
        <f ca="1">IFERROR(__xludf.DUMMYFUNCTION("""COMPUTED_VALUE"""),"No")</f>
        <v>No</v>
      </c>
      <c r="AN19" s="8" t="str">
        <f ca="1">IFERROR(__xludf.DUMMYFUNCTION("""COMPUTED_VALUE"""),"Outside")</f>
        <v>Outside</v>
      </c>
      <c r="AO19" s="8" t="str">
        <f ca="1">IFERROR(__xludf.DUMMYFUNCTION("""COMPUTED_VALUE"""),"No")</f>
        <v>No</v>
      </c>
      <c r="AP19" s="8"/>
      <c r="AQ19" s="8"/>
      <c r="AR19" s="8" t="str">
        <f ca="1">IFERROR(__xludf.DUMMYFUNCTION("""COMPUTED_VALUE"""),"Outside/Off-Property")</f>
        <v>Outside/Off-Property</v>
      </c>
      <c r="AS19" s="8">
        <f ca="1">IFERROR(__xludf.DUMMYFUNCTION("""COMPUTED_VALUE"""),1)</f>
        <v>1</v>
      </c>
      <c r="AT19" s="8" t="str">
        <f ca="1">IFERROR(__xludf.DUMMYFUNCTION("""COMPUTED_VALUE"""),"No")</f>
        <v>No</v>
      </c>
      <c r="AU19" s="8">
        <f ca="1">IFERROR(__xludf.DUMMYFUNCTION("""COMPUTED_VALUE"""),32.738846)</f>
        <v>32.738846000000002</v>
      </c>
      <c r="AV19" s="8">
        <f ca="1">IFERROR(__xludf.DUMMYFUNCTION("""COMPUTED_VALUE"""),-96.544892)</f>
        <v>-96.544892000000004</v>
      </c>
      <c r="AW19" s="8" t="str">
        <f ca="1">IFERROR(__xludf.DUMMYFUNCTION("""COMPUTED_VALUE"""),"Single building indoor hallway")</f>
        <v>Single building indoor hallway</v>
      </c>
      <c r="AX19" s="8">
        <f ca="1">IFERROR(__xludf.DUMMYFUNCTION("""COMPUTED_VALUE"""),75181)</f>
        <v>75181</v>
      </c>
    </row>
    <row r="20" spans="1:50" ht="285" x14ac:dyDescent="0.2">
      <c r="A20" s="8" t="str">
        <f ca="1">IFERROR(__xludf.DUMMYFUNCTION("""COMPUTED_VALUE"""),"20250905OKSET")</f>
        <v>20250905OKSET</v>
      </c>
      <c r="B20" s="8">
        <f ca="1">IFERROR(__xludf.DUMMYFUNCTION("""COMPUTED_VALUE"""),9)</f>
        <v>9</v>
      </c>
      <c r="C20" s="8">
        <f ca="1">IFERROR(__xludf.DUMMYFUNCTION("""COMPUTED_VALUE"""),5)</f>
        <v>5</v>
      </c>
      <c r="D20" s="8">
        <f ca="1">IFERROR(__xludf.DUMMYFUNCTION("""COMPUTED_VALUE"""),2025)</f>
        <v>2025</v>
      </c>
      <c r="E20" s="9">
        <f ca="1">IFERROR(__xludf.DUMMYFUNCTION("""COMPUTED_VALUE"""),45905)</f>
        <v>45905</v>
      </c>
      <c r="F20" s="8" t="str">
        <f ca="1">IFERROR(__xludf.DUMMYFUNCTION("""COMPUTED_VALUE"""),"Sequoyah Elementary School")</f>
        <v>Sequoyah Elementary School</v>
      </c>
      <c r="G20" s="8">
        <f ca="1">IFERROR(__xludf.DUMMYFUNCTION("""COMPUTED_VALUE"""),0)</f>
        <v>0</v>
      </c>
      <c r="H20" s="8">
        <f ca="1">IFERROR(__xludf.DUMMYFUNCTION("""COMPUTED_VALUE"""),0)</f>
        <v>0</v>
      </c>
      <c r="I20" s="8">
        <f ca="1">IFERROR(__xludf.DUMMYFUNCTION("""COMPUTED_VALUE"""),0)</f>
        <v>0</v>
      </c>
      <c r="J20" s="8">
        <f ca="1">IFERROR(__xludf.DUMMYFUNCTION("""COMPUTED_VALUE"""),0)</f>
        <v>0</v>
      </c>
      <c r="K20" s="10" t="str">
        <f ca="1">IFERROR(__xludf.DUMMYFUNCTION("""COMPUTED_VALUE"""),"https://www.fox23.com/news/local/tpd-arrest-teen-accused-of-shooting-at-a-vehicle-in-a-school-parking-lot/article_24a44474-539e-43bb-957d-7fa51e076cca.html")</f>
        <v>https://www.fox23.com/news/local/tpd-arrest-teen-accused-of-shooting-at-a-vehicle-in-a-school-parking-lot/article_24a44474-539e-43bb-957d-7fa51e076cca.html</v>
      </c>
      <c r="L20" s="8">
        <f ca="1">IFERROR(__xludf.DUMMYFUNCTION("""COMPUTED_VALUE"""),1)</f>
        <v>1</v>
      </c>
      <c r="M20" s="8" t="str">
        <f ca="1">IFERROR(__xludf.DUMMYFUNCTION("""COMPUTED_VALUE"""),"Local")</f>
        <v>Local</v>
      </c>
      <c r="N20" s="8">
        <f ca="1">IFERROR(__xludf.DUMMYFUNCTION("""COMPUTED_VALUE"""),4)</f>
        <v>4</v>
      </c>
      <c r="O20" s="8" t="str">
        <f ca="1">IFERROR(__xludf.DUMMYFUNCTION("""COMPUTED_VALUE"""),"Fall")</f>
        <v>Fall</v>
      </c>
      <c r="P20" s="8" t="str">
        <f ca="1">IFERROR(__xludf.DUMMYFUNCTION("""COMPUTED_VALUE"""),"Tulsa")</f>
        <v>Tulsa</v>
      </c>
      <c r="Q20" s="8" t="str">
        <f ca="1">IFERROR(__xludf.DUMMYFUNCTION("""COMPUTED_VALUE"""),"OK")</f>
        <v>OK</v>
      </c>
      <c r="R20" s="8" t="str">
        <f ca="1">IFERROR(__xludf.DUMMYFUNCTION("""COMPUTED_VALUE"""),"Elementary")</f>
        <v>Elementary</v>
      </c>
      <c r="S20" s="8" t="str">
        <f ca="1">IFERROR(__xludf.DUMMYFUNCTION("""COMPUTED_VALUE"""),"Parking Lot")</f>
        <v>Parking Lot</v>
      </c>
      <c r="T20" s="8" t="str">
        <f ca="1">IFERROR(__xludf.DUMMYFUNCTION("""COMPUTED_VALUE"""),"Outside on School Property")</f>
        <v>Outside on School Property</v>
      </c>
      <c r="U20" s="8" t="str">
        <f ca="1">IFERROR(__xludf.DUMMYFUNCTION("""COMPUTED_VALUE"""),"No")</f>
        <v>No</v>
      </c>
      <c r="V20" s="8" t="str">
        <f ca="1">IFERROR(__xludf.DUMMYFUNCTION("""COMPUTED_VALUE"""),"Evening")</f>
        <v>Evening</v>
      </c>
      <c r="W20" s="11">
        <f ca="1">IFERROR(__xludf.DUMMYFUNCTION("""COMPUTED_VALUE"""),0.822916666666666)</f>
        <v>0.82291666666666596</v>
      </c>
      <c r="X20" s="8">
        <f ca="1">IFERROR(__xludf.DUMMYFUNCTION("""COMPUTED_VALUE"""),1)</f>
        <v>1</v>
      </c>
      <c r="Y20" s="12" t="str">
        <f ca="1">IFERROR(__xludf.DUMMYFUNCTION("""COMPUTED_VALUE"""),"Teen fired three shots at a vehicle with four teens inside during an argument")</f>
        <v>Teen fired three shots at a vehicle with four teens inside during an argument</v>
      </c>
      <c r="Z20" s="12" t="str">
        <f ca="1">IFERROR(__xludf.DUMMYFUNCTION("""COMPUTED_VALUE"""),"Tulsa Police arrested a teen they said shot at vehicle full of people Friday after an argument became violent. On Friday, around 7:45 p.m., officers responded to reports of gunshots. When police got there, four juveniles said they were parked in an SUV be"&amp;"longing to one victim’s mother at Sequoyah Elementary School. They said another teen pulled up in a black Cadillac Escalade with dark-tinted windows. Police said the victims claimed the teen in the Escalade became aggressive, pulled out a gun and fired th"&amp;"ree shots into the rear driver’s side door. Police were able to confirm the gunshot holes in the vehicle and found three casings. They searched the nearby area and found a 17-year-old climbing out of a Black Escalade parked at a house near Lewis and Arche"&amp;"r. Police were able to take the suspect into custody after finding a gun on the teen they believe match the casings. The suspect was arrested and is facing four possible charges of Shooting with Intent to Kill. The teen's name is not being shared at this "&amp;"time as he awaits any charges.")</f>
        <v>Tulsa Police arrested a teen they said shot at vehicle full of people Friday after an argument became violent. On Friday, around 7:45 p.m., officers responded to reports of gunshots. When police got there, four juveniles said they were parked in an SUV belonging to one victim’s mother at Sequoyah Elementary School. They said another teen pulled up in a black Cadillac Escalade with dark-tinted windows. Police said the victims claimed the teen in the Escalade became aggressive, pulled out a gun and fired three shots into the rear driver’s side door. Police were able to confirm the gunshot holes in the vehicle and found three casings. They searched the nearby area and found a 17-year-old climbing out of a Black Escalade parked at a house near Lewis and Archer. Police were able to take the suspect into custody after finding a gun on the teen they believe match the casings. The suspect was arrested and is facing four possible charges of Shooting with Intent to Kill. The teen's name is not being shared at this time as he awaits any charges.</v>
      </c>
      <c r="AA20" s="8" t="str">
        <f ca="1">IFERROR(__xludf.DUMMYFUNCTION("""COMPUTED_VALUE"""),"Escalation of Dispute")</f>
        <v>Escalation of Dispute</v>
      </c>
      <c r="AB20" s="8" t="str">
        <f ca="1">IFERROR(__xludf.DUMMYFUNCTION("""COMPUTED_VALUE"""),"Spontaneous")</f>
        <v>Spontaneous</v>
      </c>
      <c r="AC20" s="8" t="str">
        <f ca="1">IFERROR(__xludf.DUMMYFUNCTION("""COMPUTED_VALUE"""),"No")</f>
        <v>No</v>
      </c>
      <c r="AD20" s="8" t="str">
        <f ca="1">IFERROR(__xludf.DUMMYFUNCTION("""COMPUTED_VALUE"""),"Victims Targeted")</f>
        <v>Victims Targeted</v>
      </c>
      <c r="AE20" s="8" t="str">
        <f ca="1">IFERROR(__xludf.DUMMYFUNCTION("""COMPUTED_VALUE"""),"No")</f>
        <v>No</v>
      </c>
      <c r="AF20" s="8"/>
      <c r="AG20" s="8" t="str">
        <f ca="1">IFERROR(__xludf.DUMMYFUNCTION("""COMPUTED_VALUE"""),"No")</f>
        <v>No</v>
      </c>
      <c r="AH20" s="8" t="str">
        <f ca="1">IFERROR(__xludf.DUMMYFUNCTION("""COMPUTED_VALUE"""),"No")</f>
        <v>No</v>
      </c>
      <c r="AI20" s="8" t="str">
        <f ca="1">IFERROR(__xludf.DUMMYFUNCTION("""COMPUTED_VALUE"""),"No")</f>
        <v>No</v>
      </c>
      <c r="AJ20" s="8" t="str">
        <f ca="1">IFERROR(__xludf.DUMMYFUNCTION("""COMPUTED_VALUE"""),"No")</f>
        <v>No</v>
      </c>
      <c r="AK20" s="8" t="str">
        <f ca="1">IFERROR(__xludf.DUMMYFUNCTION("""COMPUTED_VALUE"""),"No")</f>
        <v>No</v>
      </c>
      <c r="AL20" s="8" t="str">
        <f ca="1">IFERROR(__xludf.DUMMYFUNCTION("""COMPUTED_VALUE"""),"No")</f>
        <v>No</v>
      </c>
      <c r="AM20" s="8" t="str">
        <f ca="1">IFERROR(__xludf.DUMMYFUNCTION("""COMPUTED_VALUE"""),"No")</f>
        <v>No</v>
      </c>
      <c r="AN20" s="8" t="str">
        <f ca="1">IFERROR(__xludf.DUMMYFUNCTION("""COMPUTED_VALUE"""),"Outside")</f>
        <v>Outside</v>
      </c>
      <c r="AO20" s="8" t="str">
        <f ca="1">IFERROR(__xludf.DUMMYFUNCTION("""COMPUTED_VALUE"""),"No")</f>
        <v>No</v>
      </c>
      <c r="AP20" s="8"/>
      <c r="AQ20" s="8"/>
      <c r="AR20" s="8" t="str">
        <f ca="1">IFERROR(__xludf.DUMMYFUNCTION("""COMPUTED_VALUE"""),"Outside/Off-Property")</f>
        <v>Outside/Off-Property</v>
      </c>
      <c r="AS20" s="8">
        <f ca="1">IFERROR(__xludf.DUMMYFUNCTION("""COMPUTED_VALUE"""),3)</f>
        <v>3</v>
      </c>
      <c r="AT20" s="8" t="str">
        <f ca="1">IFERROR(__xludf.DUMMYFUNCTION("""COMPUTED_VALUE"""),"No")</f>
        <v>No</v>
      </c>
      <c r="AU20" s="8">
        <f ca="1">IFERROR(__xludf.DUMMYFUNCTION("""COMPUTED_VALUE"""),36.165344)</f>
        <v>36.165343999999997</v>
      </c>
      <c r="AV20" s="8">
        <f ca="1">IFERROR(__xludf.DUMMYFUNCTION("""COMPUTED_VALUE"""),-95.954922)</f>
        <v>-95.954921999999996</v>
      </c>
      <c r="AW20" s="8" t="str">
        <f ca="1">IFERROR(__xludf.DUMMYFUNCTION("""COMPUTED_VALUE"""),"Multiple detached buildings")</f>
        <v>Multiple detached buildings</v>
      </c>
      <c r="AX20" s="8">
        <f ca="1">IFERROR(__xludf.DUMMYFUNCTION("""COMPUTED_VALUE"""),74110)</f>
        <v>74110</v>
      </c>
    </row>
    <row r="21" spans="1:50" ht="135" x14ac:dyDescent="0.2">
      <c r="A21" s="8" t="str">
        <f ca="1">IFERROR(__xludf.DUMMYFUNCTION("""COMPUTED_VALUE"""),"20250901OKPRP")</f>
        <v>20250901OKPRP</v>
      </c>
      <c r="B21" s="8">
        <f ca="1">IFERROR(__xludf.DUMMYFUNCTION("""COMPUTED_VALUE"""),9)</f>
        <v>9</v>
      </c>
      <c r="C21" s="8">
        <f ca="1">IFERROR(__xludf.DUMMYFUNCTION("""COMPUTED_VALUE"""),1)</f>
        <v>1</v>
      </c>
      <c r="D21" s="8">
        <f ca="1">IFERROR(__xludf.DUMMYFUNCTION("""COMPUTED_VALUE"""),2025)</f>
        <v>2025</v>
      </c>
      <c r="E21" s="9">
        <f ca="1">IFERROR(__xludf.DUMMYFUNCTION("""COMPUTED_VALUE"""),45901)</f>
        <v>45901</v>
      </c>
      <c r="F21" s="8" t="str">
        <f ca="1">IFERROR(__xludf.DUMMYFUNCTION("""COMPUTED_VALUE"""),"Pryor Middle School")</f>
        <v>Pryor Middle School</v>
      </c>
      <c r="G21" s="8">
        <f ca="1">IFERROR(__xludf.DUMMYFUNCTION("""COMPUTED_VALUE"""),0)</f>
        <v>0</v>
      </c>
      <c r="H21" s="8">
        <f ca="1">IFERROR(__xludf.DUMMYFUNCTION("""COMPUTED_VALUE"""),0)</f>
        <v>0</v>
      </c>
      <c r="I21" s="8">
        <f ca="1">IFERROR(__xludf.DUMMYFUNCTION("""COMPUTED_VALUE"""),0)</f>
        <v>0</v>
      </c>
      <c r="J21" s="8">
        <f ca="1">IFERROR(__xludf.DUMMYFUNCTION("""COMPUTED_VALUE"""),0)</f>
        <v>0</v>
      </c>
      <c r="K21" s="10" t="str">
        <f ca="1">IFERROR(__xludf.DUMMYFUNCTION("""COMPUTED_VALUE"""),"https://www.fox23.com/news/pryor-creek-police-respond-to-shots-fired-call-near-middle-school/article_4b81d67a-f693-431e-9add-4191971a0756.html
https://ktul.com/news/local/gallery/shots-fired-near-pryor-middle-school-3-boys-apprehended-police-department-je"&amp;"remy-cantrell-report-gunshots-gunfire-in-pryor-creek-three-juviniles-taken-into-custody-released-to-guardians-charges-state-law")</f>
        <v>https://www.fox23.com/news/pryor-creek-police-respond-to-shots-fired-call-near-middle-school/article_4b81d67a-f693-431e-9add-4191971a0756.html
https://ktul.com/news/local/gallery/shots-fired-near-pryor-middle-school-3-boys-apprehended-police-department-jeremy-cantrell-report-gunshots-gunfire-in-pryor-creek-three-juviniles-taken-into-custody-released-to-guardians-charges-state-law</v>
      </c>
      <c r="L21" s="8">
        <f ca="1">IFERROR(__xludf.DUMMYFUNCTION("""COMPUTED_VALUE"""),2)</f>
        <v>2</v>
      </c>
      <c r="M21" s="8" t="str">
        <f ca="1">IFERROR(__xludf.DUMMYFUNCTION("""COMPUTED_VALUE"""),"Local")</f>
        <v>Local</v>
      </c>
      <c r="N21" s="8">
        <f ca="1">IFERROR(__xludf.DUMMYFUNCTION("""COMPUTED_VALUE"""),3)</f>
        <v>3</v>
      </c>
      <c r="O21" s="8" t="str">
        <f ca="1">IFERROR(__xludf.DUMMYFUNCTION("""COMPUTED_VALUE"""),"Fall")</f>
        <v>Fall</v>
      </c>
      <c r="P21" s="8" t="str">
        <f ca="1">IFERROR(__xludf.DUMMYFUNCTION("""COMPUTED_VALUE"""),"Pryor Creek")</f>
        <v>Pryor Creek</v>
      </c>
      <c r="Q21" s="8" t="str">
        <f ca="1">IFERROR(__xludf.DUMMYFUNCTION("""COMPUTED_VALUE"""),"OK")</f>
        <v>OK</v>
      </c>
      <c r="R21" s="8" t="str">
        <f ca="1">IFERROR(__xludf.DUMMYFUNCTION("""COMPUTED_VALUE"""),"Middle")</f>
        <v>Middle</v>
      </c>
      <c r="S21" s="8" t="str">
        <f ca="1">IFERROR(__xludf.DUMMYFUNCTION("""COMPUTED_VALUE"""),"Beside Building")</f>
        <v>Beside Building</v>
      </c>
      <c r="T21" s="8" t="str">
        <f ca="1">IFERROR(__xludf.DUMMYFUNCTION("""COMPUTED_VALUE"""),"Outside on School Property")</f>
        <v>Outside on School Property</v>
      </c>
      <c r="U21" s="8" t="str">
        <f ca="1">IFERROR(__xludf.DUMMYFUNCTION("""COMPUTED_VALUE"""),"No")</f>
        <v>No</v>
      </c>
      <c r="V21" s="8" t="str">
        <f ca="1">IFERROR(__xludf.DUMMYFUNCTION("""COMPUTED_VALUE"""),"Not a School Day")</f>
        <v>Not a School Day</v>
      </c>
      <c r="W21" s="11">
        <f ca="1">IFERROR(__xludf.DUMMYFUNCTION("""COMPUTED_VALUE"""),0.635416666666666)</f>
        <v>0.63541666666666596</v>
      </c>
      <c r="X21" s="8">
        <f ca="1">IFERROR(__xludf.DUMMYFUNCTION("""COMPUTED_VALUE"""),1)</f>
        <v>1</v>
      </c>
      <c r="Y21" s="12" t="str">
        <f ca="1">IFERROR(__xludf.DUMMYFUNCTION("""COMPUTED_VALUE"""),"Three boys arrested after firing a shot outside the school")</f>
        <v>Three boys arrested after firing a shot outside the school</v>
      </c>
      <c r="Z21" s="12" t="str">
        <f ca="1">IFERROR(__xludf.DUMMYFUNCTION("""COMPUTED_VALUE"""),"Pryor Creek Police responded to calls for shots fired near Pryor Middle School on Monday around 3:15 p.m. Police said they found three boys at the scene. One of them tried to run away, but all three were taken into custody. The boys were in possession of "&amp;"a 9mm pistol and one of the kids admitted to firing the gun at the ground. The pistol was taken by police, and the boys were released to their guardians, per a judge’s order. Charges will be sent to the State of Oklahoma. ")</f>
        <v xml:space="preserve">Pryor Creek Police responded to calls for shots fired near Pryor Middle School on Monday around 3:15 p.m. Police said they found three boys at the scene. One of them tried to run away, but all three were taken into custody. The boys were in possession of a 9mm pistol and one of the kids admitted to firing the gun at the ground. The pistol was taken by police, and the boys were released to their guardians, per a judge’s order. Charges will be sent to the State of Oklahoma. </v>
      </c>
      <c r="AA21" s="8" t="str">
        <f ca="1">IFERROR(__xludf.DUMMYFUNCTION("""COMPUTED_VALUE"""),"Intentional Property Damage")</f>
        <v>Intentional Property Damage</v>
      </c>
      <c r="AB21" s="8"/>
      <c r="AC21" s="8" t="str">
        <f ca="1">IFERROR(__xludf.DUMMYFUNCTION("""COMPUTED_VALUE"""),"Yes")</f>
        <v>Yes</v>
      </c>
      <c r="AD21" s="8" t="str">
        <f ca="1">IFERROR(__xludf.DUMMYFUNCTION("""COMPUTED_VALUE"""),"Neither")</f>
        <v>Neither</v>
      </c>
      <c r="AE21" s="8" t="str">
        <f ca="1">IFERROR(__xludf.DUMMYFUNCTION("""COMPUTED_VALUE"""),"Yes")</f>
        <v>Yes</v>
      </c>
      <c r="AF21" s="8" t="str">
        <f ca="1">IFERROR(__xludf.DUMMYFUNCTION("""COMPUTED_VALUE"""),"Three boys arrested")</f>
        <v>Three boys arrested</v>
      </c>
      <c r="AG21" s="8" t="str">
        <f ca="1">IFERROR(__xludf.DUMMYFUNCTION("""COMPUTED_VALUE"""),"No")</f>
        <v>No</v>
      </c>
      <c r="AH21" s="8" t="str">
        <f ca="1">IFERROR(__xludf.DUMMYFUNCTION("""COMPUTED_VALUE"""),"No")</f>
        <v>No</v>
      </c>
      <c r="AI21" s="8" t="str">
        <f ca="1">IFERROR(__xludf.DUMMYFUNCTION("""COMPUTED_VALUE"""),"No")</f>
        <v>No</v>
      </c>
      <c r="AJ21" s="8" t="str">
        <f ca="1">IFERROR(__xludf.DUMMYFUNCTION("""COMPUTED_VALUE"""),"No")</f>
        <v>No</v>
      </c>
      <c r="AK21" s="8" t="str">
        <f ca="1">IFERROR(__xludf.DUMMYFUNCTION("""COMPUTED_VALUE"""),"No")</f>
        <v>No</v>
      </c>
      <c r="AL21" s="8" t="str">
        <f ca="1">IFERROR(__xludf.DUMMYFUNCTION("""COMPUTED_VALUE"""),"No")</f>
        <v>No</v>
      </c>
      <c r="AM21" s="8" t="str">
        <f ca="1">IFERROR(__xludf.DUMMYFUNCTION("""COMPUTED_VALUE"""),"No")</f>
        <v>No</v>
      </c>
      <c r="AN21" s="8" t="str">
        <f ca="1">IFERROR(__xludf.DUMMYFUNCTION("""COMPUTED_VALUE"""),"Outside")</f>
        <v>Outside</v>
      </c>
      <c r="AO21" s="8" t="str">
        <f ca="1">IFERROR(__xludf.DUMMYFUNCTION("""COMPUTED_VALUE"""),"No")</f>
        <v>No</v>
      </c>
      <c r="AP21" s="8"/>
      <c r="AQ21" s="8"/>
      <c r="AR21" s="8" t="str">
        <f ca="1">IFERROR(__xludf.DUMMYFUNCTION("""COMPUTED_VALUE"""),"Outside/Off-Property")</f>
        <v>Outside/Off-Property</v>
      </c>
      <c r="AS21" s="8">
        <f ca="1">IFERROR(__xludf.DUMMYFUNCTION("""COMPUTED_VALUE"""),2)</f>
        <v>2</v>
      </c>
      <c r="AT21" s="8" t="str">
        <f ca="1">IFERROR(__xludf.DUMMYFUNCTION("""COMPUTED_VALUE"""),"No")</f>
        <v>No</v>
      </c>
      <c r="AU21" s="8">
        <f ca="1">IFERROR(__xludf.DUMMYFUNCTION("""COMPUTED_VALUE"""),36.304422)</f>
        <v>36.304422000000002</v>
      </c>
      <c r="AV21" s="8">
        <f ca="1">IFERROR(__xludf.DUMMYFUNCTION("""COMPUTED_VALUE"""),-95.311583)</f>
        <v>-95.311582999999999</v>
      </c>
      <c r="AW21" s="8" t="str">
        <f ca="1">IFERROR(__xludf.DUMMYFUNCTION("""COMPUTED_VALUE"""),"Multiple detached buildings")</f>
        <v>Multiple detached buildings</v>
      </c>
      <c r="AX21" s="8">
        <f ca="1">IFERROR(__xludf.DUMMYFUNCTION("""COMPUTED_VALUE"""),74361)</f>
        <v>74361</v>
      </c>
    </row>
    <row r="22" spans="1:50" ht="180" x14ac:dyDescent="0.2">
      <c r="A22" s="8" t="str">
        <f ca="1">IFERROR(__xludf.DUMMYFUNCTION("""COMPUTED_VALUE"""),"20250901PAWIP")</f>
        <v>20250901PAWIP</v>
      </c>
      <c r="B22" s="8">
        <f ca="1">IFERROR(__xludf.DUMMYFUNCTION("""COMPUTED_VALUE"""),9)</f>
        <v>9</v>
      </c>
      <c r="C22" s="8">
        <f ca="1">IFERROR(__xludf.DUMMYFUNCTION("""COMPUTED_VALUE"""),1)</f>
        <v>1</v>
      </c>
      <c r="D22" s="8">
        <f ca="1">IFERROR(__xludf.DUMMYFUNCTION("""COMPUTED_VALUE"""),2025)</f>
        <v>2025</v>
      </c>
      <c r="E22" s="9">
        <f ca="1">IFERROR(__xludf.DUMMYFUNCTION("""COMPUTED_VALUE"""),45901)</f>
        <v>45901</v>
      </c>
      <c r="F22" s="8" t="str">
        <f ca="1">IFERROR(__xludf.DUMMYFUNCTION("""COMPUTED_VALUE"""),"William L. Sayre High School")</f>
        <v>William L. Sayre High School</v>
      </c>
      <c r="G22" s="8">
        <f ca="1">IFERROR(__xludf.DUMMYFUNCTION("""COMPUTED_VALUE"""),0)</f>
        <v>0</v>
      </c>
      <c r="H22" s="8">
        <f ca="1">IFERROR(__xludf.DUMMYFUNCTION("""COMPUTED_VALUE"""),1)</f>
        <v>1</v>
      </c>
      <c r="I22" s="8">
        <f ca="1">IFERROR(__xludf.DUMMYFUNCTION("""COMPUTED_VALUE"""),1)</f>
        <v>1</v>
      </c>
      <c r="J22" s="8">
        <f ca="1">IFERROR(__xludf.DUMMYFUNCTION("""COMPUTED_VALUE"""),0)</f>
        <v>0</v>
      </c>
      <c r="K22" s="8" t="str">
        <f ca="1">IFERROR(__xludf.DUMMYFUNCTION("""COMPUTED_VALUE"""),"https://www.nbcphiladelphia.com/news/local/man-shooting-outside-high-shcool-philadelphia/4262587/
https://www.fox29.com/news/man-shot-back-overnight-parking-lot-philadelphia-high-school
https://6abc.com/post/woman-shoots-man-parking-lot-high-school-during"&amp;"-argument-west-philadelphia/17719468/")</f>
        <v>https://www.nbcphiladelphia.com/news/local/man-shooting-outside-high-shcool-philadelphia/4262587/
https://www.fox29.com/news/man-shot-back-overnight-parking-lot-philadelphia-high-school
https://6abc.com/post/woman-shoots-man-parking-lot-high-school-during-argument-west-philadelphia/17719468/</v>
      </c>
      <c r="L22" s="8">
        <f ca="1">IFERROR(__xludf.DUMMYFUNCTION("""COMPUTED_VALUE"""),3)</f>
        <v>3</v>
      </c>
      <c r="M22" s="8" t="str">
        <f ca="1">IFERROR(__xludf.DUMMYFUNCTION("""COMPUTED_VALUE"""),"Local")</f>
        <v>Local</v>
      </c>
      <c r="N22" s="8">
        <f ca="1">IFERROR(__xludf.DUMMYFUNCTION("""COMPUTED_VALUE"""),4)</f>
        <v>4</v>
      </c>
      <c r="O22" s="8" t="str">
        <f ca="1">IFERROR(__xludf.DUMMYFUNCTION("""COMPUTED_VALUE"""),"Fall")</f>
        <v>Fall</v>
      </c>
      <c r="P22" s="8" t="str">
        <f ca="1">IFERROR(__xludf.DUMMYFUNCTION("""COMPUTED_VALUE"""),"Philadelphia")</f>
        <v>Philadelphia</v>
      </c>
      <c r="Q22" s="8" t="str">
        <f ca="1">IFERROR(__xludf.DUMMYFUNCTION("""COMPUTED_VALUE"""),"PA")</f>
        <v>PA</v>
      </c>
      <c r="R22" s="8" t="str">
        <f ca="1">IFERROR(__xludf.DUMMYFUNCTION("""COMPUTED_VALUE"""),"High")</f>
        <v>High</v>
      </c>
      <c r="S22" s="8" t="str">
        <f ca="1">IFERROR(__xludf.DUMMYFUNCTION("""COMPUTED_VALUE"""),"Parking Lot")</f>
        <v>Parking Lot</v>
      </c>
      <c r="T22" s="8" t="str">
        <f ca="1">IFERROR(__xludf.DUMMYFUNCTION("""COMPUTED_VALUE"""),"Outside on School Property")</f>
        <v>Outside on School Property</v>
      </c>
      <c r="U22" s="8" t="str">
        <f ca="1">IFERROR(__xludf.DUMMYFUNCTION("""COMPUTED_VALUE"""),"No")</f>
        <v>No</v>
      </c>
      <c r="V22" s="8" t="str">
        <f ca="1">IFERROR(__xludf.DUMMYFUNCTION("""COMPUTED_VALUE"""),"Night")</f>
        <v>Night</v>
      </c>
      <c r="W22" s="11">
        <f ca="1">IFERROR(__xludf.DUMMYFUNCTION("""COMPUTED_VALUE"""),0.0416666666666666)</f>
        <v>4.1666666666666602E-2</v>
      </c>
      <c r="X22" s="8">
        <f ca="1">IFERROR(__xludf.DUMMYFUNCTION("""COMPUTED_VALUE"""),1)</f>
        <v>1</v>
      </c>
      <c r="Y22" s="12" t="str">
        <f ca="1">IFERROR(__xludf.DUMMYFUNCTION("""COMPUTED_VALUE"""),"Woman shot man during dispute in the school parking lot")</f>
        <v>Woman shot man during dispute in the school parking lot</v>
      </c>
      <c r="Z22" s="12" t="str">
        <f ca="1">IFERROR(__xludf.DUMMYFUNCTION("""COMPUTED_VALUE"""),"Police said a 29-year-old man was shot in the side and lower back during an argument with a woman in the parking lot of William L. Sayre High School. According to police, witnesses shared that the woman had fired the shots, then took off the wrong way dow"&amp;"n 58th street in a light colored or silver SUV. Police said the man was taken to the hospital by responding officers and is listed in stable condition. At the scene, police said investigators found two shell casings, but it is believed that as many as six"&amp;" to eight rounds were fired. According to police, the school has surveillance cameras and officers are looking into the videos as part of the investigation.")</f>
        <v>Police said a 29-year-old man was shot in the side and lower back during an argument with a woman in the parking lot of William L. Sayre High School. According to police, witnesses shared that the woman had fired the shots, then took off the wrong way down 58th street in a light colored or silver SUV. Police said the man was taken to the hospital by responding officers and is listed in stable condition. At the scene, police said investigators found two shell casings, but it is believed that as many as six to eight rounds were fired. According to police, the school has surveillance cameras and officers are looking into the videos as part of the investigation.</v>
      </c>
      <c r="AA22" s="8" t="str">
        <f ca="1">IFERROR(__xludf.DUMMYFUNCTION("""COMPUTED_VALUE"""),"Escalation of Dispute")</f>
        <v>Escalation of Dispute</v>
      </c>
      <c r="AB22" s="8" t="str">
        <f ca="1">IFERROR(__xludf.DUMMYFUNCTION("""COMPUTED_VALUE"""),"Spontaneous")</f>
        <v>Spontaneous</v>
      </c>
      <c r="AC22" s="8" t="str">
        <f ca="1">IFERROR(__xludf.DUMMYFUNCTION("""COMPUTED_VALUE"""),"No")</f>
        <v>No</v>
      </c>
      <c r="AD22" s="8" t="str">
        <f ca="1">IFERROR(__xludf.DUMMYFUNCTION("""COMPUTED_VALUE"""),"Victims Targeted")</f>
        <v>Victims Targeted</v>
      </c>
      <c r="AE22" s="8" t="str">
        <f ca="1">IFERROR(__xludf.DUMMYFUNCTION("""COMPUTED_VALUE"""),"No")</f>
        <v>No</v>
      </c>
      <c r="AF22" s="8"/>
      <c r="AG22" s="8" t="str">
        <f ca="1">IFERROR(__xludf.DUMMYFUNCTION("""COMPUTED_VALUE"""),"No")</f>
        <v>No</v>
      </c>
      <c r="AH22" s="8" t="str">
        <f ca="1">IFERROR(__xludf.DUMMYFUNCTION("""COMPUTED_VALUE"""),"No")</f>
        <v>No</v>
      </c>
      <c r="AI22" s="8" t="str">
        <f ca="1">IFERROR(__xludf.DUMMYFUNCTION("""COMPUTED_VALUE"""),"No")</f>
        <v>No</v>
      </c>
      <c r="AJ22" s="8" t="str">
        <f ca="1">IFERROR(__xludf.DUMMYFUNCTION("""COMPUTED_VALUE"""),"No")</f>
        <v>No</v>
      </c>
      <c r="AK22" s="8"/>
      <c r="AL22" s="8" t="str">
        <f ca="1">IFERROR(__xludf.DUMMYFUNCTION("""COMPUTED_VALUE"""),"No")</f>
        <v>No</v>
      </c>
      <c r="AM22" s="8" t="str">
        <f ca="1">IFERROR(__xludf.DUMMYFUNCTION("""COMPUTED_VALUE"""),"No")</f>
        <v>No</v>
      </c>
      <c r="AN22" s="8" t="str">
        <f ca="1">IFERROR(__xludf.DUMMYFUNCTION("""COMPUTED_VALUE"""),"Outside")</f>
        <v>Outside</v>
      </c>
      <c r="AO22" s="8" t="str">
        <f ca="1">IFERROR(__xludf.DUMMYFUNCTION("""COMPUTED_VALUE"""),"No")</f>
        <v>No</v>
      </c>
      <c r="AP22" s="8"/>
      <c r="AQ22" s="8"/>
      <c r="AR22" s="8" t="str">
        <f ca="1">IFERROR(__xludf.DUMMYFUNCTION("""COMPUTED_VALUE"""),"Outside/Off-Property")</f>
        <v>Outside/Off-Property</v>
      </c>
      <c r="AS22" s="8">
        <f ca="1">IFERROR(__xludf.DUMMYFUNCTION("""COMPUTED_VALUE"""),8)</f>
        <v>8</v>
      </c>
      <c r="AT22" s="8" t="str">
        <f ca="1">IFERROR(__xludf.DUMMYFUNCTION("""COMPUTED_VALUE"""),"No")</f>
        <v>No</v>
      </c>
      <c r="AU22" s="8">
        <f ca="1">IFERROR(__xludf.DUMMYFUNCTION("""COMPUTED_VALUE"""),39.95763)</f>
        <v>39.957630000000002</v>
      </c>
      <c r="AV22" s="8">
        <f ca="1">IFERROR(__xludf.DUMMYFUNCTION("""COMPUTED_VALUE"""),-75.239123)</f>
        <v>-75.239123000000006</v>
      </c>
      <c r="AW22" s="8" t="str">
        <f ca="1">IFERROR(__xludf.DUMMYFUNCTION("""COMPUTED_VALUE"""),"Multiple attached buildings")</f>
        <v>Multiple attached buildings</v>
      </c>
      <c r="AX22" s="8">
        <f ca="1">IFERROR(__xludf.DUMMYFUNCTION("""COMPUTED_VALUE"""),19139)</f>
        <v>19139</v>
      </c>
    </row>
    <row r="23" spans="1:50" ht="180" x14ac:dyDescent="0.2">
      <c r="A23" s="8" t="str">
        <f ca="1">IFERROR(__xludf.DUMMYFUNCTION("""COMPUTED_VALUE"""),"20250830CONOD")</f>
        <v>20250830CONOD</v>
      </c>
      <c r="B23" s="8">
        <f ca="1">IFERROR(__xludf.DUMMYFUNCTION("""COMPUTED_VALUE"""),8)</f>
        <v>8</v>
      </c>
      <c r="C23" s="8">
        <f ca="1">IFERROR(__xludf.DUMMYFUNCTION("""COMPUTED_VALUE"""),30)</f>
        <v>30</v>
      </c>
      <c r="D23" s="8">
        <f ca="1">IFERROR(__xludf.DUMMYFUNCTION("""COMPUTED_VALUE"""),2025)</f>
        <v>2025</v>
      </c>
      <c r="E23" s="9">
        <f ca="1">IFERROR(__xludf.DUMMYFUNCTION("""COMPUTED_VALUE"""),45899)</f>
        <v>45899</v>
      </c>
      <c r="F23" s="8" t="str">
        <f ca="1">IFERROR(__xludf.DUMMYFUNCTION("""COMPUTED_VALUE"""),"North High School")</f>
        <v>North High School</v>
      </c>
      <c r="G23" s="8">
        <f ca="1">IFERROR(__xludf.DUMMYFUNCTION("""COMPUTED_VALUE"""),0)</f>
        <v>0</v>
      </c>
      <c r="H23" s="8">
        <f ca="1">IFERROR(__xludf.DUMMYFUNCTION("""COMPUTED_VALUE"""),0)</f>
        <v>0</v>
      </c>
      <c r="I23" s="8">
        <f ca="1">IFERROR(__xludf.DUMMYFUNCTION("""COMPUTED_VALUE"""),0)</f>
        <v>0</v>
      </c>
      <c r="J23" s="8">
        <f ca="1">IFERROR(__xludf.DUMMYFUNCTION("""COMPUTED_VALUE"""),0)</f>
        <v>0</v>
      </c>
      <c r="K23" s="10" t="str">
        <f ca="1">IFERROR(__xludf.DUMMYFUNCTION("""COMPUTED_VALUE"""),"https://www.9news.com/article/news/education/fight-gunfire-north-high-school-arrest-safety-changes/73-2cdadbbf-8989-447a-8159-e0bb30678557")</f>
        <v>https://www.9news.com/article/news/education/fight-gunfire-north-high-school-arrest-safety-changes/73-2cdadbbf-8989-447a-8159-e0bb30678557</v>
      </c>
      <c r="L23" s="8">
        <f ca="1">IFERROR(__xludf.DUMMYFUNCTION("""COMPUTED_VALUE"""),4)</f>
        <v>4</v>
      </c>
      <c r="M23" s="8" t="str">
        <f ca="1">IFERROR(__xludf.DUMMYFUNCTION("""COMPUTED_VALUE"""),"Local")</f>
        <v>Local</v>
      </c>
      <c r="N23" s="8">
        <f ca="1">IFERROR(__xludf.DUMMYFUNCTION("""COMPUTED_VALUE"""),4)</f>
        <v>4</v>
      </c>
      <c r="O23" s="8" t="str">
        <f ca="1">IFERROR(__xludf.DUMMYFUNCTION("""COMPUTED_VALUE"""),"Fall")</f>
        <v>Fall</v>
      </c>
      <c r="P23" s="8" t="str">
        <f ca="1">IFERROR(__xludf.DUMMYFUNCTION("""COMPUTED_VALUE"""),"Denver")</f>
        <v>Denver</v>
      </c>
      <c r="Q23" s="8" t="str">
        <f ca="1">IFERROR(__xludf.DUMMYFUNCTION("""COMPUTED_VALUE"""),"CO")</f>
        <v>CO</v>
      </c>
      <c r="R23" s="8" t="str">
        <f ca="1">IFERROR(__xludf.DUMMYFUNCTION("""COMPUTED_VALUE"""),"High")</f>
        <v>High</v>
      </c>
      <c r="S23" s="8" t="str">
        <f ca="1">IFERROR(__xludf.DUMMYFUNCTION("""COMPUTED_VALUE"""),"Parking Lot")</f>
        <v>Parking Lot</v>
      </c>
      <c r="T23" s="8" t="str">
        <f ca="1">IFERROR(__xludf.DUMMYFUNCTION("""COMPUTED_VALUE"""),"Outside on School Property")</f>
        <v>Outside on School Property</v>
      </c>
      <c r="U23" s="8" t="str">
        <f ca="1">IFERROR(__xludf.DUMMYFUNCTION("""COMPUTED_VALUE"""),"No")</f>
        <v>No</v>
      </c>
      <c r="V23" s="8" t="str">
        <f ca="1">IFERROR(__xludf.DUMMYFUNCTION("""COMPUTED_VALUE"""),"Sport Event")</f>
        <v>Sport Event</v>
      </c>
      <c r="W23" s="8"/>
      <c r="X23" s="8">
        <f ca="1">IFERROR(__xludf.DUMMYFUNCTION("""COMPUTED_VALUE"""),1)</f>
        <v>1</v>
      </c>
      <c r="Y23" s="12" t="str">
        <f ca="1">IFERROR(__xludf.DUMMYFUNCTION("""COMPUTED_VALUE"""),"Shots fired during a fight between teens in the school parking lot during a soccer game")</f>
        <v>Shots fired during a fight between teens in the school parking lot during a soccer game</v>
      </c>
      <c r="Z23" s="12" t="str">
        <f ca="1">IFERROR(__xludf.DUMMYFUNCTION("""COMPUTED_VALUE"""),"North High School is increasing security and asking for parent volunteers after a fight in the school's parking lot ended with a gun being fired last weekend. Principal German Echevarria told families in a letter this week that the incident happened Satur"&amp;"day, Aug. 30. No injuries were reported, and Denver Police have since arrested a suspect accused of firing the weapon. Detectives are pursuing charges against others involved in the altercation. Students and families were on campus for a junior varsity so"&amp;"ccer game on a field outside the school when they heard the gunshot. Others were inside the school for a pancake breakfast fundraiser and also heard gunfire.")</f>
        <v>North High School is increasing security and asking for parent volunteers after a fight in the school's parking lot ended with a gun being fired last weekend. Principal German Echevarria told families in a letter this week that the incident happened Saturday, Aug. 30. No injuries were reported, and Denver Police have since arrested a suspect accused of firing the weapon. Detectives are pursuing charges against others involved in the altercation. Students and families were on campus for a junior varsity soccer game on a field outside the school when they heard the gunshot. Others were inside the school for a pancake breakfast fundraiser and also heard gunfire.</v>
      </c>
      <c r="AA23" s="8" t="str">
        <f ca="1">IFERROR(__xludf.DUMMYFUNCTION("""COMPUTED_VALUE"""),"Escalation of Dispute")</f>
        <v>Escalation of Dispute</v>
      </c>
      <c r="AB23" s="8" t="str">
        <f ca="1">IFERROR(__xludf.DUMMYFUNCTION("""COMPUTED_VALUE"""),"Spontaneous")</f>
        <v>Spontaneous</v>
      </c>
      <c r="AC23" s="8" t="str">
        <f ca="1">IFERROR(__xludf.DUMMYFUNCTION("""COMPUTED_VALUE"""),"Yes")</f>
        <v>Yes</v>
      </c>
      <c r="AD23" s="8" t="str">
        <f ca="1">IFERROR(__xludf.DUMMYFUNCTION("""COMPUTED_VALUE"""),"Victims Targeted")</f>
        <v>Victims Targeted</v>
      </c>
      <c r="AE23" s="8"/>
      <c r="AF23" s="8"/>
      <c r="AG23" s="8" t="str">
        <f ca="1">IFERROR(__xludf.DUMMYFUNCTION("""COMPUTED_VALUE"""),"No")</f>
        <v>No</v>
      </c>
      <c r="AH23" s="8" t="str">
        <f ca="1">IFERROR(__xludf.DUMMYFUNCTION("""COMPUTED_VALUE"""),"No")</f>
        <v>No</v>
      </c>
      <c r="AI23" s="8" t="str">
        <f ca="1">IFERROR(__xludf.DUMMYFUNCTION("""COMPUTED_VALUE"""),"No")</f>
        <v>No</v>
      </c>
      <c r="AJ23" s="8" t="str">
        <f ca="1">IFERROR(__xludf.DUMMYFUNCTION("""COMPUTED_VALUE"""),"No")</f>
        <v>No</v>
      </c>
      <c r="AK23" s="8" t="str">
        <f ca="1">IFERROR(__xludf.DUMMYFUNCTION("""COMPUTED_VALUE"""),"No")</f>
        <v>No</v>
      </c>
      <c r="AL23" s="8"/>
      <c r="AM23" s="8" t="str">
        <f ca="1">IFERROR(__xludf.DUMMYFUNCTION("""COMPUTED_VALUE"""),"No")</f>
        <v>No</v>
      </c>
      <c r="AN23" s="8" t="str">
        <f ca="1">IFERROR(__xludf.DUMMYFUNCTION("""COMPUTED_VALUE"""),"Outside")</f>
        <v>Outside</v>
      </c>
      <c r="AO23" s="8" t="str">
        <f ca="1">IFERROR(__xludf.DUMMYFUNCTION("""COMPUTED_VALUE"""),"No")</f>
        <v>No</v>
      </c>
      <c r="AP23" s="8"/>
      <c r="AQ23" s="8"/>
      <c r="AR23" s="8" t="str">
        <f ca="1">IFERROR(__xludf.DUMMYFUNCTION("""COMPUTED_VALUE"""),"Outside/Off-Property")</f>
        <v>Outside/Off-Property</v>
      </c>
      <c r="AS23" s="8">
        <f ca="1">IFERROR(__xludf.DUMMYFUNCTION("""COMPUTED_VALUE"""),99)</f>
        <v>99</v>
      </c>
      <c r="AT23" s="8" t="str">
        <f ca="1">IFERROR(__xludf.DUMMYFUNCTION("""COMPUTED_VALUE"""),"No")</f>
        <v>No</v>
      </c>
      <c r="AU23" s="8">
        <f ca="1">IFERROR(__xludf.DUMMYFUNCTION("""COMPUTED_VALUE"""),39.760992)</f>
        <v>39.760992000000002</v>
      </c>
      <c r="AV23" s="8">
        <f ca="1">IFERROR(__xludf.DUMMYFUNCTION("""COMPUTED_VALUE"""),-105.021907)</f>
        <v>-105.021907</v>
      </c>
      <c r="AW23" s="8" t="str">
        <f ca="1">IFERROR(__xludf.DUMMYFUNCTION("""COMPUTED_VALUE"""),"Multiple detached buildings")</f>
        <v>Multiple detached buildings</v>
      </c>
      <c r="AX23" s="8">
        <f ca="1">IFERROR(__xludf.DUMMYFUNCTION("""COMPUTED_VALUE"""),80211)</f>
        <v>80211</v>
      </c>
    </row>
    <row r="24" spans="1:50" ht="225" x14ac:dyDescent="0.2">
      <c r="A24" s="8" t="str">
        <f ca="1">IFERROR(__xludf.DUMMYFUNCTION("""COMPUTED_VALUE"""),"20250829CALIL")</f>
        <v>20250829CALIL</v>
      </c>
      <c r="B24" s="8">
        <f ca="1">IFERROR(__xludf.DUMMYFUNCTION("""COMPUTED_VALUE"""),8)</f>
        <v>8</v>
      </c>
      <c r="C24" s="8">
        <f ca="1">IFERROR(__xludf.DUMMYFUNCTION("""COMPUTED_VALUE"""),29)</f>
        <v>29</v>
      </c>
      <c r="D24" s="8">
        <f ca="1">IFERROR(__xludf.DUMMYFUNCTION("""COMPUTED_VALUE"""),2025)</f>
        <v>2025</v>
      </c>
      <c r="E24" s="9">
        <f ca="1">IFERROR(__xludf.DUMMYFUNCTION("""COMPUTED_VALUE"""),45898)</f>
        <v>45898</v>
      </c>
      <c r="F24" s="8" t="str">
        <f ca="1">IFERROR(__xludf.DUMMYFUNCTION("""COMPUTED_VALUE"""),"Livingston High School")</f>
        <v>Livingston High School</v>
      </c>
      <c r="G24" s="8">
        <f ca="1">IFERROR(__xludf.DUMMYFUNCTION("""COMPUTED_VALUE"""),1)</f>
        <v>1</v>
      </c>
      <c r="H24" s="8">
        <f ca="1">IFERROR(__xludf.DUMMYFUNCTION("""COMPUTED_VALUE"""),1)</f>
        <v>1</v>
      </c>
      <c r="I24" s="8">
        <f ca="1">IFERROR(__xludf.DUMMYFUNCTION("""COMPUTED_VALUE"""),2)</f>
        <v>2</v>
      </c>
      <c r="J24" s="8">
        <f ca="1">IFERROR(__xludf.DUMMYFUNCTION("""COMPUTED_VALUE"""),0)</f>
        <v>0</v>
      </c>
      <c r="K24" s="8" t="str">
        <f ca="1">IFERROR(__xludf.DUMMYFUNCTION("""COMPUTED_VALUE"""),"https://www.yourcentralvalley.com/news/crime/teen-suspect-livingston-shooting/
https://abc30.com/post/teen-arrested-double-shooting-livingston-high-school-police-say/17732060/
https://www.yourcentralvalley.com/news/local-news/2-men-shot-outside-football-g"&amp;"ame-in-livingston-police-say/")</f>
        <v>https://www.yourcentralvalley.com/news/crime/teen-suspect-livingston-shooting/
https://abc30.com/post/teen-arrested-double-shooting-livingston-high-school-police-say/17732060/
https://www.yourcentralvalley.com/news/local-news/2-men-shot-outside-football-game-in-livingston-police-say/</v>
      </c>
      <c r="L24" s="8">
        <f ca="1">IFERROR(__xludf.DUMMYFUNCTION("""COMPUTED_VALUE"""),3)</f>
        <v>3</v>
      </c>
      <c r="M24" s="8" t="str">
        <f ca="1">IFERROR(__xludf.DUMMYFUNCTION("""COMPUTED_VALUE"""),"Local")</f>
        <v>Local</v>
      </c>
      <c r="N24" s="8">
        <f ca="1">IFERROR(__xludf.DUMMYFUNCTION("""COMPUTED_VALUE"""),3)</f>
        <v>3</v>
      </c>
      <c r="O24" s="8" t="str">
        <f ca="1">IFERROR(__xludf.DUMMYFUNCTION("""COMPUTED_VALUE"""),"Summer")</f>
        <v>Summer</v>
      </c>
      <c r="P24" s="8" t="str">
        <f ca="1">IFERROR(__xludf.DUMMYFUNCTION("""COMPUTED_VALUE"""),"Livingston")</f>
        <v>Livingston</v>
      </c>
      <c r="Q24" s="8" t="str">
        <f ca="1">IFERROR(__xludf.DUMMYFUNCTION("""COMPUTED_VALUE"""),"CA")</f>
        <v>CA</v>
      </c>
      <c r="R24" s="8" t="str">
        <f ca="1">IFERROR(__xludf.DUMMYFUNCTION("""COMPUTED_VALUE"""),"High")</f>
        <v>High</v>
      </c>
      <c r="S24" s="8" t="str">
        <f ca="1">IFERROR(__xludf.DUMMYFUNCTION("""COMPUTED_VALUE"""),"Football Field/Track")</f>
        <v>Football Field/Track</v>
      </c>
      <c r="T24" s="8" t="str">
        <f ca="1">IFERROR(__xludf.DUMMYFUNCTION("""COMPUTED_VALUE"""),"Outside on School Property")</f>
        <v>Outside on School Property</v>
      </c>
      <c r="U24" s="8" t="str">
        <f ca="1">IFERROR(__xludf.DUMMYFUNCTION("""COMPUTED_VALUE"""),"No")</f>
        <v>No</v>
      </c>
      <c r="V24" s="8" t="str">
        <f ca="1">IFERROR(__xludf.DUMMYFUNCTION("""COMPUTED_VALUE"""),"Sport Event")</f>
        <v>Sport Event</v>
      </c>
      <c r="W24" s="11">
        <f ca="1">IFERROR(__xludf.DUMMYFUNCTION("""COMPUTED_VALUE"""),0.885416666666666)</f>
        <v>0.88541666666666596</v>
      </c>
      <c r="X24" s="8">
        <f ca="1">IFERROR(__xludf.DUMMYFUNCTION("""COMPUTED_VALUE"""),1)</f>
        <v>1</v>
      </c>
      <c r="Y24" s="12" t="str">
        <f ca="1">IFERROR(__xludf.DUMMYFUNCTION("""COMPUTED_VALUE"""),"Student shot two men outside the football stadium during a game")</f>
        <v>Student shot two men outside the football stadium during a game</v>
      </c>
      <c r="Z24" s="12" t="str">
        <f ca="1">IFERROR(__xludf.DUMMYFUNCTION("""COMPUTED_VALUE"""),"Two men were hospitalized Friday night after being shot outside of a high school football game that was wrapping up, the Livingston Police Department said. Around 9:15 p.m., on-duty Merced County Sheriff’s deputies heard shots ring out outside the Livings"&amp;"ton High School football stadium. In response, officers with the Livingston Police Department were dispatched to the area of Main and Park Streets to investigate. Upon their arrival, they say they found two men who had been struck by gunfire. Both were tr"&amp;"ansported to area trauma centers for treatment. Police said one of the men has since been released from the hospital, while the other continues to receive medical care for his injuries. According to officers, the shooting was a result of an altercation th"&amp;"at began inside the football stadium and continued on near Memorial Park.")</f>
        <v>Two men were hospitalized Friday night after being shot outside of a high school football game that was wrapping up, the Livingston Police Department said. Around 9:15 p.m., on-duty Merced County Sheriff’s deputies heard shots ring out outside the Livingston High School football stadium. In response, officers with the Livingston Police Department were dispatched to the area of Main and Park Streets to investigate. Upon their arrival, they say they found two men who had been struck by gunfire. Both were transported to area trauma centers for treatment. Police said one of the men has since been released from the hospital, while the other continues to receive medical care for his injuries. According to officers, the shooting was a result of an altercation that began inside the football stadium and continued on near Memorial Park.</v>
      </c>
      <c r="AA24" s="8" t="str">
        <f ca="1">IFERROR(__xludf.DUMMYFUNCTION("""COMPUTED_VALUE"""),"Escalation of Dispute")</f>
        <v>Escalation of Dispute</v>
      </c>
      <c r="AB24" s="8" t="str">
        <f ca="1">IFERROR(__xludf.DUMMYFUNCTION("""COMPUTED_VALUE"""),"Spontaneous")</f>
        <v>Spontaneous</v>
      </c>
      <c r="AC24" s="8" t="str">
        <f ca="1">IFERROR(__xludf.DUMMYFUNCTION("""COMPUTED_VALUE"""),"Yes")</f>
        <v>Yes</v>
      </c>
      <c r="AD24" s="8" t="str">
        <f ca="1">IFERROR(__xludf.DUMMYFUNCTION("""COMPUTED_VALUE"""),"Victims Targeted")</f>
        <v>Victims Targeted</v>
      </c>
      <c r="AE24" s="8" t="str">
        <f ca="1">IFERROR(__xludf.DUMMYFUNCTION("""COMPUTED_VALUE"""),"No")</f>
        <v>No</v>
      </c>
      <c r="AF24" s="8"/>
      <c r="AG24" s="8" t="str">
        <f ca="1">IFERROR(__xludf.DUMMYFUNCTION("""COMPUTED_VALUE"""),"No")</f>
        <v>No</v>
      </c>
      <c r="AH24" s="8" t="str">
        <f ca="1">IFERROR(__xludf.DUMMYFUNCTION("""COMPUTED_VALUE"""),"No")</f>
        <v>No</v>
      </c>
      <c r="AI24" s="8" t="str">
        <f ca="1">IFERROR(__xludf.DUMMYFUNCTION("""COMPUTED_VALUE"""),"No")</f>
        <v>No</v>
      </c>
      <c r="AJ24" s="8" t="str">
        <f ca="1">IFERROR(__xludf.DUMMYFUNCTION("""COMPUTED_VALUE"""),"No")</f>
        <v>No</v>
      </c>
      <c r="AK24" s="8" t="str">
        <f ca="1">IFERROR(__xludf.DUMMYFUNCTION("""COMPUTED_VALUE"""),"No")</f>
        <v>No</v>
      </c>
      <c r="AL24" s="8"/>
      <c r="AM24" s="8" t="str">
        <f ca="1">IFERROR(__xludf.DUMMYFUNCTION("""COMPUTED_VALUE"""),"No")</f>
        <v>No</v>
      </c>
      <c r="AN24" s="8" t="str">
        <f ca="1">IFERROR(__xludf.DUMMYFUNCTION("""COMPUTED_VALUE"""),"Outside")</f>
        <v>Outside</v>
      </c>
      <c r="AO24" s="8" t="str">
        <f ca="1">IFERROR(__xludf.DUMMYFUNCTION("""COMPUTED_VALUE"""),"No")</f>
        <v>No</v>
      </c>
      <c r="AP24" s="8" t="str">
        <f ca="1">IFERROR(__xludf.DUMMYFUNCTION("""COMPUTED_VALUE"""),"Yes")</f>
        <v>Yes</v>
      </c>
      <c r="AQ24" s="8" t="str">
        <f ca="1">IFERROR(__xludf.DUMMYFUNCTION("""COMPUTED_VALUE"""),"Armed Guards")</f>
        <v>Armed Guards</v>
      </c>
      <c r="AR24" s="8" t="str">
        <f ca="1">IFERROR(__xludf.DUMMYFUNCTION("""COMPUTED_VALUE"""),"Outside/Off-Property")</f>
        <v>Outside/Off-Property</v>
      </c>
      <c r="AS24" s="8">
        <f ca="1">IFERROR(__xludf.DUMMYFUNCTION("""COMPUTED_VALUE"""),99)</f>
        <v>99</v>
      </c>
      <c r="AT24" s="8" t="str">
        <f ca="1">IFERROR(__xludf.DUMMYFUNCTION("""COMPUTED_VALUE"""),"No")</f>
        <v>No</v>
      </c>
      <c r="AU24" s="8">
        <f ca="1">IFERROR(__xludf.DUMMYFUNCTION("""COMPUTED_VALUE"""),37.377843)</f>
        <v>37.377842999999999</v>
      </c>
      <c r="AV24" s="8">
        <f ca="1">IFERROR(__xludf.DUMMYFUNCTION("""COMPUTED_VALUE"""),-120.721209)</f>
        <v>-120.721209</v>
      </c>
      <c r="AW24" s="8" t="str">
        <f ca="1">IFERROR(__xludf.DUMMYFUNCTION("""COMPUTED_VALUE"""),"Multiple detached buildings")</f>
        <v>Multiple detached buildings</v>
      </c>
      <c r="AX24" s="8">
        <f ca="1">IFERROR(__xludf.DUMMYFUNCTION("""COMPUTED_VALUE"""),95334)</f>
        <v>95334</v>
      </c>
    </row>
    <row r="25" spans="1:50" ht="120" x14ac:dyDescent="0.2">
      <c r="A25" s="8" t="str">
        <f ca="1">IFERROR(__xludf.DUMMYFUNCTION("""COMPUTED_VALUE"""),"20250828MOBLS")</f>
        <v>20250828MOBLS</v>
      </c>
      <c r="B25" s="8">
        <f ca="1">IFERROR(__xludf.DUMMYFUNCTION("""COMPUTED_VALUE"""),8)</f>
        <v>8</v>
      </c>
      <c r="C25" s="8">
        <f ca="1">IFERROR(__xludf.DUMMYFUNCTION("""COMPUTED_VALUE"""),28)</f>
        <v>28</v>
      </c>
      <c r="D25" s="8">
        <f ca="1">IFERROR(__xludf.DUMMYFUNCTION("""COMPUTED_VALUE"""),2025)</f>
        <v>2025</v>
      </c>
      <c r="E25" s="9">
        <f ca="1">IFERROR(__xludf.DUMMYFUNCTION("""COMPUTED_VALUE"""),45897)</f>
        <v>45897</v>
      </c>
      <c r="F25" s="8" t="str">
        <f ca="1">IFERROR(__xludf.DUMMYFUNCTION("""COMPUTED_VALUE"""),"Blue Valley Middle School")</f>
        <v>Blue Valley Middle School</v>
      </c>
      <c r="G25" s="8">
        <f ca="1">IFERROR(__xludf.DUMMYFUNCTION("""COMPUTED_VALUE"""),0)</f>
        <v>0</v>
      </c>
      <c r="H25" s="8">
        <f ca="1">IFERROR(__xludf.DUMMYFUNCTION("""COMPUTED_VALUE"""),0)</f>
        <v>0</v>
      </c>
      <c r="I25" s="8">
        <f ca="1">IFERROR(__xludf.DUMMYFUNCTION("""COMPUTED_VALUE"""),0)</f>
        <v>0</v>
      </c>
      <c r="J25" s="8">
        <f ca="1">IFERROR(__xludf.DUMMYFUNCTION("""COMPUTED_VALUE"""),0)</f>
        <v>0</v>
      </c>
      <c r="K25" s="10" t="str">
        <f ca="1">IFERROR(__xludf.DUMMYFUNCTION("""COMPUTED_VALUE"""),"https://www.kshb.com/news/crime/police-boy-accidentally-fires-gun-thursday-outside-of-blue-valley-middle-school")</f>
        <v>https://www.kshb.com/news/crime/police-boy-accidentally-fires-gun-thursday-outside-of-blue-valley-middle-school</v>
      </c>
      <c r="L25" s="8">
        <f ca="1">IFERROR(__xludf.DUMMYFUNCTION("""COMPUTED_VALUE"""),2)</f>
        <v>2</v>
      </c>
      <c r="M25" s="8" t="str">
        <f ca="1">IFERROR(__xludf.DUMMYFUNCTION("""COMPUTED_VALUE"""),"Local")</f>
        <v>Local</v>
      </c>
      <c r="N25" s="8">
        <f ca="1">IFERROR(__xludf.DUMMYFUNCTION("""COMPUTED_VALUE"""),4)</f>
        <v>4</v>
      </c>
      <c r="O25" s="8" t="str">
        <f ca="1">IFERROR(__xludf.DUMMYFUNCTION("""COMPUTED_VALUE"""),"Summer")</f>
        <v>Summer</v>
      </c>
      <c r="P25" s="8" t="str">
        <f ca="1">IFERROR(__xludf.DUMMYFUNCTION("""COMPUTED_VALUE"""),"Stilwell")</f>
        <v>Stilwell</v>
      </c>
      <c r="Q25" s="8" t="str">
        <f ca="1">IFERROR(__xludf.DUMMYFUNCTION("""COMPUTED_VALUE"""),"MO")</f>
        <v>MO</v>
      </c>
      <c r="R25" s="8" t="str">
        <f ca="1">IFERROR(__xludf.DUMMYFUNCTION("""COMPUTED_VALUE"""),"Middle")</f>
        <v>Middle</v>
      </c>
      <c r="S25" s="8" t="str">
        <f ca="1">IFERROR(__xludf.DUMMYFUNCTION("""COMPUTED_VALUE"""),"Parking Lot")</f>
        <v>Parking Lot</v>
      </c>
      <c r="T25" s="8" t="str">
        <f ca="1">IFERROR(__xludf.DUMMYFUNCTION("""COMPUTED_VALUE"""),"Outside on School Property")</f>
        <v>Outside on School Property</v>
      </c>
      <c r="U25" s="8" t="str">
        <f ca="1">IFERROR(__xludf.DUMMYFUNCTION("""COMPUTED_VALUE"""),"No")</f>
        <v>No</v>
      </c>
      <c r="V25" s="8" t="str">
        <f ca="1">IFERROR(__xludf.DUMMYFUNCTION("""COMPUTED_VALUE"""),"Sport Event")</f>
        <v>Sport Event</v>
      </c>
      <c r="W25" s="11">
        <f ca="1">IFERROR(__xludf.DUMMYFUNCTION("""COMPUTED_VALUE"""),0.75)</f>
        <v>0.75</v>
      </c>
      <c r="X25" s="8">
        <f ca="1">IFERROR(__xludf.DUMMYFUNCTION("""COMPUTED_VALUE"""),1)</f>
        <v>1</v>
      </c>
      <c r="Y25" s="12" t="str">
        <f ca="1">IFERROR(__xludf.DUMMYFUNCTION("""COMPUTED_VALUE"""),"Child fired a gun he found inside a car during football pratice")</f>
        <v>Child fired a gun he found inside a car during football pratice</v>
      </c>
      <c r="Z25" s="12" t="str">
        <f ca="1">IFERROR(__xludf.DUMMYFUNCTION("""COMPUTED_VALUE"""),"Police in Overland Park say a boy accidentally fired a gun he found in his parents' car Thursday afternoon near Blue Valley Middle School. A police spokesperson said the boy and a parent were inside a car watching the boy’s brother practice when the boy f"&amp;"ound the gun in the car. Police say the boy fired the gun in the car, and the bullet went into the ground. It did not appear as if the boy was aiming or shooting at anyone. No injuries were reported.")</f>
        <v>Police in Overland Park say a boy accidentally fired a gun he found in his parents' car Thursday afternoon near Blue Valley Middle School. A police spokesperson said the boy and a parent were inside a car watching the boy’s brother practice when the boy found the gun in the car. Police say the boy fired the gun in the car, and the bullet went into the ground. It did not appear as if the boy was aiming or shooting at anyone. No injuries were reported.</v>
      </c>
      <c r="AA25" s="8" t="str">
        <f ca="1">IFERROR(__xludf.DUMMYFUNCTION("""COMPUTED_VALUE"""),"Accidental")</f>
        <v>Accidental</v>
      </c>
      <c r="AB25" s="8" t="str">
        <f ca="1">IFERROR(__xludf.DUMMYFUNCTION("""COMPUTED_VALUE"""),"Spontaneous")</f>
        <v>Spontaneous</v>
      </c>
      <c r="AC25" s="8" t="str">
        <f ca="1">IFERROR(__xludf.DUMMYFUNCTION("""COMPUTED_VALUE"""),"Yes")</f>
        <v>Yes</v>
      </c>
      <c r="AD25" s="8" t="str">
        <f ca="1">IFERROR(__xludf.DUMMYFUNCTION("""COMPUTED_VALUE"""),"Neither")</f>
        <v>Neither</v>
      </c>
      <c r="AE25" s="8" t="str">
        <f ca="1">IFERROR(__xludf.DUMMYFUNCTION("""COMPUTED_VALUE"""),"No")</f>
        <v>No</v>
      </c>
      <c r="AF25" s="8"/>
      <c r="AG25" s="8" t="str">
        <f ca="1">IFERROR(__xludf.DUMMYFUNCTION("""COMPUTED_VALUE"""),"No")</f>
        <v>No</v>
      </c>
      <c r="AH25" s="8" t="str">
        <f ca="1">IFERROR(__xludf.DUMMYFUNCTION("""COMPUTED_VALUE"""),"No")</f>
        <v>No</v>
      </c>
      <c r="AI25" s="8" t="str">
        <f ca="1">IFERROR(__xludf.DUMMYFUNCTION("""COMPUTED_VALUE"""),"No")</f>
        <v>No</v>
      </c>
      <c r="AJ25" s="8" t="str">
        <f ca="1">IFERROR(__xludf.DUMMYFUNCTION("""COMPUTED_VALUE"""),"No")</f>
        <v>No</v>
      </c>
      <c r="AK25" s="8" t="str">
        <f ca="1">IFERROR(__xludf.DUMMYFUNCTION("""COMPUTED_VALUE"""),"No")</f>
        <v>No</v>
      </c>
      <c r="AL25" s="8" t="str">
        <f ca="1">IFERROR(__xludf.DUMMYFUNCTION("""COMPUTED_VALUE"""),"No")</f>
        <v>No</v>
      </c>
      <c r="AM25" s="8" t="str">
        <f ca="1">IFERROR(__xludf.DUMMYFUNCTION("""COMPUTED_VALUE"""),"No")</f>
        <v>No</v>
      </c>
      <c r="AN25" s="8" t="str">
        <f ca="1">IFERROR(__xludf.DUMMYFUNCTION("""COMPUTED_VALUE"""),"Outside")</f>
        <v>Outside</v>
      </c>
      <c r="AO25" s="8" t="str">
        <f ca="1">IFERROR(__xludf.DUMMYFUNCTION("""COMPUTED_VALUE"""),"No")</f>
        <v>No</v>
      </c>
      <c r="AP25" s="8"/>
      <c r="AQ25" s="8"/>
      <c r="AR25" s="8" t="str">
        <f ca="1">IFERROR(__xludf.DUMMYFUNCTION("""COMPUTED_VALUE"""),"Outside/Off-Property")</f>
        <v>Outside/Off-Property</v>
      </c>
      <c r="AS25" s="8">
        <f ca="1">IFERROR(__xludf.DUMMYFUNCTION("""COMPUTED_VALUE"""),1)</f>
        <v>1</v>
      </c>
      <c r="AT25" s="8" t="str">
        <f ca="1">IFERROR(__xludf.DUMMYFUNCTION("""COMPUTED_VALUE"""),"No")</f>
        <v>No</v>
      </c>
      <c r="AU25" s="8">
        <f ca="1">IFERROR(__xludf.DUMMYFUNCTION("""COMPUTED_VALUE"""),38.832776)</f>
        <v>38.832776000000003</v>
      </c>
      <c r="AV25" s="8">
        <f ca="1">IFERROR(__xludf.DUMMYFUNCTION("""COMPUTED_VALUE"""),-94.642638)</f>
        <v>-94.642638000000005</v>
      </c>
      <c r="AW25" s="8" t="str">
        <f ca="1">IFERROR(__xludf.DUMMYFUNCTION("""COMPUTED_VALUE"""),"Multiple attached buildings")</f>
        <v>Multiple attached buildings</v>
      </c>
      <c r="AX25" s="8">
        <f ca="1">IFERROR(__xludf.DUMMYFUNCTION("""COMPUTED_VALUE"""),66085)</f>
        <v>66085</v>
      </c>
    </row>
    <row r="26" spans="1:50" ht="180" x14ac:dyDescent="0.2">
      <c r="A26" s="8" t="str">
        <f ca="1">IFERROR(__xludf.DUMMYFUNCTION("""COMPUTED_VALUE"""),"20250828CAWIF")</f>
        <v>20250828CAWIF</v>
      </c>
      <c r="B26" s="8">
        <f ca="1">IFERROR(__xludf.DUMMYFUNCTION("""COMPUTED_VALUE"""),8)</f>
        <v>8</v>
      </c>
      <c r="C26" s="8">
        <f ca="1">IFERROR(__xludf.DUMMYFUNCTION("""COMPUTED_VALUE"""),29)</f>
        <v>29</v>
      </c>
      <c r="D26" s="8">
        <f ca="1">IFERROR(__xludf.DUMMYFUNCTION("""COMPUTED_VALUE"""),2025)</f>
        <v>2025</v>
      </c>
      <c r="E26" s="9">
        <f ca="1">IFERROR(__xludf.DUMMYFUNCTION("""COMPUTED_VALUE"""),45897)</f>
        <v>45897</v>
      </c>
      <c r="F26" s="8" t="str">
        <f ca="1">IFERROR(__xludf.DUMMYFUNCTION("""COMPUTED_VALUE"""),"Wilson Elementary School")</f>
        <v>Wilson Elementary School</v>
      </c>
      <c r="G26" s="8">
        <f ca="1">IFERROR(__xludf.DUMMYFUNCTION("""COMPUTED_VALUE"""),0)</f>
        <v>0</v>
      </c>
      <c r="H26" s="8">
        <f ca="1">IFERROR(__xludf.DUMMYFUNCTION("""COMPUTED_VALUE"""),0)</f>
        <v>0</v>
      </c>
      <c r="I26" s="8">
        <f ca="1">IFERROR(__xludf.DUMMYFUNCTION("""COMPUTED_VALUE"""),0)</f>
        <v>0</v>
      </c>
      <c r="J26" s="8">
        <f ca="1">IFERROR(__xludf.DUMMYFUNCTION("""COMPUTED_VALUE"""),0)</f>
        <v>0</v>
      </c>
      <c r="K26" s="8" t="str">
        <f ca="1">IFERROR(__xludf.DUMMYFUNCTION("""COMPUTED_VALUE"""),"https://abc30.com/post/person-detained-police-wilson-elementary-central-fresno/17675931/
https://www.yourcentralvalley.com/news/local-news/fresno-6th-grader-with-replica-gun-causes-lockdown-at-school/
https://kmph.com/news/local/school-locked-down-after-s"&amp;"tudent-shows-up-with-gun-at-fresno-elementary-school")</f>
        <v>https://abc30.com/post/person-detained-police-wilson-elementary-central-fresno/17675931/
https://www.yourcentralvalley.com/news/local-news/fresno-6th-grader-with-replica-gun-causes-lockdown-at-school/
https://kmph.com/news/local/school-locked-down-after-student-shows-up-with-gun-at-fresno-elementary-school</v>
      </c>
      <c r="L26" s="8">
        <f ca="1">IFERROR(__xludf.DUMMYFUNCTION("""COMPUTED_VALUE"""),20)</f>
        <v>20</v>
      </c>
      <c r="M26" s="8" t="str">
        <f ca="1">IFERROR(__xludf.DUMMYFUNCTION("""COMPUTED_VALUE"""),"Regional")</f>
        <v>Regional</v>
      </c>
      <c r="N26" s="8">
        <f ca="1">IFERROR(__xludf.DUMMYFUNCTION("""COMPUTED_VALUE"""),4)</f>
        <v>4</v>
      </c>
      <c r="O26" s="8" t="str">
        <f ca="1">IFERROR(__xludf.DUMMYFUNCTION("""COMPUTED_VALUE"""),"Summer")</f>
        <v>Summer</v>
      </c>
      <c r="P26" s="8" t="str">
        <f ca="1">IFERROR(__xludf.DUMMYFUNCTION("""COMPUTED_VALUE"""),"Fresno")</f>
        <v>Fresno</v>
      </c>
      <c r="Q26" s="8" t="str">
        <f ca="1">IFERROR(__xludf.DUMMYFUNCTION("""COMPUTED_VALUE"""),"CA")</f>
        <v>CA</v>
      </c>
      <c r="R26" s="8" t="str">
        <f ca="1">IFERROR(__xludf.DUMMYFUNCTION("""COMPUTED_VALUE"""),"Elementary")</f>
        <v>Elementary</v>
      </c>
      <c r="S26" s="8" t="str">
        <f ca="1">IFERROR(__xludf.DUMMYFUNCTION("""COMPUTED_VALUE"""),"Beside Building")</f>
        <v>Beside Building</v>
      </c>
      <c r="T26" s="8" t="str">
        <f ca="1">IFERROR(__xludf.DUMMYFUNCTION("""COMPUTED_VALUE"""),"Outside on School Property")</f>
        <v>Outside on School Property</v>
      </c>
      <c r="U26" s="8" t="str">
        <f ca="1">IFERROR(__xludf.DUMMYFUNCTION("""COMPUTED_VALUE"""),"Yes")</f>
        <v>Yes</v>
      </c>
      <c r="V26" s="8" t="str">
        <f ca="1">IFERROR(__xludf.DUMMYFUNCTION("""COMPUTED_VALUE"""),"Afternoon Classes")</f>
        <v>Afternoon Classes</v>
      </c>
      <c r="W26" s="11">
        <f ca="1">IFERROR(__xludf.DUMMYFUNCTION("""COMPUTED_VALUE"""),0.559027777777777)</f>
        <v>0.55902777777777701</v>
      </c>
      <c r="X26" s="8">
        <f ca="1">IFERROR(__xludf.DUMMYFUNCTION("""COMPUTED_VALUE"""),1)</f>
        <v>1</v>
      </c>
      <c r="Y26" s="12" t="str">
        <f ca="1">IFERROR(__xludf.DUMMYFUNCTION("""COMPUTED_VALUE"""),"Student pointing replica handgun at the school's office caused 30 minute standoff with police")</f>
        <v>Student pointing replica handgun at the school's office caused 30 minute standoff with police</v>
      </c>
      <c r="Z26" s="12" t="str">
        <f ca="1">IFERROR(__xludf.DUMMYFUNCTION("""COMPUTED_VALUE"""),"A sixth grader who was distraught had a replica gun at Wilson Elementary School in Fresno, causing the school to go on lockdown Thursday, police said. At around 1:25 p.m., officers received reports of a juvenile with a gun at the elementary school at Ashl"&amp;"an Avenue and Hughes Avenue. Police said that the sixth grader was distraught due to something that had happened at school. The juvenile had a replica gun and pointed it at officers multiple times. Fresno Police’s crisis negotiation team talked to him and"&amp;" were able to get him to put the replica gun down after 30 minutes. No shots were fired. Police said that there were no reported injuries, and the sixth grader was taken into custody.")</f>
        <v>A sixth grader who was distraught had a replica gun at Wilson Elementary School in Fresno, causing the school to go on lockdown Thursday, police said. At around 1:25 p.m., officers received reports of a juvenile with a gun at the elementary school at Ashlan Avenue and Hughes Avenue. Police said that the sixth grader was distraught due to something that had happened at school. The juvenile had a replica gun and pointed it at officers multiple times. Fresno Police’s crisis negotiation team talked to him and were able to get him to put the replica gun down after 30 minutes. No shots were fired. Police said that there were no reported injuries, and the sixth grader was taken into custody.</v>
      </c>
      <c r="AA26" s="8" t="str">
        <f ca="1">IFERROR(__xludf.DUMMYFUNCTION("""COMPUTED_VALUE"""),"Hostage/Standoff")</f>
        <v>Hostage/Standoff</v>
      </c>
      <c r="AB26" s="8" t="str">
        <f ca="1">IFERROR(__xludf.DUMMYFUNCTION("""COMPUTED_VALUE"""),"Active Shooter/Planned Attack")</f>
        <v>Active Shooter/Planned Attack</v>
      </c>
      <c r="AC26" s="8" t="str">
        <f ca="1">IFERROR(__xludf.DUMMYFUNCTION("""COMPUTED_VALUE"""),"Yes")</f>
        <v>Yes</v>
      </c>
      <c r="AD26" s="8" t="str">
        <f ca="1">IFERROR(__xludf.DUMMYFUNCTION("""COMPUTED_VALUE"""),"Neither")</f>
        <v>Neither</v>
      </c>
      <c r="AE26" s="8" t="str">
        <f ca="1">IFERROR(__xludf.DUMMYFUNCTION("""COMPUTED_VALUE"""),"No")</f>
        <v>No</v>
      </c>
      <c r="AF26" s="8"/>
      <c r="AG26" s="8" t="str">
        <f ca="1">IFERROR(__xludf.DUMMYFUNCTION("""COMPUTED_VALUE"""),"No")</f>
        <v>No</v>
      </c>
      <c r="AH26" s="8" t="str">
        <f ca="1">IFERROR(__xludf.DUMMYFUNCTION("""COMPUTED_VALUE"""),"No")</f>
        <v>No</v>
      </c>
      <c r="AI26" s="8" t="str">
        <f ca="1">IFERROR(__xludf.DUMMYFUNCTION("""COMPUTED_VALUE"""),"No")</f>
        <v>No</v>
      </c>
      <c r="AJ26" s="8"/>
      <c r="AK26" s="8" t="str">
        <f ca="1">IFERROR(__xludf.DUMMYFUNCTION("""COMPUTED_VALUE"""),"No")</f>
        <v>No</v>
      </c>
      <c r="AL26" s="8" t="str">
        <f ca="1">IFERROR(__xludf.DUMMYFUNCTION("""COMPUTED_VALUE"""),"No")</f>
        <v>No</v>
      </c>
      <c r="AM26" s="8" t="str">
        <f ca="1">IFERROR(__xludf.DUMMYFUNCTION("""COMPUTED_VALUE"""),"Yes")</f>
        <v>Yes</v>
      </c>
      <c r="AN26" s="8" t="str">
        <f ca="1">IFERROR(__xludf.DUMMYFUNCTION("""COMPUTED_VALUE"""),"Outside")</f>
        <v>Outside</v>
      </c>
      <c r="AO26" s="8"/>
      <c r="AP26" s="8" t="str">
        <f ca="1">IFERROR(__xludf.DUMMYFUNCTION("""COMPUTED_VALUE"""),"Yes")</f>
        <v>Yes</v>
      </c>
      <c r="AQ26" s="8"/>
      <c r="AR26" s="8" t="str">
        <f ca="1">IFERROR(__xludf.DUMMYFUNCTION("""COMPUTED_VALUE"""),"Outside/Off-Property")</f>
        <v>Outside/Off-Property</v>
      </c>
      <c r="AS26" s="8">
        <f ca="1">IFERROR(__xludf.DUMMYFUNCTION("""COMPUTED_VALUE"""),0)</f>
        <v>0</v>
      </c>
      <c r="AT26" s="8" t="str">
        <f ca="1">IFERROR(__xludf.DUMMYFUNCTION("""COMPUTED_VALUE"""),"Yes")</f>
        <v>Yes</v>
      </c>
      <c r="AU26" s="8">
        <f ca="1">IFERROR(__xludf.DUMMYFUNCTION("""COMPUTED_VALUE"""),36.79303)</f>
        <v>36.793030000000002</v>
      </c>
      <c r="AV26" s="8">
        <f ca="1">IFERROR(__xludf.DUMMYFUNCTION("""COMPUTED_VALUE"""),-119.836536)</f>
        <v>-119.836536</v>
      </c>
      <c r="AW26" s="8" t="str">
        <f ca="1">IFERROR(__xludf.DUMMYFUNCTION("""COMPUTED_VALUE"""),"Multiple detached buildings")</f>
        <v>Multiple detached buildings</v>
      </c>
      <c r="AX26" s="8">
        <f ca="1">IFERROR(__xludf.DUMMYFUNCTION("""COMPUTED_VALUE"""),93705)</f>
        <v>93705</v>
      </c>
    </row>
    <row r="27" spans="1:50" ht="405" x14ac:dyDescent="0.2">
      <c r="A27" s="8" t="str">
        <f ca="1">IFERROR(__xludf.DUMMYFUNCTION("""COMPUTED_VALUE"""),"20250827MNANM")</f>
        <v>20250827MNANM</v>
      </c>
      <c r="B27" s="8">
        <f ca="1">IFERROR(__xludf.DUMMYFUNCTION("""COMPUTED_VALUE"""),8)</f>
        <v>8</v>
      </c>
      <c r="C27" s="8">
        <f ca="1">IFERROR(__xludf.DUMMYFUNCTION("""COMPUTED_VALUE"""),27)</f>
        <v>27</v>
      </c>
      <c r="D27" s="8">
        <f ca="1">IFERROR(__xludf.DUMMYFUNCTION("""COMPUTED_VALUE"""),2025)</f>
        <v>2025</v>
      </c>
      <c r="E27" s="9">
        <f ca="1">IFERROR(__xludf.DUMMYFUNCTION("""COMPUTED_VALUE"""),45896)</f>
        <v>45896</v>
      </c>
      <c r="F27" s="8" t="str">
        <f ca="1">IFERROR(__xludf.DUMMYFUNCTION("""COMPUTED_VALUE"""),"Annunciation Catholic School")</f>
        <v>Annunciation Catholic School</v>
      </c>
      <c r="G27" s="8">
        <f ca="1">IFERROR(__xludf.DUMMYFUNCTION("""COMPUTED_VALUE"""),2)</f>
        <v>2</v>
      </c>
      <c r="H27" s="8">
        <f ca="1">IFERROR(__xludf.DUMMYFUNCTION("""COMPUTED_VALUE"""),21)</f>
        <v>21</v>
      </c>
      <c r="I27" s="8">
        <f ca="1">IFERROR(__xludf.DUMMYFUNCTION("""COMPUTED_VALUE"""),23)</f>
        <v>23</v>
      </c>
      <c r="J27" s="8">
        <f ca="1">IFERROR(__xludf.DUMMYFUNCTION("""COMPUTED_VALUE"""),1)</f>
        <v>1</v>
      </c>
      <c r="K27" s="10" t="str">
        <f ca="1">IFERROR(__xludf.DUMMYFUNCTION("""COMPUTED_VALUE"""),"https://abcnews.go.com/US/3-children-injured-annunciation-church-shooting-police/story?id=125158788")</f>
        <v>https://abcnews.go.com/US/3-children-injured-annunciation-church-shooting-police/story?id=125158788</v>
      </c>
      <c r="L27" s="8">
        <f ca="1">IFERROR(__xludf.DUMMYFUNCTION("""COMPUTED_VALUE"""),999)</f>
        <v>999</v>
      </c>
      <c r="M27" s="8" t="str">
        <f ca="1">IFERROR(__xludf.DUMMYFUNCTION("""COMPUTED_VALUE"""),"International")</f>
        <v>International</v>
      </c>
      <c r="N27" s="8">
        <f ca="1">IFERROR(__xludf.DUMMYFUNCTION("""COMPUTED_VALUE"""),4)</f>
        <v>4</v>
      </c>
      <c r="O27" s="8" t="str">
        <f ca="1">IFERROR(__xludf.DUMMYFUNCTION("""COMPUTED_VALUE"""),"Summer")</f>
        <v>Summer</v>
      </c>
      <c r="P27" s="8" t="str">
        <f ca="1">IFERROR(__xludf.DUMMYFUNCTION("""COMPUTED_VALUE"""),"Minneapolis")</f>
        <v>Minneapolis</v>
      </c>
      <c r="Q27" s="8" t="str">
        <f ca="1">IFERROR(__xludf.DUMMYFUNCTION("""COMPUTED_VALUE"""),"MN")</f>
        <v>MN</v>
      </c>
      <c r="R27" s="8" t="str">
        <f ca="1">IFERROR(__xludf.DUMMYFUNCTION("""COMPUTED_VALUE"""),"K-8")</f>
        <v>K-8</v>
      </c>
      <c r="S27" s="8" t="str">
        <f ca="1">IFERROR(__xludf.DUMMYFUNCTION("""COMPUTED_VALUE"""),"Auditorium")</f>
        <v>Auditorium</v>
      </c>
      <c r="T27" s="8" t="str">
        <f ca="1">IFERROR(__xludf.DUMMYFUNCTION("""COMPUTED_VALUE"""),"Both Inside/Outside")</f>
        <v>Both Inside/Outside</v>
      </c>
      <c r="U27" s="8" t="str">
        <f ca="1">IFERROR(__xludf.DUMMYFUNCTION("""COMPUTED_VALUE"""),"Yes")</f>
        <v>Yes</v>
      </c>
      <c r="V27" s="8" t="str">
        <f ca="1">IFERROR(__xludf.DUMMYFUNCTION("""COMPUTED_VALUE"""),"Morning Classes")</f>
        <v>Morning Classes</v>
      </c>
      <c r="W27" s="11">
        <f ca="1">IFERROR(__xludf.DUMMYFUNCTION("""COMPUTED_VALUE"""),0.352083333333333)</f>
        <v>0.35208333333333303</v>
      </c>
      <c r="X27" s="8"/>
      <c r="Y27" s="12" t="str">
        <f ca="1">IFERROR(__xludf.DUMMYFUNCTION("""COMPUTED_VALUE"""),"Adult with rifle, shotgun, and handgun fired through the windows of the school's church at students who were inside for morning mass")</f>
        <v>Adult with rifle, shotgun, and handgun fired through the windows of the school's church at students who were inside for morning mass</v>
      </c>
      <c r="Z27" s="12" t="str">
        <f ca="1">IFERROR(__xludf.DUMMYFUNCTION("""COMPUTED_VALUE"""),"An 8-year-old and a 10-year-old were killed and 18 people -- including 15 kids -- were injured when the shooter opened fire through the windows of the Minneapolis school's church on Wednesday morning. All injured victims are expected to survive, police sa"&amp;"id. Westman never entered the church building, but could have entered after shooting out a door-sized windowOfficials are investigating a series of videos posted to YouTube believed to be associated with the suspect, according to law enforcement sources f"&amp;"amiliar with the matter. Two videos, posted Wednesday morning and since removed by YouTube, show someone flipping through dozens of pages of notes dated over the course of several months, which include what appears to be doodles of weapons, middle fingers"&amp;" and expletives, as well as repeated references to killing. Writings in notebooks and on the guns indicate a series of grievances, anger and ideations of harm to self and to others. The writings also appear to show overt references to other high-profile s"&amp;"chool shootings and shooters. Officers recovered three guns -- one rifle, one shotgun and one handgun -- at the scene, all of which are believed to have been fired in the attack, police said. All of the guns were purchased legally by Westman, police said,"&amp;" and authorities believe they were purchased recently in Minnesota. Three shotgun shells and 116 rifle rounds were recovered, police said. One live round was recovered from a handgun that appeared to malfunction, leaving the bullet stuck in the chamber, t"&amp;"he chief said.")</f>
        <v>An 8-year-old and a 10-year-old were killed and 18 people -- including 15 kids -- were injured when the shooter opened fire through the windows of the Minneapolis school's church on Wednesday morning. All injured victims are expected to survive, police said. Westman never entered the church building, but could have entered after shooting out a door-sized windowOfficials are investigating a series of videos posted to YouTube believed to be associated with the suspect, according to law enforcement sources familiar with the matter. Two videos, posted Wednesday morning and since removed by YouTube, show someone flipping through dozens of pages of notes dated over the course of several months, which include what appears to be doodles of weapons, middle fingers and expletives, as well as repeated references to killing. Writings in notebooks and on the guns indicate a series of grievances, anger and ideations of harm to self and to others. The writings also appear to show overt references to other high-profile school shootings and shooters. Officers recovered three guns -- one rifle, one shotgun and one handgun -- at the scene, all of which are believed to have been fired in the attack, police said. All of the guns were purchased legally by Westman, police said, and authorities believe they were purchased recently in Minnesota. Three shotgun shells and 116 rifle rounds were recovered, police said. One live round was recovered from a handgun that appeared to malfunction, leaving the bullet stuck in the chamber, the chief said.</v>
      </c>
      <c r="AA27" s="8" t="str">
        <f ca="1">IFERROR(__xludf.DUMMYFUNCTION("""COMPUTED_VALUE"""),"Indiscriminate Shooting")</f>
        <v>Indiscriminate Shooting</v>
      </c>
      <c r="AB27" s="8" t="str">
        <f ca="1">IFERROR(__xludf.DUMMYFUNCTION("""COMPUTED_VALUE"""),"Active Shooter/Planned Attack")</f>
        <v>Active Shooter/Planned Attack</v>
      </c>
      <c r="AC27" s="8" t="str">
        <f ca="1">IFERROR(__xludf.DUMMYFUNCTION("""COMPUTED_VALUE"""),"Yes")</f>
        <v>Yes</v>
      </c>
      <c r="AD27" s="8" t="str">
        <f ca="1">IFERROR(__xludf.DUMMYFUNCTION("""COMPUTED_VALUE"""),"Random Shooting")</f>
        <v>Random Shooting</v>
      </c>
      <c r="AE27" s="8" t="str">
        <f ca="1">IFERROR(__xludf.DUMMYFUNCTION("""COMPUTED_VALUE"""),"No")</f>
        <v>No</v>
      </c>
      <c r="AF27" s="8"/>
      <c r="AG27" s="8" t="str">
        <f ca="1">IFERROR(__xludf.DUMMYFUNCTION("""COMPUTED_VALUE"""),"No")</f>
        <v>No</v>
      </c>
      <c r="AH27" s="8" t="str">
        <f ca="1">IFERROR(__xludf.DUMMYFUNCTION("""COMPUTED_VALUE"""),"No")</f>
        <v>No</v>
      </c>
      <c r="AI27" s="8" t="str">
        <f ca="1">IFERROR(__xludf.DUMMYFUNCTION("""COMPUTED_VALUE"""),"No")</f>
        <v>No</v>
      </c>
      <c r="AJ27" s="8"/>
      <c r="AK27" s="8" t="str">
        <f ca="1">IFERROR(__xludf.DUMMYFUNCTION("""COMPUTED_VALUE"""),"No")</f>
        <v>No</v>
      </c>
      <c r="AL27" s="8" t="str">
        <f ca="1">IFERROR(__xludf.DUMMYFUNCTION("""COMPUTED_VALUE"""),"No")</f>
        <v>No</v>
      </c>
      <c r="AM27" s="8" t="str">
        <f ca="1">IFERROR(__xludf.DUMMYFUNCTION("""COMPUTED_VALUE"""),"Yes")</f>
        <v>Yes</v>
      </c>
      <c r="AN27" s="8" t="str">
        <f ca="1">IFERROR(__xludf.DUMMYFUNCTION("""COMPUTED_VALUE"""),"Outside")</f>
        <v>Outside</v>
      </c>
      <c r="AO27" s="8" t="str">
        <f ca="1">IFERROR(__xludf.DUMMYFUNCTION("""COMPUTED_VALUE"""),"Yes")</f>
        <v>Yes</v>
      </c>
      <c r="AP27" s="8" t="str">
        <f ca="1">IFERROR(__xludf.DUMMYFUNCTION("""COMPUTED_VALUE"""),"No")</f>
        <v>No</v>
      </c>
      <c r="AQ27" s="8"/>
      <c r="AR27" s="8" t="str">
        <f ca="1">IFERROR(__xludf.DUMMYFUNCTION("""COMPUTED_VALUE"""),"Outside/Off-Property")</f>
        <v>Outside/Off-Property</v>
      </c>
      <c r="AS27" s="8">
        <f ca="1">IFERROR(__xludf.DUMMYFUNCTION("""COMPUTED_VALUE"""),119)</f>
        <v>119</v>
      </c>
      <c r="AT27" s="8" t="str">
        <f ca="1">IFERROR(__xludf.DUMMYFUNCTION("""COMPUTED_VALUE"""),"Yes")</f>
        <v>Yes</v>
      </c>
      <c r="AU27" s="8">
        <f ca="1">IFERROR(__xludf.DUMMYFUNCTION("""COMPUTED_VALUE"""),44.90459)</f>
        <v>44.904589999999999</v>
      </c>
      <c r="AV27" s="8">
        <f ca="1">IFERROR(__xludf.DUMMYFUNCTION("""COMPUTED_VALUE"""),-93.286622)</f>
        <v>-93.286621999999994</v>
      </c>
      <c r="AW27" s="8" t="str">
        <f ca="1">IFERROR(__xludf.DUMMYFUNCTION("""COMPUTED_VALUE"""),"Multiple detached buildings")</f>
        <v>Multiple detached buildings</v>
      </c>
      <c r="AX27" s="8">
        <f ca="1">IFERROR(__xludf.DUMMYFUNCTION("""COMPUTED_VALUE"""),55419)</f>
        <v>55419</v>
      </c>
    </row>
    <row r="28" spans="1:50" ht="150" x14ac:dyDescent="0.2">
      <c r="A28" s="8" t="str">
        <f ca="1">IFERROR(__xludf.DUMMYFUNCTION("""COMPUTED_VALUE"""),"20250826MNCRM")</f>
        <v>20250826MNCRM</v>
      </c>
      <c r="B28" s="8">
        <f ca="1">IFERROR(__xludf.DUMMYFUNCTION("""COMPUTED_VALUE"""),8)</f>
        <v>8</v>
      </c>
      <c r="C28" s="8">
        <f ca="1">IFERROR(__xludf.DUMMYFUNCTION("""COMPUTED_VALUE"""),26)</f>
        <v>26</v>
      </c>
      <c r="D28" s="8">
        <f ca="1">IFERROR(__xludf.DUMMYFUNCTION("""COMPUTED_VALUE"""),2025)</f>
        <v>2025</v>
      </c>
      <c r="E28" s="9">
        <f ca="1">IFERROR(__xludf.DUMMYFUNCTION("""COMPUTED_VALUE"""),45895)</f>
        <v>45895</v>
      </c>
      <c r="F28" s="8" t="str">
        <f ca="1">IFERROR(__xludf.DUMMYFUNCTION("""COMPUTED_VALUE"""),"Cristo Rey Jesuit High School")</f>
        <v>Cristo Rey Jesuit High School</v>
      </c>
      <c r="G28" s="8">
        <f ca="1">IFERROR(__xludf.DUMMYFUNCTION("""COMPUTED_VALUE"""),1)</f>
        <v>1</v>
      </c>
      <c r="H28" s="8">
        <f ca="1">IFERROR(__xludf.DUMMYFUNCTION("""COMPUTED_VALUE"""),6)</f>
        <v>6</v>
      </c>
      <c r="I28" s="8">
        <f ca="1">IFERROR(__xludf.DUMMYFUNCTION("""COMPUTED_VALUE"""),7)</f>
        <v>7</v>
      </c>
      <c r="J28" s="8">
        <f ca="1">IFERROR(__xludf.DUMMYFUNCTION("""COMPUTED_VALUE"""),0)</f>
        <v>0</v>
      </c>
      <c r="K28" s="8" t="str">
        <f ca="1">IFERROR(__xludf.DUMMYFUNCTION("""COMPUTED_VALUE"""),"https://kstp.com/kstp-news/top-news/1-dead-6-injured-in-shooting-next-to-cristo-rey-high-school-in-minneapolis/
https://www.fox9.com/news/minneapolis-mass-shooting-fatal-near-school
https://www.fox9.com/news/deadly-mass-shooting-outside-minneapolis-school"&amp;"-charges")</f>
        <v>https://kstp.com/kstp-news/top-news/1-dead-6-injured-in-shooting-next-to-cristo-rey-high-school-in-minneapolis/
https://www.fox9.com/news/minneapolis-mass-shooting-fatal-near-school
https://www.fox9.com/news/deadly-mass-shooting-outside-minneapolis-school-charges</v>
      </c>
      <c r="L28" s="8">
        <f ca="1">IFERROR(__xludf.DUMMYFUNCTION("""COMPUTED_VALUE"""),8)</f>
        <v>8</v>
      </c>
      <c r="M28" s="8" t="str">
        <f ca="1">IFERROR(__xludf.DUMMYFUNCTION("""COMPUTED_VALUE"""),"Regional")</f>
        <v>Regional</v>
      </c>
      <c r="N28" s="8">
        <f ca="1">IFERROR(__xludf.DUMMYFUNCTION("""COMPUTED_VALUE"""),4)</f>
        <v>4</v>
      </c>
      <c r="O28" s="8" t="str">
        <f ca="1">IFERROR(__xludf.DUMMYFUNCTION("""COMPUTED_VALUE"""),"Summer")</f>
        <v>Summer</v>
      </c>
      <c r="P28" s="8" t="str">
        <f ca="1">IFERROR(__xludf.DUMMYFUNCTION("""COMPUTED_VALUE"""),"Minneapolis")</f>
        <v>Minneapolis</v>
      </c>
      <c r="Q28" s="8" t="str">
        <f ca="1">IFERROR(__xludf.DUMMYFUNCTION("""COMPUTED_VALUE"""),"MN")</f>
        <v>MN</v>
      </c>
      <c r="R28" s="8" t="str">
        <f ca="1">IFERROR(__xludf.DUMMYFUNCTION("""COMPUTED_VALUE"""),"High")</f>
        <v>High</v>
      </c>
      <c r="S28" s="8" t="str">
        <f ca="1">IFERROR(__xludf.DUMMYFUNCTION("""COMPUTED_VALUE"""),"Beside Building")</f>
        <v>Beside Building</v>
      </c>
      <c r="T28" s="8" t="str">
        <f ca="1">IFERROR(__xludf.DUMMYFUNCTION("""COMPUTED_VALUE"""),"Off School Property")</f>
        <v>Off School Property</v>
      </c>
      <c r="U28" s="8" t="str">
        <f ca="1">IFERROR(__xludf.DUMMYFUNCTION("""COMPUTED_VALUE"""),"Yes")</f>
        <v>Yes</v>
      </c>
      <c r="V28" s="8" t="str">
        <f ca="1">IFERROR(__xludf.DUMMYFUNCTION("""COMPUTED_VALUE"""),"Afternoon Classes")</f>
        <v>Afternoon Classes</v>
      </c>
      <c r="W28" s="11">
        <f ca="1">IFERROR(__xludf.DUMMYFUNCTION("""COMPUTED_VALUE"""),0.5625)</f>
        <v>0.5625</v>
      </c>
      <c r="X28" s="8">
        <f ca="1">IFERROR(__xludf.DUMMYFUNCTION("""COMPUTED_VALUE"""),1)</f>
        <v>1</v>
      </c>
      <c r="Y28" s="12" t="str">
        <f ca="1">IFERROR(__xludf.DUMMYFUNCTION("""COMPUTED_VALUE"""),"Man with AR-15 rifle fired 30 shots on the street behind the school and then fled in a vehicle")</f>
        <v>Man with AR-15 rifle fired 30 shots on the street behind the school and then fled in a vehicle</v>
      </c>
      <c r="Z28" s="12" t="str">
        <f ca="1">IFERROR(__xludf.DUMMYFUNCTION("""COMPUTED_VALUE"""),"Police say the shooting happened just before 1:30 p.m. near the intersection of 29th Street East and Clinton Avenue, directly behind Cristo Rey Jesuit High School in the city’s Phillips neighborhood. Initial reports indicate a suspect stepped out of a veh"&amp;"icle and fired about 30 rounds from a “high-velocity” .223 caliber rifle at a group of people on a sidewalk along Clinton Avenue before getting into a car and fleeing the scene. Of the seven people who were shot, at least one person was “clearly targeted,"&amp;"” O’Hara said.")</f>
        <v>Police say the shooting happened just before 1:30 p.m. near the intersection of 29th Street East and Clinton Avenue, directly behind Cristo Rey Jesuit High School in the city’s Phillips neighborhood. Initial reports indicate a suspect stepped out of a vehicle and fired about 30 rounds from a “high-velocity” .223 caliber rifle at a group of people on a sidewalk along Clinton Avenue before getting into a car and fleeing the scene. Of the seven people who were shot, at least one person was “clearly targeted,” O’Hara said.</v>
      </c>
      <c r="AA28" s="8" t="str">
        <f ca="1">IFERROR(__xludf.DUMMYFUNCTION("""COMPUTED_VALUE"""),"Drive-by Shooting")</f>
        <v>Drive-by Shooting</v>
      </c>
      <c r="AB28" s="8" t="str">
        <f ca="1">IFERROR(__xludf.DUMMYFUNCTION("""COMPUTED_VALUE"""),"Targeted")</f>
        <v>Targeted</v>
      </c>
      <c r="AC28" s="8" t="str">
        <f ca="1">IFERROR(__xludf.DUMMYFUNCTION("""COMPUTED_VALUE"""),"Yes")</f>
        <v>Yes</v>
      </c>
      <c r="AD28" s="8" t="str">
        <f ca="1">IFERROR(__xludf.DUMMYFUNCTION("""COMPUTED_VALUE"""),"Both")</f>
        <v>Both</v>
      </c>
      <c r="AE28" s="8"/>
      <c r="AF28" s="8"/>
      <c r="AG28" s="8" t="str">
        <f ca="1">IFERROR(__xludf.DUMMYFUNCTION("""COMPUTED_VALUE"""),"No")</f>
        <v>No</v>
      </c>
      <c r="AH28" s="8" t="str">
        <f ca="1">IFERROR(__xludf.DUMMYFUNCTION("""COMPUTED_VALUE"""),"No")</f>
        <v>No</v>
      </c>
      <c r="AI28" s="8" t="str">
        <f ca="1">IFERROR(__xludf.DUMMYFUNCTION("""COMPUTED_VALUE"""),"No")</f>
        <v>No</v>
      </c>
      <c r="AJ28" s="8" t="str">
        <f ca="1">IFERROR(__xludf.DUMMYFUNCTION("""COMPUTED_VALUE"""),"No")</f>
        <v>No</v>
      </c>
      <c r="AK28" s="8" t="str">
        <f ca="1">IFERROR(__xludf.DUMMYFUNCTION("""COMPUTED_VALUE"""),"No")</f>
        <v>No</v>
      </c>
      <c r="AL28" s="8"/>
      <c r="AM28" s="8" t="str">
        <f ca="1">IFERROR(__xludf.DUMMYFUNCTION("""COMPUTED_VALUE"""),"No")</f>
        <v>No</v>
      </c>
      <c r="AN28" s="8" t="str">
        <f ca="1">IFERROR(__xludf.DUMMYFUNCTION("""COMPUTED_VALUE"""),"Outside")</f>
        <v>Outside</v>
      </c>
      <c r="AO28" s="8" t="str">
        <f ca="1">IFERROR(__xludf.DUMMYFUNCTION("""COMPUTED_VALUE"""),"No")</f>
        <v>No</v>
      </c>
      <c r="AP28" s="8"/>
      <c r="AQ28" s="8"/>
      <c r="AR28" s="8" t="str">
        <f ca="1">IFERROR(__xludf.DUMMYFUNCTION("""COMPUTED_VALUE"""),"Outside/Off-Property")</f>
        <v>Outside/Off-Property</v>
      </c>
      <c r="AS28" s="8">
        <f ca="1">IFERROR(__xludf.DUMMYFUNCTION("""COMPUTED_VALUE"""),30)</f>
        <v>30</v>
      </c>
      <c r="AT28" s="8" t="str">
        <f ca="1">IFERROR(__xludf.DUMMYFUNCTION("""COMPUTED_VALUE"""),"No")</f>
        <v>No</v>
      </c>
      <c r="AU28" s="8">
        <f ca="1">IFERROR(__xludf.DUMMYFUNCTION("""COMPUTED_VALUE"""),44.95001)</f>
        <v>44.950009999999999</v>
      </c>
      <c r="AV28" s="8">
        <f ca="1">IFERROR(__xludf.DUMMYFUNCTION("""COMPUTED_VALUE"""),-93.271548)</f>
        <v>-93.271547999999996</v>
      </c>
      <c r="AW28" s="8" t="str">
        <f ca="1">IFERROR(__xludf.DUMMYFUNCTION("""COMPUTED_VALUE"""),"Urban Street Standalone")</f>
        <v>Urban Street Standalone</v>
      </c>
      <c r="AX28" s="8">
        <f ca="1">IFERROR(__xludf.DUMMYFUNCTION("""COMPUTED_VALUE"""),55408)</f>
        <v>55408</v>
      </c>
    </row>
    <row r="29" spans="1:50" ht="165" x14ac:dyDescent="0.2">
      <c r="A29" s="8" t="str">
        <f ca="1">IFERROR(__xludf.DUMMYFUNCTION("""COMPUTED_VALUE"""),"20250825ARBEB")</f>
        <v>20250825ARBEB</v>
      </c>
      <c r="B29" s="8">
        <f ca="1">IFERROR(__xludf.DUMMYFUNCTION("""COMPUTED_VALUE"""),9)</f>
        <v>9</v>
      </c>
      <c r="C29" s="8">
        <f ca="1">IFERROR(__xludf.DUMMYFUNCTION("""COMPUTED_VALUE"""),25)</f>
        <v>25</v>
      </c>
      <c r="D29" s="8">
        <f ca="1">IFERROR(__xludf.DUMMYFUNCTION("""COMPUTED_VALUE"""),2025)</f>
        <v>2025</v>
      </c>
      <c r="E29" s="9">
        <f ca="1">IFERROR(__xludf.DUMMYFUNCTION("""COMPUTED_VALUE"""),45894)</f>
        <v>45894</v>
      </c>
      <c r="F29" s="8" t="str">
        <f ca="1">IFERROR(__xludf.DUMMYFUNCTION("""COMPUTED_VALUE"""),"Beebe High School")</f>
        <v>Beebe High School</v>
      </c>
      <c r="G29" s="8">
        <f ca="1">IFERROR(__xludf.DUMMYFUNCTION("""COMPUTED_VALUE"""),0)</f>
        <v>0</v>
      </c>
      <c r="H29" s="8">
        <f ca="1">IFERROR(__xludf.DUMMYFUNCTION("""COMPUTED_VALUE"""),1)</f>
        <v>1</v>
      </c>
      <c r="I29" s="8">
        <f ca="1">IFERROR(__xludf.DUMMYFUNCTION("""COMPUTED_VALUE"""),1)</f>
        <v>1</v>
      </c>
      <c r="J29" s="8">
        <f ca="1">IFERROR(__xludf.DUMMYFUNCTION("""COMPUTED_VALUE"""),0)</f>
        <v>0</v>
      </c>
      <c r="K29" s="10" t="str">
        <f ca="1">IFERROR(__xludf.DUMMYFUNCTION("""COMPUTED_VALUE"""),"https://www.thv11.com/article/news/local/shots-fired-beebe-high-school/91-e67088ae-6718-4c66-8dff-31ee3131cfcb")</f>
        <v>https://www.thv11.com/article/news/local/shots-fired-beebe-high-school/91-e67088ae-6718-4c66-8dff-31ee3131cfcb</v>
      </c>
      <c r="L29" s="8">
        <f ca="1">IFERROR(__xludf.DUMMYFUNCTION("""COMPUTED_VALUE"""),6)</f>
        <v>6</v>
      </c>
      <c r="M29" s="8" t="str">
        <f ca="1">IFERROR(__xludf.DUMMYFUNCTION("""COMPUTED_VALUE"""),"Regional")</f>
        <v>Regional</v>
      </c>
      <c r="N29" s="8">
        <f ca="1">IFERROR(__xludf.DUMMYFUNCTION("""COMPUTED_VALUE"""),4)</f>
        <v>4</v>
      </c>
      <c r="O29" s="8" t="str">
        <f ca="1">IFERROR(__xludf.DUMMYFUNCTION("""COMPUTED_VALUE"""),"Summer")</f>
        <v>Summer</v>
      </c>
      <c r="P29" s="8" t="str">
        <f ca="1">IFERROR(__xludf.DUMMYFUNCTION("""COMPUTED_VALUE"""),"Beebe")</f>
        <v>Beebe</v>
      </c>
      <c r="Q29" s="8" t="str">
        <f ca="1">IFERROR(__xludf.DUMMYFUNCTION("""COMPUTED_VALUE"""),"AR")</f>
        <v>AR</v>
      </c>
      <c r="R29" s="8" t="str">
        <f ca="1">IFERROR(__xludf.DUMMYFUNCTION("""COMPUTED_VALUE"""),"High")</f>
        <v>High</v>
      </c>
      <c r="S29" s="8" t="str">
        <f ca="1">IFERROR(__xludf.DUMMYFUNCTION("""COMPUTED_VALUE"""),"Parking Lot")</f>
        <v>Parking Lot</v>
      </c>
      <c r="T29" s="8" t="str">
        <f ca="1">IFERROR(__xludf.DUMMYFUNCTION("""COMPUTED_VALUE"""),"Outside on School Property")</f>
        <v>Outside on School Property</v>
      </c>
      <c r="U29" s="8" t="str">
        <f ca="1">IFERROR(__xludf.DUMMYFUNCTION("""COMPUTED_VALUE"""),"No")</f>
        <v>No</v>
      </c>
      <c r="V29" s="8" t="str">
        <f ca="1">IFERROR(__xludf.DUMMYFUNCTION("""COMPUTED_VALUE"""),"Night")</f>
        <v>Night</v>
      </c>
      <c r="W29" s="11">
        <f ca="1">IFERROR(__xludf.DUMMYFUNCTION("""COMPUTED_VALUE"""),0.955555555555555)</f>
        <v>0.95555555555555505</v>
      </c>
      <c r="X29" s="8">
        <f ca="1">IFERROR(__xludf.DUMMYFUNCTION("""COMPUTED_VALUE"""),1)</f>
        <v>1</v>
      </c>
      <c r="Y29" s="12" t="str">
        <f ca="1">IFERROR(__xludf.DUMMYFUNCTION("""COMPUTED_VALUE"""),"Teen was wounded after shots were fired in the school parking lot")</f>
        <v>Teen was wounded after shots were fired in the school parking lot</v>
      </c>
      <c r="Z29" s="12" t="str">
        <f ca="1">IFERROR(__xludf.DUMMYFUNCTION("""COMPUTED_VALUE"""),"At approximately 10:56 p.m. yesterday evening, White County Dispatch received reports of shots fired on the campus of Beebe High School. Once officers arrived onto the scene, they discovered a juvenile who had been injured by shrapnel after a bullet struc"&amp;"k a vehicle in a parking lot at the high school. The juvenile's injuries are reportedly minor. Beebe Police, in collaboration with the Beebe School District Police Department, reviewed video footage and interviewed witnesses. A spent bullet casing was als"&amp;"o found in the parking lot. After further investigation, two juveniles were charged with multiple felony offenses.")</f>
        <v>At approximately 10:56 p.m. yesterday evening, White County Dispatch received reports of shots fired on the campus of Beebe High School. Once officers arrived onto the scene, they discovered a juvenile who had been injured by shrapnel after a bullet struck a vehicle in a parking lot at the high school. The juvenile's injuries are reportedly minor. Beebe Police, in collaboration with the Beebe School District Police Department, reviewed video footage and interviewed witnesses. A spent bullet casing was also found in the parking lot. After further investigation, two juveniles were charged with multiple felony offenses.</v>
      </c>
      <c r="AA29" s="8" t="str">
        <f ca="1">IFERROR(__xludf.DUMMYFUNCTION("""COMPUTED_VALUE"""),"Escalation of Dispute")</f>
        <v>Escalation of Dispute</v>
      </c>
      <c r="AB29" s="8" t="str">
        <f ca="1">IFERROR(__xludf.DUMMYFUNCTION("""COMPUTED_VALUE"""),"Spontaneous")</f>
        <v>Spontaneous</v>
      </c>
      <c r="AC29" s="8" t="str">
        <f ca="1">IFERROR(__xludf.DUMMYFUNCTION("""COMPUTED_VALUE"""),"Yes")</f>
        <v>Yes</v>
      </c>
      <c r="AD29" s="8" t="str">
        <f ca="1">IFERROR(__xludf.DUMMYFUNCTION("""COMPUTED_VALUE"""),"Victims Targeted")</f>
        <v>Victims Targeted</v>
      </c>
      <c r="AE29" s="8" t="str">
        <f ca="1">IFERROR(__xludf.DUMMYFUNCTION("""COMPUTED_VALUE"""),"Yes")</f>
        <v>Yes</v>
      </c>
      <c r="AF29" s="8" t="str">
        <f ca="1">IFERROR(__xludf.DUMMYFUNCTION("""COMPUTED_VALUE"""),"Two teens arrested")</f>
        <v>Two teens arrested</v>
      </c>
      <c r="AG29" s="8" t="str">
        <f ca="1">IFERROR(__xludf.DUMMYFUNCTION("""COMPUTED_VALUE"""),"No")</f>
        <v>No</v>
      </c>
      <c r="AH29" s="8" t="str">
        <f ca="1">IFERROR(__xludf.DUMMYFUNCTION("""COMPUTED_VALUE"""),"No")</f>
        <v>No</v>
      </c>
      <c r="AI29" s="8" t="str">
        <f ca="1">IFERROR(__xludf.DUMMYFUNCTION("""COMPUTED_VALUE"""),"No")</f>
        <v>No</v>
      </c>
      <c r="AJ29" s="8" t="str">
        <f ca="1">IFERROR(__xludf.DUMMYFUNCTION("""COMPUTED_VALUE"""),"No")</f>
        <v>No</v>
      </c>
      <c r="AK29" s="8" t="str">
        <f ca="1">IFERROR(__xludf.DUMMYFUNCTION("""COMPUTED_VALUE"""),"No")</f>
        <v>No</v>
      </c>
      <c r="AL29" s="8"/>
      <c r="AM29" s="8" t="str">
        <f ca="1">IFERROR(__xludf.DUMMYFUNCTION("""COMPUTED_VALUE"""),"No")</f>
        <v>No</v>
      </c>
      <c r="AN29" s="8" t="str">
        <f ca="1">IFERROR(__xludf.DUMMYFUNCTION("""COMPUTED_VALUE"""),"Outside")</f>
        <v>Outside</v>
      </c>
      <c r="AO29" s="8" t="str">
        <f ca="1">IFERROR(__xludf.DUMMYFUNCTION("""COMPUTED_VALUE"""),"No")</f>
        <v>No</v>
      </c>
      <c r="AP29" s="8"/>
      <c r="AQ29" s="8"/>
      <c r="AR29" s="8" t="str">
        <f ca="1">IFERROR(__xludf.DUMMYFUNCTION("""COMPUTED_VALUE"""),"Outside/Off-Property")</f>
        <v>Outside/Off-Property</v>
      </c>
      <c r="AS29" s="8">
        <f ca="1">IFERROR(__xludf.DUMMYFUNCTION("""COMPUTED_VALUE"""),99)</f>
        <v>99</v>
      </c>
      <c r="AT29" s="8" t="str">
        <f ca="1">IFERROR(__xludf.DUMMYFUNCTION("""COMPUTED_VALUE"""),"No")</f>
        <v>No</v>
      </c>
      <c r="AU29" s="8">
        <f ca="1">IFERROR(__xludf.DUMMYFUNCTION("""COMPUTED_VALUE"""),35.064605)</f>
        <v>35.064605</v>
      </c>
      <c r="AV29" s="8">
        <f ca="1">IFERROR(__xludf.DUMMYFUNCTION("""COMPUTED_VALUE"""),-91.893755)</f>
        <v>-91.893754999999999</v>
      </c>
      <c r="AW29" s="8" t="str">
        <f ca="1">IFERROR(__xludf.DUMMYFUNCTION("""COMPUTED_VALUE"""),"Multiple detached buildings")</f>
        <v>Multiple detached buildings</v>
      </c>
      <c r="AX29" s="8">
        <f ca="1">IFERROR(__xludf.DUMMYFUNCTION("""COMPUTED_VALUE"""),72012)</f>
        <v>72012</v>
      </c>
    </row>
    <row r="30" spans="1:50" ht="180" x14ac:dyDescent="0.2">
      <c r="A30" s="8" t="str">
        <f ca="1">IFERROR(__xludf.DUMMYFUNCTION("""COMPUTED_VALUE"""),"20250822ILMAP")</f>
        <v>20250822ILMAP</v>
      </c>
      <c r="B30" s="8">
        <f ca="1">IFERROR(__xludf.DUMMYFUNCTION("""COMPUTED_VALUE"""),8)</f>
        <v>8</v>
      </c>
      <c r="C30" s="8">
        <f ca="1">IFERROR(__xludf.DUMMYFUNCTION("""COMPUTED_VALUE"""),22)</f>
        <v>22</v>
      </c>
      <c r="D30" s="8">
        <f ca="1">IFERROR(__xludf.DUMMYFUNCTION("""COMPUTED_VALUE"""),2025)</f>
        <v>2025</v>
      </c>
      <c r="E30" s="9">
        <f ca="1">IFERROR(__xludf.DUMMYFUNCTION("""COMPUTED_VALUE"""),45891)</f>
        <v>45891</v>
      </c>
      <c r="F30" s="8" t="str">
        <f ca="1">IFERROR(__xludf.DUMMYFUNCTION("""COMPUTED_VALUE"""),"Manual High School")</f>
        <v>Manual High School</v>
      </c>
      <c r="G30" s="8">
        <f ca="1">IFERROR(__xludf.DUMMYFUNCTION("""COMPUTED_VALUE"""),0)</f>
        <v>0</v>
      </c>
      <c r="H30" s="8">
        <f ca="1">IFERROR(__xludf.DUMMYFUNCTION("""COMPUTED_VALUE"""),0)</f>
        <v>0</v>
      </c>
      <c r="I30" s="8">
        <f ca="1">IFERROR(__xludf.DUMMYFUNCTION("""COMPUTED_VALUE"""),0)</f>
        <v>0</v>
      </c>
      <c r="J30" s="8">
        <f ca="1">IFERROR(__xludf.DUMMYFUNCTION("""COMPUTED_VALUE"""),0)</f>
        <v>0</v>
      </c>
      <c r="K30" s="8" t="str">
        <f ca="1">IFERROR(__xludf.DUMMYFUNCTION("""COMPUTED_VALUE"""),"https://www.25newsnow.com/2025/08/22/no-one-injured-after-shots-fired-near-peorias-manual-high-school/
https://www.25newsnow.com/2025/08/23/teen-suspected-firing-gunshots-manual-high-school-had-just-been-suspended-wasnt-aiming-people-says-chief/
https://w"&amp;"ww.pjstar.com/story/news/local/2025/08/22/juvenile-in-custody-after-shooting-near-manual-high-school-in-peoria-illinois/85783998007/")</f>
        <v>https://www.25newsnow.com/2025/08/22/no-one-injured-after-shots-fired-near-peorias-manual-high-school/
https://www.25newsnow.com/2025/08/23/teen-suspected-firing-gunshots-manual-high-school-had-just-been-suspended-wasnt-aiming-people-says-chief/
https://www.pjstar.com/story/news/local/2025/08/22/juvenile-in-custody-after-shooting-near-manual-high-school-in-peoria-illinois/85783998007/</v>
      </c>
      <c r="L30" s="8">
        <f ca="1">IFERROR(__xludf.DUMMYFUNCTION("""COMPUTED_VALUE"""),10)</f>
        <v>10</v>
      </c>
      <c r="M30" s="8" t="str">
        <f ca="1">IFERROR(__xludf.DUMMYFUNCTION("""COMPUTED_VALUE"""),"Regional")</f>
        <v>Regional</v>
      </c>
      <c r="N30" s="8">
        <f ca="1">IFERROR(__xludf.DUMMYFUNCTION("""COMPUTED_VALUE"""),4)</f>
        <v>4</v>
      </c>
      <c r="O30" s="8" t="str">
        <f ca="1">IFERROR(__xludf.DUMMYFUNCTION("""COMPUTED_VALUE"""),"Summer")</f>
        <v>Summer</v>
      </c>
      <c r="P30" s="8" t="str">
        <f ca="1">IFERROR(__xludf.DUMMYFUNCTION("""COMPUTED_VALUE"""),"Peoria")</f>
        <v>Peoria</v>
      </c>
      <c r="Q30" s="8" t="str">
        <f ca="1">IFERROR(__xludf.DUMMYFUNCTION("""COMPUTED_VALUE"""),"IL")</f>
        <v>IL</v>
      </c>
      <c r="R30" s="8" t="str">
        <f ca="1">IFERROR(__xludf.DUMMYFUNCTION("""COMPUTED_VALUE"""),"High")</f>
        <v>High</v>
      </c>
      <c r="S30" s="8" t="str">
        <f ca="1">IFERROR(__xludf.DUMMYFUNCTION("""COMPUTED_VALUE"""),"Front of School")</f>
        <v>Front of School</v>
      </c>
      <c r="T30" s="8" t="str">
        <f ca="1">IFERROR(__xludf.DUMMYFUNCTION("""COMPUTED_VALUE"""),"Outside on School Property")</f>
        <v>Outside on School Property</v>
      </c>
      <c r="U30" s="8" t="str">
        <f ca="1">IFERROR(__xludf.DUMMYFUNCTION("""COMPUTED_VALUE"""),"Yes")</f>
        <v>Yes</v>
      </c>
      <c r="V30" s="8" t="str">
        <f ca="1">IFERROR(__xludf.DUMMYFUNCTION("""COMPUTED_VALUE"""),"Afternoon Classes")</f>
        <v>Afternoon Classes</v>
      </c>
      <c r="W30" s="11">
        <f ca="1">IFERROR(__xludf.DUMMYFUNCTION("""COMPUTED_VALUE"""),0.599305555555555)</f>
        <v>0.59930555555555498</v>
      </c>
      <c r="X30" s="8">
        <f ca="1">IFERROR(__xludf.DUMMYFUNCTION("""COMPUTED_VALUE"""),1)</f>
        <v>1</v>
      </c>
      <c r="Y30" s="12" t="str">
        <f ca="1">IFERROR(__xludf.DUMMYFUNCTION("""COMPUTED_VALUE"""),"Student who was suspended earlier in the day came back to campus and fired shots at the school building")</f>
        <v>Student who was suspended earlier in the day came back to campus and fired shots at the school building</v>
      </c>
      <c r="Z30" s="12" t="str">
        <f ca="1">IFERROR(__xludf.DUMMYFUNCTION("""COMPUTED_VALUE"""),"Peoria Police Chief Eric Echevarria on Saturday released a statement explaining what authorities believe was the motive for a shooting at Manual High School, which was damaged by the gunfire Friday afternoon. Echevarria acknowledged the incident was “frig"&amp;"htening,” but he praised his officers for their quick action, and he pledged to keep a strong police presence at Manual and throughout Peoria Public Schools. The chief said the 15-year-old suspect had been suspended from school earlier in the day, returne"&amp;"d with a gun and fired multiple rounds. “Based on what we know, there is no indication that he was aiming at people, only at the structure,” said Echevarria.")</f>
        <v>Peoria Police Chief Eric Echevarria on Saturday released a statement explaining what authorities believe was the motive for a shooting at Manual High School, which was damaged by the gunfire Friday afternoon. Echevarria acknowledged the incident was “frightening,” but he praised his officers for their quick action, and he pledged to keep a strong police presence at Manual and throughout Peoria Public Schools. The chief said the 15-year-old suspect had been suspended from school earlier in the day, returned with a gun and fired multiple rounds. “Based on what we know, there is no indication that he was aiming at people, only at the structure,” said Echevarria.</v>
      </c>
      <c r="AA30" s="8" t="str">
        <f ca="1">IFERROR(__xludf.DUMMYFUNCTION("""COMPUTED_VALUE"""),"Anger Over Grade/Suspension/Discipline")</f>
        <v>Anger Over Grade/Suspension/Discipline</v>
      </c>
      <c r="AB30" s="8" t="str">
        <f ca="1">IFERROR(__xludf.DUMMYFUNCTION("""COMPUTED_VALUE"""),"Targeted")</f>
        <v>Targeted</v>
      </c>
      <c r="AC30" s="8" t="str">
        <f ca="1">IFERROR(__xludf.DUMMYFUNCTION("""COMPUTED_VALUE"""),"Yes")</f>
        <v>Yes</v>
      </c>
      <c r="AD30" s="8" t="str">
        <f ca="1">IFERROR(__xludf.DUMMYFUNCTION("""COMPUTED_VALUE"""),"Neither")</f>
        <v>Neither</v>
      </c>
      <c r="AE30" s="8" t="str">
        <f ca="1">IFERROR(__xludf.DUMMYFUNCTION("""COMPUTED_VALUE"""),"No")</f>
        <v>No</v>
      </c>
      <c r="AF30" s="8"/>
      <c r="AG30" s="8" t="str">
        <f ca="1">IFERROR(__xludf.DUMMYFUNCTION("""COMPUTED_VALUE"""),"No")</f>
        <v>No</v>
      </c>
      <c r="AH30" s="8" t="str">
        <f ca="1">IFERROR(__xludf.DUMMYFUNCTION("""COMPUTED_VALUE"""),"No")</f>
        <v>No</v>
      </c>
      <c r="AI30" s="8" t="str">
        <f ca="1">IFERROR(__xludf.DUMMYFUNCTION("""COMPUTED_VALUE"""),"No")</f>
        <v>No</v>
      </c>
      <c r="AJ30" s="8" t="str">
        <f ca="1">IFERROR(__xludf.DUMMYFUNCTION("""COMPUTED_VALUE"""),"No")</f>
        <v>No</v>
      </c>
      <c r="AK30" s="8" t="str">
        <f ca="1">IFERROR(__xludf.DUMMYFUNCTION("""COMPUTED_VALUE"""),"No")</f>
        <v>No</v>
      </c>
      <c r="AL30" s="8" t="str">
        <f ca="1">IFERROR(__xludf.DUMMYFUNCTION("""COMPUTED_VALUE"""),"No")</f>
        <v>No</v>
      </c>
      <c r="AM30" s="8" t="str">
        <f ca="1">IFERROR(__xludf.DUMMYFUNCTION("""COMPUTED_VALUE"""),"No")</f>
        <v>No</v>
      </c>
      <c r="AN30" s="8" t="str">
        <f ca="1">IFERROR(__xludf.DUMMYFUNCTION("""COMPUTED_VALUE"""),"Outside")</f>
        <v>Outside</v>
      </c>
      <c r="AO30" s="8" t="str">
        <f ca="1">IFERROR(__xludf.DUMMYFUNCTION("""COMPUTED_VALUE"""),"No")</f>
        <v>No</v>
      </c>
      <c r="AP30" s="8"/>
      <c r="AQ30" s="8"/>
      <c r="AR30" s="8" t="str">
        <f ca="1">IFERROR(__xludf.DUMMYFUNCTION("""COMPUTED_VALUE"""),"Outside/Off-Property")</f>
        <v>Outside/Off-Property</v>
      </c>
      <c r="AS30" s="8">
        <f ca="1">IFERROR(__xludf.DUMMYFUNCTION("""COMPUTED_VALUE"""),99)</f>
        <v>99</v>
      </c>
      <c r="AT30" s="8" t="str">
        <f ca="1">IFERROR(__xludf.DUMMYFUNCTION("""COMPUTED_VALUE"""),"Yes")</f>
        <v>Yes</v>
      </c>
      <c r="AU30" s="8">
        <f ca="1">IFERROR(__xludf.DUMMYFUNCTION("""COMPUTED_VALUE"""),40.679481)</f>
        <v>40.679481000000003</v>
      </c>
      <c r="AV30" s="8">
        <f ca="1">IFERROR(__xludf.DUMMYFUNCTION("""COMPUTED_VALUE"""),-89.633994)</f>
        <v>-89.633994000000001</v>
      </c>
      <c r="AW30" s="8" t="str">
        <f ca="1">IFERROR(__xludf.DUMMYFUNCTION("""COMPUTED_VALUE"""),"Multiple attached buildings")</f>
        <v>Multiple attached buildings</v>
      </c>
      <c r="AX30" s="8">
        <f ca="1">IFERROR(__xludf.DUMMYFUNCTION("""COMPUTED_VALUE"""),61605)</f>
        <v>61605</v>
      </c>
    </row>
    <row r="31" spans="1:50" ht="150" x14ac:dyDescent="0.2">
      <c r="A31" s="8" t="str">
        <f ca="1">IFERROR(__xludf.DUMMYFUNCTION("""COMPUTED_VALUE"""),"20250822KYMAM")</f>
        <v>20250822KYMAM</v>
      </c>
      <c r="B31" s="8">
        <f ca="1">IFERROR(__xludf.DUMMYFUNCTION("""COMPUTED_VALUE"""),8)</f>
        <v>8</v>
      </c>
      <c r="C31" s="8">
        <f ca="1">IFERROR(__xludf.DUMMYFUNCTION("""COMPUTED_VALUE"""),22)</f>
        <v>22</v>
      </c>
      <c r="D31" s="8">
        <f ca="1">IFERROR(__xludf.DUMMYFUNCTION("""COMPUTED_VALUE"""),2025)</f>
        <v>2025</v>
      </c>
      <c r="E31" s="9">
        <f ca="1">IFERROR(__xludf.DUMMYFUNCTION("""COMPUTED_VALUE"""),45891)</f>
        <v>45891</v>
      </c>
      <c r="F31" s="8" t="str">
        <f ca="1">IFERROR(__xludf.DUMMYFUNCTION("""COMPUTED_VALUE"""),"Mayfield High School")</f>
        <v>Mayfield High School</v>
      </c>
      <c r="G31" s="8">
        <f ca="1">IFERROR(__xludf.DUMMYFUNCTION("""COMPUTED_VALUE"""),0)</f>
        <v>0</v>
      </c>
      <c r="H31" s="8">
        <f ca="1">IFERROR(__xludf.DUMMYFUNCTION("""COMPUTED_VALUE"""),1)</f>
        <v>1</v>
      </c>
      <c r="I31" s="8">
        <f ca="1">IFERROR(__xludf.DUMMYFUNCTION("""COMPUTED_VALUE"""),1)</f>
        <v>1</v>
      </c>
      <c r="J31" s="8">
        <f ca="1">IFERROR(__xludf.DUMMYFUNCTION("""COMPUTED_VALUE"""),0)</f>
        <v>0</v>
      </c>
      <c r="K31" s="8" t="str">
        <f ca="1">IFERROR(__xludf.DUMMYFUNCTION("""COMPUTED_VALUE"""),"https://www.wpsdlocal6.com/news/one-injured-in-shooting-at-mayfield-high-school-football-game/article_d2c92a42-6b6d-429d-aa70-75a20cbebf47.html
https://www.whas11.com/article/news/local/football-game-shooting-mayfield-leaves-one-injured-hospitalized/417-7"&amp;"d8948c3-44b4-48f0-9b0e-8639e5589a1d
https://www.wkyt.com/video/2025/08/24/14-year-old-charged-connection-with-shooting-near-ky-high-school-football-game/")</f>
        <v>https://www.wpsdlocal6.com/news/one-injured-in-shooting-at-mayfield-high-school-football-game/article_d2c92a42-6b6d-429d-aa70-75a20cbebf47.html
https://www.whas11.com/article/news/local/football-game-shooting-mayfield-leaves-one-injured-hospitalized/417-7d8948c3-44b4-48f0-9b0e-8639e5589a1d
https://www.wkyt.com/video/2025/08/24/14-year-old-charged-connection-with-shooting-near-ky-high-school-football-game/</v>
      </c>
      <c r="L31" s="8">
        <f ca="1">IFERROR(__xludf.DUMMYFUNCTION("""COMPUTED_VALUE"""),20)</f>
        <v>20</v>
      </c>
      <c r="M31" s="8" t="str">
        <f ca="1">IFERROR(__xludf.DUMMYFUNCTION("""COMPUTED_VALUE"""),"Regional")</f>
        <v>Regional</v>
      </c>
      <c r="N31" s="8">
        <f ca="1">IFERROR(__xludf.DUMMYFUNCTION("""COMPUTED_VALUE"""),4)</f>
        <v>4</v>
      </c>
      <c r="O31" s="8" t="str">
        <f ca="1">IFERROR(__xludf.DUMMYFUNCTION("""COMPUTED_VALUE"""),"Summer")</f>
        <v>Summer</v>
      </c>
      <c r="P31" s="8" t="str">
        <f ca="1">IFERROR(__xludf.DUMMYFUNCTION("""COMPUTED_VALUE"""),"Mayfield")</f>
        <v>Mayfield</v>
      </c>
      <c r="Q31" s="8" t="str">
        <f ca="1">IFERROR(__xludf.DUMMYFUNCTION("""COMPUTED_VALUE"""),"KY")</f>
        <v>KY</v>
      </c>
      <c r="R31" s="8" t="str">
        <f ca="1">IFERROR(__xludf.DUMMYFUNCTION("""COMPUTED_VALUE"""),"High")</f>
        <v>High</v>
      </c>
      <c r="S31" s="8" t="str">
        <f ca="1">IFERROR(__xludf.DUMMYFUNCTION("""COMPUTED_VALUE"""),"Parking Lot")</f>
        <v>Parking Lot</v>
      </c>
      <c r="T31" s="8" t="str">
        <f ca="1">IFERROR(__xludf.DUMMYFUNCTION("""COMPUTED_VALUE"""),"Outside on School Property")</f>
        <v>Outside on School Property</v>
      </c>
      <c r="U31" s="8" t="str">
        <f ca="1">IFERROR(__xludf.DUMMYFUNCTION("""COMPUTED_VALUE"""),"No")</f>
        <v>No</v>
      </c>
      <c r="V31" s="8" t="str">
        <f ca="1">IFERROR(__xludf.DUMMYFUNCTION("""COMPUTED_VALUE"""),"Sport Event")</f>
        <v>Sport Event</v>
      </c>
      <c r="W31" s="11">
        <f ca="1">IFERROR(__xludf.DUMMYFUNCTION("""COMPUTED_VALUE"""),0.854166666666666)</f>
        <v>0.85416666666666596</v>
      </c>
      <c r="X31" s="8">
        <f ca="1">IFERROR(__xludf.DUMMYFUNCTION("""COMPUTED_VALUE"""),1)</f>
        <v>1</v>
      </c>
      <c r="Y31" s="12" t="str">
        <f ca="1">IFERROR(__xludf.DUMMYFUNCTION("""COMPUTED_VALUE"""),"Man shot during dispute in the parking lot during a high school football game")</f>
        <v>Man shot during dispute in the parking lot during a high school football game</v>
      </c>
      <c r="Z31" s="12" t="str">
        <f ca="1">IFERROR(__xludf.DUMMYFUNCTION("""COMPUTED_VALUE"""),"A man is injured after a shooting at a high school football game Friday night. In Mayfield, which is in Western Kentucky, shots were fired near War Memorial football stadium. Police found one adult who was transported to a local medical center, then was l"&amp;"ater flown to Nashville for treatment. Local 6's Drayton Charlton-Perrin was on scene and said Kentucky State Police and other law enforcement had arrived and had cordoned off the site of the shooting. He said he and others on the scene heard a ""pop"" so"&amp;"und they initially thought was a firecracker.")</f>
        <v>A man is injured after a shooting at a high school football game Friday night. In Mayfield, which is in Western Kentucky, shots were fired near War Memorial football stadium. Police found one adult who was transported to a local medical center, then was later flown to Nashville for treatment. Local 6's Drayton Charlton-Perrin was on scene and said Kentucky State Police and other law enforcement had arrived and had cordoned off the site of the shooting. He said he and others on the scene heard a "pop" sound they initially thought was a firecracker.</v>
      </c>
      <c r="AA31" s="8" t="str">
        <f ca="1">IFERROR(__xludf.DUMMYFUNCTION("""COMPUTED_VALUE"""),"Escalation of Dispute")</f>
        <v>Escalation of Dispute</v>
      </c>
      <c r="AB31" s="8" t="str">
        <f ca="1">IFERROR(__xludf.DUMMYFUNCTION("""COMPUTED_VALUE"""),"Spontaneous")</f>
        <v>Spontaneous</v>
      </c>
      <c r="AC31" s="8" t="str">
        <f ca="1">IFERROR(__xludf.DUMMYFUNCTION("""COMPUTED_VALUE"""),"Yes")</f>
        <v>Yes</v>
      </c>
      <c r="AD31" s="8"/>
      <c r="AE31" s="8" t="str">
        <f ca="1">IFERROR(__xludf.DUMMYFUNCTION("""COMPUTED_VALUE"""),"No")</f>
        <v>No</v>
      </c>
      <c r="AF31" s="8"/>
      <c r="AG31" s="8" t="str">
        <f ca="1">IFERROR(__xludf.DUMMYFUNCTION("""COMPUTED_VALUE"""),"No")</f>
        <v>No</v>
      </c>
      <c r="AH31" s="8" t="str">
        <f ca="1">IFERROR(__xludf.DUMMYFUNCTION("""COMPUTED_VALUE"""),"No")</f>
        <v>No</v>
      </c>
      <c r="AI31" s="8" t="str">
        <f ca="1">IFERROR(__xludf.DUMMYFUNCTION("""COMPUTED_VALUE"""),"No")</f>
        <v>No</v>
      </c>
      <c r="AJ31" s="8" t="str">
        <f ca="1">IFERROR(__xludf.DUMMYFUNCTION("""COMPUTED_VALUE"""),"No")</f>
        <v>No</v>
      </c>
      <c r="AK31" s="8" t="str">
        <f ca="1">IFERROR(__xludf.DUMMYFUNCTION("""COMPUTED_VALUE"""),"No")</f>
        <v>No</v>
      </c>
      <c r="AL31" s="8" t="str">
        <f ca="1">IFERROR(__xludf.DUMMYFUNCTION("""COMPUTED_VALUE"""),"No")</f>
        <v>No</v>
      </c>
      <c r="AM31" s="8" t="str">
        <f ca="1">IFERROR(__xludf.DUMMYFUNCTION("""COMPUTED_VALUE"""),"No")</f>
        <v>No</v>
      </c>
      <c r="AN31" s="8" t="str">
        <f ca="1">IFERROR(__xludf.DUMMYFUNCTION("""COMPUTED_VALUE"""),"Outside")</f>
        <v>Outside</v>
      </c>
      <c r="AO31" s="8" t="str">
        <f ca="1">IFERROR(__xludf.DUMMYFUNCTION("""COMPUTED_VALUE"""),"No")</f>
        <v>No</v>
      </c>
      <c r="AP31" s="8"/>
      <c r="AQ31" s="8"/>
      <c r="AR31" s="8" t="str">
        <f ca="1">IFERROR(__xludf.DUMMYFUNCTION("""COMPUTED_VALUE"""),"Outside/Off-Property")</f>
        <v>Outside/Off-Property</v>
      </c>
      <c r="AS31" s="8">
        <f ca="1">IFERROR(__xludf.DUMMYFUNCTION("""COMPUTED_VALUE"""),99)</f>
        <v>99</v>
      </c>
      <c r="AT31" s="8" t="str">
        <f ca="1">IFERROR(__xludf.DUMMYFUNCTION("""COMPUTED_VALUE"""),"No")</f>
        <v>No</v>
      </c>
      <c r="AU31" s="8">
        <f ca="1">IFERROR(__xludf.DUMMYFUNCTION("""COMPUTED_VALUE"""),36.730095)</f>
        <v>36.730094999999999</v>
      </c>
      <c r="AV31" s="8">
        <f ca="1">IFERROR(__xludf.DUMMYFUNCTION("""COMPUTED_VALUE"""),-88.626894)</f>
        <v>-88.626893999999993</v>
      </c>
      <c r="AW31" s="8" t="str">
        <f ca="1">IFERROR(__xludf.DUMMYFUNCTION("""COMPUTED_VALUE"""),"Multiple attached buildings")</f>
        <v>Multiple attached buildings</v>
      </c>
      <c r="AX31" s="8">
        <f ca="1">IFERROR(__xludf.DUMMYFUNCTION("""COMPUTED_VALUE"""),42066)</f>
        <v>42066</v>
      </c>
    </row>
    <row r="32" spans="1:50" ht="90" x14ac:dyDescent="0.2">
      <c r="A32" s="8" t="str">
        <f ca="1">IFERROR(__xludf.DUMMYFUNCTION("""COMPUTED_VALUE"""),"20250820TNRIM")</f>
        <v>20250820TNRIM</v>
      </c>
      <c r="B32" s="8">
        <f ca="1">IFERROR(__xludf.DUMMYFUNCTION("""COMPUTED_VALUE"""),8)</f>
        <v>8</v>
      </c>
      <c r="C32" s="8">
        <f ca="1">IFERROR(__xludf.DUMMYFUNCTION("""COMPUTED_VALUE"""),20)</f>
        <v>20</v>
      </c>
      <c r="D32" s="8">
        <f ca="1">IFERROR(__xludf.DUMMYFUNCTION("""COMPUTED_VALUE"""),2025)</f>
        <v>2025</v>
      </c>
      <c r="E32" s="9">
        <f ca="1">IFERROR(__xludf.DUMMYFUNCTION("""COMPUTED_VALUE"""),45889)</f>
        <v>45889</v>
      </c>
      <c r="F32" s="8" t="str">
        <f ca="1">IFERROR(__xludf.DUMMYFUNCTION("""COMPUTED_VALUE"""),"Riverview Middle School")</f>
        <v>Riverview Middle School</v>
      </c>
      <c r="G32" s="8">
        <f ca="1">IFERROR(__xludf.DUMMYFUNCTION("""COMPUTED_VALUE"""),0)</f>
        <v>0</v>
      </c>
      <c r="H32" s="8">
        <f ca="1">IFERROR(__xludf.DUMMYFUNCTION("""COMPUTED_VALUE"""),0)</f>
        <v>0</v>
      </c>
      <c r="I32" s="8">
        <f ca="1">IFERROR(__xludf.DUMMYFUNCTION("""COMPUTED_VALUE"""),0)</f>
        <v>0</v>
      </c>
      <c r="J32" s="8">
        <f ca="1">IFERROR(__xludf.DUMMYFUNCTION("""COMPUTED_VALUE"""),0)</f>
        <v>0</v>
      </c>
      <c r="K32" s="10" t="str">
        <f ca="1">IFERROR(__xludf.DUMMYFUNCTION("""COMPUTED_VALUE"""),"https://www.actionnews5.com/2025/08/20/shots-fired-riverview-middle-school-one-woman-detained-police-say/")</f>
        <v>https://www.actionnews5.com/2025/08/20/shots-fired-riverview-middle-school-one-woman-detained-police-say/</v>
      </c>
      <c r="L32" s="8">
        <f ca="1">IFERROR(__xludf.DUMMYFUNCTION("""COMPUTED_VALUE"""),1)</f>
        <v>1</v>
      </c>
      <c r="M32" s="8" t="str">
        <f ca="1">IFERROR(__xludf.DUMMYFUNCTION("""COMPUTED_VALUE"""),"Local")</f>
        <v>Local</v>
      </c>
      <c r="N32" s="8">
        <f ca="1">IFERROR(__xludf.DUMMYFUNCTION("""COMPUTED_VALUE"""),2)</f>
        <v>2</v>
      </c>
      <c r="O32" s="8" t="str">
        <f ca="1">IFERROR(__xludf.DUMMYFUNCTION("""COMPUTED_VALUE"""),"Summer")</f>
        <v>Summer</v>
      </c>
      <c r="P32" s="8" t="str">
        <f ca="1">IFERROR(__xludf.DUMMYFUNCTION("""COMPUTED_VALUE"""),"Memphis")</f>
        <v>Memphis</v>
      </c>
      <c r="Q32" s="8" t="str">
        <f ca="1">IFERROR(__xludf.DUMMYFUNCTION("""COMPUTED_VALUE"""),"TN")</f>
        <v>TN</v>
      </c>
      <c r="R32" s="8" t="str">
        <f ca="1">IFERROR(__xludf.DUMMYFUNCTION("""COMPUTED_VALUE"""),"Middle")</f>
        <v>Middle</v>
      </c>
      <c r="S32" s="8"/>
      <c r="T32" s="8"/>
      <c r="U32" s="8" t="str">
        <f ca="1">IFERROR(__xludf.DUMMYFUNCTION("""COMPUTED_VALUE"""),"No")</f>
        <v>No</v>
      </c>
      <c r="V32" s="8" t="str">
        <f ca="1">IFERROR(__xludf.DUMMYFUNCTION("""COMPUTED_VALUE"""),"Evening")</f>
        <v>Evening</v>
      </c>
      <c r="W32" s="11">
        <f ca="1">IFERROR(__xludf.DUMMYFUNCTION("""COMPUTED_VALUE"""),0.715277777777777)</f>
        <v>0.71527777777777701</v>
      </c>
      <c r="X32" s="8">
        <f ca="1">IFERROR(__xludf.DUMMYFUNCTION("""COMPUTED_VALUE"""),1)</f>
        <v>1</v>
      </c>
      <c r="Y32" s="12" t="str">
        <f ca="1">IFERROR(__xludf.DUMMYFUNCTION("""COMPUTED_VALUE"""),"Woman arrested after shot fired at the school")</f>
        <v>Woman arrested after shot fired at the school</v>
      </c>
      <c r="Z32" s="12" t="str">
        <f ca="1">IFERROR(__xludf.DUMMYFUNCTION("""COMPUTED_VALUE"""),"An investigation is underway for an alleged shooting that took place at a middle school on Wednesday evening. According to MPD, the shooting took place at 5:10 p.m. at Riverview Middle School, located on 241 Majuba Avenue. No injuries have been reported a"&amp;"t this time, but MPD has one woman detained. This is an ongoing investigation.")</f>
        <v>An investigation is underway for an alleged shooting that took place at a middle school on Wednesday evening. According to MPD, the shooting took place at 5:10 p.m. at Riverview Middle School, located on 241 Majuba Avenue. No injuries have been reported at this time, but MPD has one woman detained. This is an ongoing investigation.</v>
      </c>
      <c r="AA32" s="8"/>
      <c r="AB32" s="8"/>
      <c r="AC32" s="8"/>
      <c r="AD32" s="8"/>
      <c r="AE32" s="8" t="str">
        <f ca="1">IFERROR(__xludf.DUMMYFUNCTION("""COMPUTED_VALUE"""),"No")</f>
        <v>No</v>
      </c>
      <c r="AF32" s="8"/>
      <c r="AG32" s="8" t="str">
        <f ca="1">IFERROR(__xludf.DUMMYFUNCTION("""COMPUTED_VALUE"""),"No")</f>
        <v>No</v>
      </c>
      <c r="AH32" s="8" t="str">
        <f ca="1">IFERROR(__xludf.DUMMYFUNCTION("""COMPUTED_VALUE"""),"No")</f>
        <v>No</v>
      </c>
      <c r="AI32" s="8" t="str">
        <f ca="1">IFERROR(__xludf.DUMMYFUNCTION("""COMPUTED_VALUE"""),"No")</f>
        <v>No</v>
      </c>
      <c r="AJ32" s="8" t="str">
        <f ca="1">IFERROR(__xludf.DUMMYFUNCTION("""COMPUTED_VALUE"""),"No")</f>
        <v>No</v>
      </c>
      <c r="AK32" s="8" t="str">
        <f ca="1">IFERROR(__xludf.DUMMYFUNCTION("""COMPUTED_VALUE"""),"No")</f>
        <v>No</v>
      </c>
      <c r="AL32" s="8" t="str">
        <f ca="1">IFERROR(__xludf.DUMMYFUNCTION("""COMPUTED_VALUE"""),"No")</f>
        <v>No</v>
      </c>
      <c r="AM32" s="8" t="str">
        <f ca="1">IFERROR(__xludf.DUMMYFUNCTION("""COMPUTED_VALUE"""),"No")</f>
        <v>No</v>
      </c>
      <c r="AN32" s="8"/>
      <c r="AO32" s="8" t="str">
        <f ca="1">IFERROR(__xludf.DUMMYFUNCTION("""COMPUTED_VALUE"""),"No")</f>
        <v>No</v>
      </c>
      <c r="AP32" s="8"/>
      <c r="AQ32" s="8"/>
      <c r="AR32" s="8"/>
      <c r="AS32" s="8">
        <f ca="1">IFERROR(__xludf.DUMMYFUNCTION("""COMPUTED_VALUE"""),99)</f>
        <v>99</v>
      </c>
      <c r="AT32" s="8"/>
      <c r="AU32" s="8">
        <f ca="1">IFERROR(__xludf.DUMMYFUNCTION("""COMPUTED_VALUE"""),35.096211)</f>
        <v>35.096210999999997</v>
      </c>
      <c r="AV32" s="8">
        <f ca="1">IFERROR(__xludf.DUMMYFUNCTION("""COMPUTED_VALUE"""),-90.070873)</f>
        <v>-90.070873000000006</v>
      </c>
      <c r="AW32" s="8" t="str">
        <f ca="1">IFERROR(__xludf.DUMMYFUNCTION("""COMPUTED_VALUE"""),"Single building indoor hallway")</f>
        <v>Single building indoor hallway</v>
      </c>
      <c r="AX32" s="8">
        <f ca="1">IFERROR(__xludf.DUMMYFUNCTION("""COMPUTED_VALUE"""),38109)</f>
        <v>38109</v>
      </c>
    </row>
    <row r="33" spans="1:50" ht="195" x14ac:dyDescent="0.2">
      <c r="A33" s="8" t="str">
        <f ca="1">IFERROR(__xludf.DUMMYFUNCTION("""COMPUTED_VALUE"""),"20250820MSGUG")</f>
        <v>20250820MSGUG</v>
      </c>
      <c r="B33" s="8">
        <f ca="1">IFERROR(__xludf.DUMMYFUNCTION("""COMPUTED_VALUE"""),8)</f>
        <v>8</v>
      </c>
      <c r="C33" s="8">
        <f ca="1">IFERROR(__xludf.DUMMYFUNCTION("""COMPUTED_VALUE"""),20)</f>
        <v>20</v>
      </c>
      <c r="D33" s="8">
        <f ca="1">IFERROR(__xludf.DUMMYFUNCTION("""COMPUTED_VALUE"""),2025)</f>
        <v>2025</v>
      </c>
      <c r="E33" s="9">
        <f ca="1">IFERROR(__xludf.DUMMYFUNCTION("""COMPUTED_VALUE"""),45889)</f>
        <v>45889</v>
      </c>
      <c r="F33" s="8" t="str">
        <f ca="1">IFERROR(__xludf.DUMMYFUNCTION("""COMPUTED_VALUE"""),"Gulfport School Bus")</f>
        <v>Gulfport School Bus</v>
      </c>
      <c r="G33" s="8">
        <f ca="1">IFERROR(__xludf.DUMMYFUNCTION("""COMPUTED_VALUE"""),0)</f>
        <v>0</v>
      </c>
      <c r="H33" s="8">
        <f ca="1">IFERROR(__xludf.DUMMYFUNCTION("""COMPUTED_VALUE"""),0)</f>
        <v>0</v>
      </c>
      <c r="I33" s="8">
        <f ca="1">IFERROR(__xludf.DUMMYFUNCTION("""COMPUTED_VALUE"""),0)</f>
        <v>0</v>
      </c>
      <c r="J33" s="8">
        <f ca="1">IFERROR(__xludf.DUMMYFUNCTION("""COMPUTED_VALUE"""),0)</f>
        <v>0</v>
      </c>
      <c r="K33" s="10" t="str">
        <f ca="1">IFERROR(__xludf.DUMMYFUNCTION("""COMPUTED_VALUE"""),"https://www.wlox.com/2025/08/20/gulfport-teen-15-arrested-after-firing-handgun-bus-police-say/")</f>
        <v>https://www.wlox.com/2025/08/20/gulfport-teen-15-arrested-after-firing-handgun-bus-police-say/</v>
      </c>
      <c r="L33" s="8">
        <f ca="1">IFERROR(__xludf.DUMMYFUNCTION("""COMPUTED_VALUE"""),10)</f>
        <v>10</v>
      </c>
      <c r="M33" s="8" t="str">
        <f ca="1">IFERROR(__xludf.DUMMYFUNCTION("""COMPUTED_VALUE"""),"Regional")</f>
        <v>Regional</v>
      </c>
      <c r="N33" s="8">
        <f ca="1">IFERROR(__xludf.DUMMYFUNCTION("""COMPUTED_VALUE"""),4)</f>
        <v>4</v>
      </c>
      <c r="O33" s="8" t="str">
        <f ca="1">IFERROR(__xludf.DUMMYFUNCTION("""COMPUTED_VALUE"""),"Summer")</f>
        <v>Summer</v>
      </c>
      <c r="P33" s="8" t="str">
        <f ca="1">IFERROR(__xludf.DUMMYFUNCTION("""COMPUTED_VALUE"""),"Gulfport")</f>
        <v>Gulfport</v>
      </c>
      <c r="Q33" s="8" t="str">
        <f ca="1">IFERROR(__xludf.DUMMYFUNCTION("""COMPUTED_VALUE"""),"MS")</f>
        <v>MS</v>
      </c>
      <c r="R33" s="8" t="str">
        <f ca="1">IFERROR(__xludf.DUMMYFUNCTION("""COMPUTED_VALUE"""),"High")</f>
        <v>High</v>
      </c>
      <c r="S33" s="8" t="str">
        <f ca="1">IFERROR(__xludf.DUMMYFUNCTION("""COMPUTED_VALUE"""),"School Bus")</f>
        <v>School Bus</v>
      </c>
      <c r="T33" s="8" t="str">
        <f ca="1">IFERROR(__xludf.DUMMYFUNCTION("""COMPUTED_VALUE"""),"Outside on School Property")</f>
        <v>Outside on School Property</v>
      </c>
      <c r="U33" s="8" t="str">
        <f ca="1">IFERROR(__xludf.DUMMYFUNCTION("""COMPUTED_VALUE"""),"Yes")</f>
        <v>Yes</v>
      </c>
      <c r="V33" s="8" t="str">
        <f ca="1">IFERROR(__xludf.DUMMYFUNCTION("""COMPUTED_VALUE"""),"Dismissal")</f>
        <v>Dismissal</v>
      </c>
      <c r="W33" s="11">
        <f ca="1">IFERROR(__xludf.DUMMYFUNCTION("""COMPUTED_VALUE"""),0.666666666666666)</f>
        <v>0.66666666666666596</v>
      </c>
      <c r="X33" s="8">
        <f ca="1">IFERROR(__xludf.DUMMYFUNCTION("""COMPUTED_VALUE"""),1)</f>
        <v>1</v>
      </c>
      <c r="Y33" s="12" t="str">
        <f ca="1">IFERROR(__xludf.DUMMYFUNCTION("""COMPUTED_VALUE"""),"Student fired shot at school bus after an argument on the bus")</f>
        <v>Student fired shot at school bus after an argument on the bus</v>
      </c>
      <c r="Z33" s="12" t="str">
        <f ca="1">IFERROR(__xludf.DUMMYFUNCTION("""COMPUTED_VALUE"""),"On Wednesday, officials with the Gulfport Police Department announced the arrest of a 15-year-old on gun charges. Officials say that just after 4 p.m. on Monday, August 18, police were called to the area of Turnberry Avenue and George Street after the 15-"&amp;"year-old allegedly fired a handgun in his bus’s direction. Investigators believe the teen had been in an argument on the bus. After shooting, police say the teen left the scene. The teen is currently charged with the following: Possession of a Handgun on "&amp;"School Property, x1, Shooting at a Vehicle, x1, The teen was taken to be held at the Harrison County Adult Detention Center, where he is being held on a $1,000,000 bond set by Judge Diane Ladner.")</f>
        <v>On Wednesday, officials with the Gulfport Police Department announced the arrest of a 15-year-old on gun charges. Officials say that just after 4 p.m. on Monday, August 18, police were called to the area of Turnberry Avenue and George Street after the 15-year-old allegedly fired a handgun in his bus’s direction. Investigators believe the teen had been in an argument on the bus. After shooting, police say the teen left the scene. The teen is currently charged with the following: Possession of a Handgun on School Property, x1, Shooting at a Vehicle, x1, The teen was taken to be held at the Harrison County Adult Detention Center, where he is being held on a $1,000,000 bond set by Judge Diane Ladner.</v>
      </c>
      <c r="AA33" s="8" t="str">
        <f ca="1">IFERROR(__xludf.DUMMYFUNCTION("""COMPUTED_VALUE"""),"Escalation of Dispute")</f>
        <v>Escalation of Dispute</v>
      </c>
      <c r="AB33" s="8" t="str">
        <f ca="1">IFERROR(__xludf.DUMMYFUNCTION("""COMPUTED_VALUE"""),"Spontaneous")</f>
        <v>Spontaneous</v>
      </c>
      <c r="AC33" s="8" t="str">
        <f ca="1">IFERROR(__xludf.DUMMYFUNCTION("""COMPUTED_VALUE"""),"Yes")</f>
        <v>Yes</v>
      </c>
      <c r="AD33" s="8" t="str">
        <f ca="1">IFERROR(__xludf.DUMMYFUNCTION("""COMPUTED_VALUE"""),"Victims Targeted")</f>
        <v>Victims Targeted</v>
      </c>
      <c r="AE33" s="8" t="str">
        <f ca="1">IFERROR(__xludf.DUMMYFUNCTION("""COMPUTED_VALUE"""),"No")</f>
        <v>No</v>
      </c>
      <c r="AF33" s="8"/>
      <c r="AG33" s="8" t="str">
        <f ca="1">IFERROR(__xludf.DUMMYFUNCTION("""COMPUTED_VALUE"""),"No")</f>
        <v>No</v>
      </c>
      <c r="AH33" s="8" t="str">
        <f ca="1">IFERROR(__xludf.DUMMYFUNCTION("""COMPUTED_VALUE"""),"No")</f>
        <v>No</v>
      </c>
      <c r="AI33" s="8" t="str">
        <f ca="1">IFERROR(__xludf.DUMMYFUNCTION("""COMPUTED_VALUE"""),"No")</f>
        <v>No</v>
      </c>
      <c r="AJ33" s="8" t="str">
        <f ca="1">IFERROR(__xludf.DUMMYFUNCTION("""COMPUTED_VALUE"""),"No")</f>
        <v>No</v>
      </c>
      <c r="AK33" s="8" t="str">
        <f ca="1">IFERROR(__xludf.DUMMYFUNCTION("""COMPUTED_VALUE"""),"No")</f>
        <v>No</v>
      </c>
      <c r="AL33" s="8" t="str">
        <f ca="1">IFERROR(__xludf.DUMMYFUNCTION("""COMPUTED_VALUE"""),"No")</f>
        <v>No</v>
      </c>
      <c r="AM33" s="8" t="str">
        <f ca="1">IFERROR(__xludf.DUMMYFUNCTION("""COMPUTED_VALUE"""),"No")</f>
        <v>No</v>
      </c>
      <c r="AN33" s="8" t="str">
        <f ca="1">IFERROR(__xludf.DUMMYFUNCTION("""COMPUTED_VALUE"""),"Outside")</f>
        <v>Outside</v>
      </c>
      <c r="AO33" s="8" t="str">
        <f ca="1">IFERROR(__xludf.DUMMYFUNCTION("""COMPUTED_VALUE"""),"No")</f>
        <v>No</v>
      </c>
      <c r="AP33" s="8"/>
      <c r="AQ33" s="8"/>
      <c r="AR33" s="8" t="str">
        <f ca="1">IFERROR(__xludf.DUMMYFUNCTION("""COMPUTED_VALUE"""),"Outside/Off-Property")</f>
        <v>Outside/Off-Property</v>
      </c>
      <c r="AS33" s="8">
        <f ca="1">IFERROR(__xludf.DUMMYFUNCTION("""COMPUTED_VALUE"""),1)</f>
        <v>1</v>
      </c>
      <c r="AT33" s="8" t="str">
        <f ca="1">IFERROR(__xludf.DUMMYFUNCTION("""COMPUTED_VALUE"""),"No")</f>
        <v>No</v>
      </c>
      <c r="AU33" s="8">
        <f ca="1">IFERROR(__xludf.DUMMYFUNCTION("""COMPUTED_VALUE"""),30.446787)</f>
        <v>30.446787</v>
      </c>
      <c r="AV33" s="8">
        <f ca="1">IFERROR(__xludf.DUMMYFUNCTION("""COMPUTED_VALUE"""),-89.04204)</f>
        <v>-89.04204</v>
      </c>
      <c r="AW33" s="8"/>
      <c r="AX33" s="8">
        <f ca="1">IFERROR(__xludf.DUMMYFUNCTION("""COMPUTED_VALUE"""),39503)</f>
        <v>39503</v>
      </c>
    </row>
    <row r="34" spans="1:50" ht="270" x14ac:dyDescent="0.2">
      <c r="A34" s="8" t="str">
        <f ca="1">IFERROR(__xludf.DUMMYFUNCTION("""COMPUTED_VALUE"""),"20250820ARROL")</f>
        <v>20250820ARROL</v>
      </c>
      <c r="B34" s="8">
        <f ca="1">IFERROR(__xludf.DUMMYFUNCTION("""COMPUTED_VALUE"""),8)</f>
        <v>8</v>
      </c>
      <c r="C34" s="8">
        <f ca="1">IFERROR(__xludf.DUMMYFUNCTION("""COMPUTED_VALUE"""),20)</f>
        <v>20</v>
      </c>
      <c r="D34" s="8">
        <f ca="1">IFERROR(__xludf.DUMMYFUNCTION("""COMPUTED_VALUE"""),2025)</f>
        <v>2025</v>
      </c>
      <c r="E34" s="9">
        <f ca="1">IFERROR(__xludf.DUMMYFUNCTION("""COMPUTED_VALUE"""),45889)</f>
        <v>45889</v>
      </c>
      <c r="F34" s="8" t="str">
        <f ca="1">IFERROR(__xludf.DUMMYFUNCTION("""COMPUTED_VALUE"""),"Rockefeller Early Childhood Center")</f>
        <v>Rockefeller Early Childhood Center</v>
      </c>
      <c r="G34" s="8">
        <f ca="1">IFERROR(__xludf.DUMMYFUNCTION("""COMPUTED_VALUE"""),1)</f>
        <v>1</v>
      </c>
      <c r="H34" s="8">
        <f ca="1">IFERROR(__xludf.DUMMYFUNCTION("""COMPUTED_VALUE"""),0)</f>
        <v>0</v>
      </c>
      <c r="I34" s="8">
        <f ca="1">IFERROR(__xludf.DUMMYFUNCTION("""COMPUTED_VALUE"""),1)</f>
        <v>1</v>
      </c>
      <c r="J34" s="8">
        <f ca="1">IFERROR(__xludf.DUMMYFUNCTION("""COMPUTED_VALUE"""),0)</f>
        <v>0</v>
      </c>
      <c r="K34" s="10" t="str">
        <f ca="1">IFERROR(__xludf.DUMMYFUNCTION("""COMPUTED_VALUE"""),"https://www.nwaonline.com/news/2025/aug/20/employee-of-little-rock-school-fatally-shot-in/
https://www.nwaonline.com/news/2025/aug/20/employee-of-little-rock-school-fatally-shot-in/")</f>
        <v>https://www.nwaonline.com/news/2025/aug/20/employee-of-little-rock-school-fatally-shot-in/
https://www.nwaonline.com/news/2025/aug/20/employee-of-little-rock-school-fatally-shot-in/</v>
      </c>
      <c r="L34" s="8">
        <f ca="1">IFERROR(__xludf.DUMMYFUNCTION("""COMPUTED_VALUE"""),20)</f>
        <v>20</v>
      </c>
      <c r="M34" s="8" t="str">
        <f ca="1">IFERROR(__xludf.DUMMYFUNCTION("""COMPUTED_VALUE"""),"Regional")</f>
        <v>Regional</v>
      </c>
      <c r="N34" s="8">
        <f ca="1">IFERROR(__xludf.DUMMYFUNCTION("""COMPUTED_VALUE"""),4)</f>
        <v>4</v>
      </c>
      <c r="O34" s="8" t="str">
        <f ca="1">IFERROR(__xludf.DUMMYFUNCTION("""COMPUTED_VALUE"""),"Summer")</f>
        <v>Summer</v>
      </c>
      <c r="P34" s="8" t="str">
        <f ca="1">IFERROR(__xludf.DUMMYFUNCTION("""COMPUTED_VALUE"""),"Little Rock")</f>
        <v>Little Rock</v>
      </c>
      <c r="Q34" s="8" t="str">
        <f ca="1">IFERROR(__xludf.DUMMYFUNCTION("""COMPUTED_VALUE"""),"AR")</f>
        <v>AR</v>
      </c>
      <c r="R34" s="8" t="str">
        <f ca="1">IFERROR(__xludf.DUMMYFUNCTION("""COMPUTED_VALUE"""),"Elementary")</f>
        <v>Elementary</v>
      </c>
      <c r="S34" s="8" t="str">
        <f ca="1">IFERROR(__xludf.DUMMYFUNCTION("""COMPUTED_VALUE"""),"Parking Lot")</f>
        <v>Parking Lot</v>
      </c>
      <c r="T34" s="8" t="str">
        <f ca="1">IFERROR(__xludf.DUMMYFUNCTION("""COMPUTED_VALUE"""),"Outside on School Property")</f>
        <v>Outside on School Property</v>
      </c>
      <c r="U34" s="8" t="str">
        <f ca="1">IFERROR(__xludf.DUMMYFUNCTION("""COMPUTED_VALUE"""),"Yes")</f>
        <v>Yes</v>
      </c>
      <c r="V34" s="8" t="str">
        <f ca="1">IFERROR(__xludf.DUMMYFUNCTION("""COMPUTED_VALUE"""),"Afternoon Classes")</f>
        <v>Afternoon Classes</v>
      </c>
      <c r="W34" s="11">
        <f ca="1">IFERROR(__xludf.DUMMYFUNCTION("""COMPUTED_VALUE"""),0.621527777777777)</f>
        <v>0.62152777777777701</v>
      </c>
      <c r="X34" s="8">
        <f ca="1">IFERROR(__xludf.DUMMYFUNCTION("""COMPUTED_VALUE"""),1)</f>
        <v>1</v>
      </c>
      <c r="Y34" s="12" t="str">
        <f ca="1">IFERROR(__xludf.DUMMYFUNCTION("""COMPUTED_VALUE"""),"Teacher fatally shot during domestic in school parking lot")</f>
        <v>Teacher fatally shot during domestic in school parking lot</v>
      </c>
      <c r="Z34" s="12" t="str">
        <f ca="1">IFERROR(__xludf.DUMMYFUNCTION("""COMPUTED_VALUE"""),"An employee at the Rockefeller Early Childhood Center in Little Rock was fatally shot in a parking lot just outside the school on Wednesday afternoon, and a man she was in a relationship with was arrested on a capital murder charge in the killing, authori"&amp;"ties said. Little Rock police have made an arrest and identified both the victim and suspect after a woman was shot and killed in a parking lot outside the Rockefeller Early Childhood Center on Wednesday afternoon, according to officials. Little Rock poli"&amp;"ce say 29-year-old Duane Nooner was arrested Wednesday evening and is now facing a capital murder charge. The victim has been identified as 36-year-old Michelle Butler of Little Rock. Mayor Frank Scott Jr. confirmed that Butler was an employee of the Litt"&amp;"le Rock School District. The alleged shooter is in custody, the mayor said. In a statement, Little Rock School District officials called the shooting a tragic, isolated domestic incident that triggered a lockdown of the school.")</f>
        <v>An employee at the Rockefeller Early Childhood Center in Little Rock was fatally shot in a parking lot just outside the school on Wednesday afternoon, and a man she was in a relationship with was arrested on a capital murder charge in the killing, authorities said. Little Rock police have made an arrest and identified both the victim and suspect after a woman was shot and killed in a parking lot outside the Rockefeller Early Childhood Center on Wednesday afternoon, according to officials. Little Rock police say 29-year-old Duane Nooner was arrested Wednesday evening and is now facing a capital murder charge. The victim has been identified as 36-year-old Michelle Butler of Little Rock. Mayor Frank Scott Jr. confirmed that Butler was an employee of the Little Rock School District. The alleged shooter is in custody, the mayor said. In a statement, Little Rock School District officials called the shooting a tragic, isolated domestic incident that triggered a lockdown of the school.</v>
      </c>
      <c r="AA34" s="8" t="str">
        <f ca="1">IFERROR(__xludf.DUMMYFUNCTION("""COMPUTED_VALUE"""),"Domestic w/ Targeted Victim")</f>
        <v>Domestic w/ Targeted Victim</v>
      </c>
      <c r="AB34" s="8" t="str">
        <f ca="1">IFERROR(__xludf.DUMMYFUNCTION("""COMPUTED_VALUE"""),"Targeted")</f>
        <v>Targeted</v>
      </c>
      <c r="AC34" s="8" t="str">
        <f ca="1">IFERROR(__xludf.DUMMYFUNCTION("""COMPUTED_VALUE"""),"Yes")</f>
        <v>Yes</v>
      </c>
      <c r="AD34" s="8" t="str">
        <f ca="1">IFERROR(__xludf.DUMMYFUNCTION("""COMPUTED_VALUE"""),"Victims Targeted")</f>
        <v>Victims Targeted</v>
      </c>
      <c r="AE34" s="8" t="str">
        <f ca="1">IFERROR(__xludf.DUMMYFUNCTION("""COMPUTED_VALUE"""),"No")</f>
        <v>No</v>
      </c>
      <c r="AF34" s="8"/>
      <c r="AG34" s="8" t="str">
        <f ca="1">IFERROR(__xludf.DUMMYFUNCTION("""COMPUTED_VALUE"""),"No")</f>
        <v>No</v>
      </c>
      <c r="AH34" s="8" t="str">
        <f ca="1">IFERROR(__xludf.DUMMYFUNCTION("""COMPUTED_VALUE"""),"No")</f>
        <v>No</v>
      </c>
      <c r="AI34" s="8" t="str">
        <f ca="1">IFERROR(__xludf.DUMMYFUNCTION("""COMPUTED_VALUE"""),"No")</f>
        <v>No</v>
      </c>
      <c r="AJ34" s="8" t="str">
        <f ca="1">IFERROR(__xludf.DUMMYFUNCTION("""COMPUTED_VALUE"""),"No")</f>
        <v>No</v>
      </c>
      <c r="AK34" s="8" t="str">
        <f ca="1">IFERROR(__xludf.DUMMYFUNCTION("""COMPUTED_VALUE"""),"Yes")</f>
        <v>Yes</v>
      </c>
      <c r="AL34" s="8" t="str">
        <f ca="1">IFERROR(__xludf.DUMMYFUNCTION("""COMPUTED_VALUE"""),"No")</f>
        <v>No</v>
      </c>
      <c r="AM34" s="8" t="str">
        <f ca="1">IFERROR(__xludf.DUMMYFUNCTION("""COMPUTED_VALUE"""),"No")</f>
        <v>No</v>
      </c>
      <c r="AN34" s="8" t="str">
        <f ca="1">IFERROR(__xludf.DUMMYFUNCTION("""COMPUTED_VALUE"""),"Outside")</f>
        <v>Outside</v>
      </c>
      <c r="AO34" s="8" t="str">
        <f ca="1">IFERROR(__xludf.DUMMYFUNCTION("""COMPUTED_VALUE"""),"No")</f>
        <v>No</v>
      </c>
      <c r="AP34" s="8" t="str">
        <f ca="1">IFERROR(__xludf.DUMMYFUNCTION("""COMPUTED_VALUE"""),"No")</f>
        <v>No</v>
      </c>
      <c r="AQ34" s="8"/>
      <c r="AR34" s="8" t="str">
        <f ca="1">IFERROR(__xludf.DUMMYFUNCTION("""COMPUTED_VALUE"""),"Outside/Off-Property")</f>
        <v>Outside/Off-Property</v>
      </c>
      <c r="AS34" s="8">
        <f ca="1">IFERROR(__xludf.DUMMYFUNCTION("""COMPUTED_VALUE"""),1)</f>
        <v>1</v>
      </c>
      <c r="AT34" s="8" t="str">
        <f ca="1">IFERROR(__xludf.DUMMYFUNCTION("""COMPUTED_VALUE"""),"Yes")</f>
        <v>Yes</v>
      </c>
      <c r="AU34" s="8">
        <f ca="1">IFERROR(__xludf.DUMMYFUNCTION("""COMPUTED_VALUE"""),34.731889)</f>
        <v>34.731889000000002</v>
      </c>
      <c r="AV34" s="8">
        <f ca="1">IFERROR(__xludf.DUMMYFUNCTION("""COMPUTED_VALUE"""),-92.265251)</f>
        <v>-92.265251000000006</v>
      </c>
      <c r="AW34" s="8" t="str">
        <f ca="1">IFERROR(__xludf.DUMMYFUNCTION("""COMPUTED_VALUE"""),"Single building indoor hallway")</f>
        <v>Single building indoor hallway</v>
      </c>
      <c r="AX34" s="8">
        <f ca="1">IFERROR(__xludf.DUMMYFUNCTION("""COMPUTED_VALUE"""),72206)</f>
        <v>72206</v>
      </c>
    </row>
    <row r="35" spans="1:50" ht="255" x14ac:dyDescent="0.2">
      <c r="A35" s="8" t="str">
        <f ca="1">IFERROR(__xludf.DUMMYFUNCTION("""COMPUTED_VALUE"""),"20250818NCPAC")</f>
        <v>20250818NCPAC</v>
      </c>
      <c r="B35" s="8">
        <f ca="1">IFERROR(__xludf.DUMMYFUNCTION("""COMPUTED_VALUE"""),8)</f>
        <v>8</v>
      </c>
      <c r="C35" s="8">
        <f ca="1">IFERROR(__xludf.DUMMYFUNCTION("""COMPUTED_VALUE"""),18)</f>
        <v>18</v>
      </c>
      <c r="D35" s="8">
        <f ca="1">IFERROR(__xludf.DUMMYFUNCTION("""COMPUTED_VALUE"""),2025)</f>
        <v>2025</v>
      </c>
      <c r="E35" s="9">
        <f ca="1">IFERROR(__xludf.DUMMYFUNCTION("""COMPUTED_VALUE"""),45887)</f>
        <v>45887</v>
      </c>
      <c r="F35" s="8" t="str">
        <f ca="1">IFERROR(__xludf.DUMMYFUNCTION("""COMPUTED_VALUE"""),"Palisades High School")</f>
        <v>Palisades High School</v>
      </c>
      <c r="G35" s="8">
        <f ca="1">IFERROR(__xludf.DUMMYFUNCTION("""COMPUTED_VALUE"""),0)</f>
        <v>0</v>
      </c>
      <c r="H35" s="8">
        <f ca="1">IFERROR(__xludf.DUMMYFUNCTION("""COMPUTED_VALUE"""),0)</f>
        <v>0</v>
      </c>
      <c r="I35" s="8">
        <f ca="1">IFERROR(__xludf.DUMMYFUNCTION("""COMPUTED_VALUE"""),0)</f>
        <v>0</v>
      </c>
      <c r="J35" s="8">
        <f ca="1">IFERROR(__xludf.DUMMYFUNCTION("""COMPUTED_VALUE"""),0)</f>
        <v>0</v>
      </c>
      <c r="K35" s="8" t="str">
        <f ca="1">IFERROR(__xludf.DUMMYFUNCTION("""COMPUTED_VALUE"""),"https://www.wbtv.com/2025/08/19/arrest-made-after-incident-palisades-high-school/
https://www.wsoctv.com/news/local/palisades-high-school-resumes-normal-activities-after-police-investigation-arrest-campus/RKUKGGJTLFFG7LIX65GFWEXIXA/
https://www.wsoctv.com"&amp;"/news/local/parents-say-upset-athlete-shot-palisades-high-school/CMNHAD7W6ND55F5VWL2KZ6ZW5I/")</f>
        <v>https://www.wbtv.com/2025/08/19/arrest-made-after-incident-palisades-high-school/
https://www.wsoctv.com/news/local/palisades-high-school-resumes-normal-activities-after-police-investigation-arrest-campus/RKUKGGJTLFFG7LIX65GFWEXIXA/
https://www.wsoctv.com/news/local/parents-say-upset-athlete-shot-palisades-high-school/CMNHAD7W6ND55F5VWL2KZ6ZW5I/</v>
      </c>
      <c r="L35" s="8">
        <f ca="1">IFERROR(__xludf.DUMMYFUNCTION("""COMPUTED_VALUE"""),10)</f>
        <v>10</v>
      </c>
      <c r="M35" s="8" t="str">
        <f ca="1">IFERROR(__xludf.DUMMYFUNCTION("""COMPUTED_VALUE"""),"Regional")</f>
        <v>Regional</v>
      </c>
      <c r="N35" s="8">
        <f ca="1">IFERROR(__xludf.DUMMYFUNCTION("""COMPUTED_VALUE"""),4)</f>
        <v>4</v>
      </c>
      <c r="O35" s="8" t="str">
        <f ca="1">IFERROR(__xludf.DUMMYFUNCTION("""COMPUTED_VALUE"""),"Summer")</f>
        <v>Summer</v>
      </c>
      <c r="P35" s="8" t="str">
        <f ca="1">IFERROR(__xludf.DUMMYFUNCTION("""COMPUTED_VALUE"""),"Charlotte")</f>
        <v>Charlotte</v>
      </c>
      <c r="Q35" s="8" t="str">
        <f ca="1">IFERROR(__xludf.DUMMYFUNCTION("""COMPUTED_VALUE"""),"NC")</f>
        <v>NC</v>
      </c>
      <c r="R35" s="8" t="str">
        <f ca="1">IFERROR(__xludf.DUMMYFUNCTION("""COMPUTED_VALUE"""),"High")</f>
        <v>High</v>
      </c>
      <c r="S35" s="8" t="str">
        <f ca="1">IFERROR(__xludf.DUMMYFUNCTION("""COMPUTED_VALUE"""),"Beside Building")</f>
        <v>Beside Building</v>
      </c>
      <c r="T35" s="8" t="str">
        <f ca="1">IFERROR(__xludf.DUMMYFUNCTION("""COMPUTED_VALUE"""),"Outside on School Property")</f>
        <v>Outside on School Property</v>
      </c>
      <c r="U35" s="8" t="str">
        <f ca="1">IFERROR(__xludf.DUMMYFUNCTION("""COMPUTED_VALUE"""),"Yes")</f>
        <v>Yes</v>
      </c>
      <c r="V35" s="8" t="str">
        <f ca="1">IFERROR(__xludf.DUMMYFUNCTION("""COMPUTED_VALUE"""),"Afternoon Classes")</f>
        <v>Afternoon Classes</v>
      </c>
      <c r="W35" s="11">
        <f ca="1">IFERROR(__xludf.DUMMYFUNCTION("""COMPUTED_VALUE"""),0.638888888888888)</f>
        <v>0.63888888888888795</v>
      </c>
      <c r="X35" s="8">
        <f ca="1">IFERROR(__xludf.DUMMYFUNCTION("""COMPUTED_VALUE"""),1)</f>
        <v>1</v>
      </c>
      <c r="Y35" s="12" t="str">
        <f ca="1">IFERROR(__xludf.DUMMYFUNCTION("""COMPUTED_VALUE"""),"Football player fired a shot that hit the school's window after being cut from the football team")</f>
        <v>Football player fired a shot that hit the school's window after being cut from the football team</v>
      </c>
      <c r="Z35" s="12" t="str">
        <f ca="1">IFERROR(__xludf.DUMMYFUNCTION("""COMPUTED_VALUE"""),"Parents tell Channel 9 that a football player who had been cut from the team fired a gun at Palisades High School. Those parents told Channel 9’s Glenn Counts that the incident began with an upset athlete. They said they heard that a football player, who "&amp;"had been cut from the team, fired a shot at the school’s building.Charlotte-Mecklenburg Schools (CMS) said police arrested a person Monday after an incident at the school, which cancelled on-campus activities. A person who claims they were on-campus Monda"&amp;"y, sent WBTV photos of a shattered school window, which appeared to have a bullet hole in it. However, Charlotte-Mecklenburg Schools has not specified what exactly happened, or whether a gun was fired at a school building. Charlotte-Mecklenburg Schools re"&amp;"ferred WBTV’s questions to the Charlotte-Mecklenburg Police Department, which didn’t provide information because the case involves a juvenile.")</f>
        <v>Parents tell Channel 9 that a football player who had been cut from the team fired a gun at Palisades High School. Those parents told Channel 9’s Glenn Counts that the incident began with an upset athlete. They said they heard that a football player, who had been cut from the team, fired a shot at the school’s building.Charlotte-Mecklenburg Schools (CMS) said police arrested a person Monday after an incident at the school, which cancelled on-campus activities. A person who claims they were on-campus Monday, sent WBTV photos of a shattered school window, which appeared to have a bullet hole in it. However, Charlotte-Mecklenburg Schools has not specified what exactly happened, or whether a gun was fired at a school building. Charlotte-Mecklenburg Schools referred WBTV’s questions to the Charlotte-Mecklenburg Police Department, which didn’t provide information because the case involves a juvenile.</v>
      </c>
      <c r="AA35" s="8" t="str">
        <f ca="1">IFERROR(__xludf.DUMMYFUNCTION("""COMPUTED_VALUE"""),"Anger Over Grade/Suspension/Discipline")</f>
        <v>Anger Over Grade/Suspension/Discipline</v>
      </c>
      <c r="AB35" s="8" t="str">
        <f ca="1">IFERROR(__xludf.DUMMYFUNCTION("""COMPUTED_VALUE"""),"Spontaneous")</f>
        <v>Spontaneous</v>
      </c>
      <c r="AC35" s="8" t="str">
        <f ca="1">IFERROR(__xludf.DUMMYFUNCTION("""COMPUTED_VALUE"""),"Yes")</f>
        <v>Yes</v>
      </c>
      <c r="AD35" s="8" t="str">
        <f ca="1">IFERROR(__xludf.DUMMYFUNCTION("""COMPUTED_VALUE"""),"Random Shooting")</f>
        <v>Random Shooting</v>
      </c>
      <c r="AE35" s="8" t="str">
        <f ca="1">IFERROR(__xludf.DUMMYFUNCTION("""COMPUTED_VALUE"""),"No")</f>
        <v>No</v>
      </c>
      <c r="AF35" s="8"/>
      <c r="AG35" s="8" t="str">
        <f ca="1">IFERROR(__xludf.DUMMYFUNCTION("""COMPUTED_VALUE"""),"No")</f>
        <v>No</v>
      </c>
      <c r="AH35" s="8" t="str">
        <f ca="1">IFERROR(__xludf.DUMMYFUNCTION("""COMPUTED_VALUE"""),"No")</f>
        <v>No</v>
      </c>
      <c r="AI35" s="8" t="str">
        <f ca="1">IFERROR(__xludf.DUMMYFUNCTION("""COMPUTED_VALUE"""),"No")</f>
        <v>No</v>
      </c>
      <c r="AJ35" s="8" t="str">
        <f ca="1">IFERROR(__xludf.DUMMYFUNCTION("""COMPUTED_VALUE"""),"No")</f>
        <v>No</v>
      </c>
      <c r="AK35" s="8" t="str">
        <f ca="1">IFERROR(__xludf.DUMMYFUNCTION("""COMPUTED_VALUE"""),"No")</f>
        <v>No</v>
      </c>
      <c r="AL35" s="8" t="str">
        <f ca="1">IFERROR(__xludf.DUMMYFUNCTION("""COMPUTED_VALUE"""),"No")</f>
        <v>No</v>
      </c>
      <c r="AM35" s="8" t="str">
        <f ca="1">IFERROR(__xludf.DUMMYFUNCTION("""COMPUTED_VALUE"""),"No")</f>
        <v>No</v>
      </c>
      <c r="AN35" s="8" t="str">
        <f ca="1">IFERROR(__xludf.DUMMYFUNCTION("""COMPUTED_VALUE"""),"Outside")</f>
        <v>Outside</v>
      </c>
      <c r="AO35" s="8" t="str">
        <f ca="1">IFERROR(__xludf.DUMMYFUNCTION("""COMPUTED_VALUE"""),"No")</f>
        <v>No</v>
      </c>
      <c r="AP35" s="8" t="str">
        <f ca="1">IFERROR(__xludf.DUMMYFUNCTION("""COMPUTED_VALUE"""),"Yes")</f>
        <v>Yes</v>
      </c>
      <c r="AQ35" s="8"/>
      <c r="AR35" s="8" t="str">
        <f ca="1">IFERROR(__xludf.DUMMYFUNCTION("""COMPUTED_VALUE"""),"Outside/Off-Property")</f>
        <v>Outside/Off-Property</v>
      </c>
      <c r="AS35" s="8">
        <f ca="1">IFERROR(__xludf.DUMMYFUNCTION("""COMPUTED_VALUE"""),1)</f>
        <v>1</v>
      </c>
      <c r="AT35" s="8" t="str">
        <f ca="1">IFERROR(__xludf.DUMMYFUNCTION("""COMPUTED_VALUE"""),"Yes")</f>
        <v>Yes</v>
      </c>
      <c r="AU35" s="8">
        <f ca="1">IFERROR(__xludf.DUMMYFUNCTION("""COMPUTED_VALUE"""),35.092163)</f>
        <v>35.092162999999999</v>
      </c>
      <c r="AV35" s="8">
        <f ca="1">IFERROR(__xludf.DUMMYFUNCTION("""COMPUTED_VALUE"""),-81.020997)</f>
        <v>-81.020996999999994</v>
      </c>
      <c r="AW35" s="8" t="str">
        <f ca="1">IFERROR(__xludf.DUMMYFUNCTION("""COMPUTED_VALUE"""),"Multiple attached buildings")</f>
        <v>Multiple attached buildings</v>
      </c>
      <c r="AX35" s="8">
        <f ca="1">IFERROR(__xludf.DUMMYFUNCTION("""COMPUTED_VALUE"""),28278)</f>
        <v>28278</v>
      </c>
    </row>
    <row r="36" spans="1:50" ht="90" x14ac:dyDescent="0.2">
      <c r="A36" s="8" t="str">
        <f ca="1">IFERROR(__xludf.DUMMYFUNCTION("""COMPUTED_VALUE"""),"20250815NCSOR")</f>
        <v>20250815NCSOR</v>
      </c>
      <c r="B36" s="8">
        <f ca="1">IFERROR(__xludf.DUMMYFUNCTION("""COMPUTED_VALUE"""),8)</f>
        <v>8</v>
      </c>
      <c r="C36" s="8">
        <f ca="1">IFERROR(__xludf.DUMMYFUNCTION("""COMPUTED_VALUE"""),15)</f>
        <v>15</v>
      </c>
      <c r="D36" s="8">
        <f ca="1">IFERROR(__xludf.DUMMYFUNCTION("""COMPUTED_VALUE"""),2025)</f>
        <v>2025</v>
      </c>
      <c r="E36" s="9">
        <f ca="1">IFERROR(__xludf.DUMMYFUNCTION("""COMPUTED_VALUE"""),45884)</f>
        <v>45884</v>
      </c>
      <c r="F36" s="8" t="str">
        <f ca="1">IFERROR(__xludf.DUMMYFUNCTION("""COMPUTED_VALUE"""),"Southeast Raleigh Magnet High School")</f>
        <v>Southeast Raleigh Magnet High School</v>
      </c>
      <c r="G36" s="8">
        <f ca="1">IFERROR(__xludf.DUMMYFUNCTION("""COMPUTED_VALUE"""),0)</f>
        <v>0</v>
      </c>
      <c r="H36" s="8">
        <f ca="1">IFERROR(__xludf.DUMMYFUNCTION("""COMPUTED_VALUE"""),0)</f>
        <v>0</v>
      </c>
      <c r="I36" s="8">
        <f ca="1">IFERROR(__xludf.DUMMYFUNCTION("""COMPUTED_VALUE"""),0)</f>
        <v>0</v>
      </c>
      <c r="J36" s="8">
        <f ca="1">IFERROR(__xludf.DUMMYFUNCTION("""COMPUTED_VALUE"""),0)</f>
        <v>0</v>
      </c>
      <c r="K36" s="10" t="str">
        <f ca="1">IFERROR(__xludf.DUMMYFUNCTION("""COMPUTED_VALUE"""),"https://www.wral.com/news/local/shots-fired-fights-southeast-raleigh-high-football-august-2025/
https://abc11.com/post/shots-fired-football-jamboree-southeast-raleigh-high-school/17552535/")</f>
        <v>https://www.wral.com/news/local/shots-fired-fights-southeast-raleigh-high-football-august-2025/
https://abc11.com/post/shots-fired-football-jamboree-southeast-raleigh-high-school/17552535/</v>
      </c>
      <c r="L36" s="8">
        <f ca="1">IFERROR(__xludf.DUMMYFUNCTION("""COMPUTED_VALUE"""),6)</f>
        <v>6</v>
      </c>
      <c r="M36" s="8" t="str">
        <f ca="1">IFERROR(__xludf.DUMMYFUNCTION("""COMPUTED_VALUE"""),"Regional")</f>
        <v>Regional</v>
      </c>
      <c r="N36" s="8">
        <f ca="1">IFERROR(__xludf.DUMMYFUNCTION("""COMPUTED_VALUE"""),4)</f>
        <v>4</v>
      </c>
      <c r="O36" s="8" t="str">
        <f ca="1">IFERROR(__xludf.DUMMYFUNCTION("""COMPUTED_VALUE"""),"Summer")</f>
        <v>Summer</v>
      </c>
      <c r="P36" s="8" t="str">
        <f ca="1">IFERROR(__xludf.DUMMYFUNCTION("""COMPUTED_VALUE"""),"Raleigh")</f>
        <v>Raleigh</v>
      </c>
      <c r="Q36" s="8" t="str">
        <f ca="1">IFERROR(__xludf.DUMMYFUNCTION("""COMPUTED_VALUE"""),"NC")</f>
        <v>NC</v>
      </c>
      <c r="R36" s="8" t="str">
        <f ca="1">IFERROR(__xludf.DUMMYFUNCTION("""COMPUTED_VALUE"""),"High")</f>
        <v>High</v>
      </c>
      <c r="S36" s="8" t="str">
        <f ca="1">IFERROR(__xludf.DUMMYFUNCTION("""COMPUTED_VALUE"""),"Parking Lot")</f>
        <v>Parking Lot</v>
      </c>
      <c r="T36" s="8" t="str">
        <f ca="1">IFERROR(__xludf.DUMMYFUNCTION("""COMPUTED_VALUE"""),"Outside on School Property")</f>
        <v>Outside on School Property</v>
      </c>
      <c r="U36" s="8" t="str">
        <f ca="1">IFERROR(__xludf.DUMMYFUNCTION("""COMPUTED_VALUE"""),"No")</f>
        <v>No</v>
      </c>
      <c r="V36" s="8" t="str">
        <f ca="1">IFERROR(__xludf.DUMMYFUNCTION("""COMPUTED_VALUE"""),"Sport Event")</f>
        <v>Sport Event</v>
      </c>
      <c r="W36" s="11">
        <f ca="1">IFERROR(__xludf.DUMMYFUNCTION("""COMPUTED_VALUE"""),0.875)</f>
        <v>0.875</v>
      </c>
      <c r="X36" s="8">
        <f ca="1">IFERROR(__xludf.DUMMYFUNCTION("""COMPUTED_VALUE"""),1)</f>
        <v>1</v>
      </c>
      <c r="Y36" s="12" t="str">
        <f ca="1">IFERROR(__xludf.DUMMYFUNCTION("""COMPUTED_VALUE"""),"Shots fired during fight between teens at football game")</f>
        <v>Shots fired during fight between teens at football game</v>
      </c>
      <c r="Z36" s="12" t="str">
        <f ca="1">IFERROR(__xludf.DUMMYFUNCTION("""COMPUTED_VALUE"""),"Shots were fired during a football jamboree at Southeast Raleigh High School late Friday night, police said. According to the Raleigh Police Department, the shooting happened during a series of fights that broke out in the parking lot. Police said the eve"&amp;"nt was being attended by multiple high schools.")</f>
        <v>Shots were fired during a football jamboree at Southeast Raleigh High School late Friday night, police said. According to the Raleigh Police Department, the shooting happened during a series of fights that broke out in the parking lot. Police said the event was being attended by multiple high schools.</v>
      </c>
      <c r="AA36" s="8" t="str">
        <f ca="1">IFERROR(__xludf.DUMMYFUNCTION("""COMPUTED_VALUE"""),"Escalation of Dispute")</f>
        <v>Escalation of Dispute</v>
      </c>
      <c r="AB36" s="8" t="str">
        <f ca="1">IFERROR(__xludf.DUMMYFUNCTION("""COMPUTED_VALUE"""),"Spontaneous")</f>
        <v>Spontaneous</v>
      </c>
      <c r="AC36" s="8" t="str">
        <f ca="1">IFERROR(__xludf.DUMMYFUNCTION("""COMPUTED_VALUE"""),"Yes")</f>
        <v>Yes</v>
      </c>
      <c r="AD36" s="8" t="str">
        <f ca="1">IFERROR(__xludf.DUMMYFUNCTION("""COMPUTED_VALUE"""),"Victims Targeted")</f>
        <v>Victims Targeted</v>
      </c>
      <c r="AE36" s="8"/>
      <c r="AF36" s="8"/>
      <c r="AG36" s="8" t="str">
        <f ca="1">IFERROR(__xludf.DUMMYFUNCTION("""COMPUTED_VALUE"""),"No")</f>
        <v>No</v>
      </c>
      <c r="AH36" s="8" t="str">
        <f ca="1">IFERROR(__xludf.DUMMYFUNCTION("""COMPUTED_VALUE"""),"No")</f>
        <v>No</v>
      </c>
      <c r="AI36" s="8" t="str">
        <f ca="1">IFERROR(__xludf.DUMMYFUNCTION("""COMPUTED_VALUE"""),"No")</f>
        <v>No</v>
      </c>
      <c r="AJ36" s="8" t="str">
        <f ca="1">IFERROR(__xludf.DUMMYFUNCTION("""COMPUTED_VALUE"""),"No")</f>
        <v>No</v>
      </c>
      <c r="AK36" s="8" t="str">
        <f ca="1">IFERROR(__xludf.DUMMYFUNCTION("""COMPUTED_VALUE"""),"No")</f>
        <v>No</v>
      </c>
      <c r="AL36" s="8"/>
      <c r="AM36" s="8" t="str">
        <f ca="1">IFERROR(__xludf.DUMMYFUNCTION("""COMPUTED_VALUE"""),"No")</f>
        <v>No</v>
      </c>
      <c r="AN36" s="8" t="str">
        <f ca="1">IFERROR(__xludf.DUMMYFUNCTION("""COMPUTED_VALUE"""),"Outside")</f>
        <v>Outside</v>
      </c>
      <c r="AO36" s="8" t="str">
        <f ca="1">IFERROR(__xludf.DUMMYFUNCTION("""COMPUTED_VALUE"""),"No")</f>
        <v>No</v>
      </c>
      <c r="AP36" s="8" t="str">
        <f ca="1">IFERROR(__xludf.DUMMYFUNCTION("""COMPUTED_VALUE"""),"Yes")</f>
        <v>Yes</v>
      </c>
      <c r="AQ36" s="8"/>
      <c r="AR36" s="8" t="str">
        <f ca="1">IFERROR(__xludf.DUMMYFUNCTION("""COMPUTED_VALUE"""),"Outside/Off-Property")</f>
        <v>Outside/Off-Property</v>
      </c>
      <c r="AS36" s="8">
        <f ca="1">IFERROR(__xludf.DUMMYFUNCTION("""COMPUTED_VALUE"""),99)</f>
        <v>99</v>
      </c>
      <c r="AT36" s="8" t="str">
        <f ca="1">IFERROR(__xludf.DUMMYFUNCTION("""COMPUTED_VALUE"""),"No")</f>
        <v>No</v>
      </c>
      <c r="AU36" s="8">
        <f ca="1">IFERROR(__xludf.DUMMYFUNCTION("""COMPUTED_VALUE"""),35.745353)</f>
        <v>35.745353000000001</v>
      </c>
      <c r="AV36" s="8">
        <f ca="1">IFERROR(__xludf.DUMMYFUNCTION("""COMPUTED_VALUE"""),-78.60449)</f>
        <v>-78.604489999999998</v>
      </c>
      <c r="AW36" s="8" t="str">
        <f ca="1">IFERROR(__xludf.DUMMYFUNCTION("""COMPUTED_VALUE"""),"Single building indoor hallway")</f>
        <v>Single building indoor hallway</v>
      </c>
      <c r="AX36" s="8">
        <f ca="1">IFERROR(__xludf.DUMMYFUNCTION("""COMPUTED_VALUE"""),27610)</f>
        <v>27610</v>
      </c>
    </row>
    <row r="37" spans="1:50" ht="210" x14ac:dyDescent="0.2">
      <c r="A37" s="8" t="str">
        <f ca="1">IFERROR(__xludf.DUMMYFUNCTION("""COMPUTED_VALUE"""),"20250814GAMEN")</f>
        <v>20250814GAMEN</v>
      </c>
      <c r="B37" s="8">
        <f ca="1">IFERROR(__xludf.DUMMYFUNCTION("""COMPUTED_VALUE"""),8)</f>
        <v>8</v>
      </c>
      <c r="C37" s="8">
        <f ca="1">IFERROR(__xludf.DUMMYFUNCTION("""COMPUTED_VALUE"""),14)</f>
        <v>14</v>
      </c>
      <c r="D37" s="8">
        <f ca="1">IFERROR(__xludf.DUMMYFUNCTION("""COMPUTED_VALUE"""),2025)</f>
        <v>2025</v>
      </c>
      <c r="E37" s="9">
        <f ca="1">IFERROR(__xludf.DUMMYFUNCTION("""COMPUTED_VALUE"""),45883)</f>
        <v>45883</v>
      </c>
      <c r="F37" s="8" t="str">
        <f ca="1">IFERROR(__xludf.DUMMYFUNCTION("""COMPUTED_VALUE"""),"Meadowcreek Elementary School")</f>
        <v>Meadowcreek Elementary School</v>
      </c>
      <c r="G37" s="8">
        <f ca="1">IFERROR(__xludf.DUMMYFUNCTION("""COMPUTED_VALUE"""),0)</f>
        <v>0</v>
      </c>
      <c r="H37" s="8">
        <f ca="1">IFERROR(__xludf.DUMMYFUNCTION("""COMPUTED_VALUE"""),0)</f>
        <v>0</v>
      </c>
      <c r="I37" s="8">
        <f ca="1">IFERROR(__xludf.DUMMYFUNCTION("""COMPUTED_VALUE"""),0)</f>
        <v>0</v>
      </c>
      <c r="J37" s="8">
        <f ca="1">IFERROR(__xludf.DUMMYFUNCTION("""COMPUTED_VALUE"""),0)</f>
        <v>0</v>
      </c>
      <c r="K37" s="10" t="str">
        <f ca="1">IFERROR(__xludf.DUMMYFUNCTION("""COMPUTED_VALUE"""),"https://www.atlantanewsfirst.com/2025/08/15/student-arrested-after-gun-discharged-gwinnett-county-elementary-school-bathroom/
https://www.fox5atlanta.com/news/gun-fired-toilet-gwinnett-elementary-superintendent-responds
https://www.11alive.com/article/new"&amp;"s/education/student-allegedly-fires-gun-into-toilet-at-meadowcreek-elementary/85-771a69b5-eb01-4db5-b7d9-6e38c6a9299d")</f>
        <v>https://www.atlantanewsfirst.com/2025/08/15/student-arrested-after-gun-discharged-gwinnett-county-elementary-school-bathroom/
https://www.fox5atlanta.com/news/gun-fired-toilet-gwinnett-elementary-superintendent-responds
https://www.11alive.com/article/news/education/student-allegedly-fires-gun-into-toilet-at-meadowcreek-elementary/85-771a69b5-eb01-4db5-b7d9-6e38c6a9299d</v>
      </c>
      <c r="L37" s="8">
        <f ca="1">IFERROR(__xludf.DUMMYFUNCTION("""COMPUTED_VALUE"""),20)</f>
        <v>20</v>
      </c>
      <c r="M37" s="8" t="str">
        <f ca="1">IFERROR(__xludf.DUMMYFUNCTION("""COMPUTED_VALUE"""),"Regional")</f>
        <v>Regional</v>
      </c>
      <c r="N37" s="8">
        <f ca="1">IFERROR(__xludf.DUMMYFUNCTION("""COMPUTED_VALUE"""),4)</f>
        <v>4</v>
      </c>
      <c r="O37" s="8" t="str">
        <f ca="1">IFERROR(__xludf.DUMMYFUNCTION("""COMPUTED_VALUE"""),"Summer")</f>
        <v>Summer</v>
      </c>
      <c r="P37" s="8" t="str">
        <f ca="1">IFERROR(__xludf.DUMMYFUNCTION("""COMPUTED_VALUE"""),"Norcross")</f>
        <v>Norcross</v>
      </c>
      <c r="Q37" s="8" t="str">
        <f ca="1">IFERROR(__xludf.DUMMYFUNCTION("""COMPUTED_VALUE"""),"GA")</f>
        <v>GA</v>
      </c>
      <c r="R37" s="8" t="str">
        <f ca="1">IFERROR(__xludf.DUMMYFUNCTION("""COMPUTED_VALUE"""),"Elementary")</f>
        <v>Elementary</v>
      </c>
      <c r="S37" s="8" t="str">
        <f ca="1">IFERROR(__xludf.DUMMYFUNCTION("""COMPUTED_VALUE"""),"Bathroom")</f>
        <v>Bathroom</v>
      </c>
      <c r="T37" s="8" t="str">
        <f ca="1">IFERROR(__xludf.DUMMYFUNCTION("""COMPUTED_VALUE"""),"Inside School Building")</f>
        <v>Inside School Building</v>
      </c>
      <c r="U37" s="8" t="str">
        <f ca="1">IFERROR(__xludf.DUMMYFUNCTION("""COMPUTED_VALUE"""),"Yes")</f>
        <v>Yes</v>
      </c>
      <c r="V37" s="8" t="str">
        <f ca="1">IFERROR(__xludf.DUMMYFUNCTION("""COMPUTED_VALUE"""),"School Start")</f>
        <v>School Start</v>
      </c>
      <c r="W37" s="11">
        <f ca="1">IFERROR(__xludf.DUMMYFUNCTION("""COMPUTED_VALUE"""),0.333333333333333)</f>
        <v>0.33333333333333298</v>
      </c>
      <c r="X37" s="8">
        <f ca="1">IFERROR(__xludf.DUMMYFUNCTION("""COMPUTED_VALUE"""),1)</f>
        <v>1</v>
      </c>
      <c r="Y37" s="12" t="str">
        <f ca="1">IFERROR(__xludf.DUMMYFUNCTION("""COMPUTED_VALUE"""),"Student fired gun into toilet before classes started")</f>
        <v>Student fired gun into toilet before classes started</v>
      </c>
      <c r="Z37" s="12" t="str">
        <f ca="1">IFERROR(__xludf.DUMMYFUNCTION("""COMPUTED_VALUE"""),"Watson said the incident came to light on Thursday after administrators learned about a broken toilet in a restroom. School officials said a student admitted to damaging it intentionally. The student was disciplined for the incident. But it was Friday whe"&amp;"n they learned more information about what happened. ""A parent and several students reported that the same student had brought a firearm to school on Thursday and threatened to use it to shoot the toilet,"" Watson said. ""School police immediately invest"&amp;"igated and confirmed the student had taken a gun from home, brought it to school, and discharged it in a toilet before classes began."" No one else was in the restroom, and no one was injured. The student was arrested and will face charges in the case. ")</f>
        <v xml:space="preserve">Watson said the incident came to light on Thursday after administrators learned about a broken toilet in a restroom. School officials said a student admitted to damaging it intentionally. The student was disciplined for the incident. But it was Friday when they learned more information about what happened. "A parent and several students reported that the same student had brought a firearm to school on Thursday and threatened to use it to shoot the toilet," Watson said. "School police immediately investigated and confirmed the student had taken a gun from home, brought it to school, and discharged it in a toilet before classes began." No one else was in the restroom, and no one was injured. The student was arrested and will face charges in the case. </v>
      </c>
      <c r="AA37" s="8" t="str">
        <f ca="1">IFERROR(__xludf.DUMMYFUNCTION("""COMPUTED_VALUE"""),"Intentional Property Damage")</f>
        <v>Intentional Property Damage</v>
      </c>
      <c r="AB37" s="8" t="str">
        <f ca="1">IFERROR(__xludf.DUMMYFUNCTION("""COMPUTED_VALUE"""),"Targeted")</f>
        <v>Targeted</v>
      </c>
      <c r="AC37" s="8" t="str">
        <f ca="1">IFERROR(__xludf.DUMMYFUNCTION("""COMPUTED_VALUE"""),"Yes")</f>
        <v>Yes</v>
      </c>
      <c r="AD37" s="8" t="str">
        <f ca="1">IFERROR(__xludf.DUMMYFUNCTION("""COMPUTED_VALUE"""),"Neither")</f>
        <v>Neither</v>
      </c>
      <c r="AE37" s="8" t="str">
        <f ca="1">IFERROR(__xludf.DUMMYFUNCTION("""COMPUTED_VALUE"""),"No")</f>
        <v>No</v>
      </c>
      <c r="AF37" s="8"/>
      <c r="AG37" s="8" t="str">
        <f ca="1">IFERROR(__xludf.DUMMYFUNCTION("""COMPUTED_VALUE"""),"No")</f>
        <v>No</v>
      </c>
      <c r="AH37" s="8" t="str">
        <f ca="1">IFERROR(__xludf.DUMMYFUNCTION("""COMPUTED_VALUE"""),"No")</f>
        <v>No</v>
      </c>
      <c r="AI37" s="8" t="str">
        <f ca="1">IFERROR(__xludf.DUMMYFUNCTION("""COMPUTED_VALUE"""),"No")</f>
        <v>No</v>
      </c>
      <c r="AJ37" s="8" t="str">
        <f ca="1">IFERROR(__xludf.DUMMYFUNCTION("""COMPUTED_VALUE"""),"No")</f>
        <v>No</v>
      </c>
      <c r="AK37" s="8" t="str">
        <f ca="1">IFERROR(__xludf.DUMMYFUNCTION("""COMPUTED_VALUE"""),"No")</f>
        <v>No</v>
      </c>
      <c r="AL37" s="8" t="str">
        <f ca="1">IFERROR(__xludf.DUMMYFUNCTION("""COMPUTED_VALUE"""),"No")</f>
        <v>No</v>
      </c>
      <c r="AM37" s="8" t="str">
        <f ca="1">IFERROR(__xludf.DUMMYFUNCTION("""COMPUTED_VALUE"""),"No")</f>
        <v>No</v>
      </c>
      <c r="AN37" s="8" t="str">
        <f ca="1">IFERROR(__xludf.DUMMYFUNCTION("""COMPUTED_VALUE"""),"Single Room")</f>
        <v>Single Room</v>
      </c>
      <c r="AO37" s="8" t="str">
        <f ca="1">IFERROR(__xludf.DUMMYFUNCTION("""COMPUTED_VALUE"""),"No")</f>
        <v>No</v>
      </c>
      <c r="AP37" s="8"/>
      <c r="AQ37" s="8"/>
      <c r="AR37" s="8" t="str">
        <f ca="1">IFERROR(__xludf.DUMMYFUNCTION("""COMPUTED_VALUE"""),"Failed")</f>
        <v>Failed</v>
      </c>
      <c r="AS37" s="8">
        <f ca="1">IFERROR(__xludf.DUMMYFUNCTION("""COMPUTED_VALUE"""),1)</f>
        <v>1</v>
      </c>
      <c r="AT37" s="8" t="str">
        <f ca="1">IFERROR(__xludf.DUMMYFUNCTION("""COMPUTED_VALUE"""),"No")</f>
        <v>No</v>
      </c>
      <c r="AU37" s="8">
        <f ca="1">IFERROR(__xludf.DUMMYFUNCTION("""COMPUTED_VALUE"""),33.921259)</f>
        <v>33.921258999999999</v>
      </c>
      <c r="AV37" s="8">
        <f ca="1">IFERROR(__xludf.DUMMYFUNCTION("""COMPUTED_VALUE"""),-84.166024)</f>
        <v>-84.166023999999993</v>
      </c>
      <c r="AW37" s="8" t="str">
        <f ca="1">IFERROR(__xludf.DUMMYFUNCTION("""COMPUTED_VALUE"""),"Single building indoor hallway")</f>
        <v>Single building indoor hallway</v>
      </c>
      <c r="AX37" s="8">
        <f ca="1">IFERROR(__xludf.DUMMYFUNCTION("""COMPUTED_VALUE"""),30093)</f>
        <v>30093</v>
      </c>
    </row>
    <row r="38" spans="1:50" ht="105" x14ac:dyDescent="0.2">
      <c r="A38" s="8" t="str">
        <f ca="1">IFERROR(__xludf.DUMMYFUNCTION("""COMPUTED_VALUE"""),"20250813KYCEL")</f>
        <v>20250813KYCEL</v>
      </c>
      <c r="B38" s="8">
        <f ca="1">IFERROR(__xludf.DUMMYFUNCTION("""COMPUTED_VALUE"""),8)</f>
        <v>8</v>
      </c>
      <c r="C38" s="8">
        <f ca="1">IFERROR(__xludf.DUMMYFUNCTION("""COMPUTED_VALUE"""),13)</f>
        <v>13</v>
      </c>
      <c r="D38" s="8">
        <f ca="1">IFERROR(__xludf.DUMMYFUNCTION("""COMPUTED_VALUE"""),2025)</f>
        <v>2025</v>
      </c>
      <c r="E38" s="9">
        <f ca="1">IFERROR(__xludf.DUMMYFUNCTION("""COMPUTED_VALUE"""),45882)</f>
        <v>45882</v>
      </c>
      <c r="F38" s="8" t="str">
        <f ca="1">IFERROR(__xludf.DUMMYFUNCTION("""COMPUTED_VALUE"""),"Central High School")</f>
        <v>Central High School</v>
      </c>
      <c r="G38" s="8">
        <f ca="1">IFERROR(__xludf.DUMMYFUNCTION("""COMPUTED_VALUE"""),1)</f>
        <v>1</v>
      </c>
      <c r="H38" s="8">
        <f ca="1">IFERROR(__xludf.DUMMYFUNCTION("""COMPUTED_VALUE"""),0)</f>
        <v>0</v>
      </c>
      <c r="I38" s="8">
        <f ca="1">IFERROR(__xludf.DUMMYFUNCTION("""COMPUTED_VALUE"""),1)</f>
        <v>1</v>
      </c>
      <c r="J38" s="8">
        <f ca="1">IFERROR(__xludf.DUMMYFUNCTION("""COMPUTED_VALUE"""),0)</f>
        <v>0</v>
      </c>
      <c r="K38" s="10" t="str">
        <f ca="1">IFERROR(__xludf.DUMMYFUNCTION("""COMPUTED_VALUE"""),"https://www.wave3.com/2025/08/13/woman-killed-teen-identified-suspect-shooting-11th-street-chestnut-street/
https://spectrumnews1.com/ky/louisville/news/2025/08/13/louisville-chestnut-street-shooting
https://www.whas11.com/article/news/local/louisville-ma"&amp;"yor-gives-passionate-plea-for-change-woman-killed-near-bus-stop/417-d394fe67-3d23-44d5-9074-3fee852bb376")</f>
        <v>https://www.wave3.com/2025/08/13/woman-killed-teen-identified-suspect-shooting-11th-street-chestnut-street/
https://spectrumnews1.com/ky/louisville/news/2025/08/13/louisville-chestnut-street-shooting
https://www.whas11.com/article/news/local/louisville-mayor-gives-passionate-plea-for-change-woman-killed-near-bus-stop/417-d394fe67-3d23-44d5-9074-3fee852bb376</v>
      </c>
      <c r="L38" s="8">
        <f ca="1">IFERROR(__xludf.DUMMYFUNCTION("""COMPUTED_VALUE"""),20)</f>
        <v>20</v>
      </c>
      <c r="M38" s="8" t="str">
        <f ca="1">IFERROR(__xludf.DUMMYFUNCTION("""COMPUTED_VALUE"""),"Regional")</f>
        <v>Regional</v>
      </c>
      <c r="N38" s="8">
        <f ca="1">IFERROR(__xludf.DUMMYFUNCTION("""COMPUTED_VALUE"""),4)</f>
        <v>4</v>
      </c>
      <c r="O38" s="8" t="str">
        <f ca="1">IFERROR(__xludf.DUMMYFUNCTION("""COMPUTED_VALUE"""),"Summer")</f>
        <v>Summer</v>
      </c>
      <c r="P38" s="8" t="str">
        <f ca="1">IFERROR(__xludf.DUMMYFUNCTION("""COMPUTED_VALUE"""),"Louisville")</f>
        <v>Louisville</v>
      </c>
      <c r="Q38" s="8" t="str">
        <f ca="1">IFERROR(__xludf.DUMMYFUNCTION("""COMPUTED_VALUE"""),"KY")</f>
        <v>KY</v>
      </c>
      <c r="R38" s="8" t="str">
        <f ca="1">IFERROR(__xludf.DUMMYFUNCTION("""COMPUTED_VALUE"""),"High")</f>
        <v>High</v>
      </c>
      <c r="S38" s="8" t="str">
        <f ca="1">IFERROR(__xludf.DUMMYFUNCTION("""COMPUTED_VALUE"""),"Front of School")</f>
        <v>Front of School</v>
      </c>
      <c r="T38" s="8" t="str">
        <f ca="1">IFERROR(__xludf.DUMMYFUNCTION("""COMPUTED_VALUE"""),"Off School Property")</f>
        <v>Off School Property</v>
      </c>
      <c r="U38" s="8" t="str">
        <f ca="1">IFERROR(__xludf.DUMMYFUNCTION("""COMPUTED_VALUE"""),"Yes")</f>
        <v>Yes</v>
      </c>
      <c r="V38" s="8" t="str">
        <f ca="1">IFERROR(__xludf.DUMMYFUNCTION("""COMPUTED_VALUE"""),"Morning Classes")</f>
        <v>Morning Classes</v>
      </c>
      <c r="W38" s="11">
        <f ca="1">IFERROR(__xludf.DUMMYFUNCTION("""COMPUTED_VALUE"""),0.333333333333333)</f>
        <v>0.33333333333333298</v>
      </c>
      <c r="X38" s="8">
        <f ca="1">IFERROR(__xludf.DUMMYFUNCTION("""COMPUTED_VALUE"""),1)</f>
        <v>1</v>
      </c>
      <c r="Y38" s="12" t="str">
        <f ca="1">IFERROR(__xludf.DUMMYFUNCTION("""COMPUTED_VALUE"""),"Parent fatally shot while walking her child to bus stop on the street in front of the school")</f>
        <v>Parent fatally shot while walking her child to bus stop on the street in front of the school</v>
      </c>
      <c r="Z38" s="12" t="str">
        <f ca="1">IFERROR(__xludf.DUMMYFUNCTION("""COMPUTED_VALUE""")," A woman was shot and killed near S. 11th and W. Chestnut streets in Louisville outside Central High School, according to the Louisville Metro Police Department. LMPD said around 8 a.m. at 10th and Chestnut Streets, shots were fired near several people go"&amp;"ing to school and bus stops. A woman walking a child to school was shot. She was taken to University Hospital where she died. ")</f>
        <v xml:space="preserve"> A woman was shot and killed near S. 11th and W. Chestnut streets in Louisville outside Central High School, according to the Louisville Metro Police Department. LMPD said around 8 a.m. at 10th and Chestnut Streets, shots were fired near several people going to school and bus stops. A woman walking a child to school was shot. She was taken to University Hospital where she died. </v>
      </c>
      <c r="AA38" s="8"/>
      <c r="AB38" s="8" t="str">
        <f ca="1">IFERROR(__xludf.DUMMYFUNCTION("""COMPUTED_VALUE"""),"Spontaneous")</f>
        <v>Spontaneous</v>
      </c>
      <c r="AC38" s="8" t="str">
        <f ca="1">IFERROR(__xludf.DUMMYFUNCTION("""COMPUTED_VALUE"""),"Yes")</f>
        <v>Yes</v>
      </c>
      <c r="AD38" s="8" t="str">
        <f ca="1">IFERROR(__xludf.DUMMYFUNCTION("""COMPUTED_VALUE"""),"Both")</f>
        <v>Both</v>
      </c>
      <c r="AE38" s="8" t="str">
        <f ca="1">IFERROR(__xludf.DUMMYFUNCTION("""COMPUTED_VALUE"""),"No")</f>
        <v>No</v>
      </c>
      <c r="AF38" s="8"/>
      <c r="AG38" s="8" t="str">
        <f ca="1">IFERROR(__xludf.DUMMYFUNCTION("""COMPUTED_VALUE"""),"No")</f>
        <v>No</v>
      </c>
      <c r="AH38" s="8" t="str">
        <f ca="1">IFERROR(__xludf.DUMMYFUNCTION("""COMPUTED_VALUE"""),"No")</f>
        <v>No</v>
      </c>
      <c r="AI38" s="8" t="str">
        <f ca="1">IFERROR(__xludf.DUMMYFUNCTION("""COMPUTED_VALUE"""),"No")</f>
        <v>No</v>
      </c>
      <c r="AJ38" s="8" t="str">
        <f ca="1">IFERROR(__xludf.DUMMYFUNCTION("""COMPUTED_VALUE"""),"No")</f>
        <v>No</v>
      </c>
      <c r="AK38" s="8" t="str">
        <f ca="1">IFERROR(__xludf.DUMMYFUNCTION("""COMPUTED_VALUE"""),"No")</f>
        <v>No</v>
      </c>
      <c r="AL38" s="8"/>
      <c r="AM38" s="8" t="str">
        <f ca="1">IFERROR(__xludf.DUMMYFUNCTION("""COMPUTED_VALUE"""),"No")</f>
        <v>No</v>
      </c>
      <c r="AN38" s="8" t="str">
        <f ca="1">IFERROR(__xludf.DUMMYFUNCTION("""COMPUTED_VALUE"""),"Outside")</f>
        <v>Outside</v>
      </c>
      <c r="AO38" s="8" t="str">
        <f ca="1">IFERROR(__xludf.DUMMYFUNCTION("""COMPUTED_VALUE"""),"No")</f>
        <v>No</v>
      </c>
      <c r="AP38" s="8"/>
      <c r="AQ38" s="8"/>
      <c r="AR38" s="8" t="str">
        <f ca="1">IFERROR(__xludf.DUMMYFUNCTION("""COMPUTED_VALUE"""),"Outside/Off-Property")</f>
        <v>Outside/Off-Property</v>
      </c>
      <c r="AS38" s="8">
        <f ca="1">IFERROR(__xludf.DUMMYFUNCTION("""COMPUTED_VALUE"""),99)</f>
        <v>99</v>
      </c>
      <c r="AT38" s="8" t="str">
        <f ca="1">IFERROR(__xludf.DUMMYFUNCTION("""COMPUTED_VALUE"""),"Yes")</f>
        <v>Yes</v>
      </c>
      <c r="AU38" s="8">
        <f ca="1">IFERROR(__xludf.DUMMYFUNCTION("""COMPUTED_VALUE"""),38.25015)</f>
        <v>38.250149999999998</v>
      </c>
      <c r="AV38" s="8">
        <f ca="1">IFERROR(__xludf.DUMMYFUNCTION("""COMPUTED_VALUE"""),-85.769376)</f>
        <v>-85.769375999999994</v>
      </c>
      <c r="AW38" s="8" t="str">
        <f ca="1">IFERROR(__xludf.DUMMYFUNCTION("""COMPUTED_VALUE"""),"Multiple attached buildings")</f>
        <v>Multiple attached buildings</v>
      </c>
      <c r="AX38" s="8">
        <f ca="1">IFERROR(__xludf.DUMMYFUNCTION("""COMPUTED_VALUE"""),40203)</f>
        <v>40203</v>
      </c>
    </row>
    <row r="39" spans="1:50" ht="120" x14ac:dyDescent="0.2">
      <c r="A39" s="8" t="str">
        <f ca="1">IFERROR(__xludf.DUMMYFUNCTION("""COMPUTED_VALUE"""),"20250812VABAV")</f>
        <v>20250812VABAV</v>
      </c>
      <c r="B39" s="8">
        <f ca="1">IFERROR(__xludf.DUMMYFUNCTION("""COMPUTED_VALUE"""),8)</f>
        <v>8</v>
      </c>
      <c r="C39" s="8">
        <f ca="1">IFERROR(__xludf.DUMMYFUNCTION("""COMPUTED_VALUE"""),12)</f>
        <v>12</v>
      </c>
      <c r="D39" s="8">
        <f ca="1">IFERROR(__xludf.DUMMYFUNCTION("""COMPUTED_VALUE"""),2025)</f>
        <v>2025</v>
      </c>
      <c r="E39" s="9">
        <f ca="1">IFERROR(__xludf.DUMMYFUNCTION("""COMPUTED_VALUE"""),45881)</f>
        <v>45881</v>
      </c>
      <c r="F39" s="8" t="str">
        <f ca="1">IFERROR(__xludf.DUMMYFUNCTION("""COMPUTED_VALUE"""),"Bayside Middle School")</f>
        <v>Bayside Middle School</v>
      </c>
      <c r="G39" s="8">
        <f ca="1">IFERROR(__xludf.DUMMYFUNCTION("""COMPUTED_VALUE"""),0)</f>
        <v>0</v>
      </c>
      <c r="H39" s="8">
        <f ca="1">IFERROR(__xludf.DUMMYFUNCTION("""COMPUTED_VALUE"""),1)</f>
        <v>1</v>
      </c>
      <c r="I39" s="8">
        <f ca="1">IFERROR(__xludf.DUMMYFUNCTION("""COMPUTED_VALUE"""),1)</f>
        <v>1</v>
      </c>
      <c r="J39" s="8">
        <f ca="1">IFERROR(__xludf.DUMMYFUNCTION("""COMPUTED_VALUE"""),0)</f>
        <v>0</v>
      </c>
      <c r="K39" s="10" t="str">
        <f ca="1">IFERROR(__xludf.DUMMYFUNCTION("""COMPUTED_VALUE"""),"https://www.wavy.com/news/local-news/virginia-beach/arrest-made-after-shots-fired-outside-virginia-beach-middle-school/")</f>
        <v>https://www.wavy.com/news/local-news/virginia-beach/arrest-made-after-shots-fired-outside-virginia-beach-middle-school/</v>
      </c>
      <c r="L39" s="8">
        <f ca="1">IFERROR(__xludf.DUMMYFUNCTION("""COMPUTED_VALUE"""),1)</f>
        <v>1</v>
      </c>
      <c r="M39" s="8" t="str">
        <f ca="1">IFERROR(__xludf.DUMMYFUNCTION("""COMPUTED_VALUE"""),"Local")</f>
        <v>Local</v>
      </c>
      <c r="N39" s="8">
        <f ca="1">IFERROR(__xludf.DUMMYFUNCTION("""COMPUTED_VALUE"""),4)</f>
        <v>4</v>
      </c>
      <c r="O39" s="8" t="str">
        <f ca="1">IFERROR(__xludf.DUMMYFUNCTION("""COMPUTED_VALUE"""),"Summer")</f>
        <v>Summer</v>
      </c>
      <c r="P39" s="8" t="str">
        <f ca="1">IFERROR(__xludf.DUMMYFUNCTION("""COMPUTED_VALUE"""),"Virginia Beach")</f>
        <v>Virginia Beach</v>
      </c>
      <c r="Q39" s="8" t="str">
        <f ca="1">IFERROR(__xludf.DUMMYFUNCTION("""COMPUTED_VALUE"""),"VA")</f>
        <v>VA</v>
      </c>
      <c r="R39" s="8" t="str">
        <f ca="1">IFERROR(__xludf.DUMMYFUNCTION("""COMPUTED_VALUE"""),"Middle")</f>
        <v>Middle</v>
      </c>
      <c r="S39" s="8" t="str">
        <f ca="1">IFERROR(__xludf.DUMMYFUNCTION("""COMPUTED_VALUE"""),"Parking Lot")</f>
        <v>Parking Lot</v>
      </c>
      <c r="T39" s="8" t="str">
        <f ca="1">IFERROR(__xludf.DUMMYFUNCTION("""COMPUTED_VALUE"""),"Outside on School Property")</f>
        <v>Outside on School Property</v>
      </c>
      <c r="U39" s="8" t="str">
        <f ca="1">IFERROR(__xludf.DUMMYFUNCTION("""COMPUTED_VALUE"""),"No")</f>
        <v>No</v>
      </c>
      <c r="V39" s="8" t="str">
        <f ca="1">IFERROR(__xludf.DUMMYFUNCTION("""COMPUTED_VALUE"""),"Sport Event")</f>
        <v>Sport Event</v>
      </c>
      <c r="W39" s="8"/>
      <c r="X39" s="8">
        <f ca="1">IFERROR(__xludf.DUMMYFUNCTION("""COMPUTED_VALUE"""),1)</f>
        <v>1</v>
      </c>
      <c r="Y39" s="12" t="str">
        <f ca="1">IFERROR(__xludf.DUMMYFUNCTION("""COMPUTED_VALUE"""),"Man fired shots into car during football game at the school")</f>
        <v>Man fired shots into car during football game at the school</v>
      </c>
      <c r="Z39" s="12" t="str">
        <f ca="1">IFERROR(__xludf.DUMMYFUNCTION("""COMPUTED_VALUE"""),"An arrest warrant obtained by WAVY TV says Brandon Bethea faces several charges, including possession of a firearm at a school, maliciously shooting at an occupied motor vehicle, possession of a firearm in the commission of a felony, shooting within 100 f"&amp;"eet of a school, and malicious wounding. According to police, Bethea is accused of shooting at a car with people inside during the football event on Aug. 12. Fortunately, no one was injured in the incident.")</f>
        <v>An arrest warrant obtained by WAVY TV says Brandon Bethea faces several charges, including possession of a firearm at a school, maliciously shooting at an occupied motor vehicle, possession of a firearm in the commission of a felony, shooting within 100 feet of a school, and malicious wounding. According to police, Bethea is accused of shooting at a car with people inside during the football event on Aug. 12. Fortunately, no one was injured in the incident.</v>
      </c>
      <c r="AA39" s="8"/>
      <c r="AB39" s="8"/>
      <c r="AC39" s="8" t="str">
        <f ca="1">IFERROR(__xludf.DUMMYFUNCTION("""COMPUTED_VALUE"""),"Yes")</f>
        <v>Yes</v>
      </c>
      <c r="AD39" s="8"/>
      <c r="AE39" s="8" t="str">
        <f ca="1">IFERROR(__xludf.DUMMYFUNCTION("""COMPUTED_VALUE"""),"No")</f>
        <v>No</v>
      </c>
      <c r="AF39" s="8"/>
      <c r="AG39" s="8" t="str">
        <f ca="1">IFERROR(__xludf.DUMMYFUNCTION("""COMPUTED_VALUE"""),"No")</f>
        <v>No</v>
      </c>
      <c r="AH39" s="8" t="str">
        <f ca="1">IFERROR(__xludf.DUMMYFUNCTION("""COMPUTED_VALUE"""),"No")</f>
        <v>No</v>
      </c>
      <c r="AI39" s="8" t="str">
        <f ca="1">IFERROR(__xludf.DUMMYFUNCTION("""COMPUTED_VALUE"""),"No")</f>
        <v>No</v>
      </c>
      <c r="AJ39" s="8" t="str">
        <f ca="1">IFERROR(__xludf.DUMMYFUNCTION("""COMPUTED_VALUE"""),"No")</f>
        <v>No</v>
      </c>
      <c r="AK39" s="8" t="str">
        <f ca="1">IFERROR(__xludf.DUMMYFUNCTION("""COMPUTED_VALUE"""),"No")</f>
        <v>No</v>
      </c>
      <c r="AL39" s="8"/>
      <c r="AM39" s="8" t="str">
        <f ca="1">IFERROR(__xludf.DUMMYFUNCTION("""COMPUTED_VALUE"""),"No")</f>
        <v>No</v>
      </c>
      <c r="AN39" s="8" t="str">
        <f ca="1">IFERROR(__xludf.DUMMYFUNCTION("""COMPUTED_VALUE"""),"Outside")</f>
        <v>Outside</v>
      </c>
      <c r="AO39" s="8" t="str">
        <f ca="1">IFERROR(__xludf.DUMMYFUNCTION("""COMPUTED_VALUE"""),"No")</f>
        <v>No</v>
      </c>
      <c r="AP39" s="8"/>
      <c r="AQ39" s="8"/>
      <c r="AR39" s="8" t="str">
        <f ca="1">IFERROR(__xludf.DUMMYFUNCTION("""COMPUTED_VALUE"""),"Outside/Off-Property")</f>
        <v>Outside/Off-Property</v>
      </c>
      <c r="AS39" s="8">
        <f ca="1">IFERROR(__xludf.DUMMYFUNCTION("""COMPUTED_VALUE"""),99)</f>
        <v>99</v>
      </c>
      <c r="AT39" s="8" t="str">
        <f ca="1">IFERROR(__xludf.DUMMYFUNCTION("""COMPUTED_VALUE"""),"No")</f>
        <v>No</v>
      </c>
      <c r="AU39" s="8">
        <f ca="1">IFERROR(__xludf.DUMMYFUNCTION("""COMPUTED_VALUE"""),36.867323)</f>
        <v>36.867322999999999</v>
      </c>
      <c r="AV39" s="8">
        <f ca="1">IFERROR(__xludf.DUMMYFUNCTION("""COMPUTED_VALUE"""),-76.158625)</f>
        <v>-76.158625000000001</v>
      </c>
      <c r="AW39" s="8" t="str">
        <f ca="1">IFERROR(__xludf.DUMMYFUNCTION("""COMPUTED_VALUE"""),"Multiple detached buildings")</f>
        <v>Multiple detached buildings</v>
      </c>
      <c r="AX39" s="8">
        <f ca="1">IFERROR(__xludf.DUMMYFUNCTION("""COMPUTED_VALUE"""),23462)</f>
        <v>23462</v>
      </c>
    </row>
    <row r="40" spans="1:50" ht="120" x14ac:dyDescent="0.2">
      <c r="A40" s="8" t="str">
        <f ca="1">IFERROR(__xludf.DUMMYFUNCTION("""COMPUTED_VALUE"""),"20250807NYCHW")</f>
        <v>20250807NYCHW</v>
      </c>
      <c r="B40" s="8">
        <f ca="1">IFERROR(__xludf.DUMMYFUNCTION("""COMPUTED_VALUE"""),8)</f>
        <v>8</v>
      </c>
      <c r="C40" s="8">
        <f ca="1">IFERROR(__xludf.DUMMYFUNCTION("""COMPUTED_VALUE"""),7)</f>
        <v>7</v>
      </c>
      <c r="D40" s="8">
        <f ca="1">IFERROR(__xludf.DUMMYFUNCTION("""COMPUTED_VALUE"""),2025)</f>
        <v>2025</v>
      </c>
      <c r="E40" s="9">
        <f ca="1">IFERROR(__xludf.DUMMYFUNCTION("""COMPUTED_VALUE"""),45876)</f>
        <v>45876</v>
      </c>
      <c r="F40" s="8" t="str">
        <f ca="1">IFERROR(__xludf.DUMMYFUNCTION("""COMPUTED_VALUE"""),"Church Street Elementary School")</f>
        <v>Church Street Elementary School</v>
      </c>
      <c r="G40" s="8">
        <f ca="1">IFERROR(__xludf.DUMMYFUNCTION("""COMPUTED_VALUE"""),0)</f>
        <v>0</v>
      </c>
      <c r="H40" s="8">
        <f ca="1">IFERROR(__xludf.DUMMYFUNCTION("""COMPUTED_VALUE"""),3)</f>
        <v>3</v>
      </c>
      <c r="I40" s="8">
        <f ca="1">IFERROR(__xludf.DUMMYFUNCTION("""COMPUTED_VALUE"""),3)</f>
        <v>3</v>
      </c>
      <c r="J40" s="8">
        <f ca="1">IFERROR(__xludf.DUMMYFUNCTION("""COMPUTED_VALUE"""),0)</f>
        <v>0</v>
      </c>
      <c r="K40" s="8" t="str">
        <f ca="1">IFERROR(__xludf.DUMMYFUNCTION("""COMPUTED_VALUE"""),"https://dailyvoice.com/new-york/whiteplains/3-shot-in-school-parking-lot-after-basketball-event-in-white-plains-police-say/
https://www.lohud.com/story/news/local/westchester/white-plains/2025/08/08/white-plains-ny-shooting-after-ferris-world-ball-basketb"&amp;"all-tournament-gardella-park/85573865007/")</f>
        <v>https://dailyvoice.com/new-york/whiteplains/3-shot-in-school-parking-lot-after-basketball-event-in-white-plains-police-say/
https://www.lohud.com/story/news/local/westchester/white-plains/2025/08/08/white-plains-ny-shooting-after-ferris-world-ball-basketball-tournament-gardella-park/85573865007/</v>
      </c>
      <c r="L40" s="8">
        <f ca="1">IFERROR(__xludf.DUMMYFUNCTION("""COMPUTED_VALUE"""),3)</f>
        <v>3</v>
      </c>
      <c r="M40" s="8" t="str">
        <f ca="1">IFERROR(__xludf.DUMMYFUNCTION("""COMPUTED_VALUE"""),"Regional")</f>
        <v>Regional</v>
      </c>
      <c r="N40" s="8">
        <f ca="1">IFERROR(__xludf.DUMMYFUNCTION("""COMPUTED_VALUE"""),4)</f>
        <v>4</v>
      </c>
      <c r="O40" s="8" t="str">
        <f ca="1">IFERROR(__xludf.DUMMYFUNCTION("""COMPUTED_VALUE"""),"Summer")</f>
        <v>Summer</v>
      </c>
      <c r="P40" s="8" t="str">
        <f ca="1">IFERROR(__xludf.DUMMYFUNCTION("""COMPUTED_VALUE"""),"White Plains")</f>
        <v>White Plains</v>
      </c>
      <c r="Q40" s="8" t="str">
        <f ca="1">IFERROR(__xludf.DUMMYFUNCTION("""COMPUTED_VALUE"""),"NY")</f>
        <v>NY</v>
      </c>
      <c r="R40" s="8" t="str">
        <f ca="1">IFERROR(__xludf.DUMMYFUNCTION("""COMPUTED_VALUE"""),"Elementary")</f>
        <v>Elementary</v>
      </c>
      <c r="S40" s="8" t="str">
        <f ca="1">IFERROR(__xludf.DUMMYFUNCTION("""COMPUTED_VALUE"""),"Parking Lot")</f>
        <v>Parking Lot</v>
      </c>
      <c r="T40" s="8" t="str">
        <f ca="1">IFERROR(__xludf.DUMMYFUNCTION("""COMPUTED_VALUE"""),"Outside on School Property")</f>
        <v>Outside on School Property</v>
      </c>
      <c r="U40" s="8" t="str">
        <f ca="1">IFERROR(__xludf.DUMMYFUNCTION("""COMPUTED_VALUE"""),"No")</f>
        <v>No</v>
      </c>
      <c r="V40" s="8" t="str">
        <f ca="1">IFERROR(__xludf.DUMMYFUNCTION("""COMPUTED_VALUE"""),"Sport Event")</f>
        <v>Sport Event</v>
      </c>
      <c r="W40" s="11">
        <f ca="1">IFERROR(__xludf.DUMMYFUNCTION("""COMPUTED_VALUE"""),0.927083333333333)</f>
        <v>0.92708333333333304</v>
      </c>
      <c r="X40" s="8">
        <f ca="1">IFERROR(__xludf.DUMMYFUNCTION("""COMPUTED_VALUE"""),1)</f>
        <v>1</v>
      </c>
      <c r="Y40" s="12" t="str">
        <f ca="1">IFERROR(__xludf.DUMMYFUNCTION("""COMPUTED_VALUE"""),"Three people shot during fight after basketball tournament")</f>
        <v>Three people shot during fight after basketball tournament</v>
      </c>
      <c r="Z40" s="12" t="str">
        <f ca="1">IFERROR(__xludf.DUMMYFUNCTION("""COMPUTED_VALUE"""),"The shooting happened around 10:15 p.m. on Thursday, Aug. 7, in the parking lot entrance of the Church Street School at 295 Church St. in White Plains, according to the city's police department. Police said the gunfire followed a dispute among a group of "&amp;"people who had just left an organized basketball event at the nearby Gardella Park. A total of three Bronx residents were injured: an 18-year-old man, a 21-year-old man, and a 22-year-old woman. ")</f>
        <v xml:space="preserve">The shooting happened around 10:15 p.m. on Thursday, Aug. 7, in the parking lot entrance of the Church Street School at 295 Church St. in White Plains, according to the city's police department. Police said the gunfire followed a dispute among a group of people who had just left an organized basketball event at the nearby Gardella Park. A total of three Bronx residents were injured: an 18-year-old man, a 21-year-old man, and a 22-year-old woman. </v>
      </c>
      <c r="AA40" s="8" t="str">
        <f ca="1">IFERROR(__xludf.DUMMYFUNCTION("""COMPUTED_VALUE"""),"Escalation of Dispute")</f>
        <v>Escalation of Dispute</v>
      </c>
      <c r="AB40" s="8" t="str">
        <f ca="1">IFERROR(__xludf.DUMMYFUNCTION("""COMPUTED_VALUE"""),"Spontaneous")</f>
        <v>Spontaneous</v>
      </c>
      <c r="AC40" s="8" t="str">
        <f ca="1">IFERROR(__xludf.DUMMYFUNCTION("""COMPUTED_VALUE"""),"No")</f>
        <v>No</v>
      </c>
      <c r="AD40" s="8" t="str">
        <f ca="1">IFERROR(__xludf.DUMMYFUNCTION("""COMPUTED_VALUE"""),"Both")</f>
        <v>Both</v>
      </c>
      <c r="AE40" s="8" t="str">
        <f ca="1">IFERROR(__xludf.DUMMYFUNCTION("""COMPUTED_VALUE"""),"No")</f>
        <v>No</v>
      </c>
      <c r="AF40" s="8"/>
      <c r="AG40" s="8" t="str">
        <f ca="1">IFERROR(__xludf.DUMMYFUNCTION("""COMPUTED_VALUE"""),"No")</f>
        <v>No</v>
      </c>
      <c r="AH40" s="8" t="str">
        <f ca="1">IFERROR(__xludf.DUMMYFUNCTION("""COMPUTED_VALUE"""),"No")</f>
        <v>No</v>
      </c>
      <c r="AI40" s="8" t="str">
        <f ca="1">IFERROR(__xludf.DUMMYFUNCTION("""COMPUTED_VALUE"""),"No")</f>
        <v>No</v>
      </c>
      <c r="AJ40" s="8" t="str">
        <f ca="1">IFERROR(__xludf.DUMMYFUNCTION("""COMPUTED_VALUE"""),"No")</f>
        <v>No</v>
      </c>
      <c r="AK40" s="8" t="str">
        <f ca="1">IFERROR(__xludf.DUMMYFUNCTION("""COMPUTED_VALUE"""),"No")</f>
        <v>No</v>
      </c>
      <c r="AL40" s="8" t="str">
        <f ca="1">IFERROR(__xludf.DUMMYFUNCTION("""COMPUTED_VALUE"""),"No")</f>
        <v>No</v>
      </c>
      <c r="AM40" s="8" t="str">
        <f ca="1">IFERROR(__xludf.DUMMYFUNCTION("""COMPUTED_VALUE"""),"No")</f>
        <v>No</v>
      </c>
      <c r="AN40" s="8" t="str">
        <f ca="1">IFERROR(__xludf.DUMMYFUNCTION("""COMPUTED_VALUE"""),"Outside")</f>
        <v>Outside</v>
      </c>
      <c r="AO40" s="8" t="str">
        <f ca="1">IFERROR(__xludf.DUMMYFUNCTION("""COMPUTED_VALUE"""),"No")</f>
        <v>No</v>
      </c>
      <c r="AP40" s="8"/>
      <c r="AQ40" s="8"/>
      <c r="AR40" s="8" t="str">
        <f ca="1">IFERROR(__xludf.DUMMYFUNCTION("""COMPUTED_VALUE"""),"Outside/Off-Property")</f>
        <v>Outside/Off-Property</v>
      </c>
      <c r="AS40" s="8">
        <f ca="1">IFERROR(__xludf.DUMMYFUNCTION("""COMPUTED_VALUE"""),20)</f>
        <v>20</v>
      </c>
      <c r="AT40" s="8" t="str">
        <f ca="1">IFERROR(__xludf.DUMMYFUNCTION("""COMPUTED_VALUE"""),"No")</f>
        <v>No</v>
      </c>
      <c r="AU40" s="8">
        <f ca="1">IFERROR(__xludf.DUMMYFUNCTION("""COMPUTED_VALUE"""),41.041822)</f>
        <v>41.041822000000003</v>
      </c>
      <c r="AV40" s="8">
        <f ca="1">IFERROR(__xludf.DUMMYFUNCTION("""COMPUTED_VALUE"""),-73.771253)</f>
        <v>-73.771253000000002</v>
      </c>
      <c r="AW40" s="8" t="str">
        <f ca="1">IFERROR(__xludf.DUMMYFUNCTION("""COMPUTED_VALUE"""),"Multiple attached buildings")</f>
        <v>Multiple attached buildings</v>
      </c>
      <c r="AX40" s="8">
        <f ca="1">IFERROR(__xludf.DUMMYFUNCTION("""COMPUTED_VALUE"""),10603)</f>
        <v>10603</v>
      </c>
    </row>
    <row r="41" spans="1:50" ht="195" x14ac:dyDescent="0.2">
      <c r="A41" s="8" t="str">
        <f ca="1">IFERROR(__xludf.DUMMYFUNCTION("""COMPUTED_VALUE"""),"20250731WAPIV")</f>
        <v>20250731WAPIV</v>
      </c>
      <c r="B41" s="8">
        <f ca="1">IFERROR(__xludf.DUMMYFUNCTION("""COMPUTED_VALUE"""),7)</f>
        <v>7</v>
      </c>
      <c r="C41" s="8">
        <f ca="1">IFERROR(__xludf.DUMMYFUNCTION("""COMPUTED_VALUE"""),31)</f>
        <v>31</v>
      </c>
      <c r="D41" s="8">
        <f ca="1">IFERROR(__xludf.DUMMYFUNCTION("""COMPUTED_VALUE"""),2025)</f>
        <v>2025</v>
      </c>
      <c r="E41" s="9">
        <f ca="1">IFERROR(__xludf.DUMMYFUNCTION("""COMPUTED_VALUE"""),45869)</f>
        <v>45869</v>
      </c>
      <c r="F41" s="8" t="str">
        <f ca="1">IFERROR(__xludf.DUMMYFUNCTION("""COMPUTED_VALUE"""),"Pioneer Elementary School")</f>
        <v>Pioneer Elementary School</v>
      </c>
      <c r="G41" s="8">
        <f ca="1">IFERROR(__xludf.DUMMYFUNCTION("""COMPUTED_VALUE"""),0)</f>
        <v>0</v>
      </c>
      <c r="H41" s="8">
        <f ca="1">IFERROR(__xludf.DUMMYFUNCTION("""COMPUTED_VALUE"""),1)</f>
        <v>1</v>
      </c>
      <c r="I41" s="8">
        <f ca="1">IFERROR(__xludf.DUMMYFUNCTION("""COMPUTED_VALUE"""),1)</f>
        <v>1</v>
      </c>
      <c r="J41" s="8">
        <f ca="1">IFERROR(__xludf.DUMMYFUNCTION("""COMPUTED_VALUE"""),0)</f>
        <v>0</v>
      </c>
      <c r="K41" s="10" t="str">
        <f ca="1">IFERROR(__xludf.DUMMYFUNCTION("""COMPUTED_VALUE"""),"https://www.koin.com/news/crime/woman-flies-in-to-fight-shot-at-vancouver-school/")</f>
        <v>https://www.koin.com/news/crime/woman-flies-in-to-fight-shot-at-vancouver-school/</v>
      </c>
      <c r="L41" s="8">
        <f ca="1">IFERROR(__xludf.DUMMYFUNCTION("""COMPUTED_VALUE"""),10)</f>
        <v>10</v>
      </c>
      <c r="M41" s="8" t="str">
        <f ca="1">IFERROR(__xludf.DUMMYFUNCTION("""COMPUTED_VALUE"""),"Regional")</f>
        <v>Regional</v>
      </c>
      <c r="N41" s="8">
        <f ca="1">IFERROR(__xludf.DUMMYFUNCTION("""COMPUTED_VALUE"""),4)</f>
        <v>4</v>
      </c>
      <c r="O41" s="8" t="str">
        <f ca="1">IFERROR(__xludf.DUMMYFUNCTION("""COMPUTED_VALUE"""),"Summer")</f>
        <v>Summer</v>
      </c>
      <c r="P41" s="8" t="str">
        <f ca="1">IFERROR(__xludf.DUMMYFUNCTION("""COMPUTED_VALUE"""),"Vancouver")</f>
        <v>Vancouver</v>
      </c>
      <c r="Q41" s="8" t="str">
        <f ca="1">IFERROR(__xludf.DUMMYFUNCTION("""COMPUTED_VALUE"""),"WA")</f>
        <v>WA</v>
      </c>
      <c r="R41" s="8" t="str">
        <f ca="1">IFERROR(__xludf.DUMMYFUNCTION("""COMPUTED_VALUE"""),"Elementary")</f>
        <v>Elementary</v>
      </c>
      <c r="S41" s="8" t="str">
        <f ca="1">IFERROR(__xludf.DUMMYFUNCTION("""COMPUTED_VALUE"""),"Parking Lot")</f>
        <v>Parking Lot</v>
      </c>
      <c r="T41" s="8" t="str">
        <f ca="1">IFERROR(__xludf.DUMMYFUNCTION("""COMPUTED_VALUE"""),"Outside on School Property")</f>
        <v>Outside on School Property</v>
      </c>
      <c r="U41" s="8" t="str">
        <f ca="1">IFERROR(__xludf.DUMMYFUNCTION("""COMPUTED_VALUE"""),"No")</f>
        <v>No</v>
      </c>
      <c r="V41" s="8" t="str">
        <f ca="1">IFERROR(__xludf.DUMMYFUNCTION("""COMPUTED_VALUE"""),"Night")</f>
        <v>Night</v>
      </c>
      <c r="W41" s="11">
        <f ca="1">IFERROR(__xludf.DUMMYFUNCTION("""COMPUTED_VALUE"""),0.00347222222222222)</f>
        <v>3.4722222222222199E-3</v>
      </c>
      <c r="X41" s="8">
        <f ca="1">IFERROR(__xludf.DUMMYFUNCTION("""COMPUTED_VALUE"""),1)</f>
        <v>1</v>
      </c>
      <c r="Y41" s="12" t="str">
        <f ca="1">IFERROR(__xludf.DUMMYFUNCTION("""COMPUTED_VALUE"""),"Woman shot during fight in the school parking lot")</f>
        <v>Woman shot during fight in the school parking lot</v>
      </c>
      <c r="Z41" s="12" t="str">
        <f ca="1">IFERROR(__xludf.DUMMYFUNCTION("""COMPUTED_VALUE"""),"The victim currently lives in North Carolina but previously lived in Vancouver, Wash., according to court documents. She told police her younger sister was involved in an on-going dispute with another woman, so she made arrangements on Instagram to meet i"&amp;"n person to fight. She and some of her family met the woman at the elementary school after midnight on July 30. After they physically fought, she and her family got into their car to leave when Sosa-Romero, the other woman’s girlfriend, drew a gun. She fi"&amp;"red twice and hit the victim’s foot, court documents state. The victim and her family went to the hospital and Sosa-Romero attempted to flee. Police later located her at Burnt Bridge Creek Elementary, where she was taken into custody.")</f>
        <v>The victim currently lives in North Carolina but previously lived in Vancouver, Wash., according to court documents. She told police her younger sister was involved in an on-going dispute with another woman, so she made arrangements on Instagram to meet in person to fight. She and some of her family met the woman at the elementary school after midnight on July 30. After they physically fought, she and her family got into their car to leave when Sosa-Romero, the other woman’s girlfriend, drew a gun. She fired twice and hit the victim’s foot, court documents state. The victim and her family went to the hospital and Sosa-Romero attempted to flee. Police later located her at Burnt Bridge Creek Elementary, where she was taken into custody.</v>
      </c>
      <c r="AA41" s="8" t="str">
        <f ca="1">IFERROR(__xludf.DUMMYFUNCTION("""COMPUTED_VALUE"""),"Escalation of Dispute")</f>
        <v>Escalation of Dispute</v>
      </c>
      <c r="AB41" s="8" t="str">
        <f ca="1">IFERROR(__xludf.DUMMYFUNCTION("""COMPUTED_VALUE"""),"Targeted")</f>
        <v>Targeted</v>
      </c>
      <c r="AC41" s="8" t="str">
        <f ca="1">IFERROR(__xludf.DUMMYFUNCTION("""COMPUTED_VALUE"""),"No")</f>
        <v>No</v>
      </c>
      <c r="AD41" s="8" t="str">
        <f ca="1">IFERROR(__xludf.DUMMYFUNCTION("""COMPUTED_VALUE"""),"Victims Targeted")</f>
        <v>Victims Targeted</v>
      </c>
      <c r="AE41" s="8" t="str">
        <f ca="1">IFERROR(__xludf.DUMMYFUNCTION("""COMPUTED_VALUE"""),"Yes")</f>
        <v>Yes</v>
      </c>
      <c r="AF41" s="8"/>
      <c r="AG41" s="8" t="str">
        <f ca="1">IFERROR(__xludf.DUMMYFUNCTION("""COMPUTED_VALUE"""),"No")</f>
        <v>No</v>
      </c>
      <c r="AH41" s="8" t="str">
        <f ca="1">IFERROR(__xludf.DUMMYFUNCTION("""COMPUTED_VALUE"""),"No")</f>
        <v>No</v>
      </c>
      <c r="AI41" s="8" t="str">
        <f ca="1">IFERROR(__xludf.DUMMYFUNCTION("""COMPUTED_VALUE"""),"No")</f>
        <v>No</v>
      </c>
      <c r="AJ41" s="8" t="str">
        <f ca="1">IFERROR(__xludf.DUMMYFUNCTION("""COMPUTED_VALUE"""),"No")</f>
        <v>No</v>
      </c>
      <c r="AK41" s="8" t="str">
        <f ca="1">IFERROR(__xludf.DUMMYFUNCTION("""COMPUTED_VALUE"""),"No")</f>
        <v>No</v>
      </c>
      <c r="AL41" s="8" t="str">
        <f ca="1">IFERROR(__xludf.DUMMYFUNCTION("""COMPUTED_VALUE"""),"Yes")</f>
        <v>Yes</v>
      </c>
      <c r="AM41" s="8" t="str">
        <f ca="1">IFERROR(__xludf.DUMMYFUNCTION("""COMPUTED_VALUE"""),"No")</f>
        <v>No</v>
      </c>
      <c r="AN41" s="8" t="str">
        <f ca="1">IFERROR(__xludf.DUMMYFUNCTION("""COMPUTED_VALUE"""),"Outside")</f>
        <v>Outside</v>
      </c>
      <c r="AO41" s="8" t="str">
        <f ca="1">IFERROR(__xludf.DUMMYFUNCTION("""COMPUTED_VALUE"""),"No")</f>
        <v>No</v>
      </c>
      <c r="AP41" s="8"/>
      <c r="AQ41" s="8"/>
      <c r="AR41" s="8" t="str">
        <f ca="1">IFERROR(__xludf.DUMMYFUNCTION("""COMPUTED_VALUE"""),"Outside/Off-Property")</f>
        <v>Outside/Off-Property</v>
      </c>
      <c r="AS41" s="8">
        <f ca="1">IFERROR(__xludf.DUMMYFUNCTION("""COMPUTED_VALUE"""),2)</f>
        <v>2</v>
      </c>
      <c r="AT41" s="8" t="str">
        <f ca="1">IFERROR(__xludf.DUMMYFUNCTION("""COMPUTED_VALUE"""),"No")</f>
        <v>No</v>
      </c>
      <c r="AU41" s="8">
        <f ca="1">IFERROR(__xludf.DUMMYFUNCTION("""COMPUTED_VALUE"""),45.676007)</f>
        <v>45.676006999999998</v>
      </c>
      <c r="AV41" s="8">
        <f ca="1">IFERROR(__xludf.DUMMYFUNCTION("""COMPUTED_VALUE"""),-122.50043)</f>
        <v>-122.50042999999999</v>
      </c>
      <c r="AW41" s="8" t="str">
        <f ca="1">IFERROR(__xludf.DUMMYFUNCTION("""COMPUTED_VALUE"""),"Single building indoor hallway")</f>
        <v>Single building indoor hallway</v>
      </c>
      <c r="AX41" s="8">
        <f ca="1">IFERROR(__xludf.DUMMYFUNCTION("""COMPUTED_VALUE"""),98682)</f>
        <v>98682</v>
      </c>
    </row>
    <row r="42" spans="1:50" ht="105" x14ac:dyDescent="0.2">
      <c r="A42" s="8" t="str">
        <f ca="1">IFERROR(__xludf.DUMMYFUNCTION("""COMPUTED_VALUE"""),"20250715OHSPS")</f>
        <v>20250715OHSPS</v>
      </c>
      <c r="B42" s="8">
        <f ca="1">IFERROR(__xludf.DUMMYFUNCTION("""COMPUTED_VALUE"""),7)</f>
        <v>7</v>
      </c>
      <c r="C42" s="8">
        <f ca="1">IFERROR(__xludf.DUMMYFUNCTION("""COMPUTED_VALUE"""),15)</f>
        <v>15</v>
      </c>
      <c r="D42" s="8">
        <f ca="1">IFERROR(__xludf.DUMMYFUNCTION("""COMPUTED_VALUE"""),2025)</f>
        <v>2025</v>
      </c>
      <c r="E42" s="9">
        <f ca="1">IFERROR(__xludf.DUMMYFUNCTION("""COMPUTED_VALUE"""),45853)</f>
        <v>45853</v>
      </c>
      <c r="F42" s="8" t="str">
        <f ca="1">IFERROR(__xludf.DUMMYFUNCTION("""COMPUTED_VALUE"""),"Springfield-Clark Career Technology Center")</f>
        <v>Springfield-Clark Career Technology Center</v>
      </c>
      <c r="G42" s="8">
        <f ca="1">IFERROR(__xludf.DUMMYFUNCTION("""COMPUTED_VALUE"""),0)</f>
        <v>0</v>
      </c>
      <c r="H42" s="8">
        <f ca="1">IFERROR(__xludf.DUMMYFUNCTION("""COMPUTED_VALUE"""),1)</f>
        <v>1</v>
      </c>
      <c r="I42" s="8">
        <f ca="1">IFERROR(__xludf.DUMMYFUNCTION("""COMPUTED_VALUE"""),1)</f>
        <v>1</v>
      </c>
      <c r="J42" s="8">
        <f ca="1">IFERROR(__xludf.DUMMYFUNCTION("""COMPUTED_VALUE"""),0)</f>
        <v>0</v>
      </c>
      <c r="K42" s="10" t="str">
        <f ca="1">IFERROR(__xludf.DUMMYFUNCTION("""COMPUTED_VALUE"""),"https://www.whio.com/news/local/1-shot-while-walking-through-school-parking-lot-springfield/LAWODHRIOBBWVNYUUFF4HVO6KQ/")</f>
        <v>https://www.whio.com/news/local/1-shot-while-walking-through-school-parking-lot-springfield/LAWODHRIOBBWVNYUUFF4HVO6KQ/</v>
      </c>
      <c r="L42" s="8">
        <f ca="1">IFERROR(__xludf.DUMMYFUNCTION("""COMPUTED_VALUE"""),1)</f>
        <v>1</v>
      </c>
      <c r="M42" s="8" t="str">
        <f ca="1">IFERROR(__xludf.DUMMYFUNCTION("""COMPUTED_VALUE"""),"Local")</f>
        <v>Local</v>
      </c>
      <c r="N42" s="8">
        <f ca="1">IFERROR(__xludf.DUMMYFUNCTION("""COMPUTED_VALUE"""),4)</f>
        <v>4</v>
      </c>
      <c r="O42" s="8" t="str">
        <f ca="1">IFERROR(__xludf.DUMMYFUNCTION("""COMPUTED_VALUE"""),"Summer")</f>
        <v>Summer</v>
      </c>
      <c r="P42" s="8" t="str">
        <f ca="1">IFERROR(__xludf.DUMMYFUNCTION("""COMPUTED_VALUE"""),"Springfield")</f>
        <v>Springfield</v>
      </c>
      <c r="Q42" s="8" t="str">
        <f ca="1">IFERROR(__xludf.DUMMYFUNCTION("""COMPUTED_VALUE"""),"OH")</f>
        <v>OH</v>
      </c>
      <c r="R42" s="8" t="str">
        <f ca="1">IFERROR(__xludf.DUMMYFUNCTION("""COMPUTED_VALUE"""),"High")</f>
        <v>High</v>
      </c>
      <c r="S42" s="8" t="str">
        <f ca="1">IFERROR(__xludf.DUMMYFUNCTION("""COMPUTED_VALUE"""),"Parking Lot")</f>
        <v>Parking Lot</v>
      </c>
      <c r="T42" s="8" t="str">
        <f ca="1">IFERROR(__xludf.DUMMYFUNCTION("""COMPUTED_VALUE"""),"Outside on School Property")</f>
        <v>Outside on School Property</v>
      </c>
      <c r="U42" s="8" t="str">
        <f ca="1">IFERROR(__xludf.DUMMYFUNCTION("""COMPUTED_VALUE"""),"No")</f>
        <v>No</v>
      </c>
      <c r="V42" s="8" t="str">
        <f ca="1">IFERROR(__xludf.DUMMYFUNCTION("""COMPUTED_VALUE"""),"Night")</f>
        <v>Night</v>
      </c>
      <c r="W42" s="11">
        <f ca="1">IFERROR(__xludf.DUMMYFUNCTION("""COMPUTED_VALUE"""),0.920833333333333)</f>
        <v>0.92083333333333295</v>
      </c>
      <c r="X42" s="8">
        <f ca="1">IFERROR(__xludf.DUMMYFUNCTION("""COMPUTED_VALUE"""),1)</f>
        <v>1</v>
      </c>
      <c r="Y42" s="12" t="str">
        <f ca="1">IFERROR(__xludf.DUMMYFUNCTION("""COMPUTED_VALUE"""),"Man shot in school parking lot")</f>
        <v>Man shot in school parking lot</v>
      </c>
      <c r="Z42" s="12" t="str">
        <f ca="1">IFERROR(__xludf.DUMMYFUNCTION("""COMPUTED_VALUE"""),"One person was hospitalized after being shot while walking through a school parking lot in Springfield Monday night, according to a Springfield Police Division report. 
Upon arrival, officers found a male with a single gunshot wound to the lower right le"&amp;"g, according to the report. Officers started to treat the victim by applying a tourniquet, finding an exit wound, and stopping the bleeding.")</f>
        <v>One person was hospitalized after being shot while walking through a school parking lot in Springfield Monday night, according to a Springfield Police Division report. 
Upon arrival, officers found a male with a single gunshot wound to the lower right leg, according to the report. Officers started to treat the victim by applying a tourniquet, finding an exit wound, and stopping the bleeding.</v>
      </c>
      <c r="AA42" s="8"/>
      <c r="AB42" s="8"/>
      <c r="AC42" s="8" t="str">
        <f ca="1">IFERROR(__xludf.DUMMYFUNCTION("""COMPUTED_VALUE"""),"No")</f>
        <v>No</v>
      </c>
      <c r="AD42" s="8"/>
      <c r="AE42" s="8" t="str">
        <f ca="1">IFERROR(__xludf.DUMMYFUNCTION("""COMPUTED_VALUE"""),"No")</f>
        <v>No</v>
      </c>
      <c r="AF42" s="8"/>
      <c r="AG42" s="8" t="str">
        <f ca="1">IFERROR(__xludf.DUMMYFUNCTION("""COMPUTED_VALUE"""),"No")</f>
        <v>No</v>
      </c>
      <c r="AH42" s="8" t="str">
        <f ca="1">IFERROR(__xludf.DUMMYFUNCTION("""COMPUTED_VALUE"""),"No")</f>
        <v>No</v>
      </c>
      <c r="AI42" s="8" t="str">
        <f ca="1">IFERROR(__xludf.DUMMYFUNCTION("""COMPUTED_VALUE"""),"No")</f>
        <v>No</v>
      </c>
      <c r="AJ42" s="8" t="str">
        <f ca="1">IFERROR(__xludf.DUMMYFUNCTION("""COMPUTED_VALUE"""),"No")</f>
        <v>No</v>
      </c>
      <c r="AK42" s="8" t="str">
        <f ca="1">IFERROR(__xludf.DUMMYFUNCTION("""COMPUTED_VALUE"""),"No")</f>
        <v>No</v>
      </c>
      <c r="AL42" s="8"/>
      <c r="AM42" s="8" t="str">
        <f ca="1">IFERROR(__xludf.DUMMYFUNCTION("""COMPUTED_VALUE"""),"No")</f>
        <v>No</v>
      </c>
      <c r="AN42" s="8" t="str">
        <f ca="1">IFERROR(__xludf.DUMMYFUNCTION("""COMPUTED_VALUE"""),"Outside")</f>
        <v>Outside</v>
      </c>
      <c r="AO42" s="8" t="str">
        <f ca="1">IFERROR(__xludf.DUMMYFUNCTION("""COMPUTED_VALUE"""),"No")</f>
        <v>No</v>
      </c>
      <c r="AP42" s="8"/>
      <c r="AQ42" s="8"/>
      <c r="AR42" s="8" t="str">
        <f ca="1">IFERROR(__xludf.DUMMYFUNCTION("""COMPUTED_VALUE"""),"Outside/Off-Property")</f>
        <v>Outside/Off-Property</v>
      </c>
      <c r="AS42" s="8">
        <f ca="1">IFERROR(__xludf.DUMMYFUNCTION("""COMPUTED_VALUE"""),99)</f>
        <v>99</v>
      </c>
      <c r="AT42" s="8" t="str">
        <f ca="1">IFERROR(__xludf.DUMMYFUNCTION("""COMPUTED_VALUE"""),"No")</f>
        <v>No</v>
      </c>
      <c r="AU42" s="8">
        <f ca="1">IFERROR(__xludf.DUMMYFUNCTION("""COMPUTED_VALUE"""),39.900853)</f>
        <v>39.900852999999998</v>
      </c>
      <c r="AV42" s="8">
        <f ca="1">IFERROR(__xludf.DUMMYFUNCTION("""COMPUTED_VALUE"""),-83.793106)</f>
        <v>-83.793105999999995</v>
      </c>
      <c r="AW42" s="8" t="str">
        <f ca="1">IFERROR(__xludf.DUMMYFUNCTION("""COMPUTED_VALUE"""),"Multiple detached buildings")</f>
        <v>Multiple detached buildings</v>
      </c>
      <c r="AX42" s="8">
        <f ca="1">IFERROR(__xludf.DUMMYFUNCTION("""COMPUTED_VALUE"""),45505)</f>
        <v>45505</v>
      </c>
    </row>
    <row r="43" spans="1:50" ht="90" x14ac:dyDescent="0.2">
      <c r="A43" s="8" t="str">
        <f ca="1">IFERROR(__xludf.DUMMYFUNCTION("""COMPUTED_VALUE"""),"20250715NCWIW")</f>
        <v>20250715NCWIW</v>
      </c>
      <c r="B43" s="8">
        <f ca="1">IFERROR(__xludf.DUMMYFUNCTION("""COMPUTED_VALUE"""),7)</f>
        <v>7</v>
      </c>
      <c r="C43" s="8">
        <f ca="1">IFERROR(__xludf.DUMMYFUNCTION("""COMPUTED_VALUE"""),15)</f>
        <v>15</v>
      </c>
      <c r="D43" s="8">
        <f ca="1">IFERROR(__xludf.DUMMYFUNCTION("""COMPUTED_VALUE"""),2025)</f>
        <v>2025</v>
      </c>
      <c r="E43" s="9">
        <f ca="1">IFERROR(__xludf.DUMMYFUNCTION("""COMPUTED_VALUE"""),45853)</f>
        <v>45853</v>
      </c>
      <c r="F43" s="8" t="str">
        <f ca="1">IFERROR(__xludf.DUMMYFUNCTION("""COMPUTED_VALUE"""),"Windsor Elementary School")</f>
        <v>Windsor Elementary School</v>
      </c>
      <c r="G43" s="8">
        <f ca="1">IFERROR(__xludf.DUMMYFUNCTION("""COMPUTED_VALUE"""),1)</f>
        <v>1</v>
      </c>
      <c r="H43" s="8">
        <f ca="1">IFERROR(__xludf.DUMMYFUNCTION("""COMPUTED_VALUE"""),0)</f>
        <v>0</v>
      </c>
      <c r="I43" s="8">
        <f ca="1">IFERROR(__xludf.DUMMYFUNCTION("""COMPUTED_VALUE"""),1)</f>
        <v>1</v>
      </c>
      <c r="J43" s="8">
        <f ca="1">IFERROR(__xludf.DUMMYFUNCTION("""COMPUTED_VALUE"""),0)</f>
        <v>0</v>
      </c>
      <c r="K43" s="8" t="str">
        <f ca="1">IFERROR(__xludf.DUMMYFUNCTION("""COMPUTED_VALUE"""),"https://www.witn.com/2025/07/16/sbi-windsor-police-investigate-reported-shooting-school-grounds-outside-windsor-elementary/
https://www.wnct.com/news/north-carolina/law-enforcement-sbi-investigating-homicide-on-property-of-windsor-elementary-school/
https"&amp;"://www.witn.com/2025/07/16/sbi-windsor-police-investigate-reported-shooting-school-grounds-outside-windsor-elementary/")</f>
        <v>https://www.witn.com/2025/07/16/sbi-windsor-police-investigate-reported-shooting-school-grounds-outside-windsor-elementary/
https://www.wnct.com/news/north-carolina/law-enforcement-sbi-investigating-homicide-on-property-of-windsor-elementary-school/
https://www.witn.com/2025/07/16/sbi-windsor-police-investigate-reported-shooting-school-grounds-outside-windsor-elementary/</v>
      </c>
      <c r="L43" s="8">
        <f ca="1">IFERROR(__xludf.DUMMYFUNCTION("""COMPUTED_VALUE"""),3)</f>
        <v>3</v>
      </c>
      <c r="M43" s="8" t="str">
        <f ca="1">IFERROR(__xludf.DUMMYFUNCTION("""COMPUTED_VALUE"""),"Local")</f>
        <v>Local</v>
      </c>
      <c r="N43" s="8">
        <f ca="1">IFERROR(__xludf.DUMMYFUNCTION("""COMPUTED_VALUE"""),4)</f>
        <v>4</v>
      </c>
      <c r="O43" s="8" t="str">
        <f ca="1">IFERROR(__xludf.DUMMYFUNCTION("""COMPUTED_VALUE"""),"Summer")</f>
        <v>Summer</v>
      </c>
      <c r="P43" s="8" t="str">
        <f ca="1">IFERROR(__xludf.DUMMYFUNCTION("""COMPUTED_VALUE"""),"Windsor")</f>
        <v>Windsor</v>
      </c>
      <c r="Q43" s="8" t="str">
        <f ca="1">IFERROR(__xludf.DUMMYFUNCTION("""COMPUTED_VALUE"""),"NC")</f>
        <v>NC</v>
      </c>
      <c r="R43" s="8" t="str">
        <f ca="1">IFERROR(__xludf.DUMMYFUNCTION("""COMPUTED_VALUE"""),"Elementary")</f>
        <v>Elementary</v>
      </c>
      <c r="S43" s="8" t="str">
        <f ca="1">IFERROR(__xludf.DUMMYFUNCTION("""COMPUTED_VALUE"""),"Basketball Court")</f>
        <v>Basketball Court</v>
      </c>
      <c r="T43" s="8" t="str">
        <f ca="1">IFERROR(__xludf.DUMMYFUNCTION("""COMPUTED_VALUE"""),"Outside on School Property")</f>
        <v>Outside on School Property</v>
      </c>
      <c r="U43" s="8" t="str">
        <f ca="1">IFERROR(__xludf.DUMMYFUNCTION("""COMPUTED_VALUE"""),"No")</f>
        <v>No</v>
      </c>
      <c r="V43" s="8" t="str">
        <f ca="1">IFERROR(__xludf.DUMMYFUNCTION("""COMPUTED_VALUE"""),"Evening")</f>
        <v>Evening</v>
      </c>
      <c r="W43" s="8"/>
      <c r="X43" s="8">
        <f ca="1">IFERROR(__xludf.DUMMYFUNCTION("""COMPUTED_VALUE"""),1)</f>
        <v>1</v>
      </c>
      <c r="Y43" s="12" t="str">
        <f ca="1">IFERROR(__xludf.DUMMYFUNCTION("""COMPUTED_VALUE"""),"Person fatally shot on the school basketball court")</f>
        <v>Person fatally shot on the school basketball court</v>
      </c>
      <c r="Z43" s="12" t="str">
        <f ca="1">IFERROR(__xludf.DUMMYFUNCTION("""COMPUTED_VALUE"""),"The teenager, who was 16 years old, was shot near the basketball court on Tuesday, July 15 at Windsor Elementary School in Bertie County. State investigators told WITN that a group of people was playing basketball when a fight erupted and led to the shoot"&amp;"ing. It is unclear who fired the fatal shot, how old that person was or if they have been charged.")</f>
        <v>The teenager, who was 16 years old, was shot near the basketball court on Tuesday, July 15 at Windsor Elementary School in Bertie County. State investigators told WITN that a group of people was playing basketball when a fight erupted and led to the shooting. It is unclear who fired the fatal shot, how old that person was or if they have been charged.</v>
      </c>
      <c r="AA43" s="8" t="str">
        <f ca="1">IFERROR(__xludf.DUMMYFUNCTION("""COMPUTED_VALUE"""),"Escalation of Dispute")</f>
        <v>Escalation of Dispute</v>
      </c>
      <c r="AB43" s="8" t="str">
        <f ca="1">IFERROR(__xludf.DUMMYFUNCTION("""COMPUTED_VALUE"""),"Spontaneous")</f>
        <v>Spontaneous</v>
      </c>
      <c r="AC43" s="8" t="str">
        <f ca="1">IFERROR(__xludf.DUMMYFUNCTION("""COMPUTED_VALUE"""),"No")</f>
        <v>No</v>
      </c>
      <c r="AD43" s="8"/>
      <c r="AE43" s="8"/>
      <c r="AF43" s="8"/>
      <c r="AG43" s="8" t="str">
        <f ca="1">IFERROR(__xludf.DUMMYFUNCTION("""COMPUTED_VALUE"""),"No")</f>
        <v>No</v>
      </c>
      <c r="AH43" s="8" t="str">
        <f ca="1">IFERROR(__xludf.DUMMYFUNCTION("""COMPUTED_VALUE"""),"No")</f>
        <v>No</v>
      </c>
      <c r="AI43" s="8" t="str">
        <f ca="1">IFERROR(__xludf.DUMMYFUNCTION("""COMPUTED_VALUE"""),"No")</f>
        <v>No</v>
      </c>
      <c r="AJ43" s="8" t="str">
        <f ca="1">IFERROR(__xludf.DUMMYFUNCTION("""COMPUTED_VALUE"""),"No")</f>
        <v>No</v>
      </c>
      <c r="AK43" s="8" t="str">
        <f ca="1">IFERROR(__xludf.DUMMYFUNCTION("""COMPUTED_VALUE"""),"No")</f>
        <v>No</v>
      </c>
      <c r="AL43" s="8"/>
      <c r="AM43" s="8" t="str">
        <f ca="1">IFERROR(__xludf.DUMMYFUNCTION("""COMPUTED_VALUE"""),"No")</f>
        <v>No</v>
      </c>
      <c r="AN43" s="8" t="str">
        <f ca="1">IFERROR(__xludf.DUMMYFUNCTION("""COMPUTED_VALUE"""),"Outside")</f>
        <v>Outside</v>
      </c>
      <c r="AO43" s="8" t="str">
        <f ca="1">IFERROR(__xludf.DUMMYFUNCTION("""COMPUTED_VALUE"""),"No")</f>
        <v>No</v>
      </c>
      <c r="AP43" s="8"/>
      <c r="AQ43" s="8"/>
      <c r="AR43" s="8" t="str">
        <f ca="1">IFERROR(__xludf.DUMMYFUNCTION("""COMPUTED_VALUE"""),"Outside/Off-Property")</f>
        <v>Outside/Off-Property</v>
      </c>
      <c r="AS43" s="8">
        <f ca="1">IFERROR(__xludf.DUMMYFUNCTION("""COMPUTED_VALUE"""),99)</f>
        <v>99</v>
      </c>
      <c r="AT43" s="8" t="str">
        <f ca="1">IFERROR(__xludf.DUMMYFUNCTION("""COMPUTED_VALUE"""),"No")</f>
        <v>No</v>
      </c>
      <c r="AU43" s="8">
        <f ca="1">IFERROR(__xludf.DUMMYFUNCTION("""COMPUTED_VALUE"""),35.987622)</f>
        <v>35.987622000000002</v>
      </c>
      <c r="AV43" s="8">
        <f ca="1">IFERROR(__xludf.DUMMYFUNCTION("""COMPUTED_VALUE"""),-76.921667)</f>
        <v>-76.921666999999999</v>
      </c>
      <c r="AW43" s="8" t="str">
        <f ca="1">IFERROR(__xludf.DUMMYFUNCTION("""COMPUTED_VALUE"""),"Single building indoor hallway")</f>
        <v>Single building indoor hallway</v>
      </c>
      <c r="AX43" s="8">
        <f ca="1">IFERROR(__xludf.DUMMYFUNCTION("""COMPUTED_VALUE"""),27983)</f>
        <v>27983</v>
      </c>
    </row>
    <row r="44" spans="1:50" ht="135" x14ac:dyDescent="0.2">
      <c r="A44" s="8" t="str">
        <f ca="1">IFERROR(__xludf.DUMMYFUNCTION("""COMPUTED_VALUE"""),"20250713ILSTC")</f>
        <v>20250713ILSTC</v>
      </c>
      <c r="B44" s="8">
        <f ca="1">IFERROR(__xludf.DUMMYFUNCTION("""COMPUTED_VALUE"""),7)</f>
        <v>7</v>
      </c>
      <c r="C44" s="8">
        <f ca="1">IFERROR(__xludf.DUMMYFUNCTION("""COMPUTED_VALUE"""),13)</f>
        <v>13</v>
      </c>
      <c r="D44" s="8">
        <f ca="1">IFERROR(__xludf.DUMMYFUNCTION("""COMPUTED_VALUE"""),2025)</f>
        <v>2025</v>
      </c>
      <c r="E44" s="9">
        <f ca="1">IFERROR(__xludf.DUMMYFUNCTION("""COMPUTED_VALUE"""),45851)</f>
        <v>45851</v>
      </c>
      <c r="F44" s="8" t="str">
        <f ca="1">IFERROR(__xludf.DUMMYFUNCTION("""COMPUTED_VALUE"""),"Stone Scholastic Academy")</f>
        <v>Stone Scholastic Academy</v>
      </c>
      <c r="G44" s="8">
        <f ca="1">IFERROR(__xludf.DUMMYFUNCTION("""COMPUTED_VALUE"""),0)</f>
        <v>0</v>
      </c>
      <c r="H44" s="8">
        <f ca="1">IFERROR(__xludf.DUMMYFUNCTION("""COMPUTED_VALUE"""),1)</f>
        <v>1</v>
      </c>
      <c r="I44" s="8">
        <f ca="1">IFERROR(__xludf.DUMMYFUNCTION("""COMPUTED_VALUE"""),1)</f>
        <v>1</v>
      </c>
      <c r="J44" s="8">
        <f ca="1">IFERROR(__xludf.DUMMYFUNCTION("""COMPUTED_VALUE"""),0)</f>
        <v>0</v>
      </c>
      <c r="K44" s="10" t="str">
        <f ca="1">IFERROR(__xludf.DUMMYFUNCTION("""COMPUTED_VALUE"""),"https://abc7chicago.com/post/cpd-working-determine-motive-west-ridge-chicago-shooting-injured-teen-stone-scholastic-academy-soccer-field/17120134/")</f>
        <v>https://abc7chicago.com/post/cpd-working-determine-motive-west-ridge-chicago-shooting-injured-teen-stone-scholastic-academy-soccer-field/17120134/</v>
      </c>
      <c r="L44" s="8">
        <f ca="1">IFERROR(__xludf.DUMMYFUNCTION("""COMPUTED_VALUE"""),3)</f>
        <v>3</v>
      </c>
      <c r="M44" s="8" t="str">
        <f ca="1">IFERROR(__xludf.DUMMYFUNCTION("""COMPUTED_VALUE"""),"Local")</f>
        <v>Local</v>
      </c>
      <c r="N44" s="8">
        <f ca="1">IFERROR(__xludf.DUMMYFUNCTION("""COMPUTED_VALUE"""),4)</f>
        <v>4</v>
      </c>
      <c r="O44" s="8" t="str">
        <f ca="1">IFERROR(__xludf.DUMMYFUNCTION("""COMPUTED_VALUE"""),"Summer")</f>
        <v>Summer</v>
      </c>
      <c r="P44" s="8" t="str">
        <f ca="1">IFERROR(__xludf.DUMMYFUNCTION("""COMPUTED_VALUE"""),"Chicago")</f>
        <v>Chicago</v>
      </c>
      <c r="Q44" s="8" t="str">
        <f ca="1">IFERROR(__xludf.DUMMYFUNCTION("""COMPUTED_VALUE"""),"IL")</f>
        <v>IL</v>
      </c>
      <c r="R44" s="8" t="str">
        <f ca="1">IFERROR(__xludf.DUMMYFUNCTION("""COMPUTED_VALUE"""),"K-8")</f>
        <v>K-8</v>
      </c>
      <c r="S44" s="8" t="str">
        <f ca="1">IFERROR(__xludf.DUMMYFUNCTION("""COMPUTED_VALUE"""),"Playground")</f>
        <v>Playground</v>
      </c>
      <c r="T44" s="8" t="str">
        <f ca="1">IFERROR(__xludf.DUMMYFUNCTION("""COMPUTED_VALUE"""),"Outside on School Property")</f>
        <v>Outside on School Property</v>
      </c>
      <c r="U44" s="8" t="str">
        <f ca="1">IFERROR(__xludf.DUMMYFUNCTION("""COMPUTED_VALUE"""),"No")</f>
        <v>No</v>
      </c>
      <c r="V44" s="8" t="str">
        <f ca="1">IFERROR(__xludf.DUMMYFUNCTION("""COMPUTED_VALUE"""),"Not a School Day")</f>
        <v>Not a School Day</v>
      </c>
      <c r="W44" s="11">
        <f ca="1">IFERROR(__xludf.DUMMYFUNCTION("""COMPUTED_VALUE"""),0.666666666666666)</f>
        <v>0.66666666666666596</v>
      </c>
      <c r="X44" s="8">
        <f ca="1">IFERROR(__xludf.DUMMYFUNCTION("""COMPUTED_VALUE"""),1)</f>
        <v>1</v>
      </c>
      <c r="Y44" s="12" t="str">
        <f ca="1">IFERROR(__xludf.DUMMYFUNCTION("""COMPUTED_VALUE"""),"Teen shot during robbery on the soccer field while a game was taking place")</f>
        <v>Teen shot during robbery on the soccer field while a game was taking place</v>
      </c>
      <c r="Z44" s="12" t="str">
        <f ca="1">IFERROR(__xludf.DUMMYFUNCTION("""COMPUTED_VALUE"""),"A mother who was at the playground with her young kids witnessed the incident. She says the shooter was a young teenager. ""He grabbed the gun from a fanny pack and just shot him, and the guy who got shot was like, 'please don't shoot me,' and he shot him"&amp;","" she said. Police say the shooter was on an electric scooter and fled the scene before officers arrived. The witness thought the shooting was over a soccer game dispute, but police say the motive appears to be a robbery.")</f>
        <v>A mother who was at the playground with her young kids witnessed the incident. She says the shooter was a young teenager. "He grabbed the gun from a fanny pack and just shot him, and the guy who got shot was like, 'please don't shoot me,' and he shot him," she said. Police say the shooter was on an electric scooter and fled the scene before officers arrived. The witness thought the shooting was over a soccer game dispute, but police say the motive appears to be a robbery.</v>
      </c>
      <c r="AA44" s="8" t="str">
        <f ca="1">IFERROR(__xludf.DUMMYFUNCTION("""COMPUTED_VALUE"""),"Illegal Activity")</f>
        <v>Illegal Activity</v>
      </c>
      <c r="AB44" s="8" t="str">
        <f ca="1">IFERROR(__xludf.DUMMYFUNCTION("""COMPUTED_VALUE"""),"Spontaneous")</f>
        <v>Spontaneous</v>
      </c>
      <c r="AC44" s="8" t="str">
        <f ca="1">IFERROR(__xludf.DUMMYFUNCTION("""COMPUTED_VALUE"""),"Yes")</f>
        <v>Yes</v>
      </c>
      <c r="AD44" s="8" t="str">
        <f ca="1">IFERROR(__xludf.DUMMYFUNCTION("""COMPUTED_VALUE"""),"Victims Targeted")</f>
        <v>Victims Targeted</v>
      </c>
      <c r="AE44" s="8" t="str">
        <f ca="1">IFERROR(__xludf.DUMMYFUNCTION("""COMPUTED_VALUE"""),"No")</f>
        <v>No</v>
      </c>
      <c r="AF44" s="8"/>
      <c r="AG44" s="8" t="str">
        <f ca="1">IFERROR(__xludf.DUMMYFUNCTION("""COMPUTED_VALUE"""),"No")</f>
        <v>No</v>
      </c>
      <c r="AH44" s="8" t="str">
        <f ca="1">IFERROR(__xludf.DUMMYFUNCTION("""COMPUTED_VALUE"""),"No")</f>
        <v>No</v>
      </c>
      <c r="AI44" s="8" t="str">
        <f ca="1">IFERROR(__xludf.DUMMYFUNCTION("""COMPUTED_VALUE"""),"No")</f>
        <v>No</v>
      </c>
      <c r="AJ44" s="8" t="str">
        <f ca="1">IFERROR(__xludf.DUMMYFUNCTION("""COMPUTED_VALUE"""),"No")</f>
        <v>No</v>
      </c>
      <c r="AK44" s="8" t="str">
        <f ca="1">IFERROR(__xludf.DUMMYFUNCTION("""COMPUTED_VALUE"""),"No")</f>
        <v>No</v>
      </c>
      <c r="AL44" s="8" t="str">
        <f ca="1">IFERROR(__xludf.DUMMYFUNCTION("""COMPUTED_VALUE"""),"No")</f>
        <v>No</v>
      </c>
      <c r="AM44" s="8" t="str">
        <f ca="1">IFERROR(__xludf.DUMMYFUNCTION("""COMPUTED_VALUE"""),"No")</f>
        <v>No</v>
      </c>
      <c r="AN44" s="8" t="str">
        <f ca="1">IFERROR(__xludf.DUMMYFUNCTION("""COMPUTED_VALUE"""),"Outside")</f>
        <v>Outside</v>
      </c>
      <c r="AO44" s="8" t="str">
        <f ca="1">IFERROR(__xludf.DUMMYFUNCTION("""COMPUTED_VALUE"""),"No")</f>
        <v>No</v>
      </c>
      <c r="AP44" s="8"/>
      <c r="AQ44" s="8"/>
      <c r="AR44" s="8" t="str">
        <f ca="1">IFERROR(__xludf.DUMMYFUNCTION("""COMPUTED_VALUE"""),"Outside/Off-Property")</f>
        <v>Outside/Off-Property</v>
      </c>
      <c r="AS44" s="8">
        <f ca="1">IFERROR(__xludf.DUMMYFUNCTION("""COMPUTED_VALUE"""),1)</f>
        <v>1</v>
      </c>
      <c r="AT44" s="8" t="str">
        <f ca="1">IFERROR(__xludf.DUMMYFUNCTION("""COMPUTED_VALUE"""),"No")</f>
        <v>No</v>
      </c>
      <c r="AU44" s="8">
        <f ca="1">IFERROR(__xludf.DUMMYFUNCTION("""COMPUTED_VALUE"""),41.994996)</f>
        <v>41.994996</v>
      </c>
      <c r="AV44" s="8">
        <f ca="1">IFERROR(__xludf.DUMMYFUNCTION("""COMPUTED_VALUE"""),-87.684433)</f>
        <v>-87.684432999999999</v>
      </c>
      <c r="AW44" s="8" t="str">
        <f ca="1">IFERROR(__xludf.DUMMYFUNCTION("""COMPUTED_VALUE"""),"Urban with fenced mini campus")</f>
        <v>Urban with fenced mini campus</v>
      </c>
      <c r="AX44" s="8">
        <f ca="1">IFERROR(__xludf.DUMMYFUNCTION("""COMPUTED_VALUE"""),60659)</f>
        <v>60659</v>
      </c>
    </row>
    <row r="45" spans="1:50" ht="120" x14ac:dyDescent="0.2">
      <c r="A45" s="8" t="str">
        <f ca="1">IFERROR(__xludf.DUMMYFUNCTION("""COMPUTED_VALUE"""),"20250712TNTYC")</f>
        <v>20250712TNTYC</v>
      </c>
      <c r="B45" s="8">
        <f ca="1">IFERROR(__xludf.DUMMYFUNCTION("""COMPUTED_VALUE"""),7)</f>
        <v>7</v>
      </c>
      <c r="C45" s="8">
        <f ca="1">IFERROR(__xludf.DUMMYFUNCTION("""COMPUTED_VALUE"""),12)</f>
        <v>12</v>
      </c>
      <c r="D45" s="8">
        <f ca="1">IFERROR(__xludf.DUMMYFUNCTION("""COMPUTED_VALUE"""),2025)</f>
        <v>2025</v>
      </c>
      <c r="E45" s="9">
        <f ca="1">IFERROR(__xludf.DUMMYFUNCTION("""COMPUTED_VALUE"""),45850)</f>
        <v>45850</v>
      </c>
      <c r="F45" s="8" t="str">
        <f ca="1">IFERROR(__xludf.DUMMYFUNCTION("""COMPUTED_VALUE"""),"Tyner Middle High Academy")</f>
        <v>Tyner Middle High Academy</v>
      </c>
      <c r="G45" s="8">
        <f ca="1">IFERROR(__xludf.DUMMYFUNCTION("""COMPUTED_VALUE"""),0)</f>
        <v>0</v>
      </c>
      <c r="H45" s="8">
        <f ca="1">IFERROR(__xludf.DUMMYFUNCTION("""COMPUTED_VALUE"""),4)</f>
        <v>4</v>
      </c>
      <c r="I45" s="8">
        <f ca="1">IFERROR(__xludf.DUMMYFUNCTION("""COMPUTED_VALUE"""),4)</f>
        <v>4</v>
      </c>
      <c r="J45" s="8">
        <f ca="1">IFERROR(__xludf.DUMMYFUNCTION("""COMPUTED_VALUE"""),0)</f>
        <v>0</v>
      </c>
      <c r="K45" s="10" t="str">
        <f ca="1">IFERROR(__xludf.DUMMYFUNCTION("""COMPUTED_VALUE"""),"https://www.nbcnews.com/news/us-news/people-shot-class-reunion-chattanooga-rcna218516
https://newschannel9.com/news/local/heavy-police-presence-near-tyner-community-center")</f>
        <v>https://www.nbcnews.com/news/us-news/people-shot-class-reunion-chattanooga-rcna218516
https://newschannel9.com/news/local/heavy-police-presence-near-tyner-community-center</v>
      </c>
      <c r="L45" s="8">
        <f ca="1">IFERROR(__xludf.DUMMYFUNCTION("""COMPUTED_VALUE"""),50)</f>
        <v>50</v>
      </c>
      <c r="M45" s="8" t="str">
        <f ca="1">IFERROR(__xludf.DUMMYFUNCTION("""COMPUTED_VALUE"""),"National")</f>
        <v>National</v>
      </c>
      <c r="N45" s="8">
        <f ca="1">IFERROR(__xludf.DUMMYFUNCTION("""COMPUTED_VALUE"""),4)</f>
        <v>4</v>
      </c>
      <c r="O45" s="8" t="str">
        <f ca="1">IFERROR(__xludf.DUMMYFUNCTION("""COMPUTED_VALUE"""),"Summer")</f>
        <v>Summer</v>
      </c>
      <c r="P45" s="8" t="str">
        <f ca="1">IFERROR(__xludf.DUMMYFUNCTION("""COMPUTED_VALUE"""),"Chattanooga")</f>
        <v>Chattanooga</v>
      </c>
      <c r="Q45" s="8" t="str">
        <f ca="1">IFERROR(__xludf.DUMMYFUNCTION("""COMPUTED_VALUE"""),"TN")</f>
        <v>TN</v>
      </c>
      <c r="R45" s="8" t="str">
        <f ca="1">IFERROR(__xludf.DUMMYFUNCTION("""COMPUTED_VALUE"""),"High")</f>
        <v>High</v>
      </c>
      <c r="S45" s="8" t="str">
        <f ca="1">IFERROR(__xludf.DUMMYFUNCTION("""COMPUTED_VALUE"""),"Field (General)")</f>
        <v>Field (General)</v>
      </c>
      <c r="T45" s="8" t="str">
        <f ca="1">IFERROR(__xludf.DUMMYFUNCTION("""COMPUTED_VALUE"""),"Outside on School Property")</f>
        <v>Outside on School Property</v>
      </c>
      <c r="U45" s="8" t="str">
        <f ca="1">IFERROR(__xludf.DUMMYFUNCTION("""COMPUTED_VALUE"""),"No")</f>
        <v>No</v>
      </c>
      <c r="V45" s="8" t="str">
        <f ca="1">IFERROR(__xludf.DUMMYFUNCTION("""COMPUTED_VALUE"""),"School Event")</f>
        <v>School Event</v>
      </c>
      <c r="W45" s="11">
        <f ca="1">IFERROR(__xludf.DUMMYFUNCTION("""COMPUTED_VALUE"""),0.625)</f>
        <v>0.625</v>
      </c>
      <c r="X45" s="8">
        <f ca="1">IFERROR(__xludf.DUMMYFUNCTION("""COMPUTED_VALUE"""),1)</f>
        <v>1</v>
      </c>
      <c r="Y45" s="12" t="str">
        <f ca="1">IFERROR(__xludf.DUMMYFUNCTION("""COMPUTED_VALUE"""),"Four people shot during alumni picnic")</f>
        <v>Four people shot during alumni picnic</v>
      </c>
      <c r="Z45" s="12" t="str">
        <f ca="1">IFERROR(__xludf.DUMMYFUNCTION("""COMPUTED_VALUE"""),"4 people were shot at a class reunion at the Tyner Community Center in Chattanooga Saturday afternoon, police say. One witness told us ""all of a sudden gunshots rang out and then you heard gunshots retaliate and then another another set of gunshots, and "&amp;"everybody just hit the ground. All 4 of those who were shot were rushed to the hospital with non-life-threatening injuries, according to Chattanooga police.")</f>
        <v>4 people were shot at a class reunion at the Tyner Community Center in Chattanooga Saturday afternoon, police say. One witness told us "all of a sudden gunshots rang out and then you heard gunshots retaliate and then another another set of gunshots, and everybody just hit the ground. All 4 of those who were shot were rushed to the hospital with non-life-threatening injuries, according to Chattanooga police.</v>
      </c>
      <c r="AA45" s="8"/>
      <c r="AB45" s="8" t="str">
        <f ca="1">IFERROR(__xludf.DUMMYFUNCTION("""COMPUTED_VALUE"""),"Spontaneous")</f>
        <v>Spontaneous</v>
      </c>
      <c r="AC45" s="8" t="str">
        <f ca="1">IFERROR(__xludf.DUMMYFUNCTION("""COMPUTED_VALUE"""),"Yes")</f>
        <v>Yes</v>
      </c>
      <c r="AD45" s="8" t="str">
        <f ca="1">IFERROR(__xludf.DUMMYFUNCTION("""COMPUTED_VALUE"""),"Both")</f>
        <v>Both</v>
      </c>
      <c r="AE45" s="8"/>
      <c r="AF45" s="8"/>
      <c r="AG45" s="8" t="str">
        <f ca="1">IFERROR(__xludf.DUMMYFUNCTION("""COMPUTED_VALUE"""),"No")</f>
        <v>No</v>
      </c>
      <c r="AH45" s="8" t="str">
        <f ca="1">IFERROR(__xludf.DUMMYFUNCTION("""COMPUTED_VALUE"""),"No")</f>
        <v>No</v>
      </c>
      <c r="AI45" s="8" t="str">
        <f ca="1">IFERROR(__xludf.DUMMYFUNCTION("""COMPUTED_VALUE"""),"No")</f>
        <v>No</v>
      </c>
      <c r="AJ45" s="8" t="str">
        <f ca="1">IFERROR(__xludf.DUMMYFUNCTION("""COMPUTED_VALUE"""),"No")</f>
        <v>No</v>
      </c>
      <c r="AK45" s="8" t="str">
        <f ca="1">IFERROR(__xludf.DUMMYFUNCTION("""COMPUTED_VALUE"""),"No")</f>
        <v>No</v>
      </c>
      <c r="AL45" s="8"/>
      <c r="AM45" s="8" t="str">
        <f ca="1">IFERROR(__xludf.DUMMYFUNCTION("""COMPUTED_VALUE"""),"No")</f>
        <v>No</v>
      </c>
      <c r="AN45" s="8" t="str">
        <f ca="1">IFERROR(__xludf.DUMMYFUNCTION("""COMPUTED_VALUE"""),"Outside")</f>
        <v>Outside</v>
      </c>
      <c r="AO45" s="8" t="str">
        <f ca="1">IFERROR(__xludf.DUMMYFUNCTION("""COMPUTED_VALUE"""),"No")</f>
        <v>No</v>
      </c>
      <c r="AP45" s="8"/>
      <c r="AQ45" s="8"/>
      <c r="AR45" s="8" t="str">
        <f ca="1">IFERROR(__xludf.DUMMYFUNCTION("""COMPUTED_VALUE"""),"Outside/Off-Property")</f>
        <v>Outside/Off-Property</v>
      </c>
      <c r="AS45" s="8">
        <f ca="1">IFERROR(__xludf.DUMMYFUNCTION("""COMPUTED_VALUE"""),99)</f>
        <v>99</v>
      </c>
      <c r="AT45" s="8" t="str">
        <f ca="1">IFERROR(__xludf.DUMMYFUNCTION("""COMPUTED_VALUE"""),"No")</f>
        <v>No</v>
      </c>
      <c r="AU45" s="8">
        <f ca="1">IFERROR(__xludf.DUMMYFUNCTION("""COMPUTED_VALUE"""),35.059957)</f>
        <v>35.059956999999997</v>
      </c>
      <c r="AV45" s="8">
        <f ca="1">IFERROR(__xludf.DUMMYFUNCTION("""COMPUTED_VALUE"""),-85.15338)</f>
        <v>-85.153379999999999</v>
      </c>
      <c r="AW45" s="8" t="str">
        <f ca="1">IFERROR(__xludf.DUMMYFUNCTION("""COMPUTED_VALUE"""),"Multiple detached buildings")</f>
        <v>Multiple detached buildings</v>
      </c>
      <c r="AX45" s="8">
        <f ca="1">IFERROR(__xludf.DUMMYFUNCTION("""COMPUTED_VALUE"""),37421)</f>
        <v>37421</v>
      </c>
    </row>
    <row r="46" spans="1:50" ht="21.75" customHeight="1" x14ac:dyDescent="0.2">
      <c r="A46" s="8" t="str">
        <f ca="1">IFERROR(__xludf.DUMMYFUNCTION("""COMPUTED_VALUE"""),"20250712ALWOB")</f>
        <v>20250712ALWOB</v>
      </c>
      <c r="B46" s="8">
        <f ca="1">IFERROR(__xludf.DUMMYFUNCTION("""COMPUTED_VALUE"""),7)</f>
        <v>7</v>
      </c>
      <c r="C46" s="8">
        <f ca="1">IFERROR(__xludf.DUMMYFUNCTION("""COMPUTED_VALUE"""),12)</f>
        <v>12</v>
      </c>
      <c r="D46" s="8">
        <f ca="1">IFERROR(__xludf.DUMMYFUNCTION("""COMPUTED_VALUE"""),2025)</f>
        <v>2025</v>
      </c>
      <c r="E46" s="9">
        <f ca="1">IFERROR(__xludf.DUMMYFUNCTION("""COMPUTED_VALUE"""),45850)</f>
        <v>45850</v>
      </c>
      <c r="F46" s="8" t="str">
        <f ca="1">IFERROR(__xludf.DUMMYFUNCTION("""COMPUTED_VALUE"""),"Woodlawn High School")</f>
        <v>Woodlawn High School</v>
      </c>
      <c r="G46" s="8">
        <f ca="1">IFERROR(__xludf.DUMMYFUNCTION("""COMPUTED_VALUE"""),0)</f>
        <v>0</v>
      </c>
      <c r="H46" s="8">
        <f ca="1">IFERROR(__xludf.DUMMYFUNCTION("""COMPUTED_VALUE"""),1)</f>
        <v>1</v>
      </c>
      <c r="I46" s="8">
        <f ca="1">IFERROR(__xludf.DUMMYFUNCTION("""COMPUTED_VALUE"""),1)</f>
        <v>1</v>
      </c>
      <c r="J46" s="8">
        <f ca="1">IFERROR(__xludf.DUMMYFUNCTION("""COMPUTED_VALUE"""),0)</f>
        <v>0</v>
      </c>
      <c r="K46" s="10" t="str">
        <f ca="1">IFERROR(__xludf.DUMMYFUNCTION("""COMPUTED_VALUE"""),"https://www.miamiherald.com/news/nation-world/national/article310727390.html
https://www.wvtm13.com/article/birmingham-police-investigate-shooting-near-high-school/65389016")</f>
        <v>https://www.miamiherald.com/news/nation-world/national/article310727390.html
https://www.wvtm13.com/article/birmingham-police-investigate-shooting-near-high-school/65389016</v>
      </c>
      <c r="L46" s="8">
        <f ca="1">IFERROR(__xludf.DUMMYFUNCTION("""COMPUTED_VALUE"""),6)</f>
        <v>6</v>
      </c>
      <c r="M46" s="8" t="str">
        <f ca="1">IFERROR(__xludf.DUMMYFUNCTION("""COMPUTED_VALUE"""),"Regional")</f>
        <v>Regional</v>
      </c>
      <c r="N46" s="8">
        <f ca="1">IFERROR(__xludf.DUMMYFUNCTION("""COMPUTED_VALUE"""),4)</f>
        <v>4</v>
      </c>
      <c r="O46" s="8" t="str">
        <f ca="1">IFERROR(__xludf.DUMMYFUNCTION("""COMPUTED_VALUE"""),"Summer")</f>
        <v>Summer</v>
      </c>
      <c r="P46" s="8" t="str">
        <f ca="1">IFERROR(__xludf.DUMMYFUNCTION("""COMPUTED_VALUE"""),"Birmingham")</f>
        <v>Birmingham</v>
      </c>
      <c r="Q46" s="8" t="str">
        <f ca="1">IFERROR(__xludf.DUMMYFUNCTION("""COMPUTED_VALUE"""),"AL")</f>
        <v>AL</v>
      </c>
      <c r="R46" s="8" t="str">
        <f ca="1">IFERROR(__xludf.DUMMYFUNCTION("""COMPUTED_VALUE"""),"High")</f>
        <v>High</v>
      </c>
      <c r="S46" s="8" t="str">
        <f ca="1">IFERROR(__xludf.DUMMYFUNCTION("""COMPUTED_VALUE"""),"Parking Lot")</f>
        <v>Parking Lot</v>
      </c>
      <c r="T46" s="8" t="str">
        <f ca="1">IFERROR(__xludf.DUMMYFUNCTION("""COMPUTED_VALUE"""),"Outside on School Property")</f>
        <v>Outside on School Property</v>
      </c>
      <c r="U46" s="8" t="str">
        <f ca="1">IFERROR(__xludf.DUMMYFUNCTION("""COMPUTED_VALUE"""),"No")</f>
        <v>No</v>
      </c>
      <c r="V46" s="8" t="str">
        <f ca="1">IFERROR(__xludf.DUMMYFUNCTION("""COMPUTED_VALUE"""),"School Event")</f>
        <v>School Event</v>
      </c>
      <c r="W46" s="11">
        <f ca="1">IFERROR(__xludf.DUMMYFUNCTION("""COMPUTED_VALUE"""),0.791666666666666)</f>
        <v>0.79166666666666596</v>
      </c>
      <c r="X46" s="8">
        <f ca="1">IFERROR(__xludf.DUMMYFUNCTION("""COMPUTED_VALUE"""),1)</f>
        <v>1</v>
      </c>
      <c r="Y46" s="12" t="str">
        <f ca="1">IFERROR(__xludf.DUMMYFUNCTION("""COMPUTED_VALUE"""),"Multiple people fired shots during fight at alumni picnic")</f>
        <v>Multiple people fired shots during fight at alumni picnic</v>
      </c>
      <c r="Z46" s="12" t="str">
        <f ca="1">IFERROR(__xludf.DUMMYFUNCTION("""COMPUTED_VALUE"""),"The shooting occurred around 7 p.m. near Woodlawn High School, where an annual alumni picnic was taking place on First Avenue North. Police said the number of rounds fired was in the double digits. A woman, who is believed to have been an innocent bystand"&amp;"er, was seriously injured and taken to a hospital by private vehicle. Her condition is currently unknown. Investigators say that preliminary investigative efforts show that two groups of males attending the event got into an argument that led to both grou"&amp;"ps shooting at each other in a crowded parking lot; around seven cars were shot into.")</f>
        <v>The shooting occurred around 7 p.m. near Woodlawn High School, where an annual alumni picnic was taking place on First Avenue North. Police said the number of rounds fired was in the double digits. A woman, who is believed to have been an innocent bystander, was seriously injured and taken to a hospital by private vehicle. Her condition is currently unknown. Investigators say that preliminary investigative efforts show that two groups of males attending the event got into an argument that led to both groups shooting at each other in a crowded parking lot; around seven cars were shot into.</v>
      </c>
      <c r="AA46" s="8" t="str">
        <f ca="1">IFERROR(__xludf.DUMMYFUNCTION("""COMPUTED_VALUE"""),"Escalation of Dispute")</f>
        <v>Escalation of Dispute</v>
      </c>
      <c r="AB46" s="8" t="str">
        <f ca="1">IFERROR(__xludf.DUMMYFUNCTION("""COMPUTED_VALUE"""),"Spontaneous")</f>
        <v>Spontaneous</v>
      </c>
      <c r="AC46" s="8" t="str">
        <f ca="1">IFERROR(__xludf.DUMMYFUNCTION("""COMPUTED_VALUE"""),"Yes")</f>
        <v>Yes</v>
      </c>
      <c r="AD46" s="8" t="str">
        <f ca="1">IFERROR(__xludf.DUMMYFUNCTION("""COMPUTED_VALUE"""),"Both")</f>
        <v>Both</v>
      </c>
      <c r="AE46" s="8" t="str">
        <f ca="1">IFERROR(__xludf.DUMMYFUNCTION("""COMPUTED_VALUE"""),"Yes")</f>
        <v>Yes</v>
      </c>
      <c r="AF46" s="8" t="str">
        <f ca="1">IFERROR(__xludf.DUMMYFUNCTION("""COMPUTED_VALUE"""),"3 shooters")</f>
        <v>3 shooters</v>
      </c>
      <c r="AG46" s="8" t="str">
        <f ca="1">IFERROR(__xludf.DUMMYFUNCTION("""COMPUTED_VALUE"""),"No")</f>
        <v>No</v>
      </c>
      <c r="AH46" s="8" t="str">
        <f ca="1">IFERROR(__xludf.DUMMYFUNCTION("""COMPUTED_VALUE"""),"No")</f>
        <v>No</v>
      </c>
      <c r="AI46" s="8" t="str">
        <f ca="1">IFERROR(__xludf.DUMMYFUNCTION("""COMPUTED_VALUE"""),"No")</f>
        <v>No</v>
      </c>
      <c r="AJ46" s="8" t="str">
        <f ca="1">IFERROR(__xludf.DUMMYFUNCTION("""COMPUTED_VALUE"""),"No")</f>
        <v>No</v>
      </c>
      <c r="AK46" s="8" t="str">
        <f ca="1">IFERROR(__xludf.DUMMYFUNCTION("""COMPUTED_VALUE"""),"No")</f>
        <v>No</v>
      </c>
      <c r="AL46" s="8"/>
      <c r="AM46" s="8" t="str">
        <f ca="1">IFERROR(__xludf.DUMMYFUNCTION("""COMPUTED_VALUE"""),"No")</f>
        <v>No</v>
      </c>
      <c r="AN46" s="8" t="str">
        <f ca="1">IFERROR(__xludf.DUMMYFUNCTION("""COMPUTED_VALUE"""),"Outside")</f>
        <v>Outside</v>
      </c>
      <c r="AO46" s="8" t="str">
        <f ca="1">IFERROR(__xludf.DUMMYFUNCTION("""COMPUTED_VALUE"""),"No")</f>
        <v>No</v>
      </c>
      <c r="AP46" s="8"/>
      <c r="AQ46" s="8"/>
      <c r="AR46" s="8" t="str">
        <f ca="1">IFERROR(__xludf.DUMMYFUNCTION("""COMPUTED_VALUE"""),"Outside/Off-Property")</f>
        <v>Outside/Off-Property</v>
      </c>
      <c r="AS46" s="8">
        <f ca="1">IFERROR(__xludf.DUMMYFUNCTION("""COMPUTED_VALUE"""),16)</f>
        <v>16</v>
      </c>
      <c r="AT46" s="8" t="str">
        <f ca="1">IFERROR(__xludf.DUMMYFUNCTION("""COMPUTED_VALUE"""),"No")</f>
        <v>No</v>
      </c>
      <c r="AU46" s="8">
        <f ca="1">IFERROR(__xludf.DUMMYFUNCTION("""COMPUTED_VALUE"""),33.541964)</f>
        <v>33.541964</v>
      </c>
      <c r="AV46" s="8">
        <f ca="1">IFERROR(__xludf.DUMMYFUNCTION("""COMPUTED_VALUE"""),-86.751833)</f>
        <v>-86.751833000000005</v>
      </c>
      <c r="AW46" s="8" t="str">
        <f ca="1">IFERROR(__xludf.DUMMYFUNCTION("""COMPUTED_VALUE"""),"Multiple detached buildings")</f>
        <v>Multiple detached buildings</v>
      </c>
      <c r="AX46" s="8">
        <f ca="1">IFERROR(__xludf.DUMMYFUNCTION("""COMPUTED_VALUE"""),35212)</f>
        <v>35212</v>
      </c>
    </row>
    <row r="47" spans="1:50" ht="120" x14ac:dyDescent="0.2">
      <c r="A47" s="8" t="str">
        <f ca="1">IFERROR(__xludf.DUMMYFUNCTION("""COMPUTED_VALUE"""),"20250712MASOA")</f>
        <v>20250712MASOA</v>
      </c>
      <c r="B47" s="8">
        <f ca="1">IFERROR(__xludf.DUMMYFUNCTION("""COMPUTED_VALUE"""),7)</f>
        <v>7</v>
      </c>
      <c r="C47" s="8">
        <f ca="1">IFERROR(__xludf.DUMMYFUNCTION("""COMPUTED_VALUE"""),12)</f>
        <v>12</v>
      </c>
      <c r="D47" s="8">
        <f ca="1">IFERROR(__xludf.DUMMYFUNCTION("""COMPUTED_VALUE"""),2025)</f>
        <v>2025</v>
      </c>
      <c r="E47" s="9">
        <f ca="1">IFERROR(__xludf.DUMMYFUNCTION("""COMPUTED_VALUE"""),45850)</f>
        <v>45850</v>
      </c>
      <c r="F47" s="8" t="str">
        <f ca="1">IFERROR(__xludf.DUMMYFUNCTION("""COMPUTED_VALUE"""),"South Middle School")</f>
        <v>South Middle School</v>
      </c>
      <c r="G47" s="8">
        <f ca="1">IFERROR(__xludf.DUMMYFUNCTION("""COMPUTED_VALUE"""),0)</f>
        <v>0</v>
      </c>
      <c r="H47" s="8">
        <f ca="1">IFERROR(__xludf.DUMMYFUNCTION("""COMPUTED_VALUE"""),1)</f>
        <v>1</v>
      </c>
      <c r="I47" s="8">
        <f ca="1">IFERROR(__xludf.DUMMYFUNCTION("""COMPUTED_VALUE"""),1)</f>
        <v>1</v>
      </c>
      <c r="J47" s="8">
        <f ca="1">IFERROR(__xludf.DUMMYFUNCTION("""COMPUTED_VALUE"""),0)</f>
        <v>0</v>
      </c>
      <c r="K47" s="10" t="str">
        <f ca="1">IFERROR(__xludf.DUMMYFUNCTION("""COMPUTED_VALUE"""),"https://www.nbcboston.com/news/local/brockton-ma-shooting-injures-teen/3765415/
https://whdh.com/news/police-investigating-after-17-year-old-seriously-injured-in-shooting-in-brockton/")</f>
        <v>https://www.nbcboston.com/news/local/brockton-ma-shooting-injures-teen/3765415/
https://whdh.com/news/police-investigating-after-17-year-old-seriously-injured-in-shooting-in-brockton/</v>
      </c>
      <c r="L47" s="8">
        <f ca="1">IFERROR(__xludf.DUMMYFUNCTION("""COMPUTED_VALUE"""),8)</f>
        <v>8</v>
      </c>
      <c r="M47" s="8" t="str">
        <f ca="1">IFERROR(__xludf.DUMMYFUNCTION("""COMPUTED_VALUE"""),"Regional")</f>
        <v>Regional</v>
      </c>
      <c r="N47" s="8">
        <f ca="1">IFERROR(__xludf.DUMMYFUNCTION("""COMPUTED_VALUE"""),3)</f>
        <v>3</v>
      </c>
      <c r="O47" s="8" t="str">
        <f ca="1">IFERROR(__xludf.DUMMYFUNCTION("""COMPUTED_VALUE"""),"Summer")</f>
        <v>Summer</v>
      </c>
      <c r="P47" s="8" t="str">
        <f ca="1">IFERROR(__xludf.DUMMYFUNCTION("""COMPUTED_VALUE"""),"Brockton")</f>
        <v>Brockton</v>
      </c>
      <c r="Q47" s="8" t="str">
        <f ca="1">IFERROR(__xludf.DUMMYFUNCTION("""COMPUTED_VALUE"""),"MA")</f>
        <v>MA</v>
      </c>
      <c r="R47" s="8" t="str">
        <f ca="1">IFERROR(__xludf.DUMMYFUNCTION("""COMPUTED_VALUE"""),"Middle")</f>
        <v>Middle</v>
      </c>
      <c r="S47" s="8" t="str">
        <f ca="1">IFERROR(__xludf.DUMMYFUNCTION("""COMPUTED_VALUE"""),"Front of School")</f>
        <v>Front of School</v>
      </c>
      <c r="T47" s="8" t="str">
        <f ca="1">IFERROR(__xludf.DUMMYFUNCTION("""COMPUTED_VALUE"""),"Outside on School Property")</f>
        <v>Outside on School Property</v>
      </c>
      <c r="U47" s="8" t="str">
        <f ca="1">IFERROR(__xludf.DUMMYFUNCTION("""COMPUTED_VALUE"""),"No")</f>
        <v>No</v>
      </c>
      <c r="V47" s="8" t="str">
        <f ca="1">IFERROR(__xludf.DUMMYFUNCTION("""COMPUTED_VALUE"""),"Evening")</f>
        <v>Evening</v>
      </c>
      <c r="W47" s="11">
        <f ca="1">IFERROR(__xludf.DUMMYFUNCTION("""COMPUTED_VALUE"""),0.830555555555555)</f>
        <v>0.83055555555555505</v>
      </c>
      <c r="X47" s="8">
        <f ca="1">IFERROR(__xludf.DUMMYFUNCTION("""COMPUTED_VALUE"""),1)</f>
        <v>1</v>
      </c>
      <c r="Y47" s="12" t="str">
        <f ca="1">IFERROR(__xludf.DUMMYFUNCTION("""COMPUTED_VALUE"""),"Teen shot outside of the school")</f>
        <v>Teen shot outside of the school</v>
      </c>
      <c r="Z47" s="12" t="str">
        <f ca="1">IFERROR(__xludf.DUMMYFUNCTION("""COMPUTED_VALUE"""),"Brockton police say they responded to an area near South Middle School around 7:56 p.m. after receiving reports of a shooting and arrived to find a male teenager with serious injuries. Witnesses told officers that they heard three gunshots and saw several"&amp;" people flee the scene. The 17-year-old victim, whose name was not released, was taken to a Boston hospital. There was no word on any arrests, or the circumstances surrounding the shooting.")</f>
        <v>Brockton police say they responded to an area near South Middle School around 7:56 p.m. after receiving reports of a shooting and arrived to find a male teenager with serious injuries. Witnesses told officers that they heard three gunshots and saw several people flee the scene. The 17-year-old victim, whose name was not released, was taken to a Boston hospital. There was no word on any arrests, or the circumstances surrounding the shooting.</v>
      </c>
      <c r="AA47" s="8"/>
      <c r="AB47" s="8"/>
      <c r="AC47" s="8" t="str">
        <f ca="1">IFERROR(__xludf.DUMMYFUNCTION("""COMPUTED_VALUE"""),"No")</f>
        <v>No</v>
      </c>
      <c r="AD47" s="8"/>
      <c r="AE47" s="8"/>
      <c r="AF47" s="8"/>
      <c r="AG47" s="8" t="str">
        <f ca="1">IFERROR(__xludf.DUMMYFUNCTION("""COMPUTED_VALUE"""),"No")</f>
        <v>No</v>
      </c>
      <c r="AH47" s="8" t="str">
        <f ca="1">IFERROR(__xludf.DUMMYFUNCTION("""COMPUTED_VALUE"""),"No")</f>
        <v>No</v>
      </c>
      <c r="AI47" s="8" t="str">
        <f ca="1">IFERROR(__xludf.DUMMYFUNCTION("""COMPUTED_VALUE"""),"No")</f>
        <v>No</v>
      </c>
      <c r="AJ47" s="8" t="str">
        <f ca="1">IFERROR(__xludf.DUMMYFUNCTION("""COMPUTED_VALUE"""),"No")</f>
        <v>No</v>
      </c>
      <c r="AK47" s="8" t="str">
        <f ca="1">IFERROR(__xludf.DUMMYFUNCTION("""COMPUTED_VALUE"""),"No")</f>
        <v>No</v>
      </c>
      <c r="AL47" s="8"/>
      <c r="AM47" s="8" t="str">
        <f ca="1">IFERROR(__xludf.DUMMYFUNCTION("""COMPUTED_VALUE"""),"No")</f>
        <v>No</v>
      </c>
      <c r="AN47" s="8" t="str">
        <f ca="1">IFERROR(__xludf.DUMMYFUNCTION("""COMPUTED_VALUE"""),"Outside")</f>
        <v>Outside</v>
      </c>
      <c r="AO47" s="8" t="str">
        <f ca="1">IFERROR(__xludf.DUMMYFUNCTION("""COMPUTED_VALUE"""),"No")</f>
        <v>No</v>
      </c>
      <c r="AP47" s="8"/>
      <c r="AQ47" s="8"/>
      <c r="AR47" s="8" t="str">
        <f ca="1">IFERROR(__xludf.DUMMYFUNCTION("""COMPUTED_VALUE"""),"Outside/Off-Property")</f>
        <v>Outside/Off-Property</v>
      </c>
      <c r="AS47" s="8">
        <f ca="1">IFERROR(__xludf.DUMMYFUNCTION("""COMPUTED_VALUE"""),3)</f>
        <v>3</v>
      </c>
      <c r="AT47" s="8" t="str">
        <f ca="1">IFERROR(__xludf.DUMMYFUNCTION("""COMPUTED_VALUE"""),"No")</f>
        <v>No</v>
      </c>
      <c r="AU47" s="8">
        <f ca="1">IFERROR(__xludf.DUMMYFUNCTION("""COMPUTED_VALUE"""),42.060856)</f>
        <v>42.060856000000001</v>
      </c>
      <c r="AV47" s="8">
        <f ca="1">IFERROR(__xludf.DUMMYFUNCTION("""COMPUTED_VALUE"""),-71.019799)</f>
        <v>-71.019799000000006</v>
      </c>
      <c r="AW47" s="8" t="str">
        <f ca="1">IFERROR(__xludf.DUMMYFUNCTION("""COMPUTED_VALUE"""),"Single building indoor hallway")</f>
        <v>Single building indoor hallway</v>
      </c>
      <c r="AX47" s="8">
        <f ca="1">IFERROR(__xludf.DUMMYFUNCTION("""COMPUTED_VALUE"""),2301)</f>
        <v>2301</v>
      </c>
    </row>
    <row r="48" spans="1:50" ht="75" x14ac:dyDescent="0.2">
      <c r="A48" s="8" t="str">
        <f ca="1">IFERROR(__xludf.DUMMYFUNCTION("""COMPUTED_VALUE"""),"20250707OHMAA")</f>
        <v>20250707OHMAA</v>
      </c>
      <c r="B48" s="8">
        <f ca="1">IFERROR(__xludf.DUMMYFUNCTION("""COMPUTED_VALUE"""),7)</f>
        <v>7</v>
      </c>
      <c r="C48" s="8">
        <f ca="1">IFERROR(__xludf.DUMMYFUNCTION("""COMPUTED_VALUE"""),7)</f>
        <v>7</v>
      </c>
      <c r="D48" s="8">
        <f ca="1">IFERROR(__xludf.DUMMYFUNCTION("""COMPUTED_VALUE"""),2025)</f>
        <v>2025</v>
      </c>
      <c r="E48" s="9">
        <f ca="1">IFERROR(__xludf.DUMMYFUNCTION("""COMPUTED_VALUE"""),45845)</f>
        <v>45845</v>
      </c>
      <c r="F48" s="8" t="str">
        <f ca="1">IFERROR(__xludf.DUMMYFUNCTION("""COMPUTED_VALUE"""),"Mason CLC Elementary School")</f>
        <v>Mason CLC Elementary School</v>
      </c>
      <c r="G48" s="8">
        <f ca="1">IFERROR(__xludf.DUMMYFUNCTION("""COMPUTED_VALUE"""),0)</f>
        <v>0</v>
      </c>
      <c r="H48" s="8">
        <f ca="1">IFERROR(__xludf.DUMMYFUNCTION("""COMPUTED_VALUE"""),5)</f>
        <v>5</v>
      </c>
      <c r="I48" s="8">
        <f ca="1">IFERROR(__xludf.DUMMYFUNCTION("""COMPUTED_VALUE"""),5)</f>
        <v>5</v>
      </c>
      <c r="J48" s="8">
        <f ca="1">IFERROR(__xludf.DUMMYFUNCTION("""COMPUTED_VALUE"""),0)</f>
        <v>0</v>
      </c>
      <c r="K48" s="8" t="str">
        <f ca="1">IFERROR(__xludf.DUMMYFUNCTION("""COMPUTED_VALUE"""),"https://www.news5cleveland.com/news/local-news/4-shot-9-hit-by-cars-at-overnight-gathering-outside-akron-elementary-school
https://fox8.com/news/5-shot-10-hit-by-cars-at-akron-school/")</f>
        <v>https://www.news5cleveland.com/news/local-news/4-shot-9-hit-by-cars-at-overnight-gathering-outside-akron-elementary-school
https://fox8.com/news/5-shot-10-hit-by-cars-at-akron-school/</v>
      </c>
      <c r="L48" s="8">
        <f ca="1">IFERROR(__xludf.DUMMYFUNCTION("""COMPUTED_VALUE"""),6)</f>
        <v>6</v>
      </c>
      <c r="M48" s="8" t="str">
        <f ca="1">IFERROR(__xludf.DUMMYFUNCTION("""COMPUTED_VALUE"""),"Regional")</f>
        <v>Regional</v>
      </c>
      <c r="N48" s="8">
        <f ca="1">IFERROR(__xludf.DUMMYFUNCTION("""COMPUTED_VALUE"""),4)</f>
        <v>4</v>
      </c>
      <c r="O48" s="8" t="str">
        <f ca="1">IFERROR(__xludf.DUMMYFUNCTION("""COMPUTED_VALUE"""),"Summer")</f>
        <v>Summer</v>
      </c>
      <c r="P48" s="8" t="str">
        <f ca="1">IFERROR(__xludf.DUMMYFUNCTION("""COMPUTED_VALUE"""),"Akron")</f>
        <v>Akron</v>
      </c>
      <c r="Q48" s="8" t="str">
        <f ca="1">IFERROR(__xludf.DUMMYFUNCTION("""COMPUTED_VALUE"""),"OH")</f>
        <v>OH</v>
      </c>
      <c r="R48" s="8" t="str">
        <f ca="1">IFERROR(__xludf.DUMMYFUNCTION("""COMPUTED_VALUE"""),"Elementary")</f>
        <v>Elementary</v>
      </c>
      <c r="S48" s="8" t="str">
        <f ca="1">IFERROR(__xludf.DUMMYFUNCTION("""COMPUTED_VALUE"""),"Parking Lot")</f>
        <v>Parking Lot</v>
      </c>
      <c r="T48" s="8" t="str">
        <f ca="1">IFERROR(__xludf.DUMMYFUNCTION("""COMPUTED_VALUE"""),"Outside on School Property")</f>
        <v>Outside on School Property</v>
      </c>
      <c r="U48" s="8" t="str">
        <f ca="1">IFERROR(__xludf.DUMMYFUNCTION("""COMPUTED_VALUE"""),"No")</f>
        <v>No</v>
      </c>
      <c r="V48" s="8" t="str">
        <f ca="1">IFERROR(__xludf.DUMMYFUNCTION("""COMPUTED_VALUE"""),"Night")</f>
        <v>Night</v>
      </c>
      <c r="W48" s="11">
        <f ca="1">IFERROR(__xludf.DUMMYFUNCTION("""COMPUTED_VALUE"""),0.125)</f>
        <v>0.125</v>
      </c>
      <c r="X48" s="8">
        <f ca="1">IFERROR(__xludf.DUMMYFUNCTION("""COMPUTED_VALUE"""),1)</f>
        <v>1</v>
      </c>
      <c r="Y48" s="12" t="str">
        <f ca="1">IFERROR(__xludf.DUMMYFUNCTION("""COMPUTED_VALUE"""),"Five teens would when 60 shots were fired during large gathering in the school parking lot")</f>
        <v>Five teens would when 60 shots were fired during large gathering in the school parking lot</v>
      </c>
      <c r="Z48" s="12" t="str">
        <f ca="1">IFERROR(__xludf.DUMMYFUNCTION("""COMPUTED_VALUE"""),"Five teens were shot and 10 others hit by vehicles when +60 shots were fired during a large gathering in the parking lot at Mason CLC Elementary in Akron, OH last night. The victims were between 14-21 years old. ")</f>
        <v xml:space="preserve">Five teens were shot and 10 others hit by vehicles when +60 shots were fired during a large gathering in the parking lot at Mason CLC Elementary in Akron, OH last night. The victims were between 14-21 years old. </v>
      </c>
      <c r="AA48" s="8"/>
      <c r="AB48" s="8"/>
      <c r="AC48" s="8" t="str">
        <f ca="1">IFERROR(__xludf.DUMMYFUNCTION("""COMPUTED_VALUE"""),"No")</f>
        <v>No</v>
      </c>
      <c r="AD48" s="8" t="str">
        <f ca="1">IFERROR(__xludf.DUMMYFUNCTION("""COMPUTED_VALUE"""),"Victims Targeted")</f>
        <v>Victims Targeted</v>
      </c>
      <c r="AE48" s="8" t="str">
        <f ca="1">IFERROR(__xludf.DUMMYFUNCTION("""COMPUTED_VALUE"""),"No")</f>
        <v>No</v>
      </c>
      <c r="AF48" s="8"/>
      <c r="AG48" s="8" t="str">
        <f ca="1">IFERROR(__xludf.DUMMYFUNCTION("""COMPUTED_VALUE"""),"No")</f>
        <v>No</v>
      </c>
      <c r="AH48" s="8" t="str">
        <f ca="1">IFERROR(__xludf.DUMMYFUNCTION("""COMPUTED_VALUE"""),"No")</f>
        <v>No</v>
      </c>
      <c r="AI48" s="8" t="str">
        <f ca="1">IFERROR(__xludf.DUMMYFUNCTION("""COMPUTED_VALUE"""),"No")</f>
        <v>No</v>
      </c>
      <c r="AJ48" s="8" t="str">
        <f ca="1">IFERROR(__xludf.DUMMYFUNCTION("""COMPUTED_VALUE"""),"No")</f>
        <v>No</v>
      </c>
      <c r="AK48" s="8" t="str">
        <f ca="1">IFERROR(__xludf.DUMMYFUNCTION("""COMPUTED_VALUE"""),"No")</f>
        <v>No</v>
      </c>
      <c r="AL48" s="8"/>
      <c r="AM48" s="8" t="str">
        <f ca="1">IFERROR(__xludf.DUMMYFUNCTION("""COMPUTED_VALUE"""),"No")</f>
        <v>No</v>
      </c>
      <c r="AN48" s="8" t="str">
        <f ca="1">IFERROR(__xludf.DUMMYFUNCTION("""COMPUTED_VALUE"""),"Outside")</f>
        <v>Outside</v>
      </c>
      <c r="AO48" s="8" t="str">
        <f ca="1">IFERROR(__xludf.DUMMYFUNCTION("""COMPUTED_VALUE"""),"No")</f>
        <v>No</v>
      </c>
      <c r="AP48" s="8"/>
      <c r="AQ48" s="8"/>
      <c r="AR48" s="8" t="str">
        <f ca="1">IFERROR(__xludf.DUMMYFUNCTION("""COMPUTED_VALUE"""),"Outside/Off-Property")</f>
        <v>Outside/Off-Property</v>
      </c>
      <c r="AS48" s="8">
        <f ca="1">IFERROR(__xludf.DUMMYFUNCTION("""COMPUTED_VALUE"""),60)</f>
        <v>60</v>
      </c>
      <c r="AT48" s="8" t="str">
        <f ca="1">IFERROR(__xludf.DUMMYFUNCTION("""COMPUTED_VALUE"""),"No")</f>
        <v>No</v>
      </c>
      <c r="AU48" s="8">
        <f ca="1">IFERROR(__xludf.DUMMYFUNCTION("""COMPUTED_VALUE"""),41.069824)</f>
        <v>41.069823999999997</v>
      </c>
      <c r="AV48" s="8">
        <f ca="1">IFERROR(__xludf.DUMMYFUNCTION("""COMPUTED_VALUE"""),-81.497675)</f>
        <v>-81.497675000000001</v>
      </c>
      <c r="AW48" s="8" t="str">
        <f ca="1">IFERROR(__xludf.DUMMYFUNCTION("""COMPUTED_VALUE"""),"Single building indoor hallway")</f>
        <v>Single building indoor hallway</v>
      </c>
      <c r="AX48" s="8">
        <f ca="1">IFERROR(__xludf.DUMMYFUNCTION("""COMPUTED_VALUE"""),44306)</f>
        <v>44306</v>
      </c>
    </row>
    <row r="49" spans="1:50" ht="120" x14ac:dyDescent="0.2">
      <c r="A49" s="8" t="str">
        <f ca="1">IFERROR(__xludf.DUMMYFUNCTION("""COMPUTED_VALUE"""),"20250704NYPUB")</f>
        <v>20250704NYPUB</v>
      </c>
      <c r="B49" s="8">
        <f ca="1">IFERROR(__xludf.DUMMYFUNCTION("""COMPUTED_VALUE"""),7)</f>
        <v>7</v>
      </c>
      <c r="C49" s="8">
        <f ca="1">IFERROR(__xludf.DUMMYFUNCTION("""COMPUTED_VALUE"""),4)</f>
        <v>4</v>
      </c>
      <c r="D49" s="8">
        <f ca="1">IFERROR(__xludf.DUMMYFUNCTION("""COMPUTED_VALUE"""),2025)</f>
        <v>2025</v>
      </c>
      <c r="E49" s="9">
        <f ca="1">IFERROR(__xludf.DUMMYFUNCTION("""COMPUTED_VALUE"""),45842)</f>
        <v>45842</v>
      </c>
      <c r="F49" s="8" t="str">
        <f ca="1">IFERROR(__xludf.DUMMYFUNCTION("""COMPUTED_VALUE"""),"Public School 174")</f>
        <v>Public School 174</v>
      </c>
      <c r="G49" s="8">
        <f ca="1">IFERROR(__xludf.DUMMYFUNCTION("""COMPUTED_VALUE"""),1)</f>
        <v>1</v>
      </c>
      <c r="H49" s="8">
        <f ca="1">IFERROR(__xludf.DUMMYFUNCTION("""COMPUTED_VALUE"""),0)</f>
        <v>0</v>
      </c>
      <c r="I49" s="8">
        <f ca="1">IFERROR(__xludf.DUMMYFUNCTION("""COMPUTED_VALUE"""),1)</f>
        <v>1</v>
      </c>
      <c r="J49" s="8">
        <f ca="1">IFERROR(__xludf.DUMMYFUNCTION("""COMPUTED_VALUE"""),0)</f>
        <v>0</v>
      </c>
      <c r="K49" s="10" t="str">
        <f ca="1">IFERROR(__xludf.DUMMYFUNCTION("""COMPUTED_VALUE"""),"https://www.yahoo.com/news/man-29-gunned-down-outside-164200037.html")</f>
        <v>https://www.yahoo.com/news/man-29-gunned-down-outside-164200037.html</v>
      </c>
      <c r="L49" s="8">
        <f ca="1">IFERROR(__xludf.DUMMYFUNCTION("""COMPUTED_VALUE"""),10)</f>
        <v>10</v>
      </c>
      <c r="M49" s="8" t="str">
        <f ca="1">IFERROR(__xludf.DUMMYFUNCTION("""COMPUTED_VALUE"""),"Regional")</f>
        <v>Regional</v>
      </c>
      <c r="N49" s="8">
        <f ca="1">IFERROR(__xludf.DUMMYFUNCTION("""COMPUTED_VALUE"""),4)</f>
        <v>4</v>
      </c>
      <c r="O49" s="8" t="str">
        <f ca="1">IFERROR(__xludf.DUMMYFUNCTION("""COMPUTED_VALUE"""),"Summer")</f>
        <v>Summer</v>
      </c>
      <c r="P49" s="8" t="str">
        <f ca="1">IFERROR(__xludf.DUMMYFUNCTION("""COMPUTED_VALUE"""),"Bronx")</f>
        <v>Bronx</v>
      </c>
      <c r="Q49" s="8" t="str">
        <f ca="1">IFERROR(__xludf.DUMMYFUNCTION("""COMPUTED_VALUE"""),"NY")</f>
        <v>NY</v>
      </c>
      <c r="R49" s="8" t="str">
        <f ca="1">IFERROR(__xludf.DUMMYFUNCTION("""COMPUTED_VALUE"""),"Middle")</f>
        <v>Middle</v>
      </c>
      <c r="S49" s="8" t="str">
        <f ca="1">IFERROR(__xludf.DUMMYFUNCTION("""COMPUTED_VALUE"""),"Front of School")</f>
        <v>Front of School</v>
      </c>
      <c r="T49" s="8" t="str">
        <f ca="1">IFERROR(__xludf.DUMMYFUNCTION("""COMPUTED_VALUE"""),"Outside on School Property")</f>
        <v>Outside on School Property</v>
      </c>
      <c r="U49" s="8" t="str">
        <f ca="1">IFERROR(__xludf.DUMMYFUNCTION("""COMPUTED_VALUE"""),"No")</f>
        <v>No</v>
      </c>
      <c r="V49" s="8" t="str">
        <f ca="1">IFERROR(__xludf.DUMMYFUNCTION("""COMPUTED_VALUE"""),"Night")</f>
        <v>Night</v>
      </c>
      <c r="W49" s="11">
        <f ca="1">IFERROR(__xludf.DUMMYFUNCTION("""COMPUTED_VALUE"""),0.989583333333333)</f>
        <v>0.98958333333333304</v>
      </c>
      <c r="X49" s="8">
        <f ca="1">IFERROR(__xludf.DUMMYFUNCTION("""COMPUTED_VALUE"""),1)</f>
        <v>1</v>
      </c>
      <c r="Y49" s="12" t="str">
        <f ca="1">IFERROR(__xludf.DUMMYFUNCTION("""COMPUTED_VALUE"""),"Man fatally shot at front door of school")</f>
        <v>Man fatally shot at front door of school</v>
      </c>
      <c r="Z49" s="12" t="str">
        <f ca="1">IFERROR(__xludf.DUMMYFUNCTION("""COMPUTED_VALUE"""),"A 29-year-old man was fatally shot outside a Brooklyn public school he attended as a child, as neighborhood Fourth of July fireworks obscured the sound of gunfire, officials and neighbors said. The victim was standing outside the entrance of Public School"&amp;" 174, the Dumont School, on Dumont Ave. near Williams Ave. in Brownsville at about 11:45 p.m. Friday when he was shot in the chest, cops said.")</f>
        <v>A 29-year-old man was fatally shot outside a Brooklyn public school he attended as a child, as neighborhood Fourth of July fireworks obscured the sound of gunfire, officials and neighbors said. The victim was standing outside the entrance of Public School 174, the Dumont School, on Dumont Ave. near Williams Ave. in Brownsville at about 11:45 p.m. Friday when he was shot in the chest, cops said.</v>
      </c>
      <c r="AA49" s="8"/>
      <c r="AB49" s="8"/>
      <c r="AC49" s="8" t="str">
        <f ca="1">IFERROR(__xludf.DUMMYFUNCTION("""COMPUTED_VALUE"""),"No")</f>
        <v>No</v>
      </c>
      <c r="AD49" s="8" t="str">
        <f ca="1">IFERROR(__xludf.DUMMYFUNCTION("""COMPUTED_VALUE"""),"Victims Targeted")</f>
        <v>Victims Targeted</v>
      </c>
      <c r="AE49" s="8" t="str">
        <f ca="1">IFERROR(__xludf.DUMMYFUNCTION("""COMPUTED_VALUE"""),"No")</f>
        <v>No</v>
      </c>
      <c r="AF49" s="8"/>
      <c r="AG49" s="8" t="str">
        <f ca="1">IFERROR(__xludf.DUMMYFUNCTION("""COMPUTED_VALUE"""),"No")</f>
        <v>No</v>
      </c>
      <c r="AH49" s="8" t="str">
        <f ca="1">IFERROR(__xludf.DUMMYFUNCTION("""COMPUTED_VALUE"""),"No")</f>
        <v>No</v>
      </c>
      <c r="AI49" s="8" t="str">
        <f ca="1">IFERROR(__xludf.DUMMYFUNCTION("""COMPUTED_VALUE"""),"No")</f>
        <v>No</v>
      </c>
      <c r="AJ49" s="8" t="str">
        <f ca="1">IFERROR(__xludf.DUMMYFUNCTION("""COMPUTED_VALUE"""),"No")</f>
        <v>No</v>
      </c>
      <c r="AK49" s="8" t="str">
        <f ca="1">IFERROR(__xludf.DUMMYFUNCTION("""COMPUTED_VALUE"""),"No")</f>
        <v>No</v>
      </c>
      <c r="AL49" s="8"/>
      <c r="AM49" s="8" t="str">
        <f ca="1">IFERROR(__xludf.DUMMYFUNCTION("""COMPUTED_VALUE"""),"No")</f>
        <v>No</v>
      </c>
      <c r="AN49" s="8" t="str">
        <f ca="1">IFERROR(__xludf.DUMMYFUNCTION("""COMPUTED_VALUE"""),"Outside")</f>
        <v>Outside</v>
      </c>
      <c r="AO49" s="8" t="str">
        <f ca="1">IFERROR(__xludf.DUMMYFUNCTION("""COMPUTED_VALUE"""),"No")</f>
        <v>No</v>
      </c>
      <c r="AP49" s="8"/>
      <c r="AQ49" s="8"/>
      <c r="AR49" s="8" t="str">
        <f ca="1">IFERROR(__xludf.DUMMYFUNCTION("""COMPUTED_VALUE"""),"Outside/Off-Property")</f>
        <v>Outside/Off-Property</v>
      </c>
      <c r="AS49" s="8">
        <f ca="1">IFERROR(__xludf.DUMMYFUNCTION("""COMPUTED_VALUE"""),99)</f>
        <v>99</v>
      </c>
      <c r="AT49" s="8" t="str">
        <f ca="1">IFERROR(__xludf.DUMMYFUNCTION("""COMPUTED_VALUE"""),"No")</f>
        <v>No</v>
      </c>
      <c r="AU49" s="8">
        <f ca="1">IFERROR(__xludf.DUMMYFUNCTION("""COMPUTED_VALUE"""),40.815633)</f>
        <v>40.815632999999998</v>
      </c>
      <c r="AV49" s="8">
        <f ca="1">IFERROR(__xludf.DUMMYFUNCTION("""COMPUTED_VALUE"""),-73.856574)</f>
        <v>-73.856573999999995</v>
      </c>
      <c r="AW49" s="8" t="str">
        <f ca="1">IFERROR(__xludf.DUMMYFUNCTION("""COMPUTED_VALUE"""),"Urban Street Standalone")</f>
        <v>Urban Street Standalone</v>
      </c>
      <c r="AX49" s="8">
        <f ca="1">IFERROR(__xludf.DUMMYFUNCTION("""COMPUTED_VALUE"""),10473)</f>
        <v>10473</v>
      </c>
    </row>
    <row r="50" spans="1:50" ht="330" x14ac:dyDescent="0.2">
      <c r="A50" s="8" t="str">
        <f ca="1">IFERROR(__xludf.DUMMYFUNCTION("""COMPUTED_VALUE"""),"20250629PAKEP")</f>
        <v>20250629PAKEP</v>
      </c>
      <c r="B50" s="8">
        <f ca="1">IFERROR(__xludf.DUMMYFUNCTION("""COMPUTED_VALUE"""),6)</f>
        <v>6</v>
      </c>
      <c r="C50" s="8">
        <f ca="1">IFERROR(__xludf.DUMMYFUNCTION("""COMPUTED_VALUE"""),29)</f>
        <v>29</v>
      </c>
      <c r="D50" s="8">
        <f ca="1">IFERROR(__xludf.DUMMYFUNCTION("""COMPUTED_VALUE"""),2025)</f>
        <v>2025</v>
      </c>
      <c r="E50" s="9">
        <f ca="1">IFERROR(__xludf.DUMMYFUNCTION("""COMPUTED_VALUE"""),45837)</f>
        <v>45837</v>
      </c>
      <c r="F50" s="8" t="str">
        <f ca="1">IFERROR(__xludf.DUMMYFUNCTION("""COMPUTED_VALUE"""),"Kensington High School for the Creative and Performing Arts")</f>
        <v>Kensington High School for the Creative and Performing Arts</v>
      </c>
      <c r="G50" s="8">
        <f ca="1">IFERROR(__xludf.DUMMYFUNCTION("""COMPUTED_VALUE"""),1)</f>
        <v>1</v>
      </c>
      <c r="H50" s="8">
        <f ca="1">IFERROR(__xludf.DUMMYFUNCTION("""COMPUTED_VALUE"""),0)</f>
        <v>0</v>
      </c>
      <c r="I50" s="8">
        <f ca="1">IFERROR(__xludf.DUMMYFUNCTION("""COMPUTED_VALUE"""),1)</f>
        <v>1</v>
      </c>
      <c r="J50" s="8">
        <f ca="1">IFERROR(__xludf.DUMMYFUNCTION("""COMPUTED_VALUE"""),0)</f>
        <v>0</v>
      </c>
      <c r="K50" s="10" t="str">
        <f ca="1">IFERROR(__xludf.DUMMYFUNCTION("""COMPUTED_VALUE"""),"https://www.nbcphiladelphia.com/news/local/police-school-safety-officer-shot-in-road-rage-incident-in-penns-landing/4221825/")</f>
        <v>https://www.nbcphiladelphia.com/news/local/police-school-safety-officer-shot-in-road-rage-incident-in-penns-landing/4221825/</v>
      </c>
      <c r="L50" s="8">
        <f ca="1">IFERROR(__xludf.DUMMYFUNCTION("""COMPUTED_VALUE"""),10)</f>
        <v>10</v>
      </c>
      <c r="M50" s="8" t="str">
        <f ca="1">IFERROR(__xludf.DUMMYFUNCTION("""COMPUTED_VALUE"""),"Regional")</f>
        <v>Regional</v>
      </c>
      <c r="N50" s="8">
        <f ca="1">IFERROR(__xludf.DUMMYFUNCTION("""COMPUTED_VALUE"""),4)</f>
        <v>4</v>
      </c>
      <c r="O50" s="8" t="str">
        <f ca="1">IFERROR(__xludf.DUMMYFUNCTION("""COMPUTED_VALUE"""),"Summer")</f>
        <v>Summer</v>
      </c>
      <c r="P50" s="8" t="str">
        <f ca="1">IFERROR(__xludf.DUMMYFUNCTION("""COMPUTED_VALUE"""),"Philadelphia")</f>
        <v>Philadelphia</v>
      </c>
      <c r="Q50" s="8" t="str">
        <f ca="1">IFERROR(__xludf.DUMMYFUNCTION("""COMPUTED_VALUE"""),"PA")</f>
        <v>PA</v>
      </c>
      <c r="R50" s="8" t="str">
        <f ca="1">IFERROR(__xludf.DUMMYFUNCTION("""COMPUTED_VALUE"""),"High")</f>
        <v>High</v>
      </c>
      <c r="S50" s="8" t="str">
        <f ca="1">IFERROR(__xludf.DUMMYFUNCTION("""COMPUTED_VALUE"""),"Front of School")</f>
        <v>Front of School</v>
      </c>
      <c r="T50" s="8" t="str">
        <f ca="1">IFERROR(__xludf.DUMMYFUNCTION("""COMPUTED_VALUE"""),"Off School Property")</f>
        <v>Off School Property</v>
      </c>
      <c r="U50" s="8" t="str">
        <f ca="1">IFERROR(__xludf.DUMMYFUNCTION("""COMPUTED_VALUE"""),"No")</f>
        <v>No</v>
      </c>
      <c r="V50" s="8" t="str">
        <f ca="1">IFERROR(__xludf.DUMMYFUNCTION("""COMPUTED_VALUE"""),"Night")</f>
        <v>Night</v>
      </c>
      <c r="W50" s="11">
        <f ca="1">IFERROR(__xludf.DUMMYFUNCTION("""COMPUTED_VALUE"""),0.0798611111111111)</f>
        <v>7.9861111111111105E-2</v>
      </c>
      <c r="X50" s="8">
        <f ca="1">IFERROR(__xludf.DUMMYFUNCTION("""COMPUTED_VALUE"""),1)</f>
        <v>1</v>
      </c>
      <c r="Y50" s="12" t="str">
        <f ca="1">IFERROR(__xludf.DUMMYFUNCTION("""COMPUTED_VALUE"""),"SRO fatally shot outside school during road rage incident between two drivers")</f>
        <v>SRO fatally shot outside school during road rage incident between two drivers</v>
      </c>
      <c r="Z50" s="12" t="str">
        <f ca="1">IFERROR(__xludf.DUMMYFUNCTION("""COMPUTED_VALUE"""),"Police responded just before 2 a.m. Sunday to the 300 block of North Christopher Columbus Boulevard and found a 68-year-old man inside of his patrol vehicle belonging to the School District of Philadelphia. The victim was shot in the face, arm, and body, "&amp;"according to Inspector DF Pace with the Philadelphia Police Dept. According to Pace, the road rage incident involved two other drivers. A driver in a black Dodge pick-up truck said another driver in a white Hyundai pointed a gun at them. The driver of the"&amp;" pick-up then got off the highway and onto Columbus Boulevard, flagging down the school safety officer to report what happened. “At that point, the officer attempted to investigate or intervene in some way when the occupant of that Hyundai opened fire on "&amp;"that officer. That’s what we believe to be the case,” Pace said. “Based on what we have so far, it does appear the incidents are connected and it does appear the shooting was perpetrated by this person that originally pointed a gun at the driver.” Philade"&amp;"lphia School District officials confirmed the victim was working overnight at Kensington High School for the Creative and Performing Arts, which is operating as a shelter for residents who were impacted by a recent apartment fire.")</f>
        <v>Police responded just before 2 a.m. Sunday to the 300 block of North Christopher Columbus Boulevard and found a 68-year-old man inside of his patrol vehicle belonging to the School District of Philadelphia. The victim was shot in the face, arm, and body, according to Inspector DF Pace with the Philadelphia Police Dept. According to Pace, the road rage incident involved two other drivers. A driver in a black Dodge pick-up truck said another driver in a white Hyundai pointed a gun at them. The driver of the pick-up then got off the highway and onto Columbus Boulevard, flagging down the school safety officer to report what happened. “At that point, the officer attempted to investigate or intervene in some way when the occupant of that Hyundai opened fire on that officer. That’s what we believe to be the case,” Pace said. “Based on what we have so far, it does appear the incidents are connected and it does appear the shooting was perpetrated by this person that originally pointed a gun at the driver.” Philadelphia School District officials confirmed the victim was working overnight at Kensington High School for the Creative and Performing Arts, which is operating as a shelter for residents who were impacted by a recent apartment fire.</v>
      </c>
      <c r="AA50" s="8" t="str">
        <f ca="1">IFERROR(__xludf.DUMMYFUNCTION("""COMPUTED_VALUE"""),"Escalation of Dispute")</f>
        <v>Escalation of Dispute</v>
      </c>
      <c r="AB50" s="8" t="str">
        <f ca="1">IFERROR(__xludf.DUMMYFUNCTION("""COMPUTED_VALUE"""),"Spontaneous")</f>
        <v>Spontaneous</v>
      </c>
      <c r="AC50" s="8" t="str">
        <f ca="1">IFERROR(__xludf.DUMMYFUNCTION("""COMPUTED_VALUE"""),"Yes")</f>
        <v>Yes</v>
      </c>
      <c r="AD50" s="8" t="str">
        <f ca="1">IFERROR(__xludf.DUMMYFUNCTION("""COMPUTED_VALUE"""),"Random Shooting")</f>
        <v>Random Shooting</v>
      </c>
      <c r="AE50" s="8" t="str">
        <f ca="1">IFERROR(__xludf.DUMMYFUNCTION("""COMPUTED_VALUE"""),"No")</f>
        <v>No</v>
      </c>
      <c r="AF50" s="8"/>
      <c r="AG50" s="8" t="str">
        <f ca="1">IFERROR(__xludf.DUMMYFUNCTION("""COMPUTED_VALUE"""),"No")</f>
        <v>No</v>
      </c>
      <c r="AH50" s="8" t="str">
        <f ca="1">IFERROR(__xludf.DUMMYFUNCTION("""COMPUTED_VALUE"""),"No")</f>
        <v>No</v>
      </c>
      <c r="AI50" s="8" t="str">
        <f ca="1">IFERROR(__xludf.DUMMYFUNCTION("""COMPUTED_VALUE"""),"No")</f>
        <v>No</v>
      </c>
      <c r="AJ50" s="8" t="str">
        <f ca="1">IFERROR(__xludf.DUMMYFUNCTION("""COMPUTED_VALUE"""),"No")</f>
        <v>No</v>
      </c>
      <c r="AK50" s="8" t="str">
        <f ca="1">IFERROR(__xludf.DUMMYFUNCTION("""COMPUTED_VALUE"""),"No")</f>
        <v>No</v>
      </c>
      <c r="AL50" s="8" t="str">
        <f ca="1">IFERROR(__xludf.DUMMYFUNCTION("""COMPUTED_VALUE"""),"No")</f>
        <v>No</v>
      </c>
      <c r="AM50" s="8" t="str">
        <f ca="1">IFERROR(__xludf.DUMMYFUNCTION("""COMPUTED_VALUE"""),"No")</f>
        <v>No</v>
      </c>
      <c r="AN50" s="8" t="str">
        <f ca="1">IFERROR(__xludf.DUMMYFUNCTION("""COMPUTED_VALUE"""),"Outside")</f>
        <v>Outside</v>
      </c>
      <c r="AO50" s="8" t="str">
        <f ca="1">IFERROR(__xludf.DUMMYFUNCTION("""COMPUTED_VALUE"""),"No")</f>
        <v>No</v>
      </c>
      <c r="AP50" s="8" t="str">
        <f ca="1">IFERROR(__xludf.DUMMYFUNCTION("""COMPUTED_VALUE"""),"Yes")</f>
        <v>Yes</v>
      </c>
      <c r="AQ50" s="8" t="str">
        <f ca="1">IFERROR(__xludf.DUMMYFUNCTION("""COMPUTED_VALUE"""),"Armed Guards")</f>
        <v>Armed Guards</v>
      </c>
      <c r="AR50" s="8" t="str">
        <f ca="1">IFERROR(__xludf.DUMMYFUNCTION("""COMPUTED_VALUE"""),"Outside/Off-Property")</f>
        <v>Outside/Off-Property</v>
      </c>
      <c r="AS50" s="8">
        <f ca="1">IFERROR(__xludf.DUMMYFUNCTION("""COMPUTED_VALUE"""),99)</f>
        <v>99</v>
      </c>
      <c r="AT50" s="8" t="str">
        <f ca="1">IFERROR(__xludf.DUMMYFUNCTION("""COMPUTED_VALUE"""),"No")</f>
        <v>No</v>
      </c>
      <c r="AU50" s="8">
        <f ca="1">IFERROR(__xludf.DUMMYFUNCTION("""COMPUTED_VALUE"""),39.977711)</f>
        <v>39.977710999999999</v>
      </c>
      <c r="AV50" s="8">
        <f ca="1">IFERROR(__xludf.DUMMYFUNCTION("""COMPUTED_VALUE"""),-75.133571)</f>
        <v>-75.133571000000003</v>
      </c>
      <c r="AW50" s="8" t="str">
        <f ca="1">IFERROR(__xludf.DUMMYFUNCTION("""COMPUTED_VALUE"""),"Urban Street Standalone")</f>
        <v>Urban Street Standalone</v>
      </c>
      <c r="AX50" s="8">
        <f ca="1">IFERROR(__xludf.DUMMYFUNCTION("""COMPUTED_VALUE"""),19122)</f>
        <v>19122</v>
      </c>
    </row>
    <row r="51" spans="1:50" ht="135" x14ac:dyDescent="0.2">
      <c r="A51" s="8" t="str">
        <f ca="1">IFERROR(__xludf.DUMMYFUNCTION("""COMPUTED_VALUE"""),"20250627MIDED")</f>
        <v>20250627MIDED</v>
      </c>
      <c r="B51" s="8">
        <f ca="1">IFERROR(__xludf.DUMMYFUNCTION("""COMPUTED_VALUE"""),6)</f>
        <v>6</v>
      </c>
      <c r="C51" s="8">
        <f ca="1">IFERROR(__xludf.DUMMYFUNCTION("""COMPUTED_VALUE"""),27)</f>
        <v>27</v>
      </c>
      <c r="D51" s="8">
        <f ca="1">IFERROR(__xludf.DUMMYFUNCTION("""COMPUTED_VALUE"""),2025)</f>
        <v>2025</v>
      </c>
      <c r="E51" s="9">
        <f ca="1">IFERROR(__xludf.DUMMYFUNCTION("""COMPUTED_VALUE"""),45835)</f>
        <v>45835</v>
      </c>
      <c r="F51" s="8" t="str">
        <f ca="1">IFERROR(__xludf.DUMMYFUNCTION("""COMPUTED_VALUE"""),"Denby High School")</f>
        <v>Denby High School</v>
      </c>
      <c r="G51" s="8">
        <f ca="1">IFERROR(__xludf.DUMMYFUNCTION("""COMPUTED_VALUE"""),2)</f>
        <v>2</v>
      </c>
      <c r="H51" s="8">
        <f ca="1">IFERROR(__xludf.DUMMYFUNCTION("""COMPUTED_VALUE"""),1)</f>
        <v>1</v>
      </c>
      <c r="I51" s="8">
        <f ca="1">IFERROR(__xludf.DUMMYFUNCTION("""COMPUTED_VALUE"""),3)</f>
        <v>3</v>
      </c>
      <c r="J51" s="8">
        <f ca="1">IFERROR(__xludf.DUMMYFUNCTION("""COMPUTED_VALUE"""),0)</f>
        <v>0</v>
      </c>
      <c r="K51" s="10" t="str">
        <f ca="1">IFERROR(__xludf.DUMMYFUNCTION("""COMPUTED_VALUE"""),"https://www.fox2detroit.com/news/3-shot-2-dead-shooting-near-denby-high-school-detroit
https://www.freep.com/story/news/local/michigan/detroit/2025/06/27/child-teenager-killed-triple-shooting-denby-high-school/84394657007/")</f>
        <v>https://www.fox2detroit.com/news/3-shot-2-dead-shooting-near-denby-high-school-detroit
https://www.freep.com/story/news/local/michigan/detroit/2025/06/27/child-teenager-killed-triple-shooting-denby-high-school/84394657007/</v>
      </c>
      <c r="L51" s="8">
        <f ca="1">IFERROR(__xludf.DUMMYFUNCTION("""COMPUTED_VALUE"""),20)</f>
        <v>20</v>
      </c>
      <c r="M51" s="8" t="str">
        <f ca="1">IFERROR(__xludf.DUMMYFUNCTION("""COMPUTED_VALUE"""),"Regional")</f>
        <v>Regional</v>
      </c>
      <c r="N51" s="8">
        <f ca="1">IFERROR(__xludf.DUMMYFUNCTION("""COMPUTED_VALUE"""),4)</f>
        <v>4</v>
      </c>
      <c r="O51" s="8" t="str">
        <f ca="1">IFERROR(__xludf.DUMMYFUNCTION("""COMPUTED_VALUE"""),"Summer")</f>
        <v>Summer</v>
      </c>
      <c r="P51" s="8" t="str">
        <f ca="1">IFERROR(__xludf.DUMMYFUNCTION("""COMPUTED_VALUE"""),"Detroit")</f>
        <v>Detroit</v>
      </c>
      <c r="Q51" s="8" t="str">
        <f ca="1">IFERROR(__xludf.DUMMYFUNCTION("""COMPUTED_VALUE"""),"MI")</f>
        <v>MI</v>
      </c>
      <c r="R51" s="8" t="str">
        <f ca="1">IFERROR(__xludf.DUMMYFUNCTION("""COMPUTED_VALUE"""),"High")</f>
        <v>High</v>
      </c>
      <c r="S51" s="8" t="str">
        <f ca="1">IFERROR(__xludf.DUMMYFUNCTION("""COMPUTED_VALUE"""),"Playground")</f>
        <v>Playground</v>
      </c>
      <c r="T51" s="8" t="str">
        <f ca="1">IFERROR(__xludf.DUMMYFUNCTION("""COMPUTED_VALUE"""),"Outside on School Property")</f>
        <v>Outside on School Property</v>
      </c>
      <c r="U51" s="8" t="str">
        <f ca="1">IFERROR(__xludf.DUMMYFUNCTION("""COMPUTED_VALUE"""),"No")</f>
        <v>No</v>
      </c>
      <c r="V51" s="8" t="str">
        <f ca="1">IFERROR(__xludf.DUMMYFUNCTION("""COMPUTED_VALUE"""),"Evening")</f>
        <v>Evening</v>
      </c>
      <c r="W51" s="11">
        <f ca="1">IFERROR(__xludf.DUMMYFUNCTION("""COMPUTED_VALUE"""),0.758333333333333)</f>
        <v>0.75833333333333297</v>
      </c>
      <c r="X51" s="8">
        <f ca="1">IFERROR(__xludf.DUMMYFUNCTION("""COMPUTED_VALUE"""),1)</f>
        <v>1</v>
      </c>
      <c r="Y51" s="12" t="str">
        <f ca="1">IFERROR(__xludf.DUMMYFUNCTION("""COMPUTED_VALUE"""),"Child and teen killed during shooting while on the playground")</f>
        <v>Child and teen killed during shooting while on the playground</v>
      </c>
      <c r="Z51" s="12" t="str">
        <f ca="1">IFERROR(__xludf.DUMMYFUNCTION("""COMPUTED_VALUE"""),"A 4-year-old child was among two people killed in a Friday night shooting at the Skinner Playfield next to Denby High School, according to Detroit Police. The child was shot in the back. An 18-year-old was killed, too. A third victim, 17, was injured but "&amp;"survived. “Kid got jumped on and came back with his crew and shot the park up,” Chief Smith said of the shooting  — another example of the city’s youths turning to guns to settle disputes. Police have not yet confirmed what led to the shooting.")</f>
        <v>A 4-year-old child was among two people killed in a Friday night shooting at the Skinner Playfield next to Denby High School, according to Detroit Police. The child was shot in the back. An 18-year-old was killed, too. A third victim, 17, was injured but survived. “Kid got jumped on and came back with his crew and shot the park up,” Chief Smith said of the shooting  — another example of the city’s youths turning to guns to settle disputes. Police have not yet confirmed what led to the shooting.</v>
      </c>
      <c r="AA51" s="8" t="str">
        <f ca="1">IFERROR(__xludf.DUMMYFUNCTION("""COMPUTED_VALUE"""),"Escalation of Dispute")</f>
        <v>Escalation of Dispute</v>
      </c>
      <c r="AB51" s="8" t="str">
        <f ca="1">IFERROR(__xludf.DUMMYFUNCTION("""COMPUTED_VALUE"""),"Targeted")</f>
        <v>Targeted</v>
      </c>
      <c r="AC51" s="8" t="str">
        <f ca="1">IFERROR(__xludf.DUMMYFUNCTION("""COMPUTED_VALUE"""),"No")</f>
        <v>No</v>
      </c>
      <c r="AD51" s="8" t="str">
        <f ca="1">IFERROR(__xludf.DUMMYFUNCTION("""COMPUTED_VALUE"""),"Both")</f>
        <v>Both</v>
      </c>
      <c r="AE51" s="8" t="str">
        <f ca="1">IFERROR(__xludf.DUMMYFUNCTION("""COMPUTED_VALUE"""),"Yes")</f>
        <v>Yes</v>
      </c>
      <c r="AF51" s="8"/>
      <c r="AG51" s="8" t="str">
        <f ca="1">IFERROR(__xludf.DUMMYFUNCTION("""COMPUTED_VALUE"""),"No")</f>
        <v>No</v>
      </c>
      <c r="AH51" s="8" t="str">
        <f ca="1">IFERROR(__xludf.DUMMYFUNCTION("""COMPUTED_VALUE"""),"No")</f>
        <v>No</v>
      </c>
      <c r="AI51" s="8" t="str">
        <f ca="1">IFERROR(__xludf.DUMMYFUNCTION("""COMPUTED_VALUE"""),"No")</f>
        <v>No</v>
      </c>
      <c r="AJ51" s="8" t="str">
        <f ca="1">IFERROR(__xludf.DUMMYFUNCTION("""COMPUTED_VALUE"""),"No")</f>
        <v>No</v>
      </c>
      <c r="AK51" s="8" t="str">
        <f ca="1">IFERROR(__xludf.DUMMYFUNCTION("""COMPUTED_VALUE"""),"No")</f>
        <v>No</v>
      </c>
      <c r="AL51" s="8"/>
      <c r="AM51" s="8" t="str">
        <f ca="1">IFERROR(__xludf.DUMMYFUNCTION("""COMPUTED_VALUE"""),"No")</f>
        <v>No</v>
      </c>
      <c r="AN51" s="8" t="str">
        <f ca="1">IFERROR(__xludf.DUMMYFUNCTION("""COMPUTED_VALUE"""),"Outside")</f>
        <v>Outside</v>
      </c>
      <c r="AO51" s="8" t="str">
        <f ca="1">IFERROR(__xludf.DUMMYFUNCTION("""COMPUTED_VALUE"""),"No")</f>
        <v>No</v>
      </c>
      <c r="AP51" s="8"/>
      <c r="AQ51" s="8"/>
      <c r="AR51" s="8" t="str">
        <f ca="1">IFERROR(__xludf.DUMMYFUNCTION("""COMPUTED_VALUE"""),"Outside/Off-Property")</f>
        <v>Outside/Off-Property</v>
      </c>
      <c r="AS51" s="8">
        <f ca="1">IFERROR(__xludf.DUMMYFUNCTION("""COMPUTED_VALUE"""),99)</f>
        <v>99</v>
      </c>
      <c r="AT51" s="8" t="str">
        <f ca="1">IFERROR(__xludf.DUMMYFUNCTION("""COMPUTED_VALUE"""),"No")</f>
        <v>No</v>
      </c>
      <c r="AU51" s="8">
        <f ca="1">IFERROR(__xludf.DUMMYFUNCTION("""COMPUTED_VALUE"""),42.426253)</f>
        <v>42.426253000000003</v>
      </c>
      <c r="AV51" s="8">
        <f ca="1">IFERROR(__xludf.DUMMYFUNCTION("""COMPUTED_VALUE"""),-82.957713)</f>
        <v>-82.957712999999998</v>
      </c>
      <c r="AW51" s="8" t="str">
        <f ca="1">IFERROR(__xludf.DUMMYFUNCTION("""COMPUTED_VALUE"""),"Multiple detached buildings")</f>
        <v>Multiple detached buildings</v>
      </c>
      <c r="AX51" s="8">
        <f ca="1">IFERROR(__xludf.DUMMYFUNCTION("""COMPUTED_VALUE"""),48224)</f>
        <v>48224</v>
      </c>
    </row>
    <row r="52" spans="1:50" ht="210" x14ac:dyDescent="0.2">
      <c r="A52" s="8" t="str">
        <f ca="1">IFERROR(__xludf.DUMMYFUNCTION("""COMPUTED_VALUE"""),"20250625NMSAS")</f>
        <v>20250625NMSAS</v>
      </c>
      <c r="B52" s="8">
        <f ca="1">IFERROR(__xludf.DUMMYFUNCTION("""COMPUTED_VALUE"""),6)</f>
        <v>6</v>
      </c>
      <c r="C52" s="8">
        <f ca="1">IFERROR(__xludf.DUMMYFUNCTION("""COMPUTED_VALUE"""),25)</f>
        <v>25</v>
      </c>
      <c r="D52" s="8">
        <f ca="1">IFERROR(__xludf.DUMMYFUNCTION("""COMPUTED_VALUE"""),2025)</f>
        <v>2025</v>
      </c>
      <c r="E52" s="9">
        <f ca="1">IFERROR(__xludf.DUMMYFUNCTION("""COMPUTED_VALUE"""),45833)</f>
        <v>45833</v>
      </c>
      <c r="F52" s="8" t="str">
        <f ca="1">IFERROR(__xludf.DUMMYFUNCTION("""COMPUTED_VALUE"""),"Santa Fe Indian School")</f>
        <v>Santa Fe Indian School</v>
      </c>
      <c r="G52" s="8">
        <f ca="1">IFERROR(__xludf.DUMMYFUNCTION("""COMPUTED_VALUE"""),0)</f>
        <v>0</v>
      </c>
      <c r="H52" s="8">
        <f ca="1">IFERROR(__xludf.DUMMYFUNCTION("""COMPUTED_VALUE"""),0)</f>
        <v>0</v>
      </c>
      <c r="I52" s="8">
        <f ca="1">IFERROR(__xludf.DUMMYFUNCTION("""COMPUTED_VALUE"""),0)</f>
        <v>0</v>
      </c>
      <c r="J52" s="8">
        <f ca="1">IFERROR(__xludf.DUMMYFUNCTION("""COMPUTED_VALUE"""),0)</f>
        <v>0</v>
      </c>
      <c r="K52" s="10" t="str">
        <f ca="1">IFERROR(__xludf.DUMMYFUNCTION("""COMPUTED_VALUE"""),"https://www.koat.com/article/santa-fe-shooting-near-school/65209326")</f>
        <v>https://www.koat.com/article/santa-fe-shooting-near-school/65209326</v>
      </c>
      <c r="L52" s="8">
        <f ca="1">IFERROR(__xludf.DUMMYFUNCTION("""COMPUTED_VALUE"""),1)</f>
        <v>1</v>
      </c>
      <c r="M52" s="8" t="str">
        <f ca="1">IFERROR(__xludf.DUMMYFUNCTION("""COMPUTED_VALUE"""),"Local")</f>
        <v>Local</v>
      </c>
      <c r="N52" s="8">
        <f ca="1">IFERROR(__xludf.DUMMYFUNCTION("""COMPUTED_VALUE"""),4)</f>
        <v>4</v>
      </c>
      <c r="O52" s="8" t="str">
        <f ca="1">IFERROR(__xludf.DUMMYFUNCTION("""COMPUTED_VALUE"""),"Summer")</f>
        <v>Summer</v>
      </c>
      <c r="P52" s="8" t="str">
        <f ca="1">IFERROR(__xludf.DUMMYFUNCTION("""COMPUTED_VALUE"""),"Santa Fe")</f>
        <v>Santa Fe</v>
      </c>
      <c r="Q52" s="8" t="str">
        <f ca="1">IFERROR(__xludf.DUMMYFUNCTION("""COMPUTED_VALUE"""),"NM")</f>
        <v>NM</v>
      </c>
      <c r="R52" s="8" t="str">
        <f ca="1">IFERROR(__xludf.DUMMYFUNCTION("""COMPUTED_VALUE"""),"6-12")</f>
        <v>6-12</v>
      </c>
      <c r="S52" s="8" t="str">
        <f ca="1">IFERROR(__xludf.DUMMYFUNCTION("""COMPUTED_VALUE"""),"Football Field/Track")</f>
        <v>Football Field/Track</v>
      </c>
      <c r="T52" s="8" t="str">
        <f ca="1">IFERROR(__xludf.DUMMYFUNCTION("""COMPUTED_VALUE"""),"Outside on School Property")</f>
        <v>Outside on School Property</v>
      </c>
      <c r="U52" s="8" t="str">
        <f ca="1">IFERROR(__xludf.DUMMYFUNCTION("""COMPUTED_VALUE"""),"No")</f>
        <v>No</v>
      </c>
      <c r="V52" s="8" t="str">
        <f ca="1">IFERROR(__xludf.DUMMYFUNCTION("""COMPUTED_VALUE"""),"Sport Event")</f>
        <v>Sport Event</v>
      </c>
      <c r="W52" s="11">
        <f ca="1">IFERROR(__xludf.DUMMYFUNCTION("""COMPUTED_VALUE"""),0.791666666666666)</f>
        <v>0.79166666666666596</v>
      </c>
      <c r="X52" s="8">
        <f ca="1">IFERROR(__xludf.DUMMYFUNCTION("""COMPUTED_VALUE"""),1)</f>
        <v>1</v>
      </c>
      <c r="Y52" s="12" t="str">
        <f ca="1">IFERROR(__xludf.DUMMYFUNCTION("""COMPUTED_VALUE"""),"Shots fired by man with rifle hit the bleachers during sports event")</f>
        <v>Shots fired by man with rifle hit the bleachers during sports event</v>
      </c>
      <c r="Z52" s="12" t="str">
        <f ca="1">IFERROR(__xludf.DUMMYFUNCTION("""COMPUTED_VALUE"""),"According to police, the Santa Fe Regional Communications Center received multiple calls regarding a shooting on the 1500 block of Cerrillos Road. Callers told dispatch they believed they were being shot at as bullets were ricocheting around them while st"&amp;"udents were attending football practice at Santa Fe Indian School. Santa Fe police say when officers arrived at the area, they found several students taking shelter behind the bleachers of the school's football field. Santa Fe police officers and Bureau o"&amp;"f Indian Affairs Police were able to take those students to safety. Police say as they worked to secure the campus, they got a second call reporting that a man on the 1800 block of Otowi Road was shooting a rifle, acting erratically and was suspected of b"&amp;"eing intoxicated.")</f>
        <v>According to police, the Santa Fe Regional Communications Center received multiple calls regarding a shooting on the 1500 block of Cerrillos Road. Callers told dispatch they believed they were being shot at as bullets were ricocheting around them while students were attending football practice at Santa Fe Indian School. Santa Fe police say when officers arrived at the area, they found several students taking shelter behind the bleachers of the school's football field. Santa Fe police officers and Bureau of Indian Affairs Police were able to take those students to safety. Police say as they worked to secure the campus, they got a second call reporting that a man on the 1800 block of Otowi Road was shooting a rifle, acting erratically and was suspected of being intoxicated.</v>
      </c>
      <c r="AA52" s="8" t="str">
        <f ca="1">IFERROR(__xludf.DUMMYFUNCTION("""COMPUTED_VALUE"""),"Domestic w/ Targeted Victim")</f>
        <v>Domestic w/ Targeted Victim</v>
      </c>
      <c r="AB52" s="8" t="str">
        <f ca="1">IFERROR(__xludf.DUMMYFUNCTION("""COMPUTED_VALUE"""),"Spontaneous")</f>
        <v>Spontaneous</v>
      </c>
      <c r="AC52" s="8" t="str">
        <f ca="1">IFERROR(__xludf.DUMMYFUNCTION("""COMPUTED_VALUE"""),"Yes")</f>
        <v>Yes</v>
      </c>
      <c r="AD52" s="8" t="str">
        <f ca="1">IFERROR(__xludf.DUMMYFUNCTION("""COMPUTED_VALUE"""),"Victims Targeted")</f>
        <v>Victims Targeted</v>
      </c>
      <c r="AE52" s="8" t="str">
        <f ca="1">IFERROR(__xludf.DUMMYFUNCTION("""COMPUTED_VALUE"""),"No")</f>
        <v>No</v>
      </c>
      <c r="AF52" s="8"/>
      <c r="AG52" s="8" t="str">
        <f ca="1">IFERROR(__xludf.DUMMYFUNCTION("""COMPUTED_VALUE"""),"No")</f>
        <v>No</v>
      </c>
      <c r="AH52" s="8" t="str">
        <f ca="1">IFERROR(__xludf.DUMMYFUNCTION("""COMPUTED_VALUE"""),"No")</f>
        <v>No</v>
      </c>
      <c r="AI52" s="8" t="str">
        <f ca="1">IFERROR(__xludf.DUMMYFUNCTION("""COMPUTED_VALUE"""),"No")</f>
        <v>No</v>
      </c>
      <c r="AJ52" s="8" t="str">
        <f ca="1">IFERROR(__xludf.DUMMYFUNCTION("""COMPUTED_VALUE"""),"No")</f>
        <v>No</v>
      </c>
      <c r="AK52" s="8" t="str">
        <f ca="1">IFERROR(__xludf.DUMMYFUNCTION("""COMPUTED_VALUE"""),"Yes")</f>
        <v>Yes</v>
      </c>
      <c r="AL52" s="8" t="str">
        <f ca="1">IFERROR(__xludf.DUMMYFUNCTION("""COMPUTED_VALUE"""),"No")</f>
        <v>No</v>
      </c>
      <c r="AM52" s="8" t="str">
        <f ca="1">IFERROR(__xludf.DUMMYFUNCTION("""COMPUTED_VALUE"""),"No")</f>
        <v>No</v>
      </c>
      <c r="AN52" s="8" t="str">
        <f ca="1">IFERROR(__xludf.DUMMYFUNCTION("""COMPUTED_VALUE"""),"Outside")</f>
        <v>Outside</v>
      </c>
      <c r="AO52" s="8" t="str">
        <f ca="1">IFERROR(__xludf.DUMMYFUNCTION("""COMPUTED_VALUE"""),"No")</f>
        <v>No</v>
      </c>
      <c r="AP52" s="8"/>
      <c r="AQ52" s="8"/>
      <c r="AR52" s="8" t="str">
        <f ca="1">IFERROR(__xludf.DUMMYFUNCTION("""COMPUTED_VALUE"""),"Outside/Off-Property")</f>
        <v>Outside/Off-Property</v>
      </c>
      <c r="AS52" s="8">
        <f ca="1">IFERROR(__xludf.DUMMYFUNCTION("""COMPUTED_VALUE"""),99)</f>
        <v>99</v>
      </c>
      <c r="AT52" s="8" t="str">
        <f ca="1">IFERROR(__xludf.DUMMYFUNCTION("""COMPUTED_VALUE"""),"Yes")</f>
        <v>Yes</v>
      </c>
      <c r="AU52" s="8">
        <f ca="1">IFERROR(__xludf.DUMMYFUNCTION("""COMPUTED_VALUE"""),35.671331)</f>
        <v>35.671331000000002</v>
      </c>
      <c r="AV52" s="8">
        <f ca="1">IFERROR(__xludf.DUMMYFUNCTION("""COMPUTED_VALUE"""),-105.967025)</f>
        <v>-105.96702500000001</v>
      </c>
      <c r="AW52" s="8" t="str">
        <f ca="1">IFERROR(__xludf.DUMMYFUNCTION("""COMPUTED_VALUE"""),"Multiple detached buildings")</f>
        <v>Multiple detached buildings</v>
      </c>
      <c r="AX52" s="8">
        <f ca="1">IFERROR(__xludf.DUMMYFUNCTION("""COMPUTED_VALUE"""),87505)</f>
        <v>87505</v>
      </c>
    </row>
    <row r="53" spans="1:50" ht="90" x14ac:dyDescent="0.2">
      <c r="A53" s="8" t="str">
        <f ca="1">IFERROR(__xludf.DUMMYFUNCTION("""COMPUTED_VALUE"""),"20250624CACUC")</f>
        <v>20250624CACUC</v>
      </c>
      <c r="B53" s="8">
        <f ca="1">IFERROR(__xludf.DUMMYFUNCTION("""COMPUTED_VALUE"""),6)</f>
        <v>6</v>
      </c>
      <c r="C53" s="8">
        <f ca="1">IFERROR(__xludf.DUMMYFUNCTION("""COMPUTED_VALUE"""),24)</f>
        <v>24</v>
      </c>
      <c r="D53" s="8">
        <f ca="1">IFERROR(__xludf.DUMMYFUNCTION("""COMPUTED_VALUE"""),2025)</f>
        <v>2025</v>
      </c>
      <c r="E53" s="9">
        <f ca="1">IFERROR(__xludf.DUMMYFUNCTION("""COMPUTED_VALUE"""),45832)</f>
        <v>45832</v>
      </c>
      <c r="F53" s="8" t="str">
        <f ca="1">IFERROR(__xludf.DUMMYFUNCTION("""COMPUTED_VALUE"""),"Culver City High School")</f>
        <v>Culver City High School</v>
      </c>
      <c r="G53" s="8">
        <f ca="1">IFERROR(__xludf.DUMMYFUNCTION("""COMPUTED_VALUE"""),0)</f>
        <v>0</v>
      </c>
      <c r="H53" s="8">
        <f ca="1">IFERROR(__xludf.DUMMYFUNCTION("""COMPUTED_VALUE"""),0)</f>
        <v>0</v>
      </c>
      <c r="I53" s="8">
        <f ca="1">IFERROR(__xludf.DUMMYFUNCTION("""COMPUTED_VALUE"""),0)</f>
        <v>0</v>
      </c>
      <c r="J53" s="8">
        <f ca="1">IFERROR(__xludf.DUMMYFUNCTION("""COMPUTED_VALUE"""),0)</f>
        <v>0</v>
      </c>
      <c r="K53" s="8" t="str">
        <f ca="1">IFERROR(__xludf.DUMMYFUNCTION("""COMPUTED_VALUE"""),"https://mynewsla.com/crime/2025/06/24/police-respond-to-shots-fired-call-around-culver-city-high-school/
https://www.instagram.com/p/DLT2Pedu1Z7/")</f>
        <v>https://mynewsla.com/crime/2025/06/24/police-respond-to-shots-fired-call-around-culver-city-high-school/
https://www.instagram.com/p/DLT2Pedu1Z7/</v>
      </c>
      <c r="L53" s="8">
        <f ca="1">IFERROR(__xludf.DUMMYFUNCTION("""COMPUTED_VALUE"""),1)</f>
        <v>1</v>
      </c>
      <c r="M53" s="8" t="str">
        <f ca="1">IFERROR(__xludf.DUMMYFUNCTION("""COMPUTED_VALUE"""),"Local")</f>
        <v>Local</v>
      </c>
      <c r="N53" s="8">
        <f ca="1">IFERROR(__xludf.DUMMYFUNCTION("""COMPUTED_VALUE"""),2)</f>
        <v>2</v>
      </c>
      <c r="O53" s="8" t="str">
        <f ca="1">IFERROR(__xludf.DUMMYFUNCTION("""COMPUTED_VALUE"""),"Summer")</f>
        <v>Summer</v>
      </c>
      <c r="P53" s="8" t="str">
        <f ca="1">IFERROR(__xludf.DUMMYFUNCTION("""COMPUTED_VALUE"""),"Culver City")</f>
        <v>Culver City</v>
      </c>
      <c r="Q53" s="8" t="str">
        <f ca="1">IFERROR(__xludf.DUMMYFUNCTION("""COMPUTED_VALUE"""),"CA")</f>
        <v>CA</v>
      </c>
      <c r="R53" s="8" t="str">
        <f ca="1">IFERROR(__xludf.DUMMYFUNCTION("""COMPUTED_VALUE"""),"High")</f>
        <v>High</v>
      </c>
      <c r="S53" s="8" t="str">
        <f ca="1">IFERROR(__xludf.DUMMYFUNCTION("""COMPUTED_VALUE"""),"Football Field/Track")</f>
        <v>Football Field/Track</v>
      </c>
      <c r="T53" s="8" t="str">
        <f ca="1">IFERROR(__xludf.DUMMYFUNCTION("""COMPUTED_VALUE"""),"Outside on School Property")</f>
        <v>Outside on School Property</v>
      </c>
      <c r="U53" s="8" t="str">
        <f ca="1">IFERROR(__xludf.DUMMYFUNCTION("""COMPUTED_VALUE"""),"No")</f>
        <v>No</v>
      </c>
      <c r="V53" s="8" t="str">
        <f ca="1">IFERROR(__xludf.DUMMYFUNCTION("""COMPUTED_VALUE"""),"Sport Event")</f>
        <v>Sport Event</v>
      </c>
      <c r="W53" s="11">
        <f ca="1">IFERROR(__xludf.DUMMYFUNCTION("""COMPUTED_VALUE"""),0.826388888888888)</f>
        <v>0.82638888888888795</v>
      </c>
      <c r="X53" s="8">
        <f ca="1">IFERROR(__xludf.DUMMYFUNCTION("""COMPUTED_VALUE"""),1)</f>
        <v>1</v>
      </c>
      <c r="Y53" s="12" t="str">
        <f ca="1">IFERROR(__xludf.DUMMYFUNCTION("""COMPUTED_VALUE"""),"Shots fired during vigal for student who was killed in a shooting")</f>
        <v>Shots fired during vigal for student who was killed in a shooting</v>
      </c>
      <c r="Z53" s="12" t="str">
        <f ca="1">IFERROR(__xludf.DUMMYFUNCTION("""COMPUTED_VALUE"""),"Culver City Police Department officers responded to a shots fired call in the area of Culver City High School Tuesday evening with no injuries reported. The call was received at approximately 7:50 p.m. Tuesday when approximately 200-300 people were attend"&amp;"ing a vigil on the school’s football field, police said.")</f>
        <v>Culver City Police Department officers responded to a shots fired call in the area of Culver City High School Tuesday evening with no injuries reported. The call was received at approximately 7:50 p.m. Tuesday when approximately 200-300 people were attending a vigil on the school’s football field, police said.</v>
      </c>
      <c r="AA53" s="8"/>
      <c r="AB53" s="8"/>
      <c r="AC53" s="8" t="str">
        <f ca="1">IFERROR(__xludf.DUMMYFUNCTION("""COMPUTED_VALUE"""),"Yes")</f>
        <v>Yes</v>
      </c>
      <c r="AD53" s="8"/>
      <c r="AE53" s="8"/>
      <c r="AF53" s="8"/>
      <c r="AG53" s="8" t="str">
        <f ca="1">IFERROR(__xludf.DUMMYFUNCTION("""COMPUTED_VALUE"""),"No")</f>
        <v>No</v>
      </c>
      <c r="AH53" s="8" t="str">
        <f ca="1">IFERROR(__xludf.DUMMYFUNCTION("""COMPUTED_VALUE"""),"No")</f>
        <v>No</v>
      </c>
      <c r="AI53" s="8" t="str">
        <f ca="1">IFERROR(__xludf.DUMMYFUNCTION("""COMPUTED_VALUE"""),"No")</f>
        <v>No</v>
      </c>
      <c r="AJ53" s="8" t="str">
        <f ca="1">IFERROR(__xludf.DUMMYFUNCTION("""COMPUTED_VALUE"""),"No")</f>
        <v>No</v>
      </c>
      <c r="AK53" s="8" t="str">
        <f ca="1">IFERROR(__xludf.DUMMYFUNCTION("""COMPUTED_VALUE"""),"No")</f>
        <v>No</v>
      </c>
      <c r="AL53" s="8"/>
      <c r="AM53" s="8" t="str">
        <f ca="1">IFERROR(__xludf.DUMMYFUNCTION("""COMPUTED_VALUE"""),"No")</f>
        <v>No</v>
      </c>
      <c r="AN53" s="8" t="str">
        <f ca="1">IFERROR(__xludf.DUMMYFUNCTION("""COMPUTED_VALUE"""),"Outside")</f>
        <v>Outside</v>
      </c>
      <c r="AO53" s="8" t="str">
        <f ca="1">IFERROR(__xludf.DUMMYFUNCTION("""COMPUTED_VALUE"""),"No")</f>
        <v>No</v>
      </c>
      <c r="AP53" s="8"/>
      <c r="AQ53" s="8"/>
      <c r="AR53" s="8" t="str">
        <f ca="1">IFERROR(__xludf.DUMMYFUNCTION("""COMPUTED_VALUE"""),"Outside/Off-Property")</f>
        <v>Outside/Off-Property</v>
      </c>
      <c r="AS53" s="8">
        <f ca="1">IFERROR(__xludf.DUMMYFUNCTION("""COMPUTED_VALUE"""),99)</f>
        <v>99</v>
      </c>
      <c r="AT53" s="8" t="str">
        <f ca="1">IFERROR(__xludf.DUMMYFUNCTION("""COMPUTED_VALUE"""),"No")</f>
        <v>No</v>
      </c>
      <c r="AU53" s="8">
        <f ca="1">IFERROR(__xludf.DUMMYFUNCTION("""COMPUTED_VALUE"""),34.00703)</f>
        <v>34.00703</v>
      </c>
      <c r="AV53" s="8">
        <f ca="1">IFERROR(__xludf.DUMMYFUNCTION("""COMPUTED_VALUE"""),-118.40164)</f>
        <v>-118.40164</v>
      </c>
      <c r="AW53" s="8" t="str">
        <f ca="1">IFERROR(__xludf.DUMMYFUNCTION("""COMPUTED_VALUE"""),"Multiple detached buildings")</f>
        <v>Multiple detached buildings</v>
      </c>
      <c r="AX53" s="8">
        <f ca="1">IFERROR(__xludf.DUMMYFUNCTION("""COMPUTED_VALUE"""),90230)</f>
        <v>90230</v>
      </c>
    </row>
    <row r="54" spans="1:50" ht="195" x14ac:dyDescent="0.2">
      <c r="A54" s="8" t="str">
        <f ca="1">IFERROR(__xludf.DUMMYFUNCTION("""COMPUTED_VALUE"""),"20250624CABLC")</f>
        <v>20250624CABLC</v>
      </c>
      <c r="B54" s="8">
        <f ca="1">IFERROR(__xludf.DUMMYFUNCTION("""COMPUTED_VALUE"""),6)</f>
        <v>6</v>
      </c>
      <c r="C54" s="8">
        <f ca="1">IFERROR(__xludf.DUMMYFUNCTION("""COMPUTED_VALUE"""),24)</f>
        <v>24</v>
      </c>
      <c r="D54" s="8">
        <f ca="1">IFERROR(__xludf.DUMMYFUNCTION("""COMPUTED_VALUE"""),2025)</f>
        <v>2025</v>
      </c>
      <c r="E54" s="9">
        <f ca="1">IFERROR(__xludf.DUMMYFUNCTION("""COMPUTED_VALUE"""),45832)</f>
        <v>45832</v>
      </c>
      <c r="F54" s="8" t="str">
        <f ca="1">IFERROR(__xludf.DUMMYFUNCTION("""COMPUTED_VALUE"""),"Blaker-Kinder Junior High School")</f>
        <v>Blaker-Kinder Junior High School</v>
      </c>
      <c r="G54" s="8">
        <f ca="1">IFERROR(__xludf.DUMMYFUNCTION("""COMPUTED_VALUE"""),0)</f>
        <v>0</v>
      </c>
      <c r="H54" s="8">
        <f ca="1">IFERROR(__xludf.DUMMYFUNCTION("""COMPUTED_VALUE"""),1)</f>
        <v>1</v>
      </c>
      <c r="I54" s="8">
        <f ca="1">IFERROR(__xludf.DUMMYFUNCTION("""COMPUTED_VALUE"""),1)</f>
        <v>1</v>
      </c>
      <c r="J54" s="8">
        <f ca="1">IFERROR(__xludf.DUMMYFUNCTION("""COMPUTED_VALUE"""),0)</f>
        <v>0</v>
      </c>
      <c r="K54" s="10" t="str">
        <f ca="1">IFERROR(__xludf.DUMMYFUNCTION("""COMPUTED_VALUE"""),"https://fox40.com/news/local-news/stanislaus-county/school-resource-officer-gets-shot-after-her-gun-goes-off-at-a-northern-california-campus/
https://www.modbee.com/news/local/article309341525.html")</f>
        <v>https://fox40.com/news/local-news/stanislaus-county/school-resource-officer-gets-shot-after-her-gun-goes-off-at-a-northern-california-campus/
https://www.modbee.com/news/local/article309341525.html</v>
      </c>
      <c r="L54" s="8">
        <f ca="1">IFERROR(__xludf.DUMMYFUNCTION("""COMPUTED_VALUE"""),10)</f>
        <v>10</v>
      </c>
      <c r="M54" s="8" t="str">
        <f ca="1">IFERROR(__xludf.DUMMYFUNCTION("""COMPUTED_VALUE"""),"Regional")</f>
        <v>Regional</v>
      </c>
      <c r="N54" s="8">
        <f ca="1">IFERROR(__xludf.DUMMYFUNCTION("""COMPUTED_VALUE"""),4)</f>
        <v>4</v>
      </c>
      <c r="O54" s="8" t="str">
        <f ca="1">IFERROR(__xludf.DUMMYFUNCTION("""COMPUTED_VALUE"""),"Summer")</f>
        <v>Summer</v>
      </c>
      <c r="P54" s="8" t="str">
        <f ca="1">IFERROR(__xludf.DUMMYFUNCTION("""COMPUTED_VALUE"""),"Ceres")</f>
        <v>Ceres</v>
      </c>
      <c r="Q54" s="8" t="str">
        <f ca="1">IFERROR(__xludf.DUMMYFUNCTION("""COMPUTED_VALUE"""),"CA")</f>
        <v>CA</v>
      </c>
      <c r="R54" s="8" t="str">
        <f ca="1">IFERROR(__xludf.DUMMYFUNCTION("""COMPUTED_VALUE"""),"Middle")</f>
        <v>Middle</v>
      </c>
      <c r="S54" s="8" t="str">
        <f ca="1">IFERROR(__xludf.DUMMYFUNCTION("""COMPUTED_VALUE"""),"Parking Lot")</f>
        <v>Parking Lot</v>
      </c>
      <c r="T54" s="8" t="str">
        <f ca="1">IFERROR(__xludf.DUMMYFUNCTION("""COMPUTED_VALUE"""),"Outside on School Property")</f>
        <v>Outside on School Property</v>
      </c>
      <c r="U54" s="8" t="str">
        <f ca="1">IFERROR(__xludf.DUMMYFUNCTION("""COMPUTED_VALUE"""),"Yes")</f>
        <v>Yes</v>
      </c>
      <c r="V54" s="8" t="str">
        <f ca="1">IFERROR(__xludf.DUMMYFUNCTION("""COMPUTED_VALUE"""),"Afternoon Classes")</f>
        <v>Afternoon Classes</v>
      </c>
      <c r="W54" s="11">
        <f ca="1">IFERROR(__xludf.DUMMYFUNCTION("""COMPUTED_VALUE"""),0.534722222222222)</f>
        <v>0.53472222222222199</v>
      </c>
      <c r="X54" s="8">
        <f ca="1">IFERROR(__xludf.DUMMYFUNCTION("""COMPUTED_VALUE"""),1)</f>
        <v>1</v>
      </c>
      <c r="Y54" s="12" t="str">
        <f ca="1">IFERROR(__xludf.DUMMYFUNCTION("""COMPUTED_VALUE"""),"SRO's holstered gun fired in the school parking lot injuring the officer ")</f>
        <v xml:space="preserve">SRO's holstered gun fired in the school parking lot injuring the officer </v>
      </c>
      <c r="Z54" s="12" t="str">
        <f ca="1">IFERROR(__xludf.DUMMYFUNCTION("""COMPUTED_VALUE"""),"A school resource officer was injured Tuesday afternoon when her holstered firearm discharged in the parking lot of a junior high campus in Ceres, authorities said. The incident occurred around 12:50 p.m. at Blaker-Kinser Junior High School, 1601 Kinser R"&amp;"oad, according to a news release from the Ceres Police Department. Police said the officer was on campus when her duty weapon discharged while still in its holster, causing a leg injury that was not life-threatening. The discharge is believed to have been"&amp;" caused by a “suspected malfunction,” the department said. The officer was taken to a hospital for treatment. No students or staff were nearby at the time of the incident, and no one else was injured.")</f>
        <v>A school resource officer was injured Tuesday afternoon when her holstered firearm discharged in the parking lot of a junior high campus in Ceres, authorities said. The incident occurred around 12:50 p.m. at Blaker-Kinser Junior High School, 1601 Kinser Road, according to a news release from the Ceres Police Department. Police said the officer was on campus when her duty weapon discharged while still in its holster, causing a leg injury that was not life-threatening. The discharge is believed to have been caused by a “suspected malfunction,” the department said. The officer was taken to a hospital for treatment. No students or staff were nearby at the time of the incident, and no one else was injured.</v>
      </c>
      <c r="AA54" s="8" t="str">
        <f ca="1">IFERROR(__xludf.DUMMYFUNCTION("""COMPUTED_VALUE"""),"Accidental")</f>
        <v>Accidental</v>
      </c>
      <c r="AB54" s="8" t="str">
        <f ca="1">IFERROR(__xludf.DUMMYFUNCTION("""COMPUTED_VALUE"""),"Spontaneous")</f>
        <v>Spontaneous</v>
      </c>
      <c r="AC54" s="8" t="str">
        <f ca="1">IFERROR(__xludf.DUMMYFUNCTION("""COMPUTED_VALUE"""),"Yes")</f>
        <v>Yes</v>
      </c>
      <c r="AD54" s="8" t="str">
        <f ca="1">IFERROR(__xludf.DUMMYFUNCTION("""COMPUTED_VALUE"""),"Neither")</f>
        <v>Neither</v>
      </c>
      <c r="AE54" s="8" t="str">
        <f ca="1">IFERROR(__xludf.DUMMYFUNCTION("""COMPUTED_VALUE"""),"No")</f>
        <v>No</v>
      </c>
      <c r="AF54" s="8"/>
      <c r="AG54" s="8" t="str">
        <f ca="1">IFERROR(__xludf.DUMMYFUNCTION("""COMPUTED_VALUE"""),"No")</f>
        <v>No</v>
      </c>
      <c r="AH54" s="8" t="str">
        <f ca="1">IFERROR(__xludf.DUMMYFUNCTION("""COMPUTED_VALUE"""),"No")</f>
        <v>No</v>
      </c>
      <c r="AI54" s="8" t="str">
        <f ca="1">IFERROR(__xludf.DUMMYFUNCTION("""COMPUTED_VALUE"""),"Yes")</f>
        <v>Yes</v>
      </c>
      <c r="AJ54" s="8" t="str">
        <f ca="1">IFERROR(__xludf.DUMMYFUNCTION("""COMPUTED_VALUE"""),"No")</f>
        <v>No</v>
      </c>
      <c r="AK54" s="8" t="str">
        <f ca="1">IFERROR(__xludf.DUMMYFUNCTION("""COMPUTED_VALUE"""),"No")</f>
        <v>No</v>
      </c>
      <c r="AL54" s="8" t="str">
        <f ca="1">IFERROR(__xludf.DUMMYFUNCTION("""COMPUTED_VALUE"""),"No")</f>
        <v>No</v>
      </c>
      <c r="AM54" s="8" t="str">
        <f ca="1">IFERROR(__xludf.DUMMYFUNCTION("""COMPUTED_VALUE"""),"No")</f>
        <v>No</v>
      </c>
      <c r="AN54" s="8" t="str">
        <f ca="1">IFERROR(__xludf.DUMMYFUNCTION("""COMPUTED_VALUE"""),"Outside")</f>
        <v>Outside</v>
      </c>
      <c r="AO54" s="8" t="str">
        <f ca="1">IFERROR(__xludf.DUMMYFUNCTION("""COMPUTED_VALUE"""),"No")</f>
        <v>No</v>
      </c>
      <c r="AP54" s="8" t="str">
        <f ca="1">IFERROR(__xludf.DUMMYFUNCTION("""COMPUTED_VALUE"""),"Yes")</f>
        <v>Yes</v>
      </c>
      <c r="AQ54" s="8" t="str">
        <f ca="1">IFERROR(__xludf.DUMMYFUNCTION("""COMPUTED_VALUE"""),"Armed Guards")</f>
        <v>Armed Guards</v>
      </c>
      <c r="AR54" s="8" t="str">
        <f ca="1">IFERROR(__xludf.DUMMYFUNCTION("""COMPUTED_VALUE"""),"Outside/Off-Property")</f>
        <v>Outside/Off-Property</v>
      </c>
      <c r="AS54" s="8">
        <f ca="1">IFERROR(__xludf.DUMMYFUNCTION("""COMPUTED_VALUE"""),1)</f>
        <v>1</v>
      </c>
      <c r="AT54" s="8" t="str">
        <f ca="1">IFERROR(__xludf.DUMMYFUNCTION("""COMPUTED_VALUE"""),"No")</f>
        <v>No</v>
      </c>
      <c r="AU54" s="8">
        <f ca="1">IFERROR(__xludf.DUMMYFUNCTION("""COMPUTED_VALUE"""),37.591401)</f>
        <v>37.591400999999998</v>
      </c>
      <c r="AV54" s="8">
        <f ca="1">IFERROR(__xludf.DUMMYFUNCTION("""COMPUTED_VALUE"""),-120.96741)</f>
        <v>-120.96741</v>
      </c>
      <c r="AW54" s="8" t="str">
        <f ca="1">IFERROR(__xludf.DUMMYFUNCTION("""COMPUTED_VALUE"""),"Multiple detached buildings")</f>
        <v>Multiple detached buildings</v>
      </c>
      <c r="AX54" s="8">
        <f ca="1">IFERROR(__xludf.DUMMYFUNCTION("""COMPUTED_VALUE"""),95307)</f>
        <v>95307</v>
      </c>
    </row>
    <row r="55" spans="1:50" ht="180" x14ac:dyDescent="0.2">
      <c r="A55" s="8" t="str">
        <f ca="1">IFERROR(__xludf.DUMMYFUNCTION("""COMPUTED_VALUE"""),"20250624COKED")</f>
        <v>20250624COKED</v>
      </c>
      <c r="B55" s="8">
        <f ca="1">IFERROR(__xludf.DUMMYFUNCTION("""COMPUTED_VALUE"""),6)</f>
        <v>6</v>
      </c>
      <c r="C55" s="8">
        <f ca="1">IFERROR(__xludf.DUMMYFUNCTION("""COMPUTED_VALUE"""),24)</f>
        <v>24</v>
      </c>
      <c r="D55" s="8">
        <f ca="1">IFERROR(__xludf.DUMMYFUNCTION("""COMPUTED_VALUE"""),2025)</f>
        <v>2025</v>
      </c>
      <c r="E55" s="9">
        <f ca="1">IFERROR(__xludf.DUMMYFUNCTION("""COMPUTED_VALUE"""),45832)</f>
        <v>45832</v>
      </c>
      <c r="F55" s="8" t="str">
        <f ca="1">IFERROR(__xludf.DUMMYFUNCTION("""COMPUTED_VALUE"""),"Kepner Beacon Middle School")</f>
        <v>Kepner Beacon Middle School</v>
      </c>
      <c r="G55" s="8">
        <f ca="1">IFERROR(__xludf.DUMMYFUNCTION("""COMPUTED_VALUE"""),0)</f>
        <v>0</v>
      </c>
      <c r="H55" s="8">
        <f ca="1">IFERROR(__xludf.DUMMYFUNCTION("""COMPUTED_VALUE"""),0)</f>
        <v>0</v>
      </c>
      <c r="I55" s="8">
        <f ca="1">IFERROR(__xludf.DUMMYFUNCTION("""COMPUTED_VALUE"""),0)</f>
        <v>0</v>
      </c>
      <c r="J55" s="8">
        <f ca="1">IFERROR(__xludf.DUMMYFUNCTION("""COMPUTED_VALUE"""),1)</f>
        <v>1</v>
      </c>
      <c r="K55" s="10" t="str">
        <f ca="1">IFERROR(__xludf.DUMMYFUNCTION("""COMPUTED_VALUE"""),"https://kdvr.com/news/local/suspect-dead-after-police-shoot-reportedly-armed-man-near-denver-middle-school/
https://www.denver7.com/news/crime/armed-man-dies-in-shooting-involving-denver-police-and-dps-officers-monday-night")</f>
        <v>https://kdvr.com/news/local/suspect-dead-after-police-shoot-reportedly-armed-man-near-denver-middle-school/
https://www.denver7.com/news/crime/armed-man-dies-in-shooting-involving-denver-police-and-dps-officers-monday-night</v>
      </c>
      <c r="L55" s="8">
        <f ca="1">IFERROR(__xludf.DUMMYFUNCTION("""COMPUTED_VALUE"""),4)</f>
        <v>4</v>
      </c>
      <c r="M55" s="8" t="str">
        <f ca="1">IFERROR(__xludf.DUMMYFUNCTION("""COMPUTED_VALUE"""),"Local")</f>
        <v>Local</v>
      </c>
      <c r="N55" s="8">
        <f ca="1">IFERROR(__xludf.DUMMYFUNCTION("""COMPUTED_VALUE"""),4)</f>
        <v>4</v>
      </c>
      <c r="O55" s="8" t="str">
        <f ca="1">IFERROR(__xludf.DUMMYFUNCTION("""COMPUTED_VALUE"""),"Summer")</f>
        <v>Summer</v>
      </c>
      <c r="P55" s="8" t="str">
        <f ca="1">IFERROR(__xludf.DUMMYFUNCTION("""COMPUTED_VALUE"""),"Denver")</f>
        <v>Denver</v>
      </c>
      <c r="Q55" s="8" t="str">
        <f ca="1">IFERROR(__xludf.DUMMYFUNCTION("""COMPUTED_VALUE"""),"CO")</f>
        <v>CO</v>
      </c>
      <c r="R55" s="8" t="str">
        <f ca="1">IFERROR(__xludf.DUMMYFUNCTION("""COMPUTED_VALUE"""),"Middle")</f>
        <v>Middle</v>
      </c>
      <c r="S55" s="8" t="str">
        <f ca="1">IFERROR(__xludf.DUMMYFUNCTION("""COMPUTED_VALUE"""),"Parking Lot")</f>
        <v>Parking Lot</v>
      </c>
      <c r="T55" s="8" t="str">
        <f ca="1">IFERROR(__xludf.DUMMYFUNCTION("""COMPUTED_VALUE"""),"Outside on School Property")</f>
        <v>Outside on School Property</v>
      </c>
      <c r="U55" s="8" t="str">
        <f ca="1">IFERROR(__xludf.DUMMYFUNCTION("""COMPUTED_VALUE"""),"No")</f>
        <v>No</v>
      </c>
      <c r="V55" s="8" t="str">
        <f ca="1">IFERROR(__xludf.DUMMYFUNCTION("""COMPUTED_VALUE"""),"Night")</f>
        <v>Night</v>
      </c>
      <c r="W55" s="11">
        <f ca="1">IFERROR(__xludf.DUMMYFUNCTION("""COMPUTED_VALUE"""),0.9375)</f>
        <v>0.9375</v>
      </c>
      <c r="X55" s="8">
        <f ca="1">IFERROR(__xludf.DUMMYFUNCTION("""COMPUTED_VALUE"""),1)</f>
        <v>1</v>
      </c>
      <c r="Y55" s="12" t="str">
        <f ca="1">IFERROR(__xludf.DUMMYFUNCTION("""COMPUTED_VALUE"""),"Man fled from police, fired shots at officer, and was fatally shot by officers in the school parking lot")</f>
        <v>Man fled from police, fired shots at officer, and was fatally shot by officers in the school parking lot</v>
      </c>
      <c r="Z55" s="12" t="str">
        <f ca="1">IFERROR(__xludf.DUMMYFUNCTION("""COMPUTED_VALUE"""),"Around 10:30 p.m. Monday, two Denver police officers and a DPS safety officer responded to a report of a man and woman standing in front of Kepner Beacon Middle School. While Denver police were looking into if the man or woman had any outstanding warrants"&amp;" for their arrests, the man asked if he could leave. Officers said no, and that's when DPD said he ran off. As officers chased after him, they instructed the man to drop the weapon. He did not and shot a gun at officers. When the two DPD offices and DPS s"&amp;"afety officer shot back, they hit the man. He was taken to Denver Health Medical Center &amp; Hospital where he later died from his injuries. No officers were injured.")</f>
        <v>Around 10:30 p.m. Monday, two Denver police officers and a DPS safety officer responded to a report of a man and woman standing in front of Kepner Beacon Middle School. While Denver police were looking into if the man or woman had any outstanding warrants for their arrests, the man asked if he could leave. Officers said no, and that's when DPD said he ran off. As officers chased after him, they instructed the man to drop the weapon. He did not and shot a gun at officers. When the two DPD offices and DPS safety officer shot back, they hit the man. He was taken to Denver Health Medical Center &amp; Hospital where he later died from his injuries. No officers were injured.</v>
      </c>
      <c r="AA55" s="8" t="str">
        <f ca="1">IFERROR(__xludf.DUMMYFUNCTION("""COMPUTED_VALUE"""),"Illegal Activity")</f>
        <v>Illegal Activity</v>
      </c>
      <c r="AB55" s="8" t="str">
        <f ca="1">IFERROR(__xludf.DUMMYFUNCTION("""COMPUTED_VALUE"""),"Spontaneous")</f>
        <v>Spontaneous</v>
      </c>
      <c r="AC55" s="8" t="str">
        <f ca="1">IFERROR(__xludf.DUMMYFUNCTION("""COMPUTED_VALUE"""),"No")</f>
        <v>No</v>
      </c>
      <c r="AD55" s="8" t="str">
        <f ca="1">IFERROR(__xludf.DUMMYFUNCTION("""COMPUTED_VALUE"""),"Random Shooting")</f>
        <v>Random Shooting</v>
      </c>
      <c r="AE55" s="8" t="str">
        <f ca="1">IFERROR(__xludf.DUMMYFUNCTION("""COMPUTED_VALUE"""),"Yes")</f>
        <v>Yes</v>
      </c>
      <c r="AF55" s="8" t="str">
        <f ca="1">IFERROR(__xludf.DUMMYFUNCTION("""COMPUTED_VALUE"""),"Man and woman fled")</f>
        <v>Man and woman fled</v>
      </c>
      <c r="AG55" s="8" t="str">
        <f ca="1">IFERROR(__xludf.DUMMYFUNCTION("""COMPUTED_VALUE"""),"No")</f>
        <v>No</v>
      </c>
      <c r="AH55" s="8" t="str">
        <f ca="1">IFERROR(__xludf.DUMMYFUNCTION("""COMPUTED_VALUE"""),"No")</f>
        <v>No</v>
      </c>
      <c r="AI55" s="8" t="str">
        <f ca="1">IFERROR(__xludf.DUMMYFUNCTION("""COMPUTED_VALUE"""),"Yes")</f>
        <v>Yes</v>
      </c>
      <c r="AJ55" s="8" t="str">
        <f ca="1">IFERROR(__xludf.DUMMYFUNCTION("""COMPUTED_VALUE"""),"No")</f>
        <v>No</v>
      </c>
      <c r="AK55" s="8" t="str">
        <f ca="1">IFERROR(__xludf.DUMMYFUNCTION("""COMPUTED_VALUE"""),"No")</f>
        <v>No</v>
      </c>
      <c r="AL55" s="8" t="str">
        <f ca="1">IFERROR(__xludf.DUMMYFUNCTION("""COMPUTED_VALUE"""),"No")</f>
        <v>No</v>
      </c>
      <c r="AM55" s="8" t="str">
        <f ca="1">IFERROR(__xludf.DUMMYFUNCTION("""COMPUTED_VALUE"""),"No")</f>
        <v>No</v>
      </c>
      <c r="AN55" s="8" t="str">
        <f ca="1">IFERROR(__xludf.DUMMYFUNCTION("""COMPUTED_VALUE"""),"Outside")</f>
        <v>Outside</v>
      </c>
      <c r="AO55" s="8" t="str">
        <f ca="1">IFERROR(__xludf.DUMMYFUNCTION("""COMPUTED_VALUE"""),"No")</f>
        <v>No</v>
      </c>
      <c r="AP55" s="8" t="str">
        <f ca="1">IFERROR(__xludf.DUMMYFUNCTION("""COMPUTED_VALUE"""),"Yes")</f>
        <v>Yes</v>
      </c>
      <c r="AQ55" s="8" t="str">
        <f ca="1">IFERROR(__xludf.DUMMYFUNCTION("""COMPUTED_VALUE"""),"Armed Guards")</f>
        <v>Armed Guards</v>
      </c>
      <c r="AR55" s="8" t="str">
        <f ca="1">IFERROR(__xludf.DUMMYFUNCTION("""COMPUTED_VALUE"""),"Outside/Off-Property")</f>
        <v>Outside/Off-Property</v>
      </c>
      <c r="AS55" s="8">
        <f ca="1">IFERROR(__xludf.DUMMYFUNCTION("""COMPUTED_VALUE"""),99)</f>
        <v>99</v>
      </c>
      <c r="AT55" s="8" t="str">
        <f ca="1">IFERROR(__xludf.DUMMYFUNCTION("""COMPUTED_VALUE"""),"No")</f>
        <v>No</v>
      </c>
      <c r="AU55" s="8">
        <f ca="1">IFERROR(__xludf.DUMMYFUNCTION("""COMPUTED_VALUE"""),39.699528)</f>
        <v>39.699528000000001</v>
      </c>
      <c r="AV55" s="8">
        <f ca="1">IFERROR(__xludf.DUMMYFUNCTION("""COMPUTED_VALUE"""),-105.029266)</f>
        <v>-105.02926600000001</v>
      </c>
      <c r="AW55" s="8" t="str">
        <f ca="1">IFERROR(__xludf.DUMMYFUNCTION("""COMPUTED_VALUE"""),"Multiple attached buildings")</f>
        <v>Multiple attached buildings</v>
      </c>
      <c r="AX55" s="8">
        <f ca="1">IFERROR(__xludf.DUMMYFUNCTION("""COMPUTED_VALUE"""),80219)</f>
        <v>80219</v>
      </c>
    </row>
    <row r="56" spans="1:50" ht="240" x14ac:dyDescent="0.2">
      <c r="A56" s="8" t="str">
        <f ca="1">IFERROR(__xludf.DUMMYFUNCTION("""COMPUTED_VALUE"""),"20250618CAEIR")</f>
        <v>20250618CAEIR</v>
      </c>
      <c r="B56" s="8">
        <f ca="1">IFERROR(__xludf.DUMMYFUNCTION("""COMPUTED_VALUE"""),6)</f>
        <v>6</v>
      </c>
      <c r="C56" s="8">
        <f ca="1">IFERROR(__xludf.DUMMYFUNCTION("""COMPUTED_VALUE"""),18)</f>
        <v>18</v>
      </c>
      <c r="D56" s="8">
        <f ca="1">IFERROR(__xludf.DUMMYFUNCTION("""COMPUTED_VALUE"""),2025)</f>
        <v>2025</v>
      </c>
      <c r="E56" s="9">
        <f ca="1">IFERROR(__xludf.DUMMYFUNCTION("""COMPUTED_VALUE"""),45826)</f>
        <v>45826</v>
      </c>
      <c r="F56" s="8" t="str">
        <f ca="1">IFERROR(__xludf.DUMMYFUNCTION("""COMPUTED_VALUE"""),"Eisenhower High School")</f>
        <v>Eisenhower High School</v>
      </c>
      <c r="G56" s="8">
        <f ca="1">IFERROR(__xludf.DUMMYFUNCTION("""COMPUTED_VALUE"""),0)</f>
        <v>0</v>
      </c>
      <c r="H56" s="8">
        <f ca="1">IFERROR(__xludf.DUMMYFUNCTION("""COMPUTED_VALUE"""),1)</f>
        <v>1</v>
      </c>
      <c r="I56" s="8">
        <f ca="1">IFERROR(__xludf.DUMMYFUNCTION("""COMPUTED_VALUE"""),1)</f>
        <v>1</v>
      </c>
      <c r="J56" s="8">
        <f ca="1">IFERROR(__xludf.DUMMYFUNCTION("""COMPUTED_VALUE"""),0)</f>
        <v>0</v>
      </c>
      <c r="K56" s="10" t="str">
        <f ca="1">IFERROR(__xludf.DUMMYFUNCTION("""COMPUTED_VALUE"""),"https://ktla.com/news/local-news/juvenile-shot-during-fight-with-15-20-people-rialto-school-briefly-locks-down/")</f>
        <v>https://ktla.com/news/local-news/juvenile-shot-during-fight-with-15-20-people-rialto-school-briefly-locks-down/</v>
      </c>
      <c r="L56" s="8">
        <f ca="1">IFERROR(__xludf.DUMMYFUNCTION("""COMPUTED_VALUE"""),1)</f>
        <v>1</v>
      </c>
      <c r="M56" s="8" t="str">
        <f ca="1">IFERROR(__xludf.DUMMYFUNCTION("""COMPUTED_VALUE"""),"Local")</f>
        <v>Local</v>
      </c>
      <c r="N56" s="8">
        <f ca="1">IFERROR(__xludf.DUMMYFUNCTION("""COMPUTED_VALUE"""),3)</f>
        <v>3</v>
      </c>
      <c r="O56" s="8" t="str">
        <f ca="1">IFERROR(__xludf.DUMMYFUNCTION("""COMPUTED_VALUE"""),"Summer")</f>
        <v>Summer</v>
      </c>
      <c r="P56" s="8" t="str">
        <f ca="1">IFERROR(__xludf.DUMMYFUNCTION("""COMPUTED_VALUE"""),"Rialto")</f>
        <v>Rialto</v>
      </c>
      <c r="Q56" s="8" t="str">
        <f ca="1">IFERROR(__xludf.DUMMYFUNCTION("""COMPUTED_VALUE"""),"CA")</f>
        <v>CA</v>
      </c>
      <c r="R56" s="8" t="str">
        <f ca="1">IFERROR(__xludf.DUMMYFUNCTION("""COMPUTED_VALUE"""),"High")</f>
        <v>High</v>
      </c>
      <c r="S56" s="8" t="str">
        <f ca="1">IFERROR(__xludf.DUMMYFUNCTION("""COMPUTED_VALUE"""),"Parking Lot")</f>
        <v>Parking Lot</v>
      </c>
      <c r="T56" s="8" t="str">
        <f ca="1">IFERROR(__xludf.DUMMYFUNCTION("""COMPUTED_VALUE"""),"Outside on School Property")</f>
        <v>Outside on School Property</v>
      </c>
      <c r="U56" s="8" t="str">
        <f ca="1">IFERROR(__xludf.DUMMYFUNCTION("""COMPUTED_VALUE"""),"Yes")</f>
        <v>Yes</v>
      </c>
      <c r="V56" s="8" t="str">
        <f ca="1">IFERROR(__xludf.DUMMYFUNCTION("""COMPUTED_VALUE"""),"Afternoon Classes")</f>
        <v>Afternoon Classes</v>
      </c>
      <c r="W56" s="11">
        <f ca="1">IFERROR(__xludf.DUMMYFUNCTION("""COMPUTED_VALUE"""),0.635416666666666)</f>
        <v>0.63541666666666596</v>
      </c>
      <c r="X56" s="8">
        <f ca="1">IFERROR(__xludf.DUMMYFUNCTION("""COMPUTED_VALUE"""),1)</f>
        <v>1</v>
      </c>
      <c r="Y56" s="12" t="str">
        <f ca="1">IFERROR(__xludf.DUMMYFUNCTION("""COMPUTED_VALUE"""),"Teen shot in the school parking lot during large fight")</f>
        <v>Teen shot in the school parking lot during large fight</v>
      </c>
      <c r="Z56" s="12" t="str">
        <f ca="1">IFERROR(__xludf.DUMMYFUNCTION("""COMPUTED_VALUE"""),"A juvenile was shot during a large brawl that broke out near a high school in San Bernardino County on Wednesday afternoon, causing the school to go on temporary lockdown, police say. A call came in to the Rialto Police Department at 3:15 p.m. reporting a"&amp;" fight between 15 to 20 people. “We were informed by Rialto police about a shooting that occurred near Eisenhower High School’s parking lot,” the Rialto Unified School District said in a statement to KTLA. “The District’s schools are on summer break. Howe"&amp;"ver, the school was put on a precautionary lockdown which was lifted shortly after authorities deemed the campus safe.” Police said that a juvenile pulled out a gun during the fight, started shooting and struck another person at least once. Someone else a"&amp;"t the scene then drove the victim to the local high school’s parking lot, where police and paramedics responded and began treatment.")</f>
        <v>A juvenile was shot during a large brawl that broke out near a high school in San Bernardino County on Wednesday afternoon, causing the school to go on temporary lockdown, police say. A call came in to the Rialto Police Department at 3:15 p.m. reporting a fight between 15 to 20 people. “We were informed by Rialto police about a shooting that occurred near Eisenhower High School’s parking lot,” the Rialto Unified School District said in a statement to KTLA. “The District’s schools are on summer break. However, the school was put on a precautionary lockdown which was lifted shortly after authorities deemed the campus safe.” Police said that a juvenile pulled out a gun during the fight, started shooting and struck another person at least once. Someone else at the scene then drove the victim to the local high school’s parking lot, where police and paramedics responded and began treatment.</v>
      </c>
      <c r="AA56" s="8" t="str">
        <f ca="1">IFERROR(__xludf.DUMMYFUNCTION("""COMPUTED_VALUE"""),"Escalation of Dispute")</f>
        <v>Escalation of Dispute</v>
      </c>
      <c r="AB56" s="8" t="str">
        <f ca="1">IFERROR(__xludf.DUMMYFUNCTION("""COMPUTED_VALUE"""),"Spontaneous")</f>
        <v>Spontaneous</v>
      </c>
      <c r="AC56" s="8" t="str">
        <f ca="1">IFERROR(__xludf.DUMMYFUNCTION("""COMPUTED_VALUE"""),"Yes")</f>
        <v>Yes</v>
      </c>
      <c r="AD56" s="8" t="str">
        <f ca="1">IFERROR(__xludf.DUMMYFUNCTION("""COMPUTED_VALUE"""),"Victims Targeted")</f>
        <v>Victims Targeted</v>
      </c>
      <c r="AE56" s="8"/>
      <c r="AF56" s="8"/>
      <c r="AG56" s="8" t="str">
        <f ca="1">IFERROR(__xludf.DUMMYFUNCTION("""COMPUTED_VALUE"""),"No")</f>
        <v>No</v>
      </c>
      <c r="AH56" s="8" t="str">
        <f ca="1">IFERROR(__xludf.DUMMYFUNCTION("""COMPUTED_VALUE"""),"No")</f>
        <v>No</v>
      </c>
      <c r="AI56" s="8" t="str">
        <f ca="1">IFERROR(__xludf.DUMMYFUNCTION("""COMPUTED_VALUE"""),"No")</f>
        <v>No</v>
      </c>
      <c r="AJ56" s="8" t="str">
        <f ca="1">IFERROR(__xludf.DUMMYFUNCTION("""COMPUTED_VALUE"""),"No")</f>
        <v>No</v>
      </c>
      <c r="AK56" s="8" t="str">
        <f ca="1">IFERROR(__xludf.DUMMYFUNCTION("""COMPUTED_VALUE"""),"No")</f>
        <v>No</v>
      </c>
      <c r="AL56" s="8"/>
      <c r="AM56" s="8" t="str">
        <f ca="1">IFERROR(__xludf.DUMMYFUNCTION("""COMPUTED_VALUE"""),"No")</f>
        <v>No</v>
      </c>
      <c r="AN56" s="8" t="str">
        <f ca="1">IFERROR(__xludf.DUMMYFUNCTION("""COMPUTED_VALUE"""),"Outside")</f>
        <v>Outside</v>
      </c>
      <c r="AO56" s="8" t="str">
        <f ca="1">IFERROR(__xludf.DUMMYFUNCTION("""COMPUTED_VALUE"""),"No")</f>
        <v>No</v>
      </c>
      <c r="AP56" s="8"/>
      <c r="AQ56" s="8"/>
      <c r="AR56" s="8" t="str">
        <f ca="1">IFERROR(__xludf.DUMMYFUNCTION("""COMPUTED_VALUE"""),"Outside/Off-Property")</f>
        <v>Outside/Off-Property</v>
      </c>
      <c r="AS56" s="8">
        <f ca="1">IFERROR(__xludf.DUMMYFUNCTION("""COMPUTED_VALUE"""),99)</f>
        <v>99</v>
      </c>
      <c r="AT56" s="8" t="str">
        <f ca="1">IFERROR(__xludf.DUMMYFUNCTION("""COMPUTED_VALUE"""),"Yes")</f>
        <v>Yes</v>
      </c>
      <c r="AU56" s="8">
        <f ca="1">IFERROR(__xludf.DUMMYFUNCTION("""COMPUTED_VALUE"""),34.122687)</f>
        <v>34.122686999999999</v>
      </c>
      <c r="AV56" s="8">
        <f ca="1">IFERROR(__xludf.DUMMYFUNCTION("""COMPUTED_VALUE"""),-117.376546)</f>
        <v>-117.376546</v>
      </c>
      <c r="AW56" s="8" t="str">
        <f ca="1">IFERROR(__xludf.DUMMYFUNCTION("""COMPUTED_VALUE"""),"Multiple detached buildings")</f>
        <v>Multiple detached buildings</v>
      </c>
      <c r="AX56" s="8">
        <f ca="1">IFERROR(__xludf.DUMMYFUNCTION("""COMPUTED_VALUE"""),92376)</f>
        <v>92376</v>
      </c>
    </row>
    <row r="57" spans="1:50" ht="210" x14ac:dyDescent="0.2">
      <c r="A57" s="8" t="str">
        <f ca="1">IFERROR(__xludf.DUMMYFUNCTION("""COMPUTED_VALUE"""),"20250617WALIT")</f>
        <v>20250617WALIT</v>
      </c>
      <c r="B57" s="8">
        <f ca="1">IFERROR(__xludf.DUMMYFUNCTION("""COMPUTED_VALUE"""),6)</f>
        <v>6</v>
      </c>
      <c r="C57" s="8">
        <f ca="1">IFERROR(__xludf.DUMMYFUNCTION("""COMPUTED_VALUE"""),17)</f>
        <v>17</v>
      </c>
      <c r="D57" s="8">
        <f ca="1">IFERROR(__xludf.DUMMYFUNCTION("""COMPUTED_VALUE"""),2025)</f>
        <v>2025</v>
      </c>
      <c r="E57" s="9">
        <f ca="1">IFERROR(__xludf.DUMMYFUNCTION("""COMPUTED_VALUE"""),45825)</f>
        <v>45825</v>
      </c>
      <c r="F57" s="8" t="str">
        <f ca="1">IFERROR(__xludf.DUMMYFUNCTION("""COMPUTED_VALUE"""),"Lincoln High School")</f>
        <v>Lincoln High School</v>
      </c>
      <c r="G57" s="8">
        <f ca="1">IFERROR(__xludf.DUMMYFUNCTION("""COMPUTED_VALUE"""),0)</f>
        <v>0</v>
      </c>
      <c r="H57" s="8">
        <f ca="1">IFERROR(__xludf.DUMMYFUNCTION("""COMPUTED_VALUE"""),1)</f>
        <v>1</v>
      </c>
      <c r="I57" s="8">
        <f ca="1">IFERROR(__xludf.DUMMYFUNCTION("""COMPUTED_VALUE"""),1)</f>
        <v>1</v>
      </c>
      <c r="J57" s="8">
        <f ca="1">IFERROR(__xludf.DUMMYFUNCTION("""COMPUTED_VALUE"""),0)</f>
        <v>0</v>
      </c>
      <c r="K57" s="8" t="str">
        <f ca="1">IFERROR(__xludf.DUMMYFUNCTION("""COMPUTED_VALUE"""),"https://www.kiro7.com/news/local/police-say-teen-shot-outside-lincoln-high-school-isnt-student/YXZN72UZ2VFUJCHBP3GILXCPF4/
https://www.seattletimes.com/seattle-news/law-justice/boy-shot-outside-lincoln-high-in-tacoma-shooter-at-large/
https://mynorthwest."&amp;"com/crime_blotter/lincoln-high-school/4100621
https://komonews.com/news/local/shooting-near-lincoln-high-school-tacoma-police-department-tpd-description-investigation-pierce-county-crime-lhs-joshua-garcia-superintendent-injuries")</f>
        <v>https://www.kiro7.com/news/local/police-say-teen-shot-outside-lincoln-high-school-isnt-student/YXZN72UZ2VFUJCHBP3GILXCPF4/
https://www.seattletimes.com/seattle-news/law-justice/boy-shot-outside-lincoln-high-in-tacoma-shooter-at-large/
https://mynorthwest.com/crime_blotter/lincoln-high-school/4100621
https://komonews.com/news/local/shooting-near-lincoln-high-school-tacoma-police-department-tpd-description-investigation-pierce-county-crime-lhs-joshua-garcia-superintendent-injuries</v>
      </c>
      <c r="L57" s="8">
        <f ca="1">IFERROR(__xludf.DUMMYFUNCTION("""COMPUTED_VALUE"""),20)</f>
        <v>20</v>
      </c>
      <c r="M57" s="8" t="str">
        <f ca="1">IFERROR(__xludf.DUMMYFUNCTION("""COMPUTED_VALUE"""),"Regional")</f>
        <v>Regional</v>
      </c>
      <c r="N57" s="8">
        <f ca="1">IFERROR(__xludf.DUMMYFUNCTION("""COMPUTED_VALUE"""),4)</f>
        <v>4</v>
      </c>
      <c r="O57" s="8" t="str">
        <f ca="1">IFERROR(__xludf.DUMMYFUNCTION("""COMPUTED_VALUE"""),"Summer")</f>
        <v>Summer</v>
      </c>
      <c r="P57" s="8" t="str">
        <f ca="1">IFERROR(__xludf.DUMMYFUNCTION("""COMPUTED_VALUE"""),"Tacoma")</f>
        <v>Tacoma</v>
      </c>
      <c r="Q57" s="8" t="str">
        <f ca="1">IFERROR(__xludf.DUMMYFUNCTION("""COMPUTED_VALUE"""),"WA")</f>
        <v>WA</v>
      </c>
      <c r="R57" s="8" t="str">
        <f ca="1">IFERROR(__xludf.DUMMYFUNCTION("""COMPUTED_VALUE"""),"High")</f>
        <v>High</v>
      </c>
      <c r="S57" s="8" t="str">
        <f ca="1">IFERROR(__xludf.DUMMYFUNCTION("""COMPUTED_VALUE"""),"Front of School")</f>
        <v>Front of School</v>
      </c>
      <c r="T57" s="8" t="str">
        <f ca="1">IFERROR(__xludf.DUMMYFUNCTION("""COMPUTED_VALUE"""),"Outside on School Property")</f>
        <v>Outside on School Property</v>
      </c>
      <c r="U57" s="8" t="str">
        <f ca="1">IFERROR(__xludf.DUMMYFUNCTION("""COMPUTED_VALUE"""),"Yes")</f>
        <v>Yes</v>
      </c>
      <c r="V57" s="8" t="str">
        <f ca="1">IFERROR(__xludf.DUMMYFUNCTION("""COMPUTED_VALUE"""),"Dismissal")</f>
        <v>Dismissal</v>
      </c>
      <c r="W57" s="11">
        <f ca="1">IFERROR(__xludf.DUMMYFUNCTION("""COMPUTED_VALUE"""),0.617361111111111)</f>
        <v>0.61736111111111103</v>
      </c>
      <c r="X57" s="8">
        <f ca="1">IFERROR(__xludf.DUMMYFUNCTION("""COMPUTED_VALUE"""),1)</f>
        <v>1</v>
      </c>
      <c r="Y57" s="12" t="str">
        <f ca="1">IFERROR(__xludf.DUMMYFUNCTION("""COMPUTED_VALUE"""),"Student shot outside the school at dismissal")</f>
        <v>Student shot outside the school at dismissal</v>
      </c>
      <c r="Z57" s="12" t="str">
        <f ca="1">IFERROR(__xludf.DUMMYFUNCTION("""COMPUTED_VALUE"""),"According to Tacoma Police Department Sgt. John Correa, a staff member at the school called 911 around 2:49 p.m. to report that gunshots were heard in the area. Correa said the staff member did not hear the gunshots, but was advised that someone heard the"&amp;" shots and then called 911. Shortly after, a nearby business called Tacoma police to report “a juvenile victim” had shown up with gunshot wounds, Correa told KOMO News. The shooting happened in front of the school on South 37th Street. Responding officers"&amp;" located the victim on South G Street, which is just around the corner. The boy suffered what Tacoma police described as ""non-life-threatening injuries"" and was taken to a local hospital. Students still inside the school went on lockdown for 2 hours.")</f>
        <v>According to Tacoma Police Department Sgt. John Correa, a staff member at the school called 911 around 2:49 p.m. to report that gunshots were heard in the area. Correa said the staff member did not hear the gunshots, but was advised that someone heard the shots and then called 911. Shortly after, a nearby business called Tacoma police to report “a juvenile victim” had shown up with gunshot wounds, Correa told KOMO News. The shooting happened in front of the school on South 37th Street. Responding officers located the victim on South G Street, which is just around the corner. The boy suffered what Tacoma police described as "non-life-threatening injuries" and was taken to a local hospital. Students still inside the school went on lockdown for 2 hours.</v>
      </c>
      <c r="AA57" s="8"/>
      <c r="AB57" s="8"/>
      <c r="AC57" s="8" t="str">
        <f ca="1">IFERROR(__xludf.DUMMYFUNCTION("""COMPUTED_VALUE"""),"Yes")</f>
        <v>Yes</v>
      </c>
      <c r="AD57" s="8"/>
      <c r="AE57" s="8"/>
      <c r="AF57" s="8"/>
      <c r="AG57" s="8" t="str">
        <f ca="1">IFERROR(__xludf.DUMMYFUNCTION("""COMPUTED_VALUE"""),"No")</f>
        <v>No</v>
      </c>
      <c r="AH57" s="8" t="str">
        <f ca="1">IFERROR(__xludf.DUMMYFUNCTION("""COMPUTED_VALUE"""),"No")</f>
        <v>No</v>
      </c>
      <c r="AI57" s="8" t="str">
        <f ca="1">IFERROR(__xludf.DUMMYFUNCTION("""COMPUTED_VALUE"""),"No")</f>
        <v>No</v>
      </c>
      <c r="AJ57" s="8"/>
      <c r="AK57" s="8" t="str">
        <f ca="1">IFERROR(__xludf.DUMMYFUNCTION("""COMPUTED_VALUE"""),"No")</f>
        <v>No</v>
      </c>
      <c r="AL57" s="8"/>
      <c r="AM57" s="8" t="str">
        <f ca="1">IFERROR(__xludf.DUMMYFUNCTION("""COMPUTED_VALUE"""),"No")</f>
        <v>No</v>
      </c>
      <c r="AN57" s="8" t="str">
        <f ca="1">IFERROR(__xludf.DUMMYFUNCTION("""COMPUTED_VALUE"""),"Outside")</f>
        <v>Outside</v>
      </c>
      <c r="AO57" s="8" t="str">
        <f ca="1">IFERROR(__xludf.DUMMYFUNCTION("""COMPUTED_VALUE"""),"No")</f>
        <v>No</v>
      </c>
      <c r="AP57" s="8"/>
      <c r="AQ57" s="8"/>
      <c r="AR57" s="8" t="str">
        <f ca="1">IFERROR(__xludf.DUMMYFUNCTION("""COMPUTED_VALUE"""),"Outside/Off-Property")</f>
        <v>Outside/Off-Property</v>
      </c>
      <c r="AS57" s="8">
        <f ca="1">IFERROR(__xludf.DUMMYFUNCTION("""COMPUTED_VALUE"""),99)</f>
        <v>99</v>
      </c>
      <c r="AT57" s="8" t="str">
        <f ca="1">IFERROR(__xludf.DUMMYFUNCTION("""COMPUTED_VALUE"""),"Yes")</f>
        <v>Yes</v>
      </c>
      <c r="AU57" s="8">
        <f ca="1">IFERROR(__xludf.DUMMYFUNCTION("""COMPUTED_VALUE"""),47.224852)</f>
        <v>47.224851999999998</v>
      </c>
      <c r="AV57" s="8">
        <f ca="1">IFERROR(__xludf.DUMMYFUNCTION("""COMPUTED_VALUE"""),-122.441313)</f>
        <v>-122.44131299999999</v>
      </c>
      <c r="AW57" s="8" t="str">
        <f ca="1">IFERROR(__xludf.DUMMYFUNCTION("""COMPUTED_VALUE"""),"Multiple attached buildings")</f>
        <v>Multiple attached buildings</v>
      </c>
      <c r="AX57" s="8">
        <f ca="1">IFERROR(__xludf.DUMMYFUNCTION("""COMPUTED_VALUE"""),98418)</f>
        <v>98418</v>
      </c>
    </row>
    <row r="58" spans="1:50" ht="135" x14ac:dyDescent="0.2">
      <c r="A58" s="8" t="str">
        <f ca="1">IFERROR(__xludf.DUMMYFUNCTION("""COMPUTED_VALUE"""),"20250616NJUNS")</f>
        <v>20250616NJUNS</v>
      </c>
      <c r="B58" s="8">
        <f ca="1">IFERROR(__xludf.DUMMYFUNCTION("""COMPUTED_VALUE"""),6)</f>
        <v>6</v>
      </c>
      <c r="C58" s="8">
        <f ca="1">IFERROR(__xludf.DUMMYFUNCTION("""COMPUTED_VALUE"""),16)</f>
        <v>16</v>
      </c>
      <c r="D58" s="8">
        <f ca="1">IFERROR(__xludf.DUMMYFUNCTION("""COMPUTED_VALUE"""),2025)</f>
        <v>2025</v>
      </c>
      <c r="E58" s="9">
        <f ca="1">IFERROR(__xludf.DUMMYFUNCTION("""COMPUTED_VALUE"""),45824)</f>
        <v>45824</v>
      </c>
      <c r="F58" s="8" t="str">
        <f ca="1">IFERROR(__xludf.DUMMYFUNCTION("""COMPUTED_VALUE"""),"Union County Vocational Technical High School")</f>
        <v>Union County Vocational Technical High School</v>
      </c>
      <c r="G58" s="8">
        <f ca="1">IFERROR(__xludf.DUMMYFUNCTION("""COMPUTED_VALUE"""),0)</f>
        <v>0</v>
      </c>
      <c r="H58" s="8">
        <f ca="1">IFERROR(__xludf.DUMMYFUNCTION("""COMPUTED_VALUE"""),1)</f>
        <v>1</v>
      </c>
      <c r="I58" s="8">
        <f ca="1">IFERROR(__xludf.DUMMYFUNCTION("""COMPUTED_VALUE"""),1)</f>
        <v>1</v>
      </c>
      <c r="J58" s="8">
        <f ca="1">IFERROR(__xludf.DUMMYFUNCTION("""COMPUTED_VALUE"""),0)</f>
        <v>0</v>
      </c>
      <c r="K58" s="10" t="str">
        <f ca="1">IFERROR(__xludf.DUMMYFUNCTION("""COMPUTED_VALUE"""),"https://www.nj.com/union/2025/06/high-school-teacher-shot-with-paintball-gun-while-pulling-out-of-parking-lot-cops-say.html")</f>
        <v>https://www.nj.com/union/2025/06/high-school-teacher-shot-with-paintball-gun-while-pulling-out-of-parking-lot-cops-say.html</v>
      </c>
      <c r="L58" s="8">
        <f ca="1">IFERROR(__xludf.DUMMYFUNCTION("""COMPUTED_VALUE"""),1)</f>
        <v>1</v>
      </c>
      <c r="M58" s="8" t="str">
        <f ca="1">IFERROR(__xludf.DUMMYFUNCTION("""COMPUTED_VALUE"""),"Local")</f>
        <v>Local</v>
      </c>
      <c r="N58" s="8">
        <f ca="1">IFERROR(__xludf.DUMMYFUNCTION("""COMPUTED_VALUE"""),4)</f>
        <v>4</v>
      </c>
      <c r="O58" s="8" t="str">
        <f ca="1">IFERROR(__xludf.DUMMYFUNCTION("""COMPUTED_VALUE"""),"Summer")</f>
        <v>Summer</v>
      </c>
      <c r="P58" s="8" t="str">
        <f ca="1">IFERROR(__xludf.DUMMYFUNCTION("""COMPUTED_VALUE"""),"Scotch Plains")</f>
        <v>Scotch Plains</v>
      </c>
      <c r="Q58" s="8" t="str">
        <f ca="1">IFERROR(__xludf.DUMMYFUNCTION("""COMPUTED_VALUE"""),"NJ")</f>
        <v>NJ</v>
      </c>
      <c r="R58" s="8" t="str">
        <f ca="1">IFERROR(__xludf.DUMMYFUNCTION("""COMPUTED_VALUE"""),"High")</f>
        <v>High</v>
      </c>
      <c r="S58" s="8" t="str">
        <f ca="1">IFERROR(__xludf.DUMMYFUNCTION("""COMPUTED_VALUE"""),"Parking Lot")</f>
        <v>Parking Lot</v>
      </c>
      <c r="T58" s="8" t="str">
        <f ca="1">IFERROR(__xludf.DUMMYFUNCTION("""COMPUTED_VALUE"""),"Outside on School Property")</f>
        <v>Outside on School Property</v>
      </c>
      <c r="U58" s="8" t="str">
        <f ca="1">IFERROR(__xludf.DUMMYFUNCTION("""COMPUTED_VALUE"""),"No")</f>
        <v>No</v>
      </c>
      <c r="V58" s="8" t="str">
        <f ca="1">IFERROR(__xludf.DUMMYFUNCTION("""COMPUTED_VALUE"""),"After School")</f>
        <v>After School</v>
      </c>
      <c r="W58" s="11">
        <f ca="1">IFERROR(__xludf.DUMMYFUNCTION("""COMPUTED_VALUE"""),0.729166666666666)</f>
        <v>0.72916666666666596</v>
      </c>
      <c r="X58" s="8">
        <f ca="1">IFERROR(__xludf.DUMMYFUNCTION("""COMPUTED_VALUE"""),1)</f>
        <v>1</v>
      </c>
      <c r="Y58" s="12" t="str">
        <f ca="1">IFERROR(__xludf.DUMMYFUNCTION("""COMPUTED_VALUE"""),"Teacher was shot by paintballs in the school parking lot")</f>
        <v>Teacher was shot by paintballs in the school parking lot</v>
      </c>
      <c r="Z58" s="12" t="str">
        <f ca="1">IFERROR(__xludf.DUMMYFUNCTION("""COMPUTED_VALUE"""),"A New Jersey teacher pulling out of a high school parking lot was struck with a round fired from a paintball gun last week, authorities said. The teacher was hit in the arm around 5:30 p.m. on June 16 as she left Union County Vocational Technical High Sch"&amp;"ool in Scotch Plains in her vehicle, township police said. She suffered pain and bruising but no serious injuries, and reported the incident the next morning. Police are not sure if the shot was fired by someone in a moving vehicle or on foot.")</f>
        <v>A New Jersey teacher pulling out of a high school parking lot was struck with a round fired from a paintball gun last week, authorities said. The teacher was hit in the arm around 5:30 p.m. on June 16 as she left Union County Vocational Technical High School in Scotch Plains in her vehicle, township police said. She suffered pain and bruising but no serious injuries, and reported the incident the next morning. Police are not sure if the shot was fired by someone in a moving vehicle or on foot.</v>
      </c>
      <c r="AA58" s="8"/>
      <c r="AB58" s="8"/>
      <c r="AC58" s="8" t="str">
        <f ca="1">IFERROR(__xludf.DUMMYFUNCTION("""COMPUTED_VALUE"""),"Yes")</f>
        <v>Yes</v>
      </c>
      <c r="AD58" s="8" t="str">
        <f ca="1">IFERROR(__xludf.DUMMYFUNCTION("""COMPUTED_VALUE"""),"Victims Targeted")</f>
        <v>Victims Targeted</v>
      </c>
      <c r="AE58" s="8"/>
      <c r="AF58" s="8"/>
      <c r="AG58" s="8" t="str">
        <f ca="1">IFERROR(__xludf.DUMMYFUNCTION("""COMPUTED_VALUE"""),"No")</f>
        <v>No</v>
      </c>
      <c r="AH58" s="8" t="str">
        <f ca="1">IFERROR(__xludf.DUMMYFUNCTION("""COMPUTED_VALUE"""),"No")</f>
        <v>No</v>
      </c>
      <c r="AI58" s="8" t="str">
        <f ca="1">IFERROR(__xludf.DUMMYFUNCTION("""COMPUTED_VALUE"""),"No")</f>
        <v>No</v>
      </c>
      <c r="AJ58" s="8" t="str">
        <f ca="1">IFERROR(__xludf.DUMMYFUNCTION("""COMPUTED_VALUE"""),"No")</f>
        <v>No</v>
      </c>
      <c r="AK58" s="8" t="str">
        <f ca="1">IFERROR(__xludf.DUMMYFUNCTION("""COMPUTED_VALUE"""),"No")</f>
        <v>No</v>
      </c>
      <c r="AL58" s="8" t="str">
        <f ca="1">IFERROR(__xludf.DUMMYFUNCTION("""COMPUTED_VALUE"""),"No")</f>
        <v>No</v>
      </c>
      <c r="AM58" s="8" t="str">
        <f ca="1">IFERROR(__xludf.DUMMYFUNCTION("""COMPUTED_VALUE"""),"No")</f>
        <v>No</v>
      </c>
      <c r="AN58" s="8" t="str">
        <f ca="1">IFERROR(__xludf.DUMMYFUNCTION("""COMPUTED_VALUE"""),"Outside")</f>
        <v>Outside</v>
      </c>
      <c r="AO58" s="8" t="str">
        <f ca="1">IFERROR(__xludf.DUMMYFUNCTION("""COMPUTED_VALUE"""),"No")</f>
        <v>No</v>
      </c>
      <c r="AP58" s="8"/>
      <c r="AQ58" s="8"/>
      <c r="AR58" s="8" t="str">
        <f ca="1">IFERROR(__xludf.DUMMYFUNCTION("""COMPUTED_VALUE"""),"Outside/Off-Property")</f>
        <v>Outside/Off-Property</v>
      </c>
      <c r="AS58" s="8">
        <f ca="1">IFERROR(__xludf.DUMMYFUNCTION("""COMPUTED_VALUE"""),99)</f>
        <v>99</v>
      </c>
      <c r="AT58" s="8" t="str">
        <f ca="1">IFERROR(__xludf.DUMMYFUNCTION("""COMPUTED_VALUE"""),"No")</f>
        <v>No</v>
      </c>
      <c r="AU58" s="8">
        <f ca="1">IFERROR(__xludf.DUMMYFUNCTION("""COMPUTED_VALUE"""),40.6165)</f>
        <v>40.616500000000002</v>
      </c>
      <c r="AV58" s="8">
        <f ca="1">IFERROR(__xludf.DUMMYFUNCTION("""COMPUTED_VALUE"""),-74.359467)</f>
        <v>-74.359466999999995</v>
      </c>
      <c r="AW58" s="8" t="str">
        <f ca="1">IFERROR(__xludf.DUMMYFUNCTION("""COMPUTED_VALUE"""),"Multiple detached buildings")</f>
        <v>Multiple detached buildings</v>
      </c>
      <c r="AX58" s="8">
        <f ca="1">IFERROR(__xludf.DUMMYFUNCTION("""COMPUTED_VALUE"""),7076)</f>
        <v>7076</v>
      </c>
    </row>
    <row r="59" spans="1:50" ht="285" x14ac:dyDescent="0.2">
      <c r="A59" s="8" t="str">
        <f ca="1">IFERROR(__xludf.DUMMYFUNCTION("""COMPUTED_VALUE"""),"20250608ORWIM")</f>
        <v>20250608ORWIM</v>
      </c>
      <c r="B59" s="8">
        <f ca="1">IFERROR(__xludf.DUMMYFUNCTION("""COMPUTED_VALUE"""),6)</f>
        <v>6</v>
      </c>
      <c r="C59" s="8">
        <f ca="1">IFERROR(__xludf.DUMMYFUNCTION("""COMPUTED_VALUE"""),8)</f>
        <v>8</v>
      </c>
      <c r="D59" s="8">
        <f ca="1">IFERROR(__xludf.DUMMYFUNCTION("""COMPUTED_VALUE"""),2025)</f>
        <v>2025</v>
      </c>
      <c r="E59" s="9">
        <f ca="1">IFERROR(__xludf.DUMMYFUNCTION("""COMPUTED_VALUE"""),45816)</f>
        <v>45816</v>
      </c>
      <c r="F59" s="8" t="str">
        <f ca="1">IFERROR(__xludf.DUMMYFUNCTION("""COMPUTED_VALUE"""),"Wilson Elementary School")</f>
        <v>Wilson Elementary School</v>
      </c>
      <c r="G59" s="8">
        <f ca="1">IFERROR(__xludf.DUMMYFUNCTION("""COMPUTED_VALUE"""),1)</f>
        <v>1</v>
      </c>
      <c r="H59" s="8">
        <f ca="1">IFERROR(__xludf.DUMMYFUNCTION("""COMPUTED_VALUE"""),0)</f>
        <v>0</v>
      </c>
      <c r="I59" s="8">
        <f ca="1">IFERROR(__xludf.DUMMYFUNCTION("""COMPUTED_VALUE"""),1)</f>
        <v>1</v>
      </c>
      <c r="J59" s="8">
        <f ca="1">IFERROR(__xludf.DUMMYFUNCTION("""COMPUTED_VALUE"""),0)</f>
        <v>0</v>
      </c>
      <c r="K59" s="10" t="str">
        <f ca="1">IFERROR(__xludf.DUMMYFUNCTION("""COMPUTED_VALUE"""),"https://rv-times.com/2025/06/10/medford-police-arrest-two-teens-accused-of-2nd-degree-murder-in-wilson-elementary-school-homicide/
https://www.kdrv.com/news/top-stories/dead-body-found-at-wilson-elementary-school/article_4d33fdbf-9de7-4214-9f3b-d297774fa7"&amp;"61.html
https://kobi5.com/news/local-news/mpd-investigating-homicide-at-wilson-elementary-school-276546/")</f>
        <v>https://rv-times.com/2025/06/10/medford-police-arrest-two-teens-accused-of-2nd-degree-murder-in-wilson-elementary-school-homicide/
https://www.kdrv.com/news/top-stories/dead-body-found-at-wilson-elementary-school/article_4d33fdbf-9de7-4214-9f3b-d297774fa761.html
https://kobi5.com/news/local-news/mpd-investigating-homicide-at-wilson-elementary-school-276546/</v>
      </c>
      <c r="L59" s="8">
        <f ca="1">IFERROR(__xludf.DUMMYFUNCTION("""COMPUTED_VALUE"""),3)</f>
        <v>3</v>
      </c>
      <c r="M59" s="8" t="str">
        <f ca="1">IFERROR(__xludf.DUMMYFUNCTION("""COMPUTED_VALUE"""),"Local")</f>
        <v>Local</v>
      </c>
      <c r="N59" s="8">
        <f ca="1">IFERROR(__xludf.DUMMYFUNCTION("""COMPUTED_VALUE"""),4)</f>
        <v>4</v>
      </c>
      <c r="O59" s="8" t="str">
        <f ca="1">IFERROR(__xludf.DUMMYFUNCTION("""COMPUTED_VALUE"""),"Summer")</f>
        <v>Summer</v>
      </c>
      <c r="P59" s="8" t="str">
        <f ca="1">IFERROR(__xludf.DUMMYFUNCTION("""COMPUTED_VALUE"""),"Medford")</f>
        <v>Medford</v>
      </c>
      <c r="Q59" s="8" t="str">
        <f ca="1">IFERROR(__xludf.DUMMYFUNCTION("""COMPUTED_VALUE"""),"OR")</f>
        <v>OR</v>
      </c>
      <c r="R59" s="8" t="str">
        <f ca="1">IFERROR(__xludf.DUMMYFUNCTION("""COMPUTED_VALUE"""),"Elementary")</f>
        <v>Elementary</v>
      </c>
      <c r="S59" s="8" t="str">
        <f ca="1">IFERROR(__xludf.DUMMYFUNCTION("""COMPUTED_VALUE"""),"Parking Lot")</f>
        <v>Parking Lot</v>
      </c>
      <c r="T59" s="8" t="str">
        <f ca="1">IFERROR(__xludf.DUMMYFUNCTION("""COMPUTED_VALUE"""),"Outside on School Property")</f>
        <v>Outside on School Property</v>
      </c>
      <c r="U59" s="8" t="str">
        <f ca="1">IFERROR(__xludf.DUMMYFUNCTION("""COMPUTED_VALUE"""),"No")</f>
        <v>No</v>
      </c>
      <c r="V59" s="8" t="str">
        <f ca="1">IFERROR(__xludf.DUMMYFUNCTION("""COMPUTED_VALUE"""),"Night")</f>
        <v>Night</v>
      </c>
      <c r="W59" s="11">
        <f ca="1">IFERROR(__xludf.DUMMYFUNCTION("""COMPUTED_VALUE"""),0.979166666666666)</f>
        <v>0.97916666666666596</v>
      </c>
      <c r="X59" s="8">
        <f ca="1">IFERROR(__xludf.DUMMYFUNCTION("""COMPUTED_VALUE"""),1)</f>
        <v>1</v>
      </c>
      <c r="Y59" s="12" t="str">
        <f ca="1">IFERROR(__xludf.DUMMYFUNCTION("""COMPUTED_VALUE"""),"Teen girl lured adult man to the school parking lot where a teen male fatally shot him")</f>
        <v>Teen girl lured adult man to the school parking lot where a teen male fatally shot him</v>
      </c>
      <c r="Z59" s="12" t="str">
        <f ca="1">IFERROR(__xludf.DUMMYFUNCTION("""COMPUTED_VALUE"""),"Medford police detectives obtained surveillance video from nearby residences and the school, showing that the shooting occurred around 11:30 p.m. Saturday. No calls for service related to suspicious activity or gunshots were received during that time, acc"&amp;"ording to police.  The Southern Oregon High Tech Crimes Task Force collaborated with Medford School District personnel and school resource officers to identify both teen suspects, the release said.  According to police, the investigation revealed that the"&amp;" teen female lured the victim to the location, and the 17-year-old male confronted and shot the victim multiple times before both suspects fled the scene on foot.  Around 2 a.m. Tuesday morning, a Medford police officer located the juvenile male on a bicy"&amp;"cle on Hawthorne Street, where he attempted to flee into Hawthorne Park before being apprehended on foot, the release said.  The teen female was arrested shortly thereafter at her residence in the 1500 block of Johnson Street, which is adjacent to Wilson "&amp;"Elementary School.")</f>
        <v>Medford police detectives obtained surveillance video from nearby residences and the school, showing that the shooting occurred around 11:30 p.m. Saturday. No calls for service related to suspicious activity or gunshots were received during that time, according to police.  The Southern Oregon High Tech Crimes Task Force collaborated with Medford School District personnel and school resource officers to identify both teen suspects, the release said.  According to police, the investigation revealed that the teen female lured the victim to the location, and the 17-year-old male confronted and shot the victim multiple times before both suspects fled the scene on foot.  Around 2 a.m. Tuesday morning, a Medford police officer located the juvenile male on a bicycle on Hawthorne Street, where he attempted to flee into Hawthorne Park before being apprehended on foot, the release said.  The teen female was arrested shortly thereafter at her residence in the 1500 block of Johnson Street, which is adjacent to Wilson Elementary School.</v>
      </c>
      <c r="AA59" s="8" t="str">
        <f ca="1">IFERROR(__xludf.DUMMYFUNCTION("""COMPUTED_VALUE"""),"Murder/Assassination")</f>
        <v>Murder/Assassination</v>
      </c>
      <c r="AB59" s="8" t="str">
        <f ca="1">IFERROR(__xludf.DUMMYFUNCTION("""COMPUTED_VALUE"""),"Targeted")</f>
        <v>Targeted</v>
      </c>
      <c r="AC59" s="8" t="str">
        <f ca="1">IFERROR(__xludf.DUMMYFUNCTION("""COMPUTED_VALUE"""),"No")</f>
        <v>No</v>
      </c>
      <c r="AD59" s="8" t="str">
        <f ca="1">IFERROR(__xludf.DUMMYFUNCTION("""COMPUTED_VALUE"""),"Victims Targeted")</f>
        <v>Victims Targeted</v>
      </c>
      <c r="AE59" s="8" t="str">
        <f ca="1">IFERROR(__xludf.DUMMYFUNCTION("""COMPUTED_VALUE"""),"Yes")</f>
        <v>Yes</v>
      </c>
      <c r="AF59" s="8" t="str">
        <f ca="1">IFERROR(__xludf.DUMMYFUNCTION("""COMPUTED_VALUE"""),"Two teens committed attack")</f>
        <v>Two teens committed attack</v>
      </c>
      <c r="AG59" s="8" t="str">
        <f ca="1">IFERROR(__xludf.DUMMYFUNCTION("""COMPUTED_VALUE"""),"No")</f>
        <v>No</v>
      </c>
      <c r="AH59" s="8" t="str">
        <f ca="1">IFERROR(__xludf.DUMMYFUNCTION("""COMPUTED_VALUE"""),"No")</f>
        <v>No</v>
      </c>
      <c r="AI59" s="8" t="str">
        <f ca="1">IFERROR(__xludf.DUMMYFUNCTION("""COMPUTED_VALUE"""),"No")</f>
        <v>No</v>
      </c>
      <c r="AJ59" s="8" t="str">
        <f ca="1">IFERROR(__xludf.DUMMYFUNCTION("""COMPUTED_VALUE"""),"No")</f>
        <v>No</v>
      </c>
      <c r="AK59" s="8" t="str">
        <f ca="1">IFERROR(__xludf.DUMMYFUNCTION("""COMPUTED_VALUE"""),"No")</f>
        <v>No</v>
      </c>
      <c r="AL59" s="8" t="str">
        <f ca="1">IFERROR(__xludf.DUMMYFUNCTION("""COMPUTED_VALUE"""),"No")</f>
        <v>No</v>
      </c>
      <c r="AM59" s="8" t="str">
        <f ca="1">IFERROR(__xludf.DUMMYFUNCTION("""COMPUTED_VALUE"""),"No")</f>
        <v>No</v>
      </c>
      <c r="AN59" s="8" t="str">
        <f ca="1">IFERROR(__xludf.DUMMYFUNCTION("""COMPUTED_VALUE"""),"Outside")</f>
        <v>Outside</v>
      </c>
      <c r="AO59" s="8" t="str">
        <f ca="1">IFERROR(__xludf.DUMMYFUNCTION("""COMPUTED_VALUE"""),"No")</f>
        <v>No</v>
      </c>
      <c r="AP59" s="8" t="str">
        <f ca="1">IFERROR(__xludf.DUMMYFUNCTION("""COMPUTED_VALUE"""),"Yes")</f>
        <v>Yes</v>
      </c>
      <c r="AQ59" s="8"/>
      <c r="AR59" s="8" t="str">
        <f ca="1">IFERROR(__xludf.DUMMYFUNCTION("""COMPUTED_VALUE"""),"Outside/Off-Property")</f>
        <v>Outside/Off-Property</v>
      </c>
      <c r="AS59" s="8">
        <f ca="1">IFERROR(__xludf.DUMMYFUNCTION("""COMPUTED_VALUE"""),99)</f>
        <v>99</v>
      </c>
      <c r="AT59" s="8" t="str">
        <f ca="1">IFERROR(__xludf.DUMMYFUNCTION("""COMPUTED_VALUE"""),"No")</f>
        <v>No</v>
      </c>
      <c r="AU59" s="8">
        <f ca="1">IFERROR(__xludf.DUMMYFUNCTION("""COMPUTED_VALUE"""),42.345077)</f>
        <v>42.345077000000003</v>
      </c>
      <c r="AV59" s="8">
        <f ca="1">IFERROR(__xludf.DUMMYFUNCTION("""COMPUTED_VALUE"""),-122.8661)</f>
        <v>-122.8661</v>
      </c>
      <c r="AW59" s="8" t="str">
        <f ca="1">IFERROR(__xludf.DUMMYFUNCTION("""COMPUTED_VALUE"""),"Multiple attached buildings")</f>
        <v>Multiple attached buildings</v>
      </c>
      <c r="AX59" s="8">
        <f ca="1">IFERROR(__xludf.DUMMYFUNCTION("""COMPUTED_VALUE"""),97504)</f>
        <v>97504</v>
      </c>
    </row>
    <row r="60" spans="1:50" ht="120" x14ac:dyDescent="0.2">
      <c r="A60" s="8" t="str">
        <f ca="1">IFERROR(__xludf.DUMMYFUNCTION("""COMPUTED_VALUE"""),"20250606MNBUB")</f>
        <v>20250606MNBUB</v>
      </c>
      <c r="B60" s="8">
        <f ca="1">IFERROR(__xludf.DUMMYFUNCTION("""COMPUTED_VALUE"""),6)</f>
        <v>6</v>
      </c>
      <c r="C60" s="8">
        <f ca="1">IFERROR(__xludf.DUMMYFUNCTION("""COMPUTED_VALUE"""),6)</f>
        <v>6</v>
      </c>
      <c r="D60" s="8">
        <f ca="1">IFERROR(__xludf.DUMMYFUNCTION("""COMPUTED_VALUE"""),2025)</f>
        <v>2025</v>
      </c>
      <c r="E60" s="9">
        <f ca="1">IFERROR(__xludf.DUMMYFUNCTION("""COMPUTED_VALUE"""),45814)</f>
        <v>45814</v>
      </c>
      <c r="F60" s="8" t="str">
        <f ca="1">IFERROR(__xludf.DUMMYFUNCTION("""COMPUTED_VALUE"""),"Burnsville High School")</f>
        <v>Burnsville High School</v>
      </c>
      <c r="G60" s="8">
        <f ca="1">IFERROR(__xludf.DUMMYFUNCTION("""COMPUTED_VALUE"""),0)</f>
        <v>0</v>
      </c>
      <c r="H60" s="8">
        <f ca="1">IFERROR(__xludf.DUMMYFUNCTION("""COMPUTED_VALUE"""),0)</f>
        <v>0</v>
      </c>
      <c r="I60" s="8">
        <f ca="1">IFERROR(__xludf.DUMMYFUNCTION("""COMPUTED_VALUE"""),0)</f>
        <v>0</v>
      </c>
      <c r="J60" s="8">
        <f ca="1">IFERROR(__xludf.DUMMYFUNCTION("""COMPUTED_VALUE"""),0)</f>
        <v>0</v>
      </c>
      <c r="K60" s="8" t="str">
        <f ca="1">IFERROR(__xludf.DUMMYFUNCTION("""COMPUTED_VALUE"""),"https://www.cbsnews.com/minnesota/news/large-police-presence-burnsville-high-school-graduation/
https://kstp.com/kstp-news/top-news/large-police-presence-at-burnsville-high-school/
https://www.kare11.com/article/news/local/large-police-presence-at-burnsvi"&amp;"lle-high-school/89-e8ddca3e-2230-4bb2-8571-bae417a9a1e2
https://www.kare11.com/article/news/crime/18-year-olds-charged-shooting-burnsville-graduation/89-304ce856-f236-42e0-8a3a-e1cc7a099a20")</f>
        <v>https://www.cbsnews.com/minnesota/news/large-police-presence-burnsville-high-school-graduation/
https://kstp.com/kstp-news/top-news/large-police-presence-at-burnsville-high-school/
https://www.kare11.com/article/news/local/large-police-presence-at-burnsville-high-school/89-e8ddca3e-2230-4bb2-8571-bae417a9a1e2
https://www.kare11.com/article/news/crime/18-year-olds-charged-shooting-burnsville-graduation/89-304ce856-f236-42e0-8a3a-e1cc7a099a20</v>
      </c>
      <c r="L60" s="8">
        <f ca="1">IFERROR(__xludf.DUMMYFUNCTION("""COMPUTED_VALUE"""),10)</f>
        <v>10</v>
      </c>
      <c r="M60" s="8" t="str">
        <f ca="1">IFERROR(__xludf.DUMMYFUNCTION("""COMPUTED_VALUE"""),"National")</f>
        <v>National</v>
      </c>
      <c r="N60" s="8">
        <f ca="1">IFERROR(__xludf.DUMMYFUNCTION("""COMPUTED_VALUE"""),4)</f>
        <v>4</v>
      </c>
      <c r="O60" s="8" t="str">
        <f ca="1">IFERROR(__xludf.DUMMYFUNCTION("""COMPUTED_VALUE"""),"Summer")</f>
        <v>Summer</v>
      </c>
      <c r="P60" s="8" t="str">
        <f ca="1">IFERROR(__xludf.DUMMYFUNCTION("""COMPUTED_VALUE"""),"Burnsville")</f>
        <v>Burnsville</v>
      </c>
      <c r="Q60" s="8" t="str">
        <f ca="1">IFERROR(__xludf.DUMMYFUNCTION("""COMPUTED_VALUE"""),"MN")</f>
        <v>MN</v>
      </c>
      <c r="R60" s="8" t="str">
        <f ca="1">IFERROR(__xludf.DUMMYFUNCTION("""COMPUTED_VALUE"""),"High")</f>
        <v>High</v>
      </c>
      <c r="S60" s="8" t="str">
        <f ca="1">IFERROR(__xludf.DUMMYFUNCTION("""COMPUTED_VALUE"""),"Football Field/Track")</f>
        <v>Football Field/Track</v>
      </c>
      <c r="T60" s="8" t="str">
        <f ca="1">IFERROR(__xludf.DUMMYFUNCTION("""COMPUTED_VALUE"""),"Outside on School Property")</f>
        <v>Outside on School Property</v>
      </c>
      <c r="U60" s="8" t="str">
        <f ca="1">IFERROR(__xludf.DUMMYFUNCTION("""COMPUTED_VALUE"""),"No")</f>
        <v>No</v>
      </c>
      <c r="V60" s="8" t="str">
        <f ca="1">IFERROR(__xludf.DUMMYFUNCTION("""COMPUTED_VALUE"""),"School Event")</f>
        <v>School Event</v>
      </c>
      <c r="W60" s="11">
        <f ca="1">IFERROR(__xludf.DUMMYFUNCTION("""COMPUTED_VALUE"""),0.854166666666666)</f>
        <v>0.85416666666666596</v>
      </c>
      <c r="X60" s="8">
        <f ca="1">IFERROR(__xludf.DUMMYFUNCTION("""COMPUTED_VALUE"""),1)</f>
        <v>1</v>
      </c>
      <c r="Y60" s="12" t="str">
        <f ca="1">IFERROR(__xludf.DUMMYFUNCTION("""COMPUTED_VALUE"""),"Multiple shots fired during fight at graduation")</f>
        <v>Multiple shots fired during fight at graduation</v>
      </c>
      <c r="Z60" s="12" t="str">
        <f ca="1">IFERROR(__xludf.DUMMYFUNCTION("""COMPUTED_VALUE"""),"Four people are in custody Friday after fights and shots were fired following the graduation ceremony at Burnsville High School. According to the school website, the ceremony was scheduled at the school from 6 to 8 p.m. Burnsville Police says that at 8:30"&amp;" p.m. they received reports of ""multiple altercations"" west of the school. When on site, police heard gunshots.No injuries were reported, police said, and four people were taken into custody. ")</f>
        <v xml:space="preserve">Four people are in custody Friday after fights and shots were fired following the graduation ceremony at Burnsville High School. According to the school website, the ceremony was scheduled at the school from 6 to 8 p.m. Burnsville Police says that at 8:30 p.m. they received reports of "multiple altercations" west of the school. When on site, police heard gunshots.No injuries were reported, police said, and four people were taken into custody. </v>
      </c>
      <c r="AA60" s="8" t="str">
        <f ca="1">IFERROR(__xludf.DUMMYFUNCTION("""COMPUTED_VALUE"""),"Escalation of Dispute")</f>
        <v>Escalation of Dispute</v>
      </c>
      <c r="AB60" s="8" t="str">
        <f ca="1">IFERROR(__xludf.DUMMYFUNCTION("""COMPUTED_VALUE"""),"Spontaneous")</f>
        <v>Spontaneous</v>
      </c>
      <c r="AC60" s="8" t="str">
        <f ca="1">IFERROR(__xludf.DUMMYFUNCTION("""COMPUTED_VALUE"""),"Yes")</f>
        <v>Yes</v>
      </c>
      <c r="AD60" s="8" t="str">
        <f ca="1">IFERROR(__xludf.DUMMYFUNCTION("""COMPUTED_VALUE"""),"Victims Targeted")</f>
        <v>Victims Targeted</v>
      </c>
      <c r="AE60" s="8" t="str">
        <f ca="1">IFERROR(__xludf.DUMMYFUNCTION("""COMPUTED_VALUE"""),"Yes")</f>
        <v>Yes</v>
      </c>
      <c r="AF60" s="8" t="str">
        <f ca="1">IFERROR(__xludf.DUMMYFUNCTION("""COMPUTED_VALUE"""),"Two teens arrested")</f>
        <v>Two teens arrested</v>
      </c>
      <c r="AG60" s="8" t="str">
        <f ca="1">IFERROR(__xludf.DUMMYFUNCTION("""COMPUTED_VALUE"""),"No")</f>
        <v>No</v>
      </c>
      <c r="AH60" s="8" t="str">
        <f ca="1">IFERROR(__xludf.DUMMYFUNCTION("""COMPUTED_VALUE"""),"No")</f>
        <v>No</v>
      </c>
      <c r="AI60" s="8" t="str">
        <f ca="1">IFERROR(__xludf.DUMMYFUNCTION("""COMPUTED_VALUE"""),"No")</f>
        <v>No</v>
      </c>
      <c r="AJ60" s="8" t="str">
        <f ca="1">IFERROR(__xludf.DUMMYFUNCTION("""COMPUTED_VALUE"""),"No")</f>
        <v>No</v>
      </c>
      <c r="AK60" s="8" t="str">
        <f ca="1">IFERROR(__xludf.DUMMYFUNCTION("""COMPUTED_VALUE"""),"No")</f>
        <v>No</v>
      </c>
      <c r="AL60" s="8" t="str">
        <f ca="1">IFERROR(__xludf.DUMMYFUNCTION("""COMPUTED_VALUE"""),"Yes")</f>
        <v>Yes</v>
      </c>
      <c r="AM60" s="8" t="str">
        <f ca="1">IFERROR(__xludf.DUMMYFUNCTION("""COMPUTED_VALUE"""),"No")</f>
        <v>No</v>
      </c>
      <c r="AN60" s="8" t="str">
        <f ca="1">IFERROR(__xludf.DUMMYFUNCTION("""COMPUTED_VALUE"""),"Outside")</f>
        <v>Outside</v>
      </c>
      <c r="AO60" s="8" t="str">
        <f ca="1">IFERROR(__xludf.DUMMYFUNCTION("""COMPUTED_VALUE"""),"No")</f>
        <v>No</v>
      </c>
      <c r="AP60" s="8" t="str">
        <f ca="1">IFERROR(__xludf.DUMMYFUNCTION("""COMPUTED_VALUE"""),"Yes")</f>
        <v>Yes</v>
      </c>
      <c r="AQ60" s="8" t="str">
        <f ca="1">IFERROR(__xludf.DUMMYFUNCTION("""COMPUTED_VALUE"""),"Armed Guards")</f>
        <v>Armed Guards</v>
      </c>
      <c r="AR60" s="8" t="str">
        <f ca="1">IFERROR(__xludf.DUMMYFUNCTION("""COMPUTED_VALUE"""),"Outside/Off-Property")</f>
        <v>Outside/Off-Property</v>
      </c>
      <c r="AS60" s="8">
        <f ca="1">IFERROR(__xludf.DUMMYFUNCTION("""COMPUTED_VALUE"""),99)</f>
        <v>99</v>
      </c>
      <c r="AT60" s="8" t="str">
        <f ca="1">IFERROR(__xludf.DUMMYFUNCTION("""COMPUTED_VALUE"""),"No")</f>
        <v>No</v>
      </c>
      <c r="AU60" s="8">
        <f ca="1">IFERROR(__xludf.DUMMYFUNCTION("""COMPUTED_VALUE"""),44.783762)</f>
        <v>44.783762000000003</v>
      </c>
      <c r="AV60" s="8">
        <f ca="1">IFERROR(__xludf.DUMMYFUNCTION("""COMPUTED_VALUE"""),-93.264865)</f>
        <v>-93.264865</v>
      </c>
      <c r="AW60" s="8" t="str">
        <f ca="1">IFERROR(__xludf.DUMMYFUNCTION("""COMPUTED_VALUE"""),"Multiple attached buildings")</f>
        <v>Multiple attached buildings</v>
      </c>
      <c r="AX60" s="8">
        <f ca="1">IFERROR(__xludf.DUMMYFUNCTION("""COMPUTED_VALUE"""),55337)</f>
        <v>55337</v>
      </c>
    </row>
    <row r="61" spans="1:50" ht="180" x14ac:dyDescent="0.2">
      <c r="A61" s="8" t="str">
        <f ca="1">IFERROR(__xludf.DUMMYFUNCTION("""COMPUTED_VALUE"""),"20250601HIKEK")</f>
        <v>20250601HIKEK</v>
      </c>
      <c r="B61" s="8">
        <f ca="1">IFERROR(__xludf.DUMMYFUNCTION("""COMPUTED_VALUE"""),6)</f>
        <v>6</v>
      </c>
      <c r="C61" s="8">
        <f ca="1">IFERROR(__xludf.DUMMYFUNCTION("""COMPUTED_VALUE"""),1)</f>
        <v>1</v>
      </c>
      <c r="D61" s="8">
        <f ca="1">IFERROR(__xludf.DUMMYFUNCTION("""COMPUTED_VALUE"""),2025)</f>
        <v>2025</v>
      </c>
      <c r="E61" s="9">
        <f ca="1">IFERROR(__xludf.DUMMYFUNCTION("""COMPUTED_VALUE"""),45809)</f>
        <v>45809</v>
      </c>
      <c r="F61" s="8" t="str">
        <f ca="1">IFERROR(__xludf.DUMMYFUNCTION("""COMPUTED_VALUE"""),"Kealakehe High School")</f>
        <v>Kealakehe High School</v>
      </c>
      <c r="G61" s="8">
        <f ca="1">IFERROR(__xludf.DUMMYFUNCTION("""COMPUTED_VALUE"""),0)</f>
        <v>0</v>
      </c>
      <c r="H61" s="8">
        <f ca="1">IFERROR(__xludf.DUMMYFUNCTION("""COMPUTED_VALUE"""),0)</f>
        <v>0</v>
      </c>
      <c r="I61" s="8">
        <f ca="1">IFERROR(__xludf.DUMMYFUNCTION("""COMPUTED_VALUE"""),0)</f>
        <v>0</v>
      </c>
      <c r="J61" s="8">
        <f ca="1">IFERROR(__xludf.DUMMYFUNCTION("""COMPUTED_VALUE"""),0)</f>
        <v>0</v>
      </c>
      <c r="K61" s="10" t="str">
        <f ca="1">IFERROR(__xludf.DUMMYFUNCTION("""COMPUTED_VALUE"""),"https://www.bigislandvideonews.com/2025/06/01/19-year-old-arrested-after-weapons-incident-in-kona/
https://www.kitv.com/news/crime/police-arrest-kailua-kona-teen-after-gunfire-near-high-school/article_8b864a63-f5fa-47b0-a0d4-54ca6f29fd1c.html
https://www."&amp;"khon2.com/local-news/big-island-police-investigating-overnight-shooting/")</f>
        <v>https://www.bigislandvideonews.com/2025/06/01/19-year-old-arrested-after-weapons-incident-in-kona/
https://www.kitv.com/news/crime/police-arrest-kailua-kona-teen-after-gunfire-near-high-school/article_8b864a63-f5fa-47b0-a0d4-54ca6f29fd1c.html
https://www.khon2.com/local-news/big-island-police-investigating-overnight-shooting/</v>
      </c>
      <c r="L61" s="8">
        <f ca="1">IFERROR(__xludf.DUMMYFUNCTION("""COMPUTED_VALUE"""),4)</f>
        <v>4</v>
      </c>
      <c r="M61" s="8" t="str">
        <f ca="1">IFERROR(__xludf.DUMMYFUNCTION("""COMPUTED_VALUE"""),"Local")</f>
        <v>Local</v>
      </c>
      <c r="N61" s="8">
        <f ca="1">IFERROR(__xludf.DUMMYFUNCTION("""COMPUTED_VALUE"""),4)</f>
        <v>4</v>
      </c>
      <c r="O61" s="8" t="str">
        <f ca="1">IFERROR(__xludf.DUMMYFUNCTION("""COMPUTED_VALUE"""),"Summer")</f>
        <v>Summer</v>
      </c>
      <c r="P61" s="8" t="str">
        <f ca="1">IFERROR(__xludf.DUMMYFUNCTION("""COMPUTED_VALUE"""),"Kailua-Kona")</f>
        <v>Kailua-Kona</v>
      </c>
      <c r="Q61" s="8" t="str">
        <f ca="1">IFERROR(__xludf.DUMMYFUNCTION("""COMPUTED_VALUE"""),"HI")</f>
        <v>HI</v>
      </c>
      <c r="R61" s="8" t="str">
        <f ca="1">IFERROR(__xludf.DUMMYFUNCTION("""COMPUTED_VALUE"""),"High")</f>
        <v>High</v>
      </c>
      <c r="S61" s="8" t="str">
        <f ca="1">IFERROR(__xludf.DUMMYFUNCTION("""COMPUTED_VALUE"""),"Parking Lot")</f>
        <v>Parking Lot</v>
      </c>
      <c r="T61" s="8" t="str">
        <f ca="1">IFERROR(__xludf.DUMMYFUNCTION("""COMPUTED_VALUE"""),"Outside on School Property")</f>
        <v>Outside on School Property</v>
      </c>
      <c r="U61" s="8" t="str">
        <f ca="1">IFERROR(__xludf.DUMMYFUNCTION("""COMPUTED_VALUE"""),"No")</f>
        <v>No</v>
      </c>
      <c r="V61" s="8" t="str">
        <f ca="1">IFERROR(__xludf.DUMMYFUNCTION("""COMPUTED_VALUE"""),"Night")</f>
        <v>Night</v>
      </c>
      <c r="W61" s="11">
        <f ca="1">IFERROR(__xludf.DUMMYFUNCTION("""COMPUTED_VALUE"""),0.0284722222222222)</f>
        <v>2.8472222222222201E-2</v>
      </c>
      <c r="X61" s="8">
        <f ca="1">IFERROR(__xludf.DUMMYFUNCTION("""COMPUTED_VALUE"""),1)</f>
        <v>1</v>
      </c>
      <c r="Y61" s="12" t="str">
        <f ca="1">IFERROR(__xludf.DUMMYFUNCTION("""COMPUTED_VALUE"""),"Teen fired shot into the air during fight at the school")</f>
        <v>Teen fired shot into the air during fight at the school</v>
      </c>
      <c r="Z61" s="12" t="str">
        <f ca="1">IFERROR(__xludf.DUMMYFUNCTION("""COMPUTED_VALUE"""),"The Hawaii Police Department launched a reckless endangerment investigation after reports of a firearm being discharged during a fight on Sunday morning. Police reported that the incident took place on Puohulihuli St. (address of Kealakehe High School). O"&amp;"fficers responded to the scene at 12:41 a.m. and found a crowd of 20 people in the area. Witnesses reported that a man brandished a firearm and allegedly fired one round into the air during a physical altercation involving multiple people. Police identifi"&amp;"ed the suspect as 19-year-old Fernando Villanueva-Gonzalez of Kailua-Kona. He was arrested at the scene at approximately 1:05 a.m.")</f>
        <v>The Hawaii Police Department launched a reckless endangerment investigation after reports of a firearm being discharged during a fight on Sunday morning. Police reported that the incident took place on Puohulihuli St. (address of Kealakehe High School). Officers responded to the scene at 12:41 a.m. and found a crowd of 20 people in the area. Witnesses reported that a man brandished a firearm and allegedly fired one round into the air during a physical altercation involving multiple people. Police identified the suspect as 19-year-old Fernando Villanueva-Gonzalez of Kailua-Kona. He was arrested at the scene at approximately 1:05 a.m.</v>
      </c>
      <c r="AA61" s="8" t="str">
        <f ca="1">IFERROR(__xludf.DUMMYFUNCTION("""COMPUTED_VALUE"""),"Escalation of Dispute")</f>
        <v>Escalation of Dispute</v>
      </c>
      <c r="AB61" s="8" t="str">
        <f ca="1">IFERROR(__xludf.DUMMYFUNCTION("""COMPUTED_VALUE"""),"Spontaneous")</f>
        <v>Spontaneous</v>
      </c>
      <c r="AC61" s="8" t="str">
        <f ca="1">IFERROR(__xludf.DUMMYFUNCTION("""COMPUTED_VALUE"""),"Yes")</f>
        <v>Yes</v>
      </c>
      <c r="AD61" s="8" t="str">
        <f ca="1">IFERROR(__xludf.DUMMYFUNCTION("""COMPUTED_VALUE"""),"Neither")</f>
        <v>Neither</v>
      </c>
      <c r="AE61" s="8" t="str">
        <f ca="1">IFERROR(__xludf.DUMMYFUNCTION("""COMPUTED_VALUE"""),"No")</f>
        <v>No</v>
      </c>
      <c r="AF61" s="8"/>
      <c r="AG61" s="8" t="str">
        <f ca="1">IFERROR(__xludf.DUMMYFUNCTION("""COMPUTED_VALUE"""),"No")</f>
        <v>No</v>
      </c>
      <c r="AH61" s="8" t="str">
        <f ca="1">IFERROR(__xludf.DUMMYFUNCTION("""COMPUTED_VALUE"""),"No")</f>
        <v>No</v>
      </c>
      <c r="AI61" s="8" t="str">
        <f ca="1">IFERROR(__xludf.DUMMYFUNCTION("""COMPUTED_VALUE"""),"No")</f>
        <v>No</v>
      </c>
      <c r="AJ61" s="8" t="str">
        <f ca="1">IFERROR(__xludf.DUMMYFUNCTION("""COMPUTED_VALUE"""),"No")</f>
        <v>No</v>
      </c>
      <c r="AK61" s="8" t="str">
        <f ca="1">IFERROR(__xludf.DUMMYFUNCTION("""COMPUTED_VALUE"""),"No")</f>
        <v>No</v>
      </c>
      <c r="AL61" s="8" t="str">
        <f ca="1">IFERROR(__xludf.DUMMYFUNCTION("""COMPUTED_VALUE"""),"No")</f>
        <v>No</v>
      </c>
      <c r="AM61" s="8" t="str">
        <f ca="1">IFERROR(__xludf.DUMMYFUNCTION("""COMPUTED_VALUE"""),"No")</f>
        <v>No</v>
      </c>
      <c r="AN61" s="8" t="str">
        <f ca="1">IFERROR(__xludf.DUMMYFUNCTION("""COMPUTED_VALUE"""),"Outside")</f>
        <v>Outside</v>
      </c>
      <c r="AO61" s="8" t="str">
        <f ca="1">IFERROR(__xludf.DUMMYFUNCTION("""COMPUTED_VALUE"""),"No")</f>
        <v>No</v>
      </c>
      <c r="AP61" s="8"/>
      <c r="AQ61" s="8"/>
      <c r="AR61" s="8" t="str">
        <f ca="1">IFERROR(__xludf.DUMMYFUNCTION("""COMPUTED_VALUE"""),"Outside/Off-Property")</f>
        <v>Outside/Off-Property</v>
      </c>
      <c r="AS61" s="8">
        <f ca="1">IFERROR(__xludf.DUMMYFUNCTION("""COMPUTED_VALUE"""),1)</f>
        <v>1</v>
      </c>
      <c r="AT61" s="8" t="str">
        <f ca="1">IFERROR(__xludf.DUMMYFUNCTION("""COMPUTED_VALUE"""),"No")</f>
        <v>No</v>
      </c>
      <c r="AU61" s="8">
        <f ca="1">IFERROR(__xludf.DUMMYFUNCTION("""COMPUTED_VALUE"""),19.669872)</f>
        <v>19.669872000000002</v>
      </c>
      <c r="AV61" s="8">
        <f ca="1">IFERROR(__xludf.DUMMYFUNCTION("""COMPUTED_VALUE"""),-155.998955)</f>
        <v>-155.998955</v>
      </c>
      <c r="AW61" s="8" t="str">
        <f ca="1">IFERROR(__xludf.DUMMYFUNCTION("""COMPUTED_VALUE"""),"Multiple detached buildings")</f>
        <v>Multiple detached buildings</v>
      </c>
      <c r="AX61" s="8">
        <f ca="1">IFERROR(__xludf.DUMMYFUNCTION("""COMPUTED_VALUE"""),96740)</f>
        <v>96740</v>
      </c>
    </row>
    <row r="62" spans="1:50" ht="180" x14ac:dyDescent="0.2">
      <c r="A62" s="8" t="str">
        <f ca="1">IFERROR(__xludf.DUMMYFUNCTION("""COMPUTED_VALUE"""),"20250530NYPSB")</f>
        <v>20250530NYPSB</v>
      </c>
      <c r="B62" s="8">
        <f ca="1">IFERROR(__xludf.DUMMYFUNCTION("""COMPUTED_VALUE"""),5)</f>
        <v>5</v>
      </c>
      <c r="C62" s="8">
        <f ca="1">IFERROR(__xludf.DUMMYFUNCTION("""COMPUTED_VALUE"""),30)</f>
        <v>30</v>
      </c>
      <c r="D62" s="8">
        <f ca="1">IFERROR(__xludf.DUMMYFUNCTION("""COMPUTED_VALUE"""),2025)</f>
        <v>2025</v>
      </c>
      <c r="E62" s="9">
        <f ca="1">IFERROR(__xludf.DUMMYFUNCTION("""COMPUTED_VALUE"""),45807)</f>
        <v>45807</v>
      </c>
      <c r="F62" s="8" t="str">
        <f ca="1">IFERROR(__xludf.DUMMYFUNCTION("""COMPUTED_VALUE"""),"P.S./M.S. 004 Crotona Park West")</f>
        <v>P.S./M.S. 004 Crotona Park West</v>
      </c>
      <c r="G62" s="8">
        <f ca="1">IFERROR(__xludf.DUMMYFUNCTION("""COMPUTED_VALUE"""),1)</f>
        <v>1</v>
      </c>
      <c r="H62" s="8">
        <f ca="1">IFERROR(__xludf.DUMMYFUNCTION("""COMPUTED_VALUE"""),0)</f>
        <v>0</v>
      </c>
      <c r="I62" s="8">
        <f ca="1">IFERROR(__xludf.DUMMYFUNCTION("""COMPUTED_VALUE"""),1)</f>
        <v>1</v>
      </c>
      <c r="J62" s="8">
        <f ca="1">IFERROR(__xludf.DUMMYFUNCTION("""COMPUTED_VALUE"""),0)</f>
        <v>0</v>
      </c>
      <c r="K62" s="8" t="str">
        <f ca="1">IFERROR(__xludf.DUMMYFUNCTION("""COMPUTED_VALUE"""),"https://www.amny.com/new-york/bronx/man-shot-head-bronx-playground/
https://pix11.com/news/local-news/bronx/man-shot-to-death-in-bronx-park-nypd/")</f>
        <v>https://www.amny.com/new-york/bronx/man-shot-head-bronx-playground/
https://pix11.com/news/local-news/bronx/man-shot-to-death-in-bronx-park-nypd/</v>
      </c>
      <c r="L62" s="8">
        <f ca="1">IFERROR(__xludf.DUMMYFUNCTION("""COMPUTED_VALUE"""),6)</f>
        <v>6</v>
      </c>
      <c r="M62" s="8" t="str">
        <f ca="1">IFERROR(__xludf.DUMMYFUNCTION("""COMPUTED_VALUE"""),"Regional")</f>
        <v>Regional</v>
      </c>
      <c r="N62" s="8">
        <f ca="1">IFERROR(__xludf.DUMMYFUNCTION("""COMPUTED_VALUE"""),4)</f>
        <v>4</v>
      </c>
      <c r="O62" s="8" t="str">
        <f ca="1">IFERROR(__xludf.DUMMYFUNCTION("""COMPUTED_VALUE"""),"Spring")</f>
        <v>Spring</v>
      </c>
      <c r="P62" s="8" t="str">
        <f ca="1">IFERROR(__xludf.DUMMYFUNCTION("""COMPUTED_VALUE"""),"Bronx")</f>
        <v>Bronx</v>
      </c>
      <c r="Q62" s="8" t="str">
        <f ca="1">IFERROR(__xludf.DUMMYFUNCTION("""COMPUTED_VALUE"""),"NY")</f>
        <v>NY</v>
      </c>
      <c r="R62" s="8" t="str">
        <f ca="1">IFERROR(__xludf.DUMMYFUNCTION("""COMPUTED_VALUE"""),"Elementary")</f>
        <v>Elementary</v>
      </c>
      <c r="S62" s="8" t="str">
        <f ca="1">IFERROR(__xludf.DUMMYFUNCTION("""COMPUTED_VALUE"""),"Playground")</f>
        <v>Playground</v>
      </c>
      <c r="T62" s="8" t="str">
        <f ca="1">IFERROR(__xludf.DUMMYFUNCTION("""COMPUTED_VALUE"""),"Outside on School Property")</f>
        <v>Outside on School Property</v>
      </c>
      <c r="U62" s="8" t="str">
        <f ca="1">IFERROR(__xludf.DUMMYFUNCTION("""COMPUTED_VALUE"""),"Yes")</f>
        <v>Yes</v>
      </c>
      <c r="V62" s="8" t="str">
        <f ca="1">IFERROR(__xludf.DUMMYFUNCTION("""COMPUTED_VALUE"""),"Afternoon Classes")</f>
        <v>Afternoon Classes</v>
      </c>
      <c r="W62" s="11">
        <f ca="1">IFERROR(__xludf.DUMMYFUNCTION("""COMPUTED_VALUE"""),0.530555555555555)</f>
        <v>0.530555555555555</v>
      </c>
      <c r="X62" s="8">
        <f ca="1">IFERROR(__xludf.DUMMYFUNCTION("""COMPUTED_VALUE"""),1)</f>
        <v>1</v>
      </c>
      <c r="Y62" s="12" t="str">
        <f ca="1">IFERROR(__xludf.DUMMYFUNCTION("""COMPUTED_VALUE"""),"Man fatally shot on the playground behind the school by two men in ski masks")</f>
        <v>Man fatally shot on the playground behind the school by two men in ski masks</v>
      </c>
      <c r="Z62" s="12" t="str">
        <f ca="1">IFERROR(__xludf.DUMMYFUNCTION("""COMPUTED_VALUE"""),"Officers from the 42nd Precinct responded to reports of shots fired near the playground at East 173rd Street, directly across from a Crotona Park West Elementary School in Crotona Park, just before 1 p.m. Upon arrival, officers found a man with a gunshot "&amp;"wound to the head. EMS responded and pronounced the victim dead at the scene. He has not yet been identified, police said. Police said they are reviewing nearby security camera footage to identify a suspect. The investigation is ongoing, and no arrests ha"&amp;"ve been made. The NYPD has yet to confirm reports that officers are searching for two masked suspects who were last seen fleeing toward Indian Lake")</f>
        <v>Officers from the 42nd Precinct responded to reports of shots fired near the playground at East 173rd Street, directly across from a Crotona Park West Elementary School in Crotona Park, just before 1 p.m. Upon arrival, officers found a man with a gunshot wound to the head. EMS responded and pronounced the victim dead at the scene. He has not yet been identified, police said. Police said they are reviewing nearby security camera footage to identify a suspect. The investigation is ongoing, and no arrests have been made. The NYPD has yet to confirm reports that officers are searching for two masked suspects who were last seen fleeing toward Indian Lake</v>
      </c>
      <c r="AA62" s="8"/>
      <c r="AB62" s="8" t="str">
        <f ca="1">IFERROR(__xludf.DUMMYFUNCTION("""COMPUTED_VALUE"""),"Targeted")</f>
        <v>Targeted</v>
      </c>
      <c r="AC62" s="8" t="str">
        <f ca="1">IFERROR(__xludf.DUMMYFUNCTION("""COMPUTED_VALUE"""),"Yes")</f>
        <v>Yes</v>
      </c>
      <c r="AD62" s="8" t="str">
        <f ca="1">IFERROR(__xludf.DUMMYFUNCTION("""COMPUTED_VALUE"""),"Victims Targeted")</f>
        <v>Victims Targeted</v>
      </c>
      <c r="AE62" s="8" t="str">
        <f ca="1">IFERROR(__xludf.DUMMYFUNCTION("""COMPUTED_VALUE"""),"Yes")</f>
        <v>Yes</v>
      </c>
      <c r="AF62" s="8" t="str">
        <f ca="1">IFERROR(__xludf.DUMMYFUNCTION("""COMPUTED_VALUE"""),"Two men in ski masks fled")</f>
        <v>Two men in ski masks fled</v>
      </c>
      <c r="AG62" s="8" t="str">
        <f ca="1">IFERROR(__xludf.DUMMYFUNCTION("""COMPUTED_VALUE"""),"No")</f>
        <v>No</v>
      </c>
      <c r="AH62" s="8" t="str">
        <f ca="1">IFERROR(__xludf.DUMMYFUNCTION("""COMPUTED_VALUE"""),"No")</f>
        <v>No</v>
      </c>
      <c r="AI62" s="8" t="str">
        <f ca="1">IFERROR(__xludf.DUMMYFUNCTION("""COMPUTED_VALUE"""),"No")</f>
        <v>No</v>
      </c>
      <c r="AJ62" s="8" t="str">
        <f ca="1">IFERROR(__xludf.DUMMYFUNCTION("""COMPUTED_VALUE"""),"No")</f>
        <v>No</v>
      </c>
      <c r="AK62" s="8" t="str">
        <f ca="1">IFERROR(__xludf.DUMMYFUNCTION("""COMPUTED_VALUE"""),"No")</f>
        <v>No</v>
      </c>
      <c r="AL62" s="8"/>
      <c r="AM62" s="8" t="str">
        <f ca="1">IFERROR(__xludf.DUMMYFUNCTION("""COMPUTED_VALUE"""),"No")</f>
        <v>No</v>
      </c>
      <c r="AN62" s="8" t="str">
        <f ca="1">IFERROR(__xludf.DUMMYFUNCTION("""COMPUTED_VALUE"""),"Outside")</f>
        <v>Outside</v>
      </c>
      <c r="AO62" s="8" t="str">
        <f ca="1">IFERROR(__xludf.DUMMYFUNCTION("""COMPUTED_VALUE"""),"No")</f>
        <v>No</v>
      </c>
      <c r="AP62" s="8"/>
      <c r="AQ62" s="8"/>
      <c r="AR62" s="8" t="str">
        <f ca="1">IFERROR(__xludf.DUMMYFUNCTION("""COMPUTED_VALUE"""),"Outside/Off-Property")</f>
        <v>Outside/Off-Property</v>
      </c>
      <c r="AS62" s="8">
        <f ca="1">IFERROR(__xludf.DUMMYFUNCTION("""COMPUTED_VALUE"""),99)</f>
        <v>99</v>
      </c>
      <c r="AT62" s="8" t="str">
        <f ca="1">IFERROR(__xludf.DUMMYFUNCTION("""COMPUTED_VALUE"""),"Yes")</f>
        <v>Yes</v>
      </c>
      <c r="AU62" s="8">
        <f ca="1">IFERROR(__xludf.DUMMYFUNCTION("""COMPUTED_VALUE"""),40.841044)</f>
        <v>40.841043999999997</v>
      </c>
      <c r="AV62" s="8">
        <f ca="1">IFERROR(__xludf.DUMMYFUNCTION("""COMPUTED_VALUE"""),-73.898095)</f>
        <v>-73.898094999999998</v>
      </c>
      <c r="AW62" s="8" t="str">
        <f ca="1">IFERROR(__xludf.DUMMYFUNCTION("""COMPUTED_VALUE"""),"Urban Street Standalone")</f>
        <v>Urban Street Standalone</v>
      </c>
      <c r="AX62" s="8">
        <f ca="1">IFERROR(__xludf.DUMMYFUNCTION("""COMPUTED_VALUE"""),10457)</f>
        <v>10457</v>
      </c>
    </row>
    <row r="63" spans="1:50" ht="135" x14ac:dyDescent="0.2">
      <c r="A63" s="8" t="str">
        <f ca="1">IFERROR(__xludf.DUMMYFUNCTION("""COMPUTED_VALUE"""),"20250530MNWAM")</f>
        <v>20250530MNWAM</v>
      </c>
      <c r="B63" s="8">
        <f ca="1">IFERROR(__xludf.DUMMYFUNCTION("""COMPUTED_VALUE"""),5)</f>
        <v>5</v>
      </c>
      <c r="C63" s="8">
        <f ca="1">IFERROR(__xludf.DUMMYFUNCTION("""COMPUTED_VALUE"""),30)</f>
        <v>30</v>
      </c>
      <c r="D63" s="8">
        <f ca="1">IFERROR(__xludf.DUMMYFUNCTION("""COMPUTED_VALUE"""),2025)</f>
        <v>2025</v>
      </c>
      <c r="E63" s="9">
        <f ca="1">IFERROR(__xludf.DUMMYFUNCTION("""COMPUTED_VALUE"""),45807)</f>
        <v>45807</v>
      </c>
      <c r="F63" s="8" t="str">
        <f ca="1">IFERROR(__xludf.DUMMYFUNCTION("""COMPUTED_VALUE"""),"Wayzata High School")</f>
        <v>Wayzata High School</v>
      </c>
      <c r="G63" s="8">
        <f ca="1">IFERROR(__xludf.DUMMYFUNCTION("""COMPUTED_VALUE"""),0)</f>
        <v>0</v>
      </c>
      <c r="H63" s="8">
        <f ca="1">IFERROR(__xludf.DUMMYFUNCTION("""COMPUTED_VALUE"""),2)</f>
        <v>2</v>
      </c>
      <c r="I63" s="8">
        <f ca="1">IFERROR(__xludf.DUMMYFUNCTION("""COMPUTED_VALUE"""),2)</f>
        <v>2</v>
      </c>
      <c r="J63" s="8">
        <f ca="1">IFERROR(__xludf.DUMMYFUNCTION("""COMPUTED_VALUE"""),0)</f>
        <v>0</v>
      </c>
      <c r="K63" s="8" t="str">
        <f ca="1">IFERROR(__xludf.DUMMYFUNCTION("""COMPUTED_VALUE"""),"https://www.cbsnews.com/minnesota/news/u-of-m-mariucci-arena-shooting-charges-graduation-ceremony/
https://www.fox9.com/news/mariucci-arena-shooting-university-of-minnesota-may-30-2025
https://www.startribune.com/suspect-in-custody-after-shots-fired-at-u-"&amp;"of-m-arena-after-high-school-graduation-friday/601364998
https://bringmethenews.com/minnesota-news/breaking-shots-fired-at-mariucci-arena-on-university-of-minnesota-campus
Wayzata High School father jumps into action amid post graduation shooting outside "&amp;"Mariucci Arena - YouTube")</f>
        <v>https://www.cbsnews.com/minnesota/news/u-of-m-mariucci-arena-shooting-charges-graduation-ceremony/
https://www.fox9.com/news/mariucci-arena-shooting-university-of-minnesota-may-30-2025
https://www.startribune.com/suspect-in-custody-after-shots-fired-at-u-of-m-arena-after-high-school-graduation-friday/601364998
https://bringmethenews.com/minnesota-news/breaking-shots-fired-at-mariucci-arena-on-university-of-minnesota-campus
Wayzata High School father jumps into action amid post graduation shooting outside Mariucci Arena - YouTube</v>
      </c>
      <c r="L63" s="8">
        <f ca="1">IFERROR(__xludf.DUMMYFUNCTION("""COMPUTED_VALUE"""),20)</f>
        <v>20</v>
      </c>
      <c r="M63" s="8" t="str">
        <f ca="1">IFERROR(__xludf.DUMMYFUNCTION("""COMPUTED_VALUE"""),"National")</f>
        <v>National</v>
      </c>
      <c r="N63" s="8">
        <f ca="1">IFERROR(__xludf.DUMMYFUNCTION("""COMPUTED_VALUE"""),4)</f>
        <v>4</v>
      </c>
      <c r="O63" s="8" t="str">
        <f ca="1">IFERROR(__xludf.DUMMYFUNCTION("""COMPUTED_VALUE"""),"Spring")</f>
        <v>Spring</v>
      </c>
      <c r="P63" s="8" t="str">
        <f ca="1">IFERROR(__xludf.DUMMYFUNCTION("""COMPUTED_VALUE"""),"Minneapolis")</f>
        <v>Minneapolis</v>
      </c>
      <c r="Q63" s="8" t="str">
        <f ca="1">IFERROR(__xludf.DUMMYFUNCTION("""COMPUTED_VALUE"""),"MN")</f>
        <v>MN</v>
      </c>
      <c r="R63" s="8" t="str">
        <f ca="1">IFERROR(__xludf.DUMMYFUNCTION("""COMPUTED_VALUE"""),"High")</f>
        <v>High</v>
      </c>
      <c r="S63" s="8" t="str">
        <f ca="1">IFERROR(__xludf.DUMMYFUNCTION("""COMPUTED_VALUE"""),"Off School Property")</f>
        <v>Off School Property</v>
      </c>
      <c r="T63" s="8" t="str">
        <f ca="1">IFERROR(__xludf.DUMMYFUNCTION("""COMPUTED_VALUE"""),"Off School Property")</f>
        <v>Off School Property</v>
      </c>
      <c r="U63" s="8" t="str">
        <f ca="1">IFERROR(__xludf.DUMMYFUNCTION("""COMPUTED_VALUE"""),"No")</f>
        <v>No</v>
      </c>
      <c r="V63" s="8" t="str">
        <f ca="1">IFERROR(__xludf.DUMMYFUNCTION("""COMPUTED_VALUE"""),"School Event")</f>
        <v>School Event</v>
      </c>
      <c r="W63" s="11">
        <f ca="1">IFERROR(__xludf.DUMMYFUNCTION("""COMPUTED_VALUE"""),0.847222222222222)</f>
        <v>0.84722222222222199</v>
      </c>
      <c r="X63" s="8">
        <f ca="1">IFERROR(__xludf.DUMMYFUNCTION("""COMPUTED_VALUE"""),1)</f>
        <v>1</v>
      </c>
      <c r="Y63" s="12" t="str">
        <f ca="1">IFERROR(__xludf.DUMMYFUNCTION("""COMPUTED_VALUE"""),"Two people shot during fight at graduation ceremony")</f>
        <v>Two people shot during fight at graduation ceremony</v>
      </c>
      <c r="Z63" s="12" t="str">
        <f ca="1">IFERROR(__xludf.DUMMYFUNCTION("""COMPUTED_VALUE"""),"A suspect was in custody Friday night after shots were fired outside 3M Arena at Mariucci at the University of Minnesota just as people were leaving the graduation ceremony for Wayzata High School, authorities said. According to the University of Minnesot"&amp;"a Department of Public Safety, the shooting happened at about 8:20 p.m. An emergency alert sent out by the U advised people to stay away from the area, but authorities said late Friday that there was no ongoing threat.")</f>
        <v>A suspect was in custody Friday night after shots were fired outside 3M Arena at Mariucci at the University of Minnesota just as people were leaving the graduation ceremony for Wayzata High School, authorities said. According to the University of Minnesota Department of Public Safety, the shooting happened at about 8:20 p.m. An emergency alert sent out by the U advised people to stay away from the area, but authorities said late Friday that there was no ongoing threat.</v>
      </c>
      <c r="AA63" s="8" t="str">
        <f ca="1">IFERROR(__xludf.DUMMYFUNCTION("""COMPUTED_VALUE"""),"Escalation of Dispute")</f>
        <v>Escalation of Dispute</v>
      </c>
      <c r="AB63" s="8" t="str">
        <f ca="1">IFERROR(__xludf.DUMMYFUNCTION("""COMPUTED_VALUE"""),"Spontaneous")</f>
        <v>Spontaneous</v>
      </c>
      <c r="AC63" s="8" t="str">
        <f ca="1">IFERROR(__xludf.DUMMYFUNCTION("""COMPUTED_VALUE"""),"Yes")</f>
        <v>Yes</v>
      </c>
      <c r="AD63" s="8" t="str">
        <f ca="1">IFERROR(__xludf.DUMMYFUNCTION("""COMPUTED_VALUE"""),"Victims Targeted")</f>
        <v>Victims Targeted</v>
      </c>
      <c r="AE63" s="8"/>
      <c r="AF63" s="8"/>
      <c r="AG63" s="8" t="str">
        <f ca="1">IFERROR(__xludf.DUMMYFUNCTION("""COMPUTED_VALUE"""),"No")</f>
        <v>No</v>
      </c>
      <c r="AH63" s="8" t="str">
        <f ca="1">IFERROR(__xludf.DUMMYFUNCTION("""COMPUTED_VALUE"""),"No")</f>
        <v>No</v>
      </c>
      <c r="AI63" s="8" t="str">
        <f ca="1">IFERROR(__xludf.DUMMYFUNCTION("""COMPUTED_VALUE"""),"No")</f>
        <v>No</v>
      </c>
      <c r="AJ63" s="8" t="str">
        <f ca="1">IFERROR(__xludf.DUMMYFUNCTION("""COMPUTED_VALUE"""),"No")</f>
        <v>No</v>
      </c>
      <c r="AK63" s="8" t="str">
        <f ca="1">IFERROR(__xludf.DUMMYFUNCTION("""COMPUTED_VALUE"""),"No")</f>
        <v>No</v>
      </c>
      <c r="AL63" s="8" t="str">
        <f ca="1">IFERROR(__xludf.DUMMYFUNCTION("""COMPUTED_VALUE"""),"No")</f>
        <v>No</v>
      </c>
      <c r="AM63" s="8" t="str">
        <f ca="1">IFERROR(__xludf.DUMMYFUNCTION("""COMPUTED_VALUE"""),"No")</f>
        <v>No</v>
      </c>
      <c r="AN63" s="8" t="str">
        <f ca="1">IFERROR(__xludf.DUMMYFUNCTION("""COMPUTED_VALUE"""),"Outside")</f>
        <v>Outside</v>
      </c>
      <c r="AO63" s="8" t="str">
        <f ca="1">IFERROR(__xludf.DUMMYFUNCTION("""COMPUTED_VALUE"""),"No")</f>
        <v>No</v>
      </c>
      <c r="AP63" s="8"/>
      <c r="AQ63" s="8"/>
      <c r="AR63" s="8" t="str">
        <f ca="1">IFERROR(__xludf.DUMMYFUNCTION("""COMPUTED_VALUE"""),"Outside/Off-Property")</f>
        <v>Outside/Off-Property</v>
      </c>
      <c r="AS63" s="8">
        <f ca="1">IFERROR(__xludf.DUMMYFUNCTION("""COMPUTED_VALUE"""),99)</f>
        <v>99</v>
      </c>
      <c r="AT63" s="8" t="str">
        <f ca="1">IFERROR(__xludf.DUMMYFUNCTION("""COMPUTED_VALUE"""),"Yes")</f>
        <v>Yes</v>
      </c>
      <c r="AU63" s="8">
        <f ca="1">IFERROR(__xludf.DUMMYFUNCTION("""COMPUTED_VALUE"""),44.977721)</f>
        <v>44.977721000000003</v>
      </c>
      <c r="AV63" s="8">
        <f ca="1">IFERROR(__xludf.DUMMYFUNCTION("""COMPUTED_VALUE"""),-93.226902)</f>
        <v>-93.226901999999995</v>
      </c>
      <c r="AW63" s="8"/>
      <c r="AX63" s="8">
        <f ca="1">IFERROR(__xludf.DUMMYFUNCTION("""COMPUTED_VALUE"""),55455)</f>
        <v>55455</v>
      </c>
    </row>
    <row r="64" spans="1:50" ht="195" x14ac:dyDescent="0.2">
      <c r="A64" s="8" t="str">
        <f ca="1">IFERROR(__xludf.DUMMYFUNCTION("""COMPUTED_VALUE"""),"20250529MIMAD")</f>
        <v>20250529MIMAD</v>
      </c>
      <c r="B64" s="8">
        <f ca="1">IFERROR(__xludf.DUMMYFUNCTION("""COMPUTED_VALUE"""),5)</f>
        <v>5</v>
      </c>
      <c r="C64" s="8">
        <f ca="1">IFERROR(__xludf.DUMMYFUNCTION("""COMPUTED_VALUE"""),29)</f>
        <v>29</v>
      </c>
      <c r="D64" s="8">
        <f ca="1">IFERROR(__xludf.DUMMYFUNCTION("""COMPUTED_VALUE"""),2025)</f>
        <v>2025</v>
      </c>
      <c r="E64" s="9">
        <f ca="1">IFERROR(__xludf.DUMMYFUNCTION("""COMPUTED_VALUE"""),45806)</f>
        <v>45806</v>
      </c>
      <c r="F64" s="8" t="str">
        <f ca="1">IFERROR(__xludf.DUMMYFUNCTION("""COMPUTED_VALUE"""),"Martin Luther King Jr. High School")</f>
        <v>Martin Luther King Jr. High School</v>
      </c>
      <c r="G64" s="8">
        <f ca="1">IFERROR(__xludf.DUMMYFUNCTION("""COMPUTED_VALUE"""),0)</f>
        <v>0</v>
      </c>
      <c r="H64" s="8">
        <f ca="1">IFERROR(__xludf.DUMMYFUNCTION("""COMPUTED_VALUE"""),0)</f>
        <v>0</v>
      </c>
      <c r="I64" s="8">
        <f ca="1">IFERROR(__xludf.DUMMYFUNCTION("""COMPUTED_VALUE"""),0)</f>
        <v>0</v>
      </c>
      <c r="J64" s="8">
        <f ca="1">IFERROR(__xludf.DUMMYFUNCTION("""COMPUTED_VALUE"""),0)</f>
        <v>0</v>
      </c>
      <c r="K64" s="10" t="str">
        <f ca="1">IFERROR(__xludf.DUMMYFUNCTION("""COMPUTED_VALUE"""),"https://www.clickondetroit.com/video/news/2025/05/30/shell-casings-mark-scene-of-gunfire-in-parking-lot-of-detroits-martin-luther-king-jr-high-school/
https://www.cbsnews.com/detroit/news/detroit-police-investigate-shooting-martin-luther-king-jr-high-scho"&amp;"ol/
https://hoodline.com/2025/05/detroit-authorities-investigate-shooting-near-mlk-jr-high-school-during-prom-send-off/")</f>
        <v>https://www.clickondetroit.com/video/news/2025/05/30/shell-casings-mark-scene-of-gunfire-in-parking-lot-of-detroits-martin-luther-king-jr-high-school/
https://www.cbsnews.com/detroit/news/detroit-police-investigate-shooting-martin-luther-king-jr-high-school/
https://hoodline.com/2025/05/detroit-authorities-investigate-shooting-near-mlk-jr-high-school-during-prom-send-off/</v>
      </c>
      <c r="L64" s="8">
        <f ca="1">IFERROR(__xludf.DUMMYFUNCTION("""COMPUTED_VALUE"""),6)</f>
        <v>6</v>
      </c>
      <c r="M64" s="8" t="str">
        <f ca="1">IFERROR(__xludf.DUMMYFUNCTION("""COMPUTED_VALUE"""),"Local")</f>
        <v>Local</v>
      </c>
      <c r="N64" s="8">
        <f ca="1">IFERROR(__xludf.DUMMYFUNCTION("""COMPUTED_VALUE"""),4)</f>
        <v>4</v>
      </c>
      <c r="O64" s="8" t="str">
        <f ca="1">IFERROR(__xludf.DUMMYFUNCTION("""COMPUTED_VALUE"""),"Spring")</f>
        <v>Spring</v>
      </c>
      <c r="P64" s="8" t="str">
        <f ca="1">IFERROR(__xludf.DUMMYFUNCTION("""COMPUTED_VALUE"""),"Detroit")</f>
        <v>Detroit</v>
      </c>
      <c r="Q64" s="8" t="str">
        <f ca="1">IFERROR(__xludf.DUMMYFUNCTION("""COMPUTED_VALUE"""),"MI")</f>
        <v>MI</v>
      </c>
      <c r="R64" s="8" t="str">
        <f ca="1">IFERROR(__xludf.DUMMYFUNCTION("""COMPUTED_VALUE"""),"High")</f>
        <v>High</v>
      </c>
      <c r="S64" s="8" t="str">
        <f ca="1">IFERROR(__xludf.DUMMYFUNCTION("""COMPUTED_VALUE"""),"Parking Lot")</f>
        <v>Parking Lot</v>
      </c>
      <c r="T64" s="8" t="str">
        <f ca="1">IFERROR(__xludf.DUMMYFUNCTION("""COMPUTED_VALUE"""),"Outside on School Property")</f>
        <v>Outside on School Property</v>
      </c>
      <c r="U64" s="8" t="str">
        <f ca="1">IFERROR(__xludf.DUMMYFUNCTION("""COMPUTED_VALUE"""),"No")</f>
        <v>No</v>
      </c>
      <c r="V64" s="8" t="str">
        <f ca="1">IFERROR(__xludf.DUMMYFUNCTION("""COMPUTED_VALUE"""),"School Event")</f>
        <v>School Event</v>
      </c>
      <c r="W64" s="11">
        <f ca="1">IFERROR(__xludf.DUMMYFUNCTION("""COMPUTED_VALUE"""),0.851388888888888)</f>
        <v>0.85138888888888797</v>
      </c>
      <c r="X64" s="8">
        <f ca="1">IFERROR(__xludf.DUMMYFUNCTION("""COMPUTED_VALUE"""),1)</f>
        <v>1</v>
      </c>
      <c r="Y64" s="12" t="str">
        <f ca="1">IFERROR(__xludf.DUMMYFUNCTION("""COMPUTED_VALUE"""),"20 shots fired during fight at prom between teens in the school parking lot")</f>
        <v>20 shots fired during fight at prom between teens in the school parking lot</v>
      </c>
      <c r="Z64" s="12" t="str">
        <f ca="1">IFERROR(__xludf.DUMMYFUNCTION("""COMPUTED_VALUE"""),"Police in Detroit are investigating a shooting that happened Thursday night near Martin Luther King Jr. High School. The incident happened around 8:26 p.m. Thursday in the 3200 block of East Lafayette, when police say a suspect or suspects fired shots in "&amp;"the high school's parking lot. Several teenagers were in the parking lot at the time of the shooting. No one was injured in the shooting, but police are looking to speak to a person of interest who they say was in the area at the time of the shooting.  ig"&amp;"h school students gussied up in their dresses and suits were celebrating their prom at a Detroit high school when shots rang out. Police are now looking for the man accused of firing approximately 20 rounds on Detroit's east side.")</f>
        <v>Police in Detroit are investigating a shooting that happened Thursday night near Martin Luther King Jr. High School. The incident happened around 8:26 p.m. Thursday in the 3200 block of East Lafayette, when police say a suspect or suspects fired shots in the high school's parking lot. Several teenagers were in the parking lot at the time of the shooting. No one was injured in the shooting, but police are looking to speak to a person of interest who they say was in the area at the time of the shooting.  igh school students gussied up in their dresses and suits were celebrating their prom at a Detroit high school when shots rang out. Police are now looking for the man accused of firing approximately 20 rounds on Detroit's east side.</v>
      </c>
      <c r="AA64" s="8" t="str">
        <f ca="1">IFERROR(__xludf.DUMMYFUNCTION("""COMPUTED_VALUE"""),"Escalation of Dispute")</f>
        <v>Escalation of Dispute</v>
      </c>
      <c r="AB64" s="8" t="str">
        <f ca="1">IFERROR(__xludf.DUMMYFUNCTION("""COMPUTED_VALUE"""),"Spontaneous")</f>
        <v>Spontaneous</v>
      </c>
      <c r="AC64" s="8" t="str">
        <f ca="1">IFERROR(__xludf.DUMMYFUNCTION("""COMPUTED_VALUE"""),"Yes")</f>
        <v>Yes</v>
      </c>
      <c r="AD64" s="8" t="str">
        <f ca="1">IFERROR(__xludf.DUMMYFUNCTION("""COMPUTED_VALUE"""),"Victims Targeted")</f>
        <v>Victims Targeted</v>
      </c>
      <c r="AE64" s="8"/>
      <c r="AF64" s="8"/>
      <c r="AG64" s="8" t="str">
        <f ca="1">IFERROR(__xludf.DUMMYFUNCTION("""COMPUTED_VALUE"""),"No")</f>
        <v>No</v>
      </c>
      <c r="AH64" s="8" t="str">
        <f ca="1">IFERROR(__xludf.DUMMYFUNCTION("""COMPUTED_VALUE"""),"No")</f>
        <v>No</v>
      </c>
      <c r="AI64" s="8" t="str">
        <f ca="1">IFERROR(__xludf.DUMMYFUNCTION("""COMPUTED_VALUE"""),"No")</f>
        <v>No</v>
      </c>
      <c r="AJ64" s="8" t="str">
        <f ca="1">IFERROR(__xludf.DUMMYFUNCTION("""COMPUTED_VALUE"""),"No")</f>
        <v>No</v>
      </c>
      <c r="AK64" s="8" t="str">
        <f ca="1">IFERROR(__xludf.DUMMYFUNCTION("""COMPUTED_VALUE"""),"No")</f>
        <v>No</v>
      </c>
      <c r="AL64" s="8"/>
      <c r="AM64" s="8" t="str">
        <f ca="1">IFERROR(__xludf.DUMMYFUNCTION("""COMPUTED_VALUE"""),"No")</f>
        <v>No</v>
      </c>
      <c r="AN64" s="8" t="str">
        <f ca="1">IFERROR(__xludf.DUMMYFUNCTION("""COMPUTED_VALUE"""),"Outside")</f>
        <v>Outside</v>
      </c>
      <c r="AO64" s="8" t="str">
        <f ca="1">IFERROR(__xludf.DUMMYFUNCTION("""COMPUTED_VALUE"""),"No")</f>
        <v>No</v>
      </c>
      <c r="AP64" s="8"/>
      <c r="AQ64" s="8"/>
      <c r="AR64" s="8" t="str">
        <f ca="1">IFERROR(__xludf.DUMMYFUNCTION("""COMPUTED_VALUE"""),"Outside/Off-Property")</f>
        <v>Outside/Off-Property</v>
      </c>
      <c r="AS64" s="8">
        <f ca="1">IFERROR(__xludf.DUMMYFUNCTION("""COMPUTED_VALUE"""),99)</f>
        <v>99</v>
      </c>
      <c r="AT64" s="8" t="str">
        <f ca="1">IFERROR(__xludf.DUMMYFUNCTION("""COMPUTED_VALUE"""),"No")</f>
        <v>No</v>
      </c>
      <c r="AU64" s="8">
        <f ca="1">IFERROR(__xludf.DUMMYFUNCTION("""COMPUTED_VALUE"""),42.344008)</f>
        <v>42.344008000000002</v>
      </c>
      <c r="AV64" s="8">
        <f ca="1">IFERROR(__xludf.DUMMYFUNCTION("""COMPUTED_VALUE"""),-83.017359)</f>
        <v>-83.017358999999999</v>
      </c>
      <c r="AW64" s="8" t="str">
        <f ca="1">IFERROR(__xludf.DUMMYFUNCTION("""COMPUTED_VALUE"""),"Multiple attached buildings")</f>
        <v>Multiple attached buildings</v>
      </c>
      <c r="AX64" s="8">
        <f ca="1">IFERROR(__xludf.DUMMYFUNCTION("""COMPUTED_VALUE"""),48207)</f>
        <v>48207</v>
      </c>
    </row>
    <row r="65" spans="1:50" ht="300" x14ac:dyDescent="0.2">
      <c r="A65" s="8" t="str">
        <f ca="1">IFERROR(__xludf.DUMMYFUNCTION("""COMPUTED_VALUE"""),"20250527WAELV")</f>
        <v>20250527WAELV</v>
      </c>
      <c r="B65" s="8">
        <f ca="1">IFERROR(__xludf.DUMMYFUNCTION("""COMPUTED_VALUE"""),5)</f>
        <v>5</v>
      </c>
      <c r="C65" s="8">
        <f ca="1">IFERROR(__xludf.DUMMYFUNCTION("""COMPUTED_VALUE"""),27)</f>
        <v>27</v>
      </c>
      <c r="D65" s="8">
        <f ca="1">IFERROR(__xludf.DUMMYFUNCTION("""COMPUTED_VALUE"""),2025)</f>
        <v>2025</v>
      </c>
      <c r="E65" s="9">
        <f ca="1">IFERROR(__xludf.DUMMYFUNCTION("""COMPUTED_VALUE"""),45804)</f>
        <v>45804</v>
      </c>
      <c r="F65" s="8" t="str">
        <f ca="1">IFERROR(__xludf.DUMMYFUNCTION("""COMPUTED_VALUE"""),"Eleanor Roosevelt Elementary")</f>
        <v>Eleanor Roosevelt Elementary</v>
      </c>
      <c r="G65" s="8">
        <f ca="1">IFERROR(__xludf.DUMMYFUNCTION("""COMPUTED_VALUE"""),0)</f>
        <v>0</v>
      </c>
      <c r="H65" s="8">
        <f ca="1">IFERROR(__xludf.DUMMYFUNCTION("""COMPUTED_VALUE"""),0)</f>
        <v>0</v>
      </c>
      <c r="I65" s="8">
        <f ca="1">IFERROR(__xludf.DUMMYFUNCTION("""COMPUTED_VALUE"""),0)</f>
        <v>0</v>
      </c>
      <c r="J65" s="8">
        <f ca="1">IFERROR(__xludf.DUMMYFUNCTION("""COMPUTED_VALUE"""),0)</f>
        <v>0</v>
      </c>
      <c r="K65" s="8" t="str">
        <f ca="1">IFERROR(__xludf.DUMMYFUNCTION("""COMPUTED_VALUE"""),"https://www.cityofvancouver.us/vancouver-police-investigate-shooting-6/
https://www.kptv.com/2025/05/27/2-vancouver-students-arrested-after-attempting-hide-gun-school-grounds/
https://www.kgw.com/article/news/crime/teenagers-arrested-shots-fired-near-roos"&amp;"evelt-elementary-school-vancouver/283-0b5a54e9-80db-4548-867e-15fd6cdaa909")</f>
        <v>https://www.cityofvancouver.us/vancouver-police-investigate-shooting-6/
https://www.kptv.com/2025/05/27/2-vancouver-students-arrested-after-attempting-hide-gun-school-grounds/
https://www.kgw.com/article/news/crime/teenagers-arrested-shots-fired-near-roosevelt-elementary-school-vancouver/283-0b5a54e9-80db-4548-867e-15fd6cdaa909</v>
      </c>
      <c r="L65" s="8">
        <f ca="1">IFERROR(__xludf.DUMMYFUNCTION("""COMPUTED_VALUE"""),5)</f>
        <v>5</v>
      </c>
      <c r="M65" s="8" t="str">
        <f ca="1">IFERROR(__xludf.DUMMYFUNCTION("""COMPUTED_VALUE"""),"Local")</f>
        <v>Local</v>
      </c>
      <c r="N65" s="8">
        <f ca="1">IFERROR(__xludf.DUMMYFUNCTION("""COMPUTED_VALUE"""),4)</f>
        <v>4</v>
      </c>
      <c r="O65" s="8" t="str">
        <f ca="1">IFERROR(__xludf.DUMMYFUNCTION("""COMPUTED_VALUE"""),"Spring")</f>
        <v>Spring</v>
      </c>
      <c r="P65" s="8" t="str">
        <f ca="1">IFERROR(__xludf.DUMMYFUNCTION("""COMPUTED_VALUE"""),"Vancouver")</f>
        <v>Vancouver</v>
      </c>
      <c r="Q65" s="8" t="str">
        <f ca="1">IFERROR(__xludf.DUMMYFUNCTION("""COMPUTED_VALUE"""),"WA")</f>
        <v>WA</v>
      </c>
      <c r="R65" s="8" t="str">
        <f ca="1">IFERROR(__xludf.DUMMYFUNCTION("""COMPUTED_VALUE"""),"Elementary")</f>
        <v>Elementary</v>
      </c>
      <c r="S65" s="8" t="str">
        <f ca="1">IFERROR(__xludf.DUMMYFUNCTION("""COMPUTED_VALUE"""),"Parking Lot")</f>
        <v>Parking Lot</v>
      </c>
      <c r="T65" s="8" t="str">
        <f ca="1">IFERROR(__xludf.DUMMYFUNCTION("""COMPUTED_VALUE"""),"Outside on School Property")</f>
        <v>Outside on School Property</v>
      </c>
      <c r="U65" s="8" t="str">
        <f ca="1">IFERROR(__xludf.DUMMYFUNCTION("""COMPUTED_VALUE"""),"Yes")</f>
        <v>Yes</v>
      </c>
      <c r="V65" s="8" t="str">
        <f ca="1">IFERROR(__xludf.DUMMYFUNCTION("""COMPUTED_VALUE"""),"Afternoon Classes")</f>
        <v>Afternoon Classes</v>
      </c>
      <c r="W65" s="11">
        <f ca="1">IFERROR(__xludf.DUMMYFUNCTION("""COMPUTED_VALUE"""),0.506944444444444)</f>
        <v>0.50694444444444398</v>
      </c>
      <c r="X65" s="8">
        <f ca="1">IFERROR(__xludf.DUMMYFUNCTION("""COMPUTED_VALUE"""),1)</f>
        <v>1</v>
      </c>
      <c r="Y65" s="12" t="str">
        <f ca="1">IFERROR(__xludf.DUMMYFUNCTION("""COMPUTED_VALUE"""),"Teens fired shots in parking lot and attempted to hide gun inside the school")</f>
        <v>Teens fired shots in parking lot and attempted to hide gun inside the school</v>
      </c>
      <c r="Z65" s="12" t="str">
        <f ca="1">IFERROR(__xludf.DUMMYFUNCTION("""COMPUTED_VALUE"""),"Today at around 12:10 p.m., Vancouver Police responded to 4100 Plomondon Street for reports of a drive-by shooting in the parking lot. The investigation indicated that an altercation occurred between several individuals in the parking lot, with an unknown"&amp;" male shooting several rounds from a vehicle before driving off. There were no injuries reported. Officers located three shell casings in the parking lot. Roosevelt Elementary School was briefly in secure response while police investigated. During the inv"&amp;"estigation, officers learned one of the juveniles in the parking lot retreated into the school, concealing a handgun wrapped in a sweatshirt. Video surveillance revealed that the juvenile handed the sweatshirt/handgun off to another juvenile, who attempte"&amp;"d to conceal it inside the school. Officers located the sweatshirt inside the school with the stolen handgun. One 15-year-old male and one 17-year-old male were booked into the juvenile detention center for Unlawful Possession of a Firearm II, Possession "&amp;"of a Stolen Firearm, and Possession of a Dangerous Weapon on School Grounds.")</f>
        <v>Today at around 12:10 p.m., Vancouver Police responded to 4100 Plomondon Street for reports of a drive-by shooting in the parking lot. The investigation indicated that an altercation occurred between several individuals in the parking lot, with an unknown male shooting several rounds from a vehicle before driving off. There were no injuries reported. Officers located three shell casings in the parking lot. Roosevelt Elementary School was briefly in secure response while police investigated. During the investigation, officers learned one of the juveniles in the parking lot retreated into the school, concealing a handgun wrapped in a sweatshirt. Video surveillance revealed that the juvenile handed the sweatshirt/handgun off to another juvenile, who attempted to conceal it inside the school. Officers located the sweatshirt inside the school with the stolen handgun. One 15-year-old male and one 17-year-old male were booked into the juvenile detention center for Unlawful Possession of a Firearm II, Possession of a Stolen Firearm, and Possession of a Dangerous Weapon on School Grounds.</v>
      </c>
      <c r="AA65" s="8" t="str">
        <f ca="1">IFERROR(__xludf.DUMMYFUNCTION("""COMPUTED_VALUE"""),"Drive-by Shooting")</f>
        <v>Drive-by Shooting</v>
      </c>
      <c r="AB65" s="8" t="str">
        <f ca="1">IFERROR(__xludf.DUMMYFUNCTION("""COMPUTED_VALUE"""),"Targeted")</f>
        <v>Targeted</v>
      </c>
      <c r="AC65" s="8" t="str">
        <f ca="1">IFERROR(__xludf.DUMMYFUNCTION("""COMPUTED_VALUE"""),"Yes")</f>
        <v>Yes</v>
      </c>
      <c r="AD65" s="8" t="str">
        <f ca="1">IFERROR(__xludf.DUMMYFUNCTION("""COMPUTED_VALUE"""),"Victims Targeted")</f>
        <v>Victims Targeted</v>
      </c>
      <c r="AE65" s="8" t="str">
        <f ca="1">IFERROR(__xludf.DUMMYFUNCTION("""COMPUTED_VALUE"""),"Yes")</f>
        <v>Yes</v>
      </c>
      <c r="AF65" s="8" t="str">
        <f ca="1">IFERROR(__xludf.DUMMYFUNCTION("""COMPUTED_VALUE"""),"Two teens arrested")</f>
        <v>Two teens arrested</v>
      </c>
      <c r="AG65" s="8" t="str">
        <f ca="1">IFERROR(__xludf.DUMMYFUNCTION("""COMPUTED_VALUE"""),"No")</f>
        <v>No</v>
      </c>
      <c r="AH65" s="8" t="str">
        <f ca="1">IFERROR(__xludf.DUMMYFUNCTION("""COMPUTED_VALUE"""),"No")</f>
        <v>No</v>
      </c>
      <c r="AI65" s="8" t="str">
        <f ca="1">IFERROR(__xludf.DUMMYFUNCTION("""COMPUTED_VALUE"""),"No")</f>
        <v>No</v>
      </c>
      <c r="AJ65" s="8" t="str">
        <f ca="1">IFERROR(__xludf.DUMMYFUNCTION("""COMPUTED_VALUE"""),"No")</f>
        <v>No</v>
      </c>
      <c r="AK65" s="8" t="str">
        <f ca="1">IFERROR(__xludf.DUMMYFUNCTION("""COMPUTED_VALUE"""),"No")</f>
        <v>No</v>
      </c>
      <c r="AL65" s="8"/>
      <c r="AM65" s="8" t="str">
        <f ca="1">IFERROR(__xludf.DUMMYFUNCTION("""COMPUTED_VALUE"""),"No")</f>
        <v>No</v>
      </c>
      <c r="AN65" s="8" t="str">
        <f ca="1">IFERROR(__xludf.DUMMYFUNCTION("""COMPUTED_VALUE"""),"Outside")</f>
        <v>Outside</v>
      </c>
      <c r="AO65" s="8" t="str">
        <f ca="1">IFERROR(__xludf.DUMMYFUNCTION("""COMPUTED_VALUE"""),"No")</f>
        <v>No</v>
      </c>
      <c r="AP65" s="8"/>
      <c r="AQ65" s="8"/>
      <c r="AR65" s="8" t="str">
        <f ca="1">IFERROR(__xludf.DUMMYFUNCTION("""COMPUTED_VALUE"""),"Outside/Off-Property")</f>
        <v>Outside/Off-Property</v>
      </c>
      <c r="AS65" s="8">
        <f ca="1">IFERROR(__xludf.DUMMYFUNCTION("""COMPUTED_VALUE"""),99)</f>
        <v>99</v>
      </c>
      <c r="AT65" s="8" t="str">
        <f ca="1">IFERROR(__xludf.DUMMYFUNCTION("""COMPUTED_VALUE"""),"Yes")</f>
        <v>Yes</v>
      </c>
      <c r="AU65" s="8">
        <f ca="1">IFERROR(__xludf.DUMMYFUNCTION("""COMPUTED_VALUE"""),45.643375)</f>
        <v>45.643374999999999</v>
      </c>
      <c r="AV65" s="8">
        <f ca="1">IFERROR(__xludf.DUMMYFUNCTION("""COMPUTED_VALUE"""),-122.627752)</f>
        <v>-122.627752</v>
      </c>
      <c r="AW65" s="8" t="str">
        <f ca="1">IFERROR(__xludf.DUMMYFUNCTION("""COMPUTED_VALUE"""),"Single building indoor hallway")</f>
        <v>Single building indoor hallway</v>
      </c>
      <c r="AX65" s="8">
        <f ca="1">IFERROR(__xludf.DUMMYFUNCTION("""COMPUTED_VALUE"""),98661)</f>
        <v>98661</v>
      </c>
    </row>
    <row r="66" spans="1:50" ht="135" x14ac:dyDescent="0.2">
      <c r="A66" s="8" t="str">
        <f ca="1">IFERROR(__xludf.DUMMYFUNCTION("""COMPUTED_VALUE"""),"20250524OHIPA")</f>
        <v>20250524OHIPA</v>
      </c>
      <c r="B66" s="8">
        <f ca="1">IFERROR(__xludf.DUMMYFUNCTION("""COMPUTED_VALUE"""),5)</f>
        <v>5</v>
      </c>
      <c r="C66" s="8">
        <f ca="1">IFERROR(__xludf.DUMMYFUNCTION("""COMPUTED_VALUE"""),24)</f>
        <v>24</v>
      </c>
      <c r="D66" s="8">
        <f ca="1">IFERROR(__xludf.DUMMYFUNCTION("""COMPUTED_VALUE"""),2025)</f>
        <v>2025</v>
      </c>
      <c r="E66" s="9">
        <f ca="1">IFERROR(__xludf.DUMMYFUNCTION("""COMPUTED_VALUE"""),45801)</f>
        <v>45801</v>
      </c>
      <c r="F66" s="8" t="str">
        <f ca="1">IFERROR(__xludf.DUMMYFUNCTION("""COMPUTED_VALUE"""),"I Promise School")</f>
        <v>I Promise School</v>
      </c>
      <c r="G66" s="8">
        <f ca="1">IFERROR(__xludf.DUMMYFUNCTION("""COMPUTED_VALUE"""),0)</f>
        <v>0</v>
      </c>
      <c r="H66" s="8">
        <f ca="1">IFERROR(__xludf.DUMMYFUNCTION("""COMPUTED_VALUE"""),1)</f>
        <v>1</v>
      </c>
      <c r="I66" s="8">
        <f ca="1">IFERROR(__xludf.DUMMYFUNCTION("""COMPUTED_VALUE"""),1)</f>
        <v>1</v>
      </c>
      <c r="J66" s="8">
        <f ca="1">IFERROR(__xludf.DUMMYFUNCTION("""COMPUTED_VALUE"""),0)</f>
        <v>0</v>
      </c>
      <c r="K66" s="10" t="str">
        <f ca="1">IFERROR(__xludf.DUMMYFUNCTION("""COMPUTED_VALUE"""),"https://www.cleveland19.com/2025/05/27/teen-shot-lebron-james-i-promise-school-akron-police-say/
https://www.beaconjournal.com/story/news/crime/2025/05/27/teen-hospitalized-after-shooting-at-i-promise-school-in-akron/83879841007/
https://fox8.com/news/tee"&amp;"n-shot-at-akron-i-promise-school/")</f>
        <v>https://www.cleveland19.com/2025/05/27/teen-shot-lebron-james-i-promise-school-akron-police-say/
https://www.beaconjournal.com/story/news/crime/2025/05/27/teen-hospitalized-after-shooting-at-i-promise-school-in-akron/83879841007/
https://fox8.com/news/teen-shot-at-akron-i-promise-school/</v>
      </c>
      <c r="L66" s="8">
        <f ca="1">IFERROR(__xludf.DUMMYFUNCTION("""COMPUTED_VALUE"""),7)</f>
        <v>7</v>
      </c>
      <c r="M66" s="8" t="str">
        <f ca="1">IFERROR(__xludf.DUMMYFUNCTION("""COMPUTED_VALUE"""),"Regional")</f>
        <v>Regional</v>
      </c>
      <c r="N66" s="8">
        <f ca="1">IFERROR(__xludf.DUMMYFUNCTION("""COMPUTED_VALUE"""),4)</f>
        <v>4</v>
      </c>
      <c r="O66" s="8" t="str">
        <f ca="1">IFERROR(__xludf.DUMMYFUNCTION("""COMPUTED_VALUE"""),"Spring")</f>
        <v>Spring</v>
      </c>
      <c r="P66" s="8" t="str">
        <f ca="1">IFERROR(__xludf.DUMMYFUNCTION("""COMPUTED_VALUE"""),"Akron")</f>
        <v>Akron</v>
      </c>
      <c r="Q66" s="8" t="str">
        <f ca="1">IFERROR(__xludf.DUMMYFUNCTION("""COMPUTED_VALUE"""),"OH")</f>
        <v>OH</v>
      </c>
      <c r="R66" s="8" t="str">
        <f ca="1">IFERROR(__xludf.DUMMYFUNCTION("""COMPUTED_VALUE"""),"K-8")</f>
        <v>K-8</v>
      </c>
      <c r="S66" s="8" t="str">
        <f ca="1">IFERROR(__xludf.DUMMYFUNCTION("""COMPUTED_VALUE"""),"Outside on School Property")</f>
        <v>Outside on School Property</v>
      </c>
      <c r="T66" s="8" t="str">
        <f ca="1">IFERROR(__xludf.DUMMYFUNCTION("""COMPUTED_VALUE"""),"Outside on School Property")</f>
        <v>Outside on School Property</v>
      </c>
      <c r="U66" s="8" t="str">
        <f ca="1">IFERROR(__xludf.DUMMYFUNCTION("""COMPUTED_VALUE"""),"No")</f>
        <v>No</v>
      </c>
      <c r="V66" s="8" t="str">
        <f ca="1">IFERROR(__xludf.DUMMYFUNCTION("""COMPUTED_VALUE"""),"Not a School Day")</f>
        <v>Not a School Day</v>
      </c>
      <c r="W66" s="11">
        <f ca="1">IFERROR(__xludf.DUMMYFUNCTION("""COMPUTED_VALUE"""),0.64375)</f>
        <v>0.64375000000000004</v>
      </c>
      <c r="X66" s="8">
        <f ca="1">IFERROR(__xludf.DUMMYFUNCTION("""COMPUTED_VALUE"""),1)</f>
        <v>1</v>
      </c>
      <c r="Y66" s="12" t="str">
        <f ca="1">IFERROR(__xludf.DUMMYFUNCTION("""COMPUTED_VALUE"""),"Teen wounded when 24 shots were fired outside the school")</f>
        <v>Teen wounded when 24 shots were fired outside the school</v>
      </c>
      <c r="Z66" s="12" t="str">
        <f ca="1">IFERROR(__xludf.DUMMYFUNCTION("""COMPUTED_VALUE"""),"A 17-year-old was hospitalized after being shot at the I Promise School on May 24, Akron police Lt. Michael Murphy reported in a news release. Officers responded the reports of the shooting at about 3:27 p.m., discovering that the teenage victim had been "&amp;"transported to the hospital by an individual on the scene. The extent of the injuries are unknown. Officers reportedly recovered nearly two dozen shell casings from the scene. The Major Crimes Unit and CrimeScene Unit detectives also responded to the scen"&amp;"e.")</f>
        <v>A 17-year-old was hospitalized after being shot at the I Promise School on May 24, Akron police Lt. Michael Murphy reported in a news release. Officers responded the reports of the shooting at about 3:27 p.m., discovering that the teenage victim had been transported to the hospital by an individual on the scene. The extent of the injuries are unknown. Officers reportedly recovered nearly two dozen shell casings from the scene. The Major Crimes Unit and CrimeScene Unit detectives also responded to the scene.</v>
      </c>
      <c r="AA66" s="8"/>
      <c r="AB66" s="8"/>
      <c r="AC66" s="8"/>
      <c r="AD66" s="8"/>
      <c r="AE66" s="8"/>
      <c r="AF66" s="8"/>
      <c r="AG66" s="8" t="str">
        <f ca="1">IFERROR(__xludf.DUMMYFUNCTION("""COMPUTED_VALUE"""),"No")</f>
        <v>No</v>
      </c>
      <c r="AH66" s="8" t="str">
        <f ca="1">IFERROR(__xludf.DUMMYFUNCTION("""COMPUTED_VALUE"""),"No")</f>
        <v>No</v>
      </c>
      <c r="AI66" s="8" t="str">
        <f ca="1">IFERROR(__xludf.DUMMYFUNCTION("""COMPUTED_VALUE"""),"No")</f>
        <v>No</v>
      </c>
      <c r="AJ66" s="8" t="str">
        <f ca="1">IFERROR(__xludf.DUMMYFUNCTION("""COMPUTED_VALUE"""),"No")</f>
        <v>No</v>
      </c>
      <c r="AK66" s="8" t="str">
        <f ca="1">IFERROR(__xludf.DUMMYFUNCTION("""COMPUTED_VALUE"""),"No")</f>
        <v>No</v>
      </c>
      <c r="AL66" s="8"/>
      <c r="AM66" s="8" t="str">
        <f ca="1">IFERROR(__xludf.DUMMYFUNCTION("""COMPUTED_VALUE"""),"No")</f>
        <v>No</v>
      </c>
      <c r="AN66" s="8" t="str">
        <f ca="1">IFERROR(__xludf.DUMMYFUNCTION("""COMPUTED_VALUE"""),"Outside")</f>
        <v>Outside</v>
      </c>
      <c r="AO66" s="8" t="str">
        <f ca="1">IFERROR(__xludf.DUMMYFUNCTION("""COMPUTED_VALUE"""),"No")</f>
        <v>No</v>
      </c>
      <c r="AP66" s="8"/>
      <c r="AQ66" s="8"/>
      <c r="AR66" s="8" t="str">
        <f ca="1">IFERROR(__xludf.DUMMYFUNCTION("""COMPUTED_VALUE"""),"Outside/Off-Property")</f>
        <v>Outside/Off-Property</v>
      </c>
      <c r="AS66" s="8">
        <f ca="1">IFERROR(__xludf.DUMMYFUNCTION("""COMPUTED_VALUE"""),24)</f>
        <v>24</v>
      </c>
      <c r="AT66" s="8" t="str">
        <f ca="1">IFERROR(__xludf.DUMMYFUNCTION("""COMPUTED_VALUE"""),"No")</f>
        <v>No</v>
      </c>
      <c r="AU66" s="8">
        <f ca="1">IFERROR(__xludf.DUMMYFUNCTION("""COMPUTED_VALUE"""),41.090614)</f>
        <v>41.090614000000002</v>
      </c>
      <c r="AV66" s="8">
        <f ca="1">IFERROR(__xludf.DUMMYFUNCTION("""COMPUTED_VALUE"""),-81.530985)</f>
        <v>-81.530985000000001</v>
      </c>
      <c r="AW66" s="8" t="str">
        <f ca="1">IFERROR(__xludf.DUMMYFUNCTION("""COMPUTED_VALUE"""),"Single building indoor hallway")</f>
        <v>Single building indoor hallway</v>
      </c>
      <c r="AX66" s="8">
        <f ca="1">IFERROR(__xludf.DUMMYFUNCTION("""COMPUTED_VALUE"""),44303)</f>
        <v>44303</v>
      </c>
    </row>
    <row r="67" spans="1:50" ht="195" x14ac:dyDescent="0.2">
      <c r="A67" s="8" t="str">
        <f ca="1">IFERROR(__xludf.DUMMYFUNCTION("""COMPUTED_VALUE"""),"20250522WABRP")</f>
        <v>20250522WABRP</v>
      </c>
      <c r="B67" s="8">
        <f ca="1">IFERROR(__xludf.DUMMYFUNCTION("""COMPUTED_VALUE"""),5)</f>
        <v>5</v>
      </c>
      <c r="C67" s="8">
        <f ca="1">IFERROR(__xludf.DUMMYFUNCTION("""COMPUTED_VALUE"""),22)</f>
        <v>22</v>
      </c>
      <c r="D67" s="8">
        <f ca="1">IFERROR(__xludf.DUMMYFUNCTION("""COMPUTED_VALUE"""),2025)</f>
        <v>2025</v>
      </c>
      <c r="E67" s="9">
        <f ca="1">IFERROR(__xludf.DUMMYFUNCTION("""COMPUTED_VALUE"""),45799)</f>
        <v>45799</v>
      </c>
      <c r="F67" s="8" t="str">
        <f ca="1">IFERROR(__xludf.DUMMYFUNCTION("""COMPUTED_VALUE"""),"Brookdale Elementary School")</f>
        <v>Brookdale Elementary School</v>
      </c>
      <c r="G67" s="8">
        <f ca="1">IFERROR(__xludf.DUMMYFUNCTION("""COMPUTED_VALUE"""),0)</f>
        <v>0</v>
      </c>
      <c r="H67" s="8">
        <f ca="1">IFERROR(__xludf.DUMMYFUNCTION("""COMPUTED_VALUE"""),0)</f>
        <v>0</v>
      </c>
      <c r="I67" s="8">
        <f ca="1">IFERROR(__xludf.DUMMYFUNCTION("""COMPUTED_VALUE"""),0)</f>
        <v>0</v>
      </c>
      <c r="J67" s="8">
        <f ca="1">IFERROR(__xludf.DUMMYFUNCTION("""COMPUTED_VALUE"""),0)</f>
        <v>0</v>
      </c>
      <c r="K67" s="8" t="str">
        <f ca="1">IFERROR(__xludf.DUMMYFUNCTION("""COMPUTED_VALUE"""),"https://komonews.com/news/local/parkland-elementary-school-locked-down-after-child-fires-glock-replica-bb-gun-at-windows
https://www.thenewstribune.com/news/local/crime/article307082726.html")</f>
        <v>https://komonews.com/news/local/parkland-elementary-school-locked-down-after-child-fires-glock-replica-bb-gun-at-windows
https://www.thenewstribune.com/news/local/crime/article307082726.html</v>
      </c>
      <c r="L67" s="8">
        <f ca="1">IFERROR(__xludf.DUMMYFUNCTION("""COMPUTED_VALUE"""),2)</f>
        <v>2</v>
      </c>
      <c r="M67" s="8" t="str">
        <f ca="1">IFERROR(__xludf.DUMMYFUNCTION("""COMPUTED_VALUE"""),"Local")</f>
        <v>Local</v>
      </c>
      <c r="N67" s="8">
        <f ca="1">IFERROR(__xludf.DUMMYFUNCTION("""COMPUTED_VALUE"""),4)</f>
        <v>4</v>
      </c>
      <c r="O67" s="8" t="str">
        <f ca="1">IFERROR(__xludf.DUMMYFUNCTION("""COMPUTED_VALUE"""),"Spring")</f>
        <v>Spring</v>
      </c>
      <c r="P67" s="8" t="str">
        <f ca="1">IFERROR(__xludf.DUMMYFUNCTION("""COMPUTED_VALUE"""),"Parkland")</f>
        <v>Parkland</v>
      </c>
      <c r="Q67" s="8" t="str">
        <f ca="1">IFERROR(__xludf.DUMMYFUNCTION("""COMPUTED_VALUE"""),"WA")</f>
        <v>WA</v>
      </c>
      <c r="R67" s="8" t="str">
        <f ca="1">IFERROR(__xludf.DUMMYFUNCTION("""COMPUTED_VALUE"""),"Elementary")</f>
        <v>Elementary</v>
      </c>
      <c r="S67" s="8" t="str">
        <f ca="1">IFERROR(__xludf.DUMMYFUNCTION("""COMPUTED_VALUE"""),"Beside Building")</f>
        <v>Beside Building</v>
      </c>
      <c r="T67" s="8" t="str">
        <f ca="1">IFERROR(__xludf.DUMMYFUNCTION("""COMPUTED_VALUE"""),"Outside on School Property")</f>
        <v>Outside on School Property</v>
      </c>
      <c r="U67" s="8" t="str">
        <f ca="1">IFERROR(__xludf.DUMMYFUNCTION("""COMPUTED_VALUE"""),"Yes")</f>
        <v>Yes</v>
      </c>
      <c r="V67" s="8" t="str">
        <f ca="1">IFERROR(__xludf.DUMMYFUNCTION("""COMPUTED_VALUE"""),"Morning Classes")</f>
        <v>Morning Classes</v>
      </c>
      <c r="W67" s="11">
        <f ca="1">IFERROR(__xludf.DUMMYFUNCTION("""COMPUTED_VALUE"""),0.380555555555555)</f>
        <v>0.38055555555555498</v>
      </c>
      <c r="X67" s="8">
        <f ca="1">IFERROR(__xludf.DUMMYFUNCTION("""COMPUTED_VALUE"""),1)</f>
        <v>1</v>
      </c>
      <c r="Y67" s="12" t="str">
        <f ca="1">IFERROR(__xludf.DUMMYFUNCTION("""COMPUTED_VALUE"""),"7-year-old fired replica glock pistol at the school breaking two windows and causing a lockdown")</f>
        <v>7-year-old fired replica glock pistol at the school breaking two windows and causing a lockdown</v>
      </c>
      <c r="Z67" s="12" t="str">
        <f ca="1">IFERROR(__xludf.DUMMYFUNCTION("""COMPUTED_VALUE"""),"On Thursday, Pierce County Sheriff's Office deputies were sent to Brookdale Elementary School after reports of shots fired and two windows shattered. The school, located at 611 132nd St S, was placed on lockdown as deputies investigated the incident. Inve"&amp;"stigators determined the shots came from a nearby home, where a 7-year-old boy had fired a compressed air BB gun Glock replica toward the school. The child had received the gun as a gift from a family member, who believed it to be a toy. The Pierce County"&amp;" Sheriff's Office expressed concern over the increasing presence of high-velocity CO2 cartridge BB guns, which they emphasize are not toys and should not be in the hands of children.")</f>
        <v>On Thursday, Pierce County Sheriff's Office deputies were sent to Brookdale Elementary School after reports of shots fired and two windows shattered. The school, located at 611 132nd St S, was placed on lockdown as deputies investigated the incident. Investigators determined the shots came from a nearby home, where a 7-year-old boy had fired a compressed air BB gun Glock replica toward the school. The child had received the gun as a gift from a family member, who believed it to be a toy. The Pierce County Sheriff's Office expressed concern over the increasing presence of high-velocity CO2 cartridge BB guns, which they emphasize are not toys and should not be in the hands of children.</v>
      </c>
      <c r="AA67" s="8" t="str">
        <f ca="1">IFERROR(__xludf.DUMMYFUNCTION("""COMPUTED_VALUE"""),"Intentional Property Damage")</f>
        <v>Intentional Property Damage</v>
      </c>
      <c r="AB67" s="8" t="str">
        <f ca="1">IFERROR(__xludf.DUMMYFUNCTION("""COMPUTED_VALUE"""),"Spontaneous")</f>
        <v>Spontaneous</v>
      </c>
      <c r="AC67" s="8" t="str">
        <f ca="1">IFERROR(__xludf.DUMMYFUNCTION("""COMPUTED_VALUE"""),"Yes")</f>
        <v>Yes</v>
      </c>
      <c r="AD67" s="8" t="str">
        <f ca="1">IFERROR(__xludf.DUMMYFUNCTION("""COMPUTED_VALUE"""),"Victims Targeted")</f>
        <v>Victims Targeted</v>
      </c>
      <c r="AE67" s="8" t="str">
        <f ca="1">IFERROR(__xludf.DUMMYFUNCTION("""COMPUTED_VALUE"""),"No")</f>
        <v>No</v>
      </c>
      <c r="AF67" s="8"/>
      <c r="AG67" s="8" t="str">
        <f ca="1">IFERROR(__xludf.DUMMYFUNCTION("""COMPUTED_VALUE"""),"No")</f>
        <v>No</v>
      </c>
      <c r="AH67" s="8" t="str">
        <f ca="1">IFERROR(__xludf.DUMMYFUNCTION("""COMPUTED_VALUE"""),"No")</f>
        <v>No</v>
      </c>
      <c r="AI67" s="8" t="str">
        <f ca="1">IFERROR(__xludf.DUMMYFUNCTION("""COMPUTED_VALUE"""),"No")</f>
        <v>No</v>
      </c>
      <c r="AJ67" s="8" t="str">
        <f ca="1">IFERROR(__xludf.DUMMYFUNCTION("""COMPUTED_VALUE"""),"No")</f>
        <v>No</v>
      </c>
      <c r="AK67" s="8" t="str">
        <f ca="1">IFERROR(__xludf.DUMMYFUNCTION("""COMPUTED_VALUE"""),"No")</f>
        <v>No</v>
      </c>
      <c r="AL67" s="8" t="str">
        <f ca="1">IFERROR(__xludf.DUMMYFUNCTION("""COMPUTED_VALUE"""),"No")</f>
        <v>No</v>
      </c>
      <c r="AM67" s="8" t="str">
        <f ca="1">IFERROR(__xludf.DUMMYFUNCTION("""COMPUTED_VALUE"""),"No")</f>
        <v>No</v>
      </c>
      <c r="AN67" s="8" t="str">
        <f ca="1">IFERROR(__xludf.DUMMYFUNCTION("""COMPUTED_VALUE"""),"Outside")</f>
        <v>Outside</v>
      </c>
      <c r="AO67" s="8" t="str">
        <f ca="1">IFERROR(__xludf.DUMMYFUNCTION("""COMPUTED_VALUE"""),"No")</f>
        <v>No</v>
      </c>
      <c r="AP67" s="8"/>
      <c r="AQ67" s="8"/>
      <c r="AR67" s="8" t="str">
        <f ca="1">IFERROR(__xludf.DUMMYFUNCTION("""COMPUTED_VALUE"""),"Outside/Off-Property")</f>
        <v>Outside/Off-Property</v>
      </c>
      <c r="AS67" s="8">
        <f ca="1">IFERROR(__xludf.DUMMYFUNCTION("""COMPUTED_VALUE"""),99)</f>
        <v>99</v>
      </c>
      <c r="AT67" s="8" t="str">
        <f ca="1">IFERROR(__xludf.DUMMYFUNCTION("""COMPUTED_VALUE"""),"Yes")</f>
        <v>Yes</v>
      </c>
      <c r="AU67" s="8">
        <f ca="1">IFERROR(__xludf.DUMMYFUNCTION("""COMPUTED_VALUE"""),47.137639)</f>
        <v>47.137639</v>
      </c>
      <c r="AV67" s="8">
        <f ca="1">IFERROR(__xludf.DUMMYFUNCTION("""COMPUTED_VALUE"""),-122.440339)</f>
        <v>-122.44033899999999</v>
      </c>
      <c r="AW67" s="8" t="str">
        <f ca="1">IFERROR(__xludf.DUMMYFUNCTION("""COMPUTED_VALUE"""),"Single building indoor hallway")</f>
        <v>Single building indoor hallway</v>
      </c>
      <c r="AX67" s="8">
        <f ca="1">IFERROR(__xludf.DUMMYFUNCTION("""COMPUTED_VALUE"""),98444)</f>
        <v>98444</v>
      </c>
    </row>
    <row r="68" spans="1:50" ht="285" x14ac:dyDescent="0.2">
      <c r="A68" s="8" t="str">
        <f ca="1">IFERROR(__xludf.DUMMYFUNCTION("""COMPUTED_VALUE"""),"20250521PAWIA")</f>
        <v>20250521PAWIA</v>
      </c>
      <c r="B68" s="8">
        <f ca="1">IFERROR(__xludf.DUMMYFUNCTION("""COMPUTED_VALUE"""),5)</f>
        <v>5</v>
      </c>
      <c r="C68" s="8">
        <f ca="1">IFERROR(__xludf.DUMMYFUNCTION("""COMPUTED_VALUE"""),21)</f>
        <v>21</v>
      </c>
      <c r="D68" s="8">
        <f ca="1">IFERROR(__xludf.DUMMYFUNCTION("""COMPUTED_VALUE"""),2025)</f>
        <v>2025</v>
      </c>
      <c r="E68" s="9">
        <f ca="1">IFERROR(__xludf.DUMMYFUNCTION("""COMPUTED_VALUE"""),45798)</f>
        <v>45798</v>
      </c>
      <c r="F68" s="8" t="str">
        <f ca="1">IFERROR(__xludf.DUMMYFUNCTION("""COMPUTED_VALUE"""),"William Allen High School")</f>
        <v>William Allen High School</v>
      </c>
      <c r="G68" s="8">
        <f ca="1">IFERROR(__xludf.DUMMYFUNCTION("""COMPUTED_VALUE"""),0)</f>
        <v>0</v>
      </c>
      <c r="H68" s="8">
        <f ca="1">IFERROR(__xludf.DUMMYFUNCTION("""COMPUTED_VALUE"""),1)</f>
        <v>1</v>
      </c>
      <c r="I68" s="8">
        <f ca="1">IFERROR(__xludf.DUMMYFUNCTION("""COMPUTED_VALUE"""),1)</f>
        <v>1</v>
      </c>
      <c r="J68" s="8">
        <f ca="1">IFERROR(__xludf.DUMMYFUNCTION("""COMPUTED_VALUE"""),0)</f>
        <v>0</v>
      </c>
      <c r="K68" s="8" t="str">
        <f ca="1">IFERROR(__xludf.DUMMYFUNCTION("""COMPUTED_VALUE"""),"https://www.wfmz.com/news/area/lehighvalley/lehigh-county/allentown-area/arrests-made-in-shooting-that-injured-woman-near-william-allen-high-school/article_b069fcc9-3e5b-4e53-b414-f36f40779d8a.html
https://www.wfmz.com/news/area/lehighvalley/lehigh-county"&amp;"/allentown-area/2-people-shot-at-each-other-at-parking-lot-near-high-school-in-shooting-that/article_41b0aabf-0068-4744-9db0-26869cd77128.html
https://archive.is/wzR77
https://www.tiogapublishing.com/news/state/woman-injured-in-shooting-near-william-allen"&amp;"-hs-that-led-to-brief-lockdown/article_b749e1d2-cd9a-56f1-8dca-cffe56ce3571.html")</f>
        <v>https://www.wfmz.com/news/area/lehighvalley/lehigh-county/allentown-area/arrests-made-in-shooting-that-injured-woman-near-william-allen-high-school/article_b069fcc9-3e5b-4e53-b414-f36f40779d8a.html
https://www.wfmz.com/news/area/lehighvalley/lehigh-county/allentown-area/2-people-shot-at-each-other-at-parking-lot-near-high-school-in-shooting-that/article_41b0aabf-0068-4744-9db0-26869cd77128.html
https://archive.is/wzR77
https://www.tiogapublishing.com/news/state/woman-injured-in-shooting-near-william-allen-hs-that-led-to-brief-lockdown/article_b749e1d2-cd9a-56f1-8dca-cffe56ce3571.html</v>
      </c>
      <c r="L68" s="8">
        <f ca="1">IFERROR(__xludf.DUMMYFUNCTION("""COMPUTED_VALUE"""),10)</f>
        <v>10</v>
      </c>
      <c r="M68" s="8" t="str">
        <f ca="1">IFERROR(__xludf.DUMMYFUNCTION("""COMPUTED_VALUE"""),"Regional")</f>
        <v>Regional</v>
      </c>
      <c r="N68" s="8">
        <f ca="1">IFERROR(__xludf.DUMMYFUNCTION("""COMPUTED_VALUE"""),4)</f>
        <v>4</v>
      </c>
      <c r="O68" s="8" t="str">
        <f ca="1">IFERROR(__xludf.DUMMYFUNCTION("""COMPUTED_VALUE"""),"Spring")</f>
        <v>Spring</v>
      </c>
      <c r="P68" s="8" t="str">
        <f ca="1">IFERROR(__xludf.DUMMYFUNCTION("""COMPUTED_VALUE"""),"Allentown")</f>
        <v>Allentown</v>
      </c>
      <c r="Q68" s="8" t="str">
        <f ca="1">IFERROR(__xludf.DUMMYFUNCTION("""COMPUTED_VALUE"""),"PA")</f>
        <v>PA</v>
      </c>
      <c r="R68" s="8" t="str">
        <f ca="1">IFERROR(__xludf.DUMMYFUNCTION("""COMPUTED_VALUE"""),"High")</f>
        <v>High</v>
      </c>
      <c r="S68" s="8" t="str">
        <f ca="1">IFERROR(__xludf.DUMMYFUNCTION("""COMPUTED_VALUE"""),"Parking Lot")</f>
        <v>Parking Lot</v>
      </c>
      <c r="T68" s="8" t="str">
        <f ca="1">IFERROR(__xludf.DUMMYFUNCTION("""COMPUTED_VALUE"""),"Outside on School Property")</f>
        <v>Outside on School Property</v>
      </c>
      <c r="U68" s="8" t="str">
        <f ca="1">IFERROR(__xludf.DUMMYFUNCTION("""COMPUTED_VALUE"""),"Yes")</f>
        <v>Yes</v>
      </c>
      <c r="V68" s="8" t="str">
        <f ca="1">IFERROR(__xludf.DUMMYFUNCTION("""COMPUTED_VALUE"""),"Morning Classes")</f>
        <v>Morning Classes</v>
      </c>
      <c r="W68" s="11">
        <f ca="1">IFERROR(__xludf.DUMMYFUNCTION("""COMPUTED_VALUE"""),0.361111111111111)</f>
        <v>0.36111111111111099</v>
      </c>
      <c r="X68" s="8">
        <f ca="1">IFERROR(__xludf.DUMMYFUNCTION("""COMPUTED_VALUE"""),1)</f>
        <v>1</v>
      </c>
      <c r="Y68" s="12" t="str">
        <f ca="1">IFERROR(__xludf.DUMMYFUNCTION("""COMPUTED_VALUE"""),"Woman shot in the school parking lot by a group of teens, suspected identified by SRO, school went on lockdown for more than an hour")</f>
        <v>Woman shot in the school parking lot by a group of teens, suspected identified by SRO, school went on lockdown for more than an hour</v>
      </c>
      <c r="Z68" s="12" t="str">
        <f ca="1">IFERROR(__xludf.DUMMYFUNCTION("""COMPUTED_VALUE"""),"City police said in a news release that officers were called about 8:40 a.m. to the area of 18th and Chew streets for a report of a shooting. Investigators found the woman who was shot and provided aid to her before an ambulance took her to a nearby hospi"&amp;"tal. Lehigh County District Attorney Gavin Holihan said in a news release that the woman was shot in the leg. During the investigation police identified two suspects who fired at each other, both of whom were found and detained, according to the release. "&amp;"Both are adults; they have not yet been publicly identified. There was an immediate response from law enforcement, including school resource officers from Allen High School, to the shooting. A person of interest was identified and detained within minutes "&amp;"of the first 911 call, the DA said. An Allentown School District spokesperson said Allen High School and Raub Middle School were briefly placed on a perimeter lockdown because of police activity nearby. She said just before 10 a.m. that the lockdown was l"&amp;"ifted, and that classes resumed.")</f>
        <v>City police said in a news release that officers were called about 8:40 a.m. to the area of 18th and Chew streets for a report of a shooting. Investigators found the woman who was shot and provided aid to her before an ambulance took her to a nearby hospital. Lehigh County District Attorney Gavin Holihan said in a news release that the woman was shot in the leg. During the investigation police identified two suspects who fired at each other, both of whom were found and detained, according to the release. Both are adults; they have not yet been publicly identified. There was an immediate response from law enforcement, including school resource officers from Allen High School, to the shooting. A person of interest was identified and detained within minutes of the first 911 call, the DA said. An Allentown School District spokesperson said Allen High School and Raub Middle School were briefly placed on a perimeter lockdown because of police activity nearby. She said just before 10 a.m. that the lockdown was lifted, and that classes resumed.</v>
      </c>
      <c r="AA68" s="8" t="str">
        <f ca="1">IFERROR(__xludf.DUMMYFUNCTION("""COMPUTED_VALUE"""),"Escalation of Dispute")</f>
        <v>Escalation of Dispute</v>
      </c>
      <c r="AB68" s="8" t="str">
        <f ca="1">IFERROR(__xludf.DUMMYFUNCTION("""COMPUTED_VALUE"""),"Spontaneous")</f>
        <v>Spontaneous</v>
      </c>
      <c r="AC68" s="8" t="str">
        <f ca="1">IFERROR(__xludf.DUMMYFUNCTION("""COMPUTED_VALUE"""),"Yes")</f>
        <v>Yes</v>
      </c>
      <c r="AD68" s="8" t="str">
        <f ca="1">IFERROR(__xludf.DUMMYFUNCTION("""COMPUTED_VALUE"""),"Victims Targeted")</f>
        <v>Victims Targeted</v>
      </c>
      <c r="AE68" s="8" t="str">
        <f ca="1">IFERROR(__xludf.DUMMYFUNCTION("""COMPUTED_VALUE"""),"Yes")</f>
        <v>Yes</v>
      </c>
      <c r="AF68" s="8" t="str">
        <f ca="1">IFERROR(__xludf.DUMMYFUNCTION("""COMPUTED_VALUE"""),"Two men arrested")</f>
        <v>Two men arrested</v>
      </c>
      <c r="AG68" s="8" t="str">
        <f ca="1">IFERROR(__xludf.DUMMYFUNCTION("""COMPUTED_VALUE"""),"No")</f>
        <v>No</v>
      </c>
      <c r="AH68" s="8" t="str">
        <f ca="1">IFERROR(__xludf.DUMMYFUNCTION("""COMPUTED_VALUE"""),"No")</f>
        <v>No</v>
      </c>
      <c r="AI68" s="8" t="str">
        <f ca="1">IFERROR(__xludf.DUMMYFUNCTION("""COMPUTED_VALUE"""),"No")</f>
        <v>No</v>
      </c>
      <c r="AJ68" s="8" t="str">
        <f ca="1">IFERROR(__xludf.DUMMYFUNCTION("""COMPUTED_VALUE"""),"No")</f>
        <v>No</v>
      </c>
      <c r="AK68" s="8" t="str">
        <f ca="1">IFERROR(__xludf.DUMMYFUNCTION("""COMPUTED_VALUE"""),"Yes")</f>
        <v>Yes</v>
      </c>
      <c r="AL68" s="8" t="str">
        <f ca="1">IFERROR(__xludf.DUMMYFUNCTION("""COMPUTED_VALUE"""),"No")</f>
        <v>No</v>
      </c>
      <c r="AM68" s="8" t="str">
        <f ca="1">IFERROR(__xludf.DUMMYFUNCTION("""COMPUTED_VALUE"""),"No")</f>
        <v>No</v>
      </c>
      <c r="AN68" s="8" t="str">
        <f ca="1">IFERROR(__xludf.DUMMYFUNCTION("""COMPUTED_VALUE"""),"Outside")</f>
        <v>Outside</v>
      </c>
      <c r="AO68" s="8" t="str">
        <f ca="1">IFERROR(__xludf.DUMMYFUNCTION("""COMPUTED_VALUE"""),"No")</f>
        <v>No</v>
      </c>
      <c r="AP68" s="8"/>
      <c r="AQ68" s="8"/>
      <c r="AR68" s="8" t="str">
        <f ca="1">IFERROR(__xludf.DUMMYFUNCTION("""COMPUTED_VALUE"""),"Outside/Off-Property")</f>
        <v>Outside/Off-Property</v>
      </c>
      <c r="AS68" s="8">
        <f ca="1">IFERROR(__xludf.DUMMYFUNCTION("""COMPUTED_VALUE"""),99)</f>
        <v>99</v>
      </c>
      <c r="AT68" s="8" t="str">
        <f ca="1">IFERROR(__xludf.DUMMYFUNCTION("""COMPUTED_VALUE"""),"Yes")</f>
        <v>Yes</v>
      </c>
      <c r="AU68" s="8">
        <f ca="1">IFERROR(__xludf.DUMMYFUNCTION("""COMPUTED_VALUE"""),40.599631)</f>
        <v>40.599631000000002</v>
      </c>
      <c r="AV68" s="8">
        <f ca="1">IFERROR(__xludf.DUMMYFUNCTION("""COMPUTED_VALUE"""),-75.496052)</f>
        <v>-75.496052000000006</v>
      </c>
      <c r="AW68" s="8" t="str">
        <f ca="1">IFERROR(__xludf.DUMMYFUNCTION("""COMPUTED_VALUE"""),"Urban Street Standalone")</f>
        <v>Urban Street Standalone</v>
      </c>
      <c r="AX68" s="8">
        <f ca="1">IFERROR(__xludf.DUMMYFUNCTION("""COMPUTED_VALUE"""),18104)</f>
        <v>18104</v>
      </c>
    </row>
    <row r="69" spans="1:50" ht="255" x14ac:dyDescent="0.2">
      <c r="A69" s="8" t="str">
        <f ca="1">IFERROR(__xludf.DUMMYFUNCTION("""COMPUTED_VALUE"""),"20250520DCSPW")</f>
        <v>20250520DCSPW</v>
      </c>
      <c r="B69" s="8">
        <f ca="1">IFERROR(__xludf.DUMMYFUNCTION("""COMPUTED_VALUE"""),5)</f>
        <v>5</v>
      </c>
      <c r="C69" s="8">
        <f ca="1">IFERROR(__xludf.DUMMYFUNCTION("""COMPUTED_VALUE"""),20)</f>
        <v>20</v>
      </c>
      <c r="D69" s="8">
        <f ca="1">IFERROR(__xludf.DUMMYFUNCTION("""COMPUTED_VALUE"""),2025)</f>
        <v>2025</v>
      </c>
      <c r="E69" s="9">
        <f ca="1">IFERROR(__xludf.DUMMYFUNCTION("""COMPUTED_VALUE"""),45797)</f>
        <v>45797</v>
      </c>
      <c r="F69" s="8" t="str">
        <f ca="1">IFERROR(__xludf.DUMMYFUNCTION("""COMPUTED_VALUE"""),"Spingarn High School")</f>
        <v>Spingarn High School</v>
      </c>
      <c r="G69" s="8">
        <f ca="1">IFERROR(__xludf.DUMMYFUNCTION("""COMPUTED_VALUE"""),1)</f>
        <v>1</v>
      </c>
      <c r="H69" s="8">
        <f ca="1">IFERROR(__xludf.DUMMYFUNCTION("""COMPUTED_VALUE"""),0)</f>
        <v>0</v>
      </c>
      <c r="I69" s="8">
        <f ca="1">IFERROR(__xludf.DUMMYFUNCTION("""COMPUTED_VALUE"""),1)</f>
        <v>1</v>
      </c>
      <c r="J69" s="8">
        <f ca="1">IFERROR(__xludf.DUMMYFUNCTION("""COMPUTED_VALUE"""),0)</f>
        <v>0</v>
      </c>
      <c r="K69" s="8" t="str">
        <f ca="1">IFERROR(__xludf.DUMMYFUNCTION("""COMPUTED_VALUE"""),"https://www.wusa9.com/article/news/crime/shooting-near-school-in-ne-dc/65-84d3701e-81a1-4176-b8fb-8493b10ae978
https://www.wusa9.com/video/news/crime/all-the-kids-in-a-locker-hiding-deadly-northeast-dc-shooting-happens-near-elementary-school-track-meet/65"&amp;"-b023b3ad-9396-4480-9af2-117c6e6e303f
https://www.fox5dc.com/news/shooting-elementary-school-track-meet-near-former-dc-high-school")</f>
        <v>https://www.wusa9.com/article/news/crime/shooting-near-school-in-ne-dc/65-84d3701e-81a1-4176-b8fb-8493b10ae978
https://www.wusa9.com/video/news/crime/all-the-kids-in-a-locker-hiding-deadly-northeast-dc-shooting-happens-near-elementary-school-track-meet/65-b023b3ad-9396-4480-9af2-117c6e6e303f
https://www.fox5dc.com/news/shooting-elementary-school-track-meet-near-former-dc-high-school</v>
      </c>
      <c r="L69" s="8">
        <f ca="1">IFERROR(__xludf.DUMMYFUNCTION("""COMPUTED_VALUE"""),15)</f>
        <v>15</v>
      </c>
      <c r="M69" s="8" t="str">
        <f ca="1">IFERROR(__xludf.DUMMYFUNCTION("""COMPUTED_VALUE"""),"Regional")</f>
        <v>Regional</v>
      </c>
      <c r="N69" s="8">
        <f ca="1">IFERROR(__xludf.DUMMYFUNCTION("""COMPUTED_VALUE"""),4)</f>
        <v>4</v>
      </c>
      <c r="O69" s="8" t="str">
        <f ca="1">IFERROR(__xludf.DUMMYFUNCTION("""COMPUTED_VALUE"""),"Spring")</f>
        <v>Spring</v>
      </c>
      <c r="P69" s="8" t="str">
        <f ca="1">IFERROR(__xludf.DUMMYFUNCTION("""COMPUTED_VALUE"""),"Washington")</f>
        <v>Washington</v>
      </c>
      <c r="Q69" s="8" t="str">
        <f ca="1">IFERROR(__xludf.DUMMYFUNCTION("""COMPUTED_VALUE"""),"DC")</f>
        <v>DC</v>
      </c>
      <c r="R69" s="8" t="str">
        <f ca="1">IFERROR(__xludf.DUMMYFUNCTION("""COMPUTED_VALUE"""),"High")</f>
        <v>High</v>
      </c>
      <c r="S69" s="8" t="str">
        <f ca="1">IFERROR(__xludf.DUMMYFUNCTION("""COMPUTED_VALUE"""),"Football Field/Track")</f>
        <v>Football Field/Track</v>
      </c>
      <c r="T69" s="8" t="str">
        <f ca="1">IFERROR(__xludf.DUMMYFUNCTION("""COMPUTED_VALUE"""),"Outside on School Property")</f>
        <v>Outside on School Property</v>
      </c>
      <c r="U69" s="8" t="str">
        <f ca="1">IFERROR(__xludf.DUMMYFUNCTION("""COMPUTED_VALUE"""),"Yes")</f>
        <v>Yes</v>
      </c>
      <c r="V69" s="8" t="str">
        <f ca="1">IFERROR(__xludf.DUMMYFUNCTION("""COMPUTED_VALUE"""),"Sport Event")</f>
        <v>Sport Event</v>
      </c>
      <c r="W69" s="11">
        <f ca="1">IFERROR(__xludf.DUMMYFUNCTION("""COMPUTED_VALUE"""),0.580555555555555)</f>
        <v>0.58055555555555505</v>
      </c>
      <c r="X69" s="8">
        <f ca="1">IFERROR(__xludf.DUMMYFUNCTION("""COMPUTED_VALUE"""),1)</f>
        <v>1</v>
      </c>
      <c r="Y69" s="12" t="str">
        <f ca="1">IFERROR(__xludf.DUMMYFUNCTION("""COMPUTED_VALUE"""),"20 shots fired and man killed next to elementary school track meet")</f>
        <v>20 shots fired and man killed next to elementary school track meet</v>
      </c>
      <c r="Z69" s="12" t="str">
        <f ca="1">IFERROR(__xludf.DUMMYFUNCTION("""COMPUTED_VALUE"""),"According to DC Police, the shooting happened in the 800 block of 26th Street Northeast, near Charles Young Elementary School and the former Spingarn High School. Spingarn, which closed in 2013 due to low enrollment, is sometimes used by nearby schools fo"&amp;"r track meets and other sports events. The shots rang out as a championship track meet for 4th and 5th graders started to get underway at Spingarn. The shooting sent the children, parents and coaches running for cover. ""Everyone was crying and people wer"&amp;"e having panic attacks,"" one young girl said. One parent described the scene as chaotic and heard more than 20 shots go off. The meet, part of the DC Interscholastic Athletics Association's Elementary Track Championship, was cancelled. DC Police Chief Pa"&amp;"mela Smith said a man was found unconscious and not breathing, and while life-saving measures were attempted, the victim died at the scene. ")</f>
        <v xml:space="preserve">According to DC Police, the shooting happened in the 800 block of 26th Street Northeast, near Charles Young Elementary School and the former Spingarn High School. Spingarn, which closed in 2013 due to low enrollment, is sometimes used by nearby schools for track meets and other sports events. The shots rang out as a championship track meet for 4th and 5th graders started to get underway at Spingarn. The shooting sent the children, parents and coaches running for cover. "Everyone was crying and people were having panic attacks," one young girl said. One parent described the scene as chaotic and heard more than 20 shots go off. The meet, part of the DC Interscholastic Athletics Association's Elementary Track Championship, was cancelled. DC Police Chief Pamela Smith said a man was found unconscious and not breathing, and while life-saving measures were attempted, the victim died at the scene. </v>
      </c>
      <c r="AA69" s="8"/>
      <c r="AB69" s="8" t="str">
        <f ca="1">IFERROR(__xludf.DUMMYFUNCTION("""COMPUTED_VALUE"""),"Targeted")</f>
        <v>Targeted</v>
      </c>
      <c r="AC69" s="8" t="str">
        <f ca="1">IFERROR(__xludf.DUMMYFUNCTION("""COMPUTED_VALUE"""),"Yes")</f>
        <v>Yes</v>
      </c>
      <c r="AD69" s="8" t="str">
        <f ca="1">IFERROR(__xludf.DUMMYFUNCTION("""COMPUTED_VALUE"""),"Victims Targeted")</f>
        <v>Victims Targeted</v>
      </c>
      <c r="AE69" s="8" t="str">
        <f ca="1">IFERROR(__xludf.DUMMYFUNCTION("""COMPUTED_VALUE"""),"Yes")</f>
        <v>Yes</v>
      </c>
      <c r="AF69" s="8" t="str">
        <f ca="1">IFERROR(__xludf.DUMMYFUNCTION("""COMPUTED_VALUE"""),"Three shooters")</f>
        <v>Three shooters</v>
      </c>
      <c r="AG69" s="8" t="str">
        <f ca="1">IFERROR(__xludf.DUMMYFUNCTION("""COMPUTED_VALUE"""),"No")</f>
        <v>No</v>
      </c>
      <c r="AH69" s="8" t="str">
        <f ca="1">IFERROR(__xludf.DUMMYFUNCTION("""COMPUTED_VALUE"""),"No")</f>
        <v>No</v>
      </c>
      <c r="AI69" s="8" t="str">
        <f ca="1">IFERROR(__xludf.DUMMYFUNCTION("""COMPUTED_VALUE"""),"No")</f>
        <v>No</v>
      </c>
      <c r="AJ69" s="8" t="str">
        <f ca="1">IFERROR(__xludf.DUMMYFUNCTION("""COMPUTED_VALUE"""),"No")</f>
        <v>No</v>
      </c>
      <c r="AK69" s="8" t="str">
        <f ca="1">IFERROR(__xludf.DUMMYFUNCTION("""COMPUTED_VALUE"""),"No")</f>
        <v>No</v>
      </c>
      <c r="AL69" s="8"/>
      <c r="AM69" s="8" t="str">
        <f ca="1">IFERROR(__xludf.DUMMYFUNCTION("""COMPUTED_VALUE"""),"No")</f>
        <v>No</v>
      </c>
      <c r="AN69" s="8" t="str">
        <f ca="1">IFERROR(__xludf.DUMMYFUNCTION("""COMPUTED_VALUE"""),"Outside")</f>
        <v>Outside</v>
      </c>
      <c r="AO69" s="8" t="str">
        <f ca="1">IFERROR(__xludf.DUMMYFUNCTION("""COMPUTED_VALUE"""),"No")</f>
        <v>No</v>
      </c>
      <c r="AP69" s="8"/>
      <c r="AQ69" s="8"/>
      <c r="AR69" s="8" t="str">
        <f ca="1">IFERROR(__xludf.DUMMYFUNCTION("""COMPUTED_VALUE"""),"Outside/Off-Property")</f>
        <v>Outside/Off-Property</v>
      </c>
      <c r="AS69" s="8">
        <f ca="1">IFERROR(__xludf.DUMMYFUNCTION("""COMPUTED_VALUE"""),20)</f>
        <v>20</v>
      </c>
      <c r="AT69" s="8" t="str">
        <f ca="1">IFERROR(__xludf.DUMMYFUNCTION("""COMPUTED_VALUE"""),"Yes")</f>
        <v>Yes</v>
      </c>
      <c r="AU69" s="8">
        <f ca="1">IFERROR(__xludf.DUMMYFUNCTION("""COMPUTED_VALUE"""),38.900779)</f>
        <v>38.900779</v>
      </c>
      <c r="AV69" s="8">
        <f ca="1">IFERROR(__xludf.DUMMYFUNCTION("""COMPUTED_VALUE"""),-76.970196)</f>
        <v>-76.970196000000001</v>
      </c>
      <c r="AW69" s="8" t="str">
        <f ca="1">IFERROR(__xludf.DUMMYFUNCTION("""COMPUTED_VALUE"""),"Urban Street Standalone")</f>
        <v>Urban Street Standalone</v>
      </c>
      <c r="AX69" s="8">
        <f ca="1">IFERROR(__xludf.DUMMYFUNCTION("""COMPUTED_VALUE"""),20002)</f>
        <v>20002</v>
      </c>
    </row>
    <row r="70" spans="1:50" ht="135" x14ac:dyDescent="0.2">
      <c r="A70" s="8" t="str">
        <f ca="1">IFERROR(__xludf.DUMMYFUNCTION("""COMPUTED_VALUE"""),"20250520VAECC")</f>
        <v>20250520VAECC</v>
      </c>
      <c r="B70" s="8">
        <f ca="1">IFERROR(__xludf.DUMMYFUNCTION("""COMPUTED_VALUE"""),5)</f>
        <v>5</v>
      </c>
      <c r="C70" s="8">
        <f ca="1">IFERROR(__xludf.DUMMYFUNCTION("""COMPUTED_VALUE"""),20)</f>
        <v>20</v>
      </c>
      <c r="D70" s="8">
        <f ca="1">IFERROR(__xludf.DUMMYFUNCTION("""COMPUTED_VALUE"""),2025)</f>
        <v>2025</v>
      </c>
      <c r="E70" s="9">
        <f ca="1">IFERROR(__xludf.DUMMYFUNCTION("""COMPUTED_VALUE"""),45797)</f>
        <v>45797</v>
      </c>
      <c r="F70" s="8" t="str">
        <f ca="1">IFERROR(__xludf.DUMMYFUNCTION("""COMPUTED_VALUE"""),"Ecoff Elementary School")</f>
        <v>Ecoff Elementary School</v>
      </c>
      <c r="G70" s="8">
        <f ca="1">IFERROR(__xludf.DUMMYFUNCTION("""COMPUTED_VALUE"""),0)</f>
        <v>0</v>
      </c>
      <c r="H70" s="8">
        <f ca="1">IFERROR(__xludf.DUMMYFUNCTION("""COMPUTED_VALUE"""),0)</f>
        <v>0</v>
      </c>
      <c r="I70" s="8">
        <f ca="1">IFERROR(__xludf.DUMMYFUNCTION("""COMPUTED_VALUE"""),0)</f>
        <v>0</v>
      </c>
      <c r="J70" s="8">
        <f ca="1">IFERROR(__xludf.DUMMYFUNCTION("""COMPUTED_VALUE"""),0)</f>
        <v>0</v>
      </c>
      <c r="K70" s="10" t="str">
        <f ca="1">IFERROR(__xludf.DUMMYFUNCTION("""COMPUTED_VALUE"""),"https://www.wtvr.com/news/local-news/goyne-park-shots-fired-arrest-may-21-2025
https://www.wtvr.com/news/local-news/gunfire-chester-park-may-20-2025")</f>
        <v>https://www.wtvr.com/news/local-news/goyne-park-shots-fired-arrest-may-21-2025
https://www.wtvr.com/news/local-news/gunfire-chester-park-may-20-2025</v>
      </c>
      <c r="L70" s="8">
        <f ca="1">IFERROR(__xludf.DUMMYFUNCTION("""COMPUTED_VALUE"""),2)</f>
        <v>2</v>
      </c>
      <c r="M70" s="8" t="str">
        <f ca="1">IFERROR(__xludf.DUMMYFUNCTION("""COMPUTED_VALUE"""),"Local")</f>
        <v>Local</v>
      </c>
      <c r="N70" s="8">
        <f ca="1">IFERROR(__xludf.DUMMYFUNCTION("""COMPUTED_VALUE"""),4)</f>
        <v>4</v>
      </c>
      <c r="O70" s="8" t="str">
        <f ca="1">IFERROR(__xludf.DUMMYFUNCTION("""COMPUTED_VALUE"""),"Spring")</f>
        <v>Spring</v>
      </c>
      <c r="P70" s="8" t="str">
        <f ca="1">IFERROR(__xludf.DUMMYFUNCTION("""COMPUTED_VALUE"""),"Chester")</f>
        <v>Chester</v>
      </c>
      <c r="Q70" s="8" t="str">
        <f ca="1">IFERROR(__xludf.DUMMYFUNCTION("""COMPUTED_VALUE"""),"VA")</f>
        <v>VA</v>
      </c>
      <c r="R70" s="8" t="str">
        <f ca="1">IFERROR(__xludf.DUMMYFUNCTION("""COMPUTED_VALUE"""),"Elementary")</f>
        <v>Elementary</v>
      </c>
      <c r="S70" s="8" t="str">
        <f ca="1">IFERROR(__xludf.DUMMYFUNCTION("""COMPUTED_VALUE"""),"Playground")</f>
        <v>Playground</v>
      </c>
      <c r="T70" s="8" t="str">
        <f ca="1">IFERROR(__xludf.DUMMYFUNCTION("""COMPUTED_VALUE"""),"Outside on School Property")</f>
        <v>Outside on School Property</v>
      </c>
      <c r="U70" s="8" t="str">
        <f ca="1">IFERROR(__xludf.DUMMYFUNCTION("""COMPUTED_VALUE"""),"Yes")</f>
        <v>Yes</v>
      </c>
      <c r="V70" s="8" t="str">
        <f ca="1">IFERROR(__xludf.DUMMYFUNCTION("""COMPUTED_VALUE"""),"Afternoon Classes")</f>
        <v>Afternoon Classes</v>
      </c>
      <c r="W70" s="8"/>
      <c r="X70" s="8">
        <f ca="1">IFERROR(__xludf.DUMMYFUNCTION("""COMPUTED_VALUE"""),1)</f>
        <v>1</v>
      </c>
      <c r="Y70" s="12" t="str">
        <f ca="1">IFERROR(__xludf.DUMMYFUNCTION("""COMPUTED_VALUE"""),"Man fired shot near playground while students were outside for recess")</f>
        <v>Man fired shot near playground while students were outside for recess</v>
      </c>
      <c r="Z70" s="12" t="str">
        <f ca="1">IFERROR(__xludf.DUMMYFUNCTION("""COMPUTED_VALUE"""),"A man suspected of firing shots at Goyne Park near Ecoff Elementary School was arrested by U.S. Marshals at a hotel in Chester on Wednesday. Police confirmed to CBS 6 that Takhi Zhaki Johnson Sr. is charged with reckless handling of a firearm and shooting"&amp;" a firearm within 1,000 feet of a school. The shots were fired on Tuesday, which prompted a brief lock down at the school. Police said the shooting was domestic in nature and the proximity to the school was coincidental.")</f>
        <v>A man suspected of firing shots at Goyne Park near Ecoff Elementary School was arrested by U.S. Marshals at a hotel in Chester on Wednesday. Police confirmed to CBS 6 that Takhi Zhaki Johnson Sr. is charged with reckless handling of a firearm and shooting a firearm within 1,000 feet of a school. The shots were fired on Tuesday, which prompted a brief lock down at the school. Police said the shooting was domestic in nature and the proximity to the school was coincidental.</v>
      </c>
      <c r="AA70" s="8" t="str">
        <f ca="1">IFERROR(__xludf.DUMMYFUNCTION("""COMPUTED_VALUE"""),"Domestic w/ Targeted Victim")</f>
        <v>Domestic w/ Targeted Victim</v>
      </c>
      <c r="AB70" s="8" t="str">
        <f ca="1">IFERROR(__xludf.DUMMYFUNCTION("""COMPUTED_VALUE"""),"Targeted")</f>
        <v>Targeted</v>
      </c>
      <c r="AC70" s="8" t="str">
        <f ca="1">IFERROR(__xludf.DUMMYFUNCTION("""COMPUTED_VALUE"""),"Yes")</f>
        <v>Yes</v>
      </c>
      <c r="AD70" s="8" t="str">
        <f ca="1">IFERROR(__xludf.DUMMYFUNCTION("""COMPUTED_VALUE"""),"Victims Targeted")</f>
        <v>Victims Targeted</v>
      </c>
      <c r="AE70" s="8" t="str">
        <f ca="1">IFERROR(__xludf.DUMMYFUNCTION("""COMPUTED_VALUE"""),"No")</f>
        <v>No</v>
      </c>
      <c r="AF70" s="8"/>
      <c r="AG70" s="8" t="str">
        <f ca="1">IFERROR(__xludf.DUMMYFUNCTION("""COMPUTED_VALUE"""),"No")</f>
        <v>No</v>
      </c>
      <c r="AH70" s="8" t="str">
        <f ca="1">IFERROR(__xludf.DUMMYFUNCTION("""COMPUTED_VALUE"""),"No")</f>
        <v>No</v>
      </c>
      <c r="AI70" s="8" t="str">
        <f ca="1">IFERROR(__xludf.DUMMYFUNCTION("""COMPUTED_VALUE"""),"No")</f>
        <v>No</v>
      </c>
      <c r="AJ70" s="8" t="str">
        <f ca="1">IFERROR(__xludf.DUMMYFUNCTION("""COMPUTED_VALUE"""),"No")</f>
        <v>No</v>
      </c>
      <c r="AK70" s="8" t="str">
        <f ca="1">IFERROR(__xludf.DUMMYFUNCTION("""COMPUTED_VALUE"""),"Yes")</f>
        <v>Yes</v>
      </c>
      <c r="AL70" s="8" t="str">
        <f ca="1">IFERROR(__xludf.DUMMYFUNCTION("""COMPUTED_VALUE"""),"No")</f>
        <v>No</v>
      </c>
      <c r="AM70" s="8" t="str">
        <f ca="1">IFERROR(__xludf.DUMMYFUNCTION("""COMPUTED_VALUE"""),"No")</f>
        <v>No</v>
      </c>
      <c r="AN70" s="8" t="str">
        <f ca="1">IFERROR(__xludf.DUMMYFUNCTION("""COMPUTED_VALUE"""),"Outside")</f>
        <v>Outside</v>
      </c>
      <c r="AO70" s="8" t="str">
        <f ca="1">IFERROR(__xludf.DUMMYFUNCTION("""COMPUTED_VALUE"""),"No")</f>
        <v>No</v>
      </c>
      <c r="AP70" s="8"/>
      <c r="AQ70" s="8"/>
      <c r="AR70" s="8" t="str">
        <f ca="1">IFERROR(__xludf.DUMMYFUNCTION("""COMPUTED_VALUE"""),"Outside/Off-Property")</f>
        <v>Outside/Off-Property</v>
      </c>
      <c r="AS70" s="8">
        <f ca="1">IFERROR(__xludf.DUMMYFUNCTION("""COMPUTED_VALUE"""),99)</f>
        <v>99</v>
      </c>
      <c r="AT70" s="8" t="str">
        <f ca="1">IFERROR(__xludf.DUMMYFUNCTION("""COMPUTED_VALUE"""),"Yes")</f>
        <v>Yes</v>
      </c>
      <c r="AU70" s="8">
        <f ca="1">IFERROR(__xludf.DUMMYFUNCTION("""COMPUTED_VALUE"""),37.361535)</f>
        <v>37.361535000000003</v>
      </c>
      <c r="AV70" s="8">
        <f ca="1">IFERROR(__xludf.DUMMYFUNCTION("""COMPUTED_VALUE"""),-77.4627)</f>
        <v>-77.462699999999998</v>
      </c>
      <c r="AW70" s="8" t="str">
        <f ca="1">IFERROR(__xludf.DUMMYFUNCTION("""COMPUTED_VALUE"""),"Single building indoor hallway")</f>
        <v>Single building indoor hallway</v>
      </c>
      <c r="AX70" s="8">
        <f ca="1">IFERROR(__xludf.DUMMYFUNCTION("""COMPUTED_VALUE"""),23831)</f>
        <v>23831</v>
      </c>
    </row>
    <row r="71" spans="1:50" ht="180" x14ac:dyDescent="0.2">
      <c r="A71" s="8" t="str">
        <f ca="1">IFERROR(__xludf.DUMMYFUNCTION("""COMPUTED_VALUE"""),"20250518UTKEK")</f>
        <v>20250518UTKEK</v>
      </c>
      <c r="B71" s="8">
        <f ca="1">IFERROR(__xludf.DUMMYFUNCTION("""COMPUTED_VALUE"""),5)</f>
        <v>5</v>
      </c>
      <c r="C71" s="8">
        <f ca="1">IFERROR(__xludf.DUMMYFUNCTION("""COMPUTED_VALUE"""),18)</f>
        <v>18</v>
      </c>
      <c r="D71" s="8">
        <f ca="1">IFERROR(__xludf.DUMMYFUNCTION("""COMPUTED_VALUE"""),2025)</f>
        <v>2025</v>
      </c>
      <c r="E71" s="9">
        <f ca="1">IFERROR(__xludf.DUMMYFUNCTION("""COMPUTED_VALUE"""),45795)</f>
        <v>45795</v>
      </c>
      <c r="F71" s="8" t="str">
        <f ca="1">IFERROR(__xludf.DUMMYFUNCTION("""COMPUTED_VALUE"""),"Kearns High School")</f>
        <v>Kearns High School</v>
      </c>
      <c r="G71" s="8">
        <f ca="1">IFERROR(__xludf.DUMMYFUNCTION("""COMPUTED_VALUE"""),1)</f>
        <v>1</v>
      </c>
      <c r="H71" s="8">
        <f ca="1">IFERROR(__xludf.DUMMYFUNCTION("""COMPUTED_VALUE"""),0)</f>
        <v>0</v>
      </c>
      <c r="I71" s="8">
        <f ca="1">IFERROR(__xludf.DUMMYFUNCTION("""COMPUTED_VALUE"""),1)</f>
        <v>1</v>
      </c>
      <c r="J71" s="8">
        <f ca="1">IFERROR(__xludf.DUMMYFUNCTION("""COMPUTED_VALUE"""),0)</f>
        <v>0</v>
      </c>
      <c r="K71" s="10" t="str">
        <f ca="1">IFERROR(__xludf.DUMMYFUNCTION("""COMPUTED_VALUE"""),"https://www.ksl.com/article/51317095/two-more-arrested-in-kearns-fatal-shooting-during-robbery-of-champagne
https://www.abc4.com/news/wasatch-front/kearns-high-school-parking-lot-murder/
https://www.fox13now.com/news/crime/17-year-old-shot-killed-in-kearn"&amp;"s-high-school-parking-lot
https://kutv.com/news/local/17-year-old-fatally-shot-in-kearns-high-school-parking-lot-in-apparent-robbery-attempt")</f>
        <v>https://www.ksl.com/article/51317095/two-more-arrested-in-kearns-fatal-shooting-during-robbery-of-champagne
https://www.abc4.com/news/wasatch-front/kearns-high-school-parking-lot-murder/
https://www.fox13now.com/news/crime/17-year-old-shot-killed-in-kearns-high-school-parking-lot
https://kutv.com/news/local/17-year-old-fatally-shot-in-kearns-high-school-parking-lot-in-apparent-robbery-attempt</v>
      </c>
      <c r="L71" s="8">
        <f ca="1">IFERROR(__xludf.DUMMYFUNCTION("""COMPUTED_VALUE"""),20)</f>
        <v>20</v>
      </c>
      <c r="M71" s="8" t="str">
        <f ca="1">IFERROR(__xludf.DUMMYFUNCTION("""COMPUTED_VALUE"""),"Regional")</f>
        <v>Regional</v>
      </c>
      <c r="N71" s="8">
        <f ca="1">IFERROR(__xludf.DUMMYFUNCTION("""COMPUTED_VALUE"""),4)</f>
        <v>4</v>
      </c>
      <c r="O71" s="8" t="str">
        <f ca="1">IFERROR(__xludf.DUMMYFUNCTION("""COMPUTED_VALUE"""),"Spring")</f>
        <v>Spring</v>
      </c>
      <c r="P71" s="8" t="str">
        <f ca="1">IFERROR(__xludf.DUMMYFUNCTION("""COMPUTED_VALUE"""),"Kearns")</f>
        <v>Kearns</v>
      </c>
      <c r="Q71" s="8" t="str">
        <f ca="1">IFERROR(__xludf.DUMMYFUNCTION("""COMPUTED_VALUE"""),"UT")</f>
        <v>UT</v>
      </c>
      <c r="R71" s="8" t="str">
        <f ca="1">IFERROR(__xludf.DUMMYFUNCTION("""COMPUTED_VALUE"""),"High")</f>
        <v>High</v>
      </c>
      <c r="S71" s="8" t="str">
        <f ca="1">IFERROR(__xludf.DUMMYFUNCTION("""COMPUTED_VALUE"""),"Parking Lot")</f>
        <v>Parking Lot</v>
      </c>
      <c r="T71" s="8" t="str">
        <f ca="1">IFERROR(__xludf.DUMMYFUNCTION("""COMPUTED_VALUE"""),"Outside on School Property")</f>
        <v>Outside on School Property</v>
      </c>
      <c r="U71" s="8" t="str">
        <f ca="1">IFERROR(__xludf.DUMMYFUNCTION("""COMPUTED_VALUE"""),"No")</f>
        <v>No</v>
      </c>
      <c r="V71" s="8" t="str">
        <f ca="1">IFERROR(__xludf.DUMMYFUNCTION("""COMPUTED_VALUE"""),"Night")</f>
        <v>Night</v>
      </c>
      <c r="W71" s="11">
        <f ca="1">IFERROR(__xludf.DUMMYFUNCTION("""COMPUTED_VALUE"""),0.0756944444444444)</f>
        <v>7.5694444444444398E-2</v>
      </c>
      <c r="X71" s="8">
        <f ca="1">IFERROR(__xludf.DUMMYFUNCTION("""COMPUTED_VALUE"""),1)</f>
        <v>1</v>
      </c>
      <c r="Y71" s="12" t="str">
        <f ca="1">IFERROR(__xludf.DUMMYFUNCTION("""COMPUTED_VALUE"""),"17-year-old fatally shot in school parking lot during attempted robbery, three teens involved had guns")</f>
        <v>17-year-old fatally shot in school parking lot during attempted robbery, three teens involved had guns</v>
      </c>
      <c r="Z71" s="12" t="str">
        <f ca="1">IFERROR(__xludf.DUMMYFUNCTION("""COMPUTED_VALUE"""),"A 17-year-old boy was fatally shot in the Kearns High School parking lot early Sunday during what police described as a robbery gone wrong. The seller had reportedly showed up at the parking lot to sell champagne bottles. Sgt. Cutler said two individuals "&amp;"with guns exited the vehicle. The 18-year-old went to retrieve a gun from his own vehicle. As he did so, one of the suspects — a 17-year-old — approached and pointed a gun at him. The 18-year-old fired his weapon while running away, striking the 17-year-o"&amp;"ld. The 18-year-old then flagged down responding officers. The 17-year-old was transported to a nearby hospital, where he later died from his injuries.")</f>
        <v>A 17-year-old boy was fatally shot in the Kearns High School parking lot early Sunday during what police described as a robbery gone wrong. The seller had reportedly showed up at the parking lot to sell champagne bottles. Sgt. Cutler said two individuals with guns exited the vehicle. The 18-year-old went to retrieve a gun from his own vehicle. As he did so, one of the suspects — a 17-year-old — approached and pointed a gun at him. The 18-year-old fired his weapon while running away, striking the 17-year-old. The 18-year-old then flagged down responding officers. The 17-year-old was transported to a nearby hospital, where he later died from his injuries.</v>
      </c>
      <c r="AA71" s="8" t="str">
        <f ca="1">IFERROR(__xludf.DUMMYFUNCTION("""COMPUTED_VALUE"""),"Illegal Activity")</f>
        <v>Illegal Activity</v>
      </c>
      <c r="AB71" s="8" t="str">
        <f ca="1">IFERROR(__xludf.DUMMYFUNCTION("""COMPUTED_VALUE"""),"Spontaneous")</f>
        <v>Spontaneous</v>
      </c>
      <c r="AC71" s="8" t="str">
        <f ca="1">IFERROR(__xludf.DUMMYFUNCTION("""COMPUTED_VALUE"""),"Yes")</f>
        <v>Yes</v>
      </c>
      <c r="AD71" s="8" t="str">
        <f ca="1">IFERROR(__xludf.DUMMYFUNCTION("""COMPUTED_VALUE"""),"Victims Targeted")</f>
        <v>Victims Targeted</v>
      </c>
      <c r="AE71" s="8" t="str">
        <f ca="1">IFERROR(__xludf.DUMMYFUNCTION("""COMPUTED_VALUE"""),"Yes")</f>
        <v>Yes</v>
      </c>
      <c r="AF71" s="8" t="str">
        <f ca="1">IFERROR(__xludf.DUMMYFUNCTION("""COMPUTED_VALUE"""),"Two armed teens in group of 4 attempted robbery")</f>
        <v>Two armed teens in group of 4 attempted robbery</v>
      </c>
      <c r="AG71" s="8" t="str">
        <f ca="1">IFERROR(__xludf.DUMMYFUNCTION("""COMPUTED_VALUE"""),"No")</f>
        <v>No</v>
      </c>
      <c r="AH71" s="8" t="str">
        <f ca="1">IFERROR(__xludf.DUMMYFUNCTION("""COMPUTED_VALUE"""),"No")</f>
        <v>No</v>
      </c>
      <c r="AI71" s="8" t="str">
        <f ca="1">IFERROR(__xludf.DUMMYFUNCTION("""COMPUTED_VALUE"""),"No")</f>
        <v>No</v>
      </c>
      <c r="AJ71" s="8" t="str">
        <f ca="1">IFERROR(__xludf.DUMMYFUNCTION("""COMPUTED_VALUE"""),"No")</f>
        <v>No</v>
      </c>
      <c r="AK71" s="8" t="str">
        <f ca="1">IFERROR(__xludf.DUMMYFUNCTION("""COMPUTED_VALUE"""),"No")</f>
        <v>No</v>
      </c>
      <c r="AL71" s="8" t="str">
        <f ca="1">IFERROR(__xludf.DUMMYFUNCTION("""COMPUTED_VALUE"""),"No")</f>
        <v>No</v>
      </c>
      <c r="AM71" s="8" t="str">
        <f ca="1">IFERROR(__xludf.DUMMYFUNCTION("""COMPUTED_VALUE"""),"No")</f>
        <v>No</v>
      </c>
      <c r="AN71" s="8" t="str">
        <f ca="1">IFERROR(__xludf.DUMMYFUNCTION("""COMPUTED_VALUE"""),"Outside")</f>
        <v>Outside</v>
      </c>
      <c r="AO71" s="8" t="str">
        <f ca="1">IFERROR(__xludf.DUMMYFUNCTION("""COMPUTED_VALUE"""),"No")</f>
        <v>No</v>
      </c>
      <c r="AP71" s="8"/>
      <c r="AQ71" s="8"/>
      <c r="AR71" s="8" t="str">
        <f ca="1">IFERROR(__xludf.DUMMYFUNCTION("""COMPUTED_VALUE"""),"Outside/Off-Property")</f>
        <v>Outside/Off-Property</v>
      </c>
      <c r="AS71" s="8">
        <f ca="1">IFERROR(__xludf.DUMMYFUNCTION("""COMPUTED_VALUE"""),26)</f>
        <v>26</v>
      </c>
      <c r="AT71" s="8" t="str">
        <f ca="1">IFERROR(__xludf.DUMMYFUNCTION("""COMPUTED_VALUE"""),"No")</f>
        <v>No</v>
      </c>
      <c r="AU71" s="8">
        <f ca="1">IFERROR(__xludf.DUMMYFUNCTION("""COMPUTED_VALUE"""),40.649402)</f>
        <v>40.649402000000002</v>
      </c>
      <c r="AV71" s="8">
        <f ca="1">IFERROR(__xludf.DUMMYFUNCTION("""COMPUTED_VALUE"""),-112.004999)</f>
        <v>-112.004999</v>
      </c>
      <c r="AW71" s="8" t="str">
        <f ca="1">IFERROR(__xludf.DUMMYFUNCTION("""COMPUTED_VALUE"""),"Multiple attached buildings")</f>
        <v>Multiple attached buildings</v>
      </c>
      <c r="AX71" s="8">
        <f ca="1">IFERROR(__xludf.DUMMYFUNCTION("""COMPUTED_VALUE"""),84118)</f>
        <v>84118</v>
      </c>
    </row>
    <row r="72" spans="1:50" ht="165" x14ac:dyDescent="0.2">
      <c r="A72" s="8" t="str">
        <f ca="1">IFERROR(__xludf.DUMMYFUNCTION("""COMPUTED_VALUE"""),"20250516NJMIP")</f>
        <v>20250516NJMIP</v>
      </c>
      <c r="B72" s="8">
        <f ca="1">IFERROR(__xludf.DUMMYFUNCTION("""COMPUTED_VALUE"""),5)</f>
        <v>5</v>
      </c>
      <c r="C72" s="8">
        <f ca="1">IFERROR(__xludf.DUMMYFUNCTION("""COMPUTED_VALUE"""),16)</f>
        <v>16</v>
      </c>
      <c r="D72" s="8">
        <f ca="1">IFERROR(__xludf.DUMMYFUNCTION("""COMPUTED_VALUE"""),2025)</f>
        <v>2025</v>
      </c>
      <c r="E72" s="9">
        <f ca="1">IFERROR(__xludf.DUMMYFUNCTION("""COMPUTED_VALUE"""),45793)</f>
        <v>45793</v>
      </c>
      <c r="F72" s="8" t="str">
        <f ca="1">IFERROR(__xludf.DUMMYFUNCTION("""COMPUTED_VALUE"""),"Midland Elementary School")</f>
        <v>Midland Elementary School</v>
      </c>
      <c r="G72" s="8">
        <f ca="1">IFERROR(__xludf.DUMMYFUNCTION("""COMPUTED_VALUE"""),0)</f>
        <v>0</v>
      </c>
      <c r="H72" s="8">
        <f ca="1">IFERROR(__xludf.DUMMYFUNCTION("""COMPUTED_VALUE"""),0)</f>
        <v>0</v>
      </c>
      <c r="I72" s="8">
        <f ca="1">IFERROR(__xludf.DUMMYFUNCTION("""COMPUTED_VALUE"""),0)</f>
        <v>0</v>
      </c>
      <c r="J72" s="8">
        <f ca="1">IFERROR(__xludf.DUMMYFUNCTION("""COMPUTED_VALUE"""),0)</f>
        <v>0</v>
      </c>
      <c r="K72" s="8" t="str">
        <f ca="1">IFERROR(__xludf.DUMMYFUNCTION("""COMPUTED_VALUE"""),"https://www.northjersey.com/story/news/bergen/paramus/2025/05/19/paramus-nj-security-guard-accidently-discharged-gun-school/83734670007/
https://www.cbsnews.com/newyork/news/nj-midland-elementary-school-guard-accidentally-fires-gun/")</f>
        <v>https://www.northjersey.com/story/news/bergen/paramus/2025/05/19/paramus-nj-security-guard-accidently-discharged-gun-school/83734670007/
https://www.cbsnews.com/newyork/news/nj-midland-elementary-school-guard-accidentally-fires-gun/</v>
      </c>
      <c r="L72" s="8">
        <f ca="1">IFERROR(__xludf.DUMMYFUNCTION("""COMPUTED_VALUE"""),8)</f>
        <v>8</v>
      </c>
      <c r="M72" s="8" t="str">
        <f ca="1">IFERROR(__xludf.DUMMYFUNCTION("""COMPUTED_VALUE"""),"Regional")</f>
        <v>Regional</v>
      </c>
      <c r="N72" s="8">
        <f ca="1">IFERROR(__xludf.DUMMYFUNCTION("""COMPUTED_VALUE"""),4)</f>
        <v>4</v>
      </c>
      <c r="O72" s="8" t="str">
        <f ca="1">IFERROR(__xludf.DUMMYFUNCTION("""COMPUTED_VALUE"""),"Spring")</f>
        <v>Spring</v>
      </c>
      <c r="P72" s="8" t="str">
        <f ca="1">IFERROR(__xludf.DUMMYFUNCTION("""COMPUTED_VALUE"""),"Paramus")</f>
        <v>Paramus</v>
      </c>
      <c r="Q72" s="8" t="str">
        <f ca="1">IFERROR(__xludf.DUMMYFUNCTION("""COMPUTED_VALUE"""),"NJ")</f>
        <v>NJ</v>
      </c>
      <c r="R72" s="8" t="str">
        <f ca="1">IFERROR(__xludf.DUMMYFUNCTION("""COMPUTED_VALUE"""),"Elementary")</f>
        <v>Elementary</v>
      </c>
      <c r="S72" s="8" t="str">
        <f ca="1">IFERROR(__xludf.DUMMYFUNCTION("""COMPUTED_VALUE"""),"Bathroom")</f>
        <v>Bathroom</v>
      </c>
      <c r="T72" s="8" t="str">
        <f ca="1">IFERROR(__xludf.DUMMYFUNCTION("""COMPUTED_VALUE"""),"Inside School Building")</f>
        <v>Inside School Building</v>
      </c>
      <c r="U72" s="8" t="str">
        <f ca="1">IFERROR(__xludf.DUMMYFUNCTION("""COMPUTED_VALUE"""),"Yes")</f>
        <v>Yes</v>
      </c>
      <c r="V72" s="8"/>
      <c r="W72" s="8"/>
      <c r="X72" s="8">
        <f ca="1">IFERROR(__xludf.DUMMYFUNCTION("""COMPUTED_VALUE"""),1)</f>
        <v>1</v>
      </c>
      <c r="Y72" s="12" t="str">
        <f ca="1">IFERROR(__xludf.DUMMYFUNCTION("""COMPUTED_VALUE"""),"School security guard accidentally fired gun inside bathroom")</f>
        <v>School security guard accidentally fired gun inside bathroom</v>
      </c>
      <c r="Z72" s="12" t="str">
        <f ca="1">IFERROR(__xludf.DUMMYFUNCTION("""COMPUTED_VALUE"""),"A Paramus school security guard accidentally discharged his weapon inside Midland Elementary School, Superintendent Sean Adams said in a letter to the community. The security guard was inside a single-use, staff-only bathroom at the time of the incident, "&amp;"Adams said. ""While we are profoundly relieved that no one was injured, this event is extremely concerning and completely unacceptable,"" Adams said. The guard has been ""placed on leave, with any additional recommended action to be reviewed by the Board "&amp;"at its upcoming meeting on Monday, May 19,"" the superintendent wrote in his letter.")</f>
        <v>A Paramus school security guard accidentally discharged his weapon inside Midland Elementary School, Superintendent Sean Adams said in a letter to the community. The security guard was inside a single-use, staff-only bathroom at the time of the incident, Adams said. "While we are profoundly relieved that no one was injured, this event is extremely concerning and completely unacceptable," Adams said. The guard has been "placed on leave, with any additional recommended action to be reviewed by the Board at its upcoming meeting on Monday, May 19," the superintendent wrote in his letter.</v>
      </c>
      <c r="AA72" s="8" t="str">
        <f ca="1">IFERROR(__xludf.DUMMYFUNCTION("""COMPUTED_VALUE"""),"Accidental")</f>
        <v>Accidental</v>
      </c>
      <c r="AB72" s="8" t="str">
        <f ca="1">IFERROR(__xludf.DUMMYFUNCTION("""COMPUTED_VALUE"""),"Spontaneous")</f>
        <v>Spontaneous</v>
      </c>
      <c r="AC72" s="8" t="str">
        <f ca="1">IFERROR(__xludf.DUMMYFUNCTION("""COMPUTED_VALUE"""),"Yes")</f>
        <v>Yes</v>
      </c>
      <c r="AD72" s="8" t="str">
        <f ca="1">IFERROR(__xludf.DUMMYFUNCTION("""COMPUTED_VALUE"""),"Neither")</f>
        <v>Neither</v>
      </c>
      <c r="AE72" s="8" t="str">
        <f ca="1">IFERROR(__xludf.DUMMYFUNCTION("""COMPUTED_VALUE"""),"No")</f>
        <v>No</v>
      </c>
      <c r="AF72" s="8"/>
      <c r="AG72" s="8" t="str">
        <f ca="1">IFERROR(__xludf.DUMMYFUNCTION("""COMPUTED_VALUE"""),"No")</f>
        <v>No</v>
      </c>
      <c r="AH72" s="8" t="str">
        <f ca="1">IFERROR(__xludf.DUMMYFUNCTION("""COMPUTED_VALUE"""),"No")</f>
        <v>No</v>
      </c>
      <c r="AI72" s="8" t="str">
        <f ca="1">IFERROR(__xludf.DUMMYFUNCTION("""COMPUTED_VALUE"""),"No")</f>
        <v>No</v>
      </c>
      <c r="AJ72" s="8" t="str">
        <f ca="1">IFERROR(__xludf.DUMMYFUNCTION("""COMPUTED_VALUE"""),"No")</f>
        <v>No</v>
      </c>
      <c r="AK72" s="8" t="str">
        <f ca="1">IFERROR(__xludf.DUMMYFUNCTION("""COMPUTED_VALUE"""),"No")</f>
        <v>No</v>
      </c>
      <c r="AL72" s="8" t="str">
        <f ca="1">IFERROR(__xludf.DUMMYFUNCTION("""COMPUTED_VALUE"""),"No")</f>
        <v>No</v>
      </c>
      <c r="AM72" s="8" t="str">
        <f ca="1">IFERROR(__xludf.DUMMYFUNCTION("""COMPUTED_VALUE"""),"No")</f>
        <v>No</v>
      </c>
      <c r="AN72" s="8" t="str">
        <f ca="1">IFERROR(__xludf.DUMMYFUNCTION("""COMPUTED_VALUE"""),"Outside")</f>
        <v>Outside</v>
      </c>
      <c r="AO72" s="8" t="str">
        <f ca="1">IFERROR(__xludf.DUMMYFUNCTION("""COMPUTED_VALUE"""),"No")</f>
        <v>No</v>
      </c>
      <c r="AP72" s="8" t="str">
        <f ca="1">IFERROR(__xludf.DUMMYFUNCTION("""COMPUTED_VALUE"""),"Yes")</f>
        <v>Yes</v>
      </c>
      <c r="AQ72" s="8" t="str">
        <f ca="1">IFERROR(__xludf.DUMMYFUNCTION("""COMPUTED_VALUE"""),"Armed Guards")</f>
        <v>Armed Guards</v>
      </c>
      <c r="AR72" s="8"/>
      <c r="AS72" s="8">
        <f ca="1">IFERROR(__xludf.DUMMYFUNCTION("""COMPUTED_VALUE"""),1)</f>
        <v>1</v>
      </c>
      <c r="AT72" s="8" t="str">
        <f ca="1">IFERROR(__xludf.DUMMYFUNCTION("""COMPUTED_VALUE"""),"No")</f>
        <v>No</v>
      </c>
      <c r="AU72" s="8">
        <f ca="1">IFERROR(__xludf.DUMMYFUNCTION("""COMPUTED_VALUE"""),40.961193)</f>
        <v>40.961193000000002</v>
      </c>
      <c r="AV72" s="8">
        <f ca="1">IFERROR(__xludf.DUMMYFUNCTION("""COMPUTED_VALUE"""),-74.09028)</f>
        <v>-74.090280000000007</v>
      </c>
      <c r="AW72" s="8" t="str">
        <f ca="1">IFERROR(__xludf.DUMMYFUNCTION("""COMPUTED_VALUE"""),"Single building indoor hallway")</f>
        <v>Single building indoor hallway</v>
      </c>
      <c r="AX72" s="8">
        <f ca="1">IFERROR(__xludf.DUMMYFUNCTION("""COMPUTED_VALUE"""),7652)</f>
        <v>7652</v>
      </c>
    </row>
    <row r="73" spans="1:50" ht="90" x14ac:dyDescent="0.2">
      <c r="A73" s="8" t="str">
        <f ca="1">IFERROR(__xludf.DUMMYFUNCTION("""COMPUTED_VALUE"""),"20250516MOSUS")</f>
        <v>20250516MOSUS</v>
      </c>
      <c r="B73" s="8">
        <f ca="1">IFERROR(__xludf.DUMMYFUNCTION("""COMPUTED_VALUE"""),5)</f>
        <v>5</v>
      </c>
      <c r="C73" s="8">
        <f ca="1">IFERROR(__xludf.DUMMYFUNCTION("""COMPUTED_VALUE"""),16)</f>
        <v>16</v>
      </c>
      <c r="D73" s="8">
        <f ca="1">IFERROR(__xludf.DUMMYFUNCTION("""COMPUTED_VALUE"""),2025)</f>
        <v>2025</v>
      </c>
      <c r="E73" s="9">
        <f ca="1">IFERROR(__xludf.DUMMYFUNCTION("""COMPUTED_VALUE"""),45793)</f>
        <v>45793</v>
      </c>
      <c r="F73" s="8" t="str">
        <f ca="1">IFERROR(__xludf.DUMMYFUNCTION("""COMPUTED_VALUE"""),"Sumner High School")</f>
        <v>Sumner High School</v>
      </c>
      <c r="G73" s="8">
        <f ca="1">IFERROR(__xludf.DUMMYFUNCTION("""COMPUTED_VALUE"""),0)</f>
        <v>0</v>
      </c>
      <c r="H73" s="8">
        <f ca="1">IFERROR(__xludf.DUMMYFUNCTION("""COMPUTED_VALUE"""),0)</f>
        <v>0</v>
      </c>
      <c r="I73" s="8">
        <f ca="1">IFERROR(__xludf.DUMMYFUNCTION("""COMPUTED_VALUE"""),0)</f>
        <v>0</v>
      </c>
      <c r="J73" s="8">
        <f ca="1">IFERROR(__xludf.DUMMYFUNCTION("""COMPUTED_VALUE"""),0)</f>
        <v>0</v>
      </c>
      <c r="K73" s="10" t="str">
        <f ca="1">IFERROR(__xludf.DUMMYFUNCTION("""COMPUTED_VALUE"""),"https://www.stlpr.org/news-briefs/2025-05-16/shooting-near-harris-stowe-state-university-during-sumner-high-school-graduation
https://www.firstalert4.com/2025/05/16/shots-fired-near-high-school-graduation-ceremony-st-louis-city/")</f>
        <v>https://www.stlpr.org/news-briefs/2025-05-16/shooting-near-harris-stowe-state-university-during-sumner-high-school-graduation
https://www.firstalert4.com/2025/05/16/shots-fired-near-high-school-graduation-ceremony-st-louis-city/</v>
      </c>
      <c r="L73" s="8">
        <f ca="1">IFERROR(__xludf.DUMMYFUNCTION("""COMPUTED_VALUE"""),2)</f>
        <v>2</v>
      </c>
      <c r="M73" s="8" t="str">
        <f ca="1">IFERROR(__xludf.DUMMYFUNCTION("""COMPUTED_VALUE"""),"Local")</f>
        <v>Local</v>
      </c>
      <c r="N73" s="8">
        <f ca="1">IFERROR(__xludf.DUMMYFUNCTION("""COMPUTED_VALUE"""),4)</f>
        <v>4</v>
      </c>
      <c r="O73" s="8" t="str">
        <f ca="1">IFERROR(__xludf.DUMMYFUNCTION("""COMPUTED_VALUE"""),"Spring")</f>
        <v>Spring</v>
      </c>
      <c r="P73" s="8" t="str">
        <f ca="1">IFERROR(__xludf.DUMMYFUNCTION("""COMPUTED_VALUE"""),"St. Louis")</f>
        <v>St. Louis</v>
      </c>
      <c r="Q73" s="8" t="str">
        <f ca="1">IFERROR(__xludf.DUMMYFUNCTION("""COMPUTED_VALUE"""),"MO")</f>
        <v>MO</v>
      </c>
      <c r="R73" s="8" t="str">
        <f ca="1">IFERROR(__xludf.DUMMYFUNCTION("""COMPUTED_VALUE"""),"High")</f>
        <v>High</v>
      </c>
      <c r="S73" s="8" t="str">
        <f ca="1">IFERROR(__xludf.DUMMYFUNCTION("""COMPUTED_VALUE"""),"Parking Lot")</f>
        <v>Parking Lot</v>
      </c>
      <c r="T73" s="8" t="str">
        <f ca="1">IFERROR(__xludf.DUMMYFUNCTION("""COMPUTED_VALUE"""),"Outside on School Property")</f>
        <v>Outside on School Property</v>
      </c>
      <c r="U73" s="8" t="str">
        <f ca="1">IFERROR(__xludf.DUMMYFUNCTION("""COMPUTED_VALUE"""),"Yes")</f>
        <v>Yes</v>
      </c>
      <c r="V73" s="8" t="str">
        <f ca="1">IFERROR(__xludf.DUMMYFUNCTION("""COMPUTED_VALUE"""),"School Event")</f>
        <v>School Event</v>
      </c>
      <c r="W73" s="11">
        <f ca="1">IFERROR(__xludf.DUMMYFUNCTION("""COMPUTED_VALUE"""),0.666666666666666)</f>
        <v>0.66666666666666596</v>
      </c>
      <c r="X73" s="8">
        <f ca="1">IFERROR(__xludf.DUMMYFUNCTION("""COMPUTED_VALUE"""),1)</f>
        <v>1</v>
      </c>
      <c r="Y73" s="12" t="str">
        <f ca="1">IFERROR(__xludf.DUMMYFUNCTION("""COMPUTED_VALUE"""),"Shots fired in the parking lot during high school graduation")</f>
        <v>Shots fired in the parking lot during high school graduation</v>
      </c>
      <c r="Z73" s="12" t="str">
        <f ca="1">IFERROR(__xludf.DUMMYFUNCTION("""COMPUTED_VALUE"""),"The St. Louis Public School District said that several suspects opened fire on a vehicle in a parking lot near Harris-Stowe State University, which is where Sumner High School’s graduation ceremony was held. The district said that no one was injured in th"&amp;"e incident that happened around 4 p.m.")</f>
        <v>The St. Louis Public School District said that several suspects opened fire on a vehicle in a parking lot near Harris-Stowe State University, which is where Sumner High School’s graduation ceremony was held. The district said that no one was injured in the incident that happened around 4 p.m.</v>
      </c>
      <c r="AA73" s="8" t="str">
        <f ca="1">IFERROR(__xludf.DUMMYFUNCTION("""COMPUTED_VALUE"""),"Drive-by Shooting")</f>
        <v>Drive-by Shooting</v>
      </c>
      <c r="AB73" s="8"/>
      <c r="AC73" s="8" t="str">
        <f ca="1">IFERROR(__xludf.DUMMYFUNCTION("""COMPUTED_VALUE"""),"Yes")</f>
        <v>Yes</v>
      </c>
      <c r="AD73" s="8"/>
      <c r="AE73" s="8"/>
      <c r="AF73" s="8"/>
      <c r="AG73" s="8" t="str">
        <f ca="1">IFERROR(__xludf.DUMMYFUNCTION("""COMPUTED_VALUE"""),"No")</f>
        <v>No</v>
      </c>
      <c r="AH73" s="8" t="str">
        <f ca="1">IFERROR(__xludf.DUMMYFUNCTION("""COMPUTED_VALUE"""),"No")</f>
        <v>No</v>
      </c>
      <c r="AI73" s="8" t="str">
        <f ca="1">IFERROR(__xludf.DUMMYFUNCTION("""COMPUTED_VALUE"""),"No")</f>
        <v>No</v>
      </c>
      <c r="AJ73" s="8" t="str">
        <f ca="1">IFERROR(__xludf.DUMMYFUNCTION("""COMPUTED_VALUE"""),"No")</f>
        <v>No</v>
      </c>
      <c r="AK73" s="8" t="str">
        <f ca="1">IFERROR(__xludf.DUMMYFUNCTION("""COMPUTED_VALUE"""),"No")</f>
        <v>No</v>
      </c>
      <c r="AL73" s="8"/>
      <c r="AM73" s="8" t="str">
        <f ca="1">IFERROR(__xludf.DUMMYFUNCTION("""COMPUTED_VALUE"""),"No")</f>
        <v>No</v>
      </c>
      <c r="AN73" s="8" t="str">
        <f ca="1">IFERROR(__xludf.DUMMYFUNCTION("""COMPUTED_VALUE"""),"Outside")</f>
        <v>Outside</v>
      </c>
      <c r="AO73" s="8" t="str">
        <f ca="1">IFERROR(__xludf.DUMMYFUNCTION("""COMPUTED_VALUE"""),"No")</f>
        <v>No</v>
      </c>
      <c r="AP73" s="8"/>
      <c r="AQ73" s="8"/>
      <c r="AR73" s="8" t="str">
        <f ca="1">IFERROR(__xludf.DUMMYFUNCTION("""COMPUTED_VALUE"""),"Outside/Off-Property")</f>
        <v>Outside/Off-Property</v>
      </c>
      <c r="AS73" s="8">
        <f ca="1">IFERROR(__xludf.DUMMYFUNCTION("""COMPUTED_VALUE"""),99)</f>
        <v>99</v>
      </c>
      <c r="AT73" s="8"/>
      <c r="AU73" s="8">
        <f ca="1">IFERROR(__xludf.DUMMYFUNCTION("""COMPUTED_VALUE"""),38.660193)</f>
        <v>38.660193</v>
      </c>
      <c r="AV73" s="8">
        <f ca="1">IFERROR(__xludf.DUMMYFUNCTION("""COMPUTED_VALUE"""),-90.239784)</f>
        <v>-90.239784</v>
      </c>
      <c r="AW73" s="8" t="str">
        <f ca="1">IFERROR(__xludf.DUMMYFUNCTION("""COMPUTED_VALUE"""),"Multiple attached buildings")</f>
        <v>Multiple attached buildings</v>
      </c>
      <c r="AX73" s="8">
        <f ca="1">IFERROR(__xludf.DUMMYFUNCTION("""COMPUTED_VALUE"""),63113)</f>
        <v>63113</v>
      </c>
    </row>
    <row r="74" spans="1:50" ht="105" x14ac:dyDescent="0.2">
      <c r="A74" s="8" t="str">
        <f ca="1">IFERROR(__xludf.DUMMYFUNCTION("""COMPUTED_VALUE"""),"20250515NYMOS")</f>
        <v>20250515NYMOS</v>
      </c>
      <c r="B74" s="8">
        <f ca="1">IFERROR(__xludf.DUMMYFUNCTION("""COMPUTED_VALUE"""),5)</f>
        <v>5</v>
      </c>
      <c r="C74" s="8">
        <f ca="1">IFERROR(__xludf.DUMMYFUNCTION("""COMPUTED_VALUE"""),15)</f>
        <v>15</v>
      </c>
      <c r="D74" s="8">
        <f ca="1">IFERROR(__xludf.DUMMYFUNCTION("""COMPUTED_VALUE"""),2025)</f>
        <v>2025</v>
      </c>
      <c r="E74" s="9">
        <f ca="1">IFERROR(__xludf.DUMMYFUNCTION("""COMPUTED_VALUE"""),45792)</f>
        <v>45792</v>
      </c>
      <c r="F74" s="8" t="str">
        <f ca="1">IFERROR(__xludf.DUMMYFUNCTION("""COMPUTED_VALUE"""),"Mont Pleasant Middle School")</f>
        <v>Mont Pleasant Middle School</v>
      </c>
      <c r="G74" s="8">
        <f ca="1">IFERROR(__xludf.DUMMYFUNCTION("""COMPUTED_VALUE"""),0)</f>
        <v>0</v>
      </c>
      <c r="H74" s="8">
        <f ca="1">IFERROR(__xludf.DUMMYFUNCTION("""COMPUTED_VALUE"""),0)</f>
        <v>0</v>
      </c>
      <c r="I74" s="8">
        <f ca="1">IFERROR(__xludf.DUMMYFUNCTION("""COMPUTED_VALUE"""),0)</f>
        <v>0</v>
      </c>
      <c r="J74" s="8">
        <f ca="1">IFERROR(__xludf.DUMMYFUNCTION("""COMPUTED_VALUE"""),0)</f>
        <v>0</v>
      </c>
      <c r="K74" s="10" t="str">
        <f ca="1">IFERROR(__xludf.DUMMYFUNCTION("""COMPUTED_VALUE"""),"https://cbs6albany.com/news/local/authorities-investigate-bb-gun-incident-after-pellet-strikes-school-bus-in-schenectady
https://www.news10.com/news/crime/schenectady-pd-investigating-after-bb-gun-pellet-strikes-school-bus-window/")</f>
        <v>https://cbs6albany.com/news/local/authorities-investigate-bb-gun-incident-after-pellet-strikes-school-bus-in-schenectady
https://www.news10.com/news/crime/schenectady-pd-investigating-after-bb-gun-pellet-strikes-school-bus-window/</v>
      </c>
      <c r="L74" s="8">
        <f ca="1">IFERROR(__xludf.DUMMYFUNCTION("""COMPUTED_VALUE"""),4)</f>
        <v>4</v>
      </c>
      <c r="M74" s="8" t="str">
        <f ca="1">IFERROR(__xludf.DUMMYFUNCTION("""COMPUTED_VALUE"""),"Local")</f>
        <v>Local</v>
      </c>
      <c r="N74" s="8">
        <f ca="1">IFERROR(__xludf.DUMMYFUNCTION("""COMPUTED_VALUE"""),4)</f>
        <v>4</v>
      </c>
      <c r="O74" s="8" t="str">
        <f ca="1">IFERROR(__xludf.DUMMYFUNCTION("""COMPUTED_VALUE"""),"Spring")</f>
        <v>Spring</v>
      </c>
      <c r="P74" s="8" t="str">
        <f ca="1">IFERROR(__xludf.DUMMYFUNCTION("""COMPUTED_VALUE"""),"Schenectady")</f>
        <v>Schenectady</v>
      </c>
      <c r="Q74" s="8" t="str">
        <f ca="1">IFERROR(__xludf.DUMMYFUNCTION("""COMPUTED_VALUE"""),"NY")</f>
        <v>NY</v>
      </c>
      <c r="R74" s="8" t="str">
        <f ca="1">IFERROR(__xludf.DUMMYFUNCTION("""COMPUTED_VALUE"""),"Middle")</f>
        <v>Middle</v>
      </c>
      <c r="S74" s="8" t="str">
        <f ca="1">IFERROR(__xludf.DUMMYFUNCTION("""COMPUTED_VALUE"""),"School Bus")</f>
        <v>School Bus</v>
      </c>
      <c r="T74" s="8" t="str">
        <f ca="1">IFERROR(__xludf.DUMMYFUNCTION("""COMPUTED_VALUE"""),"School Bus")</f>
        <v>School Bus</v>
      </c>
      <c r="U74" s="8" t="str">
        <f ca="1">IFERROR(__xludf.DUMMYFUNCTION("""COMPUTED_VALUE"""),"Yes")</f>
        <v>Yes</v>
      </c>
      <c r="V74" s="8" t="str">
        <f ca="1">IFERROR(__xludf.DUMMYFUNCTION("""COMPUTED_VALUE"""),"Dismissal")</f>
        <v>Dismissal</v>
      </c>
      <c r="W74" s="11">
        <f ca="1">IFERROR(__xludf.DUMMYFUNCTION("""COMPUTED_VALUE"""),0.65625)</f>
        <v>0.65625</v>
      </c>
      <c r="X74" s="8">
        <f ca="1">IFERROR(__xludf.DUMMYFUNCTION("""COMPUTED_VALUE"""),1)</f>
        <v>1</v>
      </c>
      <c r="Y74" s="12" t="str">
        <f ca="1">IFERROR(__xludf.DUMMYFUNCTION("""COMPUTED_VALUE"""),"BB pellet broke school bus window while driving students home at dismissal")</f>
        <v>BB pellet broke school bus window while driving students home at dismissal</v>
      </c>
      <c r="Z74" s="12" t="str">
        <f ca="1">IFERROR(__xludf.DUMMYFUNCTION("""COMPUTED_VALUE"""),"The incident occurred at about 3:45 p.m. as the bus was driving on Oakwood Avenue, according to police. The bus driver reported hearing a crack from outside the bus before noticing that the first passenger side window was cracked and had a small circle in"&amp;" the corner, authorities said. During an investigation, police allegedly found a fragment of a BB projectile inside the bus. No injuries were reported.")</f>
        <v>The incident occurred at about 3:45 p.m. as the bus was driving on Oakwood Avenue, according to police. The bus driver reported hearing a crack from outside the bus before noticing that the first passenger side window was cracked and had a small circle in the corner, authorities said. During an investigation, police allegedly found a fragment of a BB projectile inside the bus. No injuries were reported.</v>
      </c>
      <c r="AA74" s="8" t="str">
        <f ca="1">IFERROR(__xludf.DUMMYFUNCTION("""COMPUTED_VALUE"""),"Intentional Property Damage")</f>
        <v>Intentional Property Damage</v>
      </c>
      <c r="AB74" s="8" t="str">
        <f ca="1">IFERROR(__xludf.DUMMYFUNCTION("""COMPUTED_VALUE"""),"Targeted")</f>
        <v>Targeted</v>
      </c>
      <c r="AC74" s="8" t="str">
        <f ca="1">IFERROR(__xludf.DUMMYFUNCTION("""COMPUTED_VALUE"""),"Yes")</f>
        <v>Yes</v>
      </c>
      <c r="AD74" s="8" t="str">
        <f ca="1">IFERROR(__xludf.DUMMYFUNCTION("""COMPUTED_VALUE"""),"Neither")</f>
        <v>Neither</v>
      </c>
      <c r="AE74" s="8"/>
      <c r="AF74" s="8"/>
      <c r="AG74" s="8" t="str">
        <f ca="1">IFERROR(__xludf.DUMMYFUNCTION("""COMPUTED_VALUE"""),"No")</f>
        <v>No</v>
      </c>
      <c r="AH74" s="8" t="str">
        <f ca="1">IFERROR(__xludf.DUMMYFUNCTION("""COMPUTED_VALUE"""),"No")</f>
        <v>No</v>
      </c>
      <c r="AI74" s="8" t="str">
        <f ca="1">IFERROR(__xludf.DUMMYFUNCTION("""COMPUTED_VALUE"""),"No")</f>
        <v>No</v>
      </c>
      <c r="AJ74" s="8" t="str">
        <f ca="1">IFERROR(__xludf.DUMMYFUNCTION("""COMPUTED_VALUE"""),"No")</f>
        <v>No</v>
      </c>
      <c r="AK74" s="8" t="str">
        <f ca="1">IFERROR(__xludf.DUMMYFUNCTION("""COMPUTED_VALUE"""),"No")</f>
        <v>No</v>
      </c>
      <c r="AL74" s="8" t="str">
        <f ca="1">IFERROR(__xludf.DUMMYFUNCTION("""COMPUTED_VALUE"""),"No")</f>
        <v>No</v>
      </c>
      <c r="AM74" s="8" t="str">
        <f ca="1">IFERROR(__xludf.DUMMYFUNCTION("""COMPUTED_VALUE"""),"No")</f>
        <v>No</v>
      </c>
      <c r="AN74" s="8" t="str">
        <f ca="1">IFERROR(__xludf.DUMMYFUNCTION("""COMPUTED_VALUE"""),"Outside")</f>
        <v>Outside</v>
      </c>
      <c r="AO74" s="8" t="str">
        <f ca="1">IFERROR(__xludf.DUMMYFUNCTION("""COMPUTED_VALUE"""),"No")</f>
        <v>No</v>
      </c>
      <c r="AP74" s="8"/>
      <c r="AQ74" s="8"/>
      <c r="AR74" s="8" t="str">
        <f ca="1">IFERROR(__xludf.DUMMYFUNCTION("""COMPUTED_VALUE"""),"Outside/Off-Property")</f>
        <v>Outside/Off-Property</v>
      </c>
      <c r="AS74" s="8"/>
      <c r="AT74" s="8" t="str">
        <f ca="1">IFERROR(__xludf.DUMMYFUNCTION("""COMPUTED_VALUE"""),"No")</f>
        <v>No</v>
      </c>
      <c r="AU74" s="8">
        <f ca="1">IFERROR(__xludf.DUMMYFUNCTION("""COMPUTED_VALUE"""),42.798053)</f>
        <v>42.798053000000003</v>
      </c>
      <c r="AV74" s="8">
        <f ca="1">IFERROR(__xludf.DUMMYFUNCTION("""COMPUTED_VALUE"""),-73.940733)</f>
        <v>-73.940732999999994</v>
      </c>
      <c r="AW74" s="8" t="str">
        <f ca="1">IFERROR(__xludf.DUMMYFUNCTION("""COMPUTED_VALUE"""),"Multiple attached buildings")</f>
        <v>Multiple attached buildings</v>
      </c>
      <c r="AX74" s="8">
        <f ca="1">IFERROR(__xludf.DUMMYFUNCTION("""COMPUTED_VALUE"""),12303)</f>
        <v>12303</v>
      </c>
    </row>
    <row r="75" spans="1:50" ht="150" x14ac:dyDescent="0.2">
      <c r="A75" s="8" t="str">
        <f ca="1">IFERROR(__xludf.DUMMYFUNCTION("""COMPUTED_VALUE"""),"20250515PALOP")</f>
        <v>20250515PALOP</v>
      </c>
      <c r="B75" s="8">
        <f ca="1">IFERROR(__xludf.DUMMYFUNCTION("""COMPUTED_VALUE"""),5)</f>
        <v>5</v>
      </c>
      <c r="C75" s="8">
        <f ca="1">IFERROR(__xludf.DUMMYFUNCTION("""COMPUTED_VALUE"""),15)</f>
        <v>15</v>
      </c>
      <c r="D75" s="8">
        <f ca="1">IFERROR(__xludf.DUMMYFUNCTION("""COMPUTED_VALUE"""),2025)</f>
        <v>2025</v>
      </c>
      <c r="E75" s="9">
        <f ca="1">IFERROR(__xludf.DUMMYFUNCTION("""COMPUTED_VALUE"""),45792)</f>
        <v>45792</v>
      </c>
      <c r="F75" s="8" t="str">
        <f ca="1">IFERROR(__xludf.DUMMYFUNCTION("""COMPUTED_VALUE"""),"Logan Elementary School")</f>
        <v>Logan Elementary School</v>
      </c>
      <c r="G75" s="8">
        <f ca="1">IFERROR(__xludf.DUMMYFUNCTION("""COMPUTED_VALUE"""),1)</f>
        <v>1</v>
      </c>
      <c r="H75" s="8">
        <f ca="1">IFERROR(__xludf.DUMMYFUNCTION("""COMPUTED_VALUE"""),1)</f>
        <v>1</v>
      </c>
      <c r="I75" s="8">
        <f ca="1">IFERROR(__xludf.DUMMYFUNCTION("""COMPUTED_VALUE"""),2)</f>
        <v>2</v>
      </c>
      <c r="J75" s="8">
        <f ca="1">IFERROR(__xludf.DUMMYFUNCTION("""COMPUTED_VALUE"""),0)</f>
        <v>0</v>
      </c>
      <c r="K75" s="8" t="str">
        <f ca="1">IFERROR(__xludf.DUMMYFUNCTION("""COMPUTED_VALUE"""),"https://www.nbcphiladelphia.com/news/local/teen-killed-double-shooting-elementary-school-northwest-philadelphia/4186453/
https://6abc.com/post/teen-killed-another-injured-shooting-philadelphia-basketball-court-lindley-avenue/16429303/")</f>
        <v>https://www.nbcphiladelphia.com/news/local/teen-killed-double-shooting-elementary-school-northwest-philadelphia/4186453/
https://6abc.com/post/teen-killed-another-injured-shooting-philadelphia-basketball-court-lindley-avenue/16429303/</v>
      </c>
      <c r="L75" s="8">
        <f ca="1">IFERROR(__xludf.DUMMYFUNCTION("""COMPUTED_VALUE"""),10)</f>
        <v>10</v>
      </c>
      <c r="M75" s="8" t="str">
        <f ca="1">IFERROR(__xludf.DUMMYFUNCTION("""COMPUTED_VALUE"""),"Regional")</f>
        <v>Regional</v>
      </c>
      <c r="N75" s="8">
        <f ca="1">IFERROR(__xludf.DUMMYFUNCTION("""COMPUTED_VALUE"""),4)</f>
        <v>4</v>
      </c>
      <c r="O75" s="8" t="str">
        <f ca="1">IFERROR(__xludf.DUMMYFUNCTION("""COMPUTED_VALUE"""),"Spring")</f>
        <v>Spring</v>
      </c>
      <c r="P75" s="8" t="str">
        <f ca="1">IFERROR(__xludf.DUMMYFUNCTION("""COMPUTED_VALUE"""),"Philadelphia")</f>
        <v>Philadelphia</v>
      </c>
      <c r="Q75" s="8" t="str">
        <f ca="1">IFERROR(__xludf.DUMMYFUNCTION("""COMPUTED_VALUE"""),"PA")</f>
        <v>PA</v>
      </c>
      <c r="R75" s="8" t="str">
        <f ca="1">IFERROR(__xludf.DUMMYFUNCTION("""COMPUTED_VALUE"""),"Elementary")</f>
        <v>Elementary</v>
      </c>
      <c r="S75" s="8" t="str">
        <f ca="1">IFERROR(__xludf.DUMMYFUNCTION("""COMPUTED_VALUE"""),"Basketball Court")</f>
        <v>Basketball Court</v>
      </c>
      <c r="T75" s="8" t="str">
        <f ca="1">IFERROR(__xludf.DUMMYFUNCTION("""COMPUTED_VALUE"""),"Outside on School Property")</f>
        <v>Outside on School Property</v>
      </c>
      <c r="U75" s="8" t="str">
        <f ca="1">IFERROR(__xludf.DUMMYFUNCTION("""COMPUTED_VALUE"""),"No")</f>
        <v>No</v>
      </c>
      <c r="V75" s="8" t="str">
        <f ca="1">IFERROR(__xludf.DUMMYFUNCTION("""COMPUTED_VALUE"""),"Evening")</f>
        <v>Evening</v>
      </c>
      <c r="W75" s="11">
        <f ca="1">IFERROR(__xludf.DUMMYFUNCTION("""COMPUTED_VALUE"""),0.770833333333333)</f>
        <v>0.77083333333333304</v>
      </c>
      <c r="X75" s="8">
        <f ca="1">IFERROR(__xludf.DUMMYFUNCTION("""COMPUTED_VALUE"""),1)</f>
        <v>1</v>
      </c>
      <c r="Y75" s="12" t="str">
        <f ca="1">IFERROR(__xludf.DUMMYFUNCTION("""COMPUTED_VALUE"""),"Teen killed and another teen wounded when 38 shots were fired at them on the school's outdoor basketball court")</f>
        <v>Teen killed and another teen wounded when 38 shots were fired at them on the school's outdoor basketball court</v>
      </c>
      <c r="Z75" s="12" t="str">
        <f ca="1">IFERROR(__xludf.DUMMYFUNCTION("""COMPUTED_VALUE"""),"An 18-year-old was killed and a 17-year-old was injured following a double shooting near the area of James Logan Elementary School in Northwest Philadelphia, police said. The 18-year-old victim was shot several times in his chest and torso on May 15, acco"&amp;"rding to Philadelphia Police Chief Inspector Scott Small. The teenager was taken to a nearby hospital where he was pronounced dead just after 6:30 p.m. The 17-year-old was shot in the hand and leg and has been taken to the hospital, police said. He is in "&amp;"stable condition.")</f>
        <v>An 18-year-old was killed and a 17-year-old was injured following a double shooting near the area of James Logan Elementary School in Northwest Philadelphia, police said. The 18-year-old victim was shot several times in his chest and torso on May 15, according to Philadelphia Police Chief Inspector Scott Small. The teenager was taken to a nearby hospital where he was pronounced dead just after 6:30 p.m. The 17-year-old was shot in the hand and leg and has been taken to the hospital, police said. He is in stable condition.</v>
      </c>
      <c r="AA75" s="8"/>
      <c r="AB75" s="8" t="str">
        <f ca="1">IFERROR(__xludf.DUMMYFUNCTION("""COMPUTED_VALUE"""),"Targeted")</f>
        <v>Targeted</v>
      </c>
      <c r="AC75" s="8" t="str">
        <f ca="1">IFERROR(__xludf.DUMMYFUNCTION("""COMPUTED_VALUE"""),"No")</f>
        <v>No</v>
      </c>
      <c r="AD75" s="8" t="str">
        <f ca="1">IFERROR(__xludf.DUMMYFUNCTION("""COMPUTED_VALUE"""),"Victims Targeted")</f>
        <v>Victims Targeted</v>
      </c>
      <c r="AE75" s="8" t="str">
        <f ca="1">IFERROR(__xludf.DUMMYFUNCTION("""COMPUTED_VALUE"""),"Yes")</f>
        <v>Yes</v>
      </c>
      <c r="AF75" s="8" t="str">
        <f ca="1">IFERROR(__xludf.DUMMYFUNCTION("""COMPUTED_VALUE"""),"Two shooters")</f>
        <v>Two shooters</v>
      </c>
      <c r="AG75" s="8" t="str">
        <f ca="1">IFERROR(__xludf.DUMMYFUNCTION("""COMPUTED_VALUE"""),"No")</f>
        <v>No</v>
      </c>
      <c r="AH75" s="8" t="str">
        <f ca="1">IFERROR(__xludf.DUMMYFUNCTION("""COMPUTED_VALUE"""),"No")</f>
        <v>No</v>
      </c>
      <c r="AI75" s="8" t="str">
        <f ca="1">IFERROR(__xludf.DUMMYFUNCTION("""COMPUTED_VALUE"""),"No")</f>
        <v>No</v>
      </c>
      <c r="AJ75" s="8" t="str">
        <f ca="1">IFERROR(__xludf.DUMMYFUNCTION("""COMPUTED_VALUE"""),"No")</f>
        <v>No</v>
      </c>
      <c r="AK75" s="8" t="str">
        <f ca="1">IFERROR(__xludf.DUMMYFUNCTION("""COMPUTED_VALUE"""),"No")</f>
        <v>No</v>
      </c>
      <c r="AL75" s="8"/>
      <c r="AM75" s="8" t="str">
        <f ca="1">IFERROR(__xludf.DUMMYFUNCTION("""COMPUTED_VALUE"""),"No")</f>
        <v>No</v>
      </c>
      <c r="AN75" s="8" t="str">
        <f ca="1">IFERROR(__xludf.DUMMYFUNCTION("""COMPUTED_VALUE"""),"Outside")</f>
        <v>Outside</v>
      </c>
      <c r="AO75" s="8" t="str">
        <f ca="1">IFERROR(__xludf.DUMMYFUNCTION("""COMPUTED_VALUE"""),"No")</f>
        <v>No</v>
      </c>
      <c r="AP75" s="8"/>
      <c r="AQ75" s="8"/>
      <c r="AR75" s="8" t="str">
        <f ca="1">IFERROR(__xludf.DUMMYFUNCTION("""COMPUTED_VALUE"""),"Outside/Off-Property")</f>
        <v>Outside/Off-Property</v>
      </c>
      <c r="AS75" s="8">
        <f ca="1">IFERROR(__xludf.DUMMYFUNCTION("""COMPUTED_VALUE"""),38)</f>
        <v>38</v>
      </c>
      <c r="AT75" s="8" t="str">
        <f ca="1">IFERROR(__xludf.DUMMYFUNCTION("""COMPUTED_VALUE"""),"No")</f>
        <v>No</v>
      </c>
      <c r="AU75" s="8">
        <f ca="1">IFERROR(__xludf.DUMMYFUNCTION("""COMPUTED_VALUE"""),40.030552)</f>
        <v>40.030552</v>
      </c>
      <c r="AV75" s="8">
        <f ca="1">IFERROR(__xludf.DUMMYFUNCTION("""COMPUTED_VALUE"""),-75.15195)</f>
        <v>-75.151949999999999</v>
      </c>
      <c r="AW75" s="8" t="str">
        <f ca="1">IFERROR(__xludf.DUMMYFUNCTION("""COMPUTED_VALUE"""),"Urban Street Standalone")</f>
        <v>Urban Street Standalone</v>
      </c>
      <c r="AX75" s="8">
        <f ca="1">IFERROR(__xludf.DUMMYFUNCTION("""COMPUTED_VALUE"""),19141)</f>
        <v>19141</v>
      </c>
    </row>
    <row r="76" spans="1:50" ht="225" x14ac:dyDescent="0.2">
      <c r="A76" s="8" t="str">
        <f ca="1">IFERROR(__xludf.DUMMYFUNCTION("""COMPUTED_VALUE"""),"20250513ILSTC")</f>
        <v>20250513ILSTC</v>
      </c>
      <c r="B76" s="8">
        <f ca="1">IFERROR(__xludf.DUMMYFUNCTION("""COMPUTED_VALUE"""),5)</f>
        <v>5</v>
      </c>
      <c r="C76" s="8">
        <f ca="1">IFERROR(__xludf.DUMMYFUNCTION("""COMPUTED_VALUE"""),13)</f>
        <v>13</v>
      </c>
      <c r="D76" s="8">
        <f ca="1">IFERROR(__xludf.DUMMYFUNCTION("""COMPUTED_VALUE"""),2025)</f>
        <v>2025</v>
      </c>
      <c r="E76" s="9">
        <f ca="1">IFERROR(__xludf.DUMMYFUNCTION("""COMPUTED_VALUE"""),45790)</f>
        <v>45790</v>
      </c>
      <c r="F76" s="8" t="str">
        <f ca="1">IFERROR(__xludf.DUMMYFUNCTION("""COMPUTED_VALUE"""),"Stephen Tyng Mather High School")</f>
        <v>Stephen Tyng Mather High School</v>
      </c>
      <c r="G76" s="8">
        <f ca="1">IFERROR(__xludf.DUMMYFUNCTION("""COMPUTED_VALUE"""),0)</f>
        <v>0</v>
      </c>
      <c r="H76" s="8">
        <f ca="1">IFERROR(__xludf.DUMMYFUNCTION("""COMPUTED_VALUE"""),1)</f>
        <v>1</v>
      </c>
      <c r="I76" s="8">
        <f ca="1">IFERROR(__xludf.DUMMYFUNCTION("""COMPUTED_VALUE"""),1)</f>
        <v>1</v>
      </c>
      <c r="J76" s="8">
        <f ca="1">IFERROR(__xludf.DUMMYFUNCTION("""COMPUTED_VALUE"""),0)</f>
        <v>0</v>
      </c>
      <c r="K76" s="8" t="str">
        <f ca="1">IFERROR(__xludf.DUMMYFUNCTION("""COMPUTED_VALUE"""),"https://www.cbsnews.com/chicago/news/student-shot-near-mather-high-school-chicago-north-side/
https://www.cbsnews.com/chicago/video/17-year-old-student-shot-near-mather-high-school-on-chicagos-north-side/")</f>
        <v>https://www.cbsnews.com/chicago/news/student-shot-near-mather-high-school-chicago-north-side/
https://www.cbsnews.com/chicago/video/17-year-old-student-shot-near-mather-high-school-on-chicagos-north-side/</v>
      </c>
      <c r="L76" s="8">
        <f ca="1">IFERROR(__xludf.DUMMYFUNCTION("""COMPUTED_VALUE"""),10)</f>
        <v>10</v>
      </c>
      <c r="M76" s="8" t="str">
        <f ca="1">IFERROR(__xludf.DUMMYFUNCTION("""COMPUTED_VALUE"""),"Regional")</f>
        <v>Regional</v>
      </c>
      <c r="N76" s="8">
        <f ca="1">IFERROR(__xludf.DUMMYFUNCTION("""COMPUTED_VALUE"""),4)</f>
        <v>4</v>
      </c>
      <c r="O76" s="8" t="str">
        <f ca="1">IFERROR(__xludf.DUMMYFUNCTION("""COMPUTED_VALUE"""),"Spring")</f>
        <v>Spring</v>
      </c>
      <c r="P76" s="8" t="str">
        <f ca="1">IFERROR(__xludf.DUMMYFUNCTION("""COMPUTED_VALUE"""),"Chicago")</f>
        <v>Chicago</v>
      </c>
      <c r="Q76" s="8" t="str">
        <f ca="1">IFERROR(__xludf.DUMMYFUNCTION("""COMPUTED_VALUE"""),"IL")</f>
        <v>IL</v>
      </c>
      <c r="R76" s="8" t="str">
        <f ca="1">IFERROR(__xludf.DUMMYFUNCTION("""COMPUTED_VALUE"""),"High")</f>
        <v>High</v>
      </c>
      <c r="S76" s="8" t="str">
        <f ca="1">IFERROR(__xludf.DUMMYFUNCTION("""COMPUTED_VALUE"""),"Parking Lot")</f>
        <v>Parking Lot</v>
      </c>
      <c r="T76" s="8" t="str">
        <f ca="1">IFERROR(__xludf.DUMMYFUNCTION("""COMPUTED_VALUE"""),"Outside on School Property")</f>
        <v>Outside on School Property</v>
      </c>
      <c r="U76" s="8" t="str">
        <f ca="1">IFERROR(__xludf.DUMMYFUNCTION("""COMPUTED_VALUE"""),"Yes")</f>
        <v>Yes</v>
      </c>
      <c r="V76" s="8" t="str">
        <f ca="1">IFERROR(__xludf.DUMMYFUNCTION("""COMPUTED_VALUE"""),"Dismissal")</f>
        <v>Dismissal</v>
      </c>
      <c r="W76" s="11">
        <f ca="1">IFERROR(__xludf.DUMMYFUNCTION("""COMPUTED_VALUE"""),0.638194444444444)</f>
        <v>0.63819444444444395</v>
      </c>
      <c r="X76" s="8">
        <f ca="1">IFERROR(__xludf.DUMMYFUNCTION("""COMPUTED_VALUE"""),1)</f>
        <v>1</v>
      </c>
      <c r="Y76" s="12" t="str">
        <f ca="1">IFERROR(__xludf.DUMMYFUNCTION("""COMPUTED_VALUE"""),"Student shot during fight at dismissal")</f>
        <v>Student shot during fight at dismissal</v>
      </c>
      <c r="Z76" s="12" t="str">
        <f ca="1">IFERROR(__xludf.DUMMYFUNCTION("""COMPUTED_VALUE"""),"At 3:19 p.m., the 17-year-old boy was inside a vehicle in the 5900 block of North California Avenue, just south of Peterson Avenue, when someone approached and shot him, police said. The victim was taken to NorthShore Evanston Hospital in good condition, "&amp;"police said. The office of Ald. Andre Vasquez (40th) said Lincoln District police have confirmed the victim was a Mather High School student. Mather Park is located on the west side of the block of California Avenue where the shooting happened. Basketball"&amp;" courts and other athletic spaces for the park are located along California Avenue at Thorndale Avenue. Vasquez reported the Chicago Public Schools crisis team would be on site Wednesday to support Mather students, and Chicago Police will be present at sc"&amp;"hool dismissal time until further notice.")</f>
        <v>At 3:19 p.m., the 17-year-old boy was inside a vehicle in the 5900 block of North California Avenue, just south of Peterson Avenue, when someone approached and shot him, police said. The victim was taken to NorthShore Evanston Hospital in good condition, police said. The office of Ald. Andre Vasquez (40th) said Lincoln District police have confirmed the victim was a Mather High School student. Mather Park is located on the west side of the block of California Avenue where the shooting happened. Basketball courts and other athletic spaces for the park are located along California Avenue at Thorndale Avenue. Vasquez reported the Chicago Public Schools crisis team would be on site Wednesday to support Mather students, and Chicago Police will be present at school dismissal time until further notice.</v>
      </c>
      <c r="AA76" s="8" t="str">
        <f ca="1">IFERROR(__xludf.DUMMYFUNCTION("""COMPUTED_VALUE"""),"Escalation of Dispute")</f>
        <v>Escalation of Dispute</v>
      </c>
      <c r="AB76" s="8" t="str">
        <f ca="1">IFERROR(__xludf.DUMMYFUNCTION("""COMPUTED_VALUE"""),"Spontaneous")</f>
        <v>Spontaneous</v>
      </c>
      <c r="AC76" s="8" t="str">
        <f ca="1">IFERROR(__xludf.DUMMYFUNCTION("""COMPUTED_VALUE"""),"Yes")</f>
        <v>Yes</v>
      </c>
      <c r="AD76" s="8" t="str">
        <f ca="1">IFERROR(__xludf.DUMMYFUNCTION("""COMPUTED_VALUE"""),"Victims Targeted")</f>
        <v>Victims Targeted</v>
      </c>
      <c r="AE76" s="8" t="str">
        <f ca="1">IFERROR(__xludf.DUMMYFUNCTION("""COMPUTED_VALUE"""),"No")</f>
        <v>No</v>
      </c>
      <c r="AF76" s="8"/>
      <c r="AG76" s="8" t="str">
        <f ca="1">IFERROR(__xludf.DUMMYFUNCTION("""COMPUTED_VALUE"""),"No")</f>
        <v>No</v>
      </c>
      <c r="AH76" s="8" t="str">
        <f ca="1">IFERROR(__xludf.DUMMYFUNCTION("""COMPUTED_VALUE"""),"No")</f>
        <v>No</v>
      </c>
      <c r="AI76" s="8" t="str">
        <f ca="1">IFERROR(__xludf.DUMMYFUNCTION("""COMPUTED_VALUE"""),"No")</f>
        <v>No</v>
      </c>
      <c r="AJ76" s="8"/>
      <c r="AK76" s="8" t="str">
        <f ca="1">IFERROR(__xludf.DUMMYFUNCTION("""COMPUTED_VALUE"""),"No")</f>
        <v>No</v>
      </c>
      <c r="AL76" s="8"/>
      <c r="AM76" s="8" t="str">
        <f ca="1">IFERROR(__xludf.DUMMYFUNCTION("""COMPUTED_VALUE"""),"No")</f>
        <v>No</v>
      </c>
      <c r="AN76" s="8" t="str">
        <f ca="1">IFERROR(__xludf.DUMMYFUNCTION("""COMPUTED_VALUE"""),"Outside")</f>
        <v>Outside</v>
      </c>
      <c r="AO76" s="8" t="str">
        <f ca="1">IFERROR(__xludf.DUMMYFUNCTION("""COMPUTED_VALUE"""),"No")</f>
        <v>No</v>
      </c>
      <c r="AP76" s="8"/>
      <c r="AQ76" s="8"/>
      <c r="AR76" s="8" t="str">
        <f ca="1">IFERROR(__xludf.DUMMYFUNCTION("""COMPUTED_VALUE"""),"Outside/Off-Property")</f>
        <v>Outside/Off-Property</v>
      </c>
      <c r="AS76" s="8">
        <f ca="1">IFERROR(__xludf.DUMMYFUNCTION("""COMPUTED_VALUE"""),3)</f>
        <v>3</v>
      </c>
      <c r="AT76" s="8" t="str">
        <f ca="1">IFERROR(__xludf.DUMMYFUNCTION("""COMPUTED_VALUE"""),"No")</f>
        <v>No</v>
      </c>
      <c r="AU76" s="8">
        <f ca="1">IFERROR(__xludf.DUMMYFUNCTION("""COMPUTED_VALUE"""),41.988591)</f>
        <v>41.988591</v>
      </c>
      <c r="AV76" s="8">
        <f ca="1">IFERROR(__xludf.DUMMYFUNCTION("""COMPUTED_VALUE"""),-87.699721)</f>
        <v>-87.699720999999997</v>
      </c>
      <c r="AW76" s="8" t="str">
        <f ca="1">IFERROR(__xludf.DUMMYFUNCTION("""COMPUTED_VALUE"""),"Multiple attached buildings")</f>
        <v>Multiple attached buildings</v>
      </c>
      <c r="AX76" s="8">
        <f ca="1">IFERROR(__xludf.DUMMYFUNCTION("""COMPUTED_VALUE"""),60659)</f>
        <v>60659</v>
      </c>
    </row>
    <row r="77" spans="1:50" ht="225" x14ac:dyDescent="0.2">
      <c r="A77" s="8" t="str">
        <f ca="1">IFERROR(__xludf.DUMMYFUNCTION("""COMPUTED_VALUE"""),"20250512NYBRB")</f>
        <v>20250512NYBRB</v>
      </c>
      <c r="B77" s="8">
        <f ca="1">IFERROR(__xludf.DUMMYFUNCTION("""COMPUTED_VALUE"""),5)</f>
        <v>5</v>
      </c>
      <c r="C77" s="8">
        <f ca="1">IFERROR(__xludf.DUMMYFUNCTION("""COMPUTED_VALUE"""),12)</f>
        <v>12</v>
      </c>
      <c r="D77" s="8">
        <f ca="1">IFERROR(__xludf.DUMMYFUNCTION("""COMPUTED_VALUE"""),2025)</f>
        <v>2025</v>
      </c>
      <c r="E77" s="9">
        <f ca="1">IFERROR(__xludf.DUMMYFUNCTION("""COMPUTED_VALUE"""),45789)</f>
        <v>45789</v>
      </c>
      <c r="F77" s="8" t="str">
        <f ca="1">IFERROR(__xludf.DUMMYFUNCTION("""COMPUTED_VALUE"""),"Bronx Latin School")</f>
        <v>Bronx Latin School</v>
      </c>
      <c r="G77" s="8">
        <f ca="1">IFERROR(__xludf.DUMMYFUNCTION("""COMPUTED_VALUE"""),1)</f>
        <v>1</v>
      </c>
      <c r="H77" s="8">
        <f ca="1">IFERROR(__xludf.DUMMYFUNCTION("""COMPUTED_VALUE"""),0)</f>
        <v>0</v>
      </c>
      <c r="I77" s="8">
        <f ca="1">IFERROR(__xludf.DUMMYFUNCTION("""COMPUTED_VALUE"""),1)</f>
        <v>1</v>
      </c>
      <c r="J77" s="8">
        <f ca="1">IFERROR(__xludf.DUMMYFUNCTION("""COMPUTED_VALUE"""),0)</f>
        <v>0</v>
      </c>
      <c r="K77" s="8" t="str">
        <f ca="1">IFERROR(__xludf.DUMMYFUNCTION("""COMPUTED_VALUE"""),"https://nypost.com/2025/05/12/us-news/innocent-16-year-old-girl-shot-in-head-and-killed-outside-nyc-charter-school-cops/
https://abc7ny.com/post/bronx-shooting-female-shot-school-morrisania-police-say/16395632/
https://www.nbcnewyork.com/bronx/15-year-old"&amp;"-girl-shot-head-bronx-school/6261167/")</f>
        <v>https://nypost.com/2025/05/12/us-news/innocent-16-year-old-girl-shot-in-head-and-killed-outside-nyc-charter-school-cops/
https://abc7ny.com/post/bronx-shooting-female-shot-school-morrisania-police-say/16395632/
https://www.nbcnewyork.com/bronx/15-year-old-girl-shot-head-bronx-school/6261167/</v>
      </c>
      <c r="L77" s="8">
        <f ca="1">IFERROR(__xludf.DUMMYFUNCTION("""COMPUTED_VALUE"""),500)</f>
        <v>500</v>
      </c>
      <c r="M77" s="8" t="str">
        <f ca="1">IFERROR(__xludf.DUMMYFUNCTION("""COMPUTED_VALUE"""),"National")</f>
        <v>National</v>
      </c>
      <c r="N77" s="8">
        <f ca="1">IFERROR(__xludf.DUMMYFUNCTION("""COMPUTED_VALUE"""),4)</f>
        <v>4</v>
      </c>
      <c r="O77" s="8" t="str">
        <f ca="1">IFERROR(__xludf.DUMMYFUNCTION("""COMPUTED_VALUE"""),"Spring")</f>
        <v>Spring</v>
      </c>
      <c r="P77" s="8" t="str">
        <f ca="1">IFERROR(__xludf.DUMMYFUNCTION("""COMPUTED_VALUE"""),"Bronx")</f>
        <v>Bronx</v>
      </c>
      <c r="Q77" s="8" t="str">
        <f ca="1">IFERROR(__xludf.DUMMYFUNCTION("""COMPUTED_VALUE"""),"NY")</f>
        <v>NY</v>
      </c>
      <c r="R77" s="8" t="str">
        <f ca="1">IFERROR(__xludf.DUMMYFUNCTION("""COMPUTED_VALUE"""),"High")</f>
        <v>High</v>
      </c>
      <c r="S77" s="8" t="str">
        <f ca="1">IFERROR(__xludf.DUMMYFUNCTION("""COMPUTED_VALUE"""),"Beside Building")</f>
        <v>Beside Building</v>
      </c>
      <c r="T77" s="8" t="str">
        <f ca="1">IFERROR(__xludf.DUMMYFUNCTION("""COMPUTED_VALUE"""),"Outside on School Property")</f>
        <v>Outside on School Property</v>
      </c>
      <c r="U77" s="8" t="str">
        <f ca="1">IFERROR(__xludf.DUMMYFUNCTION("""COMPUTED_VALUE"""),"No")</f>
        <v>No</v>
      </c>
      <c r="V77" s="8" t="str">
        <f ca="1">IFERROR(__xludf.DUMMYFUNCTION("""COMPUTED_VALUE"""),"Dismissal")</f>
        <v>Dismissal</v>
      </c>
      <c r="W77" s="11">
        <f ca="1">IFERROR(__xludf.DUMMYFUNCTION("""COMPUTED_VALUE"""),0.708333333333333)</f>
        <v>0.70833333333333304</v>
      </c>
      <c r="X77" s="8">
        <f ca="1">IFERROR(__xludf.DUMMYFUNCTION("""COMPUTED_VALUE"""),1)</f>
        <v>1</v>
      </c>
      <c r="Y77" s="12" t="str">
        <f ca="1">IFERROR(__xludf.DUMMYFUNCTION("""COMPUTED_VALUE"""),"14-year-old fired shots into a crowd of students during a fight, 16-year-old bystander fatally shot")</f>
        <v>14-year-old fired shots into a crowd of students during a fight, 16-year-old bystander fatally shot</v>
      </c>
      <c r="Z77" s="12" t="str">
        <f ca="1">IFERROR(__xludf.DUMMYFUNCTION("""COMPUTED_VALUE"""),"A 16-year-old girl was pronounced dead after being shot in the head near Bronx Latin School on Monday in the Morrisania section around 5 p.m. Video recovered from a school camera shows children leaving the school yard and entering an alley alongside the b"&amp;"uilding. Officials say the video shows a fight break out between a group of kids gathered in the alley. They say a 14-year-old boy, wearing a white t-shirt and shorts, is punched in the face and knocked to the ground by another male, wearing a grey hoodie"&amp;". At some point, someone slips the 14-year-old a pistol, who then fires three shots into the crowd, hitting 16-year-old Evette Jeffrey in the head. Police say Jeffrey was riding from the school yard on a scooter, and was an innocent bystander. Police sour"&amp;"ces say the NYPD is still looking for a 13-year-old accused of handing the alleged shooter the gun.")</f>
        <v>A 16-year-old girl was pronounced dead after being shot in the head near Bronx Latin School on Monday in the Morrisania section around 5 p.m. Video recovered from a school camera shows children leaving the school yard and entering an alley alongside the building. Officials say the video shows a fight break out between a group of kids gathered in the alley. They say a 14-year-old boy, wearing a white t-shirt and shorts, is punched in the face and knocked to the ground by another male, wearing a grey hoodie. At some point, someone slips the 14-year-old a pistol, who then fires three shots into the crowd, hitting 16-year-old Evette Jeffrey in the head. Police say Jeffrey was riding from the school yard on a scooter, and was an innocent bystander. Police sources say the NYPD is still looking for a 13-year-old accused of handing the alleged shooter the gun.</v>
      </c>
      <c r="AA77" s="8" t="str">
        <f ca="1">IFERROR(__xludf.DUMMYFUNCTION("""COMPUTED_VALUE"""),"Escalation of Dispute")</f>
        <v>Escalation of Dispute</v>
      </c>
      <c r="AB77" s="8" t="str">
        <f ca="1">IFERROR(__xludf.DUMMYFUNCTION("""COMPUTED_VALUE"""),"Spontaneous")</f>
        <v>Spontaneous</v>
      </c>
      <c r="AC77" s="8" t="str">
        <f ca="1">IFERROR(__xludf.DUMMYFUNCTION("""COMPUTED_VALUE"""),"Yes")</f>
        <v>Yes</v>
      </c>
      <c r="AD77" s="8" t="str">
        <f ca="1">IFERROR(__xludf.DUMMYFUNCTION("""COMPUTED_VALUE"""),"Victims Targeted")</f>
        <v>Victims Targeted</v>
      </c>
      <c r="AE77" s="8" t="str">
        <f ca="1">IFERROR(__xludf.DUMMYFUNCTION("""COMPUTED_VALUE"""),"Yes")</f>
        <v>Yes</v>
      </c>
      <c r="AF77" s="8" t="str">
        <f ca="1">IFERROR(__xludf.DUMMYFUNCTION("""COMPUTED_VALUE"""),"shooter given pistol by a 13-year-old student")</f>
        <v>shooter given pistol by a 13-year-old student</v>
      </c>
      <c r="AG77" s="8" t="str">
        <f ca="1">IFERROR(__xludf.DUMMYFUNCTION("""COMPUTED_VALUE"""),"No")</f>
        <v>No</v>
      </c>
      <c r="AH77" s="8" t="str">
        <f ca="1">IFERROR(__xludf.DUMMYFUNCTION("""COMPUTED_VALUE"""),"No")</f>
        <v>No</v>
      </c>
      <c r="AI77" s="8" t="str">
        <f ca="1">IFERROR(__xludf.DUMMYFUNCTION("""COMPUTED_VALUE"""),"No")</f>
        <v>No</v>
      </c>
      <c r="AJ77" s="8"/>
      <c r="AK77" s="8" t="str">
        <f ca="1">IFERROR(__xludf.DUMMYFUNCTION("""COMPUTED_VALUE"""),"No")</f>
        <v>No</v>
      </c>
      <c r="AL77" s="8"/>
      <c r="AM77" s="8" t="str">
        <f ca="1">IFERROR(__xludf.DUMMYFUNCTION("""COMPUTED_VALUE"""),"No")</f>
        <v>No</v>
      </c>
      <c r="AN77" s="8" t="str">
        <f ca="1">IFERROR(__xludf.DUMMYFUNCTION("""COMPUTED_VALUE"""),"Outside")</f>
        <v>Outside</v>
      </c>
      <c r="AO77" s="8" t="str">
        <f ca="1">IFERROR(__xludf.DUMMYFUNCTION("""COMPUTED_VALUE"""),"No")</f>
        <v>No</v>
      </c>
      <c r="AP77" s="8"/>
      <c r="AQ77" s="8"/>
      <c r="AR77" s="8" t="str">
        <f ca="1">IFERROR(__xludf.DUMMYFUNCTION("""COMPUTED_VALUE"""),"Outside/Off-Property")</f>
        <v>Outside/Off-Property</v>
      </c>
      <c r="AS77" s="8">
        <f ca="1">IFERROR(__xludf.DUMMYFUNCTION("""COMPUTED_VALUE"""),4)</f>
        <v>4</v>
      </c>
      <c r="AT77" s="8"/>
      <c r="AU77" s="8">
        <f ca="1">IFERROR(__xludf.DUMMYFUNCTION("""COMPUTED_VALUE"""),40.827093)</f>
        <v>40.827092999999998</v>
      </c>
      <c r="AV77" s="8">
        <f ca="1">IFERROR(__xludf.DUMMYFUNCTION("""COMPUTED_VALUE"""),-73.900145)</f>
        <v>-73.900144999999995</v>
      </c>
      <c r="AW77" s="8" t="str">
        <f ca="1">IFERROR(__xludf.DUMMYFUNCTION("""COMPUTED_VALUE"""),"Urban Street Standalone")</f>
        <v>Urban Street Standalone</v>
      </c>
      <c r="AX77" s="8">
        <f ca="1">IFERROR(__xludf.DUMMYFUNCTION("""COMPUTED_VALUE"""),10459)</f>
        <v>10459</v>
      </c>
    </row>
    <row r="78" spans="1:50" ht="195" x14ac:dyDescent="0.2">
      <c r="A78" s="8" t="str">
        <f ca="1">IFERROR(__xludf.DUMMYFUNCTION("""COMPUTED_VALUE"""),"20250509LADOL")</f>
        <v>20250509LADOL</v>
      </c>
      <c r="B78" s="8">
        <f ca="1">IFERROR(__xludf.DUMMYFUNCTION("""COMPUTED_VALUE"""),5)</f>
        <v>5</v>
      </c>
      <c r="C78" s="8">
        <f ca="1">IFERROR(__xludf.DUMMYFUNCTION("""COMPUTED_VALUE"""),9)</f>
        <v>9</v>
      </c>
      <c r="D78" s="8">
        <f ca="1">IFERROR(__xludf.DUMMYFUNCTION("""COMPUTED_VALUE"""),2025)</f>
        <v>2025</v>
      </c>
      <c r="E78" s="9">
        <f ca="1">IFERROR(__xludf.DUMMYFUNCTION("""COMPUTED_VALUE"""),45786)</f>
        <v>45786</v>
      </c>
      <c r="F78" s="8" t="str">
        <f ca="1">IFERROR(__xludf.DUMMYFUNCTION("""COMPUTED_VALUE"""),"Doyle Elementary School")</f>
        <v>Doyle Elementary School</v>
      </c>
      <c r="G78" s="8">
        <f ca="1">IFERROR(__xludf.DUMMYFUNCTION("""COMPUTED_VALUE"""),1)</f>
        <v>1</v>
      </c>
      <c r="H78" s="8">
        <f ca="1">IFERROR(__xludf.DUMMYFUNCTION("""COMPUTED_VALUE"""),0)</f>
        <v>0</v>
      </c>
      <c r="I78" s="8">
        <f ca="1">IFERROR(__xludf.DUMMYFUNCTION("""COMPUTED_VALUE"""),1)</f>
        <v>1</v>
      </c>
      <c r="J78" s="8">
        <f ca="1">IFERROR(__xludf.DUMMYFUNCTION("""COMPUTED_VALUE"""),0)</f>
        <v>0</v>
      </c>
      <c r="K78" s="8" t="str">
        <f ca="1">IFERROR(__xludf.DUMMYFUNCTION("""COMPUTED_VALUE"""),"https://www.wbrz.com/news/second-man-arrested-after-friday-night-shooting-at-doyle-high-baseball-field-in-livingston/
https://www.wafb.com/2025/05/12/neighbors-frightened-after-fatal-shooting-behind-baseball-field/
https://www.yahoo.com/news/man-dead-1-ar"&amp;"rested-shooting-154806591.html?guce_referrer=aHR0cHM6Ly93d3cuZ29vZ2xlLmNvbS8&amp;guce_referrer_sig=AQAAADpGYQ11XE59NnXyLJbQHP-nhZorMFWKkJH9OtmczBbBuA_4bIPUqjAkBe5Lj0r2yATas1jQC0kBPUdWr3zbzn4-2LNGsfgCIKPoSO9EPhyWbgtYYeBIEfAxJe2d7b3OLXXGaNs9cqs45P_x2xaTOa33tQEX"&amp;"JZJZfrC1KeKffz18
https://www.wafb.com/2025/05/10/arrest-made-following-shooting-doyle-high-school-baseball-field-school-officials-release-statement/")</f>
        <v>https://www.wbrz.com/news/second-man-arrested-after-friday-night-shooting-at-doyle-high-baseball-field-in-livingston/
https://www.wafb.com/2025/05/12/neighbors-frightened-after-fatal-shooting-behind-baseball-field/
https://www.yahoo.com/news/man-dead-1-arrested-shooting-154806591.html?guce_referrer=aHR0cHM6Ly93d3cuZ29vZ2xlLmNvbS8&amp;guce_referrer_sig=AQAAADpGYQ11XE59NnXyLJbQHP-nhZorMFWKkJH9OtmczBbBuA_4bIPUqjAkBe5Lj0r2yATas1jQC0kBPUdWr3zbzn4-2LNGsfgCIKPoSO9EPhyWbgtYYeBIEfAxJe2d7b3OLXXGaNs9cqs45P_x2xaTOa33tQEXJZJZfrC1KeKffz18
https://www.wafb.com/2025/05/10/arrest-made-following-shooting-doyle-high-school-baseball-field-school-officials-release-statement/</v>
      </c>
      <c r="L78" s="8">
        <f ca="1">IFERROR(__xludf.DUMMYFUNCTION("""COMPUTED_VALUE"""),8)</f>
        <v>8</v>
      </c>
      <c r="M78" s="8" t="str">
        <f ca="1">IFERROR(__xludf.DUMMYFUNCTION("""COMPUTED_VALUE"""),"Regional")</f>
        <v>Regional</v>
      </c>
      <c r="N78" s="8">
        <f ca="1">IFERROR(__xludf.DUMMYFUNCTION("""COMPUTED_VALUE"""),4)</f>
        <v>4</v>
      </c>
      <c r="O78" s="8" t="str">
        <f ca="1">IFERROR(__xludf.DUMMYFUNCTION("""COMPUTED_VALUE"""),"Spring")</f>
        <v>Spring</v>
      </c>
      <c r="P78" s="8" t="str">
        <f ca="1">IFERROR(__xludf.DUMMYFUNCTION("""COMPUTED_VALUE"""),"Livingston")</f>
        <v>Livingston</v>
      </c>
      <c r="Q78" s="8" t="str">
        <f ca="1">IFERROR(__xludf.DUMMYFUNCTION("""COMPUTED_VALUE"""),"LA")</f>
        <v>LA</v>
      </c>
      <c r="R78" s="8" t="str">
        <f ca="1">IFERROR(__xludf.DUMMYFUNCTION("""COMPUTED_VALUE"""),"Elementary")</f>
        <v>Elementary</v>
      </c>
      <c r="S78" s="8" t="str">
        <f ca="1">IFERROR(__xludf.DUMMYFUNCTION("""COMPUTED_VALUE"""),"Field (General)")</f>
        <v>Field (General)</v>
      </c>
      <c r="T78" s="8" t="str">
        <f ca="1">IFERROR(__xludf.DUMMYFUNCTION("""COMPUTED_VALUE"""),"Outside on School Property")</f>
        <v>Outside on School Property</v>
      </c>
      <c r="U78" s="8" t="str">
        <f ca="1">IFERROR(__xludf.DUMMYFUNCTION("""COMPUTED_VALUE"""),"No")</f>
        <v>No</v>
      </c>
      <c r="V78" s="8" t="str">
        <f ca="1">IFERROR(__xludf.DUMMYFUNCTION("""COMPUTED_VALUE"""),"Evening")</f>
        <v>Evening</v>
      </c>
      <c r="W78" s="11">
        <f ca="1">IFERROR(__xludf.DUMMYFUNCTION("""COMPUTED_VALUE"""),0.875)</f>
        <v>0.875</v>
      </c>
      <c r="X78" s="8">
        <f ca="1">IFERROR(__xludf.DUMMYFUNCTION("""COMPUTED_VALUE"""),1)</f>
        <v>1</v>
      </c>
      <c r="Y78" s="12" t="str">
        <f ca="1">IFERROR(__xludf.DUMMYFUNCTION("""COMPUTED_VALUE"""),"Man fatally shot by a teen on the school baseball field during a robbery attempt")</f>
        <v>Man fatally shot by a teen on the school baseball field during a robbery attempt</v>
      </c>
      <c r="Z78" s="12" t="str">
        <f ca="1">IFERROR(__xludf.DUMMYFUNCTION("""COMPUTED_VALUE"""),"Authorities were notified of the shooting by someone in a vehicle traveling on Texas Street. They said they were able to locate the vehicle off Red Oak Road near Texas Street. When police caught up with the vehicle, they said they discovered the victim wi"&amp;"th a single gunshot wound to the chest, the suspect, and another passenger. Police said the suspect was the driver of the vehicle. Emergency workers arrived on the scene not long after law enforcement and immediately loaded the victim into an ambulance. T"&amp;"hey rushed him to a hospital, which is where he later died from his injuries. Through an investigation, police determined the actual shooting took place at the Doyle High School baseball field.")</f>
        <v>Authorities were notified of the shooting by someone in a vehicle traveling on Texas Street. They said they were able to locate the vehicle off Red Oak Road near Texas Street. When police caught up with the vehicle, they said they discovered the victim with a single gunshot wound to the chest, the suspect, and another passenger. Police said the suspect was the driver of the vehicle. Emergency workers arrived on the scene not long after law enforcement and immediately loaded the victim into an ambulance. They rushed him to a hospital, which is where he later died from his injuries. Through an investigation, police determined the actual shooting took place at the Doyle High School baseball field.</v>
      </c>
      <c r="AA78" s="8" t="str">
        <f ca="1">IFERROR(__xludf.DUMMYFUNCTION("""COMPUTED_VALUE"""),"Illegal Activity")</f>
        <v>Illegal Activity</v>
      </c>
      <c r="AB78" s="8" t="str">
        <f ca="1">IFERROR(__xludf.DUMMYFUNCTION("""COMPUTED_VALUE"""),"Targeted")</f>
        <v>Targeted</v>
      </c>
      <c r="AC78" s="8" t="str">
        <f ca="1">IFERROR(__xludf.DUMMYFUNCTION("""COMPUTED_VALUE"""),"No")</f>
        <v>No</v>
      </c>
      <c r="AD78" s="8" t="str">
        <f ca="1">IFERROR(__xludf.DUMMYFUNCTION("""COMPUTED_VALUE"""),"Victims Targeted")</f>
        <v>Victims Targeted</v>
      </c>
      <c r="AE78" s="8" t="str">
        <f ca="1">IFERROR(__xludf.DUMMYFUNCTION("""COMPUTED_VALUE"""),"Yes")</f>
        <v>Yes</v>
      </c>
      <c r="AF78" s="8" t="str">
        <f ca="1">IFERROR(__xludf.DUMMYFUNCTION("""COMPUTED_VALUE"""),"Planned by two men")</f>
        <v>Planned by two men</v>
      </c>
      <c r="AG78" s="8" t="str">
        <f ca="1">IFERROR(__xludf.DUMMYFUNCTION("""COMPUTED_VALUE"""),"No")</f>
        <v>No</v>
      </c>
      <c r="AH78" s="8" t="str">
        <f ca="1">IFERROR(__xludf.DUMMYFUNCTION("""COMPUTED_VALUE"""),"No")</f>
        <v>No</v>
      </c>
      <c r="AI78" s="8" t="str">
        <f ca="1">IFERROR(__xludf.DUMMYFUNCTION("""COMPUTED_VALUE"""),"No")</f>
        <v>No</v>
      </c>
      <c r="AJ78" s="8" t="str">
        <f ca="1">IFERROR(__xludf.DUMMYFUNCTION("""COMPUTED_VALUE"""),"No")</f>
        <v>No</v>
      </c>
      <c r="AK78" s="8" t="str">
        <f ca="1">IFERROR(__xludf.DUMMYFUNCTION("""COMPUTED_VALUE"""),"No")</f>
        <v>No</v>
      </c>
      <c r="AL78" s="8" t="str">
        <f ca="1">IFERROR(__xludf.DUMMYFUNCTION("""COMPUTED_VALUE"""),"No")</f>
        <v>No</v>
      </c>
      <c r="AM78" s="8" t="str">
        <f ca="1">IFERROR(__xludf.DUMMYFUNCTION("""COMPUTED_VALUE"""),"No")</f>
        <v>No</v>
      </c>
      <c r="AN78" s="8" t="str">
        <f ca="1">IFERROR(__xludf.DUMMYFUNCTION("""COMPUTED_VALUE"""),"Outside")</f>
        <v>Outside</v>
      </c>
      <c r="AO78" s="8" t="str">
        <f ca="1">IFERROR(__xludf.DUMMYFUNCTION("""COMPUTED_VALUE"""),"No")</f>
        <v>No</v>
      </c>
      <c r="AP78" s="8"/>
      <c r="AQ78" s="8"/>
      <c r="AR78" s="8" t="str">
        <f ca="1">IFERROR(__xludf.DUMMYFUNCTION("""COMPUTED_VALUE"""),"Outside/Off-Property")</f>
        <v>Outside/Off-Property</v>
      </c>
      <c r="AS78" s="8">
        <f ca="1">IFERROR(__xludf.DUMMYFUNCTION("""COMPUTED_VALUE"""),1)</f>
        <v>1</v>
      </c>
      <c r="AT78" s="8" t="str">
        <f ca="1">IFERROR(__xludf.DUMMYFUNCTION("""COMPUTED_VALUE"""),"No")</f>
        <v>No</v>
      </c>
      <c r="AU78" s="8">
        <f ca="1">IFERROR(__xludf.DUMMYFUNCTION("""COMPUTED_VALUE"""),30.493752)</f>
        <v>30.493752000000001</v>
      </c>
      <c r="AV78" s="8">
        <f ca="1">IFERROR(__xludf.DUMMYFUNCTION("""COMPUTED_VALUE"""),-90.754054)</f>
        <v>-90.754053999999996</v>
      </c>
      <c r="AW78" s="8" t="str">
        <f ca="1">IFERROR(__xludf.DUMMYFUNCTION("""COMPUTED_VALUE"""),"Multiple detached buildings")</f>
        <v>Multiple detached buildings</v>
      </c>
      <c r="AX78" s="8">
        <f ca="1">IFERROR(__xludf.DUMMYFUNCTION("""COMPUTED_VALUE"""),70754)</f>
        <v>70754</v>
      </c>
    </row>
    <row r="79" spans="1:50" ht="135" x14ac:dyDescent="0.2">
      <c r="A79" s="8" t="str">
        <f ca="1">IFERROR(__xludf.DUMMYFUNCTION("""COMPUTED_VALUE"""),"20250509TXGLS")</f>
        <v>20250509TXGLS</v>
      </c>
      <c r="B79" s="8">
        <f ca="1">IFERROR(__xludf.DUMMYFUNCTION("""COMPUTED_VALUE"""),5)</f>
        <v>5</v>
      </c>
      <c r="C79" s="8">
        <f ca="1">IFERROR(__xludf.DUMMYFUNCTION("""COMPUTED_VALUE"""),9)</f>
        <v>9</v>
      </c>
      <c r="D79" s="8">
        <f ca="1">IFERROR(__xludf.DUMMYFUNCTION("""COMPUTED_VALUE"""),2025)</f>
        <v>2025</v>
      </c>
      <c r="E79" s="9">
        <f ca="1">IFERROR(__xludf.DUMMYFUNCTION("""COMPUTED_VALUE"""),45786)</f>
        <v>45786</v>
      </c>
      <c r="F79" s="8" t="str">
        <f ca="1">IFERROR(__xludf.DUMMYFUNCTION("""COMPUTED_VALUE"""),"Glenoaks Elementary School")</f>
        <v>Glenoaks Elementary School</v>
      </c>
      <c r="G79" s="8">
        <f ca="1">IFERROR(__xludf.DUMMYFUNCTION("""COMPUTED_VALUE"""),0)</f>
        <v>0</v>
      </c>
      <c r="H79" s="8">
        <f ca="1">IFERROR(__xludf.DUMMYFUNCTION("""COMPUTED_VALUE"""),0)</f>
        <v>0</v>
      </c>
      <c r="I79" s="8">
        <f ca="1">IFERROR(__xludf.DUMMYFUNCTION("""COMPUTED_VALUE"""),0)</f>
        <v>0</v>
      </c>
      <c r="J79" s="8">
        <f ca="1">IFERROR(__xludf.DUMMYFUNCTION("""COMPUTED_VALUE"""),1)</f>
        <v>1</v>
      </c>
      <c r="K79" s="10" t="str">
        <f ca="1">IFERROR(__xludf.DUMMYFUNCTION("""COMPUTED_VALUE"""),"https://www.ksat.com/news/local/2025/05/08/im-terrified-for-the-children-parents-fearful-after-apparent-suicide-at-northwest-side-school/")</f>
        <v>https://www.ksat.com/news/local/2025/05/08/im-terrified-for-the-children-parents-fearful-after-apparent-suicide-at-northwest-side-school/</v>
      </c>
      <c r="L79" s="8">
        <f ca="1">IFERROR(__xludf.DUMMYFUNCTION("""COMPUTED_VALUE"""),4)</f>
        <v>4</v>
      </c>
      <c r="M79" s="8" t="str">
        <f ca="1">IFERROR(__xludf.DUMMYFUNCTION("""COMPUTED_VALUE"""),"Local")</f>
        <v>Local</v>
      </c>
      <c r="N79" s="8">
        <f ca="1">IFERROR(__xludf.DUMMYFUNCTION("""COMPUTED_VALUE"""),4)</f>
        <v>4</v>
      </c>
      <c r="O79" s="8" t="str">
        <f ca="1">IFERROR(__xludf.DUMMYFUNCTION("""COMPUTED_VALUE"""),"Spring")</f>
        <v>Spring</v>
      </c>
      <c r="P79" s="8" t="str">
        <f ca="1">IFERROR(__xludf.DUMMYFUNCTION("""COMPUTED_VALUE"""),"San Antonio")</f>
        <v>San Antonio</v>
      </c>
      <c r="Q79" s="8" t="str">
        <f ca="1">IFERROR(__xludf.DUMMYFUNCTION("""COMPUTED_VALUE"""),"TX")</f>
        <v>TX</v>
      </c>
      <c r="R79" s="8" t="str">
        <f ca="1">IFERROR(__xludf.DUMMYFUNCTION("""COMPUTED_VALUE"""),"Elementary")</f>
        <v>Elementary</v>
      </c>
      <c r="S79" s="8" t="str">
        <f ca="1">IFERROR(__xludf.DUMMYFUNCTION("""COMPUTED_VALUE"""),"Beside Building")</f>
        <v>Beside Building</v>
      </c>
      <c r="T79" s="8" t="str">
        <f ca="1">IFERROR(__xludf.DUMMYFUNCTION("""COMPUTED_VALUE"""),"Outside on School Property")</f>
        <v>Outside on School Property</v>
      </c>
      <c r="U79" s="8" t="str">
        <f ca="1">IFERROR(__xludf.DUMMYFUNCTION("""COMPUTED_VALUE"""),"Yes")</f>
        <v>Yes</v>
      </c>
      <c r="V79" s="8" t="str">
        <f ca="1">IFERROR(__xludf.DUMMYFUNCTION("""COMPUTED_VALUE"""),"School Start")</f>
        <v>School Start</v>
      </c>
      <c r="W79" s="11">
        <f ca="1">IFERROR(__xludf.DUMMYFUNCTION("""COMPUTED_VALUE"""),0.25)</f>
        <v>0.25</v>
      </c>
      <c r="X79" s="8">
        <f ca="1">IFERROR(__xludf.DUMMYFUNCTION("""COMPUTED_VALUE"""),1)</f>
        <v>1</v>
      </c>
      <c r="Y79" s="12" t="str">
        <f ca="1">IFERROR(__xludf.DUMMYFUNCTION("""COMPUTED_VALUE"""),"Teen's body was found next to classroom as students arrived for school")</f>
        <v>Teen's body was found next to classroom as students arrived for school</v>
      </c>
      <c r="Z79" s="12" t="str">
        <f ca="1">IFERROR(__xludf.DUMMYFUNCTION("""COMPUTED_VALUE"""),"According to an SAPD sergeant on scene, officers searching for an 18-year-old man who lived in the area discovered his body near a portable classroom building on campus. The sergeant also said they found a gun nearby. Police said the man’s family had made"&amp;" a call for a welfare check around 6 a.m. after they noticed he had left home and a gun was missing. About an hour later, officers located his body at the school, just as students and parents had begun to arrive.")</f>
        <v>According to an SAPD sergeant on scene, officers searching for an 18-year-old man who lived in the area discovered his body near a portable classroom building on campus. The sergeant also said they found a gun nearby. Police said the man’s family had made a call for a welfare check around 6 a.m. after they noticed he had left home and a gun was missing. About an hour later, officers located his body at the school, just as students and parents had begun to arrive.</v>
      </c>
      <c r="AA79" s="8" t="str">
        <f ca="1">IFERROR(__xludf.DUMMYFUNCTION("""COMPUTED_VALUE"""),"Suicide/Attempted")</f>
        <v>Suicide/Attempted</v>
      </c>
      <c r="AB79" s="8" t="str">
        <f ca="1">IFERROR(__xludf.DUMMYFUNCTION("""COMPUTED_VALUE"""),"Targeted")</f>
        <v>Targeted</v>
      </c>
      <c r="AC79" s="8" t="str">
        <f ca="1">IFERROR(__xludf.DUMMYFUNCTION("""COMPUTED_VALUE"""),"Yes")</f>
        <v>Yes</v>
      </c>
      <c r="AD79" s="8" t="str">
        <f ca="1">IFERROR(__xludf.DUMMYFUNCTION("""COMPUTED_VALUE"""),"Victims Targeted")</f>
        <v>Victims Targeted</v>
      </c>
      <c r="AE79" s="8" t="str">
        <f ca="1">IFERROR(__xludf.DUMMYFUNCTION("""COMPUTED_VALUE"""),"No")</f>
        <v>No</v>
      </c>
      <c r="AF79" s="8"/>
      <c r="AG79" s="8" t="str">
        <f ca="1">IFERROR(__xludf.DUMMYFUNCTION("""COMPUTED_VALUE"""),"No")</f>
        <v>No</v>
      </c>
      <c r="AH79" s="8" t="str">
        <f ca="1">IFERROR(__xludf.DUMMYFUNCTION("""COMPUTED_VALUE"""),"No")</f>
        <v>No</v>
      </c>
      <c r="AI79" s="8" t="str">
        <f ca="1">IFERROR(__xludf.DUMMYFUNCTION("""COMPUTED_VALUE"""),"No")</f>
        <v>No</v>
      </c>
      <c r="AJ79" s="8" t="str">
        <f ca="1">IFERROR(__xludf.DUMMYFUNCTION("""COMPUTED_VALUE"""),"No")</f>
        <v>No</v>
      </c>
      <c r="AK79" s="8" t="str">
        <f ca="1">IFERROR(__xludf.DUMMYFUNCTION("""COMPUTED_VALUE"""),"No")</f>
        <v>No</v>
      </c>
      <c r="AL79" s="8" t="str">
        <f ca="1">IFERROR(__xludf.DUMMYFUNCTION("""COMPUTED_VALUE"""),"No")</f>
        <v>No</v>
      </c>
      <c r="AM79" s="8" t="str">
        <f ca="1">IFERROR(__xludf.DUMMYFUNCTION("""COMPUTED_VALUE"""),"No")</f>
        <v>No</v>
      </c>
      <c r="AN79" s="8" t="str">
        <f ca="1">IFERROR(__xludf.DUMMYFUNCTION("""COMPUTED_VALUE"""),"Outside")</f>
        <v>Outside</v>
      </c>
      <c r="AO79" s="8" t="str">
        <f ca="1">IFERROR(__xludf.DUMMYFUNCTION("""COMPUTED_VALUE"""),"No")</f>
        <v>No</v>
      </c>
      <c r="AP79" s="8" t="str">
        <f ca="1">IFERROR(__xludf.DUMMYFUNCTION("""COMPUTED_VALUE"""),"Yes")</f>
        <v>Yes</v>
      </c>
      <c r="AQ79" s="8" t="str">
        <f ca="1">IFERROR(__xludf.DUMMYFUNCTION("""COMPUTED_VALUE"""),"Armed Guards")</f>
        <v>Armed Guards</v>
      </c>
      <c r="AR79" s="8" t="str">
        <f ca="1">IFERROR(__xludf.DUMMYFUNCTION("""COMPUTED_VALUE"""),"Outside/Off-Property")</f>
        <v>Outside/Off-Property</v>
      </c>
      <c r="AS79" s="8">
        <f ca="1">IFERROR(__xludf.DUMMYFUNCTION("""COMPUTED_VALUE"""),1)</f>
        <v>1</v>
      </c>
      <c r="AT79" s="8" t="str">
        <f ca="1">IFERROR(__xludf.DUMMYFUNCTION("""COMPUTED_VALUE"""),"Yes")</f>
        <v>Yes</v>
      </c>
      <c r="AU79" s="8">
        <f ca="1">IFERROR(__xludf.DUMMYFUNCTION("""COMPUTED_VALUE"""),29.495431)</f>
        <v>29.495431</v>
      </c>
      <c r="AV79" s="8">
        <f ca="1">IFERROR(__xludf.DUMMYFUNCTION("""COMPUTED_VALUE"""),-98.585751)</f>
        <v>-98.585751000000002</v>
      </c>
      <c r="AW79" s="8" t="str">
        <f ca="1">IFERROR(__xludf.DUMMYFUNCTION("""COMPUTED_VALUE"""),"Multiple detached buildings")</f>
        <v>Multiple detached buildings</v>
      </c>
      <c r="AX79" s="8">
        <f ca="1">IFERROR(__xludf.DUMMYFUNCTION("""COMPUTED_VALUE"""),78229)</f>
        <v>78229</v>
      </c>
    </row>
    <row r="80" spans="1:50" ht="210" x14ac:dyDescent="0.2">
      <c r="A80" s="8" t="str">
        <f ca="1">IFERROR(__xludf.DUMMYFUNCTION("""COMPUTED_VALUE"""),"20250507SCHOM")</f>
        <v>20250507SCHOM</v>
      </c>
      <c r="B80" s="8">
        <f ca="1">IFERROR(__xludf.DUMMYFUNCTION("""COMPUTED_VALUE"""),5)</f>
        <v>5</v>
      </c>
      <c r="C80" s="8">
        <f ca="1">IFERROR(__xludf.DUMMYFUNCTION("""COMPUTED_VALUE"""),7)</f>
        <v>7</v>
      </c>
      <c r="D80" s="8">
        <f ca="1">IFERROR(__xludf.DUMMYFUNCTION("""COMPUTED_VALUE"""),2025)</f>
        <v>2025</v>
      </c>
      <c r="E80" s="9">
        <f ca="1">IFERROR(__xludf.DUMMYFUNCTION("""COMPUTED_VALUE"""),45784)</f>
        <v>45784</v>
      </c>
      <c r="F80" s="8" t="str">
        <f ca="1">IFERROR(__xludf.DUMMYFUNCTION("""COMPUTED_VALUE"""),"Horry County School Bus")</f>
        <v>Horry County School Bus</v>
      </c>
      <c r="G80" s="8">
        <f ca="1">IFERROR(__xludf.DUMMYFUNCTION("""COMPUTED_VALUE"""),0)</f>
        <v>0</v>
      </c>
      <c r="H80" s="8">
        <f ca="1">IFERROR(__xludf.DUMMYFUNCTION("""COMPUTED_VALUE"""),0)</f>
        <v>0</v>
      </c>
      <c r="I80" s="8">
        <f ca="1">IFERROR(__xludf.DUMMYFUNCTION("""COMPUTED_VALUE"""),0)</f>
        <v>0</v>
      </c>
      <c r="J80" s="8">
        <f ca="1">IFERROR(__xludf.DUMMYFUNCTION("""COMPUTED_VALUE"""),0)</f>
        <v>0</v>
      </c>
      <c r="K80" s="10" t="str">
        <f ca="1">IFERROR(__xludf.DUMMYFUNCTION("""COMPUTED_VALUE"""),"https://www.myrtlebeachonline.com/news/local/crime/article307944380.html")</f>
        <v>https://www.myrtlebeachonline.com/news/local/crime/article307944380.html</v>
      </c>
      <c r="L80" s="8">
        <f ca="1">IFERROR(__xludf.DUMMYFUNCTION("""COMPUTED_VALUE"""),5)</f>
        <v>5</v>
      </c>
      <c r="M80" s="8" t="str">
        <f ca="1">IFERROR(__xludf.DUMMYFUNCTION("""COMPUTED_VALUE"""),"Regional")</f>
        <v>Regional</v>
      </c>
      <c r="N80" s="8">
        <f ca="1">IFERROR(__xludf.DUMMYFUNCTION("""COMPUTED_VALUE"""),4)</f>
        <v>4</v>
      </c>
      <c r="O80" s="8" t="str">
        <f ca="1">IFERROR(__xludf.DUMMYFUNCTION("""COMPUTED_VALUE"""),"Spring")</f>
        <v>Spring</v>
      </c>
      <c r="P80" s="8" t="str">
        <f ca="1">IFERROR(__xludf.DUMMYFUNCTION("""COMPUTED_VALUE"""),"Myrtle Beach")</f>
        <v>Myrtle Beach</v>
      </c>
      <c r="Q80" s="8" t="str">
        <f ca="1">IFERROR(__xludf.DUMMYFUNCTION("""COMPUTED_VALUE"""),"SC")</f>
        <v>SC</v>
      </c>
      <c r="R80" s="8" t="str">
        <f ca="1">IFERROR(__xludf.DUMMYFUNCTION("""COMPUTED_VALUE"""),"Elementary")</f>
        <v>Elementary</v>
      </c>
      <c r="S80" s="8" t="str">
        <f ca="1">IFERROR(__xludf.DUMMYFUNCTION("""COMPUTED_VALUE"""),"School Bus")</f>
        <v>School Bus</v>
      </c>
      <c r="T80" s="8" t="str">
        <f ca="1">IFERROR(__xludf.DUMMYFUNCTION("""COMPUTED_VALUE"""),"School Bus")</f>
        <v>School Bus</v>
      </c>
      <c r="U80" s="8" t="str">
        <f ca="1">IFERROR(__xludf.DUMMYFUNCTION("""COMPUTED_VALUE"""),"Yes")</f>
        <v>Yes</v>
      </c>
      <c r="V80" s="8" t="str">
        <f ca="1">IFERROR(__xludf.DUMMYFUNCTION("""COMPUTED_VALUE"""),"Dismissal")</f>
        <v>Dismissal</v>
      </c>
      <c r="W80" s="11">
        <f ca="1">IFERROR(__xludf.DUMMYFUNCTION("""COMPUTED_VALUE"""),0.645833333333333)</f>
        <v>0.64583333333333304</v>
      </c>
      <c r="X80" s="8">
        <f ca="1">IFERROR(__xludf.DUMMYFUNCTION("""COMPUTED_VALUE"""),1)</f>
        <v>1</v>
      </c>
      <c r="Y80" s="12" t="str">
        <f ca="1">IFERROR(__xludf.DUMMYFUNCTION("""COMPUTED_VALUE"""),"Parent got onto the school bus with a gun and threatened the driver during student dropoff")</f>
        <v>Parent got onto the school bus with a gun and threatened the driver during student dropoff</v>
      </c>
      <c r="Z80" s="12" t="str">
        <f ca="1">IFERROR(__xludf.DUMMYFUNCTION("""COMPUTED_VALUE"""),"On May 7, 2025, about 3:30 p.m., a person told officers that he was dropping children off from school in the area of Scorpio Lane and Crystal Lake Drive in the Surfside Beach area, a police report said. Ingram was standing at one of the stops. After the c"&amp;"hildren exited the bus, the suspect gets on the bus and proceeds to start yelling at what appears from the report to be the bus driver and the children. Security footage shows the bus driver getting up out of the driver seat and advising the suspect multi"&amp;"ple times to exit the bus. However, the suspect refused, the report said. Horry County spokesperson Lisa Bourcier said by email that the man was an upset family member of a student. He got on the school bus during the afternoon drop-off, prompting the bus"&amp;" driver to ask him to leave and call police.")</f>
        <v>On May 7, 2025, about 3:30 p.m., a person told officers that he was dropping children off from school in the area of Scorpio Lane and Crystal Lake Drive in the Surfside Beach area, a police report said. Ingram was standing at one of the stops. After the children exited the bus, the suspect gets on the bus and proceeds to start yelling at what appears from the report to be the bus driver and the children. Security footage shows the bus driver getting up out of the driver seat and advising the suspect multiple times to exit the bus. However, the suspect refused, the report said. Horry County spokesperson Lisa Bourcier said by email that the man was an upset family member of a student. He got on the school bus during the afternoon drop-off, prompting the bus driver to ask him to leave and call police.</v>
      </c>
      <c r="AA80" s="8" t="str">
        <f ca="1">IFERROR(__xludf.DUMMYFUNCTION("""COMPUTED_VALUE"""),"Escalation of Dispute")</f>
        <v>Escalation of Dispute</v>
      </c>
      <c r="AB80" s="8" t="str">
        <f ca="1">IFERROR(__xludf.DUMMYFUNCTION("""COMPUTED_VALUE"""),"Targeted")</f>
        <v>Targeted</v>
      </c>
      <c r="AC80" s="8" t="str">
        <f ca="1">IFERROR(__xludf.DUMMYFUNCTION("""COMPUTED_VALUE"""),"Yes")</f>
        <v>Yes</v>
      </c>
      <c r="AD80" s="8" t="str">
        <f ca="1">IFERROR(__xludf.DUMMYFUNCTION("""COMPUTED_VALUE"""),"Victims Targeted")</f>
        <v>Victims Targeted</v>
      </c>
      <c r="AE80" s="8" t="str">
        <f ca="1">IFERROR(__xludf.DUMMYFUNCTION("""COMPUTED_VALUE"""),"No")</f>
        <v>No</v>
      </c>
      <c r="AF80" s="8"/>
      <c r="AG80" s="8" t="str">
        <f ca="1">IFERROR(__xludf.DUMMYFUNCTION("""COMPUTED_VALUE"""),"No")</f>
        <v>No</v>
      </c>
      <c r="AH80" s="8" t="str">
        <f ca="1">IFERROR(__xludf.DUMMYFUNCTION("""COMPUTED_VALUE"""),"No")</f>
        <v>No</v>
      </c>
      <c r="AI80" s="8" t="str">
        <f ca="1">IFERROR(__xludf.DUMMYFUNCTION("""COMPUTED_VALUE"""),"No")</f>
        <v>No</v>
      </c>
      <c r="AJ80" s="8" t="str">
        <f ca="1">IFERROR(__xludf.DUMMYFUNCTION("""COMPUTED_VALUE"""),"No")</f>
        <v>No</v>
      </c>
      <c r="AK80" s="8" t="str">
        <f ca="1">IFERROR(__xludf.DUMMYFUNCTION("""COMPUTED_VALUE"""),"No")</f>
        <v>No</v>
      </c>
      <c r="AL80" s="8" t="str">
        <f ca="1">IFERROR(__xludf.DUMMYFUNCTION("""COMPUTED_VALUE"""),"No")</f>
        <v>No</v>
      </c>
      <c r="AM80" s="8" t="str">
        <f ca="1">IFERROR(__xludf.DUMMYFUNCTION("""COMPUTED_VALUE"""),"No")</f>
        <v>No</v>
      </c>
      <c r="AN80" s="8" t="str">
        <f ca="1">IFERROR(__xludf.DUMMYFUNCTION("""COMPUTED_VALUE"""),"Outside")</f>
        <v>Outside</v>
      </c>
      <c r="AO80" s="8" t="str">
        <f ca="1">IFERROR(__xludf.DUMMYFUNCTION("""COMPUTED_VALUE"""),"No")</f>
        <v>No</v>
      </c>
      <c r="AP80" s="8"/>
      <c r="AQ80" s="8"/>
      <c r="AR80" s="8" t="str">
        <f ca="1">IFERROR(__xludf.DUMMYFUNCTION("""COMPUTED_VALUE"""),"Outside/Off-Property")</f>
        <v>Outside/Off-Property</v>
      </c>
      <c r="AS80" s="8">
        <f ca="1">IFERROR(__xludf.DUMMYFUNCTION("""COMPUTED_VALUE"""),0)</f>
        <v>0</v>
      </c>
      <c r="AT80" s="8" t="str">
        <f ca="1">IFERROR(__xludf.DUMMYFUNCTION("""COMPUTED_VALUE"""),"No")</f>
        <v>No</v>
      </c>
      <c r="AU80" s="8">
        <f ca="1">IFERROR(__xludf.DUMMYFUNCTION("""COMPUTED_VALUE"""),33.65042)</f>
        <v>33.650419999999997</v>
      </c>
      <c r="AV80" s="8">
        <f ca="1">IFERROR(__xludf.DUMMYFUNCTION("""COMPUTED_VALUE"""),-78.949023)</f>
        <v>-78.949022999999997</v>
      </c>
      <c r="AW80" s="8"/>
      <c r="AX80" s="8">
        <f ca="1">IFERROR(__xludf.DUMMYFUNCTION("""COMPUTED_VALUE"""),29575)</f>
        <v>29575</v>
      </c>
    </row>
    <row r="81" spans="1:50" ht="135" x14ac:dyDescent="0.2">
      <c r="A81" s="8" t="str">
        <f ca="1">IFERROR(__xludf.DUMMYFUNCTION("""COMPUTED_VALUE"""),"20250507CALOO")</f>
        <v>20250507CALOO</v>
      </c>
      <c r="B81" s="8">
        <f ca="1">IFERROR(__xludf.DUMMYFUNCTION("""COMPUTED_VALUE"""),5)</f>
        <v>5</v>
      </c>
      <c r="C81" s="8">
        <f ca="1">IFERROR(__xludf.DUMMYFUNCTION("""COMPUTED_VALUE"""),7)</f>
        <v>7</v>
      </c>
      <c r="D81" s="8">
        <f ca="1">IFERROR(__xludf.DUMMYFUNCTION("""COMPUTED_VALUE"""),2025)</f>
        <v>2025</v>
      </c>
      <c r="E81" s="9">
        <f ca="1">IFERROR(__xludf.DUMMYFUNCTION("""COMPUTED_VALUE"""),45784)</f>
        <v>45784</v>
      </c>
      <c r="F81" s="8" t="str">
        <f ca="1">IFERROR(__xludf.DUMMYFUNCTION("""COMPUTED_VALUE"""),"Lockwood Steam Academy")</f>
        <v>Lockwood Steam Academy</v>
      </c>
      <c r="G81" s="8">
        <f ca="1">IFERROR(__xludf.DUMMYFUNCTION("""COMPUTED_VALUE"""),0)</f>
        <v>0</v>
      </c>
      <c r="H81" s="8">
        <f ca="1">IFERROR(__xludf.DUMMYFUNCTION("""COMPUTED_VALUE"""),0)</f>
        <v>0</v>
      </c>
      <c r="I81" s="8">
        <f ca="1">IFERROR(__xludf.DUMMYFUNCTION("""COMPUTED_VALUE"""),0)</f>
        <v>0</v>
      </c>
      <c r="J81" s="8">
        <f ca="1">IFERROR(__xludf.DUMMYFUNCTION("""COMPUTED_VALUE"""),0)</f>
        <v>0</v>
      </c>
      <c r="K81" s="10" t="str">
        <f ca="1">IFERROR(__xludf.DUMMYFUNCTION("""COMPUTED_VALUE"""),"https://www.ktvu.com/news/bullet-from-nearby-shooting-floods-east-oakland-school-cafeteria")</f>
        <v>https://www.ktvu.com/news/bullet-from-nearby-shooting-floods-east-oakland-school-cafeteria</v>
      </c>
      <c r="L81" s="8">
        <f ca="1">IFERROR(__xludf.DUMMYFUNCTION("""COMPUTED_VALUE"""),2)</f>
        <v>2</v>
      </c>
      <c r="M81" s="8" t="str">
        <f ca="1">IFERROR(__xludf.DUMMYFUNCTION("""COMPUTED_VALUE"""),"Local")</f>
        <v>Local</v>
      </c>
      <c r="N81" s="8">
        <f ca="1">IFERROR(__xludf.DUMMYFUNCTION("""COMPUTED_VALUE"""),4)</f>
        <v>4</v>
      </c>
      <c r="O81" s="8" t="str">
        <f ca="1">IFERROR(__xludf.DUMMYFUNCTION("""COMPUTED_VALUE"""),"Spring")</f>
        <v>Spring</v>
      </c>
      <c r="P81" s="8" t="str">
        <f ca="1">IFERROR(__xludf.DUMMYFUNCTION("""COMPUTED_VALUE"""),"Oakland")</f>
        <v>Oakland</v>
      </c>
      <c r="Q81" s="8" t="str">
        <f ca="1">IFERROR(__xludf.DUMMYFUNCTION("""COMPUTED_VALUE"""),"CA")</f>
        <v>CA</v>
      </c>
      <c r="R81" s="8" t="str">
        <f ca="1">IFERROR(__xludf.DUMMYFUNCTION("""COMPUTED_VALUE"""),"High")</f>
        <v>High</v>
      </c>
      <c r="S81" s="8" t="str">
        <f ca="1">IFERROR(__xludf.DUMMYFUNCTION("""COMPUTED_VALUE"""),"Cafeteria")</f>
        <v>Cafeteria</v>
      </c>
      <c r="T81" s="8" t="str">
        <f ca="1">IFERROR(__xludf.DUMMYFUNCTION("""COMPUTED_VALUE"""),"Inside School Building")</f>
        <v>Inside School Building</v>
      </c>
      <c r="U81" s="8" t="str">
        <f ca="1">IFERROR(__xludf.DUMMYFUNCTION("""COMPUTED_VALUE"""),"No")</f>
        <v>No</v>
      </c>
      <c r="V81" s="8" t="str">
        <f ca="1">IFERROR(__xludf.DUMMYFUNCTION("""COMPUTED_VALUE"""),"Night")</f>
        <v>Night</v>
      </c>
      <c r="W81" s="11">
        <f ca="1">IFERROR(__xludf.DUMMYFUNCTION("""COMPUTED_VALUE"""),0.197916666666666)</f>
        <v>0.19791666666666599</v>
      </c>
      <c r="X81" s="8">
        <f ca="1">IFERROR(__xludf.DUMMYFUNCTION("""COMPUTED_VALUE"""),1)</f>
        <v>1</v>
      </c>
      <c r="Y81" s="12" t="str">
        <f ca="1">IFERROR(__xludf.DUMMYFUNCTION("""COMPUTED_VALUE"""),"Bullet fired off campus hit the school building and struck a pipe inside the school which flooded the cafeteria")</f>
        <v>Bullet fired off campus hit the school building and struck a pipe inside the school which flooded the cafeteria</v>
      </c>
      <c r="Z81" s="12" t="str">
        <f ca="1">IFERROR(__xludf.DUMMYFUNCTION("""COMPUTED_VALUE"""),"Water cascaded down the side of the cafeteria at Lockwood Steam Academy in East Oakland early Wednesday after a bullet from a nearby shooting ended up in a pipe, officials said. ""One of those bullets entered our building, the cafeteria here, and it pierc"&amp;"ed a pipe and caused a flood,"" said John Sasaki, spokesman for the Oakland Unified School District. The cafeteria had recently been remodeled, but Sasaki said the damage was limited, thanks to firefighters who noticed the flowing water.")</f>
        <v>Water cascaded down the side of the cafeteria at Lockwood Steam Academy in East Oakland early Wednesday after a bullet from a nearby shooting ended up in a pipe, officials said. "One of those bullets entered our building, the cafeteria here, and it pierced a pipe and caused a flood," said John Sasaki, spokesman for the Oakland Unified School District. The cafeteria had recently been remodeled, but Sasaki said the damage was limited, thanks to firefighters who noticed the flowing water.</v>
      </c>
      <c r="AA81" s="8"/>
      <c r="AB81" s="8" t="str">
        <f ca="1">IFERROR(__xludf.DUMMYFUNCTION("""COMPUTED_VALUE"""),"Spontaneous")</f>
        <v>Spontaneous</v>
      </c>
      <c r="AC81" s="8" t="str">
        <f ca="1">IFERROR(__xludf.DUMMYFUNCTION("""COMPUTED_VALUE"""),"Yes")</f>
        <v>Yes</v>
      </c>
      <c r="AD81" s="8"/>
      <c r="AE81" s="8"/>
      <c r="AF81" s="8"/>
      <c r="AG81" s="8" t="str">
        <f ca="1">IFERROR(__xludf.DUMMYFUNCTION("""COMPUTED_VALUE"""),"No")</f>
        <v>No</v>
      </c>
      <c r="AH81" s="8" t="str">
        <f ca="1">IFERROR(__xludf.DUMMYFUNCTION("""COMPUTED_VALUE"""),"No")</f>
        <v>No</v>
      </c>
      <c r="AI81" s="8" t="str">
        <f ca="1">IFERROR(__xludf.DUMMYFUNCTION("""COMPUTED_VALUE"""),"No")</f>
        <v>No</v>
      </c>
      <c r="AJ81" s="8" t="str">
        <f ca="1">IFERROR(__xludf.DUMMYFUNCTION("""COMPUTED_VALUE"""),"No")</f>
        <v>No</v>
      </c>
      <c r="AK81" s="8" t="str">
        <f ca="1">IFERROR(__xludf.DUMMYFUNCTION("""COMPUTED_VALUE"""),"No")</f>
        <v>No</v>
      </c>
      <c r="AL81" s="8"/>
      <c r="AM81" s="8" t="str">
        <f ca="1">IFERROR(__xludf.DUMMYFUNCTION("""COMPUTED_VALUE"""),"No")</f>
        <v>No</v>
      </c>
      <c r="AN81" s="8" t="str">
        <f ca="1">IFERROR(__xludf.DUMMYFUNCTION("""COMPUTED_VALUE"""),"Outside")</f>
        <v>Outside</v>
      </c>
      <c r="AO81" s="8" t="str">
        <f ca="1">IFERROR(__xludf.DUMMYFUNCTION("""COMPUTED_VALUE"""),"No")</f>
        <v>No</v>
      </c>
      <c r="AP81" s="8"/>
      <c r="AQ81" s="8"/>
      <c r="AR81" s="8" t="str">
        <f ca="1">IFERROR(__xludf.DUMMYFUNCTION("""COMPUTED_VALUE"""),"Outside/Off-Property")</f>
        <v>Outside/Off-Property</v>
      </c>
      <c r="AS81" s="8">
        <f ca="1">IFERROR(__xludf.DUMMYFUNCTION("""COMPUTED_VALUE"""),99)</f>
        <v>99</v>
      </c>
      <c r="AT81" s="8" t="str">
        <f ca="1">IFERROR(__xludf.DUMMYFUNCTION("""COMPUTED_VALUE"""),"No")</f>
        <v>No</v>
      </c>
      <c r="AU81" s="8">
        <f ca="1">IFERROR(__xludf.DUMMYFUNCTION("""COMPUTED_VALUE"""),37.76131)</f>
        <v>37.761310000000002</v>
      </c>
      <c r="AV81" s="8">
        <f ca="1">IFERROR(__xludf.DUMMYFUNCTION("""COMPUTED_VALUE"""),-122.192101)</f>
        <v>-122.19210099999999</v>
      </c>
      <c r="AW81" s="8" t="str">
        <f ca="1">IFERROR(__xludf.DUMMYFUNCTION("""COMPUTED_VALUE"""),"Multiple detached buildings")</f>
        <v>Multiple detached buildings</v>
      </c>
      <c r="AX81" s="8">
        <f ca="1">IFERROR(__xludf.DUMMYFUNCTION("""COMPUTED_VALUE"""),94621)</f>
        <v>94621</v>
      </c>
    </row>
    <row r="82" spans="1:50" ht="120" x14ac:dyDescent="0.2">
      <c r="A82" s="8" t="str">
        <f ca="1">IFERROR(__xludf.DUMMYFUNCTION("""COMPUTED_VALUE"""),"20250507ILWEC")</f>
        <v>20250507ILWEC</v>
      </c>
      <c r="B82" s="8">
        <f ca="1">IFERROR(__xludf.DUMMYFUNCTION("""COMPUTED_VALUE"""),5)</f>
        <v>5</v>
      </c>
      <c r="C82" s="8">
        <f ca="1">IFERROR(__xludf.DUMMYFUNCTION("""COMPUTED_VALUE"""),7)</f>
        <v>7</v>
      </c>
      <c r="D82" s="8">
        <f ca="1">IFERROR(__xludf.DUMMYFUNCTION("""COMPUTED_VALUE"""),2025)</f>
        <v>2025</v>
      </c>
      <c r="E82" s="9">
        <f ca="1">IFERROR(__xludf.DUMMYFUNCTION("""COMPUTED_VALUE"""),45784)</f>
        <v>45784</v>
      </c>
      <c r="F82" s="8" t="str">
        <f ca="1">IFERROR(__xludf.DUMMYFUNCTION("""COMPUTED_VALUE"""),"Wendell Phillips Academy High School")</f>
        <v>Wendell Phillips Academy High School</v>
      </c>
      <c r="G82" s="8">
        <f ca="1">IFERROR(__xludf.DUMMYFUNCTION("""COMPUTED_VALUE"""),0)</f>
        <v>0</v>
      </c>
      <c r="H82" s="8">
        <f ca="1">IFERROR(__xludf.DUMMYFUNCTION("""COMPUTED_VALUE"""),1)</f>
        <v>1</v>
      </c>
      <c r="I82" s="8">
        <f ca="1">IFERROR(__xludf.DUMMYFUNCTION("""COMPUTED_VALUE"""),1)</f>
        <v>1</v>
      </c>
      <c r="J82" s="8">
        <f ca="1">IFERROR(__xludf.DUMMYFUNCTION("""COMPUTED_VALUE"""),0)</f>
        <v>0</v>
      </c>
      <c r="K82" s="8" t="str">
        <f ca="1">IFERROR(__xludf.DUMMYFUNCTION("""COMPUTED_VALUE"""),"https://www.fox32chicago.com/news/shooting-investigation-underway-near-wendell-phillips-academy-hs
https://abc7chicago.com/post/large-chicago-police-presence-outside-wendell-phillips-academy-high-school-pershing-road-bronzeville-live/16350766/
https://abc"&amp;"7chicago.com/post/teen-boy-charged-chicago-shooting-student-wendell-phillips-academy-high-school-bronzeville-police-say/16510939/")</f>
        <v>https://www.fox32chicago.com/news/shooting-investigation-underway-near-wendell-phillips-academy-hs
https://abc7chicago.com/post/large-chicago-police-presence-outside-wendell-phillips-academy-high-school-pershing-road-bronzeville-live/16350766/
https://abc7chicago.com/post/teen-boy-charged-chicago-shooting-student-wendell-phillips-academy-high-school-bronzeville-police-say/16510939/</v>
      </c>
      <c r="L82" s="8">
        <f ca="1">IFERROR(__xludf.DUMMYFUNCTION("""COMPUTED_VALUE"""),10)</f>
        <v>10</v>
      </c>
      <c r="M82" s="8" t="str">
        <f ca="1">IFERROR(__xludf.DUMMYFUNCTION("""COMPUTED_VALUE"""),"Regional")</f>
        <v>Regional</v>
      </c>
      <c r="N82" s="8">
        <f ca="1">IFERROR(__xludf.DUMMYFUNCTION("""COMPUTED_VALUE"""),4)</f>
        <v>4</v>
      </c>
      <c r="O82" s="8" t="str">
        <f ca="1">IFERROR(__xludf.DUMMYFUNCTION("""COMPUTED_VALUE"""),"Spring")</f>
        <v>Spring</v>
      </c>
      <c r="P82" s="8" t="str">
        <f ca="1">IFERROR(__xludf.DUMMYFUNCTION("""COMPUTED_VALUE"""),"Chicago")</f>
        <v>Chicago</v>
      </c>
      <c r="Q82" s="8" t="str">
        <f ca="1">IFERROR(__xludf.DUMMYFUNCTION("""COMPUTED_VALUE"""),"IL")</f>
        <v>IL</v>
      </c>
      <c r="R82" s="8" t="str">
        <f ca="1">IFERROR(__xludf.DUMMYFUNCTION("""COMPUTED_VALUE"""),"High")</f>
        <v>High</v>
      </c>
      <c r="S82" s="8" t="str">
        <f ca="1">IFERROR(__xludf.DUMMYFUNCTION("""COMPUTED_VALUE"""),"Front of School")</f>
        <v>Front of School</v>
      </c>
      <c r="T82" s="8" t="str">
        <f ca="1">IFERROR(__xludf.DUMMYFUNCTION("""COMPUTED_VALUE"""),"Outside on School Property")</f>
        <v>Outside on School Property</v>
      </c>
      <c r="U82" s="8" t="str">
        <f ca="1">IFERROR(__xludf.DUMMYFUNCTION("""COMPUTED_VALUE"""),"Yes")</f>
        <v>Yes</v>
      </c>
      <c r="V82" s="8" t="str">
        <f ca="1">IFERROR(__xludf.DUMMYFUNCTION("""COMPUTED_VALUE"""),"Dismissal")</f>
        <v>Dismissal</v>
      </c>
      <c r="W82" s="11">
        <f ca="1">IFERROR(__xludf.DUMMYFUNCTION("""COMPUTED_VALUE"""),0.635416666666666)</f>
        <v>0.63541666666666596</v>
      </c>
      <c r="X82" s="8">
        <f ca="1">IFERROR(__xludf.DUMMYFUNCTION("""COMPUTED_VALUE"""),1)</f>
        <v>1</v>
      </c>
      <c r="Y82" s="12" t="str">
        <f ca="1">IFERROR(__xludf.DUMMYFUNCTION("""COMPUTED_VALUE"""),"Student shot in front of the school at dismissal")</f>
        <v>Student shot in front of the school at dismissal</v>
      </c>
      <c r="Z82" s="12" t="str">
        <f ca="1">IFERROR(__xludf.DUMMYFUNCTION("""COMPUTED_VALUE"""),"Gunfire erupted during a large fight that her son was involved in with other students. The shooting left her son's 14-year-old classmate wounded. The teen was in the street in the 300-block of East 37th Street about 3:20 p.m. near Wendell Phillips Academy"&amp;" High School in Bronzeville when a suspect approached and fired shots, police said. The boy was shot in the leg, and he was taken to Insight Hospital in fair condition, CPD said.")</f>
        <v>Gunfire erupted during a large fight that her son was involved in with other students. The shooting left her son's 14-year-old classmate wounded. The teen was in the street in the 300-block of East 37th Street about 3:20 p.m. near Wendell Phillips Academy High School in Bronzeville when a suspect approached and fired shots, police said. The boy was shot in the leg, and he was taken to Insight Hospital in fair condition, CPD said.</v>
      </c>
      <c r="AA82" s="8" t="str">
        <f ca="1">IFERROR(__xludf.DUMMYFUNCTION("""COMPUTED_VALUE"""),"Escalation of Dispute")</f>
        <v>Escalation of Dispute</v>
      </c>
      <c r="AB82" s="8" t="str">
        <f ca="1">IFERROR(__xludf.DUMMYFUNCTION("""COMPUTED_VALUE"""),"Spontaneous")</f>
        <v>Spontaneous</v>
      </c>
      <c r="AC82" s="8" t="str">
        <f ca="1">IFERROR(__xludf.DUMMYFUNCTION("""COMPUTED_VALUE"""),"Yes")</f>
        <v>Yes</v>
      </c>
      <c r="AD82" s="8" t="str">
        <f ca="1">IFERROR(__xludf.DUMMYFUNCTION("""COMPUTED_VALUE"""),"Random Shooting")</f>
        <v>Random Shooting</v>
      </c>
      <c r="AE82" s="8" t="str">
        <f ca="1">IFERROR(__xludf.DUMMYFUNCTION("""COMPUTED_VALUE"""),"No")</f>
        <v>No</v>
      </c>
      <c r="AF82" s="8"/>
      <c r="AG82" s="8" t="str">
        <f ca="1">IFERROR(__xludf.DUMMYFUNCTION("""COMPUTED_VALUE"""),"No")</f>
        <v>No</v>
      </c>
      <c r="AH82" s="8" t="str">
        <f ca="1">IFERROR(__xludf.DUMMYFUNCTION("""COMPUTED_VALUE"""),"No")</f>
        <v>No</v>
      </c>
      <c r="AI82" s="8" t="str">
        <f ca="1">IFERROR(__xludf.DUMMYFUNCTION("""COMPUTED_VALUE"""),"No")</f>
        <v>No</v>
      </c>
      <c r="AJ82" s="8" t="str">
        <f ca="1">IFERROR(__xludf.DUMMYFUNCTION("""COMPUTED_VALUE"""),"No")</f>
        <v>No</v>
      </c>
      <c r="AK82" s="8" t="str">
        <f ca="1">IFERROR(__xludf.DUMMYFUNCTION("""COMPUTED_VALUE"""),"No")</f>
        <v>No</v>
      </c>
      <c r="AL82" s="8" t="str">
        <f ca="1">IFERROR(__xludf.DUMMYFUNCTION("""COMPUTED_VALUE"""),"No")</f>
        <v>No</v>
      </c>
      <c r="AM82" s="8" t="str">
        <f ca="1">IFERROR(__xludf.DUMMYFUNCTION("""COMPUTED_VALUE"""),"No")</f>
        <v>No</v>
      </c>
      <c r="AN82" s="8" t="str">
        <f ca="1">IFERROR(__xludf.DUMMYFUNCTION("""COMPUTED_VALUE"""),"Outside")</f>
        <v>Outside</v>
      </c>
      <c r="AO82" s="8" t="str">
        <f ca="1">IFERROR(__xludf.DUMMYFUNCTION("""COMPUTED_VALUE"""),"No")</f>
        <v>No</v>
      </c>
      <c r="AP82" s="8"/>
      <c r="AQ82" s="8"/>
      <c r="AR82" s="8" t="str">
        <f ca="1">IFERROR(__xludf.DUMMYFUNCTION("""COMPUTED_VALUE"""),"Outside/Off-Property")</f>
        <v>Outside/Off-Property</v>
      </c>
      <c r="AS82" s="8">
        <f ca="1">IFERROR(__xludf.DUMMYFUNCTION("""COMPUTED_VALUE"""),99)</f>
        <v>99</v>
      </c>
      <c r="AT82" s="8" t="str">
        <f ca="1">IFERROR(__xludf.DUMMYFUNCTION("""COMPUTED_VALUE"""),"No")</f>
        <v>No</v>
      </c>
      <c r="AU82" s="8">
        <f ca="1">IFERROR(__xludf.DUMMYFUNCTION("""COMPUTED_VALUE"""),41.827382)</f>
        <v>41.827382</v>
      </c>
      <c r="AV82" s="8">
        <f ca="1">IFERROR(__xludf.DUMMYFUNCTION("""COMPUTED_VALUE"""),-87.619339)</f>
        <v>-87.619338999999997</v>
      </c>
      <c r="AW82" s="8" t="str">
        <f ca="1">IFERROR(__xludf.DUMMYFUNCTION("""COMPUTED_VALUE"""),"Single building indoor hallway")</f>
        <v>Single building indoor hallway</v>
      </c>
      <c r="AX82" s="8">
        <f ca="1">IFERROR(__xludf.DUMMYFUNCTION("""COMPUTED_VALUE"""),60653)</f>
        <v>60653</v>
      </c>
    </row>
    <row r="83" spans="1:50" ht="300" x14ac:dyDescent="0.2">
      <c r="A83" s="8" t="str">
        <f ca="1">IFERROR(__xludf.DUMMYFUNCTION("""COMPUTED_VALUE"""),"20250507MILER")</f>
        <v>20250507MILER</v>
      </c>
      <c r="B83" s="8">
        <f ca="1">IFERROR(__xludf.DUMMYFUNCTION("""COMPUTED_VALUE"""),5)</f>
        <v>5</v>
      </c>
      <c r="C83" s="8">
        <f ca="1">IFERROR(__xludf.DUMMYFUNCTION("""COMPUTED_VALUE"""),7)</f>
        <v>7</v>
      </c>
      <c r="D83" s="8">
        <f ca="1">IFERROR(__xludf.DUMMYFUNCTION("""COMPUTED_VALUE"""),2025)</f>
        <v>2025</v>
      </c>
      <c r="E83" s="9">
        <f ca="1">IFERROR(__xludf.DUMMYFUNCTION("""COMPUTED_VALUE"""),45784)</f>
        <v>45784</v>
      </c>
      <c r="F83" s="8" t="str">
        <f ca="1">IFERROR(__xludf.DUMMYFUNCTION("""COMPUTED_VALUE"""),"Lee M. Thurston High School")</f>
        <v>Lee M. Thurston High School</v>
      </c>
      <c r="G83" s="8">
        <f ca="1">IFERROR(__xludf.DUMMYFUNCTION("""COMPUTED_VALUE"""),0)</f>
        <v>0</v>
      </c>
      <c r="H83" s="8">
        <f ca="1">IFERROR(__xludf.DUMMYFUNCTION("""COMPUTED_VALUE"""),1)</f>
        <v>1</v>
      </c>
      <c r="I83" s="8">
        <f ca="1">IFERROR(__xludf.DUMMYFUNCTION("""COMPUTED_VALUE"""),1)</f>
        <v>1</v>
      </c>
      <c r="J83" s="8">
        <f ca="1">IFERROR(__xludf.DUMMYFUNCTION("""COMPUTED_VALUE"""),0)</f>
        <v>0</v>
      </c>
      <c r="K83" s="8" t="str">
        <f ca="1">IFERROR(__xludf.DUMMYFUNCTION("""COMPUTED_VALUE"""),"https://www.fox2detroit.com/news/15-year-old-charged-after-shooting-bus-outside-redfords-thurston-high-school
https://www.fox2detroit.com/news/thurston-high-school-student-shot-hand-bus-during-dismissal
https://www.wxyz.com/news/student-shot-while-on-scho"&amp;"ol-bus-at-thurston-high-school-in-redford-township
https://www.yahoo.com/news/woman-charged-redford-township-school-192251731.html")</f>
        <v>https://www.fox2detroit.com/news/15-year-old-charged-after-shooting-bus-outside-redfords-thurston-high-school
https://www.fox2detroit.com/news/thurston-high-school-student-shot-hand-bus-during-dismissal
https://www.wxyz.com/news/student-shot-while-on-school-bus-at-thurston-high-school-in-redford-township
https://www.yahoo.com/news/woman-charged-redford-township-school-192251731.html</v>
      </c>
      <c r="L83" s="8">
        <f ca="1">IFERROR(__xludf.DUMMYFUNCTION("""COMPUTED_VALUE"""),20)</f>
        <v>20</v>
      </c>
      <c r="M83" s="8" t="str">
        <f ca="1">IFERROR(__xludf.DUMMYFUNCTION("""COMPUTED_VALUE"""),"Regional")</f>
        <v>Regional</v>
      </c>
      <c r="N83" s="8">
        <f ca="1">IFERROR(__xludf.DUMMYFUNCTION("""COMPUTED_VALUE"""),4)</f>
        <v>4</v>
      </c>
      <c r="O83" s="8" t="str">
        <f ca="1">IFERROR(__xludf.DUMMYFUNCTION("""COMPUTED_VALUE"""),"Spring")</f>
        <v>Spring</v>
      </c>
      <c r="P83" s="8" t="str">
        <f ca="1">IFERROR(__xludf.DUMMYFUNCTION("""COMPUTED_VALUE"""),"Redford Township")</f>
        <v>Redford Township</v>
      </c>
      <c r="Q83" s="8" t="str">
        <f ca="1">IFERROR(__xludf.DUMMYFUNCTION("""COMPUTED_VALUE"""),"MI")</f>
        <v>MI</v>
      </c>
      <c r="R83" s="8" t="str">
        <f ca="1">IFERROR(__xludf.DUMMYFUNCTION("""COMPUTED_VALUE"""),"High")</f>
        <v>High</v>
      </c>
      <c r="S83" s="8" t="str">
        <f ca="1">IFERROR(__xludf.DUMMYFUNCTION("""COMPUTED_VALUE"""),"Parking Lot (Bus)")</f>
        <v>Parking Lot (Bus)</v>
      </c>
      <c r="T83" s="8" t="str">
        <f ca="1">IFERROR(__xludf.DUMMYFUNCTION("""COMPUTED_VALUE"""),"Outside on School Property")</f>
        <v>Outside on School Property</v>
      </c>
      <c r="U83" s="8" t="str">
        <f ca="1">IFERROR(__xludf.DUMMYFUNCTION("""COMPUTED_VALUE"""),"Yes")</f>
        <v>Yes</v>
      </c>
      <c r="V83" s="8" t="str">
        <f ca="1">IFERROR(__xludf.DUMMYFUNCTION("""COMPUTED_VALUE"""),"Dismissal")</f>
        <v>Dismissal</v>
      </c>
      <c r="W83" s="11">
        <f ca="1">IFERROR(__xludf.DUMMYFUNCTION("""COMPUTED_VALUE"""),0.614583333333333)</f>
        <v>0.61458333333333304</v>
      </c>
      <c r="X83" s="8">
        <f ca="1">IFERROR(__xludf.DUMMYFUNCTION("""COMPUTED_VALUE"""),1)</f>
        <v>1</v>
      </c>
      <c r="Y83" s="12" t="str">
        <f ca="1">IFERROR(__xludf.DUMMYFUNCTION("""COMPUTED_VALUE"""),"Student shot on school bus parked outside of the school during dismissal")</f>
        <v>Student shot on school bus parked outside of the school during dismissal</v>
      </c>
      <c r="Z83" s="12" t="str">
        <f ca="1">IFERROR(__xludf.DUMMYFUNCTION("""COMPUTED_VALUE"""),"Officials say at 2:45 p.m. a student suffered a non-fatal gunshot wound inside a school bus in front of Thurston High School. The school says the victim was shot in the hand. Redford police say the student was taken to the hospital and is expected to be o"&amp;"kay. Police were called to the high school on Wednesday afternoon on reports of a shooting. When officers arrived, they found a 15-year-old boy suffering a gunshot wound to his hand after being shot on a bus outside the school. During their investigation,"&amp;" police learned that a teen boy had brought a gun to the school and had it unsecured in his backpack. While on the bus, he took the gun out of his backpack and was handling it, leading to the weapon being fired and hitting another student. The teen who ha"&amp;"d the gun is charged with carrying a concealed weapon, careless discharge of a weapon causing injury, and possession of a weapon in a weapons-free school zone. The female relative has been charged with the felony violation of the Firearms Safe Storage law"&amp;" involving a minor obtaining access to an unsecured/unlocked firearm and firing it, causing injury.")</f>
        <v>Officials say at 2:45 p.m. a student suffered a non-fatal gunshot wound inside a school bus in front of Thurston High School. The school says the victim was shot in the hand. Redford police say the student was taken to the hospital and is expected to be okay. Police were called to the high school on Wednesday afternoon on reports of a shooting. When officers arrived, they found a 15-year-old boy suffering a gunshot wound to his hand after being shot on a bus outside the school. During their investigation, police learned that a teen boy had brought a gun to the school and had it unsecured in his backpack. While on the bus, he took the gun out of his backpack and was handling it, leading to the weapon being fired and hitting another student. The teen who had the gun is charged with carrying a concealed weapon, careless discharge of a weapon causing injury, and possession of a weapon in a weapons-free school zone. The female relative has been charged with the felony violation of the Firearms Safe Storage law involving a minor obtaining access to an unsecured/unlocked firearm and firing it, causing injury.</v>
      </c>
      <c r="AA83" s="8" t="str">
        <f ca="1">IFERROR(__xludf.DUMMYFUNCTION("""COMPUTED_VALUE"""),"Accidental")</f>
        <v>Accidental</v>
      </c>
      <c r="AB83" s="8" t="str">
        <f ca="1">IFERROR(__xludf.DUMMYFUNCTION("""COMPUTED_VALUE"""),"Spontaneous")</f>
        <v>Spontaneous</v>
      </c>
      <c r="AC83" s="8" t="str">
        <f ca="1">IFERROR(__xludf.DUMMYFUNCTION("""COMPUTED_VALUE"""),"Yes")</f>
        <v>Yes</v>
      </c>
      <c r="AD83" s="8" t="str">
        <f ca="1">IFERROR(__xludf.DUMMYFUNCTION("""COMPUTED_VALUE"""),"Random Shooting")</f>
        <v>Random Shooting</v>
      </c>
      <c r="AE83" s="8" t="str">
        <f ca="1">IFERROR(__xludf.DUMMYFUNCTION("""COMPUTED_VALUE"""),"Yes")</f>
        <v>Yes</v>
      </c>
      <c r="AF83" s="8" t="str">
        <f ca="1">IFERROR(__xludf.DUMMYFUNCTION("""COMPUTED_VALUE"""),"Two student investigated")</f>
        <v>Two student investigated</v>
      </c>
      <c r="AG83" s="8" t="str">
        <f ca="1">IFERROR(__xludf.DUMMYFUNCTION("""COMPUTED_VALUE"""),"No")</f>
        <v>No</v>
      </c>
      <c r="AH83" s="8" t="str">
        <f ca="1">IFERROR(__xludf.DUMMYFUNCTION("""COMPUTED_VALUE"""),"No")</f>
        <v>No</v>
      </c>
      <c r="AI83" s="8" t="str">
        <f ca="1">IFERROR(__xludf.DUMMYFUNCTION("""COMPUTED_VALUE"""),"No")</f>
        <v>No</v>
      </c>
      <c r="AJ83" s="8" t="str">
        <f ca="1">IFERROR(__xludf.DUMMYFUNCTION("""COMPUTED_VALUE"""),"No")</f>
        <v>No</v>
      </c>
      <c r="AK83" s="8" t="str">
        <f ca="1">IFERROR(__xludf.DUMMYFUNCTION("""COMPUTED_VALUE"""),"No")</f>
        <v>No</v>
      </c>
      <c r="AL83" s="8" t="str">
        <f ca="1">IFERROR(__xludf.DUMMYFUNCTION("""COMPUTED_VALUE"""),"No")</f>
        <v>No</v>
      </c>
      <c r="AM83" s="8" t="str">
        <f ca="1">IFERROR(__xludf.DUMMYFUNCTION("""COMPUTED_VALUE"""),"No")</f>
        <v>No</v>
      </c>
      <c r="AN83" s="8" t="str">
        <f ca="1">IFERROR(__xludf.DUMMYFUNCTION("""COMPUTED_VALUE"""),"Outside")</f>
        <v>Outside</v>
      </c>
      <c r="AO83" s="8" t="str">
        <f ca="1">IFERROR(__xludf.DUMMYFUNCTION("""COMPUTED_VALUE"""),"No")</f>
        <v>No</v>
      </c>
      <c r="AP83" s="8"/>
      <c r="AQ83" s="8"/>
      <c r="AR83" s="8" t="str">
        <f ca="1">IFERROR(__xludf.DUMMYFUNCTION("""COMPUTED_VALUE"""),"Outside/Off-Property")</f>
        <v>Outside/Off-Property</v>
      </c>
      <c r="AS83" s="8">
        <f ca="1">IFERROR(__xludf.DUMMYFUNCTION("""COMPUTED_VALUE"""),1)</f>
        <v>1</v>
      </c>
      <c r="AT83" s="8"/>
      <c r="AU83" s="8">
        <f ca="1">IFERROR(__xludf.DUMMYFUNCTION("""COMPUTED_VALUE"""),42.382983)</f>
        <v>42.382983000000003</v>
      </c>
      <c r="AV83" s="8">
        <f ca="1">IFERROR(__xludf.DUMMYFUNCTION("""COMPUTED_VALUE"""),-83.303058)</f>
        <v>-83.303057999999993</v>
      </c>
      <c r="AW83" s="8" t="str">
        <f ca="1">IFERROR(__xludf.DUMMYFUNCTION("""COMPUTED_VALUE"""),"Multiple attached buildings")</f>
        <v>Multiple attached buildings</v>
      </c>
      <c r="AX83" s="8">
        <f ca="1">IFERROR(__xludf.DUMMYFUNCTION("""COMPUTED_VALUE"""),48239)</f>
        <v>48239</v>
      </c>
    </row>
    <row r="84" spans="1:50" ht="135" x14ac:dyDescent="0.2">
      <c r="A84" s="8" t="str">
        <f ca="1">IFERROR(__xludf.DUMMYFUNCTION("""COMPUTED_VALUE"""),"20250507PAOVP")</f>
        <v>20250507PAOVP</v>
      </c>
      <c r="B84" s="8">
        <f ca="1">IFERROR(__xludf.DUMMYFUNCTION("""COMPUTED_VALUE"""),5)</f>
        <v>5</v>
      </c>
      <c r="C84" s="8">
        <f ca="1">IFERROR(__xludf.DUMMYFUNCTION("""COMPUTED_VALUE"""),7)</f>
        <v>7</v>
      </c>
      <c r="D84" s="8">
        <f ca="1">IFERROR(__xludf.DUMMYFUNCTION("""COMPUTED_VALUE"""),2025)</f>
        <v>2025</v>
      </c>
      <c r="E84" s="9">
        <f ca="1">IFERROR(__xludf.DUMMYFUNCTION("""COMPUTED_VALUE"""),45784)</f>
        <v>45784</v>
      </c>
      <c r="F84" s="8" t="str">
        <f ca="1">IFERROR(__xludf.DUMMYFUNCTION("""COMPUTED_VALUE"""),"Overbrook High School")</f>
        <v>Overbrook High School</v>
      </c>
      <c r="G84" s="8">
        <f ca="1">IFERROR(__xludf.DUMMYFUNCTION("""COMPUTED_VALUE"""),0)</f>
        <v>0</v>
      </c>
      <c r="H84" s="8">
        <f ca="1">IFERROR(__xludf.DUMMYFUNCTION("""COMPUTED_VALUE"""),1)</f>
        <v>1</v>
      </c>
      <c r="I84" s="8">
        <f ca="1">IFERROR(__xludf.DUMMYFUNCTION("""COMPUTED_VALUE"""),1)</f>
        <v>1</v>
      </c>
      <c r="J84" s="8">
        <f ca="1">IFERROR(__xludf.DUMMYFUNCTION("""COMPUTED_VALUE"""),0)</f>
        <v>0</v>
      </c>
      <c r="K84" s="10" t="str">
        <f ca="1">IFERROR(__xludf.DUMMYFUNCTION("""COMPUTED_VALUE"""),"https://6abc.com/post/philadelphia-police-officer-shot-overbrook-1-person-custody/16349851/
https://www.nbcphiladelphia.com/news/local/live-updates-philadelphia-police-officer-shot-while-breaking-up-fight-sources-say/4179355/")</f>
        <v>https://6abc.com/post/philadelphia-police-officer-shot-overbrook-1-person-custody/16349851/
https://www.nbcphiladelphia.com/news/local/live-updates-philadelphia-police-officer-shot-while-breaking-up-fight-sources-say/4179355/</v>
      </c>
      <c r="L84" s="8">
        <f ca="1">IFERROR(__xludf.DUMMYFUNCTION("""COMPUTED_VALUE"""),100)</f>
        <v>100</v>
      </c>
      <c r="M84" s="8" t="str">
        <f ca="1">IFERROR(__xludf.DUMMYFUNCTION("""COMPUTED_VALUE"""),"National")</f>
        <v>National</v>
      </c>
      <c r="N84" s="8">
        <f ca="1">IFERROR(__xludf.DUMMYFUNCTION("""COMPUTED_VALUE"""),4)</f>
        <v>4</v>
      </c>
      <c r="O84" s="8" t="str">
        <f ca="1">IFERROR(__xludf.DUMMYFUNCTION("""COMPUTED_VALUE"""),"Spring")</f>
        <v>Spring</v>
      </c>
      <c r="P84" s="8" t="str">
        <f ca="1">IFERROR(__xludf.DUMMYFUNCTION("""COMPUTED_VALUE"""),"Philadelphia")</f>
        <v>Philadelphia</v>
      </c>
      <c r="Q84" s="8" t="str">
        <f ca="1">IFERROR(__xludf.DUMMYFUNCTION("""COMPUTED_VALUE"""),"PA")</f>
        <v>PA</v>
      </c>
      <c r="R84" s="8" t="str">
        <f ca="1">IFERROR(__xludf.DUMMYFUNCTION("""COMPUTED_VALUE"""),"High")</f>
        <v>High</v>
      </c>
      <c r="S84" s="8" t="str">
        <f ca="1">IFERROR(__xludf.DUMMYFUNCTION("""COMPUTED_VALUE"""),"Front of School")</f>
        <v>Front of School</v>
      </c>
      <c r="T84" s="8" t="str">
        <f ca="1">IFERROR(__xludf.DUMMYFUNCTION("""COMPUTED_VALUE"""),"Outside on School Property")</f>
        <v>Outside on School Property</v>
      </c>
      <c r="U84" s="8" t="str">
        <f ca="1">IFERROR(__xludf.DUMMYFUNCTION("""COMPUTED_VALUE"""),"Yes")</f>
        <v>Yes</v>
      </c>
      <c r="V84" s="8" t="str">
        <f ca="1">IFERROR(__xludf.DUMMYFUNCTION("""COMPUTED_VALUE"""),"Dismissal")</f>
        <v>Dismissal</v>
      </c>
      <c r="W84" s="11">
        <f ca="1">IFERROR(__xludf.DUMMYFUNCTION("""COMPUTED_VALUE"""),0.614583333333333)</f>
        <v>0.61458333333333304</v>
      </c>
      <c r="X84" s="8">
        <f ca="1">IFERROR(__xludf.DUMMYFUNCTION("""COMPUTED_VALUE"""),1)</f>
        <v>1</v>
      </c>
      <c r="Y84" s="12" t="str">
        <f ca="1">IFERROR(__xludf.DUMMYFUNCTION("""COMPUTED_VALUE"""),"Officer shot while breaking up large fight at dismissal")</f>
        <v>Officer shot while breaking up large fight at dismissal</v>
      </c>
      <c r="Z84" s="12" t="str">
        <f ca="1">IFERROR(__xludf.DUMMYFUNCTION("""COMPUTED_VALUE"""),"A Philadelphia police officer is in critically condition after being shot during a large fight outside Overbrook High School at dismissal. At 2:45pm yesterday, officers called for backup to break-up a fight between dozens of students. During the fight, a "&amp;"30-year-old man fired a AR-style pistol. A rifle caliber round ricocheted off the ground and stuck under an officer's vest. In a statement, the School District of Philadelphia expressed its well wishes for the injured officer and said all after-school pro"&amp;"gramming would be canceled.")</f>
        <v>A Philadelphia police officer is in critically condition after being shot during a large fight outside Overbrook High School at dismissal. At 2:45pm yesterday, officers called for backup to break-up a fight between dozens of students. During the fight, a 30-year-old man fired a AR-style pistol. A rifle caliber round ricocheted off the ground and stuck under an officer's vest. In a statement, the School District of Philadelphia expressed its well wishes for the injured officer and said all after-school programming would be canceled.</v>
      </c>
      <c r="AA84" s="8" t="str">
        <f ca="1">IFERROR(__xludf.DUMMYFUNCTION("""COMPUTED_VALUE"""),"Escalation of Dispute")</f>
        <v>Escalation of Dispute</v>
      </c>
      <c r="AB84" s="8" t="str">
        <f ca="1">IFERROR(__xludf.DUMMYFUNCTION("""COMPUTED_VALUE"""),"Spontaneous")</f>
        <v>Spontaneous</v>
      </c>
      <c r="AC84" s="8" t="str">
        <f ca="1">IFERROR(__xludf.DUMMYFUNCTION("""COMPUTED_VALUE"""),"Yes")</f>
        <v>Yes</v>
      </c>
      <c r="AD84" s="8" t="str">
        <f ca="1">IFERROR(__xludf.DUMMYFUNCTION("""COMPUTED_VALUE"""),"Random Shooting")</f>
        <v>Random Shooting</v>
      </c>
      <c r="AE84" s="8" t="str">
        <f ca="1">IFERROR(__xludf.DUMMYFUNCTION("""COMPUTED_VALUE"""),"No")</f>
        <v>No</v>
      </c>
      <c r="AF84" s="8"/>
      <c r="AG84" s="8" t="str">
        <f ca="1">IFERROR(__xludf.DUMMYFUNCTION("""COMPUTED_VALUE"""),"No")</f>
        <v>No</v>
      </c>
      <c r="AH84" s="8" t="str">
        <f ca="1">IFERROR(__xludf.DUMMYFUNCTION("""COMPUTED_VALUE"""),"No")</f>
        <v>No</v>
      </c>
      <c r="AI84" s="8" t="str">
        <f ca="1">IFERROR(__xludf.DUMMYFUNCTION("""COMPUTED_VALUE"""),"No")</f>
        <v>No</v>
      </c>
      <c r="AJ84" s="8" t="str">
        <f ca="1">IFERROR(__xludf.DUMMYFUNCTION("""COMPUTED_VALUE"""),"No")</f>
        <v>No</v>
      </c>
      <c r="AK84" s="8" t="str">
        <f ca="1">IFERROR(__xludf.DUMMYFUNCTION("""COMPUTED_VALUE"""),"No")</f>
        <v>No</v>
      </c>
      <c r="AL84" s="8" t="str">
        <f ca="1">IFERROR(__xludf.DUMMYFUNCTION("""COMPUTED_VALUE"""),"No")</f>
        <v>No</v>
      </c>
      <c r="AM84" s="8" t="str">
        <f ca="1">IFERROR(__xludf.DUMMYFUNCTION("""COMPUTED_VALUE"""),"No")</f>
        <v>No</v>
      </c>
      <c r="AN84" s="8" t="str">
        <f ca="1">IFERROR(__xludf.DUMMYFUNCTION("""COMPUTED_VALUE"""),"Outside")</f>
        <v>Outside</v>
      </c>
      <c r="AO84" s="8" t="str">
        <f ca="1">IFERROR(__xludf.DUMMYFUNCTION("""COMPUTED_VALUE"""),"No")</f>
        <v>No</v>
      </c>
      <c r="AP84" s="8"/>
      <c r="AQ84" s="8"/>
      <c r="AR84" s="8" t="str">
        <f ca="1">IFERROR(__xludf.DUMMYFUNCTION("""COMPUTED_VALUE"""),"Outside/Off-Property")</f>
        <v>Outside/Off-Property</v>
      </c>
      <c r="AS84" s="8">
        <f ca="1">IFERROR(__xludf.DUMMYFUNCTION("""COMPUTED_VALUE"""),1)</f>
        <v>1</v>
      </c>
      <c r="AT84" s="8"/>
      <c r="AU84" s="8">
        <f ca="1">IFERROR(__xludf.DUMMYFUNCTION("""COMPUTED_VALUE"""),39.980517)</f>
        <v>39.980516999999999</v>
      </c>
      <c r="AV84" s="8">
        <f ca="1">IFERROR(__xludf.DUMMYFUNCTION("""COMPUTED_VALUE"""),-75.239122)</f>
        <v>-75.239121999999995</v>
      </c>
      <c r="AW84" s="8" t="str">
        <f ca="1">IFERROR(__xludf.DUMMYFUNCTION("""COMPUTED_VALUE"""),"Urban Street Standalone")</f>
        <v>Urban Street Standalone</v>
      </c>
      <c r="AX84" s="8">
        <f ca="1">IFERROR(__xludf.DUMMYFUNCTION("""COMPUTED_VALUE"""),8065)</f>
        <v>8065</v>
      </c>
    </row>
    <row r="85" spans="1:50" ht="195" x14ac:dyDescent="0.2">
      <c r="A85" s="8" t="str">
        <f ca="1">IFERROR(__xludf.DUMMYFUNCTION("""COMPUTED_VALUE"""),"20250505PAHAA")</f>
        <v>20250505PAHAA</v>
      </c>
      <c r="B85" s="8">
        <f ca="1">IFERROR(__xludf.DUMMYFUNCTION("""COMPUTED_VALUE"""),5)</f>
        <v>5</v>
      </c>
      <c r="C85" s="8">
        <f ca="1">IFERROR(__xludf.DUMMYFUNCTION("""COMPUTED_VALUE"""),5)</f>
        <v>5</v>
      </c>
      <c r="D85" s="8">
        <f ca="1">IFERROR(__xludf.DUMMYFUNCTION("""COMPUTED_VALUE"""),2025)</f>
        <v>2025</v>
      </c>
      <c r="E85" s="9">
        <f ca="1">IFERROR(__xludf.DUMMYFUNCTION("""COMPUTED_VALUE"""),45782)</f>
        <v>45782</v>
      </c>
      <c r="F85" s="8" t="str">
        <f ca="1">IFERROR(__xludf.DUMMYFUNCTION("""COMPUTED_VALUE"""),"Harrison-Morton Middle School")</f>
        <v>Harrison-Morton Middle School</v>
      </c>
      <c r="G85" s="8">
        <f ca="1">IFERROR(__xludf.DUMMYFUNCTION("""COMPUTED_VALUE"""),0)</f>
        <v>0</v>
      </c>
      <c r="H85" s="8">
        <f ca="1">IFERROR(__xludf.DUMMYFUNCTION("""COMPUTED_VALUE"""),0)</f>
        <v>0</v>
      </c>
      <c r="I85" s="8">
        <f ca="1">IFERROR(__xludf.DUMMYFUNCTION("""COMPUTED_VALUE"""),0)</f>
        <v>0</v>
      </c>
      <c r="J85" s="8">
        <f ca="1">IFERROR(__xludf.DUMMYFUNCTION("""COMPUTED_VALUE"""),0)</f>
        <v>0</v>
      </c>
      <c r="K85" s="10" t="str">
        <f ca="1">IFERROR(__xludf.DUMMYFUNCTION("""COMPUTED_VALUE"""),"https://archive.is/XB7hx
https://www.wfmz.com/news/area/lehighvalley/lehigh-county/allentown-area/man-fires-shots-into-air-points-handgun-at-school-security-officer-allentown-police-say/article_ad0da329-acca-4872-a149-5a31f332c2d9.html")</f>
        <v>https://archive.is/XB7hx
https://www.wfmz.com/news/area/lehighvalley/lehigh-county/allentown-area/man-fires-shots-into-air-points-handgun-at-school-security-officer-allentown-police-say/article_ad0da329-acca-4872-a149-5a31f332c2d9.html</v>
      </c>
      <c r="L85" s="8">
        <f ca="1">IFERROR(__xludf.DUMMYFUNCTION("""COMPUTED_VALUE"""),3)</f>
        <v>3</v>
      </c>
      <c r="M85" s="8" t="str">
        <f ca="1">IFERROR(__xludf.DUMMYFUNCTION("""COMPUTED_VALUE"""),"Local")</f>
        <v>Local</v>
      </c>
      <c r="N85" s="8">
        <f ca="1">IFERROR(__xludf.DUMMYFUNCTION("""COMPUTED_VALUE"""),4)</f>
        <v>4</v>
      </c>
      <c r="O85" s="8" t="str">
        <f ca="1">IFERROR(__xludf.DUMMYFUNCTION("""COMPUTED_VALUE"""),"Spring")</f>
        <v>Spring</v>
      </c>
      <c r="P85" s="8" t="str">
        <f ca="1">IFERROR(__xludf.DUMMYFUNCTION("""COMPUTED_VALUE"""),"Allentown")</f>
        <v>Allentown</v>
      </c>
      <c r="Q85" s="8" t="str">
        <f ca="1">IFERROR(__xludf.DUMMYFUNCTION("""COMPUTED_VALUE"""),"PA")</f>
        <v>PA</v>
      </c>
      <c r="R85" s="8" t="str">
        <f ca="1">IFERROR(__xludf.DUMMYFUNCTION("""COMPUTED_VALUE"""),"Middle")</f>
        <v>Middle</v>
      </c>
      <c r="S85" s="8" t="str">
        <f ca="1">IFERROR(__xludf.DUMMYFUNCTION("""COMPUTED_VALUE"""),"Beside Building")</f>
        <v>Beside Building</v>
      </c>
      <c r="T85" s="8" t="str">
        <f ca="1">IFERROR(__xludf.DUMMYFUNCTION("""COMPUTED_VALUE"""),"Outside on School Property")</f>
        <v>Outside on School Property</v>
      </c>
      <c r="U85" s="8" t="str">
        <f ca="1">IFERROR(__xludf.DUMMYFUNCTION("""COMPUTED_VALUE"""),"Yes")</f>
        <v>Yes</v>
      </c>
      <c r="V85" s="8" t="str">
        <f ca="1">IFERROR(__xludf.DUMMYFUNCTION("""COMPUTED_VALUE"""),"Morning Classes")</f>
        <v>Morning Classes</v>
      </c>
      <c r="W85" s="11">
        <f ca="1">IFERROR(__xludf.DUMMYFUNCTION("""COMPUTED_VALUE"""),0.416666666666666)</f>
        <v>0.41666666666666602</v>
      </c>
      <c r="X85" s="8">
        <f ca="1">IFERROR(__xludf.DUMMYFUNCTION("""COMPUTED_VALUE"""),1)</f>
        <v>1</v>
      </c>
      <c r="Y85" s="12" t="str">
        <f ca="1">IFERROR(__xludf.DUMMYFUNCTION("""COMPUTED_VALUE"""),"Man fired shots during physical altercation with school security guard")</f>
        <v>Man fired shots during physical altercation with school security guard</v>
      </c>
      <c r="Z85" s="12" t="str">
        <f ca="1">IFERROR(__xludf.DUMMYFUNCTION("""COMPUTED_VALUE"""),"Police responded to the area around 10 a.m. for a report of shots fired. As an Allentown School District security officer and a witness were showing police where the shots were fired, a man — identified as Nieves — emerged and started fighting with the se"&amp;"curity officer, according to a news release from Allentown police Capt. Daniel Gross. During the altercation, Nieves pointed a gun at the school security officer. When Nieves saw police officers, he ran away and discarded the gun, Gross said. Nieves was a"&amp;"pprehended by police a short time later, and the gun was recovered, Gross said. Nieves is charged with aggravated assault, simple assault, terroristic threats, carrying a concealed firearm without a license and evading arrest.")</f>
        <v>Police responded to the area around 10 a.m. for a report of shots fired. As an Allentown School District security officer and a witness were showing police where the shots were fired, a man — identified as Nieves — emerged and started fighting with the security officer, according to a news release from Allentown police Capt. Daniel Gross. During the altercation, Nieves pointed a gun at the school security officer. When Nieves saw police officers, he ran away and discarded the gun, Gross said. Nieves was apprehended by police a short time later, and the gun was recovered, Gross said. Nieves is charged with aggravated assault, simple assault, terroristic threats, carrying a concealed firearm without a license and evading arrest.</v>
      </c>
      <c r="AA85" s="8"/>
      <c r="AB85" s="8"/>
      <c r="AC85" s="8" t="str">
        <f ca="1">IFERROR(__xludf.DUMMYFUNCTION("""COMPUTED_VALUE"""),"Yes")</f>
        <v>Yes</v>
      </c>
      <c r="AD85" s="8" t="str">
        <f ca="1">IFERROR(__xludf.DUMMYFUNCTION("""COMPUTED_VALUE"""),"Random Shooting")</f>
        <v>Random Shooting</v>
      </c>
      <c r="AE85" s="8" t="str">
        <f ca="1">IFERROR(__xludf.DUMMYFUNCTION("""COMPUTED_VALUE"""),"No")</f>
        <v>No</v>
      </c>
      <c r="AF85" s="8"/>
      <c r="AG85" s="8" t="str">
        <f ca="1">IFERROR(__xludf.DUMMYFUNCTION("""COMPUTED_VALUE"""),"No")</f>
        <v>No</v>
      </c>
      <c r="AH85" s="8" t="str">
        <f ca="1">IFERROR(__xludf.DUMMYFUNCTION("""COMPUTED_VALUE"""),"No")</f>
        <v>No</v>
      </c>
      <c r="AI85" s="8" t="str">
        <f ca="1">IFERROR(__xludf.DUMMYFUNCTION("""COMPUTED_VALUE"""),"No")</f>
        <v>No</v>
      </c>
      <c r="AJ85" s="8" t="str">
        <f ca="1">IFERROR(__xludf.DUMMYFUNCTION("""COMPUTED_VALUE"""),"No")</f>
        <v>No</v>
      </c>
      <c r="AK85" s="8" t="str">
        <f ca="1">IFERROR(__xludf.DUMMYFUNCTION("""COMPUTED_VALUE"""),"No")</f>
        <v>No</v>
      </c>
      <c r="AL85" s="8" t="str">
        <f ca="1">IFERROR(__xludf.DUMMYFUNCTION("""COMPUTED_VALUE"""),"No")</f>
        <v>No</v>
      </c>
      <c r="AM85" s="8" t="str">
        <f ca="1">IFERROR(__xludf.DUMMYFUNCTION("""COMPUTED_VALUE"""),"No")</f>
        <v>No</v>
      </c>
      <c r="AN85" s="8" t="str">
        <f ca="1">IFERROR(__xludf.DUMMYFUNCTION("""COMPUTED_VALUE"""),"Outside")</f>
        <v>Outside</v>
      </c>
      <c r="AO85" s="8" t="str">
        <f ca="1">IFERROR(__xludf.DUMMYFUNCTION("""COMPUTED_VALUE"""),"No")</f>
        <v>No</v>
      </c>
      <c r="AP85" s="8" t="str">
        <f ca="1">IFERROR(__xludf.DUMMYFUNCTION("""COMPUTED_VALUE"""),"No")</f>
        <v>No</v>
      </c>
      <c r="AQ85" s="8" t="str">
        <f ca="1">IFERROR(__xludf.DUMMYFUNCTION("""COMPUTED_VALUE"""),"Unarmed Guards")</f>
        <v>Unarmed Guards</v>
      </c>
      <c r="AR85" s="8" t="str">
        <f ca="1">IFERROR(__xludf.DUMMYFUNCTION("""COMPUTED_VALUE"""),"Outside/Off-Property")</f>
        <v>Outside/Off-Property</v>
      </c>
      <c r="AS85" s="8">
        <f ca="1">IFERROR(__xludf.DUMMYFUNCTION("""COMPUTED_VALUE"""),99)</f>
        <v>99</v>
      </c>
      <c r="AT85" s="8"/>
      <c r="AU85" s="8">
        <f ca="1">IFERROR(__xludf.DUMMYFUNCTION("""COMPUTED_VALUE"""),40.607693)</f>
        <v>40.607692999999998</v>
      </c>
      <c r="AV85" s="8">
        <f ca="1">IFERROR(__xludf.DUMMYFUNCTION("""COMPUTED_VALUE"""),-75.460711)</f>
        <v>-75.460711000000003</v>
      </c>
      <c r="AW85" s="8" t="str">
        <f ca="1">IFERROR(__xludf.DUMMYFUNCTION("""COMPUTED_VALUE"""),"Urban Street Standalone")</f>
        <v>Urban Street Standalone</v>
      </c>
      <c r="AX85" s="8">
        <f ca="1">IFERROR(__xludf.DUMMYFUNCTION("""COMPUTED_VALUE"""),18101)</f>
        <v>18101</v>
      </c>
    </row>
    <row r="86" spans="1:50" ht="135" x14ac:dyDescent="0.2">
      <c r="A86" s="8" t="str">
        <f ca="1">IFERROR(__xludf.DUMMYFUNCTION("""COMPUTED_VALUE"""),"20250502CAGER")</f>
        <v>20250502CAGER</v>
      </c>
      <c r="B86" s="8">
        <f ca="1">IFERROR(__xludf.DUMMYFUNCTION("""COMPUTED_VALUE"""),5)</f>
        <v>5</v>
      </c>
      <c r="C86" s="8">
        <f ca="1">IFERROR(__xludf.DUMMYFUNCTION("""COMPUTED_VALUE"""),2)</f>
        <v>2</v>
      </c>
      <c r="D86" s="8">
        <f ca="1">IFERROR(__xludf.DUMMYFUNCTION("""COMPUTED_VALUE"""),2025)</f>
        <v>2025</v>
      </c>
      <c r="E86" s="9">
        <f ca="1">IFERROR(__xludf.DUMMYFUNCTION("""COMPUTED_VALUE"""),45779)</f>
        <v>45779</v>
      </c>
      <c r="F86" s="8" t="str">
        <f ca="1">IFERROR(__xludf.DUMMYFUNCTION("""COMPUTED_VALUE"""),"General Grant Middle School")</f>
        <v>General Grant Middle School</v>
      </c>
      <c r="G86" s="8">
        <f ca="1">IFERROR(__xludf.DUMMYFUNCTION("""COMPUTED_VALUE"""),0)</f>
        <v>0</v>
      </c>
      <c r="H86" s="8">
        <f ca="1">IFERROR(__xludf.DUMMYFUNCTION("""COMPUTED_VALUE"""),1)</f>
        <v>1</v>
      </c>
      <c r="I86" s="8">
        <f ca="1">IFERROR(__xludf.DUMMYFUNCTION("""COMPUTED_VALUE"""),1)</f>
        <v>1</v>
      </c>
      <c r="J86" s="8">
        <f ca="1">IFERROR(__xludf.DUMMYFUNCTION("""COMPUTED_VALUE"""),0)</f>
        <v>0</v>
      </c>
      <c r="K86" s="8" t="str">
        <f ca="1">IFERROR(__xludf.DUMMYFUNCTION("""COMPUTED_VALUE"""),"https://www.yourcentralvalley.com/news/local-news/reedley-school-lockdown-boy-hospitalized/
https://kmph.com/news/local/schools-in-reedley-locked-down-after-nearby-shooting
https://abc30.com/post/least-person-injured-reedley-shooting-police-say/16304909/")</f>
        <v>https://www.yourcentralvalley.com/news/local-news/reedley-school-lockdown-boy-hospitalized/
https://kmph.com/news/local/schools-in-reedley-locked-down-after-nearby-shooting
https://abc30.com/post/least-person-injured-reedley-shooting-police-say/16304909/</v>
      </c>
      <c r="L86" s="8">
        <f ca="1">IFERROR(__xludf.DUMMYFUNCTION("""COMPUTED_VALUE"""),5)</f>
        <v>5</v>
      </c>
      <c r="M86" s="8" t="str">
        <f ca="1">IFERROR(__xludf.DUMMYFUNCTION("""COMPUTED_VALUE"""),"Regional")</f>
        <v>Regional</v>
      </c>
      <c r="N86" s="8">
        <f ca="1">IFERROR(__xludf.DUMMYFUNCTION("""COMPUTED_VALUE"""),4)</f>
        <v>4</v>
      </c>
      <c r="O86" s="8" t="str">
        <f ca="1">IFERROR(__xludf.DUMMYFUNCTION("""COMPUTED_VALUE"""),"Spring")</f>
        <v>Spring</v>
      </c>
      <c r="P86" s="8" t="str">
        <f ca="1">IFERROR(__xludf.DUMMYFUNCTION("""COMPUTED_VALUE"""),"Reedley")</f>
        <v>Reedley</v>
      </c>
      <c r="Q86" s="8" t="str">
        <f ca="1">IFERROR(__xludf.DUMMYFUNCTION("""COMPUTED_VALUE"""),"CA")</f>
        <v>CA</v>
      </c>
      <c r="R86" s="8" t="str">
        <f ca="1">IFERROR(__xludf.DUMMYFUNCTION("""COMPUTED_VALUE"""),"Middle")</f>
        <v>Middle</v>
      </c>
      <c r="S86" s="8" t="str">
        <f ca="1">IFERROR(__xludf.DUMMYFUNCTION("""COMPUTED_VALUE"""),"Football Field/Track")</f>
        <v>Football Field/Track</v>
      </c>
      <c r="T86" s="8" t="str">
        <f ca="1">IFERROR(__xludf.DUMMYFUNCTION("""COMPUTED_VALUE"""),"Outside on School Property")</f>
        <v>Outside on School Property</v>
      </c>
      <c r="U86" s="8" t="str">
        <f ca="1">IFERROR(__xludf.DUMMYFUNCTION("""COMPUTED_VALUE"""),"Yes")</f>
        <v>Yes</v>
      </c>
      <c r="V86" s="8" t="str">
        <f ca="1">IFERROR(__xludf.DUMMYFUNCTION("""COMPUTED_VALUE"""),"Morning Classes")</f>
        <v>Morning Classes</v>
      </c>
      <c r="W86" s="11">
        <f ca="1">IFERROR(__xludf.DUMMYFUNCTION("""COMPUTED_VALUE"""),0.482638888888888)</f>
        <v>0.48263888888888801</v>
      </c>
      <c r="X86" s="8">
        <f ca="1">IFERROR(__xludf.DUMMYFUNCTION("""COMPUTED_VALUE"""),1)</f>
        <v>1</v>
      </c>
      <c r="Y86" s="12" t="str">
        <f ca="1">IFERROR(__xludf.DUMMYFUNCTION("""COMPUTED_VALUE"""),"15-year-old shot behind the baseball field bleachers, school went on lockdown")</f>
        <v>15-year-old shot behind the baseball field bleachers, school went on lockdown</v>
      </c>
      <c r="Z86" s="12" t="str">
        <f ca="1">IFERROR(__xludf.DUMMYFUNCTION("""COMPUTED_VALUE"""),"Reedley Police say they responded to the 900 block of E. El Dorado Ave. around 11:35 a.m. after receiving multiple calls regarding a shooting. When officers arrived, they say they found a male juvenile suffering from multiple gunshot wounds. He was initia"&amp;"lly transported to Adventist Hospital in Reedley, but was later transferred to Community Regional Medical Center for further treatment. According to police, witnesses in the area reported seeing two male suspects fleeing the area on foot. ")</f>
        <v xml:space="preserve">Reedley Police say they responded to the 900 block of E. El Dorado Ave. around 11:35 a.m. after receiving multiple calls regarding a shooting. When officers arrived, they say they found a male juvenile suffering from multiple gunshot wounds. He was initially transported to Adventist Hospital in Reedley, but was later transferred to Community Regional Medical Center for further treatment. According to police, witnesses in the area reported seeing two male suspects fleeing the area on foot. </v>
      </c>
      <c r="AA86" s="8" t="str">
        <f ca="1">IFERROR(__xludf.DUMMYFUNCTION("""COMPUTED_VALUE"""),"Escalation of Dispute")</f>
        <v>Escalation of Dispute</v>
      </c>
      <c r="AB86" s="8" t="str">
        <f ca="1">IFERROR(__xludf.DUMMYFUNCTION("""COMPUTED_VALUE"""),"Spontaneous")</f>
        <v>Spontaneous</v>
      </c>
      <c r="AC86" s="8" t="str">
        <f ca="1">IFERROR(__xludf.DUMMYFUNCTION("""COMPUTED_VALUE"""),"Yes")</f>
        <v>Yes</v>
      </c>
      <c r="AD86" s="8" t="str">
        <f ca="1">IFERROR(__xludf.DUMMYFUNCTION("""COMPUTED_VALUE"""),"Victims Targeted")</f>
        <v>Victims Targeted</v>
      </c>
      <c r="AE86" s="8" t="str">
        <f ca="1">IFERROR(__xludf.DUMMYFUNCTION("""COMPUTED_VALUE"""),"Yes")</f>
        <v>Yes</v>
      </c>
      <c r="AF86" s="8" t="str">
        <f ca="1">IFERROR(__xludf.DUMMYFUNCTION("""COMPUTED_VALUE"""),"Two men fled")</f>
        <v>Two men fled</v>
      </c>
      <c r="AG86" s="8" t="str">
        <f ca="1">IFERROR(__xludf.DUMMYFUNCTION("""COMPUTED_VALUE"""),"No")</f>
        <v>No</v>
      </c>
      <c r="AH86" s="8" t="str">
        <f ca="1">IFERROR(__xludf.DUMMYFUNCTION("""COMPUTED_VALUE"""),"No")</f>
        <v>No</v>
      </c>
      <c r="AI86" s="8" t="str">
        <f ca="1">IFERROR(__xludf.DUMMYFUNCTION("""COMPUTED_VALUE"""),"No")</f>
        <v>No</v>
      </c>
      <c r="AJ86" s="8" t="str">
        <f ca="1">IFERROR(__xludf.DUMMYFUNCTION("""COMPUTED_VALUE"""),"No")</f>
        <v>No</v>
      </c>
      <c r="AK86" s="8" t="str">
        <f ca="1">IFERROR(__xludf.DUMMYFUNCTION("""COMPUTED_VALUE"""),"No")</f>
        <v>No</v>
      </c>
      <c r="AL86" s="8" t="str">
        <f ca="1">IFERROR(__xludf.DUMMYFUNCTION("""COMPUTED_VALUE"""),"No")</f>
        <v>No</v>
      </c>
      <c r="AM86" s="8" t="str">
        <f ca="1">IFERROR(__xludf.DUMMYFUNCTION("""COMPUTED_VALUE"""),"No")</f>
        <v>No</v>
      </c>
      <c r="AN86" s="8" t="str">
        <f ca="1">IFERROR(__xludf.DUMMYFUNCTION("""COMPUTED_VALUE"""),"Outside")</f>
        <v>Outside</v>
      </c>
      <c r="AO86" s="8" t="str">
        <f ca="1">IFERROR(__xludf.DUMMYFUNCTION("""COMPUTED_VALUE"""),"No")</f>
        <v>No</v>
      </c>
      <c r="AP86" s="8"/>
      <c r="AQ86" s="8"/>
      <c r="AR86" s="8" t="str">
        <f ca="1">IFERROR(__xludf.DUMMYFUNCTION("""COMPUTED_VALUE"""),"Outside/Off-Property")</f>
        <v>Outside/Off-Property</v>
      </c>
      <c r="AS86" s="8">
        <f ca="1">IFERROR(__xludf.DUMMYFUNCTION("""COMPUTED_VALUE"""),99)</f>
        <v>99</v>
      </c>
      <c r="AT86" s="8" t="str">
        <f ca="1">IFERROR(__xludf.DUMMYFUNCTION("""COMPUTED_VALUE"""),"Yes")</f>
        <v>Yes</v>
      </c>
      <c r="AU86" s="8">
        <f ca="1">IFERROR(__xludf.DUMMYFUNCTION("""COMPUTED_VALUE"""),36.598996)</f>
        <v>36.598996</v>
      </c>
      <c r="AV86" s="8">
        <f ca="1">IFERROR(__xludf.DUMMYFUNCTION("""COMPUTED_VALUE"""),-119.439946)</f>
        <v>-119.43994600000001</v>
      </c>
      <c r="AW86" s="8" t="str">
        <f ca="1">IFERROR(__xludf.DUMMYFUNCTION("""COMPUTED_VALUE"""),"Multiple detached buildings")</f>
        <v>Multiple detached buildings</v>
      </c>
      <c r="AX86" s="8">
        <f ca="1">IFERROR(__xludf.DUMMYFUNCTION("""COMPUTED_VALUE"""),93654)</f>
        <v>93654</v>
      </c>
    </row>
    <row r="87" spans="1:50" ht="135" x14ac:dyDescent="0.2">
      <c r="A87" s="8" t="str">
        <f ca="1">IFERROR(__xludf.DUMMYFUNCTION("""COMPUTED_VALUE"""),"20250501NCCAW")</f>
        <v>20250501NCCAW</v>
      </c>
      <c r="B87" s="8">
        <f ca="1">IFERROR(__xludf.DUMMYFUNCTION("""COMPUTED_VALUE"""),5)</f>
        <v>5</v>
      </c>
      <c r="C87" s="8">
        <f ca="1">IFERROR(__xludf.DUMMYFUNCTION("""COMPUTED_VALUE"""),1)</f>
        <v>1</v>
      </c>
      <c r="D87" s="8">
        <f ca="1">IFERROR(__xludf.DUMMYFUNCTION("""COMPUTED_VALUE"""),2025)</f>
        <v>2025</v>
      </c>
      <c r="E87" s="9">
        <f ca="1">IFERROR(__xludf.DUMMYFUNCTION("""COMPUTED_VALUE"""),45778)</f>
        <v>45778</v>
      </c>
      <c r="F87" s="8" t="str">
        <f ca="1">IFERROR(__xludf.DUMMYFUNCTION("""COMPUTED_VALUE"""),"Carver High School")</f>
        <v>Carver High School</v>
      </c>
      <c r="G87" s="8">
        <f ca="1">IFERROR(__xludf.DUMMYFUNCTION("""COMPUTED_VALUE"""),0)</f>
        <v>0</v>
      </c>
      <c r="H87" s="8">
        <f ca="1">IFERROR(__xludf.DUMMYFUNCTION("""COMPUTED_VALUE"""),1)</f>
        <v>1</v>
      </c>
      <c r="I87" s="8">
        <f ca="1">IFERROR(__xludf.DUMMYFUNCTION("""COMPUTED_VALUE"""),1)</f>
        <v>1</v>
      </c>
      <c r="J87" s="8">
        <f ca="1">IFERROR(__xludf.DUMMYFUNCTION("""COMPUTED_VALUE"""),0)</f>
        <v>0</v>
      </c>
      <c r="K87" s="10" t="str">
        <f ca="1">IFERROR(__xludf.DUMMYFUNCTION("""COMPUTED_VALUE"""),"https://www.wxii12.com/article/shots-fired-parking-lot-carver-high-school/64649025")</f>
        <v>https://www.wxii12.com/article/shots-fired-parking-lot-carver-high-school/64649025</v>
      </c>
      <c r="L87" s="8">
        <f ca="1">IFERROR(__xludf.DUMMYFUNCTION("""COMPUTED_VALUE"""),8)</f>
        <v>8</v>
      </c>
      <c r="M87" s="8" t="str">
        <f ca="1">IFERROR(__xludf.DUMMYFUNCTION("""COMPUTED_VALUE"""),"Regional")</f>
        <v>Regional</v>
      </c>
      <c r="N87" s="8">
        <f ca="1">IFERROR(__xludf.DUMMYFUNCTION("""COMPUTED_VALUE"""),4)</f>
        <v>4</v>
      </c>
      <c r="O87" s="8" t="str">
        <f ca="1">IFERROR(__xludf.DUMMYFUNCTION("""COMPUTED_VALUE"""),"Spring")</f>
        <v>Spring</v>
      </c>
      <c r="P87" s="8" t="str">
        <f ca="1">IFERROR(__xludf.DUMMYFUNCTION("""COMPUTED_VALUE"""),"Winston-Salem")</f>
        <v>Winston-Salem</v>
      </c>
      <c r="Q87" s="8" t="str">
        <f ca="1">IFERROR(__xludf.DUMMYFUNCTION("""COMPUTED_VALUE"""),"NC")</f>
        <v>NC</v>
      </c>
      <c r="R87" s="8" t="str">
        <f ca="1">IFERROR(__xludf.DUMMYFUNCTION("""COMPUTED_VALUE"""),"High")</f>
        <v>High</v>
      </c>
      <c r="S87" s="8" t="str">
        <f ca="1">IFERROR(__xludf.DUMMYFUNCTION("""COMPUTED_VALUE"""),"Parking Lot")</f>
        <v>Parking Lot</v>
      </c>
      <c r="T87" s="8" t="str">
        <f ca="1">IFERROR(__xludf.DUMMYFUNCTION("""COMPUTED_VALUE"""),"Outside on School Property")</f>
        <v>Outside on School Property</v>
      </c>
      <c r="U87" s="8" t="str">
        <f ca="1">IFERROR(__xludf.DUMMYFUNCTION("""COMPUTED_VALUE"""),"No")</f>
        <v>No</v>
      </c>
      <c r="V87" s="8" t="str">
        <f ca="1">IFERROR(__xludf.DUMMYFUNCTION("""COMPUTED_VALUE"""),"Evening")</f>
        <v>Evening</v>
      </c>
      <c r="W87" s="11">
        <f ca="1">IFERROR(__xludf.DUMMYFUNCTION("""COMPUTED_VALUE"""),0.833333333333333)</f>
        <v>0.83333333333333304</v>
      </c>
      <c r="X87" s="8">
        <f ca="1">IFERROR(__xludf.DUMMYFUNCTION("""COMPUTED_VALUE"""),1)</f>
        <v>1</v>
      </c>
      <c r="Y87" s="12" t="str">
        <f ca="1">IFERROR(__xludf.DUMMYFUNCTION("""COMPUTED_VALUE"""),"Teen shot in the school parking during a dispute")</f>
        <v>Teen shot in the school parking during a dispute</v>
      </c>
      <c r="Z87" s="12" t="str">
        <f ca="1">IFERROR(__xludf.DUMMYFUNCTION("""COMPUTED_VALUE"""),"On Thursday, just before 8 p.m., officers were called to Carver High School, located at 3545 Carver School Road. Officials said the gunshots were fired in the parking lot of the school and two vehicles were hit. Police said there was a disturbance involvi"&amp;"ng several people that escalated before the shooting occurred. Officers said a juvenile arrived at a local hospital with a non-life-threatening gunshot wound. Police said John Bekham Panzo, 18, was arrested and charged in connection with the shooting. ")</f>
        <v xml:space="preserve">On Thursday, just before 8 p.m., officers were called to Carver High School, located at 3545 Carver School Road. Officials said the gunshots were fired in the parking lot of the school and two vehicles were hit. Police said there was a disturbance involving several people that escalated before the shooting occurred. Officers said a juvenile arrived at a local hospital with a non-life-threatening gunshot wound. Police said John Bekham Panzo, 18, was arrested and charged in connection with the shooting. </v>
      </c>
      <c r="AA87" s="8" t="str">
        <f ca="1">IFERROR(__xludf.DUMMYFUNCTION("""COMPUTED_VALUE"""),"Escalation of Dispute")</f>
        <v>Escalation of Dispute</v>
      </c>
      <c r="AB87" s="8" t="str">
        <f ca="1">IFERROR(__xludf.DUMMYFUNCTION("""COMPUTED_VALUE"""),"Spontaneous")</f>
        <v>Spontaneous</v>
      </c>
      <c r="AC87" s="8" t="str">
        <f ca="1">IFERROR(__xludf.DUMMYFUNCTION("""COMPUTED_VALUE"""),"Yes")</f>
        <v>Yes</v>
      </c>
      <c r="AD87" s="8" t="str">
        <f ca="1">IFERROR(__xludf.DUMMYFUNCTION("""COMPUTED_VALUE"""),"Victims Targeted")</f>
        <v>Victims Targeted</v>
      </c>
      <c r="AE87" s="8" t="str">
        <f ca="1">IFERROR(__xludf.DUMMYFUNCTION("""COMPUTED_VALUE"""),"No")</f>
        <v>No</v>
      </c>
      <c r="AF87" s="8"/>
      <c r="AG87" s="8" t="str">
        <f ca="1">IFERROR(__xludf.DUMMYFUNCTION("""COMPUTED_VALUE"""),"No")</f>
        <v>No</v>
      </c>
      <c r="AH87" s="8" t="str">
        <f ca="1">IFERROR(__xludf.DUMMYFUNCTION("""COMPUTED_VALUE"""),"No")</f>
        <v>No</v>
      </c>
      <c r="AI87" s="8" t="str">
        <f ca="1">IFERROR(__xludf.DUMMYFUNCTION("""COMPUTED_VALUE"""),"No")</f>
        <v>No</v>
      </c>
      <c r="AJ87" s="8" t="str">
        <f ca="1">IFERROR(__xludf.DUMMYFUNCTION("""COMPUTED_VALUE"""),"No")</f>
        <v>No</v>
      </c>
      <c r="AK87" s="8" t="str">
        <f ca="1">IFERROR(__xludf.DUMMYFUNCTION("""COMPUTED_VALUE"""),"No")</f>
        <v>No</v>
      </c>
      <c r="AL87" s="8"/>
      <c r="AM87" s="8" t="str">
        <f ca="1">IFERROR(__xludf.DUMMYFUNCTION("""COMPUTED_VALUE"""),"No")</f>
        <v>No</v>
      </c>
      <c r="AN87" s="8" t="str">
        <f ca="1">IFERROR(__xludf.DUMMYFUNCTION("""COMPUTED_VALUE"""),"Outside")</f>
        <v>Outside</v>
      </c>
      <c r="AO87" s="8" t="str">
        <f ca="1">IFERROR(__xludf.DUMMYFUNCTION("""COMPUTED_VALUE"""),"No")</f>
        <v>No</v>
      </c>
      <c r="AP87" s="8"/>
      <c r="AQ87" s="8"/>
      <c r="AR87" s="8" t="str">
        <f ca="1">IFERROR(__xludf.DUMMYFUNCTION("""COMPUTED_VALUE"""),"Outside/Off-Property")</f>
        <v>Outside/Off-Property</v>
      </c>
      <c r="AS87" s="8">
        <f ca="1">IFERROR(__xludf.DUMMYFUNCTION("""COMPUTED_VALUE"""),99)</f>
        <v>99</v>
      </c>
      <c r="AT87" s="8" t="str">
        <f ca="1">IFERROR(__xludf.DUMMYFUNCTION("""COMPUTED_VALUE"""),"No")</f>
        <v>No</v>
      </c>
      <c r="AU87" s="8">
        <f ca="1">IFERROR(__xludf.DUMMYFUNCTION("""COMPUTED_VALUE"""),36.13412)</f>
        <v>36.134120000000003</v>
      </c>
      <c r="AV87" s="8">
        <f ca="1">IFERROR(__xludf.DUMMYFUNCTION("""COMPUTED_VALUE"""),-80.207268)</f>
        <v>-80.207267999999999</v>
      </c>
      <c r="AW87" s="8" t="str">
        <f ca="1">IFERROR(__xludf.DUMMYFUNCTION("""COMPUTED_VALUE"""),"Multiple detached buildings")</f>
        <v>Multiple detached buildings</v>
      </c>
      <c r="AX87" s="8">
        <f ca="1">IFERROR(__xludf.DUMMYFUNCTION("""COMPUTED_VALUE"""),27105)</f>
        <v>27105</v>
      </c>
    </row>
    <row r="88" spans="1:50" ht="90" x14ac:dyDescent="0.2">
      <c r="A88" s="8" t="str">
        <f ca="1">IFERROR(__xludf.DUMMYFUNCTION("""COMPUTED_VALUE"""),"20250501DCPHW")</f>
        <v>20250501DCPHW</v>
      </c>
      <c r="B88" s="8">
        <f ca="1">IFERROR(__xludf.DUMMYFUNCTION("""COMPUTED_VALUE"""),5)</f>
        <v>5</v>
      </c>
      <c r="C88" s="8">
        <f ca="1">IFERROR(__xludf.DUMMYFUNCTION("""COMPUTED_VALUE"""),1)</f>
        <v>1</v>
      </c>
      <c r="D88" s="8">
        <f ca="1">IFERROR(__xludf.DUMMYFUNCTION("""COMPUTED_VALUE"""),2025)</f>
        <v>2025</v>
      </c>
      <c r="E88" s="9">
        <f ca="1">IFERROR(__xludf.DUMMYFUNCTION("""COMPUTED_VALUE"""),45778)</f>
        <v>45778</v>
      </c>
      <c r="F88" s="8" t="str">
        <f ca="1">IFERROR(__xludf.DUMMYFUNCTION("""COMPUTED_VALUE"""),"Phelps High School")</f>
        <v>Phelps High School</v>
      </c>
      <c r="G88" s="8">
        <f ca="1">IFERROR(__xludf.DUMMYFUNCTION("""COMPUTED_VALUE"""),0)</f>
        <v>0</v>
      </c>
      <c r="H88" s="8">
        <f ca="1">IFERROR(__xludf.DUMMYFUNCTION("""COMPUTED_VALUE"""),0)</f>
        <v>0</v>
      </c>
      <c r="I88" s="8">
        <f ca="1">IFERROR(__xludf.DUMMYFUNCTION("""COMPUTED_VALUE"""),0)</f>
        <v>0</v>
      </c>
      <c r="J88" s="8">
        <f ca="1">IFERROR(__xludf.DUMMYFUNCTION("""COMPUTED_VALUE"""),0)</f>
        <v>0</v>
      </c>
      <c r="K88" s="10" t="str">
        <f ca="1">IFERROR(__xludf.DUMMYFUNCTION("""COMPUTED_VALUE"""),"https://www.wusa9.com/article/news/crime/school-parking-lot-shooting-investigation-northeast-dc/65-156a5c32-7aa9-4805-9d88-dded4a9e32ec")</f>
        <v>https://www.wusa9.com/article/news/crime/school-parking-lot-shooting-investigation-northeast-dc/65-156a5c32-7aa9-4805-9d88-dded4a9e32ec</v>
      </c>
      <c r="L88" s="8">
        <f ca="1">IFERROR(__xludf.DUMMYFUNCTION("""COMPUTED_VALUE"""),3)</f>
        <v>3</v>
      </c>
      <c r="M88" s="8" t="str">
        <f ca="1">IFERROR(__xludf.DUMMYFUNCTION("""COMPUTED_VALUE"""),"Local")</f>
        <v>Local</v>
      </c>
      <c r="N88" s="8">
        <f ca="1">IFERROR(__xludf.DUMMYFUNCTION("""COMPUTED_VALUE"""),4)</f>
        <v>4</v>
      </c>
      <c r="O88" s="8" t="str">
        <f ca="1">IFERROR(__xludf.DUMMYFUNCTION("""COMPUTED_VALUE"""),"Spring")</f>
        <v>Spring</v>
      </c>
      <c r="P88" s="8" t="str">
        <f ca="1">IFERROR(__xludf.DUMMYFUNCTION("""COMPUTED_VALUE"""),"Washington")</f>
        <v>Washington</v>
      </c>
      <c r="Q88" s="8" t="str">
        <f ca="1">IFERROR(__xludf.DUMMYFUNCTION("""COMPUTED_VALUE"""),"DC")</f>
        <v>DC</v>
      </c>
      <c r="R88" s="8" t="str">
        <f ca="1">IFERROR(__xludf.DUMMYFUNCTION("""COMPUTED_VALUE"""),"High")</f>
        <v>High</v>
      </c>
      <c r="S88" s="8" t="str">
        <f ca="1">IFERROR(__xludf.DUMMYFUNCTION("""COMPUTED_VALUE"""),"Parking Lot")</f>
        <v>Parking Lot</v>
      </c>
      <c r="T88" s="8" t="str">
        <f ca="1">IFERROR(__xludf.DUMMYFUNCTION("""COMPUTED_VALUE"""),"Outside on School Property")</f>
        <v>Outside on School Property</v>
      </c>
      <c r="U88" s="8" t="str">
        <f ca="1">IFERROR(__xludf.DUMMYFUNCTION("""COMPUTED_VALUE"""),"Yes")</f>
        <v>Yes</v>
      </c>
      <c r="V88" s="8" t="str">
        <f ca="1">IFERROR(__xludf.DUMMYFUNCTION("""COMPUTED_VALUE"""),"After School")</f>
        <v>After School</v>
      </c>
      <c r="W88" s="11">
        <f ca="1">IFERROR(__xludf.DUMMYFUNCTION("""COMPUTED_VALUE"""),0.6875)</f>
        <v>0.6875</v>
      </c>
      <c r="X88" s="8">
        <f ca="1">IFERROR(__xludf.DUMMYFUNCTION("""COMPUTED_VALUE"""),1)</f>
        <v>1</v>
      </c>
      <c r="Y88" s="12" t="str">
        <f ca="1">IFERROR(__xludf.DUMMYFUNCTION("""COMPUTED_VALUE"""),"Teens fired shot at a person in the parking lot, shots missed and struck the school")</f>
        <v>Teens fired shot at a person in the parking lot, shots missed and struck the school</v>
      </c>
      <c r="Z88" s="12" t="str">
        <f ca="1">IFERROR(__xludf.DUMMYFUNCTION("""COMPUTED_VALUE"""),"According to detectives, the shooting happened on May 1 in the 700 block of 26th Street Northeast. Just before 4:30 p.m., the three suspects were in a parking lot of a school. They shot toward another person who was near the school and then took off in a "&amp;"vehicle. No one was hurt in the shooting, but the school was damaged, police said. ")</f>
        <v xml:space="preserve">According to detectives, the shooting happened on May 1 in the 700 block of 26th Street Northeast. Just before 4:30 p.m., the three suspects were in a parking lot of a school. They shot toward another person who was near the school and then took off in a vehicle. No one was hurt in the shooting, but the school was damaged, police said. </v>
      </c>
      <c r="AA88" s="8" t="str">
        <f ca="1">IFERROR(__xludf.DUMMYFUNCTION("""COMPUTED_VALUE"""),"Drive-by Shooting")</f>
        <v>Drive-by Shooting</v>
      </c>
      <c r="AB88" s="8" t="str">
        <f ca="1">IFERROR(__xludf.DUMMYFUNCTION("""COMPUTED_VALUE"""),"Targeted")</f>
        <v>Targeted</v>
      </c>
      <c r="AC88" s="8" t="str">
        <f ca="1">IFERROR(__xludf.DUMMYFUNCTION("""COMPUTED_VALUE"""),"Yes")</f>
        <v>Yes</v>
      </c>
      <c r="AD88" s="8" t="str">
        <f ca="1">IFERROR(__xludf.DUMMYFUNCTION("""COMPUTED_VALUE"""),"Victims Targeted")</f>
        <v>Victims Targeted</v>
      </c>
      <c r="AE88" s="8" t="str">
        <f ca="1">IFERROR(__xludf.DUMMYFUNCTION("""COMPUTED_VALUE"""),"Yes")</f>
        <v>Yes</v>
      </c>
      <c r="AF88" s="8" t="str">
        <f ca="1">IFERROR(__xludf.DUMMYFUNCTION("""COMPUTED_VALUE"""),"3 teens in car")</f>
        <v>3 teens in car</v>
      </c>
      <c r="AG88" s="8" t="str">
        <f ca="1">IFERROR(__xludf.DUMMYFUNCTION("""COMPUTED_VALUE"""),"No")</f>
        <v>No</v>
      </c>
      <c r="AH88" s="8" t="str">
        <f ca="1">IFERROR(__xludf.DUMMYFUNCTION("""COMPUTED_VALUE"""),"No")</f>
        <v>No</v>
      </c>
      <c r="AI88" s="8" t="str">
        <f ca="1">IFERROR(__xludf.DUMMYFUNCTION("""COMPUTED_VALUE"""),"No")</f>
        <v>No</v>
      </c>
      <c r="AJ88" s="8" t="str">
        <f ca="1">IFERROR(__xludf.DUMMYFUNCTION("""COMPUTED_VALUE"""),"No")</f>
        <v>No</v>
      </c>
      <c r="AK88" s="8" t="str">
        <f ca="1">IFERROR(__xludf.DUMMYFUNCTION("""COMPUTED_VALUE"""),"No")</f>
        <v>No</v>
      </c>
      <c r="AL88" s="8" t="str">
        <f ca="1">IFERROR(__xludf.DUMMYFUNCTION("""COMPUTED_VALUE"""),"No")</f>
        <v>No</v>
      </c>
      <c r="AM88" s="8" t="str">
        <f ca="1">IFERROR(__xludf.DUMMYFUNCTION("""COMPUTED_VALUE"""),"No")</f>
        <v>No</v>
      </c>
      <c r="AN88" s="8" t="str">
        <f ca="1">IFERROR(__xludf.DUMMYFUNCTION("""COMPUTED_VALUE"""),"Outside")</f>
        <v>Outside</v>
      </c>
      <c r="AO88" s="8" t="str">
        <f ca="1">IFERROR(__xludf.DUMMYFUNCTION("""COMPUTED_VALUE"""),"No")</f>
        <v>No</v>
      </c>
      <c r="AP88" s="8"/>
      <c r="AQ88" s="8"/>
      <c r="AR88" s="8" t="str">
        <f ca="1">IFERROR(__xludf.DUMMYFUNCTION("""COMPUTED_VALUE"""),"Outside/Off-Property")</f>
        <v>Outside/Off-Property</v>
      </c>
      <c r="AS88" s="8">
        <f ca="1">IFERROR(__xludf.DUMMYFUNCTION("""COMPUTED_VALUE"""),99)</f>
        <v>99</v>
      </c>
      <c r="AT88" s="8"/>
      <c r="AU88" s="8">
        <f ca="1">IFERROR(__xludf.DUMMYFUNCTION("""COMPUTED_VALUE"""),38.901582)</f>
        <v>38.901581999999998</v>
      </c>
      <c r="AV88" s="8">
        <f ca="1">IFERROR(__xludf.DUMMYFUNCTION("""COMPUTED_VALUE"""),-76.972316)</f>
        <v>-76.972316000000006</v>
      </c>
      <c r="AW88" s="8" t="str">
        <f ca="1">IFERROR(__xludf.DUMMYFUNCTION("""COMPUTED_VALUE"""),"Urban Street Standalone")</f>
        <v>Urban Street Standalone</v>
      </c>
      <c r="AX88" s="8">
        <f ca="1">IFERROR(__xludf.DUMMYFUNCTION("""COMPUTED_VALUE"""),20002)</f>
        <v>20002</v>
      </c>
    </row>
    <row r="89" spans="1:50" ht="135" x14ac:dyDescent="0.2">
      <c r="A89" s="8" t="str">
        <f ca="1">IFERROR(__xludf.DUMMYFUNCTION("""COMPUTED_VALUE"""),"20250430ILROR")</f>
        <v>20250430ILROR</v>
      </c>
      <c r="B89" s="8">
        <f ca="1">IFERROR(__xludf.DUMMYFUNCTION("""COMPUTED_VALUE"""),4)</f>
        <v>4</v>
      </c>
      <c r="C89" s="8">
        <f ca="1">IFERROR(__xludf.DUMMYFUNCTION("""COMPUTED_VALUE"""),30)</f>
        <v>30</v>
      </c>
      <c r="D89" s="8">
        <f ca="1">IFERROR(__xludf.DUMMYFUNCTION("""COMPUTED_VALUE"""),2025)</f>
        <v>2025</v>
      </c>
      <c r="E89" s="9">
        <f ca="1">IFERROR(__xludf.DUMMYFUNCTION("""COMPUTED_VALUE"""),45777)</f>
        <v>45777</v>
      </c>
      <c r="F89" s="8" t="str">
        <f ca="1">IFERROR(__xludf.DUMMYFUNCTION("""COMPUTED_VALUE"""),"Rolling Meadows High School")</f>
        <v>Rolling Meadows High School</v>
      </c>
      <c r="G89" s="8">
        <f ca="1">IFERROR(__xludf.DUMMYFUNCTION("""COMPUTED_VALUE"""),0)</f>
        <v>0</v>
      </c>
      <c r="H89" s="8">
        <f ca="1">IFERROR(__xludf.DUMMYFUNCTION("""COMPUTED_VALUE"""),0)</f>
        <v>0</v>
      </c>
      <c r="I89" s="8">
        <f ca="1">IFERROR(__xludf.DUMMYFUNCTION("""COMPUTED_VALUE"""),0)</f>
        <v>0</v>
      </c>
      <c r="J89" s="8">
        <f ca="1">IFERROR(__xludf.DUMMYFUNCTION("""COMPUTED_VALUE"""),0)</f>
        <v>0</v>
      </c>
      <c r="K89" s="10" t="str">
        <f ca="1">IFERROR(__xludf.DUMMYFUNCTION("""COMPUTED_VALUE"""),"https://www.dailyherald.com/20250502/crime/juvenile-charged-after-firing-gun-during-fight-near-rolling-meadows-high/
https://patch.com/illinois/arlingtonheights/gun-fired-during-fight-near-rolling-meadows-high-school-police
https://www.fox32chicago.com/ne"&amp;"ws/gun-fired-near-rolling-meadows-high-school-juvenile-custody")</f>
        <v>https://www.dailyherald.com/20250502/crime/juvenile-charged-after-firing-gun-during-fight-near-rolling-meadows-high/
https://patch.com/illinois/arlingtonheights/gun-fired-during-fight-near-rolling-meadows-high-school-police
https://www.fox32chicago.com/news/gun-fired-near-rolling-meadows-high-school-juvenile-custody</v>
      </c>
      <c r="L89" s="8">
        <f ca="1">IFERROR(__xludf.DUMMYFUNCTION("""COMPUTED_VALUE"""),3)</f>
        <v>3</v>
      </c>
      <c r="M89" s="8" t="str">
        <f ca="1">IFERROR(__xludf.DUMMYFUNCTION("""COMPUTED_VALUE"""),"Local")</f>
        <v>Local</v>
      </c>
      <c r="N89" s="8">
        <f ca="1">IFERROR(__xludf.DUMMYFUNCTION("""COMPUTED_VALUE"""),3)</f>
        <v>3</v>
      </c>
      <c r="O89" s="8" t="str">
        <f ca="1">IFERROR(__xludf.DUMMYFUNCTION("""COMPUTED_VALUE"""),"Spring")</f>
        <v>Spring</v>
      </c>
      <c r="P89" s="8" t="str">
        <f ca="1">IFERROR(__xludf.DUMMYFUNCTION("""COMPUTED_VALUE"""),"Rolling Meadows")</f>
        <v>Rolling Meadows</v>
      </c>
      <c r="Q89" s="8" t="str">
        <f ca="1">IFERROR(__xludf.DUMMYFUNCTION("""COMPUTED_VALUE"""),"IL")</f>
        <v>IL</v>
      </c>
      <c r="R89" s="8" t="str">
        <f ca="1">IFERROR(__xludf.DUMMYFUNCTION("""COMPUTED_VALUE"""),"High")</f>
        <v>High</v>
      </c>
      <c r="S89" s="8" t="str">
        <f ca="1">IFERROR(__xludf.DUMMYFUNCTION("""COMPUTED_VALUE"""),"Parking Lot")</f>
        <v>Parking Lot</v>
      </c>
      <c r="T89" s="8" t="str">
        <f ca="1">IFERROR(__xludf.DUMMYFUNCTION("""COMPUTED_VALUE"""),"Outside on School Property")</f>
        <v>Outside on School Property</v>
      </c>
      <c r="U89" s="8" t="str">
        <f ca="1">IFERROR(__xludf.DUMMYFUNCTION("""COMPUTED_VALUE"""),"Yes")</f>
        <v>Yes</v>
      </c>
      <c r="V89" s="8" t="str">
        <f ca="1">IFERROR(__xludf.DUMMYFUNCTION("""COMPUTED_VALUE"""),"Dismissal")</f>
        <v>Dismissal</v>
      </c>
      <c r="W89" s="8"/>
      <c r="X89" s="8">
        <f ca="1">IFERROR(__xludf.DUMMYFUNCTION("""COMPUTED_VALUE"""),1)</f>
        <v>1</v>
      </c>
      <c r="Y89" s="12" t="str">
        <f ca="1">IFERROR(__xludf.DUMMYFUNCTION("""COMPUTED_VALUE"""),"Teen fired shot during a fight")</f>
        <v>Teen fired shot during a fight</v>
      </c>
      <c r="Z89" s="12" t="str">
        <f ca="1">IFERROR(__xludf.DUMMYFUNCTION("""COMPUTED_VALUE"""),"The Rolling Meadows Police Department received a report of the shooting on Wednesday several hours after it occurred during a fight between two juveniles near the school campus. No injuries were reported as a result of the gunfire. Following an overnight "&amp;"investigation, detectives identified the suspect and recovered the gun used. The juvenile, who has not been identified now faces multiple charges, including aggravated battery and unlawful use of a weapon.")</f>
        <v>The Rolling Meadows Police Department received a report of the shooting on Wednesday several hours after it occurred during a fight between two juveniles near the school campus. No injuries were reported as a result of the gunfire. Following an overnight investigation, detectives identified the suspect and recovered the gun used. The juvenile, who has not been identified now faces multiple charges, including aggravated battery and unlawful use of a weapon.</v>
      </c>
      <c r="AA89" s="8" t="str">
        <f ca="1">IFERROR(__xludf.DUMMYFUNCTION("""COMPUTED_VALUE"""),"Escalation of Dispute")</f>
        <v>Escalation of Dispute</v>
      </c>
      <c r="AB89" s="8" t="str">
        <f ca="1">IFERROR(__xludf.DUMMYFUNCTION("""COMPUTED_VALUE"""),"Spontaneous")</f>
        <v>Spontaneous</v>
      </c>
      <c r="AC89" s="8" t="str">
        <f ca="1">IFERROR(__xludf.DUMMYFUNCTION("""COMPUTED_VALUE"""),"Yes")</f>
        <v>Yes</v>
      </c>
      <c r="AD89" s="8" t="str">
        <f ca="1">IFERROR(__xludf.DUMMYFUNCTION("""COMPUTED_VALUE"""),"Victims Targeted")</f>
        <v>Victims Targeted</v>
      </c>
      <c r="AE89" s="8" t="str">
        <f ca="1">IFERROR(__xludf.DUMMYFUNCTION("""COMPUTED_VALUE"""),"No")</f>
        <v>No</v>
      </c>
      <c r="AF89" s="8"/>
      <c r="AG89" s="8" t="str">
        <f ca="1">IFERROR(__xludf.DUMMYFUNCTION("""COMPUTED_VALUE"""),"No")</f>
        <v>No</v>
      </c>
      <c r="AH89" s="8" t="str">
        <f ca="1">IFERROR(__xludf.DUMMYFUNCTION("""COMPUTED_VALUE"""),"No")</f>
        <v>No</v>
      </c>
      <c r="AI89" s="8" t="str">
        <f ca="1">IFERROR(__xludf.DUMMYFUNCTION("""COMPUTED_VALUE"""),"No")</f>
        <v>No</v>
      </c>
      <c r="AJ89" s="8" t="str">
        <f ca="1">IFERROR(__xludf.DUMMYFUNCTION("""COMPUTED_VALUE"""),"No")</f>
        <v>No</v>
      </c>
      <c r="AK89" s="8" t="str">
        <f ca="1">IFERROR(__xludf.DUMMYFUNCTION("""COMPUTED_VALUE"""),"No")</f>
        <v>No</v>
      </c>
      <c r="AL89" s="8" t="str">
        <f ca="1">IFERROR(__xludf.DUMMYFUNCTION("""COMPUTED_VALUE"""),"No")</f>
        <v>No</v>
      </c>
      <c r="AM89" s="8" t="str">
        <f ca="1">IFERROR(__xludf.DUMMYFUNCTION("""COMPUTED_VALUE"""),"No")</f>
        <v>No</v>
      </c>
      <c r="AN89" s="8" t="str">
        <f ca="1">IFERROR(__xludf.DUMMYFUNCTION("""COMPUTED_VALUE"""),"Outside")</f>
        <v>Outside</v>
      </c>
      <c r="AO89" s="8" t="str">
        <f ca="1">IFERROR(__xludf.DUMMYFUNCTION("""COMPUTED_VALUE"""),"No")</f>
        <v>No</v>
      </c>
      <c r="AP89" s="8"/>
      <c r="AQ89" s="8"/>
      <c r="AR89" s="8" t="str">
        <f ca="1">IFERROR(__xludf.DUMMYFUNCTION("""COMPUTED_VALUE"""),"Outside/Off-Property")</f>
        <v>Outside/Off-Property</v>
      </c>
      <c r="AS89" s="8">
        <f ca="1">IFERROR(__xludf.DUMMYFUNCTION("""COMPUTED_VALUE"""),1)</f>
        <v>1</v>
      </c>
      <c r="AT89" s="8" t="str">
        <f ca="1">IFERROR(__xludf.DUMMYFUNCTION("""COMPUTED_VALUE"""),"No")</f>
        <v>No</v>
      </c>
      <c r="AU89" s="8">
        <f ca="1">IFERROR(__xludf.DUMMYFUNCTION("""COMPUTED_VALUE"""),42.066266)</f>
        <v>42.066265999999999</v>
      </c>
      <c r="AV89" s="8">
        <f ca="1">IFERROR(__xludf.DUMMYFUNCTION("""COMPUTED_VALUE"""),-88.015699)</f>
        <v>-88.015698999999998</v>
      </c>
      <c r="AW89" s="8" t="str">
        <f ca="1">IFERROR(__xludf.DUMMYFUNCTION("""COMPUTED_VALUE"""),"Single building indoor hallway")</f>
        <v>Single building indoor hallway</v>
      </c>
      <c r="AX89" s="8">
        <f ca="1">IFERROR(__xludf.DUMMYFUNCTION("""COMPUTED_VALUE"""),60008)</f>
        <v>60008</v>
      </c>
    </row>
    <row r="90" spans="1:50" ht="90" x14ac:dyDescent="0.2">
      <c r="A90" s="8" t="str">
        <f ca="1">IFERROR(__xludf.DUMMYFUNCTION("""COMPUTED_VALUE"""),"20250430TXEIH")</f>
        <v>20250430TXEIH</v>
      </c>
      <c r="B90" s="8">
        <f ca="1">IFERROR(__xludf.DUMMYFUNCTION("""COMPUTED_VALUE"""),4)</f>
        <v>4</v>
      </c>
      <c r="C90" s="8">
        <f ca="1">IFERROR(__xludf.DUMMYFUNCTION("""COMPUTED_VALUE"""),30)</f>
        <v>30</v>
      </c>
      <c r="D90" s="8">
        <f ca="1">IFERROR(__xludf.DUMMYFUNCTION("""COMPUTED_VALUE"""),2025)</f>
        <v>2025</v>
      </c>
      <c r="E90" s="9">
        <f ca="1">IFERROR(__xludf.DUMMYFUNCTION("""COMPUTED_VALUE"""),45777)</f>
        <v>45777</v>
      </c>
      <c r="F90" s="8" t="str">
        <f ca="1">IFERROR(__xludf.DUMMYFUNCTION("""COMPUTED_VALUE"""),"Eisenhower High School")</f>
        <v>Eisenhower High School</v>
      </c>
      <c r="G90" s="8">
        <f ca="1">IFERROR(__xludf.DUMMYFUNCTION("""COMPUTED_VALUE"""),0)</f>
        <v>0</v>
      </c>
      <c r="H90" s="8">
        <f ca="1">IFERROR(__xludf.DUMMYFUNCTION("""COMPUTED_VALUE"""),0)</f>
        <v>0</v>
      </c>
      <c r="I90" s="8">
        <f ca="1">IFERROR(__xludf.DUMMYFUNCTION("""COMPUTED_VALUE"""),0)</f>
        <v>0</v>
      </c>
      <c r="J90" s="8">
        <f ca="1">IFERROR(__xludf.DUMMYFUNCTION("""COMPUTED_VALUE"""),0)</f>
        <v>0</v>
      </c>
      <c r="K90" s="10" t="str">
        <f ca="1">IFERROR(__xludf.DUMMYFUNCTION("""COMPUTED_VALUE"""),"https://abc13.com/post/eisenhower-senior-high-school-students-seen-shooting-bayou-placing-campus-lockdown-aldine-isd-says/16286440/")</f>
        <v>https://abc13.com/post/eisenhower-senior-high-school-students-seen-shooting-bayou-placing-campus-lockdown-aldine-isd-says/16286440/</v>
      </c>
      <c r="L90" s="8">
        <f ca="1">IFERROR(__xludf.DUMMYFUNCTION("""COMPUTED_VALUE"""),10)</f>
        <v>10</v>
      </c>
      <c r="M90" s="8" t="str">
        <f ca="1">IFERROR(__xludf.DUMMYFUNCTION("""COMPUTED_VALUE"""),"Regional")</f>
        <v>Regional</v>
      </c>
      <c r="N90" s="8">
        <f ca="1">IFERROR(__xludf.DUMMYFUNCTION("""COMPUTED_VALUE"""),4)</f>
        <v>4</v>
      </c>
      <c r="O90" s="8" t="str">
        <f ca="1">IFERROR(__xludf.DUMMYFUNCTION("""COMPUTED_VALUE"""),"Spring")</f>
        <v>Spring</v>
      </c>
      <c r="P90" s="8" t="str">
        <f ca="1">IFERROR(__xludf.DUMMYFUNCTION("""COMPUTED_VALUE"""),"Houston")</f>
        <v>Houston</v>
      </c>
      <c r="Q90" s="8" t="str">
        <f ca="1">IFERROR(__xludf.DUMMYFUNCTION("""COMPUTED_VALUE"""),"TX")</f>
        <v>TX</v>
      </c>
      <c r="R90" s="8" t="str">
        <f ca="1">IFERROR(__xludf.DUMMYFUNCTION("""COMPUTED_VALUE"""),"High")</f>
        <v>High</v>
      </c>
      <c r="S90" s="8" t="str">
        <f ca="1">IFERROR(__xludf.DUMMYFUNCTION("""COMPUTED_VALUE"""),"Field (General)")</f>
        <v>Field (General)</v>
      </c>
      <c r="T90" s="8" t="str">
        <f ca="1">IFERROR(__xludf.DUMMYFUNCTION("""COMPUTED_VALUE"""),"Outside on School Property")</f>
        <v>Outside on School Property</v>
      </c>
      <c r="U90" s="8" t="str">
        <f ca="1">IFERROR(__xludf.DUMMYFUNCTION("""COMPUTED_VALUE"""),"Yes")</f>
        <v>Yes</v>
      </c>
      <c r="V90" s="8" t="str">
        <f ca="1">IFERROR(__xludf.DUMMYFUNCTION("""COMPUTED_VALUE"""),"School Start")</f>
        <v>School Start</v>
      </c>
      <c r="W90" s="11">
        <f ca="1">IFERROR(__xludf.DUMMYFUNCTION("""COMPUTED_VALUE"""),0.302083333333333)</f>
        <v>0.30208333333333298</v>
      </c>
      <c r="X90" s="8">
        <f ca="1">IFERROR(__xludf.DUMMYFUNCTION("""COMPUTED_VALUE"""),1)</f>
        <v>1</v>
      </c>
      <c r="Y90" s="12" t="str">
        <f ca="1">IFERROR(__xludf.DUMMYFUNCTION("""COMPUTED_VALUE"""),"Two students fired handguns in the field behind the school, school locked down")</f>
        <v>Two students fired handguns in the field behind the school, school locked down</v>
      </c>
      <c r="Z90" s="12" t="str">
        <f ca="1">IFERROR(__xludf.DUMMYFUNCTION("""COMPUTED_VALUE"""),"Aldine ISD said police activity near Eisenhower Senior High School prompted the lockdown at about 7:20 a.m. Police in the area observed the three people shooting in the bayou and then fleeing toward the school. Two Eisenhower High School students are in c"&amp;"ustody after police say they fired a gun near campus Wednesday morning.")</f>
        <v>Aldine ISD said police activity near Eisenhower Senior High School prompted the lockdown at about 7:20 a.m. Police in the area observed the three people shooting in the bayou and then fleeing toward the school. Two Eisenhower High School students are in custody after police say they fired a gun near campus Wednesday morning.</v>
      </c>
      <c r="AA90" s="8"/>
      <c r="AB90" s="8"/>
      <c r="AC90" s="8" t="str">
        <f ca="1">IFERROR(__xludf.DUMMYFUNCTION("""COMPUTED_VALUE"""),"Yes")</f>
        <v>Yes</v>
      </c>
      <c r="AD90" s="8" t="str">
        <f ca="1">IFERROR(__xludf.DUMMYFUNCTION("""COMPUTED_VALUE"""),"Neither")</f>
        <v>Neither</v>
      </c>
      <c r="AE90" s="8" t="str">
        <f ca="1">IFERROR(__xludf.DUMMYFUNCTION("""COMPUTED_VALUE"""),"Yes")</f>
        <v>Yes</v>
      </c>
      <c r="AF90" s="8" t="str">
        <f ca="1">IFERROR(__xludf.DUMMYFUNCTION("""COMPUTED_VALUE"""),"3 teen fled")</f>
        <v>3 teen fled</v>
      </c>
      <c r="AG90" s="8" t="str">
        <f ca="1">IFERROR(__xludf.DUMMYFUNCTION("""COMPUTED_VALUE"""),"No")</f>
        <v>No</v>
      </c>
      <c r="AH90" s="8" t="str">
        <f ca="1">IFERROR(__xludf.DUMMYFUNCTION("""COMPUTED_VALUE"""),"No")</f>
        <v>No</v>
      </c>
      <c r="AI90" s="8" t="str">
        <f ca="1">IFERROR(__xludf.DUMMYFUNCTION("""COMPUTED_VALUE"""),"No")</f>
        <v>No</v>
      </c>
      <c r="AJ90" s="8" t="str">
        <f ca="1">IFERROR(__xludf.DUMMYFUNCTION("""COMPUTED_VALUE"""),"No")</f>
        <v>No</v>
      </c>
      <c r="AK90" s="8" t="str">
        <f ca="1">IFERROR(__xludf.DUMMYFUNCTION("""COMPUTED_VALUE"""),"No")</f>
        <v>No</v>
      </c>
      <c r="AL90" s="8" t="str">
        <f ca="1">IFERROR(__xludf.DUMMYFUNCTION("""COMPUTED_VALUE"""),"No")</f>
        <v>No</v>
      </c>
      <c r="AM90" s="8" t="str">
        <f ca="1">IFERROR(__xludf.DUMMYFUNCTION("""COMPUTED_VALUE"""),"No")</f>
        <v>No</v>
      </c>
      <c r="AN90" s="8" t="str">
        <f ca="1">IFERROR(__xludf.DUMMYFUNCTION("""COMPUTED_VALUE"""),"Outside")</f>
        <v>Outside</v>
      </c>
      <c r="AO90" s="8" t="str">
        <f ca="1">IFERROR(__xludf.DUMMYFUNCTION("""COMPUTED_VALUE"""),"No")</f>
        <v>No</v>
      </c>
      <c r="AP90" s="8" t="str">
        <f ca="1">IFERROR(__xludf.DUMMYFUNCTION("""COMPUTED_VALUE"""),"Yes")</f>
        <v>Yes</v>
      </c>
      <c r="AQ90" s="8" t="str">
        <f ca="1">IFERROR(__xludf.DUMMYFUNCTION("""COMPUTED_VALUE"""),"Armed Guards")</f>
        <v>Armed Guards</v>
      </c>
      <c r="AR90" s="8" t="str">
        <f ca="1">IFERROR(__xludf.DUMMYFUNCTION("""COMPUTED_VALUE"""),"Outside/Off-Property")</f>
        <v>Outside/Off-Property</v>
      </c>
      <c r="AS90" s="8">
        <f ca="1">IFERROR(__xludf.DUMMYFUNCTION("""COMPUTED_VALUE"""),99)</f>
        <v>99</v>
      </c>
      <c r="AT90" s="8" t="str">
        <f ca="1">IFERROR(__xludf.DUMMYFUNCTION("""COMPUTED_VALUE"""),"Yes")</f>
        <v>Yes</v>
      </c>
      <c r="AU90" s="8">
        <f ca="1">IFERROR(__xludf.DUMMYFUNCTION("""COMPUTED_VALUE"""),29.882761)</f>
        <v>29.882760999999999</v>
      </c>
      <c r="AV90" s="8">
        <f ca="1">IFERROR(__xludf.DUMMYFUNCTION("""COMPUTED_VALUE"""),-95.471647)</f>
        <v>-95.471647000000004</v>
      </c>
      <c r="AW90" s="8" t="str">
        <f ca="1">IFERROR(__xludf.DUMMYFUNCTION("""COMPUTED_VALUE"""),"Multiple attached buildings")</f>
        <v>Multiple attached buildings</v>
      </c>
      <c r="AX90" s="8">
        <f ca="1">IFERROR(__xludf.DUMMYFUNCTION("""COMPUTED_VALUE"""),77088)</f>
        <v>77088</v>
      </c>
    </row>
    <row r="91" spans="1:50" ht="150" x14ac:dyDescent="0.2">
      <c r="A91" s="8" t="str">
        <f ca="1">IFERROR(__xludf.DUMMYFUNCTION("""COMPUTED_VALUE"""),"20250430CAWEM")</f>
        <v>20250430CAWEM</v>
      </c>
      <c r="B91" s="8">
        <f ca="1">IFERROR(__xludf.DUMMYFUNCTION("""COMPUTED_VALUE"""),4)</f>
        <v>4</v>
      </c>
      <c r="C91" s="8">
        <f ca="1">IFERROR(__xludf.DUMMYFUNCTION("""COMPUTED_VALUE"""),30)</f>
        <v>30</v>
      </c>
      <c r="D91" s="8">
        <f ca="1">IFERROR(__xludf.DUMMYFUNCTION("""COMPUTED_VALUE"""),2025)</f>
        <v>2025</v>
      </c>
      <c r="E91" s="9">
        <f ca="1">IFERROR(__xludf.DUMMYFUNCTION("""COMPUTED_VALUE"""),45777)</f>
        <v>45777</v>
      </c>
      <c r="F91" s="8" t="str">
        <f ca="1">IFERROR(__xludf.DUMMYFUNCTION("""COMPUTED_VALUE"""),"Westside Global Awareness Magnet School")</f>
        <v>Westside Global Awareness Magnet School</v>
      </c>
      <c r="G91" s="8">
        <f ca="1">IFERROR(__xludf.DUMMYFUNCTION("""COMPUTED_VALUE"""),0)</f>
        <v>0</v>
      </c>
      <c r="H91" s="8">
        <f ca="1">IFERROR(__xludf.DUMMYFUNCTION("""COMPUTED_VALUE"""),0)</f>
        <v>0</v>
      </c>
      <c r="I91" s="8">
        <f ca="1">IFERROR(__xludf.DUMMYFUNCTION("""COMPUTED_VALUE"""),0)</f>
        <v>0</v>
      </c>
      <c r="J91" s="8">
        <f ca="1">IFERROR(__xludf.DUMMYFUNCTION("""COMPUTED_VALUE"""),0)</f>
        <v>0</v>
      </c>
      <c r="K91" s="10" t="str">
        <f ca="1">IFERROR(__xludf.DUMMYFUNCTION("""COMPUTED_VALUE"""),"https://patch.com/california/los-angeles/gun-discharge-classroom-prompts-lockdown-elementary-school")</f>
        <v>https://patch.com/california/los-angeles/gun-discharge-classroom-prompts-lockdown-elementary-school</v>
      </c>
      <c r="L91" s="8">
        <f ca="1">IFERROR(__xludf.DUMMYFUNCTION("""COMPUTED_VALUE"""),15)</f>
        <v>15</v>
      </c>
      <c r="M91" s="8" t="str">
        <f ca="1">IFERROR(__xludf.DUMMYFUNCTION("""COMPUTED_VALUE"""),"Regional")</f>
        <v>Regional</v>
      </c>
      <c r="N91" s="8">
        <f ca="1">IFERROR(__xludf.DUMMYFUNCTION("""COMPUTED_VALUE"""),4)</f>
        <v>4</v>
      </c>
      <c r="O91" s="8" t="str">
        <f ca="1">IFERROR(__xludf.DUMMYFUNCTION("""COMPUTED_VALUE"""),"Spring")</f>
        <v>Spring</v>
      </c>
      <c r="P91" s="8" t="str">
        <f ca="1">IFERROR(__xludf.DUMMYFUNCTION("""COMPUTED_VALUE"""),"Marina del Rey")</f>
        <v>Marina del Rey</v>
      </c>
      <c r="Q91" s="8" t="str">
        <f ca="1">IFERROR(__xludf.DUMMYFUNCTION("""COMPUTED_VALUE"""),"CA")</f>
        <v>CA</v>
      </c>
      <c r="R91" s="8" t="str">
        <f ca="1">IFERROR(__xludf.DUMMYFUNCTION("""COMPUTED_VALUE"""),"K-8")</f>
        <v>K-8</v>
      </c>
      <c r="S91" s="8" t="str">
        <f ca="1">IFERROR(__xludf.DUMMYFUNCTION("""COMPUTED_VALUE"""),"Classroom")</f>
        <v>Classroom</v>
      </c>
      <c r="T91" s="8" t="str">
        <f ca="1">IFERROR(__xludf.DUMMYFUNCTION("""COMPUTED_VALUE"""),"Inside School Building")</f>
        <v>Inside School Building</v>
      </c>
      <c r="U91" s="8" t="str">
        <f ca="1">IFERROR(__xludf.DUMMYFUNCTION("""COMPUTED_VALUE"""),"Yes")</f>
        <v>Yes</v>
      </c>
      <c r="V91" s="8" t="str">
        <f ca="1">IFERROR(__xludf.DUMMYFUNCTION("""COMPUTED_VALUE"""),"Morning Classes")</f>
        <v>Morning Classes</v>
      </c>
      <c r="W91" s="11">
        <f ca="1">IFERROR(__xludf.DUMMYFUNCTION("""COMPUTED_VALUE"""),0.381944444444444)</f>
        <v>0.38194444444444398</v>
      </c>
      <c r="X91" s="8">
        <f ca="1">IFERROR(__xludf.DUMMYFUNCTION("""COMPUTED_VALUE"""),1)</f>
        <v>1</v>
      </c>
      <c r="Y91" s="12" t="str">
        <f ca="1">IFERROR(__xludf.DUMMYFUNCTION("""COMPUTED_VALUE"""),"Gun fired inside students backpack inside bathroom")</f>
        <v>Gun fired inside students backpack inside bathroom</v>
      </c>
      <c r="Z91" s="12" t="str">
        <f ca="1">IFERROR(__xludf.DUMMYFUNCTION("""COMPUTED_VALUE"""),"No one was injured in the incident. The school's principal described the morning incident as a student discharge of a ""possible"" firearm inside a classroom. The student then fled the campus, according to police. The alarming incident comes barely a mont"&amp;"h after a student reportedly brought a gun to school in nearby Manhattan Beach. The student involved was a 13-year-old boy, The Los Angeles Times reported. The gun apparently went off accidentally, possibly inside a backpack, shortly after the morning bel"&amp;"l, the paper reported.")</f>
        <v>No one was injured in the incident. The school's principal described the morning incident as a student discharge of a "possible" firearm inside a classroom. The student then fled the campus, according to police. The alarming incident comes barely a month after a student reportedly brought a gun to school in nearby Manhattan Beach. The student involved was a 13-year-old boy, The Los Angeles Times reported. The gun apparently went off accidentally, possibly inside a backpack, shortly after the morning bell, the paper reported.</v>
      </c>
      <c r="AA91" s="8" t="str">
        <f ca="1">IFERROR(__xludf.DUMMYFUNCTION("""COMPUTED_VALUE"""),"Accidental")</f>
        <v>Accidental</v>
      </c>
      <c r="AB91" s="8" t="str">
        <f ca="1">IFERROR(__xludf.DUMMYFUNCTION("""COMPUTED_VALUE"""),"Spontaneous")</f>
        <v>Spontaneous</v>
      </c>
      <c r="AC91" s="8" t="str">
        <f ca="1">IFERROR(__xludf.DUMMYFUNCTION("""COMPUTED_VALUE"""),"Yes")</f>
        <v>Yes</v>
      </c>
      <c r="AD91" s="8" t="str">
        <f ca="1">IFERROR(__xludf.DUMMYFUNCTION("""COMPUTED_VALUE"""),"Neither")</f>
        <v>Neither</v>
      </c>
      <c r="AE91" s="8" t="str">
        <f ca="1">IFERROR(__xludf.DUMMYFUNCTION("""COMPUTED_VALUE"""),"No")</f>
        <v>No</v>
      </c>
      <c r="AF91" s="8"/>
      <c r="AG91" s="8" t="str">
        <f ca="1">IFERROR(__xludf.DUMMYFUNCTION("""COMPUTED_VALUE"""),"No")</f>
        <v>No</v>
      </c>
      <c r="AH91" s="8" t="str">
        <f ca="1">IFERROR(__xludf.DUMMYFUNCTION("""COMPUTED_VALUE"""),"No")</f>
        <v>No</v>
      </c>
      <c r="AI91" s="8" t="str">
        <f ca="1">IFERROR(__xludf.DUMMYFUNCTION("""COMPUTED_VALUE"""),"No")</f>
        <v>No</v>
      </c>
      <c r="AJ91" s="8"/>
      <c r="AK91" s="8" t="str">
        <f ca="1">IFERROR(__xludf.DUMMYFUNCTION("""COMPUTED_VALUE"""),"No")</f>
        <v>No</v>
      </c>
      <c r="AL91" s="8" t="str">
        <f ca="1">IFERROR(__xludf.DUMMYFUNCTION("""COMPUTED_VALUE"""),"No")</f>
        <v>No</v>
      </c>
      <c r="AM91" s="8" t="str">
        <f ca="1">IFERROR(__xludf.DUMMYFUNCTION("""COMPUTED_VALUE"""),"No")</f>
        <v>No</v>
      </c>
      <c r="AN91" s="8" t="str">
        <f ca="1">IFERROR(__xludf.DUMMYFUNCTION("""COMPUTED_VALUE"""),"Single Room")</f>
        <v>Single Room</v>
      </c>
      <c r="AO91" s="8" t="str">
        <f ca="1">IFERROR(__xludf.DUMMYFUNCTION("""COMPUTED_VALUE"""),"No")</f>
        <v>No</v>
      </c>
      <c r="AP91" s="8"/>
      <c r="AQ91" s="8"/>
      <c r="AR91" s="8" t="str">
        <f ca="1">IFERROR(__xludf.DUMMYFUNCTION("""COMPUTED_VALUE"""),"Failed")</f>
        <v>Failed</v>
      </c>
      <c r="AS91" s="8">
        <f ca="1">IFERROR(__xludf.DUMMYFUNCTION("""COMPUTED_VALUE"""),1)</f>
        <v>1</v>
      </c>
      <c r="AT91" s="8" t="str">
        <f ca="1">IFERROR(__xludf.DUMMYFUNCTION("""COMPUTED_VALUE"""),"Yes")</f>
        <v>Yes</v>
      </c>
      <c r="AU91" s="8">
        <f ca="1">IFERROR(__xludf.DUMMYFUNCTION("""COMPUTED_VALUE"""),33.979498)</f>
        <v>33.979498</v>
      </c>
      <c r="AV91" s="8">
        <f ca="1">IFERROR(__xludf.DUMMYFUNCTION("""COMPUTED_VALUE"""),-118.464222)</f>
        <v>-118.46422200000001</v>
      </c>
      <c r="AW91" s="8" t="str">
        <f ca="1">IFERROR(__xludf.DUMMYFUNCTION("""COMPUTED_VALUE"""),"Multiple detached buildings")</f>
        <v>Multiple detached buildings</v>
      </c>
      <c r="AX91" s="8">
        <f ca="1">IFERROR(__xludf.DUMMYFUNCTION("""COMPUTED_VALUE"""),90292)</f>
        <v>90292</v>
      </c>
    </row>
    <row r="92" spans="1:50" ht="405" x14ac:dyDescent="0.2">
      <c r="A92" s="8" t="str">
        <f ca="1">IFERROR(__xludf.DUMMYFUNCTION("""COMPUTED_VALUE"""),"20250430SCRIC")</f>
        <v>20250430SCRIC</v>
      </c>
      <c r="B92" s="8">
        <f ca="1">IFERROR(__xludf.DUMMYFUNCTION("""COMPUTED_VALUE"""),4)</f>
        <v>4</v>
      </c>
      <c r="C92" s="8">
        <f ca="1">IFERROR(__xludf.DUMMYFUNCTION("""COMPUTED_VALUE"""),30)</f>
        <v>30</v>
      </c>
      <c r="D92" s="8">
        <f ca="1">IFERROR(__xludf.DUMMYFUNCTION("""COMPUTED_VALUE"""),2025)</f>
        <v>2025</v>
      </c>
      <c r="E92" s="9">
        <f ca="1">IFERROR(__xludf.DUMMYFUNCTION("""COMPUTED_VALUE"""),45777)</f>
        <v>45777</v>
      </c>
      <c r="F92" s="8" t="str">
        <f ca="1">IFERROR(__xludf.DUMMYFUNCTION("""COMPUTED_VALUE"""),"Ridge View High School")</f>
        <v>Ridge View High School</v>
      </c>
      <c r="G92" s="8">
        <f ca="1">IFERROR(__xludf.DUMMYFUNCTION("""COMPUTED_VALUE"""),0)</f>
        <v>0</v>
      </c>
      <c r="H92" s="8">
        <f ca="1">IFERROR(__xludf.DUMMYFUNCTION("""COMPUTED_VALUE"""),1)</f>
        <v>1</v>
      </c>
      <c r="I92" s="8">
        <f ca="1">IFERROR(__xludf.DUMMYFUNCTION("""COMPUTED_VALUE"""),1)</f>
        <v>1</v>
      </c>
      <c r="J92" s="8">
        <f ca="1">IFERROR(__xludf.DUMMYFUNCTION("""COMPUTED_VALUE"""),0)</f>
        <v>0</v>
      </c>
      <c r="K92" s="8" t="str">
        <f ca="1">IFERROR(__xludf.DUMMYFUNCTION("""COMPUTED_VALUE"""),"https://archive.is/YiHtn
https://www.wistv.com/2025/04/30/1-injured-after-student-fires-bb-gun-ridge-view-high-school-campus/
https://www.abccolumbia.com/2025/04/30/rscd-investigating-ridge-view-high-school-parking-lot-incident/")</f>
        <v>https://archive.is/YiHtn
https://www.wistv.com/2025/04/30/1-injured-after-student-fires-bb-gun-ridge-view-high-school-campus/
https://www.abccolumbia.com/2025/04/30/rscd-investigating-ridge-view-high-school-parking-lot-incident/</v>
      </c>
      <c r="L92" s="8">
        <f ca="1">IFERROR(__xludf.DUMMYFUNCTION("""COMPUTED_VALUE"""),6)</f>
        <v>6</v>
      </c>
      <c r="M92" s="8" t="str">
        <f ca="1">IFERROR(__xludf.DUMMYFUNCTION("""COMPUTED_VALUE"""),"Regional")</f>
        <v>Regional</v>
      </c>
      <c r="N92" s="8">
        <f ca="1">IFERROR(__xludf.DUMMYFUNCTION("""COMPUTED_VALUE"""),4)</f>
        <v>4</v>
      </c>
      <c r="O92" s="8" t="str">
        <f ca="1">IFERROR(__xludf.DUMMYFUNCTION("""COMPUTED_VALUE"""),"Spring")</f>
        <v>Spring</v>
      </c>
      <c r="P92" s="8" t="str">
        <f ca="1">IFERROR(__xludf.DUMMYFUNCTION("""COMPUTED_VALUE"""),"Columbia")</f>
        <v>Columbia</v>
      </c>
      <c r="Q92" s="8" t="str">
        <f ca="1">IFERROR(__xludf.DUMMYFUNCTION("""COMPUTED_VALUE"""),"SC")</f>
        <v>SC</v>
      </c>
      <c r="R92" s="8" t="str">
        <f ca="1">IFERROR(__xludf.DUMMYFUNCTION("""COMPUTED_VALUE"""),"High")</f>
        <v>High</v>
      </c>
      <c r="S92" s="8" t="str">
        <f ca="1">IFERROR(__xludf.DUMMYFUNCTION("""COMPUTED_VALUE"""),"Parking Lot")</f>
        <v>Parking Lot</v>
      </c>
      <c r="T92" s="8" t="str">
        <f ca="1">IFERROR(__xludf.DUMMYFUNCTION("""COMPUTED_VALUE"""),"Outside on School Property")</f>
        <v>Outside on School Property</v>
      </c>
      <c r="U92" s="8" t="str">
        <f ca="1">IFERROR(__xludf.DUMMYFUNCTION("""COMPUTED_VALUE"""),"Yes")</f>
        <v>Yes</v>
      </c>
      <c r="V92" s="8" t="str">
        <f ca="1">IFERROR(__xludf.DUMMYFUNCTION("""COMPUTED_VALUE"""),"Lunch")</f>
        <v>Lunch</v>
      </c>
      <c r="W92" s="11">
        <f ca="1">IFERROR(__xludf.DUMMYFUNCTION("""COMPUTED_VALUE"""),0.479166666666666)</f>
        <v>0.47916666666666602</v>
      </c>
      <c r="X92" s="8">
        <f ca="1">IFERROR(__xludf.DUMMYFUNCTION("""COMPUTED_VALUE"""),1)</f>
        <v>1</v>
      </c>
      <c r="Y92" s="12" t="str">
        <f ca="1">IFERROR(__xludf.DUMMYFUNCTION("""COMPUTED_VALUE"""),"Student shot in the school parking lot")</f>
        <v>Student shot in the school parking lot</v>
      </c>
      <c r="Z92" s="12" t="str">
        <f ca="1">IFERROR(__xludf.DUMMYFUNCTION("""COMPUTED_VALUE"""),"Student was shot by a student with a .22 handgun in the school parking lot. Three students were found with handguns. Richland County School District said in a statement that the student was injured after an airsoft pistol was fired at Ridge View High Scho"&amp;"ol’s campus. According to a statement sent to parents by the school’s principal, a student was injured while in a car after another fired an airsoft pistol on campus. The student's hospital records show the injury was from a bullet not a BB. Per a lawsuit"&amp;", The airsoft pistol assertion was a ""spin campaign"" from the school's staff aimed at downplaying the severity of the incident, according to the lawsuit filed on May 12. The suit seeks damages from claims of negligence against the district, the student "&amp;"who fired the gun and that student's parents. In the lawsuit's account of the shooting, the bullet went through the student's jacket and hit him in the abdomen, leaving metal fragments. Those fragments were left alone after it was deemed more dangerous to"&amp;" remove them, according to the suit. Mobley told The Post and Courier that the student's paperwork from the hospital reported the injury as a ""possible gunshot wound or BB gun"" and said there wasn't an exit wound. The alleged gunshot, described as a neg"&amp;"ligent discharge, came through the window of a car the student was standing near, according to the lawsuit. All three of the car's occupants were students, and all three had handguns, the suit alleges, but there was no altercation or conflict in the lead-"&amp;"up to the incident. ")</f>
        <v xml:space="preserve">Student was shot by a student with a .22 handgun in the school parking lot. Three students were found with handguns. Richland County School District said in a statement that the student was injured after an airsoft pistol was fired at Ridge View High School’s campus. According to a statement sent to parents by the school’s principal, a student was injured while in a car after another fired an airsoft pistol on campus. The student's hospital records show the injury was from a bullet not a BB. Per a lawsuit, The airsoft pistol assertion was a "spin campaign" from the school's staff aimed at downplaying the severity of the incident, according to the lawsuit filed on May 12. The suit seeks damages from claims of negligence against the district, the student who fired the gun and that student's parents. In the lawsuit's account of the shooting, the bullet went through the student's jacket and hit him in the abdomen, leaving metal fragments. Those fragments were left alone after it was deemed more dangerous to remove them, according to the suit. Mobley told The Post and Courier that the student's paperwork from the hospital reported the injury as a "possible gunshot wound or BB gun" and said there wasn't an exit wound. The alleged gunshot, described as a negligent discharge, came through the window of a car the student was standing near, according to the lawsuit. All three of the car's occupants were students, and all three had handguns, the suit alleges, but there was no altercation or conflict in the lead-up to the incident. </v>
      </c>
      <c r="AA92" s="8" t="str">
        <f ca="1">IFERROR(__xludf.DUMMYFUNCTION("""COMPUTED_VALUE"""),"Accidental")</f>
        <v>Accidental</v>
      </c>
      <c r="AB92" s="8" t="str">
        <f ca="1">IFERROR(__xludf.DUMMYFUNCTION("""COMPUTED_VALUE"""),"Spontaneous")</f>
        <v>Spontaneous</v>
      </c>
      <c r="AC92" s="8" t="str">
        <f ca="1">IFERROR(__xludf.DUMMYFUNCTION("""COMPUTED_VALUE"""),"Yes")</f>
        <v>Yes</v>
      </c>
      <c r="AD92" s="8" t="str">
        <f ca="1">IFERROR(__xludf.DUMMYFUNCTION("""COMPUTED_VALUE"""),"Victims Targeted")</f>
        <v>Victims Targeted</v>
      </c>
      <c r="AE92" s="8" t="str">
        <f ca="1">IFERROR(__xludf.DUMMYFUNCTION("""COMPUTED_VALUE"""),"No")</f>
        <v>No</v>
      </c>
      <c r="AF92" s="8"/>
      <c r="AG92" s="8" t="str">
        <f ca="1">IFERROR(__xludf.DUMMYFUNCTION("""COMPUTED_VALUE"""),"No")</f>
        <v>No</v>
      </c>
      <c r="AH92" s="8" t="str">
        <f ca="1">IFERROR(__xludf.DUMMYFUNCTION("""COMPUTED_VALUE"""),"No")</f>
        <v>No</v>
      </c>
      <c r="AI92" s="8" t="str">
        <f ca="1">IFERROR(__xludf.DUMMYFUNCTION("""COMPUTED_VALUE"""),"No")</f>
        <v>No</v>
      </c>
      <c r="AJ92" s="8" t="str">
        <f ca="1">IFERROR(__xludf.DUMMYFUNCTION("""COMPUTED_VALUE"""),"No")</f>
        <v>No</v>
      </c>
      <c r="AK92" s="8" t="str">
        <f ca="1">IFERROR(__xludf.DUMMYFUNCTION("""COMPUTED_VALUE"""),"No")</f>
        <v>No</v>
      </c>
      <c r="AL92" s="8" t="str">
        <f ca="1">IFERROR(__xludf.DUMMYFUNCTION("""COMPUTED_VALUE"""),"No")</f>
        <v>No</v>
      </c>
      <c r="AM92" s="8" t="str">
        <f ca="1">IFERROR(__xludf.DUMMYFUNCTION("""COMPUTED_VALUE"""),"No")</f>
        <v>No</v>
      </c>
      <c r="AN92" s="8" t="str">
        <f ca="1">IFERROR(__xludf.DUMMYFUNCTION("""COMPUTED_VALUE"""),"Outside")</f>
        <v>Outside</v>
      </c>
      <c r="AO92" s="8" t="str">
        <f ca="1">IFERROR(__xludf.DUMMYFUNCTION("""COMPUTED_VALUE"""),"No")</f>
        <v>No</v>
      </c>
      <c r="AP92" s="8" t="str">
        <f ca="1">IFERROR(__xludf.DUMMYFUNCTION("""COMPUTED_VALUE"""),"Yes")</f>
        <v>Yes</v>
      </c>
      <c r="AQ92" s="8" t="str">
        <f ca="1">IFERROR(__xludf.DUMMYFUNCTION("""COMPUTED_VALUE"""),"Armed Guards")</f>
        <v>Armed Guards</v>
      </c>
      <c r="AR92" s="8" t="str">
        <f ca="1">IFERROR(__xludf.DUMMYFUNCTION("""COMPUTED_VALUE"""),"Outside/Off-Property")</f>
        <v>Outside/Off-Property</v>
      </c>
      <c r="AS92" s="8">
        <f ca="1">IFERROR(__xludf.DUMMYFUNCTION("""COMPUTED_VALUE"""),1)</f>
        <v>1</v>
      </c>
      <c r="AT92" s="8"/>
      <c r="AU92" s="8">
        <f ca="1">IFERROR(__xludf.DUMMYFUNCTION("""COMPUTED_VALUE"""),34.163274)</f>
        <v>34.163274000000001</v>
      </c>
      <c r="AV92" s="8">
        <f ca="1">IFERROR(__xludf.DUMMYFUNCTION("""COMPUTED_VALUE"""),-80.909344)</f>
        <v>-80.909344000000004</v>
      </c>
      <c r="AW92" s="8" t="str">
        <f ca="1">IFERROR(__xludf.DUMMYFUNCTION("""COMPUTED_VALUE"""),"Multiple attached buildings")</f>
        <v>Multiple attached buildings</v>
      </c>
      <c r="AX92" s="8">
        <f ca="1">IFERROR(__xludf.DUMMYFUNCTION("""COMPUTED_VALUE"""),29229)</f>
        <v>29229</v>
      </c>
    </row>
    <row r="93" spans="1:50" ht="135" x14ac:dyDescent="0.2">
      <c r="A93" s="8" t="str">
        <f ca="1">IFERROR(__xludf.DUMMYFUNCTION("""COMPUTED_VALUE"""),"20250430MABRT")</f>
        <v>20250430MABRT</v>
      </c>
      <c r="B93" s="8">
        <f ca="1">IFERROR(__xludf.DUMMYFUNCTION("""COMPUTED_VALUE"""),4)</f>
        <v>4</v>
      </c>
      <c r="C93" s="8">
        <f ca="1">IFERROR(__xludf.DUMMYFUNCTION("""COMPUTED_VALUE"""),30)</f>
        <v>30</v>
      </c>
      <c r="D93" s="8">
        <f ca="1">IFERROR(__xludf.DUMMYFUNCTION("""COMPUTED_VALUE"""),2025)</f>
        <v>2025</v>
      </c>
      <c r="E93" s="9">
        <f ca="1">IFERROR(__xludf.DUMMYFUNCTION("""COMPUTED_VALUE"""),45777)</f>
        <v>45777</v>
      </c>
      <c r="F93" s="8" t="str">
        <f ca="1">IFERROR(__xludf.DUMMYFUNCTION("""COMPUTED_VALUE"""),"Bristol-Plymouth Regional Technical School")</f>
        <v>Bristol-Plymouth Regional Technical School</v>
      </c>
      <c r="G93" s="8">
        <f ca="1">IFERROR(__xludf.DUMMYFUNCTION("""COMPUTED_VALUE"""),1)</f>
        <v>1</v>
      </c>
      <c r="H93" s="8">
        <f ca="1">IFERROR(__xludf.DUMMYFUNCTION("""COMPUTED_VALUE"""),0)</f>
        <v>0</v>
      </c>
      <c r="I93" s="8">
        <f ca="1">IFERROR(__xludf.DUMMYFUNCTION("""COMPUTED_VALUE"""),1)</f>
        <v>1</v>
      </c>
      <c r="J93" s="8">
        <f ca="1">IFERROR(__xludf.DUMMYFUNCTION("""COMPUTED_VALUE"""),0)</f>
        <v>0</v>
      </c>
      <c r="K93" s="8" t="str">
        <f ca="1">IFERROR(__xludf.DUMMYFUNCTION("""COMPUTED_VALUE"""),"https://www.tauntongazette.com/story/news/crime/2025/05/01/bristol-plymouth-victim-found-shot-to-death-behind-school-identified/83384453007/
https://wbsm.com/taunton-murder-stephan-myers-david-jones-arraigned/")</f>
        <v>https://www.tauntongazette.com/story/news/crime/2025/05/01/bristol-plymouth-victim-found-shot-to-death-behind-school-identified/83384453007/
https://wbsm.com/taunton-murder-stephan-myers-david-jones-arraigned/</v>
      </c>
      <c r="L93" s="8">
        <f ca="1">IFERROR(__xludf.DUMMYFUNCTION("""COMPUTED_VALUE"""),20)</f>
        <v>20</v>
      </c>
      <c r="M93" s="8" t="str">
        <f ca="1">IFERROR(__xludf.DUMMYFUNCTION("""COMPUTED_VALUE"""),"Regional")</f>
        <v>Regional</v>
      </c>
      <c r="N93" s="8">
        <f ca="1">IFERROR(__xludf.DUMMYFUNCTION("""COMPUTED_VALUE"""),4)</f>
        <v>4</v>
      </c>
      <c r="O93" s="8" t="str">
        <f ca="1">IFERROR(__xludf.DUMMYFUNCTION("""COMPUTED_VALUE"""),"Spring")</f>
        <v>Spring</v>
      </c>
      <c r="P93" s="8" t="str">
        <f ca="1">IFERROR(__xludf.DUMMYFUNCTION("""COMPUTED_VALUE"""),"Taunton")</f>
        <v>Taunton</v>
      </c>
      <c r="Q93" s="8" t="str">
        <f ca="1">IFERROR(__xludf.DUMMYFUNCTION("""COMPUTED_VALUE"""),"MA")</f>
        <v>MA</v>
      </c>
      <c r="R93" s="8" t="str">
        <f ca="1">IFERROR(__xludf.DUMMYFUNCTION("""COMPUTED_VALUE"""),"High")</f>
        <v>High</v>
      </c>
      <c r="S93" s="8" t="str">
        <f ca="1">IFERROR(__xludf.DUMMYFUNCTION("""COMPUTED_VALUE"""),"Field (General)")</f>
        <v>Field (General)</v>
      </c>
      <c r="T93" s="8" t="str">
        <f ca="1">IFERROR(__xludf.DUMMYFUNCTION("""COMPUTED_VALUE"""),"Outside on School Property")</f>
        <v>Outside on School Property</v>
      </c>
      <c r="U93" s="8" t="str">
        <f ca="1">IFERROR(__xludf.DUMMYFUNCTION("""COMPUTED_VALUE"""),"No")</f>
        <v>No</v>
      </c>
      <c r="V93" s="8" t="str">
        <f ca="1">IFERROR(__xludf.DUMMYFUNCTION("""COMPUTED_VALUE"""),"Night")</f>
        <v>Night</v>
      </c>
      <c r="W93" s="8"/>
      <c r="X93" s="8">
        <f ca="1">IFERROR(__xludf.DUMMYFUNCTION("""COMPUTED_VALUE"""),1)</f>
        <v>1</v>
      </c>
      <c r="Y93" s="12" t="str">
        <f ca="1">IFERROR(__xludf.DUMMYFUNCTION("""COMPUTED_VALUE"""),"Man fatally shot behind the school")</f>
        <v>Man fatally shot behind the school</v>
      </c>
      <c r="Z93" s="12" t="str">
        <f ca="1">IFERROR(__xludf.DUMMYFUNCTION("""COMPUTED_VALUE"""),"A 39-year-old man was found dead early Wednesday morning near a high school in Taunton, officials said. Stephan Myers, of Falmouth, was found in a construction area behind Bristol-Plymouth Regional Technical School, the Bristol County District Attorney an"&amp;"nounced Wednesday. He died from a single gunshot wound, the DA said. Foul play is suspected, but there is no ongoing threat to the community or any known connection to the high school, the DA said. ")</f>
        <v xml:space="preserve">A 39-year-old man was found dead early Wednesday morning near a high school in Taunton, officials said. Stephan Myers, of Falmouth, was found in a construction area behind Bristol-Plymouth Regional Technical School, the Bristol County District Attorney announced Wednesday. He died from a single gunshot wound, the DA said. Foul play is suspected, but there is no ongoing threat to the community or any known connection to the high school, the DA said. </v>
      </c>
      <c r="AA93" s="8"/>
      <c r="AB93" s="8" t="str">
        <f ca="1">IFERROR(__xludf.DUMMYFUNCTION("""COMPUTED_VALUE"""),"Targeted")</f>
        <v>Targeted</v>
      </c>
      <c r="AC93" s="8" t="str">
        <f ca="1">IFERROR(__xludf.DUMMYFUNCTION("""COMPUTED_VALUE"""),"Yes")</f>
        <v>Yes</v>
      </c>
      <c r="AD93" s="8" t="str">
        <f ca="1">IFERROR(__xludf.DUMMYFUNCTION("""COMPUTED_VALUE"""),"Victims Targeted")</f>
        <v>Victims Targeted</v>
      </c>
      <c r="AE93" s="8"/>
      <c r="AF93" s="8"/>
      <c r="AG93" s="8" t="str">
        <f ca="1">IFERROR(__xludf.DUMMYFUNCTION("""COMPUTED_VALUE"""),"No")</f>
        <v>No</v>
      </c>
      <c r="AH93" s="8" t="str">
        <f ca="1">IFERROR(__xludf.DUMMYFUNCTION("""COMPUTED_VALUE"""),"No")</f>
        <v>No</v>
      </c>
      <c r="AI93" s="8" t="str">
        <f ca="1">IFERROR(__xludf.DUMMYFUNCTION("""COMPUTED_VALUE"""),"No")</f>
        <v>No</v>
      </c>
      <c r="AJ93" s="8" t="str">
        <f ca="1">IFERROR(__xludf.DUMMYFUNCTION("""COMPUTED_VALUE"""),"No")</f>
        <v>No</v>
      </c>
      <c r="AK93" s="8" t="str">
        <f ca="1">IFERROR(__xludf.DUMMYFUNCTION("""COMPUTED_VALUE"""),"No")</f>
        <v>No</v>
      </c>
      <c r="AL93" s="8"/>
      <c r="AM93" s="8" t="str">
        <f ca="1">IFERROR(__xludf.DUMMYFUNCTION("""COMPUTED_VALUE"""),"No")</f>
        <v>No</v>
      </c>
      <c r="AN93" s="8" t="str">
        <f ca="1">IFERROR(__xludf.DUMMYFUNCTION("""COMPUTED_VALUE"""),"Outside")</f>
        <v>Outside</v>
      </c>
      <c r="AO93" s="8" t="str">
        <f ca="1">IFERROR(__xludf.DUMMYFUNCTION("""COMPUTED_VALUE"""),"No")</f>
        <v>No</v>
      </c>
      <c r="AP93" s="8"/>
      <c r="AQ93" s="8"/>
      <c r="AR93" s="8" t="str">
        <f ca="1">IFERROR(__xludf.DUMMYFUNCTION("""COMPUTED_VALUE"""),"Outside/Off-Property")</f>
        <v>Outside/Off-Property</v>
      </c>
      <c r="AS93" s="8">
        <f ca="1">IFERROR(__xludf.DUMMYFUNCTION("""COMPUTED_VALUE"""),1)</f>
        <v>1</v>
      </c>
      <c r="AT93" s="8" t="str">
        <f ca="1">IFERROR(__xludf.DUMMYFUNCTION("""COMPUTED_VALUE"""),"No")</f>
        <v>No</v>
      </c>
      <c r="AU93" s="8">
        <f ca="1">IFERROR(__xludf.DUMMYFUNCTION("""COMPUTED_VALUE"""),41.880091)</f>
        <v>41.880091</v>
      </c>
      <c r="AV93" s="8">
        <f ca="1">IFERROR(__xludf.DUMMYFUNCTION("""COMPUTED_VALUE"""),-71.056068)</f>
        <v>-71.056067999999996</v>
      </c>
      <c r="AW93" s="8" t="str">
        <f ca="1">IFERROR(__xludf.DUMMYFUNCTION("""COMPUTED_VALUE"""),"Multiple detached buildings")</f>
        <v>Multiple detached buildings</v>
      </c>
      <c r="AX93" s="8">
        <f ca="1">IFERROR(__xludf.DUMMYFUNCTION("""COMPUTED_VALUE"""),2780)</f>
        <v>2780</v>
      </c>
    </row>
    <row r="94" spans="1:50" ht="75" x14ac:dyDescent="0.2">
      <c r="A94" s="8" t="str">
        <f ca="1">IFERROR(__xludf.DUMMYFUNCTION("""COMPUTED_VALUE"""),"20250428MSJIJ")</f>
        <v>20250428MSJIJ</v>
      </c>
      <c r="B94" s="8">
        <f ca="1">IFERROR(__xludf.DUMMYFUNCTION("""COMPUTED_VALUE"""),4)</f>
        <v>4</v>
      </c>
      <c r="C94" s="8">
        <f ca="1">IFERROR(__xludf.DUMMYFUNCTION("""COMPUTED_VALUE"""),28)</f>
        <v>28</v>
      </c>
      <c r="D94" s="8">
        <f ca="1">IFERROR(__xludf.DUMMYFUNCTION("""COMPUTED_VALUE"""),2025)</f>
        <v>2025</v>
      </c>
      <c r="E94" s="9">
        <f ca="1">IFERROR(__xludf.DUMMYFUNCTION("""COMPUTED_VALUE"""),45775)</f>
        <v>45775</v>
      </c>
      <c r="F94" s="8" t="str">
        <f ca="1">IFERROR(__xludf.DUMMYFUNCTION("""COMPUTED_VALUE"""),"Jim Hill High School")</f>
        <v>Jim Hill High School</v>
      </c>
      <c r="G94" s="8">
        <f ca="1">IFERROR(__xludf.DUMMYFUNCTION("""COMPUTED_VALUE"""),0)</f>
        <v>0</v>
      </c>
      <c r="H94" s="8">
        <f ca="1">IFERROR(__xludf.DUMMYFUNCTION("""COMPUTED_VALUE"""),0)</f>
        <v>0</v>
      </c>
      <c r="I94" s="8">
        <f ca="1">IFERROR(__xludf.DUMMYFUNCTION("""COMPUTED_VALUE"""),0)</f>
        <v>0</v>
      </c>
      <c r="J94" s="8">
        <f ca="1">IFERROR(__xludf.DUMMYFUNCTION("""COMPUTED_VALUE"""),0)</f>
        <v>0</v>
      </c>
      <c r="K94" s="10" t="str">
        <f ca="1">IFERROR(__xludf.DUMMYFUNCTION("""COMPUTED_VALUE"""),"https://www.clarionledger.com/story/news/local/2025/04/28/jim-hill-high-school-lockdown-lifted-after-external-threat-in-jackson/83330127007/
https://www.wjtv.com/news/local-news/jim-hill-high-school-placed-on-lockdown-due-to-external-threat/
https://www.w"&amp;"lbt.com/2025/04/28/jim-hill-high-school-temporary-lockdown-due-external-threat/")</f>
        <v>https://www.clarionledger.com/story/news/local/2025/04/28/jim-hill-high-school-lockdown-lifted-after-external-threat-in-jackson/83330127007/
https://www.wjtv.com/news/local-news/jim-hill-high-school-placed-on-lockdown-due-to-external-threat/
https://www.wlbt.com/2025/04/28/jim-hill-high-school-temporary-lockdown-due-external-threat/</v>
      </c>
      <c r="L94" s="8">
        <f ca="1">IFERROR(__xludf.DUMMYFUNCTION("""COMPUTED_VALUE"""),5)</f>
        <v>5</v>
      </c>
      <c r="M94" s="8" t="str">
        <f ca="1">IFERROR(__xludf.DUMMYFUNCTION("""COMPUTED_VALUE"""),"Regional")</f>
        <v>Regional</v>
      </c>
      <c r="N94" s="8">
        <f ca="1">IFERROR(__xludf.DUMMYFUNCTION("""COMPUTED_VALUE"""),4)</f>
        <v>4</v>
      </c>
      <c r="O94" s="8" t="str">
        <f ca="1">IFERROR(__xludf.DUMMYFUNCTION("""COMPUTED_VALUE"""),"Spring")</f>
        <v>Spring</v>
      </c>
      <c r="P94" s="8" t="str">
        <f ca="1">IFERROR(__xludf.DUMMYFUNCTION("""COMPUTED_VALUE"""),"Jackson")</f>
        <v>Jackson</v>
      </c>
      <c r="Q94" s="8" t="str">
        <f ca="1">IFERROR(__xludf.DUMMYFUNCTION("""COMPUTED_VALUE"""),"MS")</f>
        <v>MS</v>
      </c>
      <c r="R94" s="8" t="str">
        <f ca="1">IFERROR(__xludf.DUMMYFUNCTION("""COMPUTED_VALUE"""),"High")</f>
        <v>High</v>
      </c>
      <c r="S94" s="8" t="str">
        <f ca="1">IFERROR(__xludf.DUMMYFUNCTION("""COMPUTED_VALUE"""),"Front of School")</f>
        <v>Front of School</v>
      </c>
      <c r="T94" s="8" t="str">
        <f ca="1">IFERROR(__xludf.DUMMYFUNCTION("""COMPUTED_VALUE"""),"Outside on School Property")</f>
        <v>Outside on School Property</v>
      </c>
      <c r="U94" s="8" t="str">
        <f ca="1">IFERROR(__xludf.DUMMYFUNCTION("""COMPUTED_VALUE"""),"Yes")</f>
        <v>Yes</v>
      </c>
      <c r="V94" s="8" t="str">
        <f ca="1">IFERROR(__xludf.DUMMYFUNCTION("""COMPUTED_VALUE"""),"Lunch")</f>
        <v>Lunch</v>
      </c>
      <c r="W94" s="11">
        <f ca="1">IFERROR(__xludf.DUMMYFUNCTION("""COMPUTED_VALUE"""),0.513888888888888)</f>
        <v>0.51388888888888795</v>
      </c>
      <c r="X94" s="8">
        <f ca="1">IFERROR(__xludf.DUMMYFUNCTION("""COMPUTED_VALUE"""),1)</f>
        <v>1</v>
      </c>
      <c r="Y94" s="12" t="str">
        <f ca="1">IFERROR(__xludf.DUMMYFUNCTION("""COMPUTED_VALUE"""),"Student fired shots near front door following fight between multiple students")</f>
        <v>Student fired shots near front door following fight between multiple students</v>
      </c>
      <c r="Z94" s="12" t="str">
        <f ca="1">IFERROR(__xludf.DUMMYFUNCTION("""COMPUTED_VALUE"""),"A student fired shots near front door following fight between multiple students. The shooter fled before police arrived. The campus was locked down for multiple hours before students were released to their parents.")</f>
        <v>A student fired shots near front door following fight between multiple students. The shooter fled before police arrived. The campus was locked down for multiple hours before students were released to their parents.</v>
      </c>
      <c r="AA94" s="8" t="str">
        <f ca="1">IFERROR(__xludf.DUMMYFUNCTION("""COMPUTED_VALUE"""),"Escalation of Dispute")</f>
        <v>Escalation of Dispute</v>
      </c>
      <c r="AB94" s="8" t="str">
        <f ca="1">IFERROR(__xludf.DUMMYFUNCTION("""COMPUTED_VALUE"""),"Spontaneous")</f>
        <v>Spontaneous</v>
      </c>
      <c r="AC94" s="8" t="str">
        <f ca="1">IFERROR(__xludf.DUMMYFUNCTION("""COMPUTED_VALUE"""),"Yes")</f>
        <v>Yes</v>
      </c>
      <c r="AD94" s="8" t="str">
        <f ca="1">IFERROR(__xludf.DUMMYFUNCTION("""COMPUTED_VALUE"""),"Victims Targeted")</f>
        <v>Victims Targeted</v>
      </c>
      <c r="AE94" s="8" t="str">
        <f ca="1">IFERROR(__xludf.DUMMYFUNCTION("""COMPUTED_VALUE"""),"No")</f>
        <v>No</v>
      </c>
      <c r="AF94" s="8"/>
      <c r="AG94" s="8" t="str">
        <f ca="1">IFERROR(__xludf.DUMMYFUNCTION("""COMPUTED_VALUE"""),"No")</f>
        <v>No</v>
      </c>
      <c r="AH94" s="8" t="str">
        <f ca="1">IFERROR(__xludf.DUMMYFUNCTION("""COMPUTED_VALUE"""),"No")</f>
        <v>No</v>
      </c>
      <c r="AI94" s="8" t="str">
        <f ca="1">IFERROR(__xludf.DUMMYFUNCTION("""COMPUTED_VALUE"""),"No")</f>
        <v>No</v>
      </c>
      <c r="AJ94" s="8" t="str">
        <f ca="1">IFERROR(__xludf.DUMMYFUNCTION("""COMPUTED_VALUE"""),"No")</f>
        <v>No</v>
      </c>
      <c r="AK94" s="8" t="str">
        <f ca="1">IFERROR(__xludf.DUMMYFUNCTION("""COMPUTED_VALUE"""),"No")</f>
        <v>No</v>
      </c>
      <c r="AL94" s="8" t="str">
        <f ca="1">IFERROR(__xludf.DUMMYFUNCTION("""COMPUTED_VALUE"""),"No")</f>
        <v>No</v>
      </c>
      <c r="AM94" s="8" t="str">
        <f ca="1">IFERROR(__xludf.DUMMYFUNCTION("""COMPUTED_VALUE"""),"No")</f>
        <v>No</v>
      </c>
      <c r="AN94" s="8" t="str">
        <f ca="1">IFERROR(__xludf.DUMMYFUNCTION("""COMPUTED_VALUE"""),"Outside")</f>
        <v>Outside</v>
      </c>
      <c r="AO94" s="8" t="str">
        <f ca="1">IFERROR(__xludf.DUMMYFUNCTION("""COMPUTED_VALUE"""),"No")</f>
        <v>No</v>
      </c>
      <c r="AP94" s="8"/>
      <c r="AQ94" s="8"/>
      <c r="AR94" s="8" t="str">
        <f ca="1">IFERROR(__xludf.DUMMYFUNCTION("""COMPUTED_VALUE"""),"Failed")</f>
        <v>Failed</v>
      </c>
      <c r="AS94" s="8">
        <f ca="1">IFERROR(__xludf.DUMMYFUNCTION("""COMPUTED_VALUE"""),99)</f>
        <v>99</v>
      </c>
      <c r="AT94" s="8" t="str">
        <f ca="1">IFERROR(__xludf.DUMMYFUNCTION("""COMPUTED_VALUE"""),"Yes")</f>
        <v>Yes</v>
      </c>
      <c r="AU94" s="8">
        <f ca="1">IFERROR(__xludf.DUMMYFUNCTION("""COMPUTED_VALUE"""),32.290341)</f>
        <v>32.290340999999998</v>
      </c>
      <c r="AV94" s="8">
        <f ca="1">IFERROR(__xludf.DUMMYFUNCTION("""COMPUTED_VALUE"""),-90.218673)</f>
        <v>-90.218672999999995</v>
      </c>
      <c r="AW94" s="8" t="str">
        <f ca="1">IFERROR(__xludf.DUMMYFUNCTION("""COMPUTED_VALUE"""),"Multiple detached buildings")</f>
        <v>Multiple detached buildings</v>
      </c>
      <c r="AX94" s="8">
        <f ca="1">IFERROR(__xludf.DUMMYFUNCTION("""COMPUTED_VALUE"""),39204)</f>
        <v>39204</v>
      </c>
    </row>
    <row r="95" spans="1:50" ht="195" x14ac:dyDescent="0.2">
      <c r="A95" s="8" t="str">
        <f ca="1">IFERROR(__xludf.DUMMYFUNCTION("""COMPUTED_VALUE"""),"20250424MSBOM")</f>
        <v>20250424MSBOM</v>
      </c>
      <c r="B95" s="8">
        <f ca="1">IFERROR(__xludf.DUMMYFUNCTION("""COMPUTED_VALUE"""),4)</f>
        <v>4</v>
      </c>
      <c r="C95" s="8">
        <f ca="1">IFERROR(__xludf.DUMMYFUNCTION("""COMPUTED_VALUE"""),24)</f>
        <v>24</v>
      </c>
      <c r="D95" s="8">
        <f ca="1">IFERROR(__xludf.DUMMYFUNCTION("""COMPUTED_VALUE"""),2025)</f>
        <v>2025</v>
      </c>
      <c r="E95" s="9">
        <f ca="1">IFERROR(__xludf.DUMMYFUNCTION("""COMPUTED_VALUE"""),45771)</f>
        <v>45771</v>
      </c>
      <c r="F95" s="8" t="str">
        <f ca="1">IFERROR(__xludf.DUMMYFUNCTION("""COMPUTED_VALUE"""),"Booker T. Washington High School")</f>
        <v>Booker T. Washington High School</v>
      </c>
      <c r="G95" s="8">
        <f ca="1">IFERROR(__xludf.DUMMYFUNCTION("""COMPUTED_VALUE"""),2)</f>
        <v>2</v>
      </c>
      <c r="H95" s="8">
        <f ca="1">IFERROR(__xludf.DUMMYFUNCTION("""COMPUTED_VALUE"""),0)</f>
        <v>0</v>
      </c>
      <c r="I95" s="8">
        <f ca="1">IFERROR(__xludf.DUMMYFUNCTION("""COMPUTED_VALUE"""),2)</f>
        <v>2</v>
      </c>
      <c r="J95" s="8">
        <f ca="1">IFERROR(__xludf.DUMMYFUNCTION("""COMPUTED_VALUE"""),0)</f>
        <v>0</v>
      </c>
      <c r="K95" s="10" t="str">
        <f ca="1">IFERROR(__xludf.DUMMYFUNCTION("""COMPUTED_VALUE"""),"https://www.fox13memphis.com/news/two-people-dead-after-gunfire-in-south-memphis-police-say/article_a8f10581-6501-47fa-a1b7-254cc324744c.html
https://www.actionnews5.com/2025/04/24/large-police-presence-builds-near-booker-t-washington-high-school/
https:/"&amp;"/wreg.com/news/local/police-responding-to-possible-shooting-on-mississippi-blvd/
https://wreg.com/news/local/everybody-misses-them-memphis-grieves-2-killed-in-tragic-shooting/")</f>
        <v>https://www.fox13memphis.com/news/two-people-dead-after-gunfire-in-south-memphis-police-say/article_a8f10581-6501-47fa-a1b7-254cc324744c.html
https://www.actionnews5.com/2025/04/24/large-police-presence-builds-near-booker-t-washington-high-school/
https://wreg.com/news/local/police-responding-to-possible-shooting-on-mississippi-blvd/
https://wreg.com/news/local/everybody-misses-them-memphis-grieves-2-killed-in-tragic-shooting/</v>
      </c>
      <c r="L95" s="8">
        <f ca="1">IFERROR(__xludf.DUMMYFUNCTION("""COMPUTED_VALUE"""),5)</f>
        <v>5</v>
      </c>
      <c r="M95" s="8" t="str">
        <f ca="1">IFERROR(__xludf.DUMMYFUNCTION("""COMPUTED_VALUE"""),"Regional")</f>
        <v>Regional</v>
      </c>
      <c r="N95" s="8">
        <f ca="1">IFERROR(__xludf.DUMMYFUNCTION("""COMPUTED_VALUE"""),4)</f>
        <v>4</v>
      </c>
      <c r="O95" s="8" t="str">
        <f ca="1">IFERROR(__xludf.DUMMYFUNCTION("""COMPUTED_VALUE"""),"Spring")</f>
        <v>Spring</v>
      </c>
      <c r="P95" s="8" t="str">
        <f ca="1">IFERROR(__xludf.DUMMYFUNCTION("""COMPUTED_VALUE"""),"Memphis")</f>
        <v>Memphis</v>
      </c>
      <c r="Q95" s="8" t="str">
        <f ca="1">IFERROR(__xludf.DUMMYFUNCTION("""COMPUTED_VALUE"""),"TN")</f>
        <v>TN</v>
      </c>
      <c r="R95" s="8" t="str">
        <f ca="1">IFERROR(__xludf.DUMMYFUNCTION("""COMPUTED_VALUE"""),"High")</f>
        <v>High</v>
      </c>
      <c r="S95" s="8" t="str">
        <f ca="1">IFERROR(__xludf.DUMMYFUNCTION("""COMPUTED_VALUE"""),"Front of School")</f>
        <v>Front of School</v>
      </c>
      <c r="T95" s="8" t="str">
        <f ca="1">IFERROR(__xludf.DUMMYFUNCTION("""COMPUTED_VALUE"""),"Outside on School Property")</f>
        <v>Outside on School Property</v>
      </c>
      <c r="U95" s="8" t="str">
        <f ca="1">IFERROR(__xludf.DUMMYFUNCTION("""COMPUTED_VALUE"""),"Yes")</f>
        <v>Yes</v>
      </c>
      <c r="V95" s="8" t="str">
        <f ca="1">IFERROR(__xludf.DUMMYFUNCTION("""COMPUTED_VALUE"""),"Dismissal")</f>
        <v>Dismissal</v>
      </c>
      <c r="W95" s="11">
        <f ca="1">IFERROR(__xludf.DUMMYFUNCTION("""COMPUTED_VALUE"""),0.625)</f>
        <v>0.625</v>
      </c>
      <c r="X95" s="8">
        <f ca="1">IFERROR(__xludf.DUMMYFUNCTION("""COMPUTED_VALUE"""),1)</f>
        <v>1</v>
      </c>
      <c r="Y95" s="12" t="str">
        <f ca="1">IFERROR(__xludf.DUMMYFUNCTION("""COMPUTED_VALUE"""),"Three men in ski masks opened fire killing two students at dismissal, school placed on lockdown")</f>
        <v>Three men in ski masks opened fire killing two students at dismissal, school placed on lockdown</v>
      </c>
      <c r="Z95" s="12" t="str">
        <f ca="1">IFERROR(__xludf.DUMMYFUNCTION("""COMPUTED_VALUE"""),"Memphis Police responded to a shooting on Mississippi Boulevard near South Lauderdale Street, steps away from Booker T. Washington High School, at 3 p.m. Thursday. According to Deputy Chief Webb Kirkdoffer, two male students were pronounced dead on the sc"&amp;"ene. Memphis Police did not give the ages of the victims. Booker T. Washington High School was placed on lockdown. Kirkdoffer says that police were able to communicate with the school, and the lockdown was later lifted. A witness told WREG he saw three me"&amp;"n in ski masks with automatic rifles chasing someone. Shots were fired, and a crowd scattered. The witness said the suspects shot the individual six to 10 times, then came back and fired more shots.")</f>
        <v>Memphis Police responded to a shooting on Mississippi Boulevard near South Lauderdale Street, steps away from Booker T. Washington High School, at 3 p.m. Thursday. According to Deputy Chief Webb Kirkdoffer, two male students were pronounced dead on the scene. Memphis Police did not give the ages of the victims. Booker T. Washington High School was placed on lockdown. Kirkdoffer says that police were able to communicate with the school, and the lockdown was later lifted. A witness told WREG he saw three men in ski masks with automatic rifles chasing someone. Shots were fired, and a crowd scattered. The witness said the suspects shot the individual six to 10 times, then came back and fired more shots.</v>
      </c>
      <c r="AA95" s="8"/>
      <c r="AB95" s="8" t="str">
        <f ca="1">IFERROR(__xludf.DUMMYFUNCTION("""COMPUTED_VALUE"""),"Targeted")</f>
        <v>Targeted</v>
      </c>
      <c r="AC95" s="8" t="str">
        <f ca="1">IFERROR(__xludf.DUMMYFUNCTION("""COMPUTED_VALUE"""),"Yes")</f>
        <v>Yes</v>
      </c>
      <c r="AD95" s="8" t="str">
        <f ca="1">IFERROR(__xludf.DUMMYFUNCTION("""COMPUTED_VALUE"""),"Victims Targeted")</f>
        <v>Victims Targeted</v>
      </c>
      <c r="AE95" s="8" t="str">
        <f ca="1">IFERROR(__xludf.DUMMYFUNCTION("""COMPUTED_VALUE"""),"Yes")</f>
        <v>Yes</v>
      </c>
      <c r="AF95" s="8" t="str">
        <f ca="1">IFERROR(__xludf.DUMMYFUNCTION("""COMPUTED_VALUE"""),"Three men in masks with rifles")</f>
        <v>Three men in masks with rifles</v>
      </c>
      <c r="AG95" s="8" t="str">
        <f ca="1">IFERROR(__xludf.DUMMYFUNCTION("""COMPUTED_VALUE"""),"No")</f>
        <v>No</v>
      </c>
      <c r="AH95" s="8" t="str">
        <f ca="1">IFERROR(__xludf.DUMMYFUNCTION("""COMPUTED_VALUE"""),"No")</f>
        <v>No</v>
      </c>
      <c r="AI95" s="8" t="str">
        <f ca="1">IFERROR(__xludf.DUMMYFUNCTION("""COMPUTED_VALUE"""),"No")</f>
        <v>No</v>
      </c>
      <c r="AJ95" s="8" t="str">
        <f ca="1">IFERROR(__xludf.DUMMYFUNCTION("""COMPUTED_VALUE"""),"No")</f>
        <v>No</v>
      </c>
      <c r="AK95" s="8" t="str">
        <f ca="1">IFERROR(__xludf.DUMMYFUNCTION("""COMPUTED_VALUE"""),"No")</f>
        <v>No</v>
      </c>
      <c r="AL95" s="8"/>
      <c r="AM95" s="8" t="str">
        <f ca="1">IFERROR(__xludf.DUMMYFUNCTION("""COMPUTED_VALUE"""),"No")</f>
        <v>No</v>
      </c>
      <c r="AN95" s="8" t="str">
        <f ca="1">IFERROR(__xludf.DUMMYFUNCTION("""COMPUTED_VALUE"""),"Outside")</f>
        <v>Outside</v>
      </c>
      <c r="AO95" s="8" t="str">
        <f ca="1">IFERROR(__xludf.DUMMYFUNCTION("""COMPUTED_VALUE"""),"No")</f>
        <v>No</v>
      </c>
      <c r="AP95" s="8"/>
      <c r="AQ95" s="8"/>
      <c r="AR95" s="8" t="str">
        <f ca="1">IFERROR(__xludf.DUMMYFUNCTION("""COMPUTED_VALUE"""),"Outside/Off-Property")</f>
        <v>Outside/Off-Property</v>
      </c>
      <c r="AS95" s="8">
        <f ca="1">IFERROR(__xludf.DUMMYFUNCTION("""COMPUTED_VALUE"""),30)</f>
        <v>30</v>
      </c>
      <c r="AT95" s="8" t="str">
        <f ca="1">IFERROR(__xludf.DUMMYFUNCTION("""COMPUTED_VALUE"""),"Yes")</f>
        <v>Yes</v>
      </c>
      <c r="AU95" s="8">
        <f ca="1">IFERROR(__xludf.DUMMYFUNCTION("""COMPUTED_VALUE"""),35.128022)</f>
        <v>35.128022000000001</v>
      </c>
      <c r="AV95" s="8">
        <f ca="1">IFERROR(__xludf.DUMMYFUNCTION("""COMPUTED_VALUE"""),-90.044479)</f>
        <v>-90.044478999999995</v>
      </c>
      <c r="AW95" s="8" t="str">
        <f ca="1">IFERROR(__xludf.DUMMYFUNCTION("""COMPUTED_VALUE"""),"Multiple detached buildings")</f>
        <v>Multiple detached buildings</v>
      </c>
      <c r="AX95" s="8">
        <f ca="1">IFERROR(__xludf.DUMMYFUNCTION("""COMPUTED_VALUE"""),38126)</f>
        <v>38126</v>
      </c>
    </row>
    <row r="96" spans="1:50" ht="135" x14ac:dyDescent="0.2">
      <c r="A96" s="8" t="str">
        <f ca="1">IFERROR(__xludf.DUMMYFUNCTION("""COMPUTED_VALUE"""),"20250423MSWAG")</f>
        <v>20250423MSWAG</v>
      </c>
      <c r="B96" s="8">
        <f ca="1">IFERROR(__xludf.DUMMYFUNCTION("""COMPUTED_VALUE"""),4)</f>
        <v>4</v>
      </c>
      <c r="C96" s="8">
        <f ca="1">IFERROR(__xludf.DUMMYFUNCTION("""COMPUTED_VALUE"""),23)</f>
        <v>23</v>
      </c>
      <c r="D96" s="8">
        <f ca="1">IFERROR(__xludf.DUMMYFUNCTION("""COMPUTED_VALUE"""),2025)</f>
        <v>2025</v>
      </c>
      <c r="E96" s="9">
        <f ca="1">IFERROR(__xludf.DUMMYFUNCTION("""COMPUTED_VALUE"""),45770)</f>
        <v>45770</v>
      </c>
      <c r="F96" s="8" t="str">
        <f ca="1">IFERROR(__xludf.DUMMYFUNCTION("""COMPUTED_VALUE"""),"Washington School")</f>
        <v>Washington School</v>
      </c>
      <c r="G96" s="8">
        <f ca="1">IFERROR(__xludf.DUMMYFUNCTION("""COMPUTED_VALUE"""),0)</f>
        <v>0</v>
      </c>
      <c r="H96" s="8">
        <f ca="1">IFERROR(__xludf.DUMMYFUNCTION("""COMPUTED_VALUE"""),0)</f>
        <v>0</v>
      </c>
      <c r="I96" s="8">
        <f ca="1">IFERROR(__xludf.DUMMYFUNCTION("""COMPUTED_VALUE"""),0)</f>
        <v>0</v>
      </c>
      <c r="J96" s="8">
        <f ca="1">IFERROR(__xludf.DUMMYFUNCTION("""COMPUTED_VALUE"""),0)</f>
        <v>0</v>
      </c>
      <c r="K96" s="8" t="str">
        <f ca="1">IFERROR(__xludf.DUMMYFUNCTION("""COMPUTED_VALUE"""),"https://www.wapt.com/article/stray-bullets-hit-windows-of-school-forces-lockdown/64569248
https://www.deltanews.tv/news/shooting-at-an-apartment-complex-forces-nearby-school-on-lockdown/article_3769f92e-dd5f-40f3-bba3-a3c057f0701f.html
https://www.wtva.co"&amp;"m/news/regional-championship-track-meet-postponed-due-to-nearby-shooting/article_3c90a644-ab04-4b42-a16c-08c079cd4b37.html")</f>
        <v>https://www.wapt.com/article/stray-bullets-hit-windows-of-school-forces-lockdown/64569248
https://www.deltanews.tv/news/shooting-at-an-apartment-complex-forces-nearby-school-on-lockdown/article_3769f92e-dd5f-40f3-bba3-a3c057f0701f.html
https://www.wtva.com/news/regional-championship-track-meet-postponed-due-to-nearby-shooting/article_3c90a644-ab04-4b42-a16c-08c079cd4b37.html</v>
      </c>
      <c r="L96" s="8">
        <f ca="1">IFERROR(__xludf.DUMMYFUNCTION("""COMPUTED_VALUE"""),4)</f>
        <v>4</v>
      </c>
      <c r="M96" s="8" t="str">
        <f ca="1">IFERROR(__xludf.DUMMYFUNCTION("""COMPUTED_VALUE"""),"Regional")</f>
        <v>Regional</v>
      </c>
      <c r="N96" s="8">
        <f ca="1">IFERROR(__xludf.DUMMYFUNCTION("""COMPUTED_VALUE"""),4)</f>
        <v>4</v>
      </c>
      <c r="O96" s="8" t="str">
        <f ca="1">IFERROR(__xludf.DUMMYFUNCTION("""COMPUTED_VALUE"""),"Spring")</f>
        <v>Spring</v>
      </c>
      <c r="P96" s="8" t="str">
        <f ca="1">IFERROR(__xludf.DUMMYFUNCTION("""COMPUTED_VALUE"""),"Greenville")</f>
        <v>Greenville</v>
      </c>
      <c r="Q96" s="8" t="str">
        <f ca="1">IFERROR(__xludf.DUMMYFUNCTION("""COMPUTED_VALUE"""),"MS")</f>
        <v>MS</v>
      </c>
      <c r="R96" s="8" t="str">
        <f ca="1">IFERROR(__xludf.DUMMYFUNCTION("""COMPUTED_VALUE"""),"K-8")</f>
        <v>K-8</v>
      </c>
      <c r="S96" s="8" t="str">
        <f ca="1">IFERROR(__xludf.DUMMYFUNCTION("""COMPUTED_VALUE"""),"Beside Building")</f>
        <v>Beside Building</v>
      </c>
      <c r="T96" s="8" t="str">
        <f ca="1">IFERROR(__xludf.DUMMYFUNCTION("""COMPUTED_VALUE"""),"Outside on School Property")</f>
        <v>Outside on School Property</v>
      </c>
      <c r="U96" s="8" t="str">
        <f ca="1">IFERROR(__xludf.DUMMYFUNCTION("""COMPUTED_VALUE"""),"Yes")</f>
        <v>Yes</v>
      </c>
      <c r="V96" s="8" t="str">
        <f ca="1">IFERROR(__xludf.DUMMYFUNCTION("""COMPUTED_VALUE"""),"Sport Event")</f>
        <v>Sport Event</v>
      </c>
      <c r="W96" s="11">
        <f ca="1">IFERROR(__xludf.DUMMYFUNCTION("""COMPUTED_VALUE"""),0.625)</f>
        <v>0.625</v>
      </c>
      <c r="X96" s="8">
        <f ca="1">IFERROR(__xludf.DUMMYFUNCTION("""COMPUTED_VALUE"""),1)</f>
        <v>1</v>
      </c>
      <c r="Y96" s="12" t="str">
        <f ca="1">IFERROR(__xludf.DUMMYFUNCTION("""COMPUTED_VALUE"""),"Shots fired during drive-by shooting broke school window, lockdown, after school events cancelled")</f>
        <v>Shots fired during drive-by shooting broke school window, lockdown, after school events cancelled</v>
      </c>
      <c r="Z96" s="12" t="str">
        <f ca="1">IFERROR(__xludf.DUMMYFUNCTION("""COMPUTED_VALUE"""),"Washington School, a private school offering pre-school, elementary, middle and college preparatory, said there was a shooting at an apartment complex near the campus on E Reed Road Wednesday. Officials said a few stray bullets hit windows in a building i"&amp;"n an area where there were no students. The campus was placed on lockdown for approximately 30 minutes. Out of an abundance of caution, all after-school practices were cancelled, and a track meet has been re-scheduled for Saturday.")</f>
        <v>Washington School, a private school offering pre-school, elementary, middle and college preparatory, said there was a shooting at an apartment complex near the campus on E Reed Road Wednesday. Officials said a few stray bullets hit windows in a building in an area where there were no students. The campus was placed on lockdown for approximately 30 minutes. Out of an abundance of caution, all after-school practices were cancelled, and a track meet has been re-scheduled for Saturday.</v>
      </c>
      <c r="AA96" s="8" t="str">
        <f ca="1">IFERROR(__xludf.DUMMYFUNCTION("""COMPUTED_VALUE"""),"Drive-by Shooting")</f>
        <v>Drive-by Shooting</v>
      </c>
      <c r="AB96" s="8" t="str">
        <f ca="1">IFERROR(__xludf.DUMMYFUNCTION("""COMPUTED_VALUE"""),"Spontaneous")</f>
        <v>Spontaneous</v>
      </c>
      <c r="AC96" s="8" t="str">
        <f ca="1">IFERROR(__xludf.DUMMYFUNCTION("""COMPUTED_VALUE"""),"Yes")</f>
        <v>Yes</v>
      </c>
      <c r="AD96" s="8" t="str">
        <f ca="1">IFERROR(__xludf.DUMMYFUNCTION("""COMPUTED_VALUE"""),"Both")</f>
        <v>Both</v>
      </c>
      <c r="AE96" s="8"/>
      <c r="AF96" s="8"/>
      <c r="AG96" s="8" t="str">
        <f ca="1">IFERROR(__xludf.DUMMYFUNCTION("""COMPUTED_VALUE"""),"No")</f>
        <v>No</v>
      </c>
      <c r="AH96" s="8" t="str">
        <f ca="1">IFERROR(__xludf.DUMMYFUNCTION("""COMPUTED_VALUE"""),"No")</f>
        <v>No</v>
      </c>
      <c r="AI96" s="8" t="str">
        <f ca="1">IFERROR(__xludf.DUMMYFUNCTION("""COMPUTED_VALUE"""),"No")</f>
        <v>No</v>
      </c>
      <c r="AJ96" s="8" t="str">
        <f ca="1">IFERROR(__xludf.DUMMYFUNCTION("""COMPUTED_VALUE"""),"No")</f>
        <v>No</v>
      </c>
      <c r="AK96" s="8" t="str">
        <f ca="1">IFERROR(__xludf.DUMMYFUNCTION("""COMPUTED_VALUE"""),"No")</f>
        <v>No</v>
      </c>
      <c r="AL96" s="8"/>
      <c r="AM96" s="8" t="str">
        <f ca="1">IFERROR(__xludf.DUMMYFUNCTION("""COMPUTED_VALUE"""),"No")</f>
        <v>No</v>
      </c>
      <c r="AN96" s="8" t="str">
        <f ca="1">IFERROR(__xludf.DUMMYFUNCTION("""COMPUTED_VALUE"""),"Outside")</f>
        <v>Outside</v>
      </c>
      <c r="AO96" s="8" t="str">
        <f ca="1">IFERROR(__xludf.DUMMYFUNCTION("""COMPUTED_VALUE"""),"No")</f>
        <v>No</v>
      </c>
      <c r="AP96" s="8"/>
      <c r="AQ96" s="8"/>
      <c r="AR96" s="8" t="str">
        <f ca="1">IFERROR(__xludf.DUMMYFUNCTION("""COMPUTED_VALUE"""),"Outside/Off-Property")</f>
        <v>Outside/Off-Property</v>
      </c>
      <c r="AS96" s="8">
        <f ca="1">IFERROR(__xludf.DUMMYFUNCTION("""COMPUTED_VALUE"""),99)</f>
        <v>99</v>
      </c>
      <c r="AT96" s="8" t="str">
        <f ca="1">IFERROR(__xludf.DUMMYFUNCTION("""COMPUTED_VALUE"""),"Yes")</f>
        <v>Yes</v>
      </c>
      <c r="AU96" s="8">
        <f ca="1">IFERROR(__xludf.DUMMYFUNCTION("""COMPUTED_VALUE"""),33.384941)</f>
        <v>33.384940999999998</v>
      </c>
      <c r="AV96" s="8">
        <f ca="1">IFERROR(__xludf.DUMMYFUNCTION("""COMPUTED_VALUE"""),-91.025256)</f>
        <v>-91.025255999999999</v>
      </c>
      <c r="AW96" s="8" t="str">
        <f ca="1">IFERROR(__xludf.DUMMYFUNCTION("""COMPUTED_VALUE"""),"Multiple attached buildings")</f>
        <v>Multiple attached buildings</v>
      </c>
      <c r="AX96" s="8">
        <f ca="1">IFERROR(__xludf.DUMMYFUNCTION("""COMPUTED_VALUE"""),38703)</f>
        <v>38703</v>
      </c>
    </row>
    <row r="97" spans="1:50" ht="180" x14ac:dyDescent="0.2">
      <c r="A97" s="8" t="str">
        <f ca="1">IFERROR(__xludf.DUMMYFUNCTION("""COMPUTED_VALUE"""),"20250422NYJOR")</f>
        <v>20250422NYJOR</v>
      </c>
      <c r="B97" s="8">
        <f ca="1">IFERROR(__xludf.DUMMYFUNCTION("""COMPUTED_VALUE"""),4)</f>
        <v>4</v>
      </c>
      <c r="C97" s="8">
        <f ca="1">IFERROR(__xludf.DUMMYFUNCTION("""COMPUTED_VALUE"""),22)</f>
        <v>22</v>
      </c>
      <c r="D97" s="8">
        <f ca="1">IFERROR(__xludf.DUMMYFUNCTION("""COMPUTED_VALUE"""),2025)</f>
        <v>2025</v>
      </c>
      <c r="E97" s="9">
        <f ca="1">IFERROR(__xludf.DUMMYFUNCTION("""COMPUTED_VALUE"""),45769)</f>
        <v>45769</v>
      </c>
      <c r="F97" s="8" t="str">
        <f ca="1">IFERROR(__xludf.DUMMYFUNCTION("""COMPUTED_VALUE"""),"Joseph F. Quinn Intermediate School 77")</f>
        <v>Joseph F. Quinn Intermediate School 77</v>
      </c>
      <c r="G97" s="8">
        <f ca="1">IFERROR(__xludf.DUMMYFUNCTION("""COMPUTED_VALUE"""),1)</f>
        <v>1</v>
      </c>
      <c r="H97" s="8">
        <f ca="1">IFERROR(__xludf.DUMMYFUNCTION("""COMPUTED_VALUE"""),0)</f>
        <v>0</v>
      </c>
      <c r="I97" s="8">
        <f ca="1">IFERROR(__xludf.DUMMYFUNCTION("""COMPUTED_VALUE"""),1)</f>
        <v>1</v>
      </c>
      <c r="J97" s="8">
        <f ca="1">IFERROR(__xludf.DUMMYFUNCTION("""COMPUTED_VALUE"""),0)</f>
        <v>0</v>
      </c>
      <c r="K97" s="10" t="str">
        <f ca="1">IFERROR(__xludf.DUMMYFUNCTION("""COMPUTED_VALUE"""),"https://abc7ny.com/post/queens-deadly-shooting-man-shot-killed-school-ridgewood-police-searching-group-suspects/16225757/
https://qns.com/2025/04/teen-shot-outside-ridgewood-school-tuesday/")</f>
        <v>https://abc7ny.com/post/queens-deadly-shooting-man-shot-killed-school-ridgewood-police-searching-group-suspects/16225757/
https://qns.com/2025/04/teen-shot-outside-ridgewood-school-tuesday/</v>
      </c>
      <c r="L97" s="8">
        <f ca="1">IFERROR(__xludf.DUMMYFUNCTION("""COMPUTED_VALUE"""),5)</f>
        <v>5</v>
      </c>
      <c r="M97" s="8" t="str">
        <f ca="1">IFERROR(__xludf.DUMMYFUNCTION("""COMPUTED_VALUE"""),"Regional")</f>
        <v>Regional</v>
      </c>
      <c r="N97" s="8">
        <f ca="1">IFERROR(__xludf.DUMMYFUNCTION("""COMPUTED_VALUE"""),4)</f>
        <v>4</v>
      </c>
      <c r="O97" s="8" t="str">
        <f ca="1">IFERROR(__xludf.DUMMYFUNCTION("""COMPUTED_VALUE"""),"Spring")</f>
        <v>Spring</v>
      </c>
      <c r="P97" s="8" t="str">
        <f ca="1">IFERROR(__xludf.DUMMYFUNCTION("""COMPUTED_VALUE"""),"Ridgewood")</f>
        <v>Ridgewood</v>
      </c>
      <c r="Q97" s="8" t="str">
        <f ca="1">IFERROR(__xludf.DUMMYFUNCTION("""COMPUTED_VALUE"""),"NY")</f>
        <v>NY</v>
      </c>
      <c r="R97" s="8" t="str">
        <f ca="1">IFERROR(__xludf.DUMMYFUNCTION("""COMPUTED_VALUE"""),"High")</f>
        <v>High</v>
      </c>
      <c r="S97" s="8" t="str">
        <f ca="1">IFERROR(__xludf.DUMMYFUNCTION("""COMPUTED_VALUE"""),"Front of School")</f>
        <v>Front of School</v>
      </c>
      <c r="T97" s="8" t="str">
        <f ca="1">IFERROR(__xludf.DUMMYFUNCTION("""COMPUTED_VALUE"""),"Outside on School Property")</f>
        <v>Outside on School Property</v>
      </c>
      <c r="U97" s="8" t="str">
        <f ca="1">IFERROR(__xludf.DUMMYFUNCTION("""COMPUTED_VALUE"""),"No")</f>
        <v>No</v>
      </c>
      <c r="V97" s="8" t="str">
        <f ca="1">IFERROR(__xludf.DUMMYFUNCTION("""COMPUTED_VALUE"""),"Evening")</f>
        <v>Evening</v>
      </c>
      <c r="W97" s="11">
        <f ca="1">IFERROR(__xludf.DUMMYFUNCTION("""COMPUTED_VALUE"""),0.732638888888888)</f>
        <v>0.73263888888888795</v>
      </c>
      <c r="X97" s="8">
        <f ca="1">IFERROR(__xludf.DUMMYFUNCTION("""COMPUTED_VALUE"""),1)</f>
        <v>1</v>
      </c>
      <c r="Y97" s="12" t="str">
        <f ca="1">IFERROR(__xludf.DUMMYFUNCTION("""COMPUTED_VALUE"""),"Teen fatally shot in front of the school")</f>
        <v>Teen fatally shot in front of the school</v>
      </c>
      <c r="Z97" s="12" t="str">
        <f ca="1">IFERROR(__xludf.DUMMYFUNCTION("""COMPUTED_VALUE"""),"Detectives from the NYPD’s 104th Precinct are searching for a group of suspects who allegedly shot and killed a teenager in front of a school in Ridgewood on Tuesday evening. The incident occurred just before 5:45 p.m. on April 22 in front of 17-26 George"&amp;" St., outside Joseph F. Quinn Intermediate School 77. Paramedics rushed Hernandez to Brookdale Hospital, where he was initially listed in critical condition. He later succumbed to his injuries. A law enforcement source familiar with the investigation said"&amp;" the suspects were a group of males who fled the scene on foot in an unknown direction. No arrests have been made and the investigation remains ongoing.")</f>
        <v>Detectives from the NYPD’s 104th Precinct are searching for a group of suspects who allegedly shot and killed a teenager in front of a school in Ridgewood on Tuesday evening. The incident occurred just before 5:45 p.m. on April 22 in front of 17-26 George St., outside Joseph F. Quinn Intermediate School 77. Paramedics rushed Hernandez to Brookdale Hospital, where he was initially listed in critical condition. He later succumbed to his injuries. A law enforcement source familiar with the investigation said the suspects were a group of males who fled the scene on foot in an unknown direction. No arrests have been made and the investigation remains ongoing.</v>
      </c>
      <c r="AA97" s="8"/>
      <c r="AB97" s="8"/>
      <c r="AC97" s="8"/>
      <c r="AD97" s="8" t="str">
        <f ca="1">IFERROR(__xludf.DUMMYFUNCTION("""COMPUTED_VALUE"""),"Victims Targeted")</f>
        <v>Victims Targeted</v>
      </c>
      <c r="AE97" s="8" t="str">
        <f ca="1">IFERROR(__xludf.DUMMYFUNCTION("""COMPUTED_VALUE"""),"Yes")</f>
        <v>Yes</v>
      </c>
      <c r="AF97" s="8" t="str">
        <f ca="1">IFERROR(__xludf.DUMMYFUNCTION("""COMPUTED_VALUE"""),"Group fled")</f>
        <v>Group fled</v>
      </c>
      <c r="AG97" s="8" t="str">
        <f ca="1">IFERROR(__xludf.DUMMYFUNCTION("""COMPUTED_VALUE"""),"No")</f>
        <v>No</v>
      </c>
      <c r="AH97" s="8" t="str">
        <f ca="1">IFERROR(__xludf.DUMMYFUNCTION("""COMPUTED_VALUE"""),"No")</f>
        <v>No</v>
      </c>
      <c r="AI97" s="8" t="str">
        <f ca="1">IFERROR(__xludf.DUMMYFUNCTION("""COMPUTED_VALUE"""),"No")</f>
        <v>No</v>
      </c>
      <c r="AJ97" s="8" t="str">
        <f ca="1">IFERROR(__xludf.DUMMYFUNCTION("""COMPUTED_VALUE"""),"No")</f>
        <v>No</v>
      </c>
      <c r="AK97" s="8" t="str">
        <f ca="1">IFERROR(__xludf.DUMMYFUNCTION("""COMPUTED_VALUE"""),"No")</f>
        <v>No</v>
      </c>
      <c r="AL97" s="8"/>
      <c r="AM97" s="8" t="str">
        <f ca="1">IFERROR(__xludf.DUMMYFUNCTION("""COMPUTED_VALUE"""),"No")</f>
        <v>No</v>
      </c>
      <c r="AN97" s="8" t="str">
        <f ca="1">IFERROR(__xludf.DUMMYFUNCTION("""COMPUTED_VALUE"""),"Outside")</f>
        <v>Outside</v>
      </c>
      <c r="AO97" s="8" t="str">
        <f ca="1">IFERROR(__xludf.DUMMYFUNCTION("""COMPUTED_VALUE"""),"No")</f>
        <v>No</v>
      </c>
      <c r="AP97" s="8"/>
      <c r="AQ97" s="8"/>
      <c r="AR97" s="8" t="str">
        <f ca="1">IFERROR(__xludf.DUMMYFUNCTION("""COMPUTED_VALUE"""),"Outside/Off-Property")</f>
        <v>Outside/Off-Property</v>
      </c>
      <c r="AS97" s="8"/>
      <c r="AT97" s="8" t="str">
        <f ca="1">IFERROR(__xludf.DUMMYFUNCTION("""COMPUTED_VALUE"""),"No")</f>
        <v>No</v>
      </c>
      <c r="AU97" s="8">
        <f ca="1">IFERROR(__xludf.DUMMYFUNCTION("""COMPUTED_VALUE"""),40.699156)</f>
        <v>40.699156000000002</v>
      </c>
      <c r="AV97" s="8">
        <f ca="1">IFERROR(__xludf.DUMMYFUNCTION("""COMPUTED_VALUE"""),-73.901611)</f>
        <v>-73.901611000000003</v>
      </c>
      <c r="AW97" s="8" t="str">
        <f ca="1">IFERROR(__xludf.DUMMYFUNCTION("""COMPUTED_VALUE"""),"Urban Street Standalone")</f>
        <v>Urban Street Standalone</v>
      </c>
      <c r="AX97" s="8">
        <f ca="1">IFERROR(__xludf.DUMMYFUNCTION("""COMPUTED_VALUE"""),11385)</f>
        <v>11385</v>
      </c>
    </row>
    <row r="98" spans="1:50" ht="210" x14ac:dyDescent="0.2">
      <c r="A98" s="8" t="str">
        <f ca="1">IFERROR(__xludf.DUMMYFUNCTION("""COMPUTED_VALUE"""),"20250422CACRS")</f>
        <v>20250422CACRS</v>
      </c>
      <c r="B98" s="8">
        <f ca="1">IFERROR(__xludf.DUMMYFUNCTION("""COMPUTED_VALUE"""),4)</f>
        <v>4</v>
      </c>
      <c r="C98" s="8">
        <f ca="1">IFERROR(__xludf.DUMMYFUNCTION("""COMPUTED_VALUE"""),22)</f>
        <v>22</v>
      </c>
      <c r="D98" s="8">
        <f ca="1">IFERROR(__xludf.DUMMYFUNCTION("""COMPUTED_VALUE"""),2025)</f>
        <v>2025</v>
      </c>
      <c r="E98" s="9">
        <f ca="1">IFERROR(__xludf.DUMMYFUNCTION("""COMPUTED_VALUE"""),45769)</f>
        <v>45769</v>
      </c>
      <c r="F98" s="8" t="str">
        <f ca="1">IFERROR(__xludf.DUMMYFUNCTION("""COMPUTED_VALUE"""),"Crystal Middle School")</f>
        <v>Crystal Middle School</v>
      </c>
      <c r="G98" s="8">
        <f ca="1">IFERROR(__xludf.DUMMYFUNCTION("""COMPUTED_VALUE"""),0)</f>
        <v>0</v>
      </c>
      <c r="H98" s="8">
        <f ca="1">IFERROR(__xludf.DUMMYFUNCTION("""COMPUTED_VALUE"""),1)</f>
        <v>1</v>
      </c>
      <c r="I98" s="8">
        <f ca="1">IFERROR(__xludf.DUMMYFUNCTION("""COMPUTED_VALUE"""),1)</f>
        <v>1</v>
      </c>
      <c r="J98" s="8">
        <f ca="1">IFERROR(__xludf.DUMMYFUNCTION("""COMPUTED_VALUE"""),0)</f>
        <v>0</v>
      </c>
      <c r="K98" s="8" t="str">
        <f ca="1">IFERROR(__xludf.DUMMYFUNCTION("""COMPUTED_VALUE"""),"https://www.ktvu.com/news/11-year-old-injured-shooting-suisun-police-say
https://www.abc10.com/article/news/crime/11-year-old-shot-hospitalized-suisun-city/103-69bd49ba-fc42-4c7d-aeb2-0a512eb805fc
https://www.abc10.com/article/news/crime/suisun-city-shoot"&amp;"ing-leaves-11-year-old-hurt/103-85cbd9f1-4beb-477c-b8b2-8971b665293b")</f>
        <v>https://www.ktvu.com/news/11-year-old-injured-shooting-suisun-police-say
https://www.abc10.com/article/news/crime/11-year-old-shot-hospitalized-suisun-city/103-69bd49ba-fc42-4c7d-aeb2-0a512eb805fc
https://www.abc10.com/article/news/crime/suisun-city-shooting-leaves-11-year-old-hurt/103-85cbd9f1-4beb-477c-b8b2-8971b665293b</v>
      </c>
      <c r="L98" s="8">
        <f ca="1">IFERROR(__xludf.DUMMYFUNCTION("""COMPUTED_VALUE"""),6)</f>
        <v>6</v>
      </c>
      <c r="M98" s="8" t="str">
        <f ca="1">IFERROR(__xludf.DUMMYFUNCTION("""COMPUTED_VALUE"""),"Regional")</f>
        <v>Regional</v>
      </c>
      <c r="N98" s="8">
        <f ca="1">IFERROR(__xludf.DUMMYFUNCTION("""COMPUTED_VALUE"""),3)</f>
        <v>3</v>
      </c>
      <c r="O98" s="8" t="str">
        <f ca="1">IFERROR(__xludf.DUMMYFUNCTION("""COMPUTED_VALUE"""),"Spring")</f>
        <v>Spring</v>
      </c>
      <c r="P98" s="8" t="str">
        <f ca="1">IFERROR(__xludf.DUMMYFUNCTION("""COMPUTED_VALUE"""),"Suisun City")</f>
        <v>Suisun City</v>
      </c>
      <c r="Q98" s="8" t="str">
        <f ca="1">IFERROR(__xludf.DUMMYFUNCTION("""COMPUTED_VALUE"""),"CA")</f>
        <v>CA</v>
      </c>
      <c r="R98" s="8" t="str">
        <f ca="1">IFERROR(__xludf.DUMMYFUNCTION("""COMPUTED_VALUE"""),"Middle")</f>
        <v>Middle</v>
      </c>
      <c r="S98" s="8" t="str">
        <f ca="1">IFERROR(__xludf.DUMMYFUNCTION("""COMPUTED_VALUE"""),"Front of School")</f>
        <v>Front of School</v>
      </c>
      <c r="T98" s="8" t="str">
        <f ca="1">IFERROR(__xludf.DUMMYFUNCTION("""COMPUTED_VALUE"""),"Outside on School Property")</f>
        <v>Outside on School Property</v>
      </c>
      <c r="U98" s="8" t="str">
        <f ca="1">IFERROR(__xludf.DUMMYFUNCTION("""COMPUTED_VALUE"""),"No")</f>
        <v>No</v>
      </c>
      <c r="V98" s="8" t="str">
        <f ca="1">IFERROR(__xludf.DUMMYFUNCTION("""COMPUTED_VALUE"""),"Evening")</f>
        <v>Evening</v>
      </c>
      <c r="W98" s="11">
        <f ca="1">IFERROR(__xludf.DUMMYFUNCTION("""COMPUTED_VALUE"""),0.833333333333333)</f>
        <v>0.83333333333333304</v>
      </c>
      <c r="X98" s="8">
        <f ca="1">IFERROR(__xludf.DUMMYFUNCTION("""COMPUTED_VALUE"""),1)</f>
        <v>1</v>
      </c>
      <c r="Y98" s="12" t="str">
        <f ca="1">IFERROR(__xludf.DUMMYFUNCTION("""COMPUTED_VALUE"""),"11-year-old shot in front of the school")</f>
        <v>11-year-old shot in front of the school</v>
      </c>
      <c r="Z98" s="12" t="str">
        <f ca="1">IFERROR(__xludf.DUMMYFUNCTION("""COMPUTED_VALUE"""),"An 11-year-old is in the hospital after a shooting in Suisun City Tuesday evening. It's not clear what led up to the shooting, however police said the 11-year-old child was being treated at a hospital. The Fairfield-Suisun Unified School District provided"&amp;" the following statement to ABC10. ""We are aware of reports of a shooting that occurred near Crystal Middle School this evening, after school hours. At this time, we have no information confirming whether the individual involved is a student from Fairfie"&amp;"ld-Suisun Unified. We are in communication with local law enforcement as they investigate the situation. The safety and well-being of our students and staff is our top priority, and we will provide updates if more information becomes available.""")</f>
        <v>An 11-year-old is in the hospital after a shooting in Suisun City Tuesday evening. It's not clear what led up to the shooting, however police said the 11-year-old child was being treated at a hospital. The Fairfield-Suisun Unified School District provided the following statement to ABC10. "We are aware of reports of a shooting that occurred near Crystal Middle School this evening, after school hours. At this time, we have no information confirming whether the individual involved is a student from Fairfield-Suisun Unified. We are in communication with local law enforcement as they investigate the situation. The safety and well-being of our students and staff is our top priority, and we will provide updates if more information becomes available."</v>
      </c>
      <c r="AA98" s="8"/>
      <c r="AB98" s="8"/>
      <c r="AC98" s="8"/>
      <c r="AD98" s="8"/>
      <c r="AE98" s="8"/>
      <c r="AF98" s="8"/>
      <c r="AG98" s="8" t="str">
        <f ca="1">IFERROR(__xludf.DUMMYFUNCTION("""COMPUTED_VALUE"""),"No")</f>
        <v>No</v>
      </c>
      <c r="AH98" s="8" t="str">
        <f ca="1">IFERROR(__xludf.DUMMYFUNCTION("""COMPUTED_VALUE"""),"No")</f>
        <v>No</v>
      </c>
      <c r="AI98" s="8" t="str">
        <f ca="1">IFERROR(__xludf.DUMMYFUNCTION("""COMPUTED_VALUE"""),"No")</f>
        <v>No</v>
      </c>
      <c r="AJ98" s="8"/>
      <c r="AK98" s="8"/>
      <c r="AL98" s="8" t="str">
        <f ca="1">IFERROR(__xludf.DUMMYFUNCTION("""COMPUTED_VALUE"""),"No")</f>
        <v>No</v>
      </c>
      <c r="AM98" s="8" t="str">
        <f ca="1">IFERROR(__xludf.DUMMYFUNCTION("""COMPUTED_VALUE"""),"No")</f>
        <v>No</v>
      </c>
      <c r="AN98" s="8" t="str">
        <f ca="1">IFERROR(__xludf.DUMMYFUNCTION("""COMPUTED_VALUE"""),"Outside")</f>
        <v>Outside</v>
      </c>
      <c r="AO98" s="8" t="str">
        <f ca="1">IFERROR(__xludf.DUMMYFUNCTION("""COMPUTED_VALUE"""),"No")</f>
        <v>No</v>
      </c>
      <c r="AP98" s="8"/>
      <c r="AQ98" s="8"/>
      <c r="AR98" s="8" t="str">
        <f ca="1">IFERROR(__xludf.DUMMYFUNCTION("""COMPUTED_VALUE"""),"Outside/Off-Property")</f>
        <v>Outside/Off-Property</v>
      </c>
      <c r="AS98" s="8"/>
      <c r="AT98" s="8" t="str">
        <f ca="1">IFERROR(__xludf.DUMMYFUNCTION("""COMPUTED_VALUE"""),"No")</f>
        <v>No</v>
      </c>
      <c r="AU98" s="8">
        <f ca="1">IFERROR(__xludf.DUMMYFUNCTION("""COMPUTED_VALUE"""),38.240321)</f>
        <v>38.240321000000002</v>
      </c>
      <c r="AV98" s="8">
        <f ca="1">IFERROR(__xludf.DUMMYFUNCTION("""COMPUTED_VALUE"""),-122.033917)</f>
        <v>-122.033917</v>
      </c>
      <c r="AW98" s="8" t="str">
        <f ca="1">IFERROR(__xludf.DUMMYFUNCTION("""COMPUTED_VALUE"""),"Multiple attached buildings")</f>
        <v>Multiple attached buildings</v>
      </c>
      <c r="AX98" s="8">
        <f ca="1">IFERROR(__xludf.DUMMYFUNCTION("""COMPUTED_VALUE"""),94585)</f>
        <v>94585</v>
      </c>
    </row>
    <row r="99" spans="1:50" ht="120" x14ac:dyDescent="0.2">
      <c r="A99" s="8" t="str">
        <f ca="1">IFERROR(__xludf.DUMMYFUNCTION("""COMPUTED_VALUE"""),"20250418GAPEF")</f>
        <v>20250418GAPEF</v>
      </c>
      <c r="B99" s="8">
        <f ca="1">IFERROR(__xludf.DUMMYFUNCTION("""COMPUTED_VALUE"""),4)</f>
        <v>4</v>
      </c>
      <c r="C99" s="8">
        <f ca="1">IFERROR(__xludf.DUMMYFUNCTION("""COMPUTED_VALUE"""),18)</f>
        <v>18</v>
      </c>
      <c r="D99" s="8">
        <f ca="1">IFERROR(__xludf.DUMMYFUNCTION("""COMPUTED_VALUE"""),2025)</f>
        <v>2025</v>
      </c>
      <c r="E99" s="9">
        <f ca="1">IFERROR(__xludf.DUMMYFUNCTION("""COMPUTED_VALUE"""),45765)</f>
        <v>45765</v>
      </c>
      <c r="F99" s="8" t="str">
        <f ca="1">IFERROR(__xludf.DUMMYFUNCTION("""COMPUTED_VALUE"""),"Peach County High School")</f>
        <v>Peach County High School</v>
      </c>
      <c r="G99" s="8">
        <f ca="1">IFERROR(__xludf.DUMMYFUNCTION("""COMPUTED_VALUE"""),0)</f>
        <v>0</v>
      </c>
      <c r="H99" s="8">
        <f ca="1">IFERROR(__xludf.DUMMYFUNCTION("""COMPUTED_VALUE"""),0)</f>
        <v>0</v>
      </c>
      <c r="I99" s="8">
        <f ca="1">IFERROR(__xludf.DUMMYFUNCTION("""COMPUTED_VALUE"""),0)</f>
        <v>0</v>
      </c>
      <c r="J99" s="8">
        <f ca="1">IFERROR(__xludf.DUMMYFUNCTION("""COMPUTED_VALUE"""),0)</f>
        <v>0</v>
      </c>
      <c r="K99" s="8" t="str">
        <f ca="1">IFERROR(__xludf.DUMMYFUNCTION("""COMPUTED_VALUE"""),"https://www.41nbc.com/peach-county-school-accidental-firearm-discharge/
https://www.13wmaz.com/article/news/education/student-resource-officer-accidentally-fires-gun-peach-county-high-school-no-injuries/93-86f60b9f-04da-416b-b775-14af2a8eaf1f
https://www."&amp;"macon.com/news/local/crime/article309550670.html")</f>
        <v>https://www.41nbc.com/peach-county-school-accidental-firearm-discharge/
https://www.13wmaz.com/article/news/education/student-resource-officer-accidentally-fires-gun-peach-county-high-school-no-injuries/93-86f60b9f-04da-416b-b775-14af2a8eaf1f
https://www.macon.com/news/local/crime/article309550670.html</v>
      </c>
      <c r="L99" s="8">
        <f ca="1">IFERROR(__xludf.DUMMYFUNCTION("""COMPUTED_VALUE"""),4)</f>
        <v>4</v>
      </c>
      <c r="M99" s="8" t="str">
        <f ca="1">IFERROR(__xludf.DUMMYFUNCTION("""COMPUTED_VALUE"""),"Local")</f>
        <v>Local</v>
      </c>
      <c r="N99" s="8">
        <f ca="1">IFERROR(__xludf.DUMMYFUNCTION("""COMPUTED_VALUE"""),4)</f>
        <v>4</v>
      </c>
      <c r="O99" s="8" t="str">
        <f ca="1">IFERROR(__xludf.DUMMYFUNCTION("""COMPUTED_VALUE"""),"Spring")</f>
        <v>Spring</v>
      </c>
      <c r="P99" s="8" t="str">
        <f ca="1">IFERROR(__xludf.DUMMYFUNCTION("""COMPUTED_VALUE"""),"Fort Valley")</f>
        <v>Fort Valley</v>
      </c>
      <c r="Q99" s="8" t="str">
        <f ca="1">IFERROR(__xludf.DUMMYFUNCTION("""COMPUTED_VALUE"""),"GA")</f>
        <v>GA</v>
      </c>
      <c r="R99" s="8" t="str">
        <f ca="1">IFERROR(__xludf.DUMMYFUNCTION("""COMPUTED_VALUE"""),"High")</f>
        <v>High</v>
      </c>
      <c r="S99" s="8" t="str">
        <f ca="1">IFERROR(__xludf.DUMMYFUNCTION("""COMPUTED_VALUE"""),"Office")</f>
        <v>Office</v>
      </c>
      <c r="T99" s="8" t="str">
        <f ca="1">IFERROR(__xludf.DUMMYFUNCTION("""COMPUTED_VALUE"""),"Inside School Building")</f>
        <v>Inside School Building</v>
      </c>
      <c r="U99" s="8" t="str">
        <f ca="1">IFERROR(__xludf.DUMMYFUNCTION("""COMPUTED_VALUE"""),"Yes")</f>
        <v>Yes</v>
      </c>
      <c r="V99" s="8" t="str">
        <f ca="1">IFERROR(__xludf.DUMMYFUNCTION("""COMPUTED_VALUE"""),"Morning Classes")</f>
        <v>Morning Classes</v>
      </c>
      <c r="W99" s="8"/>
      <c r="X99" s="8">
        <f ca="1">IFERROR(__xludf.DUMMYFUNCTION("""COMPUTED_VALUE"""),1)</f>
        <v>1</v>
      </c>
      <c r="Y99" s="12" t="str">
        <f ca="1">IFERROR(__xludf.DUMMYFUNCTION("""COMPUTED_VALUE"""),"SRO accidentally fired gun inside the school, no students injured")</f>
        <v>SRO accidentally fired gun inside the school, no students injured</v>
      </c>
      <c r="Z99" s="12" t="str">
        <f ca="1">IFERROR(__xludf.DUMMYFUNCTION("""COMPUTED_VALUE"""),"A student resource officer at Peach County High School accidentally fired his gun while preparing for duty Friday morning, according to the Peach County Sheriff's Office and the Peach County Board of Education. It happened at the high school this morning "&amp;"in an area ""restricted from students,"" according to an announcement shared with parents. The district says no one was hurt and there was no disruption to school activity.")</f>
        <v>A student resource officer at Peach County High School accidentally fired his gun while preparing for duty Friday morning, according to the Peach County Sheriff's Office and the Peach County Board of Education. It happened at the high school this morning in an area "restricted from students," according to an announcement shared with parents. The district says no one was hurt and there was no disruption to school activity.</v>
      </c>
      <c r="AA99" s="8" t="str">
        <f ca="1">IFERROR(__xludf.DUMMYFUNCTION("""COMPUTED_VALUE"""),"Accidental")</f>
        <v>Accidental</v>
      </c>
      <c r="AB99" s="8" t="str">
        <f ca="1">IFERROR(__xludf.DUMMYFUNCTION("""COMPUTED_VALUE"""),"Spontaneous")</f>
        <v>Spontaneous</v>
      </c>
      <c r="AC99" s="8" t="str">
        <f ca="1">IFERROR(__xludf.DUMMYFUNCTION("""COMPUTED_VALUE"""),"Yes")</f>
        <v>Yes</v>
      </c>
      <c r="AD99" s="8" t="str">
        <f ca="1">IFERROR(__xludf.DUMMYFUNCTION("""COMPUTED_VALUE"""),"Neither")</f>
        <v>Neither</v>
      </c>
      <c r="AE99" s="8" t="str">
        <f ca="1">IFERROR(__xludf.DUMMYFUNCTION("""COMPUTED_VALUE"""),"No")</f>
        <v>No</v>
      </c>
      <c r="AF99" s="8"/>
      <c r="AG99" s="8" t="str">
        <f ca="1">IFERROR(__xludf.DUMMYFUNCTION("""COMPUTED_VALUE"""),"No")</f>
        <v>No</v>
      </c>
      <c r="AH99" s="8" t="str">
        <f ca="1">IFERROR(__xludf.DUMMYFUNCTION("""COMPUTED_VALUE"""),"No")</f>
        <v>No</v>
      </c>
      <c r="AI99" s="8" t="str">
        <f ca="1">IFERROR(__xludf.DUMMYFUNCTION("""COMPUTED_VALUE"""),"Yes")</f>
        <v>Yes</v>
      </c>
      <c r="AJ99" s="8" t="str">
        <f ca="1">IFERROR(__xludf.DUMMYFUNCTION("""COMPUTED_VALUE"""),"No")</f>
        <v>No</v>
      </c>
      <c r="AK99" s="8" t="str">
        <f ca="1">IFERROR(__xludf.DUMMYFUNCTION("""COMPUTED_VALUE"""),"No")</f>
        <v>No</v>
      </c>
      <c r="AL99" s="8" t="str">
        <f ca="1">IFERROR(__xludf.DUMMYFUNCTION("""COMPUTED_VALUE"""),"No")</f>
        <v>No</v>
      </c>
      <c r="AM99" s="8" t="str">
        <f ca="1">IFERROR(__xludf.DUMMYFUNCTION("""COMPUTED_VALUE"""),"No")</f>
        <v>No</v>
      </c>
      <c r="AN99" s="8" t="str">
        <f ca="1">IFERROR(__xludf.DUMMYFUNCTION("""COMPUTED_VALUE"""),"Single Room")</f>
        <v>Single Room</v>
      </c>
      <c r="AO99" s="8" t="str">
        <f ca="1">IFERROR(__xludf.DUMMYFUNCTION("""COMPUTED_VALUE"""),"No")</f>
        <v>No</v>
      </c>
      <c r="AP99" s="8" t="str">
        <f ca="1">IFERROR(__xludf.DUMMYFUNCTION("""COMPUTED_VALUE"""),"Yes")</f>
        <v>Yes</v>
      </c>
      <c r="AQ99" s="8" t="str">
        <f ca="1">IFERROR(__xludf.DUMMYFUNCTION("""COMPUTED_VALUE"""),"Armed Guards")</f>
        <v>Armed Guards</v>
      </c>
      <c r="AR99" s="8" t="str">
        <f ca="1">IFERROR(__xludf.DUMMYFUNCTION("""COMPUTED_VALUE"""),"NA")</f>
        <v>NA</v>
      </c>
      <c r="AS99" s="8">
        <f ca="1">IFERROR(__xludf.DUMMYFUNCTION("""COMPUTED_VALUE"""),1)</f>
        <v>1</v>
      </c>
      <c r="AT99" s="8" t="str">
        <f ca="1">IFERROR(__xludf.DUMMYFUNCTION("""COMPUTED_VALUE"""),"No")</f>
        <v>No</v>
      </c>
      <c r="AU99" s="8">
        <f ca="1">IFERROR(__xludf.DUMMYFUNCTION("""COMPUTED_VALUE"""),32.591849)</f>
        <v>32.591849000000003</v>
      </c>
      <c r="AV99" s="8">
        <f ca="1">IFERROR(__xludf.DUMMYFUNCTION("""COMPUTED_VALUE"""),-83.840257)</f>
        <v>-83.840256999999994</v>
      </c>
      <c r="AW99" s="8" t="str">
        <f ca="1">IFERROR(__xludf.DUMMYFUNCTION("""COMPUTED_VALUE"""),"Multiple attached buildings")</f>
        <v>Multiple attached buildings</v>
      </c>
      <c r="AX99" s="8">
        <f ca="1">IFERROR(__xludf.DUMMYFUNCTION("""COMPUTED_VALUE"""),31030)</f>
        <v>31030</v>
      </c>
    </row>
    <row r="100" spans="1:50" ht="180" x14ac:dyDescent="0.2">
      <c r="A100" s="8" t="str">
        <f ca="1">IFERROR(__xludf.DUMMYFUNCTION("""COMPUTED_VALUE"""),"20250417SCREA")</f>
        <v>20250417SCREA</v>
      </c>
      <c r="B100" s="8">
        <f ca="1">IFERROR(__xludf.DUMMYFUNCTION("""COMPUTED_VALUE"""),4)</f>
        <v>4</v>
      </c>
      <c r="C100" s="8">
        <f ca="1">IFERROR(__xludf.DUMMYFUNCTION("""COMPUTED_VALUE"""),17)</f>
        <v>17</v>
      </c>
      <c r="D100" s="8">
        <f ca="1">IFERROR(__xludf.DUMMYFUNCTION("""COMPUTED_VALUE"""),2025)</f>
        <v>2025</v>
      </c>
      <c r="E100" s="9">
        <f ca="1">IFERROR(__xludf.DUMMYFUNCTION("""COMPUTED_VALUE"""),45764)</f>
        <v>45764</v>
      </c>
      <c r="F100" s="8" t="str">
        <f ca="1">IFERROR(__xludf.DUMMYFUNCTION("""COMPUTED_VALUE"""),"Renaissance Academy")</f>
        <v>Renaissance Academy</v>
      </c>
      <c r="G100" s="8">
        <f ca="1">IFERROR(__xludf.DUMMYFUNCTION("""COMPUTED_VALUE"""),0)</f>
        <v>0</v>
      </c>
      <c r="H100" s="8">
        <f ca="1">IFERROR(__xludf.DUMMYFUNCTION("""COMPUTED_VALUE"""),1)</f>
        <v>1</v>
      </c>
      <c r="I100" s="8">
        <f ca="1">IFERROR(__xludf.DUMMYFUNCTION("""COMPUTED_VALUE"""),1)</f>
        <v>1</v>
      </c>
      <c r="J100" s="8">
        <f ca="1">IFERROR(__xludf.DUMMYFUNCTION("""COMPUTED_VALUE"""),0)</f>
        <v>0</v>
      </c>
      <c r="K100" s="10" t="str">
        <f ca="1">IFERROR(__xludf.DUMMYFUNCTION("""COMPUTED_VALUE"""),"https://www.independentmail.com/story/news/local/2025/04/17/renaissance-academy-in-anderson-on-lockdown-shooting-reported-nearby/83143359007/")</f>
        <v>https://www.independentmail.com/story/news/local/2025/04/17/renaissance-academy-in-anderson-on-lockdown-shooting-reported-nearby/83143359007/</v>
      </c>
      <c r="L100" s="8">
        <f ca="1">IFERROR(__xludf.DUMMYFUNCTION("""COMPUTED_VALUE"""),1)</f>
        <v>1</v>
      </c>
      <c r="M100" s="8" t="str">
        <f ca="1">IFERROR(__xludf.DUMMYFUNCTION("""COMPUTED_VALUE"""),"Local")</f>
        <v>Local</v>
      </c>
      <c r="N100" s="8">
        <f ca="1">IFERROR(__xludf.DUMMYFUNCTION("""COMPUTED_VALUE"""),4)</f>
        <v>4</v>
      </c>
      <c r="O100" s="8" t="str">
        <f ca="1">IFERROR(__xludf.DUMMYFUNCTION("""COMPUTED_VALUE"""),"Spring")</f>
        <v>Spring</v>
      </c>
      <c r="P100" s="8" t="str">
        <f ca="1">IFERROR(__xludf.DUMMYFUNCTION("""COMPUTED_VALUE"""),"Anderson")</f>
        <v>Anderson</v>
      </c>
      <c r="Q100" s="8" t="str">
        <f ca="1">IFERROR(__xludf.DUMMYFUNCTION("""COMPUTED_VALUE"""),"SC")</f>
        <v>SC</v>
      </c>
      <c r="R100" s="8" t="str">
        <f ca="1">IFERROR(__xludf.DUMMYFUNCTION("""COMPUTED_VALUE"""),"High")</f>
        <v>High</v>
      </c>
      <c r="S100" s="8" t="str">
        <f ca="1">IFERROR(__xludf.DUMMYFUNCTION("""COMPUTED_VALUE"""),"Playground")</f>
        <v>Playground</v>
      </c>
      <c r="T100" s="8" t="str">
        <f ca="1">IFERROR(__xludf.DUMMYFUNCTION("""COMPUTED_VALUE"""),"Outside on School Property")</f>
        <v>Outside on School Property</v>
      </c>
      <c r="U100" s="8" t="str">
        <f ca="1">IFERROR(__xludf.DUMMYFUNCTION("""COMPUTED_VALUE"""),"Yes")</f>
        <v>Yes</v>
      </c>
      <c r="V100" s="8" t="str">
        <f ca="1">IFERROR(__xludf.DUMMYFUNCTION("""COMPUTED_VALUE"""),"Afternoon Classes")</f>
        <v>Afternoon Classes</v>
      </c>
      <c r="W100" s="11">
        <f ca="1">IFERROR(__xludf.DUMMYFUNCTION("""COMPUTED_VALUE"""),0.583333333333333)</f>
        <v>0.58333333333333304</v>
      </c>
      <c r="X100" s="8">
        <f ca="1">IFERROR(__xludf.DUMMYFUNCTION("""COMPUTED_VALUE"""),1)</f>
        <v>1</v>
      </c>
      <c r="Y100" s="12" t="str">
        <f ca="1">IFERROR(__xludf.DUMMYFUNCTION("""COMPUTED_VALUE"""),"Man shot in the school owned park, school went on lockdown")</f>
        <v>Man shot in the school owned park, school went on lockdown</v>
      </c>
      <c r="Z100" s="12" t="str">
        <f ca="1">IFERROR(__xludf.DUMMYFUNCTION("""COMPUTED_VALUE"""),"According to a press release, at approximately 2:00 p.m. Senior Officer Ren Johnson and Detective Ross Richey responded to the audible sounds of a shooting near Renaissance Academy. Upon arrival, officers found a male victim with a gunshot wound to the ca"&amp;"lf in the 800 block of East Whitner Street. An Anderson University student said the school was on lockdown for about 15 minutes. At approximately 3:30 p.m., about an hour after the initial report, Anderson University Campus Safety lifted the lockdown afte"&amp;"r receiving confirmation from the Anderson County Sheriff’s Office that any potential threat had subsided.   ")</f>
        <v xml:space="preserve">According to a press release, at approximately 2:00 p.m. Senior Officer Ren Johnson and Detective Ross Richey responded to the audible sounds of a shooting near Renaissance Academy. Upon arrival, officers found a male victim with a gunshot wound to the calf in the 800 block of East Whitner Street. An Anderson University student said the school was on lockdown for about 15 minutes. At approximately 3:30 p.m., about an hour after the initial report, Anderson University Campus Safety lifted the lockdown after receiving confirmation from the Anderson County Sheriff’s Office that any potential threat had subsided.   </v>
      </c>
      <c r="AA100" s="8"/>
      <c r="AB100" s="8"/>
      <c r="AC100" s="8" t="str">
        <f ca="1">IFERROR(__xludf.DUMMYFUNCTION("""COMPUTED_VALUE"""),"Yes")</f>
        <v>Yes</v>
      </c>
      <c r="AD100" s="8" t="str">
        <f ca="1">IFERROR(__xludf.DUMMYFUNCTION("""COMPUTED_VALUE"""),"Victims Targeted")</f>
        <v>Victims Targeted</v>
      </c>
      <c r="AE100" s="8" t="str">
        <f ca="1">IFERROR(__xludf.DUMMYFUNCTION("""COMPUTED_VALUE"""),"No")</f>
        <v>No</v>
      </c>
      <c r="AF100" s="8"/>
      <c r="AG100" s="8" t="str">
        <f ca="1">IFERROR(__xludf.DUMMYFUNCTION("""COMPUTED_VALUE"""),"No")</f>
        <v>No</v>
      </c>
      <c r="AH100" s="8" t="str">
        <f ca="1">IFERROR(__xludf.DUMMYFUNCTION("""COMPUTED_VALUE"""),"No")</f>
        <v>No</v>
      </c>
      <c r="AI100" s="8" t="str">
        <f ca="1">IFERROR(__xludf.DUMMYFUNCTION("""COMPUTED_VALUE"""),"No")</f>
        <v>No</v>
      </c>
      <c r="AJ100" s="8" t="str">
        <f ca="1">IFERROR(__xludf.DUMMYFUNCTION("""COMPUTED_VALUE"""),"No")</f>
        <v>No</v>
      </c>
      <c r="AK100" s="8" t="str">
        <f ca="1">IFERROR(__xludf.DUMMYFUNCTION("""COMPUTED_VALUE"""),"No")</f>
        <v>No</v>
      </c>
      <c r="AL100" s="8"/>
      <c r="AM100" s="8" t="str">
        <f ca="1">IFERROR(__xludf.DUMMYFUNCTION("""COMPUTED_VALUE"""),"No")</f>
        <v>No</v>
      </c>
      <c r="AN100" s="8" t="str">
        <f ca="1">IFERROR(__xludf.DUMMYFUNCTION("""COMPUTED_VALUE"""),"Outside")</f>
        <v>Outside</v>
      </c>
      <c r="AO100" s="8" t="str">
        <f ca="1">IFERROR(__xludf.DUMMYFUNCTION("""COMPUTED_VALUE"""),"No")</f>
        <v>No</v>
      </c>
      <c r="AP100" s="8" t="str">
        <f ca="1">IFERROR(__xludf.DUMMYFUNCTION("""COMPUTED_VALUE"""),"Yes")</f>
        <v>Yes</v>
      </c>
      <c r="AQ100" s="8"/>
      <c r="AR100" s="8" t="str">
        <f ca="1">IFERROR(__xludf.DUMMYFUNCTION("""COMPUTED_VALUE"""),"Outside/Off-Property")</f>
        <v>Outside/Off-Property</v>
      </c>
      <c r="AS100" s="8">
        <f ca="1">IFERROR(__xludf.DUMMYFUNCTION("""COMPUTED_VALUE"""),99)</f>
        <v>99</v>
      </c>
      <c r="AT100" s="8" t="str">
        <f ca="1">IFERROR(__xludf.DUMMYFUNCTION("""COMPUTED_VALUE"""),"Yes")</f>
        <v>Yes</v>
      </c>
      <c r="AU100" s="8">
        <f ca="1">IFERROR(__xludf.DUMMYFUNCTION("""COMPUTED_VALUE"""),34.504658)</f>
        <v>34.504657999999999</v>
      </c>
      <c r="AV100" s="8">
        <f ca="1">IFERROR(__xludf.DUMMYFUNCTION("""COMPUTED_VALUE"""),-82.637266)</f>
        <v>-82.637265999999997</v>
      </c>
      <c r="AW100" s="8" t="str">
        <f ca="1">IFERROR(__xludf.DUMMYFUNCTION("""COMPUTED_VALUE"""),"Single building indoor hallway")</f>
        <v>Single building indoor hallway</v>
      </c>
      <c r="AX100" s="8">
        <f ca="1">IFERROR(__xludf.DUMMYFUNCTION("""COMPUTED_VALUE"""),29624)</f>
        <v>29624</v>
      </c>
    </row>
    <row r="101" spans="1:50" ht="105" x14ac:dyDescent="0.2">
      <c r="A101" s="8" t="str">
        <f ca="1">IFERROR(__xludf.DUMMYFUNCTION("""COMPUTED_VALUE"""),"20250415ILCHC")</f>
        <v>20250415ILCHC</v>
      </c>
      <c r="B101" s="8">
        <f ca="1">IFERROR(__xludf.DUMMYFUNCTION("""COMPUTED_VALUE"""),4)</f>
        <v>4</v>
      </c>
      <c r="C101" s="8">
        <f ca="1">IFERROR(__xludf.DUMMYFUNCTION("""COMPUTED_VALUE"""),15)</f>
        <v>15</v>
      </c>
      <c r="D101" s="8">
        <f ca="1">IFERROR(__xludf.DUMMYFUNCTION("""COMPUTED_VALUE"""),2025)</f>
        <v>2025</v>
      </c>
      <c r="E101" s="9">
        <f ca="1">IFERROR(__xludf.DUMMYFUNCTION("""COMPUTED_VALUE"""),45762)</f>
        <v>45762</v>
      </c>
      <c r="F101" s="8" t="str">
        <f ca="1">IFERROR(__xludf.DUMMYFUNCTION("""COMPUTED_VALUE"""),"Chicago Vocational High School")</f>
        <v>Chicago Vocational High School</v>
      </c>
      <c r="G101" s="8">
        <f ca="1">IFERROR(__xludf.DUMMYFUNCTION("""COMPUTED_VALUE"""),0)</f>
        <v>0</v>
      </c>
      <c r="H101" s="8">
        <f ca="1">IFERROR(__xludf.DUMMYFUNCTION("""COMPUTED_VALUE"""),1)</f>
        <v>1</v>
      </c>
      <c r="I101" s="8">
        <f ca="1">IFERROR(__xludf.DUMMYFUNCTION("""COMPUTED_VALUE"""),1)</f>
        <v>1</v>
      </c>
      <c r="J101" s="8">
        <f ca="1">IFERROR(__xludf.DUMMYFUNCTION("""COMPUTED_VALUE"""),0)</f>
        <v>0</v>
      </c>
      <c r="K101" s="10" t="str">
        <f ca="1">IFERROR(__xludf.DUMMYFUNCTION("""COMPUTED_VALUE"""),"https://abc7chicago.com/post/shooting-injures-teen-boy-east-87th-street-chicago-vocational-high-school-se-side-cpd/16180846/")</f>
        <v>https://abc7chicago.com/post/shooting-injures-teen-boy-east-87th-street-chicago-vocational-high-school-se-side-cpd/16180846/</v>
      </c>
      <c r="L101" s="8">
        <f ca="1">IFERROR(__xludf.DUMMYFUNCTION("""COMPUTED_VALUE"""),10)</f>
        <v>10</v>
      </c>
      <c r="M101" s="8" t="str">
        <f ca="1">IFERROR(__xludf.DUMMYFUNCTION("""COMPUTED_VALUE"""),"Regional")</f>
        <v>Regional</v>
      </c>
      <c r="N101" s="8">
        <f ca="1">IFERROR(__xludf.DUMMYFUNCTION("""COMPUTED_VALUE"""),4)</f>
        <v>4</v>
      </c>
      <c r="O101" s="8" t="str">
        <f ca="1">IFERROR(__xludf.DUMMYFUNCTION("""COMPUTED_VALUE"""),"Spring")</f>
        <v>Spring</v>
      </c>
      <c r="P101" s="8" t="str">
        <f ca="1">IFERROR(__xludf.DUMMYFUNCTION("""COMPUTED_VALUE"""),"Chicago")</f>
        <v>Chicago</v>
      </c>
      <c r="Q101" s="8" t="str">
        <f ca="1">IFERROR(__xludf.DUMMYFUNCTION("""COMPUTED_VALUE"""),"IL")</f>
        <v>IL</v>
      </c>
      <c r="R101" s="8" t="str">
        <f ca="1">IFERROR(__xludf.DUMMYFUNCTION("""COMPUTED_VALUE"""),"High")</f>
        <v>High</v>
      </c>
      <c r="S101" s="8" t="str">
        <f ca="1">IFERROR(__xludf.DUMMYFUNCTION("""COMPUTED_VALUE"""),"Front of School")</f>
        <v>Front of School</v>
      </c>
      <c r="T101" s="8" t="str">
        <f ca="1">IFERROR(__xludf.DUMMYFUNCTION("""COMPUTED_VALUE"""),"Outside on School Property")</f>
        <v>Outside on School Property</v>
      </c>
      <c r="U101" s="8" t="str">
        <f ca="1">IFERROR(__xludf.DUMMYFUNCTION("""COMPUTED_VALUE"""),"Yes")</f>
        <v>Yes</v>
      </c>
      <c r="V101" s="8" t="str">
        <f ca="1">IFERROR(__xludf.DUMMYFUNCTION("""COMPUTED_VALUE"""),"Dismissal")</f>
        <v>Dismissal</v>
      </c>
      <c r="W101" s="11">
        <f ca="1">IFERROR(__xludf.DUMMYFUNCTION("""COMPUTED_VALUE"""),0.677083333333333)</f>
        <v>0.67708333333333304</v>
      </c>
      <c r="X101" s="8">
        <f ca="1">IFERROR(__xludf.DUMMYFUNCTION("""COMPUTED_VALUE"""),1)</f>
        <v>1</v>
      </c>
      <c r="Y101" s="12" t="str">
        <f ca="1">IFERROR(__xludf.DUMMYFUNCTION("""COMPUTED_VALUE"""),"Student shot during large fight at dismissal")</f>
        <v>Student shot during large fight at dismissal</v>
      </c>
      <c r="Z101" s="12" t="str">
        <f ca="1">IFERROR(__xludf.DUMMYFUNCTION("""COMPUTED_VALUE"""),"The shooting happened around 4:15 p.m., just after class was let out at Chicago Vocational High School in the Calumet Heights neighborhood. Chicago police say the teen, who attends the nearby Sullivan House High School, was on the sidewalk when a van pull"&amp;"ed up, and someone inside started shooting. Unclear if the victim was a bystander or involved in the fight.")</f>
        <v>The shooting happened around 4:15 p.m., just after class was let out at Chicago Vocational High School in the Calumet Heights neighborhood. Chicago police say the teen, who attends the nearby Sullivan House High School, was on the sidewalk when a van pulled up, and someone inside started shooting. Unclear if the victim was a bystander or involved in the fight.</v>
      </c>
      <c r="AA101" s="8" t="str">
        <f ca="1">IFERROR(__xludf.DUMMYFUNCTION("""COMPUTED_VALUE"""),"Drive-by Shooting")</f>
        <v>Drive-by Shooting</v>
      </c>
      <c r="AB101" s="8" t="str">
        <f ca="1">IFERROR(__xludf.DUMMYFUNCTION("""COMPUTED_VALUE"""),"Spontaneous")</f>
        <v>Spontaneous</v>
      </c>
      <c r="AC101" s="8" t="str">
        <f ca="1">IFERROR(__xludf.DUMMYFUNCTION("""COMPUTED_VALUE"""),"Yes")</f>
        <v>Yes</v>
      </c>
      <c r="AD101" s="8" t="str">
        <f ca="1">IFERROR(__xludf.DUMMYFUNCTION("""COMPUTED_VALUE"""),"Both")</f>
        <v>Both</v>
      </c>
      <c r="AE101" s="8" t="str">
        <f ca="1">IFERROR(__xludf.DUMMYFUNCTION("""COMPUTED_VALUE"""),"Yes")</f>
        <v>Yes</v>
      </c>
      <c r="AF101" s="8" t="str">
        <f ca="1">IFERROR(__xludf.DUMMYFUNCTION("""COMPUTED_VALUE"""),"Shooter and driver")</f>
        <v>Shooter and driver</v>
      </c>
      <c r="AG101" s="8" t="str">
        <f ca="1">IFERROR(__xludf.DUMMYFUNCTION("""COMPUTED_VALUE"""),"No")</f>
        <v>No</v>
      </c>
      <c r="AH101" s="8" t="str">
        <f ca="1">IFERROR(__xludf.DUMMYFUNCTION("""COMPUTED_VALUE"""),"No")</f>
        <v>No</v>
      </c>
      <c r="AI101" s="8" t="str">
        <f ca="1">IFERROR(__xludf.DUMMYFUNCTION("""COMPUTED_VALUE"""),"No")</f>
        <v>No</v>
      </c>
      <c r="AJ101" s="8" t="str">
        <f ca="1">IFERROR(__xludf.DUMMYFUNCTION("""COMPUTED_VALUE"""),"No")</f>
        <v>No</v>
      </c>
      <c r="AK101" s="8" t="str">
        <f ca="1">IFERROR(__xludf.DUMMYFUNCTION("""COMPUTED_VALUE"""),"No")</f>
        <v>No</v>
      </c>
      <c r="AL101" s="8"/>
      <c r="AM101" s="8" t="str">
        <f ca="1">IFERROR(__xludf.DUMMYFUNCTION("""COMPUTED_VALUE"""),"No")</f>
        <v>No</v>
      </c>
      <c r="AN101" s="8" t="str">
        <f ca="1">IFERROR(__xludf.DUMMYFUNCTION("""COMPUTED_VALUE"""),"Outside")</f>
        <v>Outside</v>
      </c>
      <c r="AO101" s="8" t="str">
        <f ca="1">IFERROR(__xludf.DUMMYFUNCTION("""COMPUTED_VALUE"""),"No")</f>
        <v>No</v>
      </c>
      <c r="AP101" s="8"/>
      <c r="AQ101" s="8"/>
      <c r="AR101" s="8" t="str">
        <f ca="1">IFERROR(__xludf.DUMMYFUNCTION("""COMPUTED_VALUE"""),"Outside/Off-Property")</f>
        <v>Outside/Off-Property</v>
      </c>
      <c r="AS101" s="8">
        <f ca="1">IFERROR(__xludf.DUMMYFUNCTION("""COMPUTED_VALUE"""),20)</f>
        <v>20</v>
      </c>
      <c r="AT101" s="8"/>
      <c r="AU101" s="8">
        <f ca="1">IFERROR(__xludf.DUMMYFUNCTION("""COMPUTED_VALUE"""),41.737299)</f>
        <v>41.737299</v>
      </c>
      <c r="AV101" s="8">
        <f ca="1">IFERROR(__xludf.DUMMYFUNCTION("""COMPUTED_VALUE"""),-87.572657)</f>
        <v>-87.572657000000007</v>
      </c>
      <c r="AW101" s="8" t="str">
        <f ca="1">IFERROR(__xludf.DUMMYFUNCTION("""COMPUTED_VALUE"""),"Urban Street Standalone")</f>
        <v>Urban Street Standalone</v>
      </c>
      <c r="AX101" s="8">
        <f ca="1">IFERROR(__xludf.DUMMYFUNCTION("""COMPUTED_VALUE"""),60617)</f>
        <v>60617</v>
      </c>
    </row>
    <row r="102" spans="1:50" ht="330" x14ac:dyDescent="0.2">
      <c r="A102" s="8" t="str">
        <f ca="1">IFERROR(__xludf.DUMMYFUNCTION("""COMPUTED_VALUE"""),"20250415TXWID")</f>
        <v>20250415TXWID</v>
      </c>
      <c r="B102" s="8">
        <f ca="1">IFERROR(__xludf.DUMMYFUNCTION("""COMPUTED_VALUE"""),4)</f>
        <v>4</v>
      </c>
      <c r="C102" s="8">
        <f ca="1">IFERROR(__xludf.DUMMYFUNCTION("""COMPUTED_VALUE"""),15)</f>
        <v>15</v>
      </c>
      <c r="D102" s="8">
        <f ca="1">IFERROR(__xludf.DUMMYFUNCTION("""COMPUTED_VALUE"""),2025)</f>
        <v>2025</v>
      </c>
      <c r="E102" s="9">
        <f ca="1">IFERROR(__xludf.DUMMYFUNCTION("""COMPUTED_VALUE"""),45762)</f>
        <v>45762</v>
      </c>
      <c r="F102" s="8" t="str">
        <f ca="1">IFERROR(__xludf.DUMMYFUNCTION("""COMPUTED_VALUE"""),"Wilmer-Hutchins High School")</f>
        <v>Wilmer-Hutchins High School</v>
      </c>
      <c r="G102" s="8">
        <f ca="1">IFERROR(__xludf.DUMMYFUNCTION("""COMPUTED_VALUE"""),0)</f>
        <v>0</v>
      </c>
      <c r="H102" s="8">
        <f ca="1">IFERROR(__xludf.DUMMYFUNCTION("""COMPUTED_VALUE"""),6)</f>
        <v>6</v>
      </c>
      <c r="I102" s="8">
        <f ca="1">IFERROR(__xludf.DUMMYFUNCTION("""COMPUTED_VALUE"""),6)</f>
        <v>6</v>
      </c>
      <c r="J102" s="8">
        <f ca="1">IFERROR(__xludf.DUMMYFUNCTION("""COMPUTED_VALUE"""),0)</f>
        <v>0</v>
      </c>
      <c r="K102" s="10" t="str">
        <f ca="1">IFERROR(__xludf.DUMMYFUNCTION("""COMPUTED_VALUE"""),"https://www.wdbj7.com/2025/04/18/student-who-shot-4-dallas-high-school-was-targeting-specific-student-school-police-chief-says/
https://www.dallasnews.com/news/crime/2025/04/15/police-investigating-reported-shooting-at-wilmer-hutchins-high-school-in-dalla"&amp;"s/
https://abc13.com/post/dallas-high-school-shooting-update-alleged-texas-shooter-walked-group-hall-opened-fire-now-charged/16186501/
https://abcnews.go.com/US/police-responding-shooting-high-school-dallas-school-district/story?id=120834537")</f>
        <v>https://www.wdbj7.com/2025/04/18/student-who-shot-4-dallas-high-school-was-targeting-specific-student-school-police-chief-says/
https://www.dallasnews.com/news/crime/2025/04/15/police-investigating-reported-shooting-at-wilmer-hutchins-high-school-in-dallas/
https://abc13.com/post/dallas-high-school-shooting-update-alleged-texas-shooter-walked-group-hall-opened-fire-now-charged/16186501/
https://abcnews.go.com/US/police-responding-shooting-high-school-dallas-school-district/story?id=120834537</v>
      </c>
      <c r="L102" s="8">
        <f ca="1">IFERROR(__xludf.DUMMYFUNCTION("""COMPUTED_VALUE"""),999)</f>
        <v>999</v>
      </c>
      <c r="M102" s="8" t="str">
        <f ca="1">IFERROR(__xludf.DUMMYFUNCTION("""COMPUTED_VALUE"""),"National")</f>
        <v>National</v>
      </c>
      <c r="N102" s="8">
        <f ca="1">IFERROR(__xludf.DUMMYFUNCTION("""COMPUTED_VALUE"""),4)</f>
        <v>4</v>
      </c>
      <c r="O102" s="8" t="str">
        <f ca="1">IFERROR(__xludf.DUMMYFUNCTION("""COMPUTED_VALUE"""),"Spring")</f>
        <v>Spring</v>
      </c>
      <c r="P102" s="8" t="str">
        <f ca="1">IFERROR(__xludf.DUMMYFUNCTION("""COMPUTED_VALUE"""),"Dallas")</f>
        <v>Dallas</v>
      </c>
      <c r="Q102" s="8" t="str">
        <f ca="1">IFERROR(__xludf.DUMMYFUNCTION("""COMPUTED_VALUE"""),"TX")</f>
        <v>TX</v>
      </c>
      <c r="R102" s="8" t="str">
        <f ca="1">IFERROR(__xludf.DUMMYFUNCTION("""COMPUTED_VALUE"""),"High")</f>
        <v>High</v>
      </c>
      <c r="S102" s="8" t="str">
        <f ca="1">IFERROR(__xludf.DUMMYFUNCTION("""COMPUTED_VALUE"""),"Hallway")</f>
        <v>Hallway</v>
      </c>
      <c r="T102" s="8" t="str">
        <f ca="1">IFERROR(__xludf.DUMMYFUNCTION("""COMPUTED_VALUE"""),"Inside School Building")</f>
        <v>Inside School Building</v>
      </c>
      <c r="U102" s="8" t="str">
        <f ca="1">IFERROR(__xludf.DUMMYFUNCTION("""COMPUTED_VALUE"""),"Yes")</f>
        <v>Yes</v>
      </c>
      <c r="V102" s="8" t="str">
        <f ca="1">IFERROR(__xludf.DUMMYFUNCTION("""COMPUTED_VALUE"""),"Afternoon Classes")</f>
        <v>Afternoon Classes</v>
      </c>
      <c r="W102" s="11">
        <f ca="1">IFERROR(__xludf.DUMMYFUNCTION("""COMPUTED_VALUE"""),0.541666666666666)</f>
        <v>0.54166666666666596</v>
      </c>
      <c r="X102" s="8">
        <f ca="1">IFERROR(__xludf.DUMMYFUNCTION("""COMPUTED_VALUE"""),2)</f>
        <v>2</v>
      </c>
      <c r="Y102" s="12" t="str">
        <f ca="1">IFERROR(__xludf.DUMMYFUNCTION("""COMPUTED_VALUE"""),"Three students shot and another student injured when student opened fire inside classroom")</f>
        <v>Three students shot and another student injured when student opened fire inside classroom</v>
      </c>
      <c r="Z102" s="12" t="str">
        <f ca="1">IFERROR(__xludf.DUMMYFUNCTION("""COMPUTED_VALUE"""),"The student who shot four students when he opened fire at a Dallas high school this week was in and out of the building in less than two minutes and is believed to have been targeting a specific student, the school district police chief said Thursday. The"&amp;" suspect parked his vehicle at the school just before 1 p.m., Martinez said. An arrest warrant said that after the suspect was let into the building, he walked down a hallway until he spotted a group of students. The arrest warrant says he then displayed "&amp;"a firearm and began firing “indiscriminately” before approaching a student who was not able to run and walking toward that student and appearing to take a point-blank shot. Five of the students ranged in age from 15 to 18, and all were injured by gunfire."&amp;" The age of the six, who suffered a “musculoskeletal injury to the lower body,” was not immediately known. Dallas Independent School District Superintendent Stephanie Elizalde said at a news conference that a teacher in the classroom directed the suspect "&amp;"away from the school, preventing the situation from escalating. Shooter fled before police arrived and turned himself in overnight. Classes are cancelled for the remainder of the school week. A student was also shot inside the same school in April 2024.")</f>
        <v>The student who shot four students when he opened fire at a Dallas high school this week was in and out of the building in less than two minutes and is believed to have been targeting a specific student, the school district police chief said Thursday. The suspect parked his vehicle at the school just before 1 p.m., Martinez said. An arrest warrant said that after the suspect was let into the building, he walked down a hallway until he spotted a group of students. The arrest warrant says he then displayed a firearm and began firing “indiscriminately” before approaching a student who was not able to run and walking toward that student and appearing to take a point-blank shot. Five of the students ranged in age from 15 to 18, and all were injured by gunfire. The age of the six, who suffered a “musculoskeletal injury to the lower body,” was not immediately known. Dallas Independent School District Superintendent Stephanie Elizalde said at a news conference that a teacher in the classroom directed the suspect away from the school, preventing the situation from escalating. Shooter fled before police arrived and turned himself in overnight. Classes are cancelled for the remainder of the school week. A student was also shot inside the same school in April 2024.</v>
      </c>
      <c r="AA102" s="8" t="str">
        <f ca="1">IFERROR(__xludf.DUMMYFUNCTION("""COMPUTED_VALUE"""),"Escalation of Dispute")</f>
        <v>Escalation of Dispute</v>
      </c>
      <c r="AB102" s="8" t="str">
        <f ca="1">IFERROR(__xludf.DUMMYFUNCTION("""COMPUTED_VALUE"""),"Targeted")</f>
        <v>Targeted</v>
      </c>
      <c r="AC102" s="8" t="str">
        <f ca="1">IFERROR(__xludf.DUMMYFUNCTION("""COMPUTED_VALUE"""),"Yes")</f>
        <v>Yes</v>
      </c>
      <c r="AD102" s="8" t="str">
        <f ca="1">IFERROR(__xludf.DUMMYFUNCTION("""COMPUTED_VALUE"""),"Random Shooting")</f>
        <v>Random Shooting</v>
      </c>
      <c r="AE102" s="8" t="str">
        <f ca="1">IFERROR(__xludf.DUMMYFUNCTION("""COMPUTED_VALUE"""),"Yes")</f>
        <v>Yes</v>
      </c>
      <c r="AF102" s="8" t="str">
        <f ca="1">IFERROR(__xludf.DUMMYFUNCTION("""COMPUTED_VALUE"""),"Second studend opened side door to let student with gun inside")</f>
        <v>Second studend opened side door to let student with gun inside</v>
      </c>
      <c r="AG102" s="8" t="str">
        <f ca="1">IFERROR(__xludf.DUMMYFUNCTION("""COMPUTED_VALUE"""),"No")</f>
        <v>No</v>
      </c>
      <c r="AH102" s="8" t="str">
        <f ca="1">IFERROR(__xludf.DUMMYFUNCTION("""COMPUTED_VALUE"""),"No")</f>
        <v>No</v>
      </c>
      <c r="AI102" s="8" t="str">
        <f ca="1">IFERROR(__xludf.DUMMYFUNCTION("""COMPUTED_VALUE"""),"No")</f>
        <v>No</v>
      </c>
      <c r="AJ102" s="8"/>
      <c r="AK102" s="8" t="str">
        <f ca="1">IFERROR(__xludf.DUMMYFUNCTION("""COMPUTED_VALUE"""),"No")</f>
        <v>No</v>
      </c>
      <c r="AL102" s="8"/>
      <c r="AM102" s="8" t="str">
        <f ca="1">IFERROR(__xludf.DUMMYFUNCTION("""COMPUTED_VALUE"""),"No")</f>
        <v>No</v>
      </c>
      <c r="AN102" s="8" t="str">
        <f ca="1">IFERROR(__xludf.DUMMYFUNCTION("""COMPUTED_VALUE"""),"Hallway")</f>
        <v>Hallway</v>
      </c>
      <c r="AO102" s="8" t="str">
        <f ca="1">IFERROR(__xludf.DUMMYFUNCTION("""COMPUTED_VALUE"""),"No")</f>
        <v>No</v>
      </c>
      <c r="AP102" s="8" t="str">
        <f ca="1">IFERROR(__xludf.DUMMYFUNCTION("""COMPUTED_VALUE"""),"Yes")</f>
        <v>Yes</v>
      </c>
      <c r="AQ102" s="8" t="str">
        <f ca="1">IFERROR(__xludf.DUMMYFUNCTION("""COMPUTED_VALUE"""),"Metal Detectors")</f>
        <v>Metal Detectors</v>
      </c>
      <c r="AR102" s="8" t="str">
        <f ca="1">IFERROR(__xludf.DUMMYFUNCTION("""COMPUTED_VALUE"""),"Failed")</f>
        <v>Failed</v>
      </c>
      <c r="AS102" s="8">
        <f ca="1">IFERROR(__xludf.DUMMYFUNCTION("""COMPUTED_VALUE"""),7)</f>
        <v>7</v>
      </c>
      <c r="AT102" s="8" t="str">
        <f ca="1">IFERROR(__xludf.DUMMYFUNCTION("""COMPUTED_VALUE"""),"Yes")</f>
        <v>Yes</v>
      </c>
      <c r="AU102" s="8">
        <f ca="1">IFERROR(__xludf.DUMMYFUNCTION("""COMPUTED_VALUE"""),32.656141)</f>
        <v>32.656140999999998</v>
      </c>
      <c r="AV102" s="8">
        <f ca="1">IFERROR(__xludf.DUMMYFUNCTION("""COMPUTED_VALUE"""),-96.730763)</f>
        <v>-96.730762999999996</v>
      </c>
      <c r="AW102" s="8" t="str">
        <f ca="1">IFERROR(__xludf.DUMMYFUNCTION("""COMPUTED_VALUE"""),"Multiple attached buildings")</f>
        <v>Multiple attached buildings</v>
      </c>
      <c r="AX102" s="8">
        <f ca="1">IFERROR(__xludf.DUMMYFUNCTION("""COMPUTED_VALUE"""),75241)</f>
        <v>75241</v>
      </c>
    </row>
    <row r="103" spans="1:50" ht="285" x14ac:dyDescent="0.2">
      <c r="A103" s="8" t="str">
        <f ca="1">IFERROR(__xludf.DUMMYFUNCTION("""COMPUTED_VALUE"""),"20250414CADUT")</f>
        <v>20250414CADUT</v>
      </c>
      <c r="B103" s="8">
        <f ca="1">IFERROR(__xludf.DUMMYFUNCTION("""COMPUTED_VALUE"""),4)</f>
        <v>4</v>
      </c>
      <c r="C103" s="8">
        <f ca="1">IFERROR(__xludf.DUMMYFUNCTION("""COMPUTED_VALUE"""),14)</f>
        <v>14</v>
      </c>
      <c r="D103" s="8">
        <f ca="1">IFERROR(__xludf.DUMMYFUNCTION("""COMPUTED_VALUE"""),2025)</f>
        <v>2025</v>
      </c>
      <c r="E103" s="9">
        <f ca="1">IFERROR(__xludf.DUMMYFUNCTION("""COMPUTED_VALUE"""),45761)</f>
        <v>45761</v>
      </c>
      <c r="F103" s="8" t="str">
        <f ca="1">IFERROR(__xludf.DUMMYFUNCTION("""COMPUTED_VALUE"""),"Dutcher Middle School")</f>
        <v>Dutcher Middle School</v>
      </c>
      <c r="G103" s="8">
        <f ca="1">IFERROR(__xludf.DUMMYFUNCTION("""COMPUTED_VALUE"""),0)</f>
        <v>0</v>
      </c>
      <c r="H103" s="8">
        <f ca="1">IFERROR(__xludf.DUMMYFUNCTION("""COMPUTED_VALUE"""),0)</f>
        <v>0</v>
      </c>
      <c r="I103" s="8">
        <f ca="1">IFERROR(__xludf.DUMMYFUNCTION("""COMPUTED_VALUE"""),0)</f>
        <v>0</v>
      </c>
      <c r="J103" s="8">
        <f ca="1">IFERROR(__xludf.DUMMYFUNCTION("""COMPUTED_VALUE"""),0)</f>
        <v>0</v>
      </c>
      <c r="K103" s="10" t="str">
        <f ca="1">IFERROR(__xludf.DUMMYFUNCTION("""COMPUTED_VALUE"""),"https://goldrushcam.com/sierrasuntimes/index.php/news/local-news/66433-turlock-police-respond-to-discovery-of-firearm-at-middle-school-after-maintenance-worker-finds-weapon")</f>
        <v>https://goldrushcam.com/sierrasuntimes/index.php/news/local-news/66433-turlock-police-respond-to-discovery-of-firearm-at-middle-school-after-maintenance-worker-finds-weapon</v>
      </c>
      <c r="L103" s="8">
        <f ca="1">IFERROR(__xludf.DUMMYFUNCTION("""COMPUTED_VALUE"""),1)</f>
        <v>1</v>
      </c>
      <c r="M103" s="8" t="str">
        <f ca="1">IFERROR(__xludf.DUMMYFUNCTION("""COMPUTED_VALUE"""),"Local")</f>
        <v>Local</v>
      </c>
      <c r="N103" s="8">
        <f ca="1">IFERROR(__xludf.DUMMYFUNCTION("""COMPUTED_VALUE"""),4)</f>
        <v>4</v>
      </c>
      <c r="O103" s="8" t="str">
        <f ca="1">IFERROR(__xludf.DUMMYFUNCTION("""COMPUTED_VALUE"""),"Spring")</f>
        <v>Spring</v>
      </c>
      <c r="P103" s="8" t="str">
        <f ca="1">IFERROR(__xludf.DUMMYFUNCTION("""COMPUTED_VALUE"""),"Turlock")</f>
        <v>Turlock</v>
      </c>
      <c r="Q103" s="8" t="str">
        <f ca="1">IFERROR(__xludf.DUMMYFUNCTION("""COMPUTED_VALUE"""),"CA")</f>
        <v>CA</v>
      </c>
      <c r="R103" s="8" t="str">
        <f ca="1">IFERROR(__xludf.DUMMYFUNCTION("""COMPUTED_VALUE"""),"Middle")</f>
        <v>Middle</v>
      </c>
      <c r="S103" s="8" t="str">
        <f ca="1">IFERROR(__xludf.DUMMYFUNCTION("""COMPUTED_VALUE"""),"Beside Building")</f>
        <v>Beside Building</v>
      </c>
      <c r="T103" s="8" t="str">
        <f ca="1">IFERROR(__xludf.DUMMYFUNCTION("""COMPUTED_VALUE"""),"Outside on School Property")</f>
        <v>Outside on School Property</v>
      </c>
      <c r="U103" s="8" t="str">
        <f ca="1">IFERROR(__xludf.DUMMYFUNCTION("""COMPUTED_VALUE"""),"Yes")</f>
        <v>Yes</v>
      </c>
      <c r="V103" s="8" t="str">
        <f ca="1">IFERROR(__xludf.DUMMYFUNCTION("""COMPUTED_VALUE"""),"Morning Classes")</f>
        <v>Morning Classes</v>
      </c>
      <c r="W103" s="11">
        <f ca="1">IFERROR(__xludf.DUMMYFUNCTION("""COMPUTED_VALUE"""),0.4375)</f>
        <v>0.4375</v>
      </c>
      <c r="X103" s="8">
        <f ca="1">IFERROR(__xludf.DUMMYFUNCTION("""COMPUTED_VALUE"""),1)</f>
        <v>1</v>
      </c>
      <c r="Y103" s="12" t="str">
        <f ca="1">IFERROR(__xludf.DUMMYFUNCTION("""COMPUTED_VALUE"""),"Maintenance worker found 2 guns near the electrical room, one fired when he picked it up")</f>
        <v>Maintenance worker found 2 guns near the electrical room, one fired when he picked it up</v>
      </c>
      <c r="Z103" s="12" t="str">
        <f ca="1">IFERROR(__xludf.DUMMYFUNCTION("""COMPUTED_VALUE"""),"Turlock Police Department officials report that on Monday morning at approximately 10:30 a.m., a Turlock Unified School District maintenance worker discovered a pile consisting of two blankets and a jacket near a fence line on the Dutcher Middle School ca"&amp;"mpus. The items were found in a maintenance area where electrical equipment is housed, near a neighboring apartment complex. While clearing the space, a firearm within the pile discharged. Fortunately, no one was injured. The incident was immediately repo"&amp;"rted, and several Turlock Police Department officers arrived at the campus within minutes to secure the area and begin the investigation. A School Resource Officer also responded shortly after to assist. Two handguns and a jacket were located and recovere"&amp;"d. All items were collected and booked into evidence. At this time, it is unclear how long the firearms had been there or how they ended up in that location. Staff are currently reviewing surveillance footage and working to determine a timeline.")</f>
        <v>Turlock Police Department officials report that on Monday morning at approximately 10:30 a.m., a Turlock Unified School District maintenance worker discovered a pile consisting of two blankets and a jacket near a fence line on the Dutcher Middle School campus. The items were found in a maintenance area where electrical equipment is housed, near a neighboring apartment complex. While clearing the space, a firearm within the pile discharged. Fortunately, no one was injured. The incident was immediately reported, and several Turlock Police Department officers arrived at the campus within minutes to secure the area and begin the investigation. A School Resource Officer also responded shortly after to assist. Two handguns and a jacket were located and recovered. All items were collected and booked into evidence. At this time, it is unclear how long the firearms had been there or how they ended up in that location. Staff are currently reviewing surveillance footage and working to determine a timeline.</v>
      </c>
      <c r="AA103" s="8" t="str">
        <f ca="1">IFERROR(__xludf.DUMMYFUNCTION("""COMPUTED_VALUE"""),"Accidental")</f>
        <v>Accidental</v>
      </c>
      <c r="AB103" s="8" t="str">
        <f ca="1">IFERROR(__xludf.DUMMYFUNCTION("""COMPUTED_VALUE"""),"Spontaneous")</f>
        <v>Spontaneous</v>
      </c>
      <c r="AC103" s="8" t="str">
        <f ca="1">IFERROR(__xludf.DUMMYFUNCTION("""COMPUTED_VALUE"""),"Yes")</f>
        <v>Yes</v>
      </c>
      <c r="AD103" s="8" t="str">
        <f ca="1">IFERROR(__xludf.DUMMYFUNCTION("""COMPUTED_VALUE"""),"Neither")</f>
        <v>Neither</v>
      </c>
      <c r="AE103" s="8" t="str">
        <f ca="1">IFERROR(__xludf.DUMMYFUNCTION("""COMPUTED_VALUE"""),"No")</f>
        <v>No</v>
      </c>
      <c r="AF103" s="8"/>
      <c r="AG103" s="8" t="str">
        <f ca="1">IFERROR(__xludf.DUMMYFUNCTION("""COMPUTED_VALUE"""),"No")</f>
        <v>No</v>
      </c>
      <c r="AH103" s="8" t="str">
        <f ca="1">IFERROR(__xludf.DUMMYFUNCTION("""COMPUTED_VALUE"""),"No")</f>
        <v>No</v>
      </c>
      <c r="AI103" s="8" t="str">
        <f ca="1">IFERROR(__xludf.DUMMYFUNCTION("""COMPUTED_VALUE"""),"No")</f>
        <v>No</v>
      </c>
      <c r="AJ103" s="8" t="str">
        <f ca="1">IFERROR(__xludf.DUMMYFUNCTION("""COMPUTED_VALUE"""),"No")</f>
        <v>No</v>
      </c>
      <c r="AK103" s="8" t="str">
        <f ca="1">IFERROR(__xludf.DUMMYFUNCTION("""COMPUTED_VALUE"""),"No")</f>
        <v>No</v>
      </c>
      <c r="AL103" s="8" t="str">
        <f ca="1">IFERROR(__xludf.DUMMYFUNCTION("""COMPUTED_VALUE"""),"No")</f>
        <v>No</v>
      </c>
      <c r="AM103" s="8" t="str">
        <f ca="1">IFERROR(__xludf.DUMMYFUNCTION("""COMPUTED_VALUE"""),"No")</f>
        <v>No</v>
      </c>
      <c r="AN103" s="8" t="str">
        <f ca="1">IFERROR(__xludf.DUMMYFUNCTION("""COMPUTED_VALUE"""),"Outside")</f>
        <v>Outside</v>
      </c>
      <c r="AO103" s="8" t="str">
        <f ca="1">IFERROR(__xludf.DUMMYFUNCTION("""COMPUTED_VALUE"""),"No")</f>
        <v>No</v>
      </c>
      <c r="AP103" s="8" t="str">
        <f ca="1">IFERROR(__xludf.DUMMYFUNCTION("""COMPUTED_VALUE"""),"Yes")</f>
        <v>Yes</v>
      </c>
      <c r="AQ103" s="8"/>
      <c r="AR103" s="8" t="str">
        <f ca="1">IFERROR(__xludf.DUMMYFUNCTION("""COMPUTED_VALUE"""),"Outside/Off-Property")</f>
        <v>Outside/Off-Property</v>
      </c>
      <c r="AS103" s="8">
        <f ca="1">IFERROR(__xludf.DUMMYFUNCTION("""COMPUTED_VALUE"""),1)</f>
        <v>1</v>
      </c>
      <c r="AT103" s="8" t="str">
        <f ca="1">IFERROR(__xludf.DUMMYFUNCTION("""COMPUTED_VALUE"""),"Yes")</f>
        <v>Yes</v>
      </c>
      <c r="AU103" s="8">
        <f ca="1">IFERROR(__xludf.DUMMYFUNCTION("""COMPUTED_VALUE"""),37.506139)</f>
        <v>37.506138999999997</v>
      </c>
      <c r="AV103" s="8">
        <f ca="1">IFERROR(__xludf.DUMMYFUNCTION("""COMPUTED_VALUE"""),-120.836563)</f>
        <v>-120.836563</v>
      </c>
      <c r="AW103" s="8" t="str">
        <f ca="1">IFERROR(__xludf.DUMMYFUNCTION("""COMPUTED_VALUE"""),"Single building indoor hallway")</f>
        <v>Single building indoor hallway</v>
      </c>
      <c r="AX103" s="8">
        <f ca="1">IFERROR(__xludf.DUMMYFUNCTION("""COMPUTED_VALUE"""),95380)</f>
        <v>95380</v>
      </c>
    </row>
    <row r="104" spans="1:50" ht="90" x14ac:dyDescent="0.2">
      <c r="A104" s="8" t="str">
        <f ca="1">IFERROR(__xludf.DUMMYFUNCTION("""COMPUTED_VALUE"""),"20250414NYJOR")</f>
        <v>20250414NYJOR</v>
      </c>
      <c r="B104" s="8">
        <f ca="1">IFERROR(__xludf.DUMMYFUNCTION("""COMPUTED_VALUE"""),4)</f>
        <v>4</v>
      </c>
      <c r="C104" s="8">
        <f ca="1">IFERROR(__xludf.DUMMYFUNCTION("""COMPUTED_VALUE"""),14)</f>
        <v>14</v>
      </c>
      <c r="D104" s="8">
        <f ca="1">IFERROR(__xludf.DUMMYFUNCTION("""COMPUTED_VALUE"""),2025)</f>
        <v>2025</v>
      </c>
      <c r="E104" s="9">
        <f ca="1">IFERROR(__xludf.DUMMYFUNCTION("""COMPUTED_VALUE"""),45761)</f>
        <v>45761</v>
      </c>
      <c r="F104" s="8" t="str">
        <f ca="1">IFERROR(__xludf.DUMMYFUNCTION("""COMPUTED_VALUE"""),"John James Audubon School No. 33")</f>
        <v>John James Audubon School No. 33</v>
      </c>
      <c r="G104" s="8">
        <f ca="1">IFERROR(__xludf.DUMMYFUNCTION("""COMPUTED_VALUE"""),0)</f>
        <v>0</v>
      </c>
      <c r="H104" s="8">
        <f ca="1">IFERROR(__xludf.DUMMYFUNCTION("""COMPUTED_VALUE"""),2)</f>
        <v>2</v>
      </c>
      <c r="I104" s="8">
        <f ca="1">IFERROR(__xludf.DUMMYFUNCTION("""COMPUTED_VALUE"""),2)</f>
        <v>2</v>
      </c>
      <c r="J104" s="8">
        <f ca="1">IFERROR(__xludf.DUMMYFUNCTION("""COMPUTED_VALUE"""),0)</f>
        <v>0</v>
      </c>
      <c r="K104" s="10" t="str">
        <f ca="1">IFERROR(__xludf.DUMMYFUNCTION("""COMPUTED_VALUE"""),"https://www.rochesterfirst.com/news/rpd/large-police-presence-shuts-down-portion-of-webster-ave/
https://www.whec.com/top-news/large-police-presence-on-webster-avenue-in-city/")</f>
        <v>https://www.rochesterfirst.com/news/rpd/large-police-presence-shuts-down-portion-of-webster-ave/
https://www.whec.com/top-news/large-police-presence-on-webster-avenue-in-city/</v>
      </c>
      <c r="L104" s="8">
        <f ca="1">IFERROR(__xludf.DUMMYFUNCTION("""COMPUTED_VALUE"""),3)</f>
        <v>3</v>
      </c>
      <c r="M104" s="8" t="str">
        <f ca="1">IFERROR(__xludf.DUMMYFUNCTION("""COMPUTED_VALUE"""),"Local")</f>
        <v>Local</v>
      </c>
      <c r="N104" s="8">
        <f ca="1">IFERROR(__xludf.DUMMYFUNCTION("""COMPUTED_VALUE"""),4)</f>
        <v>4</v>
      </c>
      <c r="O104" s="8" t="str">
        <f ca="1">IFERROR(__xludf.DUMMYFUNCTION("""COMPUTED_VALUE"""),"Spring")</f>
        <v>Spring</v>
      </c>
      <c r="P104" s="8" t="str">
        <f ca="1">IFERROR(__xludf.DUMMYFUNCTION("""COMPUTED_VALUE"""),"Rochester")</f>
        <v>Rochester</v>
      </c>
      <c r="Q104" s="8" t="str">
        <f ca="1">IFERROR(__xludf.DUMMYFUNCTION("""COMPUTED_VALUE"""),"NY")</f>
        <v>NY</v>
      </c>
      <c r="R104" s="8" t="str">
        <f ca="1">IFERROR(__xludf.DUMMYFUNCTION("""COMPUTED_VALUE"""),"Elementary")</f>
        <v>Elementary</v>
      </c>
      <c r="S104" s="8" t="str">
        <f ca="1">IFERROR(__xludf.DUMMYFUNCTION("""COMPUTED_VALUE"""),"Front of School")</f>
        <v>Front of School</v>
      </c>
      <c r="T104" s="8" t="str">
        <f ca="1">IFERROR(__xludf.DUMMYFUNCTION("""COMPUTED_VALUE"""),"Outside on School Property")</f>
        <v>Outside on School Property</v>
      </c>
      <c r="U104" s="8" t="str">
        <f ca="1">IFERROR(__xludf.DUMMYFUNCTION("""COMPUTED_VALUE"""),"No")</f>
        <v>No</v>
      </c>
      <c r="V104" s="8" t="str">
        <f ca="1">IFERROR(__xludf.DUMMYFUNCTION("""COMPUTED_VALUE"""),"After School")</f>
        <v>After School</v>
      </c>
      <c r="W104" s="11">
        <f ca="1">IFERROR(__xludf.DUMMYFUNCTION("""COMPUTED_VALUE"""),0.697916666666666)</f>
        <v>0.69791666666666596</v>
      </c>
      <c r="X104" s="8">
        <f ca="1">IFERROR(__xludf.DUMMYFUNCTION("""COMPUTED_VALUE"""),1)</f>
        <v>1</v>
      </c>
      <c r="Y104" s="12" t="str">
        <f ca="1">IFERROR(__xludf.DUMMYFUNCTION("""COMPUTED_VALUE"""),"13-year-old and 17-year-old shot in front of the building")</f>
        <v>13-year-old and 17-year-old shot in front of the building</v>
      </c>
      <c r="Z104" s="12" t="str">
        <f ca="1">IFERROR(__xludf.DUMMYFUNCTION("""COMPUTED_VALUE"""),"Two boys, a 12-year-old and a 17-year-old , are recovering after a shooting in front of the shared campus of Thomas P. Ryan Recreation Center and School 33. The shooting happened shortly after 5 p.m. on Monday. Both boys were taken to the hospital, and in"&amp;"vestigators said they are expected to survive. Shooter fled.")</f>
        <v>Two boys, a 12-year-old and a 17-year-old , are recovering after a shooting in front of the shared campus of Thomas P. Ryan Recreation Center and School 33. The shooting happened shortly after 5 p.m. on Monday. Both boys were taken to the hospital, and investigators said they are expected to survive. Shooter fled.</v>
      </c>
      <c r="AA104" s="8"/>
      <c r="AB104" s="8"/>
      <c r="AC104" s="8" t="str">
        <f ca="1">IFERROR(__xludf.DUMMYFUNCTION("""COMPUTED_VALUE"""),"Yes")</f>
        <v>Yes</v>
      </c>
      <c r="AD104" s="8"/>
      <c r="AE104" s="8" t="str">
        <f ca="1">IFERROR(__xludf.DUMMYFUNCTION("""COMPUTED_VALUE"""),"No")</f>
        <v>No</v>
      </c>
      <c r="AF104" s="8"/>
      <c r="AG104" s="8" t="str">
        <f ca="1">IFERROR(__xludf.DUMMYFUNCTION("""COMPUTED_VALUE"""),"No")</f>
        <v>No</v>
      </c>
      <c r="AH104" s="8" t="str">
        <f ca="1">IFERROR(__xludf.DUMMYFUNCTION("""COMPUTED_VALUE"""),"No")</f>
        <v>No</v>
      </c>
      <c r="AI104" s="8" t="str">
        <f ca="1">IFERROR(__xludf.DUMMYFUNCTION("""COMPUTED_VALUE"""),"No")</f>
        <v>No</v>
      </c>
      <c r="AJ104" s="8" t="str">
        <f ca="1">IFERROR(__xludf.DUMMYFUNCTION("""COMPUTED_VALUE"""),"No")</f>
        <v>No</v>
      </c>
      <c r="AK104" s="8" t="str">
        <f ca="1">IFERROR(__xludf.DUMMYFUNCTION("""COMPUTED_VALUE"""),"No")</f>
        <v>No</v>
      </c>
      <c r="AL104" s="8"/>
      <c r="AM104" s="8" t="str">
        <f ca="1">IFERROR(__xludf.DUMMYFUNCTION("""COMPUTED_VALUE"""),"No")</f>
        <v>No</v>
      </c>
      <c r="AN104" s="8" t="str">
        <f ca="1">IFERROR(__xludf.DUMMYFUNCTION("""COMPUTED_VALUE"""),"Outside")</f>
        <v>Outside</v>
      </c>
      <c r="AO104" s="8" t="str">
        <f ca="1">IFERROR(__xludf.DUMMYFUNCTION("""COMPUTED_VALUE"""),"No")</f>
        <v>No</v>
      </c>
      <c r="AP104" s="8"/>
      <c r="AQ104" s="8"/>
      <c r="AR104" s="8" t="str">
        <f ca="1">IFERROR(__xludf.DUMMYFUNCTION("""COMPUTED_VALUE"""),"Outside/Off-Property")</f>
        <v>Outside/Off-Property</v>
      </c>
      <c r="AS104" s="8">
        <f ca="1">IFERROR(__xludf.DUMMYFUNCTION("""COMPUTED_VALUE"""),99)</f>
        <v>99</v>
      </c>
      <c r="AT104" s="8" t="str">
        <f ca="1">IFERROR(__xludf.DUMMYFUNCTION("""COMPUTED_VALUE"""),"No")</f>
        <v>No</v>
      </c>
      <c r="AU104" s="8">
        <f ca="1">IFERROR(__xludf.DUMMYFUNCTION("""COMPUTED_VALUE"""),43.169689)</f>
        <v>43.169688999999998</v>
      </c>
      <c r="AV104" s="8">
        <f ca="1">IFERROR(__xludf.DUMMYFUNCTION("""COMPUTED_VALUE"""),-77.571599)</f>
        <v>-77.571599000000006</v>
      </c>
      <c r="AW104" s="8" t="str">
        <f ca="1">IFERROR(__xludf.DUMMYFUNCTION("""COMPUTED_VALUE"""),"Multiple attached buildings")</f>
        <v>Multiple attached buildings</v>
      </c>
      <c r="AX104" s="8">
        <f ca="1">IFERROR(__xludf.DUMMYFUNCTION("""COMPUTED_VALUE"""),14609)</f>
        <v>14609</v>
      </c>
    </row>
    <row r="105" spans="1:50" ht="75" x14ac:dyDescent="0.2">
      <c r="A105" s="8" t="str">
        <f ca="1">IFERROR(__xludf.DUMMYFUNCTION("""COMPUTED_VALUE"""),"20250414TXJAF")</f>
        <v>20250414TXJAF</v>
      </c>
      <c r="B105" s="8">
        <f ca="1">IFERROR(__xludf.DUMMYFUNCTION("""COMPUTED_VALUE"""),4)</f>
        <v>4</v>
      </c>
      <c r="C105" s="8">
        <f ca="1">IFERROR(__xludf.DUMMYFUNCTION("""COMPUTED_VALUE"""),14)</f>
        <v>14</v>
      </c>
      <c r="D105" s="8">
        <f ca="1">IFERROR(__xludf.DUMMYFUNCTION("""COMPUTED_VALUE"""),2025)</f>
        <v>2025</v>
      </c>
      <c r="E105" s="9">
        <f ca="1">IFERROR(__xludf.DUMMYFUNCTION("""COMPUTED_VALUE"""),45761)</f>
        <v>45761</v>
      </c>
      <c r="F105" s="8" t="str">
        <f ca="1">IFERROR(__xludf.DUMMYFUNCTION("""COMPUTED_VALUE"""),"J.A. Hargrave Elementary School")</f>
        <v>J.A. Hargrave Elementary School</v>
      </c>
      <c r="G105" s="8">
        <f ca="1">IFERROR(__xludf.DUMMYFUNCTION("""COMPUTED_VALUE"""),0)</f>
        <v>0</v>
      </c>
      <c r="H105" s="8">
        <f ca="1">IFERROR(__xludf.DUMMYFUNCTION("""COMPUTED_VALUE"""),2)</f>
        <v>2</v>
      </c>
      <c r="I105" s="8">
        <f ca="1">IFERROR(__xludf.DUMMYFUNCTION("""COMPUTED_VALUE"""),2)</f>
        <v>2</v>
      </c>
      <c r="J105" s="8">
        <f ca="1">IFERROR(__xludf.DUMMYFUNCTION("""COMPUTED_VALUE"""),0)</f>
        <v>0</v>
      </c>
      <c r="K105" s="10" t="str">
        <f ca="1">IFERROR(__xludf.DUMMYFUNCTION("""COMPUTED_VALUE"""),"https://www.fox4news.com/news/ja-hargrave-elementary-closed
https://www.nbcdfw.com/news/local/crowley-isd-elementary-school-closed-monday-due-to-nearby-police-investigation/3816298/")</f>
        <v>https://www.fox4news.com/news/ja-hargrave-elementary-closed
https://www.nbcdfw.com/news/local/crowley-isd-elementary-school-closed-monday-due-to-nearby-police-investigation/3816298/</v>
      </c>
      <c r="L105" s="8">
        <f ca="1">IFERROR(__xludf.DUMMYFUNCTION("""COMPUTED_VALUE"""),10)</f>
        <v>10</v>
      </c>
      <c r="M105" s="8" t="str">
        <f ca="1">IFERROR(__xludf.DUMMYFUNCTION("""COMPUTED_VALUE"""),"Regional")</f>
        <v>Regional</v>
      </c>
      <c r="N105" s="8">
        <f ca="1">IFERROR(__xludf.DUMMYFUNCTION("""COMPUTED_VALUE"""),4)</f>
        <v>4</v>
      </c>
      <c r="O105" s="8" t="str">
        <f ca="1">IFERROR(__xludf.DUMMYFUNCTION("""COMPUTED_VALUE"""),"Spring")</f>
        <v>Spring</v>
      </c>
      <c r="P105" s="8" t="str">
        <f ca="1">IFERROR(__xludf.DUMMYFUNCTION("""COMPUTED_VALUE"""),"Fort Worth")</f>
        <v>Fort Worth</v>
      </c>
      <c r="Q105" s="8" t="str">
        <f ca="1">IFERROR(__xludf.DUMMYFUNCTION("""COMPUTED_VALUE"""),"TX")</f>
        <v>TX</v>
      </c>
      <c r="R105" s="8" t="str">
        <f ca="1">IFERROR(__xludf.DUMMYFUNCTION("""COMPUTED_VALUE"""),"Elementary")</f>
        <v>Elementary</v>
      </c>
      <c r="S105" s="8" t="str">
        <f ca="1">IFERROR(__xludf.DUMMYFUNCTION("""COMPUTED_VALUE"""),"Front of School")</f>
        <v>Front of School</v>
      </c>
      <c r="T105" s="8" t="str">
        <f ca="1">IFERROR(__xludf.DUMMYFUNCTION("""COMPUTED_VALUE"""),"Outside on School Property")</f>
        <v>Outside on School Property</v>
      </c>
      <c r="U105" s="8" t="str">
        <f ca="1">IFERROR(__xludf.DUMMYFUNCTION("""COMPUTED_VALUE"""),"No")</f>
        <v>No</v>
      </c>
      <c r="V105" s="8" t="str">
        <f ca="1">IFERROR(__xludf.DUMMYFUNCTION("""COMPUTED_VALUE"""),"Night")</f>
        <v>Night</v>
      </c>
      <c r="W105" s="11">
        <f ca="1">IFERROR(__xludf.DUMMYFUNCTION("""COMPUTED_VALUE"""),0.1875)</f>
        <v>0.1875</v>
      </c>
      <c r="X105" s="8">
        <f ca="1">IFERROR(__xludf.DUMMYFUNCTION("""COMPUTED_VALUE"""),1)</f>
        <v>1</v>
      </c>
      <c r="Y105" s="12" t="str">
        <f ca="1">IFERROR(__xludf.DUMMYFUNCTION("""COMPUTED_VALUE"""),"Two people shot in front of the school, classes cancelled")</f>
        <v>Two people shot in front of the school, classes cancelled</v>
      </c>
      <c r="Z105" s="12" t="str">
        <f ca="1">IFERROR(__xludf.DUMMYFUNCTION("""COMPUTED_VALUE"""),"Two victim were shot in front of the school during the early morning before campus opened. Blood stains were visible on the sidewalk by the front door when news crews arrived. Classes were cancelled due to the ongoing police investigation.")</f>
        <v>Two victim were shot in front of the school during the early morning before campus opened. Blood stains were visible on the sidewalk by the front door when news crews arrived. Classes were cancelled due to the ongoing police investigation.</v>
      </c>
      <c r="AA105" s="8"/>
      <c r="AB105" s="8"/>
      <c r="AC105" s="8" t="str">
        <f ca="1">IFERROR(__xludf.DUMMYFUNCTION("""COMPUTED_VALUE"""),"Yes")</f>
        <v>Yes</v>
      </c>
      <c r="AD105" s="8" t="str">
        <f ca="1">IFERROR(__xludf.DUMMYFUNCTION("""COMPUTED_VALUE"""),"Victims Targeted")</f>
        <v>Victims Targeted</v>
      </c>
      <c r="AE105" s="8"/>
      <c r="AF105" s="8"/>
      <c r="AG105" s="8" t="str">
        <f ca="1">IFERROR(__xludf.DUMMYFUNCTION("""COMPUTED_VALUE"""),"No")</f>
        <v>No</v>
      </c>
      <c r="AH105" s="8" t="str">
        <f ca="1">IFERROR(__xludf.DUMMYFUNCTION("""COMPUTED_VALUE"""),"No")</f>
        <v>No</v>
      </c>
      <c r="AI105" s="8" t="str">
        <f ca="1">IFERROR(__xludf.DUMMYFUNCTION("""COMPUTED_VALUE"""),"No")</f>
        <v>No</v>
      </c>
      <c r="AJ105" s="8" t="str">
        <f ca="1">IFERROR(__xludf.DUMMYFUNCTION("""COMPUTED_VALUE"""),"No")</f>
        <v>No</v>
      </c>
      <c r="AK105" s="8" t="str">
        <f ca="1">IFERROR(__xludf.DUMMYFUNCTION("""COMPUTED_VALUE"""),"No")</f>
        <v>No</v>
      </c>
      <c r="AL105" s="8"/>
      <c r="AM105" s="8" t="str">
        <f ca="1">IFERROR(__xludf.DUMMYFUNCTION("""COMPUTED_VALUE"""),"No")</f>
        <v>No</v>
      </c>
      <c r="AN105" s="8" t="str">
        <f ca="1">IFERROR(__xludf.DUMMYFUNCTION("""COMPUTED_VALUE"""),"Outside")</f>
        <v>Outside</v>
      </c>
      <c r="AO105" s="8" t="str">
        <f ca="1">IFERROR(__xludf.DUMMYFUNCTION("""COMPUTED_VALUE"""),"No")</f>
        <v>No</v>
      </c>
      <c r="AP105" s="8"/>
      <c r="AQ105" s="8"/>
      <c r="AR105" s="8" t="str">
        <f ca="1">IFERROR(__xludf.DUMMYFUNCTION("""COMPUTED_VALUE"""),"Outside/Off-Property")</f>
        <v>Outside/Off-Property</v>
      </c>
      <c r="AS105" s="8">
        <f ca="1">IFERROR(__xludf.DUMMYFUNCTION("""COMPUTED_VALUE"""),99)</f>
        <v>99</v>
      </c>
      <c r="AT105" s="8" t="str">
        <f ca="1">IFERROR(__xludf.DUMMYFUNCTION("""COMPUTED_VALUE"""),"No")</f>
        <v>No</v>
      </c>
      <c r="AU105" s="8">
        <f ca="1">IFERROR(__xludf.DUMMYFUNCTION("""COMPUTED_VALUE"""),32.608179)</f>
        <v>32.608179</v>
      </c>
      <c r="AV105" s="8">
        <f ca="1">IFERROR(__xludf.DUMMYFUNCTION("""COMPUTED_VALUE"""),-97.364368)</f>
        <v>-97.364367999999999</v>
      </c>
      <c r="AW105" s="8" t="str">
        <f ca="1">IFERROR(__xludf.DUMMYFUNCTION("""COMPUTED_VALUE"""),"Single building indoor hallway")</f>
        <v>Single building indoor hallway</v>
      </c>
      <c r="AX105" s="8">
        <f ca="1">IFERROR(__xludf.DUMMYFUNCTION("""COMPUTED_VALUE"""),76123)</f>
        <v>76123</v>
      </c>
    </row>
    <row r="106" spans="1:50" ht="120" x14ac:dyDescent="0.2">
      <c r="A106" s="8" t="str">
        <f ca="1">IFERROR(__xludf.DUMMYFUNCTION("""COMPUTED_VALUE"""),"20250414ILCOC")</f>
        <v>20250414ILCOC</v>
      </c>
      <c r="B106" s="8">
        <f ca="1">IFERROR(__xludf.DUMMYFUNCTION("""COMPUTED_VALUE"""),4)</f>
        <v>4</v>
      </c>
      <c r="C106" s="8">
        <f ca="1">IFERROR(__xludf.DUMMYFUNCTION("""COMPUTED_VALUE"""),14)</f>
        <v>14</v>
      </c>
      <c r="D106" s="8">
        <f ca="1">IFERROR(__xludf.DUMMYFUNCTION("""COMPUTED_VALUE"""),2025)</f>
        <v>2025</v>
      </c>
      <c r="E106" s="9">
        <f ca="1">IFERROR(__xludf.DUMMYFUNCTION("""COMPUTED_VALUE"""),45761)</f>
        <v>45761</v>
      </c>
      <c r="F106" s="8" t="str">
        <f ca="1">IFERROR(__xludf.DUMMYFUNCTION("""COMPUTED_VALUE"""),"Corkery Elementary School")</f>
        <v>Corkery Elementary School</v>
      </c>
      <c r="G106" s="8">
        <f ca="1">IFERROR(__xludf.DUMMYFUNCTION("""COMPUTED_VALUE"""),0)</f>
        <v>0</v>
      </c>
      <c r="H106" s="8">
        <f ca="1">IFERROR(__xludf.DUMMYFUNCTION("""COMPUTED_VALUE"""),1)</f>
        <v>1</v>
      </c>
      <c r="I106" s="8">
        <f ca="1">IFERROR(__xludf.DUMMYFUNCTION("""COMPUTED_VALUE"""),1)</f>
        <v>1</v>
      </c>
      <c r="J106" s="8">
        <f ca="1">IFERROR(__xludf.DUMMYFUNCTION("""COMPUTED_VALUE"""),0)</f>
        <v>0</v>
      </c>
      <c r="K106" s="10" t="str">
        <f ca="1">IFERROR(__xludf.DUMMYFUNCTION("""COMPUTED_VALUE"""),"https://abc7chicago.com/post/little-village-chicago-shooting-today-woman-shot-during-fight-street-4300-block-west-25th-place-police-department-says/16174329/")</f>
        <v>https://abc7chicago.com/post/little-village-chicago-shooting-today-woman-shot-during-fight-street-4300-block-west-25th-place-police-department-says/16174329/</v>
      </c>
      <c r="L106" s="8">
        <f ca="1">IFERROR(__xludf.DUMMYFUNCTION("""COMPUTED_VALUE"""),1)</f>
        <v>1</v>
      </c>
      <c r="M106" s="8" t="str">
        <f ca="1">IFERROR(__xludf.DUMMYFUNCTION("""COMPUTED_VALUE"""),"Local")</f>
        <v>Local</v>
      </c>
      <c r="N106" s="8">
        <f ca="1">IFERROR(__xludf.DUMMYFUNCTION("""COMPUTED_VALUE"""),3)</f>
        <v>3</v>
      </c>
      <c r="O106" s="8" t="str">
        <f ca="1">IFERROR(__xludf.DUMMYFUNCTION("""COMPUTED_VALUE"""),"Spring")</f>
        <v>Spring</v>
      </c>
      <c r="P106" s="8" t="str">
        <f ca="1">IFERROR(__xludf.DUMMYFUNCTION("""COMPUTED_VALUE"""),"Chicago")</f>
        <v>Chicago</v>
      </c>
      <c r="Q106" s="8" t="str">
        <f ca="1">IFERROR(__xludf.DUMMYFUNCTION("""COMPUTED_VALUE"""),"IL")</f>
        <v>IL</v>
      </c>
      <c r="R106" s="8" t="str">
        <f ca="1">IFERROR(__xludf.DUMMYFUNCTION("""COMPUTED_VALUE"""),"Elementary")</f>
        <v>Elementary</v>
      </c>
      <c r="S106" s="8" t="str">
        <f ca="1">IFERROR(__xludf.DUMMYFUNCTION("""COMPUTED_VALUE"""),"Front of School")</f>
        <v>Front of School</v>
      </c>
      <c r="T106" s="8" t="str">
        <f ca="1">IFERROR(__xludf.DUMMYFUNCTION("""COMPUTED_VALUE"""),"Outside on School Property")</f>
        <v>Outside on School Property</v>
      </c>
      <c r="U106" s="8" t="str">
        <f ca="1">IFERROR(__xludf.DUMMYFUNCTION("""COMPUTED_VALUE"""),"No")</f>
        <v>No</v>
      </c>
      <c r="V106" s="8" t="str">
        <f ca="1">IFERROR(__xludf.DUMMYFUNCTION("""COMPUTED_VALUE"""),"Evening")</f>
        <v>Evening</v>
      </c>
      <c r="W106" s="11">
        <f ca="1">IFERROR(__xludf.DUMMYFUNCTION("""COMPUTED_VALUE"""),0.770833333333333)</f>
        <v>0.77083333333333304</v>
      </c>
      <c r="X106" s="8">
        <f ca="1">IFERROR(__xludf.DUMMYFUNCTION("""COMPUTED_VALUE"""),1)</f>
        <v>1</v>
      </c>
      <c r="Y106" s="12" t="str">
        <f ca="1">IFERROR(__xludf.DUMMYFUNCTION("""COMPUTED_VALUE"""),"Woman shot another woman during an argument in front of the school")</f>
        <v>Woman shot another woman during an argument in front of the school</v>
      </c>
      <c r="Z106" s="12" t="str">
        <f ca="1">IFERROR(__xludf.DUMMYFUNCTION("""COMPUTED_VALUE"""),"Officers responded to the Little Village neighborhood's 4300-block of West 25th Place just after 6:30 p.m. Police said a 39-year-old woman was involved in an altercation with another woman on the street outside Corkery Elementary School after a crash two "&amp;"blocks away. That's when that person took out a gun and fired shots at the victim, striking her in the abdomen and buttocks, police said.")</f>
        <v>Officers responded to the Little Village neighborhood's 4300-block of West 25th Place just after 6:30 p.m. Police said a 39-year-old woman was involved in an altercation with another woman on the street outside Corkery Elementary School after a crash two blocks away. That's when that person took out a gun and fired shots at the victim, striking her in the abdomen and buttocks, police said.</v>
      </c>
      <c r="AA106" s="8" t="str">
        <f ca="1">IFERROR(__xludf.DUMMYFUNCTION("""COMPUTED_VALUE"""),"Escalation of Dispute")</f>
        <v>Escalation of Dispute</v>
      </c>
      <c r="AB106" s="8" t="str">
        <f ca="1">IFERROR(__xludf.DUMMYFUNCTION("""COMPUTED_VALUE"""),"Spontaneous")</f>
        <v>Spontaneous</v>
      </c>
      <c r="AC106" s="8" t="str">
        <f ca="1">IFERROR(__xludf.DUMMYFUNCTION("""COMPUTED_VALUE"""),"No")</f>
        <v>No</v>
      </c>
      <c r="AD106" s="8" t="str">
        <f ca="1">IFERROR(__xludf.DUMMYFUNCTION("""COMPUTED_VALUE"""),"Victims Targeted")</f>
        <v>Victims Targeted</v>
      </c>
      <c r="AE106" s="8" t="str">
        <f ca="1">IFERROR(__xludf.DUMMYFUNCTION("""COMPUTED_VALUE"""),"No")</f>
        <v>No</v>
      </c>
      <c r="AF106" s="8"/>
      <c r="AG106" s="8" t="str">
        <f ca="1">IFERROR(__xludf.DUMMYFUNCTION("""COMPUTED_VALUE"""),"No")</f>
        <v>No</v>
      </c>
      <c r="AH106" s="8" t="str">
        <f ca="1">IFERROR(__xludf.DUMMYFUNCTION("""COMPUTED_VALUE"""),"No")</f>
        <v>No</v>
      </c>
      <c r="AI106" s="8" t="str">
        <f ca="1">IFERROR(__xludf.DUMMYFUNCTION("""COMPUTED_VALUE"""),"No")</f>
        <v>No</v>
      </c>
      <c r="AJ106" s="8" t="str">
        <f ca="1">IFERROR(__xludf.DUMMYFUNCTION("""COMPUTED_VALUE"""),"No")</f>
        <v>No</v>
      </c>
      <c r="AK106" s="8" t="str">
        <f ca="1">IFERROR(__xludf.DUMMYFUNCTION("""COMPUTED_VALUE"""),"No")</f>
        <v>No</v>
      </c>
      <c r="AL106" s="8" t="str">
        <f ca="1">IFERROR(__xludf.DUMMYFUNCTION("""COMPUTED_VALUE"""),"No")</f>
        <v>No</v>
      </c>
      <c r="AM106" s="8" t="str">
        <f ca="1">IFERROR(__xludf.DUMMYFUNCTION("""COMPUTED_VALUE"""),"No")</f>
        <v>No</v>
      </c>
      <c r="AN106" s="8" t="str">
        <f ca="1">IFERROR(__xludf.DUMMYFUNCTION("""COMPUTED_VALUE"""),"Outside")</f>
        <v>Outside</v>
      </c>
      <c r="AO106" s="8" t="str">
        <f ca="1">IFERROR(__xludf.DUMMYFUNCTION("""COMPUTED_VALUE"""),"No")</f>
        <v>No</v>
      </c>
      <c r="AP106" s="8"/>
      <c r="AQ106" s="8"/>
      <c r="AR106" s="8" t="str">
        <f ca="1">IFERROR(__xludf.DUMMYFUNCTION("""COMPUTED_VALUE"""),"Outside/Off-Property")</f>
        <v>Outside/Off-Property</v>
      </c>
      <c r="AS106" s="8">
        <f ca="1">IFERROR(__xludf.DUMMYFUNCTION("""COMPUTED_VALUE"""),99)</f>
        <v>99</v>
      </c>
      <c r="AT106" s="8" t="str">
        <f ca="1">IFERROR(__xludf.DUMMYFUNCTION("""COMPUTED_VALUE"""),"No")</f>
        <v>No</v>
      </c>
      <c r="AU106" s="8">
        <f ca="1">IFERROR(__xludf.DUMMYFUNCTION("""COMPUTED_VALUE"""),41.845127)</f>
        <v>41.845126999999998</v>
      </c>
      <c r="AV106" s="8">
        <f ca="1">IFERROR(__xludf.DUMMYFUNCTION("""COMPUTED_VALUE"""),-87.732181)</f>
        <v>-87.732180999999997</v>
      </c>
      <c r="AW106" s="8" t="str">
        <f ca="1">IFERROR(__xludf.DUMMYFUNCTION("""COMPUTED_VALUE"""),"Urban with fenced mini campus")</f>
        <v>Urban with fenced mini campus</v>
      </c>
      <c r="AX106" s="8">
        <f ca="1">IFERROR(__xludf.DUMMYFUNCTION("""COMPUTED_VALUE"""),60623)</f>
        <v>60623</v>
      </c>
    </row>
    <row r="107" spans="1:50" ht="180" x14ac:dyDescent="0.2">
      <c r="A107" s="8" t="str">
        <f ca="1">IFERROR(__xludf.DUMMYFUNCTION("""COMPUTED_VALUE"""),"20250411OHSTR")</f>
        <v>20250411OHSTR</v>
      </c>
      <c r="B107" s="8">
        <f ca="1">IFERROR(__xludf.DUMMYFUNCTION("""COMPUTED_VALUE"""),4)</f>
        <v>4</v>
      </c>
      <c r="C107" s="8">
        <f ca="1">IFERROR(__xludf.DUMMYFUNCTION("""COMPUTED_VALUE"""),11)</f>
        <v>11</v>
      </c>
      <c r="D107" s="8">
        <f ca="1">IFERROR(__xludf.DUMMYFUNCTION("""COMPUTED_VALUE"""),2025)</f>
        <v>2025</v>
      </c>
      <c r="E107" s="9">
        <f ca="1">IFERROR(__xludf.DUMMYFUNCTION("""COMPUTED_VALUE"""),45758)</f>
        <v>45758</v>
      </c>
      <c r="F107" s="8" t="str">
        <f ca="1">IFERROR(__xludf.DUMMYFUNCTION("""COMPUTED_VALUE"""),"St. Helen Catholic School")</f>
        <v>St. Helen Catholic School</v>
      </c>
      <c r="G107" s="8">
        <f ca="1">IFERROR(__xludf.DUMMYFUNCTION("""COMPUTED_VALUE"""),0)</f>
        <v>0</v>
      </c>
      <c r="H107" s="8">
        <f ca="1">IFERROR(__xludf.DUMMYFUNCTION("""COMPUTED_VALUE"""),0)</f>
        <v>0</v>
      </c>
      <c r="I107" s="8">
        <f ca="1">IFERROR(__xludf.DUMMYFUNCTION("""COMPUTED_VALUE"""),0)</f>
        <v>0</v>
      </c>
      <c r="J107" s="8">
        <f ca="1">IFERROR(__xludf.DUMMYFUNCTION("""COMPUTED_VALUE"""),0)</f>
        <v>0</v>
      </c>
      <c r="K107" s="10" t="str">
        <f ca="1">IFERROR(__xludf.DUMMYFUNCTION("""COMPUTED_VALUE"""),"https://www.wdtn.com/news/local-news/riverside-pd-looking-for-man-who-fired-gunshots-near-school/")</f>
        <v>https://www.wdtn.com/news/local-news/riverside-pd-looking-for-man-who-fired-gunshots-near-school/</v>
      </c>
      <c r="L107" s="8">
        <f ca="1">IFERROR(__xludf.DUMMYFUNCTION("""COMPUTED_VALUE"""),1)</f>
        <v>1</v>
      </c>
      <c r="M107" s="8" t="str">
        <f ca="1">IFERROR(__xludf.DUMMYFUNCTION("""COMPUTED_VALUE"""),"Local")</f>
        <v>Local</v>
      </c>
      <c r="N107" s="8">
        <f ca="1">IFERROR(__xludf.DUMMYFUNCTION("""COMPUTED_VALUE"""),3)</f>
        <v>3</v>
      </c>
      <c r="O107" s="8" t="str">
        <f ca="1">IFERROR(__xludf.DUMMYFUNCTION("""COMPUTED_VALUE"""),"Spring")</f>
        <v>Spring</v>
      </c>
      <c r="P107" s="8" t="str">
        <f ca="1">IFERROR(__xludf.DUMMYFUNCTION("""COMPUTED_VALUE"""),"Riverside")</f>
        <v>Riverside</v>
      </c>
      <c r="Q107" s="8" t="str">
        <f ca="1">IFERROR(__xludf.DUMMYFUNCTION("""COMPUTED_VALUE"""),"OH")</f>
        <v>OH</v>
      </c>
      <c r="R107" s="8" t="str">
        <f ca="1">IFERROR(__xludf.DUMMYFUNCTION("""COMPUTED_VALUE"""),"K-8")</f>
        <v>K-8</v>
      </c>
      <c r="S107" s="8" t="str">
        <f ca="1">IFERROR(__xludf.DUMMYFUNCTION("""COMPUTED_VALUE"""),"Parking Lot")</f>
        <v>Parking Lot</v>
      </c>
      <c r="T107" s="8" t="str">
        <f ca="1">IFERROR(__xludf.DUMMYFUNCTION("""COMPUTED_VALUE"""),"Outside on School Property")</f>
        <v>Outside on School Property</v>
      </c>
      <c r="U107" s="8"/>
      <c r="V107" s="8"/>
      <c r="W107" s="8"/>
      <c r="X107" s="8">
        <f ca="1">IFERROR(__xludf.DUMMYFUNCTION("""COMPUTED_VALUE"""),1)</f>
        <v>1</v>
      </c>
      <c r="Y107" s="12" t="str">
        <f ca="1">IFERROR(__xludf.DUMMYFUNCTION("""COMPUTED_VALUE"""),"Man fired shot into the air in the school parking lot")</f>
        <v>Man fired shot into the air in the school parking lot</v>
      </c>
      <c r="Z107" s="12" t="str">
        <f ca="1">IFERROR(__xludf.DUMMYFUNCTION("""COMPUTED_VALUE"""),"According to the Riverside Police Department, officers were called out on reports of suspicious individual in the area of Burkhardt Road near St. Helen Catholic School on the morning of April 11. When officers arrived on scene, witnesses told them that a "&amp;"suspect had fired a single gunshot into the air while driving away from the school parking lot. Investigation revealed the suspect had been confronted by another individual regarding his “erratic driving” near the school, prompting the firearm discharge. "&amp;"Wanted on charges for Improperly Discharging a Firearm with Intent to Cause Harm or Panic to Persons In A School Zone.")</f>
        <v>According to the Riverside Police Department, officers were called out on reports of suspicious individual in the area of Burkhardt Road near St. Helen Catholic School on the morning of April 11. When officers arrived on scene, witnesses told them that a suspect had fired a single gunshot into the air while driving away from the school parking lot. Investigation revealed the suspect had been confronted by another individual regarding his “erratic driving” near the school, prompting the firearm discharge. Wanted on charges for Improperly Discharging a Firearm with Intent to Cause Harm or Panic to Persons In A School Zone.</v>
      </c>
      <c r="AA107" s="8" t="str">
        <f ca="1">IFERROR(__xludf.DUMMYFUNCTION("""COMPUTED_VALUE"""),"Drive-by Shooting")</f>
        <v>Drive-by Shooting</v>
      </c>
      <c r="AB107" s="8" t="str">
        <f ca="1">IFERROR(__xludf.DUMMYFUNCTION("""COMPUTED_VALUE"""),"Spontaneous")</f>
        <v>Spontaneous</v>
      </c>
      <c r="AC107" s="8"/>
      <c r="AD107" s="8" t="str">
        <f ca="1">IFERROR(__xludf.DUMMYFUNCTION("""COMPUTED_VALUE"""),"Neither")</f>
        <v>Neither</v>
      </c>
      <c r="AE107" s="8" t="str">
        <f ca="1">IFERROR(__xludf.DUMMYFUNCTION("""COMPUTED_VALUE"""),"No")</f>
        <v>No</v>
      </c>
      <c r="AF107" s="8"/>
      <c r="AG107" s="8" t="str">
        <f ca="1">IFERROR(__xludf.DUMMYFUNCTION("""COMPUTED_VALUE"""),"No")</f>
        <v>No</v>
      </c>
      <c r="AH107" s="8" t="str">
        <f ca="1">IFERROR(__xludf.DUMMYFUNCTION("""COMPUTED_VALUE"""),"No")</f>
        <v>No</v>
      </c>
      <c r="AI107" s="8" t="str">
        <f ca="1">IFERROR(__xludf.DUMMYFUNCTION("""COMPUTED_VALUE"""),"No")</f>
        <v>No</v>
      </c>
      <c r="AJ107" s="8" t="str">
        <f ca="1">IFERROR(__xludf.DUMMYFUNCTION("""COMPUTED_VALUE"""),"No")</f>
        <v>No</v>
      </c>
      <c r="AK107" s="8" t="str">
        <f ca="1">IFERROR(__xludf.DUMMYFUNCTION("""COMPUTED_VALUE"""),"No")</f>
        <v>No</v>
      </c>
      <c r="AL107" s="8" t="str">
        <f ca="1">IFERROR(__xludf.DUMMYFUNCTION("""COMPUTED_VALUE"""),"No")</f>
        <v>No</v>
      </c>
      <c r="AM107" s="8" t="str">
        <f ca="1">IFERROR(__xludf.DUMMYFUNCTION("""COMPUTED_VALUE"""),"No")</f>
        <v>No</v>
      </c>
      <c r="AN107" s="8" t="str">
        <f ca="1">IFERROR(__xludf.DUMMYFUNCTION("""COMPUTED_VALUE"""),"Outside")</f>
        <v>Outside</v>
      </c>
      <c r="AO107" s="8" t="str">
        <f ca="1">IFERROR(__xludf.DUMMYFUNCTION("""COMPUTED_VALUE"""),"No")</f>
        <v>No</v>
      </c>
      <c r="AP107" s="8"/>
      <c r="AQ107" s="8"/>
      <c r="AR107" s="8" t="str">
        <f ca="1">IFERROR(__xludf.DUMMYFUNCTION("""COMPUTED_VALUE"""),"Outside/Off-Property")</f>
        <v>Outside/Off-Property</v>
      </c>
      <c r="AS107" s="8">
        <f ca="1">IFERROR(__xludf.DUMMYFUNCTION("""COMPUTED_VALUE"""),1)</f>
        <v>1</v>
      </c>
      <c r="AT107" s="8"/>
      <c r="AU107" s="8">
        <f ca="1">IFERROR(__xludf.DUMMYFUNCTION("""COMPUTED_VALUE"""),39.759051)</f>
        <v>39.759050999999999</v>
      </c>
      <c r="AV107" s="8">
        <f ca="1">IFERROR(__xludf.DUMMYFUNCTION("""COMPUTED_VALUE"""),-84.118608)</f>
        <v>-84.118607999999995</v>
      </c>
      <c r="AW107" s="8" t="str">
        <f ca="1">IFERROR(__xludf.DUMMYFUNCTION("""COMPUTED_VALUE"""),"Multiple detached buildings")</f>
        <v>Multiple detached buildings</v>
      </c>
      <c r="AX107" s="8">
        <f ca="1">IFERROR(__xludf.DUMMYFUNCTION("""COMPUTED_VALUE"""),45431)</f>
        <v>45431</v>
      </c>
    </row>
    <row r="108" spans="1:50" ht="210" x14ac:dyDescent="0.2">
      <c r="A108" s="8" t="str">
        <f ca="1">IFERROR(__xludf.DUMMYFUNCTION("""COMPUTED_VALUE"""),"20250410TNOVM")</f>
        <v>20250410TNOVM</v>
      </c>
      <c r="B108" s="8">
        <f ca="1">IFERROR(__xludf.DUMMYFUNCTION("""COMPUTED_VALUE"""),4)</f>
        <v>4</v>
      </c>
      <c r="C108" s="8">
        <f ca="1">IFERROR(__xludf.DUMMYFUNCTION("""COMPUTED_VALUE"""),10)</f>
        <v>10</v>
      </c>
      <c r="D108" s="8">
        <f ca="1">IFERROR(__xludf.DUMMYFUNCTION("""COMPUTED_VALUE"""),2025)</f>
        <v>2025</v>
      </c>
      <c r="E108" s="9">
        <f ca="1">IFERROR(__xludf.DUMMYFUNCTION("""COMPUTED_VALUE"""),45757)</f>
        <v>45757</v>
      </c>
      <c r="F108" s="8" t="str">
        <f ca="1">IFERROR(__xludf.DUMMYFUNCTION("""COMPUTED_VALUE"""),"Overton High School")</f>
        <v>Overton High School</v>
      </c>
      <c r="G108" s="8">
        <f ca="1">IFERROR(__xludf.DUMMYFUNCTION("""COMPUTED_VALUE"""),0)</f>
        <v>0</v>
      </c>
      <c r="H108" s="8">
        <f ca="1">IFERROR(__xludf.DUMMYFUNCTION("""COMPUTED_VALUE"""),1)</f>
        <v>1</v>
      </c>
      <c r="I108" s="8">
        <f ca="1">IFERROR(__xludf.DUMMYFUNCTION("""COMPUTED_VALUE"""),1)</f>
        <v>1</v>
      </c>
      <c r="J108" s="8">
        <f ca="1">IFERROR(__xludf.DUMMYFUNCTION("""COMPUTED_VALUE"""),0)</f>
        <v>0</v>
      </c>
      <c r="K108" s="10" t="str">
        <f ca="1">IFERROR(__xludf.DUMMYFUNCTION("""COMPUTED_VALUE"""),"https://www.fox13memphis.com/education/teen-girl-shot-in-park-leading-to-lockdown-at-overton-high-school/article_e4fbf905-3129-4b15-892d-0e3faf2d2950.html")</f>
        <v>https://www.fox13memphis.com/education/teen-girl-shot-in-park-leading-to-lockdown-at-overton-high-school/article_e4fbf905-3129-4b15-892d-0e3faf2d2950.html</v>
      </c>
      <c r="L108" s="8">
        <f ca="1">IFERROR(__xludf.DUMMYFUNCTION("""COMPUTED_VALUE"""),8)</f>
        <v>8</v>
      </c>
      <c r="M108" s="8" t="str">
        <f ca="1">IFERROR(__xludf.DUMMYFUNCTION("""COMPUTED_VALUE"""),"Regional")</f>
        <v>Regional</v>
      </c>
      <c r="N108" s="8">
        <f ca="1">IFERROR(__xludf.DUMMYFUNCTION("""COMPUTED_VALUE"""),4)</f>
        <v>4</v>
      </c>
      <c r="O108" s="8" t="str">
        <f ca="1">IFERROR(__xludf.DUMMYFUNCTION("""COMPUTED_VALUE"""),"Spring")</f>
        <v>Spring</v>
      </c>
      <c r="P108" s="8" t="str">
        <f ca="1">IFERROR(__xludf.DUMMYFUNCTION("""COMPUTED_VALUE"""),"Memphis")</f>
        <v>Memphis</v>
      </c>
      <c r="Q108" s="8" t="str">
        <f ca="1">IFERROR(__xludf.DUMMYFUNCTION("""COMPUTED_VALUE"""),"TN")</f>
        <v>TN</v>
      </c>
      <c r="R108" s="8" t="str">
        <f ca="1">IFERROR(__xludf.DUMMYFUNCTION("""COMPUTED_VALUE"""),"High")</f>
        <v>High</v>
      </c>
      <c r="S108" s="8" t="str">
        <f ca="1">IFERROR(__xludf.DUMMYFUNCTION("""COMPUTED_VALUE"""),"Playground")</f>
        <v>Playground</v>
      </c>
      <c r="T108" s="8" t="str">
        <f ca="1">IFERROR(__xludf.DUMMYFUNCTION("""COMPUTED_VALUE"""),"Outside on School Property")</f>
        <v>Outside on School Property</v>
      </c>
      <c r="U108" s="8" t="str">
        <f ca="1">IFERROR(__xludf.DUMMYFUNCTION("""COMPUTED_VALUE"""),"Yes")</f>
        <v>Yes</v>
      </c>
      <c r="V108" s="8" t="str">
        <f ca="1">IFERROR(__xludf.DUMMYFUNCTION("""COMPUTED_VALUE"""),"Morning Classes")</f>
        <v>Morning Classes</v>
      </c>
      <c r="W108" s="11">
        <f ca="1">IFERROR(__xludf.DUMMYFUNCTION("""COMPUTED_VALUE"""),0.416666666666666)</f>
        <v>0.41666666666666602</v>
      </c>
      <c r="X108" s="8">
        <f ca="1">IFERROR(__xludf.DUMMYFUNCTION("""COMPUTED_VALUE"""),1)</f>
        <v>1</v>
      </c>
      <c r="Y108" s="12" t="str">
        <f ca="1">IFERROR(__xludf.DUMMYFUNCTION("""COMPUTED_VALUE"""),"Explled student shot during fight on the playground during morning classes")</f>
        <v>Explled student shot during fight on the playground during morning classes</v>
      </c>
      <c r="Z108" s="12" t="str">
        <f ca="1">IFERROR(__xludf.DUMMYFUNCTION("""COMPUTED_VALUE"""),"A teen girl was shot on the playground next to the Overton High School athletic fields Thursday morning, according to the Memphis Police Department (MPD).  An MPD spokesperson said that the girl was fighting with other people at Willow Road Park when a ma"&amp;"n in a dark-colored SUV pulled up and fired shots. Investigators found two shell casings at the scene. Police said the girl suffered critical injuries in the shooting and that she was rushed to Regional One Health. The shooting prompted a lockdown at near"&amp;"by Overton High School. A spokesperson for the Memphis-Shelby County Schools District identified the injured girl as a previous Overton High student. According to the school district's spokesperson, the girl was expelled from the school in 2023. ")</f>
        <v xml:space="preserve">A teen girl was shot on the playground next to the Overton High School athletic fields Thursday morning, according to the Memphis Police Department (MPD).  An MPD spokesperson said that the girl was fighting with other people at Willow Road Park when a man in a dark-colored SUV pulled up and fired shots. Investigators found two shell casings at the scene. Police said the girl suffered critical injuries in the shooting and that she was rushed to Regional One Health. The shooting prompted a lockdown at nearby Overton High School. A spokesperson for the Memphis-Shelby County Schools District identified the injured girl as a previous Overton High student. According to the school district's spokesperson, the girl was expelled from the school in 2023. </v>
      </c>
      <c r="AA108" s="8" t="str">
        <f ca="1">IFERROR(__xludf.DUMMYFUNCTION("""COMPUTED_VALUE"""),"Escalation of Dispute")</f>
        <v>Escalation of Dispute</v>
      </c>
      <c r="AB108" s="8" t="str">
        <f ca="1">IFERROR(__xludf.DUMMYFUNCTION("""COMPUTED_VALUE"""),"Spontaneous")</f>
        <v>Spontaneous</v>
      </c>
      <c r="AC108" s="8" t="str">
        <f ca="1">IFERROR(__xludf.DUMMYFUNCTION("""COMPUTED_VALUE"""),"Yes")</f>
        <v>Yes</v>
      </c>
      <c r="AD108" s="8" t="str">
        <f ca="1">IFERROR(__xludf.DUMMYFUNCTION("""COMPUTED_VALUE"""),"Victims Targeted")</f>
        <v>Victims Targeted</v>
      </c>
      <c r="AE108" s="8" t="str">
        <f ca="1">IFERROR(__xludf.DUMMYFUNCTION("""COMPUTED_VALUE"""),"No")</f>
        <v>No</v>
      </c>
      <c r="AF108" s="8"/>
      <c r="AG108" s="8" t="str">
        <f ca="1">IFERROR(__xludf.DUMMYFUNCTION("""COMPUTED_VALUE"""),"No")</f>
        <v>No</v>
      </c>
      <c r="AH108" s="8" t="str">
        <f ca="1">IFERROR(__xludf.DUMMYFUNCTION("""COMPUTED_VALUE"""),"No")</f>
        <v>No</v>
      </c>
      <c r="AI108" s="8" t="str">
        <f ca="1">IFERROR(__xludf.DUMMYFUNCTION("""COMPUTED_VALUE"""),"No")</f>
        <v>No</v>
      </c>
      <c r="AJ108" s="8" t="str">
        <f ca="1">IFERROR(__xludf.DUMMYFUNCTION("""COMPUTED_VALUE"""),"No")</f>
        <v>No</v>
      </c>
      <c r="AK108" s="8" t="str">
        <f ca="1">IFERROR(__xludf.DUMMYFUNCTION("""COMPUTED_VALUE"""),"No")</f>
        <v>No</v>
      </c>
      <c r="AL108" s="8" t="str">
        <f ca="1">IFERROR(__xludf.DUMMYFUNCTION("""COMPUTED_VALUE"""),"No")</f>
        <v>No</v>
      </c>
      <c r="AM108" s="8" t="str">
        <f ca="1">IFERROR(__xludf.DUMMYFUNCTION("""COMPUTED_VALUE"""),"No")</f>
        <v>No</v>
      </c>
      <c r="AN108" s="8" t="str">
        <f ca="1">IFERROR(__xludf.DUMMYFUNCTION("""COMPUTED_VALUE"""),"Outside")</f>
        <v>Outside</v>
      </c>
      <c r="AO108" s="8" t="str">
        <f ca="1">IFERROR(__xludf.DUMMYFUNCTION("""COMPUTED_VALUE"""),"No")</f>
        <v>No</v>
      </c>
      <c r="AP108" s="8"/>
      <c r="AQ108" s="8"/>
      <c r="AR108" s="8" t="str">
        <f ca="1">IFERROR(__xludf.DUMMYFUNCTION("""COMPUTED_VALUE"""),"Outside/Off-Property")</f>
        <v>Outside/Off-Property</v>
      </c>
      <c r="AS108" s="8">
        <f ca="1">IFERROR(__xludf.DUMMYFUNCTION("""COMPUTED_VALUE"""),2)</f>
        <v>2</v>
      </c>
      <c r="AT108" s="8" t="str">
        <f ca="1">IFERROR(__xludf.DUMMYFUNCTION("""COMPUTED_VALUE"""),"Yes")</f>
        <v>Yes</v>
      </c>
      <c r="AU108" s="8">
        <f ca="1">IFERROR(__xludf.DUMMYFUNCTION("""COMPUTED_VALUE"""),35.0842)</f>
        <v>35.084200000000003</v>
      </c>
      <c r="AV108" s="8">
        <f ca="1">IFERROR(__xludf.DUMMYFUNCTION("""COMPUTED_VALUE"""),-89.903871)</f>
        <v>-89.903870999999995</v>
      </c>
      <c r="AW108" s="8" t="str">
        <f ca="1">IFERROR(__xludf.DUMMYFUNCTION("""COMPUTED_VALUE"""),"Multiple detached buildings")</f>
        <v>Multiple detached buildings</v>
      </c>
      <c r="AX108" s="8">
        <f ca="1">IFERROR(__xludf.DUMMYFUNCTION("""COMPUTED_VALUE"""),38117)</f>
        <v>38117</v>
      </c>
    </row>
    <row r="109" spans="1:50" ht="240" x14ac:dyDescent="0.2">
      <c r="A109" s="8" t="str">
        <f ca="1">IFERROR(__xludf.DUMMYFUNCTION("""COMPUTED_VALUE"""),"20250409DEASN")</f>
        <v>20250409DEASN</v>
      </c>
      <c r="B109" s="8">
        <f ca="1">IFERROR(__xludf.DUMMYFUNCTION("""COMPUTED_VALUE"""),4)</f>
        <v>4</v>
      </c>
      <c r="C109" s="8">
        <f ca="1">IFERROR(__xludf.DUMMYFUNCTION("""COMPUTED_VALUE"""),9)</f>
        <v>9</v>
      </c>
      <c r="D109" s="8">
        <f ca="1">IFERROR(__xludf.DUMMYFUNCTION("""COMPUTED_VALUE"""),2025)</f>
        <v>2025</v>
      </c>
      <c r="E109" s="9">
        <f ca="1">IFERROR(__xludf.DUMMYFUNCTION("""COMPUTED_VALUE"""),45756)</f>
        <v>45756</v>
      </c>
      <c r="F109" s="8" t="str">
        <f ca="1">IFERROR(__xludf.DUMMYFUNCTION("""COMPUTED_VALUE"""),"Aspira High School")</f>
        <v>Aspira High School</v>
      </c>
      <c r="G109" s="8">
        <f ca="1">IFERROR(__xludf.DUMMYFUNCTION("""COMPUTED_VALUE"""),0)</f>
        <v>0</v>
      </c>
      <c r="H109" s="8">
        <f ca="1">IFERROR(__xludf.DUMMYFUNCTION("""COMPUTED_VALUE"""),1)</f>
        <v>1</v>
      </c>
      <c r="I109" s="8">
        <f ca="1">IFERROR(__xludf.DUMMYFUNCTION("""COMPUTED_VALUE"""),1)</f>
        <v>1</v>
      </c>
      <c r="J109" s="8">
        <f ca="1">IFERROR(__xludf.DUMMYFUNCTION("""COMPUTED_VALUE"""),0)</f>
        <v>0</v>
      </c>
      <c r="K109" s="8" t="str">
        <f ca="1">IFERROR(__xludf.DUMMYFUNCTION("""COMPUTED_VALUE"""),"https://www.delawareonline.com/story/news/crime/2025/04/10/staff-member-accidentally-fires-gun-las-americas-aspira-academy-delaware-state-police/83023019007/
https://dsp.delaware.gov/2025/04/10/state-police-investigating-shooting-incident-at-aspira-charte"&amp;"r-high-school-in-newark/")</f>
        <v>https://www.delawareonline.com/story/news/crime/2025/04/10/staff-member-accidentally-fires-gun-las-americas-aspira-academy-delaware-state-police/83023019007/
https://dsp.delaware.gov/2025/04/10/state-police-investigating-shooting-incident-at-aspira-charter-high-school-in-newark/</v>
      </c>
      <c r="L109" s="8">
        <f ca="1">IFERROR(__xludf.DUMMYFUNCTION("""COMPUTED_VALUE"""),5)</f>
        <v>5</v>
      </c>
      <c r="M109" s="8" t="str">
        <f ca="1">IFERROR(__xludf.DUMMYFUNCTION("""COMPUTED_VALUE"""),"Regional")</f>
        <v>Regional</v>
      </c>
      <c r="N109" s="8">
        <f ca="1">IFERROR(__xludf.DUMMYFUNCTION("""COMPUTED_VALUE"""),4)</f>
        <v>4</v>
      </c>
      <c r="O109" s="8" t="str">
        <f ca="1">IFERROR(__xludf.DUMMYFUNCTION("""COMPUTED_VALUE"""),"Spring")</f>
        <v>Spring</v>
      </c>
      <c r="P109" s="8" t="str">
        <f ca="1">IFERROR(__xludf.DUMMYFUNCTION("""COMPUTED_VALUE"""),"Newark")</f>
        <v>Newark</v>
      </c>
      <c r="Q109" s="8" t="str">
        <f ca="1">IFERROR(__xludf.DUMMYFUNCTION("""COMPUTED_VALUE"""),"DE")</f>
        <v>DE</v>
      </c>
      <c r="R109" s="8" t="str">
        <f ca="1">IFERROR(__xludf.DUMMYFUNCTION("""COMPUTED_VALUE"""),"High")</f>
        <v>High</v>
      </c>
      <c r="S109" s="8" t="str">
        <f ca="1">IFERROR(__xludf.DUMMYFUNCTION("""COMPUTED_VALUE"""),"Inside School Building")</f>
        <v>Inside School Building</v>
      </c>
      <c r="T109" s="8" t="str">
        <f ca="1">IFERROR(__xludf.DUMMYFUNCTION("""COMPUTED_VALUE"""),"Inside School Building")</f>
        <v>Inside School Building</v>
      </c>
      <c r="U109" s="8" t="str">
        <f ca="1">IFERROR(__xludf.DUMMYFUNCTION("""COMPUTED_VALUE"""),"Yes")</f>
        <v>Yes</v>
      </c>
      <c r="V109" s="8" t="str">
        <f ca="1">IFERROR(__xludf.DUMMYFUNCTION("""COMPUTED_VALUE"""),"School Start")</f>
        <v>School Start</v>
      </c>
      <c r="W109" s="11">
        <f ca="1">IFERROR(__xludf.DUMMYFUNCTION("""COMPUTED_VALUE"""),0.291666666666666)</f>
        <v>0.29166666666666602</v>
      </c>
      <c r="X109" s="8">
        <f ca="1">IFERROR(__xludf.DUMMYFUNCTION("""COMPUTED_VALUE"""),1)</f>
        <v>1</v>
      </c>
      <c r="Y109" s="12" t="str">
        <f ca="1">IFERROR(__xludf.DUMMYFUNCTION("""COMPUTED_VALUE"""),"Staff member shot himself in the leg in the hallway with students around")</f>
        <v>Staff member shot himself in the leg in the hallway with students around</v>
      </c>
      <c r="Z109" s="12" t="str">
        <f ca="1">IFERROR(__xludf.DUMMYFUNCTION("""COMPUTED_VALUE"""),"On April 10, 2025, at approximately 7:02 a.m., troopers responded to a report of a shooting at ASPIRA Charter High School, located at 750 Otts Chapel Road, Newark. Upon arriving, troopers discovered that a 41-year-old man, who was a school bus driver and "&amp;"member of the Culture &amp; Climate Team, had sustained a gunshot wound to the leg after his firearm, which was concealed in his clothing, accidentally discharged while inside the school. A preliminary investigation indicates that the firearm, which was conce"&amp;"aled in the school employee’s waistband, discharged unintentionally due to how it was handled or manipulated. The incident took place in a school hallway while children and staff members were present. Fortunately, no one else was injured. The school’s con"&amp;"stable rendered aid to the school employee, who was ultimately transported to an area hospital by EMS.")</f>
        <v>On April 10, 2025, at approximately 7:02 a.m., troopers responded to a report of a shooting at ASPIRA Charter High School, located at 750 Otts Chapel Road, Newark. Upon arriving, troopers discovered that a 41-year-old man, who was a school bus driver and member of the Culture &amp; Climate Team, had sustained a gunshot wound to the leg after his firearm, which was concealed in his clothing, accidentally discharged while inside the school. A preliminary investigation indicates that the firearm, which was concealed in the school employee’s waistband, discharged unintentionally due to how it was handled or manipulated. The incident took place in a school hallway while children and staff members were present. Fortunately, no one else was injured. The school’s constable rendered aid to the school employee, who was ultimately transported to an area hospital by EMS.</v>
      </c>
      <c r="AA109" s="8" t="str">
        <f ca="1">IFERROR(__xludf.DUMMYFUNCTION("""COMPUTED_VALUE"""),"Accidental")</f>
        <v>Accidental</v>
      </c>
      <c r="AB109" s="8" t="str">
        <f ca="1">IFERROR(__xludf.DUMMYFUNCTION("""COMPUTED_VALUE"""),"Spontaneous")</f>
        <v>Spontaneous</v>
      </c>
      <c r="AC109" s="8" t="str">
        <f ca="1">IFERROR(__xludf.DUMMYFUNCTION("""COMPUTED_VALUE"""),"Yes")</f>
        <v>Yes</v>
      </c>
      <c r="AD109" s="8" t="str">
        <f ca="1">IFERROR(__xludf.DUMMYFUNCTION("""COMPUTED_VALUE"""),"Neither")</f>
        <v>Neither</v>
      </c>
      <c r="AE109" s="8" t="str">
        <f ca="1">IFERROR(__xludf.DUMMYFUNCTION("""COMPUTED_VALUE"""),"No")</f>
        <v>No</v>
      </c>
      <c r="AF109" s="8"/>
      <c r="AG109" s="8" t="str">
        <f ca="1">IFERROR(__xludf.DUMMYFUNCTION("""COMPUTED_VALUE"""),"No")</f>
        <v>No</v>
      </c>
      <c r="AH109" s="8" t="str">
        <f ca="1">IFERROR(__xludf.DUMMYFUNCTION("""COMPUTED_VALUE"""),"No")</f>
        <v>No</v>
      </c>
      <c r="AI109" s="8" t="str">
        <f ca="1">IFERROR(__xludf.DUMMYFUNCTION("""COMPUTED_VALUE"""),"No")</f>
        <v>No</v>
      </c>
      <c r="AJ109" s="8" t="str">
        <f ca="1">IFERROR(__xludf.DUMMYFUNCTION("""COMPUTED_VALUE"""),"No")</f>
        <v>No</v>
      </c>
      <c r="AK109" s="8" t="str">
        <f ca="1">IFERROR(__xludf.DUMMYFUNCTION("""COMPUTED_VALUE"""),"No")</f>
        <v>No</v>
      </c>
      <c r="AL109" s="8" t="str">
        <f ca="1">IFERROR(__xludf.DUMMYFUNCTION("""COMPUTED_VALUE"""),"No")</f>
        <v>No</v>
      </c>
      <c r="AM109" s="8" t="str">
        <f ca="1">IFERROR(__xludf.DUMMYFUNCTION("""COMPUTED_VALUE"""),"No")</f>
        <v>No</v>
      </c>
      <c r="AN109" s="8" t="str">
        <f ca="1">IFERROR(__xludf.DUMMYFUNCTION("""COMPUTED_VALUE"""),"Hallway")</f>
        <v>Hallway</v>
      </c>
      <c r="AO109" s="8" t="str">
        <f ca="1">IFERROR(__xludf.DUMMYFUNCTION("""COMPUTED_VALUE"""),"No")</f>
        <v>No</v>
      </c>
      <c r="AP109" s="8"/>
      <c r="AQ109" s="8"/>
      <c r="AR109" s="8" t="str">
        <f ca="1">IFERROR(__xludf.DUMMYFUNCTION("""COMPUTED_VALUE"""),"Failed")</f>
        <v>Failed</v>
      </c>
      <c r="AS109" s="8">
        <f ca="1">IFERROR(__xludf.DUMMYFUNCTION("""COMPUTED_VALUE"""),1)</f>
        <v>1</v>
      </c>
      <c r="AT109" s="8" t="str">
        <f ca="1">IFERROR(__xludf.DUMMYFUNCTION("""COMPUTED_VALUE"""),"Yes")</f>
        <v>Yes</v>
      </c>
      <c r="AU109" s="8">
        <f ca="1">IFERROR(__xludf.DUMMYFUNCTION("""COMPUTED_VALUE"""),39.651651)</f>
        <v>39.651651000000001</v>
      </c>
      <c r="AV109" s="8">
        <f ca="1">IFERROR(__xludf.DUMMYFUNCTION("""COMPUTED_VALUE"""),-75.7818)</f>
        <v>-75.781800000000004</v>
      </c>
      <c r="AW109" s="8" t="str">
        <f ca="1">IFERROR(__xludf.DUMMYFUNCTION("""COMPUTED_VALUE"""),"Single building indoor hallway")</f>
        <v>Single building indoor hallway</v>
      </c>
      <c r="AX109" s="8">
        <f ca="1">IFERROR(__xludf.DUMMYFUNCTION("""COMPUTED_VALUE"""),19713)</f>
        <v>19713</v>
      </c>
    </row>
    <row r="110" spans="1:50" ht="300" x14ac:dyDescent="0.2">
      <c r="A110" s="8" t="str">
        <f ca="1">IFERROR(__xludf.DUMMYFUNCTION("""COMPUTED_VALUE"""),"20250409MDBIW")</f>
        <v>20250409MDBIW</v>
      </c>
      <c r="B110" s="8">
        <f ca="1">IFERROR(__xludf.DUMMYFUNCTION("""COMPUTED_VALUE"""),4)</f>
        <v>4</v>
      </c>
      <c r="C110" s="8">
        <f ca="1">IFERROR(__xludf.DUMMYFUNCTION("""COMPUTED_VALUE"""),9)</f>
        <v>9</v>
      </c>
      <c r="D110" s="8">
        <f ca="1">IFERROR(__xludf.DUMMYFUNCTION("""COMPUTED_VALUE"""),2025)</f>
        <v>2025</v>
      </c>
      <c r="E110" s="9">
        <f ca="1">IFERROR(__xludf.DUMMYFUNCTION("""COMPUTED_VALUE"""),45756)</f>
        <v>45756</v>
      </c>
      <c r="F110" s="8" t="str">
        <f ca="1">IFERROR(__xludf.DUMMYFUNCTION("""COMPUTED_VALUE"""),"Billingsley Elementary School")</f>
        <v>Billingsley Elementary School</v>
      </c>
      <c r="G110" s="8">
        <f ca="1">IFERROR(__xludf.DUMMYFUNCTION("""COMPUTED_VALUE"""),0)</f>
        <v>0</v>
      </c>
      <c r="H110" s="8">
        <f ca="1">IFERROR(__xludf.DUMMYFUNCTION("""COMPUTED_VALUE"""),0)</f>
        <v>0</v>
      </c>
      <c r="I110" s="8">
        <f ca="1">IFERROR(__xludf.DUMMYFUNCTION("""COMPUTED_VALUE"""),0)</f>
        <v>0</v>
      </c>
      <c r="J110" s="8">
        <f ca="1">IFERROR(__xludf.DUMMYFUNCTION("""COMPUTED_VALUE"""),0)</f>
        <v>0</v>
      </c>
      <c r="K110" s="8" t="str">
        <f ca="1">IFERROR(__xludf.DUMMYFUNCTION("""COMPUTED_VALUE"""),"https://southernmarylandchronicle.com/2025/04/11/update-9-year-olds-firearm-discharges-at-school/
https://www.wusa9.com/article/news/education/gun-discharges-childs-backpack-charles-county-billingsley-elementary-school/65-338af3da-be70-4930-baa9-010c26d36"&amp;"5c0")</f>
        <v>https://southernmarylandchronicle.com/2025/04/11/update-9-year-olds-firearm-discharges-at-school/
https://www.wusa9.com/article/news/education/gun-discharges-childs-backpack-charles-county-billingsley-elementary-school/65-338af3da-be70-4930-baa9-010c26d365c0</v>
      </c>
      <c r="L110" s="8">
        <f ca="1">IFERROR(__xludf.DUMMYFUNCTION("""COMPUTED_VALUE"""),10)</f>
        <v>10</v>
      </c>
      <c r="M110" s="8" t="str">
        <f ca="1">IFERROR(__xludf.DUMMYFUNCTION("""COMPUTED_VALUE"""),"Regional")</f>
        <v>Regional</v>
      </c>
      <c r="N110" s="8">
        <f ca="1">IFERROR(__xludf.DUMMYFUNCTION("""COMPUTED_VALUE"""),4)</f>
        <v>4</v>
      </c>
      <c r="O110" s="8" t="str">
        <f ca="1">IFERROR(__xludf.DUMMYFUNCTION("""COMPUTED_VALUE"""),"Spring")</f>
        <v>Spring</v>
      </c>
      <c r="P110" s="8" t="str">
        <f ca="1">IFERROR(__xludf.DUMMYFUNCTION("""COMPUTED_VALUE"""),"White Plains")</f>
        <v>White Plains</v>
      </c>
      <c r="Q110" s="8" t="str">
        <f ca="1">IFERROR(__xludf.DUMMYFUNCTION("""COMPUTED_VALUE"""),"MD")</f>
        <v>MD</v>
      </c>
      <c r="R110" s="8" t="str">
        <f ca="1">IFERROR(__xludf.DUMMYFUNCTION("""COMPUTED_VALUE"""),"Elementary")</f>
        <v>Elementary</v>
      </c>
      <c r="S110" s="8" t="str">
        <f ca="1">IFERROR(__xludf.DUMMYFUNCTION("""COMPUTED_VALUE"""),"Classroom")</f>
        <v>Classroom</v>
      </c>
      <c r="T110" s="8" t="str">
        <f ca="1">IFERROR(__xludf.DUMMYFUNCTION("""COMPUTED_VALUE"""),"Inside School Building")</f>
        <v>Inside School Building</v>
      </c>
      <c r="U110" s="8" t="str">
        <f ca="1">IFERROR(__xludf.DUMMYFUNCTION("""COMPUTED_VALUE"""),"Yes")</f>
        <v>Yes</v>
      </c>
      <c r="V110" s="8" t="str">
        <f ca="1">IFERROR(__xludf.DUMMYFUNCTION("""COMPUTED_VALUE"""),"Morning Classes")</f>
        <v>Morning Classes</v>
      </c>
      <c r="W110" s="11">
        <f ca="1">IFERROR(__xludf.DUMMYFUNCTION("""COMPUTED_VALUE"""),0.433333333333333)</f>
        <v>0.43333333333333302</v>
      </c>
      <c r="X110" s="8">
        <f ca="1">IFERROR(__xludf.DUMMYFUNCTION("""COMPUTED_VALUE"""),1)</f>
        <v>1</v>
      </c>
      <c r="Y110" s="12" t="str">
        <f ca="1">IFERROR(__xludf.DUMMYFUNCTION("""COMPUTED_VALUE"""),"Gun inside students backpack fired inside the classroom")</f>
        <v>Gun inside students backpack fired inside the classroom</v>
      </c>
      <c r="Z110" s="12" t="str">
        <f ca="1">IFERROR(__xludf.DUMMYFUNCTION("""COMPUTED_VALUE"""),"A 9-year-old student at Billingsley Elementary School accidentally discharged a loaded Kimber K6s .357 Magnum revolver in a classroom on April 9, 2025, at approximately 10:24 a.m., leading to an early dismissal and a one-day school closure. No injuries we"&amp;"re reported, and authorities are investigating how the child obtained the firearm. The incident occurred when the student, seated at a desk, reached into their backpack to retrieve a piece of paper. The backpack was positioned between their legs, and the "&amp;"revolver discharged, with the projectile striking the ground. The classroom teacher and a nearby school resource officer (SRO) responded immediately, securing the Kimber K6s .357 Magnum and ensuring the safety of all students. Preliminary findings suggest"&amp;" the revolver may belong to a relative visiting the student’s family. The Charles County Sheriff’s Office, led by Cpl. J. Brown, is examining how the student came into possession of the firearm and why it was in their backpack. Upon completion, the case w"&amp;"ill be forwarded to the Charles County State’s Attorney’s Office for review.")</f>
        <v>A 9-year-old student at Billingsley Elementary School accidentally discharged a loaded Kimber K6s .357 Magnum revolver in a classroom on April 9, 2025, at approximately 10:24 a.m., leading to an early dismissal and a one-day school closure. No injuries were reported, and authorities are investigating how the child obtained the firearm. The incident occurred when the student, seated at a desk, reached into their backpack to retrieve a piece of paper. The backpack was positioned between their legs, and the revolver discharged, with the projectile striking the ground. The classroom teacher and a nearby school resource officer (SRO) responded immediately, securing the Kimber K6s .357 Magnum and ensuring the safety of all students. Preliminary findings suggest the revolver may belong to a relative visiting the student’s family. The Charles County Sheriff’s Office, led by Cpl. J. Brown, is examining how the student came into possession of the firearm and why it was in their backpack. Upon completion, the case will be forwarded to the Charles County State’s Attorney’s Office for review.</v>
      </c>
      <c r="AA110" s="8" t="str">
        <f ca="1">IFERROR(__xludf.DUMMYFUNCTION("""COMPUTED_VALUE"""),"Accidental")</f>
        <v>Accidental</v>
      </c>
      <c r="AB110" s="8" t="str">
        <f ca="1">IFERROR(__xludf.DUMMYFUNCTION("""COMPUTED_VALUE"""),"Spontaneous")</f>
        <v>Spontaneous</v>
      </c>
      <c r="AC110" s="8" t="str">
        <f ca="1">IFERROR(__xludf.DUMMYFUNCTION("""COMPUTED_VALUE"""),"Yes")</f>
        <v>Yes</v>
      </c>
      <c r="AD110" s="8" t="str">
        <f ca="1">IFERROR(__xludf.DUMMYFUNCTION("""COMPUTED_VALUE"""),"Neither")</f>
        <v>Neither</v>
      </c>
      <c r="AE110" s="8" t="str">
        <f ca="1">IFERROR(__xludf.DUMMYFUNCTION("""COMPUTED_VALUE"""),"No")</f>
        <v>No</v>
      </c>
      <c r="AF110" s="8"/>
      <c r="AG110" s="8" t="str">
        <f ca="1">IFERROR(__xludf.DUMMYFUNCTION("""COMPUTED_VALUE"""),"No")</f>
        <v>No</v>
      </c>
      <c r="AH110" s="8" t="str">
        <f ca="1">IFERROR(__xludf.DUMMYFUNCTION("""COMPUTED_VALUE"""),"No")</f>
        <v>No</v>
      </c>
      <c r="AI110" s="8" t="str">
        <f ca="1">IFERROR(__xludf.DUMMYFUNCTION("""COMPUTED_VALUE"""),"No")</f>
        <v>No</v>
      </c>
      <c r="AJ110" s="8" t="str">
        <f ca="1">IFERROR(__xludf.DUMMYFUNCTION("""COMPUTED_VALUE"""),"No")</f>
        <v>No</v>
      </c>
      <c r="AK110" s="8" t="str">
        <f ca="1">IFERROR(__xludf.DUMMYFUNCTION("""COMPUTED_VALUE"""),"No")</f>
        <v>No</v>
      </c>
      <c r="AL110" s="8" t="str">
        <f ca="1">IFERROR(__xludf.DUMMYFUNCTION("""COMPUTED_VALUE"""),"No")</f>
        <v>No</v>
      </c>
      <c r="AM110" s="8" t="str">
        <f ca="1">IFERROR(__xludf.DUMMYFUNCTION("""COMPUTED_VALUE"""),"No")</f>
        <v>No</v>
      </c>
      <c r="AN110" s="8" t="str">
        <f ca="1">IFERROR(__xludf.DUMMYFUNCTION("""COMPUTED_VALUE"""),"Single Room")</f>
        <v>Single Room</v>
      </c>
      <c r="AO110" s="8" t="str">
        <f ca="1">IFERROR(__xludf.DUMMYFUNCTION("""COMPUTED_VALUE"""),"No")</f>
        <v>No</v>
      </c>
      <c r="AP110" s="8"/>
      <c r="AQ110" s="8"/>
      <c r="AR110" s="8" t="str">
        <f ca="1">IFERROR(__xludf.DUMMYFUNCTION("""COMPUTED_VALUE"""),"Failed")</f>
        <v>Failed</v>
      </c>
      <c r="AS110" s="8">
        <f ca="1">IFERROR(__xludf.DUMMYFUNCTION("""COMPUTED_VALUE"""),1)</f>
        <v>1</v>
      </c>
      <c r="AT110" s="8" t="str">
        <f ca="1">IFERROR(__xludf.DUMMYFUNCTION("""COMPUTED_VALUE"""),"Yes")</f>
        <v>Yes</v>
      </c>
      <c r="AU110" s="8">
        <f ca="1">IFERROR(__xludf.DUMMYFUNCTION("""COMPUTED_VALUE"""),38.608618)</f>
        <v>38.608618</v>
      </c>
      <c r="AV110" s="8">
        <f ca="1">IFERROR(__xludf.DUMMYFUNCTION("""COMPUTED_VALUE"""),-76.962065)</f>
        <v>-76.962064999999996</v>
      </c>
      <c r="AW110" s="8" t="str">
        <f ca="1">IFERROR(__xludf.DUMMYFUNCTION("""COMPUTED_VALUE"""),"Multiple attached buildings")</f>
        <v>Multiple attached buildings</v>
      </c>
      <c r="AX110" s="8">
        <f ca="1">IFERROR(__xludf.DUMMYFUNCTION("""COMPUTED_VALUE"""),20695)</f>
        <v>20695</v>
      </c>
    </row>
    <row r="111" spans="1:50" ht="105" x14ac:dyDescent="0.2">
      <c r="A111" s="8" t="str">
        <f ca="1">IFERROR(__xludf.DUMMYFUNCTION("""COMPUTED_VALUE"""),"20250409NDWAW")</f>
        <v>20250409NDWAW</v>
      </c>
      <c r="B111" s="8">
        <f ca="1">IFERROR(__xludf.DUMMYFUNCTION("""COMPUTED_VALUE"""),4)</f>
        <v>4</v>
      </c>
      <c r="C111" s="8">
        <f ca="1">IFERROR(__xludf.DUMMYFUNCTION("""COMPUTED_VALUE"""),9)</f>
        <v>9</v>
      </c>
      <c r="D111" s="8">
        <f ca="1">IFERROR(__xludf.DUMMYFUNCTION("""COMPUTED_VALUE"""),2025)</f>
        <v>2025</v>
      </c>
      <c r="E111" s="9">
        <f ca="1">IFERROR(__xludf.DUMMYFUNCTION("""COMPUTED_VALUE"""),45756)</f>
        <v>45756</v>
      </c>
      <c r="F111" s="8" t="str">
        <f ca="1">IFERROR(__xludf.DUMMYFUNCTION("""COMPUTED_VALUE"""),"Wahpeton High School")</f>
        <v>Wahpeton High School</v>
      </c>
      <c r="G111" s="8">
        <f ca="1">IFERROR(__xludf.DUMMYFUNCTION("""COMPUTED_VALUE"""),0)</f>
        <v>0</v>
      </c>
      <c r="H111" s="8">
        <f ca="1">IFERROR(__xludf.DUMMYFUNCTION("""COMPUTED_VALUE"""),0)</f>
        <v>0</v>
      </c>
      <c r="I111" s="8">
        <f ca="1">IFERROR(__xludf.DUMMYFUNCTION("""COMPUTED_VALUE"""),0)</f>
        <v>0</v>
      </c>
      <c r="J111" s="8">
        <f ca="1">IFERROR(__xludf.DUMMYFUNCTION("""COMPUTED_VALUE"""),0)</f>
        <v>0</v>
      </c>
      <c r="K111" s="8" t="str">
        <f ca="1">IFERROR(__xludf.DUMMYFUNCTION("""COMPUTED_VALUE"""),"https://www.valleynewslive.com/2025/04/11/2-arrested-terrorizing-allegedly-threatening-student-with-gun-school-grounds/
https://www.wahpetondailynews.com/news/breaking-two-arrested-for-threatening-student-with-gun-at-wahpeton-high-school/article_5866261e-"&amp;"b1a4-4a96-bacc-53e63732e982.html")</f>
        <v>https://www.valleynewslive.com/2025/04/11/2-arrested-terrorizing-allegedly-threatening-student-with-gun-school-grounds/
https://www.wahpetondailynews.com/news/breaking-two-arrested-for-threatening-student-with-gun-at-wahpeton-high-school/article_5866261e-b1a4-4a96-bacc-53e63732e982.html</v>
      </c>
      <c r="L111" s="8">
        <f ca="1">IFERROR(__xludf.DUMMYFUNCTION("""COMPUTED_VALUE"""),3)</f>
        <v>3</v>
      </c>
      <c r="M111" s="8" t="str">
        <f ca="1">IFERROR(__xludf.DUMMYFUNCTION("""COMPUTED_VALUE"""),"Local")</f>
        <v>Local</v>
      </c>
      <c r="N111" s="8">
        <f ca="1">IFERROR(__xludf.DUMMYFUNCTION("""COMPUTED_VALUE"""),4)</f>
        <v>4</v>
      </c>
      <c r="O111" s="8" t="str">
        <f ca="1">IFERROR(__xludf.DUMMYFUNCTION("""COMPUTED_VALUE"""),"Spring")</f>
        <v>Spring</v>
      </c>
      <c r="P111" s="8" t="str">
        <f ca="1">IFERROR(__xludf.DUMMYFUNCTION("""COMPUTED_VALUE"""),"Wahpeton")</f>
        <v>Wahpeton</v>
      </c>
      <c r="Q111" s="8" t="str">
        <f ca="1">IFERROR(__xludf.DUMMYFUNCTION("""COMPUTED_VALUE"""),"ND")</f>
        <v>ND</v>
      </c>
      <c r="R111" s="8" t="str">
        <f ca="1">IFERROR(__xludf.DUMMYFUNCTION("""COMPUTED_VALUE"""),"High")</f>
        <v>High</v>
      </c>
      <c r="S111" s="8" t="str">
        <f ca="1">IFERROR(__xludf.DUMMYFUNCTION("""COMPUTED_VALUE"""),"Parking Lot")</f>
        <v>Parking Lot</v>
      </c>
      <c r="T111" s="8" t="str">
        <f ca="1">IFERROR(__xludf.DUMMYFUNCTION("""COMPUTED_VALUE"""),"Outside on School Property")</f>
        <v>Outside on School Property</v>
      </c>
      <c r="U111" s="8" t="str">
        <f ca="1">IFERROR(__xludf.DUMMYFUNCTION("""COMPUTED_VALUE"""),"Yes")</f>
        <v>Yes</v>
      </c>
      <c r="V111" s="8" t="str">
        <f ca="1">IFERROR(__xludf.DUMMYFUNCTION("""COMPUTED_VALUE"""),"Dismissal")</f>
        <v>Dismissal</v>
      </c>
      <c r="W111" s="11">
        <f ca="1">IFERROR(__xludf.DUMMYFUNCTION("""COMPUTED_VALUE"""),0.666666666666666)</f>
        <v>0.66666666666666596</v>
      </c>
      <c r="X111" s="8">
        <f ca="1">IFERROR(__xludf.DUMMYFUNCTION("""COMPUTED_VALUE"""),1)</f>
        <v>1</v>
      </c>
      <c r="Y111" s="12" t="str">
        <f ca="1">IFERROR(__xludf.DUMMYFUNCTION("""COMPUTED_VALUE"""),"Two teens threated a student with a gun in the school parking lot")</f>
        <v>Two teens threated a student with a gun in the school parking lot</v>
      </c>
      <c r="Z111" s="12" t="str">
        <f ca="1">IFERROR(__xludf.DUMMYFUNCTION("""COMPUTED_VALUE"""),"The Wahpeton Police Department says after 4:00pm on Wednesday April 9th, they were called to the Wahpeton High School parking lot, for a report that two males were threatening a student with a gun. Police say two days after the report was made, 18-year-ol"&amp;"d James Johnson and 18-year-old Tyler Ryan were booked into the Cass County Jail for terrorizing.")</f>
        <v>The Wahpeton Police Department says after 4:00pm on Wednesday April 9th, they were called to the Wahpeton High School parking lot, for a report that two males were threatening a student with a gun. Police say two days after the report was made, 18-year-old James Johnson and 18-year-old Tyler Ryan were booked into the Cass County Jail for terrorizing.</v>
      </c>
      <c r="AA111" s="8"/>
      <c r="AB111" s="8" t="str">
        <f ca="1">IFERROR(__xludf.DUMMYFUNCTION("""COMPUTED_VALUE"""),"Targeted")</f>
        <v>Targeted</v>
      </c>
      <c r="AC111" s="8" t="str">
        <f ca="1">IFERROR(__xludf.DUMMYFUNCTION("""COMPUTED_VALUE"""),"Yes")</f>
        <v>Yes</v>
      </c>
      <c r="AD111" s="8" t="str">
        <f ca="1">IFERROR(__xludf.DUMMYFUNCTION("""COMPUTED_VALUE"""),"Victims Targeted")</f>
        <v>Victims Targeted</v>
      </c>
      <c r="AE111" s="8" t="str">
        <f ca="1">IFERROR(__xludf.DUMMYFUNCTION("""COMPUTED_VALUE"""),"Yes")</f>
        <v>Yes</v>
      </c>
      <c r="AF111" s="8" t="str">
        <f ca="1">IFERROR(__xludf.DUMMYFUNCTION("""COMPUTED_VALUE"""),"Two teens arrested")</f>
        <v>Two teens arrested</v>
      </c>
      <c r="AG111" s="8" t="str">
        <f ca="1">IFERROR(__xludf.DUMMYFUNCTION("""COMPUTED_VALUE"""),"No")</f>
        <v>No</v>
      </c>
      <c r="AH111" s="8" t="str">
        <f ca="1">IFERROR(__xludf.DUMMYFUNCTION("""COMPUTED_VALUE"""),"No")</f>
        <v>No</v>
      </c>
      <c r="AI111" s="8" t="str">
        <f ca="1">IFERROR(__xludf.DUMMYFUNCTION("""COMPUTED_VALUE"""),"No")</f>
        <v>No</v>
      </c>
      <c r="AJ111" s="8" t="str">
        <f ca="1">IFERROR(__xludf.DUMMYFUNCTION("""COMPUTED_VALUE"""),"No")</f>
        <v>No</v>
      </c>
      <c r="AK111" s="8" t="str">
        <f ca="1">IFERROR(__xludf.DUMMYFUNCTION("""COMPUTED_VALUE"""),"No")</f>
        <v>No</v>
      </c>
      <c r="AL111" s="8" t="str">
        <f ca="1">IFERROR(__xludf.DUMMYFUNCTION("""COMPUTED_VALUE"""),"No")</f>
        <v>No</v>
      </c>
      <c r="AM111" s="8" t="str">
        <f ca="1">IFERROR(__xludf.DUMMYFUNCTION("""COMPUTED_VALUE"""),"No")</f>
        <v>No</v>
      </c>
      <c r="AN111" s="8" t="str">
        <f ca="1">IFERROR(__xludf.DUMMYFUNCTION("""COMPUTED_VALUE"""),"Outside")</f>
        <v>Outside</v>
      </c>
      <c r="AO111" s="8" t="str">
        <f ca="1">IFERROR(__xludf.DUMMYFUNCTION("""COMPUTED_VALUE"""),"No")</f>
        <v>No</v>
      </c>
      <c r="AP111" s="8"/>
      <c r="AQ111" s="8"/>
      <c r="AR111" s="8" t="str">
        <f ca="1">IFERROR(__xludf.DUMMYFUNCTION("""COMPUTED_VALUE"""),"Outside/Off-Property")</f>
        <v>Outside/Off-Property</v>
      </c>
      <c r="AS111" s="8">
        <f ca="1">IFERROR(__xludf.DUMMYFUNCTION("""COMPUTED_VALUE"""),0)</f>
        <v>0</v>
      </c>
      <c r="AT111" s="8" t="str">
        <f ca="1">IFERROR(__xludf.DUMMYFUNCTION("""COMPUTED_VALUE"""),"No")</f>
        <v>No</v>
      </c>
      <c r="AU111" s="8">
        <f ca="1">IFERROR(__xludf.DUMMYFUNCTION("""COMPUTED_VALUE"""),46.273777)</f>
        <v>46.273777000000003</v>
      </c>
      <c r="AV111" s="8">
        <f ca="1">IFERROR(__xludf.DUMMYFUNCTION("""COMPUTED_VALUE"""),-96.617751)</f>
        <v>-96.617750999999998</v>
      </c>
      <c r="AW111" s="8" t="str">
        <f ca="1">IFERROR(__xludf.DUMMYFUNCTION("""COMPUTED_VALUE"""),"Single building indoor hallway")</f>
        <v>Single building indoor hallway</v>
      </c>
      <c r="AX111" s="8">
        <f ca="1">IFERROR(__xludf.DUMMYFUNCTION("""COMPUTED_VALUE"""),58075)</f>
        <v>58075</v>
      </c>
    </row>
    <row r="112" spans="1:50" ht="225" x14ac:dyDescent="0.2">
      <c r="A112" s="8" t="str">
        <f ca="1">IFERROR(__xludf.DUMMYFUNCTION("""COMPUTED_VALUE"""),"20250409TXWIH")</f>
        <v>20250409TXWIH</v>
      </c>
      <c r="B112" s="8">
        <f ca="1">IFERROR(__xludf.DUMMYFUNCTION("""COMPUTED_VALUE"""),4)</f>
        <v>4</v>
      </c>
      <c r="C112" s="8">
        <f ca="1">IFERROR(__xludf.DUMMYFUNCTION("""COMPUTED_VALUE"""),9)</f>
        <v>9</v>
      </c>
      <c r="D112" s="8">
        <f ca="1">IFERROR(__xludf.DUMMYFUNCTION("""COMPUTED_VALUE"""),2025)</f>
        <v>2025</v>
      </c>
      <c r="E112" s="9">
        <f ca="1">IFERROR(__xludf.DUMMYFUNCTION("""COMPUTED_VALUE"""),45756)</f>
        <v>45756</v>
      </c>
      <c r="F112" s="8" t="str">
        <f ca="1">IFERROR(__xludf.DUMMYFUNCTION("""COMPUTED_VALUE"""),"Wisdom High School")</f>
        <v>Wisdom High School</v>
      </c>
      <c r="G112" s="8">
        <f ca="1">IFERROR(__xludf.DUMMYFUNCTION("""COMPUTED_VALUE"""),0)</f>
        <v>0</v>
      </c>
      <c r="H112" s="8">
        <f ca="1">IFERROR(__xludf.DUMMYFUNCTION("""COMPUTED_VALUE"""),2)</f>
        <v>2</v>
      </c>
      <c r="I112" s="8">
        <f ca="1">IFERROR(__xludf.DUMMYFUNCTION("""COMPUTED_VALUE"""),2)</f>
        <v>2</v>
      </c>
      <c r="J112" s="8">
        <f ca="1">IFERROR(__xludf.DUMMYFUNCTION("""COMPUTED_VALUE"""),0)</f>
        <v>0</v>
      </c>
      <c r="K112" s="10" t="str">
        <f ca="1">IFERROR(__xludf.DUMMYFUNCTION("""COMPUTED_VALUE"""),"https://www.fox26houston.com/news/houston-shooting-wisdom-high-school
https://www.click2houston.com/news/local/2025/04/10/shooting-near-wisdom-high-school-sends-two-students-to-hospital-in-southwest-houston/")</f>
        <v>https://www.fox26houston.com/news/houston-shooting-wisdom-high-school
https://www.click2houston.com/news/local/2025/04/10/shooting-near-wisdom-high-school-sends-two-students-to-hospital-in-southwest-houston/</v>
      </c>
      <c r="L112" s="8">
        <f ca="1">IFERROR(__xludf.DUMMYFUNCTION("""COMPUTED_VALUE"""),15)</f>
        <v>15</v>
      </c>
      <c r="M112" s="8" t="str">
        <f ca="1">IFERROR(__xludf.DUMMYFUNCTION("""COMPUTED_VALUE"""),"Regional")</f>
        <v>Regional</v>
      </c>
      <c r="N112" s="8">
        <f ca="1">IFERROR(__xludf.DUMMYFUNCTION("""COMPUTED_VALUE"""),4)</f>
        <v>4</v>
      </c>
      <c r="O112" s="8" t="str">
        <f ca="1">IFERROR(__xludf.DUMMYFUNCTION("""COMPUTED_VALUE"""),"Spring")</f>
        <v>Spring</v>
      </c>
      <c r="P112" s="8" t="str">
        <f ca="1">IFERROR(__xludf.DUMMYFUNCTION("""COMPUTED_VALUE"""),"Houston")</f>
        <v>Houston</v>
      </c>
      <c r="Q112" s="8" t="str">
        <f ca="1">IFERROR(__xludf.DUMMYFUNCTION("""COMPUTED_VALUE"""),"TX")</f>
        <v>TX</v>
      </c>
      <c r="R112" s="8" t="str">
        <f ca="1">IFERROR(__xludf.DUMMYFUNCTION("""COMPUTED_VALUE"""),"High")</f>
        <v>High</v>
      </c>
      <c r="S112" s="8" t="str">
        <f ca="1">IFERROR(__xludf.DUMMYFUNCTION("""COMPUTED_VALUE"""),"Parking Lot")</f>
        <v>Parking Lot</v>
      </c>
      <c r="T112" s="8" t="str">
        <f ca="1">IFERROR(__xludf.DUMMYFUNCTION("""COMPUTED_VALUE"""),"Outside on School Property")</f>
        <v>Outside on School Property</v>
      </c>
      <c r="U112" s="8" t="str">
        <f ca="1">IFERROR(__xludf.DUMMYFUNCTION("""COMPUTED_VALUE"""),"Yes")</f>
        <v>Yes</v>
      </c>
      <c r="V112" s="8" t="str">
        <f ca="1">IFERROR(__xludf.DUMMYFUNCTION("""COMPUTED_VALUE"""),"Dismissal")</f>
        <v>Dismissal</v>
      </c>
      <c r="W112" s="11">
        <f ca="1">IFERROR(__xludf.DUMMYFUNCTION("""COMPUTED_VALUE"""),0.697916666666666)</f>
        <v>0.69791666666666596</v>
      </c>
      <c r="X112" s="8">
        <f ca="1">IFERROR(__xludf.DUMMYFUNCTION("""COMPUTED_VALUE"""),1)</f>
        <v>1</v>
      </c>
      <c r="Y112" s="12" t="str">
        <f ca="1">IFERROR(__xludf.DUMMYFUNCTION("""COMPUTED_VALUE"""),"Two students shot in school parking lot during dismissal")</f>
        <v>Two students shot in school parking lot during dismissal</v>
      </c>
      <c r="Z112" s="12" t="str">
        <f ca="1">IFERROR(__xludf.DUMMYFUNCTION("""COMPUTED_VALUE"""),"HISD Police Chief Shamara Garner says the students were dismissed from school at about 4:30 p.m., so about 150 students were still in the area. Police directed back into the building, and they went into lockdown. According to Chief Garner, a black four-do"&amp;"or Tahoe was following two brothers who were walking east on Beverly Hill Street. The Tahoe was parked in the school parking lot, then exited and started to slowly drive behind the brothers. When the brothers reached the intersection at Unity Drive, polic"&amp;"e say a suspect got out of the vehicle and shot at the brothers. One of the brothers, who is not a student at the school, ran from the scene. The other brother, a 16-year-old sophomore, ran back toward the school, but was grazed on his knee in the shootin"&amp;"g. A bystander, an 18-year-old junior, was shot in her shoulder. Both students are expected to recover.")</f>
        <v>HISD Police Chief Shamara Garner says the students were dismissed from school at about 4:30 p.m., so about 150 students were still in the area. Police directed back into the building, and they went into lockdown. According to Chief Garner, a black four-door Tahoe was following two brothers who were walking east on Beverly Hill Street. The Tahoe was parked in the school parking lot, then exited and started to slowly drive behind the brothers. When the brothers reached the intersection at Unity Drive, police say a suspect got out of the vehicle and shot at the brothers. One of the brothers, who is not a student at the school, ran from the scene. The other brother, a 16-year-old sophomore, ran back toward the school, but was grazed on his knee in the shooting. A bystander, an 18-year-old junior, was shot in her shoulder. Both students are expected to recover.</v>
      </c>
      <c r="AA112" s="8" t="str">
        <f ca="1">IFERROR(__xludf.DUMMYFUNCTION("""COMPUTED_VALUE"""),"Drive-by Shooting")</f>
        <v>Drive-by Shooting</v>
      </c>
      <c r="AB112" s="8" t="str">
        <f ca="1">IFERROR(__xludf.DUMMYFUNCTION("""COMPUTED_VALUE"""),"Targeted")</f>
        <v>Targeted</v>
      </c>
      <c r="AC112" s="8" t="str">
        <f ca="1">IFERROR(__xludf.DUMMYFUNCTION("""COMPUTED_VALUE"""),"Yes")</f>
        <v>Yes</v>
      </c>
      <c r="AD112" s="8" t="str">
        <f ca="1">IFERROR(__xludf.DUMMYFUNCTION("""COMPUTED_VALUE"""),"Both")</f>
        <v>Both</v>
      </c>
      <c r="AE112" s="8"/>
      <c r="AF112" s="8"/>
      <c r="AG112" s="8" t="str">
        <f ca="1">IFERROR(__xludf.DUMMYFUNCTION("""COMPUTED_VALUE"""),"No")</f>
        <v>No</v>
      </c>
      <c r="AH112" s="8" t="str">
        <f ca="1">IFERROR(__xludf.DUMMYFUNCTION("""COMPUTED_VALUE"""),"No")</f>
        <v>No</v>
      </c>
      <c r="AI112" s="8" t="str">
        <f ca="1">IFERROR(__xludf.DUMMYFUNCTION("""COMPUTED_VALUE"""),"No")</f>
        <v>No</v>
      </c>
      <c r="AJ112" s="8" t="str">
        <f ca="1">IFERROR(__xludf.DUMMYFUNCTION("""COMPUTED_VALUE"""),"No")</f>
        <v>No</v>
      </c>
      <c r="AK112" s="8" t="str">
        <f ca="1">IFERROR(__xludf.DUMMYFUNCTION("""COMPUTED_VALUE"""),"No")</f>
        <v>No</v>
      </c>
      <c r="AL112" s="8"/>
      <c r="AM112" s="8" t="str">
        <f ca="1">IFERROR(__xludf.DUMMYFUNCTION("""COMPUTED_VALUE"""),"No")</f>
        <v>No</v>
      </c>
      <c r="AN112" s="8" t="str">
        <f ca="1">IFERROR(__xludf.DUMMYFUNCTION("""COMPUTED_VALUE"""),"Outside")</f>
        <v>Outside</v>
      </c>
      <c r="AO112" s="8" t="str">
        <f ca="1">IFERROR(__xludf.DUMMYFUNCTION("""COMPUTED_VALUE"""),"No")</f>
        <v>No</v>
      </c>
      <c r="AP112" s="8" t="str">
        <f ca="1">IFERROR(__xludf.DUMMYFUNCTION("""COMPUTED_VALUE"""),"Yes")</f>
        <v>Yes</v>
      </c>
      <c r="AQ112" s="8" t="str">
        <f ca="1">IFERROR(__xludf.DUMMYFUNCTION("""COMPUTED_VALUE"""),"Armed Guards")</f>
        <v>Armed Guards</v>
      </c>
      <c r="AR112" s="8" t="str">
        <f ca="1">IFERROR(__xludf.DUMMYFUNCTION("""COMPUTED_VALUE"""),"Outside/Off-Property")</f>
        <v>Outside/Off-Property</v>
      </c>
      <c r="AS112" s="8">
        <f ca="1">IFERROR(__xludf.DUMMYFUNCTION("""COMPUTED_VALUE"""),99)</f>
        <v>99</v>
      </c>
      <c r="AT112" s="8" t="str">
        <f ca="1">IFERROR(__xludf.DUMMYFUNCTION("""COMPUTED_VALUE"""),"Yes")</f>
        <v>Yes</v>
      </c>
      <c r="AU112" s="8">
        <f ca="1">IFERROR(__xludf.DUMMYFUNCTION("""COMPUTED_VALUE"""),29.730211)</f>
        <v>29.730211000000001</v>
      </c>
      <c r="AV112" s="8">
        <f ca="1">IFERROR(__xludf.DUMMYFUNCTION("""COMPUTED_VALUE"""),-95.499757)</f>
        <v>-95.499757000000002</v>
      </c>
      <c r="AW112" s="8" t="str">
        <f ca="1">IFERROR(__xludf.DUMMYFUNCTION("""COMPUTED_VALUE"""),"Multiple detached buildings")</f>
        <v>Multiple detached buildings</v>
      </c>
      <c r="AX112" s="8">
        <f ca="1">IFERROR(__xludf.DUMMYFUNCTION("""COMPUTED_VALUE"""),77057)</f>
        <v>77057</v>
      </c>
    </row>
    <row r="113" spans="1:50" ht="105" x14ac:dyDescent="0.2">
      <c r="A113" s="8" t="str">
        <f ca="1">IFERROR(__xludf.DUMMYFUNCTION("""COMPUTED_VALUE"""),"20250408WALAL")</f>
        <v>20250408WALAL</v>
      </c>
      <c r="B113" s="8">
        <f ca="1">IFERROR(__xludf.DUMMYFUNCTION("""COMPUTED_VALUE"""),4)</f>
        <v>4</v>
      </c>
      <c r="C113" s="8">
        <f ca="1">IFERROR(__xludf.DUMMYFUNCTION("""COMPUTED_VALUE"""),8)</f>
        <v>8</v>
      </c>
      <c r="D113" s="8">
        <f ca="1">IFERROR(__xludf.DUMMYFUNCTION("""COMPUTED_VALUE"""),2025)</f>
        <v>2025</v>
      </c>
      <c r="E113" s="9">
        <f ca="1">IFERROR(__xludf.DUMMYFUNCTION("""COMPUTED_VALUE"""),45755)</f>
        <v>45755</v>
      </c>
      <c r="F113" s="8" t="str">
        <f ca="1">IFERROR(__xludf.DUMMYFUNCTION("""COMPUTED_VALUE"""),"Lakeland Elementary School")</f>
        <v>Lakeland Elementary School</v>
      </c>
      <c r="G113" s="8">
        <f ca="1">IFERROR(__xludf.DUMMYFUNCTION("""COMPUTED_VALUE"""),0)</f>
        <v>0</v>
      </c>
      <c r="H113" s="8">
        <f ca="1">IFERROR(__xludf.DUMMYFUNCTION("""COMPUTED_VALUE"""),1)</f>
        <v>1</v>
      </c>
      <c r="I113" s="8">
        <f ca="1">IFERROR(__xludf.DUMMYFUNCTION("""COMPUTED_VALUE"""),1)</f>
        <v>1</v>
      </c>
      <c r="J113" s="8">
        <f ca="1">IFERROR(__xludf.DUMMYFUNCTION("""COMPUTED_VALUE"""),0)</f>
        <v>0</v>
      </c>
      <c r="K113" s="10" t="str">
        <f ca="1">IFERROR(__xludf.DUMMYFUNCTION("""COMPUTED_VALUE"""),"https://www.fox13seattle.com/news/shooting-elementary-school-federal-way
https://www.kiro7.com/news/local/federal-way-parents-concerned-about-lack-response-after-child-shot-elementary-school-campus/W5YWRQE7CRA2FIXYS3SKXT4YOU/
https://komonews.com/news/loc"&amp;"al/school-shooting-lakeland-elementary-federal-way-district-13-year-old-suspect-released-juvenile-detention-king-county-sheriffs-office-parents-concerned-safety")</f>
        <v>https://www.fox13seattle.com/news/shooting-elementary-school-federal-way
https://www.kiro7.com/news/local/federal-way-parents-concerned-about-lack-response-after-child-shot-elementary-school-campus/W5YWRQE7CRA2FIXYS3SKXT4YOU/
https://komonews.com/news/local/school-shooting-lakeland-elementary-federal-way-district-13-year-old-suspect-released-juvenile-detention-king-county-sheriffs-office-parents-concerned-safety</v>
      </c>
      <c r="L113" s="8">
        <f ca="1">IFERROR(__xludf.DUMMYFUNCTION("""COMPUTED_VALUE"""),5)</f>
        <v>5</v>
      </c>
      <c r="M113" s="8" t="str">
        <f ca="1">IFERROR(__xludf.DUMMYFUNCTION("""COMPUTED_VALUE"""),"Regional")</f>
        <v>Regional</v>
      </c>
      <c r="N113" s="8">
        <f ca="1">IFERROR(__xludf.DUMMYFUNCTION("""COMPUTED_VALUE"""),4)</f>
        <v>4</v>
      </c>
      <c r="O113" s="8" t="str">
        <f ca="1">IFERROR(__xludf.DUMMYFUNCTION("""COMPUTED_VALUE"""),"Spring")</f>
        <v>Spring</v>
      </c>
      <c r="P113" s="8" t="str">
        <f ca="1">IFERROR(__xludf.DUMMYFUNCTION("""COMPUTED_VALUE"""),"Lakeland South")</f>
        <v>Lakeland South</v>
      </c>
      <c r="Q113" s="8" t="str">
        <f ca="1">IFERROR(__xludf.DUMMYFUNCTION("""COMPUTED_VALUE"""),"WA")</f>
        <v>WA</v>
      </c>
      <c r="R113" s="8" t="str">
        <f ca="1">IFERROR(__xludf.DUMMYFUNCTION("""COMPUTED_VALUE"""),"Elementary")</f>
        <v>Elementary</v>
      </c>
      <c r="S113" s="8" t="str">
        <f ca="1">IFERROR(__xludf.DUMMYFUNCTION("""COMPUTED_VALUE"""),"Playground")</f>
        <v>Playground</v>
      </c>
      <c r="T113" s="8" t="str">
        <f ca="1">IFERROR(__xludf.DUMMYFUNCTION("""COMPUTED_VALUE"""),"Outside on School Property")</f>
        <v>Outside on School Property</v>
      </c>
      <c r="U113" s="8" t="str">
        <f ca="1">IFERROR(__xludf.DUMMYFUNCTION("""COMPUTED_VALUE"""),"Yes")</f>
        <v>Yes</v>
      </c>
      <c r="V113" s="8" t="str">
        <f ca="1">IFERROR(__xludf.DUMMYFUNCTION("""COMPUTED_VALUE"""),"Afternoon Classes")</f>
        <v>Afternoon Classes</v>
      </c>
      <c r="W113" s="11">
        <f ca="1">IFERROR(__xludf.DUMMYFUNCTION("""COMPUTED_VALUE"""),0.614583333333333)</f>
        <v>0.61458333333333304</v>
      </c>
      <c r="X113" s="8">
        <f ca="1">IFERROR(__xludf.DUMMYFUNCTION("""COMPUTED_VALUE"""),1)</f>
        <v>1</v>
      </c>
      <c r="Y113" s="12" t="str">
        <f ca="1">IFERROR(__xludf.DUMMYFUNCTION("""COMPUTED_VALUE"""),"Student shot on the campus prior to dismissal")</f>
        <v>Student shot on the campus prior to dismissal</v>
      </c>
      <c r="Z113" s="12" t="str">
        <f ca="1">IFERROR(__xludf.DUMMYFUNCTION("""COMPUTED_VALUE"""),"Student from the neighboring middle school was shot on the elementary school campus by another middle school student during afternoon classes. Parents were not notified until the following day and the campus was not locked down. Police apprehended the sho"&amp;"oter and the victim was transported to the hospital. Shooting took place on the school playground 20 minutes prior to dismissal.")</f>
        <v>Student from the neighboring middle school was shot on the elementary school campus by another middle school student during afternoon classes. Parents were not notified until the following day and the campus was not locked down. Police apprehended the shooter and the victim was transported to the hospital. Shooting took place on the school playground 20 minutes prior to dismissal.</v>
      </c>
      <c r="AA113" s="8"/>
      <c r="AB113" s="8" t="str">
        <f ca="1">IFERROR(__xludf.DUMMYFUNCTION("""COMPUTED_VALUE"""),"Targeted")</f>
        <v>Targeted</v>
      </c>
      <c r="AC113" s="8" t="str">
        <f ca="1">IFERROR(__xludf.DUMMYFUNCTION("""COMPUTED_VALUE"""),"Yes")</f>
        <v>Yes</v>
      </c>
      <c r="AD113" s="8" t="str">
        <f ca="1">IFERROR(__xludf.DUMMYFUNCTION("""COMPUTED_VALUE"""),"Victims Targeted")</f>
        <v>Victims Targeted</v>
      </c>
      <c r="AE113" s="8" t="str">
        <f ca="1">IFERROR(__xludf.DUMMYFUNCTION("""COMPUTED_VALUE"""),"No")</f>
        <v>No</v>
      </c>
      <c r="AF113" s="8"/>
      <c r="AG113" s="8" t="str">
        <f ca="1">IFERROR(__xludf.DUMMYFUNCTION("""COMPUTED_VALUE"""),"No")</f>
        <v>No</v>
      </c>
      <c r="AH113" s="8" t="str">
        <f ca="1">IFERROR(__xludf.DUMMYFUNCTION("""COMPUTED_VALUE"""),"No")</f>
        <v>No</v>
      </c>
      <c r="AI113" s="8" t="str">
        <f ca="1">IFERROR(__xludf.DUMMYFUNCTION("""COMPUTED_VALUE"""),"No")</f>
        <v>No</v>
      </c>
      <c r="AJ113" s="8"/>
      <c r="AK113" s="8" t="str">
        <f ca="1">IFERROR(__xludf.DUMMYFUNCTION("""COMPUTED_VALUE"""),"No")</f>
        <v>No</v>
      </c>
      <c r="AL113" s="8" t="str">
        <f ca="1">IFERROR(__xludf.DUMMYFUNCTION("""COMPUTED_VALUE"""),"No")</f>
        <v>No</v>
      </c>
      <c r="AM113" s="8" t="str">
        <f ca="1">IFERROR(__xludf.DUMMYFUNCTION("""COMPUTED_VALUE"""),"No")</f>
        <v>No</v>
      </c>
      <c r="AN113" s="8" t="str">
        <f ca="1">IFERROR(__xludf.DUMMYFUNCTION("""COMPUTED_VALUE"""),"Outside")</f>
        <v>Outside</v>
      </c>
      <c r="AO113" s="8" t="str">
        <f ca="1">IFERROR(__xludf.DUMMYFUNCTION("""COMPUTED_VALUE"""),"No")</f>
        <v>No</v>
      </c>
      <c r="AP113" s="8"/>
      <c r="AQ113" s="8"/>
      <c r="AR113" s="8" t="str">
        <f ca="1">IFERROR(__xludf.DUMMYFUNCTION("""COMPUTED_VALUE"""),"Outside/Off-Property")</f>
        <v>Outside/Off-Property</v>
      </c>
      <c r="AS113" s="8">
        <f ca="1">IFERROR(__xludf.DUMMYFUNCTION("""COMPUTED_VALUE"""),99)</f>
        <v>99</v>
      </c>
      <c r="AT113" s="8" t="str">
        <f ca="1">IFERROR(__xludf.DUMMYFUNCTION("""COMPUTED_VALUE"""),"No")</f>
        <v>No</v>
      </c>
      <c r="AU113" s="8">
        <f ca="1">IFERROR(__xludf.DUMMYFUNCTION("""COMPUTED_VALUE"""),47.28007)</f>
        <v>47.280070000000002</v>
      </c>
      <c r="AV113" s="8">
        <f ca="1">IFERROR(__xludf.DUMMYFUNCTION("""COMPUTED_VALUE"""),-122.293201)</f>
        <v>-122.293201</v>
      </c>
      <c r="AW113" s="8" t="str">
        <f ca="1">IFERROR(__xludf.DUMMYFUNCTION("""COMPUTED_VALUE"""),"Multiple detached buildings")</f>
        <v>Multiple detached buildings</v>
      </c>
      <c r="AX113" s="8">
        <f ca="1">IFERROR(__xludf.DUMMYFUNCTION("""COMPUTED_VALUE"""),98001)</f>
        <v>98001</v>
      </c>
    </row>
    <row r="114" spans="1:50" ht="165" x14ac:dyDescent="0.2">
      <c r="A114" s="8" t="str">
        <f ca="1">IFERROR(__xludf.DUMMYFUNCTION("""COMPUTED_VALUE"""),"20250408LAREN")</f>
        <v>20250408LAREN</v>
      </c>
      <c r="B114" s="8">
        <f ca="1">IFERROR(__xludf.DUMMYFUNCTION("""COMPUTED_VALUE"""),4)</f>
        <v>4</v>
      </c>
      <c r="C114" s="8">
        <f ca="1">IFERROR(__xludf.DUMMYFUNCTION("""COMPUTED_VALUE"""),8)</f>
        <v>8</v>
      </c>
      <c r="D114" s="8">
        <f ca="1">IFERROR(__xludf.DUMMYFUNCTION("""COMPUTED_VALUE"""),2025)</f>
        <v>2025</v>
      </c>
      <c r="E114" s="9">
        <f ca="1">IFERROR(__xludf.DUMMYFUNCTION("""COMPUTED_VALUE"""),45755)</f>
        <v>45755</v>
      </c>
      <c r="F114" s="8" t="str">
        <f ca="1">IFERROR(__xludf.DUMMYFUNCTION("""COMPUTED_VALUE"""),"ReNEW Dolores T. Aaron Academy")</f>
        <v>ReNEW Dolores T. Aaron Academy</v>
      </c>
      <c r="G114" s="8">
        <f ca="1">IFERROR(__xludf.DUMMYFUNCTION("""COMPUTED_VALUE"""),0)</f>
        <v>0</v>
      </c>
      <c r="H114" s="8">
        <f ca="1">IFERROR(__xludf.DUMMYFUNCTION("""COMPUTED_VALUE"""),0)</f>
        <v>0</v>
      </c>
      <c r="I114" s="8">
        <f ca="1">IFERROR(__xludf.DUMMYFUNCTION("""COMPUTED_VALUE"""),0)</f>
        <v>0</v>
      </c>
      <c r="J114" s="8">
        <f ca="1">IFERROR(__xludf.DUMMYFUNCTION("""COMPUTED_VALUE"""),0)</f>
        <v>0</v>
      </c>
      <c r="K114" s="10" t="str">
        <f ca="1">IFERROR(__xludf.DUMMYFUNCTION("""COMPUTED_VALUE"""),"https://www.wdsu.com/article/new-orleans-police-arrest-man-dolores-aaron-school-gun/64422267")</f>
        <v>https://www.wdsu.com/article/new-orleans-police-arrest-man-dolores-aaron-school-gun/64422267</v>
      </c>
      <c r="L114" s="8">
        <f ca="1">IFERROR(__xludf.DUMMYFUNCTION("""COMPUTED_VALUE"""),1)</f>
        <v>1</v>
      </c>
      <c r="M114" s="8" t="str">
        <f ca="1">IFERROR(__xludf.DUMMYFUNCTION("""COMPUTED_VALUE"""),"Local")</f>
        <v>Local</v>
      </c>
      <c r="N114" s="8">
        <f ca="1">IFERROR(__xludf.DUMMYFUNCTION("""COMPUTED_VALUE"""),4)</f>
        <v>4</v>
      </c>
      <c r="O114" s="8" t="str">
        <f ca="1">IFERROR(__xludf.DUMMYFUNCTION("""COMPUTED_VALUE"""),"Spring")</f>
        <v>Spring</v>
      </c>
      <c r="P114" s="8" t="str">
        <f ca="1">IFERROR(__xludf.DUMMYFUNCTION("""COMPUTED_VALUE"""),"New Orleans")</f>
        <v>New Orleans</v>
      </c>
      <c r="Q114" s="8" t="str">
        <f ca="1">IFERROR(__xludf.DUMMYFUNCTION("""COMPUTED_VALUE"""),"LA")</f>
        <v>LA</v>
      </c>
      <c r="R114" s="8" t="str">
        <f ca="1">IFERROR(__xludf.DUMMYFUNCTION("""COMPUTED_VALUE"""),"K-12")</f>
        <v>K-12</v>
      </c>
      <c r="S114" s="8" t="str">
        <f ca="1">IFERROR(__xludf.DUMMYFUNCTION("""COMPUTED_VALUE"""),"Entryway")</f>
        <v>Entryway</v>
      </c>
      <c r="T114" s="8" t="str">
        <f ca="1">IFERROR(__xludf.DUMMYFUNCTION("""COMPUTED_VALUE"""),"Inside School Building")</f>
        <v>Inside School Building</v>
      </c>
      <c r="U114" s="8" t="str">
        <f ca="1">IFERROR(__xludf.DUMMYFUNCTION("""COMPUTED_VALUE"""),"Yes")</f>
        <v>Yes</v>
      </c>
      <c r="V114" s="8" t="str">
        <f ca="1">IFERROR(__xludf.DUMMYFUNCTION("""COMPUTED_VALUE"""),"Morning Classes")</f>
        <v>Morning Classes</v>
      </c>
      <c r="W114" s="11">
        <f ca="1">IFERROR(__xludf.DUMMYFUNCTION("""COMPUTED_VALUE"""),0.416666666666666)</f>
        <v>0.41666666666666602</v>
      </c>
      <c r="X114" s="8">
        <f ca="1">IFERROR(__xludf.DUMMYFUNCTION("""COMPUTED_VALUE"""),1)</f>
        <v>1</v>
      </c>
      <c r="Y114" s="12" t="str">
        <f ca="1">IFERROR(__xludf.DUMMYFUNCTION("""COMPUTED_VALUE"""),"Man entered locked door behind staff member, said he had a medical emergency then pulled gun, subdued by staff")</f>
        <v>Man entered locked door behind staff member, said he had a medical emergency then pulled gun, subdued by staff</v>
      </c>
      <c r="Z114" s="12" t="str">
        <f ca="1">IFERROR(__xludf.DUMMYFUNCTION("""COMPUTED_VALUE"""),"According to the New Orleans Police Department, a man entered ReNEW Dolores T. Aaron Academy behind an employee. The man entered the foyer and told the employee he was having a medical emergency and pulled out a gun. According to Tanya Bryant, the CEO of "&amp;"ReNEW schools, employees were able to grab the gun from the man. Bryant said at some point, the man ran and entered a classroom but was unarmed. According to Bryant, the man startled the students, but no one was hurt in the incident. Bryant said employees"&amp;" were able to detain the man until NOPD arrived at the scene.")</f>
        <v>According to the New Orleans Police Department, a man entered ReNEW Dolores T. Aaron Academy behind an employee. The man entered the foyer and told the employee he was having a medical emergency and pulled out a gun. According to Tanya Bryant, the CEO of ReNEW schools, employees were able to grab the gun from the man. Bryant said at some point, the man ran and entered a classroom but was unarmed. According to Bryant, the man startled the students, but no one was hurt in the incident. Bryant said employees were able to detain the man until NOPD arrived at the scene.</v>
      </c>
      <c r="AA114" s="8"/>
      <c r="AB114" s="8"/>
      <c r="AC114" s="8" t="str">
        <f ca="1">IFERROR(__xludf.DUMMYFUNCTION("""COMPUTED_VALUE"""),"Yes")</f>
        <v>Yes</v>
      </c>
      <c r="AD114" s="8"/>
      <c r="AE114" s="8" t="str">
        <f ca="1">IFERROR(__xludf.DUMMYFUNCTION("""COMPUTED_VALUE"""),"No")</f>
        <v>No</v>
      </c>
      <c r="AF114" s="8"/>
      <c r="AG114" s="8" t="str">
        <f ca="1">IFERROR(__xludf.DUMMYFUNCTION("""COMPUTED_VALUE"""),"No")</f>
        <v>No</v>
      </c>
      <c r="AH114" s="8" t="str">
        <f ca="1">IFERROR(__xludf.DUMMYFUNCTION("""COMPUTED_VALUE"""),"No")</f>
        <v>No</v>
      </c>
      <c r="AI114" s="8" t="str">
        <f ca="1">IFERROR(__xludf.DUMMYFUNCTION("""COMPUTED_VALUE"""),"No")</f>
        <v>No</v>
      </c>
      <c r="AJ114" s="8" t="str">
        <f ca="1">IFERROR(__xludf.DUMMYFUNCTION("""COMPUTED_VALUE"""),"No")</f>
        <v>No</v>
      </c>
      <c r="AK114" s="8" t="str">
        <f ca="1">IFERROR(__xludf.DUMMYFUNCTION("""COMPUTED_VALUE"""),"No")</f>
        <v>No</v>
      </c>
      <c r="AL114" s="8" t="str">
        <f ca="1">IFERROR(__xludf.DUMMYFUNCTION("""COMPUTED_VALUE"""),"No")</f>
        <v>No</v>
      </c>
      <c r="AM114" s="8"/>
      <c r="AN114" s="8" t="str">
        <f ca="1">IFERROR(__xludf.DUMMYFUNCTION("""COMPUTED_VALUE"""),"Hallway")</f>
        <v>Hallway</v>
      </c>
      <c r="AO114" s="8"/>
      <c r="AP114" s="8" t="str">
        <f ca="1">IFERROR(__xludf.DUMMYFUNCTION("""COMPUTED_VALUE"""),"No")</f>
        <v>No</v>
      </c>
      <c r="AQ114" s="8"/>
      <c r="AR114" s="8" t="str">
        <f ca="1">IFERROR(__xludf.DUMMYFUNCTION("""COMPUTED_VALUE"""),"Failed")</f>
        <v>Failed</v>
      </c>
      <c r="AS114" s="8">
        <f ca="1">IFERROR(__xludf.DUMMYFUNCTION("""COMPUTED_VALUE"""),0)</f>
        <v>0</v>
      </c>
      <c r="AT114" s="8" t="str">
        <f ca="1">IFERROR(__xludf.DUMMYFUNCTION("""COMPUTED_VALUE"""),"Yes")</f>
        <v>Yes</v>
      </c>
      <c r="AU114" s="8">
        <f ca="1">IFERROR(__xludf.DUMMYFUNCTION("""COMPUTED_VALUE"""),30.047165)</f>
        <v>30.047165</v>
      </c>
      <c r="AV114" s="8">
        <f ca="1">IFERROR(__xludf.DUMMYFUNCTION("""COMPUTED_VALUE"""),-89.979558)</f>
        <v>-89.979557999999997</v>
      </c>
      <c r="AW114" s="8" t="str">
        <f ca="1">IFERROR(__xludf.DUMMYFUNCTION("""COMPUTED_VALUE"""),"Multiple attached buildings")</f>
        <v>Multiple attached buildings</v>
      </c>
      <c r="AX114" s="8">
        <f ca="1">IFERROR(__xludf.DUMMYFUNCTION("""COMPUTED_VALUE"""),70128)</f>
        <v>70128</v>
      </c>
    </row>
    <row r="115" spans="1:50" ht="105" x14ac:dyDescent="0.2">
      <c r="A115" s="8" t="str">
        <f ca="1">IFERROR(__xludf.DUMMYFUNCTION("""COMPUTED_VALUE"""),"20250408WASEA")</f>
        <v>20250408WASEA</v>
      </c>
      <c r="B115" s="8">
        <f ca="1">IFERROR(__xludf.DUMMYFUNCTION("""COMPUTED_VALUE"""),4)</f>
        <v>4</v>
      </c>
      <c r="C115" s="8">
        <f ca="1">IFERROR(__xludf.DUMMYFUNCTION("""COMPUTED_VALUE"""),8)</f>
        <v>8</v>
      </c>
      <c r="D115" s="8">
        <f ca="1">IFERROR(__xludf.DUMMYFUNCTION("""COMPUTED_VALUE"""),2025)</f>
        <v>2025</v>
      </c>
      <c r="E115" s="9">
        <f ca="1">IFERROR(__xludf.DUMMYFUNCTION("""COMPUTED_VALUE"""),45755)</f>
        <v>45755</v>
      </c>
      <c r="F115" s="8" t="str">
        <f ca="1">IFERROR(__xludf.DUMMYFUNCTION("""COMPUTED_VALUE"""),"Sequoyah Middle School ")</f>
        <v xml:space="preserve">Sequoyah Middle School </v>
      </c>
      <c r="G115" s="8">
        <f ca="1">IFERROR(__xludf.DUMMYFUNCTION("""COMPUTED_VALUE"""),0)</f>
        <v>0</v>
      </c>
      <c r="H115" s="8">
        <f ca="1">IFERROR(__xludf.DUMMYFUNCTION("""COMPUTED_VALUE"""),1)</f>
        <v>1</v>
      </c>
      <c r="I115" s="8">
        <f ca="1">IFERROR(__xludf.DUMMYFUNCTION("""COMPUTED_VALUE"""),1)</f>
        <v>1</v>
      </c>
      <c r="J115" s="8">
        <f ca="1">IFERROR(__xludf.DUMMYFUNCTION("""COMPUTED_VALUE"""),0)</f>
        <v>0</v>
      </c>
      <c r="K115" s="10" t="str">
        <f ca="1">IFERROR(__xludf.DUMMYFUNCTION("""COMPUTED_VALUE"""),"https://www.fox13seattle.com/news/juvenile-shot-king-county-middle-school")</f>
        <v>https://www.fox13seattle.com/news/juvenile-shot-king-county-middle-school</v>
      </c>
      <c r="L115" s="8">
        <f ca="1">IFERROR(__xludf.DUMMYFUNCTION("""COMPUTED_VALUE"""),1)</f>
        <v>1</v>
      </c>
      <c r="M115" s="8" t="str">
        <f ca="1">IFERROR(__xludf.DUMMYFUNCTION("""COMPUTED_VALUE"""),"Local")</f>
        <v>Local</v>
      </c>
      <c r="N115" s="8">
        <f ca="1">IFERROR(__xludf.DUMMYFUNCTION("""COMPUTED_VALUE"""),2)</f>
        <v>2</v>
      </c>
      <c r="O115" s="8" t="str">
        <f ca="1">IFERROR(__xludf.DUMMYFUNCTION("""COMPUTED_VALUE"""),"Spring")</f>
        <v>Spring</v>
      </c>
      <c r="P115" s="8" t="str">
        <f ca="1">IFERROR(__xludf.DUMMYFUNCTION("""COMPUTED_VALUE"""),"Auburn")</f>
        <v>Auburn</v>
      </c>
      <c r="Q115" s="8" t="str">
        <f ca="1">IFERROR(__xludf.DUMMYFUNCTION("""COMPUTED_VALUE"""),"WA")</f>
        <v>WA</v>
      </c>
      <c r="R115" s="8" t="str">
        <f ca="1">IFERROR(__xludf.DUMMYFUNCTION("""COMPUTED_VALUE"""),"Middle")</f>
        <v>Middle</v>
      </c>
      <c r="S115" s="8" t="str">
        <f ca="1">IFERROR(__xludf.DUMMYFUNCTION("""COMPUTED_VALUE"""),"Parking Lot")</f>
        <v>Parking Lot</v>
      </c>
      <c r="T115" s="8" t="str">
        <f ca="1">IFERROR(__xludf.DUMMYFUNCTION("""COMPUTED_VALUE"""),"Outside on School Property")</f>
        <v>Outside on School Property</v>
      </c>
      <c r="U115" s="8" t="str">
        <f ca="1">IFERROR(__xludf.DUMMYFUNCTION("""COMPUTED_VALUE"""),"Yes")</f>
        <v>Yes</v>
      </c>
      <c r="V115" s="8" t="str">
        <f ca="1">IFERROR(__xludf.DUMMYFUNCTION("""COMPUTED_VALUE"""),"Dismissal")</f>
        <v>Dismissal</v>
      </c>
      <c r="W115" s="11">
        <f ca="1">IFERROR(__xludf.DUMMYFUNCTION("""COMPUTED_VALUE"""),0.645833333333333)</f>
        <v>0.64583333333333304</v>
      </c>
      <c r="X115" s="8">
        <f ca="1">IFERROR(__xludf.DUMMYFUNCTION("""COMPUTED_VALUE"""),1)</f>
        <v>1</v>
      </c>
      <c r="Y115" s="12" t="str">
        <f ca="1">IFERROR(__xludf.DUMMYFUNCTION("""COMPUTED_VALUE"""),"Juvenile shot another juvenile outside of the school")</f>
        <v>Juvenile shot another juvenile outside of the school</v>
      </c>
      <c r="Z115" s="12" t="str">
        <f ca="1">IFERROR(__xludf.DUMMYFUNCTION("""COMPUTED_VALUE"""),"Deputies with the King County Sheriff's Office responded to a shooting near a King County middle school Tuesday afternoon. It happened at South 360th Street and 32nd Avenue South, which is where Sequoyah Middle School is located. Detectives say one juveni"&amp;"le shot another juvenile. The victim was taken to Harborview Medical Center and has non-life-threatening injuries.")</f>
        <v>Deputies with the King County Sheriff's Office responded to a shooting near a King County middle school Tuesday afternoon. It happened at South 360th Street and 32nd Avenue South, which is where Sequoyah Middle School is located. Detectives say one juvenile shot another juvenile. The victim was taken to Harborview Medical Center and has non-life-threatening injuries.</v>
      </c>
      <c r="AA115" s="8"/>
      <c r="AB115" s="8"/>
      <c r="AC115" s="8" t="str">
        <f ca="1">IFERROR(__xludf.DUMMYFUNCTION("""COMPUTED_VALUE"""),"Yes")</f>
        <v>Yes</v>
      </c>
      <c r="AD115" s="8"/>
      <c r="AE115" s="8"/>
      <c r="AF115" s="8"/>
      <c r="AG115" s="8" t="str">
        <f ca="1">IFERROR(__xludf.DUMMYFUNCTION("""COMPUTED_VALUE"""),"No")</f>
        <v>No</v>
      </c>
      <c r="AH115" s="8" t="str">
        <f ca="1">IFERROR(__xludf.DUMMYFUNCTION("""COMPUTED_VALUE"""),"No")</f>
        <v>No</v>
      </c>
      <c r="AI115" s="8" t="str">
        <f ca="1">IFERROR(__xludf.DUMMYFUNCTION("""COMPUTED_VALUE"""),"No")</f>
        <v>No</v>
      </c>
      <c r="AJ115" s="8" t="str">
        <f ca="1">IFERROR(__xludf.DUMMYFUNCTION("""COMPUTED_VALUE"""),"No")</f>
        <v>No</v>
      </c>
      <c r="AK115" s="8" t="str">
        <f ca="1">IFERROR(__xludf.DUMMYFUNCTION("""COMPUTED_VALUE"""),"No")</f>
        <v>No</v>
      </c>
      <c r="AL115" s="8"/>
      <c r="AM115" s="8" t="str">
        <f ca="1">IFERROR(__xludf.DUMMYFUNCTION("""COMPUTED_VALUE"""),"No")</f>
        <v>No</v>
      </c>
      <c r="AN115" s="8" t="str">
        <f ca="1">IFERROR(__xludf.DUMMYFUNCTION("""COMPUTED_VALUE"""),"Outside")</f>
        <v>Outside</v>
      </c>
      <c r="AO115" s="8" t="str">
        <f ca="1">IFERROR(__xludf.DUMMYFUNCTION("""COMPUTED_VALUE"""),"No")</f>
        <v>No</v>
      </c>
      <c r="AP115" s="8"/>
      <c r="AQ115" s="8"/>
      <c r="AR115" s="8" t="str">
        <f ca="1">IFERROR(__xludf.DUMMYFUNCTION("""COMPUTED_VALUE"""),"Outside/Off-Property")</f>
        <v>Outside/Off-Property</v>
      </c>
      <c r="AS115" s="8"/>
      <c r="AT115" s="8"/>
      <c r="AU115" s="8">
        <f ca="1">IFERROR(__xludf.DUMMYFUNCTION("""COMPUTED_VALUE"""),47.277296)</f>
        <v>47.277296</v>
      </c>
      <c r="AV115" s="8">
        <f ca="1">IFERROR(__xludf.DUMMYFUNCTION("""COMPUTED_VALUE"""),-122.288426)</f>
        <v>-122.288426</v>
      </c>
      <c r="AW115" s="8" t="str">
        <f ca="1">IFERROR(__xludf.DUMMYFUNCTION("""COMPUTED_VALUE"""),"Multiple detached buildings")</f>
        <v>Multiple detached buildings</v>
      </c>
      <c r="AX115" s="8">
        <f ca="1">IFERROR(__xludf.DUMMYFUNCTION("""COMPUTED_VALUE"""),98001)</f>
        <v>98001</v>
      </c>
    </row>
    <row r="116" spans="1:50" ht="285" x14ac:dyDescent="0.2">
      <c r="A116" s="8" t="str">
        <f ca="1">IFERROR(__xludf.DUMMYFUNCTION("""COMPUTED_VALUE"""),"20250407VALEF")</f>
        <v>20250407VALEF</v>
      </c>
      <c r="B116" s="8">
        <f ca="1">IFERROR(__xludf.DUMMYFUNCTION("""COMPUTED_VALUE"""),4)</f>
        <v>4</v>
      </c>
      <c r="C116" s="8">
        <f ca="1">IFERROR(__xludf.DUMMYFUNCTION("""COMPUTED_VALUE"""),7)</f>
        <v>7</v>
      </c>
      <c r="D116" s="8">
        <f ca="1">IFERROR(__xludf.DUMMYFUNCTION("""COMPUTED_VALUE"""),2025)</f>
        <v>2025</v>
      </c>
      <c r="E116" s="9">
        <f ca="1">IFERROR(__xludf.DUMMYFUNCTION("""COMPUTED_VALUE"""),45754)</f>
        <v>45754</v>
      </c>
      <c r="F116" s="8" t="str">
        <f ca="1">IFERROR(__xludf.DUMMYFUNCTION("""COMPUTED_VALUE"""),"Lee Hill Elementary School")</f>
        <v>Lee Hill Elementary School</v>
      </c>
      <c r="G116" s="8">
        <f ca="1">IFERROR(__xludf.DUMMYFUNCTION("""COMPUTED_VALUE"""),0)</f>
        <v>0</v>
      </c>
      <c r="H116" s="8">
        <f ca="1">IFERROR(__xludf.DUMMYFUNCTION("""COMPUTED_VALUE"""),0)</f>
        <v>0</v>
      </c>
      <c r="I116" s="8">
        <f ca="1">IFERROR(__xludf.DUMMYFUNCTION("""COMPUTED_VALUE"""),0)</f>
        <v>0</v>
      </c>
      <c r="J116" s="8">
        <f ca="1">IFERROR(__xludf.DUMMYFUNCTION("""COMPUTED_VALUE"""),0)</f>
        <v>0</v>
      </c>
      <c r="K116" s="8" t="str">
        <f ca="1">IFERROR(__xludf.DUMMYFUNCTION("""COMPUTED_VALUE"""),"https://www.nbcwashington.com/news/local/gun-in-third-graders-backpack-goes-off-in-spotsylvania-county-classroom/3885686/
https://wtop.com/virginia/2025/04/no-injuries-after-gun-fires-inside-3rd-graders-backpack-at-va-elementary-school/
https://wtop.com/v"&amp;"irginia/2025/04/parents-arrested-after-3rd-grader-accidentally-fired-gun-in-va-classroom-deputies-say/")</f>
        <v>https://www.nbcwashington.com/news/local/gun-in-third-graders-backpack-goes-off-in-spotsylvania-county-classroom/3885686/
https://wtop.com/virginia/2025/04/no-injuries-after-gun-fires-inside-3rd-graders-backpack-at-va-elementary-school/
https://wtop.com/virginia/2025/04/parents-arrested-after-3rd-grader-accidentally-fired-gun-in-va-classroom-deputies-say/</v>
      </c>
      <c r="L116" s="8">
        <f ca="1">IFERROR(__xludf.DUMMYFUNCTION("""COMPUTED_VALUE"""),50)</f>
        <v>50</v>
      </c>
      <c r="M116" s="8" t="str">
        <f ca="1">IFERROR(__xludf.DUMMYFUNCTION("""COMPUTED_VALUE"""),"Regional")</f>
        <v>Regional</v>
      </c>
      <c r="N116" s="8">
        <f ca="1">IFERROR(__xludf.DUMMYFUNCTION("""COMPUTED_VALUE"""),4)</f>
        <v>4</v>
      </c>
      <c r="O116" s="8" t="str">
        <f ca="1">IFERROR(__xludf.DUMMYFUNCTION("""COMPUTED_VALUE"""),"Spring")</f>
        <v>Spring</v>
      </c>
      <c r="P116" s="8" t="str">
        <f ca="1">IFERROR(__xludf.DUMMYFUNCTION("""COMPUTED_VALUE"""),"Fredericksburg")</f>
        <v>Fredericksburg</v>
      </c>
      <c r="Q116" s="8" t="str">
        <f ca="1">IFERROR(__xludf.DUMMYFUNCTION("""COMPUTED_VALUE"""),"VA")</f>
        <v>VA</v>
      </c>
      <c r="R116" s="8" t="str">
        <f ca="1">IFERROR(__xludf.DUMMYFUNCTION("""COMPUTED_VALUE"""),"Elementary")</f>
        <v>Elementary</v>
      </c>
      <c r="S116" s="8" t="str">
        <f ca="1">IFERROR(__xludf.DUMMYFUNCTION("""COMPUTED_VALUE"""),"Classroom")</f>
        <v>Classroom</v>
      </c>
      <c r="T116" s="8" t="str">
        <f ca="1">IFERROR(__xludf.DUMMYFUNCTION("""COMPUTED_VALUE"""),"Inside School Building")</f>
        <v>Inside School Building</v>
      </c>
      <c r="U116" s="8" t="str">
        <f ca="1">IFERROR(__xludf.DUMMYFUNCTION("""COMPUTED_VALUE"""),"Yes")</f>
        <v>Yes</v>
      </c>
      <c r="V116" s="8" t="str">
        <f ca="1">IFERROR(__xludf.DUMMYFUNCTION("""COMPUTED_VALUE"""),"Morning Classes")</f>
        <v>Morning Classes</v>
      </c>
      <c r="W116" s="11">
        <f ca="1">IFERROR(__xludf.DUMMYFUNCTION("""COMPUTED_VALUE"""),0.451388888888888)</f>
        <v>0.45138888888888801</v>
      </c>
      <c r="X116" s="8">
        <f ca="1">IFERROR(__xludf.DUMMYFUNCTION("""COMPUTED_VALUE"""),1)</f>
        <v>1</v>
      </c>
      <c r="Y116" s="12" t="str">
        <f ca="1">IFERROR(__xludf.DUMMYFUNCTION("""COMPUTED_VALUE"""),"Handgun fired inside 3rd grade student's backpack when student reached inside for snacks")</f>
        <v>Handgun fired inside 3rd grade student's backpack when student reached inside for snacks</v>
      </c>
      <c r="Z116" s="12" t="str">
        <f ca="1">IFERROR(__xludf.DUMMYFUNCTION("""COMPUTED_VALUE"""),"A gun inside a third-grader’s backpack went off in a classroom in Spotsylvania County, Virginia, on Monday morning, authorities say. No students or staff were hurt after the gunfire at Lee Hill Elementary School, the county sheriff’s office said. The hand"&amp;"gun fired at about 10:50 a.m., the office said in a statement. “Once the gun discharged, the teacher evacuated all 26 students from the classroom and notified the School Resource Officer who was on site,” the statement said. The student had no intent to d"&amp;"o harm, the sheriff’s office said after conducting initial interviews. Detectives are continuing to interview the student and the student’s parents. “It was during snack time, and the child reached into his bookbag to retrieve his snacks and inadvertently"&amp;" pulled the trigger of the weapon,” Maj. Liz Scott with the sheriff’s office told WTOP. “It’s truly remarkable that nobody was physically injured.” Both 36-year-old Ciara Armstead and 34-year-old Terrence Carroll Jr. were charged with one felony and one m"&amp;"isdemeanor related to endangering a child. Their son is not facing any charges.")</f>
        <v>A gun inside a third-grader’s backpack went off in a classroom in Spotsylvania County, Virginia, on Monday morning, authorities say. No students or staff were hurt after the gunfire at Lee Hill Elementary School, the county sheriff’s office said. The handgun fired at about 10:50 a.m., the office said in a statement. “Once the gun discharged, the teacher evacuated all 26 students from the classroom and notified the School Resource Officer who was on site,” the statement said. The student had no intent to do harm, the sheriff’s office said after conducting initial interviews. Detectives are continuing to interview the student and the student’s parents. “It was during snack time, and the child reached into his bookbag to retrieve his snacks and inadvertently pulled the trigger of the weapon,” Maj. Liz Scott with the sheriff’s office told WTOP. “It’s truly remarkable that nobody was physically injured.” Both 36-year-old Ciara Armstead and 34-year-old Terrence Carroll Jr. were charged with one felony and one misdemeanor related to endangering a child. Their son is not facing any charges.</v>
      </c>
      <c r="AA116" s="8" t="str">
        <f ca="1">IFERROR(__xludf.DUMMYFUNCTION("""COMPUTED_VALUE"""),"Accidental")</f>
        <v>Accidental</v>
      </c>
      <c r="AB116" s="8" t="str">
        <f ca="1">IFERROR(__xludf.DUMMYFUNCTION("""COMPUTED_VALUE"""),"Spontaneous")</f>
        <v>Spontaneous</v>
      </c>
      <c r="AC116" s="8" t="str">
        <f ca="1">IFERROR(__xludf.DUMMYFUNCTION("""COMPUTED_VALUE"""),"Yes")</f>
        <v>Yes</v>
      </c>
      <c r="AD116" s="8" t="str">
        <f ca="1">IFERROR(__xludf.DUMMYFUNCTION("""COMPUTED_VALUE"""),"Neither")</f>
        <v>Neither</v>
      </c>
      <c r="AE116" s="8" t="str">
        <f ca="1">IFERROR(__xludf.DUMMYFUNCTION("""COMPUTED_VALUE"""),"No")</f>
        <v>No</v>
      </c>
      <c r="AF116" s="8"/>
      <c r="AG116" s="8" t="str">
        <f ca="1">IFERROR(__xludf.DUMMYFUNCTION("""COMPUTED_VALUE"""),"No")</f>
        <v>No</v>
      </c>
      <c r="AH116" s="8" t="str">
        <f ca="1">IFERROR(__xludf.DUMMYFUNCTION("""COMPUTED_VALUE"""),"No")</f>
        <v>No</v>
      </c>
      <c r="AI116" s="8" t="str">
        <f ca="1">IFERROR(__xludf.DUMMYFUNCTION("""COMPUTED_VALUE"""),"No")</f>
        <v>No</v>
      </c>
      <c r="AJ116" s="8" t="str">
        <f ca="1">IFERROR(__xludf.DUMMYFUNCTION("""COMPUTED_VALUE"""),"No")</f>
        <v>No</v>
      </c>
      <c r="AK116" s="8" t="str">
        <f ca="1">IFERROR(__xludf.DUMMYFUNCTION("""COMPUTED_VALUE"""),"No")</f>
        <v>No</v>
      </c>
      <c r="AL116" s="8" t="str">
        <f ca="1">IFERROR(__xludf.DUMMYFUNCTION("""COMPUTED_VALUE"""),"No")</f>
        <v>No</v>
      </c>
      <c r="AM116" s="8" t="str">
        <f ca="1">IFERROR(__xludf.DUMMYFUNCTION("""COMPUTED_VALUE"""),"No")</f>
        <v>No</v>
      </c>
      <c r="AN116" s="8" t="str">
        <f ca="1">IFERROR(__xludf.DUMMYFUNCTION("""COMPUTED_VALUE"""),"Single Room")</f>
        <v>Single Room</v>
      </c>
      <c r="AO116" s="8" t="str">
        <f ca="1">IFERROR(__xludf.DUMMYFUNCTION("""COMPUTED_VALUE"""),"No")</f>
        <v>No</v>
      </c>
      <c r="AP116" s="8" t="str">
        <f ca="1">IFERROR(__xludf.DUMMYFUNCTION("""COMPUTED_VALUE"""),"Yes")</f>
        <v>Yes</v>
      </c>
      <c r="AQ116" s="8" t="str">
        <f ca="1">IFERROR(__xludf.DUMMYFUNCTION("""COMPUTED_VALUE"""),"Armed Guards")</f>
        <v>Armed Guards</v>
      </c>
      <c r="AR116" s="8" t="str">
        <f ca="1">IFERROR(__xludf.DUMMYFUNCTION("""COMPUTED_VALUE"""),"Failed")</f>
        <v>Failed</v>
      </c>
      <c r="AS116" s="8">
        <f ca="1">IFERROR(__xludf.DUMMYFUNCTION("""COMPUTED_VALUE"""),1)</f>
        <v>1</v>
      </c>
      <c r="AT116" s="8" t="str">
        <f ca="1">IFERROR(__xludf.DUMMYFUNCTION("""COMPUTED_VALUE"""),"Yes")</f>
        <v>Yes</v>
      </c>
      <c r="AU116" s="8">
        <f ca="1">IFERROR(__xludf.DUMMYFUNCTION("""COMPUTED_VALUE"""),38.227488)</f>
        <v>38.227488000000001</v>
      </c>
      <c r="AV116" s="8">
        <f ca="1">IFERROR(__xludf.DUMMYFUNCTION("""COMPUTED_VALUE"""),-77.460076)</f>
        <v>-77.460076000000001</v>
      </c>
      <c r="AW116" s="8" t="str">
        <f ca="1">IFERROR(__xludf.DUMMYFUNCTION("""COMPUTED_VALUE"""),"Multiple attached buildings")</f>
        <v>Multiple attached buildings</v>
      </c>
      <c r="AX116" s="8">
        <f ca="1">IFERROR(__xludf.DUMMYFUNCTION("""COMPUTED_VALUE"""),22408)</f>
        <v>22408</v>
      </c>
    </row>
    <row r="117" spans="1:50" ht="135" x14ac:dyDescent="0.2">
      <c r="A117" s="8" t="str">
        <f ca="1">IFERROR(__xludf.DUMMYFUNCTION("""COMPUTED_VALUE"""),"20250407MIDED")</f>
        <v>20250407MIDED</v>
      </c>
      <c r="B117" s="8">
        <f ca="1">IFERROR(__xludf.DUMMYFUNCTION("""COMPUTED_VALUE"""),4)</f>
        <v>4</v>
      </c>
      <c r="C117" s="8">
        <f ca="1">IFERROR(__xludf.DUMMYFUNCTION("""COMPUTED_VALUE"""),7)</f>
        <v>7</v>
      </c>
      <c r="D117" s="8">
        <f ca="1">IFERROR(__xludf.DUMMYFUNCTION("""COMPUTED_VALUE"""),2025)</f>
        <v>2025</v>
      </c>
      <c r="E117" s="9">
        <f ca="1">IFERROR(__xludf.DUMMYFUNCTION("""COMPUTED_VALUE"""),45754)</f>
        <v>45754</v>
      </c>
      <c r="F117" s="8" t="str">
        <f ca="1">IFERROR(__xludf.DUMMYFUNCTION("""COMPUTED_VALUE"""),"Detroit Loyola High School")</f>
        <v>Detroit Loyola High School</v>
      </c>
      <c r="G117" s="8">
        <f ca="1">IFERROR(__xludf.DUMMYFUNCTION("""COMPUTED_VALUE"""),0)</f>
        <v>0</v>
      </c>
      <c r="H117" s="8">
        <f ca="1">IFERROR(__xludf.DUMMYFUNCTION("""COMPUTED_VALUE"""),0)</f>
        <v>0</v>
      </c>
      <c r="I117" s="8">
        <f ca="1">IFERROR(__xludf.DUMMYFUNCTION("""COMPUTED_VALUE"""),0)</f>
        <v>0</v>
      </c>
      <c r="J117" s="8">
        <f ca="1">IFERROR(__xludf.DUMMYFUNCTION("""COMPUTED_VALUE"""),0)</f>
        <v>0</v>
      </c>
      <c r="K117" s="8" t="str">
        <f ca="1">IFERROR(__xludf.DUMMYFUNCTION("""COMPUTED_VALUE"""),"https://www.fox2detroit.com/news/bullet-fired-catholic-high-school-chapel-detroit
https://www.wxyz.com/news/bullet-goes-through-window-at-detroit-loyola-high-school-chapel-with-students-inside")</f>
        <v>https://www.fox2detroit.com/news/bullet-fired-catholic-high-school-chapel-detroit
https://www.wxyz.com/news/bullet-goes-through-window-at-detroit-loyola-high-school-chapel-with-students-inside</v>
      </c>
      <c r="L117" s="8">
        <f ca="1">IFERROR(__xludf.DUMMYFUNCTION("""COMPUTED_VALUE"""),8)</f>
        <v>8</v>
      </c>
      <c r="M117" s="8" t="str">
        <f ca="1">IFERROR(__xludf.DUMMYFUNCTION("""COMPUTED_VALUE"""),"Regional")</f>
        <v>Regional</v>
      </c>
      <c r="N117" s="8">
        <f ca="1">IFERROR(__xludf.DUMMYFUNCTION("""COMPUTED_VALUE"""),4)</f>
        <v>4</v>
      </c>
      <c r="O117" s="8" t="str">
        <f ca="1">IFERROR(__xludf.DUMMYFUNCTION("""COMPUTED_VALUE"""),"Spring")</f>
        <v>Spring</v>
      </c>
      <c r="P117" s="8" t="str">
        <f ca="1">IFERROR(__xludf.DUMMYFUNCTION("""COMPUTED_VALUE"""),"Detroit")</f>
        <v>Detroit</v>
      </c>
      <c r="Q117" s="8" t="str">
        <f ca="1">IFERROR(__xludf.DUMMYFUNCTION("""COMPUTED_VALUE"""),"MI")</f>
        <v>MI</v>
      </c>
      <c r="R117" s="8" t="str">
        <f ca="1">IFERROR(__xludf.DUMMYFUNCTION("""COMPUTED_VALUE"""),"High")</f>
        <v>High</v>
      </c>
      <c r="S117" s="8" t="str">
        <f ca="1">IFERROR(__xludf.DUMMYFUNCTION("""COMPUTED_VALUE"""),"Auditorium")</f>
        <v>Auditorium</v>
      </c>
      <c r="T117" s="8" t="str">
        <f ca="1">IFERROR(__xludf.DUMMYFUNCTION("""COMPUTED_VALUE"""),"Both Inside/Outside")</f>
        <v>Both Inside/Outside</v>
      </c>
      <c r="U117" s="8" t="str">
        <f ca="1">IFERROR(__xludf.DUMMYFUNCTION("""COMPUTED_VALUE"""),"Yes")</f>
        <v>Yes</v>
      </c>
      <c r="V117" s="8" t="str">
        <f ca="1">IFERROR(__xludf.DUMMYFUNCTION("""COMPUTED_VALUE"""),"Morning Classes")</f>
        <v>Morning Classes</v>
      </c>
      <c r="W117" s="11">
        <f ca="1">IFERROR(__xludf.DUMMYFUNCTION("""COMPUTED_VALUE"""),0.326388888888888)</f>
        <v>0.32638888888888801</v>
      </c>
      <c r="X117" s="8">
        <f ca="1">IFERROR(__xludf.DUMMYFUNCTION("""COMPUTED_VALUE"""),1)</f>
        <v>1</v>
      </c>
      <c r="Y117" s="12" t="str">
        <f ca="1">IFERROR(__xludf.DUMMYFUNCTION("""COMPUTED_VALUE"""),"Shot fired into chapel during morning prayer")</f>
        <v>Shot fired into chapel during morning prayer</v>
      </c>
      <c r="Z117" s="12" t="str">
        <f ca="1">IFERROR(__xludf.DUMMYFUNCTION("""COMPUTED_VALUE"""),"This morning, a bullet penetrated the wall of our school chapel shortly before our regularly scheduled morning prayer. We are deeply grateful to report that no one was injured. As a precaution, all students are currently being held safely in the gym. For "&amp;"everyone’s safety, while the investigation is ongoing, students will be permitted to leave with a parent or guardian, students who drove will only be released with parental consent, and no student will be allowed to walk home.")</f>
        <v>This morning, a bullet penetrated the wall of our school chapel shortly before our regularly scheduled morning prayer. We are deeply grateful to report that no one was injured. As a precaution, all students are currently being held safely in the gym. For everyone’s safety, while the investigation is ongoing, students will be permitted to leave with a parent or guardian, students who drove will only be released with parental consent, and no student will be allowed to walk home.</v>
      </c>
      <c r="AA117" s="8"/>
      <c r="AB117" s="8"/>
      <c r="AC117" s="8" t="str">
        <f ca="1">IFERROR(__xludf.DUMMYFUNCTION("""COMPUTED_VALUE"""),"Yes")</f>
        <v>Yes</v>
      </c>
      <c r="AD117" s="8"/>
      <c r="AE117" s="8" t="str">
        <f ca="1">IFERROR(__xludf.DUMMYFUNCTION("""COMPUTED_VALUE"""),"No")</f>
        <v>No</v>
      </c>
      <c r="AF117" s="8"/>
      <c r="AG117" s="8" t="str">
        <f ca="1">IFERROR(__xludf.DUMMYFUNCTION("""COMPUTED_VALUE"""),"No")</f>
        <v>No</v>
      </c>
      <c r="AH117" s="8" t="str">
        <f ca="1">IFERROR(__xludf.DUMMYFUNCTION("""COMPUTED_VALUE"""),"No")</f>
        <v>No</v>
      </c>
      <c r="AI117" s="8" t="str">
        <f ca="1">IFERROR(__xludf.DUMMYFUNCTION("""COMPUTED_VALUE"""),"No")</f>
        <v>No</v>
      </c>
      <c r="AJ117" s="8" t="str">
        <f ca="1">IFERROR(__xludf.DUMMYFUNCTION("""COMPUTED_VALUE"""),"No")</f>
        <v>No</v>
      </c>
      <c r="AK117" s="8" t="str">
        <f ca="1">IFERROR(__xludf.DUMMYFUNCTION("""COMPUTED_VALUE"""),"No")</f>
        <v>No</v>
      </c>
      <c r="AL117" s="8" t="str">
        <f ca="1">IFERROR(__xludf.DUMMYFUNCTION("""COMPUTED_VALUE"""),"No")</f>
        <v>No</v>
      </c>
      <c r="AM117" s="8" t="str">
        <f ca="1">IFERROR(__xludf.DUMMYFUNCTION("""COMPUTED_VALUE"""),"No")</f>
        <v>No</v>
      </c>
      <c r="AN117" s="8" t="str">
        <f ca="1">IFERROR(__xludf.DUMMYFUNCTION("""COMPUTED_VALUE"""),"Outside")</f>
        <v>Outside</v>
      </c>
      <c r="AO117" s="8" t="str">
        <f ca="1">IFERROR(__xludf.DUMMYFUNCTION("""COMPUTED_VALUE"""),"No")</f>
        <v>No</v>
      </c>
      <c r="AP117" s="8"/>
      <c r="AQ117" s="8"/>
      <c r="AR117" s="8" t="str">
        <f ca="1">IFERROR(__xludf.DUMMYFUNCTION("""COMPUTED_VALUE"""),"Outside/Off-Property")</f>
        <v>Outside/Off-Property</v>
      </c>
      <c r="AS117" s="8">
        <f ca="1">IFERROR(__xludf.DUMMYFUNCTION("""COMPUTED_VALUE"""),1)</f>
        <v>1</v>
      </c>
      <c r="AT117" s="8" t="str">
        <f ca="1">IFERROR(__xludf.DUMMYFUNCTION("""COMPUTED_VALUE"""),"Yes")</f>
        <v>Yes</v>
      </c>
      <c r="AU117" s="8">
        <f ca="1">IFERROR(__xludf.DUMMYFUNCTION("""COMPUTED_VALUE"""),42.403034)</f>
        <v>42.403033999999998</v>
      </c>
      <c r="AV117" s="8">
        <f ca="1">IFERROR(__xludf.DUMMYFUNCTION("""COMPUTED_VALUE"""),-83.166302)</f>
        <v>-83.166302000000002</v>
      </c>
      <c r="AW117" s="8" t="str">
        <f ca="1">IFERROR(__xludf.DUMMYFUNCTION("""COMPUTED_VALUE"""),"Multiple attached buildings")</f>
        <v>Multiple attached buildings</v>
      </c>
      <c r="AX117" s="8">
        <f ca="1">IFERROR(__xludf.DUMMYFUNCTION("""COMPUTED_VALUE"""),48238)</f>
        <v>48238</v>
      </c>
    </row>
    <row r="118" spans="1:50" ht="300" x14ac:dyDescent="0.2">
      <c r="A118" s="8" t="str">
        <f ca="1">IFERROR(__xludf.DUMMYFUNCTION("""COMPUTED_VALUE"""),"20250404KSSAS")</f>
        <v>20250404KSSAS</v>
      </c>
      <c r="B118" s="8">
        <f ca="1">IFERROR(__xludf.DUMMYFUNCTION("""COMPUTED_VALUE"""),4)</f>
        <v>4</v>
      </c>
      <c r="C118" s="8">
        <f ca="1">IFERROR(__xludf.DUMMYFUNCTION("""COMPUTED_VALUE"""),3)</f>
        <v>3</v>
      </c>
      <c r="D118" s="8">
        <f ca="1">IFERROR(__xludf.DUMMYFUNCTION("""COMPUTED_VALUE"""),2025)</f>
        <v>2025</v>
      </c>
      <c r="E118" s="9">
        <f ca="1">IFERROR(__xludf.DUMMYFUNCTION("""COMPUTED_VALUE"""),45750)</f>
        <v>45750</v>
      </c>
      <c r="F118" s="8" t="str">
        <f ca="1">IFERROR(__xludf.DUMMYFUNCTION("""COMPUTED_VALUE"""),"Saints Peter and Paul Catholic Church School")</f>
        <v>Saints Peter and Paul Catholic Church School</v>
      </c>
      <c r="G118" s="8">
        <f ca="1">IFERROR(__xludf.DUMMYFUNCTION("""COMPUTED_VALUE"""),1)</f>
        <v>1</v>
      </c>
      <c r="H118" s="8">
        <f ca="1">IFERROR(__xludf.DUMMYFUNCTION("""COMPUTED_VALUE"""),0)</f>
        <v>0</v>
      </c>
      <c r="I118" s="8">
        <f ca="1">IFERROR(__xludf.DUMMYFUNCTION("""COMPUTED_VALUE"""),1)</f>
        <v>1</v>
      </c>
      <c r="J118" s="8">
        <f ca="1">IFERROR(__xludf.DUMMYFUNCTION("""COMPUTED_VALUE"""),0)</f>
        <v>0</v>
      </c>
      <c r="K118" s="10" t="str">
        <f ca="1">IFERROR(__xludf.DUMMYFUNCTION("""COMPUTED_VALUE"""),"https://www.kansascity.com/news/state/kansas/article303485721.html
https://apnews.com/article/priest-shot-killed-seneca-kansas-f418a0f3933baaef73b359e32abd8363")</f>
        <v>https://www.kansascity.com/news/state/kansas/article303485721.html
https://apnews.com/article/priest-shot-killed-seneca-kansas-f418a0f3933baaef73b359e32abd8363</v>
      </c>
      <c r="L118" s="8">
        <f ca="1">IFERROR(__xludf.DUMMYFUNCTION("""COMPUTED_VALUE"""),50)</f>
        <v>50</v>
      </c>
      <c r="M118" s="8" t="str">
        <f ca="1">IFERROR(__xludf.DUMMYFUNCTION("""COMPUTED_VALUE"""),"National")</f>
        <v>National</v>
      </c>
      <c r="N118" s="8">
        <f ca="1">IFERROR(__xludf.DUMMYFUNCTION("""COMPUTED_VALUE"""),4)</f>
        <v>4</v>
      </c>
      <c r="O118" s="8" t="str">
        <f ca="1">IFERROR(__xludf.DUMMYFUNCTION("""COMPUTED_VALUE"""),"Spring")</f>
        <v>Spring</v>
      </c>
      <c r="P118" s="8" t="str">
        <f ca="1">IFERROR(__xludf.DUMMYFUNCTION("""COMPUTED_VALUE"""),"Seneca")</f>
        <v>Seneca</v>
      </c>
      <c r="Q118" s="8" t="str">
        <f ca="1">IFERROR(__xludf.DUMMYFUNCTION("""COMPUTED_VALUE"""),"KS")</f>
        <v>KS</v>
      </c>
      <c r="R118" s="8" t="str">
        <f ca="1">IFERROR(__xludf.DUMMYFUNCTION("""COMPUTED_VALUE"""),"K-8")</f>
        <v>K-8</v>
      </c>
      <c r="S118" s="8" t="str">
        <f ca="1">IFERROR(__xludf.DUMMYFUNCTION("""COMPUTED_VALUE"""),"Beside Building")</f>
        <v>Beside Building</v>
      </c>
      <c r="T118" s="8" t="str">
        <f ca="1">IFERROR(__xludf.DUMMYFUNCTION("""COMPUTED_VALUE"""),"Outside on School Property")</f>
        <v>Outside on School Property</v>
      </c>
      <c r="U118" s="8" t="str">
        <f ca="1">IFERROR(__xludf.DUMMYFUNCTION("""COMPUTED_VALUE"""),"Yes")</f>
        <v>Yes</v>
      </c>
      <c r="V118" s="8" t="str">
        <f ca="1">IFERROR(__xludf.DUMMYFUNCTION("""COMPUTED_VALUE"""),"Afternoon Classes")</f>
        <v>Afternoon Classes</v>
      </c>
      <c r="W118" s="11">
        <f ca="1">IFERROR(__xludf.DUMMYFUNCTION("""COMPUTED_VALUE"""),0.618055555555555)</f>
        <v>0.61805555555555503</v>
      </c>
      <c r="X118" s="8">
        <f ca="1">IFERROR(__xludf.DUMMYFUNCTION("""COMPUTED_VALUE"""),1)</f>
        <v>1</v>
      </c>
      <c r="Y118" s="12" t="str">
        <f ca="1">IFERROR(__xludf.DUMMYFUNCTION("""COMPUTED_VALUE"""),"Man fatally shot priest while students were outside for recess")</f>
        <v>Man fatally shot priest while students were outside for recess</v>
      </c>
      <c r="Z118" s="12" t="str">
        <f ca="1">IFERROR(__xludf.DUMMYFUNCTION("""COMPUTED_VALUE"""),"School was still in session Thursday before 3 p.m. Just behind the rectory, the fourth graders at Saints Peter and Paul Catholic School were outside playing during recess when they heard as many as four gunshots. Students heard the blasts through the scho"&amp;"ol windows. On the ground, at the front of the rectory, the Rev. Raj “Arul” Balaswamy Carasala — the church’s priest for 14 years, a man originally from India who played dodgeball with the kids and high-fived them even after losing — lay bleeding. Betty H"&amp;"aug was in her back yard, her husband Mike Haug said, when she peered across the way and saw the alleged shooter, Gary Lee Hermesch, 66, of Tulsa but formerly from Nemaha County, turn his weapon on the priest and fire. Sheriff’s deputies and officers with"&amp;" the Seneca Police Department later arrested Gary Hermesch of Tulsa, Oklahoma. Hermesch, 66, was charged Friday and held in the Nemaha County Jail in lieu of $1 million bond, County Attorney Brad Lippert said Friday in a written statement. The charging co"&amp;"mplaint says that Hermesch “intentionally and with premeditation” killed Carasala, Lippert said.")</f>
        <v>School was still in session Thursday before 3 p.m. Just behind the rectory, the fourth graders at Saints Peter and Paul Catholic School were outside playing during recess when they heard as many as four gunshots. Students heard the blasts through the school windows. On the ground, at the front of the rectory, the Rev. Raj “Arul” Balaswamy Carasala — the church’s priest for 14 years, a man originally from India who played dodgeball with the kids and high-fived them even after losing — lay bleeding. Betty Haug was in her back yard, her husband Mike Haug said, when she peered across the way and saw the alleged shooter, Gary Lee Hermesch, 66, of Tulsa but formerly from Nemaha County, turn his weapon on the priest and fire. Sheriff’s deputies and officers with the Seneca Police Department later arrested Gary Hermesch of Tulsa, Oklahoma. Hermesch, 66, was charged Friday and held in the Nemaha County Jail in lieu of $1 million bond, County Attorney Brad Lippert said Friday in a written statement. The charging complaint says that Hermesch “intentionally and with premeditation” killed Carasala, Lippert said.</v>
      </c>
      <c r="AA118" s="8" t="str">
        <f ca="1">IFERROR(__xludf.DUMMYFUNCTION("""COMPUTED_VALUE"""),"Murder/Assassination")</f>
        <v>Murder/Assassination</v>
      </c>
      <c r="AB118" s="8" t="str">
        <f ca="1">IFERROR(__xludf.DUMMYFUNCTION("""COMPUTED_VALUE"""),"Targeted")</f>
        <v>Targeted</v>
      </c>
      <c r="AC118" s="8" t="str">
        <f ca="1">IFERROR(__xludf.DUMMYFUNCTION("""COMPUTED_VALUE"""),"Yes")</f>
        <v>Yes</v>
      </c>
      <c r="AD118" s="8" t="str">
        <f ca="1">IFERROR(__xludf.DUMMYFUNCTION("""COMPUTED_VALUE"""),"Victims Targeted")</f>
        <v>Victims Targeted</v>
      </c>
      <c r="AE118" s="8" t="str">
        <f ca="1">IFERROR(__xludf.DUMMYFUNCTION("""COMPUTED_VALUE"""),"No")</f>
        <v>No</v>
      </c>
      <c r="AF118" s="8"/>
      <c r="AG118" s="8" t="str">
        <f ca="1">IFERROR(__xludf.DUMMYFUNCTION("""COMPUTED_VALUE"""),"No")</f>
        <v>No</v>
      </c>
      <c r="AH118" s="8" t="str">
        <f ca="1">IFERROR(__xludf.DUMMYFUNCTION("""COMPUTED_VALUE"""),"No")</f>
        <v>No</v>
      </c>
      <c r="AI118" s="8" t="str">
        <f ca="1">IFERROR(__xludf.DUMMYFUNCTION("""COMPUTED_VALUE"""),"No")</f>
        <v>No</v>
      </c>
      <c r="AJ118" s="8" t="str">
        <f ca="1">IFERROR(__xludf.DUMMYFUNCTION("""COMPUTED_VALUE"""),"No")</f>
        <v>No</v>
      </c>
      <c r="AK118" s="8" t="str">
        <f ca="1">IFERROR(__xludf.DUMMYFUNCTION("""COMPUTED_VALUE"""),"No")</f>
        <v>No</v>
      </c>
      <c r="AL118" s="8" t="str">
        <f ca="1">IFERROR(__xludf.DUMMYFUNCTION("""COMPUTED_VALUE"""),"No")</f>
        <v>No</v>
      </c>
      <c r="AM118" s="8" t="str">
        <f ca="1">IFERROR(__xludf.DUMMYFUNCTION("""COMPUTED_VALUE"""),"No")</f>
        <v>No</v>
      </c>
      <c r="AN118" s="8" t="str">
        <f ca="1">IFERROR(__xludf.DUMMYFUNCTION("""COMPUTED_VALUE"""),"Outside")</f>
        <v>Outside</v>
      </c>
      <c r="AO118" s="8" t="str">
        <f ca="1">IFERROR(__xludf.DUMMYFUNCTION("""COMPUTED_VALUE"""),"No")</f>
        <v>No</v>
      </c>
      <c r="AP118" s="8"/>
      <c r="AQ118" s="8"/>
      <c r="AR118" s="8" t="str">
        <f ca="1">IFERROR(__xludf.DUMMYFUNCTION("""COMPUTED_VALUE"""),"Outside/Off-Property")</f>
        <v>Outside/Off-Property</v>
      </c>
      <c r="AS118" s="8">
        <f ca="1">IFERROR(__xludf.DUMMYFUNCTION("""COMPUTED_VALUE"""),4)</f>
        <v>4</v>
      </c>
      <c r="AT118" s="8"/>
      <c r="AU118" s="8">
        <f ca="1">IFERROR(__xludf.DUMMYFUNCTION("""COMPUTED_VALUE"""),39.838051)</f>
        <v>39.838051</v>
      </c>
      <c r="AV118" s="8">
        <f ca="1">IFERROR(__xludf.DUMMYFUNCTION("""COMPUTED_VALUE"""),-96.062165)</f>
        <v>-96.062164999999993</v>
      </c>
      <c r="AW118" s="8" t="str">
        <f ca="1">IFERROR(__xludf.DUMMYFUNCTION("""COMPUTED_VALUE"""),"Multiple detached buildings")</f>
        <v>Multiple detached buildings</v>
      </c>
      <c r="AX118" s="8">
        <f ca="1">IFERROR(__xludf.DUMMYFUNCTION("""COMPUTED_VALUE"""),66538)</f>
        <v>66538</v>
      </c>
    </row>
    <row r="119" spans="1:50" ht="409.5" x14ac:dyDescent="0.2">
      <c r="A119" s="8" t="str">
        <f ca="1">IFERROR(__xludf.DUMMYFUNCTION("""COMPUTED_VALUE"""),"20240402UTGRS")</f>
        <v>20240402UTGRS</v>
      </c>
      <c r="B119" s="8">
        <f ca="1">IFERROR(__xludf.DUMMYFUNCTION("""COMPUTED_VALUE"""),4)</f>
        <v>4</v>
      </c>
      <c r="C119" s="8">
        <f ca="1">IFERROR(__xludf.DUMMYFUNCTION("""COMPUTED_VALUE"""),2)</f>
        <v>2</v>
      </c>
      <c r="D119" s="8">
        <f ca="1">IFERROR(__xludf.DUMMYFUNCTION("""COMPUTED_VALUE"""),2025)</f>
        <v>2025</v>
      </c>
      <c r="E119" s="9">
        <f ca="1">IFERROR(__xludf.DUMMYFUNCTION("""COMPUTED_VALUE"""),45749)</f>
        <v>45749</v>
      </c>
      <c r="F119" s="8" t="str">
        <f ca="1">IFERROR(__xludf.DUMMYFUNCTION("""COMPUTED_VALUE"""),"Granite Park Junior High School")</f>
        <v>Granite Park Junior High School</v>
      </c>
      <c r="G119" s="8">
        <f ca="1">IFERROR(__xludf.DUMMYFUNCTION("""COMPUTED_VALUE"""),0)</f>
        <v>0</v>
      </c>
      <c r="H119" s="8">
        <f ca="1">IFERROR(__xludf.DUMMYFUNCTION("""COMPUTED_VALUE"""),0)</f>
        <v>0</v>
      </c>
      <c r="I119" s="8">
        <f ca="1">IFERROR(__xludf.DUMMYFUNCTION("""COMPUTED_VALUE"""),0)</f>
        <v>0</v>
      </c>
      <c r="J119" s="8">
        <f ca="1">IFERROR(__xludf.DUMMYFUNCTION("""COMPUTED_VALUE"""),0)</f>
        <v>0</v>
      </c>
      <c r="K119" s="10" t="str">
        <f ca="1">IFERROR(__xludf.DUMMYFUNCTION("""COMPUTED_VALUE"""),"https://www.justice.gov/usao-ut/pr/felon-indicted-discharging-firearm-school-zone")</f>
        <v>https://www.justice.gov/usao-ut/pr/felon-indicted-discharging-firearm-school-zone</v>
      </c>
      <c r="L119" s="8">
        <f ca="1">IFERROR(__xludf.DUMMYFUNCTION("""COMPUTED_VALUE"""),1)</f>
        <v>1</v>
      </c>
      <c r="M119" s="8" t="str">
        <f ca="1">IFERROR(__xludf.DUMMYFUNCTION("""COMPUTED_VALUE"""),"National")</f>
        <v>National</v>
      </c>
      <c r="N119" s="8">
        <f ca="1">IFERROR(__xludf.DUMMYFUNCTION("""COMPUTED_VALUE"""),4)</f>
        <v>4</v>
      </c>
      <c r="O119" s="8" t="str">
        <f ca="1">IFERROR(__xludf.DUMMYFUNCTION("""COMPUTED_VALUE"""),"Spring")</f>
        <v>Spring</v>
      </c>
      <c r="P119" s="8" t="str">
        <f ca="1">IFERROR(__xludf.DUMMYFUNCTION("""COMPUTED_VALUE"""),"Salt Lake City")</f>
        <v>Salt Lake City</v>
      </c>
      <c r="Q119" s="8" t="str">
        <f ca="1">IFERROR(__xludf.DUMMYFUNCTION("""COMPUTED_VALUE"""),"UT")</f>
        <v>UT</v>
      </c>
      <c r="R119" s="8" t="str">
        <f ca="1">IFERROR(__xludf.DUMMYFUNCTION("""COMPUTED_VALUE"""),"Middle")</f>
        <v>Middle</v>
      </c>
      <c r="S119" s="8" t="str">
        <f ca="1">IFERROR(__xludf.DUMMYFUNCTION("""COMPUTED_VALUE"""),"Front of School")</f>
        <v>Front of School</v>
      </c>
      <c r="T119" s="8" t="str">
        <f ca="1">IFERROR(__xludf.DUMMYFUNCTION("""COMPUTED_VALUE"""),"Outside on School Property")</f>
        <v>Outside on School Property</v>
      </c>
      <c r="U119" s="8" t="str">
        <f ca="1">IFERROR(__xludf.DUMMYFUNCTION("""COMPUTED_VALUE"""),"No")</f>
        <v>No</v>
      </c>
      <c r="V119" s="8" t="str">
        <f ca="1">IFERROR(__xludf.DUMMYFUNCTION("""COMPUTED_VALUE"""),"Evening")</f>
        <v>Evening</v>
      </c>
      <c r="W119" s="11">
        <f ca="1">IFERROR(__xludf.DUMMYFUNCTION("""COMPUTED_VALUE"""),0.802083333333333)</f>
        <v>0.80208333333333304</v>
      </c>
      <c r="X119" s="8">
        <f ca="1">IFERROR(__xludf.DUMMYFUNCTION("""COMPUTED_VALUE"""),1)</f>
        <v>1</v>
      </c>
      <c r="Y119" s="12" t="str">
        <f ca="1">IFERROR(__xludf.DUMMYFUNCTION("""COMPUTED_VALUE"""),"Man fired AR-15 rifle in front of school before high speed chase with police")</f>
        <v>Man fired AR-15 rifle in front of school before high speed chase with police</v>
      </c>
      <c r="Z119" s="12" t="str">
        <f ca="1">IFERROR(__xludf.DUMMYFUNCTION("""COMPUTED_VALUE"""),"A federal grand jury returned an indictment today charging a previously convicted felon with gun charges after he allegedly possessed and discharged an AR-15 style rifle within a school zone. The defendant is restricted from possessing firearms and ammuni"&amp;"tion. According to court documents, on April 2, 2025, South Salt Lake City Police Department officers responded to a call of shots fired at Granite Park Junior High School in South Salt Lake, Utah, at 7:15 p.m. After officers arrived, they discovered AR-1"&amp;"5 style shell casings in the middle of the road near the school. Surveillance cameras, provided by Granite School District law enforcement, captured the suspect’s vehicle, a Subaru WRX. Shortly after, a Utah Highway Patrol trooper observed a Subaru WRX sp"&amp;"eeding more than 100 miles per hour near 6000 South and I-15. UHP attempted to conduct a traffic stop, but the driver, later identified as Moffitt, fled and continued speeding up to 130 miles per hour before exiting Redwood Road and I-215 in Taylorsville."&amp;" The pursuit was terminated. A run of the vehicles license plate showed the vehicle was registered to Moffitt. UHP troopers responded to the address on the vehicle’s registration and while troopers were working to make contact with Moffit, multiple shots "&amp;"were fired from inside the residence. A witness inside the home advised law enforcement Moffitt had a rifle. Moffitt eventually opened the garage door and fled in the Subaru. A Taylorsville City Police Department Officer intercepted and crashed into Moffi"&amp;"tt’s Subaru, disabling the vehicle. Moffit was taken into custody. Officers seized an AR-15 style rifle with a drum magazine and ammunition from inside the vehicle. Moffitt is charged with felon in possession of a firearm, possession of a firearm within a"&amp;" school zone, and discharge of a firearm within a school zone. His initial appearance on the indictment is scheduled for April 17, 2025, at 1:30 p.m. in courtroom 8.4 before a U.S. Magistrate Judge at the Orrin G. Hatch United States District Courthouse i"&amp;"n downtown Salt Lake City.")</f>
        <v>A federal grand jury returned an indictment today charging a previously convicted felon with gun charges after he allegedly possessed and discharged an AR-15 style rifle within a school zone. The defendant is restricted from possessing firearms and ammunition. According to court documents, on April 2, 2025, South Salt Lake City Police Department officers responded to a call of shots fired at Granite Park Junior High School in South Salt Lake, Utah, at 7:15 p.m. After officers arrived, they discovered AR-15 style shell casings in the middle of the road near the school. Surveillance cameras, provided by Granite School District law enforcement, captured the suspect’s vehicle, a Subaru WRX. Shortly after, a Utah Highway Patrol trooper observed a Subaru WRX speeding more than 100 miles per hour near 6000 South and I-15. UHP attempted to conduct a traffic stop, but the driver, later identified as Moffitt, fled and continued speeding up to 130 miles per hour before exiting Redwood Road and I-215 in Taylorsville. The pursuit was terminated. A run of the vehicles license plate showed the vehicle was registered to Moffitt. UHP troopers responded to the address on the vehicle’s registration and while troopers were working to make contact with Moffit, multiple shots were fired from inside the residence. A witness inside the home advised law enforcement Moffitt had a rifle. Moffitt eventually opened the garage door and fled in the Subaru. A Taylorsville City Police Department Officer intercepted and crashed into Moffitt’s Subaru, disabling the vehicle. Moffit was taken into custody. Officers seized an AR-15 style rifle with a drum magazine and ammunition from inside the vehicle. Moffitt is charged with felon in possession of a firearm, possession of a firearm within a school zone, and discharge of a firearm within a school zone. His initial appearance on the indictment is scheduled for April 17, 2025, at 1:30 p.m. in courtroom 8.4 before a U.S. Magistrate Judge at the Orrin G. Hatch United States District Courthouse in downtown Salt Lake City.</v>
      </c>
      <c r="AA119" s="8"/>
      <c r="AB119" s="8"/>
      <c r="AC119" s="8" t="str">
        <f ca="1">IFERROR(__xludf.DUMMYFUNCTION("""COMPUTED_VALUE"""),"No")</f>
        <v>No</v>
      </c>
      <c r="AD119" s="8" t="str">
        <f ca="1">IFERROR(__xludf.DUMMYFUNCTION("""COMPUTED_VALUE"""),"Random Shooting")</f>
        <v>Random Shooting</v>
      </c>
      <c r="AE119" s="8" t="str">
        <f ca="1">IFERROR(__xludf.DUMMYFUNCTION("""COMPUTED_VALUE"""),"No")</f>
        <v>No</v>
      </c>
      <c r="AF119" s="8"/>
      <c r="AG119" s="8" t="str">
        <f ca="1">IFERROR(__xludf.DUMMYFUNCTION("""COMPUTED_VALUE"""),"No")</f>
        <v>No</v>
      </c>
      <c r="AH119" s="8" t="str">
        <f ca="1">IFERROR(__xludf.DUMMYFUNCTION("""COMPUTED_VALUE"""),"No")</f>
        <v>No</v>
      </c>
      <c r="AI119" s="8" t="str">
        <f ca="1">IFERROR(__xludf.DUMMYFUNCTION("""COMPUTED_VALUE"""),"No")</f>
        <v>No</v>
      </c>
      <c r="AJ119" s="8" t="str">
        <f ca="1">IFERROR(__xludf.DUMMYFUNCTION("""COMPUTED_VALUE"""),"No")</f>
        <v>No</v>
      </c>
      <c r="AK119" s="8" t="str">
        <f ca="1">IFERROR(__xludf.DUMMYFUNCTION("""COMPUTED_VALUE"""),"No")</f>
        <v>No</v>
      </c>
      <c r="AL119" s="8" t="str">
        <f ca="1">IFERROR(__xludf.DUMMYFUNCTION("""COMPUTED_VALUE"""),"No")</f>
        <v>No</v>
      </c>
      <c r="AM119" s="8" t="str">
        <f ca="1">IFERROR(__xludf.DUMMYFUNCTION("""COMPUTED_VALUE"""),"No")</f>
        <v>No</v>
      </c>
      <c r="AN119" s="8" t="str">
        <f ca="1">IFERROR(__xludf.DUMMYFUNCTION("""COMPUTED_VALUE"""),"Outside")</f>
        <v>Outside</v>
      </c>
      <c r="AO119" s="8" t="str">
        <f ca="1">IFERROR(__xludf.DUMMYFUNCTION("""COMPUTED_VALUE"""),"No")</f>
        <v>No</v>
      </c>
      <c r="AP119" s="8"/>
      <c r="AQ119" s="8"/>
      <c r="AR119" s="8" t="str">
        <f ca="1">IFERROR(__xludf.DUMMYFUNCTION("""COMPUTED_VALUE"""),"Outside/Off-Property")</f>
        <v>Outside/Off-Property</v>
      </c>
      <c r="AS119" s="8">
        <f ca="1">IFERROR(__xludf.DUMMYFUNCTION("""COMPUTED_VALUE"""),99)</f>
        <v>99</v>
      </c>
      <c r="AT119" s="8" t="str">
        <f ca="1">IFERROR(__xludf.DUMMYFUNCTION("""COMPUTED_VALUE"""),"No")</f>
        <v>No</v>
      </c>
      <c r="AU119" s="8">
        <f ca="1">IFERROR(__xludf.DUMMYFUNCTION("""COMPUTED_VALUE"""),40.703771)</f>
        <v>40.703771000000003</v>
      </c>
      <c r="AV119" s="8">
        <f ca="1">IFERROR(__xludf.DUMMYFUNCTION("""COMPUTED_VALUE"""),-111.88446)</f>
        <v>-111.88446</v>
      </c>
      <c r="AW119" s="8" t="str">
        <f ca="1">IFERROR(__xludf.DUMMYFUNCTION("""COMPUTED_VALUE"""),"Single building indoor hallway")</f>
        <v>Single building indoor hallway</v>
      </c>
      <c r="AX119" s="8">
        <f ca="1">IFERROR(__xludf.DUMMYFUNCTION("""COMPUTED_VALUE"""),84115)</f>
        <v>84115</v>
      </c>
    </row>
    <row r="120" spans="1:50" ht="405" x14ac:dyDescent="0.2">
      <c r="A120" s="8" t="str">
        <f ca="1">IFERROR(__xludf.DUMMYFUNCTION("""COMPUTED_VALUE"""),"20250402NYVAF")</f>
        <v>20250402NYVAF</v>
      </c>
      <c r="B120" s="8">
        <f ca="1">IFERROR(__xludf.DUMMYFUNCTION("""COMPUTED_VALUE"""),4)</f>
        <v>4</v>
      </c>
      <c r="C120" s="8">
        <f ca="1">IFERROR(__xludf.DUMMYFUNCTION("""COMPUTED_VALUE"""),2)</f>
        <v>2</v>
      </c>
      <c r="D120" s="8">
        <f ca="1">IFERROR(__xludf.DUMMYFUNCTION("""COMPUTED_VALUE"""),2025)</f>
        <v>2025</v>
      </c>
      <c r="E120" s="9">
        <f ca="1">IFERROR(__xludf.DUMMYFUNCTION("""COMPUTED_VALUE"""),45749)</f>
        <v>45749</v>
      </c>
      <c r="F120" s="8" t="str">
        <f ca="1">IFERROR(__xludf.DUMMYFUNCTION("""COMPUTED_VALUE"""),"Valley Stream North High School")</f>
        <v>Valley Stream North High School</v>
      </c>
      <c r="G120" s="8">
        <f ca="1">IFERROR(__xludf.DUMMYFUNCTION("""COMPUTED_VALUE"""),0)</f>
        <v>0</v>
      </c>
      <c r="H120" s="8">
        <f ca="1">IFERROR(__xludf.DUMMYFUNCTION("""COMPUTED_VALUE"""),0)</f>
        <v>0</v>
      </c>
      <c r="I120" s="8">
        <f ca="1">IFERROR(__xludf.DUMMYFUNCTION("""COMPUTED_VALUE"""),0)</f>
        <v>0</v>
      </c>
      <c r="J120" s="8">
        <f ca="1">IFERROR(__xludf.DUMMYFUNCTION("""COMPUTED_VALUE"""),0)</f>
        <v>0</v>
      </c>
      <c r="K120" s="10" t="str">
        <f ca="1">IFERROR(__xludf.DUMMYFUNCTION("""COMPUTED_VALUE"""),"https://longisland.news12.com/police-2-students-arrested-after-displaying-bb-gun-at-valley-stream-north-high-school
https://www.liherald.com/valleystream/stories/two-valley-stream-north-high-school-teens-arrested-in-bb-gun-scare-explained,214060")</f>
        <v>https://longisland.news12.com/police-2-students-arrested-after-displaying-bb-gun-at-valley-stream-north-high-school
https://www.liherald.com/valleystream/stories/two-valley-stream-north-high-school-teens-arrested-in-bb-gun-scare-explained,214060</v>
      </c>
      <c r="L120" s="8">
        <f ca="1">IFERROR(__xludf.DUMMYFUNCTION("""COMPUTED_VALUE"""),10)</f>
        <v>10</v>
      </c>
      <c r="M120" s="8" t="str">
        <f ca="1">IFERROR(__xludf.DUMMYFUNCTION("""COMPUTED_VALUE"""),"Regional")</f>
        <v>Regional</v>
      </c>
      <c r="N120" s="8">
        <f ca="1">IFERROR(__xludf.DUMMYFUNCTION("""COMPUTED_VALUE"""),4)</f>
        <v>4</v>
      </c>
      <c r="O120" s="8" t="str">
        <f ca="1">IFERROR(__xludf.DUMMYFUNCTION("""COMPUTED_VALUE"""),"Spring")</f>
        <v>Spring</v>
      </c>
      <c r="P120" s="8" t="str">
        <f ca="1">IFERROR(__xludf.DUMMYFUNCTION("""COMPUTED_VALUE"""),"Franklin Square")</f>
        <v>Franklin Square</v>
      </c>
      <c r="Q120" s="8" t="str">
        <f ca="1">IFERROR(__xludf.DUMMYFUNCTION("""COMPUTED_VALUE"""),"NY")</f>
        <v>NY</v>
      </c>
      <c r="R120" s="8" t="str">
        <f ca="1">IFERROR(__xludf.DUMMYFUNCTION("""COMPUTED_VALUE"""),"High")</f>
        <v>High</v>
      </c>
      <c r="S120" s="8" t="str">
        <f ca="1">IFERROR(__xludf.DUMMYFUNCTION("""COMPUTED_VALUE"""),"Inside School Building")</f>
        <v>Inside School Building</v>
      </c>
      <c r="T120" s="8" t="str">
        <f ca="1">IFERROR(__xludf.DUMMYFUNCTION("""COMPUTED_VALUE"""),"Inside School Building")</f>
        <v>Inside School Building</v>
      </c>
      <c r="U120" s="8" t="str">
        <f ca="1">IFERROR(__xludf.DUMMYFUNCTION("""COMPUTED_VALUE"""),"Yes")</f>
        <v>Yes</v>
      </c>
      <c r="V120" s="8" t="str">
        <f ca="1">IFERROR(__xludf.DUMMYFUNCTION("""COMPUTED_VALUE"""),"Morning Classes")</f>
        <v>Morning Classes</v>
      </c>
      <c r="W120" s="11">
        <f ca="1">IFERROR(__xludf.DUMMYFUNCTION("""COMPUTED_VALUE"""),0.395833333333333)</f>
        <v>0.39583333333333298</v>
      </c>
      <c r="X120" s="8">
        <f ca="1">IFERROR(__xludf.DUMMYFUNCTION("""COMPUTED_VALUE"""),1)</f>
        <v>1</v>
      </c>
      <c r="Y120" s="12" t="str">
        <f ca="1">IFERROR(__xludf.DUMMYFUNCTION("""COMPUTED_VALUE"""),"Two students arrested for pointing and threatening student with a replica gun")</f>
        <v>Two students arrested for pointing and threatening student with a replica gun</v>
      </c>
      <c r="Z120" s="12" t="str">
        <f ca="1">IFERROR(__xludf.DUMMYFUNCTION("""COMPUTED_VALUE"""),"Police responded to calls to Valley Stream North High School Wednesday morning after a 14-year-old boy and 17-year-old boy were found with the alleged gun.
Police say the 17-year-old allegedly pointed the BB gun at two students.
The 14-year-old is facin"&amp;"g a weapons charge and is due in court later this month. The 17-year-old will face a judge today in family court. He is facing weapons and menacing charges. In a statement sent Wednesday, schools Superintendent Dr. Wayne Loper said: ""Earlier today, build"&amp;"ing administration at North High School was made aware that a student had come to school with what was determined to be a BB gun. Law enforcement was immediately notified and the BB gun was confiscated by school officials. The student's parents were also "&amp;"contacted. Nassau County police officers arrived at the school and interviewed the student. It is important to note that all students are safe, and based on both the district and police investigations of the incident, at no point were students at any risk"&amp;" of harm or danger. In compliance with student privacy regulations, no additional information can be shared at this time. The safety and well-being of our students is our top priority. We take situations like this very seriously and will take disciplinary"&amp;" action based on our Student Code of Conduct and to the full extent of the law against any student found bringing a weapon of any kind into our schools or onto school grounds. """)</f>
        <v>Police responded to calls to Valley Stream North High School Wednesday morning after a 14-year-old boy and 17-year-old boy were found with the alleged gun.
Police say the 17-year-old allegedly pointed the BB gun at two students.
The 14-year-old is facing a weapons charge and is due in court later this month. The 17-year-old will face a judge today in family court. He is facing weapons and menacing charges. In a statement sent Wednesday, schools Superintendent Dr. Wayne Loper said: "Earlier today, building administration at North High School was made aware that a student had come to school with what was determined to be a BB gun. Law enforcement was immediately notified and the BB gun was confiscated by school officials. The student's parents were also contacted. Nassau County police officers arrived at the school and interviewed the student. It is important to note that all students are safe, and based on both the district and police investigations of the incident, at no point were students at any risk of harm or danger. In compliance with student privacy regulations, no additional information can be shared at this time. The safety and well-being of our students is our top priority. We take situations like this very seriously and will take disciplinary action based on our Student Code of Conduct and to the full extent of the law against any student found bringing a weapon of any kind into our schools or onto school grounds. "</v>
      </c>
      <c r="AA120" s="8"/>
      <c r="AB120" s="8" t="str">
        <f ca="1">IFERROR(__xludf.DUMMYFUNCTION("""COMPUTED_VALUE"""),"Targeted")</f>
        <v>Targeted</v>
      </c>
      <c r="AC120" s="8" t="str">
        <f ca="1">IFERROR(__xludf.DUMMYFUNCTION("""COMPUTED_VALUE"""),"Yes")</f>
        <v>Yes</v>
      </c>
      <c r="AD120" s="8" t="str">
        <f ca="1">IFERROR(__xludf.DUMMYFUNCTION("""COMPUTED_VALUE"""),"Victims Targeted")</f>
        <v>Victims Targeted</v>
      </c>
      <c r="AE120" s="8" t="str">
        <f ca="1">IFERROR(__xludf.DUMMYFUNCTION("""COMPUTED_VALUE"""),"Yes")</f>
        <v>Yes</v>
      </c>
      <c r="AF120" s="8" t="str">
        <f ca="1">IFERROR(__xludf.DUMMYFUNCTION("""COMPUTED_VALUE"""),"Two students arrested")</f>
        <v>Two students arrested</v>
      </c>
      <c r="AG120" s="8" t="str">
        <f ca="1">IFERROR(__xludf.DUMMYFUNCTION("""COMPUTED_VALUE"""),"No")</f>
        <v>No</v>
      </c>
      <c r="AH120" s="8" t="str">
        <f ca="1">IFERROR(__xludf.DUMMYFUNCTION("""COMPUTED_VALUE"""),"No")</f>
        <v>No</v>
      </c>
      <c r="AI120" s="8" t="str">
        <f ca="1">IFERROR(__xludf.DUMMYFUNCTION("""COMPUTED_VALUE"""),"No")</f>
        <v>No</v>
      </c>
      <c r="AJ120" s="8" t="str">
        <f ca="1">IFERROR(__xludf.DUMMYFUNCTION("""COMPUTED_VALUE"""),"No")</f>
        <v>No</v>
      </c>
      <c r="AK120" s="8" t="str">
        <f ca="1">IFERROR(__xludf.DUMMYFUNCTION("""COMPUTED_VALUE"""),"No")</f>
        <v>No</v>
      </c>
      <c r="AL120" s="8" t="str">
        <f ca="1">IFERROR(__xludf.DUMMYFUNCTION("""COMPUTED_VALUE"""),"No")</f>
        <v>No</v>
      </c>
      <c r="AM120" s="8" t="str">
        <f ca="1">IFERROR(__xludf.DUMMYFUNCTION("""COMPUTED_VALUE"""),"No")</f>
        <v>No</v>
      </c>
      <c r="AN120" s="8" t="str">
        <f ca="1">IFERROR(__xludf.DUMMYFUNCTION("""COMPUTED_VALUE"""),"Outside")</f>
        <v>Outside</v>
      </c>
      <c r="AO120" s="8" t="str">
        <f ca="1">IFERROR(__xludf.DUMMYFUNCTION("""COMPUTED_VALUE"""),"No")</f>
        <v>No</v>
      </c>
      <c r="AP120" s="8"/>
      <c r="AQ120" s="8"/>
      <c r="AR120" s="8" t="str">
        <f ca="1">IFERROR(__xludf.DUMMYFUNCTION("""COMPUTED_VALUE"""),"Failed")</f>
        <v>Failed</v>
      </c>
      <c r="AS120" s="8">
        <f ca="1">IFERROR(__xludf.DUMMYFUNCTION("""COMPUTED_VALUE"""),0)</f>
        <v>0</v>
      </c>
      <c r="AT120" s="8" t="str">
        <f ca="1">IFERROR(__xludf.DUMMYFUNCTION("""COMPUTED_VALUE"""),"Yes")</f>
        <v>Yes</v>
      </c>
      <c r="AU120" s="8">
        <f ca="1">IFERROR(__xludf.DUMMYFUNCTION("""COMPUTED_VALUE"""),40.687582)</f>
        <v>40.687581999999999</v>
      </c>
      <c r="AV120" s="8">
        <f ca="1">IFERROR(__xludf.DUMMYFUNCTION("""COMPUTED_VALUE"""),-73.675219)</f>
        <v>-73.675218999999998</v>
      </c>
      <c r="AW120" s="8" t="str">
        <f ca="1">IFERROR(__xludf.DUMMYFUNCTION("""COMPUTED_VALUE"""),"Single building indoor hallway")</f>
        <v>Single building indoor hallway</v>
      </c>
      <c r="AX120" s="8">
        <f ca="1">IFERROR(__xludf.DUMMYFUNCTION("""COMPUTED_VALUE"""),11010)</f>
        <v>11010</v>
      </c>
    </row>
    <row r="121" spans="1:50" ht="210" x14ac:dyDescent="0.2">
      <c r="A121" s="8" t="str">
        <f ca="1">IFERROR(__xludf.DUMMYFUNCTION("""COMPUTED_VALUE"""),"20250402MSSOE")</f>
        <v>20250402MSSOE</v>
      </c>
      <c r="B121" s="8">
        <f ca="1">IFERROR(__xludf.DUMMYFUNCTION("""COMPUTED_VALUE"""),4)</f>
        <v>4</v>
      </c>
      <c r="C121" s="8">
        <f ca="1">IFERROR(__xludf.DUMMYFUNCTION("""COMPUTED_VALUE"""),2)</f>
        <v>2</v>
      </c>
      <c r="D121" s="8">
        <f ca="1">IFERROR(__xludf.DUMMYFUNCTION("""COMPUTED_VALUE"""),2025)</f>
        <v>2025</v>
      </c>
      <c r="E121" s="9">
        <f ca="1">IFERROR(__xludf.DUMMYFUNCTION("""COMPUTED_VALUE"""),45749)</f>
        <v>45749</v>
      </c>
      <c r="F121" s="8" t="str">
        <f ca="1">IFERROR(__xludf.DUMMYFUNCTION("""COMPUTED_VALUE"""),"South Jones High School")</f>
        <v>South Jones High School</v>
      </c>
      <c r="G121" s="8">
        <f ca="1">IFERROR(__xludf.DUMMYFUNCTION("""COMPUTED_VALUE"""),0)</f>
        <v>0</v>
      </c>
      <c r="H121" s="8">
        <f ca="1">IFERROR(__xludf.DUMMYFUNCTION("""COMPUTED_VALUE"""),1)</f>
        <v>1</v>
      </c>
      <c r="I121" s="8">
        <f ca="1">IFERROR(__xludf.DUMMYFUNCTION("""COMPUTED_VALUE"""),1)</f>
        <v>1</v>
      </c>
      <c r="J121" s="8">
        <f ca="1">IFERROR(__xludf.DUMMYFUNCTION("""COMPUTED_VALUE"""),0)</f>
        <v>0</v>
      </c>
      <c r="K121" s="10" t="str">
        <f ca="1">IFERROR(__xludf.DUMMYFUNCTION("""COMPUTED_VALUE"""),"https://www.wdam.com/2025/04/03/student-shot-by-pellet-gun-during-baseball-practice-jones-county-school-district-says/")</f>
        <v>https://www.wdam.com/2025/04/03/student-shot-by-pellet-gun-during-baseball-practice-jones-county-school-district-says/</v>
      </c>
      <c r="L121" s="8">
        <f ca="1">IFERROR(__xludf.DUMMYFUNCTION("""COMPUTED_VALUE"""),4)</f>
        <v>4</v>
      </c>
      <c r="M121" s="8" t="str">
        <f ca="1">IFERROR(__xludf.DUMMYFUNCTION("""COMPUTED_VALUE"""),"Regional")</f>
        <v>Regional</v>
      </c>
      <c r="N121" s="8">
        <f ca="1">IFERROR(__xludf.DUMMYFUNCTION("""COMPUTED_VALUE"""),4)</f>
        <v>4</v>
      </c>
      <c r="O121" s="8" t="str">
        <f ca="1">IFERROR(__xludf.DUMMYFUNCTION("""COMPUTED_VALUE"""),"Spring")</f>
        <v>Spring</v>
      </c>
      <c r="P121" s="8" t="str">
        <f ca="1">IFERROR(__xludf.DUMMYFUNCTION("""COMPUTED_VALUE"""),"Ellisville")</f>
        <v>Ellisville</v>
      </c>
      <c r="Q121" s="8" t="str">
        <f ca="1">IFERROR(__xludf.DUMMYFUNCTION("""COMPUTED_VALUE"""),"MS")</f>
        <v>MS</v>
      </c>
      <c r="R121" s="8" t="str">
        <f ca="1">IFERROR(__xludf.DUMMYFUNCTION("""COMPUTED_VALUE"""),"High")</f>
        <v>High</v>
      </c>
      <c r="S121" s="8" t="str">
        <f ca="1">IFERROR(__xludf.DUMMYFUNCTION("""COMPUTED_VALUE"""),"Field (General)")</f>
        <v>Field (General)</v>
      </c>
      <c r="T121" s="8" t="str">
        <f ca="1">IFERROR(__xludf.DUMMYFUNCTION("""COMPUTED_VALUE"""),"Outside on School Property")</f>
        <v>Outside on School Property</v>
      </c>
      <c r="U121" s="8" t="str">
        <f ca="1">IFERROR(__xludf.DUMMYFUNCTION("""COMPUTED_VALUE"""),"No")</f>
        <v>No</v>
      </c>
      <c r="V121" s="8" t="str">
        <f ca="1">IFERROR(__xludf.DUMMYFUNCTION("""COMPUTED_VALUE"""),"Sport Event")</f>
        <v>Sport Event</v>
      </c>
      <c r="W121" s="11">
        <f ca="1">IFERROR(__xludf.DUMMYFUNCTION("""COMPUTED_VALUE"""),0.668055555555555)</f>
        <v>0.66805555555555496</v>
      </c>
      <c r="X121" s="8">
        <f ca="1">IFERROR(__xludf.DUMMYFUNCTION("""COMPUTED_VALUE"""),1)</f>
        <v>1</v>
      </c>
      <c r="Y121" s="12" t="str">
        <f ca="1">IFERROR(__xludf.DUMMYFUNCTION("""COMPUTED_VALUE"""),"Student shot with pellet gun during baseball practice")</f>
        <v>Student shot with pellet gun during baseball practice</v>
      </c>
      <c r="Z121" s="12" t="str">
        <f ca="1">IFERROR(__xludf.DUMMYFUNCTION("""COMPUTED_VALUE"""),"A student was reportedly injured by a pellet gun during an after-school baseball practice at South Jones High School, the Jones County School District said in a statement. According to JCSD, a student athlete was injured by a “ricochet or errant shot from"&amp;" a pellet gun” that was fired from a nearby residence during practice. The Ellisville Police Department said that the shot was fired by a juvenile and hit a juvenile victim. According to EPD, the injury sustained was in an extremity and was not life-threa"&amp;"tening. The school district said that the pellet gun was not on school property and was never brought on school grounds and that the shot in question was from outside of the school’s baseball facility. Once the incident occurred, parents, law enforcement "&amp;"and other authorities were made aware.")</f>
        <v>A student was reportedly injured by a pellet gun during an after-school baseball practice at South Jones High School, the Jones County School District said in a statement. According to JCSD, a student athlete was injured by a “ricochet or errant shot from a pellet gun” that was fired from a nearby residence during practice. The Ellisville Police Department said that the shot was fired by a juvenile and hit a juvenile victim. According to EPD, the injury sustained was in an extremity and was not life-threatening. The school district said that the pellet gun was not on school property and was never brought on school grounds and that the shot in question was from outside of the school’s baseball facility. Once the incident occurred, parents, law enforcement and other authorities were made aware.</v>
      </c>
      <c r="AA121" s="8" t="str">
        <f ca="1">IFERROR(__xludf.DUMMYFUNCTION("""COMPUTED_VALUE"""),"Accidental")</f>
        <v>Accidental</v>
      </c>
      <c r="AB121" s="8" t="str">
        <f ca="1">IFERROR(__xludf.DUMMYFUNCTION("""COMPUTED_VALUE"""),"Spontaneous")</f>
        <v>Spontaneous</v>
      </c>
      <c r="AC121" s="8" t="str">
        <f ca="1">IFERROR(__xludf.DUMMYFUNCTION("""COMPUTED_VALUE"""),"Yes")</f>
        <v>Yes</v>
      </c>
      <c r="AD121" s="8" t="str">
        <f ca="1">IFERROR(__xludf.DUMMYFUNCTION("""COMPUTED_VALUE"""),"Random Shooting")</f>
        <v>Random Shooting</v>
      </c>
      <c r="AE121" s="8" t="str">
        <f ca="1">IFERROR(__xludf.DUMMYFUNCTION("""COMPUTED_VALUE"""),"No")</f>
        <v>No</v>
      </c>
      <c r="AF121" s="8"/>
      <c r="AG121" s="8" t="str">
        <f ca="1">IFERROR(__xludf.DUMMYFUNCTION("""COMPUTED_VALUE"""),"No")</f>
        <v>No</v>
      </c>
      <c r="AH121" s="8" t="str">
        <f ca="1">IFERROR(__xludf.DUMMYFUNCTION("""COMPUTED_VALUE"""),"No")</f>
        <v>No</v>
      </c>
      <c r="AI121" s="8" t="str">
        <f ca="1">IFERROR(__xludf.DUMMYFUNCTION("""COMPUTED_VALUE"""),"No")</f>
        <v>No</v>
      </c>
      <c r="AJ121" s="8" t="str">
        <f ca="1">IFERROR(__xludf.DUMMYFUNCTION("""COMPUTED_VALUE"""),"No")</f>
        <v>No</v>
      </c>
      <c r="AK121" s="8" t="str">
        <f ca="1">IFERROR(__xludf.DUMMYFUNCTION("""COMPUTED_VALUE"""),"No")</f>
        <v>No</v>
      </c>
      <c r="AL121" s="8" t="str">
        <f ca="1">IFERROR(__xludf.DUMMYFUNCTION("""COMPUTED_VALUE"""),"No")</f>
        <v>No</v>
      </c>
      <c r="AM121" s="8" t="str">
        <f ca="1">IFERROR(__xludf.DUMMYFUNCTION("""COMPUTED_VALUE"""),"No")</f>
        <v>No</v>
      </c>
      <c r="AN121" s="8" t="str">
        <f ca="1">IFERROR(__xludf.DUMMYFUNCTION("""COMPUTED_VALUE"""),"Outside")</f>
        <v>Outside</v>
      </c>
      <c r="AO121" s="8" t="str">
        <f ca="1">IFERROR(__xludf.DUMMYFUNCTION("""COMPUTED_VALUE"""),"No")</f>
        <v>No</v>
      </c>
      <c r="AP121" s="8"/>
      <c r="AQ121" s="8"/>
      <c r="AR121" s="8" t="str">
        <f ca="1">IFERROR(__xludf.DUMMYFUNCTION("""COMPUTED_VALUE"""),"Outside/Off-Property")</f>
        <v>Outside/Off-Property</v>
      </c>
      <c r="AS121" s="8">
        <f ca="1">IFERROR(__xludf.DUMMYFUNCTION("""COMPUTED_VALUE"""),1)</f>
        <v>1</v>
      </c>
      <c r="AT121" s="8" t="str">
        <f ca="1">IFERROR(__xludf.DUMMYFUNCTION("""COMPUTED_VALUE"""),"No")</f>
        <v>No</v>
      </c>
      <c r="AU121" s="8">
        <f ca="1">IFERROR(__xludf.DUMMYFUNCTION("""COMPUTED_VALUE"""),31.610755)</f>
        <v>31.610755000000001</v>
      </c>
      <c r="AV121" s="8">
        <f ca="1">IFERROR(__xludf.DUMMYFUNCTION("""COMPUTED_VALUE"""),-89.199001)</f>
        <v>-89.199000999999996</v>
      </c>
      <c r="AW121" s="8" t="str">
        <f ca="1">IFERROR(__xludf.DUMMYFUNCTION("""COMPUTED_VALUE"""),"Multiple detached buildings")</f>
        <v>Multiple detached buildings</v>
      </c>
      <c r="AX121" s="8">
        <f ca="1">IFERROR(__xludf.DUMMYFUNCTION("""COMPUTED_VALUE"""),35437)</f>
        <v>35437</v>
      </c>
    </row>
    <row r="122" spans="1:50" ht="255" x14ac:dyDescent="0.2">
      <c r="A122" s="8" t="str">
        <f ca="1">IFERROR(__xludf.DUMMYFUNCTION("""COMPUTED_VALUE"""),"20250402CACAC")</f>
        <v>20250402CACAC</v>
      </c>
      <c r="B122" s="8">
        <f ca="1">IFERROR(__xludf.DUMMYFUNCTION("""COMPUTED_VALUE"""),4)</f>
        <v>4</v>
      </c>
      <c r="C122" s="8">
        <f ca="1">IFERROR(__xludf.DUMMYFUNCTION("""COMPUTED_VALUE"""),2)</f>
        <v>2</v>
      </c>
      <c r="D122" s="8">
        <f ca="1">IFERROR(__xludf.DUMMYFUNCTION("""COMPUTED_VALUE"""),2025)</f>
        <v>2025</v>
      </c>
      <c r="E122" s="9">
        <f ca="1">IFERROR(__xludf.DUMMYFUNCTION("""COMPUTED_VALUE"""),45749)</f>
        <v>45749</v>
      </c>
      <c r="F122" s="8" t="str">
        <f ca="1">IFERROR(__xludf.DUMMYFUNCTION("""COMPUTED_VALUE"""),"Caldwell Street Elementary")</f>
        <v>Caldwell Street Elementary</v>
      </c>
      <c r="G122" s="8">
        <f ca="1">IFERROR(__xludf.DUMMYFUNCTION("""COMPUTED_VALUE"""),2)</f>
        <v>2</v>
      </c>
      <c r="H122" s="8">
        <f ca="1">IFERROR(__xludf.DUMMYFUNCTION("""COMPUTED_VALUE"""),0)</f>
        <v>0</v>
      </c>
      <c r="I122" s="8">
        <f ca="1">IFERROR(__xludf.DUMMYFUNCTION("""COMPUTED_VALUE"""),2)</f>
        <v>2</v>
      </c>
      <c r="J122" s="8">
        <f ca="1">IFERROR(__xludf.DUMMYFUNCTION("""COMPUTED_VALUE"""),0)</f>
        <v>0</v>
      </c>
      <c r="K122" s="10" t="str">
        <f ca="1">IFERROR(__xludf.DUMMYFUNCTION("""COMPUTED_VALUE"""),"https://people.com/mother-and-daughter-fatally-shot-near-calif-school-while-waiting-at-stoplight-11708142
https://ktla.com/news/local-news/2-women-dead-after-gunshots-crash-near-elementary-school-in-compton/")</f>
        <v>https://people.com/mother-and-daughter-fatally-shot-near-calif-school-while-waiting-at-stoplight-11708142
https://ktla.com/news/local-news/2-women-dead-after-gunshots-crash-near-elementary-school-in-compton/</v>
      </c>
      <c r="L122" s="8">
        <f ca="1">IFERROR(__xludf.DUMMYFUNCTION("""COMPUTED_VALUE"""),20)</f>
        <v>20</v>
      </c>
      <c r="M122" s="8" t="str">
        <f ca="1">IFERROR(__xludf.DUMMYFUNCTION("""COMPUTED_VALUE"""),"National")</f>
        <v>National</v>
      </c>
      <c r="N122" s="8">
        <f ca="1">IFERROR(__xludf.DUMMYFUNCTION("""COMPUTED_VALUE"""),4)</f>
        <v>4</v>
      </c>
      <c r="O122" s="8" t="str">
        <f ca="1">IFERROR(__xludf.DUMMYFUNCTION("""COMPUTED_VALUE"""),"Spring")</f>
        <v>Spring</v>
      </c>
      <c r="P122" s="8" t="str">
        <f ca="1">IFERROR(__xludf.DUMMYFUNCTION("""COMPUTED_VALUE"""),"Compton")</f>
        <v>Compton</v>
      </c>
      <c r="Q122" s="8" t="str">
        <f ca="1">IFERROR(__xludf.DUMMYFUNCTION("""COMPUTED_VALUE"""),"CA")</f>
        <v>CA</v>
      </c>
      <c r="R122" s="8" t="str">
        <f ca="1">IFERROR(__xludf.DUMMYFUNCTION("""COMPUTED_VALUE"""),"Elementary")</f>
        <v>Elementary</v>
      </c>
      <c r="S122" s="8" t="str">
        <f ca="1">IFERROR(__xludf.DUMMYFUNCTION("""COMPUTED_VALUE"""),"Parking Lot")</f>
        <v>Parking Lot</v>
      </c>
      <c r="T122" s="8" t="str">
        <f ca="1">IFERROR(__xludf.DUMMYFUNCTION("""COMPUTED_VALUE"""),"Outside on School Property")</f>
        <v>Outside on School Property</v>
      </c>
      <c r="U122" s="8" t="str">
        <f ca="1">IFERROR(__xludf.DUMMYFUNCTION("""COMPUTED_VALUE"""),"No")</f>
        <v>No</v>
      </c>
      <c r="V122" s="8" t="str">
        <f ca="1">IFERROR(__xludf.DUMMYFUNCTION("""COMPUTED_VALUE"""),"Evening")</f>
        <v>Evening</v>
      </c>
      <c r="W122" s="11">
        <f ca="1">IFERROR(__xludf.DUMMYFUNCTION("""COMPUTED_VALUE"""),0.791666666666666)</f>
        <v>0.79166666666666596</v>
      </c>
      <c r="X122" s="8">
        <f ca="1">IFERROR(__xludf.DUMMYFUNCTION("""COMPUTED_VALUE"""),1)</f>
        <v>1</v>
      </c>
      <c r="Y122" s="12" t="str">
        <f ca="1">IFERROR(__xludf.DUMMYFUNCTION("""COMPUTED_VALUE"""),"Mother and daughter killed in drive-by shooting in front of the school, crashed into parking lot")</f>
        <v>Mother and daughter killed in drive-by shooting in front of the school, crashed into parking lot</v>
      </c>
      <c r="Z122" s="12" t="str">
        <f ca="1">IFERROR(__xludf.DUMMYFUNCTION("""COMPUTED_VALUE"""),"The two victims names’ were withheld, but on Wednesday, April 2, Los Angeles County Sheriff’s Department Lt. DeJong identified the deceased as a 45-year-old woman and her 22-year-old daughter, per a press release. Deputies from Compton Sheriff’s Station w"&amp;"ere dispatched just after 7 p.m. EST Tuesday, April 1, to the intersection of Caldwell Street and Central Avenue, near Caldwell Street Elementary. Authorities arrived to find the two women dead, suffering from multiple gunshot wounds. Their Toyota sedan h"&amp;"ad crashed onto the sidewalk near a traffic pole. One woman’s body was discovered in the street, while the other body was still in the car. “Investigators learned the victims were in their vehicle on Caldwell Street, stopped at the signal light, when a ve"&amp;"hicle pulled alongside,” the press release read. “Investigators believe an occupant in the other vehicle [opened] fire on the victims.” Shooter is believed to be the victim's former spouse.")</f>
        <v>The two victims names’ were withheld, but on Wednesday, April 2, Los Angeles County Sheriff’s Department Lt. DeJong identified the deceased as a 45-year-old woman and her 22-year-old daughter, per a press release. Deputies from Compton Sheriff’s Station were dispatched just after 7 p.m. EST Tuesday, April 1, to the intersection of Caldwell Street and Central Avenue, near Caldwell Street Elementary. Authorities arrived to find the two women dead, suffering from multiple gunshot wounds. Their Toyota sedan had crashed onto the sidewalk near a traffic pole. One woman’s body was discovered in the street, while the other body was still in the car. “Investigators learned the victims were in their vehicle on Caldwell Street, stopped at the signal light, when a vehicle pulled alongside,” the press release read. “Investigators believe an occupant in the other vehicle [opened] fire on the victims.” Shooter is believed to be the victim's former spouse.</v>
      </c>
      <c r="AA122" s="8" t="str">
        <f ca="1">IFERROR(__xludf.DUMMYFUNCTION("""COMPUTED_VALUE"""),"Drive-by Shooting")</f>
        <v>Drive-by Shooting</v>
      </c>
      <c r="AB122" s="8" t="str">
        <f ca="1">IFERROR(__xludf.DUMMYFUNCTION("""COMPUTED_VALUE"""),"Targeted")</f>
        <v>Targeted</v>
      </c>
      <c r="AC122" s="8" t="str">
        <f ca="1">IFERROR(__xludf.DUMMYFUNCTION("""COMPUTED_VALUE"""),"No")</f>
        <v>No</v>
      </c>
      <c r="AD122" s="8" t="str">
        <f ca="1">IFERROR(__xludf.DUMMYFUNCTION("""COMPUTED_VALUE"""),"Victims Targeted")</f>
        <v>Victims Targeted</v>
      </c>
      <c r="AE122" s="8"/>
      <c r="AF122" s="8"/>
      <c r="AG122" s="8" t="str">
        <f ca="1">IFERROR(__xludf.DUMMYFUNCTION("""COMPUTED_VALUE"""),"No")</f>
        <v>No</v>
      </c>
      <c r="AH122" s="8" t="str">
        <f ca="1">IFERROR(__xludf.DUMMYFUNCTION("""COMPUTED_VALUE"""),"No")</f>
        <v>No</v>
      </c>
      <c r="AI122" s="8" t="str">
        <f ca="1">IFERROR(__xludf.DUMMYFUNCTION("""COMPUTED_VALUE"""),"No")</f>
        <v>No</v>
      </c>
      <c r="AJ122" s="8" t="str">
        <f ca="1">IFERROR(__xludf.DUMMYFUNCTION("""COMPUTED_VALUE"""),"No")</f>
        <v>No</v>
      </c>
      <c r="AK122" s="8" t="str">
        <f ca="1">IFERROR(__xludf.DUMMYFUNCTION("""COMPUTED_VALUE"""),"Yes")</f>
        <v>Yes</v>
      </c>
      <c r="AL122" s="8" t="str">
        <f ca="1">IFERROR(__xludf.DUMMYFUNCTION("""COMPUTED_VALUE"""),"No")</f>
        <v>No</v>
      </c>
      <c r="AM122" s="8" t="str">
        <f ca="1">IFERROR(__xludf.DUMMYFUNCTION("""COMPUTED_VALUE"""),"No")</f>
        <v>No</v>
      </c>
      <c r="AN122" s="8" t="str">
        <f ca="1">IFERROR(__xludf.DUMMYFUNCTION("""COMPUTED_VALUE"""),"Outside")</f>
        <v>Outside</v>
      </c>
      <c r="AO122" s="8" t="str">
        <f ca="1">IFERROR(__xludf.DUMMYFUNCTION("""COMPUTED_VALUE"""),"No")</f>
        <v>No</v>
      </c>
      <c r="AP122" s="8"/>
      <c r="AQ122" s="8"/>
      <c r="AR122" s="8" t="str">
        <f ca="1">IFERROR(__xludf.DUMMYFUNCTION("""COMPUTED_VALUE"""),"Outside/Off-Property")</f>
        <v>Outside/Off-Property</v>
      </c>
      <c r="AS122" s="8">
        <f ca="1">IFERROR(__xludf.DUMMYFUNCTION("""COMPUTED_VALUE"""),99)</f>
        <v>99</v>
      </c>
      <c r="AT122" s="8" t="str">
        <f ca="1">IFERROR(__xludf.DUMMYFUNCTION("""COMPUTED_VALUE"""),"No")</f>
        <v>No</v>
      </c>
      <c r="AU122" s="8">
        <f ca="1">IFERROR(__xludf.DUMMYFUNCTION("""COMPUTED_VALUE"""),33.883147)</f>
        <v>33.883147000000001</v>
      </c>
      <c r="AV122" s="8">
        <f ca="1">IFERROR(__xludf.DUMMYFUNCTION("""COMPUTED_VALUE"""),-118.249036)</f>
        <v>-118.249036</v>
      </c>
      <c r="AW122" s="8" t="str">
        <f ca="1">IFERROR(__xludf.DUMMYFUNCTION("""COMPUTED_VALUE"""),"Single building indoor hallway")</f>
        <v>Single building indoor hallway</v>
      </c>
      <c r="AX122" s="8">
        <f ca="1">IFERROR(__xludf.DUMMYFUNCTION("""COMPUTED_VALUE"""),90220)</f>
        <v>90220</v>
      </c>
    </row>
    <row r="123" spans="1:50" ht="90" x14ac:dyDescent="0.2">
      <c r="A123" s="8" t="str">
        <f ca="1">IFERROR(__xludf.DUMMYFUNCTION("""COMPUTED_VALUE"""),"20250328TXJEFS")</f>
        <v>20250328TXJEFS</v>
      </c>
      <c r="B123" s="8">
        <f ca="1">IFERROR(__xludf.DUMMYFUNCTION("""COMPUTED_VALUE"""),3)</f>
        <v>3</v>
      </c>
      <c r="C123" s="8">
        <f ca="1">IFERROR(__xludf.DUMMYFUNCTION("""COMPUTED_VALUE"""),28)</f>
        <v>28</v>
      </c>
      <c r="D123" s="8">
        <f ca="1">IFERROR(__xludf.DUMMYFUNCTION("""COMPUTED_VALUE"""),2025)</f>
        <v>2025</v>
      </c>
      <c r="E123" s="9">
        <f ca="1">IFERROR(__xludf.DUMMYFUNCTION("""COMPUTED_VALUE"""),45744)</f>
        <v>45744</v>
      </c>
      <c r="F123" s="8" t="str">
        <f ca="1">IFERROR(__xludf.DUMMYFUNCTION("""COMPUTED_VALUE"""),"Jefferson High School")</f>
        <v>Jefferson High School</v>
      </c>
      <c r="G123" s="8">
        <f ca="1">IFERROR(__xludf.DUMMYFUNCTION("""COMPUTED_VALUE"""),0)</f>
        <v>0</v>
      </c>
      <c r="H123" s="8">
        <f ca="1">IFERROR(__xludf.DUMMYFUNCTION("""COMPUTED_VALUE"""),0)</f>
        <v>0</v>
      </c>
      <c r="I123" s="8">
        <f ca="1">IFERROR(__xludf.DUMMYFUNCTION("""COMPUTED_VALUE"""),0)</f>
        <v>0</v>
      </c>
      <c r="J123" s="8">
        <f ca="1">IFERROR(__xludf.DUMMYFUNCTION("""COMPUTED_VALUE"""),1)</f>
        <v>1</v>
      </c>
      <c r="K123" s="10" t="str">
        <f ca="1">IFERROR(__xludf.DUMMYFUNCTION("""COMPUTED_VALUE"""),"https://www.ksat.com/news/local/2025/03/28/body-found-on-jefferson-high-school-campus-sapd-says/
https://www.kens5.com/article/news/local/body-found-jefferson-high-school-san-antonio-texas/273-e6c950cb-9b47-4865-a401-0af8aae76952")</f>
        <v>https://www.ksat.com/news/local/2025/03/28/body-found-on-jefferson-high-school-campus-sapd-says/
https://www.kens5.com/article/news/local/body-found-jefferson-high-school-san-antonio-texas/273-e6c950cb-9b47-4865-a401-0af8aae76952</v>
      </c>
      <c r="L123" s="8">
        <f ca="1">IFERROR(__xludf.DUMMYFUNCTION("""COMPUTED_VALUE"""),10)</f>
        <v>10</v>
      </c>
      <c r="M123" s="8" t="str">
        <f ca="1">IFERROR(__xludf.DUMMYFUNCTION("""COMPUTED_VALUE"""),"Regional")</f>
        <v>Regional</v>
      </c>
      <c r="N123" s="8">
        <f ca="1">IFERROR(__xludf.DUMMYFUNCTION("""COMPUTED_VALUE"""),4)</f>
        <v>4</v>
      </c>
      <c r="O123" s="8" t="str">
        <f ca="1">IFERROR(__xludf.DUMMYFUNCTION("""COMPUTED_VALUE"""),"Spring")</f>
        <v>Spring</v>
      </c>
      <c r="P123" s="8" t="str">
        <f ca="1">IFERROR(__xludf.DUMMYFUNCTION("""COMPUTED_VALUE"""),"San Antonio")</f>
        <v>San Antonio</v>
      </c>
      <c r="Q123" s="8" t="str">
        <f ca="1">IFERROR(__xludf.DUMMYFUNCTION("""COMPUTED_VALUE"""),"TX")</f>
        <v>TX</v>
      </c>
      <c r="R123" s="8" t="str">
        <f ca="1">IFERROR(__xludf.DUMMYFUNCTION("""COMPUTED_VALUE"""),"High")</f>
        <v>High</v>
      </c>
      <c r="S123" s="8" t="str">
        <f ca="1">IFERROR(__xludf.DUMMYFUNCTION("""COMPUTED_VALUE"""),"Field (General)")</f>
        <v>Field (General)</v>
      </c>
      <c r="T123" s="8" t="str">
        <f ca="1">IFERROR(__xludf.DUMMYFUNCTION("""COMPUTED_VALUE"""),"Outside on School Property")</f>
        <v>Outside on School Property</v>
      </c>
      <c r="U123" s="8" t="str">
        <f ca="1">IFERROR(__xludf.DUMMYFUNCTION("""COMPUTED_VALUE"""),"Yes")</f>
        <v>Yes</v>
      </c>
      <c r="V123" s="8" t="str">
        <f ca="1">IFERROR(__xludf.DUMMYFUNCTION("""COMPUTED_VALUE"""),"School Start")</f>
        <v>School Start</v>
      </c>
      <c r="W123" s="11">
        <f ca="1">IFERROR(__xludf.DUMMYFUNCTION("""COMPUTED_VALUE"""),0.333333333333333)</f>
        <v>0.33333333333333298</v>
      </c>
      <c r="X123" s="8">
        <f ca="1">IFERROR(__xludf.DUMMYFUNCTION("""COMPUTED_VALUE"""),1)</f>
        <v>1</v>
      </c>
      <c r="Y123" s="12" t="str">
        <f ca="1">IFERROR(__xludf.DUMMYFUNCTION("""COMPUTED_VALUE"""),"Student found body of a man who commit suicide near the baseball field")</f>
        <v>Student found body of a man who commit suicide near the baseball field</v>
      </c>
      <c r="Z123" s="12" t="str">
        <f ca="1">IFERROR(__xludf.DUMMYFUNCTION("""COMPUTED_VALUE"""),"The Bexar County Medical Examiner said a body found on the campus of Jefferson High School Friday morning is that of a 66-year-old man. First responders were called to the school around 8 a.m., as some students were still arriving for class. The body was "&amp;"discovered east of the main building, near the baseball field.")</f>
        <v>The Bexar County Medical Examiner said a body found on the campus of Jefferson High School Friday morning is that of a 66-year-old man. First responders were called to the school around 8 a.m., as some students were still arriving for class. The body was discovered east of the main building, near the baseball field.</v>
      </c>
      <c r="AA123" s="8" t="str">
        <f ca="1">IFERROR(__xludf.DUMMYFUNCTION("""COMPUTED_VALUE"""),"Suicide/Attempted")</f>
        <v>Suicide/Attempted</v>
      </c>
      <c r="AB123" s="8" t="str">
        <f ca="1">IFERROR(__xludf.DUMMYFUNCTION("""COMPUTED_VALUE"""),"Targeted")</f>
        <v>Targeted</v>
      </c>
      <c r="AC123" s="8" t="str">
        <f ca="1">IFERROR(__xludf.DUMMYFUNCTION("""COMPUTED_VALUE"""),"Yes")</f>
        <v>Yes</v>
      </c>
      <c r="AD123" s="8" t="str">
        <f ca="1">IFERROR(__xludf.DUMMYFUNCTION("""COMPUTED_VALUE"""),"Victims Targeted")</f>
        <v>Victims Targeted</v>
      </c>
      <c r="AE123" s="8" t="str">
        <f ca="1">IFERROR(__xludf.DUMMYFUNCTION("""COMPUTED_VALUE"""),"No")</f>
        <v>No</v>
      </c>
      <c r="AF123" s="8"/>
      <c r="AG123" s="8" t="str">
        <f ca="1">IFERROR(__xludf.DUMMYFUNCTION("""COMPUTED_VALUE"""),"No")</f>
        <v>No</v>
      </c>
      <c r="AH123" s="8" t="str">
        <f ca="1">IFERROR(__xludf.DUMMYFUNCTION("""COMPUTED_VALUE"""),"No")</f>
        <v>No</v>
      </c>
      <c r="AI123" s="8" t="str">
        <f ca="1">IFERROR(__xludf.DUMMYFUNCTION("""COMPUTED_VALUE"""),"No")</f>
        <v>No</v>
      </c>
      <c r="AJ123" s="8" t="str">
        <f ca="1">IFERROR(__xludf.DUMMYFUNCTION("""COMPUTED_VALUE"""),"No")</f>
        <v>No</v>
      </c>
      <c r="AK123" s="8" t="str">
        <f ca="1">IFERROR(__xludf.DUMMYFUNCTION("""COMPUTED_VALUE"""),"No")</f>
        <v>No</v>
      </c>
      <c r="AL123" s="8" t="str">
        <f ca="1">IFERROR(__xludf.DUMMYFUNCTION("""COMPUTED_VALUE"""),"No")</f>
        <v>No</v>
      </c>
      <c r="AM123" s="8" t="str">
        <f ca="1">IFERROR(__xludf.DUMMYFUNCTION("""COMPUTED_VALUE"""),"No")</f>
        <v>No</v>
      </c>
      <c r="AN123" s="8" t="str">
        <f ca="1">IFERROR(__xludf.DUMMYFUNCTION("""COMPUTED_VALUE"""),"Outside")</f>
        <v>Outside</v>
      </c>
      <c r="AO123" s="8" t="str">
        <f ca="1">IFERROR(__xludf.DUMMYFUNCTION("""COMPUTED_VALUE"""),"No")</f>
        <v>No</v>
      </c>
      <c r="AP123" s="8" t="str">
        <f ca="1">IFERROR(__xludf.DUMMYFUNCTION("""COMPUTED_VALUE"""),"Yes")</f>
        <v>Yes</v>
      </c>
      <c r="AQ123" s="8" t="str">
        <f ca="1">IFERROR(__xludf.DUMMYFUNCTION("""COMPUTED_VALUE"""),"Armed Guards")</f>
        <v>Armed Guards</v>
      </c>
      <c r="AR123" s="8" t="str">
        <f ca="1">IFERROR(__xludf.DUMMYFUNCTION("""COMPUTED_VALUE"""),"Outside/Off-Property")</f>
        <v>Outside/Off-Property</v>
      </c>
      <c r="AS123" s="8">
        <f ca="1">IFERROR(__xludf.DUMMYFUNCTION("""COMPUTED_VALUE"""),1)</f>
        <v>1</v>
      </c>
      <c r="AT123" s="8" t="str">
        <f ca="1">IFERROR(__xludf.DUMMYFUNCTION("""COMPUTED_VALUE"""),"Yes")</f>
        <v>Yes</v>
      </c>
      <c r="AU123" s="8">
        <f ca="1">IFERROR(__xludf.DUMMYFUNCTION("""COMPUTED_VALUE"""),29.464877)</f>
        <v>29.464877000000001</v>
      </c>
      <c r="AV123" s="8">
        <f ca="1">IFERROR(__xludf.DUMMYFUNCTION("""COMPUTED_VALUE"""),-98.537414)</f>
        <v>-98.537413999999998</v>
      </c>
      <c r="AW123" s="8" t="str">
        <f ca="1">IFERROR(__xludf.DUMMYFUNCTION("""COMPUTED_VALUE"""),"Multiple detached buildings")</f>
        <v>Multiple detached buildings</v>
      </c>
      <c r="AX123" s="8">
        <f ca="1">IFERROR(__xludf.DUMMYFUNCTION("""COMPUTED_VALUE"""),78201)</f>
        <v>78201</v>
      </c>
    </row>
    <row r="124" spans="1:50" ht="285" x14ac:dyDescent="0.2">
      <c r="A124" s="8" t="str">
        <f ca="1">IFERROR(__xludf.DUMMYFUNCTION("""COMPUTED_VALUE"""),"20250327TXPEF")</f>
        <v>20250327TXPEF</v>
      </c>
      <c r="B124" s="8">
        <f ca="1">IFERROR(__xludf.DUMMYFUNCTION("""COMPUTED_VALUE"""),3)</f>
        <v>3</v>
      </c>
      <c r="C124" s="8">
        <f ca="1">IFERROR(__xludf.DUMMYFUNCTION("""COMPUTED_VALUE"""),27)</f>
        <v>27</v>
      </c>
      <c r="D124" s="8">
        <f ca="1">IFERROR(__xludf.DUMMYFUNCTION("""COMPUTED_VALUE"""),2025)</f>
        <v>2025</v>
      </c>
      <c r="E124" s="9">
        <f ca="1">IFERROR(__xludf.DUMMYFUNCTION("""COMPUTED_VALUE"""),45743)</f>
        <v>45743</v>
      </c>
      <c r="F124" s="8" t="str">
        <f ca="1">IFERROR(__xludf.DUMMYFUNCTION("""COMPUTED_VALUE"""),"Pete and Gracie Hosp Elementary School")</f>
        <v>Pete and Gracie Hosp Elementary School</v>
      </c>
      <c r="G124" s="8">
        <f ca="1">IFERROR(__xludf.DUMMYFUNCTION("""COMPUTED_VALUE"""),0)</f>
        <v>0</v>
      </c>
      <c r="H124" s="8">
        <f ca="1">IFERROR(__xludf.DUMMYFUNCTION("""COMPUTED_VALUE"""),0)</f>
        <v>0</v>
      </c>
      <c r="I124" s="8">
        <f ca="1">IFERROR(__xludf.DUMMYFUNCTION("""COMPUTED_VALUE"""),0)</f>
        <v>0</v>
      </c>
      <c r="J124" s="8">
        <f ca="1">IFERROR(__xludf.DUMMYFUNCTION("""COMPUTED_VALUE"""),0)</f>
        <v>0</v>
      </c>
      <c r="K124" s="8" t="str">
        <f ca="1">IFERROR(__xludf.DUMMYFUNCTION("""COMPUTED_VALUE"""),"https://www.friscotexas.gov/CivicAlerts.aspx?AID=2334
https://www.nbcdfw.com/news/local/projectile-frisco-elementary-class-canceled/3802238/
https://www.friscotexas.gov/CivicAlerts.aspx?AID=2352")</f>
        <v>https://www.friscotexas.gov/CivicAlerts.aspx?AID=2334
https://www.nbcdfw.com/news/local/projectile-frisco-elementary-class-canceled/3802238/
https://www.friscotexas.gov/CivicAlerts.aspx?AID=2352</v>
      </c>
      <c r="L124" s="8">
        <f ca="1">IFERROR(__xludf.DUMMYFUNCTION("""COMPUTED_VALUE"""),10)</f>
        <v>10</v>
      </c>
      <c r="M124" s="8" t="str">
        <f ca="1">IFERROR(__xludf.DUMMYFUNCTION("""COMPUTED_VALUE"""),"Regional")</f>
        <v>Regional</v>
      </c>
      <c r="N124" s="8">
        <f ca="1">IFERROR(__xludf.DUMMYFUNCTION("""COMPUTED_VALUE"""),4)</f>
        <v>4</v>
      </c>
      <c r="O124" s="8" t="str">
        <f ca="1">IFERROR(__xludf.DUMMYFUNCTION("""COMPUTED_VALUE"""),"Spring")</f>
        <v>Spring</v>
      </c>
      <c r="P124" s="8" t="str">
        <f ca="1">IFERROR(__xludf.DUMMYFUNCTION("""COMPUTED_VALUE"""),"Frisco")</f>
        <v>Frisco</v>
      </c>
      <c r="Q124" s="8" t="str">
        <f ca="1">IFERROR(__xludf.DUMMYFUNCTION("""COMPUTED_VALUE"""),"TX")</f>
        <v>TX</v>
      </c>
      <c r="R124" s="8" t="str">
        <f ca="1">IFERROR(__xludf.DUMMYFUNCTION("""COMPUTED_VALUE"""),"Elementary")</f>
        <v>Elementary</v>
      </c>
      <c r="S124" s="8" t="str">
        <f ca="1">IFERROR(__xludf.DUMMYFUNCTION("""COMPUTED_VALUE"""),"Classroom")</f>
        <v>Classroom</v>
      </c>
      <c r="T124" s="8" t="str">
        <f ca="1">IFERROR(__xludf.DUMMYFUNCTION("""COMPUTED_VALUE"""),"Outside on School Property")</f>
        <v>Outside on School Property</v>
      </c>
      <c r="U124" s="8" t="str">
        <f ca="1">IFERROR(__xludf.DUMMYFUNCTION("""COMPUTED_VALUE"""),"Yes")</f>
        <v>Yes</v>
      </c>
      <c r="V124" s="8" t="str">
        <f ca="1">IFERROR(__xludf.DUMMYFUNCTION("""COMPUTED_VALUE"""),"Morning Classes")</f>
        <v>Morning Classes</v>
      </c>
      <c r="W124" s="11">
        <f ca="1">IFERROR(__xludf.DUMMYFUNCTION("""COMPUTED_VALUE"""),0.394444444444444)</f>
        <v>0.39444444444444399</v>
      </c>
      <c r="X124" s="8">
        <f ca="1">IFERROR(__xludf.DUMMYFUNCTION("""COMPUTED_VALUE"""),1)</f>
        <v>1</v>
      </c>
      <c r="Y124" s="12" t="str">
        <f ca="1">IFERROR(__xludf.DUMMYFUNCTION("""COMPUTED_VALUE"""),"Gunshot fired through the window of occupied classroom; woman accross the street was search house for intruder, she tripped, fell, and fired a shot that struck the school")</f>
        <v>Gunshot fired through the window of occupied classroom; woman accross the street was search house for intruder, she tripped, fell, and fired a shot that struck the school</v>
      </c>
      <c r="Z124" s="12" t="str">
        <f ca="1">IFERROR(__xludf.DUMMYFUNCTION("""COMPUTED_VALUE"""),"On Thursday, March 27, 2025, at approximately 9:28 a.m., a Frisco Police Officer assigned to the School Resource Officer Unit responded to a suspicious circumstance at Hosp Elementary, located at 5050 Lone Star Ranch Parkway. Upon arrival, the officer obs"&amp;"erved a classroom window had been shattered by an unknown object and fragments believed to belong to a bullet were later discovered. No injuries were reported, and out of an abundance of caution, students were dismissed early. Frisco Detectives responded "&amp;"to the school to look into the matter, and evidence at the scene was documented and collected by FPD’s Crime Scene Unit. Upon initial investigation, Detectives located the source of the bullet and believe the act was not intentional. There is no evidence "&amp;"to suggest that the school was targeted, nor is there a threat to the public, and students are safe to return to campus. The incident is still under investigation and upon completion, the matter will be referred to the Denton County District Attorney’s Of"&amp;"fice.")</f>
        <v>On Thursday, March 27, 2025, at approximately 9:28 a.m., a Frisco Police Officer assigned to the School Resource Officer Unit responded to a suspicious circumstance at Hosp Elementary, located at 5050 Lone Star Ranch Parkway. Upon arrival, the officer observed a classroom window had been shattered by an unknown object and fragments believed to belong to a bullet were later discovered. No injuries were reported, and out of an abundance of caution, students were dismissed early. Frisco Detectives responded to the school to look into the matter, and evidence at the scene was documented and collected by FPD’s Crime Scene Unit. Upon initial investigation, Detectives located the source of the bullet and believe the act was not intentional. There is no evidence to suggest that the school was targeted, nor is there a threat to the public, and students are safe to return to campus. The incident is still under investigation and upon completion, the matter will be referred to the Denton County District Attorney’s Office.</v>
      </c>
      <c r="AA124" s="8" t="str">
        <f ca="1">IFERROR(__xludf.DUMMYFUNCTION("""COMPUTED_VALUE"""),"Accidental")</f>
        <v>Accidental</v>
      </c>
      <c r="AB124" s="8" t="str">
        <f ca="1">IFERROR(__xludf.DUMMYFUNCTION("""COMPUTED_VALUE"""),"Spontaneous")</f>
        <v>Spontaneous</v>
      </c>
      <c r="AC124" s="8" t="str">
        <f ca="1">IFERROR(__xludf.DUMMYFUNCTION("""COMPUTED_VALUE"""),"Yes")</f>
        <v>Yes</v>
      </c>
      <c r="AD124" s="8" t="str">
        <f ca="1">IFERROR(__xludf.DUMMYFUNCTION("""COMPUTED_VALUE"""),"Random Shooting")</f>
        <v>Random Shooting</v>
      </c>
      <c r="AE124" s="8" t="str">
        <f ca="1">IFERROR(__xludf.DUMMYFUNCTION("""COMPUTED_VALUE"""),"No")</f>
        <v>No</v>
      </c>
      <c r="AF124" s="8"/>
      <c r="AG124" s="8" t="str">
        <f ca="1">IFERROR(__xludf.DUMMYFUNCTION("""COMPUTED_VALUE"""),"No")</f>
        <v>No</v>
      </c>
      <c r="AH124" s="8" t="str">
        <f ca="1">IFERROR(__xludf.DUMMYFUNCTION("""COMPUTED_VALUE"""),"No")</f>
        <v>No</v>
      </c>
      <c r="AI124" s="8" t="str">
        <f ca="1">IFERROR(__xludf.DUMMYFUNCTION("""COMPUTED_VALUE"""),"No")</f>
        <v>No</v>
      </c>
      <c r="AJ124" s="8" t="str">
        <f ca="1">IFERROR(__xludf.DUMMYFUNCTION("""COMPUTED_VALUE"""),"No")</f>
        <v>No</v>
      </c>
      <c r="AK124" s="8" t="str">
        <f ca="1">IFERROR(__xludf.DUMMYFUNCTION("""COMPUTED_VALUE"""),"No")</f>
        <v>No</v>
      </c>
      <c r="AL124" s="8" t="str">
        <f ca="1">IFERROR(__xludf.DUMMYFUNCTION("""COMPUTED_VALUE"""),"No")</f>
        <v>No</v>
      </c>
      <c r="AM124" s="8" t="str">
        <f ca="1">IFERROR(__xludf.DUMMYFUNCTION("""COMPUTED_VALUE"""),"No")</f>
        <v>No</v>
      </c>
      <c r="AN124" s="8" t="str">
        <f ca="1">IFERROR(__xludf.DUMMYFUNCTION("""COMPUTED_VALUE"""),"Outside")</f>
        <v>Outside</v>
      </c>
      <c r="AO124" s="8" t="str">
        <f ca="1">IFERROR(__xludf.DUMMYFUNCTION("""COMPUTED_VALUE"""),"No")</f>
        <v>No</v>
      </c>
      <c r="AP124" s="8"/>
      <c r="AQ124" s="8"/>
      <c r="AR124" s="8" t="str">
        <f ca="1">IFERROR(__xludf.DUMMYFUNCTION("""COMPUTED_VALUE"""),"Outside/Off-Property")</f>
        <v>Outside/Off-Property</v>
      </c>
      <c r="AS124" s="8">
        <f ca="1">IFERROR(__xludf.DUMMYFUNCTION("""COMPUTED_VALUE"""),1)</f>
        <v>1</v>
      </c>
      <c r="AT124" s="8" t="str">
        <f ca="1">IFERROR(__xludf.DUMMYFUNCTION("""COMPUTED_VALUE"""),"Yes")</f>
        <v>Yes</v>
      </c>
      <c r="AU124" s="8">
        <f ca="1">IFERROR(__xludf.DUMMYFUNCTION("""COMPUTED_VALUE"""),33.120506)</f>
        <v>33.120505999999999</v>
      </c>
      <c r="AV124" s="8">
        <f ca="1">IFERROR(__xludf.DUMMYFUNCTION("""COMPUTED_VALUE"""),-96.883815)</f>
        <v>-96.883814999999998</v>
      </c>
      <c r="AW124" s="8" t="str">
        <f ca="1">IFERROR(__xludf.DUMMYFUNCTION("""COMPUTED_VALUE"""),"Single building indoor hallway")</f>
        <v>Single building indoor hallway</v>
      </c>
      <c r="AX124" s="8">
        <f ca="1">IFERROR(__xludf.DUMMYFUNCTION("""COMPUTED_VALUE"""),75036)</f>
        <v>75036</v>
      </c>
    </row>
    <row r="125" spans="1:50" ht="300" x14ac:dyDescent="0.2">
      <c r="A125" s="8" t="str">
        <f ca="1">IFERROR(__xludf.DUMMYFUNCTION("""COMPUTED_VALUE"""),"20250327MIKAK")</f>
        <v>20250327MIKAK</v>
      </c>
      <c r="B125" s="8">
        <f ca="1">IFERROR(__xludf.DUMMYFUNCTION("""COMPUTED_VALUE"""),3)</f>
        <v>3</v>
      </c>
      <c r="C125" s="8">
        <f ca="1">IFERROR(__xludf.DUMMYFUNCTION("""COMPUTED_VALUE"""),27)</f>
        <v>27</v>
      </c>
      <c r="D125" s="8">
        <f ca="1">IFERROR(__xludf.DUMMYFUNCTION("""COMPUTED_VALUE"""),2025)</f>
        <v>2025</v>
      </c>
      <c r="E125" s="9">
        <f ca="1">IFERROR(__xludf.DUMMYFUNCTION("""COMPUTED_VALUE"""),45743)</f>
        <v>45743</v>
      </c>
      <c r="F125" s="8" t="str">
        <f ca="1">IFERROR(__xludf.DUMMYFUNCTION("""COMPUTED_VALUE"""),"Kalamazoo Public Schools administration building")</f>
        <v>Kalamazoo Public Schools administration building</v>
      </c>
      <c r="G125" s="8">
        <f ca="1">IFERROR(__xludf.DUMMYFUNCTION("""COMPUTED_VALUE"""),0)</f>
        <v>0</v>
      </c>
      <c r="H125" s="8">
        <f ca="1">IFERROR(__xludf.DUMMYFUNCTION("""COMPUTED_VALUE"""),1)</f>
        <v>1</v>
      </c>
      <c r="I125" s="8">
        <f ca="1">IFERROR(__xludf.DUMMYFUNCTION("""COMPUTED_VALUE"""),1)</f>
        <v>1</v>
      </c>
      <c r="J125" s="8">
        <f ca="1">IFERROR(__xludf.DUMMYFUNCTION("""COMPUTED_VALUE"""),1)</f>
        <v>1</v>
      </c>
      <c r="K125" s="8" t="str">
        <f ca="1">IFERROR(__xludf.DUMMYFUNCTION("""COMPUTED_VALUE"""),"https://www.officer.com/tactical/firearms/news/55277914/mich-police-officer-shot-when-wanted-subject-pulls-gun-near-school
https://www.woodtv.com/news/kalamazoo-county/police-investigate-shooting-in-kalamazoo-3/")</f>
        <v>https://www.officer.com/tactical/firearms/news/55277914/mich-police-officer-shot-when-wanted-subject-pulls-gun-near-school
https://www.woodtv.com/news/kalamazoo-county/police-investigate-shooting-in-kalamazoo-3/</v>
      </c>
      <c r="L125" s="8">
        <f ca="1">IFERROR(__xludf.DUMMYFUNCTION("""COMPUTED_VALUE"""),10)</f>
        <v>10</v>
      </c>
      <c r="M125" s="8" t="str">
        <f ca="1">IFERROR(__xludf.DUMMYFUNCTION("""COMPUTED_VALUE"""),"Regional")</f>
        <v>Regional</v>
      </c>
      <c r="N125" s="8">
        <f ca="1">IFERROR(__xludf.DUMMYFUNCTION("""COMPUTED_VALUE"""),4)</f>
        <v>4</v>
      </c>
      <c r="O125" s="8" t="str">
        <f ca="1">IFERROR(__xludf.DUMMYFUNCTION("""COMPUTED_VALUE"""),"Spring")</f>
        <v>Spring</v>
      </c>
      <c r="P125" s="8" t="str">
        <f ca="1">IFERROR(__xludf.DUMMYFUNCTION("""COMPUTED_VALUE"""),"Kalamazoo")</f>
        <v>Kalamazoo</v>
      </c>
      <c r="Q125" s="8" t="str">
        <f ca="1">IFERROR(__xludf.DUMMYFUNCTION("""COMPUTED_VALUE"""),"MI")</f>
        <v>MI</v>
      </c>
      <c r="R125" s="8" t="str">
        <f ca="1">IFERROR(__xludf.DUMMYFUNCTION("""COMPUTED_VALUE"""),"Other")</f>
        <v>Other</v>
      </c>
      <c r="S125" s="8" t="str">
        <f ca="1">IFERROR(__xludf.DUMMYFUNCTION("""COMPUTED_VALUE"""),"Beside Building")</f>
        <v>Beside Building</v>
      </c>
      <c r="T125" s="8" t="str">
        <f ca="1">IFERROR(__xludf.DUMMYFUNCTION("""COMPUTED_VALUE"""),"Outside on School Property")</f>
        <v>Outside on School Property</v>
      </c>
      <c r="U125" s="8" t="str">
        <f ca="1">IFERROR(__xludf.DUMMYFUNCTION("""COMPUTED_VALUE"""),"Yes")</f>
        <v>Yes</v>
      </c>
      <c r="V125" s="8" t="str">
        <f ca="1">IFERROR(__xludf.DUMMYFUNCTION("""COMPUTED_VALUE"""),"Morning Classes")</f>
        <v>Morning Classes</v>
      </c>
      <c r="W125" s="11">
        <f ca="1">IFERROR(__xludf.DUMMYFUNCTION("""COMPUTED_VALUE"""),0.458333333333333)</f>
        <v>0.45833333333333298</v>
      </c>
      <c r="X125" s="8">
        <f ca="1">IFERROR(__xludf.DUMMYFUNCTION("""COMPUTED_VALUE"""),1)</f>
        <v>1</v>
      </c>
      <c r="Y125" s="12" t="str">
        <f ca="1">IFERROR(__xludf.DUMMYFUNCTION("""COMPUTED_VALUE"""),"Armed man involved in domestic dispute shot an officer at the school administration building, neighboring school locked down")</f>
        <v>Armed man involved in domestic dispute shot an officer at the school administration building, neighboring school locked down</v>
      </c>
      <c r="Z125" s="12" t="str">
        <f ca="1">IFERROR(__xludf.DUMMYFUNCTION("""COMPUTED_VALUE"""),"A police officer and wanted subject are in the hospital after a shooting near the Kalamazoo Public Schools administration building. Officers were attempting to apprehend a “wanted subject” when the subject pulled out a gun, according to a statement from t"&amp;"he Kalamazoo Township Police Department. Both the officer and the subject suffered gunshot wounds, police said. Officers responded to the scene in the 1200 block of Howard Street at roughly 11 a.m. on Thursday, March 27. Yellow crime scene tape was stretc"&amp;"hed near the entrance of the building in the parking lot. The nearby middle school, Maple Street Magnet School for the Arts, is on lockdown, according to parents. Kalamazoo Public Schools officials could not be immediately reached for comment. The situati"&amp;"on started on the west side of Kalamazoo Township, near Kendall Street, according to the police chief. He said officers responded to an assault in which a suspect — described as a 23-year-old Portage man with a criminal history — assaulted his girlfriend "&amp;"and pointed a gun at her. The suspect has been out on parole since April 2024, Ergang said.")</f>
        <v>A police officer and wanted subject are in the hospital after a shooting near the Kalamazoo Public Schools administration building. Officers were attempting to apprehend a “wanted subject” when the subject pulled out a gun, according to a statement from the Kalamazoo Township Police Department. Both the officer and the subject suffered gunshot wounds, police said. Officers responded to the scene in the 1200 block of Howard Street at roughly 11 a.m. on Thursday, March 27. Yellow crime scene tape was stretched near the entrance of the building in the parking lot. The nearby middle school, Maple Street Magnet School for the Arts, is on lockdown, according to parents. Kalamazoo Public Schools officials could not be immediately reached for comment. The situation started on the west side of Kalamazoo Township, near Kendall Street, according to the police chief. He said officers responded to an assault in which a suspect — described as a 23-year-old Portage man with a criminal history — assaulted his girlfriend and pointed a gun at her. The suspect has been out on parole since April 2024, Ergang said.</v>
      </c>
      <c r="AA125" s="8" t="str">
        <f ca="1">IFERROR(__xludf.DUMMYFUNCTION("""COMPUTED_VALUE"""),"Domestic w/ Targeted Victim")</f>
        <v>Domestic w/ Targeted Victim</v>
      </c>
      <c r="AB125" s="8" t="str">
        <f ca="1">IFERROR(__xludf.DUMMYFUNCTION("""COMPUTED_VALUE"""),"Spontaneous")</f>
        <v>Spontaneous</v>
      </c>
      <c r="AC125" s="8" t="str">
        <f ca="1">IFERROR(__xludf.DUMMYFUNCTION("""COMPUTED_VALUE"""),"Yes")</f>
        <v>Yes</v>
      </c>
      <c r="AD125" s="8" t="str">
        <f ca="1">IFERROR(__xludf.DUMMYFUNCTION("""COMPUTED_VALUE"""),"Random Shooting")</f>
        <v>Random Shooting</v>
      </c>
      <c r="AE125" s="8" t="str">
        <f ca="1">IFERROR(__xludf.DUMMYFUNCTION("""COMPUTED_VALUE"""),"No")</f>
        <v>No</v>
      </c>
      <c r="AF125" s="8"/>
      <c r="AG125" s="8" t="str">
        <f ca="1">IFERROR(__xludf.DUMMYFUNCTION("""COMPUTED_VALUE"""),"No")</f>
        <v>No</v>
      </c>
      <c r="AH125" s="8" t="str">
        <f ca="1">IFERROR(__xludf.DUMMYFUNCTION("""COMPUTED_VALUE"""),"No")</f>
        <v>No</v>
      </c>
      <c r="AI125" s="8" t="str">
        <f ca="1">IFERROR(__xludf.DUMMYFUNCTION("""COMPUTED_VALUE"""),"No")</f>
        <v>No</v>
      </c>
      <c r="AJ125" s="8" t="str">
        <f ca="1">IFERROR(__xludf.DUMMYFUNCTION("""COMPUTED_VALUE"""),"No")</f>
        <v>No</v>
      </c>
      <c r="AK125" s="8" t="str">
        <f ca="1">IFERROR(__xludf.DUMMYFUNCTION("""COMPUTED_VALUE"""),"No")</f>
        <v>No</v>
      </c>
      <c r="AL125" s="8" t="str">
        <f ca="1">IFERROR(__xludf.DUMMYFUNCTION("""COMPUTED_VALUE"""),"No")</f>
        <v>No</v>
      </c>
      <c r="AM125" s="8" t="str">
        <f ca="1">IFERROR(__xludf.DUMMYFUNCTION("""COMPUTED_VALUE"""),"No")</f>
        <v>No</v>
      </c>
      <c r="AN125" s="8" t="str">
        <f ca="1">IFERROR(__xludf.DUMMYFUNCTION("""COMPUTED_VALUE"""),"Outside")</f>
        <v>Outside</v>
      </c>
      <c r="AO125" s="8" t="str">
        <f ca="1">IFERROR(__xludf.DUMMYFUNCTION("""COMPUTED_VALUE"""),"No")</f>
        <v>No</v>
      </c>
      <c r="AP125" s="8"/>
      <c r="AQ125" s="8"/>
      <c r="AR125" s="8" t="str">
        <f ca="1">IFERROR(__xludf.DUMMYFUNCTION("""COMPUTED_VALUE"""),"Outside/Off-Property")</f>
        <v>Outside/Off-Property</v>
      </c>
      <c r="AS125" s="8">
        <f ca="1">IFERROR(__xludf.DUMMYFUNCTION("""COMPUTED_VALUE"""),99)</f>
        <v>99</v>
      </c>
      <c r="AT125" s="8" t="str">
        <f ca="1">IFERROR(__xludf.DUMMYFUNCTION("""COMPUTED_VALUE"""),"Yes")</f>
        <v>Yes</v>
      </c>
      <c r="AU125" s="8">
        <f ca="1">IFERROR(__xludf.DUMMYFUNCTION("""COMPUTED_VALUE"""),42.274602)</f>
        <v>42.274602000000002</v>
      </c>
      <c r="AV125" s="8">
        <f ca="1">IFERROR(__xludf.DUMMYFUNCTION("""COMPUTED_VALUE"""),-85.600312)</f>
        <v>-85.600312000000002</v>
      </c>
      <c r="AW125" s="8" t="str">
        <f ca="1">IFERROR(__xludf.DUMMYFUNCTION("""COMPUTED_VALUE"""),"Single building indoor hallway")</f>
        <v>Single building indoor hallway</v>
      </c>
      <c r="AX125" s="8">
        <f ca="1">IFERROR(__xludf.DUMMYFUNCTION("""COMPUTED_VALUE"""),49008)</f>
        <v>49008</v>
      </c>
    </row>
    <row r="126" spans="1:50" ht="75" x14ac:dyDescent="0.2">
      <c r="A126" s="8" t="str">
        <f ca="1">IFERROR(__xludf.DUMMYFUNCTION("""COMPUTED_VALUE"""),"20250327NYPSB")</f>
        <v>20250327NYPSB</v>
      </c>
      <c r="B126" s="8">
        <f ca="1">IFERROR(__xludf.DUMMYFUNCTION("""COMPUTED_VALUE"""),3)</f>
        <v>3</v>
      </c>
      <c r="C126" s="8">
        <f ca="1">IFERROR(__xludf.DUMMYFUNCTION("""COMPUTED_VALUE"""),27)</f>
        <v>27</v>
      </c>
      <c r="D126" s="8">
        <f ca="1">IFERROR(__xludf.DUMMYFUNCTION("""COMPUTED_VALUE"""),2025)</f>
        <v>2025</v>
      </c>
      <c r="E126" s="9">
        <f ca="1">IFERROR(__xludf.DUMMYFUNCTION("""COMPUTED_VALUE"""),45743)</f>
        <v>45743</v>
      </c>
      <c r="F126" s="8" t="str">
        <f ca="1">IFERROR(__xludf.DUMMYFUNCTION("""COMPUTED_VALUE"""),"P.S. 316 Elijah G. Stroud Elementary")</f>
        <v>P.S. 316 Elijah G. Stroud Elementary</v>
      </c>
      <c r="G126" s="8">
        <f ca="1">IFERROR(__xludf.DUMMYFUNCTION("""COMPUTED_VALUE"""),0)</f>
        <v>0</v>
      </c>
      <c r="H126" s="8">
        <f ca="1">IFERROR(__xludf.DUMMYFUNCTION("""COMPUTED_VALUE"""),0)</f>
        <v>0</v>
      </c>
      <c r="I126" s="8">
        <f ca="1">IFERROR(__xludf.DUMMYFUNCTION("""COMPUTED_VALUE"""),0)</f>
        <v>0</v>
      </c>
      <c r="J126" s="8">
        <f ca="1">IFERROR(__xludf.DUMMYFUNCTION("""COMPUTED_VALUE"""),0)</f>
        <v>0</v>
      </c>
      <c r="K126" s="10" t="str">
        <f ca="1">IFERROR(__xludf.DUMMYFUNCTION("""COMPUTED_VALUE"""),"https://brooklyn.news12.com/nypd-shots-fired-near-playground-in-crown-heights-prompts-shelter-in-place-at-ps-316")</f>
        <v>https://brooklyn.news12.com/nypd-shots-fired-near-playground-in-crown-heights-prompts-shelter-in-place-at-ps-316</v>
      </c>
      <c r="L126" s="8">
        <f ca="1">IFERROR(__xludf.DUMMYFUNCTION("""COMPUTED_VALUE"""),1)</f>
        <v>1</v>
      </c>
      <c r="M126" s="8" t="str">
        <f ca="1">IFERROR(__xludf.DUMMYFUNCTION("""COMPUTED_VALUE"""),"Local")</f>
        <v>Local</v>
      </c>
      <c r="N126" s="8">
        <f ca="1">IFERROR(__xludf.DUMMYFUNCTION("""COMPUTED_VALUE"""),4)</f>
        <v>4</v>
      </c>
      <c r="O126" s="8" t="str">
        <f ca="1">IFERROR(__xludf.DUMMYFUNCTION("""COMPUTED_VALUE"""),"Spring")</f>
        <v>Spring</v>
      </c>
      <c r="P126" s="8" t="str">
        <f ca="1">IFERROR(__xludf.DUMMYFUNCTION("""COMPUTED_VALUE"""),"Brooklyn")</f>
        <v>Brooklyn</v>
      </c>
      <c r="Q126" s="8" t="str">
        <f ca="1">IFERROR(__xludf.DUMMYFUNCTION("""COMPUTED_VALUE"""),"NY")</f>
        <v>NY</v>
      </c>
      <c r="R126" s="8" t="str">
        <f ca="1">IFERROR(__xludf.DUMMYFUNCTION("""COMPUTED_VALUE"""),"Elementary")</f>
        <v>Elementary</v>
      </c>
      <c r="S126" s="8" t="str">
        <f ca="1">IFERROR(__xludf.DUMMYFUNCTION("""COMPUTED_VALUE"""),"Playground")</f>
        <v>Playground</v>
      </c>
      <c r="T126" s="8" t="str">
        <f ca="1">IFERROR(__xludf.DUMMYFUNCTION("""COMPUTED_VALUE"""),"Outside on School Property")</f>
        <v>Outside on School Property</v>
      </c>
      <c r="U126" s="8" t="str">
        <f ca="1">IFERROR(__xludf.DUMMYFUNCTION("""COMPUTED_VALUE"""),"Yes")</f>
        <v>Yes</v>
      </c>
      <c r="V126" s="8" t="str">
        <f ca="1">IFERROR(__xludf.DUMMYFUNCTION("""COMPUTED_VALUE"""),"Afternoon Classes")</f>
        <v>Afternoon Classes</v>
      </c>
      <c r="W126" s="11">
        <f ca="1">IFERROR(__xludf.DUMMYFUNCTION("""COMPUTED_VALUE"""),0.5625)</f>
        <v>0.5625</v>
      </c>
      <c r="X126" s="8">
        <f ca="1">IFERROR(__xludf.DUMMYFUNCTION("""COMPUTED_VALUE"""),1)</f>
        <v>1</v>
      </c>
      <c r="Y126" s="12" t="str">
        <f ca="1">IFERROR(__xludf.DUMMYFUNCTION("""COMPUTED_VALUE"""),"Three teens shot at another teen while students were on the playground for recess")</f>
        <v>Three teens shot at another teen while students were on the playground for recess</v>
      </c>
      <c r="Z126" s="12" t="str">
        <f ca="1">IFERROR(__xludf.DUMMYFUNCTION("""COMPUTED_VALUE"""),"Three teens shot at another teen while students were on the playground for recess. Students were rushed inside the school to lockdown. All three teens fled. Four shell casings were recovered near the playground.")</f>
        <v>Three teens shot at another teen while students were on the playground for recess. Students were rushed inside the school to lockdown. All three teens fled. Four shell casings were recovered near the playground.</v>
      </c>
      <c r="AA126" s="8"/>
      <c r="AB126" s="8" t="str">
        <f ca="1">IFERROR(__xludf.DUMMYFUNCTION("""COMPUTED_VALUE"""),"Targeted")</f>
        <v>Targeted</v>
      </c>
      <c r="AC126" s="8" t="str">
        <f ca="1">IFERROR(__xludf.DUMMYFUNCTION("""COMPUTED_VALUE"""),"Yes")</f>
        <v>Yes</v>
      </c>
      <c r="AD126" s="8" t="str">
        <f ca="1">IFERROR(__xludf.DUMMYFUNCTION("""COMPUTED_VALUE"""),"Victims Targeted")</f>
        <v>Victims Targeted</v>
      </c>
      <c r="AE126" s="8" t="str">
        <f ca="1">IFERROR(__xludf.DUMMYFUNCTION("""COMPUTED_VALUE"""),"Yes")</f>
        <v>Yes</v>
      </c>
      <c r="AF126" s="8" t="str">
        <f ca="1">IFERROR(__xludf.DUMMYFUNCTION("""COMPUTED_VALUE"""),"Three teens in masks")</f>
        <v>Three teens in masks</v>
      </c>
      <c r="AG126" s="8" t="str">
        <f ca="1">IFERROR(__xludf.DUMMYFUNCTION("""COMPUTED_VALUE"""),"No")</f>
        <v>No</v>
      </c>
      <c r="AH126" s="8" t="str">
        <f ca="1">IFERROR(__xludf.DUMMYFUNCTION("""COMPUTED_VALUE"""),"No")</f>
        <v>No</v>
      </c>
      <c r="AI126" s="8" t="str">
        <f ca="1">IFERROR(__xludf.DUMMYFUNCTION("""COMPUTED_VALUE"""),"No")</f>
        <v>No</v>
      </c>
      <c r="AJ126" s="8" t="str">
        <f ca="1">IFERROR(__xludf.DUMMYFUNCTION("""COMPUTED_VALUE"""),"No")</f>
        <v>No</v>
      </c>
      <c r="AK126" s="8" t="str">
        <f ca="1">IFERROR(__xludf.DUMMYFUNCTION("""COMPUTED_VALUE"""),"No")</f>
        <v>No</v>
      </c>
      <c r="AL126" s="8"/>
      <c r="AM126" s="8" t="str">
        <f ca="1">IFERROR(__xludf.DUMMYFUNCTION("""COMPUTED_VALUE"""),"No")</f>
        <v>No</v>
      </c>
      <c r="AN126" s="8" t="str">
        <f ca="1">IFERROR(__xludf.DUMMYFUNCTION("""COMPUTED_VALUE"""),"Outside")</f>
        <v>Outside</v>
      </c>
      <c r="AO126" s="8" t="str">
        <f ca="1">IFERROR(__xludf.DUMMYFUNCTION("""COMPUTED_VALUE"""),"No")</f>
        <v>No</v>
      </c>
      <c r="AP126" s="8"/>
      <c r="AQ126" s="8"/>
      <c r="AR126" s="8" t="str">
        <f ca="1">IFERROR(__xludf.DUMMYFUNCTION("""COMPUTED_VALUE"""),"Outside/Off-Property")</f>
        <v>Outside/Off-Property</v>
      </c>
      <c r="AS126" s="8">
        <f ca="1">IFERROR(__xludf.DUMMYFUNCTION("""COMPUTED_VALUE"""),4)</f>
        <v>4</v>
      </c>
      <c r="AT126" s="8" t="str">
        <f ca="1">IFERROR(__xludf.DUMMYFUNCTION("""COMPUTED_VALUE"""),"Yes")</f>
        <v>Yes</v>
      </c>
      <c r="AU126" s="8">
        <f ca="1">IFERROR(__xludf.DUMMYFUNCTION("""COMPUTED_VALUE"""),40.674901)</f>
        <v>40.674900999999998</v>
      </c>
      <c r="AV126" s="8">
        <f ca="1">IFERROR(__xludf.DUMMYFUNCTION("""COMPUTED_VALUE"""),-73.960879)</f>
        <v>-73.960879000000006</v>
      </c>
      <c r="AW126" s="8" t="str">
        <f ca="1">IFERROR(__xludf.DUMMYFUNCTION("""COMPUTED_VALUE"""),"Urban Street Standalone")</f>
        <v>Urban Street Standalone</v>
      </c>
      <c r="AX126" s="8">
        <f ca="1">IFERROR(__xludf.DUMMYFUNCTION("""COMPUTED_VALUE"""),11233)</f>
        <v>11233</v>
      </c>
    </row>
    <row r="127" spans="1:50" ht="180" x14ac:dyDescent="0.2">
      <c r="A127" s="8" t="str">
        <f ca="1">IFERROR(__xludf.DUMMYFUNCTION("""COMPUTED_VALUE"""),"20250324TNKIM")</f>
        <v>20250324TNKIM</v>
      </c>
      <c r="B127" s="8">
        <f ca="1">IFERROR(__xludf.DUMMYFUNCTION("""COMPUTED_VALUE"""),3)</f>
        <v>3</v>
      </c>
      <c r="C127" s="8">
        <f ca="1">IFERROR(__xludf.DUMMYFUNCTION("""COMPUTED_VALUE"""),24)</f>
        <v>24</v>
      </c>
      <c r="D127" s="8">
        <f ca="1">IFERROR(__xludf.DUMMYFUNCTION("""COMPUTED_VALUE"""),2025)</f>
        <v>2025</v>
      </c>
      <c r="E127" s="9">
        <f ca="1">IFERROR(__xludf.DUMMYFUNCTION("""COMPUTED_VALUE"""),45740)</f>
        <v>45740</v>
      </c>
      <c r="F127" s="8" t="str">
        <f ca="1">IFERROR(__xludf.DUMMYFUNCTION("""COMPUTED_VALUE"""),"KIPP Memphis Academy High School")</f>
        <v>KIPP Memphis Academy High School</v>
      </c>
      <c r="G127" s="8">
        <f ca="1">IFERROR(__xludf.DUMMYFUNCTION("""COMPUTED_VALUE"""),0)</f>
        <v>0</v>
      </c>
      <c r="H127" s="8">
        <f ca="1">IFERROR(__xludf.DUMMYFUNCTION("""COMPUTED_VALUE"""),1)</f>
        <v>1</v>
      </c>
      <c r="I127" s="8">
        <f ca="1">IFERROR(__xludf.DUMMYFUNCTION("""COMPUTED_VALUE"""),1)</f>
        <v>1</v>
      </c>
      <c r="J127" s="8">
        <f ca="1">IFERROR(__xludf.DUMMYFUNCTION("""COMPUTED_VALUE"""),0)</f>
        <v>0</v>
      </c>
      <c r="K127" s="10" t="str">
        <f ca="1">IFERROR(__xludf.DUMMYFUNCTION("""COMPUTED_VALUE"""),"https://www.actionnews5.com/2025/03/24/girl-shot-near-north-memphis-charter-schools-police-say/")</f>
        <v>https://www.actionnews5.com/2025/03/24/girl-shot-near-north-memphis-charter-schools-police-say/</v>
      </c>
      <c r="L127" s="8">
        <f ca="1">IFERROR(__xludf.DUMMYFUNCTION("""COMPUTED_VALUE"""),1)</f>
        <v>1</v>
      </c>
      <c r="M127" s="8" t="str">
        <f ca="1">IFERROR(__xludf.DUMMYFUNCTION("""COMPUTED_VALUE"""),"Local")</f>
        <v>Local</v>
      </c>
      <c r="N127" s="8">
        <f ca="1">IFERROR(__xludf.DUMMYFUNCTION("""COMPUTED_VALUE"""),2)</f>
        <v>2</v>
      </c>
      <c r="O127" s="8" t="str">
        <f ca="1">IFERROR(__xludf.DUMMYFUNCTION("""COMPUTED_VALUE"""),"Spring")</f>
        <v>Spring</v>
      </c>
      <c r="P127" s="8" t="str">
        <f ca="1">IFERROR(__xludf.DUMMYFUNCTION("""COMPUTED_VALUE"""),"Memphis")</f>
        <v>Memphis</v>
      </c>
      <c r="Q127" s="8" t="str">
        <f ca="1">IFERROR(__xludf.DUMMYFUNCTION("""COMPUTED_VALUE"""),"TN")</f>
        <v>TN</v>
      </c>
      <c r="R127" s="8" t="str">
        <f ca="1">IFERROR(__xludf.DUMMYFUNCTION("""COMPUTED_VALUE"""),"High")</f>
        <v>High</v>
      </c>
      <c r="S127" s="8" t="str">
        <f ca="1">IFERROR(__xludf.DUMMYFUNCTION("""COMPUTED_VALUE"""),"Parking Lot")</f>
        <v>Parking Lot</v>
      </c>
      <c r="T127" s="8" t="str">
        <f ca="1">IFERROR(__xludf.DUMMYFUNCTION("""COMPUTED_VALUE"""),"Outside on School Property")</f>
        <v>Outside on School Property</v>
      </c>
      <c r="U127" s="8" t="str">
        <f ca="1">IFERROR(__xludf.DUMMYFUNCTION("""COMPUTED_VALUE"""),"No")</f>
        <v>No</v>
      </c>
      <c r="V127" s="8" t="str">
        <f ca="1">IFERROR(__xludf.DUMMYFUNCTION("""COMPUTED_VALUE"""),"After School")</f>
        <v>After School</v>
      </c>
      <c r="W127" s="11">
        <f ca="1">IFERROR(__xludf.DUMMYFUNCTION("""COMPUTED_VALUE"""),0.658333333333333)</f>
        <v>0.65833333333333299</v>
      </c>
      <c r="X127" s="8">
        <f ca="1">IFERROR(__xludf.DUMMYFUNCTION("""COMPUTED_VALUE"""),1)</f>
        <v>1</v>
      </c>
      <c r="Y127" s="12" t="str">
        <f ca="1">IFERROR(__xludf.DUMMYFUNCTION("""COMPUTED_VALUE"""),"Girl shot at the school after dismissal")</f>
        <v>Girl shot at the school after dismissal</v>
      </c>
      <c r="Z127" s="12" t="str">
        <f ca="1">IFERROR(__xludf.DUMMYFUNCTION("""COMPUTED_VALUE"""),"An underage girl was hurt in a shooting Monday afternoon in the area of KIPP Memphis Academy High School in North Memphis, according to the Memphis Police Department. KIPP Memphis tells Action News 5 that the shooting happened after school hours and that "&amp;"no students were involved or injured. “We will continue to prioritize campus safety and will fully cooperate with the authorities should they need any support in their ongoing investigation,” said a school spokesperson. A young girl, whose exact age was n"&amp;"ot disclosed, was found at the scene with non-critical gunshot injuries. She was sent to Le Bonheur Children’s Hospital for treatment.")</f>
        <v>An underage girl was hurt in a shooting Monday afternoon in the area of KIPP Memphis Academy High School in North Memphis, according to the Memphis Police Department. KIPP Memphis tells Action News 5 that the shooting happened after school hours and that no students were involved or injured. “We will continue to prioritize campus safety and will fully cooperate with the authorities should they need any support in their ongoing investigation,” said a school spokesperson. A young girl, whose exact age was not disclosed, was found at the scene with non-critical gunshot injuries. She was sent to Le Bonheur Children’s Hospital for treatment.</v>
      </c>
      <c r="AA127" s="8"/>
      <c r="AB127" s="8"/>
      <c r="AC127" s="8" t="str">
        <f ca="1">IFERROR(__xludf.DUMMYFUNCTION("""COMPUTED_VALUE"""),"No")</f>
        <v>No</v>
      </c>
      <c r="AD127" s="8"/>
      <c r="AE127" s="8"/>
      <c r="AF127" s="8"/>
      <c r="AG127" s="8" t="str">
        <f ca="1">IFERROR(__xludf.DUMMYFUNCTION("""COMPUTED_VALUE"""),"No")</f>
        <v>No</v>
      </c>
      <c r="AH127" s="8" t="str">
        <f ca="1">IFERROR(__xludf.DUMMYFUNCTION("""COMPUTED_VALUE"""),"No")</f>
        <v>No</v>
      </c>
      <c r="AI127" s="8" t="str">
        <f ca="1">IFERROR(__xludf.DUMMYFUNCTION("""COMPUTED_VALUE"""),"No")</f>
        <v>No</v>
      </c>
      <c r="AJ127" s="8" t="str">
        <f ca="1">IFERROR(__xludf.DUMMYFUNCTION("""COMPUTED_VALUE"""),"No")</f>
        <v>No</v>
      </c>
      <c r="AK127" s="8" t="str">
        <f ca="1">IFERROR(__xludf.DUMMYFUNCTION("""COMPUTED_VALUE"""),"No")</f>
        <v>No</v>
      </c>
      <c r="AL127" s="8" t="str">
        <f ca="1">IFERROR(__xludf.DUMMYFUNCTION("""COMPUTED_VALUE"""),"No")</f>
        <v>No</v>
      </c>
      <c r="AM127" s="8" t="str">
        <f ca="1">IFERROR(__xludf.DUMMYFUNCTION("""COMPUTED_VALUE"""),"No")</f>
        <v>No</v>
      </c>
      <c r="AN127" s="8" t="str">
        <f ca="1">IFERROR(__xludf.DUMMYFUNCTION("""COMPUTED_VALUE"""),"Outside")</f>
        <v>Outside</v>
      </c>
      <c r="AO127" s="8" t="str">
        <f ca="1">IFERROR(__xludf.DUMMYFUNCTION("""COMPUTED_VALUE"""),"No")</f>
        <v>No</v>
      </c>
      <c r="AP127" s="8"/>
      <c r="AQ127" s="8"/>
      <c r="AR127" s="8" t="str">
        <f ca="1">IFERROR(__xludf.DUMMYFUNCTION("""COMPUTED_VALUE"""),"Outside/Off-Property")</f>
        <v>Outside/Off-Property</v>
      </c>
      <c r="AS127" s="8"/>
      <c r="AT127" s="8" t="str">
        <f ca="1">IFERROR(__xludf.DUMMYFUNCTION("""COMPUTED_VALUE"""),"No")</f>
        <v>No</v>
      </c>
      <c r="AU127" s="8">
        <f ca="1">IFERROR(__xludf.DUMMYFUNCTION("""COMPUTED_VALUE"""),35.167268)</f>
        <v>35.167268</v>
      </c>
      <c r="AV127" s="8">
        <f ca="1">IFERROR(__xludf.DUMMYFUNCTION("""COMPUTED_VALUE"""),-89.987254)</f>
        <v>-89.987253999999993</v>
      </c>
      <c r="AW127" s="8" t="str">
        <f ca="1">IFERROR(__xludf.DUMMYFUNCTION("""COMPUTED_VALUE"""),"Multiple attached buildings")</f>
        <v>Multiple attached buildings</v>
      </c>
      <c r="AX127" s="8">
        <f ca="1">IFERROR(__xludf.DUMMYFUNCTION("""COMPUTED_VALUE"""),38108)</f>
        <v>38108</v>
      </c>
    </row>
    <row r="128" spans="1:50" ht="150" x14ac:dyDescent="0.2">
      <c r="A128" s="8" t="str">
        <f ca="1">IFERROR(__xludf.DUMMYFUNCTION("""COMPUTED_VALUE"""),"20250321OHFRC")</f>
        <v>20250321OHFRC</v>
      </c>
      <c r="B128" s="8">
        <f ca="1">IFERROR(__xludf.DUMMYFUNCTION("""COMPUTED_VALUE"""),3)</f>
        <v>3</v>
      </c>
      <c r="C128" s="8">
        <f ca="1">IFERROR(__xludf.DUMMYFUNCTION("""COMPUTED_VALUE"""),21)</f>
        <v>21</v>
      </c>
      <c r="D128" s="8">
        <f ca="1">IFERROR(__xludf.DUMMYFUNCTION("""COMPUTED_VALUE"""),2025)</f>
        <v>2025</v>
      </c>
      <c r="E128" s="9">
        <f ca="1">IFERROR(__xludf.DUMMYFUNCTION("""COMPUTED_VALUE"""),45737)</f>
        <v>45737</v>
      </c>
      <c r="F128" s="8" t="str">
        <f ca="1">IFERROR(__xludf.DUMMYFUNCTION("""COMPUTED_VALUE"""),"Franklinton Prep High School")</f>
        <v>Franklinton Prep High School</v>
      </c>
      <c r="G128" s="8">
        <f ca="1">IFERROR(__xludf.DUMMYFUNCTION("""COMPUTED_VALUE"""),0)</f>
        <v>0</v>
      </c>
      <c r="H128" s="8">
        <f ca="1">IFERROR(__xludf.DUMMYFUNCTION("""COMPUTED_VALUE"""),0)</f>
        <v>0</v>
      </c>
      <c r="I128" s="8">
        <f ca="1">IFERROR(__xludf.DUMMYFUNCTION("""COMPUTED_VALUE"""),0)</f>
        <v>0</v>
      </c>
      <c r="J128" s="8">
        <f ca="1">IFERROR(__xludf.DUMMYFUNCTION("""COMPUTED_VALUE"""),0)</f>
        <v>0</v>
      </c>
      <c r="K128" s="10" t="str">
        <f ca="1">IFERROR(__xludf.DUMMYFUNCTION("""COMPUTED_VALUE"""),"https://www.10tv.com/article/news/local/franklinton-school-lockdown-after-shots-fired-area-police-say/530-85dbad85-af9c-453c-8243-0fdf6d646fda")</f>
        <v>https://www.10tv.com/article/news/local/franklinton-school-lockdown-after-shots-fired-area-police-say/530-85dbad85-af9c-453c-8243-0fdf6d646fda</v>
      </c>
      <c r="L128" s="8">
        <f ca="1">IFERROR(__xludf.DUMMYFUNCTION("""COMPUTED_VALUE"""),6)</f>
        <v>6</v>
      </c>
      <c r="M128" s="8" t="str">
        <f ca="1">IFERROR(__xludf.DUMMYFUNCTION("""COMPUTED_VALUE"""),"Regional")</f>
        <v>Regional</v>
      </c>
      <c r="N128" s="8">
        <f ca="1">IFERROR(__xludf.DUMMYFUNCTION("""COMPUTED_VALUE"""),4)</f>
        <v>4</v>
      </c>
      <c r="O128" s="8" t="str">
        <f ca="1">IFERROR(__xludf.DUMMYFUNCTION("""COMPUTED_VALUE"""),"Spring")</f>
        <v>Spring</v>
      </c>
      <c r="P128" s="8" t="str">
        <f ca="1">IFERROR(__xludf.DUMMYFUNCTION("""COMPUTED_VALUE"""),"Columbus")</f>
        <v>Columbus</v>
      </c>
      <c r="Q128" s="8" t="str">
        <f ca="1">IFERROR(__xludf.DUMMYFUNCTION("""COMPUTED_VALUE"""),"OH")</f>
        <v>OH</v>
      </c>
      <c r="R128" s="8" t="str">
        <f ca="1">IFERROR(__xludf.DUMMYFUNCTION("""COMPUTED_VALUE"""),"High")</f>
        <v>High</v>
      </c>
      <c r="S128" s="8" t="str">
        <f ca="1">IFERROR(__xludf.DUMMYFUNCTION("""COMPUTED_VALUE"""),"Office")</f>
        <v>Office</v>
      </c>
      <c r="T128" s="8" t="str">
        <f ca="1">IFERROR(__xludf.DUMMYFUNCTION("""COMPUTED_VALUE"""),"Outside on School Property")</f>
        <v>Outside on School Property</v>
      </c>
      <c r="U128" s="8" t="str">
        <f ca="1">IFERROR(__xludf.DUMMYFUNCTION("""COMPUTED_VALUE"""),"Yes")</f>
        <v>Yes</v>
      </c>
      <c r="V128" s="8" t="str">
        <f ca="1">IFERROR(__xludf.DUMMYFUNCTION("""COMPUTED_VALUE"""),"Morning Classes")</f>
        <v>Morning Classes</v>
      </c>
      <c r="W128" s="11">
        <f ca="1">IFERROR(__xludf.DUMMYFUNCTION("""COMPUTED_VALUE"""),0.3875)</f>
        <v>0.38750000000000001</v>
      </c>
      <c r="X128" s="8">
        <f ca="1">IFERROR(__xludf.DUMMYFUNCTION("""COMPUTED_VALUE"""),1)</f>
        <v>1</v>
      </c>
      <c r="Y128" s="12" t="str">
        <f ca="1">IFERROR(__xludf.DUMMYFUNCTION("""COMPUTED_VALUE"""),"Bullet struck the school building causing 2 hour lockdown and early dismissal")</f>
        <v>Bullet struck the school building causing 2 hour lockdown and early dismissal</v>
      </c>
      <c r="Z128" s="12" t="str">
        <f ca="1">IFERROR(__xludf.DUMMYFUNCTION("""COMPUTED_VALUE"""),"According to the Columbus Division of Police, shots were fired in the area of Chicago Avenue around 9:18 a.m. As a result, Franklinton Prep High School was on lockdown for a couple of hours. The building was struck, but no injuries were reported. Bullets "&amp;"went through the walls of the school office. The lockdown was lifted around 11:15 a.m. Students were released for the day once police determined the area was safe. The school said in a statement that they have no reason to believe the situation was relate"&amp;"d to the school and at no point were students or staff targeted. ")</f>
        <v xml:space="preserve">According to the Columbus Division of Police, shots were fired in the area of Chicago Avenue around 9:18 a.m. As a result, Franklinton Prep High School was on lockdown for a couple of hours. The building was struck, but no injuries were reported. Bullets went through the walls of the school office. The lockdown was lifted around 11:15 a.m. Students were released for the day once police determined the area was safe. The school said in a statement that they have no reason to believe the situation was related to the school and at no point were students or staff targeted. </v>
      </c>
      <c r="AA128" s="8"/>
      <c r="AB128" s="8" t="str">
        <f ca="1">IFERROR(__xludf.DUMMYFUNCTION("""COMPUTED_VALUE"""),"Spontaneous")</f>
        <v>Spontaneous</v>
      </c>
      <c r="AC128" s="8" t="str">
        <f ca="1">IFERROR(__xludf.DUMMYFUNCTION("""COMPUTED_VALUE"""),"Yes")</f>
        <v>Yes</v>
      </c>
      <c r="AD128" s="8"/>
      <c r="AE128" s="8"/>
      <c r="AF128" s="8"/>
      <c r="AG128" s="8" t="str">
        <f ca="1">IFERROR(__xludf.DUMMYFUNCTION("""COMPUTED_VALUE"""),"No")</f>
        <v>No</v>
      </c>
      <c r="AH128" s="8" t="str">
        <f ca="1">IFERROR(__xludf.DUMMYFUNCTION("""COMPUTED_VALUE"""),"No")</f>
        <v>No</v>
      </c>
      <c r="AI128" s="8" t="str">
        <f ca="1">IFERROR(__xludf.DUMMYFUNCTION("""COMPUTED_VALUE"""),"No")</f>
        <v>No</v>
      </c>
      <c r="AJ128" s="8" t="str">
        <f ca="1">IFERROR(__xludf.DUMMYFUNCTION("""COMPUTED_VALUE"""),"No")</f>
        <v>No</v>
      </c>
      <c r="AK128" s="8" t="str">
        <f ca="1">IFERROR(__xludf.DUMMYFUNCTION("""COMPUTED_VALUE"""),"No")</f>
        <v>No</v>
      </c>
      <c r="AL128" s="8"/>
      <c r="AM128" s="8" t="str">
        <f ca="1">IFERROR(__xludf.DUMMYFUNCTION("""COMPUTED_VALUE"""),"No")</f>
        <v>No</v>
      </c>
      <c r="AN128" s="8" t="str">
        <f ca="1">IFERROR(__xludf.DUMMYFUNCTION("""COMPUTED_VALUE"""),"Outside")</f>
        <v>Outside</v>
      </c>
      <c r="AO128" s="8" t="str">
        <f ca="1">IFERROR(__xludf.DUMMYFUNCTION("""COMPUTED_VALUE"""),"No")</f>
        <v>No</v>
      </c>
      <c r="AP128" s="8"/>
      <c r="AQ128" s="8"/>
      <c r="AR128" s="8" t="str">
        <f ca="1">IFERROR(__xludf.DUMMYFUNCTION("""COMPUTED_VALUE"""),"Outside/Off-Property")</f>
        <v>Outside/Off-Property</v>
      </c>
      <c r="AS128" s="8">
        <f ca="1">IFERROR(__xludf.DUMMYFUNCTION("""COMPUTED_VALUE"""),99)</f>
        <v>99</v>
      </c>
      <c r="AT128" s="8" t="str">
        <f ca="1">IFERROR(__xludf.DUMMYFUNCTION("""COMPUTED_VALUE"""),"Yes")</f>
        <v>Yes</v>
      </c>
      <c r="AU128" s="8">
        <f ca="1">IFERROR(__xludf.DUMMYFUNCTION("""COMPUTED_VALUE"""),39.959007)</f>
        <v>39.959007</v>
      </c>
      <c r="AV128" s="8">
        <f ca="1">IFERROR(__xludf.DUMMYFUNCTION("""COMPUTED_VALUE"""),-83.034307)</f>
        <v>-83.034306999999998</v>
      </c>
      <c r="AW128" s="8" t="str">
        <f ca="1">IFERROR(__xludf.DUMMYFUNCTION("""COMPUTED_VALUE"""),"Single building indoor hallway")</f>
        <v>Single building indoor hallway</v>
      </c>
      <c r="AX128" s="8">
        <f ca="1">IFERROR(__xludf.DUMMYFUNCTION("""COMPUTED_VALUE"""),43222)</f>
        <v>43222</v>
      </c>
    </row>
    <row r="129" spans="1:50" ht="180" x14ac:dyDescent="0.2">
      <c r="A129" s="8" t="str">
        <f ca="1">IFERROR(__xludf.DUMMYFUNCTION("""COMPUTED_VALUE"""),"20250321NYMSB")</f>
        <v>20250321NYMSB</v>
      </c>
      <c r="B129" s="8">
        <f ca="1">IFERROR(__xludf.DUMMYFUNCTION("""COMPUTED_VALUE"""),3)</f>
        <v>3</v>
      </c>
      <c r="C129" s="8">
        <f ca="1">IFERROR(__xludf.DUMMYFUNCTION("""COMPUTED_VALUE"""),21)</f>
        <v>21</v>
      </c>
      <c r="D129" s="8">
        <f ca="1">IFERROR(__xludf.DUMMYFUNCTION("""COMPUTED_VALUE"""),2025)</f>
        <v>2025</v>
      </c>
      <c r="E129" s="9">
        <f ca="1">IFERROR(__xludf.DUMMYFUNCTION("""COMPUTED_VALUE"""),45737)</f>
        <v>45737</v>
      </c>
      <c r="F129" s="8" t="str">
        <f ca="1">IFERROR(__xludf.DUMMYFUNCTION("""COMPUTED_VALUE"""),"M.S. 301 Paul L. Dunbar")</f>
        <v>M.S. 301 Paul L. Dunbar</v>
      </c>
      <c r="G129" s="8">
        <f ca="1">IFERROR(__xludf.DUMMYFUNCTION("""COMPUTED_VALUE"""),0)</f>
        <v>0</v>
      </c>
      <c r="H129" s="8">
        <f ca="1">IFERROR(__xludf.DUMMYFUNCTION("""COMPUTED_VALUE"""),0)</f>
        <v>0</v>
      </c>
      <c r="I129" s="8">
        <f ca="1">IFERROR(__xludf.DUMMYFUNCTION("""COMPUTED_VALUE"""),0)</f>
        <v>0</v>
      </c>
      <c r="J129" s="8">
        <f ca="1">IFERROR(__xludf.DUMMYFUNCTION("""COMPUTED_VALUE"""),0)</f>
        <v>0</v>
      </c>
      <c r="K129" s="8" t="str">
        <f ca="1">IFERROR(__xludf.DUMMYFUNCTION("""COMPUTED_VALUE"""),"https://abc7ny.com/post/school-bus-carrying-students-special-needs-hit-gunfire-longwood-bronx/16064349/
https://nypost.com/2025/03/22/us-news/nyc-school-bus-carrying-special-needs-students-struck-by-gunfire-sources/")</f>
        <v>https://abc7ny.com/post/school-bus-carrying-students-special-needs-hit-gunfire-longwood-bronx/16064349/
https://nypost.com/2025/03/22/us-news/nyc-school-bus-carrying-special-needs-students-struck-by-gunfire-sources/</v>
      </c>
      <c r="L129" s="8">
        <f ca="1">IFERROR(__xludf.DUMMYFUNCTION("""COMPUTED_VALUE"""),10)</f>
        <v>10</v>
      </c>
      <c r="M129" s="8" t="str">
        <f ca="1">IFERROR(__xludf.DUMMYFUNCTION("""COMPUTED_VALUE"""),"Regional")</f>
        <v>Regional</v>
      </c>
      <c r="N129" s="8">
        <f ca="1">IFERROR(__xludf.DUMMYFUNCTION("""COMPUTED_VALUE"""),4)</f>
        <v>4</v>
      </c>
      <c r="O129" s="8" t="str">
        <f ca="1">IFERROR(__xludf.DUMMYFUNCTION("""COMPUTED_VALUE"""),"Spring")</f>
        <v>Spring</v>
      </c>
      <c r="P129" s="8" t="str">
        <f ca="1">IFERROR(__xludf.DUMMYFUNCTION("""COMPUTED_VALUE"""),"Bronx")</f>
        <v>Bronx</v>
      </c>
      <c r="Q129" s="8" t="str">
        <f ca="1">IFERROR(__xludf.DUMMYFUNCTION("""COMPUTED_VALUE"""),"NY")</f>
        <v>NY</v>
      </c>
      <c r="R129" s="8" t="str">
        <f ca="1">IFERROR(__xludf.DUMMYFUNCTION("""COMPUTED_VALUE"""),"Middle")</f>
        <v>Middle</v>
      </c>
      <c r="S129" s="8" t="str">
        <f ca="1">IFERROR(__xludf.DUMMYFUNCTION("""COMPUTED_VALUE"""),"Playground")</f>
        <v>Playground</v>
      </c>
      <c r="T129" s="8" t="str">
        <f ca="1">IFERROR(__xludf.DUMMYFUNCTION("""COMPUTED_VALUE"""),"Outside on School Property")</f>
        <v>Outside on School Property</v>
      </c>
      <c r="U129" s="8" t="str">
        <f ca="1">IFERROR(__xludf.DUMMYFUNCTION("""COMPUTED_VALUE"""),"Yes")</f>
        <v>Yes</v>
      </c>
      <c r="V129" s="8" t="str">
        <f ca="1">IFERROR(__xludf.DUMMYFUNCTION("""COMPUTED_VALUE"""),"Dismissal")</f>
        <v>Dismissal</v>
      </c>
      <c r="W129" s="11">
        <f ca="1">IFERROR(__xludf.DUMMYFUNCTION("""COMPUTED_VALUE"""),0.597222222222222)</f>
        <v>0.59722222222222199</v>
      </c>
      <c r="X129" s="8">
        <f ca="1">IFERROR(__xludf.DUMMYFUNCTION("""COMPUTED_VALUE"""),1)</f>
        <v>1</v>
      </c>
      <c r="Y129" s="12" t="str">
        <f ca="1">IFERROR(__xludf.DUMMYFUNCTION("""COMPUTED_VALUE"""),"Shots fired near the playground hit an occupied school bus at dismissal")</f>
        <v>Shots fired near the playground hit an occupied school bus at dismissal</v>
      </c>
      <c r="Z129" s="12" t="str">
        <f ca="1">IFERROR(__xludf.DUMMYFUNCTION("""COMPUTED_VALUE"""),"A school bus was hit by gunfire in the Bronx while carrying students with special needs on Friday afternoon. The shooting happened near East 163rd Street and Trinity Avenue in the Longwood section just before 2:20 p.m. The bus was struck at least three ti"&amp;"mes. One bullet struck the back window, and two struck the side of the bus. Police say four suspects, all wearing black, were shooting at each other and the bus got caught in the crossfire. They say the shooting took place near a playground, with a school"&amp;" just down the block. Teachers say the shooting sent the school into lockdown, sheltering nervous students and staff in place for about 30 minutes past dismissal.")</f>
        <v>A school bus was hit by gunfire in the Bronx while carrying students with special needs on Friday afternoon. The shooting happened near East 163rd Street and Trinity Avenue in the Longwood section just before 2:20 p.m. The bus was struck at least three times. One bullet struck the back window, and two struck the side of the bus. Police say four suspects, all wearing black, were shooting at each other and the bus got caught in the crossfire. They say the shooting took place near a playground, with a school just down the block. Teachers say the shooting sent the school into lockdown, sheltering nervous students and staff in place for about 30 minutes past dismissal.</v>
      </c>
      <c r="AA129" s="8"/>
      <c r="AB129" s="8" t="str">
        <f ca="1">IFERROR(__xludf.DUMMYFUNCTION("""COMPUTED_VALUE"""),"Spontaneous")</f>
        <v>Spontaneous</v>
      </c>
      <c r="AC129" s="8" t="str">
        <f ca="1">IFERROR(__xludf.DUMMYFUNCTION("""COMPUTED_VALUE"""),"Yes")</f>
        <v>Yes</v>
      </c>
      <c r="AD129" s="8" t="str">
        <f ca="1">IFERROR(__xludf.DUMMYFUNCTION("""COMPUTED_VALUE"""),"Victims Targeted")</f>
        <v>Victims Targeted</v>
      </c>
      <c r="AE129" s="8" t="str">
        <f ca="1">IFERROR(__xludf.DUMMYFUNCTION("""COMPUTED_VALUE"""),"Yes")</f>
        <v>Yes</v>
      </c>
      <c r="AF129" s="8" t="str">
        <f ca="1">IFERROR(__xludf.DUMMYFUNCTION("""COMPUTED_VALUE"""),"4 men fled")</f>
        <v>4 men fled</v>
      </c>
      <c r="AG129" s="8" t="str">
        <f ca="1">IFERROR(__xludf.DUMMYFUNCTION("""COMPUTED_VALUE"""),"No")</f>
        <v>No</v>
      </c>
      <c r="AH129" s="8" t="str">
        <f ca="1">IFERROR(__xludf.DUMMYFUNCTION("""COMPUTED_VALUE"""),"No")</f>
        <v>No</v>
      </c>
      <c r="AI129" s="8" t="str">
        <f ca="1">IFERROR(__xludf.DUMMYFUNCTION("""COMPUTED_VALUE"""),"No")</f>
        <v>No</v>
      </c>
      <c r="AJ129" s="8" t="str">
        <f ca="1">IFERROR(__xludf.DUMMYFUNCTION("""COMPUTED_VALUE"""),"No")</f>
        <v>No</v>
      </c>
      <c r="AK129" s="8" t="str">
        <f ca="1">IFERROR(__xludf.DUMMYFUNCTION("""COMPUTED_VALUE"""),"No")</f>
        <v>No</v>
      </c>
      <c r="AL129" s="8" t="str">
        <f ca="1">IFERROR(__xludf.DUMMYFUNCTION("""COMPUTED_VALUE"""),"Yes")</f>
        <v>Yes</v>
      </c>
      <c r="AM129" s="8" t="str">
        <f ca="1">IFERROR(__xludf.DUMMYFUNCTION("""COMPUTED_VALUE"""),"No")</f>
        <v>No</v>
      </c>
      <c r="AN129" s="8" t="str">
        <f ca="1">IFERROR(__xludf.DUMMYFUNCTION("""COMPUTED_VALUE"""),"Outside")</f>
        <v>Outside</v>
      </c>
      <c r="AO129" s="8" t="str">
        <f ca="1">IFERROR(__xludf.DUMMYFUNCTION("""COMPUTED_VALUE"""),"No")</f>
        <v>No</v>
      </c>
      <c r="AP129" s="8"/>
      <c r="AQ129" s="8"/>
      <c r="AR129" s="8" t="str">
        <f ca="1">IFERROR(__xludf.DUMMYFUNCTION("""COMPUTED_VALUE"""),"Outside/Off-Property")</f>
        <v>Outside/Off-Property</v>
      </c>
      <c r="AS129" s="8">
        <f ca="1">IFERROR(__xludf.DUMMYFUNCTION("""COMPUTED_VALUE"""),99)</f>
        <v>99</v>
      </c>
      <c r="AT129" s="8" t="str">
        <f ca="1">IFERROR(__xludf.DUMMYFUNCTION("""COMPUTED_VALUE"""),"Yes")</f>
        <v>Yes</v>
      </c>
      <c r="AU129" s="8">
        <f ca="1">IFERROR(__xludf.DUMMYFUNCTION("""COMPUTED_VALUE"""),40.82302)</f>
        <v>40.82302</v>
      </c>
      <c r="AV129" s="8">
        <f ca="1">IFERROR(__xludf.DUMMYFUNCTION("""COMPUTED_VALUE"""),-73.905946)</f>
        <v>-73.905946</v>
      </c>
      <c r="AW129" s="8" t="str">
        <f ca="1">IFERROR(__xludf.DUMMYFUNCTION("""COMPUTED_VALUE"""),"Urban Street Standalone")</f>
        <v>Urban Street Standalone</v>
      </c>
      <c r="AX129" s="8">
        <f ca="1">IFERROR(__xludf.DUMMYFUNCTION("""COMPUTED_VALUE"""),10456)</f>
        <v>10456</v>
      </c>
    </row>
    <row r="130" spans="1:50" ht="180" x14ac:dyDescent="0.2">
      <c r="A130" s="8" t="str">
        <f ca="1">IFERROR(__xludf.DUMMYFUNCTION("""COMPUTED_VALUE"""),"20250320COAND")</f>
        <v>20250320COAND</v>
      </c>
      <c r="B130" s="8">
        <f ca="1">IFERROR(__xludf.DUMMYFUNCTION("""COMPUTED_VALUE"""),3)</f>
        <v>3</v>
      </c>
      <c r="C130" s="8">
        <f ca="1">IFERROR(__xludf.DUMMYFUNCTION("""COMPUTED_VALUE"""),20)</f>
        <v>20</v>
      </c>
      <c r="D130" s="8">
        <f ca="1">IFERROR(__xludf.DUMMYFUNCTION("""COMPUTED_VALUE"""),2025)</f>
        <v>2025</v>
      </c>
      <c r="E130" s="9">
        <f ca="1">IFERROR(__xludf.DUMMYFUNCTION("""COMPUTED_VALUE"""),45736)</f>
        <v>45736</v>
      </c>
      <c r="F130" s="8" t="str">
        <f ca="1">IFERROR(__xludf.DUMMYFUNCTION("""COMPUTED_VALUE"""),"Annunciation Catholic School")</f>
        <v>Annunciation Catholic School</v>
      </c>
      <c r="G130" s="8">
        <f ca="1">IFERROR(__xludf.DUMMYFUNCTION("""COMPUTED_VALUE"""),0)</f>
        <v>0</v>
      </c>
      <c r="H130" s="8">
        <f ca="1">IFERROR(__xludf.DUMMYFUNCTION("""COMPUTED_VALUE"""),0)</f>
        <v>0</v>
      </c>
      <c r="I130" s="8">
        <f ca="1">IFERROR(__xludf.DUMMYFUNCTION("""COMPUTED_VALUE"""),0)</f>
        <v>0</v>
      </c>
      <c r="J130" s="8">
        <f ca="1">IFERROR(__xludf.DUMMYFUNCTION("""COMPUTED_VALUE"""),1)</f>
        <v>1</v>
      </c>
      <c r="K130" s="8" t="str">
        <f ca="1">IFERROR(__xludf.DUMMYFUNCTION("""COMPUTED_VALUE"""),"https://www.cbsnews.com/colorado/news/denver-police-shoot-injure-man-alley-surgery/
https://kdvr.com/news/local/denver-officer-involved-shooting-march-20/")</f>
        <v>https://www.cbsnews.com/colorado/news/denver-police-shoot-injure-man-alley-surgery/
https://kdvr.com/news/local/denver-officer-involved-shooting-march-20/</v>
      </c>
      <c r="L130" s="8">
        <f ca="1">IFERROR(__xludf.DUMMYFUNCTION("""COMPUTED_VALUE"""),8)</f>
        <v>8</v>
      </c>
      <c r="M130" s="8" t="str">
        <f ca="1">IFERROR(__xludf.DUMMYFUNCTION("""COMPUTED_VALUE"""),"Local")</f>
        <v>Local</v>
      </c>
      <c r="N130" s="8">
        <f ca="1">IFERROR(__xludf.DUMMYFUNCTION("""COMPUTED_VALUE"""),4)</f>
        <v>4</v>
      </c>
      <c r="O130" s="8" t="str">
        <f ca="1">IFERROR(__xludf.DUMMYFUNCTION("""COMPUTED_VALUE"""),"Spring")</f>
        <v>Spring</v>
      </c>
      <c r="P130" s="8" t="str">
        <f ca="1">IFERROR(__xludf.DUMMYFUNCTION("""COMPUTED_VALUE"""),"Denver")</f>
        <v>Denver</v>
      </c>
      <c r="Q130" s="8" t="str">
        <f ca="1">IFERROR(__xludf.DUMMYFUNCTION("""COMPUTED_VALUE"""),"CO")</f>
        <v>CO</v>
      </c>
      <c r="R130" s="8" t="str">
        <f ca="1">IFERROR(__xludf.DUMMYFUNCTION("""COMPUTED_VALUE"""),"K-8")</f>
        <v>K-8</v>
      </c>
      <c r="S130" s="8" t="str">
        <f ca="1">IFERROR(__xludf.DUMMYFUNCTION("""COMPUTED_VALUE"""),"Beside Building")</f>
        <v>Beside Building</v>
      </c>
      <c r="T130" s="8" t="str">
        <f ca="1">IFERROR(__xludf.DUMMYFUNCTION("""COMPUTED_VALUE"""),"Outside on School Property")</f>
        <v>Outside on School Property</v>
      </c>
      <c r="U130" s="8" t="str">
        <f ca="1">IFERROR(__xludf.DUMMYFUNCTION("""COMPUTED_VALUE"""),"No")</f>
        <v>No</v>
      </c>
      <c r="V130" s="8" t="str">
        <f ca="1">IFERROR(__xludf.DUMMYFUNCTION("""COMPUTED_VALUE"""),"Evening")</f>
        <v>Evening</v>
      </c>
      <c r="W130" s="11">
        <f ca="1">IFERROR(__xludf.DUMMYFUNCTION("""COMPUTED_VALUE"""),0.763888888888888)</f>
        <v>0.76388888888888795</v>
      </c>
      <c r="X130" s="8">
        <f ca="1">IFERROR(__xludf.DUMMYFUNCTION("""COMPUTED_VALUE"""),1)</f>
        <v>1</v>
      </c>
      <c r="Y130" s="12" t="str">
        <f ca="1">IFERROR(__xludf.DUMMYFUNCTION("""COMPUTED_VALUE"""),"Police shot man with handgun who was threatening people behind the school")</f>
        <v>Police shot man with handgun who was threatening people behind the school</v>
      </c>
      <c r="Z130" s="12" t="str">
        <f ca="1">IFERROR(__xludf.DUMMYFUNCTION("""COMPUTED_VALUE"""),"Police in Denver shot and injured a man in an alley behind a school in the city's North Denver neighborhood on Thursday evening. Emergency calls made to authorities about the man before police responded indicated that he was armed with a gun and possibly "&amp;"was threatening people. Thomas said that when officers arrived the man was issued a number of directions by officers and the man refused to drop a weapon that appears to have been a semi-automatic handgun. That's when an officers -- fearing for their safe"&amp;"ty -- shot him. It's not clear so far how many rounds were fired. Thomas said he doesn't believe the man fired at the officers.")</f>
        <v>Police in Denver shot and injured a man in an alley behind a school in the city's North Denver neighborhood on Thursday evening. Emergency calls made to authorities about the man before police responded indicated that he was armed with a gun and possibly was threatening people. Thomas said that when officers arrived the man was issued a number of directions by officers and the man refused to drop a weapon that appears to have been a semi-automatic handgun. That's when an officers -- fearing for their safety -- shot him. It's not clear so far how many rounds were fired. Thomas said he doesn't believe the man fired at the officers.</v>
      </c>
      <c r="AA130" s="8"/>
      <c r="AB130" s="8"/>
      <c r="AC130" s="8" t="str">
        <f ca="1">IFERROR(__xludf.DUMMYFUNCTION("""COMPUTED_VALUE"""),"No")</f>
        <v>No</v>
      </c>
      <c r="AD130" s="8" t="str">
        <f ca="1">IFERROR(__xludf.DUMMYFUNCTION("""COMPUTED_VALUE"""),"Random Shooting")</f>
        <v>Random Shooting</v>
      </c>
      <c r="AE130" s="8" t="str">
        <f ca="1">IFERROR(__xludf.DUMMYFUNCTION("""COMPUTED_VALUE"""),"No")</f>
        <v>No</v>
      </c>
      <c r="AF130" s="8"/>
      <c r="AG130" s="8" t="str">
        <f ca="1">IFERROR(__xludf.DUMMYFUNCTION("""COMPUTED_VALUE"""),"No")</f>
        <v>No</v>
      </c>
      <c r="AH130" s="8" t="str">
        <f ca="1">IFERROR(__xludf.DUMMYFUNCTION("""COMPUTED_VALUE"""),"No")</f>
        <v>No</v>
      </c>
      <c r="AI130" s="8" t="str">
        <f ca="1">IFERROR(__xludf.DUMMYFUNCTION("""COMPUTED_VALUE"""),"Yes")</f>
        <v>Yes</v>
      </c>
      <c r="AJ130" s="8" t="str">
        <f ca="1">IFERROR(__xludf.DUMMYFUNCTION("""COMPUTED_VALUE"""),"No")</f>
        <v>No</v>
      </c>
      <c r="AK130" s="8" t="str">
        <f ca="1">IFERROR(__xludf.DUMMYFUNCTION("""COMPUTED_VALUE"""),"No")</f>
        <v>No</v>
      </c>
      <c r="AL130" s="8" t="str">
        <f ca="1">IFERROR(__xludf.DUMMYFUNCTION("""COMPUTED_VALUE"""),"No")</f>
        <v>No</v>
      </c>
      <c r="AM130" s="8" t="str">
        <f ca="1">IFERROR(__xludf.DUMMYFUNCTION("""COMPUTED_VALUE"""),"No")</f>
        <v>No</v>
      </c>
      <c r="AN130" s="8" t="str">
        <f ca="1">IFERROR(__xludf.DUMMYFUNCTION("""COMPUTED_VALUE"""),"Outside")</f>
        <v>Outside</v>
      </c>
      <c r="AO130" s="8" t="str">
        <f ca="1">IFERROR(__xludf.DUMMYFUNCTION("""COMPUTED_VALUE"""),"No")</f>
        <v>No</v>
      </c>
      <c r="AP130" s="8"/>
      <c r="AQ130" s="8"/>
      <c r="AR130" s="8" t="str">
        <f ca="1">IFERROR(__xludf.DUMMYFUNCTION("""COMPUTED_VALUE"""),"Outside/Off-Property")</f>
        <v>Outside/Off-Property</v>
      </c>
      <c r="AS130" s="8">
        <f ca="1">IFERROR(__xludf.DUMMYFUNCTION("""COMPUTED_VALUE"""),99)</f>
        <v>99</v>
      </c>
      <c r="AT130" s="8" t="str">
        <f ca="1">IFERROR(__xludf.DUMMYFUNCTION("""COMPUTED_VALUE"""),"No")</f>
        <v>No</v>
      </c>
      <c r="AU130" s="8">
        <f ca="1">IFERROR(__xludf.DUMMYFUNCTION("""COMPUTED_VALUE"""),39.766483)</f>
        <v>39.766483000000001</v>
      </c>
      <c r="AV130" s="8">
        <f ca="1">IFERROR(__xludf.DUMMYFUNCTION("""COMPUTED_VALUE"""),-104.970846)</f>
        <v>-104.97084599999999</v>
      </c>
      <c r="AW130" s="8" t="str">
        <f ca="1">IFERROR(__xludf.DUMMYFUNCTION("""COMPUTED_VALUE"""),"Urban Street Standalone")</f>
        <v>Urban Street Standalone</v>
      </c>
      <c r="AX130" s="8">
        <f ca="1">IFERROR(__xludf.DUMMYFUNCTION("""COMPUTED_VALUE"""),80205)</f>
        <v>80205</v>
      </c>
    </row>
    <row r="131" spans="1:50" ht="150" x14ac:dyDescent="0.2">
      <c r="A131" s="8" t="str">
        <f ca="1">IFERROR(__xludf.DUMMYFUNCTION("""COMPUTED_VALUE"""),"20250319NCCAW")</f>
        <v>20250319NCCAW</v>
      </c>
      <c r="B131" s="8">
        <f ca="1">IFERROR(__xludf.DUMMYFUNCTION("""COMPUTED_VALUE"""),3)</f>
        <v>3</v>
      </c>
      <c r="C131" s="8">
        <f ca="1">IFERROR(__xludf.DUMMYFUNCTION("""COMPUTED_VALUE"""),19)</f>
        <v>19</v>
      </c>
      <c r="D131" s="8">
        <f ca="1">IFERROR(__xludf.DUMMYFUNCTION("""COMPUTED_VALUE"""),2025)</f>
        <v>2025</v>
      </c>
      <c r="E131" s="9">
        <f ca="1">IFERROR(__xludf.DUMMYFUNCTION("""COMPUTED_VALUE"""),45735)</f>
        <v>45735</v>
      </c>
      <c r="F131" s="8" t="str">
        <f ca="1">IFERROR(__xludf.DUMMYFUNCTION("""COMPUTED_VALUE"""),"Carver High School")</f>
        <v>Carver High School</v>
      </c>
      <c r="G131" s="8">
        <f ca="1">IFERROR(__xludf.DUMMYFUNCTION("""COMPUTED_VALUE"""),0)</f>
        <v>0</v>
      </c>
      <c r="H131" s="8">
        <f ca="1">IFERROR(__xludf.DUMMYFUNCTION("""COMPUTED_VALUE"""),0)</f>
        <v>0</v>
      </c>
      <c r="I131" s="8">
        <f ca="1">IFERROR(__xludf.DUMMYFUNCTION("""COMPUTED_VALUE"""),0)</f>
        <v>0</v>
      </c>
      <c r="J131" s="8">
        <f ca="1">IFERROR(__xludf.DUMMYFUNCTION("""COMPUTED_VALUE"""),0)</f>
        <v>0</v>
      </c>
      <c r="K131" s="10" t="str">
        <f ca="1">IFERROR(__xludf.DUMMYFUNCTION("""COMPUTED_VALUE"""),"https://www.wfdd.org/story/arrests-made-after-shots-fired-carver-high-school-last-month
https://myfox8.com/news/north-carolina/piedmont-triad/teen-2-juveniles-charged-after-report-of-shots-fired-at-carver-high-school-in-winston-salem/
https://www.wxii12.c"&amp;"om/article/carver-high-school-shots-fired-baseball-field-wsfcs/64369438")</f>
        <v>https://www.wfdd.org/story/arrests-made-after-shots-fired-carver-high-school-last-month
https://myfox8.com/news/north-carolina/piedmont-triad/teen-2-juveniles-charged-after-report-of-shots-fired-at-carver-high-school-in-winston-salem/
https://www.wxii12.com/article/carver-high-school-shots-fired-baseball-field-wsfcs/64369438</v>
      </c>
      <c r="L131" s="8">
        <f ca="1">IFERROR(__xludf.DUMMYFUNCTION("""COMPUTED_VALUE"""),10)</f>
        <v>10</v>
      </c>
      <c r="M131" s="8" t="str">
        <f ca="1">IFERROR(__xludf.DUMMYFUNCTION("""COMPUTED_VALUE"""),"Regional")</f>
        <v>Regional</v>
      </c>
      <c r="N131" s="8">
        <f ca="1">IFERROR(__xludf.DUMMYFUNCTION("""COMPUTED_VALUE"""),4)</f>
        <v>4</v>
      </c>
      <c r="O131" s="8" t="str">
        <f ca="1">IFERROR(__xludf.DUMMYFUNCTION("""COMPUTED_VALUE"""),"Spring")</f>
        <v>Spring</v>
      </c>
      <c r="P131" s="8" t="str">
        <f ca="1">IFERROR(__xludf.DUMMYFUNCTION("""COMPUTED_VALUE"""),"Winston-Salem")</f>
        <v>Winston-Salem</v>
      </c>
      <c r="Q131" s="8" t="str">
        <f ca="1">IFERROR(__xludf.DUMMYFUNCTION("""COMPUTED_VALUE"""),"NC")</f>
        <v>NC</v>
      </c>
      <c r="R131" s="8" t="str">
        <f ca="1">IFERROR(__xludf.DUMMYFUNCTION("""COMPUTED_VALUE"""),"High")</f>
        <v>High</v>
      </c>
      <c r="S131" s="8" t="str">
        <f ca="1">IFERROR(__xludf.DUMMYFUNCTION("""COMPUTED_VALUE"""),"Field (General)")</f>
        <v>Field (General)</v>
      </c>
      <c r="T131" s="8" t="str">
        <f ca="1">IFERROR(__xludf.DUMMYFUNCTION("""COMPUTED_VALUE"""),"Outside on School Property")</f>
        <v>Outside on School Property</v>
      </c>
      <c r="U131" s="8" t="str">
        <f ca="1">IFERROR(__xludf.DUMMYFUNCTION("""COMPUTED_VALUE"""),"Yes")</f>
        <v>Yes</v>
      </c>
      <c r="V131" s="8" t="str">
        <f ca="1">IFERROR(__xludf.DUMMYFUNCTION("""COMPUTED_VALUE"""),"Morning Classes")</f>
        <v>Morning Classes</v>
      </c>
      <c r="W131" s="11">
        <f ca="1">IFERROR(__xludf.DUMMYFUNCTION("""COMPUTED_VALUE"""),0.458333333333333)</f>
        <v>0.45833333333333298</v>
      </c>
      <c r="X131" s="8">
        <f ca="1">IFERROR(__xludf.DUMMYFUNCTION("""COMPUTED_VALUE"""),1)</f>
        <v>1</v>
      </c>
      <c r="Y131" s="12" t="str">
        <f ca="1">IFERROR(__xludf.DUMMYFUNCTION("""COMPUTED_VALUE"""),"Two students and a former student fired shots during a fight on the baseball field")</f>
        <v>Two students and a former student fired shots during a fight on the baseball field</v>
      </c>
      <c r="Z131" s="12" t="str">
        <f ca="1">IFERROR(__xludf.DUMMYFUNCTION("""COMPUTED_VALUE"""),"Forsyth County Sheriff’s Office deputies have arrested two Carver High School students and a former Winston-Salem/Forsyth County Schools student on assault charges after shots were reportedly fired at CHS students last month. On March 19, two students rep"&amp;"orted they were fired at while on the school baseball field during school hours after an exchange of words with another group of students, according to a FCSO news release. No students were hurt. An investigation was launched that resulted in a teen and t"&amp;"wo juveniles being charged.")</f>
        <v>Forsyth County Sheriff’s Office deputies have arrested two Carver High School students and a former Winston-Salem/Forsyth County Schools student on assault charges after shots were reportedly fired at CHS students last month. On March 19, two students reported they were fired at while on the school baseball field during school hours after an exchange of words with another group of students, according to a FCSO news release. No students were hurt. An investigation was launched that resulted in a teen and two juveniles being charged.</v>
      </c>
      <c r="AA131" s="8" t="str">
        <f ca="1">IFERROR(__xludf.DUMMYFUNCTION("""COMPUTED_VALUE"""),"Escalation of Dispute")</f>
        <v>Escalation of Dispute</v>
      </c>
      <c r="AB131" s="8" t="str">
        <f ca="1">IFERROR(__xludf.DUMMYFUNCTION("""COMPUTED_VALUE"""),"Spontaneous")</f>
        <v>Spontaneous</v>
      </c>
      <c r="AC131" s="8" t="str">
        <f ca="1">IFERROR(__xludf.DUMMYFUNCTION("""COMPUTED_VALUE"""),"Yes")</f>
        <v>Yes</v>
      </c>
      <c r="AD131" s="8" t="str">
        <f ca="1">IFERROR(__xludf.DUMMYFUNCTION("""COMPUTED_VALUE"""),"Victims Targeted")</f>
        <v>Victims Targeted</v>
      </c>
      <c r="AE131" s="8" t="str">
        <f ca="1">IFERROR(__xludf.DUMMYFUNCTION("""COMPUTED_VALUE"""),"Yes")</f>
        <v>Yes</v>
      </c>
      <c r="AF131" s="8" t="str">
        <f ca="1">IFERROR(__xludf.DUMMYFUNCTION("""COMPUTED_VALUE"""),"Two students and former student")</f>
        <v>Two students and former student</v>
      </c>
      <c r="AG131" s="8" t="str">
        <f ca="1">IFERROR(__xludf.DUMMYFUNCTION("""COMPUTED_VALUE"""),"No")</f>
        <v>No</v>
      </c>
      <c r="AH131" s="8" t="str">
        <f ca="1">IFERROR(__xludf.DUMMYFUNCTION("""COMPUTED_VALUE"""),"No")</f>
        <v>No</v>
      </c>
      <c r="AI131" s="8" t="str">
        <f ca="1">IFERROR(__xludf.DUMMYFUNCTION("""COMPUTED_VALUE"""),"No")</f>
        <v>No</v>
      </c>
      <c r="AJ131" s="8" t="str">
        <f ca="1">IFERROR(__xludf.DUMMYFUNCTION("""COMPUTED_VALUE"""),"No")</f>
        <v>No</v>
      </c>
      <c r="AK131" s="8" t="str">
        <f ca="1">IFERROR(__xludf.DUMMYFUNCTION("""COMPUTED_VALUE"""),"No")</f>
        <v>No</v>
      </c>
      <c r="AL131" s="8"/>
      <c r="AM131" s="8" t="str">
        <f ca="1">IFERROR(__xludf.DUMMYFUNCTION("""COMPUTED_VALUE"""),"No")</f>
        <v>No</v>
      </c>
      <c r="AN131" s="8" t="str">
        <f ca="1">IFERROR(__xludf.DUMMYFUNCTION("""COMPUTED_VALUE"""),"Outside")</f>
        <v>Outside</v>
      </c>
      <c r="AO131" s="8" t="str">
        <f ca="1">IFERROR(__xludf.DUMMYFUNCTION("""COMPUTED_VALUE"""),"No")</f>
        <v>No</v>
      </c>
      <c r="AP131" s="8" t="str">
        <f ca="1">IFERROR(__xludf.DUMMYFUNCTION("""COMPUTED_VALUE"""),"Yes")</f>
        <v>Yes</v>
      </c>
      <c r="AQ131" s="8" t="str">
        <f ca="1">IFERROR(__xludf.DUMMYFUNCTION("""COMPUTED_VALUE"""),"Armed Guards")</f>
        <v>Armed Guards</v>
      </c>
      <c r="AR131" s="8" t="str">
        <f ca="1">IFERROR(__xludf.DUMMYFUNCTION("""COMPUTED_VALUE"""),"Failed")</f>
        <v>Failed</v>
      </c>
      <c r="AS131" s="8">
        <f ca="1">IFERROR(__xludf.DUMMYFUNCTION("""COMPUTED_VALUE"""),99)</f>
        <v>99</v>
      </c>
      <c r="AT131" s="8" t="str">
        <f ca="1">IFERROR(__xludf.DUMMYFUNCTION("""COMPUTED_VALUE"""),"No")</f>
        <v>No</v>
      </c>
      <c r="AU131" s="8">
        <f ca="1">IFERROR(__xludf.DUMMYFUNCTION("""COMPUTED_VALUE"""),36.134072)</f>
        <v>36.134072000000003</v>
      </c>
      <c r="AV131" s="8">
        <f ca="1">IFERROR(__xludf.DUMMYFUNCTION("""COMPUTED_VALUE"""),-80.207247)</f>
        <v>-80.207246999999995</v>
      </c>
      <c r="AW131" s="8" t="str">
        <f ca="1">IFERROR(__xludf.DUMMYFUNCTION("""COMPUTED_VALUE"""),"Multiple attached buildings")</f>
        <v>Multiple attached buildings</v>
      </c>
      <c r="AX131" s="8">
        <f ca="1">IFERROR(__xludf.DUMMYFUNCTION("""COMPUTED_VALUE"""),27105)</f>
        <v>27105</v>
      </c>
    </row>
    <row r="132" spans="1:50" ht="60" x14ac:dyDescent="0.2">
      <c r="A132" s="8" t="str">
        <f ca="1">IFERROR(__xludf.DUMMYFUNCTION("""COMPUTED_VALUE"""),"20250318PASTH")</f>
        <v>20250318PASTH</v>
      </c>
      <c r="B132" s="8">
        <f ca="1">IFERROR(__xludf.DUMMYFUNCTION("""COMPUTED_VALUE"""),3)</f>
        <v>3</v>
      </c>
      <c r="C132" s="8">
        <f ca="1">IFERROR(__xludf.DUMMYFUNCTION("""COMPUTED_VALUE"""),18)</f>
        <v>18</v>
      </c>
      <c r="D132" s="8">
        <f ca="1">IFERROR(__xludf.DUMMYFUNCTION("""COMPUTED_VALUE"""),2025)</f>
        <v>2025</v>
      </c>
      <c r="E132" s="9">
        <f ca="1">IFERROR(__xludf.DUMMYFUNCTION("""COMPUTED_VALUE"""),45734)</f>
        <v>45734</v>
      </c>
      <c r="F132" s="8" t="str">
        <f ca="1">IFERROR(__xludf.DUMMYFUNCTION("""COMPUTED_VALUE"""),"Steele Elementary School")</f>
        <v>Steele Elementary School</v>
      </c>
      <c r="G132" s="8">
        <f ca="1">IFERROR(__xludf.DUMMYFUNCTION("""COMPUTED_VALUE"""),0)</f>
        <v>0</v>
      </c>
      <c r="H132" s="8">
        <f ca="1">IFERROR(__xludf.DUMMYFUNCTION("""COMPUTED_VALUE"""),0)</f>
        <v>0</v>
      </c>
      <c r="I132" s="8">
        <f ca="1">IFERROR(__xludf.DUMMYFUNCTION("""COMPUTED_VALUE"""),0)</f>
        <v>0</v>
      </c>
      <c r="J132" s="8">
        <f ca="1">IFERROR(__xludf.DUMMYFUNCTION("""COMPUTED_VALUE"""),0)</f>
        <v>0</v>
      </c>
      <c r="K132" s="8" t="str">
        <f ca="1">IFERROR(__xludf.DUMMYFUNCTION("""COMPUTED_VALUE"""),"https://www.wgal.com/article/shots-fired-steele-elementary-school-harrisburg/64226846
https://local21news.com/news/local/shots-fired-outside-of-steele-elementary-school-police-investigating-dispatchers
https://www.pennlive.com/crime/2025/03/teen-charged-w"&amp;"ith-shooting-outside-harrisburg-elementary-school.html")</f>
        <v>https://www.wgal.com/article/shots-fired-steele-elementary-school-harrisburg/64226846
https://local21news.com/news/local/shots-fired-outside-of-steele-elementary-school-police-investigating-dispatchers
https://www.pennlive.com/crime/2025/03/teen-charged-with-shooting-outside-harrisburg-elementary-school.html</v>
      </c>
      <c r="L132" s="8">
        <f ca="1">IFERROR(__xludf.DUMMYFUNCTION("""COMPUTED_VALUE"""),4)</f>
        <v>4</v>
      </c>
      <c r="M132" s="8" t="str">
        <f ca="1">IFERROR(__xludf.DUMMYFUNCTION("""COMPUTED_VALUE"""),"Local")</f>
        <v>Local</v>
      </c>
      <c r="N132" s="8">
        <f ca="1">IFERROR(__xludf.DUMMYFUNCTION("""COMPUTED_VALUE"""),4)</f>
        <v>4</v>
      </c>
      <c r="O132" s="8" t="str">
        <f ca="1">IFERROR(__xludf.DUMMYFUNCTION("""COMPUTED_VALUE"""),"Spring")</f>
        <v>Spring</v>
      </c>
      <c r="P132" s="8" t="str">
        <f ca="1">IFERROR(__xludf.DUMMYFUNCTION("""COMPUTED_VALUE"""),"Harrisburg")</f>
        <v>Harrisburg</v>
      </c>
      <c r="Q132" s="8" t="str">
        <f ca="1">IFERROR(__xludf.DUMMYFUNCTION("""COMPUTED_VALUE"""),"PA")</f>
        <v>PA</v>
      </c>
      <c r="R132" s="8" t="str">
        <f ca="1">IFERROR(__xludf.DUMMYFUNCTION("""COMPUTED_VALUE"""),"Elementary")</f>
        <v>Elementary</v>
      </c>
      <c r="S132" s="8" t="str">
        <f ca="1">IFERROR(__xludf.DUMMYFUNCTION("""COMPUTED_VALUE"""),"Parking Lot")</f>
        <v>Parking Lot</v>
      </c>
      <c r="T132" s="8" t="str">
        <f ca="1">IFERROR(__xludf.DUMMYFUNCTION("""COMPUTED_VALUE"""),"Outside on School Property")</f>
        <v>Outside on School Property</v>
      </c>
      <c r="U132" s="8" t="str">
        <f ca="1">IFERROR(__xludf.DUMMYFUNCTION("""COMPUTED_VALUE"""),"No")</f>
        <v>No</v>
      </c>
      <c r="V132" s="8" t="str">
        <f ca="1">IFERROR(__xludf.DUMMYFUNCTION("""COMPUTED_VALUE"""),"Evening")</f>
        <v>Evening</v>
      </c>
      <c r="W132" s="11">
        <f ca="1">IFERROR(__xludf.DUMMYFUNCTION("""COMPUTED_VALUE"""),0.755555555555555)</f>
        <v>0.75555555555555498</v>
      </c>
      <c r="X132" s="8">
        <f ca="1">IFERROR(__xludf.DUMMYFUNCTION("""COMPUTED_VALUE"""),1)</f>
        <v>1</v>
      </c>
      <c r="Y132" s="12" t="str">
        <f ca="1">IFERROR(__xludf.DUMMYFUNCTION("""COMPUTED_VALUE"""),"Shots fired outside the school, after school activities went on lockdown")</f>
        <v>Shots fired outside the school, after school activities went on lockdown</v>
      </c>
      <c r="Z132" s="12" t="str">
        <f ca="1">IFERROR(__xludf.DUMMYFUNCTION("""COMPUTED_VALUE"""),"Police responded for a shooting in the parking lot outside the school. Students and staff on campus for after school activities when on lockdown. No injuries. Shooter fled.")</f>
        <v>Police responded for a shooting in the parking lot outside the school. Students and staff on campus for after school activities when on lockdown. No injuries. Shooter fled.</v>
      </c>
      <c r="AA132" s="8"/>
      <c r="AB132" s="8"/>
      <c r="AC132" s="8" t="str">
        <f ca="1">IFERROR(__xludf.DUMMYFUNCTION("""COMPUTED_VALUE"""),"Yes")</f>
        <v>Yes</v>
      </c>
      <c r="AD132" s="8"/>
      <c r="AE132" s="8"/>
      <c r="AF132" s="8"/>
      <c r="AG132" s="8" t="str">
        <f ca="1">IFERROR(__xludf.DUMMYFUNCTION("""COMPUTED_VALUE"""),"No")</f>
        <v>No</v>
      </c>
      <c r="AH132" s="8" t="str">
        <f ca="1">IFERROR(__xludf.DUMMYFUNCTION("""COMPUTED_VALUE"""),"No")</f>
        <v>No</v>
      </c>
      <c r="AI132" s="8" t="str">
        <f ca="1">IFERROR(__xludf.DUMMYFUNCTION("""COMPUTED_VALUE"""),"No")</f>
        <v>No</v>
      </c>
      <c r="AJ132" s="8" t="str">
        <f ca="1">IFERROR(__xludf.DUMMYFUNCTION("""COMPUTED_VALUE"""),"No")</f>
        <v>No</v>
      </c>
      <c r="AK132" s="8" t="str">
        <f ca="1">IFERROR(__xludf.DUMMYFUNCTION("""COMPUTED_VALUE"""),"No")</f>
        <v>No</v>
      </c>
      <c r="AL132" s="8"/>
      <c r="AM132" s="8" t="str">
        <f ca="1">IFERROR(__xludf.DUMMYFUNCTION("""COMPUTED_VALUE"""),"No")</f>
        <v>No</v>
      </c>
      <c r="AN132" s="8" t="str">
        <f ca="1">IFERROR(__xludf.DUMMYFUNCTION("""COMPUTED_VALUE"""),"Outside")</f>
        <v>Outside</v>
      </c>
      <c r="AO132" s="8" t="str">
        <f ca="1">IFERROR(__xludf.DUMMYFUNCTION("""COMPUTED_VALUE"""),"No")</f>
        <v>No</v>
      </c>
      <c r="AP132" s="8"/>
      <c r="AQ132" s="8"/>
      <c r="AR132" s="8" t="str">
        <f ca="1">IFERROR(__xludf.DUMMYFUNCTION("""COMPUTED_VALUE"""),"Outside/Off-Property")</f>
        <v>Outside/Off-Property</v>
      </c>
      <c r="AS132" s="8">
        <f ca="1">IFERROR(__xludf.DUMMYFUNCTION("""COMPUTED_VALUE"""),99)</f>
        <v>99</v>
      </c>
      <c r="AT132" s="8" t="str">
        <f ca="1">IFERROR(__xludf.DUMMYFUNCTION("""COMPUTED_VALUE"""),"Yes")</f>
        <v>Yes</v>
      </c>
      <c r="AU132" s="8">
        <f ca="1">IFERROR(__xludf.DUMMYFUNCTION("""COMPUTED_VALUE"""),40.287702)</f>
        <v>40.287702000000003</v>
      </c>
      <c r="AV132" s="8">
        <f ca="1">IFERROR(__xludf.DUMMYFUNCTION("""COMPUTED_VALUE"""),-76.895985)</f>
        <v>-76.895984999999996</v>
      </c>
      <c r="AW132" s="8" t="str">
        <f ca="1">IFERROR(__xludf.DUMMYFUNCTION("""COMPUTED_VALUE"""),"Single building indoor hallway")</f>
        <v>Single building indoor hallway</v>
      </c>
      <c r="AX132" s="8">
        <f ca="1">IFERROR(__xludf.DUMMYFUNCTION("""COMPUTED_VALUE"""),17102)</f>
        <v>17102</v>
      </c>
    </row>
    <row r="133" spans="1:50" ht="45" x14ac:dyDescent="0.2">
      <c r="A133" s="8" t="str">
        <f ca="1">IFERROR(__xludf.DUMMYFUNCTION("""COMPUTED_VALUE"""),"20250316TXGAG")</f>
        <v>20250316TXGAG</v>
      </c>
      <c r="B133" s="8">
        <f ca="1">IFERROR(__xludf.DUMMYFUNCTION("""COMPUTED_VALUE"""),3)</f>
        <v>3</v>
      </c>
      <c r="C133" s="8">
        <f ca="1">IFERROR(__xludf.DUMMYFUNCTION("""COMPUTED_VALUE"""),16)</f>
        <v>16</v>
      </c>
      <c r="D133" s="8">
        <f ca="1">IFERROR(__xludf.DUMMYFUNCTION("""COMPUTED_VALUE"""),2025)</f>
        <v>2025</v>
      </c>
      <c r="E133" s="9">
        <f ca="1">IFERROR(__xludf.DUMMYFUNCTION("""COMPUTED_VALUE"""),45732)</f>
        <v>45732</v>
      </c>
      <c r="F133" s="8" t="str">
        <f ca="1">IFERROR(__xludf.DUMMYFUNCTION("""COMPUTED_VALUE"""),"Galena Park High School")</f>
        <v>Galena Park High School</v>
      </c>
      <c r="G133" s="8">
        <f ca="1">IFERROR(__xludf.DUMMYFUNCTION("""COMPUTED_VALUE"""),1)</f>
        <v>1</v>
      </c>
      <c r="H133" s="8">
        <f ca="1">IFERROR(__xludf.DUMMYFUNCTION("""COMPUTED_VALUE"""),0)</f>
        <v>0</v>
      </c>
      <c r="I133" s="8">
        <f ca="1">IFERROR(__xludf.DUMMYFUNCTION("""COMPUTED_VALUE"""),1)</f>
        <v>1</v>
      </c>
      <c r="J133" s="8">
        <f ca="1">IFERROR(__xludf.DUMMYFUNCTION("""COMPUTED_VALUE"""),0)</f>
        <v>0</v>
      </c>
      <c r="K133" s="10" t="str">
        <f ca="1">IFERROR(__xludf.DUMMYFUNCTION("""COMPUTED_VALUE"""),"https://www.khou.com/article/news/local/galena-park-teen-shot/285-19f32ba5-13ec-454b-937f-9bf388e8687d
https://www.click2houston.com/news/local/2025/03/17/teen-shot-to-death-in-galena-park-person-of-interest-arrested/")</f>
        <v>https://www.khou.com/article/news/local/galena-park-teen-shot/285-19f32ba5-13ec-454b-937f-9bf388e8687d
https://www.click2houston.com/news/local/2025/03/17/teen-shot-to-death-in-galena-park-person-of-interest-arrested/</v>
      </c>
      <c r="L133" s="8">
        <f ca="1">IFERROR(__xludf.DUMMYFUNCTION("""COMPUTED_VALUE"""),5)</f>
        <v>5</v>
      </c>
      <c r="M133" s="8" t="str">
        <f ca="1">IFERROR(__xludf.DUMMYFUNCTION("""COMPUTED_VALUE"""),"Local")</f>
        <v>Local</v>
      </c>
      <c r="N133" s="8">
        <f ca="1">IFERROR(__xludf.DUMMYFUNCTION("""COMPUTED_VALUE"""),4)</f>
        <v>4</v>
      </c>
      <c r="O133" s="8" t="str">
        <f ca="1">IFERROR(__xludf.DUMMYFUNCTION("""COMPUTED_VALUE"""),"Spring")</f>
        <v>Spring</v>
      </c>
      <c r="P133" s="8" t="str">
        <f ca="1">IFERROR(__xludf.DUMMYFUNCTION("""COMPUTED_VALUE"""),"Galena Park")</f>
        <v>Galena Park</v>
      </c>
      <c r="Q133" s="8" t="str">
        <f ca="1">IFERROR(__xludf.DUMMYFUNCTION("""COMPUTED_VALUE"""),"TX")</f>
        <v>TX</v>
      </c>
      <c r="R133" s="8" t="str">
        <f ca="1">IFERROR(__xludf.DUMMYFUNCTION("""COMPUTED_VALUE"""),"High")</f>
        <v>High</v>
      </c>
      <c r="S133" s="8" t="str">
        <f ca="1">IFERROR(__xludf.DUMMYFUNCTION("""COMPUTED_VALUE"""),"Basketball Court")</f>
        <v>Basketball Court</v>
      </c>
      <c r="T133" s="8" t="str">
        <f ca="1">IFERROR(__xludf.DUMMYFUNCTION("""COMPUTED_VALUE"""),"Outside on School Property")</f>
        <v>Outside on School Property</v>
      </c>
      <c r="U133" s="8" t="str">
        <f ca="1">IFERROR(__xludf.DUMMYFUNCTION("""COMPUTED_VALUE"""),"No")</f>
        <v>No</v>
      </c>
      <c r="V133" s="8" t="str">
        <f ca="1">IFERROR(__xludf.DUMMYFUNCTION("""COMPUTED_VALUE"""),"Evening")</f>
        <v>Evening</v>
      </c>
      <c r="W133" s="11">
        <f ca="1">IFERROR(__xludf.DUMMYFUNCTION("""COMPUTED_VALUE"""),0.791666666666666)</f>
        <v>0.79166666666666596</v>
      </c>
      <c r="X133" s="8">
        <f ca="1">IFERROR(__xludf.DUMMYFUNCTION("""COMPUTED_VALUE"""),1)</f>
        <v>1</v>
      </c>
      <c r="Y133" s="12" t="str">
        <f ca="1">IFERROR(__xludf.DUMMYFUNCTION("""COMPUTED_VALUE"""),"16-year-old fatally shot near the basketball court")</f>
        <v>16-year-old fatally shot near the basketball court</v>
      </c>
      <c r="Z133" s="12" t="str">
        <f ca="1">IFERROR(__xludf.DUMMYFUNCTION("""COMPUTED_VALUE"""),"16-year-old was fatally shot near the basketball court. Shooter fled before police arrived. ")</f>
        <v xml:space="preserve">16-year-old was fatally shot near the basketball court. Shooter fled before police arrived. </v>
      </c>
      <c r="AA133" s="8"/>
      <c r="AB133" s="8"/>
      <c r="AC133" s="8" t="str">
        <f ca="1">IFERROR(__xludf.DUMMYFUNCTION("""COMPUTED_VALUE"""),"Yes")</f>
        <v>Yes</v>
      </c>
      <c r="AD133" s="8"/>
      <c r="AE133" s="8"/>
      <c r="AF133" s="8"/>
      <c r="AG133" s="8" t="str">
        <f ca="1">IFERROR(__xludf.DUMMYFUNCTION("""COMPUTED_VALUE"""),"No")</f>
        <v>No</v>
      </c>
      <c r="AH133" s="8" t="str">
        <f ca="1">IFERROR(__xludf.DUMMYFUNCTION("""COMPUTED_VALUE"""),"No")</f>
        <v>No</v>
      </c>
      <c r="AI133" s="8" t="str">
        <f ca="1">IFERROR(__xludf.DUMMYFUNCTION("""COMPUTED_VALUE"""),"No")</f>
        <v>No</v>
      </c>
      <c r="AJ133" s="8" t="str">
        <f ca="1">IFERROR(__xludf.DUMMYFUNCTION("""COMPUTED_VALUE"""),"No")</f>
        <v>No</v>
      </c>
      <c r="AK133" s="8" t="str">
        <f ca="1">IFERROR(__xludf.DUMMYFUNCTION("""COMPUTED_VALUE"""),"No")</f>
        <v>No</v>
      </c>
      <c r="AL133" s="8" t="str">
        <f ca="1">IFERROR(__xludf.DUMMYFUNCTION("""COMPUTED_VALUE"""),"No")</f>
        <v>No</v>
      </c>
      <c r="AM133" s="8" t="str">
        <f ca="1">IFERROR(__xludf.DUMMYFUNCTION("""COMPUTED_VALUE"""),"No")</f>
        <v>No</v>
      </c>
      <c r="AN133" s="8" t="str">
        <f ca="1">IFERROR(__xludf.DUMMYFUNCTION("""COMPUTED_VALUE"""),"Outside")</f>
        <v>Outside</v>
      </c>
      <c r="AO133" s="8" t="str">
        <f ca="1">IFERROR(__xludf.DUMMYFUNCTION("""COMPUTED_VALUE"""),"No")</f>
        <v>No</v>
      </c>
      <c r="AP133" s="8"/>
      <c r="AQ133" s="8"/>
      <c r="AR133" s="8" t="str">
        <f ca="1">IFERROR(__xludf.DUMMYFUNCTION("""COMPUTED_VALUE"""),"Outside/Off-Property")</f>
        <v>Outside/Off-Property</v>
      </c>
      <c r="AS133" s="8">
        <f ca="1">IFERROR(__xludf.DUMMYFUNCTION("""COMPUTED_VALUE"""),99)</f>
        <v>99</v>
      </c>
      <c r="AT133" s="8" t="str">
        <f ca="1">IFERROR(__xludf.DUMMYFUNCTION("""COMPUTED_VALUE"""),"No")</f>
        <v>No</v>
      </c>
      <c r="AU133" s="8">
        <f ca="1">IFERROR(__xludf.DUMMYFUNCTION("""COMPUTED_VALUE"""),29.741121)</f>
        <v>29.741121</v>
      </c>
      <c r="AV133" s="8">
        <f ca="1">IFERROR(__xludf.DUMMYFUNCTION("""COMPUTED_VALUE"""),-95.237353)</f>
        <v>-95.237352999999999</v>
      </c>
      <c r="AW133" s="8" t="str">
        <f ca="1">IFERROR(__xludf.DUMMYFUNCTION("""COMPUTED_VALUE"""),"Multiple detached buildings")</f>
        <v>Multiple detached buildings</v>
      </c>
      <c r="AX133" s="8">
        <f ca="1">IFERROR(__xludf.DUMMYFUNCTION("""COMPUTED_VALUE"""),77547)</f>
        <v>77547</v>
      </c>
    </row>
    <row r="134" spans="1:50" ht="285" x14ac:dyDescent="0.2">
      <c r="A134" s="8" t="str">
        <f ca="1">IFERROR(__xludf.DUMMYFUNCTION("""COMPUTED_VALUE"""),"20250313GAGLA")</f>
        <v>20250313GAGLA</v>
      </c>
      <c r="B134" s="8">
        <f ca="1">IFERROR(__xludf.DUMMYFUNCTION("""COMPUTED_VALUE"""),3)</f>
        <v>3</v>
      </c>
      <c r="C134" s="8">
        <f ca="1">IFERROR(__xludf.DUMMYFUNCTION("""COMPUTED_VALUE"""),13)</f>
        <v>13</v>
      </c>
      <c r="D134" s="8">
        <f ca="1">IFERROR(__xludf.DUMMYFUNCTION("""COMPUTED_VALUE"""),2025)</f>
        <v>2025</v>
      </c>
      <c r="E134" s="9">
        <f ca="1">IFERROR(__xludf.DUMMYFUNCTION("""COMPUTED_VALUE"""),45729)</f>
        <v>45729</v>
      </c>
      <c r="F134" s="8" t="str">
        <f ca="1">IFERROR(__xludf.DUMMYFUNCTION("""COMPUTED_VALUE"""),"Glenn Hills Middle School")</f>
        <v>Glenn Hills Middle School</v>
      </c>
      <c r="G134" s="8">
        <f ca="1">IFERROR(__xludf.DUMMYFUNCTION("""COMPUTED_VALUE"""),0)</f>
        <v>0</v>
      </c>
      <c r="H134" s="8">
        <f ca="1">IFERROR(__xludf.DUMMYFUNCTION("""COMPUTED_VALUE"""),0)</f>
        <v>0</v>
      </c>
      <c r="I134" s="8">
        <f ca="1">IFERROR(__xludf.DUMMYFUNCTION("""COMPUTED_VALUE"""),0)</f>
        <v>0</v>
      </c>
      <c r="J134" s="8">
        <f ca="1">IFERROR(__xludf.DUMMYFUNCTION("""COMPUTED_VALUE"""),1)</f>
        <v>1</v>
      </c>
      <c r="K134" s="8" t="str">
        <f ca="1">IFERROR(__xludf.DUMMYFUNCTION("""COMPUTED_VALUE"""),"https://www.police1.com/officer-shootings/bwc-man-toting-gun-in-front-of-middle-school-points-it-at-ga-officer-before-ois
https://www.wrdw.com/2025/03/13/deputy-shoots-suspect-front-glenn-hills-middle-school/
https://www.wjbf.com/csra-news/rcso-investigat"&amp;"ing-officer-involved-shooting-in-front-of-glenn-hills-middle/
https://theaugustapress.com/rcso-deputy-shoots-armed-suspect-near-middle-school-after-domestic-call/")</f>
        <v>https://www.police1.com/officer-shootings/bwc-man-toting-gun-in-front-of-middle-school-points-it-at-ga-officer-before-ois
https://www.wrdw.com/2025/03/13/deputy-shoots-suspect-front-glenn-hills-middle-school/
https://www.wjbf.com/csra-news/rcso-investigating-officer-involved-shooting-in-front-of-glenn-hills-middle/
https://theaugustapress.com/rcso-deputy-shoots-armed-suspect-near-middle-school-after-domestic-call/</v>
      </c>
      <c r="L134" s="8">
        <f ca="1">IFERROR(__xludf.DUMMYFUNCTION("""COMPUTED_VALUE"""),8)</f>
        <v>8</v>
      </c>
      <c r="M134" s="8" t="str">
        <f ca="1">IFERROR(__xludf.DUMMYFUNCTION("""COMPUTED_VALUE"""),"Regional")</f>
        <v>Regional</v>
      </c>
      <c r="N134" s="8">
        <f ca="1">IFERROR(__xludf.DUMMYFUNCTION("""COMPUTED_VALUE"""),4)</f>
        <v>4</v>
      </c>
      <c r="O134" s="8" t="str">
        <f ca="1">IFERROR(__xludf.DUMMYFUNCTION("""COMPUTED_VALUE"""),"Spring")</f>
        <v>Spring</v>
      </c>
      <c r="P134" s="8" t="str">
        <f ca="1">IFERROR(__xludf.DUMMYFUNCTION("""COMPUTED_VALUE"""),"Augusta")</f>
        <v>Augusta</v>
      </c>
      <c r="Q134" s="8" t="str">
        <f ca="1">IFERROR(__xludf.DUMMYFUNCTION("""COMPUTED_VALUE"""),"GA")</f>
        <v>GA</v>
      </c>
      <c r="R134" s="8" t="str">
        <f ca="1">IFERROR(__xludf.DUMMYFUNCTION("""COMPUTED_VALUE"""),"Middle")</f>
        <v>Middle</v>
      </c>
      <c r="S134" s="8" t="str">
        <f ca="1">IFERROR(__xludf.DUMMYFUNCTION("""COMPUTED_VALUE"""),"Front of School")</f>
        <v>Front of School</v>
      </c>
      <c r="T134" s="8" t="str">
        <f ca="1">IFERROR(__xludf.DUMMYFUNCTION("""COMPUTED_VALUE"""),"Off School Property")</f>
        <v>Off School Property</v>
      </c>
      <c r="U134" s="8" t="str">
        <f ca="1">IFERROR(__xludf.DUMMYFUNCTION("""COMPUTED_VALUE"""),"Yes")</f>
        <v>Yes</v>
      </c>
      <c r="V134" s="8" t="str">
        <f ca="1">IFERROR(__xludf.DUMMYFUNCTION("""COMPUTED_VALUE"""),"Afternoon Classes")</f>
        <v>Afternoon Classes</v>
      </c>
      <c r="W134" s="11">
        <f ca="1">IFERROR(__xludf.DUMMYFUNCTION("""COMPUTED_VALUE"""),0.545833333333333)</f>
        <v>0.54583333333333295</v>
      </c>
      <c r="X134" s="8">
        <f ca="1">IFERROR(__xludf.DUMMYFUNCTION("""COMPUTED_VALUE"""),1)</f>
        <v>1</v>
      </c>
      <c r="Y134" s="12" t="str">
        <f ca="1">IFERROR(__xludf.DUMMYFUNCTION("""COMPUTED_VALUE"""),"Man took woman's gun during domestic dispute, shot by police on the street in front of the school, school went on 4 hour lockdown")</f>
        <v>Man took woman's gun during domestic dispute, shot by police on the street in front of the school, school went on 4 hour lockdown</v>
      </c>
      <c r="Z134" s="12" t="str">
        <f ca="1">IFERROR(__xludf.DUMMYFUNCTION("""COMPUTED_VALUE"""),"At approximately 1:06 p.m., Richmond County Sheriff’s deputies responded to a call about a domestic dispute at a residence on Primrose Drive, according to a RCSO statement. Upon arrival, deputies spoke with a female complainant who reported that a man she"&amp;" knew had stolen her firearm and left the home prior to the deputies’ arrival. Minutes later, a deputy located the suspect near 2941 Glenn Hills Drive, in front of Glenn Hills Middle School, based on the description provided by the complainant. When the d"&amp;"eputy attempted to make contact, the suspect allegedly pulled a firearm from his waistband, prompting the deputy to fire his weapon, the RCSO statement says. The suspect was struck and immediately transported to Doctors Hospital in critical condition. Pri"&amp;"ncipal Marvin Washington of Glenn Hills Middle School told parents about the shooting. He said they reacted by to the off-campus shooting by limiting class transitions and suspending outdoor movement. The school eventually resumed a normal schedule with a"&amp;"dditional support from RCSS Police for the remainder of the day.")</f>
        <v>At approximately 1:06 p.m., Richmond County Sheriff’s deputies responded to a call about a domestic dispute at a residence on Primrose Drive, according to a RCSO statement. Upon arrival, deputies spoke with a female complainant who reported that a man she knew had stolen her firearm and left the home prior to the deputies’ arrival. Minutes later, a deputy located the suspect near 2941 Glenn Hills Drive, in front of Glenn Hills Middle School, based on the description provided by the complainant. When the deputy attempted to make contact, the suspect allegedly pulled a firearm from his waistband, prompting the deputy to fire his weapon, the RCSO statement says. The suspect was struck and immediately transported to Doctors Hospital in critical condition. Principal Marvin Washington of Glenn Hills Middle School told parents about the shooting. He said they reacted by to the off-campus shooting by limiting class transitions and suspending outdoor movement. The school eventually resumed a normal schedule with additional support from RCSS Police for the remainder of the day.</v>
      </c>
      <c r="AA134" s="8" t="str">
        <f ca="1">IFERROR(__xludf.DUMMYFUNCTION("""COMPUTED_VALUE"""),"Domestic w/ Targeted Victim")</f>
        <v>Domestic w/ Targeted Victim</v>
      </c>
      <c r="AB134" s="8"/>
      <c r="AC134" s="8" t="str">
        <f ca="1">IFERROR(__xludf.DUMMYFUNCTION("""COMPUTED_VALUE"""),"Yes")</f>
        <v>Yes</v>
      </c>
      <c r="AD134" s="8" t="str">
        <f ca="1">IFERROR(__xludf.DUMMYFUNCTION("""COMPUTED_VALUE"""),"Victims Targeted")</f>
        <v>Victims Targeted</v>
      </c>
      <c r="AE134" s="8" t="str">
        <f ca="1">IFERROR(__xludf.DUMMYFUNCTION("""COMPUTED_VALUE"""),"No")</f>
        <v>No</v>
      </c>
      <c r="AF134" s="8"/>
      <c r="AG134" s="8" t="str">
        <f ca="1">IFERROR(__xludf.DUMMYFUNCTION("""COMPUTED_VALUE"""),"No")</f>
        <v>No</v>
      </c>
      <c r="AH134" s="8" t="str">
        <f ca="1">IFERROR(__xludf.DUMMYFUNCTION("""COMPUTED_VALUE"""),"No")</f>
        <v>No</v>
      </c>
      <c r="AI134" s="8" t="str">
        <f ca="1">IFERROR(__xludf.DUMMYFUNCTION("""COMPUTED_VALUE"""),"No")</f>
        <v>No</v>
      </c>
      <c r="AJ134" s="8" t="str">
        <f ca="1">IFERROR(__xludf.DUMMYFUNCTION("""COMPUTED_VALUE"""),"No")</f>
        <v>No</v>
      </c>
      <c r="AK134" s="8" t="str">
        <f ca="1">IFERROR(__xludf.DUMMYFUNCTION("""COMPUTED_VALUE"""),"Yes")</f>
        <v>Yes</v>
      </c>
      <c r="AL134" s="8" t="str">
        <f ca="1">IFERROR(__xludf.DUMMYFUNCTION("""COMPUTED_VALUE"""),"No")</f>
        <v>No</v>
      </c>
      <c r="AM134" s="8" t="str">
        <f ca="1">IFERROR(__xludf.DUMMYFUNCTION("""COMPUTED_VALUE"""),"No")</f>
        <v>No</v>
      </c>
      <c r="AN134" s="8" t="str">
        <f ca="1">IFERROR(__xludf.DUMMYFUNCTION("""COMPUTED_VALUE"""),"Outside")</f>
        <v>Outside</v>
      </c>
      <c r="AO134" s="8" t="str">
        <f ca="1">IFERROR(__xludf.DUMMYFUNCTION("""COMPUTED_VALUE"""),"No")</f>
        <v>No</v>
      </c>
      <c r="AP134" s="8"/>
      <c r="AQ134" s="8"/>
      <c r="AR134" s="8" t="str">
        <f ca="1">IFERROR(__xludf.DUMMYFUNCTION("""COMPUTED_VALUE"""),"Outside/Off-Property")</f>
        <v>Outside/Off-Property</v>
      </c>
      <c r="AS134" s="8">
        <f ca="1">IFERROR(__xludf.DUMMYFUNCTION("""COMPUTED_VALUE"""),99)</f>
        <v>99</v>
      </c>
      <c r="AT134" s="8" t="str">
        <f ca="1">IFERROR(__xludf.DUMMYFUNCTION("""COMPUTED_VALUE"""),"Yes")</f>
        <v>Yes</v>
      </c>
      <c r="AU134" s="8">
        <f ca="1">IFERROR(__xludf.DUMMYFUNCTION("""COMPUTED_VALUE"""),33.430432)</f>
        <v>33.430432000000003</v>
      </c>
      <c r="AV134" s="8">
        <f ca="1">IFERROR(__xludf.DUMMYFUNCTION("""COMPUTED_VALUE"""),-82.074088)</f>
        <v>-82.074088000000003</v>
      </c>
      <c r="AW134" s="8" t="str">
        <f ca="1">IFERROR(__xludf.DUMMYFUNCTION("""COMPUTED_VALUE"""),"Single building indoor hallway")</f>
        <v>Single building indoor hallway</v>
      </c>
      <c r="AX134" s="8">
        <f ca="1">IFERROR(__xludf.DUMMYFUNCTION("""COMPUTED_VALUE"""),30906)</f>
        <v>30906</v>
      </c>
    </row>
    <row r="135" spans="1:50" ht="180" x14ac:dyDescent="0.2">
      <c r="A135" s="8" t="str">
        <f ca="1">IFERROR(__xludf.DUMMYFUNCTION("""COMPUTED_VALUE"""),"20250311CACAM")</f>
        <v>20250311CACAM</v>
      </c>
      <c r="B135" s="8">
        <f ca="1">IFERROR(__xludf.DUMMYFUNCTION("""COMPUTED_VALUE"""),3)</f>
        <v>3</v>
      </c>
      <c r="C135" s="8">
        <f ca="1">IFERROR(__xludf.DUMMYFUNCTION("""COMPUTED_VALUE"""),11)</f>
        <v>11</v>
      </c>
      <c r="D135" s="8">
        <f ca="1">IFERROR(__xludf.DUMMYFUNCTION("""COMPUTED_VALUE"""),2025)</f>
        <v>2025</v>
      </c>
      <c r="E135" s="9">
        <f ca="1">IFERROR(__xludf.DUMMYFUNCTION("""COMPUTED_VALUE"""),45727)</f>
        <v>45727</v>
      </c>
      <c r="F135" s="8" t="str">
        <f ca="1">IFERROR(__xludf.DUMMYFUNCTION("""COMPUTED_VALUE"""),"Canyon Springs High School")</f>
        <v>Canyon Springs High School</v>
      </c>
      <c r="G135" s="8">
        <f ca="1">IFERROR(__xludf.DUMMYFUNCTION("""COMPUTED_VALUE"""),0)</f>
        <v>0</v>
      </c>
      <c r="H135" s="8">
        <f ca="1">IFERROR(__xludf.DUMMYFUNCTION("""COMPUTED_VALUE"""),0)</f>
        <v>0</v>
      </c>
      <c r="I135" s="8">
        <f ca="1">IFERROR(__xludf.DUMMYFUNCTION("""COMPUTED_VALUE"""),0)</f>
        <v>0</v>
      </c>
      <c r="J135" s="8">
        <f ca="1">IFERROR(__xludf.DUMMYFUNCTION("""COMPUTED_VALUE"""),0)</f>
        <v>0</v>
      </c>
      <c r="K135" s="10" t="str">
        <f ca="1">IFERROR(__xludf.DUMMYFUNCTION("""COMPUTED_VALUE"""),"https://mynewsla.com/crime/2025/03/12/two-suspects-arrested-in-connection-with-high-school-armed-robbery/
https://www.cbsnews.com/losangeles/news/two-arrested-for-armed-robbery-at-moreno-valley-high-school/")</f>
        <v>https://mynewsla.com/crime/2025/03/12/two-suspects-arrested-in-connection-with-high-school-armed-robbery/
https://www.cbsnews.com/losangeles/news/two-arrested-for-armed-robbery-at-moreno-valley-high-school/</v>
      </c>
      <c r="L135" s="8">
        <f ca="1">IFERROR(__xludf.DUMMYFUNCTION("""COMPUTED_VALUE"""),5)</f>
        <v>5</v>
      </c>
      <c r="M135" s="8" t="str">
        <f ca="1">IFERROR(__xludf.DUMMYFUNCTION("""COMPUTED_VALUE"""),"Regional")</f>
        <v>Regional</v>
      </c>
      <c r="N135" s="8">
        <f ca="1">IFERROR(__xludf.DUMMYFUNCTION("""COMPUTED_VALUE"""),4)</f>
        <v>4</v>
      </c>
      <c r="O135" s="8" t="str">
        <f ca="1">IFERROR(__xludf.DUMMYFUNCTION("""COMPUTED_VALUE"""),"Spring")</f>
        <v>Spring</v>
      </c>
      <c r="P135" s="8" t="str">
        <f ca="1">IFERROR(__xludf.DUMMYFUNCTION("""COMPUTED_VALUE"""),"Moreno Valley")</f>
        <v>Moreno Valley</v>
      </c>
      <c r="Q135" s="8" t="str">
        <f ca="1">IFERROR(__xludf.DUMMYFUNCTION("""COMPUTED_VALUE"""),"CA")</f>
        <v>CA</v>
      </c>
      <c r="R135" s="8" t="str">
        <f ca="1">IFERROR(__xludf.DUMMYFUNCTION("""COMPUTED_VALUE"""),"High")</f>
        <v>High</v>
      </c>
      <c r="S135" s="8" t="str">
        <f ca="1">IFERROR(__xludf.DUMMYFUNCTION("""COMPUTED_VALUE"""),"Parking Lot")</f>
        <v>Parking Lot</v>
      </c>
      <c r="T135" s="8" t="str">
        <f ca="1">IFERROR(__xludf.DUMMYFUNCTION("""COMPUTED_VALUE"""),"Outside on School Property")</f>
        <v>Outside on School Property</v>
      </c>
      <c r="U135" s="8" t="str">
        <f ca="1">IFERROR(__xludf.DUMMYFUNCTION("""COMPUTED_VALUE"""),"No")</f>
        <v>No</v>
      </c>
      <c r="V135" s="8" t="str">
        <f ca="1">IFERROR(__xludf.DUMMYFUNCTION("""COMPUTED_VALUE"""),"After School")</f>
        <v>After School</v>
      </c>
      <c r="W135" s="11">
        <f ca="1">IFERROR(__xludf.DUMMYFUNCTION("""COMPUTED_VALUE"""),0.715277777777777)</f>
        <v>0.71527777777777701</v>
      </c>
      <c r="X135" s="8">
        <f ca="1">IFERROR(__xludf.DUMMYFUNCTION("""COMPUTED_VALUE"""),1)</f>
        <v>1</v>
      </c>
      <c r="Y135" s="12" t="str">
        <f ca="1">IFERROR(__xludf.DUMMYFUNCTION("""COMPUTED_VALUE"""),"Two teens committed armed robbery in school parking lot")</f>
        <v>Two teens committed armed robbery in school parking lot</v>
      </c>
      <c r="Z135" s="12" t="str">
        <f ca="1">IFERROR(__xludf.DUMMYFUNCTION("""COMPUTED_VALUE"""),"Authorities arrested an 18-year-old man and a teenager in connection with an armed robbery at a Moreno Valley High School earlier this week.  It happened at around 5:10 p.m. on Tuesday at Canyon Springs High School, located in the 23000 block of Cougar Ca"&amp;"nyon Drive, according to the Riverside County Sheriff's Department. Deputies arrived after receiving reports of an armed robbery involving two suspects at the school. Both were located and taken into custody. ""The firearm used in the incident was located"&amp;" in a vehicle parked on campus,"" deputies said. They identified one of the suspects as 18-year-old Norah Arias of Moreno Valley. The second suspect was unidentified due to his age. ")</f>
        <v xml:space="preserve">Authorities arrested an 18-year-old man and a teenager in connection with an armed robbery at a Moreno Valley High School earlier this week.  It happened at around 5:10 p.m. on Tuesday at Canyon Springs High School, located in the 23000 block of Cougar Canyon Drive, according to the Riverside County Sheriff's Department. Deputies arrived after receiving reports of an armed robbery involving two suspects at the school. Both were located and taken into custody. "The firearm used in the incident was located in a vehicle parked on campus," deputies said. They identified one of the suspects as 18-year-old Norah Arias of Moreno Valley. The second suspect was unidentified due to his age. </v>
      </c>
      <c r="AA135" s="8" t="str">
        <f ca="1">IFERROR(__xludf.DUMMYFUNCTION("""COMPUTED_VALUE"""),"Illegal Activity")</f>
        <v>Illegal Activity</v>
      </c>
      <c r="AB135" s="8" t="str">
        <f ca="1">IFERROR(__xludf.DUMMYFUNCTION("""COMPUTED_VALUE"""),"Targeted")</f>
        <v>Targeted</v>
      </c>
      <c r="AC135" s="8" t="str">
        <f ca="1">IFERROR(__xludf.DUMMYFUNCTION("""COMPUTED_VALUE"""),"Yes")</f>
        <v>Yes</v>
      </c>
      <c r="AD135" s="8" t="str">
        <f ca="1">IFERROR(__xludf.DUMMYFUNCTION("""COMPUTED_VALUE"""),"Victims Targeted")</f>
        <v>Victims Targeted</v>
      </c>
      <c r="AE135" s="8" t="str">
        <f ca="1">IFERROR(__xludf.DUMMYFUNCTION("""COMPUTED_VALUE"""),"Yes")</f>
        <v>Yes</v>
      </c>
      <c r="AF135" s="8" t="str">
        <f ca="1">IFERROR(__xludf.DUMMYFUNCTION("""COMPUTED_VALUE"""),"Two teens arrested")</f>
        <v>Two teens arrested</v>
      </c>
      <c r="AG135" s="8" t="str">
        <f ca="1">IFERROR(__xludf.DUMMYFUNCTION("""COMPUTED_VALUE"""),"No")</f>
        <v>No</v>
      </c>
      <c r="AH135" s="8" t="str">
        <f ca="1">IFERROR(__xludf.DUMMYFUNCTION("""COMPUTED_VALUE"""),"No")</f>
        <v>No</v>
      </c>
      <c r="AI135" s="8" t="str">
        <f ca="1">IFERROR(__xludf.DUMMYFUNCTION("""COMPUTED_VALUE"""),"No")</f>
        <v>No</v>
      </c>
      <c r="AJ135" s="8" t="str">
        <f ca="1">IFERROR(__xludf.DUMMYFUNCTION("""COMPUTED_VALUE"""),"No")</f>
        <v>No</v>
      </c>
      <c r="AK135" s="8" t="str">
        <f ca="1">IFERROR(__xludf.DUMMYFUNCTION("""COMPUTED_VALUE"""),"No")</f>
        <v>No</v>
      </c>
      <c r="AL135" s="8" t="str">
        <f ca="1">IFERROR(__xludf.DUMMYFUNCTION("""COMPUTED_VALUE"""),"No")</f>
        <v>No</v>
      </c>
      <c r="AM135" s="8" t="str">
        <f ca="1">IFERROR(__xludf.DUMMYFUNCTION("""COMPUTED_VALUE"""),"No")</f>
        <v>No</v>
      </c>
      <c r="AN135" s="8" t="str">
        <f ca="1">IFERROR(__xludf.DUMMYFUNCTION("""COMPUTED_VALUE"""),"Outside")</f>
        <v>Outside</v>
      </c>
      <c r="AO135" s="8" t="str">
        <f ca="1">IFERROR(__xludf.DUMMYFUNCTION("""COMPUTED_VALUE"""),"No")</f>
        <v>No</v>
      </c>
      <c r="AP135" s="8"/>
      <c r="AQ135" s="8"/>
      <c r="AR135" s="8" t="str">
        <f ca="1">IFERROR(__xludf.DUMMYFUNCTION("""COMPUTED_VALUE"""),"Outside/Off-Property")</f>
        <v>Outside/Off-Property</v>
      </c>
      <c r="AS135" s="8">
        <f ca="1">IFERROR(__xludf.DUMMYFUNCTION("""COMPUTED_VALUE"""),0)</f>
        <v>0</v>
      </c>
      <c r="AT135" s="8" t="str">
        <f ca="1">IFERROR(__xludf.DUMMYFUNCTION("""COMPUTED_VALUE"""),"No")</f>
        <v>No</v>
      </c>
      <c r="AU135" s="8">
        <f ca="1">IFERROR(__xludf.DUMMYFUNCTION("""COMPUTED_VALUE"""),33.9617)</f>
        <v>33.9617</v>
      </c>
      <c r="AV135" s="8">
        <f ca="1">IFERROR(__xludf.DUMMYFUNCTION("""COMPUTED_VALUE"""),-117.258999)</f>
        <v>-117.258999</v>
      </c>
      <c r="AW135" s="8" t="str">
        <f ca="1">IFERROR(__xludf.DUMMYFUNCTION("""COMPUTED_VALUE"""),"Multiple detached buildings")</f>
        <v>Multiple detached buildings</v>
      </c>
      <c r="AX135" s="8">
        <f ca="1">IFERROR(__xludf.DUMMYFUNCTION("""COMPUTED_VALUE"""),92557)</f>
        <v>92557</v>
      </c>
    </row>
    <row r="136" spans="1:50" ht="150" x14ac:dyDescent="0.2">
      <c r="A136" s="8" t="str">
        <f ca="1">IFERROR(__xludf.DUMMYFUNCTION("""COMPUTED_VALUE"""),"20250311COGLD")</f>
        <v>20250311COGLD</v>
      </c>
      <c r="B136" s="8">
        <f ca="1">IFERROR(__xludf.DUMMYFUNCTION("""COMPUTED_VALUE"""),3)</f>
        <v>3</v>
      </c>
      <c r="C136" s="8">
        <f ca="1">IFERROR(__xludf.DUMMYFUNCTION("""COMPUTED_VALUE"""),11)</f>
        <v>11</v>
      </c>
      <c r="D136" s="8">
        <f ca="1">IFERROR(__xludf.DUMMYFUNCTION("""COMPUTED_VALUE"""),2025)</f>
        <v>2025</v>
      </c>
      <c r="E136" s="9">
        <f ca="1">IFERROR(__xludf.DUMMYFUNCTION("""COMPUTED_VALUE"""),45727)</f>
        <v>45727</v>
      </c>
      <c r="F136" s="8" t="str">
        <f ca="1">IFERROR(__xludf.DUMMYFUNCTION("""COMPUTED_VALUE"""),"Global Leadership Academy")</f>
        <v>Global Leadership Academy</v>
      </c>
      <c r="G136" s="8">
        <f ca="1">IFERROR(__xludf.DUMMYFUNCTION("""COMPUTED_VALUE"""),0)</f>
        <v>0</v>
      </c>
      <c r="H136" s="8">
        <f ca="1">IFERROR(__xludf.DUMMYFUNCTION("""COMPUTED_VALUE"""),0)</f>
        <v>0</v>
      </c>
      <c r="I136" s="8">
        <f ca="1">IFERROR(__xludf.DUMMYFUNCTION("""COMPUTED_VALUE"""),0)</f>
        <v>0</v>
      </c>
      <c r="J136" s="8">
        <f ca="1">IFERROR(__xludf.DUMMYFUNCTION("""COMPUTED_VALUE"""),0)</f>
        <v>0</v>
      </c>
      <c r="K136" s="8" t="str">
        <f ca="1">IFERROR(__xludf.DUMMYFUNCTION("""COMPUTED_VALUE"""),"https://www.kktv.com/2025/03/11/shot-fired-during-carjacking-goes-through-window-denver-school/
https://www.denver7.com/news/crime/adams-county-school-window-shot-during-carjacking-no-one-injured
https://www.9news.com/article/news/crime/shot-fired-window-"&amp;"school-global-leadership-academy-carjacking/73-ec15c87a-7bda-444b-9a52-660cd06731e6
16-year-old charged with attempted murder after shot fired into building near school - YouTube")</f>
        <v>https://www.kktv.com/2025/03/11/shot-fired-during-carjacking-goes-through-window-denver-school/
https://www.denver7.com/news/crime/adams-county-school-window-shot-during-carjacking-no-one-injured
https://www.9news.com/article/news/crime/shot-fired-window-school-global-leadership-academy-carjacking/73-ec15c87a-7bda-444b-9a52-660cd06731e6
16-year-old charged with attempted murder after shot fired into building near school - YouTube</v>
      </c>
      <c r="L136" s="8">
        <f ca="1">IFERROR(__xludf.DUMMYFUNCTION("""COMPUTED_VALUE"""),10)</f>
        <v>10</v>
      </c>
      <c r="M136" s="8" t="str">
        <f ca="1">IFERROR(__xludf.DUMMYFUNCTION("""COMPUTED_VALUE"""),"Regional")</f>
        <v>Regional</v>
      </c>
      <c r="N136" s="8">
        <f ca="1">IFERROR(__xludf.DUMMYFUNCTION("""COMPUTED_VALUE"""),4)</f>
        <v>4</v>
      </c>
      <c r="O136" s="8" t="str">
        <f ca="1">IFERROR(__xludf.DUMMYFUNCTION("""COMPUTED_VALUE"""),"Spring")</f>
        <v>Spring</v>
      </c>
      <c r="P136" s="8" t="str">
        <f ca="1">IFERROR(__xludf.DUMMYFUNCTION("""COMPUTED_VALUE"""),"Denver")</f>
        <v>Denver</v>
      </c>
      <c r="Q136" s="8" t="str">
        <f ca="1">IFERROR(__xludf.DUMMYFUNCTION("""COMPUTED_VALUE"""),"CO")</f>
        <v>CO</v>
      </c>
      <c r="R136" s="8" t="str">
        <f ca="1">IFERROR(__xludf.DUMMYFUNCTION("""COMPUTED_VALUE"""),"High")</f>
        <v>High</v>
      </c>
      <c r="S136" s="8" t="str">
        <f ca="1">IFERROR(__xludf.DUMMYFUNCTION("""COMPUTED_VALUE"""),"Parking Lot")</f>
        <v>Parking Lot</v>
      </c>
      <c r="T136" s="8" t="str">
        <f ca="1">IFERROR(__xludf.DUMMYFUNCTION("""COMPUTED_VALUE"""),"Outside on School Property")</f>
        <v>Outside on School Property</v>
      </c>
      <c r="U136" s="8" t="str">
        <f ca="1">IFERROR(__xludf.DUMMYFUNCTION("""COMPUTED_VALUE"""),"Yes")</f>
        <v>Yes</v>
      </c>
      <c r="V136" s="8" t="str">
        <f ca="1">IFERROR(__xludf.DUMMYFUNCTION("""COMPUTED_VALUE"""),"Afternoon Classes")</f>
        <v>Afternoon Classes</v>
      </c>
      <c r="W136" s="11">
        <f ca="1">IFERROR(__xludf.DUMMYFUNCTION("""COMPUTED_VALUE"""),0.541666666666666)</f>
        <v>0.54166666666666596</v>
      </c>
      <c r="X136" s="8">
        <f ca="1">IFERROR(__xludf.DUMMYFUNCTION("""COMPUTED_VALUE"""),1)</f>
        <v>1</v>
      </c>
      <c r="Y136" s="12" t="str">
        <f ca="1">IFERROR(__xludf.DUMMYFUNCTION("""COMPUTED_VALUE"""),"Shot fired during carjacking in school parking lot broke school window during classes")</f>
        <v>Shot fired during carjacking in school parking lot broke school window during classes</v>
      </c>
      <c r="Z136" s="12" t="str">
        <f ca="1">IFERROR(__xludf.DUMMYFUNCTION("""COMPUTED_VALUE"""),"The Adam’s County Sheriff’s Office said the armed carjacking occurred in the 7600 block of Navajo St. just after 1 p.m. The Sheriff’s Office said at least one shot was fired during the carjacking, and the bullet went through the window of a school. Deputi"&amp;"es said the suspects crashed the stolen vehicle from the carjacking into a parked vehicle and then attempted to run away from the scene. They said several juveniles and one 18-year-old were detained. No injuries were reported from the school or the carjac"&amp;"king, but deputies said schools in the area went on lockdown.")</f>
        <v>The Adam’s County Sheriff’s Office said the armed carjacking occurred in the 7600 block of Navajo St. just after 1 p.m. The Sheriff’s Office said at least one shot was fired during the carjacking, and the bullet went through the window of a school. Deputies said the suspects crashed the stolen vehicle from the carjacking into a parked vehicle and then attempted to run away from the scene. They said several juveniles and one 18-year-old were detained. No injuries were reported from the school or the carjacking, but deputies said schools in the area went on lockdown.</v>
      </c>
      <c r="AA136" s="8" t="str">
        <f ca="1">IFERROR(__xludf.DUMMYFUNCTION("""COMPUTED_VALUE"""),"Illegal Activity")</f>
        <v>Illegal Activity</v>
      </c>
      <c r="AB136" s="8" t="str">
        <f ca="1">IFERROR(__xludf.DUMMYFUNCTION("""COMPUTED_VALUE"""),"Targeted")</f>
        <v>Targeted</v>
      </c>
      <c r="AC136" s="8" t="str">
        <f ca="1">IFERROR(__xludf.DUMMYFUNCTION("""COMPUTED_VALUE"""),"Yes")</f>
        <v>Yes</v>
      </c>
      <c r="AD136" s="8" t="str">
        <f ca="1">IFERROR(__xludf.DUMMYFUNCTION("""COMPUTED_VALUE"""),"Victims Targeted")</f>
        <v>Victims Targeted</v>
      </c>
      <c r="AE136" s="8" t="str">
        <f ca="1">IFERROR(__xludf.DUMMYFUNCTION("""COMPUTED_VALUE"""),"Yes")</f>
        <v>Yes</v>
      </c>
      <c r="AF136" s="8" t="str">
        <f ca="1">IFERROR(__xludf.DUMMYFUNCTION("""COMPUTED_VALUE"""),"Five teens detained")</f>
        <v>Five teens detained</v>
      </c>
      <c r="AG136" s="8" t="str">
        <f ca="1">IFERROR(__xludf.DUMMYFUNCTION("""COMPUTED_VALUE"""),"No")</f>
        <v>No</v>
      </c>
      <c r="AH136" s="8" t="str">
        <f ca="1">IFERROR(__xludf.DUMMYFUNCTION("""COMPUTED_VALUE"""),"No")</f>
        <v>No</v>
      </c>
      <c r="AI136" s="8" t="str">
        <f ca="1">IFERROR(__xludf.DUMMYFUNCTION("""COMPUTED_VALUE"""),"No")</f>
        <v>No</v>
      </c>
      <c r="AJ136" s="8" t="str">
        <f ca="1">IFERROR(__xludf.DUMMYFUNCTION("""COMPUTED_VALUE"""),"No")</f>
        <v>No</v>
      </c>
      <c r="AK136" s="8" t="str">
        <f ca="1">IFERROR(__xludf.DUMMYFUNCTION("""COMPUTED_VALUE"""),"No")</f>
        <v>No</v>
      </c>
      <c r="AL136" s="8" t="str">
        <f ca="1">IFERROR(__xludf.DUMMYFUNCTION("""COMPUTED_VALUE"""),"No")</f>
        <v>No</v>
      </c>
      <c r="AM136" s="8" t="str">
        <f ca="1">IFERROR(__xludf.DUMMYFUNCTION("""COMPUTED_VALUE"""),"No")</f>
        <v>No</v>
      </c>
      <c r="AN136" s="8" t="str">
        <f ca="1">IFERROR(__xludf.DUMMYFUNCTION("""COMPUTED_VALUE"""),"Outside")</f>
        <v>Outside</v>
      </c>
      <c r="AO136" s="8" t="str">
        <f ca="1">IFERROR(__xludf.DUMMYFUNCTION("""COMPUTED_VALUE"""),"No")</f>
        <v>No</v>
      </c>
      <c r="AP136" s="8"/>
      <c r="AQ136" s="8"/>
      <c r="AR136" s="8" t="str">
        <f ca="1">IFERROR(__xludf.DUMMYFUNCTION("""COMPUTED_VALUE"""),"Outside/Off-Property")</f>
        <v>Outside/Off-Property</v>
      </c>
      <c r="AS136" s="8">
        <f ca="1">IFERROR(__xludf.DUMMYFUNCTION("""COMPUTED_VALUE"""),99)</f>
        <v>99</v>
      </c>
      <c r="AT136" s="8" t="str">
        <f ca="1">IFERROR(__xludf.DUMMYFUNCTION("""COMPUTED_VALUE"""),"Yes")</f>
        <v>Yes</v>
      </c>
      <c r="AU136" s="8">
        <f ca="1">IFERROR(__xludf.DUMMYFUNCTION("""COMPUTED_VALUE"""),39.832371)</f>
        <v>39.832371000000002</v>
      </c>
      <c r="AV136" s="8">
        <f ca="1">IFERROR(__xludf.DUMMYFUNCTION("""COMPUTED_VALUE"""),-104.985687)</f>
        <v>-104.985687</v>
      </c>
      <c r="AW136" s="8" t="str">
        <f ca="1">IFERROR(__xludf.DUMMYFUNCTION("""COMPUTED_VALUE"""),"Multiple detached buildings")</f>
        <v>Multiple detached buildings</v>
      </c>
      <c r="AX136" s="8">
        <f ca="1">IFERROR(__xludf.DUMMYFUNCTION("""COMPUTED_VALUE"""),80229)</f>
        <v>80229</v>
      </c>
    </row>
    <row r="137" spans="1:50" ht="105" x14ac:dyDescent="0.2">
      <c r="A137" s="8" t="str">
        <f ca="1">IFERROR(__xludf.DUMMYFUNCTION("""COMPUTED_VALUE"""),"20250310TNROM")</f>
        <v>20250310TNROM</v>
      </c>
      <c r="B137" s="8">
        <f ca="1">IFERROR(__xludf.DUMMYFUNCTION("""COMPUTED_VALUE"""),3)</f>
        <v>3</v>
      </c>
      <c r="C137" s="8">
        <f ca="1">IFERROR(__xludf.DUMMYFUNCTION("""COMPUTED_VALUE"""),10)</f>
        <v>10</v>
      </c>
      <c r="D137" s="8">
        <f ca="1">IFERROR(__xludf.DUMMYFUNCTION("""COMPUTED_VALUE"""),2025)</f>
        <v>2025</v>
      </c>
      <c r="E137" s="9">
        <f ca="1">IFERROR(__xludf.DUMMYFUNCTION("""COMPUTED_VALUE"""),45726)</f>
        <v>45726</v>
      </c>
      <c r="F137" s="8" t="str">
        <f ca="1">IFERROR(__xludf.DUMMYFUNCTION("""COMPUTED_VALUE"""),"Robert R Church Elementary")</f>
        <v>Robert R Church Elementary</v>
      </c>
      <c r="G137" s="8">
        <f ca="1">IFERROR(__xludf.DUMMYFUNCTION("""COMPUTED_VALUE"""),0)</f>
        <v>0</v>
      </c>
      <c r="H137" s="8">
        <f ca="1">IFERROR(__xludf.DUMMYFUNCTION("""COMPUTED_VALUE"""),1)</f>
        <v>1</v>
      </c>
      <c r="I137" s="8">
        <f ca="1">IFERROR(__xludf.DUMMYFUNCTION("""COMPUTED_VALUE"""),1)</f>
        <v>1</v>
      </c>
      <c r="J137" s="8">
        <f ca="1">IFERROR(__xludf.DUMMYFUNCTION("""COMPUTED_VALUE"""),0)</f>
        <v>0</v>
      </c>
      <c r="K137" s="8" t="str">
        <f ca="1">IFERROR(__xludf.DUMMYFUNCTION("""COMPUTED_VALUE"""),"https://wreg.com/news/local/man-found-shot-near-elementary-school-in-whitehaven/
https://www.fox13memphis.com/news/man-shot-in-whitehaven-police-say/article_85d6fdda-fd9a-11ef-b922-5b4d00adc486.html")</f>
        <v>https://wreg.com/news/local/man-found-shot-near-elementary-school-in-whitehaven/
https://www.fox13memphis.com/news/man-shot-in-whitehaven-police-say/article_85d6fdda-fd9a-11ef-b922-5b4d00adc486.html</v>
      </c>
      <c r="L137" s="8">
        <f ca="1">IFERROR(__xludf.DUMMYFUNCTION("""COMPUTED_VALUE"""),3)</f>
        <v>3</v>
      </c>
      <c r="M137" s="8" t="str">
        <f ca="1">IFERROR(__xludf.DUMMYFUNCTION("""COMPUTED_VALUE"""),"Local")</f>
        <v>Local</v>
      </c>
      <c r="N137" s="8">
        <f ca="1">IFERROR(__xludf.DUMMYFUNCTION("""COMPUTED_VALUE"""),4)</f>
        <v>4</v>
      </c>
      <c r="O137" s="8" t="str">
        <f ca="1">IFERROR(__xludf.DUMMYFUNCTION("""COMPUTED_VALUE"""),"Spring")</f>
        <v>Spring</v>
      </c>
      <c r="P137" s="8" t="str">
        <f ca="1">IFERROR(__xludf.DUMMYFUNCTION("""COMPUTED_VALUE"""),"Memphis")</f>
        <v>Memphis</v>
      </c>
      <c r="Q137" s="8" t="str">
        <f ca="1">IFERROR(__xludf.DUMMYFUNCTION("""COMPUTED_VALUE"""),"TN")</f>
        <v>TN</v>
      </c>
      <c r="R137" s="8" t="str">
        <f ca="1">IFERROR(__xludf.DUMMYFUNCTION("""COMPUTED_VALUE"""),"Elementary")</f>
        <v>Elementary</v>
      </c>
      <c r="S137" s="8" t="str">
        <f ca="1">IFERROR(__xludf.DUMMYFUNCTION("""COMPUTED_VALUE"""),"Parking Lot")</f>
        <v>Parking Lot</v>
      </c>
      <c r="T137" s="8" t="str">
        <f ca="1">IFERROR(__xludf.DUMMYFUNCTION("""COMPUTED_VALUE"""),"Outside on School Property")</f>
        <v>Outside on School Property</v>
      </c>
      <c r="U137" s="8" t="str">
        <f ca="1">IFERROR(__xludf.DUMMYFUNCTION("""COMPUTED_VALUE"""),"No")</f>
        <v>No</v>
      </c>
      <c r="V137" s="8" t="str">
        <f ca="1">IFERROR(__xludf.DUMMYFUNCTION("""COMPUTED_VALUE"""),"Before School")</f>
        <v>Before School</v>
      </c>
      <c r="W137" s="11">
        <f ca="1">IFERROR(__xludf.DUMMYFUNCTION("""COMPUTED_VALUE"""),0.208333333333333)</f>
        <v>0.20833333333333301</v>
      </c>
      <c r="X137" s="8">
        <f ca="1">IFERROR(__xludf.DUMMYFUNCTION("""COMPUTED_VALUE"""),1)</f>
        <v>1</v>
      </c>
      <c r="Y137" s="12" t="str">
        <f ca="1">IFERROR(__xludf.DUMMYFUNCTION("""COMPUTED_VALUE"""),"Man shot during dispute between woman and another man in a car")</f>
        <v>Man shot during dispute between woman and another man in a car</v>
      </c>
      <c r="Z137" s="12" t="str">
        <f ca="1">IFERROR(__xludf.DUMMYFUNCTION("""COMPUTED_VALUE"""),"Adult man was talking to a woman in the parking lot when she became involved in a dispute with another man on the phone. A car pulled up and fired shot striking the man in the neck. Police found the victim was found in the area in front of the school arou"&amp;"nd 5 a.m. The victim flagged a police officer down in front of the elementary school entrance saying he had been shot in the neck.")</f>
        <v>Adult man was talking to a woman in the parking lot when she became involved in a dispute with another man on the phone. A car pulled up and fired shot striking the man in the neck. Police found the victim was found in the area in front of the school around 5 a.m. The victim flagged a police officer down in front of the elementary school entrance saying he had been shot in the neck.</v>
      </c>
      <c r="AA137" s="8" t="str">
        <f ca="1">IFERROR(__xludf.DUMMYFUNCTION("""COMPUTED_VALUE"""),"Escalation of Dispute")</f>
        <v>Escalation of Dispute</v>
      </c>
      <c r="AB137" s="8" t="str">
        <f ca="1">IFERROR(__xludf.DUMMYFUNCTION("""COMPUTED_VALUE"""),"Targeted")</f>
        <v>Targeted</v>
      </c>
      <c r="AC137" s="8" t="str">
        <f ca="1">IFERROR(__xludf.DUMMYFUNCTION("""COMPUTED_VALUE"""),"No")</f>
        <v>No</v>
      </c>
      <c r="AD137" s="8" t="str">
        <f ca="1">IFERROR(__xludf.DUMMYFUNCTION("""COMPUTED_VALUE"""),"Victims Targeted")</f>
        <v>Victims Targeted</v>
      </c>
      <c r="AE137" s="8" t="str">
        <f ca="1">IFERROR(__xludf.DUMMYFUNCTION("""COMPUTED_VALUE"""),"No")</f>
        <v>No</v>
      </c>
      <c r="AF137" s="8"/>
      <c r="AG137" s="8" t="str">
        <f ca="1">IFERROR(__xludf.DUMMYFUNCTION("""COMPUTED_VALUE"""),"No")</f>
        <v>No</v>
      </c>
      <c r="AH137" s="8" t="str">
        <f ca="1">IFERROR(__xludf.DUMMYFUNCTION("""COMPUTED_VALUE"""),"No")</f>
        <v>No</v>
      </c>
      <c r="AI137" s="8" t="str">
        <f ca="1">IFERROR(__xludf.DUMMYFUNCTION("""COMPUTED_VALUE"""),"No")</f>
        <v>No</v>
      </c>
      <c r="AJ137" s="8" t="str">
        <f ca="1">IFERROR(__xludf.DUMMYFUNCTION("""COMPUTED_VALUE"""),"No")</f>
        <v>No</v>
      </c>
      <c r="AK137" s="8" t="str">
        <f ca="1">IFERROR(__xludf.DUMMYFUNCTION("""COMPUTED_VALUE"""),"No")</f>
        <v>No</v>
      </c>
      <c r="AL137" s="8"/>
      <c r="AM137" s="8" t="str">
        <f ca="1">IFERROR(__xludf.DUMMYFUNCTION("""COMPUTED_VALUE"""),"No")</f>
        <v>No</v>
      </c>
      <c r="AN137" s="8" t="str">
        <f ca="1">IFERROR(__xludf.DUMMYFUNCTION("""COMPUTED_VALUE"""),"Outside")</f>
        <v>Outside</v>
      </c>
      <c r="AO137" s="8" t="str">
        <f ca="1">IFERROR(__xludf.DUMMYFUNCTION("""COMPUTED_VALUE"""),"No")</f>
        <v>No</v>
      </c>
      <c r="AP137" s="8" t="str">
        <f ca="1">IFERROR(__xludf.DUMMYFUNCTION("""COMPUTED_VALUE"""),"No")</f>
        <v>No</v>
      </c>
      <c r="AQ137" s="8"/>
      <c r="AR137" s="8" t="str">
        <f ca="1">IFERROR(__xludf.DUMMYFUNCTION("""COMPUTED_VALUE"""),"Outside/Off-Property")</f>
        <v>Outside/Off-Property</v>
      </c>
      <c r="AS137" s="8">
        <f ca="1">IFERROR(__xludf.DUMMYFUNCTION("""COMPUTED_VALUE"""),99)</f>
        <v>99</v>
      </c>
      <c r="AT137" s="8" t="str">
        <f ca="1">IFERROR(__xludf.DUMMYFUNCTION("""COMPUTED_VALUE"""),"No")</f>
        <v>No</v>
      </c>
      <c r="AU137" s="8">
        <f ca="1">IFERROR(__xludf.DUMMYFUNCTION("""COMPUTED_VALUE"""),35.037541)</f>
        <v>35.037540999999997</v>
      </c>
      <c r="AV137" s="8">
        <f ca="1">IFERROR(__xludf.DUMMYFUNCTION("""COMPUTED_VALUE"""),-90.006264)</f>
        <v>-90.006264000000002</v>
      </c>
      <c r="AW137" s="8" t="str">
        <f ca="1">IFERROR(__xludf.DUMMYFUNCTION("""COMPUTED_VALUE"""),"Multiple attached buildings")</f>
        <v>Multiple attached buildings</v>
      </c>
      <c r="AX137" s="8">
        <f ca="1">IFERROR(__xludf.DUMMYFUNCTION("""COMPUTED_VALUE"""),38116)</f>
        <v>38116</v>
      </c>
    </row>
    <row r="138" spans="1:50" ht="195" x14ac:dyDescent="0.2">
      <c r="A138" s="8" t="str">
        <f ca="1">IFERROR(__xludf.DUMMYFUNCTION("""COMPUTED_VALUE"""),"20250307TXHOH")</f>
        <v>20250307TXHOH</v>
      </c>
      <c r="B138" s="8">
        <f ca="1">IFERROR(__xludf.DUMMYFUNCTION("""COMPUTED_VALUE"""),3)</f>
        <v>3</v>
      </c>
      <c r="C138" s="8">
        <f ca="1">IFERROR(__xludf.DUMMYFUNCTION("""COMPUTED_VALUE"""),7)</f>
        <v>7</v>
      </c>
      <c r="D138" s="8">
        <f ca="1">IFERROR(__xludf.DUMMYFUNCTION("""COMPUTED_VALUE"""),2025)</f>
        <v>2025</v>
      </c>
      <c r="E138" s="9">
        <f ca="1">IFERROR(__xludf.DUMMYFUNCTION("""COMPUTED_VALUE"""),45723)</f>
        <v>45723</v>
      </c>
      <c r="F138" s="8" t="str">
        <f ca="1">IFERROR(__xludf.DUMMYFUNCTION("""COMPUTED_VALUE"""),"Hondo High School")</f>
        <v>Hondo High School</v>
      </c>
      <c r="G138" s="8">
        <f ca="1">IFERROR(__xludf.DUMMYFUNCTION("""COMPUTED_VALUE"""),0)</f>
        <v>0</v>
      </c>
      <c r="H138" s="8">
        <f ca="1">IFERROR(__xludf.DUMMYFUNCTION("""COMPUTED_VALUE"""),0)</f>
        <v>0</v>
      </c>
      <c r="I138" s="8">
        <f ca="1">IFERROR(__xludf.DUMMYFUNCTION("""COMPUTED_VALUE"""),0)</f>
        <v>0</v>
      </c>
      <c r="J138" s="8">
        <f ca="1">IFERROR(__xludf.DUMMYFUNCTION("""COMPUTED_VALUE"""),0)</f>
        <v>0</v>
      </c>
      <c r="K138" s="10" t="str">
        <f ca="1">IFERROR(__xludf.DUMMYFUNCTION("""COMPUTED_VALUE"""),"https://www.ksat.com/news/local/2025/03/09/woman-arrested-after-pointing-firearm-at-ex-husband-outside-high-school-softball-game-hondo-police-say/
https://www.kens5.com/article/news/crime/texas-woman-arrested-pointing-gun-ex-husband-child-custody-dispute-"&amp;"varsity-softball-game/273-98fcc3a9-f747-42a7-b06c-d2d0e993430b
https://www.mytexasdaily.com/south-texas/hondo-police-respond-to-firearm-disturbance-at-high-school-softball-game/article_3288f610-bfbb-5e6d-b357-61e059da846d.html")</f>
        <v>https://www.ksat.com/news/local/2025/03/09/woman-arrested-after-pointing-firearm-at-ex-husband-outside-high-school-softball-game-hondo-police-say/
https://www.kens5.com/article/news/crime/texas-woman-arrested-pointing-gun-ex-husband-child-custody-dispute-varsity-softball-game/273-98fcc3a9-f747-42a7-b06c-d2d0e993430b
https://www.mytexasdaily.com/south-texas/hondo-police-respond-to-firearm-disturbance-at-high-school-softball-game/article_3288f610-bfbb-5e6d-b357-61e059da846d.html</v>
      </c>
      <c r="L138" s="8">
        <f ca="1">IFERROR(__xludf.DUMMYFUNCTION("""COMPUTED_VALUE"""),4)</f>
        <v>4</v>
      </c>
      <c r="M138" s="8" t="str">
        <f ca="1">IFERROR(__xludf.DUMMYFUNCTION("""COMPUTED_VALUE"""),"Regional")</f>
        <v>Regional</v>
      </c>
      <c r="N138" s="8">
        <f ca="1">IFERROR(__xludf.DUMMYFUNCTION("""COMPUTED_VALUE"""),4)</f>
        <v>4</v>
      </c>
      <c r="O138" s="8" t="str">
        <f ca="1">IFERROR(__xludf.DUMMYFUNCTION("""COMPUTED_VALUE"""),"Spring")</f>
        <v>Spring</v>
      </c>
      <c r="P138" s="8" t="str">
        <f ca="1">IFERROR(__xludf.DUMMYFUNCTION("""COMPUTED_VALUE"""),"Hondo")</f>
        <v>Hondo</v>
      </c>
      <c r="Q138" s="8" t="str">
        <f ca="1">IFERROR(__xludf.DUMMYFUNCTION("""COMPUTED_VALUE"""),"TX")</f>
        <v>TX</v>
      </c>
      <c r="R138" s="8" t="str">
        <f ca="1">IFERROR(__xludf.DUMMYFUNCTION("""COMPUTED_VALUE"""),"High")</f>
        <v>High</v>
      </c>
      <c r="S138" s="8" t="str">
        <f ca="1">IFERROR(__xludf.DUMMYFUNCTION("""COMPUTED_VALUE"""),"Field (General)")</f>
        <v>Field (General)</v>
      </c>
      <c r="T138" s="8" t="str">
        <f ca="1">IFERROR(__xludf.DUMMYFUNCTION("""COMPUTED_VALUE"""),"Outside on School Property")</f>
        <v>Outside on School Property</v>
      </c>
      <c r="U138" s="8" t="str">
        <f ca="1">IFERROR(__xludf.DUMMYFUNCTION("""COMPUTED_VALUE"""),"No")</f>
        <v>No</v>
      </c>
      <c r="V138" s="8" t="str">
        <f ca="1">IFERROR(__xludf.DUMMYFUNCTION("""COMPUTED_VALUE"""),"Sport Event")</f>
        <v>Sport Event</v>
      </c>
      <c r="W138" s="11">
        <f ca="1">IFERROR(__xludf.DUMMYFUNCTION("""COMPUTED_VALUE"""),0.708333333333333)</f>
        <v>0.70833333333333304</v>
      </c>
      <c r="X138" s="8">
        <f ca="1">IFERROR(__xludf.DUMMYFUNCTION("""COMPUTED_VALUE"""),1)</f>
        <v>1</v>
      </c>
      <c r="Y138" s="12" t="str">
        <f ca="1">IFERROR(__xludf.DUMMYFUNCTION("""COMPUTED_VALUE"""),"Woman pointed gun at her husband during argument at varsity baseball game")</f>
        <v>Woman pointed gun at her husband during argument at varsity baseball game</v>
      </c>
      <c r="Z138" s="12" t="str">
        <f ca="1">IFERROR(__xludf.DUMMYFUNCTION("""COMPUTED_VALUE"""),"The Hondo Police Department arrested a woman for allegedly pointing a gun at her ex-husband during a child custody dispute at a varsity softball game. On March 7, HPD responded to a varsity softball game between Hondo High School and Comfort High School a"&amp;"fter receiving reports of a disturbance involving a weapon outside the left outfield fence of the stadium. Authorities said the dispute involve four individuals regarding child custody. During the argument, police said 30-year-old Elysia Quinn Klatt grabb"&amp;"ed a firearm from a vehicle and allegedly pointed it at her ex-husband before being immediately disarmed by another male involved in the altercation. No shots were fired.")</f>
        <v>The Hondo Police Department arrested a woman for allegedly pointing a gun at her ex-husband during a child custody dispute at a varsity softball game. On March 7, HPD responded to a varsity softball game between Hondo High School and Comfort High School after receiving reports of a disturbance involving a weapon outside the left outfield fence of the stadium. Authorities said the dispute involve four individuals regarding child custody. During the argument, police said 30-year-old Elysia Quinn Klatt grabbed a firearm from a vehicle and allegedly pointed it at her ex-husband before being immediately disarmed by another male involved in the altercation. No shots were fired.</v>
      </c>
      <c r="AA138" s="8" t="str">
        <f ca="1">IFERROR(__xludf.DUMMYFUNCTION("""COMPUTED_VALUE"""),"Domestic w/ Targeted Victim")</f>
        <v>Domestic w/ Targeted Victim</v>
      </c>
      <c r="AB138" s="8" t="str">
        <f ca="1">IFERROR(__xludf.DUMMYFUNCTION("""COMPUTED_VALUE"""),"Targeted")</f>
        <v>Targeted</v>
      </c>
      <c r="AC138" s="8" t="str">
        <f ca="1">IFERROR(__xludf.DUMMYFUNCTION("""COMPUTED_VALUE"""),"Yes")</f>
        <v>Yes</v>
      </c>
      <c r="AD138" s="8" t="str">
        <f ca="1">IFERROR(__xludf.DUMMYFUNCTION("""COMPUTED_VALUE"""),"Victims Targeted")</f>
        <v>Victims Targeted</v>
      </c>
      <c r="AE138" s="8" t="str">
        <f ca="1">IFERROR(__xludf.DUMMYFUNCTION("""COMPUTED_VALUE"""),"No")</f>
        <v>No</v>
      </c>
      <c r="AF138" s="8"/>
      <c r="AG138" s="8" t="str">
        <f ca="1">IFERROR(__xludf.DUMMYFUNCTION("""COMPUTED_VALUE"""),"No")</f>
        <v>No</v>
      </c>
      <c r="AH138" s="8" t="str">
        <f ca="1">IFERROR(__xludf.DUMMYFUNCTION("""COMPUTED_VALUE"""),"No")</f>
        <v>No</v>
      </c>
      <c r="AI138" s="8" t="str">
        <f ca="1">IFERROR(__xludf.DUMMYFUNCTION("""COMPUTED_VALUE"""),"No")</f>
        <v>No</v>
      </c>
      <c r="AJ138" s="8" t="str">
        <f ca="1">IFERROR(__xludf.DUMMYFUNCTION("""COMPUTED_VALUE"""),"No")</f>
        <v>No</v>
      </c>
      <c r="AK138" s="8" t="str">
        <f ca="1">IFERROR(__xludf.DUMMYFUNCTION("""COMPUTED_VALUE"""),"Yes")</f>
        <v>Yes</v>
      </c>
      <c r="AL138" s="8" t="str">
        <f ca="1">IFERROR(__xludf.DUMMYFUNCTION("""COMPUTED_VALUE"""),"No")</f>
        <v>No</v>
      </c>
      <c r="AM138" s="8" t="str">
        <f ca="1">IFERROR(__xludf.DUMMYFUNCTION("""COMPUTED_VALUE"""),"No")</f>
        <v>No</v>
      </c>
      <c r="AN138" s="8" t="str">
        <f ca="1">IFERROR(__xludf.DUMMYFUNCTION("""COMPUTED_VALUE"""),"Outside")</f>
        <v>Outside</v>
      </c>
      <c r="AO138" s="8" t="str">
        <f ca="1">IFERROR(__xludf.DUMMYFUNCTION("""COMPUTED_VALUE"""),"No")</f>
        <v>No</v>
      </c>
      <c r="AP138" s="8"/>
      <c r="AQ138" s="8"/>
      <c r="AR138" s="8" t="str">
        <f ca="1">IFERROR(__xludf.DUMMYFUNCTION("""COMPUTED_VALUE"""),"Outside/Off-Property")</f>
        <v>Outside/Off-Property</v>
      </c>
      <c r="AS138" s="8">
        <f ca="1">IFERROR(__xludf.DUMMYFUNCTION("""COMPUTED_VALUE"""),0)</f>
        <v>0</v>
      </c>
      <c r="AT138" s="8" t="str">
        <f ca="1">IFERROR(__xludf.DUMMYFUNCTION("""COMPUTED_VALUE"""),"No")</f>
        <v>No</v>
      </c>
      <c r="AU138" s="8">
        <f ca="1">IFERROR(__xludf.DUMMYFUNCTION("""COMPUTED_VALUE"""),29.341436)</f>
        <v>29.341436000000002</v>
      </c>
      <c r="AV138" s="8">
        <f ca="1">IFERROR(__xludf.DUMMYFUNCTION("""COMPUTED_VALUE"""),-99.135249)</f>
        <v>-99.135249000000002</v>
      </c>
      <c r="AW138" s="8" t="str">
        <f ca="1">IFERROR(__xludf.DUMMYFUNCTION("""COMPUTED_VALUE"""),"Multiple detached buildings")</f>
        <v>Multiple detached buildings</v>
      </c>
      <c r="AX138" s="8">
        <f ca="1">IFERROR(__xludf.DUMMYFUNCTION("""COMPUTED_VALUE"""),78861)</f>
        <v>78861</v>
      </c>
    </row>
    <row r="139" spans="1:50" ht="210" x14ac:dyDescent="0.2">
      <c r="A139" s="8" t="str">
        <f ca="1">IFERROR(__xludf.DUMMYFUNCTION("""COMPUTED_VALUE"""),"20250307COBOG")</f>
        <v>20250307COBOG</v>
      </c>
      <c r="B139" s="8">
        <f ca="1">IFERROR(__xludf.DUMMYFUNCTION("""COMPUTED_VALUE"""),3)</f>
        <v>3</v>
      </c>
      <c r="C139" s="8">
        <f ca="1">IFERROR(__xludf.DUMMYFUNCTION("""COMPUTED_VALUE"""),7)</f>
        <v>7</v>
      </c>
      <c r="D139" s="8">
        <f ca="1">IFERROR(__xludf.DUMMYFUNCTION("""COMPUTED_VALUE"""),2025)</f>
        <v>2025</v>
      </c>
      <c r="E139" s="9">
        <f ca="1">IFERROR(__xludf.DUMMYFUNCTION("""COMPUTED_VALUE"""),45723)</f>
        <v>45723</v>
      </c>
      <c r="F139" s="8" t="str">
        <f ca="1">IFERROR(__xludf.DUMMYFUNCTION("""COMPUTED_VALUE"""),"Bookcliff Middle School")</f>
        <v>Bookcliff Middle School</v>
      </c>
      <c r="G139" s="8">
        <f ca="1">IFERROR(__xludf.DUMMYFUNCTION("""COMPUTED_VALUE"""),0)</f>
        <v>0</v>
      </c>
      <c r="H139" s="8">
        <f ca="1">IFERROR(__xludf.DUMMYFUNCTION("""COMPUTED_VALUE"""),0)</f>
        <v>0</v>
      </c>
      <c r="I139" s="8">
        <f ca="1">IFERROR(__xludf.DUMMYFUNCTION("""COMPUTED_VALUE"""),0)</f>
        <v>0</v>
      </c>
      <c r="J139" s="8">
        <f ca="1">IFERROR(__xludf.DUMMYFUNCTION("""COMPUTED_VALUE"""),0)</f>
        <v>0</v>
      </c>
      <c r="K139" s="10" t="str">
        <f ca="1">IFERROR(__xludf.DUMMYFUNCTION("""COMPUTED_VALUE"""),"https://www.westernslopenow.com/news/13-year-old-arrested-after-reportedly-bringing-handgun-to-bookcliff-middle/?fbclid=IwY2xjawI4PJ5leHRuA2FlbQIxMQABHdF9eSdkU1A_WDTobZV8l7nZcIuikDVd1mLuZzFnh1RfA1xnJ4_couTM5A_aem_2T0mIXzbk_TFa8TkU8UMpQ
https://kool1079.co"&amp;"m/bookcliff-middle-school-gun-arrest/")</f>
        <v>https://www.westernslopenow.com/news/13-year-old-arrested-after-reportedly-bringing-handgun-to-bookcliff-middle/?fbclid=IwY2xjawI4PJ5leHRuA2FlbQIxMQABHdF9eSdkU1A_WDTobZV8l7nZcIuikDVd1mLuZzFnh1RfA1xnJ4_couTM5A_aem_2T0mIXzbk_TFa8TkU8UMpQ
https://kool1079.com/bookcliff-middle-school-gun-arrest/</v>
      </c>
      <c r="L139" s="8">
        <f ca="1">IFERROR(__xludf.DUMMYFUNCTION("""COMPUTED_VALUE"""),10)</f>
        <v>10</v>
      </c>
      <c r="M139" s="8" t="str">
        <f ca="1">IFERROR(__xludf.DUMMYFUNCTION("""COMPUTED_VALUE"""),"Regional")</f>
        <v>Regional</v>
      </c>
      <c r="N139" s="8">
        <f ca="1">IFERROR(__xludf.DUMMYFUNCTION("""COMPUTED_VALUE"""),3)</f>
        <v>3</v>
      </c>
      <c r="O139" s="8" t="str">
        <f ca="1">IFERROR(__xludf.DUMMYFUNCTION("""COMPUTED_VALUE"""),"Spring")</f>
        <v>Spring</v>
      </c>
      <c r="P139" s="8" t="str">
        <f ca="1">IFERROR(__xludf.DUMMYFUNCTION("""COMPUTED_VALUE"""),"Grand Junction")</f>
        <v>Grand Junction</v>
      </c>
      <c r="Q139" s="8" t="str">
        <f ca="1">IFERROR(__xludf.DUMMYFUNCTION("""COMPUTED_VALUE"""),"CO")</f>
        <v>CO</v>
      </c>
      <c r="R139" s="8" t="str">
        <f ca="1">IFERROR(__xludf.DUMMYFUNCTION("""COMPUTED_VALUE"""),"Middle")</f>
        <v>Middle</v>
      </c>
      <c r="S139" s="8" t="str">
        <f ca="1">IFERROR(__xludf.DUMMYFUNCTION("""COMPUTED_VALUE"""),"Inside School Building")</f>
        <v>Inside School Building</v>
      </c>
      <c r="T139" s="8" t="str">
        <f ca="1">IFERROR(__xludf.DUMMYFUNCTION("""COMPUTED_VALUE"""),"Inside School Building")</f>
        <v>Inside School Building</v>
      </c>
      <c r="U139" s="8" t="str">
        <f ca="1">IFERROR(__xludf.DUMMYFUNCTION("""COMPUTED_VALUE"""),"Yes")</f>
        <v>Yes</v>
      </c>
      <c r="V139" s="8" t="str">
        <f ca="1">IFERROR(__xludf.DUMMYFUNCTION("""COMPUTED_VALUE"""),"Morning Classes")</f>
        <v>Morning Classes</v>
      </c>
      <c r="W139" s="11">
        <f ca="1">IFERROR(__xludf.DUMMYFUNCTION("""COMPUTED_VALUE"""),0.378472222222222)</f>
        <v>0.37847222222222199</v>
      </c>
      <c r="X139" s="8">
        <f ca="1">IFERROR(__xludf.DUMMYFUNCTION("""COMPUTED_VALUE"""),1)</f>
        <v>1</v>
      </c>
      <c r="Y139" s="12" t="str">
        <f ca="1">IFERROR(__xludf.DUMMYFUNCTION("""COMPUTED_VALUE"""),"13-year-old student threatened 10 classmates with a gun, school went on lockdown, student arrested")</f>
        <v>13-year-old student threatened 10 classmates with a gun, school went on lockdown, student arrested</v>
      </c>
      <c r="Z139" s="12" t="str">
        <f ca="1">IFERROR(__xludf.DUMMYFUNCTION("""COMPUTED_VALUE"""),"A minor was arrested Friday morning after allegedly bringing a handgun to Bookcliff Middle School and making threatening statements to students. The incident occurred around 9:05 a.m. when the Grand Junction Police Department and District 51 Safety and Se"&amp;"curity responded to reports of felony menacing. Officers quickly found the handgun and took the 13-year-old into custody. The teen was transported to the Division of Youth Services on 10 counts of felony menacing, Weapon possession at school/childcare – f"&amp;"irearm, Possession of a handgun by a juvenile, Interference with staff, faculty or students of educational institutions. There were no injuries in this incident. The handgun was not discharged, the police department said.")</f>
        <v>A minor was arrested Friday morning after allegedly bringing a handgun to Bookcliff Middle School and making threatening statements to students. The incident occurred around 9:05 a.m. when the Grand Junction Police Department and District 51 Safety and Security responded to reports of felony menacing. Officers quickly found the handgun and took the 13-year-old into custody. The teen was transported to the Division of Youth Services on 10 counts of felony menacing, Weapon possession at school/childcare – firearm, Possession of a handgun by a juvenile, Interference with staff, faculty or students of educational institutions. There were no injuries in this incident. The handgun was not discharged, the police department said.</v>
      </c>
      <c r="AA139" s="8"/>
      <c r="AB139" s="8"/>
      <c r="AC139" s="8" t="str">
        <f ca="1">IFERROR(__xludf.DUMMYFUNCTION("""COMPUTED_VALUE"""),"Yes")</f>
        <v>Yes</v>
      </c>
      <c r="AD139" s="8"/>
      <c r="AE139" s="8" t="str">
        <f ca="1">IFERROR(__xludf.DUMMYFUNCTION("""COMPUTED_VALUE"""),"No")</f>
        <v>No</v>
      </c>
      <c r="AF139" s="8"/>
      <c r="AG139" s="8" t="str">
        <f ca="1">IFERROR(__xludf.DUMMYFUNCTION("""COMPUTED_VALUE"""),"No")</f>
        <v>No</v>
      </c>
      <c r="AH139" s="8" t="str">
        <f ca="1">IFERROR(__xludf.DUMMYFUNCTION("""COMPUTED_VALUE"""),"No")</f>
        <v>No</v>
      </c>
      <c r="AI139" s="8" t="str">
        <f ca="1">IFERROR(__xludf.DUMMYFUNCTION("""COMPUTED_VALUE"""),"No")</f>
        <v>No</v>
      </c>
      <c r="AJ139" s="8"/>
      <c r="AK139" s="8" t="str">
        <f ca="1">IFERROR(__xludf.DUMMYFUNCTION("""COMPUTED_VALUE"""),"No")</f>
        <v>No</v>
      </c>
      <c r="AL139" s="8" t="str">
        <f ca="1">IFERROR(__xludf.DUMMYFUNCTION("""COMPUTED_VALUE"""),"No")</f>
        <v>No</v>
      </c>
      <c r="AM139" s="8"/>
      <c r="AN139" s="8"/>
      <c r="AO139" s="8"/>
      <c r="AP139" s="8"/>
      <c r="AQ139" s="8"/>
      <c r="AR139" s="8" t="str">
        <f ca="1">IFERROR(__xludf.DUMMYFUNCTION("""COMPUTED_VALUE"""),"Failed")</f>
        <v>Failed</v>
      </c>
      <c r="AS139" s="8">
        <f ca="1">IFERROR(__xludf.DUMMYFUNCTION("""COMPUTED_VALUE"""),0)</f>
        <v>0</v>
      </c>
      <c r="AT139" s="8" t="str">
        <f ca="1">IFERROR(__xludf.DUMMYFUNCTION("""COMPUTED_VALUE"""),"Yes")</f>
        <v>Yes</v>
      </c>
      <c r="AU139" s="8">
        <f ca="1">IFERROR(__xludf.DUMMYFUNCTION("""COMPUTED_VALUE"""),39.082337)</f>
        <v>39.082337000000003</v>
      </c>
      <c r="AV139" s="8">
        <f ca="1">IFERROR(__xludf.DUMMYFUNCTION("""COMPUTED_VALUE"""),-108.509839)</f>
        <v>-108.509839</v>
      </c>
      <c r="AW139" s="8" t="str">
        <f ca="1">IFERROR(__xludf.DUMMYFUNCTION("""COMPUTED_VALUE"""),"Single building indoor hallway")</f>
        <v>Single building indoor hallway</v>
      </c>
      <c r="AX139" s="8">
        <f ca="1">IFERROR(__xludf.DUMMYFUNCTION("""COMPUTED_VALUE"""),81501)</f>
        <v>81501</v>
      </c>
    </row>
    <row r="140" spans="1:50" ht="180" x14ac:dyDescent="0.2">
      <c r="A140" s="8" t="str">
        <f ca="1">IFERROR(__xludf.DUMMYFUNCTION("""COMPUTED_VALUE"""),"20250306TNMUM")</f>
        <v>20250306TNMUM</v>
      </c>
      <c r="B140" s="8">
        <f ca="1">IFERROR(__xludf.DUMMYFUNCTION("""COMPUTED_VALUE"""),3)</f>
        <v>3</v>
      </c>
      <c r="C140" s="8">
        <f ca="1">IFERROR(__xludf.DUMMYFUNCTION("""COMPUTED_VALUE"""),6)</f>
        <v>6</v>
      </c>
      <c r="D140" s="8">
        <f ca="1">IFERROR(__xludf.DUMMYFUNCTION("""COMPUTED_VALUE"""),2025)</f>
        <v>2025</v>
      </c>
      <c r="E140" s="9">
        <f ca="1">IFERROR(__xludf.DUMMYFUNCTION("""COMPUTED_VALUE"""),45722)</f>
        <v>45722</v>
      </c>
      <c r="F140" s="8" t="str">
        <f ca="1">IFERROR(__xludf.DUMMYFUNCTION("""COMPUTED_VALUE"""),"Munford High School")</f>
        <v>Munford High School</v>
      </c>
      <c r="G140" s="8">
        <f ca="1">IFERROR(__xludf.DUMMYFUNCTION("""COMPUTED_VALUE"""),0)</f>
        <v>0</v>
      </c>
      <c r="H140" s="8">
        <f ca="1">IFERROR(__xludf.DUMMYFUNCTION("""COMPUTED_VALUE"""),0)</f>
        <v>0</v>
      </c>
      <c r="I140" s="8">
        <f ca="1">IFERROR(__xludf.DUMMYFUNCTION("""COMPUTED_VALUE"""),0)</f>
        <v>0</v>
      </c>
      <c r="J140" s="8">
        <f ca="1">IFERROR(__xludf.DUMMYFUNCTION("""COMPUTED_VALUE"""),1)</f>
        <v>1</v>
      </c>
      <c r="K140" s="10" t="str">
        <f ca="1">IFERROR(__xludf.DUMMYFUNCTION("""COMPUTED_VALUE"""),"https://wreg.com/news/local/munford-high-closes-after-emergency-situation/
https://www.wsmv.com/2025/03/06/tn-high-school-closed-after-teacher-found-dead/")</f>
        <v>https://wreg.com/news/local/munford-high-closes-after-emergency-situation/
https://www.wsmv.com/2025/03/06/tn-high-school-closed-after-teacher-found-dead/</v>
      </c>
      <c r="L140" s="8">
        <f ca="1">IFERROR(__xludf.DUMMYFUNCTION("""COMPUTED_VALUE"""),20)</f>
        <v>20</v>
      </c>
      <c r="M140" s="8" t="str">
        <f ca="1">IFERROR(__xludf.DUMMYFUNCTION("""COMPUTED_VALUE"""),"International")</f>
        <v>International</v>
      </c>
      <c r="N140" s="8">
        <f ca="1">IFERROR(__xludf.DUMMYFUNCTION("""COMPUTED_VALUE"""),4)</f>
        <v>4</v>
      </c>
      <c r="O140" s="8" t="str">
        <f ca="1">IFERROR(__xludf.DUMMYFUNCTION("""COMPUTED_VALUE"""),"Spring")</f>
        <v>Spring</v>
      </c>
      <c r="P140" s="8" t="str">
        <f ca="1">IFERROR(__xludf.DUMMYFUNCTION("""COMPUTED_VALUE"""),"Munford")</f>
        <v>Munford</v>
      </c>
      <c r="Q140" s="8" t="str">
        <f ca="1">IFERROR(__xludf.DUMMYFUNCTION("""COMPUTED_VALUE"""),"TN")</f>
        <v>TN</v>
      </c>
      <c r="R140" s="8" t="str">
        <f ca="1">IFERROR(__xludf.DUMMYFUNCTION("""COMPUTED_VALUE"""),"High")</f>
        <v>High</v>
      </c>
      <c r="S140" s="8" t="str">
        <f ca="1">IFERROR(__xludf.DUMMYFUNCTION("""COMPUTED_VALUE"""),"Classroom")</f>
        <v>Classroom</v>
      </c>
      <c r="T140" s="8" t="str">
        <f ca="1">IFERROR(__xludf.DUMMYFUNCTION("""COMPUTED_VALUE"""),"Inside School Building")</f>
        <v>Inside School Building</v>
      </c>
      <c r="U140" s="8" t="str">
        <f ca="1">IFERROR(__xludf.DUMMYFUNCTION("""COMPUTED_VALUE"""),"No")</f>
        <v>No</v>
      </c>
      <c r="V140" s="8" t="str">
        <f ca="1">IFERROR(__xludf.DUMMYFUNCTION("""COMPUTED_VALUE"""),"Before School")</f>
        <v>Before School</v>
      </c>
      <c r="W140" s="11">
        <f ca="1">IFERROR(__xludf.DUMMYFUNCTION("""COMPUTED_VALUE"""),0.25)</f>
        <v>0.25</v>
      </c>
      <c r="X140" s="8">
        <f ca="1">IFERROR(__xludf.DUMMYFUNCTION("""COMPUTED_VALUE"""),1)</f>
        <v>1</v>
      </c>
      <c r="Y140" s="12" t="str">
        <f ca="1">IFERROR(__xludf.DUMMYFUNCTION("""COMPUTED_VALUE"""),"Teacher committed suicide inside a school classroom")</f>
        <v>Teacher committed suicide inside a school classroom</v>
      </c>
      <c r="Z140" s="12" t="str">
        <f ca="1">IFERROR(__xludf.DUMMYFUNCTION("""COMPUTED_VALUE"""),"A Teacher was found dead at Munford High School Thursday morning, leading to the school’s closure for the day, according to Tipton County Schools. The Munford Police Department later identified the teacher as Samuel Colin Day, the special education direct"&amp;"or. He was found dead in one of the classrooms from an apparent self-inflicted gunshot wound. Assistant Superintendent Dr. Rebekah Byrd said in a statement that the staff member was found dead during the early morning hours before students were present. T"&amp;"he situation was referred to as an “isolated incident.” Munford High School will remain closed for the day while Munford Police continue their investigation.")</f>
        <v>A Teacher was found dead at Munford High School Thursday morning, leading to the school’s closure for the day, according to Tipton County Schools. The Munford Police Department later identified the teacher as Samuel Colin Day, the special education director. He was found dead in one of the classrooms from an apparent self-inflicted gunshot wound. Assistant Superintendent Dr. Rebekah Byrd said in a statement that the staff member was found dead during the early morning hours before students were present. The situation was referred to as an “isolated incident.” Munford High School will remain closed for the day while Munford Police continue their investigation.</v>
      </c>
      <c r="AA140" s="8" t="str">
        <f ca="1">IFERROR(__xludf.DUMMYFUNCTION("""COMPUTED_VALUE"""),"Suicide/Attempted")</f>
        <v>Suicide/Attempted</v>
      </c>
      <c r="AB140" s="8"/>
      <c r="AC140" s="8" t="str">
        <f ca="1">IFERROR(__xludf.DUMMYFUNCTION("""COMPUTED_VALUE"""),"Yes")</f>
        <v>Yes</v>
      </c>
      <c r="AD140" s="8" t="str">
        <f ca="1">IFERROR(__xludf.DUMMYFUNCTION("""COMPUTED_VALUE"""),"Victims Targeted")</f>
        <v>Victims Targeted</v>
      </c>
      <c r="AE140" s="8" t="str">
        <f ca="1">IFERROR(__xludf.DUMMYFUNCTION("""COMPUTED_VALUE"""),"No")</f>
        <v>No</v>
      </c>
      <c r="AF140" s="8"/>
      <c r="AG140" s="8" t="str">
        <f ca="1">IFERROR(__xludf.DUMMYFUNCTION("""COMPUTED_VALUE"""),"No")</f>
        <v>No</v>
      </c>
      <c r="AH140" s="8" t="str">
        <f ca="1">IFERROR(__xludf.DUMMYFUNCTION("""COMPUTED_VALUE"""),"No")</f>
        <v>No</v>
      </c>
      <c r="AI140" s="8" t="str">
        <f ca="1">IFERROR(__xludf.DUMMYFUNCTION("""COMPUTED_VALUE"""),"No")</f>
        <v>No</v>
      </c>
      <c r="AJ140" s="8" t="str">
        <f ca="1">IFERROR(__xludf.DUMMYFUNCTION("""COMPUTED_VALUE"""),"No")</f>
        <v>No</v>
      </c>
      <c r="AK140" s="8" t="str">
        <f ca="1">IFERROR(__xludf.DUMMYFUNCTION("""COMPUTED_VALUE"""),"No")</f>
        <v>No</v>
      </c>
      <c r="AL140" s="8" t="str">
        <f ca="1">IFERROR(__xludf.DUMMYFUNCTION("""COMPUTED_VALUE"""),"No")</f>
        <v>No</v>
      </c>
      <c r="AM140" s="8" t="str">
        <f ca="1">IFERROR(__xludf.DUMMYFUNCTION("""COMPUTED_VALUE"""),"No")</f>
        <v>No</v>
      </c>
      <c r="AN140" s="8" t="str">
        <f ca="1">IFERROR(__xludf.DUMMYFUNCTION("""COMPUTED_VALUE"""),"Single Room")</f>
        <v>Single Room</v>
      </c>
      <c r="AO140" s="8" t="str">
        <f ca="1">IFERROR(__xludf.DUMMYFUNCTION("""COMPUTED_VALUE"""),"No")</f>
        <v>No</v>
      </c>
      <c r="AP140" s="8"/>
      <c r="AQ140" s="8"/>
      <c r="AR140" s="8" t="str">
        <f ca="1">IFERROR(__xludf.DUMMYFUNCTION("""COMPUTED_VALUE"""),"Failed")</f>
        <v>Failed</v>
      </c>
      <c r="AS140" s="8">
        <f ca="1">IFERROR(__xludf.DUMMYFUNCTION("""COMPUTED_VALUE"""),1)</f>
        <v>1</v>
      </c>
      <c r="AT140" s="8" t="str">
        <f ca="1">IFERROR(__xludf.DUMMYFUNCTION("""COMPUTED_VALUE"""),"Yes")</f>
        <v>Yes</v>
      </c>
      <c r="AU140" s="8">
        <f ca="1">IFERROR(__xludf.DUMMYFUNCTION("""COMPUTED_VALUE"""),35.453773)</f>
        <v>35.453772999999998</v>
      </c>
      <c r="AV140" s="8">
        <f ca="1">IFERROR(__xludf.DUMMYFUNCTION("""COMPUTED_VALUE"""),-89.801725)</f>
        <v>-89.801725000000005</v>
      </c>
      <c r="AW140" s="8" t="str">
        <f ca="1">IFERROR(__xludf.DUMMYFUNCTION("""COMPUTED_VALUE"""),"Multiple detached buildings")</f>
        <v>Multiple detached buildings</v>
      </c>
      <c r="AX140" s="8">
        <f ca="1">IFERROR(__xludf.DUMMYFUNCTION("""COMPUTED_VALUE"""),38058)</f>
        <v>38058</v>
      </c>
    </row>
    <row r="141" spans="1:50" ht="150" x14ac:dyDescent="0.2">
      <c r="A141" s="8" t="str">
        <f ca="1">IFERROR(__xludf.DUMMYFUNCTION("""COMPUTED_VALUE"""),"20250306NCMAC")</f>
        <v>20250306NCMAC</v>
      </c>
      <c r="B141" s="8">
        <f ca="1">IFERROR(__xludf.DUMMYFUNCTION("""COMPUTED_VALUE"""),3)</f>
        <v>3</v>
      </c>
      <c r="C141" s="8">
        <f ca="1">IFERROR(__xludf.DUMMYFUNCTION("""COMPUTED_VALUE"""),6)</f>
        <v>6</v>
      </c>
      <c r="D141" s="8">
        <f ca="1">IFERROR(__xludf.DUMMYFUNCTION("""COMPUTED_VALUE"""),2025)</f>
        <v>2025</v>
      </c>
      <c r="E141" s="9">
        <f ca="1">IFERROR(__xludf.DUMMYFUNCTION("""COMPUTED_VALUE"""),45722)</f>
        <v>45722</v>
      </c>
      <c r="F141" s="8" t="str">
        <f ca="1">IFERROR(__xludf.DUMMYFUNCTION("""COMPUTED_VALUE"""),"Martin Luther King Jr. Middle School")</f>
        <v>Martin Luther King Jr. Middle School</v>
      </c>
      <c r="G141" s="8">
        <f ca="1">IFERROR(__xludf.DUMMYFUNCTION("""COMPUTED_VALUE"""),0)</f>
        <v>0</v>
      </c>
      <c r="H141" s="8">
        <f ca="1">IFERROR(__xludf.DUMMYFUNCTION("""COMPUTED_VALUE"""),2)</f>
        <v>2</v>
      </c>
      <c r="I141" s="8">
        <f ca="1">IFERROR(__xludf.DUMMYFUNCTION("""COMPUTED_VALUE"""),2)</f>
        <v>2</v>
      </c>
      <c r="J141" s="8">
        <f ca="1">IFERROR(__xludf.DUMMYFUNCTION("""COMPUTED_VALUE"""),0)</f>
        <v>0</v>
      </c>
      <c r="K141" s="8" t="str">
        <f ca="1">IFERROR(__xludf.DUMMYFUNCTION("""COMPUTED_VALUE"""),"https://www.wccbcharlotte.com/2025/03/06/parents-left-terrified-after-two-were-severely-injured-in-a-shooting-near-a-north-charlotte-middle-school/
https://www.wcnc.com/article/news/crime/northeast-charlotte-two-people-shot-northchase-drive-serious-injuri"&amp;"es-investigation/275-aad21b83-ad0e-4315-a971-5a83214753df
https://www.youtube.com/watch?v=6AofxU4Q1iE")</f>
        <v>https://www.wccbcharlotte.com/2025/03/06/parents-left-terrified-after-two-were-severely-injured-in-a-shooting-near-a-north-charlotte-middle-school/
https://www.wcnc.com/article/news/crime/northeast-charlotte-two-people-shot-northchase-drive-serious-injuries-investigation/275-aad21b83-ad0e-4315-a971-5a83214753df
https://www.youtube.com/watch?v=6AofxU4Q1iE</v>
      </c>
      <c r="L141" s="8">
        <f ca="1">IFERROR(__xludf.DUMMYFUNCTION("""COMPUTED_VALUE"""),10)</f>
        <v>10</v>
      </c>
      <c r="M141" s="8" t="str">
        <f ca="1">IFERROR(__xludf.DUMMYFUNCTION("""COMPUTED_VALUE"""),"Regional")</f>
        <v>Regional</v>
      </c>
      <c r="N141" s="8">
        <f ca="1">IFERROR(__xludf.DUMMYFUNCTION("""COMPUTED_VALUE"""),4)</f>
        <v>4</v>
      </c>
      <c r="O141" s="8" t="str">
        <f ca="1">IFERROR(__xludf.DUMMYFUNCTION("""COMPUTED_VALUE"""),"Spring")</f>
        <v>Spring</v>
      </c>
      <c r="P141" s="8" t="str">
        <f ca="1">IFERROR(__xludf.DUMMYFUNCTION("""COMPUTED_VALUE"""),"Charlotte")</f>
        <v>Charlotte</v>
      </c>
      <c r="Q141" s="8" t="str">
        <f ca="1">IFERROR(__xludf.DUMMYFUNCTION("""COMPUTED_VALUE"""),"NC")</f>
        <v>NC</v>
      </c>
      <c r="R141" s="8" t="str">
        <f ca="1">IFERROR(__xludf.DUMMYFUNCTION("""COMPUTED_VALUE"""),"Middle")</f>
        <v>Middle</v>
      </c>
      <c r="S141" s="8" t="str">
        <f ca="1">IFERROR(__xludf.DUMMYFUNCTION("""COMPUTED_VALUE"""),"Parking Lot")</f>
        <v>Parking Lot</v>
      </c>
      <c r="T141" s="8" t="str">
        <f ca="1">IFERROR(__xludf.DUMMYFUNCTION("""COMPUTED_VALUE"""),"Outside on School Property")</f>
        <v>Outside on School Property</v>
      </c>
      <c r="U141" s="8" t="str">
        <f ca="1">IFERROR(__xludf.DUMMYFUNCTION("""COMPUTED_VALUE"""),"Yes")</f>
        <v>Yes</v>
      </c>
      <c r="V141" s="8" t="str">
        <f ca="1">IFERROR(__xludf.DUMMYFUNCTION("""COMPUTED_VALUE"""),"Dismissal")</f>
        <v>Dismissal</v>
      </c>
      <c r="W141" s="11">
        <f ca="1">IFERROR(__xludf.DUMMYFUNCTION("""COMPUTED_VALUE"""),0.625)</f>
        <v>0.625</v>
      </c>
      <c r="X141" s="8">
        <f ca="1">IFERROR(__xludf.DUMMYFUNCTION("""COMPUTED_VALUE"""),1)</f>
        <v>1</v>
      </c>
      <c r="Y141" s="12" t="str">
        <f ca="1">IFERROR(__xludf.DUMMYFUNCTION("""COMPUTED_VALUE"""),"Two people shot on access road connecting apartments and school bus lot")</f>
        <v>Two people shot on access road connecting apartments and school bus lot</v>
      </c>
      <c r="Z141" s="12" t="str">
        <f ca="1">IFERROR(__xludf.DUMMYFUNCTION("""COMPUTED_VALUE"""),"In a statement CMPD confirmed the shooting incident occurred in the North Tryon Division just before 3 p.m. on Northchase Drive. Northchase Dr leads directly to the bus lot of Martin Luther King Jr. Middle School. Through emails with Charlotte Mecklenburg"&amp;" Schools, WCCB confirmed that Martin Luther King Jr. Middle and Hidden Valley Elementary Schools were both placed on lockdown for more than 30 minutes. A district spokesperson said that parents were made aware of the lockdown, and that it did delay dismis"&amp;"sal until law enforcement gave the all clear.")</f>
        <v>In a statement CMPD confirmed the shooting incident occurred in the North Tryon Division just before 3 p.m. on Northchase Drive. Northchase Dr leads directly to the bus lot of Martin Luther King Jr. Middle School. Through emails with Charlotte Mecklenburg Schools, WCCB confirmed that Martin Luther King Jr. Middle and Hidden Valley Elementary Schools were both placed on lockdown for more than 30 minutes. A district spokesperson said that parents were made aware of the lockdown, and that it did delay dismissal until law enforcement gave the all clear.</v>
      </c>
      <c r="AA141" s="8" t="str">
        <f ca="1">IFERROR(__xludf.DUMMYFUNCTION("""COMPUTED_VALUE"""),"Drive-by Shooting")</f>
        <v>Drive-by Shooting</v>
      </c>
      <c r="AB141" s="8" t="str">
        <f ca="1">IFERROR(__xludf.DUMMYFUNCTION("""COMPUTED_VALUE"""),"Targeted")</f>
        <v>Targeted</v>
      </c>
      <c r="AC141" s="8" t="str">
        <f ca="1">IFERROR(__xludf.DUMMYFUNCTION("""COMPUTED_VALUE"""),"Yes")</f>
        <v>Yes</v>
      </c>
      <c r="AD141" s="8" t="str">
        <f ca="1">IFERROR(__xludf.DUMMYFUNCTION("""COMPUTED_VALUE"""),"Victims Targeted")</f>
        <v>Victims Targeted</v>
      </c>
      <c r="AE141" s="8"/>
      <c r="AF141" s="8"/>
      <c r="AG141" s="8" t="str">
        <f ca="1">IFERROR(__xludf.DUMMYFUNCTION("""COMPUTED_VALUE"""),"No")</f>
        <v>No</v>
      </c>
      <c r="AH141" s="8" t="str">
        <f ca="1">IFERROR(__xludf.DUMMYFUNCTION("""COMPUTED_VALUE"""),"No")</f>
        <v>No</v>
      </c>
      <c r="AI141" s="8" t="str">
        <f ca="1">IFERROR(__xludf.DUMMYFUNCTION("""COMPUTED_VALUE"""),"No")</f>
        <v>No</v>
      </c>
      <c r="AJ141" s="8" t="str">
        <f ca="1">IFERROR(__xludf.DUMMYFUNCTION("""COMPUTED_VALUE"""),"No")</f>
        <v>No</v>
      </c>
      <c r="AK141" s="8"/>
      <c r="AL141" s="8" t="str">
        <f ca="1">IFERROR(__xludf.DUMMYFUNCTION("""COMPUTED_VALUE"""),"No")</f>
        <v>No</v>
      </c>
      <c r="AM141" s="8" t="str">
        <f ca="1">IFERROR(__xludf.DUMMYFUNCTION("""COMPUTED_VALUE"""),"No")</f>
        <v>No</v>
      </c>
      <c r="AN141" s="8" t="str">
        <f ca="1">IFERROR(__xludf.DUMMYFUNCTION("""COMPUTED_VALUE"""),"Outside")</f>
        <v>Outside</v>
      </c>
      <c r="AO141" s="8" t="str">
        <f ca="1">IFERROR(__xludf.DUMMYFUNCTION("""COMPUTED_VALUE"""),"No")</f>
        <v>No</v>
      </c>
      <c r="AP141" s="8" t="str">
        <f ca="1">IFERROR(__xludf.DUMMYFUNCTION("""COMPUTED_VALUE"""),"Yes")</f>
        <v>Yes</v>
      </c>
      <c r="AQ141" s="8"/>
      <c r="AR141" s="8" t="str">
        <f ca="1">IFERROR(__xludf.DUMMYFUNCTION("""COMPUTED_VALUE"""),"Outside/Off-Property")</f>
        <v>Outside/Off-Property</v>
      </c>
      <c r="AS141" s="8">
        <f ca="1">IFERROR(__xludf.DUMMYFUNCTION("""COMPUTED_VALUE"""),99)</f>
        <v>99</v>
      </c>
      <c r="AT141" s="8" t="str">
        <f ca="1">IFERROR(__xludf.DUMMYFUNCTION("""COMPUTED_VALUE"""),"Yes")</f>
        <v>Yes</v>
      </c>
      <c r="AU141" s="8">
        <f ca="1">IFERROR(__xludf.DUMMYFUNCTION("""COMPUTED_VALUE"""),35.263325)</f>
        <v>35.263325000000002</v>
      </c>
      <c r="AV141" s="8">
        <f ca="1">IFERROR(__xludf.DUMMYFUNCTION("""COMPUTED_VALUE"""),-80.776798)</f>
        <v>-80.776797999999999</v>
      </c>
      <c r="AW141" s="8" t="str">
        <f ca="1">IFERROR(__xludf.DUMMYFUNCTION("""COMPUTED_VALUE"""),"Multiple attached buildings")</f>
        <v>Multiple attached buildings</v>
      </c>
      <c r="AX141" s="8">
        <f ca="1">IFERROR(__xludf.DUMMYFUNCTION("""COMPUTED_VALUE"""),28213)</f>
        <v>28213</v>
      </c>
    </row>
    <row r="142" spans="1:50" ht="135" x14ac:dyDescent="0.2">
      <c r="A142" s="8" t="str">
        <f ca="1">IFERROR(__xludf.DUMMYFUNCTION("""COMPUTED_VALUE"""),"20250304MDLAL")</f>
        <v>20250304MDLAL</v>
      </c>
      <c r="B142" s="8">
        <f ca="1">IFERROR(__xludf.DUMMYFUNCTION("""COMPUTED_VALUE"""),3)</f>
        <v>3</v>
      </c>
      <c r="C142" s="8">
        <f ca="1">IFERROR(__xludf.DUMMYFUNCTION("""COMPUTED_VALUE"""),4)</f>
        <v>4</v>
      </c>
      <c r="D142" s="8">
        <f ca="1">IFERROR(__xludf.DUMMYFUNCTION("""COMPUTED_VALUE"""),2025)</f>
        <v>2025</v>
      </c>
      <c r="E142" s="9">
        <f ca="1">IFERROR(__xludf.DUMMYFUNCTION("""COMPUTED_VALUE"""),45720)</f>
        <v>45720</v>
      </c>
      <c r="F142" s="8" t="str">
        <f ca="1">IFERROR(__xludf.DUMMYFUNCTION("""COMPUTED_VALUE"""),"Lansdowne High School")</f>
        <v>Lansdowne High School</v>
      </c>
      <c r="G142" s="8">
        <f ca="1">IFERROR(__xludf.DUMMYFUNCTION("""COMPUTED_VALUE"""),1)</f>
        <v>1</v>
      </c>
      <c r="H142" s="8">
        <f ca="1">IFERROR(__xludf.DUMMYFUNCTION("""COMPUTED_VALUE"""),0)</f>
        <v>0</v>
      </c>
      <c r="I142" s="8">
        <f ca="1">IFERROR(__xludf.DUMMYFUNCTION("""COMPUTED_VALUE"""),1)</f>
        <v>1</v>
      </c>
      <c r="J142" s="8">
        <f ca="1">IFERROR(__xludf.DUMMYFUNCTION("""COMPUTED_VALUE"""),0)</f>
        <v>0</v>
      </c>
      <c r="K142" s="8" t="str">
        <f ca="1">IFERROR(__xludf.DUMMYFUNCTION("""COMPUTED_VALUE"""),"https://www.wbaltv.com/article/lansdowne-high-school-large-police-presence/64039591
https://www.wmar2news.com/local/16-year-old-lansdowne-high-school-student-shot-and-killed
https://www.youtube.com/watch?v=jZykMWvA3Dc")</f>
        <v>https://www.wbaltv.com/article/lansdowne-high-school-large-police-presence/64039591
https://www.wmar2news.com/local/16-year-old-lansdowne-high-school-student-shot-and-killed
https://www.youtube.com/watch?v=jZykMWvA3Dc</v>
      </c>
      <c r="L142" s="8">
        <f ca="1">IFERROR(__xludf.DUMMYFUNCTION("""COMPUTED_VALUE"""),10)</f>
        <v>10</v>
      </c>
      <c r="M142" s="8" t="str">
        <f ca="1">IFERROR(__xludf.DUMMYFUNCTION("""COMPUTED_VALUE"""),"Regional")</f>
        <v>Regional</v>
      </c>
      <c r="N142" s="8">
        <f ca="1">IFERROR(__xludf.DUMMYFUNCTION("""COMPUTED_VALUE"""),4)</f>
        <v>4</v>
      </c>
      <c r="O142" s="8" t="str">
        <f ca="1">IFERROR(__xludf.DUMMYFUNCTION("""COMPUTED_VALUE"""),"Spring")</f>
        <v>Spring</v>
      </c>
      <c r="P142" s="8" t="str">
        <f ca="1">IFERROR(__xludf.DUMMYFUNCTION("""COMPUTED_VALUE"""),"Lansdowne")</f>
        <v>Lansdowne</v>
      </c>
      <c r="Q142" s="8" t="str">
        <f ca="1">IFERROR(__xludf.DUMMYFUNCTION("""COMPUTED_VALUE"""),"MD")</f>
        <v>MD</v>
      </c>
      <c r="R142" s="8" t="str">
        <f ca="1">IFERROR(__xludf.DUMMYFUNCTION("""COMPUTED_VALUE"""),"High")</f>
        <v>High</v>
      </c>
      <c r="S142" s="8" t="str">
        <f ca="1">IFERROR(__xludf.DUMMYFUNCTION("""COMPUTED_VALUE"""),"Front of School")</f>
        <v>Front of School</v>
      </c>
      <c r="T142" s="8" t="str">
        <f ca="1">IFERROR(__xludf.DUMMYFUNCTION("""COMPUTED_VALUE"""),"Outside on School Property")</f>
        <v>Outside on School Property</v>
      </c>
      <c r="U142" s="8" t="str">
        <f ca="1">IFERROR(__xludf.DUMMYFUNCTION("""COMPUTED_VALUE"""),"Yes")</f>
        <v>Yes</v>
      </c>
      <c r="V142" s="8" t="str">
        <f ca="1">IFERROR(__xludf.DUMMYFUNCTION("""COMPUTED_VALUE"""),"Dismissal")</f>
        <v>Dismissal</v>
      </c>
      <c r="W142" s="11">
        <f ca="1">IFERROR(__xludf.DUMMYFUNCTION("""COMPUTED_VALUE"""),0.604166666666666)</f>
        <v>0.60416666666666596</v>
      </c>
      <c r="X142" s="8">
        <f ca="1">IFERROR(__xludf.DUMMYFUNCTION("""COMPUTED_VALUE"""),1)</f>
        <v>1</v>
      </c>
      <c r="Y142" s="12" t="str">
        <f ca="1">IFERROR(__xludf.DUMMYFUNCTION("""COMPUTED_VALUE"""),"Student shot across the street from campus, fled onto campus, shooter chased him and fired multiple shots killing him")</f>
        <v>Student shot across the street from campus, fled onto campus, shooter chased him and fired multiple shots killing him</v>
      </c>
      <c r="Z142" s="12" t="str">
        <f ca="1">IFERROR(__xludf.DUMMYFUNCTION("""COMPUTED_VALUE"""),"Shortly after 2:30 p.m. Tuesday, police received reports of a shooting in the 3900 block of Hollins Ferry Road, near Lansdowne High School, according to Baltimore County Police Chief Robert McCullough. After the 16-year-old student victim was shot and fel"&amp;"l to the ground, the suspect walked up to the victim and shot them. The wounded victim fled onto the Lansdowne High School campus where the shooter chased him and fired multiple shots killing the student. The suspect got back into a car and fled.")</f>
        <v>Shortly after 2:30 p.m. Tuesday, police received reports of a shooting in the 3900 block of Hollins Ferry Road, near Lansdowne High School, according to Baltimore County Police Chief Robert McCullough. After the 16-year-old student victim was shot and fell to the ground, the suspect walked up to the victim and shot them. The wounded victim fled onto the Lansdowne High School campus where the shooter chased him and fired multiple shots killing the student. The suspect got back into a car and fled.</v>
      </c>
      <c r="AA142" s="8"/>
      <c r="AB142" s="8" t="str">
        <f ca="1">IFERROR(__xludf.DUMMYFUNCTION("""COMPUTED_VALUE"""),"Targeted")</f>
        <v>Targeted</v>
      </c>
      <c r="AC142" s="8" t="str">
        <f ca="1">IFERROR(__xludf.DUMMYFUNCTION("""COMPUTED_VALUE"""),"Yes")</f>
        <v>Yes</v>
      </c>
      <c r="AD142" s="8" t="str">
        <f ca="1">IFERROR(__xludf.DUMMYFUNCTION("""COMPUTED_VALUE"""),"Victims Targeted")</f>
        <v>Victims Targeted</v>
      </c>
      <c r="AE142" s="8" t="str">
        <f ca="1">IFERROR(__xludf.DUMMYFUNCTION("""COMPUTED_VALUE"""),"No")</f>
        <v>No</v>
      </c>
      <c r="AF142" s="8"/>
      <c r="AG142" s="8" t="str">
        <f ca="1">IFERROR(__xludf.DUMMYFUNCTION("""COMPUTED_VALUE"""),"No")</f>
        <v>No</v>
      </c>
      <c r="AH142" s="8" t="str">
        <f ca="1">IFERROR(__xludf.DUMMYFUNCTION("""COMPUTED_VALUE"""),"No")</f>
        <v>No</v>
      </c>
      <c r="AI142" s="8" t="str">
        <f ca="1">IFERROR(__xludf.DUMMYFUNCTION("""COMPUTED_VALUE"""),"No")</f>
        <v>No</v>
      </c>
      <c r="AJ142" s="8" t="str">
        <f ca="1">IFERROR(__xludf.DUMMYFUNCTION("""COMPUTED_VALUE"""),"No")</f>
        <v>No</v>
      </c>
      <c r="AK142" s="8" t="str">
        <f ca="1">IFERROR(__xludf.DUMMYFUNCTION("""COMPUTED_VALUE"""),"No")</f>
        <v>No</v>
      </c>
      <c r="AL142" s="8"/>
      <c r="AM142" s="8" t="str">
        <f ca="1">IFERROR(__xludf.DUMMYFUNCTION("""COMPUTED_VALUE"""),"No")</f>
        <v>No</v>
      </c>
      <c r="AN142" s="8" t="str">
        <f ca="1">IFERROR(__xludf.DUMMYFUNCTION("""COMPUTED_VALUE"""),"Outside")</f>
        <v>Outside</v>
      </c>
      <c r="AO142" s="8" t="str">
        <f ca="1">IFERROR(__xludf.DUMMYFUNCTION("""COMPUTED_VALUE"""),"No")</f>
        <v>No</v>
      </c>
      <c r="AP142" s="8"/>
      <c r="AQ142" s="8"/>
      <c r="AR142" s="8" t="str">
        <f ca="1">IFERROR(__xludf.DUMMYFUNCTION("""COMPUTED_VALUE"""),"Outside/Off-Property")</f>
        <v>Outside/Off-Property</v>
      </c>
      <c r="AS142" s="8">
        <f ca="1">IFERROR(__xludf.DUMMYFUNCTION("""COMPUTED_VALUE"""),10)</f>
        <v>10</v>
      </c>
      <c r="AT142" s="8" t="str">
        <f ca="1">IFERROR(__xludf.DUMMYFUNCTION("""COMPUTED_VALUE"""),"Yes")</f>
        <v>Yes</v>
      </c>
      <c r="AU142" s="8">
        <f ca="1">IFERROR(__xludf.DUMMYFUNCTION("""COMPUTED_VALUE"""),39.243768)</f>
        <v>39.243768000000003</v>
      </c>
      <c r="AV142" s="8">
        <f ca="1">IFERROR(__xludf.DUMMYFUNCTION("""COMPUTED_VALUE"""),-76.649601)</f>
        <v>-76.649601000000004</v>
      </c>
      <c r="AW142" s="8" t="str">
        <f ca="1">IFERROR(__xludf.DUMMYFUNCTION("""COMPUTED_VALUE"""),"Multiple attached buildings")</f>
        <v>Multiple attached buildings</v>
      </c>
      <c r="AX142" s="8">
        <f ca="1">IFERROR(__xludf.DUMMYFUNCTION("""COMPUTED_VALUE"""),21227)</f>
        <v>21227</v>
      </c>
    </row>
    <row r="143" spans="1:50" ht="240" x14ac:dyDescent="0.2">
      <c r="A143" s="8" t="str">
        <f ca="1">IFERROR(__xludf.DUMMYFUNCTION("""COMPUTED_VALUE"""),"20250304TXAKA")</f>
        <v>20250304TXAKA</v>
      </c>
      <c r="B143" s="8">
        <f ca="1">IFERROR(__xludf.DUMMYFUNCTION("""COMPUTED_VALUE"""),3)</f>
        <v>3</v>
      </c>
      <c r="C143" s="8">
        <f ca="1">IFERROR(__xludf.DUMMYFUNCTION("""COMPUTED_VALUE"""),4)</f>
        <v>4</v>
      </c>
      <c r="D143" s="8">
        <f ca="1">IFERROR(__xludf.DUMMYFUNCTION("""COMPUTED_VALUE"""),2025)</f>
        <v>2025</v>
      </c>
      <c r="E143" s="9">
        <f ca="1">IFERROR(__xludf.DUMMYFUNCTION("""COMPUTED_VALUE"""),45720)</f>
        <v>45720</v>
      </c>
      <c r="F143" s="8" t="str">
        <f ca="1">IFERROR(__xludf.DUMMYFUNCTION("""COMPUTED_VALUE"""),"Akins Early College High School")</f>
        <v>Akins Early College High School</v>
      </c>
      <c r="G143" s="8">
        <f ca="1">IFERROR(__xludf.DUMMYFUNCTION("""COMPUTED_VALUE"""),0)</f>
        <v>0</v>
      </c>
      <c r="H143" s="8">
        <f ca="1">IFERROR(__xludf.DUMMYFUNCTION("""COMPUTED_VALUE"""),1)</f>
        <v>1</v>
      </c>
      <c r="I143" s="8">
        <f ca="1">IFERROR(__xludf.DUMMYFUNCTION("""COMPUTED_VALUE"""),1)</f>
        <v>1</v>
      </c>
      <c r="J143" s="8">
        <f ca="1">IFERROR(__xludf.DUMMYFUNCTION("""COMPUTED_VALUE"""),0)</f>
        <v>0</v>
      </c>
      <c r="K143" s="8" t="str">
        <f ca="1">IFERROR(__xludf.DUMMYFUNCTION("""COMPUTED_VALUE"""),"https://cbsaustin.com/news/local/teen-shot-near-akins-early-college-high-school-in-s-austin-one-person-detained
https://www.statesman.com/story/news/local/2025/03/04/akins-high-school-shooting-south-austin-teenager-shot-police-arrest-person/81430622007/
h"&amp;"ttps://cbsaustin.com/news/local/teens-arrested-charged-in-shooting-near-akins-early-college-high-school")</f>
        <v>https://cbsaustin.com/news/local/teen-shot-near-akins-early-college-high-school-in-s-austin-one-person-detained
https://www.statesman.com/story/news/local/2025/03/04/akins-high-school-shooting-south-austin-teenager-shot-police-arrest-person/81430622007/
https://cbsaustin.com/news/local/teens-arrested-charged-in-shooting-near-akins-early-college-high-school</v>
      </c>
      <c r="L143" s="8">
        <f ca="1">IFERROR(__xludf.DUMMYFUNCTION("""COMPUTED_VALUE"""),10)</f>
        <v>10</v>
      </c>
      <c r="M143" s="8" t="str">
        <f ca="1">IFERROR(__xludf.DUMMYFUNCTION("""COMPUTED_VALUE"""),"Regional")</f>
        <v>Regional</v>
      </c>
      <c r="N143" s="8">
        <f ca="1">IFERROR(__xludf.DUMMYFUNCTION("""COMPUTED_VALUE"""),4)</f>
        <v>4</v>
      </c>
      <c r="O143" s="8" t="str">
        <f ca="1">IFERROR(__xludf.DUMMYFUNCTION("""COMPUTED_VALUE"""),"Spring")</f>
        <v>Spring</v>
      </c>
      <c r="P143" s="8" t="str">
        <f ca="1">IFERROR(__xludf.DUMMYFUNCTION("""COMPUTED_VALUE"""),"Austin")</f>
        <v>Austin</v>
      </c>
      <c r="Q143" s="8" t="str">
        <f ca="1">IFERROR(__xludf.DUMMYFUNCTION("""COMPUTED_VALUE"""),"TX")</f>
        <v>TX</v>
      </c>
      <c r="R143" s="8" t="str">
        <f ca="1">IFERROR(__xludf.DUMMYFUNCTION("""COMPUTED_VALUE"""),"High")</f>
        <v>High</v>
      </c>
      <c r="S143" s="8" t="str">
        <f ca="1">IFERROR(__xludf.DUMMYFUNCTION("""COMPUTED_VALUE"""),"Front of School")</f>
        <v>Front of School</v>
      </c>
      <c r="T143" s="8" t="str">
        <f ca="1">IFERROR(__xludf.DUMMYFUNCTION("""COMPUTED_VALUE"""),"Outside on School Property")</f>
        <v>Outside on School Property</v>
      </c>
      <c r="U143" s="8" t="str">
        <f ca="1">IFERROR(__xludf.DUMMYFUNCTION("""COMPUTED_VALUE"""),"Yes")</f>
        <v>Yes</v>
      </c>
      <c r="V143" s="8" t="str">
        <f ca="1">IFERROR(__xludf.DUMMYFUNCTION("""COMPUTED_VALUE"""),"Afternoon Classes")</f>
        <v>Afternoon Classes</v>
      </c>
      <c r="W143" s="11">
        <f ca="1">IFERROR(__xludf.DUMMYFUNCTION("""COMPUTED_VALUE"""),0.604166666666666)</f>
        <v>0.60416666666666596</v>
      </c>
      <c r="X143" s="8">
        <f ca="1">IFERROR(__xludf.DUMMYFUNCTION("""COMPUTED_VALUE"""),1)</f>
        <v>1</v>
      </c>
      <c r="Y143" s="12" t="str">
        <f ca="1">IFERROR(__xludf.DUMMYFUNCTION("""COMPUTED_VALUE"""),"Student shot at the bus stop in front of the school, school went on lockdown for 90 minutes")</f>
        <v>Student shot at the bus stop in front of the school, school went on lockdown for 90 minutes</v>
      </c>
      <c r="Z143" s="12" t="str">
        <f ca="1">IFERROR(__xludf.DUMMYFUNCTION("""COMPUTED_VALUE"""),"Officers were alerted at 2:22 p.m. Tuesday to a shooting or a stabbing near a bus stop in the 10700 block of S. First Street, the release said. Police found the victim at the scene and located the person they arrested nearby, the release said. Akins High "&amp;"School is located at 10701 S. First St. The school's principal, Michael Herbin, sent a letter to parents about the incident. ""While today’s incident took a significant emotional toll on our school community, our campus is safe,"" the letter said. ""Out o"&amp;"f an abundance of caution, we will have increased police presence on campus tomorrow."" The campus was placed on hold shortly after 2:30 p.m. Tuesday, which meant that students and staff were kept in their classrooms and hallways were kept clear, accordin"&amp;"g to the letter. It said no one was allowed to enter or leave the school. The hold was lifted at 4:01 p.m. Tuesday, the letter said.")</f>
        <v>Officers were alerted at 2:22 p.m. Tuesday to a shooting or a stabbing near a bus stop in the 10700 block of S. First Street, the release said. Police found the victim at the scene and located the person they arrested nearby, the release said. Akins High School is located at 10701 S. First St. The school's principal, Michael Herbin, sent a letter to parents about the incident. "While today’s incident took a significant emotional toll on our school community, our campus is safe," the letter said. "Out of an abundance of caution, we will have increased police presence on campus tomorrow." The campus was placed on hold shortly after 2:30 p.m. Tuesday, which meant that students and staff were kept in their classrooms and hallways were kept clear, according to the letter. It said no one was allowed to enter or leave the school. The hold was lifted at 4:01 p.m. Tuesday, the letter said.</v>
      </c>
      <c r="AA143" s="8"/>
      <c r="AB143" s="8" t="str">
        <f ca="1">IFERROR(__xludf.DUMMYFUNCTION("""COMPUTED_VALUE"""),"Targeted")</f>
        <v>Targeted</v>
      </c>
      <c r="AC143" s="8" t="str">
        <f ca="1">IFERROR(__xludf.DUMMYFUNCTION("""COMPUTED_VALUE"""),"Yes")</f>
        <v>Yes</v>
      </c>
      <c r="AD143" s="8" t="str">
        <f ca="1">IFERROR(__xludf.DUMMYFUNCTION("""COMPUTED_VALUE"""),"Victims Targeted")</f>
        <v>Victims Targeted</v>
      </c>
      <c r="AE143" s="8" t="str">
        <f ca="1">IFERROR(__xludf.DUMMYFUNCTION("""COMPUTED_VALUE"""),"No")</f>
        <v>No</v>
      </c>
      <c r="AF143" s="8"/>
      <c r="AG143" s="8" t="str">
        <f ca="1">IFERROR(__xludf.DUMMYFUNCTION("""COMPUTED_VALUE"""),"No")</f>
        <v>No</v>
      </c>
      <c r="AH143" s="8" t="str">
        <f ca="1">IFERROR(__xludf.DUMMYFUNCTION("""COMPUTED_VALUE"""),"No")</f>
        <v>No</v>
      </c>
      <c r="AI143" s="8" t="str">
        <f ca="1">IFERROR(__xludf.DUMMYFUNCTION("""COMPUTED_VALUE"""),"No")</f>
        <v>No</v>
      </c>
      <c r="AJ143" s="8"/>
      <c r="AK143" s="8" t="str">
        <f ca="1">IFERROR(__xludf.DUMMYFUNCTION("""COMPUTED_VALUE"""),"No")</f>
        <v>No</v>
      </c>
      <c r="AL143" s="8"/>
      <c r="AM143" s="8" t="str">
        <f ca="1">IFERROR(__xludf.DUMMYFUNCTION("""COMPUTED_VALUE"""),"No")</f>
        <v>No</v>
      </c>
      <c r="AN143" s="8" t="str">
        <f ca="1">IFERROR(__xludf.DUMMYFUNCTION("""COMPUTED_VALUE"""),"Outside")</f>
        <v>Outside</v>
      </c>
      <c r="AO143" s="8" t="str">
        <f ca="1">IFERROR(__xludf.DUMMYFUNCTION("""COMPUTED_VALUE"""),"No")</f>
        <v>No</v>
      </c>
      <c r="AP143" s="8"/>
      <c r="AQ143" s="8"/>
      <c r="AR143" s="8" t="str">
        <f ca="1">IFERROR(__xludf.DUMMYFUNCTION("""COMPUTED_VALUE"""),"Outside/Off-Property")</f>
        <v>Outside/Off-Property</v>
      </c>
      <c r="AS143" s="8"/>
      <c r="AT143" s="8" t="str">
        <f ca="1">IFERROR(__xludf.DUMMYFUNCTION("""COMPUTED_VALUE"""),"Yes")</f>
        <v>Yes</v>
      </c>
      <c r="AU143" s="8">
        <f ca="1">IFERROR(__xludf.DUMMYFUNCTION("""COMPUTED_VALUE"""),30.149505)</f>
        <v>30.149505000000001</v>
      </c>
      <c r="AV143" s="8">
        <f ca="1">IFERROR(__xludf.DUMMYFUNCTION("""COMPUTED_VALUE"""),-97.802576)</f>
        <v>-97.802576000000002</v>
      </c>
      <c r="AW143" s="8" t="str">
        <f ca="1">IFERROR(__xludf.DUMMYFUNCTION("""COMPUTED_VALUE"""),"Multiple detached buildings")</f>
        <v>Multiple detached buildings</v>
      </c>
      <c r="AX143" s="8">
        <f ca="1">IFERROR(__xludf.DUMMYFUNCTION("""COMPUTED_VALUE"""),78748)</f>
        <v>78748</v>
      </c>
    </row>
    <row r="144" spans="1:50" ht="150" x14ac:dyDescent="0.2">
      <c r="A144" s="8" t="str">
        <f ca="1">IFERROR(__xludf.DUMMYFUNCTION("""COMPUTED_VALUE"""),"20250304ILPEC")</f>
        <v>20250304ILPEC</v>
      </c>
      <c r="B144" s="8">
        <f ca="1">IFERROR(__xludf.DUMMYFUNCTION("""COMPUTED_VALUE"""),3)</f>
        <v>3</v>
      </c>
      <c r="C144" s="8">
        <f ca="1">IFERROR(__xludf.DUMMYFUNCTION("""COMPUTED_VALUE"""),4)</f>
        <v>4</v>
      </c>
      <c r="D144" s="8">
        <f ca="1">IFERROR(__xludf.DUMMYFUNCTION("""COMPUTED_VALUE"""),2025)</f>
        <v>2025</v>
      </c>
      <c r="E144" s="9">
        <f ca="1">IFERROR(__xludf.DUMMYFUNCTION("""COMPUTED_VALUE"""),45720)</f>
        <v>45720</v>
      </c>
      <c r="F144" s="8" t="str">
        <f ca="1">IFERROR(__xludf.DUMMYFUNCTION("""COMPUTED_VALUE"""),"Perspectives Leadership Academy")</f>
        <v>Perspectives Leadership Academy</v>
      </c>
      <c r="G144" s="8">
        <f ca="1">IFERROR(__xludf.DUMMYFUNCTION("""COMPUTED_VALUE"""),0)</f>
        <v>0</v>
      </c>
      <c r="H144" s="8">
        <f ca="1">IFERROR(__xludf.DUMMYFUNCTION("""COMPUTED_VALUE"""),1)</f>
        <v>1</v>
      </c>
      <c r="I144" s="8">
        <f ca="1">IFERROR(__xludf.DUMMYFUNCTION("""COMPUTED_VALUE"""),1)</f>
        <v>1</v>
      </c>
      <c r="J144" s="8">
        <f ca="1">IFERROR(__xludf.DUMMYFUNCTION("""COMPUTED_VALUE"""),0)</f>
        <v>0</v>
      </c>
      <c r="K144" s="10" t="str">
        <f ca="1">IFERROR(__xludf.DUMMYFUNCTION("""COMPUTED_VALUE"""),"https://www.cbsnews.com/chicago/news/teen-shot-outside-school-on-chicagos-south-side/
https://www.chicagotribune.com/2025/03/04/15-year-old-girl-wounded-tuesday-morning-in-drive-by-shooting-near-school/")</f>
        <v>https://www.cbsnews.com/chicago/news/teen-shot-outside-school-on-chicagos-south-side/
https://www.chicagotribune.com/2025/03/04/15-year-old-girl-wounded-tuesday-morning-in-drive-by-shooting-near-school/</v>
      </c>
      <c r="L144" s="8">
        <f ca="1">IFERROR(__xludf.DUMMYFUNCTION("""COMPUTED_VALUE"""),7)</f>
        <v>7</v>
      </c>
      <c r="M144" s="8" t="str">
        <f ca="1">IFERROR(__xludf.DUMMYFUNCTION("""COMPUTED_VALUE"""),"Local")</f>
        <v>Local</v>
      </c>
      <c r="N144" s="8">
        <f ca="1">IFERROR(__xludf.DUMMYFUNCTION("""COMPUTED_VALUE"""),4)</f>
        <v>4</v>
      </c>
      <c r="O144" s="8" t="str">
        <f ca="1">IFERROR(__xludf.DUMMYFUNCTION("""COMPUTED_VALUE"""),"Spring")</f>
        <v>Spring</v>
      </c>
      <c r="P144" s="8" t="str">
        <f ca="1">IFERROR(__xludf.DUMMYFUNCTION("""COMPUTED_VALUE"""),"Chicago")</f>
        <v>Chicago</v>
      </c>
      <c r="Q144" s="8" t="str">
        <f ca="1">IFERROR(__xludf.DUMMYFUNCTION("""COMPUTED_VALUE"""),"IL")</f>
        <v>IL</v>
      </c>
      <c r="R144" s="8" t="str">
        <f ca="1">IFERROR(__xludf.DUMMYFUNCTION("""COMPUTED_VALUE"""),"High")</f>
        <v>High</v>
      </c>
      <c r="S144" s="8" t="str">
        <f ca="1">IFERROR(__xludf.DUMMYFUNCTION("""COMPUTED_VALUE"""),"Parking Lot")</f>
        <v>Parking Lot</v>
      </c>
      <c r="T144" s="8" t="str">
        <f ca="1">IFERROR(__xludf.DUMMYFUNCTION("""COMPUTED_VALUE"""),"Outside on School Property")</f>
        <v>Outside on School Property</v>
      </c>
      <c r="U144" s="8" t="str">
        <f ca="1">IFERROR(__xludf.DUMMYFUNCTION("""COMPUTED_VALUE"""),"Yes")</f>
        <v>Yes</v>
      </c>
      <c r="V144" s="8" t="str">
        <f ca="1">IFERROR(__xludf.DUMMYFUNCTION("""COMPUTED_VALUE"""),"School Start")</f>
        <v>School Start</v>
      </c>
      <c r="W144" s="11">
        <f ca="1">IFERROR(__xludf.DUMMYFUNCTION("""COMPUTED_VALUE"""),0.819444444444444)</f>
        <v>0.81944444444444398</v>
      </c>
      <c r="X144" s="8">
        <f ca="1">IFERROR(__xludf.DUMMYFUNCTION("""COMPUTED_VALUE"""),1)</f>
        <v>1</v>
      </c>
      <c r="Y144" s="12" t="str">
        <f ca="1">IFERROR(__xludf.DUMMYFUNCTION("""COMPUTED_VALUE"""),"Female student shot while walking to school along the fence by the parking lot")</f>
        <v>Female student shot while walking to school along the fence by the parking lot</v>
      </c>
      <c r="Z144" s="12" t="str">
        <f ca="1">IFERROR(__xludf.DUMMYFUNCTION("""COMPUTED_VALUE"""),"Police said, around 7:40 a.m., a 15-year-old girl was walking near 85th Street and Lafayette Avenue, when a black sedan pulled up, and two gunmen got out and started shooting. The shooting happened along the fence at the athletic field of Perspectives Lea"&amp;"dership Academy, where the girl is a student. The girl was shot in the thigh, and was taken to Comer Children's Hospital in fair condition. The shooters got back into the sedan and fled the scene. At least six shell casings and evidence markers were found"&amp;" on the scene. ")</f>
        <v xml:space="preserve">Police said, around 7:40 a.m., a 15-year-old girl was walking near 85th Street and Lafayette Avenue, when a black sedan pulled up, and two gunmen got out and started shooting. The shooting happened along the fence at the athletic field of Perspectives Leadership Academy, where the girl is a student. The girl was shot in the thigh, and was taken to Comer Children's Hospital in fair condition. The shooters got back into the sedan and fled the scene. At least six shell casings and evidence markers were found on the scene. </v>
      </c>
      <c r="AA144" s="8" t="str">
        <f ca="1">IFERROR(__xludf.DUMMYFUNCTION("""COMPUTED_VALUE"""),"Drive-by Shooting")</f>
        <v>Drive-by Shooting</v>
      </c>
      <c r="AB144" s="8" t="str">
        <f ca="1">IFERROR(__xludf.DUMMYFUNCTION("""COMPUTED_VALUE"""),"Targeted")</f>
        <v>Targeted</v>
      </c>
      <c r="AC144" s="8" t="str">
        <f ca="1">IFERROR(__xludf.DUMMYFUNCTION("""COMPUTED_VALUE"""),"Yes")</f>
        <v>Yes</v>
      </c>
      <c r="AD144" s="8" t="str">
        <f ca="1">IFERROR(__xludf.DUMMYFUNCTION("""COMPUTED_VALUE"""),"Victims Targeted")</f>
        <v>Victims Targeted</v>
      </c>
      <c r="AE144" s="8"/>
      <c r="AF144" s="8"/>
      <c r="AG144" s="8" t="str">
        <f ca="1">IFERROR(__xludf.DUMMYFUNCTION("""COMPUTED_VALUE"""),"No")</f>
        <v>No</v>
      </c>
      <c r="AH144" s="8" t="str">
        <f ca="1">IFERROR(__xludf.DUMMYFUNCTION("""COMPUTED_VALUE"""),"No")</f>
        <v>No</v>
      </c>
      <c r="AI144" s="8" t="str">
        <f ca="1">IFERROR(__xludf.DUMMYFUNCTION("""COMPUTED_VALUE"""),"No")</f>
        <v>No</v>
      </c>
      <c r="AJ144" s="8" t="str">
        <f ca="1">IFERROR(__xludf.DUMMYFUNCTION("""COMPUTED_VALUE"""),"No")</f>
        <v>No</v>
      </c>
      <c r="AK144" s="8"/>
      <c r="AL144" s="8"/>
      <c r="AM144" s="8" t="str">
        <f ca="1">IFERROR(__xludf.DUMMYFUNCTION("""COMPUTED_VALUE"""),"No")</f>
        <v>No</v>
      </c>
      <c r="AN144" s="8" t="str">
        <f ca="1">IFERROR(__xludf.DUMMYFUNCTION("""COMPUTED_VALUE"""),"Outside")</f>
        <v>Outside</v>
      </c>
      <c r="AO144" s="8" t="str">
        <f ca="1">IFERROR(__xludf.DUMMYFUNCTION("""COMPUTED_VALUE"""),"No")</f>
        <v>No</v>
      </c>
      <c r="AP144" s="8"/>
      <c r="AQ144" s="8"/>
      <c r="AR144" s="8" t="str">
        <f ca="1">IFERROR(__xludf.DUMMYFUNCTION("""COMPUTED_VALUE"""),"Outside/Off-Property")</f>
        <v>Outside/Off-Property</v>
      </c>
      <c r="AS144" s="8">
        <f ca="1">IFERROR(__xludf.DUMMYFUNCTION("""COMPUTED_VALUE"""),6)</f>
        <v>6</v>
      </c>
      <c r="AT144" s="8" t="str">
        <f ca="1">IFERROR(__xludf.DUMMYFUNCTION("""COMPUTED_VALUE"""),"No")</f>
        <v>No</v>
      </c>
      <c r="AU144" s="8">
        <f ca="1">IFERROR(__xludf.DUMMYFUNCTION("""COMPUTED_VALUE"""),41.739838)</f>
        <v>41.739837999999999</v>
      </c>
      <c r="AV144" s="8">
        <f ca="1">IFERROR(__xludf.DUMMYFUNCTION("""COMPUTED_VALUE"""),-87.627851)</f>
        <v>-87.627851000000007</v>
      </c>
      <c r="AW144" s="8" t="str">
        <f ca="1">IFERROR(__xludf.DUMMYFUNCTION("""COMPUTED_VALUE"""),"Multiple detached buildings")</f>
        <v>Multiple detached buildings</v>
      </c>
      <c r="AX144" s="8">
        <f ca="1">IFERROR(__xludf.DUMMYFUNCTION("""COMPUTED_VALUE"""),60620)</f>
        <v>60620</v>
      </c>
    </row>
    <row r="145" spans="1:50" ht="60" x14ac:dyDescent="0.2">
      <c r="A145" s="8" t="str">
        <f ca="1">IFERROR(__xludf.DUMMYFUNCTION("""COMPUTED_VALUE"""),"20250226OHSAC")</f>
        <v>20250226OHSAC</v>
      </c>
      <c r="B145" s="8">
        <f ca="1">IFERROR(__xludf.DUMMYFUNCTION("""COMPUTED_VALUE"""),2)</f>
        <v>2</v>
      </c>
      <c r="C145" s="8">
        <f ca="1">IFERROR(__xludf.DUMMYFUNCTION("""COMPUTED_VALUE"""),26)</f>
        <v>26</v>
      </c>
      <c r="D145" s="8">
        <f ca="1">IFERROR(__xludf.DUMMYFUNCTION("""COMPUTED_VALUE"""),2025)</f>
        <v>2025</v>
      </c>
      <c r="E145" s="9">
        <f ca="1">IFERROR(__xludf.DUMMYFUNCTION("""COMPUTED_VALUE"""),45714)</f>
        <v>45714</v>
      </c>
      <c r="F145" s="8" t="str">
        <f ca="1">IFERROR(__xludf.DUMMYFUNCTION("""COMPUTED_VALUE"""),"Saint Rocco Parish School")</f>
        <v>Saint Rocco Parish School</v>
      </c>
      <c r="G145" s="8">
        <f ca="1">IFERROR(__xludf.DUMMYFUNCTION("""COMPUTED_VALUE"""),0)</f>
        <v>0</v>
      </c>
      <c r="H145" s="8">
        <f ca="1">IFERROR(__xludf.DUMMYFUNCTION("""COMPUTED_VALUE"""),2)</f>
        <v>2</v>
      </c>
      <c r="I145" s="8">
        <f ca="1">IFERROR(__xludf.DUMMYFUNCTION("""COMPUTED_VALUE"""),2)</f>
        <v>2</v>
      </c>
      <c r="J145" s="8">
        <f ca="1">IFERROR(__xludf.DUMMYFUNCTION("""COMPUTED_VALUE"""),0)</f>
        <v>0</v>
      </c>
      <c r="K145" s="8" t="str">
        <f ca="1">IFERROR(__xludf.DUMMYFUNCTION("""COMPUTED_VALUE"""),"https://www.cleveland19.com/2025/02/26/school-session-st-rocco-school-following-after-hours-shooting-parking-lot/
https://www.wkyc.com/article/news/crime/cleveland-police-2-shot-parking-saint-rocco-parish-fulton-road/95-9003dd81-b70e-4f01-9b05-af8c3fb948f"&amp;"5")</f>
        <v>https://www.cleveland19.com/2025/02/26/school-session-st-rocco-school-following-after-hours-shooting-parking-lot/
https://www.wkyc.com/article/news/crime/cleveland-police-2-shot-parking-saint-rocco-parish-fulton-road/95-9003dd81-b70e-4f01-9b05-af8c3fb948f5</v>
      </c>
      <c r="L145" s="8">
        <f ca="1">IFERROR(__xludf.DUMMYFUNCTION("""COMPUTED_VALUE"""),3)</f>
        <v>3</v>
      </c>
      <c r="M145" s="8" t="str">
        <f ca="1">IFERROR(__xludf.DUMMYFUNCTION("""COMPUTED_VALUE"""),"Local")</f>
        <v>Local</v>
      </c>
      <c r="N145" s="8">
        <f ca="1">IFERROR(__xludf.DUMMYFUNCTION("""COMPUTED_VALUE"""),4)</f>
        <v>4</v>
      </c>
      <c r="O145" s="8" t="str">
        <f ca="1">IFERROR(__xludf.DUMMYFUNCTION("""COMPUTED_VALUE"""),"Winter")</f>
        <v>Winter</v>
      </c>
      <c r="P145" s="8" t="str">
        <f ca="1">IFERROR(__xludf.DUMMYFUNCTION("""COMPUTED_VALUE"""),"Cleveland")</f>
        <v>Cleveland</v>
      </c>
      <c r="Q145" s="8" t="str">
        <f ca="1">IFERROR(__xludf.DUMMYFUNCTION("""COMPUTED_VALUE"""),"OH")</f>
        <v>OH</v>
      </c>
      <c r="R145" s="8" t="str">
        <f ca="1">IFERROR(__xludf.DUMMYFUNCTION("""COMPUTED_VALUE"""),"K-8")</f>
        <v>K-8</v>
      </c>
      <c r="S145" s="8" t="str">
        <f ca="1">IFERROR(__xludf.DUMMYFUNCTION("""COMPUTED_VALUE"""),"Parking Lot")</f>
        <v>Parking Lot</v>
      </c>
      <c r="T145" s="8" t="str">
        <f ca="1">IFERROR(__xludf.DUMMYFUNCTION("""COMPUTED_VALUE"""),"Outside on School Property")</f>
        <v>Outside on School Property</v>
      </c>
      <c r="U145" s="8" t="str">
        <f ca="1">IFERROR(__xludf.DUMMYFUNCTION("""COMPUTED_VALUE"""),"No")</f>
        <v>No</v>
      </c>
      <c r="V145" s="8" t="str">
        <f ca="1">IFERROR(__xludf.DUMMYFUNCTION("""COMPUTED_VALUE"""),"After School")</f>
        <v>After School</v>
      </c>
      <c r="W145" s="11">
        <f ca="1">IFERROR(__xludf.DUMMYFUNCTION("""COMPUTED_VALUE"""),0.664583333333333)</f>
        <v>0.66458333333333297</v>
      </c>
      <c r="X145" s="8">
        <f ca="1">IFERROR(__xludf.DUMMYFUNCTION("""COMPUTED_VALUE"""),1)</f>
        <v>1</v>
      </c>
      <c r="Y145" s="12" t="str">
        <f ca="1">IFERROR(__xludf.DUMMYFUNCTION("""COMPUTED_VALUE"""),"Two adults shots in the school parking lot")</f>
        <v>Two adults shots in the school parking lot</v>
      </c>
      <c r="Z145" s="12" t="str">
        <f ca="1">IFERROR(__xludf.DUMMYFUNCTION("""COMPUTED_VALUE"""),"At 3:57 p.m., officers were called to the school for a report of a gunshot that had been heard. When police arrived at the scene, they found a 23-year-old woman and a 25-year-old man in the parking lot with gunshot wounds. ")</f>
        <v xml:space="preserve">At 3:57 p.m., officers were called to the school for a report of a gunshot that had been heard. When police arrived at the scene, they found a 23-year-old woman and a 25-year-old man in the parking lot with gunshot wounds. </v>
      </c>
      <c r="AA145" s="8"/>
      <c r="AB145" s="8"/>
      <c r="AC145" s="8" t="str">
        <f ca="1">IFERROR(__xludf.DUMMYFUNCTION("""COMPUTED_VALUE"""),"No")</f>
        <v>No</v>
      </c>
      <c r="AD145" s="8"/>
      <c r="AE145" s="8"/>
      <c r="AF145" s="8"/>
      <c r="AG145" s="8" t="str">
        <f ca="1">IFERROR(__xludf.DUMMYFUNCTION("""COMPUTED_VALUE"""),"No")</f>
        <v>No</v>
      </c>
      <c r="AH145" s="8" t="str">
        <f ca="1">IFERROR(__xludf.DUMMYFUNCTION("""COMPUTED_VALUE"""),"No")</f>
        <v>No</v>
      </c>
      <c r="AI145" s="8" t="str">
        <f ca="1">IFERROR(__xludf.DUMMYFUNCTION("""COMPUTED_VALUE"""),"No")</f>
        <v>No</v>
      </c>
      <c r="AJ145" s="8" t="str">
        <f ca="1">IFERROR(__xludf.DUMMYFUNCTION("""COMPUTED_VALUE"""),"No")</f>
        <v>No</v>
      </c>
      <c r="AK145" s="8"/>
      <c r="AL145" s="8"/>
      <c r="AM145" s="8" t="str">
        <f ca="1">IFERROR(__xludf.DUMMYFUNCTION("""COMPUTED_VALUE"""),"No")</f>
        <v>No</v>
      </c>
      <c r="AN145" s="8" t="str">
        <f ca="1">IFERROR(__xludf.DUMMYFUNCTION("""COMPUTED_VALUE"""),"Outside")</f>
        <v>Outside</v>
      </c>
      <c r="AO145" s="8" t="str">
        <f ca="1">IFERROR(__xludf.DUMMYFUNCTION("""COMPUTED_VALUE"""),"No")</f>
        <v>No</v>
      </c>
      <c r="AP145" s="8"/>
      <c r="AQ145" s="8"/>
      <c r="AR145" s="8" t="str">
        <f ca="1">IFERROR(__xludf.DUMMYFUNCTION("""COMPUTED_VALUE"""),"Outside/Off-Property")</f>
        <v>Outside/Off-Property</v>
      </c>
      <c r="AS145" s="8">
        <f ca="1">IFERROR(__xludf.DUMMYFUNCTION("""COMPUTED_VALUE"""),99)</f>
        <v>99</v>
      </c>
      <c r="AT145" s="8" t="str">
        <f ca="1">IFERROR(__xludf.DUMMYFUNCTION("""COMPUTED_VALUE"""),"No")</f>
        <v>No</v>
      </c>
      <c r="AU145" s="8">
        <f ca="1">IFERROR(__xludf.DUMMYFUNCTION("""COMPUTED_VALUE"""),41.466887)</f>
        <v>41.466887</v>
      </c>
      <c r="AV145" s="8">
        <f ca="1">IFERROR(__xludf.DUMMYFUNCTION("""COMPUTED_VALUE"""),-81.707414)</f>
        <v>-81.707414</v>
      </c>
      <c r="AW145" s="8" t="str">
        <f ca="1">IFERROR(__xludf.DUMMYFUNCTION("""COMPUTED_VALUE"""),"Multiple detached buildings")</f>
        <v>Multiple detached buildings</v>
      </c>
      <c r="AX145" s="8">
        <f ca="1">IFERROR(__xludf.DUMMYFUNCTION("""COMPUTED_VALUE"""),44109)</f>
        <v>44109</v>
      </c>
    </row>
    <row r="146" spans="1:50" ht="105" x14ac:dyDescent="0.2">
      <c r="A146" s="8" t="str">
        <f ca="1">IFERROR(__xludf.DUMMYFUNCTION("""COMPUTED_VALUE"""),"20250224ILFOS")</f>
        <v>20250224ILFOS</v>
      </c>
      <c r="B146" s="8">
        <f ca="1">IFERROR(__xludf.DUMMYFUNCTION("""COMPUTED_VALUE"""),2)</f>
        <v>2</v>
      </c>
      <c r="C146" s="8">
        <f ca="1">IFERROR(__xludf.DUMMYFUNCTION("""COMPUTED_VALUE"""),24)</f>
        <v>24</v>
      </c>
      <c r="D146" s="8">
        <f ca="1">IFERROR(__xludf.DUMMYFUNCTION("""COMPUTED_VALUE"""),2025)</f>
        <v>2025</v>
      </c>
      <c r="E146" s="9">
        <f ca="1">IFERROR(__xludf.DUMMYFUNCTION("""COMPUTED_VALUE"""),45712)</f>
        <v>45712</v>
      </c>
      <c r="F146" s="8" t="str">
        <f ca="1">IFERROR(__xludf.DUMMYFUNCTION("""COMPUTED_VALUE"""),"Fox Meadow Elementary School")</f>
        <v>Fox Meadow Elementary School</v>
      </c>
      <c r="G146" s="8">
        <f ca="1">IFERROR(__xludf.DUMMYFUNCTION("""COMPUTED_VALUE"""),0)</f>
        <v>0</v>
      </c>
      <c r="H146" s="8">
        <f ca="1">IFERROR(__xludf.DUMMYFUNCTION("""COMPUTED_VALUE"""),0)</f>
        <v>0</v>
      </c>
      <c r="I146" s="8">
        <f ca="1">IFERROR(__xludf.DUMMYFUNCTION("""COMPUTED_VALUE"""),0)</f>
        <v>0</v>
      </c>
      <c r="J146" s="8">
        <f ca="1">IFERROR(__xludf.DUMMYFUNCTION("""COMPUTED_VALUE"""),0)</f>
        <v>0</v>
      </c>
      <c r="K146" s="10" t="str">
        <f ca="1">IFERROR(__xludf.DUMMYFUNCTION("""COMPUTED_VALUE"""),"https://www.fox32chicago.com/news/shots-fired-south-elgin-elementary-school-police-investigating
https://abc7chicago.com/post/south-elgin-shooting-shots-fired-fox-meadow-elementary-school-jenna-drive-police-say-no-injuries-reported/15953649/")</f>
        <v>https://www.fox32chicago.com/news/shots-fired-south-elgin-elementary-school-police-investigating
https://abc7chicago.com/post/south-elgin-shooting-shots-fired-fox-meadow-elementary-school-jenna-drive-police-say-no-injuries-reported/15953649/</v>
      </c>
      <c r="L146" s="8">
        <f ca="1">IFERROR(__xludf.DUMMYFUNCTION("""COMPUTED_VALUE"""),2)</f>
        <v>2</v>
      </c>
      <c r="M146" s="8" t="str">
        <f ca="1">IFERROR(__xludf.DUMMYFUNCTION("""COMPUTED_VALUE"""),"Local")</f>
        <v>Local</v>
      </c>
      <c r="N146" s="8">
        <f ca="1">IFERROR(__xludf.DUMMYFUNCTION("""COMPUTED_VALUE"""),2)</f>
        <v>2</v>
      </c>
      <c r="O146" s="8" t="str">
        <f ca="1">IFERROR(__xludf.DUMMYFUNCTION("""COMPUTED_VALUE"""),"Winter")</f>
        <v>Winter</v>
      </c>
      <c r="P146" s="8" t="str">
        <f ca="1">IFERROR(__xludf.DUMMYFUNCTION("""COMPUTED_VALUE"""),"South Elgin")</f>
        <v>South Elgin</v>
      </c>
      <c r="Q146" s="8" t="str">
        <f ca="1">IFERROR(__xludf.DUMMYFUNCTION("""COMPUTED_VALUE"""),"IL")</f>
        <v>IL</v>
      </c>
      <c r="R146" s="8" t="str">
        <f ca="1">IFERROR(__xludf.DUMMYFUNCTION("""COMPUTED_VALUE"""),"Elementary")</f>
        <v>Elementary</v>
      </c>
      <c r="S146" s="8" t="str">
        <f ca="1">IFERROR(__xludf.DUMMYFUNCTION("""COMPUTED_VALUE"""),"Parking Lot")</f>
        <v>Parking Lot</v>
      </c>
      <c r="T146" s="8" t="str">
        <f ca="1">IFERROR(__xludf.DUMMYFUNCTION("""COMPUTED_VALUE"""),"Outside on School Property")</f>
        <v>Outside on School Property</v>
      </c>
      <c r="U146" s="8" t="str">
        <f ca="1">IFERROR(__xludf.DUMMYFUNCTION("""COMPUTED_VALUE"""),"No")</f>
        <v>No</v>
      </c>
      <c r="V146" s="8" t="str">
        <f ca="1">IFERROR(__xludf.DUMMYFUNCTION("""COMPUTED_VALUE"""),"Evening")</f>
        <v>Evening</v>
      </c>
      <c r="W146" s="11">
        <f ca="1">IFERROR(__xludf.DUMMYFUNCTION("""COMPUTED_VALUE"""),0.738888888888888)</f>
        <v>0.73888888888888804</v>
      </c>
      <c r="X146" s="8">
        <f ca="1">IFERROR(__xludf.DUMMYFUNCTION("""COMPUTED_VALUE"""),1)</f>
        <v>1</v>
      </c>
      <c r="Y146" s="12" t="str">
        <f ca="1">IFERROR(__xludf.DUMMYFUNCTION("""COMPUTED_VALUE"""),"Group of teens fired shots outside the school and fled before police arrived")</f>
        <v>Group of teens fired shots outside the school and fled before police arrived</v>
      </c>
      <c r="Z146" s="12" t="str">
        <f ca="1">IFERROR(__xludf.DUMMYFUNCTION("""COMPUTED_VALUE"""),"South Elgin police first responded to calls of an armed group near Fox Meadow Elementary School at about 5:44 p.m. As police were enroute, more calls came in reporting that shots had been fired, and the group had run away. The shooting happened outside of"&amp;" school hours, police said there were no reports of staff or students in the building at this time.")</f>
        <v>South Elgin police first responded to calls of an armed group near Fox Meadow Elementary School at about 5:44 p.m. As police were enroute, more calls came in reporting that shots had been fired, and the group had run away. The shooting happened outside of school hours, police said there were no reports of staff or students in the building at this time.</v>
      </c>
      <c r="AA146" s="8"/>
      <c r="AB146" s="8"/>
      <c r="AC146" s="8" t="str">
        <f ca="1">IFERROR(__xludf.DUMMYFUNCTION("""COMPUTED_VALUE"""),"No")</f>
        <v>No</v>
      </c>
      <c r="AD146" s="8"/>
      <c r="AE146" s="8"/>
      <c r="AF146" s="8"/>
      <c r="AG146" s="8" t="str">
        <f ca="1">IFERROR(__xludf.DUMMYFUNCTION("""COMPUTED_VALUE"""),"No")</f>
        <v>No</v>
      </c>
      <c r="AH146" s="8" t="str">
        <f ca="1">IFERROR(__xludf.DUMMYFUNCTION("""COMPUTED_VALUE"""),"No")</f>
        <v>No</v>
      </c>
      <c r="AI146" s="8" t="str">
        <f ca="1">IFERROR(__xludf.DUMMYFUNCTION("""COMPUTED_VALUE"""),"No")</f>
        <v>No</v>
      </c>
      <c r="AJ146" s="8" t="str">
        <f ca="1">IFERROR(__xludf.DUMMYFUNCTION("""COMPUTED_VALUE"""),"No")</f>
        <v>No</v>
      </c>
      <c r="AK146" s="8" t="str">
        <f ca="1">IFERROR(__xludf.DUMMYFUNCTION("""COMPUTED_VALUE"""),"No")</f>
        <v>No</v>
      </c>
      <c r="AL146" s="8"/>
      <c r="AM146" s="8" t="str">
        <f ca="1">IFERROR(__xludf.DUMMYFUNCTION("""COMPUTED_VALUE"""),"No")</f>
        <v>No</v>
      </c>
      <c r="AN146" s="8" t="str">
        <f ca="1">IFERROR(__xludf.DUMMYFUNCTION("""COMPUTED_VALUE"""),"Outside")</f>
        <v>Outside</v>
      </c>
      <c r="AO146" s="8" t="str">
        <f ca="1">IFERROR(__xludf.DUMMYFUNCTION("""COMPUTED_VALUE"""),"No")</f>
        <v>No</v>
      </c>
      <c r="AP146" s="8"/>
      <c r="AQ146" s="8"/>
      <c r="AR146" s="8" t="str">
        <f ca="1">IFERROR(__xludf.DUMMYFUNCTION("""COMPUTED_VALUE"""),"Outside/Off-Property")</f>
        <v>Outside/Off-Property</v>
      </c>
      <c r="AS146" s="8">
        <f ca="1">IFERROR(__xludf.DUMMYFUNCTION("""COMPUTED_VALUE"""),99)</f>
        <v>99</v>
      </c>
      <c r="AT146" s="8" t="str">
        <f ca="1">IFERROR(__xludf.DUMMYFUNCTION("""COMPUTED_VALUE"""),"No")</f>
        <v>No</v>
      </c>
      <c r="AU146" s="8">
        <f ca="1">IFERROR(__xludf.DUMMYFUNCTION("""COMPUTED_VALUE"""),42.003092)</f>
        <v>42.003092000000002</v>
      </c>
      <c r="AV146" s="8">
        <f ca="1">IFERROR(__xludf.DUMMYFUNCTION("""COMPUTED_VALUE"""),-88.318803)</f>
        <v>-88.318803000000003</v>
      </c>
      <c r="AW146" s="8" t="str">
        <f ca="1">IFERROR(__xludf.DUMMYFUNCTION("""COMPUTED_VALUE"""),"Single building indoor hallway")</f>
        <v>Single building indoor hallway</v>
      </c>
      <c r="AX146" s="8">
        <f ca="1">IFERROR(__xludf.DUMMYFUNCTION("""COMPUTED_VALUE"""),60177)</f>
        <v>60177</v>
      </c>
    </row>
    <row r="147" spans="1:50" ht="150" x14ac:dyDescent="0.2">
      <c r="A147" s="8" t="str">
        <f ca="1">IFERROR(__xludf.DUMMYFUNCTION("""COMPUTED_VALUE"""),"20250219DEDOD")</f>
        <v>20250219DEDOD</v>
      </c>
      <c r="B147" s="8">
        <f ca="1">IFERROR(__xludf.DUMMYFUNCTION("""COMPUTED_VALUE"""),2)</f>
        <v>2</v>
      </c>
      <c r="C147" s="8">
        <f ca="1">IFERROR(__xludf.DUMMYFUNCTION("""COMPUTED_VALUE"""),19)</f>
        <v>19</v>
      </c>
      <c r="D147" s="8">
        <f ca="1">IFERROR(__xludf.DUMMYFUNCTION("""COMPUTED_VALUE"""),2025)</f>
        <v>2025</v>
      </c>
      <c r="E147" s="9">
        <f ca="1">IFERROR(__xludf.DUMMYFUNCTION("""COMPUTED_VALUE"""),45707)</f>
        <v>45707</v>
      </c>
      <c r="F147" s="8" t="str">
        <f ca="1">IFERROR(__xludf.DUMMYFUNCTION("""COMPUTED_VALUE"""),"Dover High School")</f>
        <v>Dover High School</v>
      </c>
      <c r="G147" s="8">
        <f ca="1">IFERROR(__xludf.DUMMYFUNCTION("""COMPUTED_VALUE"""),0)</f>
        <v>0</v>
      </c>
      <c r="H147" s="8">
        <f ca="1">IFERROR(__xludf.DUMMYFUNCTION("""COMPUTED_VALUE"""),0)</f>
        <v>0</v>
      </c>
      <c r="I147" s="8">
        <f ca="1">IFERROR(__xludf.DUMMYFUNCTION("""COMPUTED_VALUE"""),0)</f>
        <v>0</v>
      </c>
      <c r="J147" s="8">
        <f ca="1">IFERROR(__xludf.DUMMYFUNCTION("""COMPUTED_VALUE"""),0)</f>
        <v>0</v>
      </c>
      <c r="K147" s="8" t="str">
        <f ca="1">IFERROR(__xludf.DUMMYFUNCTION("""COMPUTED_VALUE"""),"https://www.wboc.com/news/two-arrested-in-connection-to-dover-school-bus-stop-shooting/article_4d205bee-efa8-11ef-afaf-eb4eee4b6d3f.html
https://www.wgmd.com/teen-chased-and-shot-at-by-masked-individual-after-exiting-school-bus/
https://www.wdel.com/news/"&amp;"dover-hs-student-involved-in-alleged-shooting-just-after-being-dropped-off-from-school/article_1cfa1ad6-eef9-11ef-8648-1393236bf709.html")</f>
        <v>https://www.wboc.com/news/two-arrested-in-connection-to-dover-school-bus-stop-shooting/article_4d205bee-efa8-11ef-afaf-eb4eee4b6d3f.html
https://www.wgmd.com/teen-chased-and-shot-at-by-masked-individual-after-exiting-school-bus/
https://www.wdel.com/news/dover-hs-student-involved-in-alleged-shooting-just-after-being-dropped-off-from-school/article_1cfa1ad6-eef9-11ef-8648-1393236bf709.html</v>
      </c>
      <c r="L147" s="8">
        <f ca="1">IFERROR(__xludf.DUMMYFUNCTION("""COMPUTED_VALUE"""),8)</f>
        <v>8</v>
      </c>
      <c r="M147" s="8" t="str">
        <f ca="1">IFERROR(__xludf.DUMMYFUNCTION("""COMPUTED_VALUE"""),"Local")</f>
        <v>Local</v>
      </c>
      <c r="N147" s="8">
        <f ca="1">IFERROR(__xludf.DUMMYFUNCTION("""COMPUTED_VALUE"""),3)</f>
        <v>3</v>
      </c>
      <c r="O147" s="8" t="str">
        <f ca="1">IFERROR(__xludf.DUMMYFUNCTION("""COMPUTED_VALUE"""),"Winter")</f>
        <v>Winter</v>
      </c>
      <c r="P147" s="8" t="str">
        <f ca="1">IFERROR(__xludf.DUMMYFUNCTION("""COMPUTED_VALUE"""),"Dover")</f>
        <v>Dover</v>
      </c>
      <c r="Q147" s="8" t="str">
        <f ca="1">IFERROR(__xludf.DUMMYFUNCTION("""COMPUTED_VALUE"""),"DE")</f>
        <v>DE</v>
      </c>
      <c r="R147" s="8" t="str">
        <f ca="1">IFERROR(__xludf.DUMMYFUNCTION("""COMPUTED_VALUE"""),"High")</f>
        <v>High</v>
      </c>
      <c r="S147" s="8" t="str">
        <f ca="1">IFERROR(__xludf.DUMMYFUNCTION("""COMPUTED_VALUE"""),"School Bus")</f>
        <v>School Bus</v>
      </c>
      <c r="T147" s="8" t="str">
        <f ca="1">IFERROR(__xludf.DUMMYFUNCTION("""COMPUTED_VALUE"""),"School Bus")</f>
        <v>School Bus</v>
      </c>
      <c r="U147" s="8" t="str">
        <f ca="1">IFERROR(__xludf.DUMMYFUNCTION("""COMPUTED_VALUE"""),"Yes")</f>
        <v>Yes</v>
      </c>
      <c r="V147" s="8" t="str">
        <f ca="1">IFERROR(__xludf.DUMMYFUNCTION("""COMPUTED_VALUE"""),"Dismissal")</f>
        <v>Dismissal</v>
      </c>
      <c r="W147" s="11">
        <f ca="1">IFERROR(__xludf.DUMMYFUNCTION("""COMPUTED_VALUE"""),0.604166666666666)</f>
        <v>0.60416666666666596</v>
      </c>
      <c r="X147" s="8">
        <f ca="1">IFERROR(__xludf.DUMMYFUNCTION("""COMPUTED_VALUE"""),1)</f>
        <v>1</v>
      </c>
      <c r="Y147" s="12" t="str">
        <f ca="1">IFERROR(__xludf.DUMMYFUNCTION("""COMPUTED_VALUE"""),"Masked gunman ambushed student when he got off the school bus")</f>
        <v>Masked gunman ambushed student when he got off the school bus</v>
      </c>
      <c r="Z147" s="12" t="str">
        <f ca="1">IFERROR(__xludf.DUMMYFUNCTION("""COMPUTED_VALUE"""),"Police say a Capital School District bus was dropping off a group of students from Dover High School on Village Drive.  The victim-a 16-year-old– was one of those students getting off the bus when an unknown individual wearing a mask began chasing him.  S"&amp;"oon after, the suspect began shooting at the victim as they both were running.  The bus driver followed predetermined safety protocols and immediately left the area, ensuring the safety of the children who remained on the bus.  No one was injured as a res"&amp;"ult of this shooting. ")</f>
        <v xml:space="preserve">Police say a Capital School District bus was dropping off a group of students from Dover High School on Village Drive.  The victim-a 16-year-old– was one of those students getting off the bus when an unknown individual wearing a mask began chasing him.  Soon after, the suspect began shooting at the victim as they both were running.  The bus driver followed predetermined safety protocols and immediately left the area, ensuring the safety of the children who remained on the bus.  No one was injured as a result of this shooting. </v>
      </c>
      <c r="AA147" s="8"/>
      <c r="AB147" s="8" t="str">
        <f ca="1">IFERROR(__xludf.DUMMYFUNCTION("""COMPUTED_VALUE"""),"Targeted")</f>
        <v>Targeted</v>
      </c>
      <c r="AC147" s="8" t="str">
        <f ca="1">IFERROR(__xludf.DUMMYFUNCTION("""COMPUTED_VALUE"""),"Yes")</f>
        <v>Yes</v>
      </c>
      <c r="AD147" s="8" t="str">
        <f ca="1">IFERROR(__xludf.DUMMYFUNCTION("""COMPUTED_VALUE"""),"Victims Targeted")</f>
        <v>Victims Targeted</v>
      </c>
      <c r="AE147" s="8" t="str">
        <f ca="1">IFERROR(__xludf.DUMMYFUNCTION("""COMPUTED_VALUE"""),"No")</f>
        <v>No</v>
      </c>
      <c r="AF147" s="8"/>
      <c r="AG147" s="8" t="str">
        <f ca="1">IFERROR(__xludf.DUMMYFUNCTION("""COMPUTED_VALUE"""),"No")</f>
        <v>No</v>
      </c>
      <c r="AH147" s="8" t="str">
        <f ca="1">IFERROR(__xludf.DUMMYFUNCTION("""COMPUTED_VALUE"""),"No")</f>
        <v>No</v>
      </c>
      <c r="AI147" s="8" t="str">
        <f ca="1">IFERROR(__xludf.DUMMYFUNCTION("""COMPUTED_VALUE"""),"No")</f>
        <v>No</v>
      </c>
      <c r="AJ147" s="8"/>
      <c r="AK147" s="8" t="str">
        <f ca="1">IFERROR(__xludf.DUMMYFUNCTION("""COMPUTED_VALUE"""),"No")</f>
        <v>No</v>
      </c>
      <c r="AL147" s="8"/>
      <c r="AM147" s="8" t="str">
        <f ca="1">IFERROR(__xludf.DUMMYFUNCTION("""COMPUTED_VALUE"""),"No")</f>
        <v>No</v>
      </c>
      <c r="AN147" s="8" t="str">
        <f ca="1">IFERROR(__xludf.DUMMYFUNCTION("""COMPUTED_VALUE"""),"Outside")</f>
        <v>Outside</v>
      </c>
      <c r="AO147" s="8" t="str">
        <f ca="1">IFERROR(__xludf.DUMMYFUNCTION("""COMPUTED_VALUE"""),"No")</f>
        <v>No</v>
      </c>
      <c r="AP147" s="8"/>
      <c r="AQ147" s="8"/>
      <c r="AR147" s="8" t="str">
        <f ca="1">IFERROR(__xludf.DUMMYFUNCTION("""COMPUTED_VALUE"""),"Outside/Off-Property")</f>
        <v>Outside/Off-Property</v>
      </c>
      <c r="AS147" s="8">
        <f ca="1">IFERROR(__xludf.DUMMYFUNCTION("""COMPUTED_VALUE"""),99)</f>
        <v>99</v>
      </c>
      <c r="AT147" s="8" t="str">
        <f ca="1">IFERROR(__xludf.DUMMYFUNCTION("""COMPUTED_VALUE"""),"No")</f>
        <v>No</v>
      </c>
      <c r="AU147" s="8">
        <f ca="1">IFERROR(__xludf.DUMMYFUNCTION("""COMPUTED_VALUE"""),39.157684)</f>
        <v>39.157684000000003</v>
      </c>
      <c r="AV147" s="8">
        <f ca="1">IFERROR(__xludf.DUMMYFUNCTION("""COMPUTED_VALUE"""),-75.573925)</f>
        <v>-75.573925000000003</v>
      </c>
      <c r="AW147" s="8" t="str">
        <f ca="1">IFERROR(__xludf.DUMMYFUNCTION("""COMPUTED_VALUE"""),"Multiple attached buildings")</f>
        <v>Multiple attached buildings</v>
      </c>
      <c r="AX147" s="8">
        <f ca="1">IFERROR(__xludf.DUMMYFUNCTION("""COMPUTED_VALUE"""),19904)</f>
        <v>19904</v>
      </c>
    </row>
    <row r="148" spans="1:50" ht="165" x14ac:dyDescent="0.2">
      <c r="A148" s="8" t="str">
        <f ca="1">IFERROR(__xludf.DUMMYFUNCTION("""COMPUTED_VALUE"""),"20250218AZJOS")</f>
        <v>20250218AZJOS</v>
      </c>
      <c r="B148" s="8">
        <f ca="1">IFERROR(__xludf.DUMMYFUNCTION("""COMPUTED_VALUE"""),2)</f>
        <v>2</v>
      </c>
      <c r="C148" s="8">
        <f ca="1">IFERROR(__xludf.DUMMYFUNCTION("""COMPUTED_VALUE"""),18)</f>
        <v>18</v>
      </c>
      <c r="D148" s="8">
        <f ca="1">IFERROR(__xludf.DUMMYFUNCTION("""COMPUTED_VALUE"""),2025)</f>
        <v>2025</v>
      </c>
      <c r="E148" s="9">
        <f ca="1">IFERROR(__xludf.DUMMYFUNCTION("""COMPUTED_VALUE"""),45706)</f>
        <v>45706</v>
      </c>
      <c r="F148" s="8" t="str">
        <f ca="1">IFERROR(__xludf.DUMMYFUNCTION("""COMPUTED_VALUE"""),"Joyce Clark Middle School")</f>
        <v>Joyce Clark Middle School</v>
      </c>
      <c r="G148" s="8">
        <f ca="1">IFERROR(__xludf.DUMMYFUNCTION("""COMPUTED_VALUE"""),0)</f>
        <v>0</v>
      </c>
      <c r="H148" s="8">
        <f ca="1">IFERROR(__xludf.DUMMYFUNCTION("""COMPUTED_VALUE"""),0)</f>
        <v>0</v>
      </c>
      <c r="I148" s="8">
        <f ca="1">IFERROR(__xludf.DUMMYFUNCTION("""COMPUTED_VALUE"""),0)</f>
        <v>0</v>
      </c>
      <c r="J148" s="8">
        <f ca="1">IFERROR(__xludf.DUMMYFUNCTION("""COMPUTED_VALUE"""),0)</f>
        <v>0</v>
      </c>
      <c r="K148" s="8" t="str">
        <f ca="1">IFERROR(__xludf.DUMMYFUNCTION("""COMPUTED_VALUE"""),"https://www.kvoa.com/news/crime/sierra-vista-man-arrested-for-firing-gun-near-joyce-clark-middle-school/article_bf5ea790-f08b-11ef-a43e-17fe2213b80c.html
https://www.kgun9.com/news/community-inspired-journalism/cochise-county/man-arrested-in-sierra-vista-"&amp;"on-suspicion-of-shooting-gun-within-city-limits")</f>
        <v>https://www.kvoa.com/news/crime/sierra-vista-man-arrested-for-firing-gun-near-joyce-clark-middle-school/article_bf5ea790-f08b-11ef-a43e-17fe2213b80c.html
https://www.kgun9.com/news/community-inspired-journalism/cochise-county/man-arrested-in-sierra-vista-on-suspicion-of-shooting-gun-within-city-limits</v>
      </c>
      <c r="L148" s="8">
        <f ca="1">IFERROR(__xludf.DUMMYFUNCTION("""COMPUTED_VALUE"""),2)</f>
        <v>2</v>
      </c>
      <c r="M148" s="8" t="str">
        <f ca="1">IFERROR(__xludf.DUMMYFUNCTION("""COMPUTED_VALUE"""),"Local")</f>
        <v>Local</v>
      </c>
      <c r="N148" s="8">
        <f ca="1">IFERROR(__xludf.DUMMYFUNCTION("""COMPUTED_VALUE"""),4)</f>
        <v>4</v>
      </c>
      <c r="O148" s="8" t="str">
        <f ca="1">IFERROR(__xludf.DUMMYFUNCTION("""COMPUTED_VALUE"""),"Winter")</f>
        <v>Winter</v>
      </c>
      <c r="P148" s="8" t="str">
        <f ca="1">IFERROR(__xludf.DUMMYFUNCTION("""COMPUTED_VALUE"""),"Sierra Vista")</f>
        <v>Sierra Vista</v>
      </c>
      <c r="Q148" s="8" t="str">
        <f ca="1">IFERROR(__xludf.DUMMYFUNCTION("""COMPUTED_VALUE"""),"AZ")</f>
        <v>AZ</v>
      </c>
      <c r="R148" s="8" t="str">
        <f ca="1">IFERROR(__xludf.DUMMYFUNCTION("""COMPUTED_VALUE"""),"Middle")</f>
        <v>Middle</v>
      </c>
      <c r="S148" s="8" t="str">
        <f ca="1">IFERROR(__xludf.DUMMYFUNCTION("""COMPUTED_VALUE"""),"Field (General)")</f>
        <v>Field (General)</v>
      </c>
      <c r="T148" s="8" t="str">
        <f ca="1">IFERROR(__xludf.DUMMYFUNCTION("""COMPUTED_VALUE"""),"Off School Property")</f>
        <v>Off School Property</v>
      </c>
      <c r="U148" s="8" t="str">
        <f ca="1">IFERROR(__xludf.DUMMYFUNCTION("""COMPUTED_VALUE"""),"Yes")</f>
        <v>Yes</v>
      </c>
      <c r="V148" s="8" t="str">
        <f ca="1">IFERROR(__xludf.DUMMYFUNCTION("""COMPUTED_VALUE"""),"Dismissal")</f>
        <v>Dismissal</v>
      </c>
      <c r="W148" s="11">
        <f ca="1">IFERROR(__xludf.DUMMYFUNCTION("""COMPUTED_VALUE"""),0.625)</f>
        <v>0.625</v>
      </c>
      <c r="X148" s="8">
        <f ca="1">IFERROR(__xludf.DUMMYFUNCTION("""COMPUTED_VALUE"""),1)</f>
        <v>1</v>
      </c>
      <c r="Y148" s="12" t="str">
        <f ca="1">IFERROR(__xludf.DUMMYFUNCTION("""COMPUTED_VALUE"""),"Man fired 15 shots in the field next to the school at dismissal")</f>
        <v>Man fired 15 shots in the field next to the school at dismissal</v>
      </c>
      <c r="Z148" s="12" t="str">
        <f ca="1">IFERROR(__xludf.DUMMYFUNCTION("""COMPUTED_VALUE"""),"Sierra Vista Police swiftly arrested a man on Feb. 18 for unlawfully discharging a firearm after responding to a call near Joyce Clark Middle School. A witness reported more than 15 shots fired as students were being released, causing a tense situation. O"&amp;"fficers found an adult male with a handgun and took him into custody. The man told officers he recently bought the handgun and wanted to target shoot. He claimed a local gun store advised him to go into the desert. Sierra Vista Police charged the man with"&amp;" unlawful discharge of a firearm within city limits and booked him into Cochise County Jail.")</f>
        <v>Sierra Vista Police swiftly arrested a man on Feb. 18 for unlawfully discharging a firearm after responding to a call near Joyce Clark Middle School. A witness reported more than 15 shots fired as students were being released, causing a tense situation. Officers found an adult male with a handgun and took him into custody. The man told officers he recently bought the handgun and wanted to target shoot. He claimed a local gun store advised him to go into the desert. Sierra Vista Police charged the man with unlawful discharge of a firearm within city limits and booked him into Cochise County Jail.</v>
      </c>
      <c r="AA148" s="8" t="str">
        <f ca="1">IFERROR(__xludf.DUMMYFUNCTION("""COMPUTED_VALUE"""),"Illegal Activity")</f>
        <v>Illegal Activity</v>
      </c>
      <c r="AB148" s="8"/>
      <c r="AC148" s="8" t="str">
        <f ca="1">IFERROR(__xludf.DUMMYFUNCTION("""COMPUTED_VALUE"""),"Yes")</f>
        <v>Yes</v>
      </c>
      <c r="AD148" s="8" t="str">
        <f ca="1">IFERROR(__xludf.DUMMYFUNCTION("""COMPUTED_VALUE"""),"Neither")</f>
        <v>Neither</v>
      </c>
      <c r="AE148" s="8" t="str">
        <f ca="1">IFERROR(__xludf.DUMMYFUNCTION("""COMPUTED_VALUE"""),"No")</f>
        <v>No</v>
      </c>
      <c r="AF148" s="8"/>
      <c r="AG148" s="8" t="str">
        <f ca="1">IFERROR(__xludf.DUMMYFUNCTION("""COMPUTED_VALUE"""),"No")</f>
        <v>No</v>
      </c>
      <c r="AH148" s="8" t="str">
        <f ca="1">IFERROR(__xludf.DUMMYFUNCTION("""COMPUTED_VALUE"""),"No")</f>
        <v>No</v>
      </c>
      <c r="AI148" s="8" t="str">
        <f ca="1">IFERROR(__xludf.DUMMYFUNCTION("""COMPUTED_VALUE"""),"No")</f>
        <v>No</v>
      </c>
      <c r="AJ148" s="8" t="str">
        <f ca="1">IFERROR(__xludf.DUMMYFUNCTION("""COMPUTED_VALUE"""),"No")</f>
        <v>No</v>
      </c>
      <c r="AK148" s="8" t="str">
        <f ca="1">IFERROR(__xludf.DUMMYFUNCTION("""COMPUTED_VALUE"""),"No")</f>
        <v>No</v>
      </c>
      <c r="AL148" s="8" t="str">
        <f ca="1">IFERROR(__xludf.DUMMYFUNCTION("""COMPUTED_VALUE"""),"No")</f>
        <v>No</v>
      </c>
      <c r="AM148" s="8" t="str">
        <f ca="1">IFERROR(__xludf.DUMMYFUNCTION("""COMPUTED_VALUE"""),"No")</f>
        <v>No</v>
      </c>
      <c r="AN148" s="8" t="str">
        <f ca="1">IFERROR(__xludf.DUMMYFUNCTION("""COMPUTED_VALUE"""),"Outside")</f>
        <v>Outside</v>
      </c>
      <c r="AO148" s="8" t="str">
        <f ca="1">IFERROR(__xludf.DUMMYFUNCTION("""COMPUTED_VALUE"""),"No")</f>
        <v>No</v>
      </c>
      <c r="AP148" s="8"/>
      <c r="AQ148" s="8"/>
      <c r="AR148" s="8" t="str">
        <f ca="1">IFERROR(__xludf.DUMMYFUNCTION("""COMPUTED_VALUE"""),"Outside/Off-Property")</f>
        <v>Outside/Off-Property</v>
      </c>
      <c r="AS148" s="8">
        <f ca="1">IFERROR(__xludf.DUMMYFUNCTION("""COMPUTED_VALUE"""),15)</f>
        <v>15</v>
      </c>
      <c r="AT148" s="8" t="str">
        <f ca="1">IFERROR(__xludf.DUMMYFUNCTION("""COMPUTED_VALUE"""),"Yes")</f>
        <v>Yes</v>
      </c>
      <c r="AU148" s="8">
        <f ca="1">IFERROR(__xludf.DUMMYFUNCTION("""COMPUTED_VALUE"""),31.54436)</f>
        <v>31.544360000000001</v>
      </c>
      <c r="AV148" s="8">
        <f ca="1">IFERROR(__xludf.DUMMYFUNCTION("""COMPUTED_VALUE"""),-110.286213)</f>
        <v>-110.286213</v>
      </c>
      <c r="AW148" s="8" t="str">
        <f ca="1">IFERROR(__xludf.DUMMYFUNCTION("""COMPUTED_VALUE"""),"Multiple detached buildings")</f>
        <v>Multiple detached buildings</v>
      </c>
      <c r="AX148" s="8">
        <f ca="1">IFERROR(__xludf.DUMMYFUNCTION("""COMPUTED_VALUE"""),85635)</f>
        <v>85635</v>
      </c>
    </row>
    <row r="149" spans="1:50" ht="105" x14ac:dyDescent="0.2">
      <c r="A149" s="8" t="str">
        <f ca="1">IFERROR(__xludf.DUMMYFUNCTION("""COMPUTED_VALUE"""),"20250212GAJEM")</f>
        <v>20250212GAJEM</v>
      </c>
      <c r="B149" s="8">
        <f ca="1">IFERROR(__xludf.DUMMYFUNCTION("""COMPUTED_VALUE"""),2)</f>
        <v>2</v>
      </c>
      <c r="C149" s="8">
        <f ca="1">IFERROR(__xludf.DUMMYFUNCTION("""COMPUTED_VALUE"""),12)</f>
        <v>12</v>
      </c>
      <c r="D149" s="8">
        <f ca="1">IFERROR(__xludf.DUMMYFUNCTION("""COMPUTED_VALUE"""),2025)</f>
        <v>2025</v>
      </c>
      <c r="E149" s="9">
        <f ca="1">IFERROR(__xludf.DUMMYFUNCTION("""COMPUTED_VALUE"""),45700)</f>
        <v>45700</v>
      </c>
      <c r="F149" s="8" t="str">
        <f ca="1">IFERROR(__xludf.DUMMYFUNCTION("""COMPUTED_VALUE"""),"Jenkins County High School")</f>
        <v>Jenkins County High School</v>
      </c>
      <c r="G149" s="8">
        <f ca="1">IFERROR(__xludf.DUMMYFUNCTION("""COMPUTED_VALUE"""),0)</f>
        <v>0</v>
      </c>
      <c r="H149" s="8">
        <f ca="1">IFERROR(__xludf.DUMMYFUNCTION("""COMPUTED_VALUE"""),0)</f>
        <v>0</v>
      </c>
      <c r="I149" s="8">
        <f ca="1">IFERROR(__xludf.DUMMYFUNCTION("""COMPUTED_VALUE"""),0)</f>
        <v>0</v>
      </c>
      <c r="J149" s="8">
        <f ca="1">IFERROR(__xludf.DUMMYFUNCTION("""COMPUTED_VALUE"""),0)</f>
        <v>0</v>
      </c>
      <c r="K149" s="10" t="str">
        <f ca="1">IFERROR(__xludf.DUMMYFUNCTION("""COMPUTED_VALUE"""),"https://www.themillennews.com/articles/jchs-student-arrested-for-guns-on-campus-gbi-investigates-student-teacher-rumors/
https://www.wrdw.com/2025/02/21/teen-charged-with-pointing-gun-students-outside-millen-school/")</f>
        <v>https://www.themillennews.com/articles/jchs-student-arrested-for-guns-on-campus-gbi-investigates-student-teacher-rumors/
https://www.wrdw.com/2025/02/21/teen-charged-with-pointing-gun-students-outside-millen-school/</v>
      </c>
      <c r="L149" s="8">
        <f ca="1">IFERROR(__xludf.DUMMYFUNCTION("""COMPUTED_VALUE"""),3)</f>
        <v>3</v>
      </c>
      <c r="M149" s="8" t="str">
        <f ca="1">IFERROR(__xludf.DUMMYFUNCTION("""COMPUTED_VALUE"""),"Local")</f>
        <v>Local</v>
      </c>
      <c r="N149" s="8">
        <f ca="1">IFERROR(__xludf.DUMMYFUNCTION("""COMPUTED_VALUE"""),4)</f>
        <v>4</v>
      </c>
      <c r="O149" s="8" t="str">
        <f ca="1">IFERROR(__xludf.DUMMYFUNCTION("""COMPUTED_VALUE"""),"Winter")</f>
        <v>Winter</v>
      </c>
      <c r="P149" s="8" t="str">
        <f ca="1">IFERROR(__xludf.DUMMYFUNCTION("""COMPUTED_VALUE"""),"Millen")</f>
        <v>Millen</v>
      </c>
      <c r="Q149" s="8" t="str">
        <f ca="1">IFERROR(__xludf.DUMMYFUNCTION("""COMPUTED_VALUE"""),"GA")</f>
        <v>GA</v>
      </c>
      <c r="R149" s="8" t="str">
        <f ca="1">IFERROR(__xludf.DUMMYFUNCTION("""COMPUTED_VALUE"""),"High")</f>
        <v>High</v>
      </c>
      <c r="S149" s="8" t="str">
        <f ca="1">IFERROR(__xludf.DUMMYFUNCTION("""COMPUTED_VALUE"""),"Parking Lot")</f>
        <v>Parking Lot</v>
      </c>
      <c r="T149" s="8" t="str">
        <f ca="1">IFERROR(__xludf.DUMMYFUNCTION("""COMPUTED_VALUE"""),"Outside on School Property")</f>
        <v>Outside on School Property</v>
      </c>
      <c r="U149" s="8" t="str">
        <f ca="1">IFERROR(__xludf.DUMMYFUNCTION("""COMPUTED_VALUE"""),"Yes")</f>
        <v>Yes</v>
      </c>
      <c r="V149" s="8"/>
      <c r="W149" s="8"/>
      <c r="X149" s="8">
        <f ca="1">IFERROR(__xludf.DUMMYFUNCTION("""COMPUTED_VALUE"""),1)</f>
        <v>1</v>
      </c>
      <c r="Y149" s="12" t="str">
        <f ca="1">IFERROR(__xludf.DUMMYFUNCTION("""COMPUTED_VALUE"""),"Student pointed a gun at six other students in the parking lot")</f>
        <v>Student pointed a gun at six other students in the parking lot</v>
      </c>
      <c r="Z149" s="12" t="str">
        <f ca="1">IFERROR(__xludf.DUMMYFUNCTION("""COMPUTED_VALUE"""),"A 17-year-old student riding in a vehicle pointed a gun at six other students in the school parking lot. The sheriff said the teenager was caught with a rifle and handgun. He said the teenager faces six charges, including three counts of pointing a gun at"&amp;" another, two counts of having a firearm in a school safety zone and one count of being a minor illegally in possession of a firearm – the pistol.")</f>
        <v>A 17-year-old student riding in a vehicle pointed a gun at six other students in the school parking lot. The sheriff said the teenager was caught with a rifle and handgun. He said the teenager faces six charges, including three counts of pointing a gun at another, two counts of having a firearm in a school safety zone and one count of being a minor illegally in possession of a firearm – the pistol.</v>
      </c>
      <c r="AA149" s="8" t="str">
        <f ca="1">IFERROR(__xludf.DUMMYFUNCTION("""COMPUTED_VALUE"""),"Drive-by Shooting")</f>
        <v>Drive-by Shooting</v>
      </c>
      <c r="AB149" s="8"/>
      <c r="AC149" s="8" t="str">
        <f ca="1">IFERROR(__xludf.DUMMYFUNCTION("""COMPUTED_VALUE"""),"Yes")</f>
        <v>Yes</v>
      </c>
      <c r="AD149" s="8" t="str">
        <f ca="1">IFERROR(__xludf.DUMMYFUNCTION("""COMPUTED_VALUE"""),"Victims Targeted")</f>
        <v>Victims Targeted</v>
      </c>
      <c r="AE149" s="8" t="str">
        <f ca="1">IFERROR(__xludf.DUMMYFUNCTION("""COMPUTED_VALUE"""),"No")</f>
        <v>No</v>
      </c>
      <c r="AF149" s="8"/>
      <c r="AG149" s="8" t="str">
        <f ca="1">IFERROR(__xludf.DUMMYFUNCTION("""COMPUTED_VALUE"""),"No")</f>
        <v>No</v>
      </c>
      <c r="AH149" s="8" t="str">
        <f ca="1">IFERROR(__xludf.DUMMYFUNCTION("""COMPUTED_VALUE"""),"No")</f>
        <v>No</v>
      </c>
      <c r="AI149" s="8" t="str">
        <f ca="1">IFERROR(__xludf.DUMMYFUNCTION("""COMPUTED_VALUE"""),"No")</f>
        <v>No</v>
      </c>
      <c r="AJ149" s="8"/>
      <c r="AK149" s="8" t="str">
        <f ca="1">IFERROR(__xludf.DUMMYFUNCTION("""COMPUTED_VALUE"""),"No")</f>
        <v>No</v>
      </c>
      <c r="AL149" s="8"/>
      <c r="AM149" s="8" t="str">
        <f ca="1">IFERROR(__xludf.DUMMYFUNCTION("""COMPUTED_VALUE"""),"No")</f>
        <v>No</v>
      </c>
      <c r="AN149" s="8" t="str">
        <f ca="1">IFERROR(__xludf.DUMMYFUNCTION("""COMPUTED_VALUE"""),"Outside")</f>
        <v>Outside</v>
      </c>
      <c r="AO149" s="8" t="str">
        <f ca="1">IFERROR(__xludf.DUMMYFUNCTION("""COMPUTED_VALUE"""),"No")</f>
        <v>No</v>
      </c>
      <c r="AP149" s="8"/>
      <c r="AQ149" s="8"/>
      <c r="AR149" s="8" t="str">
        <f ca="1">IFERROR(__xludf.DUMMYFUNCTION("""COMPUTED_VALUE"""),"Outside/Off-Property")</f>
        <v>Outside/Off-Property</v>
      </c>
      <c r="AS149" s="8">
        <f ca="1">IFERROR(__xludf.DUMMYFUNCTION("""COMPUTED_VALUE"""),0)</f>
        <v>0</v>
      </c>
      <c r="AT149" s="8" t="str">
        <f ca="1">IFERROR(__xludf.DUMMYFUNCTION("""COMPUTED_VALUE"""),"No")</f>
        <v>No</v>
      </c>
      <c r="AU149" s="8">
        <f ca="1">IFERROR(__xludf.DUMMYFUNCTION("""COMPUTED_VALUE"""),32.809979)</f>
        <v>32.809978999999998</v>
      </c>
      <c r="AV149" s="8">
        <f ca="1">IFERROR(__xludf.DUMMYFUNCTION("""COMPUTED_VALUE"""),-81.941951)</f>
        <v>-81.941951000000003</v>
      </c>
      <c r="AW149" s="8" t="str">
        <f ca="1">IFERROR(__xludf.DUMMYFUNCTION("""COMPUTED_VALUE"""),"Multiple attached buildings")</f>
        <v>Multiple attached buildings</v>
      </c>
      <c r="AX149" s="8">
        <f ca="1">IFERROR(__xludf.DUMMYFUNCTION("""COMPUTED_VALUE"""),30442)</f>
        <v>30442</v>
      </c>
    </row>
    <row r="150" spans="1:50" ht="165" x14ac:dyDescent="0.2">
      <c r="A150" s="8" t="str">
        <f ca="1">IFERROR(__xludf.DUMMYFUNCTION("""COMPUTED_VALUE"""),"20250211OKCOO")</f>
        <v>20250211OKCOO</v>
      </c>
      <c r="B150" s="8">
        <f ca="1">IFERROR(__xludf.DUMMYFUNCTION("""COMPUTED_VALUE"""),2)</f>
        <v>2</v>
      </c>
      <c r="C150" s="8">
        <f ca="1">IFERROR(__xludf.DUMMYFUNCTION("""COMPUTED_VALUE"""),11)</f>
        <v>11</v>
      </c>
      <c r="D150" s="8">
        <f ca="1">IFERROR(__xludf.DUMMYFUNCTION("""COMPUTED_VALUE"""),2025)</f>
        <v>2025</v>
      </c>
      <c r="E150" s="9">
        <f ca="1">IFERROR(__xludf.DUMMYFUNCTION("""COMPUTED_VALUE"""),45699)</f>
        <v>45699</v>
      </c>
      <c r="F150" s="8" t="str">
        <f ca="1">IFERROR(__xludf.DUMMYFUNCTION("""COMPUTED_VALUE"""),"Coolidge Elementary School")</f>
        <v>Coolidge Elementary School</v>
      </c>
      <c r="G150" s="8">
        <f ca="1">IFERROR(__xludf.DUMMYFUNCTION("""COMPUTED_VALUE"""),2)</f>
        <v>2</v>
      </c>
      <c r="H150" s="8">
        <f ca="1">IFERROR(__xludf.DUMMYFUNCTION("""COMPUTED_VALUE"""),1)</f>
        <v>1</v>
      </c>
      <c r="I150" s="8">
        <f ca="1">IFERROR(__xludf.DUMMYFUNCTION("""COMPUTED_VALUE"""),3)</f>
        <v>3</v>
      </c>
      <c r="J150" s="8">
        <f ca="1">IFERROR(__xludf.DUMMYFUNCTION("""COMPUTED_VALUE"""),0)</f>
        <v>0</v>
      </c>
      <c r="K150" s="10" t="str">
        <f ca="1">IFERROR(__xludf.DUMMYFUNCTION("""COMPUTED_VALUE"""),"https://www.koco.com/article/second-teen-dies-in-south-okc-neighborhood-shooting/63776726
https://kfor.com/news/local/oklahoma-city-police-says-tuesday-night-shooting-was-a-gun-battle-leaving-two-dead/")</f>
        <v>https://www.koco.com/article/second-teen-dies-in-south-okc-neighborhood-shooting/63776726
https://kfor.com/news/local/oklahoma-city-police-says-tuesday-night-shooting-was-a-gun-battle-leaving-two-dead/</v>
      </c>
      <c r="L150" s="8">
        <f ca="1">IFERROR(__xludf.DUMMYFUNCTION("""COMPUTED_VALUE"""),5)</f>
        <v>5</v>
      </c>
      <c r="M150" s="8" t="str">
        <f ca="1">IFERROR(__xludf.DUMMYFUNCTION("""COMPUTED_VALUE"""),"Local")</f>
        <v>Local</v>
      </c>
      <c r="N150" s="8">
        <f ca="1">IFERROR(__xludf.DUMMYFUNCTION("""COMPUTED_VALUE"""),4)</f>
        <v>4</v>
      </c>
      <c r="O150" s="8" t="str">
        <f ca="1">IFERROR(__xludf.DUMMYFUNCTION("""COMPUTED_VALUE"""),"Winter")</f>
        <v>Winter</v>
      </c>
      <c r="P150" s="8" t="str">
        <f ca="1">IFERROR(__xludf.DUMMYFUNCTION("""COMPUTED_VALUE"""),"Oklahoma City")</f>
        <v>Oklahoma City</v>
      </c>
      <c r="Q150" s="8" t="str">
        <f ca="1">IFERROR(__xludf.DUMMYFUNCTION("""COMPUTED_VALUE"""),"OK")</f>
        <v>OK</v>
      </c>
      <c r="R150" s="8" t="str">
        <f ca="1">IFERROR(__xludf.DUMMYFUNCTION("""COMPUTED_VALUE"""),"Elementary")</f>
        <v>Elementary</v>
      </c>
      <c r="S150" s="8" t="str">
        <f ca="1">IFERROR(__xludf.DUMMYFUNCTION("""COMPUTED_VALUE"""),"Parking Lot")</f>
        <v>Parking Lot</v>
      </c>
      <c r="T150" s="8" t="str">
        <f ca="1">IFERROR(__xludf.DUMMYFUNCTION("""COMPUTED_VALUE"""),"Outside on School Property")</f>
        <v>Outside on School Property</v>
      </c>
      <c r="U150" s="8" t="str">
        <f ca="1">IFERROR(__xludf.DUMMYFUNCTION("""COMPUTED_VALUE"""),"Yes")</f>
        <v>Yes</v>
      </c>
      <c r="V150" s="8" t="str">
        <f ca="1">IFERROR(__xludf.DUMMYFUNCTION("""COMPUTED_VALUE"""),"Evening")</f>
        <v>Evening</v>
      </c>
      <c r="W150" s="11">
        <f ca="1">IFERROR(__xludf.DUMMYFUNCTION("""COMPUTED_VALUE"""),0.854166666666666)</f>
        <v>0.85416666666666596</v>
      </c>
      <c r="X150" s="8">
        <f ca="1">IFERROR(__xludf.DUMMYFUNCTION("""COMPUTED_VALUE"""),1)</f>
        <v>1</v>
      </c>
      <c r="Y150" s="12" t="str">
        <f ca="1">IFERROR(__xludf.DUMMYFUNCTION("""COMPUTED_VALUE"""),"Teen fired multiple shots with a shotgun during a fight in the parking lot, 2 teens killed")</f>
        <v>Teen fired multiple shots with a shotgun during a fight in the parking lot, 2 teens killed</v>
      </c>
      <c r="Z150" s="12" t="str">
        <f ca="1">IFERROR(__xludf.DUMMYFUNCTION("""COMPUTED_VALUE"""),"Oklahoma City Police are investigating a double homicide that happened at a local elementary school Tuesday night at 8:30pm. “A dispute occurred, a gun battle ultimately ensued following that dispute,” said Sgt. Dillon Quirk with the Oklahoma City Police "&amp;"Department. Officers responded to a local hospital after several people came in with gunshot wounds. Police said 18-year-old Oscar Herrera died at the hospital. Then, a few hours later, a 17-year-old boy died. Authorities say a group gathered on the lot o"&amp;"f Coolidge Elementary near South Villa. The number of people in the group is unknown.")</f>
        <v>Oklahoma City Police are investigating a double homicide that happened at a local elementary school Tuesday night at 8:30pm. “A dispute occurred, a gun battle ultimately ensued following that dispute,” said Sgt. Dillon Quirk with the Oklahoma City Police Department. Officers responded to a local hospital after several people came in with gunshot wounds. Police said 18-year-old Oscar Herrera died at the hospital. Then, a few hours later, a 17-year-old boy died. Authorities say a group gathered on the lot of Coolidge Elementary near South Villa. The number of people in the group is unknown.</v>
      </c>
      <c r="AA150" s="8" t="str">
        <f ca="1">IFERROR(__xludf.DUMMYFUNCTION("""COMPUTED_VALUE"""),"Escalation of Dispute")</f>
        <v>Escalation of Dispute</v>
      </c>
      <c r="AB150" s="8" t="str">
        <f ca="1">IFERROR(__xludf.DUMMYFUNCTION("""COMPUTED_VALUE"""),"Spontaneous")</f>
        <v>Spontaneous</v>
      </c>
      <c r="AC150" s="8" t="str">
        <f ca="1">IFERROR(__xludf.DUMMYFUNCTION("""COMPUTED_VALUE"""),"No")</f>
        <v>No</v>
      </c>
      <c r="AD150" s="8" t="str">
        <f ca="1">IFERROR(__xludf.DUMMYFUNCTION("""COMPUTED_VALUE"""),"Victims Targeted")</f>
        <v>Victims Targeted</v>
      </c>
      <c r="AE150" s="8" t="str">
        <f ca="1">IFERROR(__xludf.DUMMYFUNCTION("""COMPUTED_VALUE"""),"Yes")</f>
        <v>Yes</v>
      </c>
      <c r="AF150" s="8" t="str">
        <f ca="1">IFERROR(__xludf.DUMMYFUNCTION("""COMPUTED_VALUE"""),"Multiple teens involved in fight")</f>
        <v>Multiple teens involved in fight</v>
      </c>
      <c r="AG150" s="8" t="str">
        <f ca="1">IFERROR(__xludf.DUMMYFUNCTION("""COMPUTED_VALUE"""),"No")</f>
        <v>No</v>
      </c>
      <c r="AH150" s="8" t="str">
        <f ca="1">IFERROR(__xludf.DUMMYFUNCTION("""COMPUTED_VALUE"""),"No")</f>
        <v>No</v>
      </c>
      <c r="AI150" s="8" t="str">
        <f ca="1">IFERROR(__xludf.DUMMYFUNCTION("""COMPUTED_VALUE"""),"No")</f>
        <v>No</v>
      </c>
      <c r="AJ150" s="8" t="str">
        <f ca="1">IFERROR(__xludf.DUMMYFUNCTION("""COMPUTED_VALUE"""),"No")</f>
        <v>No</v>
      </c>
      <c r="AK150" s="8" t="str">
        <f ca="1">IFERROR(__xludf.DUMMYFUNCTION("""COMPUTED_VALUE"""),"No")</f>
        <v>No</v>
      </c>
      <c r="AL150" s="8"/>
      <c r="AM150" s="8" t="str">
        <f ca="1">IFERROR(__xludf.DUMMYFUNCTION("""COMPUTED_VALUE"""),"No")</f>
        <v>No</v>
      </c>
      <c r="AN150" s="8" t="str">
        <f ca="1">IFERROR(__xludf.DUMMYFUNCTION("""COMPUTED_VALUE"""),"Outside")</f>
        <v>Outside</v>
      </c>
      <c r="AO150" s="8" t="str">
        <f ca="1">IFERROR(__xludf.DUMMYFUNCTION("""COMPUTED_VALUE"""),"No")</f>
        <v>No</v>
      </c>
      <c r="AP150" s="8"/>
      <c r="AQ150" s="8"/>
      <c r="AR150" s="8" t="str">
        <f ca="1">IFERROR(__xludf.DUMMYFUNCTION("""COMPUTED_VALUE"""),"Outside/Off-Property")</f>
        <v>Outside/Off-Property</v>
      </c>
      <c r="AS150" s="8">
        <f ca="1">IFERROR(__xludf.DUMMYFUNCTION("""COMPUTED_VALUE"""),6)</f>
        <v>6</v>
      </c>
      <c r="AT150" s="8" t="str">
        <f ca="1">IFERROR(__xludf.DUMMYFUNCTION("""COMPUTED_VALUE"""),"No")</f>
        <v>No</v>
      </c>
      <c r="AU150" s="8">
        <f ca="1">IFERROR(__xludf.DUMMYFUNCTION("""COMPUTED_VALUE"""),35.412201)</f>
        <v>35.412201000000003</v>
      </c>
      <c r="AV150" s="8">
        <f ca="1">IFERROR(__xludf.DUMMYFUNCTION("""COMPUTED_VALUE"""),-97.556071)</f>
        <v>-97.556071000000003</v>
      </c>
      <c r="AW150" s="8" t="str">
        <f ca="1">IFERROR(__xludf.DUMMYFUNCTION("""COMPUTED_VALUE"""),"Multiple attached buildings")</f>
        <v>Multiple attached buildings</v>
      </c>
      <c r="AX150" s="8">
        <f ca="1">IFERROR(__xludf.DUMMYFUNCTION("""COMPUTED_VALUE"""),73119)</f>
        <v>73119</v>
      </c>
    </row>
    <row r="151" spans="1:50" ht="300" x14ac:dyDescent="0.2">
      <c r="A151" s="8" t="str">
        <f ca="1">IFERROR(__xludf.DUMMYFUNCTION("""COMPUTED_VALUE"""),"20250211TNCAA")</f>
        <v>20250211TNCAA</v>
      </c>
      <c r="B151" s="8">
        <f ca="1">IFERROR(__xludf.DUMMYFUNCTION("""COMPUTED_VALUE"""),2)</f>
        <v>2</v>
      </c>
      <c r="C151" s="8">
        <f ca="1">IFERROR(__xludf.DUMMYFUNCTION("""COMPUTED_VALUE"""),11)</f>
        <v>11</v>
      </c>
      <c r="D151" s="8">
        <f ca="1">IFERROR(__xludf.DUMMYFUNCTION("""COMPUTED_VALUE"""),2025)</f>
        <v>2025</v>
      </c>
      <c r="E151" s="9">
        <f ca="1">IFERROR(__xludf.DUMMYFUNCTION("""COMPUTED_VALUE"""),45699)</f>
        <v>45699</v>
      </c>
      <c r="F151" s="8" t="str">
        <f ca="1">IFERROR(__xludf.DUMMYFUNCTION("""COMPUTED_VALUE"""),"Cane Ridge High School")</f>
        <v>Cane Ridge High School</v>
      </c>
      <c r="G151" s="8">
        <f ca="1">IFERROR(__xludf.DUMMYFUNCTION("""COMPUTED_VALUE"""),0)</f>
        <v>0</v>
      </c>
      <c r="H151" s="8">
        <f ca="1">IFERROR(__xludf.DUMMYFUNCTION("""COMPUTED_VALUE"""),0)</f>
        <v>0</v>
      </c>
      <c r="I151" s="8">
        <f ca="1">IFERROR(__xludf.DUMMYFUNCTION("""COMPUTED_VALUE"""),0)</f>
        <v>0</v>
      </c>
      <c r="J151" s="8">
        <f ca="1">IFERROR(__xludf.DUMMYFUNCTION("""COMPUTED_VALUE"""),0)</f>
        <v>0</v>
      </c>
      <c r="K151" s="8" t="str">
        <f ca="1">IFERROR(__xludf.DUMMYFUNCTION("""COMPUTED_VALUE"""),"https://www.wsmv.com/2025/02/14/5-teens-arrested-days-after-47-gunshots-near-school-prompted-lockdown-nashville/
https://www.wkrn.com/video/teens-arrested-after-shots-fired-call-near-nashville-high-school/10455503/")</f>
        <v>https://www.wsmv.com/2025/02/14/5-teens-arrested-days-after-47-gunshots-near-school-prompted-lockdown-nashville/
https://www.wkrn.com/video/teens-arrested-after-shots-fired-call-near-nashville-high-school/10455503/</v>
      </c>
      <c r="L151" s="8">
        <f ca="1">IFERROR(__xludf.DUMMYFUNCTION("""COMPUTED_VALUE"""),2)</f>
        <v>2</v>
      </c>
      <c r="M151" s="8" t="str">
        <f ca="1">IFERROR(__xludf.DUMMYFUNCTION("""COMPUTED_VALUE"""),"Local")</f>
        <v>Local</v>
      </c>
      <c r="N151" s="8">
        <f ca="1">IFERROR(__xludf.DUMMYFUNCTION("""COMPUTED_VALUE"""),3)</f>
        <v>3</v>
      </c>
      <c r="O151" s="8" t="str">
        <f ca="1">IFERROR(__xludf.DUMMYFUNCTION("""COMPUTED_VALUE"""),"Winter")</f>
        <v>Winter</v>
      </c>
      <c r="P151" s="8" t="str">
        <f ca="1">IFERROR(__xludf.DUMMYFUNCTION("""COMPUTED_VALUE"""),"Antioch")</f>
        <v>Antioch</v>
      </c>
      <c r="Q151" s="8" t="str">
        <f ca="1">IFERROR(__xludf.DUMMYFUNCTION("""COMPUTED_VALUE"""),"TN")</f>
        <v>TN</v>
      </c>
      <c r="R151" s="8" t="str">
        <f ca="1">IFERROR(__xludf.DUMMYFUNCTION("""COMPUTED_VALUE"""),"High")</f>
        <v>High</v>
      </c>
      <c r="S151" s="8" t="str">
        <f ca="1">IFERROR(__xludf.DUMMYFUNCTION("""COMPUTED_VALUE"""),"Off School Property")</f>
        <v>Off School Property</v>
      </c>
      <c r="T151" s="8" t="str">
        <f ca="1">IFERROR(__xludf.DUMMYFUNCTION("""COMPUTED_VALUE"""),"Off School Property")</f>
        <v>Off School Property</v>
      </c>
      <c r="U151" s="8" t="str">
        <f ca="1">IFERROR(__xludf.DUMMYFUNCTION("""COMPUTED_VALUE"""),"Yes")</f>
        <v>Yes</v>
      </c>
      <c r="V151" s="8" t="str">
        <f ca="1">IFERROR(__xludf.DUMMYFUNCTION("""COMPUTED_VALUE"""),"Afternoon Classes")</f>
        <v>Afternoon Classes</v>
      </c>
      <c r="W151" s="8"/>
      <c r="X151" s="8">
        <f ca="1">IFERROR(__xludf.DUMMYFUNCTION("""COMPUTED_VALUE"""),1)</f>
        <v>1</v>
      </c>
      <c r="Y151" s="12" t="str">
        <f ca="1">IFERROR(__xludf.DUMMYFUNCTION("""COMPUTED_VALUE"""),"Five teens fired 47 shots in the woods behind the school causing a lockdown")</f>
        <v>Five teens fired 47 shots in the woods behind the school causing a lockdown</v>
      </c>
      <c r="Z151" s="12" t="str">
        <f ca="1">IFERROR(__xludf.DUMMYFUNCTION("""COMPUTED_VALUE"""),"The Metro Nashville Police Department has announced the arrest of five teenage boys after shots were fired near Cane Ridge High School on Tuesday. MNPD reports that the five teens (three age 15 and two age 16) were arrested on Thursday at a gas station on"&amp;" Old Hickory Boulevard near Bell Road during a traffic stop. During the stop, police said two guns were recovered from the truck. On Tuesday, officers responded to a shots fired call near the high school where a reported truck was involved in the incident"&amp;". The school was placed on a brief lockdown due to the report. MNPD said that 47 shell casings were recovered in the area of Sprucedale Drive. Officers investigating the matter on Wednesday were able to retrieve more information on the truck based on a ne"&amp;"arby neighborhood’s license plate reader cameras. On Thursday, officers found the truck while patrolling the area of Sprucedale Drive, followed it for a short time and conducted a traffic stop. All five teens, none of whom attend CRHS, exited the truck an"&amp;"d were arrested. A nine-millimeter and .40 caliber pistol were recovered from the truck.")</f>
        <v>The Metro Nashville Police Department has announced the arrest of five teenage boys after shots were fired near Cane Ridge High School on Tuesday. MNPD reports that the five teens (three age 15 and two age 16) were arrested on Thursday at a gas station on Old Hickory Boulevard near Bell Road during a traffic stop. During the stop, police said two guns were recovered from the truck. On Tuesday, officers responded to a shots fired call near the high school where a reported truck was involved in the incident. The school was placed on a brief lockdown due to the report. MNPD said that 47 shell casings were recovered in the area of Sprucedale Drive. Officers investigating the matter on Wednesday were able to retrieve more information on the truck based on a nearby neighborhood’s license plate reader cameras. On Thursday, officers found the truck while patrolling the area of Sprucedale Drive, followed it for a short time and conducted a traffic stop. All five teens, none of whom attend CRHS, exited the truck and were arrested. A nine-millimeter and .40 caliber pistol were recovered from the truck.</v>
      </c>
      <c r="AA151" s="8" t="str">
        <f ca="1">IFERROR(__xludf.DUMMYFUNCTION("""COMPUTED_VALUE"""),"Illegal Activity")</f>
        <v>Illegal Activity</v>
      </c>
      <c r="AB151" s="8"/>
      <c r="AC151" s="8" t="str">
        <f ca="1">IFERROR(__xludf.DUMMYFUNCTION("""COMPUTED_VALUE"""),"Yes")</f>
        <v>Yes</v>
      </c>
      <c r="AD151" s="8" t="str">
        <f ca="1">IFERROR(__xludf.DUMMYFUNCTION("""COMPUTED_VALUE"""),"Neither")</f>
        <v>Neither</v>
      </c>
      <c r="AE151" s="8" t="str">
        <f ca="1">IFERROR(__xludf.DUMMYFUNCTION("""COMPUTED_VALUE"""),"Yes")</f>
        <v>Yes</v>
      </c>
      <c r="AF151" s="8" t="str">
        <f ca="1">IFERROR(__xludf.DUMMYFUNCTION("""COMPUTED_VALUE"""),"five teens")</f>
        <v>five teens</v>
      </c>
      <c r="AG151" s="8" t="str">
        <f ca="1">IFERROR(__xludf.DUMMYFUNCTION("""COMPUTED_VALUE"""),"No")</f>
        <v>No</v>
      </c>
      <c r="AH151" s="8" t="str">
        <f ca="1">IFERROR(__xludf.DUMMYFUNCTION("""COMPUTED_VALUE"""),"No")</f>
        <v>No</v>
      </c>
      <c r="AI151" s="8" t="str">
        <f ca="1">IFERROR(__xludf.DUMMYFUNCTION("""COMPUTED_VALUE"""),"No")</f>
        <v>No</v>
      </c>
      <c r="AJ151" s="8" t="str">
        <f ca="1">IFERROR(__xludf.DUMMYFUNCTION("""COMPUTED_VALUE"""),"No")</f>
        <v>No</v>
      </c>
      <c r="AK151" s="8" t="str">
        <f ca="1">IFERROR(__xludf.DUMMYFUNCTION("""COMPUTED_VALUE"""),"No")</f>
        <v>No</v>
      </c>
      <c r="AL151" s="8" t="str">
        <f ca="1">IFERROR(__xludf.DUMMYFUNCTION("""COMPUTED_VALUE"""),"No")</f>
        <v>No</v>
      </c>
      <c r="AM151" s="8" t="str">
        <f ca="1">IFERROR(__xludf.DUMMYFUNCTION("""COMPUTED_VALUE"""),"No")</f>
        <v>No</v>
      </c>
      <c r="AN151" s="8" t="str">
        <f ca="1">IFERROR(__xludf.DUMMYFUNCTION("""COMPUTED_VALUE"""),"Outside")</f>
        <v>Outside</v>
      </c>
      <c r="AO151" s="8" t="str">
        <f ca="1">IFERROR(__xludf.DUMMYFUNCTION("""COMPUTED_VALUE"""),"No")</f>
        <v>No</v>
      </c>
      <c r="AP151" s="8"/>
      <c r="AQ151" s="8"/>
      <c r="AR151" s="8" t="str">
        <f ca="1">IFERROR(__xludf.DUMMYFUNCTION("""COMPUTED_VALUE"""),"Outside/Off-Property")</f>
        <v>Outside/Off-Property</v>
      </c>
      <c r="AS151" s="8">
        <f ca="1">IFERROR(__xludf.DUMMYFUNCTION("""COMPUTED_VALUE"""),47)</f>
        <v>47</v>
      </c>
      <c r="AT151" s="8" t="str">
        <f ca="1">IFERROR(__xludf.DUMMYFUNCTION("""COMPUTED_VALUE"""),"Yes")</f>
        <v>Yes</v>
      </c>
      <c r="AU151" s="8">
        <f ca="1">IFERROR(__xludf.DUMMYFUNCTION("""COMPUTED_VALUE"""),36.02945)</f>
        <v>36.029449999999997</v>
      </c>
      <c r="AV151" s="8">
        <f ca="1">IFERROR(__xludf.DUMMYFUNCTION("""COMPUTED_VALUE"""),-86.621019)</f>
        <v>-86.621019000000004</v>
      </c>
      <c r="AW151" s="8" t="str">
        <f ca="1">IFERROR(__xludf.DUMMYFUNCTION("""COMPUTED_VALUE"""),"Multiple attached buildings")</f>
        <v>Multiple attached buildings</v>
      </c>
      <c r="AX151" s="8">
        <f ca="1">IFERROR(__xludf.DUMMYFUNCTION("""COMPUTED_VALUE"""),37013)</f>
        <v>37013</v>
      </c>
    </row>
    <row r="152" spans="1:50" ht="75" x14ac:dyDescent="0.2">
      <c r="A152" s="8" t="str">
        <f ca="1">IFERROR(__xludf.DUMMYFUNCTION("""COMPUTED_VALUE"""),"20250210WAROS")</f>
        <v>20250210WAROS</v>
      </c>
      <c r="B152" s="8">
        <f ca="1">IFERROR(__xludf.DUMMYFUNCTION("""COMPUTED_VALUE"""),2)</f>
        <v>2</v>
      </c>
      <c r="C152" s="8">
        <f ca="1">IFERROR(__xludf.DUMMYFUNCTION("""COMPUTED_VALUE"""),10)</f>
        <v>10</v>
      </c>
      <c r="D152" s="8">
        <f ca="1">IFERROR(__xludf.DUMMYFUNCTION("""COMPUTED_VALUE"""),2025)</f>
        <v>2025</v>
      </c>
      <c r="E152" s="9">
        <f ca="1">IFERROR(__xludf.DUMMYFUNCTION("""COMPUTED_VALUE"""),45698)</f>
        <v>45698</v>
      </c>
      <c r="F152" s="8" t="str">
        <f ca="1">IFERROR(__xludf.DUMMYFUNCTION("""COMPUTED_VALUE"""),"Roxhill Elementary School")</f>
        <v>Roxhill Elementary School</v>
      </c>
      <c r="G152" s="8">
        <f ca="1">IFERROR(__xludf.DUMMYFUNCTION("""COMPUTED_VALUE"""),0)</f>
        <v>0</v>
      </c>
      <c r="H152" s="8">
        <f ca="1">IFERROR(__xludf.DUMMYFUNCTION("""COMPUTED_VALUE"""),0)</f>
        <v>0</v>
      </c>
      <c r="I152" s="8">
        <f ca="1">IFERROR(__xludf.DUMMYFUNCTION("""COMPUTED_VALUE"""),0)</f>
        <v>0</v>
      </c>
      <c r="J152" s="8">
        <f ca="1">IFERROR(__xludf.DUMMYFUNCTION("""COMPUTED_VALUE"""),0)</f>
        <v>0</v>
      </c>
      <c r="K152" s="8" t="str">
        <f ca="1">IFERROR(__xludf.DUMMYFUNCTION("""COMPUTED_VALUE"""),"https://www.kiro7.com/news/local/shots-fired-near-roxhill-gas-station-windows-shot-elementary-school/TF3MUICVIRFJXBBGD4HPPYRNYA/
https://www.king5.com/article/news/crime/sps-building-damaged-nearby-shooting/281-a9ab5afa-419a-4ab0-861c-e7a8932027f9")</f>
        <v>https://www.kiro7.com/news/local/shots-fired-near-roxhill-gas-station-windows-shot-elementary-school/TF3MUICVIRFJXBBGD4HPPYRNYA/
https://www.king5.com/article/news/crime/sps-building-damaged-nearby-shooting/281-a9ab5afa-419a-4ab0-861c-e7a8932027f9</v>
      </c>
      <c r="L152" s="8">
        <f ca="1">IFERROR(__xludf.DUMMYFUNCTION("""COMPUTED_VALUE"""),3)</f>
        <v>3</v>
      </c>
      <c r="M152" s="8" t="str">
        <f ca="1">IFERROR(__xludf.DUMMYFUNCTION("""COMPUTED_VALUE"""),"Local")</f>
        <v>Local</v>
      </c>
      <c r="N152" s="8">
        <f ca="1">IFERROR(__xludf.DUMMYFUNCTION("""COMPUTED_VALUE"""),4)</f>
        <v>4</v>
      </c>
      <c r="O152" s="8" t="str">
        <f ca="1">IFERROR(__xludf.DUMMYFUNCTION("""COMPUTED_VALUE"""),"Winter")</f>
        <v>Winter</v>
      </c>
      <c r="P152" s="8" t="str">
        <f ca="1">IFERROR(__xludf.DUMMYFUNCTION("""COMPUTED_VALUE"""),"Seattle")</f>
        <v>Seattle</v>
      </c>
      <c r="Q152" s="8" t="str">
        <f ca="1">IFERROR(__xludf.DUMMYFUNCTION("""COMPUTED_VALUE"""),"WA")</f>
        <v>WA</v>
      </c>
      <c r="R152" s="8" t="str">
        <f ca="1">IFERROR(__xludf.DUMMYFUNCTION("""COMPUTED_VALUE"""),"Elementary")</f>
        <v>Elementary</v>
      </c>
      <c r="S152" s="8" t="str">
        <f ca="1">IFERROR(__xludf.DUMMYFUNCTION("""COMPUTED_VALUE"""),"Cafeteria")</f>
        <v>Cafeteria</v>
      </c>
      <c r="T152" s="8" t="str">
        <f ca="1">IFERROR(__xludf.DUMMYFUNCTION("""COMPUTED_VALUE"""),"Outside on School Property")</f>
        <v>Outside on School Property</v>
      </c>
      <c r="U152" s="8" t="str">
        <f ca="1">IFERROR(__xludf.DUMMYFUNCTION("""COMPUTED_VALUE"""),"Yes")</f>
        <v>Yes</v>
      </c>
      <c r="V152" s="8" t="str">
        <f ca="1">IFERROR(__xludf.DUMMYFUNCTION("""COMPUTED_VALUE"""),"Afternoon Classes")</f>
        <v>Afternoon Classes</v>
      </c>
      <c r="W152" s="11">
        <f ca="1">IFERROR(__xludf.DUMMYFUNCTION("""COMPUTED_VALUE"""),0.520833333333333)</f>
        <v>0.52083333333333304</v>
      </c>
      <c r="X152" s="8">
        <f ca="1">IFERROR(__xludf.DUMMYFUNCTION("""COMPUTED_VALUE"""),1)</f>
        <v>1</v>
      </c>
      <c r="Y152" s="12" t="str">
        <f ca="1">IFERROR(__xludf.DUMMYFUNCTION("""COMPUTED_VALUE"""),"Three windows in cafeteria broken by shots fired during drive-by, school went on lockdown")</f>
        <v>Three windows in cafeteria broken by shots fired during drive-by, school went on lockdown</v>
      </c>
      <c r="Z152" s="12" t="str">
        <f ca="1">IFERROR(__xludf.DUMMYFUNCTION("""COMPUTED_VALUE"""),"Three windows of the cafeteria were broken when 12 shots were fired during a shooting involving two vehicles at the gas station across from the school. Students were on campus and the school went on lockdown.")</f>
        <v>Three windows of the cafeteria were broken when 12 shots were fired during a shooting involving two vehicles at the gas station across from the school. Students were on campus and the school went on lockdown.</v>
      </c>
      <c r="AA152" s="8" t="str">
        <f ca="1">IFERROR(__xludf.DUMMYFUNCTION("""COMPUTED_VALUE"""),"Drive-by Shooting")</f>
        <v>Drive-by Shooting</v>
      </c>
      <c r="AB152" s="8"/>
      <c r="AC152" s="8" t="str">
        <f ca="1">IFERROR(__xludf.DUMMYFUNCTION("""COMPUTED_VALUE"""),"Yes")</f>
        <v>Yes</v>
      </c>
      <c r="AD152" s="8" t="str">
        <f ca="1">IFERROR(__xludf.DUMMYFUNCTION("""COMPUTED_VALUE"""),"Both")</f>
        <v>Both</v>
      </c>
      <c r="AE152" s="8"/>
      <c r="AF152" s="8"/>
      <c r="AG152" s="8" t="str">
        <f ca="1">IFERROR(__xludf.DUMMYFUNCTION("""COMPUTED_VALUE"""),"No")</f>
        <v>No</v>
      </c>
      <c r="AH152" s="8" t="str">
        <f ca="1">IFERROR(__xludf.DUMMYFUNCTION("""COMPUTED_VALUE"""),"No")</f>
        <v>No</v>
      </c>
      <c r="AI152" s="8" t="str">
        <f ca="1">IFERROR(__xludf.DUMMYFUNCTION("""COMPUTED_VALUE"""),"No")</f>
        <v>No</v>
      </c>
      <c r="AJ152" s="8" t="str">
        <f ca="1">IFERROR(__xludf.DUMMYFUNCTION("""COMPUTED_VALUE"""),"No")</f>
        <v>No</v>
      </c>
      <c r="AK152" s="8" t="str">
        <f ca="1">IFERROR(__xludf.DUMMYFUNCTION("""COMPUTED_VALUE"""),"No")</f>
        <v>No</v>
      </c>
      <c r="AL152" s="8"/>
      <c r="AM152" s="8" t="str">
        <f ca="1">IFERROR(__xludf.DUMMYFUNCTION("""COMPUTED_VALUE"""),"No")</f>
        <v>No</v>
      </c>
      <c r="AN152" s="8" t="str">
        <f ca="1">IFERROR(__xludf.DUMMYFUNCTION("""COMPUTED_VALUE"""),"Outside")</f>
        <v>Outside</v>
      </c>
      <c r="AO152" s="8" t="str">
        <f ca="1">IFERROR(__xludf.DUMMYFUNCTION("""COMPUTED_VALUE"""),"No")</f>
        <v>No</v>
      </c>
      <c r="AP152" s="8"/>
      <c r="AQ152" s="8"/>
      <c r="AR152" s="8" t="str">
        <f ca="1">IFERROR(__xludf.DUMMYFUNCTION("""COMPUTED_VALUE"""),"Outside/Off-Property")</f>
        <v>Outside/Off-Property</v>
      </c>
      <c r="AS152" s="8">
        <f ca="1">IFERROR(__xludf.DUMMYFUNCTION("""COMPUTED_VALUE"""),12)</f>
        <v>12</v>
      </c>
      <c r="AT152" s="8" t="str">
        <f ca="1">IFERROR(__xludf.DUMMYFUNCTION("""COMPUTED_VALUE"""),"Yes")</f>
        <v>Yes</v>
      </c>
      <c r="AU152" s="8">
        <f ca="1">IFERROR(__xludf.DUMMYFUNCTION("""COMPUTED_VALUE"""),47.533021)</f>
        <v>47.533020999999998</v>
      </c>
      <c r="AV152" s="8">
        <f ca="1">IFERROR(__xludf.DUMMYFUNCTION("""COMPUTED_VALUE"""),-122.375123)</f>
        <v>-122.375123</v>
      </c>
      <c r="AW152" s="8" t="str">
        <f ca="1">IFERROR(__xludf.DUMMYFUNCTION("""COMPUTED_VALUE"""),"Multiple detached buildings")</f>
        <v>Multiple detached buildings</v>
      </c>
      <c r="AX152" s="8">
        <f ca="1">IFERROR(__xludf.DUMMYFUNCTION("""COMPUTED_VALUE"""),98126)</f>
        <v>98126</v>
      </c>
    </row>
    <row r="153" spans="1:50" ht="105" x14ac:dyDescent="0.2">
      <c r="A153" s="8" t="str">
        <f ca="1">IFERROR(__xludf.DUMMYFUNCTION("""COMPUTED_VALUE"""),"20250207MDWOG")</f>
        <v>20250207MDWOG</v>
      </c>
      <c r="B153" s="8">
        <f ca="1">IFERROR(__xludf.DUMMYFUNCTION("""COMPUTED_VALUE"""),2)</f>
        <v>2</v>
      </c>
      <c r="C153" s="8">
        <f ca="1">IFERROR(__xludf.DUMMYFUNCTION("""COMPUTED_VALUE"""),7)</f>
        <v>7</v>
      </c>
      <c r="D153" s="8">
        <f ca="1">IFERROR(__xludf.DUMMYFUNCTION("""COMPUTED_VALUE"""),2025)</f>
        <v>2025</v>
      </c>
      <c r="E153" s="9">
        <f ca="1">IFERROR(__xludf.DUMMYFUNCTION("""COMPUTED_VALUE"""),45695)</f>
        <v>45695</v>
      </c>
      <c r="F153" s="8" t="str">
        <f ca="1">IFERROR(__xludf.DUMMYFUNCTION("""COMPUTED_VALUE"""),"Woodlawn High School")</f>
        <v>Woodlawn High School</v>
      </c>
      <c r="G153" s="8">
        <f ca="1">IFERROR(__xludf.DUMMYFUNCTION("""COMPUTED_VALUE"""),0)</f>
        <v>0</v>
      </c>
      <c r="H153" s="8">
        <f ca="1">IFERROR(__xludf.DUMMYFUNCTION("""COMPUTED_VALUE"""),0)</f>
        <v>0</v>
      </c>
      <c r="I153" s="8">
        <f ca="1">IFERROR(__xludf.DUMMYFUNCTION("""COMPUTED_VALUE"""),0)</f>
        <v>0</v>
      </c>
      <c r="J153" s="8">
        <f ca="1">IFERROR(__xludf.DUMMYFUNCTION("""COMPUTED_VALUE"""),0)</f>
        <v>0</v>
      </c>
      <c r="K153" s="10" t="str">
        <f ca="1">IFERROR(__xludf.DUMMYFUNCTION("""COMPUTED_VALUE"""),"https://www.wbaltv.com/article/shots-fired-call-woodlawn-high-school-shelter-in-place/63707105")</f>
        <v>https://www.wbaltv.com/article/shots-fired-call-woodlawn-high-school-shelter-in-place/63707105</v>
      </c>
      <c r="L153" s="8">
        <f ca="1">IFERROR(__xludf.DUMMYFUNCTION("""COMPUTED_VALUE"""),1)</f>
        <v>1</v>
      </c>
      <c r="M153" s="8" t="str">
        <f ca="1">IFERROR(__xludf.DUMMYFUNCTION("""COMPUTED_VALUE"""),"Local")</f>
        <v>Local</v>
      </c>
      <c r="N153" s="8">
        <f ca="1">IFERROR(__xludf.DUMMYFUNCTION("""COMPUTED_VALUE"""),3)</f>
        <v>3</v>
      </c>
      <c r="O153" s="8" t="str">
        <f ca="1">IFERROR(__xludf.DUMMYFUNCTION("""COMPUTED_VALUE"""),"Winter")</f>
        <v>Winter</v>
      </c>
      <c r="P153" s="8" t="str">
        <f ca="1">IFERROR(__xludf.DUMMYFUNCTION("""COMPUTED_VALUE"""),"Gwynn Oak")</f>
        <v>Gwynn Oak</v>
      </c>
      <c r="Q153" s="8" t="str">
        <f ca="1">IFERROR(__xludf.DUMMYFUNCTION("""COMPUTED_VALUE"""),"MD")</f>
        <v>MD</v>
      </c>
      <c r="R153" s="8" t="str">
        <f ca="1">IFERROR(__xludf.DUMMYFUNCTION("""COMPUTED_VALUE"""),"High")</f>
        <v>High</v>
      </c>
      <c r="S153" s="8" t="str">
        <f ca="1">IFERROR(__xludf.DUMMYFUNCTION("""COMPUTED_VALUE"""),"Field (General)")</f>
        <v>Field (General)</v>
      </c>
      <c r="T153" s="8" t="str">
        <f ca="1">IFERROR(__xludf.DUMMYFUNCTION("""COMPUTED_VALUE"""),"Outside on School Property")</f>
        <v>Outside on School Property</v>
      </c>
      <c r="U153" s="8" t="str">
        <f ca="1">IFERROR(__xludf.DUMMYFUNCTION("""COMPUTED_VALUE"""),"Yes")</f>
        <v>Yes</v>
      </c>
      <c r="V153" s="8" t="str">
        <f ca="1">IFERROR(__xludf.DUMMYFUNCTION("""COMPUTED_VALUE"""),"Afternoon Classes")</f>
        <v>Afternoon Classes</v>
      </c>
      <c r="W153" s="11">
        <f ca="1">IFERROR(__xludf.DUMMYFUNCTION("""COMPUTED_VALUE"""),0.541666666666666)</f>
        <v>0.54166666666666596</v>
      </c>
      <c r="X153" s="8">
        <f ca="1">IFERROR(__xludf.DUMMYFUNCTION("""COMPUTED_VALUE"""),1)</f>
        <v>1</v>
      </c>
      <c r="Y153" s="12" t="str">
        <f ca="1">IFERROR(__xludf.DUMMYFUNCTION("""COMPUTED_VALUE"""),"Shot fired in the field outside the school")</f>
        <v>Shot fired in the field outside the school</v>
      </c>
      <c r="Z153" s="12" t="str">
        <f ca="1">IFERROR(__xludf.DUMMYFUNCTION("""COMPUTED_VALUE"""),"Woodlawn High School sheltered in place for a time Friday afternoon as police investigated a call for shots fired nearby. Police said officers determined that someone fired a gun into the air near a field surrounding school property. Police said this was "&amp;"not a targeted incident. As officers searched the area, a shelter-in-place order was briefly activated at the school out of an abundance of caution.")</f>
        <v>Woodlawn High School sheltered in place for a time Friday afternoon as police investigated a call for shots fired nearby. Police said officers determined that someone fired a gun into the air near a field surrounding school property. Police said this was not a targeted incident. As officers searched the area, a shelter-in-place order was briefly activated at the school out of an abundance of caution.</v>
      </c>
      <c r="AA153" s="8"/>
      <c r="AB153" s="8"/>
      <c r="AC153" s="8" t="str">
        <f ca="1">IFERROR(__xludf.DUMMYFUNCTION("""COMPUTED_VALUE"""),"Yes")</f>
        <v>Yes</v>
      </c>
      <c r="AD153" s="8" t="str">
        <f ca="1">IFERROR(__xludf.DUMMYFUNCTION("""COMPUTED_VALUE"""),"Neither")</f>
        <v>Neither</v>
      </c>
      <c r="AE153" s="8"/>
      <c r="AF153" s="8"/>
      <c r="AG153" s="8" t="str">
        <f ca="1">IFERROR(__xludf.DUMMYFUNCTION("""COMPUTED_VALUE"""),"No")</f>
        <v>No</v>
      </c>
      <c r="AH153" s="8" t="str">
        <f ca="1">IFERROR(__xludf.DUMMYFUNCTION("""COMPUTED_VALUE"""),"No")</f>
        <v>No</v>
      </c>
      <c r="AI153" s="8" t="str">
        <f ca="1">IFERROR(__xludf.DUMMYFUNCTION("""COMPUTED_VALUE"""),"No")</f>
        <v>No</v>
      </c>
      <c r="AJ153" s="8" t="str">
        <f ca="1">IFERROR(__xludf.DUMMYFUNCTION("""COMPUTED_VALUE"""),"No")</f>
        <v>No</v>
      </c>
      <c r="AK153" s="8" t="str">
        <f ca="1">IFERROR(__xludf.DUMMYFUNCTION("""COMPUTED_VALUE"""),"No")</f>
        <v>No</v>
      </c>
      <c r="AL153" s="8" t="str">
        <f ca="1">IFERROR(__xludf.DUMMYFUNCTION("""COMPUTED_VALUE"""),"No")</f>
        <v>No</v>
      </c>
      <c r="AM153" s="8" t="str">
        <f ca="1">IFERROR(__xludf.DUMMYFUNCTION("""COMPUTED_VALUE"""),"No")</f>
        <v>No</v>
      </c>
      <c r="AN153" s="8" t="str">
        <f ca="1">IFERROR(__xludf.DUMMYFUNCTION("""COMPUTED_VALUE"""),"Outside")</f>
        <v>Outside</v>
      </c>
      <c r="AO153" s="8" t="str">
        <f ca="1">IFERROR(__xludf.DUMMYFUNCTION("""COMPUTED_VALUE"""),"No")</f>
        <v>No</v>
      </c>
      <c r="AP153" s="8"/>
      <c r="AQ153" s="8"/>
      <c r="AR153" s="8" t="str">
        <f ca="1">IFERROR(__xludf.DUMMYFUNCTION("""COMPUTED_VALUE"""),"Outside/Off-Property")</f>
        <v>Outside/Off-Property</v>
      </c>
      <c r="AS153" s="8">
        <f ca="1">IFERROR(__xludf.DUMMYFUNCTION("""COMPUTED_VALUE"""),1)</f>
        <v>1</v>
      </c>
      <c r="AT153" s="8" t="str">
        <f ca="1">IFERROR(__xludf.DUMMYFUNCTION("""COMPUTED_VALUE"""),"Yes")</f>
        <v>Yes</v>
      </c>
      <c r="AU153" s="8">
        <f ca="1">IFERROR(__xludf.DUMMYFUNCTION("""COMPUTED_VALUE"""),39.314902)</f>
        <v>39.314901999999996</v>
      </c>
      <c r="AV153" s="8">
        <f ca="1">IFERROR(__xludf.DUMMYFUNCTION("""COMPUTED_VALUE"""),-76.733832)</f>
        <v>-76.733832000000007</v>
      </c>
      <c r="AW153" s="8" t="str">
        <f ca="1">IFERROR(__xludf.DUMMYFUNCTION("""COMPUTED_VALUE"""),"Multiple detached buildings")</f>
        <v>Multiple detached buildings</v>
      </c>
      <c r="AX153" s="8">
        <f ca="1">IFERROR(__xludf.DUMMYFUNCTION("""COMPUTED_VALUE"""),21207)</f>
        <v>21207</v>
      </c>
    </row>
    <row r="154" spans="1:50" ht="105" x14ac:dyDescent="0.2">
      <c r="A154" s="8" t="str">
        <f ca="1">IFERROR(__xludf.DUMMYFUNCTION("""COMPUTED_VALUE"""),"20250207TXBRF")</f>
        <v>20250207TXBRF</v>
      </c>
      <c r="B154" s="8">
        <f ca="1">IFERROR(__xludf.DUMMYFUNCTION("""COMPUTED_VALUE"""),2)</f>
        <v>2</v>
      </c>
      <c r="C154" s="8">
        <f ca="1">IFERROR(__xludf.DUMMYFUNCTION("""COMPUTED_VALUE"""),7)</f>
        <v>7</v>
      </c>
      <c r="D154" s="8">
        <f ca="1">IFERROR(__xludf.DUMMYFUNCTION("""COMPUTED_VALUE"""),2025)</f>
        <v>2025</v>
      </c>
      <c r="E154" s="9">
        <f ca="1">IFERROR(__xludf.DUMMYFUNCTION("""COMPUTED_VALUE"""),45695)</f>
        <v>45695</v>
      </c>
      <c r="F154" s="8" t="str">
        <f ca="1">IFERROR(__xludf.DUMMYFUNCTION("""COMPUTED_VALUE"""),"Brown Middle School")</f>
        <v>Brown Middle School</v>
      </c>
      <c r="G154" s="8">
        <f ca="1">IFERROR(__xludf.DUMMYFUNCTION("""COMPUTED_VALUE"""),1)</f>
        <v>1</v>
      </c>
      <c r="H154" s="8">
        <f ca="1">IFERROR(__xludf.DUMMYFUNCTION("""COMPUTED_VALUE"""),1)</f>
        <v>1</v>
      </c>
      <c r="I154" s="8">
        <f ca="1">IFERROR(__xludf.DUMMYFUNCTION("""COMPUTED_VALUE"""),2)</f>
        <v>2</v>
      </c>
      <c r="J154" s="8">
        <f ca="1">IFERROR(__xludf.DUMMYFUNCTION("""COMPUTED_VALUE"""),0)</f>
        <v>0</v>
      </c>
      <c r="K154" s="8" t="str">
        <f ca="1">IFERROR(__xludf.DUMMYFUNCTION("""COMPUTED_VALUE"""),"https://www.fox4news.com/news/artinamas-dequann-searcy-arrest-report-shooting-near-brown-middle-school
https://www.fox4news.com/news/forney-shooting-brown-middle-school
https://www.ketk.com/news/local-news/2-shot-near-forney-isd-campus-district-officials-"&amp;"say/")</f>
        <v>https://www.fox4news.com/news/artinamas-dequann-searcy-arrest-report-shooting-near-brown-middle-school
https://www.fox4news.com/news/forney-shooting-brown-middle-school
https://www.ketk.com/news/local-news/2-shot-near-forney-isd-campus-district-officials-say/</v>
      </c>
      <c r="L154" s="8">
        <f ca="1">IFERROR(__xludf.DUMMYFUNCTION("""COMPUTED_VALUE"""),10)</f>
        <v>10</v>
      </c>
      <c r="M154" s="8" t="str">
        <f ca="1">IFERROR(__xludf.DUMMYFUNCTION("""COMPUTED_VALUE"""),"Regional")</f>
        <v>Regional</v>
      </c>
      <c r="N154" s="8">
        <f ca="1">IFERROR(__xludf.DUMMYFUNCTION("""COMPUTED_VALUE"""),4)</f>
        <v>4</v>
      </c>
      <c r="O154" s="8" t="str">
        <f ca="1">IFERROR(__xludf.DUMMYFUNCTION("""COMPUTED_VALUE"""),"Winter")</f>
        <v>Winter</v>
      </c>
      <c r="P154" s="8" t="str">
        <f ca="1">IFERROR(__xludf.DUMMYFUNCTION("""COMPUTED_VALUE"""),"Forney")</f>
        <v>Forney</v>
      </c>
      <c r="Q154" s="8" t="str">
        <f ca="1">IFERROR(__xludf.DUMMYFUNCTION("""COMPUTED_VALUE"""),"TX")</f>
        <v>TX</v>
      </c>
      <c r="R154" s="8" t="str">
        <f ca="1">IFERROR(__xludf.DUMMYFUNCTION("""COMPUTED_VALUE"""),"Middle")</f>
        <v>Middle</v>
      </c>
      <c r="S154" s="8" t="str">
        <f ca="1">IFERROR(__xludf.DUMMYFUNCTION("""COMPUTED_VALUE"""),"Front of School")</f>
        <v>Front of School</v>
      </c>
      <c r="T154" s="8" t="str">
        <f ca="1">IFERROR(__xludf.DUMMYFUNCTION("""COMPUTED_VALUE"""),"Outside on School Property")</f>
        <v>Outside on School Property</v>
      </c>
      <c r="U154" s="8" t="str">
        <f ca="1">IFERROR(__xludf.DUMMYFUNCTION("""COMPUTED_VALUE"""),"Yes")</f>
        <v>Yes</v>
      </c>
      <c r="V154" s="8" t="str">
        <f ca="1">IFERROR(__xludf.DUMMYFUNCTION("""COMPUTED_VALUE"""),"Afternoon Classes")</f>
        <v>Afternoon Classes</v>
      </c>
      <c r="W154" s="11">
        <f ca="1">IFERROR(__xludf.DUMMYFUNCTION("""COMPUTED_VALUE"""),0.583333333333333)</f>
        <v>0.58333333333333304</v>
      </c>
      <c r="X154" s="8">
        <f ca="1">IFERROR(__xludf.DUMMYFUNCTION("""COMPUTED_VALUE"""),1)</f>
        <v>1</v>
      </c>
      <c r="Y154" s="12" t="str">
        <f ca="1">IFERROR(__xludf.DUMMYFUNCTION("""COMPUTED_VALUE"""),"Two people where shot in a car that drove to the front of the school, school went on lockdown, victim flown from the campus")</f>
        <v>Two people where shot in a car that drove to the front of the school, school went on lockdown, victim flown from the campus</v>
      </c>
      <c r="Z154" s="12" t="str">
        <f ca="1">IFERROR(__xludf.DUMMYFUNCTION("""COMPUTED_VALUE"""),"Two people who were shot while driving near the campus drove to the front of the school for help. The vehicle stopped in the traffic circle near the front doors of the school. 15 shots were fired. One of the victims died. The other was flown from the scho"&amp;"ol in critical condition. The school went on lockdown while police responded.")</f>
        <v>Two people who were shot while driving near the campus drove to the front of the school for help. The vehicle stopped in the traffic circle near the front doors of the school. 15 shots were fired. One of the victims died. The other was flown from the school in critical condition. The school went on lockdown while police responded.</v>
      </c>
      <c r="AA154" s="8" t="str">
        <f ca="1">IFERROR(__xludf.DUMMYFUNCTION("""COMPUTED_VALUE"""),"Drive-by Shooting")</f>
        <v>Drive-by Shooting</v>
      </c>
      <c r="AB154" s="8" t="str">
        <f ca="1">IFERROR(__xludf.DUMMYFUNCTION("""COMPUTED_VALUE"""),"Targeted")</f>
        <v>Targeted</v>
      </c>
      <c r="AC154" s="8" t="str">
        <f ca="1">IFERROR(__xludf.DUMMYFUNCTION("""COMPUTED_VALUE"""),"Yes")</f>
        <v>Yes</v>
      </c>
      <c r="AD154" s="8" t="str">
        <f ca="1">IFERROR(__xludf.DUMMYFUNCTION("""COMPUTED_VALUE"""),"Victims Targeted")</f>
        <v>Victims Targeted</v>
      </c>
      <c r="AE154" s="8"/>
      <c r="AF154" s="8"/>
      <c r="AG154" s="8" t="str">
        <f ca="1">IFERROR(__xludf.DUMMYFUNCTION("""COMPUTED_VALUE"""),"No")</f>
        <v>No</v>
      </c>
      <c r="AH154" s="8" t="str">
        <f ca="1">IFERROR(__xludf.DUMMYFUNCTION("""COMPUTED_VALUE"""),"No")</f>
        <v>No</v>
      </c>
      <c r="AI154" s="8" t="str">
        <f ca="1">IFERROR(__xludf.DUMMYFUNCTION("""COMPUTED_VALUE"""),"No")</f>
        <v>No</v>
      </c>
      <c r="AJ154" s="8" t="str">
        <f ca="1">IFERROR(__xludf.DUMMYFUNCTION("""COMPUTED_VALUE"""),"No")</f>
        <v>No</v>
      </c>
      <c r="AK154" s="8" t="str">
        <f ca="1">IFERROR(__xludf.DUMMYFUNCTION("""COMPUTED_VALUE"""),"No")</f>
        <v>No</v>
      </c>
      <c r="AL154" s="8"/>
      <c r="AM154" s="8" t="str">
        <f ca="1">IFERROR(__xludf.DUMMYFUNCTION("""COMPUTED_VALUE"""),"No")</f>
        <v>No</v>
      </c>
      <c r="AN154" s="8" t="str">
        <f ca="1">IFERROR(__xludf.DUMMYFUNCTION("""COMPUTED_VALUE"""),"Outside")</f>
        <v>Outside</v>
      </c>
      <c r="AO154" s="8" t="str">
        <f ca="1">IFERROR(__xludf.DUMMYFUNCTION("""COMPUTED_VALUE"""),"No")</f>
        <v>No</v>
      </c>
      <c r="AP154" s="8"/>
      <c r="AQ154" s="8"/>
      <c r="AR154" s="8" t="str">
        <f ca="1">IFERROR(__xludf.DUMMYFUNCTION("""COMPUTED_VALUE"""),"Outside/Off-Property")</f>
        <v>Outside/Off-Property</v>
      </c>
      <c r="AS154" s="8">
        <f ca="1">IFERROR(__xludf.DUMMYFUNCTION("""COMPUTED_VALUE"""),15)</f>
        <v>15</v>
      </c>
      <c r="AT154" s="8" t="str">
        <f ca="1">IFERROR(__xludf.DUMMYFUNCTION("""COMPUTED_VALUE"""),"Yes")</f>
        <v>Yes</v>
      </c>
      <c r="AU154" s="8">
        <f ca="1">IFERROR(__xludf.DUMMYFUNCTION("""COMPUTED_VALUE"""),32.753097)</f>
        <v>32.753096999999997</v>
      </c>
      <c r="AV154" s="8">
        <f ca="1">IFERROR(__xludf.DUMMYFUNCTION("""COMPUTED_VALUE"""),-96.405951)</f>
        <v>-96.405951000000002</v>
      </c>
      <c r="AW154" s="8" t="str">
        <f ca="1">IFERROR(__xludf.DUMMYFUNCTION("""COMPUTED_VALUE"""),"Multiple attached buildings")</f>
        <v>Multiple attached buildings</v>
      </c>
      <c r="AX154" s="8">
        <f ca="1">IFERROR(__xludf.DUMMYFUNCTION("""COMPUTED_VALUE"""),75126)</f>
        <v>75126</v>
      </c>
    </row>
    <row r="155" spans="1:50" ht="165" x14ac:dyDescent="0.2">
      <c r="A155" s="8" t="str">
        <f ca="1">IFERROR(__xludf.DUMMYFUNCTION("""COMPUTED_VALUE"""),"20250206ALCHH")</f>
        <v>20250206ALCHH</v>
      </c>
      <c r="B155" s="8">
        <f ca="1">IFERROR(__xludf.DUMMYFUNCTION("""COMPUTED_VALUE"""),2)</f>
        <v>2</v>
      </c>
      <c r="C155" s="8">
        <f ca="1">IFERROR(__xludf.DUMMYFUNCTION("""COMPUTED_VALUE"""),6)</f>
        <v>6</v>
      </c>
      <c r="D155" s="8">
        <f ca="1">IFERROR(__xludf.DUMMYFUNCTION("""COMPUTED_VALUE"""),2025)</f>
        <v>2025</v>
      </c>
      <c r="E155" s="9">
        <f ca="1">IFERROR(__xludf.DUMMYFUNCTION("""COMPUTED_VALUE"""),45694)</f>
        <v>45694</v>
      </c>
      <c r="F155" s="8" t="str">
        <f ca="1">IFERROR(__xludf.DUMMYFUNCTION("""COMPUTED_VALUE"""),"Challenger Elementary School")</f>
        <v>Challenger Elementary School</v>
      </c>
      <c r="G155" s="8">
        <f ca="1">IFERROR(__xludf.DUMMYFUNCTION("""COMPUTED_VALUE"""),0)</f>
        <v>0</v>
      </c>
      <c r="H155" s="8">
        <f ca="1">IFERROR(__xludf.DUMMYFUNCTION("""COMPUTED_VALUE"""),1)</f>
        <v>1</v>
      </c>
      <c r="I155" s="8">
        <f ca="1">IFERROR(__xludf.DUMMYFUNCTION("""COMPUTED_VALUE"""),1)</f>
        <v>1</v>
      </c>
      <c r="J155" s="8">
        <f ca="1">IFERROR(__xludf.DUMMYFUNCTION("""COMPUTED_VALUE"""),0)</f>
        <v>0</v>
      </c>
      <c r="K155" s="8" t="str">
        <f ca="1">IFERROR(__xludf.DUMMYFUNCTION("""COMPUTED_VALUE"""),"https://www.waff.com/2025/02/06/firearm-discharged-inside-students-backpack-challenger-elementary-school-officials-say/
https://www.waaytv.com/news/huntsville-city-school-board-member-addresses-gun-discharged-at-elementary-school/article_70ee68b6-e5aa-11e"&amp;"f-8ff0-3795b71dfb6b.html")</f>
        <v>https://www.waff.com/2025/02/06/firearm-discharged-inside-students-backpack-challenger-elementary-school-officials-say/
https://www.waaytv.com/news/huntsville-city-school-board-member-addresses-gun-discharged-at-elementary-school/article_70ee68b6-e5aa-11ef-8ff0-3795b71dfb6b.html</v>
      </c>
      <c r="L155" s="8">
        <f ca="1">IFERROR(__xludf.DUMMYFUNCTION("""COMPUTED_VALUE"""),8)</f>
        <v>8</v>
      </c>
      <c r="M155" s="8" t="str">
        <f ca="1">IFERROR(__xludf.DUMMYFUNCTION("""COMPUTED_VALUE"""),"Regional")</f>
        <v>Regional</v>
      </c>
      <c r="N155" s="8">
        <f ca="1">IFERROR(__xludf.DUMMYFUNCTION("""COMPUTED_VALUE"""),4)</f>
        <v>4</v>
      </c>
      <c r="O155" s="8" t="str">
        <f ca="1">IFERROR(__xludf.DUMMYFUNCTION("""COMPUTED_VALUE"""),"Winter")</f>
        <v>Winter</v>
      </c>
      <c r="P155" s="8" t="str">
        <f ca="1">IFERROR(__xludf.DUMMYFUNCTION("""COMPUTED_VALUE"""),"Huntsville")</f>
        <v>Huntsville</v>
      </c>
      <c r="Q155" s="8" t="str">
        <f ca="1">IFERROR(__xludf.DUMMYFUNCTION("""COMPUTED_VALUE"""),"AL")</f>
        <v>AL</v>
      </c>
      <c r="R155" s="8" t="str">
        <f ca="1">IFERROR(__xludf.DUMMYFUNCTION("""COMPUTED_VALUE"""),"Elementary")</f>
        <v>Elementary</v>
      </c>
      <c r="S155" s="8" t="str">
        <f ca="1">IFERROR(__xludf.DUMMYFUNCTION("""COMPUTED_VALUE"""),"Hallway")</f>
        <v>Hallway</v>
      </c>
      <c r="T155" s="8" t="str">
        <f ca="1">IFERROR(__xludf.DUMMYFUNCTION("""COMPUTED_VALUE"""),"Inside School Building")</f>
        <v>Inside School Building</v>
      </c>
      <c r="U155" s="8" t="str">
        <f ca="1">IFERROR(__xludf.DUMMYFUNCTION("""COMPUTED_VALUE"""),"Yes")</f>
        <v>Yes</v>
      </c>
      <c r="V155" s="8" t="str">
        <f ca="1">IFERROR(__xludf.DUMMYFUNCTION("""COMPUTED_VALUE"""),"Dismissal")</f>
        <v>Dismissal</v>
      </c>
      <c r="W155" s="11">
        <f ca="1">IFERROR(__xludf.DUMMYFUNCTION("""COMPUTED_VALUE"""),0.614583333333333)</f>
        <v>0.61458333333333304</v>
      </c>
      <c r="X155" s="8">
        <f ca="1">IFERROR(__xludf.DUMMYFUNCTION("""COMPUTED_VALUE"""),1)</f>
        <v>1</v>
      </c>
      <c r="Y155" s="12" t="str">
        <f ca="1">IFERROR(__xludf.DUMMYFUNCTION("""COMPUTED_VALUE"""),"GUn fired inside 2nd grader's backpack, bullet deflected off another student's laptop")</f>
        <v>GUn fired inside 2nd grader's backpack, bullet deflected off another student's laptop</v>
      </c>
      <c r="Z155" s="12" t="str">
        <f ca="1">IFERROR(__xludf.DUMMYFUNCTION("""COMPUTED_VALUE"""),"A firearm accidentally discharged inside a student’s backpack at Challenger Elementary School on Thursday afternoon, according to school officials. Officials with Huntsville City Schools said the incident happened during dismissal around 2:45 p.m. inside "&amp;"a 2nd-grade child’s backpack as students were in the hallway preparing to leave school. School officials said a bullet hit another student’s backpack, damaging the student’s laptop. The student whose backpack was hit reportedly experienced ringing in the "&amp;"ears due to the proximity of the bullet, according to school officials.")</f>
        <v>A firearm accidentally discharged inside a student’s backpack at Challenger Elementary School on Thursday afternoon, according to school officials. Officials with Huntsville City Schools said the incident happened during dismissal around 2:45 p.m. inside a 2nd-grade child’s backpack as students were in the hallway preparing to leave school. School officials said a bullet hit another student’s backpack, damaging the student’s laptop. The student whose backpack was hit reportedly experienced ringing in the ears due to the proximity of the bullet, according to school officials.</v>
      </c>
      <c r="AA155" s="8" t="str">
        <f ca="1">IFERROR(__xludf.DUMMYFUNCTION("""COMPUTED_VALUE"""),"Accidental")</f>
        <v>Accidental</v>
      </c>
      <c r="AB155" s="8" t="str">
        <f ca="1">IFERROR(__xludf.DUMMYFUNCTION("""COMPUTED_VALUE"""),"Spontaneous")</f>
        <v>Spontaneous</v>
      </c>
      <c r="AC155" s="8" t="str">
        <f ca="1">IFERROR(__xludf.DUMMYFUNCTION("""COMPUTED_VALUE"""),"Yes")</f>
        <v>Yes</v>
      </c>
      <c r="AD155" s="8" t="str">
        <f ca="1">IFERROR(__xludf.DUMMYFUNCTION("""COMPUTED_VALUE"""),"Neither")</f>
        <v>Neither</v>
      </c>
      <c r="AE155" s="8" t="str">
        <f ca="1">IFERROR(__xludf.DUMMYFUNCTION("""COMPUTED_VALUE"""),"No")</f>
        <v>No</v>
      </c>
      <c r="AF155" s="8"/>
      <c r="AG155" s="8" t="str">
        <f ca="1">IFERROR(__xludf.DUMMYFUNCTION("""COMPUTED_VALUE"""),"No")</f>
        <v>No</v>
      </c>
      <c r="AH155" s="8" t="str">
        <f ca="1">IFERROR(__xludf.DUMMYFUNCTION("""COMPUTED_VALUE"""),"No")</f>
        <v>No</v>
      </c>
      <c r="AI155" s="8" t="str">
        <f ca="1">IFERROR(__xludf.DUMMYFUNCTION("""COMPUTED_VALUE"""),"No")</f>
        <v>No</v>
      </c>
      <c r="AJ155" s="8" t="str">
        <f ca="1">IFERROR(__xludf.DUMMYFUNCTION("""COMPUTED_VALUE"""),"No")</f>
        <v>No</v>
      </c>
      <c r="AK155" s="8" t="str">
        <f ca="1">IFERROR(__xludf.DUMMYFUNCTION("""COMPUTED_VALUE"""),"No")</f>
        <v>No</v>
      </c>
      <c r="AL155" s="8" t="str">
        <f ca="1">IFERROR(__xludf.DUMMYFUNCTION("""COMPUTED_VALUE"""),"No")</f>
        <v>No</v>
      </c>
      <c r="AM155" s="8" t="str">
        <f ca="1">IFERROR(__xludf.DUMMYFUNCTION("""COMPUTED_VALUE"""),"No")</f>
        <v>No</v>
      </c>
      <c r="AN155" s="8" t="str">
        <f ca="1">IFERROR(__xludf.DUMMYFUNCTION("""COMPUTED_VALUE"""),"Hallway")</f>
        <v>Hallway</v>
      </c>
      <c r="AO155" s="8" t="str">
        <f ca="1">IFERROR(__xludf.DUMMYFUNCTION("""COMPUTED_VALUE"""),"No")</f>
        <v>No</v>
      </c>
      <c r="AP155" s="8"/>
      <c r="AQ155" s="8"/>
      <c r="AR155" s="8" t="str">
        <f ca="1">IFERROR(__xludf.DUMMYFUNCTION("""COMPUTED_VALUE"""),"Failed")</f>
        <v>Failed</v>
      </c>
      <c r="AS155" s="8">
        <f ca="1">IFERROR(__xludf.DUMMYFUNCTION("""COMPUTED_VALUE"""),1)</f>
        <v>1</v>
      </c>
      <c r="AT155" s="8" t="str">
        <f ca="1">IFERROR(__xludf.DUMMYFUNCTION("""COMPUTED_VALUE"""),"No")</f>
        <v>No</v>
      </c>
      <c r="AU155" s="8">
        <f ca="1">IFERROR(__xludf.DUMMYFUNCTION("""COMPUTED_VALUE"""),34.611102)</f>
        <v>34.611102000000002</v>
      </c>
      <c r="AV155" s="8">
        <f ca="1">IFERROR(__xludf.DUMMYFUNCTION("""COMPUTED_VALUE"""),-86.547349)</f>
        <v>-86.547348999999997</v>
      </c>
      <c r="AW155" s="8" t="str">
        <f ca="1">IFERROR(__xludf.DUMMYFUNCTION("""COMPUTED_VALUE"""),"Multiple attached buildings")</f>
        <v>Multiple attached buildings</v>
      </c>
      <c r="AX155" s="8">
        <f ca="1">IFERROR(__xludf.DUMMYFUNCTION("""COMPUTED_VALUE"""),35803)</f>
        <v>35803</v>
      </c>
    </row>
    <row r="156" spans="1:50" ht="150" x14ac:dyDescent="0.2">
      <c r="A156" s="8" t="str">
        <f ca="1">IFERROR(__xludf.DUMMYFUNCTION("""COMPUTED_VALUE"""),"20250206MIMEO")</f>
        <v>20250206MIMEO</v>
      </c>
      <c r="B156" s="8">
        <f ca="1">IFERROR(__xludf.DUMMYFUNCTION("""COMPUTED_VALUE"""),2)</f>
        <v>2</v>
      </c>
      <c r="C156" s="8">
        <f ca="1">IFERROR(__xludf.DUMMYFUNCTION("""COMPUTED_VALUE"""),6)</f>
        <v>6</v>
      </c>
      <c r="D156" s="8">
        <f ca="1">IFERROR(__xludf.DUMMYFUNCTION("""COMPUTED_VALUE"""),2025)</f>
        <v>2025</v>
      </c>
      <c r="E156" s="9">
        <f ca="1">IFERROR(__xludf.DUMMYFUNCTION("""COMPUTED_VALUE"""),45694)</f>
        <v>45694</v>
      </c>
      <c r="F156" s="8" t="str">
        <f ca="1">IFERROR(__xludf.DUMMYFUNCTION("""COMPUTED_VALUE"""),"Menominee Elementary School")</f>
        <v>Menominee Elementary School</v>
      </c>
      <c r="G156" s="8">
        <f ca="1">IFERROR(__xludf.DUMMYFUNCTION("""COMPUTED_VALUE"""),0)</f>
        <v>0</v>
      </c>
      <c r="H156" s="8">
        <f ca="1">IFERROR(__xludf.DUMMYFUNCTION("""COMPUTED_VALUE"""),0)</f>
        <v>0</v>
      </c>
      <c r="I156" s="8">
        <f ca="1">IFERROR(__xludf.DUMMYFUNCTION("""COMPUTED_VALUE"""),0)</f>
        <v>0</v>
      </c>
      <c r="J156" s="8">
        <f ca="1">IFERROR(__xludf.DUMMYFUNCTION("""COMPUTED_VALUE"""),0)</f>
        <v>0</v>
      </c>
      <c r="K156" s="10" t="str">
        <f ca="1">IFERROR(__xludf.DUMMYFUNCTION("""COMPUTED_VALUE"""),"https://www.clickondetroit.com/news/local/2025/02/09/michigan-officers-hit-aggressive-dogs-with-car-fatally-shoot-1-near-school-playground-police-say/")</f>
        <v>https://www.clickondetroit.com/news/local/2025/02/09/michigan-officers-hit-aggressive-dogs-with-car-fatally-shoot-1-near-school-playground-police-say/</v>
      </c>
      <c r="L156" s="8">
        <f ca="1">IFERROR(__xludf.DUMMYFUNCTION("""COMPUTED_VALUE"""),1)</f>
        <v>1</v>
      </c>
      <c r="M156" s="8" t="str">
        <f ca="1">IFERROR(__xludf.DUMMYFUNCTION("""COMPUTED_VALUE"""),"Local")</f>
        <v>Local</v>
      </c>
      <c r="N156" s="8">
        <f ca="1">IFERROR(__xludf.DUMMYFUNCTION("""COMPUTED_VALUE"""),3)</f>
        <v>3</v>
      </c>
      <c r="O156" s="8" t="str">
        <f ca="1">IFERROR(__xludf.DUMMYFUNCTION("""COMPUTED_VALUE"""),"Winter")</f>
        <v>Winter</v>
      </c>
      <c r="P156" s="8" t="str">
        <f ca="1">IFERROR(__xludf.DUMMYFUNCTION("""COMPUTED_VALUE"""),"Oshkosh")</f>
        <v>Oshkosh</v>
      </c>
      <c r="Q156" s="8" t="str">
        <f ca="1">IFERROR(__xludf.DUMMYFUNCTION("""COMPUTED_VALUE"""),"MI")</f>
        <v>MI</v>
      </c>
      <c r="R156" s="8" t="str">
        <f ca="1">IFERROR(__xludf.DUMMYFUNCTION("""COMPUTED_VALUE"""),"Elementary")</f>
        <v>Elementary</v>
      </c>
      <c r="S156" s="8" t="str">
        <f ca="1">IFERROR(__xludf.DUMMYFUNCTION("""COMPUTED_VALUE"""),"Playground")</f>
        <v>Playground</v>
      </c>
      <c r="T156" s="8" t="str">
        <f ca="1">IFERROR(__xludf.DUMMYFUNCTION("""COMPUTED_VALUE"""),"Outside on School Property")</f>
        <v>Outside on School Property</v>
      </c>
      <c r="U156" s="8" t="str">
        <f ca="1">IFERROR(__xludf.DUMMYFUNCTION("""COMPUTED_VALUE"""),"Yes")</f>
        <v>Yes</v>
      </c>
      <c r="V156" s="8" t="str">
        <f ca="1">IFERROR(__xludf.DUMMYFUNCTION("""COMPUTED_VALUE"""),"Afternoon Classes")</f>
        <v>Afternoon Classes</v>
      </c>
      <c r="W156" s="8"/>
      <c r="X156" s="8">
        <f ca="1">IFERROR(__xludf.DUMMYFUNCTION("""COMPUTED_VALUE"""),1)</f>
        <v>1</v>
      </c>
      <c r="Y156" s="12" t="str">
        <f ca="1">IFERROR(__xludf.DUMMYFUNCTION("""COMPUTED_VALUE"""),"SRO called police for two aggressive dogs on the playground, officers shot one of the dogs")</f>
        <v>SRO called police for two aggressive dogs on the playground, officers shot one of the dogs</v>
      </c>
      <c r="Z156" s="12" t="str">
        <f ca="1">IFERROR(__xludf.DUMMYFUNCTION("""COMPUTED_VALUE"""),"On Thursday, Feb. 6, 2025, a school resource officer at Menominee Elementary School, located in the Upper Peninsula, contacted police about two pit bulls that were barking aggressively at children at the playground. The officers tried to stop the dogs wit"&amp;"h a dog pole and Tasers but failed. “As the situation escalated, officers observed the dogs running back toward the school playground,” said the Menominee Police Department. “To prevent an immediate threat to the children, officers struck the dogs with a "&amp;"patrol vehicle and subsequently had to fatally shoot one of them.”")</f>
        <v>On Thursday, Feb. 6, 2025, a school resource officer at Menominee Elementary School, located in the Upper Peninsula, contacted police about two pit bulls that were barking aggressively at children at the playground. The officers tried to stop the dogs with a dog pole and Tasers but failed. “As the situation escalated, officers observed the dogs running back toward the school playground,” said the Menominee Police Department. “To prevent an immediate threat to the children, officers struck the dogs with a patrol vehicle and subsequently had to fatally shoot one of them.”</v>
      </c>
      <c r="AA156" s="8" t="str">
        <f ca="1">IFERROR(__xludf.DUMMYFUNCTION("""COMPUTED_VALUE"""),"Officer-Involved Shooting")</f>
        <v>Officer-Involved Shooting</v>
      </c>
      <c r="AB156" s="8"/>
      <c r="AC156" s="8" t="str">
        <f ca="1">IFERROR(__xludf.DUMMYFUNCTION("""COMPUTED_VALUE"""),"Yes")</f>
        <v>Yes</v>
      </c>
      <c r="AD156" s="8" t="str">
        <f ca="1">IFERROR(__xludf.DUMMYFUNCTION("""COMPUTED_VALUE"""),"Neither")</f>
        <v>Neither</v>
      </c>
      <c r="AE156" s="8" t="str">
        <f ca="1">IFERROR(__xludf.DUMMYFUNCTION("""COMPUTED_VALUE"""),"No")</f>
        <v>No</v>
      </c>
      <c r="AF156" s="8"/>
      <c r="AG156" s="8" t="str">
        <f ca="1">IFERROR(__xludf.DUMMYFUNCTION("""COMPUTED_VALUE"""),"No")</f>
        <v>No</v>
      </c>
      <c r="AH156" s="8" t="str">
        <f ca="1">IFERROR(__xludf.DUMMYFUNCTION("""COMPUTED_VALUE"""),"No")</f>
        <v>No</v>
      </c>
      <c r="AI156" s="8" t="str">
        <f ca="1">IFERROR(__xludf.DUMMYFUNCTION("""COMPUTED_VALUE"""),"Yes")</f>
        <v>Yes</v>
      </c>
      <c r="AJ156" s="8" t="str">
        <f ca="1">IFERROR(__xludf.DUMMYFUNCTION("""COMPUTED_VALUE"""),"No")</f>
        <v>No</v>
      </c>
      <c r="AK156" s="8" t="str">
        <f ca="1">IFERROR(__xludf.DUMMYFUNCTION("""COMPUTED_VALUE"""),"No")</f>
        <v>No</v>
      </c>
      <c r="AL156" s="8" t="str">
        <f ca="1">IFERROR(__xludf.DUMMYFUNCTION("""COMPUTED_VALUE"""),"No")</f>
        <v>No</v>
      </c>
      <c r="AM156" s="8" t="str">
        <f ca="1">IFERROR(__xludf.DUMMYFUNCTION("""COMPUTED_VALUE"""),"No")</f>
        <v>No</v>
      </c>
      <c r="AN156" s="8" t="str">
        <f ca="1">IFERROR(__xludf.DUMMYFUNCTION("""COMPUTED_VALUE"""),"Outside")</f>
        <v>Outside</v>
      </c>
      <c r="AO156" s="8" t="str">
        <f ca="1">IFERROR(__xludf.DUMMYFUNCTION("""COMPUTED_VALUE"""),"No")</f>
        <v>No</v>
      </c>
      <c r="AP156" s="8" t="str">
        <f ca="1">IFERROR(__xludf.DUMMYFUNCTION("""COMPUTED_VALUE"""),"Yes")</f>
        <v>Yes</v>
      </c>
      <c r="AQ156" s="8" t="str">
        <f ca="1">IFERROR(__xludf.DUMMYFUNCTION("""COMPUTED_VALUE"""),"Armed Guards")</f>
        <v>Armed Guards</v>
      </c>
      <c r="AR156" s="8" t="str">
        <f ca="1">IFERROR(__xludf.DUMMYFUNCTION("""COMPUTED_VALUE"""),"Outside/Off-Property")</f>
        <v>Outside/Off-Property</v>
      </c>
      <c r="AS156" s="8"/>
      <c r="AT156" s="8"/>
      <c r="AU156" s="8">
        <f ca="1">IFERROR(__xludf.DUMMYFUNCTION("""COMPUTED_VALUE"""),44.02865)</f>
        <v>44.028649999999999</v>
      </c>
      <c r="AV156" s="8">
        <f ca="1">IFERROR(__xludf.DUMMYFUNCTION("""COMPUTED_VALUE"""),-88.52261)</f>
        <v>-88.52261</v>
      </c>
      <c r="AW156" s="8" t="str">
        <f ca="1">IFERROR(__xludf.DUMMYFUNCTION("""COMPUTED_VALUE"""),"Multiple attached buildings")</f>
        <v>Multiple attached buildings</v>
      </c>
      <c r="AX156" s="8">
        <f ca="1">IFERROR(__xludf.DUMMYFUNCTION("""COMPUTED_VALUE"""),54901)</f>
        <v>54901</v>
      </c>
    </row>
    <row r="157" spans="1:50" ht="60" x14ac:dyDescent="0.2">
      <c r="A157" s="8" t="str">
        <f ca="1">IFERROR(__xludf.DUMMYFUNCTION("""COMPUTED_VALUE"""),"20250204NYACB")</f>
        <v>20250204NYACB</v>
      </c>
      <c r="B157" s="8">
        <f ca="1">IFERROR(__xludf.DUMMYFUNCTION("""COMPUTED_VALUE"""),2)</f>
        <v>2</v>
      </c>
      <c r="C157" s="8">
        <f ca="1">IFERROR(__xludf.DUMMYFUNCTION("""COMPUTED_VALUE"""),4)</f>
        <v>4</v>
      </c>
      <c r="D157" s="8">
        <f ca="1">IFERROR(__xludf.DUMMYFUNCTION("""COMPUTED_VALUE"""),2025)</f>
        <v>2025</v>
      </c>
      <c r="E157" s="9">
        <f ca="1">IFERROR(__xludf.DUMMYFUNCTION("""COMPUTED_VALUE"""),45692)</f>
        <v>45692</v>
      </c>
      <c r="F157" s="8" t="str">
        <f ca="1">IFERROR(__xludf.DUMMYFUNCTION("""COMPUTED_VALUE"""),"Achievement First Brownsville Elementary School")</f>
        <v>Achievement First Brownsville Elementary School</v>
      </c>
      <c r="G157" s="8">
        <f ca="1">IFERROR(__xludf.DUMMYFUNCTION("""COMPUTED_VALUE"""),0)</f>
        <v>0</v>
      </c>
      <c r="H157" s="8">
        <f ca="1">IFERROR(__xludf.DUMMYFUNCTION("""COMPUTED_VALUE"""),1)</f>
        <v>1</v>
      </c>
      <c r="I157" s="8">
        <f ca="1">IFERROR(__xludf.DUMMYFUNCTION("""COMPUTED_VALUE"""),1)</f>
        <v>1</v>
      </c>
      <c r="J157" s="8">
        <f ca="1">IFERROR(__xludf.DUMMYFUNCTION("""COMPUTED_VALUE"""),0)</f>
        <v>0</v>
      </c>
      <c r="K157" s="8" t="str">
        <f ca="1">IFERROR(__xludf.DUMMYFUNCTION("""COMPUTED_VALUE"""),"https://brooklyn.news12.com/nypd-teen-shot-in-ankle-in-front-of-brownsville-elementary-school-1-suspect-sought
https://www.amny.com/police-fire/brooklyn-teenager-shot-school-02042025/")</f>
        <v>https://brooklyn.news12.com/nypd-teen-shot-in-ankle-in-front-of-brownsville-elementary-school-1-suspect-sought
https://www.amny.com/police-fire/brooklyn-teenager-shot-school-02042025/</v>
      </c>
      <c r="L157" s="8">
        <f ca="1">IFERROR(__xludf.DUMMYFUNCTION("""COMPUTED_VALUE"""),10)</f>
        <v>10</v>
      </c>
      <c r="M157" s="8" t="str">
        <f ca="1">IFERROR(__xludf.DUMMYFUNCTION("""COMPUTED_VALUE"""),"Regional")</f>
        <v>Regional</v>
      </c>
      <c r="N157" s="8">
        <f ca="1">IFERROR(__xludf.DUMMYFUNCTION("""COMPUTED_VALUE"""),4)</f>
        <v>4</v>
      </c>
      <c r="O157" s="8" t="str">
        <f ca="1">IFERROR(__xludf.DUMMYFUNCTION("""COMPUTED_VALUE"""),"Winter")</f>
        <v>Winter</v>
      </c>
      <c r="P157" s="8" t="str">
        <f ca="1">IFERROR(__xludf.DUMMYFUNCTION("""COMPUTED_VALUE"""),"Brooklyn")</f>
        <v>Brooklyn</v>
      </c>
      <c r="Q157" s="8" t="str">
        <f ca="1">IFERROR(__xludf.DUMMYFUNCTION("""COMPUTED_VALUE"""),"NY")</f>
        <v>NY</v>
      </c>
      <c r="R157" s="8" t="str">
        <f ca="1">IFERROR(__xludf.DUMMYFUNCTION("""COMPUTED_VALUE"""),"Elementary")</f>
        <v>Elementary</v>
      </c>
      <c r="S157" s="8" t="str">
        <f ca="1">IFERROR(__xludf.DUMMYFUNCTION("""COMPUTED_VALUE"""),"Front of School")</f>
        <v>Front of School</v>
      </c>
      <c r="T157" s="8" t="str">
        <f ca="1">IFERROR(__xludf.DUMMYFUNCTION("""COMPUTED_VALUE"""),"Outside on School Property")</f>
        <v>Outside on School Property</v>
      </c>
      <c r="U157" s="8" t="str">
        <f ca="1">IFERROR(__xludf.DUMMYFUNCTION("""COMPUTED_VALUE"""),"Yes")</f>
        <v>Yes</v>
      </c>
      <c r="V157" s="8" t="str">
        <f ca="1">IFERROR(__xludf.DUMMYFUNCTION("""COMPUTED_VALUE"""),"Morning Classes")</f>
        <v>Morning Classes</v>
      </c>
      <c r="W157" s="11">
        <f ca="1">IFERROR(__xludf.DUMMYFUNCTION("""COMPUTED_VALUE"""),0.4375)</f>
        <v>0.4375</v>
      </c>
      <c r="X157" s="8">
        <f ca="1">IFERROR(__xludf.DUMMYFUNCTION("""COMPUTED_VALUE"""),1)</f>
        <v>1</v>
      </c>
      <c r="Y157" s="12" t="str">
        <f ca="1">IFERROR(__xludf.DUMMYFUNCTION("""COMPUTED_VALUE"""),"Teen shot in front of elementary school, ran into high school for help")</f>
        <v>Teen shot in front of elementary school, ran into high school for help</v>
      </c>
      <c r="Z157" s="12" t="str">
        <f ca="1">IFERROR(__xludf.DUMMYFUNCTION("""COMPUTED_VALUE"""),"A 17-year-old was shot in front of the elementary school during morning classes. The shooter fled and the victim ran inside the nearby high school for assistance. The schools did not go on lockdown and parents were not notified.")</f>
        <v>A 17-year-old was shot in front of the elementary school during morning classes. The shooter fled and the victim ran inside the nearby high school for assistance. The schools did not go on lockdown and parents were not notified.</v>
      </c>
      <c r="AA157" s="8"/>
      <c r="AB157" s="8"/>
      <c r="AC157" s="8" t="str">
        <f ca="1">IFERROR(__xludf.DUMMYFUNCTION("""COMPUTED_VALUE"""),"Yes")</f>
        <v>Yes</v>
      </c>
      <c r="AD157" s="8"/>
      <c r="AE157" s="8" t="str">
        <f ca="1">IFERROR(__xludf.DUMMYFUNCTION("""COMPUTED_VALUE"""),"No")</f>
        <v>No</v>
      </c>
      <c r="AF157" s="8"/>
      <c r="AG157" s="8" t="str">
        <f ca="1">IFERROR(__xludf.DUMMYFUNCTION("""COMPUTED_VALUE"""),"No")</f>
        <v>No</v>
      </c>
      <c r="AH157" s="8" t="str">
        <f ca="1">IFERROR(__xludf.DUMMYFUNCTION("""COMPUTED_VALUE"""),"No")</f>
        <v>No</v>
      </c>
      <c r="AI157" s="8" t="str">
        <f ca="1">IFERROR(__xludf.DUMMYFUNCTION("""COMPUTED_VALUE"""),"No")</f>
        <v>No</v>
      </c>
      <c r="AJ157" s="8" t="str">
        <f ca="1">IFERROR(__xludf.DUMMYFUNCTION("""COMPUTED_VALUE"""),"No")</f>
        <v>No</v>
      </c>
      <c r="AK157" s="8" t="str">
        <f ca="1">IFERROR(__xludf.DUMMYFUNCTION("""COMPUTED_VALUE"""),"No")</f>
        <v>No</v>
      </c>
      <c r="AL157" s="8"/>
      <c r="AM157" s="8" t="str">
        <f ca="1">IFERROR(__xludf.DUMMYFUNCTION("""COMPUTED_VALUE"""),"No")</f>
        <v>No</v>
      </c>
      <c r="AN157" s="8" t="str">
        <f ca="1">IFERROR(__xludf.DUMMYFUNCTION("""COMPUTED_VALUE"""),"Outside")</f>
        <v>Outside</v>
      </c>
      <c r="AO157" s="8" t="str">
        <f ca="1">IFERROR(__xludf.DUMMYFUNCTION("""COMPUTED_VALUE"""),"No")</f>
        <v>No</v>
      </c>
      <c r="AP157" s="8"/>
      <c r="AQ157" s="8"/>
      <c r="AR157" s="8" t="str">
        <f ca="1">IFERROR(__xludf.DUMMYFUNCTION("""COMPUTED_VALUE"""),"Outside/Off-Property")</f>
        <v>Outside/Off-Property</v>
      </c>
      <c r="AS157" s="8"/>
      <c r="AT157" s="8" t="str">
        <f ca="1">IFERROR(__xludf.DUMMYFUNCTION("""COMPUTED_VALUE"""),"No")</f>
        <v>No</v>
      </c>
      <c r="AU157" s="8">
        <f ca="1">IFERROR(__xludf.DUMMYFUNCTION("""COMPUTED_VALUE"""),40.674146)</f>
        <v>40.674146</v>
      </c>
      <c r="AV157" s="8">
        <f ca="1">IFERROR(__xludf.DUMMYFUNCTION("""COMPUTED_VALUE"""),-73.913556)</f>
        <v>-73.913556</v>
      </c>
      <c r="AW157" s="8" t="str">
        <f ca="1">IFERROR(__xludf.DUMMYFUNCTION("""COMPUTED_VALUE"""),"Urban Street Standalone")</f>
        <v>Urban Street Standalone</v>
      </c>
      <c r="AX157" s="8">
        <f ca="1">IFERROR(__xludf.DUMMYFUNCTION("""COMPUTED_VALUE"""),11233)</f>
        <v>11233</v>
      </c>
    </row>
    <row r="158" spans="1:50" ht="390" x14ac:dyDescent="0.2">
      <c r="A158" s="8" t="str">
        <f ca="1">IFERROR(__xludf.DUMMYFUNCTION("""COMPUTED_VALUE"""),"20250201TXPAP")</f>
        <v>20250201TXPAP</v>
      </c>
      <c r="B158" s="8">
        <f ca="1">IFERROR(__xludf.DUMMYFUNCTION("""COMPUTED_VALUE"""),2)</f>
        <v>2</v>
      </c>
      <c r="C158" s="8">
        <f ca="1">IFERROR(__xludf.DUMMYFUNCTION("""COMPUTED_VALUE"""),1)</f>
        <v>1</v>
      </c>
      <c r="D158" s="8">
        <f ca="1">IFERROR(__xludf.DUMMYFUNCTION("""COMPUTED_VALUE"""),2025)</f>
        <v>2025</v>
      </c>
      <c r="E158" s="9">
        <f ca="1">IFERROR(__xludf.DUMMYFUNCTION("""COMPUTED_VALUE"""),45689)</f>
        <v>45689</v>
      </c>
      <c r="F158" s="8" t="str">
        <f ca="1">IFERROR(__xludf.DUMMYFUNCTION("""COMPUTED_VALUE"""),"Pasadena Memorial High School")</f>
        <v>Pasadena Memorial High School</v>
      </c>
      <c r="G158" s="8">
        <f ca="1">IFERROR(__xludf.DUMMYFUNCTION("""COMPUTED_VALUE"""),0)</f>
        <v>0</v>
      </c>
      <c r="H158" s="8">
        <f ca="1">IFERROR(__xludf.DUMMYFUNCTION("""COMPUTED_VALUE"""),1)</f>
        <v>1</v>
      </c>
      <c r="I158" s="8">
        <f ca="1">IFERROR(__xludf.DUMMYFUNCTION("""COMPUTED_VALUE"""),1)</f>
        <v>1</v>
      </c>
      <c r="J158" s="8">
        <f ca="1">IFERROR(__xludf.DUMMYFUNCTION("""COMPUTED_VALUE"""),0)</f>
        <v>0</v>
      </c>
      <c r="K158" s="8" t="str">
        <f ca="1">IFERROR(__xludf.DUMMYFUNCTION("""COMPUTED_VALUE"""),"https://www.khou.com/article/news/local/man-attorney-confusion-shooting-pasadena-high-school-band-competition-drum/285-934e9aa0-ede4-4453-9d80-29aef77d345c
https://www.houstonchronicle.com/news/houston-texas/education/article/man-injured-pasadena-memorial"&amp;"-high-school-drum-20134247.php
https://www.fox26houston.com/video/1586648
https://www.fox26houston.com/news/man-shot-pasadena-memorial-high-school-during-band-competition
https://abc13.com/post/pasadena-memorial-high-school-shooting-man-shot-hospitalized-"&amp;"police-say/15855023/")</f>
        <v>https://www.khou.com/article/news/local/man-attorney-confusion-shooting-pasadena-high-school-band-competition-drum/285-934e9aa0-ede4-4453-9d80-29aef77d345c
https://www.houstonchronicle.com/news/houston-texas/education/article/man-injured-pasadena-memorial-high-school-drum-20134247.php
https://www.fox26houston.com/video/1586648
https://www.fox26houston.com/news/man-shot-pasadena-memorial-high-school-during-band-competition
https://abc13.com/post/pasadena-memorial-high-school-shooting-man-shot-hospitalized-police-say/15855023/</v>
      </c>
      <c r="L158" s="8">
        <f ca="1">IFERROR(__xludf.DUMMYFUNCTION("""COMPUTED_VALUE"""),20)</f>
        <v>20</v>
      </c>
      <c r="M158" s="8" t="str">
        <f ca="1">IFERROR(__xludf.DUMMYFUNCTION("""COMPUTED_VALUE"""),"Regional")</f>
        <v>Regional</v>
      </c>
      <c r="N158" s="8">
        <f ca="1">IFERROR(__xludf.DUMMYFUNCTION("""COMPUTED_VALUE"""),4)</f>
        <v>4</v>
      </c>
      <c r="O158" s="8" t="str">
        <f ca="1">IFERROR(__xludf.DUMMYFUNCTION("""COMPUTED_VALUE"""),"Winter")</f>
        <v>Winter</v>
      </c>
      <c r="P158" s="8" t="str">
        <f ca="1">IFERROR(__xludf.DUMMYFUNCTION("""COMPUTED_VALUE"""),"Pasadena")</f>
        <v>Pasadena</v>
      </c>
      <c r="Q158" s="8" t="str">
        <f ca="1">IFERROR(__xludf.DUMMYFUNCTION("""COMPUTED_VALUE"""),"TX")</f>
        <v>TX</v>
      </c>
      <c r="R158" s="8" t="str">
        <f ca="1">IFERROR(__xludf.DUMMYFUNCTION("""COMPUTED_VALUE"""),"High")</f>
        <v>High</v>
      </c>
      <c r="S158" s="8" t="str">
        <f ca="1">IFERROR(__xludf.DUMMYFUNCTION("""COMPUTED_VALUE"""),"Entryway")</f>
        <v>Entryway</v>
      </c>
      <c r="T158" s="8" t="str">
        <f ca="1">IFERROR(__xludf.DUMMYFUNCTION("""COMPUTED_VALUE"""),"Inside School Building")</f>
        <v>Inside School Building</v>
      </c>
      <c r="U158" s="8" t="str">
        <f ca="1">IFERROR(__xludf.DUMMYFUNCTION("""COMPUTED_VALUE"""),"No")</f>
        <v>No</v>
      </c>
      <c r="V158" s="8" t="str">
        <f ca="1">IFERROR(__xludf.DUMMYFUNCTION("""COMPUTED_VALUE"""),"School Event")</f>
        <v>School Event</v>
      </c>
      <c r="W158" s="11">
        <f ca="1">IFERROR(__xludf.DUMMYFUNCTION("""COMPUTED_VALUE"""),0.75)</f>
        <v>0.75</v>
      </c>
      <c r="X158" s="8">
        <f ca="1">IFERROR(__xludf.DUMMYFUNCTION("""COMPUTED_VALUE"""),1)</f>
        <v>1</v>
      </c>
      <c r="Y158" s="12" t="str">
        <f ca="1">IFERROR(__xludf.DUMMYFUNCTION("""COMPUTED_VALUE"""),"Elderly man fired two shots during school event, tackled by bystanders")</f>
        <v>Elderly man fired two shots during school event, tackled by bystanders</v>
      </c>
      <c r="Z158" s="12" t="str">
        <f ca="1">IFERROR(__xludf.DUMMYFUNCTION("""COMPUTED_VALUE"""),"A man was driving with his wife when he pulled over, said he needed to use the bathroom, and went into the school. Pasadena police say an 83-year-old man armed with a gun entered the school through a backdoor around 6 p.m. while the Texas Color Guard Circ"&amp;"uit drum line competition was taking place. Police say he hid behind a pillar for about two minutes before emerging and firing at least one shot. A young adult man was hit in the shoulder, and Life Flighted to the hospital. Within a minute of the shooting"&amp;", police say a parent tackled the shooter. One parent tells Eyewitness News he and three others restrained the suspect and confiscated his weapon. The competition was canceled, and no students were injured. The man had no connect to the school or event. B"&amp;"efore arriving at the school, police said they were told by the man that he was being chased by someone and feared he and his wife were going to be killed. The man then left his home in Spring, TX and ended up in Pasadena, where he stopped at the school. "&amp;"The shooting victim, a percussion technical consultant for Angleton ISD. Police said he does not know the shooting victim and was never in contact with him. The Harris County District Attorney's Office has accepted charges of aggravated assault with a dea"&amp;"dly weapon. Brandl is being held without bond and is awaiting transfer to the Harris County Jail. He is a retired Navy veteran with no prior criminal history.")</f>
        <v>A man was driving with his wife when he pulled over, said he needed to use the bathroom, and went into the school. Pasadena police say an 83-year-old man armed with a gun entered the school through a backdoor around 6 p.m. while the Texas Color Guard Circuit drum line competition was taking place. Police say he hid behind a pillar for about two minutes before emerging and firing at least one shot. A young adult man was hit in the shoulder, and Life Flighted to the hospital. Within a minute of the shooting, police say a parent tackled the shooter. One parent tells Eyewitness News he and three others restrained the suspect and confiscated his weapon. The competition was canceled, and no students were injured. The man had no connect to the school or event. Before arriving at the school, police said they were told by the man that he was being chased by someone and feared he and his wife were going to be killed. The man then left his home in Spring, TX and ended up in Pasadena, where he stopped at the school. The shooting victim, a percussion technical consultant for Angleton ISD. Police said he does not know the shooting victim and was never in contact with him. The Harris County District Attorney's Office has accepted charges of aggravated assault with a deadly weapon. Brandl is being held without bond and is awaiting transfer to the Harris County Jail. He is a retired Navy veteran with no prior criminal history.</v>
      </c>
      <c r="AA158" s="8" t="str">
        <f ca="1">IFERROR(__xludf.DUMMYFUNCTION("""COMPUTED_VALUE"""),"Psychosis")</f>
        <v>Psychosis</v>
      </c>
      <c r="AB158" s="8" t="str">
        <f ca="1">IFERROR(__xludf.DUMMYFUNCTION("""COMPUTED_VALUE"""),"Active Shooter/Planned Attack")</f>
        <v>Active Shooter/Planned Attack</v>
      </c>
      <c r="AC158" s="8" t="str">
        <f ca="1">IFERROR(__xludf.DUMMYFUNCTION("""COMPUTED_VALUE"""),"Yes")</f>
        <v>Yes</v>
      </c>
      <c r="AD158" s="8" t="str">
        <f ca="1">IFERROR(__xludf.DUMMYFUNCTION("""COMPUTED_VALUE"""),"Random Shooting")</f>
        <v>Random Shooting</v>
      </c>
      <c r="AE158" s="8" t="str">
        <f ca="1">IFERROR(__xludf.DUMMYFUNCTION("""COMPUTED_VALUE"""),"No")</f>
        <v>No</v>
      </c>
      <c r="AF158" s="8"/>
      <c r="AG158" s="8" t="str">
        <f ca="1">IFERROR(__xludf.DUMMYFUNCTION("""COMPUTED_VALUE"""),"No")</f>
        <v>No</v>
      </c>
      <c r="AH158" s="8" t="str">
        <f ca="1">IFERROR(__xludf.DUMMYFUNCTION("""COMPUTED_VALUE"""),"No")</f>
        <v>No</v>
      </c>
      <c r="AI158" s="8" t="str">
        <f ca="1">IFERROR(__xludf.DUMMYFUNCTION("""COMPUTED_VALUE"""),"No")</f>
        <v>No</v>
      </c>
      <c r="AJ158" s="8" t="str">
        <f ca="1">IFERROR(__xludf.DUMMYFUNCTION("""COMPUTED_VALUE"""),"No")</f>
        <v>No</v>
      </c>
      <c r="AK158" s="8" t="str">
        <f ca="1">IFERROR(__xludf.DUMMYFUNCTION("""COMPUTED_VALUE"""),"No")</f>
        <v>No</v>
      </c>
      <c r="AL158" s="8" t="str">
        <f ca="1">IFERROR(__xludf.DUMMYFUNCTION("""COMPUTED_VALUE"""),"No")</f>
        <v>No</v>
      </c>
      <c r="AM158" s="8" t="str">
        <f ca="1">IFERROR(__xludf.DUMMYFUNCTION("""COMPUTED_VALUE"""),"Yes")</f>
        <v>Yes</v>
      </c>
      <c r="AN158" s="8" t="str">
        <f ca="1">IFERROR(__xludf.DUMMYFUNCTION("""COMPUTED_VALUE"""),"Hallway")</f>
        <v>Hallway</v>
      </c>
      <c r="AO158" s="8" t="str">
        <f ca="1">IFERROR(__xludf.DUMMYFUNCTION("""COMPUTED_VALUE"""),"No")</f>
        <v>No</v>
      </c>
      <c r="AP158" s="8"/>
      <c r="AQ158" s="8"/>
      <c r="AR158" s="8" t="str">
        <f ca="1">IFERROR(__xludf.DUMMYFUNCTION("""COMPUTED_VALUE"""),"Outside/Off-Property")</f>
        <v>Outside/Off-Property</v>
      </c>
      <c r="AS158" s="8">
        <f ca="1">IFERROR(__xludf.DUMMYFUNCTION("""COMPUTED_VALUE"""),2)</f>
        <v>2</v>
      </c>
      <c r="AT158" s="8" t="str">
        <f ca="1">IFERROR(__xludf.DUMMYFUNCTION("""COMPUTED_VALUE"""),"Yes")</f>
        <v>Yes</v>
      </c>
      <c r="AU158" s="8">
        <f ca="1">IFERROR(__xludf.DUMMYFUNCTION("""COMPUTED_VALUE"""),29.638536)</f>
        <v>29.638535999999998</v>
      </c>
      <c r="AV158" s="8">
        <f ca="1">IFERROR(__xludf.DUMMYFUNCTION("""COMPUTED_VALUE"""),-95.175535)</f>
        <v>-95.175534999999996</v>
      </c>
      <c r="AW158" s="8" t="str">
        <f ca="1">IFERROR(__xludf.DUMMYFUNCTION("""COMPUTED_VALUE"""),"Mega-school")</f>
        <v>Mega-school</v>
      </c>
      <c r="AX158" s="8">
        <f ca="1">IFERROR(__xludf.DUMMYFUNCTION("""COMPUTED_VALUE"""),77505)</f>
        <v>77505</v>
      </c>
    </row>
    <row r="159" spans="1:50" ht="90" x14ac:dyDescent="0.2">
      <c r="A159" s="8" t="str">
        <f ca="1">IFERROR(__xludf.DUMMYFUNCTION("""COMPUTED_VALUE"""),"20250131ILDUC")</f>
        <v>20250131ILDUC</v>
      </c>
      <c r="B159" s="8">
        <f ca="1">IFERROR(__xludf.DUMMYFUNCTION("""COMPUTED_VALUE"""),1)</f>
        <v>1</v>
      </c>
      <c r="C159" s="8">
        <f ca="1">IFERROR(__xludf.DUMMYFUNCTION("""COMPUTED_VALUE"""),31)</f>
        <v>31</v>
      </c>
      <c r="D159" s="8">
        <f ca="1">IFERROR(__xludf.DUMMYFUNCTION("""COMPUTED_VALUE"""),2025)</f>
        <v>2025</v>
      </c>
      <c r="E159" s="9">
        <f ca="1">IFERROR(__xludf.DUMMYFUNCTION("""COMPUTED_VALUE"""),45688)</f>
        <v>45688</v>
      </c>
      <c r="F159" s="8" t="str">
        <f ca="1">IFERROR(__xludf.DUMMYFUNCTION("""COMPUTED_VALUE"""),"Duke Ellington Elementary School")</f>
        <v>Duke Ellington Elementary School</v>
      </c>
      <c r="G159" s="8">
        <f ca="1">IFERROR(__xludf.DUMMYFUNCTION("""COMPUTED_VALUE"""),1)</f>
        <v>1</v>
      </c>
      <c r="H159" s="8">
        <f ca="1">IFERROR(__xludf.DUMMYFUNCTION("""COMPUTED_VALUE"""),1)</f>
        <v>1</v>
      </c>
      <c r="I159" s="8">
        <f ca="1">IFERROR(__xludf.DUMMYFUNCTION("""COMPUTED_VALUE"""),2)</f>
        <v>2</v>
      </c>
      <c r="J159" s="8">
        <f ca="1">IFERROR(__xludf.DUMMYFUNCTION("""COMPUTED_VALUE"""),0)</f>
        <v>0</v>
      </c>
      <c r="K159" s="10" t="str">
        <f ca="1">IFERROR(__xludf.DUMMYFUNCTION("""COMPUTED_VALUE"""),"https://abc7chicago.com/post/chicago-shooting-1-killed-1-injured-austin-duke-ellington-elementary-school-fire-department-says/15852231/")</f>
        <v>https://abc7chicago.com/post/chicago-shooting-1-killed-1-injured-austin-duke-ellington-elementary-school-fire-department-says/15852231/</v>
      </c>
      <c r="L159" s="8">
        <f ca="1">IFERROR(__xludf.DUMMYFUNCTION("""COMPUTED_VALUE"""),1)</f>
        <v>1</v>
      </c>
      <c r="M159" s="8" t="str">
        <f ca="1">IFERROR(__xludf.DUMMYFUNCTION("""COMPUTED_VALUE"""),"Local")</f>
        <v>Local</v>
      </c>
      <c r="N159" s="8">
        <f ca="1">IFERROR(__xludf.DUMMYFUNCTION("""COMPUTED_VALUE"""),3)</f>
        <v>3</v>
      </c>
      <c r="O159" s="8" t="str">
        <f ca="1">IFERROR(__xludf.DUMMYFUNCTION("""COMPUTED_VALUE"""),"Winter")</f>
        <v>Winter</v>
      </c>
      <c r="P159" s="8" t="str">
        <f ca="1">IFERROR(__xludf.DUMMYFUNCTION("""COMPUTED_VALUE"""),"Chicago")</f>
        <v>Chicago</v>
      </c>
      <c r="Q159" s="8" t="str">
        <f ca="1">IFERROR(__xludf.DUMMYFUNCTION("""COMPUTED_VALUE"""),"IL")</f>
        <v>IL</v>
      </c>
      <c r="R159" s="8" t="str">
        <f ca="1">IFERROR(__xludf.DUMMYFUNCTION("""COMPUTED_VALUE"""),"Elementary")</f>
        <v>Elementary</v>
      </c>
      <c r="S159" s="8" t="str">
        <f ca="1">IFERROR(__xludf.DUMMYFUNCTION("""COMPUTED_VALUE"""),"Front of School")</f>
        <v>Front of School</v>
      </c>
      <c r="T159" s="8" t="str">
        <f ca="1">IFERROR(__xludf.DUMMYFUNCTION("""COMPUTED_VALUE"""),"Outside on School Property")</f>
        <v>Outside on School Property</v>
      </c>
      <c r="U159" s="8" t="str">
        <f ca="1">IFERROR(__xludf.DUMMYFUNCTION("""COMPUTED_VALUE"""),"Yes")</f>
        <v>Yes</v>
      </c>
      <c r="V159" s="8" t="str">
        <f ca="1">IFERROR(__xludf.DUMMYFUNCTION("""COMPUTED_VALUE"""),"Dismissal")</f>
        <v>Dismissal</v>
      </c>
      <c r="W159" s="11">
        <f ca="1">IFERROR(__xludf.DUMMYFUNCTION("""COMPUTED_VALUE"""),0.625)</f>
        <v>0.625</v>
      </c>
      <c r="X159" s="8">
        <f ca="1">IFERROR(__xludf.DUMMYFUNCTION("""COMPUTED_VALUE"""),1)</f>
        <v>1</v>
      </c>
      <c r="Y159" s="12" t="str">
        <f ca="1">IFERROR(__xludf.DUMMYFUNCTION("""COMPUTED_VALUE"""),"Adult man and teen shot in front of the school during dismissal")</f>
        <v>Adult man and teen shot in front of the school during dismissal</v>
      </c>
      <c r="Z159" s="12" t="str">
        <f ca="1">IFERROR(__xludf.DUMMYFUNCTION("""COMPUTED_VALUE"""),"An 18-year-old man and a 26-year-old man were outside on the sidewalk in front of the school at dismissal when a gunman opened fire. The 18-year-old was struck multiple times in the body and pronounced dead at the scene. The 26-year-old was struck in the "&amp;"chest and taken to Mt. Sinai Hospital in fair condition. The shooter fled.")</f>
        <v>An 18-year-old man and a 26-year-old man were outside on the sidewalk in front of the school at dismissal when a gunman opened fire. The 18-year-old was struck multiple times in the body and pronounced dead at the scene. The 26-year-old was struck in the chest and taken to Mt. Sinai Hospital in fair condition. The shooter fled.</v>
      </c>
      <c r="AA159" s="8"/>
      <c r="AB159" s="8" t="str">
        <f ca="1">IFERROR(__xludf.DUMMYFUNCTION("""COMPUTED_VALUE"""),"Targeted")</f>
        <v>Targeted</v>
      </c>
      <c r="AC159" s="8" t="str">
        <f ca="1">IFERROR(__xludf.DUMMYFUNCTION("""COMPUTED_VALUE"""),"Yes")</f>
        <v>Yes</v>
      </c>
      <c r="AD159" s="8" t="str">
        <f ca="1">IFERROR(__xludf.DUMMYFUNCTION("""COMPUTED_VALUE"""),"Victims Targeted")</f>
        <v>Victims Targeted</v>
      </c>
      <c r="AE159" s="8" t="str">
        <f ca="1">IFERROR(__xludf.DUMMYFUNCTION("""COMPUTED_VALUE"""),"No")</f>
        <v>No</v>
      </c>
      <c r="AF159" s="8"/>
      <c r="AG159" s="8" t="str">
        <f ca="1">IFERROR(__xludf.DUMMYFUNCTION("""COMPUTED_VALUE"""),"No")</f>
        <v>No</v>
      </c>
      <c r="AH159" s="8" t="str">
        <f ca="1">IFERROR(__xludf.DUMMYFUNCTION("""COMPUTED_VALUE"""),"No")</f>
        <v>No</v>
      </c>
      <c r="AI159" s="8" t="str">
        <f ca="1">IFERROR(__xludf.DUMMYFUNCTION("""COMPUTED_VALUE"""),"No")</f>
        <v>No</v>
      </c>
      <c r="AJ159" s="8" t="str">
        <f ca="1">IFERROR(__xludf.DUMMYFUNCTION("""COMPUTED_VALUE"""),"No")</f>
        <v>No</v>
      </c>
      <c r="AK159" s="8" t="str">
        <f ca="1">IFERROR(__xludf.DUMMYFUNCTION("""COMPUTED_VALUE"""),"No")</f>
        <v>No</v>
      </c>
      <c r="AL159" s="8"/>
      <c r="AM159" s="8" t="str">
        <f ca="1">IFERROR(__xludf.DUMMYFUNCTION("""COMPUTED_VALUE"""),"No")</f>
        <v>No</v>
      </c>
      <c r="AN159" s="8" t="str">
        <f ca="1">IFERROR(__xludf.DUMMYFUNCTION("""COMPUTED_VALUE"""),"Outside")</f>
        <v>Outside</v>
      </c>
      <c r="AO159" s="8" t="str">
        <f ca="1">IFERROR(__xludf.DUMMYFUNCTION("""COMPUTED_VALUE"""),"No")</f>
        <v>No</v>
      </c>
      <c r="AP159" s="8"/>
      <c r="AQ159" s="8"/>
      <c r="AR159" s="8" t="str">
        <f ca="1">IFERROR(__xludf.DUMMYFUNCTION("""COMPUTED_VALUE"""),"Outside/Off-Property")</f>
        <v>Outside/Off-Property</v>
      </c>
      <c r="AS159" s="8">
        <f ca="1">IFERROR(__xludf.DUMMYFUNCTION("""COMPUTED_VALUE"""),99)</f>
        <v>99</v>
      </c>
      <c r="AT159" s="8"/>
      <c r="AU159" s="8">
        <f ca="1">IFERROR(__xludf.DUMMYFUNCTION("""COMPUTED_VALUE"""),41.885577)</f>
        <v>41.885576999999998</v>
      </c>
      <c r="AV159" s="8">
        <f ca="1">IFERROR(__xludf.DUMMYFUNCTION("""COMPUTED_VALUE"""),-87.766591)</f>
        <v>-87.766591000000005</v>
      </c>
      <c r="AW159" s="8" t="str">
        <f ca="1">IFERROR(__xludf.DUMMYFUNCTION("""COMPUTED_VALUE"""),"Urban Street Standalone")</f>
        <v>Urban Street Standalone</v>
      </c>
      <c r="AX159" s="8">
        <f ca="1">IFERROR(__xludf.DUMMYFUNCTION("""COMPUTED_VALUE"""),60644)</f>
        <v>60644</v>
      </c>
    </row>
    <row r="160" spans="1:50" ht="180" x14ac:dyDescent="0.2">
      <c r="A160" s="8" t="str">
        <f ca="1">IFERROR(__xludf.DUMMYFUNCTION("""COMPUTED_VALUE"""),"20250130TNMAM")</f>
        <v>20250130TNMAM</v>
      </c>
      <c r="B160" s="8">
        <f ca="1">IFERROR(__xludf.DUMMYFUNCTION("""COMPUTED_VALUE"""),1)</f>
        <v>1</v>
      </c>
      <c r="C160" s="8">
        <f ca="1">IFERROR(__xludf.DUMMYFUNCTION("""COMPUTED_VALUE"""),30)</f>
        <v>30</v>
      </c>
      <c r="D160" s="8">
        <f ca="1">IFERROR(__xludf.DUMMYFUNCTION("""COMPUTED_VALUE"""),2025)</f>
        <v>2025</v>
      </c>
      <c r="E160" s="9">
        <f ca="1">IFERROR(__xludf.DUMMYFUNCTION("""COMPUTED_VALUE"""),45687)</f>
        <v>45687</v>
      </c>
      <c r="F160" s="8" t="str">
        <f ca="1">IFERROR(__xludf.DUMMYFUNCTION("""COMPUTED_VALUE"""),"Madisonville Primary School")</f>
        <v>Madisonville Primary School</v>
      </c>
      <c r="G160" s="8">
        <f ca="1">IFERROR(__xludf.DUMMYFUNCTION("""COMPUTED_VALUE"""),0)</f>
        <v>0</v>
      </c>
      <c r="H160" s="8">
        <f ca="1">IFERROR(__xludf.DUMMYFUNCTION("""COMPUTED_VALUE"""),0)</f>
        <v>0</v>
      </c>
      <c r="I160" s="8">
        <f ca="1">IFERROR(__xludf.DUMMYFUNCTION("""COMPUTED_VALUE"""),0)</f>
        <v>0</v>
      </c>
      <c r="J160" s="8">
        <f ca="1">IFERROR(__xludf.DUMMYFUNCTION("""COMPUTED_VALUE"""),0)</f>
        <v>0</v>
      </c>
      <c r="K160" s="10" t="str">
        <f ca="1">IFERROR(__xludf.DUMMYFUNCTION("""COMPUTED_VALUE"""),"https://www.wate.com/news/suspect-in-custody-after-shots-fired-near-madisonville-primary-school/
https://www.wbir.com/article/news/crime/shots-fired-near-madisonville-primary-school/51-1e2bb28a-22e2-4a32-89b3-2450874d0bb0")</f>
        <v>https://www.wate.com/news/suspect-in-custody-after-shots-fired-near-madisonville-primary-school/
https://www.wbir.com/article/news/crime/shots-fired-near-madisonville-primary-school/51-1e2bb28a-22e2-4a32-89b3-2450874d0bb0</v>
      </c>
      <c r="L160" s="8">
        <f ca="1">IFERROR(__xludf.DUMMYFUNCTION("""COMPUTED_VALUE"""),10)</f>
        <v>10</v>
      </c>
      <c r="M160" s="8" t="str">
        <f ca="1">IFERROR(__xludf.DUMMYFUNCTION("""COMPUTED_VALUE"""),"Regional")</f>
        <v>Regional</v>
      </c>
      <c r="N160" s="8">
        <f ca="1">IFERROR(__xludf.DUMMYFUNCTION("""COMPUTED_VALUE"""),3)</f>
        <v>3</v>
      </c>
      <c r="O160" s="8" t="str">
        <f ca="1">IFERROR(__xludf.DUMMYFUNCTION("""COMPUTED_VALUE"""),"Winter")</f>
        <v>Winter</v>
      </c>
      <c r="P160" s="8" t="str">
        <f ca="1">IFERROR(__xludf.DUMMYFUNCTION("""COMPUTED_VALUE"""),"Madisonville")</f>
        <v>Madisonville</v>
      </c>
      <c r="Q160" s="8" t="str">
        <f ca="1">IFERROR(__xludf.DUMMYFUNCTION("""COMPUTED_VALUE"""),"TN")</f>
        <v>TN</v>
      </c>
      <c r="R160" s="8" t="str">
        <f ca="1">IFERROR(__xludf.DUMMYFUNCTION("""COMPUTED_VALUE"""),"Elementary")</f>
        <v>Elementary</v>
      </c>
      <c r="S160" s="8" t="str">
        <f ca="1">IFERROR(__xludf.DUMMYFUNCTION("""COMPUTED_VALUE"""),"Outside on School Property")</f>
        <v>Outside on School Property</v>
      </c>
      <c r="T160" s="8" t="str">
        <f ca="1">IFERROR(__xludf.DUMMYFUNCTION("""COMPUTED_VALUE"""),"Outside on School Property")</f>
        <v>Outside on School Property</v>
      </c>
      <c r="U160" s="8" t="str">
        <f ca="1">IFERROR(__xludf.DUMMYFUNCTION("""COMPUTED_VALUE"""),"Yes")</f>
        <v>Yes</v>
      </c>
      <c r="V160" s="8" t="str">
        <f ca="1">IFERROR(__xludf.DUMMYFUNCTION("""COMPUTED_VALUE"""),"Morning Classes")</f>
        <v>Morning Classes</v>
      </c>
      <c r="W160" s="11">
        <f ca="1">IFERROR(__xludf.DUMMYFUNCTION("""COMPUTED_VALUE"""),0.350694444444444)</f>
        <v>0.35069444444444398</v>
      </c>
      <c r="X160" s="8">
        <f ca="1">IFERROR(__xludf.DUMMYFUNCTION("""COMPUTED_VALUE"""),1)</f>
        <v>1</v>
      </c>
      <c r="Y160" s="12" t="str">
        <f ca="1">IFERROR(__xludf.DUMMYFUNCTION("""COMPUTED_VALUE"""),"Man fired shot near school causing lockdown and then fired shots are police officers")</f>
        <v>Man fired shot near school causing lockdown and then fired shots are police officers</v>
      </c>
      <c r="Z160" s="12" t="str">
        <f ca="1">IFERROR(__xludf.DUMMYFUNCTION("""COMPUTED_VALUE"""),"A suspect was arrested and is facing multiple felony charges after reported shots fired near Madisonville Primary School, according to the Madisonville Police Department. Madisonville Primary was placed on a soft lockdown Thursday morning as MPD officers "&amp;"investigated. As the situation escalated with shots fired near an occupied patrol vehicle, MPD's special response team was called in and a hard lockdown was implemented for the school, according to police. Madisonville officers later found and arrested th"&amp;"e shooter on McConkey Street. They said the suspect was under the influence and on active probation for drug offenses.")</f>
        <v>A suspect was arrested and is facing multiple felony charges after reported shots fired near Madisonville Primary School, according to the Madisonville Police Department. Madisonville Primary was placed on a soft lockdown Thursday morning as MPD officers investigated. As the situation escalated with shots fired near an occupied patrol vehicle, MPD's special response team was called in and a hard lockdown was implemented for the school, according to police. Madisonville officers later found and arrested the shooter on McConkey Street. They said the suspect was under the influence and on active probation for drug offenses.</v>
      </c>
      <c r="AA160" s="8"/>
      <c r="AB160" s="8"/>
      <c r="AC160" s="8" t="str">
        <f ca="1">IFERROR(__xludf.DUMMYFUNCTION("""COMPUTED_VALUE"""),"Yes")</f>
        <v>Yes</v>
      </c>
      <c r="AD160" s="8" t="str">
        <f ca="1">IFERROR(__xludf.DUMMYFUNCTION("""COMPUTED_VALUE"""),"Random Shooting")</f>
        <v>Random Shooting</v>
      </c>
      <c r="AE160" s="8" t="str">
        <f ca="1">IFERROR(__xludf.DUMMYFUNCTION("""COMPUTED_VALUE"""),"No")</f>
        <v>No</v>
      </c>
      <c r="AF160" s="8"/>
      <c r="AG160" s="8" t="str">
        <f ca="1">IFERROR(__xludf.DUMMYFUNCTION("""COMPUTED_VALUE"""),"No")</f>
        <v>No</v>
      </c>
      <c r="AH160" s="8" t="str">
        <f ca="1">IFERROR(__xludf.DUMMYFUNCTION("""COMPUTED_VALUE"""),"No")</f>
        <v>No</v>
      </c>
      <c r="AI160" s="8" t="str">
        <f ca="1">IFERROR(__xludf.DUMMYFUNCTION("""COMPUTED_VALUE"""),"No")</f>
        <v>No</v>
      </c>
      <c r="AJ160" s="8" t="str">
        <f ca="1">IFERROR(__xludf.DUMMYFUNCTION("""COMPUTED_VALUE"""),"No")</f>
        <v>No</v>
      </c>
      <c r="AK160" s="8" t="str">
        <f ca="1">IFERROR(__xludf.DUMMYFUNCTION("""COMPUTED_VALUE"""),"No")</f>
        <v>No</v>
      </c>
      <c r="AL160" s="8" t="str">
        <f ca="1">IFERROR(__xludf.DUMMYFUNCTION("""COMPUTED_VALUE"""),"No")</f>
        <v>No</v>
      </c>
      <c r="AM160" s="8" t="str">
        <f ca="1">IFERROR(__xludf.DUMMYFUNCTION("""COMPUTED_VALUE"""),"No")</f>
        <v>No</v>
      </c>
      <c r="AN160" s="8" t="str">
        <f ca="1">IFERROR(__xludf.DUMMYFUNCTION("""COMPUTED_VALUE"""),"Outside")</f>
        <v>Outside</v>
      </c>
      <c r="AO160" s="8" t="str">
        <f ca="1">IFERROR(__xludf.DUMMYFUNCTION("""COMPUTED_VALUE"""),"No")</f>
        <v>No</v>
      </c>
      <c r="AP160" s="8"/>
      <c r="AQ160" s="8"/>
      <c r="AR160" s="8" t="str">
        <f ca="1">IFERROR(__xludf.DUMMYFUNCTION("""COMPUTED_VALUE"""),"Outside/Off-Property")</f>
        <v>Outside/Off-Property</v>
      </c>
      <c r="AS160" s="8">
        <f ca="1">IFERROR(__xludf.DUMMYFUNCTION("""COMPUTED_VALUE"""),99)</f>
        <v>99</v>
      </c>
      <c r="AT160" s="8" t="str">
        <f ca="1">IFERROR(__xludf.DUMMYFUNCTION("""COMPUTED_VALUE"""),"Yes")</f>
        <v>Yes</v>
      </c>
      <c r="AU160" s="8">
        <f ca="1">IFERROR(__xludf.DUMMYFUNCTION("""COMPUTED_VALUE"""),35.52161)</f>
        <v>35.521610000000003</v>
      </c>
      <c r="AV160" s="8">
        <f ca="1">IFERROR(__xludf.DUMMYFUNCTION("""COMPUTED_VALUE"""),-84.366597)</f>
        <v>-84.366596999999999</v>
      </c>
      <c r="AW160" s="8" t="str">
        <f ca="1">IFERROR(__xludf.DUMMYFUNCTION("""COMPUTED_VALUE"""),"Multiple attached buildings")</f>
        <v>Multiple attached buildings</v>
      </c>
      <c r="AX160" s="8">
        <f ca="1">IFERROR(__xludf.DUMMYFUNCTION("""COMPUTED_VALUE"""),37354)</f>
        <v>37354</v>
      </c>
    </row>
    <row r="161" spans="1:50" ht="300" x14ac:dyDescent="0.2">
      <c r="A161" s="8" t="str">
        <f ca="1">IFERROR(__xludf.DUMMYFUNCTION("""COMPUTED_VALUE"""),"20250127WAKEK")</f>
        <v>20250127WAKEK</v>
      </c>
      <c r="B161" s="8">
        <f ca="1">IFERROR(__xludf.DUMMYFUNCTION("""COMPUTED_VALUE"""),1)</f>
        <v>1</v>
      </c>
      <c r="C161" s="8">
        <f ca="1">IFERROR(__xludf.DUMMYFUNCTION("""COMPUTED_VALUE"""),27)</f>
        <v>27</v>
      </c>
      <c r="D161" s="8">
        <f ca="1">IFERROR(__xludf.DUMMYFUNCTION("""COMPUTED_VALUE"""),2025)</f>
        <v>2025</v>
      </c>
      <c r="E161" s="9">
        <f ca="1">IFERROR(__xludf.DUMMYFUNCTION("""COMPUTED_VALUE"""),45684)</f>
        <v>45684</v>
      </c>
      <c r="F161" s="8" t="str">
        <f ca="1">IFERROR(__xludf.DUMMYFUNCTION("""COMPUTED_VALUE"""),"Kentridge High School")</f>
        <v>Kentridge High School</v>
      </c>
      <c r="G161" s="8">
        <f ca="1">IFERROR(__xludf.DUMMYFUNCTION("""COMPUTED_VALUE"""),0)</f>
        <v>0</v>
      </c>
      <c r="H161" s="8">
        <f ca="1">IFERROR(__xludf.DUMMYFUNCTION("""COMPUTED_VALUE"""),0)</f>
        <v>0</v>
      </c>
      <c r="I161" s="8">
        <f ca="1">IFERROR(__xludf.DUMMYFUNCTION("""COMPUTED_VALUE"""),0)</f>
        <v>0</v>
      </c>
      <c r="J161" s="8">
        <f ca="1">IFERROR(__xludf.DUMMYFUNCTION("""COMPUTED_VALUE"""),0)</f>
        <v>0</v>
      </c>
      <c r="K161" s="10" t="str">
        <f ca="1">IFERROR(__xludf.DUMMYFUNCTION("""COMPUTED_VALUE"""),"https://www.kentreporter.com/news/gun-fired-during-teen-fight-outside-kentridge-high-school/
https://komonews.com/news/local/teen-accused-of-firing-gun-during-argument-at-kent-high-school-shooting-student-police-crime-missing-investigation-washington")</f>
        <v>https://www.kentreporter.com/news/gun-fired-during-teen-fight-outside-kentridge-high-school/
https://komonews.com/news/local/teen-accused-of-firing-gun-during-argument-at-kent-high-school-shooting-student-police-crime-missing-investigation-washington</v>
      </c>
      <c r="L161" s="8">
        <f ca="1">IFERROR(__xludf.DUMMYFUNCTION("""COMPUTED_VALUE"""),8)</f>
        <v>8</v>
      </c>
      <c r="M161" s="8" t="str">
        <f ca="1">IFERROR(__xludf.DUMMYFUNCTION("""COMPUTED_VALUE"""),"Regional")</f>
        <v>Regional</v>
      </c>
      <c r="N161" s="8">
        <f ca="1">IFERROR(__xludf.DUMMYFUNCTION("""COMPUTED_VALUE"""),4)</f>
        <v>4</v>
      </c>
      <c r="O161" s="8" t="str">
        <f ca="1">IFERROR(__xludf.DUMMYFUNCTION("""COMPUTED_VALUE"""),"Winter")</f>
        <v>Winter</v>
      </c>
      <c r="P161" s="8" t="str">
        <f ca="1">IFERROR(__xludf.DUMMYFUNCTION("""COMPUTED_VALUE"""),"Kent")</f>
        <v>Kent</v>
      </c>
      <c r="Q161" s="8" t="str">
        <f ca="1">IFERROR(__xludf.DUMMYFUNCTION("""COMPUTED_VALUE"""),"WA")</f>
        <v>WA</v>
      </c>
      <c r="R161" s="8" t="str">
        <f ca="1">IFERROR(__xludf.DUMMYFUNCTION("""COMPUTED_VALUE"""),"High")</f>
        <v>High</v>
      </c>
      <c r="S161" s="8" t="str">
        <f ca="1">IFERROR(__xludf.DUMMYFUNCTION("""COMPUTED_VALUE"""),"Beside Building")</f>
        <v>Beside Building</v>
      </c>
      <c r="T161" s="8" t="str">
        <f ca="1">IFERROR(__xludf.DUMMYFUNCTION("""COMPUTED_VALUE"""),"Outside on School Property")</f>
        <v>Outside on School Property</v>
      </c>
      <c r="U161" s="8" t="str">
        <f ca="1">IFERROR(__xludf.DUMMYFUNCTION("""COMPUTED_VALUE"""),"No")</f>
        <v>No</v>
      </c>
      <c r="V161" s="8" t="str">
        <f ca="1">IFERROR(__xludf.DUMMYFUNCTION("""COMPUTED_VALUE"""),"Sport Event")</f>
        <v>Sport Event</v>
      </c>
      <c r="W161" s="11">
        <f ca="1">IFERROR(__xludf.DUMMYFUNCTION("""COMPUTED_VALUE"""),0.819444444444444)</f>
        <v>0.81944444444444398</v>
      </c>
      <c r="X161" s="8">
        <f ca="1">IFERROR(__xludf.DUMMYFUNCTION("""COMPUTED_VALUE"""),1)</f>
        <v>1</v>
      </c>
      <c r="Y161" s="12" t="str">
        <f ca="1">IFERROR(__xludf.DUMMYFUNCTION("""COMPUTED_VALUE"""),"Teen fired shots at a student during an altercation")</f>
        <v>Teen fired shots at a student during an altercation</v>
      </c>
      <c r="Z161" s="12" t="str">
        <f ca="1">IFERROR(__xludf.DUMMYFUNCTION("""COMPUTED_VALUE"""),"Kent Police are looking for a 17-year-old boy who reportedly fired a gun at another teen in the Kentridge High School parking lot Monday evening, Jan. 27 while fans were inside the school gym watching an unified basketball game. Officers were dispatched a"&amp;"t about 7:40 p.m. to the school, 12430 SE 208th St., after a 911 call about a gun being fired outside the school and people running in the parking lot, according to a Jan. 28 Kent Police news release. Multiple officers arrived at the school and attempted "&amp;"to locate witnesses to the incident, but after speaking with several people in the area, no one admitted to seeing or hearing anything of concern, according to police. The video reportedly showed two teens talking to each other, a physical altercation bet"&amp;"ween the two and one of them pulling out a gun and shooting it at the other one, according to police. Nobody was injured. Both fled the scene. School security identified both teens from the video, including the shooter as a 17-year-old male and former Ken"&amp;"tridge student, according to police. The person he shot at is a current Kentridge student.")</f>
        <v>Kent Police are looking for a 17-year-old boy who reportedly fired a gun at another teen in the Kentridge High School parking lot Monday evening, Jan. 27 while fans were inside the school gym watching an unified basketball game. Officers were dispatched at about 7:40 p.m. to the school, 12430 SE 208th St., after a 911 call about a gun being fired outside the school and people running in the parking lot, according to a Jan. 28 Kent Police news release. Multiple officers arrived at the school and attempted to locate witnesses to the incident, but after speaking with several people in the area, no one admitted to seeing or hearing anything of concern, according to police. The video reportedly showed two teens talking to each other, a physical altercation between the two and one of them pulling out a gun and shooting it at the other one, according to police. Nobody was injured. Both fled the scene. School security identified both teens from the video, including the shooter as a 17-year-old male and former Kentridge student, according to police. The person he shot at is a current Kentridge student.</v>
      </c>
      <c r="AA161" s="8" t="str">
        <f ca="1">IFERROR(__xludf.DUMMYFUNCTION("""COMPUTED_VALUE"""),"Escalation of Dispute")</f>
        <v>Escalation of Dispute</v>
      </c>
      <c r="AB161" s="8" t="str">
        <f ca="1">IFERROR(__xludf.DUMMYFUNCTION("""COMPUTED_VALUE"""),"Spontaneous")</f>
        <v>Spontaneous</v>
      </c>
      <c r="AC161" s="8" t="str">
        <f ca="1">IFERROR(__xludf.DUMMYFUNCTION("""COMPUTED_VALUE"""),"Yes")</f>
        <v>Yes</v>
      </c>
      <c r="AD161" s="8" t="str">
        <f ca="1">IFERROR(__xludf.DUMMYFUNCTION("""COMPUTED_VALUE"""),"Victims Targeted")</f>
        <v>Victims Targeted</v>
      </c>
      <c r="AE161" s="8" t="str">
        <f ca="1">IFERROR(__xludf.DUMMYFUNCTION("""COMPUTED_VALUE"""),"No")</f>
        <v>No</v>
      </c>
      <c r="AF161" s="8"/>
      <c r="AG161" s="8" t="str">
        <f ca="1">IFERROR(__xludf.DUMMYFUNCTION("""COMPUTED_VALUE"""),"No")</f>
        <v>No</v>
      </c>
      <c r="AH161" s="8" t="str">
        <f ca="1">IFERROR(__xludf.DUMMYFUNCTION("""COMPUTED_VALUE"""),"No")</f>
        <v>No</v>
      </c>
      <c r="AI161" s="8" t="str">
        <f ca="1">IFERROR(__xludf.DUMMYFUNCTION("""COMPUTED_VALUE"""),"No")</f>
        <v>No</v>
      </c>
      <c r="AJ161" s="8"/>
      <c r="AK161" s="8" t="str">
        <f ca="1">IFERROR(__xludf.DUMMYFUNCTION("""COMPUTED_VALUE"""),"No")</f>
        <v>No</v>
      </c>
      <c r="AL161" s="8" t="str">
        <f ca="1">IFERROR(__xludf.DUMMYFUNCTION("""COMPUTED_VALUE"""),"No")</f>
        <v>No</v>
      </c>
      <c r="AM161" s="8" t="str">
        <f ca="1">IFERROR(__xludf.DUMMYFUNCTION("""COMPUTED_VALUE"""),"No")</f>
        <v>No</v>
      </c>
      <c r="AN161" s="8" t="str">
        <f ca="1">IFERROR(__xludf.DUMMYFUNCTION("""COMPUTED_VALUE"""),"Outside")</f>
        <v>Outside</v>
      </c>
      <c r="AO161" s="8" t="str">
        <f ca="1">IFERROR(__xludf.DUMMYFUNCTION("""COMPUTED_VALUE"""),"No")</f>
        <v>No</v>
      </c>
      <c r="AP161" s="8" t="str">
        <f ca="1">IFERROR(__xludf.DUMMYFUNCTION("""COMPUTED_VALUE"""),"Yes")</f>
        <v>Yes</v>
      </c>
      <c r="AQ161" s="8" t="str">
        <f ca="1">IFERROR(__xludf.DUMMYFUNCTION("""COMPUTED_VALUE"""),"Armed Guards")</f>
        <v>Armed Guards</v>
      </c>
      <c r="AR161" s="8" t="str">
        <f ca="1">IFERROR(__xludf.DUMMYFUNCTION("""COMPUTED_VALUE"""),"Outside/Off-Property")</f>
        <v>Outside/Off-Property</v>
      </c>
      <c r="AS161" s="8">
        <f ca="1">IFERROR(__xludf.DUMMYFUNCTION("""COMPUTED_VALUE"""),99)</f>
        <v>99</v>
      </c>
      <c r="AT161" s="8"/>
      <c r="AU161" s="8">
        <f ca="1">IFERROR(__xludf.DUMMYFUNCTION("""COMPUTED_VALUE"""),47.416218)</f>
        <v>47.416218000000001</v>
      </c>
      <c r="AV161" s="8">
        <f ca="1">IFERROR(__xludf.DUMMYFUNCTION("""COMPUTED_VALUE"""),-122.174246)</f>
        <v>-122.174246</v>
      </c>
      <c r="AW161" s="8" t="str">
        <f ca="1">IFERROR(__xludf.DUMMYFUNCTION("""COMPUTED_VALUE"""),"Multiple detached buildings")</f>
        <v>Multiple detached buildings</v>
      </c>
      <c r="AX161" s="8">
        <f ca="1">IFERROR(__xludf.DUMMYFUNCTION("""COMPUTED_VALUE"""),98031)</f>
        <v>98031</v>
      </c>
    </row>
    <row r="162" spans="1:50" ht="30" x14ac:dyDescent="0.2">
      <c r="A162" s="8" t="str">
        <f ca="1">IFERROR(__xludf.DUMMYFUNCTION("""COMPUTED_VALUE"""),"20250127INMOS")</f>
        <v>20250127INMOS</v>
      </c>
      <c r="B162" s="8">
        <f ca="1">IFERROR(__xludf.DUMMYFUNCTION("""COMPUTED_VALUE"""),1)</f>
        <v>1</v>
      </c>
      <c r="C162" s="8">
        <f ca="1">IFERROR(__xludf.DUMMYFUNCTION("""COMPUTED_VALUE"""),27)</f>
        <v>27</v>
      </c>
      <c r="D162" s="8">
        <f ca="1">IFERROR(__xludf.DUMMYFUNCTION("""COMPUTED_VALUE"""),2025)</f>
        <v>2025</v>
      </c>
      <c r="E162" s="9">
        <f ca="1">IFERROR(__xludf.DUMMYFUNCTION("""COMPUTED_VALUE"""),45684)</f>
        <v>45684</v>
      </c>
      <c r="F162" s="8" t="str">
        <f ca="1">IFERROR(__xludf.DUMMYFUNCTION("""COMPUTED_VALUE"""),"Monroe Elementary School")</f>
        <v>Monroe Elementary School</v>
      </c>
      <c r="G162" s="8">
        <f ca="1">IFERROR(__xludf.DUMMYFUNCTION("""COMPUTED_VALUE"""),0)</f>
        <v>0</v>
      </c>
      <c r="H162" s="8">
        <f ca="1">IFERROR(__xludf.DUMMYFUNCTION("""COMPUTED_VALUE"""),1)</f>
        <v>1</v>
      </c>
      <c r="I162" s="8">
        <f ca="1">IFERROR(__xludf.DUMMYFUNCTION("""COMPUTED_VALUE"""),1)</f>
        <v>1</v>
      </c>
      <c r="J162" s="8">
        <f ca="1">IFERROR(__xludf.DUMMYFUNCTION("""COMPUTED_VALUE"""),0)</f>
        <v>0</v>
      </c>
      <c r="K162" s="10" t="str">
        <f ca="1">IFERROR(__xludf.DUMMYFUNCTION("""COMPUTED_VALUE"""),"https://www.wndu.com/2025/01/27/shooting-investigation-near-monroe-primary-school-south-bend/")</f>
        <v>https://www.wndu.com/2025/01/27/shooting-investigation-near-monroe-primary-school-south-bend/</v>
      </c>
      <c r="L162" s="8">
        <f ca="1">IFERROR(__xludf.DUMMYFUNCTION("""COMPUTED_VALUE"""),1)</f>
        <v>1</v>
      </c>
      <c r="M162" s="8" t="str">
        <f ca="1">IFERROR(__xludf.DUMMYFUNCTION("""COMPUTED_VALUE"""),"Local")</f>
        <v>Local</v>
      </c>
      <c r="N162" s="8">
        <f ca="1">IFERROR(__xludf.DUMMYFUNCTION("""COMPUTED_VALUE"""),4)</f>
        <v>4</v>
      </c>
      <c r="O162" s="8" t="str">
        <f ca="1">IFERROR(__xludf.DUMMYFUNCTION("""COMPUTED_VALUE"""),"Winter")</f>
        <v>Winter</v>
      </c>
      <c r="P162" s="8" t="str">
        <f ca="1">IFERROR(__xludf.DUMMYFUNCTION("""COMPUTED_VALUE"""),"South Bend")</f>
        <v>South Bend</v>
      </c>
      <c r="Q162" s="8" t="str">
        <f ca="1">IFERROR(__xludf.DUMMYFUNCTION("""COMPUTED_VALUE"""),"IN")</f>
        <v>IN</v>
      </c>
      <c r="R162" s="8" t="str">
        <f ca="1">IFERROR(__xludf.DUMMYFUNCTION("""COMPUTED_VALUE"""),"Elementary")</f>
        <v>Elementary</v>
      </c>
      <c r="S162" s="8" t="str">
        <f ca="1">IFERROR(__xludf.DUMMYFUNCTION("""COMPUTED_VALUE"""),"Parking Lot")</f>
        <v>Parking Lot</v>
      </c>
      <c r="T162" s="8" t="str">
        <f ca="1">IFERROR(__xludf.DUMMYFUNCTION("""COMPUTED_VALUE"""),"Outside on School Property")</f>
        <v>Outside on School Property</v>
      </c>
      <c r="U162" s="8" t="str">
        <f ca="1">IFERROR(__xludf.DUMMYFUNCTION("""COMPUTED_VALUE"""),"No")</f>
        <v>No</v>
      </c>
      <c r="V162" s="8" t="str">
        <f ca="1">IFERROR(__xludf.DUMMYFUNCTION("""COMPUTED_VALUE"""),"After School")</f>
        <v>After School</v>
      </c>
      <c r="W162" s="11">
        <f ca="1">IFERROR(__xludf.DUMMYFUNCTION("""COMPUTED_VALUE"""),0.666666666666666)</f>
        <v>0.66666666666666596</v>
      </c>
      <c r="X162" s="8">
        <f ca="1">IFERROR(__xludf.DUMMYFUNCTION("""COMPUTED_VALUE"""),1)</f>
        <v>1</v>
      </c>
      <c r="Y162" s="12" t="str">
        <f ca="1">IFERROR(__xludf.DUMMYFUNCTION("""COMPUTED_VALUE"""),"Person shot in the school parking lot")</f>
        <v>Person shot in the school parking lot</v>
      </c>
      <c r="Z162" s="12" t="str">
        <f ca="1">IFERROR(__xludf.DUMMYFUNCTION("""COMPUTED_VALUE"""),"Person shot in the school parking lot after students dismissed.")</f>
        <v>Person shot in the school parking lot after students dismissed.</v>
      </c>
      <c r="AA162" s="8"/>
      <c r="AB162" s="8"/>
      <c r="AC162" s="8" t="str">
        <f ca="1">IFERROR(__xludf.DUMMYFUNCTION("""COMPUTED_VALUE"""),"Yes")</f>
        <v>Yes</v>
      </c>
      <c r="AD162" s="8"/>
      <c r="AE162" s="8"/>
      <c r="AF162" s="8"/>
      <c r="AG162" s="8" t="str">
        <f ca="1">IFERROR(__xludf.DUMMYFUNCTION("""COMPUTED_VALUE"""),"No")</f>
        <v>No</v>
      </c>
      <c r="AH162" s="8" t="str">
        <f ca="1">IFERROR(__xludf.DUMMYFUNCTION("""COMPUTED_VALUE"""),"No")</f>
        <v>No</v>
      </c>
      <c r="AI162" s="8" t="str">
        <f ca="1">IFERROR(__xludf.DUMMYFUNCTION("""COMPUTED_VALUE"""),"No")</f>
        <v>No</v>
      </c>
      <c r="AJ162" s="8"/>
      <c r="AK162" s="8"/>
      <c r="AL162" s="8"/>
      <c r="AM162" s="8" t="str">
        <f ca="1">IFERROR(__xludf.DUMMYFUNCTION("""COMPUTED_VALUE"""),"No")</f>
        <v>No</v>
      </c>
      <c r="AN162" s="8" t="str">
        <f ca="1">IFERROR(__xludf.DUMMYFUNCTION("""COMPUTED_VALUE"""),"Outside")</f>
        <v>Outside</v>
      </c>
      <c r="AO162" s="8"/>
      <c r="AP162" s="8"/>
      <c r="AQ162" s="8"/>
      <c r="AR162" s="8" t="str">
        <f ca="1">IFERROR(__xludf.DUMMYFUNCTION("""COMPUTED_VALUE"""),"Outside/Off-Property")</f>
        <v>Outside/Off-Property</v>
      </c>
      <c r="AS162" s="8">
        <f ca="1">IFERROR(__xludf.DUMMYFUNCTION("""COMPUTED_VALUE"""),99)</f>
        <v>99</v>
      </c>
      <c r="AT162" s="8" t="str">
        <f ca="1">IFERROR(__xludf.DUMMYFUNCTION("""COMPUTED_VALUE"""),"No")</f>
        <v>No</v>
      </c>
      <c r="AU162" s="8">
        <f ca="1">IFERROR(__xludf.DUMMYFUNCTION("""COMPUTED_VALUE"""),41.642113)</f>
        <v>41.642113000000002</v>
      </c>
      <c r="AV162" s="8">
        <f ca="1">IFERROR(__xludf.DUMMYFUNCTION("""COMPUTED_VALUE"""),-86.244561)</f>
        <v>-86.244561000000004</v>
      </c>
      <c r="AW162" s="8" t="str">
        <f ca="1">IFERROR(__xludf.DUMMYFUNCTION("""COMPUTED_VALUE"""),"Multiple attached buildings")</f>
        <v>Multiple attached buildings</v>
      </c>
      <c r="AX162" s="8">
        <f ca="1">IFERROR(__xludf.DUMMYFUNCTION("""COMPUTED_VALUE"""),46614)</f>
        <v>46614</v>
      </c>
    </row>
    <row r="163" spans="1:50" ht="165" x14ac:dyDescent="0.2">
      <c r="A163" s="8" t="str">
        <f ca="1">IFERROR(__xludf.DUMMYFUNCTION("""COMPUTED_VALUE"""),"20250122MDACB")</f>
        <v>20250122MDACB</v>
      </c>
      <c r="B163" s="8">
        <f ca="1">IFERROR(__xludf.DUMMYFUNCTION("""COMPUTED_VALUE"""),1)</f>
        <v>1</v>
      </c>
      <c r="C163" s="8">
        <f ca="1">IFERROR(__xludf.DUMMYFUNCTION("""COMPUTED_VALUE"""),22)</f>
        <v>22</v>
      </c>
      <c r="D163" s="8">
        <f ca="1">IFERROR(__xludf.DUMMYFUNCTION("""COMPUTED_VALUE"""),2025)</f>
        <v>2025</v>
      </c>
      <c r="E163" s="9">
        <f ca="1">IFERROR(__xludf.DUMMYFUNCTION("""COMPUTED_VALUE"""),45679)</f>
        <v>45679</v>
      </c>
      <c r="F163" s="8" t="str">
        <f ca="1">IFERROR(__xludf.DUMMYFUNCTION("""COMPUTED_VALUE"""),"Academy for College and Career Exploration")</f>
        <v>Academy for College and Career Exploration</v>
      </c>
      <c r="G163" s="8">
        <f ca="1">IFERROR(__xludf.DUMMYFUNCTION("""COMPUTED_VALUE"""),0)</f>
        <v>0</v>
      </c>
      <c r="H163" s="8">
        <f ca="1">IFERROR(__xludf.DUMMYFUNCTION("""COMPUTED_VALUE"""),0)</f>
        <v>0</v>
      </c>
      <c r="I163" s="8">
        <f ca="1">IFERROR(__xludf.DUMMYFUNCTION("""COMPUTED_VALUE"""),0)</f>
        <v>0</v>
      </c>
      <c r="J163" s="8">
        <f ca="1">IFERROR(__xludf.DUMMYFUNCTION("""COMPUTED_VALUE"""),0)</f>
        <v>0</v>
      </c>
      <c r="K163" s="8" t="str">
        <f ca="1">IFERROR(__xludf.DUMMYFUNCTION("""COMPUTED_VALUE"""),"https://www.newsbreak.com/wmar-2-news-baltimore-563671/3772983859681-shots-fired-near-baltimore-s-acce-high-school-police-investigating
https://www.wbaltv.com/article/shots-fired-near-baltimore-school-acce-academy/63514154
https://www.wmar2news.com/local/"&amp;"shots-fired-near-baltimores-acce-high-school-police-investigating")</f>
        <v>https://www.newsbreak.com/wmar-2-news-baltimore-563671/3772983859681-shots-fired-near-baltimore-s-acce-high-school-police-investigating
https://www.wbaltv.com/article/shots-fired-near-baltimore-school-acce-academy/63514154
https://www.wmar2news.com/local/shots-fired-near-baltimores-acce-high-school-police-investigating</v>
      </c>
      <c r="L163" s="8">
        <f ca="1">IFERROR(__xludf.DUMMYFUNCTION("""COMPUTED_VALUE"""),3)</f>
        <v>3</v>
      </c>
      <c r="M163" s="8" t="str">
        <f ca="1">IFERROR(__xludf.DUMMYFUNCTION("""COMPUTED_VALUE"""),"Local")</f>
        <v>Local</v>
      </c>
      <c r="N163" s="8">
        <f ca="1">IFERROR(__xludf.DUMMYFUNCTION("""COMPUTED_VALUE"""),4)</f>
        <v>4</v>
      </c>
      <c r="O163" s="8" t="str">
        <f ca="1">IFERROR(__xludf.DUMMYFUNCTION("""COMPUTED_VALUE"""),"Winter")</f>
        <v>Winter</v>
      </c>
      <c r="P163" s="8" t="str">
        <f ca="1">IFERROR(__xludf.DUMMYFUNCTION("""COMPUTED_VALUE"""),"Baltimore")</f>
        <v>Baltimore</v>
      </c>
      <c r="Q163" s="8" t="str">
        <f ca="1">IFERROR(__xludf.DUMMYFUNCTION("""COMPUTED_VALUE"""),"MD")</f>
        <v>MD</v>
      </c>
      <c r="R163" s="8" t="str">
        <f ca="1">IFERROR(__xludf.DUMMYFUNCTION("""COMPUTED_VALUE"""),"High")</f>
        <v>High</v>
      </c>
      <c r="S163" s="8" t="str">
        <f ca="1">IFERROR(__xludf.DUMMYFUNCTION("""COMPUTED_VALUE"""),"Front of School")</f>
        <v>Front of School</v>
      </c>
      <c r="T163" s="8" t="str">
        <f ca="1">IFERROR(__xludf.DUMMYFUNCTION("""COMPUTED_VALUE"""),"Outside on School Property")</f>
        <v>Outside on School Property</v>
      </c>
      <c r="U163" s="8" t="str">
        <f ca="1">IFERROR(__xludf.DUMMYFUNCTION("""COMPUTED_VALUE"""),"Yes")</f>
        <v>Yes</v>
      </c>
      <c r="V163" s="8" t="str">
        <f ca="1">IFERROR(__xludf.DUMMYFUNCTION("""COMPUTED_VALUE"""),"Dismissal")</f>
        <v>Dismissal</v>
      </c>
      <c r="W163" s="11">
        <f ca="1">IFERROR(__xludf.DUMMYFUNCTION("""COMPUTED_VALUE"""),0.625)</f>
        <v>0.625</v>
      </c>
      <c r="X163" s="8">
        <f ca="1">IFERROR(__xludf.DUMMYFUNCTION("""COMPUTED_VALUE"""),1)</f>
        <v>1</v>
      </c>
      <c r="Y163" s="12" t="str">
        <f ca="1">IFERROR(__xludf.DUMMYFUNCTION("""COMPUTED_VALUE"""),"Shots fired near school bus at dismissal")</f>
        <v>Shots fired near school bus at dismissal</v>
      </c>
      <c r="Z163" s="12" t="str">
        <f ca="1">IFERROR(__xludf.DUMMYFUNCTION("""COMPUTED_VALUE"""),"City Schools officials told 11 News that shots were fired around 3 p.m. across the street from the Academy for College and Career Exploration on West 36th Street. City police told 11 News that officers are investigating reports of shots fired near the loc"&amp;"ation. Students were on board a Maryland Transit Administration bus and a school bus, waiting to leave. No students aboard the buses were injured, but their departures were delayed so that everyone could be evaluated as a precaution. Police said no injuri"&amp;"es have been reported. Baltimore City and City Schools police continue to investigate.")</f>
        <v>City Schools officials told 11 News that shots were fired around 3 p.m. across the street from the Academy for College and Career Exploration on West 36th Street. City police told 11 News that officers are investigating reports of shots fired near the location. Students were on board a Maryland Transit Administration bus and a school bus, waiting to leave. No students aboard the buses were injured, but their departures were delayed so that everyone could be evaluated as a precaution. Police said no injuries have been reported. Baltimore City and City Schools police continue to investigate.</v>
      </c>
      <c r="AA163" s="8"/>
      <c r="AB163" s="8"/>
      <c r="AC163" s="8" t="str">
        <f ca="1">IFERROR(__xludf.DUMMYFUNCTION("""COMPUTED_VALUE"""),"Yes")</f>
        <v>Yes</v>
      </c>
      <c r="AD163" s="8"/>
      <c r="AE163" s="8"/>
      <c r="AF163" s="8"/>
      <c r="AG163" s="8" t="str">
        <f ca="1">IFERROR(__xludf.DUMMYFUNCTION("""COMPUTED_VALUE"""),"No")</f>
        <v>No</v>
      </c>
      <c r="AH163" s="8" t="str">
        <f ca="1">IFERROR(__xludf.DUMMYFUNCTION("""COMPUTED_VALUE"""),"No")</f>
        <v>No</v>
      </c>
      <c r="AI163" s="8" t="str">
        <f ca="1">IFERROR(__xludf.DUMMYFUNCTION("""COMPUTED_VALUE"""),"No")</f>
        <v>No</v>
      </c>
      <c r="AJ163" s="8" t="str">
        <f ca="1">IFERROR(__xludf.DUMMYFUNCTION("""COMPUTED_VALUE"""),"No")</f>
        <v>No</v>
      </c>
      <c r="AK163" s="8" t="str">
        <f ca="1">IFERROR(__xludf.DUMMYFUNCTION("""COMPUTED_VALUE"""),"No")</f>
        <v>No</v>
      </c>
      <c r="AL163" s="8"/>
      <c r="AM163" s="8" t="str">
        <f ca="1">IFERROR(__xludf.DUMMYFUNCTION("""COMPUTED_VALUE"""),"No")</f>
        <v>No</v>
      </c>
      <c r="AN163" s="8" t="str">
        <f ca="1">IFERROR(__xludf.DUMMYFUNCTION("""COMPUTED_VALUE"""),"Outside")</f>
        <v>Outside</v>
      </c>
      <c r="AO163" s="8" t="str">
        <f ca="1">IFERROR(__xludf.DUMMYFUNCTION("""COMPUTED_VALUE"""),"No")</f>
        <v>No</v>
      </c>
      <c r="AP163" s="8"/>
      <c r="AQ163" s="8"/>
      <c r="AR163" s="8" t="str">
        <f ca="1">IFERROR(__xludf.DUMMYFUNCTION("""COMPUTED_VALUE"""),"Outside/Off-Property")</f>
        <v>Outside/Off-Property</v>
      </c>
      <c r="AS163" s="8">
        <f ca="1">IFERROR(__xludf.DUMMYFUNCTION("""COMPUTED_VALUE"""),99)</f>
        <v>99</v>
      </c>
      <c r="AT163" s="8"/>
      <c r="AU163" s="8">
        <f ca="1">IFERROR(__xludf.DUMMYFUNCTION("""COMPUTED_VALUE"""),39.330663)</f>
        <v>39.330663000000001</v>
      </c>
      <c r="AV163" s="8">
        <f ca="1">IFERROR(__xludf.DUMMYFUNCTION("""COMPUTED_VALUE"""),-76.63756)</f>
        <v>-76.637559999999993</v>
      </c>
      <c r="AW163" s="8" t="str">
        <f ca="1">IFERROR(__xludf.DUMMYFUNCTION("""COMPUTED_VALUE"""),"Multiple attached buildings")</f>
        <v>Multiple attached buildings</v>
      </c>
      <c r="AX163" s="8">
        <f ca="1">IFERROR(__xludf.DUMMYFUNCTION("""COMPUTED_VALUE"""),21211)</f>
        <v>21211</v>
      </c>
    </row>
    <row r="164" spans="1:50" ht="75" x14ac:dyDescent="0.2">
      <c r="A164" s="8" t="str">
        <f ca="1">IFERROR(__xludf.DUMMYFUNCTION("""COMPUTED_VALUE"""),"20250122DCROW")</f>
        <v>20250122DCROW</v>
      </c>
      <c r="B164" s="8">
        <f ca="1">IFERROR(__xludf.DUMMYFUNCTION("""COMPUTED_VALUE"""),1)</f>
        <v>1</v>
      </c>
      <c r="C164" s="8">
        <f ca="1">IFERROR(__xludf.DUMMYFUNCTION("""COMPUTED_VALUE"""),22)</f>
        <v>22</v>
      </c>
      <c r="D164" s="8">
        <f ca="1">IFERROR(__xludf.DUMMYFUNCTION("""COMPUTED_VALUE"""),2025)</f>
        <v>2025</v>
      </c>
      <c r="E164" s="9">
        <f ca="1">IFERROR(__xludf.DUMMYFUNCTION("""COMPUTED_VALUE"""),45679)</f>
        <v>45679</v>
      </c>
      <c r="F164" s="8" t="str">
        <f ca="1">IFERROR(__xludf.DUMMYFUNCTION("""COMPUTED_VALUE"""),"Ron Brown High School")</f>
        <v>Ron Brown High School</v>
      </c>
      <c r="G164" s="8">
        <f ca="1">IFERROR(__xludf.DUMMYFUNCTION("""COMPUTED_VALUE"""),0)</f>
        <v>0</v>
      </c>
      <c r="H164" s="8">
        <f ca="1">IFERROR(__xludf.DUMMYFUNCTION("""COMPUTED_VALUE"""),1)</f>
        <v>1</v>
      </c>
      <c r="I164" s="8">
        <f ca="1">IFERROR(__xludf.DUMMYFUNCTION("""COMPUTED_VALUE"""),1)</f>
        <v>1</v>
      </c>
      <c r="J164" s="8">
        <f ca="1">IFERROR(__xludf.DUMMYFUNCTION("""COMPUTED_VALUE"""),0)</f>
        <v>0</v>
      </c>
      <c r="K164" s="10" t="str">
        <f ca="1">IFERROR(__xludf.DUMMYFUNCTION("""COMPUTED_VALUE"""),"https://www.wusa9.com/article/news/crime/northeast-dc-police-investigate-shooting-near-high-school/65-3e05674b-27eb-4bbb-a0c5-3483e92da522")</f>
        <v>https://www.wusa9.com/article/news/crime/northeast-dc-police-investigate-shooting-near-high-school/65-3e05674b-27eb-4bbb-a0c5-3483e92da522</v>
      </c>
      <c r="L164" s="8">
        <f ca="1">IFERROR(__xludf.DUMMYFUNCTION("""COMPUTED_VALUE"""),1)</f>
        <v>1</v>
      </c>
      <c r="M164" s="8" t="str">
        <f ca="1">IFERROR(__xludf.DUMMYFUNCTION("""COMPUTED_VALUE"""),"Local")</f>
        <v>Local</v>
      </c>
      <c r="N164" s="8">
        <f ca="1">IFERROR(__xludf.DUMMYFUNCTION("""COMPUTED_VALUE"""),2)</f>
        <v>2</v>
      </c>
      <c r="O164" s="8" t="str">
        <f ca="1">IFERROR(__xludf.DUMMYFUNCTION("""COMPUTED_VALUE"""),"Winter")</f>
        <v>Winter</v>
      </c>
      <c r="P164" s="8" t="str">
        <f ca="1">IFERROR(__xludf.DUMMYFUNCTION("""COMPUTED_VALUE"""),"Washington")</f>
        <v>Washington</v>
      </c>
      <c r="Q164" s="8" t="str">
        <f ca="1">IFERROR(__xludf.DUMMYFUNCTION("""COMPUTED_VALUE"""),"DC")</f>
        <v>DC</v>
      </c>
      <c r="R164" s="8" t="str">
        <f ca="1">IFERROR(__xludf.DUMMYFUNCTION("""COMPUTED_VALUE"""),"High")</f>
        <v>High</v>
      </c>
      <c r="S164" s="8" t="str">
        <f ca="1">IFERROR(__xludf.DUMMYFUNCTION("""COMPUTED_VALUE"""),"Parking Lot")</f>
        <v>Parking Lot</v>
      </c>
      <c r="T164" s="8" t="str">
        <f ca="1">IFERROR(__xludf.DUMMYFUNCTION("""COMPUTED_VALUE"""),"Outside on School Property")</f>
        <v>Outside on School Property</v>
      </c>
      <c r="U164" s="8" t="str">
        <f ca="1">IFERROR(__xludf.DUMMYFUNCTION("""COMPUTED_VALUE"""),"No")</f>
        <v>No</v>
      </c>
      <c r="V164" s="8" t="str">
        <f ca="1">IFERROR(__xludf.DUMMYFUNCTION("""COMPUTED_VALUE"""),"Night")</f>
        <v>Night</v>
      </c>
      <c r="W164" s="11">
        <f ca="1">IFERROR(__xludf.DUMMYFUNCTION("""COMPUTED_VALUE"""),0.194444444444444)</f>
        <v>0.194444444444444</v>
      </c>
      <c r="X164" s="8">
        <f ca="1">IFERROR(__xludf.DUMMYFUNCTION("""COMPUTED_VALUE"""),1)</f>
        <v>1</v>
      </c>
      <c r="Y164" s="12" t="str">
        <f ca="1">IFERROR(__xludf.DUMMYFUNCTION("""COMPUTED_VALUE"""),"Man shot in the school parking lot")</f>
        <v>Man shot in the school parking lot</v>
      </c>
      <c r="Z164" s="12" t="str">
        <f ca="1">IFERROR(__xludf.DUMMYFUNCTION("""COMPUTED_VALUE"""),"Officers were called around 4:40 a.m. Thursday to the 1200 block of 49th Street NE, which is the block where Ron Brown High School and the school’s parking lot are located. On the scene, they found a man who had been shot in the lower extremities. ")</f>
        <v xml:space="preserve">Officers were called around 4:40 a.m. Thursday to the 1200 block of 49th Street NE, which is the block where Ron Brown High School and the school’s parking lot are located. On the scene, they found a man who had been shot in the lower extremities. </v>
      </c>
      <c r="AA164" s="8"/>
      <c r="AB164" s="8"/>
      <c r="AC164" s="8"/>
      <c r="AD164" s="8"/>
      <c r="AE164" s="8"/>
      <c r="AF164" s="8"/>
      <c r="AG164" s="8" t="str">
        <f ca="1">IFERROR(__xludf.DUMMYFUNCTION("""COMPUTED_VALUE"""),"No")</f>
        <v>No</v>
      </c>
      <c r="AH164" s="8" t="str">
        <f ca="1">IFERROR(__xludf.DUMMYFUNCTION("""COMPUTED_VALUE"""),"No")</f>
        <v>No</v>
      </c>
      <c r="AI164" s="8" t="str">
        <f ca="1">IFERROR(__xludf.DUMMYFUNCTION("""COMPUTED_VALUE"""),"No")</f>
        <v>No</v>
      </c>
      <c r="AJ164" s="8" t="str">
        <f ca="1">IFERROR(__xludf.DUMMYFUNCTION("""COMPUTED_VALUE"""),"No")</f>
        <v>No</v>
      </c>
      <c r="AK164" s="8" t="str">
        <f ca="1">IFERROR(__xludf.DUMMYFUNCTION("""COMPUTED_VALUE"""),"No")</f>
        <v>No</v>
      </c>
      <c r="AL164" s="8"/>
      <c r="AM164" s="8" t="str">
        <f ca="1">IFERROR(__xludf.DUMMYFUNCTION("""COMPUTED_VALUE"""),"No")</f>
        <v>No</v>
      </c>
      <c r="AN164" s="8" t="str">
        <f ca="1">IFERROR(__xludf.DUMMYFUNCTION("""COMPUTED_VALUE"""),"Outside")</f>
        <v>Outside</v>
      </c>
      <c r="AO164" s="8" t="str">
        <f ca="1">IFERROR(__xludf.DUMMYFUNCTION("""COMPUTED_VALUE"""),"No")</f>
        <v>No</v>
      </c>
      <c r="AP164" s="8"/>
      <c r="AQ164" s="8"/>
      <c r="AR164" s="8" t="str">
        <f ca="1">IFERROR(__xludf.DUMMYFUNCTION("""COMPUTED_VALUE"""),"Outside/Off-Property")</f>
        <v>Outside/Off-Property</v>
      </c>
      <c r="AS164" s="8"/>
      <c r="AT164" s="8" t="str">
        <f ca="1">IFERROR(__xludf.DUMMYFUNCTION("""COMPUTED_VALUE"""),"No")</f>
        <v>No</v>
      </c>
      <c r="AU164" s="8">
        <f ca="1">IFERROR(__xludf.DUMMYFUNCTION("""COMPUTED_VALUE"""),38.906469)</f>
        <v>38.906469000000001</v>
      </c>
      <c r="AV164" s="8">
        <f ca="1">IFERROR(__xludf.DUMMYFUNCTION("""COMPUTED_VALUE"""),-76.931776)</f>
        <v>-76.931775999999999</v>
      </c>
      <c r="AW164" s="8" t="str">
        <f ca="1">IFERROR(__xludf.DUMMYFUNCTION("""COMPUTED_VALUE"""),"Urban Street Standalone")</f>
        <v>Urban Street Standalone</v>
      </c>
      <c r="AX164" s="8">
        <f ca="1">IFERROR(__xludf.DUMMYFUNCTION("""COMPUTED_VALUE"""),20019)</f>
        <v>20019</v>
      </c>
    </row>
    <row r="165" spans="1:50" ht="409.5" x14ac:dyDescent="0.2">
      <c r="A165" s="8" t="str">
        <f ca="1">IFERROR(__xludf.DUMMYFUNCTION("""COMPUTED_VALUE"""),"20250122TNANN")</f>
        <v>20250122TNANN</v>
      </c>
      <c r="B165" s="8">
        <f ca="1">IFERROR(__xludf.DUMMYFUNCTION("""COMPUTED_VALUE"""),1)</f>
        <v>1</v>
      </c>
      <c r="C165" s="8">
        <f ca="1">IFERROR(__xludf.DUMMYFUNCTION("""COMPUTED_VALUE"""),22)</f>
        <v>22</v>
      </c>
      <c r="D165" s="8">
        <f ca="1">IFERROR(__xludf.DUMMYFUNCTION("""COMPUTED_VALUE"""),2025)</f>
        <v>2025</v>
      </c>
      <c r="E165" s="9">
        <f ca="1">IFERROR(__xludf.DUMMYFUNCTION("""COMPUTED_VALUE"""),45679)</f>
        <v>45679</v>
      </c>
      <c r="F165" s="8" t="str">
        <f ca="1">IFERROR(__xludf.DUMMYFUNCTION("""COMPUTED_VALUE"""),"Antioch High School")</f>
        <v>Antioch High School</v>
      </c>
      <c r="G165" s="8">
        <f ca="1">IFERROR(__xludf.DUMMYFUNCTION("""COMPUTED_VALUE"""),1)</f>
        <v>1</v>
      </c>
      <c r="H165" s="8">
        <f ca="1">IFERROR(__xludf.DUMMYFUNCTION("""COMPUTED_VALUE"""),2)</f>
        <v>2</v>
      </c>
      <c r="I165" s="8">
        <f ca="1">IFERROR(__xludf.DUMMYFUNCTION("""COMPUTED_VALUE"""),3)</f>
        <v>3</v>
      </c>
      <c r="J165" s="8">
        <f ca="1">IFERROR(__xludf.DUMMYFUNCTION("""COMPUTED_VALUE"""),1)</f>
        <v>1</v>
      </c>
      <c r="K165" s="10" t="str">
        <f ca="1">IFERROR(__xludf.DUMMYFUNCTION("""COMPUTED_VALUE"""),"https://www.wsmv.com/2025/05/02/antioch-school-shooter-signed-paperwork-not-have-gun-morning-shooting-juvenile-criminal-records-show/
https://www.propublica.org/article/nashville-school-shooter-previous-threats
https://www.wsmv.com/2025/01/22/3-students-s"&amp;"hot-antioch-high-school/
https://www.newschannel5.com/news/newschannel-5-investigates/im-slipping-288-page-diary-describes-antioch-school-shooters-plan-to-kill-at-least-10-people
https://www.wsmv.com/2025/01/24/2-guns-removed-antioch-high-school-shooters-"&amp;"home-2023-wsmv4-investigates-uncovers/")</f>
        <v>https://www.wsmv.com/2025/05/02/antioch-school-shooter-signed-paperwork-not-have-gun-morning-shooting-juvenile-criminal-records-show/
https://www.propublica.org/article/nashville-school-shooter-previous-threats
https://www.wsmv.com/2025/01/22/3-students-shot-antioch-high-school/
https://www.newschannel5.com/news/newschannel-5-investigates/im-slipping-288-page-diary-describes-antioch-school-shooters-plan-to-kill-at-least-10-people
https://www.wsmv.com/2025/01/24/2-guns-removed-antioch-high-school-shooters-home-2023-wsmv4-investigates-uncovers/</v>
      </c>
      <c r="L165" s="8">
        <f ca="1">IFERROR(__xludf.DUMMYFUNCTION("""COMPUTED_VALUE"""),999)</f>
        <v>999</v>
      </c>
      <c r="M165" s="8" t="str">
        <f ca="1">IFERROR(__xludf.DUMMYFUNCTION("""COMPUTED_VALUE"""),"International")</f>
        <v>International</v>
      </c>
      <c r="N165" s="8">
        <f ca="1">IFERROR(__xludf.DUMMYFUNCTION("""COMPUTED_VALUE"""),4)</f>
        <v>4</v>
      </c>
      <c r="O165" s="8" t="str">
        <f ca="1">IFERROR(__xludf.DUMMYFUNCTION("""COMPUTED_VALUE"""),"Winter")</f>
        <v>Winter</v>
      </c>
      <c r="P165" s="8" t="str">
        <f ca="1">IFERROR(__xludf.DUMMYFUNCTION("""COMPUTED_VALUE"""),"Nashville")</f>
        <v>Nashville</v>
      </c>
      <c r="Q165" s="8" t="str">
        <f ca="1">IFERROR(__xludf.DUMMYFUNCTION("""COMPUTED_VALUE"""),"TN")</f>
        <v>TN</v>
      </c>
      <c r="R165" s="8" t="str">
        <f ca="1">IFERROR(__xludf.DUMMYFUNCTION("""COMPUTED_VALUE"""),"High")</f>
        <v>High</v>
      </c>
      <c r="S165" s="8" t="str">
        <f ca="1">IFERROR(__xludf.DUMMYFUNCTION("""COMPUTED_VALUE"""),"Cafeteria")</f>
        <v>Cafeteria</v>
      </c>
      <c r="T165" s="8" t="str">
        <f ca="1">IFERROR(__xludf.DUMMYFUNCTION("""COMPUTED_VALUE"""),"Inside School Building")</f>
        <v>Inside School Building</v>
      </c>
      <c r="U165" s="8" t="str">
        <f ca="1">IFERROR(__xludf.DUMMYFUNCTION("""COMPUTED_VALUE"""),"Yes")</f>
        <v>Yes</v>
      </c>
      <c r="V165" s="8" t="str">
        <f ca="1">IFERROR(__xludf.DUMMYFUNCTION("""COMPUTED_VALUE"""),"Morning Classes")</f>
        <v>Morning Classes</v>
      </c>
      <c r="W165" s="11">
        <f ca="1">IFERROR(__xludf.DUMMYFUNCTION("""COMPUTED_VALUE"""),0.464583333333333)</f>
        <v>0.46458333333333302</v>
      </c>
      <c r="X165" s="8">
        <f ca="1">IFERROR(__xludf.DUMMYFUNCTION("""COMPUTED_VALUE"""),1)</f>
        <v>1</v>
      </c>
      <c r="Y165" s="12" t="str">
        <f ca="1">IFERROR(__xludf.DUMMYFUNCTION("""COMPUTED_VALUE"""),"Student shot two classmates and then shot himself inside the cafeteria")</f>
        <v>Student shot two classmates and then shot himself inside the cafeteria</v>
      </c>
      <c r="Z165" s="12" t="str">
        <f ca="1">IFERROR(__xludf.DUMMYFUNCTION("""COMPUTED_VALUE"""),"A 17-year-old male student fatally shot a female student and then fatally shot himself with a handgun at 11:09 AM inside the cafeteria. Cellphone video recorded the sounds of at least 3 gunshots. The teen fired multiple shots at the female student who die"&amp;"d and then fired one shot killing himself. A male student was grazed, and a second male student suffered a non-gunshot injury that required hospitalization. While it appears that he deliberately targeted one female student who was killed, what is believed"&amp;" to be his social media account posted violent, racist, and antisemitic content. The writings include detailed plans for the shooting and reasons behind committing the attack, along with mentions of other school shootings. The shooting was livestreamed on"&amp;" KICK, a platform known for the lack of content moderation and hate speech. The 17-year-old student who opened fire in the cafeteria at least 10 shots from a nine-millimeter pistol within 17 seconds. A pistol magazine loaded with seven rounds was reported"&amp;"ly recovered from the cafeteria floor. The sources confirm that Henderson got into trouble after bringing a box cutter to school. Those sources confirm he was also suspended after getting into a fight when he said he was insulted by a student, and that in"&amp;" middle school, he was disciplined after threatening a teacher’s life. MNPD also confirmed that two documents – one 51 pages in length, another 288 pages – are believed to have been written by Henderson. Police said those documents show that Henderson was"&amp;" “significantly influenced by web-based material, especially that were found on non-traditional sites that most would find harmful and objectionable.” WSMV4 Investigates has reviewed the documents, in which Henderson writes of his praise for other school "&amp;"shooters, detailed instructions on how to make a bomb, and his plans for launching a school shooting while live streaming it.")</f>
        <v>A 17-year-old male student fatally shot a female student and then fatally shot himself with a handgun at 11:09 AM inside the cafeteria. Cellphone video recorded the sounds of at least 3 gunshots. The teen fired multiple shots at the female student who died and then fired one shot killing himself. A male student was grazed, and a second male student suffered a non-gunshot injury that required hospitalization. While it appears that he deliberately targeted one female student who was killed, what is believed to be his social media account posted violent, racist, and antisemitic content. The writings include detailed plans for the shooting and reasons behind committing the attack, along with mentions of other school shootings. The shooting was livestreamed on KICK, a platform known for the lack of content moderation and hate speech. The 17-year-old student who opened fire in the cafeteria at least 10 shots from a nine-millimeter pistol within 17 seconds. A pistol magazine loaded with seven rounds was reportedly recovered from the cafeteria floor. The sources confirm that Henderson got into trouble after bringing a box cutter to school. Those sources confirm he was also suspended after getting into a fight when he said he was insulted by a student, and that in middle school, he was disciplined after threatening a teacher’s life. MNPD also confirmed that two documents – one 51 pages in length, another 288 pages – are believed to have been written by Henderson. Police said those documents show that Henderson was “significantly influenced by web-based material, especially that were found on non-traditional sites that most would find harmful and objectionable.” WSMV4 Investigates has reviewed the documents, in which Henderson writes of his praise for other school shooters, detailed instructions on how to make a bomb, and his plans for launching a school shooting while live streaming it.</v>
      </c>
      <c r="AA165" s="8" t="str">
        <f ca="1">IFERROR(__xludf.DUMMYFUNCTION("""COMPUTED_VALUE"""),"Indiscriminate Shooting")</f>
        <v>Indiscriminate Shooting</v>
      </c>
      <c r="AB165" s="8" t="str">
        <f ca="1">IFERROR(__xludf.DUMMYFUNCTION("""COMPUTED_VALUE"""),"Active Shooter/Planned Attack")</f>
        <v>Active Shooter/Planned Attack</v>
      </c>
      <c r="AC165" s="8" t="str">
        <f ca="1">IFERROR(__xludf.DUMMYFUNCTION("""COMPUTED_VALUE"""),"Yes")</f>
        <v>Yes</v>
      </c>
      <c r="AD165" s="8" t="str">
        <f ca="1">IFERROR(__xludf.DUMMYFUNCTION("""COMPUTED_VALUE"""),"Both")</f>
        <v>Both</v>
      </c>
      <c r="AE165" s="8" t="str">
        <f ca="1">IFERROR(__xludf.DUMMYFUNCTION("""COMPUTED_VALUE"""),"No")</f>
        <v>No</v>
      </c>
      <c r="AF165" s="8"/>
      <c r="AG165" s="8" t="str">
        <f ca="1">IFERROR(__xludf.DUMMYFUNCTION("""COMPUTED_VALUE"""),"No")</f>
        <v>No</v>
      </c>
      <c r="AH165" s="8" t="str">
        <f ca="1">IFERROR(__xludf.DUMMYFUNCTION("""COMPUTED_VALUE"""),"No")</f>
        <v>No</v>
      </c>
      <c r="AI165" s="8" t="str">
        <f ca="1">IFERROR(__xludf.DUMMYFUNCTION("""COMPUTED_VALUE"""),"No")</f>
        <v>No</v>
      </c>
      <c r="AJ165" s="8"/>
      <c r="AK165" s="8" t="str">
        <f ca="1">IFERROR(__xludf.DUMMYFUNCTION("""COMPUTED_VALUE"""),"No")</f>
        <v>No</v>
      </c>
      <c r="AL165" s="8" t="str">
        <f ca="1">IFERROR(__xludf.DUMMYFUNCTION("""COMPUTED_VALUE"""),"No")</f>
        <v>No</v>
      </c>
      <c r="AM165" s="8" t="str">
        <f ca="1">IFERROR(__xludf.DUMMYFUNCTION("""COMPUTED_VALUE"""),"Yes")</f>
        <v>Yes</v>
      </c>
      <c r="AN165" s="8" t="str">
        <f ca="1">IFERROR(__xludf.DUMMYFUNCTION("""COMPUTED_VALUE"""),"Single Room")</f>
        <v>Single Room</v>
      </c>
      <c r="AO165" s="8" t="str">
        <f ca="1">IFERROR(__xludf.DUMMYFUNCTION("""COMPUTED_VALUE"""),"Yes")</f>
        <v>Yes</v>
      </c>
      <c r="AP165" s="8" t="str">
        <f ca="1">IFERROR(__xludf.DUMMYFUNCTION("""COMPUTED_VALUE"""),"Yes")</f>
        <v>Yes</v>
      </c>
      <c r="AQ165" s="8" t="str">
        <f ca="1">IFERROR(__xludf.DUMMYFUNCTION("""COMPUTED_VALUE"""),"Armed Guards")</f>
        <v>Armed Guards</v>
      </c>
      <c r="AR165" s="8" t="str">
        <f ca="1">IFERROR(__xludf.DUMMYFUNCTION("""COMPUTED_VALUE"""),"Failed")</f>
        <v>Failed</v>
      </c>
      <c r="AS165" s="8">
        <f ca="1">IFERROR(__xludf.DUMMYFUNCTION("""COMPUTED_VALUE"""),10)</f>
        <v>10</v>
      </c>
      <c r="AT165" s="8" t="str">
        <f ca="1">IFERROR(__xludf.DUMMYFUNCTION("""COMPUTED_VALUE"""),"Yes")</f>
        <v>Yes</v>
      </c>
      <c r="AU165" s="8">
        <f ca="1">IFERROR(__xludf.DUMMYFUNCTION("""COMPUTED_VALUE"""),36.046834)</f>
        <v>36.046833999999997</v>
      </c>
      <c r="AV165" s="8">
        <f ca="1">IFERROR(__xludf.DUMMYFUNCTION("""COMPUTED_VALUE"""),-86.599466)</f>
        <v>-86.599466000000007</v>
      </c>
      <c r="AW165" s="8" t="str">
        <f ca="1">IFERROR(__xludf.DUMMYFUNCTION("""COMPUTED_VALUE"""),"Multiple detached buildings")</f>
        <v>Multiple detached buildings</v>
      </c>
      <c r="AX165" s="8">
        <f ca="1">IFERROR(__xludf.DUMMYFUNCTION("""COMPUTED_VALUE"""),37013)</f>
        <v>37013</v>
      </c>
    </row>
    <row r="166" spans="1:50" ht="225" x14ac:dyDescent="0.2">
      <c r="A166" s="8" t="str">
        <f ca="1">IFERROR(__xludf.DUMMYFUNCTION("""COMPUTED_VALUE"""),"20250116TNNOJ")</f>
        <v>20250116TNNOJ</v>
      </c>
      <c r="B166" s="8">
        <f ca="1">IFERROR(__xludf.DUMMYFUNCTION("""COMPUTED_VALUE"""),1)</f>
        <v>1</v>
      </c>
      <c r="C166" s="8">
        <f ca="1">IFERROR(__xludf.DUMMYFUNCTION("""COMPUTED_VALUE"""),16)</f>
        <v>16</v>
      </c>
      <c r="D166" s="8">
        <f ca="1">IFERROR(__xludf.DUMMYFUNCTION("""COMPUTED_VALUE"""),2025)</f>
        <v>2025</v>
      </c>
      <c r="E166" s="9">
        <f ca="1">IFERROR(__xludf.DUMMYFUNCTION("""COMPUTED_VALUE"""),45673)</f>
        <v>45673</v>
      </c>
      <c r="F166" s="8" t="str">
        <f ca="1">IFERROR(__xludf.DUMMYFUNCTION("""COMPUTED_VALUE"""),"Northeast Middle School")</f>
        <v>Northeast Middle School</v>
      </c>
      <c r="G166" s="8">
        <f ca="1">IFERROR(__xludf.DUMMYFUNCTION("""COMPUTED_VALUE"""),0)</f>
        <v>0</v>
      </c>
      <c r="H166" s="8">
        <f ca="1">IFERROR(__xludf.DUMMYFUNCTION("""COMPUTED_VALUE"""),1)</f>
        <v>1</v>
      </c>
      <c r="I166" s="8">
        <f ca="1">IFERROR(__xludf.DUMMYFUNCTION("""COMPUTED_VALUE"""),1)</f>
        <v>1</v>
      </c>
      <c r="J166" s="8">
        <f ca="1">IFERROR(__xludf.DUMMYFUNCTION("""COMPUTED_VALUE"""),0)</f>
        <v>0</v>
      </c>
      <c r="K166" s="10" t="str">
        <f ca="1">IFERROR(__xludf.DUMMYFUNCTION("""COMPUTED_VALUE"""),"https://www.wbbjtv.com/2025/01/16/jmcss-issues-statement-following-shooting-near-northeast-middle/")</f>
        <v>https://www.wbbjtv.com/2025/01/16/jmcss-issues-statement-following-shooting-near-northeast-middle/</v>
      </c>
      <c r="L166" s="8">
        <f ca="1">IFERROR(__xludf.DUMMYFUNCTION("""COMPUTED_VALUE"""),1)</f>
        <v>1</v>
      </c>
      <c r="M166" s="8" t="str">
        <f ca="1">IFERROR(__xludf.DUMMYFUNCTION("""COMPUTED_VALUE"""),"Local")</f>
        <v>Local</v>
      </c>
      <c r="N166" s="8">
        <f ca="1">IFERROR(__xludf.DUMMYFUNCTION("""COMPUTED_VALUE"""),3)</f>
        <v>3</v>
      </c>
      <c r="O166" s="8" t="str">
        <f ca="1">IFERROR(__xludf.DUMMYFUNCTION("""COMPUTED_VALUE"""),"Winter")</f>
        <v>Winter</v>
      </c>
      <c r="P166" s="8" t="str">
        <f ca="1">IFERROR(__xludf.DUMMYFUNCTION("""COMPUTED_VALUE"""),"Jackson")</f>
        <v>Jackson</v>
      </c>
      <c r="Q166" s="8" t="str">
        <f ca="1">IFERROR(__xludf.DUMMYFUNCTION("""COMPUTED_VALUE"""),"TN")</f>
        <v>TN</v>
      </c>
      <c r="R166" s="8" t="str">
        <f ca="1">IFERROR(__xludf.DUMMYFUNCTION("""COMPUTED_VALUE"""),"Middle")</f>
        <v>Middle</v>
      </c>
      <c r="S166" s="8" t="str">
        <f ca="1">IFERROR(__xludf.DUMMYFUNCTION("""COMPUTED_VALUE"""),"Parking Lot")</f>
        <v>Parking Lot</v>
      </c>
      <c r="T166" s="8" t="str">
        <f ca="1">IFERROR(__xludf.DUMMYFUNCTION("""COMPUTED_VALUE"""),"Outside on School Property")</f>
        <v>Outside on School Property</v>
      </c>
      <c r="U166" s="8" t="str">
        <f ca="1">IFERROR(__xludf.DUMMYFUNCTION("""COMPUTED_VALUE"""),"Yes")</f>
        <v>Yes</v>
      </c>
      <c r="V166" s="8" t="str">
        <f ca="1">IFERROR(__xludf.DUMMYFUNCTION("""COMPUTED_VALUE"""),"Dismissal")</f>
        <v>Dismissal</v>
      </c>
      <c r="W166" s="11">
        <f ca="1">IFERROR(__xludf.DUMMYFUNCTION("""COMPUTED_VALUE"""),0.649305555555555)</f>
        <v>0.64930555555555503</v>
      </c>
      <c r="X166" s="8">
        <f ca="1">IFERROR(__xludf.DUMMYFUNCTION("""COMPUTED_VALUE"""),1)</f>
        <v>1</v>
      </c>
      <c r="Y166" s="12" t="str">
        <f ca="1">IFERROR(__xludf.DUMMYFUNCTION("""COMPUTED_VALUE"""),"Family member of student shot in vehicle near the school, police responded to school parking lot")</f>
        <v>Family member of student shot in vehicle near the school, police responded to school parking lot</v>
      </c>
      <c r="Z166" s="12" t="str">
        <f ca="1">IFERROR(__xludf.DUMMYFUNCTION("""COMPUTED_VALUE"""),"See the full statement released by JMCSS officials: Dear JMCSS Families, We want to inform you about an off-campus incident that has led to the cancellation of all after-school activities scheduled for today at Northeast Middle School. Local law enforceme"&amp;"nt is currently investigating a shooting that occurred near I-40 and Christmasville Road. A vehicle involved in the incident, which included a family from our district, pulled into the Northeast Middle School parking lot. Emergency responders provided car"&amp;"e to an individual from the vehicle at the scene, and the Madison County Sheriff’s Office is gathering additional information at this time. While there is no ongoing threat to students or staff, out of an abundance of caution, we have canceled all after-s"&amp;"chool events at the school for the safety and well-being of everyone involved.")</f>
        <v>See the full statement released by JMCSS officials: Dear JMCSS Families, We want to inform you about an off-campus incident that has led to the cancellation of all after-school activities scheduled for today at Northeast Middle School. Local law enforcement is currently investigating a shooting that occurred near I-40 and Christmasville Road. A vehicle involved in the incident, which included a family from our district, pulled into the Northeast Middle School parking lot. Emergency responders provided care to an individual from the vehicle at the scene, and the Madison County Sheriff’s Office is gathering additional information at this time. While there is no ongoing threat to students or staff, out of an abundance of caution, we have canceled all after-school events at the school for the safety and well-being of everyone involved.</v>
      </c>
      <c r="AA166" s="8"/>
      <c r="AB166" s="8"/>
      <c r="AC166" s="8" t="str">
        <f ca="1">IFERROR(__xludf.DUMMYFUNCTION("""COMPUTED_VALUE"""),"Yes")</f>
        <v>Yes</v>
      </c>
      <c r="AD166" s="8"/>
      <c r="AE166" s="8"/>
      <c r="AF166" s="8"/>
      <c r="AG166" s="8" t="str">
        <f ca="1">IFERROR(__xludf.DUMMYFUNCTION("""COMPUTED_VALUE"""),"No")</f>
        <v>No</v>
      </c>
      <c r="AH166" s="8" t="str">
        <f ca="1">IFERROR(__xludf.DUMMYFUNCTION("""COMPUTED_VALUE"""),"No")</f>
        <v>No</v>
      </c>
      <c r="AI166" s="8" t="str">
        <f ca="1">IFERROR(__xludf.DUMMYFUNCTION("""COMPUTED_VALUE"""),"No")</f>
        <v>No</v>
      </c>
      <c r="AJ166" s="8" t="str">
        <f ca="1">IFERROR(__xludf.DUMMYFUNCTION("""COMPUTED_VALUE"""),"No")</f>
        <v>No</v>
      </c>
      <c r="AK166" s="8"/>
      <c r="AL166" s="8" t="str">
        <f ca="1">IFERROR(__xludf.DUMMYFUNCTION("""COMPUTED_VALUE"""),"No")</f>
        <v>No</v>
      </c>
      <c r="AM166" s="8" t="str">
        <f ca="1">IFERROR(__xludf.DUMMYFUNCTION("""COMPUTED_VALUE"""),"No")</f>
        <v>No</v>
      </c>
      <c r="AN166" s="8" t="str">
        <f ca="1">IFERROR(__xludf.DUMMYFUNCTION("""COMPUTED_VALUE"""),"Outside")</f>
        <v>Outside</v>
      </c>
      <c r="AO166" s="8" t="str">
        <f ca="1">IFERROR(__xludf.DUMMYFUNCTION("""COMPUTED_VALUE"""),"No")</f>
        <v>No</v>
      </c>
      <c r="AP166" s="8"/>
      <c r="AQ166" s="8"/>
      <c r="AR166" s="8" t="str">
        <f ca="1">IFERROR(__xludf.DUMMYFUNCTION("""COMPUTED_VALUE"""),"Outside/Off-Property")</f>
        <v>Outside/Off-Property</v>
      </c>
      <c r="AS166" s="8"/>
      <c r="AT166" s="8" t="str">
        <f ca="1">IFERROR(__xludf.DUMMYFUNCTION("""COMPUTED_VALUE"""),"Yes")</f>
        <v>Yes</v>
      </c>
      <c r="AU166" s="8">
        <f ca="1">IFERROR(__xludf.DUMMYFUNCTION("""COMPUTED_VALUE"""),35.693713)</f>
        <v>35.693713000000002</v>
      </c>
      <c r="AV166" s="8">
        <f ca="1">IFERROR(__xludf.DUMMYFUNCTION("""COMPUTED_VALUE"""),-88.777635)</f>
        <v>-88.777635000000004</v>
      </c>
      <c r="AW166" s="8" t="str">
        <f ca="1">IFERROR(__xludf.DUMMYFUNCTION("""COMPUTED_VALUE"""),"Single building indoor hallway")</f>
        <v>Single building indoor hallway</v>
      </c>
      <c r="AX166" s="8">
        <f ca="1">IFERROR(__xludf.DUMMYFUNCTION("""COMPUTED_VALUE"""),38305)</f>
        <v>38305</v>
      </c>
    </row>
    <row r="167" spans="1:50" ht="180" x14ac:dyDescent="0.2">
      <c r="A167" s="8" t="str">
        <f ca="1">IFERROR(__xludf.DUMMYFUNCTION("""COMPUTED_VALUE"""),"20250116VAJOH")</f>
        <v>20250116VAJOH</v>
      </c>
      <c r="B167" s="8">
        <f ca="1">IFERROR(__xludf.DUMMYFUNCTION("""COMPUTED_VALUE"""),1)</f>
        <v>1</v>
      </c>
      <c r="C167" s="8">
        <f ca="1">IFERROR(__xludf.DUMMYFUNCTION("""COMPUTED_VALUE"""),16)</f>
        <v>16</v>
      </c>
      <c r="D167" s="8">
        <f ca="1">IFERROR(__xludf.DUMMYFUNCTION("""COMPUTED_VALUE"""),2025)</f>
        <v>2025</v>
      </c>
      <c r="E167" s="9">
        <f ca="1">IFERROR(__xludf.DUMMYFUNCTION("""COMPUTED_VALUE"""),45673)</f>
        <v>45673</v>
      </c>
      <c r="F167" s="8" t="str">
        <f ca="1">IFERROR(__xludf.DUMMYFUNCTION("""COMPUTED_VALUE"""),"John Smith Elementary School")</f>
        <v>John Smith Elementary School</v>
      </c>
      <c r="G167" s="8">
        <f ca="1">IFERROR(__xludf.DUMMYFUNCTION("""COMPUTED_VALUE"""),0)</f>
        <v>0</v>
      </c>
      <c r="H167" s="8">
        <f ca="1">IFERROR(__xludf.DUMMYFUNCTION("""COMPUTED_VALUE"""),1)</f>
        <v>1</v>
      </c>
      <c r="I167" s="8">
        <f ca="1">IFERROR(__xludf.DUMMYFUNCTION("""COMPUTED_VALUE"""),1)</f>
        <v>1</v>
      </c>
      <c r="J167" s="8">
        <f ca="1">IFERROR(__xludf.DUMMYFUNCTION("""COMPUTED_VALUE"""),0)</f>
        <v>0</v>
      </c>
      <c r="K167" s="10" t="str">
        <f ca="1">IFERROR(__xludf.DUMMYFUNCTION("""COMPUTED_VALUE"""),"https://www.13newsnow.com/article/news/crime/accidental-self-shooting-hampton-elementary-school/291-9a81625d-c573-48ae-837d-ef27cf82dbb4
https://www.13newsnow.com/article/news/crime/accidental-self-shooting-hampton-elementary-school/291-9a81625d-c573-48ae"&amp;"-837d-ef27cf82dbb4")</f>
        <v>https://www.13newsnow.com/article/news/crime/accidental-self-shooting-hampton-elementary-school/291-9a81625d-c573-48ae-837d-ef27cf82dbb4
https://www.13newsnow.com/article/news/crime/accidental-self-shooting-hampton-elementary-school/291-9a81625d-c573-48ae-837d-ef27cf82dbb4</v>
      </c>
      <c r="L167" s="8">
        <f ca="1">IFERROR(__xludf.DUMMYFUNCTION("""COMPUTED_VALUE"""),10)</f>
        <v>10</v>
      </c>
      <c r="M167" s="8" t="str">
        <f ca="1">IFERROR(__xludf.DUMMYFUNCTION("""COMPUTED_VALUE"""),"Regional")</f>
        <v>Regional</v>
      </c>
      <c r="N167" s="8">
        <f ca="1">IFERROR(__xludf.DUMMYFUNCTION("""COMPUTED_VALUE"""),4)</f>
        <v>4</v>
      </c>
      <c r="O167" s="8" t="str">
        <f ca="1">IFERROR(__xludf.DUMMYFUNCTION("""COMPUTED_VALUE"""),"Winter")</f>
        <v>Winter</v>
      </c>
      <c r="P167" s="8" t="str">
        <f ca="1">IFERROR(__xludf.DUMMYFUNCTION("""COMPUTED_VALUE"""),"Hampton")</f>
        <v>Hampton</v>
      </c>
      <c r="Q167" s="8" t="str">
        <f ca="1">IFERROR(__xludf.DUMMYFUNCTION("""COMPUTED_VALUE"""),"VA")</f>
        <v>VA</v>
      </c>
      <c r="R167" s="8" t="str">
        <f ca="1">IFERROR(__xludf.DUMMYFUNCTION("""COMPUTED_VALUE"""),"Elementary")</f>
        <v>Elementary</v>
      </c>
      <c r="S167" s="8" t="str">
        <f ca="1">IFERROR(__xludf.DUMMYFUNCTION("""COMPUTED_VALUE"""),"Parking Lot")</f>
        <v>Parking Lot</v>
      </c>
      <c r="T167" s="8" t="str">
        <f ca="1">IFERROR(__xludf.DUMMYFUNCTION("""COMPUTED_VALUE"""),"Outside on School Property")</f>
        <v>Outside on School Property</v>
      </c>
      <c r="U167" s="8" t="str">
        <f ca="1">IFERROR(__xludf.DUMMYFUNCTION("""COMPUTED_VALUE"""),"Yes")</f>
        <v>Yes</v>
      </c>
      <c r="V167" s="8" t="str">
        <f ca="1">IFERROR(__xludf.DUMMYFUNCTION("""COMPUTED_VALUE"""),"Dismissal")</f>
        <v>Dismissal</v>
      </c>
      <c r="W167" s="11">
        <f ca="1">IFERROR(__xludf.DUMMYFUNCTION("""COMPUTED_VALUE"""),0.590277777777777)</f>
        <v>0.59027777777777701</v>
      </c>
      <c r="X167" s="8">
        <f ca="1">IFERROR(__xludf.DUMMYFUNCTION("""COMPUTED_VALUE"""),1)</f>
        <v>1</v>
      </c>
      <c r="Y167" s="12" t="str">
        <f ca="1">IFERROR(__xludf.DUMMYFUNCTION("""COMPUTED_VALUE"""),"Parent accidentally shot self in the school parking lot before dismissal")</f>
        <v>Parent accidentally shot self in the school parking lot before dismissal</v>
      </c>
      <c r="Z167" s="12" t="str">
        <f ca="1">IFERROR(__xludf.DUMMYFUNCTION("""COMPUTED_VALUE"""),"According to officials, officers responded to the 300 block of Woodland Road around 2:10 p.m. in reference to a self-inflicted shooting in the rear parking lot of John Smith Elementary School. Upon arrival, officers found a man in a vehicle outside of the"&amp;" school with a gunshot wound that was not life-threatening. Members of the Hampton Division of Fire and Rescue responded and took the man to a local hospital. Hampton Police said the man was charged with possession of a firearm on school property, dischar"&amp;"ge of a firearm within 1000 feet of a school and reckless handling of a firearm. There was no threat to the school and no students and staff were in danger.")</f>
        <v>According to officials, officers responded to the 300 block of Woodland Road around 2:10 p.m. in reference to a self-inflicted shooting in the rear parking lot of John Smith Elementary School. Upon arrival, officers found a man in a vehicle outside of the school with a gunshot wound that was not life-threatening. Members of the Hampton Division of Fire and Rescue responded and took the man to a local hospital. Hampton Police said the man was charged with possession of a firearm on school property, discharge of a firearm within 1000 feet of a school and reckless handling of a firearm. There was no threat to the school and no students and staff were in danger.</v>
      </c>
      <c r="AA167" s="8" t="str">
        <f ca="1">IFERROR(__xludf.DUMMYFUNCTION("""COMPUTED_VALUE"""),"Accidental")</f>
        <v>Accidental</v>
      </c>
      <c r="AB167" s="8" t="str">
        <f ca="1">IFERROR(__xludf.DUMMYFUNCTION("""COMPUTED_VALUE"""),"Spontaneous")</f>
        <v>Spontaneous</v>
      </c>
      <c r="AC167" s="8" t="str">
        <f ca="1">IFERROR(__xludf.DUMMYFUNCTION("""COMPUTED_VALUE"""),"Yes")</f>
        <v>Yes</v>
      </c>
      <c r="AD167" s="8" t="str">
        <f ca="1">IFERROR(__xludf.DUMMYFUNCTION("""COMPUTED_VALUE"""),"Neither")</f>
        <v>Neither</v>
      </c>
      <c r="AE167" s="8" t="str">
        <f ca="1">IFERROR(__xludf.DUMMYFUNCTION("""COMPUTED_VALUE"""),"No")</f>
        <v>No</v>
      </c>
      <c r="AF167" s="8"/>
      <c r="AG167" s="8" t="str">
        <f ca="1">IFERROR(__xludf.DUMMYFUNCTION("""COMPUTED_VALUE"""),"No")</f>
        <v>No</v>
      </c>
      <c r="AH167" s="8" t="str">
        <f ca="1">IFERROR(__xludf.DUMMYFUNCTION("""COMPUTED_VALUE"""),"No")</f>
        <v>No</v>
      </c>
      <c r="AI167" s="8" t="str">
        <f ca="1">IFERROR(__xludf.DUMMYFUNCTION("""COMPUTED_VALUE"""),"No")</f>
        <v>No</v>
      </c>
      <c r="AJ167" s="8" t="str">
        <f ca="1">IFERROR(__xludf.DUMMYFUNCTION("""COMPUTED_VALUE"""),"No")</f>
        <v>No</v>
      </c>
      <c r="AK167" s="8" t="str">
        <f ca="1">IFERROR(__xludf.DUMMYFUNCTION("""COMPUTED_VALUE"""),"No")</f>
        <v>No</v>
      </c>
      <c r="AL167" s="8" t="str">
        <f ca="1">IFERROR(__xludf.DUMMYFUNCTION("""COMPUTED_VALUE"""),"No")</f>
        <v>No</v>
      </c>
      <c r="AM167" s="8" t="str">
        <f ca="1">IFERROR(__xludf.DUMMYFUNCTION("""COMPUTED_VALUE"""),"No")</f>
        <v>No</v>
      </c>
      <c r="AN167" s="8" t="str">
        <f ca="1">IFERROR(__xludf.DUMMYFUNCTION("""COMPUTED_VALUE"""),"Outside")</f>
        <v>Outside</v>
      </c>
      <c r="AO167" s="8" t="str">
        <f ca="1">IFERROR(__xludf.DUMMYFUNCTION("""COMPUTED_VALUE"""),"No")</f>
        <v>No</v>
      </c>
      <c r="AP167" s="8"/>
      <c r="AQ167" s="8"/>
      <c r="AR167" s="8" t="str">
        <f ca="1">IFERROR(__xludf.DUMMYFUNCTION("""COMPUTED_VALUE"""),"Outside/Off-Property")</f>
        <v>Outside/Off-Property</v>
      </c>
      <c r="AS167" s="8">
        <f ca="1">IFERROR(__xludf.DUMMYFUNCTION("""COMPUTED_VALUE"""),1)</f>
        <v>1</v>
      </c>
      <c r="AT167" s="8" t="str">
        <f ca="1">IFERROR(__xludf.DUMMYFUNCTION("""COMPUTED_VALUE"""),"Yes")</f>
        <v>Yes</v>
      </c>
      <c r="AU167" s="8">
        <f ca="1">IFERROR(__xludf.DUMMYFUNCTION("""COMPUTED_VALUE"""),37.045452)</f>
        <v>37.045451999999997</v>
      </c>
      <c r="AV167" s="8">
        <f ca="1">IFERROR(__xludf.DUMMYFUNCTION("""COMPUTED_VALUE"""),-76.324402)</f>
        <v>-76.324402000000006</v>
      </c>
      <c r="AW167" s="8" t="str">
        <f ca="1">IFERROR(__xludf.DUMMYFUNCTION("""COMPUTED_VALUE"""),"Multiple attached buildings")</f>
        <v>Multiple attached buildings</v>
      </c>
      <c r="AX167" s="8">
        <f ca="1">IFERROR(__xludf.DUMMYFUNCTION("""COMPUTED_VALUE"""),23669)</f>
        <v>23669</v>
      </c>
    </row>
    <row r="168" spans="1:50" ht="165" x14ac:dyDescent="0.2">
      <c r="A168" s="8" t="str">
        <f ca="1">IFERROR(__xludf.DUMMYFUNCTION("""COMPUTED_VALUE"""),"20250116TNMIM")</f>
        <v>20250116TNMIM</v>
      </c>
      <c r="B168" s="8">
        <f ca="1">IFERROR(__xludf.DUMMYFUNCTION("""COMPUTED_VALUE"""),1)</f>
        <v>1</v>
      </c>
      <c r="C168" s="8">
        <f ca="1">IFERROR(__xludf.DUMMYFUNCTION("""COMPUTED_VALUE"""),16)</f>
        <v>16</v>
      </c>
      <c r="D168" s="8">
        <f ca="1">IFERROR(__xludf.DUMMYFUNCTION("""COMPUTED_VALUE"""),2025)</f>
        <v>2025</v>
      </c>
      <c r="E168" s="9">
        <f ca="1">IFERROR(__xludf.DUMMYFUNCTION("""COMPUTED_VALUE"""),45673)</f>
        <v>45673</v>
      </c>
      <c r="F168" s="8" t="str">
        <f ca="1">IFERROR(__xludf.DUMMYFUNCTION("""COMPUTED_VALUE"""),"Mitchell High School")</f>
        <v>Mitchell High School</v>
      </c>
      <c r="G168" s="8">
        <f ca="1">IFERROR(__xludf.DUMMYFUNCTION("""COMPUTED_VALUE"""),0)</f>
        <v>0</v>
      </c>
      <c r="H168" s="8">
        <f ca="1">IFERROR(__xludf.DUMMYFUNCTION("""COMPUTED_VALUE"""),0)</f>
        <v>0</v>
      </c>
      <c r="I168" s="8">
        <f ca="1">IFERROR(__xludf.DUMMYFUNCTION("""COMPUTED_VALUE"""),0)</f>
        <v>0</v>
      </c>
      <c r="J168" s="8">
        <f ca="1">IFERROR(__xludf.DUMMYFUNCTION("""COMPUTED_VALUE"""),0)</f>
        <v>0</v>
      </c>
      <c r="K168" s="10" t="str">
        <f ca="1">IFERROR(__xludf.DUMMYFUNCTION("""COMPUTED_VALUE"""),"https://www.fox13memphis.com/news/72-year-old-grandmother-arrested-for-firing-shot-outside-memphis-community-center-records-show/article_45fc3168-d445-11ef-8d87-73b8097d5116.html
https://wreg.com/news/local/grandmother-shoots-on-mscs-property-after-kid-th"&amp;"reatens-to-flip-her-car-mpd/
https://www.themountainpress.com/news/state/grandmother-charged-after-shooting-ground-outside-school/article_3130738f-04c8-5cd0-89a1-9a4078cbebc0.html")</f>
        <v>https://www.fox13memphis.com/news/72-year-old-grandmother-arrested-for-firing-shot-outside-memphis-community-center-records-show/article_45fc3168-d445-11ef-8d87-73b8097d5116.html
https://wreg.com/news/local/grandmother-shoots-on-mscs-property-after-kid-threatens-to-flip-her-car-mpd/
https://www.themountainpress.com/news/state/grandmother-charged-after-shooting-ground-outside-school/article_3130738f-04c8-5cd0-89a1-9a4078cbebc0.html</v>
      </c>
      <c r="L168" s="8">
        <f ca="1">IFERROR(__xludf.DUMMYFUNCTION("""COMPUTED_VALUE"""),5)</f>
        <v>5</v>
      </c>
      <c r="M168" s="8" t="str">
        <f ca="1">IFERROR(__xludf.DUMMYFUNCTION("""COMPUTED_VALUE"""),"Regional")</f>
        <v>Regional</v>
      </c>
      <c r="N168" s="8">
        <f ca="1">IFERROR(__xludf.DUMMYFUNCTION("""COMPUTED_VALUE"""),4)</f>
        <v>4</v>
      </c>
      <c r="O168" s="8" t="str">
        <f ca="1">IFERROR(__xludf.DUMMYFUNCTION("""COMPUTED_VALUE"""),"Winter")</f>
        <v>Winter</v>
      </c>
      <c r="P168" s="8" t="str">
        <f ca="1">IFERROR(__xludf.DUMMYFUNCTION("""COMPUTED_VALUE"""),"Memphis")</f>
        <v>Memphis</v>
      </c>
      <c r="Q168" s="8" t="str">
        <f ca="1">IFERROR(__xludf.DUMMYFUNCTION("""COMPUTED_VALUE"""),"TN")</f>
        <v>TN</v>
      </c>
      <c r="R168" s="8" t="str">
        <f ca="1">IFERROR(__xludf.DUMMYFUNCTION("""COMPUTED_VALUE"""),"High")</f>
        <v>High</v>
      </c>
      <c r="S168" s="8" t="str">
        <f ca="1">IFERROR(__xludf.DUMMYFUNCTION("""COMPUTED_VALUE"""),"Parking Lot")</f>
        <v>Parking Lot</v>
      </c>
      <c r="T168" s="8" t="str">
        <f ca="1">IFERROR(__xludf.DUMMYFUNCTION("""COMPUTED_VALUE"""),"Outside on School Property")</f>
        <v>Outside on School Property</v>
      </c>
      <c r="U168" s="8" t="str">
        <f ca="1">IFERROR(__xludf.DUMMYFUNCTION("""COMPUTED_VALUE"""),"Yes")</f>
        <v>Yes</v>
      </c>
      <c r="V168" s="8" t="str">
        <f ca="1">IFERROR(__xludf.DUMMYFUNCTION("""COMPUTED_VALUE"""),"Dismissal")</f>
        <v>Dismissal</v>
      </c>
      <c r="W168" s="11">
        <f ca="1">IFERROR(__xludf.DUMMYFUNCTION("""COMPUTED_VALUE"""),0.625)</f>
        <v>0.625</v>
      </c>
      <c r="X168" s="8">
        <f ca="1">IFERROR(__xludf.DUMMYFUNCTION("""COMPUTED_VALUE"""),1)</f>
        <v>1</v>
      </c>
      <c r="Y168" s="12" t="str">
        <f ca="1">IFERROR(__xludf.DUMMYFUNCTION("""COMPUTED_VALUE"""),"Grandmother fired shot during fight between students")</f>
        <v>Grandmother fired shot during fight between students</v>
      </c>
      <c r="Z168" s="12" t="str">
        <f ca="1">IFERROR(__xludf.DUMMYFUNCTION("""COMPUTED_VALUE"""),"A grandmother fired a gun at a community center that is connected to a Memphis Shelby County School on Wednesday after one of the kids her grandson was fighting threatened to flip her car over, police say. It all started when Memphis Police responded to a"&amp;" complaint call at Mitchell Community Center which is connected to Mitchell High School on 602 West Mitchell Road. Administrators at the scene told officers they saw Joyce Brown fire a shot into the ground when a fight between her grandson and another chi"&amp;"ld got out of control. They say the parking lot was full of children who ran after the shooting.")</f>
        <v>A grandmother fired a gun at a community center that is connected to a Memphis Shelby County School on Wednesday after one of the kids her grandson was fighting threatened to flip her car over, police say. It all started when Memphis Police responded to a complaint call at Mitchell Community Center which is connected to Mitchell High School on 602 West Mitchell Road. Administrators at the scene told officers they saw Joyce Brown fire a shot into the ground when a fight between her grandson and another child got out of control. They say the parking lot was full of children who ran after the shooting.</v>
      </c>
      <c r="AA168" s="8" t="str">
        <f ca="1">IFERROR(__xludf.DUMMYFUNCTION("""COMPUTED_VALUE"""),"Escalation of Dispute")</f>
        <v>Escalation of Dispute</v>
      </c>
      <c r="AB168" s="8" t="str">
        <f ca="1">IFERROR(__xludf.DUMMYFUNCTION("""COMPUTED_VALUE"""),"Spontaneous")</f>
        <v>Spontaneous</v>
      </c>
      <c r="AC168" s="8" t="str">
        <f ca="1">IFERROR(__xludf.DUMMYFUNCTION("""COMPUTED_VALUE"""),"Yes")</f>
        <v>Yes</v>
      </c>
      <c r="AD168" s="8" t="str">
        <f ca="1">IFERROR(__xludf.DUMMYFUNCTION("""COMPUTED_VALUE"""),"Neither")</f>
        <v>Neither</v>
      </c>
      <c r="AE168" s="8" t="str">
        <f ca="1">IFERROR(__xludf.DUMMYFUNCTION("""COMPUTED_VALUE"""),"No")</f>
        <v>No</v>
      </c>
      <c r="AF168" s="8"/>
      <c r="AG168" s="8" t="str">
        <f ca="1">IFERROR(__xludf.DUMMYFUNCTION("""COMPUTED_VALUE"""),"No")</f>
        <v>No</v>
      </c>
      <c r="AH168" s="8" t="str">
        <f ca="1">IFERROR(__xludf.DUMMYFUNCTION("""COMPUTED_VALUE"""),"No")</f>
        <v>No</v>
      </c>
      <c r="AI168" s="8" t="str">
        <f ca="1">IFERROR(__xludf.DUMMYFUNCTION("""COMPUTED_VALUE"""),"No")</f>
        <v>No</v>
      </c>
      <c r="AJ168" s="8" t="str">
        <f ca="1">IFERROR(__xludf.DUMMYFUNCTION("""COMPUTED_VALUE"""),"No")</f>
        <v>No</v>
      </c>
      <c r="AK168" s="8" t="str">
        <f ca="1">IFERROR(__xludf.DUMMYFUNCTION("""COMPUTED_VALUE"""),"No")</f>
        <v>No</v>
      </c>
      <c r="AL168" s="8" t="str">
        <f ca="1">IFERROR(__xludf.DUMMYFUNCTION("""COMPUTED_VALUE"""),"No")</f>
        <v>No</v>
      </c>
      <c r="AM168" s="8" t="str">
        <f ca="1">IFERROR(__xludf.DUMMYFUNCTION("""COMPUTED_VALUE"""),"No")</f>
        <v>No</v>
      </c>
      <c r="AN168" s="8" t="str">
        <f ca="1">IFERROR(__xludf.DUMMYFUNCTION("""COMPUTED_VALUE"""),"Outside")</f>
        <v>Outside</v>
      </c>
      <c r="AO168" s="8" t="str">
        <f ca="1">IFERROR(__xludf.DUMMYFUNCTION("""COMPUTED_VALUE"""),"No")</f>
        <v>No</v>
      </c>
      <c r="AP168" s="8"/>
      <c r="AQ168" s="8"/>
      <c r="AR168" s="8" t="str">
        <f ca="1">IFERROR(__xludf.DUMMYFUNCTION("""COMPUTED_VALUE"""),"Outside/Off-Property")</f>
        <v>Outside/Off-Property</v>
      </c>
      <c r="AS168" s="8">
        <f ca="1">IFERROR(__xludf.DUMMYFUNCTION("""COMPUTED_VALUE"""),1)</f>
        <v>1</v>
      </c>
      <c r="AT168" s="8" t="str">
        <f ca="1">IFERROR(__xludf.DUMMYFUNCTION("""COMPUTED_VALUE"""),"No")</f>
        <v>No</v>
      </c>
      <c r="AU168" s="8">
        <f ca="1">IFERROR(__xludf.DUMMYFUNCTION("""COMPUTED_VALUE"""),35.056483)</f>
        <v>35.056483</v>
      </c>
      <c r="AV168" s="8">
        <f ca="1">IFERROR(__xludf.DUMMYFUNCTION("""COMPUTED_VALUE"""),-90.085734)</f>
        <v>-90.085734000000002</v>
      </c>
      <c r="AW168" s="8" t="str">
        <f ca="1">IFERROR(__xludf.DUMMYFUNCTION("""COMPUTED_VALUE"""),"Multiple detached buildings")</f>
        <v>Multiple detached buildings</v>
      </c>
      <c r="AX168" s="8">
        <f ca="1">IFERROR(__xludf.DUMMYFUNCTION("""COMPUTED_VALUE"""),38109)</f>
        <v>38109</v>
      </c>
    </row>
    <row r="169" spans="1:50" ht="165" x14ac:dyDescent="0.2">
      <c r="A169" s="8" t="str">
        <f ca="1">IFERROR(__xludf.DUMMYFUNCTION("""COMPUTED_VALUE"""),"20250115GALIM")</f>
        <v>20250115GALIM</v>
      </c>
      <c r="B169" s="8">
        <f ca="1">IFERROR(__xludf.DUMMYFUNCTION("""COMPUTED_VALUE"""),1)</f>
        <v>1</v>
      </c>
      <c r="C169" s="8">
        <f ca="1">IFERROR(__xludf.DUMMYFUNCTION("""COMPUTED_VALUE"""),15)</f>
        <v>15</v>
      </c>
      <c r="D169" s="8">
        <f ca="1">IFERROR(__xludf.DUMMYFUNCTION("""COMPUTED_VALUE"""),2025)</f>
        <v>2025</v>
      </c>
      <c r="E169" s="9">
        <f ca="1">IFERROR(__xludf.DUMMYFUNCTION("""COMPUTED_VALUE"""),45672)</f>
        <v>45672</v>
      </c>
      <c r="F169" s="8" t="str">
        <f ca="1">IFERROR(__xludf.DUMMYFUNCTION("""COMPUTED_VALUE"""),"Lindley Middle School")</f>
        <v>Lindley Middle School</v>
      </c>
      <c r="G169" s="8">
        <f ca="1">IFERROR(__xludf.DUMMYFUNCTION("""COMPUTED_VALUE"""),0)</f>
        <v>0</v>
      </c>
      <c r="H169" s="8">
        <f ca="1">IFERROR(__xludf.DUMMYFUNCTION("""COMPUTED_VALUE"""),0)</f>
        <v>0</v>
      </c>
      <c r="I169" s="8">
        <f ca="1">IFERROR(__xludf.DUMMYFUNCTION("""COMPUTED_VALUE"""),0)</f>
        <v>0</v>
      </c>
      <c r="J169" s="8">
        <f ca="1">IFERROR(__xludf.DUMMYFUNCTION("""COMPUTED_VALUE"""),1)</f>
        <v>1</v>
      </c>
      <c r="K169" s="8" t="str">
        <f ca="1">IFERROR(__xludf.DUMMYFUNCTION("""COMPUTED_VALUE"""),"https://www.fox5atlanta.com/news/lindley-middle-school-shooting-mableton
https://www.wsbtv.com/news/local/cobb-county/1-person-shot-middle-school-cobb-county/M7RCGM22QFE5PJFU23IM2TK5GI/")</f>
        <v>https://www.fox5atlanta.com/news/lindley-middle-school-shooting-mableton
https://www.wsbtv.com/news/local/cobb-county/1-person-shot-middle-school-cobb-county/M7RCGM22QFE5PJFU23IM2TK5GI/</v>
      </c>
      <c r="L169" s="8">
        <f ca="1">IFERROR(__xludf.DUMMYFUNCTION("""COMPUTED_VALUE"""),20)</f>
        <v>20</v>
      </c>
      <c r="M169" s="8" t="str">
        <f ca="1">IFERROR(__xludf.DUMMYFUNCTION("""COMPUTED_VALUE"""),"Regional")</f>
        <v>Regional</v>
      </c>
      <c r="N169" s="8">
        <f ca="1">IFERROR(__xludf.DUMMYFUNCTION("""COMPUTED_VALUE"""),4)</f>
        <v>4</v>
      </c>
      <c r="O169" s="8" t="str">
        <f ca="1">IFERROR(__xludf.DUMMYFUNCTION("""COMPUTED_VALUE"""),"Winter")</f>
        <v>Winter</v>
      </c>
      <c r="P169" s="8" t="str">
        <f ca="1">IFERROR(__xludf.DUMMYFUNCTION("""COMPUTED_VALUE"""),"Mableton")</f>
        <v>Mableton</v>
      </c>
      <c r="Q169" s="8" t="str">
        <f ca="1">IFERROR(__xludf.DUMMYFUNCTION("""COMPUTED_VALUE"""),"GA")</f>
        <v>GA</v>
      </c>
      <c r="R169" s="8" t="str">
        <f ca="1">IFERROR(__xludf.DUMMYFUNCTION("""COMPUTED_VALUE"""),"Middle")</f>
        <v>Middle</v>
      </c>
      <c r="S169" s="8" t="str">
        <f ca="1">IFERROR(__xludf.DUMMYFUNCTION("""COMPUTED_VALUE"""),"Bathroom")</f>
        <v>Bathroom</v>
      </c>
      <c r="T169" s="8" t="str">
        <f ca="1">IFERROR(__xludf.DUMMYFUNCTION("""COMPUTED_VALUE"""),"Inside School Building")</f>
        <v>Inside School Building</v>
      </c>
      <c r="U169" s="8" t="str">
        <f ca="1">IFERROR(__xludf.DUMMYFUNCTION("""COMPUTED_VALUE"""),"Yes")</f>
        <v>Yes</v>
      </c>
      <c r="V169" s="8" t="str">
        <f ca="1">IFERROR(__xludf.DUMMYFUNCTION("""COMPUTED_VALUE"""),"Afternoon Classes")</f>
        <v>Afternoon Classes</v>
      </c>
      <c r="W169" s="11">
        <f ca="1">IFERROR(__xludf.DUMMYFUNCTION("""COMPUTED_VALUE"""),0.625)</f>
        <v>0.625</v>
      </c>
      <c r="X169" s="8">
        <f ca="1">IFERROR(__xludf.DUMMYFUNCTION("""COMPUTED_VALUE"""),1)</f>
        <v>1</v>
      </c>
      <c r="Y169" s="12" t="str">
        <f ca="1">IFERROR(__xludf.DUMMYFUNCTION("""COMPUTED_VALUE"""),"Student intentionally shot herself inside a school bathroom")</f>
        <v>Student intentionally shot herself inside a school bathroom</v>
      </c>
      <c r="Z169" s="12" t="str">
        <f ca="1">IFERROR(__xludf.DUMMYFUNCTION("""COMPUTED_VALUE"""),"“This afternoon, a student at Lindley Middle School tragically used a firearm to commit self-harm, prompting a code red,” the Cobb County School District said in a statement. “School administrators, along with a Cobb County School District police officer,"&amp;" responded immediately and secured the weapon.” The Mableton school was placed on lockdown, but authorities quickly organized for parents to pick up their students at Leland Memorial United Methodist Church, located just across Veterans Memorial Highway. "&amp;"By 5:30 p.m., all of the school’s students had been picked up by parents or sent home by bus.")</f>
        <v>“This afternoon, a student at Lindley Middle School tragically used a firearm to commit self-harm, prompting a code red,” the Cobb County School District said in a statement. “School administrators, along with a Cobb County School District police officer, responded immediately and secured the weapon.” The Mableton school was placed on lockdown, but authorities quickly organized for parents to pick up their students at Leland Memorial United Methodist Church, located just across Veterans Memorial Highway. By 5:30 p.m., all of the school’s students had been picked up by parents or sent home by bus.</v>
      </c>
      <c r="AA169" s="8" t="str">
        <f ca="1">IFERROR(__xludf.DUMMYFUNCTION("""COMPUTED_VALUE"""),"Suicide/Attempted")</f>
        <v>Suicide/Attempted</v>
      </c>
      <c r="AB169" s="8" t="str">
        <f ca="1">IFERROR(__xludf.DUMMYFUNCTION("""COMPUTED_VALUE"""),"Targeted")</f>
        <v>Targeted</v>
      </c>
      <c r="AC169" s="8" t="str">
        <f ca="1">IFERROR(__xludf.DUMMYFUNCTION("""COMPUTED_VALUE"""),"Yes")</f>
        <v>Yes</v>
      </c>
      <c r="AD169" s="8" t="str">
        <f ca="1">IFERROR(__xludf.DUMMYFUNCTION("""COMPUTED_VALUE"""),"Victims Targeted")</f>
        <v>Victims Targeted</v>
      </c>
      <c r="AE169" s="8" t="str">
        <f ca="1">IFERROR(__xludf.DUMMYFUNCTION("""COMPUTED_VALUE"""),"No")</f>
        <v>No</v>
      </c>
      <c r="AF169" s="8"/>
      <c r="AG169" s="8" t="str">
        <f ca="1">IFERROR(__xludf.DUMMYFUNCTION("""COMPUTED_VALUE"""),"No")</f>
        <v>No</v>
      </c>
      <c r="AH169" s="8" t="str">
        <f ca="1">IFERROR(__xludf.DUMMYFUNCTION("""COMPUTED_VALUE"""),"No")</f>
        <v>No</v>
      </c>
      <c r="AI169" s="8" t="str">
        <f ca="1">IFERROR(__xludf.DUMMYFUNCTION("""COMPUTED_VALUE"""),"No")</f>
        <v>No</v>
      </c>
      <c r="AJ169" s="8"/>
      <c r="AK169" s="8" t="str">
        <f ca="1">IFERROR(__xludf.DUMMYFUNCTION("""COMPUTED_VALUE"""),"No")</f>
        <v>No</v>
      </c>
      <c r="AL169" s="8" t="str">
        <f ca="1">IFERROR(__xludf.DUMMYFUNCTION("""COMPUTED_VALUE"""),"No")</f>
        <v>No</v>
      </c>
      <c r="AM169" s="8" t="str">
        <f ca="1">IFERROR(__xludf.DUMMYFUNCTION("""COMPUTED_VALUE"""),"No")</f>
        <v>No</v>
      </c>
      <c r="AN169" s="8" t="str">
        <f ca="1">IFERROR(__xludf.DUMMYFUNCTION("""COMPUTED_VALUE"""),"Single Room")</f>
        <v>Single Room</v>
      </c>
      <c r="AO169" s="8" t="str">
        <f ca="1">IFERROR(__xludf.DUMMYFUNCTION("""COMPUTED_VALUE"""),"No")</f>
        <v>No</v>
      </c>
      <c r="AP169" s="8"/>
      <c r="AQ169" s="8"/>
      <c r="AR169" s="8" t="str">
        <f ca="1">IFERROR(__xludf.DUMMYFUNCTION("""COMPUTED_VALUE"""),"Failed")</f>
        <v>Failed</v>
      </c>
      <c r="AS169" s="8">
        <f ca="1">IFERROR(__xludf.DUMMYFUNCTION("""COMPUTED_VALUE"""),1)</f>
        <v>1</v>
      </c>
      <c r="AT169" s="8" t="str">
        <f ca="1">IFERROR(__xludf.DUMMYFUNCTION("""COMPUTED_VALUE"""),"Yes")</f>
        <v>Yes</v>
      </c>
      <c r="AU169" s="8">
        <f ca="1">IFERROR(__xludf.DUMMYFUNCTION("""COMPUTED_VALUE"""),33.81292)</f>
        <v>33.812919999999998</v>
      </c>
      <c r="AV169" s="8">
        <f ca="1">IFERROR(__xludf.DUMMYFUNCTION("""COMPUTED_VALUE"""),-84.555035)</f>
        <v>-84.555035000000004</v>
      </c>
      <c r="AW169" s="8" t="str">
        <f ca="1">IFERROR(__xludf.DUMMYFUNCTION("""COMPUTED_VALUE"""),"Single building indoor hallway")</f>
        <v>Single building indoor hallway</v>
      </c>
      <c r="AX169" s="8">
        <f ca="1">IFERROR(__xludf.DUMMYFUNCTION("""COMPUTED_VALUE"""),30126)</f>
        <v>30126</v>
      </c>
    </row>
    <row r="170" spans="1:50" ht="60" x14ac:dyDescent="0.2">
      <c r="A170" s="8" t="str">
        <f ca="1">IFERROR(__xludf.DUMMYFUNCTION("""COMPUTED_VALUE"""),"20250114NYNEN")</f>
        <v>20250114NYNEN</v>
      </c>
      <c r="B170" s="8">
        <f ca="1">IFERROR(__xludf.DUMMYFUNCTION("""COMPUTED_VALUE"""),1)</f>
        <v>1</v>
      </c>
      <c r="C170" s="8">
        <f ca="1">IFERROR(__xludf.DUMMYFUNCTION("""COMPUTED_VALUE"""),14)</f>
        <v>14</v>
      </c>
      <c r="D170" s="8">
        <f ca="1">IFERROR(__xludf.DUMMYFUNCTION("""COMPUTED_VALUE"""),2025)</f>
        <v>2025</v>
      </c>
      <c r="E170" s="9">
        <f ca="1">IFERROR(__xludf.DUMMYFUNCTION("""COMPUTED_VALUE"""),45671)</f>
        <v>45671</v>
      </c>
      <c r="F170" s="8" t="str">
        <f ca="1">IFERROR(__xludf.DUMMYFUNCTION("""COMPUTED_VALUE"""),"Newburgh Free Academy")</f>
        <v>Newburgh Free Academy</v>
      </c>
      <c r="G170" s="8">
        <f ca="1">IFERROR(__xludf.DUMMYFUNCTION("""COMPUTED_VALUE"""),0)</f>
        <v>0</v>
      </c>
      <c r="H170" s="8">
        <f ca="1">IFERROR(__xludf.DUMMYFUNCTION("""COMPUTED_VALUE"""),0)</f>
        <v>0</v>
      </c>
      <c r="I170" s="8">
        <f ca="1">IFERROR(__xludf.DUMMYFUNCTION("""COMPUTED_VALUE"""),0)</f>
        <v>0</v>
      </c>
      <c r="J170" s="8">
        <f ca="1">IFERROR(__xludf.DUMMYFUNCTION("""COMPUTED_VALUE"""),0)</f>
        <v>0</v>
      </c>
      <c r="K170" s="10" t="str">
        <f ca="1">IFERROR(__xludf.DUMMYFUNCTION("""COMPUTED_VALUE"""),"https://midhudsonnews.com/2025/01/15/shots-fired-during-fight-outside-nfa-main-teen-arrested/
https://dailyvoice.com/ny/newburgh/shots-fired-during-fight-at-newburgh-free-academy-former-student-charged-police/
https://westchester.news12.com/district-repor"&amp;"ts-of-shots-fired-near-newburgh-free-academy-forces-temporary-lockout")</f>
        <v>https://midhudsonnews.com/2025/01/15/shots-fired-during-fight-outside-nfa-main-teen-arrested/
https://dailyvoice.com/ny/newburgh/shots-fired-during-fight-at-newburgh-free-academy-former-student-charged-police/
https://westchester.news12.com/district-reports-of-shots-fired-near-newburgh-free-academy-forces-temporary-lockout</v>
      </c>
      <c r="L170" s="8">
        <f ca="1">IFERROR(__xludf.DUMMYFUNCTION("""COMPUTED_VALUE"""),10)</f>
        <v>10</v>
      </c>
      <c r="M170" s="8" t="str">
        <f ca="1">IFERROR(__xludf.DUMMYFUNCTION("""COMPUTED_VALUE"""),"Regional")</f>
        <v>Regional</v>
      </c>
      <c r="N170" s="8">
        <f ca="1">IFERROR(__xludf.DUMMYFUNCTION("""COMPUTED_VALUE"""),4)</f>
        <v>4</v>
      </c>
      <c r="O170" s="8" t="str">
        <f ca="1">IFERROR(__xludf.DUMMYFUNCTION("""COMPUTED_VALUE"""),"Winter")</f>
        <v>Winter</v>
      </c>
      <c r="P170" s="8" t="str">
        <f ca="1">IFERROR(__xludf.DUMMYFUNCTION("""COMPUTED_VALUE"""),"Newburgh")</f>
        <v>Newburgh</v>
      </c>
      <c r="Q170" s="8" t="str">
        <f ca="1">IFERROR(__xludf.DUMMYFUNCTION("""COMPUTED_VALUE"""),"NY")</f>
        <v>NY</v>
      </c>
      <c r="R170" s="8" t="str">
        <f ca="1">IFERROR(__xludf.DUMMYFUNCTION("""COMPUTED_VALUE"""),"High")</f>
        <v>High</v>
      </c>
      <c r="S170" s="8" t="str">
        <f ca="1">IFERROR(__xludf.DUMMYFUNCTION("""COMPUTED_VALUE"""),"Parking Lot")</f>
        <v>Parking Lot</v>
      </c>
      <c r="T170" s="8" t="str">
        <f ca="1">IFERROR(__xludf.DUMMYFUNCTION("""COMPUTED_VALUE"""),"Outside on School Property")</f>
        <v>Outside on School Property</v>
      </c>
      <c r="U170" s="8" t="str">
        <f ca="1">IFERROR(__xludf.DUMMYFUNCTION("""COMPUTED_VALUE"""),"Yes")</f>
        <v>Yes</v>
      </c>
      <c r="V170" s="8" t="str">
        <f ca="1">IFERROR(__xludf.DUMMYFUNCTION("""COMPUTED_VALUE"""),"Dismissal")</f>
        <v>Dismissal</v>
      </c>
      <c r="W170" s="11">
        <f ca="1">IFERROR(__xludf.DUMMYFUNCTION("""COMPUTED_VALUE"""),0.604166666666666)</f>
        <v>0.60416666666666596</v>
      </c>
      <c r="X170" s="8">
        <f ca="1">IFERROR(__xludf.DUMMYFUNCTION("""COMPUTED_VALUE"""),1)</f>
        <v>1</v>
      </c>
      <c r="Y170" s="12" t="str">
        <f ca="1">IFERROR(__xludf.DUMMYFUNCTION("""COMPUTED_VALUE"""),"Former student fired shots during a large fight at dismissal")</f>
        <v>Former student fired shots during a large fight at dismissal</v>
      </c>
      <c r="Z170" s="12" t="str">
        <f ca="1">IFERROR(__xludf.DUMMYFUNCTION("""COMPUTED_VALUE"""),"An 18-year-old former student was on campus at dismissal, fired shots during a large fight, and then fled from campus police while holding a loaded handgun. He was arrested 2 blocks away from the school.")</f>
        <v>An 18-year-old former student was on campus at dismissal, fired shots during a large fight, and then fled from campus police while holding a loaded handgun. He was arrested 2 blocks away from the school.</v>
      </c>
      <c r="AA170" s="8" t="str">
        <f ca="1">IFERROR(__xludf.DUMMYFUNCTION("""COMPUTED_VALUE"""),"Escalation of Dispute")</f>
        <v>Escalation of Dispute</v>
      </c>
      <c r="AB170" s="8" t="str">
        <f ca="1">IFERROR(__xludf.DUMMYFUNCTION("""COMPUTED_VALUE"""),"Spontaneous")</f>
        <v>Spontaneous</v>
      </c>
      <c r="AC170" s="8" t="str">
        <f ca="1">IFERROR(__xludf.DUMMYFUNCTION("""COMPUTED_VALUE"""),"Yes")</f>
        <v>Yes</v>
      </c>
      <c r="AD170" s="8" t="str">
        <f ca="1">IFERROR(__xludf.DUMMYFUNCTION("""COMPUTED_VALUE"""),"Random Shooting")</f>
        <v>Random Shooting</v>
      </c>
      <c r="AE170" s="8" t="str">
        <f ca="1">IFERROR(__xludf.DUMMYFUNCTION("""COMPUTED_VALUE"""),"Yes")</f>
        <v>Yes</v>
      </c>
      <c r="AF170" s="8" t="str">
        <f ca="1">IFERROR(__xludf.DUMMYFUNCTION("""COMPUTED_VALUE"""),"Large fight")</f>
        <v>Large fight</v>
      </c>
      <c r="AG170" s="8" t="str">
        <f ca="1">IFERROR(__xludf.DUMMYFUNCTION("""COMPUTED_VALUE"""),"No")</f>
        <v>No</v>
      </c>
      <c r="AH170" s="8" t="str">
        <f ca="1">IFERROR(__xludf.DUMMYFUNCTION("""COMPUTED_VALUE"""),"No")</f>
        <v>No</v>
      </c>
      <c r="AI170" s="8" t="str">
        <f ca="1">IFERROR(__xludf.DUMMYFUNCTION("""COMPUTED_VALUE"""),"No")</f>
        <v>No</v>
      </c>
      <c r="AJ170" s="8" t="str">
        <f ca="1">IFERROR(__xludf.DUMMYFUNCTION("""COMPUTED_VALUE"""),"No")</f>
        <v>No</v>
      </c>
      <c r="AK170" s="8" t="str">
        <f ca="1">IFERROR(__xludf.DUMMYFUNCTION("""COMPUTED_VALUE"""),"No")</f>
        <v>No</v>
      </c>
      <c r="AL170" s="8"/>
      <c r="AM170" s="8" t="str">
        <f ca="1">IFERROR(__xludf.DUMMYFUNCTION("""COMPUTED_VALUE"""),"No")</f>
        <v>No</v>
      </c>
      <c r="AN170" s="8" t="str">
        <f ca="1">IFERROR(__xludf.DUMMYFUNCTION("""COMPUTED_VALUE"""),"Outside")</f>
        <v>Outside</v>
      </c>
      <c r="AO170" s="8" t="str">
        <f ca="1">IFERROR(__xludf.DUMMYFUNCTION("""COMPUTED_VALUE"""),"No")</f>
        <v>No</v>
      </c>
      <c r="AP170" s="8" t="str">
        <f ca="1">IFERROR(__xludf.DUMMYFUNCTION("""COMPUTED_VALUE"""),"Yes")</f>
        <v>Yes</v>
      </c>
      <c r="AQ170" s="8" t="str">
        <f ca="1">IFERROR(__xludf.DUMMYFUNCTION("""COMPUTED_VALUE"""),"Armed Guards")</f>
        <v>Armed Guards</v>
      </c>
      <c r="AR170" s="8" t="str">
        <f ca="1">IFERROR(__xludf.DUMMYFUNCTION("""COMPUTED_VALUE"""),"Outside/Off-Property")</f>
        <v>Outside/Off-Property</v>
      </c>
      <c r="AS170" s="8">
        <f ca="1">IFERROR(__xludf.DUMMYFUNCTION("""COMPUTED_VALUE"""),3)</f>
        <v>3</v>
      </c>
      <c r="AT170" s="8" t="str">
        <f ca="1">IFERROR(__xludf.DUMMYFUNCTION("""COMPUTED_VALUE"""),"Yes")</f>
        <v>Yes</v>
      </c>
      <c r="AU170" s="8">
        <f ca="1">IFERROR(__xludf.DUMMYFUNCTION("""COMPUTED_VALUE"""),41.509021)</f>
        <v>41.509020999999997</v>
      </c>
      <c r="AV170" s="8">
        <f ca="1">IFERROR(__xludf.DUMMYFUNCTION("""COMPUTED_VALUE"""),-74.026422)</f>
        <v>-74.026421999999997</v>
      </c>
      <c r="AW170" s="8" t="str">
        <f ca="1">IFERROR(__xludf.DUMMYFUNCTION("""COMPUTED_VALUE"""),"Multiple attached buildings")</f>
        <v>Multiple attached buildings</v>
      </c>
      <c r="AX170" s="8">
        <f ca="1">IFERROR(__xludf.DUMMYFUNCTION("""COMPUTED_VALUE"""),12550)</f>
        <v>12550</v>
      </c>
    </row>
    <row r="171" spans="1:50" ht="180" x14ac:dyDescent="0.2">
      <c r="A171" s="8" t="str">
        <f ca="1">IFERROR(__xludf.DUMMYFUNCTION("""COMPUTED_VALUE"""),"20250113CTVEM")</f>
        <v>20250113CTVEM</v>
      </c>
      <c r="B171" s="8">
        <f ca="1">IFERROR(__xludf.DUMMYFUNCTION("""COMPUTED_VALUE"""),1)</f>
        <v>1</v>
      </c>
      <c r="C171" s="8">
        <f ca="1">IFERROR(__xludf.DUMMYFUNCTION("""COMPUTED_VALUE"""),13)</f>
        <v>13</v>
      </c>
      <c r="D171" s="8">
        <f ca="1">IFERROR(__xludf.DUMMYFUNCTION("""COMPUTED_VALUE"""),2025)</f>
        <v>2025</v>
      </c>
      <c r="E171" s="9">
        <f ca="1">IFERROR(__xludf.DUMMYFUNCTION("""COMPUTED_VALUE"""),45670)</f>
        <v>45670</v>
      </c>
      <c r="F171" s="8" t="str">
        <f ca="1">IFERROR(__xludf.DUMMYFUNCTION("""COMPUTED_VALUE"""),"Verplanck Elementary School")</f>
        <v>Verplanck Elementary School</v>
      </c>
      <c r="G171" s="8">
        <f ca="1">IFERROR(__xludf.DUMMYFUNCTION("""COMPUTED_VALUE"""),0)</f>
        <v>0</v>
      </c>
      <c r="H171" s="8">
        <f ca="1">IFERROR(__xludf.DUMMYFUNCTION("""COMPUTED_VALUE"""),0)</f>
        <v>0</v>
      </c>
      <c r="I171" s="8">
        <f ca="1">IFERROR(__xludf.DUMMYFUNCTION("""COMPUTED_VALUE"""),0)</f>
        <v>0</v>
      </c>
      <c r="J171" s="8">
        <f ca="1">IFERROR(__xludf.DUMMYFUNCTION("""COMPUTED_VALUE"""),0)</f>
        <v>0</v>
      </c>
      <c r="K171" s="10" t="str">
        <f ca="1">IFERROR(__xludf.DUMMYFUNCTION("""COMPUTED_VALUE"""),"https://local12.com/news/nation-world/teenager-arrested-airsoft-gun-school-suicide-by-cop-teen-arrest-aimed-aiming-into-playground-rifle-commit-students-teachers-staff-elementary-classroom-suspicious-pointed-point
https://www.wfsb.com/2025/01/13/person-pl"&amp;"ayground-with-airsoft-rifle-sends-manchester-public-schools-into-lockdown/
https://www.wtnh.com/news/connecticut/hartford/suspect-in-custody-after-walking-near-playground-at-a-manchester-elementary-school-with-an-airsoft-rifle/")</f>
        <v>https://local12.com/news/nation-world/teenager-arrested-airsoft-gun-school-suicide-by-cop-teen-arrest-aimed-aiming-into-playground-rifle-commit-students-teachers-staff-elementary-classroom-suspicious-pointed-point
https://www.wfsb.com/2025/01/13/person-playground-with-airsoft-rifle-sends-manchester-public-schools-into-lockdown/
https://www.wtnh.com/news/connecticut/hartford/suspect-in-custody-after-walking-near-playground-at-a-manchester-elementary-school-with-an-airsoft-rifle/</v>
      </c>
      <c r="L171" s="8">
        <f ca="1">IFERROR(__xludf.DUMMYFUNCTION("""COMPUTED_VALUE"""),3)</f>
        <v>3</v>
      </c>
      <c r="M171" s="8" t="str">
        <f ca="1">IFERROR(__xludf.DUMMYFUNCTION("""COMPUTED_VALUE"""),"Regional")</f>
        <v>Regional</v>
      </c>
      <c r="N171" s="8">
        <f ca="1">IFERROR(__xludf.DUMMYFUNCTION("""COMPUTED_VALUE"""),4)</f>
        <v>4</v>
      </c>
      <c r="O171" s="8" t="str">
        <f ca="1">IFERROR(__xludf.DUMMYFUNCTION("""COMPUTED_VALUE"""),"Winter")</f>
        <v>Winter</v>
      </c>
      <c r="P171" s="8" t="str">
        <f ca="1">IFERROR(__xludf.DUMMYFUNCTION("""COMPUTED_VALUE"""),"Manchester")</f>
        <v>Manchester</v>
      </c>
      <c r="Q171" s="8" t="str">
        <f ca="1">IFERROR(__xludf.DUMMYFUNCTION("""COMPUTED_VALUE"""),"CT")</f>
        <v>CT</v>
      </c>
      <c r="R171" s="8" t="str">
        <f ca="1">IFERROR(__xludf.DUMMYFUNCTION("""COMPUTED_VALUE"""),"Elementary")</f>
        <v>Elementary</v>
      </c>
      <c r="S171" s="8" t="str">
        <f ca="1">IFERROR(__xludf.DUMMYFUNCTION("""COMPUTED_VALUE"""),"Playground")</f>
        <v>Playground</v>
      </c>
      <c r="T171" s="8" t="str">
        <f ca="1">IFERROR(__xludf.DUMMYFUNCTION("""COMPUTED_VALUE"""),"Outside on School Property")</f>
        <v>Outside on School Property</v>
      </c>
      <c r="U171" s="8" t="str">
        <f ca="1">IFERROR(__xludf.DUMMYFUNCTION("""COMPUTED_VALUE"""),"Yes")</f>
        <v>Yes</v>
      </c>
      <c r="V171" s="8" t="str">
        <f ca="1">IFERROR(__xludf.DUMMYFUNCTION("""COMPUTED_VALUE"""),"Afternoon Classes")</f>
        <v>Afternoon Classes</v>
      </c>
      <c r="W171" s="11">
        <f ca="1">IFERROR(__xludf.DUMMYFUNCTION("""COMPUTED_VALUE"""),0.553472222222222)</f>
        <v>0.55347222222222203</v>
      </c>
      <c r="X171" s="8">
        <f ca="1">IFERROR(__xludf.DUMMYFUNCTION("""COMPUTED_VALUE"""),1)</f>
        <v>1</v>
      </c>
      <c r="Y171" s="12" t="str">
        <f ca="1">IFERROR(__xludf.DUMMYFUNCTION("""COMPUTED_VALUE"""),"Teen pointed replica AR-15 at students on the playground, intened suicide by cop")</f>
        <v>Teen pointed replica AR-15 at students on the playground, intened suicide by cop</v>
      </c>
      <c r="Z171" s="12" t="str">
        <f ca="1">IFERROR(__xludf.DUMMYFUNCTION("""COMPUTED_VALUE"""),"A 17-year-old suspect is facing 112 counts after they were walking near the playground of Verplanck Elementary School with an airsoft rifle on Monday in Manchester, according to police. The school was placed under lockdown out of precaution. Witnesses rep"&amp;"orted that the individual was pointing the rifle at the school, into classroom windows and at students and staff. During the investigation, it was determined that the suspect pointed the weapon at 29 children and 10 adults on the school grounds. The suspe"&amp;"ct, a 17-year-old from Manchester, said that he was intended to commit “suicide by cop.” He was charged with multiple offenses.")</f>
        <v>A 17-year-old suspect is facing 112 counts after they were walking near the playground of Verplanck Elementary School with an airsoft rifle on Monday in Manchester, according to police. The school was placed under lockdown out of precaution. Witnesses reported that the individual was pointing the rifle at the school, into classroom windows and at students and staff. During the investigation, it was determined that the suspect pointed the weapon at 29 children and 10 adults on the school grounds. The suspect, a 17-year-old from Manchester, said that he was intended to commit “suicide by cop.” He was charged with multiple offenses.</v>
      </c>
      <c r="AA171" s="8" t="str">
        <f ca="1">IFERROR(__xludf.DUMMYFUNCTION("""COMPUTED_VALUE"""),"Suicide/Attempted")</f>
        <v>Suicide/Attempted</v>
      </c>
      <c r="AB171" s="8" t="str">
        <f ca="1">IFERROR(__xludf.DUMMYFUNCTION("""COMPUTED_VALUE"""),"Active Shooter/Planned Attack")</f>
        <v>Active Shooter/Planned Attack</v>
      </c>
      <c r="AC171" s="8" t="str">
        <f ca="1">IFERROR(__xludf.DUMMYFUNCTION("""COMPUTED_VALUE"""),"Yes")</f>
        <v>Yes</v>
      </c>
      <c r="AD171" s="8" t="str">
        <f ca="1">IFERROR(__xludf.DUMMYFUNCTION("""COMPUTED_VALUE"""),"Neither")</f>
        <v>Neither</v>
      </c>
      <c r="AE171" s="8" t="str">
        <f ca="1">IFERROR(__xludf.DUMMYFUNCTION("""COMPUTED_VALUE"""),"No")</f>
        <v>No</v>
      </c>
      <c r="AF171" s="8"/>
      <c r="AG171" s="8" t="str">
        <f ca="1">IFERROR(__xludf.DUMMYFUNCTION("""COMPUTED_VALUE"""),"No")</f>
        <v>No</v>
      </c>
      <c r="AH171" s="8" t="str">
        <f ca="1">IFERROR(__xludf.DUMMYFUNCTION("""COMPUTED_VALUE"""),"No")</f>
        <v>No</v>
      </c>
      <c r="AI171" s="8" t="str">
        <f ca="1">IFERROR(__xludf.DUMMYFUNCTION("""COMPUTED_VALUE"""),"No")</f>
        <v>No</v>
      </c>
      <c r="AJ171" s="8" t="str">
        <f ca="1">IFERROR(__xludf.DUMMYFUNCTION("""COMPUTED_VALUE"""),"No")</f>
        <v>No</v>
      </c>
      <c r="AK171" s="8" t="str">
        <f ca="1">IFERROR(__xludf.DUMMYFUNCTION("""COMPUTED_VALUE"""),"No")</f>
        <v>No</v>
      </c>
      <c r="AL171" s="8" t="str">
        <f ca="1">IFERROR(__xludf.DUMMYFUNCTION("""COMPUTED_VALUE"""),"No")</f>
        <v>No</v>
      </c>
      <c r="AM171" s="8" t="str">
        <f ca="1">IFERROR(__xludf.DUMMYFUNCTION("""COMPUTED_VALUE"""),"Yes")</f>
        <v>Yes</v>
      </c>
      <c r="AN171" s="8" t="str">
        <f ca="1">IFERROR(__xludf.DUMMYFUNCTION("""COMPUTED_VALUE"""),"Outside")</f>
        <v>Outside</v>
      </c>
      <c r="AO171" s="8" t="str">
        <f ca="1">IFERROR(__xludf.DUMMYFUNCTION("""COMPUTED_VALUE"""),"Yes")</f>
        <v>Yes</v>
      </c>
      <c r="AP171" s="8" t="str">
        <f ca="1">IFERROR(__xludf.DUMMYFUNCTION("""COMPUTED_VALUE"""),"No")</f>
        <v>No</v>
      </c>
      <c r="AQ171" s="8"/>
      <c r="AR171" s="8" t="str">
        <f ca="1">IFERROR(__xludf.DUMMYFUNCTION("""COMPUTED_VALUE"""),"Outside/Off-Property")</f>
        <v>Outside/Off-Property</v>
      </c>
      <c r="AS171" s="8">
        <f ca="1">IFERROR(__xludf.DUMMYFUNCTION("""COMPUTED_VALUE"""),0)</f>
        <v>0</v>
      </c>
      <c r="AT171" s="8" t="str">
        <f ca="1">IFERROR(__xludf.DUMMYFUNCTION("""COMPUTED_VALUE"""),"Yes")</f>
        <v>Yes</v>
      </c>
      <c r="AU171" s="8">
        <f ca="1">IFERROR(__xludf.DUMMYFUNCTION("""COMPUTED_VALUE"""),41.772738)</f>
        <v>41.772737999999997</v>
      </c>
      <c r="AV171" s="8">
        <f ca="1">IFERROR(__xludf.DUMMYFUNCTION("""COMPUTED_VALUE"""),-72.553322)</f>
        <v>-72.553321999999994</v>
      </c>
      <c r="AW171" s="8" t="str">
        <f ca="1">IFERROR(__xludf.DUMMYFUNCTION("""COMPUTED_VALUE"""),"Single building indoor hallway")</f>
        <v>Single building indoor hallway</v>
      </c>
      <c r="AX171" s="8">
        <f ca="1">IFERROR(__xludf.DUMMYFUNCTION("""COMPUTED_VALUE"""),6042)</f>
        <v>6042</v>
      </c>
    </row>
    <row r="172" spans="1:50" ht="255" x14ac:dyDescent="0.2">
      <c r="A172" s="8" t="str">
        <f ca="1">IFERROR(__xludf.DUMMYFUNCTION("""COMPUTED_VALUE"""),"20250109UTSPS")</f>
        <v>20250109UTSPS</v>
      </c>
      <c r="B172" s="8">
        <f ca="1">IFERROR(__xludf.DUMMYFUNCTION("""COMPUTED_VALUE"""),1)</f>
        <v>1</v>
      </c>
      <c r="C172" s="8">
        <f ca="1">IFERROR(__xludf.DUMMYFUNCTION("""COMPUTED_VALUE"""),9)</f>
        <v>9</v>
      </c>
      <c r="D172" s="8">
        <f ca="1">IFERROR(__xludf.DUMMYFUNCTION("""COMPUTED_VALUE"""),2025)</f>
        <v>2025</v>
      </c>
      <c r="E172" s="9">
        <f ca="1">IFERROR(__xludf.DUMMYFUNCTION("""COMPUTED_VALUE"""),45666)</f>
        <v>45666</v>
      </c>
      <c r="F172" s="8" t="str">
        <f ca="1">IFERROR(__xludf.DUMMYFUNCTION("""COMPUTED_VALUE"""),"Springville High School")</f>
        <v>Springville High School</v>
      </c>
      <c r="G172" s="8">
        <f ca="1">IFERROR(__xludf.DUMMYFUNCTION("""COMPUTED_VALUE"""),0)</f>
        <v>0</v>
      </c>
      <c r="H172" s="8">
        <f ca="1">IFERROR(__xludf.DUMMYFUNCTION("""COMPUTED_VALUE"""),0)</f>
        <v>0</v>
      </c>
      <c r="I172" s="8">
        <f ca="1">IFERROR(__xludf.DUMMYFUNCTION("""COMPUTED_VALUE"""),0)</f>
        <v>0</v>
      </c>
      <c r="J172" s="8">
        <f ca="1">IFERROR(__xludf.DUMMYFUNCTION("""COMPUTED_VALUE"""),0)</f>
        <v>0</v>
      </c>
      <c r="K172" s="10" t="str">
        <f ca="1">IFERROR(__xludf.DUMMYFUNCTION("""COMPUTED_VALUE"""),"https://kutv.com/news/local/springville-high-student-taken-into-custody-after-pulling-out-gun-at-school
https://www.abc4.com/news/wasatch-front/teen-arrested-after-allegedly-brandishing-a-firearm-at-springville-high-school/")</f>
        <v>https://kutv.com/news/local/springville-high-student-taken-into-custody-after-pulling-out-gun-at-school
https://www.abc4.com/news/wasatch-front/teen-arrested-after-allegedly-brandishing-a-firearm-at-springville-high-school/</v>
      </c>
      <c r="L172" s="8">
        <f ca="1">IFERROR(__xludf.DUMMYFUNCTION("""COMPUTED_VALUE"""),10)</f>
        <v>10</v>
      </c>
      <c r="M172" s="8" t="str">
        <f ca="1">IFERROR(__xludf.DUMMYFUNCTION("""COMPUTED_VALUE"""),"Regional")</f>
        <v>Regional</v>
      </c>
      <c r="N172" s="8">
        <f ca="1">IFERROR(__xludf.DUMMYFUNCTION("""COMPUTED_VALUE"""),4)</f>
        <v>4</v>
      </c>
      <c r="O172" s="8" t="str">
        <f ca="1">IFERROR(__xludf.DUMMYFUNCTION("""COMPUTED_VALUE"""),"Winter")</f>
        <v>Winter</v>
      </c>
      <c r="P172" s="8" t="str">
        <f ca="1">IFERROR(__xludf.DUMMYFUNCTION("""COMPUTED_VALUE"""),"Springville")</f>
        <v>Springville</v>
      </c>
      <c r="Q172" s="8" t="str">
        <f ca="1">IFERROR(__xludf.DUMMYFUNCTION("""COMPUTED_VALUE"""),"UT")</f>
        <v>UT</v>
      </c>
      <c r="R172" s="8" t="str">
        <f ca="1">IFERROR(__xludf.DUMMYFUNCTION("""COMPUTED_VALUE"""),"High")</f>
        <v>High</v>
      </c>
      <c r="S172" s="8" t="str">
        <f ca="1">IFERROR(__xludf.DUMMYFUNCTION("""COMPUTED_VALUE"""),"Bathroom")</f>
        <v>Bathroom</v>
      </c>
      <c r="T172" s="8" t="str">
        <f ca="1">IFERROR(__xludf.DUMMYFUNCTION("""COMPUTED_VALUE"""),"Inside School Building")</f>
        <v>Inside School Building</v>
      </c>
      <c r="U172" s="8" t="str">
        <f ca="1">IFERROR(__xludf.DUMMYFUNCTION("""COMPUTED_VALUE"""),"Yes")</f>
        <v>Yes</v>
      </c>
      <c r="V172" s="8" t="str">
        <f ca="1">IFERROR(__xludf.DUMMYFUNCTION("""COMPUTED_VALUE"""),"Lunch")</f>
        <v>Lunch</v>
      </c>
      <c r="W172" s="11">
        <f ca="1">IFERROR(__xludf.DUMMYFUNCTION("""COMPUTED_VALUE"""),0.520833333333333)</f>
        <v>0.52083333333333304</v>
      </c>
      <c r="X172" s="8">
        <f ca="1">IFERROR(__xludf.DUMMYFUNCTION("""COMPUTED_VALUE"""),1)</f>
        <v>1</v>
      </c>
      <c r="Y172" s="12" t="str">
        <f ca="1">IFERROR(__xludf.DUMMYFUNCTION("""COMPUTED_VALUE"""),"Student brandished a gun and threatened another student during lunch in the bathroom")</f>
        <v>Student brandished a gun and threatened another student during lunch in the bathroom</v>
      </c>
      <c r="Z172" s="12" t="str">
        <f ca="1">IFERROR(__xludf.DUMMYFUNCTION("""COMPUTED_VALUE"""),"Around 1:30 p.m. on Jan. 9, The Springville Police Department (SPD) became aware of incident that occurred at Springville High School that involved a student threatening another. According to SPD, a teacher had noticed one of her students “was visibly dis"&amp;"tressed in her class.” Upon further investigation, the student revealed they had allegedly been threatened with a firearm by another student. Heavy law enforcement was dispatched to investigate, and a search for the suspect began. The event allegedly occu"&amp;"rred prior to the school’s lunch hour in one of the bathrooms. Police reported that they gained the suspects identity, and determined that the juvenile suspect left the school after the incident. The suspect was later located and arrested by police. The J"&amp;"uvenile has been booked into the Juvenile Detention Center on charges of aggravated assault, brandishing a weapon, and bring a dangerous weapon onto school property.")</f>
        <v>Around 1:30 p.m. on Jan. 9, The Springville Police Department (SPD) became aware of incident that occurred at Springville High School that involved a student threatening another. According to SPD, a teacher had noticed one of her students “was visibly distressed in her class.” Upon further investigation, the student revealed they had allegedly been threatened with a firearm by another student. Heavy law enforcement was dispatched to investigate, and a search for the suspect began. The event allegedly occurred prior to the school’s lunch hour in one of the bathrooms. Police reported that they gained the suspects identity, and determined that the juvenile suspect left the school after the incident. The suspect was later located and arrested by police. The Juvenile has been booked into the Juvenile Detention Center on charges of aggravated assault, brandishing a weapon, and bring a dangerous weapon onto school property.</v>
      </c>
      <c r="AA172" s="8"/>
      <c r="AB172" s="8" t="str">
        <f ca="1">IFERROR(__xludf.DUMMYFUNCTION("""COMPUTED_VALUE"""),"Targeted")</f>
        <v>Targeted</v>
      </c>
      <c r="AC172" s="8" t="str">
        <f ca="1">IFERROR(__xludf.DUMMYFUNCTION("""COMPUTED_VALUE"""),"Yes")</f>
        <v>Yes</v>
      </c>
      <c r="AD172" s="8" t="str">
        <f ca="1">IFERROR(__xludf.DUMMYFUNCTION("""COMPUTED_VALUE"""),"Victims Targeted")</f>
        <v>Victims Targeted</v>
      </c>
      <c r="AE172" s="8" t="str">
        <f ca="1">IFERROR(__xludf.DUMMYFUNCTION("""COMPUTED_VALUE"""),"No")</f>
        <v>No</v>
      </c>
      <c r="AF172" s="8"/>
      <c r="AG172" s="8" t="str">
        <f ca="1">IFERROR(__xludf.DUMMYFUNCTION("""COMPUTED_VALUE"""),"No")</f>
        <v>No</v>
      </c>
      <c r="AH172" s="8" t="str">
        <f ca="1">IFERROR(__xludf.DUMMYFUNCTION("""COMPUTED_VALUE"""),"No")</f>
        <v>No</v>
      </c>
      <c r="AI172" s="8" t="str">
        <f ca="1">IFERROR(__xludf.DUMMYFUNCTION("""COMPUTED_VALUE"""),"No")</f>
        <v>No</v>
      </c>
      <c r="AJ172" s="8"/>
      <c r="AK172" s="8"/>
      <c r="AL172" s="8" t="str">
        <f ca="1">IFERROR(__xludf.DUMMYFUNCTION("""COMPUTED_VALUE"""),"No")</f>
        <v>No</v>
      </c>
      <c r="AM172" s="8" t="str">
        <f ca="1">IFERROR(__xludf.DUMMYFUNCTION("""COMPUTED_VALUE"""),"No")</f>
        <v>No</v>
      </c>
      <c r="AN172" s="8" t="str">
        <f ca="1">IFERROR(__xludf.DUMMYFUNCTION("""COMPUTED_VALUE"""),"Single Room")</f>
        <v>Single Room</v>
      </c>
      <c r="AO172" s="8" t="str">
        <f ca="1">IFERROR(__xludf.DUMMYFUNCTION("""COMPUTED_VALUE"""),"No")</f>
        <v>No</v>
      </c>
      <c r="AP172" s="8"/>
      <c r="AQ172" s="8"/>
      <c r="AR172" s="8" t="str">
        <f ca="1">IFERROR(__xludf.DUMMYFUNCTION("""COMPUTED_VALUE"""),"Failed")</f>
        <v>Failed</v>
      </c>
      <c r="AS172" s="8">
        <f ca="1">IFERROR(__xludf.DUMMYFUNCTION("""COMPUTED_VALUE"""),0)</f>
        <v>0</v>
      </c>
      <c r="AT172" s="8" t="str">
        <f ca="1">IFERROR(__xludf.DUMMYFUNCTION("""COMPUTED_VALUE"""),"Yes")</f>
        <v>Yes</v>
      </c>
      <c r="AU172" s="8">
        <f ca="1">IFERROR(__xludf.DUMMYFUNCTION("""COMPUTED_VALUE"""),40.154474)</f>
        <v>40.154474</v>
      </c>
      <c r="AV172" s="8">
        <f ca="1">IFERROR(__xludf.DUMMYFUNCTION("""COMPUTED_VALUE"""),-111.588758)</f>
        <v>-111.588758</v>
      </c>
      <c r="AW172" s="8" t="str">
        <f ca="1">IFERROR(__xludf.DUMMYFUNCTION("""COMPUTED_VALUE"""),"Multiple detached buildings")</f>
        <v>Multiple detached buildings</v>
      </c>
      <c r="AX172" s="8">
        <f ca="1">IFERROR(__xludf.DUMMYFUNCTION("""COMPUTED_VALUE"""),84664)</f>
        <v>84664</v>
      </c>
    </row>
    <row r="173" spans="1:50" ht="180" x14ac:dyDescent="0.2">
      <c r="A173" s="8" t="str">
        <f ca="1">IFERROR(__xludf.DUMMYFUNCTION("""COMPUTED_VALUE"""),"20250108ORMIP")</f>
        <v>20250108ORMIP</v>
      </c>
      <c r="B173" s="8">
        <f ca="1">IFERROR(__xludf.DUMMYFUNCTION("""COMPUTED_VALUE"""),1)</f>
        <v>1</v>
      </c>
      <c r="C173" s="8">
        <f ca="1">IFERROR(__xludf.DUMMYFUNCTION("""COMPUTED_VALUE"""),8)</f>
        <v>8</v>
      </c>
      <c r="D173" s="8">
        <f ca="1">IFERROR(__xludf.DUMMYFUNCTION("""COMPUTED_VALUE"""),2025)</f>
        <v>2025</v>
      </c>
      <c r="E173" s="9">
        <f ca="1">IFERROR(__xludf.DUMMYFUNCTION("""COMPUTED_VALUE"""),45665)</f>
        <v>45665</v>
      </c>
      <c r="F173" s="8" t="str">
        <f ca="1">IFERROR(__xludf.DUMMYFUNCTION("""COMPUTED_VALUE"""),"Mill Park Elementary School")</f>
        <v>Mill Park Elementary School</v>
      </c>
      <c r="G173" s="8">
        <f ca="1">IFERROR(__xludf.DUMMYFUNCTION("""COMPUTED_VALUE"""),0)</f>
        <v>0</v>
      </c>
      <c r="H173" s="8">
        <f ca="1">IFERROR(__xludf.DUMMYFUNCTION("""COMPUTED_VALUE"""),2)</f>
        <v>2</v>
      </c>
      <c r="I173" s="8">
        <f ca="1">IFERROR(__xludf.DUMMYFUNCTION("""COMPUTED_VALUE"""),2)</f>
        <v>2</v>
      </c>
      <c r="J173" s="8">
        <f ca="1">IFERROR(__xludf.DUMMYFUNCTION("""COMPUTED_VALUE"""),0)</f>
        <v>0</v>
      </c>
      <c r="K173" s="10" t="str">
        <f ca="1">IFERROR(__xludf.DUMMYFUNCTION("""COMPUTED_VALUE"""),"https://www.kptv.com/2025/01/08/2-teens-hurt-shooting-se-portland/
https://www.kgw.com/article/news/crime/2-teens-shot-southeast-portland/283-9b1e5f77-a293-466b-a32b-e2acc682e5fd")</f>
        <v>https://www.kptv.com/2025/01/08/2-teens-hurt-shooting-se-portland/
https://www.kgw.com/article/news/crime/2-teens-shot-southeast-portland/283-9b1e5f77-a293-466b-a32b-e2acc682e5fd</v>
      </c>
      <c r="L173" s="8">
        <f ca="1">IFERROR(__xludf.DUMMYFUNCTION("""COMPUTED_VALUE"""),5)</f>
        <v>5</v>
      </c>
      <c r="M173" s="8" t="str">
        <f ca="1">IFERROR(__xludf.DUMMYFUNCTION("""COMPUTED_VALUE"""),"Local")</f>
        <v>Local</v>
      </c>
      <c r="N173" s="8">
        <f ca="1">IFERROR(__xludf.DUMMYFUNCTION("""COMPUTED_VALUE"""),4)</f>
        <v>4</v>
      </c>
      <c r="O173" s="8" t="str">
        <f ca="1">IFERROR(__xludf.DUMMYFUNCTION("""COMPUTED_VALUE"""),"Winter")</f>
        <v>Winter</v>
      </c>
      <c r="P173" s="8" t="str">
        <f ca="1">IFERROR(__xludf.DUMMYFUNCTION("""COMPUTED_VALUE"""),"Portland")</f>
        <v>Portland</v>
      </c>
      <c r="Q173" s="8" t="str">
        <f ca="1">IFERROR(__xludf.DUMMYFUNCTION("""COMPUTED_VALUE"""),"OR")</f>
        <v>OR</v>
      </c>
      <c r="R173" s="8" t="str">
        <f ca="1">IFERROR(__xludf.DUMMYFUNCTION("""COMPUTED_VALUE"""),"Elementary")</f>
        <v>Elementary</v>
      </c>
      <c r="S173" s="8" t="str">
        <f ca="1">IFERROR(__xludf.DUMMYFUNCTION("""COMPUTED_VALUE"""),"Parking Lot")</f>
        <v>Parking Lot</v>
      </c>
      <c r="T173" s="8" t="str">
        <f ca="1">IFERROR(__xludf.DUMMYFUNCTION("""COMPUTED_VALUE"""),"Outside on School Property")</f>
        <v>Outside on School Property</v>
      </c>
      <c r="U173" s="8" t="str">
        <f ca="1">IFERROR(__xludf.DUMMYFUNCTION("""COMPUTED_VALUE"""),"No")</f>
        <v>No</v>
      </c>
      <c r="V173" s="8" t="str">
        <f ca="1">IFERROR(__xludf.DUMMYFUNCTION("""COMPUTED_VALUE"""),"Evening")</f>
        <v>Evening</v>
      </c>
      <c r="W173" s="11">
        <f ca="1">IFERROR(__xludf.DUMMYFUNCTION("""COMPUTED_VALUE"""),0.854166666666666)</f>
        <v>0.85416666666666596</v>
      </c>
      <c r="X173" s="8">
        <f ca="1">IFERROR(__xludf.DUMMYFUNCTION("""COMPUTED_VALUE"""),1)</f>
        <v>1</v>
      </c>
      <c r="Y173" s="12" t="str">
        <f ca="1">IFERROR(__xludf.DUMMYFUNCTION("""COMPUTED_VALUE"""),"Two teens shot during planned fight between two groups of teens")</f>
        <v>Two teens shot during planned fight between two groups of teens</v>
      </c>
      <c r="Z173" s="12" t="str">
        <f ca="1">IFERROR(__xludf.DUMMYFUNCTION("""COMPUTED_VALUE"""),"Two teenage boys were injured in a shooting Tuesday evening in Southeast Portland. Both have been hospitalized but are expected to survive, according to Portland Police Bureau Public Information Manager Mike Benner. The shooting happened at around 8:30 p."&amp;"m. in the area around Mill Park Elementary School and Mill City Park, according to police scanner traffic. Benner said it was initially reported as a disturbance near a school, but officers arrived and found the two victims. No suspects have been located,"&amp;" Benner said, adding that the early investigation suggests that the shooting broke out after two groups ""met to settle an issue.""")</f>
        <v>Two teenage boys were injured in a shooting Tuesday evening in Southeast Portland. Both have been hospitalized but are expected to survive, according to Portland Police Bureau Public Information Manager Mike Benner. The shooting happened at around 8:30 p.m. in the area around Mill Park Elementary School and Mill City Park, according to police scanner traffic. Benner said it was initially reported as a disturbance near a school, but officers arrived and found the two victims. No suspects have been located, Benner said, adding that the early investigation suggests that the shooting broke out after two groups "met to settle an issue."</v>
      </c>
      <c r="AA173" s="8" t="str">
        <f ca="1">IFERROR(__xludf.DUMMYFUNCTION("""COMPUTED_VALUE"""),"Escalation of Dispute")</f>
        <v>Escalation of Dispute</v>
      </c>
      <c r="AB173" s="8" t="str">
        <f ca="1">IFERROR(__xludf.DUMMYFUNCTION("""COMPUTED_VALUE"""),"Targeted")</f>
        <v>Targeted</v>
      </c>
      <c r="AC173" s="8" t="str">
        <f ca="1">IFERROR(__xludf.DUMMYFUNCTION("""COMPUTED_VALUE"""),"No")</f>
        <v>No</v>
      </c>
      <c r="AD173" s="8" t="str">
        <f ca="1">IFERROR(__xludf.DUMMYFUNCTION("""COMPUTED_VALUE"""),"Victims Targeted")</f>
        <v>Victims Targeted</v>
      </c>
      <c r="AE173" s="8" t="str">
        <f ca="1">IFERROR(__xludf.DUMMYFUNCTION("""COMPUTED_VALUE"""),"Yes")</f>
        <v>Yes</v>
      </c>
      <c r="AF173" s="8" t="str">
        <f ca="1">IFERROR(__xludf.DUMMYFUNCTION("""COMPUTED_VALUE"""),"Two groups")</f>
        <v>Two groups</v>
      </c>
      <c r="AG173" s="8" t="str">
        <f ca="1">IFERROR(__xludf.DUMMYFUNCTION("""COMPUTED_VALUE"""),"No")</f>
        <v>No</v>
      </c>
      <c r="AH173" s="8" t="str">
        <f ca="1">IFERROR(__xludf.DUMMYFUNCTION("""COMPUTED_VALUE"""),"No")</f>
        <v>No</v>
      </c>
      <c r="AI173" s="8" t="str">
        <f ca="1">IFERROR(__xludf.DUMMYFUNCTION("""COMPUTED_VALUE"""),"No")</f>
        <v>No</v>
      </c>
      <c r="AJ173" s="8" t="str">
        <f ca="1">IFERROR(__xludf.DUMMYFUNCTION("""COMPUTED_VALUE"""),"No")</f>
        <v>No</v>
      </c>
      <c r="AK173" s="8" t="str">
        <f ca="1">IFERROR(__xludf.DUMMYFUNCTION("""COMPUTED_VALUE"""),"No")</f>
        <v>No</v>
      </c>
      <c r="AL173" s="8"/>
      <c r="AM173" s="8" t="str">
        <f ca="1">IFERROR(__xludf.DUMMYFUNCTION("""COMPUTED_VALUE"""),"No")</f>
        <v>No</v>
      </c>
      <c r="AN173" s="8" t="str">
        <f ca="1">IFERROR(__xludf.DUMMYFUNCTION("""COMPUTED_VALUE"""),"Outside")</f>
        <v>Outside</v>
      </c>
      <c r="AO173" s="8" t="str">
        <f ca="1">IFERROR(__xludf.DUMMYFUNCTION("""COMPUTED_VALUE"""),"No")</f>
        <v>No</v>
      </c>
      <c r="AP173" s="8"/>
      <c r="AQ173" s="8"/>
      <c r="AR173" s="8" t="str">
        <f ca="1">IFERROR(__xludf.DUMMYFUNCTION("""COMPUTED_VALUE"""),"Outside/Off-Property")</f>
        <v>Outside/Off-Property</v>
      </c>
      <c r="AS173" s="8">
        <f ca="1">IFERROR(__xludf.DUMMYFUNCTION("""COMPUTED_VALUE"""),99)</f>
        <v>99</v>
      </c>
      <c r="AT173" s="8" t="str">
        <f ca="1">IFERROR(__xludf.DUMMYFUNCTION("""COMPUTED_VALUE"""),"No")</f>
        <v>No</v>
      </c>
      <c r="AU173" s="8">
        <f ca="1">IFERROR(__xludf.DUMMYFUNCTION("""COMPUTED_VALUE"""),45.509619)</f>
        <v>45.509619000000001</v>
      </c>
      <c r="AV173" s="8">
        <f ca="1">IFERROR(__xludf.DUMMYFUNCTION("""COMPUTED_VALUE"""),-122.54224)</f>
        <v>-122.54224000000001</v>
      </c>
      <c r="AW173" s="8" t="str">
        <f ca="1">IFERROR(__xludf.DUMMYFUNCTION("""COMPUTED_VALUE"""),"Multiple detached buildings")</f>
        <v>Multiple detached buildings</v>
      </c>
      <c r="AX173" s="8">
        <f ca="1">IFERROR(__xludf.DUMMYFUNCTION("""COMPUTED_VALUE"""),97216)</f>
        <v>97216</v>
      </c>
    </row>
    <row r="174" spans="1:50" ht="120" x14ac:dyDescent="0.2">
      <c r="A174" s="8" t="str">
        <f ca="1">IFERROR(__xludf.DUMMYFUNCTION("""COMPUTED_VALUE"""),"20250102NYDRN")</f>
        <v>20250102NYDRN</v>
      </c>
      <c r="B174" s="8">
        <f ca="1">IFERROR(__xludf.DUMMYFUNCTION("""COMPUTED_VALUE"""),1)</f>
        <v>1</v>
      </c>
      <c r="C174" s="8">
        <f ca="1">IFERROR(__xludf.DUMMYFUNCTION("""COMPUTED_VALUE"""),2)</f>
        <v>2</v>
      </c>
      <c r="D174" s="8">
        <f ca="1">IFERROR(__xludf.DUMMYFUNCTION("""COMPUTED_VALUE"""),2025)</f>
        <v>2025</v>
      </c>
      <c r="E174" s="9">
        <f ca="1">IFERROR(__xludf.DUMMYFUNCTION("""COMPUTED_VALUE"""),45659)</f>
        <v>45659</v>
      </c>
      <c r="F174" s="8" t="str">
        <f ca="1">IFERROR(__xludf.DUMMYFUNCTION("""COMPUTED_VALUE"""),"Dr. Susan S. McKinney Secondary School of the Arts")</f>
        <v>Dr. Susan S. McKinney Secondary School of the Arts</v>
      </c>
      <c r="G174" s="8">
        <f ca="1">IFERROR(__xludf.DUMMYFUNCTION("""COMPUTED_VALUE"""),0)</f>
        <v>0</v>
      </c>
      <c r="H174" s="8">
        <f ca="1">IFERROR(__xludf.DUMMYFUNCTION("""COMPUTED_VALUE"""),1)</f>
        <v>1</v>
      </c>
      <c r="I174" s="8">
        <f ca="1">IFERROR(__xludf.DUMMYFUNCTION("""COMPUTED_VALUE"""),1)</f>
        <v>1</v>
      </c>
      <c r="J174" s="8">
        <f ca="1">IFERROR(__xludf.DUMMYFUNCTION("""COMPUTED_VALUE"""),0)</f>
        <v>0</v>
      </c>
      <c r="K174" s="10" t="str">
        <f ca="1">IFERROR(__xludf.DUMMYFUNCTION("""COMPUTED_VALUE"""),"https://gothamist.com/news/teenage-boy-shot-outside-brooklyn-school-as-students-returned-from-break
https://www.nydailynews.com/2025/01/02/teen-shot-outside-brooklyn-school-on-first-day-back-after-winter-break/
https://www.cbsnews.com/newyork/news/brookly"&amp;"n-shooting-near-school/")</f>
        <v>https://gothamist.com/news/teenage-boy-shot-outside-brooklyn-school-as-students-returned-from-break
https://www.nydailynews.com/2025/01/02/teen-shot-outside-brooklyn-school-on-first-day-back-after-winter-break/
https://www.cbsnews.com/newyork/news/brooklyn-shooting-near-school/</v>
      </c>
      <c r="L174" s="8">
        <f ca="1">IFERROR(__xludf.DUMMYFUNCTION("""COMPUTED_VALUE"""),10)</f>
        <v>10</v>
      </c>
      <c r="M174" s="8" t="str">
        <f ca="1">IFERROR(__xludf.DUMMYFUNCTION("""COMPUTED_VALUE"""),"Regional")</f>
        <v>Regional</v>
      </c>
      <c r="N174" s="8">
        <f ca="1">IFERROR(__xludf.DUMMYFUNCTION("""COMPUTED_VALUE"""),4)</f>
        <v>4</v>
      </c>
      <c r="O174" s="8" t="str">
        <f ca="1">IFERROR(__xludf.DUMMYFUNCTION("""COMPUTED_VALUE"""),"Winter")</f>
        <v>Winter</v>
      </c>
      <c r="P174" s="8" t="str">
        <f ca="1">IFERROR(__xludf.DUMMYFUNCTION("""COMPUTED_VALUE"""),"Brooklyn")</f>
        <v>Brooklyn</v>
      </c>
      <c r="Q174" s="8" t="str">
        <f ca="1">IFERROR(__xludf.DUMMYFUNCTION("""COMPUTED_VALUE"""),"NY")</f>
        <v>NY</v>
      </c>
      <c r="R174" s="8" t="str">
        <f ca="1">IFERROR(__xludf.DUMMYFUNCTION("""COMPUTED_VALUE"""),"High")</f>
        <v>High</v>
      </c>
      <c r="S174" s="8" t="str">
        <f ca="1">IFERROR(__xludf.DUMMYFUNCTION("""COMPUTED_VALUE"""),"Front of School")</f>
        <v>Front of School</v>
      </c>
      <c r="T174" s="8" t="str">
        <f ca="1">IFERROR(__xludf.DUMMYFUNCTION("""COMPUTED_VALUE"""),"Outside on School Property")</f>
        <v>Outside on School Property</v>
      </c>
      <c r="U174" s="8" t="str">
        <f ca="1">IFERROR(__xludf.DUMMYFUNCTION("""COMPUTED_VALUE"""),"Yes")</f>
        <v>Yes</v>
      </c>
      <c r="V174" s="8" t="str">
        <f ca="1">IFERROR(__xludf.DUMMYFUNCTION("""COMPUTED_VALUE"""),"School Start")</f>
        <v>School Start</v>
      </c>
      <c r="W174" s="11">
        <f ca="1">IFERROR(__xludf.DUMMYFUNCTION("""COMPUTED_VALUE"""),0.354166666666666)</f>
        <v>0.35416666666666602</v>
      </c>
      <c r="X174" s="8">
        <f ca="1">IFERROR(__xludf.DUMMYFUNCTION("""COMPUTED_VALUE"""),1)</f>
        <v>1</v>
      </c>
      <c r="Y174" s="12" t="str">
        <f ca="1">IFERROR(__xludf.DUMMYFUNCTION("""COMPUTED_VALUE"""),"Student shot outside of the school, ran into the school for assistance")</f>
        <v>Student shot outside of the school, ran into the school for assistance</v>
      </c>
      <c r="Z174" s="12" t="str">
        <f ca="1">IFERROR(__xludf.DUMMYFUNCTION("""COMPUTED_VALUE"""),"A 17-year-old boy was shot near Dr. Susan S. McKinney Secondary School of the Arts in Fort Greene on Thursday morning, police said. The shooting happened just before 8:30 a.m. at the corner of Park Avenue and North Oxford Street. Police say the teen was s"&amp;"truck in the stomach and managed to run to the school, where he got help from school safety agents. He was taken to Methodist Hospital and is in stable condition, according to authorities.")</f>
        <v>A 17-year-old boy was shot near Dr. Susan S. McKinney Secondary School of the Arts in Fort Greene on Thursday morning, police said. The shooting happened just before 8:30 a.m. at the corner of Park Avenue and North Oxford Street. Police say the teen was struck in the stomach and managed to run to the school, where he got help from school safety agents. He was taken to Methodist Hospital and is in stable condition, according to authorities.</v>
      </c>
      <c r="AA174" s="8"/>
      <c r="AB174" s="8" t="str">
        <f ca="1">IFERROR(__xludf.DUMMYFUNCTION("""COMPUTED_VALUE"""),"Targeted")</f>
        <v>Targeted</v>
      </c>
      <c r="AC174" s="8" t="str">
        <f ca="1">IFERROR(__xludf.DUMMYFUNCTION("""COMPUTED_VALUE"""),"Yes")</f>
        <v>Yes</v>
      </c>
      <c r="AD174" s="8" t="str">
        <f ca="1">IFERROR(__xludf.DUMMYFUNCTION("""COMPUTED_VALUE"""),"Victims Targeted")</f>
        <v>Victims Targeted</v>
      </c>
      <c r="AE174" s="8" t="str">
        <f ca="1">IFERROR(__xludf.DUMMYFUNCTION("""COMPUTED_VALUE"""),"No")</f>
        <v>No</v>
      </c>
      <c r="AF174" s="8"/>
      <c r="AG174" s="8" t="str">
        <f ca="1">IFERROR(__xludf.DUMMYFUNCTION("""COMPUTED_VALUE"""),"No")</f>
        <v>No</v>
      </c>
      <c r="AH174" s="8" t="str">
        <f ca="1">IFERROR(__xludf.DUMMYFUNCTION("""COMPUTED_VALUE"""),"No")</f>
        <v>No</v>
      </c>
      <c r="AI174" s="8" t="str">
        <f ca="1">IFERROR(__xludf.DUMMYFUNCTION("""COMPUTED_VALUE"""),"No")</f>
        <v>No</v>
      </c>
      <c r="AJ174" s="8" t="str">
        <f ca="1">IFERROR(__xludf.DUMMYFUNCTION("""COMPUTED_VALUE"""),"No")</f>
        <v>No</v>
      </c>
      <c r="AK174" s="8" t="str">
        <f ca="1">IFERROR(__xludf.DUMMYFUNCTION("""COMPUTED_VALUE"""),"No")</f>
        <v>No</v>
      </c>
      <c r="AL174" s="8"/>
      <c r="AM174" s="8" t="str">
        <f ca="1">IFERROR(__xludf.DUMMYFUNCTION("""COMPUTED_VALUE"""),"No")</f>
        <v>No</v>
      </c>
      <c r="AN174" s="8" t="str">
        <f ca="1">IFERROR(__xludf.DUMMYFUNCTION("""COMPUTED_VALUE"""),"Outside")</f>
        <v>Outside</v>
      </c>
      <c r="AO174" s="8" t="str">
        <f ca="1">IFERROR(__xludf.DUMMYFUNCTION("""COMPUTED_VALUE"""),"No")</f>
        <v>No</v>
      </c>
      <c r="AP174" s="8"/>
      <c r="AQ174" s="8"/>
      <c r="AR174" s="8" t="str">
        <f ca="1">IFERROR(__xludf.DUMMYFUNCTION("""COMPUTED_VALUE"""),"Outside/Off-Property")</f>
        <v>Outside/Off-Property</v>
      </c>
      <c r="AS174" s="8"/>
      <c r="AT174" s="8" t="str">
        <f ca="1">IFERROR(__xludf.DUMMYFUNCTION("""COMPUTED_VALUE"""),"Yes")</f>
        <v>Yes</v>
      </c>
      <c r="AU174" s="8">
        <f ca="1">IFERROR(__xludf.DUMMYFUNCTION("""COMPUTED_VALUE"""),40.696757)</f>
        <v>40.696756999999998</v>
      </c>
      <c r="AV174" s="8">
        <f ca="1">IFERROR(__xludf.DUMMYFUNCTION("""COMPUTED_VALUE"""),-73.975611)</f>
        <v>-73.975611000000001</v>
      </c>
      <c r="AW174" s="8" t="str">
        <f ca="1">IFERROR(__xludf.DUMMYFUNCTION("""COMPUTED_VALUE"""),"Urban Street Standalone")</f>
        <v>Urban Street Standalone</v>
      </c>
      <c r="AX174" s="8">
        <f ca="1">IFERROR(__xludf.DUMMYFUNCTION("""COMPUTED_VALUE"""),11205)</f>
        <v>11205</v>
      </c>
    </row>
    <row r="175" spans="1:50" ht="60" x14ac:dyDescent="0.2">
      <c r="A175" s="8" t="str">
        <f ca="1">IFERROR(__xludf.DUMMYFUNCTION("""COMPUTED_VALUE"""),"20241231CTCEB")</f>
        <v>20241231CTCEB</v>
      </c>
      <c r="B175" s="8">
        <f ca="1">IFERROR(__xludf.DUMMYFUNCTION("""COMPUTED_VALUE"""),12)</f>
        <v>12</v>
      </c>
      <c r="C175" s="8">
        <f ca="1">IFERROR(__xludf.DUMMYFUNCTION("""COMPUTED_VALUE"""),31)</f>
        <v>31</v>
      </c>
      <c r="D175" s="8">
        <f ca="1">IFERROR(__xludf.DUMMYFUNCTION("""COMPUTED_VALUE"""),2024)</f>
        <v>2024</v>
      </c>
      <c r="E175" s="9">
        <f ca="1">IFERROR(__xludf.DUMMYFUNCTION("""COMPUTED_VALUE"""),45657)</f>
        <v>45657</v>
      </c>
      <c r="F175" s="8" t="str">
        <f ca="1">IFERROR(__xludf.DUMMYFUNCTION("""COMPUTED_VALUE"""),"Central High School")</f>
        <v>Central High School</v>
      </c>
      <c r="G175" s="8">
        <f ca="1">IFERROR(__xludf.DUMMYFUNCTION("""COMPUTED_VALUE"""),0)</f>
        <v>0</v>
      </c>
      <c r="H175" s="8">
        <f ca="1">IFERROR(__xludf.DUMMYFUNCTION("""COMPUTED_VALUE"""),1)</f>
        <v>1</v>
      </c>
      <c r="I175" s="8">
        <f ca="1">IFERROR(__xludf.DUMMYFUNCTION("""COMPUTED_VALUE"""),1)</f>
        <v>1</v>
      </c>
      <c r="J175" s="8">
        <f ca="1">IFERROR(__xludf.DUMMYFUNCTION("""COMPUTED_VALUE"""),0)</f>
        <v>0</v>
      </c>
      <c r="K175" s="10" t="str">
        <f ca="1">IFERROR(__xludf.DUMMYFUNCTION("""COMPUTED_VALUE"""),"https://www.ctpost.com/news/article/bridgeport-central-high-school-shooting-20009552.php
https://www.wtnh.com/news/police-one-shot-at-central-high-school-in-bridgeport/")</f>
        <v>https://www.ctpost.com/news/article/bridgeport-central-high-school-shooting-20009552.php
https://www.wtnh.com/news/police-one-shot-at-central-high-school-in-bridgeport/</v>
      </c>
      <c r="L175" s="8">
        <f ca="1">IFERROR(__xludf.DUMMYFUNCTION("""COMPUTED_VALUE"""),2)</f>
        <v>2</v>
      </c>
      <c r="M175" s="8" t="str">
        <f ca="1">IFERROR(__xludf.DUMMYFUNCTION("""COMPUTED_VALUE"""),"Local")</f>
        <v>Local</v>
      </c>
      <c r="N175" s="8">
        <f ca="1">IFERROR(__xludf.DUMMYFUNCTION("""COMPUTED_VALUE"""),4)</f>
        <v>4</v>
      </c>
      <c r="O175" s="8" t="str">
        <f ca="1">IFERROR(__xludf.DUMMYFUNCTION("""COMPUTED_VALUE"""),"Winter")</f>
        <v>Winter</v>
      </c>
      <c r="P175" s="8" t="str">
        <f ca="1">IFERROR(__xludf.DUMMYFUNCTION("""COMPUTED_VALUE"""),"Bridgeport")</f>
        <v>Bridgeport</v>
      </c>
      <c r="Q175" s="8" t="str">
        <f ca="1">IFERROR(__xludf.DUMMYFUNCTION("""COMPUTED_VALUE"""),"CT")</f>
        <v>CT</v>
      </c>
      <c r="R175" s="8" t="str">
        <f ca="1">IFERROR(__xludf.DUMMYFUNCTION("""COMPUTED_VALUE"""),"High")</f>
        <v>High</v>
      </c>
      <c r="S175" s="8" t="str">
        <f ca="1">IFERROR(__xludf.DUMMYFUNCTION("""COMPUTED_VALUE"""),"Outside on School Property")</f>
        <v>Outside on School Property</v>
      </c>
      <c r="T175" s="8" t="str">
        <f ca="1">IFERROR(__xludf.DUMMYFUNCTION("""COMPUTED_VALUE"""),"Outside on School Property")</f>
        <v>Outside on School Property</v>
      </c>
      <c r="U175" s="8" t="str">
        <f ca="1">IFERROR(__xludf.DUMMYFUNCTION("""COMPUTED_VALUE"""),"No")</f>
        <v>No</v>
      </c>
      <c r="V175" s="8" t="str">
        <f ca="1">IFERROR(__xludf.DUMMYFUNCTION("""COMPUTED_VALUE"""),"Evening")</f>
        <v>Evening</v>
      </c>
      <c r="W175" s="11">
        <f ca="1">IFERROR(__xludf.DUMMYFUNCTION("""COMPUTED_VALUE"""),0.795138888888888)</f>
        <v>0.79513888888888795</v>
      </c>
      <c r="X175" s="8">
        <f ca="1">IFERROR(__xludf.DUMMYFUNCTION("""COMPUTED_VALUE"""),1)</f>
        <v>1</v>
      </c>
      <c r="Y175" s="12" t="str">
        <f ca="1">IFERROR(__xludf.DUMMYFUNCTION("""COMPUTED_VALUE"""),"Person shot in the chest outside the school")</f>
        <v>Person shot in the chest outside the school</v>
      </c>
      <c r="Z175" s="12" t="str">
        <f ca="1">IFERROR(__xludf.DUMMYFUNCTION("""COMPUTED_VALUE"""),"The city's emergency communications center received a call reporting shots fired at the high school around 7:05 p.m. ""The victim was transported to the hospital with a chest wound.""")</f>
        <v>The city's emergency communications center received a call reporting shots fired at the high school around 7:05 p.m. "The victim was transported to the hospital with a chest wound."</v>
      </c>
      <c r="AA175" s="8"/>
      <c r="AB175" s="8" t="str">
        <f ca="1">IFERROR(__xludf.DUMMYFUNCTION("""COMPUTED_VALUE"""),"Targeted")</f>
        <v>Targeted</v>
      </c>
      <c r="AC175" s="8" t="str">
        <f ca="1">IFERROR(__xludf.DUMMYFUNCTION("""COMPUTED_VALUE"""),"No")</f>
        <v>No</v>
      </c>
      <c r="AD175" s="8" t="str">
        <f ca="1">IFERROR(__xludf.DUMMYFUNCTION("""COMPUTED_VALUE"""),"Victims Targeted")</f>
        <v>Victims Targeted</v>
      </c>
      <c r="AE175" s="8"/>
      <c r="AF175" s="8"/>
      <c r="AG175" s="8" t="str">
        <f ca="1">IFERROR(__xludf.DUMMYFUNCTION("""COMPUTED_VALUE"""),"No")</f>
        <v>No</v>
      </c>
      <c r="AH175" s="8" t="str">
        <f ca="1">IFERROR(__xludf.DUMMYFUNCTION("""COMPUTED_VALUE"""),"No")</f>
        <v>No</v>
      </c>
      <c r="AI175" s="8" t="str">
        <f ca="1">IFERROR(__xludf.DUMMYFUNCTION("""COMPUTED_VALUE"""),"No")</f>
        <v>No</v>
      </c>
      <c r="AJ175" s="8" t="str">
        <f ca="1">IFERROR(__xludf.DUMMYFUNCTION("""COMPUTED_VALUE"""),"No")</f>
        <v>No</v>
      </c>
      <c r="AK175" s="8" t="str">
        <f ca="1">IFERROR(__xludf.DUMMYFUNCTION("""COMPUTED_VALUE"""),"No")</f>
        <v>No</v>
      </c>
      <c r="AL175" s="8"/>
      <c r="AM175" s="8" t="str">
        <f ca="1">IFERROR(__xludf.DUMMYFUNCTION("""COMPUTED_VALUE"""),"No")</f>
        <v>No</v>
      </c>
      <c r="AN175" s="8" t="str">
        <f ca="1">IFERROR(__xludf.DUMMYFUNCTION("""COMPUTED_VALUE"""),"Outside")</f>
        <v>Outside</v>
      </c>
      <c r="AO175" s="8" t="str">
        <f ca="1">IFERROR(__xludf.DUMMYFUNCTION("""COMPUTED_VALUE"""),"No")</f>
        <v>No</v>
      </c>
      <c r="AP175" s="8"/>
      <c r="AQ175" s="8"/>
      <c r="AR175" s="8" t="str">
        <f ca="1">IFERROR(__xludf.DUMMYFUNCTION("""COMPUTED_VALUE"""),"Outside/Off-Property")</f>
        <v>Outside/Off-Property</v>
      </c>
      <c r="AS175" s="8"/>
      <c r="AT175" s="8" t="str">
        <f ca="1">IFERROR(__xludf.DUMMYFUNCTION("""COMPUTED_VALUE"""),"No")</f>
        <v>No</v>
      </c>
      <c r="AU175" s="8">
        <f ca="1">IFERROR(__xludf.DUMMYFUNCTION("""COMPUTED_VALUE"""),41.187811)</f>
        <v>41.187811000000004</v>
      </c>
      <c r="AV175" s="8">
        <f ca="1">IFERROR(__xludf.DUMMYFUNCTION("""COMPUTED_VALUE"""),-73.205847)</f>
        <v>-73.205847000000006</v>
      </c>
      <c r="AW175" s="8" t="str">
        <f ca="1">IFERROR(__xludf.DUMMYFUNCTION("""COMPUTED_VALUE"""),"Multiple attached buildings")</f>
        <v>Multiple attached buildings</v>
      </c>
      <c r="AX175" s="8">
        <f ca="1">IFERROR(__xludf.DUMMYFUNCTION("""COMPUTED_VALUE"""),6606)</f>
        <v>6606</v>
      </c>
    </row>
    <row r="176" spans="1:50" ht="30" x14ac:dyDescent="0.2">
      <c r="A176" s="8" t="str">
        <f ca="1">IFERROR(__xludf.DUMMYFUNCTION("""COMPUTED_VALUE"""),"20241228PAGRP")</f>
        <v>20241228PAGRP</v>
      </c>
      <c r="B176" s="8">
        <f ca="1">IFERROR(__xludf.DUMMYFUNCTION("""COMPUTED_VALUE"""),12)</f>
        <v>12</v>
      </c>
      <c r="C176" s="8">
        <f ca="1">IFERROR(__xludf.DUMMYFUNCTION("""COMPUTED_VALUE"""),28)</f>
        <v>28</v>
      </c>
      <c r="D176" s="8">
        <f ca="1">IFERROR(__xludf.DUMMYFUNCTION("""COMPUTED_VALUE"""),2024)</f>
        <v>2024</v>
      </c>
      <c r="E176" s="9">
        <f ca="1">IFERROR(__xludf.DUMMYFUNCTION("""COMPUTED_VALUE"""),45654)</f>
        <v>45654</v>
      </c>
      <c r="F176" s="8" t="str">
        <f ca="1">IFERROR(__xludf.DUMMYFUNCTION("""COMPUTED_VALUE"""),"Gratz Prep Middle School")</f>
        <v>Gratz Prep Middle School</v>
      </c>
      <c r="G176" s="8">
        <f ca="1">IFERROR(__xludf.DUMMYFUNCTION("""COMPUTED_VALUE"""),0)</f>
        <v>0</v>
      </c>
      <c r="H176" s="8">
        <f ca="1">IFERROR(__xludf.DUMMYFUNCTION("""COMPUTED_VALUE"""),2)</f>
        <v>2</v>
      </c>
      <c r="I176" s="8">
        <f ca="1">IFERROR(__xludf.DUMMYFUNCTION("""COMPUTED_VALUE"""),2)</f>
        <v>2</v>
      </c>
      <c r="J176" s="8">
        <f ca="1">IFERROR(__xludf.DUMMYFUNCTION("""COMPUTED_VALUE"""),0)</f>
        <v>0</v>
      </c>
      <c r="K176" s="10" t="str">
        <f ca="1">IFERROR(__xludf.DUMMYFUNCTION("""COMPUTED_VALUE"""),"https://www.fox29.com/news/2-hospitalized-after-shooting-near-philly-middle-school-officials")</f>
        <v>https://www.fox29.com/news/2-hospitalized-after-shooting-near-philly-middle-school-officials</v>
      </c>
      <c r="L176" s="8">
        <f ca="1">IFERROR(__xludf.DUMMYFUNCTION("""COMPUTED_VALUE"""),2)</f>
        <v>2</v>
      </c>
      <c r="M176" s="8" t="str">
        <f ca="1">IFERROR(__xludf.DUMMYFUNCTION("""COMPUTED_VALUE"""),"Local")</f>
        <v>Local</v>
      </c>
      <c r="N176" s="8">
        <f ca="1">IFERROR(__xludf.DUMMYFUNCTION("""COMPUTED_VALUE"""),4)</f>
        <v>4</v>
      </c>
      <c r="O176" s="8" t="str">
        <f ca="1">IFERROR(__xludf.DUMMYFUNCTION("""COMPUTED_VALUE"""),"Winter")</f>
        <v>Winter</v>
      </c>
      <c r="P176" s="8" t="str">
        <f ca="1">IFERROR(__xludf.DUMMYFUNCTION("""COMPUTED_VALUE"""),"Philadelphia")</f>
        <v>Philadelphia</v>
      </c>
      <c r="Q176" s="8" t="str">
        <f ca="1">IFERROR(__xludf.DUMMYFUNCTION("""COMPUTED_VALUE"""),"PA")</f>
        <v>PA</v>
      </c>
      <c r="R176" s="8" t="str">
        <f ca="1">IFERROR(__xludf.DUMMYFUNCTION("""COMPUTED_VALUE"""),"Middle")</f>
        <v>Middle</v>
      </c>
      <c r="S176" s="8" t="str">
        <f ca="1">IFERROR(__xludf.DUMMYFUNCTION("""COMPUTED_VALUE"""),"Beside Building")</f>
        <v>Beside Building</v>
      </c>
      <c r="T176" s="8" t="str">
        <f ca="1">IFERROR(__xludf.DUMMYFUNCTION("""COMPUTED_VALUE"""),"Outside on School Property")</f>
        <v>Outside on School Property</v>
      </c>
      <c r="U176" s="8" t="str">
        <f ca="1">IFERROR(__xludf.DUMMYFUNCTION("""COMPUTED_VALUE"""),"No")</f>
        <v>No</v>
      </c>
      <c r="V176" s="8" t="str">
        <f ca="1">IFERROR(__xludf.DUMMYFUNCTION("""COMPUTED_VALUE"""),"Night")</f>
        <v>Night</v>
      </c>
      <c r="W176" s="11">
        <f ca="1">IFERROR(__xludf.DUMMYFUNCTION("""COMPUTED_VALUE"""),0.635416666666666)</f>
        <v>0.63541666666666596</v>
      </c>
      <c r="X176" s="8">
        <f ca="1">IFERROR(__xludf.DUMMYFUNCTION("""COMPUTED_VALUE"""),1)</f>
        <v>1</v>
      </c>
      <c r="Y176" s="12" t="str">
        <f ca="1">IFERROR(__xludf.DUMMYFUNCTION("""COMPUTED_VALUE"""),"Two men shot next to the school")</f>
        <v>Two men shot next to the school</v>
      </c>
      <c r="Z176" s="12" t="str">
        <f ca="1">IFERROR(__xludf.DUMMYFUNCTION("""COMPUTED_VALUE"""),"Two adult men were shot next to the school building. Shooter fled.")</f>
        <v>Two adult men were shot next to the school building. Shooter fled.</v>
      </c>
      <c r="AA176" s="8"/>
      <c r="AB176" s="8"/>
      <c r="AC176" s="8" t="str">
        <f ca="1">IFERROR(__xludf.DUMMYFUNCTION("""COMPUTED_VALUE"""),"No")</f>
        <v>No</v>
      </c>
      <c r="AD176" s="8"/>
      <c r="AE176" s="8" t="str">
        <f ca="1">IFERROR(__xludf.DUMMYFUNCTION("""COMPUTED_VALUE"""),"No")</f>
        <v>No</v>
      </c>
      <c r="AF176" s="8"/>
      <c r="AG176" s="8" t="str">
        <f ca="1">IFERROR(__xludf.DUMMYFUNCTION("""COMPUTED_VALUE"""),"No")</f>
        <v>No</v>
      </c>
      <c r="AH176" s="8" t="str">
        <f ca="1">IFERROR(__xludf.DUMMYFUNCTION("""COMPUTED_VALUE"""),"No")</f>
        <v>No</v>
      </c>
      <c r="AI176" s="8" t="str">
        <f ca="1">IFERROR(__xludf.DUMMYFUNCTION("""COMPUTED_VALUE"""),"No")</f>
        <v>No</v>
      </c>
      <c r="AJ176" s="8" t="str">
        <f ca="1">IFERROR(__xludf.DUMMYFUNCTION("""COMPUTED_VALUE"""),"No")</f>
        <v>No</v>
      </c>
      <c r="AK176" s="8" t="str">
        <f ca="1">IFERROR(__xludf.DUMMYFUNCTION("""COMPUTED_VALUE"""),"No")</f>
        <v>No</v>
      </c>
      <c r="AL176" s="8"/>
      <c r="AM176" s="8" t="str">
        <f ca="1">IFERROR(__xludf.DUMMYFUNCTION("""COMPUTED_VALUE"""),"No")</f>
        <v>No</v>
      </c>
      <c r="AN176" s="8" t="str">
        <f ca="1">IFERROR(__xludf.DUMMYFUNCTION("""COMPUTED_VALUE"""),"Outside")</f>
        <v>Outside</v>
      </c>
      <c r="AO176" s="8" t="str">
        <f ca="1">IFERROR(__xludf.DUMMYFUNCTION("""COMPUTED_VALUE"""),"No")</f>
        <v>No</v>
      </c>
      <c r="AP176" s="8"/>
      <c r="AQ176" s="8"/>
      <c r="AR176" s="8" t="str">
        <f ca="1">IFERROR(__xludf.DUMMYFUNCTION("""COMPUTED_VALUE"""),"Outside/Off-Property")</f>
        <v>Outside/Off-Property</v>
      </c>
      <c r="AS176" s="8">
        <f ca="1">IFERROR(__xludf.DUMMYFUNCTION("""COMPUTED_VALUE"""),99)</f>
        <v>99</v>
      </c>
      <c r="AT176" s="8" t="str">
        <f ca="1">IFERROR(__xludf.DUMMYFUNCTION("""COMPUTED_VALUE"""),"No")</f>
        <v>No</v>
      </c>
      <c r="AU176" s="8">
        <f ca="1">IFERROR(__xludf.DUMMYFUNCTION("""COMPUTED_VALUE"""),40.014734)</f>
        <v>40.014733999999997</v>
      </c>
      <c r="AV176" s="8">
        <f ca="1">IFERROR(__xludf.DUMMYFUNCTION("""COMPUTED_VALUE"""),-75.155934)</f>
        <v>-75.155934000000002</v>
      </c>
      <c r="AW176" s="8" t="str">
        <f ca="1">IFERROR(__xludf.DUMMYFUNCTION("""COMPUTED_VALUE"""),"Urban Street Standalone")</f>
        <v>Urban Street Standalone</v>
      </c>
      <c r="AX176" s="8">
        <f ca="1">IFERROR(__xludf.DUMMYFUNCTION("""COMPUTED_VALUE"""),19140)</f>
        <v>19140</v>
      </c>
    </row>
    <row r="177" spans="1:50" ht="300" x14ac:dyDescent="0.2">
      <c r="A177" s="8" t="str">
        <f ca="1">IFERROR(__xludf.DUMMYFUNCTION("""COMPUTED_VALUE"""),"20241217PAPEP")</f>
        <v>20241217PAPEP</v>
      </c>
      <c r="B177" s="8">
        <f ca="1">IFERROR(__xludf.DUMMYFUNCTION("""COMPUTED_VALUE"""),12)</f>
        <v>12</v>
      </c>
      <c r="C177" s="8">
        <f ca="1">IFERROR(__xludf.DUMMYFUNCTION("""COMPUTED_VALUE"""),17)</f>
        <v>17</v>
      </c>
      <c r="D177" s="8">
        <f ca="1">IFERROR(__xludf.DUMMYFUNCTION("""COMPUTED_VALUE"""),2024)</f>
        <v>2024</v>
      </c>
      <c r="E177" s="9">
        <f ca="1">IFERROR(__xludf.DUMMYFUNCTION("""COMPUTED_VALUE"""),45643)</f>
        <v>45643</v>
      </c>
      <c r="F177" s="8" t="str">
        <f ca="1">IFERROR(__xludf.DUMMYFUNCTION("""COMPUTED_VALUE"""),"Perry High School")</f>
        <v>Perry High School</v>
      </c>
      <c r="G177" s="8">
        <f ca="1">IFERROR(__xludf.DUMMYFUNCTION("""COMPUTED_VALUE"""),0)</f>
        <v>0</v>
      </c>
      <c r="H177" s="8">
        <f ca="1">IFERROR(__xludf.DUMMYFUNCTION("""COMPUTED_VALUE"""),0)</f>
        <v>0</v>
      </c>
      <c r="I177" s="8">
        <f ca="1">IFERROR(__xludf.DUMMYFUNCTION("""COMPUTED_VALUE"""),0)</f>
        <v>0</v>
      </c>
      <c r="J177" s="8">
        <f ca="1">IFERROR(__xludf.DUMMYFUNCTION("""COMPUTED_VALUE"""),0)</f>
        <v>0</v>
      </c>
      <c r="K177" s="8" t="str">
        <f ca="1">IFERROR(__xludf.DUMMYFUNCTION("""COMPUTED_VALUE"""),"https://www.post-gazette.com/news/crime-courts/2024/12/18/perry-high-school-gunfire-north-side-lockdown-arrest/stories/202412180062
https://www.wtae.com/article/pittsburgh-perry-high-school-shooting-outside-investigation/63213330")</f>
        <v>https://www.post-gazette.com/news/crime-courts/2024/12/18/perry-high-school-gunfire-north-side-lockdown-arrest/stories/202412180062
https://www.wtae.com/article/pittsburgh-perry-high-school-shooting-outside-investigation/63213330</v>
      </c>
      <c r="L177" s="8">
        <f ca="1">IFERROR(__xludf.DUMMYFUNCTION("""COMPUTED_VALUE"""),10)</f>
        <v>10</v>
      </c>
      <c r="M177" s="8" t="str">
        <f ca="1">IFERROR(__xludf.DUMMYFUNCTION("""COMPUTED_VALUE"""),"Regional")</f>
        <v>Regional</v>
      </c>
      <c r="N177" s="8">
        <f ca="1">IFERROR(__xludf.DUMMYFUNCTION("""COMPUTED_VALUE"""),4)</f>
        <v>4</v>
      </c>
      <c r="O177" s="8" t="str">
        <f ca="1">IFERROR(__xludf.DUMMYFUNCTION("""COMPUTED_VALUE"""),"Winter")</f>
        <v>Winter</v>
      </c>
      <c r="P177" s="8" t="str">
        <f ca="1">IFERROR(__xludf.DUMMYFUNCTION("""COMPUTED_VALUE"""),"Pittsburgh")</f>
        <v>Pittsburgh</v>
      </c>
      <c r="Q177" s="8" t="str">
        <f ca="1">IFERROR(__xludf.DUMMYFUNCTION("""COMPUTED_VALUE"""),"PA")</f>
        <v>PA</v>
      </c>
      <c r="R177" s="8" t="str">
        <f ca="1">IFERROR(__xludf.DUMMYFUNCTION("""COMPUTED_VALUE"""),"High")</f>
        <v>High</v>
      </c>
      <c r="S177" s="8" t="str">
        <f ca="1">IFERROR(__xludf.DUMMYFUNCTION("""COMPUTED_VALUE"""),"Front of School")</f>
        <v>Front of School</v>
      </c>
      <c r="T177" s="8" t="str">
        <f ca="1">IFERROR(__xludf.DUMMYFUNCTION("""COMPUTED_VALUE"""),"Outside on School Property")</f>
        <v>Outside on School Property</v>
      </c>
      <c r="U177" s="8" t="str">
        <f ca="1">IFERROR(__xludf.DUMMYFUNCTION("""COMPUTED_VALUE"""),"Yes")</f>
        <v>Yes</v>
      </c>
      <c r="V177" s="8" t="str">
        <f ca="1">IFERROR(__xludf.DUMMYFUNCTION("""COMPUTED_VALUE"""),"School Start")</f>
        <v>School Start</v>
      </c>
      <c r="W177" s="11">
        <f ca="1">IFERROR(__xludf.DUMMYFUNCTION("""COMPUTED_VALUE"""),0.333333333333333)</f>
        <v>0.33333333333333298</v>
      </c>
      <c r="X177" s="8">
        <f ca="1">IFERROR(__xludf.DUMMYFUNCTION("""COMPUTED_VALUE"""),1)</f>
        <v>1</v>
      </c>
      <c r="Y177" s="12" t="str">
        <f ca="1">IFERROR(__xludf.DUMMYFUNCTION("""COMPUTED_VALUE"""),"Teen fired 11 shots at a group of students on the front steps hitting windows and the building")</f>
        <v>Teen fired 11 shots at a group of students on the front steps hitting windows and the building</v>
      </c>
      <c r="Z177" s="12" t="str">
        <f ca="1">IFERROR(__xludf.DUMMYFUNCTION("""COMPUTED_VALUE"""),"Just after 8 a.m. Tuesday, police responded to calls about shots being fired, and that was quickly updated to an 11-round ShotSpotter alert in front of Perry High School, according to the criminal complaint. Officers found 11 bullet casings and a laser at"&amp;"tachment for a gun near the front stairs outside the high school. Officers additionally observed that the exterior of the building was struck by bullets multiple times, along with windows above the front door, the complaint said. Police said there were se"&amp;"veral hundred students and dozens of staff members inside the building at the time. Perry operated in secure status Tuesday, keeping students inside and continuing normal activities as much as possible, according to Ebony Pugh, spokeswoman for Pittsburgh "&amp;"Public Schools. She said support resources would be available for students and staff who may need assistance. The school provided detectives with security footage, which showed a juvenile wearing a black hood and mask, gray sweatpants, and bright blue and"&amp;" white sneakers. The person was seen shooting at about eight students on the steps, the complaint said.")</f>
        <v>Just after 8 a.m. Tuesday, police responded to calls about shots being fired, and that was quickly updated to an 11-round ShotSpotter alert in front of Perry High School, according to the criminal complaint. Officers found 11 bullet casings and a laser attachment for a gun near the front stairs outside the high school. Officers additionally observed that the exterior of the building was struck by bullets multiple times, along with windows above the front door, the complaint said. Police said there were several hundred students and dozens of staff members inside the building at the time. Perry operated in secure status Tuesday, keeping students inside and continuing normal activities as much as possible, according to Ebony Pugh, spokeswoman for Pittsburgh Public Schools. She said support resources would be available for students and staff who may need assistance. The school provided detectives with security footage, which showed a juvenile wearing a black hood and mask, gray sweatpants, and bright blue and white sneakers. The person was seen shooting at about eight students on the steps, the complaint said.</v>
      </c>
      <c r="AA177" s="8"/>
      <c r="AB177" s="8" t="str">
        <f ca="1">IFERROR(__xludf.DUMMYFUNCTION("""COMPUTED_VALUE"""),"Targeted")</f>
        <v>Targeted</v>
      </c>
      <c r="AC177" s="8" t="str">
        <f ca="1">IFERROR(__xludf.DUMMYFUNCTION("""COMPUTED_VALUE"""),"Yes")</f>
        <v>Yes</v>
      </c>
      <c r="AD177" s="8" t="str">
        <f ca="1">IFERROR(__xludf.DUMMYFUNCTION("""COMPUTED_VALUE"""),"Both")</f>
        <v>Both</v>
      </c>
      <c r="AE177" s="8" t="str">
        <f ca="1">IFERROR(__xludf.DUMMYFUNCTION("""COMPUTED_VALUE"""),"No")</f>
        <v>No</v>
      </c>
      <c r="AF177" s="8"/>
      <c r="AG177" s="8" t="str">
        <f ca="1">IFERROR(__xludf.DUMMYFUNCTION("""COMPUTED_VALUE"""),"No")</f>
        <v>No</v>
      </c>
      <c r="AH177" s="8" t="str">
        <f ca="1">IFERROR(__xludf.DUMMYFUNCTION("""COMPUTED_VALUE"""),"No")</f>
        <v>No</v>
      </c>
      <c r="AI177" s="8" t="str">
        <f ca="1">IFERROR(__xludf.DUMMYFUNCTION("""COMPUTED_VALUE"""),"No")</f>
        <v>No</v>
      </c>
      <c r="AJ177" s="8" t="str">
        <f ca="1">IFERROR(__xludf.DUMMYFUNCTION("""COMPUTED_VALUE"""),"No")</f>
        <v>No</v>
      </c>
      <c r="AK177" s="8" t="str">
        <f ca="1">IFERROR(__xludf.DUMMYFUNCTION("""COMPUTED_VALUE"""),"No")</f>
        <v>No</v>
      </c>
      <c r="AL177" s="8"/>
      <c r="AM177" s="8" t="str">
        <f ca="1">IFERROR(__xludf.DUMMYFUNCTION("""COMPUTED_VALUE"""),"No")</f>
        <v>No</v>
      </c>
      <c r="AN177" s="8" t="str">
        <f ca="1">IFERROR(__xludf.DUMMYFUNCTION("""COMPUTED_VALUE"""),"Outside")</f>
        <v>Outside</v>
      </c>
      <c r="AO177" s="8" t="str">
        <f ca="1">IFERROR(__xludf.DUMMYFUNCTION("""COMPUTED_VALUE"""),"No")</f>
        <v>No</v>
      </c>
      <c r="AP177" s="8"/>
      <c r="AQ177" s="8"/>
      <c r="AR177" s="8" t="str">
        <f ca="1">IFERROR(__xludf.DUMMYFUNCTION("""COMPUTED_VALUE"""),"Outside/Off-Property")</f>
        <v>Outside/Off-Property</v>
      </c>
      <c r="AS177" s="8">
        <f ca="1">IFERROR(__xludf.DUMMYFUNCTION("""COMPUTED_VALUE"""),11)</f>
        <v>11</v>
      </c>
      <c r="AT177" s="8" t="str">
        <f ca="1">IFERROR(__xludf.DUMMYFUNCTION("""COMPUTED_VALUE"""),"Yes")</f>
        <v>Yes</v>
      </c>
      <c r="AU177" s="8">
        <f ca="1">IFERROR(__xludf.DUMMYFUNCTION("""COMPUTED_VALUE"""),40.489337)</f>
        <v>40.489336999999999</v>
      </c>
      <c r="AV177" s="8">
        <f ca="1">IFERROR(__xludf.DUMMYFUNCTION("""COMPUTED_VALUE"""),-80.019085)</f>
        <v>-80.019085000000004</v>
      </c>
      <c r="AW177" s="8" t="str">
        <f ca="1">IFERROR(__xludf.DUMMYFUNCTION("""COMPUTED_VALUE"""),"Multiple attached buildings")</f>
        <v>Multiple attached buildings</v>
      </c>
      <c r="AX177" s="8">
        <f ca="1">IFERROR(__xludf.DUMMYFUNCTION("""COMPUTED_VALUE"""),15214)</f>
        <v>15214</v>
      </c>
    </row>
    <row r="178" spans="1:50" ht="75" x14ac:dyDescent="0.2">
      <c r="A178" s="8" t="str">
        <f ca="1">IFERROR(__xludf.DUMMYFUNCTION("""COMPUTED_VALUE"""),"20241217DCDUW")</f>
        <v>20241217DCDUW</v>
      </c>
      <c r="B178" s="8">
        <f ca="1">IFERROR(__xludf.DUMMYFUNCTION("""COMPUTED_VALUE"""),12)</f>
        <v>12</v>
      </c>
      <c r="C178" s="8">
        <f ca="1">IFERROR(__xludf.DUMMYFUNCTION("""COMPUTED_VALUE"""),17)</f>
        <v>17</v>
      </c>
      <c r="D178" s="8">
        <f ca="1">IFERROR(__xludf.DUMMYFUNCTION("""COMPUTED_VALUE"""),2024)</f>
        <v>2024</v>
      </c>
      <c r="E178" s="9">
        <f ca="1">IFERROR(__xludf.DUMMYFUNCTION("""COMPUTED_VALUE"""),45643)</f>
        <v>45643</v>
      </c>
      <c r="F178" s="8" t="str">
        <f ca="1">IFERROR(__xludf.DUMMYFUNCTION("""COMPUTED_VALUE"""),"Dunbar High School")</f>
        <v>Dunbar High School</v>
      </c>
      <c r="G178" s="8">
        <f ca="1">IFERROR(__xludf.DUMMYFUNCTION("""COMPUTED_VALUE"""),0)</f>
        <v>0</v>
      </c>
      <c r="H178" s="8">
        <f ca="1">IFERROR(__xludf.DUMMYFUNCTION("""COMPUTED_VALUE"""),1)</f>
        <v>1</v>
      </c>
      <c r="I178" s="8">
        <f ca="1">IFERROR(__xludf.DUMMYFUNCTION("""COMPUTED_VALUE"""),1)</f>
        <v>1</v>
      </c>
      <c r="J178" s="8">
        <f ca="1">IFERROR(__xludf.DUMMYFUNCTION("""COMPUTED_VALUE"""),0)</f>
        <v>0</v>
      </c>
      <c r="K178" s="8" t="str">
        <f ca="1">IFERROR(__xludf.DUMMYFUNCTION("""COMPUTED_VALUE"""),"https://www.nbcwashington.com/news/local/girl-shot-and-wounded-near-dunbar-high-school/3794335/
https://wtop.com/dc/2024/12/teenage-girl-shot-near-dcs-dunbar-high-school-police-release-photo-of-suspect/
https://www.wusa9.com/article/news/crime/teen-turns-"&amp;"himself-in-for-shooting-near-dunbar-high-school/65-3a6e2f4c-44ea-43ca-9f02-fb661e265b93")</f>
        <v>https://www.nbcwashington.com/news/local/girl-shot-and-wounded-near-dunbar-high-school/3794335/
https://wtop.com/dc/2024/12/teenage-girl-shot-near-dcs-dunbar-high-school-police-release-photo-of-suspect/
https://www.wusa9.com/article/news/crime/teen-turns-himself-in-for-shooting-near-dunbar-high-school/65-3a6e2f4c-44ea-43ca-9f02-fb661e265b93</v>
      </c>
      <c r="L178" s="8">
        <f ca="1">IFERROR(__xludf.DUMMYFUNCTION("""COMPUTED_VALUE"""),10)</f>
        <v>10</v>
      </c>
      <c r="M178" s="8" t="str">
        <f ca="1">IFERROR(__xludf.DUMMYFUNCTION("""COMPUTED_VALUE"""),"Regional")</f>
        <v>Regional</v>
      </c>
      <c r="N178" s="8">
        <f ca="1">IFERROR(__xludf.DUMMYFUNCTION("""COMPUTED_VALUE"""),4)</f>
        <v>4</v>
      </c>
      <c r="O178" s="8" t="str">
        <f ca="1">IFERROR(__xludf.DUMMYFUNCTION("""COMPUTED_VALUE"""),"Winter")</f>
        <v>Winter</v>
      </c>
      <c r="P178" s="8" t="str">
        <f ca="1">IFERROR(__xludf.DUMMYFUNCTION("""COMPUTED_VALUE"""),"Washington")</f>
        <v>Washington</v>
      </c>
      <c r="Q178" s="8" t="str">
        <f ca="1">IFERROR(__xludf.DUMMYFUNCTION("""COMPUTED_VALUE"""),"DC")</f>
        <v>DC</v>
      </c>
      <c r="R178" s="8" t="str">
        <f ca="1">IFERROR(__xludf.DUMMYFUNCTION("""COMPUTED_VALUE"""),"High")</f>
        <v>High</v>
      </c>
      <c r="S178" s="8" t="str">
        <f ca="1">IFERROR(__xludf.DUMMYFUNCTION("""COMPUTED_VALUE"""),"Front of School")</f>
        <v>Front of School</v>
      </c>
      <c r="T178" s="8" t="str">
        <f ca="1">IFERROR(__xludf.DUMMYFUNCTION("""COMPUTED_VALUE"""),"Off School Property")</f>
        <v>Off School Property</v>
      </c>
      <c r="U178" s="8" t="str">
        <f ca="1">IFERROR(__xludf.DUMMYFUNCTION("""COMPUTED_VALUE"""),"Yes")</f>
        <v>Yes</v>
      </c>
      <c r="V178" s="8" t="str">
        <f ca="1">IFERROR(__xludf.DUMMYFUNCTION("""COMPUTED_VALUE"""),"Dismissal")</f>
        <v>Dismissal</v>
      </c>
      <c r="W178" s="11">
        <f ca="1">IFERROR(__xludf.DUMMYFUNCTION("""COMPUTED_VALUE"""),0.625)</f>
        <v>0.625</v>
      </c>
      <c r="X178" s="8">
        <f ca="1">IFERROR(__xludf.DUMMYFUNCTION("""COMPUTED_VALUE"""),1)</f>
        <v>1</v>
      </c>
      <c r="Y178" s="12" t="str">
        <f ca="1">IFERROR(__xludf.DUMMYFUNCTION("""COMPUTED_VALUE"""),"Female student shot at dismissal, ran back inside school for help")</f>
        <v>Female student shot at dismissal, ran back inside school for help</v>
      </c>
      <c r="Z178" s="12" t="str">
        <f ca="1">IFERROR(__xludf.DUMMYFUNCTION("""COMPUTED_VALUE"""),"A 17-year-old female student was shot on the street outside the school at dismissal during an attempted robbery by two men in a vehicle. A teenage male shooter fled from the area and turned himself in 3 days later. The victim ran back into the school for "&amp;"assistance.")</f>
        <v>A 17-year-old female student was shot on the street outside the school at dismissal during an attempted robbery by two men in a vehicle. A teenage male shooter fled from the area and turned himself in 3 days later. The victim ran back into the school for assistance.</v>
      </c>
      <c r="AA178" s="8" t="str">
        <f ca="1">IFERROR(__xludf.DUMMYFUNCTION("""COMPUTED_VALUE"""),"Illegal Activity")</f>
        <v>Illegal Activity</v>
      </c>
      <c r="AB178" s="8" t="str">
        <f ca="1">IFERROR(__xludf.DUMMYFUNCTION("""COMPUTED_VALUE"""),"Spontaneous")</f>
        <v>Spontaneous</v>
      </c>
      <c r="AC178" s="8" t="str">
        <f ca="1">IFERROR(__xludf.DUMMYFUNCTION("""COMPUTED_VALUE"""),"Yes")</f>
        <v>Yes</v>
      </c>
      <c r="AD178" s="8" t="str">
        <f ca="1">IFERROR(__xludf.DUMMYFUNCTION("""COMPUTED_VALUE"""),"Both")</f>
        <v>Both</v>
      </c>
      <c r="AE178" s="8" t="str">
        <f ca="1">IFERROR(__xludf.DUMMYFUNCTION("""COMPUTED_VALUE"""),"No")</f>
        <v>No</v>
      </c>
      <c r="AF178" s="8"/>
      <c r="AG178" s="8" t="str">
        <f ca="1">IFERROR(__xludf.DUMMYFUNCTION("""COMPUTED_VALUE"""),"No")</f>
        <v>No</v>
      </c>
      <c r="AH178" s="8" t="str">
        <f ca="1">IFERROR(__xludf.DUMMYFUNCTION("""COMPUTED_VALUE"""),"No")</f>
        <v>No</v>
      </c>
      <c r="AI178" s="8" t="str">
        <f ca="1">IFERROR(__xludf.DUMMYFUNCTION("""COMPUTED_VALUE"""),"No")</f>
        <v>No</v>
      </c>
      <c r="AJ178" s="8" t="str">
        <f ca="1">IFERROR(__xludf.DUMMYFUNCTION("""COMPUTED_VALUE"""),"No")</f>
        <v>No</v>
      </c>
      <c r="AK178" s="8" t="str">
        <f ca="1">IFERROR(__xludf.DUMMYFUNCTION("""COMPUTED_VALUE"""),"No")</f>
        <v>No</v>
      </c>
      <c r="AL178" s="8"/>
      <c r="AM178" s="8" t="str">
        <f ca="1">IFERROR(__xludf.DUMMYFUNCTION("""COMPUTED_VALUE"""),"No")</f>
        <v>No</v>
      </c>
      <c r="AN178" s="8" t="str">
        <f ca="1">IFERROR(__xludf.DUMMYFUNCTION("""COMPUTED_VALUE"""),"Outside")</f>
        <v>Outside</v>
      </c>
      <c r="AO178" s="8" t="str">
        <f ca="1">IFERROR(__xludf.DUMMYFUNCTION("""COMPUTED_VALUE"""),"No")</f>
        <v>No</v>
      </c>
      <c r="AP178" s="8"/>
      <c r="AQ178" s="8"/>
      <c r="AR178" s="8" t="str">
        <f ca="1">IFERROR(__xludf.DUMMYFUNCTION("""COMPUTED_VALUE"""),"Outside/Off-Property")</f>
        <v>Outside/Off-Property</v>
      </c>
      <c r="AS178" s="8">
        <f ca="1">IFERROR(__xludf.DUMMYFUNCTION("""COMPUTED_VALUE"""),99)</f>
        <v>99</v>
      </c>
      <c r="AT178" s="8" t="str">
        <f ca="1">IFERROR(__xludf.DUMMYFUNCTION("""COMPUTED_VALUE"""),"No")</f>
        <v>No</v>
      </c>
      <c r="AU178" s="8">
        <f ca="1">IFERROR(__xludf.DUMMYFUNCTION("""COMPUTED_VALUE"""),38.907168)</f>
        <v>38.907167999999999</v>
      </c>
      <c r="AV178" s="8">
        <f ca="1">IFERROR(__xludf.DUMMYFUNCTION("""COMPUTED_VALUE"""),-77.013662)</f>
        <v>-77.013661999999997</v>
      </c>
      <c r="AW178" s="8" t="str">
        <f ca="1">IFERROR(__xludf.DUMMYFUNCTION("""COMPUTED_VALUE"""),"Urban Street Standalone")</f>
        <v>Urban Street Standalone</v>
      </c>
      <c r="AX178" s="8">
        <f ca="1">IFERROR(__xludf.DUMMYFUNCTION("""COMPUTED_VALUE"""),20001)</f>
        <v>20001</v>
      </c>
    </row>
    <row r="179" spans="1:50" ht="135" x14ac:dyDescent="0.2">
      <c r="A179" s="8" t="str">
        <f ca="1">IFERROR(__xludf.DUMMYFUNCTION("""COMPUTED_VALUE"""),"20241216NCALC")</f>
        <v>20241216NCALC</v>
      </c>
      <c r="B179" s="8">
        <f ca="1">IFERROR(__xludf.DUMMYFUNCTION("""COMPUTED_VALUE"""),12)</f>
        <v>12</v>
      </c>
      <c r="C179" s="8">
        <f ca="1">IFERROR(__xludf.DUMMYFUNCTION("""COMPUTED_VALUE"""),16)</f>
        <v>16</v>
      </c>
      <c r="D179" s="8">
        <f ca="1">IFERROR(__xludf.DUMMYFUNCTION("""COMPUTED_VALUE"""),2024)</f>
        <v>2024</v>
      </c>
      <c r="E179" s="9">
        <f ca="1">IFERROR(__xludf.DUMMYFUNCTION("""COMPUTED_VALUE"""),45642)</f>
        <v>45642</v>
      </c>
      <c r="F179" s="8" t="str">
        <f ca="1">IFERROR(__xludf.DUMMYFUNCTION("""COMPUTED_VALUE"""),"Albemarle Road Middle School")</f>
        <v>Albemarle Road Middle School</v>
      </c>
      <c r="G179" s="8">
        <f ca="1">IFERROR(__xludf.DUMMYFUNCTION("""COMPUTED_VALUE"""),0)</f>
        <v>0</v>
      </c>
      <c r="H179" s="8">
        <f ca="1">IFERROR(__xludf.DUMMYFUNCTION("""COMPUTED_VALUE"""),2)</f>
        <v>2</v>
      </c>
      <c r="I179" s="8">
        <f ca="1">IFERROR(__xludf.DUMMYFUNCTION("""COMPUTED_VALUE"""),2)</f>
        <v>2</v>
      </c>
      <c r="J179" s="8">
        <f ca="1">IFERROR(__xludf.DUMMYFUNCTION("""COMPUTED_VALUE"""),0)</f>
        <v>0</v>
      </c>
      <c r="K179" s="8" t="str">
        <f ca="1">IFERROR(__xludf.DUMMYFUNCTION("""COMPUTED_VALUE"""),"https://www.wcnc.com/article/news/local/school-bus-shooting-east-charlotte/275-3beb3ebc-3824-4ea8-b6c7-4d4e8641d075
https://www.qcnews.com/charlotte/two-students-injured-from-glass-after-school-bus-shot-in-east-charlotte/
https://www.wcnc.com/article/news"&amp;"/crime/information-released-school-bus-hit-gunfire-east-charlotte/275-4b7283ea-9720-49dc-ad7e-36c54ac60973
https://www.wbtv.com/2024/12/19/bail-denied-man-charged-with-assault-after-charlotte-school-bus-caught-shooting-crossfire/")</f>
        <v>https://www.wcnc.com/article/news/local/school-bus-shooting-east-charlotte/275-3beb3ebc-3824-4ea8-b6c7-4d4e8641d075
https://www.qcnews.com/charlotte/two-students-injured-from-glass-after-school-bus-shot-in-east-charlotte/
https://www.wcnc.com/article/news/crime/information-released-school-bus-hit-gunfire-east-charlotte/275-4b7283ea-9720-49dc-ad7e-36c54ac60973
https://www.wbtv.com/2024/12/19/bail-denied-man-charged-with-assault-after-charlotte-school-bus-caught-shooting-crossfire/</v>
      </c>
      <c r="L179" s="8">
        <f ca="1">IFERROR(__xludf.DUMMYFUNCTION("""COMPUTED_VALUE"""),5)</f>
        <v>5</v>
      </c>
      <c r="M179" s="8" t="str">
        <f ca="1">IFERROR(__xludf.DUMMYFUNCTION("""COMPUTED_VALUE"""),"Regional")</f>
        <v>Regional</v>
      </c>
      <c r="N179" s="8">
        <f ca="1">IFERROR(__xludf.DUMMYFUNCTION("""COMPUTED_VALUE"""),4)</f>
        <v>4</v>
      </c>
      <c r="O179" s="8" t="str">
        <f ca="1">IFERROR(__xludf.DUMMYFUNCTION("""COMPUTED_VALUE"""),"Winter")</f>
        <v>Winter</v>
      </c>
      <c r="P179" s="8" t="str">
        <f ca="1">IFERROR(__xludf.DUMMYFUNCTION("""COMPUTED_VALUE"""),"Charlotte")</f>
        <v>Charlotte</v>
      </c>
      <c r="Q179" s="8" t="str">
        <f ca="1">IFERROR(__xludf.DUMMYFUNCTION("""COMPUTED_VALUE"""),"NC")</f>
        <v>NC</v>
      </c>
      <c r="R179" s="8" t="str">
        <f ca="1">IFERROR(__xludf.DUMMYFUNCTION("""COMPUTED_VALUE"""),"Middle")</f>
        <v>Middle</v>
      </c>
      <c r="S179" s="8" t="str">
        <f ca="1">IFERROR(__xludf.DUMMYFUNCTION("""COMPUTED_VALUE"""),"School Bus")</f>
        <v>School Bus</v>
      </c>
      <c r="T179" s="8" t="str">
        <f ca="1">IFERROR(__xludf.DUMMYFUNCTION("""COMPUTED_VALUE"""),"School Bus")</f>
        <v>School Bus</v>
      </c>
      <c r="U179" s="8" t="str">
        <f ca="1">IFERROR(__xludf.DUMMYFUNCTION("""COMPUTED_VALUE"""),"Yes")</f>
        <v>Yes</v>
      </c>
      <c r="V179" s="8" t="str">
        <f ca="1">IFERROR(__xludf.DUMMYFUNCTION("""COMPUTED_VALUE"""),"Dismissal")</f>
        <v>Dismissal</v>
      </c>
      <c r="W179" s="11">
        <f ca="1">IFERROR(__xludf.DUMMYFUNCTION("""COMPUTED_VALUE"""),0.666666666666666)</f>
        <v>0.66666666666666596</v>
      </c>
      <c r="X179" s="8">
        <f ca="1">IFERROR(__xludf.DUMMYFUNCTION("""COMPUTED_VALUE"""),1)</f>
        <v>1</v>
      </c>
      <c r="Y179" s="12" t="str">
        <f ca="1">IFERROR(__xludf.DUMMYFUNCTION("""COMPUTED_VALUE"""),"Student injured by broken glass when school bus window was shot")</f>
        <v>Student injured by broken glass when school bus window was shot</v>
      </c>
      <c r="Z179" s="12" t="str">
        <f ca="1">IFERROR(__xludf.DUMMYFUNCTION("""COMPUTED_VALUE"""),"According to Charlotte-Mecklenburg Police, the incident occurred around 4 p.m. on Idlewild Road North near the Albemarle Road Recreation Center. When officers arrived, they discovered an Infiniti vehicle and Charlotte-Mecklenburg Schools bus had each been"&amp;" shot into. Officers made an arrest from the incident, described by CMS officials as “a dispute outside the bus.” but a suspect’s name has not been released. The shooting remains under investigation. ")</f>
        <v xml:space="preserve">According to Charlotte-Mecklenburg Police, the incident occurred around 4 p.m. on Idlewild Road North near the Albemarle Road Recreation Center. When officers arrived, they discovered an Infiniti vehicle and Charlotte-Mecklenburg Schools bus had each been shot into. Officers made an arrest from the incident, described by CMS officials as “a dispute outside the bus.” but a suspect’s name has not been released. The shooting remains under investigation. </v>
      </c>
      <c r="AA179" s="8" t="str">
        <f ca="1">IFERROR(__xludf.DUMMYFUNCTION("""COMPUTED_VALUE"""),"Escalation of Dispute")</f>
        <v>Escalation of Dispute</v>
      </c>
      <c r="AB179" s="8" t="str">
        <f ca="1">IFERROR(__xludf.DUMMYFUNCTION("""COMPUTED_VALUE"""),"Spontaneous")</f>
        <v>Spontaneous</v>
      </c>
      <c r="AC179" s="8" t="str">
        <f ca="1">IFERROR(__xludf.DUMMYFUNCTION("""COMPUTED_VALUE"""),"Yes")</f>
        <v>Yes</v>
      </c>
      <c r="AD179" s="8" t="str">
        <f ca="1">IFERROR(__xludf.DUMMYFUNCTION("""COMPUTED_VALUE"""),"Victims Targeted")</f>
        <v>Victims Targeted</v>
      </c>
      <c r="AE179" s="8" t="str">
        <f ca="1">IFERROR(__xludf.DUMMYFUNCTION("""COMPUTED_VALUE"""),"No")</f>
        <v>No</v>
      </c>
      <c r="AF179" s="8"/>
      <c r="AG179" s="8" t="str">
        <f ca="1">IFERROR(__xludf.DUMMYFUNCTION("""COMPUTED_VALUE"""),"No")</f>
        <v>No</v>
      </c>
      <c r="AH179" s="8" t="str">
        <f ca="1">IFERROR(__xludf.DUMMYFUNCTION("""COMPUTED_VALUE"""),"No")</f>
        <v>No</v>
      </c>
      <c r="AI179" s="8" t="str">
        <f ca="1">IFERROR(__xludf.DUMMYFUNCTION("""COMPUTED_VALUE"""),"No")</f>
        <v>No</v>
      </c>
      <c r="AJ179" s="8" t="str">
        <f ca="1">IFERROR(__xludf.DUMMYFUNCTION("""COMPUTED_VALUE"""),"No")</f>
        <v>No</v>
      </c>
      <c r="AK179" s="8" t="str">
        <f ca="1">IFERROR(__xludf.DUMMYFUNCTION("""COMPUTED_VALUE"""),"No")</f>
        <v>No</v>
      </c>
      <c r="AL179" s="8" t="str">
        <f ca="1">IFERROR(__xludf.DUMMYFUNCTION("""COMPUTED_VALUE"""),"No")</f>
        <v>No</v>
      </c>
      <c r="AM179" s="8" t="str">
        <f ca="1">IFERROR(__xludf.DUMMYFUNCTION("""COMPUTED_VALUE"""),"No")</f>
        <v>No</v>
      </c>
      <c r="AN179" s="8" t="str">
        <f ca="1">IFERROR(__xludf.DUMMYFUNCTION("""COMPUTED_VALUE"""),"Outside")</f>
        <v>Outside</v>
      </c>
      <c r="AO179" s="8" t="str">
        <f ca="1">IFERROR(__xludf.DUMMYFUNCTION("""COMPUTED_VALUE"""),"No")</f>
        <v>No</v>
      </c>
      <c r="AP179" s="8"/>
      <c r="AQ179" s="8"/>
      <c r="AR179" s="8" t="str">
        <f ca="1">IFERROR(__xludf.DUMMYFUNCTION("""COMPUTED_VALUE"""),"Outside/Off-Property")</f>
        <v>Outside/Off-Property</v>
      </c>
      <c r="AS179" s="8">
        <f ca="1">IFERROR(__xludf.DUMMYFUNCTION("""COMPUTED_VALUE"""),99)</f>
        <v>99</v>
      </c>
      <c r="AT179" s="8" t="str">
        <f ca="1">IFERROR(__xludf.DUMMYFUNCTION("""COMPUTED_VALUE"""),"No")</f>
        <v>No</v>
      </c>
      <c r="AU179" s="8">
        <f ca="1">IFERROR(__xludf.DUMMYFUNCTION("""COMPUTED_VALUE"""),35.199131)</f>
        <v>35.199131000000001</v>
      </c>
      <c r="AV179" s="8">
        <f ca="1">IFERROR(__xludf.DUMMYFUNCTION("""COMPUTED_VALUE"""),-80.729966)</f>
        <v>-80.729966000000005</v>
      </c>
      <c r="AW179" s="8" t="str">
        <f ca="1">IFERROR(__xludf.DUMMYFUNCTION("""COMPUTED_VALUE"""),"Multiple detached buildings")</f>
        <v>Multiple detached buildings</v>
      </c>
      <c r="AX179" s="8">
        <f ca="1">IFERROR(__xludf.DUMMYFUNCTION("""COMPUTED_VALUE"""),28212)</f>
        <v>28212</v>
      </c>
    </row>
    <row r="180" spans="1:50" ht="409.5" x14ac:dyDescent="0.2">
      <c r="A180" s="8" t="str">
        <f ca="1">IFERROR(__xludf.DUMMYFUNCTION("""COMPUTED_VALUE"""),"20241216WIABM")</f>
        <v>20241216WIABM</v>
      </c>
      <c r="B180" s="8">
        <f ca="1">IFERROR(__xludf.DUMMYFUNCTION("""COMPUTED_VALUE"""),12)</f>
        <v>12</v>
      </c>
      <c r="C180" s="8">
        <f ca="1">IFERROR(__xludf.DUMMYFUNCTION("""COMPUTED_VALUE"""),16)</f>
        <v>16</v>
      </c>
      <c r="D180" s="8">
        <f ca="1">IFERROR(__xludf.DUMMYFUNCTION("""COMPUTED_VALUE"""),2024)</f>
        <v>2024</v>
      </c>
      <c r="E180" s="9">
        <f ca="1">IFERROR(__xludf.DUMMYFUNCTION("""COMPUTED_VALUE"""),45642)</f>
        <v>45642</v>
      </c>
      <c r="F180" s="8" t="str">
        <f ca="1">IFERROR(__xludf.DUMMYFUNCTION("""COMPUTED_VALUE"""),"Abundant Life Christian School")</f>
        <v>Abundant Life Christian School</v>
      </c>
      <c r="G180" s="8">
        <f ca="1">IFERROR(__xludf.DUMMYFUNCTION("""COMPUTED_VALUE"""),2)</f>
        <v>2</v>
      </c>
      <c r="H180" s="8">
        <f ca="1">IFERROR(__xludf.DUMMYFUNCTION("""COMPUTED_VALUE"""),6)</f>
        <v>6</v>
      </c>
      <c r="I180" s="8">
        <f ca="1">IFERROR(__xludf.DUMMYFUNCTION("""COMPUTED_VALUE"""),8)</f>
        <v>8</v>
      </c>
      <c r="J180" s="8">
        <f ca="1">IFERROR(__xludf.DUMMYFUNCTION("""COMPUTED_VALUE"""),1)</f>
        <v>1</v>
      </c>
      <c r="K180" s="10" t="str">
        <f ca="1">IFERROR(__xludf.DUMMYFUNCTION("""COMPUTED_VALUE"""),"https://captimes.com/news/local/timeline-abundant-life-christian-school-mass-shooting-s-key-events/article_bda1e632-2a84-47de-b789-78be9f300d0d.html
https://www.pbs.org/newshour/nation/father-of-teenager-who-shot-and-killed-2-at-wisconsin-religious-school"&amp;"-faces-felony-charges
https://www.palmbeachpost.com/story/news/crime/2025/04/30/florida-man-posing-as-deputy-fantasized-about-violence-with-abundant-life-school-shooter-rupnow/83363141007/")</f>
        <v>https://captimes.com/news/local/timeline-abundant-life-christian-school-mass-shooting-s-key-events/article_bda1e632-2a84-47de-b789-78be9f300d0d.html
https://www.pbs.org/newshour/nation/father-of-teenager-who-shot-and-killed-2-at-wisconsin-religious-school-faces-felony-charges
https://www.palmbeachpost.com/story/news/crime/2025/04/30/florida-man-posing-as-deputy-fantasized-about-violence-with-abundant-life-school-shooter-rupnow/83363141007/</v>
      </c>
      <c r="L180" s="8">
        <f ca="1">IFERROR(__xludf.DUMMYFUNCTION("""COMPUTED_VALUE"""),999)</f>
        <v>999</v>
      </c>
      <c r="M180" s="8" t="str">
        <f ca="1">IFERROR(__xludf.DUMMYFUNCTION("""COMPUTED_VALUE"""),"International")</f>
        <v>International</v>
      </c>
      <c r="N180" s="8">
        <f ca="1">IFERROR(__xludf.DUMMYFUNCTION("""COMPUTED_VALUE"""),4)</f>
        <v>4</v>
      </c>
      <c r="O180" s="8" t="str">
        <f ca="1">IFERROR(__xludf.DUMMYFUNCTION("""COMPUTED_VALUE"""),"Winter")</f>
        <v>Winter</v>
      </c>
      <c r="P180" s="8" t="str">
        <f ca="1">IFERROR(__xludf.DUMMYFUNCTION("""COMPUTED_VALUE"""),"Madison")</f>
        <v>Madison</v>
      </c>
      <c r="Q180" s="8" t="str">
        <f ca="1">IFERROR(__xludf.DUMMYFUNCTION("""COMPUTED_VALUE"""),"WI")</f>
        <v>WI</v>
      </c>
      <c r="R180" s="8" t="str">
        <f ca="1">IFERROR(__xludf.DUMMYFUNCTION("""COMPUTED_VALUE"""),"K-12")</f>
        <v>K-12</v>
      </c>
      <c r="S180" s="8" t="str">
        <f ca="1">IFERROR(__xludf.DUMMYFUNCTION("""COMPUTED_VALUE"""),"Classroom")</f>
        <v>Classroom</v>
      </c>
      <c r="T180" s="8" t="str">
        <f ca="1">IFERROR(__xludf.DUMMYFUNCTION("""COMPUTED_VALUE"""),"Inside School Building")</f>
        <v>Inside School Building</v>
      </c>
      <c r="U180" s="8" t="str">
        <f ca="1">IFERROR(__xludf.DUMMYFUNCTION("""COMPUTED_VALUE"""),"Yes")</f>
        <v>Yes</v>
      </c>
      <c r="V180" s="8" t="str">
        <f ca="1">IFERROR(__xludf.DUMMYFUNCTION("""COMPUTED_VALUE"""),"Morning Classes")</f>
        <v>Morning Classes</v>
      </c>
      <c r="W180" s="11">
        <f ca="1">IFERROR(__xludf.DUMMYFUNCTION("""COMPUTED_VALUE"""),0.45625)</f>
        <v>0.45624999999999999</v>
      </c>
      <c r="X180" s="8">
        <f ca="1">IFERROR(__xludf.DUMMYFUNCTION("""COMPUTED_VALUE"""),1)</f>
        <v>1</v>
      </c>
      <c r="Y180" s="12" t="str">
        <f ca="1">IFERROR(__xludf.DUMMYFUNCTION("""COMPUTED_VALUE"""),"Student opened fire inside the school and then commit suicide")</f>
        <v>Student opened fire inside the school and then commit suicide</v>
      </c>
      <c r="Z180" s="12" t="str">
        <f ca="1">IFERROR(__xludf.DUMMYFUNCTION("""COMPUTED_VALUE"""),"Student opened fire inside a classroom during study period and then commit suicide before police arrived. Armed with two handguns, only one was fired during the attack. A search of Natalie’s room netted a six-page document the girl had written entitled “W"&amp;"ar Against Humanity.” She started the piece by describing humanity as “filth” and saying she hated people who don’t care and “smoke their lungs out with weed or drink as much as they can like my own father.” She wrote about how she admired school shooters"&amp;", how her mother was not in her life and how she obtained her weapons “by lies and manipulation, and my fathers stupidity.” Investigators also discovered maps of the school and a cardboard model of the building, along with a handwritten schedule that deta"&amp;"iled how she would being the attack at 11:30 a.m. and wipe out the first and second floors of the school by 11:55 a.m. She planned to end the attack by 12:10 p.m. with a notation “ready 4 Death.” She had been communicating online with people around the wo"&amp;"rld about her fascination with school shootings and weapons. effrey Rupnow told investigators that his daughter lived with him but had been struggling with his divorce from her mother in 2022, saying she hated her life and wanted to kill herself. He said "&amp;"she used to cut herself to the point where he had to lock up all the knives in his house. She had been in therapy to learn how to be more social until the spring before the attack, he told investigators. Her mother, Melissa Rupnow, told detectives that th"&amp;"e therapist told her that Natalie was suffering post-traumatic stress disorder stemming from the divorce. One of Natalie’s friends told investigators that Jeffrey Rupnow was “frequently verbally aggressive” with Natalie and that she had told him that her "&amp;"father was a “drinker,” according to the complaint. Jeffery Rupnow told investigators that took Natalie shooting with him on a friend’s land about two years before the Abundant Life attack. She enjoyed it, and he came to see guns as a way to connect with "&amp;"her. But he was shocked at how her interest in firearms “snow balled,” he told investigators. He kept Natalie’s pistols in a gun safe, telling her that if she ever need them the access code was his Social Security number entered backward. About 10 days be"&amp;"fore the school attack, he texted a friend and said that Natalie would shoot him if he left “the fun safe open right now,” according to the complaint.")</f>
        <v>Student opened fire inside a classroom during study period and then commit suicide before police arrived. Armed with two handguns, only one was fired during the attack. A search of Natalie’s room netted a six-page document the girl had written entitled “War Against Humanity.” She started the piece by describing humanity as “filth” and saying she hated people who don’t care and “smoke their lungs out with weed or drink as much as they can like my own father.” She wrote about how she admired school shooters, how her mother was not in her life and how she obtained her weapons “by lies and manipulation, and my fathers stupidity.” Investigators also discovered maps of the school and a cardboard model of the building, along with a handwritten schedule that detailed how she would being the attack at 11:30 a.m. and wipe out the first and second floors of the school by 11:55 a.m. She planned to end the attack by 12:10 p.m. with a notation “ready 4 Death.” She had been communicating online with people around the world about her fascination with school shootings and weapons. effrey Rupnow told investigators that his daughter lived with him but had been struggling with his divorce from her mother in 2022, saying she hated her life and wanted to kill herself. He said she used to cut herself to the point where he had to lock up all the knives in his house. She had been in therapy to learn how to be more social until the spring before the attack, he told investigators. Her mother, Melissa Rupnow, told detectives that the therapist told her that Natalie was suffering post-traumatic stress disorder stemming from the divorce. One of Natalie’s friends told investigators that Jeffrey Rupnow was “frequently verbally aggressive” with Natalie and that she had told him that her father was a “drinker,” according to the complaint. Jeffery Rupnow told investigators that took Natalie shooting with him on a friend’s land about two years before the Abundant Life attack. She enjoyed it, and he came to see guns as a way to connect with her. But he was shocked at how her interest in firearms “snow balled,” he told investigators. He kept Natalie’s pistols in a gun safe, telling her that if she ever need them the access code was his Social Security number entered backward. About 10 days before the school attack, he texted a friend and said that Natalie would shoot him if he left “the fun safe open right now,” according to the complaint.</v>
      </c>
      <c r="AA180" s="8" t="str">
        <f ca="1">IFERROR(__xludf.DUMMYFUNCTION("""COMPUTED_VALUE"""),"Indiscriminate Shooting")</f>
        <v>Indiscriminate Shooting</v>
      </c>
      <c r="AB180" s="8" t="str">
        <f ca="1">IFERROR(__xludf.DUMMYFUNCTION("""COMPUTED_VALUE"""),"Active Shooter/Planned Attack")</f>
        <v>Active Shooter/Planned Attack</v>
      </c>
      <c r="AC180" s="8" t="str">
        <f ca="1">IFERROR(__xludf.DUMMYFUNCTION("""COMPUTED_VALUE"""),"Yes")</f>
        <v>Yes</v>
      </c>
      <c r="AD180" s="8" t="str">
        <f ca="1">IFERROR(__xludf.DUMMYFUNCTION("""COMPUTED_VALUE"""),"Random Shooting")</f>
        <v>Random Shooting</v>
      </c>
      <c r="AE180" s="8" t="str">
        <f ca="1">IFERROR(__xludf.DUMMYFUNCTION("""COMPUTED_VALUE"""),"No")</f>
        <v>No</v>
      </c>
      <c r="AF180" s="8"/>
      <c r="AG180" s="8" t="str">
        <f ca="1">IFERROR(__xludf.DUMMYFUNCTION("""COMPUTED_VALUE"""),"No")</f>
        <v>No</v>
      </c>
      <c r="AH180" s="8" t="str">
        <f ca="1">IFERROR(__xludf.DUMMYFUNCTION("""COMPUTED_VALUE"""),"No")</f>
        <v>No</v>
      </c>
      <c r="AI180" s="8" t="str">
        <f ca="1">IFERROR(__xludf.DUMMYFUNCTION("""COMPUTED_VALUE"""),"No")</f>
        <v>No</v>
      </c>
      <c r="AJ180" s="8" t="str">
        <f ca="1">IFERROR(__xludf.DUMMYFUNCTION("""COMPUTED_VALUE"""),"No")</f>
        <v>No</v>
      </c>
      <c r="AK180" s="8" t="str">
        <f ca="1">IFERROR(__xludf.DUMMYFUNCTION("""COMPUTED_VALUE"""),"No")</f>
        <v>No</v>
      </c>
      <c r="AL180" s="8" t="str">
        <f ca="1">IFERROR(__xludf.DUMMYFUNCTION("""COMPUTED_VALUE"""),"No")</f>
        <v>No</v>
      </c>
      <c r="AM180" s="8" t="str">
        <f ca="1">IFERROR(__xludf.DUMMYFUNCTION("""COMPUTED_VALUE"""),"Yes")</f>
        <v>Yes</v>
      </c>
      <c r="AN180" s="8" t="str">
        <f ca="1">IFERROR(__xludf.DUMMYFUNCTION("""COMPUTED_VALUE"""),"Single Room")</f>
        <v>Single Room</v>
      </c>
      <c r="AO180" s="8" t="str">
        <f ca="1">IFERROR(__xludf.DUMMYFUNCTION("""COMPUTED_VALUE"""),"Yes")</f>
        <v>Yes</v>
      </c>
      <c r="AP180" s="8" t="str">
        <f ca="1">IFERROR(__xludf.DUMMYFUNCTION("""COMPUTED_VALUE"""),"No")</f>
        <v>No</v>
      </c>
      <c r="AQ180" s="8" t="str">
        <f ca="1">IFERROR(__xludf.DUMMYFUNCTION("""COMPUTED_VALUE"""),"None")</f>
        <v>None</v>
      </c>
      <c r="AR180" s="8" t="str">
        <f ca="1">IFERROR(__xludf.DUMMYFUNCTION("""COMPUTED_VALUE"""),"NA")</f>
        <v>NA</v>
      </c>
      <c r="AS180" s="8">
        <f ca="1">IFERROR(__xludf.DUMMYFUNCTION("""COMPUTED_VALUE"""),20)</f>
        <v>20</v>
      </c>
      <c r="AT180" s="8" t="str">
        <f ca="1">IFERROR(__xludf.DUMMYFUNCTION("""COMPUTED_VALUE"""),"Yes")</f>
        <v>Yes</v>
      </c>
      <c r="AU180" s="8">
        <f ca="1">IFERROR(__xludf.DUMMYFUNCTION("""COMPUTED_VALUE"""),43.072765)</f>
        <v>43.072764999999997</v>
      </c>
      <c r="AV180" s="8">
        <f ca="1">IFERROR(__xludf.DUMMYFUNCTION("""COMPUTED_VALUE"""),-89.298895)</f>
        <v>-89.298895000000002</v>
      </c>
      <c r="AW180" s="8" t="str">
        <f ca="1">IFERROR(__xludf.DUMMYFUNCTION("""COMPUTED_VALUE"""),"Multiple attached buildings")</f>
        <v>Multiple attached buildings</v>
      </c>
      <c r="AX180" s="8">
        <f ca="1">IFERROR(__xludf.DUMMYFUNCTION("""COMPUTED_VALUE"""),53716)</f>
        <v>53716</v>
      </c>
    </row>
    <row r="181" spans="1:50" ht="150" x14ac:dyDescent="0.2">
      <c r="A181" s="8" t="str">
        <f ca="1">IFERROR(__xludf.DUMMYFUNCTION("""COMPUTED_VALUE"""),"20241214TNBRC")</f>
        <v>20241214TNBRC</v>
      </c>
      <c r="B181" s="8">
        <f ca="1">IFERROR(__xludf.DUMMYFUNCTION("""COMPUTED_VALUE"""),12)</f>
        <v>12</v>
      </c>
      <c r="C181" s="8">
        <f ca="1">IFERROR(__xludf.DUMMYFUNCTION("""COMPUTED_VALUE"""),14)</f>
        <v>14</v>
      </c>
      <c r="D181" s="8">
        <f ca="1">IFERROR(__xludf.DUMMYFUNCTION("""COMPUTED_VALUE"""),2024)</f>
        <v>2024</v>
      </c>
      <c r="E181" s="9">
        <f ca="1">IFERROR(__xludf.DUMMYFUNCTION("""COMPUTED_VALUE"""),45640)</f>
        <v>45640</v>
      </c>
      <c r="F181" s="8" t="str">
        <f ca="1">IFERROR(__xludf.DUMMYFUNCTION("""COMPUTED_VALUE"""),"Brainerd High School")</f>
        <v>Brainerd High School</v>
      </c>
      <c r="G181" s="8">
        <f ca="1">IFERROR(__xludf.DUMMYFUNCTION("""COMPUTED_VALUE"""),0)</f>
        <v>0</v>
      </c>
      <c r="H181" s="8">
        <f ca="1">IFERROR(__xludf.DUMMYFUNCTION("""COMPUTED_VALUE"""),0)</f>
        <v>0</v>
      </c>
      <c r="I181" s="8">
        <f ca="1">IFERROR(__xludf.DUMMYFUNCTION("""COMPUTED_VALUE"""),0)</f>
        <v>0</v>
      </c>
      <c r="J181" s="8">
        <f ca="1">IFERROR(__xludf.DUMMYFUNCTION("""COMPUTED_VALUE"""),0)</f>
        <v>0</v>
      </c>
      <c r="K181" s="10" t="str">
        <f ca="1">IFERROR(__xludf.DUMMYFUNCTION("""COMPUTED_VALUE"""),"https://www.local3news.com/local-news/witness-recounts-terrifying-moments-as-shots-fired-near-brainerd-basketball-game/article_edfbba98-bbd9-11ef-bfe9-9fbea643f128.html
https://www.chattanoogan.com/2024/12/16/496751/Police-Investigating-Shots-Fired-Near.a"&amp;"spx")</f>
        <v>https://www.local3news.com/local-news/witness-recounts-terrifying-moments-as-shots-fired-near-brainerd-basketball-game/article_edfbba98-bbd9-11ef-bfe9-9fbea643f128.html
https://www.chattanoogan.com/2024/12/16/496751/Police-Investigating-Shots-Fired-Near.aspx</v>
      </c>
      <c r="L181" s="8">
        <f ca="1">IFERROR(__xludf.DUMMYFUNCTION("""COMPUTED_VALUE"""),4)</f>
        <v>4</v>
      </c>
      <c r="M181" s="8" t="str">
        <f ca="1">IFERROR(__xludf.DUMMYFUNCTION("""COMPUTED_VALUE"""),"Local")</f>
        <v>Local</v>
      </c>
      <c r="N181" s="8">
        <f ca="1">IFERROR(__xludf.DUMMYFUNCTION("""COMPUTED_VALUE"""),4)</f>
        <v>4</v>
      </c>
      <c r="O181" s="8" t="str">
        <f ca="1">IFERROR(__xludf.DUMMYFUNCTION("""COMPUTED_VALUE"""),"Winter")</f>
        <v>Winter</v>
      </c>
      <c r="P181" s="8" t="str">
        <f ca="1">IFERROR(__xludf.DUMMYFUNCTION("""COMPUTED_VALUE"""),"Chattanooga")</f>
        <v>Chattanooga</v>
      </c>
      <c r="Q181" s="8" t="str">
        <f ca="1">IFERROR(__xludf.DUMMYFUNCTION("""COMPUTED_VALUE"""),"TN")</f>
        <v>TN</v>
      </c>
      <c r="R181" s="8" t="str">
        <f ca="1">IFERROR(__xludf.DUMMYFUNCTION("""COMPUTED_VALUE"""),"High")</f>
        <v>High</v>
      </c>
      <c r="S181" s="8" t="str">
        <f ca="1">IFERROR(__xludf.DUMMYFUNCTION("""COMPUTED_VALUE"""),"Parking Lot")</f>
        <v>Parking Lot</v>
      </c>
      <c r="T181" s="8" t="str">
        <f ca="1">IFERROR(__xludf.DUMMYFUNCTION("""COMPUTED_VALUE"""),"Outside on School Property")</f>
        <v>Outside on School Property</v>
      </c>
      <c r="U181" s="8" t="str">
        <f ca="1">IFERROR(__xludf.DUMMYFUNCTION("""COMPUTED_VALUE"""),"No")</f>
        <v>No</v>
      </c>
      <c r="V181" s="8" t="str">
        <f ca="1">IFERROR(__xludf.DUMMYFUNCTION("""COMPUTED_VALUE"""),"Sport Event")</f>
        <v>Sport Event</v>
      </c>
      <c r="W181" s="11">
        <f ca="1">IFERROR(__xludf.DUMMYFUNCTION("""COMPUTED_VALUE"""),0.760416666666666)</f>
        <v>0.76041666666666596</v>
      </c>
      <c r="X181" s="8">
        <f ca="1">IFERROR(__xludf.DUMMYFUNCTION("""COMPUTED_VALUE"""),1)</f>
        <v>1</v>
      </c>
      <c r="Y181" s="12" t="str">
        <f ca="1">IFERROR(__xludf.DUMMYFUNCTION("""COMPUTED_VALUE"""),"Shots fired during fight after high school basketball game")</f>
        <v>Shots fired during fight after high school basketball game</v>
      </c>
      <c r="Z181" s="12" t="str">
        <f ca="1">IFERROR(__xludf.DUMMYFUNCTION("""COMPUTED_VALUE"""),"The incident occurred after the Brainerd and Howard High School rivalry game. Harrington recounted hearing “back-to-back” shots that were “loud” and caused panic in the parking lot. “Soon as the shots went off, everybody was just in panic mode. Took off, "&amp;"and in that moment I wasn't concerned about myself, I was just trying to get my wife and brothers in the car,” Harrington added. Administrators with Hamilton County Schools (HCS) say they are working with police to get to the bottom of an incident involvi"&amp;"ng gunfire in the parking lot.")</f>
        <v>The incident occurred after the Brainerd and Howard High School rivalry game. Harrington recounted hearing “back-to-back” shots that were “loud” and caused panic in the parking lot. “Soon as the shots went off, everybody was just in panic mode. Took off, and in that moment I wasn't concerned about myself, I was just trying to get my wife and brothers in the car,” Harrington added. Administrators with Hamilton County Schools (HCS) say they are working with police to get to the bottom of an incident involving gunfire in the parking lot.</v>
      </c>
      <c r="AA181" s="8" t="str">
        <f ca="1">IFERROR(__xludf.DUMMYFUNCTION("""COMPUTED_VALUE"""),"Escalation of Dispute")</f>
        <v>Escalation of Dispute</v>
      </c>
      <c r="AB181" s="8" t="str">
        <f ca="1">IFERROR(__xludf.DUMMYFUNCTION("""COMPUTED_VALUE"""),"Spontaneous")</f>
        <v>Spontaneous</v>
      </c>
      <c r="AC181" s="8" t="str">
        <f ca="1">IFERROR(__xludf.DUMMYFUNCTION("""COMPUTED_VALUE"""),"Yes")</f>
        <v>Yes</v>
      </c>
      <c r="AD181" s="8" t="str">
        <f ca="1">IFERROR(__xludf.DUMMYFUNCTION("""COMPUTED_VALUE"""),"Victims Targeted")</f>
        <v>Victims Targeted</v>
      </c>
      <c r="AE181" s="8"/>
      <c r="AF181" s="8"/>
      <c r="AG181" s="8" t="str">
        <f ca="1">IFERROR(__xludf.DUMMYFUNCTION("""COMPUTED_VALUE"""),"No")</f>
        <v>No</v>
      </c>
      <c r="AH181" s="8" t="str">
        <f ca="1">IFERROR(__xludf.DUMMYFUNCTION("""COMPUTED_VALUE"""),"No")</f>
        <v>No</v>
      </c>
      <c r="AI181" s="8" t="str">
        <f ca="1">IFERROR(__xludf.DUMMYFUNCTION("""COMPUTED_VALUE"""),"No")</f>
        <v>No</v>
      </c>
      <c r="AJ181" s="8" t="str">
        <f ca="1">IFERROR(__xludf.DUMMYFUNCTION("""COMPUTED_VALUE"""),"No")</f>
        <v>No</v>
      </c>
      <c r="AK181" s="8" t="str">
        <f ca="1">IFERROR(__xludf.DUMMYFUNCTION("""COMPUTED_VALUE"""),"No")</f>
        <v>No</v>
      </c>
      <c r="AL181" s="8"/>
      <c r="AM181" s="8" t="str">
        <f ca="1">IFERROR(__xludf.DUMMYFUNCTION("""COMPUTED_VALUE"""),"No")</f>
        <v>No</v>
      </c>
      <c r="AN181" s="8" t="str">
        <f ca="1">IFERROR(__xludf.DUMMYFUNCTION("""COMPUTED_VALUE"""),"Outside")</f>
        <v>Outside</v>
      </c>
      <c r="AO181" s="8" t="str">
        <f ca="1">IFERROR(__xludf.DUMMYFUNCTION("""COMPUTED_VALUE"""),"No")</f>
        <v>No</v>
      </c>
      <c r="AP181" s="8" t="str">
        <f ca="1">IFERROR(__xludf.DUMMYFUNCTION("""COMPUTED_VALUE"""),"Yes")</f>
        <v>Yes</v>
      </c>
      <c r="AQ181" s="8" t="str">
        <f ca="1">IFERROR(__xludf.DUMMYFUNCTION("""COMPUTED_VALUE"""),"Armed Guards")</f>
        <v>Armed Guards</v>
      </c>
      <c r="AR181" s="8" t="str">
        <f ca="1">IFERROR(__xludf.DUMMYFUNCTION("""COMPUTED_VALUE"""),"Outside/Off-Property")</f>
        <v>Outside/Off-Property</v>
      </c>
      <c r="AS181" s="8">
        <f ca="1">IFERROR(__xludf.DUMMYFUNCTION("""COMPUTED_VALUE"""),99)</f>
        <v>99</v>
      </c>
      <c r="AT181" s="8" t="str">
        <f ca="1">IFERROR(__xludf.DUMMYFUNCTION("""COMPUTED_VALUE"""),"No")</f>
        <v>No</v>
      </c>
      <c r="AU181" s="8">
        <f ca="1">IFERROR(__xludf.DUMMYFUNCTION("""COMPUTED_VALUE"""),35.028892)</f>
        <v>35.028891999999999</v>
      </c>
      <c r="AV181" s="8">
        <f ca="1">IFERROR(__xludf.DUMMYFUNCTION("""COMPUTED_VALUE"""),-85.218471)</f>
        <v>-85.218470999999994</v>
      </c>
      <c r="AW181" s="8" t="str">
        <f ca="1">IFERROR(__xludf.DUMMYFUNCTION("""COMPUTED_VALUE"""),"Multiple attached buildings")</f>
        <v>Multiple attached buildings</v>
      </c>
      <c r="AX181" s="8">
        <f ca="1">IFERROR(__xludf.DUMMYFUNCTION("""COMPUTED_VALUE"""),37411)</f>
        <v>37411</v>
      </c>
    </row>
    <row r="182" spans="1:50" ht="210" x14ac:dyDescent="0.2">
      <c r="A182" s="8" t="str">
        <f ca="1">IFERROR(__xludf.DUMMYFUNCTION("""COMPUTED_VALUE"""),"20241213PAPUC")</f>
        <v>20241213PAPUC</v>
      </c>
      <c r="B182" s="8">
        <f ca="1">IFERROR(__xludf.DUMMYFUNCTION("""COMPUTED_VALUE"""),12)</f>
        <v>12</v>
      </c>
      <c r="C182" s="8">
        <f ca="1">IFERROR(__xludf.DUMMYFUNCTION("""COMPUTED_VALUE"""),13)</f>
        <v>13</v>
      </c>
      <c r="D182" s="8">
        <f ca="1">IFERROR(__xludf.DUMMYFUNCTION("""COMPUTED_VALUE"""),2024)</f>
        <v>2024</v>
      </c>
      <c r="E182" s="9">
        <f ca="1">IFERROR(__xludf.DUMMYFUNCTION("""COMPUTED_VALUE"""),45639)</f>
        <v>45639</v>
      </c>
      <c r="F182" s="8" t="str">
        <f ca="1">IFERROR(__xludf.DUMMYFUNCTION("""COMPUTED_VALUE"""),"Purchase Line Elementary School")</f>
        <v>Purchase Line Elementary School</v>
      </c>
      <c r="G182" s="8">
        <f ca="1">IFERROR(__xludf.DUMMYFUNCTION("""COMPUTED_VALUE"""),0)</f>
        <v>0</v>
      </c>
      <c r="H182" s="8">
        <f ca="1">IFERROR(__xludf.DUMMYFUNCTION("""COMPUTED_VALUE"""),0)</f>
        <v>0</v>
      </c>
      <c r="I182" s="8">
        <f ca="1">IFERROR(__xludf.DUMMYFUNCTION("""COMPUTED_VALUE"""),0)</f>
        <v>0</v>
      </c>
      <c r="J182" s="8">
        <f ca="1">IFERROR(__xludf.DUMMYFUNCTION("""COMPUTED_VALUE"""),0)</f>
        <v>0</v>
      </c>
      <c r="K182" s="8" t="str">
        <f ca="1">IFERROR(__xludf.DUMMYFUNCTION("""COMPUTED_VALUE"""),"https://www.cbsnews.com/pittsburgh/news/indiana-county-elementary-school-security-guard-accidentally-fires-gun/
https://www.punxsutawneyspirit.com/news/police-no-injuries-as-security-guard-accidentally-fires-weapon-at-purchase-line-elementary-school/artic"&amp;"le_6ce5631e-b99f-11ef-874e-9bb05a8164c3.html")</f>
        <v>https://www.cbsnews.com/pittsburgh/news/indiana-county-elementary-school-security-guard-accidentally-fires-gun/
https://www.punxsutawneyspirit.com/news/police-no-injuries-as-security-guard-accidentally-fires-weapon-at-purchase-line-elementary-school/article_6ce5631e-b99f-11ef-874e-9bb05a8164c3.html</v>
      </c>
      <c r="L182" s="8">
        <f ca="1">IFERROR(__xludf.DUMMYFUNCTION("""COMPUTED_VALUE"""),10)</f>
        <v>10</v>
      </c>
      <c r="M182" s="8" t="str">
        <f ca="1">IFERROR(__xludf.DUMMYFUNCTION("""COMPUTED_VALUE"""),"Regional")</f>
        <v>Regional</v>
      </c>
      <c r="N182" s="8">
        <f ca="1">IFERROR(__xludf.DUMMYFUNCTION("""COMPUTED_VALUE"""),4)</f>
        <v>4</v>
      </c>
      <c r="O182" s="8" t="str">
        <f ca="1">IFERROR(__xludf.DUMMYFUNCTION("""COMPUTED_VALUE"""),"Winter")</f>
        <v>Winter</v>
      </c>
      <c r="P182" s="8" t="str">
        <f ca="1">IFERROR(__xludf.DUMMYFUNCTION("""COMPUTED_VALUE"""),"Commodore")</f>
        <v>Commodore</v>
      </c>
      <c r="Q182" s="8" t="str">
        <f ca="1">IFERROR(__xludf.DUMMYFUNCTION("""COMPUTED_VALUE"""),"PA")</f>
        <v>PA</v>
      </c>
      <c r="R182" s="8" t="str">
        <f ca="1">IFERROR(__xludf.DUMMYFUNCTION("""COMPUTED_VALUE"""),"Elementary")</f>
        <v>Elementary</v>
      </c>
      <c r="S182" s="8" t="str">
        <f ca="1">IFERROR(__xludf.DUMMYFUNCTION("""COMPUTED_VALUE"""),"Office")</f>
        <v>Office</v>
      </c>
      <c r="T182" s="8" t="str">
        <f ca="1">IFERROR(__xludf.DUMMYFUNCTION("""COMPUTED_VALUE"""),"Inside School Building")</f>
        <v>Inside School Building</v>
      </c>
      <c r="U182" s="8" t="str">
        <f ca="1">IFERROR(__xludf.DUMMYFUNCTION("""COMPUTED_VALUE"""),"Yes")</f>
        <v>Yes</v>
      </c>
      <c r="V182" s="8" t="str">
        <f ca="1">IFERROR(__xludf.DUMMYFUNCTION("""COMPUTED_VALUE"""),"Morning Classes")</f>
        <v>Morning Classes</v>
      </c>
      <c r="W182" s="11">
        <f ca="1">IFERROR(__xludf.DUMMYFUNCTION("""COMPUTED_VALUE"""),0.385416666666666)</f>
        <v>0.38541666666666602</v>
      </c>
      <c r="X182" s="8">
        <f ca="1">IFERROR(__xludf.DUMMYFUNCTION("""COMPUTED_VALUE"""),1)</f>
        <v>1</v>
      </c>
      <c r="Y182" s="12" t="str">
        <f ca="1">IFERROR(__xludf.DUMMYFUNCTION("""COMPUTED_VALUE"""),"Security guard accidentally fired gun inside break room")</f>
        <v>Security guard accidentally fired gun inside break room</v>
      </c>
      <c r="Z182" s="12" t="str">
        <f ca="1">IFERROR(__xludf.DUMMYFUNCTION("""COMPUTED_VALUE"""),"A security guard at an elementary school in Indiana County is under investigation after police said he accidentally discharged his firearm, shooting a refrigerator in the faculty room on Friday morning. Pennsylvania State Police said troopers were called "&amp;"to Purchase Line Elementary School in Green Township around 9:15 a.m. to investigate after an on-duty school security guard accidentally fired his gun. Troopers said they learned that the security guard was handling his gun in the faculty room shortly aft"&amp;"er 9 a.m. when the firearm fired one round, hitting a refrigerator. Police said there were no injuries and the incident didn't result in any disruption to student activities. The school day will carry on as normal and dismissal will remain unchanged, poli"&amp;"ce said.")</f>
        <v>A security guard at an elementary school in Indiana County is under investigation after police said he accidentally discharged his firearm, shooting a refrigerator in the faculty room on Friday morning. Pennsylvania State Police said troopers were called to Purchase Line Elementary School in Green Township around 9:15 a.m. to investigate after an on-duty school security guard accidentally fired his gun. Troopers said they learned that the security guard was handling his gun in the faculty room shortly after 9 a.m. when the firearm fired one round, hitting a refrigerator. Police said there were no injuries and the incident didn't result in any disruption to student activities. The school day will carry on as normal and dismissal will remain unchanged, police said.</v>
      </c>
      <c r="AA182" s="8" t="str">
        <f ca="1">IFERROR(__xludf.DUMMYFUNCTION("""COMPUTED_VALUE"""),"Accidental")</f>
        <v>Accidental</v>
      </c>
      <c r="AB182" s="8" t="str">
        <f ca="1">IFERROR(__xludf.DUMMYFUNCTION("""COMPUTED_VALUE"""),"Spontaneous")</f>
        <v>Spontaneous</v>
      </c>
      <c r="AC182" s="8" t="str">
        <f ca="1">IFERROR(__xludf.DUMMYFUNCTION("""COMPUTED_VALUE"""),"Yes")</f>
        <v>Yes</v>
      </c>
      <c r="AD182" s="8" t="str">
        <f ca="1">IFERROR(__xludf.DUMMYFUNCTION("""COMPUTED_VALUE"""),"Neither")</f>
        <v>Neither</v>
      </c>
      <c r="AE182" s="8" t="str">
        <f ca="1">IFERROR(__xludf.DUMMYFUNCTION("""COMPUTED_VALUE"""),"No")</f>
        <v>No</v>
      </c>
      <c r="AF182" s="8"/>
      <c r="AG182" s="8" t="str">
        <f ca="1">IFERROR(__xludf.DUMMYFUNCTION("""COMPUTED_VALUE"""),"No")</f>
        <v>No</v>
      </c>
      <c r="AH182" s="8" t="str">
        <f ca="1">IFERROR(__xludf.DUMMYFUNCTION("""COMPUTED_VALUE"""),"No")</f>
        <v>No</v>
      </c>
      <c r="AI182" s="8" t="str">
        <f ca="1">IFERROR(__xludf.DUMMYFUNCTION("""COMPUTED_VALUE"""),"Yes")</f>
        <v>Yes</v>
      </c>
      <c r="AJ182" s="8" t="str">
        <f ca="1">IFERROR(__xludf.DUMMYFUNCTION("""COMPUTED_VALUE"""),"No")</f>
        <v>No</v>
      </c>
      <c r="AK182" s="8" t="str">
        <f ca="1">IFERROR(__xludf.DUMMYFUNCTION("""COMPUTED_VALUE"""),"No")</f>
        <v>No</v>
      </c>
      <c r="AL182" s="8" t="str">
        <f ca="1">IFERROR(__xludf.DUMMYFUNCTION("""COMPUTED_VALUE"""),"No")</f>
        <v>No</v>
      </c>
      <c r="AM182" s="8" t="str">
        <f ca="1">IFERROR(__xludf.DUMMYFUNCTION("""COMPUTED_VALUE"""),"No")</f>
        <v>No</v>
      </c>
      <c r="AN182" s="8" t="str">
        <f ca="1">IFERROR(__xludf.DUMMYFUNCTION("""COMPUTED_VALUE"""),"Outside")</f>
        <v>Outside</v>
      </c>
      <c r="AO182" s="8" t="str">
        <f ca="1">IFERROR(__xludf.DUMMYFUNCTION("""COMPUTED_VALUE"""),"No")</f>
        <v>No</v>
      </c>
      <c r="AP182" s="8" t="str">
        <f ca="1">IFERROR(__xludf.DUMMYFUNCTION("""COMPUTED_VALUE"""),"Yes")</f>
        <v>Yes</v>
      </c>
      <c r="AQ182" s="8" t="str">
        <f ca="1">IFERROR(__xludf.DUMMYFUNCTION("""COMPUTED_VALUE"""),"Armed Guards")</f>
        <v>Armed Guards</v>
      </c>
      <c r="AR182" s="8" t="str">
        <f ca="1">IFERROR(__xludf.DUMMYFUNCTION("""COMPUTED_VALUE"""),"Outside/Off-Property")</f>
        <v>Outside/Off-Property</v>
      </c>
      <c r="AS182" s="8">
        <f ca="1">IFERROR(__xludf.DUMMYFUNCTION("""COMPUTED_VALUE"""),1)</f>
        <v>1</v>
      </c>
      <c r="AT182" s="8" t="str">
        <f ca="1">IFERROR(__xludf.DUMMYFUNCTION("""COMPUTED_VALUE"""),"No")</f>
        <v>No</v>
      </c>
      <c r="AU182" s="8">
        <f ca="1">IFERROR(__xludf.DUMMYFUNCTION("""COMPUTED_VALUE"""),40.735044)</f>
        <v>40.735044000000002</v>
      </c>
      <c r="AV182" s="8">
        <f ca="1">IFERROR(__xludf.DUMMYFUNCTION("""COMPUTED_VALUE"""),-78.911726)</f>
        <v>-78.911726000000002</v>
      </c>
      <c r="AW182" s="8" t="str">
        <f ca="1">IFERROR(__xludf.DUMMYFUNCTION("""COMPUTED_VALUE"""),"Single building indoor hallway")</f>
        <v>Single building indoor hallway</v>
      </c>
      <c r="AX182" s="8">
        <f ca="1">IFERROR(__xludf.DUMMYFUNCTION("""COMPUTED_VALUE"""),15729)</f>
        <v>15729</v>
      </c>
    </row>
    <row r="183" spans="1:50" ht="180" x14ac:dyDescent="0.2">
      <c r="A183" s="8" t="str">
        <f ca="1">IFERROR(__xludf.DUMMYFUNCTION("""COMPUTED_VALUE"""),"20241213OKBLO")</f>
        <v>20241213OKBLO</v>
      </c>
      <c r="B183" s="8">
        <f ca="1">IFERROR(__xludf.DUMMYFUNCTION("""COMPUTED_VALUE"""),12)</f>
        <v>12</v>
      </c>
      <c r="C183" s="8">
        <f ca="1">IFERROR(__xludf.DUMMYFUNCTION("""COMPUTED_VALUE"""),13)</f>
        <v>13</v>
      </c>
      <c r="D183" s="8">
        <f ca="1">IFERROR(__xludf.DUMMYFUNCTION("""COMPUTED_VALUE"""),2024)</f>
        <v>2024</v>
      </c>
      <c r="E183" s="9">
        <f ca="1">IFERROR(__xludf.DUMMYFUNCTION("""COMPUTED_VALUE"""),45639)</f>
        <v>45639</v>
      </c>
      <c r="F183" s="8" t="str">
        <f ca="1">IFERROR(__xludf.DUMMYFUNCTION("""COMPUTED_VALUE"""),"Blanchard Elementary School")</f>
        <v>Blanchard Elementary School</v>
      </c>
      <c r="G183" s="8">
        <f ca="1">IFERROR(__xludf.DUMMYFUNCTION("""COMPUTED_VALUE"""),0)</f>
        <v>0</v>
      </c>
      <c r="H183" s="8">
        <f ca="1">IFERROR(__xludf.DUMMYFUNCTION("""COMPUTED_VALUE"""),0)</f>
        <v>0</v>
      </c>
      <c r="I183" s="8">
        <f ca="1">IFERROR(__xludf.DUMMYFUNCTION("""COMPUTED_VALUE"""),0)</f>
        <v>0</v>
      </c>
      <c r="J183" s="8">
        <f ca="1">IFERROR(__xludf.DUMMYFUNCTION("""COMPUTED_VALUE"""),0)</f>
        <v>0</v>
      </c>
      <c r="K183" s="8" t="str">
        <f ca="1">IFERROR(__xludf.DUMMYFUNCTION("""COMPUTED_VALUE"""),"https://kfor.com/news/local/mcclain-co-sheriff-releases-official-report-after-accidental-discharge-at-blanchard-school/
https://www.news9.com/story/675cc050ef6a9c7e7ac8df61/unsettling:-mcclain-county-sheriffs-deputy-reflects-on-incident-after-blanchard-sr"&amp;"os-gun-discharges-at-elementary-school
https://www.koco.com/article/oklahoma-blanchard-student-discharges-sro-weapon-playground/63187889")</f>
        <v>https://kfor.com/news/local/mcclain-co-sheriff-releases-official-report-after-accidental-discharge-at-blanchard-school/
https://www.news9.com/story/675cc050ef6a9c7e7ac8df61/unsettling:-mcclain-county-sheriffs-deputy-reflects-on-incident-after-blanchard-sros-gun-discharges-at-elementary-school
https://www.koco.com/article/oklahoma-blanchard-student-discharges-sro-weapon-playground/63187889</v>
      </c>
      <c r="L183" s="8">
        <f ca="1">IFERROR(__xludf.DUMMYFUNCTION("""COMPUTED_VALUE"""),6)</f>
        <v>6</v>
      </c>
      <c r="M183" s="8" t="str">
        <f ca="1">IFERROR(__xludf.DUMMYFUNCTION("""COMPUTED_VALUE"""),"Regional")</f>
        <v>Regional</v>
      </c>
      <c r="N183" s="8">
        <f ca="1">IFERROR(__xludf.DUMMYFUNCTION("""COMPUTED_VALUE"""),4)</f>
        <v>4</v>
      </c>
      <c r="O183" s="8" t="str">
        <f ca="1">IFERROR(__xludf.DUMMYFUNCTION("""COMPUTED_VALUE"""),"Winter")</f>
        <v>Winter</v>
      </c>
      <c r="P183" s="8" t="str">
        <f ca="1">IFERROR(__xludf.DUMMYFUNCTION("""COMPUTED_VALUE"""),"Blanchard")</f>
        <v>Blanchard</v>
      </c>
      <c r="Q183" s="8" t="str">
        <f ca="1">IFERROR(__xludf.DUMMYFUNCTION("""COMPUTED_VALUE"""),"OK")</f>
        <v>OK</v>
      </c>
      <c r="R183" s="8" t="str">
        <f ca="1">IFERROR(__xludf.DUMMYFUNCTION("""COMPUTED_VALUE"""),"Elementary")</f>
        <v>Elementary</v>
      </c>
      <c r="S183" s="8" t="str">
        <f ca="1">IFERROR(__xludf.DUMMYFUNCTION("""COMPUTED_VALUE"""),"Playground")</f>
        <v>Playground</v>
      </c>
      <c r="T183" s="8" t="str">
        <f ca="1">IFERROR(__xludf.DUMMYFUNCTION("""COMPUTED_VALUE"""),"Outside on School Property")</f>
        <v>Outside on School Property</v>
      </c>
      <c r="U183" s="8" t="str">
        <f ca="1">IFERROR(__xludf.DUMMYFUNCTION("""COMPUTED_VALUE"""),"Yes")</f>
        <v>Yes</v>
      </c>
      <c r="V183" s="8" t="str">
        <f ca="1">IFERROR(__xludf.DUMMYFUNCTION("""COMPUTED_VALUE"""),"Afternoon Classes")</f>
        <v>Afternoon Classes</v>
      </c>
      <c r="W183" s="8"/>
      <c r="X183" s="8">
        <f ca="1">IFERROR(__xludf.DUMMYFUNCTION("""COMPUTED_VALUE"""),1)</f>
        <v>1</v>
      </c>
      <c r="Y183" s="12" t="str">
        <f ca="1">IFERROR(__xludf.DUMMYFUNCTION("""COMPUTED_VALUE"""),"SRO's gun was fired on the school playground while he was passing out stickers to kids")</f>
        <v>SRO's gun was fired on the school playground while he was passing out stickers to kids</v>
      </c>
      <c r="Z183" s="12" t="str">
        <f ca="1">IFERROR(__xludf.DUMMYFUNCTION("""COMPUTED_VALUE"""),"The MCSO says the deputy was handing out stickers to several students while sitting on a wooden bench prior to the incident. While helping one of the kids zip up their jacket, the deputy heard his gun go off. The child who was on the deputy’s gun side rep"&amp;"ortedly told the deputy and a teacher that he made the gun “shoot.” Detectives conducted a series of tests to recreate the incident and also inspected the deputy’s service pistol. During the investigation, they found that there was a “significant gap” bet"&amp;"ween the gun’s trigger guard and the trigger guard of the holster that allowed the trigger to be easily manipulated while inside the holster.")</f>
        <v>The MCSO says the deputy was handing out stickers to several students while sitting on a wooden bench prior to the incident. While helping one of the kids zip up their jacket, the deputy heard his gun go off. The child who was on the deputy’s gun side reportedly told the deputy and a teacher that he made the gun “shoot.” Detectives conducted a series of tests to recreate the incident and also inspected the deputy’s service pistol. During the investigation, they found that there was a “significant gap” between the gun’s trigger guard and the trigger guard of the holster that allowed the trigger to be easily manipulated while inside the holster.</v>
      </c>
      <c r="AA183" s="8" t="str">
        <f ca="1">IFERROR(__xludf.DUMMYFUNCTION("""COMPUTED_VALUE"""),"Accidental")</f>
        <v>Accidental</v>
      </c>
      <c r="AB183" s="8" t="str">
        <f ca="1">IFERROR(__xludf.DUMMYFUNCTION("""COMPUTED_VALUE"""),"Spontaneous")</f>
        <v>Spontaneous</v>
      </c>
      <c r="AC183" s="8" t="str">
        <f ca="1">IFERROR(__xludf.DUMMYFUNCTION("""COMPUTED_VALUE"""),"Yes")</f>
        <v>Yes</v>
      </c>
      <c r="AD183" s="8" t="str">
        <f ca="1">IFERROR(__xludf.DUMMYFUNCTION("""COMPUTED_VALUE"""),"Neither")</f>
        <v>Neither</v>
      </c>
      <c r="AE183" s="8" t="str">
        <f ca="1">IFERROR(__xludf.DUMMYFUNCTION("""COMPUTED_VALUE"""),"No")</f>
        <v>No</v>
      </c>
      <c r="AF183" s="8"/>
      <c r="AG183" s="8" t="str">
        <f ca="1">IFERROR(__xludf.DUMMYFUNCTION("""COMPUTED_VALUE"""),"No")</f>
        <v>No</v>
      </c>
      <c r="AH183" s="8" t="str">
        <f ca="1">IFERROR(__xludf.DUMMYFUNCTION("""COMPUTED_VALUE"""),"No")</f>
        <v>No</v>
      </c>
      <c r="AI183" s="8" t="str">
        <f ca="1">IFERROR(__xludf.DUMMYFUNCTION("""COMPUTED_VALUE"""),"Yes")</f>
        <v>Yes</v>
      </c>
      <c r="AJ183" s="8" t="str">
        <f ca="1">IFERROR(__xludf.DUMMYFUNCTION("""COMPUTED_VALUE"""),"No")</f>
        <v>No</v>
      </c>
      <c r="AK183" s="8" t="str">
        <f ca="1">IFERROR(__xludf.DUMMYFUNCTION("""COMPUTED_VALUE"""),"No")</f>
        <v>No</v>
      </c>
      <c r="AL183" s="8" t="str">
        <f ca="1">IFERROR(__xludf.DUMMYFUNCTION("""COMPUTED_VALUE"""),"No")</f>
        <v>No</v>
      </c>
      <c r="AM183" s="8" t="str">
        <f ca="1">IFERROR(__xludf.DUMMYFUNCTION("""COMPUTED_VALUE"""),"No")</f>
        <v>No</v>
      </c>
      <c r="AN183" s="8" t="str">
        <f ca="1">IFERROR(__xludf.DUMMYFUNCTION("""COMPUTED_VALUE"""),"Outside")</f>
        <v>Outside</v>
      </c>
      <c r="AO183" s="8" t="str">
        <f ca="1">IFERROR(__xludf.DUMMYFUNCTION("""COMPUTED_VALUE"""),"No")</f>
        <v>No</v>
      </c>
      <c r="AP183" s="8" t="str">
        <f ca="1">IFERROR(__xludf.DUMMYFUNCTION("""COMPUTED_VALUE"""),"Yes")</f>
        <v>Yes</v>
      </c>
      <c r="AQ183" s="8" t="str">
        <f ca="1">IFERROR(__xludf.DUMMYFUNCTION("""COMPUTED_VALUE"""),"Armed Guards")</f>
        <v>Armed Guards</v>
      </c>
      <c r="AR183" s="8" t="str">
        <f ca="1">IFERROR(__xludf.DUMMYFUNCTION("""COMPUTED_VALUE"""),"Outside/Off-Property")</f>
        <v>Outside/Off-Property</v>
      </c>
      <c r="AS183" s="8">
        <f ca="1">IFERROR(__xludf.DUMMYFUNCTION("""COMPUTED_VALUE"""),1)</f>
        <v>1</v>
      </c>
      <c r="AT183" s="8" t="str">
        <f ca="1">IFERROR(__xludf.DUMMYFUNCTION("""COMPUTED_VALUE"""),"No")</f>
        <v>No</v>
      </c>
      <c r="AU183" s="8">
        <f ca="1">IFERROR(__xludf.DUMMYFUNCTION("""COMPUTED_VALUE"""),35.151762)</f>
        <v>35.151761999999998</v>
      </c>
      <c r="AV183" s="8">
        <f ca="1">IFERROR(__xludf.DUMMYFUNCTION("""COMPUTED_VALUE"""),-97.657195)</f>
        <v>-97.657195000000002</v>
      </c>
      <c r="AW183" s="8" t="str">
        <f ca="1">IFERROR(__xludf.DUMMYFUNCTION("""COMPUTED_VALUE"""),"Single building indoor hallway")</f>
        <v>Single building indoor hallway</v>
      </c>
      <c r="AX183" s="8">
        <f ca="1">IFERROR(__xludf.DUMMYFUNCTION("""COMPUTED_VALUE"""),73010)</f>
        <v>73010</v>
      </c>
    </row>
    <row r="184" spans="1:50" ht="105" x14ac:dyDescent="0.2">
      <c r="A184" s="8" t="str">
        <f ca="1">IFERROR(__xludf.DUMMYFUNCTION("""COMPUTED_VALUE"""),"20241213TNEAN")</f>
        <v>20241213TNEAN</v>
      </c>
      <c r="B184" s="8">
        <f ca="1">IFERROR(__xludf.DUMMYFUNCTION("""COMPUTED_VALUE"""),12)</f>
        <v>12</v>
      </c>
      <c r="C184" s="8">
        <f ca="1">IFERROR(__xludf.DUMMYFUNCTION("""COMPUTED_VALUE"""),13)</f>
        <v>13</v>
      </c>
      <c r="D184" s="8">
        <f ca="1">IFERROR(__xludf.DUMMYFUNCTION("""COMPUTED_VALUE"""),2024)</f>
        <v>2024</v>
      </c>
      <c r="E184" s="9">
        <f ca="1">IFERROR(__xludf.DUMMYFUNCTION("""COMPUTED_VALUE"""),45639)</f>
        <v>45639</v>
      </c>
      <c r="F184" s="8" t="str">
        <f ca="1">IFERROR(__xludf.DUMMYFUNCTION("""COMPUTED_VALUE"""),"East Magnet Middle School")</f>
        <v>East Magnet Middle School</v>
      </c>
      <c r="G184" s="8">
        <f ca="1">IFERROR(__xludf.DUMMYFUNCTION("""COMPUTED_VALUE"""),0)</f>
        <v>0</v>
      </c>
      <c r="H184" s="8">
        <f ca="1">IFERROR(__xludf.DUMMYFUNCTION("""COMPUTED_VALUE"""),0)</f>
        <v>0</v>
      </c>
      <c r="I184" s="8">
        <f ca="1">IFERROR(__xludf.DUMMYFUNCTION("""COMPUTED_VALUE"""),0)</f>
        <v>0</v>
      </c>
      <c r="J184" s="8">
        <f ca="1">IFERROR(__xludf.DUMMYFUNCTION("""COMPUTED_VALUE"""),0)</f>
        <v>0</v>
      </c>
      <c r="K184" s="10" t="str">
        <f ca="1">IFERROR(__xludf.DUMMYFUNCTION("""COMPUTED_VALUE"""),"https://www.wsmv.com/2024/12/13/search-underway-suspect-after-shots-fired-near-nashville-schools/
https://fox17.com/news/local/shot-fired-into-air-near-nashville-middle-school-after-sro-breaks-up-fight-off-campus")</f>
        <v>https://www.wsmv.com/2024/12/13/search-underway-suspect-after-shots-fired-near-nashville-schools/
https://fox17.com/news/local/shot-fired-into-air-near-nashville-middle-school-after-sro-breaks-up-fight-off-campus</v>
      </c>
      <c r="L184" s="8">
        <f ca="1">IFERROR(__xludf.DUMMYFUNCTION("""COMPUTED_VALUE"""),2)</f>
        <v>2</v>
      </c>
      <c r="M184" s="8" t="str">
        <f ca="1">IFERROR(__xludf.DUMMYFUNCTION("""COMPUTED_VALUE"""),"Local")</f>
        <v>Local</v>
      </c>
      <c r="N184" s="8">
        <f ca="1">IFERROR(__xludf.DUMMYFUNCTION("""COMPUTED_VALUE"""),3)</f>
        <v>3</v>
      </c>
      <c r="O184" s="8" t="str">
        <f ca="1">IFERROR(__xludf.DUMMYFUNCTION("""COMPUTED_VALUE"""),"Winter")</f>
        <v>Winter</v>
      </c>
      <c r="P184" s="8" t="str">
        <f ca="1">IFERROR(__xludf.DUMMYFUNCTION("""COMPUTED_VALUE"""),"Nashville")</f>
        <v>Nashville</v>
      </c>
      <c r="Q184" s="8" t="str">
        <f ca="1">IFERROR(__xludf.DUMMYFUNCTION("""COMPUTED_VALUE"""),"TN")</f>
        <v>TN</v>
      </c>
      <c r="R184" s="8" t="str">
        <f ca="1">IFERROR(__xludf.DUMMYFUNCTION("""COMPUTED_VALUE"""),"High")</f>
        <v>High</v>
      </c>
      <c r="S184" s="8" t="str">
        <f ca="1">IFERROR(__xludf.DUMMYFUNCTION("""COMPUTED_VALUE"""),"Parking Lot")</f>
        <v>Parking Lot</v>
      </c>
      <c r="T184" s="8" t="str">
        <f ca="1">IFERROR(__xludf.DUMMYFUNCTION("""COMPUTED_VALUE"""),"Outside on School Property")</f>
        <v>Outside on School Property</v>
      </c>
      <c r="U184" s="8" t="str">
        <f ca="1">IFERROR(__xludf.DUMMYFUNCTION("""COMPUTED_VALUE"""),"Yes")</f>
        <v>Yes</v>
      </c>
      <c r="V184" s="8" t="str">
        <f ca="1">IFERROR(__xludf.DUMMYFUNCTION("""COMPUTED_VALUE"""),"Afternoon Classes")</f>
        <v>Afternoon Classes</v>
      </c>
      <c r="W184" s="11">
        <f ca="1">IFERROR(__xludf.DUMMYFUNCTION("""COMPUTED_VALUE"""),0.625)</f>
        <v>0.625</v>
      </c>
      <c r="X184" s="8">
        <f ca="1">IFERROR(__xludf.DUMMYFUNCTION("""COMPUTED_VALUE"""),1)</f>
        <v>1</v>
      </c>
      <c r="Y184" s="12" t="str">
        <f ca="1">IFERROR(__xludf.DUMMYFUNCTION("""COMPUTED_VALUE"""),"Shots fired when SRO attempted to break up a fight")</f>
        <v>Shots fired when SRO attempted to break up a fight</v>
      </c>
      <c r="Z184" s="12" t="str">
        <f ca="1">IFERROR(__xludf.DUMMYFUNCTION("""COMPUTED_VALUE"""),"An individual told a School Resource Officer (SRO) at East Magnet Middle about a fight happening between a group of men at the business that borders the campus parking lot. The officer attempted to break up the fight when a man fired a shot into the air a"&amp;"nd ran off, wearing only one shoe. The school went on lockdown while police searched for the shooter who escaped.")</f>
        <v>An individual told a School Resource Officer (SRO) at East Magnet Middle about a fight happening between a group of men at the business that borders the campus parking lot. The officer attempted to break up the fight when a man fired a shot into the air and ran off, wearing only one shoe. The school went on lockdown while police searched for the shooter who escaped.</v>
      </c>
      <c r="AA184" s="8" t="str">
        <f ca="1">IFERROR(__xludf.DUMMYFUNCTION("""COMPUTED_VALUE"""),"Escalation of Dispute")</f>
        <v>Escalation of Dispute</v>
      </c>
      <c r="AB184" s="8" t="str">
        <f ca="1">IFERROR(__xludf.DUMMYFUNCTION("""COMPUTED_VALUE"""),"Spontaneous")</f>
        <v>Spontaneous</v>
      </c>
      <c r="AC184" s="8" t="str">
        <f ca="1">IFERROR(__xludf.DUMMYFUNCTION("""COMPUTED_VALUE"""),"Yes")</f>
        <v>Yes</v>
      </c>
      <c r="AD184" s="8" t="str">
        <f ca="1">IFERROR(__xludf.DUMMYFUNCTION("""COMPUTED_VALUE"""),"Neither")</f>
        <v>Neither</v>
      </c>
      <c r="AE184" s="8" t="str">
        <f ca="1">IFERROR(__xludf.DUMMYFUNCTION("""COMPUTED_VALUE"""),"No")</f>
        <v>No</v>
      </c>
      <c r="AF184" s="8"/>
      <c r="AG184" s="8" t="str">
        <f ca="1">IFERROR(__xludf.DUMMYFUNCTION("""COMPUTED_VALUE"""),"No")</f>
        <v>No</v>
      </c>
      <c r="AH184" s="8" t="str">
        <f ca="1">IFERROR(__xludf.DUMMYFUNCTION("""COMPUTED_VALUE"""),"No")</f>
        <v>No</v>
      </c>
      <c r="AI184" s="8" t="str">
        <f ca="1">IFERROR(__xludf.DUMMYFUNCTION("""COMPUTED_VALUE"""),"No")</f>
        <v>No</v>
      </c>
      <c r="AJ184" s="8" t="str">
        <f ca="1">IFERROR(__xludf.DUMMYFUNCTION("""COMPUTED_VALUE"""),"No")</f>
        <v>No</v>
      </c>
      <c r="AK184" s="8" t="str">
        <f ca="1">IFERROR(__xludf.DUMMYFUNCTION("""COMPUTED_VALUE"""),"No")</f>
        <v>No</v>
      </c>
      <c r="AL184" s="8"/>
      <c r="AM184" s="8" t="str">
        <f ca="1">IFERROR(__xludf.DUMMYFUNCTION("""COMPUTED_VALUE"""),"No")</f>
        <v>No</v>
      </c>
      <c r="AN184" s="8" t="str">
        <f ca="1">IFERROR(__xludf.DUMMYFUNCTION("""COMPUTED_VALUE"""),"Outside")</f>
        <v>Outside</v>
      </c>
      <c r="AO184" s="8" t="str">
        <f ca="1">IFERROR(__xludf.DUMMYFUNCTION("""COMPUTED_VALUE"""),"No")</f>
        <v>No</v>
      </c>
      <c r="AP184" s="8" t="str">
        <f ca="1">IFERROR(__xludf.DUMMYFUNCTION("""COMPUTED_VALUE"""),"Yes")</f>
        <v>Yes</v>
      </c>
      <c r="AQ184" s="8" t="str">
        <f ca="1">IFERROR(__xludf.DUMMYFUNCTION("""COMPUTED_VALUE"""),"Armed Guards")</f>
        <v>Armed Guards</v>
      </c>
      <c r="AR184" s="8" t="str">
        <f ca="1">IFERROR(__xludf.DUMMYFUNCTION("""COMPUTED_VALUE"""),"Outside/Off-Property")</f>
        <v>Outside/Off-Property</v>
      </c>
      <c r="AS184" s="8">
        <f ca="1">IFERROR(__xludf.DUMMYFUNCTION("""COMPUTED_VALUE"""),99)</f>
        <v>99</v>
      </c>
      <c r="AT184" s="8" t="str">
        <f ca="1">IFERROR(__xludf.DUMMYFUNCTION("""COMPUTED_VALUE"""),"Yes")</f>
        <v>Yes</v>
      </c>
      <c r="AU184" s="8">
        <f ca="1">IFERROR(__xludf.DUMMYFUNCTION("""COMPUTED_VALUE"""),36.180373)</f>
        <v>36.180373000000003</v>
      </c>
      <c r="AV184" s="8">
        <f ca="1">IFERROR(__xludf.DUMMYFUNCTION("""COMPUTED_VALUE"""),-86.750224)</f>
        <v>-86.750224000000003</v>
      </c>
      <c r="AW184" s="8" t="str">
        <f ca="1">IFERROR(__xludf.DUMMYFUNCTION("""COMPUTED_VALUE"""),"Multiple detached buildings")</f>
        <v>Multiple detached buildings</v>
      </c>
      <c r="AX184" s="8">
        <f ca="1">IFERROR(__xludf.DUMMYFUNCTION("""COMPUTED_VALUE"""),37206)</f>
        <v>37206</v>
      </c>
    </row>
    <row r="185" spans="1:50" ht="165" x14ac:dyDescent="0.2">
      <c r="A185" s="8" t="str">
        <f ca="1">IFERROR(__xludf.DUMMYFUNCTION("""COMPUTED_VALUE"""),"20241211HIFAH")</f>
        <v>20241211HIFAH</v>
      </c>
      <c r="B185" s="8">
        <f ca="1">IFERROR(__xludf.DUMMYFUNCTION("""COMPUTED_VALUE"""),12)</f>
        <v>12</v>
      </c>
      <c r="C185" s="8">
        <f ca="1">IFERROR(__xludf.DUMMYFUNCTION("""COMPUTED_VALUE"""),11)</f>
        <v>11</v>
      </c>
      <c r="D185" s="8">
        <f ca="1">IFERROR(__xludf.DUMMYFUNCTION("""COMPUTED_VALUE"""),2024)</f>
        <v>2024</v>
      </c>
      <c r="E185" s="9">
        <f ca="1">IFERROR(__xludf.DUMMYFUNCTION("""COMPUTED_VALUE"""),45637)</f>
        <v>45637</v>
      </c>
      <c r="F185" s="8" t="str">
        <f ca="1">IFERROR(__xludf.DUMMYFUNCTION("""COMPUTED_VALUE"""),"Farrington High School")</f>
        <v>Farrington High School</v>
      </c>
      <c r="G185" s="8">
        <f ca="1">IFERROR(__xludf.DUMMYFUNCTION("""COMPUTED_VALUE"""),0)</f>
        <v>0</v>
      </c>
      <c r="H185" s="8">
        <f ca="1">IFERROR(__xludf.DUMMYFUNCTION("""COMPUTED_VALUE"""),1)</f>
        <v>1</v>
      </c>
      <c r="I185" s="8">
        <f ca="1">IFERROR(__xludf.DUMMYFUNCTION("""COMPUTED_VALUE"""),1)</f>
        <v>1</v>
      </c>
      <c r="J185" s="8">
        <f ca="1">IFERROR(__xludf.DUMMYFUNCTION("""COMPUTED_VALUE"""),0)</f>
        <v>0</v>
      </c>
      <c r="K185" s="10" t="str">
        <f ca="1">IFERROR(__xludf.DUMMYFUNCTION("""COMPUTED_VALUE"""),"https://www.kitv.com/news/crime/investigation-underway-after-shooting-incident-on-n-king-street-farrington-high-school-closed/article_2c1e21dc-b7d2-11ef-80e6-cf09cf1c283e.html
https://www.hawaiinewsnow.com/2024/12/11/21-year-old-man-seriously-injured-afte"&amp;"r-apparent-shooting-kalihi/")</f>
        <v>https://www.kitv.com/news/crime/investigation-underway-after-shooting-incident-on-n-king-street-farrington-high-school-closed/article_2c1e21dc-b7d2-11ef-80e6-cf09cf1c283e.html
https://www.hawaiinewsnow.com/2024/12/11/21-year-old-man-seriously-injured-after-apparent-shooting-kalihi/</v>
      </c>
      <c r="L185" s="8">
        <f ca="1">IFERROR(__xludf.DUMMYFUNCTION("""COMPUTED_VALUE"""),5)</f>
        <v>5</v>
      </c>
      <c r="M185" s="8" t="str">
        <f ca="1">IFERROR(__xludf.DUMMYFUNCTION("""COMPUTED_VALUE"""),"Local")</f>
        <v>Local</v>
      </c>
      <c r="N185" s="8">
        <f ca="1">IFERROR(__xludf.DUMMYFUNCTION("""COMPUTED_VALUE"""),4)</f>
        <v>4</v>
      </c>
      <c r="O185" s="8" t="str">
        <f ca="1">IFERROR(__xludf.DUMMYFUNCTION("""COMPUTED_VALUE"""),"Winter")</f>
        <v>Winter</v>
      </c>
      <c r="P185" s="8" t="str">
        <f ca="1">IFERROR(__xludf.DUMMYFUNCTION("""COMPUTED_VALUE"""),"Honolulu")</f>
        <v>Honolulu</v>
      </c>
      <c r="Q185" s="8" t="str">
        <f ca="1">IFERROR(__xludf.DUMMYFUNCTION("""COMPUTED_VALUE"""),"HI")</f>
        <v>HI</v>
      </c>
      <c r="R185" s="8" t="str">
        <f ca="1">IFERROR(__xludf.DUMMYFUNCTION("""COMPUTED_VALUE"""),"High")</f>
        <v>High</v>
      </c>
      <c r="S185" s="8"/>
      <c r="T185" s="8" t="str">
        <f ca="1">IFERROR(__xludf.DUMMYFUNCTION("""COMPUTED_VALUE"""),"Inside School Building")</f>
        <v>Inside School Building</v>
      </c>
      <c r="U185" s="8" t="str">
        <f ca="1">IFERROR(__xludf.DUMMYFUNCTION("""COMPUTED_VALUE"""),"No")</f>
        <v>No</v>
      </c>
      <c r="V185" s="8" t="str">
        <f ca="1">IFERROR(__xludf.DUMMYFUNCTION("""COMPUTED_VALUE"""),"Night")</f>
        <v>Night</v>
      </c>
      <c r="W185" s="11">
        <f ca="1">IFERROR(__xludf.DUMMYFUNCTION("""COMPUTED_VALUE"""),0.166666666666666)</f>
        <v>0.16666666666666599</v>
      </c>
      <c r="X185" s="8">
        <f ca="1">IFERROR(__xludf.DUMMYFUNCTION("""COMPUTED_VALUE"""),1)</f>
        <v>1</v>
      </c>
      <c r="Y185" s="12" t="str">
        <f ca="1">IFERROR(__xludf.DUMMYFUNCTION("""COMPUTED_VALUE"""),"Security guard accidentally shot himself in the leg")</f>
        <v>Security guard accidentally shot himself in the leg</v>
      </c>
      <c r="Z185" s="12" t="str">
        <f ca="1">IFERROR(__xludf.DUMMYFUNCTION("""COMPUTED_VALUE"""),"The victim was working as an overnight security guard at Farrington High School when he said he heard a loud bang. The victim then saw that he had been shot in the thigh. The victim’s brother was also present at the time. Sources say police are now lookin"&amp;"g into the possibility the shooting was an accident whether the security guard or his brother accidentally fired the gun. Farrington High School sent out a letter to parents this afternoon saying that the school will reopen on normal schedules tomorrow, D"&amp;"ec. 12. The school wants to assure that no students or staff were involved and that there is no active threat to the campus.")</f>
        <v>The victim was working as an overnight security guard at Farrington High School when he said he heard a loud bang. The victim then saw that he had been shot in the thigh. The victim’s brother was also present at the time. Sources say police are now looking into the possibility the shooting was an accident whether the security guard or his brother accidentally fired the gun. Farrington High School sent out a letter to parents this afternoon saying that the school will reopen on normal schedules tomorrow, Dec. 12. The school wants to assure that no students or staff were involved and that there is no active threat to the campus.</v>
      </c>
      <c r="AA185" s="8" t="str">
        <f ca="1">IFERROR(__xludf.DUMMYFUNCTION("""COMPUTED_VALUE"""),"Accidental")</f>
        <v>Accidental</v>
      </c>
      <c r="AB185" s="8" t="str">
        <f ca="1">IFERROR(__xludf.DUMMYFUNCTION("""COMPUTED_VALUE"""),"Spontaneous")</f>
        <v>Spontaneous</v>
      </c>
      <c r="AC185" s="8" t="str">
        <f ca="1">IFERROR(__xludf.DUMMYFUNCTION("""COMPUTED_VALUE"""),"Yes")</f>
        <v>Yes</v>
      </c>
      <c r="AD185" s="8" t="str">
        <f ca="1">IFERROR(__xludf.DUMMYFUNCTION("""COMPUTED_VALUE"""),"Neither")</f>
        <v>Neither</v>
      </c>
      <c r="AE185" s="8" t="str">
        <f ca="1">IFERROR(__xludf.DUMMYFUNCTION("""COMPUTED_VALUE"""),"No")</f>
        <v>No</v>
      </c>
      <c r="AF185" s="8"/>
      <c r="AG185" s="8" t="str">
        <f ca="1">IFERROR(__xludf.DUMMYFUNCTION("""COMPUTED_VALUE"""),"No")</f>
        <v>No</v>
      </c>
      <c r="AH185" s="8" t="str">
        <f ca="1">IFERROR(__xludf.DUMMYFUNCTION("""COMPUTED_VALUE"""),"No")</f>
        <v>No</v>
      </c>
      <c r="AI185" s="8" t="str">
        <f ca="1">IFERROR(__xludf.DUMMYFUNCTION("""COMPUTED_VALUE"""),"Yes")</f>
        <v>Yes</v>
      </c>
      <c r="AJ185" s="8" t="str">
        <f ca="1">IFERROR(__xludf.DUMMYFUNCTION("""COMPUTED_VALUE"""),"No")</f>
        <v>No</v>
      </c>
      <c r="AK185" s="8" t="str">
        <f ca="1">IFERROR(__xludf.DUMMYFUNCTION("""COMPUTED_VALUE"""),"No")</f>
        <v>No</v>
      </c>
      <c r="AL185" s="8" t="str">
        <f ca="1">IFERROR(__xludf.DUMMYFUNCTION("""COMPUTED_VALUE"""),"No")</f>
        <v>No</v>
      </c>
      <c r="AM185" s="8" t="str">
        <f ca="1">IFERROR(__xludf.DUMMYFUNCTION("""COMPUTED_VALUE"""),"No")</f>
        <v>No</v>
      </c>
      <c r="AN185" s="8" t="str">
        <f ca="1">IFERROR(__xludf.DUMMYFUNCTION("""COMPUTED_VALUE"""),"Single Room")</f>
        <v>Single Room</v>
      </c>
      <c r="AO185" s="8" t="str">
        <f ca="1">IFERROR(__xludf.DUMMYFUNCTION("""COMPUTED_VALUE"""),"No")</f>
        <v>No</v>
      </c>
      <c r="AP185" s="8" t="str">
        <f ca="1">IFERROR(__xludf.DUMMYFUNCTION("""COMPUTED_VALUE"""),"Yes")</f>
        <v>Yes</v>
      </c>
      <c r="AQ185" s="8" t="str">
        <f ca="1">IFERROR(__xludf.DUMMYFUNCTION("""COMPUTED_VALUE"""),"Armed Guards")</f>
        <v>Armed Guards</v>
      </c>
      <c r="AR185" s="8" t="str">
        <f ca="1">IFERROR(__xludf.DUMMYFUNCTION("""COMPUTED_VALUE"""),"Outside/Off-Property")</f>
        <v>Outside/Off-Property</v>
      </c>
      <c r="AS185" s="8">
        <f ca="1">IFERROR(__xludf.DUMMYFUNCTION("""COMPUTED_VALUE"""),1)</f>
        <v>1</v>
      </c>
      <c r="AT185" s="8" t="str">
        <f ca="1">IFERROR(__xludf.DUMMYFUNCTION("""COMPUTED_VALUE"""),"No")</f>
        <v>No</v>
      </c>
      <c r="AU185" s="8">
        <f ca="1">IFERROR(__xludf.DUMMYFUNCTION("""COMPUTED_VALUE"""),21.330477)</f>
        <v>21.330476999999998</v>
      </c>
      <c r="AV185" s="8">
        <f ca="1">IFERROR(__xludf.DUMMYFUNCTION("""COMPUTED_VALUE"""),-157.873611)</f>
        <v>-157.87361100000001</v>
      </c>
      <c r="AW185" s="8" t="str">
        <f ca="1">IFERROR(__xludf.DUMMYFUNCTION("""COMPUTED_VALUE"""),"Multiple detached buildings")</f>
        <v>Multiple detached buildings</v>
      </c>
      <c r="AX185" s="8">
        <f ca="1">IFERROR(__xludf.DUMMYFUNCTION("""COMPUTED_VALUE"""),96858)</f>
        <v>96858</v>
      </c>
    </row>
    <row r="186" spans="1:50" ht="300" x14ac:dyDescent="0.2">
      <c r="A186" s="8" t="str">
        <f ca="1">IFERROR(__xludf.DUMMYFUNCTION("""COMPUTED_VALUE"""),"20241210DEUNM")</f>
        <v>20241210DEUNM</v>
      </c>
      <c r="B186" s="8">
        <f ca="1">IFERROR(__xludf.DUMMYFUNCTION("""COMPUTED_VALUE"""),12)</f>
        <v>12</v>
      </c>
      <c r="C186" s="8">
        <f ca="1">IFERROR(__xludf.DUMMYFUNCTION("""COMPUTED_VALUE"""),10)</f>
        <v>10</v>
      </c>
      <c r="D186" s="8">
        <f ca="1">IFERROR(__xludf.DUMMYFUNCTION("""COMPUTED_VALUE"""),2024)</f>
        <v>2024</v>
      </c>
      <c r="E186" s="9">
        <f ca="1">IFERROR(__xludf.DUMMYFUNCTION("""COMPUTED_VALUE"""),45636)</f>
        <v>45636</v>
      </c>
      <c r="F186" s="8" t="str">
        <f ca="1">IFERROR(__xludf.DUMMYFUNCTION("""COMPUTED_VALUE"""),"Evelyn Morris Elementary School")</f>
        <v>Evelyn Morris Elementary School</v>
      </c>
      <c r="G186" s="8">
        <f ca="1">IFERROR(__xludf.DUMMYFUNCTION("""COMPUTED_VALUE"""),0)</f>
        <v>0</v>
      </c>
      <c r="H186" s="8">
        <f ca="1">IFERROR(__xludf.DUMMYFUNCTION("""COMPUTED_VALUE"""),0)</f>
        <v>0</v>
      </c>
      <c r="I186" s="8">
        <f ca="1">IFERROR(__xludf.DUMMYFUNCTION("""COMPUTED_VALUE"""),0)</f>
        <v>0</v>
      </c>
      <c r="J186" s="8">
        <f ca="1">IFERROR(__xludf.DUMMYFUNCTION("""COMPUTED_VALUE"""),0)</f>
        <v>0</v>
      </c>
      <c r="K186" s="8" t="str">
        <f ca="1">IFERROR(__xludf.DUMMYFUNCTION("""COMPUTED_VALUE"""),"https://www.coasttv.com/news/update-no-laws-violated-in-accidental-gun-discharge-at-evelyn-morris-elementary-school-police/article_f7d2b9d4-b735-11ef-9312-87f9dfcbf5e5.html
https://www.wboc.com/news/milford-school-district-constable-accidentally-fires-gun"&amp;"-in-school/article_5fae7cf0-b73b-11ef-916f-afd47ed0daad.html
https://www.coasttv.com/news/gun-accidentally-fired-inside-milford-school/article_f7d2b9d4-b735-11ef-9312-87f9dfcbf5e5.html
https://www.wmdt.com/2024/12/milford-school-district-releases-statemen"&amp;"t-regarding-accidental-discharge-of-firearm/")</f>
        <v>https://www.coasttv.com/news/update-no-laws-violated-in-accidental-gun-discharge-at-evelyn-morris-elementary-school-police/article_f7d2b9d4-b735-11ef-9312-87f9dfcbf5e5.html
https://www.wboc.com/news/milford-school-district-constable-accidentally-fires-gun-in-school/article_5fae7cf0-b73b-11ef-916f-afd47ed0daad.html
https://www.coasttv.com/news/gun-accidentally-fired-inside-milford-school/article_f7d2b9d4-b735-11ef-9312-87f9dfcbf5e5.html
https://www.wmdt.com/2024/12/milford-school-district-releases-statement-regarding-accidental-discharge-of-firearm/</v>
      </c>
      <c r="L186" s="8">
        <f ca="1">IFERROR(__xludf.DUMMYFUNCTION("""COMPUTED_VALUE"""),10)</f>
        <v>10</v>
      </c>
      <c r="M186" s="8" t="str">
        <f ca="1">IFERROR(__xludf.DUMMYFUNCTION("""COMPUTED_VALUE"""),"Regional")</f>
        <v>Regional</v>
      </c>
      <c r="N186" s="8">
        <f ca="1">IFERROR(__xludf.DUMMYFUNCTION("""COMPUTED_VALUE"""),4)</f>
        <v>4</v>
      </c>
      <c r="O186" s="8" t="str">
        <f ca="1">IFERROR(__xludf.DUMMYFUNCTION("""COMPUTED_VALUE"""),"Winter")</f>
        <v>Winter</v>
      </c>
      <c r="P186" s="8" t="str">
        <f ca="1">IFERROR(__xludf.DUMMYFUNCTION("""COMPUTED_VALUE"""),"Wilford")</f>
        <v>Wilford</v>
      </c>
      <c r="Q186" s="8" t="str">
        <f ca="1">IFERROR(__xludf.DUMMYFUNCTION("""COMPUTED_VALUE"""),"DE")</f>
        <v>DE</v>
      </c>
      <c r="R186" s="8"/>
      <c r="S186" s="8" t="str">
        <f ca="1">IFERROR(__xludf.DUMMYFUNCTION("""COMPUTED_VALUE"""),"Office")</f>
        <v>Office</v>
      </c>
      <c r="T186" s="8" t="str">
        <f ca="1">IFERROR(__xludf.DUMMYFUNCTION("""COMPUTED_VALUE"""),"Inside School Building")</f>
        <v>Inside School Building</v>
      </c>
      <c r="U186" s="8" t="str">
        <f ca="1">IFERROR(__xludf.DUMMYFUNCTION("""COMPUTED_VALUE"""),"Yes")</f>
        <v>Yes</v>
      </c>
      <c r="V186" s="8" t="str">
        <f ca="1">IFERROR(__xludf.DUMMYFUNCTION("""COMPUTED_VALUE"""),"Afternoon Classes")</f>
        <v>Afternoon Classes</v>
      </c>
      <c r="W186" s="8"/>
      <c r="X186" s="8">
        <f ca="1">IFERROR(__xludf.DUMMYFUNCTION("""COMPUTED_VALUE"""),1)</f>
        <v>1</v>
      </c>
      <c r="Y186" s="12" t="str">
        <f ca="1">IFERROR(__xludf.DUMMYFUNCTION("""COMPUTED_VALUE"""),"District constable accidentally fired gun inside a school office")</f>
        <v>District constable accidentally fired gun inside a school office</v>
      </c>
      <c r="Z186" s="12" t="str">
        <f ca="1">IFERROR(__xludf.DUMMYFUNCTION("""COMPUTED_VALUE"""),"The Milford School District has released a statement regarding the accidental discharge of a firearm in a private staff workroom by a district constable. The statement is as follows: “We regret to inform you there was an accidental discharge of a firearm "&amp;"in a private staff workroom this afternoon by a district constable. While there were no injuries and no threat to the safety or security of our school, staff, or students, we are deeply concerned by this event. This incident did not impact our instruction"&amp;"al areas with access to staff and students; however, we feel a responsibility to be transparent with our school community. While we understand this is concerning, please be assured that our constable staff receive thorough on-going certification and train"&amp;"ing regularly. We are working closely with our law enforcement partners to investigate this isolated incident thoroughly and to ensure all necessary safety measures are in place and followed with fidelity. This is an ongoing personnel investigation and no"&amp;" additional details are able to be shared at this time. Thank you for your understanding and support.”")</f>
        <v>The Milford School District has released a statement regarding the accidental discharge of a firearm in a private staff workroom by a district constable. The statement is as follows: “We regret to inform you there was an accidental discharge of a firearm in a private staff workroom this afternoon by a district constable. While there were no injuries and no threat to the safety or security of our school, staff, or students, we are deeply concerned by this event. This incident did not impact our instructional areas with access to staff and students; however, we feel a responsibility to be transparent with our school community. While we understand this is concerning, please be assured that our constable staff receive thorough on-going certification and training regularly. We are working closely with our law enforcement partners to investigate this isolated incident thoroughly and to ensure all necessary safety measures are in place and followed with fidelity. This is an ongoing personnel investigation and no additional details are able to be shared at this time. Thank you for your understanding and support.”</v>
      </c>
      <c r="AA186" s="8" t="str">
        <f ca="1">IFERROR(__xludf.DUMMYFUNCTION("""COMPUTED_VALUE"""),"Accidental")</f>
        <v>Accidental</v>
      </c>
      <c r="AB186" s="8" t="str">
        <f ca="1">IFERROR(__xludf.DUMMYFUNCTION("""COMPUTED_VALUE"""),"Spontaneous")</f>
        <v>Spontaneous</v>
      </c>
      <c r="AC186" s="8" t="str">
        <f ca="1">IFERROR(__xludf.DUMMYFUNCTION("""COMPUTED_VALUE"""),"Yes")</f>
        <v>Yes</v>
      </c>
      <c r="AD186" s="8" t="str">
        <f ca="1">IFERROR(__xludf.DUMMYFUNCTION("""COMPUTED_VALUE"""),"Neither")</f>
        <v>Neither</v>
      </c>
      <c r="AE186" s="8" t="str">
        <f ca="1">IFERROR(__xludf.DUMMYFUNCTION("""COMPUTED_VALUE"""),"No")</f>
        <v>No</v>
      </c>
      <c r="AF186" s="8"/>
      <c r="AG186" s="8" t="str">
        <f ca="1">IFERROR(__xludf.DUMMYFUNCTION("""COMPUTED_VALUE"""),"No")</f>
        <v>No</v>
      </c>
      <c r="AH186" s="8" t="str">
        <f ca="1">IFERROR(__xludf.DUMMYFUNCTION("""COMPUTED_VALUE"""),"No")</f>
        <v>No</v>
      </c>
      <c r="AI186" s="8" t="str">
        <f ca="1">IFERROR(__xludf.DUMMYFUNCTION("""COMPUTED_VALUE"""),"Yes")</f>
        <v>Yes</v>
      </c>
      <c r="AJ186" s="8" t="str">
        <f ca="1">IFERROR(__xludf.DUMMYFUNCTION("""COMPUTED_VALUE"""),"No")</f>
        <v>No</v>
      </c>
      <c r="AK186" s="8" t="str">
        <f ca="1">IFERROR(__xludf.DUMMYFUNCTION("""COMPUTED_VALUE"""),"No")</f>
        <v>No</v>
      </c>
      <c r="AL186" s="8" t="str">
        <f ca="1">IFERROR(__xludf.DUMMYFUNCTION("""COMPUTED_VALUE"""),"No")</f>
        <v>No</v>
      </c>
      <c r="AM186" s="8" t="str">
        <f ca="1">IFERROR(__xludf.DUMMYFUNCTION("""COMPUTED_VALUE"""),"No")</f>
        <v>No</v>
      </c>
      <c r="AN186" s="8" t="str">
        <f ca="1">IFERROR(__xludf.DUMMYFUNCTION("""COMPUTED_VALUE"""),"Single Room")</f>
        <v>Single Room</v>
      </c>
      <c r="AO186" s="8" t="str">
        <f ca="1">IFERROR(__xludf.DUMMYFUNCTION("""COMPUTED_VALUE"""),"No")</f>
        <v>No</v>
      </c>
      <c r="AP186" s="8" t="str">
        <f ca="1">IFERROR(__xludf.DUMMYFUNCTION("""COMPUTED_VALUE"""),"Yes")</f>
        <v>Yes</v>
      </c>
      <c r="AQ186" s="8" t="str">
        <f ca="1">IFERROR(__xludf.DUMMYFUNCTION("""COMPUTED_VALUE"""),"Armed Guards")</f>
        <v>Armed Guards</v>
      </c>
      <c r="AR186" s="8" t="str">
        <f ca="1">IFERROR(__xludf.DUMMYFUNCTION("""COMPUTED_VALUE"""),"Outside/Off-Property")</f>
        <v>Outside/Off-Property</v>
      </c>
      <c r="AS186" s="8">
        <f ca="1">IFERROR(__xludf.DUMMYFUNCTION("""COMPUTED_VALUE"""),1)</f>
        <v>1</v>
      </c>
      <c r="AT186" s="8" t="str">
        <f ca="1">IFERROR(__xludf.DUMMYFUNCTION("""COMPUTED_VALUE"""),"No")</f>
        <v>No</v>
      </c>
      <c r="AU186" s="8">
        <f ca="1">IFERROR(__xludf.DUMMYFUNCTION("""COMPUTED_VALUE"""),38.869661)</f>
        <v>38.869661000000001</v>
      </c>
      <c r="AV186" s="8">
        <f ca="1">IFERROR(__xludf.DUMMYFUNCTION("""COMPUTED_VALUE"""),-75.418785)</f>
        <v>-75.418785</v>
      </c>
      <c r="AW186" s="8" t="str">
        <f ca="1">IFERROR(__xludf.DUMMYFUNCTION("""COMPUTED_VALUE"""),"Single building indoor hallway")</f>
        <v>Single building indoor hallway</v>
      </c>
      <c r="AX186" s="8">
        <f ca="1">IFERROR(__xludf.DUMMYFUNCTION("""COMPUTED_VALUE"""),19960)</f>
        <v>19960</v>
      </c>
    </row>
    <row r="187" spans="1:50" ht="195" x14ac:dyDescent="0.2">
      <c r="A187" s="8" t="str">
        <f ca="1">IFERROR(__xludf.DUMMYFUNCTION("""COMPUTED_VALUE"""),"20241210TXCOS")</f>
        <v>20241210TXCOS</v>
      </c>
      <c r="B187" s="8">
        <f ca="1">IFERROR(__xludf.DUMMYFUNCTION("""COMPUTED_VALUE"""),12)</f>
        <v>12</v>
      </c>
      <c r="C187" s="8">
        <f ca="1">IFERROR(__xludf.DUMMYFUNCTION("""COMPUTED_VALUE"""),10)</f>
        <v>10</v>
      </c>
      <c r="D187" s="8">
        <f ca="1">IFERROR(__xludf.DUMMYFUNCTION("""COMPUTED_VALUE"""),2024)</f>
        <v>2024</v>
      </c>
      <c r="E187" s="9">
        <f ca="1">IFERROR(__xludf.DUMMYFUNCTION("""COMPUTED_VALUE"""),45636)</f>
        <v>45636</v>
      </c>
      <c r="F187" s="8" t="str">
        <f ca="1">IFERROR(__xludf.DUMMYFUNCTION("""COMPUTED_VALUE"""),"Columbia Heights Elementary School")</f>
        <v>Columbia Heights Elementary School</v>
      </c>
      <c r="G187" s="8">
        <f ca="1">IFERROR(__xludf.DUMMYFUNCTION("""COMPUTED_VALUE"""),0)</f>
        <v>0</v>
      </c>
      <c r="H187" s="8">
        <f ca="1">IFERROR(__xludf.DUMMYFUNCTION("""COMPUTED_VALUE"""),0)</f>
        <v>0</v>
      </c>
      <c r="I187" s="8">
        <f ca="1">IFERROR(__xludf.DUMMYFUNCTION("""COMPUTED_VALUE"""),0)</f>
        <v>0</v>
      </c>
      <c r="J187" s="8">
        <f ca="1">IFERROR(__xludf.DUMMYFUNCTION("""COMPUTED_VALUE"""),1)</f>
        <v>1</v>
      </c>
      <c r="K187" s="10" t="str">
        <f ca="1">IFERROR(__xludf.DUMMYFUNCTION("""COMPUTED_VALUE"""),"https://www.ksat.com/news/local/2024/12/12/death-of-sapd-officer-initially-reported-as-accidental-ruled-a-suicide-sapd-says/
https://www.ksat.com/news/local/2024/12/10/terrible-tragic-accident-sapd-officer-dies-after-accidental-discharge-of-service-pistol"&amp;"/
https://www.wtsp.com/article/news/nation-world/sapd-officer-shooting-san-antonio-columbia-heaights-elementary-school/273-ea87e09d-e15f-42e1-aa66-c4099f22a39d")</f>
        <v>https://www.ksat.com/news/local/2024/12/12/death-of-sapd-officer-initially-reported-as-accidental-ruled-a-suicide-sapd-says/
https://www.ksat.com/news/local/2024/12/10/terrible-tragic-accident-sapd-officer-dies-after-accidental-discharge-of-service-pistol/
https://www.wtsp.com/article/news/nation-world/sapd-officer-shooting-san-antonio-columbia-heaights-elementary-school/273-ea87e09d-e15f-42e1-aa66-c4099f22a39d</v>
      </c>
      <c r="L187" s="8">
        <f ca="1">IFERROR(__xludf.DUMMYFUNCTION("""COMPUTED_VALUE"""),10)</f>
        <v>10</v>
      </c>
      <c r="M187" s="8" t="str">
        <f ca="1">IFERROR(__xludf.DUMMYFUNCTION("""COMPUTED_VALUE"""),"Regional")</f>
        <v>Regional</v>
      </c>
      <c r="N187" s="8">
        <f ca="1">IFERROR(__xludf.DUMMYFUNCTION("""COMPUTED_VALUE"""),4)</f>
        <v>4</v>
      </c>
      <c r="O187" s="8" t="str">
        <f ca="1">IFERROR(__xludf.DUMMYFUNCTION("""COMPUTED_VALUE"""),"Winter")</f>
        <v>Winter</v>
      </c>
      <c r="P187" s="8" t="str">
        <f ca="1">IFERROR(__xludf.DUMMYFUNCTION("""COMPUTED_VALUE"""),"San Antonio")</f>
        <v>San Antonio</v>
      </c>
      <c r="Q187" s="8" t="str">
        <f ca="1">IFERROR(__xludf.DUMMYFUNCTION("""COMPUTED_VALUE"""),"TX")</f>
        <v>TX</v>
      </c>
      <c r="R187" s="8" t="str">
        <f ca="1">IFERROR(__xludf.DUMMYFUNCTION("""COMPUTED_VALUE"""),"Elementary")</f>
        <v>Elementary</v>
      </c>
      <c r="S187" s="8" t="str">
        <f ca="1">IFERROR(__xludf.DUMMYFUNCTION("""COMPUTED_VALUE"""),"Parking Lot")</f>
        <v>Parking Lot</v>
      </c>
      <c r="T187" s="8" t="str">
        <f ca="1">IFERROR(__xludf.DUMMYFUNCTION("""COMPUTED_VALUE"""),"Outside on School Property")</f>
        <v>Outside on School Property</v>
      </c>
      <c r="U187" s="8" t="str">
        <f ca="1">IFERROR(__xludf.DUMMYFUNCTION("""COMPUTED_VALUE"""),"No")</f>
        <v>No</v>
      </c>
      <c r="V187" s="8" t="str">
        <f ca="1">IFERROR(__xludf.DUMMYFUNCTION("""COMPUTED_VALUE"""),"Not a School Day")</f>
        <v>Not a School Day</v>
      </c>
      <c r="W187" s="11">
        <f ca="1">IFERROR(__xludf.DUMMYFUNCTION("""COMPUTED_VALUE"""),0.395833333333333)</f>
        <v>0.39583333333333298</v>
      </c>
      <c r="X187" s="8">
        <f ca="1">IFERROR(__xludf.DUMMYFUNCTION("""COMPUTED_VALUE"""),1)</f>
        <v>1</v>
      </c>
      <c r="Y187" s="12" t="str">
        <f ca="1">IFERROR(__xludf.DUMMYFUNCTION("""COMPUTED_VALUE"""),"Police officer fatally shot himself while getting equipment ready for training session")</f>
        <v>Police officer fatally shot himself while getting equipment ready for training session</v>
      </c>
      <c r="Z187" s="12" t="str">
        <f ca="1">IFERROR(__xludf.DUMMYFUNCTION("""COMPUTED_VALUE"""),"SAPD officer who died by suicide was under investigation for invasive visual recording in Rockport, records show. SAPD said officer's death was not accidental, ruled a suicide. An SAPD officer was shot by his own pistol Tuesday morning in what police are "&amp;"calling a tragic accident. The shooting happened around 9:30 a.m. in the 1600 block of Fitch Street near West Southcross Boulevard at the Columbia Heights Elementary School building. SAPD Chief William McManus, who gave remarks at the scene, said Officer "&amp;"William Kasberg was arriving for state-mandated training at the school. He was reportedly gathering his belongings to take inside when his pistol went off accidentally.")</f>
        <v>SAPD officer who died by suicide was under investigation for invasive visual recording in Rockport, records show. SAPD said officer's death was not accidental, ruled a suicide. An SAPD officer was shot by his own pistol Tuesday morning in what police are calling a tragic accident. The shooting happened around 9:30 a.m. in the 1600 block of Fitch Street near West Southcross Boulevard at the Columbia Heights Elementary School building. SAPD Chief William McManus, who gave remarks at the scene, said Officer William Kasberg was arriving for state-mandated training at the school. He was reportedly gathering his belongings to take inside when his pistol went off accidentally.</v>
      </c>
      <c r="AA187" s="8" t="str">
        <f ca="1">IFERROR(__xludf.DUMMYFUNCTION("""COMPUTED_VALUE"""),"Suicide/Attempted")</f>
        <v>Suicide/Attempted</v>
      </c>
      <c r="AB187" s="8"/>
      <c r="AC187" s="8" t="str">
        <f ca="1">IFERROR(__xludf.DUMMYFUNCTION("""COMPUTED_VALUE"""),"No")</f>
        <v>No</v>
      </c>
      <c r="AD187" s="8" t="str">
        <f ca="1">IFERROR(__xludf.DUMMYFUNCTION("""COMPUTED_VALUE"""),"Neither")</f>
        <v>Neither</v>
      </c>
      <c r="AE187" s="8" t="str">
        <f ca="1">IFERROR(__xludf.DUMMYFUNCTION("""COMPUTED_VALUE"""),"No")</f>
        <v>No</v>
      </c>
      <c r="AF187" s="8"/>
      <c r="AG187" s="8" t="str">
        <f ca="1">IFERROR(__xludf.DUMMYFUNCTION("""COMPUTED_VALUE"""),"No")</f>
        <v>No</v>
      </c>
      <c r="AH187" s="8" t="str">
        <f ca="1">IFERROR(__xludf.DUMMYFUNCTION("""COMPUTED_VALUE"""),"No")</f>
        <v>No</v>
      </c>
      <c r="AI187" s="8" t="str">
        <f ca="1">IFERROR(__xludf.DUMMYFUNCTION("""COMPUTED_VALUE"""),"Yes")</f>
        <v>Yes</v>
      </c>
      <c r="AJ187" s="8" t="str">
        <f ca="1">IFERROR(__xludf.DUMMYFUNCTION("""COMPUTED_VALUE"""),"No")</f>
        <v>No</v>
      </c>
      <c r="AK187" s="8" t="str">
        <f ca="1">IFERROR(__xludf.DUMMYFUNCTION("""COMPUTED_VALUE"""),"No")</f>
        <v>No</v>
      </c>
      <c r="AL187" s="8" t="str">
        <f ca="1">IFERROR(__xludf.DUMMYFUNCTION("""COMPUTED_VALUE"""),"No")</f>
        <v>No</v>
      </c>
      <c r="AM187" s="8" t="str">
        <f ca="1">IFERROR(__xludf.DUMMYFUNCTION("""COMPUTED_VALUE"""),"No")</f>
        <v>No</v>
      </c>
      <c r="AN187" s="8" t="str">
        <f ca="1">IFERROR(__xludf.DUMMYFUNCTION("""COMPUTED_VALUE"""),"Outside")</f>
        <v>Outside</v>
      </c>
      <c r="AO187" s="8" t="str">
        <f ca="1">IFERROR(__xludf.DUMMYFUNCTION("""COMPUTED_VALUE"""),"No")</f>
        <v>No</v>
      </c>
      <c r="AP187" s="8"/>
      <c r="AQ187" s="8"/>
      <c r="AR187" s="8" t="str">
        <f ca="1">IFERROR(__xludf.DUMMYFUNCTION("""COMPUTED_VALUE"""),"Outside/Off-Property")</f>
        <v>Outside/Off-Property</v>
      </c>
      <c r="AS187" s="8">
        <f ca="1">IFERROR(__xludf.DUMMYFUNCTION("""COMPUTED_VALUE"""),1)</f>
        <v>1</v>
      </c>
      <c r="AT187" s="8" t="str">
        <f ca="1">IFERROR(__xludf.DUMMYFUNCTION("""COMPUTED_VALUE"""),"No")</f>
        <v>No</v>
      </c>
      <c r="AU187" s="8">
        <f ca="1">IFERROR(__xludf.DUMMYFUNCTION("""COMPUTED_VALUE"""),29.370034)</f>
        <v>29.370034</v>
      </c>
      <c r="AV187" s="8">
        <f ca="1">IFERROR(__xludf.DUMMYFUNCTION("""COMPUTED_VALUE"""),-98.530152)</f>
        <v>-98.530152000000001</v>
      </c>
      <c r="AW187" s="8" t="str">
        <f ca="1">IFERROR(__xludf.DUMMYFUNCTION("""COMPUTED_VALUE"""),"Multiple detached buildings")</f>
        <v>Multiple detached buildings</v>
      </c>
      <c r="AX187" s="8">
        <f ca="1">IFERROR(__xludf.DUMMYFUNCTION("""COMPUTED_VALUE"""),78211)</f>
        <v>78211</v>
      </c>
    </row>
    <row r="188" spans="1:50" ht="150" x14ac:dyDescent="0.2">
      <c r="A188" s="8" t="str">
        <f ca="1">IFERROR(__xludf.DUMMYFUNCTION("""COMPUTED_VALUE"""),"20241210NCRJW")</f>
        <v>20241210NCRJW</v>
      </c>
      <c r="B188" s="8">
        <f ca="1">IFERROR(__xludf.DUMMYFUNCTION("""COMPUTED_VALUE"""),12)</f>
        <v>12</v>
      </c>
      <c r="C188" s="8">
        <f ca="1">IFERROR(__xludf.DUMMYFUNCTION("""COMPUTED_VALUE"""),10)</f>
        <v>10</v>
      </c>
      <c r="D188" s="8">
        <f ca="1">IFERROR(__xludf.DUMMYFUNCTION("""COMPUTED_VALUE"""),2024)</f>
        <v>2024</v>
      </c>
      <c r="E188" s="9">
        <f ca="1">IFERROR(__xludf.DUMMYFUNCTION("""COMPUTED_VALUE"""),45636)</f>
        <v>45636</v>
      </c>
      <c r="F188" s="8" t="str">
        <f ca="1">IFERROR(__xludf.DUMMYFUNCTION("""COMPUTED_VALUE"""),"RJ Reynolds High School")</f>
        <v>RJ Reynolds High School</v>
      </c>
      <c r="G188" s="8">
        <f ca="1">IFERROR(__xludf.DUMMYFUNCTION("""COMPUTED_VALUE"""),0)</f>
        <v>0</v>
      </c>
      <c r="H188" s="8">
        <f ca="1">IFERROR(__xludf.DUMMYFUNCTION("""COMPUTED_VALUE"""),1)</f>
        <v>1</v>
      </c>
      <c r="I188" s="8">
        <f ca="1">IFERROR(__xludf.DUMMYFUNCTION("""COMPUTED_VALUE"""),1)</f>
        <v>1</v>
      </c>
      <c r="J188" s="8">
        <f ca="1">IFERROR(__xludf.DUMMYFUNCTION("""COMPUTED_VALUE"""),0)</f>
        <v>0</v>
      </c>
      <c r="K188" s="8" t="str">
        <f ca="1">IFERROR(__xludf.DUMMYFUNCTION("""COMPUTED_VALUE"""),"https://myfox8.com/news/north-carolina/winston-salem/watch-forsyth-county-sheriffs-office-holds-press-conference/
https://www.wfmynews2.com/video/news/local/1-student-shot-near-reynolds-high-school-what-we-know/83-e9669f5b-afad-42cb-aee0-e9e35c92a36e
http"&amp;"s://www.wral.com/news/state/winston-salem-school-shooting-dec-2024/
https://www.wxii12.com/article/forsyth-county-sheriff-reynolds-high-shooting-victims-mom-hospital/63151700")</f>
        <v>https://myfox8.com/news/north-carolina/winston-salem/watch-forsyth-county-sheriffs-office-holds-press-conference/
https://www.wfmynews2.com/video/news/local/1-student-shot-near-reynolds-high-school-what-we-know/83-e9669f5b-afad-42cb-aee0-e9e35c92a36e
https://www.wral.com/news/state/winston-salem-school-shooting-dec-2024/
https://www.wxii12.com/article/forsyth-county-sheriff-reynolds-high-shooting-victims-mom-hospital/63151700</v>
      </c>
      <c r="L188" s="8">
        <f ca="1">IFERROR(__xludf.DUMMYFUNCTION("""COMPUTED_VALUE"""),20)</f>
        <v>20</v>
      </c>
      <c r="M188" s="8" t="str">
        <f ca="1">IFERROR(__xludf.DUMMYFUNCTION("""COMPUTED_VALUE"""),"Regional")</f>
        <v>Regional</v>
      </c>
      <c r="N188" s="8">
        <f ca="1">IFERROR(__xludf.DUMMYFUNCTION("""COMPUTED_VALUE"""),4)</f>
        <v>4</v>
      </c>
      <c r="O188" s="8" t="str">
        <f ca="1">IFERROR(__xludf.DUMMYFUNCTION("""COMPUTED_VALUE"""),"Winter")</f>
        <v>Winter</v>
      </c>
      <c r="P188" s="8" t="str">
        <f ca="1">IFERROR(__xludf.DUMMYFUNCTION("""COMPUTED_VALUE"""),"Winston-Salem")</f>
        <v>Winston-Salem</v>
      </c>
      <c r="Q188" s="8" t="str">
        <f ca="1">IFERROR(__xludf.DUMMYFUNCTION("""COMPUTED_VALUE"""),"NC")</f>
        <v>NC</v>
      </c>
      <c r="R188" s="8" t="str">
        <f ca="1">IFERROR(__xludf.DUMMYFUNCTION("""COMPUTED_VALUE"""),"High")</f>
        <v>High</v>
      </c>
      <c r="S188" s="8" t="str">
        <f ca="1">IFERROR(__xludf.DUMMYFUNCTION("""COMPUTED_VALUE"""),"Parking Lot")</f>
        <v>Parking Lot</v>
      </c>
      <c r="T188" s="8" t="str">
        <f ca="1">IFERROR(__xludf.DUMMYFUNCTION("""COMPUTED_VALUE"""),"Outside on School Property")</f>
        <v>Outside on School Property</v>
      </c>
      <c r="U188" s="8" t="str">
        <f ca="1">IFERROR(__xludf.DUMMYFUNCTION("""COMPUTED_VALUE"""),"Yes")</f>
        <v>Yes</v>
      </c>
      <c r="V188" s="8" t="str">
        <f ca="1">IFERROR(__xludf.DUMMYFUNCTION("""COMPUTED_VALUE"""),"Dismissal")</f>
        <v>Dismissal</v>
      </c>
      <c r="W188" s="11">
        <f ca="1">IFERROR(__xludf.DUMMYFUNCTION("""COMPUTED_VALUE"""),0.645833333333333)</f>
        <v>0.64583333333333304</v>
      </c>
      <c r="X188" s="8">
        <f ca="1">IFERROR(__xludf.DUMMYFUNCTION("""COMPUTED_VALUE"""),1)</f>
        <v>1</v>
      </c>
      <c r="Y188" s="12" t="str">
        <f ca="1">IFERROR(__xludf.DUMMYFUNCTION("""COMPUTED_VALUE"""),"Student shot in the parking lot during fight at dismissal")</f>
        <v>Student shot in the parking lot during fight at dismissal</v>
      </c>
      <c r="Z188" s="12" t="str">
        <f ca="1">IFERROR(__xludf.DUMMYFUNCTION("""COMPUTED_VALUE"""),"An RJ Reynolds High School student was shot Tuesday afternoon on school grounds near the parking lot. The school was placed on lockdown and students were later reunited with their parents at Harris Teeter on Cloverdale Avenue. Forsyth County Sheriff Bobby"&amp;" Kimbrough Jr. said the shooting stemmed from an altercation that had taken place and that the victim was a student. He said the student was shot in the upper leg and is currently in the hospital recovering. Two adults and three students were arrested on "&amp;"Jan 14, 2025 in connection with the shooting.")</f>
        <v>An RJ Reynolds High School student was shot Tuesday afternoon on school grounds near the parking lot. The school was placed on lockdown and students were later reunited with their parents at Harris Teeter on Cloverdale Avenue. Forsyth County Sheriff Bobby Kimbrough Jr. said the shooting stemmed from an altercation that had taken place and that the victim was a student. He said the student was shot in the upper leg and is currently in the hospital recovering. Two adults and three students were arrested on Jan 14, 2025 in connection with the shooting.</v>
      </c>
      <c r="AA188" s="8" t="str">
        <f ca="1">IFERROR(__xludf.DUMMYFUNCTION("""COMPUTED_VALUE"""),"Escalation of Dispute")</f>
        <v>Escalation of Dispute</v>
      </c>
      <c r="AB188" s="8" t="str">
        <f ca="1">IFERROR(__xludf.DUMMYFUNCTION("""COMPUTED_VALUE"""),"Spontaneous")</f>
        <v>Spontaneous</v>
      </c>
      <c r="AC188" s="8" t="str">
        <f ca="1">IFERROR(__xludf.DUMMYFUNCTION("""COMPUTED_VALUE"""),"Yes")</f>
        <v>Yes</v>
      </c>
      <c r="AD188" s="8"/>
      <c r="AE188" s="8"/>
      <c r="AF188" s="8"/>
      <c r="AG188" s="8" t="str">
        <f ca="1">IFERROR(__xludf.DUMMYFUNCTION("""COMPUTED_VALUE"""),"No")</f>
        <v>No</v>
      </c>
      <c r="AH188" s="8" t="str">
        <f ca="1">IFERROR(__xludf.DUMMYFUNCTION("""COMPUTED_VALUE"""),"No")</f>
        <v>No</v>
      </c>
      <c r="AI188" s="8" t="str">
        <f ca="1">IFERROR(__xludf.DUMMYFUNCTION("""COMPUTED_VALUE"""),"No")</f>
        <v>No</v>
      </c>
      <c r="AJ188" s="8"/>
      <c r="AK188" s="8" t="str">
        <f ca="1">IFERROR(__xludf.DUMMYFUNCTION("""COMPUTED_VALUE"""),"No")</f>
        <v>No</v>
      </c>
      <c r="AL188" s="8"/>
      <c r="AM188" s="8" t="str">
        <f ca="1">IFERROR(__xludf.DUMMYFUNCTION("""COMPUTED_VALUE"""),"No")</f>
        <v>No</v>
      </c>
      <c r="AN188" s="8" t="str">
        <f ca="1">IFERROR(__xludf.DUMMYFUNCTION("""COMPUTED_VALUE"""),"Outside")</f>
        <v>Outside</v>
      </c>
      <c r="AO188" s="8" t="str">
        <f ca="1">IFERROR(__xludf.DUMMYFUNCTION("""COMPUTED_VALUE"""),"No")</f>
        <v>No</v>
      </c>
      <c r="AP188" s="8"/>
      <c r="AQ188" s="8"/>
      <c r="AR188" s="8" t="str">
        <f ca="1">IFERROR(__xludf.DUMMYFUNCTION("""COMPUTED_VALUE"""),"Outside/Off-Property")</f>
        <v>Outside/Off-Property</v>
      </c>
      <c r="AS188" s="8">
        <f ca="1">IFERROR(__xludf.DUMMYFUNCTION("""COMPUTED_VALUE"""),1)</f>
        <v>1</v>
      </c>
      <c r="AT188" s="8" t="str">
        <f ca="1">IFERROR(__xludf.DUMMYFUNCTION("""COMPUTED_VALUE"""),"Yes")</f>
        <v>Yes</v>
      </c>
      <c r="AU188" s="8">
        <f ca="1">IFERROR(__xludf.DUMMYFUNCTION("""COMPUTED_VALUE"""),36.101457)</f>
        <v>36.101457000000003</v>
      </c>
      <c r="AV188" s="8">
        <f ca="1">IFERROR(__xludf.DUMMYFUNCTION("""COMPUTED_VALUE"""),-80.266162)</f>
        <v>-80.266161999999994</v>
      </c>
      <c r="AW188" s="8" t="str">
        <f ca="1">IFERROR(__xludf.DUMMYFUNCTION("""COMPUTED_VALUE"""),"Multiple detached buildings")</f>
        <v>Multiple detached buildings</v>
      </c>
      <c r="AX188" s="8">
        <f ca="1">IFERROR(__xludf.DUMMYFUNCTION("""COMPUTED_VALUE"""),27104)</f>
        <v>27104</v>
      </c>
    </row>
    <row r="189" spans="1:50" ht="240" x14ac:dyDescent="0.2">
      <c r="A189" s="8" t="str">
        <f ca="1">IFERROR(__xludf.DUMMYFUNCTION("""COMPUTED_VALUE"""),"20241231PAMIH")</f>
        <v>20241231PAMIH</v>
      </c>
      <c r="B189" s="8">
        <f ca="1">IFERROR(__xludf.DUMMYFUNCTION("""COMPUTED_VALUE"""),12)</f>
        <v>12</v>
      </c>
      <c r="C189" s="8">
        <f ca="1">IFERROR(__xludf.DUMMYFUNCTION("""COMPUTED_VALUE"""),6)</f>
        <v>6</v>
      </c>
      <c r="D189" s="8">
        <f ca="1">IFERROR(__xludf.DUMMYFUNCTION("""COMPUTED_VALUE"""),2024)</f>
        <v>2024</v>
      </c>
      <c r="E189" s="9">
        <f ca="1">IFERROR(__xludf.DUMMYFUNCTION("""COMPUTED_VALUE"""),45632)</f>
        <v>45632</v>
      </c>
      <c r="F189" s="8" t="str">
        <f ca="1">IFERROR(__xludf.DUMMYFUNCTION("""COMPUTED_VALUE"""),"Milton Hershey School")</f>
        <v>Milton Hershey School</v>
      </c>
      <c r="G189" s="8">
        <f ca="1">IFERROR(__xludf.DUMMYFUNCTION("""COMPUTED_VALUE"""),0)</f>
        <v>0</v>
      </c>
      <c r="H189" s="8">
        <f ca="1">IFERROR(__xludf.DUMMYFUNCTION("""COMPUTED_VALUE"""),0)</f>
        <v>0</v>
      </c>
      <c r="I189" s="8">
        <f ca="1">IFERROR(__xludf.DUMMYFUNCTION("""COMPUTED_VALUE"""),0)</f>
        <v>0</v>
      </c>
      <c r="J189" s="8">
        <f ca="1">IFERROR(__xludf.DUMMYFUNCTION("""COMPUTED_VALUE"""),0)</f>
        <v>0</v>
      </c>
      <c r="K189" s="10" t="str">
        <f ca="1">IFERROR(__xludf.DUMMYFUNCTION("""COMPUTED_VALUE"""),"https://www.abc27.com/local-news/duo-charged-with-shooting-at-deer-on-milton-hershey-school-property/
https://www.yahoo.com/news/duo-charged-hunting-shooting-gun-000722483.html")</f>
        <v>https://www.abc27.com/local-news/duo-charged-with-shooting-at-deer-on-milton-hershey-school-property/
https://www.yahoo.com/news/duo-charged-hunting-shooting-gun-000722483.html</v>
      </c>
      <c r="L189" s="8">
        <f ca="1">IFERROR(__xludf.DUMMYFUNCTION("""COMPUTED_VALUE"""),2)</f>
        <v>2</v>
      </c>
      <c r="M189" s="8" t="str">
        <f ca="1">IFERROR(__xludf.DUMMYFUNCTION("""COMPUTED_VALUE"""),"Local")</f>
        <v>Local</v>
      </c>
      <c r="N189" s="8">
        <f ca="1">IFERROR(__xludf.DUMMYFUNCTION("""COMPUTED_VALUE"""),4)</f>
        <v>4</v>
      </c>
      <c r="O189" s="8" t="str">
        <f ca="1">IFERROR(__xludf.DUMMYFUNCTION("""COMPUTED_VALUE"""),"Winter")</f>
        <v>Winter</v>
      </c>
      <c r="P189" s="8" t="str">
        <f ca="1">IFERROR(__xludf.DUMMYFUNCTION("""COMPUTED_VALUE"""),"Hershey")</f>
        <v>Hershey</v>
      </c>
      <c r="Q189" s="8" t="str">
        <f ca="1">IFERROR(__xludf.DUMMYFUNCTION("""COMPUTED_VALUE"""),"PA")</f>
        <v>PA</v>
      </c>
      <c r="R189" s="8" t="str">
        <f ca="1">IFERROR(__xludf.DUMMYFUNCTION("""COMPUTED_VALUE"""),"K-12")</f>
        <v>K-12</v>
      </c>
      <c r="S189" s="8" t="str">
        <f ca="1">IFERROR(__xludf.DUMMYFUNCTION("""COMPUTED_VALUE"""),"Field (General)")</f>
        <v>Field (General)</v>
      </c>
      <c r="T189" s="8" t="str">
        <f ca="1">IFERROR(__xludf.DUMMYFUNCTION("""COMPUTED_VALUE"""),"Outside on School Property")</f>
        <v>Outside on School Property</v>
      </c>
      <c r="U189" s="8" t="str">
        <f ca="1">IFERROR(__xludf.DUMMYFUNCTION("""COMPUTED_VALUE"""),"Yes")</f>
        <v>Yes</v>
      </c>
      <c r="V189" s="8"/>
      <c r="W189" s="8"/>
      <c r="X189" s="8">
        <f ca="1">IFERROR(__xludf.DUMMYFUNCTION("""COMPUTED_VALUE"""),1)</f>
        <v>1</v>
      </c>
      <c r="Y189" s="12" t="str">
        <f ca="1">IFERROR(__xludf.DUMMYFUNCTION("""COMPUTED_VALUE"""),"Two teens fired a gun from a vehicle at a deer near the school")</f>
        <v>Two teens fired a gun from a vehicle at a deer near the school</v>
      </c>
      <c r="Z189" s="12" t="str">
        <f ca="1">IFERROR(__xludf.DUMMYFUNCTION("""COMPUTED_VALUE"""),"Police said they were dispatched to assist school security with a hunter who discharged a firearm at a deer. After they arrived they were told by security there was a vehicle circling the building, and that security saw a gun was fired about 75 yards away"&amp;" from the building. Security followed the vehicle and was able to stop it. Police then shortly arrived and saw Valenzuela, who was the driver, and Abeleda standing outside the vehicle. According to the complaint, a Kel-Tec Sub-2000 folding pistol carbine "&amp;"was found on the front passenger floorboard, and a magazine with four 9mm rounds in it. More ammo was found behind the driver’s seat in a rifle case. The duo faces a felony charge of firearms not to be carried without a license, along with misdemeanor cha"&amp;"rges of possession of a weapon on school property, recklessly endangering another person and trespassing. They also face summary charges of hunting violations.")</f>
        <v>Police said they were dispatched to assist school security with a hunter who discharged a firearm at a deer. After they arrived they were told by security there was a vehicle circling the building, and that security saw a gun was fired about 75 yards away from the building. Security followed the vehicle and was able to stop it. Police then shortly arrived and saw Valenzuela, who was the driver, and Abeleda standing outside the vehicle. According to the complaint, a Kel-Tec Sub-2000 folding pistol carbine was found on the front passenger floorboard, and a magazine with four 9mm rounds in it. More ammo was found behind the driver’s seat in a rifle case. The duo faces a felony charge of firearms not to be carried without a license, along with misdemeanor charges of possession of a weapon on school property, recklessly endangering another person and trespassing. They also face summary charges of hunting violations.</v>
      </c>
      <c r="AA189" s="8" t="str">
        <f ca="1">IFERROR(__xludf.DUMMYFUNCTION("""COMPUTED_VALUE"""),"Illegal Activity")</f>
        <v>Illegal Activity</v>
      </c>
      <c r="AB189" s="8" t="str">
        <f ca="1">IFERROR(__xludf.DUMMYFUNCTION("""COMPUTED_VALUE"""),"Targeted")</f>
        <v>Targeted</v>
      </c>
      <c r="AC189" s="8" t="str">
        <f ca="1">IFERROR(__xludf.DUMMYFUNCTION("""COMPUTED_VALUE"""),"Yes")</f>
        <v>Yes</v>
      </c>
      <c r="AD189" s="8" t="str">
        <f ca="1">IFERROR(__xludf.DUMMYFUNCTION("""COMPUTED_VALUE"""),"Neither")</f>
        <v>Neither</v>
      </c>
      <c r="AE189" s="8" t="str">
        <f ca="1">IFERROR(__xludf.DUMMYFUNCTION("""COMPUTED_VALUE"""),"Yes")</f>
        <v>Yes</v>
      </c>
      <c r="AF189" s="8" t="str">
        <f ca="1">IFERROR(__xludf.DUMMYFUNCTION("""COMPUTED_VALUE"""),"Two teens arrested")</f>
        <v>Two teens arrested</v>
      </c>
      <c r="AG189" s="8" t="str">
        <f ca="1">IFERROR(__xludf.DUMMYFUNCTION("""COMPUTED_VALUE"""),"No")</f>
        <v>No</v>
      </c>
      <c r="AH189" s="8" t="str">
        <f ca="1">IFERROR(__xludf.DUMMYFUNCTION("""COMPUTED_VALUE"""),"No")</f>
        <v>No</v>
      </c>
      <c r="AI189" s="8" t="str">
        <f ca="1">IFERROR(__xludf.DUMMYFUNCTION("""COMPUTED_VALUE"""),"No")</f>
        <v>No</v>
      </c>
      <c r="AJ189" s="8" t="str">
        <f ca="1">IFERROR(__xludf.DUMMYFUNCTION("""COMPUTED_VALUE"""),"No")</f>
        <v>No</v>
      </c>
      <c r="AK189" s="8" t="str">
        <f ca="1">IFERROR(__xludf.DUMMYFUNCTION("""COMPUTED_VALUE"""),"No")</f>
        <v>No</v>
      </c>
      <c r="AL189" s="8" t="str">
        <f ca="1">IFERROR(__xludf.DUMMYFUNCTION("""COMPUTED_VALUE"""),"No")</f>
        <v>No</v>
      </c>
      <c r="AM189" s="8" t="str">
        <f ca="1">IFERROR(__xludf.DUMMYFUNCTION("""COMPUTED_VALUE"""),"No")</f>
        <v>No</v>
      </c>
      <c r="AN189" s="8" t="str">
        <f ca="1">IFERROR(__xludf.DUMMYFUNCTION("""COMPUTED_VALUE"""),"Outside")</f>
        <v>Outside</v>
      </c>
      <c r="AO189" s="8" t="str">
        <f ca="1">IFERROR(__xludf.DUMMYFUNCTION("""COMPUTED_VALUE"""),"No")</f>
        <v>No</v>
      </c>
      <c r="AP189" s="8" t="str">
        <f ca="1">IFERROR(__xludf.DUMMYFUNCTION("""COMPUTED_VALUE"""),"Yes")</f>
        <v>Yes</v>
      </c>
      <c r="AQ189" s="8" t="str">
        <f ca="1">IFERROR(__xludf.DUMMYFUNCTION("""COMPUTED_VALUE"""),"Guards")</f>
        <v>Guards</v>
      </c>
      <c r="AR189" s="8" t="str">
        <f ca="1">IFERROR(__xludf.DUMMYFUNCTION("""COMPUTED_VALUE"""),"Outside/Off-Property")</f>
        <v>Outside/Off-Property</v>
      </c>
      <c r="AS189" s="8">
        <f ca="1">IFERROR(__xludf.DUMMYFUNCTION("""COMPUTED_VALUE"""),4)</f>
        <v>4</v>
      </c>
      <c r="AT189" s="8"/>
      <c r="AU189" s="8">
        <f ca="1">IFERROR(__xludf.DUMMYFUNCTION("""COMPUTED_VALUE"""),40.274176)</f>
        <v>40.274175999999997</v>
      </c>
      <c r="AV189" s="8">
        <f ca="1">IFERROR(__xludf.DUMMYFUNCTION("""COMPUTED_VALUE"""),-76.631716)</f>
        <v>-76.631715999999997</v>
      </c>
      <c r="AW189" s="8" t="str">
        <f ca="1">IFERROR(__xludf.DUMMYFUNCTION("""COMPUTED_VALUE"""),"Multiple detached buildings")</f>
        <v>Multiple detached buildings</v>
      </c>
      <c r="AX189" s="8">
        <f ca="1">IFERROR(__xludf.DUMMYFUNCTION("""COMPUTED_VALUE"""),17010)</f>
        <v>17010</v>
      </c>
    </row>
    <row r="190" spans="1:50" ht="300" x14ac:dyDescent="0.2">
      <c r="A190" s="8" t="str">
        <f ca="1">IFERROR(__xludf.DUMMYFUNCTION("""COMPUTED_VALUE"""),"20241205SDYAY")</f>
        <v>20241205SDYAY</v>
      </c>
      <c r="B190" s="8">
        <f ca="1">IFERROR(__xludf.DUMMYFUNCTION("""COMPUTED_VALUE"""),12)</f>
        <v>12</v>
      </c>
      <c r="C190" s="8">
        <f ca="1">IFERROR(__xludf.DUMMYFUNCTION("""COMPUTED_VALUE"""),5)</f>
        <v>5</v>
      </c>
      <c r="D190" s="8">
        <f ca="1">IFERROR(__xludf.DUMMYFUNCTION("""COMPUTED_VALUE"""),2024)</f>
        <v>2024</v>
      </c>
      <c r="E190" s="9">
        <f ca="1">IFERROR(__xludf.DUMMYFUNCTION("""COMPUTED_VALUE"""),45631)</f>
        <v>45631</v>
      </c>
      <c r="F190" s="8" t="str">
        <f ca="1">IFERROR(__xludf.DUMMYFUNCTION("""COMPUTED_VALUE"""),"Yankton High School")</f>
        <v>Yankton High School</v>
      </c>
      <c r="G190" s="8">
        <f ca="1">IFERROR(__xludf.DUMMYFUNCTION("""COMPUTED_VALUE"""),0)</f>
        <v>0</v>
      </c>
      <c r="H190" s="8">
        <f ca="1">IFERROR(__xludf.DUMMYFUNCTION("""COMPUTED_VALUE"""),1)</f>
        <v>1</v>
      </c>
      <c r="I190" s="8">
        <f ca="1">IFERROR(__xludf.DUMMYFUNCTION("""COMPUTED_VALUE"""),1)</f>
        <v>1</v>
      </c>
      <c r="J190" s="8">
        <f ca="1">IFERROR(__xludf.DUMMYFUNCTION("""COMPUTED_VALUE"""),0)</f>
        <v>0</v>
      </c>
      <c r="K190" s="10" t="str">
        <f ca="1">IFERROR(__xludf.DUMMYFUNCTION("""COMPUTED_VALUE"""),"https://www.keloland.com/news/local-news/developing-officials-comment-on-yankton-shooting/
https://www.yankton.net/community/article_5f11e878-b389-11ef-83c9-ef72f9f95442.html")</f>
        <v>https://www.keloland.com/news/local-news/developing-officials-comment-on-yankton-shooting/
https://www.yankton.net/community/article_5f11e878-b389-11ef-83c9-ef72f9f95442.html</v>
      </c>
      <c r="L190" s="8">
        <f ca="1">IFERROR(__xludf.DUMMYFUNCTION("""COMPUTED_VALUE"""),15)</f>
        <v>15</v>
      </c>
      <c r="M190" s="8" t="str">
        <f ca="1">IFERROR(__xludf.DUMMYFUNCTION("""COMPUTED_VALUE"""),"Regional")</f>
        <v>Regional</v>
      </c>
      <c r="N190" s="8">
        <f ca="1">IFERROR(__xludf.DUMMYFUNCTION("""COMPUTED_VALUE"""),4)</f>
        <v>4</v>
      </c>
      <c r="O190" s="8" t="str">
        <f ca="1">IFERROR(__xludf.DUMMYFUNCTION("""COMPUTED_VALUE"""),"Winter")</f>
        <v>Winter</v>
      </c>
      <c r="P190" s="8" t="str">
        <f ca="1">IFERROR(__xludf.DUMMYFUNCTION("""COMPUTED_VALUE"""),"Yankton")</f>
        <v>Yankton</v>
      </c>
      <c r="Q190" s="8" t="str">
        <f ca="1">IFERROR(__xludf.DUMMYFUNCTION("""COMPUTED_VALUE"""),"SD")</f>
        <v>SD</v>
      </c>
      <c r="R190" s="8" t="str">
        <f ca="1">IFERROR(__xludf.DUMMYFUNCTION("""COMPUTED_VALUE"""),"High")</f>
        <v>High</v>
      </c>
      <c r="S190" s="8" t="str">
        <f ca="1">IFERROR(__xludf.DUMMYFUNCTION("""COMPUTED_VALUE"""),"Parking Lot")</f>
        <v>Parking Lot</v>
      </c>
      <c r="T190" s="8" t="str">
        <f ca="1">IFERROR(__xludf.DUMMYFUNCTION("""COMPUTED_VALUE"""),"Outside on School Property")</f>
        <v>Outside on School Property</v>
      </c>
      <c r="U190" s="8" t="str">
        <f ca="1">IFERROR(__xludf.DUMMYFUNCTION("""COMPUTED_VALUE"""),"No")</f>
        <v>No</v>
      </c>
      <c r="V190" s="8" t="str">
        <f ca="1">IFERROR(__xludf.DUMMYFUNCTION("""COMPUTED_VALUE"""),"Sport Event")</f>
        <v>Sport Event</v>
      </c>
      <c r="W190" s="11">
        <f ca="1">IFERROR(__xludf.DUMMYFUNCTION("""COMPUTED_VALUE"""),0.822222222222222)</f>
        <v>0.82222222222222197</v>
      </c>
      <c r="X190" s="8">
        <f ca="1">IFERROR(__xludf.DUMMYFUNCTION("""COMPUTED_VALUE"""),1)</f>
        <v>1</v>
      </c>
      <c r="Y190" s="12" t="str">
        <f ca="1">IFERROR(__xludf.DUMMYFUNCTION("""COMPUTED_VALUE"""),"Two officers shot an adult man armed with two weapons outside a high school wrestling meet")</f>
        <v>Two officers shot an adult man armed with two weapons outside a high school wrestling meet</v>
      </c>
      <c r="Z190" s="12" t="str">
        <f ca="1">IFERROR(__xludf.DUMMYFUNCTION("""COMPUTED_VALUE"""),"“On Thursday evening, at about 7:44 (p.m.), law enforcement received a call for service at the school parking lot at Yankton,” Jackley said. “When law enforcement arrived, ultimately they had an opportunity to begin a discussion with Mr. Jondahl. That dis"&amp;"cussion escalated, and ultimately there was a use of force by law enforcement.” Jackley confirmed Jondahl was at the school for the wrestling event. KELOLAND News spoke with Watertown superintendent Jeff Danielsen, who said that at the time of the shootin"&amp;"g, all Watertown staff and athletes were already on their bus and headed home. He confirmed that Jondahl was not a member of faculty or directly involved in the team. Rather, he appeared to be a Watertown community member who had decided to attend the tou"&amp;"rnament. Jackley gave limited information on the reason that police were called, stating that a member of the public called about “a dangerous situation at the school.” “Unfortunately, it escalated after some conversations and discussions. At which point "&amp;"law enforcement acted,” Jackley said.")</f>
        <v>“On Thursday evening, at about 7:44 (p.m.), law enforcement received a call for service at the school parking lot at Yankton,” Jackley said. “When law enforcement arrived, ultimately they had an opportunity to begin a discussion with Mr. Jondahl. That discussion escalated, and ultimately there was a use of force by law enforcement.” Jackley confirmed Jondahl was at the school for the wrestling event. KELOLAND News spoke with Watertown superintendent Jeff Danielsen, who said that at the time of the shooting, all Watertown staff and athletes were already on their bus and headed home. He confirmed that Jondahl was not a member of faculty or directly involved in the team. Rather, he appeared to be a Watertown community member who had decided to attend the tournament. Jackley gave limited information on the reason that police were called, stating that a member of the public called about “a dangerous situation at the school.” “Unfortunately, it escalated after some conversations and discussions. At which point law enforcement acted,” Jackley said.</v>
      </c>
      <c r="AA190" s="8" t="str">
        <f ca="1">IFERROR(__xludf.DUMMYFUNCTION("""COMPUTED_VALUE"""),"Officer-Involved Shooting")</f>
        <v>Officer-Involved Shooting</v>
      </c>
      <c r="AB190" s="8" t="str">
        <f ca="1">IFERROR(__xludf.DUMMYFUNCTION("""COMPUTED_VALUE"""),"Spontaneous")</f>
        <v>Spontaneous</v>
      </c>
      <c r="AC190" s="8" t="str">
        <f ca="1">IFERROR(__xludf.DUMMYFUNCTION("""COMPUTED_VALUE"""),"Yes")</f>
        <v>Yes</v>
      </c>
      <c r="AD190" s="8" t="str">
        <f ca="1">IFERROR(__xludf.DUMMYFUNCTION("""COMPUTED_VALUE"""),"Victims Targeted")</f>
        <v>Victims Targeted</v>
      </c>
      <c r="AE190" s="8" t="str">
        <f ca="1">IFERROR(__xludf.DUMMYFUNCTION("""COMPUTED_VALUE"""),"No")</f>
        <v>No</v>
      </c>
      <c r="AF190" s="8"/>
      <c r="AG190" s="8" t="str">
        <f ca="1">IFERROR(__xludf.DUMMYFUNCTION("""COMPUTED_VALUE"""),"No")</f>
        <v>No</v>
      </c>
      <c r="AH190" s="8" t="str">
        <f ca="1">IFERROR(__xludf.DUMMYFUNCTION("""COMPUTED_VALUE"""),"No")</f>
        <v>No</v>
      </c>
      <c r="AI190" s="8" t="str">
        <f ca="1">IFERROR(__xludf.DUMMYFUNCTION("""COMPUTED_VALUE"""),"Yes")</f>
        <v>Yes</v>
      </c>
      <c r="AJ190" s="8" t="str">
        <f ca="1">IFERROR(__xludf.DUMMYFUNCTION("""COMPUTED_VALUE"""),"No")</f>
        <v>No</v>
      </c>
      <c r="AK190" s="8" t="str">
        <f ca="1">IFERROR(__xludf.DUMMYFUNCTION("""COMPUTED_VALUE"""),"No")</f>
        <v>No</v>
      </c>
      <c r="AL190" s="8" t="str">
        <f ca="1">IFERROR(__xludf.DUMMYFUNCTION("""COMPUTED_VALUE"""),"No")</f>
        <v>No</v>
      </c>
      <c r="AM190" s="8" t="str">
        <f ca="1">IFERROR(__xludf.DUMMYFUNCTION("""COMPUTED_VALUE"""),"No")</f>
        <v>No</v>
      </c>
      <c r="AN190" s="8" t="str">
        <f ca="1">IFERROR(__xludf.DUMMYFUNCTION("""COMPUTED_VALUE"""),"Outside")</f>
        <v>Outside</v>
      </c>
      <c r="AO190" s="8" t="str">
        <f ca="1">IFERROR(__xludf.DUMMYFUNCTION("""COMPUTED_VALUE"""),"No")</f>
        <v>No</v>
      </c>
      <c r="AP190" s="8"/>
      <c r="AQ190" s="8"/>
      <c r="AR190" s="8" t="str">
        <f ca="1">IFERROR(__xludf.DUMMYFUNCTION("""COMPUTED_VALUE"""),"Outside/Off-Property")</f>
        <v>Outside/Off-Property</v>
      </c>
      <c r="AS190" s="8">
        <f ca="1">IFERROR(__xludf.DUMMYFUNCTION("""COMPUTED_VALUE"""),99)</f>
        <v>99</v>
      </c>
      <c r="AT190" s="8" t="str">
        <f ca="1">IFERROR(__xludf.DUMMYFUNCTION("""COMPUTED_VALUE"""),"Yes")</f>
        <v>Yes</v>
      </c>
      <c r="AU190" s="8">
        <f ca="1">IFERROR(__xludf.DUMMYFUNCTION("""COMPUTED_VALUE"""),42.885167)</f>
        <v>42.885167000000003</v>
      </c>
      <c r="AV190" s="8">
        <f ca="1">IFERROR(__xludf.DUMMYFUNCTION("""COMPUTED_VALUE"""),-97.409198)</f>
        <v>-97.409198000000004</v>
      </c>
      <c r="AW190" s="8" t="str">
        <f ca="1">IFERROR(__xludf.DUMMYFUNCTION("""COMPUTED_VALUE"""),"Multiple attached buildings")</f>
        <v>Multiple attached buildings</v>
      </c>
      <c r="AX190" s="8">
        <f ca="1">IFERROR(__xludf.DUMMYFUNCTION("""COMPUTED_VALUE"""),57078)</f>
        <v>57078</v>
      </c>
    </row>
    <row r="191" spans="1:50" ht="180" x14ac:dyDescent="0.2">
      <c r="A191" s="8" t="str">
        <f ca="1">IFERROR(__xludf.DUMMYFUNCTION("""COMPUTED_VALUE"""),"20241205NVCAC")</f>
        <v>20241205NVCAC</v>
      </c>
      <c r="B191" s="8">
        <f ca="1">IFERROR(__xludf.DUMMYFUNCTION("""COMPUTED_VALUE"""),12)</f>
        <v>12</v>
      </c>
      <c r="C191" s="8">
        <f ca="1">IFERROR(__xludf.DUMMYFUNCTION("""COMPUTED_VALUE"""),5)</f>
        <v>5</v>
      </c>
      <c r="D191" s="8">
        <f ca="1">IFERROR(__xludf.DUMMYFUNCTION("""COMPUTED_VALUE"""),2024)</f>
        <v>2024</v>
      </c>
      <c r="E191" s="9">
        <f ca="1">IFERROR(__xludf.DUMMYFUNCTION("""COMPUTED_VALUE"""),45631)</f>
        <v>45631</v>
      </c>
      <c r="F191" s="8" t="str">
        <f ca="1">IFERROR(__xludf.DUMMYFUNCTION("""COMPUTED_VALUE"""),"Carson High School")</f>
        <v>Carson High School</v>
      </c>
      <c r="G191" s="8">
        <f ca="1">IFERROR(__xludf.DUMMYFUNCTION("""COMPUTED_VALUE"""),0)</f>
        <v>0</v>
      </c>
      <c r="H191" s="8">
        <f ca="1">IFERROR(__xludf.DUMMYFUNCTION("""COMPUTED_VALUE"""),0)</f>
        <v>0</v>
      </c>
      <c r="I191" s="8">
        <f ca="1">IFERROR(__xludf.DUMMYFUNCTION("""COMPUTED_VALUE"""),0)</f>
        <v>0</v>
      </c>
      <c r="J191" s="8">
        <f ca="1">IFERROR(__xludf.DUMMYFUNCTION("""COMPUTED_VALUE"""),0)</f>
        <v>0</v>
      </c>
      <c r="K191" s="10" t="str">
        <f ca="1">IFERROR(__xludf.DUMMYFUNCTION("""COMPUTED_VALUE"""),"https://mynews4.com/news/local/two-carson-high-school-students-arrested-after-shooting-paintball-gun-on-campus")</f>
        <v>https://mynews4.com/news/local/two-carson-high-school-students-arrested-after-shooting-paintball-gun-on-campus</v>
      </c>
      <c r="L191" s="8">
        <f ca="1">IFERROR(__xludf.DUMMYFUNCTION("""COMPUTED_VALUE"""),1)</f>
        <v>1</v>
      </c>
      <c r="M191" s="8" t="str">
        <f ca="1">IFERROR(__xludf.DUMMYFUNCTION("""COMPUTED_VALUE"""),"Local")</f>
        <v>Local</v>
      </c>
      <c r="N191" s="8">
        <f ca="1">IFERROR(__xludf.DUMMYFUNCTION("""COMPUTED_VALUE"""),4)</f>
        <v>4</v>
      </c>
      <c r="O191" s="8" t="str">
        <f ca="1">IFERROR(__xludf.DUMMYFUNCTION("""COMPUTED_VALUE"""),"Winter")</f>
        <v>Winter</v>
      </c>
      <c r="P191" s="8" t="str">
        <f ca="1">IFERROR(__xludf.DUMMYFUNCTION("""COMPUTED_VALUE"""),"Carson City")</f>
        <v>Carson City</v>
      </c>
      <c r="Q191" s="8" t="str">
        <f ca="1">IFERROR(__xludf.DUMMYFUNCTION("""COMPUTED_VALUE"""),"NV")</f>
        <v>NV</v>
      </c>
      <c r="R191" s="8" t="str">
        <f ca="1">IFERROR(__xludf.DUMMYFUNCTION("""COMPUTED_VALUE"""),"High")</f>
        <v>High</v>
      </c>
      <c r="S191" s="8" t="str">
        <f ca="1">IFERROR(__xludf.DUMMYFUNCTION("""COMPUTED_VALUE"""),"Parking Lot")</f>
        <v>Parking Lot</v>
      </c>
      <c r="T191" s="8" t="str">
        <f ca="1">IFERROR(__xludf.DUMMYFUNCTION("""COMPUTED_VALUE"""),"Outside on School Property")</f>
        <v>Outside on School Property</v>
      </c>
      <c r="U191" s="8" t="str">
        <f ca="1">IFERROR(__xludf.DUMMYFUNCTION("""COMPUTED_VALUE"""),"Yes")</f>
        <v>Yes</v>
      </c>
      <c r="V191" s="8" t="str">
        <f ca="1">IFERROR(__xludf.DUMMYFUNCTION("""COMPUTED_VALUE"""),"Morning Classes")</f>
        <v>Morning Classes</v>
      </c>
      <c r="W191" s="11">
        <f ca="1">IFERROR(__xludf.DUMMYFUNCTION("""COMPUTED_VALUE"""),0.399305555555555)</f>
        <v>0.39930555555555503</v>
      </c>
      <c r="X191" s="8">
        <f ca="1">IFERROR(__xludf.DUMMYFUNCTION("""COMPUTED_VALUE"""),1)</f>
        <v>1</v>
      </c>
      <c r="Y191" s="12" t="str">
        <f ca="1">IFERROR(__xludf.DUMMYFUNCTION("""COMPUTED_VALUE"""),"School went on lockdown for report of shots fired, two student arrested with paintball gun")</f>
        <v>School went on lockdown for report of shots fired, two student arrested with paintball gun</v>
      </c>
      <c r="Z191" s="12" t="str">
        <f ca="1">IFERROR(__xludf.DUMMYFUNCTION("""COMPUTED_VALUE"""),"Police arrested two Carson High School students Thursday after they reportedly shot a paintball gun in the school parking lot. According to the Carson City Sheriff's Office, the incident started when dispatch got a call about someone with a weapon outside"&amp;" the high school around 9:35 a.m. The campus was put into a 'secure' status as school police, Carson City Sheriff's Office deputies and other law enforcement responded. Police arrested two students for possession of a dangerous weapon on school grounds an"&amp;"d booked them into jail. According to CCSO, another student saw the students fire a gun but was unsure what type of weapon it was when reporting it to authorities.")</f>
        <v>Police arrested two Carson High School students Thursday after they reportedly shot a paintball gun in the school parking lot. According to the Carson City Sheriff's Office, the incident started when dispatch got a call about someone with a weapon outside the high school around 9:35 a.m. The campus was put into a 'secure' status as school police, Carson City Sheriff's Office deputies and other law enforcement responded. Police arrested two students for possession of a dangerous weapon on school grounds and booked them into jail. According to CCSO, another student saw the students fire a gun but was unsure what type of weapon it was when reporting it to authorities.</v>
      </c>
      <c r="AA191" s="8"/>
      <c r="AB191" s="8" t="str">
        <f ca="1">IFERROR(__xludf.DUMMYFUNCTION("""COMPUTED_VALUE"""),"Spontaneous")</f>
        <v>Spontaneous</v>
      </c>
      <c r="AC191" s="8" t="str">
        <f ca="1">IFERROR(__xludf.DUMMYFUNCTION("""COMPUTED_VALUE"""),"Yes")</f>
        <v>Yes</v>
      </c>
      <c r="AD191" s="8" t="str">
        <f ca="1">IFERROR(__xludf.DUMMYFUNCTION("""COMPUTED_VALUE"""),"Random Shooting")</f>
        <v>Random Shooting</v>
      </c>
      <c r="AE191" s="8" t="str">
        <f ca="1">IFERROR(__xludf.DUMMYFUNCTION("""COMPUTED_VALUE"""),"Yes")</f>
        <v>Yes</v>
      </c>
      <c r="AF191" s="8" t="str">
        <f ca="1">IFERROR(__xludf.DUMMYFUNCTION("""COMPUTED_VALUE"""),"Two students")</f>
        <v>Two students</v>
      </c>
      <c r="AG191" s="8" t="str">
        <f ca="1">IFERROR(__xludf.DUMMYFUNCTION("""COMPUTED_VALUE"""),"No")</f>
        <v>No</v>
      </c>
      <c r="AH191" s="8" t="str">
        <f ca="1">IFERROR(__xludf.DUMMYFUNCTION("""COMPUTED_VALUE"""),"No")</f>
        <v>No</v>
      </c>
      <c r="AI191" s="8" t="str">
        <f ca="1">IFERROR(__xludf.DUMMYFUNCTION("""COMPUTED_VALUE"""),"No")</f>
        <v>No</v>
      </c>
      <c r="AJ191" s="8" t="str">
        <f ca="1">IFERROR(__xludf.DUMMYFUNCTION("""COMPUTED_VALUE"""),"No")</f>
        <v>No</v>
      </c>
      <c r="AK191" s="8" t="str">
        <f ca="1">IFERROR(__xludf.DUMMYFUNCTION("""COMPUTED_VALUE"""),"No")</f>
        <v>No</v>
      </c>
      <c r="AL191" s="8" t="str">
        <f ca="1">IFERROR(__xludf.DUMMYFUNCTION("""COMPUTED_VALUE"""),"No")</f>
        <v>No</v>
      </c>
      <c r="AM191" s="8" t="str">
        <f ca="1">IFERROR(__xludf.DUMMYFUNCTION("""COMPUTED_VALUE"""),"No")</f>
        <v>No</v>
      </c>
      <c r="AN191" s="8" t="str">
        <f ca="1">IFERROR(__xludf.DUMMYFUNCTION("""COMPUTED_VALUE"""),"Outside")</f>
        <v>Outside</v>
      </c>
      <c r="AO191" s="8" t="str">
        <f ca="1">IFERROR(__xludf.DUMMYFUNCTION("""COMPUTED_VALUE"""),"No")</f>
        <v>No</v>
      </c>
      <c r="AP191" s="8"/>
      <c r="AQ191" s="8"/>
      <c r="AR191" s="8" t="str">
        <f ca="1">IFERROR(__xludf.DUMMYFUNCTION("""COMPUTED_VALUE"""),"Outside/Off-Property")</f>
        <v>Outside/Off-Property</v>
      </c>
      <c r="AS191" s="8">
        <f ca="1">IFERROR(__xludf.DUMMYFUNCTION("""COMPUTED_VALUE"""),99)</f>
        <v>99</v>
      </c>
      <c r="AT191" s="8" t="str">
        <f ca="1">IFERROR(__xludf.DUMMYFUNCTION("""COMPUTED_VALUE"""),"Yes")</f>
        <v>Yes</v>
      </c>
      <c r="AU191" s="8">
        <f ca="1">IFERROR(__xludf.DUMMYFUNCTION("""COMPUTED_VALUE"""),39.167715)</f>
        <v>39.167715000000001</v>
      </c>
      <c r="AV191" s="8">
        <f ca="1">IFERROR(__xludf.DUMMYFUNCTION("""COMPUTED_VALUE"""),-119.74883)</f>
        <v>-119.74883</v>
      </c>
      <c r="AW191" s="8" t="str">
        <f ca="1">IFERROR(__xludf.DUMMYFUNCTION("""COMPUTED_VALUE"""),"Single building indoor hallway")</f>
        <v>Single building indoor hallway</v>
      </c>
      <c r="AX191" s="8">
        <f ca="1">IFERROR(__xludf.DUMMYFUNCTION("""COMPUTED_VALUE"""),89701)</f>
        <v>89701</v>
      </c>
    </row>
    <row r="192" spans="1:50" ht="150" x14ac:dyDescent="0.2">
      <c r="A192" s="8" t="str">
        <f ca="1">IFERROR(__xludf.DUMMYFUNCTION("""COMPUTED_VALUE"""),"20241204NYCLB")</f>
        <v>20241204NYCLB</v>
      </c>
      <c r="B192" s="8">
        <f ca="1">IFERROR(__xludf.DUMMYFUNCTION("""COMPUTED_VALUE"""),12)</f>
        <v>12</v>
      </c>
      <c r="C192" s="8">
        <f ca="1">IFERROR(__xludf.DUMMYFUNCTION("""COMPUTED_VALUE"""),4)</f>
        <v>4</v>
      </c>
      <c r="D192" s="8">
        <f ca="1">IFERROR(__xludf.DUMMYFUNCTION("""COMPUTED_VALUE"""),2024)</f>
        <v>2024</v>
      </c>
      <c r="E192" s="9">
        <f ca="1">IFERROR(__xludf.DUMMYFUNCTION("""COMPUTED_VALUE"""),45630)</f>
        <v>45630</v>
      </c>
      <c r="F192" s="8" t="str">
        <f ca="1">IFERROR(__xludf.DUMMYFUNCTION("""COMPUTED_VALUE"""),"Clara Barton High School")</f>
        <v>Clara Barton High School</v>
      </c>
      <c r="G192" s="8">
        <f ca="1">IFERROR(__xludf.DUMMYFUNCTION("""COMPUTED_VALUE"""),0)</f>
        <v>0</v>
      </c>
      <c r="H192" s="8">
        <f ca="1">IFERROR(__xludf.DUMMYFUNCTION("""COMPUTED_VALUE"""),1)</f>
        <v>1</v>
      </c>
      <c r="I192" s="8">
        <f ca="1">IFERROR(__xludf.DUMMYFUNCTION("""COMPUTED_VALUE"""),1)</f>
        <v>1</v>
      </c>
      <c r="J192" s="8">
        <f ca="1">IFERROR(__xludf.DUMMYFUNCTION("""COMPUTED_VALUE"""),0)</f>
        <v>0</v>
      </c>
      <c r="K192" s="10" t="str">
        <f ca="1">IFERROR(__xludf.DUMMYFUNCTION("""COMPUTED_VALUE"""),"https://brooklyn.news12.com/nypd-17-year-old-shot-in-rib-5-suspects-at-large
https://patch.com/new-york/brooklyn/17-year-old-shot-near-crown-heights-high-school-nypd")</f>
        <v>https://brooklyn.news12.com/nypd-17-year-old-shot-in-rib-5-suspects-at-large
https://patch.com/new-york/brooklyn/17-year-old-shot-near-crown-heights-high-school-nypd</v>
      </c>
      <c r="L192" s="8">
        <f ca="1">IFERROR(__xludf.DUMMYFUNCTION("""COMPUTED_VALUE"""),5)</f>
        <v>5</v>
      </c>
      <c r="M192" s="8" t="str">
        <f ca="1">IFERROR(__xludf.DUMMYFUNCTION("""COMPUTED_VALUE"""),"Local")</f>
        <v>Local</v>
      </c>
      <c r="N192" s="8">
        <f ca="1">IFERROR(__xludf.DUMMYFUNCTION("""COMPUTED_VALUE"""),4)</f>
        <v>4</v>
      </c>
      <c r="O192" s="8" t="str">
        <f ca="1">IFERROR(__xludf.DUMMYFUNCTION("""COMPUTED_VALUE"""),"Winter")</f>
        <v>Winter</v>
      </c>
      <c r="P192" s="8" t="str">
        <f ca="1">IFERROR(__xludf.DUMMYFUNCTION("""COMPUTED_VALUE"""),"Brooklyn")</f>
        <v>Brooklyn</v>
      </c>
      <c r="Q192" s="8" t="str">
        <f ca="1">IFERROR(__xludf.DUMMYFUNCTION("""COMPUTED_VALUE"""),"NY")</f>
        <v>NY</v>
      </c>
      <c r="R192" s="8" t="str">
        <f ca="1">IFERROR(__xludf.DUMMYFUNCTION("""COMPUTED_VALUE"""),"High")</f>
        <v>High</v>
      </c>
      <c r="S192" s="8" t="str">
        <f ca="1">IFERROR(__xludf.DUMMYFUNCTION("""COMPUTED_VALUE"""),"Front of School")</f>
        <v>Front of School</v>
      </c>
      <c r="T192" s="8" t="str">
        <f ca="1">IFERROR(__xludf.DUMMYFUNCTION("""COMPUTED_VALUE"""),"Outside on School Property")</f>
        <v>Outside on School Property</v>
      </c>
      <c r="U192" s="8" t="str">
        <f ca="1">IFERROR(__xludf.DUMMYFUNCTION("""COMPUTED_VALUE"""),"No")</f>
        <v>No</v>
      </c>
      <c r="V192" s="8" t="str">
        <f ca="1">IFERROR(__xludf.DUMMYFUNCTION("""COMPUTED_VALUE"""),"Sport Event")</f>
        <v>Sport Event</v>
      </c>
      <c r="W192" s="11">
        <f ca="1">IFERROR(__xludf.DUMMYFUNCTION("""COMPUTED_VALUE"""),0.777083333333333)</f>
        <v>0.77708333333333302</v>
      </c>
      <c r="X192" s="8">
        <f ca="1">IFERROR(__xludf.DUMMYFUNCTION("""COMPUTED_VALUE"""),1)</f>
        <v>1</v>
      </c>
      <c r="Y192" s="12" t="str">
        <f ca="1">IFERROR(__xludf.DUMMYFUNCTION("""COMPUTED_VALUE"""),"Teen shot outside school during varsity basketball game")</f>
        <v>Teen shot outside school during varsity basketball game</v>
      </c>
      <c r="Z192" s="12" t="str">
        <f ca="1">IFERROR(__xludf.DUMMYFUNCTION("""COMPUTED_VALUE"""),"The NYPD says a 17-year-old male teen was shot outside of Clara Barton High School on Wednesday night. Police say it happened on the corner of President Street and Washington Avenue at 6:39 p.m. Parents in the area told News 12 off camera a basketball gam"&amp;"e was being held right next door at Prospect Heights High School at around 5:30 p.m. They saw an hour later, their children heard multiple shots ring out, and the school went on lockdown. The teen was taken to Kings County Hospital and is now in stable co"&amp;"ndition.")</f>
        <v>The NYPD says a 17-year-old male teen was shot outside of Clara Barton High School on Wednesday night. Police say it happened on the corner of President Street and Washington Avenue at 6:39 p.m. Parents in the area told News 12 off camera a basketball game was being held right next door at Prospect Heights High School at around 5:30 p.m. They saw an hour later, their children heard multiple shots ring out, and the school went on lockdown. The teen was taken to Kings County Hospital and is now in stable condition.</v>
      </c>
      <c r="AA192" s="8"/>
      <c r="AB192" s="8"/>
      <c r="AC192" s="8" t="str">
        <f ca="1">IFERROR(__xludf.DUMMYFUNCTION("""COMPUTED_VALUE"""),"Yes")</f>
        <v>Yes</v>
      </c>
      <c r="AD192" s="8" t="str">
        <f ca="1">IFERROR(__xludf.DUMMYFUNCTION("""COMPUTED_VALUE"""),"Victims Targeted")</f>
        <v>Victims Targeted</v>
      </c>
      <c r="AE192" s="8" t="str">
        <f ca="1">IFERROR(__xludf.DUMMYFUNCTION("""COMPUTED_VALUE"""),"Yes")</f>
        <v>Yes</v>
      </c>
      <c r="AF192" s="8" t="str">
        <f ca="1">IFERROR(__xludf.DUMMYFUNCTION("""COMPUTED_VALUE"""),"Five teens fled")</f>
        <v>Five teens fled</v>
      </c>
      <c r="AG192" s="8" t="str">
        <f ca="1">IFERROR(__xludf.DUMMYFUNCTION("""COMPUTED_VALUE"""),"No")</f>
        <v>No</v>
      </c>
      <c r="AH192" s="8" t="str">
        <f ca="1">IFERROR(__xludf.DUMMYFUNCTION("""COMPUTED_VALUE"""),"No")</f>
        <v>No</v>
      </c>
      <c r="AI192" s="8" t="str">
        <f ca="1">IFERROR(__xludf.DUMMYFUNCTION("""COMPUTED_VALUE"""),"No")</f>
        <v>No</v>
      </c>
      <c r="AJ192" s="8" t="str">
        <f ca="1">IFERROR(__xludf.DUMMYFUNCTION("""COMPUTED_VALUE"""),"No")</f>
        <v>No</v>
      </c>
      <c r="AK192" s="8" t="str">
        <f ca="1">IFERROR(__xludf.DUMMYFUNCTION("""COMPUTED_VALUE"""),"No")</f>
        <v>No</v>
      </c>
      <c r="AL192" s="8"/>
      <c r="AM192" s="8" t="str">
        <f ca="1">IFERROR(__xludf.DUMMYFUNCTION("""COMPUTED_VALUE"""),"No")</f>
        <v>No</v>
      </c>
      <c r="AN192" s="8" t="str">
        <f ca="1">IFERROR(__xludf.DUMMYFUNCTION("""COMPUTED_VALUE"""),"Outside")</f>
        <v>Outside</v>
      </c>
      <c r="AO192" s="8" t="str">
        <f ca="1">IFERROR(__xludf.DUMMYFUNCTION("""COMPUTED_VALUE"""),"No")</f>
        <v>No</v>
      </c>
      <c r="AP192" s="8"/>
      <c r="AQ192" s="8"/>
      <c r="AR192" s="8" t="str">
        <f ca="1">IFERROR(__xludf.DUMMYFUNCTION("""COMPUTED_VALUE"""),"Outside/Off-Property")</f>
        <v>Outside/Off-Property</v>
      </c>
      <c r="AS192" s="8">
        <f ca="1">IFERROR(__xludf.DUMMYFUNCTION("""COMPUTED_VALUE"""),99)</f>
        <v>99</v>
      </c>
      <c r="AT192" s="8" t="str">
        <f ca="1">IFERROR(__xludf.DUMMYFUNCTION("""COMPUTED_VALUE"""),"Yes")</f>
        <v>Yes</v>
      </c>
      <c r="AU192" s="8">
        <f ca="1">IFERROR(__xludf.DUMMYFUNCTION("""COMPUTED_VALUE"""),40.669462)</f>
        <v>40.669462000000003</v>
      </c>
      <c r="AV192" s="8">
        <f ca="1">IFERROR(__xludf.DUMMYFUNCTION("""COMPUTED_VALUE"""),-73.961934)</f>
        <v>-73.961933999999999</v>
      </c>
      <c r="AW192" s="8" t="str">
        <f ca="1">IFERROR(__xludf.DUMMYFUNCTION("""COMPUTED_VALUE"""),"Urban Street Standalone")</f>
        <v>Urban Street Standalone</v>
      </c>
      <c r="AX192" s="8">
        <f ca="1">IFERROR(__xludf.DUMMYFUNCTION("""COMPUTED_VALUE"""),11225)</f>
        <v>11225</v>
      </c>
    </row>
    <row r="193" spans="1:50" ht="150" x14ac:dyDescent="0.2">
      <c r="A193" s="8" t="str">
        <f ca="1">IFERROR(__xludf.DUMMYFUNCTION("""COMPUTED_VALUE"""),"20241204TXSHH")</f>
        <v>20241204TXSHH</v>
      </c>
      <c r="B193" s="8">
        <f ca="1">IFERROR(__xludf.DUMMYFUNCTION("""COMPUTED_VALUE"""),12)</f>
        <v>12</v>
      </c>
      <c r="C193" s="8">
        <f ca="1">IFERROR(__xludf.DUMMYFUNCTION("""COMPUTED_VALUE"""),4)</f>
        <v>4</v>
      </c>
      <c r="D193" s="8">
        <f ca="1">IFERROR(__xludf.DUMMYFUNCTION("""COMPUTED_VALUE"""),2024)</f>
        <v>2024</v>
      </c>
      <c r="E193" s="9">
        <f ca="1">IFERROR(__xludf.DUMMYFUNCTION("""COMPUTED_VALUE"""),45630)</f>
        <v>45630</v>
      </c>
      <c r="F193" s="8" t="str">
        <f ca="1">IFERROR(__xludf.DUMMYFUNCTION("""COMPUTED_VALUE"""),"Sharpstown High School")</f>
        <v>Sharpstown High School</v>
      </c>
      <c r="G193" s="8">
        <f ca="1">IFERROR(__xludf.DUMMYFUNCTION("""COMPUTED_VALUE"""),0)</f>
        <v>0</v>
      </c>
      <c r="H193" s="8">
        <f ca="1">IFERROR(__xludf.DUMMYFUNCTION("""COMPUTED_VALUE"""),0)</f>
        <v>0</v>
      </c>
      <c r="I193" s="8">
        <f ca="1">IFERROR(__xludf.DUMMYFUNCTION("""COMPUTED_VALUE"""),0)</f>
        <v>0</v>
      </c>
      <c r="J193" s="8">
        <f ca="1">IFERROR(__xludf.DUMMYFUNCTION("""COMPUTED_VALUE"""),0)</f>
        <v>0</v>
      </c>
      <c r="K193" s="8" t="str">
        <f ca="1">IFERROR(__xludf.DUMMYFUNCTION("""COMPUTED_VALUE"""),"https://archive.is/UrS2R#selection-1303.33-1303.55
https://www.click2houston.com/news/local/2024/12/04/shooting-reported-from-truck-near-sharpstown-high-school/")</f>
        <v>https://archive.is/UrS2R#selection-1303.33-1303.55
https://www.click2houston.com/news/local/2024/12/04/shooting-reported-from-truck-near-sharpstown-high-school/</v>
      </c>
      <c r="L193" s="8">
        <f ca="1">IFERROR(__xludf.DUMMYFUNCTION("""COMPUTED_VALUE"""),6)</f>
        <v>6</v>
      </c>
      <c r="M193" s="8" t="str">
        <f ca="1">IFERROR(__xludf.DUMMYFUNCTION("""COMPUTED_VALUE"""),"Local")</f>
        <v>Local</v>
      </c>
      <c r="N193" s="8">
        <f ca="1">IFERROR(__xludf.DUMMYFUNCTION("""COMPUTED_VALUE"""),4)</f>
        <v>4</v>
      </c>
      <c r="O193" s="8" t="str">
        <f ca="1">IFERROR(__xludf.DUMMYFUNCTION("""COMPUTED_VALUE"""),"Winter")</f>
        <v>Winter</v>
      </c>
      <c r="P193" s="8" t="str">
        <f ca="1">IFERROR(__xludf.DUMMYFUNCTION("""COMPUTED_VALUE"""),"Houston")</f>
        <v>Houston</v>
      </c>
      <c r="Q193" s="8" t="str">
        <f ca="1">IFERROR(__xludf.DUMMYFUNCTION("""COMPUTED_VALUE"""),"TX")</f>
        <v>TX</v>
      </c>
      <c r="R193" s="8" t="str">
        <f ca="1">IFERROR(__xludf.DUMMYFUNCTION("""COMPUTED_VALUE"""),"High")</f>
        <v>High</v>
      </c>
      <c r="S193" s="8" t="str">
        <f ca="1">IFERROR(__xludf.DUMMYFUNCTION("""COMPUTED_VALUE"""),"Parking Lot")</f>
        <v>Parking Lot</v>
      </c>
      <c r="T193" s="8" t="str">
        <f ca="1">IFERROR(__xludf.DUMMYFUNCTION("""COMPUTED_VALUE"""),"Outside on School Property")</f>
        <v>Outside on School Property</v>
      </c>
      <c r="U193" s="8" t="str">
        <f ca="1">IFERROR(__xludf.DUMMYFUNCTION("""COMPUTED_VALUE"""),"Yes")</f>
        <v>Yes</v>
      </c>
      <c r="V193" s="8" t="str">
        <f ca="1">IFERROR(__xludf.DUMMYFUNCTION("""COMPUTED_VALUE"""),"Morning Classes")</f>
        <v>Morning Classes</v>
      </c>
      <c r="W193" s="11">
        <f ca="1">IFERROR(__xludf.DUMMYFUNCTION("""COMPUTED_VALUE"""),0.411111111111111)</f>
        <v>0.41111111111111098</v>
      </c>
      <c r="X193" s="8">
        <f ca="1">IFERROR(__xludf.DUMMYFUNCTION("""COMPUTED_VALUE"""),1)</f>
        <v>1</v>
      </c>
      <c r="Y193" s="12" t="str">
        <f ca="1">IFERROR(__xludf.DUMMYFUNCTION("""COMPUTED_VALUE"""),"Shots fired at a group of students by a student in a vehicle")</f>
        <v>Shots fired at a group of students by a student in a vehicle</v>
      </c>
      <c r="Z193" s="12" t="str">
        <f ca="1">IFERROR(__xludf.DUMMYFUNCTION("""COMPUTED_VALUE"""),"According to police, the shooter was driving a white, two-door pickup truck and confronted a group of five or six students in a car. He got out of his truck and began shooting at them. The students escaped uninjured, and the suspect fled the scene. A shor"&amp;"t time later, however, the same man fired two more shots at another car carrying teenagers nearby. No injuries were reported in that shooting either. Police believe the shooter is a student at the school knew both groups of teens. Vehicle with multiple bu"&amp;"llet holes was found in the school parking lot.")</f>
        <v>According to police, the shooter was driving a white, two-door pickup truck and confronted a group of five or six students in a car. He got out of his truck and began shooting at them. The students escaped uninjured, and the suspect fled the scene. A short time later, however, the same man fired two more shots at another car carrying teenagers nearby. No injuries were reported in that shooting either. Police believe the shooter is a student at the school knew both groups of teens. Vehicle with multiple bullet holes was found in the school parking lot.</v>
      </c>
      <c r="AA193" s="8" t="str">
        <f ca="1">IFERROR(__xludf.DUMMYFUNCTION("""COMPUTED_VALUE"""),"Escalation of Dispute")</f>
        <v>Escalation of Dispute</v>
      </c>
      <c r="AB193" s="8" t="str">
        <f ca="1">IFERROR(__xludf.DUMMYFUNCTION("""COMPUTED_VALUE"""),"Spontaneous")</f>
        <v>Spontaneous</v>
      </c>
      <c r="AC193" s="8" t="str">
        <f ca="1">IFERROR(__xludf.DUMMYFUNCTION("""COMPUTED_VALUE"""),"Yes")</f>
        <v>Yes</v>
      </c>
      <c r="AD193" s="8" t="str">
        <f ca="1">IFERROR(__xludf.DUMMYFUNCTION("""COMPUTED_VALUE"""),"Victims Targeted")</f>
        <v>Victims Targeted</v>
      </c>
      <c r="AE193" s="8" t="str">
        <f ca="1">IFERROR(__xludf.DUMMYFUNCTION("""COMPUTED_VALUE"""),"No")</f>
        <v>No</v>
      </c>
      <c r="AF193" s="8"/>
      <c r="AG193" s="8" t="str">
        <f ca="1">IFERROR(__xludf.DUMMYFUNCTION("""COMPUTED_VALUE"""),"No")</f>
        <v>No</v>
      </c>
      <c r="AH193" s="8" t="str">
        <f ca="1">IFERROR(__xludf.DUMMYFUNCTION("""COMPUTED_VALUE"""),"No")</f>
        <v>No</v>
      </c>
      <c r="AI193" s="8" t="str">
        <f ca="1">IFERROR(__xludf.DUMMYFUNCTION("""COMPUTED_VALUE"""),"No")</f>
        <v>No</v>
      </c>
      <c r="AJ193" s="8" t="str">
        <f ca="1">IFERROR(__xludf.DUMMYFUNCTION("""COMPUTED_VALUE"""),"No")</f>
        <v>No</v>
      </c>
      <c r="AK193" s="8" t="str">
        <f ca="1">IFERROR(__xludf.DUMMYFUNCTION("""COMPUTED_VALUE"""),"No")</f>
        <v>No</v>
      </c>
      <c r="AL193" s="8"/>
      <c r="AM193" s="8" t="str">
        <f ca="1">IFERROR(__xludf.DUMMYFUNCTION("""COMPUTED_VALUE"""),"No")</f>
        <v>No</v>
      </c>
      <c r="AN193" s="8" t="str">
        <f ca="1">IFERROR(__xludf.DUMMYFUNCTION("""COMPUTED_VALUE"""),"Outside")</f>
        <v>Outside</v>
      </c>
      <c r="AO193" s="8" t="str">
        <f ca="1">IFERROR(__xludf.DUMMYFUNCTION("""COMPUTED_VALUE"""),"No")</f>
        <v>No</v>
      </c>
      <c r="AP193" s="8" t="str">
        <f ca="1">IFERROR(__xludf.DUMMYFUNCTION("""COMPUTED_VALUE"""),"Yes")</f>
        <v>Yes</v>
      </c>
      <c r="AQ193" s="8"/>
      <c r="AR193" s="8" t="str">
        <f ca="1">IFERROR(__xludf.DUMMYFUNCTION("""COMPUTED_VALUE"""),"Outside/Off-Property")</f>
        <v>Outside/Off-Property</v>
      </c>
      <c r="AS193" s="8">
        <f ca="1">IFERROR(__xludf.DUMMYFUNCTION("""COMPUTED_VALUE"""),99)</f>
        <v>99</v>
      </c>
      <c r="AT193" s="8" t="str">
        <f ca="1">IFERROR(__xludf.DUMMYFUNCTION("""COMPUTED_VALUE"""),"Yes")</f>
        <v>Yes</v>
      </c>
      <c r="AU193" s="8">
        <f ca="1">IFERROR(__xludf.DUMMYFUNCTION("""COMPUTED_VALUE"""),29.682989)</f>
        <v>29.682988999999999</v>
      </c>
      <c r="AV193" s="8">
        <f ca="1">IFERROR(__xludf.DUMMYFUNCTION("""COMPUTED_VALUE"""),-95.517061)</f>
        <v>-95.517060999999998</v>
      </c>
      <c r="AW193" s="8" t="str">
        <f ca="1">IFERROR(__xludf.DUMMYFUNCTION("""COMPUTED_VALUE"""),"Multiple detached buildings")</f>
        <v>Multiple detached buildings</v>
      </c>
      <c r="AX193" s="8">
        <f ca="1">IFERROR(__xludf.DUMMYFUNCTION("""COMPUTED_VALUE"""),77074)</f>
        <v>77074</v>
      </c>
    </row>
    <row r="194" spans="1:50" ht="405" x14ac:dyDescent="0.2">
      <c r="A194" s="8" t="str">
        <f ca="1">IFERROR(__xludf.DUMMYFUNCTION("""COMPUTED_VALUE"""),"20241204CAFEO")</f>
        <v>20241204CAFEO</v>
      </c>
      <c r="B194" s="8">
        <f ca="1">IFERROR(__xludf.DUMMYFUNCTION("""COMPUTED_VALUE"""),12)</f>
        <v>12</v>
      </c>
      <c r="C194" s="8">
        <f ca="1">IFERROR(__xludf.DUMMYFUNCTION("""COMPUTED_VALUE"""),4)</f>
        <v>4</v>
      </c>
      <c r="D194" s="8">
        <f ca="1">IFERROR(__xludf.DUMMYFUNCTION("""COMPUTED_VALUE"""),2024)</f>
        <v>2024</v>
      </c>
      <c r="E194" s="9">
        <f ca="1">IFERROR(__xludf.DUMMYFUNCTION("""COMPUTED_VALUE"""),45630)</f>
        <v>45630</v>
      </c>
      <c r="F194" s="8" t="str">
        <f ca="1">IFERROR(__xludf.DUMMYFUNCTION("""COMPUTED_VALUE"""),"Feather River Adventist School")</f>
        <v>Feather River Adventist School</v>
      </c>
      <c r="G194" s="8">
        <f ca="1">IFERROR(__xludf.DUMMYFUNCTION("""COMPUTED_VALUE"""),0)</f>
        <v>0</v>
      </c>
      <c r="H194" s="8">
        <f ca="1">IFERROR(__xludf.DUMMYFUNCTION("""COMPUTED_VALUE"""),2)</f>
        <v>2</v>
      </c>
      <c r="I194" s="8">
        <f ca="1">IFERROR(__xludf.DUMMYFUNCTION("""COMPUTED_VALUE"""),2)</f>
        <v>2</v>
      </c>
      <c r="J194" s="8">
        <f ca="1">IFERROR(__xludf.DUMMYFUNCTION("""COMPUTED_VALUE"""),1)</f>
        <v>1</v>
      </c>
      <c r="K194" s="8" t="str">
        <f ca="1">IFERROR(__xludf.DUMMYFUNCTION("""COMPUTED_VALUE"""),"https://www.bbc.com/news/articles/crl3njg544eo
https://www.cbsnews.com/sacramento/news/palermo-butte-county-feather-river-school-shooting/
https://fox40.com/news/local-news/butte-county/butte-county-school-shooting/butte-county-school-shooting-palermo-fea"&amp;"ther-river-adventist-school/")</f>
        <v>https://www.bbc.com/news/articles/crl3njg544eo
https://www.cbsnews.com/sacramento/news/palermo-butte-county-feather-river-school-shooting/
https://fox40.com/news/local-news/butte-county/butte-county-school-shooting/butte-county-school-shooting-palermo-feather-river-adventist-school/</v>
      </c>
      <c r="L194" s="8">
        <f ca="1">IFERROR(__xludf.DUMMYFUNCTION("""COMPUTED_VALUE"""),100)</f>
        <v>100</v>
      </c>
      <c r="M194" s="8" t="str">
        <f ca="1">IFERROR(__xludf.DUMMYFUNCTION("""COMPUTED_VALUE"""),"International")</f>
        <v>International</v>
      </c>
      <c r="N194" s="8">
        <f ca="1">IFERROR(__xludf.DUMMYFUNCTION("""COMPUTED_VALUE"""),4)</f>
        <v>4</v>
      </c>
      <c r="O194" s="8" t="str">
        <f ca="1">IFERROR(__xludf.DUMMYFUNCTION("""COMPUTED_VALUE"""),"Winter")</f>
        <v>Winter</v>
      </c>
      <c r="P194" s="8" t="str">
        <f ca="1">IFERROR(__xludf.DUMMYFUNCTION("""COMPUTED_VALUE"""),"Palermo")</f>
        <v>Palermo</v>
      </c>
      <c r="Q194" s="8" t="str">
        <f ca="1">IFERROR(__xludf.DUMMYFUNCTION("""COMPUTED_VALUE"""),"CA")</f>
        <v>CA</v>
      </c>
      <c r="R194" s="8" t="str">
        <f ca="1">IFERROR(__xludf.DUMMYFUNCTION("""COMPUTED_VALUE"""),"K-8")</f>
        <v>K-8</v>
      </c>
      <c r="S194" s="8" t="str">
        <f ca="1">IFERROR(__xludf.DUMMYFUNCTION("""COMPUTED_VALUE"""),"Playground")</f>
        <v>Playground</v>
      </c>
      <c r="T194" s="8" t="str">
        <f ca="1">IFERROR(__xludf.DUMMYFUNCTION("""COMPUTED_VALUE"""),"Outside on School Property")</f>
        <v>Outside on School Property</v>
      </c>
      <c r="U194" s="8" t="str">
        <f ca="1">IFERROR(__xludf.DUMMYFUNCTION("""COMPUTED_VALUE"""),"Yes")</f>
        <v>Yes</v>
      </c>
      <c r="V194" s="8" t="str">
        <f ca="1">IFERROR(__xludf.DUMMYFUNCTION("""COMPUTED_VALUE"""),"Afternoon Classes")</f>
        <v>Afternoon Classes</v>
      </c>
      <c r="W194" s="11">
        <f ca="1">IFERROR(__xludf.DUMMYFUNCTION("""COMPUTED_VALUE"""),0.541666666666666)</f>
        <v>0.54166666666666596</v>
      </c>
      <c r="X194" s="8">
        <f ca="1">IFERROR(__xludf.DUMMYFUNCTION("""COMPUTED_VALUE"""),1)</f>
        <v>1</v>
      </c>
      <c r="Y194" s="12" t="str">
        <f ca="1">IFERROR(__xludf.DUMMYFUNCTION("""COMPUTED_VALUE"""),"Man shot two students and then killed himself")</f>
        <v>Man shot two students and then killed himself</v>
      </c>
      <c r="Z194" s="12" t="str">
        <f ca="1">IFERROR(__xludf.DUMMYFUNCTION("""COMPUTED_VALUE"""),"An adult man shot two students and then killed himself at Feather River School of Seventh-Day Adventists in Palermo, a town of about 5,700 people south of Oroville, CA. Investigators believe the gunman targeted the Feather River School of Seventh-Day Adve"&amp;"ntists in Palermo, CA because of its affiliation with the church and he was motivated as a response to the war in Gaza. A note was found detailing the gunman's motive. The note said he sought to carry out the ""child executions"" as a ""response to Americ"&amp;"a's involvement with Genocide and Oppression of Palestinians along with the attacks towards Yemen"". Authorities said the gunman had a lengthy mental health and criminal history, which included charges of theft, fraud, and forgery over the years. Butte Co"&amp;"unty Sheriff said the 56-year-old gunman had scheduled a meeting with a school administrator to discuss enrolling a student. The meeting was seemingly cordial and he went on a tour, but things took a turn when the gunman walked towards a bathroom and star"&amp;"ted opening fire. The gunfire hit students outside a classroom, striking two kindergarten-aged children. The gunman then turned the handgun on himself, police said. He was found dead by first responders with the firearm near his body. The shooter attended"&amp;" a Seventh-day Adventist School in Paradise, California, many years ago and had a relative who attended the targeted school many years ago, investigators said. However, investigators said there is no current connection between the school and the suspect.")</f>
        <v>An adult man shot two students and then killed himself at Feather River School of Seventh-Day Adventists in Palermo, a town of about 5,700 people south of Oroville, CA. Investigators believe the gunman targeted the Feather River School of Seventh-Day Adventists in Palermo, CA because of its affiliation with the church and he was motivated as a response to the war in Gaza. A note was found detailing the gunman's motive. The note said he sought to carry out the "child executions" as a "response to America's involvement with Genocide and Oppression of Palestinians along with the attacks towards Yemen". Authorities said the gunman had a lengthy mental health and criminal history, which included charges of theft, fraud, and forgery over the years. Butte County Sheriff said the 56-year-old gunman had scheduled a meeting with a school administrator to discuss enrolling a student. The meeting was seemingly cordial and he went on a tour, but things took a turn when the gunman walked towards a bathroom and started opening fire. The gunfire hit students outside a classroom, striking two kindergarten-aged children. The gunman then turned the handgun on himself, police said. He was found dead by first responders with the firearm near his body. The shooter attended a Seventh-day Adventist School in Paradise, California, many years ago and had a relative who attended the targeted school many years ago, investigators said. However, investigators said there is no current connection between the school and the suspect.</v>
      </c>
      <c r="AA194" s="8" t="str">
        <f ca="1">IFERROR(__xludf.DUMMYFUNCTION("""COMPUTED_VALUE"""),"Indiscriminate Shooting")</f>
        <v>Indiscriminate Shooting</v>
      </c>
      <c r="AB194" s="8" t="str">
        <f ca="1">IFERROR(__xludf.DUMMYFUNCTION("""COMPUTED_VALUE"""),"Active Shooter/Planned Attack")</f>
        <v>Active Shooter/Planned Attack</v>
      </c>
      <c r="AC194" s="8" t="str">
        <f ca="1">IFERROR(__xludf.DUMMYFUNCTION("""COMPUTED_VALUE"""),"Yes")</f>
        <v>Yes</v>
      </c>
      <c r="AD194" s="8" t="str">
        <f ca="1">IFERROR(__xludf.DUMMYFUNCTION("""COMPUTED_VALUE"""),"Random Shooting")</f>
        <v>Random Shooting</v>
      </c>
      <c r="AE194" s="8" t="str">
        <f ca="1">IFERROR(__xludf.DUMMYFUNCTION("""COMPUTED_VALUE"""),"No")</f>
        <v>No</v>
      </c>
      <c r="AF194" s="8"/>
      <c r="AG194" s="8" t="str">
        <f ca="1">IFERROR(__xludf.DUMMYFUNCTION("""COMPUTED_VALUE"""),"No")</f>
        <v>No</v>
      </c>
      <c r="AH194" s="8" t="str">
        <f ca="1">IFERROR(__xludf.DUMMYFUNCTION("""COMPUTED_VALUE"""),"No")</f>
        <v>No</v>
      </c>
      <c r="AI194" s="8" t="str">
        <f ca="1">IFERROR(__xludf.DUMMYFUNCTION("""COMPUTED_VALUE"""),"No")</f>
        <v>No</v>
      </c>
      <c r="AJ194" s="8" t="str">
        <f ca="1">IFERROR(__xludf.DUMMYFUNCTION("""COMPUTED_VALUE"""),"No")</f>
        <v>No</v>
      </c>
      <c r="AK194" s="8" t="str">
        <f ca="1">IFERROR(__xludf.DUMMYFUNCTION("""COMPUTED_VALUE"""),"No")</f>
        <v>No</v>
      </c>
      <c r="AL194" s="8" t="str">
        <f ca="1">IFERROR(__xludf.DUMMYFUNCTION("""COMPUTED_VALUE"""),"No")</f>
        <v>No</v>
      </c>
      <c r="AM194" s="8" t="str">
        <f ca="1">IFERROR(__xludf.DUMMYFUNCTION("""COMPUTED_VALUE"""),"Yes")</f>
        <v>Yes</v>
      </c>
      <c r="AN194" s="8" t="str">
        <f ca="1">IFERROR(__xludf.DUMMYFUNCTION("""COMPUTED_VALUE"""),"Outside")</f>
        <v>Outside</v>
      </c>
      <c r="AO194" s="8" t="str">
        <f ca="1">IFERROR(__xludf.DUMMYFUNCTION("""COMPUTED_VALUE"""),"Yes")</f>
        <v>Yes</v>
      </c>
      <c r="AP194" s="8" t="str">
        <f ca="1">IFERROR(__xludf.DUMMYFUNCTION("""COMPUTED_VALUE"""),"No")</f>
        <v>No</v>
      </c>
      <c r="AQ194" s="8" t="str">
        <f ca="1">IFERROR(__xludf.DUMMYFUNCTION("""COMPUTED_VALUE"""),"None")</f>
        <v>None</v>
      </c>
      <c r="AR194" s="8" t="str">
        <f ca="1">IFERROR(__xludf.DUMMYFUNCTION("""COMPUTED_VALUE"""),"NA")</f>
        <v>NA</v>
      </c>
      <c r="AS194" s="8">
        <f ca="1">IFERROR(__xludf.DUMMYFUNCTION("""COMPUTED_VALUE"""),99)</f>
        <v>99</v>
      </c>
      <c r="AT194" s="8"/>
      <c r="AU194" s="8">
        <f ca="1">IFERROR(__xludf.DUMMYFUNCTION("""COMPUTED_VALUE"""),39.382884)</f>
        <v>39.382883999999997</v>
      </c>
      <c r="AV194" s="8">
        <f ca="1">IFERROR(__xludf.DUMMYFUNCTION("""COMPUTED_VALUE"""),-121.610443)</f>
        <v>-121.610443</v>
      </c>
      <c r="AW194" s="8" t="str">
        <f ca="1">IFERROR(__xludf.DUMMYFUNCTION("""COMPUTED_VALUE"""),"Multiple detached buildings")</f>
        <v>Multiple detached buildings</v>
      </c>
      <c r="AX194" s="8" t="str">
        <f ca="1">IFERROR(__xludf.DUMMYFUNCTION("""COMPUTED_VALUE"""),"95965-9660")</f>
        <v>95965-9660</v>
      </c>
    </row>
    <row r="195" spans="1:50" ht="90" x14ac:dyDescent="0.2">
      <c r="A195" s="8" t="str">
        <f ca="1">IFERROR(__xludf.DUMMYFUNCTION("""COMPUTED_VALUE"""),"20241203KSELE")</f>
        <v>20241203KSELE</v>
      </c>
      <c r="B195" s="8">
        <f ca="1">IFERROR(__xludf.DUMMYFUNCTION("""COMPUTED_VALUE"""),12)</f>
        <v>12</v>
      </c>
      <c r="C195" s="8">
        <f ca="1">IFERROR(__xludf.DUMMYFUNCTION("""COMPUTED_VALUE"""),3)</f>
        <v>3</v>
      </c>
      <c r="D195" s="8">
        <f ca="1">IFERROR(__xludf.DUMMYFUNCTION("""COMPUTED_VALUE"""),2024)</f>
        <v>2024</v>
      </c>
      <c r="E195" s="9">
        <f ca="1">IFERROR(__xludf.DUMMYFUNCTION("""COMPUTED_VALUE"""),45629)</f>
        <v>45629</v>
      </c>
      <c r="F195" s="8" t="str">
        <f ca="1">IFERROR(__xludf.DUMMYFUNCTION("""COMPUTED_VALUE"""),"Ellis High School")</f>
        <v>Ellis High School</v>
      </c>
      <c r="G195" s="8">
        <f ca="1">IFERROR(__xludf.DUMMYFUNCTION("""COMPUTED_VALUE"""),0)</f>
        <v>0</v>
      </c>
      <c r="H195" s="8">
        <f ca="1">IFERROR(__xludf.DUMMYFUNCTION("""COMPUTED_VALUE"""),0)</f>
        <v>0</v>
      </c>
      <c r="I195" s="8">
        <f ca="1">IFERROR(__xludf.DUMMYFUNCTION("""COMPUTED_VALUE"""),0)</f>
        <v>0</v>
      </c>
      <c r="J195" s="8">
        <f ca="1">IFERROR(__xludf.DUMMYFUNCTION("""COMPUTED_VALUE"""),1)</f>
        <v>1</v>
      </c>
      <c r="K195" s="10" t="str">
        <f ca="1">IFERROR(__xludf.DUMMYFUNCTION("""COMPUTED_VALUE"""),"https://www.kwch.com/2024/12/03/ellis-police-department-deadly-shooting-high-school-football-field-believed-be-self-inflicted/
https://hayspost.com/posts/05bd50bb-d91b-48e8-ae71-be2770a24dcf")</f>
        <v>https://www.kwch.com/2024/12/03/ellis-police-department-deadly-shooting-high-school-football-field-believed-be-self-inflicted/
https://hayspost.com/posts/05bd50bb-d91b-48e8-ae71-be2770a24dcf</v>
      </c>
      <c r="L195" s="8">
        <f ca="1">IFERROR(__xludf.DUMMYFUNCTION("""COMPUTED_VALUE"""),2)</f>
        <v>2</v>
      </c>
      <c r="M195" s="8" t="str">
        <f ca="1">IFERROR(__xludf.DUMMYFUNCTION("""COMPUTED_VALUE"""),"Local")</f>
        <v>Local</v>
      </c>
      <c r="N195" s="8">
        <f ca="1">IFERROR(__xludf.DUMMYFUNCTION("""COMPUTED_VALUE"""),4)</f>
        <v>4</v>
      </c>
      <c r="O195" s="8" t="str">
        <f ca="1">IFERROR(__xludf.DUMMYFUNCTION("""COMPUTED_VALUE"""),"Winter")</f>
        <v>Winter</v>
      </c>
      <c r="P195" s="8" t="str">
        <f ca="1">IFERROR(__xludf.DUMMYFUNCTION("""COMPUTED_VALUE"""),"Ellis")</f>
        <v>Ellis</v>
      </c>
      <c r="Q195" s="8" t="str">
        <f ca="1">IFERROR(__xludf.DUMMYFUNCTION("""COMPUTED_VALUE"""),"KS")</f>
        <v>KS</v>
      </c>
      <c r="R195" s="8" t="str">
        <f ca="1">IFERROR(__xludf.DUMMYFUNCTION("""COMPUTED_VALUE"""),"High")</f>
        <v>High</v>
      </c>
      <c r="S195" s="8" t="str">
        <f ca="1">IFERROR(__xludf.DUMMYFUNCTION("""COMPUTED_VALUE"""),"Football Field/Track")</f>
        <v>Football Field/Track</v>
      </c>
      <c r="T195" s="8" t="str">
        <f ca="1">IFERROR(__xludf.DUMMYFUNCTION("""COMPUTED_VALUE"""),"Outside on School Property")</f>
        <v>Outside on School Property</v>
      </c>
      <c r="U195" s="8" t="str">
        <f ca="1">IFERROR(__xludf.DUMMYFUNCTION("""COMPUTED_VALUE"""),"No")</f>
        <v>No</v>
      </c>
      <c r="V195" s="8" t="str">
        <f ca="1">IFERROR(__xludf.DUMMYFUNCTION("""COMPUTED_VALUE"""),"Evening")</f>
        <v>Evening</v>
      </c>
      <c r="W195" s="11">
        <f ca="1">IFERROR(__xludf.DUMMYFUNCTION("""COMPUTED_VALUE"""),0.804861111111111)</f>
        <v>0.80486111111111103</v>
      </c>
      <c r="X195" s="8">
        <f ca="1">IFERROR(__xludf.DUMMYFUNCTION("""COMPUTED_VALUE"""),1)</f>
        <v>1</v>
      </c>
      <c r="Y195" s="12" t="str">
        <f ca="1">IFERROR(__xludf.DUMMYFUNCTION("""COMPUTED_VALUE"""),"Community member commit suicide on football field")</f>
        <v>Community member commit suicide on football field</v>
      </c>
      <c r="Z195" s="12" t="str">
        <f ca="1">IFERROR(__xludf.DUMMYFUNCTION("""COMPUTED_VALUE"""),"At 7:19 p.m., the community member was located by an Ellis Police Officer, deceased from an apparent self-inflicted gunshot wound at the Ellis High School football field in the 400 block of West 10th Street in Ellis. No foul play is suspected at this time"&amp;", and there is no threat to community safety.")</f>
        <v>At 7:19 p.m., the community member was located by an Ellis Police Officer, deceased from an apparent self-inflicted gunshot wound at the Ellis High School football field in the 400 block of West 10th Street in Ellis. No foul play is suspected at this time, and there is no threat to community safety.</v>
      </c>
      <c r="AA195" s="8" t="str">
        <f ca="1">IFERROR(__xludf.DUMMYFUNCTION("""COMPUTED_VALUE"""),"Suicide/Attempted")</f>
        <v>Suicide/Attempted</v>
      </c>
      <c r="AB195" s="8" t="str">
        <f ca="1">IFERROR(__xludf.DUMMYFUNCTION("""COMPUTED_VALUE"""),"Targeted")</f>
        <v>Targeted</v>
      </c>
      <c r="AC195" s="8" t="str">
        <f ca="1">IFERROR(__xludf.DUMMYFUNCTION("""COMPUTED_VALUE"""),"No")</f>
        <v>No</v>
      </c>
      <c r="AD195" s="8" t="str">
        <f ca="1">IFERROR(__xludf.DUMMYFUNCTION("""COMPUTED_VALUE"""),"Victims Targeted")</f>
        <v>Victims Targeted</v>
      </c>
      <c r="AE195" s="8" t="str">
        <f ca="1">IFERROR(__xludf.DUMMYFUNCTION("""COMPUTED_VALUE"""),"No")</f>
        <v>No</v>
      </c>
      <c r="AF195" s="8"/>
      <c r="AG195" s="8" t="str">
        <f ca="1">IFERROR(__xludf.DUMMYFUNCTION("""COMPUTED_VALUE"""),"No")</f>
        <v>No</v>
      </c>
      <c r="AH195" s="8" t="str">
        <f ca="1">IFERROR(__xludf.DUMMYFUNCTION("""COMPUTED_VALUE"""),"No")</f>
        <v>No</v>
      </c>
      <c r="AI195" s="8" t="str">
        <f ca="1">IFERROR(__xludf.DUMMYFUNCTION("""COMPUTED_VALUE"""),"No")</f>
        <v>No</v>
      </c>
      <c r="AJ195" s="8" t="str">
        <f ca="1">IFERROR(__xludf.DUMMYFUNCTION("""COMPUTED_VALUE"""),"No")</f>
        <v>No</v>
      </c>
      <c r="AK195" s="8" t="str">
        <f ca="1">IFERROR(__xludf.DUMMYFUNCTION("""COMPUTED_VALUE"""),"No")</f>
        <v>No</v>
      </c>
      <c r="AL195" s="8" t="str">
        <f ca="1">IFERROR(__xludf.DUMMYFUNCTION("""COMPUTED_VALUE"""),"No")</f>
        <v>No</v>
      </c>
      <c r="AM195" s="8" t="str">
        <f ca="1">IFERROR(__xludf.DUMMYFUNCTION("""COMPUTED_VALUE"""),"No")</f>
        <v>No</v>
      </c>
      <c r="AN195" s="8" t="str">
        <f ca="1">IFERROR(__xludf.DUMMYFUNCTION("""COMPUTED_VALUE"""),"Outside")</f>
        <v>Outside</v>
      </c>
      <c r="AO195" s="8" t="str">
        <f ca="1">IFERROR(__xludf.DUMMYFUNCTION("""COMPUTED_VALUE"""),"No")</f>
        <v>No</v>
      </c>
      <c r="AP195" s="8"/>
      <c r="AQ195" s="8"/>
      <c r="AR195" s="8" t="str">
        <f ca="1">IFERROR(__xludf.DUMMYFUNCTION("""COMPUTED_VALUE"""),"Outside/Off-Property")</f>
        <v>Outside/Off-Property</v>
      </c>
      <c r="AS195" s="8">
        <f ca="1">IFERROR(__xludf.DUMMYFUNCTION("""COMPUTED_VALUE"""),1)</f>
        <v>1</v>
      </c>
      <c r="AT195" s="8" t="str">
        <f ca="1">IFERROR(__xludf.DUMMYFUNCTION("""COMPUTED_VALUE"""),"No")</f>
        <v>No</v>
      </c>
      <c r="AU195" s="8">
        <f ca="1">IFERROR(__xludf.DUMMYFUNCTION("""COMPUTED_VALUE"""),38.92937)</f>
        <v>38.929369999999999</v>
      </c>
      <c r="AV195" s="8">
        <f ca="1">IFERROR(__xludf.DUMMYFUNCTION("""COMPUTED_VALUE"""),-99.558777)</f>
        <v>-99.558777000000006</v>
      </c>
      <c r="AW195" s="8" t="str">
        <f ca="1">IFERROR(__xludf.DUMMYFUNCTION("""COMPUTED_VALUE"""),"Single building indoor hallway")</f>
        <v>Single building indoor hallway</v>
      </c>
      <c r="AX195" s="8">
        <f ca="1">IFERROR(__xludf.DUMMYFUNCTION("""COMPUTED_VALUE"""),67637)</f>
        <v>67637</v>
      </c>
    </row>
    <row r="196" spans="1:50" ht="60" x14ac:dyDescent="0.2">
      <c r="A196" s="8" t="str">
        <f ca="1">IFERROR(__xludf.DUMMYFUNCTION("""COMPUTED_VALUE"""),"20241126IDORO")</f>
        <v>20241126IDORO</v>
      </c>
      <c r="B196" s="8">
        <f ca="1">IFERROR(__xludf.DUMMYFUNCTION("""COMPUTED_VALUE"""),11)</f>
        <v>11</v>
      </c>
      <c r="C196" s="8">
        <f ca="1">IFERROR(__xludf.DUMMYFUNCTION("""COMPUTED_VALUE"""),26)</f>
        <v>26</v>
      </c>
      <c r="D196" s="8">
        <f ca="1">IFERROR(__xludf.DUMMYFUNCTION("""COMPUTED_VALUE"""),2024)</f>
        <v>2024</v>
      </c>
      <c r="E196" s="9">
        <f ca="1">IFERROR(__xludf.DUMMYFUNCTION("""COMPUTED_VALUE"""),45622)</f>
        <v>45622</v>
      </c>
      <c r="F196" s="8" t="str">
        <f ca="1">IFERROR(__xludf.DUMMYFUNCTION("""COMPUTED_VALUE"""),"Orofino Elementary School")</f>
        <v>Orofino Elementary School</v>
      </c>
      <c r="G196" s="8">
        <f ca="1">IFERROR(__xludf.DUMMYFUNCTION("""COMPUTED_VALUE"""),0)</f>
        <v>0</v>
      </c>
      <c r="H196" s="8">
        <f ca="1">IFERROR(__xludf.DUMMYFUNCTION("""COMPUTED_VALUE"""),0)</f>
        <v>0</v>
      </c>
      <c r="I196" s="8">
        <f ca="1">IFERROR(__xludf.DUMMYFUNCTION("""COMPUTED_VALUE"""),0)</f>
        <v>0</v>
      </c>
      <c r="J196" s="8">
        <f ca="1">IFERROR(__xludf.DUMMYFUNCTION("""COMPUTED_VALUE"""),0)</f>
        <v>0</v>
      </c>
      <c r="K196" s="10" t="str">
        <f ca="1">IFERROR(__xludf.DUMMYFUNCTION("""COMPUTED_VALUE"""),"https://idfg.idaho.gov/article/white-tailed-deer-shot-orofino-elementary-parking-lot-nov-26")</f>
        <v>https://idfg.idaho.gov/article/white-tailed-deer-shot-orofino-elementary-parking-lot-nov-26</v>
      </c>
      <c r="L196" s="8">
        <f ca="1">IFERROR(__xludf.DUMMYFUNCTION("""COMPUTED_VALUE"""),5)</f>
        <v>5</v>
      </c>
      <c r="M196" s="8" t="str">
        <f ca="1">IFERROR(__xludf.DUMMYFUNCTION("""COMPUTED_VALUE"""),"Regional")</f>
        <v>Regional</v>
      </c>
      <c r="N196" s="8">
        <f ca="1">IFERROR(__xludf.DUMMYFUNCTION("""COMPUTED_VALUE"""),5)</f>
        <v>5</v>
      </c>
      <c r="O196" s="8" t="str">
        <f ca="1">IFERROR(__xludf.DUMMYFUNCTION("""COMPUTED_VALUE"""),"Fall")</f>
        <v>Fall</v>
      </c>
      <c r="P196" s="8" t="str">
        <f ca="1">IFERROR(__xludf.DUMMYFUNCTION("""COMPUTED_VALUE"""),"Orofino")</f>
        <v>Orofino</v>
      </c>
      <c r="Q196" s="8" t="str">
        <f ca="1">IFERROR(__xludf.DUMMYFUNCTION("""COMPUTED_VALUE"""),"ID")</f>
        <v>ID</v>
      </c>
      <c r="R196" s="8" t="str">
        <f ca="1">IFERROR(__xludf.DUMMYFUNCTION("""COMPUTED_VALUE"""),"Elementary")</f>
        <v>Elementary</v>
      </c>
      <c r="S196" s="8" t="str">
        <f ca="1">IFERROR(__xludf.DUMMYFUNCTION("""COMPUTED_VALUE"""),"Parking Lot")</f>
        <v>Parking Lot</v>
      </c>
      <c r="T196" s="8" t="str">
        <f ca="1">IFERROR(__xludf.DUMMYFUNCTION("""COMPUTED_VALUE"""),"Outside on School Property")</f>
        <v>Outside on School Property</v>
      </c>
      <c r="U196" s="8" t="str">
        <f ca="1">IFERROR(__xludf.DUMMYFUNCTION("""COMPUTED_VALUE"""),"No")</f>
        <v>No</v>
      </c>
      <c r="V196" s="8" t="str">
        <f ca="1">IFERROR(__xludf.DUMMYFUNCTION("""COMPUTED_VALUE"""),"Night")</f>
        <v>Night</v>
      </c>
      <c r="W196" s="8"/>
      <c r="X196" s="8">
        <f ca="1">IFERROR(__xludf.DUMMYFUNCTION("""COMPUTED_VALUE"""),1)</f>
        <v>1</v>
      </c>
      <c r="Y196" s="12" t="str">
        <f ca="1">IFERROR(__xludf.DUMMYFUNCTION("""COMPUTED_VALUE"""),"Man shot deer in school parking lot")</f>
        <v>Man shot deer in school parking lot</v>
      </c>
      <c r="Z196" s="12" t="str">
        <f ca="1">IFERROR(__xludf.DUMMYFUNCTION("""COMPUTED_VALUE"""),"Idaho Fish and Game is looking for information regarding the shooting of a white-tailed deer in the parking lot of the Orofino Elementary at 1000 Michigan Ave, Orofino, ID during the evening hours of November 26th, 2024. ")</f>
        <v xml:space="preserve">Idaho Fish and Game is looking for information regarding the shooting of a white-tailed deer in the parking lot of the Orofino Elementary at 1000 Michigan Ave, Orofino, ID during the evening hours of November 26th, 2024. </v>
      </c>
      <c r="AA196" s="8" t="str">
        <f ca="1">IFERROR(__xludf.DUMMYFUNCTION("""COMPUTED_VALUE"""),"Illegal Activity")</f>
        <v>Illegal Activity</v>
      </c>
      <c r="AB196" s="8"/>
      <c r="AC196" s="8" t="str">
        <f ca="1">IFERROR(__xludf.DUMMYFUNCTION("""COMPUTED_VALUE"""),"No")</f>
        <v>No</v>
      </c>
      <c r="AD196" s="8" t="str">
        <f ca="1">IFERROR(__xludf.DUMMYFUNCTION("""COMPUTED_VALUE"""),"Neither")</f>
        <v>Neither</v>
      </c>
      <c r="AE196" s="8" t="str">
        <f ca="1">IFERROR(__xludf.DUMMYFUNCTION("""COMPUTED_VALUE"""),"No")</f>
        <v>No</v>
      </c>
      <c r="AF196" s="8"/>
      <c r="AG196" s="8" t="str">
        <f ca="1">IFERROR(__xludf.DUMMYFUNCTION("""COMPUTED_VALUE"""),"No")</f>
        <v>No</v>
      </c>
      <c r="AH196" s="8" t="str">
        <f ca="1">IFERROR(__xludf.DUMMYFUNCTION("""COMPUTED_VALUE"""),"No")</f>
        <v>No</v>
      </c>
      <c r="AI196" s="8" t="str">
        <f ca="1">IFERROR(__xludf.DUMMYFUNCTION("""COMPUTED_VALUE"""),"No")</f>
        <v>No</v>
      </c>
      <c r="AJ196" s="8" t="str">
        <f ca="1">IFERROR(__xludf.DUMMYFUNCTION("""COMPUTED_VALUE"""),"No")</f>
        <v>No</v>
      </c>
      <c r="AK196" s="8" t="str">
        <f ca="1">IFERROR(__xludf.DUMMYFUNCTION("""COMPUTED_VALUE"""),"No")</f>
        <v>No</v>
      </c>
      <c r="AL196" s="8" t="str">
        <f ca="1">IFERROR(__xludf.DUMMYFUNCTION("""COMPUTED_VALUE"""),"No")</f>
        <v>No</v>
      </c>
      <c r="AM196" s="8" t="str">
        <f ca="1">IFERROR(__xludf.DUMMYFUNCTION("""COMPUTED_VALUE"""),"No")</f>
        <v>No</v>
      </c>
      <c r="AN196" s="8" t="str">
        <f ca="1">IFERROR(__xludf.DUMMYFUNCTION("""COMPUTED_VALUE"""),"Outside")</f>
        <v>Outside</v>
      </c>
      <c r="AO196" s="8" t="str">
        <f ca="1">IFERROR(__xludf.DUMMYFUNCTION("""COMPUTED_VALUE"""),"No")</f>
        <v>No</v>
      </c>
      <c r="AP196" s="8"/>
      <c r="AQ196" s="8"/>
      <c r="AR196" s="8" t="str">
        <f ca="1">IFERROR(__xludf.DUMMYFUNCTION("""COMPUTED_VALUE"""),"Outside/Off-Property")</f>
        <v>Outside/Off-Property</v>
      </c>
      <c r="AS196" s="8">
        <f ca="1">IFERROR(__xludf.DUMMYFUNCTION("""COMPUTED_VALUE"""),99)</f>
        <v>99</v>
      </c>
      <c r="AT196" s="8" t="str">
        <f ca="1">IFERROR(__xludf.DUMMYFUNCTION("""COMPUTED_VALUE"""),"No")</f>
        <v>No</v>
      </c>
      <c r="AU196" s="8">
        <f ca="1">IFERROR(__xludf.DUMMYFUNCTION("""COMPUTED_VALUE"""),46.484251)</f>
        <v>46.484251</v>
      </c>
      <c r="AV196" s="8">
        <f ca="1">IFERROR(__xludf.DUMMYFUNCTION("""COMPUTED_VALUE"""),-116.244354)</f>
        <v>-116.244354</v>
      </c>
      <c r="AW196" s="8" t="str">
        <f ca="1">IFERROR(__xludf.DUMMYFUNCTION("""COMPUTED_VALUE"""),"Single building indoor hallway")</f>
        <v>Single building indoor hallway</v>
      </c>
      <c r="AX196" s="8">
        <f ca="1">IFERROR(__xludf.DUMMYFUNCTION("""COMPUTED_VALUE"""),83544)</f>
        <v>83544</v>
      </c>
    </row>
    <row r="197" spans="1:50" ht="45" x14ac:dyDescent="0.2">
      <c r="A197" s="8" t="str">
        <f ca="1">IFERROR(__xludf.DUMMYFUNCTION("""COMPUTED_VALUE"""),"20241126NYHER")</f>
        <v>20241126NYHER</v>
      </c>
      <c r="B197" s="8">
        <f ca="1">IFERROR(__xludf.DUMMYFUNCTION("""COMPUTED_VALUE"""),11)</f>
        <v>11</v>
      </c>
      <c r="C197" s="8">
        <f ca="1">IFERROR(__xludf.DUMMYFUNCTION("""COMPUTED_VALUE"""),26)</f>
        <v>26</v>
      </c>
      <c r="D197" s="8">
        <f ca="1">IFERROR(__xludf.DUMMYFUNCTION("""COMPUTED_VALUE"""),2024)</f>
        <v>2024</v>
      </c>
      <c r="E197" s="9">
        <f ca="1">IFERROR(__xludf.DUMMYFUNCTION("""COMPUTED_VALUE"""),45622)</f>
        <v>45622</v>
      </c>
      <c r="F197" s="8" t="str">
        <f ca="1">IFERROR(__xludf.DUMMYFUNCTION("""COMPUTED_VALUE"""),"Helen Barrett Montgomery School No. 50")</f>
        <v>Helen Barrett Montgomery School No. 50</v>
      </c>
      <c r="G197" s="8">
        <f ca="1">IFERROR(__xludf.DUMMYFUNCTION("""COMPUTED_VALUE"""),1)</f>
        <v>1</v>
      </c>
      <c r="H197" s="8">
        <f ca="1">IFERROR(__xludf.DUMMYFUNCTION("""COMPUTED_VALUE"""),0)</f>
        <v>0</v>
      </c>
      <c r="I197" s="8">
        <f ca="1">IFERROR(__xludf.DUMMYFUNCTION("""COMPUTED_VALUE"""),1)</f>
        <v>1</v>
      </c>
      <c r="J197" s="8">
        <f ca="1">IFERROR(__xludf.DUMMYFUNCTION("""COMPUTED_VALUE"""),0)</f>
        <v>0</v>
      </c>
      <c r="K197" s="10" t="str">
        <f ca="1">IFERROR(__xludf.DUMMYFUNCTION("""COMPUTED_VALUE"""),"https://13wham.com/news/local/man-20-shot-to-death-near-rochesters-helen-barrett-montgomery-school-no-50-seneca-avenue-shooting-homicide-rochester-police-department
https://www.10tv.com/article/news/crime/weinland-park-shooting-north-4th-street-columbus-s"&amp;"uspect-arrested/530-fbe47df5-dab0-4c2a-9b18-bc236f81a32c")</f>
        <v>https://13wham.com/news/local/man-20-shot-to-death-near-rochesters-helen-barrett-montgomery-school-no-50-seneca-avenue-shooting-homicide-rochester-police-department
https://www.10tv.com/article/news/crime/weinland-park-shooting-north-4th-street-columbus-suspect-arrested/530-fbe47df5-dab0-4c2a-9b18-bc236f81a32c</v>
      </c>
      <c r="L197" s="8">
        <f ca="1">IFERROR(__xludf.DUMMYFUNCTION("""COMPUTED_VALUE"""),2)</f>
        <v>2</v>
      </c>
      <c r="M197" s="8" t="str">
        <f ca="1">IFERROR(__xludf.DUMMYFUNCTION("""COMPUTED_VALUE"""),"Local")</f>
        <v>Local</v>
      </c>
      <c r="N197" s="8">
        <f ca="1">IFERROR(__xludf.DUMMYFUNCTION("""COMPUTED_VALUE"""),4)</f>
        <v>4</v>
      </c>
      <c r="O197" s="8" t="str">
        <f ca="1">IFERROR(__xludf.DUMMYFUNCTION("""COMPUTED_VALUE"""),"Fall")</f>
        <v>Fall</v>
      </c>
      <c r="P197" s="8" t="str">
        <f ca="1">IFERROR(__xludf.DUMMYFUNCTION("""COMPUTED_VALUE"""),"Rochester")</f>
        <v>Rochester</v>
      </c>
      <c r="Q197" s="8" t="str">
        <f ca="1">IFERROR(__xludf.DUMMYFUNCTION("""COMPUTED_VALUE"""),"NY")</f>
        <v>NY</v>
      </c>
      <c r="R197" s="8" t="str">
        <f ca="1">IFERROR(__xludf.DUMMYFUNCTION("""COMPUTED_VALUE"""),"Elementary")</f>
        <v>Elementary</v>
      </c>
      <c r="S197" s="8" t="str">
        <f ca="1">IFERROR(__xludf.DUMMYFUNCTION("""COMPUTED_VALUE"""),"Front of School")</f>
        <v>Front of School</v>
      </c>
      <c r="T197" s="8" t="str">
        <f ca="1">IFERROR(__xludf.DUMMYFUNCTION("""COMPUTED_VALUE"""),"Outside on School Property")</f>
        <v>Outside on School Property</v>
      </c>
      <c r="U197" s="8" t="str">
        <f ca="1">IFERROR(__xludf.DUMMYFUNCTION("""COMPUTED_VALUE"""),"Yes")</f>
        <v>Yes</v>
      </c>
      <c r="V197" s="8" t="str">
        <f ca="1">IFERROR(__xludf.DUMMYFUNCTION("""COMPUTED_VALUE"""),"Dismissal")</f>
        <v>Dismissal</v>
      </c>
      <c r="W197" s="11">
        <f ca="1">IFERROR(__xludf.DUMMYFUNCTION("""COMPUTED_VALUE"""),0.666666666666666)</f>
        <v>0.66666666666666596</v>
      </c>
      <c r="X197" s="8">
        <f ca="1">IFERROR(__xludf.DUMMYFUNCTION("""COMPUTED_VALUE"""),1)</f>
        <v>1</v>
      </c>
      <c r="Y197" s="12" t="str">
        <f ca="1">IFERROR(__xludf.DUMMYFUNCTION("""COMPUTED_VALUE"""),"Man fatally shot in front of school following dispute")</f>
        <v>Man fatally shot in front of school following dispute</v>
      </c>
      <c r="Z197" s="12" t="str">
        <f ca="1">IFERROR(__xludf.DUMMYFUNCTION("""COMPUTED_VALUE"""),"20-year-old man was fatally shot in driveway in front of the school. Staff were inside the building. No students were present when the shooting occurred. Shooter fled.")</f>
        <v>20-year-old man was fatally shot in driveway in front of the school. Staff were inside the building. No students were present when the shooting occurred. Shooter fled.</v>
      </c>
      <c r="AA197" s="8" t="str">
        <f ca="1">IFERROR(__xludf.DUMMYFUNCTION("""COMPUTED_VALUE"""),"Escalation of Dispute")</f>
        <v>Escalation of Dispute</v>
      </c>
      <c r="AB197" s="8" t="str">
        <f ca="1">IFERROR(__xludf.DUMMYFUNCTION("""COMPUTED_VALUE"""),"Targeted")</f>
        <v>Targeted</v>
      </c>
      <c r="AC197" s="8" t="str">
        <f ca="1">IFERROR(__xludf.DUMMYFUNCTION("""COMPUTED_VALUE"""),"Yes")</f>
        <v>Yes</v>
      </c>
      <c r="AD197" s="8" t="str">
        <f ca="1">IFERROR(__xludf.DUMMYFUNCTION("""COMPUTED_VALUE"""),"Victims Targeted")</f>
        <v>Victims Targeted</v>
      </c>
      <c r="AE197" s="8" t="str">
        <f ca="1">IFERROR(__xludf.DUMMYFUNCTION("""COMPUTED_VALUE"""),"No")</f>
        <v>No</v>
      </c>
      <c r="AF197" s="8"/>
      <c r="AG197" s="8" t="str">
        <f ca="1">IFERROR(__xludf.DUMMYFUNCTION("""COMPUTED_VALUE"""),"No")</f>
        <v>No</v>
      </c>
      <c r="AH197" s="8" t="str">
        <f ca="1">IFERROR(__xludf.DUMMYFUNCTION("""COMPUTED_VALUE"""),"No")</f>
        <v>No</v>
      </c>
      <c r="AI197" s="8" t="str">
        <f ca="1">IFERROR(__xludf.DUMMYFUNCTION("""COMPUTED_VALUE"""),"No")</f>
        <v>No</v>
      </c>
      <c r="AJ197" s="8" t="str">
        <f ca="1">IFERROR(__xludf.DUMMYFUNCTION("""COMPUTED_VALUE"""),"No")</f>
        <v>No</v>
      </c>
      <c r="AK197" s="8" t="str">
        <f ca="1">IFERROR(__xludf.DUMMYFUNCTION("""COMPUTED_VALUE"""),"No")</f>
        <v>No</v>
      </c>
      <c r="AL197" s="8" t="str">
        <f ca="1">IFERROR(__xludf.DUMMYFUNCTION("""COMPUTED_VALUE"""),"No")</f>
        <v>No</v>
      </c>
      <c r="AM197" s="8" t="str">
        <f ca="1">IFERROR(__xludf.DUMMYFUNCTION("""COMPUTED_VALUE"""),"No")</f>
        <v>No</v>
      </c>
      <c r="AN197" s="8" t="str">
        <f ca="1">IFERROR(__xludf.DUMMYFUNCTION("""COMPUTED_VALUE"""),"Outside")</f>
        <v>Outside</v>
      </c>
      <c r="AO197" s="8" t="str">
        <f ca="1">IFERROR(__xludf.DUMMYFUNCTION("""COMPUTED_VALUE"""),"No")</f>
        <v>No</v>
      </c>
      <c r="AP197" s="8"/>
      <c r="AQ197" s="8"/>
      <c r="AR197" s="8" t="str">
        <f ca="1">IFERROR(__xludf.DUMMYFUNCTION("""COMPUTED_VALUE"""),"Outside/Off-Property")</f>
        <v>Outside/Off-Property</v>
      </c>
      <c r="AS197" s="8">
        <f ca="1">IFERROR(__xludf.DUMMYFUNCTION("""COMPUTED_VALUE"""),99)</f>
        <v>99</v>
      </c>
      <c r="AT197" s="8"/>
      <c r="AU197" s="8">
        <f ca="1">IFERROR(__xludf.DUMMYFUNCTION("""COMPUTED_VALUE"""),43.193523)</f>
        <v>43.193522999999999</v>
      </c>
      <c r="AV197" s="8">
        <f ca="1">IFERROR(__xludf.DUMMYFUNCTION("""COMPUTED_VALUE"""),-77.609413)</f>
        <v>-77.609413000000004</v>
      </c>
      <c r="AW197" s="8" t="str">
        <f ca="1">IFERROR(__xludf.DUMMYFUNCTION("""COMPUTED_VALUE"""),"Single building indoor hallway")</f>
        <v>Single building indoor hallway</v>
      </c>
      <c r="AX197" s="8">
        <f ca="1">IFERROR(__xludf.DUMMYFUNCTION("""COMPUTED_VALUE"""),14617)</f>
        <v>14617</v>
      </c>
    </row>
    <row r="198" spans="1:50" ht="45" x14ac:dyDescent="0.2">
      <c r="A198" s="8" t="str">
        <f ca="1">IFERROR(__xludf.DUMMYFUNCTION("""COMPUTED_VALUE"""),"20241125OHWEC")</f>
        <v>20241125OHWEC</v>
      </c>
      <c r="B198" s="8">
        <f ca="1">IFERROR(__xludf.DUMMYFUNCTION("""COMPUTED_VALUE"""),11)</f>
        <v>11</v>
      </c>
      <c r="C198" s="8">
        <f ca="1">IFERROR(__xludf.DUMMYFUNCTION("""COMPUTED_VALUE"""),25)</f>
        <v>25</v>
      </c>
      <c r="D198" s="8">
        <f ca="1">IFERROR(__xludf.DUMMYFUNCTION("""COMPUTED_VALUE"""),2024)</f>
        <v>2024</v>
      </c>
      <c r="E198" s="9">
        <f ca="1">IFERROR(__xludf.DUMMYFUNCTION("""COMPUTED_VALUE"""),45621)</f>
        <v>45621</v>
      </c>
      <c r="F198" s="8" t="str">
        <f ca="1">IFERROR(__xludf.DUMMYFUNCTION("""COMPUTED_VALUE"""),"Weinland Park Elementary School")</f>
        <v>Weinland Park Elementary School</v>
      </c>
      <c r="G198" s="8">
        <f ca="1">IFERROR(__xludf.DUMMYFUNCTION("""COMPUTED_VALUE"""),1)</f>
        <v>1</v>
      </c>
      <c r="H198" s="8">
        <f ca="1">IFERROR(__xludf.DUMMYFUNCTION("""COMPUTED_VALUE"""),0)</f>
        <v>0</v>
      </c>
      <c r="I198" s="8">
        <f ca="1">IFERROR(__xludf.DUMMYFUNCTION("""COMPUTED_VALUE"""),1)</f>
        <v>1</v>
      </c>
      <c r="J198" s="8">
        <f ca="1">IFERROR(__xludf.DUMMYFUNCTION("""COMPUTED_VALUE"""),0)</f>
        <v>0</v>
      </c>
      <c r="K198" s="10" t="str">
        <f ca="1">IFERROR(__xludf.DUMMYFUNCTION("""COMPUTED_VALUE"""),"https://www.nbc4i.com/news/local-news/columbus/one-dead-in-downtown-columbus-shooting/")</f>
        <v>https://www.nbc4i.com/news/local-news/columbus/one-dead-in-downtown-columbus-shooting/</v>
      </c>
      <c r="L198" s="8">
        <f ca="1">IFERROR(__xludf.DUMMYFUNCTION("""COMPUTED_VALUE"""),1)</f>
        <v>1</v>
      </c>
      <c r="M198" s="8" t="str">
        <f ca="1">IFERROR(__xludf.DUMMYFUNCTION("""COMPUTED_VALUE"""),"Local")</f>
        <v>Local</v>
      </c>
      <c r="N198" s="8">
        <f ca="1">IFERROR(__xludf.DUMMYFUNCTION("""COMPUTED_VALUE"""),3)</f>
        <v>3</v>
      </c>
      <c r="O198" s="8" t="str">
        <f ca="1">IFERROR(__xludf.DUMMYFUNCTION("""COMPUTED_VALUE"""),"Fall")</f>
        <v>Fall</v>
      </c>
      <c r="P198" s="8" t="str">
        <f ca="1">IFERROR(__xludf.DUMMYFUNCTION("""COMPUTED_VALUE"""),"Columbus")</f>
        <v>Columbus</v>
      </c>
      <c r="Q198" s="8" t="str">
        <f ca="1">IFERROR(__xludf.DUMMYFUNCTION("""COMPUTED_VALUE"""),"OH")</f>
        <v>OH</v>
      </c>
      <c r="R198" s="8" t="str">
        <f ca="1">IFERROR(__xludf.DUMMYFUNCTION("""COMPUTED_VALUE"""),"Elementary")</f>
        <v>Elementary</v>
      </c>
      <c r="S198" s="8" t="str">
        <f ca="1">IFERROR(__xludf.DUMMYFUNCTION("""COMPUTED_VALUE"""),"Beside Building")</f>
        <v>Beside Building</v>
      </c>
      <c r="T198" s="8" t="str">
        <f ca="1">IFERROR(__xludf.DUMMYFUNCTION("""COMPUTED_VALUE"""),"Outside on School Property")</f>
        <v>Outside on School Property</v>
      </c>
      <c r="U198" s="8" t="str">
        <f ca="1">IFERROR(__xludf.DUMMYFUNCTION("""COMPUTED_VALUE"""),"No")</f>
        <v>No</v>
      </c>
      <c r="V198" s="8" t="str">
        <f ca="1">IFERROR(__xludf.DUMMYFUNCTION("""COMPUTED_VALUE"""),"Evening")</f>
        <v>Evening</v>
      </c>
      <c r="W198" s="11">
        <f ca="1">IFERROR(__xludf.DUMMYFUNCTION("""COMPUTED_VALUE"""),0.853472222222222)</f>
        <v>0.85347222222222197</v>
      </c>
      <c r="X198" s="8">
        <f ca="1">IFERROR(__xludf.DUMMYFUNCTION("""COMPUTED_VALUE"""),1)</f>
        <v>1</v>
      </c>
      <c r="Y198" s="12" t="str">
        <f ca="1">IFERROR(__xludf.DUMMYFUNCTION("""COMPUTED_VALUE"""),"Person killed outside elementary school")</f>
        <v>Person killed outside elementary school</v>
      </c>
      <c r="Z198" s="12" t="str">
        <f ca="1">IFERROR(__xludf.DUMMYFUNCTION("""COMPUTED_VALUE"""),"A person was fatally shot beside the school building.")</f>
        <v>A person was fatally shot beside the school building.</v>
      </c>
      <c r="AA198" s="8"/>
      <c r="AB198" s="8"/>
      <c r="AC198" s="8" t="str">
        <f ca="1">IFERROR(__xludf.DUMMYFUNCTION("""COMPUTED_VALUE"""),"No")</f>
        <v>No</v>
      </c>
      <c r="AD198" s="8"/>
      <c r="AE198" s="8"/>
      <c r="AF198" s="8"/>
      <c r="AG198" s="8" t="str">
        <f ca="1">IFERROR(__xludf.DUMMYFUNCTION("""COMPUTED_VALUE"""),"No")</f>
        <v>No</v>
      </c>
      <c r="AH198" s="8" t="str">
        <f ca="1">IFERROR(__xludf.DUMMYFUNCTION("""COMPUTED_VALUE"""),"No")</f>
        <v>No</v>
      </c>
      <c r="AI198" s="8" t="str">
        <f ca="1">IFERROR(__xludf.DUMMYFUNCTION("""COMPUTED_VALUE"""),"No")</f>
        <v>No</v>
      </c>
      <c r="AJ198" s="8" t="str">
        <f ca="1">IFERROR(__xludf.DUMMYFUNCTION("""COMPUTED_VALUE"""),"No")</f>
        <v>No</v>
      </c>
      <c r="AK198" s="8"/>
      <c r="AL198" s="8"/>
      <c r="AM198" s="8" t="str">
        <f ca="1">IFERROR(__xludf.DUMMYFUNCTION("""COMPUTED_VALUE"""),"No")</f>
        <v>No</v>
      </c>
      <c r="AN198" s="8" t="str">
        <f ca="1">IFERROR(__xludf.DUMMYFUNCTION("""COMPUTED_VALUE"""),"Outside")</f>
        <v>Outside</v>
      </c>
      <c r="AO198" s="8" t="str">
        <f ca="1">IFERROR(__xludf.DUMMYFUNCTION("""COMPUTED_VALUE"""),"No")</f>
        <v>No</v>
      </c>
      <c r="AP198" s="8"/>
      <c r="AQ198" s="8"/>
      <c r="AR198" s="8" t="str">
        <f ca="1">IFERROR(__xludf.DUMMYFUNCTION("""COMPUTED_VALUE"""),"Outside/Off-Property")</f>
        <v>Outside/Off-Property</v>
      </c>
      <c r="AS198" s="8">
        <f ca="1">IFERROR(__xludf.DUMMYFUNCTION("""COMPUTED_VALUE"""),99)</f>
        <v>99</v>
      </c>
      <c r="AT198" s="8" t="str">
        <f ca="1">IFERROR(__xludf.DUMMYFUNCTION("""COMPUTED_VALUE"""),"No")</f>
        <v>No</v>
      </c>
      <c r="AU198" s="8">
        <f ca="1">IFERROR(__xludf.DUMMYFUNCTION("""COMPUTED_VALUE"""),39.989833)</f>
        <v>39.989832999999997</v>
      </c>
      <c r="AV198" s="8">
        <f ca="1">IFERROR(__xludf.DUMMYFUNCTION("""COMPUTED_VALUE"""),-83.000667)</f>
        <v>-83.000667000000007</v>
      </c>
      <c r="AW198" s="8" t="str">
        <f ca="1">IFERROR(__xludf.DUMMYFUNCTION("""COMPUTED_VALUE"""),"Single building indoor hallway")</f>
        <v>Single building indoor hallway</v>
      </c>
      <c r="AX198" s="8">
        <f ca="1">IFERROR(__xludf.DUMMYFUNCTION("""COMPUTED_VALUE"""),43201)</f>
        <v>43201</v>
      </c>
    </row>
    <row r="199" spans="1:50" ht="105" x14ac:dyDescent="0.2">
      <c r="A199" s="8" t="str">
        <f ca="1">IFERROR(__xludf.DUMMYFUNCTION("""COMPUTED_VALUE"""),"20241125TXPIM")</f>
        <v>20241125TXPIM</v>
      </c>
      <c r="B199" s="8">
        <f ca="1">IFERROR(__xludf.DUMMYFUNCTION("""COMPUTED_VALUE"""),11)</f>
        <v>11</v>
      </c>
      <c r="C199" s="8">
        <f ca="1">IFERROR(__xludf.DUMMYFUNCTION("""COMPUTED_VALUE"""),25)</f>
        <v>25</v>
      </c>
      <c r="D199" s="8">
        <f ca="1">IFERROR(__xludf.DUMMYFUNCTION("""COMPUTED_VALUE"""),2024)</f>
        <v>2024</v>
      </c>
      <c r="E199" s="9">
        <f ca="1">IFERROR(__xludf.DUMMYFUNCTION("""COMPUTED_VALUE"""),45621)</f>
        <v>45621</v>
      </c>
      <c r="F199" s="8" t="str">
        <f ca="1">IFERROR(__xludf.DUMMYFUNCTION("""COMPUTED_VALUE"""),"Pirrung Elementary School")</f>
        <v>Pirrung Elementary School</v>
      </c>
      <c r="G199" s="8">
        <f ca="1">IFERROR(__xludf.DUMMYFUNCTION("""COMPUTED_VALUE"""),0)</f>
        <v>0</v>
      </c>
      <c r="H199" s="8">
        <f ca="1">IFERROR(__xludf.DUMMYFUNCTION("""COMPUTED_VALUE"""),1)</f>
        <v>1</v>
      </c>
      <c r="I199" s="8">
        <f ca="1">IFERROR(__xludf.DUMMYFUNCTION("""COMPUTED_VALUE"""),1)</f>
        <v>1</v>
      </c>
      <c r="J199" s="8">
        <f ca="1">IFERROR(__xludf.DUMMYFUNCTION("""COMPUTED_VALUE"""),0)</f>
        <v>0</v>
      </c>
      <c r="K199" s="10" t="str">
        <f ca="1">IFERROR(__xludf.DUMMYFUNCTION("""COMPUTED_VALUE"""),"https://www.fox4news.com/news/1-shot-outside-elementary-school-mesquite
https://www.wfaa.com/article/news/crime/one-person-shot-outside-mesquite-texas-elementary-school-police/287-36536b23-0d20-47a3-9799-4c0a3e31add7")</f>
        <v>https://www.fox4news.com/news/1-shot-outside-elementary-school-mesquite
https://www.wfaa.com/article/news/crime/one-person-shot-outside-mesquite-texas-elementary-school-police/287-36536b23-0d20-47a3-9799-4c0a3e31add7</v>
      </c>
      <c r="L199" s="8">
        <f ca="1">IFERROR(__xludf.DUMMYFUNCTION("""COMPUTED_VALUE"""),2)</f>
        <v>2</v>
      </c>
      <c r="M199" s="8" t="str">
        <f ca="1">IFERROR(__xludf.DUMMYFUNCTION("""COMPUTED_VALUE"""),"Local")</f>
        <v>Local</v>
      </c>
      <c r="N199" s="8">
        <f ca="1">IFERROR(__xludf.DUMMYFUNCTION("""COMPUTED_VALUE"""),4)</f>
        <v>4</v>
      </c>
      <c r="O199" s="8" t="str">
        <f ca="1">IFERROR(__xludf.DUMMYFUNCTION("""COMPUTED_VALUE"""),"Fall")</f>
        <v>Fall</v>
      </c>
      <c r="P199" s="8" t="str">
        <f ca="1">IFERROR(__xludf.DUMMYFUNCTION("""COMPUTED_VALUE"""),"Mesquite")</f>
        <v>Mesquite</v>
      </c>
      <c r="Q199" s="8" t="str">
        <f ca="1">IFERROR(__xludf.DUMMYFUNCTION("""COMPUTED_VALUE"""),"TX")</f>
        <v>TX</v>
      </c>
      <c r="R199" s="8" t="str">
        <f ca="1">IFERROR(__xludf.DUMMYFUNCTION("""COMPUTED_VALUE"""),"Elementary")</f>
        <v>Elementary</v>
      </c>
      <c r="S199" s="8" t="str">
        <f ca="1">IFERROR(__xludf.DUMMYFUNCTION("""COMPUTED_VALUE"""),"Parking Lot")</f>
        <v>Parking Lot</v>
      </c>
      <c r="T199" s="8" t="str">
        <f ca="1">IFERROR(__xludf.DUMMYFUNCTION("""COMPUTED_VALUE"""),"Outside on School Property")</f>
        <v>Outside on School Property</v>
      </c>
      <c r="U199" s="8" t="str">
        <f ca="1">IFERROR(__xludf.DUMMYFUNCTION("""COMPUTED_VALUE"""),"No")</f>
        <v>No</v>
      </c>
      <c r="V199" s="8" t="str">
        <f ca="1">IFERROR(__xludf.DUMMYFUNCTION("""COMPUTED_VALUE"""),"Not a School Day")</f>
        <v>Not a School Day</v>
      </c>
      <c r="W199" s="11">
        <f ca="1">IFERROR(__xludf.DUMMYFUNCTION("""COMPUTED_VALUE"""),0.583333333333333)</f>
        <v>0.58333333333333304</v>
      </c>
      <c r="X199" s="8">
        <f ca="1">IFERROR(__xludf.DUMMYFUNCTION("""COMPUTED_VALUE"""),1)</f>
        <v>1</v>
      </c>
      <c r="Y199" s="12" t="str">
        <f ca="1">IFERROR(__xludf.DUMMYFUNCTION("""COMPUTED_VALUE"""),"Person shot outside school during Thanksgiving break")</f>
        <v>Person shot outside school during Thanksgiving break</v>
      </c>
      <c r="Z199" s="12" t="str">
        <f ca="1">IFERROR(__xludf.DUMMYFUNCTION("""COMPUTED_VALUE"""),"Mesquite police are investigating a shooting near Pirrung Elementary School. Police confirmed it happened on Monday afternoon outside the school building. Mesquite ISD is closed for the week because of Thanksgiving, so there were no children on campus at "&amp;"the time. SKY 4 captured images of police vehicles and crime scene tape blocking the entrances to the school’s parking lots. ")</f>
        <v xml:space="preserve">Mesquite police are investigating a shooting near Pirrung Elementary School. Police confirmed it happened on Monday afternoon outside the school building. Mesquite ISD is closed for the week because of Thanksgiving, so there were no children on campus at the time. SKY 4 captured images of police vehicles and crime scene tape blocking the entrances to the school’s parking lots. </v>
      </c>
      <c r="AA199" s="8"/>
      <c r="AB199" s="8"/>
      <c r="AC199" s="8" t="str">
        <f ca="1">IFERROR(__xludf.DUMMYFUNCTION("""COMPUTED_VALUE"""),"No")</f>
        <v>No</v>
      </c>
      <c r="AD199" s="8"/>
      <c r="AE199" s="8"/>
      <c r="AF199" s="8"/>
      <c r="AG199" s="8" t="str">
        <f ca="1">IFERROR(__xludf.DUMMYFUNCTION("""COMPUTED_VALUE"""),"No")</f>
        <v>No</v>
      </c>
      <c r="AH199" s="8" t="str">
        <f ca="1">IFERROR(__xludf.DUMMYFUNCTION("""COMPUTED_VALUE"""),"No")</f>
        <v>No</v>
      </c>
      <c r="AI199" s="8" t="str">
        <f ca="1">IFERROR(__xludf.DUMMYFUNCTION("""COMPUTED_VALUE"""),"No")</f>
        <v>No</v>
      </c>
      <c r="AJ199" s="8" t="str">
        <f ca="1">IFERROR(__xludf.DUMMYFUNCTION("""COMPUTED_VALUE"""),"No")</f>
        <v>No</v>
      </c>
      <c r="AK199" s="8"/>
      <c r="AL199" s="8"/>
      <c r="AM199" s="8" t="str">
        <f ca="1">IFERROR(__xludf.DUMMYFUNCTION("""COMPUTED_VALUE"""),"No")</f>
        <v>No</v>
      </c>
      <c r="AN199" s="8" t="str">
        <f ca="1">IFERROR(__xludf.DUMMYFUNCTION("""COMPUTED_VALUE"""),"Outside")</f>
        <v>Outside</v>
      </c>
      <c r="AO199" s="8" t="str">
        <f ca="1">IFERROR(__xludf.DUMMYFUNCTION("""COMPUTED_VALUE"""),"No")</f>
        <v>No</v>
      </c>
      <c r="AP199" s="8"/>
      <c r="AQ199" s="8"/>
      <c r="AR199" s="8" t="str">
        <f ca="1">IFERROR(__xludf.DUMMYFUNCTION("""COMPUTED_VALUE"""),"Outside/Off-Property")</f>
        <v>Outside/Off-Property</v>
      </c>
      <c r="AS199" s="8">
        <f ca="1">IFERROR(__xludf.DUMMYFUNCTION("""COMPUTED_VALUE"""),99)</f>
        <v>99</v>
      </c>
      <c r="AT199" s="8" t="str">
        <f ca="1">IFERROR(__xludf.DUMMYFUNCTION("""COMPUTED_VALUE"""),"No")</f>
        <v>No</v>
      </c>
      <c r="AU199" s="8">
        <f ca="1">IFERROR(__xludf.DUMMYFUNCTION("""COMPUTED_VALUE"""),32.749497)</f>
        <v>32.749496999999998</v>
      </c>
      <c r="AV199" s="8">
        <f ca="1">IFERROR(__xludf.DUMMYFUNCTION("""COMPUTED_VALUE"""),-96.55303)</f>
        <v>-96.553030000000007</v>
      </c>
      <c r="AW199" s="8" t="str">
        <f ca="1">IFERROR(__xludf.DUMMYFUNCTION("""COMPUTED_VALUE"""),"Single building indoor hallway")</f>
        <v>Single building indoor hallway</v>
      </c>
      <c r="AX199" s="8">
        <f ca="1">IFERROR(__xludf.DUMMYFUNCTION("""COMPUTED_VALUE"""),75181)</f>
        <v>75181</v>
      </c>
    </row>
    <row r="200" spans="1:50" ht="135" x14ac:dyDescent="0.2">
      <c r="A200" s="8" t="str">
        <f ca="1">IFERROR(__xludf.DUMMYFUNCTION("""COMPUTED_VALUE"""),"20241122CACAO")</f>
        <v>20241122CACAO</v>
      </c>
      <c r="B200" s="8">
        <f ca="1">IFERROR(__xludf.DUMMYFUNCTION("""COMPUTED_VALUE"""),11)</f>
        <v>11</v>
      </c>
      <c r="C200" s="8">
        <f ca="1">IFERROR(__xludf.DUMMYFUNCTION("""COMPUTED_VALUE"""),22)</f>
        <v>22</v>
      </c>
      <c r="D200" s="8">
        <f ca="1">IFERROR(__xludf.DUMMYFUNCTION("""COMPUTED_VALUE"""),2024)</f>
        <v>2024</v>
      </c>
      <c r="E200" s="9">
        <f ca="1">IFERROR(__xludf.DUMMYFUNCTION("""COMPUTED_VALUE"""),45618)</f>
        <v>45618</v>
      </c>
      <c r="F200" s="8" t="str">
        <f ca="1">IFERROR(__xludf.DUMMYFUNCTION("""COMPUTED_VALUE"""),"Castlemont High School")</f>
        <v>Castlemont High School</v>
      </c>
      <c r="G200" s="8">
        <f ca="1">IFERROR(__xludf.DUMMYFUNCTION("""COMPUTED_VALUE"""),0)</f>
        <v>0</v>
      </c>
      <c r="H200" s="8">
        <f ca="1">IFERROR(__xludf.DUMMYFUNCTION("""COMPUTED_VALUE"""),0)</f>
        <v>0</v>
      </c>
      <c r="I200" s="8">
        <f ca="1">IFERROR(__xludf.DUMMYFUNCTION("""COMPUTED_VALUE"""),0)</f>
        <v>0</v>
      </c>
      <c r="J200" s="8">
        <f ca="1">IFERROR(__xludf.DUMMYFUNCTION("""COMPUTED_VALUE"""),1)</f>
        <v>1</v>
      </c>
      <c r="K200" s="10" t="str">
        <f ca="1">IFERROR(__xludf.DUMMYFUNCTION("""COMPUTED_VALUE"""),"https://www.mercurynews.com/2024/12/12/police-student-wounded-at-an-oakland-high-school-in-apparent-accidental-shooting/")</f>
        <v>https://www.mercurynews.com/2024/12/12/police-student-wounded-at-an-oakland-high-school-in-apparent-accidental-shooting/</v>
      </c>
      <c r="L200" s="8">
        <f ca="1">IFERROR(__xludf.DUMMYFUNCTION("""COMPUTED_VALUE"""),1)</f>
        <v>1</v>
      </c>
      <c r="M200" s="8" t="str">
        <f ca="1">IFERROR(__xludf.DUMMYFUNCTION("""COMPUTED_VALUE"""),"Local")</f>
        <v>Local</v>
      </c>
      <c r="N200" s="8">
        <f ca="1">IFERROR(__xludf.DUMMYFUNCTION("""COMPUTED_VALUE"""),4)</f>
        <v>4</v>
      </c>
      <c r="O200" s="8" t="str">
        <f ca="1">IFERROR(__xludf.DUMMYFUNCTION("""COMPUTED_VALUE"""),"Fall")</f>
        <v>Fall</v>
      </c>
      <c r="P200" s="8" t="str">
        <f ca="1">IFERROR(__xludf.DUMMYFUNCTION("""COMPUTED_VALUE"""),"Oakland")</f>
        <v>Oakland</v>
      </c>
      <c r="Q200" s="8" t="str">
        <f ca="1">IFERROR(__xludf.DUMMYFUNCTION("""COMPUTED_VALUE"""),"CA")</f>
        <v>CA</v>
      </c>
      <c r="R200" s="8" t="str">
        <f ca="1">IFERROR(__xludf.DUMMYFUNCTION("""COMPUTED_VALUE"""),"High")</f>
        <v>High</v>
      </c>
      <c r="S200" s="8" t="str">
        <f ca="1">IFERROR(__xludf.DUMMYFUNCTION("""COMPUTED_VALUE"""),"Hallway")</f>
        <v>Hallway</v>
      </c>
      <c r="T200" s="8" t="str">
        <f ca="1">IFERROR(__xludf.DUMMYFUNCTION("""COMPUTED_VALUE"""),"Inside School Building")</f>
        <v>Inside School Building</v>
      </c>
      <c r="U200" s="8" t="str">
        <f ca="1">IFERROR(__xludf.DUMMYFUNCTION("""COMPUTED_VALUE"""),"Yes")</f>
        <v>Yes</v>
      </c>
      <c r="V200" s="8" t="str">
        <f ca="1">IFERROR(__xludf.DUMMYFUNCTION("""COMPUTED_VALUE"""),"Afternoon Classes")</f>
        <v>Afternoon Classes</v>
      </c>
      <c r="W200" s="8"/>
      <c r="X200" s="8">
        <f ca="1">IFERROR(__xludf.DUMMYFUNCTION("""COMPUTED_VALUE"""),1)</f>
        <v>1</v>
      </c>
      <c r="Y200" s="12" t="str">
        <f ca="1">IFERROR(__xludf.DUMMYFUNCTION("""COMPUTED_VALUE"""),"Student accidentally shot himself in the leg in the school hallway")</f>
        <v>Student accidentally shot himself in the leg in the school hallway</v>
      </c>
      <c r="Z200" s="12" t="str">
        <f ca="1">IFERROR(__xludf.DUMMYFUNCTION("""COMPUTED_VALUE"""),"The student initially told police someone else had shot him in a school courtyard, but authorities said based on video surveillance, witness interviews and other evidence, they believed the student accidentally shot himself while handling the gun in a hal"&amp;"lway leading to the gym. No one else was injured. No gun has been recovered. Police suspect it may have been taken off campus by someone the student knew before officers got to the school and began searching while the campus was on lockdown.")</f>
        <v>The student initially told police someone else had shot him in a school courtyard, but authorities said based on video surveillance, witness interviews and other evidence, they believed the student accidentally shot himself while handling the gun in a hallway leading to the gym. No one else was injured. No gun has been recovered. Police suspect it may have been taken off campus by someone the student knew before officers got to the school and began searching while the campus was on lockdown.</v>
      </c>
      <c r="AA200" s="8" t="str">
        <f ca="1">IFERROR(__xludf.DUMMYFUNCTION("""COMPUTED_VALUE"""),"Accidental")</f>
        <v>Accidental</v>
      </c>
      <c r="AB200" s="8" t="str">
        <f ca="1">IFERROR(__xludf.DUMMYFUNCTION("""COMPUTED_VALUE"""),"Spontaneous")</f>
        <v>Spontaneous</v>
      </c>
      <c r="AC200" s="8" t="str">
        <f ca="1">IFERROR(__xludf.DUMMYFUNCTION("""COMPUTED_VALUE"""),"Yes")</f>
        <v>Yes</v>
      </c>
      <c r="AD200" s="8" t="str">
        <f ca="1">IFERROR(__xludf.DUMMYFUNCTION("""COMPUTED_VALUE"""),"Neither")</f>
        <v>Neither</v>
      </c>
      <c r="AE200" s="8" t="str">
        <f ca="1">IFERROR(__xludf.DUMMYFUNCTION("""COMPUTED_VALUE"""),"No")</f>
        <v>No</v>
      </c>
      <c r="AF200" s="8"/>
      <c r="AG200" s="8" t="str">
        <f ca="1">IFERROR(__xludf.DUMMYFUNCTION("""COMPUTED_VALUE"""),"No")</f>
        <v>No</v>
      </c>
      <c r="AH200" s="8" t="str">
        <f ca="1">IFERROR(__xludf.DUMMYFUNCTION("""COMPUTED_VALUE"""),"No")</f>
        <v>No</v>
      </c>
      <c r="AI200" s="8" t="str">
        <f ca="1">IFERROR(__xludf.DUMMYFUNCTION("""COMPUTED_VALUE"""),"No")</f>
        <v>No</v>
      </c>
      <c r="AJ200" s="8" t="str">
        <f ca="1">IFERROR(__xludf.DUMMYFUNCTION("""COMPUTED_VALUE"""),"No")</f>
        <v>No</v>
      </c>
      <c r="AK200" s="8" t="str">
        <f ca="1">IFERROR(__xludf.DUMMYFUNCTION("""COMPUTED_VALUE"""),"No")</f>
        <v>No</v>
      </c>
      <c r="AL200" s="8" t="str">
        <f ca="1">IFERROR(__xludf.DUMMYFUNCTION("""COMPUTED_VALUE"""),"No")</f>
        <v>No</v>
      </c>
      <c r="AM200" s="8" t="str">
        <f ca="1">IFERROR(__xludf.DUMMYFUNCTION("""COMPUTED_VALUE"""),"No")</f>
        <v>No</v>
      </c>
      <c r="AN200" s="8" t="str">
        <f ca="1">IFERROR(__xludf.DUMMYFUNCTION("""COMPUTED_VALUE"""),"Hallway")</f>
        <v>Hallway</v>
      </c>
      <c r="AO200" s="8" t="str">
        <f ca="1">IFERROR(__xludf.DUMMYFUNCTION("""COMPUTED_VALUE"""),"No")</f>
        <v>No</v>
      </c>
      <c r="AP200" s="8"/>
      <c r="AQ200" s="8"/>
      <c r="AR200" s="8" t="str">
        <f ca="1">IFERROR(__xludf.DUMMYFUNCTION("""COMPUTED_VALUE"""),"Failed")</f>
        <v>Failed</v>
      </c>
      <c r="AS200" s="8">
        <f ca="1">IFERROR(__xludf.DUMMYFUNCTION("""COMPUTED_VALUE"""),1)</f>
        <v>1</v>
      </c>
      <c r="AT200" s="8" t="str">
        <f ca="1">IFERROR(__xludf.DUMMYFUNCTION("""COMPUTED_VALUE"""),"Yes")</f>
        <v>Yes</v>
      </c>
      <c r="AU200" s="8">
        <f ca="1">IFERROR(__xludf.DUMMYFUNCTION("""COMPUTED_VALUE"""),37.759703)</f>
        <v>37.759703000000002</v>
      </c>
      <c r="AV200" s="8">
        <f ca="1">IFERROR(__xludf.DUMMYFUNCTION("""COMPUTED_VALUE"""),-122.163105)</f>
        <v>-122.163105</v>
      </c>
      <c r="AW200" s="8" t="str">
        <f ca="1">IFERROR(__xludf.DUMMYFUNCTION("""COMPUTED_VALUE"""),"Multiple detached buildings")</f>
        <v>Multiple detached buildings</v>
      </c>
      <c r="AX200" s="8">
        <f ca="1">IFERROR(__xludf.DUMMYFUNCTION("""COMPUTED_VALUE"""),94605)</f>
        <v>94605</v>
      </c>
    </row>
    <row r="201" spans="1:50" ht="225" x14ac:dyDescent="0.2">
      <c r="A201" s="8" t="str">
        <f ca="1">IFERROR(__xludf.DUMMYFUNCTION("""COMPUTED_VALUE"""),"20241122CTJAN")</f>
        <v>20241122CTJAN</v>
      </c>
      <c r="B201" s="8">
        <f ca="1">IFERROR(__xludf.DUMMYFUNCTION("""COMPUTED_VALUE"""),11)</f>
        <v>11</v>
      </c>
      <c r="C201" s="8">
        <f ca="1">IFERROR(__xludf.DUMMYFUNCTION("""COMPUTED_VALUE"""),22)</f>
        <v>22</v>
      </c>
      <c r="D201" s="8">
        <f ca="1">IFERROR(__xludf.DUMMYFUNCTION("""COMPUTED_VALUE"""),2024)</f>
        <v>2024</v>
      </c>
      <c r="E201" s="9">
        <f ca="1">IFERROR(__xludf.DUMMYFUNCTION("""COMPUTED_VALUE"""),45618)</f>
        <v>45618</v>
      </c>
      <c r="F201" s="8" t="str">
        <f ca="1">IFERROR(__xludf.DUMMYFUNCTION("""COMPUTED_VALUE"""),"James Hillhouse High School")</f>
        <v>James Hillhouse High School</v>
      </c>
      <c r="G201" s="8">
        <f ca="1">IFERROR(__xludf.DUMMYFUNCTION("""COMPUTED_VALUE"""),1)</f>
        <v>1</v>
      </c>
      <c r="H201" s="8">
        <f ca="1">IFERROR(__xludf.DUMMYFUNCTION("""COMPUTED_VALUE"""),0)</f>
        <v>0</v>
      </c>
      <c r="I201" s="8">
        <f ca="1">IFERROR(__xludf.DUMMYFUNCTION("""COMPUTED_VALUE"""),1)</f>
        <v>1</v>
      </c>
      <c r="J201" s="8">
        <f ca="1">IFERROR(__xludf.DUMMYFUNCTION("""COMPUTED_VALUE"""),0)</f>
        <v>0</v>
      </c>
      <c r="K201" s="10" t="str">
        <f ca="1">IFERROR(__xludf.DUMMYFUNCTION("""COMPUTED_VALUE"""),"https://www.ctpost.com/news/article/new-haven-shooting-teen-hillhouse-19937015.php")</f>
        <v>https://www.ctpost.com/news/article/new-haven-shooting-teen-hillhouse-19937015.php</v>
      </c>
      <c r="L201" s="8">
        <f ca="1">IFERROR(__xludf.DUMMYFUNCTION("""COMPUTED_VALUE"""),5)</f>
        <v>5</v>
      </c>
      <c r="M201" s="8" t="str">
        <f ca="1">IFERROR(__xludf.DUMMYFUNCTION("""COMPUTED_VALUE"""),"Regional")</f>
        <v>Regional</v>
      </c>
      <c r="N201" s="8">
        <f ca="1">IFERROR(__xludf.DUMMYFUNCTION("""COMPUTED_VALUE"""),4)</f>
        <v>4</v>
      </c>
      <c r="O201" s="8" t="str">
        <f ca="1">IFERROR(__xludf.DUMMYFUNCTION("""COMPUTED_VALUE"""),"Fall")</f>
        <v>Fall</v>
      </c>
      <c r="P201" s="8" t="str">
        <f ca="1">IFERROR(__xludf.DUMMYFUNCTION("""COMPUTED_VALUE"""),"New Haven")</f>
        <v>New Haven</v>
      </c>
      <c r="Q201" s="8" t="str">
        <f ca="1">IFERROR(__xludf.DUMMYFUNCTION("""COMPUTED_VALUE"""),"CT")</f>
        <v>CT</v>
      </c>
      <c r="R201" s="8" t="str">
        <f ca="1">IFERROR(__xludf.DUMMYFUNCTION("""COMPUTED_VALUE"""),"High")</f>
        <v>High</v>
      </c>
      <c r="S201" s="8" t="str">
        <f ca="1">IFERROR(__xludf.DUMMYFUNCTION("""COMPUTED_VALUE"""),"Beside Building")</f>
        <v>Beside Building</v>
      </c>
      <c r="T201" s="8" t="str">
        <f ca="1">IFERROR(__xludf.DUMMYFUNCTION("""COMPUTED_VALUE"""),"Outside on School Property")</f>
        <v>Outside on School Property</v>
      </c>
      <c r="U201" s="8" t="str">
        <f ca="1">IFERROR(__xludf.DUMMYFUNCTION("""COMPUTED_VALUE"""),"Yes")</f>
        <v>Yes</v>
      </c>
      <c r="V201" s="8" t="str">
        <f ca="1">IFERROR(__xludf.DUMMYFUNCTION("""COMPUTED_VALUE"""),"Dismissal")</f>
        <v>Dismissal</v>
      </c>
      <c r="W201" s="11">
        <f ca="1">IFERROR(__xludf.DUMMYFUNCTION("""COMPUTED_VALUE"""),0.609027777777777)</f>
        <v>0.60902777777777695</v>
      </c>
      <c r="X201" s="8">
        <f ca="1">IFERROR(__xludf.DUMMYFUNCTION("""COMPUTED_VALUE"""),1)</f>
        <v>1</v>
      </c>
      <c r="Y201" s="12" t="str">
        <f ca="1">IFERROR(__xludf.DUMMYFUNCTION("""COMPUTED_VALUE"""),"Student killed and school bus stuck during shooting at dismissal")</f>
        <v>Student killed and school bus stuck during shooting at dismissal</v>
      </c>
      <c r="Z201" s="12" t="str">
        <f ca="1">IFERROR(__xludf.DUMMYFUNCTION("""COMPUTED_VALUE"""),"Officer Christian Bruckhart, a spokesperson for the New Haven Police Department, said officers responded to a ShotSpotter alert at approximately 2:37 p.m. and found the teenager wounded, he said. The teenager was at first listed in critical condition, but"&amp;" he later succumbed to his injuries at the Yale-New Haven Hospital. Shortly after the shooting, officers stopped a vehicle carrying a group of boys, one of whom had a ghost gun — a homemade firearm — with an extended magazine, Jacobson said. Police arrest"&amp;"ed the boy, but do not believe he was the person who fired the shots that injured the 16-year-old. The shooter near Goffe and Hudson streets also hit a school bus carrying children from Celentano Biotech, Health and Medical Magnet School that was driving "&amp;"through the area. No one riding the bus was injured.")</f>
        <v>Officer Christian Bruckhart, a spokesperson for the New Haven Police Department, said officers responded to a ShotSpotter alert at approximately 2:37 p.m. and found the teenager wounded, he said. The teenager was at first listed in critical condition, but he later succumbed to his injuries at the Yale-New Haven Hospital. Shortly after the shooting, officers stopped a vehicle carrying a group of boys, one of whom had a ghost gun — a homemade firearm — with an extended magazine, Jacobson said. Police arrested the boy, but do not believe he was the person who fired the shots that injured the 16-year-old. The shooter near Goffe and Hudson streets also hit a school bus carrying children from Celentano Biotech, Health and Medical Magnet School that was driving through the area. No one riding the bus was injured.</v>
      </c>
      <c r="AA201" s="8"/>
      <c r="AB201" s="8"/>
      <c r="AC201" s="8" t="str">
        <f ca="1">IFERROR(__xludf.DUMMYFUNCTION("""COMPUTED_VALUE"""),"Yes")</f>
        <v>Yes</v>
      </c>
      <c r="AD201" s="8" t="str">
        <f ca="1">IFERROR(__xludf.DUMMYFUNCTION("""COMPUTED_VALUE"""),"Both")</f>
        <v>Both</v>
      </c>
      <c r="AE201" s="8"/>
      <c r="AF201" s="8"/>
      <c r="AG201" s="8" t="str">
        <f ca="1">IFERROR(__xludf.DUMMYFUNCTION("""COMPUTED_VALUE"""),"No")</f>
        <v>No</v>
      </c>
      <c r="AH201" s="8" t="str">
        <f ca="1">IFERROR(__xludf.DUMMYFUNCTION("""COMPUTED_VALUE"""),"No")</f>
        <v>No</v>
      </c>
      <c r="AI201" s="8" t="str">
        <f ca="1">IFERROR(__xludf.DUMMYFUNCTION("""COMPUTED_VALUE"""),"No")</f>
        <v>No</v>
      </c>
      <c r="AJ201" s="8"/>
      <c r="AK201" s="8" t="str">
        <f ca="1">IFERROR(__xludf.DUMMYFUNCTION("""COMPUTED_VALUE"""),"No")</f>
        <v>No</v>
      </c>
      <c r="AL201" s="8"/>
      <c r="AM201" s="8" t="str">
        <f ca="1">IFERROR(__xludf.DUMMYFUNCTION("""COMPUTED_VALUE"""),"No")</f>
        <v>No</v>
      </c>
      <c r="AN201" s="8" t="str">
        <f ca="1">IFERROR(__xludf.DUMMYFUNCTION("""COMPUTED_VALUE"""),"Outside")</f>
        <v>Outside</v>
      </c>
      <c r="AO201" s="8" t="str">
        <f ca="1">IFERROR(__xludf.DUMMYFUNCTION("""COMPUTED_VALUE"""),"No")</f>
        <v>No</v>
      </c>
      <c r="AP201" s="8"/>
      <c r="AQ201" s="8"/>
      <c r="AR201" s="8" t="str">
        <f ca="1">IFERROR(__xludf.DUMMYFUNCTION("""COMPUTED_VALUE"""),"Outside/Off-Property")</f>
        <v>Outside/Off-Property</v>
      </c>
      <c r="AS201" s="8">
        <f ca="1">IFERROR(__xludf.DUMMYFUNCTION("""COMPUTED_VALUE"""),99)</f>
        <v>99</v>
      </c>
      <c r="AT201" s="8" t="str">
        <f ca="1">IFERROR(__xludf.DUMMYFUNCTION("""COMPUTED_VALUE"""),"Yes")</f>
        <v>Yes</v>
      </c>
      <c r="AU201" s="8">
        <f ca="1">IFERROR(__xludf.DUMMYFUNCTION("""COMPUTED_VALUE"""),41.321934)</f>
        <v>41.321933999999999</v>
      </c>
      <c r="AV201" s="8">
        <f ca="1">IFERROR(__xludf.DUMMYFUNCTION("""COMPUTED_VALUE"""),-72.939471)</f>
        <v>-72.939470999999998</v>
      </c>
      <c r="AW201" s="8" t="str">
        <f ca="1">IFERROR(__xludf.DUMMYFUNCTION("""COMPUTED_VALUE"""),"Multiple attached buildings")</f>
        <v>Multiple attached buildings</v>
      </c>
      <c r="AX201" s="8">
        <f ca="1">IFERROR(__xludf.DUMMYFUNCTION("""COMPUTED_VALUE"""),6511)</f>
        <v>6511</v>
      </c>
    </row>
    <row r="202" spans="1:50" ht="60" x14ac:dyDescent="0.2">
      <c r="A202" s="8" t="str">
        <f ca="1">IFERROR(__xludf.DUMMYFUNCTION("""COMPUTED_VALUE"""),"20241122DCEAW")</f>
        <v>20241122DCEAW</v>
      </c>
      <c r="B202" s="8">
        <f ca="1">IFERROR(__xludf.DUMMYFUNCTION("""COMPUTED_VALUE"""),11)</f>
        <v>11</v>
      </c>
      <c r="C202" s="8">
        <f ca="1">IFERROR(__xludf.DUMMYFUNCTION("""COMPUTED_VALUE"""),22)</f>
        <v>22</v>
      </c>
      <c r="D202" s="8">
        <f ca="1">IFERROR(__xludf.DUMMYFUNCTION("""COMPUTED_VALUE"""),2024)</f>
        <v>2024</v>
      </c>
      <c r="E202" s="9">
        <f ca="1">IFERROR(__xludf.DUMMYFUNCTION("""COMPUTED_VALUE"""),45618)</f>
        <v>45618</v>
      </c>
      <c r="F202" s="8" t="str">
        <f ca="1">IFERROR(__xludf.DUMMYFUNCTION("""COMPUTED_VALUE"""),"Eastern High School")</f>
        <v>Eastern High School</v>
      </c>
      <c r="G202" s="8">
        <f ca="1">IFERROR(__xludf.DUMMYFUNCTION("""COMPUTED_VALUE"""),0)</f>
        <v>0</v>
      </c>
      <c r="H202" s="8">
        <f ca="1">IFERROR(__xludf.DUMMYFUNCTION("""COMPUTED_VALUE"""),1)</f>
        <v>1</v>
      </c>
      <c r="I202" s="8">
        <f ca="1">IFERROR(__xludf.DUMMYFUNCTION("""COMPUTED_VALUE"""),1)</f>
        <v>1</v>
      </c>
      <c r="J202" s="8">
        <f ca="1">IFERROR(__xludf.DUMMYFUNCTION("""COMPUTED_VALUE"""),0)</f>
        <v>0</v>
      </c>
      <c r="K202" s="10" t="str">
        <f ca="1">IFERROR(__xludf.DUMMYFUNCTION("""COMPUTED_VALUE"""),"https://wjla.com/news/local/teen-juvenile-shooting-dc-southeast-eastern-high-school-apartment-prince-georges-county-alley-crime-injuries-gunshot-wound-east-street-chase-injuries-crime-impact
https://www.wusa9.com/article/news/crime/teen-shot-east-capitol-"&amp;"street-northeast-dc/65-b9e2cf65-7bb8-4e80-8084-43705367f42f
https://www.wjla.com/news/local/teenager-shot-eastern-senior-high-school-ne-dc-police-searching-suspects-metropolitan-department-investigation-lookout-northeast-dmv-crime-teen-shooting-east-capit"&amp;"ol-street")</f>
        <v>https://wjla.com/news/local/teen-juvenile-shooting-dc-southeast-eastern-high-school-apartment-prince-georges-county-alley-crime-injuries-gunshot-wound-east-street-chase-injuries-crime-impact
https://www.wusa9.com/article/news/crime/teen-shot-east-capitol-street-northeast-dc/65-b9e2cf65-7bb8-4e80-8084-43705367f42f
https://www.wjla.com/news/local/teenager-shot-eastern-senior-high-school-ne-dc-police-searching-suspects-metropolitan-department-investigation-lookout-northeast-dmv-crime-teen-shooting-east-capitol-street</v>
      </c>
      <c r="L202" s="8">
        <f ca="1">IFERROR(__xludf.DUMMYFUNCTION("""COMPUTED_VALUE"""),10)</f>
        <v>10</v>
      </c>
      <c r="M202" s="8" t="str">
        <f ca="1">IFERROR(__xludf.DUMMYFUNCTION("""COMPUTED_VALUE"""),"Regional")</f>
        <v>Regional</v>
      </c>
      <c r="N202" s="8">
        <f ca="1">IFERROR(__xludf.DUMMYFUNCTION("""COMPUTED_VALUE"""),4)</f>
        <v>4</v>
      </c>
      <c r="O202" s="8" t="str">
        <f ca="1">IFERROR(__xludf.DUMMYFUNCTION("""COMPUTED_VALUE"""),"Fall")</f>
        <v>Fall</v>
      </c>
      <c r="P202" s="8" t="str">
        <f ca="1">IFERROR(__xludf.DUMMYFUNCTION("""COMPUTED_VALUE"""),"Washington")</f>
        <v>Washington</v>
      </c>
      <c r="Q202" s="8" t="str">
        <f ca="1">IFERROR(__xludf.DUMMYFUNCTION("""COMPUTED_VALUE"""),"DC")</f>
        <v>DC</v>
      </c>
      <c r="R202" s="8" t="str">
        <f ca="1">IFERROR(__xludf.DUMMYFUNCTION("""COMPUTED_VALUE"""),"High")</f>
        <v>High</v>
      </c>
      <c r="S202" s="8" t="str">
        <f ca="1">IFERROR(__xludf.DUMMYFUNCTION("""COMPUTED_VALUE"""),"Beside Building")</f>
        <v>Beside Building</v>
      </c>
      <c r="T202" s="8" t="str">
        <f ca="1">IFERROR(__xludf.DUMMYFUNCTION("""COMPUTED_VALUE"""),"Outside on School Property")</f>
        <v>Outside on School Property</v>
      </c>
      <c r="U202" s="8" t="str">
        <f ca="1">IFERROR(__xludf.DUMMYFUNCTION("""COMPUTED_VALUE"""),"Yes")</f>
        <v>Yes</v>
      </c>
      <c r="V202" s="8" t="str">
        <f ca="1">IFERROR(__xludf.DUMMYFUNCTION("""COMPUTED_VALUE"""),"Morning Classes")</f>
        <v>Morning Classes</v>
      </c>
      <c r="W202" s="11">
        <f ca="1">IFERROR(__xludf.DUMMYFUNCTION("""COMPUTED_VALUE"""),0.404166666666666)</f>
        <v>0.40416666666666601</v>
      </c>
      <c r="X202" s="8">
        <f ca="1">IFERROR(__xludf.DUMMYFUNCTION("""COMPUTED_VALUE"""),1)</f>
        <v>1</v>
      </c>
      <c r="Y202" s="12" t="str">
        <f ca="1">IFERROR(__xludf.DUMMYFUNCTION("""COMPUTED_VALUE"""),"Teen shot outside school, ran inside for help")</f>
        <v>Teen shot outside school, ran inside for help</v>
      </c>
      <c r="Z202" s="12" t="str">
        <f ca="1">IFERROR(__xludf.DUMMYFUNCTION("""COMPUTED_VALUE"""),"A teen was shot outside the school during morning classes. After he was shot, he ran to nearby Eastern High School and went inside, DC Police said. The school went on lockdown. Three teen suspects fled.")</f>
        <v>A teen was shot outside the school during morning classes. After he was shot, he ran to nearby Eastern High School and went inside, DC Police said. The school went on lockdown. Three teen suspects fled.</v>
      </c>
      <c r="AA202" s="8"/>
      <c r="AB202" s="8"/>
      <c r="AC202" s="8" t="str">
        <f ca="1">IFERROR(__xludf.DUMMYFUNCTION("""COMPUTED_VALUE"""),"Yes")</f>
        <v>Yes</v>
      </c>
      <c r="AD202" s="8" t="str">
        <f ca="1">IFERROR(__xludf.DUMMYFUNCTION("""COMPUTED_VALUE"""),"Victims Targeted")</f>
        <v>Victims Targeted</v>
      </c>
      <c r="AE202" s="8" t="str">
        <f ca="1">IFERROR(__xludf.DUMMYFUNCTION("""COMPUTED_VALUE"""),"Yes")</f>
        <v>Yes</v>
      </c>
      <c r="AF202" s="8" t="str">
        <f ca="1">IFERROR(__xludf.DUMMYFUNCTION("""COMPUTED_VALUE"""),"3 teens")</f>
        <v>3 teens</v>
      </c>
      <c r="AG202" s="8" t="str">
        <f ca="1">IFERROR(__xludf.DUMMYFUNCTION("""COMPUTED_VALUE"""),"No")</f>
        <v>No</v>
      </c>
      <c r="AH202" s="8" t="str">
        <f ca="1">IFERROR(__xludf.DUMMYFUNCTION("""COMPUTED_VALUE"""),"No")</f>
        <v>No</v>
      </c>
      <c r="AI202" s="8" t="str">
        <f ca="1">IFERROR(__xludf.DUMMYFUNCTION("""COMPUTED_VALUE"""),"No")</f>
        <v>No</v>
      </c>
      <c r="AJ202" s="8"/>
      <c r="AK202" s="8" t="str">
        <f ca="1">IFERROR(__xludf.DUMMYFUNCTION("""COMPUTED_VALUE"""),"No")</f>
        <v>No</v>
      </c>
      <c r="AL202" s="8"/>
      <c r="AM202" s="8" t="str">
        <f ca="1">IFERROR(__xludf.DUMMYFUNCTION("""COMPUTED_VALUE"""),"No")</f>
        <v>No</v>
      </c>
      <c r="AN202" s="8" t="str">
        <f ca="1">IFERROR(__xludf.DUMMYFUNCTION("""COMPUTED_VALUE"""),"Outside")</f>
        <v>Outside</v>
      </c>
      <c r="AO202" s="8" t="str">
        <f ca="1">IFERROR(__xludf.DUMMYFUNCTION("""COMPUTED_VALUE"""),"No")</f>
        <v>No</v>
      </c>
      <c r="AP202" s="8"/>
      <c r="AQ202" s="8"/>
      <c r="AR202" s="8" t="str">
        <f ca="1">IFERROR(__xludf.DUMMYFUNCTION("""COMPUTED_VALUE"""),"Outside/Off-Property")</f>
        <v>Outside/Off-Property</v>
      </c>
      <c r="AS202" s="8">
        <f ca="1">IFERROR(__xludf.DUMMYFUNCTION("""COMPUTED_VALUE"""),99)</f>
        <v>99</v>
      </c>
      <c r="AT202" s="8" t="str">
        <f ca="1">IFERROR(__xludf.DUMMYFUNCTION("""COMPUTED_VALUE"""),"No")</f>
        <v>No</v>
      </c>
      <c r="AU202" s="8">
        <f ca="1">IFERROR(__xludf.DUMMYFUNCTION("""COMPUTED_VALUE"""),38.890051)</f>
        <v>38.890051</v>
      </c>
      <c r="AV202" s="8">
        <f ca="1">IFERROR(__xludf.DUMMYFUNCTION("""COMPUTED_VALUE"""),-76.979609)</f>
        <v>-76.979608999999996</v>
      </c>
      <c r="AW202" s="8" t="str">
        <f ca="1">IFERROR(__xludf.DUMMYFUNCTION("""COMPUTED_VALUE"""),"Urban Street Standalone")</f>
        <v>Urban Street Standalone</v>
      </c>
      <c r="AX202" s="8">
        <f ca="1">IFERROR(__xludf.DUMMYFUNCTION("""COMPUTED_VALUE"""),20002)</f>
        <v>20002</v>
      </c>
    </row>
    <row r="203" spans="1:50" ht="195" x14ac:dyDescent="0.2">
      <c r="A203" s="8" t="str">
        <f ca="1">IFERROR(__xludf.DUMMYFUNCTION("""COMPUTED_VALUE"""),"20241121FLSAB")</f>
        <v>20241121FLSAB</v>
      </c>
      <c r="B203" s="8">
        <f ca="1">IFERROR(__xludf.DUMMYFUNCTION("""COMPUTED_VALUE"""),11)</f>
        <v>11</v>
      </c>
      <c r="C203" s="8">
        <f ca="1">IFERROR(__xludf.DUMMYFUNCTION("""COMPUTED_VALUE"""),21)</f>
        <v>21</v>
      </c>
      <c r="D203" s="8">
        <f ca="1">IFERROR(__xludf.DUMMYFUNCTION("""COMPUTED_VALUE"""),2024)</f>
        <v>2024</v>
      </c>
      <c r="E203" s="9">
        <f ca="1">IFERROR(__xludf.DUMMYFUNCTION("""COMPUTED_VALUE"""),45617)</f>
        <v>45617</v>
      </c>
      <c r="F203" s="8" t="str">
        <f ca="1">IFERROR(__xludf.DUMMYFUNCTION("""COMPUTED_VALUE"""),"Saint Stephen’s Episcopal School")</f>
        <v>Saint Stephen’s Episcopal School</v>
      </c>
      <c r="G203" s="8">
        <f ca="1">IFERROR(__xludf.DUMMYFUNCTION("""COMPUTED_VALUE"""),0)</f>
        <v>0</v>
      </c>
      <c r="H203" s="8">
        <f ca="1">IFERROR(__xludf.DUMMYFUNCTION("""COMPUTED_VALUE"""),0)</f>
        <v>0</v>
      </c>
      <c r="I203" s="8">
        <f ca="1">IFERROR(__xludf.DUMMYFUNCTION("""COMPUTED_VALUE"""),0)</f>
        <v>0</v>
      </c>
      <c r="J203" s="8">
        <f ca="1">IFERROR(__xludf.DUMMYFUNCTION("""COMPUTED_VALUE"""),0)</f>
        <v>0</v>
      </c>
      <c r="K203" s="10" t="str">
        <f ca="1">IFERROR(__xludf.DUMMYFUNCTION("""COMPUTED_VALUE"""),"https://www.firstcoastnews.com/article/news/crime/teen-arrested-shooting-flare-gun-soccer-players-private-school-game/67-878d228f-efab-4865-a735-f94537cec41d
https://www.fox13news.com/news/video-teen-accused-shooting-flare-gun-onto-bradenton-soccer-field-"&amp;"narrowly-missing-players
https://baynews9.com/fl/tampa/news/2024/12/10/teen-arrested-after-shooting-flare-gun-onto-crowded-soccer-field")</f>
        <v>https://www.firstcoastnews.com/article/news/crime/teen-arrested-shooting-flare-gun-soccer-players-private-school-game/67-878d228f-efab-4865-a735-f94537cec41d
https://www.fox13news.com/news/video-teen-accused-shooting-flare-gun-onto-bradenton-soccer-field-narrowly-missing-players
https://baynews9.com/fl/tampa/news/2024/12/10/teen-arrested-after-shooting-flare-gun-onto-crowded-soccer-field</v>
      </c>
      <c r="L203" s="8">
        <f ca="1">IFERROR(__xludf.DUMMYFUNCTION("""COMPUTED_VALUE"""),10)</f>
        <v>10</v>
      </c>
      <c r="M203" s="8" t="str">
        <f ca="1">IFERROR(__xludf.DUMMYFUNCTION("""COMPUTED_VALUE"""),"Regional")</f>
        <v>Regional</v>
      </c>
      <c r="N203" s="8">
        <f ca="1">IFERROR(__xludf.DUMMYFUNCTION("""COMPUTED_VALUE"""),4)</f>
        <v>4</v>
      </c>
      <c r="O203" s="8" t="str">
        <f ca="1">IFERROR(__xludf.DUMMYFUNCTION("""COMPUTED_VALUE"""),"Fall")</f>
        <v>Fall</v>
      </c>
      <c r="P203" s="8" t="str">
        <f ca="1">IFERROR(__xludf.DUMMYFUNCTION("""COMPUTED_VALUE"""),"Bradenton")</f>
        <v>Bradenton</v>
      </c>
      <c r="Q203" s="8" t="str">
        <f ca="1">IFERROR(__xludf.DUMMYFUNCTION("""COMPUTED_VALUE"""),"FL")</f>
        <v>FL</v>
      </c>
      <c r="R203" s="8" t="str">
        <f ca="1">IFERROR(__xludf.DUMMYFUNCTION("""COMPUTED_VALUE"""),"High")</f>
        <v>High</v>
      </c>
      <c r="S203" s="8" t="str">
        <f ca="1">IFERROR(__xludf.DUMMYFUNCTION("""COMPUTED_VALUE"""),"Football Field/Track")</f>
        <v>Football Field/Track</v>
      </c>
      <c r="T203" s="8" t="str">
        <f ca="1">IFERROR(__xludf.DUMMYFUNCTION("""COMPUTED_VALUE"""),"Outside on School Property")</f>
        <v>Outside on School Property</v>
      </c>
      <c r="U203" s="8" t="str">
        <f ca="1">IFERROR(__xludf.DUMMYFUNCTION("""COMPUTED_VALUE"""),"No")</f>
        <v>No</v>
      </c>
      <c r="V203" s="8" t="str">
        <f ca="1">IFERROR(__xludf.DUMMYFUNCTION("""COMPUTED_VALUE"""),"Sport Event")</f>
        <v>Sport Event</v>
      </c>
      <c r="W203" s="8"/>
      <c r="X203" s="8">
        <f ca="1">IFERROR(__xludf.DUMMYFUNCTION("""COMPUTED_VALUE"""),1)</f>
        <v>1</v>
      </c>
      <c r="Y203" s="12" t="str">
        <f ca="1">IFERROR(__xludf.DUMMYFUNCTION("""COMPUTED_VALUE"""),"Teen fired flare gun at soccer field during high school game")</f>
        <v>Teen fired flare gun at soccer field during high school game</v>
      </c>
      <c r="Z203" s="12" t="str">
        <f ca="1">IFERROR(__xludf.DUMMYFUNCTION("""COMPUTED_VALUE"""),"A fiery shot from a flare gun nearly hit players in the middle of a soccer match, and Bradenton police say a 16-year-old admitted to firing the shot. According to investigators, the teen and his friends had just been kicked out of the match on the campus "&amp;"of a private school on Nov. 21 for ""disruptive behavior."" The teen fired the flare gun from the passenger seat of a vehicle, police said. Video released by the police department shows the flare narrowly missing players. The flare burned two holes in the"&amp;" field's artificial turf, causing more than $1,000 in damage, police said. The suspect, who is not a student at the private school, faces a felony criminal mischief charge, along with one count of misdemeanor culpable negligence.")</f>
        <v>A fiery shot from a flare gun nearly hit players in the middle of a soccer match, and Bradenton police say a 16-year-old admitted to firing the shot. According to investigators, the teen and his friends had just been kicked out of the match on the campus of a private school on Nov. 21 for "disruptive behavior." The teen fired the flare gun from the passenger seat of a vehicle, police said. Video released by the police department shows the flare narrowly missing players. The flare burned two holes in the field's artificial turf, causing more than $1,000 in damage, police said. The suspect, who is not a student at the private school, faces a felony criminal mischief charge, along with one count of misdemeanor culpable negligence.</v>
      </c>
      <c r="AA203" s="8" t="str">
        <f ca="1">IFERROR(__xludf.DUMMYFUNCTION("""COMPUTED_VALUE"""),"Drive-by Shooting")</f>
        <v>Drive-by Shooting</v>
      </c>
      <c r="AB203" s="8" t="str">
        <f ca="1">IFERROR(__xludf.DUMMYFUNCTION("""COMPUTED_VALUE"""),"Spontaneous")</f>
        <v>Spontaneous</v>
      </c>
      <c r="AC203" s="8" t="str">
        <f ca="1">IFERROR(__xludf.DUMMYFUNCTION("""COMPUTED_VALUE"""),"Yes")</f>
        <v>Yes</v>
      </c>
      <c r="AD203" s="8" t="str">
        <f ca="1">IFERROR(__xludf.DUMMYFUNCTION("""COMPUTED_VALUE"""),"Neither")</f>
        <v>Neither</v>
      </c>
      <c r="AE203" s="8" t="str">
        <f ca="1">IFERROR(__xludf.DUMMYFUNCTION("""COMPUTED_VALUE"""),"Yes")</f>
        <v>Yes</v>
      </c>
      <c r="AF203" s="8" t="str">
        <f ca="1">IFERROR(__xludf.DUMMYFUNCTION("""COMPUTED_VALUE"""),"Multiple teens kicked out of game")</f>
        <v>Multiple teens kicked out of game</v>
      </c>
      <c r="AG203" s="8" t="str">
        <f ca="1">IFERROR(__xludf.DUMMYFUNCTION("""COMPUTED_VALUE"""),"No")</f>
        <v>No</v>
      </c>
      <c r="AH203" s="8" t="str">
        <f ca="1">IFERROR(__xludf.DUMMYFUNCTION("""COMPUTED_VALUE"""),"No")</f>
        <v>No</v>
      </c>
      <c r="AI203" s="8" t="str">
        <f ca="1">IFERROR(__xludf.DUMMYFUNCTION("""COMPUTED_VALUE"""),"No")</f>
        <v>No</v>
      </c>
      <c r="AJ203" s="8" t="str">
        <f ca="1">IFERROR(__xludf.DUMMYFUNCTION("""COMPUTED_VALUE"""),"No")</f>
        <v>No</v>
      </c>
      <c r="AK203" s="8" t="str">
        <f ca="1">IFERROR(__xludf.DUMMYFUNCTION("""COMPUTED_VALUE"""),"No")</f>
        <v>No</v>
      </c>
      <c r="AL203" s="8" t="str">
        <f ca="1">IFERROR(__xludf.DUMMYFUNCTION("""COMPUTED_VALUE"""),"No")</f>
        <v>No</v>
      </c>
      <c r="AM203" s="8" t="str">
        <f ca="1">IFERROR(__xludf.DUMMYFUNCTION("""COMPUTED_VALUE"""),"No")</f>
        <v>No</v>
      </c>
      <c r="AN203" s="8" t="str">
        <f ca="1">IFERROR(__xludf.DUMMYFUNCTION("""COMPUTED_VALUE"""),"Outside")</f>
        <v>Outside</v>
      </c>
      <c r="AO203" s="8" t="str">
        <f ca="1">IFERROR(__xludf.DUMMYFUNCTION("""COMPUTED_VALUE"""),"No")</f>
        <v>No</v>
      </c>
      <c r="AP203" s="8"/>
      <c r="AQ203" s="8"/>
      <c r="AR203" s="8" t="str">
        <f ca="1">IFERROR(__xludf.DUMMYFUNCTION("""COMPUTED_VALUE"""),"Outside/Off-Property")</f>
        <v>Outside/Off-Property</v>
      </c>
      <c r="AS203" s="8">
        <f ca="1">IFERROR(__xludf.DUMMYFUNCTION("""COMPUTED_VALUE"""),1)</f>
        <v>1</v>
      </c>
      <c r="AT203" s="8" t="str">
        <f ca="1">IFERROR(__xludf.DUMMYFUNCTION("""COMPUTED_VALUE"""),"No")</f>
        <v>No</v>
      </c>
      <c r="AU203" s="8">
        <f ca="1">IFERROR(__xludf.DUMMYFUNCTION("""COMPUTED_VALUE"""),27.497507)</f>
        <v>27.497506999999999</v>
      </c>
      <c r="AV203" s="8">
        <f ca="1">IFERROR(__xludf.DUMMYFUNCTION("""COMPUTED_VALUE"""),-82.600157)</f>
        <v>-82.600156999999996</v>
      </c>
      <c r="AW203" s="8" t="str">
        <f ca="1">IFERROR(__xludf.DUMMYFUNCTION("""COMPUTED_VALUE"""),"Multiple detached buildings")</f>
        <v>Multiple detached buildings</v>
      </c>
      <c r="AX203" s="8">
        <f ca="1">IFERROR(__xludf.DUMMYFUNCTION("""COMPUTED_VALUE"""),34205)</f>
        <v>34205</v>
      </c>
    </row>
    <row r="204" spans="1:50" ht="45" x14ac:dyDescent="0.2">
      <c r="A204" s="8" t="str">
        <f ca="1">IFERROR(__xludf.DUMMYFUNCTION("""COMPUTED_VALUE"""),"20241119OHCOC")</f>
        <v>20241119OHCOC</v>
      </c>
      <c r="B204" s="8">
        <f ca="1">IFERROR(__xludf.DUMMYFUNCTION("""COMPUTED_VALUE"""),11)</f>
        <v>11</v>
      </c>
      <c r="C204" s="8">
        <f ca="1">IFERROR(__xludf.DUMMYFUNCTION("""COMPUTED_VALUE"""),19)</f>
        <v>19</v>
      </c>
      <c r="D204" s="8">
        <f ca="1">IFERROR(__xludf.DUMMYFUNCTION("""COMPUTED_VALUE"""),2024)</f>
        <v>2024</v>
      </c>
      <c r="E204" s="9">
        <f ca="1">IFERROR(__xludf.DUMMYFUNCTION("""COMPUTED_VALUE"""),45615)</f>
        <v>45615</v>
      </c>
      <c r="F204" s="8" t="str">
        <f ca="1">IFERROR(__xludf.DUMMYFUNCTION("""COMPUTED_VALUE"""),"Columbus School District Bus")</f>
        <v>Columbus School District Bus</v>
      </c>
      <c r="G204" s="8">
        <f ca="1">IFERROR(__xludf.DUMMYFUNCTION("""COMPUTED_VALUE"""),0)</f>
        <v>0</v>
      </c>
      <c r="H204" s="8">
        <f ca="1">IFERROR(__xludf.DUMMYFUNCTION("""COMPUTED_VALUE"""),0)</f>
        <v>0</v>
      </c>
      <c r="I204" s="8">
        <f ca="1">IFERROR(__xludf.DUMMYFUNCTION("""COMPUTED_VALUE"""),0)</f>
        <v>0</v>
      </c>
      <c r="J204" s="8">
        <f ca="1">IFERROR(__xludf.DUMMYFUNCTION("""COMPUTED_VALUE"""),0)</f>
        <v>0</v>
      </c>
      <c r="K204" s="10" t="str">
        <f ca="1">IFERROR(__xludf.DUMMYFUNCTION("""COMPUTED_VALUE"""),"https://www.wcbi.com/multiple-shots-fired-at-a-school-bus-in-columbus/
https://cdispatch.com/news/man-injured-school-bus-hit-in-northside-shooting/")</f>
        <v>https://www.wcbi.com/multiple-shots-fired-at-a-school-bus-in-columbus/
https://cdispatch.com/news/man-injured-school-bus-hit-in-northside-shooting/</v>
      </c>
      <c r="L204" s="8">
        <f ca="1">IFERROR(__xludf.DUMMYFUNCTION("""COMPUTED_VALUE"""),5)</f>
        <v>5</v>
      </c>
      <c r="M204" s="8" t="str">
        <f ca="1">IFERROR(__xludf.DUMMYFUNCTION("""COMPUTED_VALUE"""),"Local")</f>
        <v>Local</v>
      </c>
      <c r="N204" s="8">
        <f ca="1">IFERROR(__xludf.DUMMYFUNCTION("""COMPUTED_VALUE"""),4)</f>
        <v>4</v>
      </c>
      <c r="O204" s="8" t="str">
        <f ca="1">IFERROR(__xludf.DUMMYFUNCTION("""COMPUTED_VALUE"""),"Fall")</f>
        <v>Fall</v>
      </c>
      <c r="P204" s="8" t="str">
        <f ca="1">IFERROR(__xludf.DUMMYFUNCTION("""COMPUTED_VALUE"""),"Columbus")</f>
        <v>Columbus</v>
      </c>
      <c r="Q204" s="8" t="str">
        <f ca="1">IFERROR(__xludf.DUMMYFUNCTION("""COMPUTED_VALUE"""),"OH")</f>
        <v>OH</v>
      </c>
      <c r="R204" s="8"/>
      <c r="S204" s="8" t="str">
        <f ca="1">IFERROR(__xludf.DUMMYFUNCTION("""COMPUTED_VALUE"""),"School Bus")</f>
        <v>School Bus</v>
      </c>
      <c r="T204" s="8" t="str">
        <f ca="1">IFERROR(__xludf.DUMMYFUNCTION("""COMPUTED_VALUE"""),"School Bus")</f>
        <v>School Bus</v>
      </c>
      <c r="U204" s="8" t="str">
        <f ca="1">IFERROR(__xludf.DUMMYFUNCTION("""COMPUTED_VALUE"""),"Yes")</f>
        <v>Yes</v>
      </c>
      <c r="V204" s="8" t="str">
        <f ca="1">IFERROR(__xludf.DUMMYFUNCTION("""COMPUTED_VALUE"""),"Dismissal")</f>
        <v>Dismissal</v>
      </c>
      <c r="W204" s="11">
        <f ca="1">IFERROR(__xludf.DUMMYFUNCTION("""COMPUTED_VALUE"""),0.627777777777777)</f>
        <v>0.62777777777777699</v>
      </c>
      <c r="X204" s="8">
        <f ca="1">IFERROR(__xludf.DUMMYFUNCTION("""COMPUTED_VALUE"""),1)</f>
        <v>1</v>
      </c>
      <c r="Y204" s="12" t="str">
        <f ca="1">IFERROR(__xludf.DUMMYFUNCTION("""COMPUTED_VALUE"""),"Multiple shots hit bus taking students home from school")</f>
        <v>Multiple shots hit bus taking students home from school</v>
      </c>
      <c r="Z204" s="12" t="str">
        <f ca="1">IFERROR(__xludf.DUMMYFUNCTION("""COMPUTED_VALUE"""),"Multiple shots fired from a vehicle struck a school bus taking students home. No students were injured.")</f>
        <v>Multiple shots fired from a vehicle struck a school bus taking students home. No students were injured.</v>
      </c>
      <c r="AA204" s="8" t="str">
        <f ca="1">IFERROR(__xludf.DUMMYFUNCTION("""COMPUTED_VALUE"""),"Drive-by Shooting")</f>
        <v>Drive-by Shooting</v>
      </c>
      <c r="AB204" s="8"/>
      <c r="AC204" s="8" t="str">
        <f ca="1">IFERROR(__xludf.DUMMYFUNCTION("""COMPUTED_VALUE"""),"Yes")</f>
        <v>Yes</v>
      </c>
      <c r="AD204" s="8" t="str">
        <f ca="1">IFERROR(__xludf.DUMMYFUNCTION("""COMPUTED_VALUE"""),"Both")</f>
        <v>Both</v>
      </c>
      <c r="AE204" s="8"/>
      <c r="AF204" s="8"/>
      <c r="AG204" s="8" t="str">
        <f ca="1">IFERROR(__xludf.DUMMYFUNCTION("""COMPUTED_VALUE"""),"No")</f>
        <v>No</v>
      </c>
      <c r="AH204" s="8" t="str">
        <f ca="1">IFERROR(__xludf.DUMMYFUNCTION("""COMPUTED_VALUE"""),"No")</f>
        <v>No</v>
      </c>
      <c r="AI204" s="8" t="str">
        <f ca="1">IFERROR(__xludf.DUMMYFUNCTION("""COMPUTED_VALUE"""),"No")</f>
        <v>No</v>
      </c>
      <c r="AJ204" s="8" t="str">
        <f ca="1">IFERROR(__xludf.DUMMYFUNCTION("""COMPUTED_VALUE"""),"No")</f>
        <v>No</v>
      </c>
      <c r="AK204" s="8" t="str">
        <f ca="1">IFERROR(__xludf.DUMMYFUNCTION("""COMPUTED_VALUE"""),"No")</f>
        <v>No</v>
      </c>
      <c r="AL204" s="8"/>
      <c r="AM204" s="8" t="str">
        <f ca="1">IFERROR(__xludf.DUMMYFUNCTION("""COMPUTED_VALUE"""),"No")</f>
        <v>No</v>
      </c>
      <c r="AN204" s="8" t="str">
        <f ca="1">IFERROR(__xludf.DUMMYFUNCTION("""COMPUTED_VALUE"""),"Outside")</f>
        <v>Outside</v>
      </c>
      <c r="AO204" s="8" t="str">
        <f ca="1">IFERROR(__xludf.DUMMYFUNCTION("""COMPUTED_VALUE"""),"No")</f>
        <v>No</v>
      </c>
      <c r="AP204" s="8"/>
      <c r="AQ204" s="8"/>
      <c r="AR204" s="8" t="str">
        <f ca="1">IFERROR(__xludf.DUMMYFUNCTION("""COMPUTED_VALUE"""),"Outside/Off-Property")</f>
        <v>Outside/Off-Property</v>
      </c>
      <c r="AS204" s="8">
        <f ca="1">IFERROR(__xludf.DUMMYFUNCTION("""COMPUTED_VALUE"""),99)</f>
        <v>99</v>
      </c>
      <c r="AT204" s="8" t="str">
        <f ca="1">IFERROR(__xludf.DUMMYFUNCTION("""COMPUTED_VALUE"""),"No")</f>
        <v>No</v>
      </c>
      <c r="AU204" s="8">
        <f ca="1">IFERROR(__xludf.DUMMYFUNCTION("""COMPUTED_VALUE"""),39.993729)</f>
        <v>39.993729000000002</v>
      </c>
      <c r="AV204" s="8">
        <f ca="1">IFERROR(__xludf.DUMMYFUNCTION("""COMPUTED_VALUE"""),-82.98184)</f>
        <v>-82.981840000000005</v>
      </c>
      <c r="AW204" s="8"/>
      <c r="AX204" s="8">
        <f ca="1">IFERROR(__xludf.DUMMYFUNCTION("""COMPUTED_VALUE"""),43211)</f>
        <v>43211</v>
      </c>
    </row>
    <row r="205" spans="1:50" ht="75" x14ac:dyDescent="0.2">
      <c r="A205" s="8" t="str">
        <f ca="1">IFERROR(__xludf.DUMMYFUNCTION("""COMPUTED_VALUE"""),"20241119TNCEM")</f>
        <v>20241119TNCEM</v>
      </c>
      <c r="B205" s="8">
        <f ca="1">IFERROR(__xludf.DUMMYFUNCTION("""COMPUTED_VALUE"""),11)</f>
        <v>11</v>
      </c>
      <c r="C205" s="8">
        <f ca="1">IFERROR(__xludf.DUMMYFUNCTION("""COMPUTED_VALUE"""),18)</f>
        <v>18</v>
      </c>
      <c r="D205" s="8">
        <f ca="1">IFERROR(__xludf.DUMMYFUNCTION("""COMPUTED_VALUE"""),2024)</f>
        <v>2024</v>
      </c>
      <c r="E205" s="9">
        <f ca="1">IFERROR(__xludf.DUMMYFUNCTION("""COMPUTED_VALUE"""),45614)</f>
        <v>45614</v>
      </c>
      <c r="F205" s="8" t="str">
        <f ca="1">IFERROR(__xludf.DUMMYFUNCTION("""COMPUTED_VALUE"""),"Central High School")</f>
        <v>Central High School</v>
      </c>
      <c r="G205" s="8">
        <f ca="1">IFERROR(__xludf.DUMMYFUNCTION("""COMPUTED_VALUE"""),0)</f>
        <v>0</v>
      </c>
      <c r="H205" s="8">
        <f ca="1">IFERROR(__xludf.DUMMYFUNCTION("""COMPUTED_VALUE"""),1)</f>
        <v>1</v>
      </c>
      <c r="I205" s="8">
        <f ca="1">IFERROR(__xludf.DUMMYFUNCTION("""COMPUTED_VALUE"""),1)</f>
        <v>1</v>
      </c>
      <c r="J205" s="8">
        <f ca="1">IFERROR(__xludf.DUMMYFUNCTION("""COMPUTED_VALUE"""),0)</f>
        <v>0</v>
      </c>
      <c r="K205" s="10" t="str">
        <f ca="1">IFERROR(__xludf.DUMMYFUNCTION("""COMPUTED_VALUE"""),"https://wreg.com/news/shooting-at-central-high-sends-student-to-hospital-school-board-member/
https://www.actionnews5.com/2024/11/19/student-custody-after-wounding-classmate-targeted-shooting-behind-central-high-school/
https://www.localmemphis.com/articl"&amp;"e/news/crime/shooting-central-high-school/522-28601705-6306-457d-b1ce-b4e0057bc8f0")</f>
        <v>https://wreg.com/news/shooting-at-central-high-sends-student-to-hospital-school-board-member/
https://www.actionnews5.com/2024/11/19/student-custody-after-wounding-classmate-targeted-shooting-behind-central-high-school/
https://www.localmemphis.com/article/news/crime/shooting-central-high-school/522-28601705-6306-457d-b1ce-b4e0057bc8f0</v>
      </c>
      <c r="L205" s="8">
        <f ca="1">IFERROR(__xludf.DUMMYFUNCTION("""COMPUTED_VALUE"""),10)</f>
        <v>10</v>
      </c>
      <c r="M205" s="8" t="str">
        <f ca="1">IFERROR(__xludf.DUMMYFUNCTION("""COMPUTED_VALUE"""),"Regional")</f>
        <v>Regional</v>
      </c>
      <c r="N205" s="8">
        <f ca="1">IFERROR(__xludf.DUMMYFUNCTION("""COMPUTED_VALUE"""),4)</f>
        <v>4</v>
      </c>
      <c r="O205" s="8" t="str">
        <f ca="1">IFERROR(__xludf.DUMMYFUNCTION("""COMPUTED_VALUE"""),"Fall")</f>
        <v>Fall</v>
      </c>
      <c r="P205" s="8" t="str">
        <f ca="1">IFERROR(__xludf.DUMMYFUNCTION("""COMPUTED_VALUE"""),"Memphis")</f>
        <v>Memphis</v>
      </c>
      <c r="Q205" s="8" t="str">
        <f ca="1">IFERROR(__xludf.DUMMYFUNCTION("""COMPUTED_VALUE"""),"TN")</f>
        <v>TN</v>
      </c>
      <c r="R205" s="8" t="str">
        <f ca="1">IFERROR(__xludf.DUMMYFUNCTION("""COMPUTED_VALUE"""),"High")</f>
        <v>High</v>
      </c>
      <c r="S205" s="8" t="str">
        <f ca="1">IFERROR(__xludf.DUMMYFUNCTION("""COMPUTED_VALUE"""),"Parking Lot")</f>
        <v>Parking Lot</v>
      </c>
      <c r="T205" s="8" t="str">
        <f ca="1">IFERROR(__xludf.DUMMYFUNCTION("""COMPUTED_VALUE"""),"Outside on School Property")</f>
        <v>Outside on School Property</v>
      </c>
      <c r="U205" s="8" t="str">
        <f ca="1">IFERROR(__xludf.DUMMYFUNCTION("""COMPUTED_VALUE"""),"Yes")</f>
        <v>Yes</v>
      </c>
      <c r="V205" s="8" t="str">
        <f ca="1">IFERROR(__xludf.DUMMYFUNCTION("""COMPUTED_VALUE"""),"Dismissal")</f>
        <v>Dismissal</v>
      </c>
      <c r="W205" s="11">
        <f ca="1">IFERROR(__xludf.DUMMYFUNCTION("""COMPUTED_VALUE"""),0.613888888888888)</f>
        <v>0.61388888888888804</v>
      </c>
      <c r="X205" s="8">
        <f ca="1">IFERROR(__xludf.DUMMYFUNCTION("""COMPUTED_VALUE"""),1)</f>
        <v>1</v>
      </c>
      <c r="Y205" s="12" t="str">
        <f ca="1">IFERROR(__xludf.DUMMYFUNCTION("""COMPUTED_VALUE"""),"Student threatened during class and then shot in the parking lot at dismissal")</f>
        <v>Student threatened during class and then shot in the parking lot at dismissal</v>
      </c>
      <c r="Z205" s="12" t="str">
        <f ca="1">IFERROR(__xludf.DUMMYFUNCTION("""COMPUTED_VALUE"""),"A student was threatened by a classmate during class and then shot in the school parking lot at dismissal. Shooter fled before police arrived. Gun used was owned by the 16-year-old shooter's grandmother.")</f>
        <v>A student was threatened by a classmate during class and then shot in the school parking lot at dismissal. Shooter fled before police arrived. Gun used was owned by the 16-year-old shooter's grandmother.</v>
      </c>
      <c r="AA205" s="8" t="str">
        <f ca="1">IFERROR(__xludf.DUMMYFUNCTION("""COMPUTED_VALUE"""),"Escalation of Dispute")</f>
        <v>Escalation of Dispute</v>
      </c>
      <c r="AB205" s="8" t="str">
        <f ca="1">IFERROR(__xludf.DUMMYFUNCTION("""COMPUTED_VALUE"""),"Targeted")</f>
        <v>Targeted</v>
      </c>
      <c r="AC205" s="8" t="str">
        <f ca="1">IFERROR(__xludf.DUMMYFUNCTION("""COMPUTED_VALUE"""),"Yes")</f>
        <v>Yes</v>
      </c>
      <c r="AD205" s="8" t="str">
        <f ca="1">IFERROR(__xludf.DUMMYFUNCTION("""COMPUTED_VALUE"""),"Victims Targeted")</f>
        <v>Victims Targeted</v>
      </c>
      <c r="AE205" s="8" t="str">
        <f ca="1">IFERROR(__xludf.DUMMYFUNCTION("""COMPUTED_VALUE"""),"No")</f>
        <v>No</v>
      </c>
      <c r="AF205" s="8"/>
      <c r="AG205" s="8" t="str">
        <f ca="1">IFERROR(__xludf.DUMMYFUNCTION("""COMPUTED_VALUE"""),"No")</f>
        <v>No</v>
      </c>
      <c r="AH205" s="8" t="str">
        <f ca="1">IFERROR(__xludf.DUMMYFUNCTION("""COMPUTED_VALUE"""),"No")</f>
        <v>No</v>
      </c>
      <c r="AI205" s="8" t="str">
        <f ca="1">IFERROR(__xludf.DUMMYFUNCTION("""COMPUTED_VALUE"""),"No")</f>
        <v>No</v>
      </c>
      <c r="AJ205" s="8"/>
      <c r="AK205" s="8" t="str">
        <f ca="1">IFERROR(__xludf.DUMMYFUNCTION("""COMPUTED_VALUE"""),"No")</f>
        <v>No</v>
      </c>
      <c r="AL205" s="8"/>
      <c r="AM205" s="8" t="str">
        <f ca="1">IFERROR(__xludf.DUMMYFUNCTION("""COMPUTED_VALUE"""),"No")</f>
        <v>No</v>
      </c>
      <c r="AN205" s="8" t="str">
        <f ca="1">IFERROR(__xludf.DUMMYFUNCTION("""COMPUTED_VALUE"""),"Outside")</f>
        <v>Outside</v>
      </c>
      <c r="AO205" s="8" t="str">
        <f ca="1">IFERROR(__xludf.DUMMYFUNCTION("""COMPUTED_VALUE"""),"No")</f>
        <v>No</v>
      </c>
      <c r="AP205" s="8"/>
      <c r="AQ205" s="8"/>
      <c r="AR205" s="8" t="str">
        <f ca="1">IFERROR(__xludf.DUMMYFUNCTION("""COMPUTED_VALUE"""),"Outside/Off-Property")</f>
        <v>Outside/Off-Property</v>
      </c>
      <c r="AS205" s="8">
        <f ca="1">IFERROR(__xludf.DUMMYFUNCTION("""COMPUTED_VALUE"""),99)</f>
        <v>99</v>
      </c>
      <c r="AT205" s="8" t="str">
        <f ca="1">IFERROR(__xludf.DUMMYFUNCTION("""COMPUTED_VALUE"""),"No")</f>
        <v>No</v>
      </c>
      <c r="AU205" s="8">
        <f ca="1">IFERROR(__xludf.DUMMYFUNCTION("""COMPUTED_VALUE"""),35.134384)</f>
        <v>35.134383999999997</v>
      </c>
      <c r="AV205" s="8">
        <f ca="1">IFERROR(__xludf.DUMMYFUNCTION("""COMPUTED_VALUE"""),-90.019154)</f>
        <v>-90.019154</v>
      </c>
      <c r="AW205" s="8" t="str">
        <f ca="1">IFERROR(__xludf.DUMMYFUNCTION("""COMPUTED_VALUE"""),"Single building indoor hallway")</f>
        <v>Single building indoor hallway</v>
      </c>
      <c r="AX205" s="8">
        <f ca="1">IFERROR(__xludf.DUMMYFUNCTION("""COMPUTED_VALUE"""),38104)</f>
        <v>38104</v>
      </c>
    </row>
    <row r="206" spans="1:50" ht="150" x14ac:dyDescent="0.2">
      <c r="A206" s="8" t="str">
        <f ca="1">IFERROR(__xludf.DUMMYFUNCTION("""COMPUTED_VALUE"""),"20241112ALWOB")</f>
        <v>20241112ALWOB</v>
      </c>
      <c r="B206" s="8">
        <f ca="1">IFERROR(__xludf.DUMMYFUNCTION("""COMPUTED_VALUE"""),11)</f>
        <v>11</v>
      </c>
      <c r="C206" s="8">
        <f ca="1">IFERROR(__xludf.DUMMYFUNCTION("""COMPUTED_VALUE"""),12)</f>
        <v>12</v>
      </c>
      <c r="D206" s="8">
        <f ca="1">IFERROR(__xludf.DUMMYFUNCTION("""COMPUTED_VALUE"""),2024)</f>
        <v>2024</v>
      </c>
      <c r="E206" s="9">
        <f ca="1">IFERROR(__xludf.DUMMYFUNCTION("""COMPUTED_VALUE"""),45608)</f>
        <v>45608</v>
      </c>
      <c r="F206" s="8" t="str">
        <f ca="1">IFERROR(__xludf.DUMMYFUNCTION("""COMPUTED_VALUE"""),"Woodlawn High School")</f>
        <v>Woodlawn High School</v>
      </c>
      <c r="G206" s="8">
        <f ca="1">IFERROR(__xludf.DUMMYFUNCTION("""COMPUTED_VALUE"""),1)</f>
        <v>1</v>
      </c>
      <c r="H206" s="8">
        <f ca="1">IFERROR(__xludf.DUMMYFUNCTION("""COMPUTED_VALUE"""),0)</f>
        <v>0</v>
      </c>
      <c r="I206" s="8">
        <f ca="1">IFERROR(__xludf.DUMMYFUNCTION("""COMPUTED_VALUE"""),1)</f>
        <v>1</v>
      </c>
      <c r="J206" s="8">
        <f ca="1">IFERROR(__xludf.DUMMYFUNCTION("""COMPUTED_VALUE"""),0)</f>
        <v>0</v>
      </c>
      <c r="K206" s="8" t="str">
        <f ca="1">IFERROR(__xludf.DUMMYFUNCTION("""COMPUTED_VALUE"""),"https://www.al.com/news/2024/11/beloved-birmingham-student-athlete-17-fatally-shot-outside-woodlawn-high-school-always-had-a-smile.html
https://www.al.com/news/2024/11/birmingham-student-seriously-injured-in-shooting-outside-woodlawn-high-school-basketbal"&amp;"l-game.html
https://abc3340.com/news/local/alabama-jefferson-county-birmingham-police-department-fire-rescue-police-presence-woodlawn-high-school-tuesday-november-12-2024-investigation-update
https://www.wbrc.com/2024/11/13/teenager-shot-near-woodlawn-hig"&amp;"h-school-birmingham-tuesday-night/")</f>
        <v>https://www.al.com/news/2024/11/beloved-birmingham-student-athlete-17-fatally-shot-outside-woodlawn-high-school-always-had-a-smile.html
https://www.al.com/news/2024/11/birmingham-student-seriously-injured-in-shooting-outside-woodlawn-high-school-basketball-game.html
https://abc3340.com/news/local/alabama-jefferson-county-birmingham-police-department-fire-rescue-police-presence-woodlawn-high-school-tuesday-november-12-2024-investigation-update
https://www.wbrc.com/2024/11/13/teenager-shot-near-woodlawn-high-school-birmingham-tuesday-night/</v>
      </c>
      <c r="L206" s="8">
        <f ca="1">IFERROR(__xludf.DUMMYFUNCTION("""COMPUTED_VALUE"""),20)</f>
        <v>20</v>
      </c>
      <c r="M206" s="8" t="str">
        <f ca="1">IFERROR(__xludf.DUMMYFUNCTION("""COMPUTED_VALUE"""),"Regional")</f>
        <v>Regional</v>
      </c>
      <c r="N206" s="8">
        <f ca="1">IFERROR(__xludf.DUMMYFUNCTION("""COMPUTED_VALUE"""),4)</f>
        <v>4</v>
      </c>
      <c r="O206" s="8" t="str">
        <f ca="1">IFERROR(__xludf.DUMMYFUNCTION("""COMPUTED_VALUE"""),"Fall")</f>
        <v>Fall</v>
      </c>
      <c r="P206" s="8" t="str">
        <f ca="1">IFERROR(__xludf.DUMMYFUNCTION("""COMPUTED_VALUE"""),"Birmingham")</f>
        <v>Birmingham</v>
      </c>
      <c r="Q206" s="8" t="str">
        <f ca="1">IFERROR(__xludf.DUMMYFUNCTION("""COMPUTED_VALUE"""),"AL")</f>
        <v>AL</v>
      </c>
      <c r="R206" s="8" t="str">
        <f ca="1">IFERROR(__xludf.DUMMYFUNCTION("""COMPUTED_VALUE"""),"High")</f>
        <v>High</v>
      </c>
      <c r="S206" s="8" t="str">
        <f ca="1">IFERROR(__xludf.DUMMYFUNCTION("""COMPUTED_VALUE"""),"Parking Lot")</f>
        <v>Parking Lot</v>
      </c>
      <c r="T206" s="8" t="str">
        <f ca="1">IFERROR(__xludf.DUMMYFUNCTION("""COMPUTED_VALUE"""),"Outside on School Property")</f>
        <v>Outside on School Property</v>
      </c>
      <c r="U206" s="8" t="str">
        <f ca="1">IFERROR(__xludf.DUMMYFUNCTION("""COMPUTED_VALUE"""),"No")</f>
        <v>No</v>
      </c>
      <c r="V206" s="8" t="str">
        <f ca="1">IFERROR(__xludf.DUMMYFUNCTION("""COMPUTED_VALUE"""),"Sport Event")</f>
        <v>Sport Event</v>
      </c>
      <c r="W206" s="11">
        <f ca="1">IFERROR(__xludf.DUMMYFUNCTION("""COMPUTED_VALUE"""),0.916666666666666)</f>
        <v>0.91666666666666596</v>
      </c>
      <c r="X206" s="8">
        <f ca="1">IFERROR(__xludf.DUMMYFUNCTION("""COMPUTED_VALUE"""),1)</f>
        <v>1</v>
      </c>
      <c r="Y206" s="12" t="str">
        <f ca="1">IFERROR(__xludf.DUMMYFUNCTION("""COMPUTED_VALUE"""),"Student wounded when 50 shots were fired in the parking lot during a fight at a basketball game")</f>
        <v>Student wounded when 50 shots were fired in the parking lot during a fight at a basketball game</v>
      </c>
      <c r="Z206" s="12" t="str">
        <f ca="1">IFERROR(__xludf.DUMMYFUNCTION("""COMPUTED_VALUE"""),"50 shots were fired during a fight in the parking lot of Woodlawn High School in Birmingham, AL at the end of a varsity basketball game last night last night. One 17-year-old student was wounded and driven by his friends to the front of the school for hel"&amp;"p. Police were assigned to the school for the game and provided first aid to the unresponsive victim until he was transported to the hospital. Attendees inside the gym were locked down for 45 minutes. The shooter fled immediately after the shooting and wa"&amp;"s not identified.")</f>
        <v>50 shots were fired during a fight in the parking lot of Woodlawn High School in Birmingham, AL at the end of a varsity basketball game last night last night. One 17-year-old student was wounded and driven by his friends to the front of the school for help. Police were assigned to the school for the game and provided first aid to the unresponsive victim until he was transported to the hospital. Attendees inside the gym were locked down for 45 minutes. The shooter fled immediately after the shooting and was not identified.</v>
      </c>
      <c r="AA206" s="8" t="str">
        <f ca="1">IFERROR(__xludf.DUMMYFUNCTION("""COMPUTED_VALUE"""),"Escalation of Dispute")</f>
        <v>Escalation of Dispute</v>
      </c>
      <c r="AB206" s="8" t="str">
        <f ca="1">IFERROR(__xludf.DUMMYFUNCTION("""COMPUTED_VALUE"""),"Spontaneous")</f>
        <v>Spontaneous</v>
      </c>
      <c r="AC206" s="8" t="str">
        <f ca="1">IFERROR(__xludf.DUMMYFUNCTION("""COMPUTED_VALUE"""),"Yes")</f>
        <v>Yes</v>
      </c>
      <c r="AD206" s="8" t="str">
        <f ca="1">IFERROR(__xludf.DUMMYFUNCTION("""COMPUTED_VALUE"""),"Victims Targeted")</f>
        <v>Victims Targeted</v>
      </c>
      <c r="AE206" s="8" t="str">
        <f ca="1">IFERROR(__xludf.DUMMYFUNCTION("""COMPUTED_VALUE"""),"No")</f>
        <v>No</v>
      </c>
      <c r="AF206" s="8"/>
      <c r="AG206" s="8" t="str">
        <f ca="1">IFERROR(__xludf.DUMMYFUNCTION("""COMPUTED_VALUE"""),"No")</f>
        <v>No</v>
      </c>
      <c r="AH206" s="8" t="str">
        <f ca="1">IFERROR(__xludf.DUMMYFUNCTION("""COMPUTED_VALUE"""),"No")</f>
        <v>No</v>
      </c>
      <c r="AI206" s="8" t="str">
        <f ca="1">IFERROR(__xludf.DUMMYFUNCTION("""COMPUTED_VALUE"""),"No")</f>
        <v>No</v>
      </c>
      <c r="AJ206" s="8" t="str">
        <f ca="1">IFERROR(__xludf.DUMMYFUNCTION("""COMPUTED_VALUE"""),"No")</f>
        <v>No</v>
      </c>
      <c r="AK206" s="8" t="str">
        <f ca="1">IFERROR(__xludf.DUMMYFUNCTION("""COMPUTED_VALUE"""),"No")</f>
        <v>No</v>
      </c>
      <c r="AL206" s="8" t="str">
        <f ca="1">IFERROR(__xludf.DUMMYFUNCTION("""COMPUTED_VALUE"""),"No")</f>
        <v>No</v>
      </c>
      <c r="AM206" s="8" t="str">
        <f ca="1">IFERROR(__xludf.DUMMYFUNCTION("""COMPUTED_VALUE"""),"No")</f>
        <v>No</v>
      </c>
      <c r="AN206" s="8" t="str">
        <f ca="1">IFERROR(__xludf.DUMMYFUNCTION("""COMPUTED_VALUE"""),"Outside")</f>
        <v>Outside</v>
      </c>
      <c r="AO206" s="8" t="str">
        <f ca="1">IFERROR(__xludf.DUMMYFUNCTION("""COMPUTED_VALUE"""),"No")</f>
        <v>No</v>
      </c>
      <c r="AP206" s="8" t="str">
        <f ca="1">IFERROR(__xludf.DUMMYFUNCTION("""COMPUTED_VALUE"""),"Yes")</f>
        <v>Yes</v>
      </c>
      <c r="AQ206" s="8"/>
      <c r="AR206" s="8" t="str">
        <f ca="1">IFERROR(__xludf.DUMMYFUNCTION("""COMPUTED_VALUE"""),"Outside/Off-Property")</f>
        <v>Outside/Off-Property</v>
      </c>
      <c r="AS206" s="8">
        <f ca="1">IFERROR(__xludf.DUMMYFUNCTION("""COMPUTED_VALUE"""),50)</f>
        <v>50</v>
      </c>
      <c r="AT206" s="8" t="str">
        <f ca="1">IFERROR(__xludf.DUMMYFUNCTION("""COMPUTED_VALUE"""),"Yes")</f>
        <v>Yes</v>
      </c>
      <c r="AU206" s="8">
        <f ca="1">IFERROR(__xludf.DUMMYFUNCTION("""COMPUTED_VALUE"""),33.541897)</f>
        <v>33.541896999999999</v>
      </c>
      <c r="AV206" s="8">
        <f ca="1">IFERROR(__xludf.DUMMYFUNCTION("""COMPUTED_VALUE"""),-86.751785)</f>
        <v>-86.751784999999998</v>
      </c>
      <c r="AW206" s="8" t="str">
        <f ca="1">IFERROR(__xludf.DUMMYFUNCTION("""COMPUTED_VALUE"""),"Multiple detached buildings")</f>
        <v>Multiple detached buildings</v>
      </c>
      <c r="AX206" s="8">
        <f ca="1">IFERROR(__xludf.DUMMYFUNCTION("""COMPUTED_VALUE"""),35212)</f>
        <v>35212</v>
      </c>
    </row>
    <row r="207" spans="1:50" ht="180" x14ac:dyDescent="0.2">
      <c r="A207" s="8" t="str">
        <f ca="1">IFERROR(__xludf.DUMMYFUNCTION("""COMPUTED_VALUE"""),"20241112GATWA")</f>
        <v>20241112GATWA</v>
      </c>
      <c r="B207" s="8">
        <f ca="1">IFERROR(__xludf.DUMMYFUNCTION("""COMPUTED_VALUE"""),11)</f>
        <v>11</v>
      </c>
      <c r="C207" s="8">
        <f ca="1">IFERROR(__xludf.DUMMYFUNCTION("""COMPUTED_VALUE"""),12)</f>
        <v>12</v>
      </c>
      <c r="D207" s="8">
        <f ca="1">IFERROR(__xludf.DUMMYFUNCTION("""COMPUTED_VALUE"""),2024)</f>
        <v>2024</v>
      </c>
      <c r="E207" s="9">
        <f ca="1">IFERROR(__xludf.DUMMYFUNCTION("""COMPUTED_VALUE"""),45608)</f>
        <v>45608</v>
      </c>
      <c r="F207" s="8" t="str">
        <f ca="1">IFERROR(__xludf.DUMMYFUNCTION("""COMPUTED_VALUE"""),"T.W. Josey High School")</f>
        <v>T.W. Josey High School</v>
      </c>
      <c r="G207" s="8">
        <f ca="1">IFERROR(__xludf.DUMMYFUNCTION("""COMPUTED_VALUE"""),0)</f>
        <v>0</v>
      </c>
      <c r="H207" s="8">
        <f ca="1">IFERROR(__xludf.DUMMYFUNCTION("""COMPUTED_VALUE"""),1)</f>
        <v>1</v>
      </c>
      <c r="I207" s="8">
        <f ca="1">IFERROR(__xludf.DUMMYFUNCTION("""COMPUTED_VALUE"""),1)</f>
        <v>1</v>
      </c>
      <c r="J207" s="8">
        <f ca="1">IFERROR(__xludf.DUMMYFUNCTION("""COMPUTED_VALUE"""),0)</f>
        <v>0</v>
      </c>
      <c r="K207" s="10" t="str">
        <f ca="1">IFERROR(__xludf.DUMMYFUNCTION("""COMPUTED_VALUE"""),"https://www.wjbf.com/news/crime-news/middle-school-student-shot-near-josey-high-school/
https://theaugustapress.com/rcso-respond-to-shooting-incident-near-t-w-josey-high-school/")</f>
        <v>https://www.wjbf.com/news/crime-news/middle-school-student-shot-near-josey-high-school/
https://theaugustapress.com/rcso-respond-to-shooting-incident-near-t-w-josey-high-school/</v>
      </c>
      <c r="L207" s="8">
        <f ca="1">IFERROR(__xludf.DUMMYFUNCTION("""COMPUTED_VALUE"""),2)</f>
        <v>2</v>
      </c>
      <c r="M207" s="8" t="str">
        <f ca="1">IFERROR(__xludf.DUMMYFUNCTION("""COMPUTED_VALUE"""),"Local")</f>
        <v>Local</v>
      </c>
      <c r="N207" s="8">
        <f ca="1">IFERROR(__xludf.DUMMYFUNCTION("""COMPUTED_VALUE"""),3)</f>
        <v>3</v>
      </c>
      <c r="O207" s="8" t="str">
        <f ca="1">IFERROR(__xludf.DUMMYFUNCTION("""COMPUTED_VALUE"""),"Fall")</f>
        <v>Fall</v>
      </c>
      <c r="P207" s="8" t="str">
        <f ca="1">IFERROR(__xludf.DUMMYFUNCTION("""COMPUTED_VALUE"""),"Augusta")</f>
        <v>Augusta</v>
      </c>
      <c r="Q207" s="8" t="str">
        <f ca="1">IFERROR(__xludf.DUMMYFUNCTION("""COMPUTED_VALUE"""),"GA")</f>
        <v>GA</v>
      </c>
      <c r="R207" s="8" t="str">
        <f ca="1">IFERROR(__xludf.DUMMYFUNCTION("""COMPUTED_VALUE"""),"High")</f>
        <v>High</v>
      </c>
      <c r="S207" s="8" t="str">
        <f ca="1">IFERROR(__xludf.DUMMYFUNCTION("""COMPUTED_VALUE"""),"Sidewalk")</f>
        <v>Sidewalk</v>
      </c>
      <c r="T207" s="8" t="str">
        <f ca="1">IFERROR(__xludf.DUMMYFUNCTION("""COMPUTED_VALUE"""),"Outside on School Property")</f>
        <v>Outside on School Property</v>
      </c>
      <c r="U207" s="8" t="str">
        <f ca="1">IFERROR(__xludf.DUMMYFUNCTION("""COMPUTED_VALUE"""),"Yes")</f>
        <v>Yes</v>
      </c>
      <c r="V207" s="8" t="str">
        <f ca="1">IFERROR(__xludf.DUMMYFUNCTION("""COMPUTED_VALUE"""),"School Start")</f>
        <v>School Start</v>
      </c>
      <c r="W207" s="11">
        <f ca="1">IFERROR(__xludf.DUMMYFUNCTION("""COMPUTED_VALUE"""),0.384722222222222)</f>
        <v>0.38472222222222202</v>
      </c>
      <c r="X207" s="8">
        <f ca="1">IFERROR(__xludf.DUMMYFUNCTION("""COMPUTED_VALUE"""),1)</f>
        <v>1</v>
      </c>
      <c r="Y207" s="12" t="str">
        <f ca="1">IFERROR(__xludf.DUMMYFUNCTION("""COMPUTED_VALUE"""),"Female student was shot during fight between two students")</f>
        <v>Female student was shot during fight between two students</v>
      </c>
      <c r="Z207" s="12" t="str">
        <f ca="1">IFERROR(__xludf.DUMMYFUNCTION("""COMPUTED_VALUE"""),"According to the Richmond County Sheriff’s Office, deputies responded at 9:14 A.M. to Koger Street at Eagles Way in reference to the shooting. A representative with Richmond County Schools tells us that an altercation between a student from Murphey Middle"&amp;" School and a student from the Alternative School at Morgan Road resulted in one student being shot. The female student was transported by EMS to the hospital for treatment. Both Josey High School and Murphey Middle School were placed on lockdown. Jenkins"&amp;"-White Elementary School and Wilkinson Gardens Elementary also secured their schools. All 4 have since lifted their lockdowns.")</f>
        <v>According to the Richmond County Sheriff’s Office, deputies responded at 9:14 A.M. to Koger Street at Eagles Way in reference to the shooting. A representative with Richmond County Schools tells us that an altercation between a student from Murphey Middle School and a student from the Alternative School at Morgan Road resulted in one student being shot. The female student was transported by EMS to the hospital for treatment. Both Josey High School and Murphey Middle School were placed on lockdown. Jenkins-White Elementary School and Wilkinson Gardens Elementary also secured their schools. All 4 have since lifted their lockdowns.</v>
      </c>
      <c r="AA207" s="8" t="str">
        <f ca="1">IFERROR(__xludf.DUMMYFUNCTION("""COMPUTED_VALUE"""),"Escalation of Dispute")</f>
        <v>Escalation of Dispute</v>
      </c>
      <c r="AB207" s="8" t="str">
        <f ca="1">IFERROR(__xludf.DUMMYFUNCTION("""COMPUTED_VALUE"""),"Spontaneous")</f>
        <v>Spontaneous</v>
      </c>
      <c r="AC207" s="8" t="str">
        <f ca="1">IFERROR(__xludf.DUMMYFUNCTION("""COMPUTED_VALUE"""),"Yes")</f>
        <v>Yes</v>
      </c>
      <c r="AD207" s="8" t="str">
        <f ca="1">IFERROR(__xludf.DUMMYFUNCTION("""COMPUTED_VALUE"""),"Both")</f>
        <v>Both</v>
      </c>
      <c r="AE207" s="8" t="str">
        <f ca="1">IFERROR(__xludf.DUMMYFUNCTION("""COMPUTED_VALUE"""),"No")</f>
        <v>No</v>
      </c>
      <c r="AF207" s="8"/>
      <c r="AG207" s="8" t="str">
        <f ca="1">IFERROR(__xludf.DUMMYFUNCTION("""COMPUTED_VALUE"""),"No")</f>
        <v>No</v>
      </c>
      <c r="AH207" s="8" t="str">
        <f ca="1">IFERROR(__xludf.DUMMYFUNCTION("""COMPUTED_VALUE"""),"No")</f>
        <v>No</v>
      </c>
      <c r="AI207" s="8" t="str">
        <f ca="1">IFERROR(__xludf.DUMMYFUNCTION("""COMPUTED_VALUE"""),"No")</f>
        <v>No</v>
      </c>
      <c r="AJ207" s="8"/>
      <c r="AK207" s="8" t="str">
        <f ca="1">IFERROR(__xludf.DUMMYFUNCTION("""COMPUTED_VALUE"""),"No")</f>
        <v>No</v>
      </c>
      <c r="AL207" s="8"/>
      <c r="AM207" s="8" t="str">
        <f ca="1">IFERROR(__xludf.DUMMYFUNCTION("""COMPUTED_VALUE"""),"No")</f>
        <v>No</v>
      </c>
      <c r="AN207" s="8" t="str">
        <f ca="1">IFERROR(__xludf.DUMMYFUNCTION("""COMPUTED_VALUE"""),"Outside")</f>
        <v>Outside</v>
      </c>
      <c r="AO207" s="8" t="str">
        <f ca="1">IFERROR(__xludf.DUMMYFUNCTION("""COMPUTED_VALUE"""),"No")</f>
        <v>No</v>
      </c>
      <c r="AP207" s="8"/>
      <c r="AQ207" s="8"/>
      <c r="AR207" s="8" t="str">
        <f ca="1">IFERROR(__xludf.DUMMYFUNCTION("""COMPUTED_VALUE"""),"Outside/Off-Property")</f>
        <v>Outside/Off-Property</v>
      </c>
      <c r="AS207" s="8">
        <f ca="1">IFERROR(__xludf.DUMMYFUNCTION("""COMPUTED_VALUE"""),99)</f>
        <v>99</v>
      </c>
      <c r="AT207" s="8" t="str">
        <f ca="1">IFERROR(__xludf.DUMMYFUNCTION("""COMPUTED_VALUE"""),"Yes")</f>
        <v>Yes</v>
      </c>
      <c r="AU207" s="8">
        <f ca="1">IFERROR(__xludf.DUMMYFUNCTION("""COMPUTED_VALUE"""),33.455511)</f>
        <v>33.455511000000001</v>
      </c>
      <c r="AV207" s="8">
        <f ca="1">IFERROR(__xludf.DUMMYFUNCTION("""COMPUTED_VALUE"""),-82.004567)</f>
        <v>-82.004566999999994</v>
      </c>
      <c r="AW207" s="8" t="str">
        <f ca="1">IFERROR(__xludf.DUMMYFUNCTION("""COMPUTED_VALUE"""),"Multiple detached buildings")</f>
        <v>Multiple detached buildings</v>
      </c>
      <c r="AX207" s="8">
        <f ca="1">IFERROR(__xludf.DUMMYFUNCTION("""COMPUTED_VALUE"""),30904)</f>
        <v>30904</v>
      </c>
    </row>
    <row r="208" spans="1:50" ht="75" x14ac:dyDescent="0.2">
      <c r="A208" s="8" t="str">
        <f ca="1">IFERROR(__xludf.DUMMYFUNCTION("""COMPUTED_VALUE"""),"20241111MDDUN")</f>
        <v>20241111MDDUN</v>
      </c>
      <c r="B208" s="8">
        <f ca="1">IFERROR(__xludf.DUMMYFUNCTION("""COMPUTED_VALUE"""),11)</f>
        <v>11</v>
      </c>
      <c r="C208" s="8">
        <f ca="1">IFERROR(__xludf.DUMMYFUNCTION("""COMPUTED_VALUE"""),11)</f>
        <v>11</v>
      </c>
      <c r="D208" s="8">
        <f ca="1">IFERROR(__xludf.DUMMYFUNCTION("""COMPUTED_VALUE"""),2024)</f>
        <v>2024</v>
      </c>
      <c r="E208" s="9">
        <f ca="1">IFERROR(__xludf.DUMMYFUNCTION("""COMPUTED_VALUE"""),45607)</f>
        <v>45607</v>
      </c>
      <c r="F208" s="8" t="str">
        <f ca="1">IFERROR(__xludf.DUMMYFUNCTION("""COMPUTED_VALUE"""),"National Academy Foundation High")</f>
        <v>National Academy Foundation High</v>
      </c>
      <c r="G208" s="8">
        <f ca="1">IFERROR(__xludf.DUMMYFUNCTION("""COMPUTED_VALUE"""),0)</f>
        <v>0</v>
      </c>
      <c r="H208" s="8">
        <f ca="1">IFERROR(__xludf.DUMMYFUNCTION("""COMPUTED_VALUE"""),1)</f>
        <v>1</v>
      </c>
      <c r="I208" s="8">
        <f ca="1">IFERROR(__xludf.DUMMYFUNCTION("""COMPUTED_VALUE"""),1)</f>
        <v>1</v>
      </c>
      <c r="J208" s="8">
        <f ca="1">IFERROR(__xludf.DUMMYFUNCTION("""COMPUTED_VALUE"""),0)</f>
        <v>0</v>
      </c>
      <c r="K208" s="8" t="str">
        <f ca="1">IFERROR(__xludf.DUMMYFUNCTION("""COMPUTED_VALUE"""),"https://www.foxbaltimore.com/news/local/suspect-in-teen-shooting-near-dunbar-surrenders-faces-adult-charges
https://foxbaltimore.com/news/local/bpd-says-robbery-motive-in-dunbar-teens-shooting-release-image-of-believed-suspect
https://www.wbaltv.com/artic"&amp;"le/dunbar-student-shot-school-baltimore-city/62873743
https://www.cbsnews.com/baltimore/news/baltimore-shooting-teen-dunbar-middle-school/")</f>
        <v>https://www.foxbaltimore.com/news/local/suspect-in-teen-shooting-near-dunbar-surrenders-faces-adult-charges
https://foxbaltimore.com/news/local/bpd-says-robbery-motive-in-dunbar-teens-shooting-release-image-of-believed-suspect
https://www.wbaltv.com/article/dunbar-student-shot-school-baltimore-city/62873743
https://www.cbsnews.com/baltimore/news/baltimore-shooting-teen-dunbar-middle-school/</v>
      </c>
      <c r="L208" s="8">
        <f ca="1">IFERROR(__xludf.DUMMYFUNCTION("""COMPUTED_VALUE"""),10)</f>
        <v>10</v>
      </c>
      <c r="M208" s="8" t="str">
        <f ca="1">IFERROR(__xludf.DUMMYFUNCTION("""COMPUTED_VALUE"""),"Local")</f>
        <v>Local</v>
      </c>
      <c r="N208" s="8">
        <f ca="1">IFERROR(__xludf.DUMMYFUNCTION("""COMPUTED_VALUE"""),4)</f>
        <v>4</v>
      </c>
      <c r="O208" s="8" t="str">
        <f ca="1">IFERROR(__xludf.DUMMYFUNCTION("""COMPUTED_VALUE"""),"Fall")</f>
        <v>Fall</v>
      </c>
      <c r="P208" s="8" t="str">
        <f ca="1">IFERROR(__xludf.DUMMYFUNCTION("""COMPUTED_VALUE"""),"Baltimore")</f>
        <v>Baltimore</v>
      </c>
      <c r="Q208" s="8" t="str">
        <f ca="1">IFERROR(__xludf.DUMMYFUNCTION("""COMPUTED_VALUE"""),"MD")</f>
        <v>MD</v>
      </c>
      <c r="R208" s="8" t="str">
        <f ca="1">IFERROR(__xludf.DUMMYFUNCTION("""COMPUTED_VALUE"""),"High")</f>
        <v>High</v>
      </c>
      <c r="S208" s="8" t="str">
        <f ca="1">IFERROR(__xludf.DUMMYFUNCTION("""COMPUTED_VALUE"""),"Beside Building")</f>
        <v>Beside Building</v>
      </c>
      <c r="T208" s="8" t="str">
        <f ca="1">IFERROR(__xludf.DUMMYFUNCTION("""COMPUTED_VALUE"""),"Outside on School Property")</f>
        <v>Outside on School Property</v>
      </c>
      <c r="U208" s="8" t="str">
        <f ca="1">IFERROR(__xludf.DUMMYFUNCTION("""COMPUTED_VALUE"""),"Yes")</f>
        <v>Yes</v>
      </c>
      <c r="V208" s="8" t="str">
        <f ca="1">IFERROR(__xludf.DUMMYFUNCTION("""COMPUTED_VALUE"""),"Dismissal")</f>
        <v>Dismissal</v>
      </c>
      <c r="W208" s="11">
        <f ca="1">IFERROR(__xludf.DUMMYFUNCTION("""COMPUTED_VALUE"""),0.638888888888888)</f>
        <v>0.63888888888888795</v>
      </c>
      <c r="X208" s="8">
        <f ca="1">IFERROR(__xludf.DUMMYFUNCTION("""COMPUTED_VALUE"""),1)</f>
        <v>1</v>
      </c>
      <c r="Y208" s="12" t="str">
        <f ca="1">IFERROR(__xludf.DUMMYFUNCTION("""COMPUTED_VALUE"""),"Student shot multiple times outside school during dismissal")</f>
        <v>Student shot multiple times outside school during dismissal</v>
      </c>
      <c r="Z208" s="12" t="str">
        <f ca="1">IFERROR(__xludf.DUMMYFUNCTION("""COMPUTED_VALUE"""),"15-year-old student was shot multiple times outside the school during dismissal. Shooter fled. Teen was taken to the hospital in critical condition. Shooting as record on CCTV. Police believe the shooting started as an attempted robbery.")</f>
        <v>15-year-old student was shot multiple times outside the school during dismissal. Shooter fled. Teen was taken to the hospital in critical condition. Shooting as record on CCTV. Police believe the shooting started as an attempted robbery.</v>
      </c>
      <c r="AA208" s="8" t="str">
        <f ca="1">IFERROR(__xludf.DUMMYFUNCTION("""COMPUTED_VALUE"""),"Illegal Activity")</f>
        <v>Illegal Activity</v>
      </c>
      <c r="AB208" s="8" t="str">
        <f ca="1">IFERROR(__xludf.DUMMYFUNCTION("""COMPUTED_VALUE"""),"Targeted")</f>
        <v>Targeted</v>
      </c>
      <c r="AC208" s="8" t="str">
        <f ca="1">IFERROR(__xludf.DUMMYFUNCTION("""COMPUTED_VALUE"""),"Yes")</f>
        <v>Yes</v>
      </c>
      <c r="AD208" s="8" t="str">
        <f ca="1">IFERROR(__xludf.DUMMYFUNCTION("""COMPUTED_VALUE"""),"Victims Targeted")</f>
        <v>Victims Targeted</v>
      </c>
      <c r="AE208" s="8"/>
      <c r="AF208" s="8"/>
      <c r="AG208" s="8" t="str">
        <f ca="1">IFERROR(__xludf.DUMMYFUNCTION("""COMPUTED_VALUE"""),"No")</f>
        <v>No</v>
      </c>
      <c r="AH208" s="8" t="str">
        <f ca="1">IFERROR(__xludf.DUMMYFUNCTION("""COMPUTED_VALUE"""),"No")</f>
        <v>No</v>
      </c>
      <c r="AI208" s="8" t="str">
        <f ca="1">IFERROR(__xludf.DUMMYFUNCTION("""COMPUTED_VALUE"""),"No")</f>
        <v>No</v>
      </c>
      <c r="AJ208" s="8" t="str">
        <f ca="1">IFERROR(__xludf.DUMMYFUNCTION("""COMPUTED_VALUE"""),"No")</f>
        <v>No</v>
      </c>
      <c r="AK208" s="8" t="str">
        <f ca="1">IFERROR(__xludf.DUMMYFUNCTION("""COMPUTED_VALUE"""),"No")</f>
        <v>No</v>
      </c>
      <c r="AL208" s="8"/>
      <c r="AM208" s="8" t="str">
        <f ca="1">IFERROR(__xludf.DUMMYFUNCTION("""COMPUTED_VALUE"""),"No")</f>
        <v>No</v>
      </c>
      <c r="AN208" s="8" t="str">
        <f ca="1">IFERROR(__xludf.DUMMYFUNCTION("""COMPUTED_VALUE"""),"Outside")</f>
        <v>Outside</v>
      </c>
      <c r="AO208" s="8" t="str">
        <f ca="1">IFERROR(__xludf.DUMMYFUNCTION("""COMPUTED_VALUE"""),"No")</f>
        <v>No</v>
      </c>
      <c r="AP208" s="8"/>
      <c r="AQ208" s="8"/>
      <c r="AR208" s="8" t="str">
        <f ca="1">IFERROR(__xludf.DUMMYFUNCTION("""COMPUTED_VALUE"""),"Outside/Off-Property")</f>
        <v>Outside/Off-Property</v>
      </c>
      <c r="AS208" s="8">
        <f ca="1">IFERROR(__xludf.DUMMYFUNCTION("""COMPUTED_VALUE"""),99)</f>
        <v>99</v>
      </c>
      <c r="AT208" s="8"/>
      <c r="AU208" s="8">
        <f ca="1">IFERROR(__xludf.DUMMYFUNCTION("""COMPUTED_VALUE"""),39.296575)</f>
        <v>39.296574999999997</v>
      </c>
      <c r="AV208" s="8">
        <f ca="1">IFERROR(__xludf.DUMMYFUNCTION("""COMPUTED_VALUE"""),-76.597749)</f>
        <v>-76.597748999999993</v>
      </c>
      <c r="AW208" s="8" t="str">
        <f ca="1">IFERROR(__xludf.DUMMYFUNCTION("""COMPUTED_VALUE"""),"Urban Street Standalone")</f>
        <v>Urban Street Standalone</v>
      </c>
      <c r="AX208" s="8">
        <f ca="1">IFERROR(__xludf.DUMMYFUNCTION("""COMPUTED_VALUE"""),21205)</f>
        <v>21205</v>
      </c>
    </row>
    <row r="209" spans="1:50" ht="225" x14ac:dyDescent="0.2">
      <c r="A209" s="8" t="str">
        <f ca="1">IFERROR(__xludf.DUMMYFUNCTION("""COMPUTED_VALUE"""),"20241109ILHIC")</f>
        <v>20241109ILHIC</v>
      </c>
      <c r="B209" s="8">
        <f ca="1">IFERROR(__xludf.DUMMYFUNCTION("""COMPUTED_VALUE"""),11)</f>
        <v>11</v>
      </c>
      <c r="C209" s="8">
        <f ca="1">IFERROR(__xludf.DUMMYFUNCTION("""COMPUTED_VALUE"""),9)</f>
        <v>9</v>
      </c>
      <c r="D209" s="8">
        <f ca="1">IFERROR(__xludf.DUMMYFUNCTION("""COMPUTED_VALUE"""),2024)</f>
        <v>2024</v>
      </c>
      <c r="E209" s="9">
        <f ca="1">IFERROR(__xludf.DUMMYFUNCTION("""COMPUTED_VALUE"""),45605)</f>
        <v>45605</v>
      </c>
      <c r="F209" s="8" t="str">
        <f ca="1">IFERROR(__xludf.DUMMYFUNCTION("""COMPUTED_VALUE"""),"Hillcrest High School")</f>
        <v>Hillcrest High School</v>
      </c>
      <c r="G209" s="8">
        <f ca="1">IFERROR(__xludf.DUMMYFUNCTION("""COMPUTED_VALUE"""),1)</f>
        <v>1</v>
      </c>
      <c r="H209" s="8">
        <f ca="1">IFERROR(__xludf.DUMMYFUNCTION("""COMPUTED_VALUE"""),0)</f>
        <v>0</v>
      </c>
      <c r="I209" s="8">
        <f ca="1">IFERROR(__xludf.DUMMYFUNCTION("""COMPUTED_VALUE"""),1)</f>
        <v>1</v>
      </c>
      <c r="J209" s="8">
        <f ca="1">IFERROR(__xludf.DUMMYFUNCTION("""COMPUTED_VALUE"""),0)</f>
        <v>0</v>
      </c>
      <c r="K209" s="8" t="str">
        <f ca="1">IFERROR(__xludf.DUMMYFUNCTION("""COMPUTED_VALUE"""),"https://abc7chicago.com/post/hillcrest-shooting-today-parents-dispute-turns-country-club-hills-hs-parking-lot-letter-families-says/15531803/
https://www.nbcchicago.com/news/local/parent-shot-in-parking-lot-of-suburban-high-school-during-basketball-tournam"&amp;"ent/3596878/")</f>
        <v>https://abc7chicago.com/post/hillcrest-shooting-today-parents-dispute-turns-country-club-hills-hs-parking-lot-letter-families-says/15531803/
https://www.nbcchicago.com/news/local/parent-shot-in-parking-lot-of-suburban-high-school-during-basketball-tournament/3596878/</v>
      </c>
      <c r="L209" s="8">
        <f ca="1">IFERROR(__xludf.DUMMYFUNCTION("""COMPUTED_VALUE"""),10)</f>
        <v>10</v>
      </c>
      <c r="M209" s="8" t="str">
        <f ca="1">IFERROR(__xludf.DUMMYFUNCTION("""COMPUTED_VALUE"""),"Regional")</f>
        <v>Regional</v>
      </c>
      <c r="N209" s="8">
        <f ca="1">IFERROR(__xludf.DUMMYFUNCTION("""COMPUTED_VALUE"""),4)</f>
        <v>4</v>
      </c>
      <c r="O209" s="8" t="str">
        <f ca="1">IFERROR(__xludf.DUMMYFUNCTION("""COMPUTED_VALUE"""),"Fall")</f>
        <v>Fall</v>
      </c>
      <c r="P209" s="8" t="str">
        <f ca="1">IFERROR(__xludf.DUMMYFUNCTION("""COMPUTED_VALUE"""),"Country Club Hills")</f>
        <v>Country Club Hills</v>
      </c>
      <c r="Q209" s="8" t="str">
        <f ca="1">IFERROR(__xludf.DUMMYFUNCTION("""COMPUTED_VALUE"""),"IL")</f>
        <v>IL</v>
      </c>
      <c r="R209" s="8" t="str">
        <f ca="1">IFERROR(__xludf.DUMMYFUNCTION("""COMPUTED_VALUE"""),"High")</f>
        <v>High</v>
      </c>
      <c r="S209" s="8" t="str">
        <f ca="1">IFERROR(__xludf.DUMMYFUNCTION("""COMPUTED_VALUE"""),"Parking Lot")</f>
        <v>Parking Lot</v>
      </c>
      <c r="T209" s="8" t="str">
        <f ca="1">IFERROR(__xludf.DUMMYFUNCTION("""COMPUTED_VALUE"""),"Outside on School Property")</f>
        <v>Outside on School Property</v>
      </c>
      <c r="U209" s="8" t="str">
        <f ca="1">IFERROR(__xludf.DUMMYFUNCTION("""COMPUTED_VALUE"""),"No")</f>
        <v>No</v>
      </c>
      <c r="V209" s="8" t="str">
        <f ca="1">IFERROR(__xludf.DUMMYFUNCTION("""COMPUTED_VALUE"""),"Sport Event")</f>
        <v>Sport Event</v>
      </c>
      <c r="W209" s="11">
        <f ca="1">IFERROR(__xludf.DUMMYFUNCTION("""COMPUTED_VALUE"""),0.5625)</f>
        <v>0.5625</v>
      </c>
      <c r="X209" s="8">
        <f ca="1">IFERROR(__xludf.DUMMYFUNCTION("""COMPUTED_VALUE"""),1)</f>
        <v>1</v>
      </c>
      <c r="Y209" s="12" t="str">
        <f ca="1">IFERROR(__xludf.DUMMYFUNCTION("""COMPUTED_VALUE"""),"Parent ambushed by four gunman waiting in parking lot after youth basketball game")</f>
        <v>Parent ambushed by four gunman waiting in parking lot after youth basketball game</v>
      </c>
      <c r="Z209" s="12" t="str">
        <f ca="1">IFERROR(__xludf.DUMMYFUNCTION("""COMPUTED_VALUE"""),"A parent was shot to death in the parking lot of Hillcrest High School in Country Club Hills during a basketball tournament Saturday, according to officials. According to Bremen High School District 228, a parent attending a junior high school boys' baske"&amp;"tball tournament taking place at the school was shot in the school's parking lot. Authorities said multiple armed suspects waited in a black 4-door Infiniti Q50 for the man and his son to exit the tournament in the school's parking lot. Shortly before 1:1"&amp;"0 p.m., the man was seen leaving the high school with his son, at which time the suspects moved towards the man in the vehicle and blocked his path to his vehicle, police said. Multiple armed suspects then exited the vehicle and opened fire on the man bef"&amp;"ore fleeing the scene southbound through the parking lot towards Pulaski Road, according to authorities.")</f>
        <v>A parent was shot to death in the parking lot of Hillcrest High School in Country Club Hills during a basketball tournament Saturday, according to officials. According to Bremen High School District 228, a parent attending a junior high school boys' basketball tournament taking place at the school was shot in the school's parking lot. Authorities said multiple armed suspects waited in a black 4-door Infiniti Q50 for the man and his son to exit the tournament in the school's parking lot. Shortly before 1:10 p.m., the man was seen leaving the high school with his son, at which time the suspects moved towards the man in the vehicle and blocked his path to his vehicle, police said. Multiple armed suspects then exited the vehicle and opened fire on the man before fleeing the scene southbound through the parking lot towards Pulaski Road, according to authorities.</v>
      </c>
      <c r="AA209" s="8" t="str">
        <f ca="1">IFERROR(__xludf.DUMMYFUNCTION("""COMPUTED_VALUE"""),"Murder/Assassination")</f>
        <v>Murder/Assassination</v>
      </c>
      <c r="AB209" s="8" t="str">
        <f ca="1">IFERROR(__xludf.DUMMYFUNCTION("""COMPUTED_VALUE"""),"Targeted")</f>
        <v>Targeted</v>
      </c>
      <c r="AC209" s="8" t="str">
        <f ca="1">IFERROR(__xludf.DUMMYFUNCTION("""COMPUTED_VALUE"""),"Yes")</f>
        <v>Yes</v>
      </c>
      <c r="AD209" s="8" t="str">
        <f ca="1">IFERROR(__xludf.DUMMYFUNCTION("""COMPUTED_VALUE"""),"Victims Targeted")</f>
        <v>Victims Targeted</v>
      </c>
      <c r="AE209" s="8" t="str">
        <f ca="1">IFERROR(__xludf.DUMMYFUNCTION("""COMPUTED_VALUE"""),"Yes")</f>
        <v>Yes</v>
      </c>
      <c r="AF209" s="8" t="str">
        <f ca="1">IFERROR(__xludf.DUMMYFUNCTION("""COMPUTED_VALUE"""),"4 gunmen")</f>
        <v>4 gunmen</v>
      </c>
      <c r="AG209" s="8" t="str">
        <f ca="1">IFERROR(__xludf.DUMMYFUNCTION("""COMPUTED_VALUE"""),"No")</f>
        <v>No</v>
      </c>
      <c r="AH209" s="8" t="str">
        <f ca="1">IFERROR(__xludf.DUMMYFUNCTION("""COMPUTED_VALUE"""),"No")</f>
        <v>No</v>
      </c>
      <c r="AI209" s="8" t="str">
        <f ca="1">IFERROR(__xludf.DUMMYFUNCTION("""COMPUTED_VALUE"""),"No")</f>
        <v>No</v>
      </c>
      <c r="AJ209" s="8" t="str">
        <f ca="1">IFERROR(__xludf.DUMMYFUNCTION("""COMPUTED_VALUE"""),"No")</f>
        <v>No</v>
      </c>
      <c r="AK209" s="8" t="str">
        <f ca="1">IFERROR(__xludf.DUMMYFUNCTION("""COMPUTED_VALUE"""),"No")</f>
        <v>No</v>
      </c>
      <c r="AL209" s="8" t="str">
        <f ca="1">IFERROR(__xludf.DUMMYFUNCTION("""COMPUTED_VALUE"""),"No")</f>
        <v>No</v>
      </c>
      <c r="AM209" s="8" t="str">
        <f ca="1">IFERROR(__xludf.DUMMYFUNCTION("""COMPUTED_VALUE"""),"No")</f>
        <v>No</v>
      </c>
      <c r="AN209" s="8" t="str">
        <f ca="1">IFERROR(__xludf.DUMMYFUNCTION("""COMPUTED_VALUE"""),"Outside")</f>
        <v>Outside</v>
      </c>
      <c r="AO209" s="8" t="str">
        <f ca="1">IFERROR(__xludf.DUMMYFUNCTION("""COMPUTED_VALUE"""),"No")</f>
        <v>No</v>
      </c>
      <c r="AP209" s="8"/>
      <c r="AQ209" s="8"/>
      <c r="AR209" s="8" t="str">
        <f ca="1">IFERROR(__xludf.DUMMYFUNCTION("""COMPUTED_VALUE"""),"Outside/Off-Property")</f>
        <v>Outside/Off-Property</v>
      </c>
      <c r="AS209" s="8">
        <f ca="1">IFERROR(__xludf.DUMMYFUNCTION("""COMPUTED_VALUE"""),99)</f>
        <v>99</v>
      </c>
      <c r="AT209" s="8" t="str">
        <f ca="1">IFERROR(__xludf.DUMMYFUNCTION("""COMPUTED_VALUE"""),"No")</f>
        <v>No</v>
      </c>
      <c r="AU209" s="8">
        <f ca="1">IFERROR(__xludf.DUMMYFUNCTION("""COMPUTED_VALUE"""),41.573467)</f>
        <v>41.573467000000001</v>
      </c>
      <c r="AV209" s="8">
        <f ca="1">IFERROR(__xludf.DUMMYFUNCTION("""COMPUTED_VALUE"""),-87.711397)</f>
        <v>-87.711397000000005</v>
      </c>
      <c r="AW209" s="8" t="str">
        <f ca="1">IFERROR(__xludf.DUMMYFUNCTION("""COMPUTED_VALUE"""),"Single building indoor hallway")</f>
        <v>Single building indoor hallway</v>
      </c>
      <c r="AX209" s="8">
        <f ca="1">IFERROR(__xludf.DUMMYFUNCTION("""COMPUTED_VALUE"""),60478)</f>
        <v>60478</v>
      </c>
    </row>
    <row r="210" spans="1:50" ht="165" x14ac:dyDescent="0.2">
      <c r="A210" s="8" t="str">
        <f ca="1">IFERROR(__xludf.DUMMYFUNCTION("""COMPUTED_VALUE"""),"20241107WIROK")</f>
        <v>20241107WIROK</v>
      </c>
      <c r="B210" s="8">
        <f ca="1">IFERROR(__xludf.DUMMYFUNCTION("""COMPUTED_VALUE"""),11)</f>
        <v>11</v>
      </c>
      <c r="C210" s="8">
        <f ca="1">IFERROR(__xludf.DUMMYFUNCTION("""COMPUTED_VALUE"""),7)</f>
        <v>7</v>
      </c>
      <c r="D210" s="8">
        <f ca="1">IFERROR(__xludf.DUMMYFUNCTION("""COMPUTED_VALUE"""),2024)</f>
        <v>2024</v>
      </c>
      <c r="E210" s="9">
        <f ca="1">IFERROR(__xludf.DUMMYFUNCTION("""COMPUTED_VALUE"""),45603)</f>
        <v>45603</v>
      </c>
      <c r="F210" s="8" t="str">
        <f ca="1">IFERROR(__xludf.DUMMYFUNCTION("""COMPUTED_VALUE"""),"Roosevelt Elementary School")</f>
        <v>Roosevelt Elementary School</v>
      </c>
      <c r="G210" s="8">
        <f ca="1">IFERROR(__xludf.DUMMYFUNCTION("""COMPUTED_VALUE"""),0)</f>
        <v>0</v>
      </c>
      <c r="H210" s="8">
        <f ca="1">IFERROR(__xludf.DUMMYFUNCTION("""COMPUTED_VALUE"""),0)</f>
        <v>0</v>
      </c>
      <c r="I210" s="8">
        <f ca="1">IFERROR(__xludf.DUMMYFUNCTION("""COMPUTED_VALUE"""),0)</f>
        <v>0</v>
      </c>
      <c r="J210" s="8">
        <f ca="1">IFERROR(__xludf.DUMMYFUNCTION("""COMPUTED_VALUE"""),0)</f>
        <v>0</v>
      </c>
      <c r="K210" s="10" t="str">
        <f ca="1">IFERROR(__xludf.DUMMYFUNCTION("""COMPUTED_VALUE"""),"https://www.wisn.com/article/kenosha-police-search-for-suspicious-person-after-school-alert/62841725
https://www.cnn.com/2024/11/07/us/wisconsin-elementary-school-staff-stops-boy-with-suspicious-bags-entering-campus/index.html
https://www.cbsnews.com/chic"&amp;"ago/news/staff-stop-potential-school-shooting-in-kenosha-wisconsin/")</f>
        <v>https://www.wisn.com/article/kenosha-police-search-for-suspicious-person-after-school-alert/62841725
https://www.cnn.com/2024/11/07/us/wisconsin-elementary-school-staff-stops-boy-with-suspicious-bags-entering-campus/index.html
https://www.cbsnews.com/chicago/news/staff-stop-potential-school-shooting-in-kenosha-wisconsin/</v>
      </c>
      <c r="L210" s="8">
        <f ca="1">IFERROR(__xludf.DUMMYFUNCTION("""COMPUTED_VALUE"""),100)</f>
        <v>100</v>
      </c>
      <c r="M210" s="8" t="str">
        <f ca="1">IFERROR(__xludf.DUMMYFUNCTION("""COMPUTED_VALUE"""),"National")</f>
        <v>National</v>
      </c>
      <c r="N210" s="8">
        <f ca="1">IFERROR(__xludf.DUMMYFUNCTION("""COMPUTED_VALUE"""),4)</f>
        <v>4</v>
      </c>
      <c r="O210" s="8" t="str">
        <f ca="1">IFERROR(__xludf.DUMMYFUNCTION("""COMPUTED_VALUE"""),"Fall")</f>
        <v>Fall</v>
      </c>
      <c r="P210" s="8" t="str">
        <f ca="1">IFERROR(__xludf.DUMMYFUNCTION("""COMPUTED_VALUE"""),"Kenosha")</f>
        <v>Kenosha</v>
      </c>
      <c r="Q210" s="8" t="str">
        <f ca="1">IFERROR(__xludf.DUMMYFUNCTION("""COMPUTED_VALUE"""),"WI")</f>
        <v>WI</v>
      </c>
      <c r="R210" s="8" t="str">
        <f ca="1">IFERROR(__xludf.DUMMYFUNCTION("""COMPUTED_VALUE"""),"Elementary")</f>
        <v>Elementary</v>
      </c>
      <c r="S210" s="8" t="str">
        <f ca="1">IFERROR(__xludf.DUMMYFUNCTION("""COMPUTED_VALUE"""),"Entryway")</f>
        <v>Entryway</v>
      </c>
      <c r="T210" s="8" t="str">
        <f ca="1">IFERROR(__xludf.DUMMYFUNCTION("""COMPUTED_VALUE"""),"Inside School Building")</f>
        <v>Inside School Building</v>
      </c>
      <c r="U210" s="8" t="str">
        <f ca="1">IFERROR(__xludf.DUMMYFUNCTION("""COMPUTED_VALUE"""),"Yes")</f>
        <v>Yes</v>
      </c>
      <c r="V210" s="8" t="str">
        <f ca="1">IFERROR(__xludf.DUMMYFUNCTION("""COMPUTED_VALUE"""),"Morning Classes")</f>
        <v>Morning Classes</v>
      </c>
      <c r="W210" s="11">
        <f ca="1">IFERROR(__xludf.DUMMYFUNCTION("""COMPUTED_VALUE"""),0.375)</f>
        <v>0.375</v>
      </c>
      <c r="X210" s="8">
        <f ca="1">IFERROR(__xludf.DUMMYFUNCTION("""COMPUTED_VALUE"""),1)</f>
        <v>1</v>
      </c>
      <c r="Y210" s="12" t="str">
        <f ca="1">IFERROR(__xludf.DUMMYFUNCTION("""COMPUTED_VALUE"""),"Teen with duffle bag attempted to enter school, ran away when confronted by staff, had photo with rifle on social media")</f>
        <v>Teen with duffle bag attempted to enter school, ran away when confronted by staff, had photo with rifle on social media</v>
      </c>
      <c r="Z210" s="12" t="str">
        <f ca="1">IFERROR(__xludf.DUMMYFUNCTION("""COMPUTED_VALUE"""),"Officials said a 13-year-old middle school student showed up at Roosevelt Elementary School with a backpack and a black duffel bag. Staff approached the teen as he tried to get in a side entrance. He ran away, but hours later police located him. He surren"&amp;"dered and was arrested, and no injuries were reported. As CBS 58 reported, Kenosha police obtained video of the suspect holding a semi-automatic rifle in a home. Investigators also found internet searches for school shootings and said he made comments to "&amp;"other students about shootings. Search of his home later turned up only replica firearms, not any real guns.")</f>
        <v>Officials said a 13-year-old middle school student showed up at Roosevelt Elementary School with a backpack and a black duffel bag. Staff approached the teen as he tried to get in a side entrance. He ran away, but hours later police located him. He surrendered and was arrested, and no injuries were reported. As CBS 58 reported, Kenosha police obtained video of the suspect holding a semi-automatic rifle in a home. Investigators also found internet searches for school shootings and said he made comments to other students about shootings. Search of his home later turned up only replica firearms, not any real guns.</v>
      </c>
      <c r="AA210" s="8" t="str">
        <f ca="1">IFERROR(__xludf.DUMMYFUNCTION("""COMPUTED_VALUE"""),"Indiscriminate Shooting")</f>
        <v>Indiscriminate Shooting</v>
      </c>
      <c r="AB210" s="8" t="str">
        <f ca="1">IFERROR(__xludf.DUMMYFUNCTION("""COMPUTED_VALUE"""),"Active Shooter/Planned Attack")</f>
        <v>Active Shooter/Planned Attack</v>
      </c>
      <c r="AC210" s="8" t="str">
        <f ca="1">IFERROR(__xludf.DUMMYFUNCTION("""COMPUTED_VALUE"""),"Yes")</f>
        <v>Yes</v>
      </c>
      <c r="AD210" s="8" t="str">
        <f ca="1">IFERROR(__xludf.DUMMYFUNCTION("""COMPUTED_VALUE"""),"Random Shooting")</f>
        <v>Random Shooting</v>
      </c>
      <c r="AE210" s="8" t="str">
        <f ca="1">IFERROR(__xludf.DUMMYFUNCTION("""COMPUTED_VALUE"""),"No")</f>
        <v>No</v>
      </c>
      <c r="AF210" s="8"/>
      <c r="AG210" s="8" t="str">
        <f ca="1">IFERROR(__xludf.DUMMYFUNCTION("""COMPUTED_VALUE"""),"No")</f>
        <v>No</v>
      </c>
      <c r="AH210" s="8" t="str">
        <f ca="1">IFERROR(__xludf.DUMMYFUNCTION("""COMPUTED_VALUE"""),"No")</f>
        <v>No</v>
      </c>
      <c r="AI210" s="8" t="str">
        <f ca="1">IFERROR(__xludf.DUMMYFUNCTION("""COMPUTED_VALUE"""),"No")</f>
        <v>No</v>
      </c>
      <c r="AJ210" s="8" t="str">
        <f ca="1">IFERROR(__xludf.DUMMYFUNCTION("""COMPUTED_VALUE"""),"No")</f>
        <v>No</v>
      </c>
      <c r="AK210" s="8" t="str">
        <f ca="1">IFERROR(__xludf.DUMMYFUNCTION("""COMPUTED_VALUE"""),"No")</f>
        <v>No</v>
      </c>
      <c r="AL210" s="8" t="str">
        <f ca="1">IFERROR(__xludf.DUMMYFUNCTION("""COMPUTED_VALUE"""),"No")</f>
        <v>No</v>
      </c>
      <c r="AM210" s="8" t="str">
        <f ca="1">IFERROR(__xludf.DUMMYFUNCTION("""COMPUTED_VALUE"""),"Yes")</f>
        <v>Yes</v>
      </c>
      <c r="AN210" s="8" t="str">
        <f ca="1">IFERROR(__xludf.DUMMYFUNCTION("""COMPUTED_VALUE"""),"Single Room")</f>
        <v>Single Room</v>
      </c>
      <c r="AO210" s="8" t="str">
        <f ca="1">IFERROR(__xludf.DUMMYFUNCTION("""COMPUTED_VALUE"""),"Yes")</f>
        <v>Yes</v>
      </c>
      <c r="AP210" s="8"/>
      <c r="AQ210" s="8"/>
      <c r="AR210" s="8"/>
      <c r="AS210" s="8">
        <f ca="1">IFERROR(__xludf.DUMMYFUNCTION("""COMPUTED_VALUE"""),0)</f>
        <v>0</v>
      </c>
      <c r="AT210" s="8" t="str">
        <f ca="1">IFERROR(__xludf.DUMMYFUNCTION("""COMPUTED_VALUE"""),"Yes")</f>
        <v>Yes</v>
      </c>
      <c r="AU210" s="8">
        <f ca="1">IFERROR(__xludf.DUMMYFUNCTION("""COMPUTED_VALUE"""),42.570384)</f>
        <v>42.570383999999997</v>
      </c>
      <c r="AV210" s="8">
        <f ca="1">IFERROR(__xludf.DUMMYFUNCTION("""COMPUTED_VALUE"""),-87.849153)</f>
        <v>-87.849153000000001</v>
      </c>
      <c r="AW210" s="8" t="str">
        <f ca="1">IFERROR(__xludf.DUMMYFUNCTION("""COMPUTED_VALUE"""),"Single building indoor hallway")</f>
        <v>Single building indoor hallway</v>
      </c>
      <c r="AX210" s="8">
        <f ca="1">IFERROR(__xludf.DUMMYFUNCTION("""COMPUTED_VALUE"""),53142)</f>
        <v>53142</v>
      </c>
    </row>
    <row r="211" spans="1:50" ht="240" x14ac:dyDescent="0.2">
      <c r="A211" s="8" t="str">
        <f ca="1">IFERROR(__xludf.DUMMYFUNCTION("""COMPUTED_VALUE"""),"20241107UTWES")</f>
        <v>20241107UTWES</v>
      </c>
      <c r="B211" s="8">
        <f ca="1">IFERROR(__xludf.DUMMYFUNCTION("""COMPUTED_VALUE"""),11)</f>
        <v>11</v>
      </c>
      <c r="C211" s="8">
        <f ca="1">IFERROR(__xludf.DUMMYFUNCTION("""COMPUTED_VALUE"""),7)</f>
        <v>7</v>
      </c>
      <c r="D211" s="8">
        <f ca="1">IFERROR(__xludf.DUMMYFUNCTION("""COMPUTED_VALUE"""),2024)</f>
        <v>2024</v>
      </c>
      <c r="E211" s="9">
        <f ca="1">IFERROR(__xludf.DUMMYFUNCTION("""COMPUTED_VALUE"""),45603)</f>
        <v>45603</v>
      </c>
      <c r="F211" s="8" t="str">
        <f ca="1">IFERROR(__xludf.DUMMYFUNCTION("""COMPUTED_VALUE"""),"West High School")</f>
        <v>West High School</v>
      </c>
      <c r="G211" s="8">
        <f ca="1">IFERROR(__xludf.DUMMYFUNCTION("""COMPUTED_VALUE"""),0)</f>
        <v>0</v>
      </c>
      <c r="H211" s="8">
        <f ca="1">IFERROR(__xludf.DUMMYFUNCTION("""COMPUTED_VALUE"""),1)</f>
        <v>1</v>
      </c>
      <c r="I211" s="8">
        <f ca="1">IFERROR(__xludf.DUMMYFUNCTION("""COMPUTED_VALUE"""),1)</f>
        <v>1</v>
      </c>
      <c r="J211" s="8">
        <f ca="1">IFERROR(__xludf.DUMMYFUNCTION("""COMPUTED_VALUE"""),0)</f>
        <v>0</v>
      </c>
      <c r="K211" s="10" t="str">
        <f ca="1">IFERROR(__xludf.DUMMYFUNCTION("""COMPUTED_VALUE"""),"https://slcpd.com/2024/11/07/slcpd-conducting-shooting-investigation-at-west-high-school-tips-sought/
https://www.fox13now.com/news/local-news/northern-utah/police-seeking-information-after-teen-shot-injured-at-west-high-school")</f>
        <v>https://slcpd.com/2024/11/07/slcpd-conducting-shooting-investigation-at-west-high-school-tips-sought/
https://www.fox13now.com/news/local-news/northern-utah/police-seeking-information-after-teen-shot-injured-at-west-high-school</v>
      </c>
      <c r="L211" s="8">
        <f ca="1">IFERROR(__xludf.DUMMYFUNCTION("""COMPUTED_VALUE"""),5)</f>
        <v>5</v>
      </c>
      <c r="M211" s="8" t="str">
        <f ca="1">IFERROR(__xludf.DUMMYFUNCTION("""COMPUTED_VALUE"""),"Local")</f>
        <v>Local</v>
      </c>
      <c r="N211" s="8">
        <f ca="1">IFERROR(__xludf.DUMMYFUNCTION("""COMPUTED_VALUE"""),5)</f>
        <v>5</v>
      </c>
      <c r="O211" s="8" t="str">
        <f ca="1">IFERROR(__xludf.DUMMYFUNCTION("""COMPUTED_VALUE"""),"Fall")</f>
        <v>Fall</v>
      </c>
      <c r="P211" s="8" t="str">
        <f ca="1">IFERROR(__xludf.DUMMYFUNCTION("""COMPUTED_VALUE"""),"Salt Lake City")</f>
        <v>Salt Lake City</v>
      </c>
      <c r="Q211" s="8" t="str">
        <f ca="1">IFERROR(__xludf.DUMMYFUNCTION("""COMPUTED_VALUE"""),"UT")</f>
        <v>UT</v>
      </c>
      <c r="R211" s="8" t="str">
        <f ca="1">IFERROR(__xludf.DUMMYFUNCTION("""COMPUTED_VALUE"""),"High")</f>
        <v>High</v>
      </c>
      <c r="S211" s="8" t="str">
        <f ca="1">IFERROR(__xludf.DUMMYFUNCTION("""COMPUTED_VALUE"""),"Parking Lot")</f>
        <v>Parking Lot</v>
      </c>
      <c r="T211" s="8" t="str">
        <f ca="1">IFERROR(__xludf.DUMMYFUNCTION("""COMPUTED_VALUE"""),"Outside on School Property")</f>
        <v>Outside on School Property</v>
      </c>
      <c r="U211" s="8" t="str">
        <f ca="1">IFERROR(__xludf.DUMMYFUNCTION("""COMPUTED_VALUE"""),"Yes")</f>
        <v>Yes</v>
      </c>
      <c r="V211" s="8" t="str">
        <f ca="1">IFERROR(__xludf.DUMMYFUNCTION("""COMPUTED_VALUE"""),"Lunch")</f>
        <v>Lunch</v>
      </c>
      <c r="W211" s="11">
        <f ca="1">IFERROR(__xludf.DUMMYFUNCTION("""COMPUTED_VALUE"""),0.510416666666666)</f>
        <v>0.51041666666666596</v>
      </c>
      <c r="X211" s="8">
        <f ca="1">IFERROR(__xludf.DUMMYFUNCTION("""COMPUTED_VALUE"""),1)</f>
        <v>1</v>
      </c>
      <c r="Y211" s="12" t="str">
        <f ca="1">IFERROR(__xludf.DUMMYFUNCTION("""COMPUTED_VALUE"""),"Student shot during fight at lunch")</f>
        <v>Student shot during fight at lunch</v>
      </c>
      <c r="Z211" s="12" t="str">
        <f ca="1">IFERROR(__xludf.DUMMYFUNCTION("""COMPUTED_VALUE"""),"Based on the preliminary investigation, detectives believe around 12:15 p.m. on Thursday, November 7, 2024, a group of teenagers gathered in a parking lot on high school property. Many of the teenagers appeared to know each other and appeared to be involv"&amp;"ed in an ongoing conflict. At some point, someone discharged a firearm, and a bullet struck the 15-year-old. Immediately after, everyone left the parking lot in various directions, including the 15-year-old. A family member of the 15-year-old drove him to"&amp;" the hospital after he returned home injured. Despite there being several witnesses, no one reported the incident to SLC911, SLCPD SROs, or school officials. Between 12 a.m. and 5 p.m. on November 7, 2024, there were only four calls for service at West Hi"&amp;"gh School. Three of the four calls for service occurred before 10 a.m. and the fourth call was the call made from the hospital.")</f>
        <v>Based on the preliminary investigation, detectives believe around 12:15 p.m. on Thursday, November 7, 2024, a group of teenagers gathered in a parking lot on high school property. Many of the teenagers appeared to know each other and appeared to be involved in an ongoing conflict. At some point, someone discharged a firearm, and a bullet struck the 15-year-old. Immediately after, everyone left the parking lot in various directions, including the 15-year-old. A family member of the 15-year-old drove him to the hospital after he returned home injured. Despite there being several witnesses, no one reported the incident to SLC911, SLCPD SROs, or school officials. Between 12 a.m. and 5 p.m. on November 7, 2024, there were only four calls for service at West High School. Three of the four calls for service occurred before 10 a.m. and the fourth call was the call made from the hospital.</v>
      </c>
      <c r="AA211" s="8" t="str">
        <f ca="1">IFERROR(__xludf.DUMMYFUNCTION("""COMPUTED_VALUE"""),"Escalation of Dispute")</f>
        <v>Escalation of Dispute</v>
      </c>
      <c r="AB211" s="8" t="str">
        <f ca="1">IFERROR(__xludf.DUMMYFUNCTION("""COMPUTED_VALUE"""),"Spontaneous")</f>
        <v>Spontaneous</v>
      </c>
      <c r="AC211" s="8" t="str">
        <f ca="1">IFERROR(__xludf.DUMMYFUNCTION("""COMPUTED_VALUE"""),"Yes")</f>
        <v>Yes</v>
      </c>
      <c r="AD211" s="8"/>
      <c r="AE211" s="8" t="str">
        <f ca="1">IFERROR(__xludf.DUMMYFUNCTION("""COMPUTED_VALUE"""),"Yes")</f>
        <v>Yes</v>
      </c>
      <c r="AF211" s="8" t="str">
        <f ca="1">IFERROR(__xludf.DUMMYFUNCTION("""COMPUTED_VALUE"""),"Multiple students involved in fight")</f>
        <v>Multiple students involved in fight</v>
      </c>
      <c r="AG211" s="8" t="str">
        <f ca="1">IFERROR(__xludf.DUMMYFUNCTION("""COMPUTED_VALUE"""),"No")</f>
        <v>No</v>
      </c>
      <c r="AH211" s="8" t="str">
        <f ca="1">IFERROR(__xludf.DUMMYFUNCTION("""COMPUTED_VALUE"""),"No")</f>
        <v>No</v>
      </c>
      <c r="AI211" s="8" t="str">
        <f ca="1">IFERROR(__xludf.DUMMYFUNCTION("""COMPUTED_VALUE"""),"No")</f>
        <v>No</v>
      </c>
      <c r="AJ211" s="8" t="str">
        <f ca="1">IFERROR(__xludf.DUMMYFUNCTION("""COMPUTED_VALUE"""),"No")</f>
        <v>No</v>
      </c>
      <c r="AK211" s="8" t="str">
        <f ca="1">IFERROR(__xludf.DUMMYFUNCTION("""COMPUTED_VALUE"""),"No")</f>
        <v>No</v>
      </c>
      <c r="AL211" s="8" t="str">
        <f ca="1">IFERROR(__xludf.DUMMYFUNCTION("""COMPUTED_VALUE"""),"Yes")</f>
        <v>Yes</v>
      </c>
      <c r="AM211" s="8" t="str">
        <f ca="1">IFERROR(__xludf.DUMMYFUNCTION("""COMPUTED_VALUE"""),"No")</f>
        <v>No</v>
      </c>
      <c r="AN211" s="8" t="str">
        <f ca="1">IFERROR(__xludf.DUMMYFUNCTION("""COMPUTED_VALUE"""),"Outside")</f>
        <v>Outside</v>
      </c>
      <c r="AO211" s="8" t="str">
        <f ca="1">IFERROR(__xludf.DUMMYFUNCTION("""COMPUTED_VALUE"""),"No")</f>
        <v>No</v>
      </c>
      <c r="AP211" s="8" t="str">
        <f ca="1">IFERROR(__xludf.DUMMYFUNCTION("""COMPUTED_VALUE"""),"Yes")</f>
        <v>Yes</v>
      </c>
      <c r="AQ211" s="8" t="str">
        <f ca="1">IFERROR(__xludf.DUMMYFUNCTION("""COMPUTED_VALUE"""),"Armed Guards")</f>
        <v>Armed Guards</v>
      </c>
      <c r="AR211" s="8" t="str">
        <f ca="1">IFERROR(__xludf.DUMMYFUNCTION("""COMPUTED_VALUE"""),"Outside/Off-Property")</f>
        <v>Outside/Off-Property</v>
      </c>
      <c r="AS211" s="8">
        <f ca="1">IFERROR(__xludf.DUMMYFUNCTION("""COMPUTED_VALUE"""),1)</f>
        <v>1</v>
      </c>
      <c r="AT211" s="8" t="str">
        <f ca="1">IFERROR(__xludf.DUMMYFUNCTION("""COMPUTED_VALUE"""),"No")</f>
        <v>No</v>
      </c>
      <c r="AU211" s="8">
        <f ca="1">IFERROR(__xludf.DUMMYFUNCTION("""COMPUTED_VALUE"""),40.772856)</f>
        <v>40.772855999999997</v>
      </c>
      <c r="AV211" s="8">
        <f ca="1">IFERROR(__xludf.DUMMYFUNCTION("""COMPUTED_VALUE"""),-111.901464)</f>
        <v>-111.901464</v>
      </c>
      <c r="AW211" s="8" t="str">
        <f ca="1">IFERROR(__xludf.DUMMYFUNCTION("""COMPUTED_VALUE"""),"Multiple attached buildings")</f>
        <v>Multiple attached buildings</v>
      </c>
      <c r="AX211" s="8">
        <f ca="1">IFERROR(__xludf.DUMMYFUNCTION("""COMPUTED_VALUE"""),84103)</f>
        <v>84103</v>
      </c>
    </row>
    <row r="212" spans="1:50" ht="150" x14ac:dyDescent="0.2">
      <c r="A212" s="8" t="str">
        <f ca="1">IFERROR(__xludf.DUMMYFUNCTION("""COMPUTED_VALUE"""),"20241106DESTW")</f>
        <v>20241106DESTW</v>
      </c>
      <c r="B212" s="8">
        <f ca="1">IFERROR(__xludf.DUMMYFUNCTION("""COMPUTED_VALUE"""),11)</f>
        <v>11</v>
      </c>
      <c r="C212" s="8">
        <f ca="1">IFERROR(__xludf.DUMMYFUNCTION("""COMPUTED_VALUE"""),6)</f>
        <v>6</v>
      </c>
      <c r="D212" s="8">
        <f ca="1">IFERROR(__xludf.DUMMYFUNCTION("""COMPUTED_VALUE"""),2024)</f>
        <v>2024</v>
      </c>
      <c r="E212" s="9">
        <f ca="1">IFERROR(__xludf.DUMMYFUNCTION("""COMPUTED_VALUE"""),45602)</f>
        <v>45602</v>
      </c>
      <c r="F212" s="8" t="str">
        <f ca="1">IFERROR(__xludf.DUMMYFUNCTION("""COMPUTED_VALUE"""),"Stanton Middle School")</f>
        <v>Stanton Middle School</v>
      </c>
      <c r="G212" s="8">
        <f ca="1">IFERROR(__xludf.DUMMYFUNCTION("""COMPUTED_VALUE"""),0)</f>
        <v>0</v>
      </c>
      <c r="H212" s="8">
        <f ca="1">IFERROR(__xludf.DUMMYFUNCTION("""COMPUTED_VALUE"""),0)</f>
        <v>0</v>
      </c>
      <c r="I212" s="8">
        <f ca="1">IFERROR(__xludf.DUMMYFUNCTION("""COMPUTED_VALUE"""),0)</f>
        <v>0</v>
      </c>
      <c r="J212" s="8">
        <f ca="1">IFERROR(__xludf.DUMMYFUNCTION("""COMPUTED_VALUE"""),0)</f>
        <v>0</v>
      </c>
      <c r="K212" s="10" t="str">
        <f ca="1">IFERROR(__xludf.DUMMYFUNCTION("""COMPUTED_VALUE"""),"https://www.delawareonline.com/story/news/local/2024/11/07/delaware-stanton-middle-school-constables-gun-accidentally-fires-no-injuries/76108171007/")</f>
        <v>https://www.delawareonline.com/story/news/local/2024/11/07/delaware-stanton-middle-school-constables-gun-accidentally-fires-no-injuries/76108171007/</v>
      </c>
      <c r="L212" s="8">
        <f ca="1">IFERROR(__xludf.DUMMYFUNCTION("""COMPUTED_VALUE"""),2)</f>
        <v>2</v>
      </c>
      <c r="M212" s="8" t="str">
        <f ca="1">IFERROR(__xludf.DUMMYFUNCTION("""COMPUTED_VALUE"""),"Regional")</f>
        <v>Regional</v>
      </c>
      <c r="N212" s="8">
        <f ca="1">IFERROR(__xludf.DUMMYFUNCTION("""COMPUTED_VALUE"""),4)</f>
        <v>4</v>
      </c>
      <c r="O212" s="8" t="str">
        <f ca="1">IFERROR(__xludf.DUMMYFUNCTION("""COMPUTED_VALUE"""),"Fall")</f>
        <v>Fall</v>
      </c>
      <c r="P212" s="8" t="str">
        <f ca="1">IFERROR(__xludf.DUMMYFUNCTION("""COMPUTED_VALUE"""),"Wilmington")</f>
        <v>Wilmington</v>
      </c>
      <c r="Q212" s="8" t="str">
        <f ca="1">IFERROR(__xludf.DUMMYFUNCTION("""COMPUTED_VALUE"""),"DE")</f>
        <v>DE</v>
      </c>
      <c r="R212" s="8" t="str">
        <f ca="1">IFERROR(__xludf.DUMMYFUNCTION("""COMPUTED_VALUE"""),"Middle")</f>
        <v>Middle</v>
      </c>
      <c r="S212" s="8" t="str">
        <f ca="1">IFERROR(__xludf.DUMMYFUNCTION("""COMPUTED_VALUE"""),"Hallway")</f>
        <v>Hallway</v>
      </c>
      <c r="T212" s="8" t="str">
        <f ca="1">IFERROR(__xludf.DUMMYFUNCTION("""COMPUTED_VALUE"""),"Inside School Building")</f>
        <v>Inside School Building</v>
      </c>
      <c r="U212" s="8" t="str">
        <f ca="1">IFERROR(__xludf.DUMMYFUNCTION("""COMPUTED_VALUE"""),"Yes")</f>
        <v>Yes</v>
      </c>
      <c r="V212" s="8"/>
      <c r="W212" s="8"/>
      <c r="X212" s="8">
        <f ca="1">IFERROR(__xludf.DUMMYFUNCTION("""COMPUTED_VALUE"""),1)</f>
        <v>1</v>
      </c>
      <c r="Y212" s="12" t="str">
        <f ca="1">IFERROR(__xludf.DUMMYFUNCTION("""COMPUTED_VALUE"""),"School constable's firearm accidentally discharged in a school hallway")</f>
        <v>School constable's firearm accidentally discharged in a school hallway</v>
      </c>
      <c r="Z212" s="12" t="str">
        <f ca="1">IFERROR(__xludf.DUMMYFUNCTION("""COMPUTED_VALUE"""),"No one was injured Wednesday after a Stanton Middle School constable's firearm accidentally discharged in a school hallway, Principal Matt Robinson said in an email to parents. According to the email, the constable was ""repositioning his weapon in his ho"&amp;"lster"" when it fired. ""We're relieved to share that no one was hurt, and students were safely in class at the time,"" Robinson wrote. He said the school is reviewing its safety protocols and Delaware State Police has been asked to investigate ""in accor"&amp;"dance with district and law enforcement protocols.""")</f>
        <v>No one was injured Wednesday after a Stanton Middle School constable's firearm accidentally discharged in a school hallway, Principal Matt Robinson said in an email to parents. According to the email, the constable was "repositioning his weapon in his holster" when it fired. "We're relieved to share that no one was hurt, and students were safely in class at the time," Robinson wrote. He said the school is reviewing its safety protocols and Delaware State Police has been asked to investigate "in accordance with district and law enforcement protocols."</v>
      </c>
      <c r="AA212" s="8" t="str">
        <f ca="1">IFERROR(__xludf.DUMMYFUNCTION("""COMPUTED_VALUE"""),"Accidental")</f>
        <v>Accidental</v>
      </c>
      <c r="AB212" s="8" t="str">
        <f ca="1">IFERROR(__xludf.DUMMYFUNCTION("""COMPUTED_VALUE"""),"Spontaneous")</f>
        <v>Spontaneous</v>
      </c>
      <c r="AC212" s="8" t="str">
        <f ca="1">IFERROR(__xludf.DUMMYFUNCTION("""COMPUTED_VALUE"""),"Yes")</f>
        <v>Yes</v>
      </c>
      <c r="AD212" s="8" t="str">
        <f ca="1">IFERROR(__xludf.DUMMYFUNCTION("""COMPUTED_VALUE"""),"Neither")</f>
        <v>Neither</v>
      </c>
      <c r="AE212" s="8" t="str">
        <f ca="1">IFERROR(__xludf.DUMMYFUNCTION("""COMPUTED_VALUE"""),"No")</f>
        <v>No</v>
      </c>
      <c r="AF212" s="8"/>
      <c r="AG212" s="8" t="str">
        <f ca="1">IFERROR(__xludf.DUMMYFUNCTION("""COMPUTED_VALUE"""),"No")</f>
        <v>No</v>
      </c>
      <c r="AH212" s="8" t="str">
        <f ca="1">IFERROR(__xludf.DUMMYFUNCTION("""COMPUTED_VALUE"""),"No")</f>
        <v>No</v>
      </c>
      <c r="AI212" s="8" t="str">
        <f ca="1">IFERROR(__xludf.DUMMYFUNCTION("""COMPUTED_VALUE"""),"Yes")</f>
        <v>Yes</v>
      </c>
      <c r="AJ212" s="8" t="str">
        <f ca="1">IFERROR(__xludf.DUMMYFUNCTION("""COMPUTED_VALUE"""),"No")</f>
        <v>No</v>
      </c>
      <c r="AK212" s="8" t="str">
        <f ca="1">IFERROR(__xludf.DUMMYFUNCTION("""COMPUTED_VALUE"""),"No")</f>
        <v>No</v>
      </c>
      <c r="AL212" s="8" t="str">
        <f ca="1">IFERROR(__xludf.DUMMYFUNCTION("""COMPUTED_VALUE"""),"No")</f>
        <v>No</v>
      </c>
      <c r="AM212" s="8" t="str">
        <f ca="1">IFERROR(__xludf.DUMMYFUNCTION("""COMPUTED_VALUE"""),"No")</f>
        <v>No</v>
      </c>
      <c r="AN212" s="8" t="str">
        <f ca="1">IFERROR(__xludf.DUMMYFUNCTION("""COMPUTED_VALUE"""),"Hallway")</f>
        <v>Hallway</v>
      </c>
      <c r="AO212" s="8" t="str">
        <f ca="1">IFERROR(__xludf.DUMMYFUNCTION("""COMPUTED_VALUE"""),"No")</f>
        <v>No</v>
      </c>
      <c r="AP212" s="8"/>
      <c r="AQ212" s="8"/>
      <c r="AR212" s="8" t="str">
        <f ca="1">IFERROR(__xludf.DUMMYFUNCTION("""COMPUTED_VALUE"""),"Outside/Off-Property")</f>
        <v>Outside/Off-Property</v>
      </c>
      <c r="AS212" s="8">
        <f ca="1">IFERROR(__xludf.DUMMYFUNCTION("""COMPUTED_VALUE"""),1)</f>
        <v>1</v>
      </c>
      <c r="AT212" s="8"/>
      <c r="AU212" s="8">
        <f ca="1">IFERROR(__xludf.DUMMYFUNCTION("""COMPUTED_VALUE"""),39.713878)</f>
        <v>39.713878000000001</v>
      </c>
      <c r="AV212" s="8">
        <f ca="1">IFERROR(__xludf.DUMMYFUNCTION("""COMPUTED_VALUE"""),-75.650461)</f>
        <v>-75.650461000000007</v>
      </c>
      <c r="AW212" s="8" t="str">
        <f ca="1">IFERROR(__xludf.DUMMYFUNCTION("""COMPUTED_VALUE"""),"Single building indoor hallway")</f>
        <v>Single building indoor hallway</v>
      </c>
      <c r="AX212" s="8">
        <f ca="1">IFERROR(__xludf.DUMMYFUNCTION("""COMPUTED_VALUE"""),19808)</f>
        <v>19808</v>
      </c>
    </row>
    <row r="213" spans="1:50" ht="135" x14ac:dyDescent="0.2">
      <c r="A213" s="8" t="str">
        <f ca="1">IFERROR(__xludf.DUMMYFUNCTION("""COMPUTED_VALUE"""),"20241106ILLAC")</f>
        <v>20241106ILLAC</v>
      </c>
      <c r="B213" s="8">
        <f ca="1">IFERROR(__xludf.DUMMYFUNCTION("""COMPUTED_VALUE"""),11)</f>
        <v>11</v>
      </c>
      <c r="C213" s="8">
        <f ca="1">IFERROR(__xludf.DUMMYFUNCTION("""COMPUTED_VALUE"""),6)</f>
        <v>6</v>
      </c>
      <c r="D213" s="8">
        <f ca="1">IFERROR(__xludf.DUMMYFUNCTION("""COMPUTED_VALUE"""),2024)</f>
        <v>2024</v>
      </c>
      <c r="E213" s="9">
        <f ca="1">IFERROR(__xludf.DUMMYFUNCTION("""COMPUTED_VALUE"""),45602)</f>
        <v>45602</v>
      </c>
      <c r="F213" s="8" t="str">
        <f ca="1">IFERROR(__xludf.DUMMYFUNCTION("""COMPUTED_VALUE"""),"Laura S. Ward Elementary School")</f>
        <v>Laura S. Ward Elementary School</v>
      </c>
      <c r="G213" s="8">
        <f ca="1">IFERROR(__xludf.DUMMYFUNCTION("""COMPUTED_VALUE"""),1)</f>
        <v>1</v>
      </c>
      <c r="H213" s="8">
        <f ca="1">IFERROR(__xludf.DUMMYFUNCTION("""COMPUTED_VALUE"""),0)</f>
        <v>0</v>
      </c>
      <c r="I213" s="8">
        <f ca="1">IFERROR(__xludf.DUMMYFUNCTION("""COMPUTED_VALUE"""),1)</f>
        <v>1</v>
      </c>
      <c r="J213" s="8">
        <f ca="1">IFERROR(__xludf.DUMMYFUNCTION("""COMPUTED_VALUE"""),0)</f>
        <v>0</v>
      </c>
      <c r="K213" s="10" t="str">
        <f ca="1">IFERROR(__xludf.DUMMYFUNCTION("""COMPUTED_VALUE"""),"https://wgntv.com/news/chicagocrime/man-shot-while-driving-near-west-side-elementary-school/")</f>
        <v>https://wgntv.com/news/chicagocrime/man-shot-while-driving-near-west-side-elementary-school/</v>
      </c>
      <c r="L213" s="8">
        <f ca="1">IFERROR(__xludf.DUMMYFUNCTION("""COMPUTED_VALUE"""),2)</f>
        <v>2</v>
      </c>
      <c r="M213" s="8" t="str">
        <f ca="1">IFERROR(__xludf.DUMMYFUNCTION("""COMPUTED_VALUE"""),"Local")</f>
        <v>Local</v>
      </c>
      <c r="N213" s="8">
        <f ca="1">IFERROR(__xludf.DUMMYFUNCTION("""COMPUTED_VALUE"""),3)</f>
        <v>3</v>
      </c>
      <c r="O213" s="8" t="str">
        <f ca="1">IFERROR(__xludf.DUMMYFUNCTION("""COMPUTED_VALUE"""),"Fall")</f>
        <v>Fall</v>
      </c>
      <c r="P213" s="8" t="str">
        <f ca="1">IFERROR(__xludf.DUMMYFUNCTION("""COMPUTED_VALUE"""),"Chicago")</f>
        <v>Chicago</v>
      </c>
      <c r="Q213" s="8" t="str">
        <f ca="1">IFERROR(__xludf.DUMMYFUNCTION("""COMPUTED_VALUE"""),"IL")</f>
        <v>IL</v>
      </c>
      <c r="R213" s="8" t="str">
        <f ca="1">IFERROR(__xludf.DUMMYFUNCTION("""COMPUTED_VALUE"""),"Elementary")</f>
        <v>Elementary</v>
      </c>
      <c r="S213" s="8" t="str">
        <f ca="1">IFERROR(__xludf.DUMMYFUNCTION("""COMPUTED_VALUE"""),"Beside Building")</f>
        <v>Beside Building</v>
      </c>
      <c r="T213" s="8" t="str">
        <f ca="1">IFERROR(__xludf.DUMMYFUNCTION("""COMPUTED_VALUE"""),"Outside on School Property")</f>
        <v>Outside on School Property</v>
      </c>
      <c r="U213" s="8" t="str">
        <f ca="1">IFERROR(__xludf.DUMMYFUNCTION("""COMPUTED_VALUE"""),"Yes")</f>
        <v>Yes</v>
      </c>
      <c r="V213" s="8" t="str">
        <f ca="1">IFERROR(__xludf.DUMMYFUNCTION("""COMPUTED_VALUE"""),"Afternoon Classes")</f>
        <v>Afternoon Classes</v>
      </c>
      <c r="W213" s="11">
        <f ca="1">IFERROR(__xludf.DUMMYFUNCTION("""COMPUTED_VALUE"""),0.541666666666666)</f>
        <v>0.54166666666666596</v>
      </c>
      <c r="X213" s="8">
        <f ca="1">IFERROR(__xludf.DUMMYFUNCTION("""COMPUTED_VALUE"""),1)</f>
        <v>1</v>
      </c>
      <c r="Y213" s="12" t="str">
        <f ca="1">IFERROR(__xludf.DUMMYFUNCTION("""COMPUTED_VALUE"""),"Man fatally shot outside the school during afternoon classes")</f>
        <v>Man fatally shot outside the school during afternoon classes</v>
      </c>
      <c r="Z213" s="12" t="str">
        <f ca="1">IFERROR(__xludf.DUMMYFUNCTION("""COMPUTED_VALUE"""),"This afternoon, there were reports of shots fired outdoors in the area near our school building. We immediately went on soft lockdown and contacted the Chicago Police Department (CPD) and CPS Office of Safety and Security. CPD then responded to our school"&amp;" and lifted our lockdown once they confirmed it was safe to do so. All students and staff are safe. Out of an abundance of caution, we will receive extra support from CPD during our arrival and dismissal this week.")</f>
        <v>This afternoon, there were reports of shots fired outdoors in the area near our school building. We immediately went on soft lockdown and contacted the Chicago Police Department (CPD) and CPS Office of Safety and Security. CPD then responded to our school and lifted our lockdown once they confirmed it was safe to do so. All students and staff are safe. Out of an abundance of caution, we will receive extra support from CPD during our arrival and dismissal this week.</v>
      </c>
      <c r="AA213" s="8" t="str">
        <f ca="1">IFERROR(__xludf.DUMMYFUNCTION("""COMPUTED_VALUE"""),"Drive-by Shooting")</f>
        <v>Drive-by Shooting</v>
      </c>
      <c r="AB213" s="8" t="str">
        <f ca="1">IFERROR(__xludf.DUMMYFUNCTION("""COMPUTED_VALUE"""),"Targeted")</f>
        <v>Targeted</v>
      </c>
      <c r="AC213" s="8" t="str">
        <f ca="1">IFERROR(__xludf.DUMMYFUNCTION("""COMPUTED_VALUE"""),"Yes")</f>
        <v>Yes</v>
      </c>
      <c r="AD213" s="8" t="str">
        <f ca="1">IFERROR(__xludf.DUMMYFUNCTION("""COMPUTED_VALUE"""),"Victims Targeted")</f>
        <v>Victims Targeted</v>
      </c>
      <c r="AE213" s="8"/>
      <c r="AF213" s="8"/>
      <c r="AG213" s="8" t="str">
        <f ca="1">IFERROR(__xludf.DUMMYFUNCTION("""COMPUTED_VALUE"""),"No")</f>
        <v>No</v>
      </c>
      <c r="AH213" s="8" t="str">
        <f ca="1">IFERROR(__xludf.DUMMYFUNCTION("""COMPUTED_VALUE"""),"No")</f>
        <v>No</v>
      </c>
      <c r="AI213" s="8" t="str">
        <f ca="1">IFERROR(__xludf.DUMMYFUNCTION("""COMPUTED_VALUE"""),"No")</f>
        <v>No</v>
      </c>
      <c r="AJ213" s="8" t="str">
        <f ca="1">IFERROR(__xludf.DUMMYFUNCTION("""COMPUTED_VALUE"""),"No")</f>
        <v>No</v>
      </c>
      <c r="AK213" s="8" t="str">
        <f ca="1">IFERROR(__xludf.DUMMYFUNCTION("""COMPUTED_VALUE"""),"No")</f>
        <v>No</v>
      </c>
      <c r="AL213" s="8"/>
      <c r="AM213" s="8" t="str">
        <f ca="1">IFERROR(__xludf.DUMMYFUNCTION("""COMPUTED_VALUE"""),"No")</f>
        <v>No</v>
      </c>
      <c r="AN213" s="8" t="str">
        <f ca="1">IFERROR(__xludf.DUMMYFUNCTION("""COMPUTED_VALUE"""),"Outside")</f>
        <v>Outside</v>
      </c>
      <c r="AO213" s="8" t="str">
        <f ca="1">IFERROR(__xludf.DUMMYFUNCTION("""COMPUTED_VALUE"""),"No")</f>
        <v>No</v>
      </c>
      <c r="AP213" s="8"/>
      <c r="AQ213" s="8"/>
      <c r="AR213" s="8" t="str">
        <f ca="1">IFERROR(__xludf.DUMMYFUNCTION("""COMPUTED_VALUE"""),"Outside/Off-Property")</f>
        <v>Outside/Off-Property</v>
      </c>
      <c r="AS213" s="8">
        <f ca="1">IFERROR(__xludf.DUMMYFUNCTION("""COMPUTED_VALUE"""),99)</f>
        <v>99</v>
      </c>
      <c r="AT213" s="8" t="str">
        <f ca="1">IFERROR(__xludf.DUMMYFUNCTION("""COMPUTED_VALUE"""),"Yes")</f>
        <v>Yes</v>
      </c>
      <c r="AU213" s="8">
        <f ca="1">IFERROR(__xludf.DUMMYFUNCTION("""COMPUTED_VALUE"""),41.893003)</f>
        <v>41.893003</v>
      </c>
      <c r="AV213" s="8">
        <f ca="1">IFERROR(__xludf.DUMMYFUNCTION("""COMPUTED_VALUE"""),-87.718797)</f>
        <v>-87.718796999999995</v>
      </c>
      <c r="AW213" s="8" t="str">
        <f ca="1">IFERROR(__xludf.DUMMYFUNCTION("""COMPUTED_VALUE"""),"Urban Street Standalone")</f>
        <v>Urban Street Standalone</v>
      </c>
      <c r="AX213" s="8">
        <f ca="1">IFERROR(__xludf.DUMMYFUNCTION("""COMPUTED_VALUE"""),60624)</f>
        <v>60624</v>
      </c>
    </row>
    <row r="214" spans="1:50" ht="225" x14ac:dyDescent="0.2">
      <c r="A214" s="8" t="str">
        <f ca="1">IFERROR(__xludf.DUMMYFUNCTION("""COMPUTED_VALUE"""),"20241105ORCES")</f>
        <v>20241105ORCES</v>
      </c>
      <c r="B214" s="8">
        <f ca="1">IFERROR(__xludf.DUMMYFUNCTION("""COMPUTED_VALUE"""),11)</f>
        <v>11</v>
      </c>
      <c r="C214" s="8">
        <f ca="1">IFERROR(__xludf.DUMMYFUNCTION("""COMPUTED_VALUE"""),5)</f>
        <v>5</v>
      </c>
      <c r="D214" s="8">
        <f ca="1">IFERROR(__xludf.DUMMYFUNCTION("""COMPUTED_VALUE"""),2024)</f>
        <v>2024</v>
      </c>
      <c r="E214" s="9">
        <f ca="1">IFERROR(__xludf.DUMMYFUNCTION("""COMPUTED_VALUE"""),45601)</f>
        <v>45601</v>
      </c>
      <c r="F214" s="8" t="str">
        <f ca="1">IFERROR(__xludf.DUMMYFUNCTION("""COMPUTED_VALUE"""),"Centennial Elementary School")</f>
        <v>Centennial Elementary School</v>
      </c>
      <c r="G214" s="8">
        <f ca="1">IFERROR(__xludf.DUMMYFUNCTION("""COMPUTED_VALUE"""),0)</f>
        <v>0</v>
      </c>
      <c r="H214" s="8">
        <f ca="1">IFERROR(__xludf.DUMMYFUNCTION("""COMPUTED_VALUE"""),0)</f>
        <v>0</v>
      </c>
      <c r="I214" s="8">
        <f ca="1">IFERROR(__xludf.DUMMYFUNCTION("""COMPUTED_VALUE"""),0)</f>
        <v>0</v>
      </c>
      <c r="J214" s="8">
        <f ca="1">IFERROR(__xludf.DUMMYFUNCTION("""COMPUTED_VALUE"""),0)</f>
        <v>0</v>
      </c>
      <c r="K214" s="10" t="str">
        <f ca="1">IFERROR(__xludf.DUMMYFUNCTION("""COMPUTED_VALUE"""),"https://www.statesmanjournal.com/story/news/local/2024/11/05/hunting-rifle-scio-school-drop-off/76074435007/")</f>
        <v>https://www.statesmanjournal.com/story/news/local/2024/11/05/hunting-rifle-scio-school-drop-off/76074435007/</v>
      </c>
      <c r="L214" s="8">
        <f ca="1">IFERROR(__xludf.DUMMYFUNCTION("""COMPUTED_VALUE"""),1)</f>
        <v>1</v>
      </c>
      <c r="M214" s="8" t="str">
        <f ca="1">IFERROR(__xludf.DUMMYFUNCTION("""COMPUTED_VALUE"""),"Local")</f>
        <v>Local</v>
      </c>
      <c r="N214" s="8">
        <f ca="1">IFERROR(__xludf.DUMMYFUNCTION("""COMPUTED_VALUE"""),4)</f>
        <v>4</v>
      </c>
      <c r="O214" s="8" t="str">
        <f ca="1">IFERROR(__xludf.DUMMYFUNCTION("""COMPUTED_VALUE"""),"Fall")</f>
        <v>Fall</v>
      </c>
      <c r="P214" s="8" t="str">
        <f ca="1">IFERROR(__xludf.DUMMYFUNCTION("""COMPUTED_VALUE"""),"Scio")</f>
        <v>Scio</v>
      </c>
      <c r="Q214" s="8" t="str">
        <f ca="1">IFERROR(__xludf.DUMMYFUNCTION("""COMPUTED_VALUE"""),"OR")</f>
        <v>OR</v>
      </c>
      <c r="R214" s="8" t="str">
        <f ca="1">IFERROR(__xludf.DUMMYFUNCTION("""COMPUTED_VALUE"""),"Elementary")</f>
        <v>Elementary</v>
      </c>
      <c r="S214" s="8" t="str">
        <f ca="1">IFERROR(__xludf.DUMMYFUNCTION("""COMPUTED_VALUE"""),"Parking Lot")</f>
        <v>Parking Lot</v>
      </c>
      <c r="T214" s="8" t="str">
        <f ca="1">IFERROR(__xludf.DUMMYFUNCTION("""COMPUTED_VALUE"""),"Outside on School Property")</f>
        <v>Outside on School Property</v>
      </c>
      <c r="U214" s="8" t="str">
        <f ca="1">IFERROR(__xludf.DUMMYFUNCTION("""COMPUTED_VALUE"""),"Yes")</f>
        <v>Yes</v>
      </c>
      <c r="V214" s="8" t="str">
        <f ca="1">IFERROR(__xludf.DUMMYFUNCTION("""COMPUTED_VALUE"""),"School Start")</f>
        <v>School Start</v>
      </c>
      <c r="W214" s="11">
        <f ca="1">IFERROR(__xludf.DUMMYFUNCTION("""COMPUTED_VALUE"""),0.322916666666666)</f>
        <v>0.32291666666666602</v>
      </c>
      <c r="X214" s="8">
        <f ca="1">IFERROR(__xludf.DUMMYFUNCTION("""COMPUTED_VALUE"""),1)</f>
        <v>1</v>
      </c>
      <c r="Y214" s="12" t="str">
        <f ca="1">IFERROR(__xludf.DUMMYFUNCTION("""COMPUTED_VALUE"""),"Child fired shot with unsecured gun inside car during student drop off")</f>
        <v>Child fired shot with unsecured gun inside car during student drop off</v>
      </c>
      <c r="Z214" s="12" t="str">
        <f ca="1">IFERROR(__xludf.DUMMYFUNCTION("""COMPUTED_VALUE"""),"A hunting rifle went off in a family's car Tuesday morning during drop-off at a school in Scio, according to an email sent to Scio School District families. The shot was fired in the back parking lot of Centennial Elementary School at 7:45 a.m., and no on"&amp;"e was hurt, interim superintendent Kim Roth said in the email. The family had been on a recent hunting trip and thought the rifle had been emptied, the email said. A young child in the backseat was touching the rifle when it went off under the driver's se"&amp;"at. Police were called and were on the scene to investigate. ""As a rural community, many of our families participate in hunting as a cherished hobby and tradition,"" Roth said in the email. ""Please remember that in accordance with the federal Gun-Free S"&amp;"chool Zones Act, firearms are not allowed on campus.""")</f>
        <v>A hunting rifle went off in a family's car Tuesday morning during drop-off at a school in Scio, according to an email sent to Scio School District families. The shot was fired in the back parking lot of Centennial Elementary School at 7:45 a.m., and no one was hurt, interim superintendent Kim Roth said in the email. The family had been on a recent hunting trip and thought the rifle had been emptied, the email said. A young child in the backseat was touching the rifle when it went off under the driver's seat. Police were called and were on the scene to investigate. "As a rural community, many of our families participate in hunting as a cherished hobby and tradition," Roth said in the email. "Please remember that in accordance with the federal Gun-Free School Zones Act, firearms are not allowed on campus."</v>
      </c>
      <c r="AA214" s="8" t="str">
        <f ca="1">IFERROR(__xludf.DUMMYFUNCTION("""COMPUTED_VALUE"""),"Accidental")</f>
        <v>Accidental</v>
      </c>
      <c r="AB214" s="8" t="str">
        <f ca="1">IFERROR(__xludf.DUMMYFUNCTION("""COMPUTED_VALUE"""),"Spontaneous")</f>
        <v>Spontaneous</v>
      </c>
      <c r="AC214" s="8" t="str">
        <f ca="1">IFERROR(__xludf.DUMMYFUNCTION("""COMPUTED_VALUE"""),"Yes")</f>
        <v>Yes</v>
      </c>
      <c r="AD214" s="8" t="str">
        <f ca="1">IFERROR(__xludf.DUMMYFUNCTION("""COMPUTED_VALUE"""),"Neither")</f>
        <v>Neither</v>
      </c>
      <c r="AE214" s="8" t="str">
        <f ca="1">IFERROR(__xludf.DUMMYFUNCTION("""COMPUTED_VALUE"""),"No")</f>
        <v>No</v>
      </c>
      <c r="AF214" s="8"/>
      <c r="AG214" s="8" t="str">
        <f ca="1">IFERROR(__xludf.DUMMYFUNCTION("""COMPUTED_VALUE"""),"No")</f>
        <v>No</v>
      </c>
      <c r="AH214" s="8" t="str">
        <f ca="1">IFERROR(__xludf.DUMMYFUNCTION("""COMPUTED_VALUE"""),"No")</f>
        <v>No</v>
      </c>
      <c r="AI214" s="8" t="str">
        <f ca="1">IFERROR(__xludf.DUMMYFUNCTION("""COMPUTED_VALUE"""),"No")</f>
        <v>No</v>
      </c>
      <c r="AJ214" s="8" t="str">
        <f ca="1">IFERROR(__xludf.DUMMYFUNCTION("""COMPUTED_VALUE"""),"No")</f>
        <v>No</v>
      </c>
      <c r="AK214" s="8" t="str">
        <f ca="1">IFERROR(__xludf.DUMMYFUNCTION("""COMPUTED_VALUE"""),"No")</f>
        <v>No</v>
      </c>
      <c r="AL214" s="8" t="str">
        <f ca="1">IFERROR(__xludf.DUMMYFUNCTION("""COMPUTED_VALUE"""),"No")</f>
        <v>No</v>
      </c>
      <c r="AM214" s="8" t="str">
        <f ca="1">IFERROR(__xludf.DUMMYFUNCTION("""COMPUTED_VALUE"""),"No")</f>
        <v>No</v>
      </c>
      <c r="AN214" s="8" t="str">
        <f ca="1">IFERROR(__xludf.DUMMYFUNCTION("""COMPUTED_VALUE"""),"Outside")</f>
        <v>Outside</v>
      </c>
      <c r="AO214" s="8" t="str">
        <f ca="1">IFERROR(__xludf.DUMMYFUNCTION("""COMPUTED_VALUE"""),"No")</f>
        <v>No</v>
      </c>
      <c r="AP214" s="8"/>
      <c r="AQ214" s="8"/>
      <c r="AR214" s="8" t="str">
        <f ca="1">IFERROR(__xludf.DUMMYFUNCTION("""COMPUTED_VALUE"""),"Outside/Off-Property")</f>
        <v>Outside/Off-Property</v>
      </c>
      <c r="AS214" s="8">
        <f ca="1">IFERROR(__xludf.DUMMYFUNCTION("""COMPUTED_VALUE"""),1)</f>
        <v>1</v>
      </c>
      <c r="AT214" s="8" t="str">
        <f ca="1">IFERROR(__xludf.DUMMYFUNCTION("""COMPUTED_VALUE"""),"No")</f>
        <v>No</v>
      </c>
      <c r="AU214" s="8">
        <f ca="1">IFERROR(__xludf.DUMMYFUNCTION("""COMPUTED_VALUE"""),44.70495)</f>
        <v>44.704949999999997</v>
      </c>
      <c r="AV214" s="8">
        <f ca="1">IFERROR(__xludf.DUMMYFUNCTION("""COMPUTED_VALUE"""),-122.853197)</f>
        <v>-122.85319699999999</v>
      </c>
      <c r="AW214" s="8" t="str">
        <f ca="1">IFERROR(__xludf.DUMMYFUNCTION("""COMPUTED_VALUE"""),"Multiple attached buildings")</f>
        <v>Multiple attached buildings</v>
      </c>
      <c r="AX214" s="8">
        <f ca="1">IFERROR(__xludf.DUMMYFUNCTION("""COMPUTED_VALUE"""),97374)</f>
        <v>97374</v>
      </c>
    </row>
    <row r="215" spans="1:50" ht="195" x14ac:dyDescent="0.2">
      <c r="A215" s="8" t="str">
        <f ca="1">IFERROR(__xludf.DUMMYFUNCTION("""COMPUTED_VALUE"""),"20241105FLTYS")</f>
        <v>20241105FLTYS</v>
      </c>
      <c r="B215" s="8">
        <f ca="1">IFERROR(__xludf.DUMMYFUNCTION("""COMPUTED_VALUE"""),11)</f>
        <v>11</v>
      </c>
      <c r="C215" s="8">
        <f ca="1">IFERROR(__xludf.DUMMYFUNCTION("""COMPUTED_VALUE"""),5)</f>
        <v>5</v>
      </c>
      <c r="D215" s="8">
        <f ca="1">IFERROR(__xludf.DUMMYFUNCTION("""COMPUTED_VALUE"""),2024)</f>
        <v>2024</v>
      </c>
      <c r="E215" s="9">
        <f ca="1">IFERROR(__xludf.DUMMYFUNCTION("""COMPUTED_VALUE"""),45601)</f>
        <v>45601</v>
      </c>
      <c r="F215" s="8" t="str">
        <f ca="1">IFERROR(__xludf.DUMMYFUNCTION("""COMPUTED_VALUE"""),"Tyrone Middle School")</f>
        <v>Tyrone Middle School</v>
      </c>
      <c r="G215" s="8">
        <f ca="1">IFERROR(__xludf.DUMMYFUNCTION("""COMPUTED_VALUE"""),0)</f>
        <v>0</v>
      </c>
      <c r="H215" s="8">
        <f ca="1">IFERROR(__xludf.DUMMYFUNCTION("""COMPUTED_VALUE"""),1)</f>
        <v>1</v>
      </c>
      <c r="I215" s="8">
        <f ca="1">IFERROR(__xludf.DUMMYFUNCTION("""COMPUTED_VALUE"""),1)</f>
        <v>1</v>
      </c>
      <c r="J215" s="8">
        <f ca="1">IFERROR(__xludf.DUMMYFUNCTION("""COMPUTED_VALUE"""),0)</f>
        <v>0</v>
      </c>
      <c r="K215" s="8" t="str">
        <f ca="1">IFERROR(__xludf.DUMMYFUNCTION("""COMPUTED_VALUE"""),"https://www.abcactionnews.com/news/region-pinellas/student-hospitalized-after-self-inflicted-gunshot-wound-on-school-bus
https://www.fox13news.com/news/middle-school-student-shot-school-bus-st-pete-police-say")</f>
        <v>https://www.abcactionnews.com/news/region-pinellas/student-hospitalized-after-self-inflicted-gunshot-wound-on-school-bus
https://www.fox13news.com/news/middle-school-student-shot-school-bus-st-pete-police-say</v>
      </c>
      <c r="L215" s="8">
        <f ca="1">IFERROR(__xludf.DUMMYFUNCTION("""COMPUTED_VALUE"""),30)</f>
        <v>30</v>
      </c>
      <c r="M215" s="8" t="str">
        <f ca="1">IFERROR(__xludf.DUMMYFUNCTION("""COMPUTED_VALUE"""),"International")</f>
        <v>International</v>
      </c>
      <c r="N215" s="8">
        <f ca="1">IFERROR(__xludf.DUMMYFUNCTION("""COMPUTED_VALUE"""),4)</f>
        <v>4</v>
      </c>
      <c r="O215" s="8" t="str">
        <f ca="1">IFERROR(__xludf.DUMMYFUNCTION("""COMPUTED_VALUE"""),"Fall")</f>
        <v>Fall</v>
      </c>
      <c r="P215" s="8" t="str">
        <f ca="1">IFERROR(__xludf.DUMMYFUNCTION("""COMPUTED_VALUE"""),"St. Petersburg")</f>
        <v>St. Petersburg</v>
      </c>
      <c r="Q215" s="8" t="str">
        <f ca="1">IFERROR(__xludf.DUMMYFUNCTION("""COMPUTED_VALUE"""),"FL")</f>
        <v>FL</v>
      </c>
      <c r="R215" s="8" t="str">
        <f ca="1">IFERROR(__xludf.DUMMYFUNCTION("""COMPUTED_VALUE"""),"Elementary")</f>
        <v>Elementary</v>
      </c>
      <c r="S215" s="8" t="str">
        <f ca="1">IFERROR(__xludf.DUMMYFUNCTION("""COMPUTED_VALUE"""),"School Bus")</f>
        <v>School Bus</v>
      </c>
      <c r="T215" s="8" t="str">
        <f ca="1">IFERROR(__xludf.DUMMYFUNCTION("""COMPUTED_VALUE"""),"School Bus")</f>
        <v>School Bus</v>
      </c>
      <c r="U215" s="8" t="str">
        <f ca="1">IFERROR(__xludf.DUMMYFUNCTION("""COMPUTED_VALUE"""),"Yes")</f>
        <v>Yes</v>
      </c>
      <c r="V215" s="8" t="str">
        <f ca="1">IFERROR(__xludf.DUMMYFUNCTION("""COMPUTED_VALUE"""),"School Start")</f>
        <v>School Start</v>
      </c>
      <c r="W215" s="11">
        <f ca="1">IFERROR(__xludf.DUMMYFUNCTION("""COMPUTED_VALUE"""),0.388888888888888)</f>
        <v>0.38888888888888801</v>
      </c>
      <c r="X215" s="8">
        <f ca="1">IFERROR(__xludf.DUMMYFUNCTION("""COMPUTED_VALUE"""),1)</f>
        <v>1</v>
      </c>
      <c r="Y215" s="12" t="str">
        <f ca="1">IFERROR(__xludf.DUMMYFUNCTION("""COMPUTED_VALUE"""),"13-year-old girl shot herself on the school bus")</f>
        <v>13-year-old girl shot herself on the school bus</v>
      </c>
      <c r="Z215" s="12" t="str">
        <f ca="1">IFERROR(__xludf.DUMMYFUNCTION("""COMPUTED_VALUE"""),"A middle school student is in the hospital in stable condition after St. Petersburg police say she shot herself on a school bus Tuesday morning. It happened around 9:20 a.m. near 49th Street North and 17th Avenue North. Police say there were 20 students h"&amp;"eaded to Tyrone Middle School on board the bus when the shooting occurred. Yolanda Fernandez, the community awareness division manager of the St. Pete Police Department, said no one else was hurt or threatened, and that the 13-year-old brought the gun onb"&amp;"oard. The bus driver heard a pop, and students yelled that someone had been shot, Fernandez said. The bus driver pulled over about a block away where she saw a police officer and flagged him down for help. ")</f>
        <v xml:space="preserve">A middle school student is in the hospital in stable condition after St. Petersburg police say she shot herself on a school bus Tuesday morning. It happened around 9:20 a.m. near 49th Street North and 17th Avenue North. Police say there were 20 students headed to Tyrone Middle School on board the bus when the shooting occurred. Yolanda Fernandez, the community awareness division manager of the St. Pete Police Department, said no one else was hurt or threatened, and that the 13-year-old brought the gun onboard. The bus driver heard a pop, and students yelled that someone had been shot, Fernandez said. The bus driver pulled over about a block away where she saw a police officer and flagged him down for help. </v>
      </c>
      <c r="AA215" s="8" t="str">
        <f ca="1">IFERROR(__xludf.DUMMYFUNCTION("""COMPUTED_VALUE"""),"Accidental")</f>
        <v>Accidental</v>
      </c>
      <c r="AB215" s="8" t="str">
        <f ca="1">IFERROR(__xludf.DUMMYFUNCTION("""COMPUTED_VALUE"""),"Spontaneous")</f>
        <v>Spontaneous</v>
      </c>
      <c r="AC215" s="8" t="str">
        <f ca="1">IFERROR(__xludf.DUMMYFUNCTION("""COMPUTED_VALUE"""),"Yes")</f>
        <v>Yes</v>
      </c>
      <c r="AD215" s="8" t="str">
        <f ca="1">IFERROR(__xludf.DUMMYFUNCTION("""COMPUTED_VALUE"""),"Neither")</f>
        <v>Neither</v>
      </c>
      <c r="AE215" s="8" t="str">
        <f ca="1">IFERROR(__xludf.DUMMYFUNCTION("""COMPUTED_VALUE"""),"No")</f>
        <v>No</v>
      </c>
      <c r="AF215" s="8"/>
      <c r="AG215" s="8" t="str">
        <f ca="1">IFERROR(__xludf.DUMMYFUNCTION("""COMPUTED_VALUE"""),"No")</f>
        <v>No</v>
      </c>
      <c r="AH215" s="8" t="str">
        <f ca="1">IFERROR(__xludf.DUMMYFUNCTION("""COMPUTED_VALUE"""),"No")</f>
        <v>No</v>
      </c>
      <c r="AI215" s="8" t="str">
        <f ca="1">IFERROR(__xludf.DUMMYFUNCTION("""COMPUTED_VALUE"""),"No")</f>
        <v>No</v>
      </c>
      <c r="AJ215" s="8"/>
      <c r="AK215" s="8" t="str">
        <f ca="1">IFERROR(__xludf.DUMMYFUNCTION("""COMPUTED_VALUE"""),"No")</f>
        <v>No</v>
      </c>
      <c r="AL215" s="8" t="str">
        <f ca="1">IFERROR(__xludf.DUMMYFUNCTION("""COMPUTED_VALUE"""),"No")</f>
        <v>No</v>
      </c>
      <c r="AM215" s="8" t="str">
        <f ca="1">IFERROR(__xludf.DUMMYFUNCTION("""COMPUTED_VALUE"""),"No")</f>
        <v>No</v>
      </c>
      <c r="AN215" s="8" t="str">
        <f ca="1">IFERROR(__xludf.DUMMYFUNCTION("""COMPUTED_VALUE"""),"Outside")</f>
        <v>Outside</v>
      </c>
      <c r="AO215" s="8" t="str">
        <f ca="1">IFERROR(__xludf.DUMMYFUNCTION("""COMPUTED_VALUE"""),"No")</f>
        <v>No</v>
      </c>
      <c r="AP215" s="8"/>
      <c r="AQ215" s="8"/>
      <c r="AR215" s="8" t="str">
        <f ca="1">IFERROR(__xludf.DUMMYFUNCTION("""COMPUTED_VALUE"""),"Outside/Off-Property")</f>
        <v>Outside/Off-Property</v>
      </c>
      <c r="AS215" s="8">
        <f ca="1">IFERROR(__xludf.DUMMYFUNCTION("""COMPUTED_VALUE"""),1)</f>
        <v>1</v>
      </c>
      <c r="AT215" s="8" t="str">
        <f ca="1">IFERROR(__xludf.DUMMYFUNCTION("""COMPUTED_VALUE"""),"No")</f>
        <v>No</v>
      </c>
      <c r="AU215" s="8">
        <f ca="1">IFERROR(__xludf.DUMMYFUNCTION("""COMPUTED_VALUE"""),27.793225)</f>
        <v>27.793225</v>
      </c>
      <c r="AV215" s="8">
        <f ca="1">IFERROR(__xludf.DUMMYFUNCTION("""COMPUTED_VALUE"""),-82.72536)</f>
        <v>-82.725359999999995</v>
      </c>
      <c r="AW215" s="8" t="str">
        <f ca="1">IFERROR(__xludf.DUMMYFUNCTION("""COMPUTED_VALUE"""),"Multiple detached buildings")</f>
        <v>Multiple detached buildings</v>
      </c>
      <c r="AX215" s="8">
        <f ca="1">IFERROR(__xludf.DUMMYFUNCTION("""COMPUTED_VALUE"""),33710)</f>
        <v>33710</v>
      </c>
    </row>
    <row r="216" spans="1:50" ht="165" x14ac:dyDescent="0.2">
      <c r="A216" s="8" t="str">
        <f ca="1">IFERROR(__xludf.DUMMYFUNCTION("""COMPUTED_VALUE"""),"20241104NCPEW")</f>
        <v>20241104NCPEW</v>
      </c>
      <c r="B216" s="8">
        <f ca="1">IFERROR(__xludf.DUMMYFUNCTION("""COMPUTED_VALUE"""),11)</f>
        <v>11</v>
      </c>
      <c r="C216" s="8">
        <f ca="1">IFERROR(__xludf.DUMMYFUNCTION("""COMPUTED_VALUE"""),4)</f>
        <v>4</v>
      </c>
      <c r="D216" s="8">
        <f ca="1">IFERROR(__xludf.DUMMYFUNCTION("""COMPUTED_VALUE"""),2024)</f>
        <v>2024</v>
      </c>
      <c r="E216" s="9">
        <f ca="1">IFERROR(__xludf.DUMMYFUNCTION("""COMPUTED_VALUE"""),45600)</f>
        <v>45600</v>
      </c>
      <c r="F216" s="8" t="str">
        <f ca="1">IFERROR(__xludf.DUMMYFUNCTION("""COMPUTED_VALUE"""),"Petree Elementary School")</f>
        <v>Petree Elementary School</v>
      </c>
      <c r="G216" s="8">
        <f ca="1">IFERROR(__xludf.DUMMYFUNCTION("""COMPUTED_VALUE"""),0)</f>
        <v>0</v>
      </c>
      <c r="H216" s="8">
        <f ca="1">IFERROR(__xludf.DUMMYFUNCTION("""COMPUTED_VALUE"""),0)</f>
        <v>0</v>
      </c>
      <c r="I216" s="8">
        <f ca="1">IFERROR(__xludf.DUMMYFUNCTION("""COMPUTED_VALUE"""),0)</f>
        <v>0</v>
      </c>
      <c r="J216" s="8">
        <f ca="1">IFERROR(__xludf.DUMMYFUNCTION("""COMPUTED_VALUE"""),0)</f>
        <v>0</v>
      </c>
      <c r="K216" s="10" t="str">
        <f ca="1">IFERROR(__xludf.DUMMYFUNCTION("""COMPUTED_VALUE"""),"https://www.wxii12.com/article/bb-gun-shot-bus-cameron-avenue-winston-salem-police/62807311")</f>
        <v>https://www.wxii12.com/article/bb-gun-shot-bus-cameron-avenue-winston-salem-police/62807311</v>
      </c>
      <c r="L216" s="8">
        <f ca="1">IFERROR(__xludf.DUMMYFUNCTION("""COMPUTED_VALUE"""),5)</f>
        <v>5</v>
      </c>
      <c r="M216" s="8" t="str">
        <f ca="1">IFERROR(__xludf.DUMMYFUNCTION("""COMPUTED_VALUE"""),"Local")</f>
        <v>Local</v>
      </c>
      <c r="N216" s="8">
        <f ca="1">IFERROR(__xludf.DUMMYFUNCTION("""COMPUTED_VALUE"""),4)</f>
        <v>4</v>
      </c>
      <c r="O216" s="8" t="str">
        <f ca="1">IFERROR(__xludf.DUMMYFUNCTION("""COMPUTED_VALUE"""),"Fall")</f>
        <v>Fall</v>
      </c>
      <c r="P216" s="8" t="str">
        <f ca="1">IFERROR(__xludf.DUMMYFUNCTION("""COMPUTED_VALUE"""),"Winston-Salem")</f>
        <v>Winston-Salem</v>
      </c>
      <c r="Q216" s="8" t="str">
        <f ca="1">IFERROR(__xludf.DUMMYFUNCTION("""COMPUTED_VALUE"""),"NC")</f>
        <v>NC</v>
      </c>
      <c r="R216" s="8" t="str">
        <f ca="1">IFERROR(__xludf.DUMMYFUNCTION("""COMPUTED_VALUE"""),"Elementary")</f>
        <v>Elementary</v>
      </c>
      <c r="S216" s="8" t="str">
        <f ca="1">IFERROR(__xludf.DUMMYFUNCTION("""COMPUTED_VALUE"""),"School Bus")</f>
        <v>School Bus</v>
      </c>
      <c r="T216" s="8" t="str">
        <f ca="1">IFERROR(__xludf.DUMMYFUNCTION("""COMPUTED_VALUE"""),"School Bus")</f>
        <v>School Bus</v>
      </c>
      <c r="U216" s="8" t="str">
        <f ca="1">IFERROR(__xludf.DUMMYFUNCTION("""COMPUTED_VALUE"""),"Yes")</f>
        <v>Yes</v>
      </c>
      <c r="V216" s="8" t="str">
        <f ca="1">IFERROR(__xludf.DUMMYFUNCTION("""COMPUTED_VALUE"""),"Dismissal")</f>
        <v>Dismissal</v>
      </c>
      <c r="W216" s="11">
        <f ca="1">IFERROR(__xludf.DUMMYFUNCTION("""COMPUTED_VALUE"""),0.625)</f>
        <v>0.625</v>
      </c>
      <c r="X216" s="8">
        <f ca="1">IFERROR(__xludf.DUMMYFUNCTION("""COMPUTED_VALUE"""),1)</f>
        <v>1</v>
      </c>
      <c r="Y216" s="12" t="str">
        <f ca="1">IFERROR(__xludf.DUMMYFUNCTION("""COMPUTED_VALUE"""),"Group of teens fired BB gun at school bus and broke a window with students aboard")</f>
        <v>Group of teens fired BB gun at school bus and broke a window with students aboard</v>
      </c>
      <c r="Z216" s="12" t="str">
        <f ca="1">IFERROR(__xludf.DUMMYFUNCTION("""COMPUTED_VALUE"""),"School Bus 251 was traveling in the area of East Tenth and North Graham Avenue with some of our students when one of the windows shattered. No one was injured. Winston-Salem Police are investigating whether a BB gun was used to shoot the window. If your s"&amp;"tudent is concerned about what happened, please know a school counselor is available to help. Please let us know how we can support you and your family. When responding officers arrived at the scene, they said a group of people shot the BB gun at a school"&amp;" bus, hitting it. WXII crews on the scene said the bus was from WS/FCS.")</f>
        <v>School Bus 251 was traveling in the area of East Tenth and North Graham Avenue with some of our students when one of the windows shattered. No one was injured. Winston-Salem Police are investigating whether a BB gun was used to shoot the window. If your student is concerned about what happened, please know a school counselor is available to help. Please let us know how we can support you and your family. When responding officers arrived at the scene, they said a group of people shot the BB gun at a school bus, hitting it. WXII crews on the scene said the bus was from WS/FCS.</v>
      </c>
      <c r="AA216" s="8" t="str">
        <f ca="1">IFERROR(__xludf.DUMMYFUNCTION("""COMPUTED_VALUE"""),"Intentional Property Damage")</f>
        <v>Intentional Property Damage</v>
      </c>
      <c r="AB216" s="8"/>
      <c r="AC216" s="8" t="str">
        <f ca="1">IFERROR(__xludf.DUMMYFUNCTION("""COMPUTED_VALUE"""),"Yes")</f>
        <v>Yes</v>
      </c>
      <c r="AD216" s="8" t="str">
        <f ca="1">IFERROR(__xludf.DUMMYFUNCTION("""COMPUTED_VALUE"""),"Neither")</f>
        <v>Neither</v>
      </c>
      <c r="AE216" s="8"/>
      <c r="AF216" s="8"/>
      <c r="AG216" s="8" t="str">
        <f ca="1">IFERROR(__xludf.DUMMYFUNCTION("""COMPUTED_VALUE"""),"No")</f>
        <v>No</v>
      </c>
      <c r="AH216" s="8" t="str">
        <f ca="1">IFERROR(__xludf.DUMMYFUNCTION("""COMPUTED_VALUE"""),"No")</f>
        <v>No</v>
      </c>
      <c r="AI216" s="8" t="str">
        <f ca="1">IFERROR(__xludf.DUMMYFUNCTION("""COMPUTED_VALUE"""),"No")</f>
        <v>No</v>
      </c>
      <c r="AJ216" s="8" t="str">
        <f ca="1">IFERROR(__xludf.DUMMYFUNCTION("""COMPUTED_VALUE"""),"No")</f>
        <v>No</v>
      </c>
      <c r="AK216" s="8" t="str">
        <f ca="1">IFERROR(__xludf.DUMMYFUNCTION("""COMPUTED_VALUE"""),"No")</f>
        <v>No</v>
      </c>
      <c r="AL216" s="8" t="str">
        <f ca="1">IFERROR(__xludf.DUMMYFUNCTION("""COMPUTED_VALUE"""),"No")</f>
        <v>No</v>
      </c>
      <c r="AM216" s="8" t="str">
        <f ca="1">IFERROR(__xludf.DUMMYFUNCTION("""COMPUTED_VALUE"""),"No")</f>
        <v>No</v>
      </c>
      <c r="AN216" s="8" t="str">
        <f ca="1">IFERROR(__xludf.DUMMYFUNCTION("""COMPUTED_VALUE"""),"Outside")</f>
        <v>Outside</v>
      </c>
      <c r="AO216" s="8" t="str">
        <f ca="1">IFERROR(__xludf.DUMMYFUNCTION("""COMPUTED_VALUE"""),"No")</f>
        <v>No</v>
      </c>
      <c r="AP216" s="8"/>
      <c r="AQ216" s="8"/>
      <c r="AR216" s="8" t="str">
        <f ca="1">IFERROR(__xludf.DUMMYFUNCTION("""COMPUTED_VALUE"""),"Outside/Off-Property")</f>
        <v>Outside/Off-Property</v>
      </c>
      <c r="AS216" s="8">
        <f ca="1">IFERROR(__xludf.DUMMYFUNCTION("""COMPUTED_VALUE"""),99)</f>
        <v>99</v>
      </c>
      <c r="AT216" s="8" t="str">
        <f ca="1">IFERROR(__xludf.DUMMYFUNCTION("""COMPUTED_VALUE"""),"No")</f>
        <v>No</v>
      </c>
      <c r="AU216" s="8">
        <f ca="1">IFERROR(__xludf.DUMMYFUNCTION("""COMPUTED_VALUE"""),36.112935)</f>
        <v>36.112935</v>
      </c>
      <c r="AV216" s="8">
        <f ca="1">IFERROR(__xludf.DUMMYFUNCTION("""COMPUTED_VALUE"""),-80.190976)</f>
        <v>-80.190976000000006</v>
      </c>
      <c r="AW216" s="8" t="str">
        <f ca="1">IFERROR(__xludf.DUMMYFUNCTION("""COMPUTED_VALUE"""),"Single building indoor hallway")</f>
        <v>Single building indoor hallway</v>
      </c>
      <c r="AX216" s="8">
        <f ca="1">IFERROR(__xludf.DUMMYFUNCTION("""COMPUTED_VALUE"""),27110)</f>
        <v>27110</v>
      </c>
    </row>
    <row r="217" spans="1:50" ht="135" x14ac:dyDescent="0.2">
      <c r="A217" s="8" t="str">
        <f ca="1">IFERROR(__xludf.DUMMYFUNCTION("""COMPUTED_VALUE"""),"20241104NYAQR")</f>
        <v>20241104NYAQR</v>
      </c>
      <c r="B217" s="8">
        <f ca="1">IFERROR(__xludf.DUMMYFUNCTION("""COMPUTED_VALUE"""),11)</f>
        <v>11</v>
      </c>
      <c r="C217" s="8">
        <f ca="1">IFERROR(__xludf.DUMMYFUNCTION("""COMPUTED_VALUE"""),4)</f>
        <v>4</v>
      </c>
      <c r="D217" s="8">
        <f ca="1">IFERROR(__xludf.DUMMYFUNCTION("""COMPUTED_VALUE"""),2024)</f>
        <v>2024</v>
      </c>
      <c r="E217" s="9">
        <f ca="1">IFERROR(__xludf.DUMMYFUNCTION("""COMPUTED_VALUE"""),45600)</f>
        <v>45600</v>
      </c>
      <c r="F217" s="8" t="str">
        <f ca="1">IFERROR(__xludf.DUMMYFUNCTION("""COMPUTED_VALUE"""),"Aquinas Institute of Rochester")</f>
        <v>Aquinas Institute of Rochester</v>
      </c>
      <c r="G217" s="8">
        <f ca="1">IFERROR(__xludf.DUMMYFUNCTION("""COMPUTED_VALUE"""),0)</f>
        <v>0</v>
      </c>
      <c r="H217" s="8">
        <f ca="1">IFERROR(__xludf.DUMMYFUNCTION("""COMPUTED_VALUE"""),0)</f>
        <v>0</v>
      </c>
      <c r="I217" s="8">
        <f ca="1">IFERROR(__xludf.DUMMYFUNCTION("""COMPUTED_VALUE"""),0)</f>
        <v>0</v>
      </c>
      <c r="J217" s="8">
        <f ca="1">IFERROR(__xludf.DUMMYFUNCTION("""COMPUTED_VALUE"""),0)</f>
        <v>0</v>
      </c>
      <c r="K217" s="10" t="str">
        <f ca="1">IFERROR(__xludf.DUMMYFUNCTION("""COMPUTED_VALUE"""),"https://13wham.com/news/local/school-bus-carrying-students-to-aquinas-shot-at-hit-by-gunfire-shooting-in-east-irondequoit-central-school-district-rochester-route-104-portland-avenue")</f>
        <v>https://13wham.com/news/local/school-bus-carrying-students-to-aquinas-shot-at-hit-by-gunfire-shooting-in-east-irondequoit-central-school-district-rochester-route-104-portland-avenue</v>
      </c>
      <c r="L217" s="8">
        <f ca="1">IFERROR(__xludf.DUMMYFUNCTION("""COMPUTED_VALUE"""),10)</f>
        <v>10</v>
      </c>
      <c r="M217" s="8" t="str">
        <f ca="1">IFERROR(__xludf.DUMMYFUNCTION("""COMPUTED_VALUE"""),"Regional")</f>
        <v>Regional</v>
      </c>
      <c r="N217" s="8">
        <f ca="1">IFERROR(__xludf.DUMMYFUNCTION("""COMPUTED_VALUE"""),4)</f>
        <v>4</v>
      </c>
      <c r="O217" s="8" t="str">
        <f ca="1">IFERROR(__xludf.DUMMYFUNCTION("""COMPUTED_VALUE"""),"Fall")</f>
        <v>Fall</v>
      </c>
      <c r="P217" s="8" t="str">
        <f ca="1">IFERROR(__xludf.DUMMYFUNCTION("""COMPUTED_VALUE"""),"Rochester")</f>
        <v>Rochester</v>
      </c>
      <c r="Q217" s="8" t="str">
        <f ca="1">IFERROR(__xludf.DUMMYFUNCTION("""COMPUTED_VALUE"""),"NY")</f>
        <v>NY</v>
      </c>
      <c r="R217" s="8" t="str">
        <f ca="1">IFERROR(__xludf.DUMMYFUNCTION("""COMPUTED_VALUE"""),"6-12")</f>
        <v>6-12</v>
      </c>
      <c r="S217" s="8" t="str">
        <f ca="1">IFERROR(__xludf.DUMMYFUNCTION("""COMPUTED_VALUE"""),"School Bus")</f>
        <v>School Bus</v>
      </c>
      <c r="T217" s="8" t="str">
        <f ca="1">IFERROR(__xludf.DUMMYFUNCTION("""COMPUTED_VALUE"""),"School Bus")</f>
        <v>School Bus</v>
      </c>
      <c r="U217" s="8" t="str">
        <f ca="1">IFERROR(__xludf.DUMMYFUNCTION("""COMPUTED_VALUE"""),"Yes")</f>
        <v>Yes</v>
      </c>
      <c r="V217" s="8" t="str">
        <f ca="1">IFERROR(__xludf.DUMMYFUNCTION("""COMPUTED_VALUE"""),"School Start")</f>
        <v>School Start</v>
      </c>
      <c r="W217" s="11">
        <f ca="1">IFERROR(__xludf.DUMMYFUNCTION("""COMPUTED_VALUE"""),0.3125)</f>
        <v>0.3125</v>
      </c>
      <c r="X217" s="8">
        <f ca="1">IFERROR(__xludf.DUMMYFUNCTION("""COMPUTED_VALUE"""),1)</f>
        <v>1</v>
      </c>
      <c r="Y217" s="12" t="str">
        <f ca="1">IFERROR(__xludf.DUMMYFUNCTION("""COMPUTED_VALUE"""),"Bullets broke two windows of the school taking students to school")</f>
        <v>Bullets broke two windows of the school taking students to school</v>
      </c>
      <c r="Z217" s="12" t="str">
        <f ca="1">IFERROR(__xludf.DUMMYFUNCTION("""COMPUTED_VALUE"""),"""The bus department called and said there were two shots fired through the window, and the suspect drove off erratically,"" she said. An East Irondequoit Central School District bus was transporting 10 students to Aquinas, westbound on State Route 104 ne"&amp;"ar Portland Avenue around 7:30 a.m., when two bus windows shattered, according to the district. Aquinas said all students who were on the bus arrived at school shortly after the incident and met with counselors.")</f>
        <v>"The bus department called and said there were two shots fired through the window, and the suspect drove off erratically," she said. An East Irondequoit Central School District bus was transporting 10 students to Aquinas, westbound on State Route 104 near Portland Avenue around 7:30 a.m., when two bus windows shattered, according to the district. Aquinas said all students who were on the bus arrived at school shortly after the incident and met with counselors.</v>
      </c>
      <c r="AA217" s="8" t="str">
        <f ca="1">IFERROR(__xludf.DUMMYFUNCTION("""COMPUTED_VALUE"""),"Drive-by Shooting")</f>
        <v>Drive-by Shooting</v>
      </c>
      <c r="AB217" s="8"/>
      <c r="AC217" s="8" t="str">
        <f ca="1">IFERROR(__xludf.DUMMYFUNCTION("""COMPUTED_VALUE"""),"Yes")</f>
        <v>Yes</v>
      </c>
      <c r="AD217" s="8"/>
      <c r="AE217" s="8"/>
      <c r="AF217" s="8"/>
      <c r="AG217" s="8" t="str">
        <f ca="1">IFERROR(__xludf.DUMMYFUNCTION("""COMPUTED_VALUE"""),"No")</f>
        <v>No</v>
      </c>
      <c r="AH217" s="8" t="str">
        <f ca="1">IFERROR(__xludf.DUMMYFUNCTION("""COMPUTED_VALUE"""),"No")</f>
        <v>No</v>
      </c>
      <c r="AI217" s="8" t="str">
        <f ca="1">IFERROR(__xludf.DUMMYFUNCTION("""COMPUTED_VALUE"""),"No")</f>
        <v>No</v>
      </c>
      <c r="AJ217" s="8" t="str">
        <f ca="1">IFERROR(__xludf.DUMMYFUNCTION("""COMPUTED_VALUE"""),"No")</f>
        <v>No</v>
      </c>
      <c r="AK217" s="8" t="str">
        <f ca="1">IFERROR(__xludf.DUMMYFUNCTION("""COMPUTED_VALUE"""),"No")</f>
        <v>No</v>
      </c>
      <c r="AL217" s="8"/>
      <c r="AM217" s="8" t="str">
        <f ca="1">IFERROR(__xludf.DUMMYFUNCTION("""COMPUTED_VALUE"""),"No")</f>
        <v>No</v>
      </c>
      <c r="AN217" s="8" t="str">
        <f ca="1">IFERROR(__xludf.DUMMYFUNCTION("""COMPUTED_VALUE"""),"Outside")</f>
        <v>Outside</v>
      </c>
      <c r="AO217" s="8" t="str">
        <f ca="1">IFERROR(__xludf.DUMMYFUNCTION("""COMPUTED_VALUE"""),"No")</f>
        <v>No</v>
      </c>
      <c r="AP217" s="8"/>
      <c r="AQ217" s="8"/>
      <c r="AR217" s="8" t="str">
        <f ca="1">IFERROR(__xludf.DUMMYFUNCTION("""COMPUTED_VALUE"""),"Outside/Off-Property")</f>
        <v>Outside/Off-Property</v>
      </c>
      <c r="AS217" s="8">
        <f ca="1">IFERROR(__xludf.DUMMYFUNCTION("""COMPUTED_VALUE"""),99)</f>
        <v>99</v>
      </c>
      <c r="AT217" s="8" t="str">
        <f ca="1">IFERROR(__xludf.DUMMYFUNCTION("""COMPUTED_VALUE"""),"No")</f>
        <v>No</v>
      </c>
      <c r="AU217" s="8">
        <f ca="1">IFERROR(__xludf.DUMMYFUNCTION("""COMPUTED_VALUE"""),43.187342)</f>
        <v>43.187342000000001</v>
      </c>
      <c r="AV217" s="8">
        <f ca="1">IFERROR(__xludf.DUMMYFUNCTION("""COMPUTED_VALUE"""),-77.642349)</f>
        <v>-77.642348999999996</v>
      </c>
      <c r="AW217" s="8" t="str">
        <f ca="1">IFERROR(__xludf.DUMMYFUNCTION("""COMPUTED_VALUE"""),"Multiple attached buildings")</f>
        <v>Multiple attached buildings</v>
      </c>
      <c r="AX217" s="8">
        <f ca="1">IFERROR(__xludf.DUMMYFUNCTION("""COMPUTED_VALUE"""),14613)</f>
        <v>14613</v>
      </c>
    </row>
    <row r="218" spans="1:50" ht="180" x14ac:dyDescent="0.2">
      <c r="A218" s="8" t="str">
        <f ca="1">IFERROR(__xludf.DUMMYFUNCTION("""COMPUTED_VALUE"""),"20241101ILWIC")</f>
        <v>20241101ILWIC</v>
      </c>
      <c r="B218" s="8">
        <f ca="1">IFERROR(__xludf.DUMMYFUNCTION("""COMPUTED_VALUE"""),11)</f>
        <v>11</v>
      </c>
      <c r="C218" s="8">
        <f ca="1">IFERROR(__xludf.DUMMYFUNCTION("""COMPUTED_VALUE"""),1)</f>
        <v>1</v>
      </c>
      <c r="D218" s="8">
        <f ca="1">IFERROR(__xludf.DUMMYFUNCTION("""COMPUTED_VALUE"""),2024)</f>
        <v>2024</v>
      </c>
      <c r="E218" s="9">
        <f ca="1">IFERROR(__xludf.DUMMYFUNCTION("""COMPUTED_VALUE"""),45597)</f>
        <v>45597</v>
      </c>
      <c r="F218" s="8" t="str">
        <f ca="1">IFERROR(__xludf.DUMMYFUNCTION("""COMPUTED_VALUE"""),"William C. Goudy Technology Academy")</f>
        <v>William C. Goudy Technology Academy</v>
      </c>
      <c r="G218" s="8">
        <f ca="1">IFERROR(__xludf.DUMMYFUNCTION("""COMPUTED_VALUE"""),0)</f>
        <v>0</v>
      </c>
      <c r="H218" s="8">
        <f ca="1">IFERROR(__xludf.DUMMYFUNCTION("""COMPUTED_VALUE"""),2)</f>
        <v>2</v>
      </c>
      <c r="I218" s="8">
        <f ca="1">IFERROR(__xludf.DUMMYFUNCTION("""COMPUTED_VALUE"""),2)</f>
        <v>2</v>
      </c>
      <c r="J218" s="8">
        <f ca="1">IFERROR(__xludf.DUMMYFUNCTION("""COMPUTED_VALUE"""),0)</f>
        <v>0</v>
      </c>
      <c r="K218" s="10" t="str">
        <f ca="1">IFERROR(__xludf.DUMMYFUNCTION("""COMPUTED_VALUE"""),"https://abc7chicago.com/post/uptown-chicago-shooting-today-man-shot-winona-winthrop-runs-goudy-elementary-school-help/15497832/
https://www.cbsnews.com/chicago/news/shooting-school-chicago-uptown-neighborhood/")</f>
        <v>https://abc7chicago.com/post/uptown-chicago-shooting-today-man-shot-winona-winthrop-runs-goudy-elementary-school-help/15497832/
https://www.cbsnews.com/chicago/news/shooting-school-chicago-uptown-neighborhood/</v>
      </c>
      <c r="L218" s="8">
        <f ca="1">IFERROR(__xludf.DUMMYFUNCTION("""COMPUTED_VALUE"""),10)</f>
        <v>10</v>
      </c>
      <c r="M218" s="8" t="str">
        <f ca="1">IFERROR(__xludf.DUMMYFUNCTION("""COMPUTED_VALUE"""),"Local")</f>
        <v>Local</v>
      </c>
      <c r="N218" s="8">
        <f ca="1">IFERROR(__xludf.DUMMYFUNCTION("""COMPUTED_VALUE"""),4)</f>
        <v>4</v>
      </c>
      <c r="O218" s="8" t="str">
        <f ca="1">IFERROR(__xludf.DUMMYFUNCTION("""COMPUTED_VALUE"""),"Fall")</f>
        <v>Fall</v>
      </c>
      <c r="P218" s="8" t="str">
        <f ca="1">IFERROR(__xludf.DUMMYFUNCTION("""COMPUTED_VALUE"""),"Chicago")</f>
        <v>Chicago</v>
      </c>
      <c r="Q218" s="8" t="str">
        <f ca="1">IFERROR(__xludf.DUMMYFUNCTION("""COMPUTED_VALUE"""),"IL")</f>
        <v>IL</v>
      </c>
      <c r="R218" s="8" t="str">
        <f ca="1">IFERROR(__xludf.DUMMYFUNCTION("""COMPUTED_VALUE"""),"Elementary")</f>
        <v>Elementary</v>
      </c>
      <c r="S218" s="8" t="str">
        <f ca="1">IFERROR(__xludf.DUMMYFUNCTION("""COMPUTED_VALUE"""),"Playground")</f>
        <v>Playground</v>
      </c>
      <c r="T218" s="8" t="str">
        <f ca="1">IFERROR(__xludf.DUMMYFUNCTION("""COMPUTED_VALUE"""),"Outside on School Property")</f>
        <v>Outside on School Property</v>
      </c>
      <c r="U218" s="8" t="str">
        <f ca="1">IFERROR(__xludf.DUMMYFUNCTION("""COMPUTED_VALUE"""),"Yes")</f>
        <v>Yes</v>
      </c>
      <c r="V218" s="8" t="str">
        <f ca="1">IFERROR(__xludf.DUMMYFUNCTION("""COMPUTED_VALUE"""),"Dismissal")</f>
        <v>Dismissal</v>
      </c>
      <c r="W218" s="11">
        <f ca="1">IFERROR(__xludf.DUMMYFUNCTION("""COMPUTED_VALUE"""),0.645833333333333)</f>
        <v>0.64583333333333304</v>
      </c>
      <c r="X218" s="8">
        <f ca="1">IFERROR(__xludf.DUMMYFUNCTION("""COMPUTED_VALUE"""),1)</f>
        <v>1</v>
      </c>
      <c r="Y218" s="12" t="str">
        <f ca="1">IFERROR(__xludf.DUMMYFUNCTION("""COMPUTED_VALUE"""),"Child and adult shot on the school playground at dismissal")</f>
        <v>Child and adult shot on the school playground at dismissal</v>
      </c>
      <c r="Z218" s="12" t="str">
        <f ca="1">IFERROR(__xludf.DUMMYFUNCTION("""COMPUTED_VALUE"""),"At 3:25 p.m., the girl and the man, 45, were standing on the sidewalk near the south playlot outside William C. Goudy Technology Academy, 5120 N. Winthrop Ave. The playlot fronts Winona Street just south of Foster Avenue. The students at the school had ju"&amp;"st been dismissed for the day. Police said the man and the girl were both struck by unknown gunfire. The 9-year-old girl suffered a graze wound to the calf and was taken to Lurie Children's Hospital in good condition, police said. A 45-year-old man was sh"&amp;"ot in the arm, and officials said he ran into the school for help. The principal said teachers helped put pressure on his wound until help arrived.")</f>
        <v>At 3:25 p.m., the girl and the man, 45, were standing on the sidewalk near the south playlot outside William C. Goudy Technology Academy, 5120 N. Winthrop Ave. The playlot fronts Winona Street just south of Foster Avenue. The students at the school had just been dismissed for the day. Police said the man and the girl were both struck by unknown gunfire. The 9-year-old girl suffered a graze wound to the calf and was taken to Lurie Children's Hospital in good condition, police said. A 45-year-old man was shot in the arm, and officials said he ran into the school for help. The principal said teachers helped put pressure on his wound until help arrived.</v>
      </c>
      <c r="AA218" s="8" t="str">
        <f ca="1">IFERROR(__xludf.DUMMYFUNCTION("""COMPUTED_VALUE"""),"Drive-by Shooting")</f>
        <v>Drive-by Shooting</v>
      </c>
      <c r="AB218" s="8" t="str">
        <f ca="1">IFERROR(__xludf.DUMMYFUNCTION("""COMPUTED_VALUE"""),"Spontaneous")</f>
        <v>Spontaneous</v>
      </c>
      <c r="AC218" s="8" t="str">
        <f ca="1">IFERROR(__xludf.DUMMYFUNCTION("""COMPUTED_VALUE"""),"Yes")</f>
        <v>Yes</v>
      </c>
      <c r="AD218" s="8" t="str">
        <f ca="1">IFERROR(__xludf.DUMMYFUNCTION("""COMPUTED_VALUE"""),"Random Shooting")</f>
        <v>Random Shooting</v>
      </c>
      <c r="AE218" s="8"/>
      <c r="AF218" s="8"/>
      <c r="AG218" s="8" t="str">
        <f ca="1">IFERROR(__xludf.DUMMYFUNCTION("""COMPUTED_VALUE"""),"No")</f>
        <v>No</v>
      </c>
      <c r="AH218" s="8" t="str">
        <f ca="1">IFERROR(__xludf.DUMMYFUNCTION("""COMPUTED_VALUE"""),"No")</f>
        <v>No</v>
      </c>
      <c r="AI218" s="8" t="str">
        <f ca="1">IFERROR(__xludf.DUMMYFUNCTION("""COMPUTED_VALUE"""),"No")</f>
        <v>No</v>
      </c>
      <c r="AJ218" s="8" t="str">
        <f ca="1">IFERROR(__xludf.DUMMYFUNCTION("""COMPUTED_VALUE"""),"No")</f>
        <v>No</v>
      </c>
      <c r="AK218" s="8" t="str">
        <f ca="1">IFERROR(__xludf.DUMMYFUNCTION("""COMPUTED_VALUE"""),"No")</f>
        <v>No</v>
      </c>
      <c r="AL218" s="8"/>
      <c r="AM218" s="8" t="str">
        <f ca="1">IFERROR(__xludf.DUMMYFUNCTION("""COMPUTED_VALUE"""),"No")</f>
        <v>No</v>
      </c>
      <c r="AN218" s="8" t="str">
        <f ca="1">IFERROR(__xludf.DUMMYFUNCTION("""COMPUTED_VALUE"""),"Outside")</f>
        <v>Outside</v>
      </c>
      <c r="AO218" s="8" t="str">
        <f ca="1">IFERROR(__xludf.DUMMYFUNCTION("""COMPUTED_VALUE"""),"No")</f>
        <v>No</v>
      </c>
      <c r="AP218" s="8"/>
      <c r="AQ218" s="8"/>
      <c r="AR218" s="8" t="str">
        <f ca="1">IFERROR(__xludf.DUMMYFUNCTION("""COMPUTED_VALUE"""),"Outside/Off-Property")</f>
        <v>Outside/Off-Property</v>
      </c>
      <c r="AS218" s="8">
        <f ca="1">IFERROR(__xludf.DUMMYFUNCTION("""COMPUTED_VALUE"""),99)</f>
        <v>99</v>
      </c>
      <c r="AT218" s="8" t="str">
        <f ca="1">IFERROR(__xludf.DUMMYFUNCTION("""COMPUTED_VALUE"""),"No")</f>
        <v>No</v>
      </c>
      <c r="AU218" s="8">
        <f ca="1">IFERROR(__xludf.DUMMYFUNCTION("""COMPUTED_VALUE"""),41.976172)</f>
        <v>41.976171999999998</v>
      </c>
      <c r="AV218" s="8">
        <f ca="1">IFERROR(__xludf.DUMMYFUNCTION("""COMPUTED_VALUE"""),-87.657835)</f>
        <v>-87.657835000000006</v>
      </c>
      <c r="AW218" s="8" t="str">
        <f ca="1">IFERROR(__xludf.DUMMYFUNCTION("""COMPUTED_VALUE"""),"Urban Street Standalone")</f>
        <v>Urban Street Standalone</v>
      </c>
      <c r="AX218" s="8">
        <f ca="1">IFERROR(__xludf.DUMMYFUNCTION("""COMPUTED_VALUE"""),60640)</f>
        <v>60640</v>
      </c>
    </row>
    <row r="219" spans="1:50" ht="165" x14ac:dyDescent="0.2">
      <c r="A219" s="8" t="str">
        <f ca="1">IFERROR(__xludf.DUMMYFUNCTION("""COMPUTED_VALUE"""),"20241031OHRIP")</f>
        <v>20241031OHRIP</v>
      </c>
      <c r="B219" s="8">
        <f ca="1">IFERROR(__xludf.DUMMYFUNCTION("""COMPUTED_VALUE"""),10)</f>
        <v>10</v>
      </c>
      <c r="C219" s="8">
        <f ca="1">IFERROR(__xludf.DUMMYFUNCTION("""COMPUTED_VALUE"""),31)</f>
        <v>31</v>
      </c>
      <c r="D219" s="8">
        <f ca="1">IFERROR(__xludf.DUMMYFUNCTION("""COMPUTED_VALUE"""),2024)</f>
        <v>2024</v>
      </c>
      <c r="E219" s="9">
        <f ca="1">IFERROR(__xludf.DUMMYFUNCTION("""COMPUTED_VALUE"""),45596)</f>
        <v>45596</v>
      </c>
      <c r="F219" s="8" t="str">
        <f ca="1">IFERROR(__xludf.DUMMYFUNCTION("""COMPUTED_VALUE"""),"Riverview Elementary School ")</f>
        <v xml:space="preserve">Riverview Elementary School </v>
      </c>
      <c r="G219" s="8">
        <f ca="1">IFERROR(__xludf.DUMMYFUNCTION("""COMPUTED_VALUE"""),0)</f>
        <v>0</v>
      </c>
      <c r="H219" s="8">
        <f ca="1">IFERROR(__xludf.DUMMYFUNCTION("""COMPUTED_VALUE"""),0)</f>
        <v>0</v>
      </c>
      <c r="I219" s="8">
        <f ca="1">IFERROR(__xludf.DUMMYFUNCTION("""COMPUTED_VALUE"""),0)</f>
        <v>0</v>
      </c>
      <c r="J219" s="8">
        <f ca="1">IFERROR(__xludf.DUMMYFUNCTION("""COMPUTED_VALUE"""),0)</f>
        <v>0</v>
      </c>
      <c r="K219" s="10" t="str">
        <f ca="1">IFERROR(__xludf.DUMMYFUNCTION("""COMPUTED_VALUE"""),"https://fox8.com/news/i-team/new-video-released-from-shooting-outside-local-elementary-school-i-team/
https://www.news5cleveland.com/news/local-news/cleveland-police-officer-arrested-for-firing-shot-near-painesville-township-school-suspended-without-pay
h"&amp;"ttps://fox8.com/news/shooting-in-local-elementary-school-parking-lot-i-team/
https://www.cleveland19.com/2024/10/31/painesville-elementary-school-lockdown-after-incident-parking-lot/
https://www.news5cleveland.com/news/local-news/suspended-cle-officer-ple"&amp;"ads-guilty-to-charges-in-connection-to-a-shot-fired-in-lake-co-school-parking-lot")</f>
        <v>https://fox8.com/news/i-team/new-video-released-from-shooting-outside-local-elementary-school-i-team/
https://www.news5cleveland.com/news/local-news/cleveland-police-officer-arrested-for-firing-shot-near-painesville-township-school-suspended-without-pay
https://fox8.com/news/shooting-in-local-elementary-school-parking-lot-i-team/
https://www.cleveland19.com/2024/10/31/painesville-elementary-school-lockdown-after-incident-parking-lot/
https://www.news5cleveland.com/news/local-news/suspended-cle-officer-pleads-guilty-to-charges-in-connection-to-a-shot-fired-in-lake-co-school-parking-lot</v>
      </c>
      <c r="L219" s="8">
        <f ca="1">IFERROR(__xludf.DUMMYFUNCTION("""COMPUTED_VALUE"""),30)</f>
        <v>30</v>
      </c>
      <c r="M219" s="8" t="str">
        <f ca="1">IFERROR(__xludf.DUMMYFUNCTION("""COMPUTED_VALUE"""),"Regional")</f>
        <v>Regional</v>
      </c>
      <c r="N219" s="8">
        <f ca="1">IFERROR(__xludf.DUMMYFUNCTION("""COMPUTED_VALUE"""),4)</f>
        <v>4</v>
      </c>
      <c r="O219" s="8" t="str">
        <f ca="1">IFERROR(__xludf.DUMMYFUNCTION("""COMPUTED_VALUE"""),"Fall")</f>
        <v>Fall</v>
      </c>
      <c r="P219" s="8" t="str">
        <f ca="1">IFERROR(__xludf.DUMMYFUNCTION("""COMPUTED_VALUE"""),"Painesville")</f>
        <v>Painesville</v>
      </c>
      <c r="Q219" s="8" t="str">
        <f ca="1">IFERROR(__xludf.DUMMYFUNCTION("""COMPUTED_VALUE"""),"OH")</f>
        <v>OH</v>
      </c>
      <c r="R219" s="8" t="str">
        <f ca="1">IFERROR(__xludf.DUMMYFUNCTION("""COMPUTED_VALUE"""),"Elementary")</f>
        <v>Elementary</v>
      </c>
      <c r="S219" s="8" t="str">
        <f ca="1">IFERROR(__xludf.DUMMYFUNCTION("""COMPUTED_VALUE"""),"Parking Lot")</f>
        <v>Parking Lot</v>
      </c>
      <c r="T219" s="8" t="str">
        <f ca="1">IFERROR(__xludf.DUMMYFUNCTION("""COMPUTED_VALUE"""),"Outside on School Property")</f>
        <v>Outside on School Property</v>
      </c>
      <c r="U219" s="8" t="str">
        <f ca="1">IFERROR(__xludf.DUMMYFUNCTION("""COMPUTED_VALUE"""),"Yes")</f>
        <v>Yes</v>
      </c>
      <c r="V219" s="8" t="str">
        <f ca="1">IFERROR(__xludf.DUMMYFUNCTION("""COMPUTED_VALUE"""),"School Start")</f>
        <v>School Start</v>
      </c>
      <c r="W219" s="11">
        <f ca="1">IFERROR(__xludf.DUMMYFUNCTION("""COMPUTED_VALUE"""),0.381944444444444)</f>
        <v>0.38194444444444398</v>
      </c>
      <c r="X219" s="8">
        <f ca="1">IFERROR(__xludf.DUMMYFUNCTION("""COMPUTED_VALUE"""),1)</f>
        <v>1</v>
      </c>
      <c r="Y219" s="12" t="str">
        <f ca="1">IFERROR(__xludf.DUMMYFUNCTION("""COMPUTED_VALUE"""),"Off-duty police officer shot at a woman during a domestic dispute at drop off, subdued by SRO")</f>
        <v>Off-duty police officer shot at a woman during a domestic dispute at drop off, subdued by SRO</v>
      </c>
      <c r="Z219" s="12" t="str">
        <f ca="1">IFERROR(__xludf.DUMMYFUNCTION("""COMPUTED_VALUE"""),"Cleveland police have confirmed the suspect taken into custody is an off-duty police officer of theirs. A post to the Riverside Local Schools Facebook page confirms the domestic dispute began off-site and carried into the Riverview Elementary parking lot."&amp;" Lake County Sheriff Frank Leonbruno took to Facebook to clarify details. Leonbruno posted to the Sheriff's Office account that the incident began off campus and moved on campus when the suspect’s vehicle collided with another vehicle. The Sheriff’s Offic"&amp;"e confirmed a single round was fired through the windshield of the second vehicle.")</f>
        <v>Cleveland police have confirmed the suspect taken into custody is an off-duty police officer of theirs. A post to the Riverside Local Schools Facebook page confirms the domestic dispute began off-site and carried into the Riverview Elementary parking lot. Lake County Sheriff Frank Leonbruno took to Facebook to clarify details. Leonbruno posted to the Sheriff's Office account that the incident began off campus and moved on campus when the suspect’s vehicle collided with another vehicle. The Sheriff’s Office confirmed a single round was fired through the windshield of the second vehicle.</v>
      </c>
      <c r="AA219" s="8" t="str">
        <f ca="1">IFERROR(__xludf.DUMMYFUNCTION("""COMPUTED_VALUE"""),"Domestic w/ Targeted Victim")</f>
        <v>Domestic w/ Targeted Victim</v>
      </c>
      <c r="AB219" s="8" t="str">
        <f ca="1">IFERROR(__xludf.DUMMYFUNCTION("""COMPUTED_VALUE"""),"Spontaneous")</f>
        <v>Spontaneous</v>
      </c>
      <c r="AC219" s="8" t="str">
        <f ca="1">IFERROR(__xludf.DUMMYFUNCTION("""COMPUTED_VALUE"""),"Yes")</f>
        <v>Yes</v>
      </c>
      <c r="AD219" s="8" t="str">
        <f ca="1">IFERROR(__xludf.DUMMYFUNCTION("""COMPUTED_VALUE"""),"Victims Targeted")</f>
        <v>Victims Targeted</v>
      </c>
      <c r="AE219" s="8" t="str">
        <f ca="1">IFERROR(__xludf.DUMMYFUNCTION("""COMPUTED_VALUE"""),"No")</f>
        <v>No</v>
      </c>
      <c r="AF219" s="8"/>
      <c r="AG219" s="8" t="str">
        <f ca="1">IFERROR(__xludf.DUMMYFUNCTION("""COMPUTED_VALUE"""),"No")</f>
        <v>No</v>
      </c>
      <c r="AH219" s="8" t="str">
        <f ca="1">IFERROR(__xludf.DUMMYFUNCTION("""COMPUTED_VALUE"""),"No")</f>
        <v>No</v>
      </c>
      <c r="AI219" s="8" t="str">
        <f ca="1">IFERROR(__xludf.DUMMYFUNCTION("""COMPUTED_VALUE"""),"No")</f>
        <v>No</v>
      </c>
      <c r="AJ219" s="8" t="str">
        <f ca="1">IFERROR(__xludf.DUMMYFUNCTION("""COMPUTED_VALUE"""),"No")</f>
        <v>No</v>
      </c>
      <c r="AK219" s="8" t="str">
        <f ca="1">IFERROR(__xludf.DUMMYFUNCTION("""COMPUTED_VALUE"""),"Yes")</f>
        <v>Yes</v>
      </c>
      <c r="AL219" s="8" t="str">
        <f ca="1">IFERROR(__xludf.DUMMYFUNCTION("""COMPUTED_VALUE"""),"No")</f>
        <v>No</v>
      </c>
      <c r="AM219" s="8" t="str">
        <f ca="1">IFERROR(__xludf.DUMMYFUNCTION("""COMPUTED_VALUE"""),"No")</f>
        <v>No</v>
      </c>
      <c r="AN219" s="8" t="str">
        <f ca="1">IFERROR(__xludf.DUMMYFUNCTION("""COMPUTED_VALUE"""),"Outside")</f>
        <v>Outside</v>
      </c>
      <c r="AO219" s="8" t="str">
        <f ca="1">IFERROR(__xludf.DUMMYFUNCTION("""COMPUTED_VALUE"""),"No")</f>
        <v>No</v>
      </c>
      <c r="AP219" s="8" t="str">
        <f ca="1">IFERROR(__xludf.DUMMYFUNCTION("""COMPUTED_VALUE"""),"Yes")</f>
        <v>Yes</v>
      </c>
      <c r="AQ219" s="8" t="str">
        <f ca="1">IFERROR(__xludf.DUMMYFUNCTION("""COMPUTED_VALUE"""),"Armed Guards")</f>
        <v>Armed Guards</v>
      </c>
      <c r="AR219" s="8" t="str">
        <f ca="1">IFERROR(__xludf.DUMMYFUNCTION("""COMPUTED_VALUE"""),"Outside/Off-Property")</f>
        <v>Outside/Off-Property</v>
      </c>
      <c r="AS219" s="8">
        <f ca="1">IFERROR(__xludf.DUMMYFUNCTION("""COMPUTED_VALUE"""),1)</f>
        <v>1</v>
      </c>
      <c r="AT219" s="8" t="str">
        <f ca="1">IFERROR(__xludf.DUMMYFUNCTION("""COMPUTED_VALUE"""),"Yes")</f>
        <v>Yes</v>
      </c>
      <c r="AU219" s="8">
        <f ca="1">IFERROR(__xludf.DUMMYFUNCTION("""COMPUTED_VALUE"""),41.727923)</f>
        <v>41.727922999999997</v>
      </c>
      <c r="AV219" s="8">
        <f ca="1">IFERROR(__xludf.DUMMYFUNCTION("""COMPUTED_VALUE"""),-81.221142)</f>
        <v>-81.221142</v>
      </c>
      <c r="AW219" s="8" t="str">
        <f ca="1">IFERROR(__xludf.DUMMYFUNCTION("""COMPUTED_VALUE"""),"Multiple attached buildings")</f>
        <v>Multiple attached buildings</v>
      </c>
      <c r="AX219" s="8">
        <f ca="1">IFERROR(__xludf.DUMMYFUNCTION("""COMPUTED_VALUE"""),44077)</f>
        <v>44077</v>
      </c>
    </row>
    <row r="220" spans="1:50" ht="75" x14ac:dyDescent="0.2">
      <c r="A220" s="8" t="str">
        <f ca="1">IFERROR(__xludf.DUMMYFUNCTION("""COMPUTED_VALUE"""),"20241030ALFSP")</f>
        <v>20241030ALFSP</v>
      </c>
      <c r="B220" s="8">
        <f ca="1">IFERROR(__xludf.DUMMYFUNCTION("""COMPUTED_VALUE"""),10)</f>
        <v>10</v>
      </c>
      <c r="C220" s="8">
        <f ca="1">IFERROR(__xludf.DUMMYFUNCTION("""COMPUTED_VALUE"""),30)</f>
        <v>30</v>
      </c>
      <c r="D220" s="8">
        <f ca="1">IFERROR(__xludf.DUMMYFUNCTION("""COMPUTED_VALUE"""),2024)</f>
        <v>2024</v>
      </c>
      <c r="E220" s="9">
        <f ca="1">IFERROR(__xludf.DUMMYFUNCTION("""COMPUTED_VALUE"""),45595)</f>
        <v>45595</v>
      </c>
      <c r="F220" s="8" t="str">
        <f ca="1">IFERROR(__xludf.DUMMYFUNCTION("""COMPUTED_VALUE"""),"F.S. Ervin Elementary School")</f>
        <v>F.S. Ervin Elementary School</v>
      </c>
      <c r="G220" s="8">
        <f ca="1">IFERROR(__xludf.DUMMYFUNCTION("""COMPUTED_VALUE"""),0)</f>
        <v>0</v>
      </c>
      <c r="H220" s="8">
        <f ca="1">IFERROR(__xludf.DUMMYFUNCTION("""COMPUTED_VALUE"""),0)</f>
        <v>0</v>
      </c>
      <c r="I220" s="8">
        <f ca="1">IFERROR(__xludf.DUMMYFUNCTION("""COMPUTED_VALUE"""),0)</f>
        <v>0</v>
      </c>
      <c r="J220" s="8">
        <f ca="1">IFERROR(__xludf.DUMMYFUNCTION("""COMPUTED_VALUE"""),0)</f>
        <v>0</v>
      </c>
      <c r="K220" s="10" t="str">
        <f ca="1">IFERROR(__xludf.DUMMYFUNCTION("""COMPUTED_VALUE"""),"https://www.waka.com/2024/10/30/woman-charged-in-school-shooting-incident-in-wilcox-co/")</f>
        <v>https://www.waka.com/2024/10/30/woman-charged-in-school-shooting-incident-in-wilcox-co/</v>
      </c>
      <c r="L220" s="8">
        <f ca="1">IFERROR(__xludf.DUMMYFUNCTION("""COMPUTED_VALUE"""),1)</f>
        <v>1</v>
      </c>
      <c r="M220" s="8" t="str">
        <f ca="1">IFERROR(__xludf.DUMMYFUNCTION("""COMPUTED_VALUE"""),"Local")</f>
        <v>Local</v>
      </c>
      <c r="N220" s="8">
        <f ca="1">IFERROR(__xludf.DUMMYFUNCTION("""COMPUTED_VALUE"""),4)</f>
        <v>4</v>
      </c>
      <c r="O220" s="8" t="str">
        <f ca="1">IFERROR(__xludf.DUMMYFUNCTION("""COMPUTED_VALUE"""),"Fall")</f>
        <v>Fall</v>
      </c>
      <c r="P220" s="8" t="str">
        <f ca="1">IFERROR(__xludf.DUMMYFUNCTION("""COMPUTED_VALUE"""),"Pine Hill")</f>
        <v>Pine Hill</v>
      </c>
      <c r="Q220" s="8" t="str">
        <f ca="1">IFERROR(__xludf.DUMMYFUNCTION("""COMPUTED_VALUE"""),"AL")</f>
        <v>AL</v>
      </c>
      <c r="R220" s="8" t="str">
        <f ca="1">IFERROR(__xludf.DUMMYFUNCTION("""COMPUTED_VALUE"""),"Elementary")</f>
        <v>Elementary</v>
      </c>
      <c r="S220" s="8" t="str">
        <f ca="1">IFERROR(__xludf.DUMMYFUNCTION("""COMPUTED_VALUE"""),"Parking Lot")</f>
        <v>Parking Lot</v>
      </c>
      <c r="T220" s="8" t="str">
        <f ca="1">IFERROR(__xludf.DUMMYFUNCTION("""COMPUTED_VALUE"""),"Outside on School Property")</f>
        <v>Outside on School Property</v>
      </c>
      <c r="U220" s="8" t="str">
        <f ca="1">IFERROR(__xludf.DUMMYFUNCTION("""COMPUTED_VALUE"""),"Yes")</f>
        <v>Yes</v>
      </c>
      <c r="V220" s="8" t="str">
        <f ca="1">IFERROR(__xludf.DUMMYFUNCTION("""COMPUTED_VALUE"""),"Dismissal")</f>
        <v>Dismissal</v>
      </c>
      <c r="W220" s="8"/>
      <c r="X220" s="8">
        <f ca="1">IFERROR(__xludf.DUMMYFUNCTION("""COMPUTED_VALUE"""),1)</f>
        <v>1</v>
      </c>
      <c r="Y220" s="12" t="str">
        <f ca="1">IFERROR(__xludf.DUMMYFUNCTION("""COMPUTED_VALUE"""),"Unattended child fired shot at the school building with a gun found inside a car")</f>
        <v>Unattended child fired shot at the school building with a gun found inside a car</v>
      </c>
      <c r="Z220" s="12" t="str">
        <f ca="1">IFERROR(__xludf.DUMMYFUNCTION("""COMPUTED_VALUE"""),"Authorities say a 5 year old student who was left in a vehicle unattended got a hold of his mother’s gun. And fired a shot into the building. No injuries. Mother was arrested.")</f>
        <v>Authorities say a 5 year old student who was left in a vehicle unattended got a hold of his mother’s gun. And fired a shot into the building. No injuries. Mother was arrested.</v>
      </c>
      <c r="AA220" s="8" t="str">
        <f ca="1">IFERROR(__xludf.DUMMYFUNCTION("""COMPUTED_VALUE"""),"Accidental")</f>
        <v>Accidental</v>
      </c>
      <c r="AB220" s="8" t="str">
        <f ca="1">IFERROR(__xludf.DUMMYFUNCTION("""COMPUTED_VALUE"""),"Spontaneous")</f>
        <v>Spontaneous</v>
      </c>
      <c r="AC220" s="8" t="str">
        <f ca="1">IFERROR(__xludf.DUMMYFUNCTION("""COMPUTED_VALUE"""),"Yes")</f>
        <v>Yes</v>
      </c>
      <c r="AD220" s="8" t="str">
        <f ca="1">IFERROR(__xludf.DUMMYFUNCTION("""COMPUTED_VALUE"""),"Neither")</f>
        <v>Neither</v>
      </c>
      <c r="AE220" s="8" t="str">
        <f ca="1">IFERROR(__xludf.DUMMYFUNCTION("""COMPUTED_VALUE"""),"No")</f>
        <v>No</v>
      </c>
      <c r="AF220" s="8"/>
      <c r="AG220" s="8" t="str">
        <f ca="1">IFERROR(__xludf.DUMMYFUNCTION("""COMPUTED_VALUE"""),"No")</f>
        <v>No</v>
      </c>
      <c r="AH220" s="8" t="str">
        <f ca="1">IFERROR(__xludf.DUMMYFUNCTION("""COMPUTED_VALUE"""),"No")</f>
        <v>No</v>
      </c>
      <c r="AI220" s="8" t="str">
        <f ca="1">IFERROR(__xludf.DUMMYFUNCTION("""COMPUTED_VALUE"""),"No")</f>
        <v>No</v>
      </c>
      <c r="AJ220" s="8" t="str">
        <f ca="1">IFERROR(__xludf.DUMMYFUNCTION("""COMPUTED_VALUE"""),"No")</f>
        <v>No</v>
      </c>
      <c r="AK220" s="8" t="str">
        <f ca="1">IFERROR(__xludf.DUMMYFUNCTION("""COMPUTED_VALUE"""),"No")</f>
        <v>No</v>
      </c>
      <c r="AL220" s="8" t="str">
        <f ca="1">IFERROR(__xludf.DUMMYFUNCTION("""COMPUTED_VALUE"""),"No")</f>
        <v>No</v>
      </c>
      <c r="AM220" s="8" t="str">
        <f ca="1">IFERROR(__xludf.DUMMYFUNCTION("""COMPUTED_VALUE"""),"No")</f>
        <v>No</v>
      </c>
      <c r="AN220" s="8" t="str">
        <f ca="1">IFERROR(__xludf.DUMMYFUNCTION("""COMPUTED_VALUE"""),"Outside")</f>
        <v>Outside</v>
      </c>
      <c r="AO220" s="8" t="str">
        <f ca="1">IFERROR(__xludf.DUMMYFUNCTION("""COMPUTED_VALUE"""),"No")</f>
        <v>No</v>
      </c>
      <c r="AP220" s="8"/>
      <c r="AQ220" s="8"/>
      <c r="AR220" s="8" t="str">
        <f ca="1">IFERROR(__xludf.DUMMYFUNCTION("""COMPUTED_VALUE"""),"Outside/Off-Property")</f>
        <v>Outside/Off-Property</v>
      </c>
      <c r="AS220" s="8">
        <f ca="1">IFERROR(__xludf.DUMMYFUNCTION("""COMPUTED_VALUE"""),1)</f>
        <v>1</v>
      </c>
      <c r="AT220" s="8" t="str">
        <f ca="1">IFERROR(__xludf.DUMMYFUNCTION("""COMPUTED_VALUE"""),"No")</f>
        <v>No</v>
      </c>
      <c r="AU220" s="8">
        <f ca="1">IFERROR(__xludf.DUMMYFUNCTION("""COMPUTED_VALUE"""),31.971398)</f>
        <v>31.971398000000001</v>
      </c>
      <c r="AV220" s="8">
        <f ca="1">IFERROR(__xludf.DUMMYFUNCTION("""COMPUTED_VALUE"""),-87.592277)</f>
        <v>-87.592276999999996</v>
      </c>
      <c r="AW220" s="8" t="str">
        <f ca="1">IFERROR(__xludf.DUMMYFUNCTION("""COMPUTED_VALUE"""),"Multiple detached buildings")</f>
        <v>Multiple detached buildings</v>
      </c>
      <c r="AX220" s="8">
        <f ca="1">IFERROR(__xludf.DUMMYFUNCTION("""COMPUTED_VALUE"""),36769)</f>
        <v>36769</v>
      </c>
    </row>
    <row r="221" spans="1:50" ht="165" x14ac:dyDescent="0.2">
      <c r="A221" s="8" t="str">
        <f ca="1">IFERROR(__xludf.DUMMYFUNCTION("""COMPUTED_VALUE"""),"20241029MSMEM")</f>
        <v>20241029MSMEM</v>
      </c>
      <c r="B221" s="8">
        <f ca="1">IFERROR(__xludf.DUMMYFUNCTION("""COMPUTED_VALUE"""),10)</f>
        <v>10</v>
      </c>
      <c r="C221" s="8">
        <f ca="1">IFERROR(__xludf.DUMMYFUNCTION("""COMPUTED_VALUE"""),29)</f>
        <v>29</v>
      </c>
      <c r="D221" s="8">
        <f ca="1">IFERROR(__xludf.DUMMYFUNCTION("""COMPUTED_VALUE"""),2024)</f>
        <v>2024</v>
      </c>
      <c r="E221" s="9">
        <f ca="1">IFERROR(__xludf.DUMMYFUNCTION("""COMPUTED_VALUE"""),45594)</f>
        <v>45594</v>
      </c>
      <c r="F221" s="8" t="str">
        <f ca="1">IFERROR(__xludf.DUMMYFUNCTION("""COMPUTED_VALUE"""),"Meridian High School")</f>
        <v>Meridian High School</v>
      </c>
      <c r="G221" s="8">
        <f ca="1">IFERROR(__xludf.DUMMYFUNCTION("""COMPUTED_VALUE"""),0)</f>
        <v>0</v>
      </c>
      <c r="H221" s="8">
        <f ca="1">IFERROR(__xludf.DUMMYFUNCTION("""COMPUTED_VALUE"""),0)</f>
        <v>0</v>
      </c>
      <c r="I221" s="8">
        <f ca="1">IFERROR(__xludf.DUMMYFUNCTION("""COMPUTED_VALUE"""),0)</f>
        <v>0</v>
      </c>
      <c r="J221" s="8">
        <f ca="1">IFERROR(__xludf.DUMMYFUNCTION("""COMPUTED_VALUE"""),0)</f>
        <v>0</v>
      </c>
      <c r="K221" s="8" t="str">
        <f ca="1">IFERROR(__xludf.DUMMYFUNCTION("""COMPUTED_VALUE"""),"https://darkhorsepressnow.com/suspect-in-custody-after-vehicle-targeted-in-shooting-incident-near-meridian-high-school/
https://www.wtok.com/2024/10/29/shots-fired-near-meridian-high-school/")</f>
        <v>https://darkhorsepressnow.com/suspect-in-custody-after-vehicle-targeted-in-shooting-incident-near-meridian-high-school/
https://www.wtok.com/2024/10/29/shots-fired-near-meridian-high-school/</v>
      </c>
      <c r="L221" s="8">
        <f ca="1">IFERROR(__xludf.DUMMYFUNCTION("""COMPUTED_VALUE"""),2)</f>
        <v>2</v>
      </c>
      <c r="M221" s="8" t="str">
        <f ca="1">IFERROR(__xludf.DUMMYFUNCTION("""COMPUTED_VALUE"""),"Local")</f>
        <v>Local</v>
      </c>
      <c r="N221" s="8">
        <f ca="1">IFERROR(__xludf.DUMMYFUNCTION("""COMPUTED_VALUE"""),4)</f>
        <v>4</v>
      </c>
      <c r="O221" s="8" t="str">
        <f ca="1">IFERROR(__xludf.DUMMYFUNCTION("""COMPUTED_VALUE"""),"Fall")</f>
        <v>Fall</v>
      </c>
      <c r="P221" s="8" t="str">
        <f ca="1">IFERROR(__xludf.DUMMYFUNCTION("""COMPUTED_VALUE"""),"Meridian")</f>
        <v>Meridian</v>
      </c>
      <c r="Q221" s="8" t="str">
        <f ca="1">IFERROR(__xludf.DUMMYFUNCTION("""COMPUTED_VALUE"""),"MS")</f>
        <v>MS</v>
      </c>
      <c r="R221" s="8" t="str">
        <f ca="1">IFERROR(__xludf.DUMMYFUNCTION("""COMPUTED_VALUE"""),"High")</f>
        <v>High</v>
      </c>
      <c r="S221" s="8" t="str">
        <f ca="1">IFERROR(__xludf.DUMMYFUNCTION("""COMPUTED_VALUE"""),"Parking Lot")</f>
        <v>Parking Lot</v>
      </c>
      <c r="T221" s="8" t="str">
        <f ca="1">IFERROR(__xludf.DUMMYFUNCTION("""COMPUTED_VALUE"""),"Outside on School Property")</f>
        <v>Outside on School Property</v>
      </c>
      <c r="U221" s="8" t="str">
        <f ca="1">IFERROR(__xludf.DUMMYFUNCTION("""COMPUTED_VALUE"""),"Yes")</f>
        <v>Yes</v>
      </c>
      <c r="V221" s="8" t="str">
        <f ca="1">IFERROR(__xludf.DUMMYFUNCTION("""COMPUTED_VALUE"""),"Morning Classes")</f>
        <v>Morning Classes</v>
      </c>
      <c r="W221" s="8"/>
      <c r="X221" s="8">
        <f ca="1">IFERROR(__xludf.DUMMYFUNCTION("""COMPUTED_VALUE"""),1)</f>
        <v>1</v>
      </c>
      <c r="Y221" s="12" t="str">
        <f ca="1">IFERROR(__xludf.DUMMYFUNCTION("""COMPUTED_VALUE"""),"Shots fired at a vehicle parked in the school parking lot")</f>
        <v>Shots fired at a vehicle parked in the school parking lot</v>
      </c>
      <c r="Z221" s="12" t="str">
        <f ca="1">IFERROR(__xludf.DUMMYFUNCTION("""COMPUTED_VALUE"""),"Meridian High School was placed on lockdown following reports of shots fired in the vicinity. MPSD Campus Police quickly responded to the scene and confirmed that no injuries occurred on campus. During the investigation, authorities discovered that a vehi"&amp;"cle parked on campus had been targeted, suspected to be an act of vandalism. MPSD Campus Police, in conjunction with the Meridian Police Department, are actively investigating the incident. One individual has been taken into custody as part of the ongoing"&amp;" investigation. However, police are still searching for an additional suspect who fled the area on foot.")</f>
        <v>Meridian High School was placed on lockdown following reports of shots fired in the vicinity. MPSD Campus Police quickly responded to the scene and confirmed that no injuries occurred on campus. During the investigation, authorities discovered that a vehicle parked on campus had been targeted, suspected to be an act of vandalism. MPSD Campus Police, in conjunction with the Meridian Police Department, are actively investigating the incident. One individual has been taken into custody as part of the ongoing investigation. However, police are still searching for an additional suspect who fled the area on foot.</v>
      </c>
      <c r="AA221" s="8" t="str">
        <f ca="1">IFERROR(__xludf.DUMMYFUNCTION("""COMPUTED_VALUE"""),"Intentional Property Damage")</f>
        <v>Intentional Property Damage</v>
      </c>
      <c r="AB221" s="8"/>
      <c r="AC221" s="8" t="str">
        <f ca="1">IFERROR(__xludf.DUMMYFUNCTION("""COMPUTED_VALUE"""),"Yes")</f>
        <v>Yes</v>
      </c>
      <c r="AD221" s="8" t="str">
        <f ca="1">IFERROR(__xludf.DUMMYFUNCTION("""COMPUTED_VALUE"""),"Neither")</f>
        <v>Neither</v>
      </c>
      <c r="AE221" s="8" t="str">
        <f ca="1">IFERROR(__xludf.DUMMYFUNCTION("""COMPUTED_VALUE"""),"Yes")</f>
        <v>Yes</v>
      </c>
      <c r="AF221" s="8"/>
      <c r="AG221" s="8" t="str">
        <f ca="1">IFERROR(__xludf.DUMMYFUNCTION("""COMPUTED_VALUE"""),"No")</f>
        <v>No</v>
      </c>
      <c r="AH221" s="8" t="str">
        <f ca="1">IFERROR(__xludf.DUMMYFUNCTION("""COMPUTED_VALUE"""),"No")</f>
        <v>No</v>
      </c>
      <c r="AI221" s="8" t="str">
        <f ca="1">IFERROR(__xludf.DUMMYFUNCTION("""COMPUTED_VALUE"""),"No")</f>
        <v>No</v>
      </c>
      <c r="AJ221" s="8" t="str">
        <f ca="1">IFERROR(__xludf.DUMMYFUNCTION("""COMPUTED_VALUE"""),"No")</f>
        <v>No</v>
      </c>
      <c r="AK221" s="8" t="str">
        <f ca="1">IFERROR(__xludf.DUMMYFUNCTION("""COMPUTED_VALUE"""),"No")</f>
        <v>No</v>
      </c>
      <c r="AL221" s="8" t="str">
        <f ca="1">IFERROR(__xludf.DUMMYFUNCTION("""COMPUTED_VALUE"""),"No")</f>
        <v>No</v>
      </c>
      <c r="AM221" s="8" t="str">
        <f ca="1">IFERROR(__xludf.DUMMYFUNCTION("""COMPUTED_VALUE"""),"No")</f>
        <v>No</v>
      </c>
      <c r="AN221" s="8" t="str">
        <f ca="1">IFERROR(__xludf.DUMMYFUNCTION("""COMPUTED_VALUE"""),"Outside")</f>
        <v>Outside</v>
      </c>
      <c r="AO221" s="8" t="str">
        <f ca="1">IFERROR(__xludf.DUMMYFUNCTION("""COMPUTED_VALUE"""),"No")</f>
        <v>No</v>
      </c>
      <c r="AP221" s="8"/>
      <c r="AQ221" s="8"/>
      <c r="AR221" s="8" t="str">
        <f ca="1">IFERROR(__xludf.DUMMYFUNCTION("""COMPUTED_VALUE"""),"Outside/Off-Property")</f>
        <v>Outside/Off-Property</v>
      </c>
      <c r="AS221" s="8">
        <f ca="1">IFERROR(__xludf.DUMMYFUNCTION("""COMPUTED_VALUE"""),99)</f>
        <v>99</v>
      </c>
      <c r="AT221" s="8" t="str">
        <f ca="1">IFERROR(__xludf.DUMMYFUNCTION("""COMPUTED_VALUE"""),"Yes")</f>
        <v>Yes</v>
      </c>
      <c r="AU221" s="8">
        <f ca="1">IFERROR(__xludf.DUMMYFUNCTION("""COMPUTED_VALUE"""),32.389306)</f>
        <v>32.389305999999998</v>
      </c>
      <c r="AV221" s="8">
        <f ca="1">IFERROR(__xludf.DUMMYFUNCTION("""COMPUTED_VALUE"""),-88.701969)</f>
        <v>-88.701969000000005</v>
      </c>
      <c r="AW221" s="8" t="str">
        <f ca="1">IFERROR(__xludf.DUMMYFUNCTION("""COMPUTED_VALUE"""),"Multiple detached buildings")</f>
        <v>Multiple detached buildings</v>
      </c>
      <c r="AX221" s="8">
        <f ca="1">IFERROR(__xludf.DUMMYFUNCTION("""COMPUTED_VALUE"""),39302)</f>
        <v>39302</v>
      </c>
    </row>
    <row r="222" spans="1:50" ht="135" x14ac:dyDescent="0.2">
      <c r="A222" s="8" t="str">
        <f ca="1">IFERROR(__xludf.DUMMYFUNCTION("""COMPUTED_VALUE"""),"20241027SCBUB")</f>
        <v>20241027SCBUB</v>
      </c>
      <c r="B222" s="8">
        <f ca="1">IFERROR(__xludf.DUMMYFUNCTION("""COMPUTED_VALUE"""),10)</f>
        <v>10</v>
      </c>
      <c r="C222" s="8">
        <f ca="1">IFERROR(__xludf.DUMMYFUNCTION("""COMPUTED_VALUE"""),27)</f>
        <v>27</v>
      </c>
      <c r="D222" s="8">
        <f ca="1">IFERROR(__xludf.DUMMYFUNCTION("""COMPUTED_VALUE"""),2024)</f>
        <v>2024</v>
      </c>
      <c r="E222" s="9">
        <f ca="1">IFERROR(__xludf.DUMMYFUNCTION("""COMPUTED_VALUE"""),45592)</f>
        <v>45592</v>
      </c>
      <c r="F222" s="8" t="str">
        <f ca="1">IFERROR(__xludf.DUMMYFUNCTION("""COMPUTED_VALUE"""),"Buffalo Elementary School")</f>
        <v>Buffalo Elementary School</v>
      </c>
      <c r="G222" s="8">
        <f ca="1">IFERROR(__xludf.DUMMYFUNCTION("""COMPUTED_VALUE"""),0)</f>
        <v>0</v>
      </c>
      <c r="H222" s="8">
        <f ca="1">IFERROR(__xludf.DUMMYFUNCTION("""COMPUTED_VALUE"""),3)</f>
        <v>3</v>
      </c>
      <c r="I222" s="8">
        <f ca="1">IFERROR(__xludf.DUMMYFUNCTION("""COMPUTED_VALUE"""),3)</f>
        <v>3</v>
      </c>
      <c r="J222" s="8">
        <f ca="1">IFERROR(__xludf.DUMMYFUNCTION("""COMPUTED_VALUE"""),0)</f>
        <v>0</v>
      </c>
      <c r="K222" s="10" t="str">
        <f ca="1">IFERROR(__xludf.DUMMYFUNCTION("""COMPUTED_VALUE"""),"https://www.foxcarolina.com/2024/10/27/union-co-deputies-respond-shooting/
https://www.wyff4.com/article/union-county-sc-shooting-3-shot-along-highway/62728582")</f>
        <v>https://www.foxcarolina.com/2024/10/27/union-co-deputies-respond-shooting/
https://www.wyff4.com/article/union-county-sc-shooting-3-shot-along-highway/62728582</v>
      </c>
      <c r="L222" s="8">
        <f ca="1">IFERROR(__xludf.DUMMYFUNCTION("""COMPUTED_VALUE"""),2)</f>
        <v>2</v>
      </c>
      <c r="M222" s="8" t="str">
        <f ca="1">IFERROR(__xludf.DUMMYFUNCTION("""COMPUTED_VALUE"""),"Regional")</f>
        <v>Regional</v>
      </c>
      <c r="N222" s="8">
        <f ca="1">IFERROR(__xludf.DUMMYFUNCTION("""COMPUTED_VALUE"""),4)</f>
        <v>4</v>
      </c>
      <c r="O222" s="8" t="str">
        <f ca="1">IFERROR(__xludf.DUMMYFUNCTION("""COMPUTED_VALUE"""),"Fall")</f>
        <v>Fall</v>
      </c>
      <c r="P222" s="8" t="str">
        <f ca="1">IFERROR(__xludf.DUMMYFUNCTION("""COMPUTED_VALUE"""),"Union")</f>
        <v>Union</v>
      </c>
      <c r="Q222" s="8" t="str">
        <f ca="1">IFERROR(__xludf.DUMMYFUNCTION("""COMPUTED_VALUE"""),"SC")</f>
        <v>SC</v>
      </c>
      <c r="R222" s="8" t="str">
        <f ca="1">IFERROR(__xludf.DUMMYFUNCTION("""COMPUTED_VALUE"""),"Elementary")</f>
        <v>Elementary</v>
      </c>
      <c r="S222" s="8" t="str">
        <f ca="1">IFERROR(__xludf.DUMMYFUNCTION("""COMPUTED_VALUE"""),"Field (General)")</f>
        <v>Field (General)</v>
      </c>
      <c r="T222" s="8" t="str">
        <f ca="1">IFERROR(__xludf.DUMMYFUNCTION("""COMPUTED_VALUE"""),"Outside on School Property")</f>
        <v>Outside on School Property</v>
      </c>
      <c r="U222" s="8" t="str">
        <f ca="1">IFERROR(__xludf.DUMMYFUNCTION("""COMPUTED_VALUE"""),"No")</f>
        <v>No</v>
      </c>
      <c r="V222" s="8" t="str">
        <f ca="1">IFERROR(__xludf.DUMMYFUNCTION("""COMPUTED_VALUE"""),"Sport Event")</f>
        <v>Sport Event</v>
      </c>
      <c r="W222" s="11">
        <f ca="1">IFERROR(__xludf.DUMMYFUNCTION("""COMPUTED_VALUE"""),0.5625)</f>
        <v>0.5625</v>
      </c>
      <c r="X222" s="8">
        <f ca="1">IFERROR(__xludf.DUMMYFUNCTION("""COMPUTED_VALUE"""),1)</f>
        <v>1</v>
      </c>
      <c r="Y222" s="12" t="str">
        <f ca="1">IFERROR(__xludf.DUMMYFUNCTION("""COMPUTED_VALUE"""),"Three people were shot on the school baseball field")</f>
        <v>Three people were shot on the school baseball field</v>
      </c>
      <c r="Z222" s="12" t="str">
        <f ca="1">IFERROR(__xludf.DUMMYFUNCTION("""COMPUTED_VALUE"""),"Deputies were dispatched to the Union Medical Center regarding a shooting victim around 1:30 p.m. Sunday. When deputies arrived, they found a victim in the emergency room. Shortly after, deputies were notified of a second shooting victim who arrived at Un"&amp;"ion Medical. While interviewing the victims, another victim called 911 and was transported to the hospital as well. According to officials, the victims were shot while at the Buffalo ballfield near Buffalo Elementary School outside of Union, South Carolin"&amp;"a.")</f>
        <v>Deputies were dispatched to the Union Medical Center regarding a shooting victim around 1:30 p.m. Sunday. When deputies arrived, they found a victim in the emergency room. Shortly after, deputies were notified of a second shooting victim who arrived at Union Medical. While interviewing the victims, another victim called 911 and was transported to the hospital as well. According to officials, the victims were shot while at the Buffalo ballfield near Buffalo Elementary School outside of Union, South Carolina.</v>
      </c>
      <c r="AA222" s="8"/>
      <c r="AB222" s="8"/>
      <c r="AC222" s="8"/>
      <c r="AD222" s="8"/>
      <c r="AE222" s="8" t="str">
        <f ca="1">IFERROR(__xludf.DUMMYFUNCTION("""COMPUTED_VALUE"""),"No")</f>
        <v>No</v>
      </c>
      <c r="AF222" s="8"/>
      <c r="AG222" s="8" t="str">
        <f ca="1">IFERROR(__xludf.DUMMYFUNCTION("""COMPUTED_VALUE"""),"No")</f>
        <v>No</v>
      </c>
      <c r="AH222" s="8" t="str">
        <f ca="1">IFERROR(__xludf.DUMMYFUNCTION("""COMPUTED_VALUE"""),"No")</f>
        <v>No</v>
      </c>
      <c r="AI222" s="8" t="str">
        <f ca="1">IFERROR(__xludf.DUMMYFUNCTION("""COMPUTED_VALUE"""),"No")</f>
        <v>No</v>
      </c>
      <c r="AJ222" s="8" t="str">
        <f ca="1">IFERROR(__xludf.DUMMYFUNCTION("""COMPUTED_VALUE"""),"No")</f>
        <v>No</v>
      </c>
      <c r="AK222" s="8" t="str">
        <f ca="1">IFERROR(__xludf.DUMMYFUNCTION("""COMPUTED_VALUE"""),"No")</f>
        <v>No</v>
      </c>
      <c r="AL222" s="8" t="str">
        <f ca="1">IFERROR(__xludf.DUMMYFUNCTION("""COMPUTED_VALUE"""),"No")</f>
        <v>No</v>
      </c>
      <c r="AM222" s="8" t="str">
        <f ca="1">IFERROR(__xludf.DUMMYFUNCTION("""COMPUTED_VALUE"""),"No")</f>
        <v>No</v>
      </c>
      <c r="AN222" s="8" t="str">
        <f ca="1">IFERROR(__xludf.DUMMYFUNCTION("""COMPUTED_VALUE"""),"Outside")</f>
        <v>Outside</v>
      </c>
      <c r="AO222" s="8" t="str">
        <f ca="1">IFERROR(__xludf.DUMMYFUNCTION("""COMPUTED_VALUE"""),"No")</f>
        <v>No</v>
      </c>
      <c r="AP222" s="8"/>
      <c r="AQ222" s="8"/>
      <c r="AR222" s="8" t="str">
        <f ca="1">IFERROR(__xludf.DUMMYFUNCTION("""COMPUTED_VALUE"""),"Outside/Off-Property")</f>
        <v>Outside/Off-Property</v>
      </c>
      <c r="AS222" s="8">
        <f ca="1">IFERROR(__xludf.DUMMYFUNCTION("""COMPUTED_VALUE"""),99)</f>
        <v>99</v>
      </c>
      <c r="AT222" s="8" t="str">
        <f ca="1">IFERROR(__xludf.DUMMYFUNCTION("""COMPUTED_VALUE"""),"No")</f>
        <v>No</v>
      </c>
      <c r="AU222" s="8">
        <f ca="1">IFERROR(__xludf.DUMMYFUNCTION("""COMPUTED_VALUE"""),34.724199)</f>
        <v>34.724198999999999</v>
      </c>
      <c r="AV222" s="8">
        <f ca="1">IFERROR(__xludf.DUMMYFUNCTION("""COMPUTED_VALUE"""),-81.656498)</f>
        <v>-81.656497999999999</v>
      </c>
      <c r="AW222" s="8" t="str">
        <f ca="1">IFERROR(__xludf.DUMMYFUNCTION("""COMPUTED_VALUE"""),"Single building indoor hallway")</f>
        <v>Single building indoor hallway</v>
      </c>
      <c r="AX222" s="8">
        <f ca="1">IFERROR(__xludf.DUMMYFUNCTION("""COMPUTED_VALUE"""),29321)</f>
        <v>29321</v>
      </c>
    </row>
    <row r="223" spans="1:50" ht="105" x14ac:dyDescent="0.2">
      <c r="A223" s="8" t="str">
        <f ca="1">IFERROR(__xludf.DUMMYFUNCTION("""COMPUTED_VALUE"""),"20241030SDCHC")</f>
        <v>20241030SDCHC</v>
      </c>
      <c r="B223" s="8">
        <f ca="1">IFERROR(__xludf.DUMMYFUNCTION("""COMPUTED_VALUE"""),10)</f>
        <v>10</v>
      </c>
      <c r="C223" s="8">
        <f ca="1">IFERROR(__xludf.DUMMYFUNCTION("""COMPUTED_VALUE"""),25)</f>
        <v>25</v>
      </c>
      <c r="D223" s="8">
        <f ca="1">IFERROR(__xludf.DUMMYFUNCTION("""COMPUTED_VALUE"""),2024)</f>
        <v>2024</v>
      </c>
      <c r="E223" s="9">
        <f ca="1">IFERROR(__xludf.DUMMYFUNCTION("""COMPUTED_VALUE"""),45590)</f>
        <v>45590</v>
      </c>
      <c r="F223" s="8" t="str">
        <f ca="1">IFERROR(__xludf.DUMMYFUNCTION("""COMPUTED_VALUE"""),"Chamberlain School District Bus")</f>
        <v>Chamberlain School District Bus</v>
      </c>
      <c r="G223" s="8">
        <f ca="1">IFERROR(__xludf.DUMMYFUNCTION("""COMPUTED_VALUE"""),0)</f>
        <v>0</v>
      </c>
      <c r="H223" s="8">
        <f ca="1">IFERROR(__xludf.DUMMYFUNCTION("""COMPUTED_VALUE"""),0)</f>
        <v>0</v>
      </c>
      <c r="I223" s="8">
        <f ca="1">IFERROR(__xludf.DUMMYFUNCTION("""COMPUTED_VALUE"""),0)</f>
        <v>0</v>
      </c>
      <c r="J223" s="8">
        <f ca="1">IFERROR(__xludf.DUMMYFUNCTION("""COMPUTED_VALUE"""),0)</f>
        <v>0</v>
      </c>
      <c r="K223" s="10" t="str">
        <f ca="1">IFERROR(__xludf.DUMMYFUNCTION("""COMPUTED_VALUE"""),"https://archive.is/XlphN")</f>
        <v>https://archive.is/XlphN</v>
      </c>
      <c r="L223" s="8">
        <f ca="1">IFERROR(__xludf.DUMMYFUNCTION("""COMPUTED_VALUE"""),1)</f>
        <v>1</v>
      </c>
      <c r="M223" s="8" t="str">
        <f ca="1">IFERROR(__xludf.DUMMYFUNCTION("""COMPUTED_VALUE"""),"Local")</f>
        <v>Local</v>
      </c>
      <c r="N223" s="8">
        <f ca="1">IFERROR(__xludf.DUMMYFUNCTION("""COMPUTED_VALUE"""),3)</f>
        <v>3</v>
      </c>
      <c r="O223" s="8" t="str">
        <f ca="1">IFERROR(__xludf.DUMMYFUNCTION("""COMPUTED_VALUE"""),"Fall")</f>
        <v>Fall</v>
      </c>
      <c r="P223" s="8" t="str">
        <f ca="1">IFERROR(__xludf.DUMMYFUNCTION("""COMPUTED_VALUE"""),"Chamberlain")</f>
        <v>Chamberlain</v>
      </c>
      <c r="Q223" s="8" t="str">
        <f ca="1">IFERROR(__xludf.DUMMYFUNCTION("""COMPUTED_VALUE"""),"SD")</f>
        <v>SD</v>
      </c>
      <c r="R223" s="8"/>
      <c r="S223" s="8" t="str">
        <f ca="1">IFERROR(__xludf.DUMMYFUNCTION("""COMPUTED_VALUE"""),"School Bus")</f>
        <v>School Bus</v>
      </c>
      <c r="T223" s="8" t="str">
        <f ca="1">IFERROR(__xludf.DUMMYFUNCTION("""COMPUTED_VALUE"""),"School Bus")</f>
        <v>School Bus</v>
      </c>
      <c r="U223" s="8" t="str">
        <f ca="1">IFERROR(__xludf.DUMMYFUNCTION("""COMPUTED_VALUE"""),"Yes")</f>
        <v>Yes</v>
      </c>
      <c r="V223" s="8" t="str">
        <f ca="1">IFERROR(__xludf.DUMMYFUNCTION("""COMPUTED_VALUE"""),"Dismissal")</f>
        <v>Dismissal</v>
      </c>
      <c r="W223" s="11">
        <f ca="1">IFERROR(__xludf.DUMMYFUNCTION("""COMPUTED_VALUE"""),0.645833333333333)</f>
        <v>0.64583333333333304</v>
      </c>
      <c r="X223" s="8">
        <f ca="1">IFERROR(__xludf.DUMMYFUNCTION("""COMPUTED_VALUE"""),1)</f>
        <v>1</v>
      </c>
      <c r="Y223" s="12" t="str">
        <f ca="1">IFERROR(__xludf.DUMMYFUNCTION("""COMPUTED_VALUE"""),"School bus window was hit by projectile while driving students home")</f>
        <v>School bus window was hit by projectile while driving students home</v>
      </c>
      <c r="Z223" s="12" t="str">
        <f ca="1">IFERROR(__xludf.DUMMYFUNCTION("""COMPUTED_VALUE"""),"A Chamberlain School District bus carrying seven students was struck by an unknown projectile while en route to drop them off after school on Friday, Oct. 25, 2024. The incident likely occurred toward the end of the bus route, which typically runs from 3:"&amp;"30 to 5 p.m. It resulted in a crack in a window on the passenger side of the bus. No students were injured in the inciden")</f>
        <v>A Chamberlain School District bus carrying seven students was struck by an unknown projectile while en route to drop them off after school on Friday, Oct. 25, 2024. The incident likely occurred toward the end of the bus route, which typically runs from 3:30 to 5 p.m. It resulted in a crack in a window on the passenger side of the bus. No students were injured in the inciden</v>
      </c>
      <c r="AA223" s="8" t="str">
        <f ca="1">IFERROR(__xludf.DUMMYFUNCTION("""COMPUTED_VALUE"""),"Intentional Property Damage")</f>
        <v>Intentional Property Damage</v>
      </c>
      <c r="AB223" s="8"/>
      <c r="AC223" s="8" t="str">
        <f ca="1">IFERROR(__xludf.DUMMYFUNCTION("""COMPUTED_VALUE"""),"Yes")</f>
        <v>Yes</v>
      </c>
      <c r="AD223" s="8"/>
      <c r="AE223" s="8"/>
      <c r="AF223" s="8"/>
      <c r="AG223" s="8" t="str">
        <f ca="1">IFERROR(__xludf.DUMMYFUNCTION("""COMPUTED_VALUE"""),"No")</f>
        <v>No</v>
      </c>
      <c r="AH223" s="8" t="str">
        <f ca="1">IFERROR(__xludf.DUMMYFUNCTION("""COMPUTED_VALUE"""),"No")</f>
        <v>No</v>
      </c>
      <c r="AI223" s="8" t="str">
        <f ca="1">IFERROR(__xludf.DUMMYFUNCTION("""COMPUTED_VALUE"""),"No")</f>
        <v>No</v>
      </c>
      <c r="AJ223" s="8" t="str">
        <f ca="1">IFERROR(__xludf.DUMMYFUNCTION("""COMPUTED_VALUE"""),"No")</f>
        <v>No</v>
      </c>
      <c r="AK223" s="8" t="str">
        <f ca="1">IFERROR(__xludf.DUMMYFUNCTION("""COMPUTED_VALUE"""),"No")</f>
        <v>No</v>
      </c>
      <c r="AL223" s="8" t="str">
        <f ca="1">IFERROR(__xludf.DUMMYFUNCTION("""COMPUTED_VALUE"""),"No")</f>
        <v>No</v>
      </c>
      <c r="AM223" s="8" t="str">
        <f ca="1">IFERROR(__xludf.DUMMYFUNCTION("""COMPUTED_VALUE"""),"No")</f>
        <v>No</v>
      </c>
      <c r="AN223" s="8" t="str">
        <f ca="1">IFERROR(__xludf.DUMMYFUNCTION("""COMPUTED_VALUE"""),"Outside")</f>
        <v>Outside</v>
      </c>
      <c r="AO223" s="8" t="str">
        <f ca="1">IFERROR(__xludf.DUMMYFUNCTION("""COMPUTED_VALUE"""),"No")</f>
        <v>No</v>
      </c>
      <c r="AP223" s="8"/>
      <c r="AQ223" s="8"/>
      <c r="AR223" s="8" t="str">
        <f ca="1">IFERROR(__xludf.DUMMYFUNCTION("""COMPUTED_VALUE"""),"Outside/Off-Property")</f>
        <v>Outside/Off-Property</v>
      </c>
      <c r="AS223" s="8">
        <f ca="1">IFERROR(__xludf.DUMMYFUNCTION("""COMPUTED_VALUE"""),1)</f>
        <v>1</v>
      </c>
      <c r="AT223" s="8" t="str">
        <f ca="1">IFERROR(__xludf.DUMMYFUNCTION("""COMPUTED_VALUE"""),"No")</f>
        <v>No</v>
      </c>
      <c r="AU223" s="8">
        <f ca="1">IFERROR(__xludf.DUMMYFUNCTION("""COMPUTED_VALUE"""),43.807011)</f>
        <v>43.807011000000003</v>
      </c>
      <c r="AV223" s="8">
        <f ca="1">IFERROR(__xludf.DUMMYFUNCTION("""COMPUTED_VALUE"""),-99.329979)</f>
        <v>-99.329978999999994</v>
      </c>
      <c r="AW223" s="8"/>
      <c r="AX223" s="8">
        <f ca="1">IFERROR(__xludf.DUMMYFUNCTION("""COMPUTED_VALUE"""),57325)</f>
        <v>57325</v>
      </c>
    </row>
    <row r="224" spans="1:50" ht="105" x14ac:dyDescent="0.2">
      <c r="A224" s="8" t="str">
        <f ca="1">IFERROR(__xludf.DUMMYFUNCTION("""COMPUTED_VALUE"""),"20241025LASTS")</f>
        <v>20241025LASTS</v>
      </c>
      <c r="B224" s="8">
        <f ca="1">IFERROR(__xludf.DUMMYFUNCTION("""COMPUTED_VALUE"""),10)</f>
        <v>10</v>
      </c>
      <c r="C224" s="8">
        <f ca="1">IFERROR(__xludf.DUMMYFUNCTION("""COMPUTED_VALUE"""),25)</f>
        <v>25</v>
      </c>
      <c r="D224" s="8">
        <f ca="1">IFERROR(__xludf.DUMMYFUNCTION("""COMPUTED_VALUE"""),2024)</f>
        <v>2024</v>
      </c>
      <c r="E224" s="9">
        <f ca="1">IFERROR(__xludf.DUMMYFUNCTION("""COMPUTED_VALUE"""),45590)</f>
        <v>45590</v>
      </c>
      <c r="F224" s="8" t="str">
        <f ca="1">IFERROR(__xludf.DUMMYFUNCTION("""COMPUTED_VALUE"""),"St. Martinville High School")</f>
        <v>St. Martinville High School</v>
      </c>
      <c r="G224" s="8">
        <f ca="1">IFERROR(__xludf.DUMMYFUNCTION("""COMPUTED_VALUE"""),1)</f>
        <v>1</v>
      </c>
      <c r="H224" s="8">
        <f ca="1">IFERROR(__xludf.DUMMYFUNCTION("""COMPUTED_VALUE"""),0)</f>
        <v>0</v>
      </c>
      <c r="I224" s="8">
        <f ca="1">IFERROR(__xludf.DUMMYFUNCTION("""COMPUTED_VALUE"""),1)</f>
        <v>1</v>
      </c>
      <c r="J224" s="8">
        <f ca="1">IFERROR(__xludf.DUMMYFUNCTION("""COMPUTED_VALUE"""),0)</f>
        <v>0</v>
      </c>
      <c r="K224" s="8" t="str">
        <f ca="1">IFERROR(__xludf.DUMMYFUNCTION("""COMPUTED_VALUE"""),"https://www.katc.com/st-martin-parish/st-martinville-man-arrested-in-texas-for-homecoming-homicide-faces-10-million-bond
https://www.katc.com/st-martin-parish/shooting-outside-tailgate-area-in-st-martinville-causes-cancellation-of-tonights-football-game
h"&amp;"ttps://www.klfy.com/local/st-martin-parish/breaking-one-injured-in-shooting-at-st-martinville-high-police-confirm/
https://www.klfy.com/local/st-martin-parish/victim-of-st-martinville-homecoming-shooting-identified-more-arrests-expected/")</f>
        <v>https://www.katc.com/st-martin-parish/st-martinville-man-arrested-in-texas-for-homecoming-homicide-faces-10-million-bond
https://www.katc.com/st-martin-parish/shooting-outside-tailgate-area-in-st-martinville-causes-cancellation-of-tonights-football-game
https://www.klfy.com/local/st-martin-parish/breaking-one-injured-in-shooting-at-st-martinville-high-police-confirm/
https://www.klfy.com/local/st-martin-parish/victim-of-st-martinville-homecoming-shooting-identified-more-arrests-expected/</v>
      </c>
      <c r="L224" s="8">
        <f ca="1">IFERROR(__xludf.DUMMYFUNCTION("""COMPUTED_VALUE"""),10)</f>
        <v>10</v>
      </c>
      <c r="M224" s="8" t="str">
        <f ca="1">IFERROR(__xludf.DUMMYFUNCTION("""COMPUTED_VALUE"""),"Regional")</f>
        <v>Regional</v>
      </c>
      <c r="N224" s="8">
        <f ca="1">IFERROR(__xludf.DUMMYFUNCTION("""COMPUTED_VALUE"""),4)</f>
        <v>4</v>
      </c>
      <c r="O224" s="8" t="str">
        <f ca="1">IFERROR(__xludf.DUMMYFUNCTION("""COMPUTED_VALUE"""),"Fall")</f>
        <v>Fall</v>
      </c>
      <c r="P224" s="8" t="str">
        <f ca="1">IFERROR(__xludf.DUMMYFUNCTION("""COMPUTED_VALUE"""),"St. Martinville")</f>
        <v>St. Martinville</v>
      </c>
      <c r="Q224" s="8" t="str">
        <f ca="1">IFERROR(__xludf.DUMMYFUNCTION("""COMPUTED_VALUE"""),"LA")</f>
        <v>LA</v>
      </c>
      <c r="R224" s="8" t="str">
        <f ca="1">IFERROR(__xludf.DUMMYFUNCTION("""COMPUTED_VALUE"""),"High")</f>
        <v>High</v>
      </c>
      <c r="S224" s="8" t="str">
        <f ca="1">IFERROR(__xludf.DUMMYFUNCTION("""COMPUTED_VALUE"""),"Parking Lot")</f>
        <v>Parking Lot</v>
      </c>
      <c r="T224" s="8" t="str">
        <f ca="1">IFERROR(__xludf.DUMMYFUNCTION("""COMPUTED_VALUE"""),"Outside on School Property")</f>
        <v>Outside on School Property</v>
      </c>
      <c r="U224" s="8" t="str">
        <f ca="1">IFERROR(__xludf.DUMMYFUNCTION("""COMPUTED_VALUE"""),"No")</f>
        <v>No</v>
      </c>
      <c r="V224" s="8" t="str">
        <f ca="1">IFERROR(__xludf.DUMMYFUNCTION("""COMPUTED_VALUE"""),"Sport Event")</f>
        <v>Sport Event</v>
      </c>
      <c r="W224" s="11">
        <f ca="1">IFERROR(__xludf.DUMMYFUNCTION("""COMPUTED_VALUE"""),0.770833333333333)</f>
        <v>0.77083333333333304</v>
      </c>
      <c r="X224" s="8">
        <f ca="1">IFERROR(__xludf.DUMMYFUNCTION("""COMPUTED_VALUE"""),1)</f>
        <v>1</v>
      </c>
      <c r="Y224" s="12" t="str">
        <f ca="1">IFERROR(__xludf.DUMMYFUNCTION("""COMPUTED_VALUE"""),"Man was fatally shot during the homecoming game tailgate outside the stadium")</f>
        <v>Man was fatally shot during the homecoming game tailgate outside the stadium</v>
      </c>
      <c r="Z224" s="12" t="str">
        <f ca="1">IFERROR(__xludf.DUMMYFUNCTION("""COMPUTED_VALUE"""),"A shooting outside the tailgate area in St. Martinville around 6:30 p.m. has resulted in the death of one individual, authorities confirmed. The incident forced the cancellation of tonight’s high school football game as police and emergency responders sec"&amp;"ured the scene. 22-year-old man fatally shot a 24-year-old man and fled the area. He was arrested the following day in Texas.")</f>
        <v>A shooting outside the tailgate area in St. Martinville around 6:30 p.m. has resulted in the death of one individual, authorities confirmed. The incident forced the cancellation of tonight’s high school football game as police and emergency responders secured the scene. 22-year-old man fatally shot a 24-year-old man and fled the area. He was arrested the following day in Texas.</v>
      </c>
      <c r="AA224" s="8" t="str">
        <f ca="1">IFERROR(__xludf.DUMMYFUNCTION("""COMPUTED_VALUE"""),"Escalation of Dispute")</f>
        <v>Escalation of Dispute</v>
      </c>
      <c r="AB224" s="8" t="str">
        <f ca="1">IFERROR(__xludf.DUMMYFUNCTION("""COMPUTED_VALUE"""),"Spontaneous")</f>
        <v>Spontaneous</v>
      </c>
      <c r="AC224" s="8" t="str">
        <f ca="1">IFERROR(__xludf.DUMMYFUNCTION("""COMPUTED_VALUE"""),"Yes")</f>
        <v>Yes</v>
      </c>
      <c r="AD224" s="8" t="str">
        <f ca="1">IFERROR(__xludf.DUMMYFUNCTION("""COMPUTED_VALUE"""),"Victims Targeted")</f>
        <v>Victims Targeted</v>
      </c>
      <c r="AE224" s="8" t="str">
        <f ca="1">IFERROR(__xludf.DUMMYFUNCTION("""COMPUTED_VALUE"""),"Yes")</f>
        <v>Yes</v>
      </c>
      <c r="AF224" s="8" t="str">
        <f ca="1">IFERROR(__xludf.DUMMYFUNCTION("""COMPUTED_VALUE"""),"Shooter and driver")</f>
        <v>Shooter and driver</v>
      </c>
      <c r="AG224" s="8" t="str">
        <f ca="1">IFERROR(__xludf.DUMMYFUNCTION("""COMPUTED_VALUE"""),"No")</f>
        <v>No</v>
      </c>
      <c r="AH224" s="8" t="str">
        <f ca="1">IFERROR(__xludf.DUMMYFUNCTION("""COMPUTED_VALUE"""),"No")</f>
        <v>No</v>
      </c>
      <c r="AI224" s="8" t="str">
        <f ca="1">IFERROR(__xludf.DUMMYFUNCTION("""COMPUTED_VALUE"""),"No")</f>
        <v>No</v>
      </c>
      <c r="AJ224" s="8" t="str">
        <f ca="1">IFERROR(__xludf.DUMMYFUNCTION("""COMPUTED_VALUE"""),"No")</f>
        <v>No</v>
      </c>
      <c r="AK224" s="8" t="str">
        <f ca="1">IFERROR(__xludf.DUMMYFUNCTION("""COMPUTED_VALUE"""),"No")</f>
        <v>No</v>
      </c>
      <c r="AL224" s="8"/>
      <c r="AM224" s="8" t="str">
        <f ca="1">IFERROR(__xludf.DUMMYFUNCTION("""COMPUTED_VALUE"""),"No")</f>
        <v>No</v>
      </c>
      <c r="AN224" s="8" t="str">
        <f ca="1">IFERROR(__xludf.DUMMYFUNCTION("""COMPUTED_VALUE"""),"Outside")</f>
        <v>Outside</v>
      </c>
      <c r="AO224" s="8" t="str">
        <f ca="1">IFERROR(__xludf.DUMMYFUNCTION("""COMPUTED_VALUE"""),"No")</f>
        <v>No</v>
      </c>
      <c r="AP224" s="8"/>
      <c r="AQ224" s="8"/>
      <c r="AR224" s="8" t="str">
        <f ca="1">IFERROR(__xludf.DUMMYFUNCTION("""COMPUTED_VALUE"""),"Outside/Off-Property")</f>
        <v>Outside/Off-Property</v>
      </c>
      <c r="AS224" s="8">
        <f ca="1">IFERROR(__xludf.DUMMYFUNCTION("""COMPUTED_VALUE"""),8)</f>
        <v>8</v>
      </c>
      <c r="AT224" s="8" t="str">
        <f ca="1">IFERROR(__xludf.DUMMYFUNCTION("""COMPUTED_VALUE"""),"Yes")</f>
        <v>Yes</v>
      </c>
      <c r="AU224" s="8">
        <f ca="1">IFERROR(__xludf.DUMMYFUNCTION("""COMPUTED_VALUE"""),30.131074)</f>
        <v>30.131074000000002</v>
      </c>
      <c r="AV224" s="8">
        <f ca="1">IFERROR(__xludf.DUMMYFUNCTION("""COMPUTED_VALUE"""),-91.82556)</f>
        <v>-91.825559999999996</v>
      </c>
      <c r="AW224" s="8" t="str">
        <f ca="1">IFERROR(__xludf.DUMMYFUNCTION("""COMPUTED_VALUE"""),"Multiple detached buildings")</f>
        <v>Multiple detached buildings</v>
      </c>
      <c r="AX224" s="8">
        <f ca="1">IFERROR(__xludf.DUMMYFUNCTION("""COMPUTED_VALUE"""),70582)</f>
        <v>70582</v>
      </c>
    </row>
    <row r="225" spans="1:50" ht="270" x14ac:dyDescent="0.2">
      <c r="A225" s="8" t="str">
        <f ca="1">IFERROR(__xludf.DUMMYFUNCTION("""COMPUTED_VALUE"""),"20241024KSPHP")</f>
        <v>20241024KSPHP</v>
      </c>
      <c r="B225" s="8">
        <f ca="1">IFERROR(__xludf.DUMMYFUNCTION("""COMPUTED_VALUE"""),10)</f>
        <v>10</v>
      </c>
      <c r="C225" s="8">
        <f ca="1">IFERROR(__xludf.DUMMYFUNCTION("""COMPUTED_VALUE"""),24)</f>
        <v>24</v>
      </c>
      <c r="D225" s="8">
        <f ca="1">IFERROR(__xludf.DUMMYFUNCTION("""COMPUTED_VALUE"""),2024)</f>
        <v>2024</v>
      </c>
      <c r="E225" s="9">
        <f ca="1">IFERROR(__xludf.DUMMYFUNCTION("""COMPUTED_VALUE"""),45589)</f>
        <v>45589</v>
      </c>
      <c r="F225" s="8" t="str">
        <f ca="1">IFERROR(__xludf.DUMMYFUNCTION("""COMPUTED_VALUE"""),"Phillipsburg Middle School")</f>
        <v>Phillipsburg Middle School</v>
      </c>
      <c r="G225" s="8">
        <f ca="1">IFERROR(__xludf.DUMMYFUNCTION("""COMPUTED_VALUE"""),0)</f>
        <v>0</v>
      </c>
      <c r="H225" s="8">
        <f ca="1">IFERROR(__xludf.DUMMYFUNCTION("""COMPUTED_VALUE"""),0)</f>
        <v>0</v>
      </c>
      <c r="I225" s="8">
        <f ca="1">IFERROR(__xludf.DUMMYFUNCTION("""COMPUTED_VALUE"""),0)</f>
        <v>0</v>
      </c>
      <c r="J225" s="8">
        <f ca="1">IFERROR(__xludf.DUMMYFUNCTION("""COMPUTED_VALUE"""),0)</f>
        <v>0</v>
      </c>
      <c r="K225" s="8" t="str">
        <f ca="1">IFERROR(__xludf.DUMMYFUNCTION("""COMPUTED_VALUE"""),"https://www.ksn.com/news/crime/shots-fired-near-kansas-school-man-arrested/
https://greatbendpost.com/posts/d7d9aa5c-5589-46ed-86da-6ab9aaca4ab3")</f>
        <v>https://www.ksn.com/news/crime/shots-fired-near-kansas-school-man-arrested/
https://greatbendpost.com/posts/d7d9aa5c-5589-46ed-86da-6ab9aaca4ab3</v>
      </c>
      <c r="L225" s="8">
        <f ca="1">IFERROR(__xludf.DUMMYFUNCTION("""COMPUTED_VALUE"""),2)</f>
        <v>2</v>
      </c>
      <c r="M225" s="8" t="str">
        <f ca="1">IFERROR(__xludf.DUMMYFUNCTION("""COMPUTED_VALUE"""),"Local")</f>
        <v>Local</v>
      </c>
      <c r="N225" s="8">
        <f ca="1">IFERROR(__xludf.DUMMYFUNCTION("""COMPUTED_VALUE"""),3)</f>
        <v>3</v>
      </c>
      <c r="O225" s="8" t="str">
        <f ca="1">IFERROR(__xludf.DUMMYFUNCTION("""COMPUTED_VALUE"""),"Fall")</f>
        <v>Fall</v>
      </c>
      <c r="P225" s="8" t="str">
        <f ca="1">IFERROR(__xludf.DUMMYFUNCTION("""COMPUTED_VALUE"""),"Phillipsburg")</f>
        <v>Phillipsburg</v>
      </c>
      <c r="Q225" s="8" t="str">
        <f ca="1">IFERROR(__xludf.DUMMYFUNCTION("""COMPUTED_VALUE"""),"KS")</f>
        <v>KS</v>
      </c>
      <c r="R225" s="8" t="str">
        <f ca="1">IFERROR(__xludf.DUMMYFUNCTION("""COMPUTED_VALUE"""),"Middle")</f>
        <v>Middle</v>
      </c>
      <c r="S225" s="8" t="str">
        <f ca="1">IFERROR(__xludf.DUMMYFUNCTION("""COMPUTED_VALUE"""),"Front of School")</f>
        <v>Front of School</v>
      </c>
      <c r="T225" s="8" t="str">
        <f ca="1">IFERROR(__xludf.DUMMYFUNCTION("""COMPUTED_VALUE"""),"Outside on School Property")</f>
        <v>Outside on School Property</v>
      </c>
      <c r="U225" s="8" t="str">
        <f ca="1">IFERROR(__xludf.DUMMYFUNCTION("""COMPUTED_VALUE"""),"Yes")</f>
        <v>Yes</v>
      </c>
      <c r="V225" s="8" t="str">
        <f ca="1">IFERROR(__xludf.DUMMYFUNCTION("""COMPUTED_VALUE"""),"School Start")</f>
        <v>School Start</v>
      </c>
      <c r="W225" s="11">
        <f ca="1">IFERROR(__xludf.DUMMYFUNCTION("""COMPUTED_VALUE"""),0.333333333333333)</f>
        <v>0.33333333333333298</v>
      </c>
      <c r="X225" s="8">
        <f ca="1">IFERROR(__xludf.DUMMYFUNCTION("""COMPUTED_VALUE"""),1)</f>
        <v>1</v>
      </c>
      <c r="Y225" s="12" t="str">
        <f ca="1">IFERROR(__xludf.DUMMYFUNCTION("""COMPUTED_VALUE"""),"Man with pistol and AR-15 rifle fired shots into the air outside the school causing a lockdown")</f>
        <v>Man with pistol and AR-15 rifle fired shots into the air outside the school causing a lockdown</v>
      </c>
      <c r="Z225" s="12" t="str">
        <f ca="1">IFERROR(__xludf.DUMMYFUNCTION("""COMPUTED_VALUE"""),"Just before 8a.m. Thursday, the Phillips County Sheriff's Office received a call that there was an individual shooting a gun south of the middle school in Phillipsburg, according to a social media report from the sheriff. A deputy who was patrolling schoo"&amp;"l zones in Phillipsburg arrived shortly. The Deputy began shouting orders and then the individual dropped both weapons and laid them on the ground. From eyewitness statements it has been concluded that he fired two shots into the air with a 9mm Pistol, bu"&amp;"t also had an AR Rifle on his person as well, according to the sheriff's office. He was transported to Phillips County Jail where he is being mentally screened. There were multiple people in the area who helped get the kids to safety at the nearby school "&amp;"and others who attempted to control the situation. Sheriff Kyle Pinkerton said, “We should all be proud of how our community reacted, it was quick, and everyone prioritized the safety of our children, and also to the Deputies that responded and ran direct"&amp;"ly to the threat and ended it.""")</f>
        <v>Just before 8a.m. Thursday, the Phillips County Sheriff's Office received a call that there was an individual shooting a gun south of the middle school in Phillipsburg, according to a social media report from the sheriff. A deputy who was patrolling school zones in Phillipsburg arrived shortly. The Deputy began shouting orders and then the individual dropped both weapons and laid them on the ground. From eyewitness statements it has been concluded that he fired two shots into the air with a 9mm Pistol, but also had an AR Rifle on his person as well, according to the sheriff's office. He was transported to Phillips County Jail where he is being mentally screened. There were multiple people in the area who helped get the kids to safety at the nearby school and others who attempted to control the situation. Sheriff Kyle Pinkerton said, “We should all be proud of how our community reacted, it was quick, and everyone prioritized the safety of our children, and also to the Deputies that responded and ran directly to the threat and ended it."</v>
      </c>
      <c r="AA225" s="8"/>
      <c r="AB225" s="8"/>
      <c r="AC225" s="8" t="str">
        <f ca="1">IFERROR(__xludf.DUMMYFUNCTION("""COMPUTED_VALUE"""),"Yes")</f>
        <v>Yes</v>
      </c>
      <c r="AD225" s="8" t="str">
        <f ca="1">IFERROR(__xludf.DUMMYFUNCTION("""COMPUTED_VALUE"""),"Neither")</f>
        <v>Neither</v>
      </c>
      <c r="AE225" s="8" t="str">
        <f ca="1">IFERROR(__xludf.DUMMYFUNCTION("""COMPUTED_VALUE"""),"No")</f>
        <v>No</v>
      </c>
      <c r="AF225" s="8"/>
      <c r="AG225" s="8" t="str">
        <f ca="1">IFERROR(__xludf.DUMMYFUNCTION("""COMPUTED_VALUE"""),"No")</f>
        <v>No</v>
      </c>
      <c r="AH225" s="8" t="str">
        <f ca="1">IFERROR(__xludf.DUMMYFUNCTION("""COMPUTED_VALUE"""),"No")</f>
        <v>No</v>
      </c>
      <c r="AI225" s="8" t="str">
        <f ca="1">IFERROR(__xludf.DUMMYFUNCTION("""COMPUTED_VALUE"""),"No")</f>
        <v>No</v>
      </c>
      <c r="AJ225" s="8" t="str">
        <f ca="1">IFERROR(__xludf.DUMMYFUNCTION("""COMPUTED_VALUE"""),"No")</f>
        <v>No</v>
      </c>
      <c r="AK225" s="8" t="str">
        <f ca="1">IFERROR(__xludf.DUMMYFUNCTION("""COMPUTED_VALUE"""),"No")</f>
        <v>No</v>
      </c>
      <c r="AL225" s="8" t="str">
        <f ca="1">IFERROR(__xludf.DUMMYFUNCTION("""COMPUTED_VALUE"""),"No")</f>
        <v>No</v>
      </c>
      <c r="AM225" s="8" t="str">
        <f ca="1">IFERROR(__xludf.DUMMYFUNCTION("""COMPUTED_VALUE"""),"Yes")</f>
        <v>Yes</v>
      </c>
      <c r="AN225" s="8" t="str">
        <f ca="1">IFERROR(__xludf.DUMMYFUNCTION("""COMPUTED_VALUE"""),"Outside")</f>
        <v>Outside</v>
      </c>
      <c r="AO225" s="8" t="str">
        <f ca="1">IFERROR(__xludf.DUMMYFUNCTION("""COMPUTED_VALUE"""),"No")</f>
        <v>No</v>
      </c>
      <c r="AP225" s="8"/>
      <c r="AQ225" s="8"/>
      <c r="AR225" s="8" t="str">
        <f ca="1">IFERROR(__xludf.DUMMYFUNCTION("""COMPUTED_VALUE"""),"Outside/Off-Property")</f>
        <v>Outside/Off-Property</v>
      </c>
      <c r="AS225" s="8">
        <f ca="1">IFERROR(__xludf.DUMMYFUNCTION("""COMPUTED_VALUE"""),2)</f>
        <v>2</v>
      </c>
      <c r="AT225" s="8" t="str">
        <f ca="1">IFERROR(__xludf.DUMMYFUNCTION("""COMPUTED_VALUE"""),"Yes")</f>
        <v>Yes</v>
      </c>
      <c r="AU225" s="8">
        <f ca="1">IFERROR(__xludf.DUMMYFUNCTION("""COMPUTED_VALUE"""),39.755116)</f>
        <v>39.755116000000001</v>
      </c>
      <c r="AV225" s="8">
        <f ca="1">IFERROR(__xludf.DUMMYFUNCTION("""COMPUTED_VALUE"""),-99.32011)</f>
        <v>-99.32011</v>
      </c>
      <c r="AW225" s="8" t="str">
        <f ca="1">IFERROR(__xludf.DUMMYFUNCTION("""COMPUTED_VALUE"""),"Multiple detached buildings")</f>
        <v>Multiple detached buildings</v>
      </c>
      <c r="AX225" s="8">
        <f ca="1">IFERROR(__xludf.DUMMYFUNCTION("""COMPUTED_VALUE"""),67661)</f>
        <v>67661</v>
      </c>
    </row>
    <row r="226" spans="1:50" ht="150" x14ac:dyDescent="0.2">
      <c r="A226" s="8" t="str">
        <f ca="1">IFERROR(__xludf.DUMMYFUNCTION("""COMPUTED_VALUE"""),"20241023MSWEL")</f>
        <v>20241023MSWEL</v>
      </c>
      <c r="B226" s="8">
        <f ca="1">IFERROR(__xludf.DUMMYFUNCTION("""COMPUTED_VALUE"""),10)</f>
        <v>10</v>
      </c>
      <c r="C226" s="8">
        <f ca="1">IFERROR(__xludf.DUMMYFUNCTION("""COMPUTED_VALUE"""),23)</f>
        <v>23</v>
      </c>
      <c r="D226" s="8">
        <f ca="1">IFERROR(__xludf.DUMMYFUNCTION("""COMPUTED_VALUE"""),2024)</f>
        <v>2024</v>
      </c>
      <c r="E226" s="9">
        <f ca="1">IFERROR(__xludf.DUMMYFUNCTION("""COMPUTED_VALUE"""),45588)</f>
        <v>45588</v>
      </c>
      <c r="F226" s="8" t="str">
        <f ca="1">IFERROR(__xludf.DUMMYFUNCTION("""COMPUTED_VALUE"""),"West Jones Elementary School")</f>
        <v>West Jones Elementary School</v>
      </c>
      <c r="G226" s="8">
        <f ca="1">IFERROR(__xludf.DUMMYFUNCTION("""COMPUTED_VALUE"""),0)</f>
        <v>0</v>
      </c>
      <c r="H226" s="8">
        <f ca="1">IFERROR(__xludf.DUMMYFUNCTION("""COMPUTED_VALUE"""),0)</f>
        <v>0</v>
      </c>
      <c r="I226" s="8">
        <f ca="1">IFERROR(__xludf.DUMMYFUNCTION("""COMPUTED_VALUE"""),0)</f>
        <v>0</v>
      </c>
      <c r="J226" s="8">
        <f ca="1">IFERROR(__xludf.DUMMYFUNCTION("""COMPUTED_VALUE"""),0)</f>
        <v>0</v>
      </c>
      <c r="K226" s="10" t="str">
        <f ca="1">IFERROR(__xludf.DUMMYFUNCTION("""COMPUTED_VALUE"""),"https://www.wdam.com/2024/10/23/west-jones-elementary-incident-adds-unease-after-weekend-shooting-ensuing-alleged-threats/")</f>
        <v>https://www.wdam.com/2024/10/23/west-jones-elementary-incident-adds-unease-after-weekend-shooting-ensuing-alleged-threats/</v>
      </c>
      <c r="L226" s="8">
        <f ca="1">IFERROR(__xludf.DUMMYFUNCTION("""COMPUTED_VALUE"""),1)</f>
        <v>1</v>
      </c>
      <c r="M226" s="8" t="str">
        <f ca="1">IFERROR(__xludf.DUMMYFUNCTION("""COMPUTED_VALUE"""),"Local")</f>
        <v>Local</v>
      </c>
      <c r="N226" s="8">
        <f ca="1">IFERROR(__xludf.DUMMYFUNCTION("""COMPUTED_VALUE"""),3)</f>
        <v>3</v>
      </c>
      <c r="O226" s="8" t="str">
        <f ca="1">IFERROR(__xludf.DUMMYFUNCTION("""COMPUTED_VALUE"""),"Fall")</f>
        <v>Fall</v>
      </c>
      <c r="P226" s="8" t="str">
        <f ca="1">IFERROR(__xludf.DUMMYFUNCTION("""COMPUTED_VALUE"""),"Laurel")</f>
        <v>Laurel</v>
      </c>
      <c r="Q226" s="8" t="str">
        <f ca="1">IFERROR(__xludf.DUMMYFUNCTION("""COMPUTED_VALUE"""),"MS")</f>
        <v>MS</v>
      </c>
      <c r="R226" s="8" t="str">
        <f ca="1">IFERROR(__xludf.DUMMYFUNCTION("""COMPUTED_VALUE"""),"Elementary")</f>
        <v>Elementary</v>
      </c>
      <c r="S226" s="8" t="str">
        <f ca="1">IFERROR(__xludf.DUMMYFUNCTION("""COMPUTED_VALUE"""),"Beside Building")</f>
        <v>Beside Building</v>
      </c>
      <c r="T226" s="8" t="str">
        <f ca="1">IFERROR(__xludf.DUMMYFUNCTION("""COMPUTED_VALUE"""),"Outside on School Property")</f>
        <v>Outside on School Property</v>
      </c>
      <c r="U226" s="8" t="str">
        <f ca="1">IFERROR(__xludf.DUMMYFUNCTION("""COMPUTED_VALUE"""),"No")</f>
        <v>No</v>
      </c>
      <c r="V226" s="8" t="str">
        <f ca="1">IFERROR(__xludf.DUMMYFUNCTION("""COMPUTED_VALUE"""),"Night")</f>
        <v>Night</v>
      </c>
      <c r="W226" s="11">
        <f ca="1">IFERROR(__xludf.DUMMYFUNCTION("""COMPUTED_VALUE"""),0.0416666666666666)</f>
        <v>4.1666666666666602E-2</v>
      </c>
      <c r="X226" s="8">
        <f ca="1">IFERROR(__xludf.DUMMYFUNCTION("""COMPUTED_VALUE"""),1)</f>
        <v>1</v>
      </c>
      <c r="Y226" s="12" t="str">
        <f ca="1">IFERROR(__xludf.DUMMYFUNCTION("""COMPUTED_VALUE"""),"Teen with BB gun shot 3 security cameras and a window at the school")</f>
        <v>Teen with BB gun shot 3 security cameras and a window at the school</v>
      </c>
      <c r="Z226" s="12" t="str">
        <f ca="1">IFERROR(__xludf.DUMMYFUNCTION("""COMPUTED_VALUE"""),"Around 1 a.m. Wednesday, and that “a juvenile” was caught on security tape on a bicycle with a BB gun. “This wasn't a drive-by,” Graeser said. “This had nothing to do with what happened at the fairgrounds [where a student from the district was shot]. This"&amp;" was mischievous vandalism.” Graeser said the suspect had been identified. No students were on campus at the time of the incident and no injuries were reported. The lieutenant said that some administrators, teachers, and staff noticed the damage when they"&amp;" arrived at school for the day.")</f>
        <v>Around 1 a.m. Wednesday, and that “a juvenile” was caught on security tape on a bicycle with a BB gun. “This wasn't a drive-by,” Graeser said. “This had nothing to do with what happened at the fairgrounds [where a student from the district was shot]. This was mischievous vandalism.” Graeser said the suspect had been identified. No students were on campus at the time of the incident and no injuries were reported. The lieutenant said that some administrators, teachers, and staff noticed the damage when they arrived at school for the day.</v>
      </c>
      <c r="AA226" s="8" t="str">
        <f ca="1">IFERROR(__xludf.DUMMYFUNCTION("""COMPUTED_VALUE"""),"Intentional Property Damage")</f>
        <v>Intentional Property Damage</v>
      </c>
      <c r="AB226" s="8" t="str">
        <f ca="1">IFERROR(__xludf.DUMMYFUNCTION("""COMPUTED_VALUE"""),"Targeted")</f>
        <v>Targeted</v>
      </c>
      <c r="AC226" s="8" t="str">
        <f ca="1">IFERROR(__xludf.DUMMYFUNCTION("""COMPUTED_VALUE"""),"No")</f>
        <v>No</v>
      </c>
      <c r="AD226" s="8" t="str">
        <f ca="1">IFERROR(__xludf.DUMMYFUNCTION("""COMPUTED_VALUE"""),"Neither")</f>
        <v>Neither</v>
      </c>
      <c r="AE226" s="8" t="str">
        <f ca="1">IFERROR(__xludf.DUMMYFUNCTION("""COMPUTED_VALUE"""),"No")</f>
        <v>No</v>
      </c>
      <c r="AF226" s="8"/>
      <c r="AG226" s="8" t="str">
        <f ca="1">IFERROR(__xludf.DUMMYFUNCTION("""COMPUTED_VALUE"""),"No")</f>
        <v>No</v>
      </c>
      <c r="AH226" s="8" t="str">
        <f ca="1">IFERROR(__xludf.DUMMYFUNCTION("""COMPUTED_VALUE"""),"No")</f>
        <v>No</v>
      </c>
      <c r="AI226" s="8" t="str">
        <f ca="1">IFERROR(__xludf.DUMMYFUNCTION("""COMPUTED_VALUE"""),"No")</f>
        <v>No</v>
      </c>
      <c r="AJ226" s="8" t="str">
        <f ca="1">IFERROR(__xludf.DUMMYFUNCTION("""COMPUTED_VALUE"""),"No")</f>
        <v>No</v>
      </c>
      <c r="AK226" s="8" t="str">
        <f ca="1">IFERROR(__xludf.DUMMYFUNCTION("""COMPUTED_VALUE"""),"No")</f>
        <v>No</v>
      </c>
      <c r="AL226" s="8" t="str">
        <f ca="1">IFERROR(__xludf.DUMMYFUNCTION("""COMPUTED_VALUE"""),"No")</f>
        <v>No</v>
      </c>
      <c r="AM226" s="8" t="str">
        <f ca="1">IFERROR(__xludf.DUMMYFUNCTION("""COMPUTED_VALUE"""),"No")</f>
        <v>No</v>
      </c>
      <c r="AN226" s="8" t="str">
        <f ca="1">IFERROR(__xludf.DUMMYFUNCTION("""COMPUTED_VALUE"""),"Outside")</f>
        <v>Outside</v>
      </c>
      <c r="AO226" s="8" t="str">
        <f ca="1">IFERROR(__xludf.DUMMYFUNCTION("""COMPUTED_VALUE"""),"No")</f>
        <v>No</v>
      </c>
      <c r="AP226" s="8"/>
      <c r="AQ226" s="8"/>
      <c r="AR226" s="8" t="str">
        <f ca="1">IFERROR(__xludf.DUMMYFUNCTION("""COMPUTED_VALUE"""),"Outside/Off-Property")</f>
        <v>Outside/Off-Property</v>
      </c>
      <c r="AS226" s="8">
        <f ca="1">IFERROR(__xludf.DUMMYFUNCTION("""COMPUTED_VALUE"""),99)</f>
        <v>99</v>
      </c>
      <c r="AT226" s="8" t="str">
        <f ca="1">IFERROR(__xludf.DUMMYFUNCTION("""COMPUTED_VALUE"""),"No")</f>
        <v>No</v>
      </c>
      <c r="AU226" s="8">
        <f ca="1">IFERROR(__xludf.DUMMYFUNCTION("""COMPUTED_VALUE"""),31.684635)</f>
        <v>31.684635</v>
      </c>
      <c r="AV226" s="8">
        <f ca="1">IFERROR(__xludf.DUMMYFUNCTION("""COMPUTED_VALUE"""),-89.239392)</f>
        <v>-89.239391999999995</v>
      </c>
      <c r="AW226" s="8" t="str">
        <f ca="1">IFERROR(__xludf.DUMMYFUNCTION("""COMPUTED_VALUE"""),"Multiple detached buildings")</f>
        <v>Multiple detached buildings</v>
      </c>
      <c r="AX226" s="8">
        <f ca="1">IFERROR(__xludf.DUMMYFUNCTION("""COMPUTED_VALUE"""),39443)</f>
        <v>39443</v>
      </c>
    </row>
    <row r="227" spans="1:50" ht="180" x14ac:dyDescent="0.2">
      <c r="A227" s="8" t="str">
        <f ca="1">IFERROR(__xludf.DUMMYFUNCTION("""COMPUTED_VALUE"""),"20241022TNCOM")</f>
        <v>20241022TNCOM</v>
      </c>
      <c r="B227" s="8">
        <f ca="1">IFERROR(__xludf.DUMMYFUNCTION("""COMPUTED_VALUE"""),10)</f>
        <v>10</v>
      </c>
      <c r="C227" s="8">
        <f ca="1">IFERROR(__xludf.DUMMYFUNCTION("""COMPUTED_VALUE"""),22)</f>
        <v>22</v>
      </c>
      <c r="D227" s="8">
        <f ca="1">IFERROR(__xludf.DUMMYFUNCTION("""COMPUTED_VALUE"""),2024)</f>
        <v>2024</v>
      </c>
      <c r="E227" s="9">
        <f ca="1">IFERROR(__xludf.DUMMYFUNCTION("""COMPUTED_VALUE"""),45587)</f>
        <v>45587</v>
      </c>
      <c r="F227" s="8" t="str">
        <f ca="1">IFERROR(__xludf.DUMMYFUNCTION("""COMPUTED_VALUE"""),"Coleman Elementary School")</f>
        <v>Coleman Elementary School</v>
      </c>
      <c r="G227" s="8">
        <f ca="1">IFERROR(__xludf.DUMMYFUNCTION("""COMPUTED_VALUE"""),0)</f>
        <v>0</v>
      </c>
      <c r="H227" s="8">
        <f ca="1">IFERROR(__xludf.DUMMYFUNCTION("""COMPUTED_VALUE"""),1)</f>
        <v>1</v>
      </c>
      <c r="I227" s="8">
        <f ca="1">IFERROR(__xludf.DUMMYFUNCTION("""COMPUTED_VALUE"""),1)</f>
        <v>1</v>
      </c>
      <c r="J227" s="8">
        <f ca="1">IFERROR(__xludf.DUMMYFUNCTION("""COMPUTED_VALUE"""),0)</f>
        <v>0</v>
      </c>
      <c r="K227" s="8" t="str">
        <f ca="1">IFERROR(__xludf.DUMMYFUNCTION("""COMPUTED_VALUE"""),"https://www.fox13memphis.com/news/gunmen-in-cars-chase-down-man-shoot-him-near-elementary-school-mpd-says/article_8ed5fc0a-9144-11ef-b5b5-134035c00193.html
https://wreg.com/news/local/mpd-investigating-raleigh-shooting/")</f>
        <v>https://www.fox13memphis.com/news/gunmen-in-cars-chase-down-man-shoot-him-near-elementary-school-mpd-says/article_8ed5fc0a-9144-11ef-b5b5-134035c00193.html
https://wreg.com/news/local/mpd-investigating-raleigh-shooting/</v>
      </c>
      <c r="L227" s="8">
        <f ca="1">IFERROR(__xludf.DUMMYFUNCTION("""COMPUTED_VALUE"""),3)</f>
        <v>3</v>
      </c>
      <c r="M227" s="8" t="str">
        <f ca="1">IFERROR(__xludf.DUMMYFUNCTION("""COMPUTED_VALUE"""),"Local")</f>
        <v>Local</v>
      </c>
      <c r="N227" s="8">
        <f ca="1">IFERROR(__xludf.DUMMYFUNCTION("""COMPUTED_VALUE"""),4)</f>
        <v>4</v>
      </c>
      <c r="O227" s="8" t="str">
        <f ca="1">IFERROR(__xludf.DUMMYFUNCTION("""COMPUTED_VALUE"""),"Fall")</f>
        <v>Fall</v>
      </c>
      <c r="P227" s="8" t="str">
        <f ca="1">IFERROR(__xludf.DUMMYFUNCTION("""COMPUTED_VALUE"""),"Memphis")</f>
        <v>Memphis</v>
      </c>
      <c r="Q227" s="8" t="str">
        <f ca="1">IFERROR(__xludf.DUMMYFUNCTION("""COMPUTED_VALUE"""),"TN")</f>
        <v>TN</v>
      </c>
      <c r="R227" s="8" t="str">
        <f ca="1">IFERROR(__xludf.DUMMYFUNCTION("""COMPUTED_VALUE"""),"Elementary")</f>
        <v>Elementary</v>
      </c>
      <c r="S227" s="8" t="str">
        <f ca="1">IFERROR(__xludf.DUMMYFUNCTION("""COMPUTED_VALUE"""),"Front of School")</f>
        <v>Front of School</v>
      </c>
      <c r="T227" s="8" t="str">
        <f ca="1">IFERROR(__xludf.DUMMYFUNCTION("""COMPUTED_VALUE"""),"Outside on School Property")</f>
        <v>Outside on School Property</v>
      </c>
      <c r="U227" s="8" t="str">
        <f ca="1">IFERROR(__xludf.DUMMYFUNCTION("""COMPUTED_VALUE"""),"No")</f>
        <v>No</v>
      </c>
      <c r="V227" s="8" t="str">
        <f ca="1">IFERROR(__xludf.DUMMYFUNCTION("""COMPUTED_VALUE"""),"Night")</f>
        <v>Night</v>
      </c>
      <c r="W227" s="11">
        <f ca="1">IFERROR(__xludf.DUMMYFUNCTION("""COMPUTED_VALUE"""),0.979166666666666)</f>
        <v>0.97916666666666596</v>
      </c>
      <c r="X227" s="8">
        <f ca="1">IFERROR(__xludf.DUMMYFUNCTION("""COMPUTED_VALUE"""),1)</f>
        <v>1</v>
      </c>
      <c r="Y227" s="12" t="str">
        <f ca="1">IFERROR(__xludf.DUMMYFUNCTION("""COMPUTED_VALUE"""),"Man was shot in front of the school")</f>
        <v>Man was shot in front of the school</v>
      </c>
      <c r="Z227" s="12" t="str">
        <f ca="1">IFERROR(__xludf.DUMMYFUNCTION("""COMPUTED_VALUE"""),"According to MPD, officers responded to the shooting call on Tuesday night just before 11:30 p.m. at 3212 Raleigh Millington Road in front of Coleman Elementary. Upon arrival, they found a man lying on the sidewalk with a gunshot wound to his left buttock"&amp;"s. The victim told police that he was driving down Raleigh Millington Road when two cars pulled up and began shooting at his car. The victim was taken to Regional One Hospital in critical condition. A parent said the school did not inform the parents of t"&amp;"he shooting. “Good thing it was last night because this is where my three children go. If I would have known about it they would have not been at school today,” he said.")</f>
        <v>According to MPD, officers responded to the shooting call on Tuesday night just before 11:30 p.m. at 3212 Raleigh Millington Road in front of Coleman Elementary. Upon arrival, they found a man lying on the sidewalk with a gunshot wound to his left buttocks. The victim told police that he was driving down Raleigh Millington Road when two cars pulled up and began shooting at his car. The victim was taken to Regional One Hospital in critical condition. A parent said the school did not inform the parents of the shooting. “Good thing it was last night because this is where my three children go. If I would have known about it they would have not been at school today,” he said.</v>
      </c>
      <c r="AA227" s="8" t="str">
        <f ca="1">IFERROR(__xludf.DUMMYFUNCTION("""COMPUTED_VALUE"""),"Drive-by Shooting")</f>
        <v>Drive-by Shooting</v>
      </c>
      <c r="AB227" s="8" t="str">
        <f ca="1">IFERROR(__xludf.DUMMYFUNCTION("""COMPUTED_VALUE"""),"Targeted")</f>
        <v>Targeted</v>
      </c>
      <c r="AC227" s="8" t="str">
        <f ca="1">IFERROR(__xludf.DUMMYFUNCTION("""COMPUTED_VALUE"""),"No")</f>
        <v>No</v>
      </c>
      <c r="AD227" s="8" t="str">
        <f ca="1">IFERROR(__xludf.DUMMYFUNCTION("""COMPUTED_VALUE"""),"Victims Targeted")</f>
        <v>Victims Targeted</v>
      </c>
      <c r="AE227" s="8" t="str">
        <f ca="1">IFERROR(__xludf.DUMMYFUNCTION("""COMPUTED_VALUE"""),"Yes")</f>
        <v>Yes</v>
      </c>
      <c r="AF227" s="8" t="str">
        <f ca="1">IFERROR(__xludf.DUMMYFUNCTION("""COMPUTED_VALUE"""),"People in two cars fired shots at the victim")</f>
        <v>People in two cars fired shots at the victim</v>
      </c>
      <c r="AG227" s="8" t="str">
        <f ca="1">IFERROR(__xludf.DUMMYFUNCTION("""COMPUTED_VALUE"""),"No")</f>
        <v>No</v>
      </c>
      <c r="AH227" s="8" t="str">
        <f ca="1">IFERROR(__xludf.DUMMYFUNCTION("""COMPUTED_VALUE"""),"No")</f>
        <v>No</v>
      </c>
      <c r="AI227" s="8" t="str">
        <f ca="1">IFERROR(__xludf.DUMMYFUNCTION("""COMPUTED_VALUE"""),"No")</f>
        <v>No</v>
      </c>
      <c r="AJ227" s="8" t="str">
        <f ca="1">IFERROR(__xludf.DUMMYFUNCTION("""COMPUTED_VALUE"""),"No")</f>
        <v>No</v>
      </c>
      <c r="AK227" s="8" t="str">
        <f ca="1">IFERROR(__xludf.DUMMYFUNCTION("""COMPUTED_VALUE"""),"No")</f>
        <v>No</v>
      </c>
      <c r="AL227" s="8"/>
      <c r="AM227" s="8" t="str">
        <f ca="1">IFERROR(__xludf.DUMMYFUNCTION("""COMPUTED_VALUE"""),"No")</f>
        <v>No</v>
      </c>
      <c r="AN227" s="8" t="str">
        <f ca="1">IFERROR(__xludf.DUMMYFUNCTION("""COMPUTED_VALUE"""),"Outside")</f>
        <v>Outside</v>
      </c>
      <c r="AO227" s="8" t="str">
        <f ca="1">IFERROR(__xludf.DUMMYFUNCTION("""COMPUTED_VALUE"""),"No")</f>
        <v>No</v>
      </c>
      <c r="AP227" s="8"/>
      <c r="AQ227" s="8"/>
      <c r="AR227" s="8" t="str">
        <f ca="1">IFERROR(__xludf.DUMMYFUNCTION("""COMPUTED_VALUE"""),"Outside/Off-Property")</f>
        <v>Outside/Off-Property</v>
      </c>
      <c r="AS227" s="8">
        <f ca="1">IFERROR(__xludf.DUMMYFUNCTION("""COMPUTED_VALUE"""),99)</f>
        <v>99</v>
      </c>
      <c r="AT227" s="8" t="str">
        <f ca="1">IFERROR(__xludf.DUMMYFUNCTION("""COMPUTED_VALUE"""),"No")</f>
        <v>No</v>
      </c>
      <c r="AU227" s="8">
        <f ca="1">IFERROR(__xludf.DUMMYFUNCTION("""COMPUTED_VALUE"""),35.21365)</f>
        <v>35.213650000000001</v>
      </c>
      <c r="AV227" s="8">
        <f ca="1">IFERROR(__xludf.DUMMYFUNCTION("""COMPUTED_VALUE"""),-89.924485)</f>
        <v>-89.924485000000004</v>
      </c>
      <c r="AW227" s="8" t="str">
        <f ca="1">IFERROR(__xludf.DUMMYFUNCTION("""COMPUTED_VALUE"""),"Single building indoor hallway")</f>
        <v>Single building indoor hallway</v>
      </c>
      <c r="AX227" s="8">
        <f ca="1">IFERROR(__xludf.DUMMYFUNCTION("""COMPUTED_VALUE"""),38128)</f>
        <v>38128</v>
      </c>
    </row>
    <row r="228" spans="1:50" ht="60" x14ac:dyDescent="0.2">
      <c r="A228" s="8" t="str">
        <f ca="1">IFERROR(__xludf.DUMMYFUNCTION("""COMPUTED_VALUE"""),"20241022OKREN")</f>
        <v>20241022OKREN</v>
      </c>
      <c r="B228" s="8">
        <f ca="1">IFERROR(__xludf.DUMMYFUNCTION("""COMPUTED_VALUE"""),10)</f>
        <v>10</v>
      </c>
      <c r="C228" s="8">
        <f ca="1">IFERROR(__xludf.DUMMYFUNCTION("""COMPUTED_VALUE"""),22)</f>
        <v>22</v>
      </c>
      <c r="D228" s="8">
        <f ca="1">IFERROR(__xludf.DUMMYFUNCTION("""COMPUTED_VALUE"""),2024)</f>
        <v>2024</v>
      </c>
      <c r="E228" s="9">
        <f ca="1">IFERROR(__xludf.DUMMYFUNCTION("""COMPUTED_VALUE"""),45587)</f>
        <v>45587</v>
      </c>
      <c r="F228" s="8" t="str">
        <f ca="1">IFERROR(__xludf.DUMMYFUNCTION("""COMPUTED_VALUE"""),"Reagan Elementary School")</f>
        <v>Reagan Elementary School</v>
      </c>
      <c r="G228" s="8">
        <f ca="1">IFERROR(__xludf.DUMMYFUNCTION("""COMPUTED_VALUE"""),0)</f>
        <v>0</v>
      </c>
      <c r="H228" s="8">
        <f ca="1">IFERROR(__xludf.DUMMYFUNCTION("""COMPUTED_VALUE"""),1)</f>
        <v>1</v>
      </c>
      <c r="I228" s="8">
        <f ca="1">IFERROR(__xludf.DUMMYFUNCTION("""COMPUTED_VALUE"""),1)</f>
        <v>1</v>
      </c>
      <c r="J228" s="8">
        <f ca="1">IFERROR(__xludf.DUMMYFUNCTION("""COMPUTED_VALUE"""),0)</f>
        <v>0</v>
      </c>
      <c r="K228" s="8" t="str">
        <f ca="1">IFERROR(__xludf.DUMMYFUNCTION("""COMPUTED_VALUE"""),"https://kfor.com/news/local/norman-community-on-high-alert-after-shooting-near-reagan-elementary-school/
https://www.koco.com/article/police-search-for-suspect-after-reported-shooting-in-norman/62687223")</f>
        <v>https://kfor.com/news/local/norman-community-on-high-alert-after-shooting-near-reagan-elementary-school/
https://www.koco.com/article/police-search-for-suspect-after-reported-shooting-in-norman/62687223</v>
      </c>
      <c r="L228" s="8">
        <f ca="1">IFERROR(__xludf.DUMMYFUNCTION("""COMPUTED_VALUE"""),10)</f>
        <v>10</v>
      </c>
      <c r="M228" s="8" t="str">
        <f ca="1">IFERROR(__xludf.DUMMYFUNCTION("""COMPUTED_VALUE"""),"Regional")</f>
        <v>Regional</v>
      </c>
      <c r="N228" s="8">
        <f ca="1">IFERROR(__xludf.DUMMYFUNCTION("""COMPUTED_VALUE"""),4)</f>
        <v>4</v>
      </c>
      <c r="O228" s="8" t="str">
        <f ca="1">IFERROR(__xludf.DUMMYFUNCTION("""COMPUTED_VALUE"""),"Fall")</f>
        <v>Fall</v>
      </c>
      <c r="P228" s="8" t="str">
        <f ca="1">IFERROR(__xludf.DUMMYFUNCTION("""COMPUTED_VALUE"""),"Norman")</f>
        <v>Norman</v>
      </c>
      <c r="Q228" s="8" t="str">
        <f ca="1">IFERROR(__xludf.DUMMYFUNCTION("""COMPUTED_VALUE"""),"OK")</f>
        <v>OK</v>
      </c>
      <c r="R228" s="8" t="str">
        <f ca="1">IFERROR(__xludf.DUMMYFUNCTION("""COMPUTED_VALUE"""),"Elementary")</f>
        <v>Elementary</v>
      </c>
      <c r="S228" s="8" t="str">
        <f ca="1">IFERROR(__xludf.DUMMYFUNCTION("""COMPUTED_VALUE"""),"Playground")</f>
        <v>Playground</v>
      </c>
      <c r="T228" s="8" t="str">
        <f ca="1">IFERROR(__xludf.DUMMYFUNCTION("""COMPUTED_VALUE"""),"Outside on School Property")</f>
        <v>Outside on School Property</v>
      </c>
      <c r="U228" s="8" t="str">
        <f ca="1">IFERROR(__xludf.DUMMYFUNCTION("""COMPUTED_VALUE"""),"No")</f>
        <v>No</v>
      </c>
      <c r="V228" s="8" t="str">
        <f ca="1">IFERROR(__xludf.DUMMYFUNCTION("""COMPUTED_VALUE"""),"Evening")</f>
        <v>Evening</v>
      </c>
      <c r="W228" s="11">
        <f ca="1">IFERROR(__xludf.DUMMYFUNCTION("""COMPUTED_VALUE"""),0.810416666666666)</f>
        <v>0.81041666666666601</v>
      </c>
      <c r="X228" s="8">
        <f ca="1">IFERROR(__xludf.DUMMYFUNCTION("""COMPUTED_VALUE"""),1)</f>
        <v>1</v>
      </c>
      <c r="Y228" s="12" t="str">
        <f ca="1">IFERROR(__xludf.DUMMYFUNCTION("""COMPUTED_VALUE"""),"Teenage boy shot a teenage girl on the school playground during a dispute")</f>
        <v>Teenage boy shot a teenage girl on the school playground during a dispute</v>
      </c>
      <c r="Z228" s="12" t="str">
        <f ca="1">IFERROR(__xludf.DUMMYFUNCTION("""COMPUTED_VALUE"""),"15-year-old male shot a 15-year-old female on the school playground during a dispute. The boy fled and was arrested away from the school. The girl was transported to a hospital.")</f>
        <v>15-year-old male shot a 15-year-old female on the school playground during a dispute. The boy fled and was arrested away from the school. The girl was transported to a hospital.</v>
      </c>
      <c r="AA228" s="8" t="str">
        <f ca="1">IFERROR(__xludf.DUMMYFUNCTION("""COMPUTED_VALUE"""),"Escalation of Dispute")</f>
        <v>Escalation of Dispute</v>
      </c>
      <c r="AB228" s="8" t="str">
        <f ca="1">IFERROR(__xludf.DUMMYFUNCTION("""COMPUTED_VALUE"""),"Spontaneous")</f>
        <v>Spontaneous</v>
      </c>
      <c r="AC228" s="8" t="str">
        <f ca="1">IFERROR(__xludf.DUMMYFUNCTION("""COMPUTED_VALUE"""),"No")</f>
        <v>No</v>
      </c>
      <c r="AD228" s="8" t="str">
        <f ca="1">IFERROR(__xludf.DUMMYFUNCTION("""COMPUTED_VALUE"""),"Victims Targeted")</f>
        <v>Victims Targeted</v>
      </c>
      <c r="AE228" s="8" t="str">
        <f ca="1">IFERROR(__xludf.DUMMYFUNCTION("""COMPUTED_VALUE"""),"No")</f>
        <v>No</v>
      </c>
      <c r="AF228" s="8"/>
      <c r="AG228" s="8" t="str">
        <f ca="1">IFERROR(__xludf.DUMMYFUNCTION("""COMPUTED_VALUE"""),"No")</f>
        <v>No</v>
      </c>
      <c r="AH228" s="8" t="str">
        <f ca="1">IFERROR(__xludf.DUMMYFUNCTION("""COMPUTED_VALUE"""),"No")</f>
        <v>No</v>
      </c>
      <c r="AI228" s="8" t="str">
        <f ca="1">IFERROR(__xludf.DUMMYFUNCTION("""COMPUTED_VALUE"""),"No")</f>
        <v>No</v>
      </c>
      <c r="AJ228" s="8" t="str">
        <f ca="1">IFERROR(__xludf.DUMMYFUNCTION("""COMPUTED_VALUE"""),"No")</f>
        <v>No</v>
      </c>
      <c r="AK228" s="8"/>
      <c r="AL228" s="8" t="str">
        <f ca="1">IFERROR(__xludf.DUMMYFUNCTION("""COMPUTED_VALUE"""),"No")</f>
        <v>No</v>
      </c>
      <c r="AM228" s="8" t="str">
        <f ca="1">IFERROR(__xludf.DUMMYFUNCTION("""COMPUTED_VALUE"""),"No")</f>
        <v>No</v>
      </c>
      <c r="AN228" s="8" t="str">
        <f ca="1">IFERROR(__xludf.DUMMYFUNCTION("""COMPUTED_VALUE"""),"Outside")</f>
        <v>Outside</v>
      </c>
      <c r="AO228" s="8" t="str">
        <f ca="1">IFERROR(__xludf.DUMMYFUNCTION("""COMPUTED_VALUE"""),"No")</f>
        <v>No</v>
      </c>
      <c r="AP228" s="8"/>
      <c r="AQ228" s="8"/>
      <c r="AR228" s="8" t="str">
        <f ca="1">IFERROR(__xludf.DUMMYFUNCTION("""COMPUTED_VALUE"""),"Outside/Off-Property")</f>
        <v>Outside/Off-Property</v>
      </c>
      <c r="AS228" s="8">
        <f ca="1">IFERROR(__xludf.DUMMYFUNCTION("""COMPUTED_VALUE"""),99)</f>
        <v>99</v>
      </c>
      <c r="AT228" s="8" t="str">
        <f ca="1">IFERROR(__xludf.DUMMYFUNCTION("""COMPUTED_VALUE"""),"No")</f>
        <v>No</v>
      </c>
      <c r="AU228" s="8">
        <f ca="1">IFERROR(__xludf.DUMMYFUNCTION("""COMPUTED_VALUE"""),35.198639)</f>
        <v>35.198639</v>
      </c>
      <c r="AV228" s="8">
        <f ca="1">IFERROR(__xludf.DUMMYFUNCTION("""COMPUTED_VALUE"""),-97.40536)</f>
        <v>-97.405360000000002</v>
      </c>
      <c r="AW228" s="8" t="str">
        <f ca="1">IFERROR(__xludf.DUMMYFUNCTION("""COMPUTED_VALUE"""),"Multiple attached buildings")</f>
        <v>Multiple attached buildings</v>
      </c>
      <c r="AX228" s="8">
        <f ca="1">IFERROR(__xludf.DUMMYFUNCTION("""COMPUTED_VALUE"""),73071)</f>
        <v>73071</v>
      </c>
    </row>
    <row r="229" spans="1:50" ht="165" x14ac:dyDescent="0.2">
      <c r="A229" s="8" t="str">
        <f ca="1">IFERROR(__xludf.DUMMYFUNCTION("""COMPUTED_VALUE"""),"20241022SCMCG")</f>
        <v>20241022SCMCG</v>
      </c>
      <c r="B229" s="8">
        <f ca="1">IFERROR(__xludf.DUMMYFUNCTION("""COMPUTED_VALUE"""),10)</f>
        <v>10</v>
      </c>
      <c r="C229" s="8">
        <f ca="1">IFERROR(__xludf.DUMMYFUNCTION("""COMPUTED_VALUE"""),22)</f>
        <v>22</v>
      </c>
      <c r="D229" s="8">
        <f ca="1">IFERROR(__xludf.DUMMYFUNCTION("""COMPUTED_VALUE"""),2024)</f>
        <v>2024</v>
      </c>
      <c r="E229" s="9">
        <f ca="1">IFERROR(__xludf.DUMMYFUNCTION("""COMPUTED_VALUE"""),45587)</f>
        <v>45587</v>
      </c>
      <c r="F229" s="8" t="str">
        <f ca="1">IFERROR(__xludf.DUMMYFUNCTION("""COMPUTED_VALUE"""),"McDonald Elementary School")</f>
        <v>McDonald Elementary School</v>
      </c>
      <c r="G229" s="8">
        <f ca="1">IFERROR(__xludf.DUMMYFUNCTION("""COMPUTED_VALUE"""),0)</f>
        <v>0</v>
      </c>
      <c r="H229" s="8">
        <f ca="1">IFERROR(__xludf.DUMMYFUNCTION("""COMPUTED_VALUE"""),0)</f>
        <v>0</v>
      </c>
      <c r="I229" s="8">
        <f ca="1">IFERROR(__xludf.DUMMYFUNCTION("""COMPUTED_VALUE"""),0)</f>
        <v>0</v>
      </c>
      <c r="J229" s="8">
        <f ca="1">IFERROR(__xludf.DUMMYFUNCTION("""COMPUTED_VALUE"""),0)</f>
        <v>0</v>
      </c>
      <c r="K229" s="8" t="str">
        <f ca="1">IFERROR(__xludf.DUMMYFUNCTION("""COMPUTED_VALUE"""),"https://www.postandcourier.com/myrtle-beach/news/shots-fired-georgetown-county-sheriff-lockdown-arrest-sc/article_0dc4c340-9076-11ef-a9d0-cfe551f99430.html
https://wpde.com/news/local/suspect-in-custody-after-shots-fired-near-georgetown-co-elementary-scho"&amp;"ol-mcdonald-k9-team-gun-violence-shooting-firearm-students-normal-operations-detained-investigation
https://www.wmbfnews.com/2024/10/22/deputies-investigating-shots-fired-near-georgetown-county-elementary-school/")</f>
        <v>https://www.postandcourier.com/myrtle-beach/news/shots-fired-georgetown-county-sheriff-lockdown-arrest-sc/article_0dc4c340-9076-11ef-a9d0-cfe551f99430.html
https://wpde.com/news/local/suspect-in-custody-after-shots-fired-near-georgetown-co-elementary-school-mcdonald-k9-team-gun-violence-shooting-firearm-students-normal-operations-detained-investigation
https://www.wmbfnews.com/2024/10/22/deputies-investigating-shots-fired-near-georgetown-county-elementary-school/</v>
      </c>
      <c r="L229" s="8">
        <f ca="1">IFERROR(__xludf.DUMMYFUNCTION("""COMPUTED_VALUE"""),10)</f>
        <v>10</v>
      </c>
      <c r="M229" s="8" t="str">
        <f ca="1">IFERROR(__xludf.DUMMYFUNCTION("""COMPUTED_VALUE"""),"Regional")</f>
        <v>Regional</v>
      </c>
      <c r="N229" s="8">
        <f ca="1">IFERROR(__xludf.DUMMYFUNCTION("""COMPUTED_VALUE"""),4)</f>
        <v>4</v>
      </c>
      <c r="O229" s="8" t="str">
        <f ca="1">IFERROR(__xludf.DUMMYFUNCTION("""COMPUTED_VALUE"""),"Fall")</f>
        <v>Fall</v>
      </c>
      <c r="P229" s="8" t="str">
        <f ca="1">IFERROR(__xludf.DUMMYFUNCTION("""COMPUTED_VALUE"""),"Georgetown")</f>
        <v>Georgetown</v>
      </c>
      <c r="Q229" s="8" t="str">
        <f ca="1">IFERROR(__xludf.DUMMYFUNCTION("""COMPUTED_VALUE"""),"SC")</f>
        <v>SC</v>
      </c>
      <c r="R229" s="8" t="str">
        <f ca="1">IFERROR(__xludf.DUMMYFUNCTION("""COMPUTED_VALUE"""),"Elementary")</f>
        <v>Elementary</v>
      </c>
      <c r="S229" s="8" t="str">
        <f ca="1">IFERROR(__xludf.DUMMYFUNCTION("""COMPUTED_VALUE"""),"Outside on School Property")</f>
        <v>Outside on School Property</v>
      </c>
      <c r="T229" s="8" t="str">
        <f ca="1">IFERROR(__xludf.DUMMYFUNCTION("""COMPUTED_VALUE"""),"Outside on School Property")</f>
        <v>Outside on School Property</v>
      </c>
      <c r="U229" s="8" t="str">
        <f ca="1">IFERROR(__xludf.DUMMYFUNCTION("""COMPUTED_VALUE"""),"Yes")</f>
        <v>Yes</v>
      </c>
      <c r="V229" s="8" t="str">
        <f ca="1">IFERROR(__xludf.DUMMYFUNCTION("""COMPUTED_VALUE"""),"Morning Classes")</f>
        <v>Morning Classes</v>
      </c>
      <c r="W229" s="11">
        <f ca="1">IFERROR(__xludf.DUMMYFUNCTION("""COMPUTED_VALUE"""),0.375)</f>
        <v>0.375</v>
      </c>
      <c r="X229" s="8">
        <f ca="1">IFERROR(__xludf.DUMMYFUNCTION("""COMPUTED_VALUE"""),1)</f>
        <v>1</v>
      </c>
      <c r="Y229" s="12" t="str">
        <f ca="1">IFERROR(__xludf.DUMMYFUNCTION("""COMPUTED_VALUE"""),"Teen fired shots, ditched his gun on school property, and refused to leave the campus when police arrived")</f>
        <v>Teen fired shots, ditched his gun on school property, and refused to leave the campus when police arrived</v>
      </c>
      <c r="Z229" s="12" t="str">
        <f ca="1">IFERROR(__xludf.DUMMYFUNCTION("""COMPUTED_VALUE"""),"A suspect is in custody after shots were reportedly fired near McDonald Elementary School in Georgetown County Tuesday morning. According to the Georgetown County Sheriff's Office, the suspect admitted to having a firearm but said he threw it somewhere on"&amp;" school property. Several units, including a K-9 team, searched for the gun. The suspect is detained at the Georgetown County Detention Center. McDonald School is on lockout status but the school is admitting students and normal operations are continuing."&amp;" Suspected charged with disturbing school grounds and resisting arrest.")</f>
        <v>A suspect is in custody after shots were reportedly fired near McDonald Elementary School in Georgetown County Tuesday morning. According to the Georgetown County Sheriff's Office, the suspect admitted to having a firearm but said he threw it somewhere on school property. Several units, including a K-9 team, searched for the gun. The suspect is detained at the Georgetown County Detention Center. McDonald School is on lockout status but the school is admitting students and normal operations are continuing. Suspected charged with disturbing school grounds and resisting arrest.</v>
      </c>
      <c r="AA229" s="8"/>
      <c r="AB229" s="8" t="str">
        <f ca="1">IFERROR(__xludf.DUMMYFUNCTION("""COMPUTED_VALUE"""),"Spontaneous")</f>
        <v>Spontaneous</v>
      </c>
      <c r="AC229" s="8" t="str">
        <f ca="1">IFERROR(__xludf.DUMMYFUNCTION("""COMPUTED_VALUE"""),"Yes")</f>
        <v>Yes</v>
      </c>
      <c r="AD229" s="8" t="str">
        <f ca="1">IFERROR(__xludf.DUMMYFUNCTION("""COMPUTED_VALUE"""),"Random Shooting")</f>
        <v>Random Shooting</v>
      </c>
      <c r="AE229" s="8" t="str">
        <f ca="1">IFERROR(__xludf.DUMMYFUNCTION("""COMPUTED_VALUE"""),"No")</f>
        <v>No</v>
      </c>
      <c r="AF229" s="8"/>
      <c r="AG229" s="8" t="str">
        <f ca="1">IFERROR(__xludf.DUMMYFUNCTION("""COMPUTED_VALUE"""),"No")</f>
        <v>No</v>
      </c>
      <c r="AH229" s="8" t="str">
        <f ca="1">IFERROR(__xludf.DUMMYFUNCTION("""COMPUTED_VALUE"""),"No")</f>
        <v>No</v>
      </c>
      <c r="AI229" s="8" t="str">
        <f ca="1">IFERROR(__xludf.DUMMYFUNCTION("""COMPUTED_VALUE"""),"No")</f>
        <v>No</v>
      </c>
      <c r="AJ229" s="8" t="str">
        <f ca="1">IFERROR(__xludf.DUMMYFUNCTION("""COMPUTED_VALUE"""),"No")</f>
        <v>No</v>
      </c>
      <c r="AK229" s="8" t="str">
        <f ca="1">IFERROR(__xludf.DUMMYFUNCTION("""COMPUTED_VALUE"""),"No")</f>
        <v>No</v>
      </c>
      <c r="AL229" s="8" t="str">
        <f ca="1">IFERROR(__xludf.DUMMYFUNCTION("""COMPUTED_VALUE"""),"No")</f>
        <v>No</v>
      </c>
      <c r="AM229" s="8" t="str">
        <f ca="1">IFERROR(__xludf.DUMMYFUNCTION("""COMPUTED_VALUE"""),"No")</f>
        <v>No</v>
      </c>
      <c r="AN229" s="8" t="str">
        <f ca="1">IFERROR(__xludf.DUMMYFUNCTION("""COMPUTED_VALUE"""),"Outside")</f>
        <v>Outside</v>
      </c>
      <c r="AO229" s="8" t="str">
        <f ca="1">IFERROR(__xludf.DUMMYFUNCTION("""COMPUTED_VALUE"""),"No")</f>
        <v>No</v>
      </c>
      <c r="AP229" s="8"/>
      <c r="AQ229" s="8"/>
      <c r="AR229" s="8" t="str">
        <f ca="1">IFERROR(__xludf.DUMMYFUNCTION("""COMPUTED_VALUE"""),"Outside/Off-Property")</f>
        <v>Outside/Off-Property</v>
      </c>
      <c r="AS229" s="8">
        <f ca="1">IFERROR(__xludf.DUMMYFUNCTION("""COMPUTED_VALUE"""),99)</f>
        <v>99</v>
      </c>
      <c r="AT229" s="8" t="str">
        <f ca="1">IFERROR(__xludf.DUMMYFUNCTION("""COMPUTED_VALUE"""),"Yes")</f>
        <v>Yes</v>
      </c>
      <c r="AU229" s="8">
        <f ca="1">IFERROR(__xludf.DUMMYFUNCTION("""COMPUTED_VALUE"""),33.396098)</f>
        <v>33.396098000000002</v>
      </c>
      <c r="AV229" s="8">
        <f ca="1">IFERROR(__xludf.DUMMYFUNCTION("""COMPUTED_VALUE"""),-79.31894)</f>
        <v>-79.318939999999998</v>
      </c>
      <c r="AW229" s="8" t="str">
        <f ca="1">IFERROR(__xludf.DUMMYFUNCTION("""COMPUTED_VALUE"""),"Multiple attached buildings")</f>
        <v>Multiple attached buildings</v>
      </c>
      <c r="AX229" s="8">
        <f ca="1">IFERROR(__xludf.DUMMYFUNCTION("""COMPUTED_VALUE"""),29440)</f>
        <v>29440</v>
      </c>
    </row>
    <row r="230" spans="1:50" ht="165" x14ac:dyDescent="0.2">
      <c r="A230" s="8" t="str">
        <f ca="1">IFERROR(__xludf.DUMMYFUNCTION("""COMPUTED_VALUE"""),"20241022OHEAC")</f>
        <v>20241022OHEAC</v>
      </c>
      <c r="B230" s="8">
        <f ca="1">IFERROR(__xludf.DUMMYFUNCTION("""COMPUTED_VALUE"""),10)</f>
        <v>10</v>
      </c>
      <c r="C230" s="8">
        <f ca="1">IFERROR(__xludf.DUMMYFUNCTION("""COMPUTED_VALUE"""),22)</f>
        <v>22</v>
      </c>
      <c r="D230" s="8">
        <f ca="1">IFERROR(__xludf.DUMMYFUNCTION("""COMPUTED_VALUE"""),2024)</f>
        <v>2024</v>
      </c>
      <c r="E230" s="9">
        <f ca="1">IFERROR(__xludf.DUMMYFUNCTION("""COMPUTED_VALUE"""),45587)</f>
        <v>45587</v>
      </c>
      <c r="F230" s="8" t="str">
        <f ca="1">IFERROR(__xludf.DUMMYFUNCTION("""COMPUTED_VALUE"""),"East Tech High School")</f>
        <v>East Tech High School</v>
      </c>
      <c r="G230" s="8">
        <f ca="1">IFERROR(__xludf.DUMMYFUNCTION("""COMPUTED_VALUE"""),0)</f>
        <v>0</v>
      </c>
      <c r="H230" s="8">
        <f ca="1">IFERROR(__xludf.DUMMYFUNCTION("""COMPUTED_VALUE"""),0)</f>
        <v>0</v>
      </c>
      <c r="I230" s="8">
        <f ca="1">IFERROR(__xludf.DUMMYFUNCTION("""COMPUTED_VALUE"""),0)</f>
        <v>0</v>
      </c>
      <c r="J230" s="8">
        <f ca="1">IFERROR(__xludf.DUMMYFUNCTION("""COMPUTED_VALUE"""),0)</f>
        <v>0</v>
      </c>
      <c r="K230" s="8" t="str">
        <f ca="1">IFERROR(__xludf.DUMMYFUNCTION("""COMPUTED_VALUE"""),"https://www.wkyc.com/article/news/local/cleveland/lockdown-lifted-cleveland-east-tech-high-school-student-allegedly-fires-gun-dismissal/95-6ace8794-5fd1-4bde-b895-260bdb3d5fc2
https://www.yahoo.com/news/gunshot-fired-amid-dismissal-east-215434689.html?fr="&amp;"sycsrp_catchall
https://www.cleveland19.com/2024/10/22/shot-fired-east-tech-high-school/")</f>
        <v>https://www.wkyc.com/article/news/local/cleveland/lockdown-lifted-cleveland-east-tech-high-school-student-allegedly-fires-gun-dismissal/95-6ace8794-5fd1-4bde-b895-260bdb3d5fc2
https://www.yahoo.com/news/gunshot-fired-amid-dismissal-east-215434689.html?fr=sycsrp_catchall
https://www.cleveland19.com/2024/10/22/shot-fired-east-tech-high-school/</v>
      </c>
      <c r="L230" s="8">
        <f ca="1">IFERROR(__xludf.DUMMYFUNCTION("""COMPUTED_VALUE"""),3)</f>
        <v>3</v>
      </c>
      <c r="M230" s="8" t="str">
        <f ca="1">IFERROR(__xludf.DUMMYFUNCTION("""COMPUTED_VALUE"""),"Local")</f>
        <v>Local</v>
      </c>
      <c r="N230" s="8">
        <f ca="1">IFERROR(__xludf.DUMMYFUNCTION("""COMPUTED_VALUE"""),4)</f>
        <v>4</v>
      </c>
      <c r="O230" s="8" t="str">
        <f ca="1">IFERROR(__xludf.DUMMYFUNCTION("""COMPUTED_VALUE"""),"Fall")</f>
        <v>Fall</v>
      </c>
      <c r="P230" s="8" t="str">
        <f ca="1">IFERROR(__xludf.DUMMYFUNCTION("""COMPUTED_VALUE"""),"Cleveland")</f>
        <v>Cleveland</v>
      </c>
      <c r="Q230" s="8" t="str">
        <f ca="1">IFERROR(__xludf.DUMMYFUNCTION("""COMPUTED_VALUE"""),"OH")</f>
        <v>OH</v>
      </c>
      <c r="R230" s="8" t="str">
        <f ca="1">IFERROR(__xludf.DUMMYFUNCTION("""COMPUTED_VALUE"""),"High")</f>
        <v>High</v>
      </c>
      <c r="S230" s="8" t="str">
        <f ca="1">IFERROR(__xludf.DUMMYFUNCTION("""COMPUTED_VALUE"""),"Front of School")</f>
        <v>Front of School</v>
      </c>
      <c r="T230" s="8" t="str">
        <f ca="1">IFERROR(__xludf.DUMMYFUNCTION("""COMPUTED_VALUE"""),"Outside on School Property")</f>
        <v>Outside on School Property</v>
      </c>
      <c r="U230" s="8" t="str">
        <f ca="1">IFERROR(__xludf.DUMMYFUNCTION("""COMPUTED_VALUE"""),"Yes")</f>
        <v>Yes</v>
      </c>
      <c r="V230" s="8" t="str">
        <f ca="1">IFERROR(__xludf.DUMMYFUNCTION("""COMPUTED_VALUE"""),"Dismissal")</f>
        <v>Dismissal</v>
      </c>
      <c r="W230" s="11">
        <f ca="1">IFERROR(__xludf.DUMMYFUNCTION("""COMPUTED_VALUE"""),0.638888888888888)</f>
        <v>0.63888888888888795</v>
      </c>
      <c r="X230" s="8">
        <f ca="1">IFERROR(__xludf.DUMMYFUNCTION("""COMPUTED_VALUE"""),1)</f>
        <v>1</v>
      </c>
      <c r="Y230" s="12" t="str">
        <f ca="1">IFERROR(__xludf.DUMMYFUNCTION("""COMPUTED_VALUE"""),"Student fired shot during a fight at dismissal")</f>
        <v>Student fired shot during a fight at dismissal</v>
      </c>
      <c r="Z230" s="12" t="str">
        <f ca="1">IFERROR(__xludf.DUMMYFUNCTION("""COMPUTED_VALUE"""),"A student who allegedly fired a gunshot during dismissal at East Technical High School on Tuesday is now in police custody. No students or staff were injured, according to a statement from the Cleveland Metropolitan School District sent to FOX 8 News. The"&amp;" school district’s security team reported a current student and former student of the school were involved in an altercation in front of the school. Police apprehended the student who allegedly fired the shot, but they're still seeking the other student, "&amp;"who reportedly fled the scene. A CMSD security officer was able to get the gun from the individual. The suspect got into a car and sped off.")</f>
        <v>A student who allegedly fired a gunshot during dismissal at East Technical High School on Tuesday is now in police custody. No students or staff were injured, according to a statement from the Cleveland Metropolitan School District sent to FOX 8 News. The school district’s security team reported a current student and former student of the school were involved in an altercation in front of the school. Police apprehended the student who allegedly fired the shot, but they're still seeking the other student, who reportedly fled the scene. A CMSD security officer was able to get the gun from the individual. The suspect got into a car and sped off.</v>
      </c>
      <c r="AA230" s="8" t="str">
        <f ca="1">IFERROR(__xludf.DUMMYFUNCTION("""COMPUTED_VALUE"""),"Escalation of Dispute")</f>
        <v>Escalation of Dispute</v>
      </c>
      <c r="AB230" s="8" t="str">
        <f ca="1">IFERROR(__xludf.DUMMYFUNCTION("""COMPUTED_VALUE"""),"Spontaneous")</f>
        <v>Spontaneous</v>
      </c>
      <c r="AC230" s="8" t="str">
        <f ca="1">IFERROR(__xludf.DUMMYFUNCTION("""COMPUTED_VALUE"""),"Yes")</f>
        <v>Yes</v>
      </c>
      <c r="AD230" s="8" t="str">
        <f ca="1">IFERROR(__xludf.DUMMYFUNCTION("""COMPUTED_VALUE"""),"Victims Targeted")</f>
        <v>Victims Targeted</v>
      </c>
      <c r="AE230" s="8" t="str">
        <f ca="1">IFERROR(__xludf.DUMMYFUNCTION("""COMPUTED_VALUE"""),"No")</f>
        <v>No</v>
      </c>
      <c r="AF230" s="8"/>
      <c r="AG230" s="8" t="str">
        <f ca="1">IFERROR(__xludf.DUMMYFUNCTION("""COMPUTED_VALUE"""),"No")</f>
        <v>No</v>
      </c>
      <c r="AH230" s="8" t="str">
        <f ca="1">IFERROR(__xludf.DUMMYFUNCTION("""COMPUTED_VALUE"""),"No")</f>
        <v>No</v>
      </c>
      <c r="AI230" s="8" t="str">
        <f ca="1">IFERROR(__xludf.DUMMYFUNCTION("""COMPUTED_VALUE"""),"No")</f>
        <v>No</v>
      </c>
      <c r="AJ230" s="8" t="str">
        <f ca="1">IFERROR(__xludf.DUMMYFUNCTION("""COMPUTED_VALUE"""),"No")</f>
        <v>No</v>
      </c>
      <c r="AK230" s="8" t="str">
        <f ca="1">IFERROR(__xludf.DUMMYFUNCTION("""COMPUTED_VALUE"""),"No")</f>
        <v>No</v>
      </c>
      <c r="AL230" s="8"/>
      <c r="AM230" s="8" t="str">
        <f ca="1">IFERROR(__xludf.DUMMYFUNCTION("""COMPUTED_VALUE"""),"No")</f>
        <v>No</v>
      </c>
      <c r="AN230" s="8" t="str">
        <f ca="1">IFERROR(__xludf.DUMMYFUNCTION("""COMPUTED_VALUE"""),"Outside")</f>
        <v>Outside</v>
      </c>
      <c r="AO230" s="8" t="str">
        <f ca="1">IFERROR(__xludf.DUMMYFUNCTION("""COMPUTED_VALUE"""),"No")</f>
        <v>No</v>
      </c>
      <c r="AP230" s="8"/>
      <c r="AQ230" s="8"/>
      <c r="AR230" s="8" t="str">
        <f ca="1">IFERROR(__xludf.DUMMYFUNCTION("""COMPUTED_VALUE"""),"Outside/Off-Property")</f>
        <v>Outside/Off-Property</v>
      </c>
      <c r="AS230" s="8">
        <f ca="1">IFERROR(__xludf.DUMMYFUNCTION("""COMPUTED_VALUE"""),1)</f>
        <v>1</v>
      </c>
      <c r="AT230" s="8" t="str">
        <f ca="1">IFERROR(__xludf.DUMMYFUNCTION("""COMPUTED_VALUE"""),"Yes")</f>
        <v>Yes</v>
      </c>
      <c r="AU230" s="8">
        <f ca="1">IFERROR(__xludf.DUMMYFUNCTION("""COMPUTED_VALUE"""),41.492281)</f>
        <v>41.492280999999998</v>
      </c>
      <c r="AV230" s="8">
        <f ca="1">IFERROR(__xludf.DUMMYFUNCTION("""COMPUTED_VALUE"""),-81.651301)</f>
        <v>-81.651301000000004</v>
      </c>
      <c r="AW230" s="8" t="str">
        <f ca="1">IFERROR(__xludf.DUMMYFUNCTION("""COMPUTED_VALUE"""),"Multiple attached buildings")</f>
        <v>Multiple attached buildings</v>
      </c>
      <c r="AX230" s="8">
        <f ca="1">IFERROR(__xludf.DUMMYFUNCTION("""COMPUTED_VALUE"""),44104)</f>
        <v>44104</v>
      </c>
    </row>
    <row r="231" spans="1:50" ht="135" x14ac:dyDescent="0.2">
      <c r="A231" s="8" t="str">
        <f ca="1">IFERROR(__xludf.DUMMYFUNCTION("""COMPUTED_VALUE"""),"20241020OHWAC")</f>
        <v>20241020OHWAC</v>
      </c>
      <c r="B231" s="8">
        <f ca="1">IFERROR(__xludf.DUMMYFUNCTION("""COMPUTED_VALUE"""),10)</f>
        <v>10</v>
      </c>
      <c r="C231" s="8">
        <f ca="1">IFERROR(__xludf.DUMMYFUNCTION("""COMPUTED_VALUE"""),20)</f>
        <v>20</v>
      </c>
      <c r="D231" s="8">
        <f ca="1">IFERROR(__xludf.DUMMYFUNCTION("""COMPUTED_VALUE"""),2024)</f>
        <v>2024</v>
      </c>
      <c r="E231" s="9">
        <f ca="1">IFERROR(__xludf.DUMMYFUNCTION("""COMPUTED_VALUE"""),45585)</f>
        <v>45585</v>
      </c>
      <c r="F231" s="8" t="str">
        <f ca="1">IFERROR(__xludf.DUMMYFUNCTION("""COMPUTED_VALUE"""),"Walnut Hills High School")</f>
        <v>Walnut Hills High School</v>
      </c>
      <c r="G231" s="8">
        <f ca="1">IFERROR(__xludf.DUMMYFUNCTION("""COMPUTED_VALUE"""),0)</f>
        <v>0</v>
      </c>
      <c r="H231" s="8">
        <f ca="1">IFERROR(__xludf.DUMMYFUNCTION("""COMPUTED_VALUE"""),2)</f>
        <v>2</v>
      </c>
      <c r="I231" s="8">
        <f ca="1">IFERROR(__xludf.DUMMYFUNCTION("""COMPUTED_VALUE"""),2)</f>
        <v>2</v>
      </c>
      <c r="J231" s="8">
        <f ca="1">IFERROR(__xludf.DUMMYFUNCTION("""COMPUTED_VALUE"""),0)</f>
        <v>0</v>
      </c>
      <c r="K231" s="8" t="str">
        <f ca="1">IFERROR(__xludf.DUMMYFUNCTION("""COMPUTED_VALUE"""),"https://www.cincinnati.com/story/news/crime/2024/10/21/2-injured-in-shooting-after-pee-wee-football-game-at-walnut-hills/75773289007/
https://www.wlwt.com/article/2-shot-following-apparent-argument-at-pee-wee-football-game/62663145")</f>
        <v>https://www.cincinnati.com/story/news/crime/2024/10/21/2-injured-in-shooting-after-pee-wee-football-game-at-walnut-hills/75773289007/
https://www.wlwt.com/article/2-shot-following-apparent-argument-at-pee-wee-football-game/62663145</v>
      </c>
      <c r="L231" s="8">
        <f ca="1">IFERROR(__xludf.DUMMYFUNCTION("""COMPUTED_VALUE"""),6)</f>
        <v>6</v>
      </c>
      <c r="M231" s="8" t="str">
        <f ca="1">IFERROR(__xludf.DUMMYFUNCTION("""COMPUTED_VALUE"""),"Regional")</f>
        <v>Regional</v>
      </c>
      <c r="N231" s="8">
        <f ca="1">IFERROR(__xludf.DUMMYFUNCTION("""COMPUTED_VALUE"""),4)</f>
        <v>4</v>
      </c>
      <c r="O231" s="8" t="str">
        <f ca="1">IFERROR(__xludf.DUMMYFUNCTION("""COMPUTED_VALUE"""),"Fall")</f>
        <v>Fall</v>
      </c>
      <c r="P231" s="8" t="str">
        <f ca="1">IFERROR(__xludf.DUMMYFUNCTION("""COMPUTED_VALUE"""),"Cincinnati")</f>
        <v>Cincinnati</v>
      </c>
      <c r="Q231" s="8" t="str">
        <f ca="1">IFERROR(__xludf.DUMMYFUNCTION("""COMPUTED_VALUE"""),"OH")</f>
        <v>OH</v>
      </c>
      <c r="R231" s="8" t="str">
        <f ca="1">IFERROR(__xludf.DUMMYFUNCTION("""COMPUTED_VALUE"""),"High")</f>
        <v>High</v>
      </c>
      <c r="S231" s="8" t="str">
        <f ca="1">IFERROR(__xludf.DUMMYFUNCTION("""COMPUTED_VALUE"""),"Football Field/Track")</f>
        <v>Football Field/Track</v>
      </c>
      <c r="T231" s="8" t="str">
        <f ca="1">IFERROR(__xludf.DUMMYFUNCTION("""COMPUTED_VALUE"""),"Outside on School Property")</f>
        <v>Outside on School Property</v>
      </c>
      <c r="U231" s="8" t="str">
        <f ca="1">IFERROR(__xludf.DUMMYFUNCTION("""COMPUTED_VALUE"""),"No")</f>
        <v>No</v>
      </c>
      <c r="V231" s="8" t="str">
        <f ca="1">IFERROR(__xludf.DUMMYFUNCTION("""COMPUTED_VALUE"""),"Sport Event")</f>
        <v>Sport Event</v>
      </c>
      <c r="W231" s="11">
        <f ca="1">IFERROR(__xludf.DUMMYFUNCTION("""COMPUTED_VALUE"""),0.8125)</f>
        <v>0.8125</v>
      </c>
      <c r="X231" s="8">
        <f ca="1">IFERROR(__xludf.DUMMYFUNCTION("""COMPUTED_VALUE"""),1)</f>
        <v>1</v>
      </c>
      <c r="Y231" s="12" t="str">
        <f ca="1">IFERROR(__xludf.DUMMYFUNCTION("""COMPUTED_VALUE"""),"Two men shot during fight at youth football game")</f>
        <v>Two men shot during fight at youth football game</v>
      </c>
      <c r="Z231" s="12" t="str">
        <f ca="1">IFERROR(__xludf.DUMMYFUNCTION("""COMPUTED_VALUE"""),"Two adults were injured following a shooting at a youth football game Sunday evening at Walnut Hills High in Cincinnati, OH. The shooting took place around 7:30 p.m. as one of the scheduled games was just beginning to wrap up. A local news reporter witnes"&amp;"sed numerous kids crying upon arriving on the scene. Police said that the shooting appears to have happened after an argument broke out between a group of adult men at the PeeWee football game.")</f>
        <v>Two adults were injured following a shooting at a youth football game Sunday evening at Walnut Hills High in Cincinnati, OH. The shooting took place around 7:30 p.m. as one of the scheduled games was just beginning to wrap up. A local news reporter witnessed numerous kids crying upon arriving on the scene. Police said that the shooting appears to have happened after an argument broke out between a group of adult men at the PeeWee football game.</v>
      </c>
      <c r="AA231" s="8" t="str">
        <f ca="1">IFERROR(__xludf.DUMMYFUNCTION("""COMPUTED_VALUE"""),"Escalation of Dispute")</f>
        <v>Escalation of Dispute</v>
      </c>
      <c r="AB231" s="8" t="str">
        <f ca="1">IFERROR(__xludf.DUMMYFUNCTION("""COMPUTED_VALUE"""),"Spontaneous")</f>
        <v>Spontaneous</v>
      </c>
      <c r="AC231" s="8" t="str">
        <f ca="1">IFERROR(__xludf.DUMMYFUNCTION("""COMPUTED_VALUE"""),"Yes")</f>
        <v>Yes</v>
      </c>
      <c r="AD231" s="8" t="str">
        <f ca="1">IFERROR(__xludf.DUMMYFUNCTION("""COMPUTED_VALUE"""),"Victims Targeted")</f>
        <v>Victims Targeted</v>
      </c>
      <c r="AE231" s="8" t="str">
        <f ca="1">IFERROR(__xludf.DUMMYFUNCTION("""COMPUTED_VALUE"""),"No")</f>
        <v>No</v>
      </c>
      <c r="AF231" s="8"/>
      <c r="AG231" s="8" t="str">
        <f ca="1">IFERROR(__xludf.DUMMYFUNCTION("""COMPUTED_VALUE"""),"No")</f>
        <v>No</v>
      </c>
      <c r="AH231" s="8" t="str">
        <f ca="1">IFERROR(__xludf.DUMMYFUNCTION("""COMPUTED_VALUE"""),"No")</f>
        <v>No</v>
      </c>
      <c r="AI231" s="8" t="str">
        <f ca="1">IFERROR(__xludf.DUMMYFUNCTION("""COMPUTED_VALUE"""),"No")</f>
        <v>No</v>
      </c>
      <c r="AJ231" s="8" t="str">
        <f ca="1">IFERROR(__xludf.DUMMYFUNCTION("""COMPUTED_VALUE"""),"No")</f>
        <v>No</v>
      </c>
      <c r="AK231" s="8" t="str">
        <f ca="1">IFERROR(__xludf.DUMMYFUNCTION("""COMPUTED_VALUE"""),"No")</f>
        <v>No</v>
      </c>
      <c r="AL231" s="8" t="str">
        <f ca="1">IFERROR(__xludf.DUMMYFUNCTION("""COMPUTED_VALUE"""),"No")</f>
        <v>No</v>
      </c>
      <c r="AM231" s="8" t="str">
        <f ca="1">IFERROR(__xludf.DUMMYFUNCTION("""COMPUTED_VALUE"""),"No")</f>
        <v>No</v>
      </c>
      <c r="AN231" s="8" t="str">
        <f ca="1">IFERROR(__xludf.DUMMYFUNCTION("""COMPUTED_VALUE"""),"Outside")</f>
        <v>Outside</v>
      </c>
      <c r="AO231" s="8" t="str">
        <f ca="1">IFERROR(__xludf.DUMMYFUNCTION("""COMPUTED_VALUE"""),"No")</f>
        <v>No</v>
      </c>
      <c r="AP231" s="8"/>
      <c r="AQ231" s="8"/>
      <c r="AR231" s="8" t="str">
        <f ca="1">IFERROR(__xludf.DUMMYFUNCTION("""COMPUTED_VALUE"""),"Outside/Off-Property")</f>
        <v>Outside/Off-Property</v>
      </c>
      <c r="AS231" s="8">
        <f ca="1">IFERROR(__xludf.DUMMYFUNCTION("""COMPUTED_VALUE"""),2)</f>
        <v>2</v>
      </c>
      <c r="AT231" s="8" t="str">
        <f ca="1">IFERROR(__xludf.DUMMYFUNCTION("""COMPUTED_VALUE"""),"No")</f>
        <v>No</v>
      </c>
      <c r="AU231" s="8">
        <f ca="1">IFERROR(__xludf.DUMMYFUNCTION("""COMPUTED_VALUE"""),39.141313)</f>
        <v>39.141312999999997</v>
      </c>
      <c r="AV231" s="8">
        <f ca="1">IFERROR(__xludf.DUMMYFUNCTION("""COMPUTED_VALUE"""),-84.480267)</f>
        <v>-84.480266999999998</v>
      </c>
      <c r="AW231" s="8" t="str">
        <f ca="1">IFERROR(__xludf.DUMMYFUNCTION("""COMPUTED_VALUE"""),"Multiple detached buildings")</f>
        <v>Multiple detached buildings</v>
      </c>
      <c r="AX231" s="8">
        <f ca="1">IFERROR(__xludf.DUMMYFUNCTION("""COMPUTED_VALUE"""),45207)</f>
        <v>45207</v>
      </c>
    </row>
    <row r="232" spans="1:50" ht="195" x14ac:dyDescent="0.2">
      <c r="A232" s="8" t="str">
        <f ca="1">IFERROR(__xludf.DUMMYFUNCTION("""COMPUTED_VALUE"""),"20241018ALSOS")</f>
        <v>20241018ALSOS</v>
      </c>
      <c r="B232" s="8">
        <f ca="1">IFERROR(__xludf.DUMMYFUNCTION("""COMPUTED_VALUE"""),10)</f>
        <v>10</v>
      </c>
      <c r="C232" s="8">
        <f ca="1">IFERROR(__xludf.DUMMYFUNCTION("""COMPUTED_VALUE"""),18)</f>
        <v>18</v>
      </c>
      <c r="D232" s="8">
        <f ca="1">IFERROR(__xludf.DUMMYFUNCTION("""COMPUTED_VALUE"""),2024)</f>
        <v>2024</v>
      </c>
      <c r="E232" s="9">
        <f ca="1">IFERROR(__xludf.DUMMYFUNCTION("""COMPUTED_VALUE"""),45583)</f>
        <v>45583</v>
      </c>
      <c r="F232" s="8" t="str">
        <f ca="1">IFERROR(__xludf.DUMMYFUNCTION("""COMPUTED_VALUE"""),"Southside High School")</f>
        <v>Southside High School</v>
      </c>
      <c r="G232" s="8">
        <f ca="1">IFERROR(__xludf.DUMMYFUNCTION("""COMPUTED_VALUE"""),1)</f>
        <v>1</v>
      </c>
      <c r="H232" s="8">
        <f ca="1">IFERROR(__xludf.DUMMYFUNCTION("""COMPUTED_VALUE"""),0)</f>
        <v>0</v>
      </c>
      <c r="I232" s="8">
        <f ca="1">IFERROR(__xludf.DUMMYFUNCTION("""COMPUTED_VALUE"""),1)</f>
        <v>1</v>
      </c>
      <c r="J232" s="8">
        <f ca="1">IFERROR(__xludf.DUMMYFUNCTION("""COMPUTED_VALUE"""),0)</f>
        <v>0</v>
      </c>
      <c r="K232" s="10" t="str">
        <f ca="1">IFERROR(__xludf.DUMMYFUNCTION("""COMPUTED_VALUE"""),"https://www.al.com/news/2024/10/birmingham-man-gunned-down-in-high-school-parking-lot-in-selma.html")</f>
        <v>https://www.al.com/news/2024/10/birmingham-man-gunned-down-in-high-school-parking-lot-in-selma.html</v>
      </c>
      <c r="L232" s="8">
        <f ca="1">IFERROR(__xludf.DUMMYFUNCTION("""COMPUTED_VALUE"""),1)</f>
        <v>1</v>
      </c>
      <c r="M232" s="8" t="str">
        <f ca="1">IFERROR(__xludf.DUMMYFUNCTION("""COMPUTED_VALUE"""),"Local")</f>
        <v>Local</v>
      </c>
      <c r="N232" s="8">
        <f ca="1">IFERROR(__xludf.DUMMYFUNCTION("""COMPUTED_VALUE"""),4)</f>
        <v>4</v>
      </c>
      <c r="O232" s="8" t="str">
        <f ca="1">IFERROR(__xludf.DUMMYFUNCTION("""COMPUTED_VALUE"""),"Fall")</f>
        <v>Fall</v>
      </c>
      <c r="P232" s="8" t="str">
        <f ca="1">IFERROR(__xludf.DUMMYFUNCTION("""COMPUTED_VALUE"""),"Selma")</f>
        <v>Selma</v>
      </c>
      <c r="Q232" s="8" t="str">
        <f ca="1">IFERROR(__xludf.DUMMYFUNCTION("""COMPUTED_VALUE"""),"AL")</f>
        <v>AL</v>
      </c>
      <c r="R232" s="8" t="str">
        <f ca="1">IFERROR(__xludf.DUMMYFUNCTION("""COMPUTED_VALUE"""),"High")</f>
        <v>High</v>
      </c>
      <c r="S232" s="8" t="str">
        <f ca="1">IFERROR(__xludf.DUMMYFUNCTION("""COMPUTED_VALUE"""),"Parking Lot")</f>
        <v>Parking Lot</v>
      </c>
      <c r="T232" s="8" t="str">
        <f ca="1">IFERROR(__xludf.DUMMYFUNCTION("""COMPUTED_VALUE"""),"Outside on School Property")</f>
        <v>Outside on School Property</v>
      </c>
      <c r="U232" s="8" t="str">
        <f ca="1">IFERROR(__xludf.DUMMYFUNCTION("""COMPUTED_VALUE"""),"No")</f>
        <v>No</v>
      </c>
      <c r="V232" s="8" t="str">
        <f ca="1">IFERROR(__xludf.DUMMYFUNCTION("""COMPUTED_VALUE"""),"Night")</f>
        <v>Night</v>
      </c>
      <c r="W232" s="11">
        <f ca="1">IFERROR(__xludf.DUMMYFUNCTION("""COMPUTED_VALUE"""),0.958333333333333)</f>
        <v>0.95833333333333304</v>
      </c>
      <c r="X232" s="8">
        <f ca="1">IFERROR(__xludf.DUMMYFUNCTION("""COMPUTED_VALUE"""),1)</f>
        <v>1</v>
      </c>
      <c r="Y232" s="12" t="str">
        <f ca="1">IFERROR(__xludf.DUMMYFUNCTION("""COMPUTED_VALUE"""),"Man fatally shot in school parking lot")</f>
        <v>Man fatally shot in school parking lot</v>
      </c>
      <c r="Z232" s="12" t="str">
        <f ca="1">IFERROR(__xludf.DUMMYFUNCTION("""COMPUTED_VALUE"""),"Birmingham man was fatally shot Friday in a high school parking lot in Selma, authorities said Thursday. Selma police responded to Southside High School at 7975 U.S. Highway 80 East in Selma around 11 p.m. Friday on a report of shots fired in the area, ac"&amp;"cording to Central Alabama Crimestoppers, which is offering a $1,000 reward for information that leads to an arrest in the homicide investigation. Authorities located the victim, later identified as 32-year-old Birmingham resident, with a gunshot wound ne"&amp;"ar Water Avenue and Broad Street in Selma. Hall was pronounced dead at the scene. Investigators determined the shooting occurred in the Southside High School parking lot.")</f>
        <v>Birmingham man was fatally shot Friday in a high school parking lot in Selma, authorities said Thursday. Selma police responded to Southside High School at 7975 U.S. Highway 80 East in Selma around 11 p.m. Friday on a report of shots fired in the area, according to Central Alabama Crimestoppers, which is offering a $1,000 reward for information that leads to an arrest in the homicide investigation. Authorities located the victim, later identified as 32-year-old Birmingham resident, with a gunshot wound near Water Avenue and Broad Street in Selma. Hall was pronounced dead at the scene. Investigators determined the shooting occurred in the Southside High School parking lot.</v>
      </c>
      <c r="AA232" s="8"/>
      <c r="AB232" s="8"/>
      <c r="AC232" s="8"/>
      <c r="AD232" s="8"/>
      <c r="AE232" s="8"/>
      <c r="AF232" s="8"/>
      <c r="AG232" s="8" t="str">
        <f ca="1">IFERROR(__xludf.DUMMYFUNCTION("""COMPUTED_VALUE"""),"No")</f>
        <v>No</v>
      </c>
      <c r="AH232" s="8" t="str">
        <f ca="1">IFERROR(__xludf.DUMMYFUNCTION("""COMPUTED_VALUE"""),"No")</f>
        <v>No</v>
      </c>
      <c r="AI232" s="8" t="str">
        <f ca="1">IFERROR(__xludf.DUMMYFUNCTION("""COMPUTED_VALUE"""),"No")</f>
        <v>No</v>
      </c>
      <c r="AJ232" s="8" t="str">
        <f ca="1">IFERROR(__xludf.DUMMYFUNCTION("""COMPUTED_VALUE"""),"No")</f>
        <v>No</v>
      </c>
      <c r="AK232" s="8" t="str">
        <f ca="1">IFERROR(__xludf.DUMMYFUNCTION("""COMPUTED_VALUE"""),"No")</f>
        <v>No</v>
      </c>
      <c r="AL232" s="8"/>
      <c r="AM232" s="8" t="str">
        <f ca="1">IFERROR(__xludf.DUMMYFUNCTION("""COMPUTED_VALUE"""),"No")</f>
        <v>No</v>
      </c>
      <c r="AN232" s="8" t="str">
        <f ca="1">IFERROR(__xludf.DUMMYFUNCTION("""COMPUTED_VALUE"""),"Outside")</f>
        <v>Outside</v>
      </c>
      <c r="AO232" s="8" t="str">
        <f ca="1">IFERROR(__xludf.DUMMYFUNCTION("""COMPUTED_VALUE"""),"No")</f>
        <v>No</v>
      </c>
      <c r="AP232" s="8"/>
      <c r="AQ232" s="8"/>
      <c r="AR232" s="8" t="str">
        <f ca="1">IFERROR(__xludf.DUMMYFUNCTION("""COMPUTED_VALUE"""),"Outside/Off-Property")</f>
        <v>Outside/Off-Property</v>
      </c>
      <c r="AS232" s="8">
        <f ca="1">IFERROR(__xludf.DUMMYFUNCTION("""COMPUTED_VALUE"""),99)</f>
        <v>99</v>
      </c>
      <c r="AT232" s="8" t="str">
        <f ca="1">IFERROR(__xludf.DUMMYFUNCTION("""COMPUTED_VALUE"""),"No")</f>
        <v>No</v>
      </c>
      <c r="AU232" s="8">
        <f ca="1">IFERROR(__xludf.DUMMYFUNCTION("""COMPUTED_VALUE"""),32.326684)</f>
        <v>32.326684</v>
      </c>
      <c r="AV232" s="8">
        <f ca="1">IFERROR(__xludf.DUMMYFUNCTION("""COMPUTED_VALUE"""),-86.928491)</f>
        <v>-86.928490999999994</v>
      </c>
      <c r="AW232" s="8" t="str">
        <f ca="1">IFERROR(__xludf.DUMMYFUNCTION("""COMPUTED_VALUE"""),"Multiple detached buildings")</f>
        <v>Multiple detached buildings</v>
      </c>
      <c r="AX232" s="8">
        <f ca="1">IFERROR(__xludf.DUMMYFUNCTION("""COMPUTED_VALUE"""),36701)</f>
        <v>36701</v>
      </c>
    </row>
    <row r="233" spans="1:50" ht="180" x14ac:dyDescent="0.2">
      <c r="A233" s="8" t="str">
        <f ca="1">IFERROR(__xludf.DUMMYFUNCTION("""COMPUTED_VALUE"""),"20241018HIHOC")</f>
        <v>20241018HIHOC</v>
      </c>
      <c r="B233" s="8">
        <f ca="1">IFERROR(__xludf.DUMMYFUNCTION("""COMPUTED_VALUE"""),10)</f>
        <v>10</v>
      </c>
      <c r="C233" s="8">
        <f ca="1">IFERROR(__xludf.DUMMYFUNCTION("""COMPUTED_VALUE"""),18)</f>
        <v>18</v>
      </c>
      <c r="D233" s="8">
        <f ca="1">IFERROR(__xludf.DUMMYFUNCTION("""COMPUTED_VALUE"""),2024)</f>
        <v>2024</v>
      </c>
      <c r="E233" s="9">
        <f ca="1">IFERROR(__xludf.DUMMYFUNCTION("""COMPUTED_VALUE"""),45583)</f>
        <v>45583</v>
      </c>
      <c r="F233" s="8" t="str">
        <f ca="1">IFERROR(__xludf.DUMMYFUNCTION("""COMPUTED_VALUE"""),"Hookena Elementary School")</f>
        <v>Hookena Elementary School</v>
      </c>
      <c r="G233" s="8">
        <f ca="1">IFERROR(__xludf.DUMMYFUNCTION("""COMPUTED_VALUE"""),0)</f>
        <v>0</v>
      </c>
      <c r="H233" s="8">
        <f ca="1">IFERROR(__xludf.DUMMYFUNCTION("""COMPUTED_VALUE"""),0)</f>
        <v>0</v>
      </c>
      <c r="I233" s="8">
        <f ca="1">IFERROR(__xludf.DUMMYFUNCTION("""COMPUTED_VALUE"""),0)</f>
        <v>0</v>
      </c>
      <c r="J233" s="8">
        <f ca="1">IFERROR(__xludf.DUMMYFUNCTION("""COMPUTED_VALUE"""),0)</f>
        <v>0</v>
      </c>
      <c r="K233" s="10" t="str">
        <f ca="1">IFERROR(__xludf.DUMMYFUNCTION("""COMPUTED_VALUE"""),"https://www.hawaiinewsnow.com/2024/10/19/man-arrested-after-allegedly-firing-bb-gun-cars-near-elementary-school/")</f>
        <v>https://www.hawaiinewsnow.com/2024/10/19/man-arrested-after-allegedly-firing-bb-gun-cars-near-elementary-school/</v>
      </c>
      <c r="L233" s="8">
        <f ca="1">IFERROR(__xludf.DUMMYFUNCTION("""COMPUTED_VALUE"""),4)</f>
        <v>4</v>
      </c>
      <c r="M233" s="8" t="str">
        <f ca="1">IFERROR(__xludf.DUMMYFUNCTION("""COMPUTED_VALUE"""),"Regional")</f>
        <v>Regional</v>
      </c>
      <c r="N233" s="8">
        <f ca="1">IFERROR(__xludf.DUMMYFUNCTION("""COMPUTED_VALUE"""),4)</f>
        <v>4</v>
      </c>
      <c r="O233" s="8" t="str">
        <f ca="1">IFERROR(__xludf.DUMMYFUNCTION("""COMPUTED_VALUE"""),"Fall")</f>
        <v>Fall</v>
      </c>
      <c r="P233" s="8" t="str">
        <f ca="1">IFERROR(__xludf.DUMMYFUNCTION("""COMPUTED_VALUE"""),"Captain Cook")</f>
        <v>Captain Cook</v>
      </c>
      <c r="Q233" s="8" t="str">
        <f ca="1">IFERROR(__xludf.DUMMYFUNCTION("""COMPUTED_VALUE"""),"HI")</f>
        <v>HI</v>
      </c>
      <c r="R233" s="8" t="str">
        <f ca="1">IFERROR(__xludf.DUMMYFUNCTION("""COMPUTED_VALUE"""),"Elementary")</f>
        <v>Elementary</v>
      </c>
      <c r="S233" s="8" t="str">
        <f ca="1">IFERROR(__xludf.DUMMYFUNCTION("""COMPUTED_VALUE"""),"Beside Building")</f>
        <v>Beside Building</v>
      </c>
      <c r="T233" s="8" t="str">
        <f ca="1">IFERROR(__xludf.DUMMYFUNCTION("""COMPUTED_VALUE"""),"Outside on School Property")</f>
        <v>Outside on School Property</v>
      </c>
      <c r="U233" s="8" t="str">
        <f ca="1">IFERROR(__xludf.DUMMYFUNCTION("""COMPUTED_VALUE"""),"Yes")</f>
        <v>Yes</v>
      </c>
      <c r="V233" s="8" t="str">
        <f ca="1">IFERROR(__xludf.DUMMYFUNCTION("""COMPUTED_VALUE"""),"Morning Classes")</f>
        <v>Morning Classes</v>
      </c>
      <c r="W233" s="11">
        <f ca="1">IFERROR(__xludf.DUMMYFUNCTION("""COMPUTED_VALUE"""),0.291666666666666)</f>
        <v>0.29166666666666602</v>
      </c>
      <c r="X233" s="8">
        <f ca="1">IFERROR(__xludf.DUMMYFUNCTION("""COMPUTED_VALUE"""),1)</f>
        <v>1</v>
      </c>
      <c r="Y233" s="12" t="str">
        <f ca="1">IFERROR(__xludf.DUMMYFUNCTION("""COMPUTED_VALUE"""),"Man with BB gun fired at cars and stared into the school yard where students were, school went on lockdown")</f>
        <v>Man with BB gun fired at cars and stared into the school yard where students were, school went on lockdown</v>
      </c>
      <c r="Z233" s="12" t="str">
        <f ca="1">IFERROR(__xludf.DUMMYFUNCTION("""COMPUTED_VALUE"""),"On Hawaii Island, a man was arrested after allegedly firing a BB gun at cars near Hookena Elementary School on Friday morning, according to Hawaii Island police officials. Officials say officers were called out to an area of Mamalahoa Highway just before "&amp;"7 a.m. near the school. The school was put into lockdown after employees reportedly saw the armed 38-year-old staring into the schoolyard where students were playing, officials say. Hawaii Police Department also received multiple calls that the man was sh"&amp;"ooting at cars as they passed by. Police disarmed the man and took him into custody. He now faces two counts of terroristic threatening.")</f>
        <v>On Hawaii Island, a man was arrested after allegedly firing a BB gun at cars near Hookena Elementary School on Friday morning, according to Hawaii Island police officials. Officials say officers were called out to an area of Mamalahoa Highway just before 7 a.m. near the school. The school was put into lockdown after employees reportedly saw the armed 38-year-old staring into the schoolyard where students were playing, officials say. Hawaii Police Department also received multiple calls that the man was shooting at cars as they passed by. Police disarmed the man and took him into custody. He now faces two counts of terroristic threatening.</v>
      </c>
      <c r="AA233" s="8" t="str">
        <f ca="1">IFERROR(__xludf.DUMMYFUNCTION("""COMPUTED_VALUE"""),"Intentional Property Damage")</f>
        <v>Intentional Property Damage</v>
      </c>
      <c r="AB233" s="8" t="str">
        <f ca="1">IFERROR(__xludf.DUMMYFUNCTION("""COMPUTED_VALUE"""),"Spontaneous")</f>
        <v>Spontaneous</v>
      </c>
      <c r="AC233" s="8" t="str">
        <f ca="1">IFERROR(__xludf.DUMMYFUNCTION("""COMPUTED_VALUE"""),"Yes")</f>
        <v>Yes</v>
      </c>
      <c r="AD233" s="8" t="str">
        <f ca="1">IFERROR(__xludf.DUMMYFUNCTION("""COMPUTED_VALUE"""),"Random Shooting")</f>
        <v>Random Shooting</v>
      </c>
      <c r="AE233" s="8" t="str">
        <f ca="1">IFERROR(__xludf.DUMMYFUNCTION("""COMPUTED_VALUE"""),"No")</f>
        <v>No</v>
      </c>
      <c r="AF233" s="8"/>
      <c r="AG233" s="8" t="str">
        <f ca="1">IFERROR(__xludf.DUMMYFUNCTION("""COMPUTED_VALUE"""),"No")</f>
        <v>No</v>
      </c>
      <c r="AH233" s="8" t="str">
        <f ca="1">IFERROR(__xludf.DUMMYFUNCTION("""COMPUTED_VALUE"""),"No")</f>
        <v>No</v>
      </c>
      <c r="AI233" s="8" t="str">
        <f ca="1">IFERROR(__xludf.DUMMYFUNCTION("""COMPUTED_VALUE"""),"No")</f>
        <v>No</v>
      </c>
      <c r="AJ233" s="8" t="str">
        <f ca="1">IFERROR(__xludf.DUMMYFUNCTION("""COMPUTED_VALUE"""),"No")</f>
        <v>No</v>
      </c>
      <c r="AK233" s="8" t="str">
        <f ca="1">IFERROR(__xludf.DUMMYFUNCTION("""COMPUTED_VALUE"""),"No")</f>
        <v>No</v>
      </c>
      <c r="AL233" s="8" t="str">
        <f ca="1">IFERROR(__xludf.DUMMYFUNCTION("""COMPUTED_VALUE"""),"No")</f>
        <v>No</v>
      </c>
      <c r="AM233" s="8" t="str">
        <f ca="1">IFERROR(__xludf.DUMMYFUNCTION("""COMPUTED_VALUE"""),"No")</f>
        <v>No</v>
      </c>
      <c r="AN233" s="8" t="str">
        <f ca="1">IFERROR(__xludf.DUMMYFUNCTION("""COMPUTED_VALUE"""),"Outside")</f>
        <v>Outside</v>
      </c>
      <c r="AO233" s="8" t="str">
        <f ca="1">IFERROR(__xludf.DUMMYFUNCTION("""COMPUTED_VALUE"""),"No")</f>
        <v>No</v>
      </c>
      <c r="AP233" s="8"/>
      <c r="AQ233" s="8"/>
      <c r="AR233" s="8" t="str">
        <f ca="1">IFERROR(__xludf.DUMMYFUNCTION("""COMPUTED_VALUE"""),"Outside/Off-Property")</f>
        <v>Outside/Off-Property</v>
      </c>
      <c r="AS233" s="8">
        <f ca="1">IFERROR(__xludf.DUMMYFUNCTION("""COMPUTED_VALUE"""),99)</f>
        <v>99</v>
      </c>
      <c r="AT233" s="8" t="str">
        <f ca="1">IFERROR(__xludf.DUMMYFUNCTION("""COMPUTED_VALUE"""),"Yes")</f>
        <v>Yes</v>
      </c>
      <c r="AU233" s="8">
        <f ca="1">IFERROR(__xludf.DUMMYFUNCTION("""COMPUTED_VALUE"""),19.386533)</f>
        <v>19.386533</v>
      </c>
      <c r="AV233" s="8">
        <f ca="1">IFERROR(__xludf.DUMMYFUNCTION("""COMPUTED_VALUE"""),-155.878454)</f>
        <v>-155.878454</v>
      </c>
      <c r="AW233" s="8" t="str">
        <f ca="1">IFERROR(__xludf.DUMMYFUNCTION("""COMPUTED_VALUE"""),"Individual classroom buildings")</f>
        <v>Individual classroom buildings</v>
      </c>
      <c r="AX233" s="8">
        <f ca="1">IFERROR(__xludf.DUMMYFUNCTION("""COMPUTED_VALUE"""),96704)</f>
        <v>96704</v>
      </c>
    </row>
    <row r="234" spans="1:50" ht="165" x14ac:dyDescent="0.2">
      <c r="A234" s="8" t="str">
        <f ca="1">IFERROR(__xludf.DUMMYFUNCTION("""COMPUTED_VALUE"""),"20241018DEDOD")</f>
        <v>20241018DEDOD</v>
      </c>
      <c r="B234" s="8">
        <f ca="1">IFERROR(__xludf.DUMMYFUNCTION("""COMPUTED_VALUE"""),10)</f>
        <v>10</v>
      </c>
      <c r="C234" s="8">
        <f ca="1">IFERROR(__xludf.DUMMYFUNCTION("""COMPUTED_VALUE"""),18)</f>
        <v>18</v>
      </c>
      <c r="D234" s="8">
        <f ca="1">IFERROR(__xludf.DUMMYFUNCTION("""COMPUTED_VALUE"""),2024)</f>
        <v>2024</v>
      </c>
      <c r="E234" s="9">
        <f ca="1">IFERROR(__xludf.DUMMYFUNCTION("""COMPUTED_VALUE"""),45583)</f>
        <v>45583</v>
      </c>
      <c r="F234" s="8" t="str">
        <f ca="1">IFERROR(__xludf.DUMMYFUNCTION("""COMPUTED_VALUE"""),"Dover High School")</f>
        <v>Dover High School</v>
      </c>
      <c r="G234" s="8">
        <f ca="1">IFERROR(__xludf.DUMMYFUNCTION("""COMPUTED_VALUE"""),0)</f>
        <v>0</v>
      </c>
      <c r="H234" s="8">
        <f ca="1">IFERROR(__xludf.DUMMYFUNCTION("""COMPUTED_VALUE"""),0)</f>
        <v>0</v>
      </c>
      <c r="I234" s="8">
        <f ca="1">IFERROR(__xludf.DUMMYFUNCTION("""COMPUTED_VALUE"""),0)</f>
        <v>0</v>
      </c>
      <c r="J234" s="8">
        <f ca="1">IFERROR(__xludf.DUMMYFUNCTION("""COMPUTED_VALUE"""),0)</f>
        <v>0</v>
      </c>
      <c r="K234" s="10" t="str">
        <f ca="1">IFERROR(__xludf.DUMMYFUNCTION("""COMPUTED_VALUE"""),"https://www.wmdt.com/2024/10/breaking-police-investigating-shots-fired-following-dover-high-football-game/
https://www.delawareonline.com/story/news/2024/10/18/dover-police-respond-to-shot-fired-after-dover-football-game/75743495007/")</f>
        <v>https://www.wmdt.com/2024/10/breaking-police-investigating-shots-fired-following-dover-high-football-game/
https://www.delawareonline.com/story/news/2024/10/18/dover-police-respond-to-shot-fired-after-dover-football-game/75743495007/</v>
      </c>
      <c r="L234" s="8">
        <f ca="1">IFERROR(__xludf.DUMMYFUNCTION("""COMPUTED_VALUE"""),5)</f>
        <v>5</v>
      </c>
      <c r="M234" s="8" t="str">
        <f ca="1">IFERROR(__xludf.DUMMYFUNCTION("""COMPUTED_VALUE"""),"Local")</f>
        <v>Local</v>
      </c>
      <c r="N234" s="8">
        <f ca="1">IFERROR(__xludf.DUMMYFUNCTION("""COMPUTED_VALUE"""),4)</f>
        <v>4</v>
      </c>
      <c r="O234" s="8" t="str">
        <f ca="1">IFERROR(__xludf.DUMMYFUNCTION("""COMPUTED_VALUE"""),"Fall")</f>
        <v>Fall</v>
      </c>
      <c r="P234" s="8" t="str">
        <f ca="1">IFERROR(__xludf.DUMMYFUNCTION("""COMPUTED_VALUE"""),"Dover")</f>
        <v>Dover</v>
      </c>
      <c r="Q234" s="8" t="str">
        <f ca="1">IFERROR(__xludf.DUMMYFUNCTION("""COMPUTED_VALUE"""),"DE")</f>
        <v>DE</v>
      </c>
      <c r="R234" s="8" t="str">
        <f ca="1">IFERROR(__xludf.DUMMYFUNCTION("""COMPUTED_VALUE"""),"High")</f>
        <v>High</v>
      </c>
      <c r="S234" s="8" t="str">
        <f ca="1">IFERROR(__xludf.DUMMYFUNCTION("""COMPUTED_VALUE"""),"Parking Lot")</f>
        <v>Parking Lot</v>
      </c>
      <c r="T234" s="8" t="str">
        <f ca="1">IFERROR(__xludf.DUMMYFUNCTION("""COMPUTED_VALUE"""),"Outside on School Property")</f>
        <v>Outside on School Property</v>
      </c>
      <c r="U234" s="8" t="str">
        <f ca="1">IFERROR(__xludf.DUMMYFUNCTION("""COMPUTED_VALUE"""),"No")</f>
        <v>No</v>
      </c>
      <c r="V234" s="8" t="str">
        <f ca="1">IFERROR(__xludf.DUMMYFUNCTION("""COMPUTED_VALUE"""),"Sport Event")</f>
        <v>Sport Event</v>
      </c>
      <c r="W234" s="11">
        <f ca="1">IFERROR(__xludf.DUMMYFUNCTION("""COMPUTED_VALUE"""),0.850694444444444)</f>
        <v>0.85069444444444398</v>
      </c>
      <c r="X234" s="8">
        <f ca="1">IFERROR(__xludf.DUMMYFUNCTION("""COMPUTED_VALUE"""),1)</f>
        <v>1</v>
      </c>
      <c r="Y234" s="12" t="str">
        <f ca="1">IFERROR(__xludf.DUMMYFUNCTION("""COMPUTED_VALUE"""),"Shots fired in parking lot after high school football game")</f>
        <v>Shots fired in parking lot after high school football game</v>
      </c>
      <c r="Z234" s="12" t="str">
        <f ca="1">IFERROR(__xludf.DUMMYFUNCTION("""COMPUTED_VALUE"""),"Dover Police took two people into custody Friday night after a football game at Dover High School. Around 9 p.m. a gunshot was fired. Police at the scene to staff the game, which had concluded at this point, responded as a crowd dispersed at the sound of "&amp;"the gunshot. Several more police vehicles arrived at the school shortly after. A Dover Police spokesperson said no injuries have been reported. The game between Dover and Smyrna concluded around 8:25 p.m. Some people remained inside the stadium to watch a"&amp;" post-game drum line performance, while others congregated just outside the stadium fence.")</f>
        <v>Dover Police took two people into custody Friday night after a football game at Dover High School. Around 9 p.m. a gunshot was fired. Police at the scene to staff the game, which had concluded at this point, responded as a crowd dispersed at the sound of the gunshot. Several more police vehicles arrived at the school shortly after. A Dover Police spokesperson said no injuries have been reported. The game between Dover and Smyrna concluded around 8:25 p.m. Some people remained inside the stadium to watch a post-game drum line performance, while others congregated just outside the stadium fence.</v>
      </c>
      <c r="AA234" s="8" t="str">
        <f ca="1">IFERROR(__xludf.DUMMYFUNCTION("""COMPUTED_VALUE"""),"Escalation of Dispute")</f>
        <v>Escalation of Dispute</v>
      </c>
      <c r="AB234" s="8" t="str">
        <f ca="1">IFERROR(__xludf.DUMMYFUNCTION("""COMPUTED_VALUE"""),"Spontaneous")</f>
        <v>Spontaneous</v>
      </c>
      <c r="AC234" s="8" t="str">
        <f ca="1">IFERROR(__xludf.DUMMYFUNCTION("""COMPUTED_VALUE"""),"Yes")</f>
        <v>Yes</v>
      </c>
      <c r="AD234" s="8"/>
      <c r="AE234" s="8" t="str">
        <f ca="1">IFERROR(__xludf.DUMMYFUNCTION("""COMPUTED_VALUE"""),"No")</f>
        <v>No</v>
      </c>
      <c r="AF234" s="8"/>
      <c r="AG234" s="8" t="str">
        <f ca="1">IFERROR(__xludf.DUMMYFUNCTION("""COMPUTED_VALUE"""),"No")</f>
        <v>No</v>
      </c>
      <c r="AH234" s="8" t="str">
        <f ca="1">IFERROR(__xludf.DUMMYFUNCTION("""COMPUTED_VALUE"""),"No")</f>
        <v>No</v>
      </c>
      <c r="AI234" s="8" t="str">
        <f ca="1">IFERROR(__xludf.DUMMYFUNCTION("""COMPUTED_VALUE"""),"No")</f>
        <v>No</v>
      </c>
      <c r="AJ234" s="8" t="str">
        <f ca="1">IFERROR(__xludf.DUMMYFUNCTION("""COMPUTED_VALUE"""),"No")</f>
        <v>No</v>
      </c>
      <c r="AK234" s="8" t="str">
        <f ca="1">IFERROR(__xludf.DUMMYFUNCTION("""COMPUTED_VALUE"""),"No")</f>
        <v>No</v>
      </c>
      <c r="AL234" s="8"/>
      <c r="AM234" s="8" t="str">
        <f ca="1">IFERROR(__xludf.DUMMYFUNCTION("""COMPUTED_VALUE"""),"No")</f>
        <v>No</v>
      </c>
      <c r="AN234" s="8" t="str">
        <f ca="1">IFERROR(__xludf.DUMMYFUNCTION("""COMPUTED_VALUE"""),"Outside")</f>
        <v>Outside</v>
      </c>
      <c r="AO234" s="8" t="str">
        <f ca="1">IFERROR(__xludf.DUMMYFUNCTION("""COMPUTED_VALUE"""),"No")</f>
        <v>No</v>
      </c>
      <c r="AP234" s="8"/>
      <c r="AQ234" s="8"/>
      <c r="AR234" s="8" t="str">
        <f ca="1">IFERROR(__xludf.DUMMYFUNCTION("""COMPUTED_VALUE"""),"Outside/Off-Property")</f>
        <v>Outside/Off-Property</v>
      </c>
      <c r="AS234" s="8">
        <f ca="1">IFERROR(__xludf.DUMMYFUNCTION("""COMPUTED_VALUE"""),8)</f>
        <v>8</v>
      </c>
      <c r="AT234" s="8" t="str">
        <f ca="1">IFERROR(__xludf.DUMMYFUNCTION("""COMPUTED_VALUE"""),"No")</f>
        <v>No</v>
      </c>
      <c r="AU234" s="8">
        <f ca="1">IFERROR(__xludf.DUMMYFUNCTION("""COMPUTED_VALUE"""),39.155744)</f>
        <v>39.155743999999999</v>
      </c>
      <c r="AV234" s="8">
        <f ca="1">IFERROR(__xludf.DUMMYFUNCTION("""COMPUTED_VALUE"""),-75.57348)</f>
        <v>-75.573480000000004</v>
      </c>
      <c r="AW234" s="8" t="str">
        <f ca="1">IFERROR(__xludf.DUMMYFUNCTION("""COMPUTED_VALUE"""),"Multiple detached buildings")</f>
        <v>Multiple detached buildings</v>
      </c>
      <c r="AX234" s="8">
        <f ca="1">IFERROR(__xludf.DUMMYFUNCTION("""COMPUTED_VALUE"""),19904)</f>
        <v>19904</v>
      </c>
    </row>
    <row r="235" spans="1:50" ht="165" x14ac:dyDescent="0.2">
      <c r="A235" s="8" t="str">
        <f ca="1">IFERROR(__xludf.DUMMYFUNCTION("""COMPUTED_VALUE"""),"20241017LALAL")</f>
        <v>20241017LALAL</v>
      </c>
      <c r="B235" s="8">
        <f ca="1">IFERROR(__xludf.DUMMYFUNCTION("""COMPUTED_VALUE"""),10)</f>
        <v>10</v>
      </c>
      <c r="C235" s="8">
        <f ca="1">IFERROR(__xludf.DUMMYFUNCTION("""COMPUTED_VALUE"""),17)</f>
        <v>17</v>
      </c>
      <c r="D235" s="8">
        <f ca="1">IFERROR(__xludf.DUMMYFUNCTION("""COMPUTED_VALUE"""),2024)</f>
        <v>2024</v>
      </c>
      <c r="E235" s="9">
        <f ca="1">IFERROR(__xludf.DUMMYFUNCTION("""COMPUTED_VALUE"""),45582)</f>
        <v>45582</v>
      </c>
      <c r="F235" s="8" t="str">
        <f ca="1">IFERROR(__xludf.DUMMYFUNCTION("""COMPUTED_VALUE"""),"Lafayette High School")</f>
        <v>Lafayette High School</v>
      </c>
      <c r="G235" s="8">
        <f ca="1">IFERROR(__xludf.DUMMYFUNCTION("""COMPUTED_VALUE"""),0)</f>
        <v>0</v>
      </c>
      <c r="H235" s="8">
        <f ca="1">IFERROR(__xludf.DUMMYFUNCTION("""COMPUTED_VALUE"""),1)</f>
        <v>1</v>
      </c>
      <c r="I235" s="8">
        <f ca="1">IFERROR(__xludf.DUMMYFUNCTION("""COMPUTED_VALUE"""),1)</f>
        <v>1</v>
      </c>
      <c r="J235" s="8">
        <f ca="1">IFERROR(__xludf.DUMMYFUNCTION("""COMPUTED_VALUE"""),0)</f>
        <v>0</v>
      </c>
      <c r="K235" s="10" t="str">
        <f ca="1">IFERROR(__xludf.DUMMYFUNCTION("""COMPUTED_VALUE"""),"https://www.theadvocate.com/acadiana/news/crime_police/construction-worker-accidentally-shoots-himself-on-lafayette-high-school-campus/article_7e234a80-8d5b-11ef-bfd0-a7ff871461a2.html")</f>
        <v>https://www.theadvocate.com/acadiana/news/crime_police/construction-worker-accidentally-shoots-himself-on-lafayette-high-school-campus/article_7e234a80-8d5b-11ef-bfd0-a7ff871461a2.html</v>
      </c>
      <c r="L235" s="8">
        <f ca="1">IFERROR(__xludf.DUMMYFUNCTION("""COMPUTED_VALUE"""),1)</f>
        <v>1</v>
      </c>
      <c r="M235" s="8" t="str">
        <f ca="1">IFERROR(__xludf.DUMMYFUNCTION("""COMPUTED_VALUE"""),"Local")</f>
        <v>Local</v>
      </c>
      <c r="N235" s="8">
        <f ca="1">IFERROR(__xludf.DUMMYFUNCTION("""COMPUTED_VALUE"""),4)</f>
        <v>4</v>
      </c>
      <c r="O235" s="8" t="str">
        <f ca="1">IFERROR(__xludf.DUMMYFUNCTION("""COMPUTED_VALUE"""),"Fall")</f>
        <v>Fall</v>
      </c>
      <c r="P235" s="8" t="str">
        <f ca="1">IFERROR(__xludf.DUMMYFUNCTION("""COMPUTED_VALUE"""),"Lafayette")</f>
        <v>Lafayette</v>
      </c>
      <c r="Q235" s="8" t="str">
        <f ca="1">IFERROR(__xludf.DUMMYFUNCTION("""COMPUTED_VALUE"""),"LA")</f>
        <v>LA</v>
      </c>
      <c r="R235" s="8" t="str">
        <f ca="1">IFERROR(__xludf.DUMMYFUNCTION("""COMPUTED_VALUE"""),"High")</f>
        <v>High</v>
      </c>
      <c r="S235" s="8" t="str">
        <f ca="1">IFERROR(__xludf.DUMMYFUNCTION("""COMPUTED_VALUE"""),"Parking Lot")</f>
        <v>Parking Lot</v>
      </c>
      <c r="T235" s="8" t="str">
        <f ca="1">IFERROR(__xludf.DUMMYFUNCTION("""COMPUTED_VALUE"""),"Outside on School Property")</f>
        <v>Outside on School Property</v>
      </c>
      <c r="U235" s="8" t="str">
        <f ca="1">IFERROR(__xludf.DUMMYFUNCTION("""COMPUTED_VALUE"""),"Yes")</f>
        <v>Yes</v>
      </c>
      <c r="V235" s="8" t="str">
        <f ca="1">IFERROR(__xludf.DUMMYFUNCTION("""COMPUTED_VALUE"""),"Lunch")</f>
        <v>Lunch</v>
      </c>
      <c r="W235" s="11">
        <f ca="1">IFERROR(__xludf.DUMMYFUNCTION("""COMPUTED_VALUE"""),0.50625)</f>
        <v>0.50624999999999998</v>
      </c>
      <c r="X235" s="8">
        <f ca="1">IFERROR(__xludf.DUMMYFUNCTION("""COMPUTED_VALUE"""),1)</f>
        <v>1</v>
      </c>
      <c r="Y235" s="12" t="str">
        <f ca="1">IFERROR(__xludf.DUMMYFUNCTION("""COMPUTED_VALUE"""),"Construction worker shot himself in the leg in the school parking lot")</f>
        <v>Construction worker shot himself in the leg in the school parking lot</v>
      </c>
      <c r="Z235" s="12" t="str">
        <f ca="1">IFERROR(__xludf.DUMMYFUNCTION("""COMPUTED_VALUE"""),"A construction worker accidentally shot himself while in his car on Lafayette High School's campus Thursday, according to authorities. The school was not notified of the shooting until after police arrived, according to a Lafayette Parish School System an"&amp;"nouncement. No students were in danger, officials said. The shooting occurred at 12:09 p.m., according to Corporal Ashley Wood, a  Lafayette Police Department spokesperson, when a Lemoine construction worker accidentally fired one shot into his hand and l"&amp;"ower leg in his vehicle. The worker was handling the firearm when it accidentally fired.  ")</f>
        <v xml:space="preserve">A construction worker accidentally shot himself while in his car on Lafayette High School's campus Thursday, according to authorities. The school was not notified of the shooting until after police arrived, according to a Lafayette Parish School System announcement. No students were in danger, officials said. The shooting occurred at 12:09 p.m., according to Corporal Ashley Wood, a  Lafayette Police Department spokesperson, when a Lemoine construction worker accidentally fired one shot into his hand and lower leg in his vehicle. The worker was handling the firearm when it accidentally fired.  </v>
      </c>
      <c r="AA235" s="8" t="str">
        <f ca="1">IFERROR(__xludf.DUMMYFUNCTION("""COMPUTED_VALUE"""),"Accidental")</f>
        <v>Accidental</v>
      </c>
      <c r="AB235" s="8" t="str">
        <f ca="1">IFERROR(__xludf.DUMMYFUNCTION("""COMPUTED_VALUE"""),"Spontaneous")</f>
        <v>Spontaneous</v>
      </c>
      <c r="AC235" s="8" t="str">
        <f ca="1">IFERROR(__xludf.DUMMYFUNCTION("""COMPUTED_VALUE"""),"Yes")</f>
        <v>Yes</v>
      </c>
      <c r="AD235" s="8" t="str">
        <f ca="1">IFERROR(__xludf.DUMMYFUNCTION("""COMPUTED_VALUE"""),"Neither")</f>
        <v>Neither</v>
      </c>
      <c r="AE235" s="8" t="str">
        <f ca="1">IFERROR(__xludf.DUMMYFUNCTION("""COMPUTED_VALUE"""),"No")</f>
        <v>No</v>
      </c>
      <c r="AF235" s="8"/>
      <c r="AG235" s="8" t="str">
        <f ca="1">IFERROR(__xludf.DUMMYFUNCTION("""COMPUTED_VALUE"""),"No")</f>
        <v>No</v>
      </c>
      <c r="AH235" s="8" t="str">
        <f ca="1">IFERROR(__xludf.DUMMYFUNCTION("""COMPUTED_VALUE"""),"No")</f>
        <v>No</v>
      </c>
      <c r="AI235" s="8" t="str">
        <f ca="1">IFERROR(__xludf.DUMMYFUNCTION("""COMPUTED_VALUE"""),"No")</f>
        <v>No</v>
      </c>
      <c r="AJ235" s="8" t="str">
        <f ca="1">IFERROR(__xludf.DUMMYFUNCTION("""COMPUTED_VALUE"""),"No")</f>
        <v>No</v>
      </c>
      <c r="AK235" s="8" t="str">
        <f ca="1">IFERROR(__xludf.DUMMYFUNCTION("""COMPUTED_VALUE"""),"No")</f>
        <v>No</v>
      </c>
      <c r="AL235" s="8" t="str">
        <f ca="1">IFERROR(__xludf.DUMMYFUNCTION("""COMPUTED_VALUE"""),"No")</f>
        <v>No</v>
      </c>
      <c r="AM235" s="8" t="str">
        <f ca="1">IFERROR(__xludf.DUMMYFUNCTION("""COMPUTED_VALUE"""),"No")</f>
        <v>No</v>
      </c>
      <c r="AN235" s="8" t="str">
        <f ca="1">IFERROR(__xludf.DUMMYFUNCTION("""COMPUTED_VALUE"""),"Outside")</f>
        <v>Outside</v>
      </c>
      <c r="AO235" s="8" t="str">
        <f ca="1">IFERROR(__xludf.DUMMYFUNCTION("""COMPUTED_VALUE"""),"No")</f>
        <v>No</v>
      </c>
      <c r="AP235" s="8"/>
      <c r="AQ235" s="8"/>
      <c r="AR235" s="8" t="str">
        <f ca="1">IFERROR(__xludf.DUMMYFUNCTION("""COMPUTED_VALUE"""),"Outside/Off-Property")</f>
        <v>Outside/Off-Property</v>
      </c>
      <c r="AS235" s="8">
        <f ca="1">IFERROR(__xludf.DUMMYFUNCTION("""COMPUTED_VALUE"""),1)</f>
        <v>1</v>
      </c>
      <c r="AT235" s="8" t="str">
        <f ca="1">IFERROR(__xludf.DUMMYFUNCTION("""COMPUTED_VALUE"""),"No")</f>
        <v>No</v>
      </c>
      <c r="AU235" s="8">
        <f ca="1">IFERROR(__xludf.DUMMYFUNCTION("""COMPUTED_VALUE"""),30.207002)</f>
        <v>30.207001999999999</v>
      </c>
      <c r="AV235" s="8">
        <f ca="1">IFERROR(__xludf.DUMMYFUNCTION("""COMPUTED_VALUE"""),-92.057972)</f>
        <v>-92.057972000000007</v>
      </c>
      <c r="AW235" s="8" t="str">
        <f ca="1">IFERROR(__xludf.DUMMYFUNCTION("""COMPUTED_VALUE"""),"Multiple detached buildings")</f>
        <v>Multiple detached buildings</v>
      </c>
      <c r="AX235" s="8">
        <f ca="1">IFERROR(__xludf.DUMMYFUNCTION("""COMPUTED_VALUE"""),70506)</f>
        <v>70506</v>
      </c>
    </row>
    <row r="236" spans="1:50" ht="135" x14ac:dyDescent="0.2">
      <c r="A236" s="8" t="str">
        <f ca="1">IFERROR(__xludf.DUMMYFUNCTION("""COMPUTED_VALUE"""),"20241017ORISP")</f>
        <v>20241017ORISP</v>
      </c>
      <c r="B236" s="8">
        <f ca="1">IFERROR(__xludf.DUMMYFUNCTION("""COMPUTED_VALUE"""),10)</f>
        <v>10</v>
      </c>
      <c r="C236" s="8">
        <f ca="1">IFERROR(__xludf.DUMMYFUNCTION("""COMPUTED_VALUE"""),17)</f>
        <v>17</v>
      </c>
      <c r="D236" s="8">
        <f ca="1">IFERROR(__xludf.DUMMYFUNCTION("""COMPUTED_VALUE"""),2024)</f>
        <v>2024</v>
      </c>
      <c r="E236" s="9">
        <f ca="1">IFERROR(__xludf.DUMMYFUNCTION("""COMPUTED_VALUE"""),45582)</f>
        <v>45582</v>
      </c>
      <c r="F236" s="8" t="str">
        <f ca="1">IFERROR(__xludf.DUMMYFUNCTION("""COMPUTED_VALUE"""),"Islamic School of Portland")</f>
        <v>Islamic School of Portland</v>
      </c>
      <c r="G236" s="8">
        <f ca="1">IFERROR(__xludf.DUMMYFUNCTION("""COMPUTED_VALUE"""),0)</f>
        <v>0</v>
      </c>
      <c r="H236" s="8">
        <f ca="1">IFERROR(__xludf.DUMMYFUNCTION("""COMPUTED_VALUE"""),1)</f>
        <v>1</v>
      </c>
      <c r="I236" s="8">
        <f ca="1">IFERROR(__xludf.DUMMYFUNCTION("""COMPUTED_VALUE"""),1)</f>
        <v>1</v>
      </c>
      <c r="J236" s="8">
        <f ca="1">IFERROR(__xludf.DUMMYFUNCTION("""COMPUTED_VALUE"""),0)</f>
        <v>0</v>
      </c>
      <c r="K236" s="10" t="str">
        <f ca="1">IFERROR(__xludf.DUMMYFUNCTION("""COMPUTED_VALUE"""),"https://www.koin.com/news/portland/not-something-normal-woman-speaks-after-father-shot-outside-islamic-school-of-portland/
https://www.kptv.com/2024/10/18/1-shot-behind-islamic-school-portland-alleged-shooter-custody/")</f>
        <v>https://www.koin.com/news/portland/not-something-normal-woman-speaks-after-father-shot-outside-islamic-school-of-portland/
https://www.kptv.com/2024/10/18/1-shot-behind-islamic-school-portland-alleged-shooter-custody/</v>
      </c>
      <c r="L236" s="8">
        <f ca="1">IFERROR(__xludf.DUMMYFUNCTION("""COMPUTED_VALUE"""),10)</f>
        <v>10</v>
      </c>
      <c r="M236" s="8" t="str">
        <f ca="1">IFERROR(__xludf.DUMMYFUNCTION("""COMPUTED_VALUE"""),"Regional")</f>
        <v>Regional</v>
      </c>
      <c r="N236" s="8">
        <f ca="1">IFERROR(__xludf.DUMMYFUNCTION("""COMPUTED_VALUE"""),4)</f>
        <v>4</v>
      </c>
      <c r="O236" s="8" t="str">
        <f ca="1">IFERROR(__xludf.DUMMYFUNCTION("""COMPUTED_VALUE"""),"Fall")</f>
        <v>Fall</v>
      </c>
      <c r="P236" s="8" t="str">
        <f ca="1">IFERROR(__xludf.DUMMYFUNCTION("""COMPUTED_VALUE"""),"Portland")</f>
        <v>Portland</v>
      </c>
      <c r="Q236" s="8" t="str">
        <f ca="1">IFERROR(__xludf.DUMMYFUNCTION("""COMPUTED_VALUE"""),"OR")</f>
        <v>OR</v>
      </c>
      <c r="R236" s="8" t="str">
        <f ca="1">IFERROR(__xludf.DUMMYFUNCTION("""COMPUTED_VALUE"""),"K-12")</f>
        <v>K-12</v>
      </c>
      <c r="S236" s="8" t="str">
        <f ca="1">IFERROR(__xludf.DUMMYFUNCTION("""COMPUTED_VALUE"""),"Parking Lot")</f>
        <v>Parking Lot</v>
      </c>
      <c r="T236" s="8" t="str">
        <f ca="1">IFERROR(__xludf.DUMMYFUNCTION("""COMPUTED_VALUE"""),"Outside on School Property")</f>
        <v>Outside on School Property</v>
      </c>
      <c r="U236" s="8" t="str">
        <f ca="1">IFERROR(__xludf.DUMMYFUNCTION("""COMPUTED_VALUE"""),"Yes")</f>
        <v>Yes</v>
      </c>
      <c r="V236" s="8" t="str">
        <f ca="1">IFERROR(__xludf.DUMMYFUNCTION("""COMPUTED_VALUE"""),"Afternoon Classes")</f>
        <v>Afternoon Classes</v>
      </c>
      <c r="W236" s="11">
        <f ca="1">IFERROR(__xludf.DUMMYFUNCTION("""COMPUTED_VALUE"""),0.599305555555555)</f>
        <v>0.59930555555555498</v>
      </c>
      <c r="X236" s="8">
        <f ca="1">IFERROR(__xludf.DUMMYFUNCTION("""COMPUTED_VALUE"""),1)</f>
        <v>1</v>
      </c>
      <c r="Y236" s="12" t="str">
        <f ca="1">IFERROR(__xludf.DUMMYFUNCTION("""COMPUTED_VALUE"""),"Parent shot behind school before student pickup, shooter entered the school and left the gun inside the school before fleeing")</f>
        <v>Parent shot behind school before student pickup, shooter entered the school and left the gun inside the school before fleeing</v>
      </c>
      <c r="Z236" s="12" t="str">
        <f ca="1">IFERROR(__xludf.DUMMYFUNCTION("""COMPUTED_VALUE"""),"An adult male parent was shot behind the Islamic School of Portland on Thursday afternoon. A parent was shot during a dispute with another parent before student pick-up. When they arrived, officers found a man who was wounded outside the school. He was ta"&amp;"ken to an area hospital for treatment. Officers learned the accused shooter entered the Islamic School of Portland, left his gun inside the school building, he exited the building, and was taken into custody without incident.")</f>
        <v>An adult male parent was shot behind the Islamic School of Portland on Thursday afternoon. A parent was shot during a dispute with another parent before student pick-up. When they arrived, officers found a man who was wounded outside the school. He was taken to an area hospital for treatment. Officers learned the accused shooter entered the Islamic School of Portland, left his gun inside the school building, he exited the building, and was taken into custody without incident.</v>
      </c>
      <c r="AA236" s="8" t="str">
        <f ca="1">IFERROR(__xludf.DUMMYFUNCTION("""COMPUTED_VALUE"""),"Escalation of Dispute")</f>
        <v>Escalation of Dispute</v>
      </c>
      <c r="AB236" s="8" t="str">
        <f ca="1">IFERROR(__xludf.DUMMYFUNCTION("""COMPUTED_VALUE"""),"Targeted")</f>
        <v>Targeted</v>
      </c>
      <c r="AC236" s="8" t="str">
        <f ca="1">IFERROR(__xludf.DUMMYFUNCTION("""COMPUTED_VALUE"""),"Yes")</f>
        <v>Yes</v>
      </c>
      <c r="AD236" s="8" t="str">
        <f ca="1">IFERROR(__xludf.DUMMYFUNCTION("""COMPUTED_VALUE"""),"Victims Targeted")</f>
        <v>Victims Targeted</v>
      </c>
      <c r="AE236" s="8" t="str">
        <f ca="1">IFERROR(__xludf.DUMMYFUNCTION("""COMPUTED_VALUE"""),"No")</f>
        <v>No</v>
      </c>
      <c r="AF236" s="8"/>
      <c r="AG236" s="8" t="str">
        <f ca="1">IFERROR(__xludf.DUMMYFUNCTION("""COMPUTED_VALUE"""),"No")</f>
        <v>No</v>
      </c>
      <c r="AH236" s="8" t="str">
        <f ca="1">IFERROR(__xludf.DUMMYFUNCTION("""COMPUTED_VALUE"""),"No")</f>
        <v>No</v>
      </c>
      <c r="AI236" s="8" t="str">
        <f ca="1">IFERROR(__xludf.DUMMYFUNCTION("""COMPUTED_VALUE"""),"No")</f>
        <v>No</v>
      </c>
      <c r="AJ236" s="8" t="str">
        <f ca="1">IFERROR(__xludf.DUMMYFUNCTION("""COMPUTED_VALUE"""),"No")</f>
        <v>No</v>
      </c>
      <c r="AK236" s="8" t="str">
        <f ca="1">IFERROR(__xludf.DUMMYFUNCTION("""COMPUTED_VALUE"""),"No")</f>
        <v>No</v>
      </c>
      <c r="AL236" s="8" t="str">
        <f ca="1">IFERROR(__xludf.DUMMYFUNCTION("""COMPUTED_VALUE"""),"No")</f>
        <v>No</v>
      </c>
      <c r="AM236" s="8" t="str">
        <f ca="1">IFERROR(__xludf.DUMMYFUNCTION("""COMPUTED_VALUE"""),"No")</f>
        <v>No</v>
      </c>
      <c r="AN236" s="8" t="str">
        <f ca="1">IFERROR(__xludf.DUMMYFUNCTION("""COMPUTED_VALUE"""),"Outside")</f>
        <v>Outside</v>
      </c>
      <c r="AO236" s="8" t="str">
        <f ca="1">IFERROR(__xludf.DUMMYFUNCTION("""COMPUTED_VALUE"""),"No")</f>
        <v>No</v>
      </c>
      <c r="AP236" s="8"/>
      <c r="AQ236" s="8"/>
      <c r="AR236" s="8" t="str">
        <f ca="1">IFERROR(__xludf.DUMMYFUNCTION("""COMPUTED_VALUE"""),"Failed")</f>
        <v>Failed</v>
      </c>
      <c r="AS236" s="8">
        <f ca="1">IFERROR(__xludf.DUMMYFUNCTION("""COMPUTED_VALUE"""),99)</f>
        <v>99</v>
      </c>
      <c r="AT236" s="8" t="str">
        <f ca="1">IFERROR(__xludf.DUMMYFUNCTION("""COMPUTED_VALUE"""),"No")</f>
        <v>No</v>
      </c>
      <c r="AU236" s="8">
        <f ca="1">IFERROR(__xludf.DUMMYFUNCTION("""COMPUTED_VALUE"""),45.451773)</f>
        <v>45.451773000000003</v>
      </c>
      <c r="AV236" s="8">
        <f ca="1">IFERROR(__xludf.DUMMYFUNCTION("""COMPUTED_VALUE"""),-122.722036)</f>
        <v>-122.722036</v>
      </c>
      <c r="AW236" s="8" t="str">
        <f ca="1">IFERROR(__xludf.DUMMYFUNCTION("""COMPUTED_VALUE"""),"Single building indoor hallway")</f>
        <v>Single building indoor hallway</v>
      </c>
      <c r="AX236" s="8">
        <f ca="1">IFERROR(__xludf.DUMMYFUNCTION("""COMPUTED_VALUE"""),97219)</f>
        <v>97219</v>
      </c>
    </row>
    <row r="237" spans="1:50" ht="75" x14ac:dyDescent="0.2">
      <c r="A237" s="8" t="str">
        <f ca="1">IFERROR(__xludf.DUMMYFUNCTION("""COMPUTED_VALUE"""),"20241017KYATL")</f>
        <v>20241017KYATL</v>
      </c>
      <c r="B237" s="8">
        <f ca="1">IFERROR(__xludf.DUMMYFUNCTION("""COMPUTED_VALUE"""),10)</f>
        <v>10</v>
      </c>
      <c r="C237" s="8">
        <f ca="1">IFERROR(__xludf.DUMMYFUNCTION("""COMPUTED_VALUE"""),17)</f>
        <v>17</v>
      </c>
      <c r="D237" s="8">
        <f ca="1">IFERROR(__xludf.DUMMYFUNCTION("""COMPUTED_VALUE"""),2024)</f>
        <v>2024</v>
      </c>
      <c r="E237" s="9">
        <f ca="1">IFERROR(__xludf.DUMMYFUNCTION("""COMPUTED_VALUE"""),45582)</f>
        <v>45582</v>
      </c>
      <c r="F237" s="8" t="str">
        <f ca="1">IFERROR(__xludf.DUMMYFUNCTION("""COMPUTED_VALUE"""),"Atherton High School")</f>
        <v>Atherton High School</v>
      </c>
      <c r="G237" s="8">
        <f ca="1">IFERROR(__xludf.DUMMYFUNCTION("""COMPUTED_VALUE"""),0)</f>
        <v>0</v>
      </c>
      <c r="H237" s="8">
        <f ca="1">IFERROR(__xludf.DUMMYFUNCTION("""COMPUTED_VALUE"""),1)</f>
        <v>1</v>
      </c>
      <c r="I237" s="8">
        <f ca="1">IFERROR(__xludf.DUMMYFUNCTION("""COMPUTED_VALUE"""),1)</f>
        <v>1</v>
      </c>
      <c r="J237" s="8">
        <f ca="1">IFERROR(__xludf.DUMMYFUNCTION("""COMPUTED_VALUE"""),0)</f>
        <v>0</v>
      </c>
      <c r="K237" s="10" t="str">
        <f ca="1">IFERROR(__xludf.DUMMYFUNCTION("""COMPUTED_VALUE"""),"https://www.wave3.com/2024/10/17/jcps-student-injured-accidental-shooting-atherton-high-school/
https://www.whas11.com/article/news/education/jcps-student-injured-shooting-themselves-atherton-high-school-parking-lot/417-0a3f71d5-01e8-45f7-9a32-98bd671d15a"&amp;"e")</f>
        <v>https://www.wave3.com/2024/10/17/jcps-student-injured-accidental-shooting-atherton-high-school/
https://www.whas11.com/article/news/education/jcps-student-injured-shooting-themselves-atherton-high-school-parking-lot/417-0a3f71d5-01e8-45f7-9a32-98bd671d15ae</v>
      </c>
      <c r="L237" s="8">
        <f ca="1">IFERROR(__xludf.DUMMYFUNCTION("""COMPUTED_VALUE"""),5)</f>
        <v>5</v>
      </c>
      <c r="M237" s="8" t="str">
        <f ca="1">IFERROR(__xludf.DUMMYFUNCTION("""COMPUTED_VALUE"""),"Local")</f>
        <v>Local</v>
      </c>
      <c r="N237" s="8">
        <f ca="1">IFERROR(__xludf.DUMMYFUNCTION("""COMPUTED_VALUE"""),4)</f>
        <v>4</v>
      </c>
      <c r="O237" s="8" t="str">
        <f ca="1">IFERROR(__xludf.DUMMYFUNCTION("""COMPUTED_VALUE"""),"Fall")</f>
        <v>Fall</v>
      </c>
      <c r="P237" s="8" t="str">
        <f ca="1">IFERROR(__xludf.DUMMYFUNCTION("""COMPUTED_VALUE"""),"Louisville")</f>
        <v>Louisville</v>
      </c>
      <c r="Q237" s="8" t="str">
        <f ca="1">IFERROR(__xludf.DUMMYFUNCTION("""COMPUTED_VALUE"""),"KY")</f>
        <v>KY</v>
      </c>
      <c r="R237" s="8" t="str">
        <f ca="1">IFERROR(__xludf.DUMMYFUNCTION("""COMPUTED_VALUE"""),"High")</f>
        <v>High</v>
      </c>
      <c r="S237" s="8" t="str">
        <f ca="1">IFERROR(__xludf.DUMMYFUNCTION("""COMPUTED_VALUE"""),"Parking Lot")</f>
        <v>Parking Lot</v>
      </c>
      <c r="T237" s="8" t="str">
        <f ca="1">IFERROR(__xludf.DUMMYFUNCTION("""COMPUTED_VALUE"""),"Outside on School Property")</f>
        <v>Outside on School Property</v>
      </c>
      <c r="U237" s="8" t="str">
        <f ca="1">IFERROR(__xludf.DUMMYFUNCTION("""COMPUTED_VALUE"""),"Yes")</f>
        <v>Yes</v>
      </c>
      <c r="V237" s="8" t="str">
        <f ca="1">IFERROR(__xludf.DUMMYFUNCTION("""COMPUTED_VALUE"""),"Morning Classes")</f>
        <v>Morning Classes</v>
      </c>
      <c r="W237" s="11">
        <f ca="1">IFERROR(__xludf.DUMMYFUNCTION("""COMPUTED_VALUE"""),0.354166666666666)</f>
        <v>0.35416666666666602</v>
      </c>
      <c r="X237" s="8">
        <f ca="1">IFERROR(__xludf.DUMMYFUNCTION("""COMPUTED_VALUE"""),1)</f>
        <v>1</v>
      </c>
      <c r="Y237" s="12" t="str">
        <f ca="1">IFERROR(__xludf.DUMMYFUNCTION("""COMPUTED_VALUE"""),"Student shot himself in the parking lot while putting a gun away in his car")</f>
        <v>Student shot himself in the parking lot while putting a gun away in his car</v>
      </c>
      <c r="Z237" s="12" t="str">
        <f ca="1">IFERROR(__xludf.DUMMYFUNCTION("""COMPUTED_VALUE"""),"Louisville Metro police officers have been called to Atherton High School on Dundee Road after a self-inflicted shooting happened Thursday morning. An official with JCPS said the student accidentally shot himself in the parking lot while putting the gun a"&amp;"way. The student was taken to a hospital.")</f>
        <v>Louisville Metro police officers have been called to Atherton High School on Dundee Road after a self-inflicted shooting happened Thursday morning. An official with JCPS said the student accidentally shot himself in the parking lot while putting the gun away. The student was taken to a hospital.</v>
      </c>
      <c r="AA237" s="8" t="str">
        <f ca="1">IFERROR(__xludf.DUMMYFUNCTION("""COMPUTED_VALUE"""),"Accidental")</f>
        <v>Accidental</v>
      </c>
      <c r="AB237" s="8" t="str">
        <f ca="1">IFERROR(__xludf.DUMMYFUNCTION("""COMPUTED_VALUE"""),"Spontaneous")</f>
        <v>Spontaneous</v>
      </c>
      <c r="AC237" s="8" t="str">
        <f ca="1">IFERROR(__xludf.DUMMYFUNCTION("""COMPUTED_VALUE"""),"Yes")</f>
        <v>Yes</v>
      </c>
      <c r="AD237" s="8" t="str">
        <f ca="1">IFERROR(__xludf.DUMMYFUNCTION("""COMPUTED_VALUE"""),"Neither")</f>
        <v>Neither</v>
      </c>
      <c r="AE237" s="8" t="str">
        <f ca="1">IFERROR(__xludf.DUMMYFUNCTION("""COMPUTED_VALUE"""),"No")</f>
        <v>No</v>
      </c>
      <c r="AF237" s="8"/>
      <c r="AG237" s="8" t="str">
        <f ca="1">IFERROR(__xludf.DUMMYFUNCTION("""COMPUTED_VALUE"""),"No")</f>
        <v>No</v>
      </c>
      <c r="AH237" s="8" t="str">
        <f ca="1">IFERROR(__xludf.DUMMYFUNCTION("""COMPUTED_VALUE"""),"No")</f>
        <v>No</v>
      </c>
      <c r="AI237" s="8" t="str">
        <f ca="1">IFERROR(__xludf.DUMMYFUNCTION("""COMPUTED_VALUE"""),"No")</f>
        <v>No</v>
      </c>
      <c r="AJ237" s="8"/>
      <c r="AK237" s="8" t="str">
        <f ca="1">IFERROR(__xludf.DUMMYFUNCTION("""COMPUTED_VALUE"""),"No")</f>
        <v>No</v>
      </c>
      <c r="AL237" s="8" t="str">
        <f ca="1">IFERROR(__xludf.DUMMYFUNCTION("""COMPUTED_VALUE"""),"No")</f>
        <v>No</v>
      </c>
      <c r="AM237" s="8" t="str">
        <f ca="1">IFERROR(__xludf.DUMMYFUNCTION("""COMPUTED_VALUE"""),"No")</f>
        <v>No</v>
      </c>
      <c r="AN237" s="8" t="str">
        <f ca="1">IFERROR(__xludf.DUMMYFUNCTION("""COMPUTED_VALUE"""),"Outside")</f>
        <v>Outside</v>
      </c>
      <c r="AO237" s="8" t="str">
        <f ca="1">IFERROR(__xludf.DUMMYFUNCTION("""COMPUTED_VALUE"""),"No")</f>
        <v>No</v>
      </c>
      <c r="AP237" s="8"/>
      <c r="AQ237" s="8"/>
      <c r="AR237" s="8" t="str">
        <f ca="1">IFERROR(__xludf.DUMMYFUNCTION("""COMPUTED_VALUE"""),"Outside/Off-Property")</f>
        <v>Outside/Off-Property</v>
      </c>
      <c r="AS237" s="8">
        <f ca="1">IFERROR(__xludf.DUMMYFUNCTION("""COMPUTED_VALUE"""),1)</f>
        <v>1</v>
      </c>
      <c r="AT237" s="8" t="str">
        <f ca="1">IFERROR(__xludf.DUMMYFUNCTION("""COMPUTED_VALUE"""),"Yes")</f>
        <v>Yes</v>
      </c>
      <c r="AU237" s="8">
        <f ca="1">IFERROR(__xludf.DUMMYFUNCTION("""COMPUTED_VALUE"""),38.214582)</f>
        <v>38.214582</v>
      </c>
      <c r="AV237" s="8">
        <f ca="1">IFERROR(__xludf.DUMMYFUNCTION("""COMPUTED_VALUE"""),-85.687852)</f>
        <v>-85.687852000000007</v>
      </c>
      <c r="AW237" s="8" t="str">
        <f ca="1">IFERROR(__xludf.DUMMYFUNCTION("""COMPUTED_VALUE"""),"Multiple detached buildings")</f>
        <v>Multiple detached buildings</v>
      </c>
      <c r="AX237" s="8">
        <f ca="1">IFERROR(__xludf.DUMMYFUNCTION("""COMPUTED_VALUE"""),40205)</f>
        <v>40205</v>
      </c>
    </row>
    <row r="238" spans="1:50" ht="180" x14ac:dyDescent="0.2">
      <c r="A238" s="8" t="str">
        <f ca="1">IFERROR(__xludf.DUMMYFUNCTION("""COMPUTED_VALUE"""),"20241017NYISB")</f>
        <v>20241017NYISB</v>
      </c>
      <c r="B238" s="8">
        <f ca="1">IFERROR(__xludf.DUMMYFUNCTION("""COMPUTED_VALUE"""),10)</f>
        <v>10</v>
      </c>
      <c r="C238" s="8">
        <f ca="1">IFERROR(__xludf.DUMMYFUNCTION("""COMPUTED_VALUE"""),17)</f>
        <v>17</v>
      </c>
      <c r="D238" s="8">
        <f ca="1">IFERROR(__xludf.DUMMYFUNCTION("""COMPUTED_VALUE"""),2024)</f>
        <v>2024</v>
      </c>
      <c r="E238" s="9">
        <f ca="1">IFERROR(__xludf.DUMMYFUNCTION("""COMPUTED_VALUE"""),45582)</f>
        <v>45582</v>
      </c>
      <c r="F238" s="8" t="str">
        <f ca="1">IFERROR(__xludf.DUMMYFUNCTION("""COMPUTED_VALUE"""),"I.S. 068 Isaac Bildersee")</f>
        <v>I.S. 068 Isaac Bildersee</v>
      </c>
      <c r="G238" s="8">
        <f ca="1">IFERROR(__xludf.DUMMYFUNCTION("""COMPUTED_VALUE"""),1)</f>
        <v>1</v>
      </c>
      <c r="H238" s="8">
        <f ca="1">IFERROR(__xludf.DUMMYFUNCTION("""COMPUTED_VALUE"""),0)</f>
        <v>0</v>
      </c>
      <c r="I238" s="8">
        <f ca="1">IFERROR(__xludf.DUMMYFUNCTION("""COMPUTED_VALUE"""),1)</f>
        <v>1</v>
      </c>
      <c r="J238" s="8">
        <f ca="1">IFERROR(__xludf.DUMMYFUNCTION("""COMPUTED_VALUE"""),0)</f>
        <v>0</v>
      </c>
      <c r="K238" s="10" t="str">
        <f ca="1">IFERROR(__xludf.DUMMYFUNCTION("""COMPUTED_VALUE"""),"https://www.nydailynews.com/2024/10/30/teen-shot-on-brooklyn-basketball-court-dies-2-weeks-later-boy-15-charged/
https://patch.com/new-york/brooklyn/teen-injured-shooting-brooklyn-basketball-court
https://www.nydailynews.com/2024/10/16/teen-in-critical-co"&amp;"ndition-after-shooting-on-brooklyn-basketball-court/")</f>
        <v>https://www.nydailynews.com/2024/10/30/teen-shot-on-brooklyn-basketball-court-dies-2-weeks-later-boy-15-charged/
https://patch.com/new-york/brooklyn/teen-injured-shooting-brooklyn-basketball-court
https://www.nydailynews.com/2024/10/16/teen-in-critical-condition-after-shooting-on-brooklyn-basketball-court/</v>
      </c>
      <c r="L238" s="8">
        <f ca="1">IFERROR(__xludf.DUMMYFUNCTION("""COMPUTED_VALUE"""),3)</f>
        <v>3</v>
      </c>
      <c r="M238" s="8" t="str">
        <f ca="1">IFERROR(__xludf.DUMMYFUNCTION("""COMPUTED_VALUE"""),"Local")</f>
        <v>Local</v>
      </c>
      <c r="N238" s="8">
        <f ca="1">IFERROR(__xludf.DUMMYFUNCTION("""COMPUTED_VALUE"""),3)</f>
        <v>3</v>
      </c>
      <c r="O238" s="8" t="str">
        <f ca="1">IFERROR(__xludf.DUMMYFUNCTION("""COMPUTED_VALUE"""),"Fall")</f>
        <v>Fall</v>
      </c>
      <c r="P238" s="8" t="str">
        <f ca="1">IFERROR(__xludf.DUMMYFUNCTION("""COMPUTED_VALUE"""),"Brooklyn")</f>
        <v>Brooklyn</v>
      </c>
      <c r="Q238" s="8" t="str">
        <f ca="1">IFERROR(__xludf.DUMMYFUNCTION("""COMPUTED_VALUE"""),"NY")</f>
        <v>NY</v>
      </c>
      <c r="R238" s="8" t="str">
        <f ca="1">IFERROR(__xludf.DUMMYFUNCTION("""COMPUTED_VALUE"""),"Middle")</f>
        <v>Middle</v>
      </c>
      <c r="S238" s="8" t="str">
        <f ca="1">IFERROR(__xludf.DUMMYFUNCTION("""COMPUTED_VALUE"""),"Basketball Court")</f>
        <v>Basketball Court</v>
      </c>
      <c r="T238" s="8" t="str">
        <f ca="1">IFERROR(__xludf.DUMMYFUNCTION("""COMPUTED_VALUE"""),"Outside on School Property")</f>
        <v>Outside on School Property</v>
      </c>
      <c r="U238" s="8" t="str">
        <f ca="1">IFERROR(__xludf.DUMMYFUNCTION("""COMPUTED_VALUE"""),"No")</f>
        <v>No</v>
      </c>
      <c r="V238" s="8" t="str">
        <f ca="1">IFERROR(__xludf.DUMMYFUNCTION("""COMPUTED_VALUE"""),"Evening")</f>
        <v>Evening</v>
      </c>
      <c r="W238" s="11">
        <f ca="1">IFERROR(__xludf.DUMMYFUNCTION("""COMPUTED_VALUE"""),0.736111111111111)</f>
        <v>0.73611111111111105</v>
      </c>
      <c r="X238" s="8">
        <f ca="1">IFERROR(__xludf.DUMMYFUNCTION("""COMPUTED_VALUE"""),1)</f>
        <v>1</v>
      </c>
      <c r="Y238" s="12" t="str">
        <f ca="1">IFERROR(__xludf.DUMMYFUNCTION("""COMPUTED_VALUE"""),"Teen shot in the head on the school basketball court")</f>
        <v>Teen shot in the head on the school basketball court</v>
      </c>
      <c r="Z238" s="12" t="str">
        <f ca="1">IFERROR(__xludf.DUMMYFUNCTION("""COMPUTED_VALUE"""),"An 18-year-old is in critical condition after he was shot near a Brooklyn middle school on Wednesday, according to police. An NYPD spokesperson said the shooting happened around 5:40 p.m. at Flatlands Avenue and East 81st Street near I.S. 68 Isaac Bilders"&amp;"ee in Canarsie. When officers arrived, they found the teen suffering from a gunshot wound to his head. The teen was taken to Brookdale Hospital Medical Center in critical condition. It was one shot, he was lying there in the school compound in the (Bilder"&amp;"see Playground) park,” a witness told the Daily News. “He was bleeding, he was bleeding from the head… it was horrible.""")</f>
        <v>An 18-year-old is in critical condition after he was shot near a Brooklyn middle school on Wednesday, according to police. An NYPD spokesperson said the shooting happened around 5:40 p.m. at Flatlands Avenue and East 81st Street near I.S. 68 Isaac Bildersee in Canarsie. When officers arrived, they found the teen suffering from a gunshot wound to his head. The teen was taken to Brookdale Hospital Medical Center in critical condition. It was one shot, he was lying there in the school compound in the (Bildersee Playground) park,” a witness told the Daily News. “He was bleeding, he was bleeding from the head… it was horrible."</v>
      </c>
      <c r="AA238" s="8"/>
      <c r="AB238" s="8" t="str">
        <f ca="1">IFERROR(__xludf.DUMMYFUNCTION("""COMPUTED_VALUE"""),"Targeted")</f>
        <v>Targeted</v>
      </c>
      <c r="AC238" s="8" t="str">
        <f ca="1">IFERROR(__xludf.DUMMYFUNCTION("""COMPUTED_VALUE"""),"No")</f>
        <v>No</v>
      </c>
      <c r="AD238" s="8" t="str">
        <f ca="1">IFERROR(__xludf.DUMMYFUNCTION("""COMPUTED_VALUE"""),"Victims Targeted")</f>
        <v>Victims Targeted</v>
      </c>
      <c r="AE238" s="8" t="str">
        <f ca="1">IFERROR(__xludf.DUMMYFUNCTION("""COMPUTED_VALUE"""),"No")</f>
        <v>No</v>
      </c>
      <c r="AF238" s="8"/>
      <c r="AG238" s="8" t="str">
        <f ca="1">IFERROR(__xludf.DUMMYFUNCTION("""COMPUTED_VALUE"""),"No")</f>
        <v>No</v>
      </c>
      <c r="AH238" s="8" t="str">
        <f ca="1">IFERROR(__xludf.DUMMYFUNCTION("""COMPUTED_VALUE"""),"No")</f>
        <v>No</v>
      </c>
      <c r="AI238" s="8" t="str">
        <f ca="1">IFERROR(__xludf.DUMMYFUNCTION("""COMPUTED_VALUE"""),"No")</f>
        <v>No</v>
      </c>
      <c r="AJ238" s="8" t="str">
        <f ca="1">IFERROR(__xludf.DUMMYFUNCTION("""COMPUTED_VALUE"""),"No")</f>
        <v>No</v>
      </c>
      <c r="AK238" s="8" t="str">
        <f ca="1">IFERROR(__xludf.DUMMYFUNCTION("""COMPUTED_VALUE"""),"No")</f>
        <v>No</v>
      </c>
      <c r="AL238" s="8"/>
      <c r="AM238" s="8" t="str">
        <f ca="1">IFERROR(__xludf.DUMMYFUNCTION("""COMPUTED_VALUE"""),"No")</f>
        <v>No</v>
      </c>
      <c r="AN238" s="8" t="str">
        <f ca="1">IFERROR(__xludf.DUMMYFUNCTION("""COMPUTED_VALUE"""),"Outside")</f>
        <v>Outside</v>
      </c>
      <c r="AO238" s="8" t="str">
        <f ca="1">IFERROR(__xludf.DUMMYFUNCTION("""COMPUTED_VALUE"""),"No")</f>
        <v>No</v>
      </c>
      <c r="AP238" s="8"/>
      <c r="AQ238" s="8"/>
      <c r="AR238" s="8" t="str">
        <f ca="1">IFERROR(__xludf.DUMMYFUNCTION("""COMPUTED_VALUE"""),"Outside/Off-Property")</f>
        <v>Outside/Off-Property</v>
      </c>
      <c r="AS238" s="8">
        <f ca="1">IFERROR(__xludf.DUMMYFUNCTION("""COMPUTED_VALUE"""),1)</f>
        <v>1</v>
      </c>
      <c r="AT238" s="8" t="str">
        <f ca="1">IFERROR(__xludf.DUMMYFUNCTION("""COMPUTED_VALUE"""),"No")</f>
        <v>No</v>
      </c>
      <c r="AU238" s="8">
        <f ca="1">IFERROR(__xludf.DUMMYFUNCTION("""COMPUTED_VALUE"""),40.635297)</f>
        <v>40.635297000000001</v>
      </c>
      <c r="AV238" s="8">
        <f ca="1">IFERROR(__xludf.DUMMYFUNCTION("""COMPUTED_VALUE"""),-73.911244)</f>
        <v>-73.911243999999996</v>
      </c>
      <c r="AW238" s="8" t="str">
        <f ca="1">IFERROR(__xludf.DUMMYFUNCTION("""COMPUTED_VALUE"""),"Urban Street Standalone")</f>
        <v>Urban Street Standalone</v>
      </c>
      <c r="AX238" s="8">
        <f ca="1">IFERROR(__xludf.DUMMYFUNCTION("""COMPUTED_VALUE"""),11236)</f>
        <v>11236</v>
      </c>
    </row>
    <row r="239" spans="1:50" ht="165" x14ac:dyDescent="0.2">
      <c r="A239" s="8" t="str">
        <f ca="1">IFERROR(__xludf.DUMMYFUNCTION("""COMPUTED_VALUE"""),"20241015ALHUH")</f>
        <v>20241015ALHUH</v>
      </c>
      <c r="B239" s="8">
        <f ca="1">IFERROR(__xludf.DUMMYFUNCTION("""COMPUTED_VALUE"""),10)</f>
        <v>10</v>
      </c>
      <c r="C239" s="8">
        <f ca="1">IFERROR(__xludf.DUMMYFUNCTION("""COMPUTED_VALUE"""),15)</f>
        <v>15</v>
      </c>
      <c r="D239" s="8">
        <f ca="1">IFERROR(__xludf.DUMMYFUNCTION("""COMPUTED_VALUE"""),2024)</f>
        <v>2024</v>
      </c>
      <c r="E239" s="9">
        <f ca="1">IFERROR(__xludf.DUMMYFUNCTION("""COMPUTED_VALUE"""),45579)</f>
        <v>45579</v>
      </c>
      <c r="F239" s="8" t="str">
        <f ca="1">IFERROR(__xludf.DUMMYFUNCTION("""COMPUTED_VALUE"""),"Huntsville High School")</f>
        <v>Huntsville High School</v>
      </c>
      <c r="G239" s="8">
        <f ca="1">IFERROR(__xludf.DUMMYFUNCTION("""COMPUTED_VALUE"""),0)</f>
        <v>0</v>
      </c>
      <c r="H239" s="8">
        <f ca="1">IFERROR(__xludf.DUMMYFUNCTION("""COMPUTED_VALUE"""),0)</f>
        <v>0</v>
      </c>
      <c r="I239" s="8">
        <f ca="1">IFERROR(__xludf.DUMMYFUNCTION("""COMPUTED_VALUE"""),0)</f>
        <v>0</v>
      </c>
      <c r="J239" s="8">
        <f ca="1">IFERROR(__xludf.DUMMYFUNCTION("""COMPUTED_VALUE"""),0)</f>
        <v>0</v>
      </c>
      <c r="K239" s="10" t="str">
        <f ca="1">IFERROR(__xludf.DUMMYFUNCTION("""COMPUTED_VALUE"""),"https://www.waff.com/2024/10/15/authorities-investigating-after-parent-brandishes-gun-huntsville-high-school/
https://whnt.com/community/school-officials-say-parent-pulled-gun-during-argument-in-huntsville-high-parking-lot/")</f>
        <v>https://www.waff.com/2024/10/15/authorities-investigating-after-parent-brandishes-gun-huntsville-high-school/
https://whnt.com/community/school-officials-say-parent-pulled-gun-during-argument-in-huntsville-high-parking-lot/</v>
      </c>
      <c r="L239" s="8">
        <f ca="1">IFERROR(__xludf.DUMMYFUNCTION("""COMPUTED_VALUE"""),3)</f>
        <v>3</v>
      </c>
      <c r="M239" s="8" t="str">
        <f ca="1">IFERROR(__xludf.DUMMYFUNCTION("""COMPUTED_VALUE"""),"Local")</f>
        <v>Local</v>
      </c>
      <c r="N239" s="8">
        <f ca="1">IFERROR(__xludf.DUMMYFUNCTION("""COMPUTED_VALUE"""),4)</f>
        <v>4</v>
      </c>
      <c r="O239" s="8" t="str">
        <f ca="1">IFERROR(__xludf.DUMMYFUNCTION("""COMPUTED_VALUE"""),"Fall")</f>
        <v>Fall</v>
      </c>
      <c r="P239" s="8" t="str">
        <f ca="1">IFERROR(__xludf.DUMMYFUNCTION("""COMPUTED_VALUE"""),"Huntsville")</f>
        <v>Huntsville</v>
      </c>
      <c r="Q239" s="8" t="str">
        <f ca="1">IFERROR(__xludf.DUMMYFUNCTION("""COMPUTED_VALUE"""),"AL")</f>
        <v>AL</v>
      </c>
      <c r="R239" s="8" t="str">
        <f ca="1">IFERROR(__xludf.DUMMYFUNCTION("""COMPUTED_VALUE"""),"High")</f>
        <v>High</v>
      </c>
      <c r="S239" s="8" t="str">
        <f ca="1">IFERROR(__xludf.DUMMYFUNCTION("""COMPUTED_VALUE"""),"Front of School")</f>
        <v>Front of School</v>
      </c>
      <c r="T239" s="8" t="str">
        <f ca="1">IFERROR(__xludf.DUMMYFUNCTION("""COMPUTED_VALUE"""),"Outside on School Property")</f>
        <v>Outside on School Property</v>
      </c>
      <c r="U239" s="8" t="str">
        <f ca="1">IFERROR(__xludf.DUMMYFUNCTION("""COMPUTED_VALUE"""),"Yes")</f>
        <v>Yes</v>
      </c>
      <c r="V239" s="8" t="str">
        <f ca="1">IFERROR(__xludf.DUMMYFUNCTION("""COMPUTED_VALUE"""),"School Start")</f>
        <v>School Start</v>
      </c>
      <c r="W239" s="11">
        <f ca="1">IFERROR(__xludf.DUMMYFUNCTION("""COMPUTED_VALUE"""),0.333333333333333)</f>
        <v>0.33333333333333298</v>
      </c>
      <c r="X239" s="8">
        <f ca="1">IFERROR(__xludf.DUMMYFUNCTION("""COMPUTED_VALUE"""),1)</f>
        <v>1</v>
      </c>
      <c r="Y239" s="12" t="str">
        <f ca="1">IFERROR(__xludf.DUMMYFUNCTION("""COMPUTED_VALUE"""),"Parent brandished gun during dispute at student drop off")</f>
        <v>Parent brandished gun during dispute at student drop off</v>
      </c>
      <c r="Z239" s="12" t="str">
        <f ca="1">IFERROR(__xludf.DUMMYFUNCTION("""COMPUTED_VALUE"""),"The Huntsville Police Department released a statement on the incident. On Tuesday, Oct. 15, just before 8:00 a.m., a female victim reported being involved in a road rage incident. The suspect confronted the victim in the Huntsville High School drop off li"&amp;"ne. The suspect got out of their vehicle with a firearm and made a threat to the victim. The suspect then got back into their vehicle and fled the scene. School Resource Officers were on scene of the incident; however, by the time they were notified the s"&amp;"uspect had already fled. A criminal case was made for Menacing. This incident is under active investigation. ")</f>
        <v xml:space="preserve">The Huntsville Police Department released a statement on the incident. On Tuesday, Oct. 15, just before 8:00 a.m., a female victim reported being involved in a road rage incident. The suspect confronted the victim in the Huntsville High School drop off line. The suspect got out of their vehicle with a firearm and made a threat to the victim. The suspect then got back into their vehicle and fled the scene. School Resource Officers were on scene of the incident; however, by the time they were notified the suspect had already fled. A criminal case was made for Menacing. This incident is under active investigation. </v>
      </c>
      <c r="AA239" s="8" t="str">
        <f ca="1">IFERROR(__xludf.DUMMYFUNCTION("""COMPUTED_VALUE"""),"Escalation of Dispute")</f>
        <v>Escalation of Dispute</v>
      </c>
      <c r="AB239" s="8" t="str">
        <f ca="1">IFERROR(__xludf.DUMMYFUNCTION("""COMPUTED_VALUE"""),"Spontaneous")</f>
        <v>Spontaneous</v>
      </c>
      <c r="AC239" s="8" t="str">
        <f ca="1">IFERROR(__xludf.DUMMYFUNCTION("""COMPUTED_VALUE"""),"Yes")</f>
        <v>Yes</v>
      </c>
      <c r="AD239" s="8" t="str">
        <f ca="1">IFERROR(__xludf.DUMMYFUNCTION("""COMPUTED_VALUE"""),"Victims Targeted")</f>
        <v>Victims Targeted</v>
      </c>
      <c r="AE239" s="8" t="str">
        <f ca="1">IFERROR(__xludf.DUMMYFUNCTION("""COMPUTED_VALUE"""),"No")</f>
        <v>No</v>
      </c>
      <c r="AF239" s="8"/>
      <c r="AG239" s="8" t="str">
        <f ca="1">IFERROR(__xludf.DUMMYFUNCTION("""COMPUTED_VALUE"""),"No")</f>
        <v>No</v>
      </c>
      <c r="AH239" s="8" t="str">
        <f ca="1">IFERROR(__xludf.DUMMYFUNCTION("""COMPUTED_VALUE"""),"No")</f>
        <v>No</v>
      </c>
      <c r="AI239" s="8" t="str">
        <f ca="1">IFERROR(__xludf.DUMMYFUNCTION("""COMPUTED_VALUE"""),"No")</f>
        <v>No</v>
      </c>
      <c r="AJ239" s="8" t="str">
        <f ca="1">IFERROR(__xludf.DUMMYFUNCTION("""COMPUTED_VALUE"""),"No")</f>
        <v>No</v>
      </c>
      <c r="AK239" s="8" t="str">
        <f ca="1">IFERROR(__xludf.DUMMYFUNCTION("""COMPUTED_VALUE"""),"No")</f>
        <v>No</v>
      </c>
      <c r="AL239" s="8" t="str">
        <f ca="1">IFERROR(__xludf.DUMMYFUNCTION("""COMPUTED_VALUE"""),"No")</f>
        <v>No</v>
      </c>
      <c r="AM239" s="8" t="str">
        <f ca="1">IFERROR(__xludf.DUMMYFUNCTION("""COMPUTED_VALUE"""),"No")</f>
        <v>No</v>
      </c>
      <c r="AN239" s="8" t="str">
        <f ca="1">IFERROR(__xludf.DUMMYFUNCTION("""COMPUTED_VALUE"""),"Outside")</f>
        <v>Outside</v>
      </c>
      <c r="AO239" s="8" t="str">
        <f ca="1">IFERROR(__xludf.DUMMYFUNCTION("""COMPUTED_VALUE"""),"No")</f>
        <v>No</v>
      </c>
      <c r="AP239" s="8" t="str">
        <f ca="1">IFERROR(__xludf.DUMMYFUNCTION("""COMPUTED_VALUE"""),"Yes")</f>
        <v>Yes</v>
      </c>
      <c r="AQ239" s="8" t="str">
        <f ca="1">IFERROR(__xludf.DUMMYFUNCTION("""COMPUTED_VALUE"""),"Armed Guards")</f>
        <v>Armed Guards</v>
      </c>
      <c r="AR239" s="8" t="str">
        <f ca="1">IFERROR(__xludf.DUMMYFUNCTION("""COMPUTED_VALUE"""),"Outside/Off-Property")</f>
        <v>Outside/Off-Property</v>
      </c>
      <c r="AS239" s="8">
        <f ca="1">IFERROR(__xludf.DUMMYFUNCTION("""COMPUTED_VALUE"""),0)</f>
        <v>0</v>
      </c>
      <c r="AT239" s="8" t="str">
        <f ca="1">IFERROR(__xludf.DUMMYFUNCTION("""COMPUTED_VALUE"""),"Yes")</f>
        <v>Yes</v>
      </c>
      <c r="AU239" s="8">
        <f ca="1">IFERROR(__xludf.DUMMYFUNCTION("""COMPUTED_VALUE"""),34.714904)</f>
        <v>34.714903999999997</v>
      </c>
      <c r="AV239" s="8">
        <f ca="1">IFERROR(__xludf.DUMMYFUNCTION("""COMPUTED_VALUE"""),-86.584318)</f>
        <v>-86.584317999999996</v>
      </c>
      <c r="AW239" s="8" t="str">
        <f ca="1">IFERROR(__xludf.DUMMYFUNCTION("""COMPUTED_VALUE"""),"Multiple attached buildings")</f>
        <v>Multiple attached buildings</v>
      </c>
      <c r="AX239" s="8">
        <f ca="1">IFERROR(__xludf.DUMMYFUNCTION("""COMPUTED_VALUE"""),35801)</f>
        <v>35801</v>
      </c>
    </row>
    <row r="240" spans="1:50" ht="150" x14ac:dyDescent="0.2">
      <c r="A240" s="8" t="str">
        <f ca="1">IFERROR(__xludf.DUMMYFUNCTION("""COMPUTED_VALUE"""),"20241015TXWEO")</f>
        <v>20241015TXWEO</v>
      </c>
      <c r="B240" s="8">
        <f ca="1">IFERROR(__xludf.DUMMYFUNCTION("""COMPUTED_VALUE"""),10)</f>
        <v>10</v>
      </c>
      <c r="C240" s="8">
        <f ca="1">IFERROR(__xludf.DUMMYFUNCTION("""COMPUTED_VALUE"""),15)</f>
        <v>15</v>
      </c>
      <c r="D240" s="8">
        <f ca="1">IFERROR(__xludf.DUMMYFUNCTION("""COMPUTED_VALUE"""),2024)</f>
        <v>2024</v>
      </c>
      <c r="E240" s="9">
        <f ca="1">IFERROR(__xludf.DUMMYFUNCTION("""COMPUTED_VALUE"""),45579)</f>
        <v>45579</v>
      </c>
      <c r="F240" s="8" t="str">
        <f ca="1">IFERROR(__xludf.DUMMYFUNCTION("""COMPUTED_VALUE"""),"West Orange Stark Middle")</f>
        <v>West Orange Stark Middle</v>
      </c>
      <c r="G240" s="8">
        <f ca="1">IFERROR(__xludf.DUMMYFUNCTION("""COMPUTED_VALUE"""),0)</f>
        <v>0</v>
      </c>
      <c r="H240" s="8">
        <f ca="1">IFERROR(__xludf.DUMMYFUNCTION("""COMPUTED_VALUE"""),0)</f>
        <v>0</v>
      </c>
      <c r="I240" s="8">
        <f ca="1">IFERROR(__xludf.DUMMYFUNCTION("""COMPUTED_VALUE"""),0)</f>
        <v>0</v>
      </c>
      <c r="J240" s="8">
        <f ca="1">IFERROR(__xludf.DUMMYFUNCTION("""COMPUTED_VALUE"""),1)</f>
        <v>1</v>
      </c>
      <c r="K240" s="10" t="str">
        <f ca="1">IFERROR(__xludf.DUMMYFUNCTION("""COMPUTED_VALUE"""),"https://www.kfdm.com/news/local/witness-and-parent-react-to-shooting-near-west-orange-stark-middle-school")</f>
        <v>https://www.kfdm.com/news/local/witness-and-parent-react-to-shooting-near-west-orange-stark-middle-school</v>
      </c>
      <c r="L240" s="8">
        <f ca="1">IFERROR(__xludf.DUMMYFUNCTION("""COMPUTED_VALUE"""),4)</f>
        <v>4</v>
      </c>
      <c r="M240" s="8" t="str">
        <f ca="1">IFERROR(__xludf.DUMMYFUNCTION("""COMPUTED_VALUE"""),"Local")</f>
        <v>Local</v>
      </c>
      <c r="N240" s="8">
        <f ca="1">IFERROR(__xludf.DUMMYFUNCTION("""COMPUTED_VALUE"""),4)</f>
        <v>4</v>
      </c>
      <c r="O240" s="8" t="str">
        <f ca="1">IFERROR(__xludf.DUMMYFUNCTION("""COMPUTED_VALUE"""),"Fall")</f>
        <v>Fall</v>
      </c>
      <c r="P240" s="8" t="str">
        <f ca="1">IFERROR(__xludf.DUMMYFUNCTION("""COMPUTED_VALUE"""),"Orange")</f>
        <v>Orange</v>
      </c>
      <c r="Q240" s="8" t="str">
        <f ca="1">IFERROR(__xludf.DUMMYFUNCTION("""COMPUTED_VALUE"""),"TX")</f>
        <v>TX</v>
      </c>
      <c r="R240" s="8" t="str">
        <f ca="1">IFERROR(__xludf.DUMMYFUNCTION("""COMPUTED_VALUE"""),"Middle")</f>
        <v>Middle</v>
      </c>
      <c r="S240" s="8" t="str">
        <f ca="1">IFERROR(__xludf.DUMMYFUNCTION("""COMPUTED_VALUE"""),"Field (General)")</f>
        <v>Field (General)</v>
      </c>
      <c r="T240" s="8" t="str">
        <f ca="1">IFERROR(__xludf.DUMMYFUNCTION("""COMPUTED_VALUE"""),"Outside on School Property")</f>
        <v>Outside on School Property</v>
      </c>
      <c r="U240" s="8" t="str">
        <f ca="1">IFERROR(__xludf.DUMMYFUNCTION("""COMPUTED_VALUE"""),"Yes")</f>
        <v>Yes</v>
      </c>
      <c r="V240" s="8" t="str">
        <f ca="1">IFERROR(__xludf.DUMMYFUNCTION("""COMPUTED_VALUE"""),"Morning Classes")</f>
        <v>Morning Classes</v>
      </c>
      <c r="W240" s="11">
        <f ca="1">IFERROR(__xludf.DUMMYFUNCTION("""COMPUTED_VALUE"""),0.375)</f>
        <v>0.375</v>
      </c>
      <c r="X240" s="8">
        <f ca="1">IFERROR(__xludf.DUMMYFUNCTION("""COMPUTED_VALUE"""),1)</f>
        <v>1</v>
      </c>
      <c r="Y240" s="12" t="str">
        <f ca="1">IFERROR(__xludf.DUMMYFUNCTION("""COMPUTED_VALUE"""),"Police fatally shot driver of vehicle that crashed onto the school's field following chase, school locked down")</f>
        <v>Police fatally shot driver of vehicle that crashed onto the school's field following chase, school locked down</v>
      </c>
      <c r="Z240" s="12" t="str">
        <f ca="1">IFERROR(__xludf.DUMMYFUNCTION("""COMPUTED_VALUE"""),"After a high speed chase, a man crashed his vehicle near the football field and bleachers by the front bus circle at the school. He then got out of the truck with a 9mm semi-automatic rifle and was told by officers to put the gun down and lay on the groun"&amp;"d. He obeyed, but as officers approached, he picked up the rifle and pointed it at them while prone on the ground. The officers immediately opened fire, mortally wounding him. The man was given immediate first aid, but he was pronounced dead at the scene."&amp;" Officers fired 25 shots. The school went on lockdown.")</f>
        <v>After a high speed chase, a man crashed his vehicle near the football field and bleachers by the front bus circle at the school. He then got out of the truck with a 9mm semi-automatic rifle and was told by officers to put the gun down and lay on the ground. He obeyed, but as officers approached, he picked up the rifle and pointed it at them while prone on the ground. The officers immediately opened fire, mortally wounding him. The man was given immediate first aid, but he was pronounced dead at the scene. Officers fired 25 shots. The school went on lockdown.</v>
      </c>
      <c r="AA240" s="8" t="str">
        <f ca="1">IFERROR(__xludf.DUMMYFUNCTION("""COMPUTED_VALUE"""),"Officer-Involved Shooting")</f>
        <v>Officer-Involved Shooting</v>
      </c>
      <c r="AB240" s="8" t="str">
        <f ca="1">IFERROR(__xludf.DUMMYFUNCTION("""COMPUTED_VALUE"""),"Spontaneous")</f>
        <v>Spontaneous</v>
      </c>
      <c r="AC240" s="8" t="str">
        <f ca="1">IFERROR(__xludf.DUMMYFUNCTION("""COMPUTED_VALUE"""),"Yes")</f>
        <v>Yes</v>
      </c>
      <c r="AD240" s="8" t="str">
        <f ca="1">IFERROR(__xludf.DUMMYFUNCTION("""COMPUTED_VALUE"""),"Victims Targeted")</f>
        <v>Victims Targeted</v>
      </c>
      <c r="AE240" s="8" t="str">
        <f ca="1">IFERROR(__xludf.DUMMYFUNCTION("""COMPUTED_VALUE"""),"No")</f>
        <v>No</v>
      </c>
      <c r="AF240" s="8"/>
      <c r="AG240" s="8" t="str">
        <f ca="1">IFERROR(__xludf.DUMMYFUNCTION("""COMPUTED_VALUE"""),"No")</f>
        <v>No</v>
      </c>
      <c r="AH240" s="8" t="str">
        <f ca="1">IFERROR(__xludf.DUMMYFUNCTION("""COMPUTED_VALUE"""),"No")</f>
        <v>No</v>
      </c>
      <c r="AI240" s="8" t="str">
        <f ca="1">IFERROR(__xludf.DUMMYFUNCTION("""COMPUTED_VALUE"""),"Yes")</f>
        <v>Yes</v>
      </c>
      <c r="AJ240" s="8" t="str">
        <f ca="1">IFERROR(__xludf.DUMMYFUNCTION("""COMPUTED_VALUE"""),"No")</f>
        <v>No</v>
      </c>
      <c r="AK240" s="8" t="str">
        <f ca="1">IFERROR(__xludf.DUMMYFUNCTION("""COMPUTED_VALUE"""),"No")</f>
        <v>No</v>
      </c>
      <c r="AL240" s="8" t="str">
        <f ca="1">IFERROR(__xludf.DUMMYFUNCTION("""COMPUTED_VALUE"""),"No")</f>
        <v>No</v>
      </c>
      <c r="AM240" s="8" t="str">
        <f ca="1">IFERROR(__xludf.DUMMYFUNCTION("""COMPUTED_VALUE"""),"No")</f>
        <v>No</v>
      </c>
      <c r="AN240" s="8" t="str">
        <f ca="1">IFERROR(__xludf.DUMMYFUNCTION("""COMPUTED_VALUE"""),"Outside")</f>
        <v>Outside</v>
      </c>
      <c r="AO240" s="8" t="str">
        <f ca="1">IFERROR(__xludf.DUMMYFUNCTION("""COMPUTED_VALUE"""),"No")</f>
        <v>No</v>
      </c>
      <c r="AP240" s="8"/>
      <c r="AQ240" s="8"/>
      <c r="AR240" s="8" t="str">
        <f ca="1">IFERROR(__xludf.DUMMYFUNCTION("""COMPUTED_VALUE"""),"Outside/Off-Property")</f>
        <v>Outside/Off-Property</v>
      </c>
      <c r="AS240" s="8">
        <f ca="1">IFERROR(__xludf.DUMMYFUNCTION("""COMPUTED_VALUE"""),25)</f>
        <v>25</v>
      </c>
      <c r="AT240" s="8" t="str">
        <f ca="1">IFERROR(__xludf.DUMMYFUNCTION("""COMPUTED_VALUE"""),"Yes")</f>
        <v>Yes</v>
      </c>
      <c r="AU240" s="8">
        <f ca="1">IFERROR(__xludf.DUMMYFUNCTION("""COMPUTED_VALUE"""),30.093605)</f>
        <v>30.093605</v>
      </c>
      <c r="AV240" s="8">
        <f ca="1">IFERROR(__xludf.DUMMYFUNCTION("""COMPUTED_VALUE"""),-93.744924)</f>
        <v>-93.744923999999997</v>
      </c>
      <c r="AW240" s="8" t="str">
        <f ca="1">IFERROR(__xludf.DUMMYFUNCTION("""COMPUTED_VALUE"""),"Multiple attached buildings")</f>
        <v>Multiple attached buildings</v>
      </c>
      <c r="AX240" s="8">
        <f ca="1">IFERROR(__xludf.DUMMYFUNCTION("""COMPUTED_VALUE"""),77630)</f>
        <v>77630</v>
      </c>
    </row>
    <row r="241" spans="1:50" ht="225" x14ac:dyDescent="0.2">
      <c r="A241" s="8" t="str">
        <f ca="1">IFERROR(__xludf.DUMMYFUNCTION("""COMPUTED_VALUE"""),"20241012WIMIM")</f>
        <v>20241012WIMIM</v>
      </c>
      <c r="B241" s="8">
        <f ca="1">IFERROR(__xludf.DUMMYFUNCTION("""COMPUTED_VALUE"""),10)</f>
        <v>10</v>
      </c>
      <c r="C241" s="8">
        <f ca="1">IFERROR(__xludf.DUMMYFUNCTION("""COMPUTED_VALUE"""),12)</f>
        <v>12</v>
      </c>
      <c r="D241" s="8">
        <f ca="1">IFERROR(__xludf.DUMMYFUNCTION("""COMPUTED_VALUE"""),2024)</f>
        <v>2024</v>
      </c>
      <c r="E241" s="9">
        <f ca="1">IFERROR(__xludf.DUMMYFUNCTION("""COMPUTED_VALUE"""),45577)</f>
        <v>45577</v>
      </c>
      <c r="F241" s="8" t="str">
        <f ca="1">IFERROR(__xludf.DUMMYFUNCTION("""COMPUTED_VALUE"""),"Milwaukee Public Schools South Stadium")</f>
        <v>Milwaukee Public Schools South Stadium</v>
      </c>
      <c r="G241" s="8">
        <f ca="1">IFERROR(__xludf.DUMMYFUNCTION("""COMPUTED_VALUE"""),1)</f>
        <v>1</v>
      </c>
      <c r="H241" s="8">
        <f ca="1">IFERROR(__xludf.DUMMYFUNCTION("""COMPUTED_VALUE"""),0)</f>
        <v>0</v>
      </c>
      <c r="I241" s="8">
        <f ca="1">IFERROR(__xludf.DUMMYFUNCTION("""COMPUTED_VALUE"""),1)</f>
        <v>1</v>
      </c>
      <c r="J241" s="8">
        <f ca="1">IFERROR(__xludf.DUMMYFUNCTION("""COMPUTED_VALUE"""),0)</f>
        <v>0</v>
      </c>
      <c r="K241" s="8" t="str">
        <f ca="1">IFERROR(__xludf.DUMMYFUNCTION("""COMPUTED_VALUE"""),"https://www.cbs58.com/news/man-charged-in-connection-to-deadly-milwaukee-flag-football-shooting
https://www.tmj4.com/news/local-news/incident-at-mps-south-stadium-leaves-one-injured-remaining-games-canceled-saturday
https://www.fox6now.com/news/mps-south-"&amp;"stadium-football-game-shooting")</f>
        <v>https://www.cbs58.com/news/man-charged-in-connection-to-deadly-milwaukee-flag-football-shooting
https://www.tmj4.com/news/local-news/incident-at-mps-south-stadium-leaves-one-injured-remaining-games-canceled-saturday
https://www.fox6now.com/news/mps-south-stadium-football-game-shooting</v>
      </c>
      <c r="L241" s="8">
        <f ca="1">IFERROR(__xludf.DUMMYFUNCTION("""COMPUTED_VALUE"""),5)</f>
        <v>5</v>
      </c>
      <c r="M241" s="8" t="str">
        <f ca="1">IFERROR(__xludf.DUMMYFUNCTION("""COMPUTED_VALUE"""),"Regional")</f>
        <v>Regional</v>
      </c>
      <c r="N241" s="8">
        <f ca="1">IFERROR(__xludf.DUMMYFUNCTION("""COMPUTED_VALUE"""),4)</f>
        <v>4</v>
      </c>
      <c r="O241" s="8" t="str">
        <f ca="1">IFERROR(__xludf.DUMMYFUNCTION("""COMPUTED_VALUE"""),"Fall")</f>
        <v>Fall</v>
      </c>
      <c r="P241" s="8" t="str">
        <f ca="1">IFERROR(__xludf.DUMMYFUNCTION("""COMPUTED_VALUE"""),"Milwaukee")</f>
        <v>Milwaukee</v>
      </c>
      <c r="Q241" s="8" t="str">
        <f ca="1">IFERROR(__xludf.DUMMYFUNCTION("""COMPUTED_VALUE"""),"WI")</f>
        <v>WI</v>
      </c>
      <c r="R241" s="8" t="str">
        <f ca="1">IFERROR(__xludf.DUMMYFUNCTION("""COMPUTED_VALUE"""),"High")</f>
        <v>High</v>
      </c>
      <c r="S241" s="8" t="str">
        <f ca="1">IFERROR(__xludf.DUMMYFUNCTION("""COMPUTED_VALUE"""),"Football Field/Track")</f>
        <v>Football Field/Track</v>
      </c>
      <c r="T241" s="8" t="str">
        <f ca="1">IFERROR(__xludf.DUMMYFUNCTION("""COMPUTED_VALUE"""),"Outside on School Property")</f>
        <v>Outside on School Property</v>
      </c>
      <c r="U241" s="8" t="str">
        <f ca="1">IFERROR(__xludf.DUMMYFUNCTION("""COMPUTED_VALUE"""),"No")</f>
        <v>No</v>
      </c>
      <c r="V241" s="8" t="str">
        <f ca="1">IFERROR(__xludf.DUMMYFUNCTION("""COMPUTED_VALUE"""),"Sport Event")</f>
        <v>Sport Event</v>
      </c>
      <c r="W241" s="11">
        <f ca="1">IFERROR(__xludf.DUMMYFUNCTION("""COMPUTED_VALUE"""),0.541666666666666)</f>
        <v>0.54166666666666596</v>
      </c>
      <c r="X241" s="8">
        <f ca="1">IFERROR(__xludf.DUMMYFUNCTION("""COMPUTED_VALUE"""),1)</f>
        <v>1</v>
      </c>
      <c r="Y241" s="12" t="str">
        <f ca="1">IFERROR(__xludf.DUMMYFUNCTION("""COMPUTED_VALUE"""),"Man fatally shot during dispute at youth football game")</f>
        <v>Man fatally shot during dispute at youth football game</v>
      </c>
      <c r="Z241" s="12" t="str">
        <f ca="1">IFERROR(__xludf.DUMMYFUNCTION("""COMPUTED_VALUE"""),"According to the medical examiner's office, the victim was shot at a flag football game. Milwaukee Public Schools said South Stadium was cleared due to an incident during a youth flag football game – and all other games scheduled for Saturday were cancele"&amp;"d. The video also shows two other men leaving from the bleacher area. As everyone is walking down the ramp towards the concession area, one of the following men starts running towards Avalos-Morales and his companion. The man jogs past the victim and runs"&amp;" straight at the man with Avalos-Morales, jumping in the air and punching him, starting a fight. As this is happening, Avalos-Morales can be seen on the video withdrawing a firearm from his clothes, appears to ready the firearm and then turns in the direc"&amp;"tion of the victim, who appears to be moving past Avalos-Morales and the two fighting men.")</f>
        <v>According to the medical examiner's office, the victim was shot at a flag football game. Milwaukee Public Schools said South Stadium was cleared due to an incident during a youth flag football game – and all other games scheduled for Saturday were canceled. The video also shows two other men leaving from the bleacher area. As everyone is walking down the ramp towards the concession area, one of the following men starts running towards Avalos-Morales and his companion. The man jogs past the victim and runs straight at the man with Avalos-Morales, jumping in the air and punching him, starting a fight. As this is happening, Avalos-Morales can be seen on the video withdrawing a firearm from his clothes, appears to ready the firearm and then turns in the direction of the victim, who appears to be moving past Avalos-Morales and the two fighting men.</v>
      </c>
      <c r="AA241" s="8" t="str">
        <f ca="1">IFERROR(__xludf.DUMMYFUNCTION("""COMPUTED_VALUE"""),"Escalation of Dispute")</f>
        <v>Escalation of Dispute</v>
      </c>
      <c r="AB241" s="8" t="str">
        <f ca="1">IFERROR(__xludf.DUMMYFUNCTION("""COMPUTED_VALUE"""),"Spontaneous")</f>
        <v>Spontaneous</v>
      </c>
      <c r="AC241" s="8" t="str">
        <f ca="1">IFERROR(__xludf.DUMMYFUNCTION("""COMPUTED_VALUE"""),"No")</f>
        <v>No</v>
      </c>
      <c r="AD241" s="8" t="str">
        <f ca="1">IFERROR(__xludf.DUMMYFUNCTION("""COMPUTED_VALUE"""),"Victims Targeted")</f>
        <v>Victims Targeted</v>
      </c>
      <c r="AE241" s="8" t="str">
        <f ca="1">IFERROR(__xludf.DUMMYFUNCTION("""COMPUTED_VALUE"""),"No")</f>
        <v>No</v>
      </c>
      <c r="AF241" s="8"/>
      <c r="AG241" s="8" t="str">
        <f ca="1">IFERROR(__xludf.DUMMYFUNCTION("""COMPUTED_VALUE"""),"No")</f>
        <v>No</v>
      </c>
      <c r="AH241" s="8" t="str">
        <f ca="1">IFERROR(__xludf.DUMMYFUNCTION("""COMPUTED_VALUE"""),"No")</f>
        <v>No</v>
      </c>
      <c r="AI241" s="8" t="str">
        <f ca="1">IFERROR(__xludf.DUMMYFUNCTION("""COMPUTED_VALUE"""),"No")</f>
        <v>No</v>
      </c>
      <c r="AJ241" s="8" t="str">
        <f ca="1">IFERROR(__xludf.DUMMYFUNCTION("""COMPUTED_VALUE"""),"No")</f>
        <v>No</v>
      </c>
      <c r="AK241" s="8" t="str">
        <f ca="1">IFERROR(__xludf.DUMMYFUNCTION("""COMPUTED_VALUE"""),"No")</f>
        <v>No</v>
      </c>
      <c r="AL241" s="8" t="str">
        <f ca="1">IFERROR(__xludf.DUMMYFUNCTION("""COMPUTED_VALUE"""),"No")</f>
        <v>No</v>
      </c>
      <c r="AM241" s="8" t="str">
        <f ca="1">IFERROR(__xludf.DUMMYFUNCTION("""COMPUTED_VALUE"""),"No")</f>
        <v>No</v>
      </c>
      <c r="AN241" s="8" t="str">
        <f ca="1">IFERROR(__xludf.DUMMYFUNCTION("""COMPUTED_VALUE"""),"Outside")</f>
        <v>Outside</v>
      </c>
      <c r="AO241" s="8" t="str">
        <f ca="1">IFERROR(__xludf.DUMMYFUNCTION("""COMPUTED_VALUE"""),"No")</f>
        <v>No</v>
      </c>
      <c r="AP241" s="8"/>
      <c r="AQ241" s="8"/>
      <c r="AR241" s="8" t="str">
        <f ca="1">IFERROR(__xludf.DUMMYFUNCTION("""COMPUTED_VALUE"""),"Outside/Off-Property")</f>
        <v>Outside/Off-Property</v>
      </c>
      <c r="AS241" s="8">
        <f ca="1">IFERROR(__xludf.DUMMYFUNCTION("""COMPUTED_VALUE"""),99)</f>
        <v>99</v>
      </c>
      <c r="AT241" s="8" t="str">
        <f ca="1">IFERROR(__xludf.DUMMYFUNCTION("""COMPUTED_VALUE"""),"No")</f>
        <v>No</v>
      </c>
      <c r="AU241" s="8">
        <f ca="1">IFERROR(__xludf.DUMMYFUNCTION("""COMPUTED_VALUE"""),43.006933)</f>
        <v>43.006932999999997</v>
      </c>
      <c r="AV241" s="8">
        <f ca="1">IFERROR(__xludf.DUMMYFUNCTION("""COMPUTED_VALUE"""),-87.924423)</f>
        <v>-87.924423000000004</v>
      </c>
      <c r="AW241" s="8" t="str">
        <f ca="1">IFERROR(__xludf.DUMMYFUNCTION("""COMPUTED_VALUE"""),"Single building indoor hallway")</f>
        <v>Single building indoor hallway</v>
      </c>
      <c r="AX241" s="8">
        <f ca="1">IFERROR(__xludf.DUMMYFUNCTION("""COMPUTED_VALUE"""),53204)</f>
        <v>53204</v>
      </c>
    </row>
    <row r="242" spans="1:50" ht="225" x14ac:dyDescent="0.2">
      <c r="A242" s="8" t="str">
        <f ca="1">IFERROR(__xludf.DUMMYFUNCTION("""COMPUTED_VALUE"""),"20241011TNOOO")</f>
        <v>20241011TNOOO</v>
      </c>
      <c r="B242" s="8">
        <f ca="1">IFERROR(__xludf.DUMMYFUNCTION("""COMPUTED_VALUE"""),10)</f>
        <v>10</v>
      </c>
      <c r="C242" s="8">
        <f ca="1">IFERROR(__xludf.DUMMYFUNCTION("""COMPUTED_VALUE"""),11)</f>
        <v>11</v>
      </c>
      <c r="D242" s="8">
        <f ca="1">IFERROR(__xludf.DUMMYFUNCTION("""COMPUTED_VALUE"""),2024)</f>
        <v>2024</v>
      </c>
      <c r="E242" s="9">
        <f ca="1">IFERROR(__xludf.DUMMYFUNCTION("""COMPUTED_VALUE"""),45576)</f>
        <v>45576</v>
      </c>
      <c r="F242" s="8" t="str">
        <f ca="1">IFERROR(__xludf.DUMMYFUNCTION("""COMPUTED_VALUE"""),"Ooltewah High School")</f>
        <v>Ooltewah High School</v>
      </c>
      <c r="G242" s="8">
        <f ca="1">IFERROR(__xludf.DUMMYFUNCTION("""COMPUTED_VALUE"""),0)</f>
        <v>0</v>
      </c>
      <c r="H242" s="8">
        <f ca="1">IFERROR(__xludf.DUMMYFUNCTION("""COMPUTED_VALUE"""),0)</f>
        <v>0</v>
      </c>
      <c r="I242" s="8">
        <f ca="1">IFERROR(__xludf.DUMMYFUNCTION("""COMPUTED_VALUE"""),0)</f>
        <v>0</v>
      </c>
      <c r="J242" s="8">
        <f ca="1">IFERROR(__xludf.DUMMYFUNCTION("""COMPUTED_VALUE"""),0)</f>
        <v>0</v>
      </c>
      <c r="K242" s="10" t="str">
        <f ca="1">IFERROR(__xludf.DUMMYFUNCTION("""COMPUTED_VALUE"""),"https://newschannel9.com/news/local/teen-suspect-charged-with-firing-shots-near-ooltewah-high-school-football-game-friday")</f>
        <v>https://newschannel9.com/news/local/teen-suspect-charged-with-firing-shots-near-ooltewah-high-school-football-game-friday</v>
      </c>
      <c r="L242" s="8">
        <f ca="1">IFERROR(__xludf.DUMMYFUNCTION("""COMPUTED_VALUE"""),3)</f>
        <v>3</v>
      </c>
      <c r="M242" s="8" t="str">
        <f ca="1">IFERROR(__xludf.DUMMYFUNCTION("""COMPUTED_VALUE"""),"Local")</f>
        <v>Local</v>
      </c>
      <c r="N242" s="8">
        <f ca="1">IFERROR(__xludf.DUMMYFUNCTION("""COMPUTED_VALUE"""),3)</f>
        <v>3</v>
      </c>
      <c r="O242" s="8" t="str">
        <f ca="1">IFERROR(__xludf.DUMMYFUNCTION("""COMPUTED_VALUE"""),"Fall")</f>
        <v>Fall</v>
      </c>
      <c r="P242" s="8" t="str">
        <f ca="1">IFERROR(__xludf.DUMMYFUNCTION("""COMPUTED_VALUE"""),"Ooltewah")</f>
        <v>Ooltewah</v>
      </c>
      <c r="Q242" s="8" t="str">
        <f ca="1">IFERROR(__xludf.DUMMYFUNCTION("""COMPUTED_VALUE"""),"TN")</f>
        <v>TN</v>
      </c>
      <c r="R242" s="8" t="str">
        <f ca="1">IFERROR(__xludf.DUMMYFUNCTION("""COMPUTED_VALUE"""),"High")</f>
        <v>High</v>
      </c>
      <c r="S242" s="8" t="str">
        <f ca="1">IFERROR(__xludf.DUMMYFUNCTION("""COMPUTED_VALUE"""),"Football Field/Track")</f>
        <v>Football Field/Track</v>
      </c>
      <c r="T242" s="8" t="str">
        <f ca="1">IFERROR(__xludf.DUMMYFUNCTION("""COMPUTED_VALUE"""),"Outside on School Property")</f>
        <v>Outside on School Property</v>
      </c>
      <c r="U242" s="8" t="str">
        <f ca="1">IFERROR(__xludf.DUMMYFUNCTION("""COMPUTED_VALUE"""),"No")</f>
        <v>No</v>
      </c>
      <c r="V242" s="8" t="str">
        <f ca="1">IFERROR(__xludf.DUMMYFUNCTION("""COMPUTED_VALUE"""),"Sport Event")</f>
        <v>Sport Event</v>
      </c>
      <c r="W242" s="11">
        <f ca="1">IFERROR(__xludf.DUMMYFUNCTION("""COMPUTED_VALUE"""),0.902777777777777)</f>
        <v>0.90277777777777701</v>
      </c>
      <c r="X242" s="8">
        <f ca="1">IFERROR(__xludf.DUMMYFUNCTION("""COMPUTED_VALUE"""),1)</f>
        <v>1</v>
      </c>
      <c r="Y242" s="12" t="str">
        <f ca="1">IFERROR(__xludf.DUMMYFUNCTION("""COMPUTED_VALUE"""),"Teen fired rifle during fight outside football stadium")</f>
        <v>Teen fired rifle during fight outside football stadium</v>
      </c>
      <c r="Z242" s="12" t="str">
        <f ca="1">IFERROR(__xludf.DUMMYFUNCTION("""COMPUTED_VALUE"""),"A football game at Ooltewah High School was disrupted Friday night when shots were fired near the tennis courts. Now, authorities say a 19-year-old faces charges. Hamilton County Sheriff's Office (HCSO) Deputies arrived at the scene around 9:40 p.m. after"&amp;" receiving reports of gunfire during a game between two visiting teams. (The Ooltewah High School team was not involved in the match). HCSO says the suspect, later identified as Connor Shannon, told deputies that he fired a shot into the air to break up a"&amp;" fight involving his cousins. Deputies found two firearms in Shannon's vehicle, including a rifle with a spent casing jammed in the chamber, according to HCSO's release. Shannon was detained and taken to the Hamilton County Jail. He's been charged with re"&amp;"ckless endangerment and carrying weapons on school property.")</f>
        <v>A football game at Ooltewah High School was disrupted Friday night when shots were fired near the tennis courts. Now, authorities say a 19-year-old faces charges. Hamilton County Sheriff's Office (HCSO) Deputies arrived at the scene around 9:40 p.m. after receiving reports of gunfire during a game between two visiting teams. (The Ooltewah High School team was not involved in the match). HCSO says the suspect, later identified as Connor Shannon, told deputies that he fired a shot into the air to break up a fight involving his cousins. Deputies found two firearms in Shannon's vehicle, including a rifle with a spent casing jammed in the chamber, according to HCSO's release. Shannon was detained and taken to the Hamilton County Jail. He's been charged with reckless endangerment and carrying weapons on school property.</v>
      </c>
      <c r="AA242" s="8" t="str">
        <f ca="1">IFERROR(__xludf.DUMMYFUNCTION("""COMPUTED_VALUE"""),"Escalation of Dispute")</f>
        <v>Escalation of Dispute</v>
      </c>
      <c r="AB242" s="8" t="str">
        <f ca="1">IFERROR(__xludf.DUMMYFUNCTION("""COMPUTED_VALUE"""),"Spontaneous")</f>
        <v>Spontaneous</v>
      </c>
      <c r="AC242" s="8" t="str">
        <f ca="1">IFERROR(__xludf.DUMMYFUNCTION("""COMPUTED_VALUE"""),"Yes")</f>
        <v>Yes</v>
      </c>
      <c r="AD242" s="8" t="str">
        <f ca="1">IFERROR(__xludf.DUMMYFUNCTION("""COMPUTED_VALUE"""),"Neither")</f>
        <v>Neither</v>
      </c>
      <c r="AE242" s="8" t="str">
        <f ca="1">IFERROR(__xludf.DUMMYFUNCTION("""COMPUTED_VALUE"""),"No")</f>
        <v>No</v>
      </c>
      <c r="AF242" s="8"/>
      <c r="AG242" s="8" t="str">
        <f ca="1">IFERROR(__xludf.DUMMYFUNCTION("""COMPUTED_VALUE"""),"No")</f>
        <v>No</v>
      </c>
      <c r="AH242" s="8" t="str">
        <f ca="1">IFERROR(__xludf.DUMMYFUNCTION("""COMPUTED_VALUE"""),"No")</f>
        <v>No</v>
      </c>
      <c r="AI242" s="8" t="str">
        <f ca="1">IFERROR(__xludf.DUMMYFUNCTION("""COMPUTED_VALUE"""),"No")</f>
        <v>No</v>
      </c>
      <c r="AJ242" s="8" t="str">
        <f ca="1">IFERROR(__xludf.DUMMYFUNCTION("""COMPUTED_VALUE"""),"No")</f>
        <v>No</v>
      </c>
      <c r="AK242" s="8" t="str">
        <f ca="1">IFERROR(__xludf.DUMMYFUNCTION("""COMPUTED_VALUE"""),"No")</f>
        <v>No</v>
      </c>
      <c r="AL242" s="8" t="str">
        <f ca="1">IFERROR(__xludf.DUMMYFUNCTION("""COMPUTED_VALUE"""),"No")</f>
        <v>No</v>
      </c>
      <c r="AM242" s="8" t="str">
        <f ca="1">IFERROR(__xludf.DUMMYFUNCTION("""COMPUTED_VALUE"""),"No")</f>
        <v>No</v>
      </c>
      <c r="AN242" s="8" t="str">
        <f ca="1">IFERROR(__xludf.DUMMYFUNCTION("""COMPUTED_VALUE"""),"Outside")</f>
        <v>Outside</v>
      </c>
      <c r="AO242" s="8" t="str">
        <f ca="1">IFERROR(__xludf.DUMMYFUNCTION("""COMPUTED_VALUE"""),"No")</f>
        <v>No</v>
      </c>
      <c r="AP242" s="8"/>
      <c r="AQ242" s="8"/>
      <c r="AR242" s="8" t="str">
        <f ca="1">IFERROR(__xludf.DUMMYFUNCTION("""COMPUTED_VALUE"""),"Outside/Off-Property")</f>
        <v>Outside/Off-Property</v>
      </c>
      <c r="AS242" s="8">
        <f ca="1">IFERROR(__xludf.DUMMYFUNCTION("""COMPUTED_VALUE"""),99)</f>
        <v>99</v>
      </c>
      <c r="AT242" s="8" t="str">
        <f ca="1">IFERROR(__xludf.DUMMYFUNCTION("""COMPUTED_VALUE"""),"No")</f>
        <v>No</v>
      </c>
      <c r="AU242" s="8">
        <f ca="1">IFERROR(__xludf.DUMMYFUNCTION("""COMPUTED_VALUE"""),35.092435)</f>
        <v>35.092435000000002</v>
      </c>
      <c r="AV242" s="8">
        <f ca="1">IFERROR(__xludf.DUMMYFUNCTION("""COMPUTED_VALUE"""),-85.060317)</f>
        <v>-85.060316999999998</v>
      </c>
      <c r="AW242" s="8" t="str">
        <f ca="1">IFERROR(__xludf.DUMMYFUNCTION("""COMPUTED_VALUE"""),"Multiple detached buildings")</f>
        <v>Multiple detached buildings</v>
      </c>
      <c r="AX242" s="8">
        <f ca="1">IFERROR(__xludf.DUMMYFUNCTION("""COMPUTED_VALUE"""),37363)</f>
        <v>37363</v>
      </c>
    </row>
    <row r="243" spans="1:50" ht="120" x14ac:dyDescent="0.2">
      <c r="A243" s="8" t="str">
        <f ca="1">IFERROR(__xludf.DUMMYFUNCTION("""COMPUTED_VALUE"""),"20241011GADOD")</f>
        <v>20241011GADOD</v>
      </c>
      <c r="B243" s="8">
        <f ca="1">IFERROR(__xludf.DUMMYFUNCTION("""COMPUTED_VALUE"""),10)</f>
        <v>10</v>
      </c>
      <c r="C243" s="8">
        <f ca="1">IFERROR(__xludf.DUMMYFUNCTION("""COMPUTED_VALUE"""),11)</f>
        <v>11</v>
      </c>
      <c r="D243" s="8">
        <f ca="1">IFERROR(__xludf.DUMMYFUNCTION("""COMPUTED_VALUE"""),2024)</f>
        <v>2024</v>
      </c>
      <c r="E243" s="9">
        <f ca="1">IFERROR(__xludf.DUMMYFUNCTION("""COMPUTED_VALUE"""),45576)</f>
        <v>45576</v>
      </c>
      <c r="F243" s="8" t="str">
        <f ca="1">IFERROR(__xludf.DUMMYFUNCTION("""COMPUTED_VALUE"""),"Douglas County High School")</f>
        <v>Douglas County High School</v>
      </c>
      <c r="G243" s="8">
        <f ca="1">IFERROR(__xludf.DUMMYFUNCTION("""COMPUTED_VALUE"""),0)</f>
        <v>0</v>
      </c>
      <c r="H243" s="8">
        <f ca="1">IFERROR(__xludf.DUMMYFUNCTION("""COMPUTED_VALUE"""),0)</f>
        <v>0</v>
      </c>
      <c r="I243" s="8">
        <f ca="1">IFERROR(__xludf.DUMMYFUNCTION("""COMPUTED_VALUE"""),0)</f>
        <v>0</v>
      </c>
      <c r="J243" s="8">
        <f ca="1">IFERROR(__xludf.DUMMYFUNCTION("""COMPUTED_VALUE"""),0)</f>
        <v>0</v>
      </c>
      <c r="K243" s="10" t="str">
        <f ca="1">IFERROR(__xludf.DUMMYFUNCTION("""COMPUTED_VALUE"""),"https://www.wsbtv.com/news/local/douglas-county/shots-fired-douglas-county-high-school-came-people-who-knew-artists-performing-pep-rally/OQ7RCFNRLREHRCSIH3OTCAEH3E/
https://www.wsbtv.com/news/local/douglas-county/shots-fired-near-douglas-county-high-schoo"&amp;"l/A2ADI3XJDBBLXIZ3L2RUG53NXM/")</f>
        <v>https://www.wsbtv.com/news/local/douglas-county/shots-fired-douglas-county-high-school-came-people-who-knew-artists-performing-pep-rally/OQ7RCFNRLREHRCSIH3OTCAEH3E/
https://www.wsbtv.com/news/local/douglas-county/shots-fired-near-douglas-county-high-school/A2ADI3XJDBBLXIZ3L2RUG53NXM/</v>
      </c>
      <c r="L243" s="8">
        <f ca="1">IFERROR(__xludf.DUMMYFUNCTION("""COMPUTED_VALUE"""),10)</f>
        <v>10</v>
      </c>
      <c r="M243" s="8" t="str">
        <f ca="1">IFERROR(__xludf.DUMMYFUNCTION("""COMPUTED_VALUE"""),"Regional")</f>
        <v>Regional</v>
      </c>
      <c r="N243" s="8">
        <f ca="1">IFERROR(__xludf.DUMMYFUNCTION("""COMPUTED_VALUE"""),4)</f>
        <v>4</v>
      </c>
      <c r="O243" s="8" t="str">
        <f ca="1">IFERROR(__xludf.DUMMYFUNCTION("""COMPUTED_VALUE"""),"Fall")</f>
        <v>Fall</v>
      </c>
      <c r="P243" s="8" t="str">
        <f ca="1">IFERROR(__xludf.DUMMYFUNCTION("""COMPUTED_VALUE"""),"Douglasville")</f>
        <v>Douglasville</v>
      </c>
      <c r="Q243" s="8" t="str">
        <f ca="1">IFERROR(__xludf.DUMMYFUNCTION("""COMPUTED_VALUE"""),"GA")</f>
        <v>GA</v>
      </c>
      <c r="R243" s="8" t="str">
        <f ca="1">IFERROR(__xludf.DUMMYFUNCTION("""COMPUTED_VALUE"""),"High")</f>
        <v>High</v>
      </c>
      <c r="S243" s="8" t="str">
        <f ca="1">IFERROR(__xludf.DUMMYFUNCTION("""COMPUTED_VALUE"""),"Parking Lot")</f>
        <v>Parking Lot</v>
      </c>
      <c r="T243" s="8" t="str">
        <f ca="1">IFERROR(__xludf.DUMMYFUNCTION("""COMPUTED_VALUE"""),"Outside on School Property")</f>
        <v>Outside on School Property</v>
      </c>
      <c r="U243" s="8" t="str">
        <f ca="1">IFERROR(__xludf.DUMMYFUNCTION("""COMPUTED_VALUE"""),"Yes")</f>
        <v>Yes</v>
      </c>
      <c r="V243" s="8" t="str">
        <f ca="1">IFERROR(__xludf.DUMMYFUNCTION("""COMPUTED_VALUE"""),"School Event")</f>
        <v>School Event</v>
      </c>
      <c r="W243" s="11">
        <f ca="1">IFERROR(__xludf.DUMMYFUNCTION("""COMPUTED_VALUE"""),0.458333333333333)</f>
        <v>0.45833333333333298</v>
      </c>
      <c r="X243" s="8">
        <f ca="1">IFERROR(__xludf.DUMMYFUNCTION("""COMPUTED_VALUE"""),1)</f>
        <v>1</v>
      </c>
      <c r="Y243" s="12" t="str">
        <f ca="1">IFERROR(__xludf.DUMMYFUNCTION("""COMPUTED_VALUE"""),"Shots fired during during fight at pep rally")</f>
        <v>Shots fired during during fight at pep rally</v>
      </c>
      <c r="Z243" s="12" t="str">
        <f ca="1">IFERROR(__xludf.DUMMYFUNCTION("""COMPUTED_VALUE"""),"Police say they learned that a fight had broken out between several adults in the parking lot of the school’s gym where students were having a homecoming pep rally. They believe those adults were “associated with artists invited by the school to entertain"&amp;" at the rally.” At one point, one of the suspects who was in his car fired three shots into the air. That person was able to drive away in a Mercedes before other officers arrived.")</f>
        <v>Police say they learned that a fight had broken out between several adults in the parking lot of the school’s gym where students were having a homecoming pep rally. They believe those adults were “associated with artists invited by the school to entertain at the rally.” At one point, one of the suspects who was in his car fired three shots into the air. That person was able to drive away in a Mercedes before other officers arrived.</v>
      </c>
      <c r="AA243" s="8" t="str">
        <f ca="1">IFERROR(__xludf.DUMMYFUNCTION("""COMPUTED_VALUE"""),"Escalation of Dispute")</f>
        <v>Escalation of Dispute</v>
      </c>
      <c r="AB243" s="8" t="str">
        <f ca="1">IFERROR(__xludf.DUMMYFUNCTION("""COMPUTED_VALUE"""),"Spontaneous")</f>
        <v>Spontaneous</v>
      </c>
      <c r="AC243" s="8" t="str">
        <f ca="1">IFERROR(__xludf.DUMMYFUNCTION("""COMPUTED_VALUE"""),"Yes")</f>
        <v>Yes</v>
      </c>
      <c r="AD243" s="8" t="str">
        <f ca="1">IFERROR(__xludf.DUMMYFUNCTION("""COMPUTED_VALUE"""),"Neither")</f>
        <v>Neither</v>
      </c>
      <c r="AE243" s="8" t="str">
        <f ca="1">IFERROR(__xludf.DUMMYFUNCTION("""COMPUTED_VALUE"""),"No")</f>
        <v>No</v>
      </c>
      <c r="AF243" s="8"/>
      <c r="AG243" s="8" t="str">
        <f ca="1">IFERROR(__xludf.DUMMYFUNCTION("""COMPUTED_VALUE"""),"No")</f>
        <v>No</v>
      </c>
      <c r="AH243" s="8" t="str">
        <f ca="1">IFERROR(__xludf.DUMMYFUNCTION("""COMPUTED_VALUE"""),"No")</f>
        <v>No</v>
      </c>
      <c r="AI243" s="8" t="str">
        <f ca="1">IFERROR(__xludf.DUMMYFUNCTION("""COMPUTED_VALUE"""),"No")</f>
        <v>No</v>
      </c>
      <c r="AJ243" s="8" t="str">
        <f ca="1">IFERROR(__xludf.DUMMYFUNCTION("""COMPUTED_VALUE"""),"No")</f>
        <v>No</v>
      </c>
      <c r="AK243" s="8" t="str">
        <f ca="1">IFERROR(__xludf.DUMMYFUNCTION("""COMPUTED_VALUE"""),"No")</f>
        <v>No</v>
      </c>
      <c r="AL243" s="8" t="str">
        <f ca="1">IFERROR(__xludf.DUMMYFUNCTION("""COMPUTED_VALUE"""),"No")</f>
        <v>No</v>
      </c>
      <c r="AM243" s="8" t="str">
        <f ca="1">IFERROR(__xludf.DUMMYFUNCTION("""COMPUTED_VALUE"""),"No")</f>
        <v>No</v>
      </c>
      <c r="AN243" s="8" t="str">
        <f ca="1">IFERROR(__xludf.DUMMYFUNCTION("""COMPUTED_VALUE"""),"Outside")</f>
        <v>Outside</v>
      </c>
      <c r="AO243" s="8" t="str">
        <f ca="1">IFERROR(__xludf.DUMMYFUNCTION("""COMPUTED_VALUE"""),"No")</f>
        <v>No</v>
      </c>
      <c r="AP243" s="8"/>
      <c r="AQ243" s="8"/>
      <c r="AR243" s="8" t="str">
        <f ca="1">IFERROR(__xludf.DUMMYFUNCTION("""COMPUTED_VALUE"""),"Outside/Off-Property")</f>
        <v>Outside/Off-Property</v>
      </c>
      <c r="AS243" s="8">
        <f ca="1">IFERROR(__xludf.DUMMYFUNCTION("""COMPUTED_VALUE"""),3)</f>
        <v>3</v>
      </c>
      <c r="AT243" s="8" t="str">
        <f ca="1">IFERROR(__xludf.DUMMYFUNCTION("""COMPUTED_VALUE"""),"No")</f>
        <v>No</v>
      </c>
      <c r="AU243" s="8">
        <f ca="1">IFERROR(__xludf.DUMMYFUNCTION("""COMPUTED_VALUE"""),33.742556)</f>
        <v>33.742556</v>
      </c>
      <c r="AV243" s="8">
        <f ca="1">IFERROR(__xludf.DUMMYFUNCTION("""COMPUTED_VALUE"""),-84.744639)</f>
        <v>-84.744639000000006</v>
      </c>
      <c r="AW243" s="8" t="str">
        <f ca="1">IFERROR(__xludf.DUMMYFUNCTION("""COMPUTED_VALUE"""),"Mega-school")</f>
        <v>Mega-school</v>
      </c>
      <c r="AX243" s="8">
        <f ca="1">IFERROR(__xludf.DUMMYFUNCTION("""COMPUTED_VALUE"""),30134)</f>
        <v>30134</v>
      </c>
    </row>
    <row r="244" spans="1:50" ht="225" x14ac:dyDescent="0.2">
      <c r="A244" s="8" t="str">
        <f ca="1">IFERROR(__xludf.DUMMYFUNCTION("""COMPUTED_VALUE"""),"20241010TXKID")</f>
        <v>20241010TXKID</v>
      </c>
      <c r="B244" s="8">
        <f ca="1">IFERROR(__xludf.DUMMYFUNCTION("""COMPUTED_VALUE"""),10)</f>
        <v>10</v>
      </c>
      <c r="C244" s="8">
        <f ca="1">IFERROR(__xludf.DUMMYFUNCTION("""COMPUTED_VALUE"""),10)</f>
        <v>10</v>
      </c>
      <c r="D244" s="8">
        <f ca="1">IFERROR(__xludf.DUMMYFUNCTION("""COMPUTED_VALUE"""),2024)</f>
        <v>2024</v>
      </c>
      <c r="E244" s="9">
        <f ca="1">IFERROR(__xludf.DUMMYFUNCTION("""COMPUTED_VALUE"""),45575)</f>
        <v>45575</v>
      </c>
      <c r="F244" s="8" t="str">
        <f ca="1">IFERROR(__xludf.DUMMYFUNCTION("""COMPUTED_VALUE"""),"KIPP Truth Academy")</f>
        <v>KIPP Truth Academy</v>
      </c>
      <c r="G244" s="8">
        <f ca="1">IFERROR(__xludf.DUMMYFUNCTION("""COMPUTED_VALUE"""),0)</f>
        <v>0</v>
      </c>
      <c r="H244" s="8">
        <f ca="1">IFERROR(__xludf.DUMMYFUNCTION("""COMPUTED_VALUE"""),1)</f>
        <v>1</v>
      </c>
      <c r="I244" s="8">
        <f ca="1">IFERROR(__xludf.DUMMYFUNCTION("""COMPUTED_VALUE"""),1)</f>
        <v>1</v>
      </c>
      <c r="J244" s="8">
        <f ca="1">IFERROR(__xludf.DUMMYFUNCTION("""COMPUTED_VALUE"""),0)</f>
        <v>0</v>
      </c>
      <c r="K244" s="10" t="str">
        <f ca="1">IFERROR(__xludf.DUMMYFUNCTION("""COMPUTED_VALUE"""),"https://www.fox4news.com/news/shots-fired-near-dallas-school-prompt-lockdown")</f>
        <v>https://www.fox4news.com/news/shots-fired-near-dallas-school-prompt-lockdown</v>
      </c>
      <c r="L244" s="8">
        <f ca="1">IFERROR(__xludf.DUMMYFUNCTION("""COMPUTED_VALUE"""),1)</f>
        <v>1</v>
      </c>
      <c r="M244" s="8" t="str">
        <f ca="1">IFERROR(__xludf.DUMMYFUNCTION("""COMPUTED_VALUE"""),"Local")</f>
        <v>Local</v>
      </c>
      <c r="N244" s="8">
        <f ca="1">IFERROR(__xludf.DUMMYFUNCTION("""COMPUTED_VALUE"""),3)</f>
        <v>3</v>
      </c>
      <c r="O244" s="8" t="str">
        <f ca="1">IFERROR(__xludf.DUMMYFUNCTION("""COMPUTED_VALUE"""),"Fall")</f>
        <v>Fall</v>
      </c>
      <c r="P244" s="8" t="str">
        <f ca="1">IFERROR(__xludf.DUMMYFUNCTION("""COMPUTED_VALUE"""),"Dallas")</f>
        <v>Dallas</v>
      </c>
      <c r="Q244" s="8" t="str">
        <f ca="1">IFERROR(__xludf.DUMMYFUNCTION("""COMPUTED_VALUE"""),"TX")</f>
        <v>TX</v>
      </c>
      <c r="R244" s="8" t="str">
        <f ca="1">IFERROR(__xludf.DUMMYFUNCTION("""COMPUTED_VALUE"""),"Elementary")</f>
        <v>Elementary</v>
      </c>
      <c r="S244" s="8" t="str">
        <f ca="1">IFERROR(__xludf.DUMMYFUNCTION("""COMPUTED_VALUE"""),"Playground")</f>
        <v>Playground</v>
      </c>
      <c r="T244" s="8" t="str">
        <f ca="1">IFERROR(__xludf.DUMMYFUNCTION("""COMPUTED_VALUE"""),"Outside on School Property")</f>
        <v>Outside on School Property</v>
      </c>
      <c r="U244" s="8" t="str">
        <f ca="1">IFERROR(__xludf.DUMMYFUNCTION("""COMPUTED_VALUE"""),"Yes")</f>
        <v>Yes</v>
      </c>
      <c r="V244" s="8" t="str">
        <f ca="1">IFERROR(__xludf.DUMMYFUNCTION("""COMPUTED_VALUE"""),"Lunch")</f>
        <v>Lunch</v>
      </c>
      <c r="W244" s="11">
        <f ca="1">IFERROR(__xludf.DUMMYFUNCTION("""COMPUTED_VALUE"""),0.5)</f>
        <v>0.5</v>
      </c>
      <c r="X244" s="8">
        <f ca="1">IFERROR(__xludf.DUMMYFUNCTION("""COMPUTED_VALUE"""),1)</f>
        <v>1</v>
      </c>
      <c r="Y244" s="12" t="str">
        <f ca="1">IFERROR(__xludf.DUMMYFUNCTION("""COMPUTED_VALUE"""),"Shots fired while students were on the school playground")</f>
        <v>Shots fired while students were on the school playground</v>
      </c>
      <c r="Z244" s="12" t="str">
        <f ca="1">IFERROR(__xludf.DUMMYFUNCTION("""COMPUTED_VALUE"""),"Police said a car drove by and fired multiple shots at two young men who were walking along S. Ewing Avenue. They were not hurt. Witnesses said the school security jumped into action to make sure all students were safe. A student and his mother described "&amp;"some scary moments. ""It's sad, and it's scary at the same time,"" said Christopher, a 7th grader. ""The teachers told us there was somebody outside. Someone shot, and they put us inside the classrooms."" ""It was loud, big caliber. And I looked out the w"&amp;"indow as soon as it happened and the kids were on the ground and then they shuffled them back here. And the security guard ran around the end of the building toward where the fire was with his gun out,"" said John McNeely, a nearby business owner. Police "&amp;"said there were a few students outside the building at the time of the shooting, but none were hurt.")</f>
        <v>Police said a car drove by and fired multiple shots at two young men who were walking along S. Ewing Avenue. They were not hurt. Witnesses said the school security jumped into action to make sure all students were safe. A student and his mother described some scary moments. "It's sad, and it's scary at the same time," said Christopher, a 7th grader. "The teachers told us there was somebody outside. Someone shot, and they put us inside the classrooms." "It was loud, big caliber. And I looked out the window as soon as it happened and the kids were on the ground and then they shuffled them back here. And the security guard ran around the end of the building toward where the fire was with his gun out," said John McNeely, a nearby business owner. Police said there were a few students outside the building at the time of the shooting, but none were hurt.</v>
      </c>
      <c r="AA244" s="8" t="str">
        <f ca="1">IFERROR(__xludf.DUMMYFUNCTION("""COMPUTED_VALUE"""),"Drive-by Shooting")</f>
        <v>Drive-by Shooting</v>
      </c>
      <c r="AB244" s="8" t="str">
        <f ca="1">IFERROR(__xludf.DUMMYFUNCTION("""COMPUTED_VALUE"""),"Targeted")</f>
        <v>Targeted</v>
      </c>
      <c r="AC244" s="8" t="str">
        <f ca="1">IFERROR(__xludf.DUMMYFUNCTION("""COMPUTED_VALUE"""),"Yes")</f>
        <v>Yes</v>
      </c>
      <c r="AD244" s="8" t="str">
        <f ca="1">IFERROR(__xludf.DUMMYFUNCTION("""COMPUTED_VALUE"""),"Victims Targeted")</f>
        <v>Victims Targeted</v>
      </c>
      <c r="AE244" s="8"/>
      <c r="AF244" s="8"/>
      <c r="AG244" s="8" t="str">
        <f ca="1">IFERROR(__xludf.DUMMYFUNCTION("""COMPUTED_VALUE"""),"No")</f>
        <v>No</v>
      </c>
      <c r="AH244" s="8" t="str">
        <f ca="1">IFERROR(__xludf.DUMMYFUNCTION("""COMPUTED_VALUE"""),"No")</f>
        <v>No</v>
      </c>
      <c r="AI244" s="8" t="str">
        <f ca="1">IFERROR(__xludf.DUMMYFUNCTION("""COMPUTED_VALUE"""),"No")</f>
        <v>No</v>
      </c>
      <c r="AJ244" s="8" t="str">
        <f ca="1">IFERROR(__xludf.DUMMYFUNCTION("""COMPUTED_VALUE"""),"No")</f>
        <v>No</v>
      </c>
      <c r="AK244" s="8" t="str">
        <f ca="1">IFERROR(__xludf.DUMMYFUNCTION("""COMPUTED_VALUE"""),"No")</f>
        <v>No</v>
      </c>
      <c r="AL244" s="8"/>
      <c r="AM244" s="8" t="str">
        <f ca="1">IFERROR(__xludf.DUMMYFUNCTION("""COMPUTED_VALUE"""),"No")</f>
        <v>No</v>
      </c>
      <c r="AN244" s="8" t="str">
        <f ca="1">IFERROR(__xludf.DUMMYFUNCTION("""COMPUTED_VALUE"""),"Outside")</f>
        <v>Outside</v>
      </c>
      <c r="AO244" s="8" t="str">
        <f ca="1">IFERROR(__xludf.DUMMYFUNCTION("""COMPUTED_VALUE"""),"No")</f>
        <v>No</v>
      </c>
      <c r="AP244" s="8"/>
      <c r="AQ244" s="8"/>
      <c r="AR244" s="8" t="str">
        <f ca="1">IFERROR(__xludf.DUMMYFUNCTION("""COMPUTED_VALUE"""),"Outside/Off-Property")</f>
        <v>Outside/Off-Property</v>
      </c>
      <c r="AS244" s="8">
        <f ca="1">IFERROR(__xludf.DUMMYFUNCTION("""COMPUTED_VALUE"""),99)</f>
        <v>99</v>
      </c>
      <c r="AT244" s="8" t="str">
        <f ca="1">IFERROR(__xludf.DUMMYFUNCTION("""COMPUTED_VALUE"""),"Yes")</f>
        <v>Yes</v>
      </c>
      <c r="AU244" s="8">
        <f ca="1">IFERROR(__xludf.DUMMYFUNCTION("""COMPUTED_VALUE"""),32.728003)</f>
        <v>32.728003000000001</v>
      </c>
      <c r="AV244" s="8">
        <f ca="1">IFERROR(__xludf.DUMMYFUNCTION("""COMPUTED_VALUE"""),-96.81181)</f>
        <v>-96.811809999999994</v>
      </c>
      <c r="AW244" s="8" t="str">
        <f ca="1">IFERROR(__xludf.DUMMYFUNCTION("""COMPUTED_VALUE"""),"Multiple attached buildings")</f>
        <v>Multiple attached buildings</v>
      </c>
      <c r="AX244" s="8">
        <f ca="1">IFERROR(__xludf.DUMMYFUNCTION("""COMPUTED_VALUE"""),75216)</f>
        <v>75216</v>
      </c>
    </row>
    <row r="245" spans="1:50" ht="390" x14ac:dyDescent="0.2">
      <c r="A245" s="8" t="str">
        <f ca="1">IFERROR(__xludf.DUMMYFUNCTION("""COMPUTED_VALUE"""),"20241010PACOC")</f>
        <v>20241010PACOC</v>
      </c>
      <c r="B245" s="8">
        <f ca="1">IFERROR(__xludf.DUMMYFUNCTION("""COMPUTED_VALUE"""),10)</f>
        <v>10</v>
      </c>
      <c r="C245" s="8">
        <f ca="1">IFERROR(__xludf.DUMMYFUNCTION("""COMPUTED_VALUE"""),10)</f>
        <v>10</v>
      </c>
      <c r="D245" s="8">
        <f ca="1">IFERROR(__xludf.DUMMYFUNCTION("""COMPUTED_VALUE"""),2024)</f>
        <v>2024</v>
      </c>
      <c r="E245" s="9">
        <f ca="1">IFERROR(__xludf.DUMMYFUNCTION("""COMPUTED_VALUE"""),45575)</f>
        <v>45575</v>
      </c>
      <c r="F245" s="8" t="str">
        <f ca="1">IFERROR(__xludf.DUMMYFUNCTION("""COMPUTED_VALUE"""),"Coatesville Area Senior High School")</f>
        <v>Coatesville Area Senior High School</v>
      </c>
      <c r="G245" s="8">
        <f ca="1">IFERROR(__xludf.DUMMYFUNCTION("""COMPUTED_VALUE"""),0)</f>
        <v>0</v>
      </c>
      <c r="H245" s="8">
        <f ca="1">IFERROR(__xludf.DUMMYFUNCTION("""COMPUTED_VALUE"""),1)</f>
        <v>1</v>
      </c>
      <c r="I245" s="8">
        <f ca="1">IFERROR(__xludf.DUMMYFUNCTION("""COMPUTED_VALUE"""),1)</f>
        <v>1</v>
      </c>
      <c r="J245" s="8">
        <f ca="1">IFERROR(__xludf.DUMMYFUNCTION("""COMPUTED_VALUE"""),0)</f>
        <v>0</v>
      </c>
      <c r="K245" s="8" t="str">
        <f ca="1">IFERROR(__xludf.DUMMYFUNCTION("""COMPUTED_VALUE"""),"https://6abc.com/post/Coatesville-High-School-bus-shooting-Jaki-White-Marshall-student-arrested/15416826/
https://6abc.com/post/coatesville-area-school-district-hit-gunfire-charles-street-chester-county/15413528/
https://www.cbsnews.com/philadelphia/news/"&amp;"coatesville-shooting-school-bus/")</f>
        <v>https://6abc.com/post/Coatesville-High-School-bus-shooting-Jaki-White-Marshall-student-arrested/15416826/
https://6abc.com/post/coatesville-area-school-district-hit-gunfire-charles-street-chester-county/15413528/
https://www.cbsnews.com/philadelphia/news/coatesville-shooting-school-bus/</v>
      </c>
      <c r="L245" s="8">
        <f ca="1">IFERROR(__xludf.DUMMYFUNCTION("""COMPUTED_VALUE"""),20)</f>
        <v>20</v>
      </c>
      <c r="M245" s="8" t="str">
        <f ca="1">IFERROR(__xludf.DUMMYFUNCTION("""COMPUTED_VALUE"""),"Regional")</f>
        <v>Regional</v>
      </c>
      <c r="N245" s="8">
        <f ca="1">IFERROR(__xludf.DUMMYFUNCTION("""COMPUTED_VALUE"""),4)</f>
        <v>4</v>
      </c>
      <c r="O245" s="8" t="str">
        <f ca="1">IFERROR(__xludf.DUMMYFUNCTION("""COMPUTED_VALUE"""),"Fall")</f>
        <v>Fall</v>
      </c>
      <c r="P245" s="8" t="str">
        <f ca="1">IFERROR(__xludf.DUMMYFUNCTION("""COMPUTED_VALUE"""),"Coatesville")</f>
        <v>Coatesville</v>
      </c>
      <c r="Q245" s="8" t="str">
        <f ca="1">IFERROR(__xludf.DUMMYFUNCTION("""COMPUTED_VALUE"""),"PA")</f>
        <v>PA</v>
      </c>
      <c r="R245" s="8" t="str">
        <f ca="1">IFERROR(__xludf.DUMMYFUNCTION("""COMPUTED_VALUE"""),"High")</f>
        <v>High</v>
      </c>
      <c r="S245" s="8" t="str">
        <f ca="1">IFERROR(__xludf.DUMMYFUNCTION("""COMPUTED_VALUE"""),"School Bus")</f>
        <v>School Bus</v>
      </c>
      <c r="T245" s="8" t="str">
        <f ca="1">IFERROR(__xludf.DUMMYFUNCTION("""COMPUTED_VALUE"""),"School Bus")</f>
        <v>School Bus</v>
      </c>
      <c r="U245" s="8" t="str">
        <f ca="1">IFERROR(__xludf.DUMMYFUNCTION("""COMPUTED_VALUE"""),"Yes")</f>
        <v>Yes</v>
      </c>
      <c r="V245" s="8" t="str">
        <f ca="1">IFERROR(__xludf.DUMMYFUNCTION("""COMPUTED_VALUE"""),"Dismissal")</f>
        <v>Dismissal</v>
      </c>
      <c r="W245" s="11">
        <f ca="1">IFERROR(__xludf.DUMMYFUNCTION("""COMPUTED_VALUE"""),0.604166666666666)</f>
        <v>0.60416666666666596</v>
      </c>
      <c r="X245" s="8">
        <f ca="1">IFERROR(__xludf.DUMMYFUNCTION("""COMPUTED_VALUE"""),1)</f>
        <v>1</v>
      </c>
      <c r="Y245" s="12" t="str">
        <f ca="1">IFERROR(__xludf.DUMMYFUNCTION("""COMPUTED_VALUE"""),"Two students fired 8 shots at school bus during planned attack targeting a student on the bus")</f>
        <v>Two students fired 8 shots at school bus during planned attack targeting a student on the bus</v>
      </c>
      <c r="Z245" s="12" t="str">
        <f ca="1">IFERROR(__xludf.DUMMYFUNCTION("""COMPUTED_VALUE"""),"17-year-old was arrested and charged with aggravated assault on Friday after he was allegedly part of a group that opened fire on a school bus in Coatesville. Officials believe that he met up with a group waiting near a bus stop to conduct the assault. Ei"&amp;"ght shots were fired at the bus by two shooters from about a block away, reported Fox 29.According to the Coatesville Area School District, a driver was transporting high school students when a bullet went through the windshield. The gunfire rang out arou"&amp;"nd 2:30 p.m. at the corner of Hope Avenue and Madison Street. No one on the bus was hit and no injuries were reported. ""Students on the bus are safe, as is the driver, and police are on the scene. We are extremely grateful for the calm reaction of our dr"&amp;"iver and the support of police,"" the school district said in a statement. The bus company, Krapf School Bus, tells Action News the driver called dispatch who then called the police. The driver then traveled about two miles away to the Westwood Fire Compa"&amp;"ny, where parents and students were reunited, officials said. ""She kept those kids safe. She kept herself safe and she made sure that she got away from the situation like she should have,"" said Nikki Batt, who also works as a school bus driver. As a res"&amp;"ult of the shooting, Thursday night's football game against Downingtown East High School was canceled. Carmen Lemus, also a bus driver, was set to transport kids to the game.")</f>
        <v>17-year-old was arrested and charged with aggravated assault on Friday after he was allegedly part of a group that opened fire on a school bus in Coatesville. Officials believe that he met up with a group waiting near a bus stop to conduct the assault. Eight shots were fired at the bus by two shooters from about a block away, reported Fox 29.According to the Coatesville Area School District, a driver was transporting high school students when a bullet went through the windshield. The gunfire rang out around 2:30 p.m. at the corner of Hope Avenue and Madison Street. No one on the bus was hit and no injuries were reported. "Students on the bus are safe, as is the driver, and police are on the scene. We are extremely grateful for the calm reaction of our driver and the support of police," the school district said in a statement. The bus company, Krapf School Bus, tells Action News the driver called dispatch who then called the police. The driver then traveled about two miles away to the Westwood Fire Company, where parents and students were reunited, officials said. "She kept those kids safe. She kept herself safe and she made sure that she got away from the situation like she should have," said Nikki Batt, who also works as a school bus driver. As a result of the shooting, Thursday night's football game against Downingtown East High School was canceled. Carmen Lemus, also a bus driver, was set to transport kids to the game.</v>
      </c>
      <c r="AA245" s="8" t="str">
        <f ca="1">IFERROR(__xludf.DUMMYFUNCTION("""COMPUTED_VALUE"""),"Murder/Assassination")</f>
        <v>Murder/Assassination</v>
      </c>
      <c r="AB245" s="8" t="str">
        <f ca="1">IFERROR(__xludf.DUMMYFUNCTION("""COMPUTED_VALUE"""),"Targeted")</f>
        <v>Targeted</v>
      </c>
      <c r="AC245" s="8" t="str">
        <f ca="1">IFERROR(__xludf.DUMMYFUNCTION("""COMPUTED_VALUE"""),"Yes")</f>
        <v>Yes</v>
      </c>
      <c r="AD245" s="8" t="str">
        <f ca="1">IFERROR(__xludf.DUMMYFUNCTION("""COMPUTED_VALUE"""),"Victims Targeted")</f>
        <v>Victims Targeted</v>
      </c>
      <c r="AE245" s="8" t="str">
        <f ca="1">IFERROR(__xludf.DUMMYFUNCTION("""COMPUTED_VALUE"""),"Yes")</f>
        <v>Yes</v>
      </c>
      <c r="AF245" s="8" t="str">
        <f ca="1">IFERROR(__xludf.DUMMYFUNCTION("""COMPUTED_VALUE"""),"Two shooters")</f>
        <v>Two shooters</v>
      </c>
      <c r="AG245" s="8" t="str">
        <f ca="1">IFERROR(__xludf.DUMMYFUNCTION("""COMPUTED_VALUE"""),"No")</f>
        <v>No</v>
      </c>
      <c r="AH245" s="8" t="str">
        <f ca="1">IFERROR(__xludf.DUMMYFUNCTION("""COMPUTED_VALUE"""),"No")</f>
        <v>No</v>
      </c>
      <c r="AI245" s="8" t="str">
        <f ca="1">IFERROR(__xludf.DUMMYFUNCTION("""COMPUTED_VALUE"""),"No")</f>
        <v>No</v>
      </c>
      <c r="AJ245" s="8" t="str">
        <f ca="1">IFERROR(__xludf.DUMMYFUNCTION("""COMPUTED_VALUE"""),"No")</f>
        <v>No</v>
      </c>
      <c r="AK245" s="8" t="str">
        <f ca="1">IFERROR(__xludf.DUMMYFUNCTION("""COMPUTED_VALUE"""),"No")</f>
        <v>No</v>
      </c>
      <c r="AL245" s="8"/>
      <c r="AM245" s="8" t="str">
        <f ca="1">IFERROR(__xludf.DUMMYFUNCTION("""COMPUTED_VALUE"""),"No")</f>
        <v>No</v>
      </c>
      <c r="AN245" s="8" t="str">
        <f ca="1">IFERROR(__xludf.DUMMYFUNCTION("""COMPUTED_VALUE"""),"Outside")</f>
        <v>Outside</v>
      </c>
      <c r="AO245" s="8" t="str">
        <f ca="1">IFERROR(__xludf.DUMMYFUNCTION("""COMPUTED_VALUE"""),"No")</f>
        <v>No</v>
      </c>
      <c r="AP245" s="8"/>
      <c r="AQ245" s="8"/>
      <c r="AR245" s="8" t="str">
        <f ca="1">IFERROR(__xludf.DUMMYFUNCTION("""COMPUTED_VALUE"""),"Outside/Off-Property")</f>
        <v>Outside/Off-Property</v>
      </c>
      <c r="AS245" s="8">
        <f ca="1">IFERROR(__xludf.DUMMYFUNCTION("""COMPUTED_VALUE"""),8)</f>
        <v>8</v>
      </c>
      <c r="AT245" s="8" t="str">
        <f ca="1">IFERROR(__xludf.DUMMYFUNCTION("""COMPUTED_VALUE"""),"No")</f>
        <v>No</v>
      </c>
      <c r="AU245" s="8">
        <f ca="1">IFERROR(__xludf.DUMMYFUNCTION("""COMPUTED_VALUE"""),40.040728)</f>
        <v>40.040728000000001</v>
      </c>
      <c r="AV245" s="8">
        <f ca="1">IFERROR(__xludf.DUMMYFUNCTION("""COMPUTED_VALUE"""),-75.661265)</f>
        <v>-75.661265</v>
      </c>
      <c r="AW245" s="8" t="str">
        <f ca="1">IFERROR(__xludf.DUMMYFUNCTION("""COMPUTED_VALUE"""),"Multiple attached buildings")</f>
        <v>Multiple attached buildings</v>
      </c>
      <c r="AX245" s="8">
        <f ca="1">IFERROR(__xludf.DUMMYFUNCTION("""COMPUTED_VALUE"""),19341)</f>
        <v>19341</v>
      </c>
    </row>
    <row r="246" spans="1:50" ht="300" x14ac:dyDescent="0.2">
      <c r="A246" s="8" t="str">
        <f ca="1">IFERROR(__xludf.DUMMYFUNCTION("""COMPUTED_VALUE"""),"20241010WANOS")</f>
        <v>20241010WANOS</v>
      </c>
      <c r="B246" s="8">
        <f ca="1">IFERROR(__xludf.DUMMYFUNCTION("""COMPUTED_VALUE"""),10)</f>
        <v>10</v>
      </c>
      <c r="C246" s="8">
        <f ca="1">IFERROR(__xludf.DUMMYFUNCTION("""COMPUTED_VALUE"""),10)</f>
        <v>10</v>
      </c>
      <c r="D246" s="8">
        <f ca="1">IFERROR(__xludf.DUMMYFUNCTION("""COMPUTED_VALUE"""),2024)</f>
        <v>2024</v>
      </c>
      <c r="E246" s="9">
        <f ca="1">IFERROR(__xludf.DUMMYFUNCTION("""COMPUTED_VALUE"""),45575)</f>
        <v>45575</v>
      </c>
      <c r="F246" s="8" t="str">
        <f ca="1">IFERROR(__xludf.DUMMYFUNCTION("""COMPUTED_VALUE"""),"Nova High School")</f>
        <v>Nova High School</v>
      </c>
      <c r="G246" s="8">
        <f ca="1">IFERROR(__xludf.DUMMYFUNCTION("""COMPUTED_VALUE"""),0)</f>
        <v>0</v>
      </c>
      <c r="H246" s="8">
        <f ca="1">IFERROR(__xludf.DUMMYFUNCTION("""COMPUTED_VALUE"""),0)</f>
        <v>0</v>
      </c>
      <c r="I246" s="8">
        <f ca="1">IFERROR(__xludf.DUMMYFUNCTION("""COMPUTED_VALUE"""),0)</f>
        <v>0</v>
      </c>
      <c r="J246" s="8">
        <f ca="1">IFERROR(__xludf.DUMMYFUNCTION("""COMPUTED_VALUE"""),0)</f>
        <v>0</v>
      </c>
      <c r="K246" s="8" t="str">
        <f ca="1">IFERROR(__xludf.DUMMYFUNCTION("""COMPUTED_VALUE"""),"https://www.king5.com/article/news/crime/shooting-nova-high-school-garfield-high-school-seattle/281-fb3d12ac-19a4-468f-8cea-a5ab7c74c62f
https://www.komonews.com/news/local/seattle-school-shooting-bullet-through-window-nova-high-school-sps-public-schools-"&amp;"garfield-lockdown-spd-investigation-shell-casings-25th-avenue-east-cherry-street-central-district")</f>
        <v>https://www.king5.com/article/news/crime/shooting-nova-high-school-garfield-high-school-seattle/281-fb3d12ac-19a4-468f-8cea-a5ab7c74c62f
https://www.komonews.com/news/local/seattle-school-shooting-bullet-through-window-nova-high-school-sps-public-schools-garfield-lockdown-spd-investigation-shell-casings-25th-avenue-east-cherry-street-central-district</v>
      </c>
      <c r="L246" s="8">
        <f ca="1">IFERROR(__xludf.DUMMYFUNCTION("""COMPUTED_VALUE"""),10)</f>
        <v>10</v>
      </c>
      <c r="M246" s="8" t="str">
        <f ca="1">IFERROR(__xludf.DUMMYFUNCTION("""COMPUTED_VALUE"""),"Regional")</f>
        <v>Regional</v>
      </c>
      <c r="N246" s="8">
        <f ca="1">IFERROR(__xludf.DUMMYFUNCTION("""COMPUTED_VALUE"""),4)</f>
        <v>4</v>
      </c>
      <c r="O246" s="8" t="str">
        <f ca="1">IFERROR(__xludf.DUMMYFUNCTION("""COMPUTED_VALUE"""),"Fall")</f>
        <v>Fall</v>
      </c>
      <c r="P246" s="8" t="str">
        <f ca="1">IFERROR(__xludf.DUMMYFUNCTION("""COMPUTED_VALUE"""),"Seattle")</f>
        <v>Seattle</v>
      </c>
      <c r="Q246" s="8" t="str">
        <f ca="1">IFERROR(__xludf.DUMMYFUNCTION("""COMPUTED_VALUE"""),"WA")</f>
        <v>WA</v>
      </c>
      <c r="R246" s="8" t="str">
        <f ca="1">IFERROR(__xludf.DUMMYFUNCTION("""COMPUTED_VALUE"""),"High")</f>
        <v>High</v>
      </c>
      <c r="S246" s="8" t="str">
        <f ca="1">IFERROR(__xludf.DUMMYFUNCTION("""COMPUTED_VALUE"""),"Front of School")</f>
        <v>Front of School</v>
      </c>
      <c r="T246" s="8" t="str">
        <f ca="1">IFERROR(__xludf.DUMMYFUNCTION("""COMPUTED_VALUE"""),"Outside on School Property")</f>
        <v>Outside on School Property</v>
      </c>
      <c r="U246" s="8" t="str">
        <f ca="1">IFERROR(__xludf.DUMMYFUNCTION("""COMPUTED_VALUE"""),"Yes")</f>
        <v>Yes</v>
      </c>
      <c r="V246" s="8" t="str">
        <f ca="1">IFERROR(__xludf.DUMMYFUNCTION("""COMPUTED_VALUE"""),"Afternoon Classes")</f>
        <v>Afternoon Classes</v>
      </c>
      <c r="W246" s="11">
        <f ca="1">IFERROR(__xludf.DUMMYFUNCTION("""COMPUTED_VALUE"""),0.572222222222222)</f>
        <v>0.57222222222222197</v>
      </c>
      <c r="X246" s="8">
        <f ca="1">IFERROR(__xludf.DUMMYFUNCTION("""COMPUTED_VALUE"""),1)</f>
        <v>1</v>
      </c>
      <c r="Y246" s="12" t="str">
        <f ca="1">IFERROR(__xludf.DUMMYFUNCTION("""COMPUTED_VALUE"""),"Bullets fired during drive-by broke occupied classroom window")</f>
        <v>Bullets fired during drive-by broke occupied classroom window</v>
      </c>
      <c r="Z246" s="12" t="str">
        <f ca="1">IFERROR(__xludf.DUMMYFUNCTION("""COMPUTED_VALUE"""),"Nova High School was placed on lockdown, and Garfield High School was in shelter-in-place after Seattle police responded to shots being fired near both schools Thursday afternoon. According to the Seattle Police Department, officers responded to the 2400 "&amp;"block of East Cherry Street at 1:44 p.m. near Nova High School. Police said a suspected .45 caliber bullet went through a second-story window of the school. The SPD told KOMO News the bullet was being recovered as evidence. A department spokesperson said "&amp;"a 911 caller reported hearing six to seven shots being fired. Responding officers found more than a dozen shell casings on 25th Avenue near the school. A witness also told 911 dispatchers that two vehicles were allegedly seen fleeing the area. Investigato"&amp;"rs believe the vehicles were involved in the shooting. At this time, it is unknown if the shots were aimed at the school. No injuries have been reported at this time. ""Students and staff at both schools are safe, and the lockdown and shelter-in-place hav"&amp;"e been lifted,"" wrote Seattle Public Schools in response to an inquiry from KOMO News.")</f>
        <v>Nova High School was placed on lockdown, and Garfield High School was in shelter-in-place after Seattle police responded to shots being fired near both schools Thursday afternoon. According to the Seattle Police Department, officers responded to the 2400 block of East Cherry Street at 1:44 p.m. near Nova High School. Police said a suspected .45 caliber bullet went through a second-story window of the school. The SPD told KOMO News the bullet was being recovered as evidence. A department spokesperson said a 911 caller reported hearing six to seven shots being fired. Responding officers found more than a dozen shell casings on 25th Avenue near the school. A witness also told 911 dispatchers that two vehicles were allegedly seen fleeing the area. Investigators believe the vehicles were involved in the shooting. At this time, it is unknown if the shots were aimed at the school. No injuries have been reported at this time. "Students and staff at both schools are safe, and the lockdown and shelter-in-place have been lifted," wrote Seattle Public Schools in response to an inquiry from KOMO News.</v>
      </c>
      <c r="AA246" s="8" t="str">
        <f ca="1">IFERROR(__xludf.DUMMYFUNCTION("""COMPUTED_VALUE"""),"Drive-by Shooting")</f>
        <v>Drive-by Shooting</v>
      </c>
      <c r="AB246" s="8" t="str">
        <f ca="1">IFERROR(__xludf.DUMMYFUNCTION("""COMPUTED_VALUE"""),"Spontaneous")</f>
        <v>Spontaneous</v>
      </c>
      <c r="AC246" s="8" t="str">
        <f ca="1">IFERROR(__xludf.DUMMYFUNCTION("""COMPUTED_VALUE"""),"Yes")</f>
        <v>Yes</v>
      </c>
      <c r="AD246" s="8" t="str">
        <f ca="1">IFERROR(__xludf.DUMMYFUNCTION("""COMPUTED_VALUE"""),"Both")</f>
        <v>Both</v>
      </c>
      <c r="AE246" s="8"/>
      <c r="AF246" s="8"/>
      <c r="AG246" s="8" t="str">
        <f ca="1">IFERROR(__xludf.DUMMYFUNCTION("""COMPUTED_VALUE"""),"No")</f>
        <v>No</v>
      </c>
      <c r="AH246" s="8" t="str">
        <f ca="1">IFERROR(__xludf.DUMMYFUNCTION("""COMPUTED_VALUE"""),"No")</f>
        <v>No</v>
      </c>
      <c r="AI246" s="8" t="str">
        <f ca="1">IFERROR(__xludf.DUMMYFUNCTION("""COMPUTED_VALUE"""),"No")</f>
        <v>No</v>
      </c>
      <c r="AJ246" s="8" t="str">
        <f ca="1">IFERROR(__xludf.DUMMYFUNCTION("""COMPUTED_VALUE"""),"No")</f>
        <v>No</v>
      </c>
      <c r="AK246" s="8" t="str">
        <f ca="1">IFERROR(__xludf.DUMMYFUNCTION("""COMPUTED_VALUE"""),"No")</f>
        <v>No</v>
      </c>
      <c r="AL246" s="8"/>
      <c r="AM246" s="8" t="str">
        <f ca="1">IFERROR(__xludf.DUMMYFUNCTION("""COMPUTED_VALUE"""),"No")</f>
        <v>No</v>
      </c>
      <c r="AN246" s="8" t="str">
        <f ca="1">IFERROR(__xludf.DUMMYFUNCTION("""COMPUTED_VALUE"""),"Outside")</f>
        <v>Outside</v>
      </c>
      <c r="AO246" s="8" t="str">
        <f ca="1">IFERROR(__xludf.DUMMYFUNCTION("""COMPUTED_VALUE"""),"No")</f>
        <v>No</v>
      </c>
      <c r="AP246" s="8"/>
      <c r="AQ246" s="8"/>
      <c r="AR246" s="8" t="str">
        <f ca="1">IFERROR(__xludf.DUMMYFUNCTION("""COMPUTED_VALUE"""),"Outside/Off-Property")</f>
        <v>Outside/Off-Property</v>
      </c>
      <c r="AS246" s="8">
        <f ca="1">IFERROR(__xludf.DUMMYFUNCTION("""COMPUTED_VALUE"""),12)</f>
        <v>12</v>
      </c>
      <c r="AT246" s="8" t="str">
        <f ca="1">IFERROR(__xludf.DUMMYFUNCTION("""COMPUTED_VALUE"""),"Yes")</f>
        <v>Yes</v>
      </c>
      <c r="AU246" s="8">
        <f ca="1">IFERROR(__xludf.DUMMYFUNCTION("""COMPUTED_VALUE"""),47.608696)</f>
        <v>47.608696000000002</v>
      </c>
      <c r="AV246" s="8">
        <f ca="1">IFERROR(__xludf.DUMMYFUNCTION("""COMPUTED_VALUE"""),-122.30058)</f>
        <v>-122.30058</v>
      </c>
      <c r="AW246" s="8" t="str">
        <f ca="1">IFERROR(__xludf.DUMMYFUNCTION("""COMPUTED_VALUE"""),"Single building indoor hallway")</f>
        <v>Single building indoor hallway</v>
      </c>
      <c r="AX246" s="8">
        <f ca="1">IFERROR(__xludf.DUMMYFUNCTION("""COMPUTED_VALUE"""),98122)</f>
        <v>98122</v>
      </c>
    </row>
    <row r="247" spans="1:50" ht="90" x14ac:dyDescent="0.2">
      <c r="A247" s="8" t="str">
        <f ca="1">IFERROR(__xludf.DUMMYFUNCTION("""COMPUTED_VALUE"""),"20241009MIMAM")</f>
        <v>20241009MIMAM</v>
      </c>
      <c r="B247" s="8">
        <f ca="1">IFERROR(__xludf.DUMMYFUNCTION("""COMPUTED_VALUE"""),10)</f>
        <v>10</v>
      </c>
      <c r="C247" s="8">
        <f ca="1">IFERROR(__xludf.DUMMYFUNCTION("""COMPUTED_VALUE"""),9)</f>
        <v>9</v>
      </c>
      <c r="D247" s="8">
        <f ca="1">IFERROR(__xludf.DUMMYFUNCTION("""COMPUTED_VALUE"""),2024)</f>
        <v>2024</v>
      </c>
      <c r="E247" s="9">
        <f ca="1">IFERROR(__xludf.DUMMYFUNCTION("""COMPUTED_VALUE"""),45574)</f>
        <v>45574</v>
      </c>
      <c r="F247" s="8" t="str">
        <f ca="1">IFERROR(__xludf.DUMMYFUNCTION("""COMPUTED_VALUE"""),"Marquette Elementary School")</f>
        <v>Marquette Elementary School</v>
      </c>
      <c r="G247" s="8">
        <f ca="1">IFERROR(__xludf.DUMMYFUNCTION("""COMPUTED_VALUE"""),0)</f>
        <v>0</v>
      </c>
      <c r="H247" s="8">
        <f ca="1">IFERROR(__xludf.DUMMYFUNCTION("""COMPUTED_VALUE"""),0)</f>
        <v>0</v>
      </c>
      <c r="I247" s="8">
        <f ca="1">IFERROR(__xludf.DUMMYFUNCTION("""COMPUTED_VALUE"""),0)</f>
        <v>0</v>
      </c>
      <c r="J247" s="8">
        <f ca="1">IFERROR(__xludf.DUMMYFUNCTION("""COMPUTED_VALUE"""),0)</f>
        <v>0</v>
      </c>
      <c r="K247" s="10" t="str">
        <f ca="1">IFERROR(__xludf.DUMMYFUNCTION("""COMPUTED_VALUE"""),"https://www.wzzm13.com/article/news/crime/muskegon-police-investigating-shots-fired-near-elementary-school-reports-man-with-ar-15/69-36d6b724-459a-4a07-bb03-69ad9ee0fef5")</f>
        <v>https://www.wzzm13.com/article/news/crime/muskegon-police-investigating-shots-fired-near-elementary-school-reports-man-with-ar-15/69-36d6b724-459a-4a07-bb03-69ad9ee0fef5</v>
      </c>
      <c r="L247" s="8">
        <f ca="1">IFERROR(__xludf.DUMMYFUNCTION("""COMPUTED_VALUE"""),1)</f>
        <v>1</v>
      </c>
      <c r="M247" s="8" t="str">
        <f ca="1">IFERROR(__xludf.DUMMYFUNCTION("""COMPUTED_VALUE"""),"Local")</f>
        <v>Local</v>
      </c>
      <c r="N247" s="8">
        <f ca="1">IFERROR(__xludf.DUMMYFUNCTION("""COMPUTED_VALUE"""),3)</f>
        <v>3</v>
      </c>
      <c r="O247" s="8" t="str">
        <f ca="1">IFERROR(__xludf.DUMMYFUNCTION("""COMPUTED_VALUE"""),"Fall")</f>
        <v>Fall</v>
      </c>
      <c r="P247" s="8" t="str">
        <f ca="1">IFERROR(__xludf.DUMMYFUNCTION("""COMPUTED_VALUE"""),"Muskegon")</f>
        <v>Muskegon</v>
      </c>
      <c r="Q247" s="8" t="str">
        <f ca="1">IFERROR(__xludf.DUMMYFUNCTION("""COMPUTED_VALUE"""),"MI")</f>
        <v>MI</v>
      </c>
      <c r="R247" s="8" t="str">
        <f ca="1">IFERROR(__xludf.DUMMYFUNCTION("""COMPUTED_VALUE"""),"Elementary")</f>
        <v>Elementary</v>
      </c>
      <c r="S247" s="8" t="str">
        <f ca="1">IFERROR(__xludf.DUMMYFUNCTION("""COMPUTED_VALUE"""),"Front of School")</f>
        <v>Front of School</v>
      </c>
      <c r="T247" s="8" t="str">
        <f ca="1">IFERROR(__xludf.DUMMYFUNCTION("""COMPUTED_VALUE"""),"Outside on School Property")</f>
        <v>Outside on School Property</v>
      </c>
      <c r="U247" s="8" t="str">
        <f ca="1">IFERROR(__xludf.DUMMYFUNCTION("""COMPUTED_VALUE"""),"No")</f>
        <v>No</v>
      </c>
      <c r="V247" s="8" t="str">
        <f ca="1">IFERROR(__xludf.DUMMYFUNCTION("""COMPUTED_VALUE"""),"Evening")</f>
        <v>Evening</v>
      </c>
      <c r="W247" s="11">
        <f ca="1">IFERROR(__xludf.DUMMYFUNCTION("""COMPUTED_VALUE"""),0.75)</f>
        <v>0.75</v>
      </c>
      <c r="X247" s="8">
        <f ca="1">IFERROR(__xludf.DUMMYFUNCTION("""COMPUTED_VALUE"""),1)</f>
        <v>1</v>
      </c>
      <c r="Y247" s="12" t="str">
        <f ca="1">IFERROR(__xludf.DUMMYFUNCTION("""COMPUTED_VALUE"""),"Masked man with AR-15 fired shot in front of the school")</f>
        <v>Masked man with AR-15 fired shot in front of the school</v>
      </c>
      <c r="Z247" s="12" t="str">
        <f ca="1">IFERROR(__xludf.DUMMYFUNCTION("""COMPUTED_VALUE"""),"Wednesday evening reports came into Muskegon dispatch that there was a masked man outside of Marquette Elementary School shooting off an AR-15. Muskegon dispatch confirmed the reports to 13 ON YOUR SIDE. They said the alleged incident occurred just before"&amp;" 6 p.m. Witnesses told them that nobody was shot in the incident.")</f>
        <v>Wednesday evening reports came into Muskegon dispatch that there was a masked man outside of Marquette Elementary School shooting off an AR-15. Muskegon dispatch confirmed the reports to 13 ON YOUR SIDE. They said the alleged incident occurred just before 6 p.m. Witnesses told them that nobody was shot in the incident.</v>
      </c>
      <c r="AA247" s="8"/>
      <c r="AB247" s="8"/>
      <c r="AC247" s="8" t="str">
        <f ca="1">IFERROR(__xludf.DUMMYFUNCTION("""COMPUTED_VALUE"""),"No")</f>
        <v>No</v>
      </c>
      <c r="AD247" s="8"/>
      <c r="AE247" s="8" t="str">
        <f ca="1">IFERROR(__xludf.DUMMYFUNCTION("""COMPUTED_VALUE"""),"No")</f>
        <v>No</v>
      </c>
      <c r="AF247" s="8"/>
      <c r="AG247" s="8" t="str">
        <f ca="1">IFERROR(__xludf.DUMMYFUNCTION("""COMPUTED_VALUE"""),"No")</f>
        <v>No</v>
      </c>
      <c r="AH247" s="8" t="str">
        <f ca="1">IFERROR(__xludf.DUMMYFUNCTION("""COMPUTED_VALUE"""),"No")</f>
        <v>No</v>
      </c>
      <c r="AI247" s="8" t="str">
        <f ca="1">IFERROR(__xludf.DUMMYFUNCTION("""COMPUTED_VALUE"""),"No")</f>
        <v>No</v>
      </c>
      <c r="AJ247" s="8" t="str">
        <f ca="1">IFERROR(__xludf.DUMMYFUNCTION("""COMPUTED_VALUE"""),"No")</f>
        <v>No</v>
      </c>
      <c r="AK247" s="8" t="str">
        <f ca="1">IFERROR(__xludf.DUMMYFUNCTION("""COMPUTED_VALUE"""),"No")</f>
        <v>No</v>
      </c>
      <c r="AL247" s="8"/>
      <c r="AM247" s="8" t="str">
        <f ca="1">IFERROR(__xludf.DUMMYFUNCTION("""COMPUTED_VALUE"""),"No")</f>
        <v>No</v>
      </c>
      <c r="AN247" s="8" t="str">
        <f ca="1">IFERROR(__xludf.DUMMYFUNCTION("""COMPUTED_VALUE"""),"Outside")</f>
        <v>Outside</v>
      </c>
      <c r="AO247" s="8" t="str">
        <f ca="1">IFERROR(__xludf.DUMMYFUNCTION("""COMPUTED_VALUE"""),"No")</f>
        <v>No</v>
      </c>
      <c r="AP247" s="8"/>
      <c r="AQ247" s="8"/>
      <c r="AR247" s="8" t="str">
        <f ca="1">IFERROR(__xludf.DUMMYFUNCTION("""COMPUTED_VALUE"""),"Outside/Off-Property")</f>
        <v>Outside/Off-Property</v>
      </c>
      <c r="AS247" s="8">
        <f ca="1">IFERROR(__xludf.DUMMYFUNCTION("""COMPUTED_VALUE"""),99)</f>
        <v>99</v>
      </c>
      <c r="AT247" s="8" t="str">
        <f ca="1">IFERROR(__xludf.DUMMYFUNCTION("""COMPUTED_VALUE"""),"No")</f>
        <v>No</v>
      </c>
      <c r="AU247" s="8">
        <f ca="1">IFERROR(__xludf.DUMMYFUNCTION("""COMPUTED_VALUE"""),43.243346)</f>
        <v>43.243346000000003</v>
      </c>
      <c r="AV247" s="8">
        <f ca="1">IFERROR(__xludf.DUMMYFUNCTION("""COMPUTED_VALUE"""),-86.215827)</f>
        <v>-86.215827000000004</v>
      </c>
      <c r="AW247" s="8" t="str">
        <f ca="1">IFERROR(__xludf.DUMMYFUNCTION("""COMPUTED_VALUE"""),"Multiple attached buildings")</f>
        <v>Multiple attached buildings</v>
      </c>
      <c r="AX247" s="8">
        <f ca="1">IFERROR(__xludf.DUMMYFUNCTION("""COMPUTED_VALUE"""),49442)</f>
        <v>49442</v>
      </c>
    </row>
    <row r="248" spans="1:50" ht="195" x14ac:dyDescent="0.2">
      <c r="A248" s="8" t="str">
        <f ca="1">IFERROR(__xludf.DUMMYFUNCTION("""COMPUTED_VALUE"""),"20241007NYCHR")</f>
        <v>20241007NYCHR</v>
      </c>
      <c r="B248" s="8">
        <f ca="1">IFERROR(__xludf.DUMMYFUNCTION("""COMPUTED_VALUE"""),10)</f>
        <v>10</v>
      </c>
      <c r="C248" s="8">
        <f ca="1">IFERROR(__xludf.DUMMYFUNCTION("""COMPUTED_VALUE"""),7)</f>
        <v>7</v>
      </c>
      <c r="D248" s="8">
        <f ca="1">IFERROR(__xludf.DUMMYFUNCTION("""COMPUTED_VALUE"""),2024)</f>
        <v>2024</v>
      </c>
      <c r="E248" s="9">
        <f ca="1">IFERROR(__xludf.DUMMYFUNCTION("""COMPUTED_VALUE"""),45572)</f>
        <v>45572</v>
      </c>
      <c r="F248" s="8" t="str">
        <f ca="1">IFERROR(__xludf.DUMMYFUNCTION("""COMPUTED_VALUE"""),"Charles T. Lunsford School #19")</f>
        <v>Charles T. Lunsford School #19</v>
      </c>
      <c r="G248" s="8">
        <f ca="1">IFERROR(__xludf.DUMMYFUNCTION("""COMPUTED_VALUE"""),1)</f>
        <v>1</v>
      </c>
      <c r="H248" s="8">
        <f ca="1">IFERROR(__xludf.DUMMYFUNCTION("""COMPUTED_VALUE"""),0)</f>
        <v>0</v>
      </c>
      <c r="I248" s="8">
        <f ca="1">IFERROR(__xludf.DUMMYFUNCTION("""COMPUTED_VALUE"""),1)</f>
        <v>1</v>
      </c>
      <c r="J248" s="8">
        <f ca="1">IFERROR(__xludf.DUMMYFUNCTION("""COMPUTED_VALUE"""),0)</f>
        <v>0</v>
      </c>
      <c r="K248" s="10" t="str">
        <f ca="1">IFERROR(__xludf.DUMMYFUNCTION("""COMPUTED_VALUE"""),"https://www.rochesterfirst.com/news/rpd/rochester-police-investigate-person-found-dead-on-flint-st/")</f>
        <v>https://www.rochesterfirst.com/news/rpd/rochester-police-investigate-person-found-dead-on-flint-st/</v>
      </c>
      <c r="L248" s="8">
        <f ca="1">IFERROR(__xludf.DUMMYFUNCTION("""COMPUTED_VALUE"""),3)</f>
        <v>3</v>
      </c>
      <c r="M248" s="8" t="str">
        <f ca="1">IFERROR(__xludf.DUMMYFUNCTION("""COMPUTED_VALUE"""),"Local")</f>
        <v>Local</v>
      </c>
      <c r="N248" s="8">
        <f ca="1">IFERROR(__xludf.DUMMYFUNCTION("""COMPUTED_VALUE"""),4)</f>
        <v>4</v>
      </c>
      <c r="O248" s="8" t="str">
        <f ca="1">IFERROR(__xludf.DUMMYFUNCTION("""COMPUTED_VALUE"""),"Fall")</f>
        <v>Fall</v>
      </c>
      <c r="P248" s="8" t="str">
        <f ca="1">IFERROR(__xludf.DUMMYFUNCTION("""COMPUTED_VALUE"""),"Rochester")</f>
        <v>Rochester</v>
      </c>
      <c r="Q248" s="8" t="str">
        <f ca="1">IFERROR(__xludf.DUMMYFUNCTION("""COMPUTED_VALUE"""),"NY")</f>
        <v>NY</v>
      </c>
      <c r="R248" s="8" t="str">
        <f ca="1">IFERROR(__xludf.DUMMYFUNCTION("""COMPUTED_VALUE"""),"High")</f>
        <v>High</v>
      </c>
      <c r="S248" s="8" t="str">
        <f ca="1">IFERROR(__xludf.DUMMYFUNCTION("""COMPUTED_VALUE"""),"Parking Lot")</f>
        <v>Parking Lot</v>
      </c>
      <c r="T248" s="8" t="str">
        <f ca="1">IFERROR(__xludf.DUMMYFUNCTION("""COMPUTED_VALUE"""),"Outside on School Property")</f>
        <v>Outside on School Property</v>
      </c>
      <c r="U248" s="8" t="str">
        <f ca="1">IFERROR(__xludf.DUMMYFUNCTION("""COMPUTED_VALUE"""),"Yes")</f>
        <v>Yes</v>
      </c>
      <c r="V248" s="8" t="str">
        <f ca="1">IFERROR(__xludf.DUMMYFUNCTION("""COMPUTED_VALUE"""),"Dismissal")</f>
        <v>Dismissal</v>
      </c>
      <c r="W248" s="11">
        <f ca="1">IFERROR(__xludf.DUMMYFUNCTION("""COMPUTED_VALUE"""),0.666666666666666)</f>
        <v>0.66666666666666596</v>
      </c>
      <c r="X248" s="8">
        <f ca="1">IFERROR(__xludf.DUMMYFUNCTION("""COMPUTED_VALUE"""),1)</f>
        <v>1</v>
      </c>
      <c r="Y248" s="12" t="str">
        <f ca="1">IFERROR(__xludf.DUMMYFUNCTION("""COMPUTED_VALUE"""),"Teen shot in parking lot behind school, found dead at nearby house")</f>
        <v>Teen shot in parking lot behind school, found dead at nearby house</v>
      </c>
      <c r="Z248" s="12" t="str">
        <f ca="1">IFERROR(__xludf.DUMMYFUNCTION("""COMPUTED_VALUE"""),"Rochester police officers are currently investigating after a person was found dead on Flint Street Monday evening after being shot in a school parking lot. When officers arrived to the area of Flint Street at around 6 p.m., RPD said a man in his late tee"&amp;"ns was found dead from multiple gunshot wounds on the porch of a vacant house. Investigators said the victim was shot in the rear lot of Charles T. Lunsford School #19 on Seward Street at around 4 p.m. Monday. RPD said the victim was able to run to the po"&amp;"rch on Flint Street where he was found, and died due to his injuries. Rochester police were notified of the unresponsive victim due to a passerby seeing him on the porch, and calling 911.")</f>
        <v>Rochester police officers are currently investigating after a person was found dead on Flint Street Monday evening after being shot in a school parking lot. When officers arrived to the area of Flint Street at around 6 p.m., RPD said a man in his late teens was found dead from multiple gunshot wounds on the porch of a vacant house. Investigators said the victim was shot in the rear lot of Charles T. Lunsford School #19 on Seward Street at around 4 p.m. Monday. RPD said the victim was able to run to the porch on Flint Street where he was found, and died due to his injuries. Rochester police were notified of the unresponsive victim due to a passerby seeing him on the porch, and calling 911.</v>
      </c>
      <c r="AA248" s="8"/>
      <c r="AB248" s="8"/>
      <c r="AC248" s="8" t="str">
        <f ca="1">IFERROR(__xludf.DUMMYFUNCTION("""COMPUTED_VALUE"""),"Yes")</f>
        <v>Yes</v>
      </c>
      <c r="AD248" s="8"/>
      <c r="AE248" s="8"/>
      <c r="AF248" s="8"/>
      <c r="AG248" s="8" t="str">
        <f ca="1">IFERROR(__xludf.DUMMYFUNCTION("""COMPUTED_VALUE"""),"No")</f>
        <v>No</v>
      </c>
      <c r="AH248" s="8" t="str">
        <f ca="1">IFERROR(__xludf.DUMMYFUNCTION("""COMPUTED_VALUE"""),"No")</f>
        <v>No</v>
      </c>
      <c r="AI248" s="8" t="str">
        <f ca="1">IFERROR(__xludf.DUMMYFUNCTION("""COMPUTED_VALUE"""),"No")</f>
        <v>No</v>
      </c>
      <c r="AJ248" s="8" t="str">
        <f ca="1">IFERROR(__xludf.DUMMYFUNCTION("""COMPUTED_VALUE"""),"No")</f>
        <v>No</v>
      </c>
      <c r="AK248" s="8" t="str">
        <f ca="1">IFERROR(__xludf.DUMMYFUNCTION("""COMPUTED_VALUE"""),"No")</f>
        <v>No</v>
      </c>
      <c r="AL248" s="8"/>
      <c r="AM248" s="8" t="str">
        <f ca="1">IFERROR(__xludf.DUMMYFUNCTION("""COMPUTED_VALUE"""),"No")</f>
        <v>No</v>
      </c>
      <c r="AN248" s="8" t="str">
        <f ca="1">IFERROR(__xludf.DUMMYFUNCTION("""COMPUTED_VALUE"""),"Outside")</f>
        <v>Outside</v>
      </c>
      <c r="AO248" s="8" t="str">
        <f ca="1">IFERROR(__xludf.DUMMYFUNCTION("""COMPUTED_VALUE"""),"No")</f>
        <v>No</v>
      </c>
      <c r="AP248" s="8"/>
      <c r="AQ248" s="8"/>
      <c r="AR248" s="8" t="str">
        <f ca="1">IFERROR(__xludf.DUMMYFUNCTION("""COMPUTED_VALUE"""),"Outside/Off-Property")</f>
        <v>Outside/Off-Property</v>
      </c>
      <c r="AS248" s="8">
        <f ca="1">IFERROR(__xludf.DUMMYFUNCTION("""COMPUTED_VALUE"""),99)</f>
        <v>99</v>
      </c>
      <c r="AT248" s="8" t="str">
        <f ca="1">IFERROR(__xludf.DUMMYFUNCTION("""COMPUTED_VALUE"""),"No")</f>
        <v>No</v>
      </c>
      <c r="AU248" s="8">
        <f ca="1">IFERROR(__xludf.DUMMYFUNCTION("""COMPUTED_VALUE"""),43.138455)</f>
        <v>43.138455</v>
      </c>
      <c r="AV248" s="8">
        <f ca="1">IFERROR(__xludf.DUMMYFUNCTION("""COMPUTED_VALUE"""),-77.627094)</f>
        <v>-77.627094</v>
      </c>
      <c r="AW248" s="8" t="str">
        <f ca="1">IFERROR(__xludf.DUMMYFUNCTION("""COMPUTED_VALUE"""),"Multiple detached buildings")</f>
        <v>Multiple detached buildings</v>
      </c>
      <c r="AX248" s="8">
        <f ca="1">IFERROR(__xludf.DUMMYFUNCTION("""COMPUTED_VALUE"""),14608)</f>
        <v>14608</v>
      </c>
    </row>
    <row r="249" spans="1:50" ht="255" x14ac:dyDescent="0.2">
      <c r="A249" s="8" t="str">
        <f ca="1">IFERROR(__xludf.DUMMYFUNCTION("""COMPUTED_VALUE"""),"20241007TXPOM")</f>
        <v>20241007TXPOM</v>
      </c>
      <c r="B249" s="8">
        <f ca="1">IFERROR(__xludf.DUMMYFUNCTION("""COMPUTED_VALUE"""),10)</f>
        <v>10</v>
      </c>
      <c r="C249" s="8">
        <f ca="1">IFERROR(__xludf.DUMMYFUNCTION("""COMPUTED_VALUE"""),7)</f>
        <v>7</v>
      </c>
      <c r="D249" s="8">
        <f ca="1">IFERROR(__xludf.DUMMYFUNCTION("""COMPUTED_VALUE"""),2024)</f>
        <v>2024</v>
      </c>
      <c r="E249" s="9">
        <f ca="1">IFERROR(__xludf.DUMMYFUNCTION("""COMPUTED_VALUE"""),45572)</f>
        <v>45572</v>
      </c>
      <c r="F249" s="8" t="str">
        <f ca="1">IFERROR(__xludf.DUMMYFUNCTION("""COMPUTED_VALUE"""),"Poteet High School")</f>
        <v>Poteet High School</v>
      </c>
      <c r="G249" s="8">
        <f ca="1">IFERROR(__xludf.DUMMYFUNCTION("""COMPUTED_VALUE"""),0)</f>
        <v>0</v>
      </c>
      <c r="H249" s="8">
        <f ca="1">IFERROR(__xludf.DUMMYFUNCTION("""COMPUTED_VALUE"""),0)</f>
        <v>0</v>
      </c>
      <c r="I249" s="8">
        <f ca="1">IFERROR(__xludf.DUMMYFUNCTION("""COMPUTED_VALUE"""),0)</f>
        <v>0</v>
      </c>
      <c r="J249" s="8">
        <f ca="1">IFERROR(__xludf.DUMMYFUNCTION("""COMPUTED_VALUE"""),0)</f>
        <v>0</v>
      </c>
      <c r="K249" s="10" t="str">
        <f ca="1">IFERROR(__xludf.DUMMYFUNCTION("""COMPUTED_VALUE"""),"https://www.wfaa.com/article/news/local/mesquite-texas-police-shooting-poteet-high-school/287-80522c80-f9d6-4c22-b764-733fe90a09ea
https://www.fox4news.com/news/mesquite-police-shooting-poteet-high-school")</f>
        <v>https://www.wfaa.com/article/news/local/mesquite-texas-police-shooting-poteet-high-school/287-80522c80-f9d6-4c22-b764-733fe90a09ea
https://www.fox4news.com/news/mesquite-police-shooting-poteet-high-school</v>
      </c>
      <c r="L249" s="8">
        <f ca="1">IFERROR(__xludf.DUMMYFUNCTION("""COMPUTED_VALUE"""),10)</f>
        <v>10</v>
      </c>
      <c r="M249" s="8" t="str">
        <f ca="1">IFERROR(__xludf.DUMMYFUNCTION("""COMPUTED_VALUE"""),"Regional")</f>
        <v>Regional</v>
      </c>
      <c r="N249" s="8">
        <f ca="1">IFERROR(__xludf.DUMMYFUNCTION("""COMPUTED_VALUE"""),4)</f>
        <v>4</v>
      </c>
      <c r="O249" s="8" t="str">
        <f ca="1">IFERROR(__xludf.DUMMYFUNCTION("""COMPUTED_VALUE"""),"Fall")</f>
        <v>Fall</v>
      </c>
      <c r="P249" s="8" t="str">
        <f ca="1">IFERROR(__xludf.DUMMYFUNCTION("""COMPUTED_VALUE"""),"Mesquite")</f>
        <v>Mesquite</v>
      </c>
      <c r="Q249" s="8" t="str">
        <f ca="1">IFERROR(__xludf.DUMMYFUNCTION("""COMPUTED_VALUE"""),"TX")</f>
        <v>TX</v>
      </c>
      <c r="R249" s="8" t="str">
        <f ca="1">IFERROR(__xludf.DUMMYFUNCTION("""COMPUTED_VALUE"""),"High")</f>
        <v>High</v>
      </c>
      <c r="S249" s="8" t="str">
        <f ca="1">IFERROR(__xludf.DUMMYFUNCTION("""COMPUTED_VALUE"""),"Parking Lot")</f>
        <v>Parking Lot</v>
      </c>
      <c r="T249" s="8" t="str">
        <f ca="1">IFERROR(__xludf.DUMMYFUNCTION("""COMPUTED_VALUE"""),"Outside on School Property")</f>
        <v>Outside on School Property</v>
      </c>
      <c r="U249" s="8" t="str">
        <f ca="1">IFERROR(__xludf.DUMMYFUNCTION("""COMPUTED_VALUE"""),"No")</f>
        <v>No</v>
      </c>
      <c r="V249" s="8" t="str">
        <f ca="1">IFERROR(__xludf.DUMMYFUNCTION("""COMPUTED_VALUE"""),"Night")</f>
        <v>Night</v>
      </c>
      <c r="W249" s="11">
        <f ca="1">IFERROR(__xludf.DUMMYFUNCTION("""COMPUTED_VALUE"""),0.166666666666666)</f>
        <v>0.16666666666666599</v>
      </c>
      <c r="X249" s="8">
        <f ca="1">IFERROR(__xludf.DUMMYFUNCTION("""COMPUTED_VALUE"""),1)</f>
        <v>1</v>
      </c>
      <c r="Y249" s="12" t="str">
        <f ca="1">IFERROR(__xludf.DUMMYFUNCTION("""COMPUTED_VALUE"""),"Man with rifle in school parking lot fired shots at two police officers then barricaded inside nearby house for 4 hours ")</f>
        <v xml:space="preserve">Man with rifle in school parking lot fired shots at two police officers then barricaded inside nearby house for 4 hours </v>
      </c>
      <c r="Z249" s="12" t="str">
        <f ca="1">IFERROR(__xludf.DUMMYFUNCTION("""COMPUTED_VALUE"""),"The start of school was delayed at Poteet High School in Mesquite on Monday because of an officer-involved shooting near the campus. Sgt. Curtis Phillip with the Mesquite Police Department said it all started after police got a call just before 4 a.m. on "&amp;"Monday about someone with a knife at the Whataburger restaurant on Galloway Avenue. The man left the restaurant before officers arrived, but he later called and said he was near Poteet High School. Sgt. Phillip said the officers found the suspect in the 3"&amp;"300 block of Poteet Drive. ""He did have a long gun. Shots were exchanged between the suspect and our officers. Two officers fired. Neither officer was struck. The suspect was not struck either,"" he said. The suspect fled to a home in the 700 block of So"&amp;"uthwynd Street and barricaded himself inside. He was arrested just after 8 a.m. School had a delayed opening due to police investigation in the parking lot.")</f>
        <v>The start of school was delayed at Poteet High School in Mesquite on Monday because of an officer-involved shooting near the campus. Sgt. Curtis Phillip with the Mesquite Police Department said it all started after police got a call just before 4 a.m. on Monday about someone with a knife at the Whataburger restaurant on Galloway Avenue. The man left the restaurant before officers arrived, but he later called and said he was near Poteet High School. Sgt. Phillip said the officers found the suspect in the 3300 block of Poteet Drive. "He did have a long gun. Shots were exchanged between the suspect and our officers. Two officers fired. Neither officer was struck. The suspect was not struck either," he said. The suspect fled to a home in the 700 block of Southwynd Street and barricaded himself inside. He was arrested just after 8 a.m. School had a delayed opening due to police investigation in the parking lot.</v>
      </c>
      <c r="AA249" s="8"/>
      <c r="AB249" s="8" t="str">
        <f ca="1">IFERROR(__xludf.DUMMYFUNCTION("""COMPUTED_VALUE"""),"Active Shooter/Planned Attack")</f>
        <v>Active Shooter/Planned Attack</v>
      </c>
      <c r="AC249" s="8" t="str">
        <f ca="1">IFERROR(__xludf.DUMMYFUNCTION("""COMPUTED_VALUE"""),"Yes")</f>
        <v>Yes</v>
      </c>
      <c r="AD249" s="8" t="str">
        <f ca="1">IFERROR(__xludf.DUMMYFUNCTION("""COMPUTED_VALUE"""),"Random Shooting")</f>
        <v>Random Shooting</v>
      </c>
      <c r="AE249" s="8" t="str">
        <f ca="1">IFERROR(__xludf.DUMMYFUNCTION("""COMPUTED_VALUE"""),"No")</f>
        <v>No</v>
      </c>
      <c r="AF249" s="8"/>
      <c r="AG249" s="8" t="str">
        <f ca="1">IFERROR(__xludf.DUMMYFUNCTION("""COMPUTED_VALUE"""),"No")</f>
        <v>No</v>
      </c>
      <c r="AH249" s="8" t="str">
        <f ca="1">IFERROR(__xludf.DUMMYFUNCTION("""COMPUTED_VALUE"""),"No")</f>
        <v>No</v>
      </c>
      <c r="AI249" s="8" t="str">
        <f ca="1">IFERROR(__xludf.DUMMYFUNCTION("""COMPUTED_VALUE"""),"No")</f>
        <v>No</v>
      </c>
      <c r="AJ249" s="8" t="str">
        <f ca="1">IFERROR(__xludf.DUMMYFUNCTION("""COMPUTED_VALUE"""),"No")</f>
        <v>No</v>
      </c>
      <c r="AK249" s="8" t="str">
        <f ca="1">IFERROR(__xludf.DUMMYFUNCTION("""COMPUTED_VALUE"""),"No")</f>
        <v>No</v>
      </c>
      <c r="AL249" s="8" t="str">
        <f ca="1">IFERROR(__xludf.DUMMYFUNCTION("""COMPUTED_VALUE"""),"No")</f>
        <v>No</v>
      </c>
      <c r="AM249" s="8" t="str">
        <f ca="1">IFERROR(__xludf.DUMMYFUNCTION("""COMPUTED_VALUE"""),"Yes")</f>
        <v>Yes</v>
      </c>
      <c r="AN249" s="8" t="str">
        <f ca="1">IFERROR(__xludf.DUMMYFUNCTION("""COMPUTED_VALUE"""),"Outside")</f>
        <v>Outside</v>
      </c>
      <c r="AO249" s="8" t="str">
        <f ca="1">IFERROR(__xludf.DUMMYFUNCTION("""COMPUTED_VALUE"""),"No")</f>
        <v>No</v>
      </c>
      <c r="AP249" s="8"/>
      <c r="AQ249" s="8"/>
      <c r="AR249" s="8" t="str">
        <f ca="1">IFERROR(__xludf.DUMMYFUNCTION("""COMPUTED_VALUE"""),"Outside/Off-Property")</f>
        <v>Outside/Off-Property</v>
      </c>
      <c r="AS249" s="8">
        <f ca="1">IFERROR(__xludf.DUMMYFUNCTION("""COMPUTED_VALUE"""),99)</f>
        <v>99</v>
      </c>
      <c r="AT249" s="8" t="str">
        <f ca="1">IFERROR(__xludf.DUMMYFUNCTION("""COMPUTED_VALUE"""),"No")</f>
        <v>No</v>
      </c>
      <c r="AU249" s="8">
        <f ca="1">IFERROR(__xludf.DUMMYFUNCTION("""COMPUTED_VALUE"""),32.806963)</f>
        <v>32.806963000000003</v>
      </c>
      <c r="AV249" s="8">
        <f ca="1">IFERROR(__xludf.DUMMYFUNCTION("""COMPUTED_VALUE"""),-96.610402)</f>
        <v>-96.610401999999993</v>
      </c>
      <c r="AW249" s="8" t="str">
        <f ca="1">IFERROR(__xludf.DUMMYFUNCTION("""COMPUTED_VALUE"""),"Multiple detached buildings")</f>
        <v>Multiple detached buildings</v>
      </c>
      <c r="AX249" s="8">
        <f ca="1">IFERROR(__xludf.DUMMYFUNCTION("""COMPUTED_VALUE"""),75150)</f>
        <v>75150</v>
      </c>
    </row>
    <row r="250" spans="1:50" ht="240" x14ac:dyDescent="0.2">
      <c r="A250" s="8" t="str">
        <f ca="1">IFERROR(__xludf.DUMMYFUNCTION("""COMPUTED_VALUE"""),"20241005FLBLP")</f>
        <v>20241005FLBLP</v>
      </c>
      <c r="B250" s="8">
        <f ca="1">IFERROR(__xludf.DUMMYFUNCTION("""COMPUTED_VALUE"""),10)</f>
        <v>10</v>
      </c>
      <c r="C250" s="8">
        <f ca="1">IFERROR(__xludf.DUMMYFUNCTION("""COMPUTED_VALUE"""),5)</f>
        <v>5</v>
      </c>
      <c r="D250" s="8">
        <f ca="1">IFERROR(__xludf.DUMMYFUNCTION("""COMPUTED_VALUE"""),2024)</f>
        <v>2024</v>
      </c>
      <c r="E250" s="9">
        <f ca="1">IFERROR(__xludf.DUMMYFUNCTION("""COMPUTED_VALUE"""),45570)</f>
        <v>45570</v>
      </c>
      <c r="F250" s="8" t="str">
        <f ca="1">IFERROR(__xludf.DUMMYFUNCTION("""COMPUTED_VALUE"""),"Blanche Ely High School")</f>
        <v>Blanche Ely High School</v>
      </c>
      <c r="G250" s="8">
        <f ca="1">IFERROR(__xludf.DUMMYFUNCTION("""COMPUTED_VALUE"""),0)</f>
        <v>0</v>
      </c>
      <c r="H250" s="8">
        <f ca="1">IFERROR(__xludf.DUMMYFUNCTION("""COMPUTED_VALUE"""),1)</f>
        <v>1</v>
      </c>
      <c r="I250" s="8">
        <f ca="1">IFERROR(__xludf.DUMMYFUNCTION("""COMPUTED_VALUE"""),1)</f>
        <v>1</v>
      </c>
      <c r="J250" s="8">
        <f ca="1">IFERROR(__xludf.DUMMYFUNCTION("""COMPUTED_VALUE"""),0)</f>
        <v>0</v>
      </c>
      <c r="K250" s="8" t="str">
        <f ca="1">IFERROR(__xludf.DUMMYFUNCTION("""COMPUTED_VALUE"""),"https://archive.is/HFwuu
https://www.cbsnews.com/miami/news/person-taken-to-hospital-after-shooting-at-blanche-ely-high-football-game/
https://wsvn.com/news/local/broward/bso-1-injured-in-shooting-during-blanche-ely-high-football-game/
")</f>
        <v xml:space="preserve">https://archive.is/HFwuu
https://www.cbsnews.com/miami/news/person-taken-to-hospital-after-shooting-at-blanche-ely-high-football-game/
https://wsvn.com/news/local/broward/bso-1-injured-in-shooting-during-blanche-ely-high-football-game/
</v>
      </c>
      <c r="L250" s="8">
        <f ca="1">IFERROR(__xludf.DUMMYFUNCTION("""COMPUTED_VALUE"""),3)</f>
        <v>3</v>
      </c>
      <c r="M250" s="8" t="str">
        <f ca="1">IFERROR(__xludf.DUMMYFUNCTION("""COMPUTED_VALUE"""),"Regional")</f>
        <v>Regional</v>
      </c>
      <c r="N250" s="8">
        <f ca="1">IFERROR(__xludf.DUMMYFUNCTION("""COMPUTED_VALUE"""),4)</f>
        <v>4</v>
      </c>
      <c r="O250" s="8" t="str">
        <f ca="1">IFERROR(__xludf.DUMMYFUNCTION("""COMPUTED_VALUE"""),"Fall")</f>
        <v>Fall</v>
      </c>
      <c r="P250" s="8" t="str">
        <f ca="1">IFERROR(__xludf.DUMMYFUNCTION("""COMPUTED_VALUE"""),"Pompano Beach")</f>
        <v>Pompano Beach</v>
      </c>
      <c r="Q250" s="8" t="str">
        <f ca="1">IFERROR(__xludf.DUMMYFUNCTION("""COMPUTED_VALUE"""),"FL")</f>
        <v>FL</v>
      </c>
      <c r="R250" s="8" t="str">
        <f ca="1">IFERROR(__xludf.DUMMYFUNCTION("""COMPUTED_VALUE"""),"High")</f>
        <v>High</v>
      </c>
      <c r="S250" s="8" t="str">
        <f ca="1">IFERROR(__xludf.DUMMYFUNCTION("""COMPUTED_VALUE"""),"Parking Lot")</f>
        <v>Parking Lot</v>
      </c>
      <c r="T250" s="8" t="str">
        <f ca="1">IFERROR(__xludf.DUMMYFUNCTION("""COMPUTED_VALUE"""),"Outside on School Property")</f>
        <v>Outside on School Property</v>
      </c>
      <c r="U250" s="8" t="str">
        <f ca="1">IFERROR(__xludf.DUMMYFUNCTION("""COMPUTED_VALUE"""),"No")</f>
        <v>No</v>
      </c>
      <c r="V250" s="8" t="str">
        <f ca="1">IFERROR(__xludf.DUMMYFUNCTION("""COMPUTED_VALUE"""),"Sport Event")</f>
        <v>Sport Event</v>
      </c>
      <c r="W250" s="11">
        <f ca="1">IFERROR(__xludf.DUMMYFUNCTION("""COMPUTED_VALUE"""),0.8125)</f>
        <v>0.8125</v>
      </c>
      <c r="X250" s="8">
        <f ca="1">IFERROR(__xludf.DUMMYFUNCTION("""COMPUTED_VALUE"""),1)</f>
        <v>1</v>
      </c>
      <c r="Y250" s="12" t="str">
        <f ca="1">IFERROR(__xludf.DUMMYFUNCTION("""COMPUTED_VALUE"""),"Person shot outside football stadium during game")</f>
        <v>Person shot outside football stadium during game</v>
      </c>
      <c r="Z250" s="12" t="str">
        <f ca="1">IFERROR(__xludf.DUMMYFUNCTION("""COMPUTED_VALUE"""),"With 4:21 left in the non-district high school football game, gunshots could be heard just outside the south side of stadium as fans, players, referees hit the turf or ran for cover.Police with their guns drawn could be seen rushing to the back of the sou"&amp;"th end zone and out of the stadium. A school authority said two victims possibly suffered gunshot wounds. Broward Sheriff’s Office Pompano Beach District deputies, while working the football game at Blanche Ely High School, responded to a shots fired repo"&amp;"rt in the area, shortly after 7:30 p.m. on Saturday. Just outside the venue, deputies located one person suffering from a gunshot wound. They immediately provided life-saving measures before the victim was transported to a local hospital. The victim’s inj"&amp;"uries are listed as not life-threatening, and they are expected to recover. BSO Violent Crimes Unit detectives are currently investigating the incident.")</f>
        <v>With 4:21 left in the non-district high school football game, gunshots could be heard just outside the south side of stadium as fans, players, referees hit the turf or ran for cover.Police with their guns drawn could be seen rushing to the back of the south end zone and out of the stadium. A school authority said two victims possibly suffered gunshot wounds. Broward Sheriff’s Office Pompano Beach District deputies, while working the football game at Blanche Ely High School, responded to a shots fired report in the area, shortly after 7:30 p.m. on Saturday. Just outside the venue, deputies located one person suffering from a gunshot wound. They immediately provided life-saving measures before the victim was transported to a local hospital. The victim’s injuries are listed as not life-threatening, and they are expected to recover. BSO Violent Crimes Unit detectives are currently investigating the incident.</v>
      </c>
      <c r="AA250" s="8"/>
      <c r="AB250" s="8"/>
      <c r="AC250" s="8" t="str">
        <f ca="1">IFERROR(__xludf.DUMMYFUNCTION("""COMPUTED_VALUE"""),"Yes")</f>
        <v>Yes</v>
      </c>
      <c r="AD250" s="8"/>
      <c r="AE250" s="8" t="str">
        <f ca="1">IFERROR(__xludf.DUMMYFUNCTION("""COMPUTED_VALUE"""),"No")</f>
        <v>No</v>
      </c>
      <c r="AF250" s="8"/>
      <c r="AG250" s="8" t="str">
        <f ca="1">IFERROR(__xludf.DUMMYFUNCTION("""COMPUTED_VALUE"""),"No")</f>
        <v>No</v>
      </c>
      <c r="AH250" s="8" t="str">
        <f ca="1">IFERROR(__xludf.DUMMYFUNCTION("""COMPUTED_VALUE"""),"No")</f>
        <v>No</v>
      </c>
      <c r="AI250" s="8" t="str">
        <f ca="1">IFERROR(__xludf.DUMMYFUNCTION("""COMPUTED_VALUE"""),"No")</f>
        <v>No</v>
      </c>
      <c r="AJ250" s="8" t="str">
        <f ca="1">IFERROR(__xludf.DUMMYFUNCTION("""COMPUTED_VALUE"""),"No")</f>
        <v>No</v>
      </c>
      <c r="AK250" s="8" t="str">
        <f ca="1">IFERROR(__xludf.DUMMYFUNCTION("""COMPUTED_VALUE"""),"No")</f>
        <v>No</v>
      </c>
      <c r="AL250" s="8"/>
      <c r="AM250" s="8" t="str">
        <f ca="1">IFERROR(__xludf.DUMMYFUNCTION("""COMPUTED_VALUE"""),"No")</f>
        <v>No</v>
      </c>
      <c r="AN250" s="8" t="str">
        <f ca="1">IFERROR(__xludf.DUMMYFUNCTION("""COMPUTED_VALUE"""),"Outside")</f>
        <v>Outside</v>
      </c>
      <c r="AO250" s="8" t="str">
        <f ca="1">IFERROR(__xludf.DUMMYFUNCTION("""COMPUTED_VALUE"""),"No")</f>
        <v>No</v>
      </c>
      <c r="AP250" s="8" t="str">
        <f ca="1">IFERROR(__xludf.DUMMYFUNCTION("""COMPUTED_VALUE"""),"Yes")</f>
        <v>Yes</v>
      </c>
      <c r="AQ250" s="8" t="str">
        <f ca="1">IFERROR(__xludf.DUMMYFUNCTION("""COMPUTED_VALUE"""),"Armed Guards")</f>
        <v>Armed Guards</v>
      </c>
      <c r="AR250" s="8" t="str">
        <f ca="1">IFERROR(__xludf.DUMMYFUNCTION("""COMPUTED_VALUE"""),"Outside/Off-Property")</f>
        <v>Outside/Off-Property</v>
      </c>
      <c r="AS250" s="8">
        <f ca="1">IFERROR(__xludf.DUMMYFUNCTION("""COMPUTED_VALUE"""),99)</f>
        <v>99</v>
      </c>
      <c r="AT250" s="8" t="str">
        <f ca="1">IFERROR(__xludf.DUMMYFUNCTION("""COMPUTED_VALUE"""),"Yes")</f>
        <v>Yes</v>
      </c>
      <c r="AU250" s="8">
        <f ca="1">IFERROR(__xludf.DUMMYFUNCTION("""COMPUTED_VALUE"""),26.242954)</f>
        <v>26.242954000000001</v>
      </c>
      <c r="AV250" s="8">
        <f ca="1">IFERROR(__xludf.DUMMYFUNCTION("""COMPUTED_VALUE"""),-80.133578)</f>
        <v>-80.133578</v>
      </c>
      <c r="AW250" s="8" t="str">
        <f ca="1">IFERROR(__xludf.DUMMYFUNCTION("""COMPUTED_VALUE"""),"Multiple detached buildings")</f>
        <v>Multiple detached buildings</v>
      </c>
      <c r="AX250" s="8">
        <f ca="1">IFERROR(__xludf.DUMMYFUNCTION("""COMPUTED_VALUE"""),33060)</f>
        <v>33060</v>
      </c>
    </row>
    <row r="251" spans="1:50" ht="210" x14ac:dyDescent="0.2">
      <c r="A251" s="8" t="str">
        <f ca="1">IFERROR(__xludf.DUMMYFUNCTION("""COMPUTED_VALUE"""),"20241005INCAI")</f>
        <v>20241005INCAI</v>
      </c>
      <c r="B251" s="8">
        <f ca="1">IFERROR(__xludf.DUMMYFUNCTION("""COMPUTED_VALUE"""),10)</f>
        <v>10</v>
      </c>
      <c r="C251" s="8">
        <f ca="1">IFERROR(__xludf.DUMMYFUNCTION("""COMPUTED_VALUE"""),5)</f>
        <v>5</v>
      </c>
      <c r="D251" s="8">
        <f ca="1">IFERROR(__xludf.DUMMYFUNCTION("""COMPUTED_VALUE"""),2024)</f>
        <v>2024</v>
      </c>
      <c r="E251" s="9">
        <f ca="1">IFERROR(__xludf.DUMMYFUNCTION("""COMPUTED_VALUE"""),45570)</f>
        <v>45570</v>
      </c>
      <c r="F251" s="8" t="str">
        <f ca="1">IFERROR(__xludf.DUMMYFUNCTION("""COMPUTED_VALUE"""),"Cardinal Ritter High School")</f>
        <v>Cardinal Ritter High School</v>
      </c>
      <c r="G251" s="8">
        <f ca="1">IFERROR(__xludf.DUMMYFUNCTION("""COMPUTED_VALUE"""),0)</f>
        <v>0</v>
      </c>
      <c r="H251" s="8">
        <f ca="1">IFERROR(__xludf.DUMMYFUNCTION("""COMPUTED_VALUE"""),2)</f>
        <v>2</v>
      </c>
      <c r="I251" s="8">
        <f ca="1">IFERROR(__xludf.DUMMYFUNCTION("""COMPUTED_VALUE"""),2)</f>
        <v>2</v>
      </c>
      <c r="J251" s="8">
        <f ca="1">IFERROR(__xludf.DUMMYFUNCTION("""COMPUTED_VALUE"""),0)</f>
        <v>0</v>
      </c>
      <c r="K251" s="10" t="str">
        <f ca="1">IFERROR(__xludf.DUMMYFUNCTION("""COMPUTED_VALUE"""),"https://fox59.com/news/impd-2-shot-at-cardinal-ritter-high-school/
https://wibc.com/462558/update-two-men-shot-at-cardinal-ritter-high-school-began-as-argument/")</f>
        <v>https://fox59.com/news/impd-2-shot-at-cardinal-ritter-high-school/
https://wibc.com/462558/update-two-men-shot-at-cardinal-ritter-high-school-began-as-argument/</v>
      </c>
      <c r="L251" s="8">
        <f ca="1">IFERROR(__xludf.DUMMYFUNCTION("""COMPUTED_VALUE"""),10)</f>
        <v>10</v>
      </c>
      <c r="M251" s="8" t="str">
        <f ca="1">IFERROR(__xludf.DUMMYFUNCTION("""COMPUTED_VALUE"""),"Regional")</f>
        <v>Regional</v>
      </c>
      <c r="N251" s="8">
        <f ca="1">IFERROR(__xludf.DUMMYFUNCTION("""COMPUTED_VALUE"""),4)</f>
        <v>4</v>
      </c>
      <c r="O251" s="8" t="str">
        <f ca="1">IFERROR(__xludf.DUMMYFUNCTION("""COMPUTED_VALUE"""),"Fall")</f>
        <v>Fall</v>
      </c>
      <c r="P251" s="8" t="str">
        <f ca="1">IFERROR(__xludf.DUMMYFUNCTION("""COMPUTED_VALUE"""),"Indianapolis")</f>
        <v>Indianapolis</v>
      </c>
      <c r="Q251" s="8" t="str">
        <f ca="1">IFERROR(__xludf.DUMMYFUNCTION("""COMPUTED_VALUE"""),"IN")</f>
        <v>IN</v>
      </c>
      <c r="R251" s="8" t="str">
        <f ca="1">IFERROR(__xludf.DUMMYFUNCTION("""COMPUTED_VALUE"""),"High")</f>
        <v>High</v>
      </c>
      <c r="S251" s="8" t="str">
        <f ca="1">IFERROR(__xludf.DUMMYFUNCTION("""COMPUTED_VALUE"""),"Parking Lot")</f>
        <v>Parking Lot</v>
      </c>
      <c r="T251" s="8" t="str">
        <f ca="1">IFERROR(__xludf.DUMMYFUNCTION("""COMPUTED_VALUE"""),"Outside on School Property")</f>
        <v>Outside on School Property</v>
      </c>
      <c r="U251" s="8" t="str">
        <f ca="1">IFERROR(__xludf.DUMMYFUNCTION("""COMPUTED_VALUE"""),"No")</f>
        <v>No</v>
      </c>
      <c r="V251" s="8" t="str">
        <f ca="1">IFERROR(__xludf.DUMMYFUNCTION("""COMPUTED_VALUE"""),"Sport Event")</f>
        <v>Sport Event</v>
      </c>
      <c r="W251" s="11">
        <f ca="1">IFERROR(__xludf.DUMMYFUNCTION("""COMPUTED_VALUE"""),0.929166666666666)</f>
        <v>0.92916666666666603</v>
      </c>
      <c r="X251" s="8">
        <f ca="1">IFERROR(__xludf.DUMMYFUNCTION("""COMPUTED_VALUE"""),1)</f>
        <v>1</v>
      </c>
      <c r="Y251" s="12" t="str">
        <f ca="1">IFERROR(__xludf.DUMMYFUNCTION("""COMPUTED_VALUE"""),"Two adults shot during dispute at end of youth football game")</f>
        <v>Two adults shot during dispute at end of youth football game</v>
      </c>
      <c r="Z251" s="12" t="str">
        <f ca="1">IFERROR(__xludf.DUMMYFUNCTION("""COMPUTED_VALUE"""),"According to the Indianapolis Metropolitan Police Department, officers responded to the school around 10:18 p.m. after receiving a report that indicated multiple people had been shot there. Initially, first responders were led to believe children had been"&amp;" shot. After further investigation, however, IMPD determined two adult males were the only subjects injured during the shooting. Police reported that one victim was transported to a local hospital in critical condition. Per IMPD, the other victim was deem"&amp;"ed to be in stable condition after the shooting. Law enforcement later learned a youth football game had ended moments before shots rang out in the school’s parking lot. Police currently believe an argument pertaining to the game was what instigated the s"&amp;"hooting.")</f>
        <v>According to the Indianapolis Metropolitan Police Department, officers responded to the school around 10:18 p.m. after receiving a report that indicated multiple people had been shot there. Initially, first responders were led to believe children had been shot. After further investigation, however, IMPD determined two adult males were the only subjects injured during the shooting. Police reported that one victim was transported to a local hospital in critical condition. Per IMPD, the other victim was deemed to be in stable condition after the shooting. Law enforcement later learned a youth football game had ended moments before shots rang out in the school’s parking lot. Police currently believe an argument pertaining to the game was what instigated the shooting.</v>
      </c>
      <c r="AA251" s="8" t="str">
        <f ca="1">IFERROR(__xludf.DUMMYFUNCTION("""COMPUTED_VALUE"""),"Escalation of Dispute")</f>
        <v>Escalation of Dispute</v>
      </c>
      <c r="AB251" s="8" t="str">
        <f ca="1">IFERROR(__xludf.DUMMYFUNCTION("""COMPUTED_VALUE"""),"Spontaneous")</f>
        <v>Spontaneous</v>
      </c>
      <c r="AC251" s="8" t="str">
        <f ca="1">IFERROR(__xludf.DUMMYFUNCTION("""COMPUTED_VALUE"""),"Yes")</f>
        <v>Yes</v>
      </c>
      <c r="AD251" s="8" t="str">
        <f ca="1">IFERROR(__xludf.DUMMYFUNCTION("""COMPUTED_VALUE"""),"Victims Targeted")</f>
        <v>Victims Targeted</v>
      </c>
      <c r="AE251" s="8" t="str">
        <f ca="1">IFERROR(__xludf.DUMMYFUNCTION("""COMPUTED_VALUE"""),"No")</f>
        <v>No</v>
      </c>
      <c r="AF251" s="8"/>
      <c r="AG251" s="8" t="str">
        <f ca="1">IFERROR(__xludf.DUMMYFUNCTION("""COMPUTED_VALUE"""),"No")</f>
        <v>No</v>
      </c>
      <c r="AH251" s="8" t="str">
        <f ca="1">IFERROR(__xludf.DUMMYFUNCTION("""COMPUTED_VALUE"""),"No")</f>
        <v>No</v>
      </c>
      <c r="AI251" s="8" t="str">
        <f ca="1">IFERROR(__xludf.DUMMYFUNCTION("""COMPUTED_VALUE"""),"No")</f>
        <v>No</v>
      </c>
      <c r="AJ251" s="8" t="str">
        <f ca="1">IFERROR(__xludf.DUMMYFUNCTION("""COMPUTED_VALUE"""),"No")</f>
        <v>No</v>
      </c>
      <c r="AK251" s="8" t="str">
        <f ca="1">IFERROR(__xludf.DUMMYFUNCTION("""COMPUTED_VALUE"""),"No")</f>
        <v>No</v>
      </c>
      <c r="AL251" s="8" t="str">
        <f ca="1">IFERROR(__xludf.DUMMYFUNCTION("""COMPUTED_VALUE"""),"No")</f>
        <v>No</v>
      </c>
      <c r="AM251" s="8" t="str">
        <f ca="1">IFERROR(__xludf.DUMMYFUNCTION("""COMPUTED_VALUE"""),"No")</f>
        <v>No</v>
      </c>
      <c r="AN251" s="8" t="str">
        <f ca="1">IFERROR(__xludf.DUMMYFUNCTION("""COMPUTED_VALUE"""),"Outside")</f>
        <v>Outside</v>
      </c>
      <c r="AO251" s="8" t="str">
        <f ca="1">IFERROR(__xludf.DUMMYFUNCTION("""COMPUTED_VALUE"""),"No")</f>
        <v>No</v>
      </c>
      <c r="AP251" s="8"/>
      <c r="AQ251" s="8"/>
      <c r="AR251" s="8" t="str">
        <f ca="1">IFERROR(__xludf.DUMMYFUNCTION("""COMPUTED_VALUE"""),"Outside/Off-Property")</f>
        <v>Outside/Off-Property</v>
      </c>
      <c r="AS251" s="8">
        <f ca="1">IFERROR(__xludf.DUMMYFUNCTION("""COMPUTED_VALUE"""),99)</f>
        <v>99</v>
      </c>
      <c r="AT251" s="8" t="str">
        <f ca="1">IFERROR(__xludf.DUMMYFUNCTION("""COMPUTED_VALUE"""),"No")</f>
        <v>No</v>
      </c>
      <c r="AU251" s="8">
        <f ca="1">IFERROR(__xludf.DUMMYFUNCTION("""COMPUTED_VALUE"""),39.812381)</f>
        <v>39.812381000000002</v>
      </c>
      <c r="AV251" s="8">
        <f ca="1">IFERROR(__xludf.DUMMYFUNCTION("""COMPUTED_VALUE"""),-86.215474)</f>
        <v>-86.215474</v>
      </c>
      <c r="AW251" s="8" t="str">
        <f ca="1">IFERROR(__xludf.DUMMYFUNCTION("""COMPUTED_VALUE"""),"Single building indoor hallway")</f>
        <v>Single building indoor hallway</v>
      </c>
      <c r="AX251" s="8">
        <f ca="1">IFERROR(__xludf.DUMMYFUNCTION("""COMPUTED_VALUE"""),46222)</f>
        <v>46222</v>
      </c>
    </row>
    <row r="252" spans="1:50" ht="240" x14ac:dyDescent="0.2">
      <c r="A252" s="8" t="str">
        <f ca="1">IFERROR(__xludf.DUMMYFUNCTION("""COMPUTED_VALUE"""),"20241005COATC")</f>
        <v>20241005COATC</v>
      </c>
      <c r="B252" s="8">
        <f ca="1">IFERROR(__xludf.DUMMYFUNCTION("""COMPUTED_VALUE"""),10)</f>
        <v>10</v>
      </c>
      <c r="C252" s="8">
        <f ca="1">IFERROR(__xludf.DUMMYFUNCTION("""COMPUTED_VALUE"""),5)</f>
        <v>5</v>
      </c>
      <c r="D252" s="8">
        <f ca="1">IFERROR(__xludf.DUMMYFUNCTION("""COMPUTED_VALUE"""),2024)</f>
        <v>2024</v>
      </c>
      <c r="E252" s="9">
        <f ca="1">IFERROR(__xludf.DUMMYFUNCTION("""COMPUTED_VALUE"""),45570)</f>
        <v>45570</v>
      </c>
      <c r="F252" s="8" t="str">
        <f ca="1">IFERROR(__xludf.DUMMYFUNCTION("""COMPUTED_VALUE"""),"Atlas Prep School")</f>
        <v>Atlas Prep School</v>
      </c>
      <c r="G252" s="8">
        <f ca="1">IFERROR(__xludf.DUMMYFUNCTION("""COMPUTED_VALUE"""),1)</f>
        <v>1</v>
      </c>
      <c r="H252" s="8">
        <f ca="1">IFERROR(__xludf.DUMMYFUNCTION("""COMPUTED_VALUE"""),0)</f>
        <v>0</v>
      </c>
      <c r="I252" s="8">
        <f ca="1">IFERROR(__xludf.DUMMYFUNCTION("""COMPUTED_VALUE"""),1)</f>
        <v>1</v>
      </c>
      <c r="J252" s="8">
        <f ca="1">IFERROR(__xludf.DUMMYFUNCTION("""COMPUTED_VALUE"""),0)</f>
        <v>0</v>
      </c>
      <c r="K252" s="8" t="str">
        <f ca="1">IFERROR(__xludf.DUMMYFUNCTION("""COMPUTED_VALUE"""),"https://www.denver7.com/news/local-news/1-dead-after-colorado-springs-shooting-in-school-parking-lot
https://gazette.com/news/public-safety/man-fatally-shot-after-fight-escalates-at-youth-football-game-in-south-colorado-springs/article_2f65d1a8-835e-11ef-"&amp;"8cbf-9b7b78d76809.html
https://www.koaa.com/news/covering-colorado/cspd-responds-to-shooting-at-atlas-preparatory-school")</f>
        <v>https://www.denver7.com/news/local-news/1-dead-after-colorado-springs-shooting-in-school-parking-lot
https://gazette.com/news/public-safety/man-fatally-shot-after-fight-escalates-at-youth-football-game-in-south-colorado-springs/article_2f65d1a8-835e-11ef-8cbf-9b7b78d76809.html
https://www.koaa.com/news/covering-colorado/cspd-responds-to-shooting-at-atlas-preparatory-school</v>
      </c>
      <c r="L252" s="8">
        <f ca="1">IFERROR(__xludf.DUMMYFUNCTION("""COMPUTED_VALUE"""),10)</f>
        <v>10</v>
      </c>
      <c r="M252" s="8" t="str">
        <f ca="1">IFERROR(__xludf.DUMMYFUNCTION("""COMPUTED_VALUE"""),"Regional")</f>
        <v>Regional</v>
      </c>
      <c r="N252" s="8">
        <f ca="1">IFERROR(__xludf.DUMMYFUNCTION("""COMPUTED_VALUE"""),4)</f>
        <v>4</v>
      </c>
      <c r="O252" s="8" t="str">
        <f ca="1">IFERROR(__xludf.DUMMYFUNCTION("""COMPUTED_VALUE"""),"Fall")</f>
        <v>Fall</v>
      </c>
      <c r="P252" s="8" t="str">
        <f ca="1">IFERROR(__xludf.DUMMYFUNCTION("""COMPUTED_VALUE"""),"Colorado Springs")</f>
        <v>Colorado Springs</v>
      </c>
      <c r="Q252" s="8" t="str">
        <f ca="1">IFERROR(__xludf.DUMMYFUNCTION("""COMPUTED_VALUE"""),"CO")</f>
        <v>CO</v>
      </c>
      <c r="R252" s="8" t="str">
        <f ca="1">IFERROR(__xludf.DUMMYFUNCTION("""COMPUTED_VALUE"""),"High")</f>
        <v>High</v>
      </c>
      <c r="S252" s="8" t="str">
        <f ca="1">IFERROR(__xludf.DUMMYFUNCTION("""COMPUTED_VALUE"""),"Parking Lot")</f>
        <v>Parking Lot</v>
      </c>
      <c r="T252" s="8" t="str">
        <f ca="1">IFERROR(__xludf.DUMMYFUNCTION("""COMPUTED_VALUE"""),"Outside on School Property")</f>
        <v>Outside on School Property</v>
      </c>
      <c r="U252" s="8" t="str">
        <f ca="1">IFERROR(__xludf.DUMMYFUNCTION("""COMPUTED_VALUE"""),"No")</f>
        <v>No</v>
      </c>
      <c r="V252" s="8" t="str">
        <f ca="1">IFERROR(__xludf.DUMMYFUNCTION("""COMPUTED_VALUE"""),"Sport Event")</f>
        <v>Sport Event</v>
      </c>
      <c r="W252" s="11">
        <f ca="1">IFERROR(__xludf.DUMMYFUNCTION("""COMPUTED_VALUE"""),0.604166666666666)</f>
        <v>0.60416666666666596</v>
      </c>
      <c r="X252" s="8">
        <f ca="1">IFERROR(__xludf.DUMMYFUNCTION("""COMPUTED_VALUE"""),1)</f>
        <v>1</v>
      </c>
      <c r="Y252" s="12" t="str">
        <f ca="1">IFERROR(__xludf.DUMMYFUNCTION("""COMPUTED_VALUE"""),"Man shot during dispute at youth football game")</f>
        <v>Man shot during dispute at youth football game</v>
      </c>
      <c r="Z252" s="12" t="str">
        <f ca="1">IFERROR(__xludf.DUMMYFUNCTION("""COMPUTED_VALUE"""),"Pikes Peak Pop Warner President Michelle Quintana shared the following statement with News5. ""We want to address the unfortunate incident that occurred during our Pop Warner games at Atlas Prep this afternoon. This situation was not related to our teams;"&amp;" it involved two individuals with prior personal issues who do not have children in our league and do not participate in any coaching or volunteer roles. The safety of our athletes and their families is our top priority, and we are implementing additional"&amp;" measures to ensure their continued safety in the future. Our thoughts and prayers are with the victims' family during this difficult time."" Colorado Springs Police say the shooting happened after a fight broke out. They say the victim was a 29 year old "&amp;"man, but his name has not been released. Police say no arrests have been made and no suspect information is available.")</f>
        <v>Pikes Peak Pop Warner President Michelle Quintana shared the following statement with News5. "We want to address the unfortunate incident that occurred during our Pop Warner games at Atlas Prep this afternoon. This situation was not related to our teams; it involved two individuals with prior personal issues who do not have children in our league and do not participate in any coaching or volunteer roles. The safety of our athletes and their families is our top priority, and we are implementing additional measures to ensure their continued safety in the future. Our thoughts and prayers are with the victims' family during this difficult time." Colorado Springs Police say the shooting happened after a fight broke out. They say the victim was a 29 year old man, but his name has not been released. Police say no arrests have been made and no suspect information is available.</v>
      </c>
      <c r="AA252" s="8" t="str">
        <f ca="1">IFERROR(__xludf.DUMMYFUNCTION("""COMPUTED_VALUE"""),"Escalation of Dispute")</f>
        <v>Escalation of Dispute</v>
      </c>
      <c r="AB252" s="8" t="str">
        <f ca="1">IFERROR(__xludf.DUMMYFUNCTION("""COMPUTED_VALUE"""),"Spontaneous")</f>
        <v>Spontaneous</v>
      </c>
      <c r="AC252" s="8" t="str">
        <f ca="1">IFERROR(__xludf.DUMMYFUNCTION("""COMPUTED_VALUE"""),"Yes")</f>
        <v>Yes</v>
      </c>
      <c r="AD252" s="8" t="str">
        <f ca="1">IFERROR(__xludf.DUMMYFUNCTION("""COMPUTED_VALUE"""),"Victims Targeted")</f>
        <v>Victims Targeted</v>
      </c>
      <c r="AE252" s="8" t="str">
        <f ca="1">IFERROR(__xludf.DUMMYFUNCTION("""COMPUTED_VALUE"""),"No")</f>
        <v>No</v>
      </c>
      <c r="AF252" s="8"/>
      <c r="AG252" s="8" t="str">
        <f ca="1">IFERROR(__xludf.DUMMYFUNCTION("""COMPUTED_VALUE"""),"No")</f>
        <v>No</v>
      </c>
      <c r="AH252" s="8" t="str">
        <f ca="1">IFERROR(__xludf.DUMMYFUNCTION("""COMPUTED_VALUE"""),"No")</f>
        <v>No</v>
      </c>
      <c r="AI252" s="8" t="str">
        <f ca="1">IFERROR(__xludf.DUMMYFUNCTION("""COMPUTED_VALUE"""),"No")</f>
        <v>No</v>
      </c>
      <c r="AJ252" s="8" t="str">
        <f ca="1">IFERROR(__xludf.DUMMYFUNCTION("""COMPUTED_VALUE"""),"No")</f>
        <v>No</v>
      </c>
      <c r="AK252" s="8" t="str">
        <f ca="1">IFERROR(__xludf.DUMMYFUNCTION("""COMPUTED_VALUE"""),"No")</f>
        <v>No</v>
      </c>
      <c r="AL252" s="8" t="str">
        <f ca="1">IFERROR(__xludf.DUMMYFUNCTION("""COMPUTED_VALUE"""),"No")</f>
        <v>No</v>
      </c>
      <c r="AM252" s="8" t="str">
        <f ca="1">IFERROR(__xludf.DUMMYFUNCTION("""COMPUTED_VALUE"""),"No")</f>
        <v>No</v>
      </c>
      <c r="AN252" s="8" t="str">
        <f ca="1">IFERROR(__xludf.DUMMYFUNCTION("""COMPUTED_VALUE"""),"Outside")</f>
        <v>Outside</v>
      </c>
      <c r="AO252" s="8" t="str">
        <f ca="1">IFERROR(__xludf.DUMMYFUNCTION("""COMPUTED_VALUE"""),"No")</f>
        <v>No</v>
      </c>
      <c r="AP252" s="8"/>
      <c r="AQ252" s="8"/>
      <c r="AR252" s="8" t="str">
        <f ca="1">IFERROR(__xludf.DUMMYFUNCTION("""COMPUTED_VALUE"""),"Outside/Off-Property")</f>
        <v>Outside/Off-Property</v>
      </c>
      <c r="AS252" s="8">
        <f ca="1">IFERROR(__xludf.DUMMYFUNCTION("""COMPUTED_VALUE"""),99)</f>
        <v>99</v>
      </c>
      <c r="AT252" s="8" t="str">
        <f ca="1">IFERROR(__xludf.DUMMYFUNCTION("""COMPUTED_VALUE"""),"No")</f>
        <v>No</v>
      </c>
      <c r="AU252" s="8">
        <f ca="1">IFERROR(__xludf.DUMMYFUNCTION("""COMPUTED_VALUE"""),38.811952)</f>
        <v>38.811951999999998</v>
      </c>
      <c r="AV252" s="8">
        <f ca="1">IFERROR(__xludf.DUMMYFUNCTION("""COMPUTED_VALUE"""),-104.753947)</f>
        <v>-104.753947</v>
      </c>
      <c r="AW252" s="8" t="str">
        <f ca="1">IFERROR(__xludf.DUMMYFUNCTION("""COMPUTED_VALUE"""),"Multiple detached buildings")</f>
        <v>Multiple detached buildings</v>
      </c>
      <c r="AX252" s="8">
        <f ca="1">IFERROR(__xludf.DUMMYFUNCTION("""COMPUTED_VALUE"""),80910)</f>
        <v>80910</v>
      </c>
    </row>
    <row r="253" spans="1:50" ht="180" x14ac:dyDescent="0.2">
      <c r="A253" s="8" t="str">
        <f ca="1">IFERROR(__xludf.DUMMYFUNCTION("""COMPUTED_VALUE"""),"20241005CASTB")</f>
        <v>20241005CASTB</v>
      </c>
      <c r="B253" s="8">
        <f ca="1">IFERROR(__xludf.DUMMYFUNCTION("""COMPUTED_VALUE"""),10)</f>
        <v>10</v>
      </c>
      <c r="C253" s="8">
        <f ca="1">IFERROR(__xludf.DUMMYFUNCTION("""COMPUTED_VALUE"""),5)</f>
        <v>5</v>
      </c>
      <c r="D253" s="8">
        <f ca="1">IFERROR(__xludf.DUMMYFUNCTION("""COMPUTED_VALUE"""),2024)</f>
        <v>2024</v>
      </c>
      <c r="E253" s="9">
        <f ca="1">IFERROR(__xludf.DUMMYFUNCTION("""COMPUTED_VALUE"""),45570)</f>
        <v>45570</v>
      </c>
      <c r="F253" s="8" t="str">
        <f ca="1">IFERROR(__xludf.DUMMYFUNCTION("""COMPUTED_VALUE"""),"St. John Bosco High School")</f>
        <v>St. John Bosco High School</v>
      </c>
      <c r="G253" s="8">
        <f ca="1">IFERROR(__xludf.DUMMYFUNCTION("""COMPUTED_VALUE"""),1)</f>
        <v>1</v>
      </c>
      <c r="H253" s="8">
        <f ca="1">IFERROR(__xludf.DUMMYFUNCTION("""COMPUTED_VALUE"""),0)</f>
        <v>0</v>
      </c>
      <c r="I253" s="8">
        <f ca="1">IFERROR(__xludf.DUMMYFUNCTION("""COMPUTED_VALUE"""),1)</f>
        <v>1</v>
      </c>
      <c r="J253" s="8">
        <f ca="1">IFERROR(__xludf.DUMMYFUNCTION("""COMPUTED_VALUE"""),0)</f>
        <v>0</v>
      </c>
      <c r="K253" s="10" t="str">
        <f ca="1">IFERROR(__xludf.DUMMYFUNCTION("""COMPUTED_VALUE"""),"https://www.latimes.com/california/story/2024-10-05/st-john-bosco-high-shooting-football-game-bellflower
https://www.nbclosangeles.com/news/local/bellflower-shooting-saint-john-bosco-high-school/3528620/")</f>
        <v>https://www.latimes.com/california/story/2024-10-05/st-john-bosco-high-shooting-football-game-bellflower
https://www.nbclosangeles.com/news/local/bellflower-shooting-saint-john-bosco-high-school/3528620/</v>
      </c>
      <c r="L253" s="8">
        <f ca="1">IFERROR(__xludf.DUMMYFUNCTION("""COMPUTED_VALUE"""),5)</f>
        <v>5</v>
      </c>
      <c r="M253" s="8" t="str">
        <f ca="1">IFERROR(__xludf.DUMMYFUNCTION("""COMPUTED_VALUE"""),"Regional")</f>
        <v>Regional</v>
      </c>
      <c r="N253" s="8">
        <f ca="1">IFERROR(__xludf.DUMMYFUNCTION("""COMPUTED_VALUE"""),4)</f>
        <v>4</v>
      </c>
      <c r="O253" s="8" t="str">
        <f ca="1">IFERROR(__xludf.DUMMYFUNCTION("""COMPUTED_VALUE"""),"Fall")</f>
        <v>Fall</v>
      </c>
      <c r="P253" s="8" t="str">
        <f ca="1">IFERROR(__xludf.DUMMYFUNCTION("""COMPUTED_VALUE"""),"Bellflower")</f>
        <v>Bellflower</v>
      </c>
      <c r="Q253" s="8" t="str">
        <f ca="1">IFERROR(__xludf.DUMMYFUNCTION("""COMPUTED_VALUE"""),"CA")</f>
        <v>CA</v>
      </c>
      <c r="R253" s="8" t="str">
        <f ca="1">IFERROR(__xludf.DUMMYFUNCTION("""COMPUTED_VALUE"""),"High")</f>
        <v>High</v>
      </c>
      <c r="S253" s="8" t="str">
        <f ca="1">IFERROR(__xludf.DUMMYFUNCTION("""COMPUTED_VALUE"""),"Parking Lot")</f>
        <v>Parking Lot</v>
      </c>
      <c r="T253" s="8" t="str">
        <f ca="1">IFERROR(__xludf.DUMMYFUNCTION("""COMPUTED_VALUE"""),"Outside on School Property")</f>
        <v>Outside on School Property</v>
      </c>
      <c r="U253" s="8" t="str">
        <f ca="1">IFERROR(__xludf.DUMMYFUNCTION("""COMPUTED_VALUE"""),"No")</f>
        <v>No</v>
      </c>
      <c r="V253" s="8" t="str">
        <f ca="1">IFERROR(__xludf.DUMMYFUNCTION("""COMPUTED_VALUE"""),"Sport Event")</f>
        <v>Sport Event</v>
      </c>
      <c r="W253" s="11">
        <f ca="1">IFERROR(__xludf.DUMMYFUNCTION("""COMPUTED_VALUE"""),0.347222222222222)</f>
        <v>0.34722222222222199</v>
      </c>
      <c r="X253" s="8">
        <f ca="1">IFERROR(__xludf.DUMMYFUNCTION("""COMPUTED_VALUE"""),1)</f>
        <v>1</v>
      </c>
      <c r="Y253" s="12" t="str">
        <f ca="1">IFERROR(__xludf.DUMMYFUNCTION("""COMPUTED_VALUE"""),"Man fatally shot inside vehicle before youth football game")</f>
        <v>Man fatally shot inside vehicle before youth football game</v>
      </c>
      <c r="Z253" s="12" t="str">
        <f ca="1">IFERROR(__xludf.DUMMYFUNCTION("""COMPUTED_VALUE"""),"A man was shot to death Saturday morning in the parking lot of St. John Bosco High School in Bellflower, where he came to watch his son play in a youth football game at the school stadium, authorities said. The victim was sitting inside a white Audi that "&amp;"had been reported stolen, the Los Angeles County Sheriff’s Department said, and when deputies arrived around 8:20 a.m., they found him in the car suffering from gunshot wounds alongside a female passenger who was uninjured. The man was rushed to a hospita"&amp;"l but died. Authorities said the suspect fled the scene in a white sedan heading south on Bellflower Boulevard.")</f>
        <v>A man was shot to death Saturday morning in the parking lot of St. John Bosco High School in Bellflower, where he came to watch his son play in a youth football game at the school stadium, authorities said. The victim was sitting inside a white Audi that had been reported stolen, the Los Angeles County Sheriff’s Department said, and when deputies arrived around 8:20 a.m., they found him in the car suffering from gunshot wounds alongside a female passenger who was uninjured. The man was rushed to a hospital but died. Authorities said the suspect fled the scene in a white sedan heading south on Bellflower Boulevard.</v>
      </c>
      <c r="AA253" s="8" t="str">
        <f ca="1">IFERROR(__xludf.DUMMYFUNCTION("""COMPUTED_VALUE"""),"Drive-by Shooting")</f>
        <v>Drive-by Shooting</v>
      </c>
      <c r="AB253" s="8" t="str">
        <f ca="1">IFERROR(__xludf.DUMMYFUNCTION("""COMPUTED_VALUE"""),"Targeted")</f>
        <v>Targeted</v>
      </c>
      <c r="AC253" s="8" t="str">
        <f ca="1">IFERROR(__xludf.DUMMYFUNCTION("""COMPUTED_VALUE"""),"Yes")</f>
        <v>Yes</v>
      </c>
      <c r="AD253" s="8" t="str">
        <f ca="1">IFERROR(__xludf.DUMMYFUNCTION("""COMPUTED_VALUE"""),"Victims Targeted")</f>
        <v>Victims Targeted</v>
      </c>
      <c r="AE253" s="8" t="str">
        <f ca="1">IFERROR(__xludf.DUMMYFUNCTION("""COMPUTED_VALUE"""),"No")</f>
        <v>No</v>
      </c>
      <c r="AF253" s="8"/>
      <c r="AG253" s="8" t="str">
        <f ca="1">IFERROR(__xludf.DUMMYFUNCTION("""COMPUTED_VALUE"""),"No")</f>
        <v>No</v>
      </c>
      <c r="AH253" s="8" t="str">
        <f ca="1">IFERROR(__xludf.DUMMYFUNCTION("""COMPUTED_VALUE"""),"No")</f>
        <v>No</v>
      </c>
      <c r="AI253" s="8" t="str">
        <f ca="1">IFERROR(__xludf.DUMMYFUNCTION("""COMPUTED_VALUE"""),"No")</f>
        <v>No</v>
      </c>
      <c r="AJ253" s="8" t="str">
        <f ca="1">IFERROR(__xludf.DUMMYFUNCTION("""COMPUTED_VALUE"""),"No")</f>
        <v>No</v>
      </c>
      <c r="AK253" s="8" t="str">
        <f ca="1">IFERROR(__xludf.DUMMYFUNCTION("""COMPUTED_VALUE"""),"No")</f>
        <v>No</v>
      </c>
      <c r="AL253" s="8"/>
      <c r="AM253" s="8" t="str">
        <f ca="1">IFERROR(__xludf.DUMMYFUNCTION("""COMPUTED_VALUE"""),"No")</f>
        <v>No</v>
      </c>
      <c r="AN253" s="8" t="str">
        <f ca="1">IFERROR(__xludf.DUMMYFUNCTION("""COMPUTED_VALUE"""),"Outside")</f>
        <v>Outside</v>
      </c>
      <c r="AO253" s="8" t="str">
        <f ca="1">IFERROR(__xludf.DUMMYFUNCTION("""COMPUTED_VALUE"""),"No")</f>
        <v>No</v>
      </c>
      <c r="AP253" s="8"/>
      <c r="AQ253" s="8"/>
      <c r="AR253" s="8" t="str">
        <f ca="1">IFERROR(__xludf.DUMMYFUNCTION("""COMPUTED_VALUE"""),"Outside/Off-Property")</f>
        <v>Outside/Off-Property</v>
      </c>
      <c r="AS253" s="8">
        <f ca="1">IFERROR(__xludf.DUMMYFUNCTION("""COMPUTED_VALUE"""),3)</f>
        <v>3</v>
      </c>
      <c r="AT253" s="8" t="str">
        <f ca="1">IFERROR(__xludf.DUMMYFUNCTION("""COMPUTED_VALUE"""),"No")</f>
        <v>No</v>
      </c>
      <c r="AU253" s="8">
        <f ca="1">IFERROR(__xludf.DUMMYFUNCTION("""COMPUTED_VALUE"""),33.90629)</f>
        <v>33.906289999999998</v>
      </c>
      <c r="AV253" s="8">
        <f ca="1">IFERROR(__xludf.DUMMYFUNCTION("""COMPUTED_VALUE"""),-118.124723)</f>
        <v>-118.124723</v>
      </c>
      <c r="AW253" s="8" t="str">
        <f ca="1">IFERROR(__xludf.DUMMYFUNCTION("""COMPUTED_VALUE"""),"Multiple detached buildings")</f>
        <v>Multiple detached buildings</v>
      </c>
      <c r="AX253" s="8">
        <f ca="1">IFERROR(__xludf.DUMMYFUNCTION("""COMPUTED_VALUE"""),90746)</f>
        <v>90746</v>
      </c>
    </row>
    <row r="254" spans="1:50" ht="90" x14ac:dyDescent="0.2">
      <c r="A254" s="8" t="str">
        <f ca="1">IFERROR(__xludf.DUMMYFUNCTION("""COMPUTED_VALUE"""),"20241004NCCAW")</f>
        <v>20241004NCCAW</v>
      </c>
      <c r="B254" s="8">
        <f ca="1">IFERROR(__xludf.DUMMYFUNCTION("""COMPUTED_VALUE"""),10)</f>
        <v>10</v>
      </c>
      <c r="C254" s="8">
        <f ca="1">IFERROR(__xludf.DUMMYFUNCTION("""COMPUTED_VALUE"""),4)</f>
        <v>4</v>
      </c>
      <c r="D254" s="8">
        <f ca="1">IFERROR(__xludf.DUMMYFUNCTION("""COMPUTED_VALUE"""),2024)</f>
        <v>2024</v>
      </c>
      <c r="E254" s="9">
        <f ca="1">IFERROR(__xludf.DUMMYFUNCTION("""COMPUTED_VALUE"""),45569)</f>
        <v>45569</v>
      </c>
      <c r="F254" s="8" t="str">
        <f ca="1">IFERROR(__xludf.DUMMYFUNCTION("""COMPUTED_VALUE"""),"Carver High School")</f>
        <v>Carver High School</v>
      </c>
      <c r="G254" s="8">
        <f ca="1">IFERROR(__xludf.DUMMYFUNCTION("""COMPUTED_VALUE"""),0)</f>
        <v>0</v>
      </c>
      <c r="H254" s="8">
        <f ca="1">IFERROR(__xludf.DUMMYFUNCTION("""COMPUTED_VALUE"""),0)</f>
        <v>0</v>
      </c>
      <c r="I254" s="8">
        <f ca="1">IFERROR(__xludf.DUMMYFUNCTION("""COMPUTED_VALUE"""),0)</f>
        <v>0</v>
      </c>
      <c r="J254" s="8">
        <f ca="1">IFERROR(__xludf.DUMMYFUNCTION("""COMPUTED_VALUE"""),0)</f>
        <v>0</v>
      </c>
      <c r="K254" s="10" t="str">
        <f ca="1">IFERROR(__xludf.DUMMYFUNCTION("""COMPUTED_VALUE"""),"https://www.msn.com/en-us/news/crime/woman-charged-after-firing-gun-after-carver-high-school-football-game-deputies-say/ar-AA1rQKJn?apiversion=v2&amp;noservercache=1&amp;domshim=1&amp;renderwebcomponents=1&amp;wcseo=1&amp;batchservertelemetry=1&amp;noservertelemetry=1
https://my"&amp;"fox8.com/news/north-carolina/piedmont-triad/woman-accused-of-firing-gunshot-on-carver-high-school-property-in-forsyth-county-after-homecoming-football-game/")</f>
        <v>https://www.msn.com/en-us/news/crime/woman-charged-after-firing-gun-after-carver-high-school-football-game-deputies-say/ar-AA1rQKJn?apiversion=v2&amp;noservercache=1&amp;domshim=1&amp;renderwebcomponents=1&amp;wcseo=1&amp;batchservertelemetry=1&amp;noservertelemetry=1
https://myfox8.com/news/north-carolina/piedmont-triad/woman-accused-of-firing-gunshot-on-carver-high-school-property-in-forsyth-county-after-homecoming-football-game/</v>
      </c>
      <c r="L254" s="8">
        <f ca="1">IFERROR(__xludf.DUMMYFUNCTION("""COMPUTED_VALUE"""),6)</f>
        <v>6</v>
      </c>
      <c r="M254" s="8" t="str">
        <f ca="1">IFERROR(__xludf.DUMMYFUNCTION("""COMPUTED_VALUE"""),"Regional")</f>
        <v>Regional</v>
      </c>
      <c r="N254" s="8">
        <f ca="1">IFERROR(__xludf.DUMMYFUNCTION("""COMPUTED_VALUE"""),4)</f>
        <v>4</v>
      </c>
      <c r="O254" s="8" t="str">
        <f ca="1">IFERROR(__xludf.DUMMYFUNCTION("""COMPUTED_VALUE"""),"Fall")</f>
        <v>Fall</v>
      </c>
      <c r="P254" s="8" t="str">
        <f ca="1">IFERROR(__xludf.DUMMYFUNCTION("""COMPUTED_VALUE"""),"Winston-Salem")</f>
        <v>Winston-Salem</v>
      </c>
      <c r="Q254" s="8" t="str">
        <f ca="1">IFERROR(__xludf.DUMMYFUNCTION("""COMPUTED_VALUE"""),"NC")</f>
        <v>NC</v>
      </c>
      <c r="R254" s="8" t="str">
        <f ca="1">IFERROR(__xludf.DUMMYFUNCTION("""COMPUTED_VALUE"""),"High")</f>
        <v>High</v>
      </c>
      <c r="S254" s="8" t="str">
        <f ca="1">IFERROR(__xludf.DUMMYFUNCTION("""COMPUTED_VALUE"""),"Parking Lot")</f>
        <v>Parking Lot</v>
      </c>
      <c r="T254" s="8" t="str">
        <f ca="1">IFERROR(__xludf.DUMMYFUNCTION("""COMPUTED_VALUE"""),"Outside on School Property")</f>
        <v>Outside on School Property</v>
      </c>
      <c r="U254" s="8" t="str">
        <f ca="1">IFERROR(__xludf.DUMMYFUNCTION("""COMPUTED_VALUE"""),"No")</f>
        <v>No</v>
      </c>
      <c r="V254" s="8" t="str">
        <f ca="1">IFERROR(__xludf.DUMMYFUNCTION("""COMPUTED_VALUE"""),"Sport Event")</f>
        <v>Sport Event</v>
      </c>
      <c r="W254" s="11">
        <f ca="1">IFERROR(__xludf.DUMMYFUNCTION("""COMPUTED_VALUE"""),0.875)</f>
        <v>0.875</v>
      </c>
      <c r="X254" s="8">
        <f ca="1">IFERROR(__xludf.DUMMYFUNCTION("""COMPUTED_VALUE"""),1)</f>
        <v>1</v>
      </c>
      <c r="Y254" s="12" t="str">
        <f ca="1">IFERROR(__xludf.DUMMYFUNCTION("""COMPUTED_VALUE"""),"Woman fired gun outside football stadium during homecoming game")</f>
        <v>Woman fired gun outside football stadium during homecoming game</v>
      </c>
      <c r="Z254" s="12" t="str">
        <f ca="1">IFERROR(__xludf.DUMMYFUNCTION("""COMPUTED_VALUE"""),"A woman has been charged after firing a gun after a Carver High School football game, according to the Forsyth County Sheriff’s Office. On Friday, deputies say people were leaving the school’s football stadium after homecoming festivities at the school wh"&amp;"en she allegedly pulled out a gun and fired a gunshot on school property. No one was hurt.")</f>
        <v>A woman has been charged after firing a gun after a Carver High School football game, according to the Forsyth County Sheriff’s Office. On Friday, deputies say people were leaving the school’s football stadium after homecoming festivities at the school when she allegedly pulled out a gun and fired a gunshot on school property. No one was hurt.</v>
      </c>
      <c r="AA254" s="8" t="str">
        <f ca="1">IFERROR(__xludf.DUMMYFUNCTION("""COMPUTED_VALUE"""),"Escalation of Dispute")</f>
        <v>Escalation of Dispute</v>
      </c>
      <c r="AB254" s="8" t="str">
        <f ca="1">IFERROR(__xludf.DUMMYFUNCTION("""COMPUTED_VALUE"""),"Spontaneous")</f>
        <v>Spontaneous</v>
      </c>
      <c r="AC254" s="8" t="str">
        <f ca="1">IFERROR(__xludf.DUMMYFUNCTION("""COMPUTED_VALUE"""),"Yes")</f>
        <v>Yes</v>
      </c>
      <c r="AD254" s="8" t="str">
        <f ca="1">IFERROR(__xludf.DUMMYFUNCTION("""COMPUTED_VALUE"""),"Victims Targeted")</f>
        <v>Victims Targeted</v>
      </c>
      <c r="AE254" s="8" t="str">
        <f ca="1">IFERROR(__xludf.DUMMYFUNCTION("""COMPUTED_VALUE"""),"No")</f>
        <v>No</v>
      </c>
      <c r="AF254" s="8"/>
      <c r="AG254" s="8" t="str">
        <f ca="1">IFERROR(__xludf.DUMMYFUNCTION("""COMPUTED_VALUE"""),"No")</f>
        <v>No</v>
      </c>
      <c r="AH254" s="8" t="str">
        <f ca="1">IFERROR(__xludf.DUMMYFUNCTION("""COMPUTED_VALUE"""),"No")</f>
        <v>No</v>
      </c>
      <c r="AI254" s="8" t="str">
        <f ca="1">IFERROR(__xludf.DUMMYFUNCTION("""COMPUTED_VALUE"""),"No")</f>
        <v>No</v>
      </c>
      <c r="AJ254" s="8" t="str">
        <f ca="1">IFERROR(__xludf.DUMMYFUNCTION("""COMPUTED_VALUE"""),"No")</f>
        <v>No</v>
      </c>
      <c r="AK254" s="8" t="str">
        <f ca="1">IFERROR(__xludf.DUMMYFUNCTION("""COMPUTED_VALUE"""),"No")</f>
        <v>No</v>
      </c>
      <c r="AL254" s="8" t="str">
        <f ca="1">IFERROR(__xludf.DUMMYFUNCTION("""COMPUTED_VALUE"""),"No")</f>
        <v>No</v>
      </c>
      <c r="AM254" s="8" t="str">
        <f ca="1">IFERROR(__xludf.DUMMYFUNCTION("""COMPUTED_VALUE"""),"No")</f>
        <v>No</v>
      </c>
      <c r="AN254" s="8" t="str">
        <f ca="1">IFERROR(__xludf.DUMMYFUNCTION("""COMPUTED_VALUE"""),"Outside")</f>
        <v>Outside</v>
      </c>
      <c r="AO254" s="8" t="str">
        <f ca="1">IFERROR(__xludf.DUMMYFUNCTION("""COMPUTED_VALUE"""),"No")</f>
        <v>No</v>
      </c>
      <c r="AP254" s="8"/>
      <c r="AQ254" s="8"/>
      <c r="AR254" s="8" t="str">
        <f ca="1">IFERROR(__xludf.DUMMYFUNCTION("""COMPUTED_VALUE"""),"Outside/Off-Property")</f>
        <v>Outside/Off-Property</v>
      </c>
      <c r="AS254" s="8">
        <f ca="1">IFERROR(__xludf.DUMMYFUNCTION("""COMPUTED_VALUE"""),1)</f>
        <v>1</v>
      </c>
      <c r="AT254" s="8" t="str">
        <f ca="1">IFERROR(__xludf.DUMMYFUNCTION("""COMPUTED_VALUE"""),"No")</f>
        <v>No</v>
      </c>
      <c r="AU254" s="8">
        <f ca="1">IFERROR(__xludf.DUMMYFUNCTION("""COMPUTED_VALUE"""),36.13414)</f>
        <v>36.134140000000002</v>
      </c>
      <c r="AV254" s="8">
        <f ca="1">IFERROR(__xludf.DUMMYFUNCTION("""COMPUTED_VALUE"""),-80.207206)</f>
        <v>-80.207205999999999</v>
      </c>
      <c r="AW254" s="8" t="str">
        <f ca="1">IFERROR(__xludf.DUMMYFUNCTION("""COMPUTED_VALUE"""),"Multiple detached buildings")</f>
        <v>Multiple detached buildings</v>
      </c>
      <c r="AX254" s="8">
        <f ca="1">IFERROR(__xludf.DUMMYFUNCTION("""COMPUTED_VALUE"""),27105)</f>
        <v>27105</v>
      </c>
    </row>
    <row r="255" spans="1:50" ht="315" x14ac:dyDescent="0.2">
      <c r="A255" s="8" t="str">
        <f ca="1">IFERROR(__xludf.DUMMYFUNCTION("""COMPUTED_VALUE"""),"20241002LAWEW")</f>
        <v>20241002LAWEW</v>
      </c>
      <c r="B255" s="8">
        <f ca="1">IFERROR(__xludf.DUMMYFUNCTION("""COMPUTED_VALUE"""),10)</f>
        <v>10</v>
      </c>
      <c r="C255" s="8">
        <f ca="1">IFERROR(__xludf.DUMMYFUNCTION("""COMPUTED_VALUE"""),2)</f>
        <v>2</v>
      </c>
      <c r="D255" s="8">
        <f ca="1">IFERROR(__xludf.DUMMYFUNCTION("""COMPUTED_VALUE"""),2024)</f>
        <v>2024</v>
      </c>
      <c r="E255" s="9">
        <f ca="1">IFERROR(__xludf.DUMMYFUNCTION("""COMPUTED_VALUE"""),45567)</f>
        <v>45567</v>
      </c>
      <c r="F255" s="8" t="str">
        <f ca="1">IFERROR(__xludf.DUMMYFUNCTION("""COMPUTED_VALUE"""),"West Feliciana High School")</f>
        <v>West Feliciana High School</v>
      </c>
      <c r="G255" s="8">
        <f ca="1">IFERROR(__xludf.DUMMYFUNCTION("""COMPUTED_VALUE"""),0)</f>
        <v>0</v>
      </c>
      <c r="H255" s="8">
        <f ca="1">IFERROR(__xludf.DUMMYFUNCTION("""COMPUTED_VALUE"""),0)</f>
        <v>0</v>
      </c>
      <c r="I255" s="8">
        <f ca="1">IFERROR(__xludf.DUMMYFUNCTION("""COMPUTED_VALUE"""),0)</f>
        <v>0</v>
      </c>
      <c r="J255" s="8">
        <f ca="1">IFERROR(__xludf.DUMMYFUNCTION("""COMPUTED_VALUE"""),0)</f>
        <v>0</v>
      </c>
      <c r="K255" s="10" t="str">
        <f ca="1">IFERROR(__xludf.DUMMYFUNCTION("""COMPUTED_VALUE"""),"https://unfilteredwithkiran.com/west-feliciana-14-year-old-student-arrested-after-gun-goes-off-in-back-pack/")</f>
        <v>https://unfilteredwithkiran.com/west-feliciana-14-year-old-student-arrested-after-gun-goes-off-in-back-pack/</v>
      </c>
      <c r="L255" s="8">
        <f ca="1">IFERROR(__xludf.DUMMYFUNCTION("""COMPUTED_VALUE"""),1)</f>
        <v>1</v>
      </c>
      <c r="M255" s="8" t="str">
        <f ca="1">IFERROR(__xludf.DUMMYFUNCTION("""COMPUTED_VALUE"""),"Local")</f>
        <v>Local</v>
      </c>
      <c r="N255" s="8">
        <f ca="1">IFERROR(__xludf.DUMMYFUNCTION("""COMPUTED_VALUE"""),4)</f>
        <v>4</v>
      </c>
      <c r="O255" s="8" t="str">
        <f ca="1">IFERROR(__xludf.DUMMYFUNCTION("""COMPUTED_VALUE"""),"Fall")</f>
        <v>Fall</v>
      </c>
      <c r="P255" s="8" t="str">
        <f ca="1">IFERROR(__xludf.DUMMYFUNCTION("""COMPUTED_VALUE"""),"St Francisville")</f>
        <v>St Francisville</v>
      </c>
      <c r="Q255" s="8" t="str">
        <f ca="1">IFERROR(__xludf.DUMMYFUNCTION("""COMPUTED_VALUE"""),"LA")</f>
        <v>LA</v>
      </c>
      <c r="R255" s="8" t="str">
        <f ca="1">IFERROR(__xludf.DUMMYFUNCTION("""COMPUTED_VALUE"""),"High")</f>
        <v>High</v>
      </c>
      <c r="S255" s="8" t="str">
        <f ca="1">IFERROR(__xludf.DUMMYFUNCTION("""COMPUTED_VALUE"""),"School Bus")</f>
        <v>School Bus</v>
      </c>
      <c r="T255" s="8" t="str">
        <f ca="1">IFERROR(__xludf.DUMMYFUNCTION("""COMPUTED_VALUE"""),"School Bus")</f>
        <v>School Bus</v>
      </c>
      <c r="U255" s="8" t="str">
        <f ca="1">IFERROR(__xludf.DUMMYFUNCTION("""COMPUTED_VALUE"""),"Yes")</f>
        <v>Yes</v>
      </c>
      <c r="V255" s="8" t="str">
        <f ca="1">IFERROR(__xludf.DUMMYFUNCTION("""COMPUTED_VALUE"""),"Dismissal")</f>
        <v>Dismissal</v>
      </c>
      <c r="W255" s="11">
        <f ca="1">IFERROR(__xludf.DUMMYFUNCTION("""COMPUTED_VALUE"""),0.625)</f>
        <v>0.625</v>
      </c>
      <c r="X255" s="8">
        <f ca="1">IFERROR(__xludf.DUMMYFUNCTION("""COMPUTED_VALUE"""),1)</f>
        <v>1</v>
      </c>
      <c r="Y255" s="12" t="str">
        <f ca="1">IFERROR(__xludf.DUMMYFUNCTION("""COMPUTED_VALUE"""),"Gun fired inside student's backpack while on the school bus")</f>
        <v>Gun fired inside student's backpack while on the school bus</v>
      </c>
      <c r="Z255" s="12" t="str">
        <f ca="1">IFERROR(__xludf.DUMMYFUNCTION("""COMPUTED_VALUE"""),"Sheriff Brian Spillman says that both students, aged 14, had brought guns to school after agreeing to “swap” weapons with each other. “Our investigation has revealed that both students possessed handguns at school on Tuesday and exchanged them during the "&amp;"school day. There is no indication that either student brought the weapons with the intent to use them at school; rather, they agreed to swap guns and used the school as the point of exchange. Additionally, both weapons had been reported stolen recently,”"&amp;" said Sheriff Spillman. Spillman added that both are fourteen years old and are in custody awaiting a continued custody hearing. West Feliciana Parish Schools Superintendent Hollis Milton stated in a release on Tuesday that, following the bus routes on Oc"&amp;"tober 1, a loud noise was reported during an afternoon route on a school bus. This incident was communicated to the West Feliciana High School administration. Initially, the students and bus driver believed the noise was a firecracker. However, upon furth"&amp;"er investigation, the administration discovered that a high school student had allegedly brought a gun on the bus, which discharged inside the student’s backpack.")</f>
        <v>Sheriff Brian Spillman says that both students, aged 14, had brought guns to school after agreeing to “swap” weapons with each other. “Our investigation has revealed that both students possessed handguns at school on Tuesday and exchanged them during the school day. There is no indication that either student brought the weapons with the intent to use them at school; rather, they agreed to swap guns and used the school as the point of exchange. Additionally, both weapons had been reported stolen recently,” said Sheriff Spillman. Spillman added that both are fourteen years old and are in custody awaiting a continued custody hearing. West Feliciana Parish Schools Superintendent Hollis Milton stated in a release on Tuesday that, following the bus routes on October 1, a loud noise was reported during an afternoon route on a school bus. This incident was communicated to the West Feliciana High School administration. Initially, the students and bus driver believed the noise was a firecracker. However, upon further investigation, the administration discovered that a high school student had allegedly brought a gun on the bus, which discharged inside the student’s backpack.</v>
      </c>
      <c r="AA255" s="8" t="str">
        <f ca="1">IFERROR(__xludf.DUMMYFUNCTION("""COMPUTED_VALUE"""),"Accidental")</f>
        <v>Accidental</v>
      </c>
      <c r="AB255" s="8" t="str">
        <f ca="1">IFERROR(__xludf.DUMMYFUNCTION("""COMPUTED_VALUE"""),"Spontaneous")</f>
        <v>Spontaneous</v>
      </c>
      <c r="AC255" s="8" t="str">
        <f ca="1">IFERROR(__xludf.DUMMYFUNCTION("""COMPUTED_VALUE"""),"Yes")</f>
        <v>Yes</v>
      </c>
      <c r="AD255" s="8" t="str">
        <f ca="1">IFERROR(__xludf.DUMMYFUNCTION("""COMPUTED_VALUE"""),"Neither")</f>
        <v>Neither</v>
      </c>
      <c r="AE255" s="8" t="str">
        <f ca="1">IFERROR(__xludf.DUMMYFUNCTION("""COMPUTED_VALUE"""),"Yes")</f>
        <v>Yes</v>
      </c>
      <c r="AF255" s="8" t="str">
        <f ca="1">IFERROR(__xludf.DUMMYFUNCTION("""COMPUTED_VALUE"""),"Two students brough guns to school to exchange weapons")</f>
        <v>Two students brough guns to school to exchange weapons</v>
      </c>
      <c r="AG255" s="8" t="str">
        <f ca="1">IFERROR(__xludf.DUMMYFUNCTION("""COMPUTED_VALUE"""),"No")</f>
        <v>No</v>
      </c>
      <c r="AH255" s="8" t="str">
        <f ca="1">IFERROR(__xludf.DUMMYFUNCTION("""COMPUTED_VALUE"""),"No")</f>
        <v>No</v>
      </c>
      <c r="AI255" s="8" t="str">
        <f ca="1">IFERROR(__xludf.DUMMYFUNCTION("""COMPUTED_VALUE"""),"No")</f>
        <v>No</v>
      </c>
      <c r="AJ255" s="8" t="str">
        <f ca="1">IFERROR(__xludf.DUMMYFUNCTION("""COMPUTED_VALUE"""),"No")</f>
        <v>No</v>
      </c>
      <c r="AK255" s="8" t="str">
        <f ca="1">IFERROR(__xludf.DUMMYFUNCTION("""COMPUTED_VALUE"""),"No")</f>
        <v>No</v>
      </c>
      <c r="AL255" s="8" t="str">
        <f ca="1">IFERROR(__xludf.DUMMYFUNCTION("""COMPUTED_VALUE"""),"No")</f>
        <v>No</v>
      </c>
      <c r="AM255" s="8" t="str">
        <f ca="1">IFERROR(__xludf.DUMMYFUNCTION("""COMPUTED_VALUE"""),"No")</f>
        <v>No</v>
      </c>
      <c r="AN255" s="8" t="str">
        <f ca="1">IFERROR(__xludf.DUMMYFUNCTION("""COMPUTED_VALUE"""),"Outside")</f>
        <v>Outside</v>
      </c>
      <c r="AO255" s="8" t="str">
        <f ca="1">IFERROR(__xludf.DUMMYFUNCTION("""COMPUTED_VALUE"""),"No")</f>
        <v>No</v>
      </c>
      <c r="AP255" s="8"/>
      <c r="AQ255" s="8"/>
      <c r="AR255" s="8" t="str">
        <f ca="1">IFERROR(__xludf.DUMMYFUNCTION("""COMPUTED_VALUE"""),"Outside/Off-Property")</f>
        <v>Outside/Off-Property</v>
      </c>
      <c r="AS255" s="8">
        <f ca="1">IFERROR(__xludf.DUMMYFUNCTION("""COMPUTED_VALUE"""),1)</f>
        <v>1</v>
      </c>
      <c r="AT255" s="8" t="str">
        <f ca="1">IFERROR(__xludf.DUMMYFUNCTION("""COMPUTED_VALUE"""),"No")</f>
        <v>No</v>
      </c>
      <c r="AU255" s="8">
        <f ca="1">IFERROR(__xludf.DUMMYFUNCTION("""COMPUTED_VALUE"""),30.826384)</f>
        <v>30.826384000000001</v>
      </c>
      <c r="AV255" s="8">
        <f ca="1">IFERROR(__xludf.DUMMYFUNCTION("""COMPUTED_VALUE"""),-91.384681)</f>
        <v>-91.384681</v>
      </c>
      <c r="AW255" s="8" t="str">
        <f ca="1">IFERROR(__xludf.DUMMYFUNCTION("""COMPUTED_VALUE"""),"Multiple detached buildings")</f>
        <v>Multiple detached buildings</v>
      </c>
      <c r="AX255" s="8">
        <f ca="1">IFERROR(__xludf.DUMMYFUNCTION("""COMPUTED_VALUE"""),70775)</f>
        <v>70775</v>
      </c>
    </row>
    <row r="256" spans="1:50" ht="165" x14ac:dyDescent="0.2">
      <c r="A256" s="8" t="str">
        <f ca="1">IFERROR(__xludf.DUMMYFUNCTION("""COMPUTED_VALUE"""),"20241002ILEMC")</f>
        <v>20241002ILEMC</v>
      </c>
      <c r="B256" s="8">
        <f ca="1">IFERROR(__xludf.DUMMYFUNCTION("""COMPUTED_VALUE"""),10)</f>
        <v>10</v>
      </c>
      <c r="C256" s="8">
        <f ca="1">IFERROR(__xludf.DUMMYFUNCTION("""COMPUTED_VALUE"""),2)</f>
        <v>2</v>
      </c>
      <c r="D256" s="8">
        <f ca="1">IFERROR(__xludf.DUMMYFUNCTION("""COMPUTED_VALUE"""),2024)</f>
        <v>2024</v>
      </c>
      <c r="E256" s="9">
        <f ca="1">IFERROR(__xludf.DUMMYFUNCTION("""COMPUTED_VALUE"""),45567)</f>
        <v>45567</v>
      </c>
      <c r="F256" s="8" t="str">
        <f ca="1">IFERROR(__xludf.DUMMYFUNCTION("""COMPUTED_VALUE"""),"Emil G. Hirsch Metropolitan High School")</f>
        <v>Emil G. Hirsch Metropolitan High School</v>
      </c>
      <c r="G256" s="8">
        <f ca="1">IFERROR(__xludf.DUMMYFUNCTION("""COMPUTED_VALUE"""),0)</f>
        <v>0</v>
      </c>
      <c r="H256" s="8">
        <f ca="1">IFERROR(__xludf.DUMMYFUNCTION("""COMPUTED_VALUE"""),1)</f>
        <v>1</v>
      </c>
      <c r="I256" s="8">
        <f ca="1">IFERROR(__xludf.DUMMYFUNCTION("""COMPUTED_VALUE"""),1)</f>
        <v>1</v>
      </c>
      <c r="J256" s="8">
        <f ca="1">IFERROR(__xludf.DUMMYFUNCTION("""COMPUTED_VALUE"""),0)</f>
        <v>0</v>
      </c>
      <c r="K256" s="10" t="str">
        <f ca="1">IFERROR(__xludf.DUMMYFUNCTION("""COMPUTED_VALUE"""),"https://www.cbsnews.com/chicago/news/boy-shot-outside-high-school-chicago-south-side/")</f>
        <v>https://www.cbsnews.com/chicago/news/boy-shot-outside-high-school-chicago-south-side/</v>
      </c>
      <c r="L256" s="8">
        <f ca="1">IFERROR(__xludf.DUMMYFUNCTION("""COMPUTED_VALUE"""),1)</f>
        <v>1</v>
      </c>
      <c r="M256" s="8" t="str">
        <f ca="1">IFERROR(__xludf.DUMMYFUNCTION("""COMPUTED_VALUE"""),"Local")</f>
        <v>Local</v>
      </c>
      <c r="N256" s="8">
        <f ca="1">IFERROR(__xludf.DUMMYFUNCTION("""COMPUTED_VALUE"""),4)</f>
        <v>4</v>
      </c>
      <c r="O256" s="8" t="str">
        <f ca="1">IFERROR(__xludf.DUMMYFUNCTION("""COMPUTED_VALUE"""),"Fall")</f>
        <v>Fall</v>
      </c>
      <c r="P256" s="8" t="str">
        <f ca="1">IFERROR(__xludf.DUMMYFUNCTION("""COMPUTED_VALUE"""),"Chicago")</f>
        <v>Chicago</v>
      </c>
      <c r="Q256" s="8" t="str">
        <f ca="1">IFERROR(__xludf.DUMMYFUNCTION("""COMPUTED_VALUE"""),"IL")</f>
        <v>IL</v>
      </c>
      <c r="R256" s="8" t="str">
        <f ca="1">IFERROR(__xludf.DUMMYFUNCTION("""COMPUTED_VALUE"""),"High")</f>
        <v>High</v>
      </c>
      <c r="S256" s="8" t="str">
        <f ca="1">IFERROR(__xludf.DUMMYFUNCTION("""COMPUTED_VALUE"""),"Beside Building")</f>
        <v>Beside Building</v>
      </c>
      <c r="T256" s="8" t="str">
        <f ca="1">IFERROR(__xludf.DUMMYFUNCTION("""COMPUTED_VALUE"""),"Outside on School Property")</f>
        <v>Outside on School Property</v>
      </c>
      <c r="U256" s="8" t="str">
        <f ca="1">IFERROR(__xludf.DUMMYFUNCTION("""COMPUTED_VALUE"""),"Yes")</f>
        <v>Yes</v>
      </c>
      <c r="V256" s="8" t="str">
        <f ca="1">IFERROR(__xludf.DUMMYFUNCTION("""COMPUTED_VALUE"""),"Morning Classes")</f>
        <v>Morning Classes</v>
      </c>
      <c r="W256" s="11">
        <f ca="1">IFERROR(__xludf.DUMMYFUNCTION("""COMPUTED_VALUE"""),0.413888888888888)</f>
        <v>0.41388888888888797</v>
      </c>
      <c r="X256" s="8">
        <f ca="1">IFERROR(__xludf.DUMMYFUNCTION("""COMPUTED_VALUE"""),1)</f>
        <v>1</v>
      </c>
      <c r="Y256" s="12" t="str">
        <f ca="1">IFERROR(__xludf.DUMMYFUNCTION("""COMPUTED_VALUE"""),"Teen was shot while standing behind school when 30 shot were fired from a vehicle")</f>
        <v>Teen was shot while standing behind school when 30 shot were fired from a vehicle</v>
      </c>
      <c r="Z256" s="12" t="str">
        <f ca="1">IFERROR(__xludf.DUMMYFUNCTION("""COMPUTED_VALUE"""),"Police said at 9:56 a.m., the teen was standing outside in the 7700 block of South Drexel Avenue when four people got out of a white sedan and fired at least 30 shots. The victim was hit in the shoulder and was taken to the University of Chicago Medical C"&amp;"enter in good condition. More than 50 evidence markers were seen on the pavement as police investigated. Hirsch Metropolitan High School is located at 7740 S. Ingleside Ave., with its main entrance fronting Grand Crossing Park. The back of the school is l"&amp;"ocated on the same block of Drexel Avenue where the shooting happened.")</f>
        <v>Police said at 9:56 a.m., the teen was standing outside in the 7700 block of South Drexel Avenue when four people got out of a white sedan and fired at least 30 shots. The victim was hit in the shoulder and was taken to the University of Chicago Medical Center in good condition. More than 50 evidence markers were seen on the pavement as police investigated. Hirsch Metropolitan High School is located at 7740 S. Ingleside Ave., with its main entrance fronting Grand Crossing Park. The back of the school is located on the same block of Drexel Avenue where the shooting happened.</v>
      </c>
      <c r="AA256" s="8" t="str">
        <f ca="1">IFERROR(__xludf.DUMMYFUNCTION("""COMPUTED_VALUE"""),"Drive-by Shooting")</f>
        <v>Drive-by Shooting</v>
      </c>
      <c r="AB256" s="8" t="str">
        <f ca="1">IFERROR(__xludf.DUMMYFUNCTION("""COMPUTED_VALUE"""),"Targeted")</f>
        <v>Targeted</v>
      </c>
      <c r="AC256" s="8" t="str">
        <f ca="1">IFERROR(__xludf.DUMMYFUNCTION("""COMPUTED_VALUE"""),"Yes")</f>
        <v>Yes</v>
      </c>
      <c r="AD256" s="8" t="str">
        <f ca="1">IFERROR(__xludf.DUMMYFUNCTION("""COMPUTED_VALUE"""),"Victims Targeted")</f>
        <v>Victims Targeted</v>
      </c>
      <c r="AE256" s="8" t="str">
        <f ca="1">IFERROR(__xludf.DUMMYFUNCTION("""COMPUTED_VALUE"""),"Yes")</f>
        <v>Yes</v>
      </c>
      <c r="AF256" s="8" t="str">
        <f ca="1">IFERROR(__xludf.DUMMYFUNCTION("""COMPUTED_VALUE"""),"4 shooters")</f>
        <v>4 shooters</v>
      </c>
      <c r="AG256" s="8" t="str">
        <f ca="1">IFERROR(__xludf.DUMMYFUNCTION("""COMPUTED_VALUE"""),"No")</f>
        <v>No</v>
      </c>
      <c r="AH256" s="8" t="str">
        <f ca="1">IFERROR(__xludf.DUMMYFUNCTION("""COMPUTED_VALUE"""),"No")</f>
        <v>No</v>
      </c>
      <c r="AI256" s="8" t="str">
        <f ca="1">IFERROR(__xludf.DUMMYFUNCTION("""COMPUTED_VALUE"""),"No")</f>
        <v>No</v>
      </c>
      <c r="AJ256" s="8" t="str">
        <f ca="1">IFERROR(__xludf.DUMMYFUNCTION("""COMPUTED_VALUE"""),"No")</f>
        <v>No</v>
      </c>
      <c r="AK256" s="8" t="str">
        <f ca="1">IFERROR(__xludf.DUMMYFUNCTION("""COMPUTED_VALUE"""),"No")</f>
        <v>No</v>
      </c>
      <c r="AL256" s="8"/>
      <c r="AM256" s="8" t="str">
        <f ca="1">IFERROR(__xludf.DUMMYFUNCTION("""COMPUTED_VALUE"""),"No")</f>
        <v>No</v>
      </c>
      <c r="AN256" s="8" t="str">
        <f ca="1">IFERROR(__xludf.DUMMYFUNCTION("""COMPUTED_VALUE"""),"Outside")</f>
        <v>Outside</v>
      </c>
      <c r="AO256" s="8" t="str">
        <f ca="1">IFERROR(__xludf.DUMMYFUNCTION("""COMPUTED_VALUE"""),"No")</f>
        <v>No</v>
      </c>
      <c r="AP256" s="8"/>
      <c r="AQ256" s="8"/>
      <c r="AR256" s="8" t="str">
        <f ca="1">IFERROR(__xludf.DUMMYFUNCTION("""COMPUTED_VALUE"""),"Outside/Off-Property")</f>
        <v>Outside/Off-Property</v>
      </c>
      <c r="AS256" s="8">
        <f ca="1">IFERROR(__xludf.DUMMYFUNCTION("""COMPUTED_VALUE"""),52)</f>
        <v>52</v>
      </c>
      <c r="AT256" s="8" t="str">
        <f ca="1">IFERROR(__xludf.DUMMYFUNCTION("""COMPUTED_VALUE"""),"Yes")</f>
        <v>Yes</v>
      </c>
      <c r="AU256" s="8">
        <f ca="1">IFERROR(__xludf.DUMMYFUNCTION("""COMPUTED_VALUE"""),41.753643)</f>
        <v>41.753642999999997</v>
      </c>
      <c r="AV256" s="8">
        <f ca="1">IFERROR(__xludf.DUMMYFUNCTION("""COMPUTED_VALUE"""),-87.602325)</f>
        <v>-87.602324999999993</v>
      </c>
      <c r="AW256" s="8" t="str">
        <f ca="1">IFERROR(__xludf.DUMMYFUNCTION("""COMPUTED_VALUE"""),"Urban Street Standalone")</f>
        <v>Urban Street Standalone</v>
      </c>
      <c r="AX256" s="8">
        <f ca="1">IFERROR(__xludf.DUMMYFUNCTION("""COMPUTED_VALUE"""),60619)</f>
        <v>60619</v>
      </c>
    </row>
    <row r="257" spans="1:50" ht="225" x14ac:dyDescent="0.2">
      <c r="A257" s="8" t="str">
        <f ca="1">IFERROR(__xludf.DUMMYFUNCTION("""COMPUTED_VALUE"""),"20241001CACES")</f>
        <v>20241001CACES</v>
      </c>
      <c r="B257" s="8">
        <f ca="1">IFERROR(__xludf.DUMMYFUNCTION("""COMPUTED_VALUE"""),10)</f>
        <v>10</v>
      </c>
      <c r="C257" s="8">
        <f ca="1">IFERROR(__xludf.DUMMYFUNCTION("""COMPUTED_VALUE"""),1)</f>
        <v>1</v>
      </c>
      <c r="D257" s="8">
        <f ca="1">IFERROR(__xludf.DUMMYFUNCTION("""COMPUTED_VALUE"""),2024)</f>
        <v>2024</v>
      </c>
      <c r="E257" s="9">
        <f ca="1">IFERROR(__xludf.DUMMYFUNCTION("""COMPUTED_VALUE"""),45566)</f>
        <v>45566</v>
      </c>
      <c r="F257" s="8" t="str">
        <f ca="1">IFERROR(__xludf.DUMMYFUNCTION("""COMPUTED_VALUE"""),"Cesar Chavez Middle School")</f>
        <v>Cesar Chavez Middle School</v>
      </c>
      <c r="G257" s="8">
        <f ca="1">IFERROR(__xludf.DUMMYFUNCTION("""COMPUTED_VALUE"""),0)</f>
        <v>0</v>
      </c>
      <c r="H257" s="8">
        <f ca="1">IFERROR(__xludf.DUMMYFUNCTION("""COMPUTED_VALUE"""),1)</f>
        <v>1</v>
      </c>
      <c r="I257" s="8">
        <f ca="1">IFERROR(__xludf.DUMMYFUNCTION("""COMPUTED_VALUE"""),1)</f>
        <v>1</v>
      </c>
      <c r="J257" s="8">
        <f ca="1">IFERROR(__xludf.DUMMYFUNCTION("""COMPUTED_VALUE"""),0)</f>
        <v>0</v>
      </c>
      <c r="K257" s="10" t="str">
        <f ca="1">IFERROR(__xludf.DUMMYFUNCTION("""COMPUTED_VALUE"""),"https://www.sandiegouniontribune.com/2024/10/01/19-year-old-injured-in-oceanside-shooting-near-middle-school/")</f>
        <v>https://www.sandiegouniontribune.com/2024/10/01/19-year-old-injured-in-oceanside-shooting-near-middle-school/</v>
      </c>
      <c r="L257" s="8">
        <f ca="1">IFERROR(__xludf.DUMMYFUNCTION("""COMPUTED_VALUE"""),1)</f>
        <v>1</v>
      </c>
      <c r="M257" s="8" t="str">
        <f ca="1">IFERROR(__xludf.DUMMYFUNCTION("""COMPUTED_VALUE"""),"Local")</f>
        <v>Local</v>
      </c>
      <c r="N257" s="8">
        <f ca="1">IFERROR(__xludf.DUMMYFUNCTION("""COMPUTED_VALUE"""),3)</f>
        <v>3</v>
      </c>
      <c r="O257" s="8" t="str">
        <f ca="1">IFERROR(__xludf.DUMMYFUNCTION("""COMPUTED_VALUE"""),"Fall")</f>
        <v>Fall</v>
      </c>
      <c r="P257" s="8" t="str">
        <f ca="1">IFERROR(__xludf.DUMMYFUNCTION("""COMPUTED_VALUE"""),"San Diego")</f>
        <v>San Diego</v>
      </c>
      <c r="Q257" s="8" t="str">
        <f ca="1">IFERROR(__xludf.DUMMYFUNCTION("""COMPUTED_VALUE"""),"CA")</f>
        <v>CA</v>
      </c>
      <c r="R257" s="8" t="str">
        <f ca="1">IFERROR(__xludf.DUMMYFUNCTION("""COMPUTED_VALUE"""),"Middle")</f>
        <v>Middle</v>
      </c>
      <c r="S257" s="8" t="str">
        <f ca="1">IFERROR(__xludf.DUMMYFUNCTION("""COMPUTED_VALUE"""),"Parking Lot")</f>
        <v>Parking Lot</v>
      </c>
      <c r="T257" s="8" t="str">
        <f ca="1">IFERROR(__xludf.DUMMYFUNCTION("""COMPUTED_VALUE"""),"Outside on School Property")</f>
        <v>Outside on School Property</v>
      </c>
      <c r="U257" s="8" t="str">
        <f ca="1">IFERROR(__xludf.DUMMYFUNCTION("""COMPUTED_VALUE"""),"No")</f>
        <v>No</v>
      </c>
      <c r="V257" s="8" t="str">
        <f ca="1">IFERROR(__xludf.DUMMYFUNCTION("""COMPUTED_VALUE"""),"Evening")</f>
        <v>Evening</v>
      </c>
      <c r="W257" s="11">
        <f ca="1">IFERROR(__xludf.DUMMYFUNCTION("""COMPUTED_VALUE"""),0.767361111111111)</f>
        <v>0.76736111111111105</v>
      </c>
      <c r="X257" s="8">
        <f ca="1">IFERROR(__xludf.DUMMYFUNCTION("""COMPUTED_VALUE"""),1)</f>
        <v>1</v>
      </c>
      <c r="Y257" s="12" t="str">
        <f ca="1">IFERROR(__xludf.DUMMYFUNCTION("""COMPUTED_VALUE"""),"Teen was shot while standing in front of the school")</f>
        <v>Teen was shot while standing in front of the school</v>
      </c>
      <c r="Z257" s="12" t="str">
        <f ca="1">IFERROR(__xludf.DUMMYFUNCTION("""COMPUTED_VALUE"""),"A 19-year-old man was being treated for a gunshot wound to the chest after being shot Monday evening near an Oceanside middle school, police said. The teen was shot in front of Cesar Chavez Middle School on Oleander Drive around 6:25 p.m. When police arri"&amp;"ved they found the man with a gunshot wound to the right side of his chest, said Oceanside police Sgt. Mark Bussey. Paramedics transported him to a hospital, where he is being treated for injuries not believed to be life-threatening, Bussey said. Investig"&amp;"ators located three 9 mm shell casings in the parking lot at the school, and a witness reported seeing someone shooting from the rear passenger seat of an SUV with silver trim. The vehicle was last seen heading east on Oleander Drive. Police believe the s"&amp;"hooting was gang-related, Bussey said.")</f>
        <v>A 19-year-old man was being treated for a gunshot wound to the chest after being shot Monday evening near an Oceanside middle school, police said. The teen was shot in front of Cesar Chavez Middle School on Oleander Drive around 6:25 p.m. When police arrived they found the man with a gunshot wound to the right side of his chest, said Oceanside police Sgt. Mark Bussey. Paramedics transported him to a hospital, where he is being treated for injuries not believed to be life-threatening, Bussey said. Investigators located three 9 mm shell casings in the parking lot at the school, and a witness reported seeing someone shooting from the rear passenger seat of an SUV with silver trim. The vehicle was last seen heading east on Oleander Drive. Police believe the shooting was gang-related, Bussey said.</v>
      </c>
      <c r="AA257" s="8" t="str">
        <f ca="1">IFERROR(__xludf.DUMMYFUNCTION("""COMPUTED_VALUE"""),"Drive-by Shooting")</f>
        <v>Drive-by Shooting</v>
      </c>
      <c r="AB257" s="8" t="str">
        <f ca="1">IFERROR(__xludf.DUMMYFUNCTION("""COMPUTED_VALUE"""),"Targeted")</f>
        <v>Targeted</v>
      </c>
      <c r="AC257" s="8" t="str">
        <f ca="1">IFERROR(__xludf.DUMMYFUNCTION("""COMPUTED_VALUE"""),"No")</f>
        <v>No</v>
      </c>
      <c r="AD257" s="8" t="str">
        <f ca="1">IFERROR(__xludf.DUMMYFUNCTION("""COMPUTED_VALUE"""),"Victims Targeted")</f>
        <v>Victims Targeted</v>
      </c>
      <c r="AE257" s="8" t="str">
        <f ca="1">IFERROR(__xludf.DUMMYFUNCTION("""COMPUTED_VALUE"""),"Yes")</f>
        <v>Yes</v>
      </c>
      <c r="AF257" s="8" t="str">
        <f ca="1">IFERROR(__xludf.DUMMYFUNCTION("""COMPUTED_VALUE"""),"Driver and shooter in backseat")</f>
        <v>Driver and shooter in backseat</v>
      </c>
      <c r="AG257" s="8" t="str">
        <f ca="1">IFERROR(__xludf.DUMMYFUNCTION("""COMPUTED_VALUE"""),"No")</f>
        <v>No</v>
      </c>
      <c r="AH257" s="8" t="str">
        <f ca="1">IFERROR(__xludf.DUMMYFUNCTION("""COMPUTED_VALUE"""),"No")</f>
        <v>No</v>
      </c>
      <c r="AI257" s="8" t="str">
        <f ca="1">IFERROR(__xludf.DUMMYFUNCTION("""COMPUTED_VALUE"""),"No")</f>
        <v>No</v>
      </c>
      <c r="AJ257" s="8" t="str">
        <f ca="1">IFERROR(__xludf.DUMMYFUNCTION("""COMPUTED_VALUE"""),"No")</f>
        <v>No</v>
      </c>
      <c r="AK257" s="8" t="str">
        <f ca="1">IFERROR(__xludf.DUMMYFUNCTION("""COMPUTED_VALUE"""),"No")</f>
        <v>No</v>
      </c>
      <c r="AL257" s="8" t="str">
        <f ca="1">IFERROR(__xludf.DUMMYFUNCTION("""COMPUTED_VALUE"""),"Yes")</f>
        <v>Yes</v>
      </c>
      <c r="AM257" s="8" t="str">
        <f ca="1">IFERROR(__xludf.DUMMYFUNCTION("""COMPUTED_VALUE"""),"No")</f>
        <v>No</v>
      </c>
      <c r="AN257" s="8" t="str">
        <f ca="1">IFERROR(__xludf.DUMMYFUNCTION("""COMPUTED_VALUE"""),"Outside")</f>
        <v>Outside</v>
      </c>
      <c r="AO257" s="8" t="str">
        <f ca="1">IFERROR(__xludf.DUMMYFUNCTION("""COMPUTED_VALUE"""),"No")</f>
        <v>No</v>
      </c>
      <c r="AP257" s="8"/>
      <c r="AQ257" s="8"/>
      <c r="AR257" s="8" t="str">
        <f ca="1">IFERROR(__xludf.DUMMYFUNCTION("""COMPUTED_VALUE"""),"Outside/Off-Property")</f>
        <v>Outside/Off-Property</v>
      </c>
      <c r="AS257" s="8">
        <f ca="1">IFERROR(__xludf.DUMMYFUNCTION("""COMPUTED_VALUE"""),99)</f>
        <v>99</v>
      </c>
      <c r="AT257" s="8" t="str">
        <f ca="1">IFERROR(__xludf.DUMMYFUNCTION("""COMPUTED_VALUE"""),"No")</f>
        <v>No</v>
      </c>
      <c r="AU257" s="8">
        <f ca="1">IFERROR(__xludf.DUMMYFUNCTION("""COMPUTED_VALUE"""),33.242037)</f>
        <v>33.242037000000003</v>
      </c>
      <c r="AV257" s="8">
        <f ca="1">IFERROR(__xludf.DUMMYFUNCTION("""COMPUTED_VALUE"""),-117.301859)</f>
        <v>-117.30185899999999</v>
      </c>
      <c r="AW257" s="8" t="str">
        <f ca="1">IFERROR(__xludf.DUMMYFUNCTION("""COMPUTED_VALUE"""),"Multiple detached buildings")</f>
        <v>Multiple detached buildings</v>
      </c>
      <c r="AX257" s="8">
        <f ca="1">IFERROR(__xludf.DUMMYFUNCTION("""COMPUTED_VALUE"""),92057)</f>
        <v>92057</v>
      </c>
    </row>
    <row r="258" spans="1:50" ht="165" x14ac:dyDescent="0.2">
      <c r="A258" s="8" t="str">
        <f ca="1">IFERROR(__xludf.DUMMYFUNCTION("""COMPUTED_VALUE"""),"20240929KYPLL")</f>
        <v>20240929KYPLL</v>
      </c>
      <c r="B258" s="8">
        <f ca="1">IFERROR(__xludf.DUMMYFUNCTION("""COMPUTED_VALUE"""),9)</f>
        <v>9</v>
      </c>
      <c r="C258" s="8">
        <f ca="1">IFERROR(__xludf.DUMMYFUNCTION("""COMPUTED_VALUE"""),29)</f>
        <v>29</v>
      </c>
      <c r="D258" s="8">
        <f ca="1">IFERROR(__xludf.DUMMYFUNCTION("""COMPUTED_VALUE"""),2024)</f>
        <v>2024</v>
      </c>
      <c r="E258" s="9">
        <f ca="1">IFERROR(__xludf.DUMMYFUNCTION("""COMPUTED_VALUE"""),45564)</f>
        <v>45564</v>
      </c>
      <c r="F258" s="8" t="str">
        <f ca="1">IFERROR(__xludf.DUMMYFUNCTION("""COMPUTED_VALUE"""),"Pleasure Ridge Park High School")</f>
        <v>Pleasure Ridge Park High School</v>
      </c>
      <c r="G258" s="8">
        <f ca="1">IFERROR(__xludf.DUMMYFUNCTION("""COMPUTED_VALUE"""),1)</f>
        <v>1</v>
      </c>
      <c r="H258" s="8">
        <f ca="1">IFERROR(__xludf.DUMMYFUNCTION("""COMPUTED_VALUE"""),1)</f>
        <v>1</v>
      </c>
      <c r="I258" s="8">
        <f ca="1">IFERROR(__xludf.DUMMYFUNCTION("""COMPUTED_VALUE"""),2)</f>
        <v>2</v>
      </c>
      <c r="J258" s="8">
        <f ca="1">IFERROR(__xludf.DUMMYFUNCTION("""COMPUTED_VALUE"""),0)</f>
        <v>0</v>
      </c>
      <c r="K258" s="8" t="str">
        <f ca="1">IFERROR(__xludf.DUMMYFUNCTION("""COMPUTED_VALUE"""),"https://www.msn.com/en-us/news/crime/teen-dies-after-being-shot-outside-prp-high-school-football-game/ar-AA1rTEi3
https://www.wdrb.com/news/crime-reports/2-juveniles-shot-outside-prp-high-school-during-football-game-louisville-police-say/article_97e9bd26-"&amp;"7ec1-11ef-bf57-5fbd99011171.html
https://spectrumnews1.com/ky/louisville/news/2024/09/30/prp-shooting-high-school-football")</f>
        <v>https://www.msn.com/en-us/news/crime/teen-dies-after-being-shot-outside-prp-high-school-football-game/ar-AA1rTEi3
https://www.wdrb.com/news/crime-reports/2-juveniles-shot-outside-prp-high-school-during-football-game-louisville-police-say/article_97e9bd26-7ec1-11ef-bf57-5fbd99011171.html
https://spectrumnews1.com/ky/louisville/news/2024/09/30/prp-shooting-high-school-football</v>
      </c>
      <c r="L258" s="8">
        <f ca="1">IFERROR(__xludf.DUMMYFUNCTION("""COMPUTED_VALUE"""),10)</f>
        <v>10</v>
      </c>
      <c r="M258" s="8" t="str">
        <f ca="1">IFERROR(__xludf.DUMMYFUNCTION("""COMPUTED_VALUE"""),"Regional")</f>
        <v>Regional</v>
      </c>
      <c r="N258" s="8">
        <f ca="1">IFERROR(__xludf.DUMMYFUNCTION("""COMPUTED_VALUE"""),4)</f>
        <v>4</v>
      </c>
      <c r="O258" s="8" t="str">
        <f ca="1">IFERROR(__xludf.DUMMYFUNCTION("""COMPUTED_VALUE"""),"Fall")</f>
        <v>Fall</v>
      </c>
      <c r="P258" s="8" t="str">
        <f ca="1">IFERROR(__xludf.DUMMYFUNCTION("""COMPUTED_VALUE"""),"Louisville")</f>
        <v>Louisville</v>
      </c>
      <c r="Q258" s="8" t="str">
        <f ca="1">IFERROR(__xludf.DUMMYFUNCTION("""COMPUTED_VALUE"""),"KY")</f>
        <v>KY</v>
      </c>
      <c r="R258" s="8" t="str">
        <f ca="1">IFERROR(__xludf.DUMMYFUNCTION("""COMPUTED_VALUE"""),"High")</f>
        <v>High</v>
      </c>
      <c r="S258" s="8" t="str">
        <f ca="1">IFERROR(__xludf.DUMMYFUNCTION("""COMPUTED_VALUE"""),"Parking Lot")</f>
        <v>Parking Lot</v>
      </c>
      <c r="T258" s="8" t="str">
        <f ca="1">IFERROR(__xludf.DUMMYFUNCTION("""COMPUTED_VALUE"""),"Outside on School Property")</f>
        <v>Outside on School Property</v>
      </c>
      <c r="U258" s="8" t="str">
        <f ca="1">IFERROR(__xludf.DUMMYFUNCTION("""COMPUTED_VALUE"""),"No")</f>
        <v>No</v>
      </c>
      <c r="V258" s="8" t="str">
        <f ca="1">IFERROR(__xludf.DUMMYFUNCTION("""COMPUTED_VALUE"""),"Sport Event")</f>
        <v>Sport Event</v>
      </c>
      <c r="W258" s="11">
        <f ca="1">IFERROR(__xludf.DUMMYFUNCTION("""COMPUTED_VALUE"""),0.834722222222222)</f>
        <v>0.83472222222222203</v>
      </c>
      <c r="X258" s="8">
        <f ca="1">IFERROR(__xludf.DUMMYFUNCTION("""COMPUTED_VALUE"""),1)</f>
        <v>1</v>
      </c>
      <c r="Y258" s="12" t="str">
        <f ca="1">IFERROR(__xludf.DUMMYFUNCTION("""COMPUTED_VALUE"""),"Two teens shot during fight in the parking lot during a high school football game")</f>
        <v>Two teens shot during fight in the parking lot during a high school football game</v>
      </c>
      <c r="Z258" s="12" t="str">
        <f ca="1">IFERROR(__xludf.DUMMYFUNCTION("""COMPUTED_VALUE"""),"Police are investigating after two teenagers were shot in the Pleasure Ridge Park High School parking lot during a football game. According to police, they responded to reports of that shooting at 8:02 p.m. Sunday evening. Once officers arrived, they foun"&amp;"d a male juvenile who had been shot multiple times. He was taken to University Hospital to be treated and is currently in critical condition. Police say the second victim showed up to Mary &amp; Elizabeth Hospital to be treated but is expected to be OK. PRP w"&amp;"as playing Male because storms postponed the game that was originally scheduled for Friday night.")</f>
        <v>Police are investigating after two teenagers were shot in the Pleasure Ridge Park High School parking lot during a football game. According to police, they responded to reports of that shooting at 8:02 p.m. Sunday evening. Once officers arrived, they found a male juvenile who had been shot multiple times. He was taken to University Hospital to be treated and is currently in critical condition. Police say the second victim showed up to Mary &amp; Elizabeth Hospital to be treated but is expected to be OK. PRP was playing Male because storms postponed the game that was originally scheduled for Friday night.</v>
      </c>
      <c r="AA258" s="8" t="str">
        <f ca="1">IFERROR(__xludf.DUMMYFUNCTION("""COMPUTED_VALUE"""),"Escalation of Dispute")</f>
        <v>Escalation of Dispute</v>
      </c>
      <c r="AB258" s="8" t="str">
        <f ca="1">IFERROR(__xludf.DUMMYFUNCTION("""COMPUTED_VALUE"""),"Spontaneous")</f>
        <v>Spontaneous</v>
      </c>
      <c r="AC258" s="8" t="str">
        <f ca="1">IFERROR(__xludf.DUMMYFUNCTION("""COMPUTED_VALUE"""),"Yes")</f>
        <v>Yes</v>
      </c>
      <c r="AD258" s="8" t="str">
        <f ca="1">IFERROR(__xludf.DUMMYFUNCTION("""COMPUTED_VALUE"""),"Victims Targeted")</f>
        <v>Victims Targeted</v>
      </c>
      <c r="AE258" s="8" t="str">
        <f ca="1">IFERROR(__xludf.DUMMYFUNCTION("""COMPUTED_VALUE"""),"No")</f>
        <v>No</v>
      </c>
      <c r="AF258" s="8"/>
      <c r="AG258" s="8" t="str">
        <f ca="1">IFERROR(__xludf.DUMMYFUNCTION("""COMPUTED_VALUE"""),"No")</f>
        <v>No</v>
      </c>
      <c r="AH258" s="8" t="str">
        <f ca="1">IFERROR(__xludf.DUMMYFUNCTION("""COMPUTED_VALUE"""),"No")</f>
        <v>No</v>
      </c>
      <c r="AI258" s="8" t="str">
        <f ca="1">IFERROR(__xludf.DUMMYFUNCTION("""COMPUTED_VALUE"""),"No")</f>
        <v>No</v>
      </c>
      <c r="AJ258" s="8" t="str">
        <f ca="1">IFERROR(__xludf.DUMMYFUNCTION("""COMPUTED_VALUE"""),"No")</f>
        <v>No</v>
      </c>
      <c r="AK258" s="8" t="str">
        <f ca="1">IFERROR(__xludf.DUMMYFUNCTION("""COMPUTED_VALUE"""),"No")</f>
        <v>No</v>
      </c>
      <c r="AL258" s="8"/>
      <c r="AM258" s="8" t="str">
        <f ca="1">IFERROR(__xludf.DUMMYFUNCTION("""COMPUTED_VALUE"""),"No")</f>
        <v>No</v>
      </c>
      <c r="AN258" s="8" t="str">
        <f ca="1">IFERROR(__xludf.DUMMYFUNCTION("""COMPUTED_VALUE"""),"Outside")</f>
        <v>Outside</v>
      </c>
      <c r="AO258" s="8" t="str">
        <f ca="1">IFERROR(__xludf.DUMMYFUNCTION("""COMPUTED_VALUE"""),"No")</f>
        <v>No</v>
      </c>
      <c r="AP258" s="8" t="str">
        <f ca="1">IFERROR(__xludf.DUMMYFUNCTION("""COMPUTED_VALUE"""),"Yes")</f>
        <v>Yes</v>
      </c>
      <c r="AQ258" s="8" t="str">
        <f ca="1">IFERROR(__xludf.DUMMYFUNCTION("""COMPUTED_VALUE"""),"Armed Guards")</f>
        <v>Armed Guards</v>
      </c>
      <c r="AR258" s="8" t="str">
        <f ca="1">IFERROR(__xludf.DUMMYFUNCTION("""COMPUTED_VALUE"""),"Outside/Off-Property")</f>
        <v>Outside/Off-Property</v>
      </c>
      <c r="AS258" s="8">
        <f ca="1">IFERROR(__xludf.DUMMYFUNCTION("""COMPUTED_VALUE"""),99)</f>
        <v>99</v>
      </c>
      <c r="AT258" s="8" t="str">
        <f ca="1">IFERROR(__xludf.DUMMYFUNCTION("""COMPUTED_VALUE"""),"Yes")</f>
        <v>Yes</v>
      </c>
      <c r="AU258" s="8">
        <f ca="1">IFERROR(__xludf.DUMMYFUNCTION("""COMPUTED_VALUE"""),38.145524)</f>
        <v>38.145524000000002</v>
      </c>
      <c r="AV258" s="8">
        <f ca="1">IFERROR(__xludf.DUMMYFUNCTION("""COMPUTED_VALUE"""),-85.863552)</f>
        <v>-85.863551999999999</v>
      </c>
      <c r="AW258" s="8" t="str">
        <f ca="1">IFERROR(__xludf.DUMMYFUNCTION("""COMPUTED_VALUE"""),"Multiple detached buildings")</f>
        <v>Multiple detached buildings</v>
      </c>
      <c r="AX258" s="8">
        <f ca="1">IFERROR(__xludf.DUMMYFUNCTION("""COMPUTED_VALUE"""),40258)</f>
        <v>40258</v>
      </c>
    </row>
    <row r="259" spans="1:50" ht="150" x14ac:dyDescent="0.2">
      <c r="A259" s="8" t="str">
        <f ca="1">IFERROR(__xludf.DUMMYFUNCTION("""COMPUTED_VALUE"""),"20240927WIWIM")</f>
        <v>20240927WIWIM</v>
      </c>
      <c r="B259" s="8">
        <f ca="1">IFERROR(__xludf.DUMMYFUNCTION("""COMPUTED_VALUE"""),9)</f>
        <v>9</v>
      </c>
      <c r="C259" s="8">
        <f ca="1">IFERROR(__xludf.DUMMYFUNCTION("""COMPUTED_VALUE"""),27)</f>
        <v>27</v>
      </c>
      <c r="D259" s="8">
        <f ca="1">IFERROR(__xludf.DUMMYFUNCTION("""COMPUTED_VALUE"""),2024)</f>
        <v>2024</v>
      </c>
      <c r="E259" s="9">
        <f ca="1">IFERROR(__xludf.DUMMYFUNCTION("""COMPUTED_VALUE"""),45562)</f>
        <v>45562</v>
      </c>
      <c r="F259" s="8" t="str">
        <f ca="1">IFERROR(__xludf.DUMMYFUNCTION("""COMPUTED_VALUE"""),"Wisconsin Lutheran High School")</f>
        <v>Wisconsin Lutheran High School</v>
      </c>
      <c r="G259" s="8">
        <f ca="1">IFERROR(__xludf.DUMMYFUNCTION("""COMPUTED_VALUE"""),0)</f>
        <v>0</v>
      </c>
      <c r="H259" s="8">
        <f ca="1">IFERROR(__xludf.DUMMYFUNCTION("""COMPUTED_VALUE"""),1)</f>
        <v>1</v>
      </c>
      <c r="I259" s="8">
        <f ca="1">IFERROR(__xludf.DUMMYFUNCTION("""COMPUTED_VALUE"""),1)</f>
        <v>1</v>
      </c>
      <c r="J259" s="8">
        <f ca="1">IFERROR(__xludf.DUMMYFUNCTION("""COMPUTED_VALUE"""),0)</f>
        <v>0</v>
      </c>
      <c r="K259" s="10" t="str">
        <f ca="1">IFERROR(__xludf.DUMMYFUNCTION("""COMPUTED_VALUE"""),"https://www.tmj4.com/about-us/lighthouse/newly-released-report-details-accidential-shooting-at-wisconsin-lutheran-high-school-football-game
https://www.fox6now.com/news/wisconsin-lutheran-football-game-security-shooting")</f>
        <v>https://www.tmj4.com/about-us/lighthouse/newly-released-report-details-accidential-shooting-at-wisconsin-lutheran-high-school-football-game
https://www.fox6now.com/news/wisconsin-lutheran-football-game-security-shooting</v>
      </c>
      <c r="L259" s="8">
        <f ca="1">IFERROR(__xludf.DUMMYFUNCTION("""COMPUTED_VALUE"""),10)</f>
        <v>10</v>
      </c>
      <c r="M259" s="8" t="str">
        <f ca="1">IFERROR(__xludf.DUMMYFUNCTION("""COMPUTED_VALUE"""),"Regional")</f>
        <v>Regional</v>
      </c>
      <c r="N259" s="8">
        <f ca="1">IFERROR(__xludf.DUMMYFUNCTION("""COMPUTED_VALUE"""),4)</f>
        <v>4</v>
      </c>
      <c r="O259" s="8" t="str">
        <f ca="1">IFERROR(__xludf.DUMMYFUNCTION("""COMPUTED_VALUE"""),"Fall")</f>
        <v>Fall</v>
      </c>
      <c r="P259" s="8" t="str">
        <f ca="1">IFERROR(__xludf.DUMMYFUNCTION("""COMPUTED_VALUE"""),"Milwaukee")</f>
        <v>Milwaukee</v>
      </c>
      <c r="Q259" s="8" t="str">
        <f ca="1">IFERROR(__xludf.DUMMYFUNCTION("""COMPUTED_VALUE"""),"WI")</f>
        <v>WI</v>
      </c>
      <c r="R259" s="8" t="str">
        <f ca="1">IFERROR(__xludf.DUMMYFUNCTION("""COMPUTED_VALUE"""),"High")</f>
        <v>High</v>
      </c>
      <c r="S259" s="8" t="str">
        <f ca="1">IFERROR(__xludf.DUMMYFUNCTION("""COMPUTED_VALUE"""),"Football Field/Track")</f>
        <v>Football Field/Track</v>
      </c>
      <c r="T259" s="8" t="str">
        <f ca="1">IFERROR(__xludf.DUMMYFUNCTION("""COMPUTED_VALUE"""),"Outside on School Property")</f>
        <v>Outside on School Property</v>
      </c>
      <c r="U259" s="8" t="str">
        <f ca="1">IFERROR(__xludf.DUMMYFUNCTION("""COMPUTED_VALUE"""),"No")</f>
        <v>No</v>
      </c>
      <c r="V259" s="8" t="str">
        <f ca="1">IFERROR(__xludf.DUMMYFUNCTION("""COMPUTED_VALUE"""),"Sport Event")</f>
        <v>Sport Event</v>
      </c>
      <c r="W259" s="11">
        <f ca="1">IFERROR(__xludf.DUMMYFUNCTION("""COMPUTED_VALUE"""),0.875)</f>
        <v>0.875</v>
      </c>
      <c r="X259" s="8">
        <f ca="1">IFERROR(__xludf.DUMMYFUNCTION("""COMPUTED_VALUE"""),1)</f>
        <v>1</v>
      </c>
      <c r="Y259" s="12" t="str">
        <f ca="1">IFERROR(__xludf.DUMMYFUNCTION("""COMPUTED_VALUE"""),"Security guard working for the visiting team accidentally shot himself during high school football game")</f>
        <v>Security guard working for the visiting team accidentally shot himself during high school football game</v>
      </c>
      <c r="Z259" s="12" t="str">
        <f ca="1">IFERROR(__xludf.DUMMYFUNCTION("""COMPUTED_VALUE"""),"A former police officer working as a security guard for the visiting team accidentally shot himself at Friday night's football game between Wisconsin Lutheran and Milwaukee Lutheran. He tried to grab his gun as it slipped out of his pants waistband and fi"&amp;"red a shot striking himself in the leg. The security guard received treatment, and his injuries are not believed to be life-threatening. After the gunshot, students, players and spectators immediately evacuated the stadium. The game was ended by mutual co"&amp;"nsent, the school said.")</f>
        <v>A former police officer working as a security guard for the visiting team accidentally shot himself at Friday night's football game between Wisconsin Lutheran and Milwaukee Lutheran. He tried to grab his gun as it slipped out of his pants waistband and fired a shot striking himself in the leg. The security guard received treatment, and his injuries are not believed to be life-threatening. After the gunshot, students, players and spectators immediately evacuated the stadium. The game was ended by mutual consent, the school said.</v>
      </c>
      <c r="AA259" s="8" t="str">
        <f ca="1">IFERROR(__xludf.DUMMYFUNCTION("""COMPUTED_VALUE"""),"Accidental")</f>
        <v>Accidental</v>
      </c>
      <c r="AB259" s="8" t="str">
        <f ca="1">IFERROR(__xludf.DUMMYFUNCTION("""COMPUTED_VALUE"""),"Spontaneous")</f>
        <v>Spontaneous</v>
      </c>
      <c r="AC259" s="8" t="str">
        <f ca="1">IFERROR(__xludf.DUMMYFUNCTION("""COMPUTED_VALUE"""),"Yes")</f>
        <v>Yes</v>
      </c>
      <c r="AD259" s="8" t="str">
        <f ca="1">IFERROR(__xludf.DUMMYFUNCTION("""COMPUTED_VALUE"""),"Neither")</f>
        <v>Neither</v>
      </c>
      <c r="AE259" s="8" t="str">
        <f ca="1">IFERROR(__xludf.DUMMYFUNCTION("""COMPUTED_VALUE"""),"No")</f>
        <v>No</v>
      </c>
      <c r="AF259" s="8"/>
      <c r="AG259" s="8" t="str">
        <f ca="1">IFERROR(__xludf.DUMMYFUNCTION("""COMPUTED_VALUE"""),"No")</f>
        <v>No</v>
      </c>
      <c r="AH259" s="8" t="str">
        <f ca="1">IFERROR(__xludf.DUMMYFUNCTION("""COMPUTED_VALUE"""),"No")</f>
        <v>No</v>
      </c>
      <c r="AI259" s="8" t="str">
        <f ca="1">IFERROR(__xludf.DUMMYFUNCTION("""COMPUTED_VALUE"""),"Yes")</f>
        <v>Yes</v>
      </c>
      <c r="AJ259" s="8" t="str">
        <f ca="1">IFERROR(__xludf.DUMMYFUNCTION("""COMPUTED_VALUE"""),"No")</f>
        <v>No</v>
      </c>
      <c r="AK259" s="8" t="str">
        <f ca="1">IFERROR(__xludf.DUMMYFUNCTION("""COMPUTED_VALUE"""),"No")</f>
        <v>No</v>
      </c>
      <c r="AL259" s="8" t="str">
        <f ca="1">IFERROR(__xludf.DUMMYFUNCTION("""COMPUTED_VALUE"""),"No")</f>
        <v>No</v>
      </c>
      <c r="AM259" s="8" t="str">
        <f ca="1">IFERROR(__xludf.DUMMYFUNCTION("""COMPUTED_VALUE"""),"No")</f>
        <v>No</v>
      </c>
      <c r="AN259" s="8" t="str">
        <f ca="1">IFERROR(__xludf.DUMMYFUNCTION("""COMPUTED_VALUE"""),"Outside")</f>
        <v>Outside</v>
      </c>
      <c r="AO259" s="8" t="str">
        <f ca="1">IFERROR(__xludf.DUMMYFUNCTION("""COMPUTED_VALUE"""),"No")</f>
        <v>No</v>
      </c>
      <c r="AP259" s="8" t="str">
        <f ca="1">IFERROR(__xludf.DUMMYFUNCTION("""COMPUTED_VALUE"""),"Yes")</f>
        <v>Yes</v>
      </c>
      <c r="AQ259" s="8"/>
      <c r="AR259" s="8" t="str">
        <f ca="1">IFERROR(__xludf.DUMMYFUNCTION("""COMPUTED_VALUE"""),"Failed")</f>
        <v>Failed</v>
      </c>
      <c r="AS259" s="8">
        <f ca="1">IFERROR(__xludf.DUMMYFUNCTION("""COMPUTED_VALUE"""),1)</f>
        <v>1</v>
      </c>
      <c r="AT259" s="8" t="str">
        <f ca="1">IFERROR(__xludf.DUMMYFUNCTION("""COMPUTED_VALUE"""),"Yes")</f>
        <v>Yes</v>
      </c>
      <c r="AU259" s="8">
        <f ca="1">IFERROR(__xludf.DUMMYFUNCTION("""COMPUTED_VALUE"""),43.032659)</f>
        <v>43.032659000000002</v>
      </c>
      <c r="AV259" s="8">
        <f ca="1">IFERROR(__xludf.DUMMYFUNCTION("""COMPUTED_VALUE"""),-88.016395)</f>
        <v>-88.016395000000003</v>
      </c>
      <c r="AW259" s="8" t="str">
        <f ca="1">IFERROR(__xludf.DUMMYFUNCTION("""COMPUTED_VALUE"""),"Multiple attached buildings")</f>
        <v>Multiple attached buildings</v>
      </c>
      <c r="AX259" s="8">
        <f ca="1">IFERROR(__xludf.DUMMYFUNCTION("""COMPUTED_VALUE"""),53213)</f>
        <v>53213</v>
      </c>
    </row>
    <row r="260" spans="1:50" ht="60" x14ac:dyDescent="0.2">
      <c r="A260" s="8" t="str">
        <f ca="1">IFERROR(__xludf.DUMMYFUNCTION("""COMPUTED_VALUE"""),"20240926PAGOB")</f>
        <v>20240926PAGOB</v>
      </c>
      <c r="B260" s="8">
        <f ca="1">IFERROR(__xludf.DUMMYFUNCTION("""COMPUTED_VALUE"""),9)</f>
        <v>9</v>
      </c>
      <c r="C260" s="8">
        <f ca="1">IFERROR(__xludf.DUMMYFUNCTION("""COMPUTED_VALUE"""),26)</f>
        <v>26</v>
      </c>
      <c r="D260" s="8">
        <f ca="1">IFERROR(__xludf.DUMMYFUNCTION("""COMPUTED_VALUE"""),2024)</f>
        <v>2024</v>
      </c>
      <c r="E260" s="9">
        <f ca="1">IFERROR(__xludf.DUMMYFUNCTION("""COMPUTED_VALUE"""),45561)</f>
        <v>45561</v>
      </c>
      <c r="F260" s="8" t="str">
        <f ca="1">IFERROR(__xludf.DUMMYFUNCTION("""COMPUTED_VALUE"""),"Governor Wolf Elementary School")</f>
        <v>Governor Wolf Elementary School</v>
      </c>
      <c r="G260" s="8">
        <f ca="1">IFERROR(__xludf.DUMMYFUNCTION("""COMPUTED_VALUE"""),0)</f>
        <v>0</v>
      </c>
      <c r="H260" s="8">
        <f ca="1">IFERROR(__xludf.DUMMYFUNCTION("""COMPUTED_VALUE"""),1)</f>
        <v>1</v>
      </c>
      <c r="I260" s="8">
        <f ca="1">IFERROR(__xludf.DUMMYFUNCTION("""COMPUTED_VALUE"""),1)</f>
        <v>1</v>
      </c>
      <c r="J260" s="8">
        <f ca="1">IFERROR(__xludf.DUMMYFUNCTION("""COMPUTED_VALUE"""),0)</f>
        <v>0</v>
      </c>
      <c r="K260" s="10" t="str">
        <f ca="1">IFERROR(__xludf.DUMMYFUNCTION("""COMPUTED_VALUE"""),"https://www.wfmz.com/news/area/lehighvalley/governor-wolf-elementary-school-to-be-closed-friday-after-nearby-shooting-incident/article_185fd4c8-7cc8-11ef-b046-cb8a887d40f5.html
https://www.wfmz.com/news/area/lehighvalley/governor-wolf-elementary-school-to"&amp;"-be-closed-friday-after-nearby-shooting-incident/article_185fd4c8-7cc8-11ef-b046-cb8a887d40f5.html")</f>
        <v>https://www.wfmz.com/news/area/lehighvalley/governor-wolf-elementary-school-to-be-closed-friday-after-nearby-shooting-incident/article_185fd4c8-7cc8-11ef-b046-cb8a887d40f5.html
https://www.wfmz.com/news/area/lehighvalley/governor-wolf-elementary-school-to-be-closed-friday-after-nearby-shooting-incident/article_185fd4c8-7cc8-11ef-b046-cb8a887d40f5.html</v>
      </c>
      <c r="L260" s="8">
        <f ca="1">IFERROR(__xludf.DUMMYFUNCTION("""COMPUTED_VALUE"""),5)</f>
        <v>5</v>
      </c>
      <c r="M260" s="8" t="str">
        <f ca="1">IFERROR(__xludf.DUMMYFUNCTION("""COMPUTED_VALUE"""),"Local")</f>
        <v>Local</v>
      </c>
      <c r="N260" s="8">
        <f ca="1">IFERROR(__xludf.DUMMYFUNCTION("""COMPUTED_VALUE"""),3)</f>
        <v>3</v>
      </c>
      <c r="O260" s="8" t="str">
        <f ca="1">IFERROR(__xludf.DUMMYFUNCTION("""COMPUTED_VALUE"""),"Fall")</f>
        <v>Fall</v>
      </c>
      <c r="P260" s="8" t="str">
        <f ca="1">IFERROR(__xludf.DUMMYFUNCTION("""COMPUTED_VALUE"""),"Bethlehem")</f>
        <v>Bethlehem</v>
      </c>
      <c r="Q260" s="8" t="str">
        <f ca="1">IFERROR(__xludf.DUMMYFUNCTION("""COMPUTED_VALUE"""),"PA")</f>
        <v>PA</v>
      </c>
      <c r="R260" s="8" t="str">
        <f ca="1">IFERROR(__xludf.DUMMYFUNCTION("""COMPUTED_VALUE"""),"Elementary")</f>
        <v>Elementary</v>
      </c>
      <c r="S260" s="8" t="str">
        <f ca="1">IFERROR(__xludf.DUMMYFUNCTION("""COMPUTED_VALUE"""),"Parking Lot")</f>
        <v>Parking Lot</v>
      </c>
      <c r="T260" s="8" t="str">
        <f ca="1">IFERROR(__xludf.DUMMYFUNCTION("""COMPUTED_VALUE"""),"Outside on School Property")</f>
        <v>Outside on School Property</v>
      </c>
      <c r="U260" s="8" t="str">
        <f ca="1">IFERROR(__xludf.DUMMYFUNCTION("""COMPUTED_VALUE"""),"No")</f>
        <v>No</v>
      </c>
      <c r="V260" s="8" t="str">
        <f ca="1">IFERROR(__xludf.DUMMYFUNCTION("""COMPUTED_VALUE"""),"Night")</f>
        <v>Night</v>
      </c>
      <c r="W260" s="11">
        <f ca="1">IFERROR(__xludf.DUMMYFUNCTION("""COMPUTED_VALUE"""),0.895833333333333)</f>
        <v>0.89583333333333304</v>
      </c>
      <c r="X260" s="8">
        <f ca="1">IFERROR(__xludf.DUMMYFUNCTION("""COMPUTED_VALUE"""),1)</f>
        <v>1</v>
      </c>
      <c r="Y260" s="12" t="str">
        <f ca="1">IFERROR(__xludf.DUMMYFUNCTION("""COMPUTED_VALUE"""),"Teen shot man in the school parking lot, school closed the following day")</f>
        <v>Teen shot man in the school parking lot, school closed the following day</v>
      </c>
      <c r="Z260" s="12" t="str">
        <f ca="1">IFERROR(__xludf.DUMMYFUNCTION("""COMPUTED_VALUE"""),"17-year-old shot an adult man in the school parking lot. The school was closed the following day while police investigated.")</f>
        <v>17-year-old shot an adult man in the school parking lot. The school was closed the following day while police investigated.</v>
      </c>
      <c r="AA260" s="8" t="str">
        <f ca="1">IFERROR(__xludf.DUMMYFUNCTION("""COMPUTED_VALUE"""),"Illegal Activity")</f>
        <v>Illegal Activity</v>
      </c>
      <c r="AB260" s="8" t="str">
        <f ca="1">IFERROR(__xludf.DUMMYFUNCTION("""COMPUTED_VALUE"""),"Spontaneous")</f>
        <v>Spontaneous</v>
      </c>
      <c r="AC260" s="8" t="str">
        <f ca="1">IFERROR(__xludf.DUMMYFUNCTION("""COMPUTED_VALUE"""),"No")</f>
        <v>No</v>
      </c>
      <c r="AD260" s="8" t="str">
        <f ca="1">IFERROR(__xludf.DUMMYFUNCTION("""COMPUTED_VALUE"""),"Victims Targeted")</f>
        <v>Victims Targeted</v>
      </c>
      <c r="AE260" s="8" t="str">
        <f ca="1">IFERROR(__xludf.DUMMYFUNCTION("""COMPUTED_VALUE"""),"No")</f>
        <v>No</v>
      </c>
      <c r="AF260" s="8"/>
      <c r="AG260" s="8" t="str">
        <f ca="1">IFERROR(__xludf.DUMMYFUNCTION("""COMPUTED_VALUE"""),"No")</f>
        <v>No</v>
      </c>
      <c r="AH260" s="8" t="str">
        <f ca="1">IFERROR(__xludf.DUMMYFUNCTION("""COMPUTED_VALUE"""),"No")</f>
        <v>No</v>
      </c>
      <c r="AI260" s="8" t="str">
        <f ca="1">IFERROR(__xludf.DUMMYFUNCTION("""COMPUTED_VALUE"""),"No")</f>
        <v>No</v>
      </c>
      <c r="AJ260" s="8" t="str">
        <f ca="1">IFERROR(__xludf.DUMMYFUNCTION("""COMPUTED_VALUE"""),"No")</f>
        <v>No</v>
      </c>
      <c r="AK260" s="8" t="str">
        <f ca="1">IFERROR(__xludf.DUMMYFUNCTION("""COMPUTED_VALUE"""),"No")</f>
        <v>No</v>
      </c>
      <c r="AL260" s="8" t="str">
        <f ca="1">IFERROR(__xludf.DUMMYFUNCTION("""COMPUTED_VALUE"""),"No")</f>
        <v>No</v>
      </c>
      <c r="AM260" s="8" t="str">
        <f ca="1">IFERROR(__xludf.DUMMYFUNCTION("""COMPUTED_VALUE"""),"No")</f>
        <v>No</v>
      </c>
      <c r="AN260" s="8" t="str">
        <f ca="1">IFERROR(__xludf.DUMMYFUNCTION("""COMPUTED_VALUE"""),"Outside")</f>
        <v>Outside</v>
      </c>
      <c r="AO260" s="8" t="str">
        <f ca="1">IFERROR(__xludf.DUMMYFUNCTION("""COMPUTED_VALUE"""),"No")</f>
        <v>No</v>
      </c>
      <c r="AP260" s="8"/>
      <c r="AQ260" s="8"/>
      <c r="AR260" s="8" t="str">
        <f ca="1">IFERROR(__xludf.DUMMYFUNCTION("""COMPUTED_VALUE"""),"Outside/Off-Property")</f>
        <v>Outside/Off-Property</v>
      </c>
      <c r="AS260" s="8">
        <f ca="1">IFERROR(__xludf.DUMMYFUNCTION("""COMPUTED_VALUE"""),2)</f>
        <v>2</v>
      </c>
      <c r="AT260" s="8" t="str">
        <f ca="1">IFERROR(__xludf.DUMMYFUNCTION("""COMPUTED_VALUE"""),"No")</f>
        <v>No</v>
      </c>
      <c r="AU260" s="8">
        <f ca="1">IFERROR(__xludf.DUMMYFUNCTION("""COMPUTED_VALUE"""),40.653246)</f>
        <v>40.653246000000003</v>
      </c>
      <c r="AV260" s="8">
        <f ca="1">IFERROR(__xludf.DUMMYFUNCTION("""COMPUTED_VALUE"""),-75.343032)</f>
        <v>-75.343031999999994</v>
      </c>
      <c r="AW260" s="8" t="str">
        <f ca="1">IFERROR(__xludf.DUMMYFUNCTION("""COMPUTED_VALUE"""),"Single building indoor hallway")</f>
        <v>Single building indoor hallway</v>
      </c>
      <c r="AX260" s="8">
        <f ca="1">IFERROR(__xludf.DUMMYFUNCTION("""COMPUTED_VALUE"""),18017)</f>
        <v>18017</v>
      </c>
    </row>
    <row r="261" spans="1:50" ht="195" x14ac:dyDescent="0.2">
      <c r="A261" s="8" t="str">
        <f ca="1">IFERROR(__xludf.DUMMYFUNCTION("""COMPUTED_VALUE"""),"20240925NYINB")</f>
        <v>20240925NYINB</v>
      </c>
      <c r="B261" s="8">
        <f ca="1">IFERROR(__xludf.DUMMYFUNCTION("""COMPUTED_VALUE"""),9)</f>
        <v>9</v>
      </c>
      <c r="C261" s="8">
        <f ca="1">IFERROR(__xludf.DUMMYFUNCTION("""COMPUTED_VALUE"""),25)</f>
        <v>25</v>
      </c>
      <c r="D261" s="8">
        <f ca="1">IFERROR(__xludf.DUMMYFUNCTION("""COMPUTED_VALUE"""),2024)</f>
        <v>2024</v>
      </c>
      <c r="E261" s="9">
        <f ca="1">IFERROR(__xludf.DUMMYFUNCTION("""COMPUTED_VALUE"""),45560)</f>
        <v>45560</v>
      </c>
      <c r="F261" s="8" t="str">
        <f ca="1">IFERROR(__xludf.DUMMYFUNCTION("""COMPUTED_VALUE"""),"Intermediate School 68 Isaac Bildersee")</f>
        <v>Intermediate School 68 Isaac Bildersee</v>
      </c>
      <c r="G261" s="8">
        <f ca="1">IFERROR(__xludf.DUMMYFUNCTION("""COMPUTED_VALUE"""),0)</f>
        <v>0</v>
      </c>
      <c r="H261" s="8">
        <f ca="1">IFERROR(__xludf.DUMMYFUNCTION("""COMPUTED_VALUE"""),2)</f>
        <v>2</v>
      </c>
      <c r="I261" s="8">
        <f ca="1">IFERROR(__xludf.DUMMYFUNCTION("""COMPUTED_VALUE"""),2)</f>
        <v>2</v>
      </c>
      <c r="J261" s="8">
        <f ca="1">IFERROR(__xludf.DUMMYFUNCTION("""COMPUTED_VALUE"""),0)</f>
        <v>0</v>
      </c>
      <c r="K261" s="8" t="str">
        <f ca="1">IFERROR(__xludf.DUMMYFUNCTION("""COMPUTED_VALUE"""),"https://archive.is/ognOL#selection-1599.0-1599.37
https://www.audacy.com/1010wins/news/local/2-teens-shot-outside-brooklyn-middle-school
https://brooklyn.news12.com/nypd-17-year-old-shot-outside-of-school")</f>
        <v>https://archive.is/ognOL#selection-1599.0-1599.37
https://www.audacy.com/1010wins/news/local/2-teens-shot-outside-brooklyn-middle-school
https://brooklyn.news12.com/nypd-17-year-old-shot-outside-of-school</v>
      </c>
      <c r="L261" s="8">
        <f ca="1">IFERROR(__xludf.DUMMYFUNCTION("""COMPUTED_VALUE"""),20)</f>
        <v>20</v>
      </c>
      <c r="M261" s="8" t="str">
        <f ca="1">IFERROR(__xludf.DUMMYFUNCTION("""COMPUTED_VALUE"""),"Regional")</f>
        <v>Regional</v>
      </c>
      <c r="N261" s="8">
        <f ca="1">IFERROR(__xludf.DUMMYFUNCTION("""COMPUTED_VALUE"""),4)</f>
        <v>4</v>
      </c>
      <c r="O261" s="8" t="str">
        <f ca="1">IFERROR(__xludf.DUMMYFUNCTION("""COMPUTED_VALUE"""),"Fall")</f>
        <v>Fall</v>
      </c>
      <c r="P261" s="8" t="str">
        <f ca="1">IFERROR(__xludf.DUMMYFUNCTION("""COMPUTED_VALUE"""),"Brooklyn")</f>
        <v>Brooklyn</v>
      </c>
      <c r="Q261" s="8" t="str">
        <f ca="1">IFERROR(__xludf.DUMMYFUNCTION("""COMPUTED_VALUE"""),"NY")</f>
        <v>NY</v>
      </c>
      <c r="R261" s="8" t="str">
        <f ca="1">IFERROR(__xludf.DUMMYFUNCTION("""COMPUTED_VALUE"""),"Middle")</f>
        <v>Middle</v>
      </c>
      <c r="S261" s="8" t="str">
        <f ca="1">IFERROR(__xludf.DUMMYFUNCTION("""COMPUTED_VALUE"""),"Front of School")</f>
        <v>Front of School</v>
      </c>
      <c r="T261" s="8" t="str">
        <f ca="1">IFERROR(__xludf.DUMMYFUNCTION("""COMPUTED_VALUE"""),"Outside on School Property")</f>
        <v>Outside on School Property</v>
      </c>
      <c r="U261" s="8" t="str">
        <f ca="1">IFERROR(__xludf.DUMMYFUNCTION("""COMPUTED_VALUE"""),"Yes")</f>
        <v>Yes</v>
      </c>
      <c r="V261" s="8" t="str">
        <f ca="1">IFERROR(__xludf.DUMMYFUNCTION("""COMPUTED_VALUE"""),"Dismissal")</f>
        <v>Dismissal</v>
      </c>
      <c r="W261" s="11">
        <f ca="1">IFERROR(__xludf.DUMMYFUNCTION("""COMPUTED_VALUE"""),0.634027777777777)</f>
        <v>0.63402777777777697</v>
      </c>
      <c r="X261" s="8">
        <f ca="1">IFERROR(__xludf.DUMMYFUNCTION("""COMPUTED_VALUE"""),1)</f>
        <v>1</v>
      </c>
      <c r="Y261" s="12" t="str">
        <f ca="1">IFERROR(__xludf.DUMMYFUNCTION("""COMPUTED_VALUE"""),"Two teens shot outside school at dismissal")</f>
        <v>Two teens shot outside school at dismissal</v>
      </c>
      <c r="Z261" s="12" t="str">
        <f ca="1">IFERROR(__xludf.DUMMYFUNCTION("""COMPUTED_VALUE"""),"Two teenage boys were shot on a Brooklyn street Wednesday afternoon near a junior high school.
Cops responded to a 911 call at Avenue J and 82nd St. next to Intermediate School 68 Isaac Bildersee in Canarsie around 3:13 p.m. They found a 17-year-old with"&amp;" multiple gunshot wounds to the leg and torso, and another youth, also 17, shot twice in the leg. Both boys were reported to be in stable condition. EMS transported the more seriously wounded of the pair to Brookdale University Hospital. The other, with g"&amp;"unshot wounds to the leg only, was transported by private means to Kings County Hospital. There were no reported arrests, and the investigation was ongoing. It was unclear if the school went into lockdown after the shooting.")</f>
        <v>Two teenage boys were shot on a Brooklyn street Wednesday afternoon near a junior high school.
Cops responded to a 911 call at Avenue J and 82nd St. next to Intermediate School 68 Isaac Bildersee in Canarsie around 3:13 p.m. They found a 17-year-old with multiple gunshot wounds to the leg and torso, and another youth, also 17, shot twice in the leg. Both boys were reported to be in stable condition. EMS transported the more seriously wounded of the pair to Brookdale University Hospital. The other, with gunshot wounds to the leg only, was transported by private means to Kings County Hospital. There were no reported arrests, and the investigation was ongoing. It was unclear if the school went into lockdown after the shooting.</v>
      </c>
      <c r="AA261" s="8"/>
      <c r="AB261" s="8"/>
      <c r="AC261" s="8" t="str">
        <f ca="1">IFERROR(__xludf.DUMMYFUNCTION("""COMPUTED_VALUE"""),"Yes")</f>
        <v>Yes</v>
      </c>
      <c r="AD261" s="8"/>
      <c r="AE261" s="8"/>
      <c r="AF261" s="8"/>
      <c r="AG261" s="8" t="str">
        <f ca="1">IFERROR(__xludf.DUMMYFUNCTION("""COMPUTED_VALUE"""),"No")</f>
        <v>No</v>
      </c>
      <c r="AH261" s="8" t="str">
        <f ca="1">IFERROR(__xludf.DUMMYFUNCTION("""COMPUTED_VALUE"""),"No")</f>
        <v>No</v>
      </c>
      <c r="AI261" s="8" t="str">
        <f ca="1">IFERROR(__xludf.DUMMYFUNCTION("""COMPUTED_VALUE"""),"No")</f>
        <v>No</v>
      </c>
      <c r="AJ261" s="8" t="str">
        <f ca="1">IFERROR(__xludf.DUMMYFUNCTION("""COMPUTED_VALUE"""),"No")</f>
        <v>No</v>
      </c>
      <c r="AK261" s="8" t="str">
        <f ca="1">IFERROR(__xludf.DUMMYFUNCTION("""COMPUTED_VALUE"""),"No")</f>
        <v>No</v>
      </c>
      <c r="AL261" s="8"/>
      <c r="AM261" s="8" t="str">
        <f ca="1">IFERROR(__xludf.DUMMYFUNCTION("""COMPUTED_VALUE"""),"No")</f>
        <v>No</v>
      </c>
      <c r="AN261" s="8" t="str">
        <f ca="1">IFERROR(__xludf.DUMMYFUNCTION("""COMPUTED_VALUE"""),"Outside")</f>
        <v>Outside</v>
      </c>
      <c r="AO261" s="8" t="str">
        <f ca="1">IFERROR(__xludf.DUMMYFUNCTION("""COMPUTED_VALUE"""),"No")</f>
        <v>No</v>
      </c>
      <c r="AP261" s="8"/>
      <c r="AQ261" s="8"/>
      <c r="AR261" s="8" t="str">
        <f ca="1">IFERROR(__xludf.DUMMYFUNCTION("""COMPUTED_VALUE"""),"Outside/Off-Property")</f>
        <v>Outside/Off-Property</v>
      </c>
      <c r="AS261" s="8">
        <f ca="1">IFERROR(__xludf.DUMMYFUNCTION("""COMPUTED_VALUE"""),99)</f>
        <v>99</v>
      </c>
      <c r="AT261" s="8"/>
      <c r="AU261" s="8">
        <f ca="1">IFERROR(__xludf.DUMMYFUNCTION("""COMPUTED_VALUE"""),40.635118)</f>
        <v>40.635117999999999</v>
      </c>
      <c r="AV261" s="8">
        <f ca="1">IFERROR(__xludf.DUMMYFUNCTION("""COMPUTED_VALUE"""),-73.910395)</f>
        <v>-73.910394999999994</v>
      </c>
      <c r="AW261" s="8" t="str">
        <f ca="1">IFERROR(__xludf.DUMMYFUNCTION("""COMPUTED_VALUE"""),"Single building indoor hallway")</f>
        <v>Single building indoor hallway</v>
      </c>
      <c r="AX261" s="8">
        <f ca="1">IFERROR(__xludf.DUMMYFUNCTION("""COMPUTED_VALUE"""),11236)</f>
        <v>11236</v>
      </c>
    </row>
    <row r="262" spans="1:50" ht="210" x14ac:dyDescent="0.2">
      <c r="A262" s="8" t="str">
        <f ca="1">IFERROR(__xludf.DUMMYFUNCTION("""COMPUTED_VALUE"""),"20240925DEFRW")</f>
        <v>20240925DEFRW</v>
      </c>
      <c r="B262" s="8">
        <f ca="1">IFERROR(__xludf.DUMMYFUNCTION("""COMPUTED_VALUE"""),9)</f>
        <v>9</v>
      </c>
      <c r="C262" s="8">
        <f ca="1">IFERROR(__xludf.DUMMYFUNCTION("""COMPUTED_VALUE"""),25)</f>
        <v>25</v>
      </c>
      <c r="D262" s="8">
        <f ca="1">IFERROR(__xludf.DUMMYFUNCTION("""COMPUTED_VALUE"""),2024)</f>
        <v>2024</v>
      </c>
      <c r="E262" s="9">
        <f ca="1">IFERROR(__xludf.DUMMYFUNCTION("""COMPUTED_VALUE"""),45560)</f>
        <v>45560</v>
      </c>
      <c r="F262" s="8" t="str">
        <f ca="1">IFERROR(__xludf.DUMMYFUNCTION("""COMPUTED_VALUE"""),"Freire Charter School")</f>
        <v>Freire Charter School</v>
      </c>
      <c r="G262" s="8">
        <f ca="1">IFERROR(__xludf.DUMMYFUNCTION("""COMPUTED_VALUE"""),0)</f>
        <v>0</v>
      </c>
      <c r="H262" s="8">
        <f ca="1">IFERROR(__xludf.DUMMYFUNCTION("""COMPUTED_VALUE"""),0)</f>
        <v>0</v>
      </c>
      <c r="I262" s="8">
        <f ca="1">IFERROR(__xludf.DUMMYFUNCTION("""COMPUTED_VALUE"""),0)</f>
        <v>0</v>
      </c>
      <c r="J262" s="8">
        <f ca="1">IFERROR(__xludf.DUMMYFUNCTION("""COMPUTED_VALUE"""),0)</f>
        <v>0</v>
      </c>
      <c r="K262" s="10" t="str">
        <f ca="1">IFERROR(__xludf.DUMMYFUNCTION("""COMPUTED_VALUE"""),"https://firststateupdate.com/2024/09/gunfire-near-charter-school-leads-to-arrest/")</f>
        <v>https://firststateupdate.com/2024/09/gunfire-near-charter-school-leads-to-arrest/</v>
      </c>
      <c r="L262" s="8">
        <f ca="1">IFERROR(__xludf.DUMMYFUNCTION("""COMPUTED_VALUE"""),3)</f>
        <v>3</v>
      </c>
      <c r="M262" s="8" t="str">
        <f ca="1">IFERROR(__xludf.DUMMYFUNCTION("""COMPUTED_VALUE"""),"Regional")</f>
        <v>Regional</v>
      </c>
      <c r="N262" s="8">
        <f ca="1">IFERROR(__xludf.DUMMYFUNCTION("""COMPUTED_VALUE"""),4)</f>
        <v>4</v>
      </c>
      <c r="O262" s="8" t="str">
        <f ca="1">IFERROR(__xludf.DUMMYFUNCTION("""COMPUTED_VALUE"""),"Fall")</f>
        <v>Fall</v>
      </c>
      <c r="P262" s="8" t="str">
        <f ca="1">IFERROR(__xludf.DUMMYFUNCTION("""COMPUTED_VALUE"""),"Wilmington")</f>
        <v>Wilmington</v>
      </c>
      <c r="Q262" s="8" t="str">
        <f ca="1">IFERROR(__xludf.DUMMYFUNCTION("""COMPUTED_VALUE"""),"DE")</f>
        <v>DE</v>
      </c>
      <c r="R262" s="8" t="str">
        <f ca="1">IFERROR(__xludf.DUMMYFUNCTION("""COMPUTED_VALUE"""),"High")</f>
        <v>High</v>
      </c>
      <c r="S262" s="8" t="str">
        <f ca="1">IFERROR(__xludf.DUMMYFUNCTION("""COMPUTED_VALUE"""),"Front of School")</f>
        <v>Front of School</v>
      </c>
      <c r="T262" s="8" t="str">
        <f ca="1">IFERROR(__xludf.DUMMYFUNCTION("""COMPUTED_VALUE"""),"Outside on School Property")</f>
        <v>Outside on School Property</v>
      </c>
      <c r="U262" s="8" t="str">
        <f ca="1">IFERROR(__xludf.DUMMYFUNCTION("""COMPUTED_VALUE"""),"Yes")</f>
        <v>Yes</v>
      </c>
      <c r="V262" s="8" t="str">
        <f ca="1">IFERROR(__xludf.DUMMYFUNCTION("""COMPUTED_VALUE"""),"Dismissal")</f>
        <v>Dismissal</v>
      </c>
      <c r="W262" s="11">
        <f ca="1">IFERROR(__xludf.DUMMYFUNCTION("""COMPUTED_VALUE"""),0.621527777777777)</f>
        <v>0.62152777777777701</v>
      </c>
      <c r="X262" s="8">
        <f ca="1">IFERROR(__xludf.DUMMYFUNCTION("""COMPUTED_VALUE"""),1)</f>
        <v>1</v>
      </c>
      <c r="Y262" s="12" t="str">
        <f ca="1">IFERROR(__xludf.DUMMYFUNCTION("""COMPUTED_VALUE"""),"15-year-old fired shots outside school at dismissal")</f>
        <v>15-year-old fired shots outside school at dismissal</v>
      </c>
      <c r="Z262" s="12" t="str">
        <f ca="1">IFERROR(__xludf.DUMMYFUNCTION("""COMPUTED_VALUE"""),"According to an official statement released by Freire, shots were fired outside the school building on East 15th Street. While no injuries were reported, law enforcement officers immediately secured the scene. School administrators made the decision to ke"&amp;"ep students inside until law enforcement confirmed the area was safe. In connection with the incident, Wilmington Police apprehended a 15-year-old male juvenile who was found fleeing the scene. The suspect was taken into custody without incident and was d"&amp;"iscovered to be in possession of a loaded .380 caliber handgun, which had been reported as stolen police said. The juvenile faces multiple charges, including possession of a firearm by a person prohibited, receiving a stolen firearm, and discharging a fir"&amp;"earm on a city street.")</f>
        <v>According to an official statement released by Freire, shots were fired outside the school building on East 15th Street. While no injuries were reported, law enforcement officers immediately secured the scene. School administrators made the decision to keep students inside until law enforcement confirmed the area was safe. In connection with the incident, Wilmington Police apprehended a 15-year-old male juvenile who was found fleeing the scene. The suspect was taken into custody without incident and was discovered to be in possession of a loaded .380 caliber handgun, which had been reported as stolen police said. The juvenile faces multiple charges, including possession of a firearm by a person prohibited, receiving a stolen firearm, and discharging a firearm on a city street.</v>
      </c>
      <c r="AA262" s="8"/>
      <c r="AB262" s="8" t="str">
        <f ca="1">IFERROR(__xludf.DUMMYFUNCTION("""COMPUTED_VALUE"""),"Spontaneous")</f>
        <v>Spontaneous</v>
      </c>
      <c r="AC262" s="8" t="str">
        <f ca="1">IFERROR(__xludf.DUMMYFUNCTION("""COMPUTED_VALUE"""),"Yes")</f>
        <v>Yes</v>
      </c>
      <c r="AD262" s="8"/>
      <c r="AE262" s="8" t="str">
        <f ca="1">IFERROR(__xludf.DUMMYFUNCTION("""COMPUTED_VALUE"""),"No")</f>
        <v>No</v>
      </c>
      <c r="AF262" s="8"/>
      <c r="AG262" s="8" t="str">
        <f ca="1">IFERROR(__xludf.DUMMYFUNCTION("""COMPUTED_VALUE"""),"No")</f>
        <v>No</v>
      </c>
      <c r="AH262" s="8" t="str">
        <f ca="1">IFERROR(__xludf.DUMMYFUNCTION("""COMPUTED_VALUE"""),"No")</f>
        <v>No</v>
      </c>
      <c r="AI262" s="8" t="str">
        <f ca="1">IFERROR(__xludf.DUMMYFUNCTION("""COMPUTED_VALUE"""),"No")</f>
        <v>No</v>
      </c>
      <c r="AJ262" s="8"/>
      <c r="AK262" s="8" t="str">
        <f ca="1">IFERROR(__xludf.DUMMYFUNCTION("""COMPUTED_VALUE"""),"No")</f>
        <v>No</v>
      </c>
      <c r="AL262" s="8"/>
      <c r="AM262" s="8" t="str">
        <f ca="1">IFERROR(__xludf.DUMMYFUNCTION("""COMPUTED_VALUE"""),"No")</f>
        <v>No</v>
      </c>
      <c r="AN262" s="8" t="str">
        <f ca="1">IFERROR(__xludf.DUMMYFUNCTION("""COMPUTED_VALUE"""),"Outside")</f>
        <v>Outside</v>
      </c>
      <c r="AO262" s="8" t="str">
        <f ca="1">IFERROR(__xludf.DUMMYFUNCTION("""COMPUTED_VALUE"""),"No")</f>
        <v>No</v>
      </c>
      <c r="AP262" s="8"/>
      <c r="AQ262" s="8"/>
      <c r="AR262" s="8" t="str">
        <f ca="1">IFERROR(__xludf.DUMMYFUNCTION("""COMPUTED_VALUE"""),"Outside/Off-Property")</f>
        <v>Outside/Off-Property</v>
      </c>
      <c r="AS262" s="8">
        <f ca="1">IFERROR(__xludf.DUMMYFUNCTION("""COMPUTED_VALUE"""),99)</f>
        <v>99</v>
      </c>
      <c r="AT262" s="8" t="str">
        <f ca="1">IFERROR(__xludf.DUMMYFUNCTION("""COMPUTED_VALUE"""),"Yes")</f>
        <v>Yes</v>
      </c>
      <c r="AU262" s="8">
        <f ca="1">IFERROR(__xludf.DUMMYFUNCTION("""COMPUTED_VALUE"""),39.74976)</f>
        <v>39.749760000000002</v>
      </c>
      <c r="AV262" s="8">
        <f ca="1">IFERROR(__xludf.DUMMYFUNCTION("""COMPUTED_VALUE"""),-75.546905)</f>
        <v>-75.546904999999995</v>
      </c>
      <c r="AW262" s="8" t="str">
        <f ca="1">IFERROR(__xludf.DUMMYFUNCTION("""COMPUTED_VALUE"""),"Single building indoor hallway")</f>
        <v>Single building indoor hallway</v>
      </c>
      <c r="AX262" s="8">
        <f ca="1">IFERROR(__xludf.DUMMYFUNCTION("""COMPUTED_VALUE"""),19801)</f>
        <v>19801</v>
      </c>
    </row>
    <row r="263" spans="1:50" ht="105" x14ac:dyDescent="0.2">
      <c r="A263" s="8" t="str">
        <f ca="1">IFERROR(__xludf.DUMMYFUNCTION("""COMPUTED_VALUE"""),"20240924MOCAK")</f>
        <v>20240924MOCAK</v>
      </c>
      <c r="B263" s="8">
        <f ca="1">IFERROR(__xludf.DUMMYFUNCTION("""COMPUTED_VALUE"""),9)</f>
        <v>9</v>
      </c>
      <c r="C263" s="8">
        <f ca="1">IFERROR(__xludf.DUMMYFUNCTION("""COMPUTED_VALUE"""),24)</f>
        <v>24</v>
      </c>
      <c r="D263" s="8">
        <f ca="1">IFERROR(__xludf.DUMMYFUNCTION("""COMPUTED_VALUE"""),2024)</f>
        <v>2024</v>
      </c>
      <c r="E263" s="9">
        <f ca="1">IFERROR(__xludf.DUMMYFUNCTION("""COMPUTED_VALUE"""),45559)</f>
        <v>45559</v>
      </c>
      <c r="F263" s="8" t="str">
        <f ca="1">IFERROR(__xludf.DUMMYFUNCTION("""COMPUTED_VALUE"""),"CAS Center Academy for Success")</f>
        <v>CAS Center Academy for Success</v>
      </c>
      <c r="G263" s="8">
        <f ca="1">IFERROR(__xludf.DUMMYFUNCTION("""COMPUTED_VALUE"""),0)</f>
        <v>0</v>
      </c>
      <c r="H263" s="8">
        <f ca="1">IFERROR(__xludf.DUMMYFUNCTION("""COMPUTED_VALUE"""),2)</f>
        <v>2</v>
      </c>
      <c r="I263" s="8">
        <f ca="1">IFERROR(__xludf.DUMMYFUNCTION("""COMPUTED_VALUE"""),2)</f>
        <v>2</v>
      </c>
      <c r="J263" s="8">
        <f ca="1">IFERROR(__xludf.DUMMYFUNCTION("""COMPUTED_VALUE"""),0)</f>
        <v>0</v>
      </c>
      <c r="K263" s="10" t="str">
        <f ca="1">IFERROR(__xludf.DUMMYFUNCTION("""COMPUTED_VALUE"""),"https://fox4kc.com/news/developing-officers-find-two-people-shot-near-kansas-city-school/")</f>
        <v>https://fox4kc.com/news/developing-officers-find-two-people-shot-near-kansas-city-school/</v>
      </c>
      <c r="L263" s="8">
        <f ca="1">IFERROR(__xludf.DUMMYFUNCTION("""COMPUTED_VALUE"""),1)</f>
        <v>1</v>
      </c>
      <c r="M263" s="8" t="str">
        <f ca="1">IFERROR(__xludf.DUMMYFUNCTION("""COMPUTED_VALUE"""),"Local")</f>
        <v>Local</v>
      </c>
      <c r="N263" s="8">
        <f ca="1">IFERROR(__xludf.DUMMYFUNCTION("""COMPUTED_VALUE"""),3)</f>
        <v>3</v>
      </c>
      <c r="O263" s="8" t="str">
        <f ca="1">IFERROR(__xludf.DUMMYFUNCTION("""COMPUTED_VALUE"""),"Fall")</f>
        <v>Fall</v>
      </c>
      <c r="P263" s="8" t="str">
        <f ca="1">IFERROR(__xludf.DUMMYFUNCTION("""COMPUTED_VALUE"""),"Kansas City")</f>
        <v>Kansas City</v>
      </c>
      <c r="Q263" s="8" t="str">
        <f ca="1">IFERROR(__xludf.DUMMYFUNCTION("""COMPUTED_VALUE"""),"MO")</f>
        <v>MO</v>
      </c>
      <c r="R263" s="8" t="str">
        <f ca="1">IFERROR(__xludf.DUMMYFUNCTION("""COMPUTED_VALUE"""),"High")</f>
        <v>High</v>
      </c>
      <c r="S263" s="8" t="str">
        <f ca="1">IFERROR(__xludf.DUMMYFUNCTION("""COMPUTED_VALUE"""),"Front of School")</f>
        <v>Front of School</v>
      </c>
      <c r="T263" s="8" t="str">
        <f ca="1">IFERROR(__xludf.DUMMYFUNCTION("""COMPUTED_VALUE"""),"Outside on School Property")</f>
        <v>Outside on School Property</v>
      </c>
      <c r="U263" s="8" t="str">
        <f ca="1">IFERROR(__xludf.DUMMYFUNCTION("""COMPUTED_VALUE"""),"Yes")</f>
        <v>Yes</v>
      </c>
      <c r="V263" s="8" t="str">
        <f ca="1">IFERROR(__xludf.DUMMYFUNCTION("""COMPUTED_VALUE"""),"Afternoon Classes")</f>
        <v>Afternoon Classes</v>
      </c>
      <c r="W263" s="11">
        <f ca="1">IFERROR(__xludf.DUMMYFUNCTION("""COMPUTED_VALUE"""),0.541666666666666)</f>
        <v>0.54166666666666596</v>
      </c>
      <c r="X263" s="8">
        <f ca="1">IFERROR(__xludf.DUMMYFUNCTION("""COMPUTED_VALUE"""),1)</f>
        <v>1</v>
      </c>
      <c r="Y263" s="12" t="str">
        <f ca="1">IFERROR(__xludf.DUMMYFUNCTION("""COMPUTED_VALUE"""),"Two people shot outside of school during afternoon classes")</f>
        <v>Two people shot outside of school during afternoon classes</v>
      </c>
      <c r="Z263" s="12" t="str">
        <f ca="1">IFERROR(__xludf.DUMMYFUNCTION("""COMPUTED_VALUE"""),"According to KCPD, dispatch received reports of a shooting at about 1 p.m. Tuesday in the area of East 85th Street and Highland Avenue — an intersection near Center School District’s Center Academy for Success. Upon arrival, officers found two shooting vi"&amp;"ctims at the scene. KCPD has not released any more details about the shooting, including the status of the two victims.")</f>
        <v>According to KCPD, dispatch received reports of a shooting at about 1 p.m. Tuesday in the area of East 85th Street and Highland Avenue — an intersection near Center School District’s Center Academy for Success. Upon arrival, officers found two shooting victims at the scene. KCPD has not released any more details about the shooting, including the status of the two victims.</v>
      </c>
      <c r="AA263" s="8"/>
      <c r="AB263" s="8"/>
      <c r="AC263" s="8" t="str">
        <f ca="1">IFERROR(__xludf.DUMMYFUNCTION("""COMPUTED_VALUE"""),"Yes")</f>
        <v>Yes</v>
      </c>
      <c r="AD263" s="8"/>
      <c r="AE263" s="8"/>
      <c r="AF263" s="8"/>
      <c r="AG263" s="8" t="str">
        <f ca="1">IFERROR(__xludf.DUMMYFUNCTION("""COMPUTED_VALUE"""),"No")</f>
        <v>No</v>
      </c>
      <c r="AH263" s="8" t="str">
        <f ca="1">IFERROR(__xludf.DUMMYFUNCTION("""COMPUTED_VALUE"""),"No")</f>
        <v>No</v>
      </c>
      <c r="AI263" s="8" t="str">
        <f ca="1">IFERROR(__xludf.DUMMYFUNCTION("""COMPUTED_VALUE"""),"No")</f>
        <v>No</v>
      </c>
      <c r="AJ263" s="8" t="str">
        <f ca="1">IFERROR(__xludf.DUMMYFUNCTION("""COMPUTED_VALUE"""),"No")</f>
        <v>No</v>
      </c>
      <c r="AK263" s="8" t="str">
        <f ca="1">IFERROR(__xludf.DUMMYFUNCTION("""COMPUTED_VALUE"""),"No")</f>
        <v>No</v>
      </c>
      <c r="AL263" s="8"/>
      <c r="AM263" s="8" t="str">
        <f ca="1">IFERROR(__xludf.DUMMYFUNCTION("""COMPUTED_VALUE"""),"No")</f>
        <v>No</v>
      </c>
      <c r="AN263" s="8" t="str">
        <f ca="1">IFERROR(__xludf.DUMMYFUNCTION("""COMPUTED_VALUE"""),"Outside")</f>
        <v>Outside</v>
      </c>
      <c r="AO263" s="8" t="str">
        <f ca="1">IFERROR(__xludf.DUMMYFUNCTION("""COMPUTED_VALUE"""),"No")</f>
        <v>No</v>
      </c>
      <c r="AP263" s="8"/>
      <c r="AQ263" s="8"/>
      <c r="AR263" s="8" t="str">
        <f ca="1">IFERROR(__xludf.DUMMYFUNCTION("""COMPUTED_VALUE"""),"Outside/Off-Property")</f>
        <v>Outside/Off-Property</v>
      </c>
      <c r="AS263" s="8">
        <f ca="1">IFERROR(__xludf.DUMMYFUNCTION("""COMPUTED_VALUE"""),99)</f>
        <v>99</v>
      </c>
      <c r="AT263" s="8"/>
      <c r="AU263" s="8">
        <f ca="1">IFERROR(__xludf.DUMMYFUNCTION("""COMPUTED_VALUE"""),38.973287)</f>
        <v>38.973286999999999</v>
      </c>
      <c r="AV263" s="8">
        <f ca="1">IFERROR(__xludf.DUMMYFUNCTION("""COMPUTED_VALUE"""),-94.56843)</f>
        <v>-94.568430000000006</v>
      </c>
      <c r="AW263" s="8" t="str">
        <f ca="1">IFERROR(__xludf.DUMMYFUNCTION("""COMPUTED_VALUE"""),"Single building indoor hallway")</f>
        <v>Single building indoor hallway</v>
      </c>
      <c r="AX263" s="8">
        <f ca="1">IFERROR(__xludf.DUMMYFUNCTION("""COMPUTED_VALUE"""),64131)</f>
        <v>64131</v>
      </c>
    </row>
    <row r="264" spans="1:50" ht="150" x14ac:dyDescent="0.2">
      <c r="A264" s="8" t="str">
        <f ca="1">IFERROR(__xludf.DUMMYFUNCTION("""COMPUTED_VALUE"""),"20240924NYSOB")</f>
        <v>20240924NYSOB</v>
      </c>
      <c r="B264" s="8">
        <f ca="1">IFERROR(__xludf.DUMMYFUNCTION("""COMPUTED_VALUE"""),9)</f>
        <v>9</v>
      </c>
      <c r="C264" s="8">
        <f ca="1">IFERROR(__xludf.DUMMYFUNCTION("""COMPUTED_VALUE"""),24)</f>
        <v>24</v>
      </c>
      <c r="D264" s="8">
        <f ca="1">IFERROR(__xludf.DUMMYFUNCTION("""COMPUTED_VALUE"""),2024)</f>
        <v>2024</v>
      </c>
      <c r="E264" s="9">
        <f ca="1">IFERROR(__xludf.DUMMYFUNCTION("""COMPUTED_VALUE"""),45559)</f>
        <v>45559</v>
      </c>
      <c r="F264" s="8" t="str">
        <f ca="1">IFERROR(__xludf.DUMMYFUNCTION("""COMPUTED_VALUE"""),"South Shore High School ")</f>
        <v xml:space="preserve">South Shore High School </v>
      </c>
      <c r="G264" s="8">
        <f ca="1">IFERROR(__xludf.DUMMYFUNCTION("""COMPUTED_VALUE"""),0)</f>
        <v>0</v>
      </c>
      <c r="H264" s="8">
        <f ca="1">IFERROR(__xludf.DUMMYFUNCTION("""COMPUTED_VALUE"""),1)</f>
        <v>1</v>
      </c>
      <c r="I264" s="8">
        <f ca="1">IFERROR(__xludf.DUMMYFUNCTION("""COMPUTED_VALUE"""),1)</f>
        <v>1</v>
      </c>
      <c r="J264" s="8">
        <f ca="1">IFERROR(__xludf.DUMMYFUNCTION("""COMPUTED_VALUE"""),0)</f>
        <v>0</v>
      </c>
      <c r="K264" s="8" t="str">
        <f ca="1">IFERROR(__xludf.DUMMYFUNCTION("""COMPUTED_VALUE"""),"https://www.amny.com/news/brooklyn-high-school-student-shot-09242024/
https://nypost.com/2024/09/24/us-news/boy-15-hurt-in-broad-daylight-shooting-outside-nyc-school-cops/")</f>
        <v>https://www.amny.com/news/brooklyn-high-school-student-shot-09242024/
https://nypost.com/2024/09/24/us-news/boy-15-hurt-in-broad-daylight-shooting-outside-nyc-school-cops/</v>
      </c>
      <c r="L264" s="8">
        <f ca="1">IFERROR(__xludf.DUMMYFUNCTION("""COMPUTED_VALUE"""),10)</f>
        <v>10</v>
      </c>
      <c r="M264" s="8" t="str">
        <f ca="1">IFERROR(__xludf.DUMMYFUNCTION("""COMPUTED_VALUE"""),"Regional")</f>
        <v>Regional</v>
      </c>
      <c r="N264" s="8">
        <f ca="1">IFERROR(__xludf.DUMMYFUNCTION("""COMPUTED_VALUE"""),4)</f>
        <v>4</v>
      </c>
      <c r="O264" s="8" t="str">
        <f ca="1">IFERROR(__xludf.DUMMYFUNCTION("""COMPUTED_VALUE"""),"Fall")</f>
        <v>Fall</v>
      </c>
      <c r="P264" s="8" t="str">
        <f ca="1">IFERROR(__xludf.DUMMYFUNCTION("""COMPUTED_VALUE"""),"Brooklyn")</f>
        <v>Brooklyn</v>
      </c>
      <c r="Q264" s="8" t="str">
        <f ca="1">IFERROR(__xludf.DUMMYFUNCTION("""COMPUTED_VALUE"""),"NY")</f>
        <v>NY</v>
      </c>
      <c r="R264" s="8" t="str">
        <f ca="1">IFERROR(__xludf.DUMMYFUNCTION("""COMPUTED_VALUE"""),"High")</f>
        <v>High</v>
      </c>
      <c r="S264" s="8" t="str">
        <f ca="1">IFERROR(__xludf.DUMMYFUNCTION("""COMPUTED_VALUE"""),"Front of School")</f>
        <v>Front of School</v>
      </c>
      <c r="T264" s="8" t="str">
        <f ca="1">IFERROR(__xludf.DUMMYFUNCTION("""COMPUTED_VALUE"""),"Outside on School Property")</f>
        <v>Outside on School Property</v>
      </c>
      <c r="U264" s="8" t="str">
        <f ca="1">IFERROR(__xludf.DUMMYFUNCTION("""COMPUTED_VALUE"""),"Yes")</f>
        <v>Yes</v>
      </c>
      <c r="V264" s="8" t="str">
        <f ca="1">IFERROR(__xludf.DUMMYFUNCTION("""COMPUTED_VALUE"""),"Dismissal")</f>
        <v>Dismissal</v>
      </c>
      <c r="W264" s="11">
        <f ca="1">IFERROR(__xludf.DUMMYFUNCTION("""COMPUTED_VALUE"""),0.613888888888888)</f>
        <v>0.61388888888888804</v>
      </c>
      <c r="X264" s="8">
        <f ca="1">IFERROR(__xludf.DUMMYFUNCTION("""COMPUTED_VALUE"""),1)</f>
        <v>1</v>
      </c>
      <c r="Y264" s="12" t="str">
        <f ca="1">IFERROR(__xludf.DUMMYFUNCTION("""COMPUTED_VALUE"""),"Student shot outside school during dismissal")</f>
        <v>Student shot outside school during dismissal</v>
      </c>
      <c r="Z264" s="12" t="str">
        <f ca="1">IFERROR(__xludf.DUMMYFUNCTION("""COMPUTED_VALUE"""),"According to police sources, officers from 63rd Precinct and an army of school safety officers rushed to South Shore High School in Flatlands at around 2:44 p.m. on Sept. 24 as students were being dismissed. The responding cops found the victim, a 15-year"&amp;"-old boy, near the corner of East 58th Street and Glenwood Avenue lying in a pool of blood, with a gunshot wound to the right leg. Several bullet casings were scattered at the location. EMS rushed the victim to Brookdale University Hospital, where he is e"&amp;"xpected to survive his injuries.")</f>
        <v>According to police sources, officers from 63rd Precinct and an army of school safety officers rushed to South Shore High School in Flatlands at around 2:44 p.m. on Sept. 24 as students were being dismissed. The responding cops found the victim, a 15-year-old boy, near the corner of East 58th Street and Glenwood Avenue lying in a pool of blood, with a gunshot wound to the right leg. Several bullet casings were scattered at the location. EMS rushed the victim to Brookdale University Hospital, where he is expected to survive his injuries.</v>
      </c>
      <c r="AA264" s="8"/>
      <c r="AB264" s="8" t="str">
        <f ca="1">IFERROR(__xludf.DUMMYFUNCTION("""COMPUTED_VALUE"""),"Targeted")</f>
        <v>Targeted</v>
      </c>
      <c r="AC264" s="8" t="str">
        <f ca="1">IFERROR(__xludf.DUMMYFUNCTION("""COMPUTED_VALUE"""),"Yes")</f>
        <v>Yes</v>
      </c>
      <c r="AD264" s="8" t="str">
        <f ca="1">IFERROR(__xludf.DUMMYFUNCTION("""COMPUTED_VALUE"""),"Victims Targeted")</f>
        <v>Victims Targeted</v>
      </c>
      <c r="AE264" s="8" t="str">
        <f ca="1">IFERROR(__xludf.DUMMYFUNCTION("""COMPUTED_VALUE"""),"No")</f>
        <v>No</v>
      </c>
      <c r="AF264" s="8"/>
      <c r="AG264" s="8" t="str">
        <f ca="1">IFERROR(__xludf.DUMMYFUNCTION("""COMPUTED_VALUE"""),"No")</f>
        <v>No</v>
      </c>
      <c r="AH264" s="8" t="str">
        <f ca="1">IFERROR(__xludf.DUMMYFUNCTION("""COMPUTED_VALUE"""),"No")</f>
        <v>No</v>
      </c>
      <c r="AI264" s="8" t="str">
        <f ca="1">IFERROR(__xludf.DUMMYFUNCTION("""COMPUTED_VALUE"""),"No")</f>
        <v>No</v>
      </c>
      <c r="AJ264" s="8" t="str">
        <f ca="1">IFERROR(__xludf.DUMMYFUNCTION("""COMPUTED_VALUE"""),"No")</f>
        <v>No</v>
      </c>
      <c r="AK264" s="8" t="str">
        <f ca="1">IFERROR(__xludf.DUMMYFUNCTION("""COMPUTED_VALUE"""),"No")</f>
        <v>No</v>
      </c>
      <c r="AL264" s="8"/>
      <c r="AM264" s="8" t="str">
        <f ca="1">IFERROR(__xludf.DUMMYFUNCTION("""COMPUTED_VALUE"""),"No")</f>
        <v>No</v>
      </c>
      <c r="AN264" s="8" t="str">
        <f ca="1">IFERROR(__xludf.DUMMYFUNCTION("""COMPUTED_VALUE"""),"Outside")</f>
        <v>Outside</v>
      </c>
      <c r="AO264" s="8" t="str">
        <f ca="1">IFERROR(__xludf.DUMMYFUNCTION("""COMPUTED_VALUE"""),"No")</f>
        <v>No</v>
      </c>
      <c r="AP264" s="8" t="str">
        <f ca="1">IFERROR(__xludf.DUMMYFUNCTION("""COMPUTED_VALUE"""),"Yes")</f>
        <v>Yes</v>
      </c>
      <c r="AQ264" s="8"/>
      <c r="AR264" s="8" t="str">
        <f ca="1">IFERROR(__xludf.DUMMYFUNCTION("""COMPUTED_VALUE"""),"Outside/Off-Property")</f>
        <v>Outside/Off-Property</v>
      </c>
      <c r="AS264" s="8">
        <f ca="1">IFERROR(__xludf.DUMMYFUNCTION("""COMPUTED_VALUE"""),5)</f>
        <v>5</v>
      </c>
      <c r="AT264" s="8" t="str">
        <f ca="1">IFERROR(__xludf.DUMMYFUNCTION("""COMPUTED_VALUE"""),"No")</f>
        <v>No</v>
      </c>
      <c r="AU264" s="8">
        <f ca="1">IFERROR(__xludf.DUMMYFUNCTION("""COMPUTED_VALUE"""),40.633303)</f>
        <v>40.633302999999998</v>
      </c>
      <c r="AV264" s="8">
        <f ca="1">IFERROR(__xludf.DUMMYFUNCTION("""COMPUTED_VALUE"""),-73.917)</f>
        <v>-73.917000000000002</v>
      </c>
      <c r="AW264" s="8" t="str">
        <f ca="1">IFERROR(__xludf.DUMMYFUNCTION("""COMPUTED_VALUE"""),"Multiple attached buildings")</f>
        <v>Multiple attached buildings</v>
      </c>
      <c r="AX264" s="8">
        <f ca="1">IFERROR(__xludf.DUMMYFUNCTION("""COMPUTED_VALUE"""),11236)</f>
        <v>11236</v>
      </c>
    </row>
    <row r="265" spans="1:50" ht="90" x14ac:dyDescent="0.2">
      <c r="A265" s="8" t="str">
        <f ca="1">IFERROR(__xludf.DUMMYFUNCTION("""COMPUTED_VALUE"""),"20240923TXBUS")</f>
        <v>20240923TXBUS</v>
      </c>
      <c r="B265" s="8">
        <f ca="1">IFERROR(__xludf.DUMMYFUNCTION("""COMPUTED_VALUE"""),9)</f>
        <v>9</v>
      </c>
      <c r="C265" s="8">
        <f ca="1">IFERROR(__xludf.DUMMYFUNCTION("""COMPUTED_VALUE"""),23)</f>
        <v>23</v>
      </c>
      <c r="D265" s="8">
        <f ca="1">IFERROR(__xludf.DUMMYFUNCTION("""COMPUTED_VALUE"""),2024)</f>
        <v>2024</v>
      </c>
      <c r="E265" s="9">
        <f ca="1">IFERROR(__xludf.DUMMYFUNCTION("""COMPUTED_VALUE"""),45558)</f>
        <v>45558</v>
      </c>
      <c r="F265" s="8" t="str">
        <f ca="1">IFERROR(__xludf.DUMMYFUNCTION("""COMPUTED_VALUE"""),"Burbank High School")</f>
        <v>Burbank High School</v>
      </c>
      <c r="G265" s="8">
        <f ca="1">IFERROR(__xludf.DUMMYFUNCTION("""COMPUTED_VALUE"""),0)</f>
        <v>0</v>
      </c>
      <c r="H265" s="8">
        <f ca="1">IFERROR(__xludf.DUMMYFUNCTION("""COMPUTED_VALUE"""),0)</f>
        <v>0</v>
      </c>
      <c r="I265" s="8">
        <f ca="1">IFERROR(__xludf.DUMMYFUNCTION("""COMPUTED_VALUE"""),0)</f>
        <v>0</v>
      </c>
      <c r="J265" s="8">
        <f ca="1">IFERROR(__xludf.DUMMYFUNCTION("""COMPUTED_VALUE"""),0)</f>
        <v>0</v>
      </c>
      <c r="K265" s="10" t="str">
        <f ca="1">IFERROR(__xludf.DUMMYFUNCTION("""COMPUTED_VALUE"""),"https://www.ksat.com/news/local/2024/09/26/video-shows-gun-pulled-outside-of-san-antonio-isd-high-school-during-fight/")</f>
        <v>https://www.ksat.com/news/local/2024/09/26/video-shows-gun-pulled-outside-of-san-antonio-isd-high-school-during-fight/</v>
      </c>
      <c r="L265" s="8">
        <f ca="1">IFERROR(__xludf.DUMMYFUNCTION("""COMPUTED_VALUE"""),4)</f>
        <v>4</v>
      </c>
      <c r="M265" s="8" t="str">
        <f ca="1">IFERROR(__xludf.DUMMYFUNCTION("""COMPUTED_VALUE"""),"Regional")</f>
        <v>Regional</v>
      </c>
      <c r="N265" s="8">
        <f ca="1">IFERROR(__xludf.DUMMYFUNCTION("""COMPUTED_VALUE"""),5)</f>
        <v>5</v>
      </c>
      <c r="O265" s="8" t="str">
        <f ca="1">IFERROR(__xludf.DUMMYFUNCTION("""COMPUTED_VALUE"""),"Fall")</f>
        <v>Fall</v>
      </c>
      <c r="P265" s="8" t="str">
        <f ca="1">IFERROR(__xludf.DUMMYFUNCTION("""COMPUTED_VALUE"""),"San Antonio")</f>
        <v>San Antonio</v>
      </c>
      <c r="Q265" s="8" t="str">
        <f ca="1">IFERROR(__xludf.DUMMYFUNCTION("""COMPUTED_VALUE"""),"TX")</f>
        <v>TX</v>
      </c>
      <c r="R265" s="8" t="str">
        <f ca="1">IFERROR(__xludf.DUMMYFUNCTION("""COMPUTED_VALUE"""),"High")</f>
        <v>High</v>
      </c>
      <c r="S265" s="8" t="str">
        <f ca="1">IFERROR(__xludf.DUMMYFUNCTION("""COMPUTED_VALUE"""),"Parking Lot")</f>
        <v>Parking Lot</v>
      </c>
      <c r="T265" s="8" t="str">
        <f ca="1">IFERROR(__xludf.DUMMYFUNCTION("""COMPUTED_VALUE"""),"Outside on School Property")</f>
        <v>Outside on School Property</v>
      </c>
      <c r="U265" s="8" t="str">
        <f ca="1">IFERROR(__xludf.DUMMYFUNCTION("""COMPUTED_VALUE"""),"No")</f>
        <v>No</v>
      </c>
      <c r="V265" s="8" t="str">
        <f ca="1">IFERROR(__xludf.DUMMYFUNCTION("""COMPUTED_VALUE"""),"After School")</f>
        <v>After School</v>
      </c>
      <c r="W265" s="11">
        <f ca="1">IFERROR(__xludf.DUMMYFUNCTION("""COMPUTED_VALUE"""),0.708333333333333)</f>
        <v>0.70833333333333304</v>
      </c>
      <c r="X265" s="8">
        <f ca="1">IFERROR(__xludf.DUMMYFUNCTION("""COMPUTED_VALUE"""),1)</f>
        <v>1</v>
      </c>
      <c r="Y265" s="12" t="str">
        <f ca="1">IFERROR(__xludf.DUMMYFUNCTION("""COMPUTED_VALUE"""),"Teen pulled gun during fight between multiple students on sidewalk next to athletic fields")</f>
        <v>Teen pulled gun during fight between multiple students on sidewalk next to athletic fields</v>
      </c>
      <c r="Z265" s="12" t="str">
        <f ca="1">IFERROR(__xludf.DUMMYFUNCTION("""COMPUTED_VALUE"""),"Cellphone video shows a teen pulled gun during fight between multiple students on sidewalk next to athletic fields.")</f>
        <v>Cellphone video shows a teen pulled gun during fight between multiple students on sidewalk next to athletic fields.</v>
      </c>
      <c r="AA265" s="8" t="str">
        <f ca="1">IFERROR(__xludf.DUMMYFUNCTION("""COMPUTED_VALUE"""),"Escalation of Dispute")</f>
        <v>Escalation of Dispute</v>
      </c>
      <c r="AB265" s="8" t="str">
        <f ca="1">IFERROR(__xludf.DUMMYFUNCTION("""COMPUTED_VALUE"""),"Spontaneous")</f>
        <v>Spontaneous</v>
      </c>
      <c r="AC265" s="8" t="str">
        <f ca="1">IFERROR(__xludf.DUMMYFUNCTION("""COMPUTED_VALUE"""),"Yes")</f>
        <v>Yes</v>
      </c>
      <c r="AD265" s="8" t="str">
        <f ca="1">IFERROR(__xludf.DUMMYFUNCTION("""COMPUTED_VALUE"""),"Victims Targeted")</f>
        <v>Victims Targeted</v>
      </c>
      <c r="AE265" s="8" t="str">
        <f ca="1">IFERROR(__xludf.DUMMYFUNCTION("""COMPUTED_VALUE"""),"Yes")</f>
        <v>Yes</v>
      </c>
      <c r="AF265" s="8" t="str">
        <f ca="1">IFERROR(__xludf.DUMMYFUNCTION("""COMPUTED_VALUE"""),"Multiple teens involved")</f>
        <v>Multiple teens involved</v>
      </c>
      <c r="AG265" s="8" t="str">
        <f ca="1">IFERROR(__xludf.DUMMYFUNCTION("""COMPUTED_VALUE"""),"No")</f>
        <v>No</v>
      </c>
      <c r="AH265" s="8" t="str">
        <f ca="1">IFERROR(__xludf.DUMMYFUNCTION("""COMPUTED_VALUE"""),"No")</f>
        <v>No</v>
      </c>
      <c r="AI265" s="8" t="str">
        <f ca="1">IFERROR(__xludf.DUMMYFUNCTION("""COMPUTED_VALUE"""),"No")</f>
        <v>No</v>
      </c>
      <c r="AJ265" s="8"/>
      <c r="AK265" s="8" t="str">
        <f ca="1">IFERROR(__xludf.DUMMYFUNCTION("""COMPUTED_VALUE"""),"No")</f>
        <v>No</v>
      </c>
      <c r="AL265" s="8" t="str">
        <f ca="1">IFERROR(__xludf.DUMMYFUNCTION("""COMPUTED_VALUE"""),"No")</f>
        <v>No</v>
      </c>
      <c r="AM265" s="8" t="str">
        <f ca="1">IFERROR(__xludf.DUMMYFUNCTION("""COMPUTED_VALUE"""),"No")</f>
        <v>No</v>
      </c>
      <c r="AN265" s="8" t="str">
        <f ca="1">IFERROR(__xludf.DUMMYFUNCTION("""COMPUTED_VALUE"""),"Outside")</f>
        <v>Outside</v>
      </c>
      <c r="AO265" s="8" t="str">
        <f ca="1">IFERROR(__xludf.DUMMYFUNCTION("""COMPUTED_VALUE"""),"No")</f>
        <v>No</v>
      </c>
      <c r="AP265" s="8" t="str">
        <f ca="1">IFERROR(__xludf.DUMMYFUNCTION("""COMPUTED_VALUE"""),"Yes")</f>
        <v>Yes</v>
      </c>
      <c r="AQ265" s="8"/>
      <c r="AR265" s="8" t="str">
        <f ca="1">IFERROR(__xludf.DUMMYFUNCTION("""COMPUTED_VALUE"""),"Outside/Off-Property")</f>
        <v>Outside/Off-Property</v>
      </c>
      <c r="AS265" s="8">
        <f ca="1">IFERROR(__xludf.DUMMYFUNCTION("""COMPUTED_VALUE"""),0)</f>
        <v>0</v>
      </c>
      <c r="AT265" s="8" t="str">
        <f ca="1">IFERROR(__xludf.DUMMYFUNCTION("""COMPUTED_VALUE"""),"No")</f>
        <v>No</v>
      </c>
      <c r="AU265" s="8">
        <f ca="1">IFERROR(__xludf.DUMMYFUNCTION("""COMPUTED_VALUE"""),29.39391)</f>
        <v>29.393910000000002</v>
      </c>
      <c r="AV265" s="8">
        <f ca="1">IFERROR(__xludf.DUMMYFUNCTION("""COMPUTED_VALUE"""),-98.509642)</f>
        <v>-98.509641999999999</v>
      </c>
      <c r="AW265" s="8" t="str">
        <f ca="1">IFERROR(__xludf.DUMMYFUNCTION("""COMPUTED_VALUE"""),"Multiple detached buildings")</f>
        <v>Multiple detached buildings</v>
      </c>
      <c r="AX265" s="8">
        <f ca="1">IFERROR(__xludf.DUMMYFUNCTION("""COMPUTED_VALUE"""),78204)</f>
        <v>78204</v>
      </c>
    </row>
    <row r="266" spans="1:50" ht="270" x14ac:dyDescent="0.2">
      <c r="A266" s="8" t="str">
        <f ca="1">IFERROR(__xludf.DUMMYFUNCTION("""COMPUTED_VALUE"""),"20240923KSCEW")</f>
        <v>20240923KSCEW</v>
      </c>
      <c r="B266" s="8">
        <f ca="1">IFERROR(__xludf.DUMMYFUNCTION("""COMPUTED_VALUE"""),9)</f>
        <v>9</v>
      </c>
      <c r="C266" s="8">
        <f ca="1">IFERROR(__xludf.DUMMYFUNCTION("""COMPUTED_VALUE"""),23)</f>
        <v>23</v>
      </c>
      <c r="D266" s="8">
        <f ca="1">IFERROR(__xludf.DUMMYFUNCTION("""COMPUTED_VALUE"""),2024)</f>
        <v>2024</v>
      </c>
      <c r="E266" s="9">
        <f ca="1">IFERROR(__xludf.DUMMYFUNCTION("""COMPUTED_VALUE"""),45558)</f>
        <v>45558</v>
      </c>
      <c r="F266" s="8" t="str">
        <f ca="1">IFERROR(__xludf.DUMMYFUNCTION("""COMPUTED_VALUE"""),"Cessna Elementary School")</f>
        <v>Cessna Elementary School</v>
      </c>
      <c r="G266" s="8">
        <f ca="1">IFERROR(__xludf.DUMMYFUNCTION("""COMPUTED_VALUE"""),0)</f>
        <v>0</v>
      </c>
      <c r="H266" s="8">
        <f ca="1">IFERROR(__xludf.DUMMYFUNCTION("""COMPUTED_VALUE"""),1)</f>
        <v>1</v>
      </c>
      <c r="I266" s="8">
        <f ca="1">IFERROR(__xludf.DUMMYFUNCTION("""COMPUTED_VALUE"""),1)</f>
        <v>1</v>
      </c>
      <c r="J266" s="8">
        <f ca="1">IFERROR(__xludf.DUMMYFUNCTION("""COMPUTED_VALUE"""),0)</f>
        <v>0</v>
      </c>
      <c r="K266" s="8" t="str">
        <f ca="1">IFERROR(__xludf.DUMMYFUNCTION("""COMPUTED_VALUE"""),"https://fox4kc.com/news/kansas-news/two-shot-in-front-of-wichita-elementary-school-after-domestic-dispute/
https://www.ksn.com/news/crime/man-in-jail-after-shooting-outside-wichita-school/
https://www.kansas.com/news/local/crime/article293502779.html")</f>
        <v>https://fox4kc.com/news/kansas-news/two-shot-in-front-of-wichita-elementary-school-after-domestic-dispute/
https://www.ksn.com/news/crime/man-in-jail-after-shooting-outside-wichita-school/
https://www.kansas.com/news/local/crime/article293502779.html</v>
      </c>
      <c r="L266" s="8">
        <f ca="1">IFERROR(__xludf.DUMMYFUNCTION("""COMPUTED_VALUE"""),5)</f>
        <v>5</v>
      </c>
      <c r="M266" s="8" t="str">
        <f ca="1">IFERROR(__xludf.DUMMYFUNCTION("""COMPUTED_VALUE"""),"Regional")</f>
        <v>Regional</v>
      </c>
      <c r="N266" s="8">
        <f ca="1">IFERROR(__xludf.DUMMYFUNCTION("""COMPUTED_VALUE"""),4)</f>
        <v>4</v>
      </c>
      <c r="O266" s="8" t="str">
        <f ca="1">IFERROR(__xludf.DUMMYFUNCTION("""COMPUTED_VALUE"""),"Fall")</f>
        <v>Fall</v>
      </c>
      <c r="P266" s="8" t="str">
        <f ca="1">IFERROR(__xludf.DUMMYFUNCTION("""COMPUTED_VALUE"""),"Wichita")</f>
        <v>Wichita</v>
      </c>
      <c r="Q266" s="8" t="str">
        <f ca="1">IFERROR(__xludf.DUMMYFUNCTION("""COMPUTED_VALUE"""),"KS")</f>
        <v>KS</v>
      </c>
      <c r="R266" s="8" t="str">
        <f ca="1">IFERROR(__xludf.DUMMYFUNCTION("""COMPUTED_VALUE"""),"Elementary")</f>
        <v>Elementary</v>
      </c>
      <c r="S266" s="8" t="str">
        <f ca="1">IFERROR(__xludf.DUMMYFUNCTION("""COMPUTED_VALUE"""),"Beside Building")</f>
        <v>Beside Building</v>
      </c>
      <c r="T266" s="8" t="str">
        <f ca="1">IFERROR(__xludf.DUMMYFUNCTION("""COMPUTED_VALUE"""),"Outside on School Property")</f>
        <v>Outside on School Property</v>
      </c>
      <c r="U266" s="8" t="str">
        <f ca="1">IFERROR(__xludf.DUMMYFUNCTION("""COMPUTED_VALUE"""),"Yes")</f>
        <v>Yes</v>
      </c>
      <c r="V266" s="8" t="str">
        <f ca="1">IFERROR(__xludf.DUMMYFUNCTION("""COMPUTED_VALUE"""),"Morning Classes")</f>
        <v>Morning Classes</v>
      </c>
      <c r="W266" s="11">
        <f ca="1">IFERROR(__xludf.DUMMYFUNCTION("""COMPUTED_VALUE"""),0.385416666666666)</f>
        <v>0.38541666666666602</v>
      </c>
      <c r="X266" s="8">
        <f ca="1">IFERROR(__xludf.DUMMYFUNCTION("""COMPUTED_VALUE"""),1)</f>
        <v>1</v>
      </c>
      <c r="Y266" s="12" t="str">
        <f ca="1">IFERROR(__xludf.DUMMYFUNCTION("""COMPUTED_VALUE"""),"Man shot wife during dispute at student drop off")</f>
        <v>Man shot wife during dispute at student drop off</v>
      </c>
      <c r="Z266" s="12" t="str">
        <f ca="1">IFERROR(__xludf.DUMMYFUNCTION("""COMPUTED_VALUE"""),"A shooting outside Cessna Elementary School while class was in session came after woman told father of her children she wanted to leave him. “We have a domestic dispute,” Sheriff Jeff Easter, Sedgwick County, said. “A husband and wife were brought here al"&amp;"ong with their kids by a Lyft driver. The kids went on into school. We have witnesses telling us the male suspect shot the female in the chest.” He said the woman ran toward the school to get help, and the man chased her. Easter said a deputy arrived and "&amp;"saw the man pointing a gun at the woman’s head. “The deputy took cover, and then when the suspect stepped a little bit away from our victim, the deputy shot the suspect,” Easter said. The sheriff said the deputy went to the man to take him into custody, a"&amp;"nd the man tried to fight him, but the deputy got him into custody. Easter said both victims are in critical condition. Other children were entering the school then, and a school district person tried to shield them from seeing what was happening.")</f>
        <v>A shooting outside Cessna Elementary School while class was in session came after woman told father of her children she wanted to leave him. “We have a domestic dispute,” Sheriff Jeff Easter, Sedgwick County, said. “A husband and wife were brought here along with their kids by a Lyft driver. The kids went on into school. We have witnesses telling us the male suspect shot the female in the chest.” He said the woman ran toward the school to get help, and the man chased her. Easter said a deputy arrived and saw the man pointing a gun at the woman’s head. “The deputy took cover, and then when the suspect stepped a little bit away from our victim, the deputy shot the suspect,” Easter said. The sheriff said the deputy went to the man to take him into custody, and the man tried to fight him, but the deputy got him into custody. Easter said both victims are in critical condition. Other children were entering the school then, and a school district person tried to shield them from seeing what was happening.</v>
      </c>
      <c r="AA266" s="8" t="str">
        <f ca="1">IFERROR(__xludf.DUMMYFUNCTION("""COMPUTED_VALUE"""),"Domestic w/ Targeted Victim")</f>
        <v>Domestic w/ Targeted Victim</v>
      </c>
      <c r="AB266" s="8" t="str">
        <f ca="1">IFERROR(__xludf.DUMMYFUNCTION("""COMPUTED_VALUE"""),"Targeted")</f>
        <v>Targeted</v>
      </c>
      <c r="AC266" s="8" t="str">
        <f ca="1">IFERROR(__xludf.DUMMYFUNCTION("""COMPUTED_VALUE"""),"Yes")</f>
        <v>Yes</v>
      </c>
      <c r="AD266" s="8" t="str">
        <f ca="1">IFERROR(__xludf.DUMMYFUNCTION("""COMPUTED_VALUE"""),"Victims Targeted")</f>
        <v>Victims Targeted</v>
      </c>
      <c r="AE266" s="8" t="str">
        <f ca="1">IFERROR(__xludf.DUMMYFUNCTION("""COMPUTED_VALUE"""),"No")</f>
        <v>No</v>
      </c>
      <c r="AF266" s="8"/>
      <c r="AG266" s="8" t="str">
        <f ca="1">IFERROR(__xludf.DUMMYFUNCTION("""COMPUTED_VALUE"""),"No")</f>
        <v>No</v>
      </c>
      <c r="AH266" s="8" t="str">
        <f ca="1">IFERROR(__xludf.DUMMYFUNCTION("""COMPUTED_VALUE"""),"No")</f>
        <v>No</v>
      </c>
      <c r="AI266" s="8" t="str">
        <f ca="1">IFERROR(__xludf.DUMMYFUNCTION("""COMPUTED_VALUE"""),"No")</f>
        <v>No</v>
      </c>
      <c r="AJ266" s="8" t="str">
        <f ca="1">IFERROR(__xludf.DUMMYFUNCTION("""COMPUTED_VALUE"""),"No")</f>
        <v>No</v>
      </c>
      <c r="AK266" s="8" t="str">
        <f ca="1">IFERROR(__xludf.DUMMYFUNCTION("""COMPUTED_VALUE"""),"Yes")</f>
        <v>Yes</v>
      </c>
      <c r="AL266" s="8" t="str">
        <f ca="1">IFERROR(__xludf.DUMMYFUNCTION("""COMPUTED_VALUE"""),"No")</f>
        <v>No</v>
      </c>
      <c r="AM266" s="8" t="str">
        <f ca="1">IFERROR(__xludf.DUMMYFUNCTION("""COMPUTED_VALUE"""),"No")</f>
        <v>No</v>
      </c>
      <c r="AN266" s="8" t="str">
        <f ca="1">IFERROR(__xludf.DUMMYFUNCTION("""COMPUTED_VALUE"""),"Outside")</f>
        <v>Outside</v>
      </c>
      <c r="AO266" s="8" t="str">
        <f ca="1">IFERROR(__xludf.DUMMYFUNCTION("""COMPUTED_VALUE"""),"No")</f>
        <v>No</v>
      </c>
      <c r="AP266" s="8"/>
      <c r="AQ266" s="8"/>
      <c r="AR266" s="8" t="str">
        <f ca="1">IFERROR(__xludf.DUMMYFUNCTION("""COMPUTED_VALUE"""),"Outside/Off-Property")</f>
        <v>Outside/Off-Property</v>
      </c>
      <c r="AS266" s="8">
        <f ca="1">IFERROR(__xludf.DUMMYFUNCTION("""COMPUTED_VALUE"""),99)</f>
        <v>99</v>
      </c>
      <c r="AT266" s="8" t="str">
        <f ca="1">IFERROR(__xludf.DUMMYFUNCTION("""COMPUTED_VALUE"""),"Yes")</f>
        <v>Yes</v>
      </c>
      <c r="AU266" s="8">
        <f ca="1">IFERROR(__xludf.DUMMYFUNCTION("""COMPUTED_VALUE"""),37.611237)</f>
        <v>37.611237000000003</v>
      </c>
      <c r="AV266" s="8">
        <f ca="1">IFERROR(__xludf.DUMMYFUNCTION("""COMPUTED_VALUE"""),-97.362179)</f>
        <v>-97.362178999999998</v>
      </c>
      <c r="AW266" s="8" t="str">
        <f ca="1">IFERROR(__xludf.DUMMYFUNCTION("""COMPUTED_VALUE"""),"Single building indoor hallway")</f>
        <v>Single building indoor hallway</v>
      </c>
      <c r="AX266" s="8">
        <f ca="1">IFERROR(__xludf.DUMMYFUNCTION("""COMPUTED_VALUE"""),67217)</f>
        <v>67217</v>
      </c>
    </row>
    <row r="267" spans="1:50" ht="120" x14ac:dyDescent="0.2">
      <c r="A267" s="8" t="str">
        <f ca="1">IFERROR(__xludf.DUMMYFUNCTION("""COMPUTED_VALUE"""),"20240922ILHEC")</f>
        <v>20240922ILHEC</v>
      </c>
      <c r="B267" s="8">
        <f ca="1">IFERROR(__xludf.DUMMYFUNCTION("""COMPUTED_VALUE"""),9)</f>
        <v>9</v>
      </c>
      <c r="C267" s="8">
        <f ca="1">IFERROR(__xludf.DUMMYFUNCTION("""COMPUTED_VALUE"""),22)</f>
        <v>22</v>
      </c>
      <c r="D267" s="8">
        <f ca="1">IFERROR(__xludf.DUMMYFUNCTION("""COMPUTED_VALUE"""),2024)</f>
        <v>2024</v>
      </c>
      <c r="E267" s="9">
        <f ca="1">IFERROR(__xludf.DUMMYFUNCTION("""COMPUTED_VALUE"""),45558)</f>
        <v>45558</v>
      </c>
      <c r="F267" s="8" t="str">
        <f ca="1">IFERROR(__xludf.DUMMYFUNCTION("""COMPUTED_VALUE"""),"Henderson Elementary School")</f>
        <v>Henderson Elementary School</v>
      </c>
      <c r="G267" s="8">
        <f ca="1">IFERROR(__xludf.DUMMYFUNCTION("""COMPUTED_VALUE"""),0)</f>
        <v>0</v>
      </c>
      <c r="H267" s="8">
        <f ca="1">IFERROR(__xludf.DUMMYFUNCTION("""COMPUTED_VALUE"""),1)</f>
        <v>1</v>
      </c>
      <c r="I267" s="8">
        <f ca="1">IFERROR(__xludf.DUMMYFUNCTION("""COMPUTED_VALUE"""),1)</f>
        <v>1</v>
      </c>
      <c r="J267" s="8">
        <f ca="1">IFERROR(__xludf.DUMMYFUNCTION("""COMPUTED_VALUE"""),0)</f>
        <v>0</v>
      </c>
      <c r="K267" s="10" t="str">
        <f ca="1">IFERROR(__xludf.DUMMYFUNCTION("""COMPUTED_VALUE"""),"https://abc7chicago.com/post/chicago-shooting-15-year-old-boy-shot-critically-injured-south-wolcott-avenue-west-englewood-police-say/15341448/")</f>
        <v>https://abc7chicago.com/post/chicago-shooting-15-year-old-boy-shot-critically-injured-south-wolcott-avenue-west-englewood-police-say/15341448/</v>
      </c>
      <c r="L267" s="8">
        <f ca="1">IFERROR(__xludf.DUMMYFUNCTION("""COMPUTED_VALUE"""),1)</f>
        <v>1</v>
      </c>
      <c r="M267" s="8" t="str">
        <f ca="1">IFERROR(__xludf.DUMMYFUNCTION("""COMPUTED_VALUE"""),"Local")</f>
        <v>Local</v>
      </c>
      <c r="N267" s="8">
        <f ca="1">IFERROR(__xludf.DUMMYFUNCTION("""COMPUTED_VALUE"""),3)</f>
        <v>3</v>
      </c>
      <c r="O267" s="8" t="str">
        <f ca="1">IFERROR(__xludf.DUMMYFUNCTION("""COMPUTED_VALUE"""),"Fall")</f>
        <v>Fall</v>
      </c>
      <c r="P267" s="8" t="str">
        <f ca="1">IFERROR(__xludf.DUMMYFUNCTION("""COMPUTED_VALUE"""),"Chicago")</f>
        <v>Chicago</v>
      </c>
      <c r="Q267" s="8" t="str">
        <f ca="1">IFERROR(__xludf.DUMMYFUNCTION("""COMPUTED_VALUE"""),"IL")</f>
        <v>IL</v>
      </c>
      <c r="R267" s="8" t="str">
        <f ca="1">IFERROR(__xludf.DUMMYFUNCTION("""COMPUTED_VALUE"""),"Elementary")</f>
        <v>Elementary</v>
      </c>
      <c r="S267" s="8" t="str">
        <f ca="1">IFERROR(__xludf.DUMMYFUNCTION("""COMPUTED_VALUE"""),"Beside Building")</f>
        <v>Beside Building</v>
      </c>
      <c r="T267" s="8" t="str">
        <f ca="1">IFERROR(__xludf.DUMMYFUNCTION("""COMPUTED_VALUE"""),"Outside on School Property")</f>
        <v>Outside on School Property</v>
      </c>
      <c r="U267" s="8" t="str">
        <f ca="1">IFERROR(__xludf.DUMMYFUNCTION("""COMPUTED_VALUE"""),"No")</f>
        <v>No</v>
      </c>
      <c r="V267" s="8" t="str">
        <f ca="1">IFERROR(__xludf.DUMMYFUNCTION("""COMPUTED_VALUE"""),"Evening")</f>
        <v>Evening</v>
      </c>
      <c r="W267" s="8"/>
      <c r="X267" s="8">
        <f ca="1">IFERROR(__xludf.DUMMYFUNCTION("""COMPUTED_VALUE"""),1)</f>
        <v>1</v>
      </c>
      <c r="Y267" s="12" t="str">
        <f ca="1">IFERROR(__xludf.DUMMYFUNCTION("""COMPUTED_VALUE"""),"Teen shot outside of school")</f>
        <v>Teen shot outside of school</v>
      </c>
      <c r="Z267" s="12" t="str">
        <f ca="1">IFERROR(__xludf.DUMMYFUNCTION("""COMPUTED_VALUE"""),"The shooting happened around 5:14 p.m. in the 5700 block of South Wolcott Avenue, right by Henderson Elementary School. The victim, a 15-year-old boy, was standing near a sidewalk at the location when an unknown vehicle pulled up and at least one person f"&amp;"rom inside got out and began to shoot at him, police said. The boy was shot multiple times in the legs, police said. He was taken to Comer Children's Hospital, where he was initially listed in critical condition.")</f>
        <v>The shooting happened around 5:14 p.m. in the 5700 block of South Wolcott Avenue, right by Henderson Elementary School. The victim, a 15-year-old boy, was standing near a sidewalk at the location when an unknown vehicle pulled up and at least one person from inside got out and began to shoot at him, police said. The boy was shot multiple times in the legs, police said. He was taken to Comer Children's Hospital, where he was initially listed in critical condition.</v>
      </c>
      <c r="AA267" s="8" t="str">
        <f ca="1">IFERROR(__xludf.DUMMYFUNCTION("""COMPUTED_VALUE"""),"Drive-by Shooting")</f>
        <v>Drive-by Shooting</v>
      </c>
      <c r="AB267" s="8" t="str">
        <f ca="1">IFERROR(__xludf.DUMMYFUNCTION("""COMPUTED_VALUE"""),"Targeted")</f>
        <v>Targeted</v>
      </c>
      <c r="AC267" s="8" t="str">
        <f ca="1">IFERROR(__xludf.DUMMYFUNCTION("""COMPUTED_VALUE"""),"No")</f>
        <v>No</v>
      </c>
      <c r="AD267" s="8" t="str">
        <f ca="1">IFERROR(__xludf.DUMMYFUNCTION("""COMPUTED_VALUE"""),"Victims Targeted")</f>
        <v>Victims Targeted</v>
      </c>
      <c r="AE267" s="8"/>
      <c r="AF267" s="8"/>
      <c r="AG267" s="8" t="str">
        <f ca="1">IFERROR(__xludf.DUMMYFUNCTION("""COMPUTED_VALUE"""),"No")</f>
        <v>No</v>
      </c>
      <c r="AH267" s="8" t="str">
        <f ca="1">IFERROR(__xludf.DUMMYFUNCTION("""COMPUTED_VALUE"""),"No")</f>
        <v>No</v>
      </c>
      <c r="AI267" s="8" t="str">
        <f ca="1">IFERROR(__xludf.DUMMYFUNCTION("""COMPUTED_VALUE"""),"No")</f>
        <v>No</v>
      </c>
      <c r="AJ267" s="8" t="str">
        <f ca="1">IFERROR(__xludf.DUMMYFUNCTION("""COMPUTED_VALUE"""),"No")</f>
        <v>No</v>
      </c>
      <c r="AK267" s="8" t="str">
        <f ca="1">IFERROR(__xludf.DUMMYFUNCTION("""COMPUTED_VALUE"""),"No")</f>
        <v>No</v>
      </c>
      <c r="AL267" s="8"/>
      <c r="AM267" s="8" t="str">
        <f ca="1">IFERROR(__xludf.DUMMYFUNCTION("""COMPUTED_VALUE"""),"No")</f>
        <v>No</v>
      </c>
      <c r="AN267" s="8" t="str">
        <f ca="1">IFERROR(__xludf.DUMMYFUNCTION("""COMPUTED_VALUE"""),"Outside")</f>
        <v>Outside</v>
      </c>
      <c r="AO267" s="8" t="str">
        <f ca="1">IFERROR(__xludf.DUMMYFUNCTION("""COMPUTED_VALUE"""),"No")</f>
        <v>No</v>
      </c>
      <c r="AP267" s="8"/>
      <c r="AQ267" s="8"/>
      <c r="AR267" s="8" t="str">
        <f ca="1">IFERROR(__xludf.DUMMYFUNCTION("""COMPUTED_VALUE"""),"Outside/Off-Property")</f>
        <v>Outside/Off-Property</v>
      </c>
      <c r="AS267" s="8">
        <f ca="1">IFERROR(__xludf.DUMMYFUNCTION("""COMPUTED_VALUE"""),99)</f>
        <v>99</v>
      </c>
      <c r="AT267" s="8" t="str">
        <f ca="1">IFERROR(__xludf.DUMMYFUNCTION("""COMPUTED_VALUE"""),"No")</f>
        <v>No</v>
      </c>
      <c r="AU267" s="8">
        <f ca="1">IFERROR(__xludf.DUMMYFUNCTION("""COMPUTED_VALUE"""),41.790667)</f>
        <v>41.790666999999999</v>
      </c>
      <c r="AV267" s="8">
        <f ca="1">IFERROR(__xludf.DUMMYFUNCTION("""COMPUTED_VALUE"""),-87.671889)</f>
        <v>-87.671888999999993</v>
      </c>
      <c r="AW267" s="8" t="str">
        <f ca="1">IFERROR(__xludf.DUMMYFUNCTION("""COMPUTED_VALUE"""),"Single building indoor hallway")</f>
        <v>Single building indoor hallway</v>
      </c>
      <c r="AX267" s="8">
        <f ca="1">IFERROR(__xludf.DUMMYFUNCTION("""COMPUTED_VALUE"""),60636)</f>
        <v>60636</v>
      </c>
    </row>
    <row r="268" spans="1:50" ht="105" x14ac:dyDescent="0.2">
      <c r="A268" s="8" t="str">
        <f ca="1">IFERROR(__xludf.DUMMYFUNCTION("""COMPUTED_VALUE"""),"20240922PAMAP")</f>
        <v>20240922PAMAP</v>
      </c>
      <c r="B268" s="8">
        <f ca="1">IFERROR(__xludf.DUMMYFUNCTION("""COMPUTED_VALUE"""),9)</f>
        <v>9</v>
      </c>
      <c r="C268" s="8">
        <f ca="1">IFERROR(__xludf.DUMMYFUNCTION("""COMPUTED_VALUE"""),22)</f>
        <v>22</v>
      </c>
      <c r="D268" s="8">
        <f ca="1">IFERROR(__xludf.DUMMYFUNCTION("""COMPUTED_VALUE"""),2024)</f>
        <v>2024</v>
      </c>
      <c r="E268" s="9">
        <f ca="1">IFERROR(__xludf.DUMMYFUNCTION("""COMPUTED_VALUE"""),45558)</f>
        <v>45558</v>
      </c>
      <c r="F268" s="8" t="str">
        <f ca="1">IFERROR(__xludf.DUMMYFUNCTION("""COMPUTED_VALUE"""),"Martin Luther King High School")</f>
        <v>Martin Luther King High School</v>
      </c>
      <c r="G268" s="8">
        <f ca="1">IFERROR(__xludf.DUMMYFUNCTION("""COMPUTED_VALUE"""),1)</f>
        <v>1</v>
      </c>
      <c r="H268" s="8">
        <f ca="1">IFERROR(__xludf.DUMMYFUNCTION("""COMPUTED_VALUE"""),0)</f>
        <v>0</v>
      </c>
      <c r="I268" s="8">
        <f ca="1">IFERROR(__xludf.DUMMYFUNCTION("""COMPUTED_VALUE"""),1)</f>
        <v>1</v>
      </c>
      <c r="J268" s="8">
        <f ca="1">IFERROR(__xludf.DUMMYFUNCTION("""COMPUTED_VALUE"""),0)</f>
        <v>0</v>
      </c>
      <c r="K268" s="10" t="str">
        <f ca="1">IFERROR(__xludf.DUMMYFUNCTION("""COMPUTED_VALUE"""),"https://6abc.com/post/police-investigating-after-mans-body-found-martin-luther-king-high-school-philadelphias-west-mt-airy-section/15343081/")</f>
        <v>https://6abc.com/post/police-investigating-after-mans-body-found-martin-luther-king-high-school-philadelphias-west-mt-airy-section/15343081/</v>
      </c>
      <c r="L268" s="8">
        <f ca="1">IFERROR(__xludf.DUMMYFUNCTION("""COMPUTED_VALUE"""),10)</f>
        <v>10</v>
      </c>
      <c r="M268" s="8" t="str">
        <f ca="1">IFERROR(__xludf.DUMMYFUNCTION("""COMPUTED_VALUE"""),"Regional")</f>
        <v>Regional</v>
      </c>
      <c r="N268" s="8">
        <f ca="1">IFERROR(__xludf.DUMMYFUNCTION("""COMPUTED_VALUE"""),4)</f>
        <v>4</v>
      </c>
      <c r="O268" s="8" t="str">
        <f ca="1">IFERROR(__xludf.DUMMYFUNCTION("""COMPUTED_VALUE"""),"Fall")</f>
        <v>Fall</v>
      </c>
      <c r="P268" s="8" t="str">
        <f ca="1">IFERROR(__xludf.DUMMYFUNCTION("""COMPUTED_VALUE"""),"Philadelphia")</f>
        <v>Philadelphia</v>
      </c>
      <c r="Q268" s="8" t="str">
        <f ca="1">IFERROR(__xludf.DUMMYFUNCTION("""COMPUTED_VALUE"""),"PA")</f>
        <v>PA</v>
      </c>
      <c r="R268" s="8" t="str">
        <f ca="1">IFERROR(__xludf.DUMMYFUNCTION("""COMPUTED_VALUE"""),"High")</f>
        <v>High</v>
      </c>
      <c r="S268" s="8" t="str">
        <f ca="1">IFERROR(__xludf.DUMMYFUNCTION("""COMPUTED_VALUE"""),"Beside Building")</f>
        <v>Beside Building</v>
      </c>
      <c r="T268" s="8" t="str">
        <f ca="1">IFERROR(__xludf.DUMMYFUNCTION("""COMPUTED_VALUE"""),"Outside on School Property")</f>
        <v>Outside on School Property</v>
      </c>
      <c r="U268" s="8" t="str">
        <f ca="1">IFERROR(__xludf.DUMMYFUNCTION("""COMPUTED_VALUE"""),"No")</f>
        <v>No</v>
      </c>
      <c r="V268" s="8" t="str">
        <f ca="1">IFERROR(__xludf.DUMMYFUNCTION("""COMPUTED_VALUE"""),"Night")</f>
        <v>Night</v>
      </c>
      <c r="W268" s="11">
        <f ca="1">IFERROR(__xludf.DUMMYFUNCTION("""COMPUTED_VALUE"""),0.989583333333333)</f>
        <v>0.98958333333333304</v>
      </c>
      <c r="X268" s="8">
        <f ca="1">IFERROR(__xludf.DUMMYFUNCTION("""COMPUTED_VALUE"""),1)</f>
        <v>1</v>
      </c>
      <c r="Y268" s="12" t="str">
        <f ca="1">IFERROR(__xludf.DUMMYFUNCTION("""COMPUTED_VALUE"""),"16-year-old was fatally shot in the grass next to the school")</f>
        <v>16-year-old was fatally shot in the grass next to the school</v>
      </c>
      <c r="Z268" s="12" t="str">
        <f ca="1">IFERROR(__xludf.DUMMYFUNCTION("""COMPUTED_VALUE"""),"A teenager was found dead on the property of Martin Luther King High School in Philadelphia's East Mt. Airy section Sunday night. It happened around 11:45 p.m. on the 5900 block of Stenton Avenue. Police say a passerby noticed a body in the grass near the"&amp;" school and called police. Three shell casing were found near the victim who was shot in the chest.")</f>
        <v>A teenager was found dead on the property of Martin Luther King High School in Philadelphia's East Mt. Airy section Sunday night. It happened around 11:45 p.m. on the 5900 block of Stenton Avenue. Police say a passerby noticed a body in the grass near the school and called police. Three shell casing were found near the victim who was shot in the chest.</v>
      </c>
      <c r="AA268" s="8"/>
      <c r="AB268" s="8" t="str">
        <f ca="1">IFERROR(__xludf.DUMMYFUNCTION("""COMPUTED_VALUE"""),"Targeted")</f>
        <v>Targeted</v>
      </c>
      <c r="AC268" s="8" t="str">
        <f ca="1">IFERROR(__xludf.DUMMYFUNCTION("""COMPUTED_VALUE"""),"No")</f>
        <v>No</v>
      </c>
      <c r="AD268" s="8" t="str">
        <f ca="1">IFERROR(__xludf.DUMMYFUNCTION("""COMPUTED_VALUE"""),"Victims Targeted")</f>
        <v>Victims Targeted</v>
      </c>
      <c r="AE268" s="8"/>
      <c r="AF268" s="8"/>
      <c r="AG268" s="8" t="str">
        <f ca="1">IFERROR(__xludf.DUMMYFUNCTION("""COMPUTED_VALUE"""),"No")</f>
        <v>No</v>
      </c>
      <c r="AH268" s="8" t="str">
        <f ca="1">IFERROR(__xludf.DUMMYFUNCTION("""COMPUTED_VALUE"""),"No")</f>
        <v>No</v>
      </c>
      <c r="AI268" s="8" t="str">
        <f ca="1">IFERROR(__xludf.DUMMYFUNCTION("""COMPUTED_VALUE"""),"No")</f>
        <v>No</v>
      </c>
      <c r="AJ268" s="8" t="str">
        <f ca="1">IFERROR(__xludf.DUMMYFUNCTION("""COMPUTED_VALUE"""),"No")</f>
        <v>No</v>
      </c>
      <c r="AK268" s="8" t="str">
        <f ca="1">IFERROR(__xludf.DUMMYFUNCTION("""COMPUTED_VALUE"""),"No")</f>
        <v>No</v>
      </c>
      <c r="AL268" s="8"/>
      <c r="AM268" s="8" t="str">
        <f ca="1">IFERROR(__xludf.DUMMYFUNCTION("""COMPUTED_VALUE"""),"No")</f>
        <v>No</v>
      </c>
      <c r="AN268" s="8" t="str">
        <f ca="1">IFERROR(__xludf.DUMMYFUNCTION("""COMPUTED_VALUE"""),"Outside")</f>
        <v>Outside</v>
      </c>
      <c r="AO268" s="8" t="str">
        <f ca="1">IFERROR(__xludf.DUMMYFUNCTION("""COMPUTED_VALUE"""),"No")</f>
        <v>No</v>
      </c>
      <c r="AP268" s="8"/>
      <c r="AQ268" s="8"/>
      <c r="AR268" s="8" t="str">
        <f ca="1">IFERROR(__xludf.DUMMYFUNCTION("""COMPUTED_VALUE"""),"Outside/Off-Property")</f>
        <v>Outside/Off-Property</v>
      </c>
      <c r="AS268" s="8">
        <f ca="1">IFERROR(__xludf.DUMMYFUNCTION("""COMPUTED_VALUE"""),3)</f>
        <v>3</v>
      </c>
      <c r="AT268" s="8" t="str">
        <f ca="1">IFERROR(__xludf.DUMMYFUNCTION("""COMPUTED_VALUE"""),"No")</f>
        <v>No</v>
      </c>
      <c r="AU268" s="8">
        <f ca="1">IFERROR(__xludf.DUMMYFUNCTION("""COMPUTED_VALUE"""),40.056969)</f>
        <v>40.056969000000002</v>
      </c>
      <c r="AV268" s="8">
        <f ca="1">IFERROR(__xludf.DUMMYFUNCTION("""COMPUTED_VALUE"""),-75.161901)</f>
        <v>-75.161901</v>
      </c>
      <c r="AW268" s="8" t="str">
        <f ca="1">IFERROR(__xludf.DUMMYFUNCTION("""COMPUTED_VALUE"""),"Multiple detached buildings")</f>
        <v>Multiple detached buildings</v>
      </c>
      <c r="AX268" s="8">
        <f ca="1">IFERROR(__xludf.DUMMYFUNCTION("""COMPUTED_VALUE"""),19138)</f>
        <v>19138</v>
      </c>
    </row>
    <row r="269" spans="1:50" ht="45" x14ac:dyDescent="0.2">
      <c r="A269" s="8" t="str">
        <f ca="1">IFERROR(__xludf.DUMMYFUNCTION("""COMPUTED_VALUE"""),"20240921GASOA")</f>
        <v>20240921GASOA</v>
      </c>
      <c r="B269" s="8">
        <f ca="1">IFERROR(__xludf.DUMMYFUNCTION("""COMPUTED_VALUE"""),9)</f>
        <v>9</v>
      </c>
      <c r="C269" s="8">
        <f ca="1">IFERROR(__xludf.DUMMYFUNCTION("""COMPUTED_VALUE"""),21)</f>
        <v>21</v>
      </c>
      <c r="D269" s="8">
        <f ca="1">IFERROR(__xludf.DUMMYFUNCTION("""COMPUTED_VALUE"""),2024)</f>
        <v>2024</v>
      </c>
      <c r="E269" s="9">
        <f ca="1">IFERROR(__xludf.DUMMYFUNCTION("""COMPUTED_VALUE"""),45556)</f>
        <v>45556</v>
      </c>
      <c r="F269" s="8" t="str">
        <f ca="1">IFERROR(__xludf.DUMMYFUNCTION("""COMPUTED_VALUE"""),"South Cobb High School")</f>
        <v>South Cobb High School</v>
      </c>
      <c r="G269" s="8">
        <f ca="1">IFERROR(__xludf.DUMMYFUNCTION("""COMPUTED_VALUE"""),0)</f>
        <v>0</v>
      </c>
      <c r="H269" s="8">
        <f ca="1">IFERROR(__xludf.DUMMYFUNCTION("""COMPUTED_VALUE"""),1)</f>
        <v>1</v>
      </c>
      <c r="I269" s="8">
        <f ca="1">IFERROR(__xludf.DUMMYFUNCTION("""COMPUTED_VALUE"""),1)</f>
        <v>1</v>
      </c>
      <c r="J269" s="8">
        <f ca="1">IFERROR(__xludf.DUMMYFUNCTION("""COMPUTED_VALUE"""),0)</f>
        <v>0</v>
      </c>
      <c r="K269" s="8" t="str">
        <f ca="1">IFERROR(__xludf.DUMMYFUNCTION("""COMPUTED_VALUE"""),"https://www.fox5atlanta.com/news/south-cobb-high-school-shooting-suspects
https://www.atlantanewsfirst.com/2024/09/22/police-investigating-shooting-south-cobb-high-school-austell-district-says/")</f>
        <v>https://www.fox5atlanta.com/news/south-cobb-high-school-shooting-suspects
https://www.atlantanewsfirst.com/2024/09/22/police-investigating-shooting-south-cobb-high-school-austell-district-says/</v>
      </c>
      <c r="L269" s="8">
        <f ca="1">IFERROR(__xludf.DUMMYFUNCTION("""COMPUTED_VALUE"""),10)</f>
        <v>10</v>
      </c>
      <c r="M269" s="8" t="str">
        <f ca="1">IFERROR(__xludf.DUMMYFUNCTION("""COMPUTED_VALUE"""),"Regional")</f>
        <v>Regional</v>
      </c>
      <c r="N269" s="8">
        <f ca="1">IFERROR(__xludf.DUMMYFUNCTION("""COMPUTED_VALUE"""),4)</f>
        <v>4</v>
      </c>
      <c r="O269" s="8" t="str">
        <f ca="1">IFERROR(__xludf.DUMMYFUNCTION("""COMPUTED_VALUE"""),"Fall")</f>
        <v>Fall</v>
      </c>
      <c r="P269" s="8" t="str">
        <f ca="1">IFERROR(__xludf.DUMMYFUNCTION("""COMPUTED_VALUE"""),"Austell")</f>
        <v>Austell</v>
      </c>
      <c r="Q269" s="8" t="str">
        <f ca="1">IFERROR(__xludf.DUMMYFUNCTION("""COMPUTED_VALUE"""),"GA")</f>
        <v>GA</v>
      </c>
      <c r="R269" s="8" t="str">
        <f ca="1">IFERROR(__xludf.DUMMYFUNCTION("""COMPUTED_VALUE"""),"High")</f>
        <v>High</v>
      </c>
      <c r="S269" s="8" t="str">
        <f ca="1">IFERROR(__xludf.DUMMYFUNCTION("""COMPUTED_VALUE"""),"Football Field/Track")</f>
        <v>Football Field/Track</v>
      </c>
      <c r="T269" s="8" t="str">
        <f ca="1">IFERROR(__xludf.DUMMYFUNCTION("""COMPUTED_VALUE"""),"Outside on School Property")</f>
        <v>Outside on School Property</v>
      </c>
      <c r="U269" s="8" t="str">
        <f ca="1">IFERROR(__xludf.DUMMYFUNCTION("""COMPUTED_VALUE"""),"No")</f>
        <v>No</v>
      </c>
      <c r="V269" s="8" t="str">
        <f ca="1">IFERROR(__xludf.DUMMYFUNCTION("""COMPUTED_VALUE"""),"School Event")</f>
        <v>School Event</v>
      </c>
      <c r="W269" s="11">
        <f ca="1">IFERROR(__xludf.DUMMYFUNCTION("""COMPUTED_VALUE"""),0.875)</f>
        <v>0.875</v>
      </c>
      <c r="X269" s="8">
        <f ca="1">IFERROR(__xludf.DUMMYFUNCTION("""COMPUTED_VALUE"""),1)</f>
        <v>1</v>
      </c>
      <c r="Y269" s="12" t="str">
        <f ca="1">IFERROR(__xludf.DUMMYFUNCTION("""COMPUTED_VALUE"""),"Person shot during event on the football field")</f>
        <v>Person shot during event on the football field</v>
      </c>
      <c r="Z269" s="12" t="str">
        <f ca="1">IFERROR(__xludf.DUMMYFUNCTION("""COMPUTED_VALUE"""),"Person was shot during a community event in the high school football stadium.")</f>
        <v>Person was shot during a community event in the high school football stadium.</v>
      </c>
      <c r="AA269" s="8"/>
      <c r="AB269" s="8"/>
      <c r="AC269" s="8"/>
      <c r="AD269" s="8"/>
      <c r="AE269" s="8" t="str">
        <f ca="1">IFERROR(__xludf.DUMMYFUNCTION("""COMPUTED_VALUE"""),"No")</f>
        <v>No</v>
      </c>
      <c r="AF269" s="8"/>
      <c r="AG269" s="8" t="str">
        <f ca="1">IFERROR(__xludf.DUMMYFUNCTION("""COMPUTED_VALUE"""),"No")</f>
        <v>No</v>
      </c>
      <c r="AH269" s="8" t="str">
        <f ca="1">IFERROR(__xludf.DUMMYFUNCTION("""COMPUTED_VALUE"""),"No")</f>
        <v>No</v>
      </c>
      <c r="AI269" s="8" t="str">
        <f ca="1">IFERROR(__xludf.DUMMYFUNCTION("""COMPUTED_VALUE"""),"No")</f>
        <v>No</v>
      </c>
      <c r="AJ269" s="8" t="str">
        <f ca="1">IFERROR(__xludf.DUMMYFUNCTION("""COMPUTED_VALUE"""),"No")</f>
        <v>No</v>
      </c>
      <c r="AK269" s="8"/>
      <c r="AL269" s="8"/>
      <c r="AM269" s="8" t="str">
        <f ca="1">IFERROR(__xludf.DUMMYFUNCTION("""COMPUTED_VALUE"""),"No")</f>
        <v>No</v>
      </c>
      <c r="AN269" s="8" t="str">
        <f ca="1">IFERROR(__xludf.DUMMYFUNCTION("""COMPUTED_VALUE"""),"Outside")</f>
        <v>Outside</v>
      </c>
      <c r="AO269" s="8" t="str">
        <f ca="1">IFERROR(__xludf.DUMMYFUNCTION("""COMPUTED_VALUE"""),"No")</f>
        <v>No</v>
      </c>
      <c r="AP269" s="8"/>
      <c r="AQ269" s="8"/>
      <c r="AR269" s="8" t="str">
        <f ca="1">IFERROR(__xludf.DUMMYFUNCTION("""COMPUTED_VALUE"""),"Outside/Off-Property")</f>
        <v>Outside/Off-Property</v>
      </c>
      <c r="AS269" s="8">
        <f ca="1">IFERROR(__xludf.DUMMYFUNCTION("""COMPUTED_VALUE"""),99)</f>
        <v>99</v>
      </c>
      <c r="AT269" s="8" t="str">
        <f ca="1">IFERROR(__xludf.DUMMYFUNCTION("""COMPUTED_VALUE"""),"No")</f>
        <v>No</v>
      </c>
      <c r="AU269" s="8">
        <f ca="1">IFERROR(__xludf.DUMMYFUNCTION("""COMPUTED_VALUE"""),33.835155)</f>
        <v>33.835155</v>
      </c>
      <c r="AV269" s="8">
        <f ca="1">IFERROR(__xludf.DUMMYFUNCTION("""COMPUTED_VALUE"""),-84.610558)</f>
        <v>-84.610557999999997</v>
      </c>
      <c r="AW269" s="8" t="str">
        <f ca="1">IFERROR(__xludf.DUMMYFUNCTION("""COMPUTED_VALUE"""),"Multiple detached buildings")</f>
        <v>Multiple detached buildings</v>
      </c>
      <c r="AX269" s="8">
        <f ca="1">IFERROR(__xludf.DUMMYFUNCTION("""COMPUTED_VALUE"""),30106)</f>
        <v>30106</v>
      </c>
    </row>
    <row r="270" spans="1:50" ht="150" x14ac:dyDescent="0.2">
      <c r="A270" s="8" t="str">
        <f ca="1">IFERROR(__xludf.DUMMYFUNCTION("""COMPUTED_VALUE"""),"20240920LADED")</f>
        <v>20240920LADED</v>
      </c>
      <c r="B270" s="8">
        <f ca="1">IFERROR(__xludf.DUMMYFUNCTION("""COMPUTED_VALUE"""),9)</f>
        <v>9</v>
      </c>
      <c r="C270" s="8">
        <f ca="1">IFERROR(__xludf.DUMMYFUNCTION("""COMPUTED_VALUE"""),20)</f>
        <v>20</v>
      </c>
      <c r="D270" s="8">
        <f ca="1">IFERROR(__xludf.DUMMYFUNCTION("""COMPUTED_VALUE"""),2024)</f>
        <v>2024</v>
      </c>
      <c r="E270" s="9">
        <f ca="1">IFERROR(__xludf.DUMMYFUNCTION("""COMPUTED_VALUE"""),45555)</f>
        <v>45555</v>
      </c>
      <c r="F270" s="8" t="str">
        <f ca="1">IFERROR(__xludf.DUMMYFUNCTION("""COMPUTED_VALUE"""),"DeRidder High School")</f>
        <v>DeRidder High School</v>
      </c>
      <c r="G270" s="8">
        <f ca="1">IFERROR(__xludf.DUMMYFUNCTION("""COMPUTED_VALUE"""),0)</f>
        <v>0</v>
      </c>
      <c r="H270" s="8">
        <f ca="1">IFERROR(__xludf.DUMMYFUNCTION("""COMPUTED_VALUE"""),1)</f>
        <v>1</v>
      </c>
      <c r="I270" s="8">
        <f ca="1">IFERROR(__xludf.DUMMYFUNCTION("""COMPUTED_VALUE"""),1)</f>
        <v>1</v>
      </c>
      <c r="J270" s="8">
        <f ca="1">IFERROR(__xludf.DUMMYFUNCTION("""COMPUTED_VALUE"""),0)</f>
        <v>0</v>
      </c>
      <c r="K270" s="10" t="str">
        <f ca="1">IFERROR(__xludf.DUMMYFUNCTION("""COMPUTED_VALUE"""),"https://www.cenlanow.com/news/crime/deridder-teen-shot-during-high-school-band-practice/")</f>
        <v>https://www.cenlanow.com/news/crime/deridder-teen-shot-during-high-school-band-practice/</v>
      </c>
      <c r="L270" s="8">
        <f ca="1">IFERROR(__xludf.DUMMYFUNCTION("""COMPUTED_VALUE"""),1)</f>
        <v>1</v>
      </c>
      <c r="M270" s="8" t="str">
        <f ca="1">IFERROR(__xludf.DUMMYFUNCTION("""COMPUTED_VALUE"""),"Local")</f>
        <v>Local</v>
      </c>
      <c r="N270" s="8">
        <f ca="1">IFERROR(__xludf.DUMMYFUNCTION("""COMPUTED_VALUE"""),4)</f>
        <v>4</v>
      </c>
      <c r="O270" s="8" t="str">
        <f ca="1">IFERROR(__xludf.DUMMYFUNCTION("""COMPUTED_VALUE"""),"Fall")</f>
        <v>Fall</v>
      </c>
      <c r="P270" s="8" t="str">
        <f ca="1">IFERROR(__xludf.DUMMYFUNCTION("""COMPUTED_VALUE"""),"DeRidder")</f>
        <v>DeRidder</v>
      </c>
      <c r="Q270" s="8" t="str">
        <f ca="1">IFERROR(__xludf.DUMMYFUNCTION("""COMPUTED_VALUE"""),"LA")</f>
        <v>LA</v>
      </c>
      <c r="R270" s="8" t="str">
        <f ca="1">IFERROR(__xludf.DUMMYFUNCTION("""COMPUTED_VALUE"""),"High")</f>
        <v>High</v>
      </c>
      <c r="S270" s="8" t="str">
        <f ca="1">IFERROR(__xludf.DUMMYFUNCTION("""COMPUTED_VALUE"""),"Football Field/Track")</f>
        <v>Football Field/Track</v>
      </c>
      <c r="T270" s="8" t="str">
        <f ca="1">IFERROR(__xludf.DUMMYFUNCTION("""COMPUTED_VALUE"""),"Outside on School Property")</f>
        <v>Outside on School Property</v>
      </c>
      <c r="U270" s="8" t="str">
        <f ca="1">IFERROR(__xludf.DUMMYFUNCTION("""COMPUTED_VALUE"""),"Yes")</f>
        <v>Yes</v>
      </c>
      <c r="V270" s="8" t="str">
        <f ca="1">IFERROR(__xludf.DUMMYFUNCTION("""COMPUTED_VALUE"""),"School Event")</f>
        <v>School Event</v>
      </c>
      <c r="W270" s="11">
        <f ca="1">IFERROR(__xludf.DUMMYFUNCTION("""COMPUTED_VALUE"""),0.905555555555555)</f>
        <v>0.905555555555555</v>
      </c>
      <c r="X270" s="8">
        <f ca="1">IFERROR(__xludf.DUMMYFUNCTION("""COMPUTED_VALUE"""),1)</f>
        <v>1</v>
      </c>
      <c r="Y270" s="12" t="str">
        <f ca="1">IFERROR(__xludf.DUMMYFUNCTION("""COMPUTED_VALUE"""),"Student shot during fight at marching band practice")</f>
        <v>Student shot during fight at marching band practice</v>
      </c>
      <c r="Z270" s="12" t="str">
        <f ca="1">IFERROR(__xludf.DUMMYFUNCTION("""COMPUTED_VALUE"""),"The DeRidder Police Department received a report from Beauregard Health System at approximately 11:32 p.m. of a juvenile with a gunshot wound, prompting an investigation, according to a statement from police. The investigation revealed that Anthony Ray Go"&amp;"ldman, 18, of Cleveland, Texas, was at the band practice field on Oneal Street around 9:44 p.m. when he allegedly fired several rounds from a .22-caliber handgun, striking a juvenile. A physical altercation between Goldman and the juvenile reportedly foll"&amp;"owed.")</f>
        <v>The DeRidder Police Department received a report from Beauregard Health System at approximately 11:32 p.m. of a juvenile with a gunshot wound, prompting an investigation, according to a statement from police. The investigation revealed that Anthony Ray Goldman, 18, of Cleveland, Texas, was at the band practice field on Oneal Street around 9:44 p.m. when he allegedly fired several rounds from a .22-caliber handgun, striking a juvenile. A physical altercation between Goldman and the juvenile reportedly followed.</v>
      </c>
      <c r="AA270" s="8" t="str">
        <f ca="1">IFERROR(__xludf.DUMMYFUNCTION("""COMPUTED_VALUE"""),"Escalation of Dispute")</f>
        <v>Escalation of Dispute</v>
      </c>
      <c r="AB270" s="8" t="str">
        <f ca="1">IFERROR(__xludf.DUMMYFUNCTION("""COMPUTED_VALUE"""),"Spontaneous")</f>
        <v>Spontaneous</v>
      </c>
      <c r="AC270" s="8" t="str">
        <f ca="1">IFERROR(__xludf.DUMMYFUNCTION("""COMPUTED_VALUE"""),"Yes")</f>
        <v>Yes</v>
      </c>
      <c r="AD270" s="8" t="str">
        <f ca="1">IFERROR(__xludf.DUMMYFUNCTION("""COMPUTED_VALUE"""),"Victims Targeted")</f>
        <v>Victims Targeted</v>
      </c>
      <c r="AE270" s="8" t="str">
        <f ca="1">IFERROR(__xludf.DUMMYFUNCTION("""COMPUTED_VALUE"""),"No")</f>
        <v>No</v>
      </c>
      <c r="AF270" s="8"/>
      <c r="AG270" s="8" t="str">
        <f ca="1">IFERROR(__xludf.DUMMYFUNCTION("""COMPUTED_VALUE"""),"No")</f>
        <v>No</v>
      </c>
      <c r="AH270" s="8" t="str">
        <f ca="1">IFERROR(__xludf.DUMMYFUNCTION("""COMPUTED_VALUE"""),"No")</f>
        <v>No</v>
      </c>
      <c r="AI270" s="8" t="str">
        <f ca="1">IFERROR(__xludf.DUMMYFUNCTION("""COMPUTED_VALUE"""),"No")</f>
        <v>No</v>
      </c>
      <c r="AJ270" s="8" t="str">
        <f ca="1">IFERROR(__xludf.DUMMYFUNCTION("""COMPUTED_VALUE"""),"No")</f>
        <v>No</v>
      </c>
      <c r="AK270" s="8" t="str">
        <f ca="1">IFERROR(__xludf.DUMMYFUNCTION("""COMPUTED_VALUE"""),"No")</f>
        <v>No</v>
      </c>
      <c r="AL270" s="8"/>
      <c r="AM270" s="8" t="str">
        <f ca="1">IFERROR(__xludf.DUMMYFUNCTION("""COMPUTED_VALUE"""),"No")</f>
        <v>No</v>
      </c>
      <c r="AN270" s="8" t="str">
        <f ca="1">IFERROR(__xludf.DUMMYFUNCTION("""COMPUTED_VALUE"""),"Outside")</f>
        <v>Outside</v>
      </c>
      <c r="AO270" s="8" t="str">
        <f ca="1">IFERROR(__xludf.DUMMYFUNCTION("""COMPUTED_VALUE"""),"No")</f>
        <v>No</v>
      </c>
      <c r="AP270" s="8"/>
      <c r="AQ270" s="8"/>
      <c r="AR270" s="8" t="str">
        <f ca="1">IFERROR(__xludf.DUMMYFUNCTION("""COMPUTED_VALUE"""),"Outside/Off-Property")</f>
        <v>Outside/Off-Property</v>
      </c>
      <c r="AS270" s="8">
        <f ca="1">IFERROR(__xludf.DUMMYFUNCTION("""COMPUTED_VALUE"""),99)</f>
        <v>99</v>
      </c>
      <c r="AT270" s="8" t="str">
        <f ca="1">IFERROR(__xludf.DUMMYFUNCTION("""COMPUTED_VALUE"""),"No")</f>
        <v>No</v>
      </c>
      <c r="AU270" s="8">
        <f ca="1">IFERROR(__xludf.DUMMYFUNCTION("""COMPUTED_VALUE"""),30.856175)</f>
        <v>30.856175</v>
      </c>
      <c r="AV270" s="8">
        <f ca="1">IFERROR(__xludf.DUMMYFUNCTION("""COMPUTED_VALUE"""),-93.307575)</f>
        <v>-93.307575</v>
      </c>
      <c r="AW270" s="8" t="str">
        <f ca="1">IFERROR(__xludf.DUMMYFUNCTION("""COMPUTED_VALUE"""),"Multiple detached buildings")</f>
        <v>Multiple detached buildings</v>
      </c>
      <c r="AX270" s="8">
        <f ca="1">IFERROR(__xludf.DUMMYFUNCTION("""COMPUTED_VALUE"""),70634)</f>
        <v>70634</v>
      </c>
    </row>
    <row r="271" spans="1:50" ht="120" x14ac:dyDescent="0.2">
      <c r="A271" s="8" t="str">
        <f ca="1">IFERROR(__xludf.DUMMYFUNCTION("""COMPUTED_VALUE"""),"20240920TXMAM")</f>
        <v>20240920TXMAM</v>
      </c>
      <c r="B271" s="8">
        <f ca="1">IFERROR(__xludf.DUMMYFUNCTION("""COMPUTED_VALUE"""),9)</f>
        <v>9</v>
      </c>
      <c r="C271" s="8">
        <f ca="1">IFERROR(__xludf.DUMMYFUNCTION("""COMPUTED_VALUE"""),20)</f>
        <v>20</v>
      </c>
      <c r="D271" s="8">
        <f ca="1">IFERROR(__xludf.DUMMYFUNCTION("""COMPUTED_VALUE"""),2024)</f>
        <v>2024</v>
      </c>
      <c r="E271" s="9">
        <f ca="1">IFERROR(__xludf.DUMMYFUNCTION("""COMPUTED_VALUE"""),45555)</f>
        <v>45555</v>
      </c>
      <c r="F271" s="8" t="str">
        <f ca="1">IFERROR(__xludf.DUMMYFUNCTION("""COMPUTED_VALUE"""),"Marble Falls High School")</f>
        <v>Marble Falls High School</v>
      </c>
      <c r="G271" s="8">
        <f ca="1">IFERROR(__xludf.DUMMYFUNCTION("""COMPUTED_VALUE"""),0)</f>
        <v>0</v>
      </c>
      <c r="H271" s="8">
        <f ca="1">IFERROR(__xludf.DUMMYFUNCTION("""COMPUTED_VALUE"""),1)</f>
        <v>1</v>
      </c>
      <c r="I271" s="8">
        <f ca="1">IFERROR(__xludf.DUMMYFUNCTION("""COMPUTED_VALUE"""),1)</f>
        <v>1</v>
      </c>
      <c r="J271" s="8">
        <f ca="1">IFERROR(__xludf.DUMMYFUNCTION("""COMPUTED_VALUE"""),0)</f>
        <v>0</v>
      </c>
      <c r="K271" s="10" t="str">
        <f ca="1">IFERROR(__xludf.DUMMYFUNCTION("""COMPUTED_VALUE"""),"https://www.ksat.com/news/local/2024/09/22/brackenridge-jrotc-students-help-school-resource-officer-after-accidental-shooting/")</f>
        <v>https://www.ksat.com/news/local/2024/09/22/brackenridge-jrotc-students-help-school-resource-officer-after-accidental-shooting/</v>
      </c>
      <c r="L271" s="8">
        <f ca="1">IFERROR(__xludf.DUMMYFUNCTION("""COMPUTED_VALUE"""),10)</f>
        <v>10</v>
      </c>
      <c r="M271" s="8" t="str">
        <f ca="1">IFERROR(__xludf.DUMMYFUNCTION("""COMPUTED_VALUE"""),"Regional")</f>
        <v>Regional</v>
      </c>
      <c r="N271" s="8">
        <f ca="1">IFERROR(__xludf.DUMMYFUNCTION("""COMPUTED_VALUE"""),5)</f>
        <v>5</v>
      </c>
      <c r="O271" s="8" t="str">
        <f ca="1">IFERROR(__xludf.DUMMYFUNCTION("""COMPUTED_VALUE"""),"Fall")</f>
        <v>Fall</v>
      </c>
      <c r="P271" s="8" t="str">
        <f ca="1">IFERROR(__xludf.DUMMYFUNCTION("""COMPUTED_VALUE"""),"Marble Falls")</f>
        <v>Marble Falls</v>
      </c>
      <c r="Q271" s="8" t="str">
        <f ca="1">IFERROR(__xludf.DUMMYFUNCTION("""COMPUTED_VALUE"""),"TX")</f>
        <v>TX</v>
      </c>
      <c r="R271" s="8" t="str">
        <f ca="1">IFERROR(__xludf.DUMMYFUNCTION("""COMPUTED_VALUE"""),"High")</f>
        <v>High</v>
      </c>
      <c r="S271" s="8" t="str">
        <f ca="1">IFERROR(__xludf.DUMMYFUNCTION("""COMPUTED_VALUE"""),"Parking Lot")</f>
        <v>Parking Lot</v>
      </c>
      <c r="T271" s="8" t="str">
        <f ca="1">IFERROR(__xludf.DUMMYFUNCTION("""COMPUTED_VALUE"""),"Outside on School Property")</f>
        <v>Outside on School Property</v>
      </c>
      <c r="U271" s="8" t="str">
        <f ca="1">IFERROR(__xludf.DUMMYFUNCTION("""COMPUTED_VALUE"""),"No")</f>
        <v>No</v>
      </c>
      <c r="V271" s="8" t="str">
        <f ca="1">IFERROR(__xludf.DUMMYFUNCTION("""COMPUTED_VALUE"""),"Sport Event")</f>
        <v>Sport Event</v>
      </c>
      <c r="W271" s="11">
        <f ca="1">IFERROR(__xludf.DUMMYFUNCTION("""COMPUTED_VALUE"""),0.746527777777777)</f>
        <v>0.74652777777777701</v>
      </c>
      <c r="X271" s="8">
        <f ca="1">IFERROR(__xludf.DUMMYFUNCTION("""COMPUTED_VALUE"""),1)</f>
        <v>1</v>
      </c>
      <c r="Y271" s="12" t="str">
        <f ca="1">IFERROR(__xludf.DUMMYFUNCTION("""COMPUTED_VALUE"""),"SRO shot himself in the leg in the parking lot before a high school football game")</f>
        <v>SRO shot himself in the leg in the parking lot before a high school football game</v>
      </c>
      <c r="Z271" s="12" t="str">
        <f ca="1">IFERROR(__xludf.DUMMYFUNCTION("""COMPUTED_VALUE"""),"“At approximately 5:55 this evening, an MFISD school resource officer (SRO) experienced an accidental discharge of his firearm while seated inside the holster. This subsequently resulted in a non-life-threatening injury to his leg. The officer was on MFHS"&amp;" property near the visitor parking area. He has been transported via helicopter. The visitor parking area experienced disruption for a short period, but it is open as of 6:32pm.")</f>
        <v>“At approximately 5:55 this evening, an MFISD school resource officer (SRO) experienced an accidental discharge of his firearm while seated inside the holster. This subsequently resulted in a non-life-threatening injury to his leg. The officer was on MFHS property near the visitor parking area. He has been transported via helicopter. The visitor parking area experienced disruption for a short period, but it is open as of 6:32pm.</v>
      </c>
      <c r="AA271" s="8" t="str">
        <f ca="1">IFERROR(__xludf.DUMMYFUNCTION("""COMPUTED_VALUE"""),"Accidental")</f>
        <v>Accidental</v>
      </c>
      <c r="AB271" s="8" t="str">
        <f ca="1">IFERROR(__xludf.DUMMYFUNCTION("""COMPUTED_VALUE"""),"Spontaneous")</f>
        <v>Spontaneous</v>
      </c>
      <c r="AC271" s="8" t="str">
        <f ca="1">IFERROR(__xludf.DUMMYFUNCTION("""COMPUTED_VALUE"""),"Yes")</f>
        <v>Yes</v>
      </c>
      <c r="AD271" s="8" t="str">
        <f ca="1">IFERROR(__xludf.DUMMYFUNCTION("""COMPUTED_VALUE"""),"Neither")</f>
        <v>Neither</v>
      </c>
      <c r="AE271" s="8" t="str">
        <f ca="1">IFERROR(__xludf.DUMMYFUNCTION("""COMPUTED_VALUE"""),"No")</f>
        <v>No</v>
      </c>
      <c r="AF271" s="8"/>
      <c r="AG271" s="8" t="str">
        <f ca="1">IFERROR(__xludf.DUMMYFUNCTION("""COMPUTED_VALUE"""),"No")</f>
        <v>No</v>
      </c>
      <c r="AH271" s="8" t="str">
        <f ca="1">IFERROR(__xludf.DUMMYFUNCTION("""COMPUTED_VALUE"""),"No")</f>
        <v>No</v>
      </c>
      <c r="AI271" s="8" t="str">
        <f ca="1">IFERROR(__xludf.DUMMYFUNCTION("""COMPUTED_VALUE"""),"Yes")</f>
        <v>Yes</v>
      </c>
      <c r="AJ271" s="8" t="str">
        <f ca="1">IFERROR(__xludf.DUMMYFUNCTION("""COMPUTED_VALUE"""),"No")</f>
        <v>No</v>
      </c>
      <c r="AK271" s="8" t="str">
        <f ca="1">IFERROR(__xludf.DUMMYFUNCTION("""COMPUTED_VALUE"""),"No")</f>
        <v>No</v>
      </c>
      <c r="AL271" s="8" t="str">
        <f ca="1">IFERROR(__xludf.DUMMYFUNCTION("""COMPUTED_VALUE"""),"No")</f>
        <v>No</v>
      </c>
      <c r="AM271" s="8" t="str">
        <f ca="1">IFERROR(__xludf.DUMMYFUNCTION("""COMPUTED_VALUE"""),"No")</f>
        <v>No</v>
      </c>
      <c r="AN271" s="8" t="str">
        <f ca="1">IFERROR(__xludf.DUMMYFUNCTION("""COMPUTED_VALUE"""),"Outside")</f>
        <v>Outside</v>
      </c>
      <c r="AO271" s="8" t="str">
        <f ca="1">IFERROR(__xludf.DUMMYFUNCTION("""COMPUTED_VALUE"""),"No")</f>
        <v>No</v>
      </c>
      <c r="AP271" s="8" t="str">
        <f ca="1">IFERROR(__xludf.DUMMYFUNCTION("""COMPUTED_VALUE"""),"Yes")</f>
        <v>Yes</v>
      </c>
      <c r="AQ271" s="8"/>
      <c r="AR271" s="8" t="str">
        <f ca="1">IFERROR(__xludf.DUMMYFUNCTION("""COMPUTED_VALUE"""),"Outside/Off-Property")</f>
        <v>Outside/Off-Property</v>
      </c>
      <c r="AS271" s="8">
        <f ca="1">IFERROR(__xludf.DUMMYFUNCTION("""COMPUTED_VALUE"""),1)</f>
        <v>1</v>
      </c>
      <c r="AT271" s="8" t="str">
        <f ca="1">IFERROR(__xludf.DUMMYFUNCTION("""COMPUTED_VALUE"""),"No")</f>
        <v>No</v>
      </c>
      <c r="AU271" s="8">
        <f ca="1">IFERROR(__xludf.DUMMYFUNCTION("""COMPUTED_VALUE"""),30.584331)</f>
        <v>30.584330999999999</v>
      </c>
      <c r="AV271" s="8">
        <f ca="1">IFERROR(__xludf.DUMMYFUNCTION("""COMPUTED_VALUE"""),-98.253063)</f>
        <v>-98.253062999999997</v>
      </c>
      <c r="AW271" s="8" t="str">
        <f ca="1">IFERROR(__xludf.DUMMYFUNCTION("""COMPUTED_VALUE"""),"Multiple detached buildings")</f>
        <v>Multiple detached buildings</v>
      </c>
      <c r="AX271" s="8">
        <f ca="1">IFERROR(__xludf.DUMMYFUNCTION("""COMPUTED_VALUE"""),78654)</f>
        <v>78654</v>
      </c>
    </row>
    <row r="272" spans="1:50" ht="375" x14ac:dyDescent="0.2">
      <c r="A272" s="8" t="str">
        <f ca="1">IFERROR(__xludf.DUMMYFUNCTION("""COMPUTED_VALUE"""),"20240920WVSGM")</f>
        <v>20240920WVSGM</v>
      </c>
      <c r="B272" s="8">
        <f ca="1">IFERROR(__xludf.DUMMYFUNCTION("""COMPUTED_VALUE"""),9)</f>
        <v>9</v>
      </c>
      <c r="C272" s="8">
        <f ca="1">IFERROR(__xludf.DUMMYFUNCTION("""COMPUTED_VALUE"""),20)</f>
        <v>20</v>
      </c>
      <c r="D272" s="8">
        <f ca="1">IFERROR(__xludf.DUMMYFUNCTION("""COMPUTED_VALUE"""),2024)</f>
        <v>2024</v>
      </c>
      <c r="E272" s="9">
        <f ca="1">IFERROR(__xludf.DUMMYFUNCTION("""COMPUTED_VALUE"""),45555)</f>
        <v>45555</v>
      </c>
      <c r="F272" s="8" t="str">
        <f ca="1">IFERROR(__xludf.DUMMYFUNCTION("""COMPUTED_VALUE"""),"Sharon Dawes Elementary")</f>
        <v>Sharon Dawes Elementary</v>
      </c>
      <c r="G272" s="8">
        <f ca="1">IFERROR(__xludf.DUMMYFUNCTION("""COMPUTED_VALUE"""),0)</f>
        <v>0</v>
      </c>
      <c r="H272" s="8">
        <f ca="1">IFERROR(__xludf.DUMMYFUNCTION("""COMPUTED_VALUE"""),0)</f>
        <v>0</v>
      </c>
      <c r="I272" s="8">
        <f ca="1">IFERROR(__xludf.DUMMYFUNCTION("""COMPUTED_VALUE"""),0)</f>
        <v>0</v>
      </c>
      <c r="J272" s="8">
        <f ca="1">IFERROR(__xludf.DUMMYFUNCTION("""COMPUTED_VALUE"""),0)</f>
        <v>0</v>
      </c>
      <c r="K272" s="8" t="str">
        <f ca="1">IFERROR(__xludf.DUMMYFUNCTION("""COMPUTED_VALUE"""),"https://www.wfxrtv.com/news/regional-news/west-virginia-news/shots-fired-near-elementary-school-search-underway-in-kanawha-county/amp/
https://www.wowktv.com/news/west-virginia/kanawha-county-wv/shots-fired-near-kanawha-county-elementary-school-search-und"&amp;"erway/")</f>
        <v>https://www.wfxrtv.com/news/regional-news/west-virginia-news/shots-fired-near-elementary-school-search-underway-in-kanawha-county/amp/
https://www.wowktv.com/news/west-virginia/kanawha-county-wv/shots-fired-near-kanawha-county-elementary-school-search-underway/</v>
      </c>
      <c r="L272" s="8">
        <f ca="1">IFERROR(__xludf.DUMMYFUNCTION("""COMPUTED_VALUE"""),2)</f>
        <v>2</v>
      </c>
      <c r="M272" s="8" t="str">
        <f ca="1">IFERROR(__xludf.DUMMYFUNCTION("""COMPUTED_VALUE"""),"Local")</f>
        <v>Local</v>
      </c>
      <c r="N272" s="8">
        <f ca="1">IFERROR(__xludf.DUMMYFUNCTION("""COMPUTED_VALUE"""),4)</f>
        <v>4</v>
      </c>
      <c r="O272" s="8" t="str">
        <f ca="1">IFERROR(__xludf.DUMMYFUNCTION("""COMPUTED_VALUE"""),"Fall")</f>
        <v>Fall</v>
      </c>
      <c r="P272" s="8" t="str">
        <f ca="1">IFERROR(__xludf.DUMMYFUNCTION("""COMPUTED_VALUE"""),"Miami")</f>
        <v>Miami</v>
      </c>
      <c r="Q272" s="8" t="str">
        <f ca="1">IFERROR(__xludf.DUMMYFUNCTION("""COMPUTED_VALUE"""),"WV")</f>
        <v>WV</v>
      </c>
      <c r="R272" s="8" t="str">
        <f ca="1">IFERROR(__xludf.DUMMYFUNCTION("""COMPUTED_VALUE"""),"Elementary")</f>
        <v>Elementary</v>
      </c>
      <c r="S272" s="8" t="str">
        <f ca="1">IFERROR(__xludf.DUMMYFUNCTION("""COMPUTED_VALUE"""),"Outside on School Property")</f>
        <v>Outside on School Property</v>
      </c>
      <c r="T272" s="8" t="str">
        <f ca="1">IFERROR(__xludf.DUMMYFUNCTION("""COMPUTED_VALUE"""),"Outside on School Property")</f>
        <v>Outside on School Property</v>
      </c>
      <c r="U272" s="8" t="str">
        <f ca="1">IFERROR(__xludf.DUMMYFUNCTION("""COMPUTED_VALUE"""),"Yes")</f>
        <v>Yes</v>
      </c>
      <c r="V272" s="8" t="str">
        <f ca="1">IFERROR(__xludf.DUMMYFUNCTION("""COMPUTED_VALUE"""),"School Start")</f>
        <v>School Start</v>
      </c>
      <c r="W272" s="11">
        <f ca="1">IFERROR(__xludf.DUMMYFUNCTION("""COMPUTED_VALUE"""),0.322916666666666)</f>
        <v>0.32291666666666602</v>
      </c>
      <c r="X272" s="8">
        <f ca="1">IFERROR(__xludf.DUMMYFUNCTION("""COMPUTED_VALUE"""),1)</f>
        <v>1</v>
      </c>
      <c r="Y272" s="12" t="str">
        <f ca="1">IFERROR(__xludf.DUMMYFUNCTION("""COMPUTED_VALUE"""),"Man hunting nearby fired 6 shots that hit the school as students were arriving")</f>
        <v>Man hunting nearby fired 6 shots that hit the school as students were arriving</v>
      </c>
      <c r="Z272" s="12" t="str">
        <f ca="1">IFERROR(__xludf.DUMMYFUNCTION("""COMPUTED_VALUE"""),"A hunter has been arrested in connection to a shots fired incident that closed Sharon Dawes Elementary School in Eastern Kanawha County on Friday. The Kanawha County Sheriff’s Office says authorities responded to the school Friday, Sept. 20, around 7:45 a"&amp;".m. after maintenance workers on the roof heard shots and the sounds of pellets hitting the roof. As part of the investigation, authorities questioned hunters, in case the incident had been a “careless and dangerous mistake” from a hunter. During the inve"&amp;"stigation, authorities learned James L. Wilson, 50, of Miami, West Virginia, was squirrel hunting on a hill near the school with a 12 gauge Remington 870, according to the complaint. The complaint also states that the maintenance workers heard about four "&amp;"to six gunshots coming from the hill and that approximately seventeen pellets “consistent with a shotgun shell” were found on the school’s roof. The complaint says that during the investigation, Wilson, who was one of the hunters questioned, showed office"&amp;"rs where a squirrel was shot during the incident. Authorities said the shot was “in line with the direction of Sharon Dawes Elementary School.” Authorities also said they learned that Wilson did not have an active hunting license, the complaint states. Ac"&amp;"cording to the complaint, Wilson was arrested for hunting without a license, illegal possession of wildlife and negligent shooting.")</f>
        <v>A hunter has been arrested in connection to a shots fired incident that closed Sharon Dawes Elementary School in Eastern Kanawha County on Friday. The Kanawha County Sheriff’s Office says authorities responded to the school Friday, Sept. 20, around 7:45 a.m. after maintenance workers on the roof heard shots and the sounds of pellets hitting the roof. As part of the investigation, authorities questioned hunters, in case the incident had been a “careless and dangerous mistake” from a hunter. During the investigation, authorities learned James L. Wilson, 50, of Miami, West Virginia, was squirrel hunting on a hill near the school with a 12 gauge Remington 870, according to the complaint. The complaint also states that the maintenance workers heard about four to six gunshots coming from the hill and that approximately seventeen pellets “consistent with a shotgun shell” were found on the school’s roof. The complaint says that during the investigation, Wilson, who was one of the hunters questioned, showed officers where a squirrel was shot during the incident. Authorities said the shot was “in line with the direction of Sharon Dawes Elementary School.” Authorities also said they learned that Wilson did not have an active hunting license, the complaint states. According to the complaint, Wilson was arrested for hunting without a license, illegal possession of wildlife and negligent shooting.</v>
      </c>
      <c r="AA272" s="8" t="str">
        <f ca="1">IFERROR(__xludf.DUMMYFUNCTION("""COMPUTED_VALUE"""),"Illegal Activity")</f>
        <v>Illegal Activity</v>
      </c>
      <c r="AB272" s="8" t="str">
        <f ca="1">IFERROR(__xludf.DUMMYFUNCTION("""COMPUTED_VALUE"""),"Spontaneous")</f>
        <v>Spontaneous</v>
      </c>
      <c r="AC272" s="8" t="str">
        <f ca="1">IFERROR(__xludf.DUMMYFUNCTION("""COMPUTED_VALUE"""),"Yes")</f>
        <v>Yes</v>
      </c>
      <c r="AD272" s="8" t="str">
        <f ca="1">IFERROR(__xludf.DUMMYFUNCTION("""COMPUTED_VALUE"""),"Neither")</f>
        <v>Neither</v>
      </c>
      <c r="AE272" s="8" t="str">
        <f ca="1">IFERROR(__xludf.DUMMYFUNCTION("""COMPUTED_VALUE"""),"No")</f>
        <v>No</v>
      </c>
      <c r="AF272" s="8"/>
      <c r="AG272" s="8" t="str">
        <f ca="1">IFERROR(__xludf.DUMMYFUNCTION("""COMPUTED_VALUE"""),"No")</f>
        <v>No</v>
      </c>
      <c r="AH272" s="8" t="str">
        <f ca="1">IFERROR(__xludf.DUMMYFUNCTION("""COMPUTED_VALUE"""),"No")</f>
        <v>No</v>
      </c>
      <c r="AI272" s="8" t="str">
        <f ca="1">IFERROR(__xludf.DUMMYFUNCTION("""COMPUTED_VALUE"""),"No")</f>
        <v>No</v>
      </c>
      <c r="AJ272" s="8" t="str">
        <f ca="1">IFERROR(__xludf.DUMMYFUNCTION("""COMPUTED_VALUE"""),"No")</f>
        <v>No</v>
      </c>
      <c r="AK272" s="8" t="str">
        <f ca="1">IFERROR(__xludf.DUMMYFUNCTION("""COMPUTED_VALUE"""),"No")</f>
        <v>No</v>
      </c>
      <c r="AL272" s="8" t="str">
        <f ca="1">IFERROR(__xludf.DUMMYFUNCTION("""COMPUTED_VALUE"""),"No")</f>
        <v>No</v>
      </c>
      <c r="AM272" s="8" t="str">
        <f ca="1">IFERROR(__xludf.DUMMYFUNCTION("""COMPUTED_VALUE"""),"No")</f>
        <v>No</v>
      </c>
      <c r="AN272" s="8" t="str">
        <f ca="1">IFERROR(__xludf.DUMMYFUNCTION("""COMPUTED_VALUE"""),"Outside")</f>
        <v>Outside</v>
      </c>
      <c r="AO272" s="8" t="str">
        <f ca="1">IFERROR(__xludf.DUMMYFUNCTION("""COMPUTED_VALUE"""),"No")</f>
        <v>No</v>
      </c>
      <c r="AP272" s="8"/>
      <c r="AQ272" s="8"/>
      <c r="AR272" s="8" t="str">
        <f ca="1">IFERROR(__xludf.DUMMYFUNCTION("""COMPUTED_VALUE"""),"Outside/Off-Property")</f>
        <v>Outside/Off-Property</v>
      </c>
      <c r="AS272" s="8">
        <f ca="1">IFERROR(__xludf.DUMMYFUNCTION("""COMPUTED_VALUE"""),6)</f>
        <v>6</v>
      </c>
      <c r="AT272" s="8" t="str">
        <f ca="1">IFERROR(__xludf.DUMMYFUNCTION("""COMPUTED_VALUE"""),"Yes")</f>
        <v>Yes</v>
      </c>
      <c r="AU272" s="8">
        <f ca="1">IFERROR(__xludf.DUMMYFUNCTION("""COMPUTED_VALUE"""),38.14874)</f>
        <v>38.148739999999997</v>
      </c>
      <c r="AV272" s="8">
        <f ca="1">IFERROR(__xludf.DUMMYFUNCTION("""COMPUTED_VALUE"""),-81.448735)</f>
        <v>-81.448734999999999</v>
      </c>
      <c r="AW272" s="8" t="str">
        <f ca="1">IFERROR(__xludf.DUMMYFUNCTION("""COMPUTED_VALUE"""),"Single building indoor hallway")</f>
        <v>Single building indoor hallway</v>
      </c>
      <c r="AX272" s="8">
        <f ca="1">IFERROR(__xludf.DUMMYFUNCTION("""COMPUTED_VALUE"""),25075)</f>
        <v>25075</v>
      </c>
    </row>
    <row r="273" spans="1:50" ht="255" x14ac:dyDescent="0.2">
      <c r="A273" s="8" t="str">
        <f ca="1">IFERROR(__xludf.DUMMYFUNCTION("""COMPUTED_VALUE"""),"20240920OHNON")</f>
        <v>20240920OHNON</v>
      </c>
      <c r="B273" s="8">
        <f ca="1">IFERROR(__xludf.DUMMYFUNCTION("""COMPUTED_VALUE"""),9)</f>
        <v>9</v>
      </c>
      <c r="C273" s="8">
        <f ca="1">IFERROR(__xludf.DUMMYFUNCTION("""COMPUTED_VALUE"""),20)</f>
        <v>20</v>
      </c>
      <c r="D273" s="8">
        <f ca="1">IFERROR(__xludf.DUMMYFUNCTION("""COMPUTED_VALUE"""),2024)</f>
        <v>2024</v>
      </c>
      <c r="E273" s="9">
        <f ca="1">IFERROR(__xludf.DUMMYFUNCTION("""COMPUTED_VALUE"""),45555)</f>
        <v>45555</v>
      </c>
      <c r="F273" s="8" t="str">
        <f ca="1">IFERROR(__xludf.DUMMYFUNCTION("""COMPUTED_VALUE"""),"North College Hill High School")</f>
        <v>North College Hill High School</v>
      </c>
      <c r="G273" s="8">
        <f ca="1">IFERROR(__xludf.DUMMYFUNCTION("""COMPUTED_VALUE"""),0)</f>
        <v>0</v>
      </c>
      <c r="H273" s="8">
        <f ca="1">IFERROR(__xludf.DUMMYFUNCTION("""COMPUTED_VALUE"""),1)</f>
        <v>1</v>
      </c>
      <c r="I273" s="8">
        <f ca="1">IFERROR(__xludf.DUMMYFUNCTION("""COMPUTED_VALUE"""),1)</f>
        <v>1</v>
      </c>
      <c r="J273" s="8">
        <f ca="1">IFERROR(__xludf.DUMMYFUNCTION("""COMPUTED_VALUE"""),0)</f>
        <v>0</v>
      </c>
      <c r="K273" s="8" t="str">
        <f ca="1">IFERROR(__xludf.DUMMYFUNCTION("""COMPUTED_VALUE"""),"https://www.fox19.com/2024/09/26/woodward-player-grazed-by-gunfire-during-north-college-hill-game-says-violence-must-stop/
https://www.wlwt.com/article/heavy-police-presence-report-graceave-north-college-hill/62306036
https://www.fox19.com/2024/09/21/wood"&amp;"ward-athlete-injured-shooting-north-college-hill-football-game-cps/")</f>
        <v>https://www.fox19.com/2024/09/26/woodward-player-grazed-by-gunfire-during-north-college-hill-game-says-violence-must-stop/
https://www.wlwt.com/article/heavy-police-presence-report-graceave-north-college-hill/62306036
https://www.fox19.com/2024/09/21/woodward-athlete-injured-shooting-north-college-hill-football-game-cps/</v>
      </c>
      <c r="L273" s="8">
        <f ca="1">IFERROR(__xludf.DUMMYFUNCTION("""COMPUTED_VALUE"""),8)</f>
        <v>8</v>
      </c>
      <c r="M273" s="8" t="str">
        <f ca="1">IFERROR(__xludf.DUMMYFUNCTION("""COMPUTED_VALUE"""),"Regional")</f>
        <v>Regional</v>
      </c>
      <c r="N273" s="8">
        <f ca="1">IFERROR(__xludf.DUMMYFUNCTION("""COMPUTED_VALUE"""),4)</f>
        <v>4</v>
      </c>
      <c r="O273" s="8" t="str">
        <f ca="1">IFERROR(__xludf.DUMMYFUNCTION("""COMPUTED_VALUE"""),"Fall")</f>
        <v>Fall</v>
      </c>
      <c r="P273" s="8" t="str">
        <f ca="1">IFERROR(__xludf.DUMMYFUNCTION("""COMPUTED_VALUE"""),"North College Hills")</f>
        <v>North College Hills</v>
      </c>
      <c r="Q273" s="8" t="str">
        <f ca="1">IFERROR(__xludf.DUMMYFUNCTION("""COMPUTED_VALUE"""),"OH")</f>
        <v>OH</v>
      </c>
      <c r="R273" s="8" t="str">
        <f ca="1">IFERROR(__xludf.DUMMYFUNCTION("""COMPUTED_VALUE"""),"High")</f>
        <v>High</v>
      </c>
      <c r="S273" s="8" t="str">
        <f ca="1">IFERROR(__xludf.DUMMYFUNCTION("""COMPUTED_VALUE"""),"Parking Lot")</f>
        <v>Parking Lot</v>
      </c>
      <c r="T273" s="8" t="str">
        <f ca="1">IFERROR(__xludf.DUMMYFUNCTION("""COMPUTED_VALUE"""),"Outside on School Property")</f>
        <v>Outside on School Property</v>
      </c>
      <c r="U273" s="8" t="str">
        <f ca="1">IFERROR(__xludf.DUMMYFUNCTION("""COMPUTED_VALUE"""),"No")</f>
        <v>No</v>
      </c>
      <c r="V273" s="8" t="str">
        <f ca="1">IFERROR(__xludf.DUMMYFUNCTION("""COMPUTED_VALUE"""),"Sport Event")</f>
        <v>Sport Event</v>
      </c>
      <c r="W273" s="11">
        <f ca="1">IFERROR(__xludf.DUMMYFUNCTION("""COMPUTED_VALUE"""),0.84375)</f>
        <v>0.84375</v>
      </c>
      <c r="X273" s="8">
        <f ca="1">IFERROR(__xludf.DUMMYFUNCTION("""COMPUTED_VALUE"""),1)</f>
        <v>1</v>
      </c>
      <c r="Y273" s="12" t="str">
        <f ca="1">IFERROR(__xludf.DUMMYFUNCTION("""COMPUTED_VALUE"""),"High school football player shot during game, shots were fired from the parking lot of the stadium")</f>
        <v>High school football player shot during game, shots were fired from the parking lot of the stadium</v>
      </c>
      <c r="Z273" s="12" t="str">
        <f ca="1">IFERROR(__xludf.DUMMYFUNCTION("""COMPUTED_VALUE"""),"A Woodward high school athlete was hurt in a shooting during the school’s football game at North College Hill, Cincinnati Public Schools said. Shots rang out around 8:15 p.m. just 500 feet from the stadium, behind the elementary school, according to NCH S"&amp;"uperintendent Eugene Blalock. He said someone fired shots at the elementary school. “Tonight, a Woodward Career Technical High School student-athlete was injured in a shooting during the school’s football game at North College Hill, Cincinnati Public scho"&amp;"ol district said in a statement. “Cincinnati Public Schools recognizes this tragic event and our support remains with the student, their family, friends and school community. CPS’ Crisis Response Team will be on-site to provide support to students as they"&amp;" return to school Tuesday.” The game ended early and now this will be the last home game North College Hill will play this season, according to the NCH superintendent.")</f>
        <v>A Woodward high school athlete was hurt in a shooting during the school’s football game at North College Hill, Cincinnati Public Schools said. Shots rang out around 8:15 p.m. just 500 feet from the stadium, behind the elementary school, according to NCH Superintendent Eugene Blalock. He said someone fired shots at the elementary school. “Tonight, a Woodward Career Technical High School student-athlete was injured in a shooting during the school’s football game at North College Hill, Cincinnati Public school district said in a statement. “Cincinnati Public Schools recognizes this tragic event and our support remains with the student, their family, friends and school community. CPS’ Crisis Response Team will be on-site to provide support to students as they return to school Tuesday.” The game ended early and now this will be the last home game North College Hill will play this season, according to the NCH superintendent.</v>
      </c>
      <c r="AA273" s="8"/>
      <c r="AB273" s="8" t="str">
        <f ca="1">IFERROR(__xludf.DUMMYFUNCTION("""COMPUTED_VALUE"""),"Spontaneous")</f>
        <v>Spontaneous</v>
      </c>
      <c r="AC273" s="8" t="str">
        <f ca="1">IFERROR(__xludf.DUMMYFUNCTION("""COMPUTED_VALUE"""),"Yes")</f>
        <v>Yes</v>
      </c>
      <c r="AD273" s="8" t="str">
        <f ca="1">IFERROR(__xludf.DUMMYFUNCTION("""COMPUTED_VALUE"""),"Both")</f>
        <v>Both</v>
      </c>
      <c r="AE273" s="8" t="str">
        <f ca="1">IFERROR(__xludf.DUMMYFUNCTION("""COMPUTED_VALUE"""),"No")</f>
        <v>No</v>
      </c>
      <c r="AF273" s="8"/>
      <c r="AG273" s="8" t="str">
        <f ca="1">IFERROR(__xludf.DUMMYFUNCTION("""COMPUTED_VALUE"""),"No")</f>
        <v>No</v>
      </c>
      <c r="AH273" s="8" t="str">
        <f ca="1">IFERROR(__xludf.DUMMYFUNCTION("""COMPUTED_VALUE"""),"No")</f>
        <v>No</v>
      </c>
      <c r="AI273" s="8" t="str">
        <f ca="1">IFERROR(__xludf.DUMMYFUNCTION("""COMPUTED_VALUE"""),"No")</f>
        <v>No</v>
      </c>
      <c r="AJ273" s="8" t="str">
        <f ca="1">IFERROR(__xludf.DUMMYFUNCTION("""COMPUTED_VALUE"""),"No")</f>
        <v>No</v>
      </c>
      <c r="AK273" s="8" t="str">
        <f ca="1">IFERROR(__xludf.DUMMYFUNCTION("""COMPUTED_VALUE"""),"No")</f>
        <v>No</v>
      </c>
      <c r="AL273" s="8"/>
      <c r="AM273" s="8" t="str">
        <f ca="1">IFERROR(__xludf.DUMMYFUNCTION("""COMPUTED_VALUE"""),"No")</f>
        <v>No</v>
      </c>
      <c r="AN273" s="8" t="str">
        <f ca="1">IFERROR(__xludf.DUMMYFUNCTION("""COMPUTED_VALUE"""),"Outside")</f>
        <v>Outside</v>
      </c>
      <c r="AO273" s="8" t="str">
        <f ca="1">IFERROR(__xludf.DUMMYFUNCTION("""COMPUTED_VALUE"""),"No")</f>
        <v>No</v>
      </c>
      <c r="AP273" s="8"/>
      <c r="AQ273" s="8"/>
      <c r="AR273" s="8" t="str">
        <f ca="1">IFERROR(__xludf.DUMMYFUNCTION("""COMPUTED_VALUE"""),"Outside/Off-Property")</f>
        <v>Outside/Off-Property</v>
      </c>
      <c r="AS273" s="8">
        <f ca="1">IFERROR(__xludf.DUMMYFUNCTION("""COMPUTED_VALUE"""),12)</f>
        <v>12</v>
      </c>
      <c r="AT273" s="8" t="str">
        <f ca="1">IFERROR(__xludf.DUMMYFUNCTION("""COMPUTED_VALUE"""),"No")</f>
        <v>No</v>
      </c>
      <c r="AU273" s="8">
        <f ca="1">IFERROR(__xludf.DUMMYFUNCTION("""COMPUTED_VALUE"""),39.219438)</f>
        <v>39.219437999999997</v>
      </c>
      <c r="AV273" s="8">
        <f ca="1">IFERROR(__xludf.DUMMYFUNCTION("""COMPUTED_VALUE"""),-84.55214)</f>
        <v>-84.552139999999994</v>
      </c>
      <c r="AW273" s="8" t="str">
        <f ca="1">IFERROR(__xludf.DUMMYFUNCTION("""COMPUTED_VALUE"""),"Multiple attached buildings")</f>
        <v>Multiple attached buildings</v>
      </c>
      <c r="AX273" s="8">
        <f ca="1">IFERROR(__xludf.DUMMYFUNCTION("""COMPUTED_VALUE"""),45239)</f>
        <v>45239</v>
      </c>
    </row>
    <row r="274" spans="1:50" ht="90" x14ac:dyDescent="0.2">
      <c r="A274" s="8" t="str">
        <f ca="1">IFERROR(__xludf.DUMMYFUNCTION("""COMPUTED_VALUE"""),"20240919GAHAC")</f>
        <v>20240919GAHAC</v>
      </c>
      <c r="B274" s="8">
        <f ca="1">IFERROR(__xludf.DUMMYFUNCTION("""COMPUTED_VALUE"""),9)</f>
        <v>9</v>
      </c>
      <c r="C274" s="8">
        <f ca="1">IFERROR(__xludf.DUMMYFUNCTION("""COMPUTED_VALUE"""),19)</f>
        <v>19</v>
      </c>
      <c r="D274" s="8">
        <f ca="1">IFERROR(__xludf.DUMMYFUNCTION("""COMPUTED_VALUE"""),2024)</f>
        <v>2024</v>
      </c>
      <c r="E274" s="9">
        <f ca="1">IFERROR(__xludf.DUMMYFUNCTION("""COMPUTED_VALUE"""),45554)</f>
        <v>45554</v>
      </c>
      <c r="F274" s="8" t="str">
        <f ca="1">IFERROR(__xludf.DUMMYFUNCTION("""COMPUTED_VALUE"""),"Hamilton Township High School")</f>
        <v>Hamilton Township High School</v>
      </c>
      <c r="G274" s="8">
        <f ca="1">IFERROR(__xludf.DUMMYFUNCTION("""COMPUTED_VALUE"""),1)</f>
        <v>1</v>
      </c>
      <c r="H274" s="8">
        <f ca="1">IFERROR(__xludf.DUMMYFUNCTION("""COMPUTED_VALUE"""),0)</f>
        <v>0</v>
      </c>
      <c r="I274" s="8">
        <f ca="1">IFERROR(__xludf.DUMMYFUNCTION("""COMPUTED_VALUE"""),1)</f>
        <v>1</v>
      </c>
      <c r="J274" s="8">
        <f ca="1">IFERROR(__xludf.DUMMYFUNCTION("""COMPUTED_VALUE"""),0)</f>
        <v>0</v>
      </c>
      <c r="K274" s="8" t="str">
        <f ca="1">IFERROR(__xludf.DUMMYFUNCTION("""COMPUTED_VALUE"""),"https://www.wsbtv.com/news/local/4-arrested-after-15-year-old-ga-boy-murdered-he-got-off-school-bus/POCVXPPRRNFQNA7HKYMWFLWJC4/
https://www.wtvm.com/2024/09/19/teen-student-dies-after-columbus-shooting/
https://www.kcbd.com/2024/09/21/he-was-supposed-be-s"&amp;"afe-15-year-old-shot-killed-getting-off-school-bus/?outputType=amp")</f>
        <v>https://www.wsbtv.com/news/local/4-arrested-after-15-year-old-ga-boy-murdered-he-got-off-school-bus/POCVXPPRRNFQNA7HKYMWFLWJC4/
https://www.wtvm.com/2024/09/19/teen-student-dies-after-columbus-shooting/
https://www.kcbd.com/2024/09/21/he-was-supposed-be-safe-15-year-old-shot-killed-getting-off-school-bus/?outputType=amp</v>
      </c>
      <c r="L274" s="8">
        <f ca="1">IFERROR(__xludf.DUMMYFUNCTION("""COMPUTED_VALUE"""),10)</f>
        <v>10</v>
      </c>
      <c r="M274" s="8" t="str">
        <f ca="1">IFERROR(__xludf.DUMMYFUNCTION("""COMPUTED_VALUE"""),"Regional")</f>
        <v>Regional</v>
      </c>
      <c r="N274" s="8">
        <f ca="1">IFERROR(__xludf.DUMMYFUNCTION("""COMPUTED_VALUE"""),4)</f>
        <v>4</v>
      </c>
      <c r="O274" s="8" t="str">
        <f ca="1">IFERROR(__xludf.DUMMYFUNCTION("""COMPUTED_VALUE"""),"Fall")</f>
        <v>Fall</v>
      </c>
      <c r="P274" s="8" t="str">
        <f ca="1">IFERROR(__xludf.DUMMYFUNCTION("""COMPUTED_VALUE"""),"Columbus")</f>
        <v>Columbus</v>
      </c>
      <c r="Q274" s="8" t="str">
        <f ca="1">IFERROR(__xludf.DUMMYFUNCTION("""COMPUTED_VALUE"""),"GA")</f>
        <v>GA</v>
      </c>
      <c r="R274" s="8" t="str">
        <f ca="1">IFERROR(__xludf.DUMMYFUNCTION("""COMPUTED_VALUE"""),"High")</f>
        <v>High</v>
      </c>
      <c r="S274" s="8" t="str">
        <f ca="1">IFERROR(__xludf.DUMMYFUNCTION("""COMPUTED_VALUE"""),"School Bus")</f>
        <v>School Bus</v>
      </c>
      <c r="T274" s="8" t="str">
        <f ca="1">IFERROR(__xludf.DUMMYFUNCTION("""COMPUTED_VALUE"""),"School Bus")</f>
        <v>School Bus</v>
      </c>
      <c r="U274" s="8" t="str">
        <f ca="1">IFERROR(__xludf.DUMMYFUNCTION("""COMPUTED_VALUE"""),"Yes")</f>
        <v>Yes</v>
      </c>
      <c r="V274" s="8" t="str">
        <f ca="1">IFERROR(__xludf.DUMMYFUNCTION("""COMPUTED_VALUE"""),"Dismissal")</f>
        <v>Dismissal</v>
      </c>
      <c r="W274" s="11">
        <f ca="1">IFERROR(__xludf.DUMMYFUNCTION("""COMPUTED_VALUE"""),0.6875)</f>
        <v>0.6875</v>
      </c>
      <c r="X274" s="8">
        <f ca="1">IFERROR(__xludf.DUMMYFUNCTION("""COMPUTED_VALUE"""),1)</f>
        <v>1</v>
      </c>
      <c r="Y274" s="12" t="str">
        <f ca="1">IFERROR(__xludf.DUMMYFUNCTION("""COMPUTED_VALUE"""),"15-year-old student fatally shot while getting off the school bus")</f>
        <v>15-year-old student fatally shot while getting off the school bus</v>
      </c>
      <c r="Z274" s="12" t="str">
        <f ca="1">IFERROR(__xludf.DUMMYFUNCTION("""COMPUTED_VALUE"""),"15-year-old student was fatally shot while getting off of the school bus at dismissal. The teen was a student in the Muscogee County School District, according to a spokesperson said. Officials reported that the incident impacted students on a school bus."&amp;" Police from the school district were also on the scene.")</f>
        <v>15-year-old student was fatally shot while getting off of the school bus at dismissal. The teen was a student in the Muscogee County School District, according to a spokesperson said. Officials reported that the incident impacted students on a school bus. Police from the school district were also on the scene.</v>
      </c>
      <c r="AA274" s="8"/>
      <c r="AB274" s="8" t="str">
        <f ca="1">IFERROR(__xludf.DUMMYFUNCTION("""COMPUTED_VALUE"""),"Targeted")</f>
        <v>Targeted</v>
      </c>
      <c r="AC274" s="8" t="str">
        <f ca="1">IFERROR(__xludf.DUMMYFUNCTION("""COMPUTED_VALUE"""),"Yes")</f>
        <v>Yes</v>
      </c>
      <c r="AD274" s="8" t="str">
        <f ca="1">IFERROR(__xludf.DUMMYFUNCTION("""COMPUTED_VALUE"""),"Victims Targeted")</f>
        <v>Victims Targeted</v>
      </c>
      <c r="AE274" s="8"/>
      <c r="AF274" s="8"/>
      <c r="AG274" s="8" t="str">
        <f ca="1">IFERROR(__xludf.DUMMYFUNCTION("""COMPUTED_VALUE"""),"No")</f>
        <v>No</v>
      </c>
      <c r="AH274" s="8" t="str">
        <f ca="1">IFERROR(__xludf.DUMMYFUNCTION("""COMPUTED_VALUE"""),"No")</f>
        <v>No</v>
      </c>
      <c r="AI274" s="8" t="str">
        <f ca="1">IFERROR(__xludf.DUMMYFUNCTION("""COMPUTED_VALUE"""),"No")</f>
        <v>No</v>
      </c>
      <c r="AJ274" s="8"/>
      <c r="AK274" s="8" t="str">
        <f ca="1">IFERROR(__xludf.DUMMYFUNCTION("""COMPUTED_VALUE"""),"No")</f>
        <v>No</v>
      </c>
      <c r="AL274" s="8"/>
      <c r="AM274" s="8" t="str">
        <f ca="1">IFERROR(__xludf.DUMMYFUNCTION("""COMPUTED_VALUE"""),"No")</f>
        <v>No</v>
      </c>
      <c r="AN274" s="8" t="str">
        <f ca="1">IFERROR(__xludf.DUMMYFUNCTION("""COMPUTED_VALUE"""),"Outside")</f>
        <v>Outside</v>
      </c>
      <c r="AO274" s="8" t="str">
        <f ca="1">IFERROR(__xludf.DUMMYFUNCTION("""COMPUTED_VALUE"""),"No")</f>
        <v>No</v>
      </c>
      <c r="AP274" s="8"/>
      <c r="AQ274" s="8"/>
      <c r="AR274" s="8" t="str">
        <f ca="1">IFERROR(__xludf.DUMMYFUNCTION("""COMPUTED_VALUE"""),"Outside/Off-Property")</f>
        <v>Outside/Off-Property</v>
      </c>
      <c r="AS274" s="8">
        <f ca="1">IFERROR(__xludf.DUMMYFUNCTION("""COMPUTED_VALUE"""),99)</f>
        <v>99</v>
      </c>
      <c r="AT274" s="8" t="str">
        <f ca="1">IFERROR(__xludf.DUMMYFUNCTION("""COMPUTED_VALUE"""),"No")</f>
        <v>No</v>
      </c>
      <c r="AU274" s="8">
        <f ca="1">IFERROR(__xludf.DUMMYFUNCTION("""COMPUTED_VALUE"""),32.479435)</f>
        <v>32.479435000000002</v>
      </c>
      <c r="AV274" s="8">
        <f ca="1">IFERROR(__xludf.DUMMYFUNCTION("""COMPUTED_VALUE"""),-84.964201)</f>
        <v>-84.964201000000003</v>
      </c>
      <c r="AW274" s="8" t="str">
        <f ca="1">IFERROR(__xludf.DUMMYFUNCTION("""COMPUTED_VALUE"""),"Multiple attached buildings")</f>
        <v>Multiple attached buildings</v>
      </c>
      <c r="AX274" s="8">
        <f ca="1">IFERROR(__xludf.DUMMYFUNCTION("""COMPUTED_VALUE"""),31906)</f>
        <v>31906</v>
      </c>
    </row>
    <row r="275" spans="1:50" ht="285" x14ac:dyDescent="0.2">
      <c r="A275" s="8" t="str">
        <f ca="1">IFERROR(__xludf.DUMMYFUNCTION("""COMPUTED_VALUE"""),"20240917MNWAS")</f>
        <v>20240917MNWAS</v>
      </c>
      <c r="B275" s="8">
        <f ca="1">IFERROR(__xludf.DUMMYFUNCTION("""COMPUTED_VALUE"""),9)</f>
        <v>9</v>
      </c>
      <c r="C275" s="8">
        <f ca="1">IFERROR(__xludf.DUMMYFUNCTION("""COMPUTED_VALUE"""),17)</f>
        <v>17</v>
      </c>
      <c r="D275" s="8">
        <f ca="1">IFERROR(__xludf.DUMMYFUNCTION("""COMPUTED_VALUE"""),2024)</f>
        <v>2024</v>
      </c>
      <c r="E275" s="9">
        <f ca="1">IFERROR(__xludf.DUMMYFUNCTION("""COMPUTED_VALUE"""),45552)</f>
        <v>45552</v>
      </c>
      <c r="F275" s="8" t="str">
        <f ca="1">IFERROR(__xludf.DUMMYFUNCTION("""COMPUTED_VALUE"""),"Washington Technology Magnet School")</f>
        <v>Washington Technology Magnet School</v>
      </c>
      <c r="G275" s="8">
        <f ca="1">IFERROR(__xludf.DUMMYFUNCTION("""COMPUTED_VALUE"""),0)</f>
        <v>0</v>
      </c>
      <c r="H275" s="8">
        <f ca="1">IFERROR(__xludf.DUMMYFUNCTION("""COMPUTED_VALUE"""),1)</f>
        <v>1</v>
      </c>
      <c r="I275" s="8">
        <f ca="1">IFERROR(__xludf.DUMMYFUNCTION("""COMPUTED_VALUE"""),1)</f>
        <v>1</v>
      </c>
      <c r="J275" s="8">
        <f ca="1">IFERROR(__xludf.DUMMYFUNCTION("""COMPUTED_VALUE"""),0)</f>
        <v>0</v>
      </c>
      <c r="K275" s="10" t="str">
        <f ca="1">IFERROR(__xludf.DUMMYFUNCTION("""COMPUTED_VALUE"""),"https://www.yahoo.com/news/boy-14-wounded-shooting-outside-001300491.html")</f>
        <v>https://www.yahoo.com/news/boy-14-wounded-shooting-outside-001300491.html</v>
      </c>
      <c r="L275" s="8">
        <f ca="1">IFERROR(__xludf.DUMMYFUNCTION("""COMPUTED_VALUE"""),2)</f>
        <v>2</v>
      </c>
      <c r="M275" s="8" t="str">
        <f ca="1">IFERROR(__xludf.DUMMYFUNCTION("""COMPUTED_VALUE"""),"Local")</f>
        <v>Local</v>
      </c>
      <c r="N275" s="8">
        <f ca="1">IFERROR(__xludf.DUMMYFUNCTION("""COMPUTED_VALUE"""),4)</f>
        <v>4</v>
      </c>
      <c r="O275" s="8" t="str">
        <f ca="1">IFERROR(__xludf.DUMMYFUNCTION("""COMPUTED_VALUE"""),"Fall")</f>
        <v>Fall</v>
      </c>
      <c r="P275" s="8" t="str">
        <f ca="1">IFERROR(__xludf.DUMMYFUNCTION("""COMPUTED_VALUE"""),"St. Paul")</f>
        <v>St. Paul</v>
      </c>
      <c r="Q275" s="8" t="str">
        <f ca="1">IFERROR(__xludf.DUMMYFUNCTION("""COMPUTED_VALUE"""),"MN")</f>
        <v>MN</v>
      </c>
      <c r="R275" s="8" t="str">
        <f ca="1">IFERROR(__xludf.DUMMYFUNCTION("""COMPUTED_VALUE"""),"High")</f>
        <v>High</v>
      </c>
      <c r="S275" s="8" t="str">
        <f ca="1">IFERROR(__xludf.DUMMYFUNCTION("""COMPUTED_VALUE"""),"Parking Lot")</f>
        <v>Parking Lot</v>
      </c>
      <c r="T275" s="8" t="str">
        <f ca="1">IFERROR(__xludf.DUMMYFUNCTION("""COMPUTED_VALUE"""),"Outside on School Property")</f>
        <v>Outside on School Property</v>
      </c>
      <c r="U275" s="8" t="str">
        <f ca="1">IFERROR(__xludf.DUMMYFUNCTION("""COMPUTED_VALUE"""),"Yes")</f>
        <v>Yes</v>
      </c>
      <c r="V275" s="8" t="str">
        <f ca="1">IFERROR(__xludf.DUMMYFUNCTION("""COMPUTED_VALUE"""),"Afternoon Classes")</f>
        <v>Afternoon Classes</v>
      </c>
      <c r="W275" s="11">
        <f ca="1">IFERROR(__xludf.DUMMYFUNCTION("""COMPUTED_VALUE"""),0.555555555555555)</f>
        <v>0.55555555555555503</v>
      </c>
      <c r="X275" s="8">
        <f ca="1">IFERROR(__xludf.DUMMYFUNCTION("""COMPUTED_VALUE"""),1)</f>
        <v>1</v>
      </c>
      <c r="Y275" s="12" t="str">
        <f ca="1">IFERROR(__xludf.DUMMYFUNCTION("""COMPUTED_VALUE"""),"Student shot in the parking lot during afternoon classes")</f>
        <v>Student shot in the parking lot during afternoon classes</v>
      </c>
      <c r="Z275" s="12" t="str">
        <f ca="1">IFERROR(__xludf.DUMMYFUNCTION("""COMPUTED_VALUE"""),"A 14-year-old boy was shot and wounded outside a high school in St. Paul on Tuesday afternoon, police said. Police responded at 1:20 p.m. to Washington Technology Magnet School, off Rice Street and Arlington Avenue, on a report of shots fired. They didn’t"&amp;" find evidence of a shooting or victim, and spoke with witnesses to try to determine what happened, said Alyssa Arcand, a St. Paul police spokeswoman. Officers later found a teen who had an apparent gunshot injury to his leg. St. Paul Fire Department medi"&amp;"cs evaluated him for a non-life-threatening injury, according to Arcand. Police arrested a 16-year-old boy and he was brought to the Ramsey County Juvenile Detention Center, Arcand said. The shooting happened in the school’s parking lot while school was i"&amp;"n session, Principals Elias Oguz and Melinda McBride wrote in a letter to parents. The school went into “secure” protocol, which means students or staff who are outside are brought inside. The school’s entrances remained locked, the principals wrote. Afte"&amp;"r-school athletics at the school were canceled Tuesday.")</f>
        <v>A 14-year-old boy was shot and wounded outside a high school in St. Paul on Tuesday afternoon, police said. Police responded at 1:20 p.m. to Washington Technology Magnet School, off Rice Street and Arlington Avenue, on a report of shots fired. They didn’t find evidence of a shooting or victim, and spoke with witnesses to try to determine what happened, said Alyssa Arcand, a St. Paul police spokeswoman. Officers later found a teen who had an apparent gunshot injury to his leg. St. Paul Fire Department medics evaluated him for a non-life-threatening injury, according to Arcand. Police arrested a 16-year-old boy and he was brought to the Ramsey County Juvenile Detention Center, Arcand said. The shooting happened in the school’s parking lot while school was in session, Principals Elias Oguz and Melinda McBride wrote in a letter to parents. The school went into “secure” protocol, which means students or staff who are outside are brought inside. The school’s entrances remained locked, the principals wrote. After-school athletics at the school were canceled Tuesday.</v>
      </c>
      <c r="AA275" s="8"/>
      <c r="AB275" s="8"/>
      <c r="AC275" s="8" t="str">
        <f ca="1">IFERROR(__xludf.DUMMYFUNCTION("""COMPUTED_VALUE"""),"Yes")</f>
        <v>Yes</v>
      </c>
      <c r="AD275" s="8"/>
      <c r="AE275" s="8" t="str">
        <f ca="1">IFERROR(__xludf.DUMMYFUNCTION("""COMPUTED_VALUE"""),"No")</f>
        <v>No</v>
      </c>
      <c r="AF275" s="8"/>
      <c r="AG275" s="8" t="str">
        <f ca="1">IFERROR(__xludf.DUMMYFUNCTION("""COMPUTED_VALUE"""),"No")</f>
        <v>No</v>
      </c>
      <c r="AH275" s="8" t="str">
        <f ca="1">IFERROR(__xludf.DUMMYFUNCTION("""COMPUTED_VALUE"""),"No")</f>
        <v>No</v>
      </c>
      <c r="AI275" s="8" t="str">
        <f ca="1">IFERROR(__xludf.DUMMYFUNCTION("""COMPUTED_VALUE"""),"No")</f>
        <v>No</v>
      </c>
      <c r="AJ275" s="8"/>
      <c r="AK275" s="8" t="str">
        <f ca="1">IFERROR(__xludf.DUMMYFUNCTION("""COMPUTED_VALUE"""),"No")</f>
        <v>No</v>
      </c>
      <c r="AL275" s="8"/>
      <c r="AM275" s="8" t="str">
        <f ca="1">IFERROR(__xludf.DUMMYFUNCTION("""COMPUTED_VALUE"""),"No")</f>
        <v>No</v>
      </c>
      <c r="AN275" s="8" t="str">
        <f ca="1">IFERROR(__xludf.DUMMYFUNCTION("""COMPUTED_VALUE"""),"Outside")</f>
        <v>Outside</v>
      </c>
      <c r="AO275" s="8" t="str">
        <f ca="1">IFERROR(__xludf.DUMMYFUNCTION("""COMPUTED_VALUE"""),"No")</f>
        <v>No</v>
      </c>
      <c r="AP275" s="8"/>
      <c r="AQ275" s="8"/>
      <c r="AR275" s="8" t="str">
        <f ca="1">IFERROR(__xludf.DUMMYFUNCTION("""COMPUTED_VALUE"""),"Outside/Off-Property")</f>
        <v>Outside/Off-Property</v>
      </c>
      <c r="AS275" s="8"/>
      <c r="AT275" s="8" t="str">
        <f ca="1">IFERROR(__xludf.DUMMYFUNCTION("""COMPUTED_VALUE"""),"Yes")</f>
        <v>Yes</v>
      </c>
      <c r="AU275" s="8">
        <f ca="1">IFERROR(__xludf.DUMMYFUNCTION("""COMPUTED_VALUE"""),44.987125)</f>
        <v>44.987124999999999</v>
      </c>
      <c r="AV275" s="8">
        <f ca="1">IFERROR(__xludf.DUMMYFUNCTION("""COMPUTED_VALUE"""),-93.110599)</f>
        <v>-93.110598999999993</v>
      </c>
      <c r="AW275" s="8" t="str">
        <f ca="1">IFERROR(__xludf.DUMMYFUNCTION("""COMPUTED_VALUE"""),"Multiple detached buildings")</f>
        <v>Multiple detached buildings</v>
      </c>
      <c r="AX275" s="8">
        <f ca="1">IFERROR(__xludf.DUMMYFUNCTION("""COMPUTED_VALUE"""),55117)</f>
        <v>55117</v>
      </c>
    </row>
    <row r="276" spans="1:50" ht="60" x14ac:dyDescent="0.2">
      <c r="A276" s="8" t="str">
        <f ca="1">IFERROR(__xludf.DUMMYFUNCTION("""COMPUTED_VALUE"""),"20240916TNCOM")</f>
        <v>20240916TNCOM</v>
      </c>
      <c r="B276" s="8">
        <f ca="1">IFERROR(__xludf.DUMMYFUNCTION("""COMPUTED_VALUE"""),9)</f>
        <v>9</v>
      </c>
      <c r="C276" s="8">
        <f ca="1">IFERROR(__xludf.DUMMYFUNCTION("""COMPUTED_VALUE"""),16)</f>
        <v>16</v>
      </c>
      <c r="D276" s="8">
        <f ca="1">IFERROR(__xludf.DUMMYFUNCTION("""COMPUTED_VALUE"""),2024)</f>
        <v>2024</v>
      </c>
      <c r="E276" s="9">
        <f ca="1">IFERROR(__xludf.DUMMYFUNCTION("""COMPUTED_VALUE"""),45551)</f>
        <v>45551</v>
      </c>
      <c r="F276" s="8" t="str">
        <f ca="1">IFERROR(__xludf.DUMMYFUNCTION("""COMPUTED_VALUE"""),"Cornerstone Prep School")</f>
        <v>Cornerstone Prep School</v>
      </c>
      <c r="G276" s="8">
        <f ca="1">IFERROR(__xludf.DUMMYFUNCTION("""COMPUTED_VALUE"""),0)</f>
        <v>0</v>
      </c>
      <c r="H276" s="8">
        <f ca="1">IFERROR(__xludf.DUMMYFUNCTION("""COMPUTED_VALUE"""),0)</f>
        <v>0</v>
      </c>
      <c r="I276" s="8">
        <f ca="1">IFERROR(__xludf.DUMMYFUNCTION("""COMPUTED_VALUE"""),0)</f>
        <v>0</v>
      </c>
      <c r="J276" s="8">
        <f ca="1">IFERROR(__xludf.DUMMYFUNCTION("""COMPUTED_VALUE"""),1)</f>
        <v>1</v>
      </c>
      <c r="K276" s="10" t="str">
        <f ca="1">IFERROR(__xludf.DUMMYFUNCTION("""COMPUTED_VALUE"""),"https://www.actionnews5.com/2024/09/16/police-shoot-kill-man-accused-carjacking/")</f>
        <v>https://www.actionnews5.com/2024/09/16/police-shoot-kill-man-accused-carjacking/</v>
      </c>
      <c r="L276" s="8">
        <f ca="1">IFERROR(__xludf.DUMMYFUNCTION("""COMPUTED_VALUE"""),10)</f>
        <v>10</v>
      </c>
      <c r="M276" s="8" t="str">
        <f ca="1">IFERROR(__xludf.DUMMYFUNCTION("""COMPUTED_VALUE"""),"Regional")</f>
        <v>Regional</v>
      </c>
      <c r="N276" s="8">
        <f ca="1">IFERROR(__xludf.DUMMYFUNCTION("""COMPUTED_VALUE"""),4)</f>
        <v>4</v>
      </c>
      <c r="O276" s="8" t="str">
        <f ca="1">IFERROR(__xludf.DUMMYFUNCTION("""COMPUTED_VALUE"""),"Fall")</f>
        <v>Fall</v>
      </c>
      <c r="P276" s="8" t="str">
        <f ca="1">IFERROR(__xludf.DUMMYFUNCTION("""COMPUTED_VALUE"""),"Memphis")</f>
        <v>Memphis</v>
      </c>
      <c r="Q276" s="8" t="str">
        <f ca="1">IFERROR(__xludf.DUMMYFUNCTION("""COMPUTED_VALUE"""),"TN")</f>
        <v>TN</v>
      </c>
      <c r="R276" s="8" t="str">
        <f ca="1">IFERROR(__xludf.DUMMYFUNCTION("""COMPUTED_VALUE"""),"Elementary")</f>
        <v>Elementary</v>
      </c>
      <c r="S276" s="8" t="str">
        <f ca="1">IFERROR(__xludf.DUMMYFUNCTION("""COMPUTED_VALUE"""),"Front of School")</f>
        <v>Front of School</v>
      </c>
      <c r="T276" s="8" t="str">
        <f ca="1">IFERROR(__xludf.DUMMYFUNCTION("""COMPUTED_VALUE"""),"Outside on School Property")</f>
        <v>Outside on School Property</v>
      </c>
      <c r="U276" s="8" t="str">
        <f ca="1">IFERROR(__xludf.DUMMYFUNCTION("""COMPUTED_VALUE"""),"Yes")</f>
        <v>Yes</v>
      </c>
      <c r="V276" s="8" t="str">
        <f ca="1">IFERROR(__xludf.DUMMYFUNCTION("""COMPUTED_VALUE"""),"Afternoon Classes")</f>
        <v>Afternoon Classes</v>
      </c>
      <c r="W276" s="11">
        <f ca="1">IFERROR(__xludf.DUMMYFUNCTION("""COMPUTED_VALUE"""),0.583333333333333)</f>
        <v>0.58333333333333304</v>
      </c>
      <c r="X276" s="8">
        <f ca="1">IFERROR(__xludf.DUMMYFUNCTION("""COMPUTED_VALUE"""),1)</f>
        <v>1</v>
      </c>
      <c r="Y276" s="12" t="str">
        <f ca="1">IFERROR(__xludf.DUMMYFUNCTION("""COMPUTED_VALUE"""),"Police fatally shot carjacking suspect in the grass lawn of the school")</f>
        <v>Police fatally shot carjacking suspect in the grass lawn of the school</v>
      </c>
      <c r="Z276" s="12" t="str">
        <f ca="1">IFERROR(__xludf.DUMMYFUNCTION("""COMPUTED_VALUE"""),"Police fatally shot a man with a handgun who ran from a traffic stop for a stolen vehicle. The man was shot in front of the school causing a lockdown.")</f>
        <v>Police fatally shot a man with a handgun who ran from a traffic stop for a stolen vehicle. The man was shot in front of the school causing a lockdown.</v>
      </c>
      <c r="AA276" s="8" t="str">
        <f ca="1">IFERROR(__xludf.DUMMYFUNCTION("""COMPUTED_VALUE"""),"Illegal Activity")</f>
        <v>Illegal Activity</v>
      </c>
      <c r="AB276" s="8" t="str">
        <f ca="1">IFERROR(__xludf.DUMMYFUNCTION("""COMPUTED_VALUE"""),"Spontaneous")</f>
        <v>Spontaneous</v>
      </c>
      <c r="AC276" s="8" t="str">
        <f ca="1">IFERROR(__xludf.DUMMYFUNCTION("""COMPUTED_VALUE"""),"Yes")</f>
        <v>Yes</v>
      </c>
      <c r="AD276" s="8" t="str">
        <f ca="1">IFERROR(__xludf.DUMMYFUNCTION("""COMPUTED_VALUE"""),"Victims Targeted")</f>
        <v>Victims Targeted</v>
      </c>
      <c r="AE276" s="8" t="str">
        <f ca="1">IFERROR(__xludf.DUMMYFUNCTION("""COMPUTED_VALUE"""),"No")</f>
        <v>No</v>
      </c>
      <c r="AF276" s="8"/>
      <c r="AG276" s="8" t="str">
        <f ca="1">IFERROR(__xludf.DUMMYFUNCTION("""COMPUTED_VALUE"""),"No")</f>
        <v>No</v>
      </c>
      <c r="AH276" s="8" t="str">
        <f ca="1">IFERROR(__xludf.DUMMYFUNCTION("""COMPUTED_VALUE"""),"No")</f>
        <v>No</v>
      </c>
      <c r="AI276" s="8" t="str">
        <f ca="1">IFERROR(__xludf.DUMMYFUNCTION("""COMPUTED_VALUE"""),"Yes")</f>
        <v>Yes</v>
      </c>
      <c r="AJ276" s="8" t="str">
        <f ca="1">IFERROR(__xludf.DUMMYFUNCTION("""COMPUTED_VALUE"""),"No")</f>
        <v>No</v>
      </c>
      <c r="AK276" s="8" t="str">
        <f ca="1">IFERROR(__xludf.DUMMYFUNCTION("""COMPUTED_VALUE"""),"No")</f>
        <v>No</v>
      </c>
      <c r="AL276" s="8" t="str">
        <f ca="1">IFERROR(__xludf.DUMMYFUNCTION("""COMPUTED_VALUE"""),"No")</f>
        <v>No</v>
      </c>
      <c r="AM276" s="8" t="str">
        <f ca="1">IFERROR(__xludf.DUMMYFUNCTION("""COMPUTED_VALUE"""),"No")</f>
        <v>No</v>
      </c>
      <c r="AN276" s="8" t="str">
        <f ca="1">IFERROR(__xludf.DUMMYFUNCTION("""COMPUTED_VALUE"""),"Outside")</f>
        <v>Outside</v>
      </c>
      <c r="AO276" s="8" t="str">
        <f ca="1">IFERROR(__xludf.DUMMYFUNCTION("""COMPUTED_VALUE"""),"No")</f>
        <v>No</v>
      </c>
      <c r="AP276" s="8"/>
      <c r="AQ276" s="8"/>
      <c r="AR276" s="8" t="str">
        <f ca="1">IFERROR(__xludf.DUMMYFUNCTION("""COMPUTED_VALUE"""),"Outside/Off-Property")</f>
        <v>Outside/Off-Property</v>
      </c>
      <c r="AS276" s="8">
        <f ca="1">IFERROR(__xludf.DUMMYFUNCTION("""COMPUTED_VALUE"""),99)</f>
        <v>99</v>
      </c>
      <c r="AT276" s="8" t="str">
        <f ca="1">IFERROR(__xludf.DUMMYFUNCTION("""COMPUTED_VALUE"""),"Yes")</f>
        <v>Yes</v>
      </c>
      <c r="AU276" s="8">
        <f ca="1">IFERROR(__xludf.DUMMYFUNCTION("""COMPUTED_VALUE"""),35.068565)</f>
        <v>35.068565</v>
      </c>
      <c r="AV276" s="8">
        <f ca="1">IFERROR(__xludf.DUMMYFUNCTION("""COMPUTED_VALUE"""),-89.88968)</f>
        <v>-89.889679999999998</v>
      </c>
      <c r="AW276" s="8" t="str">
        <f ca="1">IFERROR(__xludf.DUMMYFUNCTION("""COMPUTED_VALUE"""),"Single building indoor hallway")</f>
        <v>Single building indoor hallway</v>
      </c>
      <c r="AX276" s="8">
        <f ca="1">IFERROR(__xludf.DUMMYFUNCTION("""COMPUTED_VALUE"""),38118)</f>
        <v>38118</v>
      </c>
    </row>
    <row r="277" spans="1:50" ht="240" x14ac:dyDescent="0.2">
      <c r="A277" s="8" t="str">
        <f ca="1">IFERROR(__xludf.DUMMYFUNCTION("""COMPUTED_VALUE"""),"20240913GAMAM")</f>
        <v>20240913GAMAM</v>
      </c>
      <c r="B277" s="8">
        <f ca="1">IFERROR(__xludf.DUMMYFUNCTION("""COMPUTED_VALUE"""),9)</f>
        <v>9</v>
      </c>
      <c r="C277" s="8">
        <f ca="1">IFERROR(__xludf.DUMMYFUNCTION("""COMPUTED_VALUE"""),13)</f>
        <v>13</v>
      </c>
      <c r="D277" s="8">
        <f ca="1">IFERROR(__xludf.DUMMYFUNCTION("""COMPUTED_VALUE"""),2024)</f>
        <v>2024</v>
      </c>
      <c r="E277" s="9">
        <f ca="1">IFERROR(__xludf.DUMMYFUNCTION("""COMPUTED_VALUE"""),45548)</f>
        <v>45548</v>
      </c>
      <c r="F277" s="8" t="str">
        <f ca="1">IFERROR(__xludf.DUMMYFUNCTION("""COMPUTED_VALUE"""),"Macon County High School")</f>
        <v>Macon County High School</v>
      </c>
      <c r="G277" s="8">
        <f ca="1">IFERROR(__xludf.DUMMYFUNCTION("""COMPUTED_VALUE"""),0)</f>
        <v>0</v>
      </c>
      <c r="H277" s="8">
        <f ca="1">IFERROR(__xludf.DUMMYFUNCTION("""COMPUTED_VALUE"""),0)</f>
        <v>0</v>
      </c>
      <c r="I277" s="8">
        <f ca="1">IFERROR(__xludf.DUMMYFUNCTION("""COMPUTED_VALUE"""),0)</f>
        <v>0</v>
      </c>
      <c r="J277" s="8">
        <f ca="1">IFERROR(__xludf.DUMMYFUNCTION("""COMPUTED_VALUE"""),0)</f>
        <v>0</v>
      </c>
      <c r="K277" s="8" t="str">
        <f ca="1">IFERROR(__xludf.DUMMYFUNCTION("""COMPUTED_VALUE"""),"https://www.13wmaz.com/article/news/local/macon-county-students-arrested-in-connection-to-overnight-shooting-at-school/93-f923efd0-0b5a-4650-b9d9-b4a1e60571df
https://www.13wmaz.com/article/news/local/macon-county-schools-releases-early-friday-following-a"&amp;"n-overnight-shooting-inside-the-high-school-georgia/93-3ee04b8c-fbb5-4b30-944b-5227096855e8")</f>
        <v>https://www.13wmaz.com/article/news/local/macon-county-students-arrested-in-connection-to-overnight-shooting-at-school/93-f923efd0-0b5a-4650-b9d9-b4a1e60571df
https://www.13wmaz.com/article/news/local/macon-county-schools-releases-early-friday-following-an-overnight-shooting-inside-the-high-school-georgia/93-3ee04b8c-fbb5-4b30-944b-5227096855e8</v>
      </c>
      <c r="L277" s="8">
        <f ca="1">IFERROR(__xludf.DUMMYFUNCTION("""COMPUTED_VALUE"""),2)</f>
        <v>2</v>
      </c>
      <c r="M277" s="8" t="str">
        <f ca="1">IFERROR(__xludf.DUMMYFUNCTION("""COMPUTED_VALUE"""),"Local")</f>
        <v>Local</v>
      </c>
      <c r="N277" s="8">
        <f ca="1">IFERROR(__xludf.DUMMYFUNCTION("""COMPUTED_VALUE"""),4)</f>
        <v>4</v>
      </c>
      <c r="O277" s="8" t="str">
        <f ca="1">IFERROR(__xludf.DUMMYFUNCTION("""COMPUTED_VALUE"""),"Fall")</f>
        <v>Fall</v>
      </c>
      <c r="P277" s="8" t="str">
        <f ca="1">IFERROR(__xludf.DUMMYFUNCTION("""COMPUTED_VALUE"""),"Montezuma")</f>
        <v>Montezuma</v>
      </c>
      <c r="Q277" s="8" t="str">
        <f ca="1">IFERROR(__xludf.DUMMYFUNCTION("""COMPUTED_VALUE"""),"GA")</f>
        <v>GA</v>
      </c>
      <c r="R277" s="8" t="str">
        <f ca="1">IFERROR(__xludf.DUMMYFUNCTION("""COMPUTED_VALUE"""),"High")</f>
        <v>High</v>
      </c>
      <c r="S277" s="8" t="str">
        <f ca="1">IFERROR(__xludf.DUMMYFUNCTION("""COMPUTED_VALUE"""),"Front of School")</f>
        <v>Front of School</v>
      </c>
      <c r="T277" s="8" t="str">
        <f ca="1">IFERROR(__xludf.DUMMYFUNCTION("""COMPUTED_VALUE"""),"Outside on School Property")</f>
        <v>Outside on School Property</v>
      </c>
      <c r="U277" s="8" t="str">
        <f ca="1">IFERROR(__xludf.DUMMYFUNCTION("""COMPUTED_VALUE"""),"Yes")</f>
        <v>Yes</v>
      </c>
      <c r="V277" s="8" t="str">
        <f ca="1">IFERROR(__xludf.DUMMYFUNCTION("""COMPUTED_VALUE"""),"School Start")</f>
        <v>School Start</v>
      </c>
      <c r="W277" s="11">
        <f ca="1">IFERROR(__xludf.DUMMYFUNCTION("""COMPUTED_VALUE"""),0.252083333333333)</f>
        <v>0.25208333333333299</v>
      </c>
      <c r="X277" s="8">
        <f ca="1">IFERROR(__xludf.DUMMYFUNCTION("""COMPUTED_VALUE"""),1)</f>
        <v>1</v>
      </c>
      <c r="Y277" s="12" t="str">
        <f ca="1">IFERROR(__xludf.DUMMYFUNCTION("""COMPUTED_VALUE"""),"Three students fired shots at the front door of the school, fled and were arrested off campus")</f>
        <v>Three students fired shots at the front door of the school, fled and were arrested off campus</v>
      </c>
      <c r="Z277" s="12" t="str">
        <f ca="1">IFERROR(__xludf.DUMMYFUNCTION("""COMPUTED_VALUE"""),"Officers responded to a call about property damage at Macon High School around 6:03 a.m. on Friday. When they got there, the officers realized the entrance to the building had been shot. They say the school was placed on lockdown for arriving students, an"&amp;"d prior 13WMAZ reporting said the school released early that day. No students or staff were at the school when the shooting happened, per the report. According to the report, officers tracked the teenagers using Flock Camera technology, and located severa"&amp;"l guns at their home - one of which was stolen. The two older boys are being transferred to Macon County Jail, and the 15-year-old will be held at a Youth Detention Center. This incident is under further investigation by the Federal Bureau of Investigatio"&amp;"ns, Georgia Bureau of Investigations, Georgia Department of Corrections, and the Macon County Sheriff Department. ")</f>
        <v xml:space="preserve">Officers responded to a call about property damage at Macon High School around 6:03 a.m. on Friday. When they got there, the officers realized the entrance to the building had been shot. They say the school was placed on lockdown for arriving students, and prior 13WMAZ reporting said the school released early that day. No students or staff were at the school when the shooting happened, per the report. According to the report, officers tracked the teenagers using Flock Camera technology, and located several guns at their home - one of which was stolen. The two older boys are being transferred to Macon County Jail, and the 15-year-old will be held at a Youth Detention Center. This incident is under further investigation by the Federal Bureau of Investigations, Georgia Bureau of Investigations, Georgia Department of Corrections, and the Macon County Sheriff Department. </v>
      </c>
      <c r="AA277" s="8" t="str">
        <f ca="1">IFERROR(__xludf.DUMMYFUNCTION("""COMPUTED_VALUE"""),"Intentional Property Damage")</f>
        <v>Intentional Property Damage</v>
      </c>
      <c r="AB277" s="8"/>
      <c r="AC277" s="8" t="str">
        <f ca="1">IFERROR(__xludf.DUMMYFUNCTION("""COMPUTED_VALUE"""),"Yes")</f>
        <v>Yes</v>
      </c>
      <c r="AD277" s="8"/>
      <c r="AE277" s="8" t="str">
        <f ca="1">IFERROR(__xludf.DUMMYFUNCTION("""COMPUTED_VALUE"""),"Yes")</f>
        <v>Yes</v>
      </c>
      <c r="AF277" s="8" t="str">
        <f ca="1">IFERROR(__xludf.DUMMYFUNCTION("""COMPUTED_VALUE"""),"Three students")</f>
        <v>Three students</v>
      </c>
      <c r="AG277" s="8" t="str">
        <f ca="1">IFERROR(__xludf.DUMMYFUNCTION("""COMPUTED_VALUE"""),"No")</f>
        <v>No</v>
      </c>
      <c r="AH277" s="8" t="str">
        <f ca="1">IFERROR(__xludf.DUMMYFUNCTION("""COMPUTED_VALUE"""),"No")</f>
        <v>No</v>
      </c>
      <c r="AI277" s="8" t="str">
        <f ca="1">IFERROR(__xludf.DUMMYFUNCTION("""COMPUTED_VALUE"""),"No")</f>
        <v>No</v>
      </c>
      <c r="AJ277" s="8" t="str">
        <f ca="1">IFERROR(__xludf.DUMMYFUNCTION("""COMPUTED_VALUE"""),"No")</f>
        <v>No</v>
      </c>
      <c r="AK277" s="8" t="str">
        <f ca="1">IFERROR(__xludf.DUMMYFUNCTION("""COMPUTED_VALUE"""),"No")</f>
        <v>No</v>
      </c>
      <c r="AL277" s="8"/>
      <c r="AM277" s="8" t="str">
        <f ca="1">IFERROR(__xludf.DUMMYFUNCTION("""COMPUTED_VALUE"""),"No")</f>
        <v>No</v>
      </c>
      <c r="AN277" s="8" t="str">
        <f ca="1">IFERROR(__xludf.DUMMYFUNCTION("""COMPUTED_VALUE"""),"Outside")</f>
        <v>Outside</v>
      </c>
      <c r="AO277" s="8"/>
      <c r="AP277" s="8"/>
      <c r="AQ277" s="8"/>
      <c r="AR277" s="8" t="str">
        <f ca="1">IFERROR(__xludf.DUMMYFUNCTION("""COMPUTED_VALUE"""),"Outside/Off-Property")</f>
        <v>Outside/Off-Property</v>
      </c>
      <c r="AS277" s="8">
        <f ca="1">IFERROR(__xludf.DUMMYFUNCTION("""COMPUTED_VALUE"""),99)</f>
        <v>99</v>
      </c>
      <c r="AT277" s="8" t="str">
        <f ca="1">IFERROR(__xludf.DUMMYFUNCTION("""COMPUTED_VALUE"""),"Yes")</f>
        <v>Yes</v>
      </c>
      <c r="AU277" s="8">
        <f ca="1">IFERROR(__xludf.DUMMYFUNCTION("""COMPUTED_VALUE"""),32.292203)</f>
        <v>32.292203000000001</v>
      </c>
      <c r="AV277" s="8">
        <f ca="1">IFERROR(__xludf.DUMMYFUNCTION("""COMPUTED_VALUE"""),-84.019489)</f>
        <v>-84.019488999999993</v>
      </c>
      <c r="AW277" s="8" t="str">
        <f ca="1">IFERROR(__xludf.DUMMYFUNCTION("""COMPUTED_VALUE"""),"Multiple detached buildings")</f>
        <v>Multiple detached buildings</v>
      </c>
      <c r="AX277" s="8">
        <f ca="1">IFERROR(__xludf.DUMMYFUNCTION("""COMPUTED_VALUE"""),31063)</f>
        <v>31063</v>
      </c>
    </row>
    <row r="278" spans="1:50" ht="165" x14ac:dyDescent="0.2">
      <c r="A278" s="8" t="str">
        <f ca="1">IFERROR(__xludf.DUMMYFUNCTION("""COMPUTED_VALUE"""),"20240913GAFRA")</f>
        <v>20240913GAFRA</v>
      </c>
      <c r="B278" s="8">
        <f ca="1">IFERROR(__xludf.DUMMYFUNCTION("""COMPUTED_VALUE"""),9)</f>
        <v>9</v>
      </c>
      <c r="C278" s="8">
        <f ca="1">IFERROR(__xludf.DUMMYFUNCTION("""COMPUTED_VALUE"""),13)</f>
        <v>13</v>
      </c>
      <c r="D278" s="8">
        <f ca="1">IFERROR(__xludf.DUMMYFUNCTION("""COMPUTED_VALUE"""),2024)</f>
        <v>2024</v>
      </c>
      <c r="E278" s="9">
        <f ca="1">IFERROR(__xludf.DUMMYFUNCTION("""COMPUTED_VALUE"""),45548)</f>
        <v>45548</v>
      </c>
      <c r="F278" s="8" t="str">
        <f ca="1">IFERROR(__xludf.DUMMYFUNCTION("""COMPUTED_VALUE"""),"Frederick Douglass High")</f>
        <v>Frederick Douglass High</v>
      </c>
      <c r="G278" s="8">
        <f ca="1">IFERROR(__xludf.DUMMYFUNCTION("""COMPUTED_VALUE"""),0)</f>
        <v>0</v>
      </c>
      <c r="H278" s="8">
        <f ca="1">IFERROR(__xludf.DUMMYFUNCTION("""COMPUTED_VALUE"""),0)</f>
        <v>0</v>
      </c>
      <c r="I278" s="8">
        <f ca="1">IFERROR(__xludf.DUMMYFUNCTION("""COMPUTED_VALUE"""),0)</f>
        <v>0</v>
      </c>
      <c r="J278" s="8">
        <f ca="1">IFERROR(__xludf.DUMMYFUNCTION("""COMPUTED_VALUE"""),0)</f>
        <v>0</v>
      </c>
      <c r="K278" s="10" t="str">
        <f ca="1">IFERROR(__xludf.DUMMYFUNCTION("""COMPUTED_VALUE"""),"https://www.11alive.com/article/news/crime/shots-fired-frederick-douglass-high-campus-car-follows-school-bus-engages-fight-with-students/85-bb8b6ad7-01b7-4f24-9681-b8711d7ac443")</f>
        <v>https://www.11alive.com/article/news/crime/shots-fired-frederick-douglass-high-campus-car-follows-school-bus-engages-fight-with-students/85-bb8b6ad7-01b7-4f24-9681-b8711d7ac443</v>
      </c>
      <c r="L278" s="8">
        <f ca="1">IFERROR(__xludf.DUMMYFUNCTION("""COMPUTED_VALUE"""),2)</f>
        <v>2</v>
      </c>
      <c r="M278" s="8" t="str">
        <f ca="1">IFERROR(__xludf.DUMMYFUNCTION("""COMPUTED_VALUE"""),"Local")</f>
        <v>Local</v>
      </c>
      <c r="N278" s="8">
        <f ca="1">IFERROR(__xludf.DUMMYFUNCTION("""COMPUTED_VALUE"""),4)</f>
        <v>4</v>
      </c>
      <c r="O278" s="8" t="str">
        <f ca="1">IFERROR(__xludf.DUMMYFUNCTION("""COMPUTED_VALUE"""),"Fall")</f>
        <v>Fall</v>
      </c>
      <c r="P278" s="8" t="str">
        <f ca="1">IFERROR(__xludf.DUMMYFUNCTION("""COMPUTED_VALUE"""),"Atlanta")</f>
        <v>Atlanta</v>
      </c>
      <c r="Q278" s="8" t="str">
        <f ca="1">IFERROR(__xludf.DUMMYFUNCTION("""COMPUTED_VALUE"""),"GA")</f>
        <v>GA</v>
      </c>
      <c r="R278" s="8" t="str">
        <f ca="1">IFERROR(__xludf.DUMMYFUNCTION("""COMPUTED_VALUE"""),"High")</f>
        <v>High</v>
      </c>
      <c r="S278" s="8" t="str">
        <f ca="1">IFERROR(__xludf.DUMMYFUNCTION("""COMPUTED_VALUE"""),"Parking Lot")</f>
        <v>Parking Lot</v>
      </c>
      <c r="T278" s="8" t="str">
        <f ca="1">IFERROR(__xludf.DUMMYFUNCTION("""COMPUTED_VALUE"""),"Outside on School Property")</f>
        <v>Outside on School Property</v>
      </c>
      <c r="U278" s="8" t="str">
        <f ca="1">IFERROR(__xludf.DUMMYFUNCTION("""COMPUTED_VALUE"""),"Yes")</f>
        <v>Yes</v>
      </c>
      <c r="V278" s="8" t="str">
        <f ca="1">IFERROR(__xludf.DUMMYFUNCTION("""COMPUTED_VALUE"""),"Dismissal")</f>
        <v>Dismissal</v>
      </c>
      <c r="W278" s="11">
        <f ca="1">IFERROR(__xludf.DUMMYFUNCTION("""COMPUTED_VALUE"""),0.645833333333333)</f>
        <v>0.64583333333333304</v>
      </c>
      <c r="X278" s="8">
        <f ca="1">IFERROR(__xludf.DUMMYFUNCTION("""COMPUTED_VALUE"""),1)</f>
        <v>1</v>
      </c>
      <c r="Y278" s="12" t="str">
        <f ca="1">IFERROR(__xludf.DUMMYFUNCTION("""COMPUTED_VALUE"""),"Shots fired into the air during fight between adults and students on campus")</f>
        <v>Shots fired into the air during fight between adults and students on campus</v>
      </c>
      <c r="Z278" s="12" t="str">
        <f ca="1">IFERROR(__xludf.DUMMYFUNCTION("""COMPUTED_VALUE"""),"Gunshots rang out on the campus of Frederick Douglass High School on Friday after Atlanta Public Schools said a school bus was followed by two people in a car before engaging in a fight. No students were injured in the gunfire, Atlanta Public Schools offi"&amp;"cials said. School officials said that one of the activity school buses was followed from the 9th Grade Academy to the main campus of the high school, where two people who have yet to be identified got out of the vehicle and began fighting several student"&amp;"s. That's when APS officials said one of the unidentified adults pulled out a gun and started firing shots in the air. ")</f>
        <v xml:space="preserve">Gunshots rang out on the campus of Frederick Douglass High School on Friday after Atlanta Public Schools said a school bus was followed by two people in a car before engaging in a fight. No students were injured in the gunfire, Atlanta Public Schools officials said. School officials said that one of the activity school buses was followed from the 9th Grade Academy to the main campus of the high school, where two people who have yet to be identified got out of the vehicle and began fighting several students. That's when APS officials said one of the unidentified adults pulled out a gun and started firing shots in the air. </v>
      </c>
      <c r="AA278" s="8" t="str">
        <f ca="1">IFERROR(__xludf.DUMMYFUNCTION("""COMPUTED_VALUE"""),"Escalation of Dispute")</f>
        <v>Escalation of Dispute</v>
      </c>
      <c r="AB278" s="8" t="str">
        <f ca="1">IFERROR(__xludf.DUMMYFUNCTION("""COMPUTED_VALUE"""),"Spontaneous")</f>
        <v>Spontaneous</v>
      </c>
      <c r="AC278" s="8" t="str">
        <f ca="1">IFERROR(__xludf.DUMMYFUNCTION("""COMPUTED_VALUE"""),"Yes")</f>
        <v>Yes</v>
      </c>
      <c r="AD278" s="8" t="str">
        <f ca="1">IFERROR(__xludf.DUMMYFUNCTION("""COMPUTED_VALUE"""),"Neither")</f>
        <v>Neither</v>
      </c>
      <c r="AE278" s="8" t="str">
        <f ca="1">IFERROR(__xludf.DUMMYFUNCTION("""COMPUTED_VALUE"""),"Yes")</f>
        <v>Yes</v>
      </c>
      <c r="AF278" s="8" t="str">
        <f ca="1">IFERROR(__xludf.DUMMYFUNCTION("""COMPUTED_VALUE"""),"Two adults")</f>
        <v>Two adults</v>
      </c>
      <c r="AG278" s="8" t="str">
        <f ca="1">IFERROR(__xludf.DUMMYFUNCTION("""COMPUTED_VALUE"""),"No")</f>
        <v>No</v>
      </c>
      <c r="AH278" s="8" t="str">
        <f ca="1">IFERROR(__xludf.DUMMYFUNCTION("""COMPUTED_VALUE"""),"No")</f>
        <v>No</v>
      </c>
      <c r="AI278" s="8" t="str">
        <f ca="1">IFERROR(__xludf.DUMMYFUNCTION("""COMPUTED_VALUE"""),"No")</f>
        <v>No</v>
      </c>
      <c r="AJ278" s="8" t="str">
        <f ca="1">IFERROR(__xludf.DUMMYFUNCTION("""COMPUTED_VALUE"""),"No")</f>
        <v>No</v>
      </c>
      <c r="AK278" s="8" t="str">
        <f ca="1">IFERROR(__xludf.DUMMYFUNCTION("""COMPUTED_VALUE"""),"No")</f>
        <v>No</v>
      </c>
      <c r="AL278" s="8" t="str">
        <f ca="1">IFERROR(__xludf.DUMMYFUNCTION("""COMPUTED_VALUE"""),"No")</f>
        <v>No</v>
      </c>
      <c r="AM278" s="8" t="str">
        <f ca="1">IFERROR(__xludf.DUMMYFUNCTION("""COMPUTED_VALUE"""),"No")</f>
        <v>No</v>
      </c>
      <c r="AN278" s="8" t="str">
        <f ca="1">IFERROR(__xludf.DUMMYFUNCTION("""COMPUTED_VALUE"""),"Outside")</f>
        <v>Outside</v>
      </c>
      <c r="AO278" s="8" t="str">
        <f ca="1">IFERROR(__xludf.DUMMYFUNCTION("""COMPUTED_VALUE"""),"No")</f>
        <v>No</v>
      </c>
      <c r="AP278" s="8"/>
      <c r="AQ278" s="8"/>
      <c r="AR278" s="8" t="str">
        <f ca="1">IFERROR(__xludf.DUMMYFUNCTION("""COMPUTED_VALUE"""),"Outside/Off-Property")</f>
        <v>Outside/Off-Property</v>
      </c>
      <c r="AS278" s="8">
        <f ca="1">IFERROR(__xludf.DUMMYFUNCTION("""COMPUTED_VALUE"""),99)</f>
        <v>99</v>
      </c>
      <c r="AT278" s="8"/>
      <c r="AU278" s="8">
        <f ca="1">IFERROR(__xludf.DUMMYFUNCTION("""COMPUTED_VALUE"""),33.762177)</f>
        <v>33.762177000000001</v>
      </c>
      <c r="AV278" s="8">
        <f ca="1">IFERROR(__xludf.DUMMYFUNCTION("""COMPUTED_VALUE"""),-84.468225)</f>
        <v>-84.468225000000004</v>
      </c>
      <c r="AW278" s="8" t="str">
        <f ca="1">IFERROR(__xludf.DUMMYFUNCTION("""COMPUTED_VALUE"""),"Multiple detached buildings")</f>
        <v>Multiple detached buildings</v>
      </c>
      <c r="AX278" s="8">
        <f ca="1">IFERROR(__xludf.DUMMYFUNCTION("""COMPUTED_VALUE"""),30318)</f>
        <v>30318</v>
      </c>
    </row>
    <row r="279" spans="1:50" ht="75" x14ac:dyDescent="0.2">
      <c r="A279" s="8" t="str">
        <f ca="1">IFERROR(__xludf.DUMMYFUNCTION("""COMPUTED_VALUE"""),"20240912MOTUS")</f>
        <v>20240912MOTUS</v>
      </c>
      <c r="B279" s="8">
        <f ca="1">IFERROR(__xludf.DUMMYFUNCTION("""COMPUTED_VALUE"""),9)</f>
        <v>9</v>
      </c>
      <c r="C279" s="8">
        <f ca="1">IFERROR(__xludf.DUMMYFUNCTION("""COMPUTED_VALUE"""),12)</f>
        <v>12</v>
      </c>
      <c r="D279" s="8">
        <f ca="1">IFERROR(__xludf.DUMMYFUNCTION("""COMPUTED_VALUE"""),2024)</f>
        <v>2024</v>
      </c>
      <c r="E279" s="9">
        <f ca="1">IFERROR(__xludf.DUMMYFUNCTION("""COMPUTED_VALUE"""),45547)</f>
        <v>45547</v>
      </c>
      <c r="F279" s="8" t="str">
        <f ca="1">IFERROR(__xludf.DUMMYFUNCTION("""COMPUTED_VALUE"""),"Truman Elementary School")</f>
        <v>Truman Elementary School</v>
      </c>
      <c r="G279" s="8">
        <f ca="1">IFERROR(__xludf.DUMMYFUNCTION("""COMPUTED_VALUE"""),0)</f>
        <v>0</v>
      </c>
      <c r="H279" s="8">
        <f ca="1">IFERROR(__xludf.DUMMYFUNCTION("""COMPUTED_VALUE"""),1)</f>
        <v>1</v>
      </c>
      <c r="I279" s="8">
        <f ca="1">IFERROR(__xludf.DUMMYFUNCTION("""COMPUTED_VALUE"""),1)</f>
        <v>1</v>
      </c>
      <c r="J279" s="8">
        <f ca="1">IFERROR(__xludf.DUMMYFUNCTION("""COMPUTED_VALUE"""),0)</f>
        <v>0</v>
      </c>
      <c r="K279" s="10" t="str">
        <f ca="1">IFERROR(__xludf.DUMMYFUNCTION("""COMPUTED_VALUE"""),"https://www.ozarksfirst.com/news/parent-frustrations-swell-after-truman-elementary-situation/")</f>
        <v>https://www.ozarksfirst.com/news/parent-frustrations-swell-after-truman-elementary-situation/</v>
      </c>
      <c r="L279" s="8">
        <f ca="1">IFERROR(__xludf.DUMMYFUNCTION("""COMPUTED_VALUE"""),1)</f>
        <v>1</v>
      </c>
      <c r="M279" s="8" t="str">
        <f ca="1">IFERROR(__xludf.DUMMYFUNCTION("""COMPUTED_VALUE"""),"Local")</f>
        <v>Local</v>
      </c>
      <c r="N279" s="8">
        <f ca="1">IFERROR(__xludf.DUMMYFUNCTION("""COMPUTED_VALUE"""),4)</f>
        <v>4</v>
      </c>
      <c r="O279" s="8" t="str">
        <f ca="1">IFERROR(__xludf.DUMMYFUNCTION("""COMPUTED_VALUE"""),"Fall")</f>
        <v>Fall</v>
      </c>
      <c r="P279" s="8" t="str">
        <f ca="1">IFERROR(__xludf.DUMMYFUNCTION("""COMPUTED_VALUE"""),"Springfield")</f>
        <v>Springfield</v>
      </c>
      <c r="Q279" s="8" t="str">
        <f ca="1">IFERROR(__xludf.DUMMYFUNCTION("""COMPUTED_VALUE"""),"MO")</f>
        <v>MO</v>
      </c>
      <c r="R279" s="8" t="str">
        <f ca="1">IFERROR(__xludf.DUMMYFUNCTION("""COMPUTED_VALUE"""),"Elementary")</f>
        <v>Elementary</v>
      </c>
      <c r="S279" s="8" t="str">
        <f ca="1">IFERROR(__xludf.DUMMYFUNCTION("""COMPUTED_VALUE"""),"Parking Lot")</f>
        <v>Parking Lot</v>
      </c>
      <c r="T279" s="8" t="str">
        <f ca="1">IFERROR(__xludf.DUMMYFUNCTION("""COMPUTED_VALUE"""),"Outside on School Property")</f>
        <v>Outside on School Property</v>
      </c>
      <c r="U279" s="8" t="str">
        <f ca="1">IFERROR(__xludf.DUMMYFUNCTION("""COMPUTED_VALUE"""),"Yes")</f>
        <v>Yes</v>
      </c>
      <c r="V279" s="8" t="str">
        <f ca="1">IFERROR(__xludf.DUMMYFUNCTION("""COMPUTED_VALUE"""),"Dismissal")</f>
        <v>Dismissal</v>
      </c>
      <c r="W279" s="11">
        <f ca="1">IFERROR(__xludf.DUMMYFUNCTION("""COMPUTED_VALUE"""),0.625)</f>
        <v>0.625</v>
      </c>
      <c r="X279" s="8">
        <f ca="1">IFERROR(__xludf.DUMMYFUNCTION("""COMPUTED_VALUE"""),1)</f>
        <v>1</v>
      </c>
      <c r="Y279" s="12" t="str">
        <f ca="1">IFERROR(__xludf.DUMMYFUNCTION("""COMPUTED_VALUE"""),"Parent shot themselves while waiting in the pickup line at dismissal")</f>
        <v>Parent shot themselves while waiting in the pickup line at dismissal</v>
      </c>
      <c r="Z279" s="12" t="str">
        <f ca="1">IFERROR(__xludf.DUMMYFUNCTION("""COMPUTED_VALUE"""),"A person in the school pick-up lane had accidentally shot themselves in the leg at dismissal. ")</f>
        <v xml:space="preserve">A person in the school pick-up lane had accidentally shot themselves in the leg at dismissal. </v>
      </c>
      <c r="AA279" s="8" t="str">
        <f ca="1">IFERROR(__xludf.DUMMYFUNCTION("""COMPUTED_VALUE"""),"Accidental")</f>
        <v>Accidental</v>
      </c>
      <c r="AB279" s="8" t="str">
        <f ca="1">IFERROR(__xludf.DUMMYFUNCTION("""COMPUTED_VALUE"""),"Spontaneous")</f>
        <v>Spontaneous</v>
      </c>
      <c r="AC279" s="8" t="str">
        <f ca="1">IFERROR(__xludf.DUMMYFUNCTION("""COMPUTED_VALUE"""),"Yes")</f>
        <v>Yes</v>
      </c>
      <c r="AD279" s="8" t="str">
        <f ca="1">IFERROR(__xludf.DUMMYFUNCTION("""COMPUTED_VALUE"""),"Neither")</f>
        <v>Neither</v>
      </c>
      <c r="AE279" s="8" t="str">
        <f ca="1">IFERROR(__xludf.DUMMYFUNCTION("""COMPUTED_VALUE"""),"No")</f>
        <v>No</v>
      </c>
      <c r="AF279" s="8"/>
      <c r="AG279" s="8" t="str">
        <f ca="1">IFERROR(__xludf.DUMMYFUNCTION("""COMPUTED_VALUE"""),"No")</f>
        <v>No</v>
      </c>
      <c r="AH279" s="8" t="str">
        <f ca="1">IFERROR(__xludf.DUMMYFUNCTION("""COMPUTED_VALUE"""),"No")</f>
        <v>No</v>
      </c>
      <c r="AI279" s="8" t="str">
        <f ca="1">IFERROR(__xludf.DUMMYFUNCTION("""COMPUTED_VALUE"""),"No")</f>
        <v>No</v>
      </c>
      <c r="AJ279" s="8" t="str">
        <f ca="1">IFERROR(__xludf.DUMMYFUNCTION("""COMPUTED_VALUE"""),"No")</f>
        <v>No</v>
      </c>
      <c r="AK279" s="8" t="str">
        <f ca="1">IFERROR(__xludf.DUMMYFUNCTION("""COMPUTED_VALUE"""),"No")</f>
        <v>No</v>
      </c>
      <c r="AL279" s="8" t="str">
        <f ca="1">IFERROR(__xludf.DUMMYFUNCTION("""COMPUTED_VALUE"""),"No")</f>
        <v>No</v>
      </c>
      <c r="AM279" s="8" t="str">
        <f ca="1">IFERROR(__xludf.DUMMYFUNCTION("""COMPUTED_VALUE"""),"No")</f>
        <v>No</v>
      </c>
      <c r="AN279" s="8" t="str">
        <f ca="1">IFERROR(__xludf.DUMMYFUNCTION("""COMPUTED_VALUE"""),"Outside")</f>
        <v>Outside</v>
      </c>
      <c r="AO279" s="8" t="str">
        <f ca="1">IFERROR(__xludf.DUMMYFUNCTION("""COMPUTED_VALUE"""),"No")</f>
        <v>No</v>
      </c>
      <c r="AP279" s="8"/>
      <c r="AQ279" s="8"/>
      <c r="AR279" s="8" t="str">
        <f ca="1">IFERROR(__xludf.DUMMYFUNCTION("""COMPUTED_VALUE"""),"Outside/Off-Property")</f>
        <v>Outside/Off-Property</v>
      </c>
      <c r="AS279" s="8">
        <f ca="1">IFERROR(__xludf.DUMMYFUNCTION("""COMPUTED_VALUE"""),1)</f>
        <v>1</v>
      </c>
      <c r="AT279" s="8" t="str">
        <f ca="1">IFERROR(__xludf.DUMMYFUNCTION("""COMPUTED_VALUE"""),"Yes")</f>
        <v>Yes</v>
      </c>
      <c r="AU279" s="8">
        <f ca="1">IFERROR(__xludf.DUMMYFUNCTION("""COMPUTED_VALUE"""),37.267304)</f>
        <v>37.267304000000003</v>
      </c>
      <c r="AV279" s="8">
        <f ca="1">IFERROR(__xludf.DUMMYFUNCTION("""COMPUTED_VALUE"""),-93.28086)</f>
        <v>-93.280860000000004</v>
      </c>
      <c r="AW279" s="8" t="str">
        <f ca="1">IFERROR(__xludf.DUMMYFUNCTION("""COMPUTED_VALUE"""),"Multiple attached buildings")</f>
        <v>Multiple attached buildings</v>
      </c>
      <c r="AX279" s="8">
        <f ca="1">IFERROR(__xludf.DUMMYFUNCTION("""COMPUTED_VALUE"""),65803)</f>
        <v>65803</v>
      </c>
    </row>
    <row r="280" spans="1:50" ht="210" x14ac:dyDescent="0.2">
      <c r="A280" s="8" t="str">
        <f ca="1">IFERROR(__xludf.DUMMYFUNCTION("""COMPUTED_VALUE"""),"20240912OHTAC")</f>
        <v>20240912OHTAC</v>
      </c>
      <c r="B280" s="8">
        <f ca="1">IFERROR(__xludf.DUMMYFUNCTION("""COMPUTED_VALUE"""),9)</f>
        <v>9</v>
      </c>
      <c r="C280" s="8">
        <f ca="1">IFERROR(__xludf.DUMMYFUNCTION("""COMPUTED_VALUE"""),12)</f>
        <v>12</v>
      </c>
      <c r="D280" s="8">
        <f ca="1">IFERROR(__xludf.DUMMYFUNCTION("""COMPUTED_VALUE"""),2024)</f>
        <v>2024</v>
      </c>
      <c r="E280" s="9">
        <f ca="1">IFERROR(__xludf.DUMMYFUNCTION("""COMPUTED_VALUE"""),45547)</f>
        <v>45547</v>
      </c>
      <c r="F280" s="8" t="str">
        <f ca="1">IFERROR(__xludf.DUMMYFUNCTION("""COMPUTED_VALUE"""),"Taft High School")</f>
        <v>Taft High School</v>
      </c>
      <c r="G280" s="8">
        <f ca="1">IFERROR(__xludf.DUMMYFUNCTION("""COMPUTED_VALUE"""),0)</f>
        <v>0</v>
      </c>
      <c r="H280" s="8">
        <f ca="1">IFERROR(__xludf.DUMMYFUNCTION("""COMPUTED_VALUE"""),1)</f>
        <v>1</v>
      </c>
      <c r="I280" s="8">
        <f ca="1">IFERROR(__xludf.DUMMYFUNCTION("""COMPUTED_VALUE"""),1)</f>
        <v>1</v>
      </c>
      <c r="J280" s="8">
        <f ca="1">IFERROR(__xludf.DUMMYFUNCTION("""COMPUTED_VALUE"""),0)</f>
        <v>0</v>
      </c>
      <c r="K280" s="8" t="str">
        <f ca="1">IFERROR(__xludf.DUMMYFUNCTION("""COMPUTED_VALUE"""),"https://www.wcpo.com/news/local-news/hamilton-county/cincinnati/west-end/police-13-year-old-hospitalized-after-shooting-near-taft-high-school
https://www.cincinnati.com/story/news/crime/2024/09/12/robert-a-taft-high-school-on-lockdown-after-13-year-old-sh"&amp;"ot/75195731007/")</f>
        <v>https://www.wcpo.com/news/local-news/hamilton-county/cincinnati/west-end/police-13-year-old-hospitalized-after-shooting-near-taft-high-school
https://www.cincinnati.com/story/news/crime/2024/09/12/robert-a-taft-high-school-on-lockdown-after-13-year-old-shot/75195731007/</v>
      </c>
      <c r="L280" s="8">
        <f ca="1">IFERROR(__xludf.DUMMYFUNCTION("""COMPUTED_VALUE"""),10)</f>
        <v>10</v>
      </c>
      <c r="M280" s="8" t="str">
        <f ca="1">IFERROR(__xludf.DUMMYFUNCTION("""COMPUTED_VALUE"""),"Regional")</f>
        <v>Regional</v>
      </c>
      <c r="N280" s="8">
        <f ca="1">IFERROR(__xludf.DUMMYFUNCTION("""COMPUTED_VALUE"""),4)</f>
        <v>4</v>
      </c>
      <c r="O280" s="8" t="str">
        <f ca="1">IFERROR(__xludf.DUMMYFUNCTION("""COMPUTED_VALUE"""),"Fall")</f>
        <v>Fall</v>
      </c>
      <c r="P280" s="8" t="str">
        <f ca="1">IFERROR(__xludf.DUMMYFUNCTION("""COMPUTED_VALUE"""),"Cincinnati")</f>
        <v>Cincinnati</v>
      </c>
      <c r="Q280" s="8" t="str">
        <f ca="1">IFERROR(__xludf.DUMMYFUNCTION("""COMPUTED_VALUE"""),"OH")</f>
        <v>OH</v>
      </c>
      <c r="R280" s="8" t="str">
        <f ca="1">IFERROR(__xludf.DUMMYFUNCTION("""COMPUTED_VALUE"""),"High")</f>
        <v>High</v>
      </c>
      <c r="S280" s="8" t="str">
        <f ca="1">IFERROR(__xludf.DUMMYFUNCTION("""COMPUTED_VALUE"""),"Front of School")</f>
        <v>Front of School</v>
      </c>
      <c r="T280" s="8" t="str">
        <f ca="1">IFERROR(__xludf.DUMMYFUNCTION("""COMPUTED_VALUE"""),"Outside on School Property")</f>
        <v>Outside on School Property</v>
      </c>
      <c r="U280" s="8" t="str">
        <f ca="1">IFERROR(__xludf.DUMMYFUNCTION("""COMPUTED_VALUE"""),"Yes")</f>
        <v>Yes</v>
      </c>
      <c r="V280" s="8" t="str">
        <f ca="1">IFERROR(__xludf.DUMMYFUNCTION("""COMPUTED_VALUE"""),"Dismissal")</f>
        <v>Dismissal</v>
      </c>
      <c r="W280" s="11">
        <f ca="1">IFERROR(__xludf.DUMMYFUNCTION("""COMPUTED_VALUE"""),0.666666666666666)</f>
        <v>0.66666666666666596</v>
      </c>
      <c r="X280" s="8">
        <f ca="1">IFERROR(__xludf.DUMMYFUNCTION("""COMPUTED_VALUE"""),1)</f>
        <v>1</v>
      </c>
      <c r="Y280" s="12" t="str">
        <f ca="1">IFERROR(__xludf.DUMMYFUNCTION("""COMPUTED_VALUE"""),"13-year-old shot during dismissal, school went on lockdown")</f>
        <v>13-year-old shot during dismissal, school went on lockdown</v>
      </c>
      <c r="Z280" s="12" t="str">
        <f ca="1">IFERROR(__xludf.DUMMYFUNCTION("""COMPUTED_VALUE"""),"Cincinnati police said officers responded to the 1400 block of John Street just before 4 p.m. for a report of a shooting. A 13-year-old boy was found shot in his arm. He was taken to Cincinnati Children's Hospital Medical Center for treatment and is expec"&amp;"ted to be OK. Police at the scene said the teen was a student shot shortly after dismissal time. In a statement, Cincinnati Public Schools said its security team responded immediately, bringing students back into the school building after the shooting. Do"&amp;"zens of police units then blocked off the area around the school to investigate. ""All after-school activities have been canceled,"" CPS said in its statement. ""As a precaution, there will be additional security and counselors at Taft High School tomorro"&amp;"w to provide continued support for students and staff.""")</f>
        <v>Cincinnati police said officers responded to the 1400 block of John Street just before 4 p.m. for a report of a shooting. A 13-year-old boy was found shot in his arm. He was taken to Cincinnati Children's Hospital Medical Center for treatment and is expected to be OK. Police at the scene said the teen was a student shot shortly after dismissal time. In a statement, Cincinnati Public Schools said its security team responded immediately, bringing students back into the school building after the shooting. Dozens of police units then blocked off the area around the school to investigate. "All after-school activities have been canceled," CPS said in its statement. "As a precaution, there will be additional security and counselors at Taft High School tomorrow to provide continued support for students and staff."</v>
      </c>
      <c r="AA280" s="8" t="str">
        <f ca="1">IFERROR(__xludf.DUMMYFUNCTION("""COMPUTED_VALUE"""),"Escalation of Dispute")</f>
        <v>Escalation of Dispute</v>
      </c>
      <c r="AB280" s="8" t="str">
        <f ca="1">IFERROR(__xludf.DUMMYFUNCTION("""COMPUTED_VALUE"""),"Spontaneous")</f>
        <v>Spontaneous</v>
      </c>
      <c r="AC280" s="8" t="str">
        <f ca="1">IFERROR(__xludf.DUMMYFUNCTION("""COMPUTED_VALUE"""),"Yes")</f>
        <v>Yes</v>
      </c>
      <c r="AD280" s="8"/>
      <c r="AE280" s="8" t="str">
        <f ca="1">IFERROR(__xludf.DUMMYFUNCTION("""COMPUTED_VALUE"""),"No")</f>
        <v>No</v>
      </c>
      <c r="AF280" s="8"/>
      <c r="AG280" s="8" t="str">
        <f ca="1">IFERROR(__xludf.DUMMYFUNCTION("""COMPUTED_VALUE"""),"No")</f>
        <v>No</v>
      </c>
      <c r="AH280" s="8" t="str">
        <f ca="1">IFERROR(__xludf.DUMMYFUNCTION("""COMPUTED_VALUE"""),"No")</f>
        <v>No</v>
      </c>
      <c r="AI280" s="8" t="str">
        <f ca="1">IFERROR(__xludf.DUMMYFUNCTION("""COMPUTED_VALUE"""),"No")</f>
        <v>No</v>
      </c>
      <c r="AJ280" s="8" t="str">
        <f ca="1">IFERROR(__xludf.DUMMYFUNCTION("""COMPUTED_VALUE"""),"No")</f>
        <v>No</v>
      </c>
      <c r="AK280" s="8" t="str">
        <f ca="1">IFERROR(__xludf.DUMMYFUNCTION("""COMPUTED_VALUE"""),"No")</f>
        <v>No</v>
      </c>
      <c r="AL280" s="8"/>
      <c r="AM280" s="8" t="str">
        <f ca="1">IFERROR(__xludf.DUMMYFUNCTION("""COMPUTED_VALUE"""),"No")</f>
        <v>No</v>
      </c>
      <c r="AN280" s="8" t="str">
        <f ca="1">IFERROR(__xludf.DUMMYFUNCTION("""COMPUTED_VALUE"""),"Outside")</f>
        <v>Outside</v>
      </c>
      <c r="AO280" s="8" t="str">
        <f ca="1">IFERROR(__xludf.DUMMYFUNCTION("""COMPUTED_VALUE"""),"No")</f>
        <v>No</v>
      </c>
      <c r="AP280" s="8" t="str">
        <f ca="1">IFERROR(__xludf.DUMMYFUNCTION("""COMPUTED_VALUE"""),"Yes")</f>
        <v>Yes</v>
      </c>
      <c r="AQ280" s="8"/>
      <c r="AR280" s="8" t="str">
        <f ca="1">IFERROR(__xludf.DUMMYFUNCTION("""COMPUTED_VALUE"""),"Outside/Off-Property")</f>
        <v>Outside/Off-Property</v>
      </c>
      <c r="AS280" s="8">
        <f ca="1">IFERROR(__xludf.DUMMYFUNCTION("""COMPUTED_VALUE"""),99)</f>
        <v>99</v>
      </c>
      <c r="AT280" s="8" t="str">
        <f ca="1">IFERROR(__xludf.DUMMYFUNCTION("""COMPUTED_VALUE"""),"Yes")</f>
        <v>Yes</v>
      </c>
      <c r="AU280" s="8">
        <f ca="1">IFERROR(__xludf.DUMMYFUNCTION("""COMPUTED_VALUE"""),39.109716)</f>
        <v>39.109715999999999</v>
      </c>
      <c r="AV280" s="8">
        <f ca="1">IFERROR(__xludf.DUMMYFUNCTION("""COMPUTED_VALUE"""),-84.523255)</f>
        <v>-84.523255000000006</v>
      </c>
      <c r="AW280" s="8" t="str">
        <f ca="1">IFERROR(__xludf.DUMMYFUNCTION("""COMPUTED_VALUE"""),"Multiple detached buildings")</f>
        <v>Multiple detached buildings</v>
      </c>
      <c r="AX280" s="8">
        <f ca="1">IFERROR(__xludf.DUMMYFUNCTION("""COMPUTED_VALUE"""),45203)</f>
        <v>45203</v>
      </c>
    </row>
    <row r="281" spans="1:50" ht="195" x14ac:dyDescent="0.2">
      <c r="A281" s="8" t="str">
        <f ca="1">IFERROR(__xludf.DUMMYFUNCTION("""COMPUTED_VALUE"""),"20240912DCKIW")</f>
        <v>20240912DCKIW</v>
      </c>
      <c r="B281" s="8">
        <f ca="1">IFERROR(__xludf.DUMMYFUNCTION("""COMPUTED_VALUE"""),9)</f>
        <v>9</v>
      </c>
      <c r="C281" s="8">
        <f ca="1">IFERROR(__xludf.DUMMYFUNCTION("""COMPUTED_VALUE"""),12)</f>
        <v>12</v>
      </c>
      <c r="D281" s="8">
        <f ca="1">IFERROR(__xludf.DUMMYFUNCTION("""COMPUTED_VALUE"""),2024)</f>
        <v>2024</v>
      </c>
      <c r="E281" s="9">
        <f ca="1">IFERROR(__xludf.DUMMYFUNCTION("""COMPUTED_VALUE"""),45547)</f>
        <v>45547</v>
      </c>
      <c r="F281" s="8" t="str">
        <f ca="1">IFERROR(__xludf.DUMMYFUNCTION("""COMPUTED_VALUE"""),"KIPP DC Legacy College Preparatory")</f>
        <v>KIPP DC Legacy College Preparatory</v>
      </c>
      <c r="G281" s="8">
        <f ca="1">IFERROR(__xludf.DUMMYFUNCTION("""COMPUTED_VALUE"""),0)</f>
        <v>0</v>
      </c>
      <c r="H281" s="8">
        <f ca="1">IFERROR(__xludf.DUMMYFUNCTION("""COMPUTED_VALUE"""),2)</f>
        <v>2</v>
      </c>
      <c r="I281" s="8">
        <f ca="1">IFERROR(__xludf.DUMMYFUNCTION("""COMPUTED_VALUE"""),2)</f>
        <v>2</v>
      </c>
      <c r="J281" s="8">
        <f ca="1">IFERROR(__xludf.DUMMYFUNCTION("""COMPUTED_VALUE"""),0)</f>
        <v>0</v>
      </c>
      <c r="K281" s="8" t="str">
        <f ca="1">IFERROR(__xludf.DUMMYFUNCTION("""COMPUTED_VALUE"""),"https://www.nbcwashington.com/news/local/2-teens-shot-run-to-school-for-help-in-southeast-dc/3715881/
https://www.wusa9.com/article/news/crime/shooting-investigation-near-kipp-dc-legacy-campus/65-80ec3036-cf2f-400b-9a95-0ffd51c2f2a5")</f>
        <v>https://www.nbcwashington.com/news/local/2-teens-shot-run-to-school-for-help-in-southeast-dc/3715881/
https://www.wusa9.com/article/news/crime/shooting-investigation-near-kipp-dc-legacy-campus/65-80ec3036-cf2f-400b-9a95-0ffd51c2f2a5</v>
      </c>
      <c r="L281" s="8">
        <f ca="1">IFERROR(__xludf.DUMMYFUNCTION("""COMPUTED_VALUE"""),10)</f>
        <v>10</v>
      </c>
      <c r="M281" s="8" t="str">
        <f ca="1">IFERROR(__xludf.DUMMYFUNCTION("""COMPUTED_VALUE"""),"Regional")</f>
        <v>Regional</v>
      </c>
      <c r="N281" s="8">
        <f ca="1">IFERROR(__xludf.DUMMYFUNCTION("""COMPUTED_VALUE"""),4)</f>
        <v>4</v>
      </c>
      <c r="O281" s="8" t="str">
        <f ca="1">IFERROR(__xludf.DUMMYFUNCTION("""COMPUTED_VALUE"""),"Fall")</f>
        <v>Fall</v>
      </c>
      <c r="P281" s="8" t="str">
        <f ca="1">IFERROR(__xludf.DUMMYFUNCTION("""COMPUTED_VALUE"""),"Washington")</f>
        <v>Washington</v>
      </c>
      <c r="Q281" s="8" t="str">
        <f ca="1">IFERROR(__xludf.DUMMYFUNCTION("""COMPUTED_VALUE"""),"DC")</f>
        <v>DC</v>
      </c>
      <c r="R281" s="8" t="str">
        <f ca="1">IFERROR(__xludf.DUMMYFUNCTION("""COMPUTED_VALUE"""),"High")</f>
        <v>High</v>
      </c>
      <c r="S281" s="8" t="str">
        <f ca="1">IFERROR(__xludf.DUMMYFUNCTION("""COMPUTED_VALUE"""),"Front of School")</f>
        <v>Front of School</v>
      </c>
      <c r="T281" s="8" t="str">
        <f ca="1">IFERROR(__xludf.DUMMYFUNCTION("""COMPUTED_VALUE"""),"Outside on School Property")</f>
        <v>Outside on School Property</v>
      </c>
      <c r="U281" s="8" t="str">
        <f ca="1">IFERROR(__xludf.DUMMYFUNCTION("""COMPUTED_VALUE"""),"Yes")</f>
        <v>Yes</v>
      </c>
      <c r="V281" s="8" t="str">
        <f ca="1">IFERROR(__xludf.DUMMYFUNCTION("""COMPUTED_VALUE"""),"Morning Classes")</f>
        <v>Morning Classes</v>
      </c>
      <c r="W281" s="11">
        <f ca="1">IFERROR(__xludf.DUMMYFUNCTION("""COMPUTED_VALUE"""),0.416666666666666)</f>
        <v>0.41666666666666602</v>
      </c>
      <c r="X281" s="8">
        <f ca="1">IFERROR(__xludf.DUMMYFUNCTION("""COMPUTED_VALUE"""),1)</f>
        <v>1</v>
      </c>
      <c r="Y281" s="12" t="str">
        <f ca="1">IFERROR(__xludf.DUMMYFUNCTION("""COMPUTED_VALUE"""),"Two students shot on street outside school, ran inside for help")</f>
        <v>Two students shot on street outside school, ran inside for help</v>
      </c>
      <c r="Z281" s="12" t="str">
        <f ca="1">IFERROR(__xludf.DUMMYFUNCTION("""COMPUTED_VALUE"""),"Two teenage boys were shot in Southeast Washington, D.C., on Thursday morning, and ran to a school to get help, police said. Officers found the teens suffering from gunshot wounds just before 10 a.m. in the 3900 block of 8th Street SE in the Washington Hi"&amp;"ghlands area, police said. The KIPP DC Legacy College Preparatory school and a recreation center are in the same block. The teens, believed to be 16 and 17 years old, were conscious and breathing when they were taken to local hospitals, police said. They'"&amp;"re expected to survive. Police said the teens ran to the KIPP school, where they're students, for help. Parents and guardians who got word there was a shooting near the school rushed to pick up their children.")</f>
        <v>Two teenage boys were shot in Southeast Washington, D.C., on Thursday morning, and ran to a school to get help, police said. Officers found the teens suffering from gunshot wounds just before 10 a.m. in the 3900 block of 8th Street SE in the Washington Highlands area, police said. The KIPP DC Legacy College Preparatory school and a recreation center are in the same block. The teens, believed to be 16 and 17 years old, were conscious and breathing when they were taken to local hospitals, police said. They're expected to survive. Police said the teens ran to the KIPP school, where they're students, for help. Parents and guardians who got word there was a shooting near the school rushed to pick up their children.</v>
      </c>
      <c r="AA281" s="8"/>
      <c r="AB281" s="8"/>
      <c r="AC281" s="8" t="str">
        <f ca="1">IFERROR(__xludf.DUMMYFUNCTION("""COMPUTED_VALUE"""),"Yes")</f>
        <v>Yes</v>
      </c>
      <c r="AD281" s="8"/>
      <c r="AE281" s="8"/>
      <c r="AF281" s="8"/>
      <c r="AG281" s="8" t="str">
        <f ca="1">IFERROR(__xludf.DUMMYFUNCTION("""COMPUTED_VALUE"""),"No")</f>
        <v>No</v>
      </c>
      <c r="AH281" s="8" t="str">
        <f ca="1">IFERROR(__xludf.DUMMYFUNCTION("""COMPUTED_VALUE"""),"No")</f>
        <v>No</v>
      </c>
      <c r="AI281" s="8" t="str">
        <f ca="1">IFERROR(__xludf.DUMMYFUNCTION("""COMPUTED_VALUE"""),"No")</f>
        <v>No</v>
      </c>
      <c r="AJ281" s="8"/>
      <c r="AK281" s="8" t="str">
        <f ca="1">IFERROR(__xludf.DUMMYFUNCTION("""COMPUTED_VALUE"""),"No")</f>
        <v>No</v>
      </c>
      <c r="AL281" s="8"/>
      <c r="AM281" s="8" t="str">
        <f ca="1">IFERROR(__xludf.DUMMYFUNCTION("""COMPUTED_VALUE"""),"No")</f>
        <v>No</v>
      </c>
      <c r="AN281" s="8" t="str">
        <f ca="1">IFERROR(__xludf.DUMMYFUNCTION("""COMPUTED_VALUE"""),"Outside")</f>
        <v>Outside</v>
      </c>
      <c r="AO281" s="8" t="str">
        <f ca="1">IFERROR(__xludf.DUMMYFUNCTION("""COMPUTED_VALUE"""),"No")</f>
        <v>No</v>
      </c>
      <c r="AP281" s="8"/>
      <c r="AQ281" s="8"/>
      <c r="AR281" s="8" t="str">
        <f ca="1">IFERROR(__xludf.DUMMYFUNCTION("""COMPUTED_VALUE"""),"Outside/Off-Property")</f>
        <v>Outside/Off-Property</v>
      </c>
      <c r="AS281" s="8">
        <f ca="1">IFERROR(__xludf.DUMMYFUNCTION("""COMPUTED_VALUE"""),99)</f>
        <v>99</v>
      </c>
      <c r="AT281" s="8" t="str">
        <f ca="1">IFERROR(__xludf.DUMMYFUNCTION("""COMPUTED_VALUE"""),"Yes")</f>
        <v>Yes</v>
      </c>
      <c r="AU281" s="8">
        <f ca="1">IFERROR(__xludf.DUMMYFUNCTION("""COMPUTED_VALUE"""),38.832585)</f>
        <v>38.832585000000002</v>
      </c>
      <c r="AV281" s="8">
        <f ca="1">IFERROR(__xludf.DUMMYFUNCTION("""COMPUTED_VALUE"""),-76.995684)</f>
        <v>-76.995683999999997</v>
      </c>
      <c r="AW281" s="8" t="str">
        <f ca="1">IFERROR(__xludf.DUMMYFUNCTION("""COMPUTED_VALUE"""),"Multiple attached buildings")</f>
        <v>Multiple attached buildings</v>
      </c>
      <c r="AX281" s="8">
        <f ca="1">IFERROR(__xludf.DUMMYFUNCTION("""COMPUTED_VALUE"""),20032)</f>
        <v>20032</v>
      </c>
    </row>
    <row r="282" spans="1:50" ht="300" x14ac:dyDescent="0.2">
      <c r="A282" s="8" t="str">
        <f ca="1">IFERROR(__xludf.DUMMYFUNCTION("""COMPUTED_VALUE"""),"20240911GATRT")</f>
        <v>20240911GATRT</v>
      </c>
      <c r="B282" s="8">
        <f ca="1">IFERROR(__xludf.DUMMYFUNCTION("""COMPUTED_VALUE"""),9)</f>
        <v>9</v>
      </c>
      <c r="C282" s="8">
        <f ca="1">IFERROR(__xludf.DUMMYFUNCTION("""COMPUTED_VALUE"""),11)</f>
        <v>11</v>
      </c>
      <c r="D282" s="8">
        <f ca="1">IFERROR(__xludf.DUMMYFUNCTION("""COMPUTED_VALUE"""),2024)</f>
        <v>2024</v>
      </c>
      <c r="E282" s="9">
        <f ca="1">IFERROR(__xludf.DUMMYFUNCTION("""COMPUTED_VALUE"""),45546)</f>
        <v>45546</v>
      </c>
      <c r="F282" s="8" t="str">
        <f ca="1">IFERROR(__xludf.DUMMYFUNCTION("""COMPUTED_VALUE"""),"Trion Elementary School")</f>
        <v>Trion Elementary School</v>
      </c>
      <c r="G282" s="8">
        <f ca="1">IFERROR(__xludf.DUMMYFUNCTION("""COMPUTED_VALUE"""),0)</f>
        <v>0</v>
      </c>
      <c r="H282" s="8">
        <f ca="1">IFERROR(__xludf.DUMMYFUNCTION("""COMPUTED_VALUE"""),1)</f>
        <v>1</v>
      </c>
      <c r="I282" s="8">
        <f ca="1">IFERROR(__xludf.DUMMYFUNCTION("""COMPUTED_VALUE"""),1)</f>
        <v>1</v>
      </c>
      <c r="J282" s="8">
        <f ca="1">IFERROR(__xludf.DUMMYFUNCTION("""COMPUTED_VALUE"""),0)</f>
        <v>0</v>
      </c>
      <c r="K282" s="10" t="str">
        <f ca="1">IFERROR(__xludf.DUMMYFUNCTION("""COMPUTED_VALUE"""),"https://www.wrganews.com/2024/09/12/lafayette-police-officer-accidentally-shoots-himself-while-assisting-with-threat-call-at-trion-school/")</f>
        <v>https://www.wrganews.com/2024/09/12/lafayette-police-officer-accidentally-shoots-himself-while-assisting-with-threat-call-at-trion-school/</v>
      </c>
      <c r="L282" s="8">
        <f ca="1">IFERROR(__xludf.DUMMYFUNCTION("""COMPUTED_VALUE"""),1)</f>
        <v>1</v>
      </c>
      <c r="M282" s="8" t="str">
        <f ca="1">IFERROR(__xludf.DUMMYFUNCTION("""COMPUTED_VALUE"""),"Local")</f>
        <v>Local</v>
      </c>
      <c r="N282" s="8">
        <f ca="1">IFERROR(__xludf.DUMMYFUNCTION("""COMPUTED_VALUE"""),4)</f>
        <v>4</v>
      </c>
      <c r="O282" s="8" t="str">
        <f ca="1">IFERROR(__xludf.DUMMYFUNCTION("""COMPUTED_VALUE"""),"Fall")</f>
        <v>Fall</v>
      </c>
      <c r="P282" s="8" t="str">
        <f ca="1">IFERROR(__xludf.DUMMYFUNCTION("""COMPUTED_VALUE"""),"Triton")</f>
        <v>Triton</v>
      </c>
      <c r="Q282" s="8" t="str">
        <f ca="1">IFERROR(__xludf.DUMMYFUNCTION("""COMPUTED_VALUE"""),"GA")</f>
        <v>GA</v>
      </c>
      <c r="R282" s="8" t="str">
        <f ca="1">IFERROR(__xludf.DUMMYFUNCTION("""COMPUTED_VALUE"""),"High")</f>
        <v>High</v>
      </c>
      <c r="S282" s="8" t="str">
        <f ca="1">IFERROR(__xludf.DUMMYFUNCTION("""COMPUTED_VALUE"""),"Hallway")</f>
        <v>Hallway</v>
      </c>
      <c r="T282" s="8" t="str">
        <f ca="1">IFERROR(__xludf.DUMMYFUNCTION("""COMPUTED_VALUE"""),"Inside School Building")</f>
        <v>Inside School Building</v>
      </c>
      <c r="U282" s="8" t="str">
        <f ca="1">IFERROR(__xludf.DUMMYFUNCTION("""COMPUTED_VALUE"""),"Yes")</f>
        <v>Yes</v>
      </c>
      <c r="V282" s="8" t="str">
        <f ca="1">IFERROR(__xludf.DUMMYFUNCTION("""COMPUTED_VALUE"""),"Morning Classes")</f>
        <v>Morning Classes</v>
      </c>
      <c r="W282" s="11">
        <f ca="1">IFERROR(__xludf.DUMMYFUNCTION("""COMPUTED_VALUE"""),0.375)</f>
        <v>0.375</v>
      </c>
      <c r="X282" s="8">
        <f ca="1">IFERROR(__xludf.DUMMYFUNCTION("""COMPUTED_VALUE"""),1)</f>
        <v>1</v>
      </c>
      <c r="Y282" s="12" t="str">
        <f ca="1">IFERROR(__xludf.DUMMYFUNCTION("""COMPUTED_VALUE"""),"Police officer shot self in the foot while clearing hallways after hoax call")</f>
        <v>Police officer shot self in the foot while clearing hallways after hoax call</v>
      </c>
      <c r="Z282" s="12" t="str">
        <f ca="1">IFERROR(__xludf.DUMMYFUNCTION("""COMPUTED_VALUE"""),"On Wednesday morning, September 11th at approximately 9 am., law enforcement and school officials received information that someone may have a gun at Trion High School. A picture of someone holding a rifle (same picture that was used with the threat on Sa"&amp;"turday), was sent by a student from another school system to a Trion High School student. Trion City Schools immediately went to a “hard lockdown” while the threat was being investigated. All lockers, vehicles, bookbags, etc. were searched by law enforcem"&amp;"ent and school officials. No weapon was discovered during the search and investigation. During the “hard lockdown”, law enforcement officials were securing each hallway in the elementary, middle, and high school. A law enforcement officer accidentally dis"&amp;"charged his weapon, and shot himself in the foot, while scanning the 2nd and 3rd grade hallway. The officer was transported to receive medical attention. All students and teachers were in their classrooms, and were not in danger. The gunshot was heard by "&amp;"students and staff on the 2nd and 3rd grade hallway.")</f>
        <v>On Wednesday morning, September 11th at approximately 9 am., law enforcement and school officials received information that someone may have a gun at Trion High School. A picture of someone holding a rifle (same picture that was used with the threat on Saturday), was sent by a student from another school system to a Trion High School student. Trion City Schools immediately went to a “hard lockdown” while the threat was being investigated. All lockers, vehicles, bookbags, etc. were searched by law enforcement and school officials. No weapon was discovered during the search and investigation. During the “hard lockdown”, law enforcement officials were securing each hallway in the elementary, middle, and high school. A law enforcement officer accidentally discharged his weapon, and shot himself in the foot, while scanning the 2nd and 3rd grade hallway. The officer was transported to receive medical attention. All students and teachers were in their classrooms, and were not in danger. The gunshot was heard by students and staff on the 2nd and 3rd grade hallway.</v>
      </c>
      <c r="AA282" s="8" t="str">
        <f ca="1">IFERROR(__xludf.DUMMYFUNCTION("""COMPUTED_VALUE"""),"Accidental")</f>
        <v>Accidental</v>
      </c>
      <c r="AB282" s="8" t="str">
        <f ca="1">IFERROR(__xludf.DUMMYFUNCTION("""COMPUTED_VALUE"""),"Spontaneous")</f>
        <v>Spontaneous</v>
      </c>
      <c r="AC282" s="8" t="str">
        <f ca="1">IFERROR(__xludf.DUMMYFUNCTION("""COMPUTED_VALUE"""),"Yes")</f>
        <v>Yes</v>
      </c>
      <c r="AD282" s="8" t="str">
        <f ca="1">IFERROR(__xludf.DUMMYFUNCTION("""COMPUTED_VALUE"""),"Neither")</f>
        <v>Neither</v>
      </c>
      <c r="AE282" s="8" t="str">
        <f ca="1">IFERROR(__xludf.DUMMYFUNCTION("""COMPUTED_VALUE"""),"No")</f>
        <v>No</v>
      </c>
      <c r="AF282" s="8"/>
      <c r="AG282" s="8" t="str">
        <f ca="1">IFERROR(__xludf.DUMMYFUNCTION("""COMPUTED_VALUE"""),"No")</f>
        <v>No</v>
      </c>
      <c r="AH282" s="8" t="str">
        <f ca="1">IFERROR(__xludf.DUMMYFUNCTION("""COMPUTED_VALUE"""),"No")</f>
        <v>No</v>
      </c>
      <c r="AI282" s="8" t="str">
        <f ca="1">IFERROR(__xludf.DUMMYFUNCTION("""COMPUTED_VALUE"""),"Yes")</f>
        <v>Yes</v>
      </c>
      <c r="AJ282" s="8" t="str">
        <f ca="1">IFERROR(__xludf.DUMMYFUNCTION("""COMPUTED_VALUE"""),"No")</f>
        <v>No</v>
      </c>
      <c r="AK282" s="8" t="str">
        <f ca="1">IFERROR(__xludf.DUMMYFUNCTION("""COMPUTED_VALUE"""),"No")</f>
        <v>No</v>
      </c>
      <c r="AL282" s="8" t="str">
        <f ca="1">IFERROR(__xludf.DUMMYFUNCTION("""COMPUTED_VALUE"""),"No")</f>
        <v>No</v>
      </c>
      <c r="AM282" s="8" t="str">
        <f ca="1">IFERROR(__xludf.DUMMYFUNCTION("""COMPUTED_VALUE"""),"No")</f>
        <v>No</v>
      </c>
      <c r="AN282" s="8" t="str">
        <f ca="1">IFERROR(__xludf.DUMMYFUNCTION("""COMPUTED_VALUE"""),"Hallway")</f>
        <v>Hallway</v>
      </c>
      <c r="AO282" s="8" t="str">
        <f ca="1">IFERROR(__xludf.DUMMYFUNCTION("""COMPUTED_VALUE"""),"No")</f>
        <v>No</v>
      </c>
      <c r="AP282" s="8"/>
      <c r="AQ282" s="8"/>
      <c r="AR282" s="8" t="str">
        <f ca="1">IFERROR(__xludf.DUMMYFUNCTION("""COMPUTED_VALUE"""),"NA")</f>
        <v>NA</v>
      </c>
      <c r="AS282" s="8">
        <f ca="1">IFERROR(__xludf.DUMMYFUNCTION("""COMPUTED_VALUE"""),1)</f>
        <v>1</v>
      </c>
      <c r="AT282" s="8" t="str">
        <f ca="1">IFERROR(__xludf.DUMMYFUNCTION("""COMPUTED_VALUE"""),"Yes")</f>
        <v>Yes</v>
      </c>
      <c r="AU282" s="8">
        <f ca="1">IFERROR(__xludf.DUMMYFUNCTION("""COMPUTED_VALUE"""),34.538809)</f>
        <v>34.538809000000001</v>
      </c>
      <c r="AV282" s="8">
        <f ca="1">IFERROR(__xludf.DUMMYFUNCTION("""COMPUTED_VALUE"""),-85.324864)</f>
        <v>-85.324864000000005</v>
      </c>
      <c r="AW282" s="8" t="str">
        <f ca="1">IFERROR(__xludf.DUMMYFUNCTION("""COMPUTED_VALUE"""),"Multiple attached buildings")</f>
        <v>Multiple attached buildings</v>
      </c>
      <c r="AX282" s="8">
        <f ca="1">IFERROR(__xludf.DUMMYFUNCTION("""COMPUTED_VALUE"""),30753)</f>
        <v>30753</v>
      </c>
    </row>
    <row r="283" spans="1:50" ht="150" x14ac:dyDescent="0.2">
      <c r="A283" s="8" t="str">
        <f ca="1">IFERROR(__xludf.DUMMYFUNCTION("""COMPUTED_VALUE"""),"20240910SCRIG")</f>
        <v>20240910SCRIG</v>
      </c>
      <c r="B283" s="8">
        <f ca="1">IFERROR(__xludf.DUMMYFUNCTION("""COMPUTED_VALUE"""),9)</f>
        <v>9</v>
      </c>
      <c r="C283" s="8">
        <f ca="1">IFERROR(__xludf.DUMMYFUNCTION("""COMPUTED_VALUE"""),10)</f>
        <v>10</v>
      </c>
      <c r="D283" s="8">
        <f ca="1">IFERROR(__xludf.DUMMYFUNCTION("""COMPUTED_VALUE"""),2024)</f>
        <v>2024</v>
      </c>
      <c r="E283" s="9">
        <f ca="1">IFERROR(__xludf.DUMMYFUNCTION("""COMPUTED_VALUE"""),45545)</f>
        <v>45545</v>
      </c>
      <c r="F283" s="8" t="str">
        <f ca="1">IFERROR(__xludf.DUMMYFUNCTION("""COMPUTED_VALUE"""),"Riverside High School")</f>
        <v>Riverside High School</v>
      </c>
      <c r="G283" s="8">
        <f ca="1">IFERROR(__xludf.DUMMYFUNCTION("""COMPUTED_VALUE"""),0)</f>
        <v>0</v>
      </c>
      <c r="H283" s="8">
        <f ca="1">IFERROR(__xludf.DUMMYFUNCTION("""COMPUTED_VALUE"""),3)</f>
        <v>3</v>
      </c>
      <c r="I283" s="8">
        <f ca="1">IFERROR(__xludf.DUMMYFUNCTION("""COMPUTED_VALUE"""),3)</f>
        <v>3</v>
      </c>
      <c r="J283" s="8">
        <f ca="1">IFERROR(__xludf.DUMMYFUNCTION("""COMPUTED_VALUE"""),0)</f>
        <v>0</v>
      </c>
      <c r="K283" s="8" t="str">
        <f ca="1">IFERROR(__xludf.DUMMYFUNCTION("""COMPUTED_VALUE"""),"https://www.foxcarolina.com/2025/03/03/family-upstate-student-struck-by-airsoft-gun-files-lawsuit/
https://www.foxcarolina.com/2024/09/11/multiple-students-hit-by-bb-gun-during-cross-country-practice-principal-says/")</f>
        <v>https://www.foxcarolina.com/2025/03/03/family-upstate-student-struck-by-airsoft-gun-files-lawsuit/
https://www.foxcarolina.com/2024/09/11/multiple-students-hit-by-bb-gun-during-cross-country-practice-principal-says/</v>
      </c>
      <c r="L283" s="8">
        <f ca="1">IFERROR(__xludf.DUMMYFUNCTION("""COMPUTED_VALUE"""),2)</f>
        <v>2</v>
      </c>
      <c r="M283" s="8" t="str">
        <f ca="1">IFERROR(__xludf.DUMMYFUNCTION("""COMPUTED_VALUE"""),"Local")</f>
        <v>Local</v>
      </c>
      <c r="N283" s="8">
        <f ca="1">IFERROR(__xludf.DUMMYFUNCTION("""COMPUTED_VALUE"""),4)</f>
        <v>4</v>
      </c>
      <c r="O283" s="8" t="str">
        <f ca="1">IFERROR(__xludf.DUMMYFUNCTION("""COMPUTED_VALUE"""),"Fall")</f>
        <v>Fall</v>
      </c>
      <c r="P283" s="8" t="str">
        <f ca="1">IFERROR(__xludf.DUMMYFUNCTION("""COMPUTED_VALUE"""),"Greenville")</f>
        <v>Greenville</v>
      </c>
      <c r="Q283" s="8" t="str">
        <f ca="1">IFERROR(__xludf.DUMMYFUNCTION("""COMPUTED_VALUE"""),"SC")</f>
        <v>SC</v>
      </c>
      <c r="R283" s="8" t="str">
        <f ca="1">IFERROR(__xludf.DUMMYFUNCTION("""COMPUTED_VALUE"""),"High")</f>
        <v>High</v>
      </c>
      <c r="S283" s="8" t="str">
        <f ca="1">IFERROR(__xludf.DUMMYFUNCTION("""COMPUTED_VALUE"""),"Off School Property")</f>
        <v>Off School Property</v>
      </c>
      <c r="T283" s="8" t="str">
        <f ca="1">IFERROR(__xludf.DUMMYFUNCTION("""COMPUTED_VALUE"""),"Off School Property")</f>
        <v>Off School Property</v>
      </c>
      <c r="U283" s="8" t="str">
        <f ca="1">IFERROR(__xludf.DUMMYFUNCTION("""COMPUTED_VALUE"""),"No")</f>
        <v>No</v>
      </c>
      <c r="V283" s="8" t="str">
        <f ca="1">IFERROR(__xludf.DUMMYFUNCTION("""COMPUTED_VALUE"""),"After School")</f>
        <v>After School</v>
      </c>
      <c r="W283" s="11">
        <f ca="1">IFERROR(__xludf.DUMMYFUNCTION("""COMPUTED_VALUE"""),0.708333333333333)</f>
        <v>0.70833333333333304</v>
      </c>
      <c r="X283" s="8">
        <f ca="1">IFERROR(__xludf.DUMMYFUNCTION("""COMPUTED_VALUE"""),1)</f>
        <v>1</v>
      </c>
      <c r="Y283" s="12" t="str">
        <f ca="1">IFERROR(__xludf.DUMMYFUNCTION("""COMPUTED_VALUE"""),"Cross country team shot but two students with airsoft guns during practice")</f>
        <v>Cross country team shot but two students with airsoft guns during practice</v>
      </c>
      <c r="Z283" s="12" t="str">
        <f ca="1">IFERROR(__xludf.DUMMYFUNCTION("""COMPUTED_VALUE"""),"The Greenville County Sheriff’s Office has arrested a student after an airsoft gun was shot towards Riverside High School athletes. The incident occurred on Tuesday during cross country practice at after 5 p.m. Riverside High School Principal Darah Huffma"&amp;"n sent out a message to parents that mentioned two unknown males fired an airsoft or BB gun towards students running through East Riverside Park during practice. On Wednesday, deputies report a 16-year-old Riverside High School student was arrested in con"&amp;"nection with the incident.")</f>
        <v>The Greenville County Sheriff’s Office has arrested a student after an airsoft gun was shot towards Riverside High School athletes. The incident occurred on Tuesday during cross country practice at after 5 p.m. Riverside High School Principal Darah Huffman sent out a message to parents that mentioned two unknown males fired an airsoft or BB gun towards students running through East Riverside Park during practice. On Wednesday, deputies report a 16-year-old Riverside High School student was arrested in connection with the incident.</v>
      </c>
      <c r="AA283" s="8"/>
      <c r="AB283" s="8" t="str">
        <f ca="1">IFERROR(__xludf.DUMMYFUNCTION("""COMPUTED_VALUE"""),"Targeted")</f>
        <v>Targeted</v>
      </c>
      <c r="AC283" s="8" t="str">
        <f ca="1">IFERROR(__xludf.DUMMYFUNCTION("""COMPUTED_VALUE"""),"Yes")</f>
        <v>Yes</v>
      </c>
      <c r="AD283" s="8" t="str">
        <f ca="1">IFERROR(__xludf.DUMMYFUNCTION("""COMPUTED_VALUE"""),"Victims Targeted")</f>
        <v>Victims Targeted</v>
      </c>
      <c r="AE283" s="8" t="str">
        <f ca="1">IFERROR(__xludf.DUMMYFUNCTION("""COMPUTED_VALUE"""),"Yes")</f>
        <v>Yes</v>
      </c>
      <c r="AF283" s="8" t="str">
        <f ca="1">IFERROR(__xludf.DUMMYFUNCTION("""COMPUTED_VALUE"""),"Two teens")</f>
        <v>Two teens</v>
      </c>
      <c r="AG283" s="8" t="str">
        <f ca="1">IFERROR(__xludf.DUMMYFUNCTION("""COMPUTED_VALUE"""),"No")</f>
        <v>No</v>
      </c>
      <c r="AH283" s="8" t="str">
        <f ca="1">IFERROR(__xludf.DUMMYFUNCTION("""COMPUTED_VALUE"""),"No")</f>
        <v>No</v>
      </c>
      <c r="AI283" s="8" t="str">
        <f ca="1">IFERROR(__xludf.DUMMYFUNCTION("""COMPUTED_VALUE"""),"No")</f>
        <v>No</v>
      </c>
      <c r="AJ283" s="8" t="str">
        <f ca="1">IFERROR(__xludf.DUMMYFUNCTION("""COMPUTED_VALUE"""),"No")</f>
        <v>No</v>
      </c>
      <c r="AK283" s="8" t="str">
        <f ca="1">IFERROR(__xludf.DUMMYFUNCTION("""COMPUTED_VALUE"""),"No")</f>
        <v>No</v>
      </c>
      <c r="AL283" s="8" t="str">
        <f ca="1">IFERROR(__xludf.DUMMYFUNCTION("""COMPUTED_VALUE"""),"No")</f>
        <v>No</v>
      </c>
      <c r="AM283" s="8" t="str">
        <f ca="1">IFERROR(__xludf.DUMMYFUNCTION("""COMPUTED_VALUE"""),"No")</f>
        <v>No</v>
      </c>
      <c r="AN283" s="8" t="str">
        <f ca="1">IFERROR(__xludf.DUMMYFUNCTION("""COMPUTED_VALUE"""),"Outside")</f>
        <v>Outside</v>
      </c>
      <c r="AO283" s="8" t="str">
        <f ca="1">IFERROR(__xludf.DUMMYFUNCTION("""COMPUTED_VALUE"""),"No")</f>
        <v>No</v>
      </c>
      <c r="AP283" s="8"/>
      <c r="AQ283" s="8"/>
      <c r="AR283" s="8" t="str">
        <f ca="1">IFERROR(__xludf.DUMMYFUNCTION("""COMPUTED_VALUE"""),"Outside/Off-Property")</f>
        <v>Outside/Off-Property</v>
      </c>
      <c r="AS283" s="8">
        <f ca="1">IFERROR(__xludf.DUMMYFUNCTION("""COMPUTED_VALUE"""),99)</f>
        <v>99</v>
      </c>
      <c r="AT283" s="8" t="str">
        <f ca="1">IFERROR(__xludf.DUMMYFUNCTION("""COMPUTED_VALUE"""),"No")</f>
        <v>No</v>
      </c>
      <c r="AU283" s="8">
        <f ca="1">IFERROR(__xludf.DUMMYFUNCTION("""COMPUTED_VALUE"""),34.903742)</f>
        <v>34.903742000000001</v>
      </c>
      <c r="AV283" s="8">
        <f ca="1">IFERROR(__xludf.DUMMYFUNCTION("""COMPUTED_VALUE"""),-82.254427)</f>
        <v>-82.254427000000007</v>
      </c>
      <c r="AW283" s="8" t="str">
        <f ca="1">IFERROR(__xludf.DUMMYFUNCTION("""COMPUTED_VALUE"""),"Multiple attached buildings")</f>
        <v>Multiple attached buildings</v>
      </c>
      <c r="AX283" s="8">
        <f ca="1">IFERROR(__xludf.DUMMYFUNCTION("""COMPUTED_VALUE"""),29650)</f>
        <v>29650</v>
      </c>
    </row>
    <row r="284" spans="1:50" ht="90" x14ac:dyDescent="0.2">
      <c r="A284" s="8" t="str">
        <f ca="1">IFERROR(__xludf.DUMMYFUNCTION("""COMPUTED_VALUE"""),"20240910AZMAP")</f>
        <v>20240910AZMAP</v>
      </c>
      <c r="B284" s="8">
        <f ca="1">IFERROR(__xludf.DUMMYFUNCTION("""COMPUTED_VALUE"""),9)</f>
        <v>9</v>
      </c>
      <c r="C284" s="8">
        <f ca="1">IFERROR(__xludf.DUMMYFUNCTION("""COMPUTED_VALUE"""),10)</f>
        <v>10</v>
      </c>
      <c r="D284" s="8">
        <f ca="1">IFERROR(__xludf.DUMMYFUNCTION("""COMPUTED_VALUE"""),2024)</f>
        <v>2024</v>
      </c>
      <c r="E284" s="9">
        <f ca="1">IFERROR(__xludf.DUMMYFUNCTION("""COMPUTED_VALUE"""),45545)</f>
        <v>45545</v>
      </c>
      <c r="F284" s="8" t="str">
        <f ca="1">IFERROR(__xludf.DUMMYFUNCTION("""COMPUTED_VALUE"""),"Madison No 1 Middle School")</f>
        <v>Madison No 1 Middle School</v>
      </c>
      <c r="G284" s="8">
        <f ca="1">IFERROR(__xludf.DUMMYFUNCTION("""COMPUTED_VALUE"""),0)</f>
        <v>0</v>
      </c>
      <c r="H284" s="8">
        <f ca="1">IFERROR(__xludf.DUMMYFUNCTION("""COMPUTED_VALUE"""),0)</f>
        <v>0</v>
      </c>
      <c r="I284" s="8">
        <f ca="1">IFERROR(__xludf.DUMMYFUNCTION("""COMPUTED_VALUE"""),0)</f>
        <v>0</v>
      </c>
      <c r="J284" s="8">
        <f ca="1">IFERROR(__xludf.DUMMYFUNCTION("""COMPUTED_VALUE"""),0)</f>
        <v>0</v>
      </c>
      <c r="K284" s="8" t="str">
        <f ca="1">IFERROR(__xludf.DUMMYFUNCTION("""COMPUTED_VALUE"""),"https://www.foxnews.com/us/phoenix-juvenile-arrested-after-he-allegedly-pointed-gun-school-bus-students-inside
https://www.azfamily.com/2024/09/10/teen-arrested-pointing-gun-school-bus-central-phoenix-police-say/")</f>
        <v>https://www.foxnews.com/us/phoenix-juvenile-arrested-after-he-allegedly-pointed-gun-school-bus-students-inside
https://www.azfamily.com/2024/09/10/teen-arrested-pointing-gun-school-bus-central-phoenix-police-say/</v>
      </c>
      <c r="L284" s="8">
        <f ca="1">IFERROR(__xludf.DUMMYFUNCTION("""COMPUTED_VALUE"""),5)</f>
        <v>5</v>
      </c>
      <c r="M284" s="8" t="str">
        <f ca="1">IFERROR(__xludf.DUMMYFUNCTION("""COMPUTED_VALUE"""),"National")</f>
        <v>National</v>
      </c>
      <c r="N284" s="8">
        <f ca="1">IFERROR(__xludf.DUMMYFUNCTION("""COMPUTED_VALUE"""),4)</f>
        <v>4</v>
      </c>
      <c r="O284" s="8" t="str">
        <f ca="1">IFERROR(__xludf.DUMMYFUNCTION("""COMPUTED_VALUE"""),"Fall")</f>
        <v>Fall</v>
      </c>
      <c r="P284" s="8" t="str">
        <f ca="1">IFERROR(__xludf.DUMMYFUNCTION("""COMPUTED_VALUE"""),"Phoenix")</f>
        <v>Phoenix</v>
      </c>
      <c r="Q284" s="8" t="str">
        <f ca="1">IFERROR(__xludf.DUMMYFUNCTION("""COMPUTED_VALUE"""),"AZ")</f>
        <v>AZ</v>
      </c>
      <c r="R284" s="8" t="str">
        <f ca="1">IFERROR(__xludf.DUMMYFUNCTION("""COMPUTED_VALUE"""),"Middle")</f>
        <v>Middle</v>
      </c>
      <c r="S284" s="8" t="str">
        <f ca="1">IFERROR(__xludf.DUMMYFUNCTION("""COMPUTED_VALUE"""),"School Bus")</f>
        <v>School Bus</v>
      </c>
      <c r="T284" s="8" t="str">
        <f ca="1">IFERROR(__xludf.DUMMYFUNCTION("""COMPUTED_VALUE"""),"School Bus")</f>
        <v>School Bus</v>
      </c>
      <c r="U284" s="8" t="str">
        <f ca="1">IFERROR(__xludf.DUMMYFUNCTION("""COMPUTED_VALUE"""),"Yes")</f>
        <v>Yes</v>
      </c>
      <c r="V284" s="8" t="str">
        <f ca="1">IFERROR(__xludf.DUMMYFUNCTION("""COMPUTED_VALUE"""),"School Start")</f>
        <v>School Start</v>
      </c>
      <c r="W284" s="11">
        <f ca="1">IFERROR(__xludf.DUMMYFUNCTION("""COMPUTED_VALUE"""),0.333333333333333)</f>
        <v>0.33333333333333298</v>
      </c>
      <c r="X284" s="8">
        <f ca="1">IFERROR(__xludf.DUMMYFUNCTION("""COMPUTED_VALUE"""),1)</f>
        <v>1</v>
      </c>
      <c r="Y284" s="12" t="str">
        <f ca="1">IFERROR(__xludf.DUMMYFUNCTION("""COMPUTED_VALUE"""),"Teen pointed handgun a school bus after fight with student before pickup, school went on lockdown")</f>
        <v>Teen pointed handgun a school bus after fight with student before pickup, school went on lockdown</v>
      </c>
      <c r="Z284" s="12" t="str">
        <f ca="1">IFERROR(__xludf.DUMMYFUNCTION("""COMPUTED_VALUE"""),"""Officers responded and learned that the juvenile male suspect was in an argument with a student using the bus and after the victim entered the bus to leave, the suspect brandished a handgun and pointed it at the school bus,"" Phoenix Police Sgt. Brian B"&amp;"ower said, according to Fox 10. No shots were fired at the bus, Bower said.")</f>
        <v>"Officers responded and learned that the juvenile male suspect was in an argument with a student using the bus and after the victim entered the bus to leave, the suspect brandished a handgun and pointed it at the school bus," Phoenix Police Sgt. Brian Bower said, according to Fox 10. No shots were fired at the bus, Bower said.</v>
      </c>
      <c r="AA284" s="8" t="str">
        <f ca="1">IFERROR(__xludf.DUMMYFUNCTION("""COMPUTED_VALUE"""),"Escalation of Dispute")</f>
        <v>Escalation of Dispute</v>
      </c>
      <c r="AB284" s="8" t="str">
        <f ca="1">IFERROR(__xludf.DUMMYFUNCTION("""COMPUTED_VALUE"""),"Targeted")</f>
        <v>Targeted</v>
      </c>
      <c r="AC284" s="8" t="str">
        <f ca="1">IFERROR(__xludf.DUMMYFUNCTION("""COMPUTED_VALUE"""),"Yes")</f>
        <v>Yes</v>
      </c>
      <c r="AD284" s="8" t="str">
        <f ca="1">IFERROR(__xludf.DUMMYFUNCTION("""COMPUTED_VALUE"""),"Victims Targeted")</f>
        <v>Victims Targeted</v>
      </c>
      <c r="AE284" s="8" t="str">
        <f ca="1">IFERROR(__xludf.DUMMYFUNCTION("""COMPUTED_VALUE"""),"No")</f>
        <v>No</v>
      </c>
      <c r="AF284" s="8"/>
      <c r="AG284" s="8" t="str">
        <f ca="1">IFERROR(__xludf.DUMMYFUNCTION("""COMPUTED_VALUE"""),"No")</f>
        <v>No</v>
      </c>
      <c r="AH284" s="8" t="str">
        <f ca="1">IFERROR(__xludf.DUMMYFUNCTION("""COMPUTED_VALUE"""),"No")</f>
        <v>No</v>
      </c>
      <c r="AI284" s="8" t="str">
        <f ca="1">IFERROR(__xludf.DUMMYFUNCTION("""COMPUTED_VALUE"""),"No")</f>
        <v>No</v>
      </c>
      <c r="AJ284" s="8"/>
      <c r="AK284" s="8" t="str">
        <f ca="1">IFERROR(__xludf.DUMMYFUNCTION("""COMPUTED_VALUE"""),"No")</f>
        <v>No</v>
      </c>
      <c r="AL284" s="8"/>
      <c r="AM284" s="8" t="str">
        <f ca="1">IFERROR(__xludf.DUMMYFUNCTION("""COMPUTED_VALUE"""),"No")</f>
        <v>No</v>
      </c>
      <c r="AN284" s="8" t="str">
        <f ca="1">IFERROR(__xludf.DUMMYFUNCTION("""COMPUTED_VALUE"""),"Outside")</f>
        <v>Outside</v>
      </c>
      <c r="AO284" s="8" t="str">
        <f ca="1">IFERROR(__xludf.DUMMYFUNCTION("""COMPUTED_VALUE"""),"No")</f>
        <v>No</v>
      </c>
      <c r="AP284" s="8"/>
      <c r="AQ284" s="8"/>
      <c r="AR284" s="8" t="str">
        <f ca="1">IFERROR(__xludf.DUMMYFUNCTION("""COMPUTED_VALUE"""),"Outside/Off-Property")</f>
        <v>Outside/Off-Property</v>
      </c>
      <c r="AS284" s="8">
        <f ca="1">IFERROR(__xludf.DUMMYFUNCTION("""COMPUTED_VALUE"""),0)</f>
        <v>0</v>
      </c>
      <c r="AT284" s="8" t="str">
        <f ca="1">IFERROR(__xludf.DUMMYFUNCTION("""COMPUTED_VALUE"""),"Yes")</f>
        <v>Yes</v>
      </c>
      <c r="AU284" s="8">
        <f ca="1">IFERROR(__xludf.DUMMYFUNCTION("""COMPUTED_VALUE"""),33.517592)</f>
        <v>33.517592</v>
      </c>
      <c r="AV284" s="8">
        <f ca="1">IFERROR(__xludf.DUMMYFUNCTION("""COMPUTED_VALUE"""),-112.046553)</f>
        <v>-112.046553</v>
      </c>
      <c r="AW284" s="8" t="str">
        <f ca="1">IFERROR(__xludf.DUMMYFUNCTION("""COMPUTED_VALUE"""),"Multiple detached buildings")</f>
        <v>Multiple detached buildings</v>
      </c>
      <c r="AX284" s="8">
        <f ca="1">IFERROR(__xludf.DUMMYFUNCTION("""COMPUTED_VALUE"""),85014)</f>
        <v>85014</v>
      </c>
    </row>
    <row r="285" spans="1:50" ht="210" x14ac:dyDescent="0.2">
      <c r="A285" s="8" t="str">
        <f ca="1">IFERROR(__xludf.DUMMYFUNCTION("""COMPUTED_VALUE"""),"20240910NEOMO")</f>
        <v>20240910NEOMO</v>
      </c>
      <c r="B285" s="8">
        <f ca="1">IFERROR(__xludf.DUMMYFUNCTION("""COMPUTED_VALUE"""),9)</f>
        <v>9</v>
      </c>
      <c r="C285" s="8">
        <f ca="1">IFERROR(__xludf.DUMMYFUNCTION("""COMPUTED_VALUE"""),10)</f>
        <v>10</v>
      </c>
      <c r="D285" s="8">
        <f ca="1">IFERROR(__xludf.DUMMYFUNCTION("""COMPUTED_VALUE"""),2024)</f>
        <v>2024</v>
      </c>
      <c r="E285" s="9">
        <f ca="1">IFERROR(__xludf.DUMMYFUNCTION("""COMPUTED_VALUE"""),45545)</f>
        <v>45545</v>
      </c>
      <c r="F285" s="8" t="str">
        <f ca="1">IFERROR(__xludf.DUMMYFUNCTION("""COMPUTED_VALUE"""),"Omaha Northwest High School")</f>
        <v>Omaha Northwest High School</v>
      </c>
      <c r="G285" s="8">
        <f ca="1">IFERROR(__xludf.DUMMYFUNCTION("""COMPUTED_VALUE"""),0)</f>
        <v>0</v>
      </c>
      <c r="H285" s="8">
        <f ca="1">IFERROR(__xludf.DUMMYFUNCTION("""COMPUTED_VALUE"""),1)</f>
        <v>1</v>
      </c>
      <c r="I285" s="8">
        <f ca="1">IFERROR(__xludf.DUMMYFUNCTION("""COMPUTED_VALUE"""),1)</f>
        <v>1</v>
      </c>
      <c r="J285" s="8">
        <f ca="1">IFERROR(__xludf.DUMMYFUNCTION("""COMPUTED_VALUE"""),0)</f>
        <v>0</v>
      </c>
      <c r="K285" s="8" t="str">
        <f ca="1">IFERROR(__xludf.DUMMYFUNCTION("""COMPUTED_VALUE"""),"https://apnews.com/article/omaha-northwest-high-school-shooting-63107c9fc35f8cd48c12cbd5636bd8c8
https://www.wowt.com/video/2024/09/11/police-find-gun-used-shooting-omaha-school-field/
https://www.wowt.com/2024/09/11/teen-suspect-shooting-omaha-northwest-"&amp;"appear-court/
https://www.fox8live.com/2024/09/11/physical-fight-between-students-led-shooting-omaha-school-court-documents-say/")</f>
        <v>https://apnews.com/article/omaha-northwest-high-school-shooting-63107c9fc35f8cd48c12cbd5636bd8c8
https://www.wowt.com/video/2024/09/11/police-find-gun-used-shooting-omaha-school-field/
https://www.wowt.com/2024/09/11/teen-suspect-shooting-omaha-northwest-appear-court/
https://www.fox8live.com/2024/09/11/physical-fight-between-students-led-shooting-omaha-school-court-documents-say/</v>
      </c>
      <c r="L285" s="8">
        <f ca="1">IFERROR(__xludf.DUMMYFUNCTION("""COMPUTED_VALUE"""),20)</f>
        <v>20</v>
      </c>
      <c r="M285" s="8" t="str">
        <f ca="1">IFERROR(__xludf.DUMMYFUNCTION("""COMPUTED_VALUE"""),"National")</f>
        <v>National</v>
      </c>
      <c r="N285" s="8">
        <f ca="1">IFERROR(__xludf.DUMMYFUNCTION("""COMPUTED_VALUE"""),4)</f>
        <v>4</v>
      </c>
      <c r="O285" s="8" t="str">
        <f ca="1">IFERROR(__xludf.DUMMYFUNCTION("""COMPUTED_VALUE"""),"Fall")</f>
        <v>Fall</v>
      </c>
      <c r="P285" s="8" t="str">
        <f ca="1">IFERROR(__xludf.DUMMYFUNCTION("""COMPUTED_VALUE"""),"Omaha")</f>
        <v>Omaha</v>
      </c>
      <c r="Q285" s="8" t="str">
        <f ca="1">IFERROR(__xludf.DUMMYFUNCTION("""COMPUTED_VALUE"""),"NE")</f>
        <v>NE</v>
      </c>
      <c r="R285" s="8" t="str">
        <f ca="1">IFERROR(__xludf.DUMMYFUNCTION("""COMPUTED_VALUE"""),"High")</f>
        <v>High</v>
      </c>
      <c r="S285" s="8" t="str">
        <f ca="1">IFERROR(__xludf.DUMMYFUNCTION("""COMPUTED_VALUE"""),"Cafeteria")</f>
        <v>Cafeteria</v>
      </c>
      <c r="T285" s="8" t="str">
        <f ca="1">IFERROR(__xludf.DUMMYFUNCTION("""COMPUTED_VALUE"""),"Inside School Building")</f>
        <v>Inside School Building</v>
      </c>
      <c r="U285" s="8" t="str">
        <f ca="1">IFERROR(__xludf.DUMMYFUNCTION("""COMPUTED_VALUE"""),"Yes")</f>
        <v>Yes</v>
      </c>
      <c r="V285" s="8" t="str">
        <f ca="1">IFERROR(__xludf.DUMMYFUNCTION("""COMPUTED_VALUE"""),"Lunch")</f>
        <v>Lunch</v>
      </c>
      <c r="W285" s="11">
        <f ca="1">IFERROR(__xludf.DUMMYFUNCTION("""COMPUTED_VALUE"""),0.515972222222222)</f>
        <v>0.51597222222222205</v>
      </c>
      <c r="X285" s="8">
        <f ca="1">IFERROR(__xludf.DUMMYFUNCTION("""COMPUTED_VALUE"""),1)</f>
        <v>1</v>
      </c>
      <c r="Y285" s="12" t="str">
        <f ca="1">IFERROR(__xludf.DUMMYFUNCTION("""COMPUTED_VALUE"""),"Student shot during lunch, student shooter fled and was arrested off campus")</f>
        <v>Student shot during lunch, student shooter fled and was arrested off campus</v>
      </c>
      <c r="Z285" s="12" t="str">
        <f ca="1">IFERROR(__xludf.DUMMYFUNCTION("""COMPUTED_VALUE"""),"Omaha police arrested a suspect about half an hour after a shooting Tuesday that critically injured a teenage boy. Families rushed to Omaha Northwest High School after the shooting was reported by the school resource officer during lunch at 12:23 p.m. Oma"&amp;"ha Police Deputy Chief Sherie Thomas said officers from several departments quickly responded to the school and found the victim inside. Thomas said police believe the shooting was an isolated incident between two students. The suspect was arrested three "&amp;"blocks away about 30 minutes later. Parents tearfully embraced their kids in the parking lot as the first few started to come out of the school after 1 p.m. Police set up a reunification site at the football stadium, but said it would be a long process to"&amp;" release all the students.")</f>
        <v>Omaha police arrested a suspect about half an hour after a shooting Tuesday that critically injured a teenage boy. Families rushed to Omaha Northwest High School after the shooting was reported by the school resource officer during lunch at 12:23 p.m. Omaha Police Deputy Chief Sherie Thomas said officers from several departments quickly responded to the school and found the victim inside. Thomas said police believe the shooting was an isolated incident between two students. The suspect was arrested three blocks away about 30 minutes later. Parents tearfully embraced their kids in the parking lot as the first few started to come out of the school after 1 p.m. Police set up a reunification site at the football stadium, but said it would be a long process to release all the students.</v>
      </c>
      <c r="AA285" s="8" t="str">
        <f ca="1">IFERROR(__xludf.DUMMYFUNCTION("""COMPUTED_VALUE"""),"Escalation of Dispute")</f>
        <v>Escalation of Dispute</v>
      </c>
      <c r="AB285" s="8" t="str">
        <f ca="1">IFERROR(__xludf.DUMMYFUNCTION("""COMPUTED_VALUE"""),"Spontaneous")</f>
        <v>Spontaneous</v>
      </c>
      <c r="AC285" s="8" t="str">
        <f ca="1">IFERROR(__xludf.DUMMYFUNCTION("""COMPUTED_VALUE"""),"Yes")</f>
        <v>Yes</v>
      </c>
      <c r="AD285" s="8" t="str">
        <f ca="1">IFERROR(__xludf.DUMMYFUNCTION("""COMPUTED_VALUE"""),"Victims Targeted")</f>
        <v>Victims Targeted</v>
      </c>
      <c r="AE285" s="8" t="str">
        <f ca="1">IFERROR(__xludf.DUMMYFUNCTION("""COMPUTED_VALUE"""),"No")</f>
        <v>No</v>
      </c>
      <c r="AF285" s="8"/>
      <c r="AG285" s="8" t="str">
        <f ca="1">IFERROR(__xludf.DUMMYFUNCTION("""COMPUTED_VALUE"""),"No")</f>
        <v>No</v>
      </c>
      <c r="AH285" s="8" t="str">
        <f ca="1">IFERROR(__xludf.DUMMYFUNCTION("""COMPUTED_VALUE"""),"No")</f>
        <v>No</v>
      </c>
      <c r="AI285" s="8" t="str">
        <f ca="1">IFERROR(__xludf.DUMMYFUNCTION("""COMPUTED_VALUE"""),"No")</f>
        <v>No</v>
      </c>
      <c r="AJ285" s="8" t="str">
        <f ca="1">IFERROR(__xludf.DUMMYFUNCTION("""COMPUTED_VALUE"""),"Yes")</f>
        <v>Yes</v>
      </c>
      <c r="AK285" s="8" t="str">
        <f ca="1">IFERROR(__xludf.DUMMYFUNCTION("""COMPUTED_VALUE"""),"No")</f>
        <v>No</v>
      </c>
      <c r="AL285" s="8"/>
      <c r="AM285" s="8" t="str">
        <f ca="1">IFERROR(__xludf.DUMMYFUNCTION("""COMPUTED_VALUE"""),"No")</f>
        <v>No</v>
      </c>
      <c r="AN285" s="8" t="str">
        <f ca="1">IFERROR(__xludf.DUMMYFUNCTION("""COMPUTED_VALUE"""),"Single Room")</f>
        <v>Single Room</v>
      </c>
      <c r="AO285" s="8" t="str">
        <f ca="1">IFERROR(__xludf.DUMMYFUNCTION("""COMPUTED_VALUE"""),"No")</f>
        <v>No</v>
      </c>
      <c r="AP285" s="8" t="str">
        <f ca="1">IFERROR(__xludf.DUMMYFUNCTION("""COMPUTED_VALUE"""),"Yes")</f>
        <v>Yes</v>
      </c>
      <c r="AQ285" s="8" t="str">
        <f ca="1">IFERROR(__xludf.DUMMYFUNCTION("""COMPUTED_VALUE"""),"Armed Guards")</f>
        <v>Armed Guards</v>
      </c>
      <c r="AR285" s="8" t="str">
        <f ca="1">IFERROR(__xludf.DUMMYFUNCTION("""COMPUTED_VALUE"""),"Failed")</f>
        <v>Failed</v>
      </c>
      <c r="AS285" s="8"/>
      <c r="AT285" s="8" t="str">
        <f ca="1">IFERROR(__xludf.DUMMYFUNCTION("""COMPUTED_VALUE"""),"Yes")</f>
        <v>Yes</v>
      </c>
      <c r="AU285" s="8">
        <f ca="1">IFERROR(__xludf.DUMMYFUNCTION("""COMPUTED_VALUE"""),41.314132)</f>
        <v>41.314132000000001</v>
      </c>
      <c r="AV285" s="8">
        <f ca="1">IFERROR(__xludf.DUMMYFUNCTION("""COMPUTED_VALUE"""),-96.042124)</f>
        <v>-96.042124000000001</v>
      </c>
      <c r="AW285" s="8" t="str">
        <f ca="1">IFERROR(__xludf.DUMMYFUNCTION("""COMPUTED_VALUE"""),"Single building indoor hallway")</f>
        <v>Single building indoor hallway</v>
      </c>
      <c r="AX285" s="8">
        <f ca="1">IFERROR(__xludf.DUMMYFUNCTION("""COMPUTED_VALUE"""),68122)</f>
        <v>68122</v>
      </c>
    </row>
    <row r="286" spans="1:50" ht="360" x14ac:dyDescent="0.2">
      <c r="A286" s="8" t="str">
        <f ca="1">IFERROR(__xludf.DUMMYFUNCTION("""COMPUTED_VALUE"""),"20240909TXSOD")</f>
        <v>20240909TXSOD</v>
      </c>
      <c r="B286" s="8">
        <f ca="1">IFERROR(__xludf.DUMMYFUNCTION("""COMPUTED_VALUE"""),9)</f>
        <v>9</v>
      </c>
      <c r="C286" s="8">
        <f ca="1">IFERROR(__xludf.DUMMYFUNCTION("""COMPUTED_VALUE"""),9)</f>
        <v>9</v>
      </c>
      <c r="D286" s="8">
        <f ca="1">IFERROR(__xludf.DUMMYFUNCTION("""COMPUTED_VALUE"""),2024)</f>
        <v>2024</v>
      </c>
      <c r="E286" s="9">
        <f ca="1">IFERROR(__xludf.DUMMYFUNCTION("""COMPUTED_VALUE"""),45544)</f>
        <v>45544</v>
      </c>
      <c r="F286" s="8" t="str">
        <f ca="1">IFERROR(__xludf.DUMMYFUNCTION("""COMPUTED_VALUE"""),"South Oak Cliff High School")</f>
        <v>South Oak Cliff High School</v>
      </c>
      <c r="G286" s="8">
        <f ca="1">IFERROR(__xludf.DUMMYFUNCTION("""COMPUTED_VALUE"""),0)</f>
        <v>0</v>
      </c>
      <c r="H286" s="8">
        <f ca="1">IFERROR(__xludf.DUMMYFUNCTION("""COMPUTED_VALUE"""),1)</f>
        <v>1</v>
      </c>
      <c r="I286" s="8">
        <f ca="1">IFERROR(__xludf.DUMMYFUNCTION("""COMPUTED_VALUE"""),1)</f>
        <v>1</v>
      </c>
      <c r="J286" s="8">
        <f ca="1">IFERROR(__xludf.DUMMYFUNCTION("""COMPUTED_VALUE"""),0)</f>
        <v>0</v>
      </c>
      <c r="K286" s="8" t="str">
        <f ca="1">IFERROR(__xludf.DUMMYFUNCTION("""COMPUTED_VALUE"""),"https://www.wfaa.com/article/news/crime/teen-girl-shot-south-oak-cliff-high-school/287-034043ee-5875-46ec-9c7a-02a5d22d6525
https://www.nbcdfw.com/news/local/south-oak-cliff-hs-student-shot-near-campus-dallas-police-investigating/3641269/")</f>
        <v>https://www.wfaa.com/article/news/crime/teen-girl-shot-south-oak-cliff-high-school/287-034043ee-5875-46ec-9c7a-02a5d22d6525
https://www.nbcdfw.com/news/local/south-oak-cliff-hs-student-shot-near-campus-dallas-police-investigating/3641269/</v>
      </c>
      <c r="L286" s="8">
        <f ca="1">IFERROR(__xludf.DUMMYFUNCTION("""COMPUTED_VALUE"""),10)</f>
        <v>10</v>
      </c>
      <c r="M286" s="8" t="str">
        <f ca="1">IFERROR(__xludf.DUMMYFUNCTION("""COMPUTED_VALUE"""),"Regional")</f>
        <v>Regional</v>
      </c>
      <c r="N286" s="8">
        <f ca="1">IFERROR(__xludf.DUMMYFUNCTION("""COMPUTED_VALUE"""),4)</f>
        <v>4</v>
      </c>
      <c r="O286" s="8" t="str">
        <f ca="1">IFERROR(__xludf.DUMMYFUNCTION("""COMPUTED_VALUE"""),"Fall")</f>
        <v>Fall</v>
      </c>
      <c r="P286" s="8" t="str">
        <f ca="1">IFERROR(__xludf.DUMMYFUNCTION("""COMPUTED_VALUE"""),"Dallas")</f>
        <v>Dallas</v>
      </c>
      <c r="Q286" s="8" t="str">
        <f ca="1">IFERROR(__xludf.DUMMYFUNCTION("""COMPUTED_VALUE"""),"TX")</f>
        <v>TX</v>
      </c>
      <c r="R286" s="8" t="str">
        <f ca="1">IFERROR(__xludf.DUMMYFUNCTION("""COMPUTED_VALUE"""),"High")</f>
        <v>High</v>
      </c>
      <c r="S286" s="8" t="str">
        <f ca="1">IFERROR(__xludf.DUMMYFUNCTION("""COMPUTED_VALUE"""),"Football Field/Track")</f>
        <v>Football Field/Track</v>
      </c>
      <c r="T286" s="8" t="str">
        <f ca="1">IFERROR(__xludf.DUMMYFUNCTION("""COMPUTED_VALUE"""),"Outside on School Property")</f>
        <v>Outside on School Property</v>
      </c>
      <c r="U286" s="8" t="str">
        <f ca="1">IFERROR(__xludf.DUMMYFUNCTION("""COMPUTED_VALUE"""),"Yes")</f>
        <v>Yes</v>
      </c>
      <c r="V286" s="8" t="str">
        <f ca="1">IFERROR(__xludf.DUMMYFUNCTION("""COMPUTED_VALUE"""),"Dismissal")</f>
        <v>Dismissal</v>
      </c>
      <c r="W286" s="11">
        <f ca="1">IFERROR(__xludf.DUMMYFUNCTION("""COMPUTED_VALUE"""),0.684027777777777)</f>
        <v>0.68402777777777701</v>
      </c>
      <c r="X286" s="8">
        <f ca="1">IFERROR(__xludf.DUMMYFUNCTION("""COMPUTED_VALUE"""),1)</f>
        <v>1</v>
      </c>
      <c r="Y286" s="12" t="str">
        <f ca="1">IFERROR(__xludf.DUMMYFUNCTION("""COMPUTED_VALUE"""),"Female student shot during fight at dismissal, ran to school for help and school went on lockdown")</f>
        <v>Female student shot during fight at dismissal, ran to school for help and school went on lockdown</v>
      </c>
      <c r="Z286" s="12" t="str">
        <f ca="1">IFERROR(__xludf.DUMMYFUNCTION("""COMPUTED_VALUE"""),"A teen girl was grazed by a bullet on Monday near a Dallas high school, according to police and district officials. Dallas Police say they responded to a shooting call at about 4:25 p.m. A Dallas ISD spokesperson told WFAA that a teen girl was shot at a R"&amp;"enaissance Park across the street from South Oak Cliff High School, where she attends 9th grade, shortly before dismissal. Sources told WFAA that leading up to the shooting, a group of students was skipping school at the park and a fight broke out. A DISD"&amp;" spokesperson said after the shooting, the girl ran to the school's football field for help. That spokesperson also confirmed that the girl is expected to be okay. Preliminary information indicates the girl was not the target of the shooting, and was just"&amp;" a bystander, a DISD spokesperson said. The spokesperson told WFAA that Dallas Police held dismissal during the start of the investigation. According to the spokesperson, mental health resources will be available to South Oak Cliff High School students on"&amp;" Tuesday. Nearby resident told WFAA he heard four or five gunshots. Deveen Ivroy, explained, ""we heard an announcement, 'lockdown, everyone go to the gym,'"" he said. ""I was scared because it was right by the school, it’s like I always come through [the"&amp;" park] to walk through the school. I was excited to see my mom, because you never know it could have been me.""")</f>
        <v>A teen girl was grazed by a bullet on Monday near a Dallas high school, according to police and district officials. Dallas Police say they responded to a shooting call at about 4:25 p.m. A Dallas ISD spokesperson told WFAA that a teen girl was shot at a Renaissance Park across the street from South Oak Cliff High School, where she attends 9th grade, shortly before dismissal. Sources told WFAA that leading up to the shooting, a group of students was skipping school at the park and a fight broke out. A DISD spokesperson said after the shooting, the girl ran to the school's football field for help. That spokesperson also confirmed that the girl is expected to be okay. Preliminary information indicates the girl was not the target of the shooting, and was just a bystander, a DISD spokesperson said. The spokesperson told WFAA that Dallas Police held dismissal during the start of the investigation. According to the spokesperson, mental health resources will be available to South Oak Cliff High School students on Tuesday. Nearby resident told WFAA he heard four or five gunshots. Deveen Ivroy, explained, "we heard an announcement, 'lockdown, everyone go to the gym,'" he said. "I was scared because it was right by the school, it’s like I always come through [the park] to walk through the school. I was excited to see my mom, because you never know it could have been me."</v>
      </c>
      <c r="AA286" s="8" t="str">
        <f ca="1">IFERROR(__xludf.DUMMYFUNCTION("""COMPUTED_VALUE"""),"Escalation of Dispute")</f>
        <v>Escalation of Dispute</v>
      </c>
      <c r="AB286" s="8" t="str">
        <f ca="1">IFERROR(__xludf.DUMMYFUNCTION("""COMPUTED_VALUE"""),"Spontaneous")</f>
        <v>Spontaneous</v>
      </c>
      <c r="AC286" s="8" t="str">
        <f ca="1">IFERROR(__xludf.DUMMYFUNCTION("""COMPUTED_VALUE"""),"Yes")</f>
        <v>Yes</v>
      </c>
      <c r="AD286" s="8" t="str">
        <f ca="1">IFERROR(__xludf.DUMMYFUNCTION("""COMPUTED_VALUE"""),"Both")</f>
        <v>Both</v>
      </c>
      <c r="AE286" s="8" t="str">
        <f ca="1">IFERROR(__xludf.DUMMYFUNCTION("""COMPUTED_VALUE"""),"No")</f>
        <v>No</v>
      </c>
      <c r="AF286" s="8"/>
      <c r="AG286" s="8" t="str">
        <f ca="1">IFERROR(__xludf.DUMMYFUNCTION("""COMPUTED_VALUE"""),"No")</f>
        <v>No</v>
      </c>
      <c r="AH286" s="8" t="str">
        <f ca="1">IFERROR(__xludf.DUMMYFUNCTION("""COMPUTED_VALUE"""),"No")</f>
        <v>No</v>
      </c>
      <c r="AI286" s="8" t="str">
        <f ca="1">IFERROR(__xludf.DUMMYFUNCTION("""COMPUTED_VALUE"""),"No")</f>
        <v>No</v>
      </c>
      <c r="AJ286" s="8" t="str">
        <f ca="1">IFERROR(__xludf.DUMMYFUNCTION("""COMPUTED_VALUE"""),"No")</f>
        <v>No</v>
      </c>
      <c r="AK286" s="8" t="str">
        <f ca="1">IFERROR(__xludf.DUMMYFUNCTION("""COMPUTED_VALUE"""),"No")</f>
        <v>No</v>
      </c>
      <c r="AL286" s="8" t="str">
        <f ca="1">IFERROR(__xludf.DUMMYFUNCTION("""COMPUTED_VALUE"""),"No")</f>
        <v>No</v>
      </c>
      <c r="AM286" s="8" t="str">
        <f ca="1">IFERROR(__xludf.DUMMYFUNCTION("""COMPUTED_VALUE"""),"No")</f>
        <v>No</v>
      </c>
      <c r="AN286" s="8" t="str">
        <f ca="1">IFERROR(__xludf.DUMMYFUNCTION("""COMPUTED_VALUE"""),"Outside")</f>
        <v>Outside</v>
      </c>
      <c r="AO286" s="8" t="str">
        <f ca="1">IFERROR(__xludf.DUMMYFUNCTION("""COMPUTED_VALUE"""),"No")</f>
        <v>No</v>
      </c>
      <c r="AP286" s="8"/>
      <c r="AQ286" s="8"/>
      <c r="AR286" s="8" t="str">
        <f ca="1">IFERROR(__xludf.DUMMYFUNCTION("""COMPUTED_VALUE"""),"Outside/Off-Property")</f>
        <v>Outside/Off-Property</v>
      </c>
      <c r="AS286" s="8">
        <f ca="1">IFERROR(__xludf.DUMMYFUNCTION("""COMPUTED_VALUE"""),6)</f>
        <v>6</v>
      </c>
      <c r="AT286" s="8" t="str">
        <f ca="1">IFERROR(__xludf.DUMMYFUNCTION("""COMPUTED_VALUE"""),"Yes")</f>
        <v>Yes</v>
      </c>
      <c r="AU286" s="8">
        <f ca="1">IFERROR(__xludf.DUMMYFUNCTION("""COMPUTED_VALUE"""),32.699382)</f>
        <v>32.699382</v>
      </c>
      <c r="AV286" s="8">
        <f ca="1">IFERROR(__xludf.DUMMYFUNCTION("""COMPUTED_VALUE"""),-96.816853)</f>
        <v>-96.816852999999995</v>
      </c>
      <c r="AW286" s="8" t="str">
        <f ca="1">IFERROR(__xludf.DUMMYFUNCTION("""COMPUTED_VALUE"""),"Multiple attached buildings")</f>
        <v>Multiple attached buildings</v>
      </c>
      <c r="AX286" s="8">
        <f ca="1">IFERROR(__xludf.DUMMYFUNCTION("""COMPUTED_VALUE"""),75216)</f>
        <v>75216</v>
      </c>
    </row>
    <row r="287" spans="1:50" ht="255" x14ac:dyDescent="0.2">
      <c r="A287" s="8" t="str">
        <f ca="1">IFERROR(__xludf.DUMMYFUNCTION("""COMPUTED_VALUE"""),"20240906WVMAM")</f>
        <v>20240906WVMAM</v>
      </c>
      <c r="B287" s="8">
        <f ca="1">IFERROR(__xludf.DUMMYFUNCTION("""COMPUTED_VALUE"""),9)</f>
        <v>9</v>
      </c>
      <c r="C287" s="8">
        <f ca="1">IFERROR(__xludf.DUMMYFUNCTION("""COMPUTED_VALUE"""),6)</f>
        <v>6</v>
      </c>
      <c r="D287" s="8">
        <f ca="1">IFERROR(__xludf.DUMMYFUNCTION("""COMPUTED_VALUE"""),2024)</f>
        <v>2024</v>
      </c>
      <c r="E287" s="9">
        <f ca="1">IFERROR(__xludf.DUMMYFUNCTION("""COMPUTED_VALUE"""),45541)</f>
        <v>45541</v>
      </c>
      <c r="F287" s="8" t="str">
        <f ca="1">IFERROR(__xludf.DUMMYFUNCTION("""COMPUTED_VALUE"""),"Martinsburg High School")</f>
        <v>Martinsburg High School</v>
      </c>
      <c r="G287" s="8">
        <f ca="1">IFERROR(__xludf.DUMMYFUNCTION("""COMPUTED_VALUE"""),0)</f>
        <v>0</v>
      </c>
      <c r="H287" s="8">
        <f ca="1">IFERROR(__xludf.DUMMYFUNCTION("""COMPUTED_VALUE"""),3)</f>
        <v>3</v>
      </c>
      <c r="I287" s="8">
        <f ca="1">IFERROR(__xludf.DUMMYFUNCTION("""COMPUTED_VALUE"""),3)</f>
        <v>3</v>
      </c>
      <c r="J287" s="8">
        <f ca="1">IFERROR(__xludf.DUMMYFUNCTION("""COMPUTED_VALUE"""),0)</f>
        <v>0</v>
      </c>
      <c r="K287" s="10" t="str">
        <f ca="1">IFERROR(__xludf.DUMMYFUNCTION("""COMPUTED_VALUE"""),"https://theriver953.com/martinsburg-authorities-investigate-shots-fired-near-high-school-football-game/
https://panhandlenewsnetwork.com/2024/09/06/shooting-confirmed-near-martinsburg-high-school-football-game/")</f>
        <v>https://theriver953.com/martinsburg-authorities-investigate-shots-fired-near-high-school-football-game/
https://panhandlenewsnetwork.com/2024/09/06/shooting-confirmed-near-martinsburg-high-school-football-game/</v>
      </c>
      <c r="L287" s="8">
        <f ca="1">IFERROR(__xludf.DUMMYFUNCTION("""COMPUTED_VALUE"""),3)</f>
        <v>3</v>
      </c>
      <c r="M287" s="8" t="str">
        <f ca="1">IFERROR(__xludf.DUMMYFUNCTION("""COMPUTED_VALUE"""),"Local")</f>
        <v>Local</v>
      </c>
      <c r="N287" s="8">
        <f ca="1">IFERROR(__xludf.DUMMYFUNCTION("""COMPUTED_VALUE"""),4)</f>
        <v>4</v>
      </c>
      <c r="O287" s="8" t="str">
        <f ca="1">IFERROR(__xludf.DUMMYFUNCTION("""COMPUTED_VALUE"""),"Fall")</f>
        <v>Fall</v>
      </c>
      <c r="P287" s="8" t="str">
        <f ca="1">IFERROR(__xludf.DUMMYFUNCTION("""COMPUTED_VALUE"""),"Martinsburg")</f>
        <v>Martinsburg</v>
      </c>
      <c r="Q287" s="8" t="str">
        <f ca="1">IFERROR(__xludf.DUMMYFUNCTION("""COMPUTED_VALUE"""),"WV")</f>
        <v>WV</v>
      </c>
      <c r="R287" s="8" t="str">
        <f ca="1">IFERROR(__xludf.DUMMYFUNCTION("""COMPUTED_VALUE"""),"High")</f>
        <v>High</v>
      </c>
      <c r="S287" s="8" t="str">
        <f ca="1">IFERROR(__xludf.DUMMYFUNCTION("""COMPUTED_VALUE"""),"Football Field/Track")</f>
        <v>Football Field/Track</v>
      </c>
      <c r="T287" s="8" t="str">
        <f ca="1">IFERROR(__xludf.DUMMYFUNCTION("""COMPUTED_VALUE"""),"Outside on School Property")</f>
        <v>Outside on School Property</v>
      </c>
      <c r="U287" s="8" t="str">
        <f ca="1">IFERROR(__xludf.DUMMYFUNCTION("""COMPUTED_VALUE"""),"No")</f>
        <v>No</v>
      </c>
      <c r="V287" s="8" t="str">
        <f ca="1">IFERROR(__xludf.DUMMYFUNCTION("""COMPUTED_VALUE"""),"Sport Event")</f>
        <v>Sport Event</v>
      </c>
      <c r="W287" s="11">
        <f ca="1">IFERROR(__xludf.DUMMYFUNCTION("""COMPUTED_VALUE"""),0.789583333333333)</f>
        <v>0.78958333333333297</v>
      </c>
      <c r="X287" s="8">
        <f ca="1">IFERROR(__xludf.DUMMYFUNCTION("""COMPUTED_VALUE"""),1)</f>
        <v>1</v>
      </c>
      <c r="Y287" s="12" t="str">
        <f ca="1">IFERROR(__xludf.DUMMYFUNCTION("""COMPUTED_VALUE"""),"Three fans in the stands wounded by shots fired from 100 yards away")</f>
        <v>Three fans in the stands wounded by shots fired from 100 yards away</v>
      </c>
      <c r="Z287" s="12" t="str">
        <f ca="1">IFERROR(__xludf.DUMMYFUNCTION("""COMPUTED_VALUE"""),"Police Chief Erin Gibbons quickly released a statement, “At approximately 6:57 p.m., officers responded to reports of shots fired in the area. Witnesses reported seeing individuals fleeing the scene, prompting an immediate and coordinated response from MP"&amp;"D officers. One possible suspect has been located. However, we believe this is only a partial account of the incident, and our investigation is ongoing. With the support of the ATF, an additional K-9 unit, Berkeley County Sheriff’s Office, and task force,"&amp;" we are continuing efforts to locate at least one suspect who remains at large. This unfortunate event impacted the nearby football game, where bullets traveled toward the stands, located approximately 100 to 150 yards from the scene. One victim in the st"&amp;"ands was struck, sustaining non-life-threatening injuries. Additionally, at least two others were injured by what is believed to be shrapnel. Thankfully, their injuries were superficial.")</f>
        <v>Police Chief Erin Gibbons quickly released a statement, “At approximately 6:57 p.m., officers responded to reports of shots fired in the area. Witnesses reported seeing individuals fleeing the scene, prompting an immediate and coordinated response from MPD officers. One possible suspect has been located. However, we believe this is only a partial account of the incident, and our investigation is ongoing. With the support of the ATF, an additional K-9 unit, Berkeley County Sheriff’s Office, and task force, we are continuing efforts to locate at least one suspect who remains at large. This unfortunate event impacted the nearby football game, where bullets traveled toward the stands, located approximately 100 to 150 yards from the scene. One victim in the stands was struck, sustaining non-life-threatening injuries. Additionally, at least two others were injured by what is believed to be shrapnel. Thankfully, their injuries were superficial.</v>
      </c>
      <c r="AA287" s="8"/>
      <c r="AB287" s="8" t="str">
        <f ca="1">IFERROR(__xludf.DUMMYFUNCTION("""COMPUTED_VALUE"""),"Spontaneous")</f>
        <v>Spontaneous</v>
      </c>
      <c r="AC287" s="8" t="str">
        <f ca="1">IFERROR(__xludf.DUMMYFUNCTION("""COMPUTED_VALUE"""),"Yes")</f>
        <v>Yes</v>
      </c>
      <c r="AD287" s="8" t="str">
        <f ca="1">IFERROR(__xludf.DUMMYFUNCTION("""COMPUTED_VALUE"""),"Both")</f>
        <v>Both</v>
      </c>
      <c r="AE287" s="8" t="str">
        <f ca="1">IFERROR(__xludf.DUMMYFUNCTION("""COMPUTED_VALUE"""),"No")</f>
        <v>No</v>
      </c>
      <c r="AF287" s="8"/>
      <c r="AG287" s="8" t="str">
        <f ca="1">IFERROR(__xludf.DUMMYFUNCTION("""COMPUTED_VALUE"""),"No")</f>
        <v>No</v>
      </c>
      <c r="AH287" s="8" t="str">
        <f ca="1">IFERROR(__xludf.DUMMYFUNCTION("""COMPUTED_VALUE"""),"No")</f>
        <v>No</v>
      </c>
      <c r="AI287" s="8" t="str">
        <f ca="1">IFERROR(__xludf.DUMMYFUNCTION("""COMPUTED_VALUE"""),"No")</f>
        <v>No</v>
      </c>
      <c r="AJ287" s="8" t="str">
        <f ca="1">IFERROR(__xludf.DUMMYFUNCTION("""COMPUTED_VALUE"""),"No")</f>
        <v>No</v>
      </c>
      <c r="AK287" s="8" t="str">
        <f ca="1">IFERROR(__xludf.DUMMYFUNCTION("""COMPUTED_VALUE"""),"No")</f>
        <v>No</v>
      </c>
      <c r="AL287" s="8"/>
      <c r="AM287" s="8" t="str">
        <f ca="1">IFERROR(__xludf.DUMMYFUNCTION("""COMPUTED_VALUE"""),"No")</f>
        <v>No</v>
      </c>
      <c r="AN287" s="8" t="str">
        <f ca="1">IFERROR(__xludf.DUMMYFUNCTION("""COMPUTED_VALUE"""),"Outside")</f>
        <v>Outside</v>
      </c>
      <c r="AO287" s="8" t="str">
        <f ca="1">IFERROR(__xludf.DUMMYFUNCTION("""COMPUTED_VALUE"""),"No")</f>
        <v>No</v>
      </c>
      <c r="AP287" s="8"/>
      <c r="AQ287" s="8"/>
      <c r="AR287" s="8" t="str">
        <f ca="1">IFERROR(__xludf.DUMMYFUNCTION("""COMPUTED_VALUE"""),"Outside/Off-Property")</f>
        <v>Outside/Off-Property</v>
      </c>
      <c r="AS287" s="8">
        <f ca="1">IFERROR(__xludf.DUMMYFUNCTION("""COMPUTED_VALUE"""),2)</f>
        <v>2</v>
      </c>
      <c r="AT287" s="8" t="str">
        <f ca="1">IFERROR(__xludf.DUMMYFUNCTION("""COMPUTED_VALUE"""),"No")</f>
        <v>No</v>
      </c>
      <c r="AU287" s="8">
        <f ca="1">IFERROR(__xludf.DUMMYFUNCTION("""COMPUTED_VALUE"""),39.448843)</f>
        <v>39.448842999999997</v>
      </c>
      <c r="AV287" s="8">
        <f ca="1">IFERROR(__xludf.DUMMYFUNCTION("""COMPUTED_VALUE"""),-77.969667)</f>
        <v>-77.969667000000001</v>
      </c>
      <c r="AW287" s="8" t="str">
        <f ca="1">IFERROR(__xludf.DUMMYFUNCTION("""COMPUTED_VALUE"""),"Multiple attached buildings")</f>
        <v>Multiple attached buildings</v>
      </c>
      <c r="AX287" s="8">
        <f ca="1">IFERROR(__xludf.DUMMYFUNCTION("""COMPUTED_VALUE"""),25401)</f>
        <v>25401</v>
      </c>
    </row>
    <row r="288" spans="1:50" ht="300" x14ac:dyDescent="0.2">
      <c r="A288" s="8" t="str">
        <f ca="1">IFERROR(__xludf.DUMMYFUNCTION("""COMPUTED_VALUE"""),"20240906MDJOJ")</f>
        <v>20240906MDJOJ</v>
      </c>
      <c r="B288" s="8">
        <f ca="1">IFERROR(__xludf.DUMMYFUNCTION("""COMPUTED_VALUE"""),9)</f>
        <v>9</v>
      </c>
      <c r="C288" s="8">
        <f ca="1">IFERROR(__xludf.DUMMYFUNCTION("""COMPUTED_VALUE"""),6)</f>
        <v>6</v>
      </c>
      <c r="D288" s="8">
        <f ca="1">IFERROR(__xludf.DUMMYFUNCTION("""COMPUTED_VALUE"""),2024)</f>
        <v>2024</v>
      </c>
      <c r="E288" s="9">
        <f ca="1">IFERROR(__xludf.DUMMYFUNCTION("""COMPUTED_VALUE"""),45541)</f>
        <v>45541</v>
      </c>
      <c r="F288" s="8" t="str">
        <f ca="1">IFERROR(__xludf.DUMMYFUNCTION("""COMPUTED_VALUE"""),"Joppatowne High School")</f>
        <v>Joppatowne High School</v>
      </c>
      <c r="G288" s="8">
        <f ca="1">IFERROR(__xludf.DUMMYFUNCTION("""COMPUTED_VALUE"""),1)</f>
        <v>1</v>
      </c>
      <c r="H288" s="8">
        <f ca="1">IFERROR(__xludf.DUMMYFUNCTION("""COMPUTED_VALUE"""),0)</f>
        <v>0</v>
      </c>
      <c r="I288" s="8">
        <f ca="1">IFERROR(__xludf.DUMMYFUNCTION("""COMPUTED_VALUE"""),1)</f>
        <v>1</v>
      </c>
      <c r="J288" s="8">
        <f ca="1">IFERROR(__xludf.DUMMYFUNCTION("""COMPUTED_VALUE"""),0)</f>
        <v>0</v>
      </c>
      <c r="K288" s="10" t="str">
        <f ca="1">IFERROR(__xludf.DUMMYFUNCTION("""COMPUTED_VALUE"""),"https://www.baltimoresun.com/2024/09/06/joppatowne-school-suspected-shooting-at-joppatowne-high-school/")</f>
        <v>https://www.baltimoresun.com/2024/09/06/joppatowne-school-suspected-shooting-at-joppatowne-high-school/</v>
      </c>
      <c r="L288" s="8">
        <f ca="1">IFERROR(__xludf.DUMMYFUNCTION("""COMPUTED_VALUE"""),20)</f>
        <v>20</v>
      </c>
      <c r="M288" s="8" t="str">
        <f ca="1">IFERROR(__xludf.DUMMYFUNCTION("""COMPUTED_VALUE"""),"Regional")</f>
        <v>Regional</v>
      </c>
      <c r="N288" s="8">
        <f ca="1">IFERROR(__xludf.DUMMYFUNCTION("""COMPUTED_VALUE"""),4)</f>
        <v>4</v>
      </c>
      <c r="O288" s="8" t="str">
        <f ca="1">IFERROR(__xludf.DUMMYFUNCTION("""COMPUTED_VALUE"""),"Fall")</f>
        <v>Fall</v>
      </c>
      <c r="P288" s="8" t="str">
        <f ca="1">IFERROR(__xludf.DUMMYFUNCTION("""COMPUTED_VALUE"""),"Joppatowne")</f>
        <v>Joppatowne</v>
      </c>
      <c r="Q288" s="8" t="str">
        <f ca="1">IFERROR(__xludf.DUMMYFUNCTION("""COMPUTED_VALUE"""),"MD")</f>
        <v>MD</v>
      </c>
      <c r="R288" s="8" t="str">
        <f ca="1">IFERROR(__xludf.DUMMYFUNCTION("""COMPUTED_VALUE"""),"High")</f>
        <v>High</v>
      </c>
      <c r="S288" s="8" t="str">
        <f ca="1">IFERROR(__xludf.DUMMYFUNCTION("""COMPUTED_VALUE"""),"Bathroom")</f>
        <v>Bathroom</v>
      </c>
      <c r="T288" s="8" t="str">
        <f ca="1">IFERROR(__xludf.DUMMYFUNCTION("""COMPUTED_VALUE"""),"Inside School Building")</f>
        <v>Inside School Building</v>
      </c>
      <c r="U288" s="8" t="str">
        <f ca="1">IFERROR(__xludf.DUMMYFUNCTION("""COMPUTED_VALUE"""),"Yes")</f>
        <v>Yes</v>
      </c>
      <c r="V288" s="8" t="str">
        <f ca="1">IFERROR(__xludf.DUMMYFUNCTION("""COMPUTED_VALUE"""),"Lunch")</f>
        <v>Lunch</v>
      </c>
      <c r="W288" s="11">
        <f ca="1">IFERROR(__xludf.DUMMYFUNCTION("""COMPUTED_VALUE"""),0.525)</f>
        <v>0.52500000000000002</v>
      </c>
      <c r="X288" s="8">
        <f ca="1">IFERROR(__xludf.DUMMYFUNCTION("""COMPUTED_VALUE"""),1)</f>
        <v>1</v>
      </c>
      <c r="Y288" s="12" t="str">
        <f ca="1">IFERROR(__xludf.DUMMYFUNCTION("""COMPUTED_VALUE"""),"Student fatally shot during fight in bathroom")</f>
        <v>Student fatally shot during fight in bathroom</v>
      </c>
      <c r="Z288" s="12" t="str">
        <f ca="1">IFERROR(__xludf.DUMMYFUNCTION("""COMPUTED_VALUE"""),"A 15-year-old Joppatowne High School student died after being shot in the chest Friday during an altercation in the school, according to Harford County authorities, who arrested a 16-year-old suspect. Warren Curtis Grant died in a hospital Friday afternoo"&amp;"n after being shot during the dispute in a first-story bathroom, Harford County Sheriff Jeff Gahler said at a Friday afternoon news conference. Police did not identify the suspect, a 16-year-old Joppatowne High student, noting they would release his name "&amp;"once he is formally charged as an adult, which Gahler said could be expected later Friday or Saturday morning. Officers responded to the school at about 12:36 p.m. after the single shot struck the teenage victim in the chest, Gahler said. The suspect fled"&amp;" the school grounds, and Grant was dragged out of the bathroom by other students. The wounded 15-year-old was tended to by school personnel, including a nurse, a resource officer and Principal Melissa Williams, before being airlifted to Johns Hopkins Hosp"&amp;"ital in serious condition, Gahler said during another news conference earlier Friday afternoon.")</f>
        <v>A 15-year-old Joppatowne High School student died after being shot in the chest Friday during an altercation in the school, according to Harford County authorities, who arrested a 16-year-old suspect. Warren Curtis Grant died in a hospital Friday afternoon after being shot during the dispute in a first-story bathroom, Harford County Sheriff Jeff Gahler said at a Friday afternoon news conference. Police did not identify the suspect, a 16-year-old Joppatowne High student, noting they would release his name once he is formally charged as an adult, which Gahler said could be expected later Friday or Saturday morning. Officers responded to the school at about 12:36 p.m. after the single shot struck the teenage victim in the chest, Gahler said. The suspect fled the school grounds, and Grant was dragged out of the bathroom by other students. The wounded 15-year-old was tended to by school personnel, including a nurse, a resource officer and Principal Melissa Williams, before being airlifted to Johns Hopkins Hospital in serious condition, Gahler said during another news conference earlier Friday afternoon.</v>
      </c>
      <c r="AA288" s="8" t="str">
        <f ca="1">IFERROR(__xludf.DUMMYFUNCTION("""COMPUTED_VALUE"""),"Escalation of Dispute")</f>
        <v>Escalation of Dispute</v>
      </c>
      <c r="AB288" s="8" t="str">
        <f ca="1">IFERROR(__xludf.DUMMYFUNCTION("""COMPUTED_VALUE"""),"Spontaneous")</f>
        <v>Spontaneous</v>
      </c>
      <c r="AC288" s="8" t="str">
        <f ca="1">IFERROR(__xludf.DUMMYFUNCTION("""COMPUTED_VALUE"""),"Yes")</f>
        <v>Yes</v>
      </c>
      <c r="AD288" s="8" t="str">
        <f ca="1">IFERROR(__xludf.DUMMYFUNCTION("""COMPUTED_VALUE"""),"Victims Targeted")</f>
        <v>Victims Targeted</v>
      </c>
      <c r="AE288" s="8" t="str">
        <f ca="1">IFERROR(__xludf.DUMMYFUNCTION("""COMPUTED_VALUE"""),"No")</f>
        <v>No</v>
      </c>
      <c r="AF288" s="8"/>
      <c r="AG288" s="8" t="str">
        <f ca="1">IFERROR(__xludf.DUMMYFUNCTION("""COMPUTED_VALUE"""),"No")</f>
        <v>No</v>
      </c>
      <c r="AH288" s="8" t="str">
        <f ca="1">IFERROR(__xludf.DUMMYFUNCTION("""COMPUTED_VALUE"""),"No")</f>
        <v>No</v>
      </c>
      <c r="AI288" s="8" t="str">
        <f ca="1">IFERROR(__xludf.DUMMYFUNCTION("""COMPUTED_VALUE"""),"No")</f>
        <v>No</v>
      </c>
      <c r="AJ288" s="8"/>
      <c r="AK288" s="8" t="str">
        <f ca="1">IFERROR(__xludf.DUMMYFUNCTION("""COMPUTED_VALUE"""),"No")</f>
        <v>No</v>
      </c>
      <c r="AL288" s="8"/>
      <c r="AM288" s="8" t="str">
        <f ca="1">IFERROR(__xludf.DUMMYFUNCTION("""COMPUTED_VALUE"""),"No")</f>
        <v>No</v>
      </c>
      <c r="AN288" s="8"/>
      <c r="AO288" s="8" t="str">
        <f ca="1">IFERROR(__xludf.DUMMYFUNCTION("""COMPUTED_VALUE"""),"No")</f>
        <v>No</v>
      </c>
      <c r="AP288" s="8" t="str">
        <f ca="1">IFERROR(__xludf.DUMMYFUNCTION("""COMPUTED_VALUE"""),"Yes")</f>
        <v>Yes</v>
      </c>
      <c r="AQ288" s="8" t="str">
        <f ca="1">IFERROR(__xludf.DUMMYFUNCTION("""COMPUTED_VALUE"""),"Metal Detectors Failed")</f>
        <v>Metal Detectors Failed</v>
      </c>
      <c r="AR288" s="8" t="str">
        <f ca="1">IFERROR(__xludf.DUMMYFUNCTION("""COMPUTED_VALUE"""),"Failed")</f>
        <v>Failed</v>
      </c>
      <c r="AS288" s="8">
        <f ca="1">IFERROR(__xludf.DUMMYFUNCTION("""COMPUTED_VALUE"""),1)</f>
        <v>1</v>
      </c>
      <c r="AT288" s="8" t="str">
        <f ca="1">IFERROR(__xludf.DUMMYFUNCTION("""COMPUTED_VALUE"""),"Yes")</f>
        <v>Yes</v>
      </c>
      <c r="AU288" s="8">
        <f ca="1">IFERROR(__xludf.DUMMYFUNCTION("""COMPUTED_VALUE"""),39.414008)</f>
        <v>39.414008000000003</v>
      </c>
      <c r="AV288" s="8">
        <f ca="1">IFERROR(__xludf.DUMMYFUNCTION("""COMPUTED_VALUE"""),-76.351563)</f>
        <v>-76.351562999999999</v>
      </c>
      <c r="AW288" s="8" t="str">
        <f ca="1">IFERROR(__xludf.DUMMYFUNCTION("""COMPUTED_VALUE"""),"Multiple attached buildings")</f>
        <v>Multiple attached buildings</v>
      </c>
      <c r="AX288" s="8">
        <f ca="1">IFERROR(__xludf.DUMMYFUNCTION("""COMPUTED_VALUE"""),21085)</f>
        <v>21085</v>
      </c>
    </row>
    <row r="289" spans="1:50" ht="135" x14ac:dyDescent="0.2">
      <c r="A289" s="8" t="str">
        <f ca="1">IFERROR(__xludf.DUMMYFUNCTION("""COMPUTED_VALUE"""),"20240904NYANB")</f>
        <v>20240904NYANB</v>
      </c>
      <c r="B289" s="8">
        <f ca="1">IFERROR(__xludf.DUMMYFUNCTION("""COMPUTED_VALUE"""),9)</f>
        <v>9</v>
      </c>
      <c r="C289" s="8">
        <f ca="1">IFERROR(__xludf.DUMMYFUNCTION("""COMPUTED_VALUE"""),4)</f>
        <v>4</v>
      </c>
      <c r="D289" s="8">
        <f ca="1">IFERROR(__xludf.DUMMYFUNCTION("""COMPUTED_VALUE"""),2024)</f>
        <v>2024</v>
      </c>
      <c r="E289" s="9">
        <f ca="1">IFERROR(__xludf.DUMMYFUNCTION("""COMPUTED_VALUE"""),45539)</f>
        <v>45539</v>
      </c>
      <c r="F289" s="8" t="str">
        <f ca="1">IFERROR(__xludf.DUMMYFUNCTION("""COMPUTED_VALUE"""),"Angelo Patri Middle School")</f>
        <v>Angelo Patri Middle School</v>
      </c>
      <c r="G289" s="8">
        <f ca="1">IFERROR(__xludf.DUMMYFUNCTION("""COMPUTED_VALUE"""),0)</f>
        <v>0</v>
      </c>
      <c r="H289" s="8">
        <f ca="1">IFERROR(__xludf.DUMMYFUNCTION("""COMPUTED_VALUE"""),1)</f>
        <v>1</v>
      </c>
      <c r="I289" s="8">
        <f ca="1">IFERROR(__xludf.DUMMYFUNCTION("""COMPUTED_VALUE"""),1)</f>
        <v>1</v>
      </c>
      <c r="J289" s="8">
        <f ca="1">IFERROR(__xludf.DUMMYFUNCTION("""COMPUTED_VALUE"""),0)</f>
        <v>0</v>
      </c>
      <c r="K289" s="10" t="str">
        <f ca="1">IFERROR(__xludf.DUMMYFUNCTION("""COMPUTED_VALUE"""),"https://www.cbsnews.com/newyork/news/bronx-teacher-grazed-by-bullet/")</f>
        <v>https://www.cbsnews.com/newyork/news/bronx-teacher-grazed-by-bullet/</v>
      </c>
      <c r="L289" s="8">
        <f ca="1">IFERROR(__xludf.DUMMYFUNCTION("""COMPUTED_VALUE"""),1)</f>
        <v>1</v>
      </c>
      <c r="M289" s="8" t="str">
        <f ca="1">IFERROR(__xludf.DUMMYFUNCTION("""COMPUTED_VALUE"""),"Local")</f>
        <v>Local</v>
      </c>
      <c r="N289" s="8">
        <f ca="1">IFERROR(__xludf.DUMMYFUNCTION("""COMPUTED_VALUE"""),4)</f>
        <v>4</v>
      </c>
      <c r="O289" s="8" t="str">
        <f ca="1">IFERROR(__xludf.DUMMYFUNCTION("""COMPUTED_VALUE"""),"Fall")</f>
        <v>Fall</v>
      </c>
      <c r="P289" s="8" t="str">
        <f ca="1">IFERROR(__xludf.DUMMYFUNCTION("""COMPUTED_VALUE"""),"Bronx")</f>
        <v>Bronx</v>
      </c>
      <c r="Q289" s="8" t="str">
        <f ca="1">IFERROR(__xludf.DUMMYFUNCTION("""COMPUTED_VALUE"""),"NY")</f>
        <v>NY</v>
      </c>
      <c r="R289" s="8" t="str">
        <f ca="1">IFERROR(__xludf.DUMMYFUNCTION("""COMPUTED_VALUE"""),"Middle")</f>
        <v>Middle</v>
      </c>
      <c r="S289" s="8" t="str">
        <f ca="1">IFERROR(__xludf.DUMMYFUNCTION("""COMPUTED_VALUE"""),"Classroom")</f>
        <v>Classroom</v>
      </c>
      <c r="T289" s="8" t="str">
        <f ca="1">IFERROR(__xludf.DUMMYFUNCTION("""COMPUTED_VALUE"""),"Inside School Building")</f>
        <v>Inside School Building</v>
      </c>
      <c r="U289" s="8" t="str">
        <f ca="1">IFERROR(__xludf.DUMMYFUNCTION("""COMPUTED_VALUE"""),"Yes")</f>
        <v>Yes</v>
      </c>
      <c r="V289" s="8" t="str">
        <f ca="1">IFERROR(__xludf.DUMMYFUNCTION("""COMPUTED_VALUE"""),"Afternoon Classes")</f>
        <v>Afternoon Classes</v>
      </c>
      <c r="W289" s="11">
        <f ca="1">IFERROR(__xludf.DUMMYFUNCTION("""COMPUTED_VALUE"""),0.541666666666666)</f>
        <v>0.54166666666666596</v>
      </c>
      <c r="X289" s="8">
        <f ca="1">IFERROR(__xludf.DUMMYFUNCTION("""COMPUTED_VALUE"""),1)</f>
        <v>1</v>
      </c>
      <c r="Y289" s="12" t="str">
        <f ca="1">IFERROR(__xludf.DUMMYFUNCTION("""COMPUTED_VALUE"""),"Teacher grazed by bullet that broke classroom window")</f>
        <v>Teacher grazed by bullet that broke classroom window</v>
      </c>
      <c r="Z289" s="12" t="str">
        <f ca="1">IFERROR(__xludf.DUMMYFUNCTION("""COMPUTED_VALUE"""),"Police said a 33-year-old teacher was inside Angelo Patri Middle School, preparing for the first day of school, when a stray bullet came in through a sixth-floor window. The teacher was grazed on the hand, taken to a local hospital to be treated for minor"&amp;" injuries and then released, police said. One other teacher was also inside the classroom at the time, but they were not injured, according to police. Police said there were no children inside or outside the school at the time.")</f>
        <v>Police said a 33-year-old teacher was inside Angelo Patri Middle School, preparing for the first day of school, when a stray bullet came in through a sixth-floor window. The teacher was grazed on the hand, taken to a local hospital to be treated for minor injuries and then released, police said. One other teacher was also inside the classroom at the time, but they were not injured, according to police. Police said there were no children inside or outside the school at the time.</v>
      </c>
      <c r="AA289" s="8"/>
      <c r="AB289" s="8"/>
      <c r="AC289" s="8" t="str">
        <f ca="1">IFERROR(__xludf.DUMMYFUNCTION("""COMPUTED_VALUE"""),"Yes")</f>
        <v>Yes</v>
      </c>
      <c r="AD289" s="8" t="str">
        <f ca="1">IFERROR(__xludf.DUMMYFUNCTION("""COMPUTED_VALUE"""),"Random Shooting")</f>
        <v>Random Shooting</v>
      </c>
      <c r="AE289" s="8" t="str">
        <f ca="1">IFERROR(__xludf.DUMMYFUNCTION("""COMPUTED_VALUE"""),"No")</f>
        <v>No</v>
      </c>
      <c r="AF289" s="8"/>
      <c r="AG289" s="8" t="str">
        <f ca="1">IFERROR(__xludf.DUMMYFUNCTION("""COMPUTED_VALUE"""),"No")</f>
        <v>No</v>
      </c>
      <c r="AH289" s="8" t="str">
        <f ca="1">IFERROR(__xludf.DUMMYFUNCTION("""COMPUTED_VALUE"""),"No")</f>
        <v>No</v>
      </c>
      <c r="AI289" s="8" t="str">
        <f ca="1">IFERROR(__xludf.DUMMYFUNCTION("""COMPUTED_VALUE"""),"No")</f>
        <v>No</v>
      </c>
      <c r="AJ289" s="8" t="str">
        <f ca="1">IFERROR(__xludf.DUMMYFUNCTION("""COMPUTED_VALUE"""),"No")</f>
        <v>No</v>
      </c>
      <c r="AK289" s="8" t="str">
        <f ca="1">IFERROR(__xludf.DUMMYFUNCTION("""COMPUTED_VALUE"""),"No")</f>
        <v>No</v>
      </c>
      <c r="AL289" s="8"/>
      <c r="AM289" s="8" t="str">
        <f ca="1">IFERROR(__xludf.DUMMYFUNCTION("""COMPUTED_VALUE"""),"No")</f>
        <v>No</v>
      </c>
      <c r="AN289" s="8" t="str">
        <f ca="1">IFERROR(__xludf.DUMMYFUNCTION("""COMPUTED_VALUE"""),"Outside")</f>
        <v>Outside</v>
      </c>
      <c r="AO289" s="8" t="str">
        <f ca="1">IFERROR(__xludf.DUMMYFUNCTION("""COMPUTED_VALUE"""),"No")</f>
        <v>No</v>
      </c>
      <c r="AP289" s="8"/>
      <c r="AQ289" s="8"/>
      <c r="AR289" s="8" t="str">
        <f ca="1">IFERROR(__xludf.DUMMYFUNCTION("""COMPUTED_VALUE"""),"Outside/Off-Property")</f>
        <v>Outside/Off-Property</v>
      </c>
      <c r="AS289" s="8">
        <f ca="1">IFERROR(__xludf.DUMMYFUNCTION("""COMPUTED_VALUE"""),1)</f>
        <v>1</v>
      </c>
      <c r="AT289" s="8" t="str">
        <f ca="1">IFERROR(__xludf.DUMMYFUNCTION("""COMPUTED_VALUE"""),"Yes")</f>
        <v>Yes</v>
      </c>
      <c r="AU289" s="8">
        <f ca="1">IFERROR(__xludf.DUMMYFUNCTION("""COMPUTED_VALUE"""),40.854623)</f>
        <v>40.854622999999997</v>
      </c>
      <c r="AV289" s="8">
        <f ca="1">IFERROR(__xludf.DUMMYFUNCTION("""COMPUTED_VALUE"""),-73.897566)</f>
        <v>-73.897565999999998</v>
      </c>
      <c r="AW289" s="8" t="str">
        <f ca="1">IFERROR(__xludf.DUMMYFUNCTION("""COMPUTED_VALUE"""),"Urban Street Highrise")</f>
        <v>Urban Street Highrise</v>
      </c>
      <c r="AX289" s="8">
        <f ca="1">IFERROR(__xludf.DUMMYFUNCTION("""COMPUTED_VALUE"""),10457)</f>
        <v>10457</v>
      </c>
    </row>
    <row r="290" spans="1:50" ht="195" x14ac:dyDescent="0.2">
      <c r="A290" s="8" t="str">
        <f ca="1">IFERROR(__xludf.DUMMYFUNCTION("""COMPUTED_VALUE"""),"20240904KYCLC")</f>
        <v>20240904KYCLC</v>
      </c>
      <c r="B290" s="8">
        <f ca="1">IFERROR(__xludf.DUMMYFUNCTION("""COMPUTED_VALUE"""),9)</f>
        <v>9</v>
      </c>
      <c r="C290" s="8">
        <f ca="1">IFERROR(__xludf.DUMMYFUNCTION("""COMPUTED_VALUE"""),4)</f>
        <v>4</v>
      </c>
      <c r="D290" s="8">
        <f ca="1">IFERROR(__xludf.DUMMYFUNCTION("""COMPUTED_VALUE"""),2024)</f>
        <v>2024</v>
      </c>
      <c r="E290" s="9">
        <f ca="1">IFERROR(__xludf.DUMMYFUNCTION("""COMPUTED_VALUE"""),45539)</f>
        <v>45539</v>
      </c>
      <c r="F290" s="8" t="str">
        <f ca="1">IFERROR(__xludf.DUMMYFUNCTION("""COMPUTED_VALUE"""),"Clay County High School")</f>
        <v>Clay County High School</v>
      </c>
      <c r="G290" s="8">
        <f ca="1">IFERROR(__xludf.DUMMYFUNCTION("""COMPUTED_VALUE"""),0)</f>
        <v>0</v>
      </c>
      <c r="H290" s="8">
        <f ca="1">IFERROR(__xludf.DUMMYFUNCTION("""COMPUTED_VALUE"""),0)</f>
        <v>0</v>
      </c>
      <c r="I290" s="8">
        <f ca="1">IFERROR(__xludf.DUMMYFUNCTION("""COMPUTED_VALUE"""),0)</f>
        <v>0</v>
      </c>
      <c r="J290" s="8">
        <f ca="1">IFERROR(__xludf.DUMMYFUNCTION("""COMPUTED_VALUE"""),0)</f>
        <v>0</v>
      </c>
      <c r="K290" s="10" t="str">
        <f ca="1">IFERROR(__xludf.DUMMYFUNCTION("""COMPUTED_VALUE"""),"https://www.kbtx.com/2024/09/07/school-district-employee-arrested-after-pointing-gun-students-head-police-say/")</f>
        <v>https://www.kbtx.com/2024/09/07/school-district-employee-arrested-after-pointing-gun-students-head-police-say/</v>
      </c>
      <c r="L290" s="8">
        <f ca="1">IFERROR(__xludf.DUMMYFUNCTION("""COMPUTED_VALUE"""),3)</f>
        <v>3</v>
      </c>
      <c r="M290" s="8" t="str">
        <f ca="1">IFERROR(__xludf.DUMMYFUNCTION("""COMPUTED_VALUE"""),"Local")</f>
        <v>Local</v>
      </c>
      <c r="N290" s="8">
        <f ca="1">IFERROR(__xludf.DUMMYFUNCTION("""COMPUTED_VALUE"""),4)</f>
        <v>4</v>
      </c>
      <c r="O290" s="8" t="str">
        <f ca="1">IFERROR(__xludf.DUMMYFUNCTION("""COMPUTED_VALUE"""),"Fall")</f>
        <v>Fall</v>
      </c>
      <c r="P290" s="8" t="str">
        <f ca="1">IFERROR(__xludf.DUMMYFUNCTION("""COMPUTED_VALUE"""),"Clay County")</f>
        <v>Clay County</v>
      </c>
      <c r="Q290" s="8" t="str">
        <f ca="1">IFERROR(__xludf.DUMMYFUNCTION("""COMPUTED_VALUE"""),"KY")</f>
        <v>KY</v>
      </c>
      <c r="R290" s="8" t="str">
        <f ca="1">IFERROR(__xludf.DUMMYFUNCTION("""COMPUTED_VALUE"""),"High")</f>
        <v>High</v>
      </c>
      <c r="S290" s="8" t="str">
        <f ca="1">IFERROR(__xludf.DUMMYFUNCTION("""COMPUTED_VALUE"""),"Parking Lot")</f>
        <v>Parking Lot</v>
      </c>
      <c r="T290" s="8" t="str">
        <f ca="1">IFERROR(__xludf.DUMMYFUNCTION("""COMPUTED_VALUE"""),"Outside on School Property")</f>
        <v>Outside on School Property</v>
      </c>
      <c r="U290" s="8" t="str">
        <f ca="1">IFERROR(__xludf.DUMMYFUNCTION("""COMPUTED_VALUE"""),"Yes")</f>
        <v>Yes</v>
      </c>
      <c r="V290" s="8" t="str">
        <f ca="1">IFERROR(__xludf.DUMMYFUNCTION("""COMPUTED_VALUE"""),"Morning Classes")</f>
        <v>Morning Classes</v>
      </c>
      <c r="W290" s="11">
        <f ca="1">IFERROR(__xludf.DUMMYFUNCTION("""COMPUTED_VALUE"""),0.458333333333333)</f>
        <v>0.45833333333333298</v>
      </c>
      <c r="X290" s="8">
        <f ca="1">IFERROR(__xludf.DUMMYFUNCTION("""COMPUTED_VALUE"""),1)</f>
        <v>1</v>
      </c>
      <c r="Y290" s="12" t="str">
        <f ca="1">IFERROR(__xludf.DUMMYFUNCTION("""COMPUTED_VALUE"""),"Staff member pointed gun at student and said he was going to kill him")</f>
        <v>Staff member pointed gun at student and said he was going to kill him</v>
      </c>
      <c r="Z290" s="12" t="str">
        <f ca="1">IFERROR(__xludf.DUMMYFUNCTION("""COMPUTED_VALUE"""),"A Kentucky school staff member is facing charges for allegedly threatening a student with a gun. Christopher Collier, 31, has been in jail since being arrested on Thursday. According to police, Collier held a Clay County High School student at gunpoint af"&amp;"ter getting him into his truck and threatening him.The citation issued to Collier stated that he pointed the gun at the student’s head after the student got into his truck at about 11 a.m. Wednesday. Collier is accused of telling the student he was going "&amp;"to kill him and that he was making a video of it. A sheriff’s deputy arrested Collier Thursday and charged him with criminal trespassing, wanton endangerment, terroristic threatening and unlawful possession of a weapon on school property.")</f>
        <v>A Kentucky school staff member is facing charges for allegedly threatening a student with a gun. Christopher Collier, 31, has been in jail since being arrested on Thursday. According to police, Collier held a Clay County High School student at gunpoint after getting him into his truck and threatening him.The citation issued to Collier stated that he pointed the gun at the student’s head after the student got into his truck at about 11 a.m. Wednesday. Collier is accused of telling the student he was going to kill him and that he was making a video of it. A sheriff’s deputy arrested Collier Thursday and charged him with criminal trespassing, wanton endangerment, terroristic threatening and unlawful possession of a weapon on school property.</v>
      </c>
      <c r="AA290" s="8"/>
      <c r="AB290" s="8" t="str">
        <f ca="1">IFERROR(__xludf.DUMMYFUNCTION("""COMPUTED_VALUE"""),"Targeted")</f>
        <v>Targeted</v>
      </c>
      <c r="AC290" s="8" t="str">
        <f ca="1">IFERROR(__xludf.DUMMYFUNCTION("""COMPUTED_VALUE"""),"Yes")</f>
        <v>Yes</v>
      </c>
      <c r="AD290" s="8" t="str">
        <f ca="1">IFERROR(__xludf.DUMMYFUNCTION("""COMPUTED_VALUE"""),"Victims Targeted")</f>
        <v>Victims Targeted</v>
      </c>
      <c r="AE290" s="8" t="str">
        <f ca="1">IFERROR(__xludf.DUMMYFUNCTION("""COMPUTED_VALUE"""),"No")</f>
        <v>No</v>
      </c>
      <c r="AF290" s="8"/>
      <c r="AG290" s="8" t="str">
        <f ca="1">IFERROR(__xludf.DUMMYFUNCTION("""COMPUTED_VALUE"""),"No")</f>
        <v>No</v>
      </c>
      <c r="AH290" s="8" t="str">
        <f ca="1">IFERROR(__xludf.DUMMYFUNCTION("""COMPUTED_VALUE"""),"No")</f>
        <v>No</v>
      </c>
      <c r="AI290" s="8" t="str">
        <f ca="1">IFERROR(__xludf.DUMMYFUNCTION("""COMPUTED_VALUE"""),"No")</f>
        <v>No</v>
      </c>
      <c r="AJ290" s="8" t="str">
        <f ca="1">IFERROR(__xludf.DUMMYFUNCTION("""COMPUTED_VALUE"""),"No")</f>
        <v>No</v>
      </c>
      <c r="AK290" s="8" t="str">
        <f ca="1">IFERROR(__xludf.DUMMYFUNCTION("""COMPUTED_VALUE"""),"No")</f>
        <v>No</v>
      </c>
      <c r="AL290" s="8" t="str">
        <f ca="1">IFERROR(__xludf.DUMMYFUNCTION("""COMPUTED_VALUE"""),"No")</f>
        <v>No</v>
      </c>
      <c r="AM290" s="8" t="str">
        <f ca="1">IFERROR(__xludf.DUMMYFUNCTION("""COMPUTED_VALUE"""),"No")</f>
        <v>No</v>
      </c>
      <c r="AN290" s="8" t="str">
        <f ca="1">IFERROR(__xludf.DUMMYFUNCTION("""COMPUTED_VALUE"""),"Outside")</f>
        <v>Outside</v>
      </c>
      <c r="AO290" s="8" t="str">
        <f ca="1">IFERROR(__xludf.DUMMYFUNCTION("""COMPUTED_VALUE"""),"No")</f>
        <v>No</v>
      </c>
      <c r="AP290" s="8"/>
      <c r="AQ290" s="8"/>
      <c r="AR290" s="8" t="str">
        <f ca="1">IFERROR(__xludf.DUMMYFUNCTION("""COMPUTED_VALUE"""),"Outside/Off-Property")</f>
        <v>Outside/Off-Property</v>
      </c>
      <c r="AS290" s="8">
        <f ca="1">IFERROR(__xludf.DUMMYFUNCTION("""COMPUTED_VALUE"""),0)</f>
        <v>0</v>
      </c>
      <c r="AT290" s="8" t="str">
        <f ca="1">IFERROR(__xludf.DUMMYFUNCTION("""COMPUTED_VALUE"""),"Yes")</f>
        <v>Yes</v>
      </c>
      <c r="AU290" s="8">
        <f ca="1">IFERROR(__xludf.DUMMYFUNCTION("""COMPUTED_VALUE"""),37.179587)</f>
        <v>37.179586999999998</v>
      </c>
      <c r="AV290" s="8">
        <f ca="1">IFERROR(__xludf.DUMMYFUNCTION("""COMPUTED_VALUE"""),-83.766593)</f>
        <v>-83.766593</v>
      </c>
      <c r="AW290" s="8" t="str">
        <f ca="1">IFERROR(__xludf.DUMMYFUNCTION("""COMPUTED_VALUE"""),"Single building indoor hallway")</f>
        <v>Single building indoor hallway</v>
      </c>
      <c r="AX290" s="8">
        <f ca="1">IFERROR(__xludf.DUMMYFUNCTION("""COMPUTED_VALUE"""),40962)</f>
        <v>40962</v>
      </c>
    </row>
    <row r="291" spans="1:50" ht="195" x14ac:dyDescent="0.2">
      <c r="A291" s="8" t="str">
        <f ca="1">IFERROR(__xludf.DUMMYFUNCTION("""COMPUTED_VALUE"""),"20240904GAAPW")</f>
        <v>20240904GAAPW</v>
      </c>
      <c r="B291" s="8">
        <f ca="1">IFERROR(__xludf.DUMMYFUNCTION("""COMPUTED_VALUE"""),9)</f>
        <v>9</v>
      </c>
      <c r="C291" s="8">
        <f ca="1">IFERROR(__xludf.DUMMYFUNCTION("""COMPUTED_VALUE"""),4)</f>
        <v>4</v>
      </c>
      <c r="D291" s="8">
        <f ca="1">IFERROR(__xludf.DUMMYFUNCTION("""COMPUTED_VALUE"""),2024)</f>
        <v>2024</v>
      </c>
      <c r="E291" s="9">
        <f ca="1">IFERROR(__xludf.DUMMYFUNCTION("""COMPUTED_VALUE"""),45539)</f>
        <v>45539</v>
      </c>
      <c r="F291" s="8" t="str">
        <f ca="1">IFERROR(__xludf.DUMMYFUNCTION("""COMPUTED_VALUE"""),"Apalachee High School")</f>
        <v>Apalachee High School</v>
      </c>
      <c r="G291" s="8">
        <f ca="1">IFERROR(__xludf.DUMMYFUNCTION("""COMPUTED_VALUE"""),4)</f>
        <v>4</v>
      </c>
      <c r="H291" s="8">
        <f ca="1">IFERROR(__xludf.DUMMYFUNCTION("""COMPUTED_VALUE"""),9)</f>
        <v>9</v>
      </c>
      <c r="I291" s="8">
        <f ca="1">IFERROR(__xludf.DUMMYFUNCTION("""COMPUTED_VALUE"""),13)</f>
        <v>13</v>
      </c>
      <c r="J291" s="8">
        <f ca="1">IFERROR(__xludf.DUMMYFUNCTION("""COMPUTED_VALUE"""),0)</f>
        <v>0</v>
      </c>
      <c r="K291" s="10" t="str">
        <f ca="1">IFERROR(__xludf.DUMMYFUNCTION("""COMPUTED_VALUE"""),"https://www.youtube.com/watch?v=PeBj0gMemPM
https://www.cbsnews.com/news/georgia-school-shooting-colt-gray-backpack-rifle/
https://www.wsbtv.com/news/local/barrow-county/one-week-has-passed-since-deadly-apalachee-high-school-shooting/ZHUJBTY375AHZMHC3SJMO"&amp;"SVPBI/
https://abcnews.go.com/US/suspect-georgia-school-shooting-interviewed-alleged-online-threats/story?id=113432572")</f>
        <v>https://www.youtube.com/watch?v=PeBj0gMemPM
https://www.cbsnews.com/news/georgia-school-shooting-colt-gray-backpack-rifle/
https://www.wsbtv.com/news/local/barrow-county/one-week-has-passed-since-deadly-apalachee-high-school-shooting/ZHUJBTY375AHZMHC3SJMOSVPBI/
https://abcnews.go.com/US/suspect-georgia-school-shooting-interviewed-alleged-online-threats/story?id=113432572</v>
      </c>
      <c r="L291" s="8">
        <f ca="1">IFERROR(__xludf.DUMMYFUNCTION("""COMPUTED_VALUE"""),999)</f>
        <v>999</v>
      </c>
      <c r="M291" s="8" t="str">
        <f ca="1">IFERROR(__xludf.DUMMYFUNCTION("""COMPUTED_VALUE"""),"International")</f>
        <v>International</v>
      </c>
      <c r="N291" s="8">
        <f ca="1">IFERROR(__xludf.DUMMYFUNCTION("""COMPUTED_VALUE"""),4)</f>
        <v>4</v>
      </c>
      <c r="O291" s="8" t="str">
        <f ca="1">IFERROR(__xludf.DUMMYFUNCTION("""COMPUTED_VALUE"""),"Fall")</f>
        <v>Fall</v>
      </c>
      <c r="P291" s="8" t="str">
        <f ca="1">IFERROR(__xludf.DUMMYFUNCTION("""COMPUTED_VALUE"""),"Winder")</f>
        <v>Winder</v>
      </c>
      <c r="Q291" s="8" t="str">
        <f ca="1">IFERROR(__xludf.DUMMYFUNCTION("""COMPUTED_VALUE"""),"GA")</f>
        <v>GA</v>
      </c>
      <c r="R291" s="8" t="str">
        <f ca="1">IFERROR(__xludf.DUMMYFUNCTION("""COMPUTED_VALUE"""),"High")</f>
        <v>High</v>
      </c>
      <c r="S291" s="8" t="str">
        <f ca="1">IFERROR(__xludf.DUMMYFUNCTION("""COMPUTED_VALUE"""),"Hallway")</f>
        <v>Hallway</v>
      </c>
      <c r="T291" s="8" t="str">
        <f ca="1">IFERROR(__xludf.DUMMYFUNCTION("""COMPUTED_VALUE"""),"Inside School Building")</f>
        <v>Inside School Building</v>
      </c>
      <c r="U291" s="8" t="str">
        <f ca="1">IFERROR(__xludf.DUMMYFUNCTION("""COMPUTED_VALUE"""),"Yes")</f>
        <v>Yes</v>
      </c>
      <c r="V291" s="8" t="str">
        <f ca="1">IFERROR(__xludf.DUMMYFUNCTION("""COMPUTED_VALUE"""),"Morning Classes")</f>
        <v>Morning Classes</v>
      </c>
      <c r="W291" s="11">
        <f ca="1">IFERROR(__xludf.DUMMYFUNCTION("""COMPUTED_VALUE"""),0.430555555555555)</f>
        <v>0.43055555555555503</v>
      </c>
      <c r="X291" s="8">
        <f ca="1">IFERROR(__xludf.DUMMYFUNCTION("""COMPUTED_VALUE"""),10)</f>
        <v>10</v>
      </c>
      <c r="Y291" s="12" t="str">
        <f ca="1">IFERROR(__xludf.DUMMYFUNCTION("""COMPUTED_VALUE"""),"Planned attack by current student with AR-15 rifle")</f>
        <v>Planned attack by current student with AR-15 rifle</v>
      </c>
      <c r="Z291" s="12" t="str">
        <f ca="1">IFERROR(__xludf.DUMMYFUNCTION("""COMPUTED_VALUE"""),"Planned attack by 14-year-old student started inside the school during morning classes. Shooter left class to go to the bathroom and tried to re-enter the locked classroom with an AR-15 rifle.The morning of the shooting, the shooter asked his teacher for "&amp;"permission to go to the front office and speak with an unidentified person, the GBI said. The teacher allowed him to leave and take his belongings with him, the GBI said. The 14-year-old then went to the bathroom and hid from teachers, and later allegedly"&amp;" took out the rifle and started shooting, according to the GBI. Colt Gray was also armed with a knife, according to the GBI. Investigators believe the shooter received the AR-style gun used in the shooting as a Christmas present from his father.")</f>
        <v>Planned attack by 14-year-old student started inside the school during morning classes. Shooter left class to go to the bathroom and tried to re-enter the locked classroom with an AR-15 rifle.The morning of the shooting, the shooter asked his teacher for permission to go to the front office and speak with an unidentified person, the GBI said. The teacher allowed him to leave and take his belongings with him, the GBI said. The 14-year-old then went to the bathroom and hid from teachers, and later allegedly took out the rifle and started shooting, according to the GBI. Colt Gray was also armed with a knife, according to the GBI. Investigators believe the shooter received the AR-style gun used in the shooting as a Christmas present from his father.</v>
      </c>
      <c r="AA291" s="8" t="str">
        <f ca="1">IFERROR(__xludf.DUMMYFUNCTION("""COMPUTED_VALUE"""),"Indiscriminate Shooting")</f>
        <v>Indiscriminate Shooting</v>
      </c>
      <c r="AB291" s="8" t="str">
        <f ca="1">IFERROR(__xludf.DUMMYFUNCTION("""COMPUTED_VALUE"""),"Active Shooter/Planned Attack")</f>
        <v>Active Shooter/Planned Attack</v>
      </c>
      <c r="AC291" s="8" t="str">
        <f ca="1">IFERROR(__xludf.DUMMYFUNCTION("""COMPUTED_VALUE"""),"Yes")</f>
        <v>Yes</v>
      </c>
      <c r="AD291" s="8" t="str">
        <f ca="1">IFERROR(__xludf.DUMMYFUNCTION("""COMPUTED_VALUE"""),"Random Shooting")</f>
        <v>Random Shooting</v>
      </c>
      <c r="AE291" s="8" t="str">
        <f ca="1">IFERROR(__xludf.DUMMYFUNCTION("""COMPUTED_VALUE"""),"No")</f>
        <v>No</v>
      </c>
      <c r="AF291" s="8"/>
      <c r="AG291" s="8" t="str">
        <f ca="1">IFERROR(__xludf.DUMMYFUNCTION("""COMPUTED_VALUE"""),"No")</f>
        <v>No</v>
      </c>
      <c r="AH291" s="8" t="str">
        <f ca="1">IFERROR(__xludf.DUMMYFUNCTION("""COMPUTED_VALUE"""),"No")</f>
        <v>No</v>
      </c>
      <c r="AI291" s="8" t="str">
        <f ca="1">IFERROR(__xludf.DUMMYFUNCTION("""COMPUTED_VALUE"""),"No")</f>
        <v>No</v>
      </c>
      <c r="AJ291" s="8" t="str">
        <f ca="1">IFERROR(__xludf.DUMMYFUNCTION("""COMPUTED_VALUE"""),"Yes")</f>
        <v>Yes</v>
      </c>
      <c r="AK291" s="8" t="str">
        <f ca="1">IFERROR(__xludf.DUMMYFUNCTION("""COMPUTED_VALUE"""),"No")</f>
        <v>No</v>
      </c>
      <c r="AL291" s="8" t="str">
        <f ca="1">IFERROR(__xludf.DUMMYFUNCTION("""COMPUTED_VALUE"""),"No")</f>
        <v>No</v>
      </c>
      <c r="AM291" s="8" t="str">
        <f ca="1">IFERROR(__xludf.DUMMYFUNCTION("""COMPUTED_VALUE"""),"Yes")</f>
        <v>Yes</v>
      </c>
      <c r="AN291" s="8" t="str">
        <f ca="1">IFERROR(__xludf.DUMMYFUNCTION("""COMPUTED_VALUE"""),"Multiple Rooms")</f>
        <v>Multiple Rooms</v>
      </c>
      <c r="AO291" s="8" t="str">
        <f ca="1">IFERROR(__xludf.DUMMYFUNCTION("""COMPUTED_VALUE"""),"Yes")</f>
        <v>Yes</v>
      </c>
      <c r="AP291" s="8" t="str">
        <f ca="1">IFERROR(__xludf.DUMMYFUNCTION("""COMPUTED_VALUE"""),"Yes")</f>
        <v>Yes</v>
      </c>
      <c r="AQ291" s="8" t="str">
        <f ca="1">IFERROR(__xludf.DUMMYFUNCTION("""COMPUTED_VALUE"""),"Armed Guards")</f>
        <v>Armed Guards</v>
      </c>
      <c r="AR291" s="8" t="str">
        <f ca="1">IFERROR(__xludf.DUMMYFUNCTION("""COMPUTED_VALUE"""),"Failed")</f>
        <v>Failed</v>
      </c>
      <c r="AS291" s="8">
        <f ca="1">IFERROR(__xludf.DUMMYFUNCTION("""COMPUTED_VALUE"""),99)</f>
        <v>99</v>
      </c>
      <c r="AT291" s="8" t="str">
        <f ca="1">IFERROR(__xludf.DUMMYFUNCTION("""COMPUTED_VALUE"""),"Yes")</f>
        <v>Yes</v>
      </c>
      <c r="AU291" s="8">
        <f ca="1">IFERROR(__xludf.DUMMYFUNCTION("""COMPUTED_VALUE"""),33.949311)</f>
        <v>33.949311000000002</v>
      </c>
      <c r="AV291" s="8">
        <f ca="1">IFERROR(__xludf.DUMMYFUNCTION("""COMPUTED_VALUE"""),-83.78523)</f>
        <v>-83.785229999999999</v>
      </c>
      <c r="AW291" s="8" t="str">
        <f ca="1">IFERROR(__xludf.DUMMYFUNCTION("""COMPUTED_VALUE"""),"Multiple attached buildings")</f>
        <v>Multiple attached buildings</v>
      </c>
      <c r="AX291" s="8">
        <f ca="1">IFERROR(__xludf.DUMMYFUNCTION("""COMPUTED_VALUE"""),30680)</f>
        <v>30680</v>
      </c>
    </row>
    <row r="292" spans="1:50" ht="210" x14ac:dyDescent="0.2">
      <c r="A292" s="8" t="str">
        <f ca="1">IFERROR(__xludf.DUMMYFUNCTION("""COMPUTED_VALUE"""),"20240903LABEB")</f>
        <v>20240903LABEB</v>
      </c>
      <c r="B292" s="8">
        <f ca="1">IFERROR(__xludf.DUMMYFUNCTION("""COMPUTED_VALUE"""),9)</f>
        <v>9</v>
      </c>
      <c r="C292" s="8">
        <f ca="1">IFERROR(__xludf.DUMMYFUNCTION("""COMPUTED_VALUE"""),3)</f>
        <v>3</v>
      </c>
      <c r="D292" s="8">
        <f ca="1">IFERROR(__xludf.DUMMYFUNCTION("""COMPUTED_VALUE"""),2024)</f>
        <v>2024</v>
      </c>
      <c r="E292" s="9">
        <f ca="1">IFERROR(__xludf.DUMMYFUNCTION("""COMPUTED_VALUE"""),45538)</f>
        <v>45538</v>
      </c>
      <c r="F292" s="8" t="str">
        <f ca="1">IFERROR(__xludf.DUMMYFUNCTION("""COMPUTED_VALUE"""),"Belaire High School")</f>
        <v>Belaire High School</v>
      </c>
      <c r="G292" s="8">
        <f ca="1">IFERROR(__xludf.DUMMYFUNCTION("""COMPUTED_VALUE"""),0)</f>
        <v>0</v>
      </c>
      <c r="H292" s="8">
        <f ca="1">IFERROR(__xludf.DUMMYFUNCTION("""COMPUTED_VALUE"""),0)</f>
        <v>0</v>
      </c>
      <c r="I292" s="8">
        <f ca="1">IFERROR(__xludf.DUMMYFUNCTION("""COMPUTED_VALUE"""),0)</f>
        <v>0</v>
      </c>
      <c r="J292" s="8">
        <f ca="1">IFERROR(__xludf.DUMMYFUNCTION("""COMPUTED_VALUE"""),0)</f>
        <v>0</v>
      </c>
      <c r="K292" s="8" t="str">
        <f ca="1">IFERROR(__xludf.DUMMYFUNCTION("""COMPUTED_VALUE"""),"https://www.brproud.com/news/local-news/crime/east-baton-rouge-deputies-arrest-man-accused-of-shooting-gun-on-school-property/
https://www.wafb.com/2024/09/06/ebrso-identify-man-accused-bringing-weapon-onto-school-property-firing-into-ground/")</f>
        <v>https://www.brproud.com/news/local-news/crime/east-baton-rouge-deputies-arrest-man-accused-of-shooting-gun-on-school-property/
https://www.wafb.com/2024/09/06/ebrso-identify-man-accused-bringing-weapon-onto-school-property-firing-into-ground/</v>
      </c>
      <c r="L292" s="8">
        <f ca="1">IFERROR(__xludf.DUMMYFUNCTION("""COMPUTED_VALUE"""),2)</f>
        <v>2</v>
      </c>
      <c r="M292" s="8" t="str">
        <f ca="1">IFERROR(__xludf.DUMMYFUNCTION("""COMPUTED_VALUE"""),"Local")</f>
        <v>Local</v>
      </c>
      <c r="N292" s="8">
        <f ca="1">IFERROR(__xludf.DUMMYFUNCTION("""COMPUTED_VALUE"""),4)</f>
        <v>4</v>
      </c>
      <c r="O292" s="8" t="str">
        <f ca="1">IFERROR(__xludf.DUMMYFUNCTION("""COMPUTED_VALUE"""),"Fall")</f>
        <v>Fall</v>
      </c>
      <c r="P292" s="8" t="str">
        <f ca="1">IFERROR(__xludf.DUMMYFUNCTION("""COMPUTED_VALUE"""),"Baton Rouge")</f>
        <v>Baton Rouge</v>
      </c>
      <c r="Q292" s="8" t="str">
        <f ca="1">IFERROR(__xludf.DUMMYFUNCTION("""COMPUTED_VALUE"""),"LA")</f>
        <v>LA</v>
      </c>
      <c r="R292" s="8" t="str">
        <f ca="1">IFERROR(__xludf.DUMMYFUNCTION("""COMPUTED_VALUE"""),"High")</f>
        <v>High</v>
      </c>
      <c r="S292" s="8" t="str">
        <f ca="1">IFERROR(__xludf.DUMMYFUNCTION("""COMPUTED_VALUE"""),"Front of School")</f>
        <v>Front of School</v>
      </c>
      <c r="T292" s="8" t="str">
        <f ca="1">IFERROR(__xludf.DUMMYFUNCTION("""COMPUTED_VALUE"""),"Outside on School Property")</f>
        <v>Outside on School Property</v>
      </c>
      <c r="U292" s="8" t="str">
        <f ca="1">IFERROR(__xludf.DUMMYFUNCTION("""COMPUTED_VALUE"""),"Yes")</f>
        <v>Yes</v>
      </c>
      <c r="V292" s="8"/>
      <c r="W292" s="8"/>
      <c r="X292" s="8">
        <f ca="1">IFERROR(__xludf.DUMMYFUNCTION("""COMPUTED_VALUE"""),1)</f>
        <v>1</v>
      </c>
      <c r="Y292" s="12" t="str">
        <f ca="1">IFERROR(__xludf.DUMMYFUNCTION("""COMPUTED_VALUE"""),"Parent fired gun into ground three times while trying to break up fight")</f>
        <v>Parent fired gun into ground three times while trying to break up fight</v>
      </c>
      <c r="Z292" s="12" t="str">
        <f ca="1">IFERROR(__xludf.DUMMYFUNCTION("""COMPUTED_VALUE"""),"The East Baton Rouge Sheriff’s Office arrested a man accused of shooting a gun on the campus of Belaire High School. Desmond “Biscuit” Williams, 23, was arrested and booked into the East Baton Rouge Parish Prison on charges of illegal carrying of a firear"&amp;"m on school property and illegal discharge of a firearm. A school administrator at Belaire High School advised EBRSO of a parent stating that Williams, who is a parent of a student at a nearby elementary school, was talking about coming to shoot up the sc"&amp;"hool, according to the sheriff’s office. During an interview with EBRSO, Williams reportedly admitted to being at the school Tuesday with his AR Pistol. He said he shot three times into the ground “as an attempt to de escalate a fight,” according to the s"&amp;"heriff’s office.")</f>
        <v>The East Baton Rouge Sheriff’s Office arrested a man accused of shooting a gun on the campus of Belaire High School. Desmond “Biscuit” Williams, 23, was arrested and booked into the East Baton Rouge Parish Prison on charges of illegal carrying of a firearm on school property and illegal discharge of a firearm. A school administrator at Belaire High School advised EBRSO of a parent stating that Williams, who is a parent of a student at a nearby elementary school, was talking about coming to shoot up the school, according to the sheriff’s office. During an interview with EBRSO, Williams reportedly admitted to being at the school Tuesday with his AR Pistol. He said he shot three times into the ground “as an attempt to de escalate a fight,” according to the sheriff’s office.</v>
      </c>
      <c r="AA292" s="8"/>
      <c r="AB292" s="8" t="str">
        <f ca="1">IFERROR(__xludf.DUMMYFUNCTION("""COMPUTED_VALUE"""),"Targeted")</f>
        <v>Targeted</v>
      </c>
      <c r="AC292" s="8" t="str">
        <f ca="1">IFERROR(__xludf.DUMMYFUNCTION("""COMPUTED_VALUE"""),"Yes")</f>
        <v>Yes</v>
      </c>
      <c r="AD292" s="8" t="str">
        <f ca="1">IFERROR(__xludf.DUMMYFUNCTION("""COMPUTED_VALUE"""),"Neither")</f>
        <v>Neither</v>
      </c>
      <c r="AE292" s="8" t="str">
        <f ca="1">IFERROR(__xludf.DUMMYFUNCTION("""COMPUTED_VALUE"""),"No")</f>
        <v>No</v>
      </c>
      <c r="AF292" s="8"/>
      <c r="AG292" s="8" t="str">
        <f ca="1">IFERROR(__xludf.DUMMYFUNCTION("""COMPUTED_VALUE"""),"No")</f>
        <v>No</v>
      </c>
      <c r="AH292" s="8" t="str">
        <f ca="1">IFERROR(__xludf.DUMMYFUNCTION("""COMPUTED_VALUE"""),"No")</f>
        <v>No</v>
      </c>
      <c r="AI292" s="8" t="str">
        <f ca="1">IFERROR(__xludf.DUMMYFUNCTION("""COMPUTED_VALUE"""),"No")</f>
        <v>No</v>
      </c>
      <c r="AJ292" s="8" t="str">
        <f ca="1">IFERROR(__xludf.DUMMYFUNCTION("""COMPUTED_VALUE"""),"No")</f>
        <v>No</v>
      </c>
      <c r="AK292" s="8" t="str">
        <f ca="1">IFERROR(__xludf.DUMMYFUNCTION("""COMPUTED_VALUE"""),"No")</f>
        <v>No</v>
      </c>
      <c r="AL292" s="8" t="str">
        <f ca="1">IFERROR(__xludf.DUMMYFUNCTION("""COMPUTED_VALUE"""),"No")</f>
        <v>No</v>
      </c>
      <c r="AM292" s="8" t="str">
        <f ca="1">IFERROR(__xludf.DUMMYFUNCTION("""COMPUTED_VALUE"""),"No")</f>
        <v>No</v>
      </c>
      <c r="AN292" s="8" t="str">
        <f ca="1">IFERROR(__xludf.DUMMYFUNCTION("""COMPUTED_VALUE"""),"Outside")</f>
        <v>Outside</v>
      </c>
      <c r="AO292" s="8" t="str">
        <f ca="1">IFERROR(__xludf.DUMMYFUNCTION("""COMPUTED_VALUE"""),"No")</f>
        <v>No</v>
      </c>
      <c r="AP292" s="8"/>
      <c r="AQ292" s="8"/>
      <c r="AR292" s="8" t="str">
        <f ca="1">IFERROR(__xludf.DUMMYFUNCTION("""COMPUTED_VALUE"""),"Outside/Off-Property")</f>
        <v>Outside/Off-Property</v>
      </c>
      <c r="AS292" s="8">
        <f ca="1">IFERROR(__xludf.DUMMYFUNCTION("""COMPUTED_VALUE"""),3)</f>
        <v>3</v>
      </c>
      <c r="AT292" s="8" t="str">
        <f ca="1">IFERROR(__xludf.DUMMYFUNCTION("""COMPUTED_VALUE"""),"No")</f>
        <v>No</v>
      </c>
      <c r="AU292" s="8">
        <f ca="1">IFERROR(__xludf.DUMMYFUNCTION("""COMPUTED_VALUE"""),30.469034)</f>
        <v>30.469034000000001</v>
      </c>
      <c r="AV292" s="8">
        <f ca="1">IFERROR(__xludf.DUMMYFUNCTION("""COMPUTED_VALUE"""),-91.04803)</f>
        <v>-91.048029999999997</v>
      </c>
      <c r="AW292" s="8" t="str">
        <f ca="1">IFERROR(__xludf.DUMMYFUNCTION("""COMPUTED_VALUE"""),"Single building indoor hallway")</f>
        <v>Single building indoor hallway</v>
      </c>
      <c r="AX292" s="8">
        <f ca="1">IFERROR(__xludf.DUMMYFUNCTION("""COMPUTED_VALUE"""),70815)</f>
        <v>70815</v>
      </c>
    </row>
    <row r="293" spans="1:50" ht="120" x14ac:dyDescent="0.2">
      <c r="A293" s="8" t="str">
        <f ca="1">IFERROR(__xludf.DUMMYFUNCTION("""COMPUTED_VALUE"""),"20240903NYFAF")</f>
        <v>20240903NYFAF</v>
      </c>
      <c r="B293" s="8">
        <f ca="1">IFERROR(__xludf.DUMMYFUNCTION("""COMPUTED_VALUE"""),9)</f>
        <v>9</v>
      </c>
      <c r="C293" s="8">
        <f ca="1">IFERROR(__xludf.DUMMYFUNCTION("""COMPUTED_VALUE"""),3)</f>
        <v>3</v>
      </c>
      <c r="D293" s="8">
        <f ca="1">IFERROR(__xludf.DUMMYFUNCTION("""COMPUTED_VALUE"""),2024)</f>
        <v>2024</v>
      </c>
      <c r="E293" s="9">
        <f ca="1">IFERROR(__xludf.DUMMYFUNCTION("""COMPUTED_VALUE"""),45538)</f>
        <v>45538</v>
      </c>
      <c r="F293" s="8" t="str">
        <f ca="1">IFERROR(__xludf.DUMMYFUNCTION("""COMPUTED_VALUE"""),"Frankfort-Schuyler Elementary School")</f>
        <v>Frankfort-Schuyler Elementary School</v>
      </c>
      <c r="G293" s="8">
        <f ca="1">IFERROR(__xludf.DUMMYFUNCTION("""COMPUTED_VALUE"""),0)</f>
        <v>0</v>
      </c>
      <c r="H293" s="8">
        <f ca="1">IFERROR(__xludf.DUMMYFUNCTION("""COMPUTED_VALUE"""),2)</f>
        <v>2</v>
      </c>
      <c r="I293" s="8">
        <f ca="1">IFERROR(__xludf.DUMMYFUNCTION("""COMPUTED_VALUE"""),2)</f>
        <v>2</v>
      </c>
      <c r="J293" s="8">
        <f ca="1">IFERROR(__xludf.DUMMYFUNCTION("""COMPUTED_VALUE"""),0)</f>
        <v>0</v>
      </c>
      <c r="K293" s="10" t="str">
        <f ca="1">IFERROR(__xludf.DUMMYFUNCTION("""COMPUTED_VALUE"""),"https://www.newyorkupstate.com/central-ny/2024/09/gun-fired-outside-upstate-ny-elementary-school-during-open-house-unintentional-negligent.html
https://www.wktv.com/news/education/frankfort-schuyler-central-school-superintendent-responds-to-discharge-of-f"&amp;"irearm-outside-elementary-school/article_e01cff96-6ecb-11ef-84a4-439135ab9d61.html
https://www.wktv.com/news/gun-discharged-at-evening-event-at-frankfort-schuyler-elementary/article_6c949e08-6a66-11ef-9a6d-a3e23704bcfa.html")</f>
        <v>https://www.newyorkupstate.com/central-ny/2024/09/gun-fired-outside-upstate-ny-elementary-school-during-open-house-unintentional-negligent.html
https://www.wktv.com/news/education/frankfort-schuyler-central-school-superintendent-responds-to-discharge-of-firearm-outside-elementary-school/article_e01cff96-6ecb-11ef-84a4-439135ab9d61.html
https://www.wktv.com/news/gun-discharged-at-evening-event-at-frankfort-schuyler-elementary/article_6c949e08-6a66-11ef-9a6d-a3e23704bcfa.html</v>
      </c>
      <c r="L293" s="8">
        <f ca="1">IFERROR(__xludf.DUMMYFUNCTION("""COMPUTED_VALUE"""),10)</f>
        <v>10</v>
      </c>
      <c r="M293" s="8" t="str">
        <f ca="1">IFERROR(__xludf.DUMMYFUNCTION("""COMPUTED_VALUE"""),"Local")</f>
        <v>Local</v>
      </c>
      <c r="N293" s="8">
        <f ca="1">IFERROR(__xludf.DUMMYFUNCTION("""COMPUTED_VALUE"""),4)</f>
        <v>4</v>
      </c>
      <c r="O293" s="8" t="str">
        <f ca="1">IFERROR(__xludf.DUMMYFUNCTION("""COMPUTED_VALUE"""),"Fall")</f>
        <v>Fall</v>
      </c>
      <c r="P293" s="8" t="str">
        <f ca="1">IFERROR(__xludf.DUMMYFUNCTION("""COMPUTED_VALUE"""),"Frankfort")</f>
        <v>Frankfort</v>
      </c>
      <c r="Q293" s="8" t="str">
        <f ca="1">IFERROR(__xludf.DUMMYFUNCTION("""COMPUTED_VALUE"""),"NY")</f>
        <v>NY</v>
      </c>
      <c r="R293" s="8" t="str">
        <f ca="1">IFERROR(__xludf.DUMMYFUNCTION("""COMPUTED_VALUE"""),"Elementary")</f>
        <v>Elementary</v>
      </c>
      <c r="S293" s="8" t="str">
        <f ca="1">IFERROR(__xludf.DUMMYFUNCTION("""COMPUTED_VALUE"""),"Inside School Building")</f>
        <v>Inside School Building</v>
      </c>
      <c r="T293" s="8" t="str">
        <f ca="1">IFERROR(__xludf.DUMMYFUNCTION("""COMPUTED_VALUE"""),"Inside School Building")</f>
        <v>Inside School Building</v>
      </c>
      <c r="U293" s="8" t="str">
        <f ca="1">IFERROR(__xludf.DUMMYFUNCTION("""COMPUTED_VALUE"""),"No")</f>
        <v>No</v>
      </c>
      <c r="V293" s="8" t="str">
        <f ca="1">IFERROR(__xludf.DUMMYFUNCTION("""COMPUTED_VALUE"""),"School Event")</f>
        <v>School Event</v>
      </c>
      <c r="W293" s="11">
        <f ca="1">IFERROR(__xludf.DUMMYFUNCTION("""COMPUTED_VALUE"""),0.75)</f>
        <v>0.75</v>
      </c>
      <c r="X293" s="8">
        <f ca="1">IFERROR(__xludf.DUMMYFUNCTION("""COMPUTED_VALUE"""),1)</f>
        <v>1</v>
      </c>
      <c r="Y293" s="12" t="str">
        <f ca="1">IFERROR(__xludf.DUMMYFUNCTION("""COMPUTED_VALUE"""),"Unidentified person accidentally fired concealed gun during back to school night causing minor injuries")</f>
        <v>Unidentified person accidentally fired concealed gun during back to school night causing minor injuries</v>
      </c>
      <c r="Z293" s="12" t="str">
        <f ca="1">IFERROR(__xludf.DUMMYFUNCTION("""COMPUTED_VALUE"""),"Frankfort Police are investigating the accidental firing of a gun at the Frankfort-Schuyler Elementary School on Tuesday evening. Police said it happened around 6 p.m. just as an open-house event was beginning. It was reported by the school resource offic"&amp;"er that the firearm was discharged on school property. Police said minor injuries were reported, and the incident is under investigation. There is no threat to the public or students.")</f>
        <v>Frankfort Police are investigating the accidental firing of a gun at the Frankfort-Schuyler Elementary School on Tuesday evening. Police said it happened around 6 p.m. just as an open-house event was beginning. It was reported by the school resource officer that the firearm was discharged on school property. Police said minor injuries were reported, and the incident is under investigation. There is no threat to the public or students.</v>
      </c>
      <c r="AA293" s="8" t="str">
        <f ca="1">IFERROR(__xludf.DUMMYFUNCTION("""COMPUTED_VALUE"""),"Accidental")</f>
        <v>Accidental</v>
      </c>
      <c r="AB293" s="8" t="str">
        <f ca="1">IFERROR(__xludf.DUMMYFUNCTION("""COMPUTED_VALUE"""),"Spontaneous")</f>
        <v>Spontaneous</v>
      </c>
      <c r="AC293" s="8" t="str">
        <f ca="1">IFERROR(__xludf.DUMMYFUNCTION("""COMPUTED_VALUE"""),"Yes")</f>
        <v>Yes</v>
      </c>
      <c r="AD293" s="8" t="str">
        <f ca="1">IFERROR(__xludf.DUMMYFUNCTION("""COMPUTED_VALUE"""),"Neither")</f>
        <v>Neither</v>
      </c>
      <c r="AE293" s="8" t="str">
        <f ca="1">IFERROR(__xludf.DUMMYFUNCTION("""COMPUTED_VALUE"""),"No")</f>
        <v>No</v>
      </c>
      <c r="AF293" s="8"/>
      <c r="AG293" s="8" t="str">
        <f ca="1">IFERROR(__xludf.DUMMYFUNCTION("""COMPUTED_VALUE"""),"No")</f>
        <v>No</v>
      </c>
      <c r="AH293" s="8" t="str">
        <f ca="1">IFERROR(__xludf.DUMMYFUNCTION("""COMPUTED_VALUE"""),"No")</f>
        <v>No</v>
      </c>
      <c r="AI293" s="8" t="str">
        <f ca="1">IFERROR(__xludf.DUMMYFUNCTION("""COMPUTED_VALUE"""),"No")</f>
        <v>No</v>
      </c>
      <c r="AJ293" s="8" t="str">
        <f ca="1">IFERROR(__xludf.DUMMYFUNCTION("""COMPUTED_VALUE"""),"No")</f>
        <v>No</v>
      </c>
      <c r="AK293" s="8" t="str">
        <f ca="1">IFERROR(__xludf.DUMMYFUNCTION("""COMPUTED_VALUE"""),"No")</f>
        <v>No</v>
      </c>
      <c r="AL293" s="8" t="str">
        <f ca="1">IFERROR(__xludf.DUMMYFUNCTION("""COMPUTED_VALUE"""),"No")</f>
        <v>No</v>
      </c>
      <c r="AM293" s="8" t="str">
        <f ca="1">IFERROR(__xludf.DUMMYFUNCTION("""COMPUTED_VALUE"""),"No")</f>
        <v>No</v>
      </c>
      <c r="AN293" s="8" t="str">
        <f ca="1">IFERROR(__xludf.DUMMYFUNCTION("""COMPUTED_VALUE"""),"Single Room")</f>
        <v>Single Room</v>
      </c>
      <c r="AO293" s="8" t="str">
        <f ca="1">IFERROR(__xludf.DUMMYFUNCTION("""COMPUTED_VALUE"""),"No")</f>
        <v>No</v>
      </c>
      <c r="AP293" s="8" t="str">
        <f ca="1">IFERROR(__xludf.DUMMYFUNCTION("""COMPUTED_VALUE"""),"Yes")</f>
        <v>Yes</v>
      </c>
      <c r="AQ293" s="8"/>
      <c r="AR293" s="8" t="str">
        <f ca="1">IFERROR(__xludf.DUMMYFUNCTION("""COMPUTED_VALUE"""),"Failed")</f>
        <v>Failed</v>
      </c>
      <c r="AS293" s="8">
        <f ca="1">IFERROR(__xludf.DUMMYFUNCTION("""COMPUTED_VALUE"""),1)</f>
        <v>1</v>
      </c>
      <c r="AT293" s="8"/>
      <c r="AU293" s="8">
        <f ca="1">IFERROR(__xludf.DUMMYFUNCTION("""COMPUTED_VALUE"""),43.029467)</f>
        <v>43.029466999999997</v>
      </c>
      <c r="AV293" s="8">
        <f ca="1">IFERROR(__xludf.DUMMYFUNCTION("""COMPUTED_VALUE"""),-75.073217)</f>
        <v>-75.073217</v>
      </c>
      <c r="AW293" s="8" t="str">
        <f ca="1">IFERROR(__xludf.DUMMYFUNCTION("""COMPUTED_VALUE"""),"Single building indoor hallway")</f>
        <v>Single building indoor hallway</v>
      </c>
      <c r="AX293" s="8">
        <f ca="1">IFERROR(__xludf.DUMMYFUNCTION("""COMPUTED_VALUE"""),13340)</f>
        <v>13340</v>
      </c>
    </row>
    <row r="294" spans="1:50" ht="135" x14ac:dyDescent="0.2">
      <c r="A294" s="8" t="str">
        <f ca="1">IFERROR(__xludf.DUMMYFUNCTION("""COMPUTED_VALUE"""),"20240902MDWHP")</f>
        <v>20240902MDWHP</v>
      </c>
      <c r="B294" s="8">
        <f ca="1">IFERROR(__xludf.DUMMYFUNCTION("""COMPUTED_VALUE"""),9)</f>
        <v>9</v>
      </c>
      <c r="C294" s="8">
        <f ca="1">IFERROR(__xludf.DUMMYFUNCTION("""COMPUTED_VALUE"""),2)</f>
        <v>2</v>
      </c>
      <c r="D294" s="8">
        <f ca="1">IFERROR(__xludf.DUMMYFUNCTION("""COMPUTED_VALUE"""),2024)</f>
        <v>2024</v>
      </c>
      <c r="E294" s="9">
        <f ca="1">IFERROR(__xludf.DUMMYFUNCTION("""COMPUTED_VALUE"""),45537)</f>
        <v>45537</v>
      </c>
      <c r="F294" s="8" t="str">
        <f ca="1">IFERROR(__xludf.DUMMYFUNCTION("""COMPUTED_VALUE"""),"White Oak School")</f>
        <v>White Oak School</v>
      </c>
      <c r="G294" s="8">
        <f ca="1">IFERROR(__xludf.DUMMYFUNCTION("""COMPUTED_VALUE"""),1)</f>
        <v>1</v>
      </c>
      <c r="H294" s="8">
        <f ca="1">IFERROR(__xludf.DUMMYFUNCTION("""COMPUTED_VALUE"""),1)</f>
        <v>1</v>
      </c>
      <c r="I294" s="8">
        <f ca="1">IFERROR(__xludf.DUMMYFUNCTION("""COMPUTED_VALUE"""),2)</f>
        <v>2</v>
      </c>
      <c r="J294" s="8">
        <f ca="1">IFERROR(__xludf.DUMMYFUNCTION("""COMPUTED_VALUE"""),0)</f>
        <v>0</v>
      </c>
      <c r="K294" s="8" t="str">
        <f ca="1">IFERROR(__xludf.DUMMYFUNCTION("""COMPUTED_VALUE"""),"https://www.cbsnews.com/baltimore/news/person-dead-another-injured-after-shooting-at-white-oak-school-in-parkville/
https://www.cbsnews.com/baltimore/news/suspect-charged-in-labor-day-shooting-that-left-man-dead-son-injured/")</f>
        <v>https://www.cbsnews.com/baltimore/news/person-dead-another-injured-after-shooting-at-white-oak-school-in-parkville/
https://www.cbsnews.com/baltimore/news/suspect-charged-in-labor-day-shooting-that-left-man-dead-son-injured/</v>
      </c>
      <c r="L294" s="8">
        <f ca="1">IFERROR(__xludf.DUMMYFUNCTION("""COMPUTED_VALUE"""),5)</f>
        <v>5</v>
      </c>
      <c r="M294" s="8" t="str">
        <f ca="1">IFERROR(__xludf.DUMMYFUNCTION("""COMPUTED_VALUE"""),"National")</f>
        <v>National</v>
      </c>
      <c r="N294" s="8">
        <f ca="1">IFERROR(__xludf.DUMMYFUNCTION("""COMPUTED_VALUE"""),4)</f>
        <v>4</v>
      </c>
      <c r="O294" s="8" t="str">
        <f ca="1">IFERROR(__xludf.DUMMYFUNCTION("""COMPUTED_VALUE"""),"Fall")</f>
        <v>Fall</v>
      </c>
      <c r="P294" s="8" t="str">
        <f ca="1">IFERROR(__xludf.DUMMYFUNCTION("""COMPUTED_VALUE"""),"Parkville")</f>
        <v>Parkville</v>
      </c>
      <c r="Q294" s="8" t="str">
        <f ca="1">IFERROR(__xludf.DUMMYFUNCTION("""COMPUTED_VALUE"""),"MD")</f>
        <v>MD</v>
      </c>
      <c r="R294" s="8" t="str">
        <f ca="1">IFERROR(__xludf.DUMMYFUNCTION("""COMPUTED_VALUE"""),"Elementary")</f>
        <v>Elementary</v>
      </c>
      <c r="S294" s="8" t="str">
        <f ca="1">IFERROR(__xludf.DUMMYFUNCTION("""COMPUTED_VALUE"""),"Beside Building")</f>
        <v>Beside Building</v>
      </c>
      <c r="T294" s="8" t="str">
        <f ca="1">IFERROR(__xludf.DUMMYFUNCTION("""COMPUTED_VALUE"""),"Outside on School Property")</f>
        <v>Outside on School Property</v>
      </c>
      <c r="U294" s="8" t="str">
        <f ca="1">IFERROR(__xludf.DUMMYFUNCTION("""COMPUTED_VALUE"""),"No")</f>
        <v>No</v>
      </c>
      <c r="V294" s="8" t="str">
        <f ca="1">IFERROR(__xludf.DUMMYFUNCTION("""COMPUTED_VALUE"""),"Not a School Day")</f>
        <v>Not a School Day</v>
      </c>
      <c r="W294" s="11">
        <f ca="1">IFERROR(__xludf.DUMMYFUNCTION("""COMPUTED_VALUE"""),0.680555555555555)</f>
        <v>0.68055555555555503</v>
      </c>
      <c r="X294" s="8">
        <f ca="1">IFERROR(__xludf.DUMMYFUNCTION("""COMPUTED_VALUE"""),1)</f>
        <v>1</v>
      </c>
      <c r="Y294" s="12" t="str">
        <f ca="1">IFERROR(__xludf.DUMMYFUNCTION("""COMPUTED_VALUE"""),"Man fatally shot beside the school, second person wounded")</f>
        <v>Man fatally shot beside the school, second person wounded</v>
      </c>
      <c r="Z294" s="12" t="str">
        <f ca="1">IFERROR(__xludf.DUMMYFUNCTION("""COMPUTED_VALUE"""),"Police responded to the 8400 block of Leefield Road around 4:20 p.m. Monday, after reports of shots fired. The school was closed on Monday for the Labor Day holiday. When police arrived, they found Romy Bogier, 43, suffering from a gunshot wound to the up"&amp;"per body. He was taken to a hospital where he was pronounced dead. A second man was taken to a local hospital with non-life-threatening injuries. The victim killed was found near the school dumpster.")</f>
        <v>Police responded to the 8400 block of Leefield Road around 4:20 p.m. Monday, after reports of shots fired. The school was closed on Monday for the Labor Day holiday. When police arrived, they found Romy Bogier, 43, suffering from a gunshot wound to the upper body. He was taken to a hospital where he was pronounced dead. A second man was taken to a local hospital with non-life-threatening injuries. The victim killed was found near the school dumpster.</v>
      </c>
      <c r="AA294" s="8"/>
      <c r="AB294" s="8"/>
      <c r="AC294" s="8"/>
      <c r="AD294" s="8" t="str">
        <f ca="1">IFERROR(__xludf.DUMMYFUNCTION("""COMPUTED_VALUE"""),"Victims Targeted")</f>
        <v>Victims Targeted</v>
      </c>
      <c r="AE294" s="8"/>
      <c r="AF294" s="8"/>
      <c r="AG294" s="8" t="str">
        <f ca="1">IFERROR(__xludf.DUMMYFUNCTION("""COMPUTED_VALUE"""),"No")</f>
        <v>No</v>
      </c>
      <c r="AH294" s="8" t="str">
        <f ca="1">IFERROR(__xludf.DUMMYFUNCTION("""COMPUTED_VALUE"""),"No")</f>
        <v>No</v>
      </c>
      <c r="AI294" s="8" t="str">
        <f ca="1">IFERROR(__xludf.DUMMYFUNCTION("""COMPUTED_VALUE"""),"No")</f>
        <v>No</v>
      </c>
      <c r="AJ294" s="8" t="str">
        <f ca="1">IFERROR(__xludf.DUMMYFUNCTION("""COMPUTED_VALUE"""),"No")</f>
        <v>No</v>
      </c>
      <c r="AK294" s="8" t="str">
        <f ca="1">IFERROR(__xludf.DUMMYFUNCTION("""COMPUTED_VALUE"""),"No")</f>
        <v>No</v>
      </c>
      <c r="AL294" s="8"/>
      <c r="AM294" s="8" t="str">
        <f ca="1">IFERROR(__xludf.DUMMYFUNCTION("""COMPUTED_VALUE"""),"No")</f>
        <v>No</v>
      </c>
      <c r="AN294" s="8" t="str">
        <f ca="1">IFERROR(__xludf.DUMMYFUNCTION("""COMPUTED_VALUE"""),"Outside")</f>
        <v>Outside</v>
      </c>
      <c r="AO294" s="8" t="str">
        <f ca="1">IFERROR(__xludf.DUMMYFUNCTION("""COMPUTED_VALUE"""),"No")</f>
        <v>No</v>
      </c>
      <c r="AP294" s="8"/>
      <c r="AQ294" s="8"/>
      <c r="AR294" s="8" t="str">
        <f ca="1">IFERROR(__xludf.DUMMYFUNCTION("""COMPUTED_VALUE"""),"Outside/Off-Property")</f>
        <v>Outside/Off-Property</v>
      </c>
      <c r="AS294" s="8">
        <f ca="1">IFERROR(__xludf.DUMMYFUNCTION("""COMPUTED_VALUE"""),3)</f>
        <v>3</v>
      </c>
      <c r="AT294" s="8" t="str">
        <f ca="1">IFERROR(__xludf.DUMMYFUNCTION("""COMPUTED_VALUE"""),"No")</f>
        <v>No</v>
      </c>
      <c r="AU294" s="8">
        <f ca="1">IFERROR(__xludf.DUMMYFUNCTION("""COMPUTED_VALUE"""),39.390309)</f>
        <v>39.390309000000002</v>
      </c>
      <c r="AV294" s="8">
        <f ca="1">IFERROR(__xludf.DUMMYFUNCTION("""COMPUTED_VALUE"""),-76.552348)</f>
        <v>-76.552347999999995</v>
      </c>
      <c r="AW294" s="8" t="str">
        <f ca="1">IFERROR(__xludf.DUMMYFUNCTION("""COMPUTED_VALUE"""),"Single building indoor hallway")</f>
        <v>Single building indoor hallway</v>
      </c>
      <c r="AX294" s="8">
        <f ca="1">IFERROR(__xludf.DUMMYFUNCTION("""COMPUTED_VALUE"""),21234)</f>
        <v>21234</v>
      </c>
    </row>
    <row r="295" spans="1:50" ht="135" x14ac:dyDescent="0.2">
      <c r="A295" s="8" t="str">
        <f ca="1">IFERROR(__xludf.DUMMYFUNCTION("""COMPUTED_VALUE"""),"20240830MIROR")</f>
        <v>20240830MIROR</v>
      </c>
      <c r="B295" s="8">
        <f ca="1">IFERROR(__xludf.DUMMYFUNCTION("""COMPUTED_VALUE"""),8)</f>
        <v>8</v>
      </c>
      <c r="C295" s="8">
        <f ca="1">IFERROR(__xludf.DUMMYFUNCTION("""COMPUTED_VALUE"""),30)</f>
        <v>30</v>
      </c>
      <c r="D295" s="8">
        <f ca="1">IFERROR(__xludf.DUMMYFUNCTION("""COMPUTED_VALUE"""),2024)</f>
        <v>2024</v>
      </c>
      <c r="E295" s="9">
        <f ca="1">IFERROR(__xludf.DUMMYFUNCTION("""COMPUTED_VALUE"""),45534)</f>
        <v>45534</v>
      </c>
      <c r="F295" s="8" t="str">
        <f ca="1">IFERROR(__xludf.DUMMYFUNCTION("""COMPUTED_VALUE"""),"Romulus Middle School")</f>
        <v>Romulus Middle School</v>
      </c>
      <c r="G295" s="8">
        <f ca="1">IFERROR(__xludf.DUMMYFUNCTION("""COMPUTED_VALUE"""),0)</f>
        <v>0</v>
      </c>
      <c r="H295" s="8">
        <f ca="1">IFERROR(__xludf.DUMMYFUNCTION("""COMPUTED_VALUE"""),0)</f>
        <v>0</v>
      </c>
      <c r="I295" s="8">
        <f ca="1">IFERROR(__xludf.DUMMYFUNCTION("""COMPUTED_VALUE"""),0)</f>
        <v>0</v>
      </c>
      <c r="J295" s="8">
        <f ca="1">IFERROR(__xludf.DUMMYFUNCTION("""COMPUTED_VALUE"""),0)</f>
        <v>0</v>
      </c>
      <c r="K295" s="10" t="str">
        <f ca="1">IFERROR(__xludf.DUMMYFUNCTION("""COMPUTED_VALUE"""),"https://www.clickondetroit.com/news/local/2024/09/01/romulus-police-say-shots-fired-in-parking-lot-after-high-school-football-game/")</f>
        <v>https://www.clickondetroit.com/news/local/2024/09/01/romulus-police-say-shots-fired-in-parking-lot-after-high-school-football-game/</v>
      </c>
      <c r="L295" s="8">
        <f ca="1">IFERROR(__xludf.DUMMYFUNCTION("""COMPUTED_VALUE"""),1)</f>
        <v>1</v>
      </c>
      <c r="M295" s="8" t="str">
        <f ca="1">IFERROR(__xludf.DUMMYFUNCTION("""COMPUTED_VALUE"""),"Local")</f>
        <v>Local</v>
      </c>
      <c r="N295" s="8">
        <f ca="1">IFERROR(__xludf.DUMMYFUNCTION("""COMPUTED_VALUE"""),3)</f>
        <v>3</v>
      </c>
      <c r="O295" s="8" t="str">
        <f ca="1">IFERROR(__xludf.DUMMYFUNCTION("""COMPUTED_VALUE"""),"Summer")</f>
        <v>Summer</v>
      </c>
      <c r="P295" s="8" t="str">
        <f ca="1">IFERROR(__xludf.DUMMYFUNCTION("""COMPUTED_VALUE"""),"Romulus")</f>
        <v>Romulus</v>
      </c>
      <c r="Q295" s="8" t="str">
        <f ca="1">IFERROR(__xludf.DUMMYFUNCTION("""COMPUTED_VALUE"""),"MI")</f>
        <v>MI</v>
      </c>
      <c r="R295" s="8" t="str">
        <f ca="1">IFERROR(__xludf.DUMMYFUNCTION("""COMPUTED_VALUE"""),"Middle")</f>
        <v>Middle</v>
      </c>
      <c r="S295" s="8" t="str">
        <f ca="1">IFERROR(__xludf.DUMMYFUNCTION("""COMPUTED_VALUE"""),"Parking Lot")</f>
        <v>Parking Lot</v>
      </c>
      <c r="T295" s="8" t="str">
        <f ca="1">IFERROR(__xludf.DUMMYFUNCTION("""COMPUTED_VALUE"""),"Outside on School Property")</f>
        <v>Outside on School Property</v>
      </c>
      <c r="U295" s="8" t="str">
        <f ca="1">IFERROR(__xludf.DUMMYFUNCTION("""COMPUTED_VALUE"""),"No")</f>
        <v>No</v>
      </c>
      <c r="V295" s="8" t="str">
        <f ca="1">IFERROR(__xludf.DUMMYFUNCTION("""COMPUTED_VALUE"""),"Sport Event")</f>
        <v>Sport Event</v>
      </c>
      <c r="W295" s="11">
        <f ca="1">IFERROR(__xludf.DUMMYFUNCTION("""COMPUTED_VALUE"""),0.900694444444444)</f>
        <v>0.90069444444444402</v>
      </c>
      <c r="X295" s="8">
        <f ca="1">IFERROR(__xludf.DUMMYFUNCTION("""COMPUTED_VALUE"""),1)</f>
        <v>1</v>
      </c>
      <c r="Y295" s="12" t="str">
        <f ca="1">IFERROR(__xludf.DUMMYFUNCTION("""COMPUTED_VALUE"""),"Shots fired during fight in the school parking lot after the football game")</f>
        <v>Shots fired during fight in the school parking lot after the football game</v>
      </c>
      <c r="Z295" s="12" t="str">
        <f ca="1">IFERROR(__xludf.DUMMYFUNCTION("""COMPUTED_VALUE"""),"Police said shots were fired at 9:37 p.m. on Friday, Aug. 30, 2024, after a football game at Romulus Middle School. Several fights broke out as people were leaving the game and officers heard gunshots from the west side of the parking lot. Police said sev"&amp;"eral people ranging in age from 13 to 17 fled the scene before they were located and taken into custody. A handgun was recovered, and investigating officers found spent casings at the initial scene. Rounds had been discharged into the ground.")</f>
        <v>Police said shots were fired at 9:37 p.m. on Friday, Aug. 30, 2024, after a football game at Romulus Middle School. Several fights broke out as people were leaving the game and officers heard gunshots from the west side of the parking lot. Police said several people ranging in age from 13 to 17 fled the scene before they were located and taken into custody. A handgun was recovered, and investigating officers found spent casings at the initial scene. Rounds had been discharged into the ground.</v>
      </c>
      <c r="AA295" s="8" t="str">
        <f ca="1">IFERROR(__xludf.DUMMYFUNCTION("""COMPUTED_VALUE"""),"Escalation of Dispute")</f>
        <v>Escalation of Dispute</v>
      </c>
      <c r="AB295" s="8" t="str">
        <f ca="1">IFERROR(__xludf.DUMMYFUNCTION("""COMPUTED_VALUE"""),"Spontaneous")</f>
        <v>Spontaneous</v>
      </c>
      <c r="AC295" s="8" t="str">
        <f ca="1">IFERROR(__xludf.DUMMYFUNCTION("""COMPUTED_VALUE"""),"Yes")</f>
        <v>Yes</v>
      </c>
      <c r="AD295" s="8" t="str">
        <f ca="1">IFERROR(__xludf.DUMMYFUNCTION("""COMPUTED_VALUE"""),"Victims Targeted")</f>
        <v>Victims Targeted</v>
      </c>
      <c r="AE295" s="8" t="str">
        <f ca="1">IFERROR(__xludf.DUMMYFUNCTION("""COMPUTED_VALUE"""),"No")</f>
        <v>No</v>
      </c>
      <c r="AF295" s="8"/>
      <c r="AG295" s="8" t="str">
        <f ca="1">IFERROR(__xludf.DUMMYFUNCTION("""COMPUTED_VALUE"""),"No")</f>
        <v>No</v>
      </c>
      <c r="AH295" s="8" t="str">
        <f ca="1">IFERROR(__xludf.DUMMYFUNCTION("""COMPUTED_VALUE"""),"No")</f>
        <v>No</v>
      </c>
      <c r="AI295" s="8" t="str">
        <f ca="1">IFERROR(__xludf.DUMMYFUNCTION("""COMPUTED_VALUE"""),"No")</f>
        <v>No</v>
      </c>
      <c r="AJ295" s="8" t="str">
        <f ca="1">IFERROR(__xludf.DUMMYFUNCTION("""COMPUTED_VALUE"""),"No")</f>
        <v>No</v>
      </c>
      <c r="AK295" s="8" t="str">
        <f ca="1">IFERROR(__xludf.DUMMYFUNCTION("""COMPUTED_VALUE"""),"No")</f>
        <v>No</v>
      </c>
      <c r="AL295" s="8" t="str">
        <f ca="1">IFERROR(__xludf.DUMMYFUNCTION("""COMPUTED_VALUE"""),"No")</f>
        <v>No</v>
      </c>
      <c r="AM295" s="8" t="str">
        <f ca="1">IFERROR(__xludf.DUMMYFUNCTION("""COMPUTED_VALUE"""),"No")</f>
        <v>No</v>
      </c>
      <c r="AN295" s="8" t="str">
        <f ca="1">IFERROR(__xludf.DUMMYFUNCTION("""COMPUTED_VALUE"""),"Outside")</f>
        <v>Outside</v>
      </c>
      <c r="AO295" s="8" t="str">
        <f ca="1">IFERROR(__xludf.DUMMYFUNCTION("""COMPUTED_VALUE"""),"No")</f>
        <v>No</v>
      </c>
      <c r="AP295" s="8"/>
      <c r="AQ295" s="8"/>
      <c r="AR295" s="8" t="str">
        <f ca="1">IFERROR(__xludf.DUMMYFUNCTION("""COMPUTED_VALUE"""),"Outside/Off-Property")</f>
        <v>Outside/Off-Property</v>
      </c>
      <c r="AS295" s="8">
        <f ca="1">IFERROR(__xludf.DUMMYFUNCTION("""COMPUTED_VALUE"""),99)</f>
        <v>99</v>
      </c>
      <c r="AT295" s="8" t="str">
        <f ca="1">IFERROR(__xludf.DUMMYFUNCTION("""COMPUTED_VALUE"""),"No")</f>
        <v>No</v>
      </c>
      <c r="AU295" s="8">
        <f ca="1">IFERROR(__xludf.DUMMYFUNCTION("""COMPUTED_VALUE"""),42.239662)</f>
        <v>42.239662000000003</v>
      </c>
      <c r="AV295" s="8">
        <f ca="1">IFERROR(__xludf.DUMMYFUNCTION("""COMPUTED_VALUE"""),-83.405255)</f>
        <v>-83.405254999999997</v>
      </c>
      <c r="AW295" s="8" t="str">
        <f ca="1">IFERROR(__xludf.DUMMYFUNCTION("""COMPUTED_VALUE"""),"Single building indoor hallway")</f>
        <v>Single building indoor hallway</v>
      </c>
      <c r="AX295" s="8">
        <f ca="1">IFERROR(__xludf.DUMMYFUNCTION("""COMPUTED_VALUE"""),48174)</f>
        <v>48174</v>
      </c>
    </row>
    <row r="296" spans="1:50" ht="180" x14ac:dyDescent="0.2">
      <c r="A296" s="8" t="str">
        <f ca="1">IFERROR(__xludf.DUMMYFUNCTION("""COMPUTED_VALUE"""),"20240830NJPAW")</f>
        <v>20240830NJPAW</v>
      </c>
      <c r="B296" s="8">
        <f ca="1">IFERROR(__xludf.DUMMYFUNCTION("""COMPUTED_VALUE"""),8)</f>
        <v>8</v>
      </c>
      <c r="C296" s="8">
        <f ca="1">IFERROR(__xludf.DUMMYFUNCTION("""COMPUTED_VALUE"""),30)</f>
        <v>30</v>
      </c>
      <c r="D296" s="8">
        <f ca="1">IFERROR(__xludf.DUMMYFUNCTION("""COMPUTED_VALUE"""),2024)</f>
        <v>2024</v>
      </c>
      <c r="E296" s="9">
        <f ca="1">IFERROR(__xludf.DUMMYFUNCTION("""COMPUTED_VALUE"""),45534)</f>
        <v>45534</v>
      </c>
      <c r="F296" s="8" t="str">
        <f ca="1">IFERROR(__xludf.DUMMYFUNCTION("""COMPUTED_VALUE"""),"Passaic County Technical Institute")</f>
        <v>Passaic County Technical Institute</v>
      </c>
      <c r="G296" s="8">
        <f ca="1">IFERROR(__xludf.DUMMYFUNCTION("""COMPUTED_VALUE"""),0)</f>
        <v>0</v>
      </c>
      <c r="H296" s="8">
        <f ca="1">IFERROR(__xludf.DUMMYFUNCTION("""COMPUTED_VALUE"""),2)</f>
        <v>2</v>
      </c>
      <c r="I296" s="8">
        <f ca="1">IFERROR(__xludf.DUMMYFUNCTION("""COMPUTED_VALUE"""),2)</f>
        <v>2</v>
      </c>
      <c r="J296" s="8">
        <f ca="1">IFERROR(__xludf.DUMMYFUNCTION("""COMPUTED_VALUE"""),0)</f>
        <v>0</v>
      </c>
      <c r="K296" s="8" t="str">
        <f ca="1">IFERROR(__xludf.DUMMYFUNCTION("""COMPUTED_VALUE"""),"https://www.cbsnews.com/newyork/news/pcti-shooting-football-game/
https://www.northjersey.com/story/news/passaic/2024/08/31/passaic-tech-football-shooting-two-injured-wayne/75021884007/")</f>
        <v>https://www.cbsnews.com/newyork/news/pcti-shooting-football-game/
https://www.northjersey.com/story/news/passaic/2024/08/31/passaic-tech-football-shooting-two-injured-wayne/75021884007/</v>
      </c>
      <c r="L296" s="8">
        <f ca="1">IFERROR(__xludf.DUMMYFUNCTION("""COMPUTED_VALUE"""),10)</f>
        <v>10</v>
      </c>
      <c r="M296" s="8" t="str">
        <f ca="1">IFERROR(__xludf.DUMMYFUNCTION("""COMPUTED_VALUE"""),"Regional")</f>
        <v>Regional</v>
      </c>
      <c r="N296" s="8">
        <f ca="1">IFERROR(__xludf.DUMMYFUNCTION("""COMPUTED_VALUE"""),4)</f>
        <v>4</v>
      </c>
      <c r="O296" s="8" t="str">
        <f ca="1">IFERROR(__xludf.DUMMYFUNCTION("""COMPUTED_VALUE"""),"Summer")</f>
        <v>Summer</v>
      </c>
      <c r="P296" s="8" t="str">
        <f ca="1">IFERROR(__xludf.DUMMYFUNCTION("""COMPUTED_VALUE"""),"Wayne")</f>
        <v>Wayne</v>
      </c>
      <c r="Q296" s="8" t="str">
        <f ca="1">IFERROR(__xludf.DUMMYFUNCTION("""COMPUTED_VALUE"""),"NJ")</f>
        <v>NJ</v>
      </c>
      <c r="R296" s="8" t="str">
        <f ca="1">IFERROR(__xludf.DUMMYFUNCTION("""COMPUTED_VALUE"""),"High")</f>
        <v>High</v>
      </c>
      <c r="S296" s="8" t="str">
        <f ca="1">IFERROR(__xludf.DUMMYFUNCTION("""COMPUTED_VALUE"""),"Parking Lot")</f>
        <v>Parking Lot</v>
      </c>
      <c r="T296" s="8" t="str">
        <f ca="1">IFERROR(__xludf.DUMMYFUNCTION("""COMPUTED_VALUE"""),"Outside on School Property")</f>
        <v>Outside on School Property</v>
      </c>
      <c r="U296" s="8" t="str">
        <f ca="1">IFERROR(__xludf.DUMMYFUNCTION("""COMPUTED_VALUE"""),"No")</f>
        <v>No</v>
      </c>
      <c r="V296" s="8" t="str">
        <f ca="1">IFERROR(__xludf.DUMMYFUNCTION("""COMPUTED_VALUE"""),"Sport Event")</f>
        <v>Sport Event</v>
      </c>
      <c r="W296" s="11">
        <f ca="1">IFERROR(__xludf.DUMMYFUNCTION("""COMPUTED_VALUE"""),0.8125)</f>
        <v>0.8125</v>
      </c>
      <c r="X296" s="8">
        <f ca="1">IFERROR(__xludf.DUMMYFUNCTION("""COMPUTED_VALUE"""),1)</f>
        <v>1</v>
      </c>
      <c r="Y296" s="12" t="str">
        <f ca="1">IFERROR(__xludf.DUMMYFUNCTION("""COMPUTED_VALUE"""),"Two teens shot during high school football game")</f>
        <v>Two teens shot during high school football game</v>
      </c>
      <c r="Z296" s="12" t="str">
        <f ca="1">IFERROR(__xludf.DUMMYFUNCTION("""COMPUTED_VALUE"""),"Witnesses reported hearing at least half a dozen shots echo across the parking lot as the football game against Lenape High School concluded. Investigators said the gunman injured a 15-year-old and a 16-year-old, who were sent to St. Joseph's University M"&amp;"edical Center in Paterson. Both victims were still in the hospital Saturday. They are expected to survive. The 16-year-old suspect was taken into custody Friday night. The Passaic County prosecutor's office has charged the suspect as a juvenile for multip"&amp;"le crimes, including attempted murder. The suspect will be tried in family court. Investigators are still working to uncover and understand a motive.")</f>
        <v>Witnesses reported hearing at least half a dozen shots echo across the parking lot as the football game against Lenape High School concluded. Investigators said the gunman injured a 15-year-old and a 16-year-old, who were sent to St. Joseph's University Medical Center in Paterson. Both victims were still in the hospital Saturday. They are expected to survive. The 16-year-old suspect was taken into custody Friday night. The Passaic County prosecutor's office has charged the suspect as a juvenile for multiple crimes, including attempted murder. The suspect will be tried in family court. Investigators are still working to uncover and understand a motive.</v>
      </c>
      <c r="AA296" s="8"/>
      <c r="AB296" s="8"/>
      <c r="AC296" s="8" t="str">
        <f ca="1">IFERROR(__xludf.DUMMYFUNCTION("""COMPUTED_VALUE"""),"Yes")</f>
        <v>Yes</v>
      </c>
      <c r="AD296" s="8"/>
      <c r="AE296" s="8" t="str">
        <f ca="1">IFERROR(__xludf.DUMMYFUNCTION("""COMPUTED_VALUE"""),"No")</f>
        <v>No</v>
      </c>
      <c r="AF296" s="8"/>
      <c r="AG296" s="8" t="str">
        <f ca="1">IFERROR(__xludf.DUMMYFUNCTION("""COMPUTED_VALUE"""),"No")</f>
        <v>No</v>
      </c>
      <c r="AH296" s="8" t="str">
        <f ca="1">IFERROR(__xludf.DUMMYFUNCTION("""COMPUTED_VALUE"""),"No")</f>
        <v>No</v>
      </c>
      <c r="AI296" s="8" t="str">
        <f ca="1">IFERROR(__xludf.DUMMYFUNCTION("""COMPUTED_VALUE"""),"No")</f>
        <v>No</v>
      </c>
      <c r="AJ296" s="8" t="str">
        <f ca="1">IFERROR(__xludf.DUMMYFUNCTION("""COMPUTED_VALUE"""),"No")</f>
        <v>No</v>
      </c>
      <c r="AK296" s="8" t="str">
        <f ca="1">IFERROR(__xludf.DUMMYFUNCTION("""COMPUTED_VALUE"""),"No")</f>
        <v>No</v>
      </c>
      <c r="AL296" s="8" t="str">
        <f ca="1">IFERROR(__xludf.DUMMYFUNCTION("""COMPUTED_VALUE"""),"No")</f>
        <v>No</v>
      </c>
      <c r="AM296" s="8" t="str">
        <f ca="1">IFERROR(__xludf.DUMMYFUNCTION("""COMPUTED_VALUE"""),"No")</f>
        <v>No</v>
      </c>
      <c r="AN296" s="8" t="str">
        <f ca="1">IFERROR(__xludf.DUMMYFUNCTION("""COMPUTED_VALUE"""),"Outside")</f>
        <v>Outside</v>
      </c>
      <c r="AO296" s="8" t="str">
        <f ca="1">IFERROR(__xludf.DUMMYFUNCTION("""COMPUTED_VALUE"""),"No")</f>
        <v>No</v>
      </c>
      <c r="AP296" s="8"/>
      <c r="AQ296" s="8"/>
      <c r="AR296" s="8" t="str">
        <f ca="1">IFERROR(__xludf.DUMMYFUNCTION("""COMPUTED_VALUE"""),"Outside/Off-Property")</f>
        <v>Outside/Off-Property</v>
      </c>
      <c r="AS296" s="8">
        <f ca="1">IFERROR(__xludf.DUMMYFUNCTION("""COMPUTED_VALUE"""),6)</f>
        <v>6</v>
      </c>
      <c r="AT296" s="8" t="str">
        <f ca="1">IFERROR(__xludf.DUMMYFUNCTION("""COMPUTED_VALUE"""),"No")</f>
        <v>No</v>
      </c>
      <c r="AU296" s="8">
        <f ca="1">IFERROR(__xludf.DUMMYFUNCTION("""COMPUTED_VALUE"""),40.932397)</f>
        <v>40.932397000000002</v>
      </c>
      <c r="AV296" s="8">
        <f ca="1">IFERROR(__xludf.DUMMYFUNCTION("""COMPUTED_VALUE"""),-74.20341)</f>
        <v>-74.203410000000005</v>
      </c>
      <c r="AW296" s="8" t="str">
        <f ca="1">IFERROR(__xludf.DUMMYFUNCTION("""COMPUTED_VALUE"""),"Multiple detached buildings")</f>
        <v>Multiple detached buildings</v>
      </c>
      <c r="AX296" s="8">
        <f ca="1">IFERROR(__xludf.DUMMYFUNCTION("""COMPUTED_VALUE"""),7470)</f>
        <v>7470</v>
      </c>
    </row>
    <row r="297" spans="1:50" ht="285" x14ac:dyDescent="0.2">
      <c r="A297" s="8" t="str">
        <f ca="1">IFERROR(__xludf.DUMMYFUNCTION("""COMPUTED_VALUE"""),"20240830PAWOC")</f>
        <v>20240830PAWOC</v>
      </c>
      <c r="B297" s="8">
        <f ca="1">IFERROR(__xludf.DUMMYFUNCTION("""COMPUTED_VALUE"""),8)</f>
        <v>8</v>
      </c>
      <c r="C297" s="8">
        <f ca="1">IFERROR(__xludf.DUMMYFUNCTION("""COMPUTED_VALUE"""),30)</f>
        <v>30</v>
      </c>
      <c r="D297" s="8">
        <f ca="1">IFERROR(__xludf.DUMMYFUNCTION("""COMPUTED_VALUE"""),2024)</f>
        <v>2024</v>
      </c>
      <c r="E297" s="9">
        <f ca="1">IFERROR(__xludf.DUMMYFUNCTION("""COMPUTED_VALUE"""),45534)</f>
        <v>45534</v>
      </c>
      <c r="F297" s="8" t="str">
        <f ca="1">IFERROR(__xludf.DUMMYFUNCTION("""COMPUTED_VALUE"""),"Woodland Hills High School")</f>
        <v>Woodland Hills High School</v>
      </c>
      <c r="G297" s="8">
        <f ca="1">IFERROR(__xludf.DUMMYFUNCTION("""COMPUTED_VALUE"""),0)</f>
        <v>0</v>
      </c>
      <c r="H297" s="8">
        <f ca="1">IFERROR(__xludf.DUMMYFUNCTION("""COMPUTED_VALUE"""),1)</f>
        <v>1</v>
      </c>
      <c r="I297" s="8">
        <f ca="1">IFERROR(__xludf.DUMMYFUNCTION("""COMPUTED_VALUE"""),1)</f>
        <v>1</v>
      </c>
      <c r="J297" s="8">
        <f ca="1">IFERROR(__xludf.DUMMYFUNCTION("""COMPUTED_VALUE"""),0)</f>
        <v>0</v>
      </c>
      <c r="K297" s="10" t="str">
        <f ca="1">IFERROR(__xludf.DUMMYFUNCTION("""COMPUTED_VALUE"""),"https://www.cbsnews.com/pittsburgh/news/penn-hills-football-security-change-shots-fired/
https://www.cbsnews.com/pittsburgh/news/woodland-hills-penn-hills-football-game-incident/")</f>
        <v>https://www.cbsnews.com/pittsburgh/news/penn-hills-football-security-change-shots-fired/
https://www.cbsnews.com/pittsburgh/news/woodland-hills-penn-hills-football-game-incident/</v>
      </c>
      <c r="L297" s="8">
        <f ca="1">IFERROR(__xludf.DUMMYFUNCTION("""COMPUTED_VALUE"""),20)</f>
        <v>20</v>
      </c>
      <c r="M297" s="8" t="str">
        <f ca="1">IFERROR(__xludf.DUMMYFUNCTION("""COMPUTED_VALUE"""),"Regional")</f>
        <v>Regional</v>
      </c>
      <c r="N297" s="8">
        <f ca="1">IFERROR(__xludf.DUMMYFUNCTION("""COMPUTED_VALUE"""),4)</f>
        <v>4</v>
      </c>
      <c r="O297" s="8" t="str">
        <f ca="1">IFERROR(__xludf.DUMMYFUNCTION("""COMPUTED_VALUE"""),"Summer")</f>
        <v>Summer</v>
      </c>
      <c r="P297" s="8" t="str">
        <f ca="1">IFERROR(__xludf.DUMMYFUNCTION("""COMPUTED_VALUE"""),"Churchill")</f>
        <v>Churchill</v>
      </c>
      <c r="Q297" s="8" t="str">
        <f ca="1">IFERROR(__xludf.DUMMYFUNCTION("""COMPUTED_VALUE"""),"PA")</f>
        <v>PA</v>
      </c>
      <c r="R297" s="8" t="str">
        <f ca="1">IFERROR(__xludf.DUMMYFUNCTION("""COMPUTED_VALUE"""),"High")</f>
        <v>High</v>
      </c>
      <c r="S297" s="8" t="str">
        <f ca="1">IFERROR(__xludf.DUMMYFUNCTION("""COMPUTED_VALUE"""),"Parking Lot")</f>
        <v>Parking Lot</v>
      </c>
      <c r="T297" s="8" t="str">
        <f ca="1">IFERROR(__xludf.DUMMYFUNCTION("""COMPUTED_VALUE"""),"Outside on School Property")</f>
        <v>Outside on School Property</v>
      </c>
      <c r="U297" s="8" t="str">
        <f ca="1">IFERROR(__xludf.DUMMYFUNCTION("""COMPUTED_VALUE"""),"No")</f>
        <v>No</v>
      </c>
      <c r="V297" s="8" t="str">
        <f ca="1">IFERROR(__xludf.DUMMYFUNCTION("""COMPUTED_VALUE"""),"Sport Event")</f>
        <v>Sport Event</v>
      </c>
      <c r="W297" s="11">
        <f ca="1">IFERROR(__xludf.DUMMYFUNCTION("""COMPUTED_VALUE"""),0.854166666666666)</f>
        <v>0.85416666666666596</v>
      </c>
      <c r="X297" s="8">
        <f ca="1">IFERROR(__xludf.DUMMYFUNCTION("""COMPUTED_VALUE"""),1)</f>
        <v>1</v>
      </c>
      <c r="Y297" s="12" t="str">
        <f ca="1">IFERROR(__xludf.DUMMYFUNCTION("""COMPUTED_VALUE"""),"Multiple shots fired at business near stadium. Man outside the stadium was struck by a bullet. Crowd heard the shots and evacuated the stadium")</f>
        <v>Multiple shots fired at business near stadium. Man outside the stadium was struck by a bullet. Crowd heard the shots and evacuated the stadium</v>
      </c>
      <c r="Z297" s="12" t="str">
        <f ca="1">IFERROR(__xludf.DUMMYFUNCTION("""COMPUTED_VALUE"""),"A man was shot outside the Woodland Hills and Penn Hills high school football game in Turtle Creek at The Wolvarena on Friday night. Turtle Creek Mayor Adam Forgie said the shots were fired at a pharmacy down the street and heard by the crowd at The Wolva"&amp;"rena, the home stadium for Woodland Hills High School. That is when chaos ensued, as spectators began running for the exits. ""It did cause the students to freak out, and rightfully so, when they heard the shots,"" the mayor told KDKA-TV. ""And more or le"&amp;"ss what I understand, it was a stampede of people getting out of the stadium. Right now, everything's OK. Just trying to put all the pieces together."" Allegheny County police said the man had left the game and was walking in the area when he heard severa"&amp;"l shots fired and was hit in the leg. He ran back to the stadium, looking for help, police said. He was taken to the hospital and was later released, according to officials. Multiple ambulances and police vehicles responded to the scene. The game was call"&amp;"ed in the fourth quarter and the stadium was evacuated. ")</f>
        <v xml:space="preserve">A man was shot outside the Woodland Hills and Penn Hills high school football game in Turtle Creek at The Wolvarena on Friday night. Turtle Creek Mayor Adam Forgie said the shots were fired at a pharmacy down the street and heard by the crowd at The Wolvarena, the home stadium for Woodland Hills High School. That is when chaos ensued, as spectators began running for the exits. "It did cause the students to freak out, and rightfully so, when they heard the shots," the mayor told KDKA-TV. "And more or less what I understand, it was a stampede of people getting out of the stadium. Right now, everything's OK. Just trying to put all the pieces together." Allegheny County police said the man had left the game and was walking in the area when he heard several shots fired and was hit in the leg. He ran back to the stadium, looking for help, police said. He was taken to the hospital and was later released, according to officials. Multiple ambulances and police vehicles responded to the scene. The game was called in the fourth quarter and the stadium was evacuated. </v>
      </c>
      <c r="AA297" s="8"/>
      <c r="AB297" s="8" t="str">
        <f ca="1">IFERROR(__xludf.DUMMYFUNCTION("""COMPUTED_VALUE"""),"Spontaneous")</f>
        <v>Spontaneous</v>
      </c>
      <c r="AC297" s="8" t="str">
        <f ca="1">IFERROR(__xludf.DUMMYFUNCTION("""COMPUTED_VALUE"""),"Yes")</f>
        <v>Yes</v>
      </c>
      <c r="AD297" s="8" t="str">
        <f ca="1">IFERROR(__xludf.DUMMYFUNCTION("""COMPUTED_VALUE"""),"Both")</f>
        <v>Both</v>
      </c>
      <c r="AE297" s="8" t="str">
        <f ca="1">IFERROR(__xludf.DUMMYFUNCTION("""COMPUTED_VALUE"""),"No")</f>
        <v>No</v>
      </c>
      <c r="AF297" s="8"/>
      <c r="AG297" s="8" t="str">
        <f ca="1">IFERROR(__xludf.DUMMYFUNCTION("""COMPUTED_VALUE"""),"No")</f>
        <v>No</v>
      </c>
      <c r="AH297" s="8" t="str">
        <f ca="1">IFERROR(__xludf.DUMMYFUNCTION("""COMPUTED_VALUE"""),"No")</f>
        <v>No</v>
      </c>
      <c r="AI297" s="8" t="str">
        <f ca="1">IFERROR(__xludf.DUMMYFUNCTION("""COMPUTED_VALUE"""),"No")</f>
        <v>No</v>
      </c>
      <c r="AJ297" s="8" t="str">
        <f ca="1">IFERROR(__xludf.DUMMYFUNCTION("""COMPUTED_VALUE"""),"No")</f>
        <v>No</v>
      </c>
      <c r="AK297" s="8" t="str">
        <f ca="1">IFERROR(__xludf.DUMMYFUNCTION("""COMPUTED_VALUE"""),"No")</f>
        <v>No</v>
      </c>
      <c r="AL297" s="8" t="str">
        <f ca="1">IFERROR(__xludf.DUMMYFUNCTION("""COMPUTED_VALUE"""),"No")</f>
        <v>No</v>
      </c>
      <c r="AM297" s="8" t="str">
        <f ca="1">IFERROR(__xludf.DUMMYFUNCTION("""COMPUTED_VALUE"""),"No")</f>
        <v>No</v>
      </c>
      <c r="AN297" s="8" t="str">
        <f ca="1">IFERROR(__xludf.DUMMYFUNCTION("""COMPUTED_VALUE"""),"Outside")</f>
        <v>Outside</v>
      </c>
      <c r="AO297" s="8" t="str">
        <f ca="1">IFERROR(__xludf.DUMMYFUNCTION("""COMPUTED_VALUE"""),"No")</f>
        <v>No</v>
      </c>
      <c r="AP297" s="8"/>
      <c r="AQ297" s="8"/>
      <c r="AR297" s="8" t="str">
        <f ca="1">IFERROR(__xludf.DUMMYFUNCTION("""COMPUTED_VALUE"""),"Outside/Off-Property")</f>
        <v>Outside/Off-Property</v>
      </c>
      <c r="AS297" s="8">
        <f ca="1">IFERROR(__xludf.DUMMYFUNCTION("""COMPUTED_VALUE"""),10)</f>
        <v>10</v>
      </c>
      <c r="AT297" s="8" t="str">
        <f ca="1">IFERROR(__xludf.DUMMYFUNCTION("""COMPUTED_VALUE"""),"Yes")</f>
        <v>Yes</v>
      </c>
      <c r="AU297" s="8">
        <f ca="1">IFERROR(__xludf.DUMMYFUNCTION("""COMPUTED_VALUE"""),40.437441)</f>
        <v>40.437441</v>
      </c>
      <c r="AV297" s="8">
        <f ca="1">IFERROR(__xludf.DUMMYFUNCTION("""COMPUTED_VALUE"""),-79.857122)</f>
        <v>-79.857122000000004</v>
      </c>
      <c r="AW297" s="8" t="str">
        <f ca="1">IFERROR(__xludf.DUMMYFUNCTION("""COMPUTED_VALUE"""),"Multiple attached buildings")</f>
        <v>Multiple attached buildings</v>
      </c>
      <c r="AX297" s="8">
        <f ca="1">IFERROR(__xludf.DUMMYFUNCTION("""COMPUTED_VALUE"""),15221)</f>
        <v>15221</v>
      </c>
    </row>
    <row r="298" spans="1:50" ht="120" x14ac:dyDescent="0.2">
      <c r="A298" s="8" t="str">
        <f ca="1">IFERROR(__xludf.DUMMYFUNCTION("""COMPUTED_VALUE"""),"20240830GARIR")</f>
        <v>20240830GARIR</v>
      </c>
      <c r="B298" s="8">
        <f ca="1">IFERROR(__xludf.DUMMYFUNCTION("""COMPUTED_VALUE"""),8)</f>
        <v>8</v>
      </c>
      <c r="C298" s="8">
        <f ca="1">IFERROR(__xludf.DUMMYFUNCTION("""COMPUTED_VALUE"""),30)</f>
        <v>30</v>
      </c>
      <c r="D298" s="8">
        <f ca="1">IFERROR(__xludf.DUMMYFUNCTION("""COMPUTED_VALUE"""),2024)</f>
        <v>2024</v>
      </c>
      <c r="E298" s="9">
        <f ca="1">IFERROR(__xludf.DUMMYFUNCTION("""COMPUTED_VALUE"""),45534)</f>
        <v>45534</v>
      </c>
      <c r="F298" s="8" t="str">
        <f ca="1">IFERROR(__xludf.DUMMYFUNCTION("""COMPUTED_VALUE"""),"Ridgeland High School")</f>
        <v>Ridgeland High School</v>
      </c>
      <c r="G298" s="8">
        <f ca="1">IFERROR(__xludf.DUMMYFUNCTION("""COMPUTED_VALUE"""),0)</f>
        <v>0</v>
      </c>
      <c r="H298" s="8">
        <f ca="1">IFERROR(__xludf.DUMMYFUNCTION("""COMPUTED_VALUE"""),0)</f>
        <v>0</v>
      </c>
      <c r="I298" s="8">
        <f ca="1">IFERROR(__xludf.DUMMYFUNCTION("""COMPUTED_VALUE"""),0)</f>
        <v>0</v>
      </c>
      <c r="J298" s="8">
        <f ca="1">IFERROR(__xludf.DUMMYFUNCTION("""COMPUTED_VALUE"""),0)</f>
        <v>0</v>
      </c>
      <c r="K298" s="10" t="str">
        <f ca="1">IFERROR(__xludf.DUMMYFUNCTION("""COMPUTED_VALUE"""),"https://newschannel9.com/news/local/shots-fired-near-high-school-in-walker-county-after-argument-brews-during-friday-football")</f>
        <v>https://newschannel9.com/news/local/shots-fired-near-high-school-in-walker-county-after-argument-brews-during-friday-football</v>
      </c>
      <c r="L298" s="8">
        <f ca="1">IFERROR(__xludf.DUMMYFUNCTION("""COMPUTED_VALUE"""),1)</f>
        <v>1</v>
      </c>
      <c r="M298" s="8" t="str">
        <f ca="1">IFERROR(__xludf.DUMMYFUNCTION("""COMPUTED_VALUE"""),"Local")</f>
        <v>Local</v>
      </c>
      <c r="N298" s="8">
        <f ca="1">IFERROR(__xludf.DUMMYFUNCTION("""COMPUTED_VALUE"""),3)</f>
        <v>3</v>
      </c>
      <c r="O298" s="8" t="str">
        <f ca="1">IFERROR(__xludf.DUMMYFUNCTION("""COMPUTED_VALUE"""),"Summer")</f>
        <v>Summer</v>
      </c>
      <c r="P298" s="8" t="str">
        <f ca="1">IFERROR(__xludf.DUMMYFUNCTION("""COMPUTED_VALUE"""),"Rossville")</f>
        <v>Rossville</v>
      </c>
      <c r="Q298" s="8" t="str">
        <f ca="1">IFERROR(__xludf.DUMMYFUNCTION("""COMPUTED_VALUE"""),"GA")</f>
        <v>GA</v>
      </c>
      <c r="R298" s="8" t="str">
        <f ca="1">IFERROR(__xludf.DUMMYFUNCTION("""COMPUTED_VALUE"""),"High")</f>
        <v>High</v>
      </c>
      <c r="S298" s="8" t="str">
        <f ca="1">IFERROR(__xludf.DUMMYFUNCTION("""COMPUTED_VALUE"""),"Off School Property")</f>
        <v>Off School Property</v>
      </c>
      <c r="T298" s="8" t="str">
        <f ca="1">IFERROR(__xludf.DUMMYFUNCTION("""COMPUTED_VALUE"""),"Off School Property")</f>
        <v>Off School Property</v>
      </c>
      <c r="U298" s="8" t="str">
        <f ca="1">IFERROR(__xludf.DUMMYFUNCTION("""COMPUTED_VALUE"""),"No")</f>
        <v>No</v>
      </c>
      <c r="V298" s="8" t="str">
        <f ca="1">IFERROR(__xludf.DUMMYFUNCTION("""COMPUTED_VALUE"""),"Sport Event")</f>
        <v>Sport Event</v>
      </c>
      <c r="W298" s="11">
        <f ca="1">IFERROR(__xludf.DUMMYFUNCTION("""COMPUTED_VALUE"""),0.875)</f>
        <v>0.875</v>
      </c>
      <c r="X298" s="8">
        <f ca="1">IFERROR(__xludf.DUMMYFUNCTION("""COMPUTED_VALUE"""),1)</f>
        <v>1</v>
      </c>
      <c r="Y298" s="12" t="str">
        <f ca="1">IFERROR(__xludf.DUMMYFUNCTION("""COMPUTED_VALUE"""),"Shots fired across from the school following dispute between attendees at high school football game")</f>
        <v>Shots fired across from the school following dispute between attendees at high school football game</v>
      </c>
      <c r="Z298" s="12" t="str">
        <f ca="1">IFERROR(__xludf.DUMMYFUNCTION("""COMPUTED_VALUE"""),"Detectives in Walker County are looking for two people whose argument at a Friday night football game led to shots being fired near the school. No one was hurt, but an unrelated vehicle was shot up. The incident happened at about 10 p.m. last Friday acros"&amp;"s the street from Ridgeland High School. 3 bullets hit one of the vehicles in the area, a vehicle that had nothing to do with either of the two people arguing.")</f>
        <v>Detectives in Walker County are looking for two people whose argument at a Friday night football game led to shots being fired near the school. No one was hurt, but an unrelated vehicle was shot up. The incident happened at about 10 p.m. last Friday across the street from Ridgeland High School. 3 bullets hit one of the vehicles in the area, a vehicle that had nothing to do with either of the two people arguing.</v>
      </c>
      <c r="AA298" s="8" t="str">
        <f ca="1">IFERROR(__xludf.DUMMYFUNCTION("""COMPUTED_VALUE"""),"Escalation of Dispute")</f>
        <v>Escalation of Dispute</v>
      </c>
      <c r="AB298" s="8" t="str">
        <f ca="1">IFERROR(__xludf.DUMMYFUNCTION("""COMPUTED_VALUE"""),"Spontaneous")</f>
        <v>Spontaneous</v>
      </c>
      <c r="AC298" s="8" t="str">
        <f ca="1">IFERROR(__xludf.DUMMYFUNCTION("""COMPUTED_VALUE"""),"Yes")</f>
        <v>Yes</v>
      </c>
      <c r="AD298" s="8" t="str">
        <f ca="1">IFERROR(__xludf.DUMMYFUNCTION("""COMPUTED_VALUE"""),"Victims Targeted")</f>
        <v>Victims Targeted</v>
      </c>
      <c r="AE298" s="8" t="str">
        <f ca="1">IFERROR(__xludf.DUMMYFUNCTION("""COMPUTED_VALUE"""),"n")</f>
        <v>n</v>
      </c>
      <c r="AF298" s="8"/>
      <c r="AG298" s="8" t="str">
        <f ca="1">IFERROR(__xludf.DUMMYFUNCTION("""COMPUTED_VALUE"""),"No")</f>
        <v>No</v>
      </c>
      <c r="AH298" s="8" t="str">
        <f ca="1">IFERROR(__xludf.DUMMYFUNCTION("""COMPUTED_VALUE"""),"No")</f>
        <v>No</v>
      </c>
      <c r="AI298" s="8" t="str">
        <f ca="1">IFERROR(__xludf.DUMMYFUNCTION("""COMPUTED_VALUE"""),"No")</f>
        <v>No</v>
      </c>
      <c r="AJ298" s="8" t="str">
        <f ca="1">IFERROR(__xludf.DUMMYFUNCTION("""COMPUTED_VALUE"""),"No")</f>
        <v>No</v>
      </c>
      <c r="AK298" s="8" t="str">
        <f ca="1">IFERROR(__xludf.DUMMYFUNCTION("""COMPUTED_VALUE"""),"No")</f>
        <v>No</v>
      </c>
      <c r="AL298" s="8" t="str">
        <f ca="1">IFERROR(__xludf.DUMMYFUNCTION("""COMPUTED_VALUE"""),"No")</f>
        <v>No</v>
      </c>
      <c r="AM298" s="8" t="str">
        <f ca="1">IFERROR(__xludf.DUMMYFUNCTION("""COMPUTED_VALUE"""),"No")</f>
        <v>No</v>
      </c>
      <c r="AN298" s="8" t="str">
        <f ca="1">IFERROR(__xludf.DUMMYFUNCTION("""COMPUTED_VALUE"""),"Outside")</f>
        <v>Outside</v>
      </c>
      <c r="AO298" s="8" t="str">
        <f ca="1">IFERROR(__xludf.DUMMYFUNCTION("""COMPUTED_VALUE"""),"No")</f>
        <v>No</v>
      </c>
      <c r="AP298" s="8"/>
      <c r="AQ298" s="8"/>
      <c r="AR298" s="8" t="str">
        <f ca="1">IFERROR(__xludf.DUMMYFUNCTION("""COMPUTED_VALUE"""),"Outside/Off-Property")</f>
        <v>Outside/Off-Property</v>
      </c>
      <c r="AS298" s="8">
        <f ca="1">IFERROR(__xludf.DUMMYFUNCTION("""COMPUTED_VALUE"""),3)</f>
        <v>3</v>
      </c>
      <c r="AT298" s="8" t="str">
        <f ca="1">IFERROR(__xludf.DUMMYFUNCTION("""COMPUTED_VALUE"""),"No")</f>
        <v>No</v>
      </c>
      <c r="AU298" s="8">
        <f ca="1">IFERROR(__xludf.DUMMYFUNCTION("""COMPUTED_VALUE"""),34.947802)</f>
        <v>34.947802000000003</v>
      </c>
      <c r="AV298" s="8">
        <f ca="1">IFERROR(__xludf.DUMMYFUNCTION("""COMPUTED_VALUE"""),-85.314265)</f>
        <v>-85.314265000000006</v>
      </c>
      <c r="AW298" s="8" t="str">
        <f ca="1">IFERROR(__xludf.DUMMYFUNCTION("""COMPUTED_VALUE"""),"Multiple detached buildings")</f>
        <v>Multiple detached buildings</v>
      </c>
      <c r="AX298" s="8">
        <f ca="1">IFERROR(__xludf.DUMMYFUNCTION("""COMPUTED_VALUE"""),30741)</f>
        <v>30741</v>
      </c>
    </row>
    <row r="299" spans="1:50" ht="180" x14ac:dyDescent="0.2">
      <c r="A299" s="8" t="str">
        <f ca="1">IFERROR(__xludf.DUMMYFUNCTION("""COMPUTED_VALUE"""),"20240826WIJAJ")</f>
        <v>20240826WIJAJ</v>
      </c>
      <c r="B299" s="8">
        <f ca="1">IFERROR(__xludf.DUMMYFUNCTION("""COMPUTED_VALUE"""),8)</f>
        <v>8</v>
      </c>
      <c r="C299" s="8">
        <f ca="1">IFERROR(__xludf.DUMMYFUNCTION("""COMPUTED_VALUE"""),26)</f>
        <v>26</v>
      </c>
      <c r="D299" s="8">
        <f ca="1">IFERROR(__xludf.DUMMYFUNCTION("""COMPUTED_VALUE"""),2024)</f>
        <v>2024</v>
      </c>
      <c r="E299" s="9">
        <f ca="1">IFERROR(__xludf.DUMMYFUNCTION("""COMPUTED_VALUE"""),45530)</f>
        <v>45530</v>
      </c>
      <c r="F299" s="8" t="str">
        <f ca="1">IFERROR(__xludf.DUMMYFUNCTION("""COMPUTED_VALUE"""),"Janesville Craig High School")</f>
        <v>Janesville Craig High School</v>
      </c>
      <c r="G299" s="8">
        <f ca="1">IFERROR(__xludf.DUMMYFUNCTION("""COMPUTED_VALUE"""),0)</f>
        <v>0</v>
      </c>
      <c r="H299" s="8">
        <f ca="1">IFERROR(__xludf.DUMMYFUNCTION("""COMPUTED_VALUE"""),0)</f>
        <v>0</v>
      </c>
      <c r="I299" s="8">
        <f ca="1">IFERROR(__xludf.DUMMYFUNCTION("""COMPUTED_VALUE"""),0)</f>
        <v>0</v>
      </c>
      <c r="J299" s="8">
        <f ca="1">IFERROR(__xludf.DUMMYFUNCTION("""COMPUTED_VALUE"""),0)</f>
        <v>0</v>
      </c>
      <c r="K299" s="8" t="str">
        <f ca="1">IFERROR(__xludf.DUMMYFUNCTION("""COMPUTED_VALUE"""),"https://lakegenevanews.net/door-shot-janesville-craig-high-school-police-arrest/article_78c56276-4e1c-5112-b61a-89c6c005666b.html
https://www.wmtv15news.com/2025/07/08/suspect-makes-plea-gunfire-that-damaged-janesville-craig-high-school-door/")</f>
        <v>https://lakegenevanews.net/door-shot-janesville-craig-high-school-police-arrest/article_78c56276-4e1c-5112-b61a-89c6c005666b.html
https://www.wmtv15news.com/2025/07/08/suspect-makes-plea-gunfire-that-damaged-janesville-craig-high-school-door/</v>
      </c>
      <c r="L299" s="8">
        <f ca="1">IFERROR(__xludf.DUMMYFUNCTION("""COMPUTED_VALUE"""),1)</f>
        <v>1</v>
      </c>
      <c r="M299" s="8" t="str">
        <f ca="1">IFERROR(__xludf.DUMMYFUNCTION("""COMPUTED_VALUE"""),"Local")</f>
        <v>Local</v>
      </c>
      <c r="N299" s="8">
        <f ca="1">IFERROR(__xludf.DUMMYFUNCTION("""COMPUTED_VALUE"""),4)</f>
        <v>4</v>
      </c>
      <c r="O299" s="8" t="str">
        <f ca="1">IFERROR(__xludf.DUMMYFUNCTION("""COMPUTED_VALUE"""),"Summer")</f>
        <v>Summer</v>
      </c>
      <c r="P299" s="8" t="str">
        <f ca="1">IFERROR(__xludf.DUMMYFUNCTION("""COMPUTED_VALUE"""),"Janesville")</f>
        <v>Janesville</v>
      </c>
      <c r="Q299" s="8" t="str">
        <f ca="1">IFERROR(__xludf.DUMMYFUNCTION("""COMPUTED_VALUE"""),"WI")</f>
        <v>WI</v>
      </c>
      <c r="R299" s="8" t="str">
        <f ca="1">IFERROR(__xludf.DUMMYFUNCTION("""COMPUTED_VALUE"""),"High")</f>
        <v>High</v>
      </c>
      <c r="S299" s="8" t="str">
        <f ca="1">IFERROR(__xludf.DUMMYFUNCTION("""COMPUTED_VALUE"""),"Front of School")</f>
        <v>Front of School</v>
      </c>
      <c r="T299" s="8" t="str">
        <f ca="1">IFERROR(__xludf.DUMMYFUNCTION("""COMPUTED_VALUE"""),"Outside on School Property")</f>
        <v>Outside on School Property</v>
      </c>
      <c r="U299" s="8" t="str">
        <f ca="1">IFERROR(__xludf.DUMMYFUNCTION("""COMPUTED_VALUE"""),"Yes")</f>
        <v>Yes</v>
      </c>
      <c r="V299" s="8" t="str">
        <f ca="1">IFERROR(__xludf.DUMMYFUNCTION("""COMPUTED_VALUE"""),"Lunch")</f>
        <v>Lunch</v>
      </c>
      <c r="W299" s="11">
        <f ca="1">IFERROR(__xludf.DUMMYFUNCTION("""COMPUTED_VALUE"""),0.510416666666666)</f>
        <v>0.51041666666666596</v>
      </c>
      <c r="X299" s="8">
        <f ca="1">IFERROR(__xludf.DUMMYFUNCTION("""COMPUTED_VALUE"""),1)</f>
        <v>1</v>
      </c>
      <c r="Y299" s="12" t="str">
        <f ca="1">IFERROR(__xludf.DUMMYFUNCTION("""COMPUTED_VALUE"""),"Man fired shot that broke the school door")</f>
        <v>Man fired shot that broke the school door</v>
      </c>
      <c r="Z299" s="12" t="str">
        <f ca="1">IFERROR(__xludf.DUMMYFUNCTION("""COMPUTED_VALUE"""),"At about 12:15 p.m. Monday, damage was discovered to the glass in one of the exterior doors at Craig High School, 401 S. Randall Ave., that was consistent with a bullet striking the door, Sgt. Benjamin Thompson said in a statement. The investigation led t"&amp;"o the arrest on Thursday of a 24-year-old Janesville man on tentative charges of criminal damage to property, possess firearm in school zone, and discharge firearm-school zone. The man is being held at the Rock County Jail pending his initial court appear"&amp;"ance, Thompson said. There is currently no known threat to the school community or the broader community, Thompson said.")</f>
        <v>At about 12:15 p.m. Monday, damage was discovered to the glass in one of the exterior doors at Craig High School, 401 S. Randall Ave., that was consistent with a bullet striking the door, Sgt. Benjamin Thompson said in a statement. The investigation led to the arrest on Thursday of a 24-year-old Janesville man on tentative charges of criminal damage to property, possess firearm in school zone, and discharge firearm-school zone. The man is being held at the Rock County Jail pending his initial court appearance, Thompson said. There is currently no known threat to the school community or the broader community, Thompson said.</v>
      </c>
      <c r="AA299" s="8"/>
      <c r="AB299" s="8"/>
      <c r="AC299" s="8" t="str">
        <f ca="1">IFERROR(__xludf.DUMMYFUNCTION("""COMPUTED_VALUE"""),"Yes")</f>
        <v>Yes</v>
      </c>
      <c r="AD299" s="8"/>
      <c r="AE299" s="8" t="str">
        <f ca="1">IFERROR(__xludf.DUMMYFUNCTION("""COMPUTED_VALUE"""),"No")</f>
        <v>No</v>
      </c>
      <c r="AF299" s="8"/>
      <c r="AG299" s="8" t="str">
        <f ca="1">IFERROR(__xludf.DUMMYFUNCTION("""COMPUTED_VALUE"""),"No")</f>
        <v>No</v>
      </c>
      <c r="AH299" s="8" t="str">
        <f ca="1">IFERROR(__xludf.DUMMYFUNCTION("""COMPUTED_VALUE"""),"No")</f>
        <v>No</v>
      </c>
      <c r="AI299" s="8" t="str">
        <f ca="1">IFERROR(__xludf.DUMMYFUNCTION("""COMPUTED_VALUE"""),"No")</f>
        <v>No</v>
      </c>
      <c r="AJ299" s="8" t="str">
        <f ca="1">IFERROR(__xludf.DUMMYFUNCTION("""COMPUTED_VALUE"""),"No")</f>
        <v>No</v>
      </c>
      <c r="AK299" s="8" t="str">
        <f ca="1">IFERROR(__xludf.DUMMYFUNCTION("""COMPUTED_VALUE"""),"No")</f>
        <v>No</v>
      </c>
      <c r="AL299" s="8" t="str">
        <f ca="1">IFERROR(__xludf.DUMMYFUNCTION("""COMPUTED_VALUE"""),"No")</f>
        <v>No</v>
      </c>
      <c r="AM299" s="8" t="str">
        <f ca="1">IFERROR(__xludf.DUMMYFUNCTION("""COMPUTED_VALUE"""),"No")</f>
        <v>No</v>
      </c>
      <c r="AN299" s="8" t="str">
        <f ca="1">IFERROR(__xludf.DUMMYFUNCTION("""COMPUTED_VALUE"""),"Outside")</f>
        <v>Outside</v>
      </c>
      <c r="AO299" s="8" t="str">
        <f ca="1">IFERROR(__xludf.DUMMYFUNCTION("""COMPUTED_VALUE"""),"No")</f>
        <v>No</v>
      </c>
      <c r="AP299" s="8"/>
      <c r="AQ299" s="8"/>
      <c r="AR299" s="8" t="str">
        <f ca="1">IFERROR(__xludf.DUMMYFUNCTION("""COMPUTED_VALUE"""),"Outside/Off-Property")</f>
        <v>Outside/Off-Property</v>
      </c>
      <c r="AS299" s="8">
        <f ca="1">IFERROR(__xludf.DUMMYFUNCTION("""COMPUTED_VALUE"""),1)</f>
        <v>1</v>
      </c>
      <c r="AT299" s="8" t="str">
        <f ca="1">IFERROR(__xludf.DUMMYFUNCTION("""COMPUTED_VALUE"""),"No")</f>
        <v>No</v>
      </c>
      <c r="AU299" s="8">
        <f ca="1">IFERROR(__xludf.DUMMYFUNCTION("""COMPUTED_VALUE"""),42.681474)</f>
        <v>42.681474000000001</v>
      </c>
      <c r="AV299" s="8">
        <f ca="1">IFERROR(__xludf.DUMMYFUNCTION("""COMPUTED_VALUE"""),-89.002204)</f>
        <v>-89.002204000000006</v>
      </c>
      <c r="AW299" s="8" t="str">
        <f ca="1">IFERROR(__xludf.DUMMYFUNCTION("""COMPUTED_VALUE"""),"Multiple attached buildings")</f>
        <v>Multiple attached buildings</v>
      </c>
      <c r="AX299" s="8">
        <f ca="1">IFERROR(__xludf.DUMMYFUNCTION("""COMPUTED_VALUE"""),53545)</f>
        <v>53545</v>
      </c>
    </row>
    <row r="300" spans="1:50" ht="90" x14ac:dyDescent="0.2">
      <c r="A300" s="8" t="str">
        <f ca="1">IFERROR(__xludf.DUMMYFUNCTION("""COMPUTED_VALUE"""),"20240826NEWOW")</f>
        <v>20240826NEWOW</v>
      </c>
      <c r="B300" s="8">
        <f ca="1">IFERROR(__xludf.DUMMYFUNCTION("""COMPUTED_VALUE"""),8)</f>
        <v>8</v>
      </c>
      <c r="C300" s="8">
        <f ca="1">IFERROR(__xludf.DUMMYFUNCTION("""COMPUTED_VALUE"""),26)</f>
        <v>26</v>
      </c>
      <c r="D300" s="8">
        <f ca="1">IFERROR(__xludf.DUMMYFUNCTION("""COMPUTED_VALUE"""),2024)</f>
        <v>2024</v>
      </c>
      <c r="E300" s="9">
        <f ca="1">IFERROR(__xludf.DUMMYFUNCTION("""COMPUTED_VALUE"""),45530)</f>
        <v>45530</v>
      </c>
      <c r="F300" s="8" t="str">
        <f ca="1">IFERROR(__xludf.DUMMYFUNCTION("""COMPUTED_VALUE"""),"Wood River High School")</f>
        <v>Wood River High School</v>
      </c>
      <c r="G300" s="8">
        <f ca="1">IFERROR(__xludf.DUMMYFUNCTION("""COMPUTED_VALUE"""),0)</f>
        <v>0</v>
      </c>
      <c r="H300" s="8">
        <f ca="1">IFERROR(__xludf.DUMMYFUNCTION("""COMPUTED_VALUE"""),0)</f>
        <v>0</v>
      </c>
      <c r="I300" s="8">
        <f ca="1">IFERROR(__xludf.DUMMYFUNCTION("""COMPUTED_VALUE"""),0)</f>
        <v>0</v>
      </c>
      <c r="J300" s="8">
        <f ca="1">IFERROR(__xludf.DUMMYFUNCTION("""COMPUTED_VALUE"""),0)</f>
        <v>0</v>
      </c>
      <c r="K300" s="10" t="str">
        <f ca="1">IFERROR(__xludf.DUMMYFUNCTION("""COMPUTED_VALUE"""),"https://www.nebraska.tv/news/local/who-shot-the-scoreboard-hall-county-sheriff-investigates-high-school-vandalism")</f>
        <v>https://www.nebraska.tv/news/local/who-shot-the-scoreboard-hall-county-sheriff-investigates-high-school-vandalism</v>
      </c>
      <c r="L300" s="8">
        <f ca="1">IFERROR(__xludf.DUMMYFUNCTION("""COMPUTED_VALUE"""),1)</f>
        <v>1</v>
      </c>
      <c r="M300" s="8" t="str">
        <f ca="1">IFERROR(__xludf.DUMMYFUNCTION("""COMPUTED_VALUE"""),"Local")</f>
        <v>Local</v>
      </c>
      <c r="N300" s="8">
        <f ca="1">IFERROR(__xludf.DUMMYFUNCTION("""COMPUTED_VALUE"""),4)</f>
        <v>4</v>
      </c>
      <c r="O300" s="8" t="str">
        <f ca="1">IFERROR(__xludf.DUMMYFUNCTION("""COMPUTED_VALUE"""),"Summer")</f>
        <v>Summer</v>
      </c>
      <c r="P300" s="8" t="str">
        <f ca="1">IFERROR(__xludf.DUMMYFUNCTION("""COMPUTED_VALUE"""),"Wood River")</f>
        <v>Wood River</v>
      </c>
      <c r="Q300" s="8" t="str">
        <f ca="1">IFERROR(__xludf.DUMMYFUNCTION("""COMPUTED_VALUE"""),"NE")</f>
        <v>NE</v>
      </c>
      <c r="R300" s="8" t="str">
        <f ca="1">IFERROR(__xludf.DUMMYFUNCTION("""COMPUTED_VALUE"""),"High")</f>
        <v>High</v>
      </c>
      <c r="S300" s="8" t="str">
        <f ca="1">IFERROR(__xludf.DUMMYFUNCTION("""COMPUTED_VALUE"""),"Football Field/Track")</f>
        <v>Football Field/Track</v>
      </c>
      <c r="T300" s="8" t="str">
        <f ca="1">IFERROR(__xludf.DUMMYFUNCTION("""COMPUTED_VALUE"""),"Outside on School Property")</f>
        <v>Outside on School Property</v>
      </c>
      <c r="U300" s="8" t="str">
        <f ca="1">IFERROR(__xludf.DUMMYFUNCTION("""COMPUTED_VALUE"""),"No")</f>
        <v>No</v>
      </c>
      <c r="V300" s="8" t="str">
        <f ca="1">IFERROR(__xludf.DUMMYFUNCTION("""COMPUTED_VALUE"""),"Morning Classes")</f>
        <v>Morning Classes</v>
      </c>
      <c r="W300" s="11">
        <f ca="1">IFERROR(__xludf.DUMMYFUNCTION("""COMPUTED_VALUE"""),0.973611111111111)</f>
        <v>0.97361111111111098</v>
      </c>
      <c r="X300" s="8">
        <f ca="1">IFERROR(__xludf.DUMMYFUNCTION("""COMPUTED_VALUE"""),1)</f>
        <v>1</v>
      </c>
      <c r="Y300" s="12" t="str">
        <f ca="1">IFERROR(__xludf.DUMMYFUNCTION("""COMPUTED_VALUE"""),"Football scoreboard shot 4 times by unknown shooter")</f>
        <v>Football scoreboard shot 4 times by unknown shooter</v>
      </c>
      <c r="Z300" s="12" t="str">
        <f ca="1">IFERROR(__xludf.DUMMYFUNCTION("""COMPUTED_VALUE"""),"The sheriff’s office said deputies were called at 11:22 a.m. Monday to Wood River High School after it was reported the scoreboard was shot at multiple times between April 5 and Aug. 26 causing $10,000 in damage. The sheriff’s office said four bullet hole"&amp;"s were found on the front of the scoreboard.")</f>
        <v>The sheriff’s office said deputies were called at 11:22 a.m. Monday to Wood River High School after it was reported the scoreboard was shot at multiple times between April 5 and Aug. 26 causing $10,000 in damage. The sheriff’s office said four bullet holes were found on the front of the scoreboard.</v>
      </c>
      <c r="AA300" s="8" t="str">
        <f ca="1">IFERROR(__xludf.DUMMYFUNCTION("""COMPUTED_VALUE"""),"Intentional Property Damage")</f>
        <v>Intentional Property Damage</v>
      </c>
      <c r="AB300" s="8" t="str">
        <f ca="1">IFERROR(__xludf.DUMMYFUNCTION("""COMPUTED_VALUE"""),"Targeted")</f>
        <v>Targeted</v>
      </c>
      <c r="AC300" s="8" t="str">
        <f ca="1">IFERROR(__xludf.DUMMYFUNCTION("""COMPUTED_VALUE"""),"Yes")</f>
        <v>Yes</v>
      </c>
      <c r="AD300" s="8" t="str">
        <f ca="1">IFERROR(__xludf.DUMMYFUNCTION("""COMPUTED_VALUE"""),"Neither")</f>
        <v>Neither</v>
      </c>
      <c r="AE300" s="8" t="str">
        <f ca="1">IFERROR(__xludf.DUMMYFUNCTION("""COMPUTED_VALUE"""),"No")</f>
        <v>No</v>
      </c>
      <c r="AF300" s="8"/>
      <c r="AG300" s="8" t="str">
        <f ca="1">IFERROR(__xludf.DUMMYFUNCTION("""COMPUTED_VALUE"""),"No")</f>
        <v>No</v>
      </c>
      <c r="AH300" s="8" t="str">
        <f ca="1">IFERROR(__xludf.DUMMYFUNCTION("""COMPUTED_VALUE"""),"No")</f>
        <v>No</v>
      </c>
      <c r="AI300" s="8" t="str">
        <f ca="1">IFERROR(__xludf.DUMMYFUNCTION("""COMPUTED_VALUE"""),"No")</f>
        <v>No</v>
      </c>
      <c r="AJ300" s="8" t="str">
        <f ca="1">IFERROR(__xludf.DUMMYFUNCTION("""COMPUTED_VALUE"""),"No")</f>
        <v>No</v>
      </c>
      <c r="AK300" s="8" t="str">
        <f ca="1">IFERROR(__xludf.DUMMYFUNCTION("""COMPUTED_VALUE"""),"No")</f>
        <v>No</v>
      </c>
      <c r="AL300" s="8" t="str">
        <f ca="1">IFERROR(__xludf.DUMMYFUNCTION("""COMPUTED_VALUE"""),"No")</f>
        <v>No</v>
      </c>
      <c r="AM300" s="8" t="str">
        <f ca="1">IFERROR(__xludf.DUMMYFUNCTION("""COMPUTED_VALUE"""),"No")</f>
        <v>No</v>
      </c>
      <c r="AN300" s="8" t="str">
        <f ca="1">IFERROR(__xludf.DUMMYFUNCTION("""COMPUTED_VALUE"""),"Outside")</f>
        <v>Outside</v>
      </c>
      <c r="AO300" s="8" t="str">
        <f ca="1">IFERROR(__xludf.DUMMYFUNCTION("""COMPUTED_VALUE"""),"No")</f>
        <v>No</v>
      </c>
      <c r="AP300" s="8"/>
      <c r="AQ300" s="8"/>
      <c r="AR300" s="8" t="str">
        <f ca="1">IFERROR(__xludf.DUMMYFUNCTION("""COMPUTED_VALUE"""),"Outside/Off-Property")</f>
        <v>Outside/Off-Property</v>
      </c>
      <c r="AS300" s="8">
        <f ca="1">IFERROR(__xludf.DUMMYFUNCTION("""COMPUTED_VALUE"""),4)</f>
        <v>4</v>
      </c>
      <c r="AT300" s="8" t="str">
        <f ca="1">IFERROR(__xludf.DUMMYFUNCTION("""COMPUTED_VALUE"""),"No")</f>
        <v>No</v>
      </c>
      <c r="AU300" s="8">
        <f ca="1">IFERROR(__xludf.DUMMYFUNCTION("""COMPUTED_VALUE"""),40.83068)</f>
        <v>40.830680000000001</v>
      </c>
      <c r="AV300" s="8">
        <f ca="1">IFERROR(__xludf.DUMMYFUNCTION("""COMPUTED_VALUE"""),-98.605057)</f>
        <v>-98.605057000000002</v>
      </c>
      <c r="AW300" s="8" t="str">
        <f ca="1">IFERROR(__xludf.DUMMYFUNCTION("""COMPUTED_VALUE"""),"Single building indoor hallway")</f>
        <v>Single building indoor hallway</v>
      </c>
      <c r="AX300" s="8">
        <f ca="1">IFERROR(__xludf.DUMMYFUNCTION("""COMPUTED_VALUE"""),68883)</f>
        <v>68883</v>
      </c>
    </row>
    <row r="301" spans="1:50" ht="195" x14ac:dyDescent="0.2">
      <c r="A301" s="8" t="str">
        <f ca="1">IFERROR(__xludf.DUMMYFUNCTION("""COMPUTED_VALUE"""),"20240824NYPSB")</f>
        <v>20240824NYPSB</v>
      </c>
      <c r="B301" s="8">
        <f ca="1">IFERROR(__xludf.DUMMYFUNCTION("""COMPUTED_VALUE"""),8)</f>
        <v>8</v>
      </c>
      <c r="C301" s="8">
        <f ca="1">IFERROR(__xludf.DUMMYFUNCTION("""COMPUTED_VALUE"""),24)</f>
        <v>24</v>
      </c>
      <c r="D301" s="8">
        <f ca="1">IFERROR(__xludf.DUMMYFUNCTION("""COMPUTED_VALUE"""),2024)</f>
        <v>2024</v>
      </c>
      <c r="E301" s="9">
        <f ca="1">IFERROR(__xludf.DUMMYFUNCTION("""COMPUTED_VALUE"""),45528)</f>
        <v>45528</v>
      </c>
      <c r="F301" s="8" t="str">
        <f ca="1">IFERROR(__xludf.DUMMYFUNCTION("""COMPUTED_VALUE"""),"P.S. 396")</f>
        <v>P.S. 396</v>
      </c>
      <c r="G301" s="8">
        <f ca="1">IFERROR(__xludf.DUMMYFUNCTION("""COMPUTED_VALUE"""),0)</f>
        <v>0</v>
      </c>
      <c r="H301" s="8">
        <f ca="1">IFERROR(__xludf.DUMMYFUNCTION("""COMPUTED_VALUE"""),3)</f>
        <v>3</v>
      </c>
      <c r="I301" s="8">
        <f ca="1">IFERROR(__xludf.DUMMYFUNCTION("""COMPUTED_VALUE"""),3)</f>
        <v>3</v>
      </c>
      <c r="J301" s="8">
        <f ca="1">IFERROR(__xludf.DUMMYFUNCTION("""COMPUTED_VALUE"""),0)</f>
        <v>0</v>
      </c>
      <c r="K301" s="10" t="str">
        <f ca="1">IFERROR(__xludf.DUMMYFUNCTION("""COMPUTED_VALUE"""),"https://www.justice.gov/usao-sdny/pr/four-bronx-men-charged-federal-firearms-offenses-engaging-school-zone-shootout")</f>
        <v>https://www.justice.gov/usao-sdny/pr/four-bronx-men-charged-federal-firearms-offenses-engaging-school-zone-shootout</v>
      </c>
      <c r="L301" s="8">
        <f ca="1">IFERROR(__xludf.DUMMYFUNCTION("""COMPUTED_VALUE"""),10)</f>
        <v>10</v>
      </c>
      <c r="M301" s="8" t="str">
        <f ca="1">IFERROR(__xludf.DUMMYFUNCTION("""COMPUTED_VALUE"""),"Regional")</f>
        <v>Regional</v>
      </c>
      <c r="N301" s="8">
        <f ca="1">IFERROR(__xludf.DUMMYFUNCTION("""COMPUTED_VALUE"""),4)</f>
        <v>4</v>
      </c>
      <c r="O301" s="8" t="str">
        <f ca="1">IFERROR(__xludf.DUMMYFUNCTION("""COMPUTED_VALUE"""),"Summer")</f>
        <v>Summer</v>
      </c>
      <c r="P301" s="8" t="str">
        <f ca="1">IFERROR(__xludf.DUMMYFUNCTION("""COMPUTED_VALUE"""),"Bronx")</f>
        <v>Bronx</v>
      </c>
      <c r="Q301" s="8" t="str">
        <f ca="1">IFERROR(__xludf.DUMMYFUNCTION("""COMPUTED_VALUE"""),"NY")</f>
        <v>NY</v>
      </c>
      <c r="R301" s="8" t="str">
        <f ca="1">IFERROR(__xludf.DUMMYFUNCTION("""COMPUTED_VALUE"""),"Elementary")</f>
        <v>Elementary</v>
      </c>
      <c r="S301" s="8" t="str">
        <f ca="1">IFERROR(__xludf.DUMMYFUNCTION("""COMPUTED_VALUE"""),"Front of School")</f>
        <v>Front of School</v>
      </c>
      <c r="T301" s="8" t="str">
        <f ca="1">IFERROR(__xludf.DUMMYFUNCTION("""COMPUTED_VALUE"""),"Outside on School Property")</f>
        <v>Outside on School Property</v>
      </c>
      <c r="U301" s="8" t="str">
        <f ca="1">IFERROR(__xludf.DUMMYFUNCTION("""COMPUTED_VALUE"""),"Yes")</f>
        <v>Yes</v>
      </c>
      <c r="V301" s="8" t="str">
        <f ca="1">IFERROR(__xludf.DUMMYFUNCTION("""COMPUTED_VALUE"""),"After School")</f>
        <v>After School</v>
      </c>
      <c r="W301" s="11">
        <f ca="1">IFERROR(__xludf.DUMMYFUNCTION("""COMPUTED_VALUE"""),0.6875)</f>
        <v>0.6875</v>
      </c>
      <c r="X301" s="8">
        <f ca="1">IFERROR(__xludf.DUMMYFUNCTION("""COMPUTED_VALUE"""),1)</f>
        <v>1</v>
      </c>
      <c r="Y301" s="12" t="str">
        <f ca="1">IFERROR(__xludf.DUMMYFUNCTION("""COMPUTED_VALUE"""),"Three people shot outside of school during targeted shooting by 4 men")</f>
        <v>Three people shot outside of school during targeted shooting by 4 men</v>
      </c>
      <c r="Z301" s="12" t="str">
        <f ca="1">IFERROR(__xludf.DUMMYFUNCTION("""COMPUTED_VALUE"""),"On or about August 24, 2024, a shootout (the “Shootout”) occurred in the vicinity of P.S. 396 and Middle School 390 on Andrews Avenue in the Bronx, New York (the “Schools”), during which at least five individuals discharged a total of at least 20 rounds, "&amp;"and at least three people were shot and injured. As depicted on the map below, the Schools are located on Andrews Avenue, with P.S. 396 serving students in pre-kindergarten through fifth grade and Middle School 390 serving students in grades six through e"&amp;"ight. The Shootout began with shots fired from a residential building on Andrews Avenue (the “Residential Building”), marked on the map below by a red flag. The Shootout then continued in the middle of Andrews Avenue in front of the Schools.")</f>
        <v>On or about August 24, 2024, a shootout (the “Shootout”) occurred in the vicinity of P.S. 396 and Middle School 390 on Andrews Avenue in the Bronx, New York (the “Schools”), during which at least five individuals discharged a total of at least 20 rounds, and at least three people were shot and injured. As depicted on the map below, the Schools are located on Andrews Avenue, with P.S. 396 serving students in pre-kindergarten through fifth grade and Middle School 390 serving students in grades six through eight. The Shootout began with shots fired from a residential building on Andrews Avenue (the “Residential Building”), marked on the map below by a red flag. The Shootout then continued in the middle of Andrews Avenue in front of the Schools.</v>
      </c>
      <c r="AA301" s="8"/>
      <c r="AB301" s="8" t="str">
        <f ca="1">IFERROR(__xludf.DUMMYFUNCTION("""COMPUTED_VALUE"""),"Targeted")</f>
        <v>Targeted</v>
      </c>
      <c r="AC301" s="8" t="str">
        <f ca="1">IFERROR(__xludf.DUMMYFUNCTION("""COMPUTED_VALUE"""),"Yes")</f>
        <v>Yes</v>
      </c>
      <c r="AD301" s="8" t="str">
        <f ca="1">IFERROR(__xludf.DUMMYFUNCTION("""COMPUTED_VALUE"""),"Both")</f>
        <v>Both</v>
      </c>
      <c r="AE301" s="8" t="str">
        <f ca="1">IFERROR(__xludf.DUMMYFUNCTION("""COMPUTED_VALUE"""),"Yes")</f>
        <v>Yes</v>
      </c>
      <c r="AF301" s="8" t="str">
        <f ca="1">IFERROR(__xludf.DUMMYFUNCTION("""COMPUTED_VALUE"""),"4 shooters")</f>
        <v>4 shooters</v>
      </c>
      <c r="AG301" s="8" t="str">
        <f ca="1">IFERROR(__xludf.DUMMYFUNCTION("""COMPUTED_VALUE"""),"No")</f>
        <v>No</v>
      </c>
      <c r="AH301" s="8" t="str">
        <f ca="1">IFERROR(__xludf.DUMMYFUNCTION("""COMPUTED_VALUE"""),"No")</f>
        <v>No</v>
      </c>
      <c r="AI301" s="8" t="str">
        <f ca="1">IFERROR(__xludf.DUMMYFUNCTION("""COMPUTED_VALUE"""),"No")</f>
        <v>No</v>
      </c>
      <c r="AJ301" s="8" t="str">
        <f ca="1">IFERROR(__xludf.DUMMYFUNCTION("""COMPUTED_VALUE"""),"No")</f>
        <v>No</v>
      </c>
      <c r="AK301" s="8" t="str">
        <f ca="1">IFERROR(__xludf.DUMMYFUNCTION("""COMPUTED_VALUE"""),"No")</f>
        <v>No</v>
      </c>
      <c r="AL301" s="8"/>
      <c r="AM301" s="8" t="str">
        <f ca="1">IFERROR(__xludf.DUMMYFUNCTION("""COMPUTED_VALUE"""),"No")</f>
        <v>No</v>
      </c>
      <c r="AN301" s="8" t="str">
        <f ca="1">IFERROR(__xludf.DUMMYFUNCTION("""COMPUTED_VALUE"""),"Outside")</f>
        <v>Outside</v>
      </c>
      <c r="AO301" s="8" t="str">
        <f ca="1">IFERROR(__xludf.DUMMYFUNCTION("""COMPUTED_VALUE"""),"No")</f>
        <v>No</v>
      </c>
      <c r="AP301" s="8"/>
      <c r="AQ301" s="8"/>
      <c r="AR301" s="8" t="str">
        <f ca="1">IFERROR(__xludf.DUMMYFUNCTION("""COMPUTED_VALUE"""),"Outside/Off-Property")</f>
        <v>Outside/Off-Property</v>
      </c>
      <c r="AS301" s="8">
        <f ca="1">IFERROR(__xludf.DUMMYFUNCTION("""COMPUTED_VALUE"""),20)</f>
        <v>20</v>
      </c>
      <c r="AT301" s="8"/>
      <c r="AU301" s="8">
        <f ca="1">IFERROR(__xludf.DUMMYFUNCTION("""COMPUTED_VALUE"""),40.854381)</f>
        <v>40.854380999999997</v>
      </c>
      <c r="AV301" s="8">
        <f ca="1">IFERROR(__xludf.DUMMYFUNCTION("""COMPUTED_VALUE"""),-73.913409)</f>
        <v>-73.913409000000001</v>
      </c>
      <c r="AW301" s="8" t="str">
        <f ca="1">IFERROR(__xludf.DUMMYFUNCTION("""COMPUTED_VALUE"""),"Urban Street Standalone")</f>
        <v>Urban Street Standalone</v>
      </c>
      <c r="AX301" s="8">
        <f ca="1">IFERROR(__xludf.DUMMYFUNCTION("""COMPUTED_VALUE"""),10453)</f>
        <v>10453</v>
      </c>
    </row>
    <row r="302" spans="1:50" ht="135" x14ac:dyDescent="0.2">
      <c r="A302" s="8" t="str">
        <f ca="1">IFERROR(__xludf.DUMMYFUNCTION("""COMPUTED_VALUE"""),"20240824ALCJC")</f>
        <v>20240824ALCJC</v>
      </c>
      <c r="B302" s="8">
        <f ca="1">IFERROR(__xludf.DUMMYFUNCTION("""COMPUTED_VALUE"""),8)</f>
        <v>8</v>
      </c>
      <c r="C302" s="8">
        <f ca="1">IFERROR(__xludf.DUMMYFUNCTION("""COMPUTED_VALUE"""),24)</f>
        <v>24</v>
      </c>
      <c r="D302" s="8">
        <f ca="1">IFERROR(__xludf.DUMMYFUNCTION("""COMPUTED_VALUE"""),2024)</f>
        <v>2024</v>
      </c>
      <c r="E302" s="9">
        <f ca="1">IFERROR(__xludf.DUMMYFUNCTION("""COMPUTED_VALUE"""),45528)</f>
        <v>45528</v>
      </c>
      <c r="F302" s="8" t="str">
        <f ca="1">IFERROR(__xludf.DUMMYFUNCTION("""COMPUTED_VALUE"""),"C &amp; J Farms")</f>
        <v>C &amp; J Farms</v>
      </c>
      <c r="G302" s="8">
        <f ca="1">IFERROR(__xludf.DUMMYFUNCTION("""COMPUTED_VALUE"""),0)</f>
        <v>0</v>
      </c>
      <c r="H302" s="8">
        <f ca="1">IFERROR(__xludf.DUMMYFUNCTION("""COMPUTED_VALUE"""),2)</f>
        <v>2</v>
      </c>
      <c r="I302" s="8">
        <f ca="1">IFERROR(__xludf.DUMMYFUNCTION("""COMPUTED_VALUE"""),2)</f>
        <v>2</v>
      </c>
      <c r="J302" s="8">
        <f ca="1">IFERROR(__xludf.DUMMYFUNCTION("""COMPUTED_VALUE"""),0)</f>
        <v>0</v>
      </c>
      <c r="K302" s="10" t="str">
        <f ca="1">IFERROR(__xludf.DUMMYFUNCTION("""COMPUTED_VALUE"""),"https://www.bibbvoice.com/2024/08/29/shots-fired-during-school-class-event-on-duff-road/")</f>
        <v>https://www.bibbvoice.com/2024/08/29/shots-fired-during-school-class-event-on-duff-road/</v>
      </c>
      <c r="L302" s="8">
        <f ca="1">IFERROR(__xludf.DUMMYFUNCTION("""COMPUTED_VALUE"""),1)</f>
        <v>1</v>
      </c>
      <c r="M302" s="8" t="str">
        <f ca="1">IFERROR(__xludf.DUMMYFUNCTION("""COMPUTED_VALUE"""),"Local")</f>
        <v>Local</v>
      </c>
      <c r="N302" s="8">
        <f ca="1">IFERROR(__xludf.DUMMYFUNCTION("""COMPUTED_VALUE"""),4)</f>
        <v>4</v>
      </c>
      <c r="O302" s="8" t="str">
        <f ca="1">IFERROR(__xludf.DUMMYFUNCTION("""COMPUTED_VALUE"""),"Summer")</f>
        <v>Summer</v>
      </c>
      <c r="P302" s="8" t="str">
        <f ca="1">IFERROR(__xludf.DUMMYFUNCTION("""COMPUTED_VALUE"""),"Clanton")</f>
        <v>Clanton</v>
      </c>
      <c r="Q302" s="8" t="str">
        <f ca="1">IFERROR(__xludf.DUMMYFUNCTION("""COMPUTED_VALUE"""),"AL")</f>
        <v>AL</v>
      </c>
      <c r="R302" s="8" t="str">
        <f ca="1">IFERROR(__xludf.DUMMYFUNCTION("""COMPUTED_VALUE"""),"High")</f>
        <v>High</v>
      </c>
      <c r="S302" s="8" t="str">
        <f ca="1">IFERROR(__xludf.DUMMYFUNCTION("""COMPUTED_VALUE"""),"Off School Property")</f>
        <v>Off School Property</v>
      </c>
      <c r="T302" s="8" t="str">
        <f ca="1">IFERROR(__xludf.DUMMYFUNCTION("""COMPUTED_VALUE"""),"Off School Property")</f>
        <v>Off School Property</v>
      </c>
      <c r="U302" s="8" t="str">
        <f ca="1">IFERROR(__xludf.DUMMYFUNCTION("""COMPUTED_VALUE"""),"No")</f>
        <v>No</v>
      </c>
      <c r="V302" s="8" t="str">
        <f ca="1">IFERROR(__xludf.DUMMYFUNCTION("""COMPUTED_VALUE"""),"School Event")</f>
        <v>School Event</v>
      </c>
      <c r="W302" s="11">
        <f ca="1">IFERROR(__xludf.DUMMYFUNCTION("""COMPUTED_VALUE"""),0.925694444444444)</f>
        <v>0.92569444444444404</v>
      </c>
      <c r="X302" s="8">
        <f ca="1">IFERROR(__xludf.DUMMYFUNCTION("""COMPUTED_VALUE"""),1)</f>
        <v>1</v>
      </c>
      <c r="Y302" s="12" t="str">
        <f ca="1">IFERROR(__xludf.DUMMYFUNCTION("""COMPUTED_VALUE"""),"Two shot during school event")</f>
        <v>Two shot during school event</v>
      </c>
      <c r="Z302" s="12" t="str">
        <f ca="1">IFERROR(__xludf.DUMMYFUNCTION("""COMPUTED_VALUE"""),"“The Bibb County Sheriff’s office was dispatched Saturday night to the area of Duff Meadows in Brent where there was a class reunion event. My Deputies as well as multiple other in county agencies responded including West Blocton, Woodstock, Brent and Cen"&amp;"treville. Upon arrival multiple vehicles were found to have been shot and 2 gunshot victims. One victim was shot in the arm another shot in the head. Both victims are recovering at home. At this time one arrest has been made in connection with the shootin"&amp;"g.""")</f>
        <v>“The Bibb County Sheriff’s office was dispatched Saturday night to the area of Duff Meadows in Brent where there was a class reunion event. My Deputies as well as multiple other in county agencies responded including West Blocton, Woodstock, Brent and Centreville. Upon arrival multiple vehicles were found to have been shot and 2 gunshot victims. One victim was shot in the arm another shot in the head. Both victims are recovering at home. At this time one arrest has been made in connection with the shooting."</v>
      </c>
      <c r="AA302" s="8" t="str">
        <f ca="1">IFERROR(__xludf.DUMMYFUNCTION("""COMPUTED_VALUE"""),"Escalation of Dispute")</f>
        <v>Escalation of Dispute</v>
      </c>
      <c r="AB302" s="8" t="str">
        <f ca="1">IFERROR(__xludf.DUMMYFUNCTION("""COMPUTED_VALUE"""),"Spontaneous")</f>
        <v>Spontaneous</v>
      </c>
      <c r="AC302" s="8"/>
      <c r="AD302" s="8"/>
      <c r="AE302" s="8" t="str">
        <f ca="1">IFERROR(__xludf.DUMMYFUNCTION("""COMPUTED_VALUE"""),"No")</f>
        <v>No</v>
      </c>
      <c r="AF302" s="8"/>
      <c r="AG302" s="8" t="str">
        <f ca="1">IFERROR(__xludf.DUMMYFUNCTION("""COMPUTED_VALUE"""),"No")</f>
        <v>No</v>
      </c>
      <c r="AH302" s="8" t="str">
        <f ca="1">IFERROR(__xludf.DUMMYFUNCTION("""COMPUTED_VALUE"""),"No")</f>
        <v>No</v>
      </c>
      <c r="AI302" s="8" t="str">
        <f ca="1">IFERROR(__xludf.DUMMYFUNCTION("""COMPUTED_VALUE"""),"No")</f>
        <v>No</v>
      </c>
      <c r="AJ302" s="8" t="str">
        <f ca="1">IFERROR(__xludf.DUMMYFUNCTION("""COMPUTED_VALUE"""),"No")</f>
        <v>No</v>
      </c>
      <c r="AK302" s="8" t="str">
        <f ca="1">IFERROR(__xludf.DUMMYFUNCTION("""COMPUTED_VALUE"""),"No")</f>
        <v>No</v>
      </c>
      <c r="AL302" s="8" t="str">
        <f ca="1">IFERROR(__xludf.DUMMYFUNCTION("""COMPUTED_VALUE"""),"No")</f>
        <v>No</v>
      </c>
      <c r="AM302" s="8" t="str">
        <f ca="1">IFERROR(__xludf.DUMMYFUNCTION("""COMPUTED_VALUE"""),"No")</f>
        <v>No</v>
      </c>
      <c r="AN302" s="8" t="str">
        <f ca="1">IFERROR(__xludf.DUMMYFUNCTION("""COMPUTED_VALUE"""),"Outside")</f>
        <v>Outside</v>
      </c>
      <c r="AO302" s="8" t="str">
        <f ca="1">IFERROR(__xludf.DUMMYFUNCTION("""COMPUTED_VALUE"""),"No")</f>
        <v>No</v>
      </c>
      <c r="AP302" s="8"/>
      <c r="AQ302" s="8"/>
      <c r="AR302" s="8" t="str">
        <f ca="1">IFERROR(__xludf.DUMMYFUNCTION("""COMPUTED_VALUE"""),"Outside/Off-Property")</f>
        <v>Outside/Off-Property</v>
      </c>
      <c r="AS302" s="8">
        <f ca="1">IFERROR(__xludf.DUMMYFUNCTION("""COMPUTED_VALUE"""),99)</f>
        <v>99</v>
      </c>
      <c r="AT302" s="8" t="str">
        <f ca="1">IFERROR(__xludf.DUMMYFUNCTION("""COMPUTED_VALUE"""),"No")</f>
        <v>No</v>
      </c>
      <c r="AU302" s="8">
        <f ca="1">IFERROR(__xludf.DUMMYFUNCTION("""COMPUTED_VALUE"""),32.92787)</f>
        <v>32.927869999999999</v>
      </c>
      <c r="AV302" s="8">
        <f ca="1">IFERROR(__xludf.DUMMYFUNCTION("""COMPUTED_VALUE"""),-86.688661)</f>
        <v>-86.688660999999996</v>
      </c>
      <c r="AW302" s="8"/>
      <c r="AX302" s="8">
        <f ca="1">IFERROR(__xludf.DUMMYFUNCTION("""COMPUTED_VALUE"""),35045)</f>
        <v>35045</v>
      </c>
    </row>
    <row r="303" spans="1:50" ht="240" x14ac:dyDescent="0.2">
      <c r="A303" s="8" t="str">
        <f ca="1">IFERROR(__xludf.DUMMYFUNCTION("""COMPUTED_VALUE"""),"20240824ILGAC")</f>
        <v>20240824ILGAC</v>
      </c>
      <c r="B303" s="8">
        <f ca="1">IFERROR(__xludf.DUMMYFUNCTION("""COMPUTED_VALUE"""),8)</f>
        <v>8</v>
      </c>
      <c r="C303" s="8">
        <f ca="1">IFERROR(__xludf.DUMMYFUNCTION("""COMPUTED_VALUE"""),24)</f>
        <v>24</v>
      </c>
      <c r="D303" s="8">
        <f ca="1">IFERROR(__xludf.DUMMYFUNCTION("""COMPUTED_VALUE"""),2024)</f>
        <v>2024</v>
      </c>
      <c r="E303" s="9">
        <f ca="1">IFERROR(__xludf.DUMMYFUNCTION("""COMPUTED_VALUE"""),45528)</f>
        <v>45528</v>
      </c>
      <c r="F303" s="8" t="str">
        <f ca="1">IFERROR(__xludf.DUMMYFUNCTION("""COMPUTED_VALUE"""),"Gately Park Stadium")</f>
        <v>Gately Park Stadium</v>
      </c>
      <c r="G303" s="8">
        <f ca="1">IFERROR(__xludf.DUMMYFUNCTION("""COMPUTED_VALUE"""),0)</f>
        <v>0</v>
      </c>
      <c r="H303" s="8">
        <f ca="1">IFERROR(__xludf.DUMMYFUNCTION("""COMPUTED_VALUE"""),1)</f>
        <v>1</v>
      </c>
      <c r="I303" s="8">
        <f ca="1">IFERROR(__xludf.DUMMYFUNCTION("""COMPUTED_VALUE"""),1)</f>
        <v>1</v>
      </c>
      <c r="J303" s="8">
        <f ca="1">IFERROR(__xludf.DUMMYFUNCTION("""COMPUTED_VALUE"""),0)</f>
        <v>0</v>
      </c>
      <c r="K303" s="10" t="str">
        <f ca="1">IFERROR(__xludf.DUMMYFUNCTION("""COMPUTED_VALUE"""),"https://abc7chicago.com/post/chicago-shooting-15-year-old-boy-shot-pullman-parking-lot-south-cottage-grove-avenue-gately-park-stadium-police-say/15227185/
https://wgntv.com/news/chicagocrime/teen-shot-in-parking-lot-of-gately-park-stadium/")</f>
        <v>https://abc7chicago.com/post/chicago-shooting-15-year-old-boy-shot-pullman-parking-lot-south-cottage-grove-avenue-gately-park-stadium-police-say/15227185/
https://wgntv.com/news/chicagocrime/teen-shot-in-parking-lot-of-gately-park-stadium/</v>
      </c>
      <c r="L303" s="8">
        <f ca="1">IFERROR(__xludf.DUMMYFUNCTION("""COMPUTED_VALUE"""),10)</f>
        <v>10</v>
      </c>
      <c r="M303" s="8" t="str">
        <f ca="1">IFERROR(__xludf.DUMMYFUNCTION("""COMPUTED_VALUE"""),"Regional")</f>
        <v>Regional</v>
      </c>
      <c r="N303" s="8">
        <f ca="1">IFERROR(__xludf.DUMMYFUNCTION("""COMPUTED_VALUE"""),4)</f>
        <v>4</v>
      </c>
      <c r="O303" s="8" t="str">
        <f ca="1">IFERROR(__xludf.DUMMYFUNCTION("""COMPUTED_VALUE"""),"Summer")</f>
        <v>Summer</v>
      </c>
      <c r="P303" s="8" t="str">
        <f ca="1">IFERROR(__xludf.DUMMYFUNCTION("""COMPUTED_VALUE"""),"Chicago")</f>
        <v>Chicago</v>
      </c>
      <c r="Q303" s="8" t="str">
        <f ca="1">IFERROR(__xludf.DUMMYFUNCTION("""COMPUTED_VALUE"""),"IL")</f>
        <v>IL</v>
      </c>
      <c r="R303" s="8" t="str">
        <f ca="1">IFERROR(__xludf.DUMMYFUNCTION("""COMPUTED_VALUE"""),"High")</f>
        <v>High</v>
      </c>
      <c r="S303" s="8" t="str">
        <f ca="1">IFERROR(__xludf.DUMMYFUNCTION("""COMPUTED_VALUE"""),"Parking Lot")</f>
        <v>Parking Lot</v>
      </c>
      <c r="T303" s="8" t="str">
        <f ca="1">IFERROR(__xludf.DUMMYFUNCTION("""COMPUTED_VALUE"""),"Outside on School Property")</f>
        <v>Outside on School Property</v>
      </c>
      <c r="U303" s="8" t="str">
        <f ca="1">IFERROR(__xludf.DUMMYFUNCTION("""COMPUTED_VALUE"""),"No")</f>
        <v>No</v>
      </c>
      <c r="V303" s="8" t="str">
        <f ca="1">IFERROR(__xludf.DUMMYFUNCTION("""COMPUTED_VALUE"""),"Sport Event")</f>
        <v>Sport Event</v>
      </c>
      <c r="W303" s="11">
        <f ca="1">IFERROR(__xludf.DUMMYFUNCTION("""COMPUTED_VALUE"""),0.677083333333333)</f>
        <v>0.67708333333333304</v>
      </c>
      <c r="X303" s="8">
        <f ca="1">IFERROR(__xludf.DUMMYFUNCTION("""COMPUTED_VALUE"""),1)</f>
        <v>1</v>
      </c>
      <c r="Y303" s="12" t="str">
        <f ca="1">IFERROR(__xludf.DUMMYFUNCTION("""COMPUTED_VALUE"""),"Student was shot during a back to school event and basketball game at the stadium")</f>
        <v>Student was shot during a back to school event and basketball game at the stadium</v>
      </c>
      <c r="Z303" s="12" t="str">
        <f ca="1">IFERROR(__xludf.DUMMYFUNCTION("""COMPUTED_VALUE"""),"The shooting happened around 4:15 p.m. in a parking lot in the 10300 block of South Cottage Grove near the Gately Park Stadium, which is located at 810 E. 103rd St. in Pullman near Roseland, Chicago police said. Witnesses told ABC7 the shooting happened d"&amp;"uring a back-to-school event. There was a basketball game going on during the event, and after it wrapped up crowds of teens started to gather in the parking lot. A 15-year-old boy was standing among the crowd in the parking lot when he was approached by "&amp;"a white vehicle and someone inside began to fire shots at him, police said. One witness who rendered aid on scene told ABC7 the teenager was arguing with a person in a white SUV before the shots were fired and the SUV drove off. The teen victim was shot i"&amp;"n the abdomen, police said. He was taken to Comer Children's Hospital, where he was initially reported to be in serious condition.")</f>
        <v>The shooting happened around 4:15 p.m. in a parking lot in the 10300 block of South Cottage Grove near the Gately Park Stadium, which is located at 810 E. 103rd St. in Pullman near Roseland, Chicago police said. Witnesses told ABC7 the shooting happened during a back-to-school event. There was a basketball game going on during the event, and after it wrapped up crowds of teens started to gather in the parking lot. A 15-year-old boy was standing among the crowd in the parking lot when he was approached by a white vehicle and someone inside began to fire shots at him, police said. One witness who rendered aid on scene told ABC7 the teenager was arguing with a person in a white SUV before the shots were fired and the SUV drove off. The teen victim was shot in the abdomen, police said. He was taken to Comer Children's Hospital, where he was initially reported to be in serious condition.</v>
      </c>
      <c r="AA303" s="8" t="str">
        <f ca="1">IFERROR(__xludf.DUMMYFUNCTION("""COMPUTED_VALUE"""),"Escalation of Dispute")</f>
        <v>Escalation of Dispute</v>
      </c>
      <c r="AB303" s="8" t="str">
        <f ca="1">IFERROR(__xludf.DUMMYFUNCTION("""COMPUTED_VALUE"""),"Targeted")</f>
        <v>Targeted</v>
      </c>
      <c r="AC303" s="8" t="str">
        <f ca="1">IFERROR(__xludf.DUMMYFUNCTION("""COMPUTED_VALUE"""),"Yes")</f>
        <v>Yes</v>
      </c>
      <c r="AD303" s="8" t="str">
        <f ca="1">IFERROR(__xludf.DUMMYFUNCTION("""COMPUTED_VALUE"""),"Victims Targeted")</f>
        <v>Victims Targeted</v>
      </c>
      <c r="AE303" s="8" t="str">
        <f ca="1">IFERROR(__xludf.DUMMYFUNCTION("""COMPUTED_VALUE"""),"No")</f>
        <v>No</v>
      </c>
      <c r="AF303" s="8"/>
      <c r="AG303" s="8" t="str">
        <f ca="1">IFERROR(__xludf.DUMMYFUNCTION("""COMPUTED_VALUE"""),"No")</f>
        <v>No</v>
      </c>
      <c r="AH303" s="8" t="str">
        <f ca="1">IFERROR(__xludf.DUMMYFUNCTION("""COMPUTED_VALUE"""),"No")</f>
        <v>No</v>
      </c>
      <c r="AI303" s="8" t="str">
        <f ca="1">IFERROR(__xludf.DUMMYFUNCTION("""COMPUTED_VALUE"""),"No")</f>
        <v>No</v>
      </c>
      <c r="AJ303" s="8" t="str">
        <f ca="1">IFERROR(__xludf.DUMMYFUNCTION("""COMPUTED_VALUE"""),"No")</f>
        <v>No</v>
      </c>
      <c r="AK303" s="8" t="str">
        <f ca="1">IFERROR(__xludf.DUMMYFUNCTION("""COMPUTED_VALUE"""),"No")</f>
        <v>No</v>
      </c>
      <c r="AL303" s="8" t="str">
        <f ca="1">IFERROR(__xludf.DUMMYFUNCTION("""COMPUTED_VALUE"""),"No")</f>
        <v>No</v>
      </c>
      <c r="AM303" s="8" t="str">
        <f ca="1">IFERROR(__xludf.DUMMYFUNCTION("""COMPUTED_VALUE"""),"No")</f>
        <v>No</v>
      </c>
      <c r="AN303" s="8" t="str">
        <f ca="1">IFERROR(__xludf.DUMMYFUNCTION("""COMPUTED_VALUE"""),"Outside")</f>
        <v>Outside</v>
      </c>
      <c r="AO303" s="8" t="str">
        <f ca="1">IFERROR(__xludf.DUMMYFUNCTION("""COMPUTED_VALUE"""),"No")</f>
        <v>No</v>
      </c>
      <c r="AP303" s="8"/>
      <c r="AQ303" s="8"/>
      <c r="AR303" s="8" t="str">
        <f ca="1">IFERROR(__xludf.DUMMYFUNCTION("""COMPUTED_VALUE"""),"Outside/Off-Property")</f>
        <v>Outside/Off-Property</v>
      </c>
      <c r="AS303" s="8">
        <f ca="1">IFERROR(__xludf.DUMMYFUNCTION("""COMPUTED_VALUE"""),99)</f>
        <v>99</v>
      </c>
      <c r="AT303" s="8" t="str">
        <f ca="1">IFERROR(__xludf.DUMMYFUNCTION("""COMPUTED_VALUE"""),"No")</f>
        <v>No</v>
      </c>
      <c r="AU303" s="8">
        <f ca="1">IFERROR(__xludf.DUMMYFUNCTION("""COMPUTED_VALUE"""),41.708185)</f>
        <v>41.708185</v>
      </c>
      <c r="AV303" s="8">
        <f ca="1">IFERROR(__xludf.DUMMYFUNCTION("""COMPUTED_VALUE"""),-87.602595)</f>
        <v>-87.602594999999994</v>
      </c>
      <c r="AW303" s="8"/>
      <c r="AX303" s="8">
        <f ca="1">IFERROR(__xludf.DUMMYFUNCTION("""COMPUTED_VALUE"""),60617)</f>
        <v>60617</v>
      </c>
    </row>
    <row r="304" spans="1:50" ht="90" x14ac:dyDescent="0.2">
      <c r="A304" s="8" t="str">
        <f ca="1">IFERROR(__xludf.DUMMYFUNCTION("""COMPUTED_VALUE"""),"20240822MOHAL")</f>
        <v>20240822MOHAL</v>
      </c>
      <c r="B304" s="8">
        <f ca="1">IFERROR(__xludf.DUMMYFUNCTION("""COMPUTED_VALUE"""),8)</f>
        <v>8</v>
      </c>
      <c r="C304" s="8">
        <f ca="1">IFERROR(__xludf.DUMMYFUNCTION("""COMPUTED_VALUE"""),22)</f>
        <v>22</v>
      </c>
      <c r="D304" s="8">
        <f ca="1">IFERROR(__xludf.DUMMYFUNCTION("""COMPUTED_VALUE"""),2024)</f>
        <v>2024</v>
      </c>
      <c r="E304" s="9">
        <f ca="1">IFERROR(__xludf.DUMMYFUNCTION("""COMPUTED_VALUE"""),45526)</f>
        <v>45526</v>
      </c>
      <c r="F304" s="8" t="str">
        <f ca="1">IFERROR(__xludf.DUMMYFUNCTION("""COMPUTED_VALUE"""),"Hancock Place School District")</f>
        <v>Hancock Place School District</v>
      </c>
      <c r="G304" s="8">
        <f ca="1">IFERROR(__xludf.DUMMYFUNCTION("""COMPUTED_VALUE"""),0)</f>
        <v>0</v>
      </c>
      <c r="H304" s="8">
        <f ca="1">IFERROR(__xludf.DUMMYFUNCTION("""COMPUTED_VALUE"""),0)</f>
        <v>0</v>
      </c>
      <c r="I304" s="8">
        <f ca="1">IFERROR(__xludf.DUMMYFUNCTION("""COMPUTED_VALUE"""),0)</f>
        <v>0</v>
      </c>
      <c r="J304" s="8">
        <f ca="1">IFERROR(__xludf.DUMMYFUNCTION("""COMPUTED_VALUE"""),1)</f>
        <v>1</v>
      </c>
      <c r="K304" s="10" t="str">
        <f ca="1">IFERROR(__xludf.DUMMYFUNCTION("""COMPUTED_VALUE"""),"https://www.ksdk.com/article/news/crime/lemay-teen-shot-killed/63-b212f661-18da-40d1-a6cb-d135312d1375")</f>
        <v>https://www.ksdk.com/article/news/crime/lemay-teen-shot-killed/63-b212f661-18da-40d1-a6cb-d135312d1375</v>
      </c>
      <c r="L304" s="8">
        <f ca="1">IFERROR(__xludf.DUMMYFUNCTION("""COMPUTED_VALUE"""),1)</f>
        <v>1</v>
      </c>
      <c r="M304" s="8" t="str">
        <f ca="1">IFERROR(__xludf.DUMMYFUNCTION("""COMPUTED_VALUE"""),"Local")</f>
        <v>Local</v>
      </c>
      <c r="N304" s="8">
        <f ca="1">IFERROR(__xludf.DUMMYFUNCTION("""COMPUTED_VALUE"""),3)</f>
        <v>3</v>
      </c>
      <c r="O304" s="8" t="str">
        <f ca="1">IFERROR(__xludf.DUMMYFUNCTION("""COMPUTED_VALUE"""),"Summer")</f>
        <v>Summer</v>
      </c>
      <c r="P304" s="8" t="str">
        <f ca="1">IFERROR(__xludf.DUMMYFUNCTION("""COMPUTED_VALUE"""),"Lemay")</f>
        <v>Lemay</v>
      </c>
      <c r="Q304" s="8" t="str">
        <f ca="1">IFERROR(__xludf.DUMMYFUNCTION("""COMPUTED_VALUE"""),"MO")</f>
        <v>MO</v>
      </c>
      <c r="R304" s="8"/>
      <c r="S304" s="8" t="str">
        <f ca="1">IFERROR(__xludf.DUMMYFUNCTION("""COMPUTED_VALUE"""),"Parking Lot")</f>
        <v>Parking Lot</v>
      </c>
      <c r="T304" s="8" t="str">
        <f ca="1">IFERROR(__xludf.DUMMYFUNCTION("""COMPUTED_VALUE"""),"Outside on School Property")</f>
        <v>Outside on School Property</v>
      </c>
      <c r="U304" s="8" t="str">
        <f ca="1">IFERROR(__xludf.DUMMYFUNCTION("""COMPUTED_VALUE"""),"No")</f>
        <v>No</v>
      </c>
      <c r="V304" s="8"/>
      <c r="W304" s="11">
        <f ca="1">IFERROR(__xludf.DUMMYFUNCTION("""COMPUTED_VALUE"""),0.534722222222222)</f>
        <v>0.53472222222222199</v>
      </c>
      <c r="X304" s="8">
        <f ca="1">IFERROR(__xludf.DUMMYFUNCTION("""COMPUTED_VALUE"""),1)</f>
        <v>1</v>
      </c>
      <c r="Y304" s="12" t="str">
        <f ca="1">IFERROR(__xludf.DUMMYFUNCTION("""COMPUTED_VALUE"""),"Teen fatally shot himself at the school district administrative office")</f>
        <v>Teen fatally shot himself at the school district administrative office</v>
      </c>
      <c r="Z304" s="12" t="str">
        <f ca="1">IFERROR(__xludf.DUMMYFUNCTION("""COMPUTED_VALUE"""),"Officers initially responded to the scene at 12:50 p.m. Tuesday at the 300 block of Goetz Avenue near the Hancock Place School District's central administration office, which doubles as an early childhood center. There, they found the teen suffering from "&amp;"a self inflicted gunshot injury, who was later pronounced dead at the scene.")</f>
        <v>Officers initially responded to the scene at 12:50 p.m. Tuesday at the 300 block of Goetz Avenue near the Hancock Place School District's central administration office, which doubles as an early childhood center. There, they found the teen suffering from a self inflicted gunshot injury, who was later pronounced dead at the scene.</v>
      </c>
      <c r="AA304" s="8" t="str">
        <f ca="1">IFERROR(__xludf.DUMMYFUNCTION("""COMPUTED_VALUE"""),"Suicide/Attempted")</f>
        <v>Suicide/Attempted</v>
      </c>
      <c r="AB304" s="8" t="str">
        <f ca="1">IFERROR(__xludf.DUMMYFUNCTION("""COMPUTED_VALUE"""),"Targeted")</f>
        <v>Targeted</v>
      </c>
      <c r="AC304" s="8" t="str">
        <f ca="1">IFERROR(__xludf.DUMMYFUNCTION("""COMPUTED_VALUE"""),"Yes")</f>
        <v>Yes</v>
      </c>
      <c r="AD304" s="8" t="str">
        <f ca="1">IFERROR(__xludf.DUMMYFUNCTION("""COMPUTED_VALUE"""),"Victims Targeted")</f>
        <v>Victims Targeted</v>
      </c>
      <c r="AE304" s="8" t="str">
        <f ca="1">IFERROR(__xludf.DUMMYFUNCTION("""COMPUTED_VALUE"""),"No")</f>
        <v>No</v>
      </c>
      <c r="AF304" s="8"/>
      <c r="AG304" s="8" t="str">
        <f ca="1">IFERROR(__xludf.DUMMYFUNCTION("""COMPUTED_VALUE"""),"No")</f>
        <v>No</v>
      </c>
      <c r="AH304" s="8" t="str">
        <f ca="1">IFERROR(__xludf.DUMMYFUNCTION("""COMPUTED_VALUE"""),"No")</f>
        <v>No</v>
      </c>
      <c r="AI304" s="8" t="str">
        <f ca="1">IFERROR(__xludf.DUMMYFUNCTION("""COMPUTED_VALUE"""),"No")</f>
        <v>No</v>
      </c>
      <c r="AJ304" s="8" t="str">
        <f ca="1">IFERROR(__xludf.DUMMYFUNCTION("""COMPUTED_VALUE"""),"No")</f>
        <v>No</v>
      </c>
      <c r="AK304" s="8" t="str">
        <f ca="1">IFERROR(__xludf.DUMMYFUNCTION("""COMPUTED_VALUE"""),"No")</f>
        <v>No</v>
      </c>
      <c r="AL304" s="8" t="str">
        <f ca="1">IFERROR(__xludf.DUMMYFUNCTION("""COMPUTED_VALUE"""),"No")</f>
        <v>No</v>
      </c>
      <c r="AM304" s="8" t="str">
        <f ca="1">IFERROR(__xludf.DUMMYFUNCTION("""COMPUTED_VALUE"""),"No")</f>
        <v>No</v>
      </c>
      <c r="AN304" s="8" t="str">
        <f ca="1">IFERROR(__xludf.DUMMYFUNCTION("""COMPUTED_VALUE"""),"Outside")</f>
        <v>Outside</v>
      </c>
      <c r="AO304" s="8" t="str">
        <f ca="1">IFERROR(__xludf.DUMMYFUNCTION("""COMPUTED_VALUE"""),"No")</f>
        <v>No</v>
      </c>
      <c r="AP304" s="8"/>
      <c r="AQ304" s="8"/>
      <c r="AR304" s="8" t="str">
        <f ca="1">IFERROR(__xludf.DUMMYFUNCTION("""COMPUTED_VALUE"""),"Outside/Off-Property")</f>
        <v>Outside/Off-Property</v>
      </c>
      <c r="AS304" s="8">
        <f ca="1">IFERROR(__xludf.DUMMYFUNCTION("""COMPUTED_VALUE"""),1)</f>
        <v>1</v>
      </c>
      <c r="AT304" s="8" t="str">
        <f ca="1">IFERROR(__xludf.DUMMYFUNCTION("""COMPUTED_VALUE"""),"No")</f>
        <v>No</v>
      </c>
      <c r="AU304" s="8">
        <f ca="1">IFERROR(__xludf.DUMMYFUNCTION("""COMPUTED_VALUE"""),38.533113)</f>
        <v>38.533113</v>
      </c>
      <c r="AV304" s="8">
        <f ca="1">IFERROR(__xludf.DUMMYFUNCTION("""COMPUTED_VALUE"""),-90.276422)</f>
        <v>-90.276421999999997</v>
      </c>
      <c r="AW304" s="8"/>
      <c r="AX304" s="8">
        <f ca="1">IFERROR(__xludf.DUMMYFUNCTION("""COMPUTED_VALUE"""),63125)</f>
        <v>63125</v>
      </c>
    </row>
    <row r="305" spans="1:50" ht="75" x14ac:dyDescent="0.2">
      <c r="A305" s="8" t="str">
        <f ca="1">IFERROR(__xludf.DUMMYFUNCTION("""COMPUTED_VALUE"""),"20240822TXFRE")</f>
        <v>20240822TXFRE</v>
      </c>
      <c r="B305" s="8">
        <f ca="1">IFERROR(__xludf.DUMMYFUNCTION("""COMPUTED_VALUE"""),8)</f>
        <v>8</v>
      </c>
      <c r="C305" s="8">
        <f ca="1">IFERROR(__xludf.DUMMYFUNCTION("""COMPUTED_VALUE"""),22)</f>
        <v>22</v>
      </c>
      <c r="D305" s="8">
        <f ca="1">IFERROR(__xludf.DUMMYFUNCTION("""COMPUTED_VALUE"""),2024)</f>
        <v>2024</v>
      </c>
      <c r="E305" s="9">
        <f ca="1">IFERROR(__xludf.DUMMYFUNCTION("""COMPUTED_VALUE"""),45526)</f>
        <v>45526</v>
      </c>
      <c r="F305" s="8" t="str">
        <f ca="1">IFERROR(__xludf.DUMMYFUNCTION("""COMPUTED_VALUE"""),"Franklin High School")</f>
        <v>Franklin High School</v>
      </c>
      <c r="G305" s="8">
        <f ca="1">IFERROR(__xludf.DUMMYFUNCTION("""COMPUTED_VALUE"""),1)</f>
        <v>1</v>
      </c>
      <c r="H305" s="8">
        <f ca="1">IFERROR(__xludf.DUMMYFUNCTION("""COMPUTED_VALUE"""),0)</f>
        <v>0</v>
      </c>
      <c r="I305" s="8">
        <f ca="1">IFERROR(__xludf.DUMMYFUNCTION("""COMPUTED_VALUE"""),1)</f>
        <v>1</v>
      </c>
      <c r="J305" s="8">
        <f ca="1">IFERROR(__xludf.DUMMYFUNCTION("""COMPUTED_VALUE"""),0)</f>
        <v>0</v>
      </c>
      <c r="K305" s="8" t="str">
        <f ca="1">IFERROR(__xludf.DUMMYFUNCTION("""COMPUTED_VALUE"""),"https://kfoxtv.com/news/local/man-killed-in-franklin-high-officer-involved-shooting-was-retired-fbi-agent
https://people.com/police-shooting-outside-texas-high-school-cancellation-classes-8700010")</f>
        <v>https://kfoxtv.com/news/local/man-killed-in-franklin-high-officer-involved-shooting-was-retired-fbi-agent
https://people.com/police-shooting-outside-texas-high-school-cancellation-classes-8700010</v>
      </c>
      <c r="L305" s="8">
        <f ca="1">IFERROR(__xludf.DUMMYFUNCTION("""COMPUTED_VALUE"""),10)</f>
        <v>10</v>
      </c>
      <c r="M305" s="8" t="str">
        <f ca="1">IFERROR(__xludf.DUMMYFUNCTION("""COMPUTED_VALUE"""),"National")</f>
        <v>National</v>
      </c>
      <c r="N305" s="8">
        <f ca="1">IFERROR(__xludf.DUMMYFUNCTION("""COMPUTED_VALUE"""),4)</f>
        <v>4</v>
      </c>
      <c r="O305" s="8" t="str">
        <f ca="1">IFERROR(__xludf.DUMMYFUNCTION("""COMPUTED_VALUE"""),"Summer")</f>
        <v>Summer</v>
      </c>
      <c r="P305" s="8" t="str">
        <f ca="1">IFERROR(__xludf.DUMMYFUNCTION("""COMPUTED_VALUE"""),"El Paso")</f>
        <v>El Paso</v>
      </c>
      <c r="Q305" s="8" t="str">
        <f ca="1">IFERROR(__xludf.DUMMYFUNCTION("""COMPUTED_VALUE"""),"TX")</f>
        <v>TX</v>
      </c>
      <c r="R305" s="8" t="str">
        <f ca="1">IFERROR(__xludf.DUMMYFUNCTION("""COMPUTED_VALUE"""),"High")</f>
        <v>High</v>
      </c>
      <c r="S305" s="8" t="str">
        <f ca="1">IFERROR(__xludf.DUMMYFUNCTION("""COMPUTED_VALUE"""),"Parking Lot")</f>
        <v>Parking Lot</v>
      </c>
      <c r="T305" s="8" t="str">
        <f ca="1">IFERROR(__xludf.DUMMYFUNCTION("""COMPUTED_VALUE"""),"Outside on School Property")</f>
        <v>Outside on School Property</v>
      </c>
      <c r="U305" s="8" t="str">
        <f ca="1">IFERROR(__xludf.DUMMYFUNCTION("""COMPUTED_VALUE"""),"Yes")</f>
        <v>Yes</v>
      </c>
      <c r="V305" s="8" t="str">
        <f ca="1">IFERROR(__xludf.DUMMYFUNCTION("""COMPUTED_VALUE"""),"School Start")</f>
        <v>School Start</v>
      </c>
      <c r="W305" s="11">
        <f ca="1">IFERROR(__xludf.DUMMYFUNCTION("""COMPUTED_VALUE"""),0.25)</f>
        <v>0.25</v>
      </c>
      <c r="X305" s="8">
        <f ca="1">IFERROR(__xludf.DUMMYFUNCTION("""COMPUTED_VALUE"""),1)</f>
        <v>1</v>
      </c>
      <c r="Y305" s="12" t="str">
        <f ca="1">IFERROR(__xludf.DUMMYFUNCTION("""COMPUTED_VALUE"""),"Police fatally shot an adult man on campus before classes started")</f>
        <v>Police fatally shot an adult man on campus before classes started</v>
      </c>
      <c r="Z305" s="12" t="str">
        <f ca="1">IFERROR(__xludf.DUMMYFUNCTION("""COMPUTED_VALUE"""),"Police fatally shot an unidentified man on campus before classes started. Sports teams were practicing at the time of the shooting and went on lockdown. Classes were cancelled for the day. The man killed by police was identified as a retired FBI agent.")</f>
        <v>Police fatally shot an unidentified man on campus before classes started. Sports teams were practicing at the time of the shooting and went on lockdown. Classes were cancelled for the day. The man killed by police was identified as a retired FBI agent.</v>
      </c>
      <c r="AA305" s="8" t="str">
        <f ca="1">IFERROR(__xludf.DUMMYFUNCTION("""COMPUTED_VALUE"""),"Officer-Involved Shooting")</f>
        <v>Officer-Involved Shooting</v>
      </c>
      <c r="AB305" s="8"/>
      <c r="AC305" s="8" t="str">
        <f ca="1">IFERROR(__xludf.DUMMYFUNCTION("""COMPUTED_VALUE"""),"Yes")</f>
        <v>Yes</v>
      </c>
      <c r="AD305" s="8" t="str">
        <f ca="1">IFERROR(__xludf.DUMMYFUNCTION("""COMPUTED_VALUE"""),"Victims Targeted")</f>
        <v>Victims Targeted</v>
      </c>
      <c r="AE305" s="8" t="str">
        <f ca="1">IFERROR(__xludf.DUMMYFUNCTION("""COMPUTED_VALUE"""),"No")</f>
        <v>No</v>
      </c>
      <c r="AF305" s="8"/>
      <c r="AG305" s="8" t="str">
        <f ca="1">IFERROR(__xludf.DUMMYFUNCTION("""COMPUTED_VALUE"""),"No")</f>
        <v>No</v>
      </c>
      <c r="AH305" s="8" t="str">
        <f ca="1">IFERROR(__xludf.DUMMYFUNCTION("""COMPUTED_VALUE"""),"No")</f>
        <v>No</v>
      </c>
      <c r="AI305" s="8" t="str">
        <f ca="1">IFERROR(__xludf.DUMMYFUNCTION("""COMPUTED_VALUE"""),"Yes")</f>
        <v>Yes</v>
      </c>
      <c r="AJ305" s="8" t="str">
        <f ca="1">IFERROR(__xludf.DUMMYFUNCTION("""COMPUTED_VALUE"""),"No")</f>
        <v>No</v>
      </c>
      <c r="AK305" s="8" t="str">
        <f ca="1">IFERROR(__xludf.DUMMYFUNCTION("""COMPUTED_VALUE"""),"No")</f>
        <v>No</v>
      </c>
      <c r="AL305" s="8" t="str">
        <f ca="1">IFERROR(__xludf.DUMMYFUNCTION("""COMPUTED_VALUE"""),"No")</f>
        <v>No</v>
      </c>
      <c r="AM305" s="8" t="str">
        <f ca="1">IFERROR(__xludf.DUMMYFUNCTION("""COMPUTED_VALUE"""),"No")</f>
        <v>No</v>
      </c>
      <c r="AN305" s="8" t="str">
        <f ca="1">IFERROR(__xludf.DUMMYFUNCTION("""COMPUTED_VALUE"""),"Outside")</f>
        <v>Outside</v>
      </c>
      <c r="AO305" s="8" t="str">
        <f ca="1">IFERROR(__xludf.DUMMYFUNCTION("""COMPUTED_VALUE"""),"No")</f>
        <v>No</v>
      </c>
      <c r="AP305" s="8" t="str">
        <f ca="1">IFERROR(__xludf.DUMMYFUNCTION("""COMPUTED_VALUE"""),"Yes")</f>
        <v>Yes</v>
      </c>
      <c r="AQ305" s="8" t="str">
        <f ca="1">IFERROR(__xludf.DUMMYFUNCTION("""COMPUTED_VALUE"""),"Armed Guards")</f>
        <v>Armed Guards</v>
      </c>
      <c r="AR305" s="8" t="str">
        <f ca="1">IFERROR(__xludf.DUMMYFUNCTION("""COMPUTED_VALUE"""),"Outside/Off-Property")</f>
        <v>Outside/Off-Property</v>
      </c>
      <c r="AS305" s="8"/>
      <c r="AT305" s="8" t="str">
        <f ca="1">IFERROR(__xludf.DUMMYFUNCTION("""COMPUTED_VALUE"""),"Yes")</f>
        <v>Yes</v>
      </c>
      <c r="AU305" s="8">
        <f ca="1">IFERROR(__xludf.DUMMYFUNCTION("""COMPUTED_VALUE"""),31.860546)</f>
        <v>31.860545999999999</v>
      </c>
      <c r="AV305" s="8">
        <f ca="1">IFERROR(__xludf.DUMMYFUNCTION("""COMPUTED_VALUE"""),-106.556197)</f>
        <v>-106.556197</v>
      </c>
      <c r="AW305" s="8" t="str">
        <f ca="1">IFERROR(__xludf.DUMMYFUNCTION("""COMPUTED_VALUE"""),"Multiple detached buildings")</f>
        <v>Multiple detached buildings</v>
      </c>
      <c r="AX305" s="8">
        <f ca="1">IFERROR(__xludf.DUMMYFUNCTION("""COMPUTED_VALUE"""),79912)</f>
        <v>79912</v>
      </c>
    </row>
    <row r="306" spans="1:50" ht="165" x14ac:dyDescent="0.2">
      <c r="A306" s="8" t="str">
        <f ca="1">IFERROR(__xludf.DUMMYFUNCTION("""COMPUTED_VALUE"""),"20240820LABAB")</f>
        <v>20240820LABAB</v>
      </c>
      <c r="B306" s="8">
        <f ca="1">IFERROR(__xludf.DUMMYFUNCTION("""COMPUTED_VALUE"""),8)</f>
        <v>8</v>
      </c>
      <c r="C306" s="8">
        <f ca="1">IFERROR(__xludf.DUMMYFUNCTION("""COMPUTED_VALUE"""),20)</f>
        <v>20</v>
      </c>
      <c r="D306" s="8">
        <f ca="1">IFERROR(__xludf.DUMMYFUNCTION("""COMPUTED_VALUE"""),2024)</f>
        <v>2024</v>
      </c>
      <c r="E306" s="9">
        <f ca="1">IFERROR(__xludf.DUMMYFUNCTION("""COMPUTED_VALUE"""),45524)</f>
        <v>45524</v>
      </c>
      <c r="F306" s="8" t="str">
        <f ca="1">IFERROR(__xludf.DUMMYFUNCTION("""COMPUTED_VALUE"""),"Baton Rouge School Bus")</f>
        <v>Baton Rouge School Bus</v>
      </c>
      <c r="G306" s="8">
        <f ca="1">IFERROR(__xludf.DUMMYFUNCTION("""COMPUTED_VALUE"""),0)</f>
        <v>0</v>
      </c>
      <c r="H306" s="8">
        <f ca="1">IFERROR(__xludf.DUMMYFUNCTION("""COMPUTED_VALUE"""),0)</f>
        <v>0</v>
      </c>
      <c r="I306" s="8">
        <f ca="1">IFERROR(__xludf.DUMMYFUNCTION("""COMPUTED_VALUE"""),0)</f>
        <v>0</v>
      </c>
      <c r="J306" s="8">
        <f ca="1">IFERROR(__xludf.DUMMYFUNCTION("""COMPUTED_VALUE"""),0)</f>
        <v>0</v>
      </c>
      <c r="K306" s="10" t="str">
        <f ca="1">IFERROR(__xludf.DUMMYFUNCTION("""COMPUTED_VALUE"""),"https://www.wwltv.com/article/news/crime/baton-rouge-man-arrested-threatening-school-bus-children-body-armor-carrying-a-gun/289-c0ba0e93-14f0-4ec9-9b22-da5f4b59c071")</f>
        <v>https://www.wwltv.com/article/news/crime/baton-rouge-man-arrested-threatening-school-bus-children-body-armor-carrying-a-gun/289-c0ba0e93-14f0-4ec9-9b22-da5f4b59c071</v>
      </c>
      <c r="L306" s="8">
        <f ca="1">IFERROR(__xludf.DUMMYFUNCTION("""COMPUTED_VALUE"""),3)</f>
        <v>3</v>
      </c>
      <c r="M306" s="8" t="str">
        <f ca="1">IFERROR(__xludf.DUMMYFUNCTION("""COMPUTED_VALUE"""),"Local")</f>
        <v>Local</v>
      </c>
      <c r="N306" s="8">
        <f ca="1">IFERROR(__xludf.DUMMYFUNCTION("""COMPUTED_VALUE"""),4)</f>
        <v>4</v>
      </c>
      <c r="O306" s="8" t="str">
        <f ca="1">IFERROR(__xludf.DUMMYFUNCTION("""COMPUTED_VALUE"""),"Summer")</f>
        <v>Summer</v>
      </c>
      <c r="P306" s="8" t="str">
        <f ca="1">IFERROR(__xludf.DUMMYFUNCTION("""COMPUTED_VALUE"""),"Baton Rouge")</f>
        <v>Baton Rouge</v>
      </c>
      <c r="Q306" s="8" t="str">
        <f ca="1">IFERROR(__xludf.DUMMYFUNCTION("""COMPUTED_VALUE"""),"LA")</f>
        <v>LA</v>
      </c>
      <c r="R306" s="8"/>
      <c r="S306" s="8" t="str">
        <f ca="1">IFERROR(__xludf.DUMMYFUNCTION("""COMPUTED_VALUE"""),"School Bus")</f>
        <v>School Bus</v>
      </c>
      <c r="T306" s="8" t="str">
        <f ca="1">IFERROR(__xludf.DUMMYFUNCTION("""COMPUTED_VALUE"""),"School Bus")</f>
        <v>School Bus</v>
      </c>
      <c r="U306" s="8" t="str">
        <f ca="1">IFERROR(__xludf.DUMMYFUNCTION("""COMPUTED_VALUE"""),"Yes")</f>
        <v>Yes</v>
      </c>
      <c r="V306" s="8" t="str">
        <f ca="1">IFERROR(__xludf.DUMMYFUNCTION("""COMPUTED_VALUE"""),"School Start")</f>
        <v>School Start</v>
      </c>
      <c r="W306" s="11">
        <f ca="1">IFERROR(__xludf.DUMMYFUNCTION("""COMPUTED_VALUE"""),0.333333333333333)</f>
        <v>0.33333333333333298</v>
      </c>
      <c r="X306" s="8">
        <f ca="1">IFERROR(__xludf.DUMMYFUNCTION("""COMPUTED_VALUE"""),1)</f>
        <v>1</v>
      </c>
      <c r="Y306" s="12" t="str">
        <f ca="1">IFERROR(__xludf.DUMMYFUNCTION("""COMPUTED_VALUE"""),"Man in body armor with guns, knives, and bear spray threatened to shoot bus driver for blocking intersection during student pick-up")</f>
        <v>Man in body armor with guns, knives, and bear spray threatened to shoot bus driver for blocking intersection during student pick-up</v>
      </c>
      <c r="Z306" s="12" t="str">
        <f ca="1">IFERROR(__xludf.DUMMYFUNCTION("""COMPUTED_VALUE"""),"A man in Baton Rouge is in jail after police said he threatened a school bus full of children while carrying a gun and wearing body armor, according to WBRZ. Baton Rouge police said Duane Landry harassed parents, students, and the bus driver as kids loade"&amp;"d the bus on Monday and Tuesday morning. Landry was mad that the bus driver was blocking an intersection, police said. They said he tried to get on the bus while wearing body armor with guns, knives, and a can of bear spray. He then threatened to shoot th"&amp;"e bus driver, our partners reported. Arrested for violating Gun Free School Zone.")</f>
        <v>A man in Baton Rouge is in jail after police said he threatened a school bus full of children while carrying a gun and wearing body armor, according to WBRZ. Baton Rouge police said Duane Landry harassed parents, students, and the bus driver as kids loaded the bus on Monday and Tuesday morning. Landry was mad that the bus driver was blocking an intersection, police said. They said he tried to get on the bus while wearing body armor with guns, knives, and a can of bear spray. He then threatened to shoot the bus driver, our partners reported. Arrested for violating Gun Free School Zone.</v>
      </c>
      <c r="AA306" s="8" t="str">
        <f ca="1">IFERROR(__xludf.DUMMYFUNCTION("""COMPUTED_VALUE"""),"Escalation of Dispute")</f>
        <v>Escalation of Dispute</v>
      </c>
      <c r="AB306" s="8" t="str">
        <f ca="1">IFERROR(__xludf.DUMMYFUNCTION("""COMPUTED_VALUE"""),"Targeted")</f>
        <v>Targeted</v>
      </c>
      <c r="AC306" s="8" t="str">
        <f ca="1">IFERROR(__xludf.DUMMYFUNCTION("""COMPUTED_VALUE"""),"Yes")</f>
        <v>Yes</v>
      </c>
      <c r="AD306" s="8" t="str">
        <f ca="1">IFERROR(__xludf.DUMMYFUNCTION("""COMPUTED_VALUE"""),"Victims Targeted")</f>
        <v>Victims Targeted</v>
      </c>
      <c r="AE306" s="8" t="str">
        <f ca="1">IFERROR(__xludf.DUMMYFUNCTION("""COMPUTED_VALUE"""),"No")</f>
        <v>No</v>
      </c>
      <c r="AF306" s="8"/>
      <c r="AG306" s="8" t="str">
        <f ca="1">IFERROR(__xludf.DUMMYFUNCTION("""COMPUTED_VALUE"""),"No")</f>
        <v>No</v>
      </c>
      <c r="AH306" s="8" t="str">
        <f ca="1">IFERROR(__xludf.DUMMYFUNCTION("""COMPUTED_VALUE"""),"No")</f>
        <v>No</v>
      </c>
      <c r="AI306" s="8" t="str">
        <f ca="1">IFERROR(__xludf.DUMMYFUNCTION("""COMPUTED_VALUE"""),"No")</f>
        <v>No</v>
      </c>
      <c r="AJ306" s="8" t="str">
        <f ca="1">IFERROR(__xludf.DUMMYFUNCTION("""COMPUTED_VALUE"""),"No")</f>
        <v>No</v>
      </c>
      <c r="AK306" s="8" t="str">
        <f ca="1">IFERROR(__xludf.DUMMYFUNCTION("""COMPUTED_VALUE"""),"No")</f>
        <v>No</v>
      </c>
      <c r="AL306" s="8" t="str">
        <f ca="1">IFERROR(__xludf.DUMMYFUNCTION("""COMPUTED_VALUE"""),"No")</f>
        <v>No</v>
      </c>
      <c r="AM306" s="8" t="str">
        <f ca="1">IFERROR(__xludf.DUMMYFUNCTION("""COMPUTED_VALUE"""),"No")</f>
        <v>No</v>
      </c>
      <c r="AN306" s="8" t="str">
        <f ca="1">IFERROR(__xludf.DUMMYFUNCTION("""COMPUTED_VALUE"""),"Outside")</f>
        <v>Outside</v>
      </c>
      <c r="AO306" s="8" t="str">
        <f ca="1">IFERROR(__xludf.DUMMYFUNCTION("""COMPUTED_VALUE"""),"No")</f>
        <v>No</v>
      </c>
      <c r="AP306" s="8"/>
      <c r="AQ306" s="8"/>
      <c r="AR306" s="8" t="str">
        <f ca="1">IFERROR(__xludf.DUMMYFUNCTION("""COMPUTED_VALUE"""),"Outside/Off-Property")</f>
        <v>Outside/Off-Property</v>
      </c>
      <c r="AS306" s="8">
        <f ca="1">IFERROR(__xludf.DUMMYFUNCTION("""COMPUTED_VALUE"""),0)</f>
        <v>0</v>
      </c>
      <c r="AT306" s="8" t="str">
        <f ca="1">IFERROR(__xludf.DUMMYFUNCTION("""COMPUTED_VALUE"""),"No")</f>
        <v>No</v>
      </c>
      <c r="AU306" s="8">
        <f ca="1">IFERROR(__xludf.DUMMYFUNCTION("""COMPUTED_VALUE"""),30.463657)</f>
        <v>30.463657000000001</v>
      </c>
      <c r="AV306" s="8">
        <f ca="1">IFERROR(__xludf.DUMMYFUNCTION("""COMPUTED_VALUE"""),-91.106382)</f>
        <v>-91.106381999999996</v>
      </c>
      <c r="AW306" s="8"/>
      <c r="AX306" s="8">
        <f ca="1">IFERROR(__xludf.DUMMYFUNCTION("""COMPUTED_VALUE"""),70806)</f>
        <v>70806</v>
      </c>
    </row>
    <row r="307" spans="1:50" ht="60" x14ac:dyDescent="0.2">
      <c r="A307" s="8" t="str">
        <f ca="1">IFERROR(__xludf.DUMMYFUNCTION("""COMPUTED_VALUE"""),"20240820KSKAT")</f>
        <v>20240820KSKAT</v>
      </c>
      <c r="B307" s="8">
        <f ca="1">IFERROR(__xludf.DUMMYFUNCTION("""COMPUTED_VALUE"""),8)</f>
        <v>8</v>
      </c>
      <c r="C307" s="8">
        <f ca="1">IFERROR(__xludf.DUMMYFUNCTION("""COMPUTED_VALUE"""),20)</f>
        <v>20</v>
      </c>
      <c r="D307" s="8">
        <f ca="1">IFERROR(__xludf.DUMMYFUNCTION("""COMPUTED_VALUE"""),2024)</f>
        <v>2024</v>
      </c>
      <c r="E307" s="9">
        <f ca="1">IFERROR(__xludf.DUMMYFUNCTION("""COMPUTED_VALUE"""),45524)</f>
        <v>45524</v>
      </c>
      <c r="F307" s="8" t="str">
        <f ca="1">IFERROR(__xludf.DUMMYFUNCTION("""COMPUTED_VALUE"""),"Kansas Central School Bus")</f>
        <v>Kansas Central School Bus</v>
      </c>
      <c r="G307" s="8">
        <f ca="1">IFERROR(__xludf.DUMMYFUNCTION("""COMPUTED_VALUE"""),0)</f>
        <v>0</v>
      </c>
      <c r="H307" s="8">
        <f ca="1">IFERROR(__xludf.DUMMYFUNCTION("""COMPUTED_VALUE"""),0)</f>
        <v>0</v>
      </c>
      <c r="I307" s="8">
        <f ca="1">IFERROR(__xludf.DUMMYFUNCTION("""COMPUTED_VALUE"""),0)</f>
        <v>0</v>
      </c>
      <c r="J307" s="8">
        <f ca="1">IFERROR(__xludf.DUMMYFUNCTION("""COMPUTED_VALUE"""),0)</f>
        <v>0</v>
      </c>
      <c r="K307" s="10" t="str">
        <f ca="1">IFERROR(__xludf.DUMMYFUNCTION("""COMPUTED_VALUE"""),"https://www.wibw.com/2024/08/21/police-investigate-report-school-bus-shot-by-pellet-gun-tuesday-afternoon-east-topeka/")</f>
        <v>https://www.wibw.com/2024/08/21/police-investigate-report-school-bus-shot-by-pellet-gun-tuesday-afternoon-east-topeka/</v>
      </c>
      <c r="L307" s="8">
        <f ca="1">IFERROR(__xludf.DUMMYFUNCTION("""COMPUTED_VALUE"""),1)</f>
        <v>1</v>
      </c>
      <c r="M307" s="8" t="str">
        <f ca="1">IFERROR(__xludf.DUMMYFUNCTION("""COMPUTED_VALUE"""),"Local")</f>
        <v>Local</v>
      </c>
      <c r="N307" s="8">
        <f ca="1">IFERROR(__xludf.DUMMYFUNCTION("""COMPUTED_VALUE"""),4)</f>
        <v>4</v>
      </c>
      <c r="O307" s="8" t="str">
        <f ca="1">IFERROR(__xludf.DUMMYFUNCTION("""COMPUTED_VALUE"""),"Summer")</f>
        <v>Summer</v>
      </c>
      <c r="P307" s="8" t="str">
        <f ca="1">IFERROR(__xludf.DUMMYFUNCTION("""COMPUTED_VALUE"""),"Topeka")</f>
        <v>Topeka</v>
      </c>
      <c r="Q307" s="8" t="str">
        <f ca="1">IFERROR(__xludf.DUMMYFUNCTION("""COMPUTED_VALUE"""),"KS")</f>
        <v>KS</v>
      </c>
      <c r="R307" s="8"/>
      <c r="S307" s="8" t="str">
        <f ca="1">IFERROR(__xludf.DUMMYFUNCTION("""COMPUTED_VALUE"""),"School Bus")</f>
        <v>School Bus</v>
      </c>
      <c r="T307" s="8" t="str">
        <f ca="1">IFERROR(__xludf.DUMMYFUNCTION("""COMPUTED_VALUE"""),"School Bus")</f>
        <v>School Bus</v>
      </c>
      <c r="U307" s="8" t="str">
        <f ca="1">IFERROR(__xludf.DUMMYFUNCTION("""COMPUTED_VALUE"""),"Yes")</f>
        <v>Yes</v>
      </c>
      <c r="V307" s="8" t="str">
        <f ca="1">IFERROR(__xludf.DUMMYFUNCTION("""COMPUTED_VALUE"""),"Dismissal")</f>
        <v>Dismissal</v>
      </c>
      <c r="W307" s="11">
        <f ca="1">IFERROR(__xludf.DUMMYFUNCTION("""COMPUTED_VALUE"""),0.6875)</f>
        <v>0.6875</v>
      </c>
      <c r="X307" s="8">
        <f ca="1">IFERROR(__xludf.DUMMYFUNCTION("""COMPUTED_VALUE"""),1)</f>
        <v>1</v>
      </c>
      <c r="Y307" s="12" t="str">
        <f ca="1">IFERROR(__xludf.DUMMYFUNCTION("""COMPUTED_VALUE"""),"School bus was shot with pellets after dropping students off")</f>
        <v>School bus was shot with pellets after dropping students off</v>
      </c>
      <c r="Z307" s="12" t="str">
        <f ca="1">IFERROR(__xludf.DUMMYFUNCTION("""COMPUTED_VALUE"""),"School bus was shot with pellets after dropping students off. No injuries reported.")</f>
        <v>School bus was shot with pellets after dropping students off. No injuries reported.</v>
      </c>
      <c r="AA307" s="8" t="str">
        <f ca="1">IFERROR(__xludf.DUMMYFUNCTION("""COMPUTED_VALUE"""),"Intentional Property Damage")</f>
        <v>Intentional Property Damage</v>
      </c>
      <c r="AB307" s="8"/>
      <c r="AC307" s="8" t="str">
        <f ca="1">IFERROR(__xludf.DUMMYFUNCTION("""COMPUTED_VALUE"""),"Yes")</f>
        <v>Yes</v>
      </c>
      <c r="AD307" s="8"/>
      <c r="AE307" s="8" t="str">
        <f ca="1">IFERROR(__xludf.DUMMYFUNCTION("""COMPUTED_VALUE"""),"No")</f>
        <v>No</v>
      </c>
      <c r="AF307" s="8"/>
      <c r="AG307" s="8" t="str">
        <f ca="1">IFERROR(__xludf.DUMMYFUNCTION("""COMPUTED_VALUE"""),"No")</f>
        <v>No</v>
      </c>
      <c r="AH307" s="8" t="str">
        <f ca="1">IFERROR(__xludf.DUMMYFUNCTION("""COMPUTED_VALUE"""),"No")</f>
        <v>No</v>
      </c>
      <c r="AI307" s="8" t="str">
        <f ca="1">IFERROR(__xludf.DUMMYFUNCTION("""COMPUTED_VALUE"""),"No")</f>
        <v>No</v>
      </c>
      <c r="AJ307" s="8" t="str">
        <f ca="1">IFERROR(__xludf.DUMMYFUNCTION("""COMPUTED_VALUE"""),"No")</f>
        <v>No</v>
      </c>
      <c r="AK307" s="8" t="str">
        <f ca="1">IFERROR(__xludf.DUMMYFUNCTION("""COMPUTED_VALUE"""),"No")</f>
        <v>No</v>
      </c>
      <c r="AL307" s="8"/>
      <c r="AM307" s="8" t="str">
        <f ca="1">IFERROR(__xludf.DUMMYFUNCTION("""COMPUTED_VALUE"""),"No")</f>
        <v>No</v>
      </c>
      <c r="AN307" s="8" t="str">
        <f ca="1">IFERROR(__xludf.DUMMYFUNCTION("""COMPUTED_VALUE"""),"Outside")</f>
        <v>Outside</v>
      </c>
      <c r="AO307" s="8" t="str">
        <f ca="1">IFERROR(__xludf.DUMMYFUNCTION("""COMPUTED_VALUE"""),"No")</f>
        <v>No</v>
      </c>
      <c r="AP307" s="8"/>
      <c r="AQ307" s="8"/>
      <c r="AR307" s="8" t="str">
        <f ca="1">IFERROR(__xludf.DUMMYFUNCTION("""COMPUTED_VALUE"""),"Outside/Off-Property")</f>
        <v>Outside/Off-Property</v>
      </c>
      <c r="AS307" s="8"/>
      <c r="AT307" s="8" t="str">
        <f ca="1">IFERROR(__xludf.DUMMYFUNCTION("""COMPUTED_VALUE"""),"No")</f>
        <v>No</v>
      </c>
      <c r="AU307" s="8">
        <f ca="1">IFERROR(__xludf.DUMMYFUNCTION("""COMPUTED_VALUE"""),39.03041)</f>
        <v>39.030410000000003</v>
      </c>
      <c r="AV307" s="8">
        <f ca="1">IFERROR(__xludf.DUMMYFUNCTION("""COMPUTED_VALUE"""),-95.678257)</f>
        <v>-95.678257000000002</v>
      </c>
      <c r="AW307" s="8"/>
      <c r="AX307" s="8">
        <f ca="1">IFERROR(__xludf.DUMMYFUNCTION("""COMPUTED_VALUE"""),66612)</f>
        <v>66612</v>
      </c>
    </row>
    <row r="308" spans="1:50" ht="195" x14ac:dyDescent="0.2">
      <c r="A308" s="8" t="str">
        <f ca="1">IFERROR(__xludf.DUMMYFUNCTION("""COMPUTED_VALUE"""),"20240819LABOB")</f>
        <v>20240819LABOB</v>
      </c>
      <c r="B308" s="8">
        <f ca="1">IFERROR(__xludf.DUMMYFUNCTION("""COMPUTED_VALUE"""),8)</f>
        <v>8</v>
      </c>
      <c r="C308" s="8">
        <f ca="1">IFERROR(__xludf.DUMMYFUNCTION("""COMPUTED_VALUE"""),19)</f>
        <v>19</v>
      </c>
      <c r="D308" s="8">
        <f ca="1">IFERROR(__xludf.DUMMYFUNCTION("""COMPUTED_VALUE"""),2024)</f>
        <v>2024</v>
      </c>
      <c r="E308" s="9">
        <f ca="1">IFERROR(__xludf.DUMMYFUNCTION("""COMPUTED_VALUE"""),45523)</f>
        <v>45523</v>
      </c>
      <c r="F308" s="8" t="str">
        <f ca="1">IFERROR(__xludf.DUMMYFUNCTION("""COMPUTED_VALUE"""),"Bossier High School")</f>
        <v>Bossier High School</v>
      </c>
      <c r="G308" s="8">
        <f ca="1">IFERROR(__xludf.DUMMYFUNCTION("""COMPUTED_VALUE"""),0)</f>
        <v>0</v>
      </c>
      <c r="H308" s="8">
        <f ca="1">IFERROR(__xludf.DUMMYFUNCTION("""COMPUTED_VALUE"""),1)</f>
        <v>1</v>
      </c>
      <c r="I308" s="8">
        <f ca="1">IFERROR(__xludf.DUMMYFUNCTION("""COMPUTED_VALUE"""),1)</f>
        <v>1</v>
      </c>
      <c r="J308" s="8">
        <f ca="1">IFERROR(__xludf.DUMMYFUNCTION("""COMPUTED_VALUE"""),0)</f>
        <v>0</v>
      </c>
      <c r="K308" s="10" t="str">
        <f ca="1">IFERROR(__xludf.DUMMYFUNCTION("""COMPUTED_VALUE"""),"https://www.ksla.com/2024/08/20/man-shot-bossier-high-parking-lot-preseason-game-underway-time/")</f>
        <v>https://www.ksla.com/2024/08/20/man-shot-bossier-high-parking-lot-preseason-game-underway-time/</v>
      </c>
      <c r="L308" s="8">
        <f ca="1">IFERROR(__xludf.DUMMYFUNCTION("""COMPUTED_VALUE"""),2)</f>
        <v>2</v>
      </c>
      <c r="M308" s="8" t="str">
        <f ca="1">IFERROR(__xludf.DUMMYFUNCTION("""COMPUTED_VALUE"""),"Local")</f>
        <v>Local</v>
      </c>
      <c r="N308" s="8">
        <f ca="1">IFERROR(__xludf.DUMMYFUNCTION("""COMPUTED_VALUE"""),4)</f>
        <v>4</v>
      </c>
      <c r="O308" s="8" t="str">
        <f ca="1">IFERROR(__xludf.DUMMYFUNCTION("""COMPUTED_VALUE"""),"Summer")</f>
        <v>Summer</v>
      </c>
      <c r="P308" s="8" t="str">
        <f ca="1">IFERROR(__xludf.DUMMYFUNCTION("""COMPUTED_VALUE"""),"Bossier City")</f>
        <v>Bossier City</v>
      </c>
      <c r="Q308" s="8" t="str">
        <f ca="1">IFERROR(__xludf.DUMMYFUNCTION("""COMPUTED_VALUE"""),"LA")</f>
        <v>LA</v>
      </c>
      <c r="R308" s="8" t="str">
        <f ca="1">IFERROR(__xludf.DUMMYFUNCTION("""COMPUTED_VALUE"""),"High")</f>
        <v>High</v>
      </c>
      <c r="S308" s="8" t="str">
        <f ca="1">IFERROR(__xludf.DUMMYFUNCTION("""COMPUTED_VALUE"""),"Parking Lot")</f>
        <v>Parking Lot</v>
      </c>
      <c r="T308" s="8" t="str">
        <f ca="1">IFERROR(__xludf.DUMMYFUNCTION("""COMPUTED_VALUE"""),"Outside on School Property")</f>
        <v>Outside on School Property</v>
      </c>
      <c r="U308" s="8" t="str">
        <f ca="1">IFERROR(__xludf.DUMMYFUNCTION("""COMPUTED_VALUE"""),"No")</f>
        <v>No</v>
      </c>
      <c r="V308" s="8" t="str">
        <f ca="1">IFERROR(__xludf.DUMMYFUNCTION("""COMPUTED_VALUE"""),"School Event")</f>
        <v>School Event</v>
      </c>
      <c r="W308" s="11">
        <f ca="1">IFERROR(__xludf.DUMMYFUNCTION("""COMPUTED_VALUE"""),0.833333333333333)</f>
        <v>0.83333333333333304</v>
      </c>
      <c r="X308" s="8">
        <f ca="1">IFERROR(__xludf.DUMMYFUNCTION("""COMPUTED_VALUE"""),1)</f>
        <v>1</v>
      </c>
      <c r="Y308" s="12" t="str">
        <f ca="1">IFERROR(__xludf.DUMMYFUNCTION("""COMPUTED_VALUE"""),"Man shot during fight in the school parking lot during spirit night")</f>
        <v>Man shot during fight in the school parking lot during spirit night</v>
      </c>
      <c r="Z308" s="12" t="str">
        <f ca="1">IFERROR(__xludf.DUMMYFUNCTION("""COMPUTED_VALUE"""),"The shooting occurred in a stadium parking lot behind the school during a school spirit night Monday (Aug. 19), authorities said. The sheriff’s office says a fight broke out between Anthony Hughes, 43, and a group of juveniles. The suspected shooter, Marc"&amp;"us Kelly, 32, reportedly got out of his car and shot Hughes once in the torso while Hughes was fighting with one of the juveniles, who was riding in Kelly’s car. Both men then jumped in their cars and headed onto Bearkat Drive, when the sheriff’s office s"&amp;"ays Hughes rammed Kelly’s car after it was stopped by a deputy. Officials were able to detain Hughes and Kelly and take possession of the gun. The fire department took both men to the hospital for treatment.")</f>
        <v>The shooting occurred in a stadium parking lot behind the school during a school spirit night Monday (Aug. 19), authorities said. The sheriff’s office says a fight broke out between Anthony Hughes, 43, and a group of juveniles. The suspected shooter, Marcus Kelly, 32, reportedly got out of his car and shot Hughes once in the torso while Hughes was fighting with one of the juveniles, who was riding in Kelly’s car. Both men then jumped in their cars and headed onto Bearkat Drive, when the sheriff’s office says Hughes rammed Kelly’s car after it was stopped by a deputy. Officials were able to detain Hughes and Kelly and take possession of the gun. The fire department took both men to the hospital for treatment.</v>
      </c>
      <c r="AA308" s="8" t="str">
        <f ca="1">IFERROR(__xludf.DUMMYFUNCTION("""COMPUTED_VALUE"""),"Escalation of Dispute")</f>
        <v>Escalation of Dispute</v>
      </c>
      <c r="AB308" s="8" t="str">
        <f ca="1">IFERROR(__xludf.DUMMYFUNCTION("""COMPUTED_VALUE"""),"Spontaneous")</f>
        <v>Spontaneous</v>
      </c>
      <c r="AC308" s="8" t="str">
        <f ca="1">IFERROR(__xludf.DUMMYFUNCTION("""COMPUTED_VALUE"""),"Yes")</f>
        <v>Yes</v>
      </c>
      <c r="AD308" s="8" t="str">
        <f ca="1">IFERROR(__xludf.DUMMYFUNCTION("""COMPUTED_VALUE"""),"Victims Targeted")</f>
        <v>Victims Targeted</v>
      </c>
      <c r="AE308" s="8" t="str">
        <f ca="1">IFERROR(__xludf.DUMMYFUNCTION("""COMPUTED_VALUE"""),"Yes")</f>
        <v>Yes</v>
      </c>
      <c r="AF308" s="8" t="str">
        <f ca="1">IFERROR(__xludf.DUMMYFUNCTION("""COMPUTED_VALUE"""),"Shooter was driving teen involved in fight")</f>
        <v>Shooter was driving teen involved in fight</v>
      </c>
      <c r="AG308" s="8" t="str">
        <f ca="1">IFERROR(__xludf.DUMMYFUNCTION("""COMPUTED_VALUE"""),"No")</f>
        <v>No</v>
      </c>
      <c r="AH308" s="8" t="str">
        <f ca="1">IFERROR(__xludf.DUMMYFUNCTION("""COMPUTED_VALUE"""),"No")</f>
        <v>No</v>
      </c>
      <c r="AI308" s="8" t="str">
        <f ca="1">IFERROR(__xludf.DUMMYFUNCTION("""COMPUTED_VALUE"""),"No")</f>
        <v>No</v>
      </c>
      <c r="AJ308" s="8" t="str">
        <f ca="1">IFERROR(__xludf.DUMMYFUNCTION("""COMPUTED_VALUE"""),"No")</f>
        <v>No</v>
      </c>
      <c r="AK308" s="8" t="str">
        <f ca="1">IFERROR(__xludf.DUMMYFUNCTION("""COMPUTED_VALUE"""),"No")</f>
        <v>No</v>
      </c>
      <c r="AL308" s="8" t="str">
        <f ca="1">IFERROR(__xludf.DUMMYFUNCTION("""COMPUTED_VALUE"""),"No")</f>
        <v>No</v>
      </c>
      <c r="AM308" s="8" t="str">
        <f ca="1">IFERROR(__xludf.DUMMYFUNCTION("""COMPUTED_VALUE"""),"No")</f>
        <v>No</v>
      </c>
      <c r="AN308" s="8" t="str">
        <f ca="1">IFERROR(__xludf.DUMMYFUNCTION("""COMPUTED_VALUE"""),"Outside")</f>
        <v>Outside</v>
      </c>
      <c r="AO308" s="8" t="str">
        <f ca="1">IFERROR(__xludf.DUMMYFUNCTION("""COMPUTED_VALUE"""),"No")</f>
        <v>No</v>
      </c>
      <c r="AP308" s="8"/>
      <c r="AQ308" s="8"/>
      <c r="AR308" s="8" t="str">
        <f ca="1">IFERROR(__xludf.DUMMYFUNCTION("""COMPUTED_VALUE"""),"Outside/Off-Property")</f>
        <v>Outside/Off-Property</v>
      </c>
      <c r="AS308" s="8">
        <f ca="1">IFERROR(__xludf.DUMMYFUNCTION("""COMPUTED_VALUE"""),1)</f>
        <v>1</v>
      </c>
      <c r="AT308" s="8" t="str">
        <f ca="1">IFERROR(__xludf.DUMMYFUNCTION("""COMPUTED_VALUE"""),"No")</f>
        <v>No</v>
      </c>
      <c r="AU308" s="8">
        <f ca="1">IFERROR(__xludf.DUMMYFUNCTION("""COMPUTED_VALUE"""),32.518589)</f>
        <v>32.518588999999999</v>
      </c>
      <c r="AV308" s="8">
        <f ca="1">IFERROR(__xludf.DUMMYFUNCTION("""COMPUTED_VALUE"""),-93.729561)</f>
        <v>-93.729561000000004</v>
      </c>
      <c r="AW308" s="8" t="str">
        <f ca="1">IFERROR(__xludf.DUMMYFUNCTION("""COMPUTED_VALUE"""),"Multiple detached buildings")</f>
        <v>Multiple detached buildings</v>
      </c>
      <c r="AX308" s="8">
        <f ca="1">IFERROR(__xludf.DUMMYFUNCTION("""COMPUTED_VALUE"""),71111)</f>
        <v>71111</v>
      </c>
    </row>
    <row r="309" spans="1:50" ht="210" x14ac:dyDescent="0.2">
      <c r="A309" s="8" t="str">
        <f ca="1">IFERROR(__xludf.DUMMYFUNCTION("""COMPUTED_VALUE"""),"20240819CANAS")</f>
        <v>20240819CANAS</v>
      </c>
      <c r="B309" s="8">
        <f ca="1">IFERROR(__xludf.DUMMYFUNCTION("""COMPUTED_VALUE"""),8)</f>
        <v>8</v>
      </c>
      <c r="C309" s="8">
        <f ca="1">IFERROR(__xludf.DUMMYFUNCTION("""COMPUTED_VALUE"""),19)</f>
        <v>19</v>
      </c>
      <c r="D309" s="8">
        <f ca="1">IFERROR(__xludf.DUMMYFUNCTION("""COMPUTED_VALUE"""),2024)</f>
        <v>2024</v>
      </c>
      <c r="E309" s="9">
        <f ca="1">IFERROR(__xludf.DUMMYFUNCTION("""COMPUTED_VALUE"""),45523)</f>
        <v>45523</v>
      </c>
      <c r="F309" s="8" t="str">
        <f ca="1">IFERROR(__xludf.DUMMYFUNCTION("""COMPUTED_VALUE"""),"Natomas High School")</f>
        <v>Natomas High School</v>
      </c>
      <c r="G309" s="8">
        <f ca="1">IFERROR(__xludf.DUMMYFUNCTION("""COMPUTED_VALUE"""),0)</f>
        <v>0</v>
      </c>
      <c r="H309" s="8">
        <f ca="1">IFERROR(__xludf.DUMMYFUNCTION("""COMPUTED_VALUE"""),0)</f>
        <v>0</v>
      </c>
      <c r="I309" s="8">
        <f ca="1">IFERROR(__xludf.DUMMYFUNCTION("""COMPUTED_VALUE"""),0)</f>
        <v>0</v>
      </c>
      <c r="J309" s="8">
        <f ca="1">IFERROR(__xludf.DUMMYFUNCTION("""COMPUTED_VALUE"""),0)</f>
        <v>0</v>
      </c>
      <c r="K309" s="10" t="str">
        <f ca="1">IFERROR(__xludf.DUMMYFUNCTION("""COMPUTED_VALUE"""),"https://www.yahoo.com/news/natomas-high-school-put-lockdown-222238792.html
https://archive.is/I7Vn2#selection-1481.223-1481.242")</f>
        <v>https://www.yahoo.com/news/natomas-high-school-put-lockdown-222238792.html
https://archive.is/I7Vn2#selection-1481.223-1481.242</v>
      </c>
      <c r="L309" s="8">
        <f ca="1">IFERROR(__xludf.DUMMYFUNCTION("""COMPUTED_VALUE"""),3)</f>
        <v>3</v>
      </c>
      <c r="M309" s="8" t="str">
        <f ca="1">IFERROR(__xludf.DUMMYFUNCTION("""COMPUTED_VALUE"""),"National")</f>
        <v>National</v>
      </c>
      <c r="N309" s="8">
        <f ca="1">IFERROR(__xludf.DUMMYFUNCTION("""COMPUTED_VALUE"""),4)</f>
        <v>4</v>
      </c>
      <c r="O309" s="8" t="str">
        <f ca="1">IFERROR(__xludf.DUMMYFUNCTION("""COMPUTED_VALUE"""),"Summer")</f>
        <v>Summer</v>
      </c>
      <c r="P309" s="8" t="str">
        <f ca="1">IFERROR(__xludf.DUMMYFUNCTION("""COMPUTED_VALUE"""),"Sacramento")</f>
        <v>Sacramento</v>
      </c>
      <c r="Q309" s="8" t="str">
        <f ca="1">IFERROR(__xludf.DUMMYFUNCTION("""COMPUTED_VALUE"""),"CA")</f>
        <v>CA</v>
      </c>
      <c r="R309" s="8" t="str">
        <f ca="1">IFERROR(__xludf.DUMMYFUNCTION("""COMPUTED_VALUE"""),"High")</f>
        <v>High</v>
      </c>
      <c r="S309" s="8" t="str">
        <f ca="1">IFERROR(__xludf.DUMMYFUNCTION("""COMPUTED_VALUE"""),"Parking Lot")</f>
        <v>Parking Lot</v>
      </c>
      <c r="T309" s="8" t="str">
        <f ca="1">IFERROR(__xludf.DUMMYFUNCTION("""COMPUTED_VALUE"""),"Outside on School Property")</f>
        <v>Outside on School Property</v>
      </c>
      <c r="U309" s="8" t="str">
        <f ca="1">IFERROR(__xludf.DUMMYFUNCTION("""COMPUTED_VALUE"""),"Yes")</f>
        <v>Yes</v>
      </c>
      <c r="V309" s="8" t="str">
        <f ca="1">IFERROR(__xludf.DUMMYFUNCTION("""COMPUTED_VALUE"""),"Dismissal")</f>
        <v>Dismissal</v>
      </c>
      <c r="W309" s="11">
        <f ca="1">IFERROR(__xludf.DUMMYFUNCTION("""COMPUTED_VALUE"""),0.614583333333333)</f>
        <v>0.61458333333333304</v>
      </c>
      <c r="X309" s="8">
        <f ca="1">IFERROR(__xludf.DUMMYFUNCTION("""COMPUTED_VALUE"""),1)</f>
        <v>1</v>
      </c>
      <c r="Y309" s="12" t="str">
        <f ca="1">IFERROR(__xludf.DUMMYFUNCTION("""COMPUTED_VALUE"""),"Shots fired outside school, two juveniles arrested with a firearm")</f>
        <v>Shots fired outside school, two juveniles arrested with a firearm</v>
      </c>
      <c r="Z309" s="12" t="str">
        <f ca="1">IFERROR(__xludf.DUMMYFUNCTION("""COMPUTED_VALUE"""),"A Natomas Unified School District campus was placed on lockdown Monday after Sacramento police were called to investigate a report of gunshots heard in the area, according to law enforcement and archived audio dispatch calls. Officers were called about 2:"&amp;"45 p.m. to the 3400 block of Fong Ranch Road after school officials called police, reporting hearing several gunshots ringing out in the area. The area includes Discovery High School as well as Natomas High School. There weren't any injuries reported, sai"&amp;"d Officer Cody Tapley, a spokesman for the Sacramento Police Department, but he said investigators found “evidence” of a shooting. Two juveniles were detained in connection to the incident, Tapley said. A firearm was also recovered, he said.")</f>
        <v>A Natomas Unified School District campus was placed on lockdown Monday after Sacramento police were called to investigate a report of gunshots heard in the area, according to law enforcement and archived audio dispatch calls. Officers were called about 2:45 p.m. to the 3400 block of Fong Ranch Road after school officials called police, reporting hearing several gunshots ringing out in the area. The area includes Discovery High School as well as Natomas High School. There weren't any injuries reported, said Officer Cody Tapley, a spokesman for the Sacramento Police Department, but he said investigators found “evidence” of a shooting. Two juveniles were detained in connection to the incident, Tapley said. A firearm was also recovered, he said.</v>
      </c>
      <c r="AA309" s="8"/>
      <c r="AB309" s="8"/>
      <c r="AC309" s="8" t="str">
        <f ca="1">IFERROR(__xludf.DUMMYFUNCTION("""COMPUTED_VALUE"""),"Yes")</f>
        <v>Yes</v>
      </c>
      <c r="AD309" s="8"/>
      <c r="AE309" s="8" t="str">
        <f ca="1">IFERROR(__xludf.DUMMYFUNCTION("""COMPUTED_VALUE"""),"Yes")</f>
        <v>Yes</v>
      </c>
      <c r="AF309" s="8" t="str">
        <f ca="1">IFERROR(__xludf.DUMMYFUNCTION("""COMPUTED_VALUE"""),"Two teens arrested")</f>
        <v>Two teens arrested</v>
      </c>
      <c r="AG309" s="8" t="str">
        <f ca="1">IFERROR(__xludf.DUMMYFUNCTION("""COMPUTED_VALUE"""),"No")</f>
        <v>No</v>
      </c>
      <c r="AH309" s="8" t="str">
        <f ca="1">IFERROR(__xludf.DUMMYFUNCTION("""COMPUTED_VALUE"""),"No")</f>
        <v>No</v>
      </c>
      <c r="AI309" s="8" t="str">
        <f ca="1">IFERROR(__xludf.DUMMYFUNCTION("""COMPUTED_VALUE"""),"No")</f>
        <v>No</v>
      </c>
      <c r="AJ309" s="8" t="str">
        <f ca="1">IFERROR(__xludf.DUMMYFUNCTION("""COMPUTED_VALUE"""),"No")</f>
        <v>No</v>
      </c>
      <c r="AK309" s="8" t="str">
        <f ca="1">IFERROR(__xludf.DUMMYFUNCTION("""COMPUTED_VALUE"""),"No")</f>
        <v>No</v>
      </c>
      <c r="AL309" s="8"/>
      <c r="AM309" s="8" t="str">
        <f ca="1">IFERROR(__xludf.DUMMYFUNCTION("""COMPUTED_VALUE"""),"No")</f>
        <v>No</v>
      </c>
      <c r="AN309" s="8" t="str">
        <f ca="1">IFERROR(__xludf.DUMMYFUNCTION("""COMPUTED_VALUE"""),"Outside")</f>
        <v>Outside</v>
      </c>
      <c r="AO309" s="8" t="str">
        <f ca="1">IFERROR(__xludf.DUMMYFUNCTION("""COMPUTED_VALUE"""),"No")</f>
        <v>No</v>
      </c>
      <c r="AP309" s="8"/>
      <c r="AQ309" s="8"/>
      <c r="AR309" s="8" t="str">
        <f ca="1">IFERROR(__xludf.DUMMYFUNCTION("""COMPUTED_VALUE"""),"Outside/Off-Property")</f>
        <v>Outside/Off-Property</v>
      </c>
      <c r="AS309" s="8">
        <f ca="1">IFERROR(__xludf.DUMMYFUNCTION("""COMPUTED_VALUE"""),99)</f>
        <v>99</v>
      </c>
      <c r="AT309" s="8" t="str">
        <f ca="1">IFERROR(__xludf.DUMMYFUNCTION("""COMPUTED_VALUE"""),"Yes")</f>
        <v>Yes</v>
      </c>
      <c r="AU309" s="8">
        <f ca="1">IFERROR(__xludf.DUMMYFUNCTION("""COMPUTED_VALUE"""),38.629379)</f>
        <v>38.629379</v>
      </c>
      <c r="AV309" s="8">
        <f ca="1">IFERROR(__xludf.DUMMYFUNCTION("""COMPUTED_VALUE"""),-121.493723)</f>
        <v>-121.493723</v>
      </c>
      <c r="AW309" s="8" t="str">
        <f ca="1">IFERROR(__xludf.DUMMYFUNCTION("""COMPUTED_VALUE"""),"Multiple detached buildings")</f>
        <v>Multiple detached buildings</v>
      </c>
      <c r="AX309" s="8">
        <f ca="1">IFERROR(__xludf.DUMMYFUNCTION("""COMPUTED_VALUE"""),94834)</f>
        <v>94834</v>
      </c>
    </row>
    <row r="310" spans="1:50" ht="60" x14ac:dyDescent="0.2">
      <c r="A310" s="8" t="str">
        <f ca="1">IFERROR(__xludf.DUMMYFUNCTION("""COMPUTED_VALUE"""),"20240819CADES")</f>
        <v>20240819CADES</v>
      </c>
      <c r="B310" s="8">
        <f ca="1">IFERROR(__xludf.DUMMYFUNCTION("""COMPUTED_VALUE"""),8)</f>
        <v>8</v>
      </c>
      <c r="C310" s="8">
        <f ca="1">IFERROR(__xludf.DUMMYFUNCTION("""COMPUTED_VALUE"""),19)</f>
        <v>19</v>
      </c>
      <c r="D310" s="8">
        <f ca="1">IFERROR(__xludf.DUMMYFUNCTION("""COMPUTED_VALUE"""),2024)</f>
        <v>2024</v>
      </c>
      <c r="E310" s="9">
        <f ca="1">IFERROR(__xludf.DUMMYFUNCTION("""COMPUTED_VALUE"""),45523)</f>
        <v>45523</v>
      </c>
      <c r="F310" s="8" t="str">
        <f ca="1">IFERROR(__xludf.DUMMYFUNCTION("""COMPUTED_VALUE"""),"Del Mar High School")</f>
        <v>Del Mar High School</v>
      </c>
      <c r="G310" s="8">
        <f ca="1">IFERROR(__xludf.DUMMYFUNCTION("""COMPUTED_VALUE"""),0)</f>
        <v>0</v>
      </c>
      <c r="H310" s="8">
        <f ca="1">IFERROR(__xludf.DUMMYFUNCTION("""COMPUTED_VALUE"""),0)</f>
        <v>0</v>
      </c>
      <c r="I310" s="8">
        <f ca="1">IFERROR(__xludf.DUMMYFUNCTION("""COMPUTED_VALUE"""),0)</f>
        <v>0</v>
      </c>
      <c r="J310" s="8">
        <f ca="1">IFERROR(__xludf.DUMMYFUNCTION("""COMPUTED_VALUE"""),0)</f>
        <v>0</v>
      </c>
      <c r="K310" s="8" t="str">
        <f ca="1">IFERROR(__xludf.DUMMYFUNCTION("""COMPUTED_VALUE"""),"https://ktla.com/news/local-news/dash-cam-captures-teen-suspect-open-fire-near-southern-california-school/
https://abc7.com/post/del-mar-high-school-sees-heightened-police-presence-following-shooting-san-gabriel-campus/15209488/
https://www.coloradoboulev"&amp;"ard.net/suspect-in-shots-fired-at-high-school-in-san-gabriel-is-arrested/")</f>
        <v>https://ktla.com/news/local-news/dash-cam-captures-teen-suspect-open-fire-near-southern-california-school/
https://abc7.com/post/del-mar-high-school-sees-heightened-police-presence-following-shooting-san-gabriel-campus/15209488/
https://www.coloradoboulevard.net/suspect-in-shots-fired-at-high-school-in-san-gabriel-is-arrested/</v>
      </c>
      <c r="L310" s="8">
        <f ca="1">IFERROR(__xludf.DUMMYFUNCTION("""COMPUTED_VALUE"""),10)</f>
        <v>10</v>
      </c>
      <c r="M310" s="8" t="str">
        <f ca="1">IFERROR(__xludf.DUMMYFUNCTION("""COMPUTED_VALUE"""),"Regional")</f>
        <v>Regional</v>
      </c>
      <c r="N310" s="8">
        <f ca="1">IFERROR(__xludf.DUMMYFUNCTION("""COMPUTED_VALUE"""),4)</f>
        <v>4</v>
      </c>
      <c r="O310" s="8" t="str">
        <f ca="1">IFERROR(__xludf.DUMMYFUNCTION("""COMPUTED_VALUE"""),"Summer")</f>
        <v>Summer</v>
      </c>
      <c r="P310" s="8" t="str">
        <f ca="1">IFERROR(__xludf.DUMMYFUNCTION("""COMPUTED_VALUE"""),"San Gabriel")</f>
        <v>San Gabriel</v>
      </c>
      <c r="Q310" s="8" t="str">
        <f ca="1">IFERROR(__xludf.DUMMYFUNCTION("""COMPUTED_VALUE"""),"CA")</f>
        <v>CA</v>
      </c>
      <c r="R310" s="8" t="str">
        <f ca="1">IFERROR(__xludf.DUMMYFUNCTION("""COMPUTED_VALUE"""),"High")</f>
        <v>High</v>
      </c>
      <c r="S310" s="8" t="str">
        <f ca="1">IFERROR(__xludf.DUMMYFUNCTION("""COMPUTED_VALUE"""),"Front of School")</f>
        <v>Front of School</v>
      </c>
      <c r="T310" s="8" t="str">
        <f ca="1">IFERROR(__xludf.DUMMYFUNCTION("""COMPUTED_VALUE"""),"Outside on School Property")</f>
        <v>Outside on School Property</v>
      </c>
      <c r="U310" s="8" t="str">
        <f ca="1">IFERROR(__xludf.DUMMYFUNCTION("""COMPUTED_VALUE"""),"Yes")</f>
        <v>Yes</v>
      </c>
      <c r="V310" s="8" t="str">
        <f ca="1">IFERROR(__xludf.DUMMYFUNCTION("""COMPUTED_VALUE"""),"Dismissal")</f>
        <v>Dismissal</v>
      </c>
      <c r="W310" s="11">
        <f ca="1">IFERROR(__xludf.DUMMYFUNCTION("""COMPUTED_VALUE"""),0.572916666666666)</f>
        <v>0.57291666666666596</v>
      </c>
      <c r="X310" s="8">
        <f ca="1">IFERROR(__xludf.DUMMYFUNCTION("""COMPUTED_VALUE"""),1)</f>
        <v>1</v>
      </c>
      <c r="Y310" s="12" t="str">
        <f ca="1">IFERROR(__xludf.DUMMYFUNCTION("""COMPUTED_VALUE"""),"Student fired dozen shots in front of the school at dismissal")</f>
        <v>Student fired dozen shots in front of the school at dismissal</v>
      </c>
      <c r="Z310" s="12" t="str">
        <f ca="1">IFERROR(__xludf.DUMMYFUNCTION("""COMPUTED_VALUE"""),"Student fired dozen shots at students outside the school during dismissal. All of the shots missed. The shooter fled and was arrested off campus. School went on lockdown and security was increased the following day.")</f>
        <v>Student fired dozen shots at students outside the school during dismissal. All of the shots missed. The shooter fled and was arrested off campus. School went on lockdown and security was increased the following day.</v>
      </c>
      <c r="AA310" s="8"/>
      <c r="AB310" s="8"/>
      <c r="AC310" s="8" t="str">
        <f ca="1">IFERROR(__xludf.DUMMYFUNCTION("""COMPUTED_VALUE"""),"Yes")</f>
        <v>Yes</v>
      </c>
      <c r="AD310" s="8"/>
      <c r="AE310" s="8" t="str">
        <f ca="1">IFERROR(__xludf.DUMMYFUNCTION("""COMPUTED_VALUE"""),"No")</f>
        <v>No</v>
      </c>
      <c r="AF310" s="8"/>
      <c r="AG310" s="8" t="str">
        <f ca="1">IFERROR(__xludf.DUMMYFUNCTION("""COMPUTED_VALUE"""),"No")</f>
        <v>No</v>
      </c>
      <c r="AH310" s="8" t="str">
        <f ca="1">IFERROR(__xludf.DUMMYFUNCTION("""COMPUTED_VALUE"""),"No")</f>
        <v>No</v>
      </c>
      <c r="AI310" s="8" t="str">
        <f ca="1">IFERROR(__xludf.DUMMYFUNCTION("""COMPUTED_VALUE"""),"No")</f>
        <v>No</v>
      </c>
      <c r="AJ310" s="8"/>
      <c r="AK310" s="8" t="str">
        <f ca="1">IFERROR(__xludf.DUMMYFUNCTION("""COMPUTED_VALUE"""),"No")</f>
        <v>No</v>
      </c>
      <c r="AL310" s="8"/>
      <c r="AM310" s="8" t="str">
        <f ca="1">IFERROR(__xludf.DUMMYFUNCTION("""COMPUTED_VALUE"""),"No")</f>
        <v>No</v>
      </c>
      <c r="AN310" s="8" t="str">
        <f ca="1">IFERROR(__xludf.DUMMYFUNCTION("""COMPUTED_VALUE"""),"Outside")</f>
        <v>Outside</v>
      </c>
      <c r="AO310" s="8" t="str">
        <f ca="1">IFERROR(__xludf.DUMMYFUNCTION("""COMPUTED_VALUE"""),"No")</f>
        <v>No</v>
      </c>
      <c r="AP310" s="8"/>
      <c r="AQ310" s="8"/>
      <c r="AR310" s="8" t="str">
        <f ca="1">IFERROR(__xludf.DUMMYFUNCTION("""COMPUTED_VALUE"""),"Outside/Off-Property")</f>
        <v>Outside/Off-Property</v>
      </c>
      <c r="AS310" s="8">
        <f ca="1">IFERROR(__xludf.DUMMYFUNCTION("""COMPUTED_VALUE"""),12)</f>
        <v>12</v>
      </c>
      <c r="AT310" s="8" t="str">
        <f ca="1">IFERROR(__xludf.DUMMYFUNCTION("""COMPUTED_VALUE"""),"Yes")</f>
        <v>Yes</v>
      </c>
      <c r="AU310" s="8">
        <f ca="1">IFERROR(__xludf.DUMMYFUNCTION("""COMPUTED_VALUE"""),34.098805)</f>
        <v>34.098804999999999</v>
      </c>
      <c r="AV310" s="8">
        <f ca="1">IFERROR(__xludf.DUMMYFUNCTION("""COMPUTED_VALUE"""),-118.0995)</f>
        <v>-118.09950000000001</v>
      </c>
      <c r="AW310" s="8" t="str">
        <f ca="1">IFERROR(__xludf.DUMMYFUNCTION("""COMPUTED_VALUE"""),"Multiple detached buildings")</f>
        <v>Multiple detached buildings</v>
      </c>
      <c r="AX310" s="8">
        <f ca="1">IFERROR(__xludf.DUMMYFUNCTION("""COMPUTED_VALUE"""),91778)</f>
        <v>91778</v>
      </c>
    </row>
    <row r="311" spans="1:50" ht="45" x14ac:dyDescent="0.2">
      <c r="A311" s="8" t="str">
        <f ca="1">IFERROR(__xludf.DUMMYFUNCTION("""COMPUTED_VALUE"""),"20240819PAOLP")</f>
        <v>20240819PAOLP</v>
      </c>
      <c r="B311" s="8">
        <f ca="1">IFERROR(__xludf.DUMMYFUNCTION("""COMPUTED_VALUE"""),8)</f>
        <v>8</v>
      </c>
      <c r="C311" s="8">
        <f ca="1">IFERROR(__xludf.DUMMYFUNCTION("""COMPUTED_VALUE"""),19)</f>
        <v>19</v>
      </c>
      <c r="D311" s="8">
        <f ca="1">IFERROR(__xludf.DUMMYFUNCTION("""COMPUTED_VALUE"""),2024)</f>
        <v>2024</v>
      </c>
      <c r="E311" s="9">
        <f ca="1">IFERROR(__xludf.DUMMYFUNCTION("""COMPUTED_VALUE"""),45523)</f>
        <v>45523</v>
      </c>
      <c r="F311" s="8" t="str">
        <f ca="1">IFERROR(__xludf.DUMMYFUNCTION("""COMPUTED_VALUE"""),"Olney Charter High School")</f>
        <v>Olney Charter High School</v>
      </c>
      <c r="G311" s="8">
        <f ca="1">IFERROR(__xludf.DUMMYFUNCTION("""COMPUTED_VALUE"""),1)</f>
        <v>1</v>
      </c>
      <c r="H311" s="8">
        <f ca="1">IFERROR(__xludf.DUMMYFUNCTION("""COMPUTED_VALUE"""),1)</f>
        <v>1</v>
      </c>
      <c r="I311" s="8">
        <f ca="1">IFERROR(__xludf.DUMMYFUNCTION("""COMPUTED_VALUE"""),2)</f>
        <v>2</v>
      </c>
      <c r="J311" s="8">
        <f ca="1">IFERROR(__xludf.DUMMYFUNCTION("""COMPUTED_VALUE"""),0)</f>
        <v>0</v>
      </c>
      <c r="K311" s="10" t="str">
        <f ca="1">IFERROR(__xludf.DUMMYFUNCTION("""COMPUTED_VALUE"""),"https://www.nbcphiladelphia.com/news/local/1-dead-1-hurt-in-double-shooting-near-school-in-phillys-olney-neighborhood/3946837/")</f>
        <v>https://www.nbcphiladelphia.com/news/local/1-dead-1-hurt-in-double-shooting-near-school-in-phillys-olney-neighborhood/3946837/</v>
      </c>
      <c r="L311" s="8">
        <f ca="1">IFERROR(__xludf.DUMMYFUNCTION("""COMPUTED_VALUE"""),10)</f>
        <v>10</v>
      </c>
      <c r="M311" s="8" t="str">
        <f ca="1">IFERROR(__xludf.DUMMYFUNCTION("""COMPUTED_VALUE"""),"Local")</f>
        <v>Local</v>
      </c>
      <c r="N311" s="8">
        <f ca="1">IFERROR(__xludf.DUMMYFUNCTION("""COMPUTED_VALUE"""),4)</f>
        <v>4</v>
      </c>
      <c r="O311" s="8" t="str">
        <f ca="1">IFERROR(__xludf.DUMMYFUNCTION("""COMPUTED_VALUE"""),"Summer")</f>
        <v>Summer</v>
      </c>
      <c r="P311" s="8" t="str">
        <f ca="1">IFERROR(__xludf.DUMMYFUNCTION("""COMPUTED_VALUE"""),"Philadelphia")</f>
        <v>Philadelphia</v>
      </c>
      <c r="Q311" s="8" t="str">
        <f ca="1">IFERROR(__xludf.DUMMYFUNCTION("""COMPUTED_VALUE"""),"PA")</f>
        <v>PA</v>
      </c>
      <c r="R311" s="8" t="str">
        <f ca="1">IFERROR(__xludf.DUMMYFUNCTION("""COMPUTED_VALUE"""),"High")</f>
        <v>High</v>
      </c>
      <c r="S311" s="8" t="str">
        <f ca="1">IFERROR(__xludf.DUMMYFUNCTION("""COMPUTED_VALUE"""),"Football Field/Track")</f>
        <v>Football Field/Track</v>
      </c>
      <c r="T311" s="8" t="str">
        <f ca="1">IFERROR(__xludf.DUMMYFUNCTION("""COMPUTED_VALUE"""),"Outside on School Property")</f>
        <v>Outside on School Property</v>
      </c>
      <c r="U311" s="8" t="str">
        <f ca="1">IFERROR(__xludf.DUMMYFUNCTION("""COMPUTED_VALUE"""),"No")</f>
        <v>No</v>
      </c>
      <c r="V311" s="8" t="str">
        <f ca="1">IFERROR(__xludf.DUMMYFUNCTION("""COMPUTED_VALUE"""),"Night")</f>
        <v>Night</v>
      </c>
      <c r="W311" s="11">
        <f ca="1">IFERROR(__xludf.DUMMYFUNCTION("""COMPUTED_VALUE"""),0.104166666666666)</f>
        <v>0.10416666666666601</v>
      </c>
      <c r="X311" s="8">
        <f ca="1">IFERROR(__xludf.DUMMYFUNCTION("""COMPUTED_VALUE"""),1)</f>
        <v>1</v>
      </c>
      <c r="Y311" s="12" t="str">
        <f ca="1">IFERROR(__xludf.DUMMYFUNCTION("""COMPUTED_VALUE"""),"Two 16-year-olds shot on the school track")</f>
        <v>Two 16-year-olds shot on the school track</v>
      </c>
      <c r="Z311" s="12" t="str">
        <f ca="1">IFERROR(__xludf.DUMMYFUNCTION("""COMPUTED_VALUE"""),"A 16-year-old was killed and another was critically wounded during a targeted shooting on the school track. Police recovered 8 shell casings at the school. Shooter fled.")</f>
        <v>A 16-year-old was killed and another was critically wounded during a targeted shooting on the school track. Police recovered 8 shell casings at the school. Shooter fled.</v>
      </c>
      <c r="AA311" s="8"/>
      <c r="AB311" s="8" t="str">
        <f ca="1">IFERROR(__xludf.DUMMYFUNCTION("""COMPUTED_VALUE"""),"Targeted")</f>
        <v>Targeted</v>
      </c>
      <c r="AC311" s="8" t="str">
        <f ca="1">IFERROR(__xludf.DUMMYFUNCTION("""COMPUTED_VALUE"""),"Yes")</f>
        <v>Yes</v>
      </c>
      <c r="AD311" s="8" t="str">
        <f ca="1">IFERROR(__xludf.DUMMYFUNCTION("""COMPUTED_VALUE"""),"Victims Targeted")</f>
        <v>Victims Targeted</v>
      </c>
      <c r="AE311" s="8" t="str">
        <f ca="1">IFERROR(__xludf.DUMMYFUNCTION("""COMPUTED_VALUE"""),"Yes")</f>
        <v>Yes</v>
      </c>
      <c r="AF311" s="8" t="str">
        <f ca="1">IFERROR(__xludf.DUMMYFUNCTION("""COMPUTED_VALUE"""),"Possible 4 shooters")</f>
        <v>Possible 4 shooters</v>
      </c>
      <c r="AG311" s="8" t="str">
        <f ca="1">IFERROR(__xludf.DUMMYFUNCTION("""COMPUTED_VALUE"""),"No")</f>
        <v>No</v>
      </c>
      <c r="AH311" s="8" t="str">
        <f ca="1">IFERROR(__xludf.DUMMYFUNCTION("""COMPUTED_VALUE"""),"No")</f>
        <v>No</v>
      </c>
      <c r="AI311" s="8" t="str">
        <f ca="1">IFERROR(__xludf.DUMMYFUNCTION("""COMPUTED_VALUE"""),"No")</f>
        <v>No</v>
      </c>
      <c r="AJ311" s="8" t="str">
        <f ca="1">IFERROR(__xludf.DUMMYFUNCTION("""COMPUTED_VALUE"""),"No")</f>
        <v>No</v>
      </c>
      <c r="AK311" s="8" t="str">
        <f ca="1">IFERROR(__xludf.DUMMYFUNCTION("""COMPUTED_VALUE"""),"No")</f>
        <v>No</v>
      </c>
      <c r="AL311" s="8"/>
      <c r="AM311" s="8" t="str">
        <f ca="1">IFERROR(__xludf.DUMMYFUNCTION("""COMPUTED_VALUE"""),"No")</f>
        <v>No</v>
      </c>
      <c r="AN311" s="8" t="str">
        <f ca="1">IFERROR(__xludf.DUMMYFUNCTION("""COMPUTED_VALUE"""),"Outside")</f>
        <v>Outside</v>
      </c>
      <c r="AO311" s="8" t="str">
        <f ca="1">IFERROR(__xludf.DUMMYFUNCTION("""COMPUTED_VALUE"""),"No")</f>
        <v>No</v>
      </c>
      <c r="AP311" s="8"/>
      <c r="AQ311" s="8"/>
      <c r="AR311" s="8" t="str">
        <f ca="1">IFERROR(__xludf.DUMMYFUNCTION("""COMPUTED_VALUE"""),"Outside/Off-Property")</f>
        <v>Outside/Off-Property</v>
      </c>
      <c r="AS311" s="8">
        <f ca="1">IFERROR(__xludf.DUMMYFUNCTION("""COMPUTED_VALUE"""),8)</f>
        <v>8</v>
      </c>
      <c r="AT311" s="8" t="str">
        <f ca="1">IFERROR(__xludf.DUMMYFUNCTION("""COMPUTED_VALUE"""),"No")</f>
        <v>No</v>
      </c>
      <c r="AU311" s="8">
        <f ca="1">IFERROR(__xludf.DUMMYFUNCTION("""COMPUTED_VALUE"""),40.028988)</f>
        <v>40.028987999999998</v>
      </c>
      <c r="AV311" s="8">
        <f ca="1">IFERROR(__xludf.DUMMYFUNCTION("""COMPUTED_VALUE"""),-75.123201)</f>
        <v>-75.123200999999995</v>
      </c>
      <c r="AW311" s="8" t="str">
        <f ca="1">IFERROR(__xludf.DUMMYFUNCTION("""COMPUTED_VALUE"""),"Multiple attached buildings")</f>
        <v>Multiple attached buildings</v>
      </c>
      <c r="AX311" s="8">
        <f ca="1">IFERROR(__xludf.DUMMYFUNCTION("""COMPUTED_VALUE"""),19120)</f>
        <v>19120</v>
      </c>
    </row>
    <row r="312" spans="1:50" ht="75" x14ac:dyDescent="0.2">
      <c r="A312" s="8" t="str">
        <f ca="1">IFERROR(__xludf.DUMMYFUNCTION("""COMPUTED_VALUE"""),"20240816GAMUC")</f>
        <v>20240816GAMUC</v>
      </c>
      <c r="B312" s="8">
        <f ca="1">IFERROR(__xludf.DUMMYFUNCTION("""COMPUTED_VALUE"""),8)</f>
        <v>8</v>
      </c>
      <c r="C312" s="8">
        <f ca="1">IFERROR(__xludf.DUMMYFUNCTION("""COMPUTED_VALUE"""),16)</f>
        <v>16</v>
      </c>
      <c r="D312" s="8">
        <f ca="1">IFERROR(__xludf.DUMMYFUNCTION("""COMPUTED_VALUE"""),2024)</f>
        <v>2024</v>
      </c>
      <c r="E312" s="9">
        <f ca="1">IFERROR(__xludf.DUMMYFUNCTION("""COMPUTED_VALUE"""),45520)</f>
        <v>45520</v>
      </c>
      <c r="F312" s="8" t="str">
        <f ca="1">IFERROR(__xludf.DUMMYFUNCTION("""COMPUTED_VALUE"""),"Muscogee County School District Bus")</f>
        <v>Muscogee County School District Bus</v>
      </c>
      <c r="G312" s="8">
        <f ca="1">IFERROR(__xludf.DUMMYFUNCTION("""COMPUTED_VALUE"""),0)</f>
        <v>0</v>
      </c>
      <c r="H312" s="8">
        <f ca="1">IFERROR(__xludf.DUMMYFUNCTION("""COMPUTED_VALUE"""),0)</f>
        <v>0</v>
      </c>
      <c r="I312" s="8">
        <f ca="1">IFERROR(__xludf.DUMMYFUNCTION("""COMPUTED_VALUE"""),0)</f>
        <v>0</v>
      </c>
      <c r="J312" s="8">
        <f ca="1">IFERROR(__xludf.DUMMYFUNCTION("""COMPUTED_VALUE"""),0)</f>
        <v>0</v>
      </c>
      <c r="K312" s="8" t="str">
        <f ca="1">IFERROR(__xludf.DUMMYFUNCTION("""COMPUTED_VALUE"""),"https://www.wtvm.com/2024/08/19/school-bus-hit-by-gunfire-during-shooting-columbus/
https://cnaw2news.com/2024/08/20/friday-shots-fired-incident-leaves-school-bus-with-damage/")</f>
        <v>https://www.wtvm.com/2024/08/19/school-bus-hit-by-gunfire-during-shooting-columbus/
https://cnaw2news.com/2024/08/20/friday-shots-fired-incident-leaves-school-bus-with-damage/</v>
      </c>
      <c r="L312" s="8">
        <f ca="1">IFERROR(__xludf.DUMMYFUNCTION("""COMPUTED_VALUE"""),2)</f>
        <v>2</v>
      </c>
      <c r="M312" s="8" t="str">
        <f ca="1">IFERROR(__xludf.DUMMYFUNCTION("""COMPUTED_VALUE"""),"Local")</f>
        <v>Local</v>
      </c>
      <c r="N312" s="8">
        <f ca="1">IFERROR(__xludf.DUMMYFUNCTION("""COMPUTED_VALUE"""),4)</f>
        <v>4</v>
      </c>
      <c r="O312" s="8" t="str">
        <f ca="1">IFERROR(__xludf.DUMMYFUNCTION("""COMPUTED_VALUE"""),"Summer")</f>
        <v>Summer</v>
      </c>
      <c r="P312" s="8" t="str">
        <f ca="1">IFERROR(__xludf.DUMMYFUNCTION("""COMPUTED_VALUE"""),"Columbus")</f>
        <v>Columbus</v>
      </c>
      <c r="Q312" s="8" t="str">
        <f ca="1">IFERROR(__xludf.DUMMYFUNCTION("""COMPUTED_VALUE"""),"GA")</f>
        <v>GA</v>
      </c>
      <c r="R312" s="8"/>
      <c r="S312" s="8" t="str">
        <f ca="1">IFERROR(__xludf.DUMMYFUNCTION("""COMPUTED_VALUE"""),"School Bus")</f>
        <v>School Bus</v>
      </c>
      <c r="T312" s="8" t="str">
        <f ca="1">IFERROR(__xludf.DUMMYFUNCTION("""COMPUTED_VALUE"""),"School Bus")</f>
        <v>School Bus</v>
      </c>
      <c r="U312" s="8" t="str">
        <f ca="1">IFERROR(__xludf.DUMMYFUNCTION("""COMPUTED_VALUE"""),"Yes")</f>
        <v>Yes</v>
      </c>
      <c r="V312" s="8" t="str">
        <f ca="1">IFERROR(__xludf.DUMMYFUNCTION("""COMPUTED_VALUE"""),"Dismissal")</f>
        <v>Dismissal</v>
      </c>
      <c r="W312" s="11">
        <f ca="1">IFERROR(__xludf.DUMMYFUNCTION("""COMPUTED_VALUE"""),0.614583333333333)</f>
        <v>0.61458333333333304</v>
      </c>
      <c r="X312" s="8">
        <f ca="1">IFERROR(__xludf.DUMMYFUNCTION("""COMPUTED_VALUE"""),1)</f>
        <v>1</v>
      </c>
      <c r="Y312" s="12" t="str">
        <f ca="1">IFERROR(__xludf.DUMMYFUNCTION("""COMPUTED_VALUE"""),"School bus carrying children home was struck by bullets")</f>
        <v>School bus carrying children home was struck by bullets</v>
      </c>
      <c r="Z312" s="12" t="str">
        <f ca="1">IFERROR(__xludf.DUMMYFUNCTION("""COMPUTED_VALUE"""),"According to officials, Bus 899 was caught in the crossfire of gunshots being exchanged between two individuals, but the school bus was not the intended target. The bus driver was able to move out of harm’s way to get the students to safety.")</f>
        <v>According to officials, Bus 899 was caught in the crossfire of gunshots being exchanged between two individuals, but the school bus was not the intended target. The bus driver was able to move out of harm’s way to get the students to safety.</v>
      </c>
      <c r="AA312" s="8" t="str">
        <f ca="1">IFERROR(__xludf.DUMMYFUNCTION("""COMPUTED_VALUE"""),"Drive-by Shooting")</f>
        <v>Drive-by Shooting</v>
      </c>
      <c r="AB312" s="8"/>
      <c r="AC312" s="8" t="str">
        <f ca="1">IFERROR(__xludf.DUMMYFUNCTION("""COMPUTED_VALUE"""),"Yes")</f>
        <v>Yes</v>
      </c>
      <c r="AD312" s="8" t="str">
        <f ca="1">IFERROR(__xludf.DUMMYFUNCTION("""COMPUTED_VALUE"""),"Both")</f>
        <v>Both</v>
      </c>
      <c r="AE312" s="8" t="str">
        <f ca="1">IFERROR(__xludf.DUMMYFUNCTION("""COMPUTED_VALUE"""),"No")</f>
        <v>No</v>
      </c>
      <c r="AF312" s="8"/>
      <c r="AG312" s="8" t="str">
        <f ca="1">IFERROR(__xludf.DUMMYFUNCTION("""COMPUTED_VALUE"""),"No")</f>
        <v>No</v>
      </c>
      <c r="AH312" s="8" t="str">
        <f ca="1">IFERROR(__xludf.DUMMYFUNCTION("""COMPUTED_VALUE"""),"No")</f>
        <v>No</v>
      </c>
      <c r="AI312" s="8" t="str">
        <f ca="1">IFERROR(__xludf.DUMMYFUNCTION("""COMPUTED_VALUE"""),"No")</f>
        <v>No</v>
      </c>
      <c r="AJ312" s="8" t="str">
        <f ca="1">IFERROR(__xludf.DUMMYFUNCTION("""COMPUTED_VALUE"""),"No")</f>
        <v>No</v>
      </c>
      <c r="AK312" s="8" t="str">
        <f ca="1">IFERROR(__xludf.DUMMYFUNCTION("""COMPUTED_VALUE"""),"No")</f>
        <v>No</v>
      </c>
      <c r="AL312" s="8"/>
      <c r="AM312" s="8" t="str">
        <f ca="1">IFERROR(__xludf.DUMMYFUNCTION("""COMPUTED_VALUE"""),"No")</f>
        <v>No</v>
      </c>
      <c r="AN312" s="8" t="str">
        <f ca="1">IFERROR(__xludf.DUMMYFUNCTION("""COMPUTED_VALUE"""),"Outside")</f>
        <v>Outside</v>
      </c>
      <c r="AO312" s="8" t="str">
        <f ca="1">IFERROR(__xludf.DUMMYFUNCTION("""COMPUTED_VALUE"""),"No")</f>
        <v>No</v>
      </c>
      <c r="AP312" s="8"/>
      <c r="AQ312" s="8"/>
      <c r="AR312" s="8" t="str">
        <f ca="1">IFERROR(__xludf.DUMMYFUNCTION("""COMPUTED_VALUE"""),"Outside/Off-Property")</f>
        <v>Outside/Off-Property</v>
      </c>
      <c r="AS312" s="8">
        <f ca="1">IFERROR(__xludf.DUMMYFUNCTION("""COMPUTED_VALUE"""),99)</f>
        <v>99</v>
      </c>
      <c r="AT312" s="8" t="str">
        <f ca="1">IFERROR(__xludf.DUMMYFUNCTION("""COMPUTED_VALUE"""),"No")</f>
        <v>No</v>
      </c>
      <c r="AU312" s="8">
        <f ca="1">IFERROR(__xludf.DUMMYFUNCTION("""COMPUTED_VALUE"""),32.448016)</f>
        <v>32.448016000000003</v>
      </c>
      <c r="AV312" s="8">
        <f ca="1">IFERROR(__xludf.DUMMYFUNCTION("""COMPUTED_VALUE"""),-84.959529)</f>
        <v>-84.959529000000003</v>
      </c>
      <c r="AW312" s="8"/>
      <c r="AX312" s="8">
        <f ca="1">IFERROR(__xludf.DUMMYFUNCTION("""COMPUTED_VALUE"""),31903)</f>
        <v>31903</v>
      </c>
    </row>
    <row r="313" spans="1:50" ht="45" x14ac:dyDescent="0.2">
      <c r="A313" s="8" t="str">
        <f ca="1">IFERROR(__xludf.DUMMYFUNCTION("""COMPUTED_VALUE"""),"20240816CASYS")</f>
        <v>20240816CASYS</v>
      </c>
      <c r="B313" s="8">
        <f ca="1">IFERROR(__xludf.DUMMYFUNCTION("""COMPUTED_VALUE"""),8)</f>
        <v>8</v>
      </c>
      <c r="C313" s="8">
        <f ca="1">IFERROR(__xludf.DUMMYFUNCTION("""COMPUTED_VALUE"""),16)</f>
        <v>16</v>
      </c>
      <c r="D313" s="8">
        <f ca="1">IFERROR(__xludf.DUMMYFUNCTION("""COMPUTED_VALUE"""),2024)</f>
        <v>2024</v>
      </c>
      <c r="E313" s="9">
        <f ca="1">IFERROR(__xludf.DUMMYFUNCTION("""COMPUTED_VALUE"""),45520)</f>
        <v>45520</v>
      </c>
      <c r="F313" s="8" t="str">
        <f ca="1">IFERROR(__xludf.DUMMYFUNCTION("""COMPUTED_VALUE"""),"Sylmar High School")</f>
        <v>Sylmar High School</v>
      </c>
      <c r="G313" s="8">
        <f ca="1">IFERROR(__xludf.DUMMYFUNCTION("""COMPUTED_VALUE"""),0)</f>
        <v>0</v>
      </c>
      <c r="H313" s="8">
        <f ca="1">IFERROR(__xludf.DUMMYFUNCTION("""COMPUTED_VALUE"""),0)</f>
        <v>0</v>
      </c>
      <c r="I313" s="8">
        <f ca="1">IFERROR(__xludf.DUMMYFUNCTION("""COMPUTED_VALUE"""),0)</f>
        <v>0</v>
      </c>
      <c r="J313" s="8">
        <f ca="1">IFERROR(__xludf.DUMMYFUNCTION("""COMPUTED_VALUE"""),0)</f>
        <v>0</v>
      </c>
      <c r="K313" s="8" t="str">
        <f ca="1">IFERROR(__xludf.DUMMYFUNCTION("""COMPUTED_VALUE"""),"https://www.cbsnews.com/losangeles/news/student-with-weapon-taken-into-custody-after-sylmar-high-school-disturbance/
https://www.latimes.com/california/story/2024-08-17/weapon-described-as-loaded-gun-recovered-in-friday-fight-at-sylmar-high")</f>
        <v>https://www.cbsnews.com/losangeles/news/student-with-weapon-taken-into-custody-after-sylmar-high-school-disturbance/
https://www.latimes.com/california/story/2024-08-17/weapon-described-as-loaded-gun-recovered-in-friday-fight-at-sylmar-high</v>
      </c>
      <c r="L313" s="8">
        <f ca="1">IFERROR(__xludf.DUMMYFUNCTION("""COMPUTED_VALUE"""),3)</f>
        <v>3</v>
      </c>
      <c r="M313" s="8" t="str">
        <f ca="1">IFERROR(__xludf.DUMMYFUNCTION("""COMPUTED_VALUE"""),"Local")</f>
        <v>Local</v>
      </c>
      <c r="N313" s="8">
        <f ca="1">IFERROR(__xludf.DUMMYFUNCTION("""COMPUTED_VALUE"""),4)</f>
        <v>4</v>
      </c>
      <c r="O313" s="8" t="str">
        <f ca="1">IFERROR(__xludf.DUMMYFUNCTION("""COMPUTED_VALUE"""),"Summer")</f>
        <v>Summer</v>
      </c>
      <c r="P313" s="8" t="str">
        <f ca="1">IFERROR(__xludf.DUMMYFUNCTION("""COMPUTED_VALUE"""),"Sylmar")</f>
        <v>Sylmar</v>
      </c>
      <c r="Q313" s="8" t="str">
        <f ca="1">IFERROR(__xludf.DUMMYFUNCTION("""COMPUTED_VALUE"""),"CA")</f>
        <v>CA</v>
      </c>
      <c r="R313" s="8" t="str">
        <f ca="1">IFERROR(__xludf.DUMMYFUNCTION("""COMPUTED_VALUE"""),"High")</f>
        <v>High</v>
      </c>
      <c r="S313" s="8" t="str">
        <f ca="1">IFERROR(__xludf.DUMMYFUNCTION("""COMPUTED_VALUE"""),"Hallway")</f>
        <v>Hallway</v>
      </c>
      <c r="T313" s="8" t="str">
        <f ca="1">IFERROR(__xludf.DUMMYFUNCTION("""COMPUTED_VALUE"""),"Inside School Building")</f>
        <v>Inside School Building</v>
      </c>
      <c r="U313" s="8" t="str">
        <f ca="1">IFERROR(__xludf.DUMMYFUNCTION("""COMPUTED_VALUE"""),"Yes")</f>
        <v>Yes</v>
      </c>
      <c r="V313" s="8" t="str">
        <f ca="1">IFERROR(__xludf.DUMMYFUNCTION("""COMPUTED_VALUE"""),"Morning Classes")</f>
        <v>Morning Classes</v>
      </c>
      <c r="W313" s="11">
        <f ca="1">IFERROR(__xludf.DUMMYFUNCTION("""COMPUTED_VALUE"""),0.927083333333333)</f>
        <v>0.92708333333333304</v>
      </c>
      <c r="X313" s="8">
        <f ca="1">IFERROR(__xludf.DUMMYFUNCTION("""COMPUTED_VALUE"""),1)</f>
        <v>1</v>
      </c>
      <c r="Y313" s="12" t="str">
        <f ca="1">IFERROR(__xludf.DUMMYFUNCTION("""COMPUTED_VALUE"""),"Student brandished gun during fight in hallway")</f>
        <v>Student brandished gun during fight in hallway</v>
      </c>
      <c r="Z313" s="12" t="str">
        <f ca="1">IFERROR(__xludf.DUMMYFUNCTION("""COMPUTED_VALUE"""),"Student brandished gun during a fight in the hallway. Student was arrested and a firearm was seized while school went on lockdown.")</f>
        <v>Student brandished gun during a fight in the hallway. Student was arrested and a firearm was seized while school went on lockdown.</v>
      </c>
      <c r="AA313" s="8" t="str">
        <f ca="1">IFERROR(__xludf.DUMMYFUNCTION("""COMPUTED_VALUE"""),"Escalation of Dispute")</f>
        <v>Escalation of Dispute</v>
      </c>
      <c r="AB313" s="8" t="str">
        <f ca="1">IFERROR(__xludf.DUMMYFUNCTION("""COMPUTED_VALUE"""),"Spontaneous")</f>
        <v>Spontaneous</v>
      </c>
      <c r="AC313" s="8" t="str">
        <f ca="1">IFERROR(__xludf.DUMMYFUNCTION("""COMPUTED_VALUE"""),"Yes")</f>
        <v>Yes</v>
      </c>
      <c r="AD313" s="8" t="str">
        <f ca="1">IFERROR(__xludf.DUMMYFUNCTION("""COMPUTED_VALUE"""),"Neither")</f>
        <v>Neither</v>
      </c>
      <c r="AE313" s="8" t="str">
        <f ca="1">IFERROR(__xludf.DUMMYFUNCTION("""COMPUTED_VALUE"""),"No")</f>
        <v>No</v>
      </c>
      <c r="AF313" s="8"/>
      <c r="AG313" s="8" t="str">
        <f ca="1">IFERROR(__xludf.DUMMYFUNCTION("""COMPUTED_VALUE"""),"No")</f>
        <v>No</v>
      </c>
      <c r="AH313" s="8" t="str">
        <f ca="1">IFERROR(__xludf.DUMMYFUNCTION("""COMPUTED_VALUE"""),"No")</f>
        <v>No</v>
      </c>
      <c r="AI313" s="8" t="str">
        <f ca="1">IFERROR(__xludf.DUMMYFUNCTION("""COMPUTED_VALUE"""),"No")</f>
        <v>No</v>
      </c>
      <c r="AJ313" s="8" t="str">
        <f ca="1">IFERROR(__xludf.DUMMYFUNCTION("""COMPUTED_VALUE"""),"No")</f>
        <v>No</v>
      </c>
      <c r="AK313" s="8" t="str">
        <f ca="1">IFERROR(__xludf.DUMMYFUNCTION("""COMPUTED_VALUE"""),"No")</f>
        <v>No</v>
      </c>
      <c r="AL313" s="8" t="str">
        <f ca="1">IFERROR(__xludf.DUMMYFUNCTION("""COMPUTED_VALUE"""),"No")</f>
        <v>No</v>
      </c>
      <c r="AM313" s="8" t="str">
        <f ca="1">IFERROR(__xludf.DUMMYFUNCTION("""COMPUTED_VALUE"""),"No")</f>
        <v>No</v>
      </c>
      <c r="AN313" s="8" t="str">
        <f ca="1">IFERROR(__xludf.DUMMYFUNCTION("""COMPUTED_VALUE"""),"Outside")</f>
        <v>Outside</v>
      </c>
      <c r="AO313" s="8" t="str">
        <f ca="1">IFERROR(__xludf.DUMMYFUNCTION("""COMPUTED_VALUE"""),"No")</f>
        <v>No</v>
      </c>
      <c r="AP313" s="8"/>
      <c r="AQ313" s="8"/>
      <c r="AR313" s="8" t="str">
        <f ca="1">IFERROR(__xludf.DUMMYFUNCTION("""COMPUTED_VALUE"""),"Failed")</f>
        <v>Failed</v>
      </c>
      <c r="AS313" s="8">
        <f ca="1">IFERROR(__xludf.DUMMYFUNCTION("""COMPUTED_VALUE"""),0)</f>
        <v>0</v>
      </c>
      <c r="AT313" s="8" t="str">
        <f ca="1">IFERROR(__xludf.DUMMYFUNCTION("""COMPUTED_VALUE"""),"Yes")</f>
        <v>Yes</v>
      </c>
      <c r="AU313" s="8">
        <f ca="1">IFERROR(__xludf.DUMMYFUNCTION("""COMPUTED_VALUE"""),34.306987)</f>
        <v>34.306986999999999</v>
      </c>
      <c r="AV313" s="8">
        <f ca="1">IFERROR(__xludf.DUMMYFUNCTION("""COMPUTED_VALUE"""),-118.441747)</f>
        <v>-118.44174700000001</v>
      </c>
      <c r="AW313" s="8" t="str">
        <f ca="1">IFERROR(__xludf.DUMMYFUNCTION("""COMPUTED_VALUE"""),"Multiple detached buildings")</f>
        <v>Multiple detached buildings</v>
      </c>
      <c r="AX313" s="8">
        <f ca="1">IFERROR(__xludf.DUMMYFUNCTION("""COMPUTED_VALUE"""),91342)</f>
        <v>91342</v>
      </c>
    </row>
    <row r="314" spans="1:50" ht="75" x14ac:dyDescent="0.2">
      <c r="A314" s="8" t="str">
        <f ca="1">IFERROR(__xludf.DUMMYFUNCTION("""COMPUTED_VALUE"""),"20240816GALAA")</f>
        <v>20240816GALAA</v>
      </c>
      <c r="B314" s="8">
        <f ca="1">IFERROR(__xludf.DUMMYFUNCTION("""COMPUTED_VALUE"""),8)</f>
        <v>8</v>
      </c>
      <c r="C314" s="8">
        <f ca="1">IFERROR(__xludf.DUMMYFUNCTION("""COMPUTED_VALUE"""),16)</f>
        <v>16</v>
      </c>
      <c r="D314" s="8">
        <f ca="1">IFERROR(__xludf.DUMMYFUNCTION("""COMPUTED_VALUE"""),2024)</f>
        <v>2024</v>
      </c>
      <c r="E314" s="9">
        <f ca="1">IFERROR(__xludf.DUMMYFUNCTION("""COMPUTED_VALUE"""),45520)</f>
        <v>45520</v>
      </c>
      <c r="F314" s="8" t="str">
        <f ca="1">IFERROR(__xludf.DUMMYFUNCTION("""COMPUTED_VALUE"""),"Laney High School")</f>
        <v>Laney High School</v>
      </c>
      <c r="G314" s="8">
        <f ca="1">IFERROR(__xludf.DUMMYFUNCTION("""COMPUTED_VALUE"""),0)</f>
        <v>0</v>
      </c>
      <c r="H314" s="8">
        <f ca="1">IFERROR(__xludf.DUMMYFUNCTION("""COMPUTED_VALUE"""),0)</f>
        <v>0</v>
      </c>
      <c r="I314" s="8">
        <f ca="1">IFERROR(__xludf.DUMMYFUNCTION("""COMPUTED_VALUE"""),0)</f>
        <v>0</v>
      </c>
      <c r="J314" s="8">
        <f ca="1">IFERROR(__xludf.DUMMYFUNCTION("""COMPUTED_VALUE"""),0)</f>
        <v>0</v>
      </c>
      <c r="K314" s="10" t="str">
        <f ca="1">IFERROR(__xludf.DUMMYFUNCTION("""COMPUTED_VALUE"""),"https://theaugustapress.com/laney-westside-football-game-cancelled-late-in-third-quarter-after-reported-gun-shots/")</f>
        <v>https://theaugustapress.com/laney-westside-football-game-cancelled-late-in-third-quarter-after-reported-gun-shots/</v>
      </c>
      <c r="L314" s="8">
        <f ca="1">IFERROR(__xludf.DUMMYFUNCTION("""COMPUTED_VALUE"""),10)</f>
        <v>10</v>
      </c>
      <c r="M314" s="8" t="str">
        <f ca="1">IFERROR(__xludf.DUMMYFUNCTION("""COMPUTED_VALUE"""),"Regional")</f>
        <v>Regional</v>
      </c>
      <c r="N314" s="8">
        <f ca="1">IFERROR(__xludf.DUMMYFUNCTION("""COMPUTED_VALUE"""),4)</f>
        <v>4</v>
      </c>
      <c r="O314" s="8" t="str">
        <f ca="1">IFERROR(__xludf.DUMMYFUNCTION("""COMPUTED_VALUE"""),"Summer")</f>
        <v>Summer</v>
      </c>
      <c r="P314" s="8" t="str">
        <f ca="1">IFERROR(__xludf.DUMMYFUNCTION("""COMPUTED_VALUE"""),"Augusta")</f>
        <v>Augusta</v>
      </c>
      <c r="Q314" s="8" t="str">
        <f ca="1">IFERROR(__xludf.DUMMYFUNCTION("""COMPUTED_VALUE"""),"GA")</f>
        <v>GA</v>
      </c>
      <c r="R314" s="8" t="str">
        <f ca="1">IFERROR(__xludf.DUMMYFUNCTION("""COMPUTED_VALUE"""),"High")</f>
        <v>High</v>
      </c>
      <c r="S314" s="8" t="str">
        <f ca="1">IFERROR(__xludf.DUMMYFUNCTION("""COMPUTED_VALUE"""),"Parking Lot")</f>
        <v>Parking Lot</v>
      </c>
      <c r="T314" s="8" t="str">
        <f ca="1">IFERROR(__xludf.DUMMYFUNCTION("""COMPUTED_VALUE"""),"Outside on School Property")</f>
        <v>Outside on School Property</v>
      </c>
      <c r="U314" s="8" t="str">
        <f ca="1">IFERROR(__xludf.DUMMYFUNCTION("""COMPUTED_VALUE"""),"No")</f>
        <v>No</v>
      </c>
      <c r="V314" s="8" t="str">
        <f ca="1">IFERROR(__xludf.DUMMYFUNCTION("""COMPUTED_VALUE"""),"Sport Event")</f>
        <v>Sport Event</v>
      </c>
      <c r="W314" s="11">
        <f ca="1">IFERROR(__xludf.DUMMYFUNCTION("""COMPUTED_VALUE"""),0.886111111111111)</f>
        <v>0.88611111111111096</v>
      </c>
      <c r="X314" s="8">
        <f ca="1">IFERROR(__xludf.DUMMYFUNCTION("""COMPUTED_VALUE"""),1)</f>
        <v>1</v>
      </c>
      <c r="Y314" s="12" t="str">
        <f ca="1">IFERROR(__xludf.DUMMYFUNCTION("""COMPUTED_VALUE"""),"Man fired shots into the air outside the football stadium causing crowd to flee")</f>
        <v>Man fired shots into the air outside the football stadium causing crowd to flee</v>
      </c>
      <c r="Z314" s="12" t="str">
        <f ca="1">IFERROR(__xludf.DUMMYFUNCTION("""COMPUTED_VALUE"""),"Man fired shots into the air from a vehicle outside the football stadium causing crowd to flee during the third quarter. Remainder of game was cancelled.")</f>
        <v>Man fired shots into the air from a vehicle outside the football stadium causing crowd to flee during the third quarter. Remainder of game was cancelled.</v>
      </c>
      <c r="AA314" s="8" t="str">
        <f ca="1">IFERROR(__xludf.DUMMYFUNCTION("""COMPUTED_VALUE"""),"Drive-by Shooting")</f>
        <v>Drive-by Shooting</v>
      </c>
      <c r="AB314" s="8"/>
      <c r="AC314" s="8" t="str">
        <f ca="1">IFERROR(__xludf.DUMMYFUNCTION("""COMPUTED_VALUE"""),"Yes")</f>
        <v>Yes</v>
      </c>
      <c r="AD314" s="8" t="str">
        <f ca="1">IFERROR(__xludf.DUMMYFUNCTION("""COMPUTED_VALUE"""),"Neither")</f>
        <v>Neither</v>
      </c>
      <c r="AE314" s="8" t="str">
        <f ca="1">IFERROR(__xludf.DUMMYFUNCTION("""COMPUTED_VALUE"""),"No")</f>
        <v>No</v>
      </c>
      <c r="AF314" s="8"/>
      <c r="AG314" s="8" t="str">
        <f ca="1">IFERROR(__xludf.DUMMYFUNCTION("""COMPUTED_VALUE"""),"No")</f>
        <v>No</v>
      </c>
      <c r="AH314" s="8" t="str">
        <f ca="1">IFERROR(__xludf.DUMMYFUNCTION("""COMPUTED_VALUE"""),"No")</f>
        <v>No</v>
      </c>
      <c r="AI314" s="8" t="str">
        <f ca="1">IFERROR(__xludf.DUMMYFUNCTION("""COMPUTED_VALUE"""),"No")</f>
        <v>No</v>
      </c>
      <c r="AJ314" s="8" t="str">
        <f ca="1">IFERROR(__xludf.DUMMYFUNCTION("""COMPUTED_VALUE"""),"No")</f>
        <v>No</v>
      </c>
      <c r="AK314" s="8" t="str">
        <f ca="1">IFERROR(__xludf.DUMMYFUNCTION("""COMPUTED_VALUE"""),"No")</f>
        <v>No</v>
      </c>
      <c r="AL314" s="8" t="str">
        <f ca="1">IFERROR(__xludf.DUMMYFUNCTION("""COMPUTED_VALUE"""),"No")</f>
        <v>No</v>
      </c>
      <c r="AM314" s="8" t="str">
        <f ca="1">IFERROR(__xludf.DUMMYFUNCTION("""COMPUTED_VALUE"""),"No")</f>
        <v>No</v>
      </c>
      <c r="AN314" s="8" t="str">
        <f ca="1">IFERROR(__xludf.DUMMYFUNCTION("""COMPUTED_VALUE"""),"Outside")</f>
        <v>Outside</v>
      </c>
      <c r="AO314" s="8" t="str">
        <f ca="1">IFERROR(__xludf.DUMMYFUNCTION("""COMPUTED_VALUE"""),"No")</f>
        <v>No</v>
      </c>
      <c r="AP314" s="8"/>
      <c r="AQ314" s="8"/>
      <c r="AR314" s="8" t="str">
        <f ca="1">IFERROR(__xludf.DUMMYFUNCTION("""COMPUTED_VALUE"""),"Outside/Off-Property")</f>
        <v>Outside/Off-Property</v>
      </c>
      <c r="AS314" s="8">
        <f ca="1">IFERROR(__xludf.DUMMYFUNCTION("""COMPUTED_VALUE"""),99)</f>
        <v>99</v>
      </c>
      <c r="AT314" s="8" t="str">
        <f ca="1">IFERROR(__xludf.DUMMYFUNCTION("""COMPUTED_VALUE"""),"Yes")</f>
        <v>Yes</v>
      </c>
      <c r="AU314" s="8">
        <f ca="1">IFERROR(__xludf.DUMMYFUNCTION("""COMPUTED_VALUE"""),33.467287)</f>
        <v>33.467286999999999</v>
      </c>
      <c r="AV314" s="8">
        <f ca="1">IFERROR(__xludf.DUMMYFUNCTION("""COMPUTED_VALUE"""),-81.982548)</f>
        <v>-81.982547999999994</v>
      </c>
      <c r="AW314" s="8" t="str">
        <f ca="1">IFERROR(__xludf.DUMMYFUNCTION("""COMPUTED_VALUE"""),"Multiple detached buildings")</f>
        <v>Multiple detached buildings</v>
      </c>
      <c r="AX314" s="8">
        <f ca="1">IFERROR(__xludf.DUMMYFUNCTION("""COMPUTED_VALUE"""),30912)</f>
        <v>30912</v>
      </c>
    </row>
    <row r="315" spans="1:50" ht="15" x14ac:dyDescent="0.2">
      <c r="A315" s="8" t="str">
        <f ca="1">IFERROR(__xludf.DUMMYFUNCTION("""COMPUTED_VALUE"""),"20240814NYSTS")</f>
        <v>20240814NYSTS</v>
      </c>
      <c r="B315" s="8">
        <f ca="1">IFERROR(__xludf.DUMMYFUNCTION("""COMPUTED_VALUE"""),8)</f>
        <v>8</v>
      </c>
      <c r="C315" s="8">
        <f ca="1">IFERROR(__xludf.DUMMYFUNCTION("""COMPUTED_VALUE"""),14)</f>
        <v>14</v>
      </c>
      <c r="D315" s="8">
        <f ca="1">IFERROR(__xludf.DUMMYFUNCTION("""COMPUTED_VALUE"""),2024)</f>
        <v>2024</v>
      </c>
      <c r="E315" s="9">
        <f ca="1">IFERROR(__xludf.DUMMYFUNCTION("""COMPUTED_VALUE"""),45518)</f>
        <v>45518</v>
      </c>
      <c r="F315" s="8" t="str">
        <f ca="1">IFERROR(__xludf.DUMMYFUNCTION("""COMPUTED_VALUE"""),"Dr. King Elementary School")</f>
        <v>Dr. King Elementary School</v>
      </c>
      <c r="G315" s="8">
        <f ca="1">IFERROR(__xludf.DUMMYFUNCTION("""COMPUTED_VALUE"""),0)</f>
        <v>0</v>
      </c>
      <c r="H315" s="8">
        <f ca="1">IFERROR(__xludf.DUMMYFUNCTION("""COMPUTED_VALUE"""),0)</f>
        <v>0</v>
      </c>
      <c r="I315" s="8">
        <f ca="1">IFERROR(__xludf.DUMMYFUNCTION("""COMPUTED_VALUE"""),0)</f>
        <v>0</v>
      </c>
      <c r="J315" s="8">
        <f ca="1">IFERROR(__xludf.DUMMYFUNCTION("""COMPUTED_VALUE"""),0)</f>
        <v>0</v>
      </c>
      <c r="K315" s="10" t="str">
        <f ca="1">IFERROR(__xludf.DUMMYFUNCTION("""COMPUTED_VALUE"""),"https://www.syracuse.com/news/2024/08/school-bus-hit-by-bullet-in-syracuse-no-kids-injured-police-say.html")</f>
        <v>https://www.syracuse.com/news/2024/08/school-bus-hit-by-bullet-in-syracuse-no-kids-injured-police-say.html</v>
      </c>
      <c r="L315" s="8">
        <f ca="1">IFERROR(__xludf.DUMMYFUNCTION("""COMPUTED_VALUE"""),3)</f>
        <v>3</v>
      </c>
      <c r="M315" s="8" t="str">
        <f ca="1">IFERROR(__xludf.DUMMYFUNCTION("""COMPUTED_VALUE"""),"Local")</f>
        <v>Local</v>
      </c>
      <c r="N315" s="8">
        <f ca="1">IFERROR(__xludf.DUMMYFUNCTION("""COMPUTED_VALUE"""),4)</f>
        <v>4</v>
      </c>
      <c r="O315" s="8" t="str">
        <f ca="1">IFERROR(__xludf.DUMMYFUNCTION("""COMPUTED_VALUE"""),"Summer")</f>
        <v>Summer</v>
      </c>
      <c r="P315" s="8" t="str">
        <f ca="1">IFERROR(__xludf.DUMMYFUNCTION("""COMPUTED_VALUE"""),"Syracuse")</f>
        <v>Syracuse</v>
      </c>
      <c r="Q315" s="8" t="str">
        <f ca="1">IFERROR(__xludf.DUMMYFUNCTION("""COMPUTED_VALUE"""),"NY")</f>
        <v>NY</v>
      </c>
      <c r="R315" s="8" t="str">
        <f ca="1">IFERROR(__xludf.DUMMYFUNCTION("""COMPUTED_VALUE"""),"Elementary")</f>
        <v>Elementary</v>
      </c>
      <c r="S315" s="8"/>
      <c r="T315" s="8"/>
      <c r="U315" s="8"/>
      <c r="V315" s="8"/>
      <c r="W315" s="8"/>
      <c r="X315" s="8"/>
      <c r="Y315" s="12"/>
      <c r="Z315" s="12"/>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row>
    <row r="316" spans="1:50" ht="120" x14ac:dyDescent="0.2">
      <c r="A316" s="8" t="str">
        <f ca="1">IFERROR(__xludf.DUMMYFUNCTION("""COMPUTED_VALUE"""),"20240811VAGAG")</f>
        <v>20240811VAGAG</v>
      </c>
      <c r="B316" s="8">
        <f ca="1">IFERROR(__xludf.DUMMYFUNCTION("""COMPUTED_VALUE"""),8)</f>
        <v>8</v>
      </c>
      <c r="C316" s="8">
        <f ca="1">IFERROR(__xludf.DUMMYFUNCTION("""COMPUTED_VALUE"""),11)</f>
        <v>11</v>
      </c>
      <c r="D316" s="8">
        <f ca="1">IFERROR(__xludf.DUMMYFUNCTION("""COMPUTED_VALUE"""),2024)</f>
        <v>2024</v>
      </c>
      <c r="E316" s="9">
        <f ca="1">IFERROR(__xludf.DUMMYFUNCTION("""COMPUTED_VALUE"""),45515)</f>
        <v>45515</v>
      </c>
      <c r="F316" s="8" t="str">
        <f ca="1">IFERROR(__xludf.DUMMYFUNCTION("""COMPUTED_VALUE"""),"Galax High School")</f>
        <v>Galax High School</v>
      </c>
      <c r="G316" s="8">
        <f ca="1">IFERROR(__xludf.DUMMYFUNCTION("""COMPUTED_VALUE"""),0)</f>
        <v>0</v>
      </c>
      <c r="H316" s="8">
        <f ca="1">IFERROR(__xludf.DUMMYFUNCTION("""COMPUTED_VALUE"""),1)</f>
        <v>1</v>
      </c>
      <c r="I316" s="8">
        <f ca="1">IFERROR(__xludf.DUMMYFUNCTION("""COMPUTED_VALUE"""),1)</f>
        <v>1</v>
      </c>
      <c r="J316" s="8">
        <f ca="1">IFERROR(__xludf.DUMMYFUNCTION("""COMPUTED_VALUE"""),0)</f>
        <v>0</v>
      </c>
      <c r="K316" s="10" t="str">
        <f ca="1">IFERROR(__xludf.DUMMYFUNCTION("""COMPUTED_VALUE"""),"https://www.wdbj7.com/2024/08/12/charges-pending-after-accidental-shooting-galax-high-school/")</f>
        <v>https://www.wdbj7.com/2024/08/12/charges-pending-after-accidental-shooting-galax-high-school/</v>
      </c>
      <c r="L316" s="8">
        <f ca="1">IFERROR(__xludf.DUMMYFUNCTION("""COMPUTED_VALUE"""),1)</f>
        <v>1</v>
      </c>
      <c r="M316" s="8" t="str">
        <f ca="1">IFERROR(__xludf.DUMMYFUNCTION("""COMPUTED_VALUE"""),"Local")</f>
        <v>Local</v>
      </c>
      <c r="N316" s="8">
        <f ca="1">IFERROR(__xludf.DUMMYFUNCTION("""COMPUTED_VALUE"""),4)</f>
        <v>4</v>
      </c>
      <c r="O316" s="8" t="str">
        <f ca="1">IFERROR(__xludf.DUMMYFUNCTION("""COMPUTED_VALUE"""),"Summer")</f>
        <v>Summer</v>
      </c>
      <c r="P316" s="8" t="str">
        <f ca="1">IFERROR(__xludf.DUMMYFUNCTION("""COMPUTED_VALUE"""),"Galax")</f>
        <v>Galax</v>
      </c>
      <c r="Q316" s="8" t="str">
        <f ca="1">IFERROR(__xludf.DUMMYFUNCTION("""COMPUTED_VALUE"""),"VA")</f>
        <v>VA</v>
      </c>
      <c r="R316" s="8" t="str">
        <f ca="1">IFERROR(__xludf.DUMMYFUNCTION("""COMPUTED_VALUE"""),"High")</f>
        <v>High</v>
      </c>
      <c r="S316" s="8" t="str">
        <f ca="1">IFERROR(__xludf.DUMMYFUNCTION("""COMPUTED_VALUE"""),"Parking Lot")</f>
        <v>Parking Lot</v>
      </c>
      <c r="T316" s="8" t="str">
        <f ca="1">IFERROR(__xludf.DUMMYFUNCTION("""COMPUTED_VALUE"""),"Outside on School Property")</f>
        <v>Outside on School Property</v>
      </c>
      <c r="U316" s="8" t="str">
        <f ca="1">IFERROR(__xludf.DUMMYFUNCTION("""COMPUTED_VALUE"""),"No")</f>
        <v>No</v>
      </c>
      <c r="V316" s="8" t="str">
        <f ca="1">IFERROR(__xludf.DUMMYFUNCTION("""COMPUTED_VALUE"""),"Not a School Day")</f>
        <v>Not a School Day</v>
      </c>
      <c r="W316" s="8"/>
      <c r="X316" s="8">
        <f ca="1">IFERROR(__xludf.DUMMYFUNCTION("""COMPUTED_VALUE"""),1)</f>
        <v>1</v>
      </c>
      <c r="Y316" s="12" t="str">
        <f ca="1">IFERROR(__xludf.DUMMYFUNCTION("""COMPUTED_VALUE"""),"Unidentified person shot in the school parking lot")</f>
        <v>Unidentified person shot in the school parking lot</v>
      </c>
      <c r="Z316" s="12" t="str">
        <f ca="1">IFERROR(__xludf.DUMMYFUNCTION("""COMPUTED_VALUE"""),"A person who sustained accidental self-inflicted wounds in a hand may face charges pending an investigation, police said. Galax Police were called Sunday afternoon to Galax High School, where they found the driver who had sustained the wounds while attemp"&amp;"ting to store the gun inside a vehicle. Police did not reveal the person’s name, age or gender. The person was attending a non school-related event on school property, police said.")</f>
        <v>A person who sustained accidental self-inflicted wounds in a hand may face charges pending an investigation, police said. Galax Police were called Sunday afternoon to Galax High School, where they found the driver who had sustained the wounds while attempting to store the gun inside a vehicle. Police did not reveal the person’s name, age or gender. The person was attending a non school-related event on school property, police said.</v>
      </c>
      <c r="AA316" s="8" t="str">
        <f ca="1">IFERROR(__xludf.DUMMYFUNCTION("""COMPUTED_VALUE"""),"Accidental")</f>
        <v>Accidental</v>
      </c>
      <c r="AB316" s="8" t="str">
        <f ca="1">IFERROR(__xludf.DUMMYFUNCTION("""COMPUTED_VALUE"""),"Spontaneous")</f>
        <v>Spontaneous</v>
      </c>
      <c r="AC316" s="8" t="str">
        <f ca="1">IFERROR(__xludf.DUMMYFUNCTION("""COMPUTED_VALUE"""),"No")</f>
        <v>No</v>
      </c>
      <c r="AD316" s="8" t="str">
        <f ca="1">IFERROR(__xludf.DUMMYFUNCTION("""COMPUTED_VALUE"""),"Neither")</f>
        <v>Neither</v>
      </c>
      <c r="AE316" s="8" t="str">
        <f ca="1">IFERROR(__xludf.DUMMYFUNCTION("""COMPUTED_VALUE"""),"No")</f>
        <v>No</v>
      </c>
      <c r="AF316" s="8"/>
      <c r="AG316" s="8" t="str">
        <f ca="1">IFERROR(__xludf.DUMMYFUNCTION("""COMPUTED_VALUE"""),"No")</f>
        <v>No</v>
      </c>
      <c r="AH316" s="8" t="str">
        <f ca="1">IFERROR(__xludf.DUMMYFUNCTION("""COMPUTED_VALUE"""),"No")</f>
        <v>No</v>
      </c>
      <c r="AI316" s="8" t="str">
        <f ca="1">IFERROR(__xludf.DUMMYFUNCTION("""COMPUTED_VALUE"""),"No")</f>
        <v>No</v>
      </c>
      <c r="AJ316" s="8" t="str">
        <f ca="1">IFERROR(__xludf.DUMMYFUNCTION("""COMPUTED_VALUE"""),"No")</f>
        <v>No</v>
      </c>
      <c r="AK316" s="8" t="str">
        <f ca="1">IFERROR(__xludf.DUMMYFUNCTION("""COMPUTED_VALUE"""),"No")</f>
        <v>No</v>
      </c>
      <c r="AL316" s="8" t="str">
        <f ca="1">IFERROR(__xludf.DUMMYFUNCTION("""COMPUTED_VALUE"""),"No")</f>
        <v>No</v>
      </c>
      <c r="AM316" s="8" t="str">
        <f ca="1">IFERROR(__xludf.DUMMYFUNCTION("""COMPUTED_VALUE"""),"No")</f>
        <v>No</v>
      </c>
      <c r="AN316" s="8" t="str">
        <f ca="1">IFERROR(__xludf.DUMMYFUNCTION("""COMPUTED_VALUE"""),"Outside")</f>
        <v>Outside</v>
      </c>
      <c r="AO316" s="8" t="str">
        <f ca="1">IFERROR(__xludf.DUMMYFUNCTION("""COMPUTED_VALUE"""),"No")</f>
        <v>No</v>
      </c>
      <c r="AP316" s="8" t="str">
        <f ca="1">IFERROR(__xludf.DUMMYFUNCTION("""COMPUTED_VALUE"""),"No")</f>
        <v>No</v>
      </c>
      <c r="AQ316" s="8"/>
      <c r="AR316" s="8" t="str">
        <f ca="1">IFERROR(__xludf.DUMMYFUNCTION("""COMPUTED_VALUE"""),"Outside/Off-Property")</f>
        <v>Outside/Off-Property</v>
      </c>
      <c r="AS316" s="8">
        <f ca="1">IFERROR(__xludf.DUMMYFUNCTION("""COMPUTED_VALUE"""),1)</f>
        <v>1</v>
      </c>
      <c r="AT316" s="8" t="str">
        <f ca="1">IFERROR(__xludf.DUMMYFUNCTION("""COMPUTED_VALUE"""),"No")</f>
        <v>No</v>
      </c>
      <c r="AU316" s="8">
        <f ca="1">IFERROR(__xludf.DUMMYFUNCTION("""COMPUTED_VALUE"""),36.654384)</f>
        <v>36.654384</v>
      </c>
      <c r="AV316" s="8">
        <f ca="1">IFERROR(__xludf.DUMMYFUNCTION("""COMPUTED_VALUE"""),-80.92431)</f>
        <v>-80.924310000000006</v>
      </c>
      <c r="AW316" s="8" t="str">
        <f ca="1">IFERROR(__xludf.DUMMYFUNCTION("""COMPUTED_VALUE"""),"Single building indoor hallway")</f>
        <v>Single building indoor hallway</v>
      </c>
      <c r="AX316" s="8">
        <f ca="1">IFERROR(__xludf.DUMMYFUNCTION("""COMPUTED_VALUE"""),24333)</f>
        <v>24333</v>
      </c>
    </row>
    <row r="317" spans="1:50" ht="45" x14ac:dyDescent="0.2">
      <c r="A317" s="8" t="str">
        <f ca="1">IFERROR(__xludf.DUMMYFUNCTION("""COMPUTED_VALUE"""),"20240809AZDOD")</f>
        <v>20240809AZDOD</v>
      </c>
      <c r="B317" s="8">
        <f ca="1">IFERROR(__xludf.DUMMYFUNCTION("""COMPUTED_VALUE"""),8)</f>
        <v>8</v>
      </c>
      <c r="C317" s="8">
        <f ca="1">IFERROR(__xludf.DUMMYFUNCTION("""COMPUTED_VALUE"""),9)</f>
        <v>9</v>
      </c>
      <c r="D317" s="8">
        <f ca="1">IFERROR(__xludf.DUMMYFUNCTION("""COMPUTED_VALUE"""),2024)</f>
        <v>2024</v>
      </c>
      <c r="E317" s="9">
        <f ca="1">IFERROR(__xludf.DUMMYFUNCTION("""COMPUTED_VALUE"""),45513)</f>
        <v>45513</v>
      </c>
      <c r="F317" s="8" t="str">
        <f ca="1">IFERROR(__xludf.DUMMYFUNCTION("""COMPUTED_VALUE"""),"Douglas High School")</f>
        <v>Douglas High School</v>
      </c>
      <c r="G317" s="8">
        <f ca="1">IFERROR(__xludf.DUMMYFUNCTION("""COMPUTED_VALUE"""),0)</f>
        <v>0</v>
      </c>
      <c r="H317" s="8">
        <f ca="1">IFERROR(__xludf.DUMMYFUNCTION("""COMPUTED_VALUE"""),1)</f>
        <v>1</v>
      </c>
      <c r="I317" s="8">
        <f ca="1">IFERROR(__xludf.DUMMYFUNCTION("""COMPUTED_VALUE"""),1)</f>
        <v>1</v>
      </c>
      <c r="J317" s="8">
        <f ca="1">IFERROR(__xludf.DUMMYFUNCTION("""COMPUTED_VALUE"""),0)</f>
        <v>0</v>
      </c>
      <c r="K317" s="10" t="str">
        <f ca="1">IFERROR(__xludf.DUMMYFUNCTION("""COMPUTED_VALUE"""),"https://www.kvoa.com/news/shooting-near-douglas-high-school/article_04ccc196-56a8-11ef-80a1-ff941d3cdeed.html")</f>
        <v>https://www.kvoa.com/news/shooting-near-douglas-high-school/article_04ccc196-56a8-11ef-80a1-ff941d3cdeed.html</v>
      </c>
      <c r="L317" s="8">
        <f ca="1">IFERROR(__xludf.DUMMYFUNCTION("""COMPUTED_VALUE"""),5)</f>
        <v>5</v>
      </c>
      <c r="M317" s="8" t="str">
        <f ca="1">IFERROR(__xludf.DUMMYFUNCTION("""COMPUTED_VALUE"""),"Regional")</f>
        <v>Regional</v>
      </c>
      <c r="N317" s="8">
        <f ca="1">IFERROR(__xludf.DUMMYFUNCTION("""COMPUTED_VALUE"""),4)</f>
        <v>4</v>
      </c>
      <c r="O317" s="8" t="str">
        <f ca="1">IFERROR(__xludf.DUMMYFUNCTION("""COMPUTED_VALUE"""),"Summer")</f>
        <v>Summer</v>
      </c>
      <c r="P317" s="8" t="str">
        <f ca="1">IFERROR(__xludf.DUMMYFUNCTION("""COMPUTED_VALUE"""),"Douglas")</f>
        <v>Douglas</v>
      </c>
      <c r="Q317" s="8" t="str">
        <f ca="1">IFERROR(__xludf.DUMMYFUNCTION("""COMPUTED_VALUE"""),"AZ")</f>
        <v>AZ</v>
      </c>
      <c r="R317" s="8" t="str">
        <f ca="1">IFERROR(__xludf.DUMMYFUNCTION("""COMPUTED_VALUE"""),"High")</f>
        <v>High</v>
      </c>
      <c r="S317" s="8" t="str">
        <f ca="1">IFERROR(__xludf.DUMMYFUNCTION("""COMPUTED_VALUE"""),"Front of School")</f>
        <v>Front of School</v>
      </c>
      <c r="T317" s="8" t="str">
        <f ca="1">IFERROR(__xludf.DUMMYFUNCTION("""COMPUTED_VALUE"""),"Outside on School Property")</f>
        <v>Outside on School Property</v>
      </c>
      <c r="U317" s="8" t="str">
        <f ca="1">IFERROR(__xludf.DUMMYFUNCTION("""COMPUTED_VALUE"""),"Yes")</f>
        <v>Yes</v>
      </c>
      <c r="V317" s="8" t="str">
        <f ca="1">IFERROR(__xludf.DUMMYFUNCTION("""COMPUTED_VALUE"""),"Dismissal")</f>
        <v>Dismissal</v>
      </c>
      <c r="W317" s="11">
        <f ca="1">IFERROR(__xludf.DUMMYFUNCTION("""COMPUTED_VALUE"""),0.625)</f>
        <v>0.625</v>
      </c>
      <c r="X317" s="8">
        <f ca="1">IFERROR(__xludf.DUMMYFUNCTION("""COMPUTED_VALUE"""),1)</f>
        <v>1</v>
      </c>
      <c r="Y317" s="12" t="str">
        <f ca="1">IFERROR(__xludf.DUMMYFUNCTION("""COMPUTED_VALUE"""),"Student shot in front of the school during a fight at dismissal")</f>
        <v>Student shot in front of the school during a fight at dismissal</v>
      </c>
      <c r="Z317" s="12" t="str">
        <f ca="1">IFERROR(__xludf.DUMMYFUNCTION("""COMPUTED_VALUE"""),"Student shot during fight at dismissal. Campus went on lockdown. Minor arrested.")</f>
        <v>Student shot during fight at dismissal. Campus went on lockdown. Minor arrested.</v>
      </c>
      <c r="AA317" s="8" t="str">
        <f ca="1">IFERROR(__xludf.DUMMYFUNCTION("""COMPUTED_VALUE"""),"Escalation of Dispute")</f>
        <v>Escalation of Dispute</v>
      </c>
      <c r="AB317" s="8" t="str">
        <f ca="1">IFERROR(__xludf.DUMMYFUNCTION("""COMPUTED_VALUE"""),"Spontaneous")</f>
        <v>Spontaneous</v>
      </c>
      <c r="AC317" s="8" t="str">
        <f ca="1">IFERROR(__xludf.DUMMYFUNCTION("""COMPUTED_VALUE"""),"Yes")</f>
        <v>Yes</v>
      </c>
      <c r="AD317" s="8" t="str">
        <f ca="1">IFERROR(__xludf.DUMMYFUNCTION("""COMPUTED_VALUE"""),"Victims Targeted")</f>
        <v>Victims Targeted</v>
      </c>
      <c r="AE317" s="8" t="str">
        <f ca="1">IFERROR(__xludf.DUMMYFUNCTION("""COMPUTED_VALUE"""),"No")</f>
        <v>No</v>
      </c>
      <c r="AF317" s="8"/>
      <c r="AG317" s="8" t="str">
        <f ca="1">IFERROR(__xludf.DUMMYFUNCTION("""COMPUTED_VALUE"""),"No")</f>
        <v>No</v>
      </c>
      <c r="AH317" s="8" t="str">
        <f ca="1">IFERROR(__xludf.DUMMYFUNCTION("""COMPUTED_VALUE"""),"No")</f>
        <v>No</v>
      </c>
      <c r="AI317" s="8" t="str">
        <f ca="1">IFERROR(__xludf.DUMMYFUNCTION("""COMPUTED_VALUE"""),"No")</f>
        <v>No</v>
      </c>
      <c r="AJ317" s="8" t="str">
        <f ca="1">IFERROR(__xludf.DUMMYFUNCTION("""COMPUTED_VALUE"""),"No")</f>
        <v>No</v>
      </c>
      <c r="AK317" s="8" t="str">
        <f ca="1">IFERROR(__xludf.DUMMYFUNCTION("""COMPUTED_VALUE"""),"No")</f>
        <v>No</v>
      </c>
      <c r="AL317" s="8" t="str">
        <f ca="1">IFERROR(__xludf.DUMMYFUNCTION("""COMPUTED_VALUE"""),"No")</f>
        <v>No</v>
      </c>
      <c r="AM317" s="8" t="str">
        <f ca="1">IFERROR(__xludf.DUMMYFUNCTION("""COMPUTED_VALUE"""),"No")</f>
        <v>No</v>
      </c>
      <c r="AN317" s="8" t="str">
        <f ca="1">IFERROR(__xludf.DUMMYFUNCTION("""COMPUTED_VALUE"""),"Outside")</f>
        <v>Outside</v>
      </c>
      <c r="AO317" s="8" t="str">
        <f ca="1">IFERROR(__xludf.DUMMYFUNCTION("""COMPUTED_VALUE"""),"No")</f>
        <v>No</v>
      </c>
      <c r="AP317" s="8" t="str">
        <f ca="1">IFERROR(__xludf.DUMMYFUNCTION("""COMPUTED_VALUE"""),"Yes")</f>
        <v>Yes</v>
      </c>
      <c r="AQ317" s="8"/>
      <c r="AR317" s="8" t="str">
        <f ca="1">IFERROR(__xludf.DUMMYFUNCTION("""COMPUTED_VALUE"""),"Outside/Off-Property")</f>
        <v>Outside/Off-Property</v>
      </c>
      <c r="AS317" s="8">
        <f ca="1">IFERROR(__xludf.DUMMYFUNCTION("""COMPUTED_VALUE"""),1)</f>
        <v>1</v>
      </c>
      <c r="AT317" s="8" t="str">
        <f ca="1">IFERROR(__xludf.DUMMYFUNCTION("""COMPUTED_VALUE"""),"Yes")</f>
        <v>Yes</v>
      </c>
      <c r="AU317" s="8">
        <f ca="1">IFERROR(__xludf.DUMMYFUNCTION("""COMPUTED_VALUE"""),31.350399)</f>
        <v>31.350398999999999</v>
      </c>
      <c r="AV317" s="8">
        <f ca="1">IFERROR(__xludf.DUMMYFUNCTION("""COMPUTED_VALUE"""),-109.538725)</f>
        <v>-109.538725</v>
      </c>
      <c r="AW317" s="8" t="str">
        <f ca="1">IFERROR(__xludf.DUMMYFUNCTION("""COMPUTED_VALUE"""),"Multiple detached buildings")</f>
        <v>Multiple detached buildings</v>
      </c>
      <c r="AX317" s="8">
        <f ca="1">IFERROR(__xludf.DUMMYFUNCTION("""COMPUTED_VALUE"""),85607)</f>
        <v>85607</v>
      </c>
    </row>
    <row r="318" spans="1:50" ht="105" x14ac:dyDescent="0.2">
      <c r="A318" s="8" t="str">
        <f ca="1">IFERROR(__xludf.DUMMYFUNCTION("""COMPUTED_VALUE"""),"20240809COCAC")</f>
        <v>20240809COCAC</v>
      </c>
      <c r="B318" s="8">
        <f ca="1">IFERROR(__xludf.DUMMYFUNCTION("""COMPUTED_VALUE"""),8)</f>
        <v>8</v>
      </c>
      <c r="C318" s="8">
        <f ca="1">IFERROR(__xludf.DUMMYFUNCTION("""COMPUTED_VALUE"""),9)</f>
        <v>9</v>
      </c>
      <c r="D318" s="8">
        <f ca="1">IFERROR(__xludf.DUMMYFUNCTION("""COMPUTED_VALUE"""),2024)</f>
        <v>2024</v>
      </c>
      <c r="E318" s="9">
        <f ca="1">IFERROR(__xludf.DUMMYFUNCTION("""COMPUTED_VALUE"""),45513)</f>
        <v>45513</v>
      </c>
      <c r="F318" s="8" t="str">
        <f ca="1">IFERROR(__xludf.DUMMYFUNCTION("""COMPUTED_VALUE"""),"Castle View High School")</f>
        <v>Castle View High School</v>
      </c>
      <c r="G318" s="8">
        <f ca="1">IFERROR(__xludf.DUMMYFUNCTION("""COMPUTED_VALUE"""),0)</f>
        <v>0</v>
      </c>
      <c r="H318" s="8">
        <f ca="1">IFERROR(__xludf.DUMMYFUNCTION("""COMPUTED_VALUE"""),0)</f>
        <v>0</v>
      </c>
      <c r="I318" s="8">
        <f ca="1">IFERROR(__xludf.DUMMYFUNCTION("""COMPUTED_VALUE"""),0)</f>
        <v>0</v>
      </c>
      <c r="J318" s="8">
        <f ca="1">IFERROR(__xludf.DUMMYFUNCTION("""COMPUTED_VALUE"""),0)</f>
        <v>0</v>
      </c>
      <c r="K318" s="10" t="str">
        <f ca="1">IFERROR(__xludf.DUMMYFUNCTION("""COMPUTED_VALUE"""),"https://www.cbsnews.com/colorado/news/castle-rock-police-arrest-two-teens-outside-castle-view-high-school-gun-found-car-colorado/")</f>
        <v>https://www.cbsnews.com/colorado/news/castle-rock-police-arrest-two-teens-outside-castle-view-high-school-gun-found-car-colorado/</v>
      </c>
      <c r="L318" s="8">
        <f ca="1">IFERROR(__xludf.DUMMYFUNCTION("""COMPUTED_VALUE"""),10)</f>
        <v>10</v>
      </c>
      <c r="M318" s="8" t="str">
        <f ca="1">IFERROR(__xludf.DUMMYFUNCTION("""COMPUTED_VALUE"""),"National")</f>
        <v>National</v>
      </c>
      <c r="N318" s="8">
        <f ca="1">IFERROR(__xludf.DUMMYFUNCTION("""COMPUTED_VALUE"""),4)</f>
        <v>4</v>
      </c>
      <c r="O318" s="8" t="str">
        <f ca="1">IFERROR(__xludf.DUMMYFUNCTION("""COMPUTED_VALUE"""),"Summer")</f>
        <v>Summer</v>
      </c>
      <c r="P318" s="8" t="str">
        <f ca="1">IFERROR(__xludf.DUMMYFUNCTION("""COMPUTED_VALUE"""),"Castle Rock")</f>
        <v>Castle Rock</v>
      </c>
      <c r="Q318" s="8" t="str">
        <f ca="1">IFERROR(__xludf.DUMMYFUNCTION("""COMPUTED_VALUE"""),"CO")</f>
        <v>CO</v>
      </c>
      <c r="R318" s="8" t="str">
        <f ca="1">IFERROR(__xludf.DUMMYFUNCTION("""COMPUTED_VALUE"""),"High")</f>
        <v>High</v>
      </c>
      <c r="S318" s="8" t="str">
        <f ca="1">IFERROR(__xludf.DUMMYFUNCTION("""COMPUTED_VALUE"""),"Parking Lot")</f>
        <v>Parking Lot</v>
      </c>
      <c r="T318" s="8" t="str">
        <f ca="1">IFERROR(__xludf.DUMMYFUNCTION("""COMPUTED_VALUE"""),"Outside on School Property")</f>
        <v>Outside on School Property</v>
      </c>
      <c r="U318" s="8" t="str">
        <f ca="1">IFERROR(__xludf.DUMMYFUNCTION("""COMPUTED_VALUE"""),"Yes")</f>
        <v>Yes</v>
      </c>
      <c r="V318" s="8" t="str">
        <f ca="1">IFERROR(__xludf.DUMMYFUNCTION("""COMPUTED_VALUE"""),"Morning Classes")</f>
        <v>Morning Classes</v>
      </c>
      <c r="W318" s="11">
        <f ca="1">IFERROR(__xludf.DUMMYFUNCTION("""COMPUTED_VALUE"""),0.479166666666666)</f>
        <v>0.47916666666666602</v>
      </c>
      <c r="X318" s="8">
        <f ca="1">IFERROR(__xludf.DUMMYFUNCTION("""COMPUTED_VALUE"""),1)</f>
        <v>1</v>
      </c>
      <c r="Y318" s="12" t="str">
        <f ca="1">IFERROR(__xludf.DUMMYFUNCTION("""COMPUTED_VALUE"""),"Two students were shooting replica guns at other students, SRO found real gun during search")</f>
        <v>Two students were shooting replica guns at other students, SRO found real gun during search</v>
      </c>
      <c r="Z318" s="12" t="str">
        <f ca="1">IFERROR(__xludf.DUMMYFUNCTION("""COMPUTED_VALUE"""),"Two teenagers in Castle Rock who police say shot water beads at people outside a high school with a toy gun are facing charges. School resource officers who responded to the disturbance outside Castle View High School in Colorado late Friday morning said "&amp;"they found a real, unloaded gun in the vehicle of the teens after they began questioning them.  ")</f>
        <v xml:space="preserve">Two teenagers in Castle Rock who police say shot water beads at people outside a high school with a toy gun are facing charges. School resource officers who responded to the disturbance outside Castle View High School in Colorado late Friday morning said they found a real, unloaded gun in the vehicle of the teens after they began questioning them.  </v>
      </c>
      <c r="AA318" s="8"/>
      <c r="AB318" s="8"/>
      <c r="AC318" s="8" t="str">
        <f ca="1">IFERROR(__xludf.DUMMYFUNCTION("""COMPUTED_VALUE"""),"Yes")</f>
        <v>Yes</v>
      </c>
      <c r="AD318" s="8" t="str">
        <f ca="1">IFERROR(__xludf.DUMMYFUNCTION("""COMPUTED_VALUE"""),"Random Shooting")</f>
        <v>Random Shooting</v>
      </c>
      <c r="AE318" s="8" t="str">
        <f ca="1">IFERROR(__xludf.DUMMYFUNCTION("""COMPUTED_VALUE"""),"Yes")</f>
        <v>Yes</v>
      </c>
      <c r="AF318" s="8" t="str">
        <f ca="1">IFERROR(__xludf.DUMMYFUNCTION("""COMPUTED_VALUE"""),"Two students")</f>
        <v>Two students</v>
      </c>
      <c r="AG318" s="8" t="str">
        <f ca="1">IFERROR(__xludf.DUMMYFUNCTION("""COMPUTED_VALUE"""),"No")</f>
        <v>No</v>
      </c>
      <c r="AH318" s="8" t="str">
        <f ca="1">IFERROR(__xludf.DUMMYFUNCTION("""COMPUTED_VALUE"""),"No")</f>
        <v>No</v>
      </c>
      <c r="AI318" s="8" t="str">
        <f ca="1">IFERROR(__xludf.DUMMYFUNCTION("""COMPUTED_VALUE"""),"No")</f>
        <v>No</v>
      </c>
      <c r="AJ318" s="8" t="str">
        <f ca="1">IFERROR(__xludf.DUMMYFUNCTION("""COMPUTED_VALUE"""),"No")</f>
        <v>No</v>
      </c>
      <c r="AK318" s="8" t="str">
        <f ca="1">IFERROR(__xludf.DUMMYFUNCTION("""COMPUTED_VALUE"""),"No")</f>
        <v>No</v>
      </c>
      <c r="AL318" s="8" t="str">
        <f ca="1">IFERROR(__xludf.DUMMYFUNCTION("""COMPUTED_VALUE"""),"No")</f>
        <v>No</v>
      </c>
      <c r="AM318" s="8" t="str">
        <f ca="1">IFERROR(__xludf.DUMMYFUNCTION("""COMPUTED_VALUE"""),"No")</f>
        <v>No</v>
      </c>
      <c r="AN318" s="8" t="str">
        <f ca="1">IFERROR(__xludf.DUMMYFUNCTION("""COMPUTED_VALUE"""),"Outside")</f>
        <v>Outside</v>
      </c>
      <c r="AO318" s="8" t="str">
        <f ca="1">IFERROR(__xludf.DUMMYFUNCTION("""COMPUTED_VALUE"""),"No")</f>
        <v>No</v>
      </c>
      <c r="AP318" s="8" t="str">
        <f ca="1">IFERROR(__xludf.DUMMYFUNCTION("""COMPUTED_VALUE"""),"Yes")</f>
        <v>Yes</v>
      </c>
      <c r="AQ318" s="8"/>
      <c r="AR318" s="8" t="str">
        <f ca="1">IFERROR(__xludf.DUMMYFUNCTION("""COMPUTED_VALUE"""),"Outside/Off-Property")</f>
        <v>Outside/Off-Property</v>
      </c>
      <c r="AS318" s="8">
        <f ca="1">IFERROR(__xludf.DUMMYFUNCTION("""COMPUTED_VALUE"""),99)</f>
        <v>99</v>
      </c>
      <c r="AT318" s="8" t="str">
        <f ca="1">IFERROR(__xludf.DUMMYFUNCTION("""COMPUTED_VALUE"""),"Yes")</f>
        <v>Yes</v>
      </c>
      <c r="AU318" s="8">
        <f ca="1">IFERROR(__xludf.DUMMYFUNCTION("""COMPUTED_VALUE"""),39.413494)</f>
        <v>39.413494</v>
      </c>
      <c r="AV318" s="8">
        <f ca="1">IFERROR(__xludf.DUMMYFUNCTION("""COMPUTED_VALUE"""),-104.893249)</f>
        <v>-104.893249</v>
      </c>
      <c r="AW318" s="8" t="str">
        <f ca="1">IFERROR(__xludf.DUMMYFUNCTION("""COMPUTED_VALUE"""),"Single building indoor hallway")</f>
        <v>Single building indoor hallway</v>
      </c>
      <c r="AX318" s="8">
        <f ca="1">IFERROR(__xludf.DUMMYFUNCTION("""COMPUTED_VALUE"""),80109)</f>
        <v>80109</v>
      </c>
    </row>
    <row r="319" spans="1:50" ht="150" x14ac:dyDescent="0.2">
      <c r="A319" s="8" t="str">
        <f ca="1">IFERROR(__xludf.DUMMYFUNCTION("""COMPUTED_VALUE"""),"20240730ORKLK")</f>
        <v>20240730ORKLK</v>
      </c>
      <c r="B319" s="8">
        <f ca="1">IFERROR(__xludf.DUMMYFUNCTION("""COMPUTED_VALUE"""),7)</f>
        <v>7</v>
      </c>
      <c r="C319" s="8">
        <f ca="1">IFERROR(__xludf.DUMMYFUNCTION("""COMPUTED_VALUE"""),30)</f>
        <v>30</v>
      </c>
      <c r="D319" s="8">
        <f ca="1">IFERROR(__xludf.DUMMYFUNCTION("""COMPUTED_VALUE"""),2024)</f>
        <v>2024</v>
      </c>
      <c r="E319" s="9">
        <f ca="1">IFERROR(__xludf.DUMMYFUNCTION("""COMPUTED_VALUE"""),45503)</f>
        <v>45503</v>
      </c>
      <c r="F319" s="8" t="str">
        <f ca="1">IFERROR(__xludf.DUMMYFUNCTION("""COMPUTED_VALUE"""),"Klamath Union High School")</f>
        <v>Klamath Union High School</v>
      </c>
      <c r="G319" s="8">
        <f ca="1">IFERROR(__xludf.DUMMYFUNCTION("""COMPUTED_VALUE"""),0)</f>
        <v>0</v>
      </c>
      <c r="H319" s="8">
        <f ca="1">IFERROR(__xludf.DUMMYFUNCTION("""COMPUTED_VALUE"""),1)</f>
        <v>1</v>
      </c>
      <c r="I319" s="8">
        <f ca="1">IFERROR(__xludf.DUMMYFUNCTION("""COMPUTED_VALUE"""),1)</f>
        <v>1</v>
      </c>
      <c r="J319" s="8">
        <f ca="1">IFERROR(__xludf.DUMMYFUNCTION("""COMPUTED_VALUE"""),0)</f>
        <v>0</v>
      </c>
      <c r="K319" s="10" t="str">
        <f ca="1">IFERROR(__xludf.DUMMYFUNCTION("""COMPUTED_VALUE"""),"https://kobi5.com/news/shooting-at-klamath-falls-school-injures-parent-police-looking-for-suspect-239557/")</f>
        <v>https://kobi5.com/news/shooting-at-klamath-falls-school-injures-parent-police-looking-for-suspect-239557/</v>
      </c>
      <c r="L319" s="8">
        <f ca="1">IFERROR(__xludf.DUMMYFUNCTION("""COMPUTED_VALUE"""),1)</f>
        <v>1</v>
      </c>
      <c r="M319" s="8" t="str">
        <f ca="1">IFERROR(__xludf.DUMMYFUNCTION("""COMPUTED_VALUE"""),"Local")</f>
        <v>Local</v>
      </c>
      <c r="N319" s="8">
        <f ca="1">IFERROR(__xludf.DUMMYFUNCTION("""COMPUTED_VALUE"""),4)</f>
        <v>4</v>
      </c>
      <c r="O319" s="8" t="str">
        <f ca="1">IFERROR(__xludf.DUMMYFUNCTION("""COMPUTED_VALUE"""),"Summer")</f>
        <v>Summer</v>
      </c>
      <c r="P319" s="8" t="str">
        <f ca="1">IFERROR(__xludf.DUMMYFUNCTION("""COMPUTED_VALUE"""),"Klamath Falls")</f>
        <v>Klamath Falls</v>
      </c>
      <c r="Q319" s="8" t="str">
        <f ca="1">IFERROR(__xludf.DUMMYFUNCTION("""COMPUTED_VALUE"""),"OR")</f>
        <v>OR</v>
      </c>
      <c r="R319" s="8" t="str">
        <f ca="1">IFERROR(__xludf.DUMMYFUNCTION("""COMPUTED_VALUE"""),"High")</f>
        <v>High</v>
      </c>
      <c r="S319" s="8" t="str">
        <f ca="1">IFERROR(__xludf.DUMMYFUNCTION("""COMPUTED_VALUE"""),"Football Field/Track")</f>
        <v>Football Field/Track</v>
      </c>
      <c r="T319" s="8" t="str">
        <f ca="1">IFERROR(__xludf.DUMMYFUNCTION("""COMPUTED_VALUE"""),"Outside on School Property")</f>
        <v>Outside on School Property</v>
      </c>
      <c r="U319" s="8" t="str">
        <f ca="1">IFERROR(__xludf.DUMMYFUNCTION("""COMPUTED_VALUE"""),"Yes")</f>
        <v>Yes</v>
      </c>
      <c r="V319" s="8" t="str">
        <f ca="1">IFERROR(__xludf.DUMMYFUNCTION("""COMPUTED_VALUE"""),"Afternoon Classes")</f>
        <v>Afternoon Classes</v>
      </c>
      <c r="W319" s="11">
        <f ca="1">IFERROR(__xludf.DUMMYFUNCTION("""COMPUTED_VALUE"""),0.583333333333333)</f>
        <v>0.58333333333333304</v>
      </c>
      <c r="X319" s="8">
        <f ca="1">IFERROR(__xludf.DUMMYFUNCTION("""COMPUTED_VALUE"""),1)</f>
        <v>1</v>
      </c>
      <c r="Y319" s="12" t="str">
        <f ca="1">IFERROR(__xludf.DUMMYFUNCTION("""COMPUTED_VALUE"""),"Parent shot during youth soccer camp, summer students went on lockdown")</f>
        <v>Parent shot during youth soccer camp, summer students went on lockdown</v>
      </c>
      <c r="Z319" s="12" t="str">
        <f ca="1">IFERROR(__xludf.DUMMYFUNCTION("""COMPUTED_VALUE"""),"One person is injured after a shooting at Modoc Field in Klamath Falls Tuesday. According to Klamath Falls City Schools the shooting happened on the bridge at Modoc Field. The victim was a parent attending a youth soccer camp at Klamath Union High School "&amp;"and was taken to the hospital for treatment. All students on campus were placed on lockdown. The Klamath Falls Police Department is currently investigating the incident. According to a Facebook post, the department says there is no suspect in custody, but"&amp;" there is also no threat to the public.")</f>
        <v>One person is injured after a shooting at Modoc Field in Klamath Falls Tuesday. According to Klamath Falls City Schools the shooting happened on the bridge at Modoc Field. The victim was a parent attending a youth soccer camp at Klamath Union High School and was taken to the hospital for treatment. All students on campus were placed on lockdown. The Klamath Falls Police Department is currently investigating the incident. According to a Facebook post, the department says there is no suspect in custody, but there is also no threat to the public.</v>
      </c>
      <c r="AA319" s="8"/>
      <c r="AB319" s="8"/>
      <c r="AC319" s="8" t="str">
        <f ca="1">IFERROR(__xludf.DUMMYFUNCTION("""COMPUTED_VALUE"""),"Yes")</f>
        <v>Yes</v>
      </c>
      <c r="AD319" s="8"/>
      <c r="AE319" s="8" t="str">
        <f ca="1">IFERROR(__xludf.DUMMYFUNCTION("""COMPUTED_VALUE"""),"No")</f>
        <v>No</v>
      </c>
      <c r="AF319" s="8"/>
      <c r="AG319" s="8" t="str">
        <f ca="1">IFERROR(__xludf.DUMMYFUNCTION("""COMPUTED_VALUE"""),"No")</f>
        <v>No</v>
      </c>
      <c r="AH319" s="8" t="str">
        <f ca="1">IFERROR(__xludf.DUMMYFUNCTION("""COMPUTED_VALUE"""),"No")</f>
        <v>No</v>
      </c>
      <c r="AI319" s="8" t="str">
        <f ca="1">IFERROR(__xludf.DUMMYFUNCTION("""COMPUTED_VALUE"""),"No")</f>
        <v>No</v>
      </c>
      <c r="AJ319" s="8" t="str">
        <f ca="1">IFERROR(__xludf.DUMMYFUNCTION("""COMPUTED_VALUE"""),"No")</f>
        <v>No</v>
      </c>
      <c r="AK319" s="8"/>
      <c r="AL319" s="8"/>
      <c r="AM319" s="8" t="str">
        <f ca="1">IFERROR(__xludf.DUMMYFUNCTION("""COMPUTED_VALUE"""),"No")</f>
        <v>No</v>
      </c>
      <c r="AN319" s="8" t="str">
        <f ca="1">IFERROR(__xludf.DUMMYFUNCTION("""COMPUTED_VALUE"""),"Outside")</f>
        <v>Outside</v>
      </c>
      <c r="AO319" s="8" t="str">
        <f ca="1">IFERROR(__xludf.DUMMYFUNCTION("""COMPUTED_VALUE"""),"No")</f>
        <v>No</v>
      </c>
      <c r="AP319" s="8"/>
      <c r="AQ319" s="8"/>
      <c r="AR319" s="8" t="str">
        <f ca="1">IFERROR(__xludf.DUMMYFUNCTION("""COMPUTED_VALUE"""),"Outside/Off-Property")</f>
        <v>Outside/Off-Property</v>
      </c>
      <c r="AS319" s="8"/>
      <c r="AT319" s="8" t="str">
        <f ca="1">IFERROR(__xludf.DUMMYFUNCTION("""COMPUTED_VALUE"""),"Yes")</f>
        <v>Yes</v>
      </c>
      <c r="AU319" s="8">
        <f ca="1">IFERROR(__xludf.DUMMYFUNCTION("""COMPUTED_VALUE"""),42.23043)</f>
        <v>42.230429999999998</v>
      </c>
      <c r="AV319" s="8">
        <f ca="1">IFERROR(__xludf.DUMMYFUNCTION("""COMPUTED_VALUE"""),-121.77807)</f>
        <v>-121.77807</v>
      </c>
      <c r="AW319" s="8" t="str">
        <f ca="1">IFERROR(__xludf.DUMMYFUNCTION("""COMPUTED_VALUE"""),"Multiple detached buildings")</f>
        <v>Multiple detached buildings</v>
      </c>
      <c r="AX319" s="8">
        <f ca="1">IFERROR(__xludf.DUMMYFUNCTION("""COMPUTED_VALUE"""),97601)</f>
        <v>97601</v>
      </c>
    </row>
    <row r="320" spans="1:50" ht="120" x14ac:dyDescent="0.2">
      <c r="A320" s="8" t="str">
        <f ca="1">IFERROR(__xludf.DUMMYFUNCTION("""COMPUTED_VALUE"""),"20240730OKSOO")</f>
        <v>20240730OKSOO</v>
      </c>
      <c r="B320" s="8">
        <f ca="1">IFERROR(__xludf.DUMMYFUNCTION("""COMPUTED_VALUE"""),7)</f>
        <v>7</v>
      </c>
      <c r="C320" s="8">
        <f ca="1">IFERROR(__xludf.DUMMYFUNCTION("""COMPUTED_VALUE"""),30)</f>
        <v>30</v>
      </c>
      <c r="D320" s="8">
        <f ca="1">IFERROR(__xludf.DUMMYFUNCTION("""COMPUTED_VALUE"""),2024)</f>
        <v>2024</v>
      </c>
      <c r="E320" s="9">
        <f ca="1">IFERROR(__xludf.DUMMYFUNCTION("""COMPUTED_VALUE"""),45503)</f>
        <v>45503</v>
      </c>
      <c r="F320" s="8" t="str">
        <f ca="1">IFERROR(__xludf.DUMMYFUNCTION("""COMPUTED_VALUE"""),"Southeast High School")</f>
        <v>Southeast High School</v>
      </c>
      <c r="G320" s="8">
        <f ca="1">IFERROR(__xludf.DUMMYFUNCTION("""COMPUTED_VALUE"""),0)</f>
        <v>0</v>
      </c>
      <c r="H320" s="8">
        <f ca="1">IFERROR(__xludf.DUMMYFUNCTION("""COMPUTED_VALUE"""),1)</f>
        <v>1</v>
      </c>
      <c r="I320" s="8">
        <f ca="1">IFERROR(__xludf.DUMMYFUNCTION("""COMPUTED_VALUE"""),1)</f>
        <v>1</v>
      </c>
      <c r="J320" s="8">
        <f ca="1">IFERROR(__xludf.DUMMYFUNCTION("""COMPUTED_VALUE"""),0)</f>
        <v>0</v>
      </c>
      <c r="K320" s="10" t="str">
        <f ca="1">IFERROR(__xludf.DUMMYFUNCTION("""COMPUTED_VALUE"""),"https://www.news9.com/story/66a96c006278adeafd20f712/man-injured-after-being-shot-crashing-car-onto-high-school-field
https://www.koco.com/article/oklahoma-city-car-crash-practice-field-assault-victim-southeast-high-school/61738669")</f>
        <v>https://www.news9.com/story/66a96c006278adeafd20f712/man-injured-after-being-shot-crashing-car-onto-high-school-field
https://www.koco.com/article/oklahoma-city-car-crash-practice-field-assault-victim-southeast-high-school/61738669</v>
      </c>
      <c r="L320" s="8">
        <f ca="1">IFERROR(__xludf.DUMMYFUNCTION("""COMPUTED_VALUE"""),2)</f>
        <v>2</v>
      </c>
      <c r="M320" s="8" t="str">
        <f ca="1">IFERROR(__xludf.DUMMYFUNCTION("""COMPUTED_VALUE"""),"Local")</f>
        <v>Local</v>
      </c>
      <c r="N320" s="8">
        <f ca="1">IFERROR(__xludf.DUMMYFUNCTION("""COMPUTED_VALUE"""),4)</f>
        <v>4</v>
      </c>
      <c r="O320" s="8" t="str">
        <f ca="1">IFERROR(__xludf.DUMMYFUNCTION("""COMPUTED_VALUE"""),"Summer")</f>
        <v>Summer</v>
      </c>
      <c r="P320" s="8" t="str">
        <f ca="1">IFERROR(__xludf.DUMMYFUNCTION("""COMPUTED_VALUE"""),"Oklahoma City")</f>
        <v>Oklahoma City</v>
      </c>
      <c r="Q320" s="8" t="str">
        <f ca="1">IFERROR(__xludf.DUMMYFUNCTION("""COMPUTED_VALUE"""),"OK")</f>
        <v>OK</v>
      </c>
      <c r="R320" s="8" t="str">
        <f ca="1">IFERROR(__xludf.DUMMYFUNCTION("""COMPUTED_VALUE"""),"High")</f>
        <v>High</v>
      </c>
      <c r="S320" s="8" t="str">
        <f ca="1">IFERROR(__xludf.DUMMYFUNCTION("""COMPUTED_VALUE"""),"Football Field/Track")</f>
        <v>Football Field/Track</v>
      </c>
      <c r="T320" s="8" t="str">
        <f ca="1">IFERROR(__xludf.DUMMYFUNCTION("""COMPUTED_VALUE"""),"Outside on School Property")</f>
        <v>Outside on School Property</v>
      </c>
      <c r="U320" s="8" t="str">
        <f ca="1">IFERROR(__xludf.DUMMYFUNCTION("""COMPUTED_VALUE"""),"No")</f>
        <v>No</v>
      </c>
      <c r="V320" s="8" t="str">
        <f ca="1">IFERROR(__xludf.DUMMYFUNCTION("""COMPUTED_VALUE"""),"Night")</f>
        <v>Night</v>
      </c>
      <c r="W320" s="11">
        <f ca="1">IFERROR(__xludf.DUMMYFUNCTION("""COMPUTED_VALUE"""),0.125)</f>
        <v>0.125</v>
      </c>
      <c r="X320" s="8">
        <f ca="1">IFERROR(__xludf.DUMMYFUNCTION("""COMPUTED_VALUE"""),1)</f>
        <v>1</v>
      </c>
      <c r="Y320" s="12" t="str">
        <f ca="1">IFERROR(__xludf.DUMMYFUNCTION("""COMPUTED_VALUE"""),"Man shot during robbery inside vehicle that crashed through fence and onto the school's football field")</f>
        <v>Man shot during robbery inside vehicle that crashed through fence and onto the school's football field</v>
      </c>
      <c r="Z320" s="12" t="str">
        <f ca="1">IFERROR(__xludf.DUMMYFUNCTION("""COMPUTED_VALUE"""),"At around 3 a.m., the Oklahoma City Police Department responded to the field at Southeast High School. When they arrived on the scene, police found that the driver of that vehicle had been shot. Before the shooting, the driver picked up a woman. When she "&amp;"demanded money and the driver refused to give it to her, she shot him, according to police. Shooter fled before police arrived. Victim was transported in critical condition.")</f>
        <v>At around 3 a.m., the Oklahoma City Police Department responded to the field at Southeast High School. When they arrived on the scene, police found that the driver of that vehicle had been shot. Before the shooting, the driver picked up a woman. When she demanded money and the driver refused to give it to her, she shot him, according to police. Shooter fled before police arrived. Victim was transported in critical condition.</v>
      </c>
      <c r="AA320" s="8" t="str">
        <f ca="1">IFERROR(__xludf.DUMMYFUNCTION("""COMPUTED_VALUE"""),"Illegal Activity")</f>
        <v>Illegal Activity</v>
      </c>
      <c r="AB320" s="8" t="str">
        <f ca="1">IFERROR(__xludf.DUMMYFUNCTION("""COMPUTED_VALUE"""),"Targeted")</f>
        <v>Targeted</v>
      </c>
      <c r="AC320" s="8" t="str">
        <f ca="1">IFERROR(__xludf.DUMMYFUNCTION("""COMPUTED_VALUE"""),"No")</f>
        <v>No</v>
      </c>
      <c r="AD320" s="8" t="str">
        <f ca="1">IFERROR(__xludf.DUMMYFUNCTION("""COMPUTED_VALUE"""),"Victims Targeted")</f>
        <v>Victims Targeted</v>
      </c>
      <c r="AE320" s="8" t="str">
        <f ca="1">IFERROR(__xludf.DUMMYFUNCTION("""COMPUTED_VALUE"""),"No")</f>
        <v>No</v>
      </c>
      <c r="AF320" s="8"/>
      <c r="AG320" s="8" t="str">
        <f ca="1">IFERROR(__xludf.DUMMYFUNCTION("""COMPUTED_VALUE"""),"No")</f>
        <v>No</v>
      </c>
      <c r="AH320" s="8" t="str">
        <f ca="1">IFERROR(__xludf.DUMMYFUNCTION("""COMPUTED_VALUE"""),"No")</f>
        <v>No</v>
      </c>
      <c r="AI320" s="8" t="str">
        <f ca="1">IFERROR(__xludf.DUMMYFUNCTION("""COMPUTED_VALUE"""),"No")</f>
        <v>No</v>
      </c>
      <c r="AJ320" s="8" t="str">
        <f ca="1">IFERROR(__xludf.DUMMYFUNCTION("""COMPUTED_VALUE"""),"No")</f>
        <v>No</v>
      </c>
      <c r="AK320" s="8" t="str">
        <f ca="1">IFERROR(__xludf.DUMMYFUNCTION("""COMPUTED_VALUE"""),"No")</f>
        <v>No</v>
      </c>
      <c r="AL320" s="8" t="str">
        <f ca="1">IFERROR(__xludf.DUMMYFUNCTION("""COMPUTED_VALUE"""),"No")</f>
        <v>No</v>
      </c>
      <c r="AM320" s="8" t="str">
        <f ca="1">IFERROR(__xludf.DUMMYFUNCTION("""COMPUTED_VALUE"""),"No")</f>
        <v>No</v>
      </c>
      <c r="AN320" s="8" t="str">
        <f ca="1">IFERROR(__xludf.DUMMYFUNCTION("""COMPUTED_VALUE"""),"Outside")</f>
        <v>Outside</v>
      </c>
      <c r="AO320" s="8" t="str">
        <f ca="1">IFERROR(__xludf.DUMMYFUNCTION("""COMPUTED_VALUE"""),"No")</f>
        <v>No</v>
      </c>
      <c r="AP320" s="8"/>
      <c r="AQ320" s="8"/>
      <c r="AR320" s="8" t="str">
        <f ca="1">IFERROR(__xludf.DUMMYFUNCTION("""COMPUTED_VALUE"""),"Outside/Off-Property")</f>
        <v>Outside/Off-Property</v>
      </c>
      <c r="AS320" s="8"/>
      <c r="AT320" s="8" t="str">
        <f ca="1">IFERROR(__xludf.DUMMYFUNCTION("""COMPUTED_VALUE"""),"No")</f>
        <v>No</v>
      </c>
      <c r="AU320" s="8">
        <f ca="1">IFERROR(__xludf.DUMMYFUNCTION("""COMPUTED_VALUE"""),35.411098)</f>
        <v>35.411098000000003</v>
      </c>
      <c r="AV320" s="8">
        <f ca="1">IFERROR(__xludf.DUMMYFUNCTION("""COMPUTED_VALUE"""),-97.510669)</f>
        <v>-97.510668999999993</v>
      </c>
      <c r="AW320" s="8" t="str">
        <f ca="1">IFERROR(__xludf.DUMMYFUNCTION("""COMPUTED_VALUE"""),"Multiple attached buildings")</f>
        <v>Multiple attached buildings</v>
      </c>
      <c r="AX320" s="8">
        <f ca="1">IFERROR(__xludf.DUMMYFUNCTION("""COMPUTED_VALUE"""),73139)</f>
        <v>73139</v>
      </c>
    </row>
    <row r="321" spans="1:50" ht="45" x14ac:dyDescent="0.2">
      <c r="A321" s="8" t="str">
        <f ca="1">IFERROR(__xludf.DUMMYFUNCTION("""COMPUTED_VALUE"""),"20240727OHWAT")</f>
        <v>20240727OHWAT</v>
      </c>
      <c r="B321" s="8">
        <f ca="1">IFERROR(__xludf.DUMMYFUNCTION("""COMPUTED_VALUE"""),7)</f>
        <v>7</v>
      </c>
      <c r="C321" s="8">
        <f ca="1">IFERROR(__xludf.DUMMYFUNCTION("""COMPUTED_VALUE"""),27)</f>
        <v>27</v>
      </c>
      <c r="D321" s="8">
        <f ca="1">IFERROR(__xludf.DUMMYFUNCTION("""COMPUTED_VALUE"""),2024)</f>
        <v>2024</v>
      </c>
      <c r="E321" s="9">
        <f ca="1">IFERROR(__xludf.DUMMYFUNCTION("""COMPUTED_VALUE"""),45500)</f>
        <v>45500</v>
      </c>
      <c r="F321" s="8" t="str">
        <f ca="1">IFERROR(__xludf.DUMMYFUNCTION("""COMPUTED_VALUE"""),"Waite High School")</f>
        <v>Waite High School</v>
      </c>
      <c r="G321" s="8">
        <f ca="1">IFERROR(__xludf.DUMMYFUNCTION("""COMPUTED_VALUE"""),0)</f>
        <v>0</v>
      </c>
      <c r="H321" s="8">
        <f ca="1">IFERROR(__xludf.DUMMYFUNCTION("""COMPUTED_VALUE"""),2)</f>
        <v>2</v>
      </c>
      <c r="I321" s="8">
        <f ca="1">IFERROR(__xludf.DUMMYFUNCTION("""COMPUTED_VALUE"""),2)</f>
        <v>2</v>
      </c>
      <c r="J321" s="8">
        <f ca="1">IFERROR(__xludf.DUMMYFUNCTION("""COMPUTED_VALUE"""),0)</f>
        <v>0</v>
      </c>
      <c r="K321" s="10" t="str">
        <f ca="1">IFERROR(__xludf.DUMMYFUNCTION("""COMPUTED_VALUE"""),"https://www.13abc.com/2024/07/28/2-shot-outside-waite-high-school-saturday-night/
https://www.wtol.com/article/news/crime/two-juveniles-shot-near-waite-high-school-on-saturday-east-toledo/512-facf20d1-ac9a-4bd5-94ad-fcde99c8b938")</f>
        <v>https://www.13abc.com/2024/07/28/2-shot-outside-waite-high-school-saturday-night/
https://www.wtol.com/article/news/crime/two-juveniles-shot-near-waite-high-school-on-saturday-east-toledo/512-facf20d1-ac9a-4bd5-94ad-fcde99c8b938</v>
      </c>
      <c r="L321" s="8">
        <f ca="1">IFERROR(__xludf.DUMMYFUNCTION("""COMPUTED_VALUE"""),2)</f>
        <v>2</v>
      </c>
      <c r="M321" s="8" t="str">
        <f ca="1">IFERROR(__xludf.DUMMYFUNCTION("""COMPUTED_VALUE"""),"Local")</f>
        <v>Local</v>
      </c>
      <c r="N321" s="8">
        <f ca="1">IFERROR(__xludf.DUMMYFUNCTION("""COMPUTED_VALUE"""),4)</f>
        <v>4</v>
      </c>
      <c r="O321" s="8" t="str">
        <f ca="1">IFERROR(__xludf.DUMMYFUNCTION("""COMPUTED_VALUE"""),"Summer")</f>
        <v>Summer</v>
      </c>
      <c r="P321" s="8" t="str">
        <f ca="1">IFERROR(__xludf.DUMMYFUNCTION("""COMPUTED_VALUE"""),"Toledo")</f>
        <v>Toledo</v>
      </c>
      <c r="Q321" s="8" t="str">
        <f ca="1">IFERROR(__xludf.DUMMYFUNCTION("""COMPUTED_VALUE"""),"OH")</f>
        <v>OH</v>
      </c>
      <c r="R321" s="8" t="str">
        <f ca="1">IFERROR(__xludf.DUMMYFUNCTION("""COMPUTED_VALUE"""),"High")</f>
        <v>High</v>
      </c>
      <c r="S321" s="8" t="str">
        <f ca="1">IFERROR(__xludf.DUMMYFUNCTION("""COMPUTED_VALUE"""),"Basketball Court")</f>
        <v>Basketball Court</v>
      </c>
      <c r="T321" s="8" t="str">
        <f ca="1">IFERROR(__xludf.DUMMYFUNCTION("""COMPUTED_VALUE"""),"Outside on School Property")</f>
        <v>Outside on School Property</v>
      </c>
      <c r="U321" s="8" t="str">
        <f ca="1">IFERROR(__xludf.DUMMYFUNCTION("""COMPUTED_VALUE"""),"No")</f>
        <v>No</v>
      </c>
      <c r="V321" s="8" t="str">
        <f ca="1">IFERROR(__xludf.DUMMYFUNCTION("""COMPUTED_VALUE"""),"Evening")</f>
        <v>Evening</v>
      </c>
      <c r="W321" s="11">
        <f ca="1">IFERROR(__xludf.DUMMYFUNCTION("""COMPUTED_VALUE"""),0.833333333333333)</f>
        <v>0.83333333333333304</v>
      </c>
      <c r="X321" s="8">
        <f ca="1">IFERROR(__xludf.DUMMYFUNCTION("""COMPUTED_VALUE"""),1)</f>
        <v>1</v>
      </c>
      <c r="Y321" s="12" t="str">
        <f ca="1">IFERROR(__xludf.DUMMYFUNCTION("""COMPUTED_VALUE"""),"Two teens shot on school basketball court")</f>
        <v>Two teens shot on school basketball court</v>
      </c>
      <c r="Z321" s="12" t="str">
        <f ca="1">IFERROR(__xludf.DUMMYFUNCTION("""COMPUTED_VALUE"""),"Two teens were shot during a drive-by shooting while playing basketball at the school.")</f>
        <v>Two teens were shot during a drive-by shooting while playing basketball at the school.</v>
      </c>
      <c r="AA321" s="8" t="str">
        <f ca="1">IFERROR(__xludf.DUMMYFUNCTION("""COMPUTED_VALUE"""),"Drive-by Shooting")</f>
        <v>Drive-by Shooting</v>
      </c>
      <c r="AB321" s="8" t="str">
        <f ca="1">IFERROR(__xludf.DUMMYFUNCTION("""COMPUTED_VALUE"""),"Targeted")</f>
        <v>Targeted</v>
      </c>
      <c r="AC321" s="8" t="str">
        <f ca="1">IFERROR(__xludf.DUMMYFUNCTION("""COMPUTED_VALUE"""),"Yes")</f>
        <v>Yes</v>
      </c>
      <c r="AD321" s="8" t="str">
        <f ca="1">IFERROR(__xludf.DUMMYFUNCTION("""COMPUTED_VALUE"""),"Both")</f>
        <v>Both</v>
      </c>
      <c r="AE321" s="8" t="str">
        <f ca="1">IFERROR(__xludf.DUMMYFUNCTION("""COMPUTED_VALUE"""),"Yes")</f>
        <v>Yes</v>
      </c>
      <c r="AF321" s="8"/>
      <c r="AG321" s="8" t="str">
        <f ca="1">IFERROR(__xludf.DUMMYFUNCTION("""COMPUTED_VALUE"""),"No")</f>
        <v>No</v>
      </c>
      <c r="AH321" s="8" t="str">
        <f ca="1">IFERROR(__xludf.DUMMYFUNCTION("""COMPUTED_VALUE"""),"No")</f>
        <v>No</v>
      </c>
      <c r="AI321" s="8" t="str">
        <f ca="1">IFERROR(__xludf.DUMMYFUNCTION("""COMPUTED_VALUE"""),"No")</f>
        <v>No</v>
      </c>
      <c r="AJ321" s="8" t="str">
        <f ca="1">IFERROR(__xludf.DUMMYFUNCTION("""COMPUTED_VALUE"""),"No")</f>
        <v>No</v>
      </c>
      <c r="AK321" s="8" t="str">
        <f ca="1">IFERROR(__xludf.DUMMYFUNCTION("""COMPUTED_VALUE"""),"No")</f>
        <v>No</v>
      </c>
      <c r="AL321" s="8"/>
      <c r="AM321" s="8" t="str">
        <f ca="1">IFERROR(__xludf.DUMMYFUNCTION("""COMPUTED_VALUE"""),"No")</f>
        <v>No</v>
      </c>
      <c r="AN321" s="8" t="str">
        <f ca="1">IFERROR(__xludf.DUMMYFUNCTION("""COMPUTED_VALUE"""),"Outside")</f>
        <v>Outside</v>
      </c>
      <c r="AO321" s="8" t="str">
        <f ca="1">IFERROR(__xludf.DUMMYFUNCTION("""COMPUTED_VALUE"""),"No")</f>
        <v>No</v>
      </c>
      <c r="AP321" s="8"/>
      <c r="AQ321" s="8"/>
      <c r="AR321" s="8" t="str">
        <f ca="1">IFERROR(__xludf.DUMMYFUNCTION("""COMPUTED_VALUE"""),"Outside/Off-Property")</f>
        <v>Outside/Off-Property</v>
      </c>
      <c r="AS321" s="8">
        <f ca="1">IFERROR(__xludf.DUMMYFUNCTION("""COMPUTED_VALUE"""),8)</f>
        <v>8</v>
      </c>
      <c r="AT321" s="8" t="str">
        <f ca="1">IFERROR(__xludf.DUMMYFUNCTION("""COMPUTED_VALUE"""),"No")</f>
        <v>No</v>
      </c>
      <c r="AU321" s="8">
        <f ca="1">IFERROR(__xludf.DUMMYFUNCTION("""COMPUTED_VALUE"""),41.649191)</f>
        <v>41.649191000000002</v>
      </c>
      <c r="AV321" s="8">
        <f ca="1">IFERROR(__xludf.DUMMYFUNCTION("""COMPUTED_VALUE"""),-83.519326)</f>
        <v>-83.519326000000007</v>
      </c>
      <c r="AW321" s="8" t="str">
        <f ca="1">IFERROR(__xludf.DUMMYFUNCTION("""COMPUTED_VALUE"""),"Multiple attached buildings")</f>
        <v>Multiple attached buildings</v>
      </c>
      <c r="AX321" s="8">
        <f ca="1">IFERROR(__xludf.DUMMYFUNCTION("""COMPUTED_VALUE"""),43605)</f>
        <v>43605</v>
      </c>
    </row>
    <row r="322" spans="1:50" ht="120" x14ac:dyDescent="0.2">
      <c r="A322" s="8" t="str">
        <f ca="1">IFERROR(__xludf.DUMMYFUNCTION("""COMPUTED_VALUE"""),"20240726KYGRL")</f>
        <v>20240726KYGRL</v>
      </c>
      <c r="B322" s="8">
        <f ca="1">IFERROR(__xludf.DUMMYFUNCTION("""COMPUTED_VALUE"""),7)</f>
        <v>7</v>
      </c>
      <c r="C322" s="8">
        <f ca="1">IFERROR(__xludf.DUMMYFUNCTION("""COMPUTED_VALUE"""),26)</f>
        <v>26</v>
      </c>
      <c r="D322" s="8">
        <f ca="1">IFERROR(__xludf.DUMMYFUNCTION("""COMPUTED_VALUE"""),2024)</f>
        <v>2024</v>
      </c>
      <c r="E322" s="9">
        <f ca="1">IFERROR(__xludf.DUMMYFUNCTION("""COMPUTED_VALUE"""),45499)</f>
        <v>45499</v>
      </c>
      <c r="F322" s="8" t="str">
        <f ca="1">IFERROR(__xludf.DUMMYFUNCTION("""COMPUTED_VALUE"""),"Greenwood Elementary School")</f>
        <v>Greenwood Elementary School</v>
      </c>
      <c r="G322" s="8">
        <f ca="1">IFERROR(__xludf.DUMMYFUNCTION("""COMPUTED_VALUE"""),1)</f>
        <v>1</v>
      </c>
      <c r="H322" s="8">
        <f ca="1">IFERROR(__xludf.DUMMYFUNCTION("""COMPUTED_VALUE"""),0)</f>
        <v>0</v>
      </c>
      <c r="I322" s="8">
        <f ca="1">IFERROR(__xludf.DUMMYFUNCTION("""COMPUTED_VALUE"""),1)</f>
        <v>1</v>
      </c>
      <c r="J322" s="8">
        <f ca="1">IFERROR(__xludf.DUMMYFUNCTION("""COMPUTED_VALUE"""),0)</f>
        <v>0</v>
      </c>
      <c r="K322" s="10" t="str">
        <f ca="1">IFERROR(__xludf.DUMMYFUNCTION("""COMPUTED_VALUE"""),"https://www.wdrb.com/news/crime-reports/louisville-man-arrested-charged-with-murder-after-man-found-shot-in-car-outside-greenwood-elementary/article_ed3f2b20-4bcd-11ef-9581-abc0bfd5c0ec.html
https://www.wdrb.com/news/man-dies-after-being-found-shot-in-veh"&amp;"icle-outside-greenwood-elementary-louisville-police-say/article_b40f803c-4b7a-11ef-a943-2780eaf1ddeb.html
https://www.wlky.com/article/greenwood-elementary-louisville-parking-lot-shooting/61711433")</f>
        <v>https://www.wdrb.com/news/crime-reports/louisville-man-arrested-charged-with-murder-after-man-found-shot-in-car-outside-greenwood-elementary/article_ed3f2b20-4bcd-11ef-9581-abc0bfd5c0ec.html
https://www.wdrb.com/news/man-dies-after-being-found-shot-in-vehicle-outside-greenwood-elementary-louisville-police-say/article_b40f803c-4b7a-11ef-a943-2780eaf1ddeb.html
https://www.wlky.com/article/greenwood-elementary-louisville-parking-lot-shooting/61711433</v>
      </c>
      <c r="L322" s="8">
        <f ca="1">IFERROR(__xludf.DUMMYFUNCTION("""COMPUTED_VALUE"""),10)</f>
        <v>10</v>
      </c>
      <c r="M322" s="8" t="str">
        <f ca="1">IFERROR(__xludf.DUMMYFUNCTION("""COMPUTED_VALUE"""),"Regional")</f>
        <v>Regional</v>
      </c>
      <c r="N322" s="8">
        <f ca="1">IFERROR(__xludf.DUMMYFUNCTION("""COMPUTED_VALUE"""),4)</f>
        <v>4</v>
      </c>
      <c r="O322" s="8" t="str">
        <f ca="1">IFERROR(__xludf.DUMMYFUNCTION("""COMPUTED_VALUE"""),"Summer")</f>
        <v>Summer</v>
      </c>
      <c r="P322" s="8" t="str">
        <f ca="1">IFERROR(__xludf.DUMMYFUNCTION("""COMPUTED_VALUE"""),"Louisville")</f>
        <v>Louisville</v>
      </c>
      <c r="Q322" s="8" t="str">
        <f ca="1">IFERROR(__xludf.DUMMYFUNCTION("""COMPUTED_VALUE"""),"KY")</f>
        <v>KY</v>
      </c>
      <c r="R322" s="8" t="str">
        <f ca="1">IFERROR(__xludf.DUMMYFUNCTION("""COMPUTED_VALUE"""),"Elementary")</f>
        <v>Elementary</v>
      </c>
      <c r="S322" s="8" t="str">
        <f ca="1">IFERROR(__xludf.DUMMYFUNCTION("""COMPUTED_VALUE"""),"Parking Lot")</f>
        <v>Parking Lot</v>
      </c>
      <c r="T322" s="8" t="str">
        <f ca="1">IFERROR(__xludf.DUMMYFUNCTION("""COMPUTED_VALUE"""),"Outside on School Property")</f>
        <v>Outside on School Property</v>
      </c>
      <c r="U322" s="8" t="str">
        <f ca="1">IFERROR(__xludf.DUMMYFUNCTION("""COMPUTED_VALUE"""),"No")</f>
        <v>No</v>
      </c>
      <c r="V322" s="8" t="str">
        <f ca="1">IFERROR(__xludf.DUMMYFUNCTION("""COMPUTED_VALUE"""),"Not a School Day")</f>
        <v>Not a School Day</v>
      </c>
      <c r="W322" s="11">
        <f ca="1">IFERROR(__xludf.DUMMYFUNCTION("""COMPUTED_VALUE"""),0.520833333333333)</f>
        <v>0.52083333333333304</v>
      </c>
      <c r="X322" s="8">
        <f ca="1">IFERROR(__xludf.DUMMYFUNCTION("""COMPUTED_VALUE"""),1)</f>
        <v>1</v>
      </c>
      <c r="Y322" s="12" t="str">
        <f ca="1">IFERROR(__xludf.DUMMYFUNCTION("""COMPUTED_VALUE"""),"Man fatally shot in vehicle in school parking lot")</f>
        <v>Man fatally shot in vehicle in school parking lot</v>
      </c>
      <c r="Z322" s="12" t="str">
        <f ca="1">IFERROR(__xludf.DUMMYFUNCTION("""COMPUTED_VALUE"""),"A man is dead after being found shot in a Louisville elementary school parking lot. According to officials, they were called Friday afternoon to the 5800 block of Greenwood Road, outside Greenwood Elementary, in Pleasure Ridge Park. Police said they were "&amp;"originally called for reports of a crash, but when they arrived, they found someone with a gunshot wound. They said the man was rushed to a hospital where he died.")</f>
        <v>A man is dead after being found shot in a Louisville elementary school parking lot. According to officials, they were called Friday afternoon to the 5800 block of Greenwood Road, outside Greenwood Elementary, in Pleasure Ridge Park. Police said they were originally called for reports of a crash, but when they arrived, they found someone with a gunshot wound. They said the man was rushed to a hospital where he died.</v>
      </c>
      <c r="AA322" s="8"/>
      <c r="AB322" s="8" t="str">
        <f ca="1">IFERROR(__xludf.DUMMYFUNCTION("""COMPUTED_VALUE"""),"Targeted")</f>
        <v>Targeted</v>
      </c>
      <c r="AC322" s="8" t="str">
        <f ca="1">IFERROR(__xludf.DUMMYFUNCTION("""COMPUTED_VALUE"""),"No")</f>
        <v>No</v>
      </c>
      <c r="AD322" s="8" t="str">
        <f ca="1">IFERROR(__xludf.DUMMYFUNCTION("""COMPUTED_VALUE"""),"Victims Targeted")</f>
        <v>Victims Targeted</v>
      </c>
      <c r="AE322" s="8" t="str">
        <f ca="1">IFERROR(__xludf.DUMMYFUNCTION("""COMPUTED_VALUE"""),"No")</f>
        <v>No</v>
      </c>
      <c r="AF322" s="8"/>
      <c r="AG322" s="8" t="str">
        <f ca="1">IFERROR(__xludf.DUMMYFUNCTION("""COMPUTED_VALUE"""),"No")</f>
        <v>No</v>
      </c>
      <c r="AH322" s="8" t="str">
        <f ca="1">IFERROR(__xludf.DUMMYFUNCTION("""COMPUTED_VALUE"""),"No")</f>
        <v>No</v>
      </c>
      <c r="AI322" s="8" t="str">
        <f ca="1">IFERROR(__xludf.DUMMYFUNCTION("""COMPUTED_VALUE"""),"No")</f>
        <v>No</v>
      </c>
      <c r="AJ322" s="8" t="str">
        <f ca="1">IFERROR(__xludf.DUMMYFUNCTION("""COMPUTED_VALUE"""),"No")</f>
        <v>No</v>
      </c>
      <c r="AK322" s="8" t="str">
        <f ca="1">IFERROR(__xludf.DUMMYFUNCTION("""COMPUTED_VALUE"""),"No")</f>
        <v>No</v>
      </c>
      <c r="AL322" s="8" t="str">
        <f ca="1">IFERROR(__xludf.DUMMYFUNCTION("""COMPUTED_VALUE"""),"No")</f>
        <v>No</v>
      </c>
      <c r="AM322" s="8" t="str">
        <f ca="1">IFERROR(__xludf.DUMMYFUNCTION("""COMPUTED_VALUE"""),"No")</f>
        <v>No</v>
      </c>
      <c r="AN322" s="8" t="str">
        <f ca="1">IFERROR(__xludf.DUMMYFUNCTION("""COMPUTED_VALUE"""),"Outside")</f>
        <v>Outside</v>
      </c>
      <c r="AO322" s="8" t="str">
        <f ca="1">IFERROR(__xludf.DUMMYFUNCTION("""COMPUTED_VALUE"""),"No")</f>
        <v>No</v>
      </c>
      <c r="AP322" s="8"/>
      <c r="AQ322" s="8"/>
      <c r="AR322" s="8" t="str">
        <f ca="1">IFERROR(__xludf.DUMMYFUNCTION("""COMPUTED_VALUE"""),"Outside/Off-Property")</f>
        <v>Outside/Off-Property</v>
      </c>
      <c r="AS322" s="8">
        <f ca="1">IFERROR(__xludf.DUMMYFUNCTION("""COMPUTED_VALUE"""),99)</f>
        <v>99</v>
      </c>
      <c r="AT322" s="8" t="str">
        <f ca="1">IFERROR(__xludf.DUMMYFUNCTION("""COMPUTED_VALUE"""),"No")</f>
        <v>No</v>
      </c>
      <c r="AU322" s="8">
        <f ca="1">IFERROR(__xludf.DUMMYFUNCTION("""COMPUTED_VALUE"""),38.145114)</f>
        <v>38.145114</v>
      </c>
      <c r="AV322" s="8">
        <f ca="1">IFERROR(__xludf.DUMMYFUNCTION("""COMPUTED_VALUE"""),-85.861143)</f>
        <v>-85.861142999999998</v>
      </c>
      <c r="AW322" s="8" t="str">
        <f ca="1">IFERROR(__xludf.DUMMYFUNCTION("""COMPUTED_VALUE"""),"Single building indoor hallway")</f>
        <v>Single building indoor hallway</v>
      </c>
      <c r="AX322" s="8">
        <f ca="1">IFERROR(__xludf.DUMMYFUNCTION("""COMPUTED_VALUE"""),40258)</f>
        <v>40258</v>
      </c>
    </row>
    <row r="323" spans="1:50" ht="375" x14ac:dyDescent="0.2">
      <c r="A323" s="8" t="str">
        <f ca="1">IFERROR(__xludf.DUMMYFUNCTION("""COMPUTED_VALUE"""),"20240725MSWEF")</f>
        <v>20240725MSWEF</v>
      </c>
      <c r="B323" s="8">
        <f ca="1">IFERROR(__xludf.DUMMYFUNCTION("""COMPUTED_VALUE"""),7)</f>
        <v>7</v>
      </c>
      <c r="C323" s="8">
        <f ca="1">IFERROR(__xludf.DUMMYFUNCTION("""COMPUTED_VALUE"""),25)</f>
        <v>25</v>
      </c>
      <c r="D323" s="8">
        <f ca="1">IFERROR(__xludf.DUMMYFUNCTION("""COMPUTED_VALUE"""),2024)</f>
        <v>2024</v>
      </c>
      <c r="E323" s="9">
        <f ca="1">IFERROR(__xludf.DUMMYFUNCTION("""COMPUTED_VALUE"""),45498)</f>
        <v>45498</v>
      </c>
      <c r="F323" s="8" t="str">
        <f ca="1">IFERROR(__xludf.DUMMYFUNCTION("""COMPUTED_VALUE"""),"West Marion Primary School")</f>
        <v>West Marion Primary School</v>
      </c>
      <c r="G323" s="8">
        <f ca="1">IFERROR(__xludf.DUMMYFUNCTION("""COMPUTED_VALUE"""),0)</f>
        <v>0</v>
      </c>
      <c r="H323" s="8">
        <f ca="1">IFERROR(__xludf.DUMMYFUNCTION("""COMPUTED_VALUE"""),0)</f>
        <v>0</v>
      </c>
      <c r="I323" s="8">
        <f ca="1">IFERROR(__xludf.DUMMYFUNCTION("""COMPUTED_VALUE"""),0)</f>
        <v>0</v>
      </c>
      <c r="J323" s="8">
        <f ca="1">IFERROR(__xludf.DUMMYFUNCTION("""COMPUTED_VALUE"""),0)</f>
        <v>0</v>
      </c>
      <c r="K323" s="10" t="str">
        <f ca="1">IFERROR(__xludf.DUMMYFUNCTION("""COMPUTED_VALUE"""),"https://www.wlbt.com/2024/07/25/janitor-stops-shooter-west-marion-primary-charges-pending-sheriff-says/
https://www.wdam.com/2024/07/25/janitor-stops-shooter-west-marion-primary-charges-pending-sheriff-says/
https://www.supertalk.fm/elderly-man-arrested-f"&amp;"or-shooting-at-marion-county-school/")</f>
        <v>https://www.wlbt.com/2024/07/25/janitor-stops-shooter-west-marion-primary-charges-pending-sheriff-says/
https://www.wdam.com/2024/07/25/janitor-stops-shooter-west-marion-primary-charges-pending-sheriff-says/
https://www.supertalk.fm/elderly-man-arrested-for-shooting-at-marion-county-school/</v>
      </c>
      <c r="L323" s="8">
        <f ca="1">IFERROR(__xludf.DUMMYFUNCTION("""COMPUTED_VALUE"""),10)</f>
        <v>10</v>
      </c>
      <c r="M323" s="8" t="str">
        <f ca="1">IFERROR(__xludf.DUMMYFUNCTION("""COMPUTED_VALUE"""),"Regional")</f>
        <v>Regional</v>
      </c>
      <c r="N323" s="8">
        <f ca="1">IFERROR(__xludf.DUMMYFUNCTION("""COMPUTED_VALUE"""),4)</f>
        <v>4</v>
      </c>
      <c r="O323" s="8" t="str">
        <f ca="1">IFERROR(__xludf.DUMMYFUNCTION("""COMPUTED_VALUE"""),"Summer")</f>
        <v>Summer</v>
      </c>
      <c r="P323" s="8" t="str">
        <f ca="1">IFERROR(__xludf.DUMMYFUNCTION("""COMPUTED_VALUE"""),"Foxworth")</f>
        <v>Foxworth</v>
      </c>
      <c r="Q323" s="8" t="str">
        <f ca="1">IFERROR(__xludf.DUMMYFUNCTION("""COMPUTED_VALUE"""),"MS")</f>
        <v>MS</v>
      </c>
      <c r="R323" s="8" t="str">
        <f ca="1">IFERROR(__xludf.DUMMYFUNCTION("""COMPUTED_VALUE"""),"Elementary")</f>
        <v>Elementary</v>
      </c>
      <c r="S323" s="8" t="str">
        <f ca="1">IFERROR(__xludf.DUMMYFUNCTION("""COMPUTED_VALUE"""),"Hallway")</f>
        <v>Hallway</v>
      </c>
      <c r="T323" s="8" t="str">
        <f ca="1">IFERROR(__xludf.DUMMYFUNCTION("""COMPUTED_VALUE"""),"Inside School Building")</f>
        <v>Inside School Building</v>
      </c>
      <c r="U323" s="8" t="str">
        <f ca="1">IFERROR(__xludf.DUMMYFUNCTION("""COMPUTED_VALUE"""),"Yes")</f>
        <v>Yes</v>
      </c>
      <c r="V323" s="8" t="str">
        <f ca="1">IFERROR(__xludf.DUMMYFUNCTION("""COMPUTED_VALUE"""),"School Start")</f>
        <v>School Start</v>
      </c>
      <c r="W323" s="11">
        <f ca="1">IFERROR(__xludf.DUMMYFUNCTION("""COMPUTED_VALUE"""),0.305555555555555)</f>
        <v>0.30555555555555503</v>
      </c>
      <c r="X323" s="8">
        <f ca="1">IFERROR(__xludf.DUMMYFUNCTION("""COMPUTED_VALUE"""),1)</f>
        <v>1</v>
      </c>
      <c r="Y323" s="12" t="str">
        <f ca="1">IFERROR(__xludf.DUMMYFUNCTION("""COMPUTED_VALUE"""),"Man fired shots and threatened two staff members, tackled by janitor")</f>
        <v>Man fired shots and threatened two staff members, tackled by janitor</v>
      </c>
      <c r="Z323" s="12" t="str">
        <f ca="1">IFERROR(__xludf.DUMMYFUNCTION("""COMPUTED_VALUE"""),"A 76-year-old Foxworth man was arrested and charged Thursday with two counts of kidnapping and making a terroristic threat after brandishing an air pistol Thursday morning at West Marion Primary School. The Marion County Sheriff’s Office said that Timothy"&amp;" Ward was in custody at the Marion County Jail. MCSO said that Ward entered the school about 7:20 a.m. Thursday as staff were arriving at work. According to the school district’s website, no students were on campus. The school year officially does not sta"&amp;"rt until Monday. Staff immediately recognized that Ward did not belong and attempted to escort him back outside, MCSO said. MCSO said Ward then brandished a firearm in his waistband, and held two staff members against their wills. When approached again, W"&amp;"ard pointed the firearm at another staff member, MCSO said. An active shooter call to 911 was made at about 7:24 a.m. Marion County Sheriff Berkley Hall said the staff members quickly worked to de-escalate the situation, and a janitor was able to subdue t"&amp;"he shooter until law enforcement arrived. The janitor held Ward until 7:27 am, when Marion County School District Police arrived and placed him in custody. “We had, I guess you would say, a responsible custodian (who) saw what was happening and got involv"&amp;"ed and actually took the suspect down right before the school resource officers arrived,” Hall said.")</f>
        <v>A 76-year-old Foxworth man was arrested and charged Thursday with two counts of kidnapping and making a terroristic threat after brandishing an air pistol Thursday morning at West Marion Primary School. The Marion County Sheriff’s Office said that Timothy Ward was in custody at the Marion County Jail. MCSO said that Ward entered the school about 7:20 a.m. Thursday as staff were arriving at work. According to the school district’s website, no students were on campus. The school year officially does not start until Monday. Staff immediately recognized that Ward did not belong and attempted to escort him back outside, MCSO said. MCSO said Ward then brandished a firearm in his waistband, and held two staff members against their wills. When approached again, Ward pointed the firearm at another staff member, MCSO said. An active shooter call to 911 was made at about 7:24 a.m. Marion County Sheriff Berkley Hall said the staff members quickly worked to de-escalate the situation, and a janitor was able to subdue the shooter until law enforcement arrived. The janitor held Ward until 7:27 am, when Marion County School District Police arrived and placed him in custody. “We had, I guess you would say, a responsible custodian (who) saw what was happening and got involved and actually took the suspect down right before the school resource officers arrived,” Hall said.</v>
      </c>
      <c r="AA323" s="8" t="str">
        <f ca="1">IFERROR(__xludf.DUMMYFUNCTION("""COMPUTED_VALUE"""),"Hostage/Standoff")</f>
        <v>Hostage/Standoff</v>
      </c>
      <c r="AB323" s="8" t="str">
        <f ca="1">IFERROR(__xludf.DUMMYFUNCTION("""COMPUTED_VALUE"""),"Targeted")</f>
        <v>Targeted</v>
      </c>
      <c r="AC323" s="8" t="str">
        <f ca="1">IFERROR(__xludf.DUMMYFUNCTION("""COMPUTED_VALUE"""),"Yes")</f>
        <v>Yes</v>
      </c>
      <c r="AD323" s="8" t="str">
        <f ca="1">IFERROR(__xludf.DUMMYFUNCTION("""COMPUTED_VALUE"""),"Random Shooting")</f>
        <v>Random Shooting</v>
      </c>
      <c r="AE323" s="8" t="str">
        <f ca="1">IFERROR(__xludf.DUMMYFUNCTION("""COMPUTED_VALUE"""),"No")</f>
        <v>No</v>
      </c>
      <c r="AF323" s="8"/>
      <c r="AG323" s="8" t="str">
        <f ca="1">IFERROR(__xludf.DUMMYFUNCTION("""COMPUTED_VALUE"""),"Yes")</f>
        <v>Yes</v>
      </c>
      <c r="AH323" s="8" t="str">
        <f ca="1">IFERROR(__xludf.DUMMYFUNCTION("""COMPUTED_VALUE"""),"No")</f>
        <v>No</v>
      </c>
      <c r="AI323" s="8" t="str">
        <f ca="1">IFERROR(__xludf.DUMMYFUNCTION("""COMPUTED_VALUE"""),"No")</f>
        <v>No</v>
      </c>
      <c r="AJ323" s="8" t="str">
        <f ca="1">IFERROR(__xludf.DUMMYFUNCTION("""COMPUTED_VALUE"""),"No")</f>
        <v>No</v>
      </c>
      <c r="AK323" s="8" t="str">
        <f ca="1">IFERROR(__xludf.DUMMYFUNCTION("""COMPUTED_VALUE"""),"No")</f>
        <v>No</v>
      </c>
      <c r="AL323" s="8" t="str">
        <f ca="1">IFERROR(__xludf.DUMMYFUNCTION("""COMPUTED_VALUE"""),"No")</f>
        <v>No</v>
      </c>
      <c r="AM323" s="8" t="str">
        <f ca="1">IFERROR(__xludf.DUMMYFUNCTION("""COMPUTED_VALUE"""),"Yes")</f>
        <v>Yes</v>
      </c>
      <c r="AN323" s="8" t="str">
        <f ca="1">IFERROR(__xludf.DUMMYFUNCTION("""COMPUTED_VALUE"""),"Hallway")</f>
        <v>Hallway</v>
      </c>
      <c r="AO323" s="8" t="str">
        <f ca="1">IFERROR(__xludf.DUMMYFUNCTION("""COMPUTED_VALUE"""),"Yes")</f>
        <v>Yes</v>
      </c>
      <c r="AP323" s="8" t="str">
        <f ca="1">IFERROR(__xludf.DUMMYFUNCTION("""COMPUTED_VALUE"""),"Yes")</f>
        <v>Yes</v>
      </c>
      <c r="AQ323" s="8"/>
      <c r="AR323" s="8" t="str">
        <f ca="1">IFERROR(__xludf.DUMMYFUNCTION("""COMPUTED_VALUE"""),"Failed")</f>
        <v>Failed</v>
      </c>
      <c r="AS323" s="8">
        <f ca="1">IFERROR(__xludf.DUMMYFUNCTION("""COMPUTED_VALUE"""),99)</f>
        <v>99</v>
      </c>
      <c r="AT323" s="8" t="str">
        <f ca="1">IFERROR(__xludf.DUMMYFUNCTION("""COMPUTED_VALUE"""),"Yes")</f>
        <v>Yes</v>
      </c>
      <c r="AU323" s="8">
        <f ca="1">IFERROR(__xludf.DUMMYFUNCTION("""COMPUTED_VALUE"""),31.236058)</f>
        <v>31.236058</v>
      </c>
      <c r="AV323" s="8">
        <f ca="1">IFERROR(__xludf.DUMMYFUNCTION("""COMPUTED_VALUE"""),-89.867167)</f>
        <v>-89.867166999999995</v>
      </c>
      <c r="AW323" s="8" t="str">
        <f ca="1">IFERROR(__xludf.DUMMYFUNCTION("""COMPUTED_VALUE"""),"Multiple attached buildings")</f>
        <v>Multiple attached buildings</v>
      </c>
      <c r="AX323" s="8">
        <f ca="1">IFERROR(__xludf.DUMMYFUNCTION("""COMPUTED_VALUE"""),39483)</f>
        <v>39483</v>
      </c>
    </row>
    <row r="324" spans="1:50" ht="300" x14ac:dyDescent="0.2">
      <c r="A324" s="8" t="str">
        <f ca="1">IFERROR(__xludf.DUMMYFUNCTION("""COMPUTED_VALUE"""),"20240725SCJDA")</f>
        <v>20240725SCJDA</v>
      </c>
      <c r="B324" s="8">
        <f ca="1">IFERROR(__xludf.DUMMYFUNCTION("""COMPUTED_VALUE"""),7)</f>
        <v>7</v>
      </c>
      <c r="C324" s="8">
        <f ca="1">IFERROR(__xludf.DUMMYFUNCTION("""COMPUTED_VALUE"""),25)</f>
        <v>25</v>
      </c>
      <c r="D324" s="8">
        <f ca="1">IFERROR(__xludf.DUMMYFUNCTION("""COMPUTED_VALUE"""),2024)</f>
        <v>2024</v>
      </c>
      <c r="E324" s="9">
        <f ca="1">IFERROR(__xludf.DUMMYFUNCTION("""COMPUTED_VALUE"""),45498)</f>
        <v>45498</v>
      </c>
      <c r="F324" s="8" t="str">
        <f ca="1">IFERROR(__xludf.DUMMYFUNCTION("""COMPUTED_VALUE"""),"J.D. Lever Elementary School")</f>
        <v>J.D. Lever Elementary School</v>
      </c>
      <c r="G324" s="8">
        <f ca="1">IFERROR(__xludf.DUMMYFUNCTION("""COMPUTED_VALUE"""),0)</f>
        <v>0</v>
      </c>
      <c r="H324" s="8">
        <f ca="1">IFERROR(__xludf.DUMMYFUNCTION("""COMPUTED_VALUE"""),1)</f>
        <v>1</v>
      </c>
      <c r="I324" s="8">
        <f ca="1">IFERROR(__xludf.DUMMYFUNCTION("""COMPUTED_VALUE"""),1)</f>
        <v>1</v>
      </c>
      <c r="J324" s="8">
        <f ca="1">IFERROR(__xludf.DUMMYFUNCTION("""COMPUTED_VALUE"""),0)</f>
        <v>0</v>
      </c>
      <c r="K324" s="10" t="str">
        <f ca="1">IFERROR(__xludf.DUMMYFUNCTION("""COMPUTED_VALUE"""),"https://theaugustapress.com/man-strips-fights-with-deputies-near-aiken-school-results-in-shooting-and-officer-injury/
https://www.wjbf.com/news/crime-news/deputies-on-scene-for-gunshot-wound-victim-in-aiken-county/
https://www.postandcourier.com/aikenstan"&amp;"dard/news/crime/shooting-sheriff-office-aiken-county-elementary-school/article_1a4fb0c6-4abb-11ef-8176-7f8d01e65cfb.html")</f>
        <v>https://theaugustapress.com/man-strips-fights-with-deputies-near-aiken-school-results-in-shooting-and-officer-injury/
https://www.wjbf.com/news/crime-news/deputies-on-scene-for-gunshot-wound-victim-in-aiken-county/
https://www.postandcourier.com/aikenstandard/news/crime/shooting-sheriff-office-aiken-county-elementary-school/article_1a4fb0c6-4abb-11ef-8176-7f8d01e65cfb.html</v>
      </c>
      <c r="L324" s="8">
        <f ca="1">IFERROR(__xludf.DUMMYFUNCTION("""COMPUTED_VALUE"""),10)</f>
        <v>10</v>
      </c>
      <c r="M324" s="8" t="str">
        <f ca="1">IFERROR(__xludf.DUMMYFUNCTION("""COMPUTED_VALUE"""),"Local")</f>
        <v>Local</v>
      </c>
      <c r="N324" s="8">
        <f ca="1">IFERROR(__xludf.DUMMYFUNCTION("""COMPUTED_VALUE"""),4)</f>
        <v>4</v>
      </c>
      <c r="O324" s="8" t="str">
        <f ca="1">IFERROR(__xludf.DUMMYFUNCTION("""COMPUTED_VALUE"""),"Summer")</f>
        <v>Summer</v>
      </c>
      <c r="P324" s="8" t="str">
        <f ca="1">IFERROR(__xludf.DUMMYFUNCTION("""COMPUTED_VALUE"""),"Aiken")</f>
        <v>Aiken</v>
      </c>
      <c r="Q324" s="8" t="str">
        <f ca="1">IFERROR(__xludf.DUMMYFUNCTION("""COMPUTED_VALUE"""),"SC")</f>
        <v>SC</v>
      </c>
      <c r="R324" s="8" t="str">
        <f ca="1">IFERROR(__xludf.DUMMYFUNCTION("""COMPUTED_VALUE"""),"Elementary")</f>
        <v>Elementary</v>
      </c>
      <c r="S324" s="8" t="str">
        <f ca="1">IFERROR(__xludf.DUMMYFUNCTION("""COMPUTED_VALUE"""),"Parking Lot")</f>
        <v>Parking Lot</v>
      </c>
      <c r="T324" s="8" t="str">
        <f ca="1">IFERROR(__xludf.DUMMYFUNCTION("""COMPUTED_VALUE"""),"Outside on School Property")</f>
        <v>Outside on School Property</v>
      </c>
      <c r="U324" s="8" t="str">
        <f ca="1">IFERROR(__xludf.DUMMYFUNCTION("""COMPUTED_VALUE"""),"Yes")</f>
        <v>Yes</v>
      </c>
      <c r="V324" s="8" t="str">
        <f ca="1">IFERROR(__xludf.DUMMYFUNCTION("""COMPUTED_VALUE"""),"Afternoon Classes")</f>
        <v>Afternoon Classes</v>
      </c>
      <c r="W324" s="11">
        <f ca="1">IFERROR(__xludf.DUMMYFUNCTION("""COMPUTED_VALUE"""),0.586805555555555)</f>
        <v>0.58680555555555503</v>
      </c>
      <c r="X324" s="8">
        <f ca="1">IFERROR(__xludf.DUMMYFUNCTION("""COMPUTED_VALUE"""),1)</f>
        <v>1</v>
      </c>
      <c r="Y324" s="12" t="str">
        <f ca="1">IFERROR(__xludf.DUMMYFUNCTION("""COMPUTED_VALUE"""),"Police shot a man who was removing his clothing during a fight with officers outside the school")</f>
        <v>Police shot a man who was removing his clothing during a fight with officers outside the school</v>
      </c>
      <c r="Z324" s="12" t="str">
        <f ca="1">IFERROR(__xludf.DUMMYFUNCTION("""COMPUTED_VALUE"""),"Aiken County deputies confronted an unstable man stripping his clothes Thursday afternoon near J.D. Lever Elementary School, causing a physical battle that resulted in the suspect being shot and injuries to an officer. No one at the Aiken school was harme"&amp;"d, but the building was placed on lockdown before deputies oversaw the safe release to parents and school buses, sheriff’s Capt. Eric Abdullah said. A large police presence helped with the investigation and security at the school. The incident began aroun"&amp;"d 2 p.m. Thursday when they got a report of a suspect acting erratically on Columbia Highway North near Beaver Dam Road. Deputies found the man on a driveway beside J.D. Lever Elementary School, where he was taking off his clothes. During the interaction "&amp;"between the man and two deputies, the suspect began fighting in a long back-and-forth battle. “At one point, one of the deputies was knocked to the ground and injured and the suspect was shot,” Capt. Abdullah said. The suspect was taken by Aiken County EM"&amp;"S to the hospital while another officer transported the injured male deputy to the the hospital for treatment.")</f>
        <v>Aiken County deputies confronted an unstable man stripping his clothes Thursday afternoon near J.D. Lever Elementary School, causing a physical battle that resulted in the suspect being shot and injuries to an officer. No one at the Aiken school was harmed, but the building was placed on lockdown before deputies oversaw the safe release to parents and school buses, sheriff’s Capt. Eric Abdullah said. A large police presence helped with the investigation and security at the school. The incident began around 2 p.m. Thursday when they got a report of a suspect acting erratically on Columbia Highway North near Beaver Dam Road. Deputies found the man on a driveway beside J.D. Lever Elementary School, where he was taking off his clothes. During the interaction between the man and two deputies, the suspect began fighting in a long back-and-forth battle. “At one point, one of the deputies was knocked to the ground and injured and the suspect was shot,” Capt. Abdullah said. The suspect was taken by Aiken County EMS to the hospital while another officer transported the injured male deputy to the the hospital for treatment.</v>
      </c>
      <c r="AA324" s="8" t="str">
        <f ca="1">IFERROR(__xludf.DUMMYFUNCTION("""COMPUTED_VALUE"""),"Officer-Involved Shooting")</f>
        <v>Officer-Involved Shooting</v>
      </c>
      <c r="AB324" s="8"/>
      <c r="AC324" s="8" t="str">
        <f ca="1">IFERROR(__xludf.DUMMYFUNCTION("""COMPUTED_VALUE"""),"Yes")</f>
        <v>Yes</v>
      </c>
      <c r="AD324" s="8" t="str">
        <f ca="1">IFERROR(__xludf.DUMMYFUNCTION("""COMPUTED_VALUE"""),"Victims Targeted")</f>
        <v>Victims Targeted</v>
      </c>
      <c r="AE324" s="8" t="str">
        <f ca="1">IFERROR(__xludf.DUMMYFUNCTION("""COMPUTED_VALUE"""),"No")</f>
        <v>No</v>
      </c>
      <c r="AF324" s="8"/>
      <c r="AG324" s="8" t="str">
        <f ca="1">IFERROR(__xludf.DUMMYFUNCTION("""COMPUTED_VALUE"""),"No")</f>
        <v>No</v>
      </c>
      <c r="AH324" s="8" t="str">
        <f ca="1">IFERROR(__xludf.DUMMYFUNCTION("""COMPUTED_VALUE"""),"No")</f>
        <v>No</v>
      </c>
      <c r="AI324" s="8" t="str">
        <f ca="1">IFERROR(__xludf.DUMMYFUNCTION("""COMPUTED_VALUE"""),"Yes")</f>
        <v>Yes</v>
      </c>
      <c r="AJ324" s="8" t="str">
        <f ca="1">IFERROR(__xludf.DUMMYFUNCTION("""COMPUTED_VALUE"""),"No")</f>
        <v>No</v>
      </c>
      <c r="AK324" s="8" t="str">
        <f ca="1">IFERROR(__xludf.DUMMYFUNCTION("""COMPUTED_VALUE"""),"No")</f>
        <v>No</v>
      </c>
      <c r="AL324" s="8" t="str">
        <f ca="1">IFERROR(__xludf.DUMMYFUNCTION("""COMPUTED_VALUE"""),"No")</f>
        <v>No</v>
      </c>
      <c r="AM324" s="8" t="str">
        <f ca="1">IFERROR(__xludf.DUMMYFUNCTION("""COMPUTED_VALUE"""),"No")</f>
        <v>No</v>
      </c>
      <c r="AN324" s="8" t="str">
        <f ca="1">IFERROR(__xludf.DUMMYFUNCTION("""COMPUTED_VALUE"""),"Outside")</f>
        <v>Outside</v>
      </c>
      <c r="AO324" s="8" t="str">
        <f ca="1">IFERROR(__xludf.DUMMYFUNCTION("""COMPUTED_VALUE"""),"No")</f>
        <v>No</v>
      </c>
      <c r="AP324" s="8"/>
      <c r="AQ324" s="8"/>
      <c r="AR324" s="8" t="str">
        <f ca="1">IFERROR(__xludf.DUMMYFUNCTION("""COMPUTED_VALUE"""),"Outside/Off-Property")</f>
        <v>Outside/Off-Property</v>
      </c>
      <c r="AS324" s="8">
        <f ca="1">IFERROR(__xludf.DUMMYFUNCTION("""COMPUTED_VALUE"""),99)</f>
        <v>99</v>
      </c>
      <c r="AT324" s="8" t="str">
        <f ca="1">IFERROR(__xludf.DUMMYFUNCTION("""COMPUTED_VALUE"""),"Yes")</f>
        <v>Yes</v>
      </c>
      <c r="AU324" s="8">
        <f ca="1">IFERROR(__xludf.DUMMYFUNCTION("""COMPUTED_VALUE"""),33.6458)</f>
        <v>33.645800000000001</v>
      </c>
      <c r="AV324" s="8">
        <f ca="1">IFERROR(__xludf.DUMMYFUNCTION("""COMPUTED_VALUE"""),-81.675344)</f>
        <v>-81.675343999999996</v>
      </c>
      <c r="AW324" s="8" t="str">
        <f ca="1">IFERROR(__xludf.DUMMYFUNCTION("""COMPUTED_VALUE"""),"Multiple detached buildings")</f>
        <v>Multiple detached buildings</v>
      </c>
      <c r="AX324" s="8">
        <f ca="1">IFERROR(__xludf.DUMMYFUNCTION("""COMPUTED_VALUE"""),29802)</f>
        <v>29802</v>
      </c>
    </row>
    <row r="325" spans="1:50" ht="30" x14ac:dyDescent="0.2">
      <c r="A325" s="8" t="str">
        <f ca="1">IFERROR(__xludf.DUMMYFUNCTION("""COMPUTED_VALUE"""),"20240721TXGWH")</f>
        <v>20240721TXGWH</v>
      </c>
      <c r="B325" s="8">
        <f ca="1">IFERROR(__xludf.DUMMYFUNCTION("""COMPUTED_VALUE"""),7)</f>
        <v>7</v>
      </c>
      <c r="C325" s="8">
        <f ca="1">IFERROR(__xludf.DUMMYFUNCTION("""COMPUTED_VALUE"""),21)</f>
        <v>21</v>
      </c>
      <c r="D325" s="8">
        <f ca="1">IFERROR(__xludf.DUMMYFUNCTION("""COMPUTED_VALUE"""),2024)</f>
        <v>2024</v>
      </c>
      <c r="E325" s="9">
        <f ca="1">IFERROR(__xludf.DUMMYFUNCTION("""COMPUTED_VALUE"""),45494)</f>
        <v>45494</v>
      </c>
      <c r="F325" s="8" t="str">
        <f ca="1">IFERROR(__xludf.DUMMYFUNCTION("""COMPUTED_VALUE"""),"G. W. Carver High School")</f>
        <v>G. W. Carver High School</v>
      </c>
      <c r="G325" s="8">
        <f ca="1">IFERROR(__xludf.DUMMYFUNCTION("""COMPUTED_VALUE"""),0)</f>
        <v>0</v>
      </c>
      <c r="H325" s="8">
        <f ca="1">IFERROR(__xludf.DUMMYFUNCTION("""COMPUTED_VALUE"""),1)</f>
        <v>1</v>
      </c>
      <c r="I325" s="8">
        <f ca="1">IFERROR(__xludf.DUMMYFUNCTION("""COMPUTED_VALUE"""),1)</f>
        <v>1</v>
      </c>
      <c r="J325" s="8">
        <f ca="1">IFERROR(__xludf.DUMMYFUNCTION("""COMPUTED_VALUE"""),0)</f>
        <v>0</v>
      </c>
      <c r="K325" s="10" t="str">
        <f ca="1">IFERROR(__xludf.DUMMYFUNCTION("""COMPUTED_VALUE"""),"https://www.fox26houston.com/news/houston-shooting-woman-car-outside-high-school-carver")</f>
        <v>https://www.fox26houston.com/news/houston-shooting-woman-car-outside-high-school-carver</v>
      </c>
      <c r="L325" s="8">
        <f ca="1">IFERROR(__xludf.DUMMYFUNCTION("""COMPUTED_VALUE"""),2)</f>
        <v>2</v>
      </c>
      <c r="M325" s="8" t="str">
        <f ca="1">IFERROR(__xludf.DUMMYFUNCTION("""COMPUTED_VALUE"""),"Local")</f>
        <v>Local</v>
      </c>
      <c r="N325" s="8">
        <f ca="1">IFERROR(__xludf.DUMMYFUNCTION("""COMPUTED_VALUE"""),3)</f>
        <v>3</v>
      </c>
      <c r="O325" s="8" t="str">
        <f ca="1">IFERROR(__xludf.DUMMYFUNCTION("""COMPUTED_VALUE"""),"Summer")</f>
        <v>Summer</v>
      </c>
      <c r="P325" s="8" t="str">
        <f ca="1">IFERROR(__xludf.DUMMYFUNCTION("""COMPUTED_VALUE"""),"Houston")</f>
        <v>Houston</v>
      </c>
      <c r="Q325" s="8" t="str">
        <f ca="1">IFERROR(__xludf.DUMMYFUNCTION("""COMPUTED_VALUE"""),"TX")</f>
        <v>TX</v>
      </c>
      <c r="R325" s="8" t="str">
        <f ca="1">IFERROR(__xludf.DUMMYFUNCTION("""COMPUTED_VALUE"""),"High")</f>
        <v>High</v>
      </c>
      <c r="S325" s="8" t="str">
        <f ca="1">IFERROR(__xludf.DUMMYFUNCTION("""COMPUTED_VALUE"""),"Parking Lot")</f>
        <v>Parking Lot</v>
      </c>
      <c r="T325" s="8" t="str">
        <f ca="1">IFERROR(__xludf.DUMMYFUNCTION("""COMPUTED_VALUE"""),"Outside on School Property")</f>
        <v>Outside on School Property</v>
      </c>
      <c r="U325" s="8" t="str">
        <f ca="1">IFERROR(__xludf.DUMMYFUNCTION("""COMPUTED_VALUE"""),"No")</f>
        <v>No</v>
      </c>
      <c r="V325" s="8" t="str">
        <f ca="1">IFERROR(__xludf.DUMMYFUNCTION("""COMPUTED_VALUE"""),"Night")</f>
        <v>Night</v>
      </c>
      <c r="W325" s="11">
        <f ca="1">IFERROR(__xludf.DUMMYFUNCTION("""COMPUTED_VALUE"""),0.9375)</f>
        <v>0.9375</v>
      </c>
      <c r="X325" s="8">
        <f ca="1">IFERROR(__xludf.DUMMYFUNCTION("""COMPUTED_VALUE"""),1)</f>
        <v>1</v>
      </c>
      <c r="Y325" s="12" t="str">
        <f ca="1">IFERROR(__xludf.DUMMYFUNCTION("""COMPUTED_VALUE"""),"Woman found shot in school parking lot")</f>
        <v>Woman found shot in school parking lot</v>
      </c>
      <c r="Z325" s="12" t="str">
        <f ca="1">IFERROR(__xludf.DUMMYFUNCTION("""COMPUTED_VALUE"""),"Woman found shot in the school parking lot. Shooter fled before police arrived.")</f>
        <v>Woman found shot in the school parking lot. Shooter fled before police arrived.</v>
      </c>
      <c r="AA325" s="8"/>
      <c r="AB325" s="8"/>
      <c r="AC325" s="8" t="str">
        <f ca="1">IFERROR(__xludf.DUMMYFUNCTION("""COMPUTED_VALUE"""),"No")</f>
        <v>No</v>
      </c>
      <c r="AD325" s="8"/>
      <c r="AE325" s="8"/>
      <c r="AF325" s="8"/>
      <c r="AG325" s="8" t="str">
        <f ca="1">IFERROR(__xludf.DUMMYFUNCTION("""COMPUTED_VALUE"""),"No")</f>
        <v>No</v>
      </c>
      <c r="AH325" s="8" t="str">
        <f ca="1">IFERROR(__xludf.DUMMYFUNCTION("""COMPUTED_VALUE"""),"No")</f>
        <v>No</v>
      </c>
      <c r="AI325" s="8" t="str">
        <f ca="1">IFERROR(__xludf.DUMMYFUNCTION("""COMPUTED_VALUE"""),"No")</f>
        <v>No</v>
      </c>
      <c r="AJ325" s="8" t="str">
        <f ca="1">IFERROR(__xludf.DUMMYFUNCTION("""COMPUTED_VALUE"""),"No")</f>
        <v>No</v>
      </c>
      <c r="AK325" s="8"/>
      <c r="AL325" s="8"/>
      <c r="AM325" s="8" t="str">
        <f ca="1">IFERROR(__xludf.DUMMYFUNCTION("""COMPUTED_VALUE"""),"No")</f>
        <v>No</v>
      </c>
      <c r="AN325" s="8" t="str">
        <f ca="1">IFERROR(__xludf.DUMMYFUNCTION("""COMPUTED_VALUE"""),"Outside")</f>
        <v>Outside</v>
      </c>
      <c r="AO325" s="8" t="str">
        <f ca="1">IFERROR(__xludf.DUMMYFUNCTION("""COMPUTED_VALUE"""),"No")</f>
        <v>No</v>
      </c>
      <c r="AP325" s="8"/>
      <c r="AQ325" s="8"/>
      <c r="AR325" s="8" t="str">
        <f ca="1">IFERROR(__xludf.DUMMYFUNCTION("""COMPUTED_VALUE"""),"Outside/Off-Property")</f>
        <v>Outside/Off-Property</v>
      </c>
      <c r="AS325" s="8">
        <f ca="1">IFERROR(__xludf.DUMMYFUNCTION("""COMPUTED_VALUE"""),99)</f>
        <v>99</v>
      </c>
      <c r="AT325" s="8" t="str">
        <f ca="1">IFERROR(__xludf.DUMMYFUNCTION("""COMPUTED_VALUE"""),"No")</f>
        <v>No</v>
      </c>
      <c r="AU325" s="8">
        <f ca="1">IFERROR(__xludf.DUMMYFUNCTION("""COMPUTED_VALUE"""),29.870977)</f>
        <v>29.870977</v>
      </c>
      <c r="AV325" s="8">
        <f ca="1">IFERROR(__xludf.DUMMYFUNCTION("""COMPUTED_VALUE"""),-95.444762)</f>
        <v>-95.444761999999997</v>
      </c>
      <c r="AW325" s="8" t="str">
        <f ca="1">IFERROR(__xludf.DUMMYFUNCTION("""COMPUTED_VALUE"""),"Multiple detached buildings")</f>
        <v>Multiple detached buildings</v>
      </c>
      <c r="AX325" s="8">
        <f ca="1">IFERROR(__xludf.DUMMYFUNCTION("""COMPUTED_VALUE"""),77088)</f>
        <v>77088</v>
      </c>
    </row>
    <row r="326" spans="1:50" ht="285" x14ac:dyDescent="0.2">
      <c r="A326" s="8" t="str">
        <f ca="1">IFERROR(__xludf.DUMMYFUNCTION("""COMPUTED_VALUE"""),"20240718WATAT")</f>
        <v>20240718WATAT</v>
      </c>
      <c r="B326" s="8">
        <f ca="1">IFERROR(__xludf.DUMMYFUNCTION("""COMPUTED_VALUE"""),7)</f>
        <v>7</v>
      </c>
      <c r="C326" s="8">
        <f ca="1">IFERROR(__xludf.DUMMYFUNCTION("""COMPUTED_VALUE"""),18)</f>
        <v>18</v>
      </c>
      <c r="D326" s="8">
        <f ca="1">IFERROR(__xludf.DUMMYFUNCTION("""COMPUTED_VALUE"""),2024)</f>
        <v>2024</v>
      </c>
      <c r="E326" s="9">
        <f ca="1">IFERROR(__xludf.DUMMYFUNCTION("""COMPUTED_VALUE"""),45491)</f>
        <v>45491</v>
      </c>
      <c r="F326" s="8" t="str">
        <f ca="1">IFERROR(__xludf.DUMMYFUNCTION("""COMPUTED_VALUE"""),"Tacoma Public Schools Headquarters")</f>
        <v>Tacoma Public Schools Headquarters</v>
      </c>
      <c r="G326" s="8">
        <f ca="1">IFERROR(__xludf.DUMMYFUNCTION("""COMPUTED_VALUE"""),0)</f>
        <v>0</v>
      </c>
      <c r="H326" s="8">
        <f ca="1">IFERROR(__xludf.DUMMYFUNCTION("""COMPUTED_VALUE"""),0)</f>
        <v>0</v>
      </c>
      <c r="I326" s="8">
        <f ca="1">IFERROR(__xludf.DUMMYFUNCTION("""COMPUTED_VALUE"""),0)</f>
        <v>0</v>
      </c>
      <c r="J326" s="8">
        <f ca="1">IFERROR(__xludf.DUMMYFUNCTION("""COMPUTED_VALUE"""),0)</f>
        <v>0</v>
      </c>
      <c r="K326" s="10" t="str">
        <f ca="1">IFERROR(__xludf.DUMMYFUNCTION("""COMPUTED_VALUE"""),"https://www.thenewstribune.com/news/local/crime/article297080979.html
https://archive.is/IV0na#selection-917.0-921.147")</f>
        <v>https://www.thenewstribune.com/news/local/crime/article297080979.html
https://archive.is/IV0na#selection-917.0-921.147</v>
      </c>
      <c r="L326" s="8">
        <f ca="1">IFERROR(__xludf.DUMMYFUNCTION("""COMPUTED_VALUE"""),4)</f>
        <v>4</v>
      </c>
      <c r="M326" s="8" t="str">
        <f ca="1">IFERROR(__xludf.DUMMYFUNCTION("""COMPUTED_VALUE"""),"Local")</f>
        <v>Local</v>
      </c>
      <c r="N326" s="8">
        <f ca="1">IFERROR(__xludf.DUMMYFUNCTION("""COMPUTED_VALUE"""),4)</f>
        <v>4</v>
      </c>
      <c r="O326" s="8" t="str">
        <f ca="1">IFERROR(__xludf.DUMMYFUNCTION("""COMPUTED_VALUE"""),"Summer")</f>
        <v>Summer</v>
      </c>
      <c r="P326" s="8" t="str">
        <f ca="1">IFERROR(__xludf.DUMMYFUNCTION("""COMPUTED_VALUE"""),"Tacoma")</f>
        <v>Tacoma</v>
      </c>
      <c r="Q326" s="8" t="str">
        <f ca="1">IFERROR(__xludf.DUMMYFUNCTION("""COMPUTED_VALUE"""),"WA")</f>
        <v>WA</v>
      </c>
      <c r="R326" s="8" t="str">
        <f ca="1">IFERROR(__xludf.DUMMYFUNCTION("""COMPUTED_VALUE"""),"Other")</f>
        <v>Other</v>
      </c>
      <c r="S326" s="8" t="str">
        <f ca="1">IFERROR(__xludf.DUMMYFUNCTION("""COMPUTED_VALUE"""),"Parking Lot")</f>
        <v>Parking Lot</v>
      </c>
      <c r="T326" s="8" t="str">
        <f ca="1">IFERROR(__xludf.DUMMYFUNCTION("""COMPUTED_VALUE"""),"Outside on School Property")</f>
        <v>Outside on School Property</v>
      </c>
      <c r="U326" s="8" t="str">
        <f ca="1">IFERROR(__xludf.DUMMYFUNCTION("""COMPUTED_VALUE"""),"No")</f>
        <v>No</v>
      </c>
      <c r="V326" s="8" t="str">
        <f ca="1">IFERROR(__xludf.DUMMYFUNCTION("""COMPUTED_VALUE"""),"Not a School Day")</f>
        <v>Not a School Day</v>
      </c>
      <c r="W326" s="11">
        <f ca="1">IFERROR(__xludf.DUMMYFUNCTION("""COMPUTED_VALUE"""),0.575)</f>
        <v>0.57499999999999996</v>
      </c>
      <c r="X326" s="8">
        <f ca="1">IFERROR(__xludf.DUMMYFUNCTION("""COMPUTED_VALUE"""),1)</f>
        <v>1</v>
      </c>
      <c r="Y326" s="12" t="str">
        <f ca="1">IFERROR(__xludf.DUMMYFUNCTION("""COMPUTED_VALUE"""),"Man fired shot a school police officer in the school district office parking lot")</f>
        <v>Man fired shot a school police officer in the school district office parking lot</v>
      </c>
      <c r="Z326" s="12" t="str">
        <f ca="1">IFERROR(__xludf.DUMMYFUNCTION("""COMPUTED_VALUE"""),"That’s when the suspect exited the passenger side of the SUV, armed with a handgun. He walked to the rear of the patrol car, raised the pistol and fired into the vehicle as the officer sped away, Tacoma Police spokesperson Detective William Muse said. The"&amp;" shot narrowly missed the School Patrol Officer,” Tacoma Police said in a statement. After the shooting, the suspect fled the scene in the SUV. “It is believed that the motive behind the shooting was due to the School Patrol Officer prohibiting an illegal"&amp;" narcotics transaction between the occupants of the vehicle and people loitering on school property,” the release said. Prosecutors gave these additional details about the shooting in charging documents: Tacoma Police Department officers responded to 600 "&amp;"South 8th St. at about 1:48 p.m. on July 18. The patrol officer said he drove his marked patrol vehicle into the western parking lot of the school administration building after speaking with three people in the southern stairwell of the school administrat"&amp;"ion building about their narcotics activity.")</f>
        <v>That’s when the suspect exited the passenger side of the SUV, armed with a handgun. He walked to the rear of the patrol car, raised the pistol and fired into the vehicle as the officer sped away, Tacoma Police spokesperson Detective William Muse said. The shot narrowly missed the School Patrol Officer,” Tacoma Police said in a statement. After the shooting, the suspect fled the scene in the SUV. “It is believed that the motive behind the shooting was due to the School Patrol Officer prohibiting an illegal narcotics transaction between the occupants of the vehicle and people loitering on school property,” the release said. Prosecutors gave these additional details about the shooting in charging documents: Tacoma Police Department officers responded to 600 South 8th St. at about 1:48 p.m. on July 18. The patrol officer said he drove his marked patrol vehicle into the western parking lot of the school administration building after speaking with three people in the southern stairwell of the school administration building about their narcotics activity.</v>
      </c>
      <c r="AA326" s="8" t="str">
        <f ca="1">IFERROR(__xludf.DUMMYFUNCTION("""COMPUTED_VALUE"""),"Illegal Activity")</f>
        <v>Illegal Activity</v>
      </c>
      <c r="AB326" s="8" t="str">
        <f ca="1">IFERROR(__xludf.DUMMYFUNCTION("""COMPUTED_VALUE"""),"Targeted")</f>
        <v>Targeted</v>
      </c>
      <c r="AC326" s="8" t="str">
        <f ca="1">IFERROR(__xludf.DUMMYFUNCTION("""COMPUTED_VALUE"""),"Yes")</f>
        <v>Yes</v>
      </c>
      <c r="AD326" s="8" t="str">
        <f ca="1">IFERROR(__xludf.DUMMYFUNCTION("""COMPUTED_VALUE"""),"Victims Targeted")</f>
        <v>Victims Targeted</v>
      </c>
      <c r="AE326" s="8" t="str">
        <f ca="1">IFERROR(__xludf.DUMMYFUNCTION("""COMPUTED_VALUE"""),"Yes")</f>
        <v>Yes</v>
      </c>
      <c r="AF326" s="8" t="str">
        <f ca="1">IFERROR(__xludf.DUMMYFUNCTION("""COMPUTED_VALUE"""),"Driver and shooter")</f>
        <v>Driver and shooter</v>
      </c>
      <c r="AG326" s="8" t="str">
        <f ca="1">IFERROR(__xludf.DUMMYFUNCTION("""COMPUTED_VALUE"""),"No")</f>
        <v>No</v>
      </c>
      <c r="AH326" s="8" t="str">
        <f ca="1">IFERROR(__xludf.DUMMYFUNCTION("""COMPUTED_VALUE"""),"No")</f>
        <v>No</v>
      </c>
      <c r="AI326" s="8" t="str">
        <f ca="1">IFERROR(__xludf.DUMMYFUNCTION("""COMPUTED_VALUE"""),"No")</f>
        <v>No</v>
      </c>
      <c r="AJ326" s="8" t="str">
        <f ca="1">IFERROR(__xludf.DUMMYFUNCTION("""COMPUTED_VALUE"""),"No")</f>
        <v>No</v>
      </c>
      <c r="AK326" s="8" t="str">
        <f ca="1">IFERROR(__xludf.DUMMYFUNCTION("""COMPUTED_VALUE"""),"No")</f>
        <v>No</v>
      </c>
      <c r="AL326" s="8" t="str">
        <f ca="1">IFERROR(__xludf.DUMMYFUNCTION("""COMPUTED_VALUE"""),"No")</f>
        <v>No</v>
      </c>
      <c r="AM326" s="8" t="str">
        <f ca="1">IFERROR(__xludf.DUMMYFUNCTION("""COMPUTED_VALUE"""),"No")</f>
        <v>No</v>
      </c>
      <c r="AN326" s="8" t="str">
        <f ca="1">IFERROR(__xludf.DUMMYFUNCTION("""COMPUTED_VALUE"""),"Outside")</f>
        <v>Outside</v>
      </c>
      <c r="AO326" s="8" t="str">
        <f ca="1">IFERROR(__xludf.DUMMYFUNCTION("""COMPUTED_VALUE"""),"No")</f>
        <v>No</v>
      </c>
      <c r="AP326" s="8"/>
      <c r="AQ326" s="8"/>
      <c r="AR326" s="8" t="str">
        <f ca="1">IFERROR(__xludf.DUMMYFUNCTION("""COMPUTED_VALUE"""),"Outside/Off-Property")</f>
        <v>Outside/Off-Property</v>
      </c>
      <c r="AS326" s="8">
        <f ca="1">IFERROR(__xludf.DUMMYFUNCTION("""COMPUTED_VALUE"""),1)</f>
        <v>1</v>
      </c>
      <c r="AT326" s="8" t="str">
        <f ca="1">IFERROR(__xludf.DUMMYFUNCTION("""COMPUTED_VALUE"""),"No")</f>
        <v>No</v>
      </c>
      <c r="AU326" s="8">
        <f ca="1">IFERROR(__xludf.DUMMYFUNCTION("""COMPUTED_VALUE"""),47.219299)</f>
        <v>47.219298999999999</v>
      </c>
      <c r="AV326" s="8">
        <f ca="1">IFERROR(__xludf.DUMMYFUNCTION("""COMPUTED_VALUE"""),-122.476431)</f>
        <v>-122.47643100000001</v>
      </c>
      <c r="AW326" s="8"/>
      <c r="AX326" s="8">
        <f ca="1">IFERROR(__xludf.DUMMYFUNCTION("""COMPUTED_VALUE"""),98409)</f>
        <v>98409</v>
      </c>
    </row>
    <row r="327" spans="1:50" ht="150" x14ac:dyDescent="0.2">
      <c r="A327" s="8" t="str">
        <f ca="1">IFERROR(__xludf.DUMMYFUNCTION("""COMPUTED_VALUE"""),"20240717PAEDP")</f>
        <v>20240717PAEDP</v>
      </c>
      <c r="B327" s="8">
        <f ca="1">IFERROR(__xludf.DUMMYFUNCTION("""COMPUTED_VALUE"""),7)</f>
        <v>7</v>
      </c>
      <c r="C327" s="8">
        <f ca="1">IFERROR(__xludf.DUMMYFUNCTION("""COMPUTED_VALUE"""),17)</f>
        <v>17</v>
      </c>
      <c r="D327" s="8">
        <f ca="1">IFERROR(__xludf.DUMMYFUNCTION("""COMPUTED_VALUE"""),2024)</f>
        <v>2024</v>
      </c>
      <c r="E327" s="9">
        <f ca="1">IFERROR(__xludf.DUMMYFUNCTION("""COMPUTED_VALUE"""),45490)</f>
        <v>45490</v>
      </c>
      <c r="F327" s="8" t="str">
        <f ca="1">IFERROR(__xludf.DUMMYFUNCTION("""COMPUTED_VALUE"""),"Edwin M. Stanton School")</f>
        <v>Edwin M. Stanton School</v>
      </c>
      <c r="G327" s="8">
        <f ca="1">IFERROR(__xludf.DUMMYFUNCTION("""COMPUTED_VALUE"""),0)</f>
        <v>0</v>
      </c>
      <c r="H327" s="8">
        <f ca="1">IFERROR(__xludf.DUMMYFUNCTION("""COMPUTED_VALUE"""),0)</f>
        <v>0</v>
      </c>
      <c r="I327" s="8">
        <f ca="1">IFERROR(__xludf.DUMMYFUNCTION("""COMPUTED_VALUE"""),0)</f>
        <v>0</v>
      </c>
      <c r="J327" s="8">
        <f ca="1">IFERROR(__xludf.DUMMYFUNCTION("""COMPUTED_VALUE"""),0)</f>
        <v>0</v>
      </c>
      <c r="K327" s="10" t="str">
        <f ca="1">IFERROR(__xludf.DUMMYFUNCTION("""COMPUTED_VALUE"""),"https://6abc.com/post/south-philadelphia-shooting-amazon-worker-christian-street/15065592/")</f>
        <v>https://6abc.com/post/south-philadelphia-shooting-amazon-worker-christian-street/15065592/</v>
      </c>
      <c r="L327" s="8">
        <f ca="1">IFERROR(__xludf.DUMMYFUNCTION("""COMPUTED_VALUE"""),10)</f>
        <v>10</v>
      </c>
      <c r="M327" s="8" t="str">
        <f ca="1">IFERROR(__xludf.DUMMYFUNCTION("""COMPUTED_VALUE"""),"Regional")</f>
        <v>Regional</v>
      </c>
      <c r="N327" s="8">
        <f ca="1">IFERROR(__xludf.DUMMYFUNCTION("""COMPUTED_VALUE"""),4)</f>
        <v>4</v>
      </c>
      <c r="O327" s="8" t="str">
        <f ca="1">IFERROR(__xludf.DUMMYFUNCTION("""COMPUTED_VALUE"""),"Summer")</f>
        <v>Summer</v>
      </c>
      <c r="P327" s="8" t="str">
        <f ca="1">IFERROR(__xludf.DUMMYFUNCTION("""COMPUTED_VALUE"""),"Philadelphia")</f>
        <v>Philadelphia</v>
      </c>
      <c r="Q327" s="8" t="str">
        <f ca="1">IFERROR(__xludf.DUMMYFUNCTION("""COMPUTED_VALUE"""),"PA")</f>
        <v>PA</v>
      </c>
      <c r="R327" s="8" t="str">
        <f ca="1">IFERROR(__xludf.DUMMYFUNCTION("""COMPUTED_VALUE"""),"K-8")</f>
        <v>K-8</v>
      </c>
      <c r="S327" s="8" t="str">
        <f ca="1">IFERROR(__xludf.DUMMYFUNCTION("""COMPUTED_VALUE"""),"Front of School")</f>
        <v>Front of School</v>
      </c>
      <c r="T327" s="8" t="str">
        <f ca="1">IFERROR(__xludf.DUMMYFUNCTION("""COMPUTED_VALUE"""),"School Bus")</f>
        <v>School Bus</v>
      </c>
      <c r="U327" s="8" t="str">
        <f ca="1">IFERROR(__xludf.DUMMYFUNCTION("""COMPUTED_VALUE"""),"Yes")</f>
        <v>Yes</v>
      </c>
      <c r="V327" s="8" t="str">
        <f ca="1">IFERROR(__xludf.DUMMYFUNCTION("""COMPUTED_VALUE"""),"Dismissal")</f>
        <v>Dismissal</v>
      </c>
      <c r="W327" s="11">
        <f ca="1">IFERROR(__xludf.DUMMYFUNCTION("""COMPUTED_VALUE"""),0.625)</f>
        <v>0.625</v>
      </c>
      <c r="X327" s="8">
        <f ca="1">IFERROR(__xludf.DUMMYFUNCTION("""COMPUTED_VALUE"""),1)</f>
        <v>1</v>
      </c>
      <c r="Y327" s="12" t="str">
        <f ca="1">IFERROR(__xludf.DUMMYFUNCTION("""COMPUTED_VALUE"""),"Amazon prime day delivery driver opened fire during a parking dispute with a school bus driver and school staff.")</f>
        <v>Amazon prime day delivery driver opened fire during a parking dispute with a school bus driver and school staff.</v>
      </c>
      <c r="Z327" s="12" t="str">
        <f ca="1">IFERROR(__xludf.DUMMYFUNCTION("""COMPUTED_VALUE"""),"This all started when police say a school bus driver was unable to make a turn due to a parked Amazon van. Officials tell Action News the aide on the bus got out and asked one of the delivery drivers to move. That's when an altercation ensued and at some "&amp;"point, shots were fired by the driver. Action News has learned that school staff tried to intervene, but the suspect still fired at least three shots. No injuries were reported. Police say the school bus was full of children transporting campers. The stud"&amp;"ents were able to take shelter inside the nearby Edwin M. Stanton School.")</f>
        <v>This all started when police say a school bus driver was unable to make a turn due to a parked Amazon van. Officials tell Action News the aide on the bus got out and asked one of the delivery drivers to move. That's when an altercation ensued and at some point, shots were fired by the driver. Action News has learned that school staff tried to intervene, but the suspect still fired at least three shots. No injuries were reported. Police say the school bus was full of children transporting campers. The students were able to take shelter inside the nearby Edwin M. Stanton School.</v>
      </c>
      <c r="AA327" s="8" t="str">
        <f ca="1">IFERROR(__xludf.DUMMYFUNCTION("""COMPUTED_VALUE"""),"Escalation of Dispute")</f>
        <v>Escalation of Dispute</v>
      </c>
      <c r="AB327" s="8" t="str">
        <f ca="1">IFERROR(__xludf.DUMMYFUNCTION("""COMPUTED_VALUE"""),"Spontaneous")</f>
        <v>Spontaneous</v>
      </c>
      <c r="AC327" s="8" t="str">
        <f ca="1">IFERROR(__xludf.DUMMYFUNCTION("""COMPUTED_VALUE"""),"Yes")</f>
        <v>Yes</v>
      </c>
      <c r="AD327" s="8" t="str">
        <f ca="1">IFERROR(__xludf.DUMMYFUNCTION("""COMPUTED_VALUE"""),"Victims Targeted")</f>
        <v>Victims Targeted</v>
      </c>
      <c r="AE327" s="8" t="str">
        <f ca="1">IFERROR(__xludf.DUMMYFUNCTION("""COMPUTED_VALUE"""),"No")</f>
        <v>No</v>
      </c>
      <c r="AF327" s="8"/>
      <c r="AG327" s="8" t="str">
        <f ca="1">IFERROR(__xludf.DUMMYFUNCTION("""COMPUTED_VALUE"""),"No")</f>
        <v>No</v>
      </c>
      <c r="AH327" s="8" t="str">
        <f ca="1">IFERROR(__xludf.DUMMYFUNCTION("""COMPUTED_VALUE"""),"No")</f>
        <v>No</v>
      </c>
      <c r="AI327" s="8" t="str">
        <f ca="1">IFERROR(__xludf.DUMMYFUNCTION("""COMPUTED_VALUE"""),"No")</f>
        <v>No</v>
      </c>
      <c r="AJ327" s="8" t="str">
        <f ca="1">IFERROR(__xludf.DUMMYFUNCTION("""COMPUTED_VALUE"""),"No")</f>
        <v>No</v>
      </c>
      <c r="AK327" s="8" t="str">
        <f ca="1">IFERROR(__xludf.DUMMYFUNCTION("""COMPUTED_VALUE"""),"No")</f>
        <v>No</v>
      </c>
      <c r="AL327" s="8" t="str">
        <f ca="1">IFERROR(__xludf.DUMMYFUNCTION("""COMPUTED_VALUE"""),"No")</f>
        <v>No</v>
      </c>
      <c r="AM327" s="8" t="str">
        <f ca="1">IFERROR(__xludf.DUMMYFUNCTION("""COMPUTED_VALUE"""),"No")</f>
        <v>No</v>
      </c>
      <c r="AN327" s="8" t="str">
        <f ca="1">IFERROR(__xludf.DUMMYFUNCTION("""COMPUTED_VALUE"""),"Outside")</f>
        <v>Outside</v>
      </c>
      <c r="AO327" s="8" t="str">
        <f ca="1">IFERROR(__xludf.DUMMYFUNCTION("""COMPUTED_VALUE"""),"No")</f>
        <v>No</v>
      </c>
      <c r="AP327" s="8"/>
      <c r="AQ327" s="8"/>
      <c r="AR327" s="8" t="str">
        <f ca="1">IFERROR(__xludf.DUMMYFUNCTION("""COMPUTED_VALUE"""),"Outside/Off-Property")</f>
        <v>Outside/Off-Property</v>
      </c>
      <c r="AS327" s="8">
        <f ca="1">IFERROR(__xludf.DUMMYFUNCTION("""COMPUTED_VALUE"""),3)</f>
        <v>3</v>
      </c>
      <c r="AT327" s="8" t="str">
        <f ca="1">IFERROR(__xludf.DUMMYFUNCTION("""COMPUTED_VALUE"""),"Yes")</f>
        <v>Yes</v>
      </c>
      <c r="AU327" s="8">
        <f ca="1">IFERROR(__xludf.DUMMYFUNCTION("""COMPUTED_VALUE"""),39.940603)</f>
        <v>39.940603000000003</v>
      </c>
      <c r="AV327" s="8">
        <f ca="1">IFERROR(__xludf.DUMMYFUNCTION("""COMPUTED_VALUE"""),-75.171075)</f>
        <v>-75.171075000000002</v>
      </c>
      <c r="AW327" s="8" t="str">
        <f ca="1">IFERROR(__xludf.DUMMYFUNCTION("""COMPUTED_VALUE"""),"Urban Street Standalone")</f>
        <v>Urban Street Standalone</v>
      </c>
      <c r="AX327" s="8" t="str">
        <f ca="1">IFERROR(__xludf.DUMMYFUNCTION("""COMPUTED_VALUE"""),"19146-1908")</f>
        <v>19146-1908</v>
      </c>
    </row>
    <row r="328" spans="1:50" ht="60" x14ac:dyDescent="0.2">
      <c r="A328" s="8" t="str">
        <f ca="1">IFERROR(__xludf.DUMMYFUNCTION("""COMPUTED_VALUE"""),"20240716KYWIL")</f>
        <v>20240716KYWIL</v>
      </c>
      <c r="B328" s="8">
        <f ca="1">IFERROR(__xludf.DUMMYFUNCTION("""COMPUTED_VALUE"""),7)</f>
        <v>7</v>
      </c>
      <c r="C328" s="8">
        <f ca="1">IFERROR(__xludf.DUMMYFUNCTION("""COMPUTED_VALUE"""),16)</f>
        <v>16</v>
      </c>
      <c r="D328" s="8">
        <f ca="1">IFERROR(__xludf.DUMMYFUNCTION("""COMPUTED_VALUE"""),2024)</f>
        <v>2024</v>
      </c>
      <c r="E328" s="9">
        <f ca="1">IFERROR(__xludf.DUMMYFUNCTION("""COMPUTED_VALUE"""),45489)</f>
        <v>45489</v>
      </c>
      <c r="F328" s="8" t="str">
        <f ca="1">IFERROR(__xludf.DUMMYFUNCTION("""COMPUTED_VALUE"""),"Winburn Middle School")</f>
        <v>Winburn Middle School</v>
      </c>
      <c r="G328" s="8">
        <f ca="1">IFERROR(__xludf.DUMMYFUNCTION("""COMPUTED_VALUE"""),0)</f>
        <v>0</v>
      </c>
      <c r="H328" s="8">
        <f ca="1">IFERROR(__xludf.DUMMYFUNCTION("""COMPUTED_VALUE"""),0)</f>
        <v>0</v>
      </c>
      <c r="I328" s="8">
        <f ca="1">IFERROR(__xludf.DUMMYFUNCTION("""COMPUTED_VALUE"""),0)</f>
        <v>0</v>
      </c>
      <c r="J328" s="8">
        <f ca="1">IFERROR(__xludf.DUMMYFUNCTION("""COMPUTED_VALUE"""),0)</f>
        <v>0</v>
      </c>
      <c r="K328" s="10" t="str">
        <f ca="1">IFERROR(__xludf.DUMMYFUNCTION("""COMPUTED_VALUE"""),"https://www.wkyt.com/2024/07/17/police-investigating-shots-fired-near-middle-school/
https://fox56news.com/news/local/lexington/shots-fired-near-lexington-middle-school-police/
https://www.wtvq.com/police-investigate-after-reports-of-shots-fired-near-a-le"&amp;"xington-middle-school/")</f>
        <v>https://www.wkyt.com/2024/07/17/police-investigating-shots-fired-near-middle-school/
https://fox56news.com/news/local/lexington/shots-fired-near-lexington-middle-school-police/
https://www.wtvq.com/police-investigate-after-reports-of-shots-fired-near-a-lexington-middle-school/</v>
      </c>
      <c r="L328" s="8">
        <f ca="1">IFERROR(__xludf.DUMMYFUNCTION("""COMPUTED_VALUE"""),3)</f>
        <v>3</v>
      </c>
      <c r="M328" s="8" t="str">
        <f ca="1">IFERROR(__xludf.DUMMYFUNCTION("""COMPUTED_VALUE"""),"Local")</f>
        <v>Local</v>
      </c>
      <c r="N328" s="8">
        <f ca="1">IFERROR(__xludf.DUMMYFUNCTION("""COMPUTED_VALUE"""),3)</f>
        <v>3</v>
      </c>
      <c r="O328" s="8" t="str">
        <f ca="1">IFERROR(__xludf.DUMMYFUNCTION("""COMPUTED_VALUE"""),"Summer")</f>
        <v>Summer</v>
      </c>
      <c r="P328" s="8" t="str">
        <f ca="1">IFERROR(__xludf.DUMMYFUNCTION("""COMPUTED_VALUE"""),"Lexington")</f>
        <v>Lexington</v>
      </c>
      <c r="Q328" s="8" t="str">
        <f ca="1">IFERROR(__xludf.DUMMYFUNCTION("""COMPUTED_VALUE"""),"KY")</f>
        <v>KY</v>
      </c>
      <c r="R328" s="8" t="str">
        <f ca="1">IFERROR(__xludf.DUMMYFUNCTION("""COMPUTED_VALUE"""),"Middle")</f>
        <v>Middle</v>
      </c>
      <c r="S328" s="8" t="str">
        <f ca="1">IFERROR(__xludf.DUMMYFUNCTION("""COMPUTED_VALUE"""),"Outside on School Property")</f>
        <v>Outside on School Property</v>
      </c>
      <c r="T328" s="8" t="str">
        <f ca="1">IFERROR(__xludf.DUMMYFUNCTION("""COMPUTED_VALUE"""),"Outside on School Property")</f>
        <v>Outside on School Property</v>
      </c>
      <c r="U328" s="8" t="str">
        <f ca="1">IFERROR(__xludf.DUMMYFUNCTION("""COMPUTED_VALUE"""),"No")</f>
        <v>No</v>
      </c>
      <c r="V328" s="8" t="str">
        <f ca="1">IFERROR(__xludf.DUMMYFUNCTION("""COMPUTED_VALUE"""),"Night")</f>
        <v>Night</v>
      </c>
      <c r="W328" s="11">
        <f ca="1">IFERROR(__xludf.DUMMYFUNCTION("""COMPUTED_VALUE"""),0.875)</f>
        <v>0.875</v>
      </c>
      <c r="X328" s="8">
        <f ca="1">IFERROR(__xludf.DUMMYFUNCTION("""COMPUTED_VALUE"""),1)</f>
        <v>1</v>
      </c>
      <c r="Y328" s="12" t="str">
        <f ca="1">IFERROR(__xludf.DUMMYFUNCTION("""COMPUTED_VALUE"""),"Shots fired outside school, police recovered shell casings")</f>
        <v>Shots fired outside school, police recovered shell casings</v>
      </c>
      <c r="Z328" s="12" t="str">
        <f ca="1">IFERROR(__xludf.DUMMYFUNCTION("""COMPUTED_VALUE"""),"Officers were called to Winburn and Pennebaker around 9 p.m. Tuesday night. That’s next to Winburn Middle School. They found shell casings there. No injuries or property damage were reported.")</f>
        <v>Officers were called to Winburn and Pennebaker around 9 p.m. Tuesday night. That’s next to Winburn Middle School. They found shell casings there. No injuries or property damage were reported.</v>
      </c>
      <c r="AA328" s="8"/>
      <c r="AB328" s="8"/>
      <c r="AC328" s="8" t="str">
        <f ca="1">IFERROR(__xludf.DUMMYFUNCTION("""COMPUTED_VALUE"""),"No")</f>
        <v>No</v>
      </c>
      <c r="AD328" s="8"/>
      <c r="AE328" s="8"/>
      <c r="AF328" s="8"/>
      <c r="AG328" s="8" t="str">
        <f ca="1">IFERROR(__xludf.DUMMYFUNCTION("""COMPUTED_VALUE"""),"No")</f>
        <v>No</v>
      </c>
      <c r="AH328" s="8" t="str">
        <f ca="1">IFERROR(__xludf.DUMMYFUNCTION("""COMPUTED_VALUE"""),"No")</f>
        <v>No</v>
      </c>
      <c r="AI328" s="8" t="str">
        <f ca="1">IFERROR(__xludf.DUMMYFUNCTION("""COMPUTED_VALUE"""),"No")</f>
        <v>No</v>
      </c>
      <c r="AJ328" s="8" t="str">
        <f ca="1">IFERROR(__xludf.DUMMYFUNCTION("""COMPUTED_VALUE"""),"No")</f>
        <v>No</v>
      </c>
      <c r="AK328" s="8"/>
      <c r="AL328" s="8"/>
      <c r="AM328" s="8" t="str">
        <f ca="1">IFERROR(__xludf.DUMMYFUNCTION("""COMPUTED_VALUE"""),"No")</f>
        <v>No</v>
      </c>
      <c r="AN328" s="8" t="str">
        <f ca="1">IFERROR(__xludf.DUMMYFUNCTION("""COMPUTED_VALUE"""),"Outside")</f>
        <v>Outside</v>
      </c>
      <c r="AO328" s="8" t="str">
        <f ca="1">IFERROR(__xludf.DUMMYFUNCTION("""COMPUTED_VALUE"""),"No")</f>
        <v>No</v>
      </c>
      <c r="AP328" s="8"/>
      <c r="AQ328" s="8"/>
      <c r="AR328" s="8" t="str">
        <f ca="1">IFERROR(__xludf.DUMMYFUNCTION("""COMPUTED_VALUE"""),"Outside/Off-Property")</f>
        <v>Outside/Off-Property</v>
      </c>
      <c r="AS328" s="8">
        <f ca="1">IFERROR(__xludf.DUMMYFUNCTION("""COMPUTED_VALUE"""),99)</f>
        <v>99</v>
      </c>
      <c r="AT328" s="8" t="str">
        <f ca="1">IFERROR(__xludf.DUMMYFUNCTION("""COMPUTED_VALUE"""),"No")</f>
        <v>No</v>
      </c>
      <c r="AU328" s="8">
        <f ca="1">IFERROR(__xludf.DUMMYFUNCTION("""COMPUTED_VALUE"""),38.087552)</f>
        <v>38.087552000000002</v>
      </c>
      <c r="AV328" s="8">
        <f ca="1">IFERROR(__xludf.DUMMYFUNCTION("""COMPUTED_VALUE"""),-84.478316)</f>
        <v>-84.478316000000007</v>
      </c>
      <c r="AW328" s="8" t="str">
        <f ca="1">IFERROR(__xludf.DUMMYFUNCTION("""COMPUTED_VALUE"""),"Single building indoor hallway")</f>
        <v>Single building indoor hallway</v>
      </c>
      <c r="AX328" s="8">
        <f ca="1">IFERROR(__xludf.DUMMYFUNCTION("""COMPUTED_VALUE"""),40512)</f>
        <v>40512</v>
      </c>
    </row>
    <row r="329" spans="1:50" ht="225" x14ac:dyDescent="0.2">
      <c r="A329" s="8" t="str">
        <f ca="1">IFERROR(__xludf.DUMMYFUNCTION("""COMPUTED_VALUE"""),"20240712MDWIU")</f>
        <v>20240712MDWIU</v>
      </c>
      <c r="B329" s="8">
        <f ca="1">IFERROR(__xludf.DUMMYFUNCTION("""COMPUTED_VALUE"""),7)</f>
        <v>7</v>
      </c>
      <c r="C329" s="8">
        <f ca="1">IFERROR(__xludf.DUMMYFUNCTION("""COMPUTED_VALUE"""),12)</f>
        <v>12</v>
      </c>
      <c r="D329" s="8">
        <f ca="1">IFERROR(__xludf.DUMMYFUNCTION("""COMPUTED_VALUE"""),2024)</f>
        <v>2024</v>
      </c>
      <c r="E329" s="9">
        <f ca="1">IFERROR(__xludf.DUMMYFUNCTION("""COMPUTED_VALUE"""),45485)</f>
        <v>45485</v>
      </c>
      <c r="F329" s="8" t="str">
        <f ca="1">IFERROR(__xludf.DUMMYFUNCTION("""COMPUTED_VALUE"""),"Wise High School")</f>
        <v>Wise High School</v>
      </c>
      <c r="G329" s="8">
        <f ca="1">IFERROR(__xludf.DUMMYFUNCTION("""COMPUTED_VALUE"""),1)</f>
        <v>1</v>
      </c>
      <c r="H329" s="8">
        <f ca="1">IFERROR(__xludf.DUMMYFUNCTION("""COMPUTED_VALUE"""),1)</f>
        <v>1</v>
      </c>
      <c r="I329" s="8">
        <f ca="1">IFERROR(__xludf.DUMMYFUNCTION("""COMPUTED_VALUE"""),2)</f>
        <v>2</v>
      </c>
      <c r="J329" s="8">
        <f ca="1">IFERROR(__xludf.DUMMYFUNCTION("""COMPUTED_VALUE"""),0)</f>
        <v>0</v>
      </c>
      <c r="K329" s="10" t="str">
        <f ca="1">IFERROR(__xludf.DUMMYFUNCTION("""COMPUTED_VALUE"""),"https://wtop.com/prince-georges-county/2024/07/shooting-breaks-out-at-vigil-for-prince-georges-co-high-school-students-killed-in-car-crash/
https://www.wjla.com/news/local/wise-high-school-shooting-vigil-kyhree-jackson-anthony-lytton-jr-isaiah-hazel-vigil"&amp;"-shooting-prince-georges-county-police-investigation-gun-violence-upper-marlboro-violent-crime-investigation")</f>
        <v>https://wtop.com/prince-georges-county/2024/07/shooting-breaks-out-at-vigil-for-prince-georges-co-high-school-students-killed-in-car-crash/
https://www.wjla.com/news/local/wise-high-school-shooting-vigil-kyhree-jackson-anthony-lytton-jr-isaiah-hazel-vigil-shooting-prince-georges-county-police-investigation-gun-violence-upper-marlboro-violent-crime-investigation</v>
      </c>
      <c r="L329" s="8">
        <f ca="1">IFERROR(__xludf.DUMMYFUNCTION("""COMPUTED_VALUE"""),5)</f>
        <v>5</v>
      </c>
      <c r="M329" s="8" t="str">
        <f ca="1">IFERROR(__xludf.DUMMYFUNCTION("""COMPUTED_VALUE"""),"Regional")</f>
        <v>Regional</v>
      </c>
      <c r="N329" s="8">
        <f ca="1">IFERROR(__xludf.DUMMYFUNCTION("""COMPUTED_VALUE"""),4)</f>
        <v>4</v>
      </c>
      <c r="O329" s="8" t="str">
        <f ca="1">IFERROR(__xludf.DUMMYFUNCTION("""COMPUTED_VALUE"""),"Summer")</f>
        <v>Summer</v>
      </c>
      <c r="P329" s="8" t="str">
        <f ca="1">IFERROR(__xludf.DUMMYFUNCTION("""COMPUTED_VALUE"""),"Upper Marlboro")</f>
        <v>Upper Marlboro</v>
      </c>
      <c r="Q329" s="8" t="str">
        <f ca="1">IFERROR(__xludf.DUMMYFUNCTION("""COMPUTED_VALUE"""),"MD")</f>
        <v>MD</v>
      </c>
      <c r="R329" s="8" t="str">
        <f ca="1">IFERROR(__xludf.DUMMYFUNCTION("""COMPUTED_VALUE"""),"High")</f>
        <v>High</v>
      </c>
      <c r="S329" s="8" t="str">
        <f ca="1">IFERROR(__xludf.DUMMYFUNCTION("""COMPUTED_VALUE"""),"Parking Lot")</f>
        <v>Parking Lot</v>
      </c>
      <c r="T329" s="8" t="str">
        <f ca="1">IFERROR(__xludf.DUMMYFUNCTION("""COMPUTED_VALUE"""),"Outside on School Property")</f>
        <v>Outside on School Property</v>
      </c>
      <c r="U329" s="8" t="str">
        <f ca="1">IFERROR(__xludf.DUMMYFUNCTION("""COMPUTED_VALUE"""),"No")</f>
        <v>No</v>
      </c>
      <c r="V329" s="8" t="str">
        <f ca="1">IFERROR(__xludf.DUMMYFUNCTION("""COMPUTED_VALUE"""),"School Event")</f>
        <v>School Event</v>
      </c>
      <c r="W329" s="11">
        <f ca="1">IFERROR(__xludf.DUMMYFUNCTION("""COMPUTED_VALUE"""),0.916666666666666)</f>
        <v>0.91666666666666596</v>
      </c>
      <c r="X329" s="8">
        <f ca="1">IFERROR(__xludf.DUMMYFUNCTION("""COMPUTED_VALUE"""),1)</f>
        <v>1</v>
      </c>
      <c r="Y329" s="12" t="str">
        <f ca="1">IFERROR(__xludf.DUMMYFUNCTION("""COMPUTED_VALUE"""),"Two adults shot after vigil for three former students killed in car crash")</f>
        <v>Two adults shot after vigil for three former students killed in car crash</v>
      </c>
      <c r="Z329" s="12" t="str">
        <f ca="1">IFERROR(__xludf.DUMMYFUNCTION("""COMPUTED_VALUE"""),"Officers said they were at Wise High School in the 12600 block of Brooke Lane earlier in the evening for a vigil for three athletes who died in a crash last week. Shortly after leaving the vigil, officers heard shots and quickly turned around to respond t"&amp;"o the scene around 10 p.m. Once on the scene, officers were flagged down by citizens performing life-saving measures on a woman who was suffering from gunshot wounds. Officers also found a man on the scene suffering from gunshot wounds. Both were taken to"&amp;" a hospital where the man was pronounced dead. The woman's injuries are considered non-life-threatening, officials said. A gun was recovered outside, according to officers. The vigil was being held for Kyhree Jackson, Anthony Lytton, Jr. and Isaiah Hazel "&amp;"who all played football together at the high school.")</f>
        <v>Officers said they were at Wise High School in the 12600 block of Brooke Lane earlier in the evening for a vigil for three athletes who died in a crash last week. Shortly after leaving the vigil, officers heard shots and quickly turned around to respond to the scene around 10 p.m. Once on the scene, officers were flagged down by citizens performing life-saving measures on a woman who was suffering from gunshot wounds. Officers also found a man on the scene suffering from gunshot wounds. Both were taken to a hospital where the man was pronounced dead. The woman's injuries are considered non-life-threatening, officials said. A gun was recovered outside, according to officers. The vigil was being held for Kyhree Jackson, Anthony Lytton, Jr. and Isaiah Hazel who all played football together at the high school.</v>
      </c>
      <c r="AA329" s="8"/>
      <c r="AB329" s="8"/>
      <c r="AC329" s="8" t="str">
        <f ca="1">IFERROR(__xludf.DUMMYFUNCTION("""COMPUTED_VALUE"""),"Yes")</f>
        <v>Yes</v>
      </c>
      <c r="AD329" s="8" t="str">
        <f ca="1">IFERROR(__xludf.DUMMYFUNCTION("""COMPUTED_VALUE"""),"Both")</f>
        <v>Both</v>
      </c>
      <c r="AE329" s="8" t="str">
        <f ca="1">IFERROR(__xludf.DUMMYFUNCTION("""COMPUTED_VALUE"""),"No")</f>
        <v>No</v>
      </c>
      <c r="AF329" s="8"/>
      <c r="AG329" s="8" t="str">
        <f ca="1">IFERROR(__xludf.DUMMYFUNCTION("""COMPUTED_VALUE"""),"No")</f>
        <v>No</v>
      </c>
      <c r="AH329" s="8" t="str">
        <f ca="1">IFERROR(__xludf.DUMMYFUNCTION("""COMPUTED_VALUE"""),"No")</f>
        <v>No</v>
      </c>
      <c r="AI329" s="8" t="str">
        <f ca="1">IFERROR(__xludf.DUMMYFUNCTION("""COMPUTED_VALUE"""),"No")</f>
        <v>No</v>
      </c>
      <c r="AJ329" s="8" t="str">
        <f ca="1">IFERROR(__xludf.DUMMYFUNCTION("""COMPUTED_VALUE"""),"No")</f>
        <v>No</v>
      </c>
      <c r="AK329" s="8"/>
      <c r="AL329" s="8"/>
      <c r="AM329" s="8" t="str">
        <f ca="1">IFERROR(__xludf.DUMMYFUNCTION("""COMPUTED_VALUE"""),"No")</f>
        <v>No</v>
      </c>
      <c r="AN329" s="8" t="str">
        <f ca="1">IFERROR(__xludf.DUMMYFUNCTION("""COMPUTED_VALUE"""),"Outside")</f>
        <v>Outside</v>
      </c>
      <c r="AO329" s="8" t="str">
        <f ca="1">IFERROR(__xludf.DUMMYFUNCTION("""COMPUTED_VALUE"""),"No")</f>
        <v>No</v>
      </c>
      <c r="AP329" s="8"/>
      <c r="AQ329" s="8"/>
      <c r="AR329" s="8" t="str">
        <f ca="1">IFERROR(__xludf.DUMMYFUNCTION("""COMPUTED_VALUE"""),"Outside/Off-Property")</f>
        <v>Outside/Off-Property</v>
      </c>
      <c r="AS329" s="8">
        <f ca="1">IFERROR(__xludf.DUMMYFUNCTION("""COMPUTED_VALUE"""),99)</f>
        <v>99</v>
      </c>
      <c r="AT329" s="8" t="str">
        <f ca="1">IFERROR(__xludf.DUMMYFUNCTION("""COMPUTED_VALUE"""),"No")</f>
        <v>No</v>
      </c>
      <c r="AU329" s="8">
        <f ca="1">IFERROR(__xludf.DUMMYFUNCTION("""COMPUTED_VALUE"""),38.83431)</f>
        <v>38.834310000000002</v>
      </c>
      <c r="AV329" s="8">
        <f ca="1">IFERROR(__xludf.DUMMYFUNCTION("""COMPUTED_VALUE"""),-76.789041)</f>
        <v>-76.789040999999997</v>
      </c>
      <c r="AW329" s="8" t="str">
        <f ca="1">IFERROR(__xludf.DUMMYFUNCTION("""COMPUTED_VALUE"""),"Multiple detached buildings")</f>
        <v>Multiple detached buildings</v>
      </c>
      <c r="AX329" s="8">
        <f ca="1">IFERROR(__xludf.DUMMYFUNCTION("""COMPUTED_VALUE"""),20772)</f>
        <v>20772</v>
      </c>
    </row>
    <row r="330" spans="1:50" ht="15" x14ac:dyDescent="0.2">
      <c r="A330" s="8" t="str">
        <f ca="1">IFERROR(__xludf.DUMMYFUNCTION("""COMPUTED_VALUE"""),"20240710WAMOM")</f>
        <v>20240710WAMOM</v>
      </c>
      <c r="B330" s="8">
        <f ca="1">IFERROR(__xludf.DUMMYFUNCTION("""COMPUTED_VALUE"""),7)</f>
        <v>7</v>
      </c>
      <c r="C330" s="8">
        <f ca="1">IFERROR(__xludf.DUMMYFUNCTION("""COMPUTED_VALUE"""),10)</f>
        <v>10</v>
      </c>
      <c r="D330" s="8">
        <f ca="1">IFERROR(__xludf.DUMMYFUNCTION("""COMPUTED_VALUE"""),2024)</f>
        <v>2024</v>
      </c>
      <c r="E330" s="9">
        <f ca="1">IFERROR(__xludf.DUMMYFUNCTION("""COMPUTED_VALUE"""),45483)</f>
        <v>45483</v>
      </c>
      <c r="F330" s="8" t="str">
        <f ca="1">IFERROR(__xludf.DUMMYFUNCTION("""COMPUTED_VALUE"""),"Mountlake Terrace Elementary School")</f>
        <v>Mountlake Terrace Elementary School</v>
      </c>
      <c r="G330" s="8">
        <f ca="1">IFERROR(__xludf.DUMMYFUNCTION("""COMPUTED_VALUE"""),0)</f>
        <v>0</v>
      </c>
      <c r="H330" s="8">
        <f ca="1">IFERROR(__xludf.DUMMYFUNCTION("""COMPUTED_VALUE"""),0)</f>
        <v>0</v>
      </c>
      <c r="I330" s="8">
        <f ca="1">IFERROR(__xludf.DUMMYFUNCTION("""COMPUTED_VALUE"""),0)</f>
        <v>0</v>
      </c>
      <c r="J330" s="8">
        <f ca="1">IFERROR(__xludf.DUMMYFUNCTION("""COMPUTED_VALUE"""),0)</f>
        <v>0</v>
      </c>
      <c r="K330" s="10" t="str">
        <f ca="1">IFERROR(__xludf.DUMMYFUNCTION("""COMPUTED_VALUE"""),"https://www.kiro7.com/news/local/man-arrested-after-firing-gun-car-mountlake-terrace-elementary-school-parking-lot/Y75A2CSUR5F7PN3SB4KQSIPLME/")</f>
        <v>https://www.kiro7.com/news/local/man-arrested-after-firing-gun-car-mountlake-terrace-elementary-school-parking-lot/Y75A2CSUR5F7PN3SB4KQSIPLME/</v>
      </c>
      <c r="L330" s="8">
        <f ca="1">IFERROR(__xludf.DUMMYFUNCTION("""COMPUTED_VALUE"""),1)</f>
        <v>1</v>
      </c>
      <c r="M330" s="8" t="str">
        <f ca="1">IFERROR(__xludf.DUMMYFUNCTION("""COMPUTED_VALUE"""),"Local")</f>
        <v>Local</v>
      </c>
      <c r="N330" s="8"/>
      <c r="O330" s="8"/>
      <c r="P330" s="8"/>
      <c r="Q330" s="8" t="str">
        <f ca="1">IFERROR(__xludf.DUMMYFUNCTION("""COMPUTED_VALUE"""),"WA")</f>
        <v>WA</v>
      </c>
      <c r="R330" s="8"/>
      <c r="S330" s="8"/>
      <c r="T330" s="8"/>
      <c r="U330" s="8"/>
      <c r="V330" s="8"/>
      <c r="W330" s="8"/>
      <c r="X330" s="8"/>
      <c r="Y330" s="12"/>
      <c r="Z330" s="12"/>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row>
    <row r="331" spans="1:50" ht="60" x14ac:dyDescent="0.2">
      <c r="A331" s="8" t="str">
        <f ca="1">IFERROR(__xludf.DUMMYFUNCTION("""COMPUTED_VALUE"""),"20240709CADEF")</f>
        <v>20240709CADEF</v>
      </c>
      <c r="B331" s="8">
        <f ca="1">IFERROR(__xludf.DUMMYFUNCTION("""COMPUTED_VALUE"""),7)</f>
        <v>7</v>
      </c>
      <c r="C331" s="8">
        <f ca="1">IFERROR(__xludf.DUMMYFUNCTION("""COMPUTED_VALUE"""),9)</f>
        <v>9</v>
      </c>
      <c r="D331" s="8">
        <f ca="1">IFERROR(__xludf.DUMMYFUNCTION("""COMPUTED_VALUE"""),2024)</f>
        <v>2024</v>
      </c>
      <c r="E331" s="9">
        <f ca="1">IFERROR(__xludf.DUMMYFUNCTION("""COMPUTED_VALUE"""),45482)</f>
        <v>45482</v>
      </c>
      <c r="F331" s="8" t="str">
        <f ca="1">IFERROR(__xludf.DUMMYFUNCTION("""COMPUTED_VALUE"""),"Del Campo High School")</f>
        <v>Del Campo High School</v>
      </c>
      <c r="G331" s="8">
        <f ca="1">IFERROR(__xludf.DUMMYFUNCTION("""COMPUTED_VALUE"""),0)</f>
        <v>0</v>
      </c>
      <c r="H331" s="8">
        <f ca="1">IFERROR(__xludf.DUMMYFUNCTION("""COMPUTED_VALUE"""),0)</f>
        <v>0</v>
      </c>
      <c r="I331" s="8">
        <f ca="1">IFERROR(__xludf.DUMMYFUNCTION("""COMPUTED_VALUE"""),0)</f>
        <v>0</v>
      </c>
      <c r="J331" s="8">
        <f ca="1">IFERROR(__xludf.DUMMYFUNCTION("""COMPUTED_VALUE"""),0)</f>
        <v>0</v>
      </c>
      <c r="K331" s="10" t="str">
        <f ca="1">IFERROR(__xludf.DUMMYFUNCTION("""COMPUTED_VALUE"""),"https://www.abc10.com/article/news/local/del-campo-high-school-freshman-arrested-armed-robbery/103-20450805-3b95-44f3-aac9-cbb731037846")</f>
        <v>https://www.abc10.com/article/news/local/del-campo-high-school-freshman-arrested-armed-robbery/103-20450805-3b95-44f3-aac9-cbb731037846</v>
      </c>
      <c r="L331" s="8">
        <f ca="1">IFERROR(__xludf.DUMMYFUNCTION("""COMPUTED_VALUE"""),1)</f>
        <v>1</v>
      </c>
      <c r="M331" s="8" t="str">
        <f ca="1">IFERROR(__xludf.DUMMYFUNCTION("""COMPUTED_VALUE"""),"Local")</f>
        <v>Local</v>
      </c>
      <c r="N331" s="8">
        <f ca="1">IFERROR(__xludf.DUMMYFUNCTION("""COMPUTED_VALUE"""),4)</f>
        <v>4</v>
      </c>
      <c r="O331" s="8" t="str">
        <f ca="1">IFERROR(__xludf.DUMMYFUNCTION("""COMPUTED_VALUE"""),"Summer")</f>
        <v>Summer</v>
      </c>
      <c r="P331" s="8" t="str">
        <f ca="1">IFERROR(__xludf.DUMMYFUNCTION("""COMPUTED_VALUE"""),"Fair Oaks")</f>
        <v>Fair Oaks</v>
      </c>
      <c r="Q331" s="8" t="str">
        <f ca="1">IFERROR(__xludf.DUMMYFUNCTION("""COMPUTED_VALUE"""),"CA")</f>
        <v>CA</v>
      </c>
      <c r="R331" s="8" t="str">
        <f ca="1">IFERROR(__xludf.DUMMYFUNCTION("""COMPUTED_VALUE"""),"High")</f>
        <v>High</v>
      </c>
      <c r="S331" s="8" t="str">
        <f ca="1">IFERROR(__xludf.DUMMYFUNCTION("""COMPUTED_VALUE"""),"Bathroom")</f>
        <v>Bathroom</v>
      </c>
      <c r="T331" s="8" t="str">
        <f ca="1">IFERROR(__xludf.DUMMYFUNCTION("""COMPUTED_VALUE"""),"Inside School Building")</f>
        <v>Inside School Building</v>
      </c>
      <c r="U331" s="8" t="str">
        <f ca="1">IFERROR(__xludf.DUMMYFUNCTION("""COMPUTED_VALUE"""),"Yes")</f>
        <v>Yes</v>
      </c>
      <c r="V331" s="8" t="str">
        <f ca="1">IFERROR(__xludf.DUMMYFUNCTION("""COMPUTED_VALUE"""),"Morning Classes")</f>
        <v>Morning Classes</v>
      </c>
      <c r="W331" s="8"/>
      <c r="X331" s="8">
        <f ca="1">IFERROR(__xludf.DUMMYFUNCTION("""COMPUTED_VALUE"""),1)</f>
        <v>1</v>
      </c>
      <c r="Y331" s="12" t="str">
        <f ca="1">IFERROR(__xludf.DUMMYFUNCTION("""COMPUTED_VALUE"""),"Student robbed at gunpoint inside bathroom during summer classes")</f>
        <v>Student robbed at gunpoint inside bathroom during summer classes</v>
      </c>
      <c r="Z331" s="12" t="str">
        <f ca="1">IFERROR(__xludf.DUMMYFUNCTION("""COMPUTED_VALUE"""),"Student was robbed at gunpoint by a teen inside the school bathroom during summer classes. High school and nearby middle school went on lockdown. Shooter fled and was arrested the following week.")</f>
        <v>Student was robbed at gunpoint by a teen inside the school bathroom during summer classes. High school and nearby middle school went on lockdown. Shooter fled and was arrested the following week.</v>
      </c>
      <c r="AA331" s="8" t="str">
        <f ca="1">IFERROR(__xludf.DUMMYFUNCTION("""COMPUTED_VALUE"""),"Illegal Activity")</f>
        <v>Illegal Activity</v>
      </c>
      <c r="AB331" s="8" t="str">
        <f ca="1">IFERROR(__xludf.DUMMYFUNCTION("""COMPUTED_VALUE"""),"Targeted")</f>
        <v>Targeted</v>
      </c>
      <c r="AC331" s="8" t="str">
        <f ca="1">IFERROR(__xludf.DUMMYFUNCTION("""COMPUTED_VALUE"""),"Yes")</f>
        <v>Yes</v>
      </c>
      <c r="AD331" s="8" t="str">
        <f ca="1">IFERROR(__xludf.DUMMYFUNCTION("""COMPUTED_VALUE"""),"Victims Targeted")</f>
        <v>Victims Targeted</v>
      </c>
      <c r="AE331" s="8" t="str">
        <f ca="1">IFERROR(__xludf.DUMMYFUNCTION("""COMPUTED_VALUE"""),"No")</f>
        <v>No</v>
      </c>
      <c r="AF331" s="8"/>
      <c r="AG331" s="8" t="str">
        <f ca="1">IFERROR(__xludf.DUMMYFUNCTION("""COMPUTED_VALUE"""),"No")</f>
        <v>No</v>
      </c>
      <c r="AH331" s="8" t="str">
        <f ca="1">IFERROR(__xludf.DUMMYFUNCTION("""COMPUTED_VALUE"""),"No")</f>
        <v>No</v>
      </c>
      <c r="AI331" s="8" t="str">
        <f ca="1">IFERROR(__xludf.DUMMYFUNCTION("""COMPUTED_VALUE"""),"No")</f>
        <v>No</v>
      </c>
      <c r="AJ331" s="8" t="str">
        <f ca="1">IFERROR(__xludf.DUMMYFUNCTION("""COMPUTED_VALUE"""),"No")</f>
        <v>No</v>
      </c>
      <c r="AK331" s="8" t="str">
        <f ca="1">IFERROR(__xludf.DUMMYFUNCTION("""COMPUTED_VALUE"""),"No")</f>
        <v>No</v>
      </c>
      <c r="AL331" s="8" t="str">
        <f ca="1">IFERROR(__xludf.DUMMYFUNCTION("""COMPUTED_VALUE"""),"No")</f>
        <v>No</v>
      </c>
      <c r="AM331" s="8" t="str">
        <f ca="1">IFERROR(__xludf.DUMMYFUNCTION("""COMPUTED_VALUE"""),"No")</f>
        <v>No</v>
      </c>
      <c r="AN331" s="8" t="str">
        <f ca="1">IFERROR(__xludf.DUMMYFUNCTION("""COMPUTED_VALUE"""),"Single Room")</f>
        <v>Single Room</v>
      </c>
      <c r="AO331" s="8" t="str">
        <f ca="1">IFERROR(__xludf.DUMMYFUNCTION("""COMPUTED_VALUE"""),"No")</f>
        <v>No</v>
      </c>
      <c r="AP331" s="8"/>
      <c r="AQ331" s="8"/>
      <c r="AR331" s="8" t="str">
        <f ca="1">IFERROR(__xludf.DUMMYFUNCTION("""COMPUTED_VALUE"""),"Failed")</f>
        <v>Failed</v>
      </c>
      <c r="AS331" s="8">
        <f ca="1">IFERROR(__xludf.DUMMYFUNCTION("""COMPUTED_VALUE"""),0)</f>
        <v>0</v>
      </c>
      <c r="AT331" s="8" t="str">
        <f ca="1">IFERROR(__xludf.DUMMYFUNCTION("""COMPUTED_VALUE"""),"Yes")</f>
        <v>Yes</v>
      </c>
      <c r="AU331" s="8">
        <f ca="1">IFERROR(__xludf.DUMMYFUNCTION("""COMPUTED_VALUE"""),38.654811)</f>
        <v>38.654811000000002</v>
      </c>
      <c r="AV331" s="8">
        <f ca="1">IFERROR(__xludf.DUMMYFUNCTION("""COMPUTED_VALUE"""),-121.308717)</f>
        <v>-121.308717</v>
      </c>
      <c r="AW331" s="8" t="str">
        <f ca="1">IFERROR(__xludf.DUMMYFUNCTION("""COMPUTED_VALUE"""),"Multiple detached buildings")</f>
        <v>Multiple detached buildings</v>
      </c>
      <c r="AX331" s="8">
        <f ca="1">IFERROR(__xludf.DUMMYFUNCTION("""COMPUTED_VALUE"""),95608)</f>
        <v>95608</v>
      </c>
    </row>
    <row r="332" spans="1:50" ht="195" x14ac:dyDescent="0.2">
      <c r="A332" s="8" t="str">
        <f ca="1">IFERROR(__xludf.DUMMYFUNCTION("""COMPUTED_VALUE"""),"20240709TXGRG")</f>
        <v>20240709TXGRG</v>
      </c>
      <c r="B332" s="8">
        <f ca="1">IFERROR(__xludf.DUMMYFUNCTION("""COMPUTED_VALUE"""),7)</f>
        <v>7</v>
      </c>
      <c r="C332" s="8">
        <f ca="1">IFERROR(__xludf.DUMMYFUNCTION("""COMPUTED_VALUE"""),9)</f>
        <v>9</v>
      </c>
      <c r="D332" s="8">
        <f ca="1">IFERROR(__xludf.DUMMYFUNCTION("""COMPUTED_VALUE"""),2024)</f>
        <v>2024</v>
      </c>
      <c r="E332" s="9">
        <f ca="1">IFERROR(__xludf.DUMMYFUNCTION("""COMPUTED_VALUE"""),45482)</f>
        <v>45482</v>
      </c>
      <c r="F332" s="8" t="str">
        <f ca="1">IFERROR(__xludf.DUMMYFUNCTION("""COMPUTED_VALUE"""),"Greenville High School")</f>
        <v>Greenville High School</v>
      </c>
      <c r="G332" s="8">
        <f ca="1">IFERROR(__xludf.DUMMYFUNCTION("""COMPUTED_VALUE"""),0)</f>
        <v>0</v>
      </c>
      <c r="H332" s="8">
        <f ca="1">IFERROR(__xludf.DUMMYFUNCTION("""COMPUTED_VALUE"""),0)</f>
        <v>0</v>
      </c>
      <c r="I332" s="8">
        <f ca="1">IFERROR(__xludf.DUMMYFUNCTION("""COMPUTED_VALUE"""),0)</f>
        <v>0</v>
      </c>
      <c r="J332" s="8">
        <f ca="1">IFERROR(__xludf.DUMMYFUNCTION("""COMPUTED_VALUE"""),0)</f>
        <v>0</v>
      </c>
      <c r="K332" s="8" t="str">
        <f ca="1">IFERROR(__xludf.DUMMYFUNCTION("""COMPUTED_VALUE"""),"https://www.wfaa.com/article/news/crime/greenville-north-texas-high-school-goes-on-lockdown-after-ex-former-spouse-tried-to-shoot-staff-member/287-26ae0d99-d403-444d-b42f-e0a35d853bd8
https://www.wfaa.com/article/news/crime/greenville-north-texas-high-sch"&amp;"ool-goes-on-lockdown-after-ex-former-spouse-tried-to-shoot-staff-member/287-26ae0d99-d403-444d-b42f-e0a35d853bd8
https://www.nbcdfw.com/news/local/greenville-isd-police-search-person-shot-firearm-outside-high-school/3587460/
https://www.wfaa.com/article/n"&amp;"ews/crime/greenville-north-texas-high-school-goes-on-lockdown-after-ex-former-spouse-tried-to-shoot-staff-member/287-26ae0d99-d403-444d-b42f-e0a35d853bd8")</f>
        <v>https://www.wfaa.com/article/news/crime/greenville-north-texas-high-school-goes-on-lockdown-after-ex-former-spouse-tried-to-shoot-staff-member/287-26ae0d99-d403-444d-b42f-e0a35d853bd8
https://www.wfaa.com/article/news/crime/greenville-north-texas-high-school-goes-on-lockdown-after-ex-former-spouse-tried-to-shoot-staff-member/287-26ae0d99-d403-444d-b42f-e0a35d853bd8
https://www.nbcdfw.com/news/local/greenville-isd-police-search-person-shot-firearm-outside-high-school/3587460/
https://www.wfaa.com/article/news/crime/greenville-north-texas-high-school-goes-on-lockdown-after-ex-former-spouse-tried-to-shoot-staff-member/287-26ae0d99-d403-444d-b42f-e0a35d853bd8</v>
      </c>
      <c r="L332" s="8">
        <f ca="1">IFERROR(__xludf.DUMMYFUNCTION("""COMPUTED_VALUE"""),5)</f>
        <v>5</v>
      </c>
      <c r="M332" s="8" t="str">
        <f ca="1">IFERROR(__xludf.DUMMYFUNCTION("""COMPUTED_VALUE"""),"Regional")</f>
        <v>Regional</v>
      </c>
      <c r="N332" s="8">
        <f ca="1">IFERROR(__xludf.DUMMYFUNCTION("""COMPUTED_VALUE"""),4)</f>
        <v>4</v>
      </c>
      <c r="O332" s="8" t="str">
        <f ca="1">IFERROR(__xludf.DUMMYFUNCTION("""COMPUTED_VALUE"""),"Summer")</f>
        <v>Summer</v>
      </c>
      <c r="P332" s="8" t="str">
        <f ca="1">IFERROR(__xludf.DUMMYFUNCTION("""COMPUTED_VALUE"""),"Greenville")</f>
        <v>Greenville</v>
      </c>
      <c r="Q332" s="8" t="str">
        <f ca="1">IFERROR(__xludf.DUMMYFUNCTION("""COMPUTED_VALUE"""),"TX")</f>
        <v>TX</v>
      </c>
      <c r="R332" s="8" t="str">
        <f ca="1">IFERROR(__xludf.DUMMYFUNCTION("""COMPUTED_VALUE"""),"High")</f>
        <v>High</v>
      </c>
      <c r="S332" s="8" t="str">
        <f ca="1">IFERROR(__xludf.DUMMYFUNCTION("""COMPUTED_VALUE"""),"Beside Building")</f>
        <v>Beside Building</v>
      </c>
      <c r="T332" s="8" t="str">
        <f ca="1">IFERROR(__xludf.DUMMYFUNCTION("""COMPUTED_VALUE"""),"Outside on School Property")</f>
        <v>Outside on School Property</v>
      </c>
      <c r="U332" s="8" t="str">
        <f ca="1">IFERROR(__xludf.DUMMYFUNCTION("""COMPUTED_VALUE"""),"No")</f>
        <v>No</v>
      </c>
      <c r="V332" s="8" t="str">
        <f ca="1">IFERROR(__xludf.DUMMYFUNCTION("""COMPUTED_VALUE"""),"Sport Event")</f>
        <v>Sport Event</v>
      </c>
      <c r="W332" s="11">
        <f ca="1">IFERROR(__xludf.DUMMYFUNCTION("""COMPUTED_VALUE"""),0.564583333333333)</f>
        <v>0.56458333333333299</v>
      </c>
      <c r="X332" s="8">
        <f ca="1">IFERROR(__xludf.DUMMYFUNCTION("""COMPUTED_VALUE"""),1)</f>
        <v>1</v>
      </c>
      <c r="Y332" s="12" t="str">
        <f ca="1">IFERROR(__xludf.DUMMYFUNCTION("""COMPUTED_VALUE"""),"Ex-spouse of an employee fired a shot outside the athletic facility")</f>
        <v>Ex-spouse of an employee fired a shot outside the athletic facility</v>
      </c>
      <c r="Z332" s="12" t="str">
        <f ca="1">IFERROR(__xludf.DUMMYFUNCTION("""COMPUTED_VALUE"""),"According to Greenville ISD, the shooting happened at 1:33 p.m. The suspect arrived at the Roy Q Traylor Athletic Facility and attempted to shoot their ex-spouse, who works as a coach and staff member at the school, according to the district. The suspect "&amp;"fired a single shot, but missed, according to the district's release. After the gunshot, the school went on lockdown. Greenville ISD Police say the suspect is still at-large, and as a result, there will be an increased security presence throughout the sum"&amp;"mer. Greenville ISD says no students were on campus, and that all student workouts were finished by noon. School went on lockdown and will have extra security for the remainder of the summer.")</f>
        <v>According to Greenville ISD, the shooting happened at 1:33 p.m. The suspect arrived at the Roy Q Traylor Athletic Facility and attempted to shoot their ex-spouse, who works as a coach and staff member at the school, according to the district. The suspect fired a single shot, but missed, according to the district's release. After the gunshot, the school went on lockdown. Greenville ISD Police say the suspect is still at-large, and as a result, there will be an increased security presence throughout the summer. Greenville ISD says no students were on campus, and that all student workouts were finished by noon. School went on lockdown and will have extra security for the remainder of the summer.</v>
      </c>
      <c r="AA332" s="8" t="str">
        <f ca="1">IFERROR(__xludf.DUMMYFUNCTION("""COMPUTED_VALUE"""),"Domestic w/ Targeted Victim")</f>
        <v>Domestic w/ Targeted Victim</v>
      </c>
      <c r="AB332" s="8" t="str">
        <f ca="1">IFERROR(__xludf.DUMMYFUNCTION("""COMPUTED_VALUE"""),"Targeted")</f>
        <v>Targeted</v>
      </c>
      <c r="AC332" s="8" t="str">
        <f ca="1">IFERROR(__xludf.DUMMYFUNCTION("""COMPUTED_VALUE"""),"Yes")</f>
        <v>Yes</v>
      </c>
      <c r="AD332" s="8" t="str">
        <f ca="1">IFERROR(__xludf.DUMMYFUNCTION("""COMPUTED_VALUE"""),"Victims Targeted")</f>
        <v>Victims Targeted</v>
      </c>
      <c r="AE332" s="8" t="str">
        <f ca="1">IFERROR(__xludf.DUMMYFUNCTION("""COMPUTED_VALUE"""),"No")</f>
        <v>No</v>
      </c>
      <c r="AF332" s="8"/>
      <c r="AG332" s="8" t="str">
        <f ca="1">IFERROR(__xludf.DUMMYFUNCTION("""COMPUTED_VALUE"""),"No")</f>
        <v>No</v>
      </c>
      <c r="AH332" s="8" t="str">
        <f ca="1">IFERROR(__xludf.DUMMYFUNCTION("""COMPUTED_VALUE"""),"No")</f>
        <v>No</v>
      </c>
      <c r="AI332" s="8" t="str">
        <f ca="1">IFERROR(__xludf.DUMMYFUNCTION("""COMPUTED_VALUE"""),"No")</f>
        <v>No</v>
      </c>
      <c r="AJ332" s="8" t="str">
        <f ca="1">IFERROR(__xludf.DUMMYFUNCTION("""COMPUTED_VALUE"""),"No")</f>
        <v>No</v>
      </c>
      <c r="AK332" s="8" t="str">
        <f ca="1">IFERROR(__xludf.DUMMYFUNCTION("""COMPUTED_VALUE"""),"Yes")</f>
        <v>Yes</v>
      </c>
      <c r="AL332" s="8" t="str">
        <f ca="1">IFERROR(__xludf.DUMMYFUNCTION("""COMPUTED_VALUE"""),"No")</f>
        <v>No</v>
      </c>
      <c r="AM332" s="8" t="str">
        <f ca="1">IFERROR(__xludf.DUMMYFUNCTION("""COMPUTED_VALUE"""),"No")</f>
        <v>No</v>
      </c>
      <c r="AN332" s="8" t="str">
        <f ca="1">IFERROR(__xludf.DUMMYFUNCTION("""COMPUTED_VALUE"""),"Outside")</f>
        <v>Outside</v>
      </c>
      <c r="AO332" s="8" t="str">
        <f ca="1">IFERROR(__xludf.DUMMYFUNCTION("""COMPUTED_VALUE"""),"No")</f>
        <v>No</v>
      </c>
      <c r="AP332" s="8"/>
      <c r="AQ332" s="8"/>
      <c r="AR332" s="8" t="str">
        <f ca="1">IFERROR(__xludf.DUMMYFUNCTION("""COMPUTED_VALUE"""),"Outside/Off-Property")</f>
        <v>Outside/Off-Property</v>
      </c>
      <c r="AS332" s="8">
        <f ca="1">IFERROR(__xludf.DUMMYFUNCTION("""COMPUTED_VALUE"""),1)</f>
        <v>1</v>
      </c>
      <c r="AT332" s="8" t="str">
        <f ca="1">IFERROR(__xludf.DUMMYFUNCTION("""COMPUTED_VALUE"""),"Yes")</f>
        <v>Yes</v>
      </c>
      <c r="AU332" s="8">
        <f ca="1">IFERROR(__xludf.DUMMYFUNCTION("""COMPUTED_VALUE"""),33.104662)</f>
        <v>33.104661999999998</v>
      </c>
      <c r="AV332" s="8">
        <f ca="1">IFERROR(__xludf.DUMMYFUNCTION("""COMPUTED_VALUE"""),-96.118894)</f>
        <v>-96.118893999999997</v>
      </c>
      <c r="AW332" s="8" t="str">
        <f ca="1">IFERROR(__xludf.DUMMYFUNCTION("""COMPUTED_VALUE"""),"Mega-school")</f>
        <v>Mega-school</v>
      </c>
      <c r="AX332" s="8">
        <f ca="1">IFERROR(__xludf.DUMMYFUNCTION("""COMPUTED_VALUE"""),75402)</f>
        <v>75402</v>
      </c>
    </row>
    <row r="333" spans="1:50" ht="90" x14ac:dyDescent="0.2">
      <c r="A333" s="8" t="str">
        <f ca="1">IFERROR(__xludf.DUMMYFUNCTION("""COMPUTED_VALUE"""),"20240707OHIND")</f>
        <v>20240707OHIND</v>
      </c>
      <c r="B333" s="8">
        <f ca="1">IFERROR(__xludf.DUMMYFUNCTION("""COMPUTED_VALUE"""),7)</f>
        <v>7</v>
      </c>
      <c r="C333" s="8">
        <f ca="1">IFERROR(__xludf.DUMMYFUNCTION("""COMPUTED_VALUE"""),7)</f>
        <v>7</v>
      </c>
      <c r="D333" s="8">
        <f ca="1">IFERROR(__xludf.DUMMYFUNCTION("""COMPUTED_VALUE"""),2024)</f>
        <v>2024</v>
      </c>
      <c r="E333" s="9">
        <f ca="1">IFERROR(__xludf.DUMMYFUNCTION("""COMPUTED_VALUE"""),45480)</f>
        <v>45480</v>
      </c>
      <c r="F333" s="8" t="str">
        <f ca="1">IFERROR(__xludf.DUMMYFUNCTION("""COMPUTED_VALUE"""),"International School at Residence Park")</f>
        <v>International School at Residence Park</v>
      </c>
      <c r="G333" s="8">
        <f ca="1">IFERROR(__xludf.DUMMYFUNCTION("""COMPUTED_VALUE"""),1)</f>
        <v>1</v>
      </c>
      <c r="H333" s="8">
        <f ca="1">IFERROR(__xludf.DUMMYFUNCTION("""COMPUTED_VALUE"""),0)</f>
        <v>0</v>
      </c>
      <c r="I333" s="8">
        <f ca="1">IFERROR(__xludf.DUMMYFUNCTION("""COMPUTED_VALUE"""),1)</f>
        <v>1</v>
      </c>
      <c r="J333" s="8">
        <f ca="1">IFERROR(__xludf.DUMMYFUNCTION("""COMPUTED_VALUE"""),0)</f>
        <v>0</v>
      </c>
      <c r="K333" s="10" t="str">
        <f ca="1">IFERROR(__xludf.DUMMYFUNCTION("""COMPUTED_VALUE"""),"https://www.whio.com/news/local/large-planned-fight-leads-deadly-shooting-near-dayton-elementary-school/ALKTHCFXQBEGZHCME4ZNRDU74I/
https://www.daytondailynews.com/local/1-killed-in-early-morning-shooting-in-dayton-sunday/6CL6UAIO6BAP7JPYTHPBESKUQM/
https"&amp;"://www.whio.com/news/local/one-dead-after-early-morning-fight-leads-shooting-dayton/3LJGNKYHS5FNZLCE5VL4ACSXVQ/")</f>
        <v>https://www.whio.com/news/local/large-planned-fight-leads-deadly-shooting-near-dayton-elementary-school/ALKTHCFXQBEGZHCME4ZNRDU74I/
https://www.daytondailynews.com/local/1-killed-in-early-morning-shooting-in-dayton-sunday/6CL6UAIO6BAP7JPYTHPBESKUQM/
https://www.whio.com/news/local/one-dead-after-early-morning-fight-leads-shooting-dayton/3LJGNKYHS5FNZLCE5VL4ACSXVQ/</v>
      </c>
      <c r="L333" s="8">
        <f ca="1">IFERROR(__xludf.DUMMYFUNCTION("""COMPUTED_VALUE"""),2)</f>
        <v>2</v>
      </c>
      <c r="M333" s="8" t="str">
        <f ca="1">IFERROR(__xludf.DUMMYFUNCTION("""COMPUTED_VALUE"""),"Local")</f>
        <v>Local</v>
      </c>
      <c r="N333" s="8">
        <f ca="1">IFERROR(__xludf.DUMMYFUNCTION("""COMPUTED_VALUE"""),4)</f>
        <v>4</v>
      </c>
      <c r="O333" s="8" t="str">
        <f ca="1">IFERROR(__xludf.DUMMYFUNCTION("""COMPUTED_VALUE"""),"Summer")</f>
        <v>Summer</v>
      </c>
      <c r="P333" s="8" t="str">
        <f ca="1">IFERROR(__xludf.DUMMYFUNCTION("""COMPUTED_VALUE"""),"Dayton")</f>
        <v>Dayton</v>
      </c>
      <c r="Q333" s="8" t="str">
        <f ca="1">IFERROR(__xludf.DUMMYFUNCTION("""COMPUTED_VALUE"""),"OH")</f>
        <v>OH</v>
      </c>
      <c r="R333" s="8" t="str">
        <f ca="1">IFERROR(__xludf.DUMMYFUNCTION("""COMPUTED_VALUE"""),"Elementary")</f>
        <v>Elementary</v>
      </c>
      <c r="S333" s="8" t="str">
        <f ca="1">IFERROR(__xludf.DUMMYFUNCTION("""COMPUTED_VALUE"""),"Front of School")</f>
        <v>Front of School</v>
      </c>
      <c r="T333" s="8" t="str">
        <f ca="1">IFERROR(__xludf.DUMMYFUNCTION("""COMPUTED_VALUE"""),"Outside on School Property")</f>
        <v>Outside on School Property</v>
      </c>
      <c r="U333" s="8" t="str">
        <f ca="1">IFERROR(__xludf.DUMMYFUNCTION("""COMPUTED_VALUE"""),"No")</f>
        <v>No</v>
      </c>
      <c r="V333" s="8" t="str">
        <f ca="1">IFERROR(__xludf.DUMMYFUNCTION("""COMPUTED_VALUE"""),"Night")</f>
        <v>Night</v>
      </c>
      <c r="W333" s="11">
        <f ca="1">IFERROR(__xludf.DUMMYFUNCTION("""COMPUTED_VALUE"""),0.11875)</f>
        <v>0.11874999999999999</v>
      </c>
      <c r="X333" s="8">
        <f ca="1">IFERROR(__xludf.DUMMYFUNCTION("""COMPUTED_VALUE"""),1)</f>
        <v>1</v>
      </c>
      <c r="Y333" s="12" t="str">
        <f ca="1">IFERROR(__xludf.DUMMYFUNCTION("""COMPUTED_VALUE"""),"Bystander man killed when 40 shots were fired during fight on the front lawn of the school")</f>
        <v>Bystander man killed when 40 shots were fired during fight on the front lawn of the school</v>
      </c>
      <c r="Z333" s="12" t="str">
        <f ca="1">IFERROR(__xludf.DUMMYFUNCTION("""COMPUTED_VALUE"""),"33-year-old man was fatally shot during later fight involving 20-30 people in the front lawn of the school. Approximately 100 shots were fired. Bullets also struck vehicles and went through the walls of nearby homes. Victim was a bystander.")</f>
        <v>33-year-old man was fatally shot during later fight involving 20-30 people in the front lawn of the school. Approximately 100 shots were fired. Bullets also struck vehicles and went through the walls of nearby homes. Victim was a bystander.</v>
      </c>
      <c r="AA333" s="8" t="str">
        <f ca="1">IFERROR(__xludf.DUMMYFUNCTION("""COMPUTED_VALUE"""),"Escalation of Dispute")</f>
        <v>Escalation of Dispute</v>
      </c>
      <c r="AB333" s="8" t="str">
        <f ca="1">IFERROR(__xludf.DUMMYFUNCTION("""COMPUTED_VALUE"""),"Spontaneous")</f>
        <v>Spontaneous</v>
      </c>
      <c r="AC333" s="8" t="str">
        <f ca="1">IFERROR(__xludf.DUMMYFUNCTION("""COMPUTED_VALUE"""),"No")</f>
        <v>No</v>
      </c>
      <c r="AD333" s="8" t="str">
        <f ca="1">IFERROR(__xludf.DUMMYFUNCTION("""COMPUTED_VALUE"""),"Both")</f>
        <v>Both</v>
      </c>
      <c r="AE333" s="8"/>
      <c r="AF333" s="8"/>
      <c r="AG333" s="8" t="str">
        <f ca="1">IFERROR(__xludf.DUMMYFUNCTION("""COMPUTED_VALUE"""),"No")</f>
        <v>No</v>
      </c>
      <c r="AH333" s="8" t="str">
        <f ca="1">IFERROR(__xludf.DUMMYFUNCTION("""COMPUTED_VALUE"""),"No")</f>
        <v>No</v>
      </c>
      <c r="AI333" s="8" t="str">
        <f ca="1">IFERROR(__xludf.DUMMYFUNCTION("""COMPUTED_VALUE"""),"No")</f>
        <v>No</v>
      </c>
      <c r="AJ333" s="8" t="str">
        <f ca="1">IFERROR(__xludf.DUMMYFUNCTION("""COMPUTED_VALUE"""),"No")</f>
        <v>No</v>
      </c>
      <c r="AK333" s="8" t="str">
        <f ca="1">IFERROR(__xludf.DUMMYFUNCTION("""COMPUTED_VALUE"""),"No")</f>
        <v>No</v>
      </c>
      <c r="AL333" s="8"/>
      <c r="AM333" s="8" t="str">
        <f ca="1">IFERROR(__xludf.DUMMYFUNCTION("""COMPUTED_VALUE"""),"No")</f>
        <v>No</v>
      </c>
      <c r="AN333" s="8" t="str">
        <f ca="1">IFERROR(__xludf.DUMMYFUNCTION("""COMPUTED_VALUE"""),"Outside")</f>
        <v>Outside</v>
      </c>
      <c r="AO333" s="8" t="str">
        <f ca="1">IFERROR(__xludf.DUMMYFUNCTION("""COMPUTED_VALUE"""),"No")</f>
        <v>No</v>
      </c>
      <c r="AP333" s="8"/>
      <c r="AQ333" s="8"/>
      <c r="AR333" s="8" t="str">
        <f ca="1">IFERROR(__xludf.DUMMYFUNCTION("""COMPUTED_VALUE"""),"Outside/Off-Property")</f>
        <v>Outside/Off-Property</v>
      </c>
      <c r="AS333" s="8">
        <f ca="1">IFERROR(__xludf.DUMMYFUNCTION("""COMPUTED_VALUE"""),40)</f>
        <v>40</v>
      </c>
      <c r="AT333" s="8" t="str">
        <f ca="1">IFERROR(__xludf.DUMMYFUNCTION("""COMPUTED_VALUE"""),"No")</f>
        <v>No</v>
      </c>
      <c r="AU333" s="8">
        <f ca="1">IFERROR(__xludf.DUMMYFUNCTION("""COMPUTED_VALUE"""),39.758122)</f>
        <v>39.758122</v>
      </c>
      <c r="AV333" s="8">
        <f ca="1">IFERROR(__xludf.DUMMYFUNCTION("""COMPUTED_VALUE"""),-84.260381)</f>
        <v>-84.260380999999995</v>
      </c>
      <c r="AW333" s="8" t="str">
        <f ca="1">IFERROR(__xludf.DUMMYFUNCTION("""COMPUTED_VALUE"""),"Multiple attached buildings")</f>
        <v>Multiple attached buildings</v>
      </c>
      <c r="AX333" s="8">
        <f ca="1">IFERROR(__xludf.DUMMYFUNCTION("""COMPUTED_VALUE"""),45417)</f>
        <v>45417</v>
      </c>
    </row>
    <row r="334" spans="1:50" ht="30" x14ac:dyDescent="0.2">
      <c r="A334" s="8" t="str">
        <f ca="1">IFERROR(__xludf.DUMMYFUNCTION("""COMPUTED_VALUE"""),"20240701MDCOB")</f>
        <v>20240701MDCOB</v>
      </c>
      <c r="B334" s="8">
        <f ca="1">IFERROR(__xludf.DUMMYFUNCTION("""COMPUTED_VALUE"""),7)</f>
        <v>7</v>
      </c>
      <c r="C334" s="8">
        <f ca="1">IFERROR(__xludf.DUMMYFUNCTION("""COMPUTED_VALUE"""),1)</f>
        <v>1</v>
      </c>
      <c r="D334" s="8">
        <f ca="1">IFERROR(__xludf.DUMMYFUNCTION("""COMPUTED_VALUE"""),2024)</f>
        <v>2024</v>
      </c>
      <c r="E334" s="9">
        <f ca="1">IFERROR(__xludf.DUMMYFUNCTION("""COMPUTED_VALUE"""),45474)</f>
        <v>45474</v>
      </c>
      <c r="F334" s="8" t="str">
        <f ca="1">IFERROR(__xludf.DUMMYFUNCTION("""COMPUTED_VALUE"""),"Colgate Elementary School")</f>
        <v>Colgate Elementary School</v>
      </c>
      <c r="G334" s="8">
        <f ca="1">IFERROR(__xludf.DUMMYFUNCTION("""COMPUTED_VALUE"""),1)</f>
        <v>1</v>
      </c>
      <c r="H334" s="8">
        <f ca="1">IFERROR(__xludf.DUMMYFUNCTION("""COMPUTED_VALUE"""),0)</f>
        <v>0</v>
      </c>
      <c r="I334" s="8">
        <f ca="1">IFERROR(__xludf.DUMMYFUNCTION("""COMPUTED_VALUE"""),1)</f>
        <v>1</v>
      </c>
      <c r="J334" s="8">
        <f ca="1">IFERROR(__xludf.DUMMYFUNCTION("""COMPUTED_VALUE"""),0)</f>
        <v>0</v>
      </c>
      <c r="K334" s="8" t="str">
        <f ca="1">IFERROR(__xludf.DUMMYFUNCTION("""COMPUTED_VALUE"""),"https://www.wbaltv.com/article/man-dies-shot-near-baltimore-county-elementary-school/61479072#
https://www.wbal.com/police-man-fatally-shot-near-baltimore-county-elementary-school/")</f>
        <v>https://www.wbaltv.com/article/man-dies-shot-near-baltimore-county-elementary-school/61479072#
https://www.wbal.com/police-man-fatally-shot-near-baltimore-county-elementary-school/</v>
      </c>
      <c r="L334" s="8">
        <f ca="1">IFERROR(__xludf.DUMMYFUNCTION("""COMPUTED_VALUE"""),1)</f>
        <v>1</v>
      </c>
      <c r="M334" s="8" t="str">
        <f ca="1">IFERROR(__xludf.DUMMYFUNCTION("""COMPUTED_VALUE"""),"Local")</f>
        <v>Local</v>
      </c>
      <c r="N334" s="8">
        <f ca="1">IFERROR(__xludf.DUMMYFUNCTION("""COMPUTED_VALUE"""),2)</f>
        <v>2</v>
      </c>
      <c r="O334" s="8" t="str">
        <f ca="1">IFERROR(__xludf.DUMMYFUNCTION("""COMPUTED_VALUE"""),"Summer")</f>
        <v>Summer</v>
      </c>
      <c r="P334" s="8" t="str">
        <f ca="1">IFERROR(__xludf.DUMMYFUNCTION("""COMPUTED_VALUE"""),"Baltimore")</f>
        <v>Baltimore</v>
      </c>
      <c r="Q334" s="8" t="str">
        <f ca="1">IFERROR(__xludf.DUMMYFUNCTION("""COMPUTED_VALUE"""),"MD")</f>
        <v>MD</v>
      </c>
      <c r="R334" s="8" t="str">
        <f ca="1">IFERROR(__xludf.DUMMYFUNCTION("""COMPUTED_VALUE"""),"Elementary")</f>
        <v>Elementary</v>
      </c>
      <c r="S334" s="8" t="str">
        <f ca="1">IFERROR(__xludf.DUMMYFUNCTION("""COMPUTED_VALUE"""),"Front of School")</f>
        <v>Front of School</v>
      </c>
      <c r="T334" s="8" t="str">
        <f ca="1">IFERROR(__xludf.DUMMYFUNCTION("""COMPUTED_VALUE"""),"Outside on School Property")</f>
        <v>Outside on School Property</v>
      </c>
      <c r="U334" s="8" t="str">
        <f ca="1">IFERROR(__xludf.DUMMYFUNCTION("""COMPUTED_VALUE"""),"No")</f>
        <v>No</v>
      </c>
      <c r="V334" s="8" t="str">
        <f ca="1">IFERROR(__xludf.DUMMYFUNCTION("""COMPUTED_VALUE"""),"Night")</f>
        <v>Night</v>
      </c>
      <c r="W334" s="11">
        <f ca="1">IFERROR(__xludf.DUMMYFUNCTION("""COMPUTED_VALUE"""),0.916666666666666)</f>
        <v>0.91666666666666596</v>
      </c>
      <c r="X334" s="8">
        <f ca="1">IFERROR(__xludf.DUMMYFUNCTION("""COMPUTED_VALUE"""),1)</f>
        <v>1</v>
      </c>
      <c r="Y334" s="12" t="str">
        <f ca="1">IFERROR(__xludf.DUMMYFUNCTION("""COMPUTED_VALUE"""),"Man fatally shot in front of the school")</f>
        <v>Man fatally shot in front of the school</v>
      </c>
      <c r="Z334" s="12" t="str">
        <f ca="1">IFERROR(__xludf.DUMMYFUNCTION("""COMPUTED_VALUE"""),"Man fatally shot in front of the school.")</f>
        <v>Man fatally shot in front of the school.</v>
      </c>
      <c r="AA334" s="8"/>
      <c r="AB334" s="8"/>
      <c r="AC334" s="8" t="str">
        <f ca="1">IFERROR(__xludf.DUMMYFUNCTION("""COMPUTED_VALUE"""),"No")</f>
        <v>No</v>
      </c>
      <c r="AD334" s="8"/>
      <c r="AE334" s="8"/>
      <c r="AF334" s="8"/>
      <c r="AG334" s="8" t="str">
        <f ca="1">IFERROR(__xludf.DUMMYFUNCTION("""COMPUTED_VALUE"""),"No")</f>
        <v>No</v>
      </c>
      <c r="AH334" s="8" t="str">
        <f ca="1">IFERROR(__xludf.DUMMYFUNCTION("""COMPUTED_VALUE"""),"No")</f>
        <v>No</v>
      </c>
      <c r="AI334" s="8" t="str">
        <f ca="1">IFERROR(__xludf.DUMMYFUNCTION("""COMPUTED_VALUE"""),"No")</f>
        <v>No</v>
      </c>
      <c r="AJ334" s="8" t="str">
        <f ca="1">IFERROR(__xludf.DUMMYFUNCTION("""COMPUTED_VALUE"""),"No")</f>
        <v>No</v>
      </c>
      <c r="AK334" s="8" t="str">
        <f ca="1">IFERROR(__xludf.DUMMYFUNCTION("""COMPUTED_VALUE"""),"No")</f>
        <v>No</v>
      </c>
      <c r="AL334" s="8"/>
      <c r="AM334" s="8" t="str">
        <f ca="1">IFERROR(__xludf.DUMMYFUNCTION("""COMPUTED_VALUE"""),"No")</f>
        <v>No</v>
      </c>
      <c r="AN334" s="8" t="str">
        <f ca="1">IFERROR(__xludf.DUMMYFUNCTION("""COMPUTED_VALUE"""),"Outside")</f>
        <v>Outside</v>
      </c>
      <c r="AO334" s="8" t="str">
        <f ca="1">IFERROR(__xludf.DUMMYFUNCTION("""COMPUTED_VALUE"""),"No")</f>
        <v>No</v>
      </c>
      <c r="AP334" s="8"/>
      <c r="AQ334" s="8"/>
      <c r="AR334" s="8" t="str">
        <f ca="1">IFERROR(__xludf.DUMMYFUNCTION("""COMPUTED_VALUE"""),"Outside/Off-Property")</f>
        <v>Outside/Off-Property</v>
      </c>
      <c r="AS334" s="8"/>
      <c r="AT334" s="8" t="str">
        <f ca="1">IFERROR(__xludf.DUMMYFUNCTION("""COMPUTED_VALUE"""),"No")</f>
        <v>No</v>
      </c>
      <c r="AU334" s="8">
        <f ca="1">IFERROR(__xludf.DUMMYFUNCTION("""COMPUTED_VALUE"""),39.294943)</f>
        <v>39.294943000000004</v>
      </c>
      <c r="AV334" s="8">
        <f ca="1">IFERROR(__xludf.DUMMYFUNCTION("""COMPUTED_VALUE"""),-76.518884)</f>
        <v>-76.518884</v>
      </c>
      <c r="AW334" s="8" t="str">
        <f ca="1">IFERROR(__xludf.DUMMYFUNCTION("""COMPUTED_VALUE"""),"Multiple detached buildings")</f>
        <v>Multiple detached buildings</v>
      </c>
      <c r="AX334" s="8">
        <f ca="1">IFERROR(__xludf.DUMMYFUNCTION("""COMPUTED_VALUE"""),21224)</f>
        <v>21224</v>
      </c>
    </row>
    <row r="335" spans="1:50" ht="210" x14ac:dyDescent="0.2">
      <c r="A335" s="8" t="str">
        <f ca="1">IFERROR(__xludf.DUMMYFUNCTION("""COMPUTED_VALUE"""),"20240630MNROR")</f>
        <v>20240630MNROR</v>
      </c>
      <c r="B335" s="8">
        <f ca="1">IFERROR(__xludf.DUMMYFUNCTION("""COMPUTED_VALUE"""),6)</f>
        <v>6</v>
      </c>
      <c r="C335" s="8">
        <f ca="1">IFERROR(__xludf.DUMMYFUNCTION("""COMPUTED_VALUE"""),30)</f>
        <v>30</v>
      </c>
      <c r="D335" s="8">
        <f ca="1">IFERROR(__xludf.DUMMYFUNCTION("""COMPUTED_VALUE"""),2024)</f>
        <v>2024</v>
      </c>
      <c r="E335" s="9">
        <f ca="1">IFERROR(__xludf.DUMMYFUNCTION("""COMPUTED_VALUE"""),45473)</f>
        <v>45473</v>
      </c>
      <c r="F335" s="8" t="str">
        <f ca="1">IFERROR(__xludf.DUMMYFUNCTION("""COMPUTED_VALUE"""),"Rochester Arts and Sciences Academy")</f>
        <v>Rochester Arts and Sciences Academy</v>
      </c>
      <c r="G335" s="8">
        <f ca="1">IFERROR(__xludf.DUMMYFUNCTION("""COMPUTED_VALUE"""),0)</f>
        <v>0</v>
      </c>
      <c r="H335" s="8">
        <f ca="1">IFERROR(__xludf.DUMMYFUNCTION("""COMPUTED_VALUE"""),0)</f>
        <v>0</v>
      </c>
      <c r="I335" s="8">
        <f ca="1">IFERROR(__xludf.DUMMYFUNCTION("""COMPUTED_VALUE"""),0)</f>
        <v>0</v>
      </c>
      <c r="J335" s="8">
        <f ca="1">IFERROR(__xludf.DUMMYFUNCTION("""COMPUTED_VALUE"""),0)</f>
        <v>0</v>
      </c>
      <c r="K335" s="10" t="str">
        <f ca="1">IFERROR(__xludf.DUMMYFUNCTION("""COMPUTED_VALUE"""),"https://www.kaaltv.com/news/man-arrested-with-replica-rifle-in-front-of-rochester-school/")</f>
        <v>https://www.kaaltv.com/news/man-arrested-with-replica-rifle-in-front-of-rochester-school/</v>
      </c>
      <c r="L335" s="8">
        <f ca="1">IFERROR(__xludf.DUMMYFUNCTION("""COMPUTED_VALUE"""),1)</f>
        <v>1</v>
      </c>
      <c r="M335" s="8" t="str">
        <f ca="1">IFERROR(__xludf.DUMMYFUNCTION("""COMPUTED_VALUE"""),"Local")</f>
        <v>Local</v>
      </c>
      <c r="N335" s="8">
        <f ca="1">IFERROR(__xludf.DUMMYFUNCTION("""COMPUTED_VALUE"""),4)</f>
        <v>4</v>
      </c>
      <c r="O335" s="8" t="str">
        <f ca="1">IFERROR(__xludf.DUMMYFUNCTION("""COMPUTED_VALUE"""),"Summer")</f>
        <v>Summer</v>
      </c>
      <c r="P335" s="8" t="str">
        <f ca="1">IFERROR(__xludf.DUMMYFUNCTION("""COMPUTED_VALUE"""),"Rochester")</f>
        <v>Rochester</v>
      </c>
      <c r="Q335" s="8" t="str">
        <f ca="1">IFERROR(__xludf.DUMMYFUNCTION("""COMPUTED_VALUE"""),"MN")</f>
        <v>MN</v>
      </c>
      <c r="R335" s="8" t="str">
        <f ca="1">IFERROR(__xludf.DUMMYFUNCTION("""COMPUTED_VALUE"""),"High")</f>
        <v>High</v>
      </c>
      <c r="S335" s="8" t="str">
        <f ca="1">IFERROR(__xludf.DUMMYFUNCTION("""COMPUTED_VALUE"""),"Front of School")</f>
        <v>Front of School</v>
      </c>
      <c r="T335" s="8" t="str">
        <f ca="1">IFERROR(__xludf.DUMMYFUNCTION("""COMPUTED_VALUE"""),"Outside on School Property")</f>
        <v>Outside on School Property</v>
      </c>
      <c r="U335" s="8" t="str">
        <f ca="1">IFERROR(__xludf.DUMMYFUNCTION("""COMPUTED_VALUE"""),"No")</f>
        <v>No</v>
      </c>
      <c r="V335" s="8" t="str">
        <f ca="1">IFERROR(__xludf.DUMMYFUNCTION("""COMPUTED_VALUE"""),"Night")</f>
        <v>Night</v>
      </c>
      <c r="W335" s="11">
        <f ca="1">IFERROR(__xludf.DUMMYFUNCTION("""COMPUTED_VALUE"""),0.979166666666666)</f>
        <v>0.97916666666666596</v>
      </c>
      <c r="X335" s="8">
        <f ca="1">IFERROR(__xludf.DUMMYFUNCTION("""COMPUTED_VALUE"""),1)</f>
        <v>1</v>
      </c>
      <c r="Y335" s="12" t="str">
        <f ca="1">IFERROR(__xludf.DUMMYFUNCTION("""COMPUTED_VALUE"""),"Man wearing camo and tactical vest with replica airsoft rifle was ""practicing tactical moves"" and firing shots at the school")</f>
        <v>Man wearing camo and tactical vest with replica airsoft rifle was "practicing tactical moves" and firing shots at the school</v>
      </c>
      <c r="Z335" s="12" t="str">
        <f ca="1">IFERROR(__xludf.DUMMYFUNCTION("""COMPUTED_VALUE"""),"A Rochester man was arrested for allegedly “practice(ing) his tactical moves” and shooting at a Rochester school Sunday. Jakob Barrows, 20, faces recommended charges of using a BB gun/replica firearm on school property; carrying a BB gun/assault weapon in"&amp;" public; weapons–BB Gun/replica firearm on school property; and disorderly conduct. According to Rochester police at about 11:30 p.m. June 30, Rochester police learned a man was wearing a mask and carrying what looked like an AK47 at the Tom Kadlec Kia on"&amp;" Highway 52. As Rochester police responded to Highway 52, dispatch received another call that a staff member at Rochester Arts and Sciences Academy could see a man wearing camouflage and carrying a rifle in front of the school.")</f>
        <v>A Rochester man was arrested for allegedly “practice(ing) his tactical moves” and shooting at a Rochester school Sunday. Jakob Barrows, 20, faces recommended charges of using a BB gun/replica firearm on school property; carrying a BB gun/assault weapon in public; weapons–BB Gun/replica firearm on school property; and disorderly conduct. According to Rochester police at about 11:30 p.m. June 30, Rochester police learned a man was wearing a mask and carrying what looked like an AK47 at the Tom Kadlec Kia on Highway 52. As Rochester police responded to Highway 52, dispatch received another call that a staff member at Rochester Arts and Sciences Academy could see a man wearing camouflage and carrying a rifle in front of the school.</v>
      </c>
      <c r="AA335" s="8" t="str">
        <f ca="1">IFERROR(__xludf.DUMMYFUNCTION("""COMPUTED_VALUE"""),"Intentional Property Damage")</f>
        <v>Intentional Property Damage</v>
      </c>
      <c r="AB335" s="8"/>
      <c r="AC335" s="8" t="str">
        <f ca="1">IFERROR(__xludf.DUMMYFUNCTION("""COMPUTED_VALUE"""),"No")</f>
        <v>No</v>
      </c>
      <c r="AD335" s="8" t="str">
        <f ca="1">IFERROR(__xludf.DUMMYFUNCTION("""COMPUTED_VALUE"""),"Neither")</f>
        <v>Neither</v>
      </c>
      <c r="AE335" s="8" t="str">
        <f ca="1">IFERROR(__xludf.DUMMYFUNCTION("""COMPUTED_VALUE"""),"No")</f>
        <v>No</v>
      </c>
      <c r="AF335" s="8"/>
      <c r="AG335" s="8" t="str">
        <f ca="1">IFERROR(__xludf.DUMMYFUNCTION("""COMPUTED_VALUE"""),"No")</f>
        <v>No</v>
      </c>
      <c r="AH335" s="8" t="str">
        <f ca="1">IFERROR(__xludf.DUMMYFUNCTION("""COMPUTED_VALUE"""),"No")</f>
        <v>No</v>
      </c>
      <c r="AI335" s="8" t="str">
        <f ca="1">IFERROR(__xludf.DUMMYFUNCTION("""COMPUTED_VALUE"""),"No")</f>
        <v>No</v>
      </c>
      <c r="AJ335" s="8" t="str">
        <f ca="1">IFERROR(__xludf.DUMMYFUNCTION("""COMPUTED_VALUE"""),"No")</f>
        <v>No</v>
      </c>
      <c r="AK335" s="8" t="str">
        <f ca="1">IFERROR(__xludf.DUMMYFUNCTION("""COMPUTED_VALUE"""),"No")</f>
        <v>No</v>
      </c>
      <c r="AL335" s="8" t="str">
        <f ca="1">IFERROR(__xludf.DUMMYFUNCTION("""COMPUTED_VALUE"""),"No")</f>
        <v>No</v>
      </c>
      <c r="AM335" s="8" t="str">
        <f ca="1">IFERROR(__xludf.DUMMYFUNCTION("""COMPUTED_VALUE"""),"No")</f>
        <v>No</v>
      </c>
      <c r="AN335" s="8" t="str">
        <f ca="1">IFERROR(__xludf.DUMMYFUNCTION("""COMPUTED_VALUE"""),"Outside")</f>
        <v>Outside</v>
      </c>
      <c r="AO335" s="8" t="str">
        <f ca="1">IFERROR(__xludf.DUMMYFUNCTION("""COMPUTED_VALUE"""),"No")</f>
        <v>No</v>
      </c>
      <c r="AP335" s="8"/>
      <c r="AQ335" s="8"/>
      <c r="AR335" s="8" t="str">
        <f ca="1">IFERROR(__xludf.DUMMYFUNCTION("""COMPUTED_VALUE"""),"Outside/Off-Property")</f>
        <v>Outside/Off-Property</v>
      </c>
      <c r="AS335" s="8">
        <f ca="1">IFERROR(__xludf.DUMMYFUNCTION("""COMPUTED_VALUE"""),99)</f>
        <v>99</v>
      </c>
      <c r="AT335" s="8" t="str">
        <f ca="1">IFERROR(__xludf.DUMMYFUNCTION("""COMPUTED_VALUE"""),"No")</f>
        <v>No</v>
      </c>
      <c r="AU335" s="8">
        <f ca="1">IFERROR(__xludf.DUMMYFUNCTION("""COMPUTED_VALUE"""),44.071465)</f>
        <v>44.071465000000003</v>
      </c>
      <c r="AV335" s="8">
        <f ca="1">IFERROR(__xludf.DUMMYFUNCTION("""COMPUTED_VALUE"""),-92.498841)</f>
        <v>-92.498840999999999</v>
      </c>
      <c r="AW335" s="8" t="str">
        <f ca="1">IFERROR(__xludf.DUMMYFUNCTION("""COMPUTED_VALUE"""),"Single building indoor hallway")</f>
        <v>Single building indoor hallway</v>
      </c>
      <c r="AX335" s="8">
        <f ca="1">IFERROR(__xludf.DUMMYFUNCTION("""COMPUTED_VALUE"""),55901)</f>
        <v>55901</v>
      </c>
    </row>
    <row r="336" spans="1:50" ht="45" x14ac:dyDescent="0.2">
      <c r="A336" s="8" t="str">
        <f ca="1">IFERROR(__xludf.DUMMYFUNCTION("""COMPUTED_VALUE"""),"20240623PAWAP")</f>
        <v>20240623PAWAP</v>
      </c>
      <c r="B336" s="8">
        <f ca="1">IFERROR(__xludf.DUMMYFUNCTION("""COMPUTED_VALUE"""),6)</f>
        <v>6</v>
      </c>
      <c r="C336" s="8">
        <f ca="1">IFERROR(__xludf.DUMMYFUNCTION("""COMPUTED_VALUE"""),23)</f>
        <v>23</v>
      </c>
      <c r="D336" s="8">
        <f ca="1">IFERROR(__xludf.DUMMYFUNCTION("""COMPUTED_VALUE"""),2024)</f>
        <v>2024</v>
      </c>
      <c r="E336" s="9">
        <f ca="1">IFERROR(__xludf.DUMMYFUNCTION("""COMPUTED_VALUE"""),45466)</f>
        <v>45466</v>
      </c>
      <c r="F336" s="8" t="str">
        <f ca="1">IFERROR(__xludf.DUMMYFUNCTION("""COMPUTED_VALUE"""),"Warring Elementary School")</f>
        <v>Warring Elementary School</v>
      </c>
      <c r="G336" s="8">
        <f ca="1">IFERROR(__xludf.DUMMYFUNCTION("""COMPUTED_VALUE"""),0)</f>
        <v>0</v>
      </c>
      <c r="H336" s="8">
        <f ca="1">IFERROR(__xludf.DUMMYFUNCTION("""COMPUTED_VALUE"""),1)</f>
        <v>1</v>
      </c>
      <c r="I336" s="8">
        <f ca="1">IFERROR(__xludf.DUMMYFUNCTION("""COMPUTED_VALUE"""),1)</f>
        <v>1</v>
      </c>
      <c r="J336" s="8">
        <f ca="1">IFERROR(__xludf.DUMMYFUNCTION("""COMPUTED_VALUE"""),0)</f>
        <v>0</v>
      </c>
      <c r="K336" s="10" t="str">
        <f ca="1">IFERROR(__xludf.DUMMYFUNCTION("""COMPUTED_VALUE"""),"https://midhudsonnews.com/2024/06/23/police-investigate-shooting-near-poughkeepsie-school/")</f>
        <v>https://midhudsonnews.com/2024/06/23/police-investigate-shooting-near-poughkeepsie-school/</v>
      </c>
      <c r="L336" s="8">
        <f ca="1">IFERROR(__xludf.DUMMYFUNCTION("""COMPUTED_VALUE"""),1)</f>
        <v>1</v>
      </c>
      <c r="M336" s="8" t="str">
        <f ca="1">IFERROR(__xludf.DUMMYFUNCTION("""COMPUTED_VALUE"""),"Local")</f>
        <v>Local</v>
      </c>
      <c r="N336" s="8">
        <f ca="1">IFERROR(__xludf.DUMMYFUNCTION("""COMPUTED_VALUE"""),3)</f>
        <v>3</v>
      </c>
      <c r="O336" s="8" t="str">
        <f ca="1">IFERROR(__xludf.DUMMYFUNCTION("""COMPUTED_VALUE"""),"Summer")</f>
        <v>Summer</v>
      </c>
      <c r="P336" s="8" t="str">
        <f ca="1">IFERROR(__xludf.DUMMYFUNCTION("""COMPUTED_VALUE"""),"Poughkeepsie")</f>
        <v>Poughkeepsie</v>
      </c>
      <c r="Q336" s="8" t="str">
        <f ca="1">IFERROR(__xludf.DUMMYFUNCTION("""COMPUTED_VALUE"""),"PA")</f>
        <v>PA</v>
      </c>
      <c r="R336" s="8" t="str">
        <f ca="1">IFERROR(__xludf.DUMMYFUNCTION("""COMPUTED_VALUE"""),"Elementary")</f>
        <v>Elementary</v>
      </c>
      <c r="S336" s="8" t="str">
        <f ca="1">IFERROR(__xludf.DUMMYFUNCTION("""COMPUTED_VALUE"""),"Playground")</f>
        <v>Playground</v>
      </c>
      <c r="T336" s="8" t="str">
        <f ca="1">IFERROR(__xludf.DUMMYFUNCTION("""COMPUTED_VALUE"""),"Outside on School Property")</f>
        <v>Outside on School Property</v>
      </c>
      <c r="U336" s="8" t="str">
        <f ca="1">IFERROR(__xludf.DUMMYFUNCTION("""COMPUTED_VALUE"""),"No")</f>
        <v>No</v>
      </c>
      <c r="V336" s="8" t="str">
        <f ca="1">IFERROR(__xludf.DUMMYFUNCTION("""COMPUTED_VALUE"""),"Not a School Day")</f>
        <v>Not a School Day</v>
      </c>
      <c r="W336" s="11">
        <f ca="1">IFERROR(__xludf.DUMMYFUNCTION("""COMPUTED_VALUE"""),0.583333333333333)</f>
        <v>0.58333333333333304</v>
      </c>
      <c r="X336" s="8">
        <f ca="1">IFERROR(__xludf.DUMMYFUNCTION("""COMPUTED_VALUE"""),1)</f>
        <v>1</v>
      </c>
      <c r="Y336" s="12" t="str">
        <f ca="1">IFERROR(__xludf.DUMMYFUNCTION("""COMPUTED_VALUE"""),"Man shot on school playground")</f>
        <v>Man shot on school playground</v>
      </c>
      <c r="Z336" s="12" t="str">
        <f ca="1">IFERROR(__xludf.DUMMYFUNCTION("""COMPUTED_VALUE"""),"Adult man shot on the school playground. Shooter fled before police arrived. No children were in the area when the shooting happened.")</f>
        <v>Adult man shot on the school playground. Shooter fled before police arrived. No children were in the area when the shooting happened.</v>
      </c>
      <c r="AA336" s="8"/>
      <c r="AB336" s="8"/>
      <c r="AC336" s="8" t="str">
        <f ca="1">IFERROR(__xludf.DUMMYFUNCTION("""COMPUTED_VALUE"""),"No")</f>
        <v>No</v>
      </c>
      <c r="AD336" s="8" t="str">
        <f ca="1">IFERROR(__xludf.DUMMYFUNCTION("""COMPUTED_VALUE"""),"Victims Targeted")</f>
        <v>Victims Targeted</v>
      </c>
      <c r="AE336" s="8" t="str">
        <f ca="1">IFERROR(__xludf.DUMMYFUNCTION("""COMPUTED_VALUE"""),"No")</f>
        <v>No</v>
      </c>
      <c r="AF336" s="8"/>
      <c r="AG336" s="8" t="str">
        <f ca="1">IFERROR(__xludf.DUMMYFUNCTION("""COMPUTED_VALUE"""),"No")</f>
        <v>No</v>
      </c>
      <c r="AH336" s="8" t="str">
        <f ca="1">IFERROR(__xludf.DUMMYFUNCTION("""COMPUTED_VALUE"""),"No")</f>
        <v>No</v>
      </c>
      <c r="AI336" s="8" t="str">
        <f ca="1">IFERROR(__xludf.DUMMYFUNCTION("""COMPUTED_VALUE"""),"No")</f>
        <v>No</v>
      </c>
      <c r="AJ336" s="8" t="str">
        <f ca="1">IFERROR(__xludf.DUMMYFUNCTION("""COMPUTED_VALUE"""),"No")</f>
        <v>No</v>
      </c>
      <c r="AK336" s="8" t="str">
        <f ca="1">IFERROR(__xludf.DUMMYFUNCTION("""COMPUTED_VALUE"""),"No")</f>
        <v>No</v>
      </c>
      <c r="AL336" s="8"/>
      <c r="AM336" s="8" t="str">
        <f ca="1">IFERROR(__xludf.DUMMYFUNCTION("""COMPUTED_VALUE"""),"No")</f>
        <v>No</v>
      </c>
      <c r="AN336" s="8" t="str">
        <f ca="1">IFERROR(__xludf.DUMMYFUNCTION("""COMPUTED_VALUE"""),"Outside")</f>
        <v>Outside</v>
      </c>
      <c r="AO336" s="8" t="str">
        <f ca="1">IFERROR(__xludf.DUMMYFUNCTION("""COMPUTED_VALUE"""),"No")</f>
        <v>No</v>
      </c>
      <c r="AP336" s="8"/>
      <c r="AQ336" s="8"/>
      <c r="AR336" s="8" t="str">
        <f ca="1">IFERROR(__xludf.DUMMYFUNCTION("""COMPUTED_VALUE"""),"Outside/Off-Property")</f>
        <v>Outside/Off-Property</v>
      </c>
      <c r="AS336" s="8"/>
      <c r="AT336" s="8" t="str">
        <f ca="1">IFERROR(__xludf.DUMMYFUNCTION("""COMPUTED_VALUE"""),"No")</f>
        <v>No</v>
      </c>
      <c r="AU336" s="8">
        <f ca="1">IFERROR(__xludf.DUMMYFUNCTION("""COMPUTED_VALUE"""),41.705252)</f>
        <v>41.705252000000002</v>
      </c>
      <c r="AV336" s="8">
        <f ca="1">IFERROR(__xludf.DUMMYFUNCTION("""COMPUTED_VALUE"""),-73.915177)</f>
        <v>-73.915177</v>
      </c>
      <c r="AW336" s="8" t="str">
        <f ca="1">IFERROR(__xludf.DUMMYFUNCTION("""COMPUTED_VALUE"""),"Single building indoor hallway")</f>
        <v>Single building indoor hallway</v>
      </c>
      <c r="AX336" s="8">
        <f ca="1">IFERROR(__xludf.DUMMYFUNCTION("""COMPUTED_VALUE"""),12601)</f>
        <v>12601</v>
      </c>
    </row>
    <row r="337" spans="1:50" ht="180" x14ac:dyDescent="0.2">
      <c r="A337" s="8" t="str">
        <f ca="1">IFERROR(__xludf.DUMMYFUNCTION("""COMPUTED_VALUE"""),"20240621SCBRE")</f>
        <v>20240621SCBRE</v>
      </c>
      <c r="B337" s="8">
        <f ca="1">IFERROR(__xludf.DUMMYFUNCTION("""COMPUTED_VALUE"""),6)</f>
        <v>6</v>
      </c>
      <c r="C337" s="8">
        <f ca="1">IFERROR(__xludf.DUMMYFUNCTION("""COMPUTED_VALUE"""),21)</f>
        <v>21</v>
      </c>
      <c r="D337" s="8">
        <f ca="1">IFERROR(__xludf.DUMMYFUNCTION("""COMPUTED_VALUE"""),2024)</f>
        <v>2024</v>
      </c>
      <c r="E337" s="9">
        <f ca="1">IFERROR(__xludf.DUMMYFUNCTION("""COMPUTED_VALUE"""),45464)</f>
        <v>45464</v>
      </c>
      <c r="F337" s="8" t="str">
        <f ca="1">IFERROR(__xludf.DUMMYFUNCTION("""COMPUTED_VALUE"""),"Bridge Creek Elementary School")</f>
        <v>Bridge Creek Elementary School</v>
      </c>
      <c r="G337" s="8">
        <f ca="1">IFERROR(__xludf.DUMMYFUNCTION("""COMPUTED_VALUE"""),0)</f>
        <v>0</v>
      </c>
      <c r="H337" s="8">
        <f ca="1">IFERROR(__xludf.DUMMYFUNCTION("""COMPUTED_VALUE"""),1)</f>
        <v>1</v>
      </c>
      <c r="I337" s="8">
        <f ca="1">IFERROR(__xludf.DUMMYFUNCTION("""COMPUTED_VALUE"""),1)</f>
        <v>1</v>
      </c>
      <c r="J337" s="8">
        <f ca="1">IFERROR(__xludf.DUMMYFUNCTION("""COMPUTED_VALUE"""),0)</f>
        <v>0</v>
      </c>
      <c r="K337" s="8" t="str">
        <f ca="1">IFERROR(__xludf.DUMMYFUNCTION("""COMPUTED_VALUE"""),"https://www.wistv.com/2024/06/24/teen-shot-while-playing-with-water-guns-behind-elementary-school-elgin-deputies-say/
https://wach.com/news/local/deputies-investigate-one-shot-near-bridge-creek-elementary")</f>
        <v>https://www.wistv.com/2024/06/24/teen-shot-while-playing-with-water-guns-behind-elementary-school-elgin-deputies-say/
https://wach.com/news/local/deputies-investigate-one-shot-near-bridge-creek-elementary</v>
      </c>
      <c r="L337" s="8">
        <f ca="1">IFERROR(__xludf.DUMMYFUNCTION("""COMPUTED_VALUE"""),2)</f>
        <v>2</v>
      </c>
      <c r="M337" s="8" t="str">
        <f ca="1">IFERROR(__xludf.DUMMYFUNCTION("""COMPUTED_VALUE"""),"Local")</f>
        <v>Local</v>
      </c>
      <c r="N337" s="8">
        <f ca="1">IFERROR(__xludf.DUMMYFUNCTION("""COMPUTED_VALUE"""),3)</f>
        <v>3</v>
      </c>
      <c r="O337" s="8" t="str">
        <f ca="1">IFERROR(__xludf.DUMMYFUNCTION("""COMPUTED_VALUE"""),"Summer")</f>
        <v>Summer</v>
      </c>
      <c r="P337" s="8" t="str">
        <f ca="1">IFERROR(__xludf.DUMMYFUNCTION("""COMPUTED_VALUE"""),"Elgin")</f>
        <v>Elgin</v>
      </c>
      <c r="Q337" s="8" t="str">
        <f ca="1">IFERROR(__xludf.DUMMYFUNCTION("""COMPUTED_VALUE"""),"SC")</f>
        <v>SC</v>
      </c>
      <c r="R337" s="8" t="str">
        <f ca="1">IFERROR(__xludf.DUMMYFUNCTION("""COMPUTED_VALUE"""),"Elementary")</f>
        <v>Elementary</v>
      </c>
      <c r="S337" s="8" t="str">
        <f ca="1">IFERROR(__xludf.DUMMYFUNCTION("""COMPUTED_VALUE"""),"Parking Lot")</f>
        <v>Parking Lot</v>
      </c>
      <c r="T337" s="8" t="str">
        <f ca="1">IFERROR(__xludf.DUMMYFUNCTION("""COMPUTED_VALUE"""),"Outside on School Property")</f>
        <v>Outside on School Property</v>
      </c>
      <c r="U337" s="8" t="str">
        <f ca="1">IFERROR(__xludf.DUMMYFUNCTION("""COMPUTED_VALUE"""),"No")</f>
        <v>No</v>
      </c>
      <c r="V337" s="8" t="str">
        <f ca="1">IFERROR(__xludf.DUMMYFUNCTION("""COMPUTED_VALUE"""),"Evening")</f>
        <v>Evening</v>
      </c>
      <c r="W337" s="11">
        <f ca="1">IFERROR(__xludf.DUMMYFUNCTION("""COMPUTED_VALUE"""),0.75)</f>
        <v>0.75</v>
      </c>
      <c r="X337" s="8">
        <f ca="1">IFERROR(__xludf.DUMMYFUNCTION("""COMPUTED_VALUE"""),1)</f>
        <v>1</v>
      </c>
      <c r="Y337" s="12" t="str">
        <f ca="1">IFERROR(__xludf.DUMMYFUNCTION("""COMPUTED_VALUE"""),"Teen playing with water gun was shot by a teen with a real gun outside the school")</f>
        <v>Teen playing with water gun was shot by a teen with a real gun outside the school</v>
      </c>
      <c r="Z337" s="12" t="str">
        <f ca="1">IFERROR(__xludf.DUMMYFUNCTION("""COMPUTED_VALUE"""),"A redacted incident report from RCSD said the shooting occurred shortly after 6 p.m. Friday behind Bridge Creek Elementary School on Bombing Range Road. The teen who was shot arrived at Bridge Creek with a group to play with water guns, the department sta"&amp;"ted. Deputies told WIS News 10 they were trying to have fun in the heat and that there were no summer activities going on at the school at the time of the shooting. While they were playing, another group of unknown individuals showed up and attacked the t"&amp;"eenager. As the teenager and his group fled the scene, the suspects fired shots and struck the victim in the lower body, according to the incident report.")</f>
        <v>A redacted incident report from RCSD said the shooting occurred shortly after 6 p.m. Friday behind Bridge Creek Elementary School on Bombing Range Road. The teen who was shot arrived at Bridge Creek with a group to play with water guns, the department stated. Deputies told WIS News 10 they were trying to have fun in the heat and that there were no summer activities going on at the school at the time of the shooting. While they were playing, another group of unknown individuals showed up and attacked the teenager. As the teenager and his group fled the scene, the suspects fired shots and struck the victim in the lower body, according to the incident report.</v>
      </c>
      <c r="AA337" s="8"/>
      <c r="AB337" s="8" t="str">
        <f ca="1">IFERROR(__xludf.DUMMYFUNCTION("""COMPUTED_VALUE"""),"Targeted")</f>
        <v>Targeted</v>
      </c>
      <c r="AC337" s="8" t="str">
        <f ca="1">IFERROR(__xludf.DUMMYFUNCTION("""COMPUTED_VALUE"""),"No")</f>
        <v>No</v>
      </c>
      <c r="AD337" s="8" t="str">
        <f ca="1">IFERROR(__xludf.DUMMYFUNCTION("""COMPUTED_VALUE"""),"Victims Targeted")</f>
        <v>Victims Targeted</v>
      </c>
      <c r="AE337" s="8" t="str">
        <f ca="1">IFERROR(__xludf.DUMMYFUNCTION("""COMPUTED_VALUE"""),"No")</f>
        <v>No</v>
      </c>
      <c r="AF337" s="8"/>
      <c r="AG337" s="8" t="str">
        <f ca="1">IFERROR(__xludf.DUMMYFUNCTION("""COMPUTED_VALUE"""),"No")</f>
        <v>No</v>
      </c>
      <c r="AH337" s="8" t="str">
        <f ca="1">IFERROR(__xludf.DUMMYFUNCTION("""COMPUTED_VALUE"""),"No")</f>
        <v>No</v>
      </c>
      <c r="AI337" s="8" t="str">
        <f ca="1">IFERROR(__xludf.DUMMYFUNCTION("""COMPUTED_VALUE"""),"No")</f>
        <v>No</v>
      </c>
      <c r="AJ337" s="8" t="str">
        <f ca="1">IFERROR(__xludf.DUMMYFUNCTION("""COMPUTED_VALUE"""),"No")</f>
        <v>No</v>
      </c>
      <c r="AK337" s="8" t="str">
        <f ca="1">IFERROR(__xludf.DUMMYFUNCTION("""COMPUTED_VALUE"""),"No")</f>
        <v>No</v>
      </c>
      <c r="AL337" s="8" t="str">
        <f ca="1">IFERROR(__xludf.DUMMYFUNCTION("""COMPUTED_VALUE"""),"No")</f>
        <v>No</v>
      </c>
      <c r="AM337" s="8" t="str">
        <f ca="1">IFERROR(__xludf.DUMMYFUNCTION("""COMPUTED_VALUE"""),"No")</f>
        <v>No</v>
      </c>
      <c r="AN337" s="8" t="str">
        <f ca="1">IFERROR(__xludf.DUMMYFUNCTION("""COMPUTED_VALUE"""),"Outside")</f>
        <v>Outside</v>
      </c>
      <c r="AO337" s="8" t="str">
        <f ca="1">IFERROR(__xludf.DUMMYFUNCTION("""COMPUTED_VALUE"""),"No")</f>
        <v>No</v>
      </c>
      <c r="AP337" s="8"/>
      <c r="AQ337" s="8"/>
      <c r="AR337" s="8" t="str">
        <f ca="1">IFERROR(__xludf.DUMMYFUNCTION("""COMPUTED_VALUE"""),"Outside/Off-Property")</f>
        <v>Outside/Off-Property</v>
      </c>
      <c r="AS337" s="8">
        <f ca="1">IFERROR(__xludf.DUMMYFUNCTION("""COMPUTED_VALUE"""),99)</f>
        <v>99</v>
      </c>
      <c r="AT337" s="8" t="str">
        <f ca="1">IFERROR(__xludf.DUMMYFUNCTION("""COMPUTED_VALUE"""),"No")</f>
        <v>No</v>
      </c>
      <c r="AU337" s="8">
        <f ca="1">IFERROR(__xludf.DUMMYFUNCTION("""COMPUTED_VALUE"""),34.165144)</f>
        <v>34.165143999999998</v>
      </c>
      <c r="AV337" s="8">
        <f ca="1">IFERROR(__xludf.DUMMYFUNCTION("""COMPUTED_VALUE"""),-80.860056)</f>
        <v>-80.860056</v>
      </c>
      <c r="AW337" s="8" t="str">
        <f ca="1">IFERROR(__xludf.DUMMYFUNCTION("""COMPUTED_VALUE"""),"Multiple attached buildings")</f>
        <v>Multiple attached buildings</v>
      </c>
      <c r="AX337" s="8">
        <f ca="1">IFERROR(__xludf.DUMMYFUNCTION("""COMPUTED_VALUE"""),29045)</f>
        <v>29045</v>
      </c>
    </row>
    <row r="338" spans="1:50" ht="60" x14ac:dyDescent="0.2">
      <c r="A338" s="8" t="str">
        <f ca="1">IFERROR(__xludf.DUMMYFUNCTION("""COMPUTED_VALUE"""),"20240619NCLIS")</f>
        <v>20240619NCLIS</v>
      </c>
      <c r="B338" s="8">
        <f ca="1">IFERROR(__xludf.DUMMYFUNCTION("""COMPUTED_VALUE"""),6)</f>
        <v>6</v>
      </c>
      <c r="C338" s="8">
        <f ca="1">IFERROR(__xludf.DUMMYFUNCTION("""COMPUTED_VALUE"""),19)</f>
        <v>19</v>
      </c>
      <c r="D338" s="8">
        <f ca="1">IFERROR(__xludf.DUMMYFUNCTION("""COMPUTED_VALUE"""),2024)</f>
        <v>2024</v>
      </c>
      <c r="E338" s="9">
        <f ca="1">IFERROR(__xludf.DUMMYFUNCTION("""COMPUTED_VALUE"""),45462)</f>
        <v>45462</v>
      </c>
      <c r="F338" s="8" t="str">
        <f ca="1">IFERROR(__xludf.DUMMYFUNCTION("""COMPUTED_VALUE"""),"Lincoln County School Bus")</f>
        <v>Lincoln County School Bus</v>
      </c>
      <c r="G338" s="8">
        <f ca="1">IFERROR(__xludf.DUMMYFUNCTION("""COMPUTED_VALUE"""),0)</f>
        <v>0</v>
      </c>
      <c r="H338" s="8">
        <f ca="1">IFERROR(__xludf.DUMMYFUNCTION("""COMPUTED_VALUE"""),0)</f>
        <v>0</v>
      </c>
      <c r="I338" s="8">
        <f ca="1">IFERROR(__xludf.DUMMYFUNCTION("""COMPUTED_VALUE"""),0)</f>
        <v>0</v>
      </c>
      <c r="J338" s="8">
        <f ca="1">IFERROR(__xludf.DUMMYFUNCTION("""COMPUTED_VALUE"""),0)</f>
        <v>0</v>
      </c>
      <c r="K338" s="10" t="str">
        <f ca="1">IFERROR(__xludf.DUMMYFUNCTION("""COMPUTED_VALUE"""),"https://www.qcnews.com/news/u-s/north-carolina/cleveland-county/no-regard-for-anyones-life-man-who-shot-at-deputies-and-school-bus-during-chase-captured-near-days-inn-in-cleveland-county/")</f>
        <v>https://www.qcnews.com/news/u-s/north-carolina/cleveland-county/no-regard-for-anyones-life-man-who-shot-at-deputies-and-school-bus-during-chase-captured-near-days-inn-in-cleveland-county/</v>
      </c>
      <c r="L338" s="8">
        <f ca="1">IFERROR(__xludf.DUMMYFUNCTION("""COMPUTED_VALUE"""),5)</f>
        <v>5</v>
      </c>
      <c r="M338" s="8" t="str">
        <f ca="1">IFERROR(__xludf.DUMMYFUNCTION("""COMPUTED_VALUE"""),"Local")</f>
        <v>Local</v>
      </c>
      <c r="N338" s="8">
        <f ca="1">IFERROR(__xludf.DUMMYFUNCTION("""COMPUTED_VALUE"""),4)</f>
        <v>4</v>
      </c>
      <c r="O338" s="8" t="str">
        <f ca="1">IFERROR(__xludf.DUMMYFUNCTION("""COMPUTED_VALUE"""),"Summer")</f>
        <v>Summer</v>
      </c>
      <c r="P338" s="8" t="str">
        <f ca="1">IFERROR(__xludf.DUMMYFUNCTION("""COMPUTED_VALUE"""),"Shelby")</f>
        <v>Shelby</v>
      </c>
      <c r="Q338" s="8" t="str">
        <f ca="1">IFERROR(__xludf.DUMMYFUNCTION("""COMPUTED_VALUE"""),"NC")</f>
        <v>NC</v>
      </c>
      <c r="R338" s="8"/>
      <c r="S338" s="8" t="str">
        <f ca="1">IFERROR(__xludf.DUMMYFUNCTION("""COMPUTED_VALUE"""),"School Bus")</f>
        <v>School Bus</v>
      </c>
      <c r="T338" s="8" t="str">
        <f ca="1">IFERROR(__xludf.DUMMYFUNCTION("""COMPUTED_VALUE"""),"School Bus")</f>
        <v>School Bus</v>
      </c>
      <c r="U338" s="8" t="str">
        <f ca="1">IFERROR(__xludf.DUMMYFUNCTION("""COMPUTED_VALUE"""),"Yes")</f>
        <v>Yes</v>
      </c>
      <c r="V338" s="8" t="str">
        <f ca="1">IFERROR(__xludf.DUMMYFUNCTION("""COMPUTED_VALUE"""),"Dismissal")</f>
        <v>Dismissal</v>
      </c>
      <c r="W338" s="11">
        <f ca="1">IFERROR(__xludf.DUMMYFUNCTION("""COMPUTED_VALUE"""),0.625)</f>
        <v>0.625</v>
      </c>
      <c r="X338" s="8">
        <f ca="1">IFERROR(__xludf.DUMMYFUNCTION("""COMPUTED_VALUE"""),1)</f>
        <v>1</v>
      </c>
      <c r="Y338" s="12" t="str">
        <f ca="1">IFERROR(__xludf.DUMMYFUNCTION("""COMPUTED_VALUE"""),"Man fired shot hitting occupied school bus during police chase")</f>
        <v>Man fired shot hitting occupied school bus during police chase</v>
      </c>
      <c r="Z338" s="12" t="str">
        <f ca="1">IFERROR(__xludf.DUMMYFUNCTION("""COMPUTED_VALUE"""),"Man fired shot during police pursuit striking school bus with children on board. Man fled and was arrested the next morning. No students or staff were injured.")</f>
        <v>Man fired shot during police pursuit striking school bus with children on board. Man fled and was arrested the next morning. No students or staff were injured.</v>
      </c>
      <c r="AA338" s="8" t="str">
        <f ca="1">IFERROR(__xludf.DUMMYFUNCTION("""COMPUTED_VALUE"""),"Illegal Activity")</f>
        <v>Illegal Activity</v>
      </c>
      <c r="AB338" s="8" t="str">
        <f ca="1">IFERROR(__xludf.DUMMYFUNCTION("""COMPUTED_VALUE"""),"Spontaneous")</f>
        <v>Spontaneous</v>
      </c>
      <c r="AC338" s="8" t="str">
        <f ca="1">IFERROR(__xludf.DUMMYFUNCTION("""COMPUTED_VALUE"""),"Yes")</f>
        <v>Yes</v>
      </c>
      <c r="AD338" s="8" t="str">
        <f ca="1">IFERROR(__xludf.DUMMYFUNCTION("""COMPUTED_VALUE"""),"Both")</f>
        <v>Both</v>
      </c>
      <c r="AE338" s="8" t="str">
        <f ca="1">IFERROR(__xludf.DUMMYFUNCTION("""COMPUTED_VALUE"""),"No")</f>
        <v>No</v>
      </c>
      <c r="AF338" s="8"/>
      <c r="AG338" s="8" t="str">
        <f ca="1">IFERROR(__xludf.DUMMYFUNCTION("""COMPUTED_VALUE"""),"No")</f>
        <v>No</v>
      </c>
      <c r="AH338" s="8" t="str">
        <f ca="1">IFERROR(__xludf.DUMMYFUNCTION("""COMPUTED_VALUE"""),"No")</f>
        <v>No</v>
      </c>
      <c r="AI338" s="8" t="str">
        <f ca="1">IFERROR(__xludf.DUMMYFUNCTION("""COMPUTED_VALUE"""),"No")</f>
        <v>No</v>
      </c>
      <c r="AJ338" s="8" t="str">
        <f ca="1">IFERROR(__xludf.DUMMYFUNCTION("""COMPUTED_VALUE"""),"No")</f>
        <v>No</v>
      </c>
      <c r="AK338" s="8" t="str">
        <f ca="1">IFERROR(__xludf.DUMMYFUNCTION("""COMPUTED_VALUE"""),"No")</f>
        <v>No</v>
      </c>
      <c r="AL338" s="8" t="str">
        <f ca="1">IFERROR(__xludf.DUMMYFUNCTION("""COMPUTED_VALUE"""),"No")</f>
        <v>No</v>
      </c>
      <c r="AM338" s="8" t="str">
        <f ca="1">IFERROR(__xludf.DUMMYFUNCTION("""COMPUTED_VALUE"""),"No")</f>
        <v>No</v>
      </c>
      <c r="AN338" s="8" t="str">
        <f ca="1">IFERROR(__xludf.DUMMYFUNCTION("""COMPUTED_VALUE"""),"Outside")</f>
        <v>Outside</v>
      </c>
      <c r="AO338" s="8" t="str">
        <f ca="1">IFERROR(__xludf.DUMMYFUNCTION("""COMPUTED_VALUE"""),"No")</f>
        <v>No</v>
      </c>
      <c r="AP338" s="8"/>
      <c r="AQ338" s="8"/>
      <c r="AR338" s="8" t="str">
        <f ca="1">IFERROR(__xludf.DUMMYFUNCTION("""COMPUTED_VALUE"""),"Outside/Off-Property")</f>
        <v>Outside/Off-Property</v>
      </c>
      <c r="AS338" s="8">
        <f ca="1">IFERROR(__xludf.DUMMYFUNCTION("""COMPUTED_VALUE"""),99)</f>
        <v>99</v>
      </c>
      <c r="AT338" s="8" t="str">
        <f ca="1">IFERROR(__xludf.DUMMYFUNCTION("""COMPUTED_VALUE"""),"No")</f>
        <v>No</v>
      </c>
      <c r="AU338" s="8">
        <f ca="1">IFERROR(__xludf.DUMMYFUNCTION("""COMPUTED_VALUE"""),35.290559)</f>
        <v>35.290559000000002</v>
      </c>
      <c r="AV338" s="8">
        <f ca="1">IFERROR(__xludf.DUMMYFUNCTION("""COMPUTED_VALUE"""),-81.539616)</f>
        <v>-81.539615999999995</v>
      </c>
      <c r="AW338" s="8"/>
      <c r="AX338" s="8">
        <f ca="1">IFERROR(__xludf.DUMMYFUNCTION("""COMPUTED_VALUE"""),28150)</f>
        <v>28150</v>
      </c>
    </row>
    <row r="339" spans="1:50" ht="285" x14ac:dyDescent="0.2">
      <c r="A339" s="8" t="str">
        <f ca="1">IFERROR(__xludf.DUMMYFUNCTION("""COMPUTED_VALUE"""),"20240615PADOM")</f>
        <v>20240615PADOM</v>
      </c>
      <c r="B339" s="8">
        <f ca="1">IFERROR(__xludf.DUMMYFUNCTION("""COMPUTED_VALUE"""),6)</f>
        <v>6</v>
      </c>
      <c r="C339" s="8">
        <f ca="1">IFERROR(__xludf.DUMMYFUNCTION("""COMPUTED_VALUE"""),15)</f>
        <v>15</v>
      </c>
      <c r="D339" s="8">
        <f ca="1">IFERROR(__xludf.DUMMYFUNCTION("""COMPUTED_VALUE"""),2024)</f>
        <v>2024</v>
      </c>
      <c r="E339" s="9">
        <f ca="1">IFERROR(__xludf.DUMMYFUNCTION("""COMPUTED_VALUE"""),45458)</f>
        <v>45458</v>
      </c>
      <c r="F339" s="8" t="str">
        <f ca="1">IFERROR(__xludf.DUMMYFUNCTION("""COMPUTED_VALUE"""),"Doe Run Elementary School")</f>
        <v>Doe Run Elementary School</v>
      </c>
      <c r="G339" s="8">
        <f ca="1">IFERROR(__xludf.DUMMYFUNCTION("""COMPUTED_VALUE"""),0)</f>
        <v>0</v>
      </c>
      <c r="H339" s="8">
        <f ca="1">IFERROR(__xludf.DUMMYFUNCTION("""COMPUTED_VALUE"""),0)</f>
        <v>0</v>
      </c>
      <c r="I339" s="8">
        <f ca="1">IFERROR(__xludf.DUMMYFUNCTION("""COMPUTED_VALUE"""),0)</f>
        <v>0</v>
      </c>
      <c r="J339" s="8">
        <f ca="1">IFERROR(__xludf.DUMMYFUNCTION("""COMPUTED_VALUE"""),0)</f>
        <v>0</v>
      </c>
      <c r="K339" s="10" t="str">
        <f ca="1">IFERROR(__xludf.DUMMYFUNCTION("""COMPUTED_VALUE"""),"https://archive.is/rKdvQ#selection-237.98-237.123")</f>
        <v>https://archive.is/rKdvQ#selection-237.98-237.123</v>
      </c>
      <c r="L339" s="8">
        <f ca="1">IFERROR(__xludf.DUMMYFUNCTION("""COMPUTED_VALUE"""),1)</f>
        <v>1</v>
      </c>
      <c r="M339" s="8" t="str">
        <f ca="1">IFERROR(__xludf.DUMMYFUNCTION("""COMPUTED_VALUE"""),"Local")</f>
        <v>Local</v>
      </c>
      <c r="N339" s="8">
        <f ca="1">IFERROR(__xludf.DUMMYFUNCTION("""COMPUTED_VALUE"""),3)</f>
        <v>3</v>
      </c>
      <c r="O339" s="8" t="str">
        <f ca="1">IFERROR(__xludf.DUMMYFUNCTION("""COMPUTED_VALUE"""),"Summer")</f>
        <v>Summer</v>
      </c>
      <c r="P339" s="8" t="str">
        <f ca="1">IFERROR(__xludf.DUMMYFUNCTION("""COMPUTED_VALUE"""),"Manheim")</f>
        <v>Manheim</v>
      </c>
      <c r="Q339" s="8" t="str">
        <f ca="1">IFERROR(__xludf.DUMMYFUNCTION("""COMPUTED_VALUE"""),"PA")</f>
        <v>PA</v>
      </c>
      <c r="R339" s="8" t="str">
        <f ca="1">IFERROR(__xludf.DUMMYFUNCTION("""COMPUTED_VALUE"""),"Elementary")</f>
        <v>Elementary</v>
      </c>
      <c r="S339" s="8" t="str">
        <f ca="1">IFERROR(__xludf.DUMMYFUNCTION("""COMPUTED_VALUE"""),"Outside on School Property")</f>
        <v>Outside on School Property</v>
      </c>
      <c r="T339" s="8" t="str">
        <f ca="1">IFERROR(__xludf.DUMMYFUNCTION("""COMPUTED_VALUE"""),"Outside on School Property")</f>
        <v>Outside on School Property</v>
      </c>
      <c r="U339" s="8" t="str">
        <f ca="1">IFERROR(__xludf.DUMMYFUNCTION("""COMPUTED_VALUE"""),"No")</f>
        <v>No</v>
      </c>
      <c r="V339" s="8" t="str">
        <f ca="1">IFERROR(__xludf.DUMMYFUNCTION("""COMPUTED_VALUE"""),"Not a School Day")</f>
        <v>Not a School Day</v>
      </c>
      <c r="W339" s="11">
        <f ca="1">IFERROR(__xludf.DUMMYFUNCTION("""COMPUTED_VALUE"""),0.552083333333333)</f>
        <v>0.55208333333333304</v>
      </c>
      <c r="X339" s="8">
        <f ca="1">IFERROR(__xludf.DUMMYFUNCTION("""COMPUTED_VALUE"""),1)</f>
        <v>1</v>
      </c>
      <c r="Y339" s="12" t="str">
        <f ca="1">IFERROR(__xludf.DUMMYFUNCTION("""COMPUTED_VALUE"""),"Man fired shots at three people fishing in the pod at the school")</f>
        <v>Man fired shots at three people fishing in the pod at the school</v>
      </c>
      <c r="Z339" s="12" t="str">
        <f ca="1">IFERROR(__xludf.DUMMYFUNCTION("""COMPUTED_VALUE"""),"A 23-year-old Berks County man was arrested and charged earlier this month after a group of people fishing in Lancaster County said he shot several rounds in their direction while on an ATV, causing bullets to skip off the nearby pond right past them, acc"&amp;"ording to an affidavit of probable cause. An officer with the Northern Lancaster County Regional Police Department responded to the area of Doe Run Elementary School around 1:15 p.m. on June 15, where multiple witnesses said they heard the gunshots. Three"&amp;" of the witnesses said they were fishing at a pond to the east of the school when they saw Moore on the four-wheeler moments before bullets skipped off the surface of the pond in their direction, landing on both sides of one individual, the affidavit said"&amp;". The trio believed they were being shot at purposefully, prompting them to lay down in the grass near the pond, police said. In a police interview a few hours later, Moore confirmed he fired the rounds and said he shot about “a clip and a half,” somewher"&amp;"e between 16 and 18 rounds according to police, the affidavit said.")</f>
        <v>A 23-year-old Berks County man was arrested and charged earlier this month after a group of people fishing in Lancaster County said he shot several rounds in their direction while on an ATV, causing bullets to skip off the nearby pond right past them, according to an affidavit of probable cause. An officer with the Northern Lancaster County Regional Police Department responded to the area of Doe Run Elementary School around 1:15 p.m. on June 15, where multiple witnesses said they heard the gunshots. Three of the witnesses said they were fishing at a pond to the east of the school when they saw Moore on the four-wheeler moments before bullets skipped off the surface of the pond in their direction, landing on both sides of one individual, the affidavit said. The trio believed they were being shot at purposefully, prompting them to lay down in the grass near the pond, police said. In a police interview a few hours later, Moore confirmed he fired the rounds and said he shot about “a clip and a half,” somewhere between 16 and 18 rounds according to police, the affidavit said.</v>
      </c>
      <c r="AA339" s="8"/>
      <c r="AB339" s="8" t="str">
        <f ca="1">IFERROR(__xludf.DUMMYFUNCTION("""COMPUTED_VALUE"""),"Targeted")</f>
        <v>Targeted</v>
      </c>
      <c r="AC339" s="8" t="str">
        <f ca="1">IFERROR(__xludf.DUMMYFUNCTION("""COMPUTED_VALUE"""),"No")</f>
        <v>No</v>
      </c>
      <c r="AD339" s="8" t="str">
        <f ca="1">IFERROR(__xludf.DUMMYFUNCTION("""COMPUTED_VALUE"""),"Victims Targeted")</f>
        <v>Victims Targeted</v>
      </c>
      <c r="AE339" s="8" t="str">
        <f ca="1">IFERROR(__xludf.DUMMYFUNCTION("""COMPUTED_VALUE"""),"No")</f>
        <v>No</v>
      </c>
      <c r="AF339" s="8"/>
      <c r="AG339" s="8" t="str">
        <f ca="1">IFERROR(__xludf.DUMMYFUNCTION("""COMPUTED_VALUE"""),"No")</f>
        <v>No</v>
      </c>
      <c r="AH339" s="8" t="str">
        <f ca="1">IFERROR(__xludf.DUMMYFUNCTION("""COMPUTED_VALUE"""),"No")</f>
        <v>No</v>
      </c>
      <c r="AI339" s="8" t="str">
        <f ca="1">IFERROR(__xludf.DUMMYFUNCTION("""COMPUTED_VALUE"""),"No")</f>
        <v>No</v>
      </c>
      <c r="AJ339" s="8" t="str">
        <f ca="1">IFERROR(__xludf.DUMMYFUNCTION("""COMPUTED_VALUE"""),"No")</f>
        <v>No</v>
      </c>
      <c r="AK339" s="8" t="str">
        <f ca="1">IFERROR(__xludf.DUMMYFUNCTION("""COMPUTED_VALUE"""),"No")</f>
        <v>No</v>
      </c>
      <c r="AL339" s="8" t="str">
        <f ca="1">IFERROR(__xludf.DUMMYFUNCTION("""COMPUTED_VALUE"""),"No")</f>
        <v>No</v>
      </c>
      <c r="AM339" s="8" t="str">
        <f ca="1">IFERROR(__xludf.DUMMYFUNCTION("""COMPUTED_VALUE"""),"No")</f>
        <v>No</v>
      </c>
      <c r="AN339" s="8" t="str">
        <f ca="1">IFERROR(__xludf.DUMMYFUNCTION("""COMPUTED_VALUE"""),"Outside")</f>
        <v>Outside</v>
      </c>
      <c r="AO339" s="8" t="str">
        <f ca="1">IFERROR(__xludf.DUMMYFUNCTION("""COMPUTED_VALUE"""),"No")</f>
        <v>No</v>
      </c>
      <c r="AP339" s="8"/>
      <c r="AQ339" s="8"/>
      <c r="AR339" s="8" t="str">
        <f ca="1">IFERROR(__xludf.DUMMYFUNCTION("""COMPUTED_VALUE"""),"Outside/Off-Property")</f>
        <v>Outside/Off-Property</v>
      </c>
      <c r="AS339" s="8">
        <f ca="1">IFERROR(__xludf.DUMMYFUNCTION("""COMPUTED_VALUE"""),16)</f>
        <v>16</v>
      </c>
      <c r="AT339" s="8" t="str">
        <f ca="1">IFERROR(__xludf.DUMMYFUNCTION("""COMPUTED_VALUE"""),"No")</f>
        <v>No</v>
      </c>
      <c r="AU339" s="8">
        <f ca="1">IFERROR(__xludf.DUMMYFUNCTION("""COMPUTED_VALUE"""),40.174739)</f>
        <v>40.174739000000002</v>
      </c>
      <c r="AV339" s="8">
        <f ca="1">IFERROR(__xludf.DUMMYFUNCTION("""COMPUTED_VALUE"""),-76.370504)</f>
        <v>-76.370503999999997</v>
      </c>
      <c r="AW339" s="8" t="str">
        <f ca="1">IFERROR(__xludf.DUMMYFUNCTION("""COMPUTED_VALUE"""),"Multiple attached buildings")</f>
        <v>Multiple attached buildings</v>
      </c>
      <c r="AX339" s="8">
        <f ca="1">IFERROR(__xludf.DUMMYFUNCTION("""COMPUTED_VALUE"""),17543)</f>
        <v>17543</v>
      </c>
    </row>
    <row r="340" spans="1:50" ht="135" x14ac:dyDescent="0.2">
      <c r="A340" s="8" t="str">
        <f ca="1">IFERROR(__xludf.DUMMYFUNCTION("""COMPUTED_VALUE"""),"20240615MDPOO")</f>
        <v>20240615MDPOO</v>
      </c>
      <c r="B340" s="8">
        <f ca="1">IFERROR(__xludf.DUMMYFUNCTION("""COMPUTED_VALUE"""),6)</f>
        <v>6</v>
      </c>
      <c r="C340" s="8">
        <f ca="1">IFERROR(__xludf.DUMMYFUNCTION("""COMPUTED_VALUE"""),15)</f>
        <v>15</v>
      </c>
      <c r="D340" s="8">
        <f ca="1">IFERROR(__xludf.DUMMYFUNCTION("""COMPUTED_VALUE"""),2024)</f>
        <v>2024</v>
      </c>
      <c r="E340" s="9">
        <f ca="1">IFERROR(__xludf.DUMMYFUNCTION("""COMPUTED_VALUE"""),45458)</f>
        <v>45458</v>
      </c>
      <c r="F340" s="8" t="str">
        <f ca="1">IFERROR(__xludf.DUMMYFUNCTION("""COMPUTED_VALUE"""),"Potomac High School")</f>
        <v>Potomac High School</v>
      </c>
      <c r="G340" s="8">
        <f ca="1">IFERROR(__xludf.DUMMYFUNCTION("""COMPUTED_VALUE"""),1)</f>
        <v>1</v>
      </c>
      <c r="H340" s="8">
        <f ca="1">IFERROR(__xludf.DUMMYFUNCTION("""COMPUTED_VALUE"""),1)</f>
        <v>1</v>
      </c>
      <c r="I340" s="8">
        <f ca="1">IFERROR(__xludf.DUMMYFUNCTION("""COMPUTED_VALUE"""),2)</f>
        <v>2</v>
      </c>
      <c r="J340" s="8">
        <f ca="1">IFERROR(__xludf.DUMMYFUNCTION("""COMPUTED_VALUE"""),0)</f>
        <v>0</v>
      </c>
      <c r="K340" s="10" t="str">
        <f ca="1">IFERROR(__xludf.DUMMYFUNCTION("""COMPUTED_VALUE"""),"https://www.nbcwashington.com/news/local/suspect-charged-in-shooting-that-killed-man-hurt-child-outside-potomac-high-school/3645766/
https://abcnews.go.com/US/2-injured-shooting-maryland-high-school-police/story?id=111156463
https://www.washingtonpost.com"&amp;"/dc-md-va/2024/06/15/potomac-high-school-football-game-shooting/")</f>
        <v>https://www.nbcwashington.com/news/local/suspect-charged-in-shooting-that-killed-man-hurt-child-outside-potomac-high-school/3645766/
https://abcnews.go.com/US/2-injured-shooting-maryland-high-school-police/story?id=111156463
https://www.washingtonpost.com/dc-md-va/2024/06/15/potomac-high-school-football-game-shooting/</v>
      </c>
      <c r="L340" s="8">
        <f ca="1">IFERROR(__xludf.DUMMYFUNCTION("""COMPUTED_VALUE"""),50)</f>
        <v>50</v>
      </c>
      <c r="M340" s="8" t="str">
        <f ca="1">IFERROR(__xludf.DUMMYFUNCTION("""COMPUTED_VALUE"""),"National")</f>
        <v>National</v>
      </c>
      <c r="N340" s="8">
        <f ca="1">IFERROR(__xludf.DUMMYFUNCTION("""COMPUTED_VALUE"""),4)</f>
        <v>4</v>
      </c>
      <c r="O340" s="8" t="str">
        <f ca="1">IFERROR(__xludf.DUMMYFUNCTION("""COMPUTED_VALUE"""),"Summer")</f>
        <v>Summer</v>
      </c>
      <c r="P340" s="8" t="str">
        <f ca="1">IFERROR(__xludf.DUMMYFUNCTION("""COMPUTED_VALUE"""),"Oxon Hill")</f>
        <v>Oxon Hill</v>
      </c>
      <c r="Q340" s="8" t="str">
        <f ca="1">IFERROR(__xludf.DUMMYFUNCTION("""COMPUTED_VALUE"""),"MD")</f>
        <v>MD</v>
      </c>
      <c r="R340" s="8" t="str">
        <f ca="1">IFERROR(__xludf.DUMMYFUNCTION("""COMPUTED_VALUE"""),"High")</f>
        <v>High</v>
      </c>
      <c r="S340" s="8" t="str">
        <f ca="1">IFERROR(__xludf.DUMMYFUNCTION("""COMPUTED_VALUE"""),"Football Field/Track")</f>
        <v>Football Field/Track</v>
      </c>
      <c r="T340" s="8" t="str">
        <f ca="1">IFERROR(__xludf.DUMMYFUNCTION("""COMPUTED_VALUE"""),"Outside on School Property")</f>
        <v>Outside on School Property</v>
      </c>
      <c r="U340" s="8" t="str">
        <f ca="1">IFERROR(__xludf.DUMMYFUNCTION("""COMPUTED_VALUE"""),"No")</f>
        <v>No</v>
      </c>
      <c r="V340" s="8" t="str">
        <f ca="1">IFERROR(__xludf.DUMMYFUNCTION("""COMPUTED_VALUE"""),"Sport Event")</f>
        <v>Sport Event</v>
      </c>
      <c r="W340" s="11">
        <f ca="1">IFERROR(__xludf.DUMMYFUNCTION("""COMPUTED_VALUE"""),0.472222222222222)</f>
        <v>0.47222222222222199</v>
      </c>
      <c r="X340" s="8">
        <f ca="1">IFERROR(__xludf.DUMMYFUNCTION("""COMPUTED_VALUE"""),1)</f>
        <v>1</v>
      </c>
      <c r="Y340" s="12" t="str">
        <f ca="1">IFERROR(__xludf.DUMMYFUNCTION("""COMPUTED_VALUE"""),"Man killed and child wounded in the bleachers during shooting at football game")</f>
        <v>Man killed and child wounded in the bleachers during shooting at football game</v>
      </c>
      <c r="Z340" s="12" t="str">
        <f ca="1">IFERROR(__xludf.DUMMYFUNCTION("""COMPUTED_VALUE"""),"Officers found the unidentified adult man ""suffering from a gunshot wound(s)"" and rushed him to the hospital, where he was later pronounced dead, according to the PGCPD. A 5-year-old child was also wounded in the incident, police said. ""The child was d"&amp;"riven to the hospital with non-life-threatening injuries,"" the PGCPD said in a statement. Police said that the shooting stemmed from an argument during the event, which was a non-profit fundraiser and not sponsored by the school.")</f>
        <v>Officers found the unidentified adult man "suffering from a gunshot wound(s)" and rushed him to the hospital, where he was later pronounced dead, according to the PGCPD. A 5-year-old child was also wounded in the incident, police said. "The child was driven to the hospital with non-life-threatening injuries," the PGCPD said in a statement. Police said that the shooting stemmed from an argument during the event, which was a non-profit fundraiser and not sponsored by the school.</v>
      </c>
      <c r="AA340" s="8" t="str">
        <f ca="1">IFERROR(__xludf.DUMMYFUNCTION("""COMPUTED_VALUE"""),"Escalation of Dispute")</f>
        <v>Escalation of Dispute</v>
      </c>
      <c r="AB340" s="8" t="str">
        <f ca="1">IFERROR(__xludf.DUMMYFUNCTION("""COMPUTED_VALUE"""),"Spontaneous")</f>
        <v>Spontaneous</v>
      </c>
      <c r="AC340" s="8" t="str">
        <f ca="1">IFERROR(__xludf.DUMMYFUNCTION("""COMPUTED_VALUE"""),"No")</f>
        <v>No</v>
      </c>
      <c r="AD340" s="8" t="str">
        <f ca="1">IFERROR(__xludf.DUMMYFUNCTION("""COMPUTED_VALUE"""),"Both")</f>
        <v>Both</v>
      </c>
      <c r="AE340" s="8" t="str">
        <f ca="1">IFERROR(__xludf.DUMMYFUNCTION("""COMPUTED_VALUE"""),"No")</f>
        <v>No</v>
      </c>
      <c r="AF340" s="8"/>
      <c r="AG340" s="8" t="str">
        <f ca="1">IFERROR(__xludf.DUMMYFUNCTION("""COMPUTED_VALUE"""),"No")</f>
        <v>No</v>
      </c>
      <c r="AH340" s="8" t="str">
        <f ca="1">IFERROR(__xludf.DUMMYFUNCTION("""COMPUTED_VALUE"""),"No")</f>
        <v>No</v>
      </c>
      <c r="AI340" s="8" t="str">
        <f ca="1">IFERROR(__xludf.DUMMYFUNCTION("""COMPUTED_VALUE"""),"No")</f>
        <v>No</v>
      </c>
      <c r="AJ340" s="8" t="str">
        <f ca="1">IFERROR(__xludf.DUMMYFUNCTION("""COMPUTED_VALUE"""),"No")</f>
        <v>No</v>
      </c>
      <c r="AK340" s="8" t="str">
        <f ca="1">IFERROR(__xludf.DUMMYFUNCTION("""COMPUTED_VALUE"""),"No")</f>
        <v>No</v>
      </c>
      <c r="AL340" s="8" t="str">
        <f ca="1">IFERROR(__xludf.DUMMYFUNCTION("""COMPUTED_VALUE"""),"No")</f>
        <v>No</v>
      </c>
      <c r="AM340" s="8" t="str">
        <f ca="1">IFERROR(__xludf.DUMMYFUNCTION("""COMPUTED_VALUE"""),"No")</f>
        <v>No</v>
      </c>
      <c r="AN340" s="8" t="str">
        <f ca="1">IFERROR(__xludf.DUMMYFUNCTION("""COMPUTED_VALUE"""),"Outside")</f>
        <v>Outside</v>
      </c>
      <c r="AO340" s="8" t="str">
        <f ca="1">IFERROR(__xludf.DUMMYFUNCTION("""COMPUTED_VALUE"""),"No")</f>
        <v>No</v>
      </c>
      <c r="AP340" s="8"/>
      <c r="AQ340" s="8"/>
      <c r="AR340" s="8" t="str">
        <f ca="1">IFERROR(__xludf.DUMMYFUNCTION("""COMPUTED_VALUE"""),"Outside/Off-Property")</f>
        <v>Outside/Off-Property</v>
      </c>
      <c r="AS340" s="8">
        <f ca="1">IFERROR(__xludf.DUMMYFUNCTION("""COMPUTED_VALUE"""),99)</f>
        <v>99</v>
      </c>
      <c r="AT340" s="8" t="str">
        <f ca="1">IFERROR(__xludf.DUMMYFUNCTION("""COMPUTED_VALUE"""),"No")</f>
        <v>No</v>
      </c>
      <c r="AU340" s="8">
        <f ca="1">IFERROR(__xludf.DUMMYFUNCTION("""COMPUTED_VALUE"""),38.821494)</f>
        <v>38.821494000000001</v>
      </c>
      <c r="AV340" s="8">
        <f ca="1">IFERROR(__xludf.DUMMYFUNCTION("""COMPUTED_VALUE"""),-76.977068)</f>
        <v>-76.977068000000003</v>
      </c>
      <c r="AW340" s="8" t="str">
        <f ca="1">IFERROR(__xludf.DUMMYFUNCTION("""COMPUTED_VALUE"""),"Multiple attached buildings")</f>
        <v>Multiple attached buildings</v>
      </c>
      <c r="AX340" s="8">
        <f ca="1">IFERROR(__xludf.DUMMYFUNCTION("""COMPUTED_VALUE"""),20745)</f>
        <v>20745</v>
      </c>
    </row>
    <row r="341" spans="1:50" ht="210" x14ac:dyDescent="0.2">
      <c r="A341" s="8" t="str">
        <f ca="1">IFERROR(__xludf.DUMMYFUNCTION("""COMPUTED_VALUE"""),"20240613MABOB")</f>
        <v>20240613MABOB</v>
      </c>
      <c r="B341" s="8">
        <f ca="1">IFERROR(__xludf.DUMMYFUNCTION("""COMPUTED_VALUE"""),6)</f>
        <v>6</v>
      </c>
      <c r="C341" s="8">
        <f ca="1">IFERROR(__xludf.DUMMYFUNCTION("""COMPUTED_VALUE"""),13)</f>
        <v>13</v>
      </c>
      <c r="D341" s="8">
        <f ca="1">IFERROR(__xludf.DUMMYFUNCTION("""COMPUTED_VALUE"""),2024)</f>
        <v>2024</v>
      </c>
      <c r="E341" s="9">
        <f ca="1">IFERROR(__xludf.DUMMYFUNCTION("""COMPUTED_VALUE"""),45456)</f>
        <v>45456</v>
      </c>
      <c r="F341" s="8" t="str">
        <f ca="1">IFERROR(__xludf.DUMMYFUNCTION("""COMPUTED_VALUE"""),"Boston Collaborative High School")</f>
        <v>Boston Collaborative High School</v>
      </c>
      <c r="G341" s="8">
        <f ca="1">IFERROR(__xludf.DUMMYFUNCTION("""COMPUTED_VALUE"""),0)</f>
        <v>0</v>
      </c>
      <c r="H341" s="8">
        <f ca="1">IFERROR(__xludf.DUMMYFUNCTION("""COMPUTED_VALUE"""),1)</f>
        <v>1</v>
      </c>
      <c r="I341" s="8">
        <f ca="1">IFERROR(__xludf.DUMMYFUNCTION("""COMPUTED_VALUE"""),1)</f>
        <v>1</v>
      </c>
      <c r="J341" s="8">
        <f ca="1">IFERROR(__xludf.DUMMYFUNCTION("""COMPUTED_VALUE"""),0)</f>
        <v>0</v>
      </c>
      <c r="K341" s="8" t="str">
        <f ca="1">IFERROR(__xludf.DUMMYFUNCTION("""COMPUTED_VALUE"""),"https://www.wcvb.com/article/woman-shot-in-city-s-seaport-district-police-say-boston/61098429#
https://www.nbcboston.com/news/local/person-shot-in-bostons-seaport-district/3398888/")</f>
        <v>https://www.wcvb.com/article/woman-shot-in-city-s-seaport-district-police-say-boston/61098429#
https://www.nbcboston.com/news/local/person-shot-in-bostons-seaport-district/3398888/</v>
      </c>
      <c r="L341" s="8">
        <f ca="1">IFERROR(__xludf.DUMMYFUNCTION("""COMPUTED_VALUE"""),10)</f>
        <v>10</v>
      </c>
      <c r="M341" s="8" t="str">
        <f ca="1">IFERROR(__xludf.DUMMYFUNCTION("""COMPUTED_VALUE"""),"Regional")</f>
        <v>Regional</v>
      </c>
      <c r="N341" s="8">
        <f ca="1">IFERROR(__xludf.DUMMYFUNCTION("""COMPUTED_VALUE"""),4)</f>
        <v>4</v>
      </c>
      <c r="O341" s="8" t="str">
        <f ca="1">IFERROR(__xludf.DUMMYFUNCTION("""COMPUTED_VALUE"""),"Summer")</f>
        <v>Summer</v>
      </c>
      <c r="P341" s="8" t="str">
        <f ca="1">IFERROR(__xludf.DUMMYFUNCTION("""COMPUTED_VALUE"""),"Boston")</f>
        <v>Boston</v>
      </c>
      <c r="Q341" s="8" t="str">
        <f ca="1">IFERROR(__xludf.DUMMYFUNCTION("""COMPUTED_VALUE"""),"MA")</f>
        <v>MA</v>
      </c>
      <c r="R341" s="8" t="str">
        <f ca="1">IFERROR(__xludf.DUMMYFUNCTION("""COMPUTED_VALUE"""),"High")</f>
        <v>High</v>
      </c>
      <c r="S341" s="8" t="str">
        <f ca="1">IFERROR(__xludf.DUMMYFUNCTION("""COMPUTED_VALUE"""),"Parking Lot")</f>
        <v>Parking Lot</v>
      </c>
      <c r="T341" s="8" t="str">
        <f ca="1">IFERROR(__xludf.DUMMYFUNCTION("""COMPUTED_VALUE"""),"Off School Property")</f>
        <v>Off School Property</v>
      </c>
      <c r="U341" s="8" t="str">
        <f ca="1">IFERROR(__xludf.DUMMYFUNCTION("""COMPUTED_VALUE"""),"No")</f>
        <v>No</v>
      </c>
      <c r="V341" s="8" t="str">
        <f ca="1">IFERROR(__xludf.DUMMYFUNCTION("""COMPUTED_VALUE"""),"School Event")</f>
        <v>School Event</v>
      </c>
      <c r="W341" s="11">
        <f ca="1">IFERROR(__xludf.DUMMYFUNCTION("""COMPUTED_VALUE"""),0.489583333333333)</f>
        <v>0.48958333333333298</v>
      </c>
      <c r="X341" s="8">
        <f ca="1">IFERROR(__xludf.DUMMYFUNCTION("""COMPUTED_VALUE"""),1)</f>
        <v>1</v>
      </c>
      <c r="Y341" s="12" t="str">
        <f ca="1">IFERROR(__xludf.DUMMYFUNCTION("""COMPUTED_VALUE"""),"Teen shot in parking garage outside off-campus graduation ceremony")</f>
        <v>Teen shot in parking garage outside off-campus graduation ceremony</v>
      </c>
      <c r="Z341" s="12" t="str">
        <f ca="1">IFERROR(__xludf.DUMMYFUNCTION("""COMPUTED_VALUE"""),"Investigators said the 18-year-old woman was shot after graduating from the Boston Collaborative High School in Dorchester earlier in the day. The ceremony was held at the Institute of Contemporary Art. ""This is a travesty. This should not happen. High s"&amp;"chool students attending a graduation on a beautiful day like today shouldn't have had that day marked with a shooting taking place and a young woman having to go to the hospital,"" Suffolk County District Attorney Kevin Hayden said. Witnesses said they k"&amp;"new something was wrong when they saw graduates in their caps and gowns running. ""We believe that this was not a random event,"" Boston police Commissioner Michael Cox said. Boston police said the woman's injuries were non-life-threatening, and she was t"&amp;"aken to a hospital.")</f>
        <v>Investigators said the 18-year-old woman was shot after graduating from the Boston Collaborative High School in Dorchester earlier in the day. The ceremony was held at the Institute of Contemporary Art. "This is a travesty. This should not happen. High school students attending a graduation on a beautiful day like today shouldn't have had that day marked with a shooting taking place and a young woman having to go to the hospital," Suffolk County District Attorney Kevin Hayden said. Witnesses said they knew something was wrong when they saw graduates in their caps and gowns running. "We believe that this was not a random event," Boston police Commissioner Michael Cox said. Boston police said the woman's injuries were non-life-threatening, and she was taken to a hospital.</v>
      </c>
      <c r="AA341" s="8" t="str">
        <f ca="1">IFERROR(__xludf.DUMMYFUNCTION("""COMPUTED_VALUE"""),"Escalation of Dispute")</f>
        <v>Escalation of Dispute</v>
      </c>
      <c r="AB341" s="8" t="str">
        <f ca="1">IFERROR(__xludf.DUMMYFUNCTION("""COMPUTED_VALUE"""),"Targeted")</f>
        <v>Targeted</v>
      </c>
      <c r="AC341" s="8" t="str">
        <f ca="1">IFERROR(__xludf.DUMMYFUNCTION("""COMPUTED_VALUE"""),"Yes")</f>
        <v>Yes</v>
      </c>
      <c r="AD341" s="8" t="str">
        <f ca="1">IFERROR(__xludf.DUMMYFUNCTION("""COMPUTED_VALUE"""),"Victims Targeted")</f>
        <v>Victims Targeted</v>
      </c>
      <c r="AE341" s="8"/>
      <c r="AF341" s="8"/>
      <c r="AG341" s="8" t="str">
        <f ca="1">IFERROR(__xludf.DUMMYFUNCTION("""COMPUTED_VALUE"""),"No")</f>
        <v>No</v>
      </c>
      <c r="AH341" s="8" t="str">
        <f ca="1">IFERROR(__xludf.DUMMYFUNCTION("""COMPUTED_VALUE"""),"No")</f>
        <v>No</v>
      </c>
      <c r="AI341" s="8" t="str">
        <f ca="1">IFERROR(__xludf.DUMMYFUNCTION("""COMPUTED_VALUE"""),"No")</f>
        <v>No</v>
      </c>
      <c r="AJ341" s="8" t="str">
        <f ca="1">IFERROR(__xludf.DUMMYFUNCTION("""COMPUTED_VALUE"""),"No")</f>
        <v>No</v>
      </c>
      <c r="AK341" s="8" t="str">
        <f ca="1">IFERROR(__xludf.DUMMYFUNCTION("""COMPUTED_VALUE"""),"No")</f>
        <v>No</v>
      </c>
      <c r="AL341" s="8"/>
      <c r="AM341" s="8" t="str">
        <f ca="1">IFERROR(__xludf.DUMMYFUNCTION("""COMPUTED_VALUE"""),"No")</f>
        <v>No</v>
      </c>
      <c r="AN341" s="8" t="str">
        <f ca="1">IFERROR(__xludf.DUMMYFUNCTION("""COMPUTED_VALUE"""),"Outside")</f>
        <v>Outside</v>
      </c>
      <c r="AO341" s="8" t="str">
        <f ca="1">IFERROR(__xludf.DUMMYFUNCTION("""COMPUTED_VALUE"""),"No")</f>
        <v>No</v>
      </c>
      <c r="AP341" s="8"/>
      <c r="AQ341" s="8"/>
      <c r="AR341" s="8" t="str">
        <f ca="1">IFERROR(__xludf.DUMMYFUNCTION("""COMPUTED_VALUE"""),"Outside/Off-Property")</f>
        <v>Outside/Off-Property</v>
      </c>
      <c r="AS341" s="8">
        <f ca="1">IFERROR(__xludf.DUMMYFUNCTION("""COMPUTED_VALUE"""),99)</f>
        <v>99</v>
      </c>
      <c r="AT341" s="8" t="str">
        <f ca="1">IFERROR(__xludf.DUMMYFUNCTION("""COMPUTED_VALUE"""),"No")</f>
        <v>No</v>
      </c>
      <c r="AU341" s="8">
        <f ca="1">IFERROR(__xludf.DUMMYFUNCTION("""COMPUTED_VALUE"""),42.333666)</f>
        <v>42.333666000000001</v>
      </c>
      <c r="AV341" s="8">
        <f ca="1">IFERROR(__xludf.DUMMYFUNCTION("""COMPUTED_VALUE"""),-71.049943)</f>
        <v>-71.049942999999999</v>
      </c>
      <c r="AW341" s="8" t="str">
        <f ca="1">IFERROR(__xludf.DUMMYFUNCTION("""COMPUTED_VALUE"""),"Urban Street Standalone")</f>
        <v>Urban Street Standalone</v>
      </c>
      <c r="AX341" s="8">
        <f ca="1">IFERROR(__xludf.DUMMYFUNCTION("""COMPUTED_VALUE"""),1125)</f>
        <v>1125</v>
      </c>
    </row>
    <row r="342" spans="1:50" ht="60" x14ac:dyDescent="0.2">
      <c r="A342" s="8" t="str">
        <f ca="1">IFERROR(__xludf.DUMMYFUNCTION("""COMPUTED_VALUE"""),"20240611OHSOC")</f>
        <v>20240611OHSOC</v>
      </c>
      <c r="B342" s="8">
        <f ca="1">IFERROR(__xludf.DUMMYFUNCTION("""COMPUTED_VALUE"""),6)</f>
        <v>6</v>
      </c>
      <c r="C342" s="8">
        <f ca="1">IFERROR(__xludf.DUMMYFUNCTION("""COMPUTED_VALUE"""),11)</f>
        <v>11</v>
      </c>
      <c r="D342" s="8">
        <f ca="1">IFERROR(__xludf.DUMMYFUNCTION("""COMPUTED_VALUE"""),2024)</f>
        <v>2024</v>
      </c>
      <c r="E342" s="9">
        <f ca="1">IFERROR(__xludf.DUMMYFUNCTION("""COMPUTED_VALUE"""),45454)</f>
        <v>45454</v>
      </c>
      <c r="F342" s="8" t="str">
        <f ca="1">IFERROR(__xludf.DUMMYFUNCTION("""COMPUTED_VALUE"""),"South Avondale Elementary School")</f>
        <v>South Avondale Elementary School</v>
      </c>
      <c r="G342" s="8">
        <f ca="1">IFERROR(__xludf.DUMMYFUNCTION("""COMPUTED_VALUE"""),0)</f>
        <v>0</v>
      </c>
      <c r="H342" s="8">
        <f ca="1">IFERROR(__xludf.DUMMYFUNCTION("""COMPUTED_VALUE"""),1)</f>
        <v>1</v>
      </c>
      <c r="I342" s="8">
        <f ca="1">IFERROR(__xludf.DUMMYFUNCTION("""COMPUTED_VALUE"""),1)</f>
        <v>1</v>
      </c>
      <c r="J342" s="8">
        <f ca="1">IFERROR(__xludf.DUMMYFUNCTION("""COMPUTED_VALUE"""),0)</f>
        <v>0</v>
      </c>
      <c r="K342" s="8" t="str">
        <f ca="1">IFERROR(__xludf.DUMMYFUNCTION("""COMPUTED_VALUE"""),"https://www.cincinnati.com/story/news/crime/2024/06/11/police-juvenile-shot-in-avondale/74065729007/
https://www.wcpo.com/news/local-news/hamilton-county/cincinnati/avondale/police-juvenile-shot-near-south-avondale-elementary-school
https://www.wlwt.com/a"&amp;"rticle/heavy-police-lights-presence-reported-maple-avenue-avondale/61077503
https://www.fox19.com/2024/06/12/2-juveniles-shot-avondale-police-say/")</f>
        <v>https://www.cincinnati.com/story/news/crime/2024/06/11/police-juvenile-shot-in-avondale/74065729007/
https://www.wcpo.com/news/local-news/hamilton-county/cincinnati/avondale/police-juvenile-shot-near-south-avondale-elementary-school
https://www.wlwt.com/article/heavy-police-lights-presence-reported-maple-avenue-avondale/61077503
https://www.fox19.com/2024/06/12/2-juveniles-shot-avondale-police-say/</v>
      </c>
      <c r="L342" s="8">
        <f ca="1">IFERROR(__xludf.DUMMYFUNCTION("""COMPUTED_VALUE"""),4)</f>
        <v>4</v>
      </c>
      <c r="M342" s="8" t="str">
        <f ca="1">IFERROR(__xludf.DUMMYFUNCTION("""COMPUTED_VALUE"""),"Local")</f>
        <v>Local</v>
      </c>
      <c r="N342" s="8">
        <f ca="1">IFERROR(__xludf.DUMMYFUNCTION("""COMPUTED_VALUE"""),4)</f>
        <v>4</v>
      </c>
      <c r="O342" s="8" t="str">
        <f ca="1">IFERROR(__xludf.DUMMYFUNCTION("""COMPUTED_VALUE"""),"Summer")</f>
        <v>Summer</v>
      </c>
      <c r="P342" s="8" t="str">
        <f ca="1">IFERROR(__xludf.DUMMYFUNCTION("""COMPUTED_VALUE"""),"Cincinnati")</f>
        <v>Cincinnati</v>
      </c>
      <c r="Q342" s="8" t="str">
        <f ca="1">IFERROR(__xludf.DUMMYFUNCTION("""COMPUTED_VALUE"""),"OH")</f>
        <v>OH</v>
      </c>
      <c r="R342" s="8" t="str">
        <f ca="1">IFERROR(__xludf.DUMMYFUNCTION("""COMPUTED_VALUE"""),"Elementary")</f>
        <v>Elementary</v>
      </c>
      <c r="S342" s="8" t="str">
        <f ca="1">IFERROR(__xludf.DUMMYFUNCTION("""COMPUTED_VALUE"""),"Parking Lot")</f>
        <v>Parking Lot</v>
      </c>
      <c r="T342" s="8" t="str">
        <f ca="1">IFERROR(__xludf.DUMMYFUNCTION("""COMPUTED_VALUE"""),"Outside on School Property")</f>
        <v>Outside on School Property</v>
      </c>
      <c r="U342" s="8" t="str">
        <f ca="1">IFERROR(__xludf.DUMMYFUNCTION("""COMPUTED_VALUE"""),"No")</f>
        <v>No</v>
      </c>
      <c r="V342" s="8" t="str">
        <f ca="1">IFERROR(__xludf.DUMMYFUNCTION("""COMPUTED_VALUE"""),"Evening")</f>
        <v>Evening</v>
      </c>
      <c r="W342" s="11">
        <f ca="1">IFERROR(__xludf.DUMMYFUNCTION("""COMPUTED_VALUE"""),0.833333333333333)</f>
        <v>0.83333333333333304</v>
      </c>
      <c r="X342" s="8">
        <f ca="1">IFERROR(__xludf.DUMMYFUNCTION("""COMPUTED_VALUE"""),1)</f>
        <v>1</v>
      </c>
      <c r="Y342" s="12" t="str">
        <f ca="1">IFERROR(__xludf.DUMMYFUNCTION("""COMPUTED_VALUE"""),"Teen shot in school parking lot during drive-by shooting")</f>
        <v>Teen shot in school parking lot during drive-by shooting</v>
      </c>
      <c r="Z342" s="12" t="str">
        <f ca="1">IFERROR(__xludf.DUMMYFUNCTION("""COMPUTED_VALUE"""),"15-year-old teen was shot in the school parking lot during a drive-by shooting. Shooter fled. Citizens transported the teen to the hospital. Gunshot detection system recorded 13 shots fired.")</f>
        <v>15-year-old teen was shot in the school parking lot during a drive-by shooting. Shooter fled. Citizens transported the teen to the hospital. Gunshot detection system recorded 13 shots fired.</v>
      </c>
      <c r="AA342" s="8" t="str">
        <f ca="1">IFERROR(__xludf.DUMMYFUNCTION("""COMPUTED_VALUE"""),"Drive-by Shooting")</f>
        <v>Drive-by Shooting</v>
      </c>
      <c r="AB342" s="8"/>
      <c r="AC342" s="8" t="str">
        <f ca="1">IFERROR(__xludf.DUMMYFUNCTION("""COMPUTED_VALUE"""),"No")</f>
        <v>No</v>
      </c>
      <c r="AD342" s="8"/>
      <c r="AE342" s="8"/>
      <c r="AF342" s="8"/>
      <c r="AG342" s="8" t="str">
        <f ca="1">IFERROR(__xludf.DUMMYFUNCTION("""COMPUTED_VALUE"""),"No")</f>
        <v>No</v>
      </c>
      <c r="AH342" s="8" t="str">
        <f ca="1">IFERROR(__xludf.DUMMYFUNCTION("""COMPUTED_VALUE"""),"No")</f>
        <v>No</v>
      </c>
      <c r="AI342" s="8" t="str">
        <f ca="1">IFERROR(__xludf.DUMMYFUNCTION("""COMPUTED_VALUE"""),"No")</f>
        <v>No</v>
      </c>
      <c r="AJ342" s="8" t="str">
        <f ca="1">IFERROR(__xludf.DUMMYFUNCTION("""COMPUTED_VALUE"""),"No")</f>
        <v>No</v>
      </c>
      <c r="AK342" s="8" t="str">
        <f ca="1">IFERROR(__xludf.DUMMYFUNCTION("""COMPUTED_VALUE"""),"No")</f>
        <v>No</v>
      </c>
      <c r="AL342" s="8"/>
      <c r="AM342" s="8" t="str">
        <f ca="1">IFERROR(__xludf.DUMMYFUNCTION("""COMPUTED_VALUE"""),"No")</f>
        <v>No</v>
      </c>
      <c r="AN342" s="8" t="str">
        <f ca="1">IFERROR(__xludf.DUMMYFUNCTION("""COMPUTED_VALUE"""),"Outside")</f>
        <v>Outside</v>
      </c>
      <c r="AO342" s="8" t="str">
        <f ca="1">IFERROR(__xludf.DUMMYFUNCTION("""COMPUTED_VALUE"""),"No")</f>
        <v>No</v>
      </c>
      <c r="AP342" s="8"/>
      <c r="AQ342" s="8"/>
      <c r="AR342" s="8" t="str">
        <f ca="1">IFERROR(__xludf.DUMMYFUNCTION("""COMPUTED_VALUE"""),"Outside/Off-Property")</f>
        <v>Outside/Off-Property</v>
      </c>
      <c r="AS342" s="8">
        <f ca="1">IFERROR(__xludf.DUMMYFUNCTION("""COMPUTED_VALUE"""),13)</f>
        <v>13</v>
      </c>
      <c r="AT342" s="8" t="str">
        <f ca="1">IFERROR(__xludf.DUMMYFUNCTION("""COMPUTED_VALUE"""),"No")</f>
        <v>No</v>
      </c>
      <c r="AU342" s="8">
        <f ca="1">IFERROR(__xludf.DUMMYFUNCTION("""COMPUTED_VALUE"""),39.144263)</f>
        <v>39.144263000000002</v>
      </c>
      <c r="AV342" s="8">
        <f ca="1">IFERROR(__xludf.DUMMYFUNCTION("""COMPUTED_VALUE"""),-84.492579)</f>
        <v>-84.492579000000006</v>
      </c>
      <c r="AW342" s="8"/>
      <c r="AX342" s="8">
        <f ca="1">IFERROR(__xludf.DUMMYFUNCTION("""COMPUTED_VALUE"""),45229)</f>
        <v>45229</v>
      </c>
    </row>
    <row r="343" spans="1:50" ht="180" x14ac:dyDescent="0.2">
      <c r="A343" s="8" t="str">
        <f ca="1">IFERROR(__xludf.DUMMYFUNCTION("""COMPUTED_VALUE"""),"20240611SCMIG")</f>
        <v>20240611SCMIG</v>
      </c>
      <c r="B343" s="8">
        <f ca="1">IFERROR(__xludf.DUMMYFUNCTION("""COMPUTED_VALUE"""),6)</f>
        <v>6</v>
      </c>
      <c r="C343" s="8">
        <f ca="1">IFERROR(__xludf.DUMMYFUNCTION("""COMPUTED_VALUE"""),11)</f>
        <v>11</v>
      </c>
      <c r="D343" s="8">
        <f ca="1">IFERROR(__xludf.DUMMYFUNCTION("""COMPUTED_VALUE"""),2024)</f>
        <v>2024</v>
      </c>
      <c r="E343" s="9">
        <f ca="1">IFERROR(__xludf.DUMMYFUNCTION("""COMPUTED_VALUE"""),45454)</f>
        <v>45454</v>
      </c>
      <c r="F343" s="8" t="str">
        <f ca="1">IFERROR(__xludf.DUMMYFUNCTION("""COMPUTED_VALUE"""),"Midland Elementary School")</f>
        <v>Midland Elementary School</v>
      </c>
      <c r="G343" s="8">
        <f ca="1">IFERROR(__xludf.DUMMYFUNCTION("""COMPUTED_VALUE"""),0)</f>
        <v>0</v>
      </c>
      <c r="H343" s="8">
        <f ca="1">IFERROR(__xludf.DUMMYFUNCTION("""COMPUTED_VALUE"""),0)</f>
        <v>0</v>
      </c>
      <c r="I343" s="8">
        <f ca="1">IFERROR(__xludf.DUMMYFUNCTION("""COMPUTED_VALUE"""),0)</f>
        <v>0</v>
      </c>
      <c r="J343" s="8">
        <f ca="1">IFERROR(__xludf.DUMMYFUNCTION("""COMPUTED_VALUE"""),0)</f>
        <v>0</v>
      </c>
      <c r="K343" s="8" t="str">
        <f ca="1">IFERROR(__xludf.DUMMYFUNCTION("""COMPUTED_VALUE"""),"https://wpde.com/news/local/man-fires-gun-ninja-costume-sword-horry-county-school-polling-place-primary-election-galivants-ferry-handgun-cody-wayne-akins-j-reuben-long-detention-center-south-carolina
https://www.wmbfnews.com/2024/06/12/report-man-firing-w"&amp;"eapon-ninja-style-costume-causes-polling-place-lockdown/")</f>
        <v>https://wpde.com/news/local/man-fires-gun-ninja-costume-sword-horry-county-school-polling-place-primary-election-galivants-ferry-handgun-cody-wayne-akins-j-reuben-long-detention-center-south-carolina
https://www.wmbfnews.com/2024/06/12/report-man-firing-weapon-ninja-style-costume-causes-polling-place-lockdown/</v>
      </c>
      <c r="L343" s="8">
        <f ca="1">IFERROR(__xludf.DUMMYFUNCTION("""COMPUTED_VALUE"""),5)</f>
        <v>5</v>
      </c>
      <c r="M343" s="8" t="str">
        <f ca="1">IFERROR(__xludf.DUMMYFUNCTION("""COMPUTED_VALUE"""),"Local")</f>
        <v>Local</v>
      </c>
      <c r="N343" s="8">
        <f ca="1">IFERROR(__xludf.DUMMYFUNCTION("""COMPUTED_VALUE"""),4)</f>
        <v>4</v>
      </c>
      <c r="O343" s="8" t="str">
        <f ca="1">IFERROR(__xludf.DUMMYFUNCTION("""COMPUTED_VALUE"""),"Summer")</f>
        <v>Summer</v>
      </c>
      <c r="P343" s="8" t="str">
        <f ca="1">IFERROR(__xludf.DUMMYFUNCTION("""COMPUTED_VALUE"""),"Galivants Ferry")</f>
        <v>Galivants Ferry</v>
      </c>
      <c r="Q343" s="8" t="str">
        <f ca="1">IFERROR(__xludf.DUMMYFUNCTION("""COMPUTED_VALUE"""),"SC")</f>
        <v>SC</v>
      </c>
      <c r="R343" s="8" t="str">
        <f ca="1">IFERROR(__xludf.DUMMYFUNCTION("""COMPUTED_VALUE"""),"Elementary")</f>
        <v>Elementary</v>
      </c>
      <c r="S343" s="8" t="str">
        <f ca="1">IFERROR(__xludf.DUMMYFUNCTION("""COMPUTED_VALUE"""),"Outside on School Property")</f>
        <v>Outside on School Property</v>
      </c>
      <c r="T343" s="8" t="str">
        <f ca="1">IFERROR(__xludf.DUMMYFUNCTION("""COMPUTED_VALUE"""),"Outside on School Property")</f>
        <v>Outside on School Property</v>
      </c>
      <c r="U343" s="8" t="str">
        <f ca="1">IFERROR(__xludf.DUMMYFUNCTION("""COMPUTED_VALUE"""),"No")</f>
        <v>No</v>
      </c>
      <c r="V343" s="8" t="str">
        <f ca="1">IFERROR(__xludf.DUMMYFUNCTION("""COMPUTED_VALUE"""),"Not a School Day")</f>
        <v>Not a School Day</v>
      </c>
      <c r="W343" s="11">
        <f ca="1">IFERROR(__xludf.DUMMYFUNCTION("""COMPUTED_VALUE"""),0.520833333333333)</f>
        <v>0.52083333333333304</v>
      </c>
      <c r="X343" s="8">
        <f ca="1">IFERROR(__xludf.DUMMYFUNCTION("""COMPUTED_VALUE"""),1)</f>
        <v>1</v>
      </c>
      <c r="Y343" s="12" t="str">
        <f ca="1">IFERROR(__xludf.DUMMYFUNCTION("""COMPUTED_VALUE"""),"Man wearing ninja costume with sword and pistol fired shot outside school while voting was taking place inside")</f>
        <v>Man wearing ninja costume with sword and pistol fired shot outside school while voting was taking place inside</v>
      </c>
      <c r="Z343" s="12" t="str">
        <f ca="1">IFERROR(__xludf.DUMMYFUNCTION("""COMPUTED_VALUE"""),"Dispatchers were reportedly told one shot was fired near the school by the suspect, later identified as Akins. He was also described as wearing an “all-black ninja style costume, wielding a sword with a revolver-type handgun in his waistband.” School offi"&amp;"cials also told police the shot was fired within 75 feet of the location, causing it to go on lockdown. According to a police report obtained by WMBF News, officers with the Horry County Police Department were called to Nichols Highway at around 12:30 p.m"&amp;". after reports of a shot being fired. Public information shows the only polling place on the road was Midland Elementary School.")</f>
        <v>Dispatchers were reportedly told one shot was fired near the school by the suspect, later identified as Akins. He was also described as wearing an “all-black ninja style costume, wielding a sword with a revolver-type handgun in his waistband.” School officials also told police the shot was fired within 75 feet of the location, causing it to go on lockdown. According to a police report obtained by WMBF News, officers with the Horry County Police Department were called to Nichols Highway at around 12:30 p.m. after reports of a shot being fired. Public information shows the only polling place on the road was Midland Elementary School.</v>
      </c>
      <c r="AA343" s="8"/>
      <c r="AB343" s="8"/>
      <c r="AC343" s="8" t="str">
        <f ca="1">IFERROR(__xludf.DUMMYFUNCTION("""COMPUTED_VALUE"""),"No")</f>
        <v>No</v>
      </c>
      <c r="AD343" s="8"/>
      <c r="AE343" s="8"/>
      <c r="AF343" s="8"/>
      <c r="AG343" s="8" t="str">
        <f ca="1">IFERROR(__xludf.DUMMYFUNCTION("""COMPUTED_VALUE"""),"No")</f>
        <v>No</v>
      </c>
      <c r="AH343" s="8" t="str">
        <f ca="1">IFERROR(__xludf.DUMMYFUNCTION("""COMPUTED_VALUE"""),"No")</f>
        <v>No</v>
      </c>
      <c r="AI343" s="8" t="str">
        <f ca="1">IFERROR(__xludf.DUMMYFUNCTION("""COMPUTED_VALUE"""),"No")</f>
        <v>No</v>
      </c>
      <c r="AJ343" s="8" t="str">
        <f ca="1">IFERROR(__xludf.DUMMYFUNCTION("""COMPUTED_VALUE"""),"No")</f>
        <v>No</v>
      </c>
      <c r="AK343" s="8" t="str">
        <f ca="1">IFERROR(__xludf.DUMMYFUNCTION("""COMPUTED_VALUE"""),"No")</f>
        <v>No</v>
      </c>
      <c r="AL343" s="8"/>
      <c r="AM343" s="8" t="str">
        <f ca="1">IFERROR(__xludf.DUMMYFUNCTION("""COMPUTED_VALUE"""),"No")</f>
        <v>No</v>
      </c>
      <c r="AN343" s="8" t="str">
        <f ca="1">IFERROR(__xludf.DUMMYFUNCTION("""COMPUTED_VALUE"""),"Outside")</f>
        <v>Outside</v>
      </c>
      <c r="AO343" s="8" t="str">
        <f ca="1">IFERROR(__xludf.DUMMYFUNCTION("""COMPUTED_VALUE"""),"No")</f>
        <v>No</v>
      </c>
      <c r="AP343" s="8"/>
      <c r="AQ343" s="8"/>
      <c r="AR343" s="8" t="str">
        <f ca="1">IFERROR(__xludf.DUMMYFUNCTION("""COMPUTED_VALUE"""),"Outside/Off-Property")</f>
        <v>Outside/Off-Property</v>
      </c>
      <c r="AS343" s="8">
        <f ca="1">IFERROR(__xludf.DUMMYFUNCTION("""COMPUTED_VALUE"""),1)</f>
        <v>1</v>
      </c>
      <c r="AT343" s="8" t="str">
        <f ca="1">IFERROR(__xludf.DUMMYFUNCTION("""COMPUTED_VALUE"""),"Yes")</f>
        <v>Yes</v>
      </c>
      <c r="AU343" s="8">
        <f ca="1">IFERROR(__xludf.DUMMYFUNCTION("""COMPUTED_VALUE"""),34.020698)</f>
        <v>34.020698000000003</v>
      </c>
      <c r="AV343" s="8">
        <f ca="1">IFERROR(__xludf.DUMMYFUNCTION("""COMPUTED_VALUE"""),-79.155493)</f>
        <v>-79.155493000000007</v>
      </c>
      <c r="AW343" s="8" t="str">
        <f ca="1">IFERROR(__xludf.DUMMYFUNCTION("""COMPUTED_VALUE"""),"Multiple attached buildings")</f>
        <v>Multiple attached buildings</v>
      </c>
      <c r="AX343" s="8">
        <f ca="1">IFERROR(__xludf.DUMMYFUNCTION("""COMPUTED_VALUE"""),29511)</f>
        <v>29511</v>
      </c>
    </row>
    <row r="344" spans="1:50" ht="60" x14ac:dyDescent="0.2">
      <c r="A344" s="8" t="str">
        <f ca="1">IFERROR(__xludf.DUMMYFUNCTION("""COMPUTED_VALUE"""),"20240610NEELO")</f>
        <v>20240610NEELO</v>
      </c>
      <c r="B344" s="8">
        <f ca="1">IFERROR(__xludf.DUMMYFUNCTION("""COMPUTED_VALUE"""),6)</f>
        <v>6</v>
      </c>
      <c r="C344" s="8">
        <f ca="1">IFERROR(__xludf.DUMMYFUNCTION("""COMPUTED_VALUE"""),10)</f>
        <v>10</v>
      </c>
      <c r="D344" s="8">
        <f ca="1">IFERROR(__xludf.DUMMYFUNCTION("""COMPUTED_VALUE"""),2024)</f>
        <v>2024</v>
      </c>
      <c r="E344" s="9">
        <f ca="1">IFERROR(__xludf.DUMMYFUNCTION("""COMPUTED_VALUE"""),45453)</f>
        <v>45453</v>
      </c>
      <c r="F344" s="8" t="str">
        <f ca="1">IFERROR(__xludf.DUMMYFUNCTION("""COMPUTED_VALUE"""),"Elkhorn North High School")</f>
        <v>Elkhorn North High School</v>
      </c>
      <c r="G344" s="8">
        <f ca="1">IFERROR(__xludf.DUMMYFUNCTION("""COMPUTED_VALUE"""),0)</f>
        <v>0</v>
      </c>
      <c r="H344" s="8">
        <f ca="1">IFERROR(__xludf.DUMMYFUNCTION("""COMPUTED_VALUE"""),0)</f>
        <v>0</v>
      </c>
      <c r="I344" s="8">
        <f ca="1">IFERROR(__xludf.DUMMYFUNCTION("""COMPUTED_VALUE"""),0)</f>
        <v>0</v>
      </c>
      <c r="J344" s="8">
        <f ca="1">IFERROR(__xludf.DUMMYFUNCTION("""COMPUTED_VALUE"""),0)</f>
        <v>0</v>
      </c>
      <c r="K344" s="8" t="str">
        <f ca="1">IFERROR(__xludf.DUMMYFUNCTION("""COMPUTED_VALUE"""),"https://www.wowt.com/2024/06/14/teen-suspect-omaha-high-school-parking-lot-incident-turns-himself/
https://omaha.com/news/local/crime-courts/deputies-arrest-3-in-connection-with-elkhorn-north-high-parking-lot-gunshots-incident/article_789b2f32-2835-11ef-b"&amp;"467-2b0166d706d2.html
https://www.wowt.com/2024/06/11/authorities-urgently-looking-suspect-after-shots-fired-omaha-high-school-parking-lot/")</f>
        <v>https://www.wowt.com/2024/06/14/teen-suspect-omaha-high-school-parking-lot-incident-turns-himself/
https://omaha.com/news/local/crime-courts/deputies-arrest-3-in-connection-with-elkhorn-north-high-parking-lot-gunshots-incident/article_789b2f32-2835-11ef-b467-2b0166d706d2.html
https://www.wowt.com/2024/06/11/authorities-urgently-looking-suspect-after-shots-fired-omaha-high-school-parking-lot/</v>
      </c>
      <c r="L344" s="8">
        <f ca="1">IFERROR(__xludf.DUMMYFUNCTION("""COMPUTED_VALUE"""),5)</f>
        <v>5</v>
      </c>
      <c r="M344" s="8" t="str">
        <f ca="1">IFERROR(__xludf.DUMMYFUNCTION("""COMPUTED_VALUE"""),"Local")</f>
        <v>Local</v>
      </c>
      <c r="N344" s="8">
        <f ca="1">IFERROR(__xludf.DUMMYFUNCTION("""COMPUTED_VALUE"""),4)</f>
        <v>4</v>
      </c>
      <c r="O344" s="8" t="str">
        <f ca="1">IFERROR(__xludf.DUMMYFUNCTION("""COMPUTED_VALUE"""),"Summer")</f>
        <v>Summer</v>
      </c>
      <c r="P344" s="8" t="str">
        <f ca="1">IFERROR(__xludf.DUMMYFUNCTION("""COMPUTED_VALUE"""),"Omaha")</f>
        <v>Omaha</v>
      </c>
      <c r="Q344" s="8" t="str">
        <f ca="1">IFERROR(__xludf.DUMMYFUNCTION("""COMPUTED_VALUE"""),"NE")</f>
        <v>NE</v>
      </c>
      <c r="R344" s="8" t="str">
        <f ca="1">IFERROR(__xludf.DUMMYFUNCTION("""COMPUTED_VALUE"""),"High")</f>
        <v>High</v>
      </c>
      <c r="S344" s="8" t="str">
        <f ca="1">IFERROR(__xludf.DUMMYFUNCTION("""COMPUTED_VALUE"""),"Parking Lot")</f>
        <v>Parking Lot</v>
      </c>
      <c r="T344" s="8" t="str">
        <f ca="1">IFERROR(__xludf.DUMMYFUNCTION("""COMPUTED_VALUE"""),"Outside on School Property")</f>
        <v>Outside on School Property</v>
      </c>
      <c r="U344" s="8" t="str">
        <f ca="1">IFERROR(__xludf.DUMMYFUNCTION("""COMPUTED_VALUE"""),"No")</f>
        <v>No</v>
      </c>
      <c r="V344" s="8" t="str">
        <f ca="1">IFERROR(__xludf.DUMMYFUNCTION("""COMPUTED_VALUE"""),"Night")</f>
        <v>Night</v>
      </c>
      <c r="W344" s="11">
        <f ca="1">IFERROR(__xludf.DUMMYFUNCTION("""COMPUTED_VALUE"""),0.0416666666666666)</f>
        <v>4.1666666666666602E-2</v>
      </c>
      <c r="X344" s="8">
        <f ca="1">IFERROR(__xludf.DUMMYFUNCTION("""COMPUTED_VALUE"""),1)</f>
        <v>1</v>
      </c>
      <c r="Y344" s="12" t="str">
        <f ca="1">IFERROR(__xludf.DUMMYFUNCTION("""COMPUTED_VALUE"""),"Shots fired during large fight in school parking lot")</f>
        <v>Shots fired during large fight in school parking lot</v>
      </c>
      <c r="Z344" s="12" t="str">
        <f ca="1">IFERROR(__xludf.DUMMYFUNCTION("""COMPUTED_VALUE"""),"Large group of 100 teens were in the school parking lot when a fight started. One person fired shots into the air. At least four people were armed with handguns at the school. Shooter and crowd fled before police arrived.")</f>
        <v>Large group of 100 teens were in the school parking lot when a fight started. One person fired shots into the air. At least four people were armed with handguns at the school. Shooter and crowd fled before police arrived.</v>
      </c>
      <c r="AA344" s="8" t="str">
        <f ca="1">IFERROR(__xludf.DUMMYFUNCTION("""COMPUTED_VALUE"""),"Escalation of Dispute")</f>
        <v>Escalation of Dispute</v>
      </c>
      <c r="AB344" s="8" t="str">
        <f ca="1">IFERROR(__xludf.DUMMYFUNCTION("""COMPUTED_VALUE"""),"Spontaneous")</f>
        <v>Spontaneous</v>
      </c>
      <c r="AC344" s="8" t="str">
        <f ca="1">IFERROR(__xludf.DUMMYFUNCTION("""COMPUTED_VALUE"""),"Yes")</f>
        <v>Yes</v>
      </c>
      <c r="AD344" s="8" t="str">
        <f ca="1">IFERROR(__xludf.DUMMYFUNCTION("""COMPUTED_VALUE"""),"Neither")</f>
        <v>Neither</v>
      </c>
      <c r="AE344" s="8" t="str">
        <f ca="1">IFERROR(__xludf.DUMMYFUNCTION("""COMPUTED_VALUE"""),"Yes")</f>
        <v>Yes</v>
      </c>
      <c r="AF344" s="8" t="str">
        <f ca="1">IFERROR(__xludf.DUMMYFUNCTION("""COMPUTED_VALUE"""),"4 teens with guns")</f>
        <v>4 teens with guns</v>
      </c>
      <c r="AG344" s="8" t="str">
        <f ca="1">IFERROR(__xludf.DUMMYFUNCTION("""COMPUTED_VALUE"""),"No")</f>
        <v>No</v>
      </c>
      <c r="AH344" s="8" t="str">
        <f ca="1">IFERROR(__xludf.DUMMYFUNCTION("""COMPUTED_VALUE"""),"No")</f>
        <v>No</v>
      </c>
      <c r="AI344" s="8" t="str">
        <f ca="1">IFERROR(__xludf.DUMMYFUNCTION("""COMPUTED_VALUE"""),"No")</f>
        <v>No</v>
      </c>
      <c r="AJ344" s="8" t="str">
        <f ca="1">IFERROR(__xludf.DUMMYFUNCTION("""COMPUTED_VALUE"""),"No")</f>
        <v>No</v>
      </c>
      <c r="AK344" s="8" t="str">
        <f ca="1">IFERROR(__xludf.DUMMYFUNCTION("""COMPUTED_VALUE"""),"No")</f>
        <v>No</v>
      </c>
      <c r="AL344" s="8" t="str">
        <f ca="1">IFERROR(__xludf.DUMMYFUNCTION("""COMPUTED_VALUE"""),"No")</f>
        <v>No</v>
      </c>
      <c r="AM344" s="8" t="str">
        <f ca="1">IFERROR(__xludf.DUMMYFUNCTION("""COMPUTED_VALUE"""),"No")</f>
        <v>No</v>
      </c>
      <c r="AN344" s="8" t="str">
        <f ca="1">IFERROR(__xludf.DUMMYFUNCTION("""COMPUTED_VALUE"""),"Outside")</f>
        <v>Outside</v>
      </c>
      <c r="AO344" s="8" t="str">
        <f ca="1">IFERROR(__xludf.DUMMYFUNCTION("""COMPUTED_VALUE"""),"No")</f>
        <v>No</v>
      </c>
      <c r="AP344" s="8"/>
      <c r="AQ344" s="8"/>
      <c r="AR344" s="8" t="str">
        <f ca="1">IFERROR(__xludf.DUMMYFUNCTION("""COMPUTED_VALUE"""),"Outside/Off-Property")</f>
        <v>Outside/Off-Property</v>
      </c>
      <c r="AS344" s="8">
        <f ca="1">IFERROR(__xludf.DUMMYFUNCTION("""COMPUTED_VALUE"""),10)</f>
        <v>10</v>
      </c>
      <c r="AT344" s="8" t="str">
        <f ca="1">IFERROR(__xludf.DUMMYFUNCTION("""COMPUTED_VALUE"""),"No")</f>
        <v>No</v>
      </c>
      <c r="AU344" s="8">
        <f ca="1">IFERROR(__xludf.DUMMYFUNCTION("""COMPUTED_VALUE"""),41.297472)</f>
        <v>41.297471999999999</v>
      </c>
      <c r="AV344" s="8">
        <f ca="1">IFERROR(__xludf.DUMMYFUNCTION("""COMPUTED_VALUE"""),-96.194274)</f>
        <v>-96.194273999999993</v>
      </c>
      <c r="AW344" s="8" t="str">
        <f ca="1">IFERROR(__xludf.DUMMYFUNCTION("""COMPUTED_VALUE"""),"Multiple attached buildings")</f>
        <v>Multiple attached buildings</v>
      </c>
      <c r="AX344" s="8">
        <f ca="1">IFERROR(__xludf.DUMMYFUNCTION("""COMPUTED_VALUE"""),68166)</f>
        <v>68166</v>
      </c>
    </row>
    <row r="345" spans="1:50" ht="180" x14ac:dyDescent="0.2">
      <c r="A345" s="8" t="str">
        <f ca="1">IFERROR(__xludf.DUMMYFUNCTION("""COMPUTED_VALUE"""),"20240610FLPAL")</f>
        <v>20240610FLPAL</v>
      </c>
      <c r="B345" s="8">
        <f ca="1">IFERROR(__xludf.DUMMYFUNCTION("""COMPUTED_VALUE"""),6)</f>
        <v>6</v>
      </c>
      <c r="C345" s="8">
        <f ca="1">IFERROR(__xludf.DUMMYFUNCTION("""COMPUTED_VALUE"""),10)</f>
        <v>10</v>
      </c>
      <c r="D345" s="8">
        <f ca="1">IFERROR(__xludf.DUMMYFUNCTION("""COMPUTED_VALUE"""),2024)</f>
        <v>2024</v>
      </c>
      <c r="E345" s="9">
        <f ca="1">IFERROR(__xludf.DUMMYFUNCTION("""COMPUTED_VALUE"""),45453)</f>
        <v>45453</v>
      </c>
      <c r="F345" s="8" t="str">
        <f ca="1">IFERROR(__xludf.DUMMYFUNCTION("""COMPUTED_VALUE"""),"Palm Beach County School District")</f>
        <v>Palm Beach County School District</v>
      </c>
      <c r="G345" s="8">
        <f ca="1">IFERROR(__xludf.DUMMYFUNCTION("""COMPUTED_VALUE"""),0)</f>
        <v>0</v>
      </c>
      <c r="H345" s="8">
        <f ca="1">IFERROR(__xludf.DUMMYFUNCTION("""COMPUTED_VALUE"""),1)</f>
        <v>1</v>
      </c>
      <c r="I345" s="8">
        <f ca="1">IFERROR(__xludf.DUMMYFUNCTION("""COMPUTED_VALUE"""),1)</f>
        <v>1</v>
      </c>
      <c r="J345" s="8">
        <f ca="1">IFERROR(__xludf.DUMMYFUNCTION("""COMPUTED_VALUE"""),0)</f>
        <v>0</v>
      </c>
      <c r="K345" s="8" t="str">
        <f ca="1">IFERROR(__xludf.DUMMYFUNCTION("""COMPUTED_VALUE"""),"https://www.wptv.com/news/education/school-district-employee-accidentally-shot-was-taking-part-in-guardian-program-certification-district-says
https://cbs12.com/news/local/person-accidentally-shot-during-school-district-training-at-palm-beach-county-sheri"&amp;"ffs-office-range-pbso-hip
https://www.wpbf.com/article/florida-palm-beach-county-school-district-employees-shoots-self-at-gun-range/61060874")</f>
        <v>https://www.wptv.com/news/education/school-district-employee-accidentally-shot-was-taking-part-in-guardian-program-certification-district-says
https://cbs12.com/news/local/person-accidentally-shot-during-school-district-training-at-palm-beach-county-sheriffs-office-range-pbso-hip
https://www.wpbf.com/article/florida-palm-beach-county-school-district-employees-shoots-self-at-gun-range/61060874</v>
      </c>
      <c r="L345" s="8">
        <f ca="1">IFERROR(__xludf.DUMMYFUNCTION("""COMPUTED_VALUE"""),2)</f>
        <v>2</v>
      </c>
      <c r="M345" s="8" t="str">
        <f ca="1">IFERROR(__xludf.DUMMYFUNCTION("""COMPUTED_VALUE"""),"Local")</f>
        <v>Local</v>
      </c>
      <c r="N345" s="8">
        <f ca="1">IFERROR(__xludf.DUMMYFUNCTION("""COMPUTED_VALUE"""),4)</f>
        <v>4</v>
      </c>
      <c r="O345" s="8" t="str">
        <f ca="1">IFERROR(__xludf.DUMMYFUNCTION("""COMPUTED_VALUE"""),"Summer")</f>
        <v>Summer</v>
      </c>
      <c r="P345" s="8" t="str">
        <f ca="1">IFERROR(__xludf.DUMMYFUNCTION("""COMPUTED_VALUE"""),"Loxahatchee")</f>
        <v>Loxahatchee</v>
      </c>
      <c r="Q345" s="8" t="str">
        <f ca="1">IFERROR(__xludf.DUMMYFUNCTION("""COMPUTED_VALUE"""),"FL")</f>
        <v>FL</v>
      </c>
      <c r="R345" s="8"/>
      <c r="S345" s="8" t="str">
        <f ca="1">IFERROR(__xludf.DUMMYFUNCTION("""COMPUTED_VALUE"""),"Off School Property")</f>
        <v>Off School Property</v>
      </c>
      <c r="T345" s="8" t="str">
        <f ca="1">IFERROR(__xludf.DUMMYFUNCTION("""COMPUTED_VALUE"""),"Off School Property")</f>
        <v>Off School Property</v>
      </c>
      <c r="U345" s="8"/>
      <c r="V345" s="8"/>
      <c r="W345" s="8"/>
      <c r="X345" s="8">
        <f ca="1">IFERROR(__xludf.DUMMYFUNCTION("""COMPUTED_VALUE"""),1)</f>
        <v>1</v>
      </c>
      <c r="Y345" s="12" t="str">
        <f ca="1">IFERROR(__xludf.DUMMYFUNCTION("""COMPUTED_VALUE"""),"School employee shot themselves during School Guardian training session at police gun range")</f>
        <v>School employee shot themselves during School Guardian training session at police gun range</v>
      </c>
      <c r="Z345" s="12" t="str">
        <f ca="1">IFERROR(__xludf.DUMMYFUNCTION("""COMPUTED_VALUE"""),"The accidental discharge occurred at the Palm Beach Sheriff’s Office’s gun range during ""School Guardian"" training program for armed staff. The individual involved in the shooting was taking a civilian training exercise with the Palm Beach County School"&amp;" District. The victim was transported to a local hospital with a gunshot wound to the hip area, and the injuries are non-life-threatening. ""During a training exercise this morning at the PBSO gun range, a School District employee inadvertently discharged"&amp;" their firearm and was impacted by a self-inflicted wound. They were transported to an area hospital for evaluation and treatment. Injuries were non-life threatening.""")</f>
        <v>The accidental discharge occurred at the Palm Beach Sheriff’s Office’s gun range during "School Guardian" training program for armed staff. The individual involved in the shooting was taking a civilian training exercise with the Palm Beach County School District. The victim was transported to a local hospital with a gunshot wound to the hip area, and the injuries are non-life-threatening. "During a training exercise this morning at the PBSO gun range, a School District employee inadvertently discharged their firearm and was impacted by a self-inflicted wound. They were transported to an area hospital for evaluation and treatment. Injuries were non-life threatening."</v>
      </c>
      <c r="AA345" s="8" t="str">
        <f ca="1">IFERROR(__xludf.DUMMYFUNCTION("""COMPUTED_VALUE"""),"Accidental")</f>
        <v>Accidental</v>
      </c>
      <c r="AB345" s="8"/>
      <c r="AC345" s="8" t="str">
        <f ca="1">IFERROR(__xludf.DUMMYFUNCTION("""COMPUTED_VALUE"""),"Yes")</f>
        <v>Yes</v>
      </c>
      <c r="AD345" s="8" t="str">
        <f ca="1">IFERROR(__xludf.DUMMYFUNCTION("""COMPUTED_VALUE"""),"Neither")</f>
        <v>Neither</v>
      </c>
      <c r="AE345" s="8" t="str">
        <f ca="1">IFERROR(__xludf.DUMMYFUNCTION("""COMPUTED_VALUE"""),"No")</f>
        <v>No</v>
      </c>
      <c r="AF345" s="8"/>
      <c r="AG345" s="8" t="str">
        <f ca="1">IFERROR(__xludf.DUMMYFUNCTION("""COMPUTED_VALUE"""),"No")</f>
        <v>No</v>
      </c>
      <c r="AH345" s="8" t="str">
        <f ca="1">IFERROR(__xludf.DUMMYFUNCTION("""COMPUTED_VALUE"""),"No")</f>
        <v>No</v>
      </c>
      <c r="AI345" s="8" t="str">
        <f ca="1">IFERROR(__xludf.DUMMYFUNCTION("""COMPUTED_VALUE"""),"No")</f>
        <v>No</v>
      </c>
      <c r="AJ345" s="8" t="str">
        <f ca="1">IFERROR(__xludf.DUMMYFUNCTION("""COMPUTED_VALUE"""),"No")</f>
        <v>No</v>
      </c>
      <c r="AK345" s="8" t="str">
        <f ca="1">IFERROR(__xludf.DUMMYFUNCTION("""COMPUTED_VALUE"""),"No")</f>
        <v>No</v>
      </c>
      <c r="AL345" s="8" t="str">
        <f ca="1">IFERROR(__xludf.DUMMYFUNCTION("""COMPUTED_VALUE"""),"No")</f>
        <v>No</v>
      </c>
      <c r="AM345" s="8" t="str">
        <f ca="1">IFERROR(__xludf.DUMMYFUNCTION("""COMPUTED_VALUE"""),"No")</f>
        <v>No</v>
      </c>
      <c r="AN345" s="8" t="str">
        <f ca="1">IFERROR(__xludf.DUMMYFUNCTION("""COMPUTED_VALUE"""),"Outside")</f>
        <v>Outside</v>
      </c>
      <c r="AO345" s="8" t="str">
        <f ca="1">IFERROR(__xludf.DUMMYFUNCTION("""COMPUTED_VALUE"""),"No")</f>
        <v>No</v>
      </c>
      <c r="AP345" s="8"/>
      <c r="AQ345" s="8"/>
      <c r="AR345" s="8" t="str">
        <f ca="1">IFERROR(__xludf.DUMMYFUNCTION("""COMPUTED_VALUE"""),"Outside/Off-Property")</f>
        <v>Outside/Off-Property</v>
      </c>
      <c r="AS345" s="8">
        <f ca="1">IFERROR(__xludf.DUMMYFUNCTION("""COMPUTED_VALUE"""),1)</f>
        <v>1</v>
      </c>
      <c r="AT345" s="8"/>
      <c r="AU345" s="8">
        <f ca="1">IFERROR(__xludf.DUMMYFUNCTION("""COMPUTED_VALUE"""),26.683699)</f>
        <v>26.683699000000001</v>
      </c>
      <c r="AV345" s="8">
        <f ca="1">IFERROR(__xludf.DUMMYFUNCTION("""COMPUTED_VALUE"""),-80.379007)</f>
        <v>-80.379007000000001</v>
      </c>
      <c r="AW345" s="8"/>
      <c r="AX345" s="8">
        <f ca="1">IFERROR(__xludf.DUMMYFUNCTION("""COMPUTED_VALUE"""),33470)</f>
        <v>33470</v>
      </c>
    </row>
    <row r="346" spans="1:50" ht="120" x14ac:dyDescent="0.2">
      <c r="A346" s="8" t="str">
        <f ca="1">IFERROR(__xludf.DUMMYFUNCTION("""COMPUTED_VALUE"""),"20240607CACAC")</f>
        <v>20240607CACAC</v>
      </c>
      <c r="B346" s="8">
        <f ca="1">IFERROR(__xludf.DUMMYFUNCTION("""COMPUTED_VALUE"""),6)</f>
        <v>6</v>
      </c>
      <c r="C346" s="8">
        <f ca="1">IFERROR(__xludf.DUMMYFUNCTION("""COMPUTED_VALUE"""),7)</f>
        <v>7</v>
      </c>
      <c r="D346" s="8">
        <f ca="1">IFERROR(__xludf.DUMMYFUNCTION("""COMPUTED_VALUE"""),2024)</f>
        <v>2024</v>
      </c>
      <c r="E346" s="9">
        <f ca="1">IFERROR(__xludf.DUMMYFUNCTION("""COMPUTED_VALUE"""),45450)</f>
        <v>45450</v>
      </c>
      <c r="F346" s="8" t="str">
        <f ca="1">IFERROR(__xludf.DUMMYFUNCTION("""COMPUTED_VALUE"""),"Carson High School")</f>
        <v>Carson High School</v>
      </c>
      <c r="G346" s="8">
        <f ca="1">IFERROR(__xludf.DUMMYFUNCTION("""COMPUTED_VALUE"""),0)</f>
        <v>0</v>
      </c>
      <c r="H346" s="8">
        <f ca="1">IFERROR(__xludf.DUMMYFUNCTION("""COMPUTED_VALUE"""),0)</f>
        <v>0</v>
      </c>
      <c r="I346" s="8">
        <f ca="1">IFERROR(__xludf.DUMMYFUNCTION("""COMPUTED_VALUE"""),0)</f>
        <v>0</v>
      </c>
      <c r="J346" s="8">
        <f ca="1">IFERROR(__xludf.DUMMYFUNCTION("""COMPUTED_VALUE"""),0)</f>
        <v>0</v>
      </c>
      <c r="K346" s="10" t="str">
        <f ca="1">IFERROR(__xludf.DUMMYFUNCTION("""COMPUTED_VALUE"""),"https://archive.is/paZzM#selection-2447.39-2447.57")</f>
        <v>https://archive.is/paZzM#selection-2447.39-2447.57</v>
      </c>
      <c r="L346" s="8">
        <f ca="1">IFERROR(__xludf.DUMMYFUNCTION("""COMPUTED_VALUE"""),1)</f>
        <v>1</v>
      </c>
      <c r="M346" s="8" t="str">
        <f ca="1">IFERROR(__xludf.DUMMYFUNCTION("""COMPUTED_VALUE"""),"Local")</f>
        <v>Local</v>
      </c>
      <c r="N346" s="8">
        <f ca="1">IFERROR(__xludf.DUMMYFUNCTION("""COMPUTED_VALUE"""),4)</f>
        <v>4</v>
      </c>
      <c r="O346" s="8" t="str">
        <f ca="1">IFERROR(__xludf.DUMMYFUNCTION("""COMPUTED_VALUE"""),"Summer")</f>
        <v>Summer</v>
      </c>
      <c r="P346" s="8" t="str">
        <f ca="1">IFERROR(__xludf.DUMMYFUNCTION("""COMPUTED_VALUE"""),"Carson")</f>
        <v>Carson</v>
      </c>
      <c r="Q346" s="8" t="str">
        <f ca="1">IFERROR(__xludf.DUMMYFUNCTION("""COMPUTED_VALUE"""),"CA")</f>
        <v>CA</v>
      </c>
      <c r="R346" s="8" t="str">
        <f ca="1">IFERROR(__xludf.DUMMYFUNCTION("""COMPUTED_VALUE"""),"High")</f>
        <v>High</v>
      </c>
      <c r="S346" s="8" t="str">
        <f ca="1">IFERROR(__xludf.DUMMYFUNCTION("""COMPUTED_VALUE"""),"Classroom")</f>
        <v>Classroom</v>
      </c>
      <c r="T346" s="8" t="str">
        <f ca="1">IFERROR(__xludf.DUMMYFUNCTION("""COMPUTED_VALUE"""),"Outside on School Property")</f>
        <v>Outside on School Property</v>
      </c>
      <c r="U346" s="8" t="str">
        <f ca="1">IFERROR(__xludf.DUMMYFUNCTION("""COMPUTED_VALUE"""),"Yes")</f>
        <v>Yes</v>
      </c>
      <c r="V346" s="8" t="str">
        <f ca="1">IFERROR(__xludf.DUMMYFUNCTION("""COMPUTED_VALUE"""),"Afternoon Classes")</f>
        <v>Afternoon Classes</v>
      </c>
      <c r="W346" s="11">
        <f ca="1">IFERROR(__xludf.DUMMYFUNCTION("""COMPUTED_VALUE"""),0.583333333333333)</f>
        <v>0.58333333333333304</v>
      </c>
      <c r="X346" s="8">
        <f ca="1">IFERROR(__xludf.DUMMYFUNCTION("""COMPUTED_VALUE"""),1)</f>
        <v>1</v>
      </c>
      <c r="Y346" s="12" t="str">
        <f ca="1">IFERROR(__xludf.DUMMYFUNCTION("""COMPUTED_VALUE"""),"Shot fired inside a classroom, student fled")</f>
        <v>Shot fired inside a classroom, student fled</v>
      </c>
      <c r="Z346" s="12" t="str">
        <f ca="1">IFERROR(__xludf.DUMMYFUNCTION("""COMPUTED_VALUE"""),"A loud bang heard Friday afternoon at Carson High School was from a gun that discharged inside a classroom with students present, according to Los Angeles school officials, who updated a previous release stating that no shot had been fired. No injuries we"&amp;"re reported. The district did not say where the gun was located when it discharged. A student ran out of the classroom and off-campus immediately after a “loud bang.”")</f>
        <v>A loud bang heard Friday afternoon at Carson High School was from a gun that discharged inside a classroom with students present, according to Los Angeles school officials, who updated a previous release stating that no shot had been fired. No injuries were reported. The district did not say where the gun was located when it discharged. A student ran out of the classroom and off-campus immediately after a “loud bang.”</v>
      </c>
      <c r="AA346" s="8"/>
      <c r="AB346" s="8"/>
      <c r="AC346" s="8" t="str">
        <f ca="1">IFERROR(__xludf.DUMMYFUNCTION("""COMPUTED_VALUE"""),"Yes")</f>
        <v>Yes</v>
      </c>
      <c r="AD346" s="8"/>
      <c r="AE346" s="8" t="str">
        <f ca="1">IFERROR(__xludf.DUMMYFUNCTION("""COMPUTED_VALUE"""),"No")</f>
        <v>No</v>
      </c>
      <c r="AF346" s="8"/>
      <c r="AG346" s="8" t="str">
        <f ca="1">IFERROR(__xludf.DUMMYFUNCTION("""COMPUTED_VALUE"""),"No")</f>
        <v>No</v>
      </c>
      <c r="AH346" s="8" t="str">
        <f ca="1">IFERROR(__xludf.DUMMYFUNCTION("""COMPUTED_VALUE"""),"No")</f>
        <v>No</v>
      </c>
      <c r="AI346" s="8" t="str">
        <f ca="1">IFERROR(__xludf.DUMMYFUNCTION("""COMPUTED_VALUE"""),"No")</f>
        <v>No</v>
      </c>
      <c r="AJ346" s="8" t="str">
        <f ca="1">IFERROR(__xludf.DUMMYFUNCTION("""COMPUTED_VALUE"""),"No")</f>
        <v>No</v>
      </c>
      <c r="AK346" s="8" t="str">
        <f ca="1">IFERROR(__xludf.DUMMYFUNCTION("""COMPUTED_VALUE"""),"No")</f>
        <v>No</v>
      </c>
      <c r="AL346" s="8" t="str">
        <f ca="1">IFERROR(__xludf.DUMMYFUNCTION("""COMPUTED_VALUE"""),"No")</f>
        <v>No</v>
      </c>
      <c r="AM346" s="8" t="str">
        <f ca="1">IFERROR(__xludf.DUMMYFUNCTION("""COMPUTED_VALUE"""),"No")</f>
        <v>No</v>
      </c>
      <c r="AN346" s="8" t="str">
        <f ca="1">IFERROR(__xludf.DUMMYFUNCTION("""COMPUTED_VALUE"""),"Single Room")</f>
        <v>Single Room</v>
      </c>
      <c r="AO346" s="8" t="str">
        <f ca="1">IFERROR(__xludf.DUMMYFUNCTION("""COMPUTED_VALUE"""),"No")</f>
        <v>No</v>
      </c>
      <c r="AP346" s="8" t="str">
        <f ca="1">IFERROR(__xludf.DUMMYFUNCTION("""COMPUTED_VALUE"""),"Yes")</f>
        <v>Yes</v>
      </c>
      <c r="AQ346" s="8"/>
      <c r="AR346" s="8" t="str">
        <f ca="1">IFERROR(__xludf.DUMMYFUNCTION("""COMPUTED_VALUE"""),"Failed")</f>
        <v>Failed</v>
      </c>
      <c r="AS346" s="8">
        <f ca="1">IFERROR(__xludf.DUMMYFUNCTION("""COMPUTED_VALUE"""),1)</f>
        <v>1</v>
      </c>
      <c r="AT346" s="8" t="str">
        <f ca="1">IFERROR(__xludf.DUMMYFUNCTION("""COMPUTED_VALUE"""),"Yes")</f>
        <v>Yes</v>
      </c>
      <c r="AU346" s="8">
        <f ca="1">IFERROR(__xludf.DUMMYFUNCTION("""COMPUTED_VALUE"""),33.82231)</f>
        <v>33.822310000000002</v>
      </c>
      <c r="AV346" s="8">
        <f ca="1">IFERROR(__xludf.DUMMYFUNCTION("""COMPUTED_VALUE"""),-118.273953)</f>
        <v>-118.27395300000001</v>
      </c>
      <c r="AW346" s="8" t="str">
        <f ca="1">IFERROR(__xludf.DUMMYFUNCTION("""COMPUTED_VALUE"""),"Multiple detached buildings")</f>
        <v>Multiple detached buildings</v>
      </c>
      <c r="AX346" s="8">
        <f ca="1">IFERROR(__xludf.DUMMYFUNCTION("""COMPUTED_VALUE"""),90745)</f>
        <v>90745</v>
      </c>
    </row>
    <row r="347" spans="1:50" ht="75" x14ac:dyDescent="0.2">
      <c r="A347" s="8" t="str">
        <f ca="1">IFERROR(__xludf.DUMMYFUNCTION("""COMPUTED_VALUE"""),"20240606MOEAM")</f>
        <v>20240606MOEAM</v>
      </c>
      <c r="B347" s="8">
        <f ca="1">IFERROR(__xludf.DUMMYFUNCTION("""COMPUTED_VALUE"""),6)</f>
        <v>6</v>
      </c>
      <c r="C347" s="8">
        <f ca="1">IFERROR(__xludf.DUMMYFUNCTION("""COMPUTED_VALUE"""),6)</f>
        <v>6</v>
      </c>
      <c r="D347" s="8">
        <f ca="1">IFERROR(__xludf.DUMMYFUNCTION("""COMPUTED_VALUE"""),2024)</f>
        <v>2024</v>
      </c>
      <c r="E347" s="9">
        <f ca="1">IFERROR(__xludf.DUMMYFUNCTION("""COMPUTED_VALUE"""),45449)</f>
        <v>45449</v>
      </c>
      <c r="F347" s="8" t="str">
        <f ca="1">IFERROR(__xludf.DUMMYFUNCTION("""COMPUTED_VALUE"""),"East High School")</f>
        <v>East High School</v>
      </c>
      <c r="G347" s="8">
        <f ca="1">IFERROR(__xludf.DUMMYFUNCTION("""COMPUTED_VALUE"""),0)</f>
        <v>0</v>
      </c>
      <c r="H347" s="8">
        <f ca="1">IFERROR(__xludf.DUMMYFUNCTION("""COMPUTED_VALUE"""),0)</f>
        <v>0</v>
      </c>
      <c r="I347" s="8">
        <f ca="1">IFERROR(__xludf.DUMMYFUNCTION("""COMPUTED_VALUE"""),0)</f>
        <v>0</v>
      </c>
      <c r="J347" s="8">
        <f ca="1">IFERROR(__xludf.DUMMYFUNCTION("""COMPUTED_VALUE"""),0)</f>
        <v>0</v>
      </c>
      <c r="K347" s="10" t="str">
        <f ca="1">IFERROR(__xludf.DUMMYFUNCTION("""COMPUTED_VALUE"""),"https://archive.is/Vl1zS
https://ca.news.yahoo.com/shots-fired-outside-kansas-city-173827409.html")</f>
        <v>https://archive.is/Vl1zS
https://ca.news.yahoo.com/shots-fired-outside-kansas-city-173827409.html</v>
      </c>
      <c r="L347" s="8">
        <f ca="1">IFERROR(__xludf.DUMMYFUNCTION("""COMPUTED_VALUE"""),4)</f>
        <v>4</v>
      </c>
      <c r="M347" s="8" t="str">
        <f ca="1">IFERROR(__xludf.DUMMYFUNCTION("""COMPUTED_VALUE"""),"International")</f>
        <v>International</v>
      </c>
      <c r="N347" s="8">
        <f ca="1">IFERROR(__xludf.DUMMYFUNCTION("""COMPUTED_VALUE"""),4)</f>
        <v>4</v>
      </c>
      <c r="O347" s="8" t="str">
        <f ca="1">IFERROR(__xludf.DUMMYFUNCTION("""COMPUTED_VALUE"""),"Summer")</f>
        <v>Summer</v>
      </c>
      <c r="P347" s="8" t="str">
        <f ca="1">IFERROR(__xludf.DUMMYFUNCTION("""COMPUTED_VALUE"""),"Kansas City")</f>
        <v>Kansas City</v>
      </c>
      <c r="Q347" s="8" t="str">
        <f ca="1">IFERROR(__xludf.DUMMYFUNCTION("""COMPUTED_VALUE"""),"MO")</f>
        <v>MO</v>
      </c>
      <c r="R347" s="8" t="str">
        <f ca="1">IFERROR(__xludf.DUMMYFUNCTION("""COMPUTED_VALUE"""),"High")</f>
        <v>High</v>
      </c>
      <c r="S347" s="8" t="str">
        <f ca="1">IFERROR(__xludf.DUMMYFUNCTION("""COMPUTED_VALUE"""),"Front of School")</f>
        <v>Front of School</v>
      </c>
      <c r="T347" s="8" t="str">
        <f ca="1">IFERROR(__xludf.DUMMYFUNCTION("""COMPUTED_VALUE"""),"Outside on School Property")</f>
        <v>Outside on School Property</v>
      </c>
      <c r="U347" s="8" t="str">
        <f ca="1">IFERROR(__xludf.DUMMYFUNCTION("""COMPUTED_VALUE"""),"Yes")</f>
        <v>Yes</v>
      </c>
      <c r="V347" s="8" t="str">
        <f ca="1">IFERROR(__xludf.DUMMYFUNCTION("""COMPUTED_VALUE"""),"Dismissal")</f>
        <v>Dismissal</v>
      </c>
      <c r="W347" s="11">
        <f ca="1">IFERROR(__xludf.DUMMYFUNCTION("""COMPUTED_VALUE"""),0.604166666666666)</f>
        <v>0.60416666666666596</v>
      </c>
      <c r="X347" s="8">
        <f ca="1">IFERROR(__xludf.DUMMYFUNCTION("""COMPUTED_VALUE"""),1)</f>
        <v>1</v>
      </c>
      <c r="Y347" s="12" t="str">
        <f ca="1">IFERROR(__xludf.DUMMYFUNCTION("""COMPUTED_VALUE"""),"Shots fired from two vehicles during dismissal, students went back inside to lockdown")</f>
        <v>Shots fired from two vehicles during dismissal, students went back inside to lockdown</v>
      </c>
      <c r="Z347" s="12" t="str">
        <f ca="1">IFERROR(__xludf.DUMMYFUNCTION("""COMPUTED_VALUE"""),"Two people exchanged gunfire outside of Kansas City Public Schools’ East High School as summer classes were dismissing Thursday afternoon, a police spokesman said. No one was injured when the gunfire erupted about 2:30 p.m. in front of the high school.")</f>
        <v>Two people exchanged gunfire outside of Kansas City Public Schools’ East High School as summer classes were dismissing Thursday afternoon, a police spokesman said. No one was injured when the gunfire erupted about 2:30 p.m. in front of the high school.</v>
      </c>
      <c r="AA347" s="8" t="str">
        <f ca="1">IFERROR(__xludf.DUMMYFUNCTION("""COMPUTED_VALUE"""),"Drive-by Shooting")</f>
        <v>Drive-by Shooting</v>
      </c>
      <c r="AB347" s="8"/>
      <c r="AC347" s="8" t="str">
        <f ca="1">IFERROR(__xludf.DUMMYFUNCTION("""COMPUTED_VALUE"""),"Yes")</f>
        <v>Yes</v>
      </c>
      <c r="AD347" s="8"/>
      <c r="AE347" s="8"/>
      <c r="AF347" s="8"/>
      <c r="AG347" s="8" t="str">
        <f ca="1">IFERROR(__xludf.DUMMYFUNCTION("""COMPUTED_VALUE"""),"No")</f>
        <v>No</v>
      </c>
      <c r="AH347" s="8" t="str">
        <f ca="1">IFERROR(__xludf.DUMMYFUNCTION("""COMPUTED_VALUE"""),"No")</f>
        <v>No</v>
      </c>
      <c r="AI347" s="8" t="str">
        <f ca="1">IFERROR(__xludf.DUMMYFUNCTION("""COMPUTED_VALUE"""),"No")</f>
        <v>No</v>
      </c>
      <c r="AJ347" s="8" t="str">
        <f ca="1">IFERROR(__xludf.DUMMYFUNCTION("""COMPUTED_VALUE"""),"No")</f>
        <v>No</v>
      </c>
      <c r="AK347" s="8" t="str">
        <f ca="1">IFERROR(__xludf.DUMMYFUNCTION("""COMPUTED_VALUE"""),"No")</f>
        <v>No</v>
      </c>
      <c r="AL347" s="8"/>
      <c r="AM347" s="8" t="str">
        <f ca="1">IFERROR(__xludf.DUMMYFUNCTION("""COMPUTED_VALUE"""),"No")</f>
        <v>No</v>
      </c>
      <c r="AN347" s="8" t="str">
        <f ca="1">IFERROR(__xludf.DUMMYFUNCTION("""COMPUTED_VALUE"""),"Outside")</f>
        <v>Outside</v>
      </c>
      <c r="AO347" s="8" t="str">
        <f ca="1">IFERROR(__xludf.DUMMYFUNCTION("""COMPUTED_VALUE"""),"No")</f>
        <v>No</v>
      </c>
      <c r="AP347" s="8"/>
      <c r="AQ347" s="8"/>
      <c r="AR347" s="8" t="str">
        <f ca="1">IFERROR(__xludf.DUMMYFUNCTION("""COMPUTED_VALUE"""),"Outside/Off-Property")</f>
        <v>Outside/Off-Property</v>
      </c>
      <c r="AS347" s="8">
        <f ca="1">IFERROR(__xludf.DUMMYFUNCTION("""COMPUTED_VALUE"""),99)</f>
        <v>99</v>
      </c>
      <c r="AT347" s="8" t="str">
        <f ca="1">IFERROR(__xludf.DUMMYFUNCTION("""COMPUTED_VALUE"""),"Yes")</f>
        <v>Yes</v>
      </c>
      <c r="AU347" s="8">
        <f ca="1">IFERROR(__xludf.DUMMYFUNCTION("""COMPUTED_VALUE"""),39.087908)</f>
        <v>39.087907999999999</v>
      </c>
      <c r="AV347" s="8">
        <f ca="1">IFERROR(__xludf.DUMMYFUNCTION("""COMPUTED_VALUE"""),-94.520639)</f>
        <v>-94.520639000000003</v>
      </c>
      <c r="AW347" s="8" t="str">
        <f ca="1">IFERROR(__xludf.DUMMYFUNCTION("""COMPUTED_VALUE"""),"Multiple detached buildings")</f>
        <v>Multiple detached buildings</v>
      </c>
      <c r="AX347" s="8">
        <f ca="1">IFERROR(__xludf.DUMMYFUNCTION("""COMPUTED_VALUE"""),64127)</f>
        <v>64127</v>
      </c>
    </row>
    <row r="348" spans="1:50" ht="75" x14ac:dyDescent="0.2">
      <c r="A348" s="8" t="str">
        <f ca="1">IFERROR(__xludf.DUMMYFUNCTION("""COMPUTED_VALUE"""),"20240606CAMOM")</f>
        <v>20240606CAMOM</v>
      </c>
      <c r="B348" s="8">
        <f ca="1">IFERROR(__xludf.DUMMYFUNCTION("""COMPUTED_VALUE"""),6)</f>
        <v>6</v>
      </c>
      <c r="C348" s="8">
        <f ca="1">IFERROR(__xludf.DUMMYFUNCTION("""COMPUTED_VALUE"""),6)</f>
        <v>6</v>
      </c>
      <c r="D348" s="8">
        <f ca="1">IFERROR(__xludf.DUMMYFUNCTION("""COMPUTED_VALUE"""),2024)</f>
        <v>2024</v>
      </c>
      <c r="E348" s="9">
        <f ca="1">IFERROR(__xludf.DUMMYFUNCTION("""COMPUTED_VALUE"""),45449)</f>
        <v>45449</v>
      </c>
      <c r="F348" s="8" t="str">
        <f ca="1">IFERROR(__xludf.DUMMYFUNCTION("""COMPUTED_VALUE"""),"Mount Shasta High School")</f>
        <v>Mount Shasta High School</v>
      </c>
      <c r="G348" s="8">
        <f ca="1">IFERROR(__xludf.DUMMYFUNCTION("""COMPUTED_VALUE"""),0)</f>
        <v>0</v>
      </c>
      <c r="H348" s="8">
        <f ca="1">IFERROR(__xludf.DUMMYFUNCTION("""COMPUTED_VALUE"""),0)</f>
        <v>0</v>
      </c>
      <c r="I348" s="8">
        <f ca="1">IFERROR(__xludf.DUMMYFUNCTION("""COMPUTED_VALUE"""),0)</f>
        <v>0</v>
      </c>
      <c r="J348" s="8">
        <f ca="1">IFERROR(__xludf.DUMMYFUNCTION("""COMPUTED_VALUE"""),0)</f>
        <v>0</v>
      </c>
      <c r="K348" s="10" t="str">
        <f ca="1">IFERROR(__xludf.DUMMYFUNCTION("""COMPUTED_VALUE"""),"https://www.kdrv.com/news/schoolwatch/man-arrested-for-firing-shots-in-mount-shasta-prompting-school-lockdowns/article_ce78a6d4-2441-11ef-9c3d-c3edb842f92b.html
https://kobi5.com/news/mount-shasta-schools-locked-down-after-gun-fired-in-area-suspect-arrest"&amp;"ed-230931/")</f>
        <v>https://www.kdrv.com/news/schoolwatch/man-arrested-for-firing-shots-in-mount-shasta-prompting-school-lockdowns/article_ce78a6d4-2441-11ef-9c3d-c3edb842f92b.html
https://kobi5.com/news/mount-shasta-schools-locked-down-after-gun-fired-in-area-suspect-arrested-230931/</v>
      </c>
      <c r="L348" s="8">
        <f ca="1">IFERROR(__xludf.DUMMYFUNCTION("""COMPUTED_VALUE"""),2)</f>
        <v>2</v>
      </c>
      <c r="M348" s="8" t="str">
        <f ca="1">IFERROR(__xludf.DUMMYFUNCTION("""COMPUTED_VALUE"""),"Local")</f>
        <v>Local</v>
      </c>
      <c r="N348" s="8">
        <f ca="1">IFERROR(__xludf.DUMMYFUNCTION("""COMPUTED_VALUE"""),4)</f>
        <v>4</v>
      </c>
      <c r="O348" s="8" t="str">
        <f ca="1">IFERROR(__xludf.DUMMYFUNCTION("""COMPUTED_VALUE"""),"Summer")</f>
        <v>Summer</v>
      </c>
      <c r="P348" s="8" t="str">
        <f ca="1">IFERROR(__xludf.DUMMYFUNCTION("""COMPUTED_VALUE"""),"Mount Shasta")</f>
        <v>Mount Shasta</v>
      </c>
      <c r="Q348" s="8" t="str">
        <f ca="1">IFERROR(__xludf.DUMMYFUNCTION("""COMPUTED_VALUE"""),"CA")</f>
        <v>CA</v>
      </c>
      <c r="R348" s="8" t="str">
        <f ca="1">IFERROR(__xludf.DUMMYFUNCTION("""COMPUTED_VALUE"""),"High")</f>
        <v>High</v>
      </c>
      <c r="S348" s="8" t="str">
        <f ca="1">IFERROR(__xludf.DUMMYFUNCTION("""COMPUTED_VALUE"""),"Parking Lot")</f>
        <v>Parking Lot</v>
      </c>
      <c r="T348" s="8" t="str">
        <f ca="1">IFERROR(__xludf.DUMMYFUNCTION("""COMPUTED_VALUE"""),"Outside on School Property")</f>
        <v>Outside on School Property</v>
      </c>
      <c r="U348" s="8" t="str">
        <f ca="1">IFERROR(__xludf.DUMMYFUNCTION("""COMPUTED_VALUE"""),"Yes")</f>
        <v>Yes</v>
      </c>
      <c r="V348" s="8" t="str">
        <f ca="1">IFERROR(__xludf.DUMMYFUNCTION("""COMPUTED_VALUE"""),"Morning Classes")</f>
        <v>Morning Classes</v>
      </c>
      <c r="W348" s="11">
        <f ca="1">IFERROR(__xludf.DUMMYFUNCTION("""COMPUTED_VALUE"""),0.461805555555555)</f>
        <v>0.46180555555555503</v>
      </c>
      <c r="X348" s="8">
        <f ca="1">IFERROR(__xludf.DUMMYFUNCTION("""COMPUTED_VALUE"""),1)</f>
        <v>1</v>
      </c>
      <c r="Y348" s="12" t="str">
        <f ca="1">IFERROR(__xludf.DUMMYFUNCTION("""COMPUTED_VALUE"""),"Man fired 8 shots from his vehicle outside the school causing multi-campus lockdown")</f>
        <v>Man fired 8 shots from his vehicle outside the school causing multi-campus lockdown</v>
      </c>
      <c r="Z348" s="12" t="str">
        <f ca="1">IFERROR(__xludf.DUMMYFUNCTION("""COMPUTED_VALUE"""),"Man fired 8 shots from his vehicle outside the school causing multi-campus lockdown. Man fled and was later arrested for assault with a deadly weapon and brandishing a firearm in a school zone.")</f>
        <v>Man fired 8 shots from his vehicle outside the school causing multi-campus lockdown. Man fled and was later arrested for assault with a deadly weapon and brandishing a firearm in a school zone.</v>
      </c>
      <c r="AA348" s="8" t="str">
        <f ca="1">IFERROR(__xludf.DUMMYFUNCTION("""COMPUTED_VALUE"""),"Drive-by Shooting")</f>
        <v>Drive-by Shooting</v>
      </c>
      <c r="AB348" s="8"/>
      <c r="AC348" s="8" t="str">
        <f ca="1">IFERROR(__xludf.DUMMYFUNCTION("""COMPUTED_VALUE"""),"Yes")</f>
        <v>Yes</v>
      </c>
      <c r="AD348" s="8"/>
      <c r="AE348" s="8" t="str">
        <f ca="1">IFERROR(__xludf.DUMMYFUNCTION("""COMPUTED_VALUE"""),"No")</f>
        <v>No</v>
      </c>
      <c r="AF348" s="8"/>
      <c r="AG348" s="8" t="str">
        <f ca="1">IFERROR(__xludf.DUMMYFUNCTION("""COMPUTED_VALUE"""),"No")</f>
        <v>No</v>
      </c>
      <c r="AH348" s="8" t="str">
        <f ca="1">IFERROR(__xludf.DUMMYFUNCTION("""COMPUTED_VALUE"""),"No")</f>
        <v>No</v>
      </c>
      <c r="AI348" s="8" t="str">
        <f ca="1">IFERROR(__xludf.DUMMYFUNCTION("""COMPUTED_VALUE"""),"No")</f>
        <v>No</v>
      </c>
      <c r="AJ348" s="8" t="str">
        <f ca="1">IFERROR(__xludf.DUMMYFUNCTION("""COMPUTED_VALUE"""),"No")</f>
        <v>No</v>
      </c>
      <c r="AK348" s="8" t="str">
        <f ca="1">IFERROR(__xludf.DUMMYFUNCTION("""COMPUTED_VALUE"""),"No")</f>
        <v>No</v>
      </c>
      <c r="AL348" s="8" t="str">
        <f ca="1">IFERROR(__xludf.DUMMYFUNCTION("""COMPUTED_VALUE"""),"No")</f>
        <v>No</v>
      </c>
      <c r="AM348" s="8" t="str">
        <f ca="1">IFERROR(__xludf.DUMMYFUNCTION("""COMPUTED_VALUE"""),"No")</f>
        <v>No</v>
      </c>
      <c r="AN348" s="8" t="str">
        <f ca="1">IFERROR(__xludf.DUMMYFUNCTION("""COMPUTED_VALUE"""),"Outside")</f>
        <v>Outside</v>
      </c>
      <c r="AO348" s="8" t="str">
        <f ca="1">IFERROR(__xludf.DUMMYFUNCTION("""COMPUTED_VALUE"""),"No")</f>
        <v>No</v>
      </c>
      <c r="AP348" s="8"/>
      <c r="AQ348" s="8"/>
      <c r="AR348" s="8" t="str">
        <f ca="1">IFERROR(__xludf.DUMMYFUNCTION("""COMPUTED_VALUE"""),"Outside/Off-Property")</f>
        <v>Outside/Off-Property</v>
      </c>
      <c r="AS348" s="8">
        <f ca="1">IFERROR(__xludf.DUMMYFUNCTION("""COMPUTED_VALUE"""),8)</f>
        <v>8</v>
      </c>
      <c r="AT348" s="8" t="str">
        <f ca="1">IFERROR(__xludf.DUMMYFUNCTION("""COMPUTED_VALUE"""),"Yes")</f>
        <v>Yes</v>
      </c>
      <c r="AU348" s="8">
        <f ca="1">IFERROR(__xludf.DUMMYFUNCTION("""COMPUTED_VALUE"""),41.321632)</f>
        <v>41.321632000000001</v>
      </c>
      <c r="AV348" s="8">
        <f ca="1">IFERROR(__xludf.DUMMYFUNCTION("""COMPUTED_VALUE"""),-122.305753)</f>
        <v>-122.305753</v>
      </c>
      <c r="AW348" s="8" t="str">
        <f ca="1">IFERROR(__xludf.DUMMYFUNCTION("""COMPUTED_VALUE"""),"Multiple detached buildings")</f>
        <v>Multiple detached buildings</v>
      </c>
      <c r="AX348" s="8">
        <f ca="1">IFERROR(__xludf.DUMMYFUNCTION("""COMPUTED_VALUE"""),96067)</f>
        <v>96067</v>
      </c>
    </row>
    <row r="349" spans="1:50" ht="195" x14ac:dyDescent="0.2">
      <c r="A349" s="8" t="str">
        <f ca="1">IFERROR(__xludf.DUMMYFUNCTION("""COMPUTED_VALUE"""),"20240606WAGAS")</f>
        <v>20240606WAGAS</v>
      </c>
      <c r="B349" s="8">
        <f ca="1">IFERROR(__xludf.DUMMYFUNCTION("""COMPUTED_VALUE"""),6)</f>
        <v>6</v>
      </c>
      <c r="C349" s="8">
        <f ca="1">IFERROR(__xludf.DUMMYFUNCTION("""COMPUTED_VALUE"""),6)</f>
        <v>6</v>
      </c>
      <c r="D349" s="8">
        <f ca="1">IFERROR(__xludf.DUMMYFUNCTION("""COMPUTED_VALUE"""),2024)</f>
        <v>2024</v>
      </c>
      <c r="E349" s="9">
        <f ca="1">IFERROR(__xludf.DUMMYFUNCTION("""COMPUTED_VALUE"""),45449)</f>
        <v>45449</v>
      </c>
      <c r="F349" s="8" t="str">
        <f ca="1">IFERROR(__xludf.DUMMYFUNCTION("""COMPUTED_VALUE"""),"Garfield High School")</f>
        <v>Garfield High School</v>
      </c>
      <c r="G349" s="8">
        <f ca="1">IFERROR(__xludf.DUMMYFUNCTION("""COMPUTED_VALUE"""),1)</f>
        <v>1</v>
      </c>
      <c r="H349" s="8">
        <f ca="1">IFERROR(__xludf.DUMMYFUNCTION("""COMPUTED_VALUE"""),0)</f>
        <v>0</v>
      </c>
      <c r="I349" s="8">
        <f ca="1">IFERROR(__xludf.DUMMYFUNCTION("""COMPUTED_VALUE"""),1)</f>
        <v>1</v>
      </c>
      <c r="J349" s="8">
        <f ca="1">IFERROR(__xludf.DUMMYFUNCTION("""COMPUTED_VALUE"""),0)</f>
        <v>0</v>
      </c>
      <c r="K349" s="10" t="str">
        <f ca="1">IFERROR(__xludf.DUMMYFUNCTION("""COMPUTED_VALUE"""),"https://www.king5.com/article/news/crime/family-slain-teen-sues-seattle-public-schools/281-7b04cef3-e4d3-4fa3-9fbc-27fd8dd7a826
https://www.seattletimes.com/seattle-news/law-justice/shooting-near-garfield-high-under-investigation-seattle-police/
https://w"&amp;"ww.wave3.com/2024/06/07/17-year-old-student-fatally-shot-high-school-parking-lot-authorities-say/")</f>
        <v>https://www.king5.com/article/news/crime/family-slain-teen-sues-seattle-public-schools/281-7b04cef3-e4d3-4fa3-9fbc-27fd8dd7a826
https://www.seattletimes.com/seattle-news/law-justice/shooting-near-garfield-high-under-investigation-seattle-police/
https://www.wave3.com/2024/06/07/17-year-old-student-fatally-shot-high-school-parking-lot-authorities-say/</v>
      </c>
      <c r="L349" s="8">
        <f ca="1">IFERROR(__xludf.DUMMYFUNCTION("""COMPUTED_VALUE"""),10)</f>
        <v>10</v>
      </c>
      <c r="M349" s="8" t="str">
        <f ca="1">IFERROR(__xludf.DUMMYFUNCTION("""COMPUTED_VALUE"""),"Regional")</f>
        <v>Regional</v>
      </c>
      <c r="N349" s="8">
        <f ca="1">IFERROR(__xludf.DUMMYFUNCTION("""COMPUTED_VALUE"""),4)</f>
        <v>4</v>
      </c>
      <c r="O349" s="8" t="str">
        <f ca="1">IFERROR(__xludf.DUMMYFUNCTION("""COMPUTED_VALUE"""),"Summer")</f>
        <v>Summer</v>
      </c>
      <c r="P349" s="8" t="str">
        <f ca="1">IFERROR(__xludf.DUMMYFUNCTION("""COMPUTED_VALUE"""),"Seattle")</f>
        <v>Seattle</v>
      </c>
      <c r="Q349" s="8" t="str">
        <f ca="1">IFERROR(__xludf.DUMMYFUNCTION("""COMPUTED_VALUE"""),"WA")</f>
        <v>WA</v>
      </c>
      <c r="R349" s="8" t="str">
        <f ca="1">IFERROR(__xludf.DUMMYFUNCTION("""COMPUTED_VALUE"""),"High")</f>
        <v>High</v>
      </c>
      <c r="S349" s="8" t="str">
        <f ca="1">IFERROR(__xludf.DUMMYFUNCTION("""COMPUTED_VALUE"""),"Parking Lot")</f>
        <v>Parking Lot</v>
      </c>
      <c r="T349" s="8" t="str">
        <f ca="1">IFERROR(__xludf.DUMMYFUNCTION("""COMPUTED_VALUE"""),"Outside on School Property")</f>
        <v>Outside on School Property</v>
      </c>
      <c r="U349" s="8" t="str">
        <f ca="1">IFERROR(__xludf.DUMMYFUNCTION("""COMPUTED_VALUE"""),"Yes")</f>
        <v>Yes</v>
      </c>
      <c r="V349" s="8" t="str">
        <f ca="1">IFERROR(__xludf.DUMMYFUNCTION("""COMPUTED_VALUE"""),"Lunch")</f>
        <v>Lunch</v>
      </c>
      <c r="W349" s="11">
        <f ca="1">IFERROR(__xludf.DUMMYFUNCTION("""COMPUTED_VALUE"""),0.53125)</f>
        <v>0.53125</v>
      </c>
      <c r="X349" s="8">
        <f ca="1">IFERROR(__xludf.DUMMYFUNCTION("""COMPUTED_VALUE"""),1)</f>
        <v>1</v>
      </c>
      <c r="Y349" s="12" t="str">
        <f ca="1">IFERROR(__xludf.DUMMYFUNCTION("""COMPUTED_VALUE"""),"Student fatally shot during fight in the parking lot at lunch")</f>
        <v>Student fatally shot during fight in the parking lot at lunch</v>
      </c>
      <c r="Z349" s="12" t="str">
        <f ca="1">IFERROR(__xludf.DUMMYFUNCTION("""COMPUTED_VALUE"""),"Around 12:45 p.m. police said on the social platform X that officers were investigating a shooting at an address matching that of the high school. Officers found the student with multiple gunshot wounds. Garfield was temporarily placed in lockdown, and tw"&amp;"o nearby schools were ordered to shelter in place, officials said. Detectives learned that before the shooting, the 17-year-old tried to break up an altercation between the shooting suspect and another person. After walking away, the suspect approached th"&amp;"e 17-year-old and shot him, Deputy Chief Eric Barden told The Seattle Times. The suspect, said to be male and of high school age, fled and has not been located, police said. It was not clear if he is also a student at Garfield.")</f>
        <v>Around 12:45 p.m. police said on the social platform X that officers were investigating a shooting at an address matching that of the high school. Officers found the student with multiple gunshot wounds. Garfield was temporarily placed in lockdown, and two nearby schools were ordered to shelter in place, officials said. Detectives learned that before the shooting, the 17-year-old tried to break up an altercation between the shooting suspect and another person. After walking away, the suspect approached the 17-year-old and shot him, Deputy Chief Eric Barden told The Seattle Times. The suspect, said to be male and of high school age, fled and has not been located, police said. It was not clear if he is also a student at Garfield.</v>
      </c>
      <c r="AA349" s="8" t="str">
        <f ca="1">IFERROR(__xludf.DUMMYFUNCTION("""COMPUTED_VALUE"""),"Escalation of Dispute")</f>
        <v>Escalation of Dispute</v>
      </c>
      <c r="AB349" s="8" t="str">
        <f ca="1">IFERROR(__xludf.DUMMYFUNCTION("""COMPUTED_VALUE"""),"Spontaneous")</f>
        <v>Spontaneous</v>
      </c>
      <c r="AC349" s="8" t="str">
        <f ca="1">IFERROR(__xludf.DUMMYFUNCTION("""COMPUTED_VALUE"""),"Yes")</f>
        <v>Yes</v>
      </c>
      <c r="AD349" s="8" t="str">
        <f ca="1">IFERROR(__xludf.DUMMYFUNCTION("""COMPUTED_VALUE"""),"Victims Targeted")</f>
        <v>Victims Targeted</v>
      </c>
      <c r="AE349" s="8" t="str">
        <f ca="1">IFERROR(__xludf.DUMMYFUNCTION("""COMPUTED_VALUE"""),"No")</f>
        <v>No</v>
      </c>
      <c r="AF349" s="8"/>
      <c r="AG349" s="8" t="str">
        <f ca="1">IFERROR(__xludf.DUMMYFUNCTION("""COMPUTED_VALUE"""),"No")</f>
        <v>No</v>
      </c>
      <c r="AH349" s="8" t="str">
        <f ca="1">IFERROR(__xludf.DUMMYFUNCTION("""COMPUTED_VALUE"""),"No")</f>
        <v>No</v>
      </c>
      <c r="AI349" s="8" t="str">
        <f ca="1">IFERROR(__xludf.DUMMYFUNCTION("""COMPUTED_VALUE"""),"No")</f>
        <v>No</v>
      </c>
      <c r="AJ349" s="8" t="str">
        <f ca="1">IFERROR(__xludf.DUMMYFUNCTION("""COMPUTED_VALUE"""),"No")</f>
        <v>No</v>
      </c>
      <c r="AK349" s="8" t="str">
        <f ca="1">IFERROR(__xludf.DUMMYFUNCTION("""COMPUTED_VALUE"""),"No")</f>
        <v>No</v>
      </c>
      <c r="AL349" s="8" t="str">
        <f ca="1">IFERROR(__xludf.DUMMYFUNCTION("""COMPUTED_VALUE"""),"No")</f>
        <v>No</v>
      </c>
      <c r="AM349" s="8" t="str">
        <f ca="1">IFERROR(__xludf.DUMMYFUNCTION("""COMPUTED_VALUE"""),"No")</f>
        <v>No</v>
      </c>
      <c r="AN349" s="8" t="str">
        <f ca="1">IFERROR(__xludf.DUMMYFUNCTION("""COMPUTED_VALUE"""),"Outside")</f>
        <v>Outside</v>
      </c>
      <c r="AO349" s="8" t="str">
        <f ca="1">IFERROR(__xludf.DUMMYFUNCTION("""COMPUTED_VALUE"""),"No")</f>
        <v>No</v>
      </c>
      <c r="AP349" s="8"/>
      <c r="AQ349" s="8"/>
      <c r="AR349" s="8" t="str">
        <f ca="1">IFERROR(__xludf.DUMMYFUNCTION("""COMPUTED_VALUE"""),"Outside/Off-Property")</f>
        <v>Outside/Off-Property</v>
      </c>
      <c r="AS349" s="8">
        <f ca="1">IFERROR(__xludf.DUMMYFUNCTION("""COMPUTED_VALUE"""),10)</f>
        <v>10</v>
      </c>
      <c r="AT349" s="8" t="str">
        <f ca="1">IFERROR(__xludf.DUMMYFUNCTION("""COMPUTED_VALUE"""),"Yes")</f>
        <v>Yes</v>
      </c>
      <c r="AU349" s="8">
        <f ca="1">IFERROR(__xludf.DUMMYFUNCTION("""COMPUTED_VALUE"""),47.605193)</f>
        <v>47.605193</v>
      </c>
      <c r="AV349" s="8">
        <f ca="1">IFERROR(__xludf.DUMMYFUNCTION("""COMPUTED_VALUE"""),-122.302397)</f>
        <v>-122.302397</v>
      </c>
      <c r="AW349" s="8" t="str">
        <f ca="1">IFERROR(__xludf.DUMMYFUNCTION("""COMPUTED_VALUE"""),"Single building indoor hallway")</f>
        <v>Single building indoor hallway</v>
      </c>
      <c r="AX349" s="8">
        <f ca="1">IFERROR(__xludf.DUMMYFUNCTION("""COMPUTED_VALUE"""),98122)</f>
        <v>98122</v>
      </c>
    </row>
    <row r="350" spans="1:50" ht="409.5" x14ac:dyDescent="0.2">
      <c r="A350" s="8" t="str">
        <f ca="1">IFERROR(__xludf.DUMMYFUNCTION("""COMPUTED_VALUE"""),"20240606WAGAS2")</f>
        <v>20240606WAGAS2</v>
      </c>
      <c r="B350" s="8">
        <f ca="1">IFERROR(__xludf.DUMMYFUNCTION("""COMPUTED_VALUE"""),6)</f>
        <v>6</v>
      </c>
      <c r="C350" s="8">
        <f ca="1">IFERROR(__xludf.DUMMYFUNCTION("""COMPUTED_VALUE"""),6)</f>
        <v>6</v>
      </c>
      <c r="D350" s="8">
        <f ca="1">IFERROR(__xludf.DUMMYFUNCTION("""COMPUTED_VALUE"""),2024)</f>
        <v>2024</v>
      </c>
      <c r="E350" s="9">
        <f ca="1">IFERROR(__xludf.DUMMYFUNCTION("""COMPUTED_VALUE"""),45449)</f>
        <v>45449</v>
      </c>
      <c r="F350" s="8" t="str">
        <f ca="1">IFERROR(__xludf.DUMMYFUNCTION("""COMPUTED_VALUE"""),"Garfield High School")</f>
        <v>Garfield High School</v>
      </c>
      <c r="G350" s="8">
        <f ca="1">IFERROR(__xludf.DUMMYFUNCTION("""COMPUTED_VALUE"""),0)</f>
        <v>0</v>
      </c>
      <c r="H350" s="8">
        <f ca="1">IFERROR(__xludf.DUMMYFUNCTION("""COMPUTED_VALUE"""),0)</f>
        <v>0</v>
      </c>
      <c r="I350" s="8">
        <f ca="1">IFERROR(__xludf.DUMMYFUNCTION("""COMPUTED_VALUE"""),0)</f>
        <v>0</v>
      </c>
      <c r="J350" s="8">
        <f ca="1">IFERROR(__xludf.DUMMYFUNCTION("""COMPUTED_VALUE"""),0)</f>
        <v>0</v>
      </c>
      <c r="K350" s="8" t="str">
        <f ca="1">IFERROR(__xludf.DUMMYFUNCTION("""COMPUTED_VALUE"""),"https://www.king5.com/article/news/crime/family-slain-teen-sues-seattle-public-schools/281-7b04cef3-e4d3-4fa3-9fbc-27fd8dd7a826
https://archive.is/RMU2P#selection-2291.0-2311.1
https://www.capitolhillseattle.com/2024/08/report-on-day-of-murder-in-its-park"&amp;"ing-lot-garfield-high-school-was-already-in-middle-of-a-classroom-shooting-scare/")</f>
        <v>https://www.king5.com/article/news/crime/family-slain-teen-sues-seattle-public-schools/281-7b04cef3-e4d3-4fa3-9fbc-27fd8dd7a826
https://archive.is/RMU2P#selection-2291.0-2311.1
https://www.capitolhillseattle.com/2024/08/report-on-day-of-murder-in-its-parking-lot-garfield-high-school-was-already-in-middle-of-a-classroom-shooting-scare/</v>
      </c>
      <c r="L350" s="8">
        <f ca="1">IFERROR(__xludf.DUMMYFUNCTION("""COMPUTED_VALUE"""),5)</f>
        <v>5</v>
      </c>
      <c r="M350" s="8" t="str">
        <f ca="1">IFERROR(__xludf.DUMMYFUNCTION("""COMPUTED_VALUE"""),"Local")</f>
        <v>Local</v>
      </c>
      <c r="N350" s="8">
        <f ca="1">IFERROR(__xludf.DUMMYFUNCTION("""COMPUTED_VALUE"""),4)</f>
        <v>4</v>
      </c>
      <c r="O350" s="8" t="str">
        <f ca="1">IFERROR(__xludf.DUMMYFUNCTION("""COMPUTED_VALUE"""),"Summer")</f>
        <v>Summer</v>
      </c>
      <c r="P350" s="8" t="str">
        <f ca="1">IFERROR(__xludf.DUMMYFUNCTION("""COMPUTED_VALUE"""),"Seattle")</f>
        <v>Seattle</v>
      </c>
      <c r="Q350" s="8" t="str">
        <f ca="1">IFERROR(__xludf.DUMMYFUNCTION("""COMPUTED_VALUE"""),"WA")</f>
        <v>WA</v>
      </c>
      <c r="R350" s="8" t="str">
        <f ca="1">IFERROR(__xludf.DUMMYFUNCTION("""COMPUTED_VALUE"""),"High")</f>
        <v>High</v>
      </c>
      <c r="S350" s="8" t="str">
        <f ca="1">IFERROR(__xludf.DUMMYFUNCTION("""COMPUTED_VALUE"""),"Classroom")</f>
        <v>Classroom</v>
      </c>
      <c r="T350" s="8" t="str">
        <f ca="1">IFERROR(__xludf.DUMMYFUNCTION("""COMPUTED_VALUE"""),"Inside School Building")</f>
        <v>Inside School Building</v>
      </c>
      <c r="U350" s="8" t="str">
        <f ca="1">IFERROR(__xludf.DUMMYFUNCTION("""COMPUTED_VALUE"""),"Yes")</f>
        <v>Yes</v>
      </c>
      <c r="V350" s="8" t="str">
        <f ca="1">IFERROR(__xludf.DUMMYFUNCTION("""COMPUTED_VALUE"""),"Morning Classes")</f>
        <v>Morning Classes</v>
      </c>
      <c r="W350" s="11">
        <f ca="1">IFERROR(__xludf.DUMMYFUNCTION("""COMPUTED_VALUE"""),0.510416666666666)</f>
        <v>0.51041666666666596</v>
      </c>
      <c r="X350" s="8">
        <f ca="1">IFERROR(__xludf.DUMMYFUNCTION("""COMPUTED_VALUE"""),1)</f>
        <v>1</v>
      </c>
      <c r="Y350" s="12" t="str">
        <f ca="1">IFERROR(__xludf.DUMMYFUNCTION("""COMPUTED_VALUE"""),"Student in ski mask entered classroom with replica AR-15 air rifle and opened fire")</f>
        <v>Student in ski mask entered classroom with replica AR-15 air rifle and opened fire</v>
      </c>
      <c r="Z350" s="12" t="str">
        <f ca="1">IFERROR(__xludf.DUMMYFUNCTION("""COMPUTED_VALUE"""),"Just 30 minutes earlier, according to the SPD report and a person familiar with the situation, a teacher and students in their class were horrified to be in the middle of the first moments of an apparent school shooting after a student raced into a classr"&amp;"oom wearing a ski mask and armed with what appeared to be an automatic rifle. The student opened fire. The teacher later told police they expected to die. According to the SPD report on the incident, the teacher told police they were assisting students wi"&amp;"th a project when another student entered the classroom that Thursday around noon seeking the teacher’s assistance. The teacher said the student became angered and began yelling when they told the student he would have to wait. The student left, the teach"&amp;"er said. Moments later, he burst back into the room, this time wearing a ski mask and carrying the rifle. According to the SPD report, the student opened fire on the teacher, holding down the trigger “for 10 – 15 seconds nonstop.” The realistic looking gu"&amp;"n was an air rifle and police say the teacher reported being struck by multiple rubber bullets. The student, according to the SPD brief, “then left the classroom without saying anything.” Before the bullets hit, the teacher said they thought the gun was r"&amp;"eal and thought they were going to die. In the chaotic moments that followed, police and emergency vehicles would swarm the campus — but not for a classroom shooting. Outside, police say Murphy-Paine was shot and killed while trying to break up a fight. T"&amp;"hough the teacher reported the air rifle assault and talked to police the next day, the earlier, apparently unrelated classroom incident was not included in reports on the deadly shooting.")</f>
        <v>Just 30 minutes earlier, according to the SPD report and a person familiar with the situation, a teacher and students in their class were horrified to be in the middle of the first moments of an apparent school shooting after a student raced into a classroom wearing a ski mask and armed with what appeared to be an automatic rifle. The student opened fire. The teacher later told police they expected to die. According to the SPD report on the incident, the teacher told police they were assisting students with a project when another student entered the classroom that Thursday around noon seeking the teacher’s assistance. The teacher said the student became angered and began yelling when they told the student he would have to wait. The student left, the teacher said. Moments later, he burst back into the room, this time wearing a ski mask and carrying the rifle. According to the SPD report, the student opened fire on the teacher, holding down the trigger “for 10 – 15 seconds nonstop.” The realistic looking gun was an air rifle and police say the teacher reported being struck by multiple rubber bullets. The student, according to the SPD brief, “then left the classroom without saying anything.” Before the bullets hit, the teacher said they thought the gun was real and thought they were going to die. In the chaotic moments that followed, police and emergency vehicles would swarm the campus — but not for a classroom shooting. Outside, police say Murphy-Paine was shot and killed while trying to break up a fight. Though the teacher reported the air rifle assault and talked to police the next day, the earlier, apparently unrelated classroom incident was not included in reports on the deadly shooting.</v>
      </c>
      <c r="AA350" s="8" t="str">
        <f ca="1">IFERROR(__xludf.DUMMYFUNCTION("""COMPUTED_VALUE"""),"Indiscriminate Shooting")</f>
        <v>Indiscriminate Shooting</v>
      </c>
      <c r="AB350" s="8" t="str">
        <f ca="1">IFERROR(__xludf.DUMMYFUNCTION("""COMPUTED_VALUE"""),"Targeted")</f>
        <v>Targeted</v>
      </c>
      <c r="AC350" s="8" t="str">
        <f ca="1">IFERROR(__xludf.DUMMYFUNCTION("""COMPUTED_VALUE"""),"Yes")</f>
        <v>Yes</v>
      </c>
      <c r="AD350" s="8" t="str">
        <f ca="1">IFERROR(__xludf.DUMMYFUNCTION("""COMPUTED_VALUE"""),"Random Shooting")</f>
        <v>Random Shooting</v>
      </c>
      <c r="AE350" s="8" t="str">
        <f ca="1">IFERROR(__xludf.DUMMYFUNCTION("""COMPUTED_VALUE"""),"No")</f>
        <v>No</v>
      </c>
      <c r="AF350" s="8"/>
      <c r="AG350" s="8" t="str">
        <f ca="1">IFERROR(__xludf.DUMMYFUNCTION("""COMPUTED_VALUE"""),"No")</f>
        <v>No</v>
      </c>
      <c r="AH350" s="8" t="str">
        <f ca="1">IFERROR(__xludf.DUMMYFUNCTION("""COMPUTED_VALUE"""),"No")</f>
        <v>No</v>
      </c>
      <c r="AI350" s="8" t="str">
        <f ca="1">IFERROR(__xludf.DUMMYFUNCTION("""COMPUTED_VALUE"""),"No")</f>
        <v>No</v>
      </c>
      <c r="AJ350" s="8" t="str">
        <f ca="1">IFERROR(__xludf.DUMMYFUNCTION("""COMPUTED_VALUE"""),"No")</f>
        <v>No</v>
      </c>
      <c r="AK350" s="8" t="str">
        <f ca="1">IFERROR(__xludf.DUMMYFUNCTION("""COMPUTED_VALUE"""),"No")</f>
        <v>No</v>
      </c>
      <c r="AL350" s="8" t="str">
        <f ca="1">IFERROR(__xludf.DUMMYFUNCTION("""COMPUTED_VALUE"""),"No")</f>
        <v>No</v>
      </c>
      <c r="AM350" s="8" t="str">
        <f ca="1">IFERROR(__xludf.DUMMYFUNCTION("""COMPUTED_VALUE"""),"Yes")</f>
        <v>Yes</v>
      </c>
      <c r="AN350" s="8" t="str">
        <f ca="1">IFERROR(__xludf.DUMMYFUNCTION("""COMPUTED_VALUE"""),"Single Room")</f>
        <v>Single Room</v>
      </c>
      <c r="AO350" s="8" t="str">
        <f ca="1">IFERROR(__xludf.DUMMYFUNCTION("""COMPUTED_VALUE"""),"Yes")</f>
        <v>Yes</v>
      </c>
      <c r="AP350" s="8"/>
      <c r="AQ350" s="8"/>
      <c r="AR350" s="8" t="str">
        <f ca="1">IFERROR(__xludf.DUMMYFUNCTION("""COMPUTED_VALUE"""),"Failed")</f>
        <v>Failed</v>
      </c>
      <c r="AS350" s="8">
        <f ca="1">IFERROR(__xludf.DUMMYFUNCTION("""COMPUTED_VALUE"""),99)</f>
        <v>99</v>
      </c>
      <c r="AT350" s="8" t="str">
        <f ca="1">IFERROR(__xludf.DUMMYFUNCTION("""COMPUTED_VALUE"""),"No")</f>
        <v>No</v>
      </c>
      <c r="AU350" s="8">
        <f ca="1">IFERROR(__xludf.DUMMYFUNCTION("""COMPUTED_VALUE"""),47.605193)</f>
        <v>47.605193</v>
      </c>
      <c r="AV350" s="8">
        <f ca="1">IFERROR(__xludf.DUMMYFUNCTION("""COMPUTED_VALUE"""),-122.302397)</f>
        <v>-122.302397</v>
      </c>
      <c r="AW350" s="8" t="str">
        <f ca="1">IFERROR(__xludf.DUMMYFUNCTION("""COMPUTED_VALUE"""),"Single building indoor hallway")</f>
        <v>Single building indoor hallway</v>
      </c>
      <c r="AX350" s="8">
        <f ca="1">IFERROR(__xludf.DUMMYFUNCTION("""COMPUTED_VALUE"""),98122)</f>
        <v>98122</v>
      </c>
    </row>
    <row r="351" spans="1:50" ht="90" x14ac:dyDescent="0.2">
      <c r="A351" s="8" t="str">
        <f ca="1">IFERROR(__xludf.DUMMYFUNCTION("""COMPUTED_VALUE"""),"20240604FLCEM")</f>
        <v>20240604FLCEM</v>
      </c>
      <c r="B351" s="8">
        <f ca="1">IFERROR(__xludf.DUMMYFUNCTION("""COMPUTED_VALUE"""),6)</f>
        <v>6</v>
      </c>
      <c r="C351" s="8">
        <f ca="1">IFERROR(__xludf.DUMMYFUNCTION("""COMPUTED_VALUE"""),4)</f>
        <v>4</v>
      </c>
      <c r="D351" s="8">
        <f ca="1">IFERROR(__xludf.DUMMYFUNCTION("""COMPUTED_VALUE"""),2024)</f>
        <v>2024</v>
      </c>
      <c r="E351" s="9">
        <f ca="1">IFERROR(__xludf.DUMMYFUNCTION("""COMPUTED_VALUE"""),45447)</f>
        <v>45447</v>
      </c>
      <c r="F351" s="8" t="str">
        <f ca="1">IFERROR(__xludf.DUMMYFUNCTION("""COMPUTED_VALUE"""),"Centner Academy Elementary School")</f>
        <v>Centner Academy Elementary School</v>
      </c>
      <c r="G351" s="8">
        <f ca="1">IFERROR(__xludf.DUMMYFUNCTION("""COMPUTED_VALUE"""),0)</f>
        <v>0</v>
      </c>
      <c r="H351" s="8">
        <f ca="1">IFERROR(__xludf.DUMMYFUNCTION("""COMPUTED_VALUE"""),1)</f>
        <v>1</v>
      </c>
      <c r="I351" s="8">
        <f ca="1">IFERROR(__xludf.DUMMYFUNCTION("""COMPUTED_VALUE"""),1)</f>
        <v>1</v>
      </c>
      <c r="J351" s="8">
        <f ca="1">IFERROR(__xludf.DUMMYFUNCTION("""COMPUTED_VALUE"""),0)</f>
        <v>0</v>
      </c>
      <c r="K351" s="10" t="str">
        <f ca="1">IFERROR(__xludf.DUMMYFUNCTION("""COMPUTED_VALUE"""),"https://www.local10.com/news/local/2024/06/05/police-man-on-scooter-shoots-at-couple-near-miami-school/")</f>
        <v>https://www.local10.com/news/local/2024/06/05/police-man-on-scooter-shoots-at-couple-near-miami-school/</v>
      </c>
      <c r="L351" s="8">
        <f ca="1">IFERROR(__xludf.DUMMYFUNCTION("""COMPUTED_VALUE"""),2)</f>
        <v>2</v>
      </c>
      <c r="M351" s="8" t="str">
        <f ca="1">IFERROR(__xludf.DUMMYFUNCTION("""COMPUTED_VALUE"""),"Local")</f>
        <v>Local</v>
      </c>
      <c r="N351" s="8">
        <f ca="1">IFERROR(__xludf.DUMMYFUNCTION("""COMPUTED_VALUE"""),4)</f>
        <v>4</v>
      </c>
      <c r="O351" s="8" t="str">
        <f ca="1">IFERROR(__xludf.DUMMYFUNCTION("""COMPUTED_VALUE"""),"Summer")</f>
        <v>Summer</v>
      </c>
      <c r="P351" s="8" t="str">
        <f ca="1">IFERROR(__xludf.DUMMYFUNCTION("""COMPUTED_VALUE"""),"Miami")</f>
        <v>Miami</v>
      </c>
      <c r="Q351" s="8" t="str">
        <f ca="1">IFERROR(__xludf.DUMMYFUNCTION("""COMPUTED_VALUE"""),"FL")</f>
        <v>FL</v>
      </c>
      <c r="R351" s="8" t="str">
        <f ca="1">IFERROR(__xludf.DUMMYFUNCTION("""COMPUTED_VALUE"""),"Elementary")</f>
        <v>Elementary</v>
      </c>
      <c r="S351" s="8" t="str">
        <f ca="1">IFERROR(__xludf.DUMMYFUNCTION("""COMPUTED_VALUE"""),"Parking Lot")</f>
        <v>Parking Lot</v>
      </c>
      <c r="T351" s="8" t="str">
        <f ca="1">IFERROR(__xludf.DUMMYFUNCTION("""COMPUTED_VALUE"""),"Outside on School Property")</f>
        <v>Outside on School Property</v>
      </c>
      <c r="U351" s="8" t="str">
        <f ca="1">IFERROR(__xludf.DUMMYFUNCTION("""COMPUTED_VALUE"""),"No")</f>
        <v>No</v>
      </c>
      <c r="V351" s="8" t="str">
        <f ca="1">IFERROR(__xludf.DUMMYFUNCTION("""COMPUTED_VALUE"""),"Evening")</f>
        <v>Evening</v>
      </c>
      <c r="W351" s="11">
        <f ca="1">IFERROR(__xludf.DUMMYFUNCTION("""COMPUTED_VALUE"""),0.739583333333333)</f>
        <v>0.73958333333333304</v>
      </c>
      <c r="X351" s="8">
        <f ca="1">IFERROR(__xludf.DUMMYFUNCTION("""COMPUTED_VALUE"""),1)</f>
        <v>1</v>
      </c>
      <c r="Y351" s="12" t="str">
        <f ca="1">IFERROR(__xludf.DUMMYFUNCTION("""COMPUTED_VALUE"""),"Man fired multiple shots during a dispute with two adults in front of the school")</f>
        <v>Man fired multiple shots during a dispute with two adults in front of the school</v>
      </c>
      <c r="Z351" s="12" t="str">
        <f ca="1">IFERROR(__xludf.DUMMYFUNCTION("""COMPUTED_VALUE"""),"Man on a scooter fired multiple shots at two victims during a dispute in front of the school. Man fled and was arrested on charges of attempted murder, display of a firearm while committing a felony, exhibition of a firearm on school property and unlawful"&amp;" discharge of a firearm in a public place.")</f>
        <v>Man on a scooter fired multiple shots at two victims during a dispute in front of the school. Man fled and was arrested on charges of attempted murder, display of a firearm while committing a felony, exhibition of a firearm on school property and unlawful discharge of a firearm in a public place.</v>
      </c>
      <c r="AA351" s="8" t="str">
        <f ca="1">IFERROR(__xludf.DUMMYFUNCTION("""COMPUTED_VALUE"""),"Escalation of Dispute")</f>
        <v>Escalation of Dispute</v>
      </c>
      <c r="AB351" s="8" t="str">
        <f ca="1">IFERROR(__xludf.DUMMYFUNCTION("""COMPUTED_VALUE"""),"Spontaneous")</f>
        <v>Spontaneous</v>
      </c>
      <c r="AC351" s="8" t="str">
        <f ca="1">IFERROR(__xludf.DUMMYFUNCTION("""COMPUTED_VALUE"""),"No")</f>
        <v>No</v>
      </c>
      <c r="AD351" s="8" t="str">
        <f ca="1">IFERROR(__xludf.DUMMYFUNCTION("""COMPUTED_VALUE"""),"Victims Targeted")</f>
        <v>Victims Targeted</v>
      </c>
      <c r="AE351" s="8" t="str">
        <f ca="1">IFERROR(__xludf.DUMMYFUNCTION("""COMPUTED_VALUE"""),"No")</f>
        <v>No</v>
      </c>
      <c r="AF351" s="8"/>
      <c r="AG351" s="8" t="str">
        <f ca="1">IFERROR(__xludf.DUMMYFUNCTION("""COMPUTED_VALUE"""),"No")</f>
        <v>No</v>
      </c>
      <c r="AH351" s="8" t="str">
        <f ca="1">IFERROR(__xludf.DUMMYFUNCTION("""COMPUTED_VALUE"""),"No")</f>
        <v>No</v>
      </c>
      <c r="AI351" s="8" t="str">
        <f ca="1">IFERROR(__xludf.DUMMYFUNCTION("""COMPUTED_VALUE"""),"No")</f>
        <v>No</v>
      </c>
      <c r="AJ351" s="8" t="str">
        <f ca="1">IFERROR(__xludf.DUMMYFUNCTION("""COMPUTED_VALUE"""),"No")</f>
        <v>No</v>
      </c>
      <c r="AK351" s="8" t="str">
        <f ca="1">IFERROR(__xludf.DUMMYFUNCTION("""COMPUTED_VALUE"""),"No")</f>
        <v>No</v>
      </c>
      <c r="AL351" s="8" t="str">
        <f ca="1">IFERROR(__xludf.DUMMYFUNCTION("""COMPUTED_VALUE"""),"No")</f>
        <v>No</v>
      </c>
      <c r="AM351" s="8" t="str">
        <f ca="1">IFERROR(__xludf.DUMMYFUNCTION("""COMPUTED_VALUE"""),"No")</f>
        <v>No</v>
      </c>
      <c r="AN351" s="8" t="str">
        <f ca="1">IFERROR(__xludf.DUMMYFUNCTION("""COMPUTED_VALUE"""),"Outside")</f>
        <v>Outside</v>
      </c>
      <c r="AO351" s="8" t="str">
        <f ca="1">IFERROR(__xludf.DUMMYFUNCTION("""COMPUTED_VALUE"""),"No")</f>
        <v>No</v>
      </c>
      <c r="AP351" s="8"/>
      <c r="AQ351" s="8"/>
      <c r="AR351" s="8" t="str">
        <f ca="1">IFERROR(__xludf.DUMMYFUNCTION("""COMPUTED_VALUE"""),"Outside/Off-Property")</f>
        <v>Outside/Off-Property</v>
      </c>
      <c r="AS351" s="8">
        <f ca="1">IFERROR(__xludf.DUMMYFUNCTION("""COMPUTED_VALUE"""),5)</f>
        <v>5</v>
      </c>
      <c r="AT351" s="8" t="str">
        <f ca="1">IFERROR(__xludf.DUMMYFUNCTION("""COMPUTED_VALUE"""),"No")</f>
        <v>No</v>
      </c>
      <c r="AU351" s="8">
        <f ca="1">IFERROR(__xludf.DUMMYFUNCTION("""COMPUTED_VALUE"""),25.809608)</f>
        <v>25.809608000000001</v>
      </c>
      <c r="AV351" s="8">
        <f ca="1">IFERROR(__xludf.DUMMYFUNCTION("""COMPUTED_VALUE"""),-80.198599)</f>
        <v>-80.198599000000002</v>
      </c>
      <c r="AW351" s="8"/>
      <c r="AX351" s="8">
        <f ca="1">IFERROR(__xludf.DUMMYFUNCTION("""COMPUTED_VALUE"""),33127)</f>
        <v>33127</v>
      </c>
    </row>
    <row r="352" spans="1:50" ht="60" x14ac:dyDescent="0.2">
      <c r="A352" s="8" t="str">
        <f ca="1">IFERROR(__xludf.DUMMYFUNCTION("""COMPUTED_VALUE"""),"20240604COMID")</f>
        <v>20240604COMID</v>
      </c>
      <c r="B352" s="8">
        <f ca="1">IFERROR(__xludf.DUMMYFUNCTION("""COMPUTED_VALUE"""),6)</f>
        <v>6</v>
      </c>
      <c r="C352" s="8">
        <f ca="1">IFERROR(__xludf.DUMMYFUNCTION("""COMPUTED_VALUE"""),4)</f>
        <v>4</v>
      </c>
      <c r="D352" s="8">
        <f ca="1">IFERROR(__xludf.DUMMYFUNCTION("""COMPUTED_VALUE"""),2024)</f>
        <v>2024</v>
      </c>
      <c r="E352" s="9">
        <f ca="1">IFERROR(__xludf.DUMMYFUNCTION("""COMPUTED_VALUE"""),45447)</f>
        <v>45447</v>
      </c>
      <c r="F352" s="8" t="str">
        <f ca="1">IFERROR(__xludf.DUMMYFUNCTION("""COMPUTED_VALUE"""),"Milliken Elementary School")</f>
        <v>Milliken Elementary School</v>
      </c>
      <c r="G352" s="8">
        <f ca="1">IFERROR(__xludf.DUMMYFUNCTION("""COMPUTED_VALUE"""),0)</f>
        <v>0</v>
      </c>
      <c r="H352" s="8">
        <f ca="1">IFERROR(__xludf.DUMMYFUNCTION("""COMPUTED_VALUE"""),1)</f>
        <v>1</v>
      </c>
      <c r="I352" s="8">
        <f ca="1">IFERROR(__xludf.DUMMYFUNCTION("""COMPUTED_VALUE"""),1)</f>
        <v>1</v>
      </c>
      <c r="J352" s="8">
        <f ca="1">IFERROR(__xludf.DUMMYFUNCTION("""COMPUTED_VALUE"""),0)</f>
        <v>0</v>
      </c>
      <c r="K352" s="10" t="str">
        <f ca="1">IFERROR(__xludf.DUMMYFUNCTION("""COMPUTED_VALUE"""),"https://kdvr.com/news/local/milliken-police-officer-shoots-injures-suspect-reportedly-armed-with-knife/
https://www.denverpost.com/2024/06/03/milliken-police-shooting-weld-county/")</f>
        <v>https://kdvr.com/news/local/milliken-police-officer-shoots-injures-suspect-reportedly-armed-with-knife/
https://www.denverpost.com/2024/06/03/milliken-police-shooting-weld-county/</v>
      </c>
      <c r="L352" s="8">
        <f ca="1">IFERROR(__xludf.DUMMYFUNCTION("""COMPUTED_VALUE"""),10)</f>
        <v>10</v>
      </c>
      <c r="M352" s="8" t="str">
        <f ca="1">IFERROR(__xludf.DUMMYFUNCTION("""COMPUTED_VALUE"""),"Regional")</f>
        <v>Regional</v>
      </c>
      <c r="N352" s="8">
        <f ca="1">IFERROR(__xludf.DUMMYFUNCTION("""COMPUTED_VALUE"""),4)</f>
        <v>4</v>
      </c>
      <c r="O352" s="8" t="str">
        <f ca="1">IFERROR(__xludf.DUMMYFUNCTION("""COMPUTED_VALUE"""),"Summer")</f>
        <v>Summer</v>
      </c>
      <c r="P352" s="8" t="str">
        <f ca="1">IFERROR(__xludf.DUMMYFUNCTION("""COMPUTED_VALUE"""),"Denver")</f>
        <v>Denver</v>
      </c>
      <c r="Q352" s="8" t="str">
        <f ca="1">IFERROR(__xludf.DUMMYFUNCTION("""COMPUTED_VALUE"""),"CO")</f>
        <v>CO</v>
      </c>
      <c r="R352" s="8" t="str">
        <f ca="1">IFERROR(__xludf.DUMMYFUNCTION("""COMPUTED_VALUE"""),"Elementary")</f>
        <v>Elementary</v>
      </c>
      <c r="S352" s="8" t="str">
        <f ca="1">IFERROR(__xludf.DUMMYFUNCTION("""COMPUTED_VALUE"""),"Front of School")</f>
        <v>Front of School</v>
      </c>
      <c r="T352" s="8" t="str">
        <f ca="1">IFERROR(__xludf.DUMMYFUNCTION("""COMPUTED_VALUE"""),"Outside on School Property")</f>
        <v>Outside on School Property</v>
      </c>
      <c r="U352" s="8" t="str">
        <f ca="1">IFERROR(__xludf.DUMMYFUNCTION("""COMPUTED_VALUE"""),"No")</f>
        <v>No</v>
      </c>
      <c r="V352" s="8" t="str">
        <f ca="1">IFERROR(__xludf.DUMMYFUNCTION("""COMPUTED_VALUE"""),"Night")</f>
        <v>Night</v>
      </c>
      <c r="W352" s="11">
        <f ca="1">IFERROR(__xludf.DUMMYFUNCTION("""COMPUTED_VALUE"""),0.0625)</f>
        <v>6.25E-2</v>
      </c>
      <c r="X352" s="8">
        <f ca="1">IFERROR(__xludf.DUMMYFUNCTION("""COMPUTED_VALUE"""),1)</f>
        <v>1</v>
      </c>
      <c r="Y352" s="12" t="str">
        <f ca="1">IFERROR(__xludf.DUMMYFUNCTION("""COMPUTED_VALUE"""),"Police shoot a man armed with a large knife outside the school")</f>
        <v>Police shoot a man armed with a large knife outside the school</v>
      </c>
      <c r="Z352" s="12" t="str">
        <f ca="1">IFERROR(__xludf.DUMMYFUNCTION("""COMPUTED_VALUE"""),"Police officers shot an 18-year-old man armed with a knife outside the school when the man refused to comply with commands to drop the weapon. The man's father said he was suffering from severe mental illness.")</f>
        <v>Police officers shot an 18-year-old man armed with a knife outside the school when the man refused to comply with commands to drop the weapon. The man's father said he was suffering from severe mental illness.</v>
      </c>
      <c r="AA352" s="8" t="str">
        <f ca="1">IFERROR(__xludf.DUMMYFUNCTION("""COMPUTED_VALUE"""),"Officer-Involved Shooting")</f>
        <v>Officer-Involved Shooting</v>
      </c>
      <c r="AB352" s="8" t="str">
        <f ca="1">IFERROR(__xludf.DUMMYFUNCTION("""COMPUTED_VALUE"""),"Spontaneous")</f>
        <v>Spontaneous</v>
      </c>
      <c r="AC352" s="8" t="str">
        <f ca="1">IFERROR(__xludf.DUMMYFUNCTION("""COMPUTED_VALUE"""),"No")</f>
        <v>No</v>
      </c>
      <c r="AD352" s="8"/>
      <c r="AE352" s="8" t="str">
        <f ca="1">IFERROR(__xludf.DUMMYFUNCTION("""COMPUTED_VALUE"""),"No")</f>
        <v>No</v>
      </c>
      <c r="AF352" s="8"/>
      <c r="AG352" s="8" t="str">
        <f ca="1">IFERROR(__xludf.DUMMYFUNCTION("""COMPUTED_VALUE"""),"No")</f>
        <v>No</v>
      </c>
      <c r="AH352" s="8" t="str">
        <f ca="1">IFERROR(__xludf.DUMMYFUNCTION("""COMPUTED_VALUE"""),"No")</f>
        <v>No</v>
      </c>
      <c r="AI352" s="8" t="str">
        <f ca="1">IFERROR(__xludf.DUMMYFUNCTION("""COMPUTED_VALUE"""),"Yes")</f>
        <v>Yes</v>
      </c>
      <c r="AJ352" s="8" t="str">
        <f ca="1">IFERROR(__xludf.DUMMYFUNCTION("""COMPUTED_VALUE"""),"No")</f>
        <v>No</v>
      </c>
      <c r="AK352" s="8" t="str">
        <f ca="1">IFERROR(__xludf.DUMMYFUNCTION("""COMPUTED_VALUE"""),"No")</f>
        <v>No</v>
      </c>
      <c r="AL352" s="8" t="str">
        <f ca="1">IFERROR(__xludf.DUMMYFUNCTION("""COMPUTED_VALUE"""),"No")</f>
        <v>No</v>
      </c>
      <c r="AM352" s="8" t="str">
        <f ca="1">IFERROR(__xludf.DUMMYFUNCTION("""COMPUTED_VALUE"""),"No")</f>
        <v>No</v>
      </c>
      <c r="AN352" s="8" t="str">
        <f ca="1">IFERROR(__xludf.DUMMYFUNCTION("""COMPUTED_VALUE"""),"Outside")</f>
        <v>Outside</v>
      </c>
      <c r="AO352" s="8" t="str">
        <f ca="1">IFERROR(__xludf.DUMMYFUNCTION("""COMPUTED_VALUE"""),"No")</f>
        <v>No</v>
      </c>
      <c r="AP352" s="8"/>
      <c r="AQ352" s="8"/>
      <c r="AR352" s="8" t="str">
        <f ca="1">IFERROR(__xludf.DUMMYFUNCTION("""COMPUTED_VALUE"""),"Outside/Off-Property")</f>
        <v>Outside/Off-Property</v>
      </c>
      <c r="AS352" s="8">
        <f ca="1">IFERROR(__xludf.DUMMYFUNCTION("""COMPUTED_VALUE"""),1)</f>
        <v>1</v>
      </c>
      <c r="AT352" s="8" t="str">
        <f ca="1">IFERROR(__xludf.DUMMYFUNCTION("""COMPUTED_VALUE"""),"No")</f>
        <v>No</v>
      </c>
      <c r="AU352" s="8">
        <f ca="1">IFERROR(__xludf.DUMMYFUNCTION("""COMPUTED_VALUE"""),40.329616)</f>
        <v>40.329616000000001</v>
      </c>
      <c r="AV352" s="8">
        <f ca="1">IFERROR(__xludf.DUMMYFUNCTION("""COMPUTED_VALUE"""),-104.866879)</f>
        <v>-104.866879</v>
      </c>
      <c r="AW352" s="8" t="str">
        <f ca="1">IFERROR(__xludf.DUMMYFUNCTION("""COMPUTED_VALUE"""),"Multiple detached buildings")</f>
        <v>Multiple detached buildings</v>
      </c>
      <c r="AX352" s="8">
        <f ca="1">IFERROR(__xludf.DUMMYFUNCTION("""COMPUTED_VALUE"""),80543)</f>
        <v>80543</v>
      </c>
    </row>
    <row r="353" spans="1:50" ht="150" x14ac:dyDescent="0.2">
      <c r="A353" s="8" t="str">
        <f ca="1">IFERROR(__xludf.DUMMYFUNCTION("""COMPUTED_VALUE"""),"20240603WAKEK")</f>
        <v>20240603WAKEK</v>
      </c>
      <c r="B353" s="8">
        <f ca="1">IFERROR(__xludf.DUMMYFUNCTION("""COMPUTED_VALUE"""),6)</f>
        <v>6</v>
      </c>
      <c r="C353" s="8">
        <f ca="1">IFERROR(__xludf.DUMMYFUNCTION("""COMPUTED_VALUE"""),3)</f>
        <v>3</v>
      </c>
      <c r="D353" s="8">
        <f ca="1">IFERROR(__xludf.DUMMYFUNCTION("""COMPUTED_VALUE"""),2024)</f>
        <v>2024</v>
      </c>
      <c r="E353" s="9">
        <f ca="1">IFERROR(__xludf.DUMMYFUNCTION("""COMPUTED_VALUE"""),45446)</f>
        <v>45446</v>
      </c>
      <c r="F353" s="8" t="str">
        <f ca="1">IFERROR(__xludf.DUMMYFUNCTION("""COMPUTED_VALUE"""),"Kent-Meridian High School")</f>
        <v>Kent-Meridian High School</v>
      </c>
      <c r="G353" s="8">
        <f ca="1">IFERROR(__xludf.DUMMYFUNCTION("""COMPUTED_VALUE"""),1)</f>
        <v>1</v>
      </c>
      <c r="H353" s="8">
        <f ca="1">IFERROR(__xludf.DUMMYFUNCTION("""COMPUTED_VALUE"""),0)</f>
        <v>0</v>
      </c>
      <c r="I353" s="8">
        <f ca="1">IFERROR(__xludf.DUMMYFUNCTION("""COMPUTED_VALUE"""),1)</f>
        <v>1</v>
      </c>
      <c r="J353" s="8">
        <f ca="1">IFERROR(__xludf.DUMMYFUNCTION("""COMPUTED_VALUE"""),0)</f>
        <v>0</v>
      </c>
      <c r="K353" s="10" t="str">
        <f ca="1">IFERROR(__xludf.DUMMYFUNCTION("""COMPUTED_VALUE"""),"https://www.kentreporter.com/news/man-18-found-shot-in-parking-lot-identified-as-kent-meridian-student/")</f>
        <v>https://www.kentreporter.com/news/man-18-found-shot-in-parking-lot-identified-as-kent-meridian-student/</v>
      </c>
      <c r="L353" s="8">
        <f ca="1">IFERROR(__xludf.DUMMYFUNCTION("""COMPUTED_VALUE"""),10)</f>
        <v>10</v>
      </c>
      <c r="M353" s="8" t="str">
        <f ca="1">IFERROR(__xludf.DUMMYFUNCTION("""COMPUTED_VALUE"""),"Regional")</f>
        <v>Regional</v>
      </c>
      <c r="N353" s="8">
        <f ca="1">IFERROR(__xludf.DUMMYFUNCTION("""COMPUTED_VALUE"""),4)</f>
        <v>4</v>
      </c>
      <c r="O353" s="8" t="str">
        <f ca="1">IFERROR(__xludf.DUMMYFUNCTION("""COMPUTED_VALUE"""),"Summer")</f>
        <v>Summer</v>
      </c>
      <c r="P353" s="8" t="str">
        <f ca="1">IFERROR(__xludf.DUMMYFUNCTION("""COMPUTED_VALUE"""),"Kent")</f>
        <v>Kent</v>
      </c>
      <c r="Q353" s="8" t="str">
        <f ca="1">IFERROR(__xludf.DUMMYFUNCTION("""COMPUTED_VALUE"""),"WA")</f>
        <v>WA</v>
      </c>
      <c r="R353" s="8" t="str">
        <f ca="1">IFERROR(__xludf.DUMMYFUNCTION("""COMPUTED_VALUE"""),"High")</f>
        <v>High</v>
      </c>
      <c r="S353" s="8" t="str">
        <f ca="1">IFERROR(__xludf.DUMMYFUNCTION("""COMPUTED_VALUE"""),"Parking Lot")</f>
        <v>Parking Lot</v>
      </c>
      <c r="T353" s="8" t="str">
        <f ca="1">IFERROR(__xludf.DUMMYFUNCTION("""COMPUTED_VALUE"""),"Outside on School Property")</f>
        <v>Outside on School Property</v>
      </c>
      <c r="U353" s="8" t="str">
        <f ca="1">IFERROR(__xludf.DUMMYFUNCTION("""COMPUTED_VALUE"""),"Yes")</f>
        <v>Yes</v>
      </c>
      <c r="V353" s="8" t="str">
        <f ca="1">IFERROR(__xludf.DUMMYFUNCTION("""COMPUTED_VALUE"""),"Morning Classes")</f>
        <v>Morning Classes</v>
      </c>
      <c r="W353" s="11">
        <f ca="1">IFERROR(__xludf.DUMMYFUNCTION("""COMPUTED_VALUE"""),0.465277777777777)</f>
        <v>0.46527777777777701</v>
      </c>
      <c r="X353" s="8">
        <f ca="1">IFERROR(__xludf.DUMMYFUNCTION("""COMPUTED_VALUE"""),1)</f>
        <v>1</v>
      </c>
      <c r="Y353" s="12" t="str">
        <f ca="1">IFERROR(__xludf.DUMMYFUNCTION("""COMPUTED_VALUE"""),"Student was found fatally shot in the school parking lot")</f>
        <v>Student was found fatally shot in the school parking lot</v>
      </c>
      <c r="Z353" s="12" t="str">
        <f ca="1">IFERROR(__xludf.DUMMYFUNCTION("""COMPUTED_VALUE"""),"Multiple officers were dispatched at about 11:10 a.m. to an aid call for an unconscious man in the parking lot, according to a June 3 Kent Police news release. The 911 caller said the man had significant bleeding and might be deceased. Officers and Puget "&amp;"Sound Fire personnel arrived at the same time and located the man with an injury to the back of his head, consistent with a gunshot wound, according to police. He was already dead. Detectives responded to the scene and are investigating the circumstances "&amp;"surrounding Zelaya’s death.")</f>
        <v>Multiple officers were dispatched at about 11:10 a.m. to an aid call for an unconscious man in the parking lot, according to a June 3 Kent Police news release. The 911 caller said the man had significant bleeding and might be deceased. Officers and Puget Sound Fire personnel arrived at the same time and located the man with an injury to the back of his head, consistent with a gunshot wound, according to police. He was already dead. Detectives responded to the scene and are investigating the circumstances surrounding Zelaya’s death.</v>
      </c>
      <c r="AA353" s="8"/>
      <c r="AB353" s="8" t="str">
        <f ca="1">IFERROR(__xludf.DUMMYFUNCTION("""COMPUTED_VALUE"""),"Targeted")</f>
        <v>Targeted</v>
      </c>
      <c r="AC353" s="8" t="str">
        <f ca="1">IFERROR(__xludf.DUMMYFUNCTION("""COMPUTED_VALUE"""),"Yes")</f>
        <v>Yes</v>
      </c>
      <c r="AD353" s="8" t="str">
        <f ca="1">IFERROR(__xludf.DUMMYFUNCTION("""COMPUTED_VALUE"""),"Victims Targeted")</f>
        <v>Victims Targeted</v>
      </c>
      <c r="AE353" s="8" t="str">
        <f ca="1">IFERROR(__xludf.DUMMYFUNCTION("""COMPUTED_VALUE"""),"No")</f>
        <v>No</v>
      </c>
      <c r="AF353" s="8"/>
      <c r="AG353" s="8" t="str">
        <f ca="1">IFERROR(__xludf.DUMMYFUNCTION("""COMPUTED_VALUE"""),"No")</f>
        <v>No</v>
      </c>
      <c r="AH353" s="8" t="str">
        <f ca="1">IFERROR(__xludf.DUMMYFUNCTION("""COMPUTED_VALUE"""),"No")</f>
        <v>No</v>
      </c>
      <c r="AI353" s="8" t="str">
        <f ca="1">IFERROR(__xludf.DUMMYFUNCTION("""COMPUTED_VALUE"""),"No")</f>
        <v>No</v>
      </c>
      <c r="AJ353" s="8" t="str">
        <f ca="1">IFERROR(__xludf.DUMMYFUNCTION("""COMPUTED_VALUE"""),"No")</f>
        <v>No</v>
      </c>
      <c r="AK353" s="8" t="str">
        <f ca="1">IFERROR(__xludf.DUMMYFUNCTION("""COMPUTED_VALUE"""),"No")</f>
        <v>No</v>
      </c>
      <c r="AL353" s="8"/>
      <c r="AM353" s="8" t="str">
        <f ca="1">IFERROR(__xludf.DUMMYFUNCTION("""COMPUTED_VALUE"""),"No")</f>
        <v>No</v>
      </c>
      <c r="AN353" s="8" t="str">
        <f ca="1">IFERROR(__xludf.DUMMYFUNCTION("""COMPUTED_VALUE"""),"Outside")</f>
        <v>Outside</v>
      </c>
      <c r="AO353" s="8" t="str">
        <f ca="1">IFERROR(__xludf.DUMMYFUNCTION("""COMPUTED_VALUE"""),"No")</f>
        <v>No</v>
      </c>
      <c r="AP353" s="8"/>
      <c r="AQ353" s="8"/>
      <c r="AR353" s="8" t="str">
        <f ca="1">IFERROR(__xludf.DUMMYFUNCTION("""COMPUTED_VALUE"""),"Outside/Off-Property")</f>
        <v>Outside/Off-Property</v>
      </c>
      <c r="AS353" s="8">
        <f ca="1">IFERROR(__xludf.DUMMYFUNCTION("""COMPUTED_VALUE"""),1)</f>
        <v>1</v>
      </c>
      <c r="AT353" s="8" t="str">
        <f ca="1">IFERROR(__xludf.DUMMYFUNCTION("""COMPUTED_VALUE"""),"Yes")</f>
        <v>Yes</v>
      </c>
      <c r="AU353" s="8">
        <f ca="1">IFERROR(__xludf.DUMMYFUNCTION("""COMPUTED_VALUE"""),47.37389)</f>
        <v>47.373890000000003</v>
      </c>
      <c r="AV353" s="8">
        <f ca="1">IFERROR(__xludf.DUMMYFUNCTION("""COMPUTED_VALUE"""),-122.208131)</f>
        <v>-122.20813099999999</v>
      </c>
      <c r="AW353" s="8" t="str">
        <f ca="1">IFERROR(__xludf.DUMMYFUNCTION("""COMPUTED_VALUE"""),"Multiple detached buildings")</f>
        <v>Multiple detached buildings</v>
      </c>
      <c r="AX353" s="8">
        <f ca="1">IFERROR(__xludf.DUMMYFUNCTION("""COMPUTED_VALUE"""),98030)</f>
        <v>98030</v>
      </c>
    </row>
    <row r="354" spans="1:50" ht="225" x14ac:dyDescent="0.2">
      <c r="A354" s="8" t="str">
        <f ca="1">IFERROR(__xludf.DUMMYFUNCTION("""COMPUTED_VALUE"""),"20240603ILSAC")</f>
        <v>20240603ILSAC</v>
      </c>
      <c r="B354" s="8">
        <f ca="1">IFERROR(__xludf.DUMMYFUNCTION("""COMPUTED_VALUE"""),6)</f>
        <v>6</v>
      </c>
      <c r="C354" s="8">
        <f ca="1">IFERROR(__xludf.DUMMYFUNCTION("""COMPUTED_VALUE"""),3)</f>
        <v>3</v>
      </c>
      <c r="D354" s="8">
        <f ca="1">IFERROR(__xludf.DUMMYFUNCTION("""COMPUTED_VALUE"""),2024)</f>
        <v>2024</v>
      </c>
      <c r="E354" s="9">
        <f ca="1">IFERROR(__xludf.DUMMYFUNCTION("""COMPUTED_VALUE"""),45446)</f>
        <v>45446</v>
      </c>
      <c r="F354" s="8" t="str">
        <f ca="1">IFERROR(__xludf.DUMMYFUNCTION("""COMPUTED_VALUE"""),"Saint Ignatius College Prep")</f>
        <v>Saint Ignatius College Prep</v>
      </c>
      <c r="G354" s="8">
        <f ca="1">IFERROR(__xludf.DUMMYFUNCTION("""COMPUTED_VALUE"""),0)</f>
        <v>0</v>
      </c>
      <c r="H354" s="8">
        <f ca="1">IFERROR(__xludf.DUMMYFUNCTION("""COMPUTED_VALUE"""),1)</f>
        <v>1</v>
      </c>
      <c r="I354" s="8">
        <f ca="1">IFERROR(__xludf.DUMMYFUNCTION("""COMPUTED_VALUE"""),1)</f>
        <v>1</v>
      </c>
      <c r="J354" s="8">
        <f ca="1">IFERROR(__xludf.DUMMYFUNCTION("""COMPUTED_VALUE"""),0)</f>
        <v>0</v>
      </c>
      <c r="K354" s="10" t="str">
        <f ca="1">IFERROR(__xludf.DUMMYFUNCTION("""COMPUTED_VALUE"""),"https://www.cbsnews.com/chicago/news/st-ignatius-shots-fired-at-priest-catalytic-converter-thieves/")</f>
        <v>https://www.cbsnews.com/chicago/news/st-ignatius-shots-fired-at-priest-catalytic-converter-thieves/</v>
      </c>
      <c r="L354" s="8">
        <f ca="1">IFERROR(__xludf.DUMMYFUNCTION("""COMPUTED_VALUE"""),1)</f>
        <v>1</v>
      </c>
      <c r="M354" s="8" t="str">
        <f ca="1">IFERROR(__xludf.DUMMYFUNCTION("""COMPUTED_VALUE"""),"Local")</f>
        <v>Local</v>
      </c>
      <c r="N354" s="8">
        <f ca="1">IFERROR(__xludf.DUMMYFUNCTION("""COMPUTED_VALUE"""),4)</f>
        <v>4</v>
      </c>
      <c r="O354" s="8" t="str">
        <f ca="1">IFERROR(__xludf.DUMMYFUNCTION("""COMPUTED_VALUE"""),"Summer")</f>
        <v>Summer</v>
      </c>
      <c r="P354" s="8" t="str">
        <f ca="1">IFERROR(__xludf.DUMMYFUNCTION("""COMPUTED_VALUE"""),"Chicago")</f>
        <v>Chicago</v>
      </c>
      <c r="Q354" s="8" t="str">
        <f ca="1">IFERROR(__xludf.DUMMYFUNCTION("""COMPUTED_VALUE"""),"IL")</f>
        <v>IL</v>
      </c>
      <c r="R354" s="8" t="str">
        <f ca="1">IFERROR(__xludf.DUMMYFUNCTION("""COMPUTED_VALUE"""),"High")</f>
        <v>High</v>
      </c>
      <c r="S354" s="8" t="str">
        <f ca="1">IFERROR(__xludf.DUMMYFUNCTION("""COMPUTED_VALUE"""),"Parking Lot")</f>
        <v>Parking Lot</v>
      </c>
      <c r="T354" s="8" t="str">
        <f ca="1">IFERROR(__xludf.DUMMYFUNCTION("""COMPUTED_VALUE"""),"Outside on School Property")</f>
        <v>Outside on School Property</v>
      </c>
      <c r="U354" s="8" t="str">
        <f ca="1">IFERROR(__xludf.DUMMYFUNCTION("""COMPUTED_VALUE"""),"No")</f>
        <v>No</v>
      </c>
      <c r="V354" s="8" t="str">
        <f ca="1">IFERROR(__xludf.DUMMYFUNCTION("""COMPUTED_VALUE"""),"Before School")</f>
        <v>Before School</v>
      </c>
      <c r="W354" s="11">
        <f ca="1">IFERROR(__xludf.DUMMYFUNCTION("""COMPUTED_VALUE"""),0.25)</f>
        <v>0.25</v>
      </c>
      <c r="X354" s="8">
        <f ca="1">IFERROR(__xludf.DUMMYFUNCTION("""COMPUTED_VALUE"""),1)</f>
        <v>1</v>
      </c>
      <c r="Y354" s="12" t="str">
        <f ca="1">IFERROR(__xludf.DUMMYFUNCTION("""COMPUTED_VALUE"""),"Man fired shots after school staff member saw him attempting to steal catalytic converter from vehicle parked at the school")</f>
        <v>Man fired shots after school staff member saw him attempting to steal catalytic converter from vehicle parked at the school</v>
      </c>
      <c r="Z354" s="12" t="str">
        <f ca="1">IFERROR(__xludf.DUMMYFUNCTION("""COMPUTED_VALUE"""),"Police said two men were trying to steal a catalytic converter from a blue Toyota Prius parked outside the Jesuit rectory at Taylor and Morgan streets shortly before 6 a.m., when 74-year-old Fr. Jeremiah Lynch S.J, heard the noises. Saint Ignatius College"&amp;" Prep Director of Communications Kristyn Hartman – a former CBS 2 reporter – said Fr. Lynch opened the door and peeped his head outside to see what was happening. ""He saw somebody under the car. He heard the noise, and he said, 'Hey, what are you doing?"&amp;"""  Hartman said, ""and one of them – or both of them, I'm not certain of that – pulled a gun and started shooting; shot three times. 'Bam, bam, bam.'"" The shooter or shooters were aiming for Fr. Lynch, Hartman said. She said the priest suffered some kin"&amp;"d of an injury when the shots were fired, but its nature is not clear.")</f>
        <v>Police said two men were trying to steal a catalytic converter from a blue Toyota Prius parked outside the Jesuit rectory at Taylor and Morgan streets shortly before 6 a.m., when 74-year-old Fr. Jeremiah Lynch S.J, heard the noises. Saint Ignatius College Prep Director of Communications Kristyn Hartman – a former CBS 2 reporter – said Fr. Lynch opened the door and peeped his head outside to see what was happening. "He saw somebody under the car. He heard the noise, and he said, 'Hey, what are you doing?"  Hartman said, "and one of them – or both of them, I'm not certain of that – pulled a gun and started shooting; shot three times. 'Bam, bam, bam.'" The shooter or shooters were aiming for Fr. Lynch, Hartman said. She said the priest suffered some kind of an injury when the shots were fired, but its nature is not clear.</v>
      </c>
      <c r="AA354" s="8" t="str">
        <f ca="1">IFERROR(__xludf.DUMMYFUNCTION("""COMPUTED_VALUE"""),"Illegal Activity")</f>
        <v>Illegal Activity</v>
      </c>
      <c r="AB354" s="8" t="str">
        <f ca="1">IFERROR(__xludf.DUMMYFUNCTION("""COMPUTED_VALUE"""),"Spontaneous")</f>
        <v>Spontaneous</v>
      </c>
      <c r="AC354" s="8" t="str">
        <f ca="1">IFERROR(__xludf.DUMMYFUNCTION("""COMPUTED_VALUE"""),"Yes")</f>
        <v>Yes</v>
      </c>
      <c r="AD354" s="8" t="str">
        <f ca="1">IFERROR(__xludf.DUMMYFUNCTION("""COMPUTED_VALUE"""),"Victims Targeted")</f>
        <v>Victims Targeted</v>
      </c>
      <c r="AE354" s="8" t="str">
        <f ca="1">IFERROR(__xludf.DUMMYFUNCTION("""COMPUTED_VALUE"""),"Yes")</f>
        <v>Yes</v>
      </c>
      <c r="AF354" s="8" t="str">
        <f ca="1">IFERROR(__xludf.DUMMYFUNCTION("""COMPUTED_VALUE"""),"Two men")</f>
        <v>Two men</v>
      </c>
      <c r="AG354" s="8" t="str">
        <f ca="1">IFERROR(__xludf.DUMMYFUNCTION("""COMPUTED_VALUE"""),"No")</f>
        <v>No</v>
      </c>
      <c r="AH354" s="8" t="str">
        <f ca="1">IFERROR(__xludf.DUMMYFUNCTION("""COMPUTED_VALUE"""),"No")</f>
        <v>No</v>
      </c>
      <c r="AI354" s="8" t="str">
        <f ca="1">IFERROR(__xludf.DUMMYFUNCTION("""COMPUTED_VALUE"""),"No")</f>
        <v>No</v>
      </c>
      <c r="AJ354" s="8" t="str">
        <f ca="1">IFERROR(__xludf.DUMMYFUNCTION("""COMPUTED_VALUE"""),"No")</f>
        <v>No</v>
      </c>
      <c r="AK354" s="8" t="str">
        <f ca="1">IFERROR(__xludf.DUMMYFUNCTION("""COMPUTED_VALUE"""),"No")</f>
        <v>No</v>
      </c>
      <c r="AL354" s="8" t="str">
        <f ca="1">IFERROR(__xludf.DUMMYFUNCTION("""COMPUTED_VALUE"""),"No")</f>
        <v>No</v>
      </c>
      <c r="AM354" s="8" t="str">
        <f ca="1">IFERROR(__xludf.DUMMYFUNCTION("""COMPUTED_VALUE"""),"No")</f>
        <v>No</v>
      </c>
      <c r="AN354" s="8" t="str">
        <f ca="1">IFERROR(__xludf.DUMMYFUNCTION("""COMPUTED_VALUE"""),"Outside")</f>
        <v>Outside</v>
      </c>
      <c r="AO354" s="8" t="str">
        <f ca="1">IFERROR(__xludf.DUMMYFUNCTION("""COMPUTED_VALUE"""),"No")</f>
        <v>No</v>
      </c>
      <c r="AP354" s="8"/>
      <c r="AQ354" s="8"/>
      <c r="AR354" s="8" t="str">
        <f ca="1">IFERROR(__xludf.DUMMYFUNCTION("""COMPUTED_VALUE"""),"Outside/Off-Property")</f>
        <v>Outside/Off-Property</v>
      </c>
      <c r="AS354" s="8">
        <f ca="1">IFERROR(__xludf.DUMMYFUNCTION("""COMPUTED_VALUE"""),3)</f>
        <v>3</v>
      </c>
      <c r="AT354" s="8" t="str">
        <f ca="1">IFERROR(__xludf.DUMMYFUNCTION("""COMPUTED_VALUE"""),"No")</f>
        <v>No</v>
      </c>
      <c r="AU354" s="8">
        <f ca="1">IFERROR(__xludf.DUMMYFUNCTION("""COMPUTED_VALUE"""),41.867208)</f>
        <v>41.867207999999998</v>
      </c>
      <c r="AV354" s="8">
        <f ca="1">IFERROR(__xludf.DUMMYFUNCTION("""COMPUTED_VALUE"""),-87.654238)</f>
        <v>-87.654238000000007</v>
      </c>
      <c r="AW354" s="8" t="str">
        <f ca="1">IFERROR(__xludf.DUMMYFUNCTION("""COMPUTED_VALUE"""),"Multiple detached buildings")</f>
        <v>Multiple detached buildings</v>
      </c>
      <c r="AX354" s="8">
        <f ca="1">IFERROR(__xludf.DUMMYFUNCTION("""COMPUTED_VALUE"""),60607)</f>
        <v>60607</v>
      </c>
    </row>
    <row r="355" spans="1:50" ht="195" x14ac:dyDescent="0.2">
      <c r="A355" s="8" t="str">
        <f ca="1">IFERROR(__xludf.DUMMYFUNCTION("""COMPUTED_VALUE"""),"20240603NYPSB")</f>
        <v>20240603NYPSB</v>
      </c>
      <c r="B355" s="8">
        <f ca="1">IFERROR(__xludf.DUMMYFUNCTION("""COMPUTED_VALUE"""),6)</f>
        <v>6</v>
      </c>
      <c r="C355" s="8">
        <f ca="1">IFERROR(__xludf.DUMMYFUNCTION("""COMPUTED_VALUE"""),3)</f>
        <v>3</v>
      </c>
      <c r="D355" s="8">
        <f ca="1">IFERROR(__xludf.DUMMYFUNCTION("""COMPUTED_VALUE"""),2024)</f>
        <v>2024</v>
      </c>
      <c r="E355" s="9">
        <f ca="1">IFERROR(__xludf.DUMMYFUNCTION("""COMPUTED_VALUE"""),45446)</f>
        <v>45446</v>
      </c>
      <c r="F355" s="8" t="str">
        <f ca="1">IFERROR(__xludf.DUMMYFUNCTION("""COMPUTED_VALUE"""),"P.S. 178 Saint Clair Mckelway")</f>
        <v>P.S. 178 Saint Clair Mckelway</v>
      </c>
      <c r="G355" s="8">
        <f ca="1">IFERROR(__xludf.DUMMYFUNCTION("""COMPUTED_VALUE"""),0)</f>
        <v>0</v>
      </c>
      <c r="H355" s="8">
        <f ca="1">IFERROR(__xludf.DUMMYFUNCTION("""COMPUTED_VALUE"""),2)</f>
        <v>2</v>
      </c>
      <c r="I355" s="8">
        <f ca="1">IFERROR(__xludf.DUMMYFUNCTION("""COMPUTED_VALUE"""),2)</f>
        <v>2</v>
      </c>
      <c r="J355" s="8">
        <f ca="1">IFERROR(__xludf.DUMMYFUNCTION("""COMPUTED_VALUE"""),0)</f>
        <v>0</v>
      </c>
      <c r="K355" s="10" t="str">
        <f ca="1">IFERROR(__xludf.DUMMYFUNCTION("""COMPUTED_VALUE"""),"https://www.cbsnews.com/newyork/news/girls-shot-near-school-in-brownsville-brooklyn/")</f>
        <v>https://www.cbsnews.com/newyork/news/girls-shot-near-school-in-brownsville-brooklyn/</v>
      </c>
      <c r="L355" s="8">
        <f ca="1">IFERROR(__xludf.DUMMYFUNCTION("""COMPUTED_VALUE"""),5)</f>
        <v>5</v>
      </c>
      <c r="M355" s="8" t="str">
        <f ca="1">IFERROR(__xludf.DUMMYFUNCTION("""COMPUTED_VALUE"""),"Local")</f>
        <v>Local</v>
      </c>
      <c r="N355" s="8">
        <f ca="1">IFERROR(__xludf.DUMMYFUNCTION("""COMPUTED_VALUE"""),4)</f>
        <v>4</v>
      </c>
      <c r="O355" s="8" t="str">
        <f ca="1">IFERROR(__xludf.DUMMYFUNCTION("""COMPUTED_VALUE"""),"Summer")</f>
        <v>Summer</v>
      </c>
      <c r="P355" s="8" t="str">
        <f ca="1">IFERROR(__xludf.DUMMYFUNCTION("""COMPUTED_VALUE"""),"Brooklyn")</f>
        <v>Brooklyn</v>
      </c>
      <c r="Q355" s="8" t="str">
        <f ca="1">IFERROR(__xludf.DUMMYFUNCTION("""COMPUTED_VALUE"""),"NY")</f>
        <v>NY</v>
      </c>
      <c r="R355" s="8" t="str">
        <f ca="1">IFERROR(__xludf.DUMMYFUNCTION("""COMPUTED_VALUE"""),"Elementary")</f>
        <v>Elementary</v>
      </c>
      <c r="S355" s="8" t="str">
        <f ca="1">IFERROR(__xludf.DUMMYFUNCTION("""COMPUTED_VALUE"""),"Playground")</f>
        <v>Playground</v>
      </c>
      <c r="T355" s="8" t="str">
        <f ca="1">IFERROR(__xludf.DUMMYFUNCTION("""COMPUTED_VALUE"""),"Outside on School Property")</f>
        <v>Outside on School Property</v>
      </c>
      <c r="U355" s="8" t="str">
        <f ca="1">IFERROR(__xludf.DUMMYFUNCTION("""COMPUTED_VALUE"""),"No")</f>
        <v>No</v>
      </c>
      <c r="V355" s="8" t="str">
        <f ca="1">IFERROR(__xludf.DUMMYFUNCTION("""COMPUTED_VALUE"""),"Night")</f>
        <v>Night</v>
      </c>
      <c r="W355" s="11">
        <f ca="1">IFERROR(__xludf.DUMMYFUNCTION("""COMPUTED_VALUE"""),0.875)</f>
        <v>0.875</v>
      </c>
      <c r="X355" s="8">
        <f ca="1">IFERROR(__xludf.DUMMYFUNCTION("""COMPUTED_VALUE"""),1)</f>
        <v>1</v>
      </c>
      <c r="Y355" s="12" t="str">
        <f ca="1">IFERROR(__xludf.DUMMYFUNCTION("""COMPUTED_VALUE"""),"Two girls shot on playground when at least two people started firing shots")</f>
        <v>Two girls shot on playground when at least two people started firing shots</v>
      </c>
      <c r="Z355" s="12" t="str">
        <f ca="1">IFERROR(__xludf.DUMMYFUNCTION("""COMPUTED_VALUE"""),"Shots were fired shortly after 9 p.m. near P.S. 178 on Dean Street. Police said the 9 and 11-year-old girls were playing in the middle of a field, as their mothers watched from a nearby park bench. Six rounds were fired in the children's direction, hittin"&amp;"g the 9-year-old in the leg and the 11-year-old in the back, police said. They were rushed by their mothers to Brookdale Hospital, where they are listed in stable condition and expected to survive. Detectives have been canvassing the scene for a descripti"&amp;"on of the suspects and which way they took off. Based on the bullet casings found at the scene, investigators believe there were multiple shooters. There were possibly two shooters that fired at least six rounds in the direction the children were playing.")</f>
        <v>Shots were fired shortly after 9 p.m. near P.S. 178 on Dean Street. Police said the 9 and 11-year-old girls were playing in the middle of a field, as their mothers watched from a nearby park bench. Six rounds were fired in the children's direction, hitting the 9-year-old in the leg and the 11-year-old in the back, police said. They were rushed by their mothers to Brookdale Hospital, where they are listed in stable condition and expected to survive. Detectives have been canvassing the scene for a description of the suspects and which way they took off. Based on the bullet casings found at the scene, investigators believe there were multiple shooters. There were possibly two shooters that fired at least six rounds in the direction the children were playing.</v>
      </c>
      <c r="AA355" s="8"/>
      <c r="AB355" s="8"/>
      <c r="AC355" s="8" t="str">
        <f ca="1">IFERROR(__xludf.DUMMYFUNCTION("""COMPUTED_VALUE"""),"No")</f>
        <v>No</v>
      </c>
      <c r="AD355" s="8" t="str">
        <f ca="1">IFERROR(__xludf.DUMMYFUNCTION("""COMPUTED_VALUE"""),"Both")</f>
        <v>Both</v>
      </c>
      <c r="AE355" s="8" t="str">
        <f ca="1">IFERROR(__xludf.DUMMYFUNCTION("""COMPUTED_VALUE"""),"Yes")</f>
        <v>Yes</v>
      </c>
      <c r="AF355" s="8" t="str">
        <f ca="1">IFERROR(__xludf.DUMMYFUNCTION("""COMPUTED_VALUE"""),"Two shooters")</f>
        <v>Two shooters</v>
      </c>
      <c r="AG355" s="8" t="str">
        <f ca="1">IFERROR(__xludf.DUMMYFUNCTION("""COMPUTED_VALUE"""),"No")</f>
        <v>No</v>
      </c>
      <c r="AH355" s="8" t="str">
        <f ca="1">IFERROR(__xludf.DUMMYFUNCTION("""COMPUTED_VALUE"""),"No")</f>
        <v>No</v>
      </c>
      <c r="AI355" s="8" t="str">
        <f ca="1">IFERROR(__xludf.DUMMYFUNCTION("""COMPUTED_VALUE"""),"No")</f>
        <v>No</v>
      </c>
      <c r="AJ355" s="8" t="str">
        <f ca="1">IFERROR(__xludf.DUMMYFUNCTION("""COMPUTED_VALUE"""),"No")</f>
        <v>No</v>
      </c>
      <c r="AK355" s="8" t="str">
        <f ca="1">IFERROR(__xludf.DUMMYFUNCTION("""COMPUTED_VALUE"""),"No")</f>
        <v>No</v>
      </c>
      <c r="AL355" s="8"/>
      <c r="AM355" s="8" t="str">
        <f ca="1">IFERROR(__xludf.DUMMYFUNCTION("""COMPUTED_VALUE"""),"No")</f>
        <v>No</v>
      </c>
      <c r="AN355" s="8" t="str">
        <f ca="1">IFERROR(__xludf.DUMMYFUNCTION("""COMPUTED_VALUE"""),"Outside")</f>
        <v>Outside</v>
      </c>
      <c r="AO355" s="8" t="str">
        <f ca="1">IFERROR(__xludf.DUMMYFUNCTION("""COMPUTED_VALUE"""),"No")</f>
        <v>No</v>
      </c>
      <c r="AP355" s="8"/>
      <c r="AQ355" s="8"/>
      <c r="AR355" s="8" t="str">
        <f ca="1">IFERROR(__xludf.DUMMYFUNCTION("""COMPUTED_VALUE"""),"Outside/Off-Property")</f>
        <v>Outside/Off-Property</v>
      </c>
      <c r="AS355" s="8">
        <f ca="1">IFERROR(__xludf.DUMMYFUNCTION("""COMPUTED_VALUE"""),6)</f>
        <v>6</v>
      </c>
      <c r="AT355" s="8" t="str">
        <f ca="1">IFERROR(__xludf.DUMMYFUNCTION("""COMPUTED_VALUE"""),"No")</f>
        <v>No</v>
      </c>
      <c r="AU355" s="8">
        <f ca="1">IFERROR(__xludf.DUMMYFUNCTION("""COMPUTED_VALUE"""),40.675136)</f>
        <v>40.675136000000002</v>
      </c>
      <c r="AV355" s="8">
        <f ca="1">IFERROR(__xludf.DUMMYFUNCTION("""COMPUTED_VALUE"""),-73.914929)</f>
        <v>-73.914929000000001</v>
      </c>
      <c r="AW355" s="8" t="str">
        <f ca="1">IFERROR(__xludf.DUMMYFUNCTION("""COMPUTED_VALUE"""),"Urban with fenced mini campus")</f>
        <v>Urban with fenced mini campus</v>
      </c>
      <c r="AX355" s="8">
        <f ca="1">IFERROR(__xludf.DUMMYFUNCTION("""COMPUTED_VALUE"""),11233)</f>
        <v>11233</v>
      </c>
    </row>
    <row r="356" spans="1:50" ht="180" x14ac:dyDescent="0.2">
      <c r="A356" s="8" t="str">
        <f ca="1">IFERROR(__xludf.DUMMYFUNCTION("""COMPUTED_VALUE"""),"20240531MIARS")</f>
        <v>20240531MIARS</v>
      </c>
      <c r="B356" s="8">
        <f ca="1">IFERROR(__xludf.DUMMYFUNCTION("""COMPUTED_VALUE"""),5)</f>
        <v>5</v>
      </c>
      <c r="C356" s="8">
        <f ca="1">IFERROR(__xludf.DUMMYFUNCTION("""COMPUTED_VALUE"""),31)</f>
        <v>31</v>
      </c>
      <c r="D356" s="8">
        <f ca="1">IFERROR(__xludf.DUMMYFUNCTION("""COMPUTED_VALUE"""),2024)</f>
        <v>2024</v>
      </c>
      <c r="E356" s="9">
        <f ca="1">IFERROR(__xludf.DUMMYFUNCTION("""COMPUTED_VALUE"""),45443)</f>
        <v>45443</v>
      </c>
      <c r="F356" s="8" t="str">
        <f ca="1">IFERROR(__xludf.DUMMYFUNCTION("""COMPUTED_VALUE"""),"Arthur Hill High School")</f>
        <v>Arthur Hill High School</v>
      </c>
      <c r="G356" s="8">
        <f ca="1">IFERROR(__xludf.DUMMYFUNCTION("""COMPUTED_VALUE"""),0)</f>
        <v>0</v>
      </c>
      <c r="H356" s="8">
        <f ca="1">IFERROR(__xludf.DUMMYFUNCTION("""COMPUTED_VALUE"""),1)</f>
        <v>1</v>
      </c>
      <c r="I356" s="8">
        <f ca="1">IFERROR(__xludf.DUMMYFUNCTION("""COMPUTED_VALUE"""),1)</f>
        <v>1</v>
      </c>
      <c r="J356" s="8">
        <f ca="1">IFERROR(__xludf.DUMMYFUNCTION("""COMPUTED_VALUE"""),0)</f>
        <v>0</v>
      </c>
      <c r="K356" s="10" t="str">
        <f ca="1">IFERROR(__xludf.DUMMYFUNCTION("""COMPUTED_VALUE"""),"https://www.wnem.com/2024/05/31/msp-21-year-old-shot-near-arthur-hill-high-school/
https://www.abc12.com/news/crime/shooting-reported-hours-after-arthur-hill-high-school-graduation/article_28d6d060-1f56-11ef-8a2e-0b8b0225cb3f.html")</f>
        <v>https://www.wnem.com/2024/05/31/msp-21-year-old-shot-near-arthur-hill-high-school/
https://www.abc12.com/news/crime/shooting-reported-hours-after-arthur-hill-high-school-graduation/article_28d6d060-1f56-11ef-8a2e-0b8b0225cb3f.html</v>
      </c>
      <c r="L356" s="8">
        <f ca="1">IFERROR(__xludf.DUMMYFUNCTION("""COMPUTED_VALUE"""),3)</f>
        <v>3</v>
      </c>
      <c r="M356" s="8" t="str">
        <f ca="1">IFERROR(__xludf.DUMMYFUNCTION("""COMPUTED_VALUE"""),"Local")</f>
        <v>Local</v>
      </c>
      <c r="N356" s="8">
        <f ca="1">IFERROR(__xludf.DUMMYFUNCTION("""COMPUTED_VALUE"""),4)</f>
        <v>4</v>
      </c>
      <c r="O356" s="8" t="str">
        <f ca="1">IFERROR(__xludf.DUMMYFUNCTION("""COMPUTED_VALUE"""),"Spring")</f>
        <v>Spring</v>
      </c>
      <c r="P356" s="8" t="str">
        <f ca="1">IFERROR(__xludf.DUMMYFUNCTION("""COMPUTED_VALUE"""),"Saginaw")</f>
        <v>Saginaw</v>
      </c>
      <c r="Q356" s="8" t="str">
        <f ca="1">IFERROR(__xludf.DUMMYFUNCTION("""COMPUTED_VALUE"""),"MI")</f>
        <v>MI</v>
      </c>
      <c r="R356" s="8" t="str">
        <f ca="1">IFERROR(__xludf.DUMMYFUNCTION("""COMPUTED_VALUE"""),"High")</f>
        <v>High</v>
      </c>
      <c r="S356" s="8" t="str">
        <f ca="1">IFERROR(__xludf.DUMMYFUNCTION("""COMPUTED_VALUE"""),"Outside on School Property")</f>
        <v>Outside on School Property</v>
      </c>
      <c r="T356" s="8" t="str">
        <f ca="1">IFERROR(__xludf.DUMMYFUNCTION("""COMPUTED_VALUE"""),"Outside on School Property")</f>
        <v>Outside on School Property</v>
      </c>
      <c r="U356" s="8" t="str">
        <f ca="1">IFERROR(__xludf.DUMMYFUNCTION("""COMPUTED_VALUE"""),"No")</f>
        <v>No</v>
      </c>
      <c r="V356" s="8" t="str">
        <f ca="1">IFERROR(__xludf.DUMMYFUNCTION("""COMPUTED_VALUE"""),"Night")</f>
        <v>Night</v>
      </c>
      <c r="W356" s="11">
        <f ca="1">IFERROR(__xludf.DUMMYFUNCTION("""COMPUTED_VALUE"""),0.0277777777777777)</f>
        <v>2.77777777777777E-2</v>
      </c>
      <c r="X356" s="8">
        <f ca="1">IFERROR(__xludf.DUMMYFUNCTION("""COMPUTED_VALUE"""),1)</f>
        <v>1</v>
      </c>
      <c r="Y356" s="12" t="str">
        <f ca="1">IFERROR(__xludf.DUMMYFUNCTION("""COMPUTED_VALUE"""),"Man shot during late night party on campus after graduation")</f>
        <v>Man shot during late night party on campus after graduation</v>
      </c>
      <c r="Z356" s="12" t="str">
        <f ca="1">IFERROR(__xludf.DUMMYFUNCTION("""COMPUTED_VALUE"""),"A shooting during a large party hours after the Arthur Hill High School graduation early Friday left a man with non-life-threatening injuries. Michigan State Police say authorities were dispersing a large party, which assembled after the graduation ceremo"&amp;"ny Thursday night. Police heard a volley of gunshots as several vehicles were leaving the area around 12:40 a.m. Investigators found a 21-year-old man suffering from a gunshot wound. He was taken to an area hospital for treatment of non-life-threatening i"&amp;"njuries, but his condition was not available Friday morning. Police say they have identified a suspect, who had not been arrested by Friday morning.")</f>
        <v>A shooting during a large party hours after the Arthur Hill High School graduation early Friday left a man with non-life-threatening injuries. Michigan State Police say authorities were dispersing a large party, which assembled after the graduation ceremony Thursday night. Police heard a volley of gunshots as several vehicles were leaving the area around 12:40 a.m. Investigators found a 21-year-old man suffering from a gunshot wound. He was taken to an area hospital for treatment of non-life-threatening injuries, but his condition was not available Friday morning. Police say they have identified a suspect, who had not been arrested by Friday morning.</v>
      </c>
      <c r="AA356" s="8"/>
      <c r="AB356" s="8"/>
      <c r="AC356" s="8" t="str">
        <f ca="1">IFERROR(__xludf.DUMMYFUNCTION("""COMPUTED_VALUE"""),"Yes")</f>
        <v>Yes</v>
      </c>
      <c r="AD356" s="8"/>
      <c r="AE356" s="8" t="str">
        <f ca="1">IFERROR(__xludf.DUMMYFUNCTION("""COMPUTED_VALUE"""),"No")</f>
        <v>No</v>
      </c>
      <c r="AF356" s="8"/>
      <c r="AG356" s="8" t="str">
        <f ca="1">IFERROR(__xludf.DUMMYFUNCTION("""COMPUTED_VALUE"""),"No")</f>
        <v>No</v>
      </c>
      <c r="AH356" s="8" t="str">
        <f ca="1">IFERROR(__xludf.DUMMYFUNCTION("""COMPUTED_VALUE"""),"No")</f>
        <v>No</v>
      </c>
      <c r="AI356" s="8" t="str">
        <f ca="1">IFERROR(__xludf.DUMMYFUNCTION("""COMPUTED_VALUE"""),"No")</f>
        <v>No</v>
      </c>
      <c r="AJ356" s="8" t="str">
        <f ca="1">IFERROR(__xludf.DUMMYFUNCTION("""COMPUTED_VALUE"""),"No")</f>
        <v>No</v>
      </c>
      <c r="AK356" s="8" t="str">
        <f ca="1">IFERROR(__xludf.DUMMYFUNCTION("""COMPUTED_VALUE"""),"No")</f>
        <v>No</v>
      </c>
      <c r="AL356" s="8"/>
      <c r="AM356" s="8" t="str">
        <f ca="1">IFERROR(__xludf.DUMMYFUNCTION("""COMPUTED_VALUE"""),"No")</f>
        <v>No</v>
      </c>
      <c r="AN356" s="8" t="str">
        <f ca="1">IFERROR(__xludf.DUMMYFUNCTION("""COMPUTED_VALUE"""),"Outside")</f>
        <v>Outside</v>
      </c>
      <c r="AO356" s="8" t="str">
        <f ca="1">IFERROR(__xludf.DUMMYFUNCTION("""COMPUTED_VALUE"""),"No")</f>
        <v>No</v>
      </c>
      <c r="AP356" s="8"/>
      <c r="AQ356" s="8"/>
      <c r="AR356" s="8" t="str">
        <f ca="1">IFERROR(__xludf.DUMMYFUNCTION("""COMPUTED_VALUE"""),"Outside/Off-Property")</f>
        <v>Outside/Off-Property</v>
      </c>
      <c r="AS356" s="8">
        <f ca="1">IFERROR(__xludf.DUMMYFUNCTION("""COMPUTED_VALUE"""),12)</f>
        <v>12</v>
      </c>
      <c r="AT356" s="8" t="str">
        <f ca="1">IFERROR(__xludf.DUMMYFUNCTION("""COMPUTED_VALUE"""),"No")</f>
        <v>No</v>
      </c>
      <c r="AU356" s="8">
        <f ca="1">IFERROR(__xludf.DUMMYFUNCTION("""COMPUTED_VALUE"""),43.42819)</f>
        <v>43.428190000000001</v>
      </c>
      <c r="AV356" s="8">
        <f ca="1">IFERROR(__xludf.DUMMYFUNCTION("""COMPUTED_VALUE"""),-83.991679)</f>
        <v>-83.991679000000005</v>
      </c>
      <c r="AW356" s="8" t="str">
        <f ca="1">IFERROR(__xludf.DUMMYFUNCTION("""COMPUTED_VALUE"""),"Multiple attached buildings")</f>
        <v>Multiple attached buildings</v>
      </c>
      <c r="AX356" s="8">
        <f ca="1">IFERROR(__xludf.DUMMYFUNCTION("""COMPUTED_VALUE"""),48603)</f>
        <v>48603</v>
      </c>
    </row>
    <row r="357" spans="1:50" ht="150" x14ac:dyDescent="0.2">
      <c r="A357" s="8" t="str">
        <f ca="1">IFERROR(__xludf.DUMMYFUNCTION("""COMPUTED_VALUE"""),"20240529NYPSQ")</f>
        <v>20240529NYPSQ</v>
      </c>
      <c r="B357" s="8">
        <f ca="1">IFERROR(__xludf.DUMMYFUNCTION("""COMPUTED_VALUE"""),5)</f>
        <v>5</v>
      </c>
      <c r="C357" s="8">
        <f ca="1">IFERROR(__xludf.DUMMYFUNCTION("""COMPUTED_VALUE"""),29)</f>
        <v>29</v>
      </c>
      <c r="D357" s="8">
        <f ca="1">IFERROR(__xludf.DUMMYFUNCTION("""COMPUTED_VALUE"""),2024)</f>
        <v>2024</v>
      </c>
      <c r="E357" s="9">
        <f ca="1">IFERROR(__xludf.DUMMYFUNCTION("""COMPUTED_VALUE"""),45441)</f>
        <v>45441</v>
      </c>
      <c r="F357" s="8" t="str">
        <f ca="1">IFERROR(__xludf.DUMMYFUNCTION("""COMPUTED_VALUE"""),"PS 105 The Bay School")</f>
        <v>PS 105 The Bay School</v>
      </c>
      <c r="G357" s="8">
        <f ca="1">IFERROR(__xludf.DUMMYFUNCTION("""COMPUTED_VALUE"""),0)</f>
        <v>0</v>
      </c>
      <c r="H357" s="8">
        <f ca="1">IFERROR(__xludf.DUMMYFUNCTION("""COMPUTED_VALUE"""),2)</f>
        <v>2</v>
      </c>
      <c r="I357" s="8">
        <f ca="1">IFERROR(__xludf.DUMMYFUNCTION("""COMPUTED_VALUE"""),2)</f>
        <v>2</v>
      </c>
      <c r="J357" s="8">
        <f ca="1">IFERROR(__xludf.DUMMYFUNCTION("""COMPUTED_VALUE"""),0)</f>
        <v>0</v>
      </c>
      <c r="K357" s="10" t="str">
        <f ca="1">IFERROR(__xludf.DUMMYFUNCTION("""COMPUTED_VALUE"""),"https://pix11.com/news/local-news/queens/gunmen-inadvertently-shot-2-teens-near-queens-school-nypd/")</f>
        <v>https://pix11.com/news/local-news/queens/gunmen-inadvertently-shot-2-teens-near-queens-school-nypd/</v>
      </c>
      <c r="L357" s="8">
        <f ca="1">IFERROR(__xludf.DUMMYFUNCTION("""COMPUTED_VALUE"""),5)</f>
        <v>5</v>
      </c>
      <c r="M357" s="8" t="str">
        <f ca="1">IFERROR(__xludf.DUMMYFUNCTION("""COMPUTED_VALUE"""),"Local")</f>
        <v>Local</v>
      </c>
      <c r="N357" s="8">
        <f ca="1">IFERROR(__xludf.DUMMYFUNCTION("""COMPUTED_VALUE"""),4)</f>
        <v>4</v>
      </c>
      <c r="O357" s="8" t="str">
        <f ca="1">IFERROR(__xludf.DUMMYFUNCTION("""COMPUTED_VALUE"""),"Spring")</f>
        <v>Spring</v>
      </c>
      <c r="P357" s="8" t="str">
        <f ca="1">IFERROR(__xludf.DUMMYFUNCTION("""COMPUTED_VALUE"""),"Queens")</f>
        <v>Queens</v>
      </c>
      <c r="Q357" s="8" t="str">
        <f ca="1">IFERROR(__xludf.DUMMYFUNCTION("""COMPUTED_VALUE"""),"NY")</f>
        <v>NY</v>
      </c>
      <c r="R357" s="8" t="str">
        <f ca="1">IFERROR(__xludf.DUMMYFUNCTION("""COMPUTED_VALUE"""),"High")</f>
        <v>High</v>
      </c>
      <c r="S357" s="8" t="str">
        <f ca="1">IFERROR(__xludf.DUMMYFUNCTION("""COMPUTED_VALUE"""),"Basketball Court")</f>
        <v>Basketball Court</v>
      </c>
      <c r="T357" s="8" t="str">
        <f ca="1">IFERROR(__xludf.DUMMYFUNCTION("""COMPUTED_VALUE"""),"Outside on School Property")</f>
        <v>Outside on School Property</v>
      </c>
      <c r="U357" s="8" t="str">
        <f ca="1">IFERROR(__xludf.DUMMYFUNCTION("""COMPUTED_VALUE"""),"No")</f>
        <v>No</v>
      </c>
      <c r="V357" s="8" t="str">
        <f ca="1">IFERROR(__xludf.DUMMYFUNCTION("""COMPUTED_VALUE"""),"After School")</f>
        <v>After School</v>
      </c>
      <c r="W357" s="11">
        <f ca="1">IFERROR(__xludf.DUMMYFUNCTION("""COMPUTED_VALUE"""),0.677083333333333)</f>
        <v>0.67708333333333304</v>
      </c>
      <c r="X357" s="8">
        <f ca="1">IFERROR(__xludf.DUMMYFUNCTION("""COMPUTED_VALUE"""),1)</f>
        <v>1</v>
      </c>
      <c r="Y357" s="12" t="str">
        <f ca="1">IFERROR(__xludf.DUMMYFUNCTION("""COMPUTED_VALUE"""),"Two teens shot on basketball court behind school")</f>
        <v>Two teens shot on basketball court behind school</v>
      </c>
      <c r="Z357" s="12" t="str">
        <f ca="1">IFERROR(__xludf.DUMMYFUNCTION("""COMPUTED_VALUE"""),"Two teenagers were inadvertently shot when gunfire erupted behind a Queens school Wednesday, authorities said. The boy and girl, both 15, were struck on a basketball court in the back of a school at 441 Beach 51st St. in Edgemere at around 4:15 p.m., acco"&amp;"rding to the NYPD. The girl was shot in her leg and arm, and a boy was shot in the leg, police said. The victims, who were not the intended targets, were taken to the hospital for treatment. Police are searching for two gunmen, one fled on a CitiBike, and"&amp;" the other on a metal kick scooter, police said. There have been no arrests.")</f>
        <v>Two teenagers were inadvertently shot when gunfire erupted behind a Queens school Wednesday, authorities said. The boy and girl, both 15, were struck on a basketball court in the back of a school at 441 Beach 51st St. in Edgemere at around 4:15 p.m., according to the NYPD. The girl was shot in her leg and arm, and a boy was shot in the leg, police said. The victims, who were not the intended targets, were taken to the hospital for treatment. Police are searching for two gunmen, one fled on a CitiBike, and the other on a metal kick scooter, police said. There have been no arrests.</v>
      </c>
      <c r="AA357" s="8" t="str">
        <f ca="1">IFERROR(__xludf.DUMMYFUNCTION("""COMPUTED_VALUE"""),"Drive-by Shooting")</f>
        <v>Drive-by Shooting</v>
      </c>
      <c r="AB357" s="8"/>
      <c r="AC357" s="8" t="str">
        <f ca="1">IFERROR(__xludf.DUMMYFUNCTION("""COMPUTED_VALUE"""),"Yes")</f>
        <v>Yes</v>
      </c>
      <c r="AD357" s="8" t="str">
        <f ca="1">IFERROR(__xludf.DUMMYFUNCTION("""COMPUTED_VALUE"""),"Both")</f>
        <v>Both</v>
      </c>
      <c r="AE357" s="8" t="str">
        <f ca="1">IFERROR(__xludf.DUMMYFUNCTION("""COMPUTED_VALUE"""),"Yes")</f>
        <v>Yes</v>
      </c>
      <c r="AF357" s="8" t="str">
        <f ca="1">IFERROR(__xludf.DUMMYFUNCTION("""COMPUTED_VALUE"""),"2 gunmen fled")</f>
        <v>2 gunmen fled</v>
      </c>
      <c r="AG357" s="8" t="str">
        <f ca="1">IFERROR(__xludf.DUMMYFUNCTION("""COMPUTED_VALUE"""),"No")</f>
        <v>No</v>
      </c>
      <c r="AH357" s="8" t="str">
        <f ca="1">IFERROR(__xludf.DUMMYFUNCTION("""COMPUTED_VALUE"""),"No")</f>
        <v>No</v>
      </c>
      <c r="AI357" s="8" t="str">
        <f ca="1">IFERROR(__xludf.DUMMYFUNCTION("""COMPUTED_VALUE"""),"No")</f>
        <v>No</v>
      </c>
      <c r="AJ357" s="8" t="str">
        <f ca="1">IFERROR(__xludf.DUMMYFUNCTION("""COMPUTED_VALUE"""),"No")</f>
        <v>No</v>
      </c>
      <c r="AK357" s="8" t="str">
        <f ca="1">IFERROR(__xludf.DUMMYFUNCTION("""COMPUTED_VALUE"""),"No")</f>
        <v>No</v>
      </c>
      <c r="AL357" s="8" t="str">
        <f ca="1">IFERROR(__xludf.DUMMYFUNCTION("""COMPUTED_VALUE"""),"No")</f>
        <v>No</v>
      </c>
      <c r="AM357" s="8" t="str">
        <f ca="1">IFERROR(__xludf.DUMMYFUNCTION("""COMPUTED_VALUE"""),"No")</f>
        <v>No</v>
      </c>
      <c r="AN357" s="8" t="str">
        <f ca="1">IFERROR(__xludf.DUMMYFUNCTION("""COMPUTED_VALUE"""),"Outside")</f>
        <v>Outside</v>
      </c>
      <c r="AO357" s="8" t="str">
        <f ca="1">IFERROR(__xludf.DUMMYFUNCTION("""COMPUTED_VALUE"""),"No")</f>
        <v>No</v>
      </c>
      <c r="AP357" s="8"/>
      <c r="AQ357" s="8"/>
      <c r="AR357" s="8" t="str">
        <f ca="1">IFERROR(__xludf.DUMMYFUNCTION("""COMPUTED_VALUE"""),"Outside/Off-Property")</f>
        <v>Outside/Off-Property</v>
      </c>
      <c r="AS357" s="8">
        <f ca="1">IFERROR(__xludf.DUMMYFUNCTION("""COMPUTED_VALUE"""),99)</f>
        <v>99</v>
      </c>
      <c r="AT357" s="8" t="str">
        <f ca="1">IFERROR(__xludf.DUMMYFUNCTION("""COMPUTED_VALUE"""),"No")</f>
        <v>No</v>
      </c>
      <c r="AU357" s="8">
        <f ca="1">IFERROR(__xludf.DUMMYFUNCTION("""COMPUTED_VALUE"""),40.595948)</f>
        <v>40.595948</v>
      </c>
      <c r="AV357" s="8">
        <f ca="1">IFERROR(__xludf.DUMMYFUNCTION("""COMPUTED_VALUE"""),-73.78122)</f>
        <v>-73.781220000000005</v>
      </c>
      <c r="AW357" s="8" t="str">
        <f ca="1">IFERROR(__xludf.DUMMYFUNCTION("""COMPUTED_VALUE"""),"Urban with fenced mini campus")</f>
        <v>Urban with fenced mini campus</v>
      </c>
      <c r="AX357" s="8">
        <f ca="1">IFERROR(__xludf.DUMMYFUNCTION("""COMPUTED_VALUE"""),11691)</f>
        <v>11691</v>
      </c>
    </row>
    <row r="358" spans="1:50" ht="90" x14ac:dyDescent="0.2">
      <c r="A358" s="8" t="str">
        <f ca="1">IFERROR(__xludf.DUMMYFUNCTION("""COMPUTED_VALUE"""),"20240529WALEE")</f>
        <v>20240529WALEE</v>
      </c>
      <c r="B358" s="8">
        <f ca="1">IFERROR(__xludf.DUMMYFUNCTION("""COMPUTED_VALUE"""),5)</f>
        <v>5</v>
      </c>
      <c r="C358" s="8">
        <f ca="1">IFERROR(__xludf.DUMMYFUNCTION("""COMPUTED_VALUE"""),29)</f>
        <v>29</v>
      </c>
      <c r="D358" s="8">
        <f ca="1">IFERROR(__xludf.DUMMYFUNCTION("""COMPUTED_VALUE"""),2024)</f>
        <v>2024</v>
      </c>
      <c r="E358" s="9">
        <f ca="1">IFERROR(__xludf.DUMMYFUNCTION("""COMPUTED_VALUE"""),45441)</f>
        <v>45441</v>
      </c>
      <c r="F358" s="8" t="str">
        <f ca="1">IFERROR(__xludf.DUMMYFUNCTION("""COMPUTED_VALUE"""),"Lee Elementary School")</f>
        <v>Lee Elementary School</v>
      </c>
      <c r="G358" s="8">
        <f ca="1">IFERROR(__xludf.DUMMYFUNCTION("""COMPUTED_VALUE"""),0)</f>
        <v>0</v>
      </c>
      <c r="H358" s="8">
        <f ca="1">IFERROR(__xludf.DUMMYFUNCTION("""COMPUTED_VALUE"""),0)</f>
        <v>0</v>
      </c>
      <c r="I358" s="8">
        <f ca="1">IFERROR(__xludf.DUMMYFUNCTION("""COMPUTED_VALUE"""),0)</f>
        <v>0</v>
      </c>
      <c r="J358" s="8">
        <f ca="1">IFERROR(__xludf.DUMMYFUNCTION("""COMPUTED_VALUE"""),0)</f>
        <v>0</v>
      </c>
      <c r="K358" s="10" t="str">
        <f ca="1">IFERROR(__xludf.DUMMYFUNCTION("""COMPUTED_VALUE"""),"https://www.ncwlife.com/news/suspect-arrested-in-gunfire-on-east-wenatchee-school-grounds/article_f24eaccc-1f99-11ef-8753-e3081475a854.html")</f>
        <v>https://www.ncwlife.com/news/suspect-arrested-in-gunfire-on-east-wenatchee-school-grounds/article_f24eaccc-1f99-11ef-8753-e3081475a854.html</v>
      </c>
      <c r="L358" s="8">
        <f ca="1">IFERROR(__xludf.DUMMYFUNCTION("""COMPUTED_VALUE"""),1)</f>
        <v>1</v>
      </c>
      <c r="M358" s="8" t="str">
        <f ca="1">IFERROR(__xludf.DUMMYFUNCTION("""COMPUTED_VALUE"""),"Local")</f>
        <v>Local</v>
      </c>
      <c r="N358" s="8">
        <f ca="1">IFERROR(__xludf.DUMMYFUNCTION("""COMPUTED_VALUE"""),3)</f>
        <v>3</v>
      </c>
      <c r="O358" s="8" t="str">
        <f ca="1">IFERROR(__xludf.DUMMYFUNCTION("""COMPUTED_VALUE"""),"Spring")</f>
        <v>Spring</v>
      </c>
      <c r="P358" s="8" t="str">
        <f ca="1">IFERROR(__xludf.DUMMYFUNCTION("""COMPUTED_VALUE"""),"East Wenatchee")</f>
        <v>East Wenatchee</v>
      </c>
      <c r="Q358" s="8" t="str">
        <f ca="1">IFERROR(__xludf.DUMMYFUNCTION("""COMPUTED_VALUE"""),"WA")</f>
        <v>WA</v>
      </c>
      <c r="R358" s="8" t="str">
        <f ca="1">IFERROR(__xludf.DUMMYFUNCTION("""COMPUTED_VALUE"""),"Elementary")</f>
        <v>Elementary</v>
      </c>
      <c r="S358" s="8" t="str">
        <f ca="1">IFERROR(__xludf.DUMMYFUNCTION("""COMPUTED_VALUE"""),"Beside Building")</f>
        <v>Beside Building</v>
      </c>
      <c r="T358" s="8" t="str">
        <f ca="1">IFERROR(__xludf.DUMMYFUNCTION("""COMPUTED_VALUE"""),"Outside on School Property")</f>
        <v>Outside on School Property</v>
      </c>
      <c r="U358" s="8" t="str">
        <f ca="1">IFERROR(__xludf.DUMMYFUNCTION("""COMPUTED_VALUE"""),"No")</f>
        <v>No</v>
      </c>
      <c r="V358" s="8" t="str">
        <f ca="1">IFERROR(__xludf.DUMMYFUNCTION("""COMPUTED_VALUE"""),"Night")</f>
        <v>Night</v>
      </c>
      <c r="W358" s="8"/>
      <c r="X358" s="8">
        <f ca="1">IFERROR(__xludf.DUMMYFUNCTION("""COMPUTED_VALUE"""),1)</f>
        <v>1</v>
      </c>
      <c r="Y358" s="12" t="str">
        <f ca="1">IFERROR(__xludf.DUMMYFUNCTION("""COMPUTED_VALUE"""),"Two men fired shot outside on school property while tagging the school building with gang graffiti")</f>
        <v>Two men fired shot outside on school property while tagging the school building with gang graffiti</v>
      </c>
      <c r="Z358" s="12" t="str">
        <f ca="1">IFERROR(__xludf.DUMMYFUNCTION("""COMPUTED_VALUE"""),"Two men fired shot outside on school property while tagging the school building with gang graffiti.")</f>
        <v>Two men fired shot outside on school property while tagging the school building with gang graffiti.</v>
      </c>
      <c r="AA358" s="8" t="str">
        <f ca="1">IFERROR(__xludf.DUMMYFUNCTION("""COMPUTED_VALUE"""),"Illegal Activity")</f>
        <v>Illegal Activity</v>
      </c>
      <c r="AB358" s="8"/>
      <c r="AC358" s="8" t="str">
        <f ca="1">IFERROR(__xludf.DUMMYFUNCTION("""COMPUTED_VALUE"""),"No")</f>
        <v>No</v>
      </c>
      <c r="AD358" s="8" t="str">
        <f ca="1">IFERROR(__xludf.DUMMYFUNCTION("""COMPUTED_VALUE"""),"Neither")</f>
        <v>Neither</v>
      </c>
      <c r="AE358" s="8" t="str">
        <f ca="1">IFERROR(__xludf.DUMMYFUNCTION("""COMPUTED_VALUE"""),"Yes")</f>
        <v>Yes</v>
      </c>
      <c r="AF358" s="8" t="str">
        <f ca="1">IFERROR(__xludf.DUMMYFUNCTION("""COMPUTED_VALUE"""),"Two men")</f>
        <v>Two men</v>
      </c>
      <c r="AG358" s="8" t="str">
        <f ca="1">IFERROR(__xludf.DUMMYFUNCTION("""COMPUTED_VALUE"""),"No")</f>
        <v>No</v>
      </c>
      <c r="AH358" s="8" t="str">
        <f ca="1">IFERROR(__xludf.DUMMYFUNCTION("""COMPUTED_VALUE"""),"No")</f>
        <v>No</v>
      </c>
      <c r="AI358" s="8" t="str">
        <f ca="1">IFERROR(__xludf.DUMMYFUNCTION("""COMPUTED_VALUE"""),"No")</f>
        <v>No</v>
      </c>
      <c r="AJ358" s="8" t="str">
        <f ca="1">IFERROR(__xludf.DUMMYFUNCTION("""COMPUTED_VALUE"""),"No")</f>
        <v>No</v>
      </c>
      <c r="AK358" s="8" t="str">
        <f ca="1">IFERROR(__xludf.DUMMYFUNCTION("""COMPUTED_VALUE"""),"No")</f>
        <v>No</v>
      </c>
      <c r="AL358" s="8" t="str">
        <f ca="1">IFERROR(__xludf.DUMMYFUNCTION("""COMPUTED_VALUE"""),"Yes")</f>
        <v>Yes</v>
      </c>
      <c r="AM358" s="8" t="str">
        <f ca="1">IFERROR(__xludf.DUMMYFUNCTION("""COMPUTED_VALUE"""),"No")</f>
        <v>No</v>
      </c>
      <c r="AN358" s="8" t="str">
        <f ca="1">IFERROR(__xludf.DUMMYFUNCTION("""COMPUTED_VALUE"""),"Outside")</f>
        <v>Outside</v>
      </c>
      <c r="AO358" s="8" t="str">
        <f ca="1">IFERROR(__xludf.DUMMYFUNCTION("""COMPUTED_VALUE"""),"No")</f>
        <v>No</v>
      </c>
      <c r="AP358" s="8"/>
      <c r="AQ358" s="8"/>
      <c r="AR358" s="8" t="str">
        <f ca="1">IFERROR(__xludf.DUMMYFUNCTION("""COMPUTED_VALUE"""),"Outside/Off-Property")</f>
        <v>Outside/Off-Property</v>
      </c>
      <c r="AS358" s="8">
        <f ca="1">IFERROR(__xludf.DUMMYFUNCTION("""COMPUTED_VALUE"""),99)</f>
        <v>99</v>
      </c>
      <c r="AT358" s="8" t="str">
        <f ca="1">IFERROR(__xludf.DUMMYFUNCTION("""COMPUTED_VALUE"""),"No")</f>
        <v>No</v>
      </c>
      <c r="AU358" s="8">
        <f ca="1">IFERROR(__xludf.DUMMYFUNCTION("""COMPUTED_VALUE"""),47.427563)</f>
        <v>47.427562999999999</v>
      </c>
      <c r="AV358" s="8">
        <f ca="1">IFERROR(__xludf.DUMMYFUNCTION("""COMPUTED_VALUE"""),-120.291893)</f>
        <v>-120.291893</v>
      </c>
      <c r="AW358" s="8" t="str">
        <f ca="1">IFERROR(__xludf.DUMMYFUNCTION("""COMPUTED_VALUE"""),"Multiple detached buildings")</f>
        <v>Multiple detached buildings</v>
      </c>
      <c r="AX358" s="8">
        <f ca="1">IFERROR(__xludf.DUMMYFUNCTION("""COMPUTED_VALUE"""),98802)</f>
        <v>98802</v>
      </c>
    </row>
    <row r="359" spans="1:50" ht="75" x14ac:dyDescent="0.2">
      <c r="A359" s="8" t="str">
        <f ca="1">IFERROR(__xludf.DUMMYFUNCTION("""COMPUTED_VALUE"""),"20240528ORROP")</f>
        <v>20240528ORROP</v>
      </c>
      <c r="B359" s="8">
        <f ca="1">IFERROR(__xludf.DUMMYFUNCTION("""COMPUTED_VALUE"""),5)</f>
        <v>5</v>
      </c>
      <c r="C359" s="8">
        <f ca="1">IFERROR(__xludf.DUMMYFUNCTION("""COMPUTED_VALUE"""),28)</f>
        <v>28</v>
      </c>
      <c r="D359" s="8">
        <f ca="1">IFERROR(__xludf.DUMMYFUNCTION("""COMPUTED_VALUE"""),2024)</f>
        <v>2024</v>
      </c>
      <c r="E359" s="9">
        <f ca="1">IFERROR(__xludf.DUMMYFUNCTION("""COMPUTED_VALUE"""),45440)</f>
        <v>45440</v>
      </c>
      <c r="F359" s="8" t="str">
        <f ca="1">IFERROR(__xludf.DUMMYFUNCTION("""COMPUTED_VALUE"""),"Roosevelt High School")</f>
        <v>Roosevelt High School</v>
      </c>
      <c r="G359" s="8">
        <f ca="1">IFERROR(__xludf.DUMMYFUNCTION("""COMPUTED_VALUE"""),0)</f>
        <v>0</v>
      </c>
      <c r="H359" s="8">
        <f ca="1">IFERROR(__xludf.DUMMYFUNCTION("""COMPUTED_VALUE"""),0)</f>
        <v>0</v>
      </c>
      <c r="I359" s="8">
        <f ca="1">IFERROR(__xludf.DUMMYFUNCTION("""COMPUTED_VALUE"""),0)</f>
        <v>0</v>
      </c>
      <c r="J359" s="8">
        <f ca="1">IFERROR(__xludf.DUMMYFUNCTION("""COMPUTED_VALUE"""),0)</f>
        <v>0</v>
      </c>
      <c r="K359" s="8" t="str">
        <f ca="1">IFERROR(__xludf.DUMMYFUNCTION("""COMPUTED_VALUE"""),"https://www.kgw.com/article/news/crime/roosevelt-high-school-shooting-portland-police/283-c5f558b9-28de-4863-b2a2-8266366e622a
https://www.koin.com/news/portland/shooting-near-roosevelt-high-school-portland-police/
https://www.katu.com/news/local/portland"&amp;"-police-investigate-shooting-near-roosevelt-high-no-injuries-reported-north-portland-oregon-multnomah-county-gun-guns-shell-casings-public-schools")</f>
        <v>https://www.kgw.com/article/news/crime/roosevelt-high-school-shooting-portland-police/283-c5f558b9-28de-4863-b2a2-8266366e622a
https://www.koin.com/news/portland/shooting-near-roosevelt-high-school-portland-police/
https://www.katu.com/news/local/portland-police-investigate-shooting-near-roosevelt-high-no-injuries-reported-north-portland-oregon-multnomah-county-gun-guns-shell-casings-public-schools</v>
      </c>
      <c r="L359" s="8">
        <f ca="1">IFERROR(__xludf.DUMMYFUNCTION("""COMPUTED_VALUE"""),5)</f>
        <v>5</v>
      </c>
      <c r="M359" s="8" t="str">
        <f ca="1">IFERROR(__xludf.DUMMYFUNCTION("""COMPUTED_VALUE"""),"Regional")</f>
        <v>Regional</v>
      </c>
      <c r="N359" s="8">
        <f ca="1">IFERROR(__xludf.DUMMYFUNCTION("""COMPUTED_VALUE"""),4)</f>
        <v>4</v>
      </c>
      <c r="O359" s="8" t="str">
        <f ca="1">IFERROR(__xludf.DUMMYFUNCTION("""COMPUTED_VALUE"""),"Spring")</f>
        <v>Spring</v>
      </c>
      <c r="P359" s="8" t="str">
        <f ca="1">IFERROR(__xludf.DUMMYFUNCTION("""COMPUTED_VALUE"""),"Portland")</f>
        <v>Portland</v>
      </c>
      <c r="Q359" s="8" t="str">
        <f ca="1">IFERROR(__xludf.DUMMYFUNCTION("""COMPUTED_VALUE"""),"OR")</f>
        <v>OR</v>
      </c>
      <c r="R359" s="8" t="str">
        <f ca="1">IFERROR(__xludf.DUMMYFUNCTION("""COMPUTED_VALUE"""),"High")</f>
        <v>High</v>
      </c>
      <c r="S359" s="8" t="str">
        <f ca="1">IFERROR(__xludf.DUMMYFUNCTION("""COMPUTED_VALUE"""),"Field (General)")</f>
        <v>Field (General)</v>
      </c>
      <c r="T359" s="8" t="str">
        <f ca="1">IFERROR(__xludf.DUMMYFUNCTION("""COMPUTED_VALUE"""),"Outside on School Property")</f>
        <v>Outside on School Property</v>
      </c>
      <c r="U359" s="8" t="str">
        <f ca="1">IFERROR(__xludf.DUMMYFUNCTION("""COMPUTED_VALUE"""),"Yes")</f>
        <v>Yes</v>
      </c>
      <c r="V359" s="8" t="str">
        <f ca="1">IFERROR(__xludf.DUMMYFUNCTION("""COMPUTED_VALUE"""),"Afternoon Classes")</f>
        <v>Afternoon Classes</v>
      </c>
      <c r="W359" s="11">
        <f ca="1">IFERROR(__xludf.DUMMYFUNCTION("""COMPUTED_VALUE"""),0.604166666666666)</f>
        <v>0.60416666666666596</v>
      </c>
      <c r="X359" s="8">
        <f ca="1">IFERROR(__xludf.DUMMYFUNCTION("""COMPUTED_VALUE"""),1)</f>
        <v>1</v>
      </c>
      <c r="Y359" s="12" t="str">
        <f ca="1">IFERROR(__xludf.DUMMYFUNCTION("""COMPUTED_VALUE"""),"Shots fired near the baseball field during afternoon classes, school went on lockdown")</f>
        <v>Shots fired near the baseball field during afternoon classes, school went on lockdown</v>
      </c>
      <c r="Z359" s="12" t="str">
        <f ca="1">IFERROR(__xludf.DUMMYFUNCTION("""COMPUTED_VALUE"""),"Police recovered multiple shell casings near the baseball field after shots were fired during afternoon classes. Shooter fled in a vehicle before police arrived. No injuries.")</f>
        <v>Police recovered multiple shell casings near the baseball field after shots were fired during afternoon classes. Shooter fled in a vehicle before police arrived. No injuries.</v>
      </c>
      <c r="AA359" s="8"/>
      <c r="AB359" s="8"/>
      <c r="AC359" s="8" t="str">
        <f ca="1">IFERROR(__xludf.DUMMYFUNCTION("""COMPUTED_VALUE"""),"Yes")</f>
        <v>Yes</v>
      </c>
      <c r="AD359" s="8" t="str">
        <f ca="1">IFERROR(__xludf.DUMMYFUNCTION("""COMPUTED_VALUE"""),"Victims Targeted")</f>
        <v>Victims Targeted</v>
      </c>
      <c r="AE359" s="8"/>
      <c r="AF359" s="8"/>
      <c r="AG359" s="8" t="str">
        <f ca="1">IFERROR(__xludf.DUMMYFUNCTION("""COMPUTED_VALUE"""),"No")</f>
        <v>No</v>
      </c>
      <c r="AH359" s="8" t="str">
        <f ca="1">IFERROR(__xludf.DUMMYFUNCTION("""COMPUTED_VALUE"""),"No")</f>
        <v>No</v>
      </c>
      <c r="AI359" s="8" t="str">
        <f ca="1">IFERROR(__xludf.DUMMYFUNCTION("""COMPUTED_VALUE"""),"No")</f>
        <v>No</v>
      </c>
      <c r="AJ359" s="8" t="str">
        <f ca="1">IFERROR(__xludf.DUMMYFUNCTION("""COMPUTED_VALUE"""),"No")</f>
        <v>No</v>
      </c>
      <c r="AK359" s="8" t="str">
        <f ca="1">IFERROR(__xludf.DUMMYFUNCTION("""COMPUTED_VALUE"""),"No")</f>
        <v>No</v>
      </c>
      <c r="AL359" s="8" t="str">
        <f ca="1">IFERROR(__xludf.DUMMYFUNCTION("""COMPUTED_VALUE"""),"No")</f>
        <v>No</v>
      </c>
      <c r="AM359" s="8" t="str">
        <f ca="1">IFERROR(__xludf.DUMMYFUNCTION("""COMPUTED_VALUE"""),"No")</f>
        <v>No</v>
      </c>
      <c r="AN359" s="8" t="str">
        <f ca="1">IFERROR(__xludf.DUMMYFUNCTION("""COMPUTED_VALUE"""),"Outside")</f>
        <v>Outside</v>
      </c>
      <c r="AO359" s="8" t="str">
        <f ca="1">IFERROR(__xludf.DUMMYFUNCTION("""COMPUTED_VALUE"""),"No")</f>
        <v>No</v>
      </c>
      <c r="AP359" s="8"/>
      <c r="AQ359" s="8"/>
      <c r="AR359" s="8" t="str">
        <f ca="1">IFERROR(__xludf.DUMMYFUNCTION("""COMPUTED_VALUE"""),"Outside/Off-Property")</f>
        <v>Outside/Off-Property</v>
      </c>
      <c r="AS359" s="8">
        <f ca="1">IFERROR(__xludf.DUMMYFUNCTION("""COMPUTED_VALUE"""),99)</f>
        <v>99</v>
      </c>
      <c r="AT359" s="8" t="str">
        <f ca="1">IFERROR(__xludf.DUMMYFUNCTION("""COMPUTED_VALUE"""),"Yes")</f>
        <v>Yes</v>
      </c>
      <c r="AU359" s="8">
        <f ca="1">IFERROR(__xludf.DUMMYFUNCTION("""COMPUTED_VALUE"""),45.58883)</f>
        <v>45.588830000000002</v>
      </c>
      <c r="AV359" s="8">
        <f ca="1">IFERROR(__xludf.DUMMYFUNCTION("""COMPUTED_VALUE"""),-122.738521)</f>
        <v>-122.73852100000001</v>
      </c>
      <c r="AW359" s="8" t="str">
        <f ca="1">IFERROR(__xludf.DUMMYFUNCTION("""COMPUTED_VALUE"""),"Multiple detached buildings")</f>
        <v>Multiple detached buildings</v>
      </c>
      <c r="AX359" s="8">
        <f ca="1">IFERROR(__xludf.DUMMYFUNCTION("""COMPUTED_VALUE"""),97203)</f>
        <v>97203</v>
      </c>
    </row>
    <row r="360" spans="1:50" ht="285" x14ac:dyDescent="0.2">
      <c r="A360" s="8" t="str">
        <f ca="1">IFERROR(__xludf.DUMMYFUNCTION("""COMPUTED_VALUE"""),"20240525IAROD")</f>
        <v>20240525IAROD</v>
      </c>
      <c r="B360" s="8">
        <f ca="1">IFERROR(__xludf.DUMMYFUNCTION("""COMPUTED_VALUE"""),5)</f>
        <v>5</v>
      </c>
      <c r="C360" s="8">
        <f ca="1">IFERROR(__xludf.DUMMYFUNCTION("""COMPUTED_VALUE"""),25)</f>
        <v>25</v>
      </c>
      <c r="D360" s="8">
        <f ca="1">IFERROR(__xludf.DUMMYFUNCTION("""COMPUTED_VALUE"""),2024)</f>
        <v>2024</v>
      </c>
      <c r="E360" s="9">
        <f ca="1">IFERROR(__xludf.DUMMYFUNCTION("""COMPUTED_VALUE"""),45437)</f>
        <v>45437</v>
      </c>
      <c r="F360" s="8" t="str">
        <f ca="1">IFERROR(__xludf.DUMMYFUNCTION("""COMPUTED_VALUE"""),"Roosevelt High School")</f>
        <v>Roosevelt High School</v>
      </c>
      <c r="G360" s="8">
        <f ca="1">IFERROR(__xludf.DUMMYFUNCTION("""COMPUTED_VALUE"""),0)</f>
        <v>0</v>
      </c>
      <c r="H360" s="8">
        <f ca="1">IFERROR(__xludf.DUMMYFUNCTION("""COMPUTED_VALUE"""),0)</f>
        <v>0</v>
      </c>
      <c r="I360" s="8">
        <f ca="1">IFERROR(__xludf.DUMMYFUNCTION("""COMPUTED_VALUE"""),0)</f>
        <v>0</v>
      </c>
      <c r="J360" s="8">
        <f ca="1">IFERROR(__xludf.DUMMYFUNCTION("""COMPUTED_VALUE"""),0)</f>
        <v>0</v>
      </c>
      <c r="K360" s="8" t="str">
        <f ca="1">IFERROR(__xludf.DUMMYFUNCTION("""COMPUTED_VALUE"""),"https://www.kcci.com/article/two-people-in-custody-after-gunshots-reported-outside-of-roosevelt-highs-graduation-ceremony/60905200
https://www.desmoinesregister.com/story/news/crime-and-courts/2024/05/25/shooting-des-moines-roosevelt-graduation-drake-univ"&amp;"ersity-knapp-center/73859432007/
https://www.kcci.com/article/two-people-in-custody-after-gunshots-reported-outside-of-roosevelt-highs-graduation-ceremony/60905200")</f>
        <v>https://www.kcci.com/article/two-people-in-custody-after-gunshots-reported-outside-of-roosevelt-highs-graduation-ceremony/60905200
https://www.desmoinesregister.com/story/news/crime-and-courts/2024/05/25/shooting-des-moines-roosevelt-graduation-drake-university-knapp-center/73859432007/
https://www.kcci.com/article/two-people-in-custody-after-gunshots-reported-outside-of-roosevelt-highs-graduation-ceremony/60905200</v>
      </c>
      <c r="L360" s="8">
        <f ca="1">IFERROR(__xludf.DUMMYFUNCTION("""COMPUTED_VALUE"""),10)</f>
        <v>10</v>
      </c>
      <c r="M360" s="8" t="str">
        <f ca="1">IFERROR(__xludf.DUMMYFUNCTION("""COMPUTED_VALUE"""),"Regional")</f>
        <v>Regional</v>
      </c>
      <c r="N360" s="8">
        <f ca="1">IFERROR(__xludf.DUMMYFUNCTION("""COMPUTED_VALUE"""),4)</f>
        <v>4</v>
      </c>
      <c r="O360" s="8" t="str">
        <f ca="1">IFERROR(__xludf.DUMMYFUNCTION("""COMPUTED_VALUE"""),"Spring")</f>
        <v>Spring</v>
      </c>
      <c r="P360" s="8" t="str">
        <f ca="1">IFERROR(__xludf.DUMMYFUNCTION("""COMPUTED_VALUE"""),"Des Moines")</f>
        <v>Des Moines</v>
      </c>
      <c r="Q360" s="8" t="str">
        <f ca="1">IFERROR(__xludf.DUMMYFUNCTION("""COMPUTED_VALUE"""),"IA")</f>
        <v>IA</v>
      </c>
      <c r="R360" s="8" t="str">
        <f ca="1">IFERROR(__xludf.DUMMYFUNCTION("""COMPUTED_VALUE"""),"High")</f>
        <v>High</v>
      </c>
      <c r="S360" s="8" t="str">
        <f ca="1">IFERROR(__xludf.DUMMYFUNCTION("""COMPUTED_VALUE"""),"Parking Lot")</f>
        <v>Parking Lot</v>
      </c>
      <c r="T360" s="8" t="str">
        <f ca="1">IFERROR(__xludf.DUMMYFUNCTION("""COMPUTED_VALUE"""),"Off School Property")</f>
        <v>Off School Property</v>
      </c>
      <c r="U360" s="8" t="str">
        <f ca="1">IFERROR(__xludf.DUMMYFUNCTION("""COMPUTED_VALUE"""),"No")</f>
        <v>No</v>
      </c>
      <c r="V360" s="8" t="str">
        <f ca="1">IFERROR(__xludf.DUMMYFUNCTION("""COMPUTED_VALUE"""),"School Event")</f>
        <v>School Event</v>
      </c>
      <c r="W360" s="11">
        <f ca="1">IFERROR(__xludf.DUMMYFUNCTION("""COMPUTED_VALUE"""),0.736111111111111)</f>
        <v>0.73611111111111105</v>
      </c>
      <c r="X360" s="8">
        <f ca="1">IFERROR(__xludf.DUMMYFUNCTION("""COMPUTED_VALUE"""),1)</f>
        <v>1</v>
      </c>
      <c r="Y360" s="12" t="str">
        <f ca="1">IFERROR(__xludf.DUMMYFUNCTION("""COMPUTED_VALUE"""),"Shots fired during fight at high school graduation ceremony")</f>
        <v>Shots fired during fight at high school graduation ceremony</v>
      </c>
      <c r="Z360" s="12" t="str">
        <f ca="1">IFERROR(__xludf.DUMMYFUNCTION("""COMPUTED_VALUE"""),"22-year-old brother of a student fired shots during fight outside of the Knapp Center after Des Moines police said officers heard gunfire. He was armed with 3 firearms. No one was injured. Several officers with the Des Moines Police Department were alread"&amp;"y at the Knapp Center due to Roosevelt High School's graduation ceremony, which was going on inside. Des Moines police said officers heard gunfire around 5:35 p.m. outside of the Knapp Center. Investigators say a handgun was found on one suspect, while a "&amp;"second one was found in one of their vehicles. ""People outside started running inside, we presume, to get shelter,"" said Sgt. Paul Parizek, with the Des Moines Police Department. ""That got people inside excited and concerned. They started running outsi"&amp;"de."" Police said they were able to lock down the area quickly, thanks to the police already present. Following the gunshots, Des Moines police said a fight involving more than five individuals broke out inside the arena. Pepper spray was used to break up"&amp;" the fight.")</f>
        <v>22-year-old brother of a student fired shots during fight outside of the Knapp Center after Des Moines police said officers heard gunfire. He was armed with 3 firearms. No one was injured. Several officers with the Des Moines Police Department were already at the Knapp Center due to Roosevelt High School's graduation ceremony, which was going on inside. Des Moines police said officers heard gunfire around 5:35 p.m. outside of the Knapp Center. Investigators say a handgun was found on one suspect, while a second one was found in one of their vehicles. "People outside started running inside, we presume, to get shelter," said Sgt. Paul Parizek, with the Des Moines Police Department. "That got people inside excited and concerned. They started running outside." Police said they were able to lock down the area quickly, thanks to the police already present. Following the gunshots, Des Moines police said a fight involving more than five individuals broke out inside the arena. Pepper spray was used to break up the fight.</v>
      </c>
      <c r="AA360" s="8" t="str">
        <f ca="1">IFERROR(__xludf.DUMMYFUNCTION("""COMPUTED_VALUE"""),"Escalation of Dispute")</f>
        <v>Escalation of Dispute</v>
      </c>
      <c r="AB360" s="8" t="str">
        <f ca="1">IFERROR(__xludf.DUMMYFUNCTION("""COMPUTED_VALUE"""),"Spontaneous")</f>
        <v>Spontaneous</v>
      </c>
      <c r="AC360" s="8" t="str">
        <f ca="1">IFERROR(__xludf.DUMMYFUNCTION("""COMPUTED_VALUE"""),"Yes")</f>
        <v>Yes</v>
      </c>
      <c r="AD360" s="8" t="str">
        <f ca="1">IFERROR(__xludf.DUMMYFUNCTION("""COMPUTED_VALUE"""),"Victims Targeted")</f>
        <v>Victims Targeted</v>
      </c>
      <c r="AE360" s="8" t="str">
        <f ca="1">IFERROR(__xludf.DUMMYFUNCTION("""COMPUTED_VALUE"""),"No")</f>
        <v>No</v>
      </c>
      <c r="AF360" s="8"/>
      <c r="AG360" s="8" t="str">
        <f ca="1">IFERROR(__xludf.DUMMYFUNCTION("""COMPUTED_VALUE"""),"No")</f>
        <v>No</v>
      </c>
      <c r="AH360" s="8" t="str">
        <f ca="1">IFERROR(__xludf.DUMMYFUNCTION("""COMPUTED_VALUE"""),"No")</f>
        <v>No</v>
      </c>
      <c r="AI360" s="8" t="str">
        <f ca="1">IFERROR(__xludf.DUMMYFUNCTION("""COMPUTED_VALUE"""),"No")</f>
        <v>No</v>
      </c>
      <c r="AJ360" s="8" t="str">
        <f ca="1">IFERROR(__xludf.DUMMYFUNCTION("""COMPUTED_VALUE"""),"No")</f>
        <v>No</v>
      </c>
      <c r="AK360" s="8" t="str">
        <f ca="1">IFERROR(__xludf.DUMMYFUNCTION("""COMPUTED_VALUE"""),"No")</f>
        <v>No</v>
      </c>
      <c r="AL360" s="8" t="str">
        <f ca="1">IFERROR(__xludf.DUMMYFUNCTION("""COMPUTED_VALUE"""),"No")</f>
        <v>No</v>
      </c>
      <c r="AM360" s="8" t="str">
        <f ca="1">IFERROR(__xludf.DUMMYFUNCTION("""COMPUTED_VALUE"""),"No")</f>
        <v>No</v>
      </c>
      <c r="AN360" s="8" t="str">
        <f ca="1">IFERROR(__xludf.DUMMYFUNCTION("""COMPUTED_VALUE"""),"Outside")</f>
        <v>Outside</v>
      </c>
      <c r="AO360" s="8" t="str">
        <f ca="1">IFERROR(__xludf.DUMMYFUNCTION("""COMPUTED_VALUE"""),"No")</f>
        <v>No</v>
      </c>
      <c r="AP360" s="8"/>
      <c r="AQ360" s="8"/>
      <c r="AR360" s="8" t="str">
        <f ca="1">IFERROR(__xludf.DUMMYFUNCTION("""COMPUTED_VALUE"""),"Outside/Off-Property")</f>
        <v>Outside/Off-Property</v>
      </c>
      <c r="AS360" s="8">
        <f ca="1">IFERROR(__xludf.DUMMYFUNCTION("""COMPUTED_VALUE"""),99)</f>
        <v>99</v>
      </c>
      <c r="AT360" s="8" t="str">
        <f ca="1">IFERROR(__xludf.DUMMYFUNCTION("""COMPUTED_VALUE"""),"No")</f>
        <v>No</v>
      </c>
      <c r="AU360" s="8">
        <f ca="1">IFERROR(__xludf.DUMMYFUNCTION("""COMPUTED_VALUE"""),41.592055)</f>
        <v>41.592055000000002</v>
      </c>
      <c r="AV360" s="8">
        <f ca="1">IFERROR(__xludf.DUMMYFUNCTION("""COMPUTED_VALUE"""),-93.678853)</f>
        <v>-93.678853000000004</v>
      </c>
      <c r="AW360" s="8" t="str">
        <f ca="1">IFERROR(__xludf.DUMMYFUNCTION("""COMPUTED_VALUE"""),"Single building indoor hallway")</f>
        <v>Single building indoor hallway</v>
      </c>
      <c r="AX360" s="8">
        <f ca="1">IFERROR(__xludf.DUMMYFUNCTION("""COMPUTED_VALUE"""),50312)</f>
        <v>50312</v>
      </c>
    </row>
    <row r="361" spans="1:50" ht="120" x14ac:dyDescent="0.2">
      <c r="A361" s="8" t="str">
        <f ca="1">IFERROR(__xludf.DUMMYFUNCTION("""COMPUTED_VALUE"""),"20240524NMGAA")</f>
        <v>20240524NMGAA</v>
      </c>
      <c r="B361" s="8">
        <f ca="1">IFERROR(__xludf.DUMMYFUNCTION("""COMPUTED_VALUE"""),5)</f>
        <v>5</v>
      </c>
      <c r="C361" s="8">
        <f ca="1">IFERROR(__xludf.DUMMYFUNCTION("""COMPUTED_VALUE"""),24)</f>
        <v>24</v>
      </c>
      <c r="D361" s="8">
        <f ca="1">IFERROR(__xludf.DUMMYFUNCTION("""COMPUTED_VALUE"""),2024)</f>
        <v>2024</v>
      </c>
      <c r="E361" s="9">
        <f ca="1">IFERROR(__xludf.DUMMYFUNCTION("""COMPUTED_VALUE"""),45436)</f>
        <v>45436</v>
      </c>
      <c r="F361" s="8" t="str">
        <f ca="1">IFERROR(__xludf.DUMMYFUNCTION("""COMPUTED_VALUE"""),"Gadsden High School")</f>
        <v>Gadsden High School</v>
      </c>
      <c r="G361" s="8">
        <f ca="1">IFERROR(__xludf.DUMMYFUNCTION("""COMPUTED_VALUE"""),1)</f>
        <v>1</v>
      </c>
      <c r="H361" s="8">
        <f ca="1">IFERROR(__xludf.DUMMYFUNCTION("""COMPUTED_VALUE"""),0)</f>
        <v>0</v>
      </c>
      <c r="I361" s="8">
        <f ca="1">IFERROR(__xludf.DUMMYFUNCTION("""COMPUTED_VALUE"""),1)</f>
        <v>1</v>
      </c>
      <c r="J361" s="8">
        <f ca="1">IFERROR(__xludf.DUMMYFUNCTION("""COMPUTED_VALUE"""),0)</f>
        <v>0</v>
      </c>
      <c r="K361" s="8" t="str">
        <f ca="1">IFERROR(__xludf.DUMMYFUNCTION("""COMPUTED_VALUE"""),"https://www.ktsm.com/news/gadsden-hs-on-lockdown-after-shooting-incident-in-front-of-school/
https://kfoxtv.com/news/local/shooting-outside-empty-anthony-nm-high-school-prompts-lockdown-no-injuries-reported-new-mexico-gadsden-high-school-independent-schoo"&amp;"l-district-isd-gisd")</f>
        <v>https://www.ktsm.com/news/gadsden-hs-on-lockdown-after-shooting-incident-in-front-of-school/
https://kfoxtv.com/news/local/shooting-outside-empty-anthony-nm-high-school-prompts-lockdown-no-injuries-reported-new-mexico-gadsden-high-school-independent-school-district-isd-gisd</v>
      </c>
      <c r="L361" s="8">
        <f ca="1">IFERROR(__xludf.DUMMYFUNCTION("""COMPUTED_VALUE"""),5)</f>
        <v>5</v>
      </c>
      <c r="M361" s="8" t="str">
        <f ca="1">IFERROR(__xludf.DUMMYFUNCTION("""COMPUTED_VALUE"""),"Regional")</f>
        <v>Regional</v>
      </c>
      <c r="N361" s="8">
        <f ca="1">IFERROR(__xludf.DUMMYFUNCTION("""COMPUTED_VALUE"""),4)</f>
        <v>4</v>
      </c>
      <c r="O361" s="8" t="str">
        <f ca="1">IFERROR(__xludf.DUMMYFUNCTION("""COMPUTED_VALUE"""),"Spring")</f>
        <v>Spring</v>
      </c>
      <c r="P361" s="8" t="str">
        <f ca="1">IFERROR(__xludf.DUMMYFUNCTION("""COMPUTED_VALUE"""),"Anthony")</f>
        <v>Anthony</v>
      </c>
      <c r="Q361" s="8" t="str">
        <f ca="1">IFERROR(__xludf.DUMMYFUNCTION("""COMPUTED_VALUE"""),"NM")</f>
        <v>NM</v>
      </c>
      <c r="R361" s="8" t="str">
        <f ca="1">IFERROR(__xludf.DUMMYFUNCTION("""COMPUTED_VALUE"""),"High")</f>
        <v>High</v>
      </c>
      <c r="S361" s="8" t="str">
        <f ca="1">IFERROR(__xludf.DUMMYFUNCTION("""COMPUTED_VALUE"""),"Parking Lot")</f>
        <v>Parking Lot</v>
      </c>
      <c r="T361" s="8" t="str">
        <f ca="1">IFERROR(__xludf.DUMMYFUNCTION("""COMPUTED_VALUE"""),"Outside on School Property")</f>
        <v>Outside on School Property</v>
      </c>
      <c r="U361" s="8" t="str">
        <f ca="1">IFERROR(__xludf.DUMMYFUNCTION("""COMPUTED_VALUE"""),"Yes")</f>
        <v>Yes</v>
      </c>
      <c r="V361" s="8" t="str">
        <f ca="1">IFERROR(__xludf.DUMMYFUNCTION("""COMPUTED_VALUE"""),"Not a School Day")</f>
        <v>Not a School Day</v>
      </c>
      <c r="W361" s="11">
        <f ca="1">IFERROR(__xludf.DUMMYFUNCTION("""COMPUTED_VALUE"""),0.625)</f>
        <v>0.625</v>
      </c>
      <c r="X361" s="8">
        <f ca="1">IFERROR(__xludf.DUMMYFUNCTION("""COMPUTED_VALUE"""),1)</f>
        <v>1</v>
      </c>
      <c r="Y361" s="12" t="str">
        <f ca="1">IFERROR(__xludf.DUMMYFUNCTION("""COMPUTED_VALUE"""),"Teen fatally shot man during dispute in school parking lot")</f>
        <v>Teen fatally shot man during dispute in school parking lot</v>
      </c>
      <c r="Z361" s="12" t="str">
        <f ca="1">IFERROR(__xludf.DUMMYFUNCTION("""COMPUTED_VALUE"""),"According to authorities, they received a call Friday afternoon from a Gadsden High School security guard and witnesses about a man lying on the road. Law enforcement believes this could be a case of road rage as witnesses told them a young suspect and th"&amp;"e victim-- an older man-- drove into the high school parking lot for what appeared to be a confrontation that ended with the young suspect fatally shot the victim.")</f>
        <v>According to authorities, they received a call Friday afternoon from a Gadsden High School security guard and witnesses about a man lying on the road. Law enforcement believes this could be a case of road rage as witnesses told them a young suspect and the victim-- an older man-- drove into the high school parking lot for what appeared to be a confrontation that ended with the young suspect fatally shot the victim.</v>
      </c>
      <c r="AA361" s="8" t="str">
        <f ca="1">IFERROR(__xludf.DUMMYFUNCTION("""COMPUTED_VALUE"""),"Escalation of Dispute")</f>
        <v>Escalation of Dispute</v>
      </c>
      <c r="AB361" s="8" t="str">
        <f ca="1">IFERROR(__xludf.DUMMYFUNCTION("""COMPUTED_VALUE"""),"Spontaneous")</f>
        <v>Spontaneous</v>
      </c>
      <c r="AC361" s="8" t="str">
        <f ca="1">IFERROR(__xludf.DUMMYFUNCTION("""COMPUTED_VALUE"""),"Yes")</f>
        <v>Yes</v>
      </c>
      <c r="AD361" s="8" t="str">
        <f ca="1">IFERROR(__xludf.DUMMYFUNCTION("""COMPUTED_VALUE"""),"Victims Targeted")</f>
        <v>Victims Targeted</v>
      </c>
      <c r="AE361" s="8" t="str">
        <f ca="1">IFERROR(__xludf.DUMMYFUNCTION("""COMPUTED_VALUE"""),"No")</f>
        <v>No</v>
      </c>
      <c r="AF361" s="8"/>
      <c r="AG361" s="8" t="str">
        <f ca="1">IFERROR(__xludf.DUMMYFUNCTION("""COMPUTED_VALUE"""),"No")</f>
        <v>No</v>
      </c>
      <c r="AH361" s="8" t="str">
        <f ca="1">IFERROR(__xludf.DUMMYFUNCTION("""COMPUTED_VALUE"""),"No")</f>
        <v>No</v>
      </c>
      <c r="AI361" s="8" t="str">
        <f ca="1">IFERROR(__xludf.DUMMYFUNCTION("""COMPUTED_VALUE"""),"No")</f>
        <v>No</v>
      </c>
      <c r="AJ361" s="8" t="str">
        <f ca="1">IFERROR(__xludf.DUMMYFUNCTION("""COMPUTED_VALUE"""),"No")</f>
        <v>No</v>
      </c>
      <c r="AK361" s="8" t="str">
        <f ca="1">IFERROR(__xludf.DUMMYFUNCTION("""COMPUTED_VALUE"""),"No")</f>
        <v>No</v>
      </c>
      <c r="AL361" s="8" t="str">
        <f ca="1">IFERROR(__xludf.DUMMYFUNCTION("""COMPUTED_VALUE"""),"No")</f>
        <v>No</v>
      </c>
      <c r="AM361" s="8" t="str">
        <f ca="1">IFERROR(__xludf.DUMMYFUNCTION("""COMPUTED_VALUE"""),"No")</f>
        <v>No</v>
      </c>
      <c r="AN361" s="8" t="str">
        <f ca="1">IFERROR(__xludf.DUMMYFUNCTION("""COMPUTED_VALUE"""),"Outside")</f>
        <v>Outside</v>
      </c>
      <c r="AO361" s="8" t="str">
        <f ca="1">IFERROR(__xludf.DUMMYFUNCTION("""COMPUTED_VALUE"""),"No")</f>
        <v>No</v>
      </c>
      <c r="AP361" s="8"/>
      <c r="AQ361" s="8"/>
      <c r="AR361" s="8" t="str">
        <f ca="1">IFERROR(__xludf.DUMMYFUNCTION("""COMPUTED_VALUE"""),"Outside/Off-Property")</f>
        <v>Outside/Off-Property</v>
      </c>
      <c r="AS361" s="8">
        <f ca="1">IFERROR(__xludf.DUMMYFUNCTION("""COMPUTED_VALUE"""),1)</f>
        <v>1</v>
      </c>
      <c r="AT361" s="8" t="str">
        <f ca="1">IFERROR(__xludf.DUMMYFUNCTION("""COMPUTED_VALUE"""),"No")</f>
        <v>No</v>
      </c>
      <c r="AU361" s="8">
        <f ca="1">IFERROR(__xludf.DUMMYFUNCTION("""COMPUTED_VALUE"""),31.998183)</f>
        <v>31.998183000000001</v>
      </c>
      <c r="AV361" s="8">
        <f ca="1">IFERROR(__xludf.DUMMYFUNCTION("""COMPUTED_VALUE"""),-106.657977)</f>
        <v>-106.657977</v>
      </c>
      <c r="AW361" s="8" t="str">
        <f ca="1">IFERROR(__xludf.DUMMYFUNCTION("""COMPUTED_VALUE"""),"Multiple detached buildings")</f>
        <v>Multiple detached buildings</v>
      </c>
      <c r="AX361" s="8">
        <f ca="1">IFERROR(__xludf.DUMMYFUNCTION("""COMPUTED_VALUE"""),88021)</f>
        <v>88021</v>
      </c>
    </row>
    <row r="362" spans="1:50" ht="180" x14ac:dyDescent="0.2">
      <c r="A362" s="8" t="str">
        <f ca="1">IFERROR(__xludf.DUMMYFUNCTION("""COMPUTED_VALUE"""),"20240524INHEH")</f>
        <v>20240524INHEH</v>
      </c>
      <c r="B362" s="8">
        <f ca="1">IFERROR(__xludf.DUMMYFUNCTION("""COMPUTED_VALUE"""),5)</f>
        <v>5</v>
      </c>
      <c r="C362" s="8">
        <f ca="1">IFERROR(__xludf.DUMMYFUNCTION("""COMPUTED_VALUE"""),24)</f>
        <v>24</v>
      </c>
      <c r="D362" s="8">
        <f ca="1">IFERROR(__xludf.DUMMYFUNCTION("""COMPUTED_VALUE"""),2024)</f>
        <v>2024</v>
      </c>
      <c r="E362" s="9">
        <f ca="1">IFERROR(__xludf.DUMMYFUNCTION("""COMPUTED_VALUE"""),45436)</f>
        <v>45436</v>
      </c>
      <c r="F362" s="8" t="str">
        <f ca="1">IFERROR(__xludf.DUMMYFUNCTION("""COMPUTED_VALUE"""),"Henryville Junior/Senior High School")</f>
        <v>Henryville Junior/Senior High School</v>
      </c>
      <c r="G362" s="8">
        <f ca="1">IFERROR(__xludf.DUMMYFUNCTION("""COMPUTED_VALUE"""),0)</f>
        <v>0</v>
      </c>
      <c r="H362" s="8">
        <f ca="1">IFERROR(__xludf.DUMMYFUNCTION("""COMPUTED_VALUE"""),0)</f>
        <v>0</v>
      </c>
      <c r="I362" s="8">
        <f ca="1">IFERROR(__xludf.DUMMYFUNCTION("""COMPUTED_VALUE"""),0)</f>
        <v>0</v>
      </c>
      <c r="J362" s="8">
        <f ca="1">IFERROR(__xludf.DUMMYFUNCTION("""COMPUTED_VALUE"""),0)</f>
        <v>0</v>
      </c>
      <c r="K362" s="8" t="str">
        <f ca="1">IFERROR(__xludf.DUMMYFUNCTION("""COMPUTED_VALUE"""),"https://www.wlky.com/article/man-arrested-shooting-at-animal-southern-indiana-school/60899917
https://www.wave3.com/2024/05/24/man-arrested-after-discharging-gun-near-school/")</f>
        <v>https://www.wlky.com/article/man-arrested-shooting-at-animal-southern-indiana-school/60899917
https://www.wave3.com/2024/05/24/man-arrested-after-discharging-gun-near-school/</v>
      </c>
      <c r="L362" s="8">
        <f ca="1">IFERROR(__xludf.DUMMYFUNCTION("""COMPUTED_VALUE"""),2)</f>
        <v>2</v>
      </c>
      <c r="M362" s="8" t="str">
        <f ca="1">IFERROR(__xludf.DUMMYFUNCTION("""COMPUTED_VALUE"""),"Local")</f>
        <v>Local</v>
      </c>
      <c r="N362" s="8">
        <f ca="1">IFERROR(__xludf.DUMMYFUNCTION("""COMPUTED_VALUE"""),4)</f>
        <v>4</v>
      </c>
      <c r="O362" s="8" t="str">
        <f ca="1">IFERROR(__xludf.DUMMYFUNCTION("""COMPUTED_VALUE"""),"Spring")</f>
        <v>Spring</v>
      </c>
      <c r="P362" s="8" t="str">
        <f ca="1">IFERROR(__xludf.DUMMYFUNCTION("""COMPUTED_VALUE"""),"Henryville")</f>
        <v>Henryville</v>
      </c>
      <c r="Q362" s="8" t="str">
        <f ca="1">IFERROR(__xludf.DUMMYFUNCTION("""COMPUTED_VALUE"""),"IN")</f>
        <v>IN</v>
      </c>
      <c r="R362" s="8" t="str">
        <f ca="1">IFERROR(__xludf.DUMMYFUNCTION("""COMPUTED_VALUE"""),"6-12")</f>
        <v>6-12</v>
      </c>
      <c r="S362" s="8" t="str">
        <f ca="1">IFERROR(__xludf.DUMMYFUNCTION("""COMPUTED_VALUE"""),"Field (General)")</f>
        <v>Field (General)</v>
      </c>
      <c r="T362" s="8" t="str">
        <f ca="1">IFERROR(__xludf.DUMMYFUNCTION("""COMPUTED_VALUE"""),"Outside on School Property")</f>
        <v>Outside on School Property</v>
      </c>
      <c r="U362" s="8" t="str">
        <f ca="1">IFERROR(__xludf.DUMMYFUNCTION("""COMPUTED_VALUE"""),"Yes")</f>
        <v>Yes</v>
      </c>
      <c r="V362" s="8" t="str">
        <f ca="1">IFERROR(__xludf.DUMMYFUNCTION("""COMPUTED_VALUE"""),"Morning Classes")</f>
        <v>Morning Classes</v>
      </c>
      <c r="W362" s="8"/>
      <c r="X362" s="8">
        <f ca="1">IFERROR(__xludf.DUMMYFUNCTION("""COMPUTED_VALUE"""),1)</f>
        <v>1</v>
      </c>
      <c r="Y362" s="12" t="str">
        <f ca="1">IFERROR(__xludf.DUMMYFUNCTION("""COMPUTED_VALUE"""),"Man fired multiple shots striking school while students were outside for field day")</f>
        <v>Man fired multiple shots striking school while students were outside for field day</v>
      </c>
      <c r="Z362" s="12" t="str">
        <f ca="1">IFERROR(__xludf.DUMMYFUNCTION("""COMPUTED_VALUE"""),"The Clark County Sheriff's Office arrested a man on Friday after they say he shot at an animal near a school, with some of the ammunition hitting school property. Police were called to Henryville School Friday morning during its field day about possible g"&amp;"unshots. There were more than a dozen deputies and officers on the scene, with the school going on a soft lockdown. Following the CCSO's investigation, police arrested a man who lives near the school. Police said the man shot at an animal with a shotgun, "&amp;"and some of the pellets hit school property. No students at the school were harmed during the shooting. The man was arrested and charged with criminal recklessness with a firearm.")</f>
        <v>The Clark County Sheriff's Office arrested a man on Friday after they say he shot at an animal near a school, with some of the ammunition hitting school property. Police were called to Henryville School Friday morning during its field day about possible gunshots. There were more than a dozen deputies and officers on the scene, with the school going on a soft lockdown. Following the CCSO's investigation, police arrested a man who lives near the school. Police said the man shot at an animal with a shotgun, and some of the pellets hit school property. No students at the school were harmed during the shooting. The man was arrested and charged with criminal recklessness with a firearm.</v>
      </c>
      <c r="AA362" s="8" t="str">
        <f ca="1">IFERROR(__xludf.DUMMYFUNCTION("""COMPUTED_VALUE"""),"Illegal Activity")</f>
        <v>Illegal Activity</v>
      </c>
      <c r="AB362" s="8"/>
      <c r="AC362" s="8" t="str">
        <f ca="1">IFERROR(__xludf.DUMMYFUNCTION("""COMPUTED_VALUE"""),"Yes")</f>
        <v>Yes</v>
      </c>
      <c r="AD362" s="8" t="str">
        <f ca="1">IFERROR(__xludf.DUMMYFUNCTION("""COMPUTED_VALUE"""),"Neither")</f>
        <v>Neither</v>
      </c>
      <c r="AE362" s="8" t="str">
        <f ca="1">IFERROR(__xludf.DUMMYFUNCTION("""COMPUTED_VALUE"""),"No")</f>
        <v>No</v>
      </c>
      <c r="AF362" s="8"/>
      <c r="AG362" s="8" t="str">
        <f ca="1">IFERROR(__xludf.DUMMYFUNCTION("""COMPUTED_VALUE"""),"No")</f>
        <v>No</v>
      </c>
      <c r="AH362" s="8" t="str">
        <f ca="1">IFERROR(__xludf.DUMMYFUNCTION("""COMPUTED_VALUE"""),"No")</f>
        <v>No</v>
      </c>
      <c r="AI362" s="8" t="str">
        <f ca="1">IFERROR(__xludf.DUMMYFUNCTION("""COMPUTED_VALUE"""),"No")</f>
        <v>No</v>
      </c>
      <c r="AJ362" s="8" t="str">
        <f ca="1">IFERROR(__xludf.DUMMYFUNCTION("""COMPUTED_VALUE"""),"No")</f>
        <v>No</v>
      </c>
      <c r="AK362" s="8" t="str">
        <f ca="1">IFERROR(__xludf.DUMMYFUNCTION("""COMPUTED_VALUE"""),"No")</f>
        <v>No</v>
      </c>
      <c r="AL362" s="8" t="str">
        <f ca="1">IFERROR(__xludf.DUMMYFUNCTION("""COMPUTED_VALUE"""),"No")</f>
        <v>No</v>
      </c>
      <c r="AM362" s="8" t="str">
        <f ca="1">IFERROR(__xludf.DUMMYFUNCTION("""COMPUTED_VALUE"""),"No")</f>
        <v>No</v>
      </c>
      <c r="AN362" s="8" t="str">
        <f ca="1">IFERROR(__xludf.DUMMYFUNCTION("""COMPUTED_VALUE"""),"Outside")</f>
        <v>Outside</v>
      </c>
      <c r="AO362" s="8" t="str">
        <f ca="1">IFERROR(__xludf.DUMMYFUNCTION("""COMPUTED_VALUE"""),"No")</f>
        <v>No</v>
      </c>
      <c r="AP362" s="8"/>
      <c r="AQ362" s="8"/>
      <c r="AR362" s="8" t="str">
        <f ca="1">IFERROR(__xludf.DUMMYFUNCTION("""COMPUTED_VALUE"""),"Outside/Off-Property")</f>
        <v>Outside/Off-Property</v>
      </c>
      <c r="AS362" s="8">
        <f ca="1">IFERROR(__xludf.DUMMYFUNCTION("""COMPUTED_VALUE"""),5)</f>
        <v>5</v>
      </c>
      <c r="AT362" s="8" t="str">
        <f ca="1">IFERROR(__xludf.DUMMYFUNCTION("""COMPUTED_VALUE"""),"Yes")</f>
        <v>Yes</v>
      </c>
      <c r="AU362" s="8">
        <f ca="1">IFERROR(__xludf.DUMMYFUNCTION("""COMPUTED_VALUE"""),38.544177)</f>
        <v>38.544176999999998</v>
      </c>
      <c r="AV362" s="8">
        <f ca="1">IFERROR(__xludf.DUMMYFUNCTION("""COMPUTED_VALUE"""),-85.768832)</f>
        <v>-85.768832000000003</v>
      </c>
      <c r="AW362" s="8" t="str">
        <f ca="1">IFERROR(__xludf.DUMMYFUNCTION("""COMPUTED_VALUE"""),"Mega-school")</f>
        <v>Mega-school</v>
      </c>
      <c r="AX362" s="8">
        <f ca="1">IFERROR(__xludf.DUMMYFUNCTION("""COMPUTED_VALUE"""),47126)</f>
        <v>47126</v>
      </c>
    </row>
    <row r="363" spans="1:50" ht="45" x14ac:dyDescent="0.2">
      <c r="A363" s="8" t="str">
        <f ca="1">IFERROR(__xludf.DUMMYFUNCTION("""COMPUTED_VALUE"""),"20240523MTWHB")</f>
        <v>20240523MTWHB</v>
      </c>
      <c r="B363" s="8">
        <f ca="1">IFERROR(__xludf.DUMMYFUNCTION("""COMPUTED_VALUE"""),5)</f>
        <v>5</v>
      </c>
      <c r="C363" s="8">
        <f ca="1">IFERROR(__xludf.DUMMYFUNCTION("""COMPUTED_VALUE"""),23)</f>
        <v>23</v>
      </c>
      <c r="D363" s="8">
        <f ca="1">IFERROR(__xludf.DUMMYFUNCTION("""COMPUTED_VALUE"""),2024)</f>
        <v>2024</v>
      </c>
      <c r="E363" s="9">
        <f ca="1">IFERROR(__xludf.DUMMYFUNCTION("""COMPUTED_VALUE"""),45435)</f>
        <v>45435</v>
      </c>
      <c r="F363" s="8" t="str">
        <f ca="1">IFERROR(__xludf.DUMMYFUNCTION("""COMPUTED_VALUE"""),"Whittier Elementary School")</f>
        <v>Whittier Elementary School</v>
      </c>
      <c r="G363" s="8">
        <f ca="1">IFERROR(__xludf.DUMMYFUNCTION("""COMPUTED_VALUE"""),0)</f>
        <v>0</v>
      </c>
      <c r="H363" s="8">
        <f ca="1">IFERROR(__xludf.DUMMYFUNCTION("""COMPUTED_VALUE"""),0)</f>
        <v>0</v>
      </c>
      <c r="I363" s="8">
        <f ca="1">IFERROR(__xludf.DUMMYFUNCTION("""COMPUTED_VALUE"""),0)</f>
        <v>0</v>
      </c>
      <c r="J363" s="8">
        <f ca="1">IFERROR(__xludf.DUMMYFUNCTION("""COMPUTED_VALUE"""),0)</f>
        <v>0</v>
      </c>
      <c r="K363" s="10" t="str">
        <f ca="1">IFERROR(__xludf.DUMMYFUNCTION("""COMPUTED_VALUE"""),"https://www.kxlf.com/news/crime-and-courts/butte-police-seek-to-id-suspects-who-shot-out-school-windows-with-bb-gun")</f>
        <v>https://www.kxlf.com/news/crime-and-courts/butte-police-seek-to-id-suspects-who-shot-out-school-windows-with-bb-gun</v>
      </c>
      <c r="L363" s="8">
        <f ca="1">IFERROR(__xludf.DUMMYFUNCTION("""COMPUTED_VALUE"""),1)</f>
        <v>1</v>
      </c>
      <c r="M363" s="8" t="str">
        <f ca="1">IFERROR(__xludf.DUMMYFUNCTION("""COMPUTED_VALUE"""),"Local")</f>
        <v>Local</v>
      </c>
      <c r="N363" s="8">
        <f ca="1">IFERROR(__xludf.DUMMYFUNCTION("""COMPUTED_VALUE"""),5)</f>
        <v>5</v>
      </c>
      <c r="O363" s="8" t="str">
        <f ca="1">IFERROR(__xludf.DUMMYFUNCTION("""COMPUTED_VALUE"""),"Spring")</f>
        <v>Spring</v>
      </c>
      <c r="P363" s="8" t="str">
        <f ca="1">IFERROR(__xludf.DUMMYFUNCTION("""COMPUTED_VALUE"""),"Butte")</f>
        <v>Butte</v>
      </c>
      <c r="Q363" s="8" t="str">
        <f ca="1">IFERROR(__xludf.DUMMYFUNCTION("""COMPUTED_VALUE"""),"MT")</f>
        <v>MT</v>
      </c>
      <c r="R363" s="8" t="str">
        <f ca="1">IFERROR(__xludf.DUMMYFUNCTION("""COMPUTED_VALUE"""),"Elementary")</f>
        <v>Elementary</v>
      </c>
      <c r="S363" s="8" t="str">
        <f ca="1">IFERROR(__xludf.DUMMYFUNCTION("""COMPUTED_VALUE"""),"Parking Lot")</f>
        <v>Parking Lot</v>
      </c>
      <c r="T363" s="8" t="str">
        <f ca="1">IFERROR(__xludf.DUMMYFUNCTION("""COMPUTED_VALUE"""),"Outside on School Property")</f>
        <v>Outside on School Property</v>
      </c>
      <c r="U363" s="8" t="str">
        <f ca="1">IFERROR(__xludf.DUMMYFUNCTION("""COMPUTED_VALUE"""),"No")</f>
        <v>No</v>
      </c>
      <c r="V363" s="8" t="str">
        <f ca="1">IFERROR(__xludf.DUMMYFUNCTION("""COMPUTED_VALUE"""),"Night")</f>
        <v>Night</v>
      </c>
      <c r="W363" s="11">
        <f ca="1">IFERROR(__xludf.DUMMYFUNCTION("""COMPUTED_VALUE"""),0.900694444444444)</f>
        <v>0.90069444444444402</v>
      </c>
      <c r="X363" s="8">
        <f ca="1">IFERROR(__xludf.DUMMYFUNCTION("""COMPUTED_VALUE"""),1)</f>
        <v>1</v>
      </c>
      <c r="Y363" s="12" t="str">
        <f ca="1">IFERROR(__xludf.DUMMYFUNCTION("""COMPUTED_VALUE"""),"Man shot school windows with pellet gun")</f>
        <v>Man shot school windows with pellet gun</v>
      </c>
      <c r="Z363" s="12" t="str">
        <f ca="1">IFERROR(__xludf.DUMMYFUNCTION("""COMPUTED_VALUE"""),"Man shot school windows with pellet gun.")</f>
        <v>Man shot school windows with pellet gun.</v>
      </c>
      <c r="AA363" s="8" t="str">
        <f ca="1">IFERROR(__xludf.DUMMYFUNCTION("""COMPUTED_VALUE"""),"Intentional Property Damage")</f>
        <v>Intentional Property Damage</v>
      </c>
      <c r="AB363" s="8"/>
      <c r="AC363" s="8" t="str">
        <f ca="1">IFERROR(__xludf.DUMMYFUNCTION("""COMPUTED_VALUE"""),"No")</f>
        <v>No</v>
      </c>
      <c r="AD363" s="8" t="str">
        <f ca="1">IFERROR(__xludf.DUMMYFUNCTION("""COMPUTED_VALUE"""),"Neither")</f>
        <v>Neither</v>
      </c>
      <c r="AE363" s="8" t="str">
        <f ca="1">IFERROR(__xludf.DUMMYFUNCTION("""COMPUTED_VALUE"""),"Yes")</f>
        <v>Yes</v>
      </c>
      <c r="AF363" s="8" t="str">
        <f ca="1">IFERROR(__xludf.DUMMYFUNCTION("""COMPUTED_VALUE"""),"Two men on CCTV")</f>
        <v>Two men on CCTV</v>
      </c>
      <c r="AG363" s="8" t="str">
        <f ca="1">IFERROR(__xludf.DUMMYFUNCTION("""COMPUTED_VALUE"""),"No")</f>
        <v>No</v>
      </c>
      <c r="AH363" s="8" t="str">
        <f ca="1">IFERROR(__xludf.DUMMYFUNCTION("""COMPUTED_VALUE"""),"No")</f>
        <v>No</v>
      </c>
      <c r="AI363" s="8" t="str">
        <f ca="1">IFERROR(__xludf.DUMMYFUNCTION("""COMPUTED_VALUE"""),"No")</f>
        <v>No</v>
      </c>
      <c r="AJ363" s="8" t="str">
        <f ca="1">IFERROR(__xludf.DUMMYFUNCTION("""COMPUTED_VALUE"""),"No")</f>
        <v>No</v>
      </c>
      <c r="AK363" s="8" t="str">
        <f ca="1">IFERROR(__xludf.DUMMYFUNCTION("""COMPUTED_VALUE"""),"No")</f>
        <v>No</v>
      </c>
      <c r="AL363" s="8" t="str">
        <f ca="1">IFERROR(__xludf.DUMMYFUNCTION("""COMPUTED_VALUE"""),"No")</f>
        <v>No</v>
      </c>
      <c r="AM363" s="8" t="str">
        <f ca="1">IFERROR(__xludf.DUMMYFUNCTION("""COMPUTED_VALUE"""),"No")</f>
        <v>No</v>
      </c>
      <c r="AN363" s="8" t="str">
        <f ca="1">IFERROR(__xludf.DUMMYFUNCTION("""COMPUTED_VALUE"""),"Outside")</f>
        <v>Outside</v>
      </c>
      <c r="AO363" s="8" t="str">
        <f ca="1">IFERROR(__xludf.DUMMYFUNCTION("""COMPUTED_VALUE"""),"No")</f>
        <v>No</v>
      </c>
      <c r="AP363" s="8"/>
      <c r="AQ363" s="8"/>
      <c r="AR363" s="8" t="str">
        <f ca="1">IFERROR(__xludf.DUMMYFUNCTION("""COMPUTED_VALUE"""),"Outside/Off-Property")</f>
        <v>Outside/Off-Property</v>
      </c>
      <c r="AS363" s="8">
        <f ca="1">IFERROR(__xludf.DUMMYFUNCTION("""COMPUTED_VALUE"""),99)</f>
        <v>99</v>
      </c>
      <c r="AT363" s="8" t="str">
        <f ca="1">IFERROR(__xludf.DUMMYFUNCTION("""COMPUTED_VALUE"""),"No")</f>
        <v>No</v>
      </c>
      <c r="AU363" s="8">
        <f ca="1">IFERROR(__xludf.DUMMYFUNCTION("""COMPUTED_VALUE"""),45.988661)</f>
        <v>45.988661</v>
      </c>
      <c r="AV363" s="8">
        <f ca="1">IFERROR(__xludf.DUMMYFUNCTION("""COMPUTED_VALUE"""),-112.495922)</f>
        <v>-112.49592199999999</v>
      </c>
      <c r="AW363" s="8" t="str">
        <f ca="1">IFERROR(__xludf.DUMMYFUNCTION("""COMPUTED_VALUE"""),"Single building indoor hallway")</f>
        <v>Single building indoor hallway</v>
      </c>
      <c r="AX363" s="8">
        <f ca="1">IFERROR(__xludf.DUMMYFUNCTION("""COMPUTED_VALUE"""),59701)</f>
        <v>59701</v>
      </c>
    </row>
    <row r="364" spans="1:50" ht="180" x14ac:dyDescent="0.2">
      <c r="A364" s="8" t="str">
        <f ca="1">IFERROR(__xludf.DUMMYFUNCTION("""COMPUTED_VALUE"""),"20240523MAKIC")</f>
        <v>20240523MAKIC</v>
      </c>
      <c r="B364" s="8">
        <f ca="1">IFERROR(__xludf.DUMMYFUNCTION("""COMPUTED_VALUE"""),5)</f>
        <v>5</v>
      </c>
      <c r="C364" s="8">
        <f ca="1">IFERROR(__xludf.DUMMYFUNCTION("""COMPUTED_VALUE"""),23)</f>
        <v>23</v>
      </c>
      <c r="D364" s="8">
        <f ca="1">IFERROR(__xludf.DUMMYFUNCTION("""COMPUTED_VALUE"""),2024)</f>
        <v>2024</v>
      </c>
      <c r="E364" s="9">
        <f ca="1">IFERROR(__xludf.DUMMYFUNCTION("""COMPUTED_VALUE"""),45435)</f>
        <v>45435</v>
      </c>
      <c r="F364" s="8" t="str">
        <f ca="1">IFERROR(__xludf.DUMMYFUNCTION("""COMPUTED_VALUE"""),"King Open School")</f>
        <v>King Open School</v>
      </c>
      <c r="G364" s="8">
        <f ca="1">IFERROR(__xludf.DUMMYFUNCTION("""COMPUTED_VALUE"""),0)</f>
        <v>0</v>
      </c>
      <c r="H364" s="8">
        <f ca="1">IFERROR(__xludf.DUMMYFUNCTION("""COMPUTED_VALUE"""),2)</f>
        <v>2</v>
      </c>
      <c r="I364" s="8">
        <f ca="1">IFERROR(__xludf.DUMMYFUNCTION("""COMPUTED_VALUE"""),2)</f>
        <v>2</v>
      </c>
      <c r="J364" s="8">
        <f ca="1">IFERROR(__xludf.DUMMYFUNCTION("""COMPUTED_VALUE"""),0)</f>
        <v>0</v>
      </c>
      <c r="K364" s="8" t="str">
        <f ca="1">IFERROR(__xludf.DUMMYFUNCTION("""COMPUTED_VALUE"""),"https://www.cambridgema.gov/Departments/cambridgepolice/News/2024/05/cpdannouncesarrestinongoinginvestigationofdoubleshootingintheareaofdonnellyfield
https://www.bostonglobe.com/2024/05/28/metro/cambridge-man-arrested-in-donnelly-field-shooting/")</f>
        <v>https://www.cambridgema.gov/Departments/cambridgepolice/News/2024/05/cpdannouncesarrestinongoinginvestigationofdoubleshootingintheareaofdonnellyfield
https://www.bostonglobe.com/2024/05/28/metro/cambridge-man-arrested-in-donnelly-field-shooting/</v>
      </c>
      <c r="L364" s="8">
        <f ca="1">IFERROR(__xludf.DUMMYFUNCTION("""COMPUTED_VALUE"""),10)</f>
        <v>10</v>
      </c>
      <c r="M364" s="8" t="str">
        <f ca="1">IFERROR(__xludf.DUMMYFUNCTION("""COMPUTED_VALUE"""),"Local")</f>
        <v>Local</v>
      </c>
      <c r="N364" s="8">
        <f ca="1">IFERROR(__xludf.DUMMYFUNCTION("""COMPUTED_VALUE"""),5)</f>
        <v>5</v>
      </c>
      <c r="O364" s="8" t="str">
        <f ca="1">IFERROR(__xludf.DUMMYFUNCTION("""COMPUTED_VALUE"""),"Spring")</f>
        <v>Spring</v>
      </c>
      <c r="P364" s="8" t="str">
        <f ca="1">IFERROR(__xludf.DUMMYFUNCTION("""COMPUTED_VALUE"""),"Cambridge")</f>
        <v>Cambridge</v>
      </c>
      <c r="Q364" s="8" t="str">
        <f ca="1">IFERROR(__xludf.DUMMYFUNCTION("""COMPUTED_VALUE"""),"MA")</f>
        <v>MA</v>
      </c>
      <c r="R364" s="8" t="str">
        <f ca="1">IFERROR(__xludf.DUMMYFUNCTION("""COMPUTED_VALUE"""),"Elementary")</f>
        <v>Elementary</v>
      </c>
      <c r="S364" s="8" t="str">
        <f ca="1">IFERROR(__xludf.DUMMYFUNCTION("""COMPUTED_VALUE"""),"Basketball Court")</f>
        <v>Basketball Court</v>
      </c>
      <c r="T364" s="8" t="str">
        <f ca="1">IFERROR(__xludf.DUMMYFUNCTION("""COMPUTED_VALUE"""),"Outside on School Property")</f>
        <v>Outside on School Property</v>
      </c>
      <c r="U364" s="8" t="str">
        <f ca="1">IFERROR(__xludf.DUMMYFUNCTION("""COMPUTED_VALUE"""),"No")</f>
        <v>No</v>
      </c>
      <c r="V364" s="8" t="str">
        <f ca="1">IFERROR(__xludf.DUMMYFUNCTION("""COMPUTED_VALUE"""),"Night")</f>
        <v>Night</v>
      </c>
      <c r="W364" s="11">
        <f ca="1">IFERROR(__xludf.DUMMYFUNCTION("""COMPUTED_VALUE"""),0.902083333333333)</f>
        <v>0.90208333333333302</v>
      </c>
      <c r="X364" s="8">
        <f ca="1">IFERROR(__xludf.DUMMYFUNCTION("""COMPUTED_VALUE"""),1)</f>
        <v>1</v>
      </c>
      <c r="Y364" s="12" t="str">
        <f ca="1">IFERROR(__xludf.DUMMYFUNCTION("""COMPUTED_VALUE"""),"Two people shot one the school basketball court")</f>
        <v>Two people shot one the school basketball court</v>
      </c>
      <c r="Z364" s="12" t="str">
        <f ca="1">IFERROR(__xludf.DUMMYFUNCTION("""COMPUTED_VALUE"""),"On Thursday, May 23, 2024, at 9:39 p.m., Cambridge Police responded to Donnelly Field located at 91 Berkshire Street for reports of multiple gunshots. The preliminary investigation indicates that the defendant was at the basketball court when he was appro"&amp;"ached by multiple individuals. Following a brief interaction an exchange of gunfire occurred.  During this exchange the defendant allegedly discharged a firearm and was also shot by one of those individuals. A 22-year-old female victim was also located in"&amp;" the basketball courts suffering from a gunshot wound believed to be from a stray bullet fired by one of the unknown parties.  ")</f>
        <v xml:space="preserve">On Thursday, May 23, 2024, at 9:39 p.m., Cambridge Police responded to Donnelly Field located at 91 Berkshire Street for reports of multiple gunshots. The preliminary investigation indicates that the defendant was at the basketball court when he was approached by multiple individuals. Following a brief interaction an exchange of gunfire occurred.  During this exchange the defendant allegedly discharged a firearm and was also shot by one of those individuals. A 22-year-old female victim was also located in the basketball courts suffering from a gunshot wound believed to be from a stray bullet fired by one of the unknown parties.  </v>
      </c>
      <c r="AA364" s="8" t="str">
        <f ca="1">IFERROR(__xludf.DUMMYFUNCTION("""COMPUTED_VALUE"""),"Escalation of Dispute")</f>
        <v>Escalation of Dispute</v>
      </c>
      <c r="AB364" s="8" t="str">
        <f ca="1">IFERROR(__xludf.DUMMYFUNCTION("""COMPUTED_VALUE"""),"Spontaneous")</f>
        <v>Spontaneous</v>
      </c>
      <c r="AC364" s="8" t="str">
        <f ca="1">IFERROR(__xludf.DUMMYFUNCTION("""COMPUTED_VALUE"""),"No")</f>
        <v>No</v>
      </c>
      <c r="AD364" s="8" t="str">
        <f ca="1">IFERROR(__xludf.DUMMYFUNCTION("""COMPUTED_VALUE"""),"Both")</f>
        <v>Both</v>
      </c>
      <c r="AE364" s="8" t="str">
        <f ca="1">IFERROR(__xludf.DUMMYFUNCTION("""COMPUTED_VALUE"""),"No")</f>
        <v>No</v>
      </c>
      <c r="AF364" s="8"/>
      <c r="AG364" s="8" t="str">
        <f ca="1">IFERROR(__xludf.DUMMYFUNCTION("""COMPUTED_VALUE"""),"No")</f>
        <v>No</v>
      </c>
      <c r="AH364" s="8" t="str">
        <f ca="1">IFERROR(__xludf.DUMMYFUNCTION("""COMPUTED_VALUE"""),"No")</f>
        <v>No</v>
      </c>
      <c r="AI364" s="8" t="str">
        <f ca="1">IFERROR(__xludf.DUMMYFUNCTION("""COMPUTED_VALUE"""),"No")</f>
        <v>No</v>
      </c>
      <c r="AJ364" s="8" t="str">
        <f ca="1">IFERROR(__xludf.DUMMYFUNCTION("""COMPUTED_VALUE"""),"No")</f>
        <v>No</v>
      </c>
      <c r="AK364" s="8" t="str">
        <f ca="1">IFERROR(__xludf.DUMMYFUNCTION("""COMPUTED_VALUE"""),"No")</f>
        <v>No</v>
      </c>
      <c r="AL364" s="8" t="str">
        <f ca="1">IFERROR(__xludf.DUMMYFUNCTION("""COMPUTED_VALUE"""),"No")</f>
        <v>No</v>
      </c>
      <c r="AM364" s="8" t="str">
        <f ca="1">IFERROR(__xludf.DUMMYFUNCTION("""COMPUTED_VALUE"""),"No")</f>
        <v>No</v>
      </c>
      <c r="AN364" s="8" t="str">
        <f ca="1">IFERROR(__xludf.DUMMYFUNCTION("""COMPUTED_VALUE"""),"Outside")</f>
        <v>Outside</v>
      </c>
      <c r="AO364" s="8" t="str">
        <f ca="1">IFERROR(__xludf.DUMMYFUNCTION("""COMPUTED_VALUE"""),"No")</f>
        <v>No</v>
      </c>
      <c r="AP364" s="8"/>
      <c r="AQ364" s="8"/>
      <c r="AR364" s="8" t="str">
        <f ca="1">IFERROR(__xludf.DUMMYFUNCTION("""COMPUTED_VALUE"""),"Outside/Off-Property")</f>
        <v>Outside/Off-Property</v>
      </c>
      <c r="AS364" s="8">
        <f ca="1">IFERROR(__xludf.DUMMYFUNCTION("""COMPUTED_VALUE"""),99)</f>
        <v>99</v>
      </c>
      <c r="AT364" s="8" t="str">
        <f ca="1">IFERROR(__xludf.DUMMYFUNCTION("""COMPUTED_VALUE"""),"No")</f>
        <v>No</v>
      </c>
      <c r="AU364" s="8">
        <f ca="1">IFERROR(__xludf.DUMMYFUNCTION("""COMPUTED_VALUE"""),42.371134)</f>
        <v>42.371133999999998</v>
      </c>
      <c r="AV364" s="8">
        <f ca="1">IFERROR(__xludf.DUMMYFUNCTION("""COMPUTED_VALUE"""),-71.091204)</f>
        <v>-71.091204000000005</v>
      </c>
      <c r="AW364" s="8" t="str">
        <f ca="1">IFERROR(__xludf.DUMMYFUNCTION("""COMPUTED_VALUE"""),"Multiple detached buildings")</f>
        <v>Multiple detached buildings</v>
      </c>
      <c r="AX364" s="8">
        <f ca="1">IFERROR(__xludf.DUMMYFUNCTION("""COMPUTED_VALUE"""),2141)</f>
        <v>2141</v>
      </c>
    </row>
    <row r="365" spans="1:50" ht="90" x14ac:dyDescent="0.2">
      <c r="A365" s="8" t="str">
        <f ca="1">IFERROR(__xludf.DUMMYFUNCTION("""COMPUTED_VALUE"""),"20240523OHMAC")</f>
        <v>20240523OHMAC</v>
      </c>
      <c r="B365" s="8">
        <f ca="1">IFERROR(__xludf.DUMMYFUNCTION("""COMPUTED_VALUE"""),5)</f>
        <v>5</v>
      </c>
      <c r="C365" s="8">
        <f ca="1">IFERROR(__xludf.DUMMYFUNCTION("""COMPUTED_VALUE"""),23)</f>
        <v>23</v>
      </c>
      <c r="D365" s="8">
        <f ca="1">IFERROR(__xludf.DUMMYFUNCTION("""COMPUTED_VALUE"""),2024)</f>
        <v>2024</v>
      </c>
      <c r="E365" s="9">
        <f ca="1">IFERROR(__xludf.DUMMYFUNCTION("""COMPUTED_VALUE"""),45435)</f>
        <v>45435</v>
      </c>
      <c r="F365" s="8" t="str">
        <f ca="1">IFERROR(__xludf.DUMMYFUNCTION("""COMPUTED_VALUE"""),"Marion-Sterling School")</f>
        <v>Marion-Sterling School</v>
      </c>
      <c r="G365" s="8">
        <f ca="1">IFERROR(__xludf.DUMMYFUNCTION("""COMPUTED_VALUE"""),0)</f>
        <v>0</v>
      </c>
      <c r="H365" s="8">
        <f ca="1">IFERROR(__xludf.DUMMYFUNCTION("""COMPUTED_VALUE"""),1)</f>
        <v>1</v>
      </c>
      <c r="I365" s="8">
        <f ca="1">IFERROR(__xludf.DUMMYFUNCTION("""COMPUTED_VALUE"""),1)</f>
        <v>1</v>
      </c>
      <c r="J365" s="8">
        <f ca="1">IFERROR(__xludf.DUMMYFUNCTION("""COMPUTED_VALUE"""),0)</f>
        <v>0</v>
      </c>
      <c r="K365" s="8" t="str">
        <f ca="1">IFERROR(__xludf.DUMMYFUNCTION("""COMPUTED_VALUE"""),"https://www.cleveland19.com/2024/05/23/teenager-shot-clevelands-east-side/
https://www.wkyc.com/article/news/local/cleveland/cleveland-teenage-boy-shot-taken-to-hospital-shooting/95-c606c0a9-6296-4fd2-89bd-1e6f4d7dd383
https://fox8.com/news/15-year-old-sh"&amp;"ot-near-cleveland-elementary-school/")</f>
        <v>https://www.cleveland19.com/2024/05/23/teenager-shot-clevelands-east-side/
https://www.wkyc.com/article/news/local/cleveland/cleveland-teenage-boy-shot-taken-to-hospital-shooting/95-c606c0a9-6296-4fd2-89bd-1e6f4d7dd383
https://fox8.com/news/15-year-old-shot-near-cleveland-elementary-school/</v>
      </c>
      <c r="L365" s="8">
        <f ca="1">IFERROR(__xludf.DUMMYFUNCTION("""COMPUTED_VALUE"""),5)</f>
        <v>5</v>
      </c>
      <c r="M365" s="8" t="str">
        <f ca="1">IFERROR(__xludf.DUMMYFUNCTION("""COMPUTED_VALUE"""),"Local")</f>
        <v>Local</v>
      </c>
      <c r="N365" s="8">
        <f ca="1">IFERROR(__xludf.DUMMYFUNCTION("""COMPUTED_VALUE"""),3)</f>
        <v>3</v>
      </c>
      <c r="O365" s="8" t="str">
        <f ca="1">IFERROR(__xludf.DUMMYFUNCTION("""COMPUTED_VALUE"""),"Spring")</f>
        <v>Spring</v>
      </c>
      <c r="P365" s="8" t="str">
        <f ca="1">IFERROR(__xludf.DUMMYFUNCTION("""COMPUTED_VALUE"""),"Cleveland")</f>
        <v>Cleveland</v>
      </c>
      <c r="Q365" s="8" t="str">
        <f ca="1">IFERROR(__xludf.DUMMYFUNCTION("""COMPUTED_VALUE"""),"OH")</f>
        <v>OH</v>
      </c>
      <c r="R365" s="8" t="str">
        <f ca="1">IFERROR(__xludf.DUMMYFUNCTION("""COMPUTED_VALUE"""),"K-8")</f>
        <v>K-8</v>
      </c>
      <c r="S365" s="8" t="str">
        <f ca="1">IFERROR(__xludf.DUMMYFUNCTION("""COMPUTED_VALUE"""),"Field (General)")</f>
        <v>Field (General)</v>
      </c>
      <c r="T365" s="8" t="str">
        <f ca="1">IFERROR(__xludf.DUMMYFUNCTION("""COMPUTED_VALUE"""),"Outside on School Property")</f>
        <v>Outside on School Property</v>
      </c>
      <c r="U365" s="8" t="str">
        <f ca="1">IFERROR(__xludf.DUMMYFUNCTION("""COMPUTED_VALUE"""),"Yes")</f>
        <v>Yes</v>
      </c>
      <c r="V365" s="8" t="str">
        <f ca="1">IFERROR(__xludf.DUMMYFUNCTION("""COMPUTED_VALUE"""),"Morning Classes")</f>
        <v>Morning Classes</v>
      </c>
      <c r="W365" s="11">
        <f ca="1">IFERROR(__xludf.DUMMYFUNCTION("""COMPUTED_VALUE"""),0.4375)</f>
        <v>0.4375</v>
      </c>
      <c r="X365" s="8">
        <f ca="1">IFERROR(__xludf.DUMMYFUNCTION("""COMPUTED_VALUE"""),1)</f>
        <v>1</v>
      </c>
      <c r="Y365" s="12" t="str">
        <f ca="1">IFERROR(__xludf.DUMMYFUNCTION("""COMPUTED_VALUE"""),"8th grader was leaving the school with his aunt when he was shot in the field next to the school")</f>
        <v>8th grader was leaving the school with his aunt when he was shot in the field next to the school</v>
      </c>
      <c r="Z365" s="12" t="str">
        <f ca="1">IFERROR(__xludf.DUMMYFUNCTION("""COMPUTED_VALUE"""),"8th grader was leaving the school with his aunt when he was shot in the field next to the school. Shooter fled.")</f>
        <v>8th grader was leaving the school with his aunt when he was shot in the field next to the school. Shooter fled.</v>
      </c>
      <c r="AA365" s="8"/>
      <c r="AB365" s="8" t="str">
        <f ca="1">IFERROR(__xludf.DUMMYFUNCTION("""COMPUTED_VALUE"""),"Targeted")</f>
        <v>Targeted</v>
      </c>
      <c r="AC365" s="8" t="str">
        <f ca="1">IFERROR(__xludf.DUMMYFUNCTION("""COMPUTED_VALUE"""),"Yes")</f>
        <v>Yes</v>
      </c>
      <c r="AD365" s="8" t="str">
        <f ca="1">IFERROR(__xludf.DUMMYFUNCTION("""COMPUTED_VALUE"""),"Victims Targeted")</f>
        <v>Victims Targeted</v>
      </c>
      <c r="AE365" s="8" t="str">
        <f ca="1">IFERROR(__xludf.DUMMYFUNCTION("""COMPUTED_VALUE"""),"No")</f>
        <v>No</v>
      </c>
      <c r="AF365" s="8"/>
      <c r="AG365" s="8" t="str">
        <f ca="1">IFERROR(__xludf.DUMMYFUNCTION("""COMPUTED_VALUE"""),"No")</f>
        <v>No</v>
      </c>
      <c r="AH365" s="8" t="str">
        <f ca="1">IFERROR(__xludf.DUMMYFUNCTION("""COMPUTED_VALUE"""),"No")</f>
        <v>No</v>
      </c>
      <c r="AI365" s="8" t="str">
        <f ca="1">IFERROR(__xludf.DUMMYFUNCTION("""COMPUTED_VALUE"""),"No")</f>
        <v>No</v>
      </c>
      <c r="AJ365" s="8" t="str">
        <f ca="1">IFERROR(__xludf.DUMMYFUNCTION("""COMPUTED_VALUE"""),"No")</f>
        <v>No</v>
      </c>
      <c r="AK365" s="8" t="str">
        <f ca="1">IFERROR(__xludf.DUMMYFUNCTION("""COMPUTED_VALUE"""),"No")</f>
        <v>No</v>
      </c>
      <c r="AL365" s="8" t="str">
        <f ca="1">IFERROR(__xludf.DUMMYFUNCTION("""COMPUTED_VALUE"""),"No")</f>
        <v>No</v>
      </c>
      <c r="AM365" s="8" t="str">
        <f ca="1">IFERROR(__xludf.DUMMYFUNCTION("""COMPUTED_VALUE"""),"No")</f>
        <v>No</v>
      </c>
      <c r="AN365" s="8" t="str">
        <f ca="1">IFERROR(__xludf.DUMMYFUNCTION("""COMPUTED_VALUE"""),"Outside")</f>
        <v>Outside</v>
      </c>
      <c r="AO365" s="8" t="str">
        <f ca="1">IFERROR(__xludf.DUMMYFUNCTION("""COMPUTED_VALUE"""),"No")</f>
        <v>No</v>
      </c>
      <c r="AP365" s="8"/>
      <c r="AQ365" s="8"/>
      <c r="AR365" s="8" t="str">
        <f ca="1">IFERROR(__xludf.DUMMYFUNCTION("""COMPUTED_VALUE"""),"Outside/Off-Property")</f>
        <v>Outside/Off-Property</v>
      </c>
      <c r="AS365" s="8">
        <f ca="1">IFERROR(__xludf.DUMMYFUNCTION("""COMPUTED_VALUE"""),99)</f>
        <v>99</v>
      </c>
      <c r="AT365" s="8" t="str">
        <f ca="1">IFERROR(__xludf.DUMMYFUNCTION("""COMPUTED_VALUE"""),"Yes")</f>
        <v>Yes</v>
      </c>
      <c r="AU365" s="8">
        <f ca="1">IFERROR(__xludf.DUMMYFUNCTION("""COMPUTED_VALUE"""),41.498059)</f>
        <v>41.498058999999998</v>
      </c>
      <c r="AV365" s="8">
        <f ca="1">IFERROR(__xludf.DUMMYFUNCTION("""COMPUTED_VALUE"""),-81.666133)</f>
        <v>-81.666133000000002</v>
      </c>
      <c r="AW365" s="8" t="str">
        <f ca="1">IFERROR(__xludf.DUMMYFUNCTION("""COMPUTED_VALUE"""),"Single building indoor hallway")</f>
        <v>Single building indoor hallway</v>
      </c>
      <c r="AX365" s="8">
        <f ca="1">IFERROR(__xludf.DUMMYFUNCTION("""COMPUTED_VALUE"""),44115)</f>
        <v>44115</v>
      </c>
    </row>
    <row r="366" spans="1:50" ht="180" x14ac:dyDescent="0.2">
      <c r="A366" s="8" t="str">
        <f ca="1">IFERROR(__xludf.DUMMYFUNCTION("""COMPUTED_VALUE"""),"20240523CASKO")</f>
        <v>20240523CASKO</v>
      </c>
      <c r="B366" s="8">
        <f ca="1">IFERROR(__xludf.DUMMYFUNCTION("""COMPUTED_VALUE"""),5)</f>
        <v>5</v>
      </c>
      <c r="C366" s="8">
        <f ca="1">IFERROR(__xludf.DUMMYFUNCTION("""COMPUTED_VALUE"""),23)</f>
        <v>23</v>
      </c>
      <c r="D366" s="8">
        <f ca="1">IFERROR(__xludf.DUMMYFUNCTION("""COMPUTED_VALUE"""),2024)</f>
        <v>2024</v>
      </c>
      <c r="E366" s="9">
        <f ca="1">IFERROR(__xludf.DUMMYFUNCTION("""COMPUTED_VALUE"""),45435)</f>
        <v>45435</v>
      </c>
      <c r="F366" s="8" t="str">
        <f ca="1">IFERROR(__xludf.DUMMYFUNCTION("""COMPUTED_VALUE"""),"Skyline High School")</f>
        <v>Skyline High School</v>
      </c>
      <c r="G366" s="8">
        <f ca="1">IFERROR(__xludf.DUMMYFUNCTION("""COMPUTED_VALUE"""),0)</f>
        <v>0</v>
      </c>
      <c r="H366" s="8">
        <f ca="1">IFERROR(__xludf.DUMMYFUNCTION("""COMPUTED_VALUE"""),3)</f>
        <v>3</v>
      </c>
      <c r="I366" s="8">
        <f ca="1">IFERROR(__xludf.DUMMYFUNCTION("""COMPUTED_VALUE"""),3)</f>
        <v>3</v>
      </c>
      <c r="J366" s="8">
        <f ca="1">IFERROR(__xludf.DUMMYFUNCTION("""COMPUTED_VALUE"""),0)</f>
        <v>0</v>
      </c>
      <c r="K366" s="8" t="str">
        <f ca="1">IFERROR(__xludf.DUMMYFUNCTION("""COMPUTED_VALUE"""),"https://www.kron4.com/news/bay-area/heavy-police-activity-at-oaklands-skyline-high-school-graduation/
https://www.kron4.com/news/bay-area/heavy-police-activity-at-oaklands-skyline-high-school-graduation/
https://www.ktvu.com/news/oakland-skyline-high-grad"&amp;"uation-shooting-2-detained-2-injured")</f>
        <v>https://www.kron4.com/news/bay-area/heavy-police-activity-at-oaklands-skyline-high-school-graduation/
https://www.kron4.com/news/bay-area/heavy-police-activity-at-oaklands-skyline-high-school-graduation/
https://www.ktvu.com/news/oakland-skyline-high-graduation-shooting-2-detained-2-injured</v>
      </c>
      <c r="L366" s="8">
        <f ca="1">IFERROR(__xludf.DUMMYFUNCTION("""COMPUTED_VALUE"""),50)</f>
        <v>50</v>
      </c>
      <c r="M366" s="8" t="str">
        <f ca="1">IFERROR(__xludf.DUMMYFUNCTION("""COMPUTED_VALUE"""),"Regional")</f>
        <v>Regional</v>
      </c>
      <c r="N366" s="8">
        <f ca="1">IFERROR(__xludf.DUMMYFUNCTION("""COMPUTED_VALUE"""),4)</f>
        <v>4</v>
      </c>
      <c r="O366" s="8" t="str">
        <f ca="1">IFERROR(__xludf.DUMMYFUNCTION("""COMPUTED_VALUE"""),"Spring")</f>
        <v>Spring</v>
      </c>
      <c r="P366" s="8" t="str">
        <f ca="1">IFERROR(__xludf.DUMMYFUNCTION("""COMPUTED_VALUE"""),"Oakland")</f>
        <v>Oakland</v>
      </c>
      <c r="Q366" s="8" t="str">
        <f ca="1">IFERROR(__xludf.DUMMYFUNCTION("""COMPUTED_VALUE"""),"CA")</f>
        <v>CA</v>
      </c>
      <c r="R366" s="8" t="str">
        <f ca="1">IFERROR(__xludf.DUMMYFUNCTION("""COMPUTED_VALUE"""),"High")</f>
        <v>High</v>
      </c>
      <c r="S366" s="8" t="str">
        <f ca="1">IFERROR(__xludf.DUMMYFUNCTION("""COMPUTED_VALUE"""),"Football Field/Track")</f>
        <v>Football Field/Track</v>
      </c>
      <c r="T366" s="8" t="str">
        <f ca="1">IFERROR(__xludf.DUMMYFUNCTION("""COMPUTED_VALUE"""),"Outside on School Property")</f>
        <v>Outside on School Property</v>
      </c>
      <c r="U366" s="8" t="str">
        <f ca="1">IFERROR(__xludf.DUMMYFUNCTION("""COMPUTED_VALUE"""),"No")</f>
        <v>No</v>
      </c>
      <c r="V366" s="8" t="str">
        <f ca="1">IFERROR(__xludf.DUMMYFUNCTION("""COMPUTED_VALUE"""),"School Event")</f>
        <v>School Event</v>
      </c>
      <c r="W366" s="11">
        <f ca="1">IFERROR(__xludf.DUMMYFUNCTION("""COMPUTED_VALUE"""),0.822916666666666)</f>
        <v>0.82291666666666596</v>
      </c>
      <c r="X366" s="8">
        <f ca="1">IFERROR(__xludf.DUMMYFUNCTION("""COMPUTED_VALUE"""),1)</f>
        <v>1</v>
      </c>
      <c r="Y366" s="12" t="str">
        <f ca="1">IFERROR(__xludf.DUMMYFUNCTION("""COMPUTED_VALUE"""),"Three adults shot during fight at the graduation ceremony")</f>
        <v>Three adults shot during fight at the graduation ceremony</v>
      </c>
      <c r="Z366" s="12" t="str">
        <f ca="1">IFERROR(__xludf.DUMMYFUNCTION("""COMPUTED_VALUE"""),"According to police, two groups of people got into a fight in the school parking lot. The altercation escalated and multiple people were struck by gunfire. OPD officers detained multiple individuals and arrested one adult. Investigators, police say, are a"&amp;"ctively looking for additional shooters and witnesses. The shooting happened just before 7:45 p.m., per OPD. Police have indicated that there is no ongoing danger to the community. According to witnesses, the shots were heard after the ceremony ended, pro"&amp;"mpting people to run for safety. There was a heavy police presence at the school following the shooting. OPD said California Highway Patrol responded to assist.")</f>
        <v>According to police, two groups of people got into a fight in the school parking lot. The altercation escalated and multiple people were struck by gunfire. OPD officers detained multiple individuals and arrested one adult. Investigators, police say, are actively looking for additional shooters and witnesses. The shooting happened just before 7:45 p.m., per OPD. Police have indicated that there is no ongoing danger to the community. According to witnesses, the shots were heard after the ceremony ended, prompting people to run for safety. There was a heavy police presence at the school following the shooting. OPD said California Highway Patrol responded to assist.</v>
      </c>
      <c r="AA366" s="8" t="str">
        <f ca="1">IFERROR(__xludf.DUMMYFUNCTION("""COMPUTED_VALUE"""),"Escalation of Dispute")</f>
        <v>Escalation of Dispute</v>
      </c>
      <c r="AB366" s="8" t="str">
        <f ca="1">IFERROR(__xludf.DUMMYFUNCTION("""COMPUTED_VALUE"""),"Spontaneous")</f>
        <v>Spontaneous</v>
      </c>
      <c r="AC366" s="8" t="str">
        <f ca="1">IFERROR(__xludf.DUMMYFUNCTION("""COMPUTED_VALUE"""),"Yes")</f>
        <v>Yes</v>
      </c>
      <c r="AD366" s="8" t="str">
        <f ca="1">IFERROR(__xludf.DUMMYFUNCTION("""COMPUTED_VALUE"""),"Both")</f>
        <v>Both</v>
      </c>
      <c r="AE366" s="8" t="str">
        <f ca="1">IFERROR(__xludf.DUMMYFUNCTION("""COMPUTED_VALUE"""),"Yes")</f>
        <v>Yes</v>
      </c>
      <c r="AF366" s="8" t="str">
        <f ca="1">IFERROR(__xludf.DUMMYFUNCTION("""COMPUTED_VALUE"""),"Two shooters")</f>
        <v>Two shooters</v>
      </c>
      <c r="AG366" s="8" t="str">
        <f ca="1">IFERROR(__xludf.DUMMYFUNCTION("""COMPUTED_VALUE"""),"No")</f>
        <v>No</v>
      </c>
      <c r="AH366" s="8" t="str">
        <f ca="1">IFERROR(__xludf.DUMMYFUNCTION("""COMPUTED_VALUE"""),"No")</f>
        <v>No</v>
      </c>
      <c r="AI366" s="8" t="str">
        <f ca="1">IFERROR(__xludf.DUMMYFUNCTION("""COMPUTED_VALUE"""),"No")</f>
        <v>No</v>
      </c>
      <c r="AJ366" s="8" t="str">
        <f ca="1">IFERROR(__xludf.DUMMYFUNCTION("""COMPUTED_VALUE"""),"No")</f>
        <v>No</v>
      </c>
      <c r="AK366" s="8" t="str">
        <f ca="1">IFERROR(__xludf.DUMMYFUNCTION("""COMPUTED_VALUE"""),"No")</f>
        <v>No</v>
      </c>
      <c r="AL366" s="8" t="str">
        <f ca="1">IFERROR(__xludf.DUMMYFUNCTION("""COMPUTED_VALUE"""),"Yes")</f>
        <v>Yes</v>
      </c>
      <c r="AM366" s="8" t="str">
        <f ca="1">IFERROR(__xludf.DUMMYFUNCTION("""COMPUTED_VALUE"""),"No")</f>
        <v>No</v>
      </c>
      <c r="AN366" s="8" t="str">
        <f ca="1">IFERROR(__xludf.DUMMYFUNCTION("""COMPUTED_VALUE"""),"Outside")</f>
        <v>Outside</v>
      </c>
      <c r="AO366" s="8" t="str">
        <f ca="1">IFERROR(__xludf.DUMMYFUNCTION("""COMPUTED_VALUE"""),"No")</f>
        <v>No</v>
      </c>
      <c r="AP366" s="8"/>
      <c r="AQ366" s="8"/>
      <c r="AR366" s="8" t="str">
        <f ca="1">IFERROR(__xludf.DUMMYFUNCTION("""COMPUTED_VALUE"""),"Outside/Off-Property")</f>
        <v>Outside/Off-Property</v>
      </c>
      <c r="AS366" s="8">
        <f ca="1">IFERROR(__xludf.DUMMYFUNCTION("""COMPUTED_VALUE"""),20)</f>
        <v>20</v>
      </c>
      <c r="AT366" s="8" t="str">
        <f ca="1">IFERROR(__xludf.DUMMYFUNCTION("""COMPUTED_VALUE"""),"No")</f>
        <v>No</v>
      </c>
      <c r="AU366" s="8">
        <f ca="1">IFERROR(__xludf.DUMMYFUNCTION("""COMPUTED_VALUE"""),37.79783)</f>
        <v>37.797829999999998</v>
      </c>
      <c r="AV366" s="8">
        <f ca="1">IFERROR(__xludf.DUMMYFUNCTION("""COMPUTED_VALUE"""),-122.161302)</f>
        <v>-122.16130200000001</v>
      </c>
      <c r="AW366" s="8" t="str">
        <f ca="1">IFERROR(__xludf.DUMMYFUNCTION("""COMPUTED_VALUE"""),"Multiple detached buildings")</f>
        <v>Multiple detached buildings</v>
      </c>
      <c r="AX366" s="8">
        <f ca="1">IFERROR(__xludf.DUMMYFUNCTION("""COMPUTED_VALUE"""),94613)</f>
        <v>94613</v>
      </c>
    </row>
    <row r="367" spans="1:50" ht="45" x14ac:dyDescent="0.2">
      <c r="A367" s="8" t="str">
        <f ca="1">IFERROR(__xludf.DUMMYFUNCTION("""COMPUTED_VALUE"""),"20240523LAWEH")</f>
        <v>20240523LAWEH</v>
      </c>
      <c r="B367" s="8">
        <f ca="1">IFERROR(__xludf.DUMMYFUNCTION("""COMPUTED_VALUE"""),5)</f>
        <v>5</v>
      </c>
      <c r="C367" s="8">
        <f ca="1">IFERROR(__xludf.DUMMYFUNCTION("""COMPUTED_VALUE"""),23)</f>
        <v>23</v>
      </c>
      <c r="D367" s="8">
        <f ca="1">IFERROR(__xludf.DUMMYFUNCTION("""COMPUTED_VALUE"""),2024)</f>
        <v>2024</v>
      </c>
      <c r="E367" s="9">
        <f ca="1">IFERROR(__xludf.DUMMYFUNCTION("""COMPUTED_VALUE"""),45435)</f>
        <v>45435</v>
      </c>
      <c r="F367" s="8" t="str">
        <f ca="1">IFERROR(__xludf.DUMMYFUNCTION("""COMPUTED_VALUE"""),"West Jefferson High School")</f>
        <v>West Jefferson High School</v>
      </c>
      <c r="G367" s="8">
        <f ca="1">IFERROR(__xludf.DUMMYFUNCTION("""COMPUTED_VALUE"""),0)</f>
        <v>0</v>
      </c>
      <c r="H367" s="8">
        <f ca="1">IFERROR(__xludf.DUMMYFUNCTION("""COMPUTED_VALUE"""),1)</f>
        <v>1</v>
      </c>
      <c r="I367" s="8">
        <f ca="1">IFERROR(__xludf.DUMMYFUNCTION("""COMPUTED_VALUE"""),1)</f>
        <v>1</v>
      </c>
      <c r="J367" s="8">
        <f ca="1">IFERROR(__xludf.DUMMYFUNCTION("""COMPUTED_VALUE"""),0)</f>
        <v>0</v>
      </c>
      <c r="K367" s="10" t="str">
        <f ca="1">IFERROR(__xludf.DUMMYFUNCTION("""COMPUTED_VALUE"""),"https://www.nola.com/news/crime_police/west-jefferson-high-school-shooting/article_71f6d5ba-192a-11ef-bb30-6fb828d57775.html
https://www.wdsu.com/article/jefferson-parish-west-jefferson-high-school-shooting/60885556")</f>
        <v>https://www.nola.com/news/crime_police/west-jefferson-high-school-shooting/article_71f6d5ba-192a-11ef-bb30-6fb828d57775.html
https://www.wdsu.com/article/jefferson-parish-west-jefferson-high-school-shooting/60885556</v>
      </c>
      <c r="L367" s="8">
        <f ca="1">IFERROR(__xludf.DUMMYFUNCTION("""COMPUTED_VALUE"""),10)</f>
        <v>10</v>
      </c>
      <c r="M367" s="8" t="str">
        <f ca="1">IFERROR(__xludf.DUMMYFUNCTION("""COMPUTED_VALUE"""),"Regional")</f>
        <v>Regional</v>
      </c>
      <c r="N367" s="8">
        <f ca="1">IFERROR(__xludf.DUMMYFUNCTION("""COMPUTED_VALUE"""),4)</f>
        <v>4</v>
      </c>
      <c r="O367" s="8" t="str">
        <f ca="1">IFERROR(__xludf.DUMMYFUNCTION("""COMPUTED_VALUE"""),"Spring")</f>
        <v>Spring</v>
      </c>
      <c r="P367" s="8" t="str">
        <f ca="1">IFERROR(__xludf.DUMMYFUNCTION("""COMPUTED_VALUE"""),"Harvey")</f>
        <v>Harvey</v>
      </c>
      <c r="Q367" s="8" t="str">
        <f ca="1">IFERROR(__xludf.DUMMYFUNCTION("""COMPUTED_VALUE"""),"LA")</f>
        <v>LA</v>
      </c>
      <c r="R367" s="8" t="str">
        <f ca="1">IFERROR(__xludf.DUMMYFUNCTION("""COMPUTED_VALUE"""),"High")</f>
        <v>High</v>
      </c>
      <c r="S367" s="8" t="str">
        <f ca="1">IFERROR(__xludf.DUMMYFUNCTION("""COMPUTED_VALUE"""),"Parking Lot")</f>
        <v>Parking Lot</v>
      </c>
      <c r="T367" s="8" t="str">
        <f ca="1">IFERROR(__xludf.DUMMYFUNCTION("""COMPUTED_VALUE"""),"Outside on School Property")</f>
        <v>Outside on School Property</v>
      </c>
      <c r="U367" s="8" t="str">
        <f ca="1">IFERROR(__xludf.DUMMYFUNCTION("""COMPUTED_VALUE"""),"Yes")</f>
        <v>Yes</v>
      </c>
      <c r="V367" s="8" t="str">
        <f ca="1">IFERROR(__xludf.DUMMYFUNCTION("""COMPUTED_VALUE"""),"Dismissal")</f>
        <v>Dismissal</v>
      </c>
      <c r="W367" s="11">
        <f ca="1">IFERROR(__xludf.DUMMYFUNCTION("""COMPUTED_VALUE"""),0.5)</f>
        <v>0.5</v>
      </c>
      <c r="X367" s="8">
        <f ca="1">IFERROR(__xludf.DUMMYFUNCTION("""COMPUTED_VALUE"""),1)</f>
        <v>1</v>
      </c>
      <c r="Y367" s="12" t="str">
        <f ca="1">IFERROR(__xludf.DUMMYFUNCTION("""COMPUTED_VALUE"""),"Student shot in the school parking lot at dismissal")</f>
        <v>Student shot in the school parking lot at dismissal</v>
      </c>
      <c r="Z367" s="12" t="str">
        <f ca="1">IFERROR(__xludf.DUMMYFUNCTION("""COMPUTED_VALUE"""),"Student was shot during dismissal on the last day of school near the exit to the school parking lot. 17-year-old student fled and was arrested off campus with a gun.")</f>
        <v>Student was shot during dismissal on the last day of school near the exit to the school parking lot. 17-year-old student fled and was arrested off campus with a gun.</v>
      </c>
      <c r="AA367" s="8"/>
      <c r="AB367" s="8"/>
      <c r="AC367" s="8" t="str">
        <f ca="1">IFERROR(__xludf.DUMMYFUNCTION("""COMPUTED_VALUE"""),"Yes")</f>
        <v>Yes</v>
      </c>
      <c r="AD367" s="8" t="str">
        <f ca="1">IFERROR(__xludf.DUMMYFUNCTION("""COMPUTED_VALUE"""),"Victims Targeted")</f>
        <v>Victims Targeted</v>
      </c>
      <c r="AE367" s="8" t="str">
        <f ca="1">IFERROR(__xludf.DUMMYFUNCTION("""COMPUTED_VALUE"""),"No")</f>
        <v>No</v>
      </c>
      <c r="AF367" s="8"/>
      <c r="AG367" s="8" t="str">
        <f ca="1">IFERROR(__xludf.DUMMYFUNCTION("""COMPUTED_VALUE"""),"No")</f>
        <v>No</v>
      </c>
      <c r="AH367" s="8" t="str">
        <f ca="1">IFERROR(__xludf.DUMMYFUNCTION("""COMPUTED_VALUE"""),"No")</f>
        <v>No</v>
      </c>
      <c r="AI367" s="8" t="str">
        <f ca="1">IFERROR(__xludf.DUMMYFUNCTION("""COMPUTED_VALUE"""),"No")</f>
        <v>No</v>
      </c>
      <c r="AJ367" s="8" t="str">
        <f ca="1">IFERROR(__xludf.DUMMYFUNCTION("""COMPUTED_VALUE"""),"No")</f>
        <v>No</v>
      </c>
      <c r="AK367" s="8" t="str">
        <f ca="1">IFERROR(__xludf.DUMMYFUNCTION("""COMPUTED_VALUE"""),"No")</f>
        <v>No</v>
      </c>
      <c r="AL367" s="8" t="str">
        <f ca="1">IFERROR(__xludf.DUMMYFUNCTION("""COMPUTED_VALUE"""),"No")</f>
        <v>No</v>
      </c>
      <c r="AM367" s="8" t="str">
        <f ca="1">IFERROR(__xludf.DUMMYFUNCTION("""COMPUTED_VALUE"""),"No")</f>
        <v>No</v>
      </c>
      <c r="AN367" s="8" t="str">
        <f ca="1">IFERROR(__xludf.DUMMYFUNCTION("""COMPUTED_VALUE"""),"Outside")</f>
        <v>Outside</v>
      </c>
      <c r="AO367" s="8" t="str">
        <f ca="1">IFERROR(__xludf.DUMMYFUNCTION("""COMPUTED_VALUE"""),"No")</f>
        <v>No</v>
      </c>
      <c r="AP367" s="8"/>
      <c r="AQ367" s="8"/>
      <c r="AR367" s="8" t="str">
        <f ca="1">IFERROR(__xludf.DUMMYFUNCTION("""COMPUTED_VALUE"""),"Outside/Off-Property")</f>
        <v>Outside/Off-Property</v>
      </c>
      <c r="AS367" s="8">
        <f ca="1">IFERROR(__xludf.DUMMYFUNCTION("""COMPUTED_VALUE"""),99)</f>
        <v>99</v>
      </c>
      <c r="AT367" s="8" t="str">
        <f ca="1">IFERROR(__xludf.DUMMYFUNCTION("""COMPUTED_VALUE"""),"Yes")</f>
        <v>Yes</v>
      </c>
      <c r="AU367" s="8">
        <f ca="1">IFERROR(__xludf.DUMMYFUNCTION("""COMPUTED_VALUE"""),29.904215)</f>
        <v>29.904215000000001</v>
      </c>
      <c r="AV367" s="8">
        <f ca="1">IFERROR(__xludf.DUMMYFUNCTION("""COMPUTED_VALUE"""),-90.073397)</f>
        <v>-90.073397</v>
      </c>
      <c r="AW367" s="8" t="str">
        <f ca="1">IFERROR(__xludf.DUMMYFUNCTION("""COMPUTED_VALUE"""),"Multiple detached buildings")</f>
        <v>Multiple detached buildings</v>
      </c>
      <c r="AX367" s="8">
        <f ca="1">IFERROR(__xludf.DUMMYFUNCTION("""COMPUTED_VALUE"""),70058)</f>
        <v>70058</v>
      </c>
    </row>
    <row r="368" spans="1:50" ht="105" x14ac:dyDescent="0.2">
      <c r="A368" s="8" t="str">
        <f ca="1">IFERROR(__xludf.DUMMYFUNCTION("""COMPUTED_VALUE"""),"20240522FLNOC")</f>
        <v>20240522FLNOC</v>
      </c>
      <c r="B368" s="8">
        <f ca="1">IFERROR(__xludf.DUMMYFUNCTION("""COMPUTED_VALUE"""),5)</f>
        <v>5</v>
      </c>
      <c r="C368" s="8">
        <f ca="1">IFERROR(__xludf.DUMMYFUNCTION("""COMPUTED_VALUE"""),22)</f>
        <v>22</v>
      </c>
      <c r="D368" s="8">
        <f ca="1">IFERROR(__xludf.DUMMYFUNCTION("""COMPUTED_VALUE"""),2024)</f>
        <v>2024</v>
      </c>
      <c r="E368" s="9">
        <f ca="1">IFERROR(__xludf.DUMMYFUNCTION("""COMPUTED_VALUE"""),45434)</f>
        <v>45434</v>
      </c>
      <c r="F368" s="8" t="str">
        <f ca="1">IFERROR(__xludf.DUMMYFUNCTION("""COMPUTED_VALUE"""),"North Marion Middle School")</f>
        <v>North Marion Middle School</v>
      </c>
      <c r="G368" s="8">
        <f ca="1">IFERROR(__xludf.DUMMYFUNCTION("""COMPUTED_VALUE"""),1)</f>
        <v>1</v>
      </c>
      <c r="H368" s="8">
        <f ca="1">IFERROR(__xludf.DUMMYFUNCTION("""COMPUTED_VALUE"""),0)</f>
        <v>0</v>
      </c>
      <c r="I368" s="8">
        <f ca="1">IFERROR(__xludf.DUMMYFUNCTION("""COMPUTED_VALUE"""),1)</f>
        <v>1</v>
      </c>
      <c r="J368" s="8">
        <f ca="1">IFERROR(__xludf.DUMMYFUNCTION("""COMPUTED_VALUE"""),0)</f>
        <v>0</v>
      </c>
      <c r="K368" s="10" t="str">
        <f ca="1">IFERROR(__xludf.DUMMYFUNCTION("""COMPUTED_VALUE"""),"https://www.clickorlando.com/news/local/2024/05/22/1-injured-suspect-in-custody-after-shooting-at-north-marion-middle-school/
https://www.fox35orlando.com/news/north-marion-middle-school-shooting
https://www.wfla.com/news/florida/man-fatally-shot-in-parki"&amp;"ng-lot-of-north-marion-middle-school-during-awards-ceremony/")</f>
        <v>https://www.clickorlando.com/news/local/2024/05/22/1-injured-suspect-in-custody-after-shooting-at-north-marion-middle-school/
https://www.fox35orlando.com/news/north-marion-middle-school-shooting
https://www.wfla.com/news/florida/man-fatally-shot-in-parking-lot-of-north-marion-middle-school-during-awards-ceremony/</v>
      </c>
      <c r="L368" s="8">
        <f ca="1">IFERROR(__xludf.DUMMYFUNCTION("""COMPUTED_VALUE"""),10)</f>
        <v>10</v>
      </c>
      <c r="M368" s="8" t="str">
        <f ca="1">IFERROR(__xludf.DUMMYFUNCTION("""COMPUTED_VALUE"""),"Regional")</f>
        <v>Regional</v>
      </c>
      <c r="N368" s="8">
        <f ca="1">IFERROR(__xludf.DUMMYFUNCTION("""COMPUTED_VALUE"""),4)</f>
        <v>4</v>
      </c>
      <c r="O368" s="8" t="str">
        <f ca="1">IFERROR(__xludf.DUMMYFUNCTION("""COMPUTED_VALUE"""),"Spring")</f>
        <v>Spring</v>
      </c>
      <c r="P368" s="8" t="str">
        <f ca="1">IFERROR(__xludf.DUMMYFUNCTION("""COMPUTED_VALUE"""),"Citra")</f>
        <v>Citra</v>
      </c>
      <c r="Q368" s="8" t="str">
        <f ca="1">IFERROR(__xludf.DUMMYFUNCTION("""COMPUTED_VALUE"""),"FL")</f>
        <v>FL</v>
      </c>
      <c r="R368" s="8" t="str">
        <f ca="1">IFERROR(__xludf.DUMMYFUNCTION("""COMPUTED_VALUE"""),"Middle")</f>
        <v>Middle</v>
      </c>
      <c r="S368" s="8" t="str">
        <f ca="1">IFERROR(__xludf.DUMMYFUNCTION("""COMPUTED_VALUE"""),"Parking Lot")</f>
        <v>Parking Lot</v>
      </c>
      <c r="T368" s="8" t="str">
        <f ca="1">IFERROR(__xludf.DUMMYFUNCTION("""COMPUTED_VALUE"""),"Outside on School Property")</f>
        <v>Outside on School Property</v>
      </c>
      <c r="U368" s="8" t="str">
        <f ca="1">IFERROR(__xludf.DUMMYFUNCTION("""COMPUTED_VALUE"""),"No")</f>
        <v>No</v>
      </c>
      <c r="V368" s="8" t="str">
        <f ca="1">IFERROR(__xludf.DUMMYFUNCTION("""COMPUTED_VALUE"""),"School Event")</f>
        <v>School Event</v>
      </c>
      <c r="W368" s="11">
        <f ca="1">IFERROR(__xludf.DUMMYFUNCTION("""COMPUTED_VALUE"""),0.75)</f>
        <v>0.75</v>
      </c>
      <c r="X368" s="8">
        <f ca="1">IFERROR(__xludf.DUMMYFUNCTION("""COMPUTED_VALUE"""),1)</f>
        <v>1</v>
      </c>
      <c r="Y368" s="12" t="str">
        <f ca="1">IFERROR(__xludf.DUMMYFUNCTION("""COMPUTED_VALUE"""),"Man killed outside school during end of year awards ceremony")</f>
        <v>Man killed outside school during end of year awards ceremony</v>
      </c>
      <c r="Z368" s="12" t="str">
        <f ca="1">IFERROR(__xludf.DUMMYFUNCTION("""COMPUTED_VALUE"""),"Before the end of year awards at the school, the father of a student and the romantic partner of the student's mother got into a physical dispute in the parking lot about who was taking the child home. Father was shot multiple times and died at the scene."&amp;" Other man surrendered and waited for police to arrive. Multiple students and parents witnessed the shooting. Event was cancelled.")</f>
        <v>Before the end of year awards at the school, the father of a student and the romantic partner of the student's mother got into a physical dispute in the parking lot about who was taking the child home. Father was shot multiple times and died at the scene. Other man surrendered and waited for police to arrive. Multiple students and parents witnessed the shooting. Event was cancelled.</v>
      </c>
      <c r="AA368" s="8" t="str">
        <f ca="1">IFERROR(__xludf.DUMMYFUNCTION("""COMPUTED_VALUE"""),"Domestic w/ Targeted Victim")</f>
        <v>Domestic w/ Targeted Victim</v>
      </c>
      <c r="AB368" s="8" t="str">
        <f ca="1">IFERROR(__xludf.DUMMYFUNCTION("""COMPUTED_VALUE"""),"Spontaneous")</f>
        <v>Spontaneous</v>
      </c>
      <c r="AC368" s="8" t="str">
        <f ca="1">IFERROR(__xludf.DUMMYFUNCTION("""COMPUTED_VALUE"""),"Yes")</f>
        <v>Yes</v>
      </c>
      <c r="AD368" s="8" t="str">
        <f ca="1">IFERROR(__xludf.DUMMYFUNCTION("""COMPUTED_VALUE"""),"Victims Targeted")</f>
        <v>Victims Targeted</v>
      </c>
      <c r="AE368" s="8" t="str">
        <f ca="1">IFERROR(__xludf.DUMMYFUNCTION("""COMPUTED_VALUE"""),"No")</f>
        <v>No</v>
      </c>
      <c r="AF368" s="8"/>
      <c r="AG368" s="8" t="str">
        <f ca="1">IFERROR(__xludf.DUMMYFUNCTION("""COMPUTED_VALUE"""),"No")</f>
        <v>No</v>
      </c>
      <c r="AH368" s="8" t="str">
        <f ca="1">IFERROR(__xludf.DUMMYFUNCTION("""COMPUTED_VALUE"""),"No")</f>
        <v>No</v>
      </c>
      <c r="AI368" s="8" t="str">
        <f ca="1">IFERROR(__xludf.DUMMYFUNCTION("""COMPUTED_VALUE"""),"No")</f>
        <v>No</v>
      </c>
      <c r="AJ368" s="8" t="str">
        <f ca="1">IFERROR(__xludf.DUMMYFUNCTION("""COMPUTED_VALUE"""),"No")</f>
        <v>No</v>
      </c>
      <c r="AK368" s="8" t="str">
        <f ca="1">IFERROR(__xludf.DUMMYFUNCTION("""COMPUTED_VALUE"""),"Yes")</f>
        <v>Yes</v>
      </c>
      <c r="AL368" s="8" t="str">
        <f ca="1">IFERROR(__xludf.DUMMYFUNCTION("""COMPUTED_VALUE"""),"No")</f>
        <v>No</v>
      </c>
      <c r="AM368" s="8" t="str">
        <f ca="1">IFERROR(__xludf.DUMMYFUNCTION("""COMPUTED_VALUE"""),"No")</f>
        <v>No</v>
      </c>
      <c r="AN368" s="8" t="str">
        <f ca="1">IFERROR(__xludf.DUMMYFUNCTION("""COMPUTED_VALUE"""),"Outside")</f>
        <v>Outside</v>
      </c>
      <c r="AO368" s="8" t="str">
        <f ca="1">IFERROR(__xludf.DUMMYFUNCTION("""COMPUTED_VALUE"""),"No")</f>
        <v>No</v>
      </c>
      <c r="AP368" s="8"/>
      <c r="AQ368" s="8"/>
      <c r="AR368" s="8" t="str">
        <f ca="1">IFERROR(__xludf.DUMMYFUNCTION("""COMPUTED_VALUE"""),"Outside/Off-Property")</f>
        <v>Outside/Off-Property</v>
      </c>
      <c r="AS368" s="8">
        <f ca="1">IFERROR(__xludf.DUMMYFUNCTION("""COMPUTED_VALUE"""),99)</f>
        <v>99</v>
      </c>
      <c r="AT368" s="8" t="str">
        <f ca="1">IFERROR(__xludf.DUMMYFUNCTION("""COMPUTED_VALUE"""),"Yes")</f>
        <v>Yes</v>
      </c>
      <c r="AU368" s="8">
        <f ca="1">IFERROR(__xludf.DUMMYFUNCTION("""COMPUTED_VALUE"""),29.332059)</f>
        <v>29.332059000000001</v>
      </c>
      <c r="AV368" s="8">
        <f ca="1">IFERROR(__xludf.DUMMYFUNCTION("""COMPUTED_VALUE"""),-82.16197)</f>
        <v>-82.161969999999997</v>
      </c>
      <c r="AW368" s="8" t="str">
        <f ca="1">IFERROR(__xludf.DUMMYFUNCTION("""COMPUTED_VALUE"""),"Multiple detached buildings")</f>
        <v>Multiple detached buildings</v>
      </c>
      <c r="AX368" s="8">
        <f ca="1">IFERROR(__xludf.DUMMYFUNCTION("""COMPUTED_VALUE"""),32663)</f>
        <v>32663</v>
      </c>
    </row>
    <row r="369" spans="1:50" ht="90" x14ac:dyDescent="0.2">
      <c r="A369" s="8" t="str">
        <f ca="1">IFERROR(__xludf.DUMMYFUNCTION("""COMPUTED_VALUE"""),"20240522NCPUM")</f>
        <v>20240522NCPUM</v>
      </c>
      <c r="B369" s="8">
        <f ca="1">IFERROR(__xludf.DUMMYFUNCTION("""COMPUTED_VALUE"""),5)</f>
        <v>5</v>
      </c>
      <c r="C369" s="8">
        <f ca="1">IFERROR(__xludf.DUMMYFUNCTION("""COMPUTED_VALUE"""),22)</f>
        <v>22</v>
      </c>
      <c r="D369" s="8">
        <f ca="1">IFERROR(__xludf.DUMMYFUNCTION("""COMPUTED_VALUE"""),2024)</f>
        <v>2024</v>
      </c>
      <c r="E369" s="9">
        <f ca="1">IFERROR(__xludf.DUMMYFUNCTION("""COMPUTED_VALUE"""),45434)</f>
        <v>45434</v>
      </c>
      <c r="F369" s="8" t="str">
        <f ca="1">IFERROR(__xludf.DUMMYFUNCTION("""COMPUTED_VALUE"""),"Purnell Swett High School")</f>
        <v>Purnell Swett High School</v>
      </c>
      <c r="G369" s="8">
        <f ca="1">IFERROR(__xludf.DUMMYFUNCTION("""COMPUTED_VALUE"""),0)</f>
        <v>0</v>
      </c>
      <c r="H369" s="8">
        <f ca="1">IFERROR(__xludf.DUMMYFUNCTION("""COMPUTED_VALUE"""),2)</f>
        <v>2</v>
      </c>
      <c r="I369" s="8">
        <f ca="1">IFERROR(__xludf.DUMMYFUNCTION("""COMPUTED_VALUE"""),2)</f>
        <v>2</v>
      </c>
      <c r="J369" s="8">
        <f ca="1">IFERROR(__xludf.DUMMYFUNCTION("""COMPUTED_VALUE"""),0)</f>
        <v>0</v>
      </c>
      <c r="K369" s="10" t="str">
        <f ca="1">IFERROR(__xludf.DUMMYFUNCTION("""COMPUTED_VALUE"""),"https://wpde.com/news/local/shooting-incident-near-purnell-swett-high-school-football-field-shots-fired-injuries-reported-pembroke-community-victims-airlifted-developing-story-robeson-county-may-22-2024
https://www.robesonian.com/news/breaking-news/301589"&amp;"/robeson-county-sheriffs-office-investigating-shooting-that-injured-two-near-purnell-swett-high-school")</f>
        <v>https://wpde.com/news/local/shooting-incident-near-purnell-swett-high-school-football-field-shots-fired-injuries-reported-pembroke-community-victims-airlifted-developing-story-robeson-county-may-22-2024
https://www.robesonian.com/news/breaking-news/301589/robeson-county-sheriffs-office-investigating-shooting-that-injured-two-near-purnell-swett-high-school</v>
      </c>
      <c r="L369" s="8">
        <f ca="1">IFERROR(__xludf.DUMMYFUNCTION("""COMPUTED_VALUE"""),2)</f>
        <v>2</v>
      </c>
      <c r="M369" s="8" t="str">
        <f ca="1">IFERROR(__xludf.DUMMYFUNCTION("""COMPUTED_VALUE"""),"Local")</f>
        <v>Local</v>
      </c>
      <c r="N369" s="8">
        <f ca="1">IFERROR(__xludf.DUMMYFUNCTION("""COMPUTED_VALUE"""),3)</f>
        <v>3</v>
      </c>
      <c r="O369" s="8" t="str">
        <f ca="1">IFERROR(__xludf.DUMMYFUNCTION("""COMPUTED_VALUE"""),"Spring")</f>
        <v>Spring</v>
      </c>
      <c r="P369" s="8" t="str">
        <f ca="1">IFERROR(__xludf.DUMMYFUNCTION("""COMPUTED_VALUE"""),"Maxton")</f>
        <v>Maxton</v>
      </c>
      <c r="Q369" s="8" t="str">
        <f ca="1">IFERROR(__xludf.DUMMYFUNCTION("""COMPUTED_VALUE"""),"NC")</f>
        <v>NC</v>
      </c>
      <c r="R369" s="8" t="str">
        <f ca="1">IFERROR(__xludf.DUMMYFUNCTION("""COMPUTED_VALUE"""),"High")</f>
        <v>High</v>
      </c>
      <c r="S369" s="8" t="str">
        <f ca="1">IFERROR(__xludf.DUMMYFUNCTION("""COMPUTED_VALUE"""),"Football Field/Track")</f>
        <v>Football Field/Track</v>
      </c>
      <c r="T369" s="8" t="str">
        <f ca="1">IFERROR(__xludf.DUMMYFUNCTION("""COMPUTED_VALUE"""),"Outside on School Property")</f>
        <v>Outside on School Property</v>
      </c>
      <c r="U369" s="8" t="str">
        <f ca="1">IFERROR(__xludf.DUMMYFUNCTION("""COMPUTED_VALUE"""),"No")</f>
        <v>No</v>
      </c>
      <c r="V369" s="8" t="str">
        <f ca="1">IFERROR(__xludf.DUMMYFUNCTION("""COMPUTED_VALUE"""),"Sport Event")</f>
        <v>Sport Event</v>
      </c>
      <c r="W369" s="11">
        <f ca="1">IFERROR(__xludf.DUMMYFUNCTION("""COMPUTED_VALUE"""),0.7125)</f>
        <v>0.71250000000000002</v>
      </c>
      <c r="X369" s="8">
        <f ca="1">IFERROR(__xludf.DUMMYFUNCTION("""COMPUTED_VALUE"""),1)</f>
        <v>1</v>
      </c>
      <c r="Y369" s="12" t="str">
        <f ca="1">IFERROR(__xludf.DUMMYFUNCTION("""COMPUTED_VALUE"""),"Ten shots fired near the football field during game")</f>
        <v>Ten shots fired near the football field during game</v>
      </c>
      <c r="Z369" s="12" t="str">
        <f ca="1">IFERROR(__xludf.DUMMYFUNCTION("""COMPUTED_VALUE"""),"Ten shots fired near the football field during the name. High school is located in a rural area without any businesses or public places near the location of the shooting. Police responded for ""active shooter"" including bring the SWAT team APC vehicle to"&amp;" the school. No victims. Shooter fled and was not identified.")</f>
        <v>Ten shots fired near the football field during the name. High school is located in a rural area without any businesses or public places near the location of the shooting. Police responded for "active shooter" including bring the SWAT team APC vehicle to the school. No victims. Shooter fled and was not identified.</v>
      </c>
      <c r="AA369" s="8"/>
      <c r="AB369" s="8"/>
      <c r="AC369" s="8" t="str">
        <f ca="1">IFERROR(__xludf.DUMMYFUNCTION("""COMPUTED_VALUE"""),"Yes")</f>
        <v>Yes</v>
      </c>
      <c r="AD369" s="8"/>
      <c r="AE369" s="8"/>
      <c r="AF369" s="8"/>
      <c r="AG369" s="8" t="str">
        <f ca="1">IFERROR(__xludf.DUMMYFUNCTION("""COMPUTED_VALUE"""),"No")</f>
        <v>No</v>
      </c>
      <c r="AH369" s="8" t="str">
        <f ca="1">IFERROR(__xludf.DUMMYFUNCTION("""COMPUTED_VALUE"""),"No")</f>
        <v>No</v>
      </c>
      <c r="AI369" s="8" t="str">
        <f ca="1">IFERROR(__xludf.DUMMYFUNCTION("""COMPUTED_VALUE"""),"No")</f>
        <v>No</v>
      </c>
      <c r="AJ369" s="8" t="str">
        <f ca="1">IFERROR(__xludf.DUMMYFUNCTION("""COMPUTED_VALUE"""),"No")</f>
        <v>No</v>
      </c>
      <c r="AK369" s="8" t="str">
        <f ca="1">IFERROR(__xludf.DUMMYFUNCTION("""COMPUTED_VALUE"""),"No")</f>
        <v>No</v>
      </c>
      <c r="AL369" s="8" t="str">
        <f ca="1">IFERROR(__xludf.DUMMYFUNCTION("""COMPUTED_VALUE"""),"No")</f>
        <v>No</v>
      </c>
      <c r="AM369" s="8" t="str">
        <f ca="1">IFERROR(__xludf.DUMMYFUNCTION("""COMPUTED_VALUE"""),"No")</f>
        <v>No</v>
      </c>
      <c r="AN369" s="8" t="str">
        <f ca="1">IFERROR(__xludf.DUMMYFUNCTION("""COMPUTED_VALUE"""),"Outside")</f>
        <v>Outside</v>
      </c>
      <c r="AO369" s="8" t="str">
        <f ca="1">IFERROR(__xludf.DUMMYFUNCTION("""COMPUTED_VALUE"""),"No")</f>
        <v>No</v>
      </c>
      <c r="AP369" s="8"/>
      <c r="AQ369" s="8"/>
      <c r="AR369" s="8" t="str">
        <f ca="1">IFERROR(__xludf.DUMMYFUNCTION("""COMPUTED_VALUE"""),"Outside/Off-Property")</f>
        <v>Outside/Off-Property</v>
      </c>
      <c r="AS369" s="8">
        <f ca="1">IFERROR(__xludf.DUMMYFUNCTION("""COMPUTED_VALUE"""),10)</f>
        <v>10</v>
      </c>
      <c r="AT369" s="8" t="str">
        <f ca="1">IFERROR(__xludf.DUMMYFUNCTION("""COMPUTED_VALUE"""),"No")</f>
        <v>No</v>
      </c>
      <c r="AU369" s="8">
        <f ca="1">IFERROR(__xludf.DUMMYFUNCTION("""COMPUTED_VALUE"""),34.694834)</f>
        <v>34.694834</v>
      </c>
      <c r="AV369" s="8">
        <f ca="1">IFERROR(__xludf.DUMMYFUNCTION("""COMPUTED_VALUE"""),-79.244005)</f>
        <v>-79.244005000000001</v>
      </c>
      <c r="AW369" s="8" t="str">
        <f ca="1">IFERROR(__xludf.DUMMYFUNCTION("""COMPUTED_VALUE"""),"Multiple detached buildings")</f>
        <v>Multiple detached buildings</v>
      </c>
      <c r="AX369" s="8">
        <f ca="1">IFERROR(__xludf.DUMMYFUNCTION("""COMPUTED_VALUE"""),28364)</f>
        <v>28364</v>
      </c>
    </row>
    <row r="370" spans="1:50" ht="255" x14ac:dyDescent="0.2">
      <c r="A370" s="8" t="str">
        <f ca="1">IFERROR(__xludf.DUMMYFUNCTION("""COMPUTED_VALUE"""),"20240521MIALG")</f>
        <v>20240521MIALG</v>
      </c>
      <c r="B370" s="8">
        <f ca="1">IFERROR(__xludf.DUMMYFUNCTION("""COMPUTED_VALUE"""),5)</f>
        <v>5</v>
      </c>
      <c r="C370" s="8">
        <f ca="1">IFERROR(__xludf.DUMMYFUNCTION("""COMPUTED_VALUE"""),21)</f>
        <v>21</v>
      </c>
      <c r="D370" s="8">
        <f ca="1">IFERROR(__xludf.DUMMYFUNCTION("""COMPUTED_VALUE"""),2024)</f>
        <v>2024</v>
      </c>
      <c r="E370" s="9">
        <f ca="1">IFERROR(__xludf.DUMMYFUNCTION("""COMPUTED_VALUE"""),45433)</f>
        <v>45433</v>
      </c>
      <c r="F370" s="8" t="str">
        <f ca="1">IFERROR(__xludf.DUMMYFUNCTION("""COMPUTED_VALUE"""),"Alger Middle School")</f>
        <v>Alger Middle School</v>
      </c>
      <c r="G370" s="8">
        <f ca="1">IFERROR(__xludf.DUMMYFUNCTION("""COMPUTED_VALUE"""),0)</f>
        <v>0</v>
      </c>
      <c r="H370" s="8">
        <f ca="1">IFERROR(__xludf.DUMMYFUNCTION("""COMPUTED_VALUE"""),1)</f>
        <v>1</v>
      </c>
      <c r="I370" s="8">
        <f ca="1">IFERROR(__xludf.DUMMYFUNCTION("""COMPUTED_VALUE"""),1)</f>
        <v>1</v>
      </c>
      <c r="J370" s="8">
        <f ca="1">IFERROR(__xludf.DUMMYFUNCTION("""COMPUTED_VALUE"""),0)</f>
        <v>0</v>
      </c>
      <c r="K370" s="8" t="str">
        <f ca="1">IFERROR(__xludf.DUMMYFUNCTION("""COMPUTED_VALUE"""),"https://www.woodtv.com/news/grand-rapids/charges-issued-against-juvenile-in-shooting-near-alger-middle/
https://www.woodtv.com/news/grand-rapids/shooting-near-alger-middle-school-was-an-accident-mom-says/
https://www.mlive.com/news/grand-rapids/2024/05/st"&amp;"udent-traumatized-after-seeing-friend-injured-by-gunshot-outside-classroom-window.html
https://www.woodtv.com/video/alger-middle-school-to-close-wednesday-after-shooting/9716606/
https://www.fox17online.com/news/local-news/grand-rapids/shooting-investigat"&amp;"ion-at-alger-middle-school")</f>
        <v>https://www.woodtv.com/news/grand-rapids/charges-issued-against-juvenile-in-shooting-near-alger-middle/
https://www.woodtv.com/news/grand-rapids/shooting-near-alger-middle-school-was-an-accident-mom-says/
https://www.mlive.com/news/grand-rapids/2024/05/student-traumatized-after-seeing-friend-injured-by-gunshot-outside-classroom-window.html
https://www.woodtv.com/video/alger-middle-school-to-close-wednesday-after-shooting/9716606/
https://www.fox17online.com/news/local-news/grand-rapids/shooting-investigation-at-alger-middle-school</v>
      </c>
      <c r="L370" s="8">
        <f ca="1">IFERROR(__xludf.DUMMYFUNCTION("""COMPUTED_VALUE"""),10)</f>
        <v>10</v>
      </c>
      <c r="M370" s="8" t="str">
        <f ca="1">IFERROR(__xludf.DUMMYFUNCTION("""COMPUTED_VALUE"""),"Regional")</f>
        <v>Regional</v>
      </c>
      <c r="N370" s="8">
        <f ca="1">IFERROR(__xludf.DUMMYFUNCTION("""COMPUTED_VALUE"""),4)</f>
        <v>4</v>
      </c>
      <c r="O370" s="8" t="str">
        <f ca="1">IFERROR(__xludf.DUMMYFUNCTION("""COMPUTED_VALUE"""),"Spring")</f>
        <v>Spring</v>
      </c>
      <c r="P370" s="8" t="str">
        <f ca="1">IFERROR(__xludf.DUMMYFUNCTION("""COMPUTED_VALUE"""),"Grand Rapids")</f>
        <v>Grand Rapids</v>
      </c>
      <c r="Q370" s="8" t="str">
        <f ca="1">IFERROR(__xludf.DUMMYFUNCTION("""COMPUTED_VALUE"""),"MI")</f>
        <v>MI</v>
      </c>
      <c r="R370" s="8" t="str">
        <f ca="1">IFERROR(__xludf.DUMMYFUNCTION("""COMPUTED_VALUE"""),"Middle")</f>
        <v>Middle</v>
      </c>
      <c r="S370" s="8" t="str">
        <f ca="1">IFERROR(__xludf.DUMMYFUNCTION("""COMPUTED_VALUE"""),"Beside Building")</f>
        <v>Beside Building</v>
      </c>
      <c r="T370" s="8" t="str">
        <f ca="1">IFERROR(__xludf.DUMMYFUNCTION("""COMPUTED_VALUE"""),"Outside on School Property")</f>
        <v>Outside on School Property</v>
      </c>
      <c r="U370" s="8" t="str">
        <f ca="1">IFERROR(__xludf.DUMMYFUNCTION("""COMPUTED_VALUE"""),"Yes")</f>
        <v>Yes</v>
      </c>
      <c r="V370" s="8" t="str">
        <f ca="1">IFERROR(__xludf.DUMMYFUNCTION("""COMPUTED_VALUE"""),"Morning Classes")</f>
        <v>Morning Classes</v>
      </c>
      <c r="W370" s="11">
        <f ca="1">IFERROR(__xludf.DUMMYFUNCTION("""COMPUTED_VALUE"""),0.503472222222222)</f>
        <v>0.50347222222222199</v>
      </c>
      <c r="X370" s="8">
        <f ca="1">IFERROR(__xludf.DUMMYFUNCTION("""COMPUTED_VALUE"""),1)</f>
        <v>1</v>
      </c>
      <c r="Y370" s="12" t="str">
        <f ca="1">IFERROR(__xludf.DUMMYFUNCTION("""COMPUTED_VALUE"""),"Student shot in the face outside the school")</f>
        <v>Student shot in the face outside the school</v>
      </c>
      <c r="Z370" s="12" t="str">
        <f ca="1">IFERROR(__xludf.DUMMYFUNCTION("""COMPUTED_VALUE"""),"13-year-old student is in critical condition after being shot in the face outside Alger Middle in Grand Rapids, MI at noon yesterday. A sixth grader at Alger Middle School (MI) heard screams from outside then looked through her classroom window to see a b"&amp;"loodied classmate on a bench. “I was crying,” the 11-year-old girl said. “Like, this has never happened before.” There was “blood everywhere,” she said. School went on Code Red Lockdown for 30 minutes with students barricading and hiding inside classrooms"&amp;". Parents were notified about the lockdown and raced to the school. Police determined the shooting took place in Alger Park, a recreational area owned and operated by the Grand Rapid School District. A 9mm handgun was recovered in the park. It's unclear h"&amp;"ow and why the two students were outside because the school does not have outdoor lunch or recess. Mother of the victim stated the shooting was an accident and the two 8th graders involved were playing with the gun.")</f>
        <v>13-year-old student is in critical condition after being shot in the face outside Alger Middle in Grand Rapids, MI at noon yesterday. A sixth grader at Alger Middle School (MI) heard screams from outside then looked through her classroom window to see a bloodied classmate on a bench. “I was crying,” the 11-year-old girl said. “Like, this has never happened before.” There was “blood everywhere,” she said. School went on Code Red Lockdown for 30 minutes with students barricading and hiding inside classrooms. Parents were notified about the lockdown and raced to the school. Police determined the shooting took place in Alger Park, a recreational area owned and operated by the Grand Rapid School District. A 9mm handgun was recovered in the park. It's unclear how and why the two students were outside because the school does not have outdoor lunch or recess. Mother of the victim stated the shooting was an accident and the two 8th graders involved were playing with the gun.</v>
      </c>
      <c r="AA370" s="8" t="str">
        <f ca="1">IFERROR(__xludf.DUMMYFUNCTION("""COMPUTED_VALUE"""),"Accidental")</f>
        <v>Accidental</v>
      </c>
      <c r="AB370" s="8" t="str">
        <f ca="1">IFERROR(__xludf.DUMMYFUNCTION("""COMPUTED_VALUE"""),"Spontaneous")</f>
        <v>Spontaneous</v>
      </c>
      <c r="AC370" s="8" t="str">
        <f ca="1">IFERROR(__xludf.DUMMYFUNCTION("""COMPUTED_VALUE"""),"Yes")</f>
        <v>Yes</v>
      </c>
      <c r="AD370" s="8"/>
      <c r="AE370" s="8" t="str">
        <f ca="1">IFERROR(__xludf.DUMMYFUNCTION("""COMPUTED_VALUE"""),"Yes")</f>
        <v>Yes</v>
      </c>
      <c r="AF370" s="8" t="str">
        <f ca="1">IFERROR(__xludf.DUMMYFUNCTION("""COMPUTED_VALUE"""),"Two students involved")</f>
        <v>Two students involved</v>
      </c>
      <c r="AG370" s="8" t="str">
        <f ca="1">IFERROR(__xludf.DUMMYFUNCTION("""COMPUTED_VALUE"""),"No")</f>
        <v>No</v>
      </c>
      <c r="AH370" s="8" t="str">
        <f ca="1">IFERROR(__xludf.DUMMYFUNCTION("""COMPUTED_VALUE"""),"No")</f>
        <v>No</v>
      </c>
      <c r="AI370" s="8" t="str">
        <f ca="1">IFERROR(__xludf.DUMMYFUNCTION("""COMPUTED_VALUE"""),"No")</f>
        <v>No</v>
      </c>
      <c r="AJ370" s="8" t="str">
        <f ca="1">IFERROR(__xludf.DUMMYFUNCTION("""COMPUTED_VALUE"""),"No")</f>
        <v>No</v>
      </c>
      <c r="AK370" s="8" t="str">
        <f ca="1">IFERROR(__xludf.DUMMYFUNCTION("""COMPUTED_VALUE"""),"No")</f>
        <v>No</v>
      </c>
      <c r="AL370" s="8" t="str">
        <f ca="1">IFERROR(__xludf.DUMMYFUNCTION("""COMPUTED_VALUE"""),"No")</f>
        <v>No</v>
      </c>
      <c r="AM370" s="8" t="str">
        <f ca="1">IFERROR(__xludf.DUMMYFUNCTION("""COMPUTED_VALUE"""),"No")</f>
        <v>No</v>
      </c>
      <c r="AN370" s="8" t="str">
        <f ca="1">IFERROR(__xludf.DUMMYFUNCTION("""COMPUTED_VALUE"""),"Outside")</f>
        <v>Outside</v>
      </c>
      <c r="AO370" s="8" t="str">
        <f ca="1">IFERROR(__xludf.DUMMYFUNCTION("""COMPUTED_VALUE"""),"No")</f>
        <v>No</v>
      </c>
      <c r="AP370" s="8" t="str">
        <f ca="1">IFERROR(__xludf.DUMMYFUNCTION("""COMPUTED_VALUE"""),"Yes")</f>
        <v>Yes</v>
      </c>
      <c r="AQ370" s="8"/>
      <c r="AR370" s="8" t="str">
        <f ca="1">IFERROR(__xludf.DUMMYFUNCTION("""COMPUTED_VALUE"""),"Outside/Off-Property")</f>
        <v>Outside/Off-Property</v>
      </c>
      <c r="AS370" s="8">
        <f ca="1">IFERROR(__xludf.DUMMYFUNCTION("""COMPUTED_VALUE"""),1)</f>
        <v>1</v>
      </c>
      <c r="AT370" s="8" t="str">
        <f ca="1">IFERROR(__xludf.DUMMYFUNCTION("""COMPUTED_VALUE"""),"Yes")</f>
        <v>Yes</v>
      </c>
      <c r="AU370" s="8">
        <f ca="1">IFERROR(__xludf.DUMMYFUNCTION("""COMPUTED_VALUE"""),42.92119)</f>
        <v>42.921190000000003</v>
      </c>
      <c r="AV370" s="8">
        <f ca="1">IFERROR(__xludf.DUMMYFUNCTION("""COMPUTED_VALUE"""),-85.643684)</f>
        <v>-85.643683999999993</v>
      </c>
      <c r="AW370" s="8" t="str">
        <f ca="1">IFERROR(__xludf.DUMMYFUNCTION("""COMPUTED_VALUE"""),"Single building indoor hallway")</f>
        <v>Single building indoor hallway</v>
      </c>
      <c r="AX370" s="8">
        <f ca="1">IFERROR(__xludf.DUMMYFUNCTION("""COMPUTED_VALUE"""),49507)</f>
        <v>49507</v>
      </c>
    </row>
    <row r="371" spans="1:50" ht="165" x14ac:dyDescent="0.2">
      <c r="A371" s="8" t="str">
        <f ca="1">IFERROR(__xludf.DUMMYFUNCTION("""COMPUTED_VALUE"""),"20240519MOCAC")</f>
        <v>20240519MOCAC</v>
      </c>
      <c r="B371" s="8">
        <f ca="1">IFERROR(__xludf.DUMMYFUNCTION("""COMPUTED_VALUE"""),5)</f>
        <v>5</v>
      </c>
      <c r="C371" s="8">
        <f ca="1">IFERROR(__xludf.DUMMYFUNCTION("""COMPUTED_VALUE"""),19)</f>
        <v>19</v>
      </c>
      <c r="D371" s="8">
        <f ca="1">IFERROR(__xludf.DUMMYFUNCTION("""COMPUTED_VALUE"""),2024)</f>
        <v>2024</v>
      </c>
      <c r="E371" s="9">
        <f ca="1">IFERROR(__xludf.DUMMYFUNCTION("""COMPUTED_VALUE"""),45431)</f>
        <v>45431</v>
      </c>
      <c r="F371" s="8" t="str">
        <f ca="1">IFERROR(__xludf.DUMMYFUNCTION("""COMPUTED_VALUE"""),"Cape Central High School")</f>
        <v>Cape Central High School</v>
      </c>
      <c r="G371" s="8">
        <f ca="1">IFERROR(__xludf.DUMMYFUNCTION("""COMPUTED_VALUE"""),0)</f>
        <v>0</v>
      </c>
      <c r="H371" s="8">
        <f ca="1">IFERROR(__xludf.DUMMYFUNCTION("""COMPUTED_VALUE"""),2)</f>
        <v>2</v>
      </c>
      <c r="I371" s="8">
        <f ca="1">IFERROR(__xludf.DUMMYFUNCTION("""COMPUTED_VALUE"""),2)</f>
        <v>2</v>
      </c>
      <c r="J371" s="8">
        <f ca="1">IFERROR(__xludf.DUMMYFUNCTION("""COMPUTED_VALUE"""),0)</f>
        <v>0</v>
      </c>
      <c r="K371" s="8" t="str">
        <f ca="1">IFERROR(__xludf.DUMMYFUNCTION("""COMPUTED_VALUE"""),"https://www.live5news.com/2024/05/20/2-people-shot-high-school-graduation-ceremony/
https://www.kfvs12.com/2024/05/20/chaos-confusion-inside-show-me-center-during-shooting-graduation/
https://www.wsiltv.com/news/top-stories/cape-central-high-school-respon"&amp;"ds-to-graduation-shooting/article_1a394488-1629-11ef-af87-ebc85e0be34e.html
https://www.kfvs12.com/2024/05/19/police-responding-after-two-people-shot-show-me-center/")</f>
        <v>https://www.live5news.com/2024/05/20/2-people-shot-high-school-graduation-ceremony/
https://www.kfvs12.com/2024/05/20/chaos-confusion-inside-show-me-center-during-shooting-graduation/
https://www.wsiltv.com/news/top-stories/cape-central-high-school-responds-to-graduation-shooting/article_1a394488-1629-11ef-af87-ebc85e0be34e.html
https://www.kfvs12.com/2024/05/19/police-responding-after-two-people-shot-show-me-center/</v>
      </c>
      <c r="L371" s="8">
        <f ca="1">IFERROR(__xludf.DUMMYFUNCTION("""COMPUTED_VALUE"""),10)</f>
        <v>10</v>
      </c>
      <c r="M371" s="8" t="str">
        <f ca="1">IFERROR(__xludf.DUMMYFUNCTION("""COMPUTED_VALUE"""),"Local")</f>
        <v>Local</v>
      </c>
      <c r="N371" s="8">
        <f ca="1">IFERROR(__xludf.DUMMYFUNCTION("""COMPUTED_VALUE"""),4)</f>
        <v>4</v>
      </c>
      <c r="O371" s="8" t="str">
        <f ca="1">IFERROR(__xludf.DUMMYFUNCTION("""COMPUTED_VALUE"""),"Spring")</f>
        <v>Spring</v>
      </c>
      <c r="P371" s="8" t="str">
        <f ca="1">IFERROR(__xludf.DUMMYFUNCTION("""COMPUTED_VALUE"""),"Cape Girardeau")</f>
        <v>Cape Girardeau</v>
      </c>
      <c r="Q371" s="8" t="str">
        <f ca="1">IFERROR(__xludf.DUMMYFUNCTION("""COMPUTED_VALUE"""),"MO")</f>
        <v>MO</v>
      </c>
      <c r="R371" s="8" t="str">
        <f ca="1">IFERROR(__xludf.DUMMYFUNCTION("""COMPUTED_VALUE"""),"High")</f>
        <v>High</v>
      </c>
      <c r="S371" s="8" t="str">
        <f ca="1">IFERROR(__xludf.DUMMYFUNCTION("""COMPUTED_VALUE"""),"Auditorium")</f>
        <v>Auditorium</v>
      </c>
      <c r="T371" s="8" t="str">
        <f ca="1">IFERROR(__xludf.DUMMYFUNCTION("""COMPUTED_VALUE"""),"Off School Property")</f>
        <v>Off School Property</v>
      </c>
      <c r="U371" s="8" t="str">
        <f ca="1">IFERROR(__xludf.DUMMYFUNCTION("""COMPUTED_VALUE"""),"No")</f>
        <v>No</v>
      </c>
      <c r="V371" s="8" t="str">
        <f ca="1">IFERROR(__xludf.DUMMYFUNCTION("""COMPUTED_VALUE"""),"School Event")</f>
        <v>School Event</v>
      </c>
      <c r="W371" s="11">
        <f ca="1">IFERROR(__xludf.DUMMYFUNCTION("""COMPUTED_VALUE"""),0.60625)</f>
        <v>0.60624999999999996</v>
      </c>
      <c r="X371" s="8">
        <f ca="1">IFERROR(__xludf.DUMMYFUNCTION("""COMPUTED_VALUE"""),1)</f>
        <v>1</v>
      </c>
      <c r="Y371" s="12" t="str">
        <f ca="1">IFERROR(__xludf.DUMMYFUNCTION("""COMPUTED_VALUE"""),"Two people shot during fight at graduation ceremony")</f>
        <v>Two people shot during fight at graduation ceremony</v>
      </c>
      <c r="Z371" s="12" t="str">
        <f ca="1">IFERROR(__xludf.DUMMYFUNCTION("""COMPUTED_VALUE"""),"At 2:33 p.m. on Sunday, May 19, the Cape Girardeau Police Department received multiple calls regarding gunfire inside the Show Me Center. According to the police department, two people were shot, and both were taken to the hospital for non-life-threatenin"&amp;"g injuries. A person of interest is currently in custody but names are not being released at this time. The Cape Central High School Graduation was being held at this location on Sunday afternoon. No students or staff members were injured. They were able "&amp;"to get out of the building safely with the help of staff members at the Show Me Center.")</f>
        <v>At 2:33 p.m. on Sunday, May 19, the Cape Girardeau Police Department received multiple calls regarding gunfire inside the Show Me Center. According to the police department, two people were shot, and both were taken to the hospital for non-life-threatening injuries. A person of interest is currently in custody but names are not being released at this time. The Cape Central High School Graduation was being held at this location on Sunday afternoon. No students or staff members were injured. They were able to get out of the building safely with the help of staff members at the Show Me Center.</v>
      </c>
      <c r="AA371" s="8" t="str">
        <f ca="1">IFERROR(__xludf.DUMMYFUNCTION("""COMPUTED_VALUE"""),"Escalation of Dispute")</f>
        <v>Escalation of Dispute</v>
      </c>
      <c r="AB371" s="8" t="str">
        <f ca="1">IFERROR(__xludf.DUMMYFUNCTION("""COMPUTED_VALUE"""),"Spontaneous")</f>
        <v>Spontaneous</v>
      </c>
      <c r="AC371" s="8" t="str">
        <f ca="1">IFERROR(__xludf.DUMMYFUNCTION("""COMPUTED_VALUE"""),"Yes")</f>
        <v>Yes</v>
      </c>
      <c r="AD371" s="8" t="str">
        <f ca="1">IFERROR(__xludf.DUMMYFUNCTION("""COMPUTED_VALUE"""),"Victims Targeted")</f>
        <v>Victims Targeted</v>
      </c>
      <c r="AE371" s="8" t="str">
        <f ca="1">IFERROR(__xludf.DUMMYFUNCTION("""COMPUTED_VALUE"""),"No")</f>
        <v>No</v>
      </c>
      <c r="AF371" s="8"/>
      <c r="AG371" s="8" t="str">
        <f ca="1">IFERROR(__xludf.DUMMYFUNCTION("""COMPUTED_VALUE"""),"No")</f>
        <v>No</v>
      </c>
      <c r="AH371" s="8" t="str">
        <f ca="1">IFERROR(__xludf.DUMMYFUNCTION("""COMPUTED_VALUE"""),"No")</f>
        <v>No</v>
      </c>
      <c r="AI371" s="8" t="str">
        <f ca="1">IFERROR(__xludf.DUMMYFUNCTION("""COMPUTED_VALUE"""),"No")</f>
        <v>No</v>
      </c>
      <c r="AJ371" s="8" t="str">
        <f ca="1">IFERROR(__xludf.DUMMYFUNCTION("""COMPUTED_VALUE"""),"No")</f>
        <v>No</v>
      </c>
      <c r="AK371" s="8" t="str">
        <f ca="1">IFERROR(__xludf.DUMMYFUNCTION("""COMPUTED_VALUE"""),"No")</f>
        <v>No</v>
      </c>
      <c r="AL371" s="8"/>
      <c r="AM371" s="8" t="str">
        <f ca="1">IFERROR(__xludf.DUMMYFUNCTION("""COMPUTED_VALUE"""),"No")</f>
        <v>No</v>
      </c>
      <c r="AN371" s="8" t="str">
        <f ca="1">IFERROR(__xludf.DUMMYFUNCTION("""COMPUTED_VALUE"""),"Single Room")</f>
        <v>Single Room</v>
      </c>
      <c r="AO371" s="8" t="str">
        <f ca="1">IFERROR(__xludf.DUMMYFUNCTION("""COMPUTED_VALUE"""),"No")</f>
        <v>No</v>
      </c>
      <c r="AP371" s="8"/>
      <c r="AQ371" s="8"/>
      <c r="AR371" s="8" t="str">
        <f ca="1">IFERROR(__xludf.DUMMYFUNCTION("""COMPUTED_VALUE"""),"Failed")</f>
        <v>Failed</v>
      </c>
      <c r="AS371" s="8">
        <f ca="1">IFERROR(__xludf.DUMMYFUNCTION("""COMPUTED_VALUE"""),1)</f>
        <v>1</v>
      </c>
      <c r="AT371" s="8" t="str">
        <f ca="1">IFERROR(__xludf.DUMMYFUNCTION("""COMPUTED_VALUE"""),"No")</f>
        <v>No</v>
      </c>
      <c r="AU371" s="8">
        <f ca="1">IFERROR(__xludf.DUMMYFUNCTION("""COMPUTED_VALUE"""),37.276592)</f>
        <v>37.276592000000001</v>
      </c>
      <c r="AV371" s="8">
        <f ca="1">IFERROR(__xludf.DUMMYFUNCTION("""COMPUTED_VALUE"""),-89.565621)</f>
        <v>-89.565620999999993</v>
      </c>
      <c r="AW371" s="8" t="str">
        <f ca="1">IFERROR(__xludf.DUMMYFUNCTION("""COMPUTED_VALUE"""),"Multiple attached buildings")</f>
        <v>Multiple attached buildings</v>
      </c>
      <c r="AX371" s="8">
        <f ca="1">IFERROR(__xludf.DUMMYFUNCTION("""COMPUTED_VALUE"""),63703)</f>
        <v>63703</v>
      </c>
    </row>
    <row r="372" spans="1:50" ht="180" x14ac:dyDescent="0.2">
      <c r="A372" s="8" t="str">
        <f ca="1">IFERROR(__xludf.DUMMYFUNCTION("""COMPUTED_VALUE"""),"20240518SCBOB")</f>
        <v>20240518SCBOB</v>
      </c>
      <c r="B372" s="8">
        <f ca="1">IFERROR(__xludf.DUMMYFUNCTION("""COMPUTED_VALUE"""),5)</f>
        <v>5</v>
      </c>
      <c r="C372" s="8">
        <f ca="1">IFERROR(__xludf.DUMMYFUNCTION("""COMPUTED_VALUE"""),18)</f>
        <v>18</v>
      </c>
      <c r="D372" s="8">
        <f ca="1">IFERROR(__xludf.DUMMYFUNCTION("""COMPUTED_VALUE"""),2024)</f>
        <v>2024</v>
      </c>
      <c r="E372" s="9">
        <f ca="1">IFERROR(__xludf.DUMMYFUNCTION("""COMPUTED_VALUE"""),45430)</f>
        <v>45430</v>
      </c>
      <c r="F372" s="8" t="str">
        <f ca="1">IFERROR(__xludf.DUMMYFUNCTION("""COMPUTED_VALUE"""),"Boiling Springs High School")</f>
        <v>Boiling Springs High School</v>
      </c>
      <c r="G372" s="8">
        <f ca="1">IFERROR(__xludf.DUMMYFUNCTION("""COMPUTED_VALUE"""),0)</f>
        <v>0</v>
      </c>
      <c r="H372" s="8">
        <f ca="1">IFERROR(__xludf.DUMMYFUNCTION("""COMPUTED_VALUE"""),0)</f>
        <v>0</v>
      </c>
      <c r="I372" s="8">
        <f ca="1">IFERROR(__xludf.DUMMYFUNCTION("""COMPUTED_VALUE"""),0)</f>
        <v>0</v>
      </c>
      <c r="J372" s="8">
        <f ca="1">IFERROR(__xludf.DUMMYFUNCTION("""COMPUTED_VALUE"""),0)</f>
        <v>0</v>
      </c>
      <c r="K372" s="10" t="str">
        <f ca="1">IFERROR(__xludf.DUMMYFUNCTION("""COMPUTED_VALUE"""),"https://www.foxcarolina.com/2024/05/20/deputies-man-charged-road-rage-incident-following-upstate-graduation-ceremony/
https://www.wspa.com/news/local-news/man-pulls-gun-breaks-window-following-spartanburg-co-graduation/")</f>
        <v>https://www.foxcarolina.com/2024/05/20/deputies-man-charged-road-rage-incident-following-upstate-graduation-ceremony/
https://www.wspa.com/news/local-news/man-pulls-gun-breaks-window-following-spartanburg-co-graduation/</v>
      </c>
      <c r="L372" s="8">
        <f ca="1">IFERROR(__xludf.DUMMYFUNCTION("""COMPUTED_VALUE"""),10)</f>
        <v>10</v>
      </c>
      <c r="M372" s="8" t="str">
        <f ca="1">IFERROR(__xludf.DUMMYFUNCTION("""COMPUTED_VALUE"""),"Regional")</f>
        <v>Regional</v>
      </c>
      <c r="N372" s="8">
        <f ca="1">IFERROR(__xludf.DUMMYFUNCTION("""COMPUTED_VALUE"""),4)</f>
        <v>4</v>
      </c>
      <c r="O372" s="8" t="str">
        <f ca="1">IFERROR(__xludf.DUMMYFUNCTION("""COMPUTED_VALUE"""),"Spring")</f>
        <v>Spring</v>
      </c>
      <c r="P372" s="8" t="str">
        <f ca="1">IFERROR(__xludf.DUMMYFUNCTION("""COMPUTED_VALUE"""),"Boiling Springs")</f>
        <v>Boiling Springs</v>
      </c>
      <c r="Q372" s="8" t="str">
        <f ca="1">IFERROR(__xludf.DUMMYFUNCTION("""COMPUTED_VALUE"""),"SC")</f>
        <v>SC</v>
      </c>
      <c r="R372" s="8" t="str">
        <f ca="1">IFERROR(__xludf.DUMMYFUNCTION("""COMPUTED_VALUE"""),"High")</f>
        <v>High</v>
      </c>
      <c r="S372" s="8" t="str">
        <f ca="1">IFERROR(__xludf.DUMMYFUNCTION("""COMPUTED_VALUE"""),"Parking Lot")</f>
        <v>Parking Lot</v>
      </c>
      <c r="T372" s="8" t="str">
        <f ca="1">IFERROR(__xludf.DUMMYFUNCTION("""COMPUTED_VALUE"""),"Outside on School Property")</f>
        <v>Outside on School Property</v>
      </c>
      <c r="U372" s="8" t="str">
        <f ca="1">IFERROR(__xludf.DUMMYFUNCTION("""COMPUTED_VALUE"""),"No")</f>
        <v>No</v>
      </c>
      <c r="V372" s="8" t="str">
        <f ca="1">IFERROR(__xludf.DUMMYFUNCTION("""COMPUTED_VALUE"""),"School Event")</f>
        <v>School Event</v>
      </c>
      <c r="W372" s="8"/>
      <c r="X372" s="8">
        <f ca="1">IFERROR(__xludf.DUMMYFUNCTION("""COMPUTED_VALUE"""),1)</f>
        <v>1</v>
      </c>
      <c r="Y372" s="12" t="str">
        <f ca="1">IFERROR(__xludf.DUMMYFUNCTION("""COMPUTED_VALUE"""),"Adult man pointed gun and damaged car with baton during road rage dispute in school parking lot after graduation")</f>
        <v>Adult man pointed gun and damaged car with baton during road rage dispute in school parking lot after graduation</v>
      </c>
      <c r="Z372" s="12" t="str">
        <f ca="1">IFERROR(__xludf.DUMMYFUNCTION("""COMPUTED_VALUE"""),"According to Spartanburg School District Two, friends and family were at the school to witness 604 students graduate from the high school. Following the ceremony, as cars were filing out of the parking lot, officials said a road rage incident took place w"&amp;"here a man caused damage to a victim’s car by hitting it with a baton. Arrest warrants said the man then pulled out a gun and pointed it at more than one person not in self-defense. Deputies have since charged the man, later identified as 52-year-old John"&amp;" David Kanipe, with carrying a weapon on school property, two counts of pointing a firearm at a person and malicious injury to personal property,")</f>
        <v>According to Spartanburg School District Two, friends and family were at the school to witness 604 students graduate from the high school. Following the ceremony, as cars were filing out of the parking lot, officials said a road rage incident took place where a man caused damage to a victim’s car by hitting it with a baton. Arrest warrants said the man then pulled out a gun and pointed it at more than one person not in self-defense. Deputies have since charged the man, later identified as 52-year-old John David Kanipe, with carrying a weapon on school property, two counts of pointing a firearm at a person and malicious injury to personal property,</v>
      </c>
      <c r="AA372" s="8" t="str">
        <f ca="1">IFERROR(__xludf.DUMMYFUNCTION("""COMPUTED_VALUE"""),"Escalation of Dispute")</f>
        <v>Escalation of Dispute</v>
      </c>
      <c r="AB372" s="8" t="str">
        <f ca="1">IFERROR(__xludf.DUMMYFUNCTION("""COMPUTED_VALUE"""),"Spontaneous")</f>
        <v>Spontaneous</v>
      </c>
      <c r="AC372" s="8" t="str">
        <f ca="1">IFERROR(__xludf.DUMMYFUNCTION("""COMPUTED_VALUE"""),"Yes")</f>
        <v>Yes</v>
      </c>
      <c r="AD372" s="8" t="str">
        <f ca="1">IFERROR(__xludf.DUMMYFUNCTION("""COMPUTED_VALUE"""),"Victims Targeted")</f>
        <v>Victims Targeted</v>
      </c>
      <c r="AE372" s="8" t="str">
        <f ca="1">IFERROR(__xludf.DUMMYFUNCTION("""COMPUTED_VALUE"""),"No")</f>
        <v>No</v>
      </c>
      <c r="AF372" s="8"/>
      <c r="AG372" s="8" t="str">
        <f ca="1">IFERROR(__xludf.DUMMYFUNCTION("""COMPUTED_VALUE"""),"No")</f>
        <v>No</v>
      </c>
      <c r="AH372" s="8" t="str">
        <f ca="1">IFERROR(__xludf.DUMMYFUNCTION("""COMPUTED_VALUE"""),"No")</f>
        <v>No</v>
      </c>
      <c r="AI372" s="8" t="str">
        <f ca="1">IFERROR(__xludf.DUMMYFUNCTION("""COMPUTED_VALUE"""),"No")</f>
        <v>No</v>
      </c>
      <c r="AJ372" s="8" t="str">
        <f ca="1">IFERROR(__xludf.DUMMYFUNCTION("""COMPUTED_VALUE"""),"No")</f>
        <v>No</v>
      </c>
      <c r="AK372" s="8" t="str">
        <f ca="1">IFERROR(__xludf.DUMMYFUNCTION("""COMPUTED_VALUE"""),"No")</f>
        <v>No</v>
      </c>
      <c r="AL372" s="8" t="str">
        <f ca="1">IFERROR(__xludf.DUMMYFUNCTION("""COMPUTED_VALUE"""),"No")</f>
        <v>No</v>
      </c>
      <c r="AM372" s="8" t="str">
        <f ca="1">IFERROR(__xludf.DUMMYFUNCTION("""COMPUTED_VALUE"""),"No")</f>
        <v>No</v>
      </c>
      <c r="AN372" s="8" t="str">
        <f ca="1">IFERROR(__xludf.DUMMYFUNCTION("""COMPUTED_VALUE"""),"Outside")</f>
        <v>Outside</v>
      </c>
      <c r="AO372" s="8" t="str">
        <f ca="1">IFERROR(__xludf.DUMMYFUNCTION("""COMPUTED_VALUE"""),"No")</f>
        <v>No</v>
      </c>
      <c r="AP372" s="8"/>
      <c r="AQ372" s="8"/>
      <c r="AR372" s="8" t="str">
        <f ca="1">IFERROR(__xludf.DUMMYFUNCTION("""COMPUTED_VALUE"""),"Outside/Off-Property")</f>
        <v>Outside/Off-Property</v>
      </c>
      <c r="AS372" s="8">
        <f ca="1">IFERROR(__xludf.DUMMYFUNCTION("""COMPUTED_VALUE"""),0)</f>
        <v>0</v>
      </c>
      <c r="AT372" s="8" t="str">
        <f ca="1">IFERROR(__xludf.DUMMYFUNCTION("""COMPUTED_VALUE"""),"No")</f>
        <v>No</v>
      </c>
      <c r="AU372" s="8">
        <f ca="1">IFERROR(__xludf.DUMMYFUNCTION("""COMPUTED_VALUE"""),35.048261)</f>
        <v>35.048260999999997</v>
      </c>
      <c r="AV372" s="8">
        <f ca="1">IFERROR(__xludf.DUMMYFUNCTION("""COMPUTED_VALUE"""),-81.97566)</f>
        <v>-81.975660000000005</v>
      </c>
      <c r="AW372" s="8" t="str">
        <f ca="1">IFERROR(__xludf.DUMMYFUNCTION("""COMPUTED_VALUE"""),"Multiple detached buildings")</f>
        <v>Multiple detached buildings</v>
      </c>
      <c r="AX372" s="8">
        <f ca="1">IFERROR(__xludf.DUMMYFUNCTION("""COMPUTED_VALUE"""),29316)</f>
        <v>29316</v>
      </c>
    </row>
    <row r="373" spans="1:50" ht="60" x14ac:dyDescent="0.2">
      <c r="A373" s="8" t="str">
        <f ca="1">IFERROR(__xludf.DUMMYFUNCTION("""COMPUTED_VALUE"""),"20240518MODEK")</f>
        <v>20240518MODEK</v>
      </c>
      <c r="B373" s="8">
        <f ca="1">IFERROR(__xludf.DUMMYFUNCTION("""COMPUTED_VALUE"""),5)</f>
        <v>5</v>
      </c>
      <c r="C373" s="8">
        <f ca="1">IFERROR(__xludf.DUMMYFUNCTION("""COMPUTED_VALUE"""),18)</f>
        <v>18</v>
      </c>
      <c r="D373" s="8">
        <f ca="1">IFERROR(__xludf.DUMMYFUNCTION("""COMPUTED_VALUE"""),2024)</f>
        <v>2024</v>
      </c>
      <c r="E373" s="9">
        <f ca="1">IFERROR(__xludf.DUMMYFUNCTION("""COMPUTED_VALUE"""),45430)</f>
        <v>45430</v>
      </c>
      <c r="F373" s="8" t="str">
        <f ca="1">IFERROR(__xludf.DUMMYFUNCTION("""COMPUTED_VALUE"""),"De La Salle Charter High School")</f>
        <v>De La Salle Charter High School</v>
      </c>
      <c r="G373" s="8">
        <f ca="1">IFERROR(__xludf.DUMMYFUNCTION("""COMPUTED_VALUE"""),0)</f>
        <v>0</v>
      </c>
      <c r="H373" s="8">
        <f ca="1">IFERROR(__xludf.DUMMYFUNCTION("""COMPUTED_VALUE"""),0)</f>
        <v>0</v>
      </c>
      <c r="I373" s="8">
        <f ca="1">IFERROR(__xludf.DUMMYFUNCTION("""COMPUTED_VALUE"""),0)</f>
        <v>0</v>
      </c>
      <c r="J373" s="8">
        <f ca="1">IFERROR(__xludf.DUMMYFUNCTION("""COMPUTED_VALUE"""),0)</f>
        <v>0</v>
      </c>
      <c r="K373" s="10" t="str">
        <f ca="1">IFERROR(__xludf.DUMMYFUNCTION("""COMPUTED_VALUE"""),"https://www.kctv5.com/2024/05/18/police-investigate-after-gun-fired-during-kansas-city-graduation-ceremony/
https://www.kshb.com/news/crime/shots-fired-near-delasalle-education-center-graduation-saturday")</f>
        <v>https://www.kctv5.com/2024/05/18/police-investigate-after-gun-fired-during-kansas-city-graduation-ceremony/
https://www.kshb.com/news/crime/shots-fired-near-delasalle-education-center-graduation-saturday</v>
      </c>
      <c r="L373" s="8">
        <f ca="1">IFERROR(__xludf.DUMMYFUNCTION("""COMPUTED_VALUE"""),2)</f>
        <v>2</v>
      </c>
      <c r="M373" s="8" t="str">
        <f ca="1">IFERROR(__xludf.DUMMYFUNCTION("""COMPUTED_VALUE"""),"Local")</f>
        <v>Local</v>
      </c>
      <c r="N373" s="8">
        <f ca="1">IFERROR(__xludf.DUMMYFUNCTION("""COMPUTED_VALUE"""),3)</f>
        <v>3</v>
      </c>
      <c r="O373" s="8" t="str">
        <f ca="1">IFERROR(__xludf.DUMMYFUNCTION("""COMPUTED_VALUE"""),"Spring")</f>
        <v>Spring</v>
      </c>
      <c r="P373" s="8" t="str">
        <f ca="1">IFERROR(__xludf.DUMMYFUNCTION("""COMPUTED_VALUE"""),"Kansas City")</f>
        <v>Kansas City</v>
      </c>
      <c r="Q373" s="8" t="str">
        <f ca="1">IFERROR(__xludf.DUMMYFUNCTION("""COMPUTED_VALUE"""),"MO")</f>
        <v>MO</v>
      </c>
      <c r="R373" s="8" t="str">
        <f ca="1">IFERROR(__xludf.DUMMYFUNCTION("""COMPUTED_VALUE"""),"High")</f>
        <v>High</v>
      </c>
      <c r="S373" s="8" t="str">
        <f ca="1">IFERROR(__xludf.DUMMYFUNCTION("""COMPUTED_VALUE"""),"Auditorium")</f>
        <v>Auditorium</v>
      </c>
      <c r="T373" s="8" t="str">
        <f ca="1">IFERROR(__xludf.DUMMYFUNCTION("""COMPUTED_VALUE"""),"Inside School Building")</f>
        <v>Inside School Building</v>
      </c>
      <c r="U373" s="8" t="str">
        <f ca="1">IFERROR(__xludf.DUMMYFUNCTION("""COMPUTED_VALUE"""),"No")</f>
        <v>No</v>
      </c>
      <c r="V373" s="8" t="str">
        <f ca="1">IFERROR(__xludf.DUMMYFUNCTION("""COMPUTED_VALUE"""),"School Event")</f>
        <v>School Event</v>
      </c>
      <c r="W373" s="11">
        <f ca="1">IFERROR(__xludf.DUMMYFUNCTION("""COMPUTED_VALUE"""),0.666666666666666)</f>
        <v>0.66666666666666596</v>
      </c>
      <c r="X373" s="8">
        <f ca="1">IFERROR(__xludf.DUMMYFUNCTION("""COMPUTED_VALUE"""),1)</f>
        <v>1</v>
      </c>
      <c r="Y373" s="12" t="str">
        <f ca="1">IFERROR(__xludf.DUMMYFUNCTION("""COMPUTED_VALUE"""),"Shots fired during fight between two groups at graduation")</f>
        <v>Shots fired during fight between two groups at graduation</v>
      </c>
      <c r="Z373" s="12" t="str">
        <f ca="1">IFERROR(__xludf.DUMMYFUNCTION("""COMPUTED_VALUE"""),"Shots fired during fight between two groups at graduation.")</f>
        <v>Shots fired during fight between two groups at graduation.</v>
      </c>
      <c r="AA373" s="8" t="str">
        <f ca="1">IFERROR(__xludf.DUMMYFUNCTION("""COMPUTED_VALUE"""),"Escalation of Dispute")</f>
        <v>Escalation of Dispute</v>
      </c>
      <c r="AB373" s="8" t="str">
        <f ca="1">IFERROR(__xludf.DUMMYFUNCTION("""COMPUTED_VALUE"""),"Spontaneous")</f>
        <v>Spontaneous</v>
      </c>
      <c r="AC373" s="8" t="str">
        <f ca="1">IFERROR(__xludf.DUMMYFUNCTION("""COMPUTED_VALUE"""),"Yes")</f>
        <v>Yes</v>
      </c>
      <c r="AD373" s="8" t="str">
        <f ca="1">IFERROR(__xludf.DUMMYFUNCTION("""COMPUTED_VALUE"""),"Victims Targeted")</f>
        <v>Victims Targeted</v>
      </c>
      <c r="AE373" s="8"/>
      <c r="AF373" s="8"/>
      <c r="AG373" s="8" t="str">
        <f ca="1">IFERROR(__xludf.DUMMYFUNCTION("""COMPUTED_VALUE"""),"No")</f>
        <v>No</v>
      </c>
      <c r="AH373" s="8" t="str">
        <f ca="1">IFERROR(__xludf.DUMMYFUNCTION("""COMPUTED_VALUE"""),"No")</f>
        <v>No</v>
      </c>
      <c r="AI373" s="8" t="str">
        <f ca="1">IFERROR(__xludf.DUMMYFUNCTION("""COMPUTED_VALUE"""),"No")</f>
        <v>No</v>
      </c>
      <c r="AJ373" s="8" t="str">
        <f ca="1">IFERROR(__xludf.DUMMYFUNCTION("""COMPUTED_VALUE"""),"No")</f>
        <v>No</v>
      </c>
      <c r="AK373" s="8" t="str">
        <f ca="1">IFERROR(__xludf.DUMMYFUNCTION("""COMPUTED_VALUE"""),"No")</f>
        <v>No</v>
      </c>
      <c r="AL373" s="8"/>
      <c r="AM373" s="8" t="str">
        <f ca="1">IFERROR(__xludf.DUMMYFUNCTION("""COMPUTED_VALUE"""),"No")</f>
        <v>No</v>
      </c>
      <c r="AN373" s="8" t="str">
        <f ca="1">IFERROR(__xludf.DUMMYFUNCTION("""COMPUTED_VALUE"""),"Single Room")</f>
        <v>Single Room</v>
      </c>
      <c r="AO373" s="8" t="str">
        <f ca="1">IFERROR(__xludf.DUMMYFUNCTION("""COMPUTED_VALUE"""),"No")</f>
        <v>No</v>
      </c>
      <c r="AP373" s="8"/>
      <c r="AQ373" s="8"/>
      <c r="AR373" s="8" t="str">
        <f ca="1">IFERROR(__xludf.DUMMYFUNCTION("""COMPUTED_VALUE"""),"Failed")</f>
        <v>Failed</v>
      </c>
      <c r="AS373" s="8">
        <f ca="1">IFERROR(__xludf.DUMMYFUNCTION("""COMPUTED_VALUE"""),99)</f>
        <v>99</v>
      </c>
      <c r="AT373" s="8" t="str">
        <f ca="1">IFERROR(__xludf.DUMMYFUNCTION("""COMPUTED_VALUE"""),"No")</f>
        <v>No</v>
      </c>
      <c r="AU373" s="8">
        <f ca="1">IFERROR(__xludf.DUMMYFUNCTION("""COMPUTED_VALUE"""),39.058222)</f>
        <v>39.058222000000001</v>
      </c>
      <c r="AV373" s="8">
        <f ca="1">IFERROR(__xludf.DUMMYFUNCTION("""COMPUTED_VALUE"""),-94.571806)</f>
        <v>-94.571805999999995</v>
      </c>
      <c r="AW373" s="8" t="str">
        <f ca="1">IFERROR(__xludf.DUMMYFUNCTION("""COMPUTED_VALUE"""),"Multiple attached buildings")</f>
        <v>Multiple attached buildings</v>
      </c>
      <c r="AX373" s="8">
        <f ca="1">IFERROR(__xludf.DUMMYFUNCTION("""COMPUTED_VALUE"""),64109)</f>
        <v>64109</v>
      </c>
    </row>
    <row r="374" spans="1:50" ht="75" x14ac:dyDescent="0.2">
      <c r="A374" s="8" t="str">
        <f ca="1">IFERROR(__xludf.DUMMYFUNCTION("""COMPUTED_VALUE"""),"20240518OHWIC")</f>
        <v>20240518OHWIC</v>
      </c>
      <c r="B374" s="8">
        <f ca="1">IFERROR(__xludf.DUMMYFUNCTION("""COMPUTED_VALUE"""),5)</f>
        <v>5</v>
      </c>
      <c r="C374" s="8">
        <f ca="1">IFERROR(__xludf.DUMMYFUNCTION("""COMPUTED_VALUE"""),18)</f>
        <v>18</v>
      </c>
      <c r="D374" s="8">
        <f ca="1">IFERROR(__xludf.DUMMYFUNCTION("""COMPUTED_VALUE"""),2024)</f>
        <v>2024</v>
      </c>
      <c r="E374" s="9">
        <f ca="1">IFERROR(__xludf.DUMMYFUNCTION("""COMPUTED_VALUE"""),45430)</f>
        <v>45430</v>
      </c>
      <c r="F374" s="8" t="str">
        <f ca="1">IFERROR(__xludf.DUMMYFUNCTION("""COMPUTED_VALUE"""),"Withrow High School")</f>
        <v>Withrow High School</v>
      </c>
      <c r="G374" s="8">
        <f ca="1">IFERROR(__xludf.DUMMYFUNCTION("""COMPUTED_VALUE"""),1)</f>
        <v>1</v>
      </c>
      <c r="H374" s="8">
        <f ca="1">IFERROR(__xludf.DUMMYFUNCTION("""COMPUTED_VALUE"""),0)</f>
        <v>0</v>
      </c>
      <c r="I374" s="8">
        <f ca="1">IFERROR(__xludf.DUMMYFUNCTION("""COMPUTED_VALUE"""),1)</f>
        <v>1</v>
      </c>
      <c r="J374" s="8">
        <f ca="1">IFERROR(__xludf.DUMMYFUNCTION("""COMPUTED_VALUE"""),0)</f>
        <v>0</v>
      </c>
      <c r="K374" s="10" t="str">
        <f ca="1">IFERROR(__xludf.DUMMYFUNCTION("""COMPUTED_VALUE"""),"https://www.wlwt.com/article/18-year-old-dies-shooting-withrow-high-school/60832047
https://www.wcpo.com/news/local-news/hamilton-county/cincinnati/hyde-park/cpd-1-injured-in-shooting-near-withrow-high-school")</f>
        <v>https://www.wlwt.com/article/18-year-old-dies-shooting-withrow-high-school/60832047
https://www.wcpo.com/news/local-news/hamilton-county/cincinnati/hyde-park/cpd-1-injured-in-shooting-near-withrow-high-school</v>
      </c>
      <c r="L374" s="8">
        <f ca="1">IFERROR(__xludf.DUMMYFUNCTION("""COMPUTED_VALUE"""),5)</f>
        <v>5</v>
      </c>
      <c r="M374" s="8" t="str">
        <f ca="1">IFERROR(__xludf.DUMMYFUNCTION("""COMPUTED_VALUE"""),"Local")</f>
        <v>Local</v>
      </c>
      <c r="N374" s="8">
        <f ca="1">IFERROR(__xludf.DUMMYFUNCTION("""COMPUTED_VALUE"""),4)</f>
        <v>4</v>
      </c>
      <c r="O374" s="8" t="str">
        <f ca="1">IFERROR(__xludf.DUMMYFUNCTION("""COMPUTED_VALUE"""),"Spring")</f>
        <v>Spring</v>
      </c>
      <c r="P374" s="8" t="str">
        <f ca="1">IFERROR(__xludf.DUMMYFUNCTION("""COMPUTED_VALUE"""),"Cincinnati")</f>
        <v>Cincinnati</v>
      </c>
      <c r="Q374" s="8" t="str">
        <f ca="1">IFERROR(__xludf.DUMMYFUNCTION("""COMPUTED_VALUE"""),"OH")</f>
        <v>OH</v>
      </c>
      <c r="R374" s="8" t="str">
        <f ca="1">IFERROR(__xludf.DUMMYFUNCTION("""COMPUTED_VALUE"""),"High")</f>
        <v>High</v>
      </c>
      <c r="S374" s="8" t="str">
        <f ca="1">IFERROR(__xludf.DUMMYFUNCTION("""COMPUTED_VALUE"""),"Parking Lot")</f>
        <v>Parking Lot</v>
      </c>
      <c r="T374" s="8" t="str">
        <f ca="1">IFERROR(__xludf.DUMMYFUNCTION("""COMPUTED_VALUE"""),"Outside on School Property")</f>
        <v>Outside on School Property</v>
      </c>
      <c r="U374" s="8" t="str">
        <f ca="1">IFERROR(__xludf.DUMMYFUNCTION("""COMPUTED_VALUE"""),"No")</f>
        <v>No</v>
      </c>
      <c r="V374" s="8" t="str">
        <f ca="1">IFERROR(__xludf.DUMMYFUNCTION("""COMPUTED_VALUE"""),"Night")</f>
        <v>Night</v>
      </c>
      <c r="W374" s="11">
        <f ca="1">IFERROR(__xludf.DUMMYFUNCTION("""COMPUTED_VALUE"""),0.145833333333333)</f>
        <v>0.14583333333333301</v>
      </c>
      <c r="X374" s="8">
        <f ca="1">IFERROR(__xludf.DUMMYFUNCTION("""COMPUTED_VALUE"""),1)</f>
        <v>1</v>
      </c>
      <c r="Y374" s="12" t="str">
        <f ca="1">IFERROR(__xludf.DUMMYFUNCTION("""COMPUTED_VALUE"""),"Student fatally shot during large gathering in the parking lot after graduation")</f>
        <v>Student fatally shot during large gathering in the parking lot after graduation</v>
      </c>
      <c r="Z374" s="12" t="str">
        <f ca="1">IFERROR(__xludf.DUMMYFUNCTION("""COMPUTED_VALUE"""),"An 18-year-old was killed hours after graduating from Withrow High School. Large group of students were in the parking lot of the high school when 30-40 shots were fired. Victim was shot in the chest and neck, he died at the hospital. Shooter fled.")</f>
        <v>An 18-year-old was killed hours after graduating from Withrow High School. Large group of students were in the parking lot of the high school when 30-40 shots were fired. Victim was shot in the chest and neck, he died at the hospital. Shooter fled.</v>
      </c>
      <c r="AA374" s="8"/>
      <c r="AB374" s="8"/>
      <c r="AC374" s="8" t="str">
        <f ca="1">IFERROR(__xludf.DUMMYFUNCTION("""COMPUTED_VALUE"""),"Yes")</f>
        <v>Yes</v>
      </c>
      <c r="AD374" s="8"/>
      <c r="AE374" s="8" t="str">
        <f ca="1">IFERROR(__xludf.DUMMYFUNCTION("""COMPUTED_VALUE"""),"No")</f>
        <v>No</v>
      </c>
      <c r="AF374" s="8"/>
      <c r="AG374" s="8" t="str">
        <f ca="1">IFERROR(__xludf.DUMMYFUNCTION("""COMPUTED_VALUE"""),"No")</f>
        <v>No</v>
      </c>
      <c r="AH374" s="8" t="str">
        <f ca="1">IFERROR(__xludf.DUMMYFUNCTION("""COMPUTED_VALUE"""),"No")</f>
        <v>No</v>
      </c>
      <c r="AI374" s="8" t="str">
        <f ca="1">IFERROR(__xludf.DUMMYFUNCTION("""COMPUTED_VALUE"""),"No")</f>
        <v>No</v>
      </c>
      <c r="AJ374" s="8" t="str">
        <f ca="1">IFERROR(__xludf.DUMMYFUNCTION("""COMPUTED_VALUE"""),"No")</f>
        <v>No</v>
      </c>
      <c r="AK374" s="8" t="str">
        <f ca="1">IFERROR(__xludf.DUMMYFUNCTION("""COMPUTED_VALUE"""),"No")</f>
        <v>No</v>
      </c>
      <c r="AL374" s="8" t="str">
        <f ca="1">IFERROR(__xludf.DUMMYFUNCTION("""COMPUTED_VALUE"""),"No")</f>
        <v>No</v>
      </c>
      <c r="AM374" s="8" t="str">
        <f ca="1">IFERROR(__xludf.DUMMYFUNCTION("""COMPUTED_VALUE"""),"No")</f>
        <v>No</v>
      </c>
      <c r="AN374" s="8" t="str">
        <f ca="1">IFERROR(__xludf.DUMMYFUNCTION("""COMPUTED_VALUE"""),"Outside")</f>
        <v>Outside</v>
      </c>
      <c r="AO374" s="8" t="str">
        <f ca="1">IFERROR(__xludf.DUMMYFUNCTION("""COMPUTED_VALUE"""),"No")</f>
        <v>No</v>
      </c>
      <c r="AP374" s="8"/>
      <c r="AQ374" s="8"/>
      <c r="AR374" s="8" t="str">
        <f ca="1">IFERROR(__xludf.DUMMYFUNCTION("""COMPUTED_VALUE"""),"Outside/Off-Property")</f>
        <v>Outside/Off-Property</v>
      </c>
      <c r="AS374" s="8">
        <f ca="1">IFERROR(__xludf.DUMMYFUNCTION("""COMPUTED_VALUE"""),40)</f>
        <v>40</v>
      </c>
      <c r="AT374" s="8" t="str">
        <f ca="1">IFERROR(__xludf.DUMMYFUNCTION("""COMPUTED_VALUE"""),"No")</f>
        <v>No</v>
      </c>
      <c r="AU374" s="8">
        <f ca="1">IFERROR(__xludf.DUMMYFUNCTION("""COMPUTED_VALUE"""),39.140791)</f>
        <v>39.140791</v>
      </c>
      <c r="AV374" s="8">
        <f ca="1">IFERROR(__xludf.DUMMYFUNCTION("""COMPUTED_VALUE"""),-84.45232)</f>
        <v>-84.45232</v>
      </c>
      <c r="AW374" s="8" t="str">
        <f ca="1">IFERROR(__xludf.DUMMYFUNCTION("""COMPUTED_VALUE"""),"Multiple attached buildings")</f>
        <v>Multiple attached buildings</v>
      </c>
      <c r="AX374" s="8">
        <f ca="1">IFERROR(__xludf.DUMMYFUNCTION("""COMPUTED_VALUE"""),45208)</f>
        <v>45208</v>
      </c>
    </row>
    <row r="375" spans="1:50" ht="75" x14ac:dyDescent="0.2">
      <c r="A375" s="8" t="str">
        <f ca="1">IFERROR(__xludf.DUMMYFUNCTION("""COMPUTED_VALUE"""),"20240518OHMAC")</f>
        <v>20240518OHMAC</v>
      </c>
      <c r="B375" s="8">
        <f ca="1">IFERROR(__xludf.DUMMYFUNCTION("""COMPUTED_VALUE"""),5)</f>
        <v>5</v>
      </c>
      <c r="C375" s="8">
        <f ca="1">IFERROR(__xludf.DUMMYFUNCTION("""COMPUTED_VALUE"""),18)</f>
        <v>18</v>
      </c>
      <c r="D375" s="8">
        <f ca="1">IFERROR(__xludf.DUMMYFUNCTION("""COMPUTED_VALUE"""),2024)</f>
        <v>2024</v>
      </c>
      <c r="E375" s="9">
        <f ca="1">IFERROR(__xludf.DUMMYFUNCTION("""COMPUTED_VALUE"""),45430)</f>
        <v>45430</v>
      </c>
      <c r="F375" s="8" t="str">
        <f ca="1">IFERROR(__xludf.DUMMYFUNCTION("""COMPUTED_VALUE"""),"Marion-Sterling School")</f>
        <v>Marion-Sterling School</v>
      </c>
      <c r="G375" s="8">
        <f ca="1">IFERROR(__xludf.DUMMYFUNCTION("""COMPUTED_VALUE"""),0)</f>
        <v>0</v>
      </c>
      <c r="H375" s="8">
        <f ca="1">IFERROR(__xludf.DUMMYFUNCTION("""COMPUTED_VALUE"""),1)</f>
        <v>1</v>
      </c>
      <c r="I375" s="8">
        <f ca="1">IFERROR(__xludf.DUMMYFUNCTION("""COMPUTED_VALUE"""),1)</f>
        <v>1</v>
      </c>
      <c r="J375" s="8">
        <f ca="1">IFERROR(__xludf.DUMMYFUNCTION("""COMPUTED_VALUE"""),0)</f>
        <v>0</v>
      </c>
      <c r="K375" s="10" t="str">
        <f ca="1">IFERROR(__xludf.DUMMYFUNCTION("""COMPUTED_VALUE"""),"https://www.cleveland19.com/2024/05/16/vendor-pulls-gun-another-adult-cmsd-elementary-school/
https://fox8.com/news/gun-pulled-at-cleveland-elementary-school/")</f>
        <v>https://www.cleveland19.com/2024/05/16/vendor-pulls-gun-another-adult-cmsd-elementary-school/
https://fox8.com/news/gun-pulled-at-cleveland-elementary-school/</v>
      </c>
      <c r="L375" s="8">
        <f ca="1">IFERROR(__xludf.DUMMYFUNCTION("""COMPUTED_VALUE"""),2)</f>
        <v>2</v>
      </c>
      <c r="M375" s="8" t="str">
        <f ca="1">IFERROR(__xludf.DUMMYFUNCTION("""COMPUTED_VALUE"""),"Local")</f>
        <v>Local</v>
      </c>
      <c r="N375" s="8">
        <f ca="1">IFERROR(__xludf.DUMMYFUNCTION("""COMPUTED_VALUE"""),4)</f>
        <v>4</v>
      </c>
      <c r="O375" s="8" t="str">
        <f ca="1">IFERROR(__xludf.DUMMYFUNCTION("""COMPUTED_VALUE"""),"Spring")</f>
        <v>Spring</v>
      </c>
      <c r="P375" s="8" t="str">
        <f ca="1">IFERROR(__xludf.DUMMYFUNCTION("""COMPUTED_VALUE"""),"Cleveland")</f>
        <v>Cleveland</v>
      </c>
      <c r="Q375" s="8" t="str">
        <f ca="1">IFERROR(__xludf.DUMMYFUNCTION("""COMPUTED_VALUE"""),"OH")</f>
        <v>OH</v>
      </c>
      <c r="R375" s="8" t="str">
        <f ca="1">IFERROR(__xludf.DUMMYFUNCTION("""COMPUTED_VALUE"""),"Elementary")</f>
        <v>Elementary</v>
      </c>
      <c r="S375" s="8" t="str">
        <f ca="1">IFERROR(__xludf.DUMMYFUNCTION("""COMPUTED_VALUE"""),"Parking Lot")</f>
        <v>Parking Lot</v>
      </c>
      <c r="T375" s="8" t="str">
        <f ca="1">IFERROR(__xludf.DUMMYFUNCTION("""COMPUTED_VALUE"""),"Outside on School Property")</f>
        <v>Outside on School Property</v>
      </c>
      <c r="U375" s="8" t="str">
        <f ca="1">IFERROR(__xludf.DUMMYFUNCTION("""COMPUTED_VALUE"""),"Yes")</f>
        <v>Yes</v>
      </c>
      <c r="V375" s="8" t="str">
        <f ca="1">IFERROR(__xludf.DUMMYFUNCTION("""COMPUTED_VALUE"""),"Morning Classes")</f>
        <v>Morning Classes</v>
      </c>
      <c r="W375" s="8"/>
      <c r="X375" s="8">
        <f ca="1">IFERROR(__xludf.DUMMYFUNCTION("""COMPUTED_VALUE"""),1)</f>
        <v>1</v>
      </c>
      <c r="Y375" s="12" t="str">
        <f ca="1">IFERROR(__xludf.DUMMYFUNCTION("""COMPUTED_VALUE"""),"Man pointed gun at vendor and threatened him about debt during school event")</f>
        <v>Man pointed gun at vendor and threatened him about debt during school event</v>
      </c>
      <c r="Z375" s="12" t="str">
        <f ca="1">IFERROR(__xludf.DUMMYFUNCTION("""COMPUTED_VALUE"""),"Man pointed gun at vendor and threatened him about debt during school event. No shots fired. Man arrested for aggravated menacing and possession of a deadly weapon in a school safety zone, according to the district.")</f>
        <v>Man pointed gun at vendor and threatened him about debt during school event. No shots fired. Man arrested for aggravated menacing and possession of a deadly weapon in a school safety zone, according to the district.</v>
      </c>
      <c r="AA375" s="8" t="str">
        <f ca="1">IFERROR(__xludf.DUMMYFUNCTION("""COMPUTED_VALUE"""),"Escalation of Dispute")</f>
        <v>Escalation of Dispute</v>
      </c>
      <c r="AB375" s="8" t="str">
        <f ca="1">IFERROR(__xludf.DUMMYFUNCTION("""COMPUTED_VALUE"""),"Spontaneous")</f>
        <v>Spontaneous</v>
      </c>
      <c r="AC375" s="8" t="str">
        <f ca="1">IFERROR(__xludf.DUMMYFUNCTION("""COMPUTED_VALUE"""),"Yes")</f>
        <v>Yes</v>
      </c>
      <c r="AD375" s="8" t="str">
        <f ca="1">IFERROR(__xludf.DUMMYFUNCTION("""COMPUTED_VALUE"""),"Victims Targeted")</f>
        <v>Victims Targeted</v>
      </c>
      <c r="AE375" s="8" t="str">
        <f ca="1">IFERROR(__xludf.DUMMYFUNCTION("""COMPUTED_VALUE"""),"No")</f>
        <v>No</v>
      </c>
      <c r="AF375" s="8"/>
      <c r="AG375" s="8" t="str">
        <f ca="1">IFERROR(__xludf.DUMMYFUNCTION("""COMPUTED_VALUE"""),"No")</f>
        <v>No</v>
      </c>
      <c r="AH375" s="8" t="str">
        <f ca="1">IFERROR(__xludf.DUMMYFUNCTION("""COMPUTED_VALUE"""),"No")</f>
        <v>No</v>
      </c>
      <c r="AI375" s="8" t="str">
        <f ca="1">IFERROR(__xludf.DUMMYFUNCTION("""COMPUTED_VALUE"""),"No")</f>
        <v>No</v>
      </c>
      <c r="AJ375" s="8" t="str">
        <f ca="1">IFERROR(__xludf.DUMMYFUNCTION("""COMPUTED_VALUE"""),"No")</f>
        <v>No</v>
      </c>
      <c r="AK375" s="8" t="str">
        <f ca="1">IFERROR(__xludf.DUMMYFUNCTION("""COMPUTED_VALUE"""),"No")</f>
        <v>No</v>
      </c>
      <c r="AL375" s="8" t="str">
        <f ca="1">IFERROR(__xludf.DUMMYFUNCTION("""COMPUTED_VALUE"""),"No")</f>
        <v>No</v>
      </c>
      <c r="AM375" s="8" t="str">
        <f ca="1">IFERROR(__xludf.DUMMYFUNCTION("""COMPUTED_VALUE"""),"No")</f>
        <v>No</v>
      </c>
      <c r="AN375" s="8" t="str">
        <f ca="1">IFERROR(__xludf.DUMMYFUNCTION("""COMPUTED_VALUE"""),"Outside")</f>
        <v>Outside</v>
      </c>
      <c r="AO375" s="8" t="str">
        <f ca="1">IFERROR(__xludf.DUMMYFUNCTION("""COMPUTED_VALUE"""),"No")</f>
        <v>No</v>
      </c>
      <c r="AP375" s="8"/>
      <c r="AQ375" s="8"/>
      <c r="AR375" s="8" t="str">
        <f ca="1">IFERROR(__xludf.DUMMYFUNCTION("""COMPUTED_VALUE"""),"Outside/Off-Property")</f>
        <v>Outside/Off-Property</v>
      </c>
      <c r="AS375" s="8">
        <f ca="1">IFERROR(__xludf.DUMMYFUNCTION("""COMPUTED_VALUE"""),0)</f>
        <v>0</v>
      </c>
      <c r="AT375" s="8"/>
      <c r="AU375" s="8">
        <f ca="1">IFERROR(__xludf.DUMMYFUNCTION("""COMPUTED_VALUE"""),41.498059)</f>
        <v>41.498058999999998</v>
      </c>
      <c r="AV375" s="8">
        <f ca="1">IFERROR(__xludf.DUMMYFUNCTION("""COMPUTED_VALUE"""),-81.666133)</f>
        <v>-81.666133000000002</v>
      </c>
      <c r="AW375" s="8" t="str">
        <f ca="1">IFERROR(__xludf.DUMMYFUNCTION("""COMPUTED_VALUE"""),"Single building indoor hallway")</f>
        <v>Single building indoor hallway</v>
      </c>
      <c r="AX375" s="8">
        <f ca="1">IFERROR(__xludf.DUMMYFUNCTION("""COMPUTED_VALUE"""),44115)</f>
        <v>44115</v>
      </c>
    </row>
    <row r="376" spans="1:50" ht="60" x14ac:dyDescent="0.2">
      <c r="A376" s="8" t="str">
        <f ca="1">IFERROR(__xludf.DUMMYFUNCTION("""COMPUTED_VALUE"""),"20240516OHBUC")</f>
        <v>20240516OHBUC</v>
      </c>
      <c r="B376" s="8">
        <f ca="1">IFERROR(__xludf.DUMMYFUNCTION("""COMPUTED_VALUE"""),5)</f>
        <v>5</v>
      </c>
      <c r="C376" s="8">
        <f ca="1">IFERROR(__xludf.DUMMYFUNCTION("""COMPUTED_VALUE"""),16)</f>
        <v>16</v>
      </c>
      <c r="D376" s="8">
        <f ca="1">IFERROR(__xludf.DUMMYFUNCTION("""COMPUTED_VALUE"""),2024)</f>
        <v>2024</v>
      </c>
      <c r="E376" s="9">
        <f ca="1">IFERROR(__xludf.DUMMYFUNCTION("""COMPUTED_VALUE"""),45428)</f>
        <v>45428</v>
      </c>
      <c r="F376" s="8" t="str">
        <f ca="1">IFERROR(__xludf.DUMMYFUNCTION("""COMPUTED_VALUE"""),"Burroughs Elementary School")</f>
        <v>Burroughs Elementary School</v>
      </c>
      <c r="G376" s="8">
        <f ca="1">IFERROR(__xludf.DUMMYFUNCTION("""COMPUTED_VALUE"""),0)</f>
        <v>0</v>
      </c>
      <c r="H376" s="8">
        <f ca="1">IFERROR(__xludf.DUMMYFUNCTION("""COMPUTED_VALUE"""),1)</f>
        <v>1</v>
      </c>
      <c r="I376" s="8">
        <f ca="1">IFERROR(__xludf.DUMMYFUNCTION("""COMPUTED_VALUE"""),1)</f>
        <v>1</v>
      </c>
      <c r="J376" s="8">
        <f ca="1">IFERROR(__xludf.DUMMYFUNCTION("""COMPUTED_VALUE"""),0)</f>
        <v>0</v>
      </c>
      <c r="K376" s="8" t="str">
        <f ca="1">IFERROR(__xludf.DUMMYFUNCTION("""COMPUTED_VALUE"""),"https://www.10tv.com/article/news/local/student-shot-with-pellet-gun-at-columbus-elementary-school/530-287e0f18-6b8b-4d40-a5a5-d0b52d4ea2d1
https://abc6onyourside.com/newsletter-daily/elementary-student-shot-by-unknown-man-with-pellet-gun-outside-columbus"&amp;"-school")</f>
        <v>https://www.10tv.com/article/news/local/student-shot-with-pellet-gun-at-columbus-elementary-school/530-287e0f18-6b8b-4d40-a5a5-d0b52d4ea2d1
https://abc6onyourside.com/newsletter-daily/elementary-student-shot-by-unknown-man-with-pellet-gun-outside-columbus-school</v>
      </c>
      <c r="L376" s="8">
        <f ca="1">IFERROR(__xludf.DUMMYFUNCTION("""COMPUTED_VALUE"""),2)</f>
        <v>2</v>
      </c>
      <c r="M376" s="8" t="str">
        <f ca="1">IFERROR(__xludf.DUMMYFUNCTION("""COMPUTED_VALUE"""),"Local")</f>
        <v>Local</v>
      </c>
      <c r="N376" s="8">
        <f ca="1">IFERROR(__xludf.DUMMYFUNCTION("""COMPUTED_VALUE"""),4)</f>
        <v>4</v>
      </c>
      <c r="O376" s="8" t="str">
        <f ca="1">IFERROR(__xludf.DUMMYFUNCTION("""COMPUTED_VALUE"""),"Spring")</f>
        <v>Spring</v>
      </c>
      <c r="P376" s="8" t="str">
        <f ca="1">IFERROR(__xludf.DUMMYFUNCTION("""COMPUTED_VALUE"""),"Columbus")</f>
        <v>Columbus</v>
      </c>
      <c r="Q376" s="8" t="str">
        <f ca="1">IFERROR(__xludf.DUMMYFUNCTION("""COMPUTED_VALUE"""),"OH")</f>
        <v>OH</v>
      </c>
      <c r="R376" s="8" t="str">
        <f ca="1">IFERROR(__xludf.DUMMYFUNCTION("""COMPUTED_VALUE"""),"Elementary")</f>
        <v>Elementary</v>
      </c>
      <c r="S376" s="8" t="str">
        <f ca="1">IFERROR(__xludf.DUMMYFUNCTION("""COMPUTED_VALUE"""),"Playground")</f>
        <v>Playground</v>
      </c>
      <c r="T376" s="8" t="str">
        <f ca="1">IFERROR(__xludf.DUMMYFUNCTION("""COMPUTED_VALUE"""),"Outside on School Property")</f>
        <v>Outside on School Property</v>
      </c>
      <c r="U376" s="8" t="str">
        <f ca="1">IFERROR(__xludf.DUMMYFUNCTION("""COMPUTED_VALUE"""),"Yes")</f>
        <v>Yes</v>
      </c>
      <c r="V376" s="8" t="str">
        <f ca="1">IFERROR(__xludf.DUMMYFUNCTION("""COMPUTED_VALUE"""),"Lunch")</f>
        <v>Lunch</v>
      </c>
      <c r="W376" s="8"/>
      <c r="X376" s="8">
        <f ca="1">IFERROR(__xludf.DUMMYFUNCTION("""COMPUTED_VALUE"""),1)</f>
        <v>1</v>
      </c>
      <c r="Y376" s="12" t="str">
        <f ca="1">IFERROR(__xludf.DUMMYFUNCTION("""COMPUTED_VALUE"""),"Student shot by unknown man with pellet gun while outside for recess")</f>
        <v>Student shot by unknown man with pellet gun while outside for recess</v>
      </c>
      <c r="Z376" s="12" t="str">
        <f ca="1">IFERROR(__xludf.DUMMYFUNCTION("""COMPUTED_VALUE"""),"Student shot by unknown man with pellet gun while outside for recess. Students were moved inside the building and the school locked down. Shooter fled.")</f>
        <v>Student shot by unknown man with pellet gun while outside for recess. Students were moved inside the building and the school locked down. Shooter fled.</v>
      </c>
      <c r="AA376" s="8"/>
      <c r="AB376" s="8"/>
      <c r="AC376" s="8" t="str">
        <f ca="1">IFERROR(__xludf.DUMMYFUNCTION("""COMPUTED_VALUE"""),"Yes")</f>
        <v>Yes</v>
      </c>
      <c r="AD376" s="8"/>
      <c r="AE376" s="8" t="str">
        <f ca="1">IFERROR(__xludf.DUMMYFUNCTION("""COMPUTED_VALUE"""),"No")</f>
        <v>No</v>
      </c>
      <c r="AF376" s="8"/>
      <c r="AG376" s="8" t="str">
        <f ca="1">IFERROR(__xludf.DUMMYFUNCTION("""COMPUTED_VALUE"""),"No")</f>
        <v>No</v>
      </c>
      <c r="AH376" s="8" t="str">
        <f ca="1">IFERROR(__xludf.DUMMYFUNCTION("""COMPUTED_VALUE"""),"No")</f>
        <v>No</v>
      </c>
      <c r="AI376" s="8" t="str">
        <f ca="1">IFERROR(__xludf.DUMMYFUNCTION("""COMPUTED_VALUE"""),"No")</f>
        <v>No</v>
      </c>
      <c r="AJ376" s="8" t="str">
        <f ca="1">IFERROR(__xludf.DUMMYFUNCTION("""COMPUTED_VALUE"""),"No")</f>
        <v>No</v>
      </c>
      <c r="AK376" s="8" t="str">
        <f ca="1">IFERROR(__xludf.DUMMYFUNCTION("""COMPUTED_VALUE"""),"No")</f>
        <v>No</v>
      </c>
      <c r="AL376" s="8" t="str">
        <f ca="1">IFERROR(__xludf.DUMMYFUNCTION("""COMPUTED_VALUE"""),"No")</f>
        <v>No</v>
      </c>
      <c r="AM376" s="8" t="str">
        <f ca="1">IFERROR(__xludf.DUMMYFUNCTION("""COMPUTED_VALUE"""),"No")</f>
        <v>No</v>
      </c>
      <c r="AN376" s="8" t="str">
        <f ca="1">IFERROR(__xludf.DUMMYFUNCTION("""COMPUTED_VALUE"""),"Outside")</f>
        <v>Outside</v>
      </c>
      <c r="AO376" s="8" t="str">
        <f ca="1">IFERROR(__xludf.DUMMYFUNCTION("""COMPUTED_VALUE"""),"No")</f>
        <v>No</v>
      </c>
      <c r="AP376" s="8"/>
      <c r="AQ376" s="8"/>
      <c r="AR376" s="8" t="str">
        <f ca="1">IFERROR(__xludf.DUMMYFUNCTION("""COMPUTED_VALUE"""),"Outside/Off-Property")</f>
        <v>Outside/Off-Property</v>
      </c>
      <c r="AS376" s="8">
        <f ca="1">IFERROR(__xludf.DUMMYFUNCTION("""COMPUTED_VALUE"""),99)</f>
        <v>99</v>
      </c>
      <c r="AT376" s="8" t="str">
        <f ca="1">IFERROR(__xludf.DUMMYFUNCTION("""COMPUTED_VALUE"""),"Yes")</f>
        <v>Yes</v>
      </c>
      <c r="AU376" s="8">
        <f ca="1">IFERROR(__xludf.DUMMYFUNCTION("""COMPUTED_VALUE"""),39.943248)</f>
        <v>39.943247999999997</v>
      </c>
      <c r="AV376" s="8">
        <f ca="1">IFERROR(__xludf.DUMMYFUNCTION("""COMPUTED_VALUE"""),-83.067941)</f>
        <v>-83.067941000000005</v>
      </c>
      <c r="AW376" s="8" t="str">
        <f ca="1">IFERROR(__xludf.DUMMYFUNCTION("""COMPUTED_VALUE"""),"Single building indoor hallway")</f>
        <v>Single building indoor hallway</v>
      </c>
      <c r="AX376" s="8">
        <f ca="1">IFERROR(__xludf.DUMMYFUNCTION("""COMPUTED_VALUE"""),43223)</f>
        <v>43223</v>
      </c>
    </row>
    <row r="377" spans="1:50" ht="60" x14ac:dyDescent="0.2">
      <c r="A377" s="8" t="str">
        <f ca="1">IFERROR(__xludf.DUMMYFUNCTION("""COMPUTED_VALUE"""),"20240514INMCI")</f>
        <v>20240514INMCI</v>
      </c>
      <c r="B377" s="8">
        <f ca="1">IFERROR(__xludf.DUMMYFUNCTION("""COMPUTED_VALUE"""),5)</f>
        <v>5</v>
      </c>
      <c r="C377" s="8">
        <f ca="1">IFERROR(__xludf.DUMMYFUNCTION("""COMPUTED_VALUE"""),14)</f>
        <v>14</v>
      </c>
      <c r="D377" s="8">
        <f ca="1">IFERROR(__xludf.DUMMYFUNCTION("""COMPUTED_VALUE"""),2024)</f>
        <v>2024</v>
      </c>
      <c r="E377" s="9">
        <f ca="1">IFERROR(__xludf.DUMMYFUNCTION("""COMPUTED_VALUE"""),45426)</f>
        <v>45426</v>
      </c>
      <c r="F377" s="8" t="str">
        <f ca="1">IFERROR(__xludf.DUMMYFUNCTION("""COMPUTED_VALUE"""),"McKenzie Career Center of Innovation and Technology")</f>
        <v>McKenzie Career Center of Innovation and Technology</v>
      </c>
      <c r="G377" s="8">
        <f ca="1">IFERROR(__xludf.DUMMYFUNCTION("""COMPUTED_VALUE"""),0)</f>
        <v>0</v>
      </c>
      <c r="H377" s="8">
        <f ca="1">IFERROR(__xludf.DUMMYFUNCTION("""COMPUTED_VALUE"""),0)</f>
        <v>0</v>
      </c>
      <c r="I377" s="8">
        <f ca="1">IFERROR(__xludf.DUMMYFUNCTION("""COMPUTED_VALUE"""),0)</f>
        <v>0</v>
      </c>
      <c r="J377" s="8">
        <f ca="1">IFERROR(__xludf.DUMMYFUNCTION("""COMPUTED_VALUE"""),0)</f>
        <v>0</v>
      </c>
      <c r="K377" s="10" t="str">
        <f ca="1">IFERROR(__xludf.DUMMYFUNCTION("""COMPUTED_VALUE"""),"https://www.wrtv.com/news/local-news/crime/lawrence-township-student-arrested-after-pointing-loaded-gun-at-another-student")</f>
        <v>https://www.wrtv.com/news/local-news/crime/lawrence-township-student-arrested-after-pointing-loaded-gun-at-another-student</v>
      </c>
      <c r="L377" s="8">
        <f ca="1">IFERROR(__xludf.DUMMYFUNCTION("""COMPUTED_VALUE"""),1)</f>
        <v>1</v>
      </c>
      <c r="M377" s="8" t="str">
        <f ca="1">IFERROR(__xludf.DUMMYFUNCTION("""COMPUTED_VALUE"""),"Local")</f>
        <v>Local</v>
      </c>
      <c r="N377" s="8">
        <f ca="1">IFERROR(__xludf.DUMMYFUNCTION("""COMPUTED_VALUE"""),4)</f>
        <v>4</v>
      </c>
      <c r="O377" s="8" t="str">
        <f ca="1">IFERROR(__xludf.DUMMYFUNCTION("""COMPUTED_VALUE"""),"Spring")</f>
        <v>Spring</v>
      </c>
      <c r="P377" s="8" t="str">
        <f ca="1">IFERROR(__xludf.DUMMYFUNCTION("""COMPUTED_VALUE"""),"Indianapolis")</f>
        <v>Indianapolis</v>
      </c>
      <c r="Q377" s="8" t="str">
        <f ca="1">IFERROR(__xludf.DUMMYFUNCTION("""COMPUTED_VALUE"""),"IN")</f>
        <v>IN</v>
      </c>
      <c r="R377" s="8" t="str">
        <f ca="1">IFERROR(__xludf.DUMMYFUNCTION("""COMPUTED_VALUE"""),"High")</f>
        <v>High</v>
      </c>
      <c r="S377" s="8" t="str">
        <f ca="1">IFERROR(__xludf.DUMMYFUNCTION("""COMPUTED_VALUE"""),"Parking Lot")</f>
        <v>Parking Lot</v>
      </c>
      <c r="T377" s="8" t="str">
        <f ca="1">IFERROR(__xludf.DUMMYFUNCTION("""COMPUTED_VALUE"""),"Outside on School Property")</f>
        <v>Outside on School Property</v>
      </c>
      <c r="U377" s="8" t="str">
        <f ca="1">IFERROR(__xludf.DUMMYFUNCTION("""COMPUTED_VALUE"""),"Yes")</f>
        <v>Yes</v>
      </c>
      <c r="V377" s="8" t="str">
        <f ca="1">IFERROR(__xludf.DUMMYFUNCTION("""COMPUTED_VALUE"""),"Afternoon Classes")</f>
        <v>Afternoon Classes</v>
      </c>
      <c r="W377" s="8"/>
      <c r="X377" s="8">
        <f ca="1">IFERROR(__xludf.DUMMYFUNCTION("""COMPUTED_VALUE"""),1)</f>
        <v>1</v>
      </c>
      <c r="Y377" s="12" t="str">
        <f ca="1">IFERROR(__xludf.DUMMYFUNCTION("""COMPUTED_VALUE"""),"Student pointed loaded handgun at a classmate in the parking lot")</f>
        <v>Student pointed loaded handgun at a classmate in the parking lot</v>
      </c>
      <c r="Z377" s="12" t="str">
        <f ca="1">IFERROR(__xludf.DUMMYFUNCTION("""COMPUTED_VALUE"""),"Indianapolis student was arrested after pointing a loaded gun at a classmate in the parking lot. Police arrested the teenage student with a loaded Glock 23 semi-automatic handgun and a second high capacity 29 round magazine.")</f>
        <v>Indianapolis student was arrested after pointing a loaded gun at a classmate in the parking lot. Police arrested the teenage student with a loaded Glock 23 semi-automatic handgun and a second high capacity 29 round magazine.</v>
      </c>
      <c r="AA377" s="8"/>
      <c r="AB377" s="8"/>
      <c r="AC377" s="8" t="str">
        <f ca="1">IFERROR(__xludf.DUMMYFUNCTION("""COMPUTED_VALUE"""),"Yes")</f>
        <v>Yes</v>
      </c>
      <c r="AD377" s="8" t="str">
        <f ca="1">IFERROR(__xludf.DUMMYFUNCTION("""COMPUTED_VALUE"""),"Victims Targeted")</f>
        <v>Victims Targeted</v>
      </c>
      <c r="AE377" s="8" t="str">
        <f ca="1">IFERROR(__xludf.DUMMYFUNCTION("""COMPUTED_VALUE"""),"No")</f>
        <v>No</v>
      </c>
      <c r="AF377" s="8"/>
      <c r="AG377" s="8" t="str">
        <f ca="1">IFERROR(__xludf.DUMMYFUNCTION("""COMPUTED_VALUE"""),"No")</f>
        <v>No</v>
      </c>
      <c r="AH377" s="8" t="str">
        <f ca="1">IFERROR(__xludf.DUMMYFUNCTION("""COMPUTED_VALUE"""),"No")</f>
        <v>No</v>
      </c>
      <c r="AI377" s="8" t="str">
        <f ca="1">IFERROR(__xludf.DUMMYFUNCTION("""COMPUTED_VALUE"""),"No")</f>
        <v>No</v>
      </c>
      <c r="AJ377" s="8"/>
      <c r="AK377" s="8" t="str">
        <f ca="1">IFERROR(__xludf.DUMMYFUNCTION("""COMPUTED_VALUE"""),"No")</f>
        <v>No</v>
      </c>
      <c r="AL377" s="8"/>
      <c r="AM377" s="8" t="str">
        <f ca="1">IFERROR(__xludf.DUMMYFUNCTION("""COMPUTED_VALUE"""),"No")</f>
        <v>No</v>
      </c>
      <c r="AN377" s="8" t="str">
        <f ca="1">IFERROR(__xludf.DUMMYFUNCTION("""COMPUTED_VALUE"""),"Outside")</f>
        <v>Outside</v>
      </c>
      <c r="AO377" s="8" t="str">
        <f ca="1">IFERROR(__xludf.DUMMYFUNCTION("""COMPUTED_VALUE"""),"No")</f>
        <v>No</v>
      </c>
      <c r="AP377" s="8"/>
      <c r="AQ377" s="8"/>
      <c r="AR377" s="8" t="str">
        <f ca="1">IFERROR(__xludf.DUMMYFUNCTION("""COMPUTED_VALUE"""),"Outside/Off-Property")</f>
        <v>Outside/Off-Property</v>
      </c>
      <c r="AS377" s="8">
        <f ca="1">IFERROR(__xludf.DUMMYFUNCTION("""COMPUTED_VALUE"""),0)</f>
        <v>0</v>
      </c>
      <c r="AT377" s="8" t="str">
        <f ca="1">IFERROR(__xludf.DUMMYFUNCTION("""COMPUTED_VALUE"""),"No")</f>
        <v>No</v>
      </c>
      <c r="AU377" s="8">
        <f ca="1">IFERROR(__xludf.DUMMYFUNCTION("""COMPUTED_VALUE"""),39.891474)</f>
        <v>39.891474000000002</v>
      </c>
      <c r="AV377" s="8">
        <f ca="1">IFERROR(__xludf.DUMMYFUNCTION("""COMPUTED_VALUE"""),-86.041076)</f>
        <v>-86.041076000000004</v>
      </c>
      <c r="AW377" s="8" t="str">
        <f ca="1">IFERROR(__xludf.DUMMYFUNCTION("""COMPUTED_VALUE"""),"Single building indoor hallway")</f>
        <v>Single building indoor hallway</v>
      </c>
      <c r="AX377" s="8">
        <f ca="1">IFERROR(__xludf.DUMMYFUNCTION("""COMPUTED_VALUE"""),46256)</f>
        <v>46256</v>
      </c>
    </row>
    <row r="378" spans="1:50" ht="60" x14ac:dyDescent="0.2">
      <c r="A378" s="8" t="str">
        <f ca="1">IFERROR(__xludf.DUMMYFUNCTION("""COMPUTED_VALUE"""),"20240512TXMAM")</f>
        <v>20240512TXMAM</v>
      </c>
      <c r="B378" s="8">
        <f ca="1">IFERROR(__xludf.DUMMYFUNCTION("""COMPUTED_VALUE"""),5)</f>
        <v>5</v>
      </c>
      <c r="C378" s="8">
        <f ca="1">IFERROR(__xludf.DUMMYFUNCTION("""COMPUTED_VALUE"""),12)</f>
        <v>12</v>
      </c>
      <c r="D378" s="8">
        <f ca="1">IFERROR(__xludf.DUMMYFUNCTION("""COMPUTED_VALUE"""),2024)</f>
        <v>2024</v>
      </c>
      <c r="E378" s="9">
        <f ca="1">IFERROR(__xludf.DUMMYFUNCTION("""COMPUTED_VALUE"""),45424)</f>
        <v>45424</v>
      </c>
      <c r="F378" s="8" t="str">
        <f ca="1">IFERROR(__xludf.DUMMYFUNCTION("""COMPUTED_VALUE"""),"Manor New Tech High School")</f>
        <v>Manor New Tech High School</v>
      </c>
      <c r="G378" s="8">
        <f ca="1">IFERROR(__xludf.DUMMYFUNCTION("""COMPUTED_VALUE"""),0)</f>
        <v>0</v>
      </c>
      <c r="H378" s="8">
        <f ca="1">IFERROR(__xludf.DUMMYFUNCTION("""COMPUTED_VALUE"""),0)</f>
        <v>0</v>
      </c>
      <c r="I378" s="8">
        <f ca="1">IFERROR(__xludf.DUMMYFUNCTION("""COMPUTED_VALUE"""),0)</f>
        <v>0</v>
      </c>
      <c r="J378" s="8">
        <f ca="1">IFERROR(__xludf.DUMMYFUNCTION("""COMPUTED_VALUE"""),0)</f>
        <v>0</v>
      </c>
      <c r="K378" s="10" t="str">
        <f ca="1">IFERROR(__xludf.DUMMYFUNCTION("""COMPUTED_VALUE"""),"https://www.kxan.com/news/local/manor/police-dispute-leads-to-multiple-assaults-alleged-firearm-discharge-at-manor-football-stadium/")</f>
        <v>https://www.kxan.com/news/local/manor/police-dispute-leads-to-multiple-assaults-alleged-firearm-discharge-at-manor-football-stadium/</v>
      </c>
      <c r="L378" s="8">
        <f ca="1">IFERROR(__xludf.DUMMYFUNCTION("""COMPUTED_VALUE"""),1)</f>
        <v>1</v>
      </c>
      <c r="M378" s="8" t="str">
        <f ca="1">IFERROR(__xludf.DUMMYFUNCTION("""COMPUTED_VALUE"""),"Local")</f>
        <v>Local</v>
      </c>
      <c r="N378" s="8">
        <f ca="1">IFERROR(__xludf.DUMMYFUNCTION("""COMPUTED_VALUE"""),4)</f>
        <v>4</v>
      </c>
      <c r="O378" s="8" t="str">
        <f ca="1">IFERROR(__xludf.DUMMYFUNCTION("""COMPUTED_VALUE"""),"Spring")</f>
        <v>Spring</v>
      </c>
      <c r="P378" s="8" t="str">
        <f ca="1">IFERROR(__xludf.DUMMYFUNCTION("""COMPUTED_VALUE"""),"Manor")</f>
        <v>Manor</v>
      </c>
      <c r="Q378" s="8" t="str">
        <f ca="1">IFERROR(__xludf.DUMMYFUNCTION("""COMPUTED_VALUE"""),"TX")</f>
        <v>TX</v>
      </c>
      <c r="R378" s="8" t="str">
        <f ca="1">IFERROR(__xludf.DUMMYFUNCTION("""COMPUTED_VALUE"""),"High")</f>
        <v>High</v>
      </c>
      <c r="S378" s="8" t="str">
        <f ca="1">IFERROR(__xludf.DUMMYFUNCTION("""COMPUTED_VALUE"""),"Football Field/Track")</f>
        <v>Football Field/Track</v>
      </c>
      <c r="T378" s="8" t="str">
        <f ca="1">IFERROR(__xludf.DUMMYFUNCTION("""COMPUTED_VALUE"""),"Outside on School Property")</f>
        <v>Outside on School Property</v>
      </c>
      <c r="U378" s="8" t="str">
        <f ca="1">IFERROR(__xludf.DUMMYFUNCTION("""COMPUTED_VALUE"""),"No")</f>
        <v>No</v>
      </c>
      <c r="V378" s="8" t="str">
        <f ca="1">IFERROR(__xludf.DUMMYFUNCTION("""COMPUTED_VALUE"""),"Sport Event")</f>
        <v>Sport Event</v>
      </c>
      <c r="W378" s="8"/>
      <c r="X378" s="8">
        <f ca="1">IFERROR(__xludf.DUMMYFUNCTION("""COMPUTED_VALUE"""),1)</f>
        <v>1</v>
      </c>
      <c r="Y378" s="12" t="str">
        <f ca="1">IFERROR(__xludf.DUMMYFUNCTION("""COMPUTED_VALUE"""),"Shots fired during fight at adult football game played at high school")</f>
        <v>Shots fired during fight at adult football game played at high school</v>
      </c>
      <c r="Z378" s="12" t="str">
        <f ca="1">IFERROR(__xludf.DUMMYFUNCTION("""COMPUTED_VALUE"""),"Shots fired during fight at adult football game played at high school.")</f>
        <v>Shots fired during fight at adult football game played at high school.</v>
      </c>
      <c r="AA378" s="8" t="str">
        <f ca="1">IFERROR(__xludf.DUMMYFUNCTION("""COMPUTED_VALUE"""),"Escalation of Dispute")</f>
        <v>Escalation of Dispute</v>
      </c>
      <c r="AB378" s="8" t="str">
        <f ca="1">IFERROR(__xludf.DUMMYFUNCTION("""COMPUTED_VALUE"""),"Spontaneous")</f>
        <v>Spontaneous</v>
      </c>
      <c r="AC378" s="8" t="str">
        <f ca="1">IFERROR(__xludf.DUMMYFUNCTION("""COMPUTED_VALUE"""),"No")</f>
        <v>No</v>
      </c>
      <c r="AD378" s="8"/>
      <c r="AE378" s="8"/>
      <c r="AF378" s="8"/>
      <c r="AG378" s="8" t="str">
        <f ca="1">IFERROR(__xludf.DUMMYFUNCTION("""COMPUTED_VALUE"""),"No")</f>
        <v>No</v>
      </c>
      <c r="AH378" s="8" t="str">
        <f ca="1">IFERROR(__xludf.DUMMYFUNCTION("""COMPUTED_VALUE"""),"No")</f>
        <v>No</v>
      </c>
      <c r="AI378" s="8" t="str">
        <f ca="1">IFERROR(__xludf.DUMMYFUNCTION("""COMPUTED_VALUE"""),"No")</f>
        <v>No</v>
      </c>
      <c r="AJ378" s="8" t="str">
        <f ca="1">IFERROR(__xludf.DUMMYFUNCTION("""COMPUTED_VALUE"""),"No")</f>
        <v>No</v>
      </c>
      <c r="AK378" s="8" t="str">
        <f ca="1">IFERROR(__xludf.DUMMYFUNCTION("""COMPUTED_VALUE"""),"No")</f>
        <v>No</v>
      </c>
      <c r="AL378" s="8" t="str">
        <f ca="1">IFERROR(__xludf.DUMMYFUNCTION("""COMPUTED_VALUE"""),"No")</f>
        <v>No</v>
      </c>
      <c r="AM378" s="8" t="str">
        <f ca="1">IFERROR(__xludf.DUMMYFUNCTION("""COMPUTED_VALUE"""),"No")</f>
        <v>No</v>
      </c>
      <c r="AN378" s="8" t="str">
        <f ca="1">IFERROR(__xludf.DUMMYFUNCTION("""COMPUTED_VALUE"""),"Outside")</f>
        <v>Outside</v>
      </c>
      <c r="AO378" s="8" t="str">
        <f ca="1">IFERROR(__xludf.DUMMYFUNCTION("""COMPUTED_VALUE"""),"No")</f>
        <v>No</v>
      </c>
      <c r="AP378" s="8"/>
      <c r="AQ378" s="8"/>
      <c r="AR378" s="8" t="str">
        <f ca="1">IFERROR(__xludf.DUMMYFUNCTION("""COMPUTED_VALUE"""),"Outside/Off-Property")</f>
        <v>Outside/Off-Property</v>
      </c>
      <c r="AS378" s="8">
        <f ca="1">IFERROR(__xludf.DUMMYFUNCTION("""COMPUTED_VALUE"""),99)</f>
        <v>99</v>
      </c>
      <c r="AT378" s="8" t="str">
        <f ca="1">IFERROR(__xludf.DUMMYFUNCTION("""COMPUTED_VALUE"""),"No")</f>
        <v>No</v>
      </c>
      <c r="AU378" s="8">
        <f ca="1">IFERROR(__xludf.DUMMYFUNCTION("""COMPUTED_VALUE"""),30.344938)</f>
        <v>30.344937999999999</v>
      </c>
      <c r="AV378" s="8">
        <f ca="1">IFERROR(__xludf.DUMMYFUNCTION("""COMPUTED_VALUE"""),-97.573818)</f>
        <v>-97.573818000000003</v>
      </c>
      <c r="AW378" s="8" t="str">
        <f ca="1">IFERROR(__xludf.DUMMYFUNCTION("""COMPUTED_VALUE"""),"Multiple detached buildings")</f>
        <v>Multiple detached buildings</v>
      </c>
      <c r="AX378" s="8">
        <f ca="1">IFERROR(__xludf.DUMMYFUNCTION("""COMPUTED_VALUE"""),78653)</f>
        <v>78653</v>
      </c>
    </row>
    <row r="379" spans="1:50" ht="75" x14ac:dyDescent="0.2">
      <c r="A379" s="8" t="str">
        <f ca="1">IFERROR(__xludf.DUMMYFUNCTION("""COMPUTED_VALUE"""),"20240510NCWEH")</f>
        <v>20240510NCWEH</v>
      </c>
      <c r="B379" s="8">
        <f ca="1">IFERROR(__xludf.DUMMYFUNCTION("""COMPUTED_VALUE"""),5)</f>
        <v>5</v>
      </c>
      <c r="C379" s="8">
        <f ca="1">IFERROR(__xludf.DUMMYFUNCTION("""COMPUTED_VALUE"""),10)</f>
        <v>10</v>
      </c>
      <c r="D379" s="8">
        <f ca="1">IFERROR(__xludf.DUMMYFUNCTION("""COMPUTED_VALUE"""),2024)</f>
        <v>2024</v>
      </c>
      <c r="E379" s="9">
        <f ca="1">IFERROR(__xludf.DUMMYFUNCTION("""COMPUTED_VALUE"""),45422)</f>
        <v>45422</v>
      </c>
      <c r="F379" s="8" t="str">
        <f ca="1">IFERROR(__xludf.DUMMYFUNCTION("""COMPUTED_VALUE"""),"West Yadkin Elementary School")</f>
        <v>West Yadkin Elementary School</v>
      </c>
      <c r="G379" s="8">
        <f ca="1">IFERROR(__xludf.DUMMYFUNCTION("""COMPUTED_VALUE"""),0)</f>
        <v>0</v>
      </c>
      <c r="H379" s="8">
        <f ca="1">IFERROR(__xludf.DUMMYFUNCTION("""COMPUTED_VALUE"""),0)</f>
        <v>0</v>
      </c>
      <c r="I379" s="8">
        <f ca="1">IFERROR(__xludf.DUMMYFUNCTION("""COMPUTED_VALUE"""),0)</f>
        <v>0</v>
      </c>
      <c r="J379" s="8">
        <f ca="1">IFERROR(__xludf.DUMMYFUNCTION("""COMPUTED_VALUE"""),0)</f>
        <v>0</v>
      </c>
      <c r="K379" s="10" t="str">
        <f ca="1">IFERROR(__xludf.DUMMYFUNCTION("""COMPUTED_VALUE"""),"https://myfox8.com/news/north-carolina/piedmont-triad/man-charged-after-juveniles-fire-gun-strike-elementary-school-building-in-yadkin-county/
https://www.wxii12.com/article/39-year-old-man-arrested-not-properly-storing-firearm-shots-fired-near-elementary"&amp;"-school/60765318")</f>
        <v>https://myfox8.com/news/north-carolina/piedmont-triad/man-charged-after-juveniles-fire-gun-strike-elementary-school-building-in-yadkin-county/
https://www.wxii12.com/article/39-year-old-man-arrested-not-properly-storing-firearm-shots-fired-near-elementary-school/60765318</v>
      </c>
      <c r="L379" s="8">
        <f ca="1">IFERROR(__xludf.DUMMYFUNCTION("""COMPUTED_VALUE"""),5)</f>
        <v>5</v>
      </c>
      <c r="M379" s="8" t="str">
        <f ca="1">IFERROR(__xludf.DUMMYFUNCTION("""COMPUTED_VALUE"""),"Local")</f>
        <v>Local</v>
      </c>
      <c r="N379" s="8">
        <f ca="1">IFERROR(__xludf.DUMMYFUNCTION("""COMPUTED_VALUE"""),4)</f>
        <v>4</v>
      </c>
      <c r="O379" s="8" t="str">
        <f ca="1">IFERROR(__xludf.DUMMYFUNCTION("""COMPUTED_VALUE"""),"Spring")</f>
        <v>Spring</v>
      </c>
      <c r="P379" s="8" t="str">
        <f ca="1">IFERROR(__xludf.DUMMYFUNCTION("""COMPUTED_VALUE"""),"Hamptonville")</f>
        <v>Hamptonville</v>
      </c>
      <c r="Q379" s="8" t="str">
        <f ca="1">IFERROR(__xludf.DUMMYFUNCTION("""COMPUTED_VALUE"""),"NC")</f>
        <v>NC</v>
      </c>
      <c r="R379" s="8" t="str">
        <f ca="1">IFERROR(__xludf.DUMMYFUNCTION("""COMPUTED_VALUE"""),"Elementary")</f>
        <v>Elementary</v>
      </c>
      <c r="S379" s="8" t="str">
        <f ca="1">IFERROR(__xludf.DUMMYFUNCTION("""COMPUTED_VALUE"""),"Field (General)")</f>
        <v>Field (General)</v>
      </c>
      <c r="T379" s="8" t="str">
        <f ca="1">IFERROR(__xludf.DUMMYFUNCTION("""COMPUTED_VALUE"""),"Outside on School Property")</f>
        <v>Outside on School Property</v>
      </c>
      <c r="U379" s="8" t="str">
        <f ca="1">IFERROR(__xludf.DUMMYFUNCTION("""COMPUTED_VALUE"""),"No")</f>
        <v>No</v>
      </c>
      <c r="V379" s="8" t="str">
        <f ca="1">IFERROR(__xludf.DUMMYFUNCTION("""COMPUTED_VALUE"""),"Sport Event")</f>
        <v>Sport Event</v>
      </c>
      <c r="W379" s="11">
        <f ca="1">IFERROR(__xludf.DUMMYFUNCTION("""COMPUTED_VALUE"""),0.819444444444444)</f>
        <v>0.81944444444444398</v>
      </c>
      <c r="X379" s="8">
        <f ca="1">IFERROR(__xludf.DUMMYFUNCTION("""COMPUTED_VALUE"""),1)</f>
        <v>1</v>
      </c>
      <c r="Y379" s="12" t="str">
        <f ca="1">IFERROR(__xludf.DUMMYFUNCTION("""COMPUTED_VALUE"""),"Children fired gun at the school concession stand building during a sports game")</f>
        <v>Children fired gun at the school concession stand building during a sports game</v>
      </c>
      <c r="Z379" s="12" t="str">
        <f ca="1">IFERROR(__xludf.DUMMYFUNCTION("""COMPUTED_VALUE"""),"Children fired gun at the school concession stand building during a sports game. Bullets struck the building. No injuries. Parent arrested for leaving an unsecured gun at home.")</f>
        <v>Children fired gun at the school concession stand building during a sports game. Bullets struck the building. No injuries. Parent arrested for leaving an unsecured gun at home.</v>
      </c>
      <c r="AA379" s="8" t="str">
        <f ca="1">IFERROR(__xludf.DUMMYFUNCTION("""COMPUTED_VALUE"""),"Intentional Property Damage")</f>
        <v>Intentional Property Damage</v>
      </c>
      <c r="AB379" s="8" t="str">
        <f ca="1">IFERROR(__xludf.DUMMYFUNCTION("""COMPUTED_VALUE"""),"Spontaneous")</f>
        <v>Spontaneous</v>
      </c>
      <c r="AC379" s="8" t="str">
        <f ca="1">IFERROR(__xludf.DUMMYFUNCTION("""COMPUTED_VALUE"""),"Yes")</f>
        <v>Yes</v>
      </c>
      <c r="AD379" s="8" t="str">
        <f ca="1">IFERROR(__xludf.DUMMYFUNCTION("""COMPUTED_VALUE"""),"Random Shooting")</f>
        <v>Random Shooting</v>
      </c>
      <c r="AE379" s="8" t="str">
        <f ca="1">IFERROR(__xludf.DUMMYFUNCTION("""COMPUTED_VALUE"""),"Yes")</f>
        <v>Yes</v>
      </c>
      <c r="AF379" s="8" t="str">
        <f ca="1">IFERROR(__xludf.DUMMYFUNCTION("""COMPUTED_VALUE"""),"Three kids")</f>
        <v>Three kids</v>
      </c>
      <c r="AG379" s="8" t="str">
        <f ca="1">IFERROR(__xludf.DUMMYFUNCTION("""COMPUTED_VALUE"""),"No")</f>
        <v>No</v>
      </c>
      <c r="AH379" s="8" t="str">
        <f ca="1">IFERROR(__xludf.DUMMYFUNCTION("""COMPUTED_VALUE"""),"No")</f>
        <v>No</v>
      </c>
      <c r="AI379" s="8" t="str">
        <f ca="1">IFERROR(__xludf.DUMMYFUNCTION("""COMPUTED_VALUE"""),"No")</f>
        <v>No</v>
      </c>
      <c r="AJ379" s="8" t="str">
        <f ca="1">IFERROR(__xludf.DUMMYFUNCTION("""COMPUTED_VALUE"""),"No")</f>
        <v>No</v>
      </c>
      <c r="AK379" s="8" t="str">
        <f ca="1">IFERROR(__xludf.DUMMYFUNCTION("""COMPUTED_VALUE"""),"No")</f>
        <v>No</v>
      </c>
      <c r="AL379" s="8" t="str">
        <f ca="1">IFERROR(__xludf.DUMMYFUNCTION("""COMPUTED_VALUE"""),"No")</f>
        <v>No</v>
      </c>
      <c r="AM379" s="8" t="str">
        <f ca="1">IFERROR(__xludf.DUMMYFUNCTION("""COMPUTED_VALUE"""),"No")</f>
        <v>No</v>
      </c>
      <c r="AN379" s="8" t="str">
        <f ca="1">IFERROR(__xludf.DUMMYFUNCTION("""COMPUTED_VALUE"""),"Outside")</f>
        <v>Outside</v>
      </c>
      <c r="AO379" s="8" t="str">
        <f ca="1">IFERROR(__xludf.DUMMYFUNCTION("""COMPUTED_VALUE"""),"No")</f>
        <v>No</v>
      </c>
      <c r="AP379" s="8"/>
      <c r="AQ379" s="8"/>
      <c r="AR379" s="8" t="str">
        <f ca="1">IFERROR(__xludf.DUMMYFUNCTION("""COMPUTED_VALUE"""),"Outside/Off-Property")</f>
        <v>Outside/Off-Property</v>
      </c>
      <c r="AS379" s="8">
        <f ca="1">IFERROR(__xludf.DUMMYFUNCTION("""COMPUTED_VALUE"""),99)</f>
        <v>99</v>
      </c>
      <c r="AT379" s="8" t="str">
        <f ca="1">IFERROR(__xludf.DUMMYFUNCTION("""COMPUTED_VALUE"""),"No")</f>
        <v>No</v>
      </c>
      <c r="AU379" s="8">
        <f ca="1">IFERROR(__xludf.DUMMYFUNCTION("""COMPUTED_VALUE"""),36.122632)</f>
        <v>36.122632000000003</v>
      </c>
      <c r="AV379" s="8">
        <f ca="1">IFERROR(__xludf.DUMMYFUNCTION("""COMPUTED_VALUE"""),-80.788328)</f>
        <v>-80.788328000000007</v>
      </c>
      <c r="AW379" s="8" t="str">
        <f ca="1">IFERROR(__xludf.DUMMYFUNCTION("""COMPUTED_VALUE"""),"Multiple detached buildings")</f>
        <v>Multiple detached buildings</v>
      </c>
      <c r="AX379" s="8">
        <f ca="1">IFERROR(__xludf.DUMMYFUNCTION("""COMPUTED_VALUE"""),27020)</f>
        <v>27020</v>
      </c>
    </row>
    <row r="380" spans="1:50" ht="75" x14ac:dyDescent="0.2">
      <c r="A380" s="8" t="str">
        <f ca="1">IFERROR(__xludf.DUMMYFUNCTION("""COMPUTED_VALUE"""),"20240510OHAVA")</f>
        <v>20240510OHAVA</v>
      </c>
      <c r="B380" s="8">
        <f ca="1">IFERROR(__xludf.DUMMYFUNCTION("""COMPUTED_VALUE"""),5)</f>
        <v>5</v>
      </c>
      <c r="C380" s="8">
        <f ca="1">IFERROR(__xludf.DUMMYFUNCTION("""COMPUTED_VALUE"""),10)</f>
        <v>10</v>
      </c>
      <c r="D380" s="8">
        <f ca="1">IFERROR(__xludf.DUMMYFUNCTION("""COMPUTED_VALUE"""),2024)</f>
        <v>2024</v>
      </c>
      <c r="E380" s="9">
        <f ca="1">IFERROR(__xludf.DUMMYFUNCTION("""COMPUTED_VALUE"""),45422)</f>
        <v>45422</v>
      </c>
      <c r="F380" s="8" t="str">
        <f ca="1">IFERROR(__xludf.DUMMYFUNCTION("""COMPUTED_VALUE"""),"Avon High School")</f>
        <v>Avon High School</v>
      </c>
      <c r="G380" s="8">
        <f ca="1">IFERROR(__xludf.DUMMYFUNCTION("""COMPUTED_VALUE"""),0)</f>
        <v>0</v>
      </c>
      <c r="H380" s="8">
        <f ca="1">IFERROR(__xludf.DUMMYFUNCTION("""COMPUTED_VALUE"""),0)</f>
        <v>0</v>
      </c>
      <c r="I380" s="8">
        <f ca="1">IFERROR(__xludf.DUMMYFUNCTION("""COMPUTED_VALUE"""),0)</f>
        <v>0</v>
      </c>
      <c r="J380" s="8">
        <f ca="1">IFERROR(__xludf.DUMMYFUNCTION("""COMPUTED_VALUE"""),0)</f>
        <v>0</v>
      </c>
      <c r="K380" s="10" t="str">
        <f ca="1">IFERROR(__xludf.DUMMYFUNCTION("""COMPUTED_VALUE"""),"https://www.news5cleveland.com/news/local-news/i-thought-i-was-getting-shot-and-by-a-real-bullet-two-avon-teens-found-responsible-for-bb-gun-shooting")</f>
        <v>https://www.news5cleveland.com/news/local-news/i-thought-i-was-getting-shot-and-by-a-real-bullet-two-avon-teens-found-responsible-for-bb-gun-shooting</v>
      </c>
      <c r="L380" s="8">
        <f ca="1">IFERROR(__xludf.DUMMYFUNCTION("""COMPUTED_VALUE"""),2)</f>
        <v>2</v>
      </c>
      <c r="M380" s="8" t="str">
        <f ca="1">IFERROR(__xludf.DUMMYFUNCTION("""COMPUTED_VALUE"""),"Local")</f>
        <v>Local</v>
      </c>
      <c r="N380" s="8">
        <f ca="1">IFERROR(__xludf.DUMMYFUNCTION("""COMPUTED_VALUE"""),4)</f>
        <v>4</v>
      </c>
      <c r="O380" s="8" t="str">
        <f ca="1">IFERROR(__xludf.DUMMYFUNCTION("""COMPUTED_VALUE"""),"Spring")</f>
        <v>Spring</v>
      </c>
      <c r="P380" s="8" t="str">
        <f ca="1">IFERROR(__xludf.DUMMYFUNCTION("""COMPUTED_VALUE"""),"Avon")</f>
        <v>Avon</v>
      </c>
      <c r="Q380" s="8" t="str">
        <f ca="1">IFERROR(__xludf.DUMMYFUNCTION("""COMPUTED_VALUE"""),"OH")</f>
        <v>OH</v>
      </c>
      <c r="R380" s="8" t="str">
        <f ca="1">IFERROR(__xludf.DUMMYFUNCTION("""COMPUTED_VALUE"""),"High")</f>
        <v>High</v>
      </c>
      <c r="S380" s="8" t="str">
        <f ca="1">IFERROR(__xludf.DUMMYFUNCTION("""COMPUTED_VALUE"""),"Parking Lot")</f>
        <v>Parking Lot</v>
      </c>
      <c r="T380" s="8" t="str">
        <f ca="1">IFERROR(__xludf.DUMMYFUNCTION("""COMPUTED_VALUE"""),"Outside on School Property")</f>
        <v>Outside on School Property</v>
      </c>
      <c r="U380" s="8" t="str">
        <f ca="1">IFERROR(__xludf.DUMMYFUNCTION("""COMPUTED_VALUE"""),"No")</f>
        <v>No</v>
      </c>
      <c r="V380" s="8" t="str">
        <f ca="1">IFERROR(__xludf.DUMMYFUNCTION("""COMPUTED_VALUE"""),"Night")</f>
        <v>Night</v>
      </c>
      <c r="W380" s="11">
        <f ca="1">IFERROR(__xludf.DUMMYFUNCTION("""COMPUTED_VALUE"""),0.958333333333333)</f>
        <v>0.95833333333333304</v>
      </c>
      <c r="X380" s="8">
        <f ca="1">IFERROR(__xludf.DUMMYFUNCTION("""COMPUTED_VALUE"""),1)</f>
        <v>1</v>
      </c>
      <c r="Y380" s="12" t="str">
        <f ca="1">IFERROR(__xludf.DUMMYFUNCTION("""COMPUTED_VALUE"""),"Group of students were shot by two teens on an ATV with a replica BB AK-47 rifle")</f>
        <v>Group of students were shot by two teens on an ATV with a replica BB AK-47 rifle</v>
      </c>
      <c r="Z380" s="12" t="str">
        <f ca="1">IFERROR(__xludf.DUMMYFUNCTION("""COMPUTED_VALUE"""),"Group of students were shot by two teens on an ATV with a replica BB AK-47 rifle")</f>
        <v>Group of students were shot by two teens on an ATV with a replica BB AK-47 rifle</v>
      </c>
      <c r="AA380" s="8" t="str">
        <f ca="1">IFERROR(__xludf.DUMMYFUNCTION("""COMPUTED_VALUE"""),"Drive-by Shooting")</f>
        <v>Drive-by Shooting</v>
      </c>
      <c r="AB380" s="8" t="str">
        <f ca="1">IFERROR(__xludf.DUMMYFUNCTION("""COMPUTED_VALUE"""),"Targeted")</f>
        <v>Targeted</v>
      </c>
      <c r="AC380" s="8" t="str">
        <f ca="1">IFERROR(__xludf.DUMMYFUNCTION("""COMPUTED_VALUE"""),"Yes")</f>
        <v>Yes</v>
      </c>
      <c r="AD380" s="8" t="str">
        <f ca="1">IFERROR(__xludf.DUMMYFUNCTION("""COMPUTED_VALUE"""),"Victims Targeted")</f>
        <v>Victims Targeted</v>
      </c>
      <c r="AE380" s="8" t="str">
        <f ca="1">IFERROR(__xludf.DUMMYFUNCTION("""COMPUTED_VALUE"""),"Yes")</f>
        <v>Yes</v>
      </c>
      <c r="AF380" s="8" t="str">
        <f ca="1">IFERROR(__xludf.DUMMYFUNCTION("""COMPUTED_VALUE"""),"Two teens on ATV")</f>
        <v>Two teens on ATV</v>
      </c>
      <c r="AG380" s="8" t="str">
        <f ca="1">IFERROR(__xludf.DUMMYFUNCTION("""COMPUTED_VALUE"""),"No")</f>
        <v>No</v>
      </c>
      <c r="AH380" s="8" t="str">
        <f ca="1">IFERROR(__xludf.DUMMYFUNCTION("""COMPUTED_VALUE"""),"No")</f>
        <v>No</v>
      </c>
      <c r="AI380" s="8" t="str">
        <f ca="1">IFERROR(__xludf.DUMMYFUNCTION("""COMPUTED_VALUE"""),"No")</f>
        <v>No</v>
      </c>
      <c r="AJ380" s="8" t="str">
        <f ca="1">IFERROR(__xludf.DUMMYFUNCTION("""COMPUTED_VALUE"""),"No")</f>
        <v>No</v>
      </c>
      <c r="AK380" s="8" t="str">
        <f ca="1">IFERROR(__xludf.DUMMYFUNCTION("""COMPUTED_VALUE"""),"No")</f>
        <v>No</v>
      </c>
      <c r="AL380" s="8" t="str">
        <f ca="1">IFERROR(__xludf.DUMMYFUNCTION("""COMPUTED_VALUE"""),"No")</f>
        <v>No</v>
      </c>
      <c r="AM380" s="8" t="str">
        <f ca="1">IFERROR(__xludf.DUMMYFUNCTION("""COMPUTED_VALUE"""),"No")</f>
        <v>No</v>
      </c>
      <c r="AN380" s="8" t="str">
        <f ca="1">IFERROR(__xludf.DUMMYFUNCTION("""COMPUTED_VALUE"""),"Outside")</f>
        <v>Outside</v>
      </c>
      <c r="AO380" s="8" t="str">
        <f ca="1">IFERROR(__xludf.DUMMYFUNCTION("""COMPUTED_VALUE"""),"No")</f>
        <v>No</v>
      </c>
      <c r="AP380" s="8"/>
      <c r="AQ380" s="8"/>
      <c r="AR380" s="8" t="str">
        <f ca="1">IFERROR(__xludf.DUMMYFUNCTION("""COMPUTED_VALUE"""),"Outside/Off-Property")</f>
        <v>Outside/Off-Property</v>
      </c>
      <c r="AS380" s="8">
        <f ca="1">IFERROR(__xludf.DUMMYFUNCTION("""COMPUTED_VALUE"""),99)</f>
        <v>99</v>
      </c>
      <c r="AT380" s="8" t="str">
        <f ca="1">IFERROR(__xludf.DUMMYFUNCTION("""COMPUTED_VALUE"""),"No")</f>
        <v>No</v>
      </c>
      <c r="AU380" s="8">
        <f ca="1">IFERROR(__xludf.DUMMYFUNCTION("""COMPUTED_VALUE"""),41.444886)</f>
        <v>41.444885999999997</v>
      </c>
      <c r="AV380" s="8">
        <f ca="1">IFERROR(__xludf.DUMMYFUNCTION("""COMPUTED_VALUE"""),-82.038591)</f>
        <v>-82.038590999999997</v>
      </c>
      <c r="AW380" s="8" t="str">
        <f ca="1">IFERROR(__xludf.DUMMYFUNCTION("""COMPUTED_VALUE"""),"Single building indoor hallway")</f>
        <v>Single building indoor hallway</v>
      </c>
      <c r="AX380" s="8">
        <f ca="1">IFERROR(__xludf.DUMMYFUNCTION("""COMPUTED_VALUE"""),44011)</f>
        <v>44011</v>
      </c>
    </row>
    <row r="381" spans="1:50" ht="75" x14ac:dyDescent="0.2">
      <c r="A381" s="8" t="str">
        <f ca="1">IFERROR(__xludf.DUMMYFUNCTION("""COMPUTED_VALUE"""),"20240510TXHAH")</f>
        <v>20240510TXHAH</v>
      </c>
      <c r="B381" s="8">
        <f ca="1">IFERROR(__xludf.DUMMYFUNCTION("""COMPUTED_VALUE"""),5)</f>
        <v>5</v>
      </c>
      <c r="C381" s="8">
        <f ca="1">IFERROR(__xludf.DUMMYFUNCTION("""COMPUTED_VALUE"""),10)</f>
        <v>10</v>
      </c>
      <c r="D381" s="8">
        <f ca="1">IFERROR(__xludf.DUMMYFUNCTION("""COMPUTED_VALUE"""),2024)</f>
        <v>2024</v>
      </c>
      <c r="E381" s="9">
        <f ca="1">IFERROR(__xludf.DUMMYFUNCTION("""COMPUTED_VALUE"""),45422)</f>
        <v>45422</v>
      </c>
      <c r="F381" s="8" t="str">
        <f ca="1">IFERROR(__xludf.DUMMYFUNCTION("""COMPUTED_VALUE"""),"Hastings High School")</f>
        <v>Hastings High School</v>
      </c>
      <c r="G381" s="8">
        <f ca="1">IFERROR(__xludf.DUMMYFUNCTION("""COMPUTED_VALUE"""),0)</f>
        <v>0</v>
      </c>
      <c r="H381" s="8">
        <f ca="1">IFERROR(__xludf.DUMMYFUNCTION("""COMPUTED_VALUE"""),1)</f>
        <v>1</v>
      </c>
      <c r="I381" s="8">
        <f ca="1">IFERROR(__xludf.DUMMYFUNCTION("""COMPUTED_VALUE"""),1)</f>
        <v>1</v>
      </c>
      <c r="J381" s="8">
        <f ca="1">IFERROR(__xludf.DUMMYFUNCTION("""COMPUTED_VALUE"""),0)</f>
        <v>0</v>
      </c>
      <c r="K381" s="8" t="str">
        <f ca="1">IFERROR(__xludf.DUMMYFUNCTION("""COMPUTED_VALUE"""),"https://www.fox26houston.com/news/houston-teen-accidentally-shot-in-hastings-high-school-parking-lot
https://www.click2houston.com/news/local/2024/05/10/person-self-transports-to-houston-hospital-after-being-shot-in-back/")</f>
        <v>https://www.fox26houston.com/news/houston-teen-accidentally-shot-in-hastings-high-school-parking-lot
https://www.click2houston.com/news/local/2024/05/10/person-self-transports-to-houston-hospital-after-being-shot-in-back/</v>
      </c>
      <c r="L381" s="8">
        <f ca="1">IFERROR(__xludf.DUMMYFUNCTION("""COMPUTED_VALUE"""),5)</f>
        <v>5</v>
      </c>
      <c r="M381" s="8" t="str">
        <f ca="1">IFERROR(__xludf.DUMMYFUNCTION("""COMPUTED_VALUE"""),"Local")</f>
        <v>Local</v>
      </c>
      <c r="N381" s="8">
        <f ca="1">IFERROR(__xludf.DUMMYFUNCTION("""COMPUTED_VALUE"""),4)</f>
        <v>4</v>
      </c>
      <c r="O381" s="8" t="str">
        <f ca="1">IFERROR(__xludf.DUMMYFUNCTION("""COMPUTED_VALUE"""),"Spring")</f>
        <v>Spring</v>
      </c>
      <c r="P381" s="8" t="str">
        <f ca="1">IFERROR(__xludf.DUMMYFUNCTION("""COMPUTED_VALUE"""),"Houston")</f>
        <v>Houston</v>
      </c>
      <c r="Q381" s="8" t="str">
        <f ca="1">IFERROR(__xludf.DUMMYFUNCTION("""COMPUTED_VALUE"""),"TX")</f>
        <v>TX</v>
      </c>
      <c r="R381" s="8" t="str">
        <f ca="1">IFERROR(__xludf.DUMMYFUNCTION("""COMPUTED_VALUE"""),"High")</f>
        <v>High</v>
      </c>
      <c r="S381" s="8" t="str">
        <f ca="1">IFERROR(__xludf.DUMMYFUNCTION("""COMPUTED_VALUE"""),"Parking Lot")</f>
        <v>Parking Lot</v>
      </c>
      <c r="T381" s="8" t="str">
        <f ca="1">IFERROR(__xludf.DUMMYFUNCTION("""COMPUTED_VALUE"""),"Outside on School Property")</f>
        <v>Outside on School Property</v>
      </c>
      <c r="U381" s="8" t="str">
        <f ca="1">IFERROR(__xludf.DUMMYFUNCTION("""COMPUTED_VALUE"""),"Yes")</f>
        <v>Yes</v>
      </c>
      <c r="V381" s="8" t="str">
        <f ca="1">IFERROR(__xludf.DUMMYFUNCTION("""COMPUTED_VALUE"""),"Afternoon Classes")</f>
        <v>Afternoon Classes</v>
      </c>
      <c r="W381" s="11">
        <f ca="1">IFERROR(__xludf.DUMMYFUNCTION("""COMPUTED_VALUE"""),0.583333333333333)</f>
        <v>0.58333333333333304</v>
      </c>
      <c r="X381" s="8">
        <f ca="1">IFERROR(__xludf.DUMMYFUNCTION("""COMPUTED_VALUE"""),1)</f>
        <v>1</v>
      </c>
      <c r="Y381" s="12" t="str">
        <f ca="1">IFERROR(__xludf.DUMMYFUNCTION("""COMPUTED_VALUE"""),"Student shot while sitting inside car by another student playing with a gun in the back seat")</f>
        <v>Student shot while sitting inside car by another student playing with a gun in the back seat</v>
      </c>
      <c r="Z381" s="12" t="str">
        <f ca="1">IFERROR(__xludf.DUMMYFUNCTION("""COMPUTED_VALUE"""),"Student shot while sitting inside car by another student playing with a gun in the back seat. Students in the car immediately drove to the emergency room.")</f>
        <v>Student shot while sitting inside car by another student playing with a gun in the back seat. Students in the car immediately drove to the emergency room.</v>
      </c>
      <c r="AA381" s="8" t="str">
        <f ca="1">IFERROR(__xludf.DUMMYFUNCTION("""COMPUTED_VALUE"""),"Accidental")</f>
        <v>Accidental</v>
      </c>
      <c r="AB381" s="8" t="str">
        <f ca="1">IFERROR(__xludf.DUMMYFUNCTION("""COMPUTED_VALUE"""),"Spontaneous")</f>
        <v>Spontaneous</v>
      </c>
      <c r="AC381" s="8" t="str">
        <f ca="1">IFERROR(__xludf.DUMMYFUNCTION("""COMPUTED_VALUE"""),"Yes")</f>
        <v>Yes</v>
      </c>
      <c r="AD381" s="8" t="str">
        <f ca="1">IFERROR(__xludf.DUMMYFUNCTION("""COMPUTED_VALUE"""),"Neither")</f>
        <v>Neither</v>
      </c>
      <c r="AE381" s="8" t="str">
        <f ca="1">IFERROR(__xludf.DUMMYFUNCTION("""COMPUTED_VALUE"""),"Yes")</f>
        <v>Yes</v>
      </c>
      <c r="AF381" s="8" t="str">
        <f ca="1">IFERROR(__xludf.DUMMYFUNCTION("""COMPUTED_VALUE"""),"Four students in the car")</f>
        <v>Four students in the car</v>
      </c>
      <c r="AG381" s="8" t="str">
        <f ca="1">IFERROR(__xludf.DUMMYFUNCTION("""COMPUTED_VALUE"""),"No")</f>
        <v>No</v>
      </c>
      <c r="AH381" s="8" t="str">
        <f ca="1">IFERROR(__xludf.DUMMYFUNCTION("""COMPUTED_VALUE"""),"No")</f>
        <v>No</v>
      </c>
      <c r="AI381" s="8" t="str">
        <f ca="1">IFERROR(__xludf.DUMMYFUNCTION("""COMPUTED_VALUE"""),"No")</f>
        <v>No</v>
      </c>
      <c r="AJ381" s="8" t="str">
        <f ca="1">IFERROR(__xludf.DUMMYFUNCTION("""COMPUTED_VALUE"""),"No")</f>
        <v>No</v>
      </c>
      <c r="AK381" s="8" t="str">
        <f ca="1">IFERROR(__xludf.DUMMYFUNCTION("""COMPUTED_VALUE"""),"No")</f>
        <v>No</v>
      </c>
      <c r="AL381" s="8" t="str">
        <f ca="1">IFERROR(__xludf.DUMMYFUNCTION("""COMPUTED_VALUE"""),"No")</f>
        <v>No</v>
      </c>
      <c r="AM381" s="8" t="str">
        <f ca="1">IFERROR(__xludf.DUMMYFUNCTION("""COMPUTED_VALUE"""),"No")</f>
        <v>No</v>
      </c>
      <c r="AN381" s="8" t="str">
        <f ca="1">IFERROR(__xludf.DUMMYFUNCTION("""COMPUTED_VALUE"""),"Outside")</f>
        <v>Outside</v>
      </c>
      <c r="AO381" s="8" t="str">
        <f ca="1">IFERROR(__xludf.DUMMYFUNCTION("""COMPUTED_VALUE"""),"No")</f>
        <v>No</v>
      </c>
      <c r="AP381" s="8" t="str">
        <f ca="1">IFERROR(__xludf.DUMMYFUNCTION("""COMPUTED_VALUE"""),"Yes")</f>
        <v>Yes</v>
      </c>
      <c r="AQ381" s="8"/>
      <c r="AR381" s="8" t="str">
        <f ca="1">IFERROR(__xludf.DUMMYFUNCTION("""COMPUTED_VALUE"""),"Outside/Off-Property")</f>
        <v>Outside/Off-Property</v>
      </c>
      <c r="AS381" s="8">
        <f ca="1">IFERROR(__xludf.DUMMYFUNCTION("""COMPUTED_VALUE"""),1)</f>
        <v>1</v>
      </c>
      <c r="AT381" s="8" t="str">
        <f ca="1">IFERROR(__xludf.DUMMYFUNCTION("""COMPUTED_VALUE"""),"No")</f>
        <v>No</v>
      </c>
      <c r="AU381" s="8">
        <f ca="1">IFERROR(__xludf.DUMMYFUNCTION("""COMPUTED_VALUE"""),29.708829)</f>
        <v>29.708829000000001</v>
      </c>
      <c r="AV381" s="8">
        <f ca="1">IFERROR(__xludf.DUMMYFUNCTION("""COMPUTED_VALUE"""),-95.59674)</f>
        <v>-95.596739999999997</v>
      </c>
      <c r="AW381" s="8" t="str">
        <f ca="1">IFERROR(__xludf.DUMMYFUNCTION("""COMPUTED_VALUE"""),"Multiple attached buildings")</f>
        <v>Multiple attached buildings</v>
      </c>
      <c r="AX381" s="8">
        <f ca="1">IFERROR(__xludf.DUMMYFUNCTION("""COMPUTED_VALUE"""),77072)</f>
        <v>77072</v>
      </c>
    </row>
    <row r="382" spans="1:50" ht="45" x14ac:dyDescent="0.2">
      <c r="A382" s="8" t="str">
        <f ca="1">IFERROR(__xludf.DUMMYFUNCTION("""COMPUTED_VALUE"""),"20240510VARIR")</f>
        <v>20240510VARIR</v>
      </c>
      <c r="B382" s="8">
        <f ca="1">IFERROR(__xludf.DUMMYFUNCTION("""COMPUTED_VALUE"""),5)</f>
        <v>5</v>
      </c>
      <c r="C382" s="8">
        <f ca="1">IFERROR(__xludf.DUMMYFUNCTION("""COMPUTED_VALUE"""),10)</f>
        <v>10</v>
      </c>
      <c r="D382" s="8">
        <f ca="1">IFERROR(__xludf.DUMMYFUNCTION("""COMPUTED_VALUE"""),2024)</f>
        <v>2024</v>
      </c>
      <c r="E382" s="9">
        <f ca="1">IFERROR(__xludf.DUMMYFUNCTION("""COMPUTED_VALUE"""),45422)</f>
        <v>45422</v>
      </c>
      <c r="F382" s="8" t="str">
        <f ca="1">IFERROR(__xludf.DUMMYFUNCTION("""COMPUTED_VALUE"""),"Richmond Technical Center")</f>
        <v>Richmond Technical Center</v>
      </c>
      <c r="G382" s="8">
        <f ca="1">IFERROR(__xludf.DUMMYFUNCTION("""COMPUTED_VALUE"""),0)</f>
        <v>0</v>
      </c>
      <c r="H382" s="8">
        <f ca="1">IFERROR(__xludf.DUMMYFUNCTION("""COMPUTED_VALUE"""),1)</f>
        <v>1</v>
      </c>
      <c r="I382" s="8">
        <f ca="1">IFERROR(__xludf.DUMMYFUNCTION("""COMPUTED_VALUE"""),1)</f>
        <v>1</v>
      </c>
      <c r="J382" s="8">
        <f ca="1">IFERROR(__xludf.DUMMYFUNCTION("""COMPUTED_VALUE"""),0)</f>
        <v>0</v>
      </c>
      <c r="K382" s="8" t="str">
        <f ca="1">IFERROR(__xludf.DUMMYFUNCTION("""COMPUTED_VALUE"""),"https://www.wric.com/news/local-news/richmond/richmond-public-school-bus-driver-allegedly-involved-in-shooting-outside-of-richmond-technical-center/
https://www.12onyourside.com/2024/05/10/police-investigate-shooting-involving-richmond-school-bus-driver/")</f>
        <v>https://www.wric.com/news/local-news/richmond/richmond-public-school-bus-driver-allegedly-involved-in-shooting-outside-of-richmond-technical-center/
https://www.12onyourside.com/2024/05/10/police-investigate-shooting-involving-richmond-school-bus-driver/</v>
      </c>
      <c r="L382" s="8">
        <f ca="1">IFERROR(__xludf.DUMMYFUNCTION("""COMPUTED_VALUE"""),5)</f>
        <v>5</v>
      </c>
      <c r="M382" s="8" t="str">
        <f ca="1">IFERROR(__xludf.DUMMYFUNCTION("""COMPUTED_VALUE"""),"Local")</f>
        <v>Local</v>
      </c>
      <c r="N382" s="8">
        <f ca="1">IFERROR(__xludf.DUMMYFUNCTION("""COMPUTED_VALUE"""),4)</f>
        <v>4</v>
      </c>
      <c r="O382" s="8" t="str">
        <f ca="1">IFERROR(__xludf.DUMMYFUNCTION("""COMPUTED_VALUE"""),"Spring")</f>
        <v>Spring</v>
      </c>
      <c r="P382" s="8" t="str">
        <f ca="1">IFERROR(__xludf.DUMMYFUNCTION("""COMPUTED_VALUE"""),"Richmond")</f>
        <v>Richmond</v>
      </c>
      <c r="Q382" s="8" t="str">
        <f ca="1">IFERROR(__xludf.DUMMYFUNCTION("""COMPUTED_VALUE"""),"VA")</f>
        <v>VA</v>
      </c>
      <c r="R382" s="8" t="str">
        <f ca="1">IFERROR(__xludf.DUMMYFUNCTION("""COMPUTED_VALUE"""),"High")</f>
        <v>High</v>
      </c>
      <c r="S382" s="8" t="str">
        <f ca="1">IFERROR(__xludf.DUMMYFUNCTION("""COMPUTED_VALUE"""),"Parking Lot")</f>
        <v>Parking Lot</v>
      </c>
      <c r="T382" s="8" t="str">
        <f ca="1">IFERROR(__xludf.DUMMYFUNCTION("""COMPUTED_VALUE"""),"Outside on School Property")</f>
        <v>Outside on School Property</v>
      </c>
      <c r="U382" s="8" t="str">
        <f ca="1">IFERROR(__xludf.DUMMYFUNCTION("""COMPUTED_VALUE"""),"No")</f>
        <v>No</v>
      </c>
      <c r="V382" s="8" t="str">
        <f ca="1">IFERROR(__xludf.DUMMYFUNCTION("""COMPUTED_VALUE"""),"Before School")</f>
        <v>Before School</v>
      </c>
      <c r="W382" s="11">
        <f ca="1">IFERROR(__xludf.DUMMYFUNCTION("""COMPUTED_VALUE"""),0.291666666666666)</f>
        <v>0.29166666666666602</v>
      </c>
      <c r="X382" s="8">
        <f ca="1">IFERROR(__xludf.DUMMYFUNCTION("""COMPUTED_VALUE"""),1)</f>
        <v>1</v>
      </c>
      <c r="Y382" s="12" t="str">
        <f ca="1">IFERROR(__xludf.DUMMYFUNCTION("""COMPUTED_VALUE"""),"School bus driver shot another man during a dispute ")</f>
        <v xml:space="preserve">School bus driver shot another man during a dispute </v>
      </c>
      <c r="Z382" s="12" t="str">
        <f ca="1">IFERROR(__xludf.DUMMYFUNCTION("""COMPUTED_VALUE"""),"School bus driver shot another man during a dispute. Shooting took place before school started and students were not present.")</f>
        <v>School bus driver shot another man during a dispute. Shooting took place before school started and students were not present.</v>
      </c>
      <c r="AA382" s="8" t="str">
        <f ca="1">IFERROR(__xludf.DUMMYFUNCTION("""COMPUTED_VALUE"""),"Escalation of Dispute")</f>
        <v>Escalation of Dispute</v>
      </c>
      <c r="AB382" s="8" t="str">
        <f ca="1">IFERROR(__xludf.DUMMYFUNCTION("""COMPUTED_VALUE"""),"Spontaneous")</f>
        <v>Spontaneous</v>
      </c>
      <c r="AC382" s="8" t="str">
        <f ca="1">IFERROR(__xludf.DUMMYFUNCTION("""COMPUTED_VALUE"""),"Yes")</f>
        <v>Yes</v>
      </c>
      <c r="AD382" s="8" t="str">
        <f ca="1">IFERROR(__xludf.DUMMYFUNCTION("""COMPUTED_VALUE"""),"Victims Targeted")</f>
        <v>Victims Targeted</v>
      </c>
      <c r="AE382" s="8" t="str">
        <f ca="1">IFERROR(__xludf.DUMMYFUNCTION("""COMPUTED_VALUE"""),"No")</f>
        <v>No</v>
      </c>
      <c r="AF382" s="8"/>
      <c r="AG382" s="8" t="str">
        <f ca="1">IFERROR(__xludf.DUMMYFUNCTION("""COMPUTED_VALUE"""),"No")</f>
        <v>No</v>
      </c>
      <c r="AH382" s="8" t="str">
        <f ca="1">IFERROR(__xludf.DUMMYFUNCTION("""COMPUTED_VALUE"""),"No")</f>
        <v>No</v>
      </c>
      <c r="AI382" s="8" t="str">
        <f ca="1">IFERROR(__xludf.DUMMYFUNCTION("""COMPUTED_VALUE"""),"No")</f>
        <v>No</v>
      </c>
      <c r="AJ382" s="8" t="str">
        <f ca="1">IFERROR(__xludf.DUMMYFUNCTION("""COMPUTED_VALUE"""),"No")</f>
        <v>No</v>
      </c>
      <c r="AK382" s="8" t="str">
        <f ca="1">IFERROR(__xludf.DUMMYFUNCTION("""COMPUTED_VALUE"""),"No")</f>
        <v>No</v>
      </c>
      <c r="AL382" s="8" t="str">
        <f ca="1">IFERROR(__xludf.DUMMYFUNCTION("""COMPUTED_VALUE"""),"No")</f>
        <v>No</v>
      </c>
      <c r="AM382" s="8" t="str">
        <f ca="1">IFERROR(__xludf.DUMMYFUNCTION("""COMPUTED_VALUE"""),"No")</f>
        <v>No</v>
      </c>
      <c r="AN382" s="8" t="str">
        <f ca="1">IFERROR(__xludf.DUMMYFUNCTION("""COMPUTED_VALUE"""),"Single Room")</f>
        <v>Single Room</v>
      </c>
      <c r="AO382" s="8" t="str">
        <f ca="1">IFERROR(__xludf.DUMMYFUNCTION("""COMPUTED_VALUE"""),"No")</f>
        <v>No</v>
      </c>
      <c r="AP382" s="8"/>
      <c r="AQ382" s="8"/>
      <c r="AR382" s="8" t="str">
        <f ca="1">IFERROR(__xludf.DUMMYFUNCTION("""COMPUTED_VALUE"""),"Outside/Off-Property")</f>
        <v>Outside/Off-Property</v>
      </c>
      <c r="AS382" s="8">
        <f ca="1">IFERROR(__xludf.DUMMYFUNCTION("""COMPUTED_VALUE"""),1)</f>
        <v>1</v>
      </c>
      <c r="AT382" s="8" t="str">
        <f ca="1">IFERROR(__xludf.DUMMYFUNCTION("""COMPUTED_VALUE"""),"No")</f>
        <v>No</v>
      </c>
      <c r="AU382" s="8">
        <f ca="1">IFERROR(__xludf.DUMMYFUNCTION("""COMPUTED_VALUE"""),37.5792691)</f>
        <v>37.579269099999998</v>
      </c>
      <c r="AV382" s="8">
        <f ca="1">IFERROR(__xludf.DUMMYFUNCTION("""COMPUTED_VALUE"""),-77.4707279)</f>
        <v>-77.4707279</v>
      </c>
      <c r="AW382" s="8" t="str">
        <f ca="1">IFERROR(__xludf.DUMMYFUNCTION("""COMPUTED_VALUE"""),"Single building indoor hallway")</f>
        <v>Single building indoor hallway</v>
      </c>
      <c r="AX382" s="8">
        <f ca="1">IFERROR(__xludf.DUMMYFUNCTION("""COMPUTED_VALUE"""),23230)</f>
        <v>23230</v>
      </c>
    </row>
    <row r="383" spans="1:50" ht="60" x14ac:dyDescent="0.2">
      <c r="A383" s="8" t="str">
        <f ca="1">IFERROR(__xludf.DUMMYFUNCTION("""COMPUTED_VALUE"""),"20240509LACOB")</f>
        <v>20240509LACOB</v>
      </c>
      <c r="B383" s="8">
        <f ca="1">IFERROR(__xludf.DUMMYFUNCTION("""COMPUTED_VALUE"""),5)</f>
        <v>5</v>
      </c>
      <c r="C383" s="8">
        <f ca="1">IFERROR(__xludf.DUMMYFUNCTION("""COMPUTED_VALUE"""),9)</f>
        <v>9</v>
      </c>
      <c r="D383" s="8">
        <f ca="1">IFERROR(__xludf.DUMMYFUNCTION("""COMPUTED_VALUE"""),2024)</f>
        <v>2024</v>
      </c>
      <c r="E383" s="9">
        <f ca="1">IFERROR(__xludf.DUMMYFUNCTION("""COMPUTED_VALUE"""),45421)</f>
        <v>45421</v>
      </c>
      <c r="F383" s="8" t="str">
        <f ca="1">IFERROR(__xludf.DUMMYFUNCTION("""COMPUTED_VALUE"""),"Cope Middle School")</f>
        <v>Cope Middle School</v>
      </c>
      <c r="G383" s="8">
        <f ca="1">IFERROR(__xludf.DUMMYFUNCTION("""COMPUTED_VALUE"""),0)</f>
        <v>0</v>
      </c>
      <c r="H383" s="8">
        <f ca="1">IFERROR(__xludf.DUMMYFUNCTION("""COMPUTED_VALUE"""),0)</f>
        <v>0</v>
      </c>
      <c r="I383" s="8">
        <f ca="1">IFERROR(__xludf.DUMMYFUNCTION("""COMPUTED_VALUE"""),0)</f>
        <v>0</v>
      </c>
      <c r="J383" s="8">
        <f ca="1">IFERROR(__xludf.DUMMYFUNCTION("""COMPUTED_VALUE"""),0)</f>
        <v>0</v>
      </c>
      <c r="K383" s="8" t="str">
        <f ca="1">IFERROR(__xludf.DUMMYFUNCTION("""COMPUTED_VALUE"""),"https://www.ksla.com/2024/05/09/student-accidentally-fires-gun-inside-bossier-city-classroom/
https://www.ktbs.com/news/gun-discharged-at-bossier-school-student-in-custody/article_984c02ba-0e37-11ef-93a8-239a30564271.html")</f>
        <v>https://www.ksla.com/2024/05/09/student-accidentally-fires-gun-inside-bossier-city-classroom/
https://www.ktbs.com/news/gun-discharged-at-bossier-school-student-in-custody/article_984c02ba-0e37-11ef-93a8-239a30564271.html</v>
      </c>
      <c r="L383" s="8">
        <f ca="1">IFERROR(__xludf.DUMMYFUNCTION("""COMPUTED_VALUE"""),2)</f>
        <v>2</v>
      </c>
      <c r="M383" s="8" t="str">
        <f ca="1">IFERROR(__xludf.DUMMYFUNCTION("""COMPUTED_VALUE"""),"Local")</f>
        <v>Local</v>
      </c>
      <c r="N383" s="8">
        <f ca="1">IFERROR(__xludf.DUMMYFUNCTION("""COMPUTED_VALUE"""),4)</f>
        <v>4</v>
      </c>
      <c r="O383" s="8" t="str">
        <f ca="1">IFERROR(__xludf.DUMMYFUNCTION("""COMPUTED_VALUE"""),"Spring")</f>
        <v>Spring</v>
      </c>
      <c r="P383" s="8" t="str">
        <f ca="1">IFERROR(__xludf.DUMMYFUNCTION("""COMPUTED_VALUE"""),"Bossier City")</f>
        <v>Bossier City</v>
      </c>
      <c r="Q383" s="8" t="str">
        <f ca="1">IFERROR(__xludf.DUMMYFUNCTION("""COMPUTED_VALUE"""),"LA")</f>
        <v>LA</v>
      </c>
      <c r="R383" s="8" t="str">
        <f ca="1">IFERROR(__xludf.DUMMYFUNCTION("""COMPUTED_VALUE"""),"Middle")</f>
        <v>Middle</v>
      </c>
      <c r="S383" s="8" t="str">
        <f ca="1">IFERROR(__xludf.DUMMYFUNCTION("""COMPUTED_VALUE"""),"Classroom")</f>
        <v>Classroom</v>
      </c>
      <c r="T383" s="8" t="str">
        <f ca="1">IFERROR(__xludf.DUMMYFUNCTION("""COMPUTED_VALUE"""),"Inside School Building")</f>
        <v>Inside School Building</v>
      </c>
      <c r="U383" s="8" t="str">
        <f ca="1">IFERROR(__xludf.DUMMYFUNCTION("""COMPUTED_VALUE"""),"Yes")</f>
        <v>Yes</v>
      </c>
      <c r="V383" s="8" t="str">
        <f ca="1">IFERROR(__xludf.DUMMYFUNCTION("""COMPUTED_VALUE"""),"Afternoon Classes")</f>
        <v>Afternoon Classes</v>
      </c>
      <c r="W383" s="11">
        <f ca="1">IFERROR(__xludf.DUMMYFUNCTION("""COMPUTED_VALUE"""),0.510416666666666)</f>
        <v>0.51041666666666596</v>
      </c>
      <c r="X383" s="8">
        <f ca="1">IFERROR(__xludf.DUMMYFUNCTION("""COMPUTED_VALUE"""),1)</f>
        <v>1</v>
      </c>
      <c r="Y383" s="12" t="str">
        <f ca="1">IFERROR(__xludf.DUMMYFUNCTION("""COMPUTED_VALUE"""),"Student fired gun inside classroom while putting gun into his backpack")</f>
        <v>Student fired gun inside classroom while putting gun into his backpack</v>
      </c>
      <c r="Z383" s="12" t="str">
        <f ca="1">IFERROR(__xludf.DUMMYFUNCTION("""COMPUTED_VALUE"""),"Student fired gun inside classroom while putting gun into his backpack after showing it off to another student. Student was arrested by the SRO. No injuries.")</f>
        <v>Student fired gun inside classroom while putting gun into his backpack after showing it off to another student. Student was arrested by the SRO. No injuries.</v>
      </c>
      <c r="AA383" s="8" t="str">
        <f ca="1">IFERROR(__xludf.DUMMYFUNCTION("""COMPUTED_VALUE"""),"Accidental")</f>
        <v>Accidental</v>
      </c>
      <c r="AB383" s="8" t="str">
        <f ca="1">IFERROR(__xludf.DUMMYFUNCTION("""COMPUTED_VALUE"""),"Spontaneous")</f>
        <v>Spontaneous</v>
      </c>
      <c r="AC383" s="8" t="str">
        <f ca="1">IFERROR(__xludf.DUMMYFUNCTION("""COMPUTED_VALUE"""),"Yes")</f>
        <v>Yes</v>
      </c>
      <c r="AD383" s="8" t="str">
        <f ca="1">IFERROR(__xludf.DUMMYFUNCTION("""COMPUTED_VALUE"""),"Neither")</f>
        <v>Neither</v>
      </c>
      <c r="AE383" s="8" t="str">
        <f ca="1">IFERROR(__xludf.DUMMYFUNCTION("""COMPUTED_VALUE"""),"No")</f>
        <v>No</v>
      </c>
      <c r="AF383" s="8"/>
      <c r="AG383" s="8" t="str">
        <f ca="1">IFERROR(__xludf.DUMMYFUNCTION("""COMPUTED_VALUE"""),"No")</f>
        <v>No</v>
      </c>
      <c r="AH383" s="8" t="str">
        <f ca="1">IFERROR(__xludf.DUMMYFUNCTION("""COMPUTED_VALUE"""),"No")</f>
        <v>No</v>
      </c>
      <c r="AI383" s="8" t="str">
        <f ca="1">IFERROR(__xludf.DUMMYFUNCTION("""COMPUTED_VALUE"""),"No")</f>
        <v>No</v>
      </c>
      <c r="AJ383" s="8" t="str">
        <f ca="1">IFERROR(__xludf.DUMMYFUNCTION("""COMPUTED_VALUE"""),"No")</f>
        <v>No</v>
      </c>
      <c r="AK383" s="8" t="str">
        <f ca="1">IFERROR(__xludf.DUMMYFUNCTION("""COMPUTED_VALUE"""),"No")</f>
        <v>No</v>
      </c>
      <c r="AL383" s="8" t="str">
        <f ca="1">IFERROR(__xludf.DUMMYFUNCTION("""COMPUTED_VALUE"""),"No")</f>
        <v>No</v>
      </c>
      <c r="AM383" s="8" t="str">
        <f ca="1">IFERROR(__xludf.DUMMYFUNCTION("""COMPUTED_VALUE"""),"No")</f>
        <v>No</v>
      </c>
      <c r="AN383" s="8" t="str">
        <f ca="1">IFERROR(__xludf.DUMMYFUNCTION("""COMPUTED_VALUE"""),"Single Room")</f>
        <v>Single Room</v>
      </c>
      <c r="AO383" s="8" t="str">
        <f ca="1">IFERROR(__xludf.DUMMYFUNCTION("""COMPUTED_VALUE"""),"No")</f>
        <v>No</v>
      </c>
      <c r="AP383" s="8" t="str">
        <f ca="1">IFERROR(__xludf.DUMMYFUNCTION("""COMPUTED_VALUE"""),"Yes")</f>
        <v>Yes</v>
      </c>
      <c r="AQ383" s="8"/>
      <c r="AR383" s="8" t="str">
        <f ca="1">IFERROR(__xludf.DUMMYFUNCTION("""COMPUTED_VALUE"""),"Failed")</f>
        <v>Failed</v>
      </c>
      <c r="AS383" s="8">
        <f ca="1">IFERROR(__xludf.DUMMYFUNCTION("""COMPUTED_VALUE"""),1)</f>
        <v>1</v>
      </c>
      <c r="AT383" s="8" t="str">
        <f ca="1">IFERROR(__xludf.DUMMYFUNCTION("""COMPUTED_VALUE"""),"Yes")</f>
        <v>Yes</v>
      </c>
      <c r="AU383" s="8">
        <f ca="1">IFERROR(__xludf.DUMMYFUNCTION("""COMPUTED_VALUE"""),32.545558)</f>
        <v>32.545558</v>
      </c>
      <c r="AV383" s="8">
        <f ca="1">IFERROR(__xludf.DUMMYFUNCTION("""COMPUTED_VALUE"""),-93.666992)</f>
        <v>-93.666991999999993</v>
      </c>
      <c r="AW383" s="8" t="str">
        <f ca="1">IFERROR(__xludf.DUMMYFUNCTION("""COMPUTED_VALUE"""),"Multiple detached buildings")</f>
        <v>Multiple detached buildings</v>
      </c>
      <c r="AX383" s="8">
        <f ca="1">IFERROR(__xludf.DUMMYFUNCTION("""COMPUTED_VALUE"""),71111)</f>
        <v>71111</v>
      </c>
    </row>
    <row r="384" spans="1:50" ht="210" x14ac:dyDescent="0.2">
      <c r="A384" s="8" t="str">
        <f ca="1">IFERROR(__xludf.DUMMYFUNCTION("""COMPUTED_VALUE"""),"20240508NMSOA")</f>
        <v>20240508NMSOA</v>
      </c>
      <c r="B384" s="8">
        <f ca="1">IFERROR(__xludf.DUMMYFUNCTION("""COMPUTED_VALUE"""),5)</f>
        <v>5</v>
      </c>
      <c r="C384" s="8">
        <f ca="1">IFERROR(__xludf.DUMMYFUNCTION("""COMPUTED_VALUE"""),8)</f>
        <v>8</v>
      </c>
      <c r="D384" s="8">
        <f ca="1">IFERROR(__xludf.DUMMYFUNCTION("""COMPUTED_VALUE"""),2024)</f>
        <v>2024</v>
      </c>
      <c r="E384" s="9">
        <f ca="1">IFERROR(__xludf.DUMMYFUNCTION("""COMPUTED_VALUE"""),45420)</f>
        <v>45420</v>
      </c>
      <c r="F384" s="8" t="str">
        <f ca="1">IFERROR(__xludf.DUMMYFUNCTION("""COMPUTED_VALUE"""),"Southwest Charter School")</f>
        <v>Southwest Charter School</v>
      </c>
      <c r="G384" s="8">
        <f ca="1">IFERROR(__xludf.DUMMYFUNCTION("""COMPUTED_VALUE"""),0)</f>
        <v>0</v>
      </c>
      <c r="H384" s="8">
        <f ca="1">IFERROR(__xludf.DUMMYFUNCTION("""COMPUTED_VALUE"""),1)</f>
        <v>1</v>
      </c>
      <c r="I384" s="8">
        <f ca="1">IFERROR(__xludf.DUMMYFUNCTION("""COMPUTED_VALUE"""),1)</f>
        <v>1</v>
      </c>
      <c r="J384" s="8">
        <f ca="1">IFERROR(__xludf.DUMMYFUNCTION("""COMPUTED_VALUE"""),0)</f>
        <v>0</v>
      </c>
      <c r="K384" s="10" t="str">
        <f ca="1">IFERROR(__xludf.DUMMYFUNCTION("""COMPUTED_VALUE"""),"https://www.fox10phoenix.com/news/mother-shot-high-school-graduation-albuquerque-new-mexico
https://www.koat.com/article/albuquerque-convention-center-shooting/60737567")</f>
        <v>https://www.fox10phoenix.com/news/mother-shot-high-school-graduation-albuquerque-new-mexico
https://www.koat.com/article/albuquerque-convention-center-shooting/60737567</v>
      </c>
      <c r="L384" s="8">
        <f ca="1">IFERROR(__xludf.DUMMYFUNCTION("""COMPUTED_VALUE"""),5)</f>
        <v>5</v>
      </c>
      <c r="M384" s="8" t="str">
        <f ca="1">IFERROR(__xludf.DUMMYFUNCTION("""COMPUTED_VALUE"""),"Local")</f>
        <v>Local</v>
      </c>
      <c r="N384" s="8">
        <f ca="1">IFERROR(__xludf.DUMMYFUNCTION("""COMPUTED_VALUE"""),4)</f>
        <v>4</v>
      </c>
      <c r="O384" s="8" t="str">
        <f ca="1">IFERROR(__xludf.DUMMYFUNCTION("""COMPUTED_VALUE"""),"Spring")</f>
        <v>Spring</v>
      </c>
      <c r="P384" s="8" t="str">
        <f ca="1">IFERROR(__xludf.DUMMYFUNCTION("""COMPUTED_VALUE"""),"Albuquerque")</f>
        <v>Albuquerque</v>
      </c>
      <c r="Q384" s="8" t="str">
        <f ca="1">IFERROR(__xludf.DUMMYFUNCTION("""COMPUTED_VALUE"""),"NM")</f>
        <v>NM</v>
      </c>
      <c r="R384" s="8" t="str">
        <f ca="1">IFERROR(__xludf.DUMMYFUNCTION("""COMPUTED_VALUE"""),"High")</f>
        <v>High</v>
      </c>
      <c r="S384" s="8" t="str">
        <f ca="1">IFERROR(__xludf.DUMMYFUNCTION("""COMPUTED_VALUE"""),"Off School Property")</f>
        <v>Off School Property</v>
      </c>
      <c r="T384" s="8" t="str">
        <f ca="1">IFERROR(__xludf.DUMMYFUNCTION("""COMPUTED_VALUE"""),"Off School Property")</f>
        <v>Off School Property</v>
      </c>
      <c r="U384" s="8" t="str">
        <f ca="1">IFERROR(__xludf.DUMMYFUNCTION("""COMPUTED_VALUE"""),"No")</f>
        <v>No</v>
      </c>
      <c r="V384" s="8" t="str">
        <f ca="1">IFERROR(__xludf.DUMMYFUNCTION("""COMPUTED_VALUE"""),"School Event")</f>
        <v>School Event</v>
      </c>
      <c r="W384" s="11">
        <f ca="1">IFERROR(__xludf.DUMMYFUNCTION("""COMPUTED_VALUE"""),0.708333333333333)</f>
        <v>0.70833333333333304</v>
      </c>
      <c r="X384" s="8">
        <f ca="1">IFERROR(__xludf.DUMMYFUNCTION("""COMPUTED_VALUE"""),1)</f>
        <v>1</v>
      </c>
      <c r="Y384" s="12" t="str">
        <f ca="1">IFERROR(__xludf.DUMMYFUNCTION("""COMPUTED_VALUE"""),"Mother shot by stepson during graduation ceremony")</f>
        <v>Mother shot by stepson during graduation ceremony</v>
      </c>
      <c r="Z384" s="12" t="str">
        <f ca="1">IFERROR(__xludf.DUMMYFUNCTION("""COMPUTED_VALUE"""),"A shooting ended a high school graduation ceremony in New Mexico on Wednesday. The Albuquerque Police Department received a call shortly after 5 p.m. local time of ""shots fired"" at the Albuquerque Convention Center. During the ceremony, APD said that 21"&amp;"-year-old Cristian Bencomo shot his stepmother, who was attending the graduation for her son. ""Her stepson arrived, and as she started to hug him [her son], he produced a handgun and shot her in the neck,"" APD said in a statement. The shooting happened "&amp;"at Wednesday’s graduation for the Southwest Secondary Learning Center. It’s part of Southwest Charter School in Albuquerque. ""As you can imagine, there was a lot of chaos at the time,"" communications director for APD Gilbert Gallegos told the press. ")</f>
        <v xml:space="preserve">A shooting ended a high school graduation ceremony in New Mexico on Wednesday. The Albuquerque Police Department received a call shortly after 5 p.m. local time of "shots fired" at the Albuquerque Convention Center. During the ceremony, APD said that 21-year-old Cristian Bencomo shot his stepmother, who was attending the graduation for her son. "Her stepson arrived, and as she started to hug him [her son], he produced a handgun and shot her in the neck," APD said in a statement. The shooting happened at Wednesday’s graduation for the Southwest Secondary Learning Center. It’s part of Southwest Charter School in Albuquerque. "As you can imagine, there was a lot of chaos at the time," communications director for APD Gilbert Gallegos told the press. </v>
      </c>
      <c r="AA384" s="8" t="str">
        <f ca="1">IFERROR(__xludf.DUMMYFUNCTION("""COMPUTED_VALUE"""),"Domestic w/ Targeted Victim")</f>
        <v>Domestic w/ Targeted Victim</v>
      </c>
      <c r="AB384" s="8" t="str">
        <f ca="1">IFERROR(__xludf.DUMMYFUNCTION("""COMPUTED_VALUE"""),"Targeted")</f>
        <v>Targeted</v>
      </c>
      <c r="AC384" s="8" t="str">
        <f ca="1">IFERROR(__xludf.DUMMYFUNCTION("""COMPUTED_VALUE"""),"Yes")</f>
        <v>Yes</v>
      </c>
      <c r="AD384" s="8" t="str">
        <f ca="1">IFERROR(__xludf.DUMMYFUNCTION("""COMPUTED_VALUE"""),"Victims Targeted")</f>
        <v>Victims Targeted</v>
      </c>
      <c r="AE384" s="8" t="str">
        <f ca="1">IFERROR(__xludf.DUMMYFUNCTION("""COMPUTED_VALUE"""),"No")</f>
        <v>No</v>
      </c>
      <c r="AF384" s="8"/>
      <c r="AG384" s="8" t="str">
        <f ca="1">IFERROR(__xludf.DUMMYFUNCTION("""COMPUTED_VALUE"""),"No")</f>
        <v>No</v>
      </c>
      <c r="AH384" s="8" t="str">
        <f ca="1">IFERROR(__xludf.DUMMYFUNCTION("""COMPUTED_VALUE"""),"No")</f>
        <v>No</v>
      </c>
      <c r="AI384" s="8" t="str">
        <f ca="1">IFERROR(__xludf.DUMMYFUNCTION("""COMPUTED_VALUE"""),"No")</f>
        <v>No</v>
      </c>
      <c r="AJ384" s="8" t="str">
        <f ca="1">IFERROR(__xludf.DUMMYFUNCTION("""COMPUTED_VALUE"""),"No")</f>
        <v>No</v>
      </c>
      <c r="AK384" s="8" t="str">
        <f ca="1">IFERROR(__xludf.DUMMYFUNCTION("""COMPUTED_VALUE"""),"Yes")</f>
        <v>Yes</v>
      </c>
      <c r="AL384" s="8" t="str">
        <f ca="1">IFERROR(__xludf.DUMMYFUNCTION("""COMPUTED_VALUE"""),"No")</f>
        <v>No</v>
      </c>
      <c r="AM384" s="8" t="str">
        <f ca="1">IFERROR(__xludf.DUMMYFUNCTION("""COMPUTED_VALUE"""),"No")</f>
        <v>No</v>
      </c>
      <c r="AN384" s="8" t="str">
        <f ca="1">IFERROR(__xludf.DUMMYFUNCTION("""COMPUTED_VALUE"""),"Single Room")</f>
        <v>Single Room</v>
      </c>
      <c r="AO384" s="8" t="str">
        <f ca="1">IFERROR(__xludf.DUMMYFUNCTION("""COMPUTED_VALUE"""),"No")</f>
        <v>No</v>
      </c>
      <c r="AP384" s="8"/>
      <c r="AQ384" s="8"/>
      <c r="AR384" s="8" t="str">
        <f ca="1">IFERROR(__xludf.DUMMYFUNCTION("""COMPUTED_VALUE"""),"Failed")</f>
        <v>Failed</v>
      </c>
      <c r="AS384" s="8">
        <f ca="1">IFERROR(__xludf.DUMMYFUNCTION("""COMPUTED_VALUE"""),1)</f>
        <v>1</v>
      </c>
      <c r="AT384" s="8"/>
      <c r="AU384" s="8">
        <f ca="1">IFERROR(__xludf.DUMMYFUNCTION("""COMPUTED_VALUE"""),35.116718)</f>
        <v>35.116717999999999</v>
      </c>
      <c r="AV384" s="8">
        <f ca="1">IFERROR(__xludf.DUMMYFUNCTION("""COMPUTED_VALUE"""),-106.525895)</f>
        <v>-106.52589500000001</v>
      </c>
      <c r="AW384" s="8"/>
      <c r="AX384" s="8">
        <f ca="1">IFERROR(__xludf.DUMMYFUNCTION("""COMPUTED_VALUE"""),87112)</f>
        <v>87112</v>
      </c>
    </row>
    <row r="385" spans="1:50" ht="75" x14ac:dyDescent="0.2">
      <c r="A385" s="8" t="str">
        <f ca="1">IFERROR(__xludf.DUMMYFUNCTION("""COMPUTED_VALUE"""),"20240508FLSTL")</f>
        <v>20240508FLSTL</v>
      </c>
      <c r="B385" s="8">
        <f ca="1">IFERROR(__xludf.DUMMYFUNCTION("""COMPUTED_VALUE"""),5)</f>
        <v>5</v>
      </c>
      <c r="C385" s="8">
        <f ca="1">IFERROR(__xludf.DUMMYFUNCTION("""COMPUTED_VALUE"""),8)</f>
        <v>8</v>
      </c>
      <c r="D385" s="8">
        <f ca="1">IFERROR(__xludf.DUMMYFUNCTION("""COMPUTED_VALUE"""),2024)</f>
        <v>2024</v>
      </c>
      <c r="E385" s="9">
        <f ca="1">IFERROR(__xludf.DUMMYFUNCTION("""COMPUTED_VALUE"""),45420)</f>
        <v>45420</v>
      </c>
      <c r="F385" s="8" t="str">
        <f ca="1">IFERROR(__xludf.DUMMYFUNCTION("""COMPUTED_VALUE"""),"Starlight Cove Elementary")</f>
        <v>Starlight Cove Elementary</v>
      </c>
      <c r="G385" s="8">
        <f ca="1">IFERROR(__xludf.DUMMYFUNCTION("""COMPUTED_VALUE"""),0)</f>
        <v>0</v>
      </c>
      <c r="H385" s="8">
        <f ca="1">IFERROR(__xludf.DUMMYFUNCTION("""COMPUTED_VALUE"""),0)</f>
        <v>0</v>
      </c>
      <c r="I385" s="8">
        <f ca="1">IFERROR(__xludf.DUMMYFUNCTION("""COMPUTED_VALUE"""),0)</f>
        <v>0</v>
      </c>
      <c r="J385" s="8">
        <f ca="1">IFERROR(__xludf.DUMMYFUNCTION("""COMPUTED_VALUE"""),0)</f>
        <v>0</v>
      </c>
      <c r="K385" s="8" t="str">
        <f ca="1">IFERROR(__xludf.DUMMYFUNCTION("""COMPUTED_VALUE"""),"https://www.wpbf.com/article/florida-man-shoots-self-enter-starlight-cove-elementary-school/60745028
https://cbs12.com/newsletter-daily/trespasser-shot-in-the-thigh-causes-brief-lockdown-at-starlight-cove-elementary-school-florida-news-palm-beach-county-s"&amp;"heriffs-office-florida-news-may-8-2024")</f>
        <v>https://www.wpbf.com/article/florida-man-shoots-self-enter-starlight-cove-elementary-school/60745028
https://cbs12.com/newsletter-daily/trespasser-shot-in-the-thigh-causes-brief-lockdown-at-starlight-cove-elementary-school-florida-news-palm-beach-county-sheriffs-office-florida-news-may-8-2024</v>
      </c>
      <c r="L385" s="8">
        <f ca="1">IFERROR(__xludf.DUMMYFUNCTION("""COMPUTED_VALUE"""),4)</f>
        <v>4</v>
      </c>
      <c r="M385" s="8" t="str">
        <f ca="1">IFERROR(__xludf.DUMMYFUNCTION("""COMPUTED_VALUE"""),"Local")</f>
        <v>Local</v>
      </c>
      <c r="N385" s="8">
        <f ca="1">IFERROR(__xludf.DUMMYFUNCTION("""COMPUTED_VALUE"""),4)</f>
        <v>4</v>
      </c>
      <c r="O385" s="8" t="str">
        <f ca="1">IFERROR(__xludf.DUMMYFUNCTION("""COMPUTED_VALUE"""),"Spring")</f>
        <v>Spring</v>
      </c>
      <c r="P385" s="8" t="str">
        <f ca="1">IFERROR(__xludf.DUMMYFUNCTION("""COMPUTED_VALUE"""),"Lantana")</f>
        <v>Lantana</v>
      </c>
      <c r="Q385" s="8" t="str">
        <f ca="1">IFERROR(__xludf.DUMMYFUNCTION("""COMPUTED_VALUE"""),"FL")</f>
        <v>FL</v>
      </c>
      <c r="R385" s="8" t="str">
        <f ca="1">IFERROR(__xludf.DUMMYFUNCTION("""COMPUTED_VALUE"""),"Elementary")</f>
        <v>Elementary</v>
      </c>
      <c r="S385" s="8" t="str">
        <f ca="1">IFERROR(__xludf.DUMMYFUNCTION("""COMPUTED_VALUE"""),"Outside on School Property")</f>
        <v>Outside on School Property</v>
      </c>
      <c r="T385" s="8" t="str">
        <f ca="1">IFERROR(__xludf.DUMMYFUNCTION("""COMPUTED_VALUE"""),"Outside on School Property")</f>
        <v>Outside on School Property</v>
      </c>
      <c r="U385" s="8" t="str">
        <f ca="1">IFERROR(__xludf.DUMMYFUNCTION("""COMPUTED_VALUE"""),"Yes")</f>
        <v>Yes</v>
      </c>
      <c r="V385" s="8" t="str">
        <f ca="1">IFERROR(__xludf.DUMMYFUNCTION("""COMPUTED_VALUE"""),"Dismissal")</f>
        <v>Dismissal</v>
      </c>
      <c r="W385" s="11">
        <f ca="1">IFERROR(__xludf.DUMMYFUNCTION("""COMPUTED_VALUE"""),0.625)</f>
        <v>0.625</v>
      </c>
      <c r="X385" s="8">
        <f ca="1">IFERROR(__xludf.DUMMYFUNCTION("""COMPUTED_VALUE"""),1)</f>
        <v>1</v>
      </c>
      <c r="Y385" s="12" t="str">
        <f ca="1">IFERROR(__xludf.DUMMYFUNCTION("""COMPUTED_VALUE"""),"Man shot himself while trying to climb over a fence instead of using the entry gate")</f>
        <v>Man shot himself while trying to climb over a fence instead of using the entry gate</v>
      </c>
      <c r="Z385" s="12" t="str">
        <f ca="1">IFERROR(__xludf.DUMMYFUNCTION("""COMPUTED_VALUE"""),"Man shot himself while trying to climb over a fence instead of using the entry gate. School was placed on lockdown and man was arrested and taken to the hospital.")</f>
        <v>Man shot himself while trying to climb over a fence instead of using the entry gate. School was placed on lockdown and man was arrested and taken to the hospital.</v>
      </c>
      <c r="AA385" s="8" t="str">
        <f ca="1">IFERROR(__xludf.DUMMYFUNCTION("""COMPUTED_VALUE"""),"Accidental")</f>
        <v>Accidental</v>
      </c>
      <c r="AB385" s="8"/>
      <c r="AC385" s="8" t="str">
        <f ca="1">IFERROR(__xludf.DUMMYFUNCTION("""COMPUTED_VALUE"""),"Yes")</f>
        <v>Yes</v>
      </c>
      <c r="AD385" s="8" t="str">
        <f ca="1">IFERROR(__xludf.DUMMYFUNCTION("""COMPUTED_VALUE"""),"Neither")</f>
        <v>Neither</v>
      </c>
      <c r="AE385" s="8" t="str">
        <f ca="1">IFERROR(__xludf.DUMMYFUNCTION("""COMPUTED_VALUE"""),"No")</f>
        <v>No</v>
      </c>
      <c r="AF385" s="8"/>
      <c r="AG385" s="8" t="str">
        <f ca="1">IFERROR(__xludf.DUMMYFUNCTION("""COMPUTED_VALUE"""),"No")</f>
        <v>No</v>
      </c>
      <c r="AH385" s="8" t="str">
        <f ca="1">IFERROR(__xludf.DUMMYFUNCTION("""COMPUTED_VALUE"""),"No")</f>
        <v>No</v>
      </c>
      <c r="AI385" s="8" t="str">
        <f ca="1">IFERROR(__xludf.DUMMYFUNCTION("""COMPUTED_VALUE"""),"No")</f>
        <v>No</v>
      </c>
      <c r="AJ385" s="8" t="str">
        <f ca="1">IFERROR(__xludf.DUMMYFUNCTION("""COMPUTED_VALUE"""),"No")</f>
        <v>No</v>
      </c>
      <c r="AK385" s="8" t="str">
        <f ca="1">IFERROR(__xludf.DUMMYFUNCTION("""COMPUTED_VALUE"""),"No")</f>
        <v>No</v>
      </c>
      <c r="AL385" s="8" t="str">
        <f ca="1">IFERROR(__xludf.DUMMYFUNCTION("""COMPUTED_VALUE"""),"No")</f>
        <v>No</v>
      </c>
      <c r="AM385" s="8" t="str">
        <f ca="1">IFERROR(__xludf.DUMMYFUNCTION("""COMPUTED_VALUE"""),"No")</f>
        <v>No</v>
      </c>
      <c r="AN385" s="8" t="str">
        <f ca="1">IFERROR(__xludf.DUMMYFUNCTION("""COMPUTED_VALUE"""),"Outside")</f>
        <v>Outside</v>
      </c>
      <c r="AO385" s="8" t="str">
        <f ca="1">IFERROR(__xludf.DUMMYFUNCTION("""COMPUTED_VALUE"""),"No")</f>
        <v>No</v>
      </c>
      <c r="AP385" s="8" t="str">
        <f ca="1">IFERROR(__xludf.DUMMYFUNCTION("""COMPUTED_VALUE"""),"Yes")</f>
        <v>Yes</v>
      </c>
      <c r="AQ385" s="8"/>
      <c r="AR385" s="8" t="str">
        <f ca="1">IFERROR(__xludf.DUMMYFUNCTION("""COMPUTED_VALUE"""),"Outside/Off-Property")</f>
        <v>Outside/Off-Property</v>
      </c>
      <c r="AS385" s="8">
        <f ca="1">IFERROR(__xludf.DUMMYFUNCTION("""COMPUTED_VALUE"""),1)</f>
        <v>1</v>
      </c>
      <c r="AT385" s="8" t="str">
        <f ca="1">IFERROR(__xludf.DUMMYFUNCTION("""COMPUTED_VALUE"""),"Yes")</f>
        <v>Yes</v>
      </c>
      <c r="AU385" s="8">
        <f ca="1">IFERROR(__xludf.DUMMYFUNCTION("""COMPUTED_VALUE"""),26.582152)</f>
        <v>26.582152000000001</v>
      </c>
      <c r="AV385" s="8">
        <f ca="1">IFERROR(__xludf.DUMMYFUNCTION("""COMPUTED_VALUE"""),-80.099688)</f>
        <v>-80.099688</v>
      </c>
      <c r="AW385" s="8" t="str">
        <f ca="1">IFERROR(__xludf.DUMMYFUNCTION("""COMPUTED_VALUE"""),"Single building indoor hallway")</f>
        <v>Single building indoor hallway</v>
      </c>
      <c r="AX385" s="8">
        <f ca="1">IFERROR(__xludf.DUMMYFUNCTION("""COMPUTED_VALUE"""),33462)</f>
        <v>33462</v>
      </c>
    </row>
    <row r="386" spans="1:50" ht="90" x14ac:dyDescent="0.2">
      <c r="A386" s="8" t="str">
        <f ca="1">IFERROR(__xludf.DUMMYFUNCTION("""COMPUTED_VALUE"""),"20240504NCPAW")</f>
        <v>20240504NCPAW</v>
      </c>
      <c r="B386" s="8">
        <f ca="1">IFERROR(__xludf.DUMMYFUNCTION("""COMPUTED_VALUE"""),5)</f>
        <v>5</v>
      </c>
      <c r="C386" s="8">
        <f ca="1">IFERROR(__xludf.DUMMYFUNCTION("""COMPUTED_VALUE"""),7)</f>
        <v>7</v>
      </c>
      <c r="D386" s="8">
        <f ca="1">IFERROR(__xludf.DUMMYFUNCTION("""COMPUTED_VALUE"""),2024)</f>
        <v>2024</v>
      </c>
      <c r="E386" s="9">
        <f ca="1">IFERROR(__xludf.DUMMYFUNCTION("""COMPUTED_VALUE"""),45419)</f>
        <v>45419</v>
      </c>
      <c r="F386" s="8" t="str">
        <f ca="1">IFERROR(__xludf.DUMMYFUNCTION("""COMPUTED_VALUE"""),"Parkland High School")</f>
        <v>Parkland High School</v>
      </c>
      <c r="G386" s="8">
        <f ca="1">IFERROR(__xludf.DUMMYFUNCTION("""COMPUTED_VALUE"""),0)</f>
        <v>0</v>
      </c>
      <c r="H386" s="8">
        <f ca="1">IFERROR(__xludf.DUMMYFUNCTION("""COMPUTED_VALUE"""),1)</f>
        <v>1</v>
      </c>
      <c r="I386" s="8">
        <f ca="1">IFERROR(__xludf.DUMMYFUNCTION("""COMPUTED_VALUE"""),1)</f>
        <v>1</v>
      </c>
      <c r="J386" s="8">
        <f ca="1">IFERROR(__xludf.DUMMYFUNCTION("""COMPUTED_VALUE"""),0)</f>
        <v>0</v>
      </c>
      <c r="K386" s="8" t="str">
        <f ca="1">IFERROR(__xludf.DUMMYFUNCTION("""COMPUTED_VALUE"""),"https://abc45.com/news/local/stray-bullet-fragment-injures-student-at-parkland-high-gun-discharged-from-backpack
https://www.wxii12.com/article/triad-juvenile-charged-gun-fires-backpack-parkland-student-injured/60724922")</f>
        <v>https://abc45.com/news/local/stray-bullet-fragment-injures-student-at-parkland-high-gun-discharged-from-backpack
https://www.wxii12.com/article/triad-juvenile-charged-gun-fires-backpack-parkland-student-injured/60724922</v>
      </c>
      <c r="L386" s="8">
        <f ca="1">IFERROR(__xludf.DUMMYFUNCTION("""COMPUTED_VALUE"""),3)</f>
        <v>3</v>
      </c>
      <c r="M386" s="8" t="str">
        <f ca="1">IFERROR(__xludf.DUMMYFUNCTION("""COMPUTED_VALUE"""),"Local")</f>
        <v>Local</v>
      </c>
      <c r="N386" s="8">
        <f ca="1">IFERROR(__xludf.DUMMYFUNCTION("""COMPUTED_VALUE"""),4)</f>
        <v>4</v>
      </c>
      <c r="O386" s="8" t="str">
        <f ca="1">IFERROR(__xludf.DUMMYFUNCTION("""COMPUTED_VALUE"""),"Spring")</f>
        <v>Spring</v>
      </c>
      <c r="P386" s="8" t="str">
        <f ca="1">IFERROR(__xludf.DUMMYFUNCTION("""COMPUTED_VALUE"""),"Winston-Salem")</f>
        <v>Winston-Salem</v>
      </c>
      <c r="Q386" s="8" t="str">
        <f ca="1">IFERROR(__xludf.DUMMYFUNCTION("""COMPUTED_VALUE"""),"NC")</f>
        <v>NC</v>
      </c>
      <c r="R386" s="8" t="str">
        <f ca="1">IFERROR(__xludf.DUMMYFUNCTION("""COMPUTED_VALUE"""),"High")</f>
        <v>High</v>
      </c>
      <c r="S386" s="8" t="str">
        <f ca="1">IFERROR(__xludf.DUMMYFUNCTION("""COMPUTED_VALUE"""),"Inside School Building")</f>
        <v>Inside School Building</v>
      </c>
      <c r="T386" s="8" t="str">
        <f ca="1">IFERROR(__xludf.DUMMYFUNCTION("""COMPUTED_VALUE"""),"Inside School Building")</f>
        <v>Inside School Building</v>
      </c>
      <c r="U386" s="8" t="str">
        <f ca="1">IFERROR(__xludf.DUMMYFUNCTION("""COMPUTED_VALUE"""),"Yes")</f>
        <v>Yes</v>
      </c>
      <c r="V386" s="8" t="str">
        <f ca="1">IFERROR(__xludf.DUMMYFUNCTION("""COMPUTED_VALUE"""),"Lunch")</f>
        <v>Lunch</v>
      </c>
      <c r="W386" s="11">
        <f ca="1">IFERROR(__xludf.DUMMYFUNCTION("""COMPUTED_VALUE"""),0.5)</f>
        <v>0.5</v>
      </c>
      <c r="X386" s="8">
        <f ca="1">IFERROR(__xludf.DUMMYFUNCTION("""COMPUTED_VALUE"""),1)</f>
        <v>1</v>
      </c>
      <c r="Y386" s="12" t="str">
        <f ca="1">IFERROR(__xludf.DUMMYFUNCTION("""COMPUTED_VALUE"""),"Female student struck by bullet fragment after gun fired inside classmates backpack")</f>
        <v>Female student struck by bullet fragment after gun fired inside classmates backpack</v>
      </c>
      <c r="Z386" s="12" t="str">
        <f ca="1">IFERROR(__xludf.DUMMYFUNCTION("""COMPUTED_VALUE"""),"Female student struck by bullet fragment after gun fired inside classmates backpack during lunch.")</f>
        <v>Female student struck by bullet fragment after gun fired inside classmates backpack during lunch.</v>
      </c>
      <c r="AA386" s="8" t="str">
        <f ca="1">IFERROR(__xludf.DUMMYFUNCTION("""COMPUTED_VALUE"""),"Accidental")</f>
        <v>Accidental</v>
      </c>
      <c r="AB386" s="8"/>
      <c r="AC386" s="8" t="str">
        <f ca="1">IFERROR(__xludf.DUMMYFUNCTION("""COMPUTED_VALUE"""),"Yes")</f>
        <v>Yes</v>
      </c>
      <c r="AD386" s="8" t="str">
        <f ca="1">IFERROR(__xludf.DUMMYFUNCTION("""COMPUTED_VALUE"""),"Neither")</f>
        <v>Neither</v>
      </c>
      <c r="AE386" s="8" t="str">
        <f ca="1">IFERROR(__xludf.DUMMYFUNCTION("""COMPUTED_VALUE"""),"No")</f>
        <v>No</v>
      </c>
      <c r="AF386" s="8"/>
      <c r="AG386" s="8" t="str">
        <f ca="1">IFERROR(__xludf.DUMMYFUNCTION("""COMPUTED_VALUE"""),"No")</f>
        <v>No</v>
      </c>
      <c r="AH386" s="8" t="str">
        <f ca="1">IFERROR(__xludf.DUMMYFUNCTION("""COMPUTED_VALUE"""),"No")</f>
        <v>No</v>
      </c>
      <c r="AI386" s="8" t="str">
        <f ca="1">IFERROR(__xludf.DUMMYFUNCTION("""COMPUTED_VALUE"""),"No")</f>
        <v>No</v>
      </c>
      <c r="AJ386" s="8" t="str">
        <f ca="1">IFERROR(__xludf.DUMMYFUNCTION("""COMPUTED_VALUE"""),"No")</f>
        <v>No</v>
      </c>
      <c r="AK386" s="8" t="str">
        <f ca="1">IFERROR(__xludf.DUMMYFUNCTION("""COMPUTED_VALUE"""),"No")</f>
        <v>No</v>
      </c>
      <c r="AL386" s="8" t="str">
        <f ca="1">IFERROR(__xludf.DUMMYFUNCTION("""COMPUTED_VALUE"""),"No")</f>
        <v>No</v>
      </c>
      <c r="AM386" s="8" t="str">
        <f ca="1">IFERROR(__xludf.DUMMYFUNCTION("""COMPUTED_VALUE"""),"No")</f>
        <v>No</v>
      </c>
      <c r="AN386" s="8"/>
      <c r="AO386" s="8" t="str">
        <f ca="1">IFERROR(__xludf.DUMMYFUNCTION("""COMPUTED_VALUE"""),"No")</f>
        <v>No</v>
      </c>
      <c r="AP386" s="8"/>
      <c r="AQ386" s="8"/>
      <c r="AR386" s="8" t="str">
        <f ca="1">IFERROR(__xludf.DUMMYFUNCTION("""COMPUTED_VALUE"""),"Failed")</f>
        <v>Failed</v>
      </c>
      <c r="AS386" s="8">
        <f ca="1">IFERROR(__xludf.DUMMYFUNCTION("""COMPUTED_VALUE"""),1)</f>
        <v>1</v>
      </c>
      <c r="AT386" s="8" t="str">
        <f ca="1">IFERROR(__xludf.DUMMYFUNCTION("""COMPUTED_VALUE"""),"Yes")</f>
        <v>Yes</v>
      </c>
      <c r="AU386" s="8">
        <f ca="1">IFERROR(__xludf.DUMMYFUNCTION("""COMPUTED_VALUE"""),36.056465)</f>
        <v>36.056465000000003</v>
      </c>
      <c r="AV386" s="8">
        <f ca="1">IFERROR(__xludf.DUMMYFUNCTION("""COMPUTED_VALUE"""),-80.257596)</f>
        <v>-80.257596000000007</v>
      </c>
      <c r="AW386" s="8" t="str">
        <f ca="1">IFERROR(__xludf.DUMMYFUNCTION("""COMPUTED_VALUE"""),"Multiple detached buildings")</f>
        <v>Multiple detached buildings</v>
      </c>
      <c r="AX386" s="8">
        <f ca="1">IFERROR(__xludf.DUMMYFUNCTION("""COMPUTED_VALUE"""),27127)</f>
        <v>27127</v>
      </c>
    </row>
    <row r="387" spans="1:50" ht="120" x14ac:dyDescent="0.2">
      <c r="A387" s="8" t="str">
        <f ca="1">IFERROR(__xludf.DUMMYFUNCTION("""COMPUTED_VALUE"""),"20240504SCNON")</f>
        <v>20240504SCNON</v>
      </c>
      <c r="B387" s="8">
        <f ca="1">IFERROR(__xludf.DUMMYFUNCTION("""COMPUTED_VALUE"""),5)</f>
        <v>5</v>
      </c>
      <c r="C387" s="8">
        <f ca="1">IFERROR(__xludf.DUMMYFUNCTION("""COMPUTED_VALUE"""),4)</f>
        <v>4</v>
      </c>
      <c r="D387" s="8">
        <f ca="1">IFERROR(__xludf.DUMMYFUNCTION("""COMPUTED_VALUE"""),2024)</f>
        <v>2024</v>
      </c>
      <c r="E387" s="9">
        <f ca="1">IFERROR(__xludf.DUMMYFUNCTION("""COMPUTED_VALUE"""),45416)</f>
        <v>45416</v>
      </c>
      <c r="F387" s="8" t="str">
        <f ca="1">IFERROR(__xludf.DUMMYFUNCTION("""COMPUTED_VALUE"""),"North Charleston High School")</f>
        <v>North Charleston High School</v>
      </c>
      <c r="G387" s="8">
        <f ca="1">IFERROR(__xludf.DUMMYFUNCTION("""COMPUTED_VALUE"""),0)</f>
        <v>0</v>
      </c>
      <c r="H387" s="8">
        <f ca="1">IFERROR(__xludf.DUMMYFUNCTION("""COMPUTED_VALUE"""),0)</f>
        <v>0</v>
      </c>
      <c r="I387" s="8">
        <f ca="1">IFERROR(__xludf.DUMMYFUNCTION("""COMPUTED_VALUE"""),0)</f>
        <v>0</v>
      </c>
      <c r="J387" s="8">
        <f ca="1">IFERROR(__xludf.DUMMYFUNCTION("""COMPUTED_VALUE"""),0)</f>
        <v>0</v>
      </c>
      <c r="K387" s="10" t="str">
        <f ca="1">IFERROR(__xludf.DUMMYFUNCTION("""COMPUTED_VALUE"""),"https://www.abcnews4.com/news/local/shots-fired-outside-north-charleston-high-school-new-details-from-police-report-wciv-abc-news-4-slam-fest-basketball-charleston-county-sheriffs-office-deputies
https://www.live5news.com/2024/05/05/police-investigating-a"&amp;"fter-reported-gunfire-north-charleston-high-school/")</f>
        <v>https://www.abcnews4.com/news/local/shots-fired-outside-north-charleston-high-school-new-details-from-police-report-wciv-abc-news-4-slam-fest-basketball-charleston-county-sheriffs-office-deputies
https://www.live5news.com/2024/05/05/police-investigating-after-reported-gunfire-north-charleston-high-school/</v>
      </c>
      <c r="L387" s="8">
        <f ca="1">IFERROR(__xludf.DUMMYFUNCTION("""COMPUTED_VALUE"""),3)</f>
        <v>3</v>
      </c>
      <c r="M387" s="8" t="str">
        <f ca="1">IFERROR(__xludf.DUMMYFUNCTION("""COMPUTED_VALUE"""),"Local")</f>
        <v>Local</v>
      </c>
      <c r="N387" s="8">
        <f ca="1">IFERROR(__xludf.DUMMYFUNCTION("""COMPUTED_VALUE"""),3)</f>
        <v>3</v>
      </c>
      <c r="O387" s="8" t="str">
        <f ca="1">IFERROR(__xludf.DUMMYFUNCTION("""COMPUTED_VALUE"""),"Spring")</f>
        <v>Spring</v>
      </c>
      <c r="P387" s="8" t="str">
        <f ca="1">IFERROR(__xludf.DUMMYFUNCTION("""COMPUTED_VALUE"""),"North Charleston")</f>
        <v>North Charleston</v>
      </c>
      <c r="Q387" s="8" t="str">
        <f ca="1">IFERROR(__xludf.DUMMYFUNCTION("""COMPUTED_VALUE"""),"SC")</f>
        <v>SC</v>
      </c>
      <c r="R387" s="8" t="str">
        <f ca="1">IFERROR(__xludf.DUMMYFUNCTION("""COMPUTED_VALUE"""),"High")</f>
        <v>High</v>
      </c>
      <c r="S387" s="8" t="str">
        <f ca="1">IFERROR(__xludf.DUMMYFUNCTION("""COMPUTED_VALUE"""),"Parking Lot")</f>
        <v>Parking Lot</v>
      </c>
      <c r="T387" s="8" t="str">
        <f ca="1">IFERROR(__xludf.DUMMYFUNCTION("""COMPUTED_VALUE"""),"Outside on School Property")</f>
        <v>Outside on School Property</v>
      </c>
      <c r="U387" s="8" t="str">
        <f ca="1">IFERROR(__xludf.DUMMYFUNCTION("""COMPUTED_VALUE"""),"No")</f>
        <v>No</v>
      </c>
      <c r="V387" s="8" t="str">
        <f ca="1">IFERROR(__xludf.DUMMYFUNCTION("""COMPUTED_VALUE"""),"Sport Event")</f>
        <v>Sport Event</v>
      </c>
      <c r="W387" s="11">
        <f ca="1">IFERROR(__xludf.DUMMYFUNCTION("""COMPUTED_VALUE"""),0.833333333333333)</f>
        <v>0.83333333333333304</v>
      </c>
      <c r="X387" s="8">
        <f ca="1">IFERROR(__xludf.DUMMYFUNCTION("""COMPUTED_VALUE"""),1)</f>
        <v>1</v>
      </c>
      <c r="Y387" s="12" t="str">
        <f ca="1">IFERROR(__xludf.DUMMYFUNCTION("""COMPUTED_VALUE"""),"Shots fired during fight at basketball tournament")</f>
        <v>Shots fired during fight at basketball tournament</v>
      </c>
      <c r="Z387" s="12" t="str">
        <f ca="1">IFERROR(__xludf.DUMMYFUNCTION("""COMPUTED_VALUE"""),"Officers with the North Charleston Police Department detained several people after there were reports of gunfire during an event at a high school. Officers were called to North Charleston High School on Saturday evening for reports of “several” fights tha"&amp;"t broke out during the Slam Fest Basketball event, police spokesperson Harve Jacobs said. Police said there were also reports of shots being fired during the incident.")</f>
        <v>Officers with the North Charleston Police Department detained several people after there were reports of gunfire during an event at a high school. Officers were called to North Charleston High School on Saturday evening for reports of “several” fights that broke out during the Slam Fest Basketball event, police spokesperson Harve Jacobs said. Police said there were also reports of shots being fired during the incident.</v>
      </c>
      <c r="AA387" s="8" t="str">
        <f ca="1">IFERROR(__xludf.DUMMYFUNCTION("""COMPUTED_VALUE"""),"Escalation of Dispute")</f>
        <v>Escalation of Dispute</v>
      </c>
      <c r="AB387" s="8" t="str">
        <f ca="1">IFERROR(__xludf.DUMMYFUNCTION("""COMPUTED_VALUE"""),"Spontaneous")</f>
        <v>Spontaneous</v>
      </c>
      <c r="AC387" s="8" t="str">
        <f ca="1">IFERROR(__xludf.DUMMYFUNCTION("""COMPUTED_VALUE"""),"Yes")</f>
        <v>Yes</v>
      </c>
      <c r="AD387" s="8"/>
      <c r="AE387" s="8"/>
      <c r="AF387" s="8"/>
      <c r="AG387" s="8" t="str">
        <f ca="1">IFERROR(__xludf.DUMMYFUNCTION("""COMPUTED_VALUE"""),"No")</f>
        <v>No</v>
      </c>
      <c r="AH387" s="8" t="str">
        <f ca="1">IFERROR(__xludf.DUMMYFUNCTION("""COMPUTED_VALUE"""),"No")</f>
        <v>No</v>
      </c>
      <c r="AI387" s="8" t="str">
        <f ca="1">IFERROR(__xludf.DUMMYFUNCTION("""COMPUTED_VALUE"""),"No")</f>
        <v>No</v>
      </c>
      <c r="AJ387" s="8" t="str">
        <f ca="1">IFERROR(__xludf.DUMMYFUNCTION("""COMPUTED_VALUE"""),"No")</f>
        <v>No</v>
      </c>
      <c r="AK387" s="8" t="str">
        <f ca="1">IFERROR(__xludf.DUMMYFUNCTION("""COMPUTED_VALUE"""),"No")</f>
        <v>No</v>
      </c>
      <c r="AL387" s="8"/>
      <c r="AM387" s="8" t="str">
        <f ca="1">IFERROR(__xludf.DUMMYFUNCTION("""COMPUTED_VALUE"""),"No")</f>
        <v>No</v>
      </c>
      <c r="AN387" s="8" t="str">
        <f ca="1">IFERROR(__xludf.DUMMYFUNCTION("""COMPUTED_VALUE"""),"Outside")</f>
        <v>Outside</v>
      </c>
      <c r="AO387" s="8" t="str">
        <f ca="1">IFERROR(__xludf.DUMMYFUNCTION("""COMPUTED_VALUE"""),"No")</f>
        <v>No</v>
      </c>
      <c r="AP387" s="8"/>
      <c r="AQ387" s="8"/>
      <c r="AR387" s="8" t="str">
        <f ca="1">IFERROR(__xludf.DUMMYFUNCTION("""COMPUTED_VALUE"""),"Outside/Off-Property")</f>
        <v>Outside/Off-Property</v>
      </c>
      <c r="AS387" s="8">
        <f ca="1">IFERROR(__xludf.DUMMYFUNCTION("""COMPUTED_VALUE"""),99)</f>
        <v>99</v>
      </c>
      <c r="AT387" s="8" t="str">
        <f ca="1">IFERROR(__xludf.DUMMYFUNCTION("""COMPUTED_VALUE"""),"No")</f>
        <v>No</v>
      </c>
      <c r="AU387" s="8">
        <f ca="1">IFERROR(__xludf.DUMMYFUNCTION("""COMPUTED_VALUE"""),32.879755)</f>
        <v>32.879755000000003</v>
      </c>
      <c r="AV387" s="8">
        <f ca="1">IFERROR(__xludf.DUMMYFUNCTION("""COMPUTED_VALUE"""),-79.978662)</f>
        <v>-79.978662</v>
      </c>
      <c r="AW387" s="8" t="str">
        <f ca="1">IFERROR(__xludf.DUMMYFUNCTION("""COMPUTED_VALUE"""),"Single building indoor hallway")</f>
        <v>Single building indoor hallway</v>
      </c>
      <c r="AX387" s="8">
        <f ca="1">IFERROR(__xludf.DUMMYFUNCTION("""COMPUTED_VALUE"""),29405)</f>
        <v>29405</v>
      </c>
    </row>
    <row r="388" spans="1:50" ht="30" x14ac:dyDescent="0.2">
      <c r="A388" s="8" t="str">
        <f ca="1">IFERROR(__xludf.DUMMYFUNCTION("""COMPUTED_VALUE"""),"20240504NEOHO")</f>
        <v>20240504NEOHO</v>
      </c>
      <c r="B388" s="8">
        <f ca="1">IFERROR(__xludf.DUMMYFUNCTION("""COMPUTED_VALUE"""),5)</f>
        <v>5</v>
      </c>
      <c r="C388" s="8">
        <f ca="1">IFERROR(__xludf.DUMMYFUNCTION("""COMPUTED_VALUE"""),4)</f>
        <v>4</v>
      </c>
      <c r="D388" s="8">
        <f ca="1">IFERROR(__xludf.DUMMYFUNCTION("""COMPUTED_VALUE"""),2024)</f>
        <v>2024</v>
      </c>
      <c r="E388" s="9">
        <f ca="1">IFERROR(__xludf.DUMMYFUNCTION("""COMPUTED_VALUE"""),45416)</f>
        <v>45416</v>
      </c>
      <c r="F388" s="8" t="str">
        <f ca="1">IFERROR(__xludf.DUMMYFUNCTION("""COMPUTED_VALUE"""),"Omaha North High School")</f>
        <v>Omaha North High School</v>
      </c>
      <c r="G388" s="8">
        <f ca="1">IFERROR(__xludf.DUMMYFUNCTION("""COMPUTED_VALUE"""),0)</f>
        <v>0</v>
      </c>
      <c r="H388" s="8">
        <f ca="1">IFERROR(__xludf.DUMMYFUNCTION("""COMPUTED_VALUE"""),1)</f>
        <v>1</v>
      </c>
      <c r="I388" s="8">
        <f ca="1">IFERROR(__xludf.DUMMYFUNCTION("""COMPUTED_VALUE"""),1)</f>
        <v>1</v>
      </c>
      <c r="J388" s="8">
        <f ca="1">IFERROR(__xludf.DUMMYFUNCTION("""COMPUTED_VALUE"""),0)</f>
        <v>0</v>
      </c>
      <c r="K388" s="10" t="str">
        <f ca="1">IFERROR(__xludf.DUMMYFUNCTION("""COMPUTED_VALUE"""),"https://www.wowt.com/2024/05/04/shooting-near-omaha-high-school-sends-one-hospital/")</f>
        <v>https://www.wowt.com/2024/05/04/shooting-near-omaha-high-school-sends-one-hospital/</v>
      </c>
      <c r="L388" s="8">
        <f ca="1">IFERROR(__xludf.DUMMYFUNCTION("""COMPUTED_VALUE"""),1)</f>
        <v>1</v>
      </c>
      <c r="M388" s="8" t="str">
        <f ca="1">IFERROR(__xludf.DUMMYFUNCTION("""COMPUTED_VALUE"""),"Local")</f>
        <v>Local</v>
      </c>
      <c r="N388" s="8">
        <f ca="1">IFERROR(__xludf.DUMMYFUNCTION("""COMPUTED_VALUE"""),3)</f>
        <v>3</v>
      </c>
      <c r="O388" s="8" t="str">
        <f ca="1">IFERROR(__xludf.DUMMYFUNCTION("""COMPUTED_VALUE"""),"Spring")</f>
        <v>Spring</v>
      </c>
      <c r="P388" s="8" t="str">
        <f ca="1">IFERROR(__xludf.DUMMYFUNCTION("""COMPUTED_VALUE"""),"Omaha")</f>
        <v>Omaha</v>
      </c>
      <c r="Q388" s="8" t="str">
        <f ca="1">IFERROR(__xludf.DUMMYFUNCTION("""COMPUTED_VALUE"""),"NE")</f>
        <v>NE</v>
      </c>
      <c r="R388" s="8" t="str">
        <f ca="1">IFERROR(__xludf.DUMMYFUNCTION("""COMPUTED_VALUE"""),"High")</f>
        <v>High</v>
      </c>
      <c r="S388" s="8" t="str">
        <f ca="1">IFERROR(__xludf.DUMMYFUNCTION("""COMPUTED_VALUE"""),"Parking Lot")</f>
        <v>Parking Lot</v>
      </c>
      <c r="T388" s="8" t="str">
        <f ca="1">IFERROR(__xludf.DUMMYFUNCTION("""COMPUTED_VALUE"""),"Outside on School Property")</f>
        <v>Outside on School Property</v>
      </c>
      <c r="U388" s="8" t="str">
        <f ca="1">IFERROR(__xludf.DUMMYFUNCTION("""COMPUTED_VALUE"""),"No")</f>
        <v>No</v>
      </c>
      <c r="V388" s="8" t="str">
        <f ca="1">IFERROR(__xludf.DUMMYFUNCTION("""COMPUTED_VALUE"""),"Night")</f>
        <v>Night</v>
      </c>
      <c r="W388" s="11">
        <f ca="1">IFERROR(__xludf.DUMMYFUNCTION("""COMPUTED_VALUE"""),0.0416666666666666)</f>
        <v>4.1666666666666602E-2</v>
      </c>
      <c r="X388" s="8">
        <f ca="1">IFERROR(__xludf.DUMMYFUNCTION("""COMPUTED_VALUE"""),1)</f>
        <v>1</v>
      </c>
      <c r="Y388" s="12" t="str">
        <f ca="1">IFERROR(__xludf.DUMMYFUNCTION("""COMPUTED_VALUE"""),"Man shot in school parking lot")</f>
        <v>Man shot in school parking lot</v>
      </c>
      <c r="Z388" s="12" t="str">
        <f ca="1">IFERROR(__xludf.DUMMYFUNCTION("""COMPUTED_VALUE"""),"19-year-old was shot in the school parking lot. Both the shooter and victim fled.")</f>
        <v>19-year-old was shot in the school parking lot. Both the shooter and victim fled.</v>
      </c>
      <c r="AA388" s="8"/>
      <c r="AB388" s="8"/>
      <c r="AC388" s="8" t="str">
        <f ca="1">IFERROR(__xludf.DUMMYFUNCTION("""COMPUTED_VALUE"""),"No")</f>
        <v>No</v>
      </c>
      <c r="AD388" s="8"/>
      <c r="AE388" s="8"/>
      <c r="AF388" s="8"/>
      <c r="AG388" s="8" t="str">
        <f ca="1">IFERROR(__xludf.DUMMYFUNCTION("""COMPUTED_VALUE"""),"No")</f>
        <v>No</v>
      </c>
      <c r="AH388" s="8" t="str">
        <f ca="1">IFERROR(__xludf.DUMMYFUNCTION("""COMPUTED_VALUE"""),"No")</f>
        <v>No</v>
      </c>
      <c r="AI388" s="8" t="str">
        <f ca="1">IFERROR(__xludf.DUMMYFUNCTION("""COMPUTED_VALUE"""),"No")</f>
        <v>No</v>
      </c>
      <c r="AJ388" s="8" t="str">
        <f ca="1">IFERROR(__xludf.DUMMYFUNCTION("""COMPUTED_VALUE"""),"No")</f>
        <v>No</v>
      </c>
      <c r="AK388" s="8" t="str">
        <f ca="1">IFERROR(__xludf.DUMMYFUNCTION("""COMPUTED_VALUE"""),"No")</f>
        <v>No</v>
      </c>
      <c r="AL388" s="8"/>
      <c r="AM388" s="8" t="str">
        <f ca="1">IFERROR(__xludf.DUMMYFUNCTION("""COMPUTED_VALUE"""),"No")</f>
        <v>No</v>
      </c>
      <c r="AN388" s="8" t="str">
        <f ca="1">IFERROR(__xludf.DUMMYFUNCTION("""COMPUTED_VALUE"""),"Outside")</f>
        <v>Outside</v>
      </c>
      <c r="AO388" s="8" t="str">
        <f ca="1">IFERROR(__xludf.DUMMYFUNCTION("""COMPUTED_VALUE"""),"No")</f>
        <v>No</v>
      </c>
      <c r="AP388" s="8"/>
      <c r="AQ388" s="8"/>
      <c r="AR388" s="8" t="str">
        <f ca="1">IFERROR(__xludf.DUMMYFUNCTION("""COMPUTED_VALUE"""),"Outside/Off-Property")</f>
        <v>Outside/Off-Property</v>
      </c>
      <c r="AS388" s="8"/>
      <c r="AT388" s="8" t="str">
        <f ca="1">IFERROR(__xludf.DUMMYFUNCTION("""COMPUTED_VALUE"""),"No")</f>
        <v>No</v>
      </c>
      <c r="AU388" s="8">
        <f ca="1">IFERROR(__xludf.DUMMYFUNCTION("""COMPUTED_VALUE"""),41.298314)</f>
        <v>41.298313999999998</v>
      </c>
      <c r="AV388" s="8">
        <f ca="1">IFERROR(__xludf.DUMMYFUNCTION("""COMPUTED_VALUE"""),-95.967003)</f>
        <v>-95.967003000000005</v>
      </c>
      <c r="AW388" s="8" t="str">
        <f ca="1">IFERROR(__xludf.DUMMYFUNCTION("""COMPUTED_VALUE"""),"Multiple attached buildings")</f>
        <v>Multiple attached buildings</v>
      </c>
      <c r="AX388" s="8">
        <f ca="1">IFERROR(__xludf.DUMMYFUNCTION("""COMPUTED_VALUE"""),68111)</f>
        <v>68111</v>
      </c>
    </row>
    <row r="389" spans="1:50" ht="210" x14ac:dyDescent="0.2">
      <c r="A389" s="8" t="str">
        <f ca="1">IFERROR(__xludf.DUMMYFUNCTION("""COMPUTED_VALUE"""),"20240503MDANA")</f>
        <v>20240503MDANA</v>
      </c>
      <c r="B389" s="8">
        <f ca="1">IFERROR(__xludf.DUMMYFUNCTION("""COMPUTED_VALUE"""),5)</f>
        <v>5</v>
      </c>
      <c r="C389" s="8">
        <f ca="1">IFERROR(__xludf.DUMMYFUNCTION("""COMPUTED_VALUE"""),3)</f>
        <v>3</v>
      </c>
      <c r="D389" s="8">
        <f ca="1">IFERROR(__xludf.DUMMYFUNCTION("""COMPUTED_VALUE"""),2024)</f>
        <v>2024</v>
      </c>
      <c r="E389" s="9">
        <f ca="1">IFERROR(__xludf.DUMMYFUNCTION("""COMPUTED_VALUE"""),45415)</f>
        <v>45415</v>
      </c>
      <c r="F389" s="8" t="str">
        <f ca="1">IFERROR(__xludf.DUMMYFUNCTION("""COMPUTED_VALUE"""),"Annapolis School Bus")</f>
        <v>Annapolis School Bus</v>
      </c>
      <c r="G389" s="8">
        <f ca="1">IFERROR(__xludf.DUMMYFUNCTION("""COMPUTED_VALUE"""),0)</f>
        <v>0</v>
      </c>
      <c r="H389" s="8">
        <f ca="1">IFERROR(__xludf.DUMMYFUNCTION("""COMPUTED_VALUE"""),3)</f>
        <v>3</v>
      </c>
      <c r="I389" s="8">
        <f ca="1">IFERROR(__xludf.DUMMYFUNCTION("""COMPUTED_VALUE"""),3)</f>
        <v>3</v>
      </c>
      <c r="J389" s="8">
        <f ca="1">IFERROR(__xludf.DUMMYFUNCTION("""COMPUTED_VALUE"""),0)</f>
        <v>0</v>
      </c>
      <c r="K389" s="10" t="str">
        <f ca="1">IFERROR(__xludf.DUMMYFUNCTION("""COMPUTED_VALUE"""),"https://patch.com/maryland/annapolis/3-students-shot-while-exiting-school-bus-annapolis-reports
https://www.wbaltv.com/article/middle-school-students-shot-copeland-street-annapolis/60704250")</f>
        <v>https://patch.com/maryland/annapolis/3-students-shot-while-exiting-school-bus-annapolis-reports
https://www.wbaltv.com/article/middle-school-students-shot-copeland-street-annapolis/60704250</v>
      </c>
      <c r="L389" s="8">
        <f ca="1">IFERROR(__xludf.DUMMYFUNCTION("""COMPUTED_VALUE"""),3)</f>
        <v>3</v>
      </c>
      <c r="M389" s="8" t="str">
        <f ca="1">IFERROR(__xludf.DUMMYFUNCTION("""COMPUTED_VALUE"""),"Local")</f>
        <v>Local</v>
      </c>
      <c r="N389" s="8">
        <f ca="1">IFERROR(__xludf.DUMMYFUNCTION("""COMPUTED_VALUE"""),4)</f>
        <v>4</v>
      </c>
      <c r="O389" s="8" t="str">
        <f ca="1">IFERROR(__xludf.DUMMYFUNCTION("""COMPUTED_VALUE"""),"Spring")</f>
        <v>Spring</v>
      </c>
      <c r="P389" s="8" t="str">
        <f ca="1">IFERROR(__xludf.DUMMYFUNCTION("""COMPUTED_VALUE"""),"Annapolis")</f>
        <v>Annapolis</v>
      </c>
      <c r="Q389" s="8" t="str">
        <f ca="1">IFERROR(__xludf.DUMMYFUNCTION("""COMPUTED_VALUE"""),"MD")</f>
        <v>MD</v>
      </c>
      <c r="R389" s="8" t="str">
        <f ca="1">IFERROR(__xludf.DUMMYFUNCTION("""COMPUTED_VALUE"""),"Middle")</f>
        <v>Middle</v>
      </c>
      <c r="S389" s="8" t="str">
        <f ca="1">IFERROR(__xludf.DUMMYFUNCTION("""COMPUTED_VALUE"""),"School Bus")</f>
        <v>School Bus</v>
      </c>
      <c r="T389" s="8" t="str">
        <f ca="1">IFERROR(__xludf.DUMMYFUNCTION("""COMPUTED_VALUE"""),"School Bus")</f>
        <v>School Bus</v>
      </c>
      <c r="U389" s="8" t="str">
        <f ca="1">IFERROR(__xludf.DUMMYFUNCTION("""COMPUTED_VALUE"""),"Yes")</f>
        <v>Yes</v>
      </c>
      <c r="V389" s="8" t="str">
        <f ca="1">IFERROR(__xludf.DUMMYFUNCTION("""COMPUTED_VALUE"""),"Dismissal")</f>
        <v>Dismissal</v>
      </c>
      <c r="W389" s="11">
        <f ca="1">IFERROR(__xludf.DUMMYFUNCTION("""COMPUTED_VALUE"""),0.680555555555555)</f>
        <v>0.68055555555555503</v>
      </c>
      <c r="X389" s="8">
        <f ca="1">IFERROR(__xludf.DUMMYFUNCTION("""COMPUTED_VALUE"""),1)</f>
        <v>1</v>
      </c>
      <c r="Y389" s="12" t="str">
        <f ca="1">IFERROR(__xludf.DUMMYFUNCTION("""COMPUTED_VALUE"""),"Four teen opened fired on a group of students getting off the school bus, three students wounded")</f>
        <v>Four teen opened fired on a group of students getting off the school bus, three students wounded</v>
      </c>
      <c r="Z389" s="12" t="str">
        <f ca="1">IFERROR(__xludf.DUMMYFUNCTION("""COMPUTED_VALUE"""),"Three Annapolis middle schoolers are recovering after they were shot Friday afternoon as they got off their school bus. Police said gunfire erupted around 4:20 p.m. at the intersection of Copeland Street and Bywater Road. ""The bus had stopped and she was"&amp;" getting her son off the bus when, all of a sudden, they just started shooting,"" a witness who lives nearby told 11 News. ""The people that got hit may have nothing to do with it at all, so that could've been me, that could've been you."" ""It was a very"&amp;" chaotic scene when I got there. It was very chaotic,"" Annapolis Police Chief Edward Jackson told 11 News. Police said three boys -- ages 12 and 13 -- were taken to hospitals but have since been released. Two were shot in the leg, one in the shoulder. Al"&amp;"l are expected to make a full recovery.")</f>
        <v>Three Annapolis middle schoolers are recovering after they were shot Friday afternoon as they got off their school bus. Police said gunfire erupted around 4:20 p.m. at the intersection of Copeland Street and Bywater Road. "The bus had stopped and she was getting her son off the bus when, all of a sudden, they just started shooting," a witness who lives nearby told 11 News. "The people that got hit may have nothing to do with it at all, so that could've been me, that could've been you." "It was a very chaotic scene when I got there. It was very chaotic," Annapolis Police Chief Edward Jackson told 11 News. Police said three boys -- ages 12 and 13 -- were taken to hospitals but have since been released. Two were shot in the leg, one in the shoulder. All are expected to make a full recovery.</v>
      </c>
      <c r="AA389" s="8"/>
      <c r="AB389" s="8" t="str">
        <f ca="1">IFERROR(__xludf.DUMMYFUNCTION("""COMPUTED_VALUE"""),"Targeted")</f>
        <v>Targeted</v>
      </c>
      <c r="AC389" s="8" t="str">
        <f ca="1">IFERROR(__xludf.DUMMYFUNCTION("""COMPUTED_VALUE"""),"Yes")</f>
        <v>Yes</v>
      </c>
      <c r="AD389" s="8" t="str">
        <f ca="1">IFERROR(__xludf.DUMMYFUNCTION("""COMPUTED_VALUE"""),"Both")</f>
        <v>Both</v>
      </c>
      <c r="AE389" s="8" t="str">
        <f ca="1">IFERROR(__xludf.DUMMYFUNCTION("""COMPUTED_VALUE"""),"Yes")</f>
        <v>Yes</v>
      </c>
      <c r="AF389" s="8" t="str">
        <f ca="1">IFERROR(__xludf.DUMMYFUNCTION("""COMPUTED_VALUE"""),"4 teens with guns")</f>
        <v>4 teens with guns</v>
      </c>
      <c r="AG389" s="8" t="str">
        <f ca="1">IFERROR(__xludf.DUMMYFUNCTION("""COMPUTED_VALUE"""),"No")</f>
        <v>No</v>
      </c>
      <c r="AH389" s="8" t="str">
        <f ca="1">IFERROR(__xludf.DUMMYFUNCTION("""COMPUTED_VALUE"""),"No")</f>
        <v>No</v>
      </c>
      <c r="AI389" s="8" t="str">
        <f ca="1">IFERROR(__xludf.DUMMYFUNCTION("""COMPUTED_VALUE"""),"No")</f>
        <v>No</v>
      </c>
      <c r="AJ389" s="8" t="str">
        <f ca="1">IFERROR(__xludf.DUMMYFUNCTION("""COMPUTED_VALUE"""),"No")</f>
        <v>No</v>
      </c>
      <c r="AK389" s="8" t="str">
        <f ca="1">IFERROR(__xludf.DUMMYFUNCTION("""COMPUTED_VALUE"""),"No")</f>
        <v>No</v>
      </c>
      <c r="AL389" s="8" t="str">
        <f ca="1">IFERROR(__xludf.DUMMYFUNCTION("""COMPUTED_VALUE"""),"Yes")</f>
        <v>Yes</v>
      </c>
      <c r="AM389" s="8" t="str">
        <f ca="1">IFERROR(__xludf.DUMMYFUNCTION("""COMPUTED_VALUE"""),"No")</f>
        <v>No</v>
      </c>
      <c r="AN389" s="8" t="str">
        <f ca="1">IFERROR(__xludf.DUMMYFUNCTION("""COMPUTED_VALUE"""),"Outside")</f>
        <v>Outside</v>
      </c>
      <c r="AO389" s="8" t="str">
        <f ca="1">IFERROR(__xludf.DUMMYFUNCTION("""COMPUTED_VALUE"""),"No")</f>
        <v>No</v>
      </c>
      <c r="AP389" s="8"/>
      <c r="AQ389" s="8"/>
      <c r="AR389" s="8" t="str">
        <f ca="1">IFERROR(__xludf.DUMMYFUNCTION("""COMPUTED_VALUE"""),"Outside/Off-Property")</f>
        <v>Outside/Off-Property</v>
      </c>
      <c r="AS389" s="8">
        <f ca="1">IFERROR(__xludf.DUMMYFUNCTION("""COMPUTED_VALUE"""),99)</f>
        <v>99</v>
      </c>
      <c r="AT389" s="8" t="str">
        <f ca="1">IFERROR(__xludf.DUMMYFUNCTION("""COMPUTED_VALUE"""),"No")</f>
        <v>No</v>
      </c>
      <c r="AU389" s="8">
        <f ca="1">IFERROR(__xludf.DUMMYFUNCTION("""COMPUTED_VALUE"""),38.969575)</f>
        <v>38.969574999999999</v>
      </c>
      <c r="AV389" s="8">
        <f ca="1">IFERROR(__xludf.DUMMYFUNCTION("""COMPUTED_VALUE"""),-76.530178)</f>
        <v>-76.530178000000006</v>
      </c>
      <c r="AW389" s="8"/>
      <c r="AX389" s="8">
        <f ca="1">IFERROR(__xludf.DUMMYFUNCTION("""COMPUTED_VALUE"""),21041)</f>
        <v>21041</v>
      </c>
    </row>
    <row r="390" spans="1:50" ht="195" x14ac:dyDescent="0.2">
      <c r="A390" s="8" t="str">
        <f ca="1">IFERROR(__xludf.DUMMYFUNCTION("""COMPUTED_VALUE"""),"20240503GADED")</f>
        <v>20240503GADED</v>
      </c>
      <c r="B390" s="8">
        <f ca="1">IFERROR(__xludf.DUMMYFUNCTION("""COMPUTED_VALUE"""),5)</f>
        <v>5</v>
      </c>
      <c r="C390" s="8">
        <f ca="1">IFERROR(__xludf.DUMMYFUNCTION("""COMPUTED_VALUE"""),3)</f>
        <v>3</v>
      </c>
      <c r="D390" s="8">
        <f ca="1">IFERROR(__xludf.DUMMYFUNCTION("""COMPUTED_VALUE"""),2024)</f>
        <v>2024</v>
      </c>
      <c r="E390" s="9">
        <f ca="1">IFERROR(__xludf.DUMMYFUNCTION("""COMPUTED_VALUE"""),45415)</f>
        <v>45415</v>
      </c>
      <c r="F390" s="8" t="str">
        <f ca="1">IFERROR(__xludf.DUMMYFUNCTION("""COMPUTED_VALUE"""),"Decatur High School")</f>
        <v>Decatur High School</v>
      </c>
      <c r="G390" s="8">
        <f ca="1">IFERROR(__xludf.DUMMYFUNCTION("""COMPUTED_VALUE"""),0)</f>
        <v>0</v>
      </c>
      <c r="H390" s="8">
        <f ca="1">IFERROR(__xludf.DUMMYFUNCTION("""COMPUTED_VALUE"""),0)</f>
        <v>0</v>
      </c>
      <c r="I390" s="8">
        <f ca="1">IFERROR(__xludf.DUMMYFUNCTION("""COMPUTED_VALUE"""),0)</f>
        <v>0</v>
      </c>
      <c r="J390" s="8">
        <f ca="1">IFERROR(__xludf.DUMMYFUNCTION("""COMPUTED_VALUE"""),0)</f>
        <v>0</v>
      </c>
      <c r="K390" s="10" t="str">
        <f ca="1">IFERROR(__xludf.DUMMYFUNCTION("""COMPUTED_VALUE"""),"https://www.fox5atlanta.com/news/decatur-high-school-lockdown-weapon-found")</f>
        <v>https://www.fox5atlanta.com/news/decatur-high-school-lockdown-weapon-found</v>
      </c>
      <c r="L390" s="8">
        <f ca="1">IFERROR(__xludf.DUMMYFUNCTION("""COMPUTED_VALUE"""),5)</f>
        <v>5</v>
      </c>
      <c r="M390" s="8" t="str">
        <f ca="1">IFERROR(__xludf.DUMMYFUNCTION("""COMPUTED_VALUE"""),"Local")</f>
        <v>Local</v>
      </c>
      <c r="N390" s="8">
        <f ca="1">IFERROR(__xludf.DUMMYFUNCTION("""COMPUTED_VALUE"""),4)</f>
        <v>4</v>
      </c>
      <c r="O390" s="8" t="str">
        <f ca="1">IFERROR(__xludf.DUMMYFUNCTION("""COMPUTED_VALUE"""),"Spring")</f>
        <v>Spring</v>
      </c>
      <c r="P390" s="8" t="str">
        <f ca="1">IFERROR(__xludf.DUMMYFUNCTION("""COMPUTED_VALUE"""),"Decatur")</f>
        <v>Decatur</v>
      </c>
      <c r="Q390" s="8" t="str">
        <f ca="1">IFERROR(__xludf.DUMMYFUNCTION("""COMPUTED_VALUE"""),"GA")</f>
        <v>GA</v>
      </c>
      <c r="R390" s="8" t="str">
        <f ca="1">IFERROR(__xludf.DUMMYFUNCTION("""COMPUTED_VALUE"""),"High")</f>
        <v>High</v>
      </c>
      <c r="S390" s="8" t="str">
        <f ca="1">IFERROR(__xludf.DUMMYFUNCTION("""COMPUTED_VALUE"""),"Parking Lot")</f>
        <v>Parking Lot</v>
      </c>
      <c r="T390" s="8" t="str">
        <f ca="1">IFERROR(__xludf.DUMMYFUNCTION("""COMPUTED_VALUE"""),"Outside on School Property")</f>
        <v>Outside on School Property</v>
      </c>
      <c r="U390" s="8" t="str">
        <f ca="1">IFERROR(__xludf.DUMMYFUNCTION("""COMPUTED_VALUE"""),"Yes")</f>
        <v>Yes</v>
      </c>
      <c r="V390" s="8" t="str">
        <f ca="1">IFERROR(__xludf.DUMMYFUNCTION("""COMPUTED_VALUE"""),"Morning Classes")</f>
        <v>Morning Classes</v>
      </c>
      <c r="W390" s="11">
        <f ca="1">IFERROR(__xludf.DUMMYFUNCTION("""COMPUTED_VALUE"""),0.402777777777777)</f>
        <v>0.40277777777777701</v>
      </c>
      <c r="X390" s="8">
        <f ca="1">IFERROR(__xludf.DUMMYFUNCTION("""COMPUTED_VALUE"""),1)</f>
        <v>1</v>
      </c>
      <c r="Y390" s="12" t="str">
        <f ca="1">IFERROR(__xludf.DUMMYFUNCTION("""COMPUTED_VALUE"""),"Student fired shot during fight then fled from the school")</f>
        <v>Student fired shot during fight then fled from the school</v>
      </c>
      <c r="Z390" s="12" t="str">
        <f ca="1">IFERROR(__xludf.DUMMYFUNCTION("""COMPUTED_VALUE"""),"Decatur High School was put on lockdown Friday morning after officials said a handgun was fired during a fight on campus. Investigators say it started when two high school students got into an argument. At some point, a revolver was pulled out, causing on"&amp;"e of the students to run into the parking lot in an attempt to get away, police said. The student with a gun took off after the first, and ended up in a fight where investigators say a shot was fired. The second student was able to deflect the weapon. A 1"&amp;"5-year-old girl was taken into custody and was charged with aggravated assault, possession of a weapon on school property, and possession of a firearm by a person under 18. No one was injured.")</f>
        <v>Decatur High School was put on lockdown Friday morning after officials said a handgun was fired during a fight on campus. Investigators say it started when two high school students got into an argument. At some point, a revolver was pulled out, causing one of the students to run into the parking lot in an attempt to get away, police said. The student with a gun took off after the first, and ended up in a fight where investigators say a shot was fired. The second student was able to deflect the weapon. A 15-year-old girl was taken into custody and was charged with aggravated assault, possession of a weapon on school property, and possession of a firearm by a person under 18. No one was injured.</v>
      </c>
      <c r="AA390" s="8" t="str">
        <f ca="1">IFERROR(__xludf.DUMMYFUNCTION("""COMPUTED_VALUE"""),"Escalation of Dispute")</f>
        <v>Escalation of Dispute</v>
      </c>
      <c r="AB390" s="8" t="str">
        <f ca="1">IFERROR(__xludf.DUMMYFUNCTION("""COMPUTED_VALUE"""),"Spontaneous")</f>
        <v>Spontaneous</v>
      </c>
      <c r="AC390" s="8" t="str">
        <f ca="1">IFERROR(__xludf.DUMMYFUNCTION("""COMPUTED_VALUE"""),"Yes")</f>
        <v>Yes</v>
      </c>
      <c r="AD390" s="8" t="str">
        <f ca="1">IFERROR(__xludf.DUMMYFUNCTION("""COMPUTED_VALUE"""),"Victims Targeted")</f>
        <v>Victims Targeted</v>
      </c>
      <c r="AE390" s="8" t="str">
        <f ca="1">IFERROR(__xludf.DUMMYFUNCTION("""COMPUTED_VALUE"""),"No")</f>
        <v>No</v>
      </c>
      <c r="AF390" s="8"/>
      <c r="AG390" s="8" t="str">
        <f ca="1">IFERROR(__xludf.DUMMYFUNCTION("""COMPUTED_VALUE"""),"No")</f>
        <v>No</v>
      </c>
      <c r="AH390" s="8" t="str">
        <f ca="1">IFERROR(__xludf.DUMMYFUNCTION("""COMPUTED_VALUE"""),"No")</f>
        <v>No</v>
      </c>
      <c r="AI390" s="8" t="str">
        <f ca="1">IFERROR(__xludf.DUMMYFUNCTION("""COMPUTED_VALUE"""),"No")</f>
        <v>No</v>
      </c>
      <c r="AJ390" s="8" t="str">
        <f ca="1">IFERROR(__xludf.DUMMYFUNCTION("""COMPUTED_VALUE"""),"No")</f>
        <v>No</v>
      </c>
      <c r="AK390" s="8" t="str">
        <f ca="1">IFERROR(__xludf.DUMMYFUNCTION("""COMPUTED_VALUE"""),"No")</f>
        <v>No</v>
      </c>
      <c r="AL390" s="8" t="str">
        <f ca="1">IFERROR(__xludf.DUMMYFUNCTION("""COMPUTED_VALUE"""),"No")</f>
        <v>No</v>
      </c>
      <c r="AM390" s="8" t="str">
        <f ca="1">IFERROR(__xludf.DUMMYFUNCTION("""COMPUTED_VALUE"""),"No")</f>
        <v>No</v>
      </c>
      <c r="AN390" s="8" t="str">
        <f ca="1">IFERROR(__xludf.DUMMYFUNCTION("""COMPUTED_VALUE"""),"Outside")</f>
        <v>Outside</v>
      </c>
      <c r="AO390" s="8" t="str">
        <f ca="1">IFERROR(__xludf.DUMMYFUNCTION("""COMPUTED_VALUE"""),"No")</f>
        <v>No</v>
      </c>
      <c r="AP390" s="8"/>
      <c r="AQ390" s="8"/>
      <c r="AR390" s="8" t="str">
        <f ca="1">IFERROR(__xludf.DUMMYFUNCTION("""COMPUTED_VALUE"""),"Outside/Off-Property")</f>
        <v>Outside/Off-Property</v>
      </c>
      <c r="AS390" s="8">
        <f ca="1">IFERROR(__xludf.DUMMYFUNCTION("""COMPUTED_VALUE"""),1)</f>
        <v>1</v>
      </c>
      <c r="AT390" s="8" t="str">
        <f ca="1">IFERROR(__xludf.DUMMYFUNCTION("""COMPUTED_VALUE"""),"Yes")</f>
        <v>Yes</v>
      </c>
      <c r="AU390" s="8">
        <f ca="1">IFERROR(__xludf.DUMMYFUNCTION("""COMPUTED_VALUE"""),33.770679)</f>
        <v>33.770679000000001</v>
      </c>
      <c r="AV390" s="8">
        <f ca="1">IFERROR(__xludf.DUMMYFUNCTION("""COMPUTED_VALUE"""),-84.296762)</f>
        <v>-84.296762000000001</v>
      </c>
      <c r="AW390" s="8" t="str">
        <f ca="1">IFERROR(__xludf.DUMMYFUNCTION("""COMPUTED_VALUE"""),"Multiple detached buildings")</f>
        <v>Multiple detached buildings</v>
      </c>
      <c r="AX390" s="8">
        <f ca="1">IFERROR(__xludf.DUMMYFUNCTION("""COMPUTED_VALUE"""),30030)</f>
        <v>30030</v>
      </c>
    </row>
    <row r="391" spans="1:50" ht="45" x14ac:dyDescent="0.2">
      <c r="A391" s="8" t="str">
        <f ca="1">IFERROR(__xludf.DUMMYFUNCTION("""COMPUTED_VALUE"""),"20240503NVLES")</f>
        <v>20240503NVLES</v>
      </c>
      <c r="B391" s="8">
        <f ca="1">IFERROR(__xludf.DUMMYFUNCTION("""COMPUTED_VALUE"""),5)</f>
        <v>5</v>
      </c>
      <c r="C391" s="8">
        <f ca="1">IFERROR(__xludf.DUMMYFUNCTION("""COMPUTED_VALUE"""),3)</f>
        <v>3</v>
      </c>
      <c r="D391" s="8">
        <f ca="1">IFERROR(__xludf.DUMMYFUNCTION("""COMPUTED_VALUE"""),2024)</f>
        <v>2024</v>
      </c>
      <c r="E391" s="9">
        <f ca="1">IFERROR(__xludf.DUMMYFUNCTION("""COMPUTED_VALUE"""),45415)</f>
        <v>45415</v>
      </c>
      <c r="F391" s="8" t="str">
        <f ca="1">IFERROR(__xludf.DUMMYFUNCTION("""COMPUTED_VALUE"""),"Lena Juniper Elementary School")</f>
        <v>Lena Juniper Elementary School</v>
      </c>
      <c r="G391" s="8">
        <f ca="1">IFERROR(__xludf.DUMMYFUNCTION("""COMPUTED_VALUE"""),0)</f>
        <v>0</v>
      </c>
      <c r="H391" s="8">
        <f ca="1">IFERROR(__xludf.DUMMYFUNCTION("""COMPUTED_VALUE"""),1)</f>
        <v>1</v>
      </c>
      <c r="I391" s="8">
        <f ca="1">IFERROR(__xludf.DUMMYFUNCTION("""COMPUTED_VALUE"""),1)</f>
        <v>1</v>
      </c>
      <c r="J391" s="8">
        <f ca="1">IFERROR(__xludf.DUMMYFUNCTION("""COMPUTED_VALUE"""),0)</f>
        <v>0</v>
      </c>
      <c r="K391" s="10" t="str">
        <f ca="1">IFERROR(__xludf.DUMMYFUNCTION("""COMPUTED_VALUE"""),"https://www.kolotv.com/2024/05/04/juvenile-shot-sparks-after-confrontation-between-groups/
https://www.2news.com/news/boy-hospitalized-after-being-shot-near-lena-juniper-elementary/article_f3727384-0a4c-11ef-9439-57a3c7cf294a.html")</f>
        <v>https://www.kolotv.com/2024/05/04/juvenile-shot-sparks-after-confrontation-between-groups/
https://www.2news.com/news/boy-hospitalized-after-being-shot-near-lena-juniper-elementary/article_f3727384-0a4c-11ef-9439-57a3c7cf294a.html</v>
      </c>
      <c r="L391" s="8">
        <f ca="1">IFERROR(__xludf.DUMMYFUNCTION("""COMPUTED_VALUE"""),2)</f>
        <v>2</v>
      </c>
      <c r="M391" s="8" t="str">
        <f ca="1">IFERROR(__xludf.DUMMYFUNCTION("""COMPUTED_VALUE"""),"Local")</f>
        <v>Local</v>
      </c>
      <c r="N391" s="8">
        <f ca="1">IFERROR(__xludf.DUMMYFUNCTION("""COMPUTED_VALUE"""),3)</f>
        <v>3</v>
      </c>
      <c r="O391" s="8" t="str">
        <f ca="1">IFERROR(__xludf.DUMMYFUNCTION("""COMPUTED_VALUE"""),"Spring")</f>
        <v>Spring</v>
      </c>
      <c r="P391" s="8" t="str">
        <f ca="1">IFERROR(__xludf.DUMMYFUNCTION("""COMPUTED_VALUE"""),"Sparks")</f>
        <v>Sparks</v>
      </c>
      <c r="Q391" s="8" t="str">
        <f ca="1">IFERROR(__xludf.DUMMYFUNCTION("""COMPUTED_VALUE"""),"NV")</f>
        <v>NV</v>
      </c>
      <c r="R391" s="8" t="str">
        <f ca="1">IFERROR(__xludf.DUMMYFUNCTION("""COMPUTED_VALUE"""),"Elementary")</f>
        <v>Elementary</v>
      </c>
      <c r="S391" s="8" t="str">
        <f ca="1">IFERROR(__xludf.DUMMYFUNCTION("""COMPUTED_VALUE"""),"Playground")</f>
        <v>Playground</v>
      </c>
      <c r="T391" s="8" t="str">
        <f ca="1">IFERROR(__xludf.DUMMYFUNCTION("""COMPUTED_VALUE"""),"Outside on School Property")</f>
        <v>Outside on School Property</v>
      </c>
      <c r="U391" s="8" t="str">
        <f ca="1">IFERROR(__xludf.DUMMYFUNCTION("""COMPUTED_VALUE"""),"No")</f>
        <v>No</v>
      </c>
      <c r="V391" s="8" t="str">
        <f ca="1">IFERROR(__xludf.DUMMYFUNCTION("""COMPUTED_VALUE"""),"Night")</f>
        <v>Night</v>
      </c>
      <c r="W391" s="11">
        <f ca="1">IFERROR(__xludf.DUMMYFUNCTION("""COMPUTED_VALUE"""),0.996527777777777)</f>
        <v>0.99652777777777701</v>
      </c>
      <c r="X391" s="8">
        <f ca="1">IFERROR(__xludf.DUMMYFUNCTION("""COMPUTED_VALUE"""),1)</f>
        <v>1</v>
      </c>
      <c r="Y391" s="12" t="str">
        <f ca="1">IFERROR(__xludf.DUMMYFUNCTION("""COMPUTED_VALUE"""),"Teen shot during fight between two groups of teens")</f>
        <v>Teen shot during fight between two groups of teens</v>
      </c>
      <c r="Z391" s="12" t="str">
        <f ca="1">IFERROR(__xludf.DUMMYFUNCTION("""COMPUTED_VALUE"""),"Teen shot during fight between two groups of teens. Shooter fled.")</f>
        <v>Teen shot during fight between two groups of teens. Shooter fled.</v>
      </c>
      <c r="AA391" s="8" t="str">
        <f ca="1">IFERROR(__xludf.DUMMYFUNCTION("""COMPUTED_VALUE"""),"Escalation of Dispute")</f>
        <v>Escalation of Dispute</v>
      </c>
      <c r="AB391" s="8" t="str">
        <f ca="1">IFERROR(__xludf.DUMMYFUNCTION("""COMPUTED_VALUE"""),"Spontaneous")</f>
        <v>Spontaneous</v>
      </c>
      <c r="AC391" s="8" t="str">
        <f ca="1">IFERROR(__xludf.DUMMYFUNCTION("""COMPUTED_VALUE"""),"No")</f>
        <v>No</v>
      </c>
      <c r="AD391" s="8" t="str">
        <f ca="1">IFERROR(__xludf.DUMMYFUNCTION("""COMPUTED_VALUE"""),"Victims Targeted")</f>
        <v>Victims Targeted</v>
      </c>
      <c r="AE391" s="8" t="str">
        <f ca="1">IFERROR(__xludf.DUMMYFUNCTION("""COMPUTED_VALUE"""),"Yes")</f>
        <v>Yes</v>
      </c>
      <c r="AF391" s="8" t="str">
        <f ca="1">IFERROR(__xludf.DUMMYFUNCTION("""COMPUTED_VALUE"""),"Two groups")</f>
        <v>Two groups</v>
      </c>
      <c r="AG391" s="8" t="str">
        <f ca="1">IFERROR(__xludf.DUMMYFUNCTION("""COMPUTED_VALUE"""),"No")</f>
        <v>No</v>
      </c>
      <c r="AH391" s="8" t="str">
        <f ca="1">IFERROR(__xludf.DUMMYFUNCTION("""COMPUTED_VALUE"""),"No")</f>
        <v>No</v>
      </c>
      <c r="AI391" s="8" t="str">
        <f ca="1">IFERROR(__xludf.DUMMYFUNCTION("""COMPUTED_VALUE"""),"No")</f>
        <v>No</v>
      </c>
      <c r="AJ391" s="8" t="str">
        <f ca="1">IFERROR(__xludf.DUMMYFUNCTION("""COMPUTED_VALUE"""),"No")</f>
        <v>No</v>
      </c>
      <c r="AK391" s="8" t="str">
        <f ca="1">IFERROR(__xludf.DUMMYFUNCTION("""COMPUTED_VALUE"""),"No")</f>
        <v>No</v>
      </c>
      <c r="AL391" s="8"/>
      <c r="AM391" s="8" t="str">
        <f ca="1">IFERROR(__xludf.DUMMYFUNCTION("""COMPUTED_VALUE"""),"No")</f>
        <v>No</v>
      </c>
      <c r="AN391" s="8" t="str">
        <f ca="1">IFERROR(__xludf.DUMMYFUNCTION("""COMPUTED_VALUE"""),"Outside")</f>
        <v>Outside</v>
      </c>
      <c r="AO391" s="8" t="str">
        <f ca="1">IFERROR(__xludf.DUMMYFUNCTION("""COMPUTED_VALUE"""),"No")</f>
        <v>No</v>
      </c>
      <c r="AP391" s="8"/>
      <c r="AQ391" s="8"/>
      <c r="AR391" s="8" t="str">
        <f ca="1">IFERROR(__xludf.DUMMYFUNCTION("""COMPUTED_VALUE"""),"Outside/Off-Property")</f>
        <v>Outside/Off-Property</v>
      </c>
      <c r="AS391" s="8">
        <f ca="1">IFERROR(__xludf.DUMMYFUNCTION("""COMPUTED_VALUE"""),99)</f>
        <v>99</v>
      </c>
      <c r="AT391" s="8" t="str">
        <f ca="1">IFERROR(__xludf.DUMMYFUNCTION("""COMPUTED_VALUE"""),"Yes")</f>
        <v>Yes</v>
      </c>
      <c r="AU391" s="8">
        <f ca="1">IFERROR(__xludf.DUMMYFUNCTION("""COMPUTED_VALUE"""),39.561439)</f>
        <v>39.561439</v>
      </c>
      <c r="AV391" s="8">
        <f ca="1">IFERROR(__xludf.DUMMYFUNCTION("""COMPUTED_VALUE"""),-119.744406)</f>
        <v>-119.744406</v>
      </c>
      <c r="AW391" s="8" t="str">
        <f ca="1">IFERROR(__xludf.DUMMYFUNCTION("""COMPUTED_VALUE"""),"Single building indoor hallway")</f>
        <v>Single building indoor hallway</v>
      </c>
      <c r="AX391" s="8">
        <f ca="1">IFERROR(__xludf.DUMMYFUNCTION("""COMPUTED_VALUE"""),89431)</f>
        <v>89431</v>
      </c>
    </row>
    <row r="392" spans="1:50" ht="120" x14ac:dyDescent="0.2">
      <c r="A392" s="8" t="str">
        <f ca="1">IFERROR(__xludf.DUMMYFUNCTION("""COMPUTED_VALUE"""),"20240503DCDUD")</f>
        <v>20240503DCDUD</v>
      </c>
      <c r="B392" s="8">
        <f ca="1">IFERROR(__xludf.DUMMYFUNCTION("""COMPUTED_VALUE"""),5)</f>
        <v>5</v>
      </c>
      <c r="C392" s="8">
        <f ca="1">IFERROR(__xludf.DUMMYFUNCTION("""COMPUTED_VALUE"""),3)</f>
        <v>3</v>
      </c>
      <c r="D392" s="8">
        <f ca="1">IFERROR(__xludf.DUMMYFUNCTION("""COMPUTED_VALUE"""),2024)</f>
        <v>2024</v>
      </c>
      <c r="E392" s="9">
        <f ca="1">IFERROR(__xludf.DUMMYFUNCTION("""COMPUTED_VALUE"""),45415)</f>
        <v>45415</v>
      </c>
      <c r="F392" s="8" t="str">
        <f ca="1">IFERROR(__xludf.DUMMYFUNCTION("""COMPUTED_VALUE"""),"Dunbar High School")</f>
        <v>Dunbar High School</v>
      </c>
      <c r="G392" s="8">
        <f ca="1">IFERROR(__xludf.DUMMYFUNCTION("""COMPUTED_VALUE"""),0)</f>
        <v>0</v>
      </c>
      <c r="H392" s="8">
        <f ca="1">IFERROR(__xludf.DUMMYFUNCTION("""COMPUTED_VALUE"""),1)</f>
        <v>1</v>
      </c>
      <c r="I392" s="8">
        <f ca="1">IFERROR(__xludf.DUMMYFUNCTION("""COMPUTED_VALUE"""),1)</f>
        <v>1</v>
      </c>
      <c r="J392" s="8">
        <f ca="1">IFERROR(__xludf.DUMMYFUNCTION("""COMPUTED_VALUE"""),0)</f>
        <v>0</v>
      </c>
      <c r="K392" s="10" t="str">
        <f ca="1">IFERROR(__xludf.DUMMYFUNCTION("""COMPUTED_VALUE"""),"https://www.fox5dc.com/video/1451872
https://www.nbcwashington.com/news/local/court-docs-reveal-moments-leading-up-to-dunbar-high-school-shooting-that-hurt-1/3609454/
https://www.nbcwashington.com/news/local/person-grazed-by-bullet-inside-dcs-dunbar-high-"&amp;"school-police-say/3607940/")</f>
        <v>https://www.fox5dc.com/video/1451872
https://www.nbcwashington.com/news/local/court-docs-reveal-moments-leading-up-to-dunbar-high-school-shooting-that-hurt-1/3609454/
https://www.nbcwashington.com/news/local/person-grazed-by-bullet-inside-dcs-dunbar-high-school-police-say/3607940/</v>
      </c>
      <c r="L392" s="8">
        <f ca="1">IFERROR(__xludf.DUMMYFUNCTION("""COMPUTED_VALUE"""),15)</f>
        <v>15</v>
      </c>
      <c r="M392" s="8" t="str">
        <f ca="1">IFERROR(__xludf.DUMMYFUNCTION("""COMPUTED_VALUE"""),"Regional")</f>
        <v>Regional</v>
      </c>
      <c r="N392" s="8">
        <f ca="1">IFERROR(__xludf.DUMMYFUNCTION("""COMPUTED_VALUE"""),4)</f>
        <v>4</v>
      </c>
      <c r="O392" s="8" t="str">
        <f ca="1">IFERROR(__xludf.DUMMYFUNCTION("""COMPUTED_VALUE"""),"Spring")</f>
        <v>Spring</v>
      </c>
      <c r="P392" s="8" t="str">
        <f ca="1">IFERROR(__xludf.DUMMYFUNCTION("""COMPUTED_VALUE"""),"Washington")</f>
        <v>Washington</v>
      </c>
      <c r="Q392" s="8" t="str">
        <f ca="1">IFERROR(__xludf.DUMMYFUNCTION("""COMPUTED_VALUE"""),"DC")</f>
        <v>DC</v>
      </c>
      <c r="R392" s="8" t="str">
        <f ca="1">IFERROR(__xludf.DUMMYFUNCTION("""COMPUTED_VALUE"""),"High")</f>
        <v>High</v>
      </c>
      <c r="S392" s="8" t="str">
        <f ca="1">IFERROR(__xludf.DUMMYFUNCTION("""COMPUTED_VALUE"""),"Classroom")</f>
        <v>Classroom</v>
      </c>
      <c r="T392" s="8" t="str">
        <f ca="1">IFERROR(__xludf.DUMMYFUNCTION("""COMPUTED_VALUE"""),"Both Inside/Outside")</f>
        <v>Both Inside/Outside</v>
      </c>
      <c r="U392" s="8" t="str">
        <f ca="1">IFERROR(__xludf.DUMMYFUNCTION("""COMPUTED_VALUE"""),"Yes")</f>
        <v>Yes</v>
      </c>
      <c r="V392" s="8" t="str">
        <f ca="1">IFERROR(__xludf.DUMMYFUNCTION("""COMPUTED_VALUE"""),"Morning Classes")</f>
        <v>Morning Classes</v>
      </c>
      <c r="W392" s="11">
        <f ca="1">IFERROR(__xludf.DUMMYFUNCTION("""COMPUTED_VALUE"""),0.409722222222222)</f>
        <v>0.40972222222222199</v>
      </c>
      <c r="X392" s="8">
        <f ca="1">IFERROR(__xludf.DUMMYFUNCTION("""COMPUTED_VALUE"""),1)</f>
        <v>1</v>
      </c>
      <c r="Y392" s="12" t="str">
        <f ca="1">IFERROR(__xludf.DUMMYFUNCTION("""COMPUTED_VALUE"""),"Student shot while inside classroom by bulle that went through the window")</f>
        <v>Student shot while inside classroom by bulle that went through the window</v>
      </c>
      <c r="Z392" s="12" t="str">
        <f ca="1">IFERROR(__xludf.DUMMYFUNCTION("""COMPUTED_VALUE"""),"A student was grazed by a bullet inside Dunbar High School in Northwest D.C. on Friday morning after shots from an exchange of gunfire outside flew through a window, police say. Two teens have been arrested. The student, a 17-year-old girl described as a "&amp;"star varsity athlete, was grazed by a bullet in a second-floor classroom. She received minor injuries and was taken to a hospital, police said at a news conference.")</f>
        <v>A student was grazed by a bullet inside Dunbar High School in Northwest D.C. on Friday morning after shots from an exchange of gunfire outside flew through a window, police say. Two teens have been arrested. The student, a 17-year-old girl described as a star varsity athlete, was grazed by a bullet in a second-floor classroom. She received minor injuries and was taken to a hospital, police said at a news conference.</v>
      </c>
      <c r="AA392" s="8" t="str">
        <f ca="1">IFERROR(__xludf.DUMMYFUNCTION("""COMPUTED_VALUE"""),"Drive-by Shooting")</f>
        <v>Drive-by Shooting</v>
      </c>
      <c r="AB392" s="8"/>
      <c r="AC392" s="8" t="str">
        <f ca="1">IFERROR(__xludf.DUMMYFUNCTION("""COMPUTED_VALUE"""),"Yes")</f>
        <v>Yes</v>
      </c>
      <c r="AD392" s="8" t="str">
        <f ca="1">IFERROR(__xludf.DUMMYFUNCTION("""COMPUTED_VALUE"""),"Both")</f>
        <v>Both</v>
      </c>
      <c r="AE392" s="8" t="str">
        <f ca="1">IFERROR(__xludf.DUMMYFUNCTION("""COMPUTED_VALUE"""),"Yes")</f>
        <v>Yes</v>
      </c>
      <c r="AF392" s="8" t="str">
        <f ca="1">IFERROR(__xludf.DUMMYFUNCTION("""COMPUTED_VALUE"""),"Two teens arrested")</f>
        <v>Two teens arrested</v>
      </c>
      <c r="AG392" s="8" t="str">
        <f ca="1">IFERROR(__xludf.DUMMYFUNCTION("""COMPUTED_VALUE"""),"No")</f>
        <v>No</v>
      </c>
      <c r="AH392" s="8" t="str">
        <f ca="1">IFERROR(__xludf.DUMMYFUNCTION("""COMPUTED_VALUE"""),"No")</f>
        <v>No</v>
      </c>
      <c r="AI392" s="8" t="str">
        <f ca="1">IFERROR(__xludf.DUMMYFUNCTION("""COMPUTED_VALUE"""),"No")</f>
        <v>No</v>
      </c>
      <c r="AJ392" s="8" t="str">
        <f ca="1">IFERROR(__xludf.DUMMYFUNCTION("""COMPUTED_VALUE"""),"No")</f>
        <v>No</v>
      </c>
      <c r="AK392" s="8" t="str">
        <f ca="1">IFERROR(__xludf.DUMMYFUNCTION("""COMPUTED_VALUE"""),"No")</f>
        <v>No</v>
      </c>
      <c r="AL392" s="8"/>
      <c r="AM392" s="8" t="str">
        <f ca="1">IFERROR(__xludf.DUMMYFUNCTION("""COMPUTED_VALUE"""),"No")</f>
        <v>No</v>
      </c>
      <c r="AN392" s="8" t="str">
        <f ca="1">IFERROR(__xludf.DUMMYFUNCTION("""COMPUTED_VALUE"""),"Outside")</f>
        <v>Outside</v>
      </c>
      <c r="AO392" s="8" t="str">
        <f ca="1">IFERROR(__xludf.DUMMYFUNCTION("""COMPUTED_VALUE"""),"No")</f>
        <v>No</v>
      </c>
      <c r="AP392" s="8"/>
      <c r="AQ392" s="8"/>
      <c r="AR392" s="8" t="str">
        <f ca="1">IFERROR(__xludf.DUMMYFUNCTION("""COMPUTED_VALUE"""),"Outside/Off-Property")</f>
        <v>Outside/Off-Property</v>
      </c>
      <c r="AS392" s="8">
        <f ca="1">IFERROR(__xludf.DUMMYFUNCTION("""COMPUTED_VALUE"""),99)</f>
        <v>99</v>
      </c>
      <c r="AT392" s="8" t="str">
        <f ca="1">IFERROR(__xludf.DUMMYFUNCTION("""COMPUTED_VALUE"""),"Yes")</f>
        <v>Yes</v>
      </c>
      <c r="AU392" s="8">
        <f ca="1">IFERROR(__xludf.DUMMYFUNCTION("""COMPUTED_VALUE"""),38.907748)</f>
        <v>38.907747999999998</v>
      </c>
      <c r="AV392" s="8">
        <f ca="1">IFERROR(__xludf.DUMMYFUNCTION("""COMPUTED_VALUE"""),-77.01347)</f>
        <v>-77.013469999999998</v>
      </c>
      <c r="AW392" s="8" t="str">
        <f ca="1">IFERROR(__xludf.DUMMYFUNCTION("""COMPUTED_VALUE"""),"Urban Street Standalone")</f>
        <v>Urban Street Standalone</v>
      </c>
      <c r="AX392" s="8">
        <f ca="1">IFERROR(__xludf.DUMMYFUNCTION("""COMPUTED_VALUE"""),20001)</f>
        <v>20001</v>
      </c>
    </row>
    <row r="393" spans="1:50" ht="150" x14ac:dyDescent="0.2">
      <c r="A393" s="8" t="str">
        <f ca="1">IFERROR(__xludf.DUMMYFUNCTION("""COMPUTED_VALUE"""),"20240501DCALW")</f>
        <v>20240501DCALW</v>
      </c>
      <c r="B393" s="8">
        <f ca="1">IFERROR(__xludf.DUMMYFUNCTION("""COMPUTED_VALUE"""),5)</f>
        <v>5</v>
      </c>
      <c r="C393" s="8">
        <f ca="1">IFERROR(__xludf.DUMMYFUNCTION("""COMPUTED_VALUE"""),1)</f>
        <v>1</v>
      </c>
      <c r="D393" s="8">
        <f ca="1">IFERROR(__xludf.DUMMYFUNCTION("""COMPUTED_VALUE"""),2024)</f>
        <v>2024</v>
      </c>
      <c r="E393" s="9">
        <f ca="1">IFERROR(__xludf.DUMMYFUNCTION("""COMPUTED_VALUE"""),45413)</f>
        <v>45413</v>
      </c>
      <c r="F393" s="8" t="str">
        <f ca="1">IFERROR(__xludf.DUMMYFUNCTION("""COMPUTED_VALUE"""),"Alice Deal Middle School")</f>
        <v>Alice Deal Middle School</v>
      </c>
      <c r="G393" s="8">
        <f ca="1">IFERROR(__xludf.DUMMYFUNCTION("""COMPUTED_VALUE"""),0)</f>
        <v>0</v>
      </c>
      <c r="H393" s="8">
        <f ca="1">IFERROR(__xludf.DUMMYFUNCTION("""COMPUTED_VALUE"""),0)</f>
        <v>0</v>
      </c>
      <c r="I393" s="8">
        <f ca="1">IFERROR(__xludf.DUMMYFUNCTION("""COMPUTED_VALUE"""),0)</f>
        <v>0</v>
      </c>
      <c r="J393" s="8">
        <f ca="1">IFERROR(__xludf.DUMMYFUNCTION("""COMPUTED_VALUE"""),0)</f>
        <v>0</v>
      </c>
      <c r="K393" s="10" t="str">
        <f ca="1">IFERROR(__xludf.DUMMYFUNCTION("""COMPUTED_VALUE"""),"https://www.axios.com/local/washington-dc/2024/05/02/deal-middle-school-toy-gun-attack")</f>
        <v>https://www.axios.com/local/washington-dc/2024/05/02/deal-middle-school-toy-gun-attack</v>
      </c>
      <c r="L393" s="8">
        <f ca="1">IFERROR(__xludf.DUMMYFUNCTION("""COMPUTED_VALUE"""),1)</f>
        <v>1</v>
      </c>
      <c r="M393" s="8" t="str">
        <f ca="1">IFERROR(__xludf.DUMMYFUNCTION("""COMPUTED_VALUE"""),"Local")</f>
        <v>Local</v>
      </c>
      <c r="N393" s="8">
        <f ca="1">IFERROR(__xludf.DUMMYFUNCTION("""COMPUTED_VALUE"""),3)</f>
        <v>3</v>
      </c>
      <c r="O393" s="8" t="str">
        <f ca="1">IFERROR(__xludf.DUMMYFUNCTION("""COMPUTED_VALUE"""),"Spring")</f>
        <v>Spring</v>
      </c>
      <c r="P393" s="8" t="str">
        <f ca="1">IFERROR(__xludf.DUMMYFUNCTION("""COMPUTED_VALUE"""),"Washington")</f>
        <v>Washington</v>
      </c>
      <c r="Q393" s="8" t="str">
        <f ca="1">IFERROR(__xludf.DUMMYFUNCTION("""COMPUTED_VALUE"""),"DC")</f>
        <v>DC</v>
      </c>
      <c r="R393" s="8" t="str">
        <f ca="1">IFERROR(__xludf.DUMMYFUNCTION("""COMPUTED_VALUE"""),"Middle")</f>
        <v>Middle</v>
      </c>
      <c r="S393" s="8" t="str">
        <f ca="1">IFERROR(__xludf.DUMMYFUNCTION("""COMPUTED_VALUE"""),"Front of School")</f>
        <v>Front of School</v>
      </c>
      <c r="T393" s="8" t="str">
        <f ca="1">IFERROR(__xludf.DUMMYFUNCTION("""COMPUTED_VALUE"""),"Outside on School Property")</f>
        <v>Outside on School Property</v>
      </c>
      <c r="U393" s="8" t="str">
        <f ca="1">IFERROR(__xludf.DUMMYFUNCTION("""COMPUTED_VALUE"""),"Yes")</f>
        <v>Yes</v>
      </c>
      <c r="V393" s="8" t="str">
        <f ca="1">IFERROR(__xludf.DUMMYFUNCTION("""COMPUTED_VALUE"""),"Dismissal")</f>
        <v>Dismissal</v>
      </c>
      <c r="W393" s="8"/>
      <c r="X393" s="8">
        <f ca="1">IFERROR(__xludf.DUMMYFUNCTION("""COMPUTED_VALUE"""),1)</f>
        <v>1</v>
      </c>
      <c r="Y393" s="12" t="str">
        <f ca="1">IFERROR(__xludf.DUMMYFUNCTION("""COMPUTED_VALUE"""),"Three students shot classmates and parent with pellet guns")</f>
        <v>Three students shot classmates and parent with pellet guns</v>
      </c>
      <c r="Z393" s="12" t="str">
        <f ca="1">IFERROR(__xludf.DUMMYFUNCTION("""COMPUTED_VALUE"""),"Deal went into ""alert status"" Wednesday afternoon after three ""school-aged youth"" were discovered near the campus with toy pellet guns first thought to be weapons, says an email from Deal Middle School principal Diedre Neal that was shared with Axios."&amp;" People were kind of running and screaming and taking cover,"" says the parent of a Deal student who was hit by one of the gel pellets and asked to remain anonymous to protect their child. ""It felt very real."" Several children and at least one adult wer"&amp;"e struck by the pellets, says the parent.")</f>
        <v>Deal went into "alert status" Wednesday afternoon after three "school-aged youth" were discovered near the campus with toy pellet guns first thought to be weapons, says an email from Deal Middle School principal Diedre Neal that was shared with Axios. People were kind of running and screaming and taking cover," says the parent of a Deal student who was hit by one of the gel pellets and asked to remain anonymous to protect their child. "It felt very real." Several children and at least one adult were struck by the pellets, says the parent.</v>
      </c>
      <c r="AA393" s="8"/>
      <c r="AB393" s="8"/>
      <c r="AC393" s="8" t="str">
        <f ca="1">IFERROR(__xludf.DUMMYFUNCTION("""COMPUTED_VALUE"""),"Yes")</f>
        <v>Yes</v>
      </c>
      <c r="AD393" s="8" t="str">
        <f ca="1">IFERROR(__xludf.DUMMYFUNCTION("""COMPUTED_VALUE"""),"Random Shooting")</f>
        <v>Random Shooting</v>
      </c>
      <c r="AE393" s="8" t="str">
        <f ca="1">IFERROR(__xludf.DUMMYFUNCTION("""COMPUTED_VALUE"""),"Yes")</f>
        <v>Yes</v>
      </c>
      <c r="AF393" s="8" t="str">
        <f ca="1">IFERROR(__xludf.DUMMYFUNCTION("""COMPUTED_VALUE"""),"3 students")</f>
        <v>3 students</v>
      </c>
      <c r="AG393" s="8" t="str">
        <f ca="1">IFERROR(__xludf.DUMMYFUNCTION("""COMPUTED_VALUE"""),"No")</f>
        <v>No</v>
      </c>
      <c r="AH393" s="8" t="str">
        <f ca="1">IFERROR(__xludf.DUMMYFUNCTION("""COMPUTED_VALUE"""),"No")</f>
        <v>No</v>
      </c>
      <c r="AI393" s="8" t="str">
        <f ca="1">IFERROR(__xludf.DUMMYFUNCTION("""COMPUTED_VALUE"""),"No")</f>
        <v>No</v>
      </c>
      <c r="AJ393" s="8" t="str">
        <f ca="1">IFERROR(__xludf.DUMMYFUNCTION("""COMPUTED_VALUE"""),"No")</f>
        <v>No</v>
      </c>
      <c r="AK393" s="8" t="str">
        <f ca="1">IFERROR(__xludf.DUMMYFUNCTION("""COMPUTED_VALUE"""),"No")</f>
        <v>No</v>
      </c>
      <c r="AL393" s="8" t="str">
        <f ca="1">IFERROR(__xludf.DUMMYFUNCTION("""COMPUTED_VALUE"""),"No")</f>
        <v>No</v>
      </c>
      <c r="AM393" s="8" t="str">
        <f ca="1">IFERROR(__xludf.DUMMYFUNCTION("""COMPUTED_VALUE"""),"No")</f>
        <v>No</v>
      </c>
      <c r="AN393" s="8" t="str">
        <f ca="1">IFERROR(__xludf.DUMMYFUNCTION("""COMPUTED_VALUE"""),"Outside")</f>
        <v>Outside</v>
      </c>
      <c r="AO393" s="8" t="str">
        <f ca="1">IFERROR(__xludf.DUMMYFUNCTION("""COMPUTED_VALUE"""),"No")</f>
        <v>No</v>
      </c>
      <c r="AP393" s="8"/>
      <c r="AQ393" s="8"/>
      <c r="AR393" s="8" t="str">
        <f ca="1">IFERROR(__xludf.DUMMYFUNCTION("""COMPUTED_VALUE"""),"Outside/Off-Property")</f>
        <v>Outside/Off-Property</v>
      </c>
      <c r="AS393" s="8">
        <f ca="1">IFERROR(__xludf.DUMMYFUNCTION("""COMPUTED_VALUE"""),99)</f>
        <v>99</v>
      </c>
      <c r="AT393" s="8" t="str">
        <f ca="1">IFERROR(__xludf.DUMMYFUNCTION("""COMPUTED_VALUE"""),"Yes")</f>
        <v>Yes</v>
      </c>
      <c r="AU393" s="8">
        <f ca="1">IFERROR(__xludf.DUMMYFUNCTION("""COMPUTED_VALUE"""),38.952518)</f>
        <v>38.952517999999998</v>
      </c>
      <c r="AV393" s="8">
        <f ca="1">IFERROR(__xludf.DUMMYFUNCTION("""COMPUTED_VALUE"""),-77.074781)</f>
        <v>-77.074781000000002</v>
      </c>
      <c r="AW393" s="8" t="str">
        <f ca="1">IFERROR(__xludf.DUMMYFUNCTION("""COMPUTED_VALUE"""),"Multiple detached buildings")</f>
        <v>Multiple detached buildings</v>
      </c>
      <c r="AX393" s="8">
        <f ca="1">IFERROR(__xludf.DUMMYFUNCTION("""COMPUTED_VALUE"""),20016)</f>
        <v>20016</v>
      </c>
    </row>
    <row r="394" spans="1:50" ht="165" x14ac:dyDescent="0.2">
      <c r="A394" s="8" t="str">
        <f ca="1">IFERROR(__xludf.DUMMYFUNCTION("""COMPUTED_VALUE"""),"20240501MIFRM")</f>
        <v>20240501MIFRM</v>
      </c>
      <c r="B394" s="8">
        <f ca="1">IFERROR(__xludf.DUMMYFUNCTION("""COMPUTED_VALUE"""),5)</f>
        <v>5</v>
      </c>
      <c r="C394" s="8">
        <f ca="1">IFERROR(__xludf.DUMMYFUNCTION("""COMPUTED_VALUE"""),1)</f>
        <v>1</v>
      </c>
      <c r="D394" s="8">
        <f ca="1">IFERROR(__xludf.DUMMYFUNCTION("""COMPUTED_VALUE"""),2024)</f>
        <v>2024</v>
      </c>
      <c r="E394" s="9">
        <f ca="1">IFERROR(__xludf.DUMMYFUNCTION("""COMPUTED_VALUE"""),45413)</f>
        <v>45413</v>
      </c>
      <c r="F394" s="8" t="str">
        <f ca="1">IFERROR(__xludf.DUMMYFUNCTION("""COMPUTED_VALUE"""),"Frank Cody High School")</f>
        <v>Frank Cody High School</v>
      </c>
      <c r="G394" s="8">
        <f ca="1">IFERROR(__xludf.DUMMYFUNCTION("""COMPUTED_VALUE"""),0)</f>
        <v>0</v>
      </c>
      <c r="H394" s="8">
        <f ca="1">IFERROR(__xludf.DUMMYFUNCTION("""COMPUTED_VALUE"""),4)</f>
        <v>4</v>
      </c>
      <c r="I394" s="8">
        <f ca="1">IFERROR(__xludf.DUMMYFUNCTION("""COMPUTED_VALUE"""),4)</f>
        <v>4</v>
      </c>
      <c r="J394" s="8">
        <f ca="1">IFERROR(__xludf.DUMMYFUNCTION("""COMPUTED_VALUE"""),0)</f>
        <v>0</v>
      </c>
      <c r="K394" s="10" t="str">
        <f ca="1">IFERROR(__xludf.DUMMYFUNCTION("""COMPUTED_VALUE"""),"https://www.wxyz.com/news/2-women-2-kids-shot-near-high-school-on-detroits-west-side-police-say")</f>
        <v>https://www.wxyz.com/news/2-women-2-kids-shot-near-high-school-on-detroits-west-side-police-say</v>
      </c>
      <c r="L394" s="8"/>
      <c r="M394" s="8" t="str">
        <f ca="1">IFERROR(__xludf.DUMMYFUNCTION("""COMPUTED_VALUE"""),"Local")</f>
        <v>Local</v>
      </c>
      <c r="N394" s="8">
        <f ca="1">IFERROR(__xludf.DUMMYFUNCTION("""COMPUTED_VALUE"""),3)</f>
        <v>3</v>
      </c>
      <c r="O394" s="8" t="str">
        <f ca="1">IFERROR(__xludf.DUMMYFUNCTION("""COMPUTED_VALUE"""),"Spring")</f>
        <v>Spring</v>
      </c>
      <c r="P394" s="8" t="str">
        <f ca="1">IFERROR(__xludf.DUMMYFUNCTION("""COMPUTED_VALUE"""),"Detroit")</f>
        <v>Detroit</v>
      </c>
      <c r="Q394" s="8" t="str">
        <f ca="1">IFERROR(__xludf.DUMMYFUNCTION("""COMPUTED_VALUE"""),"MI")</f>
        <v>MI</v>
      </c>
      <c r="R394" s="8" t="str">
        <f ca="1">IFERROR(__xludf.DUMMYFUNCTION("""COMPUTED_VALUE"""),"High")</f>
        <v>High</v>
      </c>
      <c r="S394" s="8" t="str">
        <f ca="1">IFERROR(__xludf.DUMMYFUNCTION("""COMPUTED_VALUE"""),"Playground")</f>
        <v>Playground</v>
      </c>
      <c r="T394" s="8" t="str">
        <f ca="1">IFERROR(__xludf.DUMMYFUNCTION("""COMPUTED_VALUE"""),"Outside on School Property")</f>
        <v>Outside on School Property</v>
      </c>
      <c r="U394" s="8" t="str">
        <f ca="1">IFERROR(__xludf.DUMMYFUNCTION("""COMPUTED_VALUE"""),"No")</f>
        <v>No</v>
      </c>
      <c r="V394" s="8" t="str">
        <f ca="1">IFERROR(__xludf.DUMMYFUNCTION("""COMPUTED_VALUE"""),"Evening")</f>
        <v>Evening</v>
      </c>
      <c r="W394" s="11">
        <f ca="1">IFERROR(__xludf.DUMMYFUNCTION("""COMPUTED_VALUE"""),0.875)</f>
        <v>0.875</v>
      </c>
      <c r="X394" s="8">
        <f ca="1">IFERROR(__xludf.DUMMYFUNCTION("""COMPUTED_VALUE"""),1)</f>
        <v>1</v>
      </c>
      <c r="Y394" s="12" t="str">
        <f ca="1">IFERROR(__xludf.DUMMYFUNCTION("""COMPUTED_VALUE"""),"Two women and two children shot on school playground during dispute")</f>
        <v>Two women and two children shot on school playground during dispute</v>
      </c>
      <c r="Z394" s="12" t="str">
        <f ca="1">IFERROR(__xludf.DUMMYFUNCTION("""COMPUTED_VALUE"""),"Detroit Police Chief James White said investigators believe there was an altercation between two women. One of the women called a male that she knows and he showed up with a gun in his backpack. Police said the male fired four shots and four people were i"&amp;"njured. Two women, both believed to be around the age of 18, were shot. Police said one of them is pregnant. They also said one of the women shot was not involved in the altercation. Two children, ages 3 and 6, were also shot. The children are not related"&amp;" to the adults involved in the altercation and were enjoying a day at the park, police said.")</f>
        <v>Detroit Police Chief James White said investigators believe there was an altercation between two women. One of the women called a male that she knows and he showed up with a gun in his backpack. Police said the male fired four shots and four people were injured. Two women, both believed to be around the age of 18, were shot. Police said one of them is pregnant. They also said one of the women shot was not involved in the altercation. Two children, ages 3 and 6, were also shot. The children are not related to the adults involved in the altercation and were enjoying a day at the park, police said.</v>
      </c>
      <c r="AA394" s="8" t="str">
        <f ca="1">IFERROR(__xludf.DUMMYFUNCTION("""COMPUTED_VALUE"""),"Escalation of Dispute")</f>
        <v>Escalation of Dispute</v>
      </c>
      <c r="AB394" s="8" t="str">
        <f ca="1">IFERROR(__xludf.DUMMYFUNCTION("""COMPUTED_VALUE"""),"Spontaneous")</f>
        <v>Spontaneous</v>
      </c>
      <c r="AC394" s="8" t="str">
        <f ca="1">IFERROR(__xludf.DUMMYFUNCTION("""COMPUTED_VALUE"""),"No")</f>
        <v>No</v>
      </c>
      <c r="AD394" s="8" t="str">
        <f ca="1">IFERROR(__xludf.DUMMYFUNCTION("""COMPUTED_VALUE"""),"Both")</f>
        <v>Both</v>
      </c>
      <c r="AE394" s="8" t="str">
        <f ca="1">IFERROR(__xludf.DUMMYFUNCTION("""COMPUTED_VALUE"""),"Yes")</f>
        <v>Yes</v>
      </c>
      <c r="AF394" s="8" t="str">
        <f ca="1">IFERROR(__xludf.DUMMYFUNCTION("""COMPUTED_VALUE"""),"Man and woman")</f>
        <v>Man and woman</v>
      </c>
      <c r="AG394" s="8" t="str">
        <f ca="1">IFERROR(__xludf.DUMMYFUNCTION("""COMPUTED_VALUE"""),"No")</f>
        <v>No</v>
      </c>
      <c r="AH394" s="8" t="str">
        <f ca="1">IFERROR(__xludf.DUMMYFUNCTION("""COMPUTED_VALUE"""),"No")</f>
        <v>No</v>
      </c>
      <c r="AI394" s="8" t="str">
        <f ca="1">IFERROR(__xludf.DUMMYFUNCTION("""COMPUTED_VALUE"""),"No")</f>
        <v>No</v>
      </c>
      <c r="AJ394" s="8" t="str">
        <f ca="1">IFERROR(__xludf.DUMMYFUNCTION("""COMPUTED_VALUE"""),"No")</f>
        <v>No</v>
      </c>
      <c r="AK394" s="8" t="str">
        <f ca="1">IFERROR(__xludf.DUMMYFUNCTION("""COMPUTED_VALUE"""),"No")</f>
        <v>No</v>
      </c>
      <c r="AL394" s="8" t="str">
        <f ca="1">IFERROR(__xludf.DUMMYFUNCTION("""COMPUTED_VALUE"""),"No")</f>
        <v>No</v>
      </c>
      <c r="AM394" s="8" t="str">
        <f ca="1">IFERROR(__xludf.DUMMYFUNCTION("""COMPUTED_VALUE"""),"No")</f>
        <v>No</v>
      </c>
      <c r="AN394" s="8" t="str">
        <f ca="1">IFERROR(__xludf.DUMMYFUNCTION("""COMPUTED_VALUE"""),"Outside")</f>
        <v>Outside</v>
      </c>
      <c r="AO394" s="8" t="str">
        <f ca="1">IFERROR(__xludf.DUMMYFUNCTION("""COMPUTED_VALUE"""),"No")</f>
        <v>No</v>
      </c>
      <c r="AP394" s="8"/>
      <c r="AQ394" s="8"/>
      <c r="AR394" s="8" t="str">
        <f ca="1">IFERROR(__xludf.DUMMYFUNCTION("""COMPUTED_VALUE"""),"Outside/Off-Property")</f>
        <v>Outside/Off-Property</v>
      </c>
      <c r="AS394" s="8">
        <f ca="1">IFERROR(__xludf.DUMMYFUNCTION("""COMPUTED_VALUE"""),99)</f>
        <v>99</v>
      </c>
      <c r="AT394" s="8" t="str">
        <f ca="1">IFERROR(__xludf.DUMMYFUNCTION("""COMPUTED_VALUE"""),"No")</f>
        <v>No</v>
      </c>
      <c r="AU394" s="8">
        <f ca="1">IFERROR(__xludf.DUMMYFUNCTION("""COMPUTED_VALUE"""),42.361215)</f>
        <v>42.361215000000001</v>
      </c>
      <c r="AV394" s="8">
        <f ca="1">IFERROR(__xludf.DUMMYFUNCTION("""COMPUTED_VALUE"""),-83.222087)</f>
        <v>-83.222087000000002</v>
      </c>
      <c r="AW394" s="8" t="str">
        <f ca="1">IFERROR(__xludf.DUMMYFUNCTION("""COMPUTED_VALUE"""),"Multiple attached buildings")</f>
        <v>Multiple attached buildings</v>
      </c>
      <c r="AX394" s="8">
        <f ca="1">IFERROR(__xludf.DUMMYFUNCTION("""COMPUTED_VALUE"""),48228)</f>
        <v>48228</v>
      </c>
    </row>
    <row r="395" spans="1:50" ht="270" x14ac:dyDescent="0.2">
      <c r="A395" s="8" t="str">
        <f ca="1">IFERROR(__xludf.DUMMYFUNCTION("""COMPUTED_VALUE"""),"20240501WIMOM")</f>
        <v>20240501WIMOM</v>
      </c>
      <c r="B395" s="8">
        <f ca="1">IFERROR(__xludf.DUMMYFUNCTION("""COMPUTED_VALUE"""),5)</f>
        <v>5</v>
      </c>
      <c r="C395" s="8">
        <f ca="1">IFERROR(__xludf.DUMMYFUNCTION("""COMPUTED_VALUE"""),1)</f>
        <v>1</v>
      </c>
      <c r="D395" s="8">
        <f ca="1">IFERROR(__xludf.DUMMYFUNCTION("""COMPUTED_VALUE"""),2024)</f>
        <v>2024</v>
      </c>
      <c r="E395" s="9">
        <f ca="1">IFERROR(__xludf.DUMMYFUNCTION("""COMPUTED_VALUE"""),45413)</f>
        <v>45413</v>
      </c>
      <c r="F395" s="8" t="str">
        <f ca="1">IFERROR(__xludf.DUMMYFUNCTION("""COMPUTED_VALUE"""),"Mount Horeb Middle School")</f>
        <v>Mount Horeb Middle School</v>
      </c>
      <c r="G395" s="8">
        <f ca="1">IFERROR(__xludf.DUMMYFUNCTION("""COMPUTED_VALUE"""),0)</f>
        <v>0</v>
      </c>
      <c r="H395" s="8">
        <f ca="1">IFERROR(__xludf.DUMMYFUNCTION("""COMPUTED_VALUE"""),0)</f>
        <v>0</v>
      </c>
      <c r="I395" s="8">
        <f ca="1">IFERROR(__xludf.DUMMYFUNCTION("""COMPUTED_VALUE"""),0)</f>
        <v>0</v>
      </c>
      <c r="J395" s="8">
        <f ca="1">IFERROR(__xludf.DUMMYFUNCTION("""COMPUTED_VALUE"""),1)</f>
        <v>1</v>
      </c>
      <c r="K395" s="8" t="str">
        <f ca="1">IFERROR(__xludf.DUMMYFUNCTION("""COMPUTED_VALUE"""),"https://archive.is/bmQSn
https://www.nbcnews.com/news/us-news/police-fatally-shoot-student-wisconsin-middle-school-responding-report-rcna150308
https://abcnews.go.com/US/wisconsin-mount-horeb-reported-active-shooter/story?id=109800261")</f>
        <v>https://archive.is/bmQSn
https://www.nbcnews.com/news/us-news/police-fatally-shoot-student-wisconsin-middle-school-responding-report-rcna150308
https://abcnews.go.com/US/wisconsin-mount-horeb-reported-active-shooter/story?id=109800261</v>
      </c>
      <c r="L395" s="8">
        <f ca="1">IFERROR(__xludf.DUMMYFUNCTION("""COMPUTED_VALUE"""),500)</f>
        <v>500</v>
      </c>
      <c r="M395" s="8" t="str">
        <f ca="1">IFERROR(__xludf.DUMMYFUNCTION("""COMPUTED_VALUE"""),"International")</f>
        <v>International</v>
      </c>
      <c r="N395" s="8">
        <f ca="1">IFERROR(__xludf.DUMMYFUNCTION("""COMPUTED_VALUE"""),4)</f>
        <v>4</v>
      </c>
      <c r="O395" s="8" t="str">
        <f ca="1">IFERROR(__xludf.DUMMYFUNCTION("""COMPUTED_VALUE"""),"Spring")</f>
        <v>Spring</v>
      </c>
      <c r="P395" s="8" t="str">
        <f ca="1">IFERROR(__xludf.DUMMYFUNCTION("""COMPUTED_VALUE"""),"Mount Horeb")</f>
        <v>Mount Horeb</v>
      </c>
      <c r="Q395" s="8" t="str">
        <f ca="1">IFERROR(__xludf.DUMMYFUNCTION("""COMPUTED_VALUE"""),"WI")</f>
        <v>WI</v>
      </c>
      <c r="R395" s="8" t="str">
        <f ca="1">IFERROR(__xludf.DUMMYFUNCTION("""COMPUTED_VALUE"""),"Middle")</f>
        <v>Middle</v>
      </c>
      <c r="S395" s="8" t="str">
        <f ca="1">IFERROR(__xludf.DUMMYFUNCTION("""COMPUTED_VALUE"""),"Front of School")</f>
        <v>Front of School</v>
      </c>
      <c r="T395" s="8" t="str">
        <f ca="1">IFERROR(__xludf.DUMMYFUNCTION("""COMPUTED_VALUE"""),"Outside on School Property")</f>
        <v>Outside on School Property</v>
      </c>
      <c r="U395" s="8" t="str">
        <f ca="1">IFERROR(__xludf.DUMMYFUNCTION("""COMPUTED_VALUE"""),"Yes")</f>
        <v>Yes</v>
      </c>
      <c r="V395" s="8" t="str">
        <f ca="1">IFERROR(__xludf.DUMMYFUNCTION("""COMPUTED_VALUE"""),"Morning Classes")</f>
        <v>Morning Classes</v>
      </c>
      <c r="W395" s="11">
        <f ca="1">IFERROR(__xludf.DUMMYFUNCTION("""COMPUTED_VALUE"""),0.469444444444444)</f>
        <v>0.469444444444444</v>
      </c>
      <c r="X395" s="8">
        <f ca="1">IFERROR(__xludf.DUMMYFUNCTION("""COMPUTED_VALUE"""),1)</f>
        <v>1</v>
      </c>
      <c r="Y395" s="12" t="str">
        <f ca="1">IFERROR(__xludf.DUMMYFUNCTION("""COMPUTED_VALUE"""),"Police killed 14-year-old with a pellet rifle outside of the school building after report of active shooter")</f>
        <v>Police killed 14-year-old with a pellet rifle outside of the school building after report of active shooter</v>
      </c>
      <c r="Z395" s="12" t="str">
        <f ca="1">IFERROR(__xludf.DUMMYFUNCTION("""COMPUTED_VALUE"""),"Police shot and killed a student holding a pellet rifle outside a Wisconsin middle school Wednesday as officers responded to a report of a person with a gun, officials said. No one else was hurt in the incident outside Mount Horeb Middle School, Wisconsin"&amp;" Attorney General Josh Kaul said in an evening news conference. He said the investigation was ongoing and declined to disclose details of what led up to the shooting. “Police officers from the Mount Horeb Police Department responded to a report of an indi"&amp;"vidual with a weapon outside the middle school. Police officers responded to that threat, and they used deadly force,"" Kaul said, adding that the person was a student in the Mount Horeb Area School District. As is protocol, some officers will be placed o"&amp;"n leave following the shooting, Kaul said. The school district posted on its Facebook page that the school system was locked down around 11:16 a.m. An ""active shooter"" near the middle school “did not breach entryway,” the district said.")</f>
        <v>Police shot and killed a student holding a pellet rifle outside a Wisconsin middle school Wednesday as officers responded to a report of a person with a gun, officials said. No one else was hurt in the incident outside Mount Horeb Middle School, Wisconsin Attorney General Josh Kaul said in an evening news conference. He said the investigation was ongoing and declined to disclose details of what led up to the shooting. “Police officers from the Mount Horeb Police Department responded to a report of an individual with a weapon outside the middle school. Police officers responded to that threat, and they used deadly force," Kaul said, adding that the person was a student in the Mount Horeb Area School District. As is protocol, some officers will be placed on leave following the shooting, Kaul said. The school district posted on its Facebook page that the school system was locked down around 11:16 a.m. An "active shooter" near the middle school “did not breach entryway,” the district said.</v>
      </c>
      <c r="AA395" s="8" t="str">
        <f ca="1">IFERROR(__xludf.DUMMYFUNCTION("""COMPUTED_VALUE"""),"Indiscriminate Shooting")</f>
        <v>Indiscriminate Shooting</v>
      </c>
      <c r="AB395" s="8" t="str">
        <f ca="1">IFERROR(__xludf.DUMMYFUNCTION("""COMPUTED_VALUE"""),"Active Shooter/Planned Attack")</f>
        <v>Active Shooter/Planned Attack</v>
      </c>
      <c r="AC395" s="8" t="str">
        <f ca="1">IFERROR(__xludf.DUMMYFUNCTION("""COMPUTED_VALUE"""),"Yes")</f>
        <v>Yes</v>
      </c>
      <c r="AD395" s="8" t="str">
        <f ca="1">IFERROR(__xludf.DUMMYFUNCTION("""COMPUTED_VALUE"""),"Random Shooting")</f>
        <v>Random Shooting</v>
      </c>
      <c r="AE395" s="8" t="str">
        <f ca="1">IFERROR(__xludf.DUMMYFUNCTION("""COMPUTED_VALUE"""),"No")</f>
        <v>No</v>
      </c>
      <c r="AF395" s="8"/>
      <c r="AG395" s="8" t="str">
        <f ca="1">IFERROR(__xludf.DUMMYFUNCTION("""COMPUTED_VALUE"""),"No")</f>
        <v>No</v>
      </c>
      <c r="AH395" s="8" t="str">
        <f ca="1">IFERROR(__xludf.DUMMYFUNCTION("""COMPUTED_VALUE"""),"No")</f>
        <v>No</v>
      </c>
      <c r="AI395" s="8" t="str">
        <f ca="1">IFERROR(__xludf.DUMMYFUNCTION("""COMPUTED_VALUE"""),"No")</f>
        <v>No</v>
      </c>
      <c r="AJ395" s="8"/>
      <c r="AK395" s="8" t="str">
        <f ca="1">IFERROR(__xludf.DUMMYFUNCTION("""COMPUTED_VALUE"""),"No")</f>
        <v>No</v>
      </c>
      <c r="AL395" s="8" t="str">
        <f ca="1">IFERROR(__xludf.DUMMYFUNCTION("""COMPUTED_VALUE"""),"No")</f>
        <v>No</v>
      </c>
      <c r="AM395" s="8" t="str">
        <f ca="1">IFERROR(__xludf.DUMMYFUNCTION("""COMPUTED_VALUE"""),"Yes")</f>
        <v>Yes</v>
      </c>
      <c r="AN395" s="8" t="str">
        <f ca="1">IFERROR(__xludf.DUMMYFUNCTION("""COMPUTED_VALUE"""),"Outside")</f>
        <v>Outside</v>
      </c>
      <c r="AO395" s="8" t="str">
        <f ca="1">IFERROR(__xludf.DUMMYFUNCTION("""COMPUTED_VALUE"""),"Yes")</f>
        <v>Yes</v>
      </c>
      <c r="AP395" s="8"/>
      <c r="AQ395" s="8"/>
      <c r="AR395" s="8" t="str">
        <f ca="1">IFERROR(__xludf.DUMMYFUNCTION("""COMPUTED_VALUE"""),"Outside/Off-Property")</f>
        <v>Outside/Off-Property</v>
      </c>
      <c r="AS395" s="8"/>
      <c r="AT395" s="8" t="str">
        <f ca="1">IFERROR(__xludf.DUMMYFUNCTION("""COMPUTED_VALUE"""),"Yes")</f>
        <v>Yes</v>
      </c>
      <c r="AU395" s="8">
        <f ca="1">IFERROR(__xludf.DUMMYFUNCTION("""COMPUTED_VALUE"""),43.005974)</f>
        <v>43.005974000000002</v>
      </c>
      <c r="AV395" s="8">
        <f ca="1">IFERROR(__xludf.DUMMYFUNCTION("""COMPUTED_VALUE"""),-89.728381)</f>
        <v>-89.728380999999999</v>
      </c>
      <c r="AW395" s="8" t="str">
        <f ca="1">IFERROR(__xludf.DUMMYFUNCTION("""COMPUTED_VALUE"""),"Single building indoor hallway")</f>
        <v>Single building indoor hallway</v>
      </c>
      <c r="AX395" s="8">
        <f ca="1">IFERROR(__xludf.DUMMYFUNCTION("""COMPUTED_VALUE"""),53572)</f>
        <v>53572</v>
      </c>
    </row>
    <row r="396" spans="1:50" ht="45" x14ac:dyDescent="0.2">
      <c r="A396" s="8" t="str">
        <f ca="1">IFERROR(__xludf.DUMMYFUNCTION("""COMPUTED_VALUE"""),"20240430OHGLC")</f>
        <v>20240430OHGLC</v>
      </c>
      <c r="B396" s="8">
        <f ca="1">IFERROR(__xludf.DUMMYFUNCTION("""COMPUTED_VALUE"""),4)</f>
        <v>4</v>
      </c>
      <c r="C396" s="8">
        <f ca="1">IFERROR(__xludf.DUMMYFUNCTION("""COMPUTED_VALUE"""),30)</f>
        <v>30</v>
      </c>
      <c r="D396" s="8">
        <f ca="1">IFERROR(__xludf.DUMMYFUNCTION("""COMPUTED_VALUE"""),2024)</f>
        <v>2024</v>
      </c>
      <c r="E396" s="9">
        <f ca="1">IFERROR(__xludf.DUMMYFUNCTION("""COMPUTED_VALUE"""),45412)</f>
        <v>45412</v>
      </c>
      <c r="F396" s="8" t="str">
        <f ca="1">IFERROR(__xludf.DUMMYFUNCTION("""COMPUTED_VALUE"""),"Glenville High School")</f>
        <v>Glenville High School</v>
      </c>
      <c r="G396" s="8">
        <f ca="1">IFERROR(__xludf.DUMMYFUNCTION("""COMPUTED_VALUE"""),0)</f>
        <v>0</v>
      </c>
      <c r="H396" s="8">
        <f ca="1">IFERROR(__xludf.DUMMYFUNCTION("""COMPUTED_VALUE"""),1)</f>
        <v>1</v>
      </c>
      <c r="I396" s="8">
        <f ca="1">IFERROR(__xludf.DUMMYFUNCTION("""COMPUTED_VALUE"""),1)</f>
        <v>1</v>
      </c>
      <c r="J396" s="8">
        <f ca="1">IFERROR(__xludf.DUMMYFUNCTION("""COMPUTED_VALUE"""),0)</f>
        <v>0</v>
      </c>
      <c r="K396" s="10" t="str">
        <f ca="1">IFERROR(__xludf.DUMMYFUNCTION("""COMPUTED_VALUE"""),"https://fox8.com/news/student-shot-outside-cleveland-high-school/
https://www.cleveland19.com/2024/04/30/17-year-old-boy-shot-clevelands-glenville-neighborhood/
https://www.wkyc.com/article/news/crime/cleveland-police-17-year-old-shot-glenville-high-schoo"&amp;"l-health-center/95-c2d1f41c-68dc-4d9e-9809-e8809a59d32d")</f>
        <v>https://fox8.com/news/student-shot-outside-cleveland-high-school/
https://www.cleveland19.com/2024/04/30/17-year-old-boy-shot-clevelands-glenville-neighborhood/
https://www.wkyc.com/article/news/crime/cleveland-police-17-year-old-shot-glenville-high-school-health-center/95-c2d1f41c-68dc-4d9e-9809-e8809a59d32d</v>
      </c>
      <c r="L396" s="8">
        <f ca="1">IFERROR(__xludf.DUMMYFUNCTION("""COMPUTED_VALUE"""),3)</f>
        <v>3</v>
      </c>
      <c r="M396" s="8" t="str">
        <f ca="1">IFERROR(__xludf.DUMMYFUNCTION("""COMPUTED_VALUE"""),"Local")</f>
        <v>Local</v>
      </c>
      <c r="N396" s="8">
        <f ca="1">IFERROR(__xludf.DUMMYFUNCTION("""COMPUTED_VALUE"""),4)</f>
        <v>4</v>
      </c>
      <c r="O396" s="8" t="str">
        <f ca="1">IFERROR(__xludf.DUMMYFUNCTION("""COMPUTED_VALUE"""),"Spring")</f>
        <v>Spring</v>
      </c>
      <c r="P396" s="8" t="str">
        <f ca="1">IFERROR(__xludf.DUMMYFUNCTION("""COMPUTED_VALUE"""),"Cleveland")</f>
        <v>Cleveland</v>
      </c>
      <c r="Q396" s="8" t="str">
        <f ca="1">IFERROR(__xludf.DUMMYFUNCTION("""COMPUTED_VALUE"""),"OH")</f>
        <v>OH</v>
      </c>
      <c r="R396" s="8" t="str">
        <f ca="1">IFERROR(__xludf.DUMMYFUNCTION("""COMPUTED_VALUE"""),"High")</f>
        <v>High</v>
      </c>
      <c r="S396" s="8" t="str">
        <f ca="1">IFERROR(__xludf.DUMMYFUNCTION("""COMPUTED_VALUE"""),"Parking Lot")</f>
        <v>Parking Lot</v>
      </c>
      <c r="T396" s="8" t="str">
        <f ca="1">IFERROR(__xludf.DUMMYFUNCTION("""COMPUTED_VALUE"""),"Outside on School Property")</f>
        <v>Outside on School Property</v>
      </c>
      <c r="U396" s="8" t="str">
        <f ca="1">IFERROR(__xludf.DUMMYFUNCTION("""COMPUTED_VALUE"""),"Yes")</f>
        <v>Yes</v>
      </c>
      <c r="V396" s="8" t="str">
        <f ca="1">IFERROR(__xludf.DUMMYFUNCTION("""COMPUTED_VALUE"""),"Dismissal")</f>
        <v>Dismissal</v>
      </c>
      <c r="W396" s="11">
        <f ca="1">IFERROR(__xludf.DUMMYFUNCTION("""COMPUTED_VALUE"""),0.639583333333333)</f>
        <v>0.63958333333333295</v>
      </c>
      <c r="X396" s="8">
        <f ca="1">IFERROR(__xludf.DUMMYFUNCTION("""COMPUTED_VALUE"""),1)</f>
        <v>1</v>
      </c>
      <c r="Y396" s="12" t="str">
        <f ca="1">IFERROR(__xludf.DUMMYFUNCTION("""COMPUTED_VALUE"""),"Student shot while waiting for bus at dismissal")</f>
        <v>Student shot while waiting for bus at dismissal</v>
      </c>
      <c r="Z396" s="12" t="str">
        <f ca="1">IFERROR(__xludf.DUMMYFUNCTION("""COMPUTED_VALUE"""),"Student shot while waiting for bus at dismissal. Shooter was detained by police. Student was transported to the hospital.")</f>
        <v>Student shot while waiting for bus at dismissal. Shooter was detained by police. Student was transported to the hospital.</v>
      </c>
      <c r="AA396" s="8"/>
      <c r="AB396" s="8" t="str">
        <f ca="1">IFERROR(__xludf.DUMMYFUNCTION("""COMPUTED_VALUE"""),"Targeted")</f>
        <v>Targeted</v>
      </c>
      <c r="AC396" s="8" t="str">
        <f ca="1">IFERROR(__xludf.DUMMYFUNCTION("""COMPUTED_VALUE"""),"Yes")</f>
        <v>Yes</v>
      </c>
      <c r="AD396" s="8" t="str">
        <f ca="1">IFERROR(__xludf.DUMMYFUNCTION("""COMPUTED_VALUE"""),"Victims Targeted")</f>
        <v>Victims Targeted</v>
      </c>
      <c r="AE396" s="8" t="str">
        <f ca="1">IFERROR(__xludf.DUMMYFUNCTION("""COMPUTED_VALUE"""),"No")</f>
        <v>No</v>
      </c>
      <c r="AF396" s="8"/>
      <c r="AG396" s="8" t="str">
        <f ca="1">IFERROR(__xludf.DUMMYFUNCTION("""COMPUTED_VALUE"""),"No")</f>
        <v>No</v>
      </c>
      <c r="AH396" s="8" t="str">
        <f ca="1">IFERROR(__xludf.DUMMYFUNCTION("""COMPUTED_VALUE"""),"No")</f>
        <v>No</v>
      </c>
      <c r="AI396" s="8" t="str">
        <f ca="1">IFERROR(__xludf.DUMMYFUNCTION("""COMPUTED_VALUE"""),"No")</f>
        <v>No</v>
      </c>
      <c r="AJ396" s="8" t="str">
        <f ca="1">IFERROR(__xludf.DUMMYFUNCTION("""COMPUTED_VALUE"""),"No")</f>
        <v>No</v>
      </c>
      <c r="AK396" s="8" t="str">
        <f ca="1">IFERROR(__xludf.DUMMYFUNCTION("""COMPUTED_VALUE"""),"No")</f>
        <v>No</v>
      </c>
      <c r="AL396" s="8"/>
      <c r="AM396" s="8" t="str">
        <f ca="1">IFERROR(__xludf.DUMMYFUNCTION("""COMPUTED_VALUE"""),"No")</f>
        <v>No</v>
      </c>
      <c r="AN396" s="8" t="str">
        <f ca="1">IFERROR(__xludf.DUMMYFUNCTION("""COMPUTED_VALUE"""),"Outside")</f>
        <v>Outside</v>
      </c>
      <c r="AO396" s="8" t="str">
        <f ca="1">IFERROR(__xludf.DUMMYFUNCTION("""COMPUTED_VALUE"""),"No")</f>
        <v>No</v>
      </c>
      <c r="AP396" s="8" t="str">
        <f ca="1">IFERROR(__xludf.DUMMYFUNCTION("""COMPUTED_VALUE"""),"Yes")</f>
        <v>Yes</v>
      </c>
      <c r="AQ396" s="8"/>
      <c r="AR396" s="8" t="str">
        <f ca="1">IFERROR(__xludf.DUMMYFUNCTION("""COMPUTED_VALUE"""),"Outside/Off-Property")</f>
        <v>Outside/Off-Property</v>
      </c>
      <c r="AS396" s="8">
        <f ca="1">IFERROR(__xludf.DUMMYFUNCTION("""COMPUTED_VALUE"""),99)</f>
        <v>99</v>
      </c>
      <c r="AT396" s="8" t="str">
        <f ca="1">IFERROR(__xludf.DUMMYFUNCTION("""COMPUTED_VALUE"""),"No")</f>
        <v>No</v>
      </c>
      <c r="AU396" s="8">
        <f ca="1">IFERROR(__xludf.DUMMYFUNCTION("""COMPUTED_VALUE"""),41.540648)</f>
        <v>41.540647999999997</v>
      </c>
      <c r="AV396" s="8">
        <f ca="1">IFERROR(__xludf.DUMMYFUNCTION("""COMPUTED_VALUE"""),-81.60743)</f>
        <v>-81.607429999999994</v>
      </c>
      <c r="AW396" s="8" t="str">
        <f ca="1">IFERROR(__xludf.DUMMYFUNCTION("""COMPUTED_VALUE"""),"Single building indoor hallway")</f>
        <v>Single building indoor hallway</v>
      </c>
      <c r="AX396" s="8">
        <f ca="1">IFERROR(__xludf.DUMMYFUNCTION("""COMPUTED_VALUE"""),44108)</f>
        <v>44108</v>
      </c>
    </row>
    <row r="397" spans="1:50" ht="165" x14ac:dyDescent="0.2">
      <c r="A397" s="8" t="str">
        <f ca="1">IFERROR(__xludf.DUMMYFUNCTION("""COMPUTED_VALUE"""),"20240426WVSCS")</f>
        <v>20240426WVSCS</v>
      </c>
      <c r="B397" s="8">
        <f ca="1">IFERROR(__xludf.DUMMYFUNCTION("""COMPUTED_VALUE"""),4)</f>
        <v>4</v>
      </c>
      <c r="C397" s="8">
        <f ca="1">IFERROR(__xludf.DUMMYFUNCTION("""COMPUTED_VALUE"""),26)</f>
        <v>26</v>
      </c>
      <c r="D397" s="8">
        <f ca="1">IFERROR(__xludf.DUMMYFUNCTION("""COMPUTED_VALUE"""),2024)</f>
        <v>2024</v>
      </c>
      <c r="E397" s="9">
        <f ca="1">IFERROR(__xludf.DUMMYFUNCTION("""COMPUTED_VALUE"""),45408)</f>
        <v>45408</v>
      </c>
      <c r="F397" s="8" t="str">
        <f ca="1">IFERROR(__xludf.DUMMYFUNCTION("""COMPUTED_VALUE"""),"Scott Teays Elementary School")</f>
        <v>Scott Teays Elementary School</v>
      </c>
      <c r="G397" s="8">
        <f ca="1">IFERROR(__xludf.DUMMYFUNCTION("""COMPUTED_VALUE"""),0)</f>
        <v>0</v>
      </c>
      <c r="H397" s="8">
        <f ca="1">IFERROR(__xludf.DUMMYFUNCTION("""COMPUTED_VALUE"""),0)</f>
        <v>0</v>
      </c>
      <c r="I397" s="8">
        <f ca="1">IFERROR(__xludf.DUMMYFUNCTION("""COMPUTED_VALUE"""),0)</f>
        <v>0</v>
      </c>
      <c r="J397" s="8">
        <f ca="1">IFERROR(__xludf.DUMMYFUNCTION("""COMPUTED_VALUE"""),0)</f>
        <v>0</v>
      </c>
      <c r="K397" s="8" t="str">
        <f ca="1">IFERROR(__xludf.DUMMYFUNCTION("""COMPUTED_VALUE"""),"https://www.wsaz.com/2024/04/29/man-accused-firing-pellet-gun-near-elementary-school-charged/
https://www.wchstv.com/news/local/putnam-county-man-accused-of-shooting-pellet-gun-at-elementary-school-playground")</f>
        <v>https://www.wsaz.com/2024/04/29/man-accused-firing-pellet-gun-near-elementary-school-charged/
https://www.wchstv.com/news/local/putnam-county-man-accused-of-shooting-pellet-gun-at-elementary-school-playground</v>
      </c>
      <c r="L397" s="8">
        <f ca="1">IFERROR(__xludf.DUMMYFUNCTION("""COMPUTED_VALUE"""),2)</f>
        <v>2</v>
      </c>
      <c r="M397" s="8" t="str">
        <f ca="1">IFERROR(__xludf.DUMMYFUNCTION("""COMPUTED_VALUE"""),"Local")</f>
        <v>Local</v>
      </c>
      <c r="N397" s="8">
        <f ca="1">IFERROR(__xludf.DUMMYFUNCTION("""COMPUTED_VALUE"""),4)</f>
        <v>4</v>
      </c>
      <c r="O397" s="8" t="str">
        <f ca="1">IFERROR(__xludf.DUMMYFUNCTION("""COMPUTED_VALUE"""),"Spring")</f>
        <v>Spring</v>
      </c>
      <c r="P397" s="8" t="str">
        <f ca="1">IFERROR(__xludf.DUMMYFUNCTION("""COMPUTED_VALUE"""),"Scott Depot")</f>
        <v>Scott Depot</v>
      </c>
      <c r="Q397" s="8" t="str">
        <f ca="1">IFERROR(__xludf.DUMMYFUNCTION("""COMPUTED_VALUE"""),"WV")</f>
        <v>WV</v>
      </c>
      <c r="R397" s="8" t="str">
        <f ca="1">IFERROR(__xludf.DUMMYFUNCTION("""COMPUTED_VALUE"""),"Elementary")</f>
        <v>Elementary</v>
      </c>
      <c r="S397" s="8" t="str">
        <f ca="1">IFERROR(__xludf.DUMMYFUNCTION("""COMPUTED_VALUE"""),"Playground")</f>
        <v>Playground</v>
      </c>
      <c r="T397" s="8" t="str">
        <f ca="1">IFERROR(__xludf.DUMMYFUNCTION("""COMPUTED_VALUE"""),"Outside on School Property")</f>
        <v>Outside on School Property</v>
      </c>
      <c r="U397" s="8" t="str">
        <f ca="1">IFERROR(__xludf.DUMMYFUNCTION("""COMPUTED_VALUE"""),"Yes")</f>
        <v>Yes</v>
      </c>
      <c r="V397" s="8" t="str">
        <f ca="1">IFERROR(__xludf.DUMMYFUNCTION("""COMPUTED_VALUE"""),"Afternoon Classes")</f>
        <v>Afternoon Classes</v>
      </c>
      <c r="W397" s="8"/>
      <c r="X397" s="8">
        <f ca="1">IFERROR(__xludf.DUMMYFUNCTION("""COMPUTED_VALUE"""),1)</f>
        <v>1</v>
      </c>
      <c r="Y397" s="12" t="str">
        <f ca="1">IFERROR(__xludf.DUMMYFUNCTION("""COMPUTED_VALUE"""),"Man arrested after firing shots at the school playground")</f>
        <v>Man arrested after firing shots at the school playground</v>
      </c>
      <c r="Z397" s="12" t="str">
        <f ca="1">IFERROR(__xludf.DUMMYFUNCTION("""COMPUTED_VALUE"""),"Investigators said witnesses at Scott Teays Elementary School reported hearing ""a loud metallic ping that sounded like a shot from a pellet gun hitting some of the playground equipment."" Deputies said video helped identify Hamlin who was observed ""carr"&amp;"ying a long black object resembling a BB/pellet gun"" outside his Tiger Lane home near the elementary school. Investigators said Hamilton showed signs of impairment and admitted he had been drinking alcohol. Deputies said ""a black, long hunting rifle typ"&amp;"e BB/pellet gun with an optic on top of it"" was found in a shed near Hamlin's home.")</f>
        <v>Investigators said witnesses at Scott Teays Elementary School reported hearing "a loud metallic ping that sounded like a shot from a pellet gun hitting some of the playground equipment." Deputies said video helped identify Hamlin who was observed "carrying a long black object resembling a BB/pellet gun" outside his Tiger Lane home near the elementary school. Investigators said Hamilton showed signs of impairment and admitted he had been drinking alcohol. Deputies said "a black, long hunting rifle type BB/pellet gun with an optic on top of it" was found in a shed near Hamlin's home.</v>
      </c>
      <c r="AA397" s="8" t="str">
        <f ca="1">IFERROR(__xludf.DUMMYFUNCTION("""COMPUTED_VALUE"""),"Intentional Property Damage")</f>
        <v>Intentional Property Damage</v>
      </c>
      <c r="AB397" s="8" t="str">
        <f ca="1">IFERROR(__xludf.DUMMYFUNCTION("""COMPUTED_VALUE"""),"Spontaneous")</f>
        <v>Spontaneous</v>
      </c>
      <c r="AC397" s="8" t="str">
        <f ca="1">IFERROR(__xludf.DUMMYFUNCTION("""COMPUTED_VALUE"""),"Yes")</f>
        <v>Yes</v>
      </c>
      <c r="AD397" s="8" t="str">
        <f ca="1">IFERROR(__xludf.DUMMYFUNCTION("""COMPUTED_VALUE"""),"Random Shooting")</f>
        <v>Random Shooting</v>
      </c>
      <c r="AE397" s="8" t="str">
        <f ca="1">IFERROR(__xludf.DUMMYFUNCTION("""COMPUTED_VALUE"""),"No")</f>
        <v>No</v>
      </c>
      <c r="AF397" s="8"/>
      <c r="AG397" s="8" t="str">
        <f ca="1">IFERROR(__xludf.DUMMYFUNCTION("""COMPUTED_VALUE"""),"No")</f>
        <v>No</v>
      </c>
      <c r="AH397" s="8" t="str">
        <f ca="1">IFERROR(__xludf.DUMMYFUNCTION("""COMPUTED_VALUE"""),"No")</f>
        <v>No</v>
      </c>
      <c r="AI397" s="8" t="str">
        <f ca="1">IFERROR(__xludf.DUMMYFUNCTION("""COMPUTED_VALUE"""),"No")</f>
        <v>No</v>
      </c>
      <c r="AJ397" s="8" t="str">
        <f ca="1">IFERROR(__xludf.DUMMYFUNCTION("""COMPUTED_VALUE"""),"No")</f>
        <v>No</v>
      </c>
      <c r="AK397" s="8" t="str">
        <f ca="1">IFERROR(__xludf.DUMMYFUNCTION("""COMPUTED_VALUE"""),"No")</f>
        <v>No</v>
      </c>
      <c r="AL397" s="8" t="str">
        <f ca="1">IFERROR(__xludf.DUMMYFUNCTION("""COMPUTED_VALUE"""),"No")</f>
        <v>No</v>
      </c>
      <c r="AM397" s="8" t="str">
        <f ca="1">IFERROR(__xludf.DUMMYFUNCTION("""COMPUTED_VALUE"""),"No")</f>
        <v>No</v>
      </c>
      <c r="AN397" s="8" t="str">
        <f ca="1">IFERROR(__xludf.DUMMYFUNCTION("""COMPUTED_VALUE"""),"Outside")</f>
        <v>Outside</v>
      </c>
      <c r="AO397" s="8" t="str">
        <f ca="1">IFERROR(__xludf.DUMMYFUNCTION("""COMPUTED_VALUE"""),"No")</f>
        <v>No</v>
      </c>
      <c r="AP397" s="8" t="str">
        <f ca="1">IFERROR(__xludf.DUMMYFUNCTION("""COMPUTED_VALUE"""),"No")</f>
        <v>No</v>
      </c>
      <c r="AQ397" s="8"/>
      <c r="AR397" s="8" t="str">
        <f ca="1">IFERROR(__xludf.DUMMYFUNCTION("""COMPUTED_VALUE"""),"Outside/Off-Property")</f>
        <v>Outside/Off-Property</v>
      </c>
      <c r="AS397" s="8">
        <f ca="1">IFERROR(__xludf.DUMMYFUNCTION("""COMPUTED_VALUE"""),99)</f>
        <v>99</v>
      </c>
      <c r="AT397" s="8" t="str">
        <f ca="1">IFERROR(__xludf.DUMMYFUNCTION("""COMPUTED_VALUE"""),"Yes")</f>
        <v>Yes</v>
      </c>
      <c r="AU397" s="8">
        <f ca="1">IFERROR(__xludf.DUMMYFUNCTION("""COMPUTED_VALUE"""),38.447705)</f>
        <v>38.447704999999999</v>
      </c>
      <c r="AV397" s="8">
        <f ca="1">IFERROR(__xludf.DUMMYFUNCTION("""COMPUTED_VALUE"""),-81.91009)</f>
        <v>-81.910089999999997</v>
      </c>
      <c r="AW397" s="8" t="str">
        <f ca="1">IFERROR(__xludf.DUMMYFUNCTION("""COMPUTED_VALUE"""),"Multiple attached buildings")</f>
        <v>Multiple attached buildings</v>
      </c>
      <c r="AX397" s="8">
        <f ca="1">IFERROR(__xludf.DUMMYFUNCTION("""COMPUTED_VALUE"""),25560)</f>
        <v>25560</v>
      </c>
    </row>
    <row r="398" spans="1:50" ht="90" x14ac:dyDescent="0.2">
      <c r="A398" s="8" t="str">
        <f ca="1">IFERROR(__xludf.DUMMYFUNCTION("""COMPUTED_VALUE"""),"20240426TNNON")</f>
        <v>20240426TNNON</v>
      </c>
      <c r="B398" s="8">
        <f ca="1">IFERROR(__xludf.DUMMYFUNCTION("""COMPUTED_VALUE"""),4)</f>
        <v>4</v>
      </c>
      <c r="C398" s="8">
        <f ca="1">IFERROR(__xludf.DUMMYFUNCTION("""COMPUTED_VALUE"""),26)</f>
        <v>26</v>
      </c>
      <c r="D398" s="8">
        <f ca="1">IFERROR(__xludf.DUMMYFUNCTION("""COMPUTED_VALUE"""),2024)</f>
        <v>2024</v>
      </c>
      <c r="E398" s="9">
        <f ca="1">IFERROR(__xludf.DUMMYFUNCTION("""COMPUTED_VALUE"""),45408)</f>
        <v>45408</v>
      </c>
      <c r="F398" s="8" t="str">
        <f ca="1">IFERROR(__xludf.DUMMYFUNCTION("""COMPUTED_VALUE"""),"Northview Middle School")</f>
        <v>Northview Middle School</v>
      </c>
      <c r="G398" s="8">
        <f ca="1">IFERROR(__xludf.DUMMYFUNCTION("""COMPUTED_VALUE"""),0)</f>
        <v>0</v>
      </c>
      <c r="H398" s="8">
        <f ca="1">IFERROR(__xludf.DUMMYFUNCTION("""COMPUTED_VALUE"""),0)</f>
        <v>0</v>
      </c>
      <c r="I398" s="8">
        <f ca="1">IFERROR(__xludf.DUMMYFUNCTION("""COMPUTED_VALUE"""),0)</f>
        <v>0</v>
      </c>
      <c r="J398" s="8">
        <f ca="1">IFERROR(__xludf.DUMMYFUNCTION("""COMPUTED_VALUE"""),0)</f>
        <v>0</v>
      </c>
      <c r="K398" s="8" t="str">
        <f ca="1">IFERROR(__xludf.DUMMYFUNCTION("""COMPUTED_VALUE"""),"https://www.wbbjtv.com/2024/04/29/man-arrested-after-brandishing-firearm-on-school-property/
https://www.stategazette.com/story/3038315.html")</f>
        <v>https://www.wbbjtv.com/2024/04/29/man-arrested-after-brandishing-firearm-on-school-property/
https://www.stategazette.com/story/3038315.html</v>
      </c>
      <c r="L398" s="8">
        <f ca="1">IFERROR(__xludf.DUMMYFUNCTION("""COMPUTED_VALUE"""),2)</f>
        <v>2</v>
      </c>
      <c r="M398" s="8" t="str">
        <f ca="1">IFERROR(__xludf.DUMMYFUNCTION("""COMPUTED_VALUE"""),"Local")</f>
        <v>Local</v>
      </c>
      <c r="N398" s="8">
        <f ca="1">IFERROR(__xludf.DUMMYFUNCTION("""COMPUTED_VALUE"""),4)</f>
        <v>4</v>
      </c>
      <c r="O398" s="8" t="str">
        <f ca="1">IFERROR(__xludf.DUMMYFUNCTION("""COMPUTED_VALUE"""),"Spring")</f>
        <v>Spring</v>
      </c>
      <c r="P398" s="8" t="str">
        <f ca="1">IFERROR(__xludf.DUMMYFUNCTION("""COMPUTED_VALUE"""),"Newburn")</f>
        <v>Newburn</v>
      </c>
      <c r="Q398" s="8" t="str">
        <f ca="1">IFERROR(__xludf.DUMMYFUNCTION("""COMPUTED_VALUE"""),"TN")</f>
        <v>TN</v>
      </c>
      <c r="R398" s="8" t="str">
        <f ca="1">IFERROR(__xludf.DUMMYFUNCTION("""COMPUTED_VALUE"""),"Middle")</f>
        <v>Middle</v>
      </c>
      <c r="S398" s="8" t="str">
        <f ca="1">IFERROR(__xludf.DUMMYFUNCTION("""COMPUTED_VALUE"""),"Parking Lot")</f>
        <v>Parking Lot</v>
      </c>
      <c r="T398" s="8" t="str">
        <f ca="1">IFERROR(__xludf.DUMMYFUNCTION("""COMPUTED_VALUE"""),"Outside on School Property")</f>
        <v>Outside on School Property</v>
      </c>
      <c r="U398" s="8" t="str">
        <f ca="1">IFERROR(__xludf.DUMMYFUNCTION("""COMPUTED_VALUE"""),"Yes")</f>
        <v>Yes</v>
      </c>
      <c r="V398" s="8" t="str">
        <f ca="1">IFERROR(__xludf.DUMMYFUNCTION("""COMPUTED_VALUE"""),"Morning Classes")</f>
        <v>Morning Classes</v>
      </c>
      <c r="W398" s="8"/>
      <c r="X398" s="8">
        <f ca="1">IFERROR(__xludf.DUMMYFUNCTION("""COMPUTED_VALUE"""),1)</f>
        <v>1</v>
      </c>
      <c r="Y398" s="12" t="str">
        <f ca="1">IFERROR(__xludf.DUMMYFUNCTION("""COMPUTED_VALUE"""),"Man brandished gun in school parking lot")</f>
        <v>Man brandished gun in school parking lot</v>
      </c>
      <c r="Z398" s="12" t="str">
        <f ca="1">IFERROR(__xludf.DUMMYFUNCTION("""COMPUTED_VALUE"""),"Friday, a man was seen brandishing a handgun from his vehicle in the parking lot of Northview Middle School. The school was then placed on lockdown and police began trying to identify and locate the individual. He was placed under arrest and charged with "&amp;"aggravated assault and carrying a firearm on school property.")</f>
        <v>Friday, a man was seen brandishing a handgun from his vehicle in the parking lot of Northview Middle School. The school was then placed on lockdown and police began trying to identify and locate the individual. He was placed under arrest and charged with aggravated assault and carrying a firearm on school property.</v>
      </c>
      <c r="AA398" s="8" t="str">
        <f ca="1">IFERROR(__xludf.DUMMYFUNCTION("""COMPUTED_VALUE"""),"Drive-by Shooting")</f>
        <v>Drive-by Shooting</v>
      </c>
      <c r="AB398" s="8"/>
      <c r="AC398" s="8" t="str">
        <f ca="1">IFERROR(__xludf.DUMMYFUNCTION("""COMPUTED_VALUE"""),"Yes")</f>
        <v>Yes</v>
      </c>
      <c r="AD398" s="8"/>
      <c r="AE398" s="8" t="str">
        <f ca="1">IFERROR(__xludf.DUMMYFUNCTION("""COMPUTED_VALUE"""),"No")</f>
        <v>No</v>
      </c>
      <c r="AF398" s="8"/>
      <c r="AG398" s="8" t="str">
        <f ca="1">IFERROR(__xludf.DUMMYFUNCTION("""COMPUTED_VALUE"""),"No")</f>
        <v>No</v>
      </c>
      <c r="AH398" s="8" t="str">
        <f ca="1">IFERROR(__xludf.DUMMYFUNCTION("""COMPUTED_VALUE"""),"No")</f>
        <v>No</v>
      </c>
      <c r="AI398" s="8" t="str">
        <f ca="1">IFERROR(__xludf.DUMMYFUNCTION("""COMPUTED_VALUE"""),"No")</f>
        <v>No</v>
      </c>
      <c r="AJ398" s="8" t="str">
        <f ca="1">IFERROR(__xludf.DUMMYFUNCTION("""COMPUTED_VALUE"""),"No")</f>
        <v>No</v>
      </c>
      <c r="AK398" s="8" t="str">
        <f ca="1">IFERROR(__xludf.DUMMYFUNCTION("""COMPUTED_VALUE"""),"No")</f>
        <v>No</v>
      </c>
      <c r="AL398" s="8" t="str">
        <f ca="1">IFERROR(__xludf.DUMMYFUNCTION("""COMPUTED_VALUE"""),"No")</f>
        <v>No</v>
      </c>
      <c r="AM398" s="8" t="str">
        <f ca="1">IFERROR(__xludf.DUMMYFUNCTION("""COMPUTED_VALUE"""),"No")</f>
        <v>No</v>
      </c>
      <c r="AN398" s="8" t="str">
        <f ca="1">IFERROR(__xludf.DUMMYFUNCTION("""COMPUTED_VALUE"""),"Outside")</f>
        <v>Outside</v>
      </c>
      <c r="AO398" s="8" t="str">
        <f ca="1">IFERROR(__xludf.DUMMYFUNCTION("""COMPUTED_VALUE"""),"No")</f>
        <v>No</v>
      </c>
      <c r="AP398" s="8"/>
      <c r="AQ398" s="8"/>
      <c r="AR398" s="8" t="str">
        <f ca="1">IFERROR(__xludf.DUMMYFUNCTION("""COMPUTED_VALUE"""),"Outside/Off-Property")</f>
        <v>Outside/Off-Property</v>
      </c>
      <c r="AS398" s="8">
        <f ca="1">IFERROR(__xludf.DUMMYFUNCTION("""COMPUTED_VALUE"""),0)</f>
        <v>0</v>
      </c>
      <c r="AT398" s="8" t="str">
        <f ca="1">IFERROR(__xludf.DUMMYFUNCTION("""COMPUTED_VALUE"""),"Yes")</f>
        <v>Yes</v>
      </c>
      <c r="AU398" s="8">
        <f ca="1">IFERROR(__xludf.DUMMYFUNCTION("""COMPUTED_VALUE"""),36.113769)</f>
        <v>36.113768999999998</v>
      </c>
      <c r="AV398" s="8">
        <f ca="1">IFERROR(__xludf.DUMMYFUNCTION("""COMPUTED_VALUE"""),-89.28394)</f>
        <v>-89.283940000000001</v>
      </c>
      <c r="AW398" s="8" t="str">
        <f ca="1">IFERROR(__xludf.DUMMYFUNCTION("""COMPUTED_VALUE"""),"Single building indoor hallway")</f>
        <v>Single building indoor hallway</v>
      </c>
      <c r="AX398" s="8">
        <f ca="1">IFERROR(__xludf.DUMMYFUNCTION("""COMPUTED_VALUE"""),38059)</f>
        <v>38059</v>
      </c>
    </row>
    <row r="399" spans="1:50" ht="300" x14ac:dyDescent="0.2">
      <c r="A399" s="8" t="str">
        <f ca="1">IFERROR(__xludf.DUMMYFUNCTION("""COMPUTED_VALUE"""),"20240424CAMIC")</f>
        <v>20240424CAMIC</v>
      </c>
      <c r="B399" s="8">
        <f ca="1">IFERROR(__xludf.DUMMYFUNCTION("""COMPUTED_VALUE"""),4)</f>
        <v>4</v>
      </c>
      <c r="C399" s="8">
        <f ca="1">IFERROR(__xludf.DUMMYFUNCTION("""COMPUTED_VALUE"""),24)</f>
        <v>24</v>
      </c>
      <c r="D399" s="8">
        <f ca="1">IFERROR(__xludf.DUMMYFUNCTION("""COMPUTED_VALUE"""),2024)</f>
        <v>2024</v>
      </c>
      <c r="E399" s="9">
        <f ca="1">IFERROR(__xludf.DUMMYFUNCTION("""COMPUTED_VALUE"""),45406)</f>
        <v>45406</v>
      </c>
      <c r="F399" s="8" t="str">
        <f ca="1">IFERROR(__xludf.DUMMYFUNCTION("""COMPUTED_VALUE"""),"Mint Canyon Community School")</f>
        <v>Mint Canyon Community School</v>
      </c>
      <c r="G399" s="8">
        <f ca="1">IFERROR(__xludf.DUMMYFUNCTION("""COMPUTED_VALUE"""),0)</f>
        <v>0</v>
      </c>
      <c r="H399" s="8">
        <f ca="1">IFERROR(__xludf.DUMMYFUNCTION("""COMPUTED_VALUE"""),0)</f>
        <v>0</v>
      </c>
      <c r="I399" s="8">
        <f ca="1">IFERROR(__xludf.DUMMYFUNCTION("""COMPUTED_VALUE"""),0)</f>
        <v>0</v>
      </c>
      <c r="J399" s="8">
        <f ca="1">IFERROR(__xludf.DUMMYFUNCTION("""COMPUTED_VALUE"""),0)</f>
        <v>0</v>
      </c>
      <c r="K399" s="10" t="str">
        <f ca="1">IFERROR(__xludf.DUMMYFUNCTION("""COMPUTED_VALUE"""),"https://signalscv.com/2024/04/school-on-lockdown-after-reports-of-pellet-gun-attack/")</f>
        <v>https://signalscv.com/2024/04/school-on-lockdown-after-reports-of-pellet-gun-attack/</v>
      </c>
      <c r="L399" s="8">
        <f ca="1">IFERROR(__xludf.DUMMYFUNCTION("""COMPUTED_VALUE"""),10)</f>
        <v>10</v>
      </c>
      <c r="M399" s="8" t="str">
        <f ca="1">IFERROR(__xludf.DUMMYFUNCTION("""COMPUTED_VALUE"""),"Local")</f>
        <v>Local</v>
      </c>
      <c r="N399" s="8">
        <f ca="1">IFERROR(__xludf.DUMMYFUNCTION("""COMPUTED_VALUE"""),4)</f>
        <v>4</v>
      </c>
      <c r="O399" s="8" t="str">
        <f ca="1">IFERROR(__xludf.DUMMYFUNCTION("""COMPUTED_VALUE"""),"Spring")</f>
        <v>Spring</v>
      </c>
      <c r="P399" s="8" t="str">
        <f ca="1">IFERROR(__xludf.DUMMYFUNCTION("""COMPUTED_VALUE"""),"Canyon Country")</f>
        <v>Canyon Country</v>
      </c>
      <c r="Q399" s="8" t="str">
        <f ca="1">IFERROR(__xludf.DUMMYFUNCTION("""COMPUTED_VALUE"""),"CA")</f>
        <v>CA</v>
      </c>
      <c r="R399" s="8" t="str">
        <f ca="1">IFERROR(__xludf.DUMMYFUNCTION("""COMPUTED_VALUE"""),"Elementary")</f>
        <v>Elementary</v>
      </c>
      <c r="S399" s="8" t="str">
        <f ca="1">IFERROR(__xludf.DUMMYFUNCTION("""COMPUTED_VALUE"""),"Outside on School Property")</f>
        <v>Outside on School Property</v>
      </c>
      <c r="T399" s="8" t="str">
        <f ca="1">IFERROR(__xludf.DUMMYFUNCTION("""COMPUTED_VALUE"""),"Outside on School Property")</f>
        <v>Outside on School Property</v>
      </c>
      <c r="U399" s="8" t="str">
        <f ca="1">IFERROR(__xludf.DUMMYFUNCTION("""COMPUTED_VALUE"""),"Yes")</f>
        <v>Yes</v>
      </c>
      <c r="V399" s="8" t="str">
        <f ca="1">IFERROR(__xludf.DUMMYFUNCTION("""COMPUTED_VALUE"""),"Morning Classes")</f>
        <v>Morning Classes</v>
      </c>
      <c r="W399" s="11">
        <f ca="1">IFERROR(__xludf.DUMMYFUNCTION("""COMPUTED_VALUE"""),0.416666666666666)</f>
        <v>0.41666666666666602</v>
      </c>
      <c r="X399" s="8">
        <f ca="1">IFERROR(__xludf.DUMMYFUNCTION("""COMPUTED_VALUE"""),1)</f>
        <v>1</v>
      </c>
      <c r="Y399" s="12" t="str">
        <f ca="1">IFERROR(__xludf.DUMMYFUNCTION("""COMPUTED_VALUE"""),"Man fired multiple shots at school with air rifle breaking windows, school went on lockdown")</f>
        <v>Man fired multiple shots at school with air rifle breaking windows, school went on lockdown</v>
      </c>
      <c r="Z399" s="12" t="str">
        <f ca="1">IFERROR(__xludf.DUMMYFUNCTION("""COMPUTED_VALUE"""),"Santa Clarita Valley Sheriff’s Station deputies arrested a suspect after investigating a pair of reports Wednesday of a man firing an Airsoft pellet gun at Mint Canyon Elementary School, which prompted an hour long lockdown of the campus. Deputies were on"&amp;" campus to investigate a campus report of a broken window and pellets found earlier that morning when they were flagged down by a school official who said, “‘He’s shooting at us again,’” according to Deputy Robert Jensen of the SCV Sheriff’s Station. The "&amp;"initial report from witnesses indicated the pellets were coming from a nearby mobile home park, but they did not indicate where the suspect was located. Ultimately, Kevin McGarry, 28, was arrested as the result of deputies’ initial investigation. His book"&amp;"ing charge was not immediately available, according to officials. After the suspect was in custody, SCV Sheriff’s Station deputies recovered several firearms during a search of the suspect’s home Wednesday, according to Station Capt. Justin Diez. No injur"&amp;"ies to students, campus staff or law enforcement officials were reported from the incident. ")</f>
        <v xml:space="preserve">Santa Clarita Valley Sheriff’s Station deputies arrested a suspect after investigating a pair of reports Wednesday of a man firing an Airsoft pellet gun at Mint Canyon Elementary School, which prompted an hour long lockdown of the campus. Deputies were on campus to investigate a campus report of a broken window and pellets found earlier that morning when they were flagged down by a school official who said, “‘He’s shooting at us again,’” according to Deputy Robert Jensen of the SCV Sheriff’s Station. The initial report from witnesses indicated the pellets were coming from a nearby mobile home park, but they did not indicate where the suspect was located. Ultimately, Kevin McGarry, 28, was arrested as the result of deputies’ initial investigation. His booking charge was not immediately available, according to officials. After the suspect was in custody, SCV Sheriff’s Station deputies recovered several firearms during a search of the suspect’s home Wednesday, according to Station Capt. Justin Diez. No injuries to students, campus staff or law enforcement officials were reported from the incident. </v>
      </c>
      <c r="AA399" s="8" t="str">
        <f ca="1">IFERROR(__xludf.DUMMYFUNCTION("""COMPUTED_VALUE"""),"Intentional Property Damage")</f>
        <v>Intentional Property Damage</v>
      </c>
      <c r="AB399" s="8"/>
      <c r="AC399" s="8" t="str">
        <f ca="1">IFERROR(__xludf.DUMMYFUNCTION("""COMPUTED_VALUE"""),"Yes")</f>
        <v>Yes</v>
      </c>
      <c r="AD399" s="8" t="str">
        <f ca="1">IFERROR(__xludf.DUMMYFUNCTION("""COMPUTED_VALUE"""),"Random Shooting")</f>
        <v>Random Shooting</v>
      </c>
      <c r="AE399" s="8" t="str">
        <f ca="1">IFERROR(__xludf.DUMMYFUNCTION("""COMPUTED_VALUE"""),"No")</f>
        <v>No</v>
      </c>
      <c r="AF399" s="8"/>
      <c r="AG399" s="8" t="str">
        <f ca="1">IFERROR(__xludf.DUMMYFUNCTION("""COMPUTED_VALUE"""),"No")</f>
        <v>No</v>
      </c>
      <c r="AH399" s="8" t="str">
        <f ca="1">IFERROR(__xludf.DUMMYFUNCTION("""COMPUTED_VALUE"""),"No")</f>
        <v>No</v>
      </c>
      <c r="AI399" s="8" t="str">
        <f ca="1">IFERROR(__xludf.DUMMYFUNCTION("""COMPUTED_VALUE"""),"No")</f>
        <v>No</v>
      </c>
      <c r="AJ399" s="8" t="str">
        <f ca="1">IFERROR(__xludf.DUMMYFUNCTION("""COMPUTED_VALUE"""),"No")</f>
        <v>No</v>
      </c>
      <c r="AK399" s="8" t="str">
        <f ca="1">IFERROR(__xludf.DUMMYFUNCTION("""COMPUTED_VALUE"""),"No")</f>
        <v>No</v>
      </c>
      <c r="AL399" s="8" t="str">
        <f ca="1">IFERROR(__xludf.DUMMYFUNCTION("""COMPUTED_VALUE"""),"No")</f>
        <v>No</v>
      </c>
      <c r="AM399" s="8" t="str">
        <f ca="1">IFERROR(__xludf.DUMMYFUNCTION("""COMPUTED_VALUE"""),"No")</f>
        <v>No</v>
      </c>
      <c r="AN399" s="8" t="str">
        <f ca="1">IFERROR(__xludf.DUMMYFUNCTION("""COMPUTED_VALUE"""),"Outside")</f>
        <v>Outside</v>
      </c>
      <c r="AO399" s="8" t="str">
        <f ca="1">IFERROR(__xludf.DUMMYFUNCTION("""COMPUTED_VALUE"""),"No")</f>
        <v>No</v>
      </c>
      <c r="AP399" s="8" t="str">
        <f ca="1">IFERROR(__xludf.DUMMYFUNCTION("""COMPUTED_VALUE"""),"No")</f>
        <v>No</v>
      </c>
      <c r="AQ399" s="8"/>
      <c r="AR399" s="8" t="str">
        <f ca="1">IFERROR(__xludf.DUMMYFUNCTION("""COMPUTED_VALUE"""),"Outside/Off-Property")</f>
        <v>Outside/Off-Property</v>
      </c>
      <c r="AS399" s="8">
        <f ca="1">IFERROR(__xludf.DUMMYFUNCTION("""COMPUTED_VALUE"""),99)</f>
        <v>99</v>
      </c>
      <c r="AT399" s="8" t="str">
        <f ca="1">IFERROR(__xludf.DUMMYFUNCTION("""COMPUTED_VALUE"""),"Yes")</f>
        <v>Yes</v>
      </c>
      <c r="AU399" s="8">
        <f ca="1">IFERROR(__xludf.DUMMYFUNCTION("""COMPUTED_VALUE"""),34.450672)</f>
        <v>34.450671999999997</v>
      </c>
      <c r="AV399" s="8">
        <f ca="1">IFERROR(__xludf.DUMMYFUNCTION("""COMPUTED_VALUE"""),-118.420317)</f>
        <v>-118.420317</v>
      </c>
      <c r="AW399" s="8" t="str">
        <f ca="1">IFERROR(__xludf.DUMMYFUNCTION("""COMPUTED_VALUE"""),"Single building indoor hallway")</f>
        <v>Single building indoor hallway</v>
      </c>
      <c r="AX399" s="8">
        <f ca="1">IFERROR(__xludf.DUMMYFUNCTION("""COMPUTED_VALUE"""),91351)</f>
        <v>91351</v>
      </c>
    </row>
    <row r="400" spans="1:50" ht="90" x14ac:dyDescent="0.2">
      <c r="A400" s="8" t="str">
        <f ca="1">IFERROR(__xludf.DUMMYFUNCTION("""COMPUTED_VALUE"""),"20240424ORGRD")</f>
        <v>20240424ORGRD</v>
      </c>
      <c r="B400" s="8">
        <f ca="1">IFERROR(__xludf.DUMMYFUNCTION("""COMPUTED_VALUE"""),4)</f>
        <v>4</v>
      </c>
      <c r="C400" s="8">
        <f ca="1">IFERROR(__xludf.DUMMYFUNCTION("""COMPUTED_VALUE"""),24)</f>
        <v>24</v>
      </c>
      <c r="D400" s="8">
        <f ca="1">IFERROR(__xludf.DUMMYFUNCTION("""COMPUTED_VALUE"""),2024)</f>
        <v>2024</v>
      </c>
      <c r="E400" s="9">
        <f ca="1">IFERROR(__xludf.DUMMYFUNCTION("""COMPUTED_VALUE"""),45406)</f>
        <v>45406</v>
      </c>
      <c r="F400" s="8" t="str">
        <f ca="1">IFERROR(__xludf.DUMMYFUNCTION("""COMPUTED_VALUE"""),"Gresham-Barlow School District")</f>
        <v>Gresham-Barlow School District</v>
      </c>
      <c r="G400" s="8">
        <f ca="1">IFERROR(__xludf.DUMMYFUNCTION("""COMPUTED_VALUE"""),0)</f>
        <v>0</v>
      </c>
      <c r="H400" s="8">
        <f ca="1">IFERROR(__xludf.DUMMYFUNCTION("""COMPUTED_VALUE"""),0)</f>
        <v>0</v>
      </c>
      <c r="I400" s="8">
        <f ca="1">IFERROR(__xludf.DUMMYFUNCTION("""COMPUTED_VALUE"""),0)</f>
        <v>0</v>
      </c>
      <c r="J400" s="8">
        <f ca="1">IFERROR(__xludf.DUMMYFUNCTION("""COMPUTED_VALUE"""),0)</f>
        <v>0</v>
      </c>
      <c r="K400" s="10" t="str">
        <f ca="1">IFERROR(__xludf.DUMMYFUNCTION("""COMPUTED_VALUE"""),"https://www.theoutlookonline.com/news/gresham-police-say-teen-shot-school-buses-with-pellet-gun/article_3e579b16-029d-11ef-8605-87b45686d022.html")</f>
        <v>https://www.theoutlookonline.com/news/gresham-police-say-teen-shot-school-buses-with-pellet-gun/article_3e579b16-029d-11ef-8605-87b45686d022.html</v>
      </c>
      <c r="L400" s="8">
        <f ca="1">IFERROR(__xludf.DUMMYFUNCTION("""COMPUTED_VALUE"""),10)</f>
        <v>10</v>
      </c>
      <c r="M400" s="8" t="str">
        <f ca="1">IFERROR(__xludf.DUMMYFUNCTION("""COMPUTED_VALUE"""),"Local")</f>
        <v>Local</v>
      </c>
      <c r="N400" s="8">
        <f ca="1">IFERROR(__xludf.DUMMYFUNCTION("""COMPUTED_VALUE"""),4)</f>
        <v>4</v>
      </c>
      <c r="O400" s="8" t="str">
        <f ca="1">IFERROR(__xludf.DUMMYFUNCTION("""COMPUTED_VALUE"""),"Spring")</f>
        <v>Spring</v>
      </c>
      <c r="P400" s="8" t="str">
        <f ca="1">IFERROR(__xludf.DUMMYFUNCTION("""COMPUTED_VALUE"""),"Damascus")</f>
        <v>Damascus</v>
      </c>
      <c r="Q400" s="8" t="str">
        <f ca="1">IFERROR(__xludf.DUMMYFUNCTION("""COMPUTED_VALUE"""),"OR")</f>
        <v>OR</v>
      </c>
      <c r="R400" s="8"/>
      <c r="S400" s="8" t="str">
        <f ca="1">IFERROR(__xludf.DUMMYFUNCTION("""COMPUTED_VALUE"""),"School Bus")</f>
        <v>School Bus</v>
      </c>
      <c r="T400" s="8" t="str">
        <f ca="1">IFERROR(__xludf.DUMMYFUNCTION("""COMPUTED_VALUE"""),"School Bus")</f>
        <v>School Bus</v>
      </c>
      <c r="U400" s="8" t="str">
        <f ca="1">IFERROR(__xludf.DUMMYFUNCTION("""COMPUTED_VALUE"""),"Yes")</f>
        <v>Yes</v>
      </c>
      <c r="V400" s="8" t="str">
        <f ca="1">IFERROR(__xludf.DUMMYFUNCTION("""COMPUTED_VALUE"""),"Afternoon Classes")</f>
        <v>Afternoon Classes</v>
      </c>
      <c r="W400" s="11">
        <f ca="1">IFERROR(__xludf.DUMMYFUNCTION("""COMPUTED_VALUE"""),0.604166666666666)</f>
        <v>0.60416666666666596</v>
      </c>
      <c r="X400" s="8">
        <f ca="1">IFERROR(__xludf.DUMMYFUNCTION("""COMPUTED_VALUE"""),1)</f>
        <v>1</v>
      </c>
      <c r="Y400" s="12" t="str">
        <f ca="1">IFERROR(__xludf.DUMMYFUNCTION("""COMPUTED_VALUE"""),"Teen shot the windows of 7 different school buses driving to the school before dismissal")</f>
        <v>Teen shot the windows of 7 different school buses driving to the school before dismissal</v>
      </c>
      <c r="Z400" s="12" t="str">
        <f ca="1">IFERROR(__xludf.DUMMYFUNCTION("""COMPUTED_VALUE"""),"Teen shot the windows of 7 different school buses driving to the school before dismissal. School bus drivers realized what was happening and rerouted other buses.")</f>
        <v>Teen shot the windows of 7 different school buses driving to the school before dismissal. School bus drivers realized what was happening and rerouted other buses.</v>
      </c>
      <c r="AA400" s="8" t="str">
        <f ca="1">IFERROR(__xludf.DUMMYFUNCTION("""COMPUTED_VALUE"""),"Intentional Property Damage")</f>
        <v>Intentional Property Damage</v>
      </c>
      <c r="AB400" s="8" t="str">
        <f ca="1">IFERROR(__xludf.DUMMYFUNCTION("""COMPUTED_VALUE"""),"Targeted")</f>
        <v>Targeted</v>
      </c>
      <c r="AC400" s="8" t="str">
        <f ca="1">IFERROR(__xludf.DUMMYFUNCTION("""COMPUTED_VALUE"""),"Yes")</f>
        <v>Yes</v>
      </c>
      <c r="AD400" s="8" t="str">
        <f ca="1">IFERROR(__xludf.DUMMYFUNCTION("""COMPUTED_VALUE"""),"Random Shooting")</f>
        <v>Random Shooting</v>
      </c>
      <c r="AE400" s="8" t="str">
        <f ca="1">IFERROR(__xludf.DUMMYFUNCTION("""COMPUTED_VALUE"""),"No")</f>
        <v>No</v>
      </c>
      <c r="AF400" s="8"/>
      <c r="AG400" s="8" t="str">
        <f ca="1">IFERROR(__xludf.DUMMYFUNCTION("""COMPUTED_VALUE"""),"No")</f>
        <v>No</v>
      </c>
      <c r="AH400" s="8" t="str">
        <f ca="1">IFERROR(__xludf.DUMMYFUNCTION("""COMPUTED_VALUE"""),"No")</f>
        <v>No</v>
      </c>
      <c r="AI400" s="8" t="str">
        <f ca="1">IFERROR(__xludf.DUMMYFUNCTION("""COMPUTED_VALUE"""),"No")</f>
        <v>No</v>
      </c>
      <c r="AJ400" s="8" t="str">
        <f ca="1">IFERROR(__xludf.DUMMYFUNCTION("""COMPUTED_VALUE"""),"No")</f>
        <v>No</v>
      </c>
      <c r="AK400" s="8" t="str">
        <f ca="1">IFERROR(__xludf.DUMMYFUNCTION("""COMPUTED_VALUE"""),"No")</f>
        <v>No</v>
      </c>
      <c r="AL400" s="8" t="str">
        <f ca="1">IFERROR(__xludf.DUMMYFUNCTION("""COMPUTED_VALUE"""),"No")</f>
        <v>No</v>
      </c>
      <c r="AM400" s="8" t="str">
        <f ca="1">IFERROR(__xludf.DUMMYFUNCTION("""COMPUTED_VALUE"""),"No")</f>
        <v>No</v>
      </c>
      <c r="AN400" s="8" t="str">
        <f ca="1">IFERROR(__xludf.DUMMYFUNCTION("""COMPUTED_VALUE"""),"Outside")</f>
        <v>Outside</v>
      </c>
      <c r="AO400" s="8" t="str">
        <f ca="1">IFERROR(__xludf.DUMMYFUNCTION("""COMPUTED_VALUE"""),"No")</f>
        <v>No</v>
      </c>
      <c r="AP400" s="8"/>
      <c r="AQ400" s="8"/>
      <c r="AR400" s="8" t="str">
        <f ca="1">IFERROR(__xludf.DUMMYFUNCTION("""COMPUTED_VALUE"""),"Outside/Off-Property")</f>
        <v>Outside/Off-Property</v>
      </c>
      <c r="AS400" s="8">
        <f ca="1">IFERROR(__xludf.DUMMYFUNCTION("""COMPUTED_VALUE"""),99)</f>
        <v>99</v>
      </c>
      <c r="AT400" s="8" t="str">
        <f ca="1">IFERROR(__xludf.DUMMYFUNCTION("""COMPUTED_VALUE"""),"No")</f>
        <v>No</v>
      </c>
      <c r="AU400" s="8">
        <f ca="1">IFERROR(__xludf.DUMMYFUNCTION("""COMPUTED_VALUE"""),45.420275)</f>
        <v>45.420274999999997</v>
      </c>
      <c r="AV400" s="8">
        <f ca="1">IFERROR(__xludf.DUMMYFUNCTION("""COMPUTED_VALUE"""),-122.414325)</f>
        <v>-122.41432500000001</v>
      </c>
      <c r="AW400" s="8" t="str">
        <f ca="1">IFERROR(__xludf.DUMMYFUNCTION("""COMPUTED_VALUE"""),"Single building indoor hallway")</f>
        <v>Single building indoor hallway</v>
      </c>
      <c r="AX400" s="8">
        <f ca="1">IFERROR(__xludf.DUMMYFUNCTION("""COMPUTED_VALUE"""),97080)</f>
        <v>97080</v>
      </c>
    </row>
    <row r="401" spans="1:50" ht="60" x14ac:dyDescent="0.2">
      <c r="A401" s="8" t="str">
        <f ca="1">IFERROR(__xludf.DUMMYFUNCTION("""COMPUTED_VALUE"""),"20240424TXBOA")</f>
        <v>20240424TXBOA</v>
      </c>
      <c r="B401" s="8">
        <f ca="1">IFERROR(__xludf.DUMMYFUNCTION("""COMPUTED_VALUE"""),4)</f>
        <v>4</v>
      </c>
      <c r="C401" s="8">
        <f ca="1">IFERROR(__xludf.DUMMYFUNCTION("""COMPUTED_VALUE"""),24)</f>
        <v>24</v>
      </c>
      <c r="D401" s="8">
        <f ca="1">IFERROR(__xludf.DUMMYFUNCTION("""COMPUTED_VALUE"""),2024)</f>
        <v>2024</v>
      </c>
      <c r="E401" s="9">
        <f ca="1">IFERROR(__xludf.DUMMYFUNCTION("""COMPUTED_VALUE"""),45406)</f>
        <v>45406</v>
      </c>
      <c r="F401" s="8" t="str">
        <f ca="1">IFERROR(__xludf.DUMMYFUNCTION("""COMPUTED_VALUE"""),"Bowie High School")</f>
        <v>Bowie High School</v>
      </c>
      <c r="G401" s="8">
        <f ca="1">IFERROR(__xludf.DUMMYFUNCTION("""COMPUTED_VALUE"""),1)</f>
        <v>1</v>
      </c>
      <c r="H401" s="8">
        <f ca="1">IFERROR(__xludf.DUMMYFUNCTION("""COMPUTED_VALUE"""),0)</f>
        <v>0</v>
      </c>
      <c r="I401" s="8">
        <f ca="1">IFERROR(__xludf.DUMMYFUNCTION("""COMPUTED_VALUE"""),1)</f>
        <v>1</v>
      </c>
      <c r="J401" s="8">
        <f ca="1">IFERROR(__xludf.DUMMYFUNCTION("""COMPUTED_VALUE"""),0)</f>
        <v>0</v>
      </c>
      <c r="K401" s="10" t="str">
        <f ca="1">IFERROR(__xludf.DUMMYFUNCTION("""COMPUTED_VALUE"""),"https://www.fox4news.com/news/arlington-bowie-high-school-lockdown")</f>
        <v>https://www.fox4news.com/news/arlington-bowie-high-school-lockdown</v>
      </c>
      <c r="L401" s="8">
        <f ca="1">IFERROR(__xludf.DUMMYFUNCTION("""COMPUTED_VALUE"""),20)</f>
        <v>20</v>
      </c>
      <c r="M401" s="8" t="str">
        <f ca="1">IFERROR(__xludf.DUMMYFUNCTION("""COMPUTED_VALUE"""),"Regional")</f>
        <v>Regional</v>
      </c>
      <c r="N401" s="8">
        <f ca="1">IFERROR(__xludf.DUMMYFUNCTION("""COMPUTED_VALUE"""),4)</f>
        <v>4</v>
      </c>
      <c r="O401" s="8" t="str">
        <f ca="1">IFERROR(__xludf.DUMMYFUNCTION("""COMPUTED_VALUE"""),"Spring")</f>
        <v>Spring</v>
      </c>
      <c r="P401" s="8" t="str">
        <f ca="1">IFERROR(__xludf.DUMMYFUNCTION("""COMPUTED_VALUE"""),"Arlington")</f>
        <v>Arlington</v>
      </c>
      <c r="Q401" s="8" t="str">
        <f ca="1">IFERROR(__xludf.DUMMYFUNCTION("""COMPUTED_VALUE"""),"TX")</f>
        <v>TX</v>
      </c>
      <c r="R401" s="8" t="str">
        <f ca="1">IFERROR(__xludf.DUMMYFUNCTION("""COMPUTED_VALUE"""),"High")</f>
        <v>High</v>
      </c>
      <c r="S401" s="8" t="str">
        <f ca="1">IFERROR(__xludf.DUMMYFUNCTION("""COMPUTED_VALUE"""),"Beside Building")</f>
        <v>Beside Building</v>
      </c>
      <c r="T401" s="8" t="str">
        <f ca="1">IFERROR(__xludf.DUMMYFUNCTION("""COMPUTED_VALUE"""),"Outside on School Property")</f>
        <v>Outside on School Property</v>
      </c>
      <c r="U401" s="8" t="str">
        <f ca="1">IFERROR(__xludf.DUMMYFUNCTION("""COMPUTED_VALUE"""),"Yes")</f>
        <v>Yes</v>
      </c>
      <c r="V401" s="8" t="str">
        <f ca="1">IFERROR(__xludf.DUMMYFUNCTION("""COMPUTED_VALUE"""),"Afternoon Classes")</f>
        <v>Afternoon Classes</v>
      </c>
      <c r="W401" s="11">
        <f ca="1">IFERROR(__xludf.DUMMYFUNCTION("""COMPUTED_VALUE"""),0.618055555555555)</f>
        <v>0.61805555555555503</v>
      </c>
      <c r="X401" s="8">
        <f ca="1">IFERROR(__xludf.DUMMYFUNCTION("""COMPUTED_VALUE"""),1)</f>
        <v>1</v>
      </c>
      <c r="Y401" s="12" t="str">
        <f ca="1">IFERROR(__xludf.DUMMYFUNCTION("""COMPUTED_VALUE"""),"Student fatally shot by classmate outside of portable classroom building")</f>
        <v>Student fatally shot by classmate outside of portable classroom building</v>
      </c>
      <c r="Z401" s="12" t="str">
        <f ca="1">IFERROR(__xludf.DUMMYFUNCTION("""COMPUTED_VALUE"""),"An 18-year-old student was shot 5-6 times by a 17-year-old student. The shooter fled and was arrested off campus. The victim died at the hospital. School went on lockdown and after school activities were cancelled.")</f>
        <v>An 18-year-old student was shot 5-6 times by a 17-year-old student. The shooter fled and was arrested off campus. The victim died at the hospital. School went on lockdown and after school activities were cancelled.</v>
      </c>
      <c r="AA401" s="8"/>
      <c r="AB401" s="8" t="str">
        <f ca="1">IFERROR(__xludf.DUMMYFUNCTION("""COMPUTED_VALUE"""),"Targeted")</f>
        <v>Targeted</v>
      </c>
      <c r="AC401" s="8" t="str">
        <f ca="1">IFERROR(__xludf.DUMMYFUNCTION("""COMPUTED_VALUE"""),"Yes")</f>
        <v>Yes</v>
      </c>
      <c r="AD401" s="8" t="str">
        <f ca="1">IFERROR(__xludf.DUMMYFUNCTION("""COMPUTED_VALUE"""),"Victims Targeted")</f>
        <v>Victims Targeted</v>
      </c>
      <c r="AE401" s="8" t="str">
        <f ca="1">IFERROR(__xludf.DUMMYFUNCTION("""COMPUTED_VALUE"""),"No")</f>
        <v>No</v>
      </c>
      <c r="AF401" s="8"/>
      <c r="AG401" s="8" t="str">
        <f ca="1">IFERROR(__xludf.DUMMYFUNCTION("""COMPUTED_VALUE"""),"No")</f>
        <v>No</v>
      </c>
      <c r="AH401" s="8" t="str">
        <f ca="1">IFERROR(__xludf.DUMMYFUNCTION("""COMPUTED_VALUE"""),"No")</f>
        <v>No</v>
      </c>
      <c r="AI401" s="8" t="str">
        <f ca="1">IFERROR(__xludf.DUMMYFUNCTION("""COMPUTED_VALUE"""),"No")</f>
        <v>No</v>
      </c>
      <c r="AJ401" s="8" t="str">
        <f ca="1">IFERROR(__xludf.DUMMYFUNCTION("""COMPUTED_VALUE"""),"No")</f>
        <v>No</v>
      </c>
      <c r="AK401" s="8" t="str">
        <f ca="1">IFERROR(__xludf.DUMMYFUNCTION("""COMPUTED_VALUE"""),"No")</f>
        <v>No</v>
      </c>
      <c r="AL401" s="8"/>
      <c r="AM401" s="8" t="str">
        <f ca="1">IFERROR(__xludf.DUMMYFUNCTION("""COMPUTED_VALUE"""),"No")</f>
        <v>No</v>
      </c>
      <c r="AN401" s="8" t="str">
        <f ca="1">IFERROR(__xludf.DUMMYFUNCTION("""COMPUTED_VALUE"""),"Outside")</f>
        <v>Outside</v>
      </c>
      <c r="AO401" s="8" t="str">
        <f ca="1">IFERROR(__xludf.DUMMYFUNCTION("""COMPUTED_VALUE"""),"No")</f>
        <v>No</v>
      </c>
      <c r="AP401" s="8" t="str">
        <f ca="1">IFERROR(__xludf.DUMMYFUNCTION("""COMPUTED_VALUE"""),"Yes")</f>
        <v>Yes</v>
      </c>
      <c r="AQ401" s="8"/>
      <c r="AR401" s="8" t="str">
        <f ca="1">IFERROR(__xludf.DUMMYFUNCTION("""COMPUTED_VALUE"""),"Outside/Off-Property")</f>
        <v>Outside/Off-Property</v>
      </c>
      <c r="AS401" s="8">
        <f ca="1">IFERROR(__xludf.DUMMYFUNCTION("""COMPUTED_VALUE"""),6)</f>
        <v>6</v>
      </c>
      <c r="AT401" s="8" t="str">
        <f ca="1">IFERROR(__xludf.DUMMYFUNCTION("""COMPUTED_VALUE"""),"Yes")</f>
        <v>Yes</v>
      </c>
      <c r="AU401" s="8">
        <f ca="1">IFERROR(__xludf.DUMMYFUNCTION("""COMPUTED_VALUE"""),32.66329)</f>
        <v>32.663290000000003</v>
      </c>
      <c r="AV401" s="8">
        <f ca="1">IFERROR(__xludf.DUMMYFUNCTION("""COMPUTED_VALUE"""),-97.074059)</f>
        <v>-97.074059000000005</v>
      </c>
      <c r="AW401" s="8" t="str">
        <f ca="1">IFERROR(__xludf.DUMMYFUNCTION("""COMPUTED_VALUE"""),"Multiple detached buildings")</f>
        <v>Multiple detached buildings</v>
      </c>
      <c r="AX401" s="8">
        <f ca="1">IFERROR(__xludf.DUMMYFUNCTION("""COMPUTED_VALUE"""),76018)</f>
        <v>76018</v>
      </c>
    </row>
    <row r="402" spans="1:50" ht="120" x14ac:dyDescent="0.2">
      <c r="A402" s="8" t="str">
        <f ca="1">IFERROR(__xludf.DUMMYFUNCTION("""COMPUTED_VALUE"""),"20240423ILNER")</f>
        <v>20240423ILNER</v>
      </c>
      <c r="B402" s="8">
        <f ca="1">IFERROR(__xludf.DUMMYFUNCTION("""COMPUTED_VALUE"""),4)</f>
        <v>4</v>
      </c>
      <c r="C402" s="8">
        <f ca="1">IFERROR(__xludf.DUMMYFUNCTION("""COMPUTED_VALUE"""),23)</f>
        <v>23</v>
      </c>
      <c r="D402" s="8">
        <f ca="1">IFERROR(__xludf.DUMMYFUNCTION("""COMPUTED_VALUE"""),2024)</f>
        <v>2024</v>
      </c>
      <c r="E402" s="9">
        <f ca="1">IFERROR(__xludf.DUMMYFUNCTION("""COMPUTED_VALUE"""),45405)</f>
        <v>45405</v>
      </c>
      <c r="F402" s="8" t="str">
        <f ca="1">IFERROR(__xludf.DUMMYFUNCTION("""COMPUTED_VALUE"""),"Neil A. Armstrong Elementary School")</f>
        <v>Neil A. Armstrong Elementary School</v>
      </c>
      <c r="G402" s="8">
        <f ca="1">IFERROR(__xludf.DUMMYFUNCTION("""COMPUTED_VALUE"""),0)</f>
        <v>0</v>
      </c>
      <c r="H402" s="8">
        <f ca="1">IFERROR(__xludf.DUMMYFUNCTION("""COMPUTED_VALUE"""),0)</f>
        <v>0</v>
      </c>
      <c r="I402" s="8">
        <f ca="1">IFERROR(__xludf.DUMMYFUNCTION("""COMPUTED_VALUE"""),0)</f>
        <v>0</v>
      </c>
      <c r="J402" s="8">
        <f ca="1">IFERROR(__xludf.DUMMYFUNCTION("""COMPUTED_VALUE"""),0)</f>
        <v>0</v>
      </c>
      <c r="K402" s="10" t="str">
        <f ca="1">IFERROR(__xludf.DUMMYFUNCTION("""COMPUTED_VALUE"""),"https://www.cbsnews.com/chicago/news/gunfire-south-suburban-chicago-school-lockdown/")</f>
        <v>https://www.cbsnews.com/chicago/news/gunfire-south-suburban-chicago-school-lockdown/</v>
      </c>
      <c r="L402" s="8">
        <f ca="1">IFERROR(__xludf.DUMMYFUNCTION("""COMPUTED_VALUE"""),1)</f>
        <v>1</v>
      </c>
      <c r="M402" s="8" t="str">
        <f ca="1">IFERROR(__xludf.DUMMYFUNCTION("""COMPUTED_VALUE"""),"Local")</f>
        <v>Local</v>
      </c>
      <c r="N402" s="8">
        <f ca="1">IFERROR(__xludf.DUMMYFUNCTION("""COMPUTED_VALUE"""),3)</f>
        <v>3</v>
      </c>
      <c r="O402" s="8" t="str">
        <f ca="1">IFERROR(__xludf.DUMMYFUNCTION("""COMPUTED_VALUE"""),"Spring")</f>
        <v>Spring</v>
      </c>
      <c r="P402" s="8" t="str">
        <f ca="1">IFERROR(__xludf.DUMMYFUNCTION("""COMPUTED_VALUE"""),"Richton Park")</f>
        <v>Richton Park</v>
      </c>
      <c r="Q402" s="8" t="str">
        <f ca="1">IFERROR(__xludf.DUMMYFUNCTION("""COMPUTED_VALUE"""),"IL")</f>
        <v>IL</v>
      </c>
      <c r="R402" s="8" t="str">
        <f ca="1">IFERROR(__xludf.DUMMYFUNCTION("""COMPUTED_VALUE"""),"Elementary")</f>
        <v>Elementary</v>
      </c>
      <c r="S402" s="8" t="str">
        <f ca="1">IFERROR(__xludf.DUMMYFUNCTION("""COMPUTED_VALUE"""),"Basketball Court")</f>
        <v>Basketball Court</v>
      </c>
      <c r="T402" s="8" t="str">
        <f ca="1">IFERROR(__xludf.DUMMYFUNCTION("""COMPUTED_VALUE"""),"Outside on School Property")</f>
        <v>Outside on School Property</v>
      </c>
      <c r="U402" s="8" t="str">
        <f ca="1">IFERROR(__xludf.DUMMYFUNCTION("""COMPUTED_VALUE"""),"No")</f>
        <v>No</v>
      </c>
      <c r="V402" s="8" t="str">
        <f ca="1">IFERROR(__xludf.DUMMYFUNCTION("""COMPUTED_VALUE"""),"Sport Event")</f>
        <v>Sport Event</v>
      </c>
      <c r="W402" s="11">
        <f ca="1">IFERROR(__xludf.DUMMYFUNCTION("""COMPUTED_VALUE"""),0.746527777777777)</f>
        <v>0.74652777777777701</v>
      </c>
      <c r="X402" s="8">
        <f ca="1">IFERROR(__xludf.DUMMYFUNCTION("""COMPUTED_VALUE"""),1)</f>
        <v>1</v>
      </c>
      <c r="Y402" s="12" t="str">
        <f ca="1">IFERROR(__xludf.DUMMYFUNCTION("""COMPUTED_VALUE"""),"Man fired shots during elementary school basketball game")</f>
        <v>Man fired shots during elementary school basketball game</v>
      </c>
      <c r="Z402" s="12" t="str">
        <f ca="1">IFERROR(__xludf.DUMMYFUNCTION("""COMPUTED_VALUE"""),"Around 5:55 p.m., Neil A. Armstrong Elementary School got a call from its principal about a shooting outside. The school was having an after-school basketball game at the time, according to Elementary School District 159. The school was placed on lockdown"&amp;". School officials said police arrested the gunman and recovered a gun. The lockdown was lifted at 6:20 p.m. No students, parents, or school employees were hurt, the district said.")</f>
        <v>Around 5:55 p.m., Neil A. Armstrong Elementary School got a call from its principal about a shooting outside. The school was having an after-school basketball game at the time, according to Elementary School District 159. The school was placed on lockdown. School officials said police arrested the gunman and recovered a gun. The lockdown was lifted at 6:20 p.m. No students, parents, or school employees were hurt, the district said.</v>
      </c>
      <c r="AA402" s="8"/>
      <c r="AB402" s="8"/>
      <c r="AC402" s="8" t="str">
        <f ca="1">IFERROR(__xludf.DUMMYFUNCTION("""COMPUTED_VALUE"""),"Yes")</f>
        <v>Yes</v>
      </c>
      <c r="AD402" s="8"/>
      <c r="AE402" s="8" t="str">
        <f ca="1">IFERROR(__xludf.DUMMYFUNCTION("""COMPUTED_VALUE"""),"No")</f>
        <v>No</v>
      </c>
      <c r="AF402" s="8"/>
      <c r="AG402" s="8" t="str">
        <f ca="1">IFERROR(__xludf.DUMMYFUNCTION("""COMPUTED_VALUE"""),"No")</f>
        <v>No</v>
      </c>
      <c r="AH402" s="8" t="str">
        <f ca="1">IFERROR(__xludf.DUMMYFUNCTION("""COMPUTED_VALUE"""),"No")</f>
        <v>No</v>
      </c>
      <c r="AI402" s="8" t="str">
        <f ca="1">IFERROR(__xludf.DUMMYFUNCTION("""COMPUTED_VALUE"""),"No")</f>
        <v>No</v>
      </c>
      <c r="AJ402" s="8" t="str">
        <f ca="1">IFERROR(__xludf.DUMMYFUNCTION("""COMPUTED_VALUE"""),"No")</f>
        <v>No</v>
      </c>
      <c r="AK402" s="8" t="str">
        <f ca="1">IFERROR(__xludf.DUMMYFUNCTION("""COMPUTED_VALUE"""),"No")</f>
        <v>No</v>
      </c>
      <c r="AL402" s="8" t="str">
        <f ca="1">IFERROR(__xludf.DUMMYFUNCTION("""COMPUTED_VALUE"""),"No")</f>
        <v>No</v>
      </c>
      <c r="AM402" s="8" t="str">
        <f ca="1">IFERROR(__xludf.DUMMYFUNCTION("""COMPUTED_VALUE"""),"No")</f>
        <v>No</v>
      </c>
      <c r="AN402" s="8" t="str">
        <f ca="1">IFERROR(__xludf.DUMMYFUNCTION("""COMPUTED_VALUE"""),"Outside")</f>
        <v>Outside</v>
      </c>
      <c r="AO402" s="8" t="str">
        <f ca="1">IFERROR(__xludf.DUMMYFUNCTION("""COMPUTED_VALUE"""),"No")</f>
        <v>No</v>
      </c>
      <c r="AP402" s="8"/>
      <c r="AQ402" s="8"/>
      <c r="AR402" s="8" t="str">
        <f ca="1">IFERROR(__xludf.DUMMYFUNCTION("""COMPUTED_VALUE"""),"Outside/Off-Property")</f>
        <v>Outside/Off-Property</v>
      </c>
      <c r="AS402" s="8">
        <f ca="1">IFERROR(__xludf.DUMMYFUNCTION("""COMPUTED_VALUE"""),99)</f>
        <v>99</v>
      </c>
      <c r="AT402" s="8" t="str">
        <f ca="1">IFERROR(__xludf.DUMMYFUNCTION("""COMPUTED_VALUE"""),"Yes")</f>
        <v>Yes</v>
      </c>
      <c r="AU402" s="8">
        <f ca="1">IFERROR(__xludf.DUMMYFUNCTION("""COMPUTED_VALUE"""),41.477706)</f>
        <v>41.477705999999998</v>
      </c>
      <c r="AV402" s="8">
        <f ca="1">IFERROR(__xludf.DUMMYFUNCTION("""COMPUTED_VALUE"""),-87.737609)</f>
        <v>-87.737609000000006</v>
      </c>
      <c r="AW402" s="8" t="str">
        <f ca="1">IFERROR(__xludf.DUMMYFUNCTION("""COMPUTED_VALUE"""),"Single building indoor hallway")</f>
        <v>Single building indoor hallway</v>
      </c>
      <c r="AX402" s="8">
        <f ca="1">IFERROR(__xludf.DUMMYFUNCTION("""COMPUTED_VALUE"""),60471)</f>
        <v>60471</v>
      </c>
    </row>
    <row r="403" spans="1:50" ht="300" x14ac:dyDescent="0.2">
      <c r="A403" s="8" t="str">
        <f ca="1">IFERROR(__xludf.DUMMYFUNCTION("""COMPUTED_VALUE"""),"20240423UTGRW")</f>
        <v>20240423UTGRW</v>
      </c>
      <c r="B403" s="8">
        <f ca="1">IFERROR(__xludf.DUMMYFUNCTION("""COMPUTED_VALUE"""),4)</f>
        <v>4</v>
      </c>
      <c r="C403" s="8">
        <f ca="1">IFERROR(__xludf.DUMMYFUNCTION("""COMPUTED_VALUE"""),23)</f>
        <v>23</v>
      </c>
      <c r="D403" s="8">
        <f ca="1">IFERROR(__xludf.DUMMYFUNCTION("""COMPUTED_VALUE"""),2024)</f>
        <v>2024</v>
      </c>
      <c r="E403" s="9">
        <f ca="1">IFERROR(__xludf.DUMMYFUNCTION("""COMPUTED_VALUE"""),45405)</f>
        <v>45405</v>
      </c>
      <c r="F403" s="8" t="str">
        <f ca="1">IFERROR(__xludf.DUMMYFUNCTION("""COMPUTED_VALUE"""),"Granger High School")</f>
        <v>Granger High School</v>
      </c>
      <c r="G403" s="8">
        <f ca="1">IFERROR(__xludf.DUMMYFUNCTION("""COMPUTED_VALUE"""),0)</f>
        <v>0</v>
      </c>
      <c r="H403" s="8">
        <f ca="1">IFERROR(__xludf.DUMMYFUNCTION("""COMPUTED_VALUE"""),3)</f>
        <v>3</v>
      </c>
      <c r="I403" s="8">
        <f ca="1">IFERROR(__xludf.DUMMYFUNCTION("""COMPUTED_VALUE"""),3)</f>
        <v>3</v>
      </c>
      <c r="J403" s="8">
        <f ca="1">IFERROR(__xludf.DUMMYFUNCTION("""COMPUTED_VALUE"""),0)</f>
        <v>0</v>
      </c>
      <c r="K403" s="10" t="str">
        <f ca="1">IFERROR(__xludf.DUMMYFUNCTION("""COMPUTED_VALUE"""),"https://kutv.com/news/local/west-valley-city-granite-district-police-stop-suspect-with-bb-style-gun-near-granger-high")</f>
        <v>https://kutv.com/news/local/west-valley-city-granite-district-police-stop-suspect-with-bb-style-gun-near-granger-high</v>
      </c>
      <c r="L403" s="8">
        <f ca="1">IFERROR(__xludf.DUMMYFUNCTION("""COMPUTED_VALUE"""),3)</f>
        <v>3</v>
      </c>
      <c r="M403" s="8" t="str">
        <f ca="1">IFERROR(__xludf.DUMMYFUNCTION("""COMPUTED_VALUE"""),"Local")</f>
        <v>Local</v>
      </c>
      <c r="N403" s="8">
        <f ca="1">IFERROR(__xludf.DUMMYFUNCTION("""COMPUTED_VALUE"""),4)</f>
        <v>4</v>
      </c>
      <c r="O403" s="8" t="str">
        <f ca="1">IFERROR(__xludf.DUMMYFUNCTION("""COMPUTED_VALUE"""),"Spring")</f>
        <v>Spring</v>
      </c>
      <c r="P403" s="8" t="str">
        <f ca="1">IFERROR(__xludf.DUMMYFUNCTION("""COMPUTED_VALUE"""),"West Valley City")</f>
        <v>West Valley City</v>
      </c>
      <c r="Q403" s="8" t="str">
        <f ca="1">IFERROR(__xludf.DUMMYFUNCTION("""COMPUTED_VALUE"""),"UT")</f>
        <v>UT</v>
      </c>
      <c r="R403" s="8" t="str">
        <f ca="1">IFERROR(__xludf.DUMMYFUNCTION("""COMPUTED_VALUE"""),"High")</f>
        <v>High</v>
      </c>
      <c r="S403" s="8" t="str">
        <f ca="1">IFERROR(__xludf.DUMMYFUNCTION("""COMPUTED_VALUE"""),"Parking Lot")</f>
        <v>Parking Lot</v>
      </c>
      <c r="T403" s="8" t="str">
        <f ca="1">IFERROR(__xludf.DUMMYFUNCTION("""COMPUTED_VALUE"""),"Outside on School Property")</f>
        <v>Outside on School Property</v>
      </c>
      <c r="U403" s="8" t="str">
        <f ca="1">IFERROR(__xludf.DUMMYFUNCTION("""COMPUTED_VALUE"""),"Yes")</f>
        <v>Yes</v>
      </c>
      <c r="V403" s="8" t="str">
        <f ca="1">IFERROR(__xludf.DUMMYFUNCTION("""COMPUTED_VALUE"""),"Lunch")</f>
        <v>Lunch</v>
      </c>
      <c r="W403" s="11">
        <f ca="1">IFERROR(__xludf.DUMMYFUNCTION("""COMPUTED_VALUE"""),0.489583333333333)</f>
        <v>0.48958333333333298</v>
      </c>
      <c r="X403" s="8">
        <f ca="1">IFERROR(__xludf.DUMMYFUNCTION("""COMPUTED_VALUE"""),1)</f>
        <v>1</v>
      </c>
      <c r="Y403" s="12" t="str">
        <f ca="1">IFERROR(__xludf.DUMMYFUNCTION("""COMPUTED_VALUE"""),"Suspicious vehicle circled the parking lot during lunch and then two suspects fired pellet guns at a group of students")</f>
        <v>Suspicious vehicle circled the parking lot during lunch and then two suspects fired pellet guns at a group of students</v>
      </c>
      <c r="Z403" s="12" t="str">
        <f ca="1">IFERROR(__xludf.DUMMYFUNCTION("""COMPUTED_VALUE"""),"Two people on Tuesday were taken into custody following an incident outside Granger High School in West Valley City, according to the Granite School District, which didn't clarify details on its website until about an hour after the incident took place. G"&amp;"ranger High School principal stated on social media that three students were approached by a vehicle during lunch period. Two individuals exited the vehicle and used airsoft-style guns to fire at a group of students, three of which sustained minor injurie"&amp;"s. Granite School District later confirmed the incident happened shortly after 11:45 a.m., when a district officer noticed a suspicious vehicle ""circling the parking lot"" before the incident happened. The school was never placed on any lockout or lockdo"&amp;"wn protocols because ""no threats were made towards the general student body or the school and the suspects immediately attempted to flee the area and were taken into custody off school property,"" according to a statement released later on the GSD websit"&amp;"e. No public notices were immediately posted to the school's or the district's websites or social media pages.")</f>
        <v>Two people on Tuesday were taken into custody following an incident outside Granger High School in West Valley City, according to the Granite School District, which didn't clarify details on its website until about an hour after the incident took place. Granger High School principal stated on social media that three students were approached by a vehicle during lunch period. Two individuals exited the vehicle and used airsoft-style guns to fire at a group of students, three of which sustained minor injuries. Granite School District later confirmed the incident happened shortly after 11:45 a.m., when a district officer noticed a suspicious vehicle "circling the parking lot" before the incident happened. The school was never placed on any lockout or lockdown protocols because "no threats were made towards the general student body or the school and the suspects immediately attempted to flee the area and were taken into custody off school property," according to a statement released later on the GSD website. No public notices were immediately posted to the school's or the district's websites or social media pages.</v>
      </c>
      <c r="AA403" s="8" t="str">
        <f ca="1">IFERROR(__xludf.DUMMYFUNCTION("""COMPUTED_VALUE"""),"Drive-by Shooting")</f>
        <v>Drive-by Shooting</v>
      </c>
      <c r="AB403" s="8" t="str">
        <f ca="1">IFERROR(__xludf.DUMMYFUNCTION("""COMPUTED_VALUE"""),"Targeted")</f>
        <v>Targeted</v>
      </c>
      <c r="AC403" s="8" t="str">
        <f ca="1">IFERROR(__xludf.DUMMYFUNCTION("""COMPUTED_VALUE"""),"Yes")</f>
        <v>Yes</v>
      </c>
      <c r="AD403" s="8" t="str">
        <f ca="1">IFERROR(__xludf.DUMMYFUNCTION("""COMPUTED_VALUE"""),"Victims Targeted")</f>
        <v>Victims Targeted</v>
      </c>
      <c r="AE403" s="8" t="str">
        <f ca="1">IFERROR(__xludf.DUMMYFUNCTION("""COMPUTED_VALUE"""),"Yes")</f>
        <v>Yes</v>
      </c>
      <c r="AF403" s="8" t="str">
        <f ca="1">IFERROR(__xludf.DUMMYFUNCTION("""COMPUTED_VALUE"""),"Two arrested")</f>
        <v>Two arrested</v>
      </c>
      <c r="AG403" s="8" t="str">
        <f ca="1">IFERROR(__xludf.DUMMYFUNCTION("""COMPUTED_VALUE"""),"No")</f>
        <v>No</v>
      </c>
      <c r="AH403" s="8" t="str">
        <f ca="1">IFERROR(__xludf.DUMMYFUNCTION("""COMPUTED_VALUE"""),"No")</f>
        <v>No</v>
      </c>
      <c r="AI403" s="8" t="str">
        <f ca="1">IFERROR(__xludf.DUMMYFUNCTION("""COMPUTED_VALUE"""),"No")</f>
        <v>No</v>
      </c>
      <c r="AJ403" s="8" t="str">
        <f ca="1">IFERROR(__xludf.DUMMYFUNCTION("""COMPUTED_VALUE"""),"No")</f>
        <v>No</v>
      </c>
      <c r="AK403" s="8" t="str">
        <f ca="1">IFERROR(__xludf.DUMMYFUNCTION("""COMPUTED_VALUE"""),"No")</f>
        <v>No</v>
      </c>
      <c r="AL403" s="8" t="str">
        <f ca="1">IFERROR(__xludf.DUMMYFUNCTION("""COMPUTED_VALUE"""),"No")</f>
        <v>No</v>
      </c>
      <c r="AM403" s="8" t="str">
        <f ca="1">IFERROR(__xludf.DUMMYFUNCTION("""COMPUTED_VALUE"""),"No")</f>
        <v>No</v>
      </c>
      <c r="AN403" s="8" t="str">
        <f ca="1">IFERROR(__xludf.DUMMYFUNCTION("""COMPUTED_VALUE"""),"Outside")</f>
        <v>Outside</v>
      </c>
      <c r="AO403" s="8" t="str">
        <f ca="1">IFERROR(__xludf.DUMMYFUNCTION("""COMPUTED_VALUE"""),"No")</f>
        <v>No</v>
      </c>
      <c r="AP403" s="8"/>
      <c r="AQ403" s="8"/>
      <c r="AR403" s="8" t="str">
        <f ca="1">IFERROR(__xludf.DUMMYFUNCTION("""COMPUTED_VALUE"""),"Outside/Off-Property")</f>
        <v>Outside/Off-Property</v>
      </c>
      <c r="AS403" s="8">
        <f ca="1">IFERROR(__xludf.DUMMYFUNCTION("""COMPUTED_VALUE"""),99)</f>
        <v>99</v>
      </c>
      <c r="AT403" s="8" t="str">
        <f ca="1">IFERROR(__xludf.DUMMYFUNCTION("""COMPUTED_VALUE"""),"No")</f>
        <v>No</v>
      </c>
      <c r="AU403" s="8">
        <f ca="1">IFERROR(__xludf.DUMMYFUNCTION("""COMPUTED_VALUE"""),40.694264)</f>
        <v>40.694263999999997</v>
      </c>
      <c r="AV403" s="8">
        <f ca="1">IFERROR(__xludf.DUMMYFUNCTION("""COMPUTED_VALUE"""),-111.977807)</f>
        <v>-111.977807</v>
      </c>
      <c r="AW403" s="8" t="str">
        <f ca="1">IFERROR(__xludf.DUMMYFUNCTION("""COMPUTED_VALUE"""),"Multiple detached buildings")</f>
        <v>Multiple detached buildings</v>
      </c>
      <c r="AX403" s="8">
        <f ca="1">IFERROR(__xludf.DUMMYFUNCTION("""COMPUTED_VALUE"""),84120)</f>
        <v>84120</v>
      </c>
    </row>
    <row r="404" spans="1:50" ht="180" x14ac:dyDescent="0.2">
      <c r="A404" s="8" t="str">
        <f ca="1">IFERROR(__xludf.DUMMYFUNCTION("""COMPUTED_VALUE"""),"20240422MOLEL")</f>
        <v>20240422MOLEL</v>
      </c>
      <c r="B404" s="8">
        <f ca="1">IFERROR(__xludf.DUMMYFUNCTION("""COMPUTED_VALUE"""),4)</f>
        <v>4</v>
      </c>
      <c r="C404" s="8">
        <f ca="1">IFERROR(__xludf.DUMMYFUNCTION("""COMPUTED_VALUE"""),22)</f>
        <v>22</v>
      </c>
      <c r="D404" s="8">
        <f ca="1">IFERROR(__xludf.DUMMYFUNCTION("""COMPUTED_VALUE"""),2024)</f>
        <v>2024</v>
      </c>
      <c r="E404" s="9">
        <f ca="1">IFERROR(__xludf.DUMMYFUNCTION("""COMPUTED_VALUE"""),45404)</f>
        <v>45404</v>
      </c>
      <c r="F404" s="8" t="str">
        <f ca="1">IFERROR(__xludf.DUMMYFUNCTION("""COMPUTED_VALUE"""),"Lee’s Summit School Bus")</f>
        <v>Lee’s Summit School Bus</v>
      </c>
      <c r="G404" s="8">
        <f ca="1">IFERROR(__xludf.DUMMYFUNCTION("""COMPUTED_VALUE"""),0)</f>
        <v>0</v>
      </c>
      <c r="H404" s="8">
        <f ca="1">IFERROR(__xludf.DUMMYFUNCTION("""COMPUTED_VALUE"""),0)</f>
        <v>0</v>
      </c>
      <c r="I404" s="8">
        <f ca="1">IFERROR(__xludf.DUMMYFUNCTION("""COMPUTED_VALUE"""),0)</f>
        <v>0</v>
      </c>
      <c r="J404" s="8">
        <f ca="1">IFERROR(__xludf.DUMMYFUNCTION("""COMPUTED_VALUE"""),0)</f>
        <v>0</v>
      </c>
      <c r="K404" s="10" t="str">
        <f ca="1">IFERROR(__xludf.DUMMYFUNCTION("""COMPUTED_VALUE"""),"https://fox4kc.com/news/airsoft-gun-incident-on-lees-summit-school-bus-leaves-parents-upset/")</f>
        <v>https://fox4kc.com/news/airsoft-gun-incident-on-lees-summit-school-bus-leaves-parents-upset/</v>
      </c>
      <c r="L404" s="8">
        <f ca="1">IFERROR(__xludf.DUMMYFUNCTION("""COMPUTED_VALUE"""),3)</f>
        <v>3</v>
      </c>
      <c r="M404" s="8" t="str">
        <f ca="1">IFERROR(__xludf.DUMMYFUNCTION("""COMPUTED_VALUE"""),"Local")</f>
        <v>Local</v>
      </c>
      <c r="N404" s="8">
        <f ca="1">IFERROR(__xludf.DUMMYFUNCTION("""COMPUTED_VALUE"""),3)</f>
        <v>3</v>
      </c>
      <c r="O404" s="8" t="str">
        <f ca="1">IFERROR(__xludf.DUMMYFUNCTION("""COMPUTED_VALUE"""),"Spring")</f>
        <v>Spring</v>
      </c>
      <c r="P404" s="8" t="str">
        <f ca="1">IFERROR(__xludf.DUMMYFUNCTION("""COMPUTED_VALUE"""),"Lee's Summit")</f>
        <v>Lee's Summit</v>
      </c>
      <c r="Q404" s="8" t="str">
        <f ca="1">IFERROR(__xludf.DUMMYFUNCTION("""COMPUTED_VALUE"""),"MO")</f>
        <v>MO</v>
      </c>
      <c r="R404" s="8" t="str">
        <f ca="1">IFERROR(__xludf.DUMMYFUNCTION("""COMPUTED_VALUE"""),"Elementary")</f>
        <v>Elementary</v>
      </c>
      <c r="S404" s="8" t="str">
        <f ca="1">IFERROR(__xludf.DUMMYFUNCTION("""COMPUTED_VALUE"""),"School Bus")</f>
        <v>School Bus</v>
      </c>
      <c r="T404" s="8" t="str">
        <f ca="1">IFERROR(__xludf.DUMMYFUNCTION("""COMPUTED_VALUE"""),"School Bus")</f>
        <v>School Bus</v>
      </c>
      <c r="U404" s="8" t="str">
        <f ca="1">IFERROR(__xludf.DUMMYFUNCTION("""COMPUTED_VALUE"""),"Yes")</f>
        <v>Yes</v>
      </c>
      <c r="V404" s="8" t="str">
        <f ca="1">IFERROR(__xludf.DUMMYFUNCTION("""COMPUTED_VALUE"""),"Dismissal")</f>
        <v>Dismissal</v>
      </c>
      <c r="W404" s="11">
        <f ca="1">IFERROR(__xludf.DUMMYFUNCTION("""COMPUTED_VALUE"""),0.625)</f>
        <v>0.625</v>
      </c>
      <c r="X404" s="8">
        <f ca="1">IFERROR(__xludf.DUMMYFUNCTION("""COMPUTED_VALUE"""),1)</f>
        <v>1</v>
      </c>
      <c r="Y404" s="12" t="str">
        <f ca="1">IFERROR(__xludf.DUMMYFUNCTION("""COMPUTED_VALUE"""),"Student fired pellet gun at other students on the school bus")</f>
        <v>Student fired pellet gun at other students on the school bus</v>
      </c>
      <c r="Z404" s="12" t="str">
        <f ca="1">IFERROR(__xludf.DUMMYFUNCTION("""COMPUTED_VALUE"""),"Lee’s Summit R-7 School District’s executive director of public relations said: “The district did respond to a report that a student was shooting pellets from a toy gun on an afternoon route yesterday. The incident was immediately addressed in accordance "&amp;"with our Board of Education policies and discipline procedures. All families on Bus 213 were communicated with this morning to ensure parents knew this incident had been addressed.” “Prompt communication about safety responses is a priority for us, so par"&amp;"t of our debrief is reviewing our processes to ensure parents receive same-day communication as often as we can provide it.”")</f>
        <v>Lee’s Summit R-7 School District’s executive director of public relations said: “The district did respond to a report that a student was shooting pellets from a toy gun on an afternoon route yesterday. The incident was immediately addressed in accordance with our Board of Education policies and discipline procedures. All families on Bus 213 were communicated with this morning to ensure parents knew this incident had been addressed.” “Prompt communication about safety responses is a priority for us, so part of our debrief is reviewing our processes to ensure parents receive same-day communication as often as we can provide it.”</v>
      </c>
      <c r="AA404" s="8"/>
      <c r="AB404" s="8" t="str">
        <f ca="1">IFERROR(__xludf.DUMMYFUNCTION("""COMPUTED_VALUE"""),"Spontaneous")</f>
        <v>Spontaneous</v>
      </c>
      <c r="AC404" s="8" t="str">
        <f ca="1">IFERROR(__xludf.DUMMYFUNCTION("""COMPUTED_VALUE"""),"Yes")</f>
        <v>Yes</v>
      </c>
      <c r="AD404" s="8" t="str">
        <f ca="1">IFERROR(__xludf.DUMMYFUNCTION("""COMPUTED_VALUE"""),"Random Shooting")</f>
        <v>Random Shooting</v>
      </c>
      <c r="AE404" s="8" t="str">
        <f ca="1">IFERROR(__xludf.DUMMYFUNCTION("""COMPUTED_VALUE"""),"No")</f>
        <v>No</v>
      </c>
      <c r="AF404" s="8"/>
      <c r="AG404" s="8" t="str">
        <f ca="1">IFERROR(__xludf.DUMMYFUNCTION("""COMPUTED_VALUE"""),"No")</f>
        <v>No</v>
      </c>
      <c r="AH404" s="8" t="str">
        <f ca="1">IFERROR(__xludf.DUMMYFUNCTION("""COMPUTED_VALUE"""),"No")</f>
        <v>No</v>
      </c>
      <c r="AI404" s="8" t="str">
        <f ca="1">IFERROR(__xludf.DUMMYFUNCTION("""COMPUTED_VALUE"""),"No")</f>
        <v>No</v>
      </c>
      <c r="AJ404" s="8" t="str">
        <f ca="1">IFERROR(__xludf.DUMMYFUNCTION("""COMPUTED_VALUE"""),"No")</f>
        <v>No</v>
      </c>
      <c r="AK404" s="8" t="str">
        <f ca="1">IFERROR(__xludf.DUMMYFUNCTION("""COMPUTED_VALUE"""),"No")</f>
        <v>No</v>
      </c>
      <c r="AL404" s="8" t="str">
        <f ca="1">IFERROR(__xludf.DUMMYFUNCTION("""COMPUTED_VALUE"""),"No")</f>
        <v>No</v>
      </c>
      <c r="AM404" s="8" t="str">
        <f ca="1">IFERROR(__xludf.DUMMYFUNCTION("""COMPUTED_VALUE"""),"No")</f>
        <v>No</v>
      </c>
      <c r="AN404" s="8" t="str">
        <f ca="1">IFERROR(__xludf.DUMMYFUNCTION("""COMPUTED_VALUE"""),"Outside")</f>
        <v>Outside</v>
      </c>
      <c r="AO404" s="8" t="str">
        <f ca="1">IFERROR(__xludf.DUMMYFUNCTION("""COMPUTED_VALUE"""),"No")</f>
        <v>No</v>
      </c>
      <c r="AP404" s="8"/>
      <c r="AQ404" s="8"/>
      <c r="AR404" s="8" t="str">
        <f ca="1">IFERROR(__xludf.DUMMYFUNCTION("""COMPUTED_VALUE"""),"Outside/Off-Property")</f>
        <v>Outside/Off-Property</v>
      </c>
      <c r="AS404" s="8">
        <f ca="1">IFERROR(__xludf.DUMMYFUNCTION("""COMPUTED_VALUE"""),99)</f>
        <v>99</v>
      </c>
      <c r="AT404" s="8" t="str">
        <f ca="1">IFERROR(__xludf.DUMMYFUNCTION("""COMPUTED_VALUE"""),"No")</f>
        <v>No</v>
      </c>
      <c r="AU404" s="8">
        <f ca="1">IFERROR(__xludf.DUMMYFUNCTION("""COMPUTED_VALUE"""),38.904002)</f>
        <v>38.904001999999998</v>
      </c>
      <c r="AV404" s="8">
        <f ca="1">IFERROR(__xludf.DUMMYFUNCTION("""COMPUTED_VALUE"""),-94.365313)</f>
        <v>-94.365313</v>
      </c>
      <c r="AW404" s="8"/>
      <c r="AX404" s="8">
        <f ca="1">IFERROR(__xludf.DUMMYFUNCTION("""COMPUTED_VALUE"""),64063)</f>
        <v>64063</v>
      </c>
    </row>
    <row r="405" spans="1:50" ht="135" x14ac:dyDescent="0.2">
      <c r="A405" s="8" t="str">
        <f ca="1">IFERROR(__xludf.DUMMYFUNCTION("""COMPUTED_VALUE"""),"20240422WAWIW")</f>
        <v>20240422WAWIW</v>
      </c>
      <c r="B405" s="8">
        <f ca="1">IFERROR(__xludf.DUMMYFUNCTION("""COMPUTED_VALUE"""),4)</f>
        <v>4</v>
      </c>
      <c r="C405" s="8">
        <f ca="1">IFERROR(__xludf.DUMMYFUNCTION("""COMPUTED_VALUE"""),22)</f>
        <v>22</v>
      </c>
      <c r="D405" s="8">
        <f ca="1">IFERROR(__xludf.DUMMYFUNCTION("""COMPUTED_VALUE"""),2024)</f>
        <v>2024</v>
      </c>
      <c r="E405" s="9">
        <f ca="1">IFERROR(__xludf.DUMMYFUNCTION("""COMPUTED_VALUE"""),45404)</f>
        <v>45404</v>
      </c>
      <c r="F405" s="8" t="str">
        <f ca="1">IFERROR(__xludf.DUMMYFUNCTION("""COMPUTED_VALUE"""),"William Wiley Elementary")</f>
        <v>William Wiley Elementary</v>
      </c>
      <c r="G405" s="8">
        <f ca="1">IFERROR(__xludf.DUMMYFUNCTION("""COMPUTED_VALUE"""),1)</f>
        <v>1</v>
      </c>
      <c r="H405" s="8">
        <f ca="1">IFERROR(__xludf.DUMMYFUNCTION("""COMPUTED_VALUE"""),0)</f>
        <v>0</v>
      </c>
      <c r="I405" s="8">
        <f ca="1">IFERROR(__xludf.DUMMYFUNCTION("""COMPUTED_VALUE"""),1)</f>
        <v>1</v>
      </c>
      <c r="J405" s="8">
        <f ca="1">IFERROR(__xludf.DUMMYFUNCTION("""COMPUTED_VALUE"""),0)</f>
        <v>0</v>
      </c>
      <c r="K405" s="10" t="str">
        <f ca="1">IFERROR(__xludf.DUMMYFUNCTION("""COMPUTED_VALUE"""),"https://www.nbcrightnow.com/top-video/woman-confirmed-dead-following-william-wiley-elementary-shooting/video_77bb5d4e-0111-11ef-b080-4b414f8d0ddd.html
https://www.nbcrightnow.com/news/adult-shot-outside-william-wiley-elementary-in-west-richland-suspect-ho"&amp;"me-on-lockdown/article_36a9c752-00fb-11ef-a74c-2fdeb93784a6.html")</f>
        <v>https://www.nbcrightnow.com/top-video/woman-confirmed-dead-following-william-wiley-elementary-shooting/video_77bb5d4e-0111-11ef-b080-4b414f8d0ddd.html
https://www.nbcrightnow.com/news/adult-shot-outside-william-wiley-elementary-in-west-richland-suspect-home-on-lockdown/article_36a9c752-00fb-11ef-a74c-2fdeb93784a6.html</v>
      </c>
      <c r="L405" s="8">
        <f ca="1">IFERROR(__xludf.DUMMYFUNCTION("""COMPUTED_VALUE"""),10)</f>
        <v>10</v>
      </c>
      <c r="M405" s="8" t="str">
        <f ca="1">IFERROR(__xludf.DUMMYFUNCTION("""COMPUTED_VALUE"""),"Regional")</f>
        <v>Regional</v>
      </c>
      <c r="N405" s="8">
        <f ca="1">IFERROR(__xludf.DUMMYFUNCTION("""COMPUTED_VALUE"""),4)</f>
        <v>4</v>
      </c>
      <c r="O405" s="8" t="str">
        <f ca="1">IFERROR(__xludf.DUMMYFUNCTION("""COMPUTED_VALUE"""),"Spring")</f>
        <v>Spring</v>
      </c>
      <c r="P405" s="8" t="str">
        <f ca="1">IFERROR(__xludf.DUMMYFUNCTION("""COMPUTED_VALUE"""),"West Richland")</f>
        <v>West Richland</v>
      </c>
      <c r="Q405" s="8" t="str">
        <f ca="1">IFERROR(__xludf.DUMMYFUNCTION("""COMPUTED_VALUE"""),"WA")</f>
        <v>WA</v>
      </c>
      <c r="R405" s="8" t="str">
        <f ca="1">IFERROR(__xludf.DUMMYFUNCTION("""COMPUTED_VALUE"""),"Elementary")</f>
        <v>Elementary</v>
      </c>
      <c r="S405" s="8" t="str">
        <f ca="1">IFERROR(__xludf.DUMMYFUNCTION("""COMPUTED_VALUE"""),"Parking Lot")</f>
        <v>Parking Lot</v>
      </c>
      <c r="T405" s="8" t="str">
        <f ca="1">IFERROR(__xludf.DUMMYFUNCTION("""COMPUTED_VALUE"""),"Outside on School Property")</f>
        <v>Outside on School Property</v>
      </c>
      <c r="U405" s="8" t="str">
        <f ca="1">IFERROR(__xludf.DUMMYFUNCTION("""COMPUTED_VALUE"""),"Yes")</f>
        <v>Yes</v>
      </c>
      <c r="V405" s="8" t="str">
        <f ca="1">IFERROR(__xludf.DUMMYFUNCTION("""COMPUTED_VALUE"""),"Dismissal")</f>
        <v>Dismissal</v>
      </c>
      <c r="W405" s="11">
        <f ca="1">IFERROR(__xludf.DUMMYFUNCTION("""COMPUTED_VALUE"""),0.640277777777777)</f>
        <v>0.64027777777777695</v>
      </c>
      <c r="X405" s="8">
        <f ca="1">IFERROR(__xludf.DUMMYFUNCTION("""COMPUTED_VALUE"""),1)</f>
        <v>1</v>
      </c>
      <c r="Y405" s="12" t="str">
        <f ca="1">IFERROR(__xludf.DUMMYFUNCTION("""COMPUTED_VALUE"""),"Ex-husband fatally shot woman and abducted child during dismissal")</f>
        <v>Ex-husband fatally shot woman and abducted child during dismissal</v>
      </c>
      <c r="Z405" s="12" t="str">
        <f ca="1">IFERROR(__xludf.DUMMYFUNCTION("""COMPUTED_VALUE"""),"39-year-old former police officer is suspected of shooting a woman at William Wiley on Mon., April 22 and killing another at his home, according to the West Richland Police Department. He is also facing charges for child rape from February and was suppose"&amp;"d to be in court the same morning. The initial shooting happened around 3:23 p.m. as students were being released from William Wiley for the day. Several schools were locked down as a result and evening activities at all school were cancelled.")</f>
        <v>39-year-old former police officer is suspected of shooting a woman at William Wiley on Mon., April 22 and killing another at his home, according to the West Richland Police Department. He is also facing charges for child rape from February and was supposed to be in court the same morning. The initial shooting happened around 3:23 p.m. as students were being released from William Wiley for the day. Several schools were locked down as a result and evening activities at all school were cancelled.</v>
      </c>
      <c r="AA405" s="8" t="str">
        <f ca="1">IFERROR(__xludf.DUMMYFUNCTION("""COMPUTED_VALUE"""),"Domestic w/ Targeted Victim")</f>
        <v>Domestic w/ Targeted Victim</v>
      </c>
      <c r="AB405" s="8" t="str">
        <f ca="1">IFERROR(__xludf.DUMMYFUNCTION("""COMPUTED_VALUE"""),"Targeted")</f>
        <v>Targeted</v>
      </c>
      <c r="AC405" s="8" t="str">
        <f ca="1">IFERROR(__xludf.DUMMYFUNCTION("""COMPUTED_VALUE"""),"Yes")</f>
        <v>Yes</v>
      </c>
      <c r="AD405" s="8" t="str">
        <f ca="1">IFERROR(__xludf.DUMMYFUNCTION("""COMPUTED_VALUE"""),"Victims Targeted")</f>
        <v>Victims Targeted</v>
      </c>
      <c r="AE405" s="8" t="str">
        <f ca="1">IFERROR(__xludf.DUMMYFUNCTION("""COMPUTED_VALUE"""),"No")</f>
        <v>No</v>
      </c>
      <c r="AF405" s="8"/>
      <c r="AG405" s="8" t="str">
        <f ca="1">IFERROR(__xludf.DUMMYFUNCTION("""COMPUTED_VALUE"""),"No")</f>
        <v>No</v>
      </c>
      <c r="AH405" s="8" t="str">
        <f ca="1">IFERROR(__xludf.DUMMYFUNCTION("""COMPUTED_VALUE"""),"No")</f>
        <v>No</v>
      </c>
      <c r="AI405" s="8" t="str">
        <f ca="1">IFERROR(__xludf.DUMMYFUNCTION("""COMPUTED_VALUE"""),"No")</f>
        <v>No</v>
      </c>
      <c r="AJ405" s="8" t="str">
        <f ca="1">IFERROR(__xludf.DUMMYFUNCTION("""COMPUTED_VALUE"""),"No")</f>
        <v>No</v>
      </c>
      <c r="AK405" s="8" t="str">
        <f ca="1">IFERROR(__xludf.DUMMYFUNCTION("""COMPUTED_VALUE"""),"Yes")</f>
        <v>Yes</v>
      </c>
      <c r="AL405" s="8" t="str">
        <f ca="1">IFERROR(__xludf.DUMMYFUNCTION("""COMPUTED_VALUE"""),"No")</f>
        <v>No</v>
      </c>
      <c r="AM405" s="8" t="str">
        <f ca="1">IFERROR(__xludf.DUMMYFUNCTION("""COMPUTED_VALUE"""),"No")</f>
        <v>No</v>
      </c>
      <c r="AN405" s="8" t="str">
        <f ca="1">IFERROR(__xludf.DUMMYFUNCTION("""COMPUTED_VALUE"""),"Outside")</f>
        <v>Outside</v>
      </c>
      <c r="AO405" s="8" t="str">
        <f ca="1">IFERROR(__xludf.DUMMYFUNCTION("""COMPUTED_VALUE"""),"No")</f>
        <v>No</v>
      </c>
      <c r="AP405" s="8"/>
      <c r="AQ405" s="8"/>
      <c r="AR405" s="8" t="str">
        <f ca="1">IFERROR(__xludf.DUMMYFUNCTION("""COMPUTED_VALUE"""),"Outside/Off-Property")</f>
        <v>Outside/Off-Property</v>
      </c>
      <c r="AS405" s="8">
        <f ca="1">IFERROR(__xludf.DUMMYFUNCTION("""COMPUTED_VALUE"""),99)</f>
        <v>99</v>
      </c>
      <c r="AT405" s="8" t="str">
        <f ca="1">IFERROR(__xludf.DUMMYFUNCTION("""COMPUTED_VALUE"""),"Yes")</f>
        <v>Yes</v>
      </c>
      <c r="AU405" s="8">
        <f ca="1">IFERROR(__xludf.DUMMYFUNCTION("""COMPUTED_VALUE"""),46.274458)</f>
        <v>46.274458000000003</v>
      </c>
      <c r="AV405" s="8">
        <f ca="1">IFERROR(__xludf.DUMMYFUNCTION("""COMPUTED_VALUE"""),-119.356404)</f>
        <v>-119.356404</v>
      </c>
      <c r="AW405" s="8" t="str">
        <f ca="1">IFERROR(__xludf.DUMMYFUNCTION("""COMPUTED_VALUE"""),"Single building indoor hallway")</f>
        <v>Single building indoor hallway</v>
      </c>
      <c r="AX405" s="8">
        <f ca="1">IFERROR(__xludf.DUMMYFUNCTION("""COMPUTED_VALUE"""),99353)</f>
        <v>99353</v>
      </c>
    </row>
    <row r="406" spans="1:50" ht="270" x14ac:dyDescent="0.2">
      <c r="A406" s="8" t="str">
        <f ca="1">IFERROR(__xludf.DUMMYFUNCTION("""COMPUTED_VALUE"""),"20240422FLSUR")</f>
        <v>20240422FLSUR</v>
      </c>
      <c r="B406" s="8">
        <f ca="1">IFERROR(__xludf.DUMMYFUNCTION("""COMPUTED_VALUE"""),4)</f>
        <v>4</v>
      </c>
      <c r="C406" s="8">
        <f ca="1">IFERROR(__xludf.DUMMYFUNCTION("""COMPUTED_VALUE"""),22)</f>
        <v>22</v>
      </c>
      <c r="D406" s="8">
        <f ca="1">IFERROR(__xludf.DUMMYFUNCTION("""COMPUTED_VALUE"""),2024)</f>
        <v>2024</v>
      </c>
      <c r="E406" s="9">
        <f ca="1">IFERROR(__xludf.DUMMYFUNCTION("""COMPUTED_VALUE"""),45404)</f>
        <v>45404</v>
      </c>
      <c r="F406" s="8" t="str">
        <f ca="1">IFERROR(__xludf.DUMMYFUNCTION("""COMPUTED_VALUE"""),"Suncoast Community High School")</f>
        <v>Suncoast Community High School</v>
      </c>
      <c r="G406" s="8">
        <f ca="1">IFERROR(__xludf.DUMMYFUNCTION("""COMPUTED_VALUE"""),0)</f>
        <v>0</v>
      </c>
      <c r="H406" s="8">
        <f ca="1">IFERROR(__xludf.DUMMYFUNCTION("""COMPUTED_VALUE"""),1)</f>
        <v>1</v>
      </c>
      <c r="I406" s="8">
        <f ca="1">IFERROR(__xludf.DUMMYFUNCTION("""COMPUTED_VALUE"""),1)</f>
        <v>1</v>
      </c>
      <c r="J406" s="8">
        <f ca="1">IFERROR(__xludf.DUMMYFUNCTION("""COMPUTED_VALUE"""),0)</f>
        <v>0</v>
      </c>
      <c r="K406" s="10" t="str">
        <f ca="1">IFERROR(__xludf.DUMMYFUNCTION("""COMPUTED_VALUE"""),"https://www.wptv.com/news/region-c-palm-beach-county/riviera-beach/man-shot-by-police-officer-at-suncoast-community-high-school-sentenced-to-5-years-in-state-prison
https://cbs12.com/news/local/riviera-beach-officer-who-shot-suspect-near-high-school-ident"&amp;"ified-delroy-thomas-attack-suncoast-community-high-school-nodane-cherisma-police-code-red-lockdown-april-23-2024-florida
https://www.wpbf.com/article/florida-police-suncoast-high-school-investigation-riviera-beach/60566254
https://www.wptv.com/news/region"&amp;"-c-palm-beach-county/riviera-beach/riviera-beach-police-conducting-massive-investigation-at-suncoast-community-high-school")</f>
        <v>https://www.wptv.com/news/region-c-palm-beach-county/riviera-beach/man-shot-by-police-officer-at-suncoast-community-high-school-sentenced-to-5-years-in-state-prison
https://cbs12.com/news/local/riviera-beach-officer-who-shot-suspect-near-high-school-identified-delroy-thomas-attack-suncoast-community-high-school-nodane-cherisma-police-code-red-lockdown-april-23-2024-florida
https://www.wpbf.com/article/florida-police-suncoast-high-school-investigation-riviera-beach/60566254
https://www.wptv.com/news/region-c-palm-beach-county/riviera-beach/riviera-beach-police-conducting-massive-investigation-at-suncoast-community-high-school</v>
      </c>
      <c r="L406" s="8">
        <f ca="1">IFERROR(__xludf.DUMMYFUNCTION("""COMPUTED_VALUE"""),10)</f>
        <v>10</v>
      </c>
      <c r="M406" s="8" t="str">
        <f ca="1">IFERROR(__xludf.DUMMYFUNCTION("""COMPUTED_VALUE"""),"Regional")</f>
        <v>Regional</v>
      </c>
      <c r="N406" s="8">
        <f ca="1">IFERROR(__xludf.DUMMYFUNCTION("""COMPUTED_VALUE"""),4)</f>
        <v>4</v>
      </c>
      <c r="O406" s="8" t="str">
        <f ca="1">IFERROR(__xludf.DUMMYFUNCTION("""COMPUTED_VALUE"""),"Spring")</f>
        <v>Spring</v>
      </c>
      <c r="P406" s="8" t="str">
        <f ca="1">IFERROR(__xludf.DUMMYFUNCTION("""COMPUTED_VALUE"""),"Riviera Beach")</f>
        <v>Riviera Beach</v>
      </c>
      <c r="Q406" s="8" t="str">
        <f ca="1">IFERROR(__xludf.DUMMYFUNCTION("""COMPUTED_VALUE"""),"FL")</f>
        <v>FL</v>
      </c>
      <c r="R406" s="8" t="str">
        <f ca="1">IFERROR(__xludf.DUMMYFUNCTION("""COMPUTED_VALUE"""),"High")</f>
        <v>High</v>
      </c>
      <c r="S406" s="8" t="str">
        <f ca="1">IFERROR(__xludf.DUMMYFUNCTION("""COMPUTED_VALUE"""),"Parking Lot")</f>
        <v>Parking Lot</v>
      </c>
      <c r="T406" s="8" t="str">
        <f ca="1">IFERROR(__xludf.DUMMYFUNCTION("""COMPUTED_VALUE"""),"Outside on School Property")</f>
        <v>Outside on School Property</v>
      </c>
      <c r="U406" s="8" t="str">
        <f ca="1">IFERROR(__xludf.DUMMYFUNCTION("""COMPUTED_VALUE"""),"Yes")</f>
        <v>Yes</v>
      </c>
      <c r="V406" s="8" t="str">
        <f ca="1">IFERROR(__xludf.DUMMYFUNCTION("""COMPUTED_VALUE"""),"Morning Classes")</f>
        <v>Morning Classes</v>
      </c>
      <c r="W406" s="11">
        <f ca="1">IFERROR(__xludf.DUMMYFUNCTION("""COMPUTED_VALUE"""),0.364583333333333)</f>
        <v>0.36458333333333298</v>
      </c>
      <c r="X406" s="8">
        <f ca="1">IFERROR(__xludf.DUMMYFUNCTION("""COMPUTED_VALUE"""),1)</f>
        <v>1</v>
      </c>
      <c r="Y406" s="12" t="str">
        <f ca="1">IFERROR(__xludf.DUMMYFUNCTION("""COMPUTED_VALUE"""),"Police officer shot many in school parking lot")</f>
        <v>Police officer shot many in school parking lot</v>
      </c>
      <c r="Z406" s="12" t="str">
        <f ca="1">IFERROR(__xludf.DUMMYFUNCTION("""COMPUTED_VALUE"""),"Officer involved shooting when an unarmed non-student became ""combative"". Per family, Thomas, 29, is schizophrenic and has depression. He was shot in the chest at 8:33am in parking lot by a officer assigned to the school and remains in the hospital.The "&amp;"School District of Palm Beach County released the following statement: ""This morning during school arrival, there was a shooting involving an unknown adult male in the parking lot of Suncoast Community High School. No students or school staff were harmed"&amp;" in the incident. School administrators immediately placed the school in full lockdown. All students are safe, and the campus is secure. There is currently a multi-agency response on campus to investigate. Nearby school campuses, including Dr. Mary McLeod"&amp;" Bethune Elementary, Lincoln Elementary, Washington Elementary, and John F. Kennedy Middle School, were placed in limited movement. They are now all clear and will continue with a regularly scheduled instructional day.")</f>
        <v>Officer involved shooting when an unarmed non-student became "combative". Per family, Thomas, 29, is schizophrenic and has depression. He was shot in the chest at 8:33am in parking lot by a officer assigned to the school and remains in the hospital.The School District of Palm Beach County released the following statement: "This morning during school arrival, there was a shooting involving an unknown adult male in the parking lot of Suncoast Community High School. No students or school staff were harmed in the incident. School administrators immediately placed the school in full lockdown. All students are safe, and the campus is secure. There is currently a multi-agency response on campus to investigate. Nearby school campuses, including Dr. Mary McLeod Bethune Elementary, Lincoln Elementary, Washington Elementary, and John F. Kennedy Middle School, were placed in limited movement. They are now all clear and will continue with a regularly scheduled instructional day.</v>
      </c>
      <c r="AA406" s="8" t="str">
        <f ca="1">IFERROR(__xludf.DUMMYFUNCTION("""COMPUTED_VALUE"""),"Officer-Involved Shooting")</f>
        <v>Officer-Involved Shooting</v>
      </c>
      <c r="AB406" s="8" t="str">
        <f ca="1">IFERROR(__xludf.DUMMYFUNCTION("""COMPUTED_VALUE"""),"Spontaneous")</f>
        <v>Spontaneous</v>
      </c>
      <c r="AC406" s="8" t="str">
        <f ca="1">IFERROR(__xludf.DUMMYFUNCTION("""COMPUTED_VALUE"""),"Yes")</f>
        <v>Yes</v>
      </c>
      <c r="AD406" s="8" t="str">
        <f ca="1">IFERROR(__xludf.DUMMYFUNCTION("""COMPUTED_VALUE"""),"Victims Targeted")</f>
        <v>Victims Targeted</v>
      </c>
      <c r="AE406" s="8" t="str">
        <f ca="1">IFERROR(__xludf.DUMMYFUNCTION("""COMPUTED_VALUE"""),"No")</f>
        <v>No</v>
      </c>
      <c r="AF406" s="8"/>
      <c r="AG406" s="8" t="str">
        <f ca="1">IFERROR(__xludf.DUMMYFUNCTION("""COMPUTED_VALUE"""),"No")</f>
        <v>No</v>
      </c>
      <c r="AH406" s="8" t="str">
        <f ca="1">IFERROR(__xludf.DUMMYFUNCTION("""COMPUTED_VALUE"""),"No")</f>
        <v>No</v>
      </c>
      <c r="AI406" s="8" t="str">
        <f ca="1">IFERROR(__xludf.DUMMYFUNCTION("""COMPUTED_VALUE"""),"Yes")</f>
        <v>Yes</v>
      </c>
      <c r="AJ406" s="8" t="str">
        <f ca="1">IFERROR(__xludf.DUMMYFUNCTION("""COMPUTED_VALUE"""),"No")</f>
        <v>No</v>
      </c>
      <c r="AK406" s="8" t="str">
        <f ca="1">IFERROR(__xludf.DUMMYFUNCTION("""COMPUTED_VALUE"""),"No")</f>
        <v>No</v>
      </c>
      <c r="AL406" s="8" t="str">
        <f ca="1">IFERROR(__xludf.DUMMYFUNCTION("""COMPUTED_VALUE"""),"No")</f>
        <v>No</v>
      </c>
      <c r="AM406" s="8"/>
      <c r="AN406" s="8" t="str">
        <f ca="1">IFERROR(__xludf.DUMMYFUNCTION("""COMPUTED_VALUE"""),"Outside")</f>
        <v>Outside</v>
      </c>
      <c r="AO406" s="8"/>
      <c r="AP406" s="8" t="str">
        <f ca="1">IFERROR(__xludf.DUMMYFUNCTION("""COMPUTED_VALUE"""),"Yes")</f>
        <v>Yes</v>
      </c>
      <c r="AQ406" s="8"/>
      <c r="AR406" s="8" t="str">
        <f ca="1">IFERROR(__xludf.DUMMYFUNCTION("""COMPUTED_VALUE"""),"Outside/Off-Property")</f>
        <v>Outside/Off-Property</v>
      </c>
      <c r="AS406" s="8">
        <f ca="1">IFERROR(__xludf.DUMMYFUNCTION("""COMPUTED_VALUE"""),99)</f>
        <v>99</v>
      </c>
      <c r="AT406" s="8" t="str">
        <f ca="1">IFERROR(__xludf.DUMMYFUNCTION("""COMPUTED_VALUE"""),"Yes")</f>
        <v>Yes</v>
      </c>
      <c r="AU406" s="8">
        <f ca="1">IFERROR(__xludf.DUMMYFUNCTION("""COMPUTED_VALUE"""),26.779503)</f>
        <v>26.779502999999998</v>
      </c>
      <c r="AV406" s="8">
        <f ca="1">IFERROR(__xludf.DUMMYFUNCTION("""COMPUTED_VALUE"""),-80.082874)</f>
        <v>-80.082874000000004</v>
      </c>
      <c r="AW406" s="8" t="str">
        <f ca="1">IFERROR(__xludf.DUMMYFUNCTION("""COMPUTED_VALUE"""),"Multiple detached buildings")</f>
        <v>Multiple detached buildings</v>
      </c>
      <c r="AX406" s="8">
        <f ca="1">IFERROR(__xludf.DUMMYFUNCTION("""COMPUTED_VALUE"""),33404)</f>
        <v>33404</v>
      </c>
    </row>
    <row r="407" spans="1:50" ht="30" x14ac:dyDescent="0.2">
      <c r="A407" s="8" t="str">
        <f ca="1">IFERROR(__xludf.DUMMYFUNCTION("""COMPUTED_VALUE"""),"20240421NYISB")</f>
        <v>20240421NYISB</v>
      </c>
      <c r="B407" s="8">
        <f ca="1">IFERROR(__xludf.DUMMYFUNCTION("""COMPUTED_VALUE"""),4)</f>
        <v>4</v>
      </c>
      <c r="C407" s="8">
        <f ca="1">IFERROR(__xludf.DUMMYFUNCTION("""COMPUTED_VALUE"""),21)</f>
        <v>21</v>
      </c>
      <c r="D407" s="8">
        <f ca="1">IFERROR(__xludf.DUMMYFUNCTION("""COMPUTED_VALUE"""),2024)</f>
        <v>2024</v>
      </c>
      <c r="E407" s="9">
        <f ca="1">IFERROR(__xludf.DUMMYFUNCTION("""COMPUTED_VALUE"""),45403)</f>
        <v>45403</v>
      </c>
      <c r="F407" s="8" t="str">
        <f ca="1">IFERROR(__xludf.DUMMYFUNCTION("""COMPUTED_VALUE"""),"I.S. 068 Isaac Bildersee")</f>
        <v>I.S. 068 Isaac Bildersee</v>
      </c>
      <c r="G407" s="8">
        <f ca="1">IFERROR(__xludf.DUMMYFUNCTION("""COMPUTED_VALUE"""),0)</f>
        <v>0</v>
      </c>
      <c r="H407" s="8">
        <f ca="1">IFERROR(__xludf.DUMMYFUNCTION("""COMPUTED_VALUE"""),1)</f>
        <v>1</v>
      </c>
      <c r="I407" s="8">
        <f ca="1">IFERROR(__xludf.DUMMYFUNCTION("""COMPUTED_VALUE"""),1)</f>
        <v>1</v>
      </c>
      <c r="J407" s="8">
        <f ca="1">IFERROR(__xludf.DUMMYFUNCTION("""COMPUTED_VALUE"""),0)</f>
        <v>0</v>
      </c>
      <c r="K407" s="10" t="str">
        <f ca="1">IFERROR(__xludf.DUMMYFUNCTION("""COMPUTED_VALUE"""),"https://nypost.com/2024/04/21/us-news/14-year-old-boy-shot-in-foot-while-in-nyc-park-police-say/")</f>
        <v>https://nypost.com/2024/04/21/us-news/14-year-old-boy-shot-in-foot-while-in-nyc-park-police-say/</v>
      </c>
      <c r="L407" s="8">
        <f ca="1">IFERROR(__xludf.DUMMYFUNCTION("""COMPUTED_VALUE"""),5)</f>
        <v>5</v>
      </c>
      <c r="M407" s="8" t="str">
        <f ca="1">IFERROR(__xludf.DUMMYFUNCTION("""COMPUTED_VALUE"""),"Regional")</f>
        <v>Regional</v>
      </c>
      <c r="N407" s="8">
        <f ca="1">IFERROR(__xludf.DUMMYFUNCTION("""COMPUTED_VALUE"""),4)</f>
        <v>4</v>
      </c>
      <c r="O407" s="8" t="str">
        <f ca="1">IFERROR(__xludf.DUMMYFUNCTION("""COMPUTED_VALUE"""),"Spring")</f>
        <v>Spring</v>
      </c>
      <c r="P407" s="8" t="str">
        <f ca="1">IFERROR(__xludf.DUMMYFUNCTION("""COMPUTED_VALUE"""),"Brooklyn")</f>
        <v>Brooklyn</v>
      </c>
      <c r="Q407" s="8" t="str">
        <f ca="1">IFERROR(__xludf.DUMMYFUNCTION("""COMPUTED_VALUE"""),"NY")</f>
        <v>NY</v>
      </c>
      <c r="R407" s="8" t="str">
        <f ca="1">IFERROR(__xludf.DUMMYFUNCTION("""COMPUTED_VALUE"""),"Middle")</f>
        <v>Middle</v>
      </c>
      <c r="S407" s="8" t="str">
        <f ca="1">IFERROR(__xludf.DUMMYFUNCTION("""COMPUTED_VALUE"""),"Playground")</f>
        <v>Playground</v>
      </c>
      <c r="T407" s="8" t="str">
        <f ca="1">IFERROR(__xludf.DUMMYFUNCTION("""COMPUTED_VALUE"""),"Outside on School Property")</f>
        <v>Outside on School Property</v>
      </c>
      <c r="U407" s="8" t="str">
        <f ca="1">IFERROR(__xludf.DUMMYFUNCTION("""COMPUTED_VALUE"""),"No")</f>
        <v>No</v>
      </c>
      <c r="V407" s="8" t="str">
        <f ca="1">IFERROR(__xludf.DUMMYFUNCTION("""COMPUTED_VALUE"""),"Evening")</f>
        <v>Evening</v>
      </c>
      <c r="W407" s="11">
        <f ca="1">IFERROR(__xludf.DUMMYFUNCTION("""COMPUTED_VALUE"""),0.708333333333333)</f>
        <v>0.70833333333333304</v>
      </c>
      <c r="X407" s="8">
        <f ca="1">IFERROR(__xludf.DUMMYFUNCTION("""COMPUTED_VALUE"""),1)</f>
        <v>1</v>
      </c>
      <c r="Y407" s="12" t="str">
        <f ca="1">IFERROR(__xludf.DUMMYFUNCTION("""COMPUTED_VALUE"""),"Teen shot on the school playground")</f>
        <v>Teen shot on the school playground</v>
      </c>
      <c r="Z407" s="12" t="str">
        <f ca="1">IFERROR(__xludf.DUMMYFUNCTION("""COMPUTED_VALUE"""),"Teen shot on the school playground. Shooter fled before police arrived.")</f>
        <v>Teen shot on the school playground. Shooter fled before police arrived.</v>
      </c>
      <c r="AA407" s="8"/>
      <c r="AB407" s="8"/>
      <c r="AC407" s="8" t="str">
        <f ca="1">IFERROR(__xludf.DUMMYFUNCTION("""COMPUTED_VALUE"""),"No")</f>
        <v>No</v>
      </c>
      <c r="AD407" s="8" t="str">
        <f ca="1">IFERROR(__xludf.DUMMYFUNCTION("""COMPUTED_VALUE"""),"Victims Targeted")</f>
        <v>Victims Targeted</v>
      </c>
      <c r="AE407" s="8" t="str">
        <f ca="1">IFERROR(__xludf.DUMMYFUNCTION("""COMPUTED_VALUE"""),"No")</f>
        <v>No</v>
      </c>
      <c r="AF407" s="8"/>
      <c r="AG407" s="8" t="str">
        <f ca="1">IFERROR(__xludf.DUMMYFUNCTION("""COMPUTED_VALUE"""),"No")</f>
        <v>No</v>
      </c>
      <c r="AH407" s="8" t="str">
        <f ca="1">IFERROR(__xludf.DUMMYFUNCTION("""COMPUTED_VALUE"""),"No")</f>
        <v>No</v>
      </c>
      <c r="AI407" s="8" t="str">
        <f ca="1">IFERROR(__xludf.DUMMYFUNCTION("""COMPUTED_VALUE"""),"No")</f>
        <v>No</v>
      </c>
      <c r="AJ407" s="8" t="str">
        <f ca="1">IFERROR(__xludf.DUMMYFUNCTION("""COMPUTED_VALUE"""),"No")</f>
        <v>No</v>
      </c>
      <c r="AK407" s="8" t="str">
        <f ca="1">IFERROR(__xludf.DUMMYFUNCTION("""COMPUTED_VALUE"""),"No")</f>
        <v>No</v>
      </c>
      <c r="AL407" s="8"/>
      <c r="AM407" s="8" t="str">
        <f ca="1">IFERROR(__xludf.DUMMYFUNCTION("""COMPUTED_VALUE"""),"No")</f>
        <v>No</v>
      </c>
      <c r="AN407" s="8" t="str">
        <f ca="1">IFERROR(__xludf.DUMMYFUNCTION("""COMPUTED_VALUE"""),"Outside")</f>
        <v>Outside</v>
      </c>
      <c r="AO407" s="8" t="str">
        <f ca="1">IFERROR(__xludf.DUMMYFUNCTION("""COMPUTED_VALUE"""),"No")</f>
        <v>No</v>
      </c>
      <c r="AP407" s="8"/>
      <c r="AQ407" s="8"/>
      <c r="AR407" s="8" t="str">
        <f ca="1">IFERROR(__xludf.DUMMYFUNCTION("""COMPUTED_VALUE"""),"Outside/Off-Property")</f>
        <v>Outside/Off-Property</v>
      </c>
      <c r="AS407" s="8">
        <f ca="1">IFERROR(__xludf.DUMMYFUNCTION("""COMPUTED_VALUE"""),99)</f>
        <v>99</v>
      </c>
      <c r="AT407" s="8" t="str">
        <f ca="1">IFERROR(__xludf.DUMMYFUNCTION("""COMPUTED_VALUE"""),"No")</f>
        <v>No</v>
      </c>
      <c r="AU407" s="8">
        <f ca="1">IFERROR(__xludf.DUMMYFUNCTION("""COMPUTED_VALUE"""),40.63532)</f>
        <v>40.63532</v>
      </c>
      <c r="AV407" s="8">
        <f ca="1">IFERROR(__xludf.DUMMYFUNCTION("""COMPUTED_VALUE"""),-73.911325)</f>
        <v>-73.911325000000005</v>
      </c>
      <c r="AW407" s="8" t="str">
        <f ca="1">IFERROR(__xludf.DUMMYFUNCTION("""COMPUTED_VALUE"""),"Urban with fenced mini campus")</f>
        <v>Urban with fenced mini campus</v>
      </c>
      <c r="AX407" s="8">
        <f ca="1">IFERROR(__xludf.DUMMYFUNCTION("""COMPUTED_VALUE"""),11236)</f>
        <v>11236</v>
      </c>
    </row>
    <row r="408" spans="1:50" ht="135" x14ac:dyDescent="0.2">
      <c r="A408" s="8" t="str">
        <f ca="1">IFERROR(__xludf.DUMMYFUNCTION("""COMPUTED_VALUE"""),"20240419LATIT")</f>
        <v>20240419LATIT</v>
      </c>
      <c r="B408" s="8">
        <f ca="1">IFERROR(__xludf.DUMMYFUNCTION("""COMPUTED_VALUE"""),4)</f>
        <v>4</v>
      </c>
      <c r="C408" s="8">
        <f ca="1">IFERROR(__xludf.DUMMYFUNCTION("""COMPUTED_VALUE"""),19)</f>
        <v>19</v>
      </c>
      <c r="D408" s="8">
        <f ca="1">IFERROR(__xludf.DUMMYFUNCTION("""COMPUTED_VALUE"""),2024)</f>
        <v>2024</v>
      </c>
      <c r="E408" s="9">
        <f ca="1">IFERROR(__xludf.DUMMYFUNCTION("""COMPUTED_VALUE"""),45401)</f>
        <v>45401</v>
      </c>
      <c r="F408" s="8" t="str">
        <f ca="1">IFERROR(__xludf.DUMMYFUNCTION("""COMPUTED_VALUE"""),"Tioga High School")</f>
        <v>Tioga High School</v>
      </c>
      <c r="G408" s="8">
        <f ca="1">IFERROR(__xludf.DUMMYFUNCTION("""COMPUTED_VALUE"""),0)</f>
        <v>0</v>
      </c>
      <c r="H408" s="8">
        <f ca="1">IFERROR(__xludf.DUMMYFUNCTION("""COMPUTED_VALUE"""),0)</f>
        <v>0</v>
      </c>
      <c r="I408" s="8">
        <f ca="1">IFERROR(__xludf.DUMMYFUNCTION("""COMPUTED_VALUE"""),0)</f>
        <v>0</v>
      </c>
      <c r="J408" s="8">
        <f ca="1">IFERROR(__xludf.DUMMYFUNCTION("""COMPUTED_VALUE"""),0)</f>
        <v>0</v>
      </c>
      <c r="K408" s="8" t="str">
        <f ca="1">IFERROR(__xludf.DUMMYFUNCTION("""COMPUTED_VALUE"""),"https://www.wafb.com/2024/04/19/student-arrested-after-allegedly-brandishing-firearm-tioga-high-school/
https://www.cenlanow.com/news/crime/17-year-old-arrested-after-brandishing-firearm-on-local-school-campus/")</f>
        <v>https://www.wafb.com/2024/04/19/student-arrested-after-allegedly-brandishing-firearm-tioga-high-school/
https://www.cenlanow.com/news/crime/17-year-old-arrested-after-brandishing-firearm-on-local-school-campus/</v>
      </c>
      <c r="L408" s="8">
        <f ca="1">IFERROR(__xludf.DUMMYFUNCTION("""COMPUTED_VALUE"""),10)</f>
        <v>10</v>
      </c>
      <c r="M408" s="8" t="str">
        <f ca="1">IFERROR(__xludf.DUMMYFUNCTION("""COMPUTED_VALUE"""),"Regional")</f>
        <v>Regional</v>
      </c>
      <c r="N408" s="8">
        <f ca="1">IFERROR(__xludf.DUMMYFUNCTION("""COMPUTED_VALUE"""),4)</f>
        <v>4</v>
      </c>
      <c r="O408" s="8" t="str">
        <f ca="1">IFERROR(__xludf.DUMMYFUNCTION("""COMPUTED_VALUE"""),"Spring")</f>
        <v>Spring</v>
      </c>
      <c r="P408" s="8" t="str">
        <f ca="1">IFERROR(__xludf.DUMMYFUNCTION("""COMPUTED_VALUE"""),"Tioga")</f>
        <v>Tioga</v>
      </c>
      <c r="Q408" s="8" t="str">
        <f ca="1">IFERROR(__xludf.DUMMYFUNCTION("""COMPUTED_VALUE"""),"LA")</f>
        <v>LA</v>
      </c>
      <c r="R408" s="8" t="str">
        <f ca="1">IFERROR(__xludf.DUMMYFUNCTION("""COMPUTED_VALUE"""),"High")</f>
        <v>High</v>
      </c>
      <c r="S408" s="8" t="str">
        <f ca="1">IFERROR(__xludf.DUMMYFUNCTION("""COMPUTED_VALUE"""),"Parking Lot")</f>
        <v>Parking Lot</v>
      </c>
      <c r="T408" s="8" t="str">
        <f ca="1">IFERROR(__xludf.DUMMYFUNCTION("""COMPUTED_VALUE"""),"Outside on School Property")</f>
        <v>Outside on School Property</v>
      </c>
      <c r="U408" s="8" t="str">
        <f ca="1">IFERROR(__xludf.DUMMYFUNCTION("""COMPUTED_VALUE"""),"Yes")</f>
        <v>Yes</v>
      </c>
      <c r="V408" s="8" t="str">
        <f ca="1">IFERROR(__xludf.DUMMYFUNCTION("""COMPUTED_VALUE"""),"School Start")</f>
        <v>School Start</v>
      </c>
      <c r="W408" s="11">
        <f ca="1">IFERROR(__xludf.DUMMYFUNCTION("""COMPUTED_VALUE"""),0.365277777777777)</f>
        <v>0.36527777777777698</v>
      </c>
      <c r="X408" s="8">
        <f ca="1">IFERROR(__xludf.DUMMYFUNCTION("""COMPUTED_VALUE"""),1)</f>
        <v>1</v>
      </c>
      <c r="Y408" s="12" t="str">
        <f ca="1">IFERROR(__xludf.DUMMYFUNCTION("""COMPUTED_VALUE"""),"Student pointed loaded handgun and threatened classmate in school parking lot")</f>
        <v>Student pointed loaded handgun and threatened classmate in school parking lot</v>
      </c>
      <c r="Z408" s="12" t="str">
        <f ca="1">IFERROR(__xludf.DUMMYFUNCTION("""COMPUTED_VALUE"""),"On April 19, 2024, at approximately 8:46 AM, the Deputy School Resource Officer (SRO) at Tioga High School responded to a report of a student allegedly brandishing a firearm in the parking lot at another student. According to initial reports, a student wa"&amp;"s sitting in their vehicle and when another student passed the vehicle, the suspect pointed a handgun at the student. The student immediately reported the incident to school administration and the SRO responded.")</f>
        <v>On April 19, 2024, at approximately 8:46 AM, the Deputy School Resource Officer (SRO) at Tioga High School responded to a report of a student allegedly brandishing a firearm in the parking lot at another student. According to initial reports, a student was sitting in their vehicle and when another student passed the vehicle, the suspect pointed a handgun at the student. The student immediately reported the incident to school administration and the SRO responded.</v>
      </c>
      <c r="AA408" s="8" t="str">
        <f ca="1">IFERROR(__xludf.DUMMYFUNCTION("""COMPUTED_VALUE"""),"Escalation of Dispute")</f>
        <v>Escalation of Dispute</v>
      </c>
      <c r="AB408" s="8" t="str">
        <f ca="1">IFERROR(__xludf.DUMMYFUNCTION("""COMPUTED_VALUE"""),"Spontaneous")</f>
        <v>Spontaneous</v>
      </c>
      <c r="AC408" s="8" t="str">
        <f ca="1">IFERROR(__xludf.DUMMYFUNCTION("""COMPUTED_VALUE"""),"Yes")</f>
        <v>Yes</v>
      </c>
      <c r="AD408" s="8" t="str">
        <f ca="1">IFERROR(__xludf.DUMMYFUNCTION("""COMPUTED_VALUE"""),"Victims Targeted")</f>
        <v>Victims Targeted</v>
      </c>
      <c r="AE408" s="8" t="str">
        <f ca="1">IFERROR(__xludf.DUMMYFUNCTION("""COMPUTED_VALUE"""),"No")</f>
        <v>No</v>
      </c>
      <c r="AF408" s="8"/>
      <c r="AG408" s="8" t="str">
        <f ca="1">IFERROR(__xludf.DUMMYFUNCTION("""COMPUTED_VALUE"""),"No")</f>
        <v>No</v>
      </c>
      <c r="AH408" s="8" t="str">
        <f ca="1">IFERROR(__xludf.DUMMYFUNCTION("""COMPUTED_VALUE"""),"No")</f>
        <v>No</v>
      </c>
      <c r="AI408" s="8" t="str">
        <f ca="1">IFERROR(__xludf.DUMMYFUNCTION("""COMPUTED_VALUE"""),"No")</f>
        <v>No</v>
      </c>
      <c r="AJ408" s="8"/>
      <c r="AK408" s="8" t="str">
        <f ca="1">IFERROR(__xludf.DUMMYFUNCTION("""COMPUTED_VALUE"""),"No")</f>
        <v>No</v>
      </c>
      <c r="AL408" s="8" t="str">
        <f ca="1">IFERROR(__xludf.DUMMYFUNCTION("""COMPUTED_VALUE"""),"No")</f>
        <v>No</v>
      </c>
      <c r="AM408" s="8" t="str">
        <f ca="1">IFERROR(__xludf.DUMMYFUNCTION("""COMPUTED_VALUE"""),"No")</f>
        <v>No</v>
      </c>
      <c r="AN408" s="8" t="str">
        <f ca="1">IFERROR(__xludf.DUMMYFUNCTION("""COMPUTED_VALUE"""),"Outside")</f>
        <v>Outside</v>
      </c>
      <c r="AO408" s="8" t="str">
        <f ca="1">IFERROR(__xludf.DUMMYFUNCTION("""COMPUTED_VALUE"""),"No")</f>
        <v>No</v>
      </c>
      <c r="AP408" s="8" t="str">
        <f ca="1">IFERROR(__xludf.DUMMYFUNCTION("""COMPUTED_VALUE"""),"Yes")</f>
        <v>Yes</v>
      </c>
      <c r="AQ408" s="8"/>
      <c r="AR408" s="8" t="str">
        <f ca="1">IFERROR(__xludf.DUMMYFUNCTION("""COMPUTED_VALUE"""),"Outside/Off-Property")</f>
        <v>Outside/Off-Property</v>
      </c>
      <c r="AS408" s="8">
        <f ca="1">IFERROR(__xludf.DUMMYFUNCTION("""COMPUTED_VALUE"""),0)</f>
        <v>0</v>
      </c>
      <c r="AT408" s="8" t="str">
        <f ca="1">IFERROR(__xludf.DUMMYFUNCTION("""COMPUTED_VALUE"""),"No")</f>
        <v>No</v>
      </c>
      <c r="AU408" s="8">
        <f ca="1">IFERROR(__xludf.DUMMYFUNCTION("""COMPUTED_VALUE"""),31.381342)</f>
        <v>31.381342</v>
      </c>
      <c r="AV408" s="8">
        <f ca="1">IFERROR(__xludf.DUMMYFUNCTION("""COMPUTED_VALUE"""),-92.424952)</f>
        <v>-92.424952000000005</v>
      </c>
      <c r="AW408" s="8" t="str">
        <f ca="1">IFERROR(__xludf.DUMMYFUNCTION("""COMPUTED_VALUE"""),"Multiple attached buildings")</f>
        <v>Multiple attached buildings</v>
      </c>
      <c r="AX408" s="8">
        <f ca="1">IFERROR(__xludf.DUMMYFUNCTION("""COMPUTED_VALUE"""),71360)</f>
        <v>71360</v>
      </c>
    </row>
    <row r="409" spans="1:50" ht="210" x14ac:dyDescent="0.2">
      <c r="A409" s="8" t="str">
        <f ca="1">IFERROR(__xludf.DUMMYFUNCTION("""COMPUTED_VALUE"""),"20240418WASHS")</f>
        <v>20240418WASHS</v>
      </c>
      <c r="B409" s="8">
        <f ca="1">IFERROR(__xludf.DUMMYFUNCTION("""COMPUTED_VALUE"""),4)</f>
        <v>4</v>
      </c>
      <c r="C409" s="8">
        <f ca="1">IFERROR(__xludf.DUMMYFUNCTION("""COMPUTED_VALUE"""),18)</f>
        <v>18</v>
      </c>
      <c r="D409" s="8">
        <f ca="1">IFERROR(__xludf.DUMMYFUNCTION("""COMPUTED_VALUE"""),2024)</f>
        <v>2024</v>
      </c>
      <c r="E409" s="9">
        <f ca="1">IFERROR(__xludf.DUMMYFUNCTION("""COMPUTED_VALUE"""),45400)</f>
        <v>45400</v>
      </c>
      <c r="F409" s="8" t="str">
        <f ca="1">IFERROR(__xludf.DUMMYFUNCTION("""COMPUTED_VALUE"""),"Shadle Park High School")</f>
        <v>Shadle Park High School</v>
      </c>
      <c r="G409" s="8">
        <f ca="1">IFERROR(__xludf.DUMMYFUNCTION("""COMPUTED_VALUE"""),0)</f>
        <v>0</v>
      </c>
      <c r="H409" s="8">
        <f ca="1">IFERROR(__xludf.DUMMYFUNCTION("""COMPUTED_VALUE"""),1)</f>
        <v>1</v>
      </c>
      <c r="I409" s="8">
        <f ca="1">IFERROR(__xludf.DUMMYFUNCTION("""COMPUTED_VALUE"""),1)</f>
        <v>1</v>
      </c>
      <c r="J409" s="8">
        <f ca="1">IFERROR(__xludf.DUMMYFUNCTION("""COMPUTED_VALUE"""),0)</f>
        <v>0</v>
      </c>
      <c r="K409" s="8" t="str">
        <f ca="1">IFERROR(__xludf.DUMMYFUNCTION("""COMPUTED_VALUE"""),"https://www.kxly.com/news/witnesses-describe-gunfire-shooting-next-to-shadle-park-high-school/article_743f0766-fdeb-11ee-8e3c-5f8eae4eca91.html
https://www.spokesman.com/stories/2024/apr/18/police-officers-shoot-man-on-edge-of-shadle-park-h/")</f>
        <v>https://www.kxly.com/news/witnesses-describe-gunfire-shooting-next-to-shadle-park-high-school/article_743f0766-fdeb-11ee-8e3c-5f8eae4eca91.html
https://www.spokesman.com/stories/2024/apr/18/police-officers-shoot-man-on-edge-of-shadle-park-h/</v>
      </c>
      <c r="L409" s="8">
        <f ca="1">IFERROR(__xludf.DUMMYFUNCTION("""COMPUTED_VALUE"""),6)</f>
        <v>6</v>
      </c>
      <c r="M409" s="8" t="str">
        <f ca="1">IFERROR(__xludf.DUMMYFUNCTION("""COMPUTED_VALUE"""),"Regional")</f>
        <v>Regional</v>
      </c>
      <c r="N409" s="8">
        <f ca="1">IFERROR(__xludf.DUMMYFUNCTION("""COMPUTED_VALUE"""),4)</f>
        <v>4</v>
      </c>
      <c r="O409" s="8" t="str">
        <f ca="1">IFERROR(__xludf.DUMMYFUNCTION("""COMPUTED_VALUE"""),"Spring")</f>
        <v>Spring</v>
      </c>
      <c r="P409" s="8" t="str">
        <f ca="1">IFERROR(__xludf.DUMMYFUNCTION("""COMPUTED_VALUE"""),"Spokane")</f>
        <v>Spokane</v>
      </c>
      <c r="Q409" s="8" t="str">
        <f ca="1">IFERROR(__xludf.DUMMYFUNCTION("""COMPUTED_VALUE"""),"WA")</f>
        <v>WA</v>
      </c>
      <c r="R409" s="8" t="str">
        <f ca="1">IFERROR(__xludf.DUMMYFUNCTION("""COMPUTED_VALUE"""),"High")</f>
        <v>High</v>
      </c>
      <c r="S409" s="8" t="str">
        <f ca="1">IFERROR(__xludf.DUMMYFUNCTION("""COMPUTED_VALUE"""),"Parking Lot")</f>
        <v>Parking Lot</v>
      </c>
      <c r="T409" s="8" t="str">
        <f ca="1">IFERROR(__xludf.DUMMYFUNCTION("""COMPUTED_VALUE"""),"Outside on School Property")</f>
        <v>Outside on School Property</v>
      </c>
      <c r="U409" s="8" t="str">
        <f ca="1">IFERROR(__xludf.DUMMYFUNCTION("""COMPUTED_VALUE"""),"No")</f>
        <v>No</v>
      </c>
      <c r="V409" s="8" t="str">
        <f ca="1">IFERROR(__xludf.DUMMYFUNCTION("""COMPUTED_VALUE"""),"Sport Event")</f>
        <v>Sport Event</v>
      </c>
      <c r="W409" s="11">
        <f ca="1">IFERROR(__xludf.DUMMYFUNCTION("""COMPUTED_VALUE"""),0.760416666666666)</f>
        <v>0.76041666666666596</v>
      </c>
      <c r="X409" s="8">
        <f ca="1">IFERROR(__xludf.DUMMYFUNCTION("""COMPUTED_VALUE"""),1)</f>
        <v>1</v>
      </c>
      <c r="Y409" s="12" t="str">
        <f ca="1">IFERROR(__xludf.DUMMYFUNCTION("""COMPUTED_VALUE"""),"Police fired 12 shots at fleeing suspect in school parking lot while track and baseball practice were taking place nearby")</f>
        <v>Police fired 12 shots at fleeing suspect in school parking lot while track and baseball practice were taking place nearby</v>
      </c>
      <c r="Z409" s="12" t="str">
        <f ca="1">IFERROR(__xludf.DUMMYFUNCTION("""COMPUTED_VALUE"""),"At 4:30pm yesterday, Spokane WA police were called for a dispute between a tow truck driver and a vehicle owner. Before officers arrived, the man fired a shot at the tow truck and then drove away from the scene. Escalations of disputes are the most common"&amp;" reason for a shooting in public. The tow truck driver was not injured. At 6:15pm, the suspect was spotted near the baseball field of Shadle Park High while a game was being played. When the suspect fled, officers fired 12 shots at him. At least two stuck"&amp;" the suspect. Shooting took place in the school parking lot. Students were involved in sports activities taking place on both sides of the parking lot. Based on the evidence markers in the photo, the shots fired by the officer(s) were about 20 feet from t"&amp;"he track.")</f>
        <v>At 4:30pm yesterday, Spokane WA police were called for a dispute between a tow truck driver and a vehicle owner. Before officers arrived, the man fired a shot at the tow truck and then drove away from the scene. Escalations of disputes are the most common reason for a shooting in public. The tow truck driver was not injured. At 6:15pm, the suspect was spotted near the baseball field of Shadle Park High while a game was being played. When the suspect fled, officers fired 12 shots at him. At least two stuck the suspect. Shooting took place in the school parking lot. Students were involved in sports activities taking place on both sides of the parking lot. Based on the evidence markers in the photo, the shots fired by the officer(s) were about 20 feet from the track.</v>
      </c>
      <c r="AA409" s="8" t="str">
        <f ca="1">IFERROR(__xludf.DUMMYFUNCTION("""COMPUTED_VALUE"""),"Officer-Involved Shooting")</f>
        <v>Officer-Involved Shooting</v>
      </c>
      <c r="AB409" s="8" t="str">
        <f ca="1">IFERROR(__xludf.DUMMYFUNCTION("""COMPUTED_VALUE"""),"Spontaneous")</f>
        <v>Spontaneous</v>
      </c>
      <c r="AC409" s="8" t="str">
        <f ca="1">IFERROR(__xludf.DUMMYFUNCTION("""COMPUTED_VALUE"""),"Yes")</f>
        <v>Yes</v>
      </c>
      <c r="AD409" s="8" t="str">
        <f ca="1">IFERROR(__xludf.DUMMYFUNCTION("""COMPUTED_VALUE"""),"Victims Targeted")</f>
        <v>Victims Targeted</v>
      </c>
      <c r="AE409" s="8" t="str">
        <f ca="1">IFERROR(__xludf.DUMMYFUNCTION("""COMPUTED_VALUE"""),"No")</f>
        <v>No</v>
      </c>
      <c r="AF409" s="8"/>
      <c r="AG409" s="8" t="str">
        <f ca="1">IFERROR(__xludf.DUMMYFUNCTION("""COMPUTED_VALUE"""),"No")</f>
        <v>No</v>
      </c>
      <c r="AH409" s="8" t="str">
        <f ca="1">IFERROR(__xludf.DUMMYFUNCTION("""COMPUTED_VALUE"""),"No")</f>
        <v>No</v>
      </c>
      <c r="AI409" s="8" t="str">
        <f ca="1">IFERROR(__xludf.DUMMYFUNCTION("""COMPUTED_VALUE"""),"Yes")</f>
        <v>Yes</v>
      </c>
      <c r="AJ409" s="8" t="str">
        <f ca="1">IFERROR(__xludf.DUMMYFUNCTION("""COMPUTED_VALUE"""),"No")</f>
        <v>No</v>
      </c>
      <c r="AK409" s="8" t="str">
        <f ca="1">IFERROR(__xludf.DUMMYFUNCTION("""COMPUTED_VALUE"""),"No")</f>
        <v>No</v>
      </c>
      <c r="AL409" s="8" t="str">
        <f ca="1">IFERROR(__xludf.DUMMYFUNCTION("""COMPUTED_VALUE"""),"No")</f>
        <v>No</v>
      </c>
      <c r="AM409" s="8" t="str">
        <f ca="1">IFERROR(__xludf.DUMMYFUNCTION("""COMPUTED_VALUE"""),"No")</f>
        <v>No</v>
      </c>
      <c r="AN409" s="8" t="str">
        <f ca="1">IFERROR(__xludf.DUMMYFUNCTION("""COMPUTED_VALUE"""),"Outside")</f>
        <v>Outside</v>
      </c>
      <c r="AO409" s="8" t="str">
        <f ca="1">IFERROR(__xludf.DUMMYFUNCTION("""COMPUTED_VALUE"""),"No")</f>
        <v>No</v>
      </c>
      <c r="AP409" s="8"/>
      <c r="AQ409" s="8"/>
      <c r="AR409" s="8" t="str">
        <f ca="1">IFERROR(__xludf.DUMMYFUNCTION("""COMPUTED_VALUE"""),"Outside/Off-Property")</f>
        <v>Outside/Off-Property</v>
      </c>
      <c r="AS409" s="8">
        <f ca="1">IFERROR(__xludf.DUMMYFUNCTION("""COMPUTED_VALUE"""),12)</f>
        <v>12</v>
      </c>
      <c r="AT409" s="8" t="str">
        <f ca="1">IFERROR(__xludf.DUMMYFUNCTION("""COMPUTED_VALUE"""),"Yes")</f>
        <v>Yes</v>
      </c>
      <c r="AU409" s="8">
        <f ca="1">IFERROR(__xludf.DUMMYFUNCTION("""COMPUTED_VALUE"""),47.699678)</f>
        <v>47.699677999999999</v>
      </c>
      <c r="AV409" s="8">
        <f ca="1">IFERROR(__xludf.DUMMYFUNCTION("""COMPUTED_VALUE"""),-117.439469)</f>
        <v>-117.439469</v>
      </c>
      <c r="AW409" s="8" t="str">
        <f ca="1">IFERROR(__xludf.DUMMYFUNCTION("""COMPUTED_VALUE"""),"Multiple attached buildings")</f>
        <v>Multiple attached buildings</v>
      </c>
      <c r="AX409" s="8">
        <f ca="1">IFERROR(__xludf.DUMMYFUNCTION("""COMPUTED_VALUE"""),99205)</f>
        <v>99205</v>
      </c>
    </row>
    <row r="410" spans="1:50" ht="45" x14ac:dyDescent="0.2">
      <c r="A410" s="8" t="str">
        <f ca="1">IFERROR(__xludf.DUMMYFUNCTION("""COMPUTED_VALUE"""),"20240416TNDUM")</f>
        <v>20240416TNDUM</v>
      </c>
      <c r="B410" s="8">
        <f ca="1">IFERROR(__xludf.DUMMYFUNCTION("""COMPUTED_VALUE"""),4)</f>
        <v>4</v>
      </c>
      <c r="C410" s="8">
        <f ca="1">IFERROR(__xludf.DUMMYFUNCTION("""COMPUTED_VALUE"""),16)</f>
        <v>16</v>
      </c>
      <c r="D410" s="8">
        <f ca="1">IFERROR(__xludf.DUMMYFUNCTION("""COMPUTED_VALUE"""),2024)</f>
        <v>2024</v>
      </c>
      <c r="E410" s="9">
        <f ca="1">IFERROR(__xludf.DUMMYFUNCTION("""COMPUTED_VALUE"""),45398)</f>
        <v>45398</v>
      </c>
      <c r="F410" s="8" t="str">
        <f ca="1">IFERROR(__xludf.DUMMYFUNCTION("""COMPUTED_VALUE"""),"Douglass High School")</f>
        <v>Douglass High School</v>
      </c>
      <c r="G410" s="8">
        <f ca="1">IFERROR(__xludf.DUMMYFUNCTION("""COMPUTED_VALUE"""),1)</f>
        <v>1</v>
      </c>
      <c r="H410" s="8">
        <f ca="1">IFERROR(__xludf.DUMMYFUNCTION("""COMPUTED_VALUE"""),1)</f>
        <v>1</v>
      </c>
      <c r="I410" s="8">
        <f ca="1">IFERROR(__xludf.DUMMYFUNCTION("""COMPUTED_VALUE"""),2)</f>
        <v>2</v>
      </c>
      <c r="J410" s="8">
        <f ca="1">IFERROR(__xludf.DUMMYFUNCTION("""COMPUTED_VALUE"""),0)</f>
        <v>0</v>
      </c>
      <c r="K410" s="8" t="str">
        <f ca="1">IFERROR(__xludf.DUMMYFUNCTION("""COMPUTED_VALUE"""),"https://www.actionnews5.com/2024/04/16/teen-dead-another-injured-after-shooting-behind-douglass-community-center/
https://www.actionnews5.com/2024/04/17/16-year-old-dead-17-year-old-injured-after-shooting-behind-douglass-community-center/")</f>
        <v>https://www.actionnews5.com/2024/04/16/teen-dead-another-injured-after-shooting-behind-douglass-community-center/
https://www.actionnews5.com/2024/04/17/16-year-old-dead-17-year-old-injured-after-shooting-behind-douglass-community-center/</v>
      </c>
      <c r="L410" s="8">
        <f ca="1">IFERROR(__xludf.DUMMYFUNCTION("""COMPUTED_VALUE"""),2)</f>
        <v>2</v>
      </c>
      <c r="M410" s="8" t="str">
        <f ca="1">IFERROR(__xludf.DUMMYFUNCTION("""COMPUTED_VALUE"""),"Local")</f>
        <v>Local</v>
      </c>
      <c r="N410" s="8">
        <f ca="1">IFERROR(__xludf.DUMMYFUNCTION("""COMPUTED_VALUE"""),4)</f>
        <v>4</v>
      </c>
      <c r="O410" s="8" t="str">
        <f ca="1">IFERROR(__xludf.DUMMYFUNCTION("""COMPUTED_VALUE"""),"Spring")</f>
        <v>Spring</v>
      </c>
      <c r="P410" s="8" t="str">
        <f ca="1">IFERROR(__xludf.DUMMYFUNCTION("""COMPUTED_VALUE"""),"Memphis")</f>
        <v>Memphis</v>
      </c>
      <c r="Q410" s="8" t="str">
        <f ca="1">IFERROR(__xludf.DUMMYFUNCTION("""COMPUTED_VALUE"""),"TN")</f>
        <v>TN</v>
      </c>
      <c r="R410" s="8" t="str">
        <f ca="1">IFERROR(__xludf.DUMMYFUNCTION("""COMPUTED_VALUE"""),"High")</f>
        <v>High</v>
      </c>
      <c r="S410" s="8" t="str">
        <f ca="1">IFERROR(__xludf.DUMMYFUNCTION("""COMPUTED_VALUE"""),"Parking Lot")</f>
        <v>Parking Lot</v>
      </c>
      <c r="T410" s="8" t="str">
        <f ca="1">IFERROR(__xludf.DUMMYFUNCTION("""COMPUTED_VALUE"""),"Outside on School Property")</f>
        <v>Outside on School Property</v>
      </c>
      <c r="U410" s="8" t="str">
        <f ca="1">IFERROR(__xludf.DUMMYFUNCTION("""COMPUTED_VALUE"""),"Yes")</f>
        <v>Yes</v>
      </c>
      <c r="V410" s="8" t="str">
        <f ca="1">IFERROR(__xludf.DUMMYFUNCTION("""COMPUTED_VALUE"""),"Dismissal")</f>
        <v>Dismissal</v>
      </c>
      <c r="W410" s="11">
        <f ca="1">IFERROR(__xludf.DUMMYFUNCTION("""COMPUTED_VALUE"""),0.661805555555555)</f>
        <v>0.66180555555555498</v>
      </c>
      <c r="X410" s="8">
        <f ca="1">IFERROR(__xludf.DUMMYFUNCTION("""COMPUTED_VALUE"""),1)</f>
        <v>1</v>
      </c>
      <c r="Y410" s="12" t="str">
        <f ca="1">IFERROR(__xludf.DUMMYFUNCTION("""COMPUTED_VALUE"""),"Two students shot during fight at dismissal")</f>
        <v>Two students shot during fight at dismissal</v>
      </c>
      <c r="Z410" s="12" t="str">
        <f ca="1">IFERROR(__xludf.DUMMYFUNCTION("""COMPUTED_VALUE"""),"One student was killed and another was wounded during a fight between the school and the neighboring community center at dismissal. Shooter fled.")</f>
        <v>One student was killed and another was wounded during a fight between the school and the neighboring community center at dismissal. Shooter fled.</v>
      </c>
      <c r="AA410" s="8" t="str">
        <f ca="1">IFERROR(__xludf.DUMMYFUNCTION("""COMPUTED_VALUE"""),"Escalation of Dispute")</f>
        <v>Escalation of Dispute</v>
      </c>
      <c r="AB410" s="8"/>
      <c r="AC410" s="8" t="str">
        <f ca="1">IFERROR(__xludf.DUMMYFUNCTION("""COMPUTED_VALUE"""),"Yes")</f>
        <v>Yes</v>
      </c>
      <c r="AD410" s="8"/>
      <c r="AE410" s="8"/>
      <c r="AF410" s="8"/>
      <c r="AG410" s="8" t="str">
        <f ca="1">IFERROR(__xludf.DUMMYFUNCTION("""COMPUTED_VALUE"""),"No")</f>
        <v>No</v>
      </c>
      <c r="AH410" s="8" t="str">
        <f ca="1">IFERROR(__xludf.DUMMYFUNCTION("""COMPUTED_VALUE"""),"No")</f>
        <v>No</v>
      </c>
      <c r="AI410" s="8" t="str">
        <f ca="1">IFERROR(__xludf.DUMMYFUNCTION("""COMPUTED_VALUE"""),"No")</f>
        <v>No</v>
      </c>
      <c r="AJ410" s="8" t="str">
        <f ca="1">IFERROR(__xludf.DUMMYFUNCTION("""COMPUTED_VALUE"""),"No")</f>
        <v>No</v>
      </c>
      <c r="AK410" s="8" t="str">
        <f ca="1">IFERROR(__xludf.DUMMYFUNCTION("""COMPUTED_VALUE"""),"No")</f>
        <v>No</v>
      </c>
      <c r="AL410" s="8"/>
      <c r="AM410" s="8" t="str">
        <f ca="1">IFERROR(__xludf.DUMMYFUNCTION("""COMPUTED_VALUE"""),"No")</f>
        <v>No</v>
      </c>
      <c r="AN410" s="8" t="str">
        <f ca="1">IFERROR(__xludf.DUMMYFUNCTION("""COMPUTED_VALUE"""),"Outside")</f>
        <v>Outside</v>
      </c>
      <c r="AO410" s="8" t="str">
        <f ca="1">IFERROR(__xludf.DUMMYFUNCTION("""COMPUTED_VALUE"""),"No")</f>
        <v>No</v>
      </c>
      <c r="AP410" s="8"/>
      <c r="AQ410" s="8"/>
      <c r="AR410" s="8" t="str">
        <f ca="1">IFERROR(__xludf.DUMMYFUNCTION("""COMPUTED_VALUE"""),"Outside/Off-Property")</f>
        <v>Outside/Off-Property</v>
      </c>
      <c r="AS410" s="8">
        <f ca="1">IFERROR(__xludf.DUMMYFUNCTION("""COMPUTED_VALUE"""),99)</f>
        <v>99</v>
      </c>
      <c r="AT410" s="8" t="str">
        <f ca="1">IFERROR(__xludf.DUMMYFUNCTION("""COMPUTED_VALUE"""),"No")</f>
        <v>No</v>
      </c>
      <c r="AU410" s="8">
        <f ca="1">IFERROR(__xludf.DUMMYFUNCTION("""COMPUTED_VALUE"""),35.175511)</f>
        <v>35.175511</v>
      </c>
      <c r="AV410" s="8">
        <f ca="1">IFERROR(__xludf.DUMMYFUNCTION("""COMPUTED_VALUE"""),-89.953567)</f>
        <v>-89.953567000000007</v>
      </c>
      <c r="AW410" s="8" t="str">
        <f ca="1">IFERROR(__xludf.DUMMYFUNCTION("""COMPUTED_VALUE"""),"Multiple attached buildings")</f>
        <v>Multiple attached buildings</v>
      </c>
      <c r="AX410" s="8">
        <f ca="1">IFERROR(__xludf.DUMMYFUNCTION("""COMPUTED_VALUE"""),38108)</f>
        <v>38108</v>
      </c>
    </row>
    <row r="411" spans="1:50" ht="165" x14ac:dyDescent="0.2">
      <c r="A411" s="8" t="str">
        <f ca="1">IFERROR(__xludf.DUMMYFUNCTION("""COMPUTED_VALUE"""),"20240416NCVAC")</f>
        <v>20240416NCVAC</v>
      </c>
      <c r="B411" s="8">
        <f ca="1">IFERROR(__xludf.DUMMYFUNCTION("""COMPUTED_VALUE"""),4)</f>
        <v>4</v>
      </c>
      <c r="C411" s="8">
        <f ca="1">IFERROR(__xludf.DUMMYFUNCTION("""COMPUTED_VALUE"""),16)</f>
        <v>16</v>
      </c>
      <c r="D411" s="8">
        <f ca="1">IFERROR(__xludf.DUMMYFUNCTION("""COMPUTED_VALUE"""),2024)</f>
        <v>2024</v>
      </c>
      <c r="E411" s="9">
        <f ca="1">IFERROR(__xludf.DUMMYFUNCTION("""COMPUTED_VALUE"""),45398)</f>
        <v>45398</v>
      </c>
      <c r="F411" s="8" t="str">
        <f ca="1">IFERROR(__xludf.DUMMYFUNCTION("""COMPUTED_VALUE"""),"Valor Preparatory Academy")</f>
        <v>Valor Preparatory Academy</v>
      </c>
      <c r="G411" s="8">
        <f ca="1">IFERROR(__xludf.DUMMYFUNCTION("""COMPUTED_VALUE"""),0)</f>
        <v>0</v>
      </c>
      <c r="H411" s="8">
        <f ca="1">IFERROR(__xludf.DUMMYFUNCTION("""COMPUTED_VALUE"""),0)</f>
        <v>0</v>
      </c>
      <c r="I411" s="8">
        <f ca="1">IFERROR(__xludf.DUMMYFUNCTION("""COMPUTED_VALUE"""),0)</f>
        <v>0</v>
      </c>
      <c r="J411" s="8">
        <f ca="1">IFERROR(__xludf.DUMMYFUNCTION("""COMPUTED_VALUE"""),1)</f>
        <v>1</v>
      </c>
      <c r="K411" s="8" t="str">
        <f ca="1">IFERROR(__xludf.DUMMYFUNCTION("""COMPUTED_VALUE"""),"https://www.yahoo.com/news/concord-mom-arrested-bringing-gun-222244428.html
https://www.wsoctv.com/news/local/student-fatally-shoots-self-outside-concord-school-police-say/I4PUL2QUXZDIRIZIFKRXPEIUZE/")</f>
        <v>https://www.yahoo.com/news/concord-mom-arrested-bringing-gun-222244428.html
https://www.wsoctv.com/news/local/student-fatally-shoots-self-outside-concord-school-police-say/I4PUL2QUXZDIRIZIFKRXPEIUZE/</v>
      </c>
      <c r="L411" s="8">
        <f ca="1">IFERROR(__xludf.DUMMYFUNCTION("""COMPUTED_VALUE"""),10)</f>
        <v>10</v>
      </c>
      <c r="M411" s="8" t="str">
        <f ca="1">IFERROR(__xludf.DUMMYFUNCTION("""COMPUTED_VALUE"""),"Regional")</f>
        <v>Regional</v>
      </c>
      <c r="N411" s="8">
        <f ca="1">IFERROR(__xludf.DUMMYFUNCTION("""COMPUTED_VALUE"""),4)</f>
        <v>4</v>
      </c>
      <c r="O411" s="8" t="str">
        <f ca="1">IFERROR(__xludf.DUMMYFUNCTION("""COMPUTED_VALUE"""),"Spring")</f>
        <v>Spring</v>
      </c>
      <c r="P411" s="8" t="str">
        <f ca="1">IFERROR(__xludf.DUMMYFUNCTION("""COMPUTED_VALUE"""),"Concord")</f>
        <v>Concord</v>
      </c>
      <c r="Q411" s="8" t="str">
        <f ca="1">IFERROR(__xludf.DUMMYFUNCTION("""COMPUTED_VALUE"""),"NC")</f>
        <v>NC</v>
      </c>
      <c r="R411" s="8" t="str">
        <f ca="1">IFERROR(__xludf.DUMMYFUNCTION("""COMPUTED_VALUE"""),"6-12")</f>
        <v>6-12</v>
      </c>
      <c r="S411" s="8" t="str">
        <f ca="1">IFERROR(__xludf.DUMMYFUNCTION("""COMPUTED_VALUE"""),"Parking Lot")</f>
        <v>Parking Lot</v>
      </c>
      <c r="T411" s="8" t="str">
        <f ca="1">IFERROR(__xludf.DUMMYFUNCTION("""COMPUTED_VALUE"""),"Outside on School Property")</f>
        <v>Outside on School Property</v>
      </c>
      <c r="U411" s="8" t="str">
        <f ca="1">IFERROR(__xludf.DUMMYFUNCTION("""COMPUTED_VALUE"""),"Yes")</f>
        <v>Yes</v>
      </c>
      <c r="V411" s="8" t="str">
        <f ca="1">IFERROR(__xludf.DUMMYFUNCTION("""COMPUTED_VALUE"""),"Lunch")</f>
        <v>Lunch</v>
      </c>
      <c r="W411" s="11">
        <f ca="1">IFERROR(__xludf.DUMMYFUNCTION("""COMPUTED_VALUE"""),0.510416666666666)</f>
        <v>0.51041666666666596</v>
      </c>
      <c r="X411" s="8">
        <f ca="1">IFERROR(__xludf.DUMMYFUNCTION("""COMPUTED_VALUE"""),1)</f>
        <v>1</v>
      </c>
      <c r="Y411" s="12" t="str">
        <f ca="1">IFERROR(__xludf.DUMMYFUNCTION("""COMPUTED_VALUE"""),"Student commit suicide in parking lot with gun taken from parent's car after meeting with school administrators")</f>
        <v>Student commit suicide in parking lot with gun taken from parent's car after meeting with school administrators</v>
      </c>
      <c r="Z411" s="12" t="str">
        <f ca="1">IFERROR(__xludf.DUMMYFUNCTION("""COMPUTED_VALUE"""),"The Concord Police Department said a student shot and killed themselves outside their school on Tuesday. Officers said they were called to Valor Preparatory Academy on Ruben Link Road Northwest around 12:15 p.m. They said the student and a parent were mee"&amp;"ting with school administrators. Investigators said the student and parent went to their vehicle, but the parent went back in the school to retrieve something. Police said that was when the student got a gun from inside the car and shot themselves. They d"&amp;"ied at the hospital. Mother arrested on May 1 for having a firearm in a gun free school zone.")</f>
        <v>The Concord Police Department said a student shot and killed themselves outside their school on Tuesday. Officers said they were called to Valor Preparatory Academy on Ruben Link Road Northwest around 12:15 p.m. They said the student and a parent were meeting with school administrators. Investigators said the student and parent went to their vehicle, but the parent went back in the school to retrieve something. Police said that was when the student got a gun from inside the car and shot themselves. They died at the hospital. Mother arrested on May 1 for having a firearm in a gun free school zone.</v>
      </c>
      <c r="AA411" s="8" t="str">
        <f ca="1">IFERROR(__xludf.DUMMYFUNCTION("""COMPUTED_VALUE"""),"Suicide/Attempted")</f>
        <v>Suicide/Attempted</v>
      </c>
      <c r="AB411" s="8" t="str">
        <f ca="1">IFERROR(__xludf.DUMMYFUNCTION("""COMPUTED_VALUE"""),"Targeted")</f>
        <v>Targeted</v>
      </c>
      <c r="AC411" s="8" t="str">
        <f ca="1">IFERROR(__xludf.DUMMYFUNCTION("""COMPUTED_VALUE"""),"Yes")</f>
        <v>Yes</v>
      </c>
      <c r="AD411" s="8" t="str">
        <f ca="1">IFERROR(__xludf.DUMMYFUNCTION("""COMPUTED_VALUE"""),"Victims Targeted")</f>
        <v>Victims Targeted</v>
      </c>
      <c r="AE411" s="8" t="str">
        <f ca="1">IFERROR(__xludf.DUMMYFUNCTION("""COMPUTED_VALUE"""),"No")</f>
        <v>No</v>
      </c>
      <c r="AF411" s="8"/>
      <c r="AG411" s="8" t="str">
        <f ca="1">IFERROR(__xludf.DUMMYFUNCTION("""COMPUTED_VALUE"""),"No")</f>
        <v>No</v>
      </c>
      <c r="AH411" s="8" t="str">
        <f ca="1">IFERROR(__xludf.DUMMYFUNCTION("""COMPUTED_VALUE"""),"No")</f>
        <v>No</v>
      </c>
      <c r="AI411" s="8" t="str">
        <f ca="1">IFERROR(__xludf.DUMMYFUNCTION("""COMPUTED_VALUE"""),"No")</f>
        <v>No</v>
      </c>
      <c r="AJ411" s="8"/>
      <c r="AK411" s="8" t="str">
        <f ca="1">IFERROR(__xludf.DUMMYFUNCTION("""COMPUTED_VALUE"""),"No")</f>
        <v>No</v>
      </c>
      <c r="AL411" s="8"/>
      <c r="AM411" s="8" t="str">
        <f ca="1">IFERROR(__xludf.DUMMYFUNCTION("""COMPUTED_VALUE"""),"No")</f>
        <v>No</v>
      </c>
      <c r="AN411" s="8" t="str">
        <f ca="1">IFERROR(__xludf.DUMMYFUNCTION("""COMPUTED_VALUE"""),"Outside")</f>
        <v>Outside</v>
      </c>
      <c r="AO411" s="8" t="str">
        <f ca="1">IFERROR(__xludf.DUMMYFUNCTION("""COMPUTED_VALUE"""),"No")</f>
        <v>No</v>
      </c>
      <c r="AP411" s="8"/>
      <c r="AQ411" s="8"/>
      <c r="AR411" s="8" t="str">
        <f ca="1">IFERROR(__xludf.DUMMYFUNCTION("""COMPUTED_VALUE"""),"Outside/Off-Property")</f>
        <v>Outside/Off-Property</v>
      </c>
      <c r="AS411" s="8">
        <f ca="1">IFERROR(__xludf.DUMMYFUNCTION("""COMPUTED_VALUE"""),1)</f>
        <v>1</v>
      </c>
      <c r="AT411" s="8"/>
      <c r="AU411" s="8">
        <f ca="1">IFERROR(__xludf.DUMMYFUNCTION("""COMPUTED_VALUE"""),35.382811)</f>
        <v>35.382810999999997</v>
      </c>
      <c r="AV411" s="8">
        <f ca="1">IFERROR(__xludf.DUMMYFUNCTION("""COMPUTED_VALUE"""),-80.704589)</f>
        <v>-80.704588999999999</v>
      </c>
      <c r="AW411" s="8" t="str">
        <f ca="1">IFERROR(__xludf.DUMMYFUNCTION("""COMPUTED_VALUE"""),"Single building indoor hallway")</f>
        <v>Single building indoor hallway</v>
      </c>
      <c r="AX411" s="8">
        <f ca="1">IFERROR(__xludf.DUMMYFUNCTION("""COMPUTED_VALUE"""),28027)</f>
        <v>28027</v>
      </c>
    </row>
    <row r="412" spans="1:50" ht="409.5" x14ac:dyDescent="0.2">
      <c r="A412" s="8" t="str">
        <f ca="1">IFERROR(__xludf.DUMMYFUNCTION("""COMPUTED_VALUE"""),"20240415LAJEJ")</f>
        <v>20240415LAJEJ</v>
      </c>
      <c r="B412" s="8">
        <f ca="1">IFERROR(__xludf.DUMMYFUNCTION("""COMPUTED_VALUE"""),4)</f>
        <v>4</v>
      </c>
      <c r="C412" s="8">
        <f ca="1">IFERROR(__xludf.DUMMYFUNCTION("""COMPUTED_VALUE"""),15)</f>
        <v>15</v>
      </c>
      <c r="D412" s="8">
        <f ca="1">IFERROR(__xludf.DUMMYFUNCTION("""COMPUTED_VALUE"""),2024)</f>
        <v>2024</v>
      </c>
      <c r="E412" s="9">
        <f ca="1">IFERROR(__xludf.DUMMYFUNCTION("""COMPUTED_VALUE"""),45397)</f>
        <v>45397</v>
      </c>
      <c r="F412" s="8" t="str">
        <f ca="1">IFERROR(__xludf.DUMMYFUNCTION("""COMPUTED_VALUE"""),"Jennings High School")</f>
        <v>Jennings High School</v>
      </c>
      <c r="G412" s="8">
        <f ca="1">IFERROR(__xludf.DUMMYFUNCTION("""COMPUTED_VALUE"""),0)</f>
        <v>0</v>
      </c>
      <c r="H412" s="8">
        <f ca="1">IFERROR(__xludf.DUMMYFUNCTION("""COMPUTED_VALUE"""),0)</f>
        <v>0</v>
      </c>
      <c r="I412" s="8">
        <f ca="1">IFERROR(__xludf.DUMMYFUNCTION("""COMPUTED_VALUE"""),0)</f>
        <v>0</v>
      </c>
      <c r="J412" s="8">
        <f ca="1">IFERROR(__xludf.DUMMYFUNCTION("""COMPUTED_VALUE"""),0)</f>
        <v>0</v>
      </c>
      <c r="K412" s="8" t="str">
        <f ca="1">IFERROR(__xludf.DUMMYFUNCTION("""COMPUTED_VALUE"""),"https://americanpress.com/2025/03/25/man-who-entered-jennings-high-fired-shots-sentenced-to-20-years/
https://www.theadvocate.com/acadiana/news/gunman-at-louisiana-had-earlier-stolen-two-vehicles/article_2133c5c4-fc07-11ee-896e-03c5526cd719.html
https://a"&amp;"rchive.is/tRQOH")</f>
        <v>https://americanpress.com/2025/03/25/man-who-entered-jennings-high-fired-shots-sentenced-to-20-years/
https://www.theadvocate.com/acadiana/news/gunman-at-louisiana-had-earlier-stolen-two-vehicles/article_2133c5c4-fc07-11ee-896e-03c5526cd719.html
https://archive.is/tRQOH</v>
      </c>
      <c r="L412" s="8">
        <f ca="1">IFERROR(__xludf.DUMMYFUNCTION("""COMPUTED_VALUE"""),3)</f>
        <v>3</v>
      </c>
      <c r="M412" s="8" t="str">
        <f ca="1">IFERROR(__xludf.DUMMYFUNCTION("""COMPUTED_VALUE"""),"Local")</f>
        <v>Local</v>
      </c>
      <c r="N412" s="8">
        <f ca="1">IFERROR(__xludf.DUMMYFUNCTION("""COMPUTED_VALUE"""),4)</f>
        <v>4</v>
      </c>
      <c r="O412" s="8" t="str">
        <f ca="1">IFERROR(__xludf.DUMMYFUNCTION("""COMPUTED_VALUE"""),"Spring")</f>
        <v>Spring</v>
      </c>
      <c r="P412" s="8" t="str">
        <f ca="1">IFERROR(__xludf.DUMMYFUNCTION("""COMPUTED_VALUE"""),"Jennings")</f>
        <v>Jennings</v>
      </c>
      <c r="Q412" s="8" t="str">
        <f ca="1">IFERROR(__xludf.DUMMYFUNCTION("""COMPUTED_VALUE"""),"LA")</f>
        <v>LA</v>
      </c>
      <c r="R412" s="8" t="str">
        <f ca="1">IFERROR(__xludf.DUMMYFUNCTION("""COMPUTED_VALUE"""),"High")</f>
        <v>High</v>
      </c>
      <c r="S412" s="8" t="str">
        <f ca="1">IFERROR(__xludf.DUMMYFUNCTION("""COMPUTED_VALUE"""),"Hallway")</f>
        <v>Hallway</v>
      </c>
      <c r="T412" s="8" t="str">
        <f ca="1">IFERROR(__xludf.DUMMYFUNCTION("""COMPUTED_VALUE"""),"Inside School Building")</f>
        <v>Inside School Building</v>
      </c>
      <c r="U412" s="8" t="str">
        <f ca="1">IFERROR(__xludf.DUMMYFUNCTION("""COMPUTED_VALUE"""),"No")</f>
        <v>No</v>
      </c>
      <c r="V412" s="8" t="str">
        <f ca="1">IFERROR(__xludf.DUMMYFUNCTION("""COMPUTED_VALUE"""),"Before School")</f>
        <v>Before School</v>
      </c>
      <c r="W412" s="11">
        <f ca="1">IFERROR(__xludf.DUMMYFUNCTION("""COMPUTED_VALUE"""),0.25)</f>
        <v>0.25</v>
      </c>
      <c r="X412" s="8">
        <f ca="1">IFERROR(__xludf.DUMMYFUNCTION("""COMPUTED_VALUE"""),1)</f>
        <v>1</v>
      </c>
      <c r="Y412" s="12" t="str">
        <f ca="1">IFERROR(__xludf.DUMMYFUNCTION("""COMPUTED_VALUE"""),"Man fired shot and threatened school staff before stealing car")</f>
        <v>Man fired shot and threatened school staff before stealing car</v>
      </c>
      <c r="Z412" s="12" t="str">
        <f ca="1">IFERROR(__xludf.DUMMYFUNCTION("""COMPUTED_VALUE"""),"An armed man who entered Jennings High School through an open door and threatened employees before firing the gun into the air and fleeing has been sentenced to 20 years in prison after pleading guilty to multiple charges in the 31st Judicial District Cou"&amp;"rt.  Dillion Michael Champagne, 38, of Duson pleaded guilty on March 12 to multiple charges including theft of a motor vehicle, aggravated burglary, attempted armed robbery, possession of a firearm by a convicted felon. Illegal possession of stolen things"&amp;", illegal possession of stolen firearms, illegal discharge of a weapon, carrying a firearm on school property and simple criminal damage to property.  According to information released by the Jeff Davis Parish District Attorney’s Office on Monday, Champag"&amp;"ne received 8 years at harbor labor for the theft of motor vehicle charge; 18 years at hard labor on the aggravated burglary charge; 18 years at hard labor to be served without benefit of probation, parole or suspension of sentence on the attempted armed "&amp;"robbery charge. In addition, Champagne received 10 years at hard labor without benefit of probation, parole or suspension of sentence  for the possession of a firearm by a convicted felon; 8 years at hard labor for illegal possession of stolen things, thr"&amp;"ee years at hard labor for illegal possession of stolen firearms, two years at hard labor for illegal discharge of weapon; two years at hard labor for carrying a firearm on school property; two years at hard labor for simple criminal damage to property. C"&amp;"hampagne entered Jennings High School in the early morning of April 15, 2024, after abandoning a stolen vehicle on the interstate nearby. He discharged a firearm into the air, threatened school employees with a handgun, and stole a set of car keys before "&amp;"fleeing into the woods. No students were present at the school during the incident.  Following an all-day search, Champagne was take into custody without incident after being seen walking on the Jaenke Bridge on La. 97. Police believe Champagne, who was w"&amp;"et at the time of arrest, had been hiding along Bayou Nezpique, which is a tributary of the Mermentau River.")</f>
        <v>An armed man who entered Jennings High School through an open door and threatened employees before firing the gun into the air and fleeing has been sentenced to 20 years in prison after pleading guilty to multiple charges in the 31st Judicial District Court.  Dillion Michael Champagne, 38, of Duson pleaded guilty on March 12 to multiple charges including theft of a motor vehicle, aggravated burglary, attempted armed robbery, possession of a firearm by a convicted felon. Illegal possession of stolen things, illegal possession of stolen firearms, illegal discharge of a weapon, carrying a firearm on school property and simple criminal damage to property.  According to information released by the Jeff Davis Parish District Attorney’s Office on Monday, Champagne received 8 years at harbor labor for the theft of motor vehicle charge; 18 years at hard labor on the aggravated burglary charge; 18 years at hard labor to be served without benefit of probation, parole or suspension of sentence on the attempted armed robbery charge. In addition, Champagne received 10 years at hard labor without benefit of probation, parole or suspension of sentence  for the possession of a firearm by a convicted felon; 8 years at hard labor for illegal possession of stolen things, three years at hard labor for illegal possession of stolen firearms, two years at hard labor for illegal discharge of weapon; two years at hard labor for carrying a firearm on school property; two years at hard labor for simple criminal damage to property. Champagne entered Jennings High School in the early morning of April 15, 2024, after abandoning a stolen vehicle on the interstate nearby. He discharged a firearm into the air, threatened school employees with a handgun, and stole a set of car keys before fleeing into the woods. No students were present at the school during the incident.  Following an all-day search, Champagne was take into custody without incident after being seen walking on the Jaenke Bridge on La. 97. Police believe Champagne, who was wet at the time of arrest, had been hiding along Bayou Nezpique, which is a tributary of the Mermentau River.</v>
      </c>
      <c r="AA412" s="8" t="str">
        <f ca="1">IFERROR(__xludf.DUMMYFUNCTION("""COMPUTED_VALUE"""),"Illegal Activity")</f>
        <v>Illegal Activity</v>
      </c>
      <c r="AB412" s="8" t="str">
        <f ca="1">IFERROR(__xludf.DUMMYFUNCTION("""COMPUTED_VALUE"""),"Spontaneous")</f>
        <v>Spontaneous</v>
      </c>
      <c r="AC412" s="8" t="str">
        <f ca="1">IFERROR(__xludf.DUMMYFUNCTION("""COMPUTED_VALUE"""),"Yes")</f>
        <v>Yes</v>
      </c>
      <c r="AD412" s="8" t="str">
        <f ca="1">IFERROR(__xludf.DUMMYFUNCTION("""COMPUTED_VALUE"""),"Random Shooting")</f>
        <v>Random Shooting</v>
      </c>
      <c r="AE412" s="8" t="str">
        <f ca="1">IFERROR(__xludf.DUMMYFUNCTION("""COMPUTED_VALUE"""),"No")</f>
        <v>No</v>
      </c>
      <c r="AF412" s="8"/>
      <c r="AG412" s="8" t="str">
        <f ca="1">IFERROR(__xludf.DUMMYFUNCTION("""COMPUTED_VALUE"""),"No")</f>
        <v>No</v>
      </c>
      <c r="AH412" s="8" t="str">
        <f ca="1">IFERROR(__xludf.DUMMYFUNCTION("""COMPUTED_VALUE"""),"No")</f>
        <v>No</v>
      </c>
      <c r="AI412" s="8" t="str">
        <f ca="1">IFERROR(__xludf.DUMMYFUNCTION("""COMPUTED_VALUE"""),"No")</f>
        <v>No</v>
      </c>
      <c r="AJ412" s="8" t="str">
        <f ca="1">IFERROR(__xludf.DUMMYFUNCTION("""COMPUTED_VALUE"""),"No")</f>
        <v>No</v>
      </c>
      <c r="AK412" s="8" t="str">
        <f ca="1">IFERROR(__xludf.DUMMYFUNCTION("""COMPUTED_VALUE"""),"No")</f>
        <v>No</v>
      </c>
      <c r="AL412" s="8" t="str">
        <f ca="1">IFERROR(__xludf.DUMMYFUNCTION("""COMPUTED_VALUE"""),"No")</f>
        <v>No</v>
      </c>
      <c r="AM412" s="8" t="str">
        <f ca="1">IFERROR(__xludf.DUMMYFUNCTION("""COMPUTED_VALUE"""),"No")</f>
        <v>No</v>
      </c>
      <c r="AN412" s="8" t="str">
        <f ca="1">IFERROR(__xludf.DUMMYFUNCTION("""COMPUTED_VALUE"""),"Hallway")</f>
        <v>Hallway</v>
      </c>
      <c r="AO412" s="8" t="str">
        <f ca="1">IFERROR(__xludf.DUMMYFUNCTION("""COMPUTED_VALUE"""),"No")</f>
        <v>No</v>
      </c>
      <c r="AP412" s="8"/>
      <c r="AQ412" s="8"/>
      <c r="AR412" s="8" t="str">
        <f ca="1">IFERROR(__xludf.DUMMYFUNCTION("""COMPUTED_VALUE"""),"Outside/Off-Property")</f>
        <v>Outside/Off-Property</v>
      </c>
      <c r="AS412" s="8">
        <f ca="1">IFERROR(__xludf.DUMMYFUNCTION("""COMPUTED_VALUE"""),1)</f>
        <v>1</v>
      </c>
      <c r="AT412" s="8" t="str">
        <f ca="1">IFERROR(__xludf.DUMMYFUNCTION("""COMPUTED_VALUE"""),"No")</f>
        <v>No</v>
      </c>
      <c r="AU412" s="8">
        <f ca="1">IFERROR(__xludf.DUMMYFUNCTION("""COMPUTED_VALUE"""),30.24337)</f>
        <v>30.243369999999999</v>
      </c>
      <c r="AV412" s="8">
        <f ca="1">IFERROR(__xludf.DUMMYFUNCTION("""COMPUTED_VALUE"""),-92.651669)</f>
        <v>-92.651668999999998</v>
      </c>
      <c r="AW412" s="8" t="str">
        <f ca="1">IFERROR(__xludf.DUMMYFUNCTION("""COMPUTED_VALUE"""),"Multiple detached buildings")</f>
        <v>Multiple detached buildings</v>
      </c>
      <c r="AX412" s="8">
        <f ca="1">IFERROR(__xludf.DUMMYFUNCTION("""COMPUTED_VALUE"""),70546)</f>
        <v>70546</v>
      </c>
    </row>
    <row r="413" spans="1:50" ht="90" x14ac:dyDescent="0.2">
      <c r="A413" s="8" t="str">
        <f ca="1">IFERROR(__xludf.DUMMYFUNCTION("""COMPUTED_VALUE"""),"20240415PAWEW")</f>
        <v>20240415PAWEW</v>
      </c>
      <c r="B413" s="8">
        <f ca="1">IFERROR(__xludf.DUMMYFUNCTION("""COMPUTED_VALUE"""),4)</f>
        <v>4</v>
      </c>
      <c r="C413" s="8">
        <f ca="1">IFERROR(__xludf.DUMMYFUNCTION("""COMPUTED_VALUE"""),15)</f>
        <v>15</v>
      </c>
      <c r="D413" s="8">
        <f ca="1">IFERROR(__xludf.DUMMYFUNCTION("""COMPUTED_VALUE"""),2024)</f>
        <v>2024</v>
      </c>
      <c r="E413" s="9">
        <f ca="1">IFERROR(__xludf.DUMMYFUNCTION("""COMPUTED_VALUE"""),45397)</f>
        <v>45397</v>
      </c>
      <c r="F413" s="8" t="str">
        <f ca="1">IFERROR(__xludf.DUMMYFUNCTION("""COMPUTED_VALUE"""),"West Hazleton Elementary Middle School")</f>
        <v>West Hazleton Elementary Middle School</v>
      </c>
      <c r="G413" s="8">
        <f ca="1">IFERROR(__xludf.DUMMYFUNCTION("""COMPUTED_VALUE"""),0)</f>
        <v>0</v>
      </c>
      <c r="H413" s="8">
        <f ca="1">IFERROR(__xludf.DUMMYFUNCTION("""COMPUTED_VALUE"""),0)</f>
        <v>0</v>
      </c>
      <c r="I413" s="8">
        <f ca="1">IFERROR(__xludf.DUMMYFUNCTION("""COMPUTED_VALUE"""),0)</f>
        <v>0</v>
      </c>
      <c r="J413" s="8">
        <f ca="1">IFERROR(__xludf.DUMMYFUNCTION("""COMPUTED_VALUE"""),0)</f>
        <v>0</v>
      </c>
      <c r="K413" s="10" t="str">
        <f ca="1">IFERROR(__xludf.DUMMYFUNCTION("""COMPUTED_VALUE"""),"https://www.pahomepage.com/news/shots-fired-behind-luzerne-county-school-juveniles-charged/")</f>
        <v>https://www.pahomepage.com/news/shots-fired-behind-luzerne-county-school-juveniles-charged/</v>
      </c>
      <c r="L413" s="8">
        <f ca="1">IFERROR(__xludf.DUMMYFUNCTION("""COMPUTED_VALUE"""),1)</f>
        <v>1</v>
      </c>
      <c r="M413" s="8" t="str">
        <f ca="1">IFERROR(__xludf.DUMMYFUNCTION("""COMPUTED_VALUE"""),"Local")</f>
        <v>Local</v>
      </c>
      <c r="N413" s="8">
        <f ca="1">IFERROR(__xludf.DUMMYFUNCTION("""COMPUTED_VALUE"""),3)</f>
        <v>3</v>
      </c>
      <c r="O413" s="8" t="str">
        <f ca="1">IFERROR(__xludf.DUMMYFUNCTION("""COMPUTED_VALUE"""),"Spring")</f>
        <v>Spring</v>
      </c>
      <c r="P413" s="8" t="str">
        <f ca="1">IFERROR(__xludf.DUMMYFUNCTION("""COMPUTED_VALUE"""),"West Hazleton")</f>
        <v>West Hazleton</v>
      </c>
      <c r="Q413" s="8" t="str">
        <f ca="1">IFERROR(__xludf.DUMMYFUNCTION("""COMPUTED_VALUE"""),"PA")</f>
        <v>PA</v>
      </c>
      <c r="R413" s="8" t="str">
        <f ca="1">IFERROR(__xludf.DUMMYFUNCTION("""COMPUTED_VALUE"""),"K-8")</f>
        <v>K-8</v>
      </c>
      <c r="S413" s="8" t="str">
        <f ca="1">IFERROR(__xludf.DUMMYFUNCTION("""COMPUTED_VALUE"""),"Field (General)")</f>
        <v>Field (General)</v>
      </c>
      <c r="T413" s="8" t="str">
        <f ca="1">IFERROR(__xludf.DUMMYFUNCTION("""COMPUTED_VALUE"""),"Outside on School Property")</f>
        <v>Outside on School Property</v>
      </c>
      <c r="U413" s="8" t="str">
        <f ca="1">IFERROR(__xludf.DUMMYFUNCTION("""COMPUTED_VALUE"""),"No")</f>
        <v>No</v>
      </c>
      <c r="V413" s="8" t="str">
        <f ca="1">IFERROR(__xludf.DUMMYFUNCTION("""COMPUTED_VALUE"""),"Evening")</f>
        <v>Evening</v>
      </c>
      <c r="W413" s="11">
        <f ca="1">IFERROR(__xludf.DUMMYFUNCTION("""COMPUTED_VALUE"""),0.826388888888888)</f>
        <v>0.82638888888888795</v>
      </c>
      <c r="X413" s="8">
        <f ca="1">IFERROR(__xludf.DUMMYFUNCTION("""COMPUTED_VALUE"""),1)</f>
        <v>1</v>
      </c>
      <c r="Y413" s="12" t="str">
        <f ca="1">IFERROR(__xludf.DUMMYFUNCTION("""COMPUTED_VALUE"""),"Seven shots fired during fight between teens at baseball field, large group of kids were playing nearby")</f>
        <v>Seven shots fired during fight between teens at baseball field, large group of kids were playing nearby</v>
      </c>
      <c r="Z413" s="12" t="str">
        <f ca="1">IFERROR(__xludf.DUMMYFUNCTION("""COMPUTED_VALUE"""),"Seven shots fired during fight between teens at baseball field, large group of kids were playing nearby. Shooter fled before police arrived.")</f>
        <v>Seven shots fired during fight between teens at baseball field, large group of kids were playing nearby. Shooter fled before police arrived.</v>
      </c>
      <c r="AA413" s="8" t="str">
        <f ca="1">IFERROR(__xludf.DUMMYFUNCTION("""COMPUTED_VALUE"""),"Escalation of Dispute")</f>
        <v>Escalation of Dispute</v>
      </c>
      <c r="AB413" s="8" t="str">
        <f ca="1">IFERROR(__xludf.DUMMYFUNCTION("""COMPUTED_VALUE"""),"Targeted")</f>
        <v>Targeted</v>
      </c>
      <c r="AC413" s="8" t="str">
        <f ca="1">IFERROR(__xludf.DUMMYFUNCTION("""COMPUTED_VALUE"""),"Yes")</f>
        <v>Yes</v>
      </c>
      <c r="AD413" s="8" t="str">
        <f ca="1">IFERROR(__xludf.DUMMYFUNCTION("""COMPUTED_VALUE"""),"Victims Targeted")</f>
        <v>Victims Targeted</v>
      </c>
      <c r="AE413" s="8" t="str">
        <f ca="1">IFERROR(__xludf.DUMMYFUNCTION("""COMPUTED_VALUE"""),"No")</f>
        <v>No</v>
      </c>
      <c r="AF413" s="8"/>
      <c r="AG413" s="8" t="str">
        <f ca="1">IFERROR(__xludf.DUMMYFUNCTION("""COMPUTED_VALUE"""),"No")</f>
        <v>No</v>
      </c>
      <c r="AH413" s="8" t="str">
        <f ca="1">IFERROR(__xludf.DUMMYFUNCTION("""COMPUTED_VALUE"""),"No")</f>
        <v>No</v>
      </c>
      <c r="AI413" s="8" t="str">
        <f ca="1">IFERROR(__xludf.DUMMYFUNCTION("""COMPUTED_VALUE"""),"No")</f>
        <v>No</v>
      </c>
      <c r="AJ413" s="8" t="str">
        <f ca="1">IFERROR(__xludf.DUMMYFUNCTION("""COMPUTED_VALUE"""),"No")</f>
        <v>No</v>
      </c>
      <c r="AK413" s="8" t="str">
        <f ca="1">IFERROR(__xludf.DUMMYFUNCTION("""COMPUTED_VALUE"""),"No")</f>
        <v>No</v>
      </c>
      <c r="AL413" s="8"/>
      <c r="AM413" s="8" t="str">
        <f ca="1">IFERROR(__xludf.DUMMYFUNCTION("""COMPUTED_VALUE"""),"No")</f>
        <v>No</v>
      </c>
      <c r="AN413" s="8" t="str">
        <f ca="1">IFERROR(__xludf.DUMMYFUNCTION("""COMPUTED_VALUE"""),"Outside")</f>
        <v>Outside</v>
      </c>
      <c r="AO413" s="8" t="str">
        <f ca="1">IFERROR(__xludf.DUMMYFUNCTION("""COMPUTED_VALUE"""),"No")</f>
        <v>No</v>
      </c>
      <c r="AP413" s="8"/>
      <c r="AQ413" s="8"/>
      <c r="AR413" s="8" t="str">
        <f ca="1">IFERROR(__xludf.DUMMYFUNCTION("""COMPUTED_VALUE"""),"Outside/Off-Property")</f>
        <v>Outside/Off-Property</v>
      </c>
      <c r="AS413" s="8">
        <f ca="1">IFERROR(__xludf.DUMMYFUNCTION("""COMPUTED_VALUE"""),7)</f>
        <v>7</v>
      </c>
      <c r="AT413" s="8" t="str">
        <f ca="1">IFERROR(__xludf.DUMMYFUNCTION("""COMPUTED_VALUE"""),"No")</f>
        <v>No</v>
      </c>
      <c r="AU413" s="8">
        <f ca="1">IFERROR(__xludf.DUMMYFUNCTION("""COMPUTED_VALUE"""),40.960731)</f>
        <v>40.960731000000003</v>
      </c>
      <c r="AV413" s="8">
        <f ca="1">IFERROR(__xludf.DUMMYFUNCTION("""COMPUTED_VALUE"""),-76.00045)</f>
        <v>-76.000450000000001</v>
      </c>
      <c r="AW413" s="8" t="str">
        <f ca="1">IFERROR(__xludf.DUMMYFUNCTION("""COMPUTED_VALUE"""),"Multiple attached buildings")</f>
        <v>Multiple attached buildings</v>
      </c>
      <c r="AX413" s="8">
        <f ca="1">IFERROR(__xludf.DUMMYFUNCTION("""COMPUTED_VALUE"""),18202)</f>
        <v>18202</v>
      </c>
    </row>
    <row r="414" spans="1:50" ht="75" x14ac:dyDescent="0.2">
      <c r="A414" s="8" t="str">
        <f ca="1">IFERROR(__xludf.DUMMYFUNCTION("""COMPUTED_VALUE"""),"20240415FLYOJ")</f>
        <v>20240415FLYOJ</v>
      </c>
      <c r="B414" s="8">
        <f ca="1">IFERROR(__xludf.DUMMYFUNCTION("""COMPUTED_VALUE"""),4)</f>
        <v>4</v>
      </c>
      <c r="C414" s="8">
        <f ca="1">IFERROR(__xludf.DUMMYFUNCTION("""COMPUTED_VALUE"""),15)</f>
        <v>15</v>
      </c>
      <c r="D414" s="8">
        <f ca="1">IFERROR(__xludf.DUMMYFUNCTION("""COMPUTED_VALUE"""),2024)</f>
        <v>2024</v>
      </c>
      <c r="E414" s="9">
        <f ca="1">IFERROR(__xludf.DUMMYFUNCTION("""COMPUTED_VALUE"""),45397)</f>
        <v>45397</v>
      </c>
      <c r="F414" s="8" t="str">
        <f ca="1">IFERROR(__xludf.DUMMYFUNCTION("""COMPUTED_VALUE"""),"Young Kids in Motion Academy")</f>
        <v>Young Kids in Motion Academy</v>
      </c>
      <c r="G414" s="8">
        <f ca="1">IFERROR(__xludf.DUMMYFUNCTION("""COMPUTED_VALUE"""),0)</f>
        <v>0</v>
      </c>
      <c r="H414" s="8">
        <f ca="1">IFERROR(__xludf.DUMMYFUNCTION("""COMPUTED_VALUE"""),0)</f>
        <v>0</v>
      </c>
      <c r="I414" s="8">
        <f ca="1">IFERROR(__xludf.DUMMYFUNCTION("""COMPUTED_VALUE"""),0)</f>
        <v>0</v>
      </c>
      <c r="J414" s="8">
        <f ca="1">IFERROR(__xludf.DUMMYFUNCTION("""COMPUTED_VALUE"""),0)</f>
        <v>0</v>
      </c>
      <c r="K414" s="8" t="str">
        <f ca="1">IFERROR(__xludf.DUMMYFUNCTION("""COMPUTED_VALUE"""),"https://www.news4jax.com/news/local/2024/04/15/school-bus-in-hogans-creek-hit-by-gunfire-no-injuries-reported-sources-say/
https://www.actionnewsjax.com/news/local/jso-searching-suspects-involved-shooting-that-led-school-bus-being-hit-by-bullet/GGCUNPA4FJ"&amp;"HN7GPSSPHSA42UJM/")</f>
        <v>https://www.news4jax.com/news/local/2024/04/15/school-bus-in-hogans-creek-hit-by-gunfire-no-injuries-reported-sources-say/
https://www.actionnewsjax.com/news/local/jso-searching-suspects-involved-shooting-that-led-school-bus-being-hit-by-bullet/GGCUNPA4FJHN7GPSSPHSA42UJM/</v>
      </c>
      <c r="L414" s="8">
        <f ca="1">IFERROR(__xludf.DUMMYFUNCTION("""COMPUTED_VALUE"""),10)</f>
        <v>10</v>
      </c>
      <c r="M414" s="8" t="str">
        <f ca="1">IFERROR(__xludf.DUMMYFUNCTION("""COMPUTED_VALUE"""),"Regional")</f>
        <v>Regional</v>
      </c>
      <c r="N414" s="8">
        <f ca="1">IFERROR(__xludf.DUMMYFUNCTION("""COMPUTED_VALUE"""),4)</f>
        <v>4</v>
      </c>
      <c r="O414" s="8" t="str">
        <f ca="1">IFERROR(__xludf.DUMMYFUNCTION("""COMPUTED_VALUE"""),"Spring")</f>
        <v>Spring</v>
      </c>
      <c r="P414" s="8" t="str">
        <f ca="1">IFERROR(__xludf.DUMMYFUNCTION("""COMPUTED_VALUE"""),"Jacksonville")</f>
        <v>Jacksonville</v>
      </c>
      <c r="Q414" s="8" t="str">
        <f ca="1">IFERROR(__xludf.DUMMYFUNCTION("""COMPUTED_VALUE"""),"FL")</f>
        <v>FL</v>
      </c>
      <c r="R414" s="8" t="str">
        <f ca="1">IFERROR(__xludf.DUMMYFUNCTION("""COMPUTED_VALUE"""),"Middle")</f>
        <v>Middle</v>
      </c>
      <c r="S414" s="8" t="str">
        <f ca="1">IFERROR(__xludf.DUMMYFUNCTION("""COMPUTED_VALUE"""),"School Bus")</f>
        <v>School Bus</v>
      </c>
      <c r="T414" s="8" t="str">
        <f ca="1">IFERROR(__xludf.DUMMYFUNCTION("""COMPUTED_VALUE"""),"School Bus")</f>
        <v>School Bus</v>
      </c>
      <c r="U414" s="8" t="str">
        <f ca="1">IFERROR(__xludf.DUMMYFUNCTION("""COMPUTED_VALUE"""),"Yes")</f>
        <v>Yes</v>
      </c>
      <c r="V414" s="8" t="str">
        <f ca="1">IFERROR(__xludf.DUMMYFUNCTION("""COMPUTED_VALUE"""),"Dismissal")</f>
        <v>Dismissal</v>
      </c>
      <c r="W414" s="11">
        <f ca="1">IFERROR(__xludf.DUMMYFUNCTION("""COMPUTED_VALUE"""),0.635416666666666)</f>
        <v>0.63541666666666596</v>
      </c>
      <c r="X414" s="8">
        <f ca="1">IFERROR(__xludf.DUMMYFUNCTION("""COMPUTED_VALUE"""),1)</f>
        <v>1</v>
      </c>
      <c r="Y414" s="12" t="str">
        <f ca="1">IFERROR(__xludf.DUMMYFUNCTION("""COMPUTED_VALUE"""),"Bullet went through front windshield of school bus during drop off")</f>
        <v>Bullet went through front windshield of school bus during drop off</v>
      </c>
      <c r="Z414" s="12" t="str">
        <f ca="1">IFERROR(__xludf.DUMMYFUNCTION("""COMPUTED_VALUE"""),"JSO said that as the school bus pulled into a nearby apartment complex, An adult woman and teenage boy were exchanging gunfire following a dispute and a bullet hit the front windshield of the bus. 30 students were on the bus and evaluated by EMS.")</f>
        <v>JSO said that as the school bus pulled into a nearby apartment complex, An adult woman and teenage boy were exchanging gunfire following a dispute and a bullet hit the front windshield of the bus. 30 students were on the bus and evaluated by EMS.</v>
      </c>
      <c r="AA414" s="8" t="str">
        <f ca="1">IFERROR(__xludf.DUMMYFUNCTION("""COMPUTED_VALUE"""),"Escalation of Dispute")</f>
        <v>Escalation of Dispute</v>
      </c>
      <c r="AB414" s="8" t="str">
        <f ca="1">IFERROR(__xludf.DUMMYFUNCTION("""COMPUTED_VALUE"""),"Spontaneous")</f>
        <v>Spontaneous</v>
      </c>
      <c r="AC414" s="8" t="str">
        <f ca="1">IFERROR(__xludf.DUMMYFUNCTION("""COMPUTED_VALUE"""),"Yes")</f>
        <v>Yes</v>
      </c>
      <c r="AD414" s="8" t="str">
        <f ca="1">IFERROR(__xludf.DUMMYFUNCTION("""COMPUTED_VALUE"""),"Both")</f>
        <v>Both</v>
      </c>
      <c r="AE414" s="8" t="str">
        <f ca="1">IFERROR(__xludf.DUMMYFUNCTION("""COMPUTED_VALUE"""),"No")</f>
        <v>No</v>
      </c>
      <c r="AF414" s="8"/>
      <c r="AG414" s="8" t="str">
        <f ca="1">IFERROR(__xludf.DUMMYFUNCTION("""COMPUTED_VALUE"""),"No")</f>
        <v>No</v>
      </c>
      <c r="AH414" s="8" t="str">
        <f ca="1">IFERROR(__xludf.DUMMYFUNCTION("""COMPUTED_VALUE"""),"No")</f>
        <v>No</v>
      </c>
      <c r="AI414" s="8" t="str">
        <f ca="1">IFERROR(__xludf.DUMMYFUNCTION("""COMPUTED_VALUE"""),"No")</f>
        <v>No</v>
      </c>
      <c r="AJ414" s="8" t="str">
        <f ca="1">IFERROR(__xludf.DUMMYFUNCTION("""COMPUTED_VALUE"""),"No")</f>
        <v>No</v>
      </c>
      <c r="AK414" s="8" t="str">
        <f ca="1">IFERROR(__xludf.DUMMYFUNCTION("""COMPUTED_VALUE"""),"No")</f>
        <v>No</v>
      </c>
      <c r="AL414" s="8"/>
      <c r="AM414" s="8" t="str">
        <f ca="1">IFERROR(__xludf.DUMMYFUNCTION("""COMPUTED_VALUE"""),"No")</f>
        <v>No</v>
      </c>
      <c r="AN414" s="8" t="str">
        <f ca="1">IFERROR(__xludf.DUMMYFUNCTION("""COMPUTED_VALUE"""),"Outside")</f>
        <v>Outside</v>
      </c>
      <c r="AO414" s="8" t="str">
        <f ca="1">IFERROR(__xludf.DUMMYFUNCTION("""COMPUTED_VALUE"""),"No")</f>
        <v>No</v>
      </c>
      <c r="AP414" s="8"/>
      <c r="AQ414" s="8"/>
      <c r="AR414" s="8" t="str">
        <f ca="1">IFERROR(__xludf.DUMMYFUNCTION("""COMPUTED_VALUE"""),"Outside/Off-Property")</f>
        <v>Outside/Off-Property</v>
      </c>
      <c r="AS414" s="8">
        <f ca="1">IFERROR(__xludf.DUMMYFUNCTION("""COMPUTED_VALUE"""),99)</f>
        <v>99</v>
      </c>
      <c r="AT414" s="8" t="str">
        <f ca="1">IFERROR(__xludf.DUMMYFUNCTION("""COMPUTED_VALUE"""),"No")</f>
        <v>No</v>
      </c>
      <c r="AU414" s="8">
        <f ca="1">IFERROR(__xludf.DUMMYFUNCTION("""COMPUTED_VALUE"""),30.349286)</f>
        <v>30.349285999999999</v>
      </c>
      <c r="AV414" s="8">
        <f ca="1">IFERROR(__xludf.DUMMYFUNCTION("""COMPUTED_VALUE"""),-81.666067)</f>
        <v>-81.666066999999998</v>
      </c>
      <c r="AW414" s="8"/>
      <c r="AX414" s="8">
        <f ca="1">IFERROR(__xludf.DUMMYFUNCTION("""COMPUTED_VALUE"""),32209)</f>
        <v>32209</v>
      </c>
    </row>
    <row r="415" spans="1:50" ht="405" x14ac:dyDescent="0.2">
      <c r="A415" s="8" t="str">
        <f ca="1">IFERROR(__xludf.DUMMYFUNCTION("""COMPUTED_VALUE"""),"20240413NCIRG")</f>
        <v>20240413NCIRG</v>
      </c>
      <c r="B415" s="8">
        <f ca="1">IFERROR(__xludf.DUMMYFUNCTION("""COMPUTED_VALUE"""),4)</f>
        <v>4</v>
      </c>
      <c r="C415" s="8">
        <f ca="1">IFERROR(__xludf.DUMMYFUNCTION("""COMPUTED_VALUE"""),13)</f>
        <v>13</v>
      </c>
      <c r="D415" s="8">
        <f ca="1">IFERROR(__xludf.DUMMYFUNCTION("""COMPUTED_VALUE"""),2024)</f>
        <v>2024</v>
      </c>
      <c r="E415" s="9">
        <f ca="1">IFERROR(__xludf.DUMMYFUNCTION("""COMPUTED_VALUE"""),45395)</f>
        <v>45395</v>
      </c>
      <c r="F415" s="8" t="str">
        <f ca="1">IFERROR(__xludf.DUMMYFUNCTION("""COMPUTED_VALUE"""),"Irving Park Elementary School")</f>
        <v>Irving Park Elementary School</v>
      </c>
      <c r="G415" s="8">
        <f ca="1">IFERROR(__xludf.DUMMYFUNCTION("""COMPUTED_VALUE"""),0)</f>
        <v>0</v>
      </c>
      <c r="H415" s="8">
        <f ca="1">IFERROR(__xludf.DUMMYFUNCTION("""COMPUTED_VALUE"""),0)</f>
        <v>0</v>
      </c>
      <c r="I415" s="8">
        <f ca="1">IFERROR(__xludf.DUMMYFUNCTION("""COMPUTED_VALUE"""),0)</f>
        <v>0</v>
      </c>
      <c r="J415" s="8">
        <f ca="1">IFERROR(__xludf.DUMMYFUNCTION("""COMPUTED_VALUE"""),0)</f>
        <v>0</v>
      </c>
      <c r="K415" s="10" t="str">
        <f ca="1">IFERROR(__xludf.DUMMYFUNCTION("""COMPUTED_VALUE"""),"https://archive.is/vvbvl
https://www.wxii12.com/article/greensboro-man-charged-breaking-elementary-school-long-gun-officers-investigating-motive/60558875
https://www.wfmynews2.com/video/news/local/irvin-park-elementary-school-gcs-gun-suspect/83-01a79eba-f"&amp;"ec4-4c83-83d7-60907b1c51cb")</f>
        <v>https://archive.is/vvbvl
https://www.wxii12.com/article/greensboro-man-charged-breaking-elementary-school-long-gun-officers-investigating-motive/60558875
https://www.wfmynews2.com/video/news/local/irvin-park-elementary-school-gcs-gun-suspect/83-01a79eba-fec4-4c83-83d7-60907b1c51cb</v>
      </c>
      <c r="L415" s="8">
        <f ca="1">IFERROR(__xludf.DUMMYFUNCTION("""COMPUTED_VALUE"""),20)</f>
        <v>20</v>
      </c>
      <c r="M415" s="8" t="str">
        <f ca="1">IFERROR(__xludf.DUMMYFUNCTION("""COMPUTED_VALUE"""),"Regional")</f>
        <v>Regional</v>
      </c>
      <c r="N415" s="8">
        <f ca="1">IFERROR(__xludf.DUMMYFUNCTION("""COMPUTED_VALUE"""),4)</f>
        <v>4</v>
      </c>
      <c r="O415" s="8" t="str">
        <f ca="1">IFERROR(__xludf.DUMMYFUNCTION("""COMPUTED_VALUE"""),"Spring")</f>
        <v>Spring</v>
      </c>
      <c r="P415" s="8" t="str">
        <f ca="1">IFERROR(__xludf.DUMMYFUNCTION("""COMPUTED_VALUE"""),"Greensboro")</f>
        <v>Greensboro</v>
      </c>
      <c r="Q415" s="8" t="str">
        <f ca="1">IFERROR(__xludf.DUMMYFUNCTION("""COMPUTED_VALUE"""),"NC")</f>
        <v>NC</v>
      </c>
      <c r="R415" s="8" t="str">
        <f ca="1">IFERROR(__xludf.DUMMYFUNCTION("""COMPUTED_VALUE"""),"Elementary")</f>
        <v>Elementary</v>
      </c>
      <c r="S415" s="8" t="str">
        <f ca="1">IFERROR(__xludf.DUMMYFUNCTION("""COMPUTED_VALUE"""),"Hallway")</f>
        <v>Hallway</v>
      </c>
      <c r="T415" s="8" t="str">
        <f ca="1">IFERROR(__xludf.DUMMYFUNCTION("""COMPUTED_VALUE"""),"Inside School Building")</f>
        <v>Inside School Building</v>
      </c>
      <c r="U415" s="8" t="str">
        <f ca="1">IFERROR(__xludf.DUMMYFUNCTION("""COMPUTED_VALUE"""),"No")</f>
        <v>No</v>
      </c>
      <c r="V415" s="8" t="str">
        <f ca="1">IFERROR(__xludf.DUMMYFUNCTION("""COMPUTED_VALUE"""),"Not a School Day")</f>
        <v>Not a School Day</v>
      </c>
      <c r="W415" s="11">
        <f ca="1">IFERROR(__xludf.DUMMYFUNCTION("""COMPUTED_VALUE"""),0.260416666666666)</f>
        <v>0.26041666666666602</v>
      </c>
      <c r="X415" s="8">
        <f ca="1">IFERROR(__xludf.DUMMYFUNCTION("""COMPUTED_VALUE"""),1)</f>
        <v>1</v>
      </c>
      <c r="Y415" s="12" t="str">
        <f ca="1">IFERROR(__xludf.DUMMYFUNCTION("""COMPUTED_VALUE"""),"Man broke into school and roamed hallways holding a rifle, left before police arrived")</f>
        <v>Man broke into school and roamed hallways holding a rifle, left before police arrived</v>
      </c>
      <c r="Z415" s="12" t="str">
        <f ca="1">IFERROR(__xludf.DUMMYFUNCTION("""COMPUTED_VALUE"""),"On April 13, officers said a 26-year-old Jonathan Coley, broke into Irving Park Elementary School shortly before 6 a.m. Officers said they were called to the school around 6:10 a.m. in response to a burglary alarm. When police arrived, an officer spoke to"&amp;" the principal of the school and recommended she check the surveillance camera footage for any unusual activity. The officer also conducted a security sweep of the campus. On April 16, at around 10:40 a.m., the principal contacted the officer to inform hi"&amp;"m that she had reviewed the footage and it showed a man walking the interior of the building with a long gun, according to police. The footage also showed the car he drove to the campus. Police said the officer responded to the school at approximately 11 "&amp;"a.m. to review the footage. He also contacted a detective with the Criminal Intelligence Squad and sent images of the suspect for officials to identify the man. Around 12:45 p.m., officers said other special teams were called in to assist. Illicit drugs w"&amp;"ere found in the vehicle, resulting in additional charges. Coley was taken into custody under a no bond. Detectives also said they seized five firearms during the investigation. A federal criminal complaint by Terry M. Bryson, a task force officer with th"&amp;"e Bureau of Alcohol, Tobacco, Firearms and Explosives, states that when investigators asked Coley why he was at the school with a gun, Coley “mentioned voices in his head and further described the sound and feeling of something bad.”")</f>
        <v>On April 13, officers said a 26-year-old Jonathan Coley, broke into Irving Park Elementary School shortly before 6 a.m. Officers said they were called to the school around 6:10 a.m. in response to a burglary alarm. When police arrived, an officer spoke to the principal of the school and recommended she check the surveillance camera footage for any unusual activity. The officer also conducted a security sweep of the campus. On April 16, at around 10:40 a.m., the principal contacted the officer to inform him that she had reviewed the footage and it showed a man walking the interior of the building with a long gun, according to police. The footage also showed the car he drove to the campus. Police said the officer responded to the school at approximately 11 a.m. to review the footage. He also contacted a detective with the Criminal Intelligence Squad and sent images of the suspect for officials to identify the man. Around 12:45 p.m., officers said other special teams were called in to assist. Illicit drugs were found in the vehicle, resulting in additional charges. Coley was taken into custody under a no bond. Detectives also said they seized five firearms during the investigation. A federal criminal complaint by Terry M. Bryson, a task force officer with the Bureau of Alcohol, Tobacco, Firearms and Explosives, states that when investigators asked Coley why he was at the school with a gun, Coley “mentioned voices in his head and further described the sound and feeling of something bad.”</v>
      </c>
      <c r="AA415" s="8" t="str">
        <f ca="1">IFERROR(__xludf.DUMMYFUNCTION("""COMPUTED_VALUE"""),"Psychosis")</f>
        <v>Psychosis</v>
      </c>
      <c r="AB415" s="8"/>
      <c r="AC415" s="8" t="str">
        <f ca="1">IFERROR(__xludf.DUMMYFUNCTION("""COMPUTED_VALUE"""),"No")</f>
        <v>No</v>
      </c>
      <c r="AD415" s="8"/>
      <c r="AE415" s="8" t="str">
        <f ca="1">IFERROR(__xludf.DUMMYFUNCTION("""COMPUTED_VALUE"""),"No")</f>
        <v>No</v>
      </c>
      <c r="AF415" s="8"/>
      <c r="AG415" s="8" t="str">
        <f ca="1">IFERROR(__xludf.DUMMYFUNCTION("""COMPUTED_VALUE"""),"No")</f>
        <v>No</v>
      </c>
      <c r="AH415" s="8" t="str">
        <f ca="1">IFERROR(__xludf.DUMMYFUNCTION("""COMPUTED_VALUE"""),"No")</f>
        <v>No</v>
      </c>
      <c r="AI415" s="8" t="str">
        <f ca="1">IFERROR(__xludf.DUMMYFUNCTION("""COMPUTED_VALUE"""),"No")</f>
        <v>No</v>
      </c>
      <c r="AJ415" s="8" t="str">
        <f ca="1">IFERROR(__xludf.DUMMYFUNCTION("""COMPUTED_VALUE"""),"No")</f>
        <v>No</v>
      </c>
      <c r="AK415" s="8" t="str">
        <f ca="1">IFERROR(__xludf.DUMMYFUNCTION("""COMPUTED_VALUE"""),"No")</f>
        <v>No</v>
      </c>
      <c r="AL415" s="8" t="str">
        <f ca="1">IFERROR(__xludf.DUMMYFUNCTION("""COMPUTED_VALUE"""),"No")</f>
        <v>No</v>
      </c>
      <c r="AM415" s="8" t="str">
        <f ca="1">IFERROR(__xludf.DUMMYFUNCTION("""COMPUTED_VALUE"""),"Yes")</f>
        <v>Yes</v>
      </c>
      <c r="AN415" s="8" t="str">
        <f ca="1">IFERROR(__xludf.DUMMYFUNCTION("""COMPUTED_VALUE"""),"Hallway")</f>
        <v>Hallway</v>
      </c>
      <c r="AO415" s="8" t="str">
        <f ca="1">IFERROR(__xludf.DUMMYFUNCTION("""COMPUTED_VALUE"""),"Yes")</f>
        <v>Yes</v>
      </c>
      <c r="AP415" s="8"/>
      <c r="AQ415" s="8"/>
      <c r="AR415" s="8" t="str">
        <f ca="1">IFERROR(__xludf.DUMMYFUNCTION("""COMPUTED_VALUE"""),"Failed")</f>
        <v>Failed</v>
      </c>
      <c r="AS415" s="8">
        <f ca="1">IFERROR(__xludf.DUMMYFUNCTION("""COMPUTED_VALUE"""),0)</f>
        <v>0</v>
      </c>
      <c r="AT415" s="8" t="str">
        <f ca="1">IFERROR(__xludf.DUMMYFUNCTION("""COMPUTED_VALUE"""),"No")</f>
        <v>No</v>
      </c>
      <c r="AU415" s="8">
        <f ca="1">IFERROR(__xludf.DUMMYFUNCTION("""COMPUTED_VALUE"""),36.096245)</f>
        <v>36.096245000000003</v>
      </c>
      <c r="AV415" s="8">
        <f ca="1">IFERROR(__xludf.DUMMYFUNCTION("""COMPUTED_VALUE"""),-79.813931)</f>
        <v>-79.813930999999997</v>
      </c>
      <c r="AW415" s="8" t="str">
        <f ca="1">IFERROR(__xludf.DUMMYFUNCTION("""COMPUTED_VALUE"""),"Multiple detached buildings")</f>
        <v>Multiple detached buildings</v>
      </c>
      <c r="AX415" s="8">
        <f ca="1">IFERROR(__xludf.DUMMYFUNCTION("""COMPUTED_VALUE"""),27408)</f>
        <v>27408</v>
      </c>
    </row>
    <row r="416" spans="1:50" ht="60" x14ac:dyDescent="0.2">
      <c r="A416" s="8" t="str">
        <f ca="1">IFERROR(__xludf.DUMMYFUNCTION("""COMPUTED_VALUE"""),"20240413WIMEM")</f>
        <v>20240413WIMEM</v>
      </c>
      <c r="B416" s="8">
        <f ca="1">IFERROR(__xludf.DUMMYFUNCTION("""COMPUTED_VALUE"""),4)</f>
        <v>4</v>
      </c>
      <c r="C416" s="8">
        <f ca="1">IFERROR(__xludf.DUMMYFUNCTION("""COMPUTED_VALUE"""),13)</f>
        <v>13</v>
      </c>
      <c r="D416" s="8">
        <f ca="1">IFERROR(__xludf.DUMMYFUNCTION("""COMPUTED_VALUE"""),2024)</f>
        <v>2024</v>
      </c>
      <c r="E416" s="9">
        <f ca="1">IFERROR(__xludf.DUMMYFUNCTION("""COMPUTED_VALUE"""),45395)</f>
        <v>45395</v>
      </c>
      <c r="F416" s="8" t="str">
        <f ca="1">IFERROR(__xludf.DUMMYFUNCTION("""COMPUTED_VALUE"""),"Mendota Elementary School")</f>
        <v>Mendota Elementary School</v>
      </c>
      <c r="G416" s="8">
        <f ca="1">IFERROR(__xludf.DUMMYFUNCTION("""COMPUTED_VALUE"""),0)</f>
        <v>0</v>
      </c>
      <c r="H416" s="8">
        <f ca="1">IFERROR(__xludf.DUMMYFUNCTION("""COMPUTED_VALUE"""),0)</f>
        <v>0</v>
      </c>
      <c r="I416" s="8">
        <f ca="1">IFERROR(__xludf.DUMMYFUNCTION("""COMPUTED_VALUE"""),0)</f>
        <v>0</v>
      </c>
      <c r="J416" s="8">
        <f ca="1">IFERROR(__xludf.DUMMYFUNCTION("""COMPUTED_VALUE"""),0)</f>
        <v>0</v>
      </c>
      <c r="K416" s="10" t="str">
        <f ca="1">IFERROR(__xludf.DUMMYFUNCTION("""COMPUTED_VALUE"""),"https://madison.com/news/article_a0b27d40-fda1-11ee-b5a7-37bcbc1604b6.html")</f>
        <v>https://madison.com/news/article_a0b27d40-fda1-11ee-b5a7-37bcbc1604b6.html</v>
      </c>
      <c r="L416" s="8">
        <f ca="1">IFERROR(__xludf.DUMMYFUNCTION("""COMPUTED_VALUE"""),1)</f>
        <v>1</v>
      </c>
      <c r="M416" s="8" t="str">
        <f ca="1">IFERROR(__xludf.DUMMYFUNCTION("""COMPUTED_VALUE"""),"Local")</f>
        <v>Local</v>
      </c>
      <c r="N416" s="8">
        <f ca="1">IFERROR(__xludf.DUMMYFUNCTION("""COMPUTED_VALUE"""),3)</f>
        <v>3</v>
      </c>
      <c r="O416" s="8" t="str">
        <f ca="1">IFERROR(__xludf.DUMMYFUNCTION("""COMPUTED_VALUE"""),"Spring")</f>
        <v>Spring</v>
      </c>
      <c r="P416" s="8" t="str">
        <f ca="1">IFERROR(__xludf.DUMMYFUNCTION("""COMPUTED_VALUE"""),"Madison")</f>
        <v>Madison</v>
      </c>
      <c r="Q416" s="8" t="str">
        <f ca="1">IFERROR(__xludf.DUMMYFUNCTION("""COMPUTED_VALUE"""),"WI")</f>
        <v>WI</v>
      </c>
      <c r="R416" s="8" t="str">
        <f ca="1">IFERROR(__xludf.DUMMYFUNCTION("""COMPUTED_VALUE"""),"Elementary")</f>
        <v>Elementary</v>
      </c>
      <c r="S416" s="8" t="str">
        <f ca="1">IFERROR(__xludf.DUMMYFUNCTION("""COMPUTED_VALUE"""),"Parking Lot")</f>
        <v>Parking Lot</v>
      </c>
      <c r="T416" s="8" t="str">
        <f ca="1">IFERROR(__xludf.DUMMYFUNCTION("""COMPUTED_VALUE"""),"Outside on School Property")</f>
        <v>Outside on School Property</v>
      </c>
      <c r="U416" s="8" t="str">
        <f ca="1">IFERROR(__xludf.DUMMYFUNCTION("""COMPUTED_VALUE"""),"No")</f>
        <v>No</v>
      </c>
      <c r="V416" s="8" t="str">
        <f ca="1">IFERROR(__xludf.DUMMYFUNCTION("""COMPUTED_VALUE"""),"Not a School Day")</f>
        <v>Not a School Day</v>
      </c>
      <c r="W416" s="8"/>
      <c r="X416" s="8">
        <f ca="1">IFERROR(__xludf.DUMMYFUNCTION("""COMPUTED_VALUE"""),1)</f>
        <v>1</v>
      </c>
      <c r="Y416" s="12" t="str">
        <f ca="1">IFERROR(__xludf.DUMMYFUNCTION("""COMPUTED_VALUE"""),"Shots fired during fight between two men in the school parking lot")</f>
        <v>Shots fired during fight between two men in the school parking lot</v>
      </c>
      <c r="Z416" s="12" t="str">
        <f ca="1">IFERROR(__xludf.DUMMYFUNCTION("""COMPUTED_VALUE"""),"Shots fired during fight between two men in the school parking lot. Men fled before police arrived. Police recovered multiple shell casings at the school.")</f>
        <v>Shots fired during fight between two men in the school parking lot. Men fled before police arrived. Police recovered multiple shell casings at the school.</v>
      </c>
      <c r="AA416" s="8" t="str">
        <f ca="1">IFERROR(__xludf.DUMMYFUNCTION("""COMPUTED_VALUE"""),"Escalation of Dispute")</f>
        <v>Escalation of Dispute</v>
      </c>
      <c r="AB416" s="8" t="str">
        <f ca="1">IFERROR(__xludf.DUMMYFUNCTION("""COMPUTED_VALUE"""),"Spontaneous")</f>
        <v>Spontaneous</v>
      </c>
      <c r="AC416" s="8" t="str">
        <f ca="1">IFERROR(__xludf.DUMMYFUNCTION("""COMPUTED_VALUE"""),"No")</f>
        <v>No</v>
      </c>
      <c r="AD416" s="8" t="str">
        <f ca="1">IFERROR(__xludf.DUMMYFUNCTION("""COMPUTED_VALUE"""),"Victims Targeted")</f>
        <v>Victims Targeted</v>
      </c>
      <c r="AE416" s="8" t="str">
        <f ca="1">IFERROR(__xludf.DUMMYFUNCTION("""COMPUTED_VALUE"""),"No")</f>
        <v>No</v>
      </c>
      <c r="AF416" s="8"/>
      <c r="AG416" s="8" t="str">
        <f ca="1">IFERROR(__xludf.DUMMYFUNCTION("""COMPUTED_VALUE"""),"No")</f>
        <v>No</v>
      </c>
      <c r="AH416" s="8" t="str">
        <f ca="1">IFERROR(__xludf.DUMMYFUNCTION("""COMPUTED_VALUE"""),"No")</f>
        <v>No</v>
      </c>
      <c r="AI416" s="8" t="str">
        <f ca="1">IFERROR(__xludf.DUMMYFUNCTION("""COMPUTED_VALUE"""),"No")</f>
        <v>No</v>
      </c>
      <c r="AJ416" s="8" t="str">
        <f ca="1">IFERROR(__xludf.DUMMYFUNCTION("""COMPUTED_VALUE"""),"No")</f>
        <v>No</v>
      </c>
      <c r="AK416" s="8" t="str">
        <f ca="1">IFERROR(__xludf.DUMMYFUNCTION("""COMPUTED_VALUE"""),"No")</f>
        <v>No</v>
      </c>
      <c r="AL416" s="8"/>
      <c r="AM416" s="8" t="str">
        <f ca="1">IFERROR(__xludf.DUMMYFUNCTION("""COMPUTED_VALUE"""),"No")</f>
        <v>No</v>
      </c>
      <c r="AN416" s="8" t="str">
        <f ca="1">IFERROR(__xludf.DUMMYFUNCTION("""COMPUTED_VALUE"""),"Outside")</f>
        <v>Outside</v>
      </c>
      <c r="AO416" s="8" t="str">
        <f ca="1">IFERROR(__xludf.DUMMYFUNCTION("""COMPUTED_VALUE"""),"No")</f>
        <v>No</v>
      </c>
      <c r="AP416" s="8"/>
      <c r="AQ416" s="8"/>
      <c r="AR416" s="8" t="str">
        <f ca="1">IFERROR(__xludf.DUMMYFUNCTION("""COMPUTED_VALUE"""),"Outside/Off-Property")</f>
        <v>Outside/Off-Property</v>
      </c>
      <c r="AS416" s="8">
        <f ca="1">IFERROR(__xludf.DUMMYFUNCTION("""COMPUTED_VALUE"""),99)</f>
        <v>99</v>
      </c>
      <c r="AT416" s="8" t="str">
        <f ca="1">IFERROR(__xludf.DUMMYFUNCTION("""COMPUTED_VALUE"""),"No")</f>
        <v>No</v>
      </c>
      <c r="AU416" s="8">
        <f ca="1">IFERROR(__xludf.DUMMYFUNCTION("""COMPUTED_VALUE"""),43.137023)</f>
        <v>43.137022999999999</v>
      </c>
      <c r="AV416" s="8">
        <f ca="1">IFERROR(__xludf.DUMMYFUNCTION("""COMPUTED_VALUE"""),-89.383268)</f>
        <v>-89.383268000000001</v>
      </c>
      <c r="AW416" s="8" t="str">
        <f ca="1">IFERROR(__xludf.DUMMYFUNCTION("""COMPUTED_VALUE"""),"Single building indoor hallway")</f>
        <v>Single building indoor hallway</v>
      </c>
      <c r="AX416" s="8">
        <f ca="1">IFERROR(__xludf.DUMMYFUNCTION("""COMPUTED_VALUE"""),53704)</f>
        <v>53704</v>
      </c>
    </row>
    <row r="417" spans="1:50" ht="120" x14ac:dyDescent="0.2">
      <c r="A417" s="8" t="str">
        <f ca="1">IFERROR(__xludf.DUMMYFUNCTION("""COMPUTED_VALUE"""),"20240413MOBLB")</f>
        <v>20240413MOBLB</v>
      </c>
      <c r="B417" s="8">
        <f ca="1">IFERROR(__xludf.DUMMYFUNCTION("""COMPUTED_VALUE"""),4)</f>
        <v>4</v>
      </c>
      <c r="C417" s="8">
        <f ca="1">IFERROR(__xludf.DUMMYFUNCTION("""COMPUTED_VALUE"""),13)</f>
        <v>13</v>
      </c>
      <c r="D417" s="8">
        <f ca="1">IFERROR(__xludf.DUMMYFUNCTION("""COMPUTED_VALUE"""),2024)</f>
        <v>2024</v>
      </c>
      <c r="E417" s="9">
        <f ca="1">IFERROR(__xludf.DUMMYFUNCTION("""COMPUTED_VALUE"""),45395)</f>
        <v>45395</v>
      </c>
      <c r="F417" s="8" t="str">
        <f ca="1">IFERROR(__xludf.DUMMYFUNCTION("""COMPUTED_VALUE"""),"Blue Springs High School")</f>
        <v>Blue Springs High School</v>
      </c>
      <c r="G417" s="8">
        <f ca="1">IFERROR(__xludf.DUMMYFUNCTION("""COMPUTED_VALUE"""),2)</f>
        <v>2</v>
      </c>
      <c r="H417" s="8">
        <f ca="1">IFERROR(__xludf.DUMMYFUNCTION("""COMPUTED_VALUE"""),1)</f>
        <v>1</v>
      </c>
      <c r="I417" s="8">
        <f ca="1">IFERROR(__xludf.DUMMYFUNCTION("""COMPUTED_VALUE"""),3)</f>
        <v>3</v>
      </c>
      <c r="J417" s="8">
        <f ca="1">IFERROR(__xludf.DUMMYFUNCTION("""COMPUTED_VALUE"""),0)</f>
        <v>0</v>
      </c>
      <c r="K417" s="10" t="str">
        <f ca="1">IFERROR(__xludf.DUMMYFUNCTION("""COMPUTED_VALUE"""),"https://www.kctv5.com/2024/04/14/shooting-outside-blue-springs-south-high-school-leaves-2-dead-1-injured/
https://fox4kc.com/news/2-killed-1-injured-in-blue-springs-shooting-at-wilbur-young-park/")</f>
        <v>https://www.kctv5.com/2024/04/14/shooting-outside-blue-springs-south-high-school-leaves-2-dead-1-injured/
https://fox4kc.com/news/2-killed-1-injured-in-blue-springs-shooting-at-wilbur-young-park/</v>
      </c>
      <c r="L417" s="8">
        <f ca="1">IFERROR(__xludf.DUMMYFUNCTION("""COMPUTED_VALUE"""),5)</f>
        <v>5</v>
      </c>
      <c r="M417" s="8" t="str">
        <f ca="1">IFERROR(__xludf.DUMMYFUNCTION("""COMPUTED_VALUE"""),"Regional")</f>
        <v>Regional</v>
      </c>
      <c r="N417" s="8">
        <f ca="1">IFERROR(__xludf.DUMMYFUNCTION("""COMPUTED_VALUE"""),4)</f>
        <v>4</v>
      </c>
      <c r="O417" s="8" t="str">
        <f ca="1">IFERROR(__xludf.DUMMYFUNCTION("""COMPUTED_VALUE"""),"Spring")</f>
        <v>Spring</v>
      </c>
      <c r="P417" s="8" t="str">
        <f ca="1">IFERROR(__xludf.DUMMYFUNCTION("""COMPUTED_VALUE"""),"Blue Springs")</f>
        <v>Blue Springs</v>
      </c>
      <c r="Q417" s="8" t="str">
        <f ca="1">IFERROR(__xludf.DUMMYFUNCTION("""COMPUTED_VALUE"""),"MO")</f>
        <v>MO</v>
      </c>
      <c r="R417" s="8" t="str">
        <f ca="1">IFERROR(__xludf.DUMMYFUNCTION("""COMPUTED_VALUE"""),"High")</f>
        <v>High</v>
      </c>
      <c r="S417" s="8" t="str">
        <f ca="1">IFERROR(__xludf.DUMMYFUNCTION("""COMPUTED_VALUE"""),"Basketball Court")</f>
        <v>Basketball Court</v>
      </c>
      <c r="T417" s="8" t="str">
        <f ca="1">IFERROR(__xludf.DUMMYFUNCTION("""COMPUTED_VALUE"""),"Outside on School Property")</f>
        <v>Outside on School Property</v>
      </c>
      <c r="U417" s="8" t="str">
        <f ca="1">IFERROR(__xludf.DUMMYFUNCTION("""COMPUTED_VALUE"""),"No")</f>
        <v>No</v>
      </c>
      <c r="V417" s="8" t="str">
        <f ca="1">IFERROR(__xludf.DUMMYFUNCTION("""COMPUTED_VALUE"""),"Night")</f>
        <v>Night</v>
      </c>
      <c r="W417" s="11">
        <f ca="1">IFERROR(__xludf.DUMMYFUNCTION("""COMPUTED_VALUE"""),0.938194444444444)</f>
        <v>0.938194444444444</v>
      </c>
      <c r="X417" s="8">
        <f ca="1">IFERROR(__xludf.DUMMYFUNCTION("""COMPUTED_VALUE"""),1)</f>
        <v>1</v>
      </c>
      <c r="Y417" s="12" t="str">
        <f ca="1">IFERROR(__xludf.DUMMYFUNCTION("""COMPUTED_VALUE"""),"Two men fatally shot, one teen wounded near volleyball courts")</f>
        <v>Two men fatally shot, one teen wounded near volleyball courts</v>
      </c>
      <c r="Z417" s="12" t="str">
        <f ca="1">IFERROR(__xludf.DUMMYFUNCTION("""COMPUTED_VALUE"""),"According to police, three people were shot near the school’s volleyball courts. Two of the victims, a 19-year-old man and a 20-year-old man, were taken to an area hospital where they later died from their injuries. The third victim, a 17-year-old male, s"&amp;"ustained non-life-threatening injuries. Police could not confirm if the 17-year-old is a Blue Springs School District student. It is unclear what led up to the shooting, but there were reportedly many witnesses.")</f>
        <v>According to police, three people were shot near the school’s volleyball courts. Two of the victims, a 19-year-old man and a 20-year-old man, were taken to an area hospital where they later died from their injuries. The third victim, a 17-year-old male, sustained non-life-threatening injuries. Police could not confirm if the 17-year-old is a Blue Springs School District student. It is unclear what led up to the shooting, but there were reportedly many witnesses.</v>
      </c>
      <c r="AA417" s="8"/>
      <c r="AB417" s="8"/>
      <c r="AC417" s="8"/>
      <c r="AD417" s="8"/>
      <c r="AE417" s="8"/>
      <c r="AF417" s="8"/>
      <c r="AG417" s="8" t="str">
        <f ca="1">IFERROR(__xludf.DUMMYFUNCTION("""COMPUTED_VALUE"""),"No")</f>
        <v>No</v>
      </c>
      <c r="AH417" s="8" t="str">
        <f ca="1">IFERROR(__xludf.DUMMYFUNCTION("""COMPUTED_VALUE"""),"No")</f>
        <v>No</v>
      </c>
      <c r="AI417" s="8" t="str">
        <f ca="1">IFERROR(__xludf.DUMMYFUNCTION("""COMPUTED_VALUE"""),"No")</f>
        <v>No</v>
      </c>
      <c r="AJ417" s="8" t="str">
        <f ca="1">IFERROR(__xludf.DUMMYFUNCTION("""COMPUTED_VALUE"""),"No")</f>
        <v>No</v>
      </c>
      <c r="AK417" s="8" t="str">
        <f ca="1">IFERROR(__xludf.DUMMYFUNCTION("""COMPUTED_VALUE"""),"No")</f>
        <v>No</v>
      </c>
      <c r="AL417" s="8"/>
      <c r="AM417" s="8" t="str">
        <f ca="1">IFERROR(__xludf.DUMMYFUNCTION("""COMPUTED_VALUE"""),"No")</f>
        <v>No</v>
      </c>
      <c r="AN417" s="8" t="str">
        <f ca="1">IFERROR(__xludf.DUMMYFUNCTION("""COMPUTED_VALUE"""),"Outside")</f>
        <v>Outside</v>
      </c>
      <c r="AO417" s="8" t="str">
        <f ca="1">IFERROR(__xludf.DUMMYFUNCTION("""COMPUTED_VALUE"""),"No")</f>
        <v>No</v>
      </c>
      <c r="AP417" s="8"/>
      <c r="AQ417" s="8"/>
      <c r="AR417" s="8" t="str">
        <f ca="1">IFERROR(__xludf.DUMMYFUNCTION("""COMPUTED_VALUE"""),"Outside/Off-Property")</f>
        <v>Outside/Off-Property</v>
      </c>
      <c r="AS417" s="8">
        <f ca="1">IFERROR(__xludf.DUMMYFUNCTION("""COMPUTED_VALUE"""),99)</f>
        <v>99</v>
      </c>
      <c r="AT417" s="8" t="str">
        <f ca="1">IFERROR(__xludf.DUMMYFUNCTION("""COMPUTED_VALUE"""),"No")</f>
        <v>No</v>
      </c>
      <c r="AU417" s="8">
        <f ca="1">IFERROR(__xludf.DUMMYFUNCTION("""COMPUTED_VALUE"""),39.004679)</f>
        <v>39.004679000000003</v>
      </c>
      <c r="AV417" s="8">
        <f ca="1">IFERROR(__xludf.DUMMYFUNCTION("""COMPUTED_VALUE"""),-94.253236)</f>
        <v>-94.253236000000001</v>
      </c>
      <c r="AW417" s="8" t="str">
        <f ca="1">IFERROR(__xludf.DUMMYFUNCTION("""COMPUTED_VALUE"""),"Mega-school")</f>
        <v>Mega-school</v>
      </c>
      <c r="AX417" s="8">
        <f ca="1">IFERROR(__xludf.DUMMYFUNCTION("""COMPUTED_VALUE"""),64014)</f>
        <v>64014</v>
      </c>
    </row>
    <row r="418" spans="1:50" ht="180" x14ac:dyDescent="0.2">
      <c r="A418" s="8" t="str">
        <f ca="1">IFERROR(__xludf.DUMMYFUNCTION("""COMPUTED_VALUE"""),"20240412FLCHP")</f>
        <v>20240412FLCHP</v>
      </c>
      <c r="B418" s="8">
        <f ca="1">IFERROR(__xludf.DUMMYFUNCTION("""COMPUTED_VALUE"""),4)</f>
        <v>4</v>
      </c>
      <c r="C418" s="8">
        <f ca="1">IFERROR(__xludf.DUMMYFUNCTION("""COMPUTED_VALUE"""),12)</f>
        <v>12</v>
      </c>
      <c r="D418" s="8">
        <f ca="1">IFERROR(__xludf.DUMMYFUNCTION("""COMPUTED_VALUE"""),2024)</f>
        <v>2024</v>
      </c>
      <c r="E418" s="9">
        <f ca="1">IFERROR(__xludf.DUMMYFUNCTION("""COMPUTED_VALUE"""),45394)</f>
        <v>45394</v>
      </c>
      <c r="F418" s="8" t="str">
        <f ca="1">IFERROR(__xludf.DUMMYFUNCTION("""COMPUTED_VALUE"""),"Challenger Elementary School")</f>
        <v>Challenger Elementary School</v>
      </c>
      <c r="G418" s="8">
        <f ca="1">IFERROR(__xludf.DUMMYFUNCTION("""COMPUTED_VALUE"""),0)</f>
        <v>0</v>
      </c>
      <c r="H418" s="8">
        <f ca="1">IFERROR(__xludf.DUMMYFUNCTION("""COMPUTED_VALUE"""),0)</f>
        <v>0</v>
      </c>
      <c r="I418" s="8">
        <f ca="1">IFERROR(__xludf.DUMMYFUNCTION("""COMPUTED_VALUE"""),0)</f>
        <v>0</v>
      </c>
      <c r="J418" s="8">
        <f ca="1">IFERROR(__xludf.DUMMYFUNCTION("""COMPUTED_VALUE"""),1)</f>
        <v>1</v>
      </c>
      <c r="K418" s="10" t="str">
        <f ca="1">IFERROR(__xludf.DUMMYFUNCTION("""COMPUTED_VALUE"""),"https://www.fox35orlando.com/news/accidental-shooting-outside-brevard-county-school-prompts-shelter-in-place-officials-say")</f>
        <v>https://www.fox35orlando.com/news/accidental-shooting-outside-brevard-county-school-prompts-shelter-in-place-officials-say</v>
      </c>
      <c r="L418" s="8">
        <f ca="1">IFERROR(__xludf.DUMMYFUNCTION("""COMPUTED_VALUE"""),10)</f>
        <v>10</v>
      </c>
      <c r="M418" s="8" t="str">
        <f ca="1">IFERROR(__xludf.DUMMYFUNCTION("""COMPUTED_VALUE"""),"Regional")</f>
        <v>Regional</v>
      </c>
      <c r="N418" s="8">
        <f ca="1">IFERROR(__xludf.DUMMYFUNCTION("""COMPUTED_VALUE"""),4)</f>
        <v>4</v>
      </c>
      <c r="O418" s="8" t="str">
        <f ca="1">IFERROR(__xludf.DUMMYFUNCTION("""COMPUTED_VALUE"""),"Spring")</f>
        <v>Spring</v>
      </c>
      <c r="P418" s="8" t="str">
        <f ca="1">IFERROR(__xludf.DUMMYFUNCTION("""COMPUTED_VALUE"""),"Port St. John")</f>
        <v>Port St. John</v>
      </c>
      <c r="Q418" s="8" t="str">
        <f ca="1">IFERROR(__xludf.DUMMYFUNCTION("""COMPUTED_VALUE"""),"FL")</f>
        <v>FL</v>
      </c>
      <c r="R418" s="8" t="str">
        <f ca="1">IFERROR(__xludf.DUMMYFUNCTION("""COMPUTED_VALUE"""),"Elementary")</f>
        <v>Elementary</v>
      </c>
      <c r="S418" s="8" t="str">
        <f ca="1">IFERROR(__xludf.DUMMYFUNCTION("""COMPUTED_VALUE"""),"Front of School")</f>
        <v>Front of School</v>
      </c>
      <c r="T418" s="8" t="str">
        <f ca="1">IFERROR(__xludf.DUMMYFUNCTION("""COMPUTED_VALUE"""),"Off School Property")</f>
        <v>Off School Property</v>
      </c>
      <c r="U418" s="8" t="str">
        <f ca="1">IFERROR(__xludf.DUMMYFUNCTION("""COMPUTED_VALUE"""),"Yes")</f>
        <v>Yes</v>
      </c>
      <c r="V418" s="8" t="str">
        <f ca="1">IFERROR(__xludf.DUMMYFUNCTION("""COMPUTED_VALUE"""),"Dismissal")</f>
        <v>Dismissal</v>
      </c>
      <c r="W418" s="11">
        <f ca="1">IFERROR(__xludf.DUMMYFUNCTION("""COMPUTED_VALUE"""),0.555555555555555)</f>
        <v>0.55555555555555503</v>
      </c>
      <c r="X418" s="8">
        <f ca="1">IFERROR(__xludf.DUMMYFUNCTION("""COMPUTED_VALUE"""),1)</f>
        <v>1</v>
      </c>
      <c r="Y418" s="12" t="str">
        <f ca="1">IFERROR(__xludf.DUMMYFUNCTION("""COMPUTED_VALUE"""),"Grandfather fatal shot himself inside vehicle in the pickup line while waiting for dismissal")</f>
        <v>Grandfather fatal shot himself inside vehicle in the pickup line while waiting for dismissal</v>
      </c>
      <c r="Z418" s="12" t="str">
        <f ca="1">IFERROR(__xludf.DUMMYFUNCTION("""COMPUTED_VALUE"""),"A man has died following an accidental shooting in the parent pick up line outside a Brevard County elementary school in Port St. John, deputies said. According to deputies, the car's occupants were headed to the Challenger 7 elementary school to pick up "&amp;"their grandchild when a firearm accidentally discharged around 1:20 p.m. When deputies arrived at the scene, the man was pronounced deceased from what they said appeared to be a gunshot wound. The accidental shooting that happened near Balfern Street outs"&amp;"ide the elementary school prompted a temporary shelter-in-place to be issued, school officials said Friday. ")</f>
        <v xml:space="preserve">A man has died following an accidental shooting in the parent pick up line outside a Brevard County elementary school in Port St. John, deputies said. According to deputies, the car's occupants were headed to the Challenger 7 elementary school to pick up their grandchild when a firearm accidentally discharged around 1:20 p.m. When deputies arrived at the scene, the man was pronounced deceased from what they said appeared to be a gunshot wound. The accidental shooting that happened near Balfern Street outside the elementary school prompted a temporary shelter-in-place to be issued, school officials said Friday. </v>
      </c>
      <c r="AA418" s="8" t="str">
        <f ca="1">IFERROR(__xludf.DUMMYFUNCTION("""COMPUTED_VALUE"""),"Accidental")</f>
        <v>Accidental</v>
      </c>
      <c r="AB418" s="8" t="str">
        <f ca="1">IFERROR(__xludf.DUMMYFUNCTION("""COMPUTED_VALUE"""),"Spontaneous")</f>
        <v>Spontaneous</v>
      </c>
      <c r="AC418" s="8" t="str">
        <f ca="1">IFERROR(__xludf.DUMMYFUNCTION("""COMPUTED_VALUE"""),"Yes")</f>
        <v>Yes</v>
      </c>
      <c r="AD418" s="8" t="str">
        <f ca="1">IFERROR(__xludf.DUMMYFUNCTION("""COMPUTED_VALUE"""),"Neither")</f>
        <v>Neither</v>
      </c>
      <c r="AE418" s="8" t="str">
        <f ca="1">IFERROR(__xludf.DUMMYFUNCTION("""COMPUTED_VALUE"""),"No")</f>
        <v>No</v>
      </c>
      <c r="AF418" s="8"/>
      <c r="AG418" s="8" t="str">
        <f ca="1">IFERROR(__xludf.DUMMYFUNCTION("""COMPUTED_VALUE"""),"No")</f>
        <v>No</v>
      </c>
      <c r="AH418" s="8" t="str">
        <f ca="1">IFERROR(__xludf.DUMMYFUNCTION("""COMPUTED_VALUE"""),"No")</f>
        <v>No</v>
      </c>
      <c r="AI418" s="8" t="str">
        <f ca="1">IFERROR(__xludf.DUMMYFUNCTION("""COMPUTED_VALUE"""),"No")</f>
        <v>No</v>
      </c>
      <c r="AJ418" s="8" t="str">
        <f ca="1">IFERROR(__xludf.DUMMYFUNCTION("""COMPUTED_VALUE"""),"No")</f>
        <v>No</v>
      </c>
      <c r="AK418" s="8" t="str">
        <f ca="1">IFERROR(__xludf.DUMMYFUNCTION("""COMPUTED_VALUE"""),"No")</f>
        <v>No</v>
      </c>
      <c r="AL418" s="8" t="str">
        <f ca="1">IFERROR(__xludf.DUMMYFUNCTION("""COMPUTED_VALUE"""),"No")</f>
        <v>No</v>
      </c>
      <c r="AM418" s="8" t="str">
        <f ca="1">IFERROR(__xludf.DUMMYFUNCTION("""COMPUTED_VALUE"""),"No")</f>
        <v>No</v>
      </c>
      <c r="AN418" s="8" t="str">
        <f ca="1">IFERROR(__xludf.DUMMYFUNCTION("""COMPUTED_VALUE"""),"Outside")</f>
        <v>Outside</v>
      </c>
      <c r="AO418" s="8" t="str">
        <f ca="1">IFERROR(__xludf.DUMMYFUNCTION("""COMPUTED_VALUE"""),"No")</f>
        <v>No</v>
      </c>
      <c r="AP418" s="8"/>
      <c r="AQ418" s="8"/>
      <c r="AR418" s="8" t="str">
        <f ca="1">IFERROR(__xludf.DUMMYFUNCTION("""COMPUTED_VALUE"""),"Outside/Off-Property")</f>
        <v>Outside/Off-Property</v>
      </c>
      <c r="AS418" s="8">
        <f ca="1">IFERROR(__xludf.DUMMYFUNCTION("""COMPUTED_VALUE"""),1)</f>
        <v>1</v>
      </c>
      <c r="AT418" s="8" t="str">
        <f ca="1">IFERROR(__xludf.DUMMYFUNCTION("""COMPUTED_VALUE"""),"Yes")</f>
        <v>Yes</v>
      </c>
      <c r="AU418" s="8">
        <f ca="1">IFERROR(__xludf.DUMMYFUNCTION("""COMPUTED_VALUE"""),28.466654)</f>
        <v>28.466653999999998</v>
      </c>
      <c r="AV418" s="8">
        <f ca="1">IFERROR(__xludf.DUMMYFUNCTION("""COMPUTED_VALUE"""),-80.799272)</f>
        <v>-80.799272000000002</v>
      </c>
      <c r="AW418" s="8" t="str">
        <f ca="1">IFERROR(__xludf.DUMMYFUNCTION("""COMPUTED_VALUE"""),"Multiple detached buildings")</f>
        <v>Multiple detached buildings</v>
      </c>
      <c r="AX418" s="8">
        <f ca="1">IFERROR(__xludf.DUMMYFUNCTION("""COMPUTED_VALUE"""),32927)</f>
        <v>32927</v>
      </c>
    </row>
    <row r="419" spans="1:50" ht="105" x14ac:dyDescent="0.2">
      <c r="A419" s="8" t="str">
        <f ca="1">IFERROR(__xludf.DUMMYFUNCTION("""COMPUTED_VALUE"""),"20240412TXWID")</f>
        <v>20240412TXWID</v>
      </c>
      <c r="B419" s="8">
        <f ca="1">IFERROR(__xludf.DUMMYFUNCTION("""COMPUTED_VALUE"""),4)</f>
        <v>4</v>
      </c>
      <c r="C419" s="8">
        <f ca="1">IFERROR(__xludf.DUMMYFUNCTION("""COMPUTED_VALUE"""),12)</f>
        <v>12</v>
      </c>
      <c r="D419" s="8">
        <f ca="1">IFERROR(__xludf.DUMMYFUNCTION("""COMPUTED_VALUE"""),2024)</f>
        <v>2024</v>
      </c>
      <c r="E419" s="9">
        <f ca="1">IFERROR(__xludf.DUMMYFUNCTION("""COMPUTED_VALUE"""),45394)</f>
        <v>45394</v>
      </c>
      <c r="F419" s="8" t="str">
        <f ca="1">IFERROR(__xludf.DUMMYFUNCTION("""COMPUTED_VALUE"""),"Wilmer Hutchins High School")</f>
        <v>Wilmer Hutchins High School</v>
      </c>
      <c r="G419" s="8">
        <f ca="1">IFERROR(__xludf.DUMMYFUNCTION("""COMPUTED_VALUE"""),0)</f>
        <v>0</v>
      </c>
      <c r="H419" s="8">
        <f ca="1">IFERROR(__xludf.DUMMYFUNCTION("""COMPUTED_VALUE"""),1)</f>
        <v>1</v>
      </c>
      <c r="I419" s="8">
        <f ca="1">IFERROR(__xludf.DUMMYFUNCTION("""COMPUTED_VALUE"""),1)</f>
        <v>1</v>
      </c>
      <c r="J419" s="8">
        <f ca="1">IFERROR(__xludf.DUMMYFUNCTION("""COMPUTED_VALUE"""),0)</f>
        <v>0</v>
      </c>
      <c r="K419" s="8" t="str">
        <f ca="1">IFERROR(__xludf.DUMMYFUNCTION("""COMPUTED_VALUE"""),"https://www.fox4news.com/news/dallas-isd-police-wilmer-hutchins-shooting
https://www.fox10phoenix.com/news/wilmer-hutchins-high-school-dallas-police")</f>
        <v>https://www.fox4news.com/news/dallas-isd-police-wilmer-hutchins-shooting
https://www.fox10phoenix.com/news/wilmer-hutchins-high-school-dallas-police</v>
      </c>
      <c r="L419" s="8">
        <f ca="1">IFERROR(__xludf.DUMMYFUNCTION("""COMPUTED_VALUE"""),20)</f>
        <v>20</v>
      </c>
      <c r="M419" s="8" t="str">
        <f ca="1">IFERROR(__xludf.DUMMYFUNCTION("""COMPUTED_VALUE"""),"Regional")</f>
        <v>Regional</v>
      </c>
      <c r="N419" s="8">
        <f ca="1">IFERROR(__xludf.DUMMYFUNCTION("""COMPUTED_VALUE"""),4)</f>
        <v>4</v>
      </c>
      <c r="O419" s="8" t="str">
        <f ca="1">IFERROR(__xludf.DUMMYFUNCTION("""COMPUTED_VALUE"""),"Spring")</f>
        <v>Spring</v>
      </c>
      <c r="P419" s="8" t="str">
        <f ca="1">IFERROR(__xludf.DUMMYFUNCTION("""COMPUTED_VALUE"""),"Dallas")</f>
        <v>Dallas</v>
      </c>
      <c r="Q419" s="8" t="str">
        <f ca="1">IFERROR(__xludf.DUMMYFUNCTION("""COMPUTED_VALUE"""),"TX")</f>
        <v>TX</v>
      </c>
      <c r="R419" s="8" t="str">
        <f ca="1">IFERROR(__xludf.DUMMYFUNCTION("""COMPUTED_VALUE"""),"High")</f>
        <v>High</v>
      </c>
      <c r="S419" s="8" t="str">
        <f ca="1">IFERROR(__xludf.DUMMYFUNCTION("""COMPUTED_VALUE"""),"Classroom")</f>
        <v>Classroom</v>
      </c>
      <c r="T419" s="8" t="str">
        <f ca="1">IFERROR(__xludf.DUMMYFUNCTION("""COMPUTED_VALUE"""),"Inside School Building")</f>
        <v>Inside School Building</v>
      </c>
      <c r="U419" s="8" t="str">
        <f ca="1">IFERROR(__xludf.DUMMYFUNCTION("""COMPUTED_VALUE"""),"Yes")</f>
        <v>Yes</v>
      </c>
      <c r="V419" s="8" t="str">
        <f ca="1">IFERROR(__xludf.DUMMYFUNCTION("""COMPUTED_VALUE"""),"Morning Classes")</f>
        <v>Morning Classes</v>
      </c>
      <c r="W419" s="11">
        <f ca="1">IFERROR(__xludf.DUMMYFUNCTION("""COMPUTED_VALUE"""),0.4375)</f>
        <v>0.4375</v>
      </c>
      <c r="X419" s="8">
        <f ca="1">IFERROR(__xludf.DUMMYFUNCTION("""COMPUTED_VALUE"""),30)</f>
        <v>30</v>
      </c>
      <c r="Y419" s="12" t="str">
        <f ca="1">IFERROR(__xludf.DUMMYFUNCTION("""COMPUTED_VALUE"""),"Student shot classmate inside classroom, fled and was found by police near the football field 30 minutes later")</f>
        <v>Student shot classmate inside classroom, fled and was found by police near the football field 30 minutes later</v>
      </c>
      <c r="Z419" s="12" t="str">
        <f ca="1">IFERROR(__xludf.DUMMYFUNCTION("""COMPUTED_VALUE"""),"17-year-old student shot his classmate inside classroom. Teacher told him to leave the school. Shooter fled and was found by police near the football field 30 minutes later. School has metal detectors at the front door.")</f>
        <v>17-year-old student shot his classmate inside classroom. Teacher told him to leave the school. Shooter fled and was found by police near the football field 30 minutes later. School has metal detectors at the front door.</v>
      </c>
      <c r="AA419" s="8" t="str">
        <f ca="1">IFERROR(__xludf.DUMMYFUNCTION("""COMPUTED_VALUE"""),"Escalation of Dispute")</f>
        <v>Escalation of Dispute</v>
      </c>
      <c r="AB419" s="8" t="str">
        <f ca="1">IFERROR(__xludf.DUMMYFUNCTION("""COMPUTED_VALUE"""),"Targeted")</f>
        <v>Targeted</v>
      </c>
      <c r="AC419" s="8" t="str">
        <f ca="1">IFERROR(__xludf.DUMMYFUNCTION("""COMPUTED_VALUE"""),"Yes")</f>
        <v>Yes</v>
      </c>
      <c r="AD419" s="8" t="str">
        <f ca="1">IFERROR(__xludf.DUMMYFUNCTION("""COMPUTED_VALUE"""),"Victims Targeted")</f>
        <v>Victims Targeted</v>
      </c>
      <c r="AE419" s="8" t="str">
        <f ca="1">IFERROR(__xludf.DUMMYFUNCTION("""COMPUTED_VALUE"""),"No")</f>
        <v>No</v>
      </c>
      <c r="AF419" s="8"/>
      <c r="AG419" s="8" t="str">
        <f ca="1">IFERROR(__xludf.DUMMYFUNCTION("""COMPUTED_VALUE"""),"No")</f>
        <v>No</v>
      </c>
      <c r="AH419" s="8" t="str">
        <f ca="1">IFERROR(__xludf.DUMMYFUNCTION("""COMPUTED_VALUE"""),"No")</f>
        <v>No</v>
      </c>
      <c r="AI419" s="8" t="str">
        <f ca="1">IFERROR(__xludf.DUMMYFUNCTION("""COMPUTED_VALUE"""),"No")</f>
        <v>No</v>
      </c>
      <c r="AJ419" s="8"/>
      <c r="AK419" s="8" t="str">
        <f ca="1">IFERROR(__xludf.DUMMYFUNCTION("""COMPUTED_VALUE"""),"No")</f>
        <v>No</v>
      </c>
      <c r="AL419" s="8" t="str">
        <f ca="1">IFERROR(__xludf.DUMMYFUNCTION("""COMPUTED_VALUE"""),"No")</f>
        <v>No</v>
      </c>
      <c r="AM419" s="8" t="str">
        <f ca="1">IFERROR(__xludf.DUMMYFUNCTION("""COMPUTED_VALUE"""),"No")</f>
        <v>No</v>
      </c>
      <c r="AN419" s="8" t="str">
        <f ca="1">IFERROR(__xludf.DUMMYFUNCTION("""COMPUTED_VALUE"""),"Single Room")</f>
        <v>Single Room</v>
      </c>
      <c r="AO419" s="8" t="str">
        <f ca="1">IFERROR(__xludf.DUMMYFUNCTION("""COMPUTED_VALUE"""),"No")</f>
        <v>No</v>
      </c>
      <c r="AP419" s="8" t="str">
        <f ca="1">IFERROR(__xludf.DUMMYFUNCTION("""COMPUTED_VALUE"""),"Yes")</f>
        <v>Yes</v>
      </c>
      <c r="AQ419" s="8" t="str">
        <f ca="1">IFERROR(__xludf.DUMMYFUNCTION("""COMPUTED_VALUE"""),"Metal Detectors Failed")</f>
        <v>Metal Detectors Failed</v>
      </c>
      <c r="AR419" s="8" t="str">
        <f ca="1">IFERROR(__xludf.DUMMYFUNCTION("""COMPUTED_VALUE"""),"Failed")</f>
        <v>Failed</v>
      </c>
      <c r="AS419" s="8">
        <f ca="1">IFERROR(__xludf.DUMMYFUNCTION("""COMPUTED_VALUE"""),1)</f>
        <v>1</v>
      </c>
      <c r="AT419" s="8" t="str">
        <f ca="1">IFERROR(__xludf.DUMMYFUNCTION("""COMPUTED_VALUE"""),"Yes")</f>
        <v>Yes</v>
      </c>
      <c r="AU419" s="8">
        <f ca="1">IFERROR(__xludf.DUMMYFUNCTION("""COMPUTED_VALUE"""),32.657079)</f>
        <v>32.657079000000003</v>
      </c>
      <c r="AV419" s="8">
        <f ca="1">IFERROR(__xludf.DUMMYFUNCTION("""COMPUTED_VALUE"""),-96.729669)</f>
        <v>-96.729669000000001</v>
      </c>
      <c r="AW419" s="8" t="str">
        <f ca="1">IFERROR(__xludf.DUMMYFUNCTION("""COMPUTED_VALUE"""),"Single building indoor hallway")</f>
        <v>Single building indoor hallway</v>
      </c>
      <c r="AX419" s="8">
        <f ca="1">IFERROR(__xludf.DUMMYFUNCTION("""COMPUTED_VALUE"""),75241)</f>
        <v>75241</v>
      </c>
    </row>
    <row r="420" spans="1:50" ht="60" x14ac:dyDescent="0.2">
      <c r="A420" s="8" t="str">
        <f ca="1">IFERROR(__xludf.DUMMYFUNCTION("""COMPUTED_VALUE"""),"20240311KSAMG")</f>
        <v>20240311KSAMG</v>
      </c>
      <c r="B420" s="8">
        <f ca="1">IFERROR(__xludf.DUMMYFUNCTION("""COMPUTED_VALUE"""),4)</f>
        <v>4</v>
      </c>
      <c r="C420" s="8">
        <f ca="1">IFERROR(__xludf.DUMMYFUNCTION("""COMPUTED_VALUE"""),11)</f>
        <v>11</v>
      </c>
      <c r="D420" s="8">
        <f ca="1">IFERROR(__xludf.DUMMYFUNCTION("""COMPUTED_VALUE"""),2024)</f>
        <v>2024</v>
      </c>
      <c r="E420" s="9">
        <f ca="1">IFERROR(__xludf.DUMMYFUNCTION("""COMPUTED_VALUE"""),45393)</f>
        <v>45393</v>
      </c>
      <c r="F420" s="8" t="str">
        <f ca="1">IFERROR(__xludf.DUMMYFUNCTION("""COMPUTED_VALUE"""),"Amelia Earhart Elementary School")</f>
        <v>Amelia Earhart Elementary School</v>
      </c>
      <c r="G420" s="8">
        <f ca="1">IFERROR(__xludf.DUMMYFUNCTION("""COMPUTED_VALUE"""),0)</f>
        <v>0</v>
      </c>
      <c r="H420" s="8">
        <f ca="1">IFERROR(__xludf.DUMMYFUNCTION("""COMPUTED_VALUE"""),0)</f>
        <v>0</v>
      </c>
      <c r="I420" s="8">
        <f ca="1">IFERROR(__xludf.DUMMYFUNCTION("""COMPUTED_VALUE"""),0)</f>
        <v>0</v>
      </c>
      <c r="J420" s="8">
        <f ca="1">IFERROR(__xludf.DUMMYFUNCTION("""COMPUTED_VALUE"""),0)</f>
        <v>0</v>
      </c>
      <c r="K420" s="10" t="str">
        <f ca="1">IFERROR(__xludf.DUMMYFUNCTION("""COMPUTED_VALUE"""),"https://www.ksn.com/news/local/pellets-fired-at-two-goddard-school-buses/")</f>
        <v>https://www.ksn.com/news/local/pellets-fired-at-two-goddard-school-buses/</v>
      </c>
      <c r="L420" s="8">
        <f ca="1">IFERROR(__xludf.DUMMYFUNCTION("""COMPUTED_VALUE"""),1)</f>
        <v>1</v>
      </c>
      <c r="M420" s="8" t="str">
        <f ca="1">IFERROR(__xludf.DUMMYFUNCTION("""COMPUTED_VALUE"""),"Local")</f>
        <v>Local</v>
      </c>
      <c r="N420" s="8">
        <f ca="1">IFERROR(__xludf.DUMMYFUNCTION("""COMPUTED_VALUE"""),3)</f>
        <v>3</v>
      </c>
      <c r="O420" s="8" t="str">
        <f ca="1">IFERROR(__xludf.DUMMYFUNCTION("""COMPUTED_VALUE"""),"Spring")</f>
        <v>Spring</v>
      </c>
      <c r="P420" s="8" t="str">
        <f ca="1">IFERROR(__xludf.DUMMYFUNCTION("""COMPUTED_VALUE"""),"Goddard")</f>
        <v>Goddard</v>
      </c>
      <c r="Q420" s="8" t="str">
        <f ca="1">IFERROR(__xludf.DUMMYFUNCTION("""COMPUTED_VALUE"""),"KS")</f>
        <v>KS</v>
      </c>
      <c r="R420" s="8" t="str">
        <f ca="1">IFERROR(__xludf.DUMMYFUNCTION("""COMPUTED_VALUE"""),"Elementary")</f>
        <v>Elementary</v>
      </c>
      <c r="S420" s="8" t="str">
        <f ca="1">IFERROR(__xludf.DUMMYFUNCTION("""COMPUTED_VALUE"""),"School Bus")</f>
        <v>School Bus</v>
      </c>
      <c r="T420" s="8" t="str">
        <f ca="1">IFERROR(__xludf.DUMMYFUNCTION("""COMPUTED_VALUE"""),"School Bus")</f>
        <v>School Bus</v>
      </c>
      <c r="U420" s="8" t="str">
        <f ca="1">IFERROR(__xludf.DUMMYFUNCTION("""COMPUTED_VALUE"""),"Yes")</f>
        <v>Yes</v>
      </c>
      <c r="V420" s="8" t="str">
        <f ca="1">IFERROR(__xludf.DUMMYFUNCTION("""COMPUTED_VALUE"""),"Dismissal")</f>
        <v>Dismissal</v>
      </c>
      <c r="W420" s="11">
        <f ca="1">IFERROR(__xludf.DUMMYFUNCTION("""COMPUTED_VALUE"""),0.625)</f>
        <v>0.625</v>
      </c>
      <c r="X420" s="8">
        <f ca="1">IFERROR(__xludf.DUMMYFUNCTION("""COMPUTED_VALUE"""),1)</f>
        <v>1</v>
      </c>
      <c r="Y420" s="12" t="str">
        <f ca="1">IFERROR(__xludf.DUMMYFUNCTION("""COMPUTED_VALUE"""),"Teens fired pellets at two school buses taking elementary school kids home")</f>
        <v>Teens fired pellets at two school buses taking elementary school kids home</v>
      </c>
      <c r="Z420" s="12" t="str">
        <f ca="1">IFERROR(__xludf.DUMMYFUNCTION("""COMPUTED_VALUE"""),"Teens fired pellets at two school buses taking elementary school kids home. Teens were identified and arrested the following day. No injuries.")</f>
        <v>Teens fired pellets at two school buses taking elementary school kids home. Teens were identified and arrested the following day. No injuries.</v>
      </c>
      <c r="AA420" s="8" t="str">
        <f ca="1">IFERROR(__xludf.DUMMYFUNCTION("""COMPUTED_VALUE"""),"Drive-by Shooting")</f>
        <v>Drive-by Shooting</v>
      </c>
      <c r="AB420" s="8" t="str">
        <f ca="1">IFERROR(__xludf.DUMMYFUNCTION("""COMPUTED_VALUE"""),"Targeted")</f>
        <v>Targeted</v>
      </c>
      <c r="AC420" s="8" t="str">
        <f ca="1">IFERROR(__xludf.DUMMYFUNCTION("""COMPUTED_VALUE"""),"Yes")</f>
        <v>Yes</v>
      </c>
      <c r="AD420" s="8" t="str">
        <f ca="1">IFERROR(__xludf.DUMMYFUNCTION("""COMPUTED_VALUE"""),"Random Shooting")</f>
        <v>Random Shooting</v>
      </c>
      <c r="AE420" s="8" t="str">
        <f ca="1">IFERROR(__xludf.DUMMYFUNCTION("""COMPUTED_VALUE"""),"Yes")</f>
        <v>Yes</v>
      </c>
      <c r="AF420" s="8" t="str">
        <f ca="1">IFERROR(__xludf.DUMMYFUNCTION("""COMPUTED_VALUE"""),"Two teens")</f>
        <v>Two teens</v>
      </c>
      <c r="AG420" s="8" t="str">
        <f ca="1">IFERROR(__xludf.DUMMYFUNCTION("""COMPUTED_VALUE"""),"No")</f>
        <v>No</v>
      </c>
      <c r="AH420" s="8" t="str">
        <f ca="1">IFERROR(__xludf.DUMMYFUNCTION("""COMPUTED_VALUE"""),"No")</f>
        <v>No</v>
      </c>
      <c r="AI420" s="8" t="str">
        <f ca="1">IFERROR(__xludf.DUMMYFUNCTION("""COMPUTED_VALUE"""),"No")</f>
        <v>No</v>
      </c>
      <c r="AJ420" s="8" t="str">
        <f ca="1">IFERROR(__xludf.DUMMYFUNCTION("""COMPUTED_VALUE"""),"No")</f>
        <v>No</v>
      </c>
      <c r="AK420" s="8" t="str">
        <f ca="1">IFERROR(__xludf.DUMMYFUNCTION("""COMPUTED_VALUE"""),"No")</f>
        <v>No</v>
      </c>
      <c r="AL420" s="8" t="str">
        <f ca="1">IFERROR(__xludf.DUMMYFUNCTION("""COMPUTED_VALUE"""),"No")</f>
        <v>No</v>
      </c>
      <c r="AM420" s="8" t="str">
        <f ca="1">IFERROR(__xludf.DUMMYFUNCTION("""COMPUTED_VALUE"""),"No")</f>
        <v>No</v>
      </c>
      <c r="AN420" s="8" t="str">
        <f ca="1">IFERROR(__xludf.DUMMYFUNCTION("""COMPUTED_VALUE"""),"Outside")</f>
        <v>Outside</v>
      </c>
      <c r="AO420" s="8" t="str">
        <f ca="1">IFERROR(__xludf.DUMMYFUNCTION("""COMPUTED_VALUE"""),"No")</f>
        <v>No</v>
      </c>
      <c r="AP420" s="8"/>
      <c r="AQ420" s="8"/>
      <c r="AR420" s="8" t="str">
        <f ca="1">IFERROR(__xludf.DUMMYFUNCTION("""COMPUTED_VALUE"""),"Outside/Off-Property")</f>
        <v>Outside/Off-Property</v>
      </c>
      <c r="AS420" s="8">
        <f ca="1">IFERROR(__xludf.DUMMYFUNCTION("""COMPUTED_VALUE"""),99)</f>
        <v>99</v>
      </c>
      <c r="AT420" s="8" t="str">
        <f ca="1">IFERROR(__xludf.DUMMYFUNCTION("""COMPUTED_VALUE"""),"No")</f>
        <v>No</v>
      </c>
      <c r="AU420" s="8">
        <f ca="1">IFERROR(__xludf.DUMMYFUNCTION("""COMPUTED_VALUE"""),37.649424)</f>
        <v>37.649424000000003</v>
      </c>
      <c r="AV420" s="8">
        <f ca="1">IFERROR(__xludf.DUMMYFUNCTION("""COMPUTED_VALUE"""),-97.563394)</f>
        <v>-97.563394000000002</v>
      </c>
      <c r="AW420" s="8" t="str">
        <f ca="1">IFERROR(__xludf.DUMMYFUNCTION("""COMPUTED_VALUE"""),"Multiple detached buildings")</f>
        <v>Multiple detached buildings</v>
      </c>
      <c r="AX420" s="8">
        <f ca="1">IFERROR(__xludf.DUMMYFUNCTION("""COMPUTED_VALUE"""),67052)</f>
        <v>67052</v>
      </c>
    </row>
    <row r="421" spans="1:50" ht="135" x14ac:dyDescent="0.2">
      <c r="A421" s="8" t="str">
        <f ca="1">IFERROR(__xludf.DUMMYFUNCTION("""COMPUTED_VALUE"""),"20240409NMPER")</f>
        <v>20240409NMPER</v>
      </c>
      <c r="B421" s="8">
        <f ca="1">IFERROR(__xludf.DUMMYFUNCTION("""COMPUTED_VALUE"""),4)</f>
        <v>4</v>
      </c>
      <c r="C421" s="8">
        <f ca="1">IFERROR(__xludf.DUMMYFUNCTION("""COMPUTED_VALUE"""),9)</f>
        <v>9</v>
      </c>
      <c r="D421" s="8">
        <f ca="1">IFERROR(__xludf.DUMMYFUNCTION("""COMPUTED_VALUE"""),2024)</f>
        <v>2024</v>
      </c>
      <c r="E421" s="9">
        <f ca="1">IFERROR(__xludf.DUMMYFUNCTION("""COMPUTED_VALUE"""),45391)</f>
        <v>45391</v>
      </c>
      <c r="F421" s="8" t="str">
        <f ca="1">IFERROR(__xludf.DUMMYFUNCTION("""COMPUTED_VALUE"""),"Pecos Elementary School")</f>
        <v>Pecos Elementary School</v>
      </c>
      <c r="G421" s="8">
        <f ca="1">IFERROR(__xludf.DUMMYFUNCTION("""COMPUTED_VALUE"""),0)</f>
        <v>0</v>
      </c>
      <c r="H421" s="8">
        <f ca="1">IFERROR(__xludf.DUMMYFUNCTION("""COMPUTED_VALUE"""),0)</f>
        <v>0</v>
      </c>
      <c r="I421" s="8">
        <f ca="1">IFERROR(__xludf.DUMMYFUNCTION("""COMPUTED_VALUE"""),0)</f>
        <v>0</v>
      </c>
      <c r="J421" s="8">
        <f ca="1">IFERROR(__xludf.DUMMYFUNCTION("""COMPUTED_VALUE"""),0)</f>
        <v>0</v>
      </c>
      <c r="K421" s="10" t="str">
        <f ca="1">IFERROR(__xludf.DUMMYFUNCTION("""COMPUTED_VALUE"""),"https://www.krqe.com/news/crime/gun-pulled-on-teacher-at-pecos-elementary-school/")</f>
        <v>https://www.krqe.com/news/crime/gun-pulled-on-teacher-at-pecos-elementary-school/</v>
      </c>
      <c r="L421" s="8">
        <f ca="1">IFERROR(__xludf.DUMMYFUNCTION("""COMPUTED_VALUE"""),1)</f>
        <v>1</v>
      </c>
      <c r="M421" s="8" t="str">
        <f ca="1">IFERROR(__xludf.DUMMYFUNCTION("""COMPUTED_VALUE"""),"Local")</f>
        <v>Local</v>
      </c>
      <c r="N421" s="8">
        <f ca="1">IFERROR(__xludf.DUMMYFUNCTION("""COMPUTED_VALUE"""),4)</f>
        <v>4</v>
      </c>
      <c r="O421" s="8" t="str">
        <f ca="1">IFERROR(__xludf.DUMMYFUNCTION("""COMPUTED_VALUE"""),"Spring")</f>
        <v>Spring</v>
      </c>
      <c r="P421" s="8" t="str">
        <f ca="1">IFERROR(__xludf.DUMMYFUNCTION("""COMPUTED_VALUE"""),"Roswell")</f>
        <v>Roswell</v>
      </c>
      <c r="Q421" s="8" t="str">
        <f ca="1">IFERROR(__xludf.DUMMYFUNCTION("""COMPUTED_VALUE"""),"NM")</f>
        <v>NM</v>
      </c>
      <c r="R421" s="8" t="str">
        <f ca="1">IFERROR(__xludf.DUMMYFUNCTION("""COMPUTED_VALUE"""),"Elementary")</f>
        <v>Elementary</v>
      </c>
      <c r="S421" s="8" t="str">
        <f ca="1">IFERROR(__xludf.DUMMYFUNCTION("""COMPUTED_VALUE"""),"Front of School")</f>
        <v>Front of School</v>
      </c>
      <c r="T421" s="8" t="str">
        <f ca="1">IFERROR(__xludf.DUMMYFUNCTION("""COMPUTED_VALUE"""),"Outside on School Property")</f>
        <v>Outside on School Property</v>
      </c>
      <c r="U421" s="8" t="str">
        <f ca="1">IFERROR(__xludf.DUMMYFUNCTION("""COMPUTED_VALUE"""),"Yes")</f>
        <v>Yes</v>
      </c>
      <c r="V421" s="8" t="str">
        <f ca="1">IFERROR(__xludf.DUMMYFUNCTION("""COMPUTED_VALUE"""),"School Start")</f>
        <v>School Start</v>
      </c>
      <c r="W421" s="11">
        <f ca="1">IFERROR(__xludf.DUMMYFUNCTION("""COMPUTED_VALUE"""),0.3125)</f>
        <v>0.3125</v>
      </c>
      <c r="X421" s="8">
        <f ca="1">IFERROR(__xludf.DUMMYFUNCTION("""COMPUTED_VALUE"""),1)</f>
        <v>1</v>
      </c>
      <c r="Y421" s="12" t="str">
        <f ca="1">IFERROR(__xludf.DUMMYFUNCTION("""COMPUTED_VALUE"""),"Person in a vehicle pointed a gun at a teacher outside the school")</f>
        <v>Person in a vehicle pointed a gun at a teacher outside the school</v>
      </c>
      <c r="Z421" s="12" t="str">
        <f ca="1">IFERROR(__xludf.DUMMYFUNCTION("""COMPUTED_VALUE"""),"According to Pecos Elementary School’s principal, a car drove by the school Tuesday morning, and from the car, a suspect yelled at a teacher walking in and pointed a gun at her. The incident took place early in the morning before school started. No shots "&amp;"were fired, and no one was injured. The school was placed on lockdown as a precaution, and the police were called. According to the school’s administrative office, the suspect is not affiliated with Pecos Elementary School.")</f>
        <v>According to Pecos Elementary School’s principal, a car drove by the school Tuesday morning, and from the car, a suspect yelled at a teacher walking in and pointed a gun at her. The incident took place early in the morning before school started. No shots were fired, and no one was injured. The school was placed on lockdown as a precaution, and the police were called. According to the school’s administrative office, the suspect is not affiliated with Pecos Elementary School.</v>
      </c>
      <c r="AA421" s="8" t="str">
        <f ca="1">IFERROR(__xludf.DUMMYFUNCTION("""COMPUTED_VALUE"""),"Drive-by Shooting")</f>
        <v>Drive-by Shooting</v>
      </c>
      <c r="AB421" s="8" t="str">
        <f ca="1">IFERROR(__xludf.DUMMYFUNCTION("""COMPUTED_VALUE"""),"Targeted")</f>
        <v>Targeted</v>
      </c>
      <c r="AC421" s="8" t="str">
        <f ca="1">IFERROR(__xludf.DUMMYFUNCTION("""COMPUTED_VALUE"""),"Yes")</f>
        <v>Yes</v>
      </c>
      <c r="AD421" s="8" t="str">
        <f ca="1">IFERROR(__xludf.DUMMYFUNCTION("""COMPUTED_VALUE"""),"Victims Targeted")</f>
        <v>Victims Targeted</v>
      </c>
      <c r="AE421" s="8" t="str">
        <f ca="1">IFERROR(__xludf.DUMMYFUNCTION("""COMPUTED_VALUE"""),"Yes")</f>
        <v>Yes</v>
      </c>
      <c r="AF421" s="8" t="str">
        <f ca="1">IFERROR(__xludf.DUMMYFUNCTION("""COMPUTED_VALUE"""),"Shooter and driver")</f>
        <v>Shooter and driver</v>
      </c>
      <c r="AG421" s="8" t="str">
        <f ca="1">IFERROR(__xludf.DUMMYFUNCTION("""COMPUTED_VALUE"""),"No")</f>
        <v>No</v>
      </c>
      <c r="AH421" s="8" t="str">
        <f ca="1">IFERROR(__xludf.DUMMYFUNCTION("""COMPUTED_VALUE"""),"No")</f>
        <v>No</v>
      </c>
      <c r="AI421" s="8" t="str">
        <f ca="1">IFERROR(__xludf.DUMMYFUNCTION("""COMPUTED_VALUE"""),"No")</f>
        <v>No</v>
      </c>
      <c r="AJ421" s="8" t="str">
        <f ca="1">IFERROR(__xludf.DUMMYFUNCTION("""COMPUTED_VALUE"""),"No")</f>
        <v>No</v>
      </c>
      <c r="AK421" s="8"/>
      <c r="AL421" s="8" t="str">
        <f ca="1">IFERROR(__xludf.DUMMYFUNCTION("""COMPUTED_VALUE"""),"No")</f>
        <v>No</v>
      </c>
      <c r="AM421" s="8" t="str">
        <f ca="1">IFERROR(__xludf.DUMMYFUNCTION("""COMPUTED_VALUE"""),"No")</f>
        <v>No</v>
      </c>
      <c r="AN421" s="8" t="str">
        <f ca="1">IFERROR(__xludf.DUMMYFUNCTION("""COMPUTED_VALUE"""),"Outside")</f>
        <v>Outside</v>
      </c>
      <c r="AO421" s="8" t="str">
        <f ca="1">IFERROR(__xludf.DUMMYFUNCTION("""COMPUTED_VALUE"""),"No")</f>
        <v>No</v>
      </c>
      <c r="AP421" s="8"/>
      <c r="AQ421" s="8"/>
      <c r="AR421" s="8" t="str">
        <f ca="1">IFERROR(__xludf.DUMMYFUNCTION("""COMPUTED_VALUE"""),"Outside/Off-Property")</f>
        <v>Outside/Off-Property</v>
      </c>
      <c r="AS421" s="8">
        <f ca="1">IFERROR(__xludf.DUMMYFUNCTION("""COMPUTED_VALUE"""),0)</f>
        <v>0</v>
      </c>
      <c r="AT421" s="8" t="str">
        <f ca="1">IFERROR(__xludf.DUMMYFUNCTION("""COMPUTED_VALUE"""),"Yes")</f>
        <v>Yes</v>
      </c>
      <c r="AU421" s="8">
        <f ca="1">IFERROR(__xludf.DUMMYFUNCTION("""COMPUTED_VALUE"""),33.371956)</f>
        <v>33.371955999999997</v>
      </c>
      <c r="AV421" s="8">
        <f ca="1">IFERROR(__xludf.DUMMYFUNCTION("""COMPUTED_VALUE"""),-104.513682)</f>
        <v>-104.513682</v>
      </c>
      <c r="AW421" s="8" t="str">
        <f ca="1">IFERROR(__xludf.DUMMYFUNCTION("""COMPUTED_VALUE"""),"Single building indoor hallway")</f>
        <v>Single building indoor hallway</v>
      </c>
      <c r="AX421" s="8">
        <f ca="1">IFERROR(__xludf.DUMMYFUNCTION("""COMPUTED_VALUE"""),88203)</f>
        <v>88203</v>
      </c>
    </row>
    <row r="422" spans="1:50" ht="45" x14ac:dyDescent="0.2">
      <c r="A422" s="8" t="str">
        <f ca="1">IFERROR(__xludf.DUMMYFUNCTION("""COMPUTED_VALUE"""),"20240404MOROR")</f>
        <v>20240404MOROR</v>
      </c>
      <c r="B422" s="8">
        <f ca="1">IFERROR(__xludf.DUMMYFUNCTION("""COMPUTED_VALUE"""),4)</f>
        <v>4</v>
      </c>
      <c r="C422" s="8">
        <f ca="1">IFERROR(__xludf.DUMMYFUNCTION("""COMPUTED_VALUE"""),4)</f>
        <v>4</v>
      </c>
      <c r="D422" s="8">
        <f ca="1">IFERROR(__xludf.DUMMYFUNCTION("""COMPUTED_VALUE"""),2024)</f>
        <v>2024</v>
      </c>
      <c r="E422" s="9">
        <f ca="1">IFERROR(__xludf.DUMMYFUNCTION("""COMPUTED_VALUE"""),45386)</f>
        <v>45386</v>
      </c>
      <c r="F422" s="8" t="str">
        <f ca="1">IFERROR(__xludf.DUMMYFUNCTION("""COMPUTED_VALUE"""),"Robinson Elementary School")</f>
        <v>Robinson Elementary School</v>
      </c>
      <c r="G422" s="8">
        <f ca="1">IFERROR(__xludf.DUMMYFUNCTION("""COMPUTED_VALUE"""),0)</f>
        <v>0</v>
      </c>
      <c r="H422" s="8">
        <f ca="1">IFERROR(__xludf.DUMMYFUNCTION("""COMPUTED_VALUE"""),1)</f>
        <v>1</v>
      </c>
      <c r="I422" s="8">
        <f ca="1">IFERROR(__xludf.DUMMYFUNCTION("""COMPUTED_VALUE"""),1)</f>
        <v>1</v>
      </c>
      <c r="J422" s="8">
        <f ca="1">IFERROR(__xludf.DUMMYFUNCTION("""COMPUTED_VALUE"""),0)</f>
        <v>0</v>
      </c>
      <c r="K422" s="10" t="str">
        <f ca="1">IFERROR(__xludf.DUMMYFUNCTION("""COMPUTED_VALUE"""),"https://www.kshb.com/news/crime/victim-injured-in-kcmo-shooting-thursday-near-raytown-elementary-school")</f>
        <v>https://www.kshb.com/news/crime/victim-injured-in-kcmo-shooting-thursday-near-raytown-elementary-school</v>
      </c>
      <c r="L422" s="8">
        <f ca="1">IFERROR(__xludf.DUMMYFUNCTION("""COMPUTED_VALUE"""),1)</f>
        <v>1</v>
      </c>
      <c r="M422" s="8" t="str">
        <f ca="1">IFERROR(__xludf.DUMMYFUNCTION("""COMPUTED_VALUE"""),"Local")</f>
        <v>Local</v>
      </c>
      <c r="N422" s="8">
        <f ca="1">IFERROR(__xludf.DUMMYFUNCTION("""COMPUTED_VALUE"""),2)</f>
        <v>2</v>
      </c>
      <c r="O422" s="8" t="str">
        <f ca="1">IFERROR(__xludf.DUMMYFUNCTION("""COMPUTED_VALUE"""),"Spring")</f>
        <v>Spring</v>
      </c>
      <c r="P422" s="8" t="str">
        <f ca="1">IFERROR(__xludf.DUMMYFUNCTION("""COMPUTED_VALUE"""),"Raytown")</f>
        <v>Raytown</v>
      </c>
      <c r="Q422" s="8" t="str">
        <f ca="1">IFERROR(__xludf.DUMMYFUNCTION("""COMPUTED_VALUE"""),"MO")</f>
        <v>MO</v>
      </c>
      <c r="R422" s="8" t="str">
        <f ca="1">IFERROR(__xludf.DUMMYFUNCTION("""COMPUTED_VALUE"""),"Elementary")</f>
        <v>Elementary</v>
      </c>
      <c r="S422" s="8" t="str">
        <f ca="1">IFERROR(__xludf.DUMMYFUNCTION("""COMPUTED_VALUE"""),"Parking Lot")</f>
        <v>Parking Lot</v>
      </c>
      <c r="T422" s="8" t="str">
        <f ca="1">IFERROR(__xludf.DUMMYFUNCTION("""COMPUTED_VALUE"""),"Outside on School Property")</f>
        <v>Outside on School Property</v>
      </c>
      <c r="U422" s="8" t="str">
        <f ca="1">IFERROR(__xludf.DUMMYFUNCTION("""COMPUTED_VALUE"""),"Yes")</f>
        <v>Yes</v>
      </c>
      <c r="V422" s="8" t="str">
        <f ca="1">IFERROR(__xludf.DUMMYFUNCTION("""COMPUTED_VALUE"""),"Lunch")</f>
        <v>Lunch</v>
      </c>
      <c r="W422" s="11">
        <f ca="1">IFERROR(__xludf.DUMMYFUNCTION("""COMPUTED_VALUE"""),0.534722222222222)</f>
        <v>0.53472222222222199</v>
      </c>
      <c r="X422" s="8">
        <f ca="1">IFERROR(__xludf.DUMMYFUNCTION("""COMPUTED_VALUE"""),1)</f>
        <v>1</v>
      </c>
      <c r="Y422" s="12" t="str">
        <f ca="1">IFERROR(__xludf.DUMMYFUNCTION("""COMPUTED_VALUE"""),"Shooting in school parking lot")</f>
        <v>Shooting in school parking lot</v>
      </c>
      <c r="Z422" s="12" t="str">
        <f ca="1">IFERROR(__xludf.DUMMYFUNCTION("""COMPUTED_VALUE"""),"School went on lockdown after a shooting in the school parking lot. Photos show vehicle being towed away from the school. No other details.")</f>
        <v>School went on lockdown after a shooting in the school parking lot. Photos show vehicle being towed away from the school. No other details.</v>
      </c>
      <c r="AA422" s="8"/>
      <c r="AB422" s="8"/>
      <c r="AC422" s="8" t="str">
        <f ca="1">IFERROR(__xludf.DUMMYFUNCTION("""COMPUTED_VALUE"""),"Yes")</f>
        <v>Yes</v>
      </c>
      <c r="AD422" s="8"/>
      <c r="AE422" s="8"/>
      <c r="AF422" s="8"/>
      <c r="AG422" s="8" t="str">
        <f ca="1">IFERROR(__xludf.DUMMYFUNCTION("""COMPUTED_VALUE"""),"No")</f>
        <v>No</v>
      </c>
      <c r="AH422" s="8" t="str">
        <f ca="1">IFERROR(__xludf.DUMMYFUNCTION("""COMPUTED_VALUE"""),"No")</f>
        <v>No</v>
      </c>
      <c r="AI422" s="8" t="str">
        <f ca="1">IFERROR(__xludf.DUMMYFUNCTION("""COMPUTED_VALUE"""),"No")</f>
        <v>No</v>
      </c>
      <c r="AJ422" s="8" t="str">
        <f ca="1">IFERROR(__xludf.DUMMYFUNCTION("""COMPUTED_VALUE"""),"No")</f>
        <v>No</v>
      </c>
      <c r="AK422" s="8"/>
      <c r="AL422" s="8"/>
      <c r="AM422" s="8" t="str">
        <f ca="1">IFERROR(__xludf.DUMMYFUNCTION("""COMPUTED_VALUE"""),"No")</f>
        <v>No</v>
      </c>
      <c r="AN422" s="8" t="str">
        <f ca="1">IFERROR(__xludf.DUMMYFUNCTION("""COMPUTED_VALUE"""),"Outside")</f>
        <v>Outside</v>
      </c>
      <c r="AO422" s="8" t="str">
        <f ca="1">IFERROR(__xludf.DUMMYFUNCTION("""COMPUTED_VALUE"""),"No")</f>
        <v>No</v>
      </c>
      <c r="AP422" s="8"/>
      <c r="AQ422" s="8"/>
      <c r="AR422" s="8" t="str">
        <f ca="1">IFERROR(__xludf.DUMMYFUNCTION("""COMPUTED_VALUE"""),"Outside/Off-Property")</f>
        <v>Outside/Off-Property</v>
      </c>
      <c r="AS422" s="8"/>
      <c r="AT422" s="8" t="str">
        <f ca="1">IFERROR(__xludf.DUMMYFUNCTION("""COMPUTED_VALUE"""),"Yes")</f>
        <v>Yes</v>
      </c>
      <c r="AU422" s="8">
        <f ca="1">IFERROR(__xludf.DUMMYFUNCTION("""COMPUTED_VALUE"""),39.000376)</f>
        <v>39.000376000000003</v>
      </c>
      <c r="AV422" s="8">
        <f ca="1">IFERROR(__xludf.DUMMYFUNCTION("""COMPUTED_VALUE"""),-94.443751)</f>
        <v>-94.443751000000006</v>
      </c>
      <c r="AW422" s="8" t="str">
        <f ca="1">IFERROR(__xludf.DUMMYFUNCTION("""COMPUTED_VALUE"""),"Single building indoor hallway")</f>
        <v>Single building indoor hallway</v>
      </c>
      <c r="AX422" s="8">
        <f ca="1">IFERROR(__xludf.DUMMYFUNCTION("""COMPUTED_VALUE"""),64133)</f>
        <v>64133</v>
      </c>
    </row>
    <row r="423" spans="1:50" ht="195" x14ac:dyDescent="0.2">
      <c r="A423" s="8" t="str">
        <f ca="1">IFERROR(__xludf.DUMMYFUNCTION("""COMPUTED_VALUE"""),"20240403NMLYL")</f>
        <v>20240403NMLYL</v>
      </c>
      <c r="B423" s="8">
        <f ca="1">IFERROR(__xludf.DUMMYFUNCTION("""COMPUTED_VALUE"""),4)</f>
        <v>4</v>
      </c>
      <c r="C423" s="8">
        <f ca="1">IFERROR(__xludf.DUMMYFUNCTION("""COMPUTED_VALUE"""),3)</f>
        <v>3</v>
      </c>
      <c r="D423" s="8">
        <f ca="1">IFERROR(__xludf.DUMMYFUNCTION("""COMPUTED_VALUE"""),2024)</f>
        <v>2024</v>
      </c>
      <c r="E423" s="9">
        <f ca="1">IFERROR(__xludf.DUMMYFUNCTION("""COMPUTED_VALUE"""),45385)</f>
        <v>45385</v>
      </c>
      <c r="F423" s="8" t="str">
        <f ca="1">IFERROR(__xludf.DUMMYFUNCTION("""COMPUTED_VALUE"""),"Lynn Middle School")</f>
        <v>Lynn Middle School</v>
      </c>
      <c r="G423" s="8">
        <f ca="1">IFERROR(__xludf.DUMMYFUNCTION("""COMPUTED_VALUE"""),1)</f>
        <v>1</v>
      </c>
      <c r="H423" s="8">
        <f ca="1">IFERROR(__xludf.DUMMYFUNCTION("""COMPUTED_VALUE"""),0)</f>
        <v>0</v>
      </c>
      <c r="I423" s="8">
        <f ca="1">IFERROR(__xludf.DUMMYFUNCTION("""COMPUTED_VALUE"""),1)</f>
        <v>1</v>
      </c>
      <c r="J423" s="8">
        <f ca="1">IFERROR(__xludf.DUMMYFUNCTION("""COMPUTED_VALUE"""),0)</f>
        <v>0</v>
      </c>
      <c r="K423" s="8" t="str">
        <f ca="1">IFERROR(__xludf.DUMMYFUNCTION("""COMPUTED_VALUE"""),"https://www.ktsm.com/news/docs-las-cruces-man-shoots-other-man-over-woman-near-lynn-middle-school/
https://www.ktsm.com/news/man-in-custody-after-shooting-near-lynn-middle-school-in-las-cruces/
https://www.koat.com/article/arrest-after-las-cruces-school-l"&amp;"ockdown/60383079
https://kvia.com/news/abc-7-alert-center/2024/04/03/lynn-middle-school-on-lockdown-as-police-investigate-shooting/")</f>
        <v>https://www.ktsm.com/news/docs-las-cruces-man-shoots-other-man-over-woman-near-lynn-middle-school/
https://www.ktsm.com/news/man-in-custody-after-shooting-near-lynn-middle-school-in-las-cruces/
https://www.koat.com/article/arrest-after-las-cruces-school-lockdown/60383079
https://kvia.com/news/abc-7-alert-center/2024/04/03/lynn-middle-school-on-lockdown-as-police-investigate-shooting/</v>
      </c>
      <c r="L423" s="8">
        <f ca="1">IFERROR(__xludf.DUMMYFUNCTION("""COMPUTED_VALUE"""),10)</f>
        <v>10</v>
      </c>
      <c r="M423" s="8" t="str">
        <f ca="1">IFERROR(__xludf.DUMMYFUNCTION("""COMPUTED_VALUE"""),"Regional")</f>
        <v>Regional</v>
      </c>
      <c r="N423" s="8">
        <f ca="1">IFERROR(__xludf.DUMMYFUNCTION("""COMPUTED_VALUE"""),4)</f>
        <v>4</v>
      </c>
      <c r="O423" s="8" t="str">
        <f ca="1">IFERROR(__xludf.DUMMYFUNCTION("""COMPUTED_VALUE"""),"Spring")</f>
        <v>Spring</v>
      </c>
      <c r="P423" s="8" t="str">
        <f ca="1">IFERROR(__xludf.DUMMYFUNCTION("""COMPUTED_VALUE"""),"Las Cruces")</f>
        <v>Las Cruces</v>
      </c>
      <c r="Q423" s="8" t="str">
        <f ca="1">IFERROR(__xludf.DUMMYFUNCTION("""COMPUTED_VALUE"""),"NM")</f>
        <v>NM</v>
      </c>
      <c r="R423" s="8" t="str">
        <f ca="1">IFERROR(__xludf.DUMMYFUNCTION("""COMPUTED_VALUE"""),"Middle")</f>
        <v>Middle</v>
      </c>
      <c r="S423" s="8" t="str">
        <f ca="1">IFERROR(__xludf.DUMMYFUNCTION("""COMPUTED_VALUE"""),"Outside on School Property")</f>
        <v>Outside on School Property</v>
      </c>
      <c r="T423" s="8" t="str">
        <f ca="1">IFERROR(__xludf.DUMMYFUNCTION("""COMPUTED_VALUE"""),"Off School Property")</f>
        <v>Off School Property</v>
      </c>
      <c r="U423" s="8" t="str">
        <f ca="1">IFERROR(__xludf.DUMMYFUNCTION("""COMPUTED_VALUE"""),"No")</f>
        <v>No</v>
      </c>
      <c r="V423" s="8" t="str">
        <f ca="1">IFERROR(__xludf.DUMMYFUNCTION("""COMPUTED_VALUE"""),"Before School")</f>
        <v>Before School</v>
      </c>
      <c r="W423" s="11">
        <f ca="1">IFERROR(__xludf.DUMMYFUNCTION("""COMPUTED_VALUE"""),0.25)</f>
        <v>0.25</v>
      </c>
      <c r="X423" s="8">
        <f ca="1">IFERROR(__xludf.DUMMYFUNCTION("""COMPUTED_VALUE"""),1)</f>
        <v>1</v>
      </c>
      <c r="Y423" s="12" t="str">
        <f ca="1">IFERROR(__xludf.DUMMYFUNCTION("""COMPUTED_VALUE"""),"School locked down after man shot woman 10 times and was found by police on the campus")</f>
        <v>School locked down after man shot woman 10 times and was found by police on the campus</v>
      </c>
      <c r="Z423" s="12" t="str">
        <f ca="1">IFERROR(__xludf.DUMMYFUNCTION("""COMPUTED_VALUE"""),"Police say man and his girlfriend were arguing when she called him for a ride. When he got here, police say, they started fighting in the street in front of the school. Police say man got out of the car, firing several shots before running towards the sch"&amp;"ool, dropping the firearm and magazines on school property. They arrested the man on the northeast side of the campus. Las Cruces Public Schools stated there was no immediate threat to students or staff. The school was placed on lockdown as the Las Cruces"&amp;" Police Department investigated the shooting. Large amount of evidence was recovered on the school campus. Students who arrived at the campus were bused to an alternate location.")</f>
        <v>Police say man and his girlfriend were arguing when she called him for a ride. When he got here, police say, they started fighting in the street in front of the school. Police say man got out of the car, firing several shots before running towards the school, dropping the firearm and magazines on school property. They arrested the man on the northeast side of the campus. Las Cruces Public Schools stated there was no immediate threat to students or staff. The school was placed on lockdown as the Las Cruces Police Department investigated the shooting. Large amount of evidence was recovered on the school campus. Students who arrived at the campus were bused to an alternate location.</v>
      </c>
      <c r="AA423" s="8" t="str">
        <f ca="1">IFERROR(__xludf.DUMMYFUNCTION("""COMPUTED_VALUE"""),"Domestic w/ Targeted Victim")</f>
        <v>Domestic w/ Targeted Victim</v>
      </c>
      <c r="AB423" s="8" t="str">
        <f ca="1">IFERROR(__xludf.DUMMYFUNCTION("""COMPUTED_VALUE"""),"Targeted")</f>
        <v>Targeted</v>
      </c>
      <c r="AC423" s="8" t="str">
        <f ca="1">IFERROR(__xludf.DUMMYFUNCTION("""COMPUTED_VALUE"""),"Yes")</f>
        <v>Yes</v>
      </c>
      <c r="AD423" s="8" t="str">
        <f ca="1">IFERROR(__xludf.DUMMYFUNCTION("""COMPUTED_VALUE"""),"Victims Targeted")</f>
        <v>Victims Targeted</v>
      </c>
      <c r="AE423" s="8" t="str">
        <f ca="1">IFERROR(__xludf.DUMMYFUNCTION("""COMPUTED_VALUE"""),"No")</f>
        <v>No</v>
      </c>
      <c r="AF423" s="8"/>
      <c r="AG423" s="8" t="str">
        <f ca="1">IFERROR(__xludf.DUMMYFUNCTION("""COMPUTED_VALUE"""),"No")</f>
        <v>No</v>
      </c>
      <c r="AH423" s="8" t="str">
        <f ca="1">IFERROR(__xludf.DUMMYFUNCTION("""COMPUTED_VALUE"""),"No")</f>
        <v>No</v>
      </c>
      <c r="AI423" s="8" t="str">
        <f ca="1">IFERROR(__xludf.DUMMYFUNCTION("""COMPUTED_VALUE"""),"No")</f>
        <v>No</v>
      </c>
      <c r="AJ423" s="8" t="str">
        <f ca="1">IFERROR(__xludf.DUMMYFUNCTION("""COMPUTED_VALUE"""),"No")</f>
        <v>No</v>
      </c>
      <c r="AK423" s="8" t="str">
        <f ca="1">IFERROR(__xludf.DUMMYFUNCTION("""COMPUTED_VALUE"""),"Yes")</f>
        <v>Yes</v>
      </c>
      <c r="AL423" s="8" t="str">
        <f ca="1">IFERROR(__xludf.DUMMYFUNCTION("""COMPUTED_VALUE"""),"No")</f>
        <v>No</v>
      </c>
      <c r="AM423" s="8" t="str">
        <f ca="1">IFERROR(__xludf.DUMMYFUNCTION("""COMPUTED_VALUE"""),"No")</f>
        <v>No</v>
      </c>
      <c r="AN423" s="8" t="str">
        <f ca="1">IFERROR(__xludf.DUMMYFUNCTION("""COMPUTED_VALUE"""),"Outside")</f>
        <v>Outside</v>
      </c>
      <c r="AO423" s="8" t="str">
        <f ca="1">IFERROR(__xludf.DUMMYFUNCTION("""COMPUTED_VALUE"""),"No")</f>
        <v>No</v>
      </c>
      <c r="AP423" s="8"/>
      <c r="AQ423" s="8"/>
      <c r="AR423" s="8" t="str">
        <f ca="1">IFERROR(__xludf.DUMMYFUNCTION("""COMPUTED_VALUE"""),"Outside/Off-Property")</f>
        <v>Outside/Off-Property</v>
      </c>
      <c r="AS423" s="8">
        <f ca="1">IFERROR(__xludf.DUMMYFUNCTION("""COMPUTED_VALUE"""),10)</f>
        <v>10</v>
      </c>
      <c r="AT423" s="8" t="str">
        <f ca="1">IFERROR(__xludf.DUMMYFUNCTION("""COMPUTED_VALUE"""),"Yes")</f>
        <v>Yes</v>
      </c>
      <c r="AU423" s="8">
        <f ca="1">IFERROR(__xludf.DUMMYFUNCTION("""COMPUTED_VALUE"""),32.307048)</f>
        <v>32.307048000000002</v>
      </c>
      <c r="AV423" s="8">
        <f ca="1">IFERROR(__xludf.DUMMYFUNCTION("""COMPUTED_VALUE"""),-106.752043)</f>
        <v>-106.752043</v>
      </c>
      <c r="AW423" s="8" t="str">
        <f ca="1">IFERROR(__xludf.DUMMYFUNCTION("""COMPUTED_VALUE"""),"Multiple attached buildings")</f>
        <v>Multiple attached buildings</v>
      </c>
      <c r="AX423" s="8">
        <f ca="1">IFERROR(__xludf.DUMMYFUNCTION("""COMPUTED_VALUE"""),88001)</f>
        <v>88001</v>
      </c>
    </row>
    <row r="424" spans="1:50" ht="60" x14ac:dyDescent="0.2">
      <c r="A424" s="8" t="str">
        <f ca="1">IFERROR(__xludf.DUMMYFUNCTION("""COMPUTED_VALUE"""),"20240402MACAC")</f>
        <v>20240402MACAC</v>
      </c>
      <c r="B424" s="8">
        <f ca="1">IFERROR(__xludf.DUMMYFUNCTION("""COMPUTED_VALUE"""),4)</f>
        <v>4</v>
      </c>
      <c r="C424" s="8">
        <f ca="1">IFERROR(__xludf.DUMMYFUNCTION("""COMPUTED_VALUE"""),2)</f>
        <v>2</v>
      </c>
      <c r="D424" s="8">
        <f ca="1">IFERROR(__xludf.DUMMYFUNCTION("""COMPUTED_VALUE"""),2024)</f>
        <v>2024</v>
      </c>
      <c r="E424" s="9">
        <f ca="1">IFERROR(__xludf.DUMMYFUNCTION("""COMPUTED_VALUE"""),45384)</f>
        <v>45384</v>
      </c>
      <c r="F424" s="8" t="str">
        <f ca="1">IFERROR(__xludf.DUMMYFUNCTION("""COMPUTED_VALUE"""),"Cambridge Rindge and Latin School")</f>
        <v>Cambridge Rindge and Latin School</v>
      </c>
      <c r="G424" s="8">
        <f ca="1">IFERROR(__xludf.DUMMYFUNCTION("""COMPUTED_VALUE"""),0)</f>
        <v>0</v>
      </c>
      <c r="H424" s="8">
        <f ca="1">IFERROR(__xludf.DUMMYFUNCTION("""COMPUTED_VALUE"""),0)</f>
        <v>0</v>
      </c>
      <c r="I424" s="8">
        <f ca="1">IFERROR(__xludf.DUMMYFUNCTION("""COMPUTED_VALUE"""),0)</f>
        <v>0</v>
      </c>
      <c r="J424" s="8">
        <f ca="1">IFERROR(__xludf.DUMMYFUNCTION("""COMPUTED_VALUE"""),0)</f>
        <v>0</v>
      </c>
      <c r="K424" s="8" t="str">
        <f ca="1">IFERROR(__xludf.DUMMYFUNCTION("""COMPUTED_VALUE"""),"https://www.nbcboston.com/news/local/officer-pulled-gun-from-holster-accidentally-fired-it-in-cambridge-school-bathroom-police-say/3328023/
https://www.nbcboston.com/news/local/school-resource-officer-accidentally-shoots-gun-in-bathroom-cambridge-police-s"&amp;"ay/3326608/
https://www.masslive.com/news/2024/04/mass-school-resource-officers-gun-fires-in-school-bathroom-police-say.html")</f>
        <v>https://www.nbcboston.com/news/local/officer-pulled-gun-from-holster-accidentally-fired-it-in-cambridge-school-bathroom-police-say/3328023/
https://www.nbcboston.com/news/local/school-resource-officer-accidentally-shoots-gun-in-bathroom-cambridge-police-say/3326608/
https://www.masslive.com/news/2024/04/mass-school-resource-officers-gun-fires-in-school-bathroom-police-say.html</v>
      </c>
      <c r="L424" s="8">
        <f ca="1">IFERROR(__xludf.DUMMYFUNCTION("""COMPUTED_VALUE"""),10)</f>
        <v>10</v>
      </c>
      <c r="M424" s="8" t="str">
        <f ca="1">IFERROR(__xludf.DUMMYFUNCTION("""COMPUTED_VALUE"""),"Regional")</f>
        <v>Regional</v>
      </c>
      <c r="N424" s="8">
        <f ca="1">IFERROR(__xludf.DUMMYFUNCTION("""COMPUTED_VALUE"""),4)</f>
        <v>4</v>
      </c>
      <c r="O424" s="8" t="str">
        <f ca="1">IFERROR(__xludf.DUMMYFUNCTION("""COMPUTED_VALUE"""),"Spring")</f>
        <v>Spring</v>
      </c>
      <c r="P424" s="8" t="str">
        <f ca="1">IFERROR(__xludf.DUMMYFUNCTION("""COMPUTED_VALUE"""),"Cambridge")</f>
        <v>Cambridge</v>
      </c>
      <c r="Q424" s="8" t="str">
        <f ca="1">IFERROR(__xludf.DUMMYFUNCTION("""COMPUTED_VALUE"""),"MA")</f>
        <v>MA</v>
      </c>
      <c r="R424" s="8" t="str">
        <f ca="1">IFERROR(__xludf.DUMMYFUNCTION("""COMPUTED_VALUE"""),"High")</f>
        <v>High</v>
      </c>
      <c r="S424" s="8" t="str">
        <f ca="1">IFERROR(__xludf.DUMMYFUNCTION("""COMPUTED_VALUE"""),"Bathroom")</f>
        <v>Bathroom</v>
      </c>
      <c r="T424" s="8" t="str">
        <f ca="1">IFERROR(__xludf.DUMMYFUNCTION("""COMPUTED_VALUE"""),"Inside School Building")</f>
        <v>Inside School Building</v>
      </c>
      <c r="U424" s="8" t="str">
        <f ca="1">IFERROR(__xludf.DUMMYFUNCTION("""COMPUTED_VALUE"""),"Yes")</f>
        <v>Yes</v>
      </c>
      <c r="V424" s="8" t="str">
        <f ca="1">IFERROR(__xludf.DUMMYFUNCTION("""COMPUTED_VALUE"""),"Afternoon Classes")</f>
        <v>Afternoon Classes</v>
      </c>
      <c r="W424" s="11">
        <f ca="1">IFERROR(__xludf.DUMMYFUNCTION("""COMPUTED_VALUE"""),0.572916666666666)</f>
        <v>0.57291666666666596</v>
      </c>
      <c r="X424" s="8">
        <f ca="1">IFERROR(__xludf.DUMMYFUNCTION("""COMPUTED_VALUE"""),1)</f>
        <v>1</v>
      </c>
      <c r="Y424" s="12" t="str">
        <f ca="1">IFERROR(__xludf.DUMMYFUNCTION("""COMPUTED_VALUE"""),"School police officer accidentally fired his gun inside the bathroom")</f>
        <v>School police officer accidentally fired his gun inside the bathroom</v>
      </c>
      <c r="Z424" s="12" t="str">
        <f ca="1">IFERROR(__xludf.DUMMYFUNCTION("""COMPUTED_VALUE"""),"School police officer accidentally fired his gun inside the bathroom during afternoon classes. School did not go on lockdown.")</f>
        <v>School police officer accidentally fired his gun inside the bathroom during afternoon classes. School did not go on lockdown.</v>
      </c>
      <c r="AA424" s="8" t="str">
        <f ca="1">IFERROR(__xludf.DUMMYFUNCTION("""COMPUTED_VALUE"""),"Accidental")</f>
        <v>Accidental</v>
      </c>
      <c r="AB424" s="8" t="str">
        <f ca="1">IFERROR(__xludf.DUMMYFUNCTION("""COMPUTED_VALUE"""),"Spontaneous")</f>
        <v>Spontaneous</v>
      </c>
      <c r="AC424" s="8" t="str">
        <f ca="1">IFERROR(__xludf.DUMMYFUNCTION("""COMPUTED_VALUE"""),"Yes")</f>
        <v>Yes</v>
      </c>
      <c r="AD424" s="8" t="str">
        <f ca="1">IFERROR(__xludf.DUMMYFUNCTION("""COMPUTED_VALUE"""),"Neither")</f>
        <v>Neither</v>
      </c>
      <c r="AE424" s="8" t="str">
        <f ca="1">IFERROR(__xludf.DUMMYFUNCTION("""COMPUTED_VALUE"""),"No")</f>
        <v>No</v>
      </c>
      <c r="AF424" s="8"/>
      <c r="AG424" s="8" t="str">
        <f ca="1">IFERROR(__xludf.DUMMYFUNCTION("""COMPUTED_VALUE"""),"No")</f>
        <v>No</v>
      </c>
      <c r="AH424" s="8" t="str">
        <f ca="1">IFERROR(__xludf.DUMMYFUNCTION("""COMPUTED_VALUE"""),"No")</f>
        <v>No</v>
      </c>
      <c r="AI424" s="8" t="str">
        <f ca="1">IFERROR(__xludf.DUMMYFUNCTION("""COMPUTED_VALUE"""),"Yes")</f>
        <v>Yes</v>
      </c>
      <c r="AJ424" s="8" t="str">
        <f ca="1">IFERROR(__xludf.DUMMYFUNCTION("""COMPUTED_VALUE"""),"No")</f>
        <v>No</v>
      </c>
      <c r="AK424" s="8" t="str">
        <f ca="1">IFERROR(__xludf.DUMMYFUNCTION("""COMPUTED_VALUE"""),"No")</f>
        <v>No</v>
      </c>
      <c r="AL424" s="8" t="str">
        <f ca="1">IFERROR(__xludf.DUMMYFUNCTION("""COMPUTED_VALUE"""),"No")</f>
        <v>No</v>
      </c>
      <c r="AM424" s="8" t="str">
        <f ca="1">IFERROR(__xludf.DUMMYFUNCTION("""COMPUTED_VALUE"""),"No")</f>
        <v>No</v>
      </c>
      <c r="AN424" s="8" t="str">
        <f ca="1">IFERROR(__xludf.DUMMYFUNCTION("""COMPUTED_VALUE"""),"Single Room")</f>
        <v>Single Room</v>
      </c>
      <c r="AO424" s="8" t="str">
        <f ca="1">IFERROR(__xludf.DUMMYFUNCTION("""COMPUTED_VALUE"""),"No")</f>
        <v>No</v>
      </c>
      <c r="AP424" s="8" t="str">
        <f ca="1">IFERROR(__xludf.DUMMYFUNCTION("""COMPUTED_VALUE"""),"Yes")</f>
        <v>Yes</v>
      </c>
      <c r="AQ424" s="8"/>
      <c r="AR424" s="8" t="str">
        <f ca="1">IFERROR(__xludf.DUMMYFUNCTION("""COMPUTED_VALUE"""),"NA")</f>
        <v>NA</v>
      </c>
      <c r="AS424" s="8">
        <f ca="1">IFERROR(__xludf.DUMMYFUNCTION("""COMPUTED_VALUE"""),1)</f>
        <v>1</v>
      </c>
      <c r="AT424" s="8" t="str">
        <f ca="1">IFERROR(__xludf.DUMMYFUNCTION("""COMPUTED_VALUE"""),"No")</f>
        <v>No</v>
      </c>
      <c r="AU424" s="8">
        <f ca="1">IFERROR(__xludf.DUMMYFUNCTION("""COMPUTED_VALUE"""),42.37423)</f>
        <v>42.374229999999997</v>
      </c>
      <c r="AV424" s="8">
        <f ca="1">IFERROR(__xludf.DUMMYFUNCTION("""COMPUTED_VALUE"""),-71.111469)</f>
        <v>-71.111469</v>
      </c>
      <c r="AW424" s="8" t="str">
        <f ca="1">IFERROR(__xludf.DUMMYFUNCTION("""COMPUTED_VALUE"""),"Urban Street Standalone")</f>
        <v>Urban Street Standalone</v>
      </c>
      <c r="AX424" s="8">
        <f ca="1">IFERROR(__xludf.DUMMYFUNCTION("""COMPUTED_VALUE"""),2138)</f>
        <v>2138</v>
      </c>
    </row>
    <row r="425" spans="1:50" ht="75" x14ac:dyDescent="0.2">
      <c r="A425" s="8" t="str">
        <f ca="1">IFERROR(__xludf.DUMMYFUNCTION("""COMPUTED_VALUE"""),"20240401FLELS")</f>
        <v>20240401FLELS</v>
      </c>
      <c r="B425" s="8">
        <f ca="1">IFERROR(__xludf.DUMMYFUNCTION("""COMPUTED_VALUE"""),4)</f>
        <v>4</v>
      </c>
      <c r="C425" s="8">
        <f ca="1">IFERROR(__xludf.DUMMYFUNCTION("""COMPUTED_VALUE"""),1)</f>
        <v>1</v>
      </c>
      <c r="D425" s="8">
        <f ca="1">IFERROR(__xludf.DUMMYFUNCTION("""COMPUTED_VALUE"""),2024)</f>
        <v>2024</v>
      </c>
      <c r="E425" s="9">
        <f ca="1">IFERROR(__xludf.DUMMYFUNCTION("""COMPUTED_VALUE"""),45383)</f>
        <v>45383</v>
      </c>
      <c r="F425" s="8" t="str">
        <f ca="1">IFERROR(__xludf.DUMMYFUNCTION("""COMPUTED_VALUE"""),"Elevation High School")</f>
        <v>Elevation High School</v>
      </c>
      <c r="G425" s="8">
        <f ca="1">IFERROR(__xludf.DUMMYFUNCTION("""COMPUTED_VALUE"""),0)</f>
        <v>0</v>
      </c>
      <c r="H425" s="8">
        <f ca="1">IFERROR(__xludf.DUMMYFUNCTION("""COMPUTED_VALUE"""),0)</f>
        <v>0</v>
      </c>
      <c r="I425" s="8">
        <f ca="1">IFERROR(__xludf.DUMMYFUNCTION("""COMPUTED_VALUE"""),0)</f>
        <v>0</v>
      </c>
      <c r="J425" s="8">
        <f ca="1">IFERROR(__xludf.DUMMYFUNCTION("""COMPUTED_VALUE"""),0)</f>
        <v>0</v>
      </c>
      <c r="K425" s="10" t="str">
        <f ca="1">IFERROR(__xludf.DUMMYFUNCTION("""COMPUTED_VALUE"""),"https://www.wftv.com/news/local/former-elevation-high-student-accused-pointing-gun-students-over-dispute-with-girlfriend/2RXZ2OCZKJBZFIBDQXPPREPZZM/")</f>
        <v>https://www.wftv.com/news/local/former-elevation-high-student-accused-pointing-gun-students-over-dispute-with-girlfriend/2RXZ2OCZKJBZFIBDQXPPREPZZM/</v>
      </c>
      <c r="L425" s="8">
        <f ca="1">IFERROR(__xludf.DUMMYFUNCTION("""COMPUTED_VALUE"""),3)</f>
        <v>3</v>
      </c>
      <c r="M425" s="8" t="str">
        <f ca="1">IFERROR(__xludf.DUMMYFUNCTION("""COMPUTED_VALUE"""),"Local")</f>
        <v>Local</v>
      </c>
      <c r="N425" s="8">
        <f ca="1">IFERROR(__xludf.DUMMYFUNCTION("""COMPUTED_VALUE"""),4)</f>
        <v>4</v>
      </c>
      <c r="O425" s="8" t="str">
        <f ca="1">IFERROR(__xludf.DUMMYFUNCTION("""COMPUTED_VALUE"""),"Spring")</f>
        <v>Spring</v>
      </c>
      <c r="P425" s="8" t="str">
        <f ca="1">IFERROR(__xludf.DUMMYFUNCTION("""COMPUTED_VALUE"""),"Sanford")</f>
        <v>Sanford</v>
      </c>
      <c r="Q425" s="8" t="str">
        <f ca="1">IFERROR(__xludf.DUMMYFUNCTION("""COMPUTED_VALUE"""),"FL")</f>
        <v>FL</v>
      </c>
      <c r="R425" s="8" t="str">
        <f ca="1">IFERROR(__xludf.DUMMYFUNCTION("""COMPUTED_VALUE"""),"High")</f>
        <v>High</v>
      </c>
      <c r="S425" s="8" t="str">
        <f ca="1">IFERROR(__xludf.DUMMYFUNCTION("""COMPUTED_VALUE"""),"Front of School")</f>
        <v>Front of School</v>
      </c>
      <c r="T425" s="8" t="str">
        <f ca="1">IFERROR(__xludf.DUMMYFUNCTION("""COMPUTED_VALUE"""),"Outside on School Property")</f>
        <v>Outside on School Property</v>
      </c>
      <c r="U425" s="8" t="str">
        <f ca="1">IFERROR(__xludf.DUMMYFUNCTION("""COMPUTED_VALUE"""),"Yes")</f>
        <v>Yes</v>
      </c>
      <c r="V425" s="8" t="str">
        <f ca="1">IFERROR(__xludf.DUMMYFUNCTION("""COMPUTED_VALUE"""),"School Start")</f>
        <v>School Start</v>
      </c>
      <c r="W425" s="11">
        <f ca="1">IFERROR(__xludf.DUMMYFUNCTION("""COMPUTED_VALUE"""),0.375)</f>
        <v>0.375</v>
      </c>
      <c r="X425" s="8">
        <f ca="1">IFERROR(__xludf.DUMMYFUNCTION("""COMPUTED_VALUE"""),1)</f>
        <v>1</v>
      </c>
      <c r="Y425" s="12" t="str">
        <f ca="1">IFERROR(__xludf.DUMMYFUNCTION("""COMPUTED_VALUE"""),"Former student pointed gun and threatened other students in front of the school")</f>
        <v>Former student pointed gun and threatened other students in front of the school</v>
      </c>
      <c r="Z425" s="12" t="str">
        <f ca="1">IFERROR(__xludf.DUMMYFUNCTION("""COMPUTED_VALUE"""),"Former student pointed gun and threatened students outside of the school. He was involved in an ongoing dispute with them and was at the school to pick-up his girlfriend. Arrested the following day.")</f>
        <v>Former student pointed gun and threatened students outside of the school. He was involved in an ongoing dispute with them and was at the school to pick-up his girlfriend. Arrested the following day.</v>
      </c>
      <c r="AA425" s="8" t="str">
        <f ca="1">IFERROR(__xludf.DUMMYFUNCTION("""COMPUTED_VALUE"""),"Escalation of Dispute")</f>
        <v>Escalation of Dispute</v>
      </c>
      <c r="AB425" s="8" t="str">
        <f ca="1">IFERROR(__xludf.DUMMYFUNCTION("""COMPUTED_VALUE"""),"Spontaneous")</f>
        <v>Spontaneous</v>
      </c>
      <c r="AC425" s="8" t="str">
        <f ca="1">IFERROR(__xludf.DUMMYFUNCTION("""COMPUTED_VALUE"""),"Yes")</f>
        <v>Yes</v>
      </c>
      <c r="AD425" s="8" t="str">
        <f ca="1">IFERROR(__xludf.DUMMYFUNCTION("""COMPUTED_VALUE"""),"Victims Targeted")</f>
        <v>Victims Targeted</v>
      </c>
      <c r="AE425" s="8" t="str">
        <f ca="1">IFERROR(__xludf.DUMMYFUNCTION("""COMPUTED_VALUE"""),"No")</f>
        <v>No</v>
      </c>
      <c r="AF425" s="8"/>
      <c r="AG425" s="8" t="str">
        <f ca="1">IFERROR(__xludf.DUMMYFUNCTION("""COMPUTED_VALUE"""),"No")</f>
        <v>No</v>
      </c>
      <c r="AH425" s="8" t="str">
        <f ca="1">IFERROR(__xludf.DUMMYFUNCTION("""COMPUTED_VALUE"""),"No")</f>
        <v>No</v>
      </c>
      <c r="AI425" s="8" t="str">
        <f ca="1">IFERROR(__xludf.DUMMYFUNCTION("""COMPUTED_VALUE"""),"No")</f>
        <v>No</v>
      </c>
      <c r="AJ425" s="8" t="str">
        <f ca="1">IFERROR(__xludf.DUMMYFUNCTION("""COMPUTED_VALUE"""),"No")</f>
        <v>No</v>
      </c>
      <c r="AK425" s="8" t="str">
        <f ca="1">IFERROR(__xludf.DUMMYFUNCTION("""COMPUTED_VALUE"""),"No")</f>
        <v>No</v>
      </c>
      <c r="AL425" s="8" t="str">
        <f ca="1">IFERROR(__xludf.DUMMYFUNCTION("""COMPUTED_VALUE"""),"No")</f>
        <v>No</v>
      </c>
      <c r="AM425" s="8" t="str">
        <f ca="1">IFERROR(__xludf.DUMMYFUNCTION("""COMPUTED_VALUE"""),"No")</f>
        <v>No</v>
      </c>
      <c r="AN425" s="8" t="str">
        <f ca="1">IFERROR(__xludf.DUMMYFUNCTION("""COMPUTED_VALUE"""),"Outside")</f>
        <v>Outside</v>
      </c>
      <c r="AO425" s="8" t="str">
        <f ca="1">IFERROR(__xludf.DUMMYFUNCTION("""COMPUTED_VALUE"""),"No")</f>
        <v>No</v>
      </c>
      <c r="AP425" s="8" t="str">
        <f ca="1">IFERROR(__xludf.DUMMYFUNCTION("""COMPUTED_VALUE"""),"Yes")</f>
        <v>Yes</v>
      </c>
      <c r="AQ425" s="8"/>
      <c r="AR425" s="8" t="str">
        <f ca="1">IFERROR(__xludf.DUMMYFUNCTION("""COMPUTED_VALUE"""),"Outside/Off-Property")</f>
        <v>Outside/Off-Property</v>
      </c>
      <c r="AS425" s="8">
        <f ca="1">IFERROR(__xludf.DUMMYFUNCTION("""COMPUTED_VALUE"""),0)</f>
        <v>0</v>
      </c>
      <c r="AT425" s="8" t="str">
        <f ca="1">IFERROR(__xludf.DUMMYFUNCTION("""COMPUTED_VALUE"""),"No")</f>
        <v>No</v>
      </c>
      <c r="AU425" s="8">
        <f ca="1">IFERROR(__xludf.DUMMYFUNCTION("""COMPUTED_VALUE"""),28.740854)</f>
        <v>28.740853999999999</v>
      </c>
      <c r="AV425" s="8">
        <f ca="1">IFERROR(__xludf.DUMMYFUNCTION("""COMPUTED_VALUE"""),-81.298803)</f>
        <v>-81.298803000000007</v>
      </c>
      <c r="AW425" s="8" t="str">
        <f ca="1">IFERROR(__xludf.DUMMYFUNCTION("""COMPUTED_VALUE"""),"Single building indoor hallway")</f>
        <v>Single building indoor hallway</v>
      </c>
      <c r="AX425" s="8">
        <f ca="1">IFERROR(__xludf.DUMMYFUNCTION("""COMPUTED_VALUE"""),32773)</f>
        <v>32773</v>
      </c>
    </row>
    <row r="426" spans="1:50" ht="75" x14ac:dyDescent="0.2">
      <c r="A426" s="8" t="str">
        <f ca="1">IFERROR(__xludf.DUMMYFUNCTION("""COMPUTED_VALUE"""),"20240326GATUA")</f>
        <v>20240326GATUA</v>
      </c>
      <c r="B426" s="8">
        <f ca="1">IFERROR(__xludf.DUMMYFUNCTION("""COMPUTED_VALUE"""),3)</f>
        <v>3</v>
      </c>
      <c r="C426" s="8">
        <f ca="1">IFERROR(__xludf.DUMMYFUNCTION("""COMPUTED_VALUE"""),26)</f>
        <v>26</v>
      </c>
      <c r="D426" s="8">
        <f ca="1">IFERROR(__xludf.DUMMYFUNCTION("""COMPUTED_VALUE"""),2024)</f>
        <v>2024</v>
      </c>
      <c r="E426" s="9">
        <f ca="1">IFERROR(__xludf.DUMMYFUNCTION("""COMPUTED_VALUE"""),45377)</f>
        <v>45377</v>
      </c>
      <c r="F426" s="8" t="str">
        <f ca="1">IFERROR(__xludf.DUMMYFUNCTION("""COMPUTED_VALUE"""),"Turner County High School")</f>
        <v>Turner County High School</v>
      </c>
      <c r="G426" s="8">
        <f ca="1">IFERROR(__xludf.DUMMYFUNCTION("""COMPUTED_VALUE"""),0)</f>
        <v>0</v>
      </c>
      <c r="H426" s="8">
        <f ca="1">IFERROR(__xludf.DUMMYFUNCTION("""COMPUTED_VALUE"""),0)</f>
        <v>0</v>
      </c>
      <c r="I426" s="8">
        <f ca="1">IFERROR(__xludf.DUMMYFUNCTION("""COMPUTED_VALUE"""),0)</f>
        <v>0</v>
      </c>
      <c r="J426" s="8">
        <f ca="1">IFERROR(__xludf.DUMMYFUNCTION("""COMPUTED_VALUE"""),0)</f>
        <v>0</v>
      </c>
      <c r="K426" s="10" t="str">
        <f ca="1">IFERROR(__xludf.DUMMYFUNCTION("""COMPUTED_VALUE"""),"https://www.walb.com/2024/03/26/1-arrested-after-shots-were-fired-near-turner-co-high-school/")</f>
        <v>https://www.walb.com/2024/03/26/1-arrested-after-shots-were-fired-near-turner-co-high-school/</v>
      </c>
      <c r="L426" s="8">
        <f ca="1">IFERROR(__xludf.DUMMYFUNCTION("""COMPUTED_VALUE"""),1)</f>
        <v>1</v>
      </c>
      <c r="M426" s="8" t="str">
        <f ca="1">IFERROR(__xludf.DUMMYFUNCTION("""COMPUTED_VALUE"""),"Local")</f>
        <v>Local</v>
      </c>
      <c r="N426" s="8">
        <f ca="1">IFERROR(__xludf.DUMMYFUNCTION("""COMPUTED_VALUE"""),3)</f>
        <v>3</v>
      </c>
      <c r="O426" s="8" t="str">
        <f ca="1">IFERROR(__xludf.DUMMYFUNCTION("""COMPUTED_VALUE"""),"Spring")</f>
        <v>Spring</v>
      </c>
      <c r="P426" s="8" t="str">
        <f ca="1">IFERROR(__xludf.DUMMYFUNCTION("""COMPUTED_VALUE"""),"Ashburn")</f>
        <v>Ashburn</v>
      </c>
      <c r="Q426" s="8" t="str">
        <f ca="1">IFERROR(__xludf.DUMMYFUNCTION("""COMPUTED_VALUE"""),"GA")</f>
        <v>GA</v>
      </c>
      <c r="R426" s="8" t="str">
        <f ca="1">IFERROR(__xludf.DUMMYFUNCTION("""COMPUTED_VALUE"""),"High")</f>
        <v>High</v>
      </c>
      <c r="S426" s="8" t="str">
        <f ca="1">IFERROR(__xludf.DUMMYFUNCTION("""COMPUTED_VALUE"""),"Basketball Court")</f>
        <v>Basketball Court</v>
      </c>
      <c r="T426" s="8" t="str">
        <f ca="1">IFERROR(__xludf.DUMMYFUNCTION("""COMPUTED_VALUE"""),"Outside on School Property")</f>
        <v>Outside on School Property</v>
      </c>
      <c r="U426" s="8"/>
      <c r="V426" s="8"/>
      <c r="W426" s="8"/>
      <c r="X426" s="8"/>
      <c r="Y426" s="12" t="str">
        <f ca="1">IFERROR(__xludf.DUMMYFUNCTION("""COMPUTED_VALUE"""),"Shots fired on school tennis court")</f>
        <v>Shots fired on school tennis court</v>
      </c>
      <c r="Z426" s="12" t="str">
        <f ca="1">IFERROR(__xludf.DUMMYFUNCTION("""COMPUTED_VALUE"""),"Officials received reports of shots being fired in the Lamont Street area near the high school’s tennis courts. No one was injured in this incident. Two vehicles were seen leaving the area. After an investigation, officials were able to arrest one male. T"&amp;"he suspect was taken to the Turner County Jail.")</f>
        <v>Officials received reports of shots being fired in the Lamont Street area near the high school’s tennis courts. No one was injured in this incident. Two vehicles were seen leaving the area. After an investigation, officials were able to arrest one male. The suspect was taken to the Turner County Jail.</v>
      </c>
      <c r="AA426" s="8"/>
      <c r="AB426" s="8"/>
      <c r="AC426" s="8"/>
      <c r="AD426" s="8"/>
      <c r="AE426" s="8"/>
      <c r="AF426" s="8"/>
      <c r="AG426" s="8" t="str">
        <f ca="1">IFERROR(__xludf.DUMMYFUNCTION("""COMPUTED_VALUE"""),"No")</f>
        <v>No</v>
      </c>
      <c r="AH426" s="8" t="str">
        <f ca="1">IFERROR(__xludf.DUMMYFUNCTION("""COMPUTED_VALUE"""),"No")</f>
        <v>No</v>
      </c>
      <c r="AI426" s="8" t="str">
        <f ca="1">IFERROR(__xludf.DUMMYFUNCTION("""COMPUTED_VALUE"""),"No")</f>
        <v>No</v>
      </c>
      <c r="AJ426" s="8" t="str">
        <f ca="1">IFERROR(__xludf.DUMMYFUNCTION("""COMPUTED_VALUE"""),"No")</f>
        <v>No</v>
      </c>
      <c r="AK426" s="8" t="str">
        <f ca="1">IFERROR(__xludf.DUMMYFUNCTION("""COMPUTED_VALUE"""),"No")</f>
        <v>No</v>
      </c>
      <c r="AL426" s="8" t="str">
        <f ca="1">IFERROR(__xludf.DUMMYFUNCTION("""COMPUTED_VALUE"""),"No")</f>
        <v>No</v>
      </c>
      <c r="AM426" s="8" t="str">
        <f ca="1">IFERROR(__xludf.DUMMYFUNCTION("""COMPUTED_VALUE"""),"No")</f>
        <v>No</v>
      </c>
      <c r="AN426" s="8" t="str">
        <f ca="1">IFERROR(__xludf.DUMMYFUNCTION("""COMPUTED_VALUE"""),"Outside")</f>
        <v>Outside</v>
      </c>
      <c r="AO426" s="8" t="str">
        <f ca="1">IFERROR(__xludf.DUMMYFUNCTION("""COMPUTED_VALUE"""),"No")</f>
        <v>No</v>
      </c>
      <c r="AP426" s="8"/>
      <c r="AQ426" s="8"/>
      <c r="AR426" s="8" t="str">
        <f ca="1">IFERROR(__xludf.DUMMYFUNCTION("""COMPUTED_VALUE"""),"Outside/Off-Property")</f>
        <v>Outside/Off-Property</v>
      </c>
      <c r="AS426" s="8"/>
      <c r="AT426" s="8"/>
      <c r="AU426" s="8">
        <f ca="1">IFERROR(__xludf.DUMMYFUNCTION("""COMPUTED_VALUE"""),31.70526)</f>
        <v>31.705259999999999</v>
      </c>
      <c r="AV426" s="8">
        <f ca="1">IFERROR(__xludf.DUMMYFUNCTION("""COMPUTED_VALUE"""),-83.641519)</f>
        <v>-83.641519000000002</v>
      </c>
      <c r="AW426" s="8" t="str">
        <f ca="1">IFERROR(__xludf.DUMMYFUNCTION("""COMPUTED_VALUE"""),"Multiple attached buildings")</f>
        <v>Multiple attached buildings</v>
      </c>
      <c r="AX426" s="8">
        <f ca="1">IFERROR(__xludf.DUMMYFUNCTION("""COMPUTED_VALUE"""),31714)</f>
        <v>31714</v>
      </c>
    </row>
    <row r="427" spans="1:50" ht="105" x14ac:dyDescent="0.2">
      <c r="A427" s="8" t="str">
        <f ca="1">IFERROR(__xludf.DUMMYFUNCTION("""COMPUTED_VALUE"""),"20240326MOCHC")</f>
        <v>20240326MOCHC</v>
      </c>
      <c r="B427" s="8">
        <f ca="1">IFERROR(__xludf.DUMMYFUNCTION("""COMPUTED_VALUE"""),3)</f>
        <v>3</v>
      </c>
      <c r="C427" s="8">
        <f ca="1">IFERROR(__xludf.DUMMYFUNCTION("""COMPUTED_VALUE"""),26)</f>
        <v>26</v>
      </c>
      <c r="D427" s="8">
        <f ca="1">IFERROR(__xludf.DUMMYFUNCTION("""COMPUTED_VALUE"""),2024)</f>
        <v>2024</v>
      </c>
      <c r="E427" s="9">
        <f ca="1">IFERROR(__xludf.DUMMYFUNCTION("""COMPUTED_VALUE"""),45377)</f>
        <v>45377</v>
      </c>
      <c r="F427" s="8" t="str">
        <f ca="1">IFERROR(__xludf.DUMMYFUNCTION("""COMPUTED_VALUE"""),"Charleston Junior Senior High School")</f>
        <v>Charleston Junior Senior High School</v>
      </c>
      <c r="G427" s="8">
        <f ca="1">IFERROR(__xludf.DUMMYFUNCTION("""COMPUTED_VALUE"""),0)</f>
        <v>0</v>
      </c>
      <c r="H427" s="8">
        <f ca="1">IFERROR(__xludf.DUMMYFUNCTION("""COMPUTED_VALUE"""),0)</f>
        <v>0</v>
      </c>
      <c r="I427" s="8">
        <f ca="1">IFERROR(__xludf.DUMMYFUNCTION("""COMPUTED_VALUE"""),0)</f>
        <v>0</v>
      </c>
      <c r="J427" s="8">
        <f ca="1">IFERROR(__xludf.DUMMYFUNCTION("""COMPUTED_VALUE"""),0)</f>
        <v>0</v>
      </c>
      <c r="K427" s="8" t="str">
        <f ca="1">IFERROR(__xludf.DUMMYFUNCTION("""COMPUTED_VALUE"""),"https://www.kfvs12.com/2024/03/28/charleston-school-dist-superintendent-discusses-recent-school-shooting/
https://www.wpsdlocal6.com/news/public-safety-department-releases-details-on-shots-fired-at-charleston-missouri-school/article_0a06a43a-ebc6-11ee-8e3"&amp;"c-6f3d1c8d91b1.html")</f>
        <v>https://www.kfvs12.com/2024/03/28/charleston-school-dist-superintendent-discusses-recent-school-shooting/
https://www.wpsdlocal6.com/news/public-safety-department-releases-details-on-shots-fired-at-charleston-missouri-school/article_0a06a43a-ebc6-11ee-8e3c-6f3d1c8d91b1.html</v>
      </c>
      <c r="L427" s="8">
        <f ca="1">IFERROR(__xludf.DUMMYFUNCTION("""COMPUTED_VALUE"""),2)</f>
        <v>2</v>
      </c>
      <c r="M427" s="8" t="str">
        <f ca="1">IFERROR(__xludf.DUMMYFUNCTION("""COMPUTED_VALUE"""),"Local")</f>
        <v>Local</v>
      </c>
      <c r="N427" s="8">
        <f ca="1">IFERROR(__xludf.DUMMYFUNCTION("""COMPUTED_VALUE"""),4)</f>
        <v>4</v>
      </c>
      <c r="O427" s="8" t="str">
        <f ca="1">IFERROR(__xludf.DUMMYFUNCTION("""COMPUTED_VALUE"""),"Spring")</f>
        <v>Spring</v>
      </c>
      <c r="P427" s="8" t="str">
        <f ca="1">IFERROR(__xludf.DUMMYFUNCTION("""COMPUTED_VALUE"""),"Charleston")</f>
        <v>Charleston</v>
      </c>
      <c r="Q427" s="8" t="str">
        <f ca="1">IFERROR(__xludf.DUMMYFUNCTION("""COMPUTED_VALUE"""),"MO")</f>
        <v>MO</v>
      </c>
      <c r="R427" s="8" t="str">
        <f ca="1">IFERROR(__xludf.DUMMYFUNCTION("""COMPUTED_VALUE"""),"High")</f>
        <v>High</v>
      </c>
      <c r="S427" s="8" t="str">
        <f ca="1">IFERROR(__xludf.DUMMYFUNCTION("""COMPUTED_VALUE"""),"Football Field/Track")</f>
        <v>Football Field/Track</v>
      </c>
      <c r="T427" s="8" t="str">
        <f ca="1">IFERROR(__xludf.DUMMYFUNCTION("""COMPUTED_VALUE"""),"Outside on School Property")</f>
        <v>Outside on School Property</v>
      </c>
      <c r="U427" s="8" t="str">
        <f ca="1">IFERROR(__xludf.DUMMYFUNCTION("""COMPUTED_VALUE"""),"Yes")</f>
        <v>Yes</v>
      </c>
      <c r="V427" s="8" t="str">
        <f ca="1">IFERROR(__xludf.DUMMYFUNCTION("""COMPUTED_VALUE"""),"Dismissal")</f>
        <v>Dismissal</v>
      </c>
      <c r="W427" s="11">
        <f ca="1">IFERROR(__xludf.DUMMYFUNCTION("""COMPUTED_VALUE"""),0.625)</f>
        <v>0.625</v>
      </c>
      <c r="X427" s="8">
        <f ca="1">IFERROR(__xludf.DUMMYFUNCTION("""COMPUTED_VALUE"""),1)</f>
        <v>1</v>
      </c>
      <c r="Y427" s="12" t="str">
        <f ca="1">IFERROR(__xludf.DUMMYFUNCTION("""COMPUTED_VALUE"""),"Student fired gun during fight in the football stadium")</f>
        <v>Student fired gun during fight in the football stadium</v>
      </c>
      <c r="Z427" s="12" t="str">
        <f ca="1">IFERROR(__xludf.DUMMYFUNCTION("""COMPUTED_VALUE"""),"According to a news release from Charleston Department of Public Safety, officers were notified that a student had fired a gun at the school football field. The firearm was found nearby. The investigation found that there was an altercation in the men's r"&amp;"estroom at the football field, a juvenile showed a handgun, and the gun discharged. The handgun was later found to have been reported stolen in Sikeston.")</f>
        <v>According to a news release from Charleston Department of Public Safety, officers were notified that a student had fired a gun at the school football field. The firearm was found nearby. The investigation found that there was an altercation in the men's restroom at the football field, a juvenile showed a handgun, and the gun discharged. The handgun was later found to have been reported stolen in Sikeston.</v>
      </c>
      <c r="AA427" s="8" t="str">
        <f ca="1">IFERROR(__xludf.DUMMYFUNCTION("""COMPUTED_VALUE"""),"Escalation of Dispute")</f>
        <v>Escalation of Dispute</v>
      </c>
      <c r="AB427" s="8" t="str">
        <f ca="1">IFERROR(__xludf.DUMMYFUNCTION("""COMPUTED_VALUE"""),"Spontaneous")</f>
        <v>Spontaneous</v>
      </c>
      <c r="AC427" s="8" t="str">
        <f ca="1">IFERROR(__xludf.DUMMYFUNCTION("""COMPUTED_VALUE"""),"Yes")</f>
        <v>Yes</v>
      </c>
      <c r="AD427" s="8" t="str">
        <f ca="1">IFERROR(__xludf.DUMMYFUNCTION("""COMPUTED_VALUE"""),"Victims Targeted")</f>
        <v>Victims Targeted</v>
      </c>
      <c r="AE427" s="8" t="str">
        <f ca="1">IFERROR(__xludf.DUMMYFUNCTION("""COMPUTED_VALUE"""),"No")</f>
        <v>No</v>
      </c>
      <c r="AF427" s="8"/>
      <c r="AG427" s="8" t="str">
        <f ca="1">IFERROR(__xludf.DUMMYFUNCTION("""COMPUTED_VALUE"""),"No")</f>
        <v>No</v>
      </c>
      <c r="AH427" s="8" t="str">
        <f ca="1">IFERROR(__xludf.DUMMYFUNCTION("""COMPUTED_VALUE"""),"No")</f>
        <v>No</v>
      </c>
      <c r="AI427" s="8" t="str">
        <f ca="1">IFERROR(__xludf.DUMMYFUNCTION("""COMPUTED_VALUE"""),"No")</f>
        <v>No</v>
      </c>
      <c r="AJ427" s="8" t="str">
        <f ca="1">IFERROR(__xludf.DUMMYFUNCTION("""COMPUTED_VALUE"""),"No")</f>
        <v>No</v>
      </c>
      <c r="AK427" s="8" t="str">
        <f ca="1">IFERROR(__xludf.DUMMYFUNCTION("""COMPUTED_VALUE"""),"No")</f>
        <v>No</v>
      </c>
      <c r="AL427" s="8" t="str">
        <f ca="1">IFERROR(__xludf.DUMMYFUNCTION("""COMPUTED_VALUE"""),"No")</f>
        <v>No</v>
      </c>
      <c r="AM427" s="8" t="str">
        <f ca="1">IFERROR(__xludf.DUMMYFUNCTION("""COMPUTED_VALUE"""),"No")</f>
        <v>No</v>
      </c>
      <c r="AN427" s="8" t="str">
        <f ca="1">IFERROR(__xludf.DUMMYFUNCTION("""COMPUTED_VALUE"""),"Outside")</f>
        <v>Outside</v>
      </c>
      <c r="AO427" s="8" t="str">
        <f ca="1">IFERROR(__xludf.DUMMYFUNCTION("""COMPUTED_VALUE"""),"No")</f>
        <v>No</v>
      </c>
      <c r="AP427" s="8"/>
      <c r="AQ427" s="8"/>
      <c r="AR427" s="8" t="str">
        <f ca="1">IFERROR(__xludf.DUMMYFUNCTION("""COMPUTED_VALUE"""),"Outside/Off-Property")</f>
        <v>Outside/Off-Property</v>
      </c>
      <c r="AS427" s="8">
        <f ca="1">IFERROR(__xludf.DUMMYFUNCTION("""COMPUTED_VALUE"""),1)</f>
        <v>1</v>
      </c>
      <c r="AT427" s="8" t="str">
        <f ca="1">IFERROR(__xludf.DUMMYFUNCTION("""COMPUTED_VALUE"""),"No")</f>
        <v>No</v>
      </c>
      <c r="AU427" s="8">
        <f ca="1">IFERROR(__xludf.DUMMYFUNCTION("""COMPUTED_VALUE"""),36.916045)</f>
        <v>36.916044999999997</v>
      </c>
      <c r="AV427" s="8">
        <f ca="1">IFERROR(__xludf.DUMMYFUNCTION("""COMPUTED_VALUE"""),-89.33475)</f>
        <v>-89.33475</v>
      </c>
      <c r="AW427" s="8" t="str">
        <f ca="1">IFERROR(__xludf.DUMMYFUNCTION("""COMPUTED_VALUE"""),"Single building indoor hallway")</f>
        <v>Single building indoor hallway</v>
      </c>
      <c r="AX427" s="8">
        <f ca="1">IFERROR(__xludf.DUMMYFUNCTION("""COMPUTED_VALUE"""),63834)</f>
        <v>63834</v>
      </c>
    </row>
    <row r="428" spans="1:50" ht="180" x14ac:dyDescent="0.2">
      <c r="A428" s="8" t="str">
        <f ca="1">IFERROR(__xludf.DUMMYFUNCTION("""COMPUTED_VALUE"""),"20240326NJWEN")</f>
        <v>20240326NJWEN</v>
      </c>
      <c r="B428" s="8">
        <f ca="1">IFERROR(__xludf.DUMMYFUNCTION("""COMPUTED_VALUE"""),3)</f>
        <v>3</v>
      </c>
      <c r="C428" s="8">
        <f ca="1">IFERROR(__xludf.DUMMYFUNCTION("""COMPUTED_VALUE"""),26)</f>
        <v>26</v>
      </c>
      <c r="D428" s="8">
        <f ca="1">IFERROR(__xludf.DUMMYFUNCTION("""COMPUTED_VALUE"""),2024)</f>
        <v>2024</v>
      </c>
      <c r="E428" s="9">
        <f ca="1">IFERROR(__xludf.DUMMYFUNCTION("""COMPUTED_VALUE"""),45377)</f>
        <v>45377</v>
      </c>
      <c r="F428" s="8" t="str">
        <f ca="1">IFERROR(__xludf.DUMMYFUNCTION("""COMPUTED_VALUE"""),"West Side High School")</f>
        <v>West Side High School</v>
      </c>
      <c r="G428" s="8">
        <f ca="1">IFERROR(__xludf.DUMMYFUNCTION("""COMPUTED_VALUE"""),0)</f>
        <v>0</v>
      </c>
      <c r="H428" s="8">
        <f ca="1">IFERROR(__xludf.DUMMYFUNCTION("""COMPUTED_VALUE"""),2)</f>
        <v>2</v>
      </c>
      <c r="I428" s="8">
        <f ca="1">IFERROR(__xludf.DUMMYFUNCTION("""COMPUTED_VALUE"""),2)</f>
        <v>2</v>
      </c>
      <c r="J428" s="8">
        <f ca="1">IFERROR(__xludf.DUMMYFUNCTION("""COMPUTED_VALUE"""),0)</f>
        <v>0</v>
      </c>
      <c r="K428" s="10" t="str">
        <f ca="1">IFERROR(__xludf.DUMMYFUNCTION("""COMPUTED_VALUE"""),"https://www.cbsnews.com/newyork/news/police-investigation-near-west-side-high-school-in-newark-n-j/
https://abc7ny.com/newark-shooting-teens-shot-west-side-high-school/14573837/
https://pix11.com/news/local-news/new-jersey/2-teens-shot-at-high-school-in-n"&amp;"ewark-officials/")</f>
        <v>https://www.cbsnews.com/newyork/news/police-investigation-near-west-side-high-school-in-newark-n-j/
https://abc7ny.com/newark-shooting-teens-shot-west-side-high-school/14573837/
https://pix11.com/news/local-news/new-jersey/2-teens-shot-at-high-school-in-newark-officials/</v>
      </c>
      <c r="L428" s="8">
        <f ca="1">IFERROR(__xludf.DUMMYFUNCTION("""COMPUTED_VALUE"""),10)</f>
        <v>10</v>
      </c>
      <c r="M428" s="8" t="str">
        <f ca="1">IFERROR(__xludf.DUMMYFUNCTION("""COMPUTED_VALUE"""),"Regional")</f>
        <v>Regional</v>
      </c>
      <c r="N428" s="8">
        <f ca="1">IFERROR(__xludf.DUMMYFUNCTION("""COMPUTED_VALUE"""),4)</f>
        <v>4</v>
      </c>
      <c r="O428" s="8" t="str">
        <f ca="1">IFERROR(__xludf.DUMMYFUNCTION("""COMPUTED_VALUE"""),"Spring")</f>
        <v>Spring</v>
      </c>
      <c r="P428" s="8" t="str">
        <f ca="1">IFERROR(__xludf.DUMMYFUNCTION("""COMPUTED_VALUE"""),"Newark")</f>
        <v>Newark</v>
      </c>
      <c r="Q428" s="8" t="str">
        <f ca="1">IFERROR(__xludf.DUMMYFUNCTION("""COMPUTED_VALUE"""),"NJ")</f>
        <v>NJ</v>
      </c>
      <c r="R428" s="8" t="str">
        <f ca="1">IFERROR(__xludf.DUMMYFUNCTION("""COMPUTED_VALUE"""),"High")</f>
        <v>High</v>
      </c>
      <c r="S428" s="8" t="str">
        <f ca="1">IFERROR(__xludf.DUMMYFUNCTION("""COMPUTED_VALUE"""),"Front of School")</f>
        <v>Front of School</v>
      </c>
      <c r="T428" s="8" t="str">
        <f ca="1">IFERROR(__xludf.DUMMYFUNCTION("""COMPUTED_VALUE"""),"Outside on School Property")</f>
        <v>Outside on School Property</v>
      </c>
      <c r="U428" s="8" t="str">
        <f ca="1">IFERROR(__xludf.DUMMYFUNCTION("""COMPUTED_VALUE"""),"Yes")</f>
        <v>Yes</v>
      </c>
      <c r="V428" s="8" t="str">
        <f ca="1">IFERROR(__xludf.DUMMYFUNCTION("""COMPUTED_VALUE"""),"Dismissal")</f>
        <v>Dismissal</v>
      </c>
      <c r="W428" s="11">
        <f ca="1">IFERROR(__xludf.DUMMYFUNCTION("""COMPUTED_VALUE"""),0.614583333333333)</f>
        <v>0.61458333333333304</v>
      </c>
      <c r="X428" s="8">
        <f ca="1">IFERROR(__xludf.DUMMYFUNCTION("""COMPUTED_VALUE"""),1)</f>
        <v>1</v>
      </c>
      <c r="Y428" s="12" t="str">
        <f ca="1">IFERROR(__xludf.DUMMYFUNCTION("""COMPUTED_VALUE"""),"Two teens shot during dismissal")</f>
        <v>Two teens shot during dismissal</v>
      </c>
      <c r="Z428" s="12" t="str">
        <f ca="1">IFERROR(__xludf.DUMMYFUNCTION("""COMPUTED_VALUE"""),"Two teens, including a student, were shot outside West Side High School in Newark Tuesday afternoon, authorities said. Police are still searching for the gunman. Newark Public Safety Director Fritz Frage said police responded to the school at around 2:45 "&amp;"p.m., as students were beginning to be let out. Responding officers found a 17-year-old student and a 15-year-old who had been shot outside of the school. The two teens were rushed to University Hospital for treatment. The 17-year-old is said to be in cri"&amp;"tical condition, and the 15-year-old is in stable condition. The third victim was also injured while trying to escape from the scene. Student returned to the school building to lockdown.")</f>
        <v>Two teens, including a student, were shot outside West Side High School in Newark Tuesday afternoon, authorities said. Police are still searching for the gunman. Newark Public Safety Director Fritz Frage said police responded to the school at around 2:45 p.m., as students were beginning to be let out. Responding officers found a 17-year-old student and a 15-year-old who had been shot outside of the school. The two teens were rushed to University Hospital for treatment. The 17-year-old is said to be in critical condition, and the 15-year-old is in stable condition. The third victim was also injured while trying to escape from the scene. Student returned to the school building to lockdown.</v>
      </c>
      <c r="AA428" s="8"/>
      <c r="AB428" s="8"/>
      <c r="AC428" s="8" t="str">
        <f ca="1">IFERROR(__xludf.DUMMYFUNCTION("""COMPUTED_VALUE"""),"Yes")</f>
        <v>Yes</v>
      </c>
      <c r="AD428" s="8"/>
      <c r="AE428" s="8" t="str">
        <f ca="1">IFERROR(__xludf.DUMMYFUNCTION("""COMPUTED_VALUE"""),"No")</f>
        <v>No</v>
      </c>
      <c r="AF428" s="8"/>
      <c r="AG428" s="8" t="str">
        <f ca="1">IFERROR(__xludf.DUMMYFUNCTION("""COMPUTED_VALUE"""),"No")</f>
        <v>No</v>
      </c>
      <c r="AH428" s="8" t="str">
        <f ca="1">IFERROR(__xludf.DUMMYFUNCTION("""COMPUTED_VALUE"""),"No")</f>
        <v>No</v>
      </c>
      <c r="AI428" s="8" t="str">
        <f ca="1">IFERROR(__xludf.DUMMYFUNCTION("""COMPUTED_VALUE"""),"No")</f>
        <v>No</v>
      </c>
      <c r="AJ428" s="8" t="str">
        <f ca="1">IFERROR(__xludf.DUMMYFUNCTION("""COMPUTED_VALUE"""),"No")</f>
        <v>No</v>
      </c>
      <c r="AK428" s="8" t="str">
        <f ca="1">IFERROR(__xludf.DUMMYFUNCTION("""COMPUTED_VALUE"""),"No")</f>
        <v>No</v>
      </c>
      <c r="AL428" s="8"/>
      <c r="AM428" s="8" t="str">
        <f ca="1">IFERROR(__xludf.DUMMYFUNCTION("""COMPUTED_VALUE"""),"No")</f>
        <v>No</v>
      </c>
      <c r="AN428" s="8" t="str">
        <f ca="1">IFERROR(__xludf.DUMMYFUNCTION("""COMPUTED_VALUE"""),"Outside")</f>
        <v>Outside</v>
      </c>
      <c r="AO428" s="8" t="str">
        <f ca="1">IFERROR(__xludf.DUMMYFUNCTION("""COMPUTED_VALUE"""),"No")</f>
        <v>No</v>
      </c>
      <c r="AP428" s="8"/>
      <c r="AQ428" s="8"/>
      <c r="AR428" s="8" t="str">
        <f ca="1">IFERROR(__xludf.DUMMYFUNCTION("""COMPUTED_VALUE"""),"Outside/Off-Property")</f>
        <v>Outside/Off-Property</v>
      </c>
      <c r="AS428" s="8">
        <f ca="1">IFERROR(__xludf.DUMMYFUNCTION("""COMPUTED_VALUE"""),99)</f>
        <v>99</v>
      </c>
      <c r="AT428" s="8" t="str">
        <f ca="1">IFERROR(__xludf.DUMMYFUNCTION("""COMPUTED_VALUE"""),"Yes")</f>
        <v>Yes</v>
      </c>
      <c r="AU428" s="8">
        <f ca="1">IFERROR(__xludf.DUMMYFUNCTION("""COMPUTED_VALUE"""),40.74171)</f>
        <v>40.741709999999998</v>
      </c>
      <c r="AV428" s="8">
        <f ca="1">IFERROR(__xludf.DUMMYFUNCTION("""COMPUTED_VALUE"""),-74.203727)</f>
        <v>-74.203727000000001</v>
      </c>
      <c r="AW428" s="8" t="str">
        <f ca="1">IFERROR(__xludf.DUMMYFUNCTION("""COMPUTED_VALUE"""),"Multiple detached buildings")</f>
        <v>Multiple detached buildings</v>
      </c>
      <c r="AX428" s="8">
        <f ca="1">IFERROR(__xludf.DUMMYFUNCTION("""COMPUTED_VALUE"""),7099)</f>
        <v>7099</v>
      </c>
    </row>
    <row r="429" spans="1:50" ht="225" x14ac:dyDescent="0.2">
      <c r="A429" s="8" t="str">
        <f ca="1">IFERROR(__xludf.DUMMYFUNCTION("""COMPUTED_VALUE"""),"20240325HIWAW")</f>
        <v>20240325HIWAW</v>
      </c>
      <c r="B429" s="8">
        <f ca="1">IFERROR(__xludf.DUMMYFUNCTION("""COMPUTED_VALUE"""),3)</f>
        <v>3</v>
      </c>
      <c r="C429" s="8">
        <f ca="1">IFERROR(__xludf.DUMMYFUNCTION("""COMPUTED_VALUE"""),25)</f>
        <v>25</v>
      </c>
      <c r="D429" s="8">
        <f ca="1">IFERROR(__xludf.DUMMYFUNCTION("""COMPUTED_VALUE"""),2024)</f>
        <v>2024</v>
      </c>
      <c r="E429" s="9">
        <f ca="1">IFERROR(__xludf.DUMMYFUNCTION("""COMPUTED_VALUE"""),45376)</f>
        <v>45376</v>
      </c>
      <c r="F429" s="8" t="str">
        <f ca="1">IFERROR(__xludf.DUMMYFUNCTION("""COMPUTED_VALUE"""),"Wailuku Elementary School")</f>
        <v>Wailuku Elementary School</v>
      </c>
      <c r="G429" s="8">
        <f ca="1">IFERROR(__xludf.DUMMYFUNCTION("""COMPUTED_VALUE"""),0)</f>
        <v>0</v>
      </c>
      <c r="H429" s="8">
        <f ca="1">IFERROR(__xludf.DUMMYFUNCTION("""COMPUTED_VALUE"""),1)</f>
        <v>1</v>
      </c>
      <c r="I429" s="8">
        <f ca="1">IFERROR(__xludf.DUMMYFUNCTION("""COMPUTED_VALUE"""),1)</f>
        <v>1</v>
      </c>
      <c r="J429" s="8">
        <f ca="1">IFERROR(__xludf.DUMMYFUNCTION("""COMPUTED_VALUE"""),0)</f>
        <v>0</v>
      </c>
      <c r="K429" s="8" t="str">
        <f ca="1">IFERROR(__xludf.DUMMYFUNCTION("""COMPUTED_VALUE"""),"https://www.khon2.com/hawaii-crime/woman-shot-while-sleeping-in-car-at-school-parking-lot-two-males-in-custody/
https://www.kitv.com/news/crime/maui-woman-shot-in-attempted-murder-at-wailuku-elementary-school-park-parking-lot-police-say/article_87be5f88-e"&amp;"bd7-11ee-a007-ab65091ba80a.html")</f>
        <v>https://www.khon2.com/hawaii-crime/woman-shot-while-sleeping-in-car-at-school-parking-lot-two-males-in-custody/
https://www.kitv.com/news/crime/maui-woman-shot-in-attempted-murder-at-wailuku-elementary-school-park-parking-lot-police-say/article_87be5f88-ebd7-11ee-a007-ab65091ba80a.html</v>
      </c>
      <c r="L429" s="8">
        <f ca="1">IFERROR(__xludf.DUMMYFUNCTION("""COMPUTED_VALUE"""),3)</f>
        <v>3</v>
      </c>
      <c r="M429" s="8" t="str">
        <f ca="1">IFERROR(__xludf.DUMMYFUNCTION("""COMPUTED_VALUE"""),"Regional")</f>
        <v>Regional</v>
      </c>
      <c r="N429" s="8">
        <f ca="1">IFERROR(__xludf.DUMMYFUNCTION("""COMPUTED_VALUE"""),4)</f>
        <v>4</v>
      </c>
      <c r="O429" s="8" t="str">
        <f ca="1">IFERROR(__xludf.DUMMYFUNCTION("""COMPUTED_VALUE"""),"Spring")</f>
        <v>Spring</v>
      </c>
      <c r="P429" s="8" t="str">
        <f ca="1">IFERROR(__xludf.DUMMYFUNCTION("""COMPUTED_VALUE"""),"Wailuku")</f>
        <v>Wailuku</v>
      </c>
      <c r="Q429" s="8" t="str">
        <f ca="1">IFERROR(__xludf.DUMMYFUNCTION("""COMPUTED_VALUE"""),"HI")</f>
        <v>HI</v>
      </c>
      <c r="R429" s="8" t="str">
        <f ca="1">IFERROR(__xludf.DUMMYFUNCTION("""COMPUTED_VALUE"""),"Elementary")</f>
        <v>Elementary</v>
      </c>
      <c r="S429" s="8" t="str">
        <f ca="1">IFERROR(__xludf.DUMMYFUNCTION("""COMPUTED_VALUE"""),"Parking Lot")</f>
        <v>Parking Lot</v>
      </c>
      <c r="T429" s="8" t="str">
        <f ca="1">IFERROR(__xludf.DUMMYFUNCTION("""COMPUTED_VALUE"""),"Outside on School Property")</f>
        <v>Outside on School Property</v>
      </c>
      <c r="U429" s="8" t="str">
        <f ca="1">IFERROR(__xludf.DUMMYFUNCTION("""COMPUTED_VALUE"""),"No")</f>
        <v>No</v>
      </c>
      <c r="V429" s="8" t="str">
        <f ca="1">IFERROR(__xludf.DUMMYFUNCTION("""COMPUTED_VALUE"""),"Night")</f>
        <v>Night</v>
      </c>
      <c r="W429" s="11">
        <f ca="1">IFERROR(__xludf.DUMMYFUNCTION("""COMPUTED_VALUE"""),0.133333333333333)</f>
        <v>0.133333333333333</v>
      </c>
      <c r="X429" s="8">
        <f ca="1">IFERROR(__xludf.DUMMYFUNCTION("""COMPUTED_VALUE"""),1)</f>
        <v>1</v>
      </c>
      <c r="Y429" s="12" t="str">
        <f ca="1">IFERROR(__xludf.DUMMYFUNCTION("""COMPUTED_VALUE"""),"Woman shot in parking lot during dispute with two men")</f>
        <v>Woman shot in parking lot during dispute with two men</v>
      </c>
      <c r="Z429" s="12" t="str">
        <f ca="1">IFERROR(__xludf.DUMMYFUNCTION("""COMPUTED_VALUE"""),"According to the Maui Police Department, officers responded to a terroristic threat at about 3:12 a.m. When they arrived, they found the 21-year-old woman with a gunshot wound. Police say her and her boyfriend, a 19-year-old, frequent the Wailuku area and"&amp;" were asleep in their car when they were approached by two Kahului men, aged 19 and 20. Police say the men asked the couple for narcotics, and the couple said they didn't have any. The men left to drink alcohol, then returned to the car to ask for a light"&amp;"er. A “verbal exchange ensued,” then the 20-year-old took out a gun. His companion, the 19-year-old, took the gun and tried to climb into the car. The 19-year-old in the car tried to wrestle the gun from the offender, who hit him on the head with the gun "&amp;"then pointed it at the woman’s head. He shot her, then the two men ran away.")</f>
        <v>According to the Maui Police Department, officers responded to a terroristic threat at about 3:12 a.m. When they arrived, they found the 21-year-old woman with a gunshot wound. Police say her and her boyfriend, a 19-year-old, frequent the Wailuku area and were asleep in their car when they were approached by two Kahului men, aged 19 and 20. Police say the men asked the couple for narcotics, and the couple said they didn't have any. The men left to drink alcohol, then returned to the car to ask for a lighter. A “verbal exchange ensued,” then the 20-year-old took out a gun. His companion, the 19-year-old, took the gun and tried to climb into the car. The 19-year-old in the car tried to wrestle the gun from the offender, who hit him on the head with the gun then pointed it at the woman’s head. He shot her, then the two men ran away.</v>
      </c>
      <c r="AA429" s="8" t="str">
        <f ca="1">IFERROR(__xludf.DUMMYFUNCTION("""COMPUTED_VALUE"""),"Escalation of Dispute")</f>
        <v>Escalation of Dispute</v>
      </c>
      <c r="AB429" s="8" t="str">
        <f ca="1">IFERROR(__xludf.DUMMYFUNCTION("""COMPUTED_VALUE"""),"Targeted")</f>
        <v>Targeted</v>
      </c>
      <c r="AC429" s="8" t="str">
        <f ca="1">IFERROR(__xludf.DUMMYFUNCTION("""COMPUTED_VALUE"""),"No")</f>
        <v>No</v>
      </c>
      <c r="AD429" s="8"/>
      <c r="AE429" s="8" t="str">
        <f ca="1">IFERROR(__xludf.DUMMYFUNCTION("""COMPUTED_VALUE"""),"Yes")</f>
        <v>Yes</v>
      </c>
      <c r="AF429" s="8" t="str">
        <f ca="1">IFERROR(__xludf.DUMMYFUNCTION("""COMPUTED_VALUE"""),"Two men")</f>
        <v>Two men</v>
      </c>
      <c r="AG429" s="8" t="str">
        <f ca="1">IFERROR(__xludf.DUMMYFUNCTION("""COMPUTED_VALUE"""),"No")</f>
        <v>No</v>
      </c>
      <c r="AH429" s="8" t="str">
        <f ca="1">IFERROR(__xludf.DUMMYFUNCTION("""COMPUTED_VALUE"""),"No")</f>
        <v>No</v>
      </c>
      <c r="AI429" s="8" t="str">
        <f ca="1">IFERROR(__xludf.DUMMYFUNCTION("""COMPUTED_VALUE"""),"No")</f>
        <v>No</v>
      </c>
      <c r="AJ429" s="8" t="str">
        <f ca="1">IFERROR(__xludf.DUMMYFUNCTION("""COMPUTED_VALUE"""),"No")</f>
        <v>No</v>
      </c>
      <c r="AK429" s="8" t="str">
        <f ca="1">IFERROR(__xludf.DUMMYFUNCTION("""COMPUTED_VALUE"""),"No")</f>
        <v>No</v>
      </c>
      <c r="AL429" s="8" t="str">
        <f ca="1">IFERROR(__xludf.DUMMYFUNCTION("""COMPUTED_VALUE"""),"No")</f>
        <v>No</v>
      </c>
      <c r="AM429" s="8" t="str">
        <f ca="1">IFERROR(__xludf.DUMMYFUNCTION("""COMPUTED_VALUE"""),"No")</f>
        <v>No</v>
      </c>
      <c r="AN429" s="8" t="str">
        <f ca="1">IFERROR(__xludf.DUMMYFUNCTION("""COMPUTED_VALUE"""),"Outside")</f>
        <v>Outside</v>
      </c>
      <c r="AO429" s="8" t="str">
        <f ca="1">IFERROR(__xludf.DUMMYFUNCTION("""COMPUTED_VALUE"""),"No")</f>
        <v>No</v>
      </c>
      <c r="AP429" s="8"/>
      <c r="AQ429" s="8"/>
      <c r="AR429" s="8" t="str">
        <f ca="1">IFERROR(__xludf.DUMMYFUNCTION("""COMPUTED_VALUE"""),"Outside/Off-Property")</f>
        <v>Outside/Off-Property</v>
      </c>
      <c r="AS429" s="8">
        <f ca="1">IFERROR(__xludf.DUMMYFUNCTION("""COMPUTED_VALUE"""),1)</f>
        <v>1</v>
      </c>
      <c r="AT429" s="8" t="str">
        <f ca="1">IFERROR(__xludf.DUMMYFUNCTION("""COMPUTED_VALUE"""),"No")</f>
        <v>No</v>
      </c>
      <c r="AU429" s="8">
        <f ca="1">IFERROR(__xludf.DUMMYFUNCTION("""COMPUTED_VALUE"""),20.883032)</f>
        <v>20.883032</v>
      </c>
      <c r="AV429" s="8">
        <f ca="1">IFERROR(__xludf.DUMMYFUNCTION("""COMPUTED_VALUE"""),-156.505343)</f>
        <v>-156.50534300000001</v>
      </c>
      <c r="AW429" s="8" t="str">
        <f ca="1">IFERROR(__xludf.DUMMYFUNCTION("""COMPUTED_VALUE"""),"Individual classroom buildings")</f>
        <v>Individual classroom buildings</v>
      </c>
      <c r="AX429" s="8">
        <f ca="1">IFERROR(__xludf.DUMMYFUNCTION("""COMPUTED_VALUE"""),96793)</f>
        <v>96793</v>
      </c>
    </row>
    <row r="430" spans="1:50" ht="180" x14ac:dyDescent="0.2">
      <c r="A430" s="8" t="str">
        <f ca="1">IFERROR(__xludf.DUMMYFUNCTION("""COMPUTED_VALUE"""),"20240322TNTRM")</f>
        <v>20240322TNTRM</v>
      </c>
      <c r="B430" s="8">
        <f ca="1">IFERROR(__xludf.DUMMYFUNCTION("""COMPUTED_VALUE"""),3)</f>
        <v>3</v>
      </c>
      <c r="C430" s="8">
        <f ca="1">IFERROR(__xludf.DUMMYFUNCTION("""COMPUTED_VALUE"""),22)</f>
        <v>22</v>
      </c>
      <c r="D430" s="8">
        <f ca="1">IFERROR(__xludf.DUMMYFUNCTION("""COMPUTED_VALUE"""),2024)</f>
        <v>2024</v>
      </c>
      <c r="E430" s="9">
        <f ca="1">IFERROR(__xludf.DUMMYFUNCTION("""COMPUTED_VALUE"""),45373)</f>
        <v>45373</v>
      </c>
      <c r="F430" s="8" t="str">
        <f ca="1">IFERROR(__xludf.DUMMYFUNCTION("""COMPUTED_VALUE"""),"Trezevant High School")</f>
        <v>Trezevant High School</v>
      </c>
      <c r="G430" s="8">
        <f ca="1">IFERROR(__xludf.DUMMYFUNCTION("""COMPUTED_VALUE"""),0)</f>
        <v>0</v>
      </c>
      <c r="H430" s="8">
        <f ca="1">IFERROR(__xludf.DUMMYFUNCTION("""COMPUTED_VALUE"""),0)</f>
        <v>0</v>
      </c>
      <c r="I430" s="8">
        <f ca="1">IFERROR(__xludf.DUMMYFUNCTION("""COMPUTED_VALUE"""),0)</f>
        <v>0</v>
      </c>
      <c r="J430" s="8">
        <f ca="1">IFERROR(__xludf.DUMMYFUNCTION("""COMPUTED_VALUE"""),0)</f>
        <v>0</v>
      </c>
      <c r="K430" s="10" t="str">
        <f ca="1">IFERROR(__xludf.DUMMYFUNCTION("""COMPUTED_VALUE"""),"https://www.fox13memphis.com/news/woman-facing-attempted-murder-charges-after-shots-fired-at-memphis-high-school-records-show/article_1035006c-f865-11ee-bee0-537eec126459.html")</f>
        <v>https://www.fox13memphis.com/news/woman-facing-attempted-murder-charges-after-shots-fired-at-memphis-high-school-records-show/article_1035006c-f865-11ee-bee0-537eec126459.html</v>
      </c>
      <c r="L430" s="8">
        <f ca="1">IFERROR(__xludf.DUMMYFUNCTION("""COMPUTED_VALUE"""),1)</f>
        <v>1</v>
      </c>
      <c r="M430" s="8" t="str">
        <f ca="1">IFERROR(__xludf.DUMMYFUNCTION("""COMPUTED_VALUE"""),"Local")</f>
        <v>Local</v>
      </c>
      <c r="N430" s="8">
        <f ca="1">IFERROR(__xludf.DUMMYFUNCTION("""COMPUTED_VALUE"""),4)</f>
        <v>4</v>
      </c>
      <c r="O430" s="8" t="str">
        <f ca="1">IFERROR(__xludf.DUMMYFUNCTION("""COMPUTED_VALUE"""),"Spring")</f>
        <v>Spring</v>
      </c>
      <c r="P430" s="8" t="str">
        <f ca="1">IFERROR(__xludf.DUMMYFUNCTION("""COMPUTED_VALUE"""),"Memphis")</f>
        <v>Memphis</v>
      </c>
      <c r="Q430" s="8" t="str">
        <f ca="1">IFERROR(__xludf.DUMMYFUNCTION("""COMPUTED_VALUE"""),"TN")</f>
        <v>TN</v>
      </c>
      <c r="R430" s="8" t="str">
        <f ca="1">IFERROR(__xludf.DUMMYFUNCTION("""COMPUTED_VALUE"""),"High")</f>
        <v>High</v>
      </c>
      <c r="S430" s="8" t="str">
        <f ca="1">IFERROR(__xludf.DUMMYFUNCTION("""COMPUTED_VALUE"""),"Front of School")</f>
        <v>Front of School</v>
      </c>
      <c r="T430" s="8" t="str">
        <f ca="1">IFERROR(__xludf.DUMMYFUNCTION("""COMPUTED_VALUE"""),"Outside on School Property")</f>
        <v>Outside on School Property</v>
      </c>
      <c r="U430" s="8" t="str">
        <f ca="1">IFERROR(__xludf.DUMMYFUNCTION("""COMPUTED_VALUE"""),"Yes")</f>
        <v>Yes</v>
      </c>
      <c r="V430" s="8" t="str">
        <f ca="1">IFERROR(__xludf.DUMMYFUNCTION("""COMPUTED_VALUE"""),"Dismissal")</f>
        <v>Dismissal</v>
      </c>
      <c r="W430" s="11">
        <f ca="1">IFERROR(__xludf.DUMMYFUNCTION("""COMPUTED_VALUE"""),0.625)</f>
        <v>0.625</v>
      </c>
      <c r="X430" s="8">
        <f ca="1">IFERROR(__xludf.DUMMYFUNCTION("""COMPUTED_VALUE"""),1)</f>
        <v>1</v>
      </c>
      <c r="Y430" s="12" t="str">
        <f ca="1">IFERROR(__xludf.DUMMYFUNCTION("""COMPUTED_VALUE"""),"Student fired shots during fight at dismissal")</f>
        <v>Student fired shots during fight at dismissal</v>
      </c>
      <c r="Z430" s="12" t="str">
        <f ca="1">IFERROR(__xludf.DUMMYFUNCTION("""COMPUTED_VALUE"""),"The student was checked out of school by his mother after the fight during school hours in a black car. On video surveillance, the student came back to the high school and waited for the students to be dismissed from school, records showed. When the other"&amp;" students got out of school walking, the student confronted them with a gun, records showed. Records showed that the student extended the gun they had towards the other students and fired the weapon. The woman is seen getting out of the car on video towar"&amp;"ds her child and school officers are following the woman. Later, both the mom and the student got picked up in the black car and left the high school.")</f>
        <v>The student was checked out of school by his mother after the fight during school hours in a black car. On video surveillance, the student came back to the high school and waited for the students to be dismissed from school, records showed. When the other students got out of school walking, the student confronted them with a gun, records showed. Records showed that the student extended the gun they had towards the other students and fired the weapon. The woman is seen getting out of the car on video towards her child and school officers are following the woman. Later, both the mom and the student got picked up in the black car and left the high school.</v>
      </c>
      <c r="AA430" s="8" t="str">
        <f ca="1">IFERROR(__xludf.DUMMYFUNCTION("""COMPUTED_VALUE"""),"Escalation of Dispute")</f>
        <v>Escalation of Dispute</v>
      </c>
      <c r="AB430" s="8" t="str">
        <f ca="1">IFERROR(__xludf.DUMMYFUNCTION("""COMPUTED_VALUE"""),"Targeted")</f>
        <v>Targeted</v>
      </c>
      <c r="AC430" s="8" t="str">
        <f ca="1">IFERROR(__xludf.DUMMYFUNCTION("""COMPUTED_VALUE"""),"Yes")</f>
        <v>Yes</v>
      </c>
      <c r="AD430" s="8" t="str">
        <f ca="1">IFERROR(__xludf.DUMMYFUNCTION("""COMPUTED_VALUE"""),"Victims Targeted")</f>
        <v>Victims Targeted</v>
      </c>
      <c r="AE430" s="8" t="str">
        <f ca="1">IFERROR(__xludf.DUMMYFUNCTION("""COMPUTED_VALUE"""),"Yes")</f>
        <v>Yes</v>
      </c>
      <c r="AF430" s="8" t="str">
        <f ca="1">IFERROR(__xludf.DUMMYFUNCTION("""COMPUTED_VALUE"""),"Mother charged and drove him away")</f>
        <v>Mother charged and drove him away</v>
      </c>
      <c r="AG430" s="8" t="str">
        <f ca="1">IFERROR(__xludf.DUMMYFUNCTION("""COMPUTED_VALUE"""),"No")</f>
        <v>No</v>
      </c>
      <c r="AH430" s="8" t="str">
        <f ca="1">IFERROR(__xludf.DUMMYFUNCTION("""COMPUTED_VALUE"""),"No")</f>
        <v>No</v>
      </c>
      <c r="AI430" s="8" t="str">
        <f ca="1">IFERROR(__xludf.DUMMYFUNCTION("""COMPUTED_VALUE"""),"No")</f>
        <v>No</v>
      </c>
      <c r="AJ430" s="8"/>
      <c r="AK430" s="8" t="str">
        <f ca="1">IFERROR(__xludf.DUMMYFUNCTION("""COMPUTED_VALUE"""),"No")</f>
        <v>No</v>
      </c>
      <c r="AL430" s="8" t="str">
        <f ca="1">IFERROR(__xludf.DUMMYFUNCTION("""COMPUTED_VALUE"""),"No")</f>
        <v>No</v>
      </c>
      <c r="AM430" s="8" t="str">
        <f ca="1">IFERROR(__xludf.DUMMYFUNCTION("""COMPUTED_VALUE"""),"No")</f>
        <v>No</v>
      </c>
      <c r="AN430" s="8" t="str">
        <f ca="1">IFERROR(__xludf.DUMMYFUNCTION("""COMPUTED_VALUE"""),"Outside")</f>
        <v>Outside</v>
      </c>
      <c r="AO430" s="8"/>
      <c r="AP430" s="8"/>
      <c r="AQ430" s="8"/>
      <c r="AR430" s="8" t="str">
        <f ca="1">IFERROR(__xludf.DUMMYFUNCTION("""COMPUTED_VALUE"""),"Outside/Off-Property")</f>
        <v>Outside/Off-Property</v>
      </c>
      <c r="AS430" s="8">
        <f ca="1">IFERROR(__xludf.DUMMYFUNCTION("""COMPUTED_VALUE"""),99)</f>
        <v>99</v>
      </c>
      <c r="AT430" s="8"/>
      <c r="AU430" s="8">
        <f ca="1">IFERROR(__xludf.DUMMYFUNCTION("""COMPUTED_VALUE"""),35.216366)</f>
        <v>35.216366000000001</v>
      </c>
      <c r="AV430" s="8">
        <f ca="1">IFERROR(__xludf.DUMMYFUNCTION("""COMPUTED_VALUE"""),-89.978106)</f>
        <v>-89.978105999999997</v>
      </c>
      <c r="AW430" s="8" t="str">
        <f ca="1">IFERROR(__xludf.DUMMYFUNCTION("""COMPUTED_VALUE"""),"Multiple detached buildings")</f>
        <v>Multiple detached buildings</v>
      </c>
      <c r="AX430" s="8">
        <f ca="1">IFERROR(__xludf.DUMMYFUNCTION("""COMPUTED_VALUE"""),38127)</f>
        <v>38127</v>
      </c>
    </row>
    <row r="431" spans="1:50" ht="60" x14ac:dyDescent="0.2">
      <c r="A431" s="8" t="str">
        <f ca="1">IFERROR(__xludf.DUMMYFUNCTION("""COMPUTED_VALUE"""),"20240321NJMAN")</f>
        <v>20240321NJMAN</v>
      </c>
      <c r="B431" s="8">
        <f ca="1">IFERROR(__xludf.DUMMYFUNCTION("""COMPUTED_VALUE"""),3)</f>
        <v>3</v>
      </c>
      <c r="C431" s="8">
        <f ca="1">IFERROR(__xludf.DUMMYFUNCTION("""COMPUTED_VALUE"""),21)</f>
        <v>21</v>
      </c>
      <c r="D431" s="8">
        <f ca="1">IFERROR(__xludf.DUMMYFUNCTION("""COMPUTED_VALUE"""),2024)</f>
        <v>2024</v>
      </c>
      <c r="E431" s="9">
        <f ca="1">IFERROR(__xludf.DUMMYFUNCTION("""COMPUTED_VALUE"""),45372)</f>
        <v>45372</v>
      </c>
      <c r="F431" s="8" t="str">
        <f ca="1">IFERROR(__xludf.DUMMYFUNCTION("""COMPUTED_VALUE"""),"Malcolm X Shabazz High School")</f>
        <v>Malcolm X Shabazz High School</v>
      </c>
      <c r="G431" s="8">
        <f ca="1">IFERROR(__xludf.DUMMYFUNCTION("""COMPUTED_VALUE"""),1)</f>
        <v>1</v>
      </c>
      <c r="H431" s="8">
        <f ca="1">IFERROR(__xludf.DUMMYFUNCTION("""COMPUTED_VALUE"""),0)</f>
        <v>0</v>
      </c>
      <c r="I431" s="8">
        <f ca="1">IFERROR(__xludf.DUMMYFUNCTION("""COMPUTED_VALUE"""),1)</f>
        <v>1</v>
      </c>
      <c r="J431" s="8">
        <f ca="1">IFERROR(__xludf.DUMMYFUNCTION("""COMPUTED_VALUE"""),0)</f>
        <v>0</v>
      </c>
      <c r="K431" s="10" t="str">
        <f ca="1">IFERROR(__xludf.DUMMYFUNCTION("""COMPUTED_VALUE"""),"https://www.rlsmedia.com/article/newark-man-found-shot-dead-behind-dumpster-shabazz-high-school-stadium")</f>
        <v>https://www.rlsmedia.com/article/newark-man-found-shot-dead-behind-dumpster-shabazz-high-school-stadium</v>
      </c>
      <c r="L431" s="8">
        <f ca="1">IFERROR(__xludf.DUMMYFUNCTION("""COMPUTED_VALUE"""),1)</f>
        <v>1</v>
      </c>
      <c r="M431" s="8" t="str">
        <f ca="1">IFERROR(__xludf.DUMMYFUNCTION("""COMPUTED_VALUE"""),"Local")</f>
        <v>Local</v>
      </c>
      <c r="N431" s="8">
        <f ca="1">IFERROR(__xludf.DUMMYFUNCTION("""COMPUTED_VALUE"""),2)</f>
        <v>2</v>
      </c>
      <c r="O431" s="8" t="str">
        <f ca="1">IFERROR(__xludf.DUMMYFUNCTION("""COMPUTED_VALUE"""),"Spring")</f>
        <v>Spring</v>
      </c>
      <c r="P431" s="8" t="str">
        <f ca="1">IFERROR(__xludf.DUMMYFUNCTION("""COMPUTED_VALUE"""),"Newark")</f>
        <v>Newark</v>
      </c>
      <c r="Q431" s="8" t="str">
        <f ca="1">IFERROR(__xludf.DUMMYFUNCTION("""COMPUTED_VALUE"""),"NJ")</f>
        <v>NJ</v>
      </c>
      <c r="R431" s="8" t="str">
        <f ca="1">IFERROR(__xludf.DUMMYFUNCTION("""COMPUTED_VALUE"""),"High")</f>
        <v>High</v>
      </c>
      <c r="S431" s="8" t="str">
        <f ca="1">IFERROR(__xludf.DUMMYFUNCTION("""COMPUTED_VALUE"""),"Football Field/Track")</f>
        <v>Football Field/Track</v>
      </c>
      <c r="T431" s="8" t="str">
        <f ca="1">IFERROR(__xludf.DUMMYFUNCTION("""COMPUTED_VALUE"""),"Outside on School Property")</f>
        <v>Outside on School Property</v>
      </c>
      <c r="U431" s="8" t="str">
        <f ca="1">IFERROR(__xludf.DUMMYFUNCTION("""COMPUTED_VALUE"""),"No")</f>
        <v>No</v>
      </c>
      <c r="V431" s="8" t="str">
        <f ca="1">IFERROR(__xludf.DUMMYFUNCTION("""COMPUTED_VALUE"""),"Night")</f>
        <v>Night</v>
      </c>
      <c r="W431" s="8"/>
      <c r="X431" s="8">
        <f ca="1">IFERROR(__xludf.DUMMYFUNCTION("""COMPUTED_VALUE"""),1)</f>
        <v>1</v>
      </c>
      <c r="Y431" s="12" t="str">
        <f ca="1">IFERROR(__xludf.DUMMYFUNCTION("""COMPUTED_VALUE"""),"Man found fatally shot next to the school football stadium")</f>
        <v>Man found fatally shot next to the school football stadium</v>
      </c>
      <c r="Z431" s="12" t="str">
        <f ca="1">IFERROR(__xludf.DUMMYFUNCTION("""COMPUTED_VALUE"""),"Adult man was found fatally shot next to the bleachers of the football stadium.")</f>
        <v>Adult man was found fatally shot next to the bleachers of the football stadium.</v>
      </c>
      <c r="AA431" s="8"/>
      <c r="AB431" s="8"/>
      <c r="AC431" s="8" t="str">
        <f ca="1">IFERROR(__xludf.DUMMYFUNCTION("""COMPUTED_VALUE"""),"No")</f>
        <v>No</v>
      </c>
      <c r="AD431" s="8" t="str">
        <f ca="1">IFERROR(__xludf.DUMMYFUNCTION("""COMPUTED_VALUE"""),"Victims Targeted")</f>
        <v>Victims Targeted</v>
      </c>
      <c r="AE431" s="8"/>
      <c r="AF431" s="8"/>
      <c r="AG431" s="8" t="str">
        <f ca="1">IFERROR(__xludf.DUMMYFUNCTION("""COMPUTED_VALUE"""),"No")</f>
        <v>No</v>
      </c>
      <c r="AH431" s="8" t="str">
        <f ca="1">IFERROR(__xludf.DUMMYFUNCTION("""COMPUTED_VALUE"""),"No")</f>
        <v>No</v>
      </c>
      <c r="AI431" s="8" t="str">
        <f ca="1">IFERROR(__xludf.DUMMYFUNCTION("""COMPUTED_VALUE"""),"No")</f>
        <v>No</v>
      </c>
      <c r="AJ431" s="8" t="str">
        <f ca="1">IFERROR(__xludf.DUMMYFUNCTION("""COMPUTED_VALUE"""),"No")</f>
        <v>No</v>
      </c>
      <c r="AK431" s="8" t="str">
        <f ca="1">IFERROR(__xludf.DUMMYFUNCTION("""COMPUTED_VALUE"""),"No")</f>
        <v>No</v>
      </c>
      <c r="AL431" s="8"/>
      <c r="AM431" s="8" t="str">
        <f ca="1">IFERROR(__xludf.DUMMYFUNCTION("""COMPUTED_VALUE"""),"No")</f>
        <v>No</v>
      </c>
      <c r="AN431" s="8" t="str">
        <f ca="1">IFERROR(__xludf.DUMMYFUNCTION("""COMPUTED_VALUE"""),"Outside")</f>
        <v>Outside</v>
      </c>
      <c r="AO431" s="8" t="str">
        <f ca="1">IFERROR(__xludf.DUMMYFUNCTION("""COMPUTED_VALUE"""),"No")</f>
        <v>No</v>
      </c>
      <c r="AP431" s="8"/>
      <c r="AQ431" s="8"/>
      <c r="AR431" s="8" t="str">
        <f ca="1">IFERROR(__xludf.DUMMYFUNCTION("""COMPUTED_VALUE"""),"Outside/Off-Property")</f>
        <v>Outside/Off-Property</v>
      </c>
      <c r="AS431" s="8">
        <f ca="1">IFERROR(__xludf.DUMMYFUNCTION("""COMPUTED_VALUE"""),99)</f>
        <v>99</v>
      </c>
      <c r="AT431" s="8" t="str">
        <f ca="1">IFERROR(__xludf.DUMMYFUNCTION("""COMPUTED_VALUE"""),"No")</f>
        <v>No</v>
      </c>
      <c r="AU431" s="8">
        <f ca="1">IFERROR(__xludf.DUMMYFUNCTION("""COMPUTED_VALUE"""),40.719815)</f>
        <v>40.719814999999997</v>
      </c>
      <c r="AV431" s="8">
        <f ca="1">IFERROR(__xludf.DUMMYFUNCTION("""COMPUTED_VALUE"""),-74.192068)</f>
        <v>-74.192068000000006</v>
      </c>
      <c r="AW431" s="8" t="str">
        <f ca="1">IFERROR(__xludf.DUMMYFUNCTION("""COMPUTED_VALUE"""),"Multiple attached buildings")</f>
        <v>Multiple attached buildings</v>
      </c>
      <c r="AX431" s="8">
        <f ca="1">IFERROR(__xludf.DUMMYFUNCTION("""COMPUTED_VALUE"""),7108)</f>
        <v>7108</v>
      </c>
    </row>
    <row r="432" spans="1:50" ht="120" x14ac:dyDescent="0.2">
      <c r="A432" s="8" t="str">
        <f ca="1">IFERROR(__xludf.DUMMYFUNCTION("""COMPUTED_VALUE"""),"20240321CADIP")</f>
        <v>20240321CADIP</v>
      </c>
      <c r="B432" s="8">
        <f ca="1">IFERROR(__xludf.DUMMYFUNCTION("""COMPUTED_VALUE"""),3)</f>
        <v>3</v>
      </c>
      <c r="C432" s="8">
        <f ca="1">IFERROR(__xludf.DUMMYFUNCTION("""COMPUTED_VALUE"""),21)</f>
        <v>21</v>
      </c>
      <c r="D432" s="8">
        <f ca="1">IFERROR(__xludf.DUMMYFUNCTION("""COMPUTED_VALUE"""),2024)</f>
        <v>2024</v>
      </c>
      <c r="E432" s="9">
        <f ca="1">IFERROR(__xludf.DUMMYFUNCTION("""COMPUTED_VALUE"""),45372)</f>
        <v>45372</v>
      </c>
      <c r="F432" s="8" t="str">
        <f ca="1">IFERROR(__xludf.DUMMYFUNCTION("""COMPUTED_VALUE"""),"Diamond Ranch High School")</f>
        <v>Diamond Ranch High School</v>
      </c>
      <c r="G432" s="8">
        <f ca="1">IFERROR(__xludf.DUMMYFUNCTION("""COMPUTED_VALUE"""),0)</f>
        <v>0</v>
      </c>
      <c r="H432" s="8">
        <f ca="1">IFERROR(__xludf.DUMMYFUNCTION("""COMPUTED_VALUE"""),0)</f>
        <v>0</v>
      </c>
      <c r="I432" s="8">
        <f ca="1">IFERROR(__xludf.DUMMYFUNCTION("""COMPUTED_VALUE"""),0)</f>
        <v>0</v>
      </c>
      <c r="J432" s="8">
        <f ca="1">IFERROR(__xludf.DUMMYFUNCTION("""COMPUTED_VALUE"""),0)</f>
        <v>0</v>
      </c>
      <c r="K432" s="10" t="str">
        <f ca="1">IFERROR(__xludf.DUMMYFUNCTION("""COMPUTED_VALUE"""),"https://abc7.com/diamond-ranch-high-school-gun-students-caught-on-video/14557728/")</f>
        <v>https://abc7.com/diamond-ranch-high-school-gun-students-caught-on-video/14557728/</v>
      </c>
      <c r="L432" s="8">
        <f ca="1">IFERROR(__xludf.DUMMYFUNCTION("""COMPUTED_VALUE"""),50)</f>
        <v>50</v>
      </c>
      <c r="M432" s="8" t="str">
        <f ca="1">IFERROR(__xludf.DUMMYFUNCTION("""COMPUTED_VALUE"""),"National")</f>
        <v>National</v>
      </c>
      <c r="N432" s="8">
        <f ca="1">IFERROR(__xludf.DUMMYFUNCTION("""COMPUTED_VALUE"""),4)</f>
        <v>4</v>
      </c>
      <c r="O432" s="8" t="str">
        <f ca="1">IFERROR(__xludf.DUMMYFUNCTION("""COMPUTED_VALUE"""),"Spring")</f>
        <v>Spring</v>
      </c>
      <c r="P432" s="8" t="str">
        <f ca="1">IFERROR(__xludf.DUMMYFUNCTION("""COMPUTED_VALUE"""),"Pomona")</f>
        <v>Pomona</v>
      </c>
      <c r="Q432" s="8" t="str">
        <f ca="1">IFERROR(__xludf.DUMMYFUNCTION("""COMPUTED_VALUE"""),"CA")</f>
        <v>CA</v>
      </c>
      <c r="R432" s="8" t="str">
        <f ca="1">IFERROR(__xludf.DUMMYFUNCTION("""COMPUTED_VALUE"""),"High")</f>
        <v>High</v>
      </c>
      <c r="S432" s="8" t="str">
        <f ca="1">IFERROR(__xludf.DUMMYFUNCTION("""COMPUTED_VALUE"""),"Front of School")</f>
        <v>Front of School</v>
      </c>
      <c r="T432" s="8" t="str">
        <f ca="1">IFERROR(__xludf.DUMMYFUNCTION("""COMPUTED_VALUE"""),"Outside on School Property")</f>
        <v>Outside on School Property</v>
      </c>
      <c r="U432" s="8" t="str">
        <f ca="1">IFERROR(__xludf.DUMMYFUNCTION("""COMPUTED_VALUE"""),"Yes")</f>
        <v>Yes</v>
      </c>
      <c r="V432" s="8" t="str">
        <f ca="1">IFERROR(__xludf.DUMMYFUNCTION("""COMPUTED_VALUE"""),"Dismissal")</f>
        <v>Dismissal</v>
      </c>
      <c r="W432" s="11">
        <f ca="1">IFERROR(__xludf.DUMMYFUNCTION("""COMPUTED_VALUE"""),0.625)</f>
        <v>0.625</v>
      </c>
      <c r="X432" s="8">
        <f ca="1">IFERROR(__xludf.DUMMYFUNCTION("""COMPUTED_VALUE"""),1)</f>
        <v>1</v>
      </c>
      <c r="Y432" s="12" t="str">
        <f ca="1">IFERROR(__xludf.DUMMYFUNCTION("""COMPUTED_VALUE"""),"Unknown person displayed a gun during a large fight at dismissal")</f>
        <v>Unknown person displayed a gun during a large fight at dismissal</v>
      </c>
      <c r="Z432" s="12" t="str">
        <f ca="1">IFERROR(__xludf.DUMMYFUNCTION("""COMPUTED_VALUE"""),"The incident, captured on video, unfolded as school was being dismissed Thursday. That's when a group of people pulled up to the campus in a car and got out, according to a message from Pomona Unified School District Superintendent Darren Knowles to paren"&amp;"ts and staff. Footage shows some sort of altercation happening when a person dressed in black pulls out a gun and cocks it before pointing it at the fleeing students.")</f>
        <v>The incident, captured on video, unfolded as school was being dismissed Thursday. That's when a group of people pulled up to the campus in a car and got out, according to a message from Pomona Unified School District Superintendent Darren Knowles to parents and staff. Footage shows some sort of altercation happening when a person dressed in black pulls out a gun and cocks it before pointing it at the fleeing students.</v>
      </c>
      <c r="AA432" s="8" t="str">
        <f ca="1">IFERROR(__xludf.DUMMYFUNCTION("""COMPUTED_VALUE"""),"Escalation of Dispute")</f>
        <v>Escalation of Dispute</v>
      </c>
      <c r="AB432" s="8" t="str">
        <f ca="1">IFERROR(__xludf.DUMMYFUNCTION("""COMPUTED_VALUE"""),"Spontaneous")</f>
        <v>Spontaneous</v>
      </c>
      <c r="AC432" s="8" t="str">
        <f ca="1">IFERROR(__xludf.DUMMYFUNCTION("""COMPUTED_VALUE"""),"Yes")</f>
        <v>Yes</v>
      </c>
      <c r="AD432" s="8" t="str">
        <f ca="1">IFERROR(__xludf.DUMMYFUNCTION("""COMPUTED_VALUE"""),"Neither")</f>
        <v>Neither</v>
      </c>
      <c r="AE432" s="8" t="str">
        <f ca="1">IFERROR(__xludf.DUMMYFUNCTION("""COMPUTED_VALUE"""),"Yes")</f>
        <v>Yes</v>
      </c>
      <c r="AF432" s="8" t="str">
        <f ca="1">IFERROR(__xludf.DUMMYFUNCTION("""COMPUTED_VALUE"""),"Multiple people got out of car before fight")</f>
        <v>Multiple people got out of car before fight</v>
      </c>
      <c r="AG432" s="8" t="str">
        <f ca="1">IFERROR(__xludf.DUMMYFUNCTION("""COMPUTED_VALUE"""),"No")</f>
        <v>No</v>
      </c>
      <c r="AH432" s="8" t="str">
        <f ca="1">IFERROR(__xludf.DUMMYFUNCTION("""COMPUTED_VALUE"""),"No")</f>
        <v>No</v>
      </c>
      <c r="AI432" s="8" t="str">
        <f ca="1">IFERROR(__xludf.DUMMYFUNCTION("""COMPUTED_VALUE"""),"No")</f>
        <v>No</v>
      </c>
      <c r="AJ432" s="8" t="str">
        <f ca="1">IFERROR(__xludf.DUMMYFUNCTION("""COMPUTED_VALUE"""),"No")</f>
        <v>No</v>
      </c>
      <c r="AK432" s="8" t="str">
        <f ca="1">IFERROR(__xludf.DUMMYFUNCTION("""COMPUTED_VALUE"""),"No")</f>
        <v>No</v>
      </c>
      <c r="AL432" s="8"/>
      <c r="AM432" s="8" t="str">
        <f ca="1">IFERROR(__xludf.DUMMYFUNCTION("""COMPUTED_VALUE"""),"No")</f>
        <v>No</v>
      </c>
      <c r="AN432" s="8" t="str">
        <f ca="1">IFERROR(__xludf.DUMMYFUNCTION("""COMPUTED_VALUE"""),"Outside")</f>
        <v>Outside</v>
      </c>
      <c r="AO432" s="8" t="str">
        <f ca="1">IFERROR(__xludf.DUMMYFUNCTION("""COMPUTED_VALUE"""),"No")</f>
        <v>No</v>
      </c>
      <c r="AP432" s="8"/>
      <c r="AQ432" s="8"/>
      <c r="AR432" s="8" t="str">
        <f ca="1">IFERROR(__xludf.DUMMYFUNCTION("""COMPUTED_VALUE"""),"Outside/Off-Property")</f>
        <v>Outside/Off-Property</v>
      </c>
      <c r="AS432" s="8">
        <f ca="1">IFERROR(__xludf.DUMMYFUNCTION("""COMPUTED_VALUE"""),0)</f>
        <v>0</v>
      </c>
      <c r="AT432" s="8" t="str">
        <f ca="1">IFERROR(__xludf.DUMMYFUNCTION("""COMPUTED_VALUE"""),"No")</f>
        <v>No</v>
      </c>
      <c r="AU432" s="8">
        <f ca="1">IFERROR(__xludf.DUMMYFUNCTION("""COMPUTED_VALUE"""),34.022503)</f>
        <v>34.022503</v>
      </c>
      <c r="AV432" s="8">
        <f ca="1">IFERROR(__xludf.DUMMYFUNCTION("""COMPUTED_VALUE"""),-117.778475)</f>
        <v>-117.778475</v>
      </c>
      <c r="AW432" s="8" t="str">
        <f ca="1">IFERROR(__xludf.DUMMYFUNCTION("""COMPUTED_VALUE"""),"Multiple detached buildings")</f>
        <v>Multiple detached buildings</v>
      </c>
      <c r="AX432" s="8">
        <f ca="1">IFERROR(__xludf.DUMMYFUNCTION("""COMPUTED_VALUE"""),91766)</f>
        <v>91766</v>
      </c>
    </row>
    <row r="433" spans="1:50" ht="150" x14ac:dyDescent="0.2">
      <c r="A433" s="8" t="str">
        <f ca="1">IFERROR(__xludf.DUMMYFUNCTION("""COMPUTED_VALUE"""),"20240320NCPEP")</f>
        <v>20240320NCPEP</v>
      </c>
      <c r="B433" s="8">
        <f ca="1">IFERROR(__xludf.DUMMYFUNCTION("""COMPUTED_VALUE"""),3)</f>
        <v>3</v>
      </c>
      <c r="C433" s="8">
        <f ca="1">IFERROR(__xludf.DUMMYFUNCTION("""COMPUTED_VALUE"""),20)</f>
        <v>20</v>
      </c>
      <c r="D433" s="8">
        <f ca="1">IFERROR(__xludf.DUMMYFUNCTION("""COMPUTED_VALUE"""),2024)</f>
        <v>2024</v>
      </c>
      <c r="E433" s="9">
        <f ca="1">IFERROR(__xludf.DUMMYFUNCTION("""COMPUTED_VALUE"""),45371)</f>
        <v>45371</v>
      </c>
      <c r="F433" s="8" t="str">
        <f ca="1">IFERROR(__xludf.DUMMYFUNCTION("""COMPUTED_VALUE"""),"Pembroke Elementary School")</f>
        <v>Pembroke Elementary School</v>
      </c>
      <c r="G433" s="8">
        <f ca="1">IFERROR(__xludf.DUMMYFUNCTION("""COMPUTED_VALUE"""),0)</f>
        <v>0</v>
      </c>
      <c r="H433" s="8">
        <f ca="1">IFERROR(__xludf.DUMMYFUNCTION("""COMPUTED_VALUE"""),0)</f>
        <v>0</v>
      </c>
      <c r="I433" s="8">
        <f ca="1">IFERROR(__xludf.DUMMYFUNCTION("""COMPUTED_VALUE"""),0)</f>
        <v>0</v>
      </c>
      <c r="J433" s="8">
        <f ca="1">IFERROR(__xludf.DUMMYFUNCTION("""COMPUTED_VALUE"""),0)</f>
        <v>0</v>
      </c>
      <c r="K433" s="10" t="str">
        <f ca="1">IFERROR(__xludf.DUMMYFUNCTION("""COMPUTED_VALUE"""),"https://wpde.com/news/local/adult-found-with-gun-inside-pembroke-elementary-school-robeson-county-public-schools-administrators-911-sro-campus-safety-north-carolina
https://www.wral.com/story/person-with-loaded-handgun-walks-into-pembroke-elementary-schoo"&amp;"l-behind-parent-during-morning-dropoff/21338714/")</f>
        <v>https://wpde.com/news/local/adult-found-with-gun-inside-pembroke-elementary-school-robeson-county-public-schools-administrators-911-sro-campus-safety-north-carolina
https://www.wral.com/story/person-with-loaded-handgun-walks-into-pembroke-elementary-school-behind-parent-during-morning-dropoff/21338714/</v>
      </c>
      <c r="L433" s="8">
        <f ca="1">IFERROR(__xludf.DUMMYFUNCTION("""COMPUTED_VALUE"""),7)</f>
        <v>7</v>
      </c>
      <c r="M433" s="8" t="str">
        <f ca="1">IFERROR(__xludf.DUMMYFUNCTION("""COMPUTED_VALUE"""),"Regional")</f>
        <v>Regional</v>
      </c>
      <c r="N433" s="8">
        <f ca="1">IFERROR(__xludf.DUMMYFUNCTION("""COMPUTED_VALUE"""),4)</f>
        <v>4</v>
      </c>
      <c r="O433" s="8" t="str">
        <f ca="1">IFERROR(__xludf.DUMMYFUNCTION("""COMPUTED_VALUE"""),"Spring")</f>
        <v>Spring</v>
      </c>
      <c r="P433" s="8" t="str">
        <f ca="1">IFERROR(__xludf.DUMMYFUNCTION("""COMPUTED_VALUE"""),"Pembroke")</f>
        <v>Pembroke</v>
      </c>
      <c r="Q433" s="8" t="str">
        <f ca="1">IFERROR(__xludf.DUMMYFUNCTION("""COMPUTED_VALUE"""),"NC")</f>
        <v>NC</v>
      </c>
      <c r="R433" s="8" t="str">
        <f ca="1">IFERROR(__xludf.DUMMYFUNCTION("""COMPUTED_VALUE"""),"Elementary")</f>
        <v>Elementary</v>
      </c>
      <c r="S433" s="8" t="str">
        <f ca="1">IFERROR(__xludf.DUMMYFUNCTION("""COMPUTED_VALUE"""),"Office")</f>
        <v>Office</v>
      </c>
      <c r="T433" s="8" t="str">
        <f ca="1">IFERROR(__xludf.DUMMYFUNCTION("""COMPUTED_VALUE"""),"Inside School Building")</f>
        <v>Inside School Building</v>
      </c>
      <c r="U433" s="8" t="str">
        <f ca="1">IFERROR(__xludf.DUMMYFUNCTION("""COMPUTED_VALUE"""),"Yes")</f>
        <v>Yes</v>
      </c>
      <c r="V433" s="8" t="str">
        <f ca="1">IFERROR(__xludf.DUMMYFUNCTION("""COMPUTED_VALUE"""),"School Start")</f>
        <v>School Start</v>
      </c>
      <c r="W433" s="11">
        <f ca="1">IFERROR(__xludf.DUMMYFUNCTION("""COMPUTED_VALUE"""),0.333333333333333)</f>
        <v>0.33333333333333298</v>
      </c>
      <c r="X433" s="8">
        <f ca="1">IFERROR(__xludf.DUMMYFUNCTION("""COMPUTED_VALUE"""),1)</f>
        <v>1</v>
      </c>
      <c r="Y433" s="12" t="str">
        <f ca="1">IFERROR(__xludf.DUMMYFUNCTION("""COMPUTED_VALUE"""),"Man with loaded gun walked into school office, surrendered to school staff")</f>
        <v>Man with loaded gun walked into school office, surrendered to school staff</v>
      </c>
      <c r="Z433" s="12" t="str">
        <f ca="1">IFERROR(__xludf.DUMMYFUNCTION("""COMPUTED_VALUE"""),"As kids were arriving at Pembroke Elementary School Wednesday morning, someone walked into the school with a loaded handgun. The school said the person followed a parent into the building. School staff was able to hold the person in the front office area."&amp;" A staff member was able to convince the individual to turn over the handgun, and a school resource officer removed the individual from the building. No injuries were reported. Man was arrested for charges related to an off campus domestic dispute before "&amp;"he arrived at the school.")</f>
        <v>As kids were arriving at Pembroke Elementary School Wednesday morning, someone walked into the school with a loaded handgun. The school said the person followed a parent into the building. School staff was able to hold the person in the front office area. A staff member was able to convince the individual to turn over the handgun, and a school resource officer removed the individual from the building. No injuries were reported. Man was arrested for charges related to an off campus domestic dispute before he arrived at the school.</v>
      </c>
      <c r="AA433" s="8" t="str">
        <f ca="1">IFERROR(__xludf.DUMMYFUNCTION("""COMPUTED_VALUE"""),"Domestic w/ Targeted Victim")</f>
        <v>Domestic w/ Targeted Victim</v>
      </c>
      <c r="AB433" s="8" t="str">
        <f ca="1">IFERROR(__xludf.DUMMYFUNCTION("""COMPUTED_VALUE"""),"Targeted")</f>
        <v>Targeted</v>
      </c>
      <c r="AC433" s="8" t="str">
        <f ca="1">IFERROR(__xludf.DUMMYFUNCTION("""COMPUTED_VALUE"""),"Yes")</f>
        <v>Yes</v>
      </c>
      <c r="AD433" s="8" t="str">
        <f ca="1">IFERROR(__xludf.DUMMYFUNCTION("""COMPUTED_VALUE"""),"Victims Targeted")</f>
        <v>Victims Targeted</v>
      </c>
      <c r="AE433" s="8" t="str">
        <f ca="1">IFERROR(__xludf.DUMMYFUNCTION("""COMPUTED_VALUE"""),"No")</f>
        <v>No</v>
      </c>
      <c r="AF433" s="8"/>
      <c r="AG433" s="8" t="str">
        <f ca="1">IFERROR(__xludf.DUMMYFUNCTION("""COMPUTED_VALUE"""),"No")</f>
        <v>No</v>
      </c>
      <c r="AH433" s="8" t="str">
        <f ca="1">IFERROR(__xludf.DUMMYFUNCTION("""COMPUTED_VALUE"""),"No")</f>
        <v>No</v>
      </c>
      <c r="AI433" s="8" t="str">
        <f ca="1">IFERROR(__xludf.DUMMYFUNCTION("""COMPUTED_VALUE"""),"No")</f>
        <v>No</v>
      </c>
      <c r="AJ433" s="8" t="str">
        <f ca="1">IFERROR(__xludf.DUMMYFUNCTION("""COMPUTED_VALUE"""),"No")</f>
        <v>No</v>
      </c>
      <c r="AK433" s="8" t="str">
        <f ca="1">IFERROR(__xludf.DUMMYFUNCTION("""COMPUTED_VALUE"""),"Yes")</f>
        <v>Yes</v>
      </c>
      <c r="AL433" s="8" t="str">
        <f ca="1">IFERROR(__xludf.DUMMYFUNCTION("""COMPUTED_VALUE"""),"No")</f>
        <v>No</v>
      </c>
      <c r="AM433" s="8" t="str">
        <f ca="1">IFERROR(__xludf.DUMMYFUNCTION("""COMPUTED_VALUE"""),"No")</f>
        <v>No</v>
      </c>
      <c r="AN433" s="8" t="str">
        <f ca="1">IFERROR(__xludf.DUMMYFUNCTION("""COMPUTED_VALUE"""),"Single Room")</f>
        <v>Single Room</v>
      </c>
      <c r="AO433" s="8" t="str">
        <f ca="1">IFERROR(__xludf.DUMMYFUNCTION("""COMPUTED_VALUE"""),"No")</f>
        <v>No</v>
      </c>
      <c r="AP433" s="8" t="str">
        <f ca="1">IFERROR(__xludf.DUMMYFUNCTION("""COMPUTED_VALUE"""),"Yes")</f>
        <v>Yes</v>
      </c>
      <c r="AQ433" s="8"/>
      <c r="AR433" s="8" t="str">
        <f ca="1">IFERROR(__xludf.DUMMYFUNCTION("""COMPUTED_VALUE"""),"Failed")</f>
        <v>Failed</v>
      </c>
      <c r="AS433" s="8">
        <f ca="1">IFERROR(__xludf.DUMMYFUNCTION("""COMPUTED_VALUE"""),0)</f>
        <v>0</v>
      </c>
      <c r="AT433" s="8" t="str">
        <f ca="1">IFERROR(__xludf.DUMMYFUNCTION("""COMPUTED_VALUE"""),"Yes")</f>
        <v>Yes</v>
      </c>
      <c r="AU433" s="8">
        <f ca="1">IFERROR(__xludf.DUMMYFUNCTION("""COMPUTED_VALUE"""),34.674034)</f>
        <v>34.674033999999999</v>
      </c>
      <c r="AV433" s="8">
        <f ca="1">IFERROR(__xludf.DUMMYFUNCTION("""COMPUTED_VALUE"""),-79.193242)</f>
        <v>-79.193241999999998</v>
      </c>
      <c r="AW433" s="8" t="str">
        <f ca="1">IFERROR(__xludf.DUMMYFUNCTION("""COMPUTED_VALUE"""),"Single building indoor hallway")</f>
        <v>Single building indoor hallway</v>
      </c>
      <c r="AX433" s="8">
        <f ca="1">IFERROR(__xludf.DUMMYFUNCTION("""COMPUTED_VALUE"""),28372)</f>
        <v>28372</v>
      </c>
    </row>
    <row r="434" spans="1:50" ht="60" x14ac:dyDescent="0.2">
      <c r="A434" s="8" t="str">
        <f ca="1">IFERROR(__xludf.DUMMYFUNCTION("""COMPUTED_VALUE"""),"20240320CONOD")</f>
        <v>20240320CONOD</v>
      </c>
      <c r="B434" s="8">
        <f ca="1">IFERROR(__xludf.DUMMYFUNCTION("""COMPUTED_VALUE"""),3)</f>
        <v>3</v>
      </c>
      <c r="C434" s="8">
        <f ca="1">IFERROR(__xludf.DUMMYFUNCTION("""COMPUTED_VALUE"""),20)</f>
        <v>20</v>
      </c>
      <c r="D434" s="8">
        <f ca="1">IFERROR(__xludf.DUMMYFUNCTION("""COMPUTED_VALUE"""),2024)</f>
        <v>2024</v>
      </c>
      <c r="E434" s="9">
        <f ca="1">IFERROR(__xludf.DUMMYFUNCTION("""COMPUTED_VALUE"""),45371)</f>
        <v>45371</v>
      </c>
      <c r="F434" s="8" t="str">
        <f ca="1">IFERROR(__xludf.DUMMYFUNCTION("""COMPUTED_VALUE"""),"North High School")</f>
        <v>North High School</v>
      </c>
      <c r="G434" s="8">
        <f ca="1">IFERROR(__xludf.DUMMYFUNCTION("""COMPUTED_VALUE"""),0)</f>
        <v>0</v>
      </c>
      <c r="H434" s="8">
        <f ca="1">IFERROR(__xludf.DUMMYFUNCTION("""COMPUTED_VALUE"""),0)</f>
        <v>0</v>
      </c>
      <c r="I434" s="8">
        <f ca="1">IFERROR(__xludf.DUMMYFUNCTION("""COMPUTED_VALUE"""),0)</f>
        <v>0</v>
      </c>
      <c r="J434" s="8">
        <f ca="1">IFERROR(__xludf.DUMMYFUNCTION("""COMPUTED_VALUE"""),0)</f>
        <v>0</v>
      </c>
      <c r="K434" s="10" t="str">
        <f ca="1">IFERROR(__xludf.DUMMYFUNCTION("""COMPUTED_VALUE"""),"https://www.9news.com/article/news/crime/shots-fired-into-car-denver-high-school-parking-lot/73-0349bff4-e2ce-4700-9f04-53883e07b761")</f>
        <v>https://www.9news.com/article/news/crime/shots-fired-into-car-denver-high-school-parking-lot/73-0349bff4-e2ce-4700-9f04-53883e07b761</v>
      </c>
      <c r="L434" s="8">
        <f ca="1">IFERROR(__xludf.DUMMYFUNCTION("""COMPUTED_VALUE"""),1)</f>
        <v>1</v>
      </c>
      <c r="M434" s="8" t="str">
        <f ca="1">IFERROR(__xludf.DUMMYFUNCTION("""COMPUTED_VALUE"""),"Local")</f>
        <v>Local</v>
      </c>
      <c r="N434" s="8">
        <f ca="1">IFERROR(__xludf.DUMMYFUNCTION("""COMPUTED_VALUE"""),4)</f>
        <v>4</v>
      </c>
      <c r="O434" s="8" t="str">
        <f ca="1">IFERROR(__xludf.DUMMYFUNCTION("""COMPUTED_VALUE"""),"Spring")</f>
        <v>Spring</v>
      </c>
      <c r="P434" s="8" t="str">
        <f ca="1">IFERROR(__xludf.DUMMYFUNCTION("""COMPUTED_VALUE"""),"Denver")</f>
        <v>Denver</v>
      </c>
      <c r="Q434" s="8" t="str">
        <f ca="1">IFERROR(__xludf.DUMMYFUNCTION("""COMPUTED_VALUE"""),"CO")</f>
        <v>CO</v>
      </c>
      <c r="R434" s="8" t="str">
        <f ca="1">IFERROR(__xludf.DUMMYFUNCTION("""COMPUTED_VALUE"""),"High")</f>
        <v>High</v>
      </c>
      <c r="S434" s="8" t="str">
        <f ca="1">IFERROR(__xludf.DUMMYFUNCTION("""COMPUTED_VALUE"""),"Parking Lot")</f>
        <v>Parking Lot</v>
      </c>
      <c r="T434" s="8" t="str">
        <f ca="1">IFERROR(__xludf.DUMMYFUNCTION("""COMPUTED_VALUE"""),"Outside on School Property")</f>
        <v>Outside on School Property</v>
      </c>
      <c r="U434" s="8" t="str">
        <f ca="1">IFERROR(__xludf.DUMMYFUNCTION("""COMPUTED_VALUE"""),"Yes")</f>
        <v>Yes</v>
      </c>
      <c r="V434" s="8" t="str">
        <f ca="1">IFERROR(__xludf.DUMMYFUNCTION("""COMPUTED_VALUE"""),"Afternoon Classes")</f>
        <v>Afternoon Classes</v>
      </c>
      <c r="W434" s="8"/>
      <c r="X434" s="8">
        <f ca="1">IFERROR(__xludf.DUMMYFUNCTION("""COMPUTED_VALUE"""),1)</f>
        <v>1</v>
      </c>
      <c r="Y434" s="12" t="str">
        <f ca="1">IFERROR(__xludf.DUMMYFUNCTION("""COMPUTED_VALUE"""),"Shots fired at vehicles in the school parking lot")</f>
        <v>Shots fired at vehicles in the school parking lot</v>
      </c>
      <c r="Z434" s="12" t="str">
        <f ca="1">IFERROR(__xludf.DUMMYFUNCTION("""COMPUTED_VALUE"""),"A vehicle that was involved in crimes in the neighborhood pulled into the school parking lot and shots were fired at random vehicles. Two shooters in the vehicle fled and were not identified.")</f>
        <v>A vehicle that was involved in crimes in the neighborhood pulled into the school parking lot and shots were fired at random vehicles. Two shooters in the vehicle fled and were not identified.</v>
      </c>
      <c r="AA434" s="8" t="str">
        <f ca="1">IFERROR(__xludf.DUMMYFUNCTION("""COMPUTED_VALUE"""),"Drive-by Shooting")</f>
        <v>Drive-by Shooting</v>
      </c>
      <c r="AB434" s="8" t="str">
        <f ca="1">IFERROR(__xludf.DUMMYFUNCTION("""COMPUTED_VALUE"""),"Spontaneous")</f>
        <v>Spontaneous</v>
      </c>
      <c r="AC434" s="8" t="str">
        <f ca="1">IFERROR(__xludf.DUMMYFUNCTION("""COMPUTED_VALUE"""),"Yes")</f>
        <v>Yes</v>
      </c>
      <c r="AD434" s="8" t="str">
        <f ca="1">IFERROR(__xludf.DUMMYFUNCTION("""COMPUTED_VALUE"""),"Random Shooting")</f>
        <v>Random Shooting</v>
      </c>
      <c r="AE434" s="8" t="str">
        <f ca="1">IFERROR(__xludf.DUMMYFUNCTION("""COMPUTED_VALUE"""),"Yes")</f>
        <v>Yes</v>
      </c>
      <c r="AF434" s="8" t="str">
        <f ca="1">IFERROR(__xludf.DUMMYFUNCTION("""COMPUTED_VALUE"""),"Two shooters")</f>
        <v>Two shooters</v>
      </c>
      <c r="AG434" s="8" t="str">
        <f ca="1">IFERROR(__xludf.DUMMYFUNCTION("""COMPUTED_VALUE"""),"No")</f>
        <v>No</v>
      </c>
      <c r="AH434" s="8" t="str">
        <f ca="1">IFERROR(__xludf.DUMMYFUNCTION("""COMPUTED_VALUE"""),"No")</f>
        <v>No</v>
      </c>
      <c r="AI434" s="8" t="str">
        <f ca="1">IFERROR(__xludf.DUMMYFUNCTION("""COMPUTED_VALUE"""),"No")</f>
        <v>No</v>
      </c>
      <c r="AJ434" s="8" t="str">
        <f ca="1">IFERROR(__xludf.DUMMYFUNCTION("""COMPUTED_VALUE"""),"No")</f>
        <v>No</v>
      </c>
      <c r="AK434" s="8" t="str">
        <f ca="1">IFERROR(__xludf.DUMMYFUNCTION("""COMPUTED_VALUE"""),"No")</f>
        <v>No</v>
      </c>
      <c r="AL434" s="8" t="str">
        <f ca="1">IFERROR(__xludf.DUMMYFUNCTION("""COMPUTED_VALUE"""),"No")</f>
        <v>No</v>
      </c>
      <c r="AM434" s="8" t="str">
        <f ca="1">IFERROR(__xludf.DUMMYFUNCTION("""COMPUTED_VALUE"""),"No")</f>
        <v>No</v>
      </c>
      <c r="AN434" s="8" t="str">
        <f ca="1">IFERROR(__xludf.DUMMYFUNCTION("""COMPUTED_VALUE"""),"Outside")</f>
        <v>Outside</v>
      </c>
      <c r="AO434" s="8" t="str">
        <f ca="1">IFERROR(__xludf.DUMMYFUNCTION("""COMPUTED_VALUE"""),"No")</f>
        <v>No</v>
      </c>
      <c r="AP434" s="8"/>
      <c r="AQ434" s="8"/>
      <c r="AR434" s="8" t="str">
        <f ca="1">IFERROR(__xludf.DUMMYFUNCTION("""COMPUTED_VALUE"""),"Outside/Off-Property")</f>
        <v>Outside/Off-Property</v>
      </c>
      <c r="AS434" s="8">
        <f ca="1">IFERROR(__xludf.DUMMYFUNCTION("""COMPUTED_VALUE"""),99)</f>
        <v>99</v>
      </c>
      <c r="AT434" s="8" t="str">
        <f ca="1">IFERROR(__xludf.DUMMYFUNCTION("""COMPUTED_VALUE"""),"Yes")</f>
        <v>Yes</v>
      </c>
      <c r="AU434" s="8">
        <f ca="1">IFERROR(__xludf.DUMMYFUNCTION("""COMPUTED_VALUE"""),39.76087)</f>
        <v>39.760869999999997</v>
      </c>
      <c r="AV434" s="8">
        <f ca="1">IFERROR(__xludf.DUMMYFUNCTION("""COMPUTED_VALUE"""),-105.021951)</f>
        <v>-105.021951</v>
      </c>
      <c r="AW434" s="8" t="str">
        <f ca="1">IFERROR(__xludf.DUMMYFUNCTION("""COMPUTED_VALUE"""),"Multiple attached buildings")</f>
        <v>Multiple attached buildings</v>
      </c>
      <c r="AX434" s="8">
        <f ca="1">IFERROR(__xludf.DUMMYFUNCTION("""COMPUTED_VALUE"""),80211)</f>
        <v>80211</v>
      </c>
    </row>
    <row r="435" spans="1:50" ht="60" x14ac:dyDescent="0.2">
      <c r="A435" s="8" t="str">
        <f ca="1">IFERROR(__xludf.DUMMYFUNCTION("""COMPUTED_VALUE"""),"20240320OHBOC")</f>
        <v>20240320OHBOC</v>
      </c>
      <c r="B435" s="8">
        <f ca="1">IFERROR(__xludf.DUMMYFUNCTION("""COMPUTED_VALUE"""),3)</f>
        <v>3</v>
      </c>
      <c r="C435" s="8">
        <f ca="1">IFERROR(__xludf.DUMMYFUNCTION("""COMPUTED_VALUE"""),20)</f>
        <v>20</v>
      </c>
      <c r="D435" s="8">
        <f ca="1">IFERROR(__xludf.DUMMYFUNCTION("""COMPUTED_VALUE"""),2024)</f>
        <v>2024</v>
      </c>
      <c r="E435" s="9">
        <f ca="1">IFERROR(__xludf.DUMMYFUNCTION("""COMPUTED_VALUE"""),45371)</f>
        <v>45371</v>
      </c>
      <c r="F435" s="8" t="str">
        <f ca="1">IFERROR(__xludf.DUMMYFUNCTION("""COMPUTED_VALUE"""),"Bolton Elementary School")</f>
        <v>Bolton Elementary School</v>
      </c>
      <c r="G435" s="8">
        <f ca="1">IFERROR(__xludf.DUMMYFUNCTION("""COMPUTED_VALUE"""),0)</f>
        <v>0</v>
      </c>
      <c r="H435" s="8">
        <f ca="1">IFERROR(__xludf.DUMMYFUNCTION("""COMPUTED_VALUE"""),1)</f>
        <v>1</v>
      </c>
      <c r="I435" s="8">
        <f ca="1">IFERROR(__xludf.DUMMYFUNCTION("""COMPUTED_VALUE"""),1)</f>
        <v>1</v>
      </c>
      <c r="J435" s="8">
        <f ca="1">IFERROR(__xludf.DUMMYFUNCTION("""COMPUTED_VALUE"""),0)</f>
        <v>0</v>
      </c>
      <c r="K435" s="10" t="str">
        <f ca="1">IFERROR(__xludf.DUMMYFUNCTION("""COMPUTED_VALUE"""),"https://www.news5cleveland.com/news/local-news/cleveland-elementary-school-placed-on-lockdown-after-shooting-occurs-in-parking-lot
https://www.news5cleveland.com/news/local-news/cleveland-elementary-school-placed-on-lockdown-after-shooting-occurs-in-parki"&amp;"ng-lot")</f>
        <v>https://www.news5cleveland.com/news/local-news/cleveland-elementary-school-placed-on-lockdown-after-shooting-occurs-in-parking-lot
https://www.news5cleveland.com/news/local-news/cleveland-elementary-school-placed-on-lockdown-after-shooting-occurs-in-parking-lot</v>
      </c>
      <c r="L435" s="8">
        <f ca="1">IFERROR(__xludf.DUMMYFUNCTION("""COMPUTED_VALUE"""),5)</f>
        <v>5</v>
      </c>
      <c r="M435" s="8" t="str">
        <f ca="1">IFERROR(__xludf.DUMMYFUNCTION("""COMPUTED_VALUE"""),"Local")</f>
        <v>Local</v>
      </c>
      <c r="N435" s="8">
        <f ca="1">IFERROR(__xludf.DUMMYFUNCTION("""COMPUTED_VALUE"""),4)</f>
        <v>4</v>
      </c>
      <c r="O435" s="8" t="str">
        <f ca="1">IFERROR(__xludf.DUMMYFUNCTION("""COMPUTED_VALUE"""),"Spring")</f>
        <v>Spring</v>
      </c>
      <c r="P435" s="8" t="str">
        <f ca="1">IFERROR(__xludf.DUMMYFUNCTION("""COMPUTED_VALUE"""),"Cleveland")</f>
        <v>Cleveland</v>
      </c>
      <c r="Q435" s="8" t="str">
        <f ca="1">IFERROR(__xludf.DUMMYFUNCTION("""COMPUTED_VALUE"""),"OH")</f>
        <v>OH</v>
      </c>
      <c r="R435" s="8" t="str">
        <f ca="1">IFERROR(__xludf.DUMMYFUNCTION("""COMPUTED_VALUE"""),"Elementary")</f>
        <v>Elementary</v>
      </c>
      <c r="S435" s="8" t="str">
        <f ca="1">IFERROR(__xludf.DUMMYFUNCTION("""COMPUTED_VALUE"""),"Parking Lot")</f>
        <v>Parking Lot</v>
      </c>
      <c r="T435" s="8" t="str">
        <f ca="1">IFERROR(__xludf.DUMMYFUNCTION("""COMPUTED_VALUE"""),"Outside on School Property")</f>
        <v>Outside on School Property</v>
      </c>
      <c r="U435" s="8" t="str">
        <f ca="1">IFERROR(__xludf.DUMMYFUNCTION("""COMPUTED_VALUE"""),"Yes")</f>
        <v>Yes</v>
      </c>
      <c r="V435" s="8" t="str">
        <f ca="1">IFERROR(__xludf.DUMMYFUNCTION("""COMPUTED_VALUE"""),"Afternoon Classes")</f>
        <v>Afternoon Classes</v>
      </c>
      <c r="W435" s="11">
        <f ca="1">IFERROR(__xludf.DUMMYFUNCTION("""COMPUTED_VALUE"""),0.541666666666666)</f>
        <v>0.54166666666666596</v>
      </c>
      <c r="X435" s="8">
        <f ca="1">IFERROR(__xludf.DUMMYFUNCTION("""COMPUTED_VALUE"""),1)</f>
        <v>1</v>
      </c>
      <c r="Y435" s="12" t="str">
        <f ca="1">IFERROR(__xludf.DUMMYFUNCTION("""COMPUTED_VALUE"""),"Teen shot during fight at school parking lot")</f>
        <v>Teen shot during fight at school parking lot</v>
      </c>
      <c r="Z435" s="12" t="str">
        <f ca="1">IFERROR(__xludf.DUMMYFUNCTION("""COMPUTED_VALUE"""),"20 shots were fired during a fight between non-student teens in the school parking lot during afternoon classes. School went on lockdown. Shooter fled. Multiple cars damaged.")</f>
        <v>20 shots were fired during a fight between non-student teens in the school parking lot during afternoon classes. School went on lockdown. Shooter fled. Multiple cars damaged.</v>
      </c>
      <c r="AA435" s="8" t="str">
        <f ca="1">IFERROR(__xludf.DUMMYFUNCTION("""COMPUTED_VALUE"""),"Escalation of Dispute")</f>
        <v>Escalation of Dispute</v>
      </c>
      <c r="AB435" s="8" t="str">
        <f ca="1">IFERROR(__xludf.DUMMYFUNCTION("""COMPUTED_VALUE"""),"Spontaneous")</f>
        <v>Spontaneous</v>
      </c>
      <c r="AC435" s="8" t="str">
        <f ca="1">IFERROR(__xludf.DUMMYFUNCTION("""COMPUTED_VALUE"""),"Yes")</f>
        <v>Yes</v>
      </c>
      <c r="AD435" s="8" t="str">
        <f ca="1">IFERROR(__xludf.DUMMYFUNCTION("""COMPUTED_VALUE"""),"Victims Targeted")</f>
        <v>Victims Targeted</v>
      </c>
      <c r="AE435" s="8"/>
      <c r="AF435" s="8"/>
      <c r="AG435" s="8" t="str">
        <f ca="1">IFERROR(__xludf.DUMMYFUNCTION("""COMPUTED_VALUE"""),"No")</f>
        <v>No</v>
      </c>
      <c r="AH435" s="8" t="str">
        <f ca="1">IFERROR(__xludf.DUMMYFUNCTION("""COMPUTED_VALUE"""),"No")</f>
        <v>No</v>
      </c>
      <c r="AI435" s="8" t="str">
        <f ca="1">IFERROR(__xludf.DUMMYFUNCTION("""COMPUTED_VALUE"""),"No")</f>
        <v>No</v>
      </c>
      <c r="AJ435" s="8" t="str">
        <f ca="1">IFERROR(__xludf.DUMMYFUNCTION("""COMPUTED_VALUE"""),"No")</f>
        <v>No</v>
      </c>
      <c r="AK435" s="8" t="str">
        <f ca="1">IFERROR(__xludf.DUMMYFUNCTION("""COMPUTED_VALUE"""),"No")</f>
        <v>No</v>
      </c>
      <c r="AL435" s="8"/>
      <c r="AM435" s="8" t="str">
        <f ca="1">IFERROR(__xludf.DUMMYFUNCTION("""COMPUTED_VALUE"""),"No")</f>
        <v>No</v>
      </c>
      <c r="AN435" s="8" t="str">
        <f ca="1">IFERROR(__xludf.DUMMYFUNCTION("""COMPUTED_VALUE"""),"Outside")</f>
        <v>Outside</v>
      </c>
      <c r="AO435" s="8" t="str">
        <f ca="1">IFERROR(__xludf.DUMMYFUNCTION("""COMPUTED_VALUE"""),"No")</f>
        <v>No</v>
      </c>
      <c r="AP435" s="8"/>
      <c r="AQ435" s="8"/>
      <c r="AR435" s="8" t="str">
        <f ca="1">IFERROR(__xludf.DUMMYFUNCTION("""COMPUTED_VALUE"""),"Outside/Off-Property")</f>
        <v>Outside/Off-Property</v>
      </c>
      <c r="AS435" s="8">
        <f ca="1">IFERROR(__xludf.DUMMYFUNCTION("""COMPUTED_VALUE"""),20)</f>
        <v>20</v>
      </c>
      <c r="AT435" s="8" t="str">
        <f ca="1">IFERROR(__xludf.DUMMYFUNCTION("""COMPUTED_VALUE"""),"Yes")</f>
        <v>Yes</v>
      </c>
      <c r="AU435" s="8">
        <f ca="1">IFERROR(__xludf.DUMMYFUNCTION("""COMPUTED_VALUE"""),41.494449)</f>
        <v>41.494449000000003</v>
      </c>
      <c r="AV435" s="8">
        <f ca="1">IFERROR(__xludf.DUMMYFUNCTION("""COMPUTED_VALUE"""),-81.619207)</f>
        <v>-81.619207000000003</v>
      </c>
      <c r="AW435" s="8" t="str">
        <f ca="1">IFERROR(__xludf.DUMMYFUNCTION("""COMPUTED_VALUE"""),"Urban Street Standalone")</f>
        <v>Urban Street Standalone</v>
      </c>
      <c r="AX435" s="8">
        <f ca="1">IFERROR(__xludf.DUMMYFUNCTION("""COMPUTED_VALUE"""),44106)</f>
        <v>44106</v>
      </c>
    </row>
    <row r="436" spans="1:50" ht="195" x14ac:dyDescent="0.2">
      <c r="A436" s="8" t="str">
        <f ca="1">IFERROR(__xludf.DUMMYFUNCTION("""COMPUTED_VALUE"""),"20240320ILBUC")</f>
        <v>20240320ILBUC</v>
      </c>
      <c r="B436" s="8">
        <f ca="1">IFERROR(__xludf.DUMMYFUNCTION("""COMPUTED_VALUE"""),3)</f>
        <v>3</v>
      </c>
      <c r="C436" s="8">
        <f ca="1">IFERROR(__xludf.DUMMYFUNCTION("""COMPUTED_VALUE"""),20)</f>
        <v>20</v>
      </c>
      <c r="D436" s="8">
        <f ca="1">IFERROR(__xludf.DUMMYFUNCTION("""COMPUTED_VALUE"""),2024)</f>
        <v>2024</v>
      </c>
      <c r="E436" s="9">
        <f ca="1">IFERROR(__xludf.DUMMYFUNCTION("""COMPUTED_VALUE"""),45371)</f>
        <v>45371</v>
      </c>
      <c r="F436" s="8" t="str">
        <f ca="1">IFERROR(__xludf.DUMMYFUNCTION("""COMPUTED_VALUE"""),"Burnside Scholastic Academy")</f>
        <v>Burnside Scholastic Academy</v>
      </c>
      <c r="G436" s="8">
        <f ca="1">IFERROR(__xludf.DUMMYFUNCTION("""COMPUTED_VALUE"""),1)</f>
        <v>1</v>
      </c>
      <c r="H436" s="8">
        <f ca="1">IFERROR(__xludf.DUMMYFUNCTION("""COMPUTED_VALUE"""),0)</f>
        <v>0</v>
      </c>
      <c r="I436" s="8">
        <f ca="1">IFERROR(__xludf.DUMMYFUNCTION("""COMPUTED_VALUE"""),1)</f>
        <v>1</v>
      </c>
      <c r="J436" s="8">
        <f ca="1">IFERROR(__xludf.DUMMYFUNCTION("""COMPUTED_VALUE"""),0)</f>
        <v>0</v>
      </c>
      <c r="K436" s="10" t="str">
        <f ca="1">IFERROR(__xludf.DUMMYFUNCTION("""COMPUTED_VALUE"""),"https://www.cbsnews.com/chicago/news/13-year-boy-shot-multiple-times-south-side/
https://abc7chicago.com/chicago-shooting-burnside-east-91st-place-police/14550154/
https://www.cbsnews.com/chicago/video/14-year-old-boy-shot-killed-near-school-on-chicagos-s"&amp;"outh-side/?ftag=CNM-16-10abd6g")</f>
        <v>https://www.cbsnews.com/chicago/news/13-year-boy-shot-multiple-times-south-side/
https://abc7chicago.com/chicago-shooting-burnside-east-91st-place-police/14550154/
https://www.cbsnews.com/chicago/video/14-year-old-boy-shot-killed-near-school-on-chicagos-south-side/?ftag=CNM-16-10abd6g</v>
      </c>
      <c r="L436" s="8">
        <f ca="1">IFERROR(__xludf.DUMMYFUNCTION("""COMPUTED_VALUE"""),10)</f>
        <v>10</v>
      </c>
      <c r="M436" s="8" t="str">
        <f ca="1">IFERROR(__xludf.DUMMYFUNCTION("""COMPUTED_VALUE"""),"Regional")</f>
        <v>Regional</v>
      </c>
      <c r="N436" s="8">
        <f ca="1">IFERROR(__xludf.DUMMYFUNCTION("""COMPUTED_VALUE"""),4)</f>
        <v>4</v>
      </c>
      <c r="O436" s="8" t="str">
        <f ca="1">IFERROR(__xludf.DUMMYFUNCTION("""COMPUTED_VALUE"""),"Spring")</f>
        <v>Spring</v>
      </c>
      <c r="P436" s="8" t="str">
        <f ca="1">IFERROR(__xludf.DUMMYFUNCTION("""COMPUTED_VALUE"""),"Chicago")</f>
        <v>Chicago</v>
      </c>
      <c r="Q436" s="8" t="str">
        <f ca="1">IFERROR(__xludf.DUMMYFUNCTION("""COMPUTED_VALUE"""),"IL")</f>
        <v>IL</v>
      </c>
      <c r="R436" s="8" t="str">
        <f ca="1">IFERROR(__xludf.DUMMYFUNCTION("""COMPUTED_VALUE"""),"Elementary")</f>
        <v>Elementary</v>
      </c>
      <c r="S436" s="8" t="str">
        <f ca="1">IFERROR(__xludf.DUMMYFUNCTION("""COMPUTED_VALUE"""),"Front of School")</f>
        <v>Front of School</v>
      </c>
      <c r="T436" s="8" t="str">
        <f ca="1">IFERROR(__xludf.DUMMYFUNCTION("""COMPUTED_VALUE"""),"Off School Property")</f>
        <v>Off School Property</v>
      </c>
      <c r="U436" s="8" t="str">
        <f ca="1">IFERROR(__xludf.DUMMYFUNCTION("""COMPUTED_VALUE"""),"Yes")</f>
        <v>Yes</v>
      </c>
      <c r="V436" s="8" t="str">
        <f ca="1">IFERROR(__xludf.DUMMYFUNCTION("""COMPUTED_VALUE"""),"Lunch")</f>
        <v>Lunch</v>
      </c>
      <c r="W436" s="11">
        <f ca="1">IFERROR(__xludf.DUMMYFUNCTION("""COMPUTED_VALUE"""),0.5)</f>
        <v>0.5</v>
      </c>
      <c r="X436" s="8">
        <f ca="1">IFERROR(__xludf.DUMMYFUNCTION("""COMPUTED_VALUE"""),1)</f>
        <v>1</v>
      </c>
      <c r="Y436" s="12" t="str">
        <f ca="1">IFERROR(__xludf.DUMMYFUNCTION("""COMPUTED_VALUE"""),"Teen fatally shot in front of school during lunch")</f>
        <v>Teen fatally shot in front of school during lunch</v>
      </c>
      <c r="Z436" s="12" t="str">
        <f ca="1">IFERROR(__xludf.DUMMYFUNCTION("""COMPUTED_VALUE"""),"A 14-year-old boy was shot multiple times and killed on Chicago's South Side around midday on Wednesday. The boy was standing outside in the 700 block of East 91st Place near Burnside Scholastic Academy just before noon when a passenger in an unknown whit"&amp;"e car began firing shots in his direction, Chicago police said. The car circled the block, and the offender began firing in the victim's direction again. The boy was found in the 9100 block of South Dauphin, a few blocks away, with two gunshot wounds to h"&amp;"is back and one gunshot wound to his upper chest. The boy was taken to Comer Children's Hospital. It's unclear if the boy was a student at Burnside Scholastic Academy.")</f>
        <v>A 14-year-old boy was shot multiple times and killed on Chicago's South Side around midday on Wednesday. The boy was standing outside in the 700 block of East 91st Place near Burnside Scholastic Academy just before noon when a passenger in an unknown white car began firing shots in his direction, Chicago police said. The car circled the block, and the offender began firing in the victim's direction again. The boy was found in the 9100 block of South Dauphin, a few blocks away, with two gunshot wounds to his back and one gunshot wound to his upper chest. The boy was taken to Comer Children's Hospital. It's unclear if the boy was a student at Burnside Scholastic Academy.</v>
      </c>
      <c r="AA436" s="8" t="str">
        <f ca="1">IFERROR(__xludf.DUMMYFUNCTION("""COMPUTED_VALUE"""),"Drive-by Shooting")</f>
        <v>Drive-by Shooting</v>
      </c>
      <c r="AB436" s="8" t="str">
        <f ca="1">IFERROR(__xludf.DUMMYFUNCTION("""COMPUTED_VALUE"""),"Targeted")</f>
        <v>Targeted</v>
      </c>
      <c r="AC436" s="8" t="str">
        <f ca="1">IFERROR(__xludf.DUMMYFUNCTION("""COMPUTED_VALUE"""),"Yes")</f>
        <v>Yes</v>
      </c>
      <c r="AD436" s="8" t="str">
        <f ca="1">IFERROR(__xludf.DUMMYFUNCTION("""COMPUTED_VALUE"""),"Victims Targeted")</f>
        <v>Victims Targeted</v>
      </c>
      <c r="AE436" s="8"/>
      <c r="AF436" s="8"/>
      <c r="AG436" s="8" t="str">
        <f ca="1">IFERROR(__xludf.DUMMYFUNCTION("""COMPUTED_VALUE"""),"No")</f>
        <v>No</v>
      </c>
      <c r="AH436" s="8" t="str">
        <f ca="1">IFERROR(__xludf.DUMMYFUNCTION("""COMPUTED_VALUE"""),"No")</f>
        <v>No</v>
      </c>
      <c r="AI436" s="8" t="str">
        <f ca="1">IFERROR(__xludf.DUMMYFUNCTION("""COMPUTED_VALUE"""),"No")</f>
        <v>No</v>
      </c>
      <c r="AJ436" s="8" t="str">
        <f ca="1">IFERROR(__xludf.DUMMYFUNCTION("""COMPUTED_VALUE"""),"No")</f>
        <v>No</v>
      </c>
      <c r="AK436" s="8" t="str">
        <f ca="1">IFERROR(__xludf.DUMMYFUNCTION("""COMPUTED_VALUE"""),"No")</f>
        <v>No</v>
      </c>
      <c r="AL436" s="8"/>
      <c r="AM436" s="8" t="str">
        <f ca="1">IFERROR(__xludf.DUMMYFUNCTION("""COMPUTED_VALUE"""),"No")</f>
        <v>No</v>
      </c>
      <c r="AN436" s="8" t="str">
        <f ca="1">IFERROR(__xludf.DUMMYFUNCTION("""COMPUTED_VALUE"""),"Outside")</f>
        <v>Outside</v>
      </c>
      <c r="AO436" s="8" t="str">
        <f ca="1">IFERROR(__xludf.DUMMYFUNCTION("""COMPUTED_VALUE"""),"No")</f>
        <v>No</v>
      </c>
      <c r="AP436" s="8"/>
      <c r="AQ436" s="8"/>
      <c r="AR436" s="8" t="str">
        <f ca="1">IFERROR(__xludf.DUMMYFUNCTION("""COMPUTED_VALUE"""),"Outside/Off-Property")</f>
        <v>Outside/Off-Property</v>
      </c>
      <c r="AS436" s="8">
        <f ca="1">IFERROR(__xludf.DUMMYFUNCTION("""COMPUTED_VALUE"""),99)</f>
        <v>99</v>
      </c>
      <c r="AT436" s="8"/>
      <c r="AU436" s="8">
        <f ca="1">IFERROR(__xludf.DUMMYFUNCTION("""COMPUTED_VALUE"""),41.728435)</f>
        <v>41.728434999999998</v>
      </c>
      <c r="AV436" s="8">
        <f ca="1">IFERROR(__xludf.DUMMYFUNCTION("""COMPUTED_VALUE"""),-87.607115)</f>
        <v>-87.607114999999993</v>
      </c>
      <c r="AW436" s="8" t="str">
        <f ca="1">IFERROR(__xludf.DUMMYFUNCTION("""COMPUTED_VALUE"""),"Urban Street Standalone")</f>
        <v>Urban Street Standalone</v>
      </c>
      <c r="AX436" s="8">
        <f ca="1">IFERROR(__xludf.DUMMYFUNCTION("""COMPUTED_VALUE"""),60619)</f>
        <v>60619</v>
      </c>
    </row>
    <row r="437" spans="1:50" ht="45" x14ac:dyDescent="0.2">
      <c r="A437" s="8" t="str">
        <f ca="1">IFERROR(__xludf.DUMMYFUNCTION("""COMPUTED_VALUE"""),"20240319DETHW")</f>
        <v>20240319DETHW</v>
      </c>
      <c r="B437" s="8">
        <f ca="1">IFERROR(__xludf.DUMMYFUNCTION("""COMPUTED_VALUE"""),3)</f>
        <v>3</v>
      </c>
      <c r="C437" s="8">
        <f ca="1">IFERROR(__xludf.DUMMYFUNCTION("""COMPUTED_VALUE"""),19)</f>
        <v>19</v>
      </c>
      <c r="D437" s="8">
        <f ca="1">IFERROR(__xludf.DUMMYFUNCTION("""COMPUTED_VALUE"""),2024)</f>
        <v>2024</v>
      </c>
      <c r="E437" s="9">
        <f ca="1">IFERROR(__xludf.DUMMYFUNCTION("""COMPUTED_VALUE"""),45370)</f>
        <v>45370</v>
      </c>
      <c r="F437" s="8" t="str">
        <f ca="1">IFERROR(__xludf.DUMMYFUNCTION("""COMPUTED_VALUE"""),"Thomas Edison Charter School")</f>
        <v>Thomas Edison Charter School</v>
      </c>
      <c r="G437" s="8">
        <f ca="1">IFERROR(__xludf.DUMMYFUNCTION("""COMPUTED_VALUE"""),0)</f>
        <v>0</v>
      </c>
      <c r="H437" s="8">
        <f ca="1">IFERROR(__xludf.DUMMYFUNCTION("""COMPUTED_VALUE"""),1)</f>
        <v>1</v>
      </c>
      <c r="I437" s="8">
        <f ca="1">IFERROR(__xludf.DUMMYFUNCTION("""COMPUTED_VALUE"""),1)</f>
        <v>1</v>
      </c>
      <c r="J437" s="8">
        <f ca="1">IFERROR(__xludf.DUMMYFUNCTION("""COMPUTED_VALUE"""),0)</f>
        <v>0</v>
      </c>
      <c r="K437" s="8" t="str">
        <f ca="1">IFERROR(__xludf.DUMMYFUNCTION("""COMPUTED_VALUE"""),"https://6abc.com/videoClip/14550716/
https://6abc.com/teenager-shot-shooting-thomas-edison-charter-school-delaware-crime/14546239/
https://firststateupdate.com/2024/03/one-shot-near-school-tuesday-principals-window-struck/")</f>
        <v>https://6abc.com/videoClip/14550716/
https://6abc.com/teenager-shot-shooting-thomas-edison-charter-school-delaware-crime/14546239/
https://firststateupdate.com/2024/03/one-shot-near-school-tuesday-principals-window-struck/</v>
      </c>
      <c r="L437" s="8">
        <f ca="1">IFERROR(__xludf.DUMMYFUNCTION("""COMPUTED_VALUE"""),5)</f>
        <v>5</v>
      </c>
      <c r="M437" s="8" t="str">
        <f ca="1">IFERROR(__xludf.DUMMYFUNCTION("""COMPUTED_VALUE"""),"Local")</f>
        <v>Local</v>
      </c>
      <c r="N437" s="8">
        <f ca="1">IFERROR(__xludf.DUMMYFUNCTION("""COMPUTED_VALUE"""),4)</f>
        <v>4</v>
      </c>
      <c r="O437" s="8" t="str">
        <f ca="1">IFERROR(__xludf.DUMMYFUNCTION("""COMPUTED_VALUE"""),"Spring")</f>
        <v>Spring</v>
      </c>
      <c r="P437" s="8" t="str">
        <f ca="1">IFERROR(__xludf.DUMMYFUNCTION("""COMPUTED_VALUE"""),"Wilmington")</f>
        <v>Wilmington</v>
      </c>
      <c r="Q437" s="8" t="str">
        <f ca="1">IFERROR(__xludf.DUMMYFUNCTION("""COMPUTED_VALUE"""),"DE")</f>
        <v>DE</v>
      </c>
      <c r="R437" s="8" t="str">
        <f ca="1">IFERROR(__xludf.DUMMYFUNCTION("""COMPUTED_VALUE"""),"High")</f>
        <v>High</v>
      </c>
      <c r="S437" s="8" t="str">
        <f ca="1">IFERROR(__xludf.DUMMYFUNCTION("""COMPUTED_VALUE"""),"Office")</f>
        <v>Office</v>
      </c>
      <c r="T437" s="8" t="str">
        <f ca="1">IFERROR(__xludf.DUMMYFUNCTION("""COMPUTED_VALUE"""),"Off School Property")</f>
        <v>Off School Property</v>
      </c>
      <c r="U437" s="8" t="str">
        <f ca="1">IFERROR(__xludf.DUMMYFUNCTION("""COMPUTED_VALUE"""),"Yes")</f>
        <v>Yes</v>
      </c>
      <c r="V437" s="8" t="str">
        <f ca="1">IFERROR(__xludf.DUMMYFUNCTION("""COMPUTED_VALUE"""),"Lunch")</f>
        <v>Lunch</v>
      </c>
      <c r="W437" s="11">
        <f ca="1">IFERROR(__xludf.DUMMYFUNCTION("""COMPUTED_VALUE"""),0.5)</f>
        <v>0.5</v>
      </c>
      <c r="X437" s="8">
        <f ca="1">IFERROR(__xludf.DUMMYFUNCTION("""COMPUTED_VALUE"""),1)</f>
        <v>1</v>
      </c>
      <c r="Y437" s="12" t="str">
        <f ca="1">IFERROR(__xludf.DUMMYFUNCTION("""COMPUTED_VALUE"""),"Teen shot and bullet hit window of principal's office")</f>
        <v>Teen shot and bullet hit window of principal's office</v>
      </c>
      <c r="Z437" s="12" t="str">
        <f ca="1">IFERROR(__xludf.DUMMYFUNCTION("""COMPUTED_VALUE"""),"Teen was shot a block away from the school during lunch. A bullet fired hit the window of the principal's office at the school.")</f>
        <v>Teen was shot a block away from the school during lunch. A bullet fired hit the window of the principal's office at the school.</v>
      </c>
      <c r="AA437" s="8"/>
      <c r="AB437" s="8" t="str">
        <f ca="1">IFERROR(__xludf.DUMMYFUNCTION("""COMPUTED_VALUE"""),"Spontaneous")</f>
        <v>Spontaneous</v>
      </c>
      <c r="AC437" s="8" t="str">
        <f ca="1">IFERROR(__xludf.DUMMYFUNCTION("""COMPUTED_VALUE"""),"Yes")</f>
        <v>Yes</v>
      </c>
      <c r="AD437" s="8" t="str">
        <f ca="1">IFERROR(__xludf.DUMMYFUNCTION("""COMPUTED_VALUE"""),"Victims Targeted")</f>
        <v>Victims Targeted</v>
      </c>
      <c r="AE437" s="8" t="str">
        <f ca="1">IFERROR(__xludf.DUMMYFUNCTION("""COMPUTED_VALUE"""),"No")</f>
        <v>No</v>
      </c>
      <c r="AF437" s="8"/>
      <c r="AG437" s="8" t="str">
        <f ca="1">IFERROR(__xludf.DUMMYFUNCTION("""COMPUTED_VALUE"""),"No")</f>
        <v>No</v>
      </c>
      <c r="AH437" s="8" t="str">
        <f ca="1">IFERROR(__xludf.DUMMYFUNCTION("""COMPUTED_VALUE"""),"No")</f>
        <v>No</v>
      </c>
      <c r="AI437" s="8" t="str">
        <f ca="1">IFERROR(__xludf.DUMMYFUNCTION("""COMPUTED_VALUE"""),"No")</f>
        <v>No</v>
      </c>
      <c r="AJ437" s="8" t="str">
        <f ca="1">IFERROR(__xludf.DUMMYFUNCTION("""COMPUTED_VALUE"""),"No")</f>
        <v>No</v>
      </c>
      <c r="AK437" s="8" t="str">
        <f ca="1">IFERROR(__xludf.DUMMYFUNCTION("""COMPUTED_VALUE"""),"No")</f>
        <v>No</v>
      </c>
      <c r="AL437" s="8" t="str">
        <f ca="1">IFERROR(__xludf.DUMMYFUNCTION("""COMPUTED_VALUE"""),"No")</f>
        <v>No</v>
      </c>
      <c r="AM437" s="8" t="str">
        <f ca="1">IFERROR(__xludf.DUMMYFUNCTION("""COMPUTED_VALUE"""),"No")</f>
        <v>No</v>
      </c>
      <c r="AN437" s="8" t="str">
        <f ca="1">IFERROR(__xludf.DUMMYFUNCTION("""COMPUTED_VALUE"""),"Outside")</f>
        <v>Outside</v>
      </c>
      <c r="AO437" s="8" t="str">
        <f ca="1">IFERROR(__xludf.DUMMYFUNCTION("""COMPUTED_VALUE"""),"No")</f>
        <v>No</v>
      </c>
      <c r="AP437" s="8"/>
      <c r="AQ437" s="8"/>
      <c r="AR437" s="8" t="str">
        <f ca="1">IFERROR(__xludf.DUMMYFUNCTION("""COMPUTED_VALUE"""),"Outside/Off-Property")</f>
        <v>Outside/Off-Property</v>
      </c>
      <c r="AS437" s="8">
        <f ca="1">IFERROR(__xludf.DUMMYFUNCTION("""COMPUTED_VALUE"""),99)</f>
        <v>99</v>
      </c>
      <c r="AT437" s="8" t="str">
        <f ca="1">IFERROR(__xludf.DUMMYFUNCTION("""COMPUTED_VALUE"""),"Yes")</f>
        <v>Yes</v>
      </c>
      <c r="AU437" s="8">
        <f ca="1">IFERROR(__xludf.DUMMYFUNCTION("""COMPUTED_VALUE"""),39.748703)</f>
        <v>39.748702999999999</v>
      </c>
      <c r="AV437" s="8">
        <f ca="1">IFERROR(__xludf.DUMMYFUNCTION("""COMPUTED_VALUE"""),-75.53273)</f>
        <v>-75.532730000000001</v>
      </c>
      <c r="AW437" s="8" t="str">
        <f ca="1">IFERROR(__xludf.DUMMYFUNCTION("""COMPUTED_VALUE"""),"Single building indoor hallway")</f>
        <v>Single building indoor hallway</v>
      </c>
      <c r="AX437" s="8">
        <f ca="1">IFERROR(__xludf.DUMMYFUNCTION("""COMPUTED_VALUE"""),19802)</f>
        <v>19802</v>
      </c>
    </row>
    <row r="438" spans="1:50" ht="90" x14ac:dyDescent="0.2">
      <c r="A438" s="8" t="str">
        <f ca="1">IFERROR(__xludf.DUMMYFUNCTION("""COMPUTED_VALUE"""),"20240316TNKEC")</f>
        <v>20240316TNKEC</v>
      </c>
      <c r="B438" s="8">
        <f ca="1">IFERROR(__xludf.DUMMYFUNCTION("""COMPUTED_VALUE"""),3)</f>
        <v>3</v>
      </c>
      <c r="C438" s="8">
        <f ca="1">IFERROR(__xludf.DUMMYFUNCTION("""COMPUTED_VALUE"""),16)</f>
        <v>16</v>
      </c>
      <c r="D438" s="8">
        <f ca="1">IFERROR(__xludf.DUMMYFUNCTION("""COMPUTED_VALUE"""),2024)</f>
        <v>2024</v>
      </c>
      <c r="E438" s="9">
        <f ca="1">IFERROR(__xludf.DUMMYFUNCTION("""COMPUTED_VALUE"""),45367)</f>
        <v>45367</v>
      </c>
      <c r="F438" s="8" t="str">
        <f ca="1">IFERROR(__xludf.DUMMYFUNCTION("""COMPUTED_VALUE"""),"Kenwood Elementary School")</f>
        <v>Kenwood Elementary School</v>
      </c>
      <c r="G438" s="8">
        <f ca="1">IFERROR(__xludf.DUMMYFUNCTION("""COMPUTED_VALUE"""),0)</f>
        <v>0</v>
      </c>
      <c r="H438" s="8">
        <f ca="1">IFERROR(__xludf.DUMMYFUNCTION("""COMPUTED_VALUE"""),1)</f>
        <v>1</v>
      </c>
      <c r="I438" s="8">
        <f ca="1">IFERROR(__xludf.DUMMYFUNCTION("""COMPUTED_VALUE"""),1)</f>
        <v>1</v>
      </c>
      <c r="J438" s="8">
        <f ca="1">IFERROR(__xludf.DUMMYFUNCTION("""COMPUTED_VALUE"""),0)</f>
        <v>0</v>
      </c>
      <c r="K438" s="10" t="str">
        <f ca="1">IFERROR(__xludf.DUMMYFUNCTION("""COMPUTED_VALUE"""),"https://clarksvillenow.com/local/woman-shot-at-basketball-courts-in-heritage-park-in-clarksville/")</f>
        <v>https://clarksvillenow.com/local/woman-shot-at-basketball-courts-in-heritage-park-in-clarksville/</v>
      </c>
      <c r="L438" s="8">
        <f ca="1">IFERROR(__xludf.DUMMYFUNCTION("""COMPUTED_VALUE"""),1)</f>
        <v>1</v>
      </c>
      <c r="M438" s="8" t="str">
        <f ca="1">IFERROR(__xludf.DUMMYFUNCTION("""COMPUTED_VALUE"""),"Local")</f>
        <v>Local</v>
      </c>
      <c r="N438" s="8">
        <f ca="1">IFERROR(__xludf.DUMMYFUNCTION("""COMPUTED_VALUE"""),3)</f>
        <v>3</v>
      </c>
      <c r="O438" s="8" t="str">
        <f ca="1">IFERROR(__xludf.DUMMYFUNCTION("""COMPUTED_VALUE"""),"Spring")</f>
        <v>Spring</v>
      </c>
      <c r="P438" s="8" t="str">
        <f ca="1">IFERROR(__xludf.DUMMYFUNCTION("""COMPUTED_VALUE"""),"Clarksville")</f>
        <v>Clarksville</v>
      </c>
      <c r="Q438" s="8" t="str">
        <f ca="1">IFERROR(__xludf.DUMMYFUNCTION("""COMPUTED_VALUE"""),"TN")</f>
        <v>TN</v>
      </c>
      <c r="R438" s="8" t="str">
        <f ca="1">IFERROR(__xludf.DUMMYFUNCTION("""COMPUTED_VALUE"""),"Elementary")</f>
        <v>Elementary</v>
      </c>
      <c r="S438" s="8" t="str">
        <f ca="1">IFERROR(__xludf.DUMMYFUNCTION("""COMPUTED_VALUE"""),"Basketball Court")</f>
        <v>Basketball Court</v>
      </c>
      <c r="T438" s="8" t="str">
        <f ca="1">IFERROR(__xludf.DUMMYFUNCTION("""COMPUTED_VALUE"""),"Outside on School Property")</f>
        <v>Outside on School Property</v>
      </c>
      <c r="U438" s="8" t="str">
        <f ca="1">IFERROR(__xludf.DUMMYFUNCTION("""COMPUTED_VALUE"""),"No")</f>
        <v>No</v>
      </c>
      <c r="V438" s="8" t="str">
        <f ca="1">IFERROR(__xludf.DUMMYFUNCTION("""COMPUTED_VALUE"""),"Evening")</f>
        <v>Evening</v>
      </c>
      <c r="W438" s="11">
        <f ca="1">IFERROR(__xludf.DUMMYFUNCTION("""COMPUTED_VALUE"""),0.784722222222222)</f>
        <v>0.78472222222222199</v>
      </c>
      <c r="X438" s="8">
        <f ca="1">IFERROR(__xludf.DUMMYFUNCTION("""COMPUTED_VALUE"""),1)</f>
        <v>1</v>
      </c>
      <c r="Y438" s="12" t="str">
        <f ca="1">IFERROR(__xludf.DUMMYFUNCTION("""COMPUTED_VALUE"""),"Woman shot during fight in school on the school basketball court")</f>
        <v>Woman shot during fight in school on the school basketball court</v>
      </c>
      <c r="Z438" s="12" t="str">
        <f ca="1">IFERROR(__xludf.DUMMYFUNCTION("""COMPUTED_VALUE"""),"Clarksville Police said this was a car club meet-up in the parking lot behind Kenwood Elementary School and the basketball court adjacent to that location. “At some point during the meet-up, unknown individuals who were at the basketball courts started ra"&amp;"ndomly shooting and a female was hit in the leg,” police said.")</f>
        <v>Clarksville Police said this was a car club meet-up in the parking lot behind Kenwood Elementary School and the basketball court adjacent to that location. “At some point during the meet-up, unknown individuals who were at the basketball courts started randomly shooting and a female was hit in the leg,” police said.</v>
      </c>
      <c r="AA438" s="8"/>
      <c r="AB438" s="8" t="str">
        <f ca="1">IFERROR(__xludf.DUMMYFUNCTION("""COMPUTED_VALUE"""),"Spontaneous")</f>
        <v>Spontaneous</v>
      </c>
      <c r="AC438" s="8" t="str">
        <f ca="1">IFERROR(__xludf.DUMMYFUNCTION("""COMPUTED_VALUE"""),"No")</f>
        <v>No</v>
      </c>
      <c r="AD438" s="8" t="str">
        <f ca="1">IFERROR(__xludf.DUMMYFUNCTION("""COMPUTED_VALUE"""),"Both")</f>
        <v>Both</v>
      </c>
      <c r="AE438" s="8" t="str">
        <f ca="1">IFERROR(__xludf.DUMMYFUNCTION("""COMPUTED_VALUE"""),"No")</f>
        <v>No</v>
      </c>
      <c r="AF438" s="8"/>
      <c r="AG438" s="8" t="str">
        <f ca="1">IFERROR(__xludf.DUMMYFUNCTION("""COMPUTED_VALUE"""),"No")</f>
        <v>No</v>
      </c>
      <c r="AH438" s="8" t="str">
        <f ca="1">IFERROR(__xludf.DUMMYFUNCTION("""COMPUTED_VALUE"""),"No")</f>
        <v>No</v>
      </c>
      <c r="AI438" s="8" t="str">
        <f ca="1">IFERROR(__xludf.DUMMYFUNCTION("""COMPUTED_VALUE"""),"No")</f>
        <v>No</v>
      </c>
      <c r="AJ438" s="8" t="str">
        <f ca="1">IFERROR(__xludf.DUMMYFUNCTION("""COMPUTED_VALUE"""),"No")</f>
        <v>No</v>
      </c>
      <c r="AK438" s="8" t="str">
        <f ca="1">IFERROR(__xludf.DUMMYFUNCTION("""COMPUTED_VALUE"""),"No")</f>
        <v>No</v>
      </c>
      <c r="AL438" s="8" t="str">
        <f ca="1">IFERROR(__xludf.DUMMYFUNCTION("""COMPUTED_VALUE"""),"No")</f>
        <v>No</v>
      </c>
      <c r="AM438" s="8" t="str">
        <f ca="1">IFERROR(__xludf.DUMMYFUNCTION("""COMPUTED_VALUE"""),"No")</f>
        <v>No</v>
      </c>
      <c r="AN438" s="8" t="str">
        <f ca="1">IFERROR(__xludf.DUMMYFUNCTION("""COMPUTED_VALUE"""),"Outside")</f>
        <v>Outside</v>
      </c>
      <c r="AO438" s="8" t="str">
        <f ca="1">IFERROR(__xludf.DUMMYFUNCTION("""COMPUTED_VALUE"""),"No")</f>
        <v>No</v>
      </c>
      <c r="AP438" s="8"/>
      <c r="AQ438" s="8"/>
      <c r="AR438" s="8" t="str">
        <f ca="1">IFERROR(__xludf.DUMMYFUNCTION("""COMPUTED_VALUE"""),"Outside/Off-Property")</f>
        <v>Outside/Off-Property</v>
      </c>
      <c r="AS438" s="8">
        <f ca="1">IFERROR(__xludf.DUMMYFUNCTION("""COMPUTED_VALUE"""),99)</f>
        <v>99</v>
      </c>
      <c r="AT438" s="8" t="str">
        <f ca="1">IFERROR(__xludf.DUMMYFUNCTION("""COMPUTED_VALUE"""),"No")</f>
        <v>No</v>
      </c>
      <c r="AU438" s="8">
        <f ca="1">IFERROR(__xludf.DUMMYFUNCTION("""COMPUTED_VALUE"""),36.579726)</f>
        <v>36.579726000000001</v>
      </c>
      <c r="AV438" s="8">
        <f ca="1">IFERROR(__xludf.DUMMYFUNCTION("""COMPUTED_VALUE"""),-87.388403)</f>
        <v>-87.388402999999997</v>
      </c>
      <c r="AW438" s="8" t="str">
        <f ca="1">IFERROR(__xludf.DUMMYFUNCTION("""COMPUTED_VALUE"""),"Multiple detached buildings")</f>
        <v>Multiple detached buildings</v>
      </c>
      <c r="AX438" s="8">
        <f ca="1">IFERROR(__xludf.DUMMYFUNCTION("""COMPUTED_VALUE"""),37042)</f>
        <v>37042</v>
      </c>
    </row>
    <row r="439" spans="1:50" ht="75" x14ac:dyDescent="0.2">
      <c r="A439" s="8" t="str">
        <f ca="1">IFERROR(__xludf.DUMMYFUNCTION("""COMPUTED_VALUE"""),"20240314OHLOD")</f>
        <v>20240314OHLOD</v>
      </c>
      <c r="B439" s="8">
        <f ca="1">IFERROR(__xludf.DUMMYFUNCTION("""COMPUTED_VALUE"""),3)</f>
        <v>3</v>
      </c>
      <c r="C439" s="8">
        <f ca="1">IFERROR(__xludf.DUMMYFUNCTION("""COMPUTED_VALUE"""),14)</f>
        <v>14</v>
      </c>
      <c r="D439" s="8">
        <f ca="1">IFERROR(__xludf.DUMMYFUNCTION("""COMPUTED_VALUE"""),2024)</f>
        <v>2024</v>
      </c>
      <c r="E439" s="9">
        <f ca="1">IFERROR(__xludf.DUMMYFUNCTION("""COMPUTED_VALUE"""),45365)</f>
        <v>45365</v>
      </c>
      <c r="F439" s="8" t="str">
        <f ca="1">IFERROR(__xludf.DUMMYFUNCTION("""COMPUTED_VALUE"""),"Louise Troy Elementary School")</f>
        <v>Louise Troy Elementary School</v>
      </c>
      <c r="G439" s="8">
        <f ca="1">IFERROR(__xludf.DUMMYFUNCTION("""COMPUTED_VALUE"""),2)</f>
        <v>2</v>
      </c>
      <c r="H439" s="8">
        <f ca="1">IFERROR(__xludf.DUMMYFUNCTION("""COMPUTED_VALUE"""),0)</f>
        <v>0</v>
      </c>
      <c r="I439" s="8">
        <f ca="1">IFERROR(__xludf.DUMMYFUNCTION("""COMPUTED_VALUE"""),2)</f>
        <v>2</v>
      </c>
      <c r="J439" s="8">
        <f ca="1">IFERROR(__xludf.DUMMYFUNCTION("""COMPUTED_VALUE"""),0)</f>
        <v>0</v>
      </c>
      <c r="K439" s="8" t="str">
        <f ca="1">IFERROR(__xludf.DUMMYFUNCTION("""COMPUTED_VALUE"""),"https://www.wdtn.com/news/local-news/shooting-reported-in-dayton-thursday-night/
https://www.daytondailynews.com/local/2-teens-dead-following-shooting-near-dayton-school/MC22GKUGK5G7JFS4XC7RQKBFK4/")</f>
        <v>https://www.wdtn.com/news/local-news/shooting-reported-in-dayton-thursday-night/
https://www.daytondailynews.com/local/2-teens-dead-following-shooting-near-dayton-school/MC22GKUGK5G7JFS4XC7RQKBFK4/</v>
      </c>
      <c r="L439" s="8">
        <f ca="1">IFERROR(__xludf.DUMMYFUNCTION("""COMPUTED_VALUE"""),3)</f>
        <v>3</v>
      </c>
      <c r="M439" s="8" t="str">
        <f ca="1">IFERROR(__xludf.DUMMYFUNCTION("""COMPUTED_VALUE"""),"Local")</f>
        <v>Local</v>
      </c>
      <c r="N439" s="8">
        <f ca="1">IFERROR(__xludf.DUMMYFUNCTION("""COMPUTED_VALUE"""),3)</f>
        <v>3</v>
      </c>
      <c r="O439" s="8" t="str">
        <f ca="1">IFERROR(__xludf.DUMMYFUNCTION("""COMPUTED_VALUE"""),"Spring")</f>
        <v>Spring</v>
      </c>
      <c r="P439" s="8" t="str">
        <f ca="1">IFERROR(__xludf.DUMMYFUNCTION("""COMPUTED_VALUE"""),"Dayton")</f>
        <v>Dayton</v>
      </c>
      <c r="Q439" s="8" t="str">
        <f ca="1">IFERROR(__xludf.DUMMYFUNCTION("""COMPUTED_VALUE"""),"OH")</f>
        <v>OH</v>
      </c>
      <c r="R439" s="8" t="str">
        <f ca="1">IFERROR(__xludf.DUMMYFUNCTION("""COMPUTED_VALUE"""),"Elementary")</f>
        <v>Elementary</v>
      </c>
      <c r="S439" s="8" t="str">
        <f ca="1">IFERROR(__xludf.DUMMYFUNCTION("""COMPUTED_VALUE"""),"Field (General)")</f>
        <v>Field (General)</v>
      </c>
      <c r="T439" s="8" t="str">
        <f ca="1">IFERROR(__xludf.DUMMYFUNCTION("""COMPUTED_VALUE"""),"Outside on School Property")</f>
        <v>Outside on School Property</v>
      </c>
      <c r="U439" s="8" t="str">
        <f ca="1">IFERROR(__xludf.DUMMYFUNCTION("""COMPUTED_VALUE"""),"No")</f>
        <v>No</v>
      </c>
      <c r="V439" s="8" t="str">
        <f ca="1">IFERROR(__xludf.DUMMYFUNCTION("""COMPUTED_VALUE"""),"Evening")</f>
        <v>Evening</v>
      </c>
      <c r="W439" s="11">
        <f ca="1">IFERROR(__xludf.DUMMYFUNCTION("""COMPUTED_VALUE"""),0.826388888888888)</f>
        <v>0.82638888888888795</v>
      </c>
      <c r="X439" s="8">
        <f ca="1">IFERROR(__xludf.DUMMYFUNCTION("""COMPUTED_VALUE"""),1)</f>
        <v>1</v>
      </c>
      <c r="Y439" s="12" t="str">
        <f ca="1">IFERROR(__xludf.DUMMYFUNCTION("""COMPUTED_VALUE"""),"Two teens fatally shot during fight between group of teens on the school's field")</f>
        <v>Two teens fatally shot during fight between group of teens on the school's field</v>
      </c>
      <c r="Z439" s="12" t="str">
        <f ca="1">IFERROR(__xludf.DUMMYFUNCTION("""COMPUTED_VALUE"""),"Two teens fatally shot during fight between group of teens on the school's field. Shooter fled before police arrived.")</f>
        <v>Two teens fatally shot during fight between group of teens on the school's field. Shooter fled before police arrived.</v>
      </c>
      <c r="AA439" s="8" t="str">
        <f ca="1">IFERROR(__xludf.DUMMYFUNCTION("""COMPUTED_VALUE"""),"Escalation of Dispute")</f>
        <v>Escalation of Dispute</v>
      </c>
      <c r="AB439" s="8" t="str">
        <f ca="1">IFERROR(__xludf.DUMMYFUNCTION("""COMPUTED_VALUE"""),"Spontaneous")</f>
        <v>Spontaneous</v>
      </c>
      <c r="AC439" s="8" t="str">
        <f ca="1">IFERROR(__xludf.DUMMYFUNCTION("""COMPUTED_VALUE"""),"No")</f>
        <v>No</v>
      </c>
      <c r="AD439" s="8" t="str">
        <f ca="1">IFERROR(__xludf.DUMMYFUNCTION("""COMPUTED_VALUE"""),"Victims Targeted")</f>
        <v>Victims Targeted</v>
      </c>
      <c r="AE439" s="8" t="str">
        <f ca="1">IFERROR(__xludf.DUMMYFUNCTION("""COMPUTED_VALUE"""),"Yes")</f>
        <v>Yes</v>
      </c>
      <c r="AF439" s="8"/>
      <c r="AG439" s="8" t="str">
        <f ca="1">IFERROR(__xludf.DUMMYFUNCTION("""COMPUTED_VALUE"""),"No")</f>
        <v>No</v>
      </c>
      <c r="AH439" s="8" t="str">
        <f ca="1">IFERROR(__xludf.DUMMYFUNCTION("""COMPUTED_VALUE"""),"No")</f>
        <v>No</v>
      </c>
      <c r="AI439" s="8" t="str">
        <f ca="1">IFERROR(__xludf.DUMMYFUNCTION("""COMPUTED_VALUE"""),"No")</f>
        <v>No</v>
      </c>
      <c r="AJ439" s="8" t="str">
        <f ca="1">IFERROR(__xludf.DUMMYFUNCTION("""COMPUTED_VALUE"""),"No")</f>
        <v>No</v>
      </c>
      <c r="AK439" s="8" t="str">
        <f ca="1">IFERROR(__xludf.DUMMYFUNCTION("""COMPUTED_VALUE"""),"No")</f>
        <v>No</v>
      </c>
      <c r="AL439" s="8"/>
      <c r="AM439" s="8" t="str">
        <f ca="1">IFERROR(__xludf.DUMMYFUNCTION("""COMPUTED_VALUE"""),"No")</f>
        <v>No</v>
      </c>
      <c r="AN439" s="8" t="str">
        <f ca="1">IFERROR(__xludf.DUMMYFUNCTION("""COMPUTED_VALUE"""),"Outside")</f>
        <v>Outside</v>
      </c>
      <c r="AO439" s="8" t="str">
        <f ca="1">IFERROR(__xludf.DUMMYFUNCTION("""COMPUTED_VALUE"""),"No")</f>
        <v>No</v>
      </c>
      <c r="AP439" s="8"/>
      <c r="AQ439" s="8"/>
      <c r="AR439" s="8" t="str">
        <f ca="1">IFERROR(__xludf.DUMMYFUNCTION("""COMPUTED_VALUE"""),"Outside/Off-Property")</f>
        <v>Outside/Off-Property</v>
      </c>
      <c r="AS439" s="8">
        <f ca="1">IFERROR(__xludf.DUMMYFUNCTION("""COMPUTED_VALUE"""),99)</f>
        <v>99</v>
      </c>
      <c r="AT439" s="8" t="str">
        <f ca="1">IFERROR(__xludf.DUMMYFUNCTION("""COMPUTED_VALUE"""),"No")</f>
        <v>No</v>
      </c>
      <c r="AU439" s="8">
        <f ca="1">IFERROR(__xludf.DUMMYFUNCTION("""COMPUTED_VALUE"""),39.737324)</f>
        <v>39.737324000000001</v>
      </c>
      <c r="AV439" s="8">
        <f ca="1">IFERROR(__xludf.DUMMYFUNCTION("""COMPUTED_VALUE"""),-84.224694)</f>
        <v>-84.224694</v>
      </c>
      <c r="AW439" s="8" t="str">
        <f ca="1">IFERROR(__xludf.DUMMYFUNCTION("""COMPUTED_VALUE"""),"Single building indoor hallway")</f>
        <v>Single building indoor hallway</v>
      </c>
      <c r="AX439" s="8">
        <f ca="1">IFERROR(__xludf.DUMMYFUNCTION("""COMPUTED_VALUE"""),45417)</f>
        <v>45417</v>
      </c>
    </row>
    <row r="440" spans="1:50" ht="60" x14ac:dyDescent="0.2">
      <c r="A440" s="8" t="str">
        <f ca="1">IFERROR(__xludf.DUMMYFUNCTION("""COMPUTED_VALUE"""),"20240313MDFOG")</f>
        <v>20240313MDFOG</v>
      </c>
      <c r="B440" s="8">
        <f ca="1">IFERROR(__xludf.DUMMYFUNCTION("""COMPUTED_VALUE"""),3)</f>
        <v>3</v>
      </c>
      <c r="C440" s="8">
        <f ca="1">IFERROR(__xludf.DUMMYFUNCTION("""COMPUTED_VALUE"""),13)</f>
        <v>13</v>
      </c>
      <c r="D440" s="8">
        <f ca="1">IFERROR(__xludf.DUMMYFUNCTION("""COMPUTED_VALUE"""),2024)</f>
        <v>2024</v>
      </c>
      <c r="E440" s="9">
        <f ca="1">IFERROR(__xludf.DUMMYFUNCTION("""COMPUTED_VALUE"""),45364)</f>
        <v>45364</v>
      </c>
      <c r="F440" s="8" t="str">
        <f ca="1">IFERROR(__xludf.DUMMYFUNCTION("""COMPUTED_VALUE"""),"Fox Chapel Elementary School")</f>
        <v>Fox Chapel Elementary School</v>
      </c>
      <c r="G440" s="8">
        <f ca="1">IFERROR(__xludf.DUMMYFUNCTION("""COMPUTED_VALUE"""),0)</f>
        <v>0</v>
      </c>
      <c r="H440" s="8">
        <f ca="1">IFERROR(__xludf.DUMMYFUNCTION("""COMPUTED_VALUE"""),0)</f>
        <v>0</v>
      </c>
      <c r="I440" s="8">
        <f ca="1">IFERROR(__xludf.DUMMYFUNCTION("""COMPUTED_VALUE"""),0)</f>
        <v>0</v>
      </c>
      <c r="J440" s="8">
        <f ca="1">IFERROR(__xludf.DUMMYFUNCTION("""COMPUTED_VALUE"""),0)</f>
        <v>0</v>
      </c>
      <c r="K440" s="10" t="str">
        <f ca="1">IFERROR(__xludf.DUMMYFUNCTION("""COMPUTED_VALUE"""),"https://mocoshow.com/2024/03/13/fox-chapel-elementary-school-in-lockdown-following-report-of-shots-fired-near-campus/
https://mocoshow.com/2024/03/13/fox-chapel-elementary-school-in-lockdown-following-report-of-shots-fired-near-campus/")</f>
        <v>https://mocoshow.com/2024/03/13/fox-chapel-elementary-school-in-lockdown-following-report-of-shots-fired-near-campus/
https://mocoshow.com/2024/03/13/fox-chapel-elementary-school-in-lockdown-following-report-of-shots-fired-near-campus/</v>
      </c>
      <c r="L440" s="8">
        <f ca="1">IFERROR(__xludf.DUMMYFUNCTION("""COMPUTED_VALUE"""),3)</f>
        <v>3</v>
      </c>
      <c r="M440" s="8" t="str">
        <f ca="1">IFERROR(__xludf.DUMMYFUNCTION("""COMPUTED_VALUE"""),"Local")</f>
        <v>Local</v>
      </c>
      <c r="N440" s="8">
        <f ca="1">IFERROR(__xludf.DUMMYFUNCTION("""COMPUTED_VALUE"""),4)</f>
        <v>4</v>
      </c>
      <c r="O440" s="8" t="str">
        <f ca="1">IFERROR(__xludf.DUMMYFUNCTION("""COMPUTED_VALUE"""),"Spring")</f>
        <v>Spring</v>
      </c>
      <c r="P440" s="8" t="str">
        <f ca="1">IFERROR(__xludf.DUMMYFUNCTION("""COMPUTED_VALUE"""),"Germantown")</f>
        <v>Germantown</v>
      </c>
      <c r="Q440" s="8" t="str">
        <f ca="1">IFERROR(__xludf.DUMMYFUNCTION("""COMPUTED_VALUE"""),"MD")</f>
        <v>MD</v>
      </c>
      <c r="R440" s="8" t="str">
        <f ca="1">IFERROR(__xludf.DUMMYFUNCTION("""COMPUTED_VALUE"""),"Elementary")</f>
        <v>Elementary</v>
      </c>
      <c r="S440" s="8" t="str">
        <f ca="1">IFERROR(__xludf.DUMMYFUNCTION("""COMPUTED_VALUE"""),"Field (General)")</f>
        <v>Field (General)</v>
      </c>
      <c r="T440" s="8" t="str">
        <f ca="1">IFERROR(__xludf.DUMMYFUNCTION("""COMPUTED_VALUE"""),"Outside on School Property")</f>
        <v>Outside on School Property</v>
      </c>
      <c r="U440" s="8" t="str">
        <f ca="1">IFERROR(__xludf.DUMMYFUNCTION("""COMPUTED_VALUE"""),"Yes")</f>
        <v>Yes</v>
      </c>
      <c r="V440" s="8" t="str">
        <f ca="1">IFERROR(__xludf.DUMMYFUNCTION("""COMPUTED_VALUE"""),"Afternoon Classes")</f>
        <v>Afternoon Classes</v>
      </c>
      <c r="W440" s="11">
        <f ca="1">IFERROR(__xludf.DUMMYFUNCTION("""COMPUTED_VALUE"""),0.636111111111111)</f>
        <v>0.63611111111111096</v>
      </c>
      <c r="X440" s="8">
        <f ca="1">IFERROR(__xludf.DUMMYFUNCTION("""COMPUTED_VALUE"""),1)</f>
        <v>1</v>
      </c>
      <c r="Y440" s="12" t="str">
        <f ca="1">IFERROR(__xludf.DUMMYFUNCTION("""COMPUTED_VALUE"""),"Shots fired by teenage high school students on the school field")</f>
        <v>Shots fired by teenage high school students on the school field</v>
      </c>
      <c r="Z440" s="12" t="str">
        <f ca="1">IFERROR(__xludf.DUMMYFUNCTION("""COMPUTED_VALUE"""),"Shots fired by teenage high school students on the school field just prior to dismissal. School went on lockdown. Shooter fled. Shell casings were recovered at the school.")</f>
        <v>Shots fired by teenage high school students on the school field just prior to dismissal. School went on lockdown. Shooter fled. Shell casings were recovered at the school.</v>
      </c>
      <c r="AA440" s="8" t="str">
        <f ca="1">IFERROR(__xludf.DUMMYFUNCTION("""COMPUTED_VALUE"""),"Escalation of Dispute")</f>
        <v>Escalation of Dispute</v>
      </c>
      <c r="AB440" s="8" t="str">
        <f ca="1">IFERROR(__xludf.DUMMYFUNCTION("""COMPUTED_VALUE"""),"Spontaneous")</f>
        <v>Spontaneous</v>
      </c>
      <c r="AC440" s="8" t="str">
        <f ca="1">IFERROR(__xludf.DUMMYFUNCTION("""COMPUTED_VALUE"""),"Yes")</f>
        <v>Yes</v>
      </c>
      <c r="AD440" s="8" t="str">
        <f ca="1">IFERROR(__xludf.DUMMYFUNCTION("""COMPUTED_VALUE"""),"Victims Targeted")</f>
        <v>Victims Targeted</v>
      </c>
      <c r="AE440" s="8" t="str">
        <f ca="1">IFERROR(__xludf.DUMMYFUNCTION("""COMPUTED_VALUE"""),"No")</f>
        <v>No</v>
      </c>
      <c r="AF440" s="8"/>
      <c r="AG440" s="8" t="str">
        <f ca="1">IFERROR(__xludf.DUMMYFUNCTION("""COMPUTED_VALUE"""),"No")</f>
        <v>No</v>
      </c>
      <c r="AH440" s="8" t="str">
        <f ca="1">IFERROR(__xludf.DUMMYFUNCTION("""COMPUTED_VALUE"""),"No")</f>
        <v>No</v>
      </c>
      <c r="AI440" s="8" t="str">
        <f ca="1">IFERROR(__xludf.DUMMYFUNCTION("""COMPUTED_VALUE"""),"No")</f>
        <v>No</v>
      </c>
      <c r="AJ440" s="8" t="str">
        <f ca="1">IFERROR(__xludf.DUMMYFUNCTION("""COMPUTED_VALUE"""),"No")</f>
        <v>No</v>
      </c>
      <c r="AK440" s="8" t="str">
        <f ca="1">IFERROR(__xludf.DUMMYFUNCTION("""COMPUTED_VALUE"""),"No")</f>
        <v>No</v>
      </c>
      <c r="AL440" s="8" t="str">
        <f ca="1">IFERROR(__xludf.DUMMYFUNCTION("""COMPUTED_VALUE"""),"Yes")</f>
        <v>Yes</v>
      </c>
      <c r="AM440" s="8" t="str">
        <f ca="1">IFERROR(__xludf.DUMMYFUNCTION("""COMPUTED_VALUE"""),"No")</f>
        <v>No</v>
      </c>
      <c r="AN440" s="8" t="str">
        <f ca="1">IFERROR(__xludf.DUMMYFUNCTION("""COMPUTED_VALUE"""),"Outside")</f>
        <v>Outside</v>
      </c>
      <c r="AO440" s="8" t="str">
        <f ca="1">IFERROR(__xludf.DUMMYFUNCTION("""COMPUTED_VALUE"""),"No")</f>
        <v>No</v>
      </c>
      <c r="AP440" s="8"/>
      <c r="AQ440" s="8"/>
      <c r="AR440" s="8" t="str">
        <f ca="1">IFERROR(__xludf.DUMMYFUNCTION("""COMPUTED_VALUE"""),"Outside/Off-Property")</f>
        <v>Outside/Off-Property</v>
      </c>
      <c r="AS440" s="8">
        <f ca="1">IFERROR(__xludf.DUMMYFUNCTION("""COMPUTED_VALUE"""),99)</f>
        <v>99</v>
      </c>
      <c r="AT440" s="8" t="str">
        <f ca="1">IFERROR(__xludf.DUMMYFUNCTION("""COMPUTED_VALUE"""),"Yes")</f>
        <v>Yes</v>
      </c>
      <c r="AU440" s="8">
        <f ca="1">IFERROR(__xludf.DUMMYFUNCTION("""COMPUTED_VALUE"""),39.172369)</f>
        <v>39.172369000000003</v>
      </c>
      <c r="AV440" s="8">
        <f ca="1">IFERROR(__xludf.DUMMYFUNCTION("""COMPUTED_VALUE"""),-77.241428)</f>
        <v>-77.241427999999999</v>
      </c>
      <c r="AW440" s="8" t="str">
        <f ca="1">IFERROR(__xludf.DUMMYFUNCTION("""COMPUTED_VALUE"""),"Multiple attached buildings")</f>
        <v>Multiple attached buildings</v>
      </c>
      <c r="AX440" s="8">
        <f ca="1">IFERROR(__xludf.DUMMYFUNCTION("""COMPUTED_VALUE"""),20876)</f>
        <v>20876</v>
      </c>
    </row>
    <row r="441" spans="1:50" ht="75" x14ac:dyDescent="0.2">
      <c r="A441" s="8" t="str">
        <f ca="1">IFERROR(__xludf.DUMMYFUNCTION("""COMPUTED_VALUE"""),"20240313WAGAS")</f>
        <v>20240313WAGAS</v>
      </c>
      <c r="B441" s="8">
        <f ca="1">IFERROR(__xludf.DUMMYFUNCTION("""COMPUTED_VALUE"""),3)</f>
        <v>3</v>
      </c>
      <c r="C441" s="8">
        <f ca="1">IFERROR(__xludf.DUMMYFUNCTION("""COMPUTED_VALUE"""),13)</f>
        <v>13</v>
      </c>
      <c r="D441" s="8">
        <f ca="1">IFERROR(__xludf.DUMMYFUNCTION("""COMPUTED_VALUE"""),2024)</f>
        <v>2024</v>
      </c>
      <c r="E441" s="9">
        <f ca="1">IFERROR(__xludf.DUMMYFUNCTION("""COMPUTED_VALUE"""),45364)</f>
        <v>45364</v>
      </c>
      <c r="F441" s="8" t="str">
        <f ca="1">IFERROR(__xludf.DUMMYFUNCTION("""COMPUTED_VALUE"""),"Garfield High School")</f>
        <v>Garfield High School</v>
      </c>
      <c r="G441" s="8">
        <f ca="1">IFERROR(__xludf.DUMMYFUNCTION("""COMPUTED_VALUE"""),0)</f>
        <v>0</v>
      </c>
      <c r="H441" s="8">
        <f ca="1">IFERROR(__xludf.DUMMYFUNCTION("""COMPUTED_VALUE"""),1)</f>
        <v>1</v>
      </c>
      <c r="I441" s="8">
        <f ca="1">IFERROR(__xludf.DUMMYFUNCTION("""COMPUTED_VALUE"""),1)</f>
        <v>1</v>
      </c>
      <c r="J441" s="8">
        <f ca="1">IFERROR(__xludf.DUMMYFUNCTION("""COMPUTED_VALUE"""),0)</f>
        <v>0</v>
      </c>
      <c r="K441" s="10" t="str">
        <f ca="1">IFERROR(__xludf.DUMMYFUNCTION("""COMPUTED_VALUE"""),"https://komonews.com/news/local/garfield-high-school-17-year-old-girl-shot-gun-violence-student-fire-department-police-spd-sfd-harborview-medical-center-hospital-stable-condition-incident-king-county-led-up-unclear-investigation
https://www.kiro7.com/news"&amp;"/local/video-girl-shot-near-garfield-high-school/f5af8864-2c59-45b8-9300-f9b717519a7f/")</f>
        <v>https://komonews.com/news/local/garfield-high-school-17-year-old-girl-shot-gun-violence-student-fire-department-police-spd-sfd-harborview-medical-center-hospital-stable-condition-incident-king-county-led-up-unclear-investigation
https://www.kiro7.com/news/local/video-girl-shot-near-garfield-high-school/f5af8864-2c59-45b8-9300-f9b717519a7f/</v>
      </c>
      <c r="L441" s="8">
        <f ca="1">IFERROR(__xludf.DUMMYFUNCTION("""COMPUTED_VALUE"""),10)</f>
        <v>10</v>
      </c>
      <c r="M441" s="8" t="str">
        <f ca="1">IFERROR(__xludf.DUMMYFUNCTION("""COMPUTED_VALUE"""),"Regional")</f>
        <v>Regional</v>
      </c>
      <c r="N441" s="8">
        <f ca="1">IFERROR(__xludf.DUMMYFUNCTION("""COMPUTED_VALUE"""),4)</f>
        <v>4</v>
      </c>
      <c r="O441" s="8" t="str">
        <f ca="1">IFERROR(__xludf.DUMMYFUNCTION("""COMPUTED_VALUE"""),"Spring")</f>
        <v>Spring</v>
      </c>
      <c r="P441" s="8" t="str">
        <f ca="1">IFERROR(__xludf.DUMMYFUNCTION("""COMPUTED_VALUE"""),"Seattle")</f>
        <v>Seattle</v>
      </c>
      <c r="Q441" s="8" t="str">
        <f ca="1">IFERROR(__xludf.DUMMYFUNCTION("""COMPUTED_VALUE"""),"WA")</f>
        <v>WA</v>
      </c>
      <c r="R441" s="8" t="str">
        <f ca="1">IFERROR(__xludf.DUMMYFUNCTION("""COMPUTED_VALUE"""),"High")</f>
        <v>High</v>
      </c>
      <c r="S441" s="8" t="str">
        <f ca="1">IFERROR(__xludf.DUMMYFUNCTION("""COMPUTED_VALUE"""),"Front of School")</f>
        <v>Front of School</v>
      </c>
      <c r="T441" s="8" t="str">
        <f ca="1">IFERROR(__xludf.DUMMYFUNCTION("""COMPUTED_VALUE"""),"Outside on School Property")</f>
        <v>Outside on School Property</v>
      </c>
      <c r="U441" s="8" t="str">
        <f ca="1">IFERROR(__xludf.DUMMYFUNCTION("""COMPUTED_VALUE"""),"Yes")</f>
        <v>Yes</v>
      </c>
      <c r="V441" s="8" t="str">
        <f ca="1">IFERROR(__xludf.DUMMYFUNCTION("""COMPUTED_VALUE"""),"Dismissal")</f>
        <v>Dismissal</v>
      </c>
      <c r="W441" s="11">
        <f ca="1">IFERROR(__xludf.DUMMYFUNCTION("""COMPUTED_VALUE"""),0.611111111111111)</f>
        <v>0.61111111111111105</v>
      </c>
      <c r="X441" s="8">
        <f ca="1">IFERROR(__xludf.DUMMYFUNCTION("""COMPUTED_VALUE"""),1)</f>
        <v>1</v>
      </c>
      <c r="Y441" s="12" t="str">
        <f ca="1">IFERROR(__xludf.DUMMYFUNCTION("""COMPUTED_VALUE"""),"Female student shot while waiting at bus stop in front of the school at dismissal")</f>
        <v>Female student shot while waiting at bus stop in front of the school at dismissal</v>
      </c>
      <c r="Z441" s="12" t="str">
        <f ca="1">IFERROR(__xludf.DUMMYFUNCTION("""COMPUTED_VALUE"""),"Female student shot while waiting at bus stop in front of the school at dismissal. Shots fired from a vehicle. Unclear if she was target or bystander. Shooting put three schools on lockdown. Seattle police are developing a new safety plan for dismissal.")</f>
        <v>Female student shot while waiting at bus stop in front of the school at dismissal. Shots fired from a vehicle. Unclear if she was target or bystander. Shooting put three schools on lockdown. Seattle police are developing a new safety plan for dismissal.</v>
      </c>
      <c r="AA441" s="8" t="str">
        <f ca="1">IFERROR(__xludf.DUMMYFUNCTION("""COMPUTED_VALUE"""),"Drive-by Shooting")</f>
        <v>Drive-by Shooting</v>
      </c>
      <c r="AB441" s="8" t="str">
        <f ca="1">IFERROR(__xludf.DUMMYFUNCTION("""COMPUTED_VALUE"""),"Targeted")</f>
        <v>Targeted</v>
      </c>
      <c r="AC441" s="8" t="str">
        <f ca="1">IFERROR(__xludf.DUMMYFUNCTION("""COMPUTED_VALUE"""),"Yes")</f>
        <v>Yes</v>
      </c>
      <c r="AD441" s="8"/>
      <c r="AE441" s="8"/>
      <c r="AF441" s="8"/>
      <c r="AG441" s="8" t="str">
        <f ca="1">IFERROR(__xludf.DUMMYFUNCTION("""COMPUTED_VALUE"""),"No")</f>
        <v>No</v>
      </c>
      <c r="AH441" s="8" t="str">
        <f ca="1">IFERROR(__xludf.DUMMYFUNCTION("""COMPUTED_VALUE"""),"No")</f>
        <v>No</v>
      </c>
      <c r="AI441" s="8" t="str">
        <f ca="1">IFERROR(__xludf.DUMMYFUNCTION("""COMPUTED_VALUE"""),"No")</f>
        <v>No</v>
      </c>
      <c r="AJ441" s="8" t="str">
        <f ca="1">IFERROR(__xludf.DUMMYFUNCTION("""COMPUTED_VALUE"""),"No")</f>
        <v>No</v>
      </c>
      <c r="AK441" s="8" t="str">
        <f ca="1">IFERROR(__xludf.DUMMYFUNCTION("""COMPUTED_VALUE"""),"No")</f>
        <v>No</v>
      </c>
      <c r="AL441" s="8"/>
      <c r="AM441" s="8" t="str">
        <f ca="1">IFERROR(__xludf.DUMMYFUNCTION("""COMPUTED_VALUE"""),"No")</f>
        <v>No</v>
      </c>
      <c r="AN441" s="8" t="str">
        <f ca="1">IFERROR(__xludf.DUMMYFUNCTION("""COMPUTED_VALUE"""),"Outside")</f>
        <v>Outside</v>
      </c>
      <c r="AO441" s="8" t="str">
        <f ca="1">IFERROR(__xludf.DUMMYFUNCTION("""COMPUTED_VALUE"""),"No")</f>
        <v>No</v>
      </c>
      <c r="AP441" s="8"/>
      <c r="AQ441" s="8"/>
      <c r="AR441" s="8" t="str">
        <f ca="1">IFERROR(__xludf.DUMMYFUNCTION("""COMPUTED_VALUE"""),"Outside/Off-Property")</f>
        <v>Outside/Off-Property</v>
      </c>
      <c r="AS441" s="8">
        <f ca="1">IFERROR(__xludf.DUMMYFUNCTION("""COMPUTED_VALUE"""),99)</f>
        <v>99</v>
      </c>
      <c r="AT441" s="8" t="str">
        <f ca="1">IFERROR(__xludf.DUMMYFUNCTION("""COMPUTED_VALUE"""),"Yes")</f>
        <v>Yes</v>
      </c>
      <c r="AU441" s="8">
        <f ca="1">IFERROR(__xludf.DUMMYFUNCTION("""COMPUTED_VALUE"""),47.604989)</f>
        <v>47.604989000000003</v>
      </c>
      <c r="AV441" s="8">
        <f ca="1">IFERROR(__xludf.DUMMYFUNCTION("""COMPUTED_VALUE"""),-122.30233)</f>
        <v>-122.30233</v>
      </c>
      <c r="AW441" s="8" t="str">
        <f ca="1">IFERROR(__xludf.DUMMYFUNCTION("""COMPUTED_VALUE"""),"Single building indoor hallway")</f>
        <v>Single building indoor hallway</v>
      </c>
      <c r="AX441" s="8">
        <f ca="1">IFERROR(__xludf.DUMMYFUNCTION("""COMPUTED_VALUE"""),98122)</f>
        <v>98122</v>
      </c>
    </row>
    <row r="442" spans="1:50" ht="90" x14ac:dyDescent="0.2">
      <c r="A442" s="8" t="str">
        <f ca="1">IFERROR(__xludf.DUMMYFUNCTION("""COMPUTED_VALUE"""),"20240313MDWIB")</f>
        <v>20240313MDWIB</v>
      </c>
      <c r="B442" s="8">
        <f ca="1">IFERROR(__xludf.DUMMYFUNCTION("""COMPUTED_VALUE"""),3)</f>
        <v>3</v>
      </c>
      <c r="C442" s="8">
        <f ca="1">IFERROR(__xludf.DUMMYFUNCTION("""COMPUTED_VALUE"""),13)</f>
        <v>13</v>
      </c>
      <c r="D442" s="8">
        <f ca="1">IFERROR(__xludf.DUMMYFUNCTION("""COMPUTED_VALUE"""),2024)</f>
        <v>2024</v>
      </c>
      <c r="E442" s="9">
        <f ca="1">IFERROR(__xludf.DUMMYFUNCTION("""COMPUTED_VALUE"""),45364)</f>
        <v>45364</v>
      </c>
      <c r="F442" s="8" t="str">
        <f ca="1">IFERROR(__xludf.DUMMYFUNCTION("""COMPUTED_VALUE"""),"Windsor Hills Elementary/Middle School")</f>
        <v>Windsor Hills Elementary/Middle School</v>
      </c>
      <c r="G442" s="8">
        <f ca="1">IFERROR(__xludf.DUMMYFUNCTION("""COMPUTED_VALUE"""),1)</f>
        <v>1</v>
      </c>
      <c r="H442" s="8">
        <f ca="1">IFERROR(__xludf.DUMMYFUNCTION("""COMPUTED_VALUE"""),0)</f>
        <v>0</v>
      </c>
      <c r="I442" s="8">
        <f ca="1">IFERROR(__xludf.DUMMYFUNCTION("""COMPUTED_VALUE"""),1)</f>
        <v>1</v>
      </c>
      <c r="J442" s="8">
        <f ca="1">IFERROR(__xludf.DUMMYFUNCTION("""COMPUTED_VALUE"""),0)</f>
        <v>0</v>
      </c>
      <c r="K442" s="10" t="str">
        <f ca="1">IFERROR(__xludf.DUMMYFUNCTION("""COMPUTED_VALUE"""),"https://www.wbaltv.com/article/police-womans-body-found-near-baltimore-school/60188521")</f>
        <v>https://www.wbaltv.com/article/police-womans-body-found-near-baltimore-school/60188521</v>
      </c>
      <c r="L442" s="8">
        <f ca="1">IFERROR(__xludf.DUMMYFUNCTION("""COMPUTED_VALUE"""),3)</f>
        <v>3</v>
      </c>
      <c r="M442" s="8" t="str">
        <f ca="1">IFERROR(__xludf.DUMMYFUNCTION("""COMPUTED_VALUE"""),"Local")</f>
        <v>Local</v>
      </c>
      <c r="N442" s="8">
        <f ca="1">IFERROR(__xludf.DUMMYFUNCTION("""COMPUTED_VALUE"""),4)</f>
        <v>4</v>
      </c>
      <c r="O442" s="8" t="str">
        <f ca="1">IFERROR(__xludf.DUMMYFUNCTION("""COMPUTED_VALUE"""),"Spring")</f>
        <v>Spring</v>
      </c>
      <c r="P442" s="8" t="str">
        <f ca="1">IFERROR(__xludf.DUMMYFUNCTION("""COMPUTED_VALUE"""),"Baltimore")</f>
        <v>Baltimore</v>
      </c>
      <c r="Q442" s="8" t="str">
        <f ca="1">IFERROR(__xludf.DUMMYFUNCTION("""COMPUTED_VALUE"""),"MD")</f>
        <v>MD</v>
      </c>
      <c r="R442" s="8" t="str">
        <f ca="1">IFERROR(__xludf.DUMMYFUNCTION("""COMPUTED_VALUE"""),"K-8")</f>
        <v>K-8</v>
      </c>
      <c r="S442" s="8" t="str">
        <f ca="1">IFERROR(__xludf.DUMMYFUNCTION("""COMPUTED_VALUE"""),"Playground")</f>
        <v>Playground</v>
      </c>
      <c r="T442" s="8" t="str">
        <f ca="1">IFERROR(__xludf.DUMMYFUNCTION("""COMPUTED_VALUE"""),"Outside on School Property")</f>
        <v>Outside on School Property</v>
      </c>
      <c r="U442" s="8" t="str">
        <f ca="1">IFERROR(__xludf.DUMMYFUNCTION("""COMPUTED_VALUE"""),"Yes")</f>
        <v>Yes</v>
      </c>
      <c r="V442" s="8" t="str">
        <f ca="1">IFERROR(__xludf.DUMMYFUNCTION("""COMPUTED_VALUE"""),"School Start")</f>
        <v>School Start</v>
      </c>
      <c r="W442" s="11">
        <f ca="1">IFERROR(__xludf.DUMMYFUNCTION("""COMPUTED_VALUE"""),0.303472222222222)</f>
        <v>0.30347222222222198</v>
      </c>
      <c r="X442" s="8">
        <f ca="1">IFERROR(__xludf.DUMMYFUNCTION("""COMPUTED_VALUE"""),1)</f>
        <v>1</v>
      </c>
      <c r="Y442" s="12" t="str">
        <f ca="1">IFERROR(__xludf.DUMMYFUNCTION("""COMPUTED_VALUE"""),"Woman was fatally shot by school playground, students walking to school saw the body")</f>
        <v>Woman was fatally shot by school playground, students walking to school saw the body</v>
      </c>
      <c r="Z442" s="12" t="str">
        <f ca="1">IFERROR(__xludf.DUMMYFUNCTION("""COMPUTED_VALUE"""),"Woman was fatally shot near the school playground before the building opened. Police and EMS were called to the school at 7:17AM. School did not send a notification to parents so students arrived at the school and walked past the crime scene.")</f>
        <v>Woman was fatally shot near the school playground before the building opened. Police and EMS were called to the school at 7:17AM. School did not send a notification to parents so students arrived at the school and walked past the crime scene.</v>
      </c>
      <c r="AA442" s="8"/>
      <c r="AB442" s="8"/>
      <c r="AC442" s="8" t="str">
        <f ca="1">IFERROR(__xludf.DUMMYFUNCTION("""COMPUTED_VALUE"""),"Yes")</f>
        <v>Yes</v>
      </c>
      <c r="AD442" s="8" t="str">
        <f ca="1">IFERROR(__xludf.DUMMYFUNCTION("""COMPUTED_VALUE"""),"Victims Targeted")</f>
        <v>Victims Targeted</v>
      </c>
      <c r="AE442" s="8" t="str">
        <f ca="1">IFERROR(__xludf.DUMMYFUNCTION("""COMPUTED_VALUE"""),"No")</f>
        <v>No</v>
      </c>
      <c r="AF442" s="8"/>
      <c r="AG442" s="8" t="str">
        <f ca="1">IFERROR(__xludf.DUMMYFUNCTION("""COMPUTED_VALUE"""),"No")</f>
        <v>No</v>
      </c>
      <c r="AH442" s="8" t="str">
        <f ca="1">IFERROR(__xludf.DUMMYFUNCTION("""COMPUTED_VALUE"""),"No")</f>
        <v>No</v>
      </c>
      <c r="AI442" s="8" t="str">
        <f ca="1">IFERROR(__xludf.DUMMYFUNCTION("""COMPUTED_VALUE"""),"No")</f>
        <v>No</v>
      </c>
      <c r="AJ442" s="8" t="str">
        <f ca="1">IFERROR(__xludf.DUMMYFUNCTION("""COMPUTED_VALUE"""),"No")</f>
        <v>No</v>
      </c>
      <c r="AK442" s="8" t="str">
        <f ca="1">IFERROR(__xludf.DUMMYFUNCTION("""COMPUTED_VALUE"""),"No")</f>
        <v>No</v>
      </c>
      <c r="AL442" s="8"/>
      <c r="AM442" s="8" t="str">
        <f ca="1">IFERROR(__xludf.DUMMYFUNCTION("""COMPUTED_VALUE"""),"No")</f>
        <v>No</v>
      </c>
      <c r="AN442" s="8" t="str">
        <f ca="1">IFERROR(__xludf.DUMMYFUNCTION("""COMPUTED_VALUE"""),"Outside")</f>
        <v>Outside</v>
      </c>
      <c r="AO442" s="8" t="str">
        <f ca="1">IFERROR(__xludf.DUMMYFUNCTION("""COMPUTED_VALUE"""),"No")</f>
        <v>No</v>
      </c>
      <c r="AP442" s="8"/>
      <c r="AQ442" s="8"/>
      <c r="AR442" s="8" t="str">
        <f ca="1">IFERROR(__xludf.DUMMYFUNCTION("""COMPUTED_VALUE"""),"Outside/Off-Property")</f>
        <v>Outside/Off-Property</v>
      </c>
      <c r="AS442" s="8">
        <f ca="1">IFERROR(__xludf.DUMMYFUNCTION("""COMPUTED_VALUE"""),99)</f>
        <v>99</v>
      </c>
      <c r="AT442" s="8" t="str">
        <f ca="1">IFERROR(__xludf.DUMMYFUNCTION("""COMPUTED_VALUE"""),"No")</f>
        <v>No</v>
      </c>
      <c r="AU442" s="8">
        <f ca="1">IFERROR(__xludf.DUMMYFUNCTION("""COMPUTED_VALUE"""),39.316633)</f>
        <v>39.316633000000003</v>
      </c>
      <c r="AV442" s="8">
        <f ca="1">IFERROR(__xludf.DUMMYFUNCTION("""COMPUTED_VALUE"""),-76.68301)</f>
        <v>-76.683009999999996</v>
      </c>
      <c r="AW442" s="8" t="str">
        <f ca="1">IFERROR(__xludf.DUMMYFUNCTION("""COMPUTED_VALUE"""),"Single building indoor hallway")</f>
        <v>Single building indoor hallway</v>
      </c>
      <c r="AX442" s="8">
        <f ca="1">IFERROR(__xludf.DUMMYFUNCTION("""COMPUTED_VALUE"""),21216)</f>
        <v>21216</v>
      </c>
    </row>
    <row r="443" spans="1:50" ht="45" x14ac:dyDescent="0.2">
      <c r="A443" s="8" t="str">
        <f ca="1">IFERROR(__xludf.DUMMYFUNCTION("""COMPUTED_VALUE"""),"20240311TXCHT")</f>
        <v>20240311TXCHT</v>
      </c>
      <c r="B443" s="8">
        <f ca="1">IFERROR(__xludf.DUMMYFUNCTION("""COMPUTED_VALUE"""),3)</f>
        <v>3</v>
      </c>
      <c r="C443" s="8">
        <f ca="1">IFERROR(__xludf.DUMMYFUNCTION("""COMPUTED_VALUE"""),11)</f>
        <v>11</v>
      </c>
      <c r="D443" s="8">
        <f ca="1">IFERROR(__xludf.DUMMYFUNCTION("""COMPUTED_VALUE"""),2024)</f>
        <v>2024</v>
      </c>
      <c r="E443" s="9">
        <f ca="1">IFERROR(__xludf.DUMMYFUNCTION("""COMPUTED_VALUE"""),45362)</f>
        <v>45362</v>
      </c>
      <c r="F443" s="8" t="str">
        <f ca="1">IFERROR(__xludf.DUMMYFUNCTION("""COMPUTED_VALUE"""),"Charter Oak Elementary")</f>
        <v>Charter Oak Elementary</v>
      </c>
      <c r="G443" s="8">
        <f ca="1">IFERROR(__xludf.DUMMYFUNCTION("""COMPUTED_VALUE"""),1)</f>
        <v>1</v>
      </c>
      <c r="H443" s="8">
        <f ca="1">IFERROR(__xludf.DUMMYFUNCTION("""COMPUTED_VALUE"""),0)</f>
        <v>0</v>
      </c>
      <c r="I443" s="8">
        <f ca="1">IFERROR(__xludf.DUMMYFUNCTION("""COMPUTED_VALUE"""),1)</f>
        <v>1</v>
      </c>
      <c r="J443" s="8">
        <f ca="1">IFERROR(__xludf.DUMMYFUNCTION("""COMPUTED_VALUE"""),0)</f>
        <v>0</v>
      </c>
      <c r="K443" s="10" t="str">
        <f ca="1">IFERROR(__xludf.DUMMYFUNCTION("""COMPUTED_VALUE"""),"https://www.tdtnews.com/news/central_texas_news/article_7e843b90-e0bf-11ee-893d-d3842fe6ed82.html")</f>
        <v>https://www.tdtnews.com/news/central_texas_news/article_7e843b90-e0bf-11ee-893d-d3842fe6ed82.html</v>
      </c>
      <c r="L443" s="8">
        <f ca="1">IFERROR(__xludf.DUMMYFUNCTION("""COMPUTED_VALUE"""),1)</f>
        <v>1</v>
      </c>
      <c r="M443" s="8" t="str">
        <f ca="1">IFERROR(__xludf.DUMMYFUNCTION("""COMPUTED_VALUE"""),"Local")</f>
        <v>Local</v>
      </c>
      <c r="N443" s="8">
        <f ca="1">IFERROR(__xludf.DUMMYFUNCTION("""COMPUTED_VALUE"""),3)</f>
        <v>3</v>
      </c>
      <c r="O443" s="8" t="str">
        <f ca="1">IFERROR(__xludf.DUMMYFUNCTION("""COMPUTED_VALUE"""),"Spring")</f>
        <v>Spring</v>
      </c>
      <c r="P443" s="8" t="str">
        <f ca="1">IFERROR(__xludf.DUMMYFUNCTION("""COMPUTED_VALUE"""),"Temple")</f>
        <v>Temple</v>
      </c>
      <c r="Q443" s="8" t="str">
        <f ca="1">IFERROR(__xludf.DUMMYFUNCTION("""COMPUTED_VALUE"""),"TX")</f>
        <v>TX</v>
      </c>
      <c r="R443" s="8" t="str">
        <f ca="1">IFERROR(__xludf.DUMMYFUNCTION("""COMPUTED_VALUE"""),"Elementary")</f>
        <v>Elementary</v>
      </c>
      <c r="S443" s="8" t="str">
        <f ca="1">IFERROR(__xludf.DUMMYFUNCTION("""COMPUTED_VALUE"""),"Playground")</f>
        <v>Playground</v>
      </c>
      <c r="T443" s="8" t="str">
        <f ca="1">IFERROR(__xludf.DUMMYFUNCTION("""COMPUTED_VALUE"""),"Outside on School Property")</f>
        <v>Outside on School Property</v>
      </c>
      <c r="U443" s="8" t="str">
        <f ca="1">IFERROR(__xludf.DUMMYFUNCTION("""COMPUTED_VALUE"""),"No")</f>
        <v>No</v>
      </c>
      <c r="V443" s="8" t="str">
        <f ca="1">IFERROR(__xludf.DUMMYFUNCTION("""COMPUTED_VALUE"""),"Evening")</f>
        <v>Evening</v>
      </c>
      <c r="W443" s="11">
        <f ca="1">IFERROR(__xludf.DUMMYFUNCTION("""COMPUTED_VALUE"""),0.791666666666666)</f>
        <v>0.79166666666666596</v>
      </c>
      <c r="X443" s="8">
        <f ca="1">IFERROR(__xludf.DUMMYFUNCTION("""COMPUTED_VALUE"""),1)</f>
        <v>1</v>
      </c>
      <c r="Y443" s="12" t="str">
        <f ca="1">IFERROR(__xludf.DUMMYFUNCTION("""COMPUTED_VALUE"""),"1-year-old child fatally shot on school playground")</f>
        <v>1-year-old child fatally shot on school playground</v>
      </c>
      <c r="Z443" s="12" t="str">
        <f ca="1">IFERROR(__xludf.DUMMYFUNCTION("""COMPUTED_VALUE"""),"A 1-year-old child was fatally shot on the school playground while playing with family members. No arrests made. Police believe the shooting was accidental.")</f>
        <v>A 1-year-old child was fatally shot on the school playground while playing with family members. No arrests made. Police believe the shooting was accidental.</v>
      </c>
      <c r="AA443" s="8" t="str">
        <f ca="1">IFERROR(__xludf.DUMMYFUNCTION("""COMPUTED_VALUE"""),"Accidental")</f>
        <v>Accidental</v>
      </c>
      <c r="AB443" s="8" t="str">
        <f ca="1">IFERROR(__xludf.DUMMYFUNCTION("""COMPUTED_VALUE"""),"Spontaneous")</f>
        <v>Spontaneous</v>
      </c>
      <c r="AC443" s="8" t="str">
        <f ca="1">IFERROR(__xludf.DUMMYFUNCTION("""COMPUTED_VALUE"""),"No")</f>
        <v>No</v>
      </c>
      <c r="AD443" s="8" t="str">
        <f ca="1">IFERROR(__xludf.DUMMYFUNCTION("""COMPUTED_VALUE"""),"Neither")</f>
        <v>Neither</v>
      </c>
      <c r="AE443" s="8" t="str">
        <f ca="1">IFERROR(__xludf.DUMMYFUNCTION("""COMPUTED_VALUE"""),"No")</f>
        <v>No</v>
      </c>
      <c r="AF443" s="8"/>
      <c r="AG443" s="8" t="str">
        <f ca="1">IFERROR(__xludf.DUMMYFUNCTION("""COMPUTED_VALUE"""),"No")</f>
        <v>No</v>
      </c>
      <c r="AH443" s="8" t="str">
        <f ca="1">IFERROR(__xludf.DUMMYFUNCTION("""COMPUTED_VALUE"""),"No")</f>
        <v>No</v>
      </c>
      <c r="AI443" s="8" t="str">
        <f ca="1">IFERROR(__xludf.DUMMYFUNCTION("""COMPUTED_VALUE"""),"No")</f>
        <v>No</v>
      </c>
      <c r="AJ443" s="8" t="str">
        <f ca="1">IFERROR(__xludf.DUMMYFUNCTION("""COMPUTED_VALUE"""),"No")</f>
        <v>No</v>
      </c>
      <c r="AK443" s="8" t="str">
        <f ca="1">IFERROR(__xludf.DUMMYFUNCTION("""COMPUTED_VALUE"""),"No")</f>
        <v>No</v>
      </c>
      <c r="AL443" s="8" t="str">
        <f ca="1">IFERROR(__xludf.DUMMYFUNCTION("""COMPUTED_VALUE"""),"No")</f>
        <v>No</v>
      </c>
      <c r="AM443" s="8" t="str">
        <f ca="1">IFERROR(__xludf.DUMMYFUNCTION("""COMPUTED_VALUE"""),"No")</f>
        <v>No</v>
      </c>
      <c r="AN443" s="8" t="str">
        <f ca="1">IFERROR(__xludf.DUMMYFUNCTION("""COMPUTED_VALUE"""),"Outside")</f>
        <v>Outside</v>
      </c>
      <c r="AO443" s="8" t="str">
        <f ca="1">IFERROR(__xludf.DUMMYFUNCTION("""COMPUTED_VALUE"""),"No")</f>
        <v>No</v>
      </c>
      <c r="AP443" s="8"/>
      <c r="AQ443" s="8"/>
      <c r="AR443" s="8" t="str">
        <f ca="1">IFERROR(__xludf.DUMMYFUNCTION("""COMPUTED_VALUE"""),"Outside/Off-Property")</f>
        <v>Outside/Off-Property</v>
      </c>
      <c r="AS443" s="8">
        <f ca="1">IFERROR(__xludf.DUMMYFUNCTION("""COMPUTED_VALUE"""),1)</f>
        <v>1</v>
      </c>
      <c r="AT443" s="8" t="str">
        <f ca="1">IFERROR(__xludf.DUMMYFUNCTION("""COMPUTED_VALUE"""),"No")</f>
        <v>No</v>
      </c>
      <c r="AU443" s="8">
        <f ca="1">IFERROR(__xludf.DUMMYFUNCTION("""COMPUTED_VALUE"""),31.097525)</f>
        <v>31.097525000000001</v>
      </c>
      <c r="AV443" s="8">
        <f ca="1">IFERROR(__xludf.DUMMYFUNCTION("""COMPUTED_VALUE"""),-97.440166)</f>
        <v>-97.440166000000005</v>
      </c>
      <c r="AW443" s="8" t="str">
        <f ca="1">IFERROR(__xludf.DUMMYFUNCTION("""COMPUTED_VALUE"""),"Multiple attached buildings")</f>
        <v>Multiple attached buildings</v>
      </c>
      <c r="AX443" s="8">
        <f ca="1">IFERROR(__xludf.DUMMYFUNCTION("""COMPUTED_VALUE"""),76502)</f>
        <v>76502</v>
      </c>
    </row>
    <row r="444" spans="1:50" ht="60" x14ac:dyDescent="0.2">
      <c r="A444" s="8" t="str">
        <f ca="1">IFERROR(__xludf.DUMMYFUNCTION("""COMPUTED_VALUE"""),"20240311MASPS")</f>
        <v>20240311MASPS</v>
      </c>
      <c r="B444" s="8">
        <f ca="1">IFERROR(__xludf.DUMMYFUNCTION("""COMPUTED_VALUE"""),3)</f>
        <v>3</v>
      </c>
      <c r="C444" s="8">
        <f ca="1">IFERROR(__xludf.DUMMYFUNCTION("""COMPUTED_VALUE"""),11)</f>
        <v>11</v>
      </c>
      <c r="D444" s="8">
        <f ca="1">IFERROR(__xludf.DUMMYFUNCTION("""COMPUTED_VALUE"""),2024)</f>
        <v>2024</v>
      </c>
      <c r="E444" s="9">
        <f ca="1">IFERROR(__xludf.DUMMYFUNCTION("""COMPUTED_VALUE"""),45362)</f>
        <v>45362</v>
      </c>
      <c r="F444" s="8" t="str">
        <f ca="1">IFERROR(__xludf.DUMMYFUNCTION("""COMPUTED_VALUE"""),"Springfield High School of Science and Technology")</f>
        <v>Springfield High School of Science and Technology</v>
      </c>
      <c r="G444" s="8">
        <f ca="1">IFERROR(__xludf.DUMMYFUNCTION("""COMPUTED_VALUE"""),0)</f>
        <v>0</v>
      </c>
      <c r="H444" s="8">
        <f ca="1">IFERROR(__xludf.DUMMYFUNCTION("""COMPUTED_VALUE"""),0)</f>
        <v>0</v>
      </c>
      <c r="I444" s="8">
        <f ca="1">IFERROR(__xludf.DUMMYFUNCTION("""COMPUTED_VALUE"""),0)</f>
        <v>0</v>
      </c>
      <c r="J444" s="8">
        <f ca="1">IFERROR(__xludf.DUMMYFUNCTION("""COMPUTED_VALUE"""),0)</f>
        <v>0</v>
      </c>
      <c r="K444" s="8" t="str">
        <f ca="1">IFERROR(__xludf.DUMMYFUNCTION("""COMPUTED_VALUE"""),"https://www.necn.com/news/local/police-seek-suspect-who-fired-shot-inside-springfield-high-school/3186569/
https://www.masslive.com/westernmass/2024/03/shot-fired-at-sci-tech-high-school-in-springfield-after-large-disturbance.html
https://www.westernmassn"&amp;"ews.com/2024/03/12/our-kids-should-be-safe-city-leaders-parents-speak-out-after-shots-fired-sci-tech-school/")</f>
        <v>https://www.necn.com/news/local/police-seek-suspect-who-fired-shot-inside-springfield-high-school/3186569/
https://www.masslive.com/westernmass/2024/03/shot-fired-at-sci-tech-high-school-in-springfield-after-large-disturbance.html
https://www.westernmassnews.com/2024/03/12/our-kids-should-be-safe-city-leaders-parents-speak-out-after-shots-fired-sci-tech-school/</v>
      </c>
      <c r="L444" s="8">
        <f ca="1">IFERROR(__xludf.DUMMYFUNCTION("""COMPUTED_VALUE"""),5)</f>
        <v>5</v>
      </c>
      <c r="M444" s="8" t="str">
        <f ca="1">IFERROR(__xludf.DUMMYFUNCTION("""COMPUTED_VALUE"""),"Regional")</f>
        <v>Regional</v>
      </c>
      <c r="N444" s="8">
        <f ca="1">IFERROR(__xludf.DUMMYFUNCTION("""COMPUTED_VALUE"""),4)</f>
        <v>4</v>
      </c>
      <c r="O444" s="8" t="str">
        <f ca="1">IFERROR(__xludf.DUMMYFUNCTION("""COMPUTED_VALUE"""),"Spring")</f>
        <v>Spring</v>
      </c>
      <c r="P444" s="8" t="str">
        <f ca="1">IFERROR(__xludf.DUMMYFUNCTION("""COMPUTED_VALUE"""),"Springfield")</f>
        <v>Springfield</v>
      </c>
      <c r="Q444" s="8" t="str">
        <f ca="1">IFERROR(__xludf.DUMMYFUNCTION("""COMPUTED_VALUE"""),"MA")</f>
        <v>MA</v>
      </c>
      <c r="R444" s="8" t="str">
        <f ca="1">IFERROR(__xludf.DUMMYFUNCTION("""COMPUTED_VALUE"""),"High")</f>
        <v>High</v>
      </c>
      <c r="S444" s="8" t="str">
        <f ca="1">IFERROR(__xludf.DUMMYFUNCTION("""COMPUTED_VALUE"""),"Hallway")</f>
        <v>Hallway</v>
      </c>
      <c r="T444" s="8" t="str">
        <f ca="1">IFERROR(__xludf.DUMMYFUNCTION("""COMPUTED_VALUE"""),"Inside School Building")</f>
        <v>Inside School Building</v>
      </c>
      <c r="U444" s="8" t="str">
        <f ca="1">IFERROR(__xludf.DUMMYFUNCTION("""COMPUTED_VALUE"""),"Yes")</f>
        <v>Yes</v>
      </c>
      <c r="V444" s="8" t="str">
        <f ca="1">IFERROR(__xludf.DUMMYFUNCTION("""COMPUTED_VALUE"""),"Afternoon Classes")</f>
        <v>Afternoon Classes</v>
      </c>
      <c r="W444" s="11">
        <f ca="1">IFERROR(__xludf.DUMMYFUNCTION("""COMPUTED_VALUE"""),0.583333333333333)</f>
        <v>0.58333333333333304</v>
      </c>
      <c r="X444" s="8">
        <f ca="1">IFERROR(__xludf.DUMMYFUNCTION("""COMPUTED_VALUE"""),1)</f>
        <v>1</v>
      </c>
      <c r="Y444" s="12" t="str">
        <f ca="1">IFERROR(__xludf.DUMMYFUNCTION("""COMPUTED_VALUE"""),"Shots fired in hallway during fight broke school window")</f>
        <v>Shots fired in hallway during fight broke school window</v>
      </c>
      <c r="Z444" s="12" t="str">
        <f ca="1">IFERROR(__xludf.DUMMYFUNCTION("""COMPUTED_VALUE"""),"Shots fired in hallway during fight broke school window. Shooter fled and school went on lockdown. Principal states that students had let two adults into the building prior to the fight starting.")</f>
        <v>Shots fired in hallway during fight broke school window. Shooter fled and school went on lockdown. Principal states that students had let two adults into the building prior to the fight starting.</v>
      </c>
      <c r="AA444" s="8" t="str">
        <f ca="1">IFERROR(__xludf.DUMMYFUNCTION("""COMPUTED_VALUE"""),"Escalation of Dispute")</f>
        <v>Escalation of Dispute</v>
      </c>
      <c r="AB444" s="8" t="str">
        <f ca="1">IFERROR(__xludf.DUMMYFUNCTION("""COMPUTED_VALUE"""),"Spontaneous")</f>
        <v>Spontaneous</v>
      </c>
      <c r="AC444" s="8" t="str">
        <f ca="1">IFERROR(__xludf.DUMMYFUNCTION("""COMPUTED_VALUE"""),"Yes")</f>
        <v>Yes</v>
      </c>
      <c r="AD444" s="8" t="str">
        <f ca="1">IFERROR(__xludf.DUMMYFUNCTION("""COMPUTED_VALUE"""),"Victims Targeted")</f>
        <v>Victims Targeted</v>
      </c>
      <c r="AE444" s="8" t="str">
        <f ca="1">IFERROR(__xludf.DUMMYFUNCTION("""COMPUTED_VALUE"""),"Yes")</f>
        <v>Yes</v>
      </c>
      <c r="AF444" s="8"/>
      <c r="AG444" s="8" t="str">
        <f ca="1">IFERROR(__xludf.DUMMYFUNCTION("""COMPUTED_VALUE"""),"No")</f>
        <v>No</v>
      </c>
      <c r="AH444" s="8" t="str">
        <f ca="1">IFERROR(__xludf.DUMMYFUNCTION("""COMPUTED_VALUE"""),"No")</f>
        <v>No</v>
      </c>
      <c r="AI444" s="8" t="str">
        <f ca="1">IFERROR(__xludf.DUMMYFUNCTION("""COMPUTED_VALUE"""),"No")</f>
        <v>No</v>
      </c>
      <c r="AJ444" s="8" t="str">
        <f ca="1">IFERROR(__xludf.DUMMYFUNCTION("""COMPUTED_VALUE"""),"No")</f>
        <v>No</v>
      </c>
      <c r="AK444" s="8" t="str">
        <f ca="1">IFERROR(__xludf.DUMMYFUNCTION("""COMPUTED_VALUE"""),"No")</f>
        <v>No</v>
      </c>
      <c r="AL444" s="8"/>
      <c r="AM444" s="8" t="str">
        <f ca="1">IFERROR(__xludf.DUMMYFUNCTION("""COMPUTED_VALUE"""),"No")</f>
        <v>No</v>
      </c>
      <c r="AN444" s="8" t="str">
        <f ca="1">IFERROR(__xludf.DUMMYFUNCTION("""COMPUTED_VALUE"""),"Hallway")</f>
        <v>Hallway</v>
      </c>
      <c r="AO444" s="8" t="str">
        <f ca="1">IFERROR(__xludf.DUMMYFUNCTION("""COMPUTED_VALUE"""),"No")</f>
        <v>No</v>
      </c>
      <c r="AP444" s="8"/>
      <c r="AQ444" s="8"/>
      <c r="AR444" s="8" t="str">
        <f ca="1">IFERROR(__xludf.DUMMYFUNCTION("""COMPUTED_VALUE"""),"Failed")</f>
        <v>Failed</v>
      </c>
      <c r="AS444" s="8">
        <f ca="1">IFERROR(__xludf.DUMMYFUNCTION("""COMPUTED_VALUE"""),99)</f>
        <v>99</v>
      </c>
      <c r="AT444" s="8" t="str">
        <f ca="1">IFERROR(__xludf.DUMMYFUNCTION("""COMPUTED_VALUE"""),"Yes")</f>
        <v>Yes</v>
      </c>
      <c r="AU444" s="8">
        <f ca="1">IFERROR(__xludf.DUMMYFUNCTION("""COMPUTED_VALUE"""),42.117244)</f>
        <v>42.117243999999999</v>
      </c>
      <c r="AV444" s="8">
        <f ca="1">IFERROR(__xludf.DUMMYFUNCTION("""COMPUTED_VALUE"""),-72.550605)</f>
        <v>-72.550605000000004</v>
      </c>
      <c r="AW444" s="8" t="str">
        <f ca="1">IFERROR(__xludf.DUMMYFUNCTION("""COMPUTED_VALUE"""),"Multiple detached buildings")</f>
        <v>Multiple detached buildings</v>
      </c>
      <c r="AX444" s="8">
        <f ca="1">IFERROR(__xludf.DUMMYFUNCTION("""COMPUTED_VALUE"""),1109)</f>
        <v>1109</v>
      </c>
    </row>
    <row r="445" spans="1:50" ht="90" x14ac:dyDescent="0.2">
      <c r="A445" s="8" t="str">
        <f ca="1">IFERROR(__xludf.DUMMYFUNCTION("""COMPUTED_VALUE"""),"20240307NYPSB")</f>
        <v>20240307NYPSB</v>
      </c>
      <c r="B445" s="8">
        <f ca="1">IFERROR(__xludf.DUMMYFUNCTION("""COMPUTED_VALUE"""),3)</f>
        <v>3</v>
      </c>
      <c r="C445" s="8">
        <f ca="1">IFERROR(__xludf.DUMMYFUNCTION("""COMPUTED_VALUE"""),7)</f>
        <v>7</v>
      </c>
      <c r="D445" s="8">
        <f ca="1">IFERROR(__xludf.DUMMYFUNCTION("""COMPUTED_VALUE"""),2024)</f>
        <v>2024</v>
      </c>
      <c r="E445" s="9">
        <f ca="1">IFERROR(__xludf.DUMMYFUNCTION("""COMPUTED_VALUE"""),45358)</f>
        <v>45358</v>
      </c>
      <c r="F445" s="8" t="str">
        <f ca="1">IFERROR(__xludf.DUMMYFUNCTION("""COMPUTED_VALUE"""),"PS 157 Grove Hill")</f>
        <v>PS 157 Grove Hill</v>
      </c>
      <c r="G445" s="8">
        <f ca="1">IFERROR(__xludf.DUMMYFUNCTION("""COMPUTED_VALUE"""),1)</f>
        <v>1</v>
      </c>
      <c r="H445" s="8">
        <f ca="1">IFERROR(__xludf.DUMMYFUNCTION("""COMPUTED_VALUE"""),0)</f>
        <v>0</v>
      </c>
      <c r="I445" s="8">
        <f ca="1">IFERROR(__xludf.DUMMYFUNCTION("""COMPUTED_VALUE"""),1)</f>
        <v>1</v>
      </c>
      <c r="J445" s="8">
        <f ca="1">IFERROR(__xludf.DUMMYFUNCTION("""COMPUTED_VALUE"""),0)</f>
        <v>0</v>
      </c>
      <c r="K445" s="10" t="str">
        <f ca="1">IFERROR(__xludf.DUMMYFUNCTION("""COMPUTED_VALUE"""),"https://www.nbcnewyork.com/news/local/bronx-teen-shot-playground-longwood-school/5205544/
https://abc7ny.com/teen-shot-shooting-fight/14501148/
https://bronx.news12.com/nypd-17-year-old-male-fatally-shot-in-the-neck-in-morrisania")</f>
        <v>https://www.nbcnewyork.com/news/local/bronx-teen-shot-playground-longwood-school/5205544/
https://abc7ny.com/teen-shot-shooting-fight/14501148/
https://bronx.news12.com/nypd-17-year-old-male-fatally-shot-in-the-neck-in-morrisania</v>
      </c>
      <c r="L445" s="8">
        <f ca="1">IFERROR(__xludf.DUMMYFUNCTION("""COMPUTED_VALUE"""),3)</f>
        <v>3</v>
      </c>
      <c r="M445" s="8" t="str">
        <f ca="1">IFERROR(__xludf.DUMMYFUNCTION("""COMPUTED_VALUE"""),"Local")</f>
        <v>Local</v>
      </c>
      <c r="N445" s="8">
        <f ca="1">IFERROR(__xludf.DUMMYFUNCTION("""COMPUTED_VALUE"""),4)</f>
        <v>4</v>
      </c>
      <c r="O445" s="8" t="str">
        <f ca="1">IFERROR(__xludf.DUMMYFUNCTION("""COMPUTED_VALUE"""),"Spring")</f>
        <v>Spring</v>
      </c>
      <c r="P445" s="8" t="str">
        <f ca="1">IFERROR(__xludf.DUMMYFUNCTION("""COMPUTED_VALUE"""),"Bronx")</f>
        <v>Bronx</v>
      </c>
      <c r="Q445" s="8" t="str">
        <f ca="1">IFERROR(__xludf.DUMMYFUNCTION("""COMPUTED_VALUE"""),"NY")</f>
        <v>NY</v>
      </c>
      <c r="R445" s="8" t="str">
        <f ca="1">IFERROR(__xludf.DUMMYFUNCTION("""COMPUTED_VALUE"""),"Elementary")</f>
        <v>Elementary</v>
      </c>
      <c r="S445" s="8" t="str">
        <f ca="1">IFERROR(__xludf.DUMMYFUNCTION("""COMPUTED_VALUE"""),"Playground")</f>
        <v>Playground</v>
      </c>
      <c r="T445" s="8" t="str">
        <f ca="1">IFERROR(__xludf.DUMMYFUNCTION("""COMPUTED_VALUE"""),"Outside on School Property")</f>
        <v>Outside on School Property</v>
      </c>
      <c r="U445" s="8" t="str">
        <f ca="1">IFERROR(__xludf.DUMMYFUNCTION("""COMPUTED_VALUE"""),"No")</f>
        <v>No</v>
      </c>
      <c r="V445" s="8" t="str">
        <f ca="1">IFERROR(__xludf.DUMMYFUNCTION("""COMPUTED_VALUE"""),"After School")</f>
        <v>After School</v>
      </c>
      <c r="W445" s="11">
        <f ca="1">IFERROR(__xludf.DUMMYFUNCTION("""COMPUTED_VALUE"""),0.677083333333333)</f>
        <v>0.67708333333333304</v>
      </c>
      <c r="X445" s="8">
        <f ca="1">IFERROR(__xludf.DUMMYFUNCTION("""COMPUTED_VALUE"""),1)</f>
        <v>1</v>
      </c>
      <c r="Y445" s="12" t="str">
        <f ca="1">IFERROR(__xludf.DUMMYFUNCTION("""COMPUTED_VALUE"""),"Teen fatally shot in the neck during fight outside school")</f>
        <v>Teen fatally shot in the neck during fight outside school</v>
      </c>
      <c r="Z445" s="12" t="str">
        <f ca="1">IFERROR(__xludf.DUMMYFUNCTION("""COMPUTED_VALUE"""),"The incident took place at around 4:15 p.m., according to the NYPD. Teen was transported to NYC Health + Hospitals/Lincoln and was pronounced dead a few hours later. The teen was found near Legacy College Prep High School and P.S. 157. It is unknown if he"&amp;" is a student there. No arrests have been made.")</f>
        <v>The incident took place at around 4:15 p.m., according to the NYPD. Teen was transported to NYC Health + Hospitals/Lincoln and was pronounced dead a few hours later. The teen was found near Legacy College Prep High School and P.S. 157. It is unknown if he is a student there. No arrests have been made.</v>
      </c>
      <c r="AA445" s="8" t="str">
        <f ca="1">IFERROR(__xludf.DUMMYFUNCTION("""COMPUTED_VALUE"""),"Escalation of Dispute")</f>
        <v>Escalation of Dispute</v>
      </c>
      <c r="AB445" s="8" t="str">
        <f ca="1">IFERROR(__xludf.DUMMYFUNCTION("""COMPUTED_VALUE"""),"Spontaneous")</f>
        <v>Spontaneous</v>
      </c>
      <c r="AC445" s="8" t="str">
        <f ca="1">IFERROR(__xludf.DUMMYFUNCTION("""COMPUTED_VALUE"""),"Yes")</f>
        <v>Yes</v>
      </c>
      <c r="AD445" s="8" t="str">
        <f ca="1">IFERROR(__xludf.DUMMYFUNCTION("""COMPUTED_VALUE"""),"Victims Targeted")</f>
        <v>Victims Targeted</v>
      </c>
      <c r="AE445" s="8" t="str">
        <f ca="1">IFERROR(__xludf.DUMMYFUNCTION("""COMPUTED_VALUE"""),"No")</f>
        <v>No</v>
      </c>
      <c r="AF445" s="8"/>
      <c r="AG445" s="8" t="str">
        <f ca="1">IFERROR(__xludf.DUMMYFUNCTION("""COMPUTED_VALUE"""),"No")</f>
        <v>No</v>
      </c>
      <c r="AH445" s="8" t="str">
        <f ca="1">IFERROR(__xludf.DUMMYFUNCTION("""COMPUTED_VALUE"""),"No")</f>
        <v>No</v>
      </c>
      <c r="AI445" s="8" t="str">
        <f ca="1">IFERROR(__xludf.DUMMYFUNCTION("""COMPUTED_VALUE"""),"No")</f>
        <v>No</v>
      </c>
      <c r="AJ445" s="8" t="str">
        <f ca="1">IFERROR(__xludf.DUMMYFUNCTION("""COMPUTED_VALUE"""),"No")</f>
        <v>No</v>
      </c>
      <c r="AK445" s="8" t="str">
        <f ca="1">IFERROR(__xludf.DUMMYFUNCTION("""COMPUTED_VALUE"""),"No")</f>
        <v>No</v>
      </c>
      <c r="AL445" s="8"/>
      <c r="AM445" s="8" t="str">
        <f ca="1">IFERROR(__xludf.DUMMYFUNCTION("""COMPUTED_VALUE"""),"No")</f>
        <v>No</v>
      </c>
      <c r="AN445" s="8" t="str">
        <f ca="1">IFERROR(__xludf.DUMMYFUNCTION("""COMPUTED_VALUE"""),"Outside")</f>
        <v>Outside</v>
      </c>
      <c r="AO445" s="8" t="str">
        <f ca="1">IFERROR(__xludf.DUMMYFUNCTION("""COMPUTED_VALUE"""),"No")</f>
        <v>No</v>
      </c>
      <c r="AP445" s="8"/>
      <c r="AQ445" s="8"/>
      <c r="AR445" s="8" t="str">
        <f ca="1">IFERROR(__xludf.DUMMYFUNCTION("""COMPUTED_VALUE"""),"Outside/Off-Property")</f>
        <v>Outside/Off-Property</v>
      </c>
      <c r="AS445" s="8">
        <f ca="1">IFERROR(__xludf.DUMMYFUNCTION("""COMPUTED_VALUE"""),99)</f>
        <v>99</v>
      </c>
      <c r="AT445" s="8" t="str">
        <f ca="1">IFERROR(__xludf.DUMMYFUNCTION("""COMPUTED_VALUE"""),"No")</f>
        <v>No</v>
      </c>
      <c r="AU445" s="8">
        <f ca="1">IFERROR(__xludf.DUMMYFUNCTION("""COMPUTED_VALUE"""),40.819569)</f>
        <v>40.819569000000001</v>
      </c>
      <c r="AV445" s="8">
        <f ca="1">IFERROR(__xludf.DUMMYFUNCTION("""COMPUTED_VALUE"""),-73.908767)</f>
        <v>-73.908766999999997</v>
      </c>
      <c r="AW445" s="8" t="str">
        <f ca="1">IFERROR(__xludf.DUMMYFUNCTION("""COMPUTED_VALUE"""),"Single building indoor hallway")</f>
        <v>Single building indoor hallway</v>
      </c>
      <c r="AX445" s="8">
        <f ca="1">IFERROR(__xludf.DUMMYFUNCTION("""COMPUTED_VALUE"""),10456)</f>
        <v>10456</v>
      </c>
    </row>
    <row r="446" spans="1:50" ht="225" x14ac:dyDescent="0.2">
      <c r="A446" s="8" t="str">
        <f ca="1">IFERROR(__xludf.DUMMYFUNCTION("""COMPUTED_VALUE"""),"20240305INHAL")</f>
        <v>20240305INHAL</v>
      </c>
      <c r="B446" s="8">
        <f ca="1">IFERROR(__xludf.DUMMYFUNCTION("""COMPUTED_VALUE"""),3)</f>
        <v>3</v>
      </c>
      <c r="C446" s="8">
        <f ca="1">IFERROR(__xludf.DUMMYFUNCTION("""COMPUTED_VALUE"""),5)</f>
        <v>5</v>
      </c>
      <c r="D446" s="8">
        <f ca="1">IFERROR(__xludf.DUMMYFUNCTION("""COMPUTED_VALUE"""),2024)</f>
        <v>2024</v>
      </c>
      <c r="E446" s="9">
        <f ca="1">IFERROR(__xludf.DUMMYFUNCTION("""COMPUTED_VALUE"""),45356)</f>
        <v>45356</v>
      </c>
      <c r="F446" s="8" t="str">
        <f ca="1">IFERROR(__xludf.DUMMYFUNCTION("""COMPUTED_VALUE"""),"Harrison Hill Elementary School")</f>
        <v>Harrison Hill Elementary School</v>
      </c>
      <c r="G446" s="8">
        <f ca="1">IFERROR(__xludf.DUMMYFUNCTION("""COMPUTED_VALUE"""),0)</f>
        <v>0</v>
      </c>
      <c r="H446" s="8">
        <f ca="1">IFERROR(__xludf.DUMMYFUNCTION("""COMPUTED_VALUE"""),1)</f>
        <v>1</v>
      </c>
      <c r="I446" s="8">
        <f ca="1">IFERROR(__xludf.DUMMYFUNCTION("""COMPUTED_VALUE"""),1)</f>
        <v>1</v>
      </c>
      <c r="J446" s="8">
        <f ca="1">IFERROR(__xludf.DUMMYFUNCTION("""COMPUTED_VALUE"""),0)</f>
        <v>0</v>
      </c>
      <c r="K446" s="8" t="str">
        <f ca="1">IFERROR(__xludf.DUMMYFUNCTION("""COMPUTED_VALUE"""),"https://fox59.com/news/indycrime/lawrence-police-still-looking-for-teenage-suspect-2-months-after-shooting-outside-elementary-school/
https://fox59.com/news/indycrime/lawrence-police-respond-to-person-shot-near-elementary-school/")</f>
        <v>https://fox59.com/news/indycrime/lawrence-police-still-looking-for-teenage-suspect-2-months-after-shooting-outside-elementary-school/
https://fox59.com/news/indycrime/lawrence-police-respond-to-person-shot-near-elementary-school/</v>
      </c>
      <c r="L446" s="8">
        <f ca="1">IFERROR(__xludf.DUMMYFUNCTION("""COMPUTED_VALUE"""),5)</f>
        <v>5</v>
      </c>
      <c r="M446" s="8" t="str">
        <f ca="1">IFERROR(__xludf.DUMMYFUNCTION("""COMPUTED_VALUE"""),"Local")</f>
        <v>Local</v>
      </c>
      <c r="N446" s="8">
        <f ca="1">IFERROR(__xludf.DUMMYFUNCTION("""COMPUTED_VALUE"""),4)</f>
        <v>4</v>
      </c>
      <c r="O446" s="8" t="str">
        <f ca="1">IFERROR(__xludf.DUMMYFUNCTION("""COMPUTED_VALUE"""),"Spring")</f>
        <v>Spring</v>
      </c>
      <c r="P446" s="8" t="str">
        <f ca="1">IFERROR(__xludf.DUMMYFUNCTION("""COMPUTED_VALUE"""),"Lawrence")</f>
        <v>Lawrence</v>
      </c>
      <c r="Q446" s="8" t="str">
        <f ca="1">IFERROR(__xludf.DUMMYFUNCTION("""COMPUTED_VALUE"""),"IN")</f>
        <v>IN</v>
      </c>
      <c r="R446" s="8" t="str">
        <f ca="1">IFERROR(__xludf.DUMMYFUNCTION("""COMPUTED_VALUE"""),"Elementary")</f>
        <v>Elementary</v>
      </c>
      <c r="S446" s="8" t="str">
        <f ca="1">IFERROR(__xludf.DUMMYFUNCTION("""COMPUTED_VALUE"""),"Beside Building")</f>
        <v>Beside Building</v>
      </c>
      <c r="T446" s="8" t="str">
        <f ca="1">IFERROR(__xludf.DUMMYFUNCTION("""COMPUTED_VALUE"""),"Outside on School Property")</f>
        <v>Outside on School Property</v>
      </c>
      <c r="U446" s="8" t="str">
        <f ca="1">IFERROR(__xludf.DUMMYFUNCTION("""COMPUTED_VALUE"""),"No")</f>
        <v>No</v>
      </c>
      <c r="V446" s="8" t="str">
        <f ca="1">IFERROR(__xludf.DUMMYFUNCTION("""COMPUTED_VALUE"""),"After School")</f>
        <v>After School</v>
      </c>
      <c r="W446" s="11">
        <f ca="1">IFERROR(__xludf.DUMMYFUNCTION("""COMPUTED_VALUE"""),0.666666666666666)</f>
        <v>0.66666666666666596</v>
      </c>
      <c r="X446" s="8">
        <f ca="1">IFERROR(__xludf.DUMMYFUNCTION("""COMPUTED_VALUE"""),1)</f>
        <v>1</v>
      </c>
      <c r="Y446" s="12" t="str">
        <f ca="1">IFERROR(__xludf.DUMMYFUNCTION("""COMPUTED_VALUE"""),"14-year-old shot during fight with 4 high school students behind school building")</f>
        <v>14-year-old shot during fight with 4 high school students behind school building</v>
      </c>
      <c r="Z446" s="12" t="str">
        <f ca="1">IFERROR(__xludf.DUMMYFUNCTION("""COMPUTED_VALUE"""),"Lawrence police say an argument Tuesday between high-school-aged students ended with a juvenile male being shot behind a Marion County elementary school. Online records show that officers with the Lawrence Police Department were called just after 4 p.m. T"&amp;"uesday to 7510 E. 53rd Street, the address for Harrison Hill Elementary School, on report of a person shot. Deputy Chief of Police Travis Cline confirmed to FOX59/CBS4 that, upon arrival, officers found a juvenile victim shot in the leg behind the school."&amp;" The victim has since been taken to the hospital and is in stable condition. According to Cline, several high-school-aged persons of interest have been taken into custody. It is believed that the shooting was the result of an argument between four juvenil"&amp;"es that ended when one suspect flashed a gun and shot the victim in the leg.")</f>
        <v>Lawrence police say an argument Tuesday between high-school-aged students ended with a juvenile male being shot behind a Marion County elementary school. Online records show that officers with the Lawrence Police Department were called just after 4 p.m. Tuesday to 7510 E. 53rd Street, the address for Harrison Hill Elementary School, on report of a person shot. Deputy Chief of Police Travis Cline confirmed to FOX59/CBS4 that, upon arrival, officers found a juvenile victim shot in the leg behind the school. The victim has since been taken to the hospital and is in stable condition. According to Cline, several high-school-aged persons of interest have been taken into custody. It is believed that the shooting was the result of an argument between four juveniles that ended when one suspect flashed a gun and shot the victim in the leg.</v>
      </c>
      <c r="AA446" s="8" t="str">
        <f ca="1">IFERROR(__xludf.DUMMYFUNCTION("""COMPUTED_VALUE"""),"Escalation of Dispute")</f>
        <v>Escalation of Dispute</v>
      </c>
      <c r="AB446" s="8" t="str">
        <f ca="1">IFERROR(__xludf.DUMMYFUNCTION("""COMPUTED_VALUE"""),"Spontaneous")</f>
        <v>Spontaneous</v>
      </c>
      <c r="AC446" s="8" t="str">
        <f ca="1">IFERROR(__xludf.DUMMYFUNCTION("""COMPUTED_VALUE"""),"Yes")</f>
        <v>Yes</v>
      </c>
      <c r="AD446" s="8" t="str">
        <f ca="1">IFERROR(__xludf.DUMMYFUNCTION("""COMPUTED_VALUE"""),"Victims Targeted")</f>
        <v>Victims Targeted</v>
      </c>
      <c r="AE446" s="8" t="str">
        <f ca="1">IFERROR(__xludf.DUMMYFUNCTION("""COMPUTED_VALUE"""),"Yes")</f>
        <v>Yes</v>
      </c>
      <c r="AF446" s="8" t="str">
        <f ca="1">IFERROR(__xludf.DUMMYFUNCTION("""COMPUTED_VALUE"""),"4 teens arrested")</f>
        <v>4 teens arrested</v>
      </c>
      <c r="AG446" s="8" t="str">
        <f ca="1">IFERROR(__xludf.DUMMYFUNCTION("""COMPUTED_VALUE"""),"No")</f>
        <v>No</v>
      </c>
      <c r="AH446" s="8" t="str">
        <f ca="1">IFERROR(__xludf.DUMMYFUNCTION("""COMPUTED_VALUE"""),"No")</f>
        <v>No</v>
      </c>
      <c r="AI446" s="8" t="str">
        <f ca="1">IFERROR(__xludf.DUMMYFUNCTION("""COMPUTED_VALUE"""),"No")</f>
        <v>No</v>
      </c>
      <c r="AJ446" s="8" t="str">
        <f ca="1">IFERROR(__xludf.DUMMYFUNCTION("""COMPUTED_VALUE"""),"No")</f>
        <v>No</v>
      </c>
      <c r="AK446" s="8" t="str">
        <f ca="1">IFERROR(__xludf.DUMMYFUNCTION("""COMPUTED_VALUE"""),"No")</f>
        <v>No</v>
      </c>
      <c r="AL446" s="8" t="str">
        <f ca="1">IFERROR(__xludf.DUMMYFUNCTION("""COMPUTED_VALUE"""),"No")</f>
        <v>No</v>
      </c>
      <c r="AM446" s="8" t="str">
        <f ca="1">IFERROR(__xludf.DUMMYFUNCTION("""COMPUTED_VALUE"""),"No")</f>
        <v>No</v>
      </c>
      <c r="AN446" s="8" t="str">
        <f ca="1">IFERROR(__xludf.DUMMYFUNCTION("""COMPUTED_VALUE"""),"Outside")</f>
        <v>Outside</v>
      </c>
      <c r="AO446" s="8" t="str">
        <f ca="1">IFERROR(__xludf.DUMMYFUNCTION("""COMPUTED_VALUE"""),"No")</f>
        <v>No</v>
      </c>
      <c r="AP446" s="8"/>
      <c r="AQ446" s="8"/>
      <c r="AR446" s="8" t="str">
        <f ca="1">IFERROR(__xludf.DUMMYFUNCTION("""COMPUTED_VALUE"""),"Outside/Off-Property")</f>
        <v>Outside/Off-Property</v>
      </c>
      <c r="AS446" s="8">
        <f ca="1">IFERROR(__xludf.DUMMYFUNCTION("""COMPUTED_VALUE"""),1)</f>
        <v>1</v>
      </c>
      <c r="AT446" s="8" t="str">
        <f ca="1">IFERROR(__xludf.DUMMYFUNCTION("""COMPUTED_VALUE"""),"No")</f>
        <v>No</v>
      </c>
      <c r="AU446" s="8">
        <f ca="1">IFERROR(__xludf.DUMMYFUNCTION("""COMPUTED_VALUE"""),39.850237)</f>
        <v>39.850237</v>
      </c>
      <c r="AV446" s="8">
        <f ca="1">IFERROR(__xludf.DUMMYFUNCTION("""COMPUTED_VALUE"""),-86.035872)</f>
        <v>-86.035871999999998</v>
      </c>
      <c r="AW446" s="8" t="str">
        <f ca="1">IFERROR(__xludf.DUMMYFUNCTION("""COMPUTED_VALUE"""),"Single building indoor hallway")</f>
        <v>Single building indoor hallway</v>
      </c>
      <c r="AX446" s="8">
        <f ca="1">IFERROR(__xludf.DUMMYFUNCTION("""COMPUTED_VALUE"""),46226)</f>
        <v>46226</v>
      </c>
    </row>
    <row r="447" spans="1:50" ht="180" x14ac:dyDescent="0.2">
      <c r="A447" s="8" t="str">
        <f ca="1">IFERROR(__xludf.DUMMYFUNCTION("""COMPUTED_VALUE"""),"20240304TNBRB")</f>
        <v>20240304TNBRB</v>
      </c>
      <c r="B447" s="8">
        <f ca="1">IFERROR(__xludf.DUMMYFUNCTION("""COMPUTED_VALUE"""),3)</f>
        <v>3</v>
      </c>
      <c r="C447" s="8">
        <f ca="1">IFERROR(__xludf.DUMMYFUNCTION("""COMPUTED_VALUE"""),4)</f>
        <v>4</v>
      </c>
      <c r="D447" s="8">
        <f ca="1">IFERROR(__xludf.DUMMYFUNCTION("""COMPUTED_VALUE"""),2024)</f>
        <v>2024</v>
      </c>
      <c r="E447" s="9">
        <f ca="1">IFERROR(__xludf.DUMMYFUNCTION("""COMPUTED_VALUE"""),45355)</f>
        <v>45355</v>
      </c>
      <c r="F447" s="8" t="str">
        <f ca="1">IFERROR(__xludf.DUMMYFUNCTION("""COMPUTED_VALUE"""),"Brighton High School")</f>
        <v>Brighton High School</v>
      </c>
      <c r="G447" s="8">
        <f ca="1">IFERROR(__xludf.DUMMYFUNCTION("""COMPUTED_VALUE"""),0)</f>
        <v>0</v>
      </c>
      <c r="H447" s="8">
        <f ca="1">IFERROR(__xludf.DUMMYFUNCTION("""COMPUTED_VALUE"""),1)</f>
        <v>1</v>
      </c>
      <c r="I447" s="8">
        <f ca="1">IFERROR(__xludf.DUMMYFUNCTION("""COMPUTED_VALUE"""),1)</f>
        <v>1</v>
      </c>
      <c r="J447" s="8">
        <f ca="1">IFERROR(__xludf.DUMMYFUNCTION("""COMPUTED_VALUE"""),0)</f>
        <v>0</v>
      </c>
      <c r="K447" s="10" t="str">
        <f ca="1">IFERROR(__xludf.DUMMYFUNCTION("""COMPUTED_VALUE"""),"https://www.actionnews5.com/2024/03/04/police-tipton-co-high-schooler-arrested-after-carjacking-another-student-gunpoint-before-school/
https://www.fox13memphis.com/education/hes-got-a-gun-mid-south-high-school-student-carjacks-classmate-at-gunpoint-polic"&amp;"e-say/article_ec319d82-da6f-11ee-9f12-4b6335391fcf.html")</f>
        <v>https://www.actionnews5.com/2024/03/04/police-tipton-co-high-schooler-arrested-after-carjacking-another-student-gunpoint-before-school/
https://www.fox13memphis.com/education/hes-got-a-gun-mid-south-high-school-student-carjacks-classmate-at-gunpoint-police-say/article_ec319d82-da6f-11ee-9f12-4b6335391fcf.html</v>
      </c>
      <c r="L447" s="8">
        <f ca="1">IFERROR(__xludf.DUMMYFUNCTION("""COMPUTED_VALUE"""),10)</f>
        <v>10</v>
      </c>
      <c r="M447" s="8" t="str">
        <f ca="1">IFERROR(__xludf.DUMMYFUNCTION("""COMPUTED_VALUE"""),"Regional")</f>
        <v>Regional</v>
      </c>
      <c r="N447" s="8">
        <f ca="1">IFERROR(__xludf.DUMMYFUNCTION("""COMPUTED_VALUE"""),4)</f>
        <v>4</v>
      </c>
      <c r="O447" s="8" t="str">
        <f ca="1">IFERROR(__xludf.DUMMYFUNCTION("""COMPUTED_VALUE"""),"Spring")</f>
        <v>Spring</v>
      </c>
      <c r="P447" s="8" t="str">
        <f ca="1">IFERROR(__xludf.DUMMYFUNCTION("""COMPUTED_VALUE"""),"Brighton")</f>
        <v>Brighton</v>
      </c>
      <c r="Q447" s="8" t="str">
        <f ca="1">IFERROR(__xludf.DUMMYFUNCTION("""COMPUTED_VALUE"""),"TN")</f>
        <v>TN</v>
      </c>
      <c r="R447" s="8" t="str">
        <f ca="1">IFERROR(__xludf.DUMMYFUNCTION("""COMPUTED_VALUE"""),"High")</f>
        <v>High</v>
      </c>
      <c r="S447" s="8" t="str">
        <f ca="1">IFERROR(__xludf.DUMMYFUNCTION("""COMPUTED_VALUE"""),"Parking Lot")</f>
        <v>Parking Lot</v>
      </c>
      <c r="T447" s="8" t="str">
        <f ca="1">IFERROR(__xludf.DUMMYFUNCTION("""COMPUTED_VALUE"""),"Outside on School Property")</f>
        <v>Outside on School Property</v>
      </c>
      <c r="U447" s="8" t="str">
        <f ca="1">IFERROR(__xludf.DUMMYFUNCTION("""COMPUTED_VALUE"""),"Yes")</f>
        <v>Yes</v>
      </c>
      <c r="V447" s="8" t="str">
        <f ca="1">IFERROR(__xludf.DUMMYFUNCTION("""COMPUTED_VALUE"""),"School Start")</f>
        <v>School Start</v>
      </c>
      <c r="W447" s="11">
        <f ca="1">IFERROR(__xludf.DUMMYFUNCTION("""COMPUTED_VALUE"""),0.30625)</f>
        <v>0.30625000000000002</v>
      </c>
      <c r="X447" s="8">
        <f ca="1">IFERROR(__xludf.DUMMYFUNCTION("""COMPUTED_VALUE"""),1)</f>
        <v>1</v>
      </c>
      <c r="Y447" s="12" t="str">
        <f ca="1">IFERROR(__xludf.DUMMYFUNCTION("""COMPUTED_VALUE"""),"Student carjacked classmate at gunpoint, ran from SRO")</f>
        <v>Student carjacked classmate at gunpoint, ran from SRO</v>
      </c>
      <c r="Z447" s="12" t="str">
        <f ca="1">IFERROR(__xludf.DUMMYFUNCTION("""COMPUTED_VALUE"""),"A school resource officer was directing traffic on Highway 51 at the entrance to Brighton High School when a white car approached and the girl driving yelled ""He's got a gun,"" BPD said. Earlier Monday morning, the gunman had carjacked the girl, hit her "&amp;"over the head with a gun and then forced her to drive, according to police. When the car approached the school, the gunman jumped out and ran towards the high school tennis courts where he entered a large concrete culvert that runs under Highway 51, BPD s"&amp;"aid. The school resource officer gave chase, arresting the gunman in the culvert. Police said that ""the threat never entered the school building."" ")</f>
        <v xml:space="preserve">A school resource officer was directing traffic on Highway 51 at the entrance to Brighton High School when a white car approached and the girl driving yelled "He's got a gun," BPD said. Earlier Monday morning, the gunman had carjacked the girl, hit her over the head with a gun and then forced her to drive, according to police. When the car approached the school, the gunman jumped out and ran towards the high school tennis courts where he entered a large concrete culvert that runs under Highway 51, BPD said. The school resource officer gave chase, arresting the gunman in the culvert. Police said that "the threat never entered the school building." </v>
      </c>
      <c r="AA447" s="8" t="str">
        <f ca="1">IFERROR(__xludf.DUMMYFUNCTION("""COMPUTED_VALUE"""),"Illegal Activity")</f>
        <v>Illegal Activity</v>
      </c>
      <c r="AB447" s="8" t="str">
        <f ca="1">IFERROR(__xludf.DUMMYFUNCTION("""COMPUTED_VALUE"""),"Targeted")</f>
        <v>Targeted</v>
      </c>
      <c r="AC447" s="8" t="str">
        <f ca="1">IFERROR(__xludf.DUMMYFUNCTION("""COMPUTED_VALUE"""),"Yes")</f>
        <v>Yes</v>
      </c>
      <c r="AD447" s="8" t="str">
        <f ca="1">IFERROR(__xludf.DUMMYFUNCTION("""COMPUTED_VALUE"""),"Victims Targeted")</f>
        <v>Victims Targeted</v>
      </c>
      <c r="AE447" s="8" t="str">
        <f ca="1">IFERROR(__xludf.DUMMYFUNCTION("""COMPUTED_VALUE"""),"No")</f>
        <v>No</v>
      </c>
      <c r="AF447" s="8"/>
      <c r="AG447" s="8" t="str">
        <f ca="1">IFERROR(__xludf.DUMMYFUNCTION("""COMPUTED_VALUE"""),"No")</f>
        <v>No</v>
      </c>
      <c r="AH447" s="8" t="str">
        <f ca="1">IFERROR(__xludf.DUMMYFUNCTION("""COMPUTED_VALUE"""),"No")</f>
        <v>No</v>
      </c>
      <c r="AI447" s="8" t="str">
        <f ca="1">IFERROR(__xludf.DUMMYFUNCTION("""COMPUTED_VALUE"""),"No")</f>
        <v>No</v>
      </c>
      <c r="AJ447" s="8" t="str">
        <f ca="1">IFERROR(__xludf.DUMMYFUNCTION("""COMPUTED_VALUE"""),"No")</f>
        <v>No</v>
      </c>
      <c r="AK447" s="8" t="str">
        <f ca="1">IFERROR(__xludf.DUMMYFUNCTION("""COMPUTED_VALUE"""),"No")</f>
        <v>No</v>
      </c>
      <c r="AL447" s="8" t="str">
        <f ca="1">IFERROR(__xludf.DUMMYFUNCTION("""COMPUTED_VALUE"""),"No")</f>
        <v>No</v>
      </c>
      <c r="AM447" s="8" t="str">
        <f ca="1">IFERROR(__xludf.DUMMYFUNCTION("""COMPUTED_VALUE"""),"No")</f>
        <v>No</v>
      </c>
      <c r="AN447" s="8" t="str">
        <f ca="1">IFERROR(__xludf.DUMMYFUNCTION("""COMPUTED_VALUE"""),"Outside")</f>
        <v>Outside</v>
      </c>
      <c r="AO447" s="8" t="str">
        <f ca="1">IFERROR(__xludf.DUMMYFUNCTION("""COMPUTED_VALUE"""),"No")</f>
        <v>No</v>
      </c>
      <c r="AP447" s="8" t="str">
        <f ca="1">IFERROR(__xludf.DUMMYFUNCTION("""COMPUTED_VALUE"""),"Yes")</f>
        <v>Yes</v>
      </c>
      <c r="AQ447" s="8"/>
      <c r="AR447" s="8" t="str">
        <f ca="1">IFERROR(__xludf.DUMMYFUNCTION("""COMPUTED_VALUE"""),"Outside/Off-Property")</f>
        <v>Outside/Off-Property</v>
      </c>
      <c r="AS447" s="8">
        <f ca="1">IFERROR(__xludf.DUMMYFUNCTION("""COMPUTED_VALUE"""),0)</f>
        <v>0</v>
      </c>
      <c r="AT447" s="8" t="str">
        <f ca="1">IFERROR(__xludf.DUMMYFUNCTION("""COMPUTED_VALUE"""),"No")</f>
        <v>No</v>
      </c>
      <c r="AU447" s="8">
        <f ca="1">IFERROR(__xludf.DUMMYFUNCTION("""COMPUTED_VALUE"""),35.478168)</f>
        <v>35.478167999999997</v>
      </c>
      <c r="AV447" s="8">
        <f ca="1">IFERROR(__xludf.DUMMYFUNCTION("""COMPUTED_VALUE"""),-89.746118)</f>
        <v>-89.746117999999996</v>
      </c>
      <c r="AW447" s="8" t="str">
        <f ca="1">IFERROR(__xludf.DUMMYFUNCTION("""COMPUTED_VALUE"""),"Single building indoor hallway")</f>
        <v>Single building indoor hallway</v>
      </c>
      <c r="AX447" s="8">
        <f ca="1">IFERROR(__xludf.DUMMYFUNCTION("""COMPUTED_VALUE"""),38011)</f>
        <v>38011</v>
      </c>
    </row>
    <row r="448" spans="1:50" ht="165" x14ac:dyDescent="0.2">
      <c r="A448" s="8" t="str">
        <f ca="1">IFERROR(__xludf.DUMMYFUNCTION("""COMPUTED_VALUE"""),"20240302INROR")</f>
        <v>20240302INROR</v>
      </c>
      <c r="B448" s="8">
        <f ca="1">IFERROR(__xludf.DUMMYFUNCTION("""COMPUTED_VALUE"""),3)</f>
        <v>3</v>
      </c>
      <c r="C448" s="8">
        <f ca="1">IFERROR(__xludf.DUMMYFUNCTION("""COMPUTED_VALUE"""),2)</f>
        <v>2</v>
      </c>
      <c r="D448" s="8">
        <f ca="1">IFERROR(__xludf.DUMMYFUNCTION("""COMPUTED_VALUE"""),2024)</f>
        <v>2024</v>
      </c>
      <c r="E448" s="9">
        <f ca="1">IFERROR(__xludf.DUMMYFUNCTION("""COMPUTED_VALUE"""),45353)</f>
        <v>45353</v>
      </c>
      <c r="F448" s="8" t="str">
        <f ca="1">IFERROR(__xludf.DUMMYFUNCTION("""COMPUTED_VALUE"""),"Rochester Community High School")</f>
        <v>Rochester Community High School</v>
      </c>
      <c r="G448" s="8">
        <f ca="1">IFERROR(__xludf.DUMMYFUNCTION("""COMPUTED_VALUE"""),0)</f>
        <v>0</v>
      </c>
      <c r="H448" s="8">
        <f ca="1">IFERROR(__xludf.DUMMYFUNCTION("""COMPUTED_VALUE"""),0)</f>
        <v>0</v>
      </c>
      <c r="I448" s="8">
        <f ca="1">IFERROR(__xludf.DUMMYFUNCTION("""COMPUTED_VALUE"""),0)</f>
        <v>0</v>
      </c>
      <c r="J448" s="8">
        <f ca="1">IFERROR(__xludf.DUMMYFUNCTION("""COMPUTED_VALUE"""),0)</f>
        <v>0</v>
      </c>
      <c r="K448" s="8" t="str">
        <f ca="1">IFERROR(__xludf.DUMMYFUNCTION("""COMPUTED_VALUE"""),"https://www.inkfreenews.com/2024/03/07/more-details-released-on-firearm-discharge-at-rochester-wrestling-tourney/
https://www.953mnc.com/2024/03/02/bremen-man-arrested-after-gun-discharge-at-rochester-high-school/")</f>
        <v>https://www.inkfreenews.com/2024/03/07/more-details-released-on-firearm-discharge-at-rochester-wrestling-tourney/
https://www.953mnc.com/2024/03/02/bremen-man-arrested-after-gun-discharge-at-rochester-high-school/</v>
      </c>
      <c r="L448" s="8">
        <f ca="1">IFERROR(__xludf.DUMMYFUNCTION("""COMPUTED_VALUE"""),2)</f>
        <v>2</v>
      </c>
      <c r="M448" s="8" t="str">
        <f ca="1">IFERROR(__xludf.DUMMYFUNCTION("""COMPUTED_VALUE"""),"Local")</f>
        <v>Local</v>
      </c>
      <c r="N448" s="8">
        <f ca="1">IFERROR(__xludf.DUMMYFUNCTION("""COMPUTED_VALUE"""),4)</f>
        <v>4</v>
      </c>
      <c r="O448" s="8" t="str">
        <f ca="1">IFERROR(__xludf.DUMMYFUNCTION("""COMPUTED_VALUE"""),"Spring")</f>
        <v>Spring</v>
      </c>
      <c r="P448" s="8" t="str">
        <f ca="1">IFERROR(__xludf.DUMMYFUNCTION("""COMPUTED_VALUE"""),"Rochester")</f>
        <v>Rochester</v>
      </c>
      <c r="Q448" s="8" t="str">
        <f ca="1">IFERROR(__xludf.DUMMYFUNCTION("""COMPUTED_VALUE"""),"IN")</f>
        <v>IN</v>
      </c>
      <c r="R448" s="8" t="str">
        <f ca="1">IFERROR(__xludf.DUMMYFUNCTION("""COMPUTED_VALUE"""),"High")</f>
        <v>High</v>
      </c>
      <c r="S448" s="8" t="str">
        <f ca="1">IFERROR(__xludf.DUMMYFUNCTION("""COMPUTED_VALUE"""),"Gym")</f>
        <v>Gym</v>
      </c>
      <c r="T448" s="8" t="str">
        <f ca="1">IFERROR(__xludf.DUMMYFUNCTION("""COMPUTED_VALUE"""),"Inside School Building")</f>
        <v>Inside School Building</v>
      </c>
      <c r="U448" s="8" t="str">
        <f ca="1">IFERROR(__xludf.DUMMYFUNCTION("""COMPUTED_VALUE"""),"No")</f>
        <v>No</v>
      </c>
      <c r="V448" s="8" t="str">
        <f ca="1">IFERROR(__xludf.DUMMYFUNCTION("""COMPUTED_VALUE"""),"Sport Event")</f>
        <v>Sport Event</v>
      </c>
      <c r="W448" s="8"/>
      <c r="X448" s="8">
        <f ca="1">IFERROR(__xludf.DUMMYFUNCTION("""COMPUTED_VALUE"""),1)</f>
        <v>1</v>
      </c>
      <c r="Y448" s="12" t="str">
        <f ca="1">IFERROR(__xludf.DUMMYFUNCTION("""COMPUTED_VALUE"""),"Man accidentally fired during inside gym during wrestling tournament")</f>
        <v>Man accidentally fired during inside gym during wrestling tournament</v>
      </c>
      <c r="Z448" s="12" t="str">
        <f ca="1">IFERROR(__xludf.DUMMYFUNCTION("""COMPUTED_VALUE"""),"A Bremen man was arrested when a gun he had in his possession went off during a wrestling tournament at Rochester High School. The incident happened on Saturday afternoon, March 2, during the tournament with athletes, coaches and families in attendance fr"&amp;"om nearly a dozen area school corporations. Scott Yeager, 44, was found to be in possession of two loaded handguns in his backpack, according to the Fulton County Sheriff’s Office. Authorities believe Yeager negligently discharged the firearm. Yeager was "&amp;"also in possession of illegal narcotics and a knife, police stated.")</f>
        <v>A Bremen man was arrested when a gun he had in his possession went off during a wrestling tournament at Rochester High School. The incident happened on Saturday afternoon, March 2, during the tournament with athletes, coaches and families in attendance from nearly a dozen area school corporations. Scott Yeager, 44, was found to be in possession of two loaded handguns in his backpack, according to the Fulton County Sheriff’s Office. Authorities believe Yeager negligently discharged the firearm. Yeager was also in possession of illegal narcotics and a knife, police stated.</v>
      </c>
      <c r="AA448" s="8" t="str">
        <f ca="1">IFERROR(__xludf.DUMMYFUNCTION("""COMPUTED_VALUE"""),"Accidental")</f>
        <v>Accidental</v>
      </c>
      <c r="AB448" s="8" t="str">
        <f ca="1">IFERROR(__xludf.DUMMYFUNCTION("""COMPUTED_VALUE"""),"Spontaneous")</f>
        <v>Spontaneous</v>
      </c>
      <c r="AC448" s="8" t="str">
        <f ca="1">IFERROR(__xludf.DUMMYFUNCTION("""COMPUTED_VALUE"""),"Yes")</f>
        <v>Yes</v>
      </c>
      <c r="AD448" s="8" t="str">
        <f ca="1">IFERROR(__xludf.DUMMYFUNCTION("""COMPUTED_VALUE"""),"Neither")</f>
        <v>Neither</v>
      </c>
      <c r="AE448" s="8" t="str">
        <f ca="1">IFERROR(__xludf.DUMMYFUNCTION("""COMPUTED_VALUE"""),"No")</f>
        <v>No</v>
      </c>
      <c r="AF448" s="8"/>
      <c r="AG448" s="8" t="str">
        <f ca="1">IFERROR(__xludf.DUMMYFUNCTION("""COMPUTED_VALUE"""),"No")</f>
        <v>No</v>
      </c>
      <c r="AH448" s="8" t="str">
        <f ca="1">IFERROR(__xludf.DUMMYFUNCTION("""COMPUTED_VALUE"""),"No")</f>
        <v>No</v>
      </c>
      <c r="AI448" s="8" t="str">
        <f ca="1">IFERROR(__xludf.DUMMYFUNCTION("""COMPUTED_VALUE"""),"No")</f>
        <v>No</v>
      </c>
      <c r="AJ448" s="8" t="str">
        <f ca="1">IFERROR(__xludf.DUMMYFUNCTION("""COMPUTED_VALUE"""),"No")</f>
        <v>No</v>
      </c>
      <c r="AK448" s="8" t="str">
        <f ca="1">IFERROR(__xludf.DUMMYFUNCTION("""COMPUTED_VALUE"""),"No")</f>
        <v>No</v>
      </c>
      <c r="AL448" s="8" t="str">
        <f ca="1">IFERROR(__xludf.DUMMYFUNCTION("""COMPUTED_VALUE"""),"No")</f>
        <v>No</v>
      </c>
      <c r="AM448" s="8" t="str">
        <f ca="1">IFERROR(__xludf.DUMMYFUNCTION("""COMPUTED_VALUE"""),"No")</f>
        <v>No</v>
      </c>
      <c r="AN448" s="8" t="str">
        <f ca="1">IFERROR(__xludf.DUMMYFUNCTION("""COMPUTED_VALUE"""),"Single Room")</f>
        <v>Single Room</v>
      </c>
      <c r="AO448" s="8" t="str">
        <f ca="1">IFERROR(__xludf.DUMMYFUNCTION("""COMPUTED_VALUE"""),"No")</f>
        <v>No</v>
      </c>
      <c r="AP448" s="8"/>
      <c r="AQ448" s="8"/>
      <c r="AR448" s="8" t="str">
        <f ca="1">IFERROR(__xludf.DUMMYFUNCTION("""COMPUTED_VALUE"""),"Failed")</f>
        <v>Failed</v>
      </c>
      <c r="AS448" s="8">
        <f ca="1">IFERROR(__xludf.DUMMYFUNCTION("""COMPUTED_VALUE"""),1)</f>
        <v>1</v>
      </c>
      <c r="AT448" s="8" t="str">
        <f ca="1">IFERROR(__xludf.DUMMYFUNCTION("""COMPUTED_VALUE"""),"No")</f>
        <v>No</v>
      </c>
      <c r="AU448" s="8">
        <f ca="1">IFERROR(__xludf.DUMMYFUNCTION("""COMPUTED_VALUE"""),41.057006)</f>
        <v>41.057006000000001</v>
      </c>
      <c r="AV448" s="8">
        <f ca="1">IFERROR(__xludf.DUMMYFUNCTION("""COMPUTED_VALUE"""),-86.224299)</f>
        <v>-86.224299000000002</v>
      </c>
      <c r="AW448" s="8" t="str">
        <f ca="1">IFERROR(__xludf.DUMMYFUNCTION("""COMPUTED_VALUE"""),"Single building indoor hallway")</f>
        <v>Single building indoor hallway</v>
      </c>
      <c r="AX448" s="8">
        <f ca="1">IFERROR(__xludf.DUMMYFUNCTION("""COMPUTED_VALUE"""),46975)</f>
        <v>46975</v>
      </c>
    </row>
    <row r="449" spans="1:50" ht="90" x14ac:dyDescent="0.2">
      <c r="A449" s="8" t="str">
        <f ca="1">IFERROR(__xludf.DUMMYFUNCTION("""COMPUTED_VALUE"""),"20240302MONOK")</f>
        <v>20240302MONOK</v>
      </c>
      <c r="B449" s="8">
        <f ca="1">IFERROR(__xludf.DUMMYFUNCTION("""COMPUTED_VALUE"""),3)</f>
        <v>3</v>
      </c>
      <c r="C449" s="8">
        <f ca="1">IFERROR(__xludf.DUMMYFUNCTION("""COMPUTED_VALUE"""),2)</f>
        <v>2</v>
      </c>
      <c r="D449" s="8">
        <f ca="1">IFERROR(__xludf.DUMMYFUNCTION("""COMPUTED_VALUE"""),2024)</f>
        <v>2024</v>
      </c>
      <c r="E449" s="9">
        <f ca="1">IFERROR(__xludf.DUMMYFUNCTION("""COMPUTED_VALUE"""),45353)</f>
        <v>45353</v>
      </c>
      <c r="F449" s="8" t="str">
        <f ca="1">IFERROR(__xludf.DUMMYFUNCTION("""COMPUTED_VALUE"""),"North Kansas City High School")</f>
        <v>North Kansas City High School</v>
      </c>
      <c r="G449" s="8">
        <f ca="1">IFERROR(__xludf.DUMMYFUNCTION("""COMPUTED_VALUE"""),0)</f>
        <v>0</v>
      </c>
      <c r="H449" s="8">
        <f ca="1">IFERROR(__xludf.DUMMYFUNCTION("""COMPUTED_VALUE"""),2)</f>
        <v>2</v>
      </c>
      <c r="I449" s="8">
        <f ca="1">IFERROR(__xludf.DUMMYFUNCTION("""COMPUTED_VALUE"""),2)</f>
        <v>2</v>
      </c>
      <c r="J449" s="8">
        <f ca="1">IFERROR(__xludf.DUMMYFUNCTION("""COMPUTED_VALUE"""),0)</f>
        <v>0</v>
      </c>
      <c r="K449" s="10" t="str">
        <f ca="1">IFERROR(__xludf.DUMMYFUNCTION("""COMPUTED_VALUE"""),"https://www.kshb.com/news/local-news/investigations/kshb-41-i-team-obtains-video-showing-shooting-outside-north-kansas-city-high-school
https://www.kctv5.com/2024/03/15/brothers-charged-shooting-that-left-two-wounded-near-north-kansas-city-high-school/
ht"&amp;"tps://www.cbsnews.com/news/shooting-outside-high-school-basketball-game-north-kansas-city-multiple-injuries/
https://www.kshb.com/news/crime/heavy-police-presence-reported-saturday-around-north-kansas-city-high-school")</f>
        <v>https://www.kshb.com/news/local-news/investigations/kshb-41-i-team-obtains-video-showing-shooting-outside-north-kansas-city-high-school
https://www.kctv5.com/2024/03/15/brothers-charged-shooting-that-left-two-wounded-near-north-kansas-city-high-school/
https://www.cbsnews.com/news/shooting-outside-high-school-basketball-game-north-kansas-city-multiple-injuries/
https://www.kshb.com/news/crime/heavy-police-presence-reported-saturday-around-north-kansas-city-high-school</v>
      </c>
      <c r="L449" s="8">
        <f ca="1">IFERROR(__xludf.DUMMYFUNCTION("""COMPUTED_VALUE"""),30)</f>
        <v>30</v>
      </c>
      <c r="M449" s="8" t="str">
        <f ca="1">IFERROR(__xludf.DUMMYFUNCTION("""COMPUTED_VALUE"""),"National")</f>
        <v>National</v>
      </c>
      <c r="N449" s="8">
        <f ca="1">IFERROR(__xludf.DUMMYFUNCTION("""COMPUTED_VALUE"""),4)</f>
        <v>4</v>
      </c>
      <c r="O449" s="8" t="str">
        <f ca="1">IFERROR(__xludf.DUMMYFUNCTION("""COMPUTED_VALUE"""),"Spring")</f>
        <v>Spring</v>
      </c>
      <c r="P449" s="8" t="str">
        <f ca="1">IFERROR(__xludf.DUMMYFUNCTION("""COMPUTED_VALUE"""),"Kansas City")</f>
        <v>Kansas City</v>
      </c>
      <c r="Q449" s="8" t="str">
        <f ca="1">IFERROR(__xludf.DUMMYFUNCTION("""COMPUTED_VALUE"""),"MO")</f>
        <v>MO</v>
      </c>
      <c r="R449" s="8" t="str">
        <f ca="1">IFERROR(__xludf.DUMMYFUNCTION("""COMPUTED_VALUE"""),"High")</f>
        <v>High</v>
      </c>
      <c r="S449" s="8" t="str">
        <f ca="1">IFERROR(__xludf.DUMMYFUNCTION("""COMPUTED_VALUE"""),"Beside Building")</f>
        <v>Beside Building</v>
      </c>
      <c r="T449" s="8" t="str">
        <f ca="1">IFERROR(__xludf.DUMMYFUNCTION("""COMPUTED_VALUE"""),"Outside on School Property")</f>
        <v>Outside on School Property</v>
      </c>
      <c r="U449" s="8" t="str">
        <f ca="1">IFERROR(__xludf.DUMMYFUNCTION("""COMPUTED_VALUE"""),"No")</f>
        <v>No</v>
      </c>
      <c r="V449" s="8" t="str">
        <f ca="1">IFERROR(__xludf.DUMMYFUNCTION("""COMPUTED_VALUE"""),"Sport Event")</f>
        <v>Sport Event</v>
      </c>
      <c r="W449" s="11">
        <f ca="1">IFERROR(__xludf.DUMMYFUNCTION("""COMPUTED_VALUE"""),0.864583333333333)</f>
        <v>0.86458333333333304</v>
      </c>
      <c r="X449" s="8">
        <f ca="1">IFERROR(__xludf.DUMMYFUNCTION("""COMPUTED_VALUE"""),1)</f>
        <v>1</v>
      </c>
      <c r="Y449" s="12" t="str">
        <f ca="1">IFERROR(__xludf.DUMMYFUNCTION("""COMPUTED_VALUE"""),"Two students shot outside gym during high school basketball game")</f>
        <v>Two students shot outside gym during high school basketball game</v>
      </c>
      <c r="Z449" s="12" t="str">
        <f ca="1">IFERROR(__xludf.DUMMYFUNCTION("""COMPUTED_VALUE"""),"Two people, including a juvenile, were injured in a shooting as a basketball game between North Kansas City High School and Staley High School was ending, officials said. The shooting occurred outside of the school building near the fieldhouse, said Sgt. "&amp;"Christopher Kimmel with the North Kansas City Police Department.")</f>
        <v>Two people, including a juvenile, were injured in a shooting as a basketball game between North Kansas City High School and Staley High School was ending, officials said. The shooting occurred outside of the school building near the fieldhouse, said Sgt. Christopher Kimmel with the North Kansas City Police Department.</v>
      </c>
      <c r="AA449" s="8" t="str">
        <f ca="1">IFERROR(__xludf.DUMMYFUNCTION("""COMPUTED_VALUE"""),"Escalation of Dispute")</f>
        <v>Escalation of Dispute</v>
      </c>
      <c r="AB449" s="8" t="str">
        <f ca="1">IFERROR(__xludf.DUMMYFUNCTION("""COMPUTED_VALUE"""),"Spontaneous")</f>
        <v>Spontaneous</v>
      </c>
      <c r="AC449" s="8" t="str">
        <f ca="1">IFERROR(__xludf.DUMMYFUNCTION("""COMPUTED_VALUE"""),"Yes")</f>
        <v>Yes</v>
      </c>
      <c r="AD449" s="8" t="str">
        <f ca="1">IFERROR(__xludf.DUMMYFUNCTION("""COMPUTED_VALUE"""),"Both")</f>
        <v>Both</v>
      </c>
      <c r="AE449" s="8" t="str">
        <f ca="1">IFERROR(__xludf.DUMMYFUNCTION("""COMPUTED_VALUE"""),"No")</f>
        <v>No</v>
      </c>
      <c r="AF449" s="8"/>
      <c r="AG449" s="8" t="str">
        <f ca="1">IFERROR(__xludf.DUMMYFUNCTION("""COMPUTED_VALUE"""),"No")</f>
        <v>No</v>
      </c>
      <c r="AH449" s="8" t="str">
        <f ca="1">IFERROR(__xludf.DUMMYFUNCTION("""COMPUTED_VALUE"""),"No")</f>
        <v>No</v>
      </c>
      <c r="AI449" s="8" t="str">
        <f ca="1">IFERROR(__xludf.DUMMYFUNCTION("""COMPUTED_VALUE"""),"No")</f>
        <v>No</v>
      </c>
      <c r="AJ449" s="8" t="str">
        <f ca="1">IFERROR(__xludf.DUMMYFUNCTION("""COMPUTED_VALUE"""),"No")</f>
        <v>No</v>
      </c>
      <c r="AK449" s="8" t="str">
        <f ca="1">IFERROR(__xludf.DUMMYFUNCTION("""COMPUTED_VALUE"""),"No")</f>
        <v>No</v>
      </c>
      <c r="AL449" s="8"/>
      <c r="AM449" s="8" t="str">
        <f ca="1">IFERROR(__xludf.DUMMYFUNCTION("""COMPUTED_VALUE"""),"No")</f>
        <v>No</v>
      </c>
      <c r="AN449" s="8" t="str">
        <f ca="1">IFERROR(__xludf.DUMMYFUNCTION("""COMPUTED_VALUE"""),"Outside")</f>
        <v>Outside</v>
      </c>
      <c r="AO449" s="8" t="str">
        <f ca="1">IFERROR(__xludf.DUMMYFUNCTION("""COMPUTED_VALUE"""),"No")</f>
        <v>No</v>
      </c>
      <c r="AP449" s="8" t="str">
        <f ca="1">IFERROR(__xludf.DUMMYFUNCTION("""COMPUTED_VALUE"""),"Yes")</f>
        <v>Yes</v>
      </c>
      <c r="AQ449" s="8" t="str">
        <f ca="1">IFERROR(__xludf.DUMMYFUNCTION("""COMPUTED_VALUE"""),"Armed Guards")</f>
        <v>Armed Guards</v>
      </c>
      <c r="AR449" s="8" t="str">
        <f ca="1">IFERROR(__xludf.DUMMYFUNCTION("""COMPUTED_VALUE"""),"Outside/Off-Property")</f>
        <v>Outside/Off-Property</v>
      </c>
      <c r="AS449" s="8">
        <f ca="1">IFERROR(__xludf.DUMMYFUNCTION("""COMPUTED_VALUE"""),50)</f>
        <v>50</v>
      </c>
      <c r="AT449" s="8" t="str">
        <f ca="1">IFERROR(__xludf.DUMMYFUNCTION("""COMPUTED_VALUE"""),"Yes")</f>
        <v>Yes</v>
      </c>
      <c r="AU449" s="8">
        <f ca="1">IFERROR(__xludf.DUMMYFUNCTION("""COMPUTED_VALUE"""),39.145373)</f>
        <v>39.145372999999999</v>
      </c>
      <c r="AV449" s="8">
        <f ca="1">IFERROR(__xludf.DUMMYFUNCTION("""COMPUTED_VALUE"""),-94.573357)</f>
        <v>-94.573357000000001</v>
      </c>
      <c r="AW449" s="8" t="str">
        <f ca="1">IFERROR(__xludf.DUMMYFUNCTION("""COMPUTED_VALUE"""),"Multiple detached buildings")</f>
        <v>Multiple detached buildings</v>
      </c>
      <c r="AX449" s="8">
        <f ca="1">IFERROR(__xludf.DUMMYFUNCTION("""COMPUTED_VALUE"""),64116)</f>
        <v>64116</v>
      </c>
    </row>
    <row r="450" spans="1:50" ht="120" x14ac:dyDescent="0.2">
      <c r="A450" s="8" t="str">
        <f ca="1">IFERROR(__xludf.DUMMYFUNCTION("""COMPUTED_VALUE"""),"20240301LACAC")</f>
        <v>20240301LACAC</v>
      </c>
      <c r="B450" s="8">
        <f ca="1">IFERROR(__xludf.DUMMYFUNCTION("""COMPUTED_VALUE"""),3)</f>
        <v>3</v>
      </c>
      <c r="C450" s="8">
        <f ca="1">IFERROR(__xludf.DUMMYFUNCTION("""COMPUTED_VALUE"""),1)</f>
        <v>1</v>
      </c>
      <c r="D450" s="8">
        <f ca="1">IFERROR(__xludf.DUMMYFUNCTION("""COMPUTED_VALUE"""),2024)</f>
        <v>2024</v>
      </c>
      <c r="E450" s="9">
        <f ca="1">IFERROR(__xludf.DUMMYFUNCTION("""COMPUTED_VALUE"""),45352)</f>
        <v>45352</v>
      </c>
      <c r="F450" s="8" t="str">
        <f ca="1">IFERROR(__xludf.DUMMYFUNCTION("""COMPUTED_VALUE"""),"Carencro High School")</f>
        <v>Carencro High School</v>
      </c>
      <c r="G450" s="8">
        <f ca="1">IFERROR(__xludf.DUMMYFUNCTION("""COMPUTED_VALUE"""),1)</f>
        <v>1</v>
      </c>
      <c r="H450" s="8">
        <f ca="1">IFERROR(__xludf.DUMMYFUNCTION("""COMPUTED_VALUE"""),0)</f>
        <v>0</v>
      </c>
      <c r="I450" s="8">
        <f ca="1">IFERROR(__xludf.DUMMYFUNCTION("""COMPUTED_VALUE"""),1)</f>
        <v>1</v>
      </c>
      <c r="J450" s="8">
        <f ca="1">IFERROR(__xludf.DUMMYFUNCTION("""COMPUTED_VALUE"""),0)</f>
        <v>0</v>
      </c>
      <c r="K450" s="8" t="str">
        <f ca="1">IFERROR(__xludf.DUMMYFUNCTION("""COMPUTED_VALUE"""),"https://www.kplctv.com/2024/03/02/carencro-teen-dies-after-being-shot-while-getting-off-school-bus/
https://www.katc.com/lafayette-parish/victim-shot-while-exiting-school-bus-sheriffs-office-investigating")</f>
        <v>https://www.kplctv.com/2024/03/02/carencro-teen-dies-after-being-shot-while-getting-off-school-bus/
https://www.katc.com/lafayette-parish/victim-shot-while-exiting-school-bus-sheriffs-office-investigating</v>
      </c>
      <c r="L450" s="8">
        <f ca="1">IFERROR(__xludf.DUMMYFUNCTION("""COMPUTED_VALUE"""),10)</f>
        <v>10</v>
      </c>
      <c r="M450" s="8" t="str">
        <f ca="1">IFERROR(__xludf.DUMMYFUNCTION("""COMPUTED_VALUE"""),"Regional")</f>
        <v>Regional</v>
      </c>
      <c r="N450" s="8">
        <f ca="1">IFERROR(__xludf.DUMMYFUNCTION("""COMPUTED_VALUE"""),4)</f>
        <v>4</v>
      </c>
      <c r="O450" s="8" t="str">
        <f ca="1">IFERROR(__xludf.DUMMYFUNCTION("""COMPUTED_VALUE"""),"Spring")</f>
        <v>Spring</v>
      </c>
      <c r="P450" s="8" t="str">
        <f ca="1">IFERROR(__xludf.DUMMYFUNCTION("""COMPUTED_VALUE"""),"Carencro")</f>
        <v>Carencro</v>
      </c>
      <c r="Q450" s="8" t="str">
        <f ca="1">IFERROR(__xludf.DUMMYFUNCTION("""COMPUTED_VALUE"""),"LA")</f>
        <v>LA</v>
      </c>
      <c r="R450" s="8" t="str">
        <f ca="1">IFERROR(__xludf.DUMMYFUNCTION("""COMPUTED_VALUE"""),"High")</f>
        <v>High</v>
      </c>
      <c r="S450" s="8" t="str">
        <f ca="1">IFERROR(__xludf.DUMMYFUNCTION("""COMPUTED_VALUE"""),"School Bus")</f>
        <v>School Bus</v>
      </c>
      <c r="T450" s="8" t="str">
        <f ca="1">IFERROR(__xludf.DUMMYFUNCTION("""COMPUTED_VALUE"""),"School Bus")</f>
        <v>School Bus</v>
      </c>
      <c r="U450" s="8" t="str">
        <f ca="1">IFERROR(__xludf.DUMMYFUNCTION("""COMPUTED_VALUE"""),"Yes")</f>
        <v>Yes</v>
      </c>
      <c r="V450" s="8" t="str">
        <f ca="1">IFERROR(__xludf.DUMMYFUNCTION("""COMPUTED_VALUE"""),"Dismissal")</f>
        <v>Dismissal</v>
      </c>
      <c r="W450" s="11">
        <f ca="1">IFERROR(__xludf.DUMMYFUNCTION("""COMPUTED_VALUE"""),0.625)</f>
        <v>0.625</v>
      </c>
      <c r="X450" s="8">
        <f ca="1">IFERROR(__xludf.DUMMYFUNCTION("""COMPUTED_VALUE"""),1)</f>
        <v>1</v>
      </c>
      <c r="Y450" s="12" t="str">
        <f ca="1">IFERROR(__xludf.DUMMYFUNCTION("""COMPUTED_VALUE"""),"Student was fatally shot while getting off school bus")</f>
        <v>Student was fatally shot while getting off school bus</v>
      </c>
      <c r="Z450" s="12" t="str">
        <f ca="1">IFERROR(__xludf.DUMMYFUNCTION("""COMPUTED_VALUE"""),"A Carencro teen has died after he was shot while getting off a school bus this afternoon, authorities say. The shooting happened around 3 p.m. in the 200 block of Bradford Drive, according to the Lafayette Parish Sheriff’s Office. The victim, Carencro Hig"&amp;"h School student Jaylon Joiner, 18, was brought to an area hospital, where he later died from his injuries, according to the sheriff’s office. Investigators believe several people were involved in the shooting.")</f>
        <v>A Carencro teen has died after he was shot while getting off a school bus this afternoon, authorities say. The shooting happened around 3 p.m. in the 200 block of Bradford Drive, according to the Lafayette Parish Sheriff’s Office. The victim, Carencro High School student Jaylon Joiner, 18, was brought to an area hospital, where he later died from his injuries, according to the sheriff’s office. Investigators believe several people were involved in the shooting.</v>
      </c>
      <c r="AA450" s="8" t="str">
        <f ca="1">IFERROR(__xludf.DUMMYFUNCTION("""COMPUTED_VALUE"""),"Murder/Assassination")</f>
        <v>Murder/Assassination</v>
      </c>
      <c r="AB450" s="8" t="str">
        <f ca="1">IFERROR(__xludf.DUMMYFUNCTION("""COMPUTED_VALUE"""),"Targeted")</f>
        <v>Targeted</v>
      </c>
      <c r="AC450" s="8" t="str">
        <f ca="1">IFERROR(__xludf.DUMMYFUNCTION("""COMPUTED_VALUE"""),"Yes")</f>
        <v>Yes</v>
      </c>
      <c r="AD450" s="8" t="str">
        <f ca="1">IFERROR(__xludf.DUMMYFUNCTION("""COMPUTED_VALUE"""),"Victims Targeted")</f>
        <v>Victims Targeted</v>
      </c>
      <c r="AE450" s="8" t="str">
        <f ca="1">IFERROR(__xludf.DUMMYFUNCTION("""COMPUTED_VALUE"""),"No")</f>
        <v>No</v>
      </c>
      <c r="AF450" s="8"/>
      <c r="AG450" s="8" t="str">
        <f ca="1">IFERROR(__xludf.DUMMYFUNCTION("""COMPUTED_VALUE"""),"No")</f>
        <v>No</v>
      </c>
      <c r="AH450" s="8" t="str">
        <f ca="1">IFERROR(__xludf.DUMMYFUNCTION("""COMPUTED_VALUE"""),"No")</f>
        <v>No</v>
      </c>
      <c r="AI450" s="8" t="str">
        <f ca="1">IFERROR(__xludf.DUMMYFUNCTION("""COMPUTED_VALUE"""),"No")</f>
        <v>No</v>
      </c>
      <c r="AJ450" s="8" t="str">
        <f ca="1">IFERROR(__xludf.DUMMYFUNCTION("""COMPUTED_VALUE"""),"No")</f>
        <v>No</v>
      </c>
      <c r="AK450" s="8" t="str">
        <f ca="1">IFERROR(__xludf.DUMMYFUNCTION("""COMPUTED_VALUE"""),"No")</f>
        <v>No</v>
      </c>
      <c r="AL450" s="8"/>
      <c r="AM450" s="8" t="str">
        <f ca="1">IFERROR(__xludf.DUMMYFUNCTION("""COMPUTED_VALUE"""),"No")</f>
        <v>No</v>
      </c>
      <c r="AN450" s="8" t="str">
        <f ca="1">IFERROR(__xludf.DUMMYFUNCTION("""COMPUTED_VALUE"""),"Outside")</f>
        <v>Outside</v>
      </c>
      <c r="AO450" s="8" t="str">
        <f ca="1">IFERROR(__xludf.DUMMYFUNCTION("""COMPUTED_VALUE"""),"No")</f>
        <v>No</v>
      </c>
      <c r="AP450" s="8"/>
      <c r="AQ450" s="8"/>
      <c r="AR450" s="8" t="str">
        <f ca="1">IFERROR(__xludf.DUMMYFUNCTION("""COMPUTED_VALUE"""),"Outside/Off-Property")</f>
        <v>Outside/Off-Property</v>
      </c>
      <c r="AS450" s="8">
        <f ca="1">IFERROR(__xludf.DUMMYFUNCTION("""COMPUTED_VALUE"""),99)</f>
        <v>99</v>
      </c>
      <c r="AT450" s="8" t="str">
        <f ca="1">IFERROR(__xludf.DUMMYFUNCTION("""COMPUTED_VALUE"""),"No")</f>
        <v>No</v>
      </c>
      <c r="AU450" s="8">
        <f ca="1">IFERROR(__xludf.DUMMYFUNCTION("""COMPUTED_VALUE"""),30.287721)</f>
        <v>30.287721000000001</v>
      </c>
      <c r="AV450" s="8">
        <f ca="1">IFERROR(__xludf.DUMMYFUNCTION("""COMPUTED_VALUE"""),-92.041143)</f>
        <v>-92.041143000000005</v>
      </c>
      <c r="AW450" s="8" t="str">
        <f ca="1">IFERROR(__xludf.DUMMYFUNCTION("""COMPUTED_VALUE"""),"Multiple detached buildings")</f>
        <v>Multiple detached buildings</v>
      </c>
      <c r="AX450" s="8">
        <f ca="1">IFERROR(__xludf.DUMMYFUNCTION("""COMPUTED_VALUE"""),70507)</f>
        <v>70507</v>
      </c>
    </row>
    <row r="451" spans="1:50" ht="120" x14ac:dyDescent="0.2">
      <c r="A451" s="8" t="str">
        <f ca="1">IFERROR(__xludf.DUMMYFUNCTION("""COMPUTED_VALUE"""),"20240229FLFIJ")</f>
        <v>20240229FLFIJ</v>
      </c>
      <c r="B451" s="8">
        <f ca="1">IFERROR(__xludf.DUMMYFUNCTION("""COMPUTED_VALUE"""),2)</f>
        <v>2</v>
      </c>
      <c r="C451" s="8">
        <f ca="1">IFERROR(__xludf.DUMMYFUNCTION("""COMPUTED_VALUE"""),29)</f>
        <v>29</v>
      </c>
      <c r="D451" s="8">
        <f ca="1">IFERROR(__xludf.DUMMYFUNCTION("""COMPUTED_VALUE"""),2024)</f>
        <v>2024</v>
      </c>
      <c r="E451" s="9">
        <f ca="1">IFERROR(__xludf.DUMMYFUNCTION("""COMPUTED_VALUE"""),45351)</f>
        <v>45351</v>
      </c>
      <c r="F451" s="8" t="str">
        <f ca="1">IFERROR(__xludf.DUMMYFUNCTION("""COMPUTED_VALUE"""),"First Coast High School")</f>
        <v>First Coast High School</v>
      </c>
      <c r="G451" s="8">
        <f ca="1">IFERROR(__xludf.DUMMYFUNCTION("""COMPUTED_VALUE"""),0)</f>
        <v>0</v>
      </c>
      <c r="H451" s="8">
        <f ca="1">IFERROR(__xludf.DUMMYFUNCTION("""COMPUTED_VALUE"""),0)</f>
        <v>0</v>
      </c>
      <c r="I451" s="8">
        <f ca="1">IFERROR(__xludf.DUMMYFUNCTION("""COMPUTED_VALUE"""),0)</f>
        <v>0</v>
      </c>
      <c r="J451" s="8">
        <f ca="1">IFERROR(__xludf.DUMMYFUNCTION("""COMPUTED_VALUE"""),0)</f>
        <v>0</v>
      </c>
      <c r="K451" s="8" t="str">
        <f ca="1">IFERROR(__xludf.DUMMYFUNCTION("""COMPUTED_VALUE"""),"https://www.actionnewsjax.com/news/local/15-year-old-first-coast-high-school-student-arrested-after-shots-fired-car-after-basketball-game/U2QJVXFVCNGBVAFQECL5KRXCDU/
https://www.firstcoastnews.com/article/news/crime/four-people-were-detained-following-a-s"&amp;"hooting-after-a-first-coast-high-basketball-game-thursday/77-a87bd067-e97f-40da-9cd4-052efadcc3e0")</f>
        <v>https://www.actionnewsjax.com/news/local/15-year-old-first-coast-high-school-student-arrested-after-shots-fired-car-after-basketball-game/U2QJVXFVCNGBVAFQECL5KRXCDU/
https://www.firstcoastnews.com/article/news/crime/four-people-were-detained-following-a-shooting-after-a-first-coast-high-basketball-game-thursday/77-a87bd067-e97f-40da-9cd4-052efadcc3e0</v>
      </c>
      <c r="L451" s="8">
        <f ca="1">IFERROR(__xludf.DUMMYFUNCTION("""COMPUTED_VALUE"""),5)</f>
        <v>5</v>
      </c>
      <c r="M451" s="8" t="str">
        <f ca="1">IFERROR(__xludf.DUMMYFUNCTION("""COMPUTED_VALUE"""),"Local")</f>
        <v>Local</v>
      </c>
      <c r="N451" s="8">
        <f ca="1">IFERROR(__xludf.DUMMYFUNCTION("""COMPUTED_VALUE"""),4)</f>
        <v>4</v>
      </c>
      <c r="O451" s="8" t="str">
        <f ca="1">IFERROR(__xludf.DUMMYFUNCTION("""COMPUTED_VALUE"""),"Winter")</f>
        <v>Winter</v>
      </c>
      <c r="P451" s="8" t="str">
        <f ca="1">IFERROR(__xludf.DUMMYFUNCTION("""COMPUTED_VALUE"""),"Jacksonville")</f>
        <v>Jacksonville</v>
      </c>
      <c r="Q451" s="8" t="str">
        <f ca="1">IFERROR(__xludf.DUMMYFUNCTION("""COMPUTED_VALUE"""),"FL")</f>
        <v>FL</v>
      </c>
      <c r="R451" s="8" t="str">
        <f ca="1">IFERROR(__xludf.DUMMYFUNCTION("""COMPUTED_VALUE"""),"High")</f>
        <v>High</v>
      </c>
      <c r="S451" s="8" t="str">
        <f ca="1">IFERROR(__xludf.DUMMYFUNCTION("""COMPUTED_VALUE"""),"Parking Lot")</f>
        <v>Parking Lot</v>
      </c>
      <c r="T451" s="8" t="str">
        <f ca="1">IFERROR(__xludf.DUMMYFUNCTION("""COMPUTED_VALUE"""),"Outside on School Property")</f>
        <v>Outside on School Property</v>
      </c>
      <c r="U451" s="8" t="str">
        <f ca="1">IFERROR(__xludf.DUMMYFUNCTION("""COMPUTED_VALUE"""),"No")</f>
        <v>No</v>
      </c>
      <c r="V451" s="8" t="str">
        <f ca="1">IFERROR(__xludf.DUMMYFUNCTION("""COMPUTED_VALUE"""),"Sport Event")</f>
        <v>Sport Event</v>
      </c>
      <c r="W451" s="11">
        <f ca="1">IFERROR(__xludf.DUMMYFUNCTION("""COMPUTED_VALUE"""),0.875)</f>
        <v>0.875</v>
      </c>
      <c r="X451" s="8">
        <f ca="1">IFERROR(__xludf.DUMMYFUNCTION("""COMPUTED_VALUE"""),1)</f>
        <v>1</v>
      </c>
      <c r="Y451" s="12" t="str">
        <f ca="1">IFERROR(__xludf.DUMMYFUNCTION("""COMPUTED_VALUE"""),"Student fired shots during fight after basketball game")</f>
        <v>Student fired shots during fight after basketball game</v>
      </c>
      <c r="Z451" s="12" t="str">
        <f ca="1">IFERROR(__xludf.DUMMYFUNCTION("""COMPUTED_VALUE"""),"Middle school basketball championships were played at First Coast High School on Thursday; after the games around 9 p.m., an argument in the parking lot led to gunfire with a car being shot. Four people were questioned by officers and a police report obta"&amp;"ined by Action News Jax shows one person said they had been targeted for trouble. After being told to leave by security, the report said a car drove near them and that’s when a gunshot went off.")</f>
        <v>Middle school basketball championships were played at First Coast High School on Thursday; after the games around 9 p.m., an argument in the parking lot led to gunfire with a car being shot. Four people were questioned by officers and a police report obtained by Action News Jax shows one person said they had been targeted for trouble. After being told to leave by security, the report said a car drove near them and that’s when a gunshot went off.</v>
      </c>
      <c r="AA451" s="8" t="str">
        <f ca="1">IFERROR(__xludf.DUMMYFUNCTION("""COMPUTED_VALUE"""),"Escalation of Dispute")</f>
        <v>Escalation of Dispute</v>
      </c>
      <c r="AB451" s="8" t="str">
        <f ca="1">IFERROR(__xludf.DUMMYFUNCTION("""COMPUTED_VALUE"""),"Spontaneous")</f>
        <v>Spontaneous</v>
      </c>
      <c r="AC451" s="8" t="str">
        <f ca="1">IFERROR(__xludf.DUMMYFUNCTION("""COMPUTED_VALUE"""),"Yes")</f>
        <v>Yes</v>
      </c>
      <c r="AD451" s="8" t="str">
        <f ca="1">IFERROR(__xludf.DUMMYFUNCTION("""COMPUTED_VALUE"""),"Victims Targeted")</f>
        <v>Victims Targeted</v>
      </c>
      <c r="AE451" s="8" t="str">
        <f ca="1">IFERROR(__xludf.DUMMYFUNCTION("""COMPUTED_VALUE"""),"No")</f>
        <v>No</v>
      </c>
      <c r="AF451" s="8"/>
      <c r="AG451" s="8" t="str">
        <f ca="1">IFERROR(__xludf.DUMMYFUNCTION("""COMPUTED_VALUE"""),"No")</f>
        <v>No</v>
      </c>
      <c r="AH451" s="8" t="str">
        <f ca="1">IFERROR(__xludf.DUMMYFUNCTION("""COMPUTED_VALUE"""),"No")</f>
        <v>No</v>
      </c>
      <c r="AI451" s="8" t="str">
        <f ca="1">IFERROR(__xludf.DUMMYFUNCTION("""COMPUTED_VALUE"""),"No")</f>
        <v>No</v>
      </c>
      <c r="AJ451" s="8" t="str">
        <f ca="1">IFERROR(__xludf.DUMMYFUNCTION("""COMPUTED_VALUE"""),"No")</f>
        <v>No</v>
      </c>
      <c r="AK451" s="8" t="str">
        <f ca="1">IFERROR(__xludf.DUMMYFUNCTION("""COMPUTED_VALUE"""),"No")</f>
        <v>No</v>
      </c>
      <c r="AL451" s="8" t="str">
        <f ca="1">IFERROR(__xludf.DUMMYFUNCTION("""COMPUTED_VALUE"""),"No")</f>
        <v>No</v>
      </c>
      <c r="AM451" s="8" t="str">
        <f ca="1">IFERROR(__xludf.DUMMYFUNCTION("""COMPUTED_VALUE"""),"No")</f>
        <v>No</v>
      </c>
      <c r="AN451" s="8" t="str">
        <f ca="1">IFERROR(__xludf.DUMMYFUNCTION("""COMPUTED_VALUE"""),"Outside")</f>
        <v>Outside</v>
      </c>
      <c r="AO451" s="8" t="str">
        <f ca="1">IFERROR(__xludf.DUMMYFUNCTION("""COMPUTED_VALUE"""),"No")</f>
        <v>No</v>
      </c>
      <c r="AP451" s="8" t="str">
        <f ca="1">IFERROR(__xludf.DUMMYFUNCTION("""COMPUTED_VALUE"""),"Yes")</f>
        <v>Yes</v>
      </c>
      <c r="AQ451" s="8"/>
      <c r="AR451" s="8" t="str">
        <f ca="1">IFERROR(__xludf.DUMMYFUNCTION("""COMPUTED_VALUE"""),"Outside/Off-Property")</f>
        <v>Outside/Off-Property</v>
      </c>
      <c r="AS451" s="8">
        <f ca="1">IFERROR(__xludf.DUMMYFUNCTION("""COMPUTED_VALUE"""),1)</f>
        <v>1</v>
      </c>
      <c r="AT451" s="8" t="str">
        <f ca="1">IFERROR(__xludf.DUMMYFUNCTION("""COMPUTED_VALUE"""),"No")</f>
        <v>No</v>
      </c>
      <c r="AU451" s="8">
        <f ca="1">IFERROR(__xludf.DUMMYFUNCTION("""COMPUTED_VALUE"""),30.482475)</f>
        <v>30.482475000000001</v>
      </c>
      <c r="AV451" s="8">
        <f ca="1">IFERROR(__xludf.DUMMYFUNCTION("""COMPUTED_VALUE"""),-81.607998)</f>
        <v>-81.607997999999995</v>
      </c>
      <c r="AW451" s="8" t="str">
        <f ca="1">IFERROR(__xludf.DUMMYFUNCTION("""COMPUTED_VALUE"""),"Multiple attached buildings")</f>
        <v>Multiple attached buildings</v>
      </c>
      <c r="AX451" s="8">
        <f ca="1">IFERROR(__xludf.DUMMYFUNCTION("""COMPUTED_VALUE"""),32218)</f>
        <v>32218</v>
      </c>
    </row>
    <row r="452" spans="1:50" ht="195" x14ac:dyDescent="0.2">
      <c r="A452" s="8" t="str">
        <f ca="1">IFERROR(__xludf.DUMMYFUNCTION("""COMPUTED_VALUE"""),"20240228NCWAG")</f>
        <v>20240228NCWAG</v>
      </c>
      <c r="B452" s="8">
        <f ca="1">IFERROR(__xludf.DUMMYFUNCTION("""COMPUTED_VALUE"""),2)</f>
        <v>2</v>
      </c>
      <c r="C452" s="8">
        <f ca="1">IFERROR(__xludf.DUMMYFUNCTION("""COMPUTED_VALUE"""),28)</f>
        <v>28</v>
      </c>
      <c r="D452" s="8">
        <f ca="1">IFERROR(__xludf.DUMMYFUNCTION("""COMPUTED_VALUE"""),2024)</f>
        <v>2024</v>
      </c>
      <c r="E452" s="9">
        <f ca="1">IFERROR(__xludf.DUMMYFUNCTION("""COMPUTED_VALUE"""),45350)</f>
        <v>45350</v>
      </c>
      <c r="F452" s="8" t="str">
        <f ca="1">IFERROR(__xludf.DUMMYFUNCTION("""COMPUTED_VALUE"""),"Wahl-Coates Elementary School")</f>
        <v>Wahl-Coates Elementary School</v>
      </c>
      <c r="G452" s="8">
        <f ca="1">IFERROR(__xludf.DUMMYFUNCTION("""COMPUTED_VALUE"""),0)</f>
        <v>0</v>
      </c>
      <c r="H452" s="8">
        <f ca="1">IFERROR(__xludf.DUMMYFUNCTION("""COMPUTED_VALUE"""),1)</f>
        <v>1</v>
      </c>
      <c r="I452" s="8">
        <f ca="1">IFERROR(__xludf.DUMMYFUNCTION("""COMPUTED_VALUE"""),1)</f>
        <v>1</v>
      </c>
      <c r="J452" s="8">
        <f ca="1">IFERROR(__xludf.DUMMYFUNCTION("""COMPUTED_VALUE"""),0)</f>
        <v>0</v>
      </c>
      <c r="K452" s="10" t="str">
        <f ca="1">IFERROR(__xludf.DUMMYFUNCTION("""COMPUTED_VALUE"""),"https://www.publicradioeast.org/2024-02-28/ecu-employee-shot-in-unprovoked-attack-near-greenville-elementary-school
https://www.witn.com/video/2024/02/28/police-identify-ecu-scientist-shot-unprovoked-attack-near-elementary-school/")</f>
        <v>https://www.publicradioeast.org/2024-02-28/ecu-employee-shot-in-unprovoked-attack-near-greenville-elementary-school
https://www.witn.com/video/2024/02/28/police-identify-ecu-scientist-shot-unprovoked-attack-near-elementary-school/</v>
      </c>
      <c r="L452" s="8">
        <f ca="1">IFERROR(__xludf.DUMMYFUNCTION("""COMPUTED_VALUE"""),10)</f>
        <v>10</v>
      </c>
      <c r="M452" s="8" t="str">
        <f ca="1">IFERROR(__xludf.DUMMYFUNCTION("""COMPUTED_VALUE"""),"Regional")</f>
        <v>Regional</v>
      </c>
      <c r="N452" s="8">
        <f ca="1">IFERROR(__xludf.DUMMYFUNCTION("""COMPUTED_VALUE"""),4)</f>
        <v>4</v>
      </c>
      <c r="O452" s="8" t="str">
        <f ca="1">IFERROR(__xludf.DUMMYFUNCTION("""COMPUTED_VALUE"""),"Winter")</f>
        <v>Winter</v>
      </c>
      <c r="P452" s="8" t="str">
        <f ca="1">IFERROR(__xludf.DUMMYFUNCTION("""COMPUTED_VALUE"""),"Greenville")</f>
        <v>Greenville</v>
      </c>
      <c r="Q452" s="8" t="str">
        <f ca="1">IFERROR(__xludf.DUMMYFUNCTION("""COMPUTED_VALUE"""),"NC")</f>
        <v>NC</v>
      </c>
      <c r="R452" s="8" t="str">
        <f ca="1">IFERROR(__xludf.DUMMYFUNCTION("""COMPUTED_VALUE"""),"Elementary")</f>
        <v>Elementary</v>
      </c>
      <c r="S452" s="8" t="str">
        <f ca="1">IFERROR(__xludf.DUMMYFUNCTION("""COMPUTED_VALUE"""),"Front of School")</f>
        <v>Front of School</v>
      </c>
      <c r="T452" s="8" t="str">
        <f ca="1">IFERROR(__xludf.DUMMYFUNCTION("""COMPUTED_VALUE"""),"Outside on School Property")</f>
        <v>Outside on School Property</v>
      </c>
      <c r="U452" s="8" t="str">
        <f ca="1">IFERROR(__xludf.DUMMYFUNCTION("""COMPUTED_VALUE"""),"Yes")</f>
        <v>Yes</v>
      </c>
      <c r="V452" s="8" t="str">
        <f ca="1">IFERROR(__xludf.DUMMYFUNCTION("""COMPUTED_VALUE"""),"School Start")</f>
        <v>School Start</v>
      </c>
      <c r="W452" s="11">
        <f ca="1">IFERROR(__xludf.DUMMYFUNCTION("""COMPUTED_VALUE"""),0.354166666666666)</f>
        <v>0.35416666666666602</v>
      </c>
      <c r="X452" s="8">
        <f ca="1">IFERROR(__xludf.DUMMYFUNCTION("""COMPUTED_VALUE"""),1)</f>
        <v>1</v>
      </c>
      <c r="Y452" s="12" t="str">
        <f ca="1">IFERROR(__xludf.DUMMYFUNCTION("""COMPUTED_VALUE"""),"Man on bike shot a man walking on the sidewalk in front of the school 5 times then fled, SRO heard shots and locked down school")</f>
        <v>Man on bike shot a man walking on the sidewalk in front of the school 5 times then fled, SRO heard shots and locked down school</v>
      </c>
      <c r="Z452" s="12" t="str">
        <f ca="1">IFERROR(__xludf.DUMMYFUNCTION("""COMPUTED_VALUE"""),"A man shot an East Carolina University scientist in what the Greenville Chief of Police said was an unprovoked attack near an elementary school Wednesday morning. Chief Ted Sauls said the shooting took place on East Fifth Street in front of Wahl-Coates El"&amp;"ementary School at about 8:30 a.m. ""A school resource officer at Wahl-Coates heard a report outside of shots fired; employees inside the school heard it as well and contacted the SRO,” Sauls said, “The SRO is actually how we received our call. So, that s"&amp;"chool went on immediate lockdown.” St. Peter Catholic School, about a block away from the scene, was also put on a modified lockdown. Man fired shots a police when they attempted to stop him.")</f>
        <v>A man shot an East Carolina University scientist in what the Greenville Chief of Police said was an unprovoked attack near an elementary school Wednesday morning. Chief Ted Sauls said the shooting took place on East Fifth Street in front of Wahl-Coates Elementary School at about 8:30 a.m. "A school resource officer at Wahl-Coates heard a report outside of shots fired; employees inside the school heard it as well and contacted the SRO,” Sauls said, “The SRO is actually how we received our call. So, that school went on immediate lockdown.” St. Peter Catholic School, about a block away from the scene, was also put on a modified lockdown. Man fired shots a police when they attempted to stop him.</v>
      </c>
      <c r="AA452" s="8"/>
      <c r="AB452" s="8" t="str">
        <f ca="1">IFERROR(__xludf.DUMMYFUNCTION("""COMPUTED_VALUE"""),"Targeted")</f>
        <v>Targeted</v>
      </c>
      <c r="AC452" s="8" t="str">
        <f ca="1">IFERROR(__xludf.DUMMYFUNCTION("""COMPUTED_VALUE"""),"Yes")</f>
        <v>Yes</v>
      </c>
      <c r="AD452" s="8" t="str">
        <f ca="1">IFERROR(__xludf.DUMMYFUNCTION("""COMPUTED_VALUE"""),"Victims Targeted")</f>
        <v>Victims Targeted</v>
      </c>
      <c r="AE452" s="8" t="str">
        <f ca="1">IFERROR(__xludf.DUMMYFUNCTION("""COMPUTED_VALUE"""),"No")</f>
        <v>No</v>
      </c>
      <c r="AF452" s="8"/>
      <c r="AG452" s="8" t="str">
        <f ca="1">IFERROR(__xludf.DUMMYFUNCTION("""COMPUTED_VALUE"""),"No")</f>
        <v>No</v>
      </c>
      <c r="AH452" s="8" t="str">
        <f ca="1">IFERROR(__xludf.DUMMYFUNCTION("""COMPUTED_VALUE"""),"No")</f>
        <v>No</v>
      </c>
      <c r="AI452" s="8" t="str">
        <f ca="1">IFERROR(__xludf.DUMMYFUNCTION("""COMPUTED_VALUE"""),"No")</f>
        <v>No</v>
      </c>
      <c r="AJ452" s="8" t="str">
        <f ca="1">IFERROR(__xludf.DUMMYFUNCTION("""COMPUTED_VALUE"""),"No")</f>
        <v>No</v>
      </c>
      <c r="AK452" s="8" t="str">
        <f ca="1">IFERROR(__xludf.DUMMYFUNCTION("""COMPUTED_VALUE"""),"No")</f>
        <v>No</v>
      </c>
      <c r="AL452" s="8" t="str">
        <f ca="1">IFERROR(__xludf.DUMMYFUNCTION("""COMPUTED_VALUE"""),"No")</f>
        <v>No</v>
      </c>
      <c r="AM452" s="8" t="str">
        <f ca="1">IFERROR(__xludf.DUMMYFUNCTION("""COMPUTED_VALUE"""),"No")</f>
        <v>No</v>
      </c>
      <c r="AN452" s="8" t="str">
        <f ca="1">IFERROR(__xludf.DUMMYFUNCTION("""COMPUTED_VALUE"""),"Outside")</f>
        <v>Outside</v>
      </c>
      <c r="AO452" s="8" t="str">
        <f ca="1">IFERROR(__xludf.DUMMYFUNCTION("""COMPUTED_VALUE"""),"No")</f>
        <v>No</v>
      </c>
      <c r="AP452" s="8" t="str">
        <f ca="1">IFERROR(__xludf.DUMMYFUNCTION("""COMPUTED_VALUE"""),"Yes")</f>
        <v>Yes</v>
      </c>
      <c r="AQ452" s="8" t="str">
        <f ca="1">IFERROR(__xludf.DUMMYFUNCTION("""COMPUTED_VALUE"""),"Armed Guards")</f>
        <v>Armed Guards</v>
      </c>
      <c r="AR452" s="8" t="str">
        <f ca="1">IFERROR(__xludf.DUMMYFUNCTION("""COMPUTED_VALUE"""),"Outside/Off-Property")</f>
        <v>Outside/Off-Property</v>
      </c>
      <c r="AS452" s="8">
        <f ca="1">IFERROR(__xludf.DUMMYFUNCTION("""COMPUTED_VALUE"""),5)</f>
        <v>5</v>
      </c>
      <c r="AT452" s="8" t="str">
        <f ca="1">IFERROR(__xludf.DUMMYFUNCTION("""COMPUTED_VALUE"""),"Yes")</f>
        <v>Yes</v>
      </c>
      <c r="AU452" s="8">
        <f ca="1">IFERROR(__xludf.DUMMYFUNCTION("""COMPUTED_VALUE"""),35.606527)</f>
        <v>35.606527</v>
      </c>
      <c r="AV452" s="8">
        <f ca="1">IFERROR(__xludf.DUMMYFUNCTION("""COMPUTED_VALUE"""),-77.349295)</f>
        <v>-77.349294999999998</v>
      </c>
      <c r="AW452" s="8" t="str">
        <f ca="1">IFERROR(__xludf.DUMMYFUNCTION("""COMPUTED_VALUE"""),"Multiple detached buildings")</f>
        <v>Multiple detached buildings</v>
      </c>
      <c r="AX452" s="8">
        <f ca="1">IFERROR(__xludf.DUMMYFUNCTION("""COMPUTED_VALUE"""),27858)</f>
        <v>27858</v>
      </c>
    </row>
    <row r="453" spans="1:50" ht="60" x14ac:dyDescent="0.2">
      <c r="A453" s="8" t="str">
        <f ca="1">IFERROR(__xludf.DUMMYFUNCTION("""COMPUTED_VALUE"""),"20240228MEWAW")</f>
        <v>20240228MEWAW</v>
      </c>
      <c r="B453" s="8">
        <f ca="1">IFERROR(__xludf.DUMMYFUNCTION("""COMPUTED_VALUE"""),2)</f>
        <v>2</v>
      </c>
      <c r="C453" s="8">
        <f ca="1">IFERROR(__xludf.DUMMYFUNCTION("""COMPUTED_VALUE"""),28)</f>
        <v>28</v>
      </c>
      <c r="D453" s="8">
        <f ca="1">IFERROR(__xludf.DUMMYFUNCTION("""COMPUTED_VALUE"""),2024)</f>
        <v>2024</v>
      </c>
      <c r="E453" s="9">
        <f ca="1">IFERROR(__xludf.DUMMYFUNCTION("""COMPUTED_VALUE"""),45350)</f>
        <v>45350</v>
      </c>
      <c r="F453" s="8" t="str">
        <f ca="1">IFERROR(__xludf.DUMMYFUNCTION("""COMPUTED_VALUE"""),"Waterville Junior High School")</f>
        <v>Waterville Junior High School</v>
      </c>
      <c r="G453" s="8">
        <f ca="1">IFERROR(__xludf.DUMMYFUNCTION("""COMPUTED_VALUE"""),0)</f>
        <v>0</v>
      </c>
      <c r="H453" s="8">
        <f ca="1">IFERROR(__xludf.DUMMYFUNCTION("""COMPUTED_VALUE"""),0)</f>
        <v>0</v>
      </c>
      <c r="I453" s="8">
        <f ca="1">IFERROR(__xludf.DUMMYFUNCTION("""COMPUTED_VALUE"""),0)</f>
        <v>0</v>
      </c>
      <c r="J453" s="8">
        <f ca="1">IFERROR(__xludf.DUMMYFUNCTION("""COMPUTED_VALUE"""),1)</f>
        <v>1</v>
      </c>
      <c r="K453" s="10" t="str">
        <f ca="1">IFERROR(__xludf.DUMMYFUNCTION("""COMPUTED_VALUE"""),"https://www.bangordailynews.com/2024/02/28/central-maine/central-maine-police-courts/man-dead-waterville-school-suicide/
https://www.bangordailynews.com/2024/02/28/central-maine/central-maine-police-courts/man-dead-waterville-school-suicide/
https://www.p"&amp;"ressherald.com/2024/02/26/discovery-of-a-body-prompts-closure-monday-of-all-waterville-schools/")</f>
        <v>https://www.bangordailynews.com/2024/02/28/central-maine/central-maine-police-courts/man-dead-waterville-school-suicide/
https://www.bangordailynews.com/2024/02/28/central-maine/central-maine-police-courts/man-dead-waterville-school-suicide/
https://www.pressherald.com/2024/02/26/discovery-of-a-body-prompts-closure-monday-of-all-waterville-schools/</v>
      </c>
      <c r="L453" s="8">
        <f ca="1">IFERROR(__xludf.DUMMYFUNCTION("""COMPUTED_VALUE"""),2)</f>
        <v>2</v>
      </c>
      <c r="M453" s="8" t="str">
        <f ca="1">IFERROR(__xludf.DUMMYFUNCTION("""COMPUTED_VALUE"""),"Local")</f>
        <v>Local</v>
      </c>
      <c r="N453" s="8">
        <f ca="1">IFERROR(__xludf.DUMMYFUNCTION("""COMPUTED_VALUE"""),4)</f>
        <v>4</v>
      </c>
      <c r="O453" s="8" t="str">
        <f ca="1">IFERROR(__xludf.DUMMYFUNCTION("""COMPUTED_VALUE"""),"Winter")</f>
        <v>Winter</v>
      </c>
      <c r="P453" s="8" t="str">
        <f ca="1">IFERROR(__xludf.DUMMYFUNCTION("""COMPUTED_VALUE"""),"Waterville")</f>
        <v>Waterville</v>
      </c>
      <c r="Q453" s="8" t="str">
        <f ca="1">IFERROR(__xludf.DUMMYFUNCTION("""COMPUTED_VALUE"""),"ME")</f>
        <v>ME</v>
      </c>
      <c r="R453" s="8" t="str">
        <f ca="1">IFERROR(__xludf.DUMMYFUNCTION("""COMPUTED_VALUE"""),"Middle")</f>
        <v>Middle</v>
      </c>
      <c r="S453" s="8" t="str">
        <f ca="1">IFERROR(__xludf.DUMMYFUNCTION("""COMPUTED_VALUE"""),"Parking Lot (Bus)")</f>
        <v>Parking Lot (Bus)</v>
      </c>
      <c r="T453" s="8" t="str">
        <f ca="1">IFERROR(__xludf.DUMMYFUNCTION("""COMPUTED_VALUE"""),"Outside on School Property")</f>
        <v>Outside on School Property</v>
      </c>
      <c r="U453" s="8" t="str">
        <f ca="1">IFERROR(__xludf.DUMMYFUNCTION("""COMPUTED_VALUE"""),"No")</f>
        <v>No</v>
      </c>
      <c r="V453" s="8" t="str">
        <f ca="1">IFERROR(__xludf.DUMMYFUNCTION("""COMPUTED_VALUE"""),"Before School")</f>
        <v>Before School</v>
      </c>
      <c r="W453" s="11">
        <f ca="1">IFERROR(__xludf.DUMMYFUNCTION("""COMPUTED_VALUE"""),0.1875)</f>
        <v>0.1875</v>
      </c>
      <c r="X453" s="8">
        <f ca="1">IFERROR(__xludf.DUMMYFUNCTION("""COMPUTED_VALUE"""),1)</f>
        <v>1</v>
      </c>
      <c r="Y453" s="12" t="str">
        <f ca="1">IFERROR(__xludf.DUMMYFUNCTION("""COMPUTED_VALUE"""),"Man fatally shot himself while sitting in the driver's seat of a school bus")</f>
        <v>Man fatally shot himself while sitting in the driver's seat of a school bus</v>
      </c>
      <c r="Z453" s="12" t="str">
        <f ca="1">IFERROR(__xludf.DUMMYFUNCTION("""COMPUTED_VALUE"""),"Man fatally shot himself while sitting in the driver's seat of a school bus. All schools in the district were closed as a result of the shooting.")</f>
        <v>Man fatally shot himself while sitting in the driver's seat of a school bus. All schools in the district were closed as a result of the shooting.</v>
      </c>
      <c r="AA453" s="8" t="str">
        <f ca="1">IFERROR(__xludf.DUMMYFUNCTION("""COMPUTED_VALUE"""),"Suicide/Attempted")</f>
        <v>Suicide/Attempted</v>
      </c>
      <c r="AB453" s="8" t="str">
        <f ca="1">IFERROR(__xludf.DUMMYFUNCTION("""COMPUTED_VALUE"""),"Targeted")</f>
        <v>Targeted</v>
      </c>
      <c r="AC453" s="8"/>
      <c r="AD453" s="8" t="str">
        <f ca="1">IFERROR(__xludf.DUMMYFUNCTION("""COMPUTED_VALUE"""),"Victims Targeted")</f>
        <v>Victims Targeted</v>
      </c>
      <c r="AE453" s="8" t="str">
        <f ca="1">IFERROR(__xludf.DUMMYFUNCTION("""COMPUTED_VALUE"""),"No")</f>
        <v>No</v>
      </c>
      <c r="AF453" s="8"/>
      <c r="AG453" s="8" t="str">
        <f ca="1">IFERROR(__xludf.DUMMYFUNCTION("""COMPUTED_VALUE"""),"No")</f>
        <v>No</v>
      </c>
      <c r="AH453" s="8" t="str">
        <f ca="1">IFERROR(__xludf.DUMMYFUNCTION("""COMPUTED_VALUE"""),"No")</f>
        <v>No</v>
      </c>
      <c r="AI453" s="8" t="str">
        <f ca="1">IFERROR(__xludf.DUMMYFUNCTION("""COMPUTED_VALUE"""),"No")</f>
        <v>No</v>
      </c>
      <c r="AJ453" s="8"/>
      <c r="AK453" s="8" t="str">
        <f ca="1">IFERROR(__xludf.DUMMYFUNCTION("""COMPUTED_VALUE"""),"No")</f>
        <v>No</v>
      </c>
      <c r="AL453" s="8" t="str">
        <f ca="1">IFERROR(__xludf.DUMMYFUNCTION("""COMPUTED_VALUE"""),"No")</f>
        <v>No</v>
      </c>
      <c r="AM453" s="8" t="str">
        <f ca="1">IFERROR(__xludf.DUMMYFUNCTION("""COMPUTED_VALUE"""),"No")</f>
        <v>No</v>
      </c>
      <c r="AN453" s="8" t="str">
        <f ca="1">IFERROR(__xludf.DUMMYFUNCTION("""COMPUTED_VALUE"""),"Outside")</f>
        <v>Outside</v>
      </c>
      <c r="AO453" s="8" t="str">
        <f ca="1">IFERROR(__xludf.DUMMYFUNCTION("""COMPUTED_VALUE"""),"No")</f>
        <v>No</v>
      </c>
      <c r="AP453" s="8"/>
      <c r="AQ453" s="8"/>
      <c r="AR453" s="8" t="str">
        <f ca="1">IFERROR(__xludf.DUMMYFUNCTION("""COMPUTED_VALUE"""),"Outside/Off-Property")</f>
        <v>Outside/Off-Property</v>
      </c>
      <c r="AS453" s="8">
        <f ca="1">IFERROR(__xludf.DUMMYFUNCTION("""COMPUTED_VALUE"""),1)</f>
        <v>1</v>
      </c>
      <c r="AT453" s="8" t="str">
        <f ca="1">IFERROR(__xludf.DUMMYFUNCTION("""COMPUTED_VALUE"""),"No")</f>
        <v>No</v>
      </c>
      <c r="AU453" s="8">
        <f ca="1">IFERROR(__xludf.DUMMYFUNCTION("""COMPUTED_VALUE"""),44.529104)</f>
        <v>44.529103999999997</v>
      </c>
      <c r="AV453" s="8">
        <f ca="1">IFERROR(__xludf.DUMMYFUNCTION("""COMPUTED_VALUE"""),-69.661305)</f>
        <v>-69.661304999999999</v>
      </c>
      <c r="AW453" s="8" t="str">
        <f ca="1">IFERROR(__xludf.DUMMYFUNCTION("""COMPUTED_VALUE"""),"Single building indoor hallway")</f>
        <v>Single building indoor hallway</v>
      </c>
      <c r="AX453" s="8">
        <f ca="1">IFERROR(__xludf.DUMMYFUNCTION("""COMPUTED_VALUE"""),4901)</f>
        <v>4901</v>
      </c>
    </row>
    <row r="454" spans="1:50" ht="180" x14ac:dyDescent="0.2">
      <c r="A454" s="8" t="str">
        <f ca="1">IFERROR(__xludf.DUMMYFUNCTION("""COMPUTED_VALUE"""),"20240227DESUG")</f>
        <v>20240227DESUG</v>
      </c>
      <c r="B454" s="8">
        <f ca="1">IFERROR(__xludf.DUMMYFUNCTION("""COMPUTED_VALUE"""),2)</f>
        <v>2</v>
      </c>
      <c r="C454" s="8">
        <f ca="1">IFERROR(__xludf.DUMMYFUNCTION("""COMPUTED_VALUE"""),27)</f>
        <v>27</v>
      </c>
      <c r="D454" s="8">
        <f ca="1">IFERROR(__xludf.DUMMYFUNCTION("""COMPUTED_VALUE"""),2024)</f>
        <v>2024</v>
      </c>
      <c r="E454" s="9">
        <f ca="1">IFERROR(__xludf.DUMMYFUNCTION("""COMPUTED_VALUE"""),45349)</f>
        <v>45349</v>
      </c>
      <c r="F454" s="8" t="str">
        <f ca="1">IFERROR(__xludf.DUMMYFUNCTION("""COMPUTED_VALUE"""),"Sussex Central High")</f>
        <v>Sussex Central High</v>
      </c>
      <c r="G454" s="8">
        <f ca="1">IFERROR(__xludf.DUMMYFUNCTION("""COMPUTED_VALUE"""),0)</f>
        <v>0</v>
      </c>
      <c r="H454" s="8">
        <f ca="1">IFERROR(__xludf.DUMMYFUNCTION("""COMPUTED_VALUE"""),0)</f>
        <v>0</v>
      </c>
      <c r="I454" s="8">
        <f ca="1">IFERROR(__xludf.DUMMYFUNCTION("""COMPUTED_VALUE"""),0)</f>
        <v>0</v>
      </c>
      <c r="J454" s="8">
        <f ca="1">IFERROR(__xludf.DUMMYFUNCTION("""COMPUTED_VALUE"""),0)</f>
        <v>0</v>
      </c>
      <c r="K454" s="8" t="str">
        <f ca="1">IFERROR(__xludf.DUMMYFUNCTION("""COMPUTED_VALUE"""),"https://www.delawareonline.com/story/news/crime/2024/03/07/sussex-central-high-school-parking-lot-shooting-another-arrest-made/72884802007/
https://dsp.delaware.gov/2024/02/28/state-police-apprehend-15-year-old-following-shooting-incident-at-sussex-centra"&amp;"l-high-school/
https://www.wboc.com/news/update-15-year-old-arrested-following-shooting-at-sussex-central-high-school-basketball-game/article_55f4559c-d63e-11ee-be90-bbd00d17021a.html")</f>
        <v>https://www.delawareonline.com/story/news/crime/2024/03/07/sussex-central-high-school-parking-lot-shooting-another-arrest-made/72884802007/
https://dsp.delaware.gov/2024/02/28/state-police-apprehend-15-year-old-following-shooting-incident-at-sussex-central-high-school/
https://www.wboc.com/news/update-15-year-old-arrested-following-shooting-at-sussex-central-high-school-basketball-game/article_55f4559c-d63e-11ee-be90-bbd00d17021a.html</v>
      </c>
      <c r="L454" s="8">
        <f ca="1">IFERROR(__xludf.DUMMYFUNCTION("""COMPUTED_VALUE"""),10)</f>
        <v>10</v>
      </c>
      <c r="M454" s="8" t="str">
        <f ca="1">IFERROR(__xludf.DUMMYFUNCTION("""COMPUTED_VALUE"""),"Regional")</f>
        <v>Regional</v>
      </c>
      <c r="N454" s="8">
        <f ca="1">IFERROR(__xludf.DUMMYFUNCTION("""COMPUTED_VALUE"""),5)</f>
        <v>5</v>
      </c>
      <c r="O454" s="8" t="str">
        <f ca="1">IFERROR(__xludf.DUMMYFUNCTION("""COMPUTED_VALUE"""),"Winter")</f>
        <v>Winter</v>
      </c>
      <c r="P454" s="8" t="str">
        <f ca="1">IFERROR(__xludf.DUMMYFUNCTION("""COMPUTED_VALUE"""),"Georgetown")</f>
        <v>Georgetown</v>
      </c>
      <c r="Q454" s="8" t="str">
        <f ca="1">IFERROR(__xludf.DUMMYFUNCTION("""COMPUTED_VALUE"""),"DE")</f>
        <v>DE</v>
      </c>
      <c r="R454" s="8" t="str">
        <f ca="1">IFERROR(__xludf.DUMMYFUNCTION("""COMPUTED_VALUE"""),"High")</f>
        <v>High</v>
      </c>
      <c r="S454" s="8" t="str">
        <f ca="1">IFERROR(__xludf.DUMMYFUNCTION("""COMPUTED_VALUE"""),"Parking Lot")</f>
        <v>Parking Lot</v>
      </c>
      <c r="T454" s="8" t="str">
        <f ca="1">IFERROR(__xludf.DUMMYFUNCTION("""COMPUTED_VALUE"""),"Outside on School Property")</f>
        <v>Outside on School Property</v>
      </c>
      <c r="U454" s="8" t="str">
        <f ca="1">IFERROR(__xludf.DUMMYFUNCTION("""COMPUTED_VALUE"""),"No")</f>
        <v>No</v>
      </c>
      <c r="V454" s="8" t="str">
        <f ca="1">IFERROR(__xludf.DUMMYFUNCTION("""COMPUTED_VALUE"""),"Sport Event")</f>
        <v>Sport Event</v>
      </c>
      <c r="W454" s="11">
        <f ca="1">IFERROR(__xludf.DUMMYFUNCTION("""COMPUTED_VALUE"""),0.875)</f>
        <v>0.875</v>
      </c>
      <c r="X454" s="8">
        <f ca="1">IFERROR(__xludf.DUMMYFUNCTION("""COMPUTED_VALUE"""),1)</f>
        <v>1</v>
      </c>
      <c r="Y454" s="12" t="str">
        <f ca="1">IFERROR(__xludf.DUMMYFUNCTION("""COMPUTED_VALUE"""),"Student fired multiple shots in school parking lot during basketball game, damaged school across the street")</f>
        <v>Student fired multiple shots in school parking lot during basketball game, damaged school across the street</v>
      </c>
      <c r="Z454" s="12" t="str">
        <f ca="1">IFERROR(__xludf.DUMMYFUNCTION("""COMPUTED_VALUE"""),"On February 27, 2024, at approximately 8:53 p.m., troopers assigned to Sussex Central High School, located at 26026 Patriots Way in Georgetown, were on duty for a basketball game when they were alerted to gunfire within the vicinity. Troopers responded to"&amp;" the school’s parking lot, where they discovered multiple shell casings but, thankfully, no reported injuries. Utilizing available video surveillance footage, troopers were able to identify the suspect as a 15-year-old student enrolled at Sussex Central H"&amp;"igh School. Working in cooperation with the student’s parent, arrangements were made for the suspect to turn themselves in at Troop 4. The student complied and was subsequently charged")</f>
        <v>On February 27, 2024, at approximately 8:53 p.m., troopers assigned to Sussex Central High School, located at 26026 Patriots Way in Georgetown, were on duty for a basketball game when they were alerted to gunfire within the vicinity. Troopers responded to the school’s parking lot, where they discovered multiple shell casings but, thankfully, no reported injuries. Utilizing available video surveillance footage, troopers were able to identify the suspect as a 15-year-old student enrolled at Sussex Central High School. Working in cooperation with the student’s parent, arrangements were made for the suspect to turn themselves in at Troop 4. The student complied and was subsequently charged</v>
      </c>
      <c r="AA454" s="8" t="str">
        <f ca="1">IFERROR(__xludf.DUMMYFUNCTION("""COMPUTED_VALUE"""),"Escalation of Dispute")</f>
        <v>Escalation of Dispute</v>
      </c>
      <c r="AB454" s="8" t="str">
        <f ca="1">IFERROR(__xludf.DUMMYFUNCTION("""COMPUTED_VALUE"""),"Spontaneous")</f>
        <v>Spontaneous</v>
      </c>
      <c r="AC454" s="8" t="str">
        <f ca="1">IFERROR(__xludf.DUMMYFUNCTION("""COMPUTED_VALUE"""),"Yes")</f>
        <v>Yes</v>
      </c>
      <c r="AD454" s="8"/>
      <c r="AE454" s="8" t="str">
        <f ca="1">IFERROR(__xludf.DUMMYFUNCTION("""COMPUTED_VALUE"""),"No")</f>
        <v>No</v>
      </c>
      <c r="AF454" s="8"/>
      <c r="AG454" s="8" t="str">
        <f ca="1">IFERROR(__xludf.DUMMYFUNCTION("""COMPUTED_VALUE"""),"No")</f>
        <v>No</v>
      </c>
      <c r="AH454" s="8" t="str">
        <f ca="1">IFERROR(__xludf.DUMMYFUNCTION("""COMPUTED_VALUE"""),"No")</f>
        <v>No</v>
      </c>
      <c r="AI454" s="8" t="str">
        <f ca="1">IFERROR(__xludf.DUMMYFUNCTION("""COMPUTED_VALUE"""),"No")</f>
        <v>No</v>
      </c>
      <c r="AJ454" s="8" t="str">
        <f ca="1">IFERROR(__xludf.DUMMYFUNCTION("""COMPUTED_VALUE"""),"No")</f>
        <v>No</v>
      </c>
      <c r="AK454" s="8" t="str">
        <f ca="1">IFERROR(__xludf.DUMMYFUNCTION("""COMPUTED_VALUE"""),"No")</f>
        <v>No</v>
      </c>
      <c r="AL454" s="8" t="str">
        <f ca="1">IFERROR(__xludf.DUMMYFUNCTION("""COMPUTED_VALUE"""),"No")</f>
        <v>No</v>
      </c>
      <c r="AM454" s="8" t="str">
        <f ca="1">IFERROR(__xludf.DUMMYFUNCTION("""COMPUTED_VALUE"""),"No")</f>
        <v>No</v>
      </c>
      <c r="AN454" s="8" t="str">
        <f ca="1">IFERROR(__xludf.DUMMYFUNCTION("""COMPUTED_VALUE"""),"Outside")</f>
        <v>Outside</v>
      </c>
      <c r="AO454" s="8" t="str">
        <f ca="1">IFERROR(__xludf.DUMMYFUNCTION("""COMPUTED_VALUE"""),"No")</f>
        <v>No</v>
      </c>
      <c r="AP454" s="8" t="str">
        <f ca="1">IFERROR(__xludf.DUMMYFUNCTION("""COMPUTED_VALUE"""),"Yes")</f>
        <v>Yes</v>
      </c>
      <c r="AQ454" s="8" t="str">
        <f ca="1">IFERROR(__xludf.DUMMYFUNCTION("""COMPUTED_VALUE"""),"Armed Guards")</f>
        <v>Armed Guards</v>
      </c>
      <c r="AR454" s="8" t="str">
        <f ca="1">IFERROR(__xludf.DUMMYFUNCTION("""COMPUTED_VALUE"""),"Outside/Off-Property")</f>
        <v>Outside/Off-Property</v>
      </c>
      <c r="AS454" s="8">
        <f ca="1">IFERROR(__xludf.DUMMYFUNCTION("""COMPUTED_VALUE"""),99)</f>
        <v>99</v>
      </c>
      <c r="AT454" s="8" t="str">
        <f ca="1">IFERROR(__xludf.DUMMYFUNCTION("""COMPUTED_VALUE"""),"Yes")</f>
        <v>Yes</v>
      </c>
      <c r="AU454" s="8">
        <f ca="1">IFERROR(__xludf.DUMMYFUNCTION("""COMPUTED_VALUE"""),38.630831)</f>
        <v>38.630831000000001</v>
      </c>
      <c r="AV454" s="8">
        <f ca="1">IFERROR(__xludf.DUMMYFUNCTION("""COMPUTED_VALUE"""),-75.324999)</f>
        <v>-75.324999000000005</v>
      </c>
      <c r="AW454" s="8" t="str">
        <f ca="1">IFERROR(__xludf.DUMMYFUNCTION("""COMPUTED_VALUE"""),"Multiple detached buildings")</f>
        <v>Multiple detached buildings</v>
      </c>
      <c r="AX454" s="8">
        <f ca="1">IFERROR(__xludf.DUMMYFUNCTION("""COMPUTED_VALUE"""),19947)</f>
        <v>19947</v>
      </c>
    </row>
    <row r="455" spans="1:50" ht="135" x14ac:dyDescent="0.2">
      <c r="A455" s="8" t="str">
        <f ca="1">IFERROR(__xludf.DUMMYFUNCTION("""COMPUTED_VALUE"""),"20240226TXODO")</f>
        <v>20240226TXODO</v>
      </c>
      <c r="B455" s="8">
        <f ca="1">IFERROR(__xludf.DUMMYFUNCTION("""COMPUTED_VALUE"""),2)</f>
        <v>2</v>
      </c>
      <c r="C455" s="8">
        <f ca="1">IFERROR(__xludf.DUMMYFUNCTION("""COMPUTED_VALUE"""),26)</f>
        <v>26</v>
      </c>
      <c r="D455" s="8">
        <f ca="1">IFERROR(__xludf.DUMMYFUNCTION("""COMPUTED_VALUE"""),2024)</f>
        <v>2024</v>
      </c>
      <c r="E455" s="9">
        <f ca="1">IFERROR(__xludf.DUMMYFUNCTION("""COMPUTED_VALUE"""),45348)</f>
        <v>45348</v>
      </c>
      <c r="F455" s="8" t="str">
        <f ca="1">IFERROR(__xludf.DUMMYFUNCTION("""COMPUTED_VALUE"""),"Odessa High School")</f>
        <v>Odessa High School</v>
      </c>
      <c r="G455" s="8">
        <f ca="1">IFERROR(__xludf.DUMMYFUNCTION("""COMPUTED_VALUE"""),0)</f>
        <v>0</v>
      </c>
      <c r="H455" s="8">
        <f ca="1">IFERROR(__xludf.DUMMYFUNCTION("""COMPUTED_VALUE"""),1)</f>
        <v>1</v>
      </c>
      <c r="I455" s="8">
        <f ca="1">IFERROR(__xludf.DUMMYFUNCTION("""COMPUTED_VALUE"""),1)</f>
        <v>1</v>
      </c>
      <c r="J455" s="8">
        <f ca="1">IFERROR(__xludf.DUMMYFUNCTION("""COMPUTED_VALUE"""),0)</f>
        <v>0</v>
      </c>
      <c r="K455" s="10" t="str">
        <f ca="1">IFERROR(__xludf.DUMMYFUNCTION("""COMPUTED_VALUE"""),"https://www.yourbasin.com/news/student-shot-in-ohs-parking-lot/
https://www.newswest9.com/article/news/local/student-injured-in-shooting-at-odessa-high-school/513-6f53289c-35f0-4fa3-8bbe-e68710f62d38")</f>
        <v>https://www.yourbasin.com/news/student-shot-in-ohs-parking-lot/
https://www.newswest9.com/article/news/local/student-injured-in-shooting-at-odessa-high-school/513-6f53289c-35f0-4fa3-8bbe-e68710f62d38</v>
      </c>
      <c r="L455" s="8">
        <f ca="1">IFERROR(__xludf.DUMMYFUNCTION("""COMPUTED_VALUE"""),10)</f>
        <v>10</v>
      </c>
      <c r="M455" s="8" t="str">
        <f ca="1">IFERROR(__xludf.DUMMYFUNCTION("""COMPUTED_VALUE"""),"Regional")</f>
        <v>Regional</v>
      </c>
      <c r="N455" s="8">
        <f ca="1">IFERROR(__xludf.DUMMYFUNCTION("""COMPUTED_VALUE"""),4)</f>
        <v>4</v>
      </c>
      <c r="O455" s="8" t="str">
        <f ca="1">IFERROR(__xludf.DUMMYFUNCTION("""COMPUTED_VALUE"""),"Winter")</f>
        <v>Winter</v>
      </c>
      <c r="P455" s="8" t="str">
        <f ca="1">IFERROR(__xludf.DUMMYFUNCTION("""COMPUTED_VALUE"""),"Odessa")</f>
        <v>Odessa</v>
      </c>
      <c r="Q455" s="8" t="str">
        <f ca="1">IFERROR(__xludf.DUMMYFUNCTION("""COMPUTED_VALUE"""),"TX")</f>
        <v>TX</v>
      </c>
      <c r="R455" s="8" t="str">
        <f ca="1">IFERROR(__xludf.DUMMYFUNCTION("""COMPUTED_VALUE"""),"High")</f>
        <v>High</v>
      </c>
      <c r="S455" s="8" t="str">
        <f ca="1">IFERROR(__xludf.DUMMYFUNCTION("""COMPUTED_VALUE"""),"Parking Lot")</f>
        <v>Parking Lot</v>
      </c>
      <c r="T455" s="8" t="str">
        <f ca="1">IFERROR(__xludf.DUMMYFUNCTION("""COMPUTED_VALUE"""),"Outside on School Property")</f>
        <v>Outside on School Property</v>
      </c>
      <c r="U455" s="8" t="str">
        <f ca="1">IFERROR(__xludf.DUMMYFUNCTION("""COMPUTED_VALUE"""),"Yes")</f>
        <v>Yes</v>
      </c>
      <c r="V455" s="8" t="str">
        <f ca="1">IFERROR(__xludf.DUMMYFUNCTION("""COMPUTED_VALUE"""),"Morning Classes")</f>
        <v>Morning Classes</v>
      </c>
      <c r="W455" s="11">
        <f ca="1">IFERROR(__xludf.DUMMYFUNCTION("""COMPUTED_VALUE"""),0.40625)</f>
        <v>0.40625</v>
      </c>
      <c r="X455" s="8">
        <f ca="1">IFERROR(__xludf.DUMMYFUNCTION("""COMPUTED_VALUE"""),1)</f>
        <v>1</v>
      </c>
      <c r="Y455" s="12" t="str">
        <f ca="1">IFERROR(__xludf.DUMMYFUNCTION("""COMPUTED_VALUE"""),"Female student shot during fight in the parking lot during morning classes")</f>
        <v>Female student shot during fight in the parking lot during morning classes</v>
      </c>
      <c r="Z455" s="12" t="str">
        <f ca="1">IFERROR(__xludf.DUMMYFUNCTION("""COMPUTED_VALUE"""),"The Ector County Independent School District has given an update on the incident that occurred Monday morning when a female student was shot in the parking lot of Odessa High School. A school official said ECISD police arrested five ECISD students in conn"&amp;"ection to the shooting. The shooting happened on the west side of the campus around 9:45 a.m. Monday. OHS was immediately put under lockdown and then multiple law enforcement agencies arrived to the scene.")</f>
        <v>The Ector County Independent School District has given an update on the incident that occurred Monday morning when a female student was shot in the parking lot of Odessa High School. A school official said ECISD police arrested five ECISD students in connection to the shooting. The shooting happened on the west side of the campus around 9:45 a.m. Monday. OHS was immediately put under lockdown and then multiple law enforcement agencies arrived to the scene.</v>
      </c>
      <c r="AA455" s="8" t="str">
        <f ca="1">IFERROR(__xludf.DUMMYFUNCTION("""COMPUTED_VALUE"""),"Escalation of Dispute")</f>
        <v>Escalation of Dispute</v>
      </c>
      <c r="AB455" s="8" t="str">
        <f ca="1">IFERROR(__xludf.DUMMYFUNCTION("""COMPUTED_VALUE"""),"Spontaneous")</f>
        <v>Spontaneous</v>
      </c>
      <c r="AC455" s="8" t="str">
        <f ca="1">IFERROR(__xludf.DUMMYFUNCTION("""COMPUTED_VALUE"""),"Yes")</f>
        <v>Yes</v>
      </c>
      <c r="AD455" s="8" t="str">
        <f ca="1">IFERROR(__xludf.DUMMYFUNCTION("""COMPUTED_VALUE"""),"Both")</f>
        <v>Both</v>
      </c>
      <c r="AE455" s="8" t="str">
        <f ca="1">IFERROR(__xludf.DUMMYFUNCTION("""COMPUTED_VALUE"""),"No")</f>
        <v>No</v>
      </c>
      <c r="AF455" s="8"/>
      <c r="AG455" s="8" t="str">
        <f ca="1">IFERROR(__xludf.DUMMYFUNCTION("""COMPUTED_VALUE"""),"No")</f>
        <v>No</v>
      </c>
      <c r="AH455" s="8" t="str">
        <f ca="1">IFERROR(__xludf.DUMMYFUNCTION("""COMPUTED_VALUE"""),"No")</f>
        <v>No</v>
      </c>
      <c r="AI455" s="8" t="str">
        <f ca="1">IFERROR(__xludf.DUMMYFUNCTION("""COMPUTED_VALUE"""),"No")</f>
        <v>No</v>
      </c>
      <c r="AJ455" s="8"/>
      <c r="AK455" s="8" t="str">
        <f ca="1">IFERROR(__xludf.DUMMYFUNCTION("""COMPUTED_VALUE"""),"No")</f>
        <v>No</v>
      </c>
      <c r="AL455" s="8"/>
      <c r="AM455" s="8" t="str">
        <f ca="1">IFERROR(__xludf.DUMMYFUNCTION("""COMPUTED_VALUE"""),"No")</f>
        <v>No</v>
      </c>
      <c r="AN455" s="8" t="str">
        <f ca="1">IFERROR(__xludf.DUMMYFUNCTION("""COMPUTED_VALUE"""),"Outside")</f>
        <v>Outside</v>
      </c>
      <c r="AO455" s="8" t="str">
        <f ca="1">IFERROR(__xludf.DUMMYFUNCTION("""COMPUTED_VALUE"""),"No")</f>
        <v>No</v>
      </c>
      <c r="AP455" s="8"/>
      <c r="AQ455" s="8"/>
      <c r="AR455" s="8" t="str">
        <f ca="1">IFERROR(__xludf.DUMMYFUNCTION("""COMPUTED_VALUE"""),"Outside/Off-Property")</f>
        <v>Outside/Off-Property</v>
      </c>
      <c r="AS455" s="8">
        <f ca="1">IFERROR(__xludf.DUMMYFUNCTION("""COMPUTED_VALUE"""),99)</f>
        <v>99</v>
      </c>
      <c r="AT455" s="8" t="str">
        <f ca="1">IFERROR(__xludf.DUMMYFUNCTION("""COMPUTED_VALUE"""),"Yes")</f>
        <v>Yes</v>
      </c>
      <c r="AU455" s="8">
        <f ca="1">IFERROR(__xludf.DUMMYFUNCTION("""COMPUTED_VALUE"""),31.85182)</f>
        <v>31.85182</v>
      </c>
      <c r="AV455" s="8">
        <f ca="1">IFERROR(__xludf.DUMMYFUNCTION("""COMPUTED_VALUE"""),-102.382488)</f>
        <v>-102.382488</v>
      </c>
      <c r="AW455" s="8" t="str">
        <f ca="1">IFERROR(__xludf.DUMMYFUNCTION("""COMPUTED_VALUE"""),"Multiple attached buildings")</f>
        <v>Multiple attached buildings</v>
      </c>
      <c r="AX455" s="8">
        <f ca="1">IFERROR(__xludf.DUMMYFUNCTION("""COMPUTED_VALUE"""),79763)</f>
        <v>79763</v>
      </c>
    </row>
    <row r="456" spans="1:50" ht="210" x14ac:dyDescent="0.2">
      <c r="A456" s="8" t="str">
        <f ca="1">IFERROR(__xludf.DUMMYFUNCTION("""COMPUTED_VALUE"""),"20240223WVBLB")</f>
        <v>20240223WVBLB</v>
      </c>
      <c r="B456" s="8">
        <f ca="1">IFERROR(__xludf.DUMMYFUNCTION("""COMPUTED_VALUE"""),2)</f>
        <v>2</v>
      </c>
      <c r="C456" s="8">
        <f ca="1">IFERROR(__xludf.DUMMYFUNCTION("""COMPUTED_VALUE"""),23)</f>
        <v>23</v>
      </c>
      <c r="D456" s="8">
        <f ca="1">IFERROR(__xludf.DUMMYFUNCTION("""COMPUTED_VALUE"""),2024)</f>
        <v>2024</v>
      </c>
      <c r="E456" s="9">
        <f ca="1">IFERROR(__xludf.DUMMYFUNCTION("""COMPUTED_VALUE"""),45345)</f>
        <v>45345</v>
      </c>
      <c r="F456" s="8" t="str">
        <f ca="1">IFERROR(__xludf.DUMMYFUNCTION("""COMPUTED_VALUE"""),"Bluefield High School")</f>
        <v>Bluefield High School</v>
      </c>
      <c r="G456" s="8">
        <f ca="1">IFERROR(__xludf.DUMMYFUNCTION("""COMPUTED_VALUE"""),0)</f>
        <v>0</v>
      </c>
      <c r="H456" s="8">
        <f ca="1">IFERROR(__xludf.DUMMYFUNCTION("""COMPUTED_VALUE"""),0)</f>
        <v>0</v>
      </c>
      <c r="I456" s="8">
        <f ca="1">IFERROR(__xludf.DUMMYFUNCTION("""COMPUTED_VALUE"""),0)</f>
        <v>0</v>
      </c>
      <c r="J456" s="8">
        <f ca="1">IFERROR(__xludf.DUMMYFUNCTION("""COMPUTED_VALUE"""),0)</f>
        <v>0</v>
      </c>
      <c r="K456" s="10" t="str">
        <f ca="1">IFERROR(__xludf.DUMMYFUNCTION("""COMPUTED_VALUE"""),"https://wvmetronews.com/2024/02/27/mercer-county-sheriffs-continue-to-investigate-shots-fired-incident-in-a-bluefield-armory-parking-lot/
https://wvmetronews.com/2024/02/23/shots-fired-outside-bruskfork-armory-after-basketball-game/
https://www.wvnstv.com"&amp;"/news/breaking-news/breaking-shots-fired-at-brushfork-armory-during-high-school-basketball-game/")</f>
        <v>https://wvmetronews.com/2024/02/27/mercer-county-sheriffs-continue-to-investigate-shots-fired-incident-in-a-bluefield-armory-parking-lot/
https://wvmetronews.com/2024/02/23/shots-fired-outside-bruskfork-armory-after-basketball-game/
https://www.wvnstv.com/news/breaking-news/breaking-shots-fired-at-brushfork-armory-during-high-school-basketball-game/</v>
      </c>
      <c r="L456" s="8">
        <f ca="1">IFERROR(__xludf.DUMMYFUNCTION("""COMPUTED_VALUE"""),2)</f>
        <v>2</v>
      </c>
      <c r="M456" s="8" t="str">
        <f ca="1">IFERROR(__xludf.DUMMYFUNCTION("""COMPUTED_VALUE"""),"Local")</f>
        <v>Local</v>
      </c>
      <c r="N456" s="8">
        <f ca="1">IFERROR(__xludf.DUMMYFUNCTION("""COMPUTED_VALUE"""),4)</f>
        <v>4</v>
      </c>
      <c r="O456" s="8" t="str">
        <f ca="1">IFERROR(__xludf.DUMMYFUNCTION("""COMPUTED_VALUE"""),"Winter")</f>
        <v>Winter</v>
      </c>
      <c r="P456" s="8" t="str">
        <f ca="1">IFERROR(__xludf.DUMMYFUNCTION("""COMPUTED_VALUE"""),"Bluefield")</f>
        <v>Bluefield</v>
      </c>
      <c r="Q456" s="8" t="str">
        <f ca="1">IFERROR(__xludf.DUMMYFUNCTION("""COMPUTED_VALUE"""),"WV")</f>
        <v>WV</v>
      </c>
      <c r="R456" s="8" t="str">
        <f ca="1">IFERROR(__xludf.DUMMYFUNCTION("""COMPUTED_VALUE"""),"High")</f>
        <v>High</v>
      </c>
      <c r="S456" s="8" t="str">
        <f ca="1">IFERROR(__xludf.DUMMYFUNCTION("""COMPUTED_VALUE"""),"Parking Lot")</f>
        <v>Parking Lot</v>
      </c>
      <c r="T456" s="8" t="str">
        <f ca="1">IFERROR(__xludf.DUMMYFUNCTION("""COMPUTED_VALUE"""),"Off School Property")</f>
        <v>Off School Property</v>
      </c>
      <c r="U456" s="8" t="str">
        <f ca="1">IFERROR(__xludf.DUMMYFUNCTION("""COMPUTED_VALUE"""),"No")</f>
        <v>No</v>
      </c>
      <c r="V456" s="8" t="str">
        <f ca="1">IFERROR(__xludf.DUMMYFUNCTION("""COMPUTED_VALUE"""),"Sport Event")</f>
        <v>Sport Event</v>
      </c>
      <c r="W456" s="11">
        <f ca="1">IFERROR(__xludf.DUMMYFUNCTION("""COMPUTED_VALUE"""),0.875)</f>
        <v>0.875</v>
      </c>
      <c r="X456" s="8">
        <f ca="1">IFERROR(__xludf.DUMMYFUNCTION("""COMPUTED_VALUE"""),1)</f>
        <v>1</v>
      </c>
      <c r="Y456" s="12" t="str">
        <f ca="1">IFERROR(__xludf.DUMMYFUNCTION("""COMPUTED_VALUE"""),"Shots fired in the parking lot following high school basketball game")</f>
        <v>Shots fired in the parking lot following high school basketball game</v>
      </c>
      <c r="Z456" s="12" t="str">
        <f ca="1">IFERROR(__xludf.DUMMYFUNCTION("""COMPUTED_VALUE"""),"Shots were fired in the parking lot of the Brushfork Armory at a local high school basketball game on Friday, February 23, 2024. Mercer County dispatch confirmed there was an altercation in the parking lot at the conclusion of the Summers County vs. Bluef"&amp;"ield boy’s basketball game. Once the shots were reported, dispatch confirmed to 59News that off-duty officers who were working the game, locked down the gym to ensure the safety of everyone inside. Players, coaches and fans from both Summers County and Bl"&amp;"uefield sheltered in place during the lockdown as law enforcement dealt with the situation in the parking lot. Law enforcement then secured the parking lot area and the lockdown was lifted. Dispatch confirmed to 59News no players or coaches were injured.")</f>
        <v>Shots were fired in the parking lot of the Brushfork Armory at a local high school basketball game on Friday, February 23, 2024. Mercer County dispatch confirmed there was an altercation in the parking lot at the conclusion of the Summers County vs. Bluefield boy’s basketball game. Once the shots were reported, dispatch confirmed to 59News that off-duty officers who were working the game, locked down the gym to ensure the safety of everyone inside. Players, coaches and fans from both Summers County and Bluefield sheltered in place during the lockdown as law enforcement dealt with the situation in the parking lot. Law enforcement then secured the parking lot area and the lockdown was lifted. Dispatch confirmed to 59News no players or coaches were injured.</v>
      </c>
      <c r="AA456" s="8" t="str">
        <f ca="1">IFERROR(__xludf.DUMMYFUNCTION("""COMPUTED_VALUE"""),"Escalation of Dispute")</f>
        <v>Escalation of Dispute</v>
      </c>
      <c r="AB456" s="8" t="str">
        <f ca="1">IFERROR(__xludf.DUMMYFUNCTION("""COMPUTED_VALUE"""),"Spontaneous")</f>
        <v>Spontaneous</v>
      </c>
      <c r="AC456" s="8" t="str">
        <f ca="1">IFERROR(__xludf.DUMMYFUNCTION("""COMPUTED_VALUE"""),"Yes")</f>
        <v>Yes</v>
      </c>
      <c r="AD456" s="8"/>
      <c r="AE456" s="8" t="str">
        <f ca="1">IFERROR(__xludf.DUMMYFUNCTION("""COMPUTED_VALUE"""),"No")</f>
        <v>No</v>
      </c>
      <c r="AF456" s="8"/>
      <c r="AG456" s="8" t="str">
        <f ca="1">IFERROR(__xludf.DUMMYFUNCTION("""COMPUTED_VALUE"""),"No")</f>
        <v>No</v>
      </c>
      <c r="AH456" s="8" t="str">
        <f ca="1">IFERROR(__xludf.DUMMYFUNCTION("""COMPUTED_VALUE"""),"No")</f>
        <v>No</v>
      </c>
      <c r="AI456" s="8" t="str">
        <f ca="1">IFERROR(__xludf.DUMMYFUNCTION("""COMPUTED_VALUE"""),"No")</f>
        <v>No</v>
      </c>
      <c r="AJ456" s="8" t="str">
        <f ca="1">IFERROR(__xludf.DUMMYFUNCTION("""COMPUTED_VALUE"""),"No")</f>
        <v>No</v>
      </c>
      <c r="AK456" s="8" t="str">
        <f ca="1">IFERROR(__xludf.DUMMYFUNCTION("""COMPUTED_VALUE"""),"No")</f>
        <v>No</v>
      </c>
      <c r="AL456" s="8" t="str">
        <f ca="1">IFERROR(__xludf.DUMMYFUNCTION("""COMPUTED_VALUE"""),"No")</f>
        <v>No</v>
      </c>
      <c r="AM456" s="8" t="str">
        <f ca="1">IFERROR(__xludf.DUMMYFUNCTION("""COMPUTED_VALUE"""),"No")</f>
        <v>No</v>
      </c>
      <c r="AN456" s="8" t="str">
        <f ca="1">IFERROR(__xludf.DUMMYFUNCTION("""COMPUTED_VALUE"""),"Outside")</f>
        <v>Outside</v>
      </c>
      <c r="AO456" s="8" t="str">
        <f ca="1">IFERROR(__xludf.DUMMYFUNCTION("""COMPUTED_VALUE"""),"No")</f>
        <v>No</v>
      </c>
      <c r="AP456" s="8" t="str">
        <f ca="1">IFERROR(__xludf.DUMMYFUNCTION("""COMPUTED_VALUE"""),"Yes")</f>
        <v>Yes</v>
      </c>
      <c r="AQ456" s="8"/>
      <c r="AR456" s="8" t="str">
        <f ca="1">IFERROR(__xludf.DUMMYFUNCTION("""COMPUTED_VALUE"""),"Outside/Off-Property")</f>
        <v>Outside/Off-Property</v>
      </c>
      <c r="AS456" s="8">
        <f ca="1">IFERROR(__xludf.DUMMYFUNCTION("""COMPUTED_VALUE"""),99)</f>
        <v>99</v>
      </c>
      <c r="AT456" s="8" t="str">
        <f ca="1">IFERROR(__xludf.DUMMYFUNCTION("""COMPUTED_VALUE"""),"Yes")</f>
        <v>Yes</v>
      </c>
      <c r="AU456" s="8">
        <f ca="1">IFERROR(__xludf.DUMMYFUNCTION("""COMPUTED_VALUE"""),37.288249)</f>
        <v>37.288249</v>
      </c>
      <c r="AV456" s="8">
        <f ca="1">IFERROR(__xludf.DUMMYFUNCTION("""COMPUTED_VALUE"""),-81.258728)</f>
        <v>-81.258728000000005</v>
      </c>
      <c r="AW456" s="8"/>
      <c r="AX456" s="8">
        <f ca="1">IFERROR(__xludf.DUMMYFUNCTION("""COMPUTED_VALUE"""),24701)</f>
        <v>24701</v>
      </c>
    </row>
    <row r="457" spans="1:50" ht="165" x14ac:dyDescent="0.2">
      <c r="A457" s="8" t="str">
        <f ca="1">IFERROR(__xludf.DUMMYFUNCTION("""COMPUTED_VALUE"""),"20240221CODED")</f>
        <v>20240221CODED</v>
      </c>
      <c r="B457" s="8">
        <f ca="1">IFERROR(__xludf.DUMMYFUNCTION("""COMPUTED_VALUE"""),2)</f>
        <v>2</v>
      </c>
      <c r="C457" s="8">
        <f ca="1">IFERROR(__xludf.DUMMYFUNCTION("""COMPUTED_VALUE"""),21)</f>
        <v>21</v>
      </c>
      <c r="D457" s="8">
        <f ca="1">IFERROR(__xludf.DUMMYFUNCTION("""COMPUTED_VALUE"""),2024)</f>
        <v>2024</v>
      </c>
      <c r="E457" s="9">
        <f ca="1">IFERROR(__xludf.DUMMYFUNCTION("""COMPUTED_VALUE"""),45343)</f>
        <v>45343</v>
      </c>
      <c r="F457" s="8" t="str">
        <f ca="1">IFERROR(__xludf.DUMMYFUNCTION("""COMPUTED_VALUE"""),"Denver Prep Academy")</f>
        <v>Denver Prep Academy</v>
      </c>
      <c r="G457" s="8">
        <f ca="1">IFERROR(__xludf.DUMMYFUNCTION("""COMPUTED_VALUE"""),0)</f>
        <v>0</v>
      </c>
      <c r="H457" s="8">
        <f ca="1">IFERROR(__xludf.DUMMYFUNCTION("""COMPUTED_VALUE"""),0)</f>
        <v>0</v>
      </c>
      <c r="I457" s="8">
        <f ca="1">IFERROR(__xludf.DUMMYFUNCTION("""COMPUTED_VALUE"""),0)</f>
        <v>0</v>
      </c>
      <c r="J457" s="8">
        <f ca="1">IFERROR(__xludf.DUMMYFUNCTION("""COMPUTED_VALUE"""),0)</f>
        <v>0</v>
      </c>
      <c r="K457" s="10" t="str">
        <f ca="1">IFERROR(__xludf.DUMMYFUNCTION("""COMPUTED_VALUE"""),"https://www.9news.com/article/news/crime/shots-fired-near-denver-prep-school/73-75f450cb-47f5-451a-a643-c0687702ee14
https://www.cbsnews.com/colorado/news/shots-fired-outside-denver-prep-academy-no-injuries-police-say/")</f>
        <v>https://www.9news.com/article/news/crime/shots-fired-near-denver-prep-school/73-75f450cb-47f5-451a-a643-c0687702ee14
https://www.cbsnews.com/colorado/news/shots-fired-outside-denver-prep-academy-no-injuries-police-say/</v>
      </c>
      <c r="L457" s="8">
        <f ca="1">IFERROR(__xludf.DUMMYFUNCTION("""COMPUTED_VALUE"""),5)</f>
        <v>5</v>
      </c>
      <c r="M457" s="8" t="str">
        <f ca="1">IFERROR(__xludf.DUMMYFUNCTION("""COMPUTED_VALUE"""),"Local")</f>
        <v>Local</v>
      </c>
      <c r="N457" s="8">
        <f ca="1">IFERROR(__xludf.DUMMYFUNCTION("""COMPUTED_VALUE"""),4)</f>
        <v>4</v>
      </c>
      <c r="O457" s="8" t="str">
        <f ca="1">IFERROR(__xludf.DUMMYFUNCTION("""COMPUTED_VALUE"""),"Winter")</f>
        <v>Winter</v>
      </c>
      <c r="P457" s="8" t="str">
        <f ca="1">IFERROR(__xludf.DUMMYFUNCTION("""COMPUTED_VALUE"""),"Denver")</f>
        <v>Denver</v>
      </c>
      <c r="Q457" s="8" t="str">
        <f ca="1">IFERROR(__xludf.DUMMYFUNCTION("""COMPUTED_VALUE"""),"CO")</f>
        <v>CO</v>
      </c>
      <c r="R457" s="8" t="str">
        <f ca="1">IFERROR(__xludf.DUMMYFUNCTION("""COMPUTED_VALUE"""),"High")</f>
        <v>High</v>
      </c>
      <c r="S457" s="8" t="str">
        <f ca="1">IFERROR(__xludf.DUMMYFUNCTION("""COMPUTED_VALUE"""),"Front of School")</f>
        <v>Front of School</v>
      </c>
      <c r="T457" s="8" t="str">
        <f ca="1">IFERROR(__xludf.DUMMYFUNCTION("""COMPUTED_VALUE"""),"Outside on School Property")</f>
        <v>Outside on School Property</v>
      </c>
      <c r="U457" s="8" t="str">
        <f ca="1">IFERROR(__xludf.DUMMYFUNCTION("""COMPUTED_VALUE"""),"Yes")</f>
        <v>Yes</v>
      </c>
      <c r="V457" s="8" t="str">
        <f ca="1">IFERROR(__xludf.DUMMYFUNCTION("""COMPUTED_VALUE"""),"Afternoon Classes")</f>
        <v>Afternoon Classes</v>
      </c>
      <c r="W457" s="11">
        <f ca="1">IFERROR(__xludf.DUMMYFUNCTION("""COMPUTED_VALUE"""),0.53125)</f>
        <v>0.53125</v>
      </c>
      <c r="X457" s="8">
        <f ca="1">IFERROR(__xludf.DUMMYFUNCTION("""COMPUTED_VALUE"""),1)</f>
        <v>1</v>
      </c>
      <c r="Y457" s="12" t="str">
        <f ca="1">IFERROR(__xludf.DUMMYFUNCTION("""COMPUTED_VALUE"""),"Shots fired in front of the school, school went on lockdown and then dismissed")</f>
        <v>Shots fired in front of the school, school went on lockdown and then dismissed</v>
      </c>
      <c r="Z457" s="12" t="str">
        <f ca="1">IFERROR(__xludf.DUMMYFUNCTION("""COMPUTED_VALUE"""),"Shots were fired outside Denver Prep Academy near 20th Avenue and Columbine Street around 12:45 p.m. on Wednesday. Officers are still trying to figure out what led up to the shooting as there is currently no victim or suspect, according to Denver police. "&amp;"Students were released early as parents left the school with their kids as some of them were seen crying. CBS News Colorado spoke with a parent after picking up his child following the incident. ""She was pretty freaked out she said that she heard the gun"&amp;"shots and grabbed her coat right away... took shelter. So, she's still pretty shaken up over the situation,"" said the father. ")</f>
        <v xml:space="preserve">Shots were fired outside Denver Prep Academy near 20th Avenue and Columbine Street around 12:45 p.m. on Wednesday. Officers are still trying to figure out what led up to the shooting as there is currently no victim or suspect, according to Denver police. Students were released early as parents left the school with their kids as some of them were seen crying. CBS News Colorado spoke with a parent after picking up his child following the incident. "She was pretty freaked out she said that she heard the gunshots and grabbed her coat right away... took shelter. So, she's still pretty shaken up over the situation," said the father. </v>
      </c>
      <c r="AA457" s="8" t="str">
        <f ca="1">IFERROR(__xludf.DUMMYFUNCTION("""COMPUTED_VALUE"""),"Drive-by Shooting")</f>
        <v>Drive-by Shooting</v>
      </c>
      <c r="AB457" s="8"/>
      <c r="AC457" s="8" t="str">
        <f ca="1">IFERROR(__xludf.DUMMYFUNCTION("""COMPUTED_VALUE"""),"Yes")</f>
        <v>Yes</v>
      </c>
      <c r="AD457" s="8"/>
      <c r="AE457" s="8" t="str">
        <f ca="1">IFERROR(__xludf.DUMMYFUNCTION("""COMPUTED_VALUE"""),"No")</f>
        <v>No</v>
      </c>
      <c r="AF457" s="8"/>
      <c r="AG457" s="8" t="str">
        <f ca="1">IFERROR(__xludf.DUMMYFUNCTION("""COMPUTED_VALUE"""),"No")</f>
        <v>No</v>
      </c>
      <c r="AH457" s="8" t="str">
        <f ca="1">IFERROR(__xludf.DUMMYFUNCTION("""COMPUTED_VALUE"""),"No")</f>
        <v>No</v>
      </c>
      <c r="AI457" s="8" t="str">
        <f ca="1">IFERROR(__xludf.DUMMYFUNCTION("""COMPUTED_VALUE"""),"No")</f>
        <v>No</v>
      </c>
      <c r="AJ457" s="8" t="str">
        <f ca="1">IFERROR(__xludf.DUMMYFUNCTION("""COMPUTED_VALUE"""),"No")</f>
        <v>No</v>
      </c>
      <c r="AK457" s="8" t="str">
        <f ca="1">IFERROR(__xludf.DUMMYFUNCTION("""COMPUTED_VALUE"""),"No")</f>
        <v>No</v>
      </c>
      <c r="AL457" s="8"/>
      <c r="AM457" s="8" t="str">
        <f ca="1">IFERROR(__xludf.DUMMYFUNCTION("""COMPUTED_VALUE"""),"No")</f>
        <v>No</v>
      </c>
      <c r="AN457" s="8" t="str">
        <f ca="1">IFERROR(__xludf.DUMMYFUNCTION("""COMPUTED_VALUE"""),"Outside")</f>
        <v>Outside</v>
      </c>
      <c r="AO457" s="8" t="str">
        <f ca="1">IFERROR(__xludf.DUMMYFUNCTION("""COMPUTED_VALUE"""),"No")</f>
        <v>No</v>
      </c>
      <c r="AP457" s="8"/>
      <c r="AQ457" s="8"/>
      <c r="AR457" s="8" t="str">
        <f ca="1">IFERROR(__xludf.DUMMYFUNCTION("""COMPUTED_VALUE"""),"Outside/Off-Property")</f>
        <v>Outside/Off-Property</v>
      </c>
      <c r="AS457" s="8">
        <f ca="1">IFERROR(__xludf.DUMMYFUNCTION("""COMPUTED_VALUE"""),99)</f>
        <v>99</v>
      </c>
      <c r="AT457" s="8" t="str">
        <f ca="1">IFERROR(__xludf.DUMMYFUNCTION("""COMPUTED_VALUE"""),"Yes")</f>
        <v>Yes</v>
      </c>
      <c r="AU457" s="8">
        <f ca="1">IFERROR(__xludf.DUMMYFUNCTION("""COMPUTED_VALUE"""),39.710001)</f>
        <v>39.710000999999998</v>
      </c>
      <c r="AV457" s="8">
        <f ca="1">IFERROR(__xludf.DUMMYFUNCTION("""COMPUTED_VALUE"""),-105.015768)</f>
        <v>-105.01576799999999</v>
      </c>
      <c r="AW457" s="8" t="str">
        <f ca="1">IFERROR(__xludf.DUMMYFUNCTION("""COMPUTED_VALUE"""),"Single building indoor hallway")</f>
        <v>Single building indoor hallway</v>
      </c>
      <c r="AX457" s="8">
        <f ca="1">IFERROR(__xludf.DUMMYFUNCTION("""COMPUTED_VALUE"""),80223)</f>
        <v>80223</v>
      </c>
    </row>
    <row r="458" spans="1:50" ht="90" x14ac:dyDescent="0.2">
      <c r="A458" s="8" t="str">
        <f ca="1">IFERROR(__xludf.DUMMYFUNCTION("""COMPUTED_VALUE"""),"20240221TXECE")</f>
        <v>20240221TXECE</v>
      </c>
      <c r="B458" s="8">
        <f ca="1">IFERROR(__xludf.DUMMYFUNCTION("""COMPUTED_VALUE"""),2)</f>
        <v>2</v>
      </c>
      <c r="C458" s="8">
        <f ca="1">IFERROR(__xludf.DUMMYFUNCTION("""COMPUTED_VALUE"""),21)</f>
        <v>21</v>
      </c>
      <c r="D458" s="8">
        <f ca="1">IFERROR(__xludf.DUMMYFUNCTION("""COMPUTED_VALUE"""),2024)</f>
        <v>2024</v>
      </c>
      <c r="E458" s="9">
        <f ca="1">IFERROR(__xludf.DUMMYFUNCTION("""COMPUTED_VALUE"""),45343)</f>
        <v>45343</v>
      </c>
      <c r="F458" s="8" t="str">
        <f ca="1">IFERROR(__xludf.DUMMYFUNCTION("""COMPUTED_VALUE"""),"Economedes High School ")</f>
        <v xml:space="preserve">Economedes High School </v>
      </c>
      <c r="G458" s="8">
        <f ca="1">IFERROR(__xludf.DUMMYFUNCTION("""COMPUTED_VALUE"""),0)</f>
        <v>0</v>
      </c>
      <c r="H458" s="8">
        <f ca="1">IFERROR(__xludf.DUMMYFUNCTION("""COMPUTED_VALUE"""),0)</f>
        <v>0</v>
      </c>
      <c r="I458" s="8">
        <f ca="1">IFERROR(__xludf.DUMMYFUNCTION("""COMPUTED_VALUE"""),0)</f>
        <v>0</v>
      </c>
      <c r="J458" s="8">
        <f ca="1">IFERROR(__xludf.DUMMYFUNCTION("""COMPUTED_VALUE"""),0)</f>
        <v>0</v>
      </c>
      <c r="K458" s="10" t="str">
        <f ca="1">IFERROR(__xludf.DUMMYFUNCTION("""COMPUTED_VALUE"""),"https://www.krgv.com/news/edinburg-police-officer-involved-shooting-prompts-lockdown-at-economedes-high-school")</f>
        <v>https://www.krgv.com/news/edinburg-police-officer-involved-shooting-prompts-lockdown-at-economedes-high-school</v>
      </c>
      <c r="L458" s="8">
        <f ca="1">IFERROR(__xludf.DUMMYFUNCTION("""COMPUTED_VALUE"""),5)</f>
        <v>5</v>
      </c>
      <c r="M458" s="8" t="str">
        <f ca="1">IFERROR(__xludf.DUMMYFUNCTION("""COMPUTED_VALUE"""),"Local")</f>
        <v>Local</v>
      </c>
      <c r="N458" s="8">
        <f ca="1">IFERROR(__xludf.DUMMYFUNCTION("""COMPUTED_VALUE"""),4)</f>
        <v>4</v>
      </c>
      <c r="O458" s="8" t="str">
        <f ca="1">IFERROR(__xludf.DUMMYFUNCTION("""COMPUTED_VALUE"""),"Winter")</f>
        <v>Winter</v>
      </c>
      <c r="P458" s="8" t="str">
        <f ca="1">IFERROR(__xludf.DUMMYFUNCTION("""COMPUTED_VALUE"""),"Economedes")</f>
        <v>Economedes</v>
      </c>
      <c r="Q458" s="8" t="str">
        <f ca="1">IFERROR(__xludf.DUMMYFUNCTION("""COMPUTED_VALUE"""),"TX")</f>
        <v>TX</v>
      </c>
      <c r="R458" s="8" t="str">
        <f ca="1">IFERROR(__xludf.DUMMYFUNCTION("""COMPUTED_VALUE"""),"High")</f>
        <v>High</v>
      </c>
      <c r="S458" s="8" t="str">
        <f ca="1">IFERROR(__xludf.DUMMYFUNCTION("""COMPUTED_VALUE"""),"Parking Lot")</f>
        <v>Parking Lot</v>
      </c>
      <c r="T458" s="8" t="str">
        <f ca="1">IFERROR(__xludf.DUMMYFUNCTION("""COMPUTED_VALUE"""),"Outside on School Property")</f>
        <v>Outside on School Property</v>
      </c>
      <c r="U458" s="8" t="str">
        <f ca="1">IFERROR(__xludf.DUMMYFUNCTION("""COMPUTED_VALUE"""),"Yes")</f>
        <v>Yes</v>
      </c>
      <c r="V458" s="8" t="str">
        <f ca="1">IFERROR(__xludf.DUMMYFUNCTION("""COMPUTED_VALUE"""),"Dismissal")</f>
        <v>Dismissal</v>
      </c>
      <c r="W458" s="11">
        <f ca="1">IFERROR(__xludf.DUMMYFUNCTION("""COMPUTED_VALUE"""),0.677777777777777)</f>
        <v>0.67777777777777704</v>
      </c>
      <c r="X458" s="8">
        <f ca="1">IFERROR(__xludf.DUMMYFUNCTION("""COMPUTED_VALUE"""),1)</f>
        <v>1</v>
      </c>
      <c r="Y458" s="12" t="str">
        <f ca="1">IFERROR(__xludf.DUMMYFUNCTION("""COMPUTED_VALUE"""),"Officer fired shots at student driving stolen vehicle")</f>
        <v>Officer fired shots at student driving stolen vehicle</v>
      </c>
      <c r="Z458" s="12" t="str">
        <f ca="1">IFERROR(__xludf.DUMMYFUNCTION("""COMPUTED_VALUE"""),"Office fired shots at a student driving a stolen vehicle in the school parking lot. Student fled from the school and was arrested away from campus. All of the shots missed. No other students or staff were injured. School went on lockdown for 30 minutes du"&amp;"e to reports of an active shooter when the shots were fired by the officer.")</f>
        <v>Office fired shots at a student driving a stolen vehicle in the school parking lot. Student fled from the school and was arrested away from campus. All of the shots missed. No other students or staff were injured. School went on lockdown for 30 minutes due to reports of an active shooter when the shots were fired by the officer.</v>
      </c>
      <c r="AA458" s="8" t="str">
        <f ca="1">IFERROR(__xludf.DUMMYFUNCTION("""COMPUTED_VALUE"""),"Officer-Involved Shooting")</f>
        <v>Officer-Involved Shooting</v>
      </c>
      <c r="AB458" s="8"/>
      <c r="AC458" s="8" t="str">
        <f ca="1">IFERROR(__xludf.DUMMYFUNCTION("""COMPUTED_VALUE"""),"Yes")</f>
        <v>Yes</v>
      </c>
      <c r="AD458" s="8" t="str">
        <f ca="1">IFERROR(__xludf.DUMMYFUNCTION("""COMPUTED_VALUE"""),"Victims Targeted")</f>
        <v>Victims Targeted</v>
      </c>
      <c r="AE458" s="8" t="str">
        <f ca="1">IFERROR(__xludf.DUMMYFUNCTION("""COMPUTED_VALUE"""),"No")</f>
        <v>No</v>
      </c>
      <c r="AF458" s="8"/>
      <c r="AG458" s="8" t="str">
        <f ca="1">IFERROR(__xludf.DUMMYFUNCTION("""COMPUTED_VALUE"""),"No")</f>
        <v>No</v>
      </c>
      <c r="AH458" s="8" t="str">
        <f ca="1">IFERROR(__xludf.DUMMYFUNCTION("""COMPUTED_VALUE"""),"No")</f>
        <v>No</v>
      </c>
      <c r="AI458" s="8" t="str">
        <f ca="1">IFERROR(__xludf.DUMMYFUNCTION("""COMPUTED_VALUE"""),"Yes")</f>
        <v>Yes</v>
      </c>
      <c r="AJ458" s="8" t="str">
        <f ca="1">IFERROR(__xludf.DUMMYFUNCTION("""COMPUTED_VALUE"""),"No")</f>
        <v>No</v>
      </c>
      <c r="AK458" s="8" t="str">
        <f ca="1">IFERROR(__xludf.DUMMYFUNCTION("""COMPUTED_VALUE"""),"No")</f>
        <v>No</v>
      </c>
      <c r="AL458" s="8" t="str">
        <f ca="1">IFERROR(__xludf.DUMMYFUNCTION("""COMPUTED_VALUE"""),"No")</f>
        <v>No</v>
      </c>
      <c r="AM458" s="8" t="str">
        <f ca="1">IFERROR(__xludf.DUMMYFUNCTION("""COMPUTED_VALUE"""),"No")</f>
        <v>No</v>
      </c>
      <c r="AN458" s="8" t="str">
        <f ca="1">IFERROR(__xludf.DUMMYFUNCTION("""COMPUTED_VALUE"""),"Outside")</f>
        <v>Outside</v>
      </c>
      <c r="AO458" s="8" t="str">
        <f ca="1">IFERROR(__xludf.DUMMYFUNCTION("""COMPUTED_VALUE"""),"No")</f>
        <v>No</v>
      </c>
      <c r="AP458" s="8" t="str">
        <f ca="1">IFERROR(__xludf.DUMMYFUNCTION("""COMPUTED_VALUE"""),"Yes")</f>
        <v>Yes</v>
      </c>
      <c r="AQ458" s="8"/>
      <c r="AR458" s="8" t="str">
        <f ca="1">IFERROR(__xludf.DUMMYFUNCTION("""COMPUTED_VALUE"""),"Outside/Off-Property")</f>
        <v>Outside/Off-Property</v>
      </c>
      <c r="AS458" s="8">
        <f ca="1">IFERROR(__xludf.DUMMYFUNCTION("""COMPUTED_VALUE"""),99)</f>
        <v>99</v>
      </c>
      <c r="AT458" s="8" t="str">
        <f ca="1">IFERROR(__xludf.DUMMYFUNCTION("""COMPUTED_VALUE"""),"Yes")</f>
        <v>Yes</v>
      </c>
      <c r="AU458" s="8">
        <f ca="1">IFERROR(__xludf.DUMMYFUNCTION("""COMPUTED_VALUE"""),26.308501)</f>
        <v>26.308501</v>
      </c>
      <c r="AV458" s="8">
        <f ca="1">IFERROR(__xludf.DUMMYFUNCTION("""COMPUTED_VALUE"""),-98.103523)</f>
        <v>-98.103522999999996</v>
      </c>
      <c r="AW458" s="8" t="str">
        <f ca="1">IFERROR(__xludf.DUMMYFUNCTION("""COMPUTED_VALUE"""),"Single building indoor hallway")</f>
        <v>Single building indoor hallway</v>
      </c>
      <c r="AX458" s="8">
        <f ca="1">IFERROR(__xludf.DUMMYFUNCTION("""COMPUTED_VALUE"""),78542)</f>
        <v>78542</v>
      </c>
    </row>
    <row r="459" spans="1:50" ht="60" x14ac:dyDescent="0.2">
      <c r="A459" s="8" t="str">
        <f ca="1">IFERROR(__xludf.DUMMYFUNCTION("""COMPUTED_VALUE"""),"20240221AZCAT")</f>
        <v>20240221AZCAT</v>
      </c>
      <c r="B459" s="8">
        <f ca="1">IFERROR(__xludf.DUMMYFUNCTION("""COMPUTED_VALUE"""),2)</f>
        <v>2</v>
      </c>
      <c r="C459" s="8">
        <f ca="1">IFERROR(__xludf.DUMMYFUNCTION("""COMPUTED_VALUE"""),21)</f>
        <v>21</v>
      </c>
      <c r="D459" s="8">
        <f ca="1">IFERROR(__xludf.DUMMYFUNCTION("""COMPUTED_VALUE"""),2024)</f>
        <v>2024</v>
      </c>
      <c r="E459" s="9">
        <f ca="1">IFERROR(__xludf.DUMMYFUNCTION("""COMPUTED_VALUE"""),45343)</f>
        <v>45343</v>
      </c>
      <c r="F459" s="8" t="str">
        <f ca="1">IFERROR(__xludf.DUMMYFUNCTION("""COMPUTED_VALUE"""),"Catalina Magnet High School")</f>
        <v>Catalina Magnet High School</v>
      </c>
      <c r="G459" s="8">
        <f ca="1">IFERROR(__xludf.DUMMYFUNCTION("""COMPUTED_VALUE"""),0)</f>
        <v>0</v>
      </c>
      <c r="H459" s="8">
        <f ca="1">IFERROR(__xludf.DUMMYFUNCTION("""COMPUTED_VALUE"""),1)</f>
        <v>1</v>
      </c>
      <c r="I459" s="8">
        <f ca="1">IFERROR(__xludf.DUMMYFUNCTION("""COMPUTED_VALUE"""),1)</f>
        <v>1</v>
      </c>
      <c r="J459" s="8">
        <f ca="1">IFERROR(__xludf.DUMMYFUNCTION("""COMPUTED_VALUE"""),0)</f>
        <v>0</v>
      </c>
      <c r="K459" s="8" t="str">
        <f ca="1">IFERROR(__xludf.DUMMYFUNCTION("""COMPUTED_VALUE"""),"https://www.kvoa.com/news/catalina-magnet-high-school-on-lockdown-after-shooting-in-the-area/article_8d910220-d0f8-11ee-9858-537bd4075639.html
https://www.kold.com/2024/02/21/search-suspects-after-woman-shot-tucson/")</f>
        <v>https://www.kvoa.com/news/catalina-magnet-high-school-on-lockdown-after-shooting-in-the-area/article_8d910220-d0f8-11ee-9858-537bd4075639.html
https://www.kold.com/2024/02/21/search-suspects-after-woman-shot-tucson/</v>
      </c>
      <c r="L459" s="8">
        <f ca="1">IFERROR(__xludf.DUMMYFUNCTION("""COMPUTED_VALUE"""),3)</f>
        <v>3</v>
      </c>
      <c r="M459" s="8" t="str">
        <f ca="1">IFERROR(__xludf.DUMMYFUNCTION("""COMPUTED_VALUE"""),"Local")</f>
        <v>Local</v>
      </c>
      <c r="N459" s="8">
        <f ca="1">IFERROR(__xludf.DUMMYFUNCTION("""COMPUTED_VALUE"""),4)</f>
        <v>4</v>
      </c>
      <c r="O459" s="8" t="str">
        <f ca="1">IFERROR(__xludf.DUMMYFUNCTION("""COMPUTED_VALUE"""),"Winter")</f>
        <v>Winter</v>
      </c>
      <c r="P459" s="8" t="str">
        <f ca="1">IFERROR(__xludf.DUMMYFUNCTION("""COMPUTED_VALUE"""),"Tucson")</f>
        <v>Tucson</v>
      </c>
      <c r="Q459" s="8" t="str">
        <f ca="1">IFERROR(__xludf.DUMMYFUNCTION("""COMPUTED_VALUE"""),"AZ")</f>
        <v>AZ</v>
      </c>
      <c r="R459" s="8" t="str">
        <f ca="1">IFERROR(__xludf.DUMMYFUNCTION("""COMPUTED_VALUE"""),"High")</f>
        <v>High</v>
      </c>
      <c r="S459" s="8" t="str">
        <f ca="1">IFERROR(__xludf.DUMMYFUNCTION("""COMPUTED_VALUE"""),"Front of School")</f>
        <v>Front of School</v>
      </c>
      <c r="T459" s="8" t="str">
        <f ca="1">IFERROR(__xludf.DUMMYFUNCTION("""COMPUTED_VALUE"""),"Outside on School Property")</f>
        <v>Outside on School Property</v>
      </c>
      <c r="U459" s="8" t="str">
        <f ca="1">IFERROR(__xludf.DUMMYFUNCTION("""COMPUTED_VALUE"""),"Yes")</f>
        <v>Yes</v>
      </c>
      <c r="V459" s="8" t="str">
        <f ca="1">IFERROR(__xludf.DUMMYFUNCTION("""COMPUTED_VALUE"""),"Lunch")</f>
        <v>Lunch</v>
      </c>
      <c r="W459" s="11">
        <f ca="1">IFERROR(__xludf.DUMMYFUNCTION("""COMPUTED_VALUE"""),0.520833333333333)</f>
        <v>0.52083333333333304</v>
      </c>
      <c r="X459" s="8">
        <f ca="1">IFERROR(__xludf.DUMMYFUNCTION("""COMPUTED_VALUE"""),1)</f>
        <v>1</v>
      </c>
      <c r="Y459" s="12" t="str">
        <f ca="1">IFERROR(__xludf.DUMMYFUNCTION("""COMPUTED_VALUE"""),"Woman was shot in front of the school, school went on lockdown")</f>
        <v>Woman was shot in front of the school, school went on lockdown</v>
      </c>
      <c r="Z459" s="12" t="str">
        <f ca="1">IFERROR(__xludf.DUMMYFUNCTION("""COMPUTED_VALUE"""),"Woman was shot near the front doors and gate to the campus. School went on lockdown. No students or staff were injured.")</f>
        <v>Woman was shot near the front doors and gate to the campus. School went on lockdown. No students or staff were injured.</v>
      </c>
      <c r="AA459" s="8"/>
      <c r="AB459" s="8"/>
      <c r="AC459" s="8" t="str">
        <f ca="1">IFERROR(__xludf.DUMMYFUNCTION("""COMPUTED_VALUE"""),"Yes")</f>
        <v>Yes</v>
      </c>
      <c r="AD459" s="8" t="str">
        <f ca="1">IFERROR(__xludf.DUMMYFUNCTION("""COMPUTED_VALUE"""),"Victims Targeted")</f>
        <v>Victims Targeted</v>
      </c>
      <c r="AE459" s="8" t="str">
        <f ca="1">IFERROR(__xludf.DUMMYFUNCTION("""COMPUTED_VALUE"""),"No")</f>
        <v>No</v>
      </c>
      <c r="AF459" s="8"/>
      <c r="AG459" s="8" t="str">
        <f ca="1">IFERROR(__xludf.DUMMYFUNCTION("""COMPUTED_VALUE"""),"No")</f>
        <v>No</v>
      </c>
      <c r="AH459" s="8" t="str">
        <f ca="1">IFERROR(__xludf.DUMMYFUNCTION("""COMPUTED_VALUE"""),"No")</f>
        <v>No</v>
      </c>
      <c r="AI459" s="8" t="str">
        <f ca="1">IFERROR(__xludf.DUMMYFUNCTION("""COMPUTED_VALUE"""),"No")</f>
        <v>No</v>
      </c>
      <c r="AJ459" s="8" t="str">
        <f ca="1">IFERROR(__xludf.DUMMYFUNCTION("""COMPUTED_VALUE"""),"No")</f>
        <v>No</v>
      </c>
      <c r="AK459" s="8"/>
      <c r="AL459" s="8"/>
      <c r="AM459" s="8" t="str">
        <f ca="1">IFERROR(__xludf.DUMMYFUNCTION("""COMPUTED_VALUE"""),"No")</f>
        <v>No</v>
      </c>
      <c r="AN459" s="8" t="str">
        <f ca="1">IFERROR(__xludf.DUMMYFUNCTION("""COMPUTED_VALUE"""),"Outside")</f>
        <v>Outside</v>
      </c>
      <c r="AO459" s="8" t="str">
        <f ca="1">IFERROR(__xludf.DUMMYFUNCTION("""COMPUTED_VALUE"""),"No")</f>
        <v>No</v>
      </c>
      <c r="AP459" s="8"/>
      <c r="AQ459" s="8"/>
      <c r="AR459" s="8" t="str">
        <f ca="1">IFERROR(__xludf.DUMMYFUNCTION("""COMPUTED_VALUE"""),"Outside/Off-Property")</f>
        <v>Outside/Off-Property</v>
      </c>
      <c r="AS459" s="8"/>
      <c r="AT459" s="8" t="str">
        <f ca="1">IFERROR(__xludf.DUMMYFUNCTION("""COMPUTED_VALUE"""),"Yes")</f>
        <v>Yes</v>
      </c>
      <c r="AU459" s="8">
        <f ca="1">IFERROR(__xludf.DUMMYFUNCTION("""COMPUTED_VALUE"""),32.243656)</f>
        <v>32.243656000000001</v>
      </c>
      <c r="AV459" s="8">
        <f ca="1">IFERROR(__xludf.DUMMYFUNCTION("""COMPUTED_VALUE"""),-110.914219)</f>
        <v>-110.914219</v>
      </c>
      <c r="AW459" s="8" t="str">
        <f ca="1">IFERROR(__xludf.DUMMYFUNCTION("""COMPUTED_VALUE"""),"Multiple detached buildings")</f>
        <v>Multiple detached buildings</v>
      </c>
      <c r="AX459" s="8">
        <f ca="1">IFERROR(__xludf.DUMMYFUNCTION("""COMPUTED_VALUE"""),85716)</f>
        <v>85716</v>
      </c>
    </row>
    <row r="460" spans="1:50" ht="255" x14ac:dyDescent="0.2">
      <c r="A460" s="8" t="str">
        <f ca="1">IFERROR(__xludf.DUMMYFUNCTION("""COMPUTED_VALUE"""),"20240220TXTRA")</f>
        <v>20240220TXTRA</v>
      </c>
      <c r="B460" s="8">
        <f ca="1">IFERROR(__xludf.DUMMYFUNCTION("""COMPUTED_VALUE"""),2)</f>
        <v>2</v>
      </c>
      <c r="C460" s="8">
        <f ca="1">IFERROR(__xludf.DUMMYFUNCTION("""COMPUTED_VALUE"""),20)</f>
        <v>20</v>
      </c>
      <c r="D460" s="8">
        <f ca="1">IFERROR(__xludf.DUMMYFUNCTION("""COMPUTED_VALUE"""),2024)</f>
        <v>2024</v>
      </c>
      <c r="E460" s="9">
        <f ca="1">IFERROR(__xludf.DUMMYFUNCTION("""COMPUTED_VALUE"""),45342)</f>
        <v>45342</v>
      </c>
      <c r="F460" s="8" t="str">
        <f ca="1">IFERROR(__xludf.DUMMYFUNCTION("""COMPUTED_VALUE"""),"Travis Middle School")</f>
        <v>Travis Middle School</v>
      </c>
      <c r="G460" s="8">
        <f ca="1">IFERROR(__xludf.DUMMYFUNCTION("""COMPUTED_VALUE"""),0)</f>
        <v>0</v>
      </c>
      <c r="H460" s="8">
        <f ca="1">IFERROR(__xludf.DUMMYFUNCTION("""COMPUTED_VALUE"""),0)</f>
        <v>0</v>
      </c>
      <c r="I460" s="8">
        <f ca="1">IFERROR(__xludf.DUMMYFUNCTION("""COMPUTED_VALUE"""),0)</f>
        <v>0</v>
      </c>
      <c r="J460" s="8">
        <f ca="1">IFERROR(__xludf.DUMMYFUNCTION("""COMPUTED_VALUE"""),0)</f>
        <v>0</v>
      </c>
      <c r="K460" s="10" t="str">
        <f ca="1">IFERROR(__xludf.DUMMYFUNCTION("""COMPUTED_VALUE"""),"https://mynbc15.com/news/nation-world/6th-grader-honored-for-heroic-actions-after-classmate-threatened-to-shoot-someone-travis-middle-school-texas-gun-violence-threats-12-year-old-boys-attempted-aggravated-assault-unlawful-carry
https://news4sanantonio.co"&amp;"m/news/instagram/6th-grader-expelled-after-bringing-gun-to-school-travis-middle-school-6th-grade-campus-amarillo-texas-amarillo-isd-amarillo-police-department
https://www.newschannel10.com/2024/02/21/amarillo-police-2-students-arrested-after-gun-found-mid"&amp;"dle-school-campus/")</f>
        <v>https://mynbc15.com/news/nation-world/6th-grader-honored-for-heroic-actions-after-classmate-threatened-to-shoot-someone-travis-middle-school-texas-gun-violence-threats-12-year-old-boys-attempted-aggravated-assault-unlawful-carry
https://news4sanantonio.com/news/instagram/6th-grader-expelled-after-bringing-gun-to-school-travis-middle-school-6th-grade-campus-amarillo-texas-amarillo-isd-amarillo-police-department
https://www.newschannel10.com/2024/02/21/amarillo-police-2-students-arrested-after-gun-found-middle-school-campus/</v>
      </c>
      <c r="L460" s="8">
        <f ca="1">IFERROR(__xludf.DUMMYFUNCTION("""COMPUTED_VALUE"""),4)</f>
        <v>4</v>
      </c>
      <c r="M460" s="8" t="str">
        <f ca="1">IFERROR(__xludf.DUMMYFUNCTION("""COMPUTED_VALUE"""),"Local")</f>
        <v>Local</v>
      </c>
      <c r="N460" s="8">
        <f ca="1">IFERROR(__xludf.DUMMYFUNCTION("""COMPUTED_VALUE"""),4)</f>
        <v>4</v>
      </c>
      <c r="O460" s="8" t="str">
        <f ca="1">IFERROR(__xludf.DUMMYFUNCTION("""COMPUTED_VALUE"""),"Winter")</f>
        <v>Winter</v>
      </c>
      <c r="P460" s="8" t="str">
        <f ca="1">IFERROR(__xludf.DUMMYFUNCTION("""COMPUTED_VALUE"""),"Amarillo")</f>
        <v>Amarillo</v>
      </c>
      <c r="Q460" s="8" t="str">
        <f ca="1">IFERROR(__xludf.DUMMYFUNCTION("""COMPUTED_VALUE"""),"TX")</f>
        <v>TX</v>
      </c>
      <c r="R460" s="8" t="str">
        <f ca="1">IFERROR(__xludf.DUMMYFUNCTION("""COMPUTED_VALUE"""),"Middle")</f>
        <v>Middle</v>
      </c>
      <c r="S460" s="8" t="str">
        <f ca="1">IFERROR(__xludf.DUMMYFUNCTION("""COMPUTED_VALUE"""),"Bathroom")</f>
        <v>Bathroom</v>
      </c>
      <c r="T460" s="8" t="str">
        <f ca="1">IFERROR(__xludf.DUMMYFUNCTION("""COMPUTED_VALUE"""),"Inside School Building")</f>
        <v>Inside School Building</v>
      </c>
      <c r="U460" s="8" t="str">
        <f ca="1">IFERROR(__xludf.DUMMYFUNCTION("""COMPUTED_VALUE"""),"Yes")</f>
        <v>Yes</v>
      </c>
      <c r="V460" s="8" t="str">
        <f ca="1">IFERROR(__xludf.DUMMYFUNCTION("""COMPUTED_VALUE"""),"Morning Classes")</f>
        <v>Morning Classes</v>
      </c>
      <c r="W460" s="11">
        <f ca="1">IFERROR(__xludf.DUMMYFUNCTION("""COMPUTED_VALUE"""),0.395833333333333)</f>
        <v>0.39583333333333298</v>
      </c>
      <c r="X460" s="8">
        <f ca="1">IFERROR(__xludf.DUMMYFUNCTION("""COMPUTED_VALUE"""),1)</f>
        <v>1</v>
      </c>
      <c r="Y460" s="12" t="str">
        <f ca="1">IFERROR(__xludf.DUMMYFUNCTION("""COMPUTED_VALUE"""),"Student pointed handgun at classmate in the bathroom, threatened to shoot someone on campus")</f>
        <v>Student pointed handgun at classmate in the bathroom, threatened to shoot someone on campus</v>
      </c>
      <c r="Z460" s="12" t="str">
        <f ca="1">IFERROR(__xludf.DUMMYFUNCTION("""COMPUTED_VALUE"""),"Amarillo police say two 12-year-old students were arrested after they say school administration found a gun on the Travis Middle School 6th Grade Campus. Police say on Tuesday around 9:30 a.m., officers were called to meet school administration at the 6th"&amp;" Grade Campus on a student with a gun. When officers arrived, they were advised by school officials that they had received a report of a student on campus with a gun. School administration found this student, took him to the office and recovered the gun f"&amp;"rom the student. Police say officers conducted an investigation and found that the juvenile suspect had shown the gun to a second suspect in one of the bathrooms. A third student was in the bathroom when the second suspect was looking at the gun. Police s"&amp;"ay the second suspect pointed the gun at the third student. Later during the officers investigation, police say they learned the suspect had made comments to others of shooting someone on campus.")</f>
        <v>Amarillo police say two 12-year-old students were arrested after they say school administration found a gun on the Travis Middle School 6th Grade Campus. Police say on Tuesday around 9:30 a.m., officers were called to meet school administration at the 6th Grade Campus on a student with a gun. When officers arrived, they were advised by school officials that they had received a report of a student on campus with a gun. School administration found this student, took him to the office and recovered the gun from the student. Police say officers conducted an investigation and found that the juvenile suspect had shown the gun to a second suspect in one of the bathrooms. A third student was in the bathroom when the second suspect was looking at the gun. Police say the second suspect pointed the gun at the third student. Later during the officers investigation, police say they learned the suspect had made comments to others of shooting someone on campus.</v>
      </c>
      <c r="AA460" s="8"/>
      <c r="AB460" s="8" t="str">
        <f ca="1">IFERROR(__xludf.DUMMYFUNCTION("""COMPUTED_VALUE"""),"Targeted")</f>
        <v>Targeted</v>
      </c>
      <c r="AC460" s="8" t="str">
        <f ca="1">IFERROR(__xludf.DUMMYFUNCTION("""COMPUTED_VALUE"""),"Yes")</f>
        <v>Yes</v>
      </c>
      <c r="AD460" s="8" t="str">
        <f ca="1">IFERROR(__xludf.DUMMYFUNCTION("""COMPUTED_VALUE"""),"Victims Targeted")</f>
        <v>Victims Targeted</v>
      </c>
      <c r="AE460" s="8" t="str">
        <f ca="1">IFERROR(__xludf.DUMMYFUNCTION("""COMPUTED_VALUE"""),"Yes")</f>
        <v>Yes</v>
      </c>
      <c r="AF460" s="8" t="str">
        <f ca="1">IFERROR(__xludf.DUMMYFUNCTION("""COMPUTED_VALUE"""),"Two students")</f>
        <v>Two students</v>
      </c>
      <c r="AG460" s="8" t="str">
        <f ca="1">IFERROR(__xludf.DUMMYFUNCTION("""COMPUTED_VALUE"""),"No")</f>
        <v>No</v>
      </c>
      <c r="AH460" s="8" t="str">
        <f ca="1">IFERROR(__xludf.DUMMYFUNCTION("""COMPUTED_VALUE"""),"No")</f>
        <v>No</v>
      </c>
      <c r="AI460" s="8" t="str">
        <f ca="1">IFERROR(__xludf.DUMMYFUNCTION("""COMPUTED_VALUE"""),"No")</f>
        <v>No</v>
      </c>
      <c r="AJ460" s="8" t="str">
        <f ca="1">IFERROR(__xludf.DUMMYFUNCTION("""COMPUTED_VALUE"""),"No")</f>
        <v>No</v>
      </c>
      <c r="AK460" s="8" t="str">
        <f ca="1">IFERROR(__xludf.DUMMYFUNCTION("""COMPUTED_VALUE"""),"No")</f>
        <v>No</v>
      </c>
      <c r="AL460" s="8" t="str">
        <f ca="1">IFERROR(__xludf.DUMMYFUNCTION("""COMPUTED_VALUE"""),"No")</f>
        <v>No</v>
      </c>
      <c r="AM460" s="8" t="str">
        <f ca="1">IFERROR(__xludf.DUMMYFUNCTION("""COMPUTED_VALUE"""),"No")</f>
        <v>No</v>
      </c>
      <c r="AN460" s="8" t="str">
        <f ca="1">IFERROR(__xludf.DUMMYFUNCTION("""COMPUTED_VALUE"""),"Single Room")</f>
        <v>Single Room</v>
      </c>
      <c r="AO460" s="8" t="str">
        <f ca="1">IFERROR(__xludf.DUMMYFUNCTION("""COMPUTED_VALUE"""),"No")</f>
        <v>No</v>
      </c>
      <c r="AP460" s="8"/>
      <c r="AQ460" s="8"/>
      <c r="AR460" s="8" t="str">
        <f ca="1">IFERROR(__xludf.DUMMYFUNCTION("""COMPUTED_VALUE"""),"Failed")</f>
        <v>Failed</v>
      </c>
      <c r="AS460" s="8">
        <f ca="1">IFERROR(__xludf.DUMMYFUNCTION("""COMPUTED_VALUE"""),0)</f>
        <v>0</v>
      </c>
      <c r="AT460" s="8" t="str">
        <f ca="1">IFERROR(__xludf.DUMMYFUNCTION("""COMPUTED_VALUE"""),"Yes")</f>
        <v>Yes</v>
      </c>
      <c r="AU460" s="8">
        <f ca="1">IFERROR(__xludf.DUMMYFUNCTION("""COMPUTED_VALUE"""),35.234683)</f>
        <v>35.234682999999997</v>
      </c>
      <c r="AV460" s="8">
        <f ca="1">IFERROR(__xludf.DUMMYFUNCTION("""COMPUTED_VALUE"""),-101.805398)</f>
        <v>-101.805398</v>
      </c>
      <c r="AW460" s="8" t="str">
        <f ca="1">IFERROR(__xludf.DUMMYFUNCTION("""COMPUTED_VALUE"""),"Multiple detached buildings")</f>
        <v>Multiple detached buildings</v>
      </c>
      <c r="AX460" s="8">
        <f ca="1">IFERROR(__xludf.DUMMYFUNCTION("""COMPUTED_VALUE"""),79107)</f>
        <v>79107</v>
      </c>
    </row>
    <row r="461" spans="1:50" ht="165" x14ac:dyDescent="0.2">
      <c r="A461" s="8" t="str">
        <f ca="1">IFERROR(__xludf.DUMMYFUNCTION("""COMPUTED_VALUE"""),"20240220ALPEP")</f>
        <v>20240220ALPEP</v>
      </c>
      <c r="B461" s="8">
        <f ca="1">IFERROR(__xludf.DUMMYFUNCTION("""COMPUTED_VALUE"""),2)</f>
        <v>2</v>
      </c>
      <c r="C461" s="8">
        <f ca="1">IFERROR(__xludf.DUMMYFUNCTION("""COMPUTED_VALUE"""),20)</f>
        <v>20</v>
      </c>
      <c r="D461" s="8">
        <f ca="1">IFERROR(__xludf.DUMMYFUNCTION("""COMPUTED_VALUE"""),2024)</f>
        <v>2024</v>
      </c>
      <c r="E461" s="9">
        <f ca="1">IFERROR(__xludf.DUMMYFUNCTION("""COMPUTED_VALUE"""),45342)</f>
        <v>45342</v>
      </c>
      <c r="F461" s="8" t="str">
        <f ca="1">IFERROR(__xludf.DUMMYFUNCTION("""COMPUTED_VALUE"""),"Pell City High School")</f>
        <v>Pell City High School</v>
      </c>
      <c r="G461" s="8">
        <f ca="1">IFERROR(__xludf.DUMMYFUNCTION("""COMPUTED_VALUE"""),0)</f>
        <v>0</v>
      </c>
      <c r="H461" s="8">
        <f ca="1">IFERROR(__xludf.DUMMYFUNCTION("""COMPUTED_VALUE"""),1)</f>
        <v>1</v>
      </c>
      <c r="I461" s="8">
        <f ca="1">IFERROR(__xludf.DUMMYFUNCTION("""COMPUTED_VALUE"""),1)</f>
        <v>1</v>
      </c>
      <c r="J461" s="8">
        <f ca="1">IFERROR(__xludf.DUMMYFUNCTION("""COMPUTED_VALUE"""),0)</f>
        <v>0</v>
      </c>
      <c r="K461" s="8" t="str">
        <f ca="1">IFERROR(__xludf.DUMMYFUNCTION("""COMPUTED_VALUE"""),"https://abc3340.com/news/local/pell-city-student-attacked-at-school-by-adults-with-gun-alabama-birmingham
https://www.al.com/news/2024/02/pell-city-high-student-injured-in-attack-in-school-parking-lot-involving-gun-2-in-custody-1-sought.html")</f>
        <v>https://abc3340.com/news/local/pell-city-student-attacked-at-school-by-adults-with-gun-alabama-birmingham
https://www.al.com/news/2024/02/pell-city-high-student-injured-in-attack-in-school-parking-lot-involving-gun-2-in-custody-1-sought.html</v>
      </c>
      <c r="L461" s="8">
        <f ca="1">IFERROR(__xludf.DUMMYFUNCTION("""COMPUTED_VALUE"""),3)</f>
        <v>3</v>
      </c>
      <c r="M461" s="8" t="str">
        <f ca="1">IFERROR(__xludf.DUMMYFUNCTION("""COMPUTED_VALUE"""),"Regional")</f>
        <v>Regional</v>
      </c>
      <c r="N461" s="8">
        <f ca="1">IFERROR(__xludf.DUMMYFUNCTION("""COMPUTED_VALUE"""),3)</f>
        <v>3</v>
      </c>
      <c r="O461" s="8" t="str">
        <f ca="1">IFERROR(__xludf.DUMMYFUNCTION("""COMPUTED_VALUE"""),"Winter")</f>
        <v>Winter</v>
      </c>
      <c r="P461" s="8" t="str">
        <f ca="1">IFERROR(__xludf.DUMMYFUNCTION("""COMPUTED_VALUE"""),"Pell City")</f>
        <v>Pell City</v>
      </c>
      <c r="Q461" s="8" t="str">
        <f ca="1">IFERROR(__xludf.DUMMYFUNCTION("""COMPUTED_VALUE"""),"AL")</f>
        <v>AL</v>
      </c>
      <c r="R461" s="8" t="str">
        <f ca="1">IFERROR(__xludf.DUMMYFUNCTION("""COMPUTED_VALUE"""),"High")</f>
        <v>High</v>
      </c>
      <c r="S461" s="8" t="str">
        <f ca="1">IFERROR(__xludf.DUMMYFUNCTION("""COMPUTED_VALUE"""),"Outside on School Property")</f>
        <v>Outside on School Property</v>
      </c>
      <c r="T461" s="8" t="str">
        <f ca="1">IFERROR(__xludf.DUMMYFUNCTION("""COMPUTED_VALUE"""),"Outside on School Property")</f>
        <v>Outside on School Property</v>
      </c>
      <c r="U461" s="8" t="str">
        <f ca="1">IFERROR(__xludf.DUMMYFUNCTION("""COMPUTED_VALUE"""),"Yes")</f>
        <v>Yes</v>
      </c>
      <c r="V461" s="8" t="str">
        <f ca="1">IFERROR(__xludf.DUMMYFUNCTION("""COMPUTED_VALUE"""),"Dismissal")</f>
        <v>Dismissal</v>
      </c>
      <c r="W461" s="11">
        <f ca="1">IFERROR(__xludf.DUMMYFUNCTION("""COMPUTED_VALUE"""),0.625)</f>
        <v>0.625</v>
      </c>
      <c r="X461" s="8">
        <f ca="1">IFERROR(__xludf.DUMMYFUNCTION("""COMPUTED_VALUE"""),1)</f>
        <v>1</v>
      </c>
      <c r="Y461" s="12" t="str">
        <f ca="1">IFERROR(__xludf.DUMMYFUNCTION("""COMPUTED_VALUE"""),"Student attacked by 3 adults who targeted him at dismissal")</f>
        <v>Student attacked by 3 adults who targeted him at dismissal</v>
      </c>
      <c r="Z461" s="12" t="str">
        <f ca="1">IFERROR(__xludf.DUMMYFUNCTION("""COMPUTED_VALUE"""),"A Pell City High School student was leaving school Tuesday when three young adults came onto school grounds and attacked him. There was a fight in the parking lot where the attackers showed a gun on school grounds. ""During the fight a firearm was brandis"&amp;"hed by one of the suspects. The suspects involved the victim in a physical fight. A firearm was brandished, the victim was taken to the emergency room."" -- Pell City Police Chief Clay Morris. Chief Morris says the gun was not fired and that the police de"&amp;"partment has two out of the three suspects in custody on a number of charges right now.")</f>
        <v>A Pell City High School student was leaving school Tuesday when three young adults came onto school grounds and attacked him. There was a fight in the parking lot where the attackers showed a gun on school grounds. "During the fight a firearm was brandished by one of the suspects. The suspects involved the victim in a physical fight. A firearm was brandished, the victim was taken to the emergency room." -- Pell City Police Chief Clay Morris. Chief Morris says the gun was not fired and that the police department has two out of the three suspects in custody on a number of charges right now.</v>
      </c>
      <c r="AA461" s="8"/>
      <c r="AB461" s="8" t="str">
        <f ca="1">IFERROR(__xludf.DUMMYFUNCTION("""COMPUTED_VALUE"""),"Targeted")</f>
        <v>Targeted</v>
      </c>
      <c r="AC461" s="8" t="str">
        <f ca="1">IFERROR(__xludf.DUMMYFUNCTION("""COMPUTED_VALUE"""),"Yes")</f>
        <v>Yes</v>
      </c>
      <c r="AD461" s="8" t="str">
        <f ca="1">IFERROR(__xludf.DUMMYFUNCTION("""COMPUTED_VALUE"""),"Victims Targeted")</f>
        <v>Victims Targeted</v>
      </c>
      <c r="AE461" s="8" t="str">
        <f ca="1">IFERROR(__xludf.DUMMYFUNCTION("""COMPUTED_VALUE"""),"Yes")</f>
        <v>Yes</v>
      </c>
      <c r="AF461" s="8" t="str">
        <f ca="1">IFERROR(__xludf.DUMMYFUNCTION("""COMPUTED_VALUE"""),"3 adults")</f>
        <v>3 adults</v>
      </c>
      <c r="AG461" s="8" t="str">
        <f ca="1">IFERROR(__xludf.DUMMYFUNCTION("""COMPUTED_VALUE"""),"No")</f>
        <v>No</v>
      </c>
      <c r="AH461" s="8" t="str">
        <f ca="1">IFERROR(__xludf.DUMMYFUNCTION("""COMPUTED_VALUE"""),"No")</f>
        <v>No</v>
      </c>
      <c r="AI461" s="8" t="str">
        <f ca="1">IFERROR(__xludf.DUMMYFUNCTION("""COMPUTED_VALUE"""),"No")</f>
        <v>No</v>
      </c>
      <c r="AJ461" s="8" t="str">
        <f ca="1">IFERROR(__xludf.DUMMYFUNCTION("""COMPUTED_VALUE"""),"No")</f>
        <v>No</v>
      </c>
      <c r="AK461" s="8" t="str">
        <f ca="1">IFERROR(__xludf.DUMMYFUNCTION("""COMPUTED_VALUE"""),"No")</f>
        <v>No</v>
      </c>
      <c r="AL461" s="8"/>
      <c r="AM461" s="8" t="str">
        <f ca="1">IFERROR(__xludf.DUMMYFUNCTION("""COMPUTED_VALUE"""),"No")</f>
        <v>No</v>
      </c>
      <c r="AN461" s="8" t="str">
        <f ca="1">IFERROR(__xludf.DUMMYFUNCTION("""COMPUTED_VALUE"""),"Outside")</f>
        <v>Outside</v>
      </c>
      <c r="AO461" s="8" t="str">
        <f ca="1">IFERROR(__xludf.DUMMYFUNCTION("""COMPUTED_VALUE"""),"No")</f>
        <v>No</v>
      </c>
      <c r="AP461" s="8"/>
      <c r="AQ461" s="8"/>
      <c r="AR461" s="8" t="str">
        <f ca="1">IFERROR(__xludf.DUMMYFUNCTION("""COMPUTED_VALUE"""),"Outside/Off-Property")</f>
        <v>Outside/Off-Property</v>
      </c>
      <c r="AS461" s="8">
        <f ca="1">IFERROR(__xludf.DUMMYFUNCTION("""COMPUTED_VALUE"""),0)</f>
        <v>0</v>
      </c>
      <c r="AT461" s="8" t="str">
        <f ca="1">IFERROR(__xludf.DUMMYFUNCTION("""COMPUTED_VALUE"""),"No")</f>
        <v>No</v>
      </c>
      <c r="AU461" s="8">
        <f ca="1">IFERROR(__xludf.DUMMYFUNCTION("""COMPUTED_VALUE"""),33.583208)</f>
        <v>33.583207999999999</v>
      </c>
      <c r="AV461" s="8">
        <f ca="1">IFERROR(__xludf.DUMMYFUNCTION("""COMPUTED_VALUE"""),-86.294017)</f>
        <v>-86.294016999999997</v>
      </c>
      <c r="AW461" s="8" t="str">
        <f ca="1">IFERROR(__xludf.DUMMYFUNCTION("""COMPUTED_VALUE"""),"Multiple detached buildings")</f>
        <v>Multiple detached buildings</v>
      </c>
      <c r="AX461" s="8">
        <f ca="1">IFERROR(__xludf.DUMMYFUNCTION("""COMPUTED_VALUE"""),35125)</f>
        <v>35125</v>
      </c>
    </row>
    <row r="462" spans="1:50" ht="75" x14ac:dyDescent="0.2">
      <c r="A462" s="8" t="str">
        <f ca="1">IFERROR(__xludf.DUMMYFUNCTION("""COMPUTED_VALUE"""),"20240220MISAS")</f>
        <v>20240220MISAS</v>
      </c>
      <c r="B462" s="8">
        <f ca="1">IFERROR(__xludf.DUMMYFUNCTION("""COMPUTED_VALUE"""),2)</f>
        <v>2</v>
      </c>
      <c r="C462" s="8">
        <f ca="1">IFERROR(__xludf.DUMMYFUNCTION("""COMPUTED_VALUE"""),20)</f>
        <v>20</v>
      </c>
      <c r="D462" s="8">
        <f ca="1">IFERROR(__xludf.DUMMYFUNCTION("""COMPUTED_VALUE"""),2024)</f>
        <v>2024</v>
      </c>
      <c r="E462" s="9">
        <f ca="1">IFERROR(__xludf.DUMMYFUNCTION("""COMPUTED_VALUE"""),45342)</f>
        <v>45342</v>
      </c>
      <c r="F462" s="8" t="str">
        <f ca="1">IFERROR(__xludf.DUMMYFUNCTION("""COMPUTED_VALUE"""),"Saginaw High School")</f>
        <v>Saginaw High School</v>
      </c>
      <c r="G462" s="8">
        <f ca="1">IFERROR(__xludf.DUMMYFUNCTION("""COMPUTED_VALUE"""),0)</f>
        <v>0</v>
      </c>
      <c r="H462" s="8">
        <f ca="1">IFERROR(__xludf.DUMMYFUNCTION("""COMPUTED_VALUE"""),0)</f>
        <v>0</v>
      </c>
      <c r="I462" s="8">
        <f ca="1">IFERROR(__xludf.DUMMYFUNCTION("""COMPUTED_VALUE"""),0)</f>
        <v>0</v>
      </c>
      <c r="J462" s="8">
        <f ca="1">IFERROR(__xludf.DUMMYFUNCTION("""COMPUTED_VALUE"""),0)</f>
        <v>0</v>
      </c>
      <c r="K462" s="8" t="str">
        <f ca="1">IFERROR(__xludf.DUMMYFUNCTION("""COMPUTED_VALUE"""),"https://www.wnem.com/2024/02/20/msp-investigating-shot-fired-outside-saginaw-high/
https://www.mlive.com/news/saginaw-bay-city/2024/02/suspect-arrested-after-firing-gun-in-front-of-saginaw-high-school-crashing-vehicle.html")</f>
        <v>https://www.wnem.com/2024/02/20/msp-investigating-shot-fired-outside-saginaw-high/
https://www.mlive.com/news/saginaw-bay-city/2024/02/suspect-arrested-after-firing-gun-in-front-of-saginaw-high-school-crashing-vehicle.html</v>
      </c>
      <c r="L462" s="8">
        <f ca="1">IFERROR(__xludf.DUMMYFUNCTION("""COMPUTED_VALUE"""),10)</f>
        <v>10</v>
      </c>
      <c r="M462" s="8" t="str">
        <f ca="1">IFERROR(__xludf.DUMMYFUNCTION("""COMPUTED_VALUE"""),"Regional")</f>
        <v>Regional</v>
      </c>
      <c r="N462" s="8">
        <f ca="1">IFERROR(__xludf.DUMMYFUNCTION("""COMPUTED_VALUE"""),4)</f>
        <v>4</v>
      </c>
      <c r="O462" s="8" t="str">
        <f ca="1">IFERROR(__xludf.DUMMYFUNCTION("""COMPUTED_VALUE"""),"Winter")</f>
        <v>Winter</v>
      </c>
      <c r="P462" s="8" t="str">
        <f ca="1">IFERROR(__xludf.DUMMYFUNCTION("""COMPUTED_VALUE"""),"Saginaw")</f>
        <v>Saginaw</v>
      </c>
      <c r="Q462" s="8" t="str">
        <f ca="1">IFERROR(__xludf.DUMMYFUNCTION("""COMPUTED_VALUE"""),"MI")</f>
        <v>MI</v>
      </c>
      <c r="R462" s="8" t="str">
        <f ca="1">IFERROR(__xludf.DUMMYFUNCTION("""COMPUTED_VALUE"""),"High")</f>
        <v>High</v>
      </c>
      <c r="S462" s="8" t="str">
        <f ca="1">IFERROR(__xludf.DUMMYFUNCTION("""COMPUTED_VALUE"""),"Parking Lot")</f>
        <v>Parking Lot</v>
      </c>
      <c r="T462" s="8" t="str">
        <f ca="1">IFERROR(__xludf.DUMMYFUNCTION("""COMPUTED_VALUE"""),"Outside on School Property")</f>
        <v>Outside on School Property</v>
      </c>
      <c r="U462" s="8" t="str">
        <f ca="1">IFERROR(__xludf.DUMMYFUNCTION("""COMPUTED_VALUE"""),"Yes")</f>
        <v>Yes</v>
      </c>
      <c r="V462" s="8" t="str">
        <f ca="1">IFERROR(__xludf.DUMMYFUNCTION("""COMPUTED_VALUE"""),"Dismissal")</f>
        <v>Dismissal</v>
      </c>
      <c r="W462" s="11">
        <f ca="1">IFERROR(__xludf.DUMMYFUNCTION("""COMPUTED_VALUE"""),0.625)</f>
        <v>0.625</v>
      </c>
      <c r="X462" s="8">
        <f ca="1">IFERROR(__xludf.DUMMYFUNCTION("""COMPUTED_VALUE"""),1)</f>
        <v>1</v>
      </c>
      <c r="Y462" s="12" t="str">
        <f ca="1">IFERROR(__xludf.DUMMYFUNCTION("""COMPUTED_VALUE"""),"Shot fired during fight at dismissal")</f>
        <v>Shot fired during fight at dismissal</v>
      </c>
      <c r="Z462" s="12" t="str">
        <f ca="1">IFERROR(__xludf.DUMMYFUNCTION("""COMPUTED_VALUE"""),"Per police, a group of non-students came to the campus to target a group of students leaving the school at dismissal. Shot was fired during a fight and then shooter got into high speed chase with police. Shooter was arrested after crashing vehicle away fr"&amp;"om campus.")</f>
        <v>Per police, a group of non-students came to the campus to target a group of students leaving the school at dismissal. Shot was fired during a fight and then shooter got into high speed chase with police. Shooter was arrested after crashing vehicle away from campus.</v>
      </c>
      <c r="AA462" s="8" t="str">
        <f ca="1">IFERROR(__xludf.DUMMYFUNCTION("""COMPUTED_VALUE"""),"Escalation of Dispute")</f>
        <v>Escalation of Dispute</v>
      </c>
      <c r="AB462" s="8" t="str">
        <f ca="1">IFERROR(__xludf.DUMMYFUNCTION("""COMPUTED_VALUE"""),"Targeted")</f>
        <v>Targeted</v>
      </c>
      <c r="AC462" s="8" t="str">
        <f ca="1">IFERROR(__xludf.DUMMYFUNCTION("""COMPUTED_VALUE"""),"Yes")</f>
        <v>Yes</v>
      </c>
      <c r="AD462" s="8" t="str">
        <f ca="1">IFERROR(__xludf.DUMMYFUNCTION("""COMPUTED_VALUE"""),"Victims Targeted")</f>
        <v>Victims Targeted</v>
      </c>
      <c r="AE462" s="8"/>
      <c r="AF462" s="8"/>
      <c r="AG462" s="8" t="str">
        <f ca="1">IFERROR(__xludf.DUMMYFUNCTION("""COMPUTED_VALUE"""),"No")</f>
        <v>No</v>
      </c>
      <c r="AH462" s="8" t="str">
        <f ca="1">IFERROR(__xludf.DUMMYFUNCTION("""COMPUTED_VALUE"""),"No")</f>
        <v>No</v>
      </c>
      <c r="AI462" s="8" t="str">
        <f ca="1">IFERROR(__xludf.DUMMYFUNCTION("""COMPUTED_VALUE"""),"No")</f>
        <v>No</v>
      </c>
      <c r="AJ462" s="8" t="str">
        <f ca="1">IFERROR(__xludf.DUMMYFUNCTION("""COMPUTED_VALUE"""),"No")</f>
        <v>No</v>
      </c>
      <c r="AK462" s="8" t="str">
        <f ca="1">IFERROR(__xludf.DUMMYFUNCTION("""COMPUTED_VALUE"""),"No")</f>
        <v>No</v>
      </c>
      <c r="AL462" s="8"/>
      <c r="AM462" s="8" t="str">
        <f ca="1">IFERROR(__xludf.DUMMYFUNCTION("""COMPUTED_VALUE"""),"No")</f>
        <v>No</v>
      </c>
      <c r="AN462" s="8" t="str">
        <f ca="1">IFERROR(__xludf.DUMMYFUNCTION("""COMPUTED_VALUE"""),"Outside")</f>
        <v>Outside</v>
      </c>
      <c r="AO462" s="8" t="str">
        <f ca="1">IFERROR(__xludf.DUMMYFUNCTION("""COMPUTED_VALUE"""),"No")</f>
        <v>No</v>
      </c>
      <c r="AP462" s="8"/>
      <c r="AQ462" s="8"/>
      <c r="AR462" s="8" t="str">
        <f ca="1">IFERROR(__xludf.DUMMYFUNCTION("""COMPUTED_VALUE"""),"Outside/Off-Property")</f>
        <v>Outside/Off-Property</v>
      </c>
      <c r="AS462" s="8">
        <f ca="1">IFERROR(__xludf.DUMMYFUNCTION("""COMPUTED_VALUE"""),1)</f>
        <v>1</v>
      </c>
      <c r="AT462" s="8"/>
      <c r="AU462" s="8">
        <f ca="1">IFERROR(__xludf.DUMMYFUNCTION("""COMPUTED_VALUE"""),43.406316)</f>
        <v>43.406315999999997</v>
      </c>
      <c r="AV462" s="8">
        <f ca="1">IFERROR(__xludf.DUMMYFUNCTION("""COMPUTED_VALUE"""),-83.926869)</f>
        <v>-83.926868999999996</v>
      </c>
      <c r="AW462" s="8" t="str">
        <f ca="1">IFERROR(__xludf.DUMMYFUNCTION("""COMPUTED_VALUE"""),"Single building indoor hallway")</f>
        <v>Single building indoor hallway</v>
      </c>
      <c r="AX462" s="8">
        <f ca="1">IFERROR(__xludf.DUMMYFUNCTION("""COMPUTED_VALUE"""),48601)</f>
        <v>48601</v>
      </c>
    </row>
    <row r="463" spans="1:50" ht="270" x14ac:dyDescent="0.2">
      <c r="A463" s="8" t="str">
        <f ca="1">IFERROR(__xludf.DUMMYFUNCTION("""COMPUTED_VALUE"""),"20240219TXPIM")</f>
        <v>20240219TXPIM</v>
      </c>
      <c r="B463" s="8">
        <f ca="1">IFERROR(__xludf.DUMMYFUNCTION("""COMPUTED_VALUE"""),2)</f>
        <v>2</v>
      </c>
      <c r="C463" s="8">
        <f ca="1">IFERROR(__xludf.DUMMYFUNCTION("""COMPUTED_VALUE"""),19)</f>
        <v>19</v>
      </c>
      <c r="D463" s="8">
        <f ca="1">IFERROR(__xludf.DUMMYFUNCTION("""COMPUTED_VALUE"""),2024)</f>
        <v>2024</v>
      </c>
      <c r="E463" s="9">
        <f ca="1">IFERROR(__xludf.DUMMYFUNCTION("""COMPUTED_VALUE"""),45341)</f>
        <v>45341</v>
      </c>
      <c r="F463" s="8" t="str">
        <f ca="1">IFERROR(__xludf.DUMMYFUNCTION("""COMPUTED_VALUE"""),"Pioneer Technology and Arts Academy")</f>
        <v>Pioneer Technology and Arts Academy</v>
      </c>
      <c r="G463" s="8">
        <f ca="1">IFERROR(__xludf.DUMMYFUNCTION("""COMPUTED_VALUE"""),0)</f>
        <v>0</v>
      </c>
      <c r="H463" s="8">
        <f ca="1">IFERROR(__xludf.DUMMYFUNCTION("""COMPUTED_VALUE"""),0)</f>
        <v>0</v>
      </c>
      <c r="I463" s="8">
        <f ca="1">IFERROR(__xludf.DUMMYFUNCTION("""COMPUTED_VALUE"""),0)</f>
        <v>0</v>
      </c>
      <c r="J463" s="8">
        <f ca="1">IFERROR(__xludf.DUMMYFUNCTION("""COMPUTED_VALUE"""),0)</f>
        <v>0</v>
      </c>
      <c r="K463" s="10" t="str">
        <f ca="1">IFERROR(__xludf.DUMMYFUNCTION("""COMPUTED_VALUE"""),"https://www.nbcdfw.com/news/local/students-suspended-for-not-reporting-classmate-with-gun-parents-outraged/3480616/
https://www.cbsnews.com/texas/news/police-release-911-call-bodycam-video-from-mesquite-charter-school-shooting/
https://archive.is/uP479#se"&amp;"lection-1829.35-1829.99
https://www.fox4news.com/news/mesquite-school-shooting-pioneer-technology-and-arts-academy
https://www.nbcdfw.com/news/local/parents-waited-hours-outside-of-mesquite-charter-school-following-shooting/3466372/")</f>
        <v>https://www.nbcdfw.com/news/local/students-suspended-for-not-reporting-classmate-with-gun-parents-outraged/3480616/
https://www.cbsnews.com/texas/news/police-release-911-call-bodycam-video-from-mesquite-charter-school-shooting/
https://archive.is/uP479#selection-1829.35-1829.99
https://www.fox4news.com/news/mesquite-school-shooting-pioneer-technology-and-arts-academy
https://www.nbcdfw.com/news/local/parents-waited-hours-outside-of-mesquite-charter-school-following-shooting/3466372/</v>
      </c>
      <c r="L463" s="8">
        <f ca="1">IFERROR(__xludf.DUMMYFUNCTION("""COMPUTED_VALUE"""),20)</f>
        <v>20</v>
      </c>
      <c r="M463" s="8" t="str">
        <f ca="1">IFERROR(__xludf.DUMMYFUNCTION("""COMPUTED_VALUE"""),"National")</f>
        <v>National</v>
      </c>
      <c r="N463" s="8">
        <f ca="1">IFERROR(__xludf.DUMMYFUNCTION("""COMPUTED_VALUE"""),4)</f>
        <v>4</v>
      </c>
      <c r="O463" s="8" t="str">
        <f ca="1">IFERROR(__xludf.DUMMYFUNCTION("""COMPUTED_VALUE"""),"Winter")</f>
        <v>Winter</v>
      </c>
      <c r="P463" s="8" t="str">
        <f ca="1">IFERROR(__xludf.DUMMYFUNCTION("""COMPUTED_VALUE"""),"Mesquite")</f>
        <v>Mesquite</v>
      </c>
      <c r="Q463" s="8" t="str">
        <f ca="1">IFERROR(__xludf.DUMMYFUNCTION("""COMPUTED_VALUE"""),"TX")</f>
        <v>TX</v>
      </c>
      <c r="R463" s="8" t="str">
        <f ca="1">IFERROR(__xludf.DUMMYFUNCTION("""COMPUTED_VALUE"""),"6-12")</f>
        <v>6-12</v>
      </c>
      <c r="S463" s="8" t="str">
        <f ca="1">IFERROR(__xludf.DUMMYFUNCTION("""COMPUTED_VALUE"""),"Office")</f>
        <v>Office</v>
      </c>
      <c r="T463" s="8" t="str">
        <f ca="1">IFERROR(__xludf.DUMMYFUNCTION("""COMPUTED_VALUE"""),"Inside School Building")</f>
        <v>Inside School Building</v>
      </c>
      <c r="U463" s="8" t="str">
        <f ca="1">IFERROR(__xludf.DUMMYFUNCTION("""COMPUTED_VALUE"""),"Yes")</f>
        <v>Yes</v>
      </c>
      <c r="V463" s="8" t="str">
        <f ca="1">IFERROR(__xludf.DUMMYFUNCTION("""COMPUTED_VALUE"""),"Morning Classes")</f>
        <v>Morning Classes</v>
      </c>
      <c r="W463" s="11">
        <f ca="1">IFERROR(__xludf.DUMMYFUNCTION("""COMPUTED_VALUE"""),0.368055555555555)</f>
        <v>0.36805555555555503</v>
      </c>
      <c r="X463" s="8">
        <f ca="1">IFERROR(__xludf.DUMMYFUNCTION("""COMPUTED_VALUE"""),6)</f>
        <v>6</v>
      </c>
      <c r="Y463" s="12" t="str">
        <f ca="1">IFERROR(__xludf.DUMMYFUNCTION("""COMPUTED_VALUE"""),"Student with gun shot by police inside school office")</f>
        <v>Student with gun shot by police inside school office</v>
      </c>
      <c r="Z463" s="12" t="str">
        <f ca="1">IFERROR(__xludf.DUMMYFUNCTION("""COMPUTED_VALUE"""),"When police arrived, a 16-year-old student was alone in the school office with a gun. Officers reportedly gave the student verbal commands to put down the weapon, but at some point during negotiations, three officers shot at the armed student. The student"&amp;" was wounded and transported to the hospital where he remains in police custody. No other students and staff were injured. Police have not released information about how many shots the three officers fired or how many struck the teen. Officers fired 19 sh"&amp;"ots at the student. Prior to the shooting, the shooter had told other students he was going to commit a shooting during English class and planned to kill the teacher. He showed 3 students the gun inside his backpack before the shooting. ""He decides to ju"&amp;"st open his backpack and start flashing the gun at me,"" she said. ""He said he was going to do it one day so today was that day. He was going to do it and how he's only going to be going after the English teacher. That everybody should just leave the cla"&amp;"ssroom after.""")</f>
        <v>When police arrived, a 16-year-old student was alone in the school office with a gun. Officers reportedly gave the student verbal commands to put down the weapon, but at some point during negotiations, three officers shot at the armed student. The student was wounded and transported to the hospital where he remains in police custody. No other students and staff were injured. Police have not released information about how many shots the three officers fired or how many struck the teen. Officers fired 19 shots at the student. Prior to the shooting, the shooter had told other students he was going to commit a shooting during English class and planned to kill the teacher. He showed 3 students the gun inside his backpack before the shooting. "He decides to just open his backpack and start flashing the gun at me," she said. "He said he was going to do it one day so today was that day. He was going to do it and how he's only going to be going after the English teacher. That everybody should just leave the classroom after."</v>
      </c>
      <c r="AA463" s="8" t="str">
        <f ca="1">IFERROR(__xludf.DUMMYFUNCTION("""COMPUTED_VALUE"""),"Anger Over Grade/Suspension/Discipline")</f>
        <v>Anger Over Grade/Suspension/Discipline</v>
      </c>
      <c r="AB463" s="8" t="str">
        <f ca="1">IFERROR(__xludf.DUMMYFUNCTION("""COMPUTED_VALUE"""),"Targeted")</f>
        <v>Targeted</v>
      </c>
      <c r="AC463" s="8" t="str">
        <f ca="1">IFERROR(__xludf.DUMMYFUNCTION("""COMPUTED_VALUE"""),"Yes")</f>
        <v>Yes</v>
      </c>
      <c r="AD463" s="8" t="str">
        <f ca="1">IFERROR(__xludf.DUMMYFUNCTION("""COMPUTED_VALUE"""),"Victims Targeted")</f>
        <v>Victims Targeted</v>
      </c>
      <c r="AE463" s="8" t="str">
        <f ca="1">IFERROR(__xludf.DUMMYFUNCTION("""COMPUTED_VALUE"""),"No")</f>
        <v>No</v>
      </c>
      <c r="AF463" s="8"/>
      <c r="AG463" s="8" t="str">
        <f ca="1">IFERROR(__xludf.DUMMYFUNCTION("""COMPUTED_VALUE"""),"No")</f>
        <v>No</v>
      </c>
      <c r="AH463" s="8" t="str">
        <f ca="1">IFERROR(__xludf.DUMMYFUNCTION("""COMPUTED_VALUE"""),"No")</f>
        <v>No</v>
      </c>
      <c r="AI463" s="8" t="str">
        <f ca="1">IFERROR(__xludf.DUMMYFUNCTION("""COMPUTED_VALUE"""),"No")</f>
        <v>No</v>
      </c>
      <c r="AJ463" s="8" t="str">
        <f ca="1">IFERROR(__xludf.DUMMYFUNCTION("""COMPUTED_VALUE"""),"No")</f>
        <v>No</v>
      </c>
      <c r="AK463" s="8" t="str">
        <f ca="1">IFERROR(__xludf.DUMMYFUNCTION("""COMPUTED_VALUE"""),"No")</f>
        <v>No</v>
      </c>
      <c r="AL463" s="8" t="str">
        <f ca="1">IFERROR(__xludf.DUMMYFUNCTION("""COMPUTED_VALUE"""),"No")</f>
        <v>No</v>
      </c>
      <c r="AM463" s="8" t="str">
        <f ca="1">IFERROR(__xludf.DUMMYFUNCTION("""COMPUTED_VALUE"""),"No")</f>
        <v>No</v>
      </c>
      <c r="AN463" s="8" t="str">
        <f ca="1">IFERROR(__xludf.DUMMYFUNCTION("""COMPUTED_VALUE"""),"Single Room")</f>
        <v>Single Room</v>
      </c>
      <c r="AO463" s="8" t="str">
        <f ca="1">IFERROR(__xludf.DUMMYFUNCTION("""COMPUTED_VALUE"""),"Yes")</f>
        <v>Yes</v>
      </c>
      <c r="AP463" s="8" t="str">
        <f ca="1">IFERROR(__xludf.DUMMYFUNCTION("""COMPUTED_VALUE"""),"No")</f>
        <v>No</v>
      </c>
      <c r="AQ463" s="8"/>
      <c r="AR463" s="8" t="str">
        <f ca="1">IFERROR(__xludf.DUMMYFUNCTION("""COMPUTED_VALUE"""),"NA")</f>
        <v>NA</v>
      </c>
      <c r="AS463" s="8">
        <f ca="1">IFERROR(__xludf.DUMMYFUNCTION("""COMPUTED_VALUE"""),0)</f>
        <v>0</v>
      </c>
      <c r="AT463" s="8" t="str">
        <f ca="1">IFERROR(__xludf.DUMMYFUNCTION("""COMPUTED_VALUE"""),"Yes")</f>
        <v>Yes</v>
      </c>
      <c r="AU463" s="8">
        <f ca="1">IFERROR(__xludf.DUMMYFUNCTION("""COMPUTED_VALUE"""),32.821377)</f>
        <v>32.821376999999998</v>
      </c>
      <c r="AV463" s="8">
        <f ca="1">IFERROR(__xludf.DUMMYFUNCTION("""COMPUTED_VALUE"""),-96.64695)</f>
        <v>-96.646950000000004</v>
      </c>
      <c r="AW463" s="8" t="str">
        <f ca="1">IFERROR(__xludf.DUMMYFUNCTION("""COMPUTED_VALUE"""),"Multiple detached buildings")</f>
        <v>Multiple detached buildings</v>
      </c>
      <c r="AX463" s="8">
        <f ca="1">IFERROR(__xludf.DUMMYFUNCTION("""COMPUTED_VALUE"""),75150)</f>
        <v>75150</v>
      </c>
    </row>
    <row r="464" spans="1:50" ht="270" x14ac:dyDescent="0.2">
      <c r="A464" s="8" t="str">
        <f ca="1">IFERROR(__xludf.DUMMYFUNCTION("""COMPUTED_VALUE"""),"20240215FLSHC")</f>
        <v>20240215FLSHC</v>
      </c>
      <c r="B464" s="8">
        <f ca="1">IFERROR(__xludf.DUMMYFUNCTION("""COMPUTED_VALUE"""),2)</f>
        <v>2</v>
      </c>
      <c r="C464" s="8">
        <f ca="1">IFERROR(__xludf.DUMMYFUNCTION("""COMPUTED_VALUE"""),15)</f>
        <v>15</v>
      </c>
      <c r="D464" s="8">
        <f ca="1">IFERROR(__xludf.DUMMYFUNCTION("""COMPUTED_VALUE"""),2024)</f>
        <v>2024</v>
      </c>
      <c r="E464" s="9">
        <f ca="1">IFERROR(__xludf.DUMMYFUNCTION("""COMPUTED_VALUE"""),45337)</f>
        <v>45337</v>
      </c>
      <c r="F464" s="8" t="str">
        <f ca="1">IFERROR(__xludf.DUMMYFUNCTION("""COMPUTED_VALUE"""),"Shadeville Elementary School")</f>
        <v>Shadeville Elementary School</v>
      </c>
      <c r="G464" s="8">
        <f ca="1">IFERROR(__xludf.DUMMYFUNCTION("""COMPUTED_VALUE"""),0)</f>
        <v>0</v>
      </c>
      <c r="H464" s="8">
        <f ca="1">IFERROR(__xludf.DUMMYFUNCTION("""COMPUTED_VALUE"""),1)</f>
        <v>1</v>
      </c>
      <c r="I464" s="8">
        <f ca="1">IFERROR(__xludf.DUMMYFUNCTION("""COMPUTED_VALUE"""),1)</f>
        <v>1</v>
      </c>
      <c r="J464" s="8">
        <f ca="1">IFERROR(__xludf.DUMMYFUNCTION("""COMPUTED_VALUE"""),0)</f>
        <v>0</v>
      </c>
      <c r="K464" s="8" t="str">
        <f ca="1">IFERROR(__xludf.DUMMYFUNCTION("""COMPUTED_VALUE"""),"https://www.wtxl.com/crawfordville/child-injured-2-arrested-following-shooting-of-wakulla-county-school-bus
https://www.google.com/url?rct=j&amp;sa=t&amp;url=https://www.tallahassee.com/story/news/local/2024/02/16/minors-face-charges-after-reportedly-shooting-air"&amp;"-rifles-at-school-bus/72628033007/&amp;ct=ga&amp;cd=CAEYASoTMzIxNTQ5Njg3NTQ3NDY3NTIyNTIaMjhhZjA0MWI2YTkzNTNiZjpjb206ZW46VVM&amp;usg=AOvVaw3FYHYzpf7NdKPsZmnw8pxc")</f>
        <v>https://www.wtxl.com/crawfordville/child-injured-2-arrested-following-shooting-of-wakulla-county-school-bus
https://www.google.com/url?rct=j&amp;sa=t&amp;url=https://www.tallahassee.com/story/news/local/2024/02/16/minors-face-charges-after-reportedly-shooting-air-rifles-at-school-bus/72628033007/&amp;ct=ga&amp;cd=CAEYASoTMzIxNTQ5Njg3NTQ3NDY3NTIyNTIaMjhhZjA0MWI2YTkzNTNiZjpjb206ZW46VVM&amp;usg=AOvVaw3FYHYzpf7NdKPsZmnw8pxc</v>
      </c>
      <c r="L464" s="8">
        <f ca="1">IFERROR(__xludf.DUMMYFUNCTION("""COMPUTED_VALUE"""),5)</f>
        <v>5</v>
      </c>
      <c r="M464" s="8" t="str">
        <f ca="1">IFERROR(__xludf.DUMMYFUNCTION("""COMPUTED_VALUE"""),"Regional")</f>
        <v>Regional</v>
      </c>
      <c r="N464" s="8">
        <f ca="1">IFERROR(__xludf.DUMMYFUNCTION("""COMPUTED_VALUE"""),4)</f>
        <v>4</v>
      </c>
      <c r="O464" s="8" t="str">
        <f ca="1">IFERROR(__xludf.DUMMYFUNCTION("""COMPUTED_VALUE"""),"Winter")</f>
        <v>Winter</v>
      </c>
      <c r="P464" s="8" t="str">
        <f ca="1">IFERROR(__xludf.DUMMYFUNCTION("""COMPUTED_VALUE"""),"Crawfordville")</f>
        <v>Crawfordville</v>
      </c>
      <c r="Q464" s="8" t="str">
        <f ca="1">IFERROR(__xludf.DUMMYFUNCTION("""COMPUTED_VALUE"""),"FL")</f>
        <v>FL</v>
      </c>
      <c r="R464" s="8" t="str">
        <f ca="1">IFERROR(__xludf.DUMMYFUNCTION("""COMPUTED_VALUE"""),"Elementary")</f>
        <v>Elementary</v>
      </c>
      <c r="S464" s="8" t="str">
        <f ca="1">IFERROR(__xludf.DUMMYFUNCTION("""COMPUTED_VALUE"""),"School Bus")</f>
        <v>School Bus</v>
      </c>
      <c r="T464" s="8" t="str">
        <f ca="1">IFERROR(__xludf.DUMMYFUNCTION("""COMPUTED_VALUE"""),"School Bus")</f>
        <v>School Bus</v>
      </c>
      <c r="U464" s="8" t="str">
        <f ca="1">IFERROR(__xludf.DUMMYFUNCTION("""COMPUTED_VALUE"""),"Yes")</f>
        <v>Yes</v>
      </c>
      <c r="V464" s="8" t="str">
        <f ca="1">IFERROR(__xludf.DUMMYFUNCTION("""COMPUTED_VALUE"""),"Dismissal")</f>
        <v>Dismissal</v>
      </c>
      <c r="W464" s="11">
        <f ca="1">IFERROR(__xludf.DUMMYFUNCTION("""COMPUTED_VALUE"""),0.65625)</f>
        <v>0.65625</v>
      </c>
      <c r="X464" s="8">
        <f ca="1">IFERROR(__xludf.DUMMYFUNCTION("""COMPUTED_VALUE"""),1)</f>
        <v>1</v>
      </c>
      <c r="Y464" s="12" t="str">
        <f ca="1">IFERROR(__xludf.DUMMYFUNCTION("""COMPUTED_VALUE"""),"Two juveniles fired pellet guns at occupied school bus breaking windows, one student injured by broken glass")</f>
        <v>Two juveniles fired pellet guns at occupied school bus breaking windows, one student injured by broken glass</v>
      </c>
      <c r="Z464" s="12" t="str">
        <f ca="1">IFERROR(__xludf.DUMMYFUNCTION("""COMPUTED_VALUE"""),"On February 15, 2024, Wakulla County District School bus 31 had two of its windows shattered when it was twice fired upon by pellet/BB gun air rifles. The bus was shot as it was transporting students home from Shadeville Elementary School while traveling "&amp;"in an easterly direction on Dr. Martin Luther King Jr. Memorial Blvd in the area of Graham Trail. No children were seriously injured. The shooting was reported to the Wakulla County Sheriff’s Office, Wakulla Fire Rescue, and Wakulla County District School"&amp;"s. Personnel from each of those entities immediately responded to the scene. Wakulla County Fire Rescue evaluated the bus driver and students. There was a minor leg injury to one of the children as a result of glass debris. Thereafter, Wakulla County Dist"&amp;"rict Schools arranged for alternate transportation for the children who had been riding the bus. Deputies saturated the area in an effort to ascertain the origin of the projectiles that shattered the two windows of the school bus.")</f>
        <v>On February 15, 2024, Wakulla County District School bus 31 had two of its windows shattered when it was twice fired upon by pellet/BB gun air rifles. The bus was shot as it was transporting students home from Shadeville Elementary School while traveling in an easterly direction on Dr. Martin Luther King Jr. Memorial Blvd in the area of Graham Trail. No children were seriously injured. The shooting was reported to the Wakulla County Sheriff’s Office, Wakulla Fire Rescue, and Wakulla County District Schools. Personnel from each of those entities immediately responded to the scene. Wakulla County Fire Rescue evaluated the bus driver and students. There was a minor leg injury to one of the children as a result of glass debris. Thereafter, Wakulla County District Schools arranged for alternate transportation for the children who had been riding the bus. Deputies saturated the area in an effort to ascertain the origin of the projectiles that shattered the two windows of the school bus.</v>
      </c>
      <c r="AA464" s="8" t="str">
        <f ca="1">IFERROR(__xludf.DUMMYFUNCTION("""COMPUTED_VALUE"""),"Intentional Property Damage")</f>
        <v>Intentional Property Damage</v>
      </c>
      <c r="AB464" s="8"/>
      <c r="AC464" s="8" t="str">
        <f ca="1">IFERROR(__xludf.DUMMYFUNCTION("""COMPUTED_VALUE"""),"Yes")</f>
        <v>Yes</v>
      </c>
      <c r="AD464" s="8"/>
      <c r="AE464" s="8" t="str">
        <f ca="1">IFERROR(__xludf.DUMMYFUNCTION("""COMPUTED_VALUE"""),"Yes")</f>
        <v>Yes</v>
      </c>
      <c r="AF464" s="8" t="str">
        <f ca="1">IFERROR(__xludf.DUMMYFUNCTION("""COMPUTED_VALUE"""),"Two students")</f>
        <v>Two students</v>
      </c>
      <c r="AG464" s="8" t="str">
        <f ca="1">IFERROR(__xludf.DUMMYFUNCTION("""COMPUTED_VALUE"""),"No")</f>
        <v>No</v>
      </c>
      <c r="AH464" s="8" t="str">
        <f ca="1">IFERROR(__xludf.DUMMYFUNCTION("""COMPUTED_VALUE"""),"No")</f>
        <v>No</v>
      </c>
      <c r="AI464" s="8" t="str">
        <f ca="1">IFERROR(__xludf.DUMMYFUNCTION("""COMPUTED_VALUE"""),"No")</f>
        <v>No</v>
      </c>
      <c r="AJ464" s="8" t="str">
        <f ca="1">IFERROR(__xludf.DUMMYFUNCTION("""COMPUTED_VALUE"""),"No")</f>
        <v>No</v>
      </c>
      <c r="AK464" s="8" t="str">
        <f ca="1">IFERROR(__xludf.DUMMYFUNCTION("""COMPUTED_VALUE"""),"No")</f>
        <v>No</v>
      </c>
      <c r="AL464" s="8" t="str">
        <f ca="1">IFERROR(__xludf.DUMMYFUNCTION("""COMPUTED_VALUE"""),"No")</f>
        <v>No</v>
      </c>
      <c r="AM464" s="8" t="str">
        <f ca="1">IFERROR(__xludf.DUMMYFUNCTION("""COMPUTED_VALUE"""),"No")</f>
        <v>No</v>
      </c>
      <c r="AN464" s="8" t="str">
        <f ca="1">IFERROR(__xludf.DUMMYFUNCTION("""COMPUTED_VALUE"""),"Outside")</f>
        <v>Outside</v>
      </c>
      <c r="AO464" s="8" t="str">
        <f ca="1">IFERROR(__xludf.DUMMYFUNCTION("""COMPUTED_VALUE"""),"No")</f>
        <v>No</v>
      </c>
      <c r="AP464" s="8"/>
      <c r="AQ464" s="8"/>
      <c r="AR464" s="8" t="str">
        <f ca="1">IFERROR(__xludf.DUMMYFUNCTION("""COMPUTED_VALUE"""),"Outside/Off-Property")</f>
        <v>Outside/Off-Property</v>
      </c>
      <c r="AS464" s="8">
        <f ca="1">IFERROR(__xludf.DUMMYFUNCTION("""COMPUTED_VALUE"""),99)</f>
        <v>99</v>
      </c>
      <c r="AT464" s="8" t="str">
        <f ca="1">IFERROR(__xludf.DUMMYFUNCTION("""COMPUTED_VALUE"""),"No")</f>
        <v>No</v>
      </c>
      <c r="AU464" s="8">
        <f ca="1">IFERROR(__xludf.DUMMYFUNCTION("""COMPUTED_VALUE"""),30.215914)</f>
        <v>30.215914000000001</v>
      </c>
      <c r="AV464" s="8">
        <f ca="1">IFERROR(__xludf.DUMMYFUNCTION("""COMPUTED_VALUE"""),-84.31749)</f>
        <v>-84.317490000000006</v>
      </c>
      <c r="AW464" s="8" t="str">
        <f ca="1">IFERROR(__xludf.DUMMYFUNCTION("""COMPUTED_VALUE"""),"Multiple detached buildings")</f>
        <v>Multiple detached buildings</v>
      </c>
      <c r="AX464" s="8">
        <f ca="1">IFERROR(__xludf.DUMMYFUNCTION("""COMPUTED_VALUE"""),32327)</f>
        <v>32327</v>
      </c>
    </row>
    <row r="465" spans="1:50" ht="60" x14ac:dyDescent="0.2">
      <c r="A465" s="8" t="str">
        <f ca="1">IFERROR(__xludf.DUMMYFUNCTION("""COMPUTED_VALUE"""),"20240214GABEA")</f>
        <v>20240214GABEA</v>
      </c>
      <c r="B465" s="8">
        <f ca="1">IFERROR(__xludf.DUMMYFUNCTION("""COMPUTED_VALUE"""),2)</f>
        <v>2</v>
      </c>
      <c r="C465" s="8">
        <f ca="1">IFERROR(__xludf.DUMMYFUNCTION("""COMPUTED_VALUE"""),14)</f>
        <v>14</v>
      </c>
      <c r="D465" s="8">
        <f ca="1">IFERROR(__xludf.DUMMYFUNCTION("""COMPUTED_VALUE"""),2024)</f>
        <v>2024</v>
      </c>
      <c r="E465" s="9">
        <f ca="1">IFERROR(__xludf.DUMMYFUNCTION("""COMPUTED_VALUE"""),45336)</f>
        <v>45336</v>
      </c>
      <c r="F465" s="8" t="str">
        <f ca="1">IFERROR(__xludf.DUMMYFUNCTION("""COMPUTED_VALUE"""),"Benjamin E. Mays High School")</f>
        <v>Benjamin E. Mays High School</v>
      </c>
      <c r="G465" s="8">
        <f ca="1">IFERROR(__xludf.DUMMYFUNCTION("""COMPUTED_VALUE"""),0)</f>
        <v>0</v>
      </c>
      <c r="H465" s="8">
        <f ca="1">IFERROR(__xludf.DUMMYFUNCTION("""COMPUTED_VALUE"""),4)</f>
        <v>4</v>
      </c>
      <c r="I465" s="8">
        <f ca="1">IFERROR(__xludf.DUMMYFUNCTION("""COMPUTED_VALUE"""),4)</f>
        <v>4</v>
      </c>
      <c r="J465" s="8">
        <f ca="1">IFERROR(__xludf.DUMMYFUNCTION("""COMPUTED_VALUE"""),0)</f>
        <v>0</v>
      </c>
      <c r="K465" s="10" t="str">
        <f ca="1">IFERROR(__xludf.DUMMYFUNCTION("""COMPUTED_VALUE"""),"https://www.wsbtv.com/news/local/atlanta/teen-turns-himself-after-4-shot-atlanta-high-school-valentines-day-police-say/H662R5SSZZFPHKHKQJLBABC6X4/
https://www.atlantanewsfirst.com/2024/02/14/shots-fired-atlantas-benjamin-e-mays-high-school-district-says/
"&amp;"https://www.wsbtv.com/news/local/atlanta/police-investigating-incident-benjamin-e-mays-high-school/MVT4R3WKWFFGVF3FDGONDAGQ4Q/")</f>
        <v>https://www.wsbtv.com/news/local/atlanta/teen-turns-himself-after-4-shot-atlanta-high-school-valentines-day-police-say/H662R5SSZZFPHKHKQJLBABC6X4/
https://www.atlantanewsfirst.com/2024/02/14/shots-fired-atlantas-benjamin-e-mays-high-school-district-says/
https://www.wsbtv.com/news/local/atlanta/police-investigating-incident-benjamin-e-mays-high-school/MVT4R3WKWFFGVF3FDGONDAGQ4Q/</v>
      </c>
      <c r="L465" s="8">
        <f ca="1">IFERROR(__xludf.DUMMYFUNCTION("""COMPUTED_VALUE"""),10)</f>
        <v>10</v>
      </c>
      <c r="M465" s="8" t="str">
        <f ca="1">IFERROR(__xludf.DUMMYFUNCTION("""COMPUTED_VALUE"""),"Regional")</f>
        <v>Regional</v>
      </c>
      <c r="N465" s="8">
        <f ca="1">IFERROR(__xludf.DUMMYFUNCTION("""COMPUTED_VALUE"""),4)</f>
        <v>4</v>
      </c>
      <c r="O465" s="8" t="str">
        <f ca="1">IFERROR(__xludf.DUMMYFUNCTION("""COMPUTED_VALUE"""),"Winter")</f>
        <v>Winter</v>
      </c>
      <c r="P465" s="8" t="str">
        <f ca="1">IFERROR(__xludf.DUMMYFUNCTION("""COMPUTED_VALUE"""),"Atlanta")</f>
        <v>Atlanta</v>
      </c>
      <c r="Q465" s="8" t="str">
        <f ca="1">IFERROR(__xludf.DUMMYFUNCTION("""COMPUTED_VALUE"""),"GA")</f>
        <v>GA</v>
      </c>
      <c r="R465" s="8" t="str">
        <f ca="1">IFERROR(__xludf.DUMMYFUNCTION("""COMPUTED_VALUE"""),"High")</f>
        <v>High</v>
      </c>
      <c r="S465" s="8" t="str">
        <f ca="1">IFERROR(__xludf.DUMMYFUNCTION("""COMPUTED_VALUE"""),"Parking Lot")</f>
        <v>Parking Lot</v>
      </c>
      <c r="T465" s="8" t="str">
        <f ca="1">IFERROR(__xludf.DUMMYFUNCTION("""COMPUTED_VALUE"""),"Outside on School Property")</f>
        <v>Outside on School Property</v>
      </c>
      <c r="U465" s="8" t="str">
        <f ca="1">IFERROR(__xludf.DUMMYFUNCTION("""COMPUTED_VALUE"""),"Yes")</f>
        <v>Yes</v>
      </c>
      <c r="V465" s="8" t="str">
        <f ca="1">IFERROR(__xludf.DUMMYFUNCTION("""COMPUTED_VALUE"""),"Dismissal")</f>
        <v>Dismissal</v>
      </c>
      <c r="W465" s="11">
        <f ca="1">IFERROR(__xludf.DUMMYFUNCTION("""COMPUTED_VALUE"""),0.666666666666666)</f>
        <v>0.66666666666666596</v>
      </c>
      <c r="X465" s="8">
        <f ca="1">IFERROR(__xludf.DUMMYFUNCTION("""COMPUTED_VALUE"""),1)</f>
        <v>1</v>
      </c>
      <c r="Y465" s="12" t="str">
        <f ca="1">IFERROR(__xludf.DUMMYFUNCTION("""COMPUTED_VALUE"""),"Four students shot in school parking lot at dismissal")</f>
        <v>Four students shot in school parking lot at dismissal</v>
      </c>
      <c r="Z465" s="12" t="str">
        <f ca="1">IFERROR(__xludf.DUMMYFUNCTION("""COMPUTED_VALUE"""),"“Shortly after dismissal, shots were fired from an unknown vehicle, striking four students at Benjamin E. Mays High School lower campus parking lot,” the district said in a statement.")</f>
        <v>“Shortly after dismissal, shots were fired from an unknown vehicle, striking four students at Benjamin E. Mays High School lower campus parking lot,” the district said in a statement.</v>
      </c>
      <c r="AA465" s="8" t="str">
        <f ca="1">IFERROR(__xludf.DUMMYFUNCTION("""COMPUTED_VALUE"""),"Drive-by Shooting")</f>
        <v>Drive-by Shooting</v>
      </c>
      <c r="AB465" s="8" t="str">
        <f ca="1">IFERROR(__xludf.DUMMYFUNCTION("""COMPUTED_VALUE"""),"Targeted")</f>
        <v>Targeted</v>
      </c>
      <c r="AC465" s="8" t="str">
        <f ca="1">IFERROR(__xludf.DUMMYFUNCTION("""COMPUTED_VALUE"""),"Yes")</f>
        <v>Yes</v>
      </c>
      <c r="AD465" s="8" t="str">
        <f ca="1">IFERROR(__xludf.DUMMYFUNCTION("""COMPUTED_VALUE"""),"Victims Targeted")</f>
        <v>Victims Targeted</v>
      </c>
      <c r="AE465" s="8" t="str">
        <f ca="1">IFERROR(__xludf.DUMMYFUNCTION("""COMPUTED_VALUE"""),"Yes")</f>
        <v>Yes</v>
      </c>
      <c r="AF465" s="8"/>
      <c r="AG465" s="8" t="str">
        <f ca="1">IFERROR(__xludf.DUMMYFUNCTION("""COMPUTED_VALUE"""),"No")</f>
        <v>No</v>
      </c>
      <c r="AH465" s="8" t="str">
        <f ca="1">IFERROR(__xludf.DUMMYFUNCTION("""COMPUTED_VALUE"""),"No")</f>
        <v>No</v>
      </c>
      <c r="AI465" s="8" t="str">
        <f ca="1">IFERROR(__xludf.DUMMYFUNCTION("""COMPUTED_VALUE"""),"No")</f>
        <v>No</v>
      </c>
      <c r="AJ465" s="8" t="str">
        <f ca="1">IFERROR(__xludf.DUMMYFUNCTION("""COMPUTED_VALUE"""),"No")</f>
        <v>No</v>
      </c>
      <c r="AK465" s="8" t="str">
        <f ca="1">IFERROR(__xludf.DUMMYFUNCTION("""COMPUTED_VALUE"""),"No")</f>
        <v>No</v>
      </c>
      <c r="AL465" s="8"/>
      <c r="AM465" s="8" t="str">
        <f ca="1">IFERROR(__xludf.DUMMYFUNCTION("""COMPUTED_VALUE"""),"No")</f>
        <v>No</v>
      </c>
      <c r="AN465" s="8" t="str">
        <f ca="1">IFERROR(__xludf.DUMMYFUNCTION("""COMPUTED_VALUE"""),"Outside")</f>
        <v>Outside</v>
      </c>
      <c r="AO465" s="8" t="str">
        <f ca="1">IFERROR(__xludf.DUMMYFUNCTION("""COMPUTED_VALUE"""),"No")</f>
        <v>No</v>
      </c>
      <c r="AP465" s="8"/>
      <c r="AQ465" s="8"/>
      <c r="AR465" s="8" t="str">
        <f ca="1">IFERROR(__xludf.DUMMYFUNCTION("""COMPUTED_VALUE"""),"Outside/Off-Property")</f>
        <v>Outside/Off-Property</v>
      </c>
      <c r="AS465" s="8">
        <f ca="1">IFERROR(__xludf.DUMMYFUNCTION("""COMPUTED_VALUE"""),99)</f>
        <v>99</v>
      </c>
      <c r="AT465" s="8" t="str">
        <f ca="1">IFERROR(__xludf.DUMMYFUNCTION("""COMPUTED_VALUE"""),"Yes")</f>
        <v>Yes</v>
      </c>
      <c r="AU465" s="8">
        <f ca="1">IFERROR(__xludf.DUMMYFUNCTION("""COMPUTED_VALUE"""),33.733827)</f>
        <v>33.733826999999998</v>
      </c>
      <c r="AV465" s="8">
        <f ca="1">IFERROR(__xludf.DUMMYFUNCTION("""COMPUTED_VALUE"""),-84.503841)</f>
        <v>-84.503840999999994</v>
      </c>
      <c r="AW465" s="8" t="str">
        <f ca="1">IFERROR(__xludf.DUMMYFUNCTION("""COMPUTED_VALUE"""),"Multiple attached buildings")</f>
        <v>Multiple attached buildings</v>
      </c>
      <c r="AX465" s="8">
        <f ca="1">IFERROR(__xludf.DUMMYFUNCTION("""COMPUTED_VALUE"""),30331)</f>
        <v>30331</v>
      </c>
    </row>
    <row r="466" spans="1:50" ht="135" x14ac:dyDescent="0.2">
      <c r="A466" s="8" t="str">
        <f ca="1">IFERROR(__xludf.DUMMYFUNCTION("""COMPUTED_VALUE"""),"20240213TNRAM")</f>
        <v>20240213TNRAM</v>
      </c>
      <c r="B466" s="8">
        <f ca="1">IFERROR(__xludf.DUMMYFUNCTION("""COMPUTED_VALUE"""),2)</f>
        <v>2</v>
      </c>
      <c r="C466" s="8">
        <f ca="1">IFERROR(__xludf.DUMMYFUNCTION("""COMPUTED_VALUE"""),13)</f>
        <v>13</v>
      </c>
      <c r="D466" s="8">
        <f ca="1">IFERROR(__xludf.DUMMYFUNCTION("""COMPUTED_VALUE"""),2024)</f>
        <v>2024</v>
      </c>
      <c r="E466" s="9">
        <f ca="1">IFERROR(__xludf.DUMMYFUNCTION("""COMPUTED_VALUE"""),45335)</f>
        <v>45335</v>
      </c>
      <c r="F466" s="8" t="str">
        <f ca="1">IFERROR(__xludf.DUMMYFUNCTION("""COMPUTED_VALUE"""),"Raleigh Egypt Middle School")</f>
        <v>Raleigh Egypt Middle School</v>
      </c>
      <c r="G466" s="8">
        <f ca="1">IFERROR(__xludf.DUMMYFUNCTION("""COMPUTED_VALUE"""),0)</f>
        <v>0</v>
      </c>
      <c r="H466" s="8">
        <f ca="1">IFERROR(__xludf.DUMMYFUNCTION("""COMPUTED_VALUE"""),1)</f>
        <v>1</v>
      </c>
      <c r="I466" s="8">
        <f ca="1">IFERROR(__xludf.DUMMYFUNCTION("""COMPUTED_VALUE"""),1)</f>
        <v>1</v>
      </c>
      <c r="J466" s="8">
        <f ca="1">IFERROR(__xludf.DUMMYFUNCTION("""COMPUTED_VALUE"""),0)</f>
        <v>0</v>
      </c>
      <c r="K466" s="8" t="str">
        <f ca="1">IFERROR(__xludf.DUMMYFUNCTION("""COMPUTED_VALUE"""),"https://www.actionnews5.com/2024/03/06/woman-charged-assaulting-two-raleigh-egypt-middle-students-making-threats-mpd-says/
https://www.google.com/url?rct=j&amp;sa=t&amp;url=https://www.charlotteobserver.com/news/nation-world/national/article286351240.html&amp;ct=ga&amp;c"&amp;"d=CAEYCCoTMTYyNzg3MzQwMjY3NzY2MDIxOTIaNWE3OWJkMWYyMmI0NzQ1MDpjb206ZW46VVM&amp;usg=AOvVaw2T4_32dgIU57Nt9tOw4dtx")</f>
        <v>https://www.actionnews5.com/2024/03/06/woman-charged-assaulting-two-raleigh-egypt-middle-students-making-threats-mpd-says/
https://www.google.com/url?rct=j&amp;sa=t&amp;url=https://www.charlotteobserver.com/news/nation-world/national/article286351240.html&amp;ct=ga&amp;cd=CAEYCCoTMTYyNzg3MzQwMjY3NzY2MDIxOTIaNWE3OWJkMWYyMmI0NzQ1MDpjb206ZW46VVM&amp;usg=AOvVaw2T4_32dgIU57Nt9tOw4dtx</v>
      </c>
      <c r="L466" s="8">
        <f ca="1">IFERROR(__xludf.DUMMYFUNCTION("""COMPUTED_VALUE"""),3)</f>
        <v>3</v>
      </c>
      <c r="M466" s="8" t="str">
        <f ca="1">IFERROR(__xludf.DUMMYFUNCTION("""COMPUTED_VALUE"""),"Local")</f>
        <v>Local</v>
      </c>
      <c r="N466" s="8">
        <f ca="1">IFERROR(__xludf.DUMMYFUNCTION("""COMPUTED_VALUE"""),4)</f>
        <v>4</v>
      </c>
      <c r="O466" s="8" t="str">
        <f ca="1">IFERROR(__xludf.DUMMYFUNCTION("""COMPUTED_VALUE"""),"Winter")</f>
        <v>Winter</v>
      </c>
      <c r="P466" s="8" t="str">
        <f ca="1">IFERROR(__xludf.DUMMYFUNCTION("""COMPUTED_VALUE"""),"Memphis")</f>
        <v>Memphis</v>
      </c>
      <c r="Q466" s="8" t="str">
        <f ca="1">IFERROR(__xludf.DUMMYFUNCTION("""COMPUTED_VALUE"""),"TN")</f>
        <v>TN</v>
      </c>
      <c r="R466" s="8" t="str">
        <f ca="1">IFERROR(__xludf.DUMMYFUNCTION("""COMPUTED_VALUE"""),"Middle")</f>
        <v>Middle</v>
      </c>
      <c r="S466" s="8" t="str">
        <f ca="1">IFERROR(__xludf.DUMMYFUNCTION("""COMPUTED_VALUE"""),"Parking Lot")</f>
        <v>Parking Lot</v>
      </c>
      <c r="T466" s="8" t="str">
        <f ca="1">IFERROR(__xludf.DUMMYFUNCTION("""COMPUTED_VALUE"""),"Outside on School Property")</f>
        <v>Outside on School Property</v>
      </c>
      <c r="U466" s="8" t="str">
        <f ca="1">IFERROR(__xludf.DUMMYFUNCTION("""COMPUTED_VALUE"""),"Yes")</f>
        <v>Yes</v>
      </c>
      <c r="V466" s="8" t="str">
        <f ca="1">IFERROR(__xludf.DUMMYFUNCTION("""COMPUTED_VALUE"""),"Dismissal")</f>
        <v>Dismissal</v>
      </c>
      <c r="W466" s="11">
        <f ca="1">IFERROR(__xludf.DUMMYFUNCTION("""COMPUTED_VALUE"""),0.645833333333333)</f>
        <v>0.64583333333333304</v>
      </c>
      <c r="X466" s="8">
        <f ca="1">IFERROR(__xludf.DUMMYFUNCTION("""COMPUTED_VALUE"""),1)</f>
        <v>1</v>
      </c>
      <c r="Y466" s="12" t="str">
        <f ca="1">IFERROR(__xludf.DUMMYFUNCTION("""COMPUTED_VALUE"""),"Mother struck student with handgun during fight at dismissal")</f>
        <v>Mother struck student with handgun during fight at dismissal</v>
      </c>
      <c r="Z466" s="12" t="str">
        <f ca="1">IFERROR(__xludf.DUMMYFUNCTION("""COMPUTED_VALUE"""),"A woman was arrested by Memphis police for allegedly assaulting two female students at Raleigh Egypt Middle School and threatening to shoot the school. Tonishea McIntyre, 36, is charged with assault, aggravated assault, and the threat of mass violence on "&amp;"school property. The 16-year-old victim told police that she was involved in a large fight with multiple kids and during the fight, McIntyre struck her in the head with a small handgun. The victim had to receive three stitches on her forehead as a result.")</f>
        <v>A woman was arrested by Memphis police for allegedly assaulting two female students at Raleigh Egypt Middle School and threatening to shoot the school. Tonishea McIntyre, 36, is charged with assault, aggravated assault, and the threat of mass violence on school property. The 16-year-old victim told police that she was involved in a large fight with multiple kids and during the fight, McIntyre struck her in the head with a small handgun. The victim had to receive three stitches on her forehead as a result.</v>
      </c>
      <c r="AA466" s="8" t="str">
        <f ca="1">IFERROR(__xludf.DUMMYFUNCTION("""COMPUTED_VALUE"""),"Escalation of Dispute")</f>
        <v>Escalation of Dispute</v>
      </c>
      <c r="AB466" s="8" t="str">
        <f ca="1">IFERROR(__xludf.DUMMYFUNCTION("""COMPUTED_VALUE"""),"Spontaneous")</f>
        <v>Spontaneous</v>
      </c>
      <c r="AC466" s="8" t="str">
        <f ca="1">IFERROR(__xludf.DUMMYFUNCTION("""COMPUTED_VALUE"""),"Yes")</f>
        <v>Yes</v>
      </c>
      <c r="AD466" s="8" t="str">
        <f ca="1">IFERROR(__xludf.DUMMYFUNCTION("""COMPUTED_VALUE"""),"Victims Targeted")</f>
        <v>Victims Targeted</v>
      </c>
      <c r="AE466" s="8" t="str">
        <f ca="1">IFERROR(__xludf.DUMMYFUNCTION("""COMPUTED_VALUE"""),"No")</f>
        <v>No</v>
      </c>
      <c r="AF466" s="8"/>
      <c r="AG466" s="8" t="str">
        <f ca="1">IFERROR(__xludf.DUMMYFUNCTION("""COMPUTED_VALUE"""),"No")</f>
        <v>No</v>
      </c>
      <c r="AH466" s="8" t="str">
        <f ca="1">IFERROR(__xludf.DUMMYFUNCTION("""COMPUTED_VALUE"""),"No")</f>
        <v>No</v>
      </c>
      <c r="AI466" s="8" t="str">
        <f ca="1">IFERROR(__xludf.DUMMYFUNCTION("""COMPUTED_VALUE"""),"No")</f>
        <v>No</v>
      </c>
      <c r="AJ466" s="8" t="str">
        <f ca="1">IFERROR(__xludf.DUMMYFUNCTION("""COMPUTED_VALUE"""),"No")</f>
        <v>No</v>
      </c>
      <c r="AK466" s="8" t="str">
        <f ca="1">IFERROR(__xludf.DUMMYFUNCTION("""COMPUTED_VALUE"""),"No")</f>
        <v>No</v>
      </c>
      <c r="AL466" s="8" t="str">
        <f ca="1">IFERROR(__xludf.DUMMYFUNCTION("""COMPUTED_VALUE"""),"No")</f>
        <v>No</v>
      </c>
      <c r="AM466" s="8" t="str">
        <f ca="1">IFERROR(__xludf.DUMMYFUNCTION("""COMPUTED_VALUE"""),"No")</f>
        <v>No</v>
      </c>
      <c r="AN466" s="8" t="str">
        <f ca="1">IFERROR(__xludf.DUMMYFUNCTION("""COMPUTED_VALUE"""),"Outside")</f>
        <v>Outside</v>
      </c>
      <c r="AO466" s="8" t="str">
        <f ca="1">IFERROR(__xludf.DUMMYFUNCTION("""COMPUTED_VALUE"""),"No")</f>
        <v>No</v>
      </c>
      <c r="AP466" s="8"/>
      <c r="AQ466" s="8"/>
      <c r="AR466" s="8" t="str">
        <f ca="1">IFERROR(__xludf.DUMMYFUNCTION("""COMPUTED_VALUE"""),"Outside/Off-Property")</f>
        <v>Outside/Off-Property</v>
      </c>
      <c r="AS466" s="8">
        <f ca="1">IFERROR(__xludf.DUMMYFUNCTION("""COMPUTED_VALUE"""),0)</f>
        <v>0</v>
      </c>
      <c r="AT466" s="8" t="str">
        <f ca="1">IFERROR(__xludf.DUMMYFUNCTION("""COMPUTED_VALUE"""),"No")</f>
        <v>No</v>
      </c>
      <c r="AU466" s="8">
        <f ca="1">IFERROR(__xludf.DUMMYFUNCTION("""COMPUTED_VALUE"""),35.240281)</f>
        <v>35.240281000000003</v>
      </c>
      <c r="AV466" s="8">
        <f ca="1">IFERROR(__xludf.DUMMYFUNCTION("""COMPUTED_VALUE"""),-89.929289)</f>
        <v>-89.929288999999997</v>
      </c>
      <c r="AW466" s="8" t="str">
        <f ca="1">IFERROR(__xludf.DUMMYFUNCTION("""COMPUTED_VALUE"""),"Multiple detached buildings")</f>
        <v>Multiple detached buildings</v>
      </c>
      <c r="AX466" s="8">
        <f ca="1">IFERROR(__xludf.DUMMYFUNCTION("""COMPUTED_VALUE"""),38128)</f>
        <v>38128</v>
      </c>
    </row>
    <row r="467" spans="1:50" ht="120" x14ac:dyDescent="0.2">
      <c r="A467" s="8" t="str">
        <f ca="1">IFERROR(__xludf.DUMMYFUNCTION("""COMPUTED_VALUE"""),"20240212OHBEB")</f>
        <v>20240212OHBEB</v>
      </c>
      <c r="B467" s="8">
        <f ca="1">IFERROR(__xludf.DUMMYFUNCTION("""COMPUTED_VALUE"""),2)</f>
        <v>2</v>
      </c>
      <c r="C467" s="8">
        <f ca="1">IFERROR(__xludf.DUMMYFUNCTION("""COMPUTED_VALUE"""),12)</f>
        <v>12</v>
      </c>
      <c r="D467" s="8">
        <f ca="1">IFERROR(__xludf.DUMMYFUNCTION("""COMPUTED_VALUE"""),2024)</f>
        <v>2024</v>
      </c>
      <c r="E467" s="9">
        <f ca="1">IFERROR(__xludf.DUMMYFUNCTION("""COMPUTED_VALUE"""),45334)</f>
        <v>45334</v>
      </c>
      <c r="F467" s="8" t="str">
        <f ca="1">IFERROR(__xludf.DUMMYFUNCTION("""COMPUTED_VALUE"""),"Bedford High School")</f>
        <v>Bedford High School</v>
      </c>
      <c r="G467" s="8">
        <f ca="1">IFERROR(__xludf.DUMMYFUNCTION("""COMPUTED_VALUE"""),0)</f>
        <v>0</v>
      </c>
      <c r="H467" s="8">
        <f ca="1">IFERROR(__xludf.DUMMYFUNCTION("""COMPUTED_VALUE"""),1)</f>
        <v>1</v>
      </c>
      <c r="I467" s="8">
        <f ca="1">IFERROR(__xludf.DUMMYFUNCTION("""COMPUTED_VALUE"""),1)</f>
        <v>1</v>
      </c>
      <c r="J467" s="8">
        <f ca="1">IFERROR(__xludf.DUMMYFUNCTION("""COMPUTED_VALUE"""),0)</f>
        <v>0</v>
      </c>
      <c r="K467" s="10" t="str">
        <f ca="1">IFERROR(__xludf.DUMMYFUNCTION("""COMPUTED_VALUE"""),"https://www.wkyc.com/article/news/crime/suspect-wanted-assault-bedford-high-school-student-gun-surrenders-laquan-evans/95-8fdae1ad-3450-47e7-b765-e56ff703b29a")</f>
        <v>https://www.wkyc.com/article/news/crime/suspect-wanted-assault-bedford-high-school-student-gun-surrenders-laquan-evans/95-8fdae1ad-3450-47e7-b765-e56ff703b29a</v>
      </c>
      <c r="L467" s="8">
        <f ca="1">IFERROR(__xludf.DUMMYFUNCTION("""COMPUTED_VALUE"""),1)</f>
        <v>1</v>
      </c>
      <c r="M467" s="8" t="str">
        <f ca="1">IFERROR(__xludf.DUMMYFUNCTION("""COMPUTED_VALUE"""),"Local")</f>
        <v>Local</v>
      </c>
      <c r="N467" s="8">
        <f ca="1">IFERROR(__xludf.DUMMYFUNCTION("""COMPUTED_VALUE"""),4)</f>
        <v>4</v>
      </c>
      <c r="O467" s="8" t="str">
        <f ca="1">IFERROR(__xludf.DUMMYFUNCTION("""COMPUTED_VALUE"""),"Winter")</f>
        <v>Winter</v>
      </c>
      <c r="P467" s="8" t="str">
        <f ca="1">IFERROR(__xludf.DUMMYFUNCTION("""COMPUTED_VALUE"""),"Bedford")</f>
        <v>Bedford</v>
      </c>
      <c r="Q467" s="8" t="str">
        <f ca="1">IFERROR(__xludf.DUMMYFUNCTION("""COMPUTED_VALUE"""),"OH")</f>
        <v>OH</v>
      </c>
      <c r="R467" s="8" t="str">
        <f ca="1">IFERROR(__xludf.DUMMYFUNCTION("""COMPUTED_VALUE"""),"High")</f>
        <v>High</v>
      </c>
      <c r="S467" s="8" t="str">
        <f ca="1">IFERROR(__xludf.DUMMYFUNCTION("""COMPUTED_VALUE"""),"Football Field/Track")</f>
        <v>Football Field/Track</v>
      </c>
      <c r="T467" s="8" t="str">
        <f ca="1">IFERROR(__xludf.DUMMYFUNCTION("""COMPUTED_VALUE"""),"Outside on School Property")</f>
        <v>Outside on School Property</v>
      </c>
      <c r="U467" s="8" t="str">
        <f ca="1">IFERROR(__xludf.DUMMYFUNCTION("""COMPUTED_VALUE"""),"Yes")</f>
        <v>Yes</v>
      </c>
      <c r="V467" s="8" t="str">
        <f ca="1">IFERROR(__xludf.DUMMYFUNCTION("""COMPUTED_VALUE"""),"Afternoon Classes")</f>
        <v>Afternoon Classes</v>
      </c>
      <c r="W467" s="11">
        <f ca="1">IFERROR(__xludf.DUMMYFUNCTION("""COMPUTED_VALUE"""),0.611111111111111)</f>
        <v>0.61111111111111105</v>
      </c>
      <c r="X467" s="8">
        <f ca="1">IFERROR(__xludf.DUMMYFUNCTION("""COMPUTED_VALUE"""),1)</f>
        <v>1</v>
      </c>
      <c r="Y467" s="12" t="str">
        <f ca="1">IFERROR(__xludf.DUMMYFUNCTION("""COMPUTED_VALUE"""),"Man struck student with gun near the football field, fled before SRO arrived")</f>
        <v>Man struck student with gun near the football field, fled before SRO arrived</v>
      </c>
      <c r="Z467" s="12" t="str">
        <f ca="1">IFERROR(__xludf.DUMMYFUNCTION("""COMPUTED_VALUE"""),"The incident happened on Feb. 12 near Bearcat Stadium. Bedford High School Principal Khalisha Lewis informed families that at around 2:40 p.m., school leaders were informed that an unknown adult was on school grounds with a possible weapon. Bedford police"&amp;" says its school resource officer was dispatched to the stadium building for a call of an injured student. Suspect fled and was arrested off campus.")</f>
        <v>The incident happened on Feb. 12 near Bearcat Stadium. Bedford High School Principal Khalisha Lewis informed families that at around 2:40 p.m., school leaders were informed that an unknown adult was on school grounds with a possible weapon. Bedford police says its school resource officer was dispatched to the stadium building for a call of an injured student. Suspect fled and was arrested off campus.</v>
      </c>
      <c r="AA467" s="8"/>
      <c r="AB467" s="8" t="str">
        <f ca="1">IFERROR(__xludf.DUMMYFUNCTION("""COMPUTED_VALUE"""),"Targeted")</f>
        <v>Targeted</v>
      </c>
      <c r="AC467" s="8" t="str">
        <f ca="1">IFERROR(__xludf.DUMMYFUNCTION("""COMPUTED_VALUE"""),"Yes")</f>
        <v>Yes</v>
      </c>
      <c r="AD467" s="8" t="str">
        <f ca="1">IFERROR(__xludf.DUMMYFUNCTION("""COMPUTED_VALUE"""),"Victims Targeted")</f>
        <v>Victims Targeted</v>
      </c>
      <c r="AE467" s="8" t="str">
        <f ca="1">IFERROR(__xludf.DUMMYFUNCTION("""COMPUTED_VALUE"""),"No")</f>
        <v>No</v>
      </c>
      <c r="AF467" s="8"/>
      <c r="AG467" s="8" t="str">
        <f ca="1">IFERROR(__xludf.DUMMYFUNCTION("""COMPUTED_VALUE"""),"No")</f>
        <v>No</v>
      </c>
      <c r="AH467" s="8" t="str">
        <f ca="1">IFERROR(__xludf.DUMMYFUNCTION("""COMPUTED_VALUE"""),"No")</f>
        <v>No</v>
      </c>
      <c r="AI467" s="8" t="str">
        <f ca="1">IFERROR(__xludf.DUMMYFUNCTION("""COMPUTED_VALUE"""),"No")</f>
        <v>No</v>
      </c>
      <c r="AJ467" s="8" t="str">
        <f ca="1">IFERROR(__xludf.DUMMYFUNCTION("""COMPUTED_VALUE"""),"No")</f>
        <v>No</v>
      </c>
      <c r="AK467" s="8" t="str">
        <f ca="1">IFERROR(__xludf.DUMMYFUNCTION("""COMPUTED_VALUE"""),"No")</f>
        <v>No</v>
      </c>
      <c r="AL467" s="8"/>
      <c r="AM467" s="8" t="str">
        <f ca="1">IFERROR(__xludf.DUMMYFUNCTION("""COMPUTED_VALUE"""),"No")</f>
        <v>No</v>
      </c>
      <c r="AN467" s="8" t="str">
        <f ca="1">IFERROR(__xludf.DUMMYFUNCTION("""COMPUTED_VALUE"""),"Outside")</f>
        <v>Outside</v>
      </c>
      <c r="AO467" s="8" t="str">
        <f ca="1">IFERROR(__xludf.DUMMYFUNCTION("""COMPUTED_VALUE"""),"No")</f>
        <v>No</v>
      </c>
      <c r="AP467" s="8" t="str">
        <f ca="1">IFERROR(__xludf.DUMMYFUNCTION("""COMPUTED_VALUE"""),"Yes")</f>
        <v>Yes</v>
      </c>
      <c r="AQ467" s="8"/>
      <c r="AR467" s="8" t="str">
        <f ca="1">IFERROR(__xludf.DUMMYFUNCTION("""COMPUTED_VALUE"""),"Outside/Off-Property")</f>
        <v>Outside/Off-Property</v>
      </c>
      <c r="AS467" s="8">
        <f ca="1">IFERROR(__xludf.DUMMYFUNCTION("""COMPUTED_VALUE"""),0)</f>
        <v>0</v>
      </c>
      <c r="AT467" s="8"/>
      <c r="AU467" s="8">
        <f ca="1">IFERROR(__xludf.DUMMYFUNCTION("""COMPUTED_VALUE"""),41.402843)</f>
        <v>41.402842999999997</v>
      </c>
      <c r="AV467" s="8">
        <f ca="1">IFERROR(__xludf.DUMMYFUNCTION("""COMPUTED_VALUE"""),-81.526668)</f>
        <v>-81.526668000000001</v>
      </c>
      <c r="AW467" s="8" t="str">
        <f ca="1">IFERROR(__xludf.DUMMYFUNCTION("""COMPUTED_VALUE"""),"Single building indoor hallway")</f>
        <v>Single building indoor hallway</v>
      </c>
      <c r="AX467" s="8">
        <f ca="1">IFERROR(__xludf.DUMMYFUNCTION("""COMPUTED_VALUE"""),44146)</f>
        <v>44146</v>
      </c>
    </row>
    <row r="468" spans="1:50" ht="135" x14ac:dyDescent="0.2">
      <c r="A468" s="8" t="str">
        <f ca="1">IFERROR(__xludf.DUMMYFUNCTION("""COMPUTED_VALUE"""),"20240212IDCOI")</f>
        <v>20240212IDCOI</v>
      </c>
      <c r="B468" s="8">
        <f ca="1">IFERROR(__xludf.DUMMYFUNCTION("""COMPUTED_VALUE"""),2)</f>
        <v>2</v>
      </c>
      <c r="C468" s="8">
        <f ca="1">IFERROR(__xludf.DUMMYFUNCTION("""COMPUTED_VALUE"""),12)</f>
        <v>12</v>
      </c>
      <c r="D468" s="8">
        <f ca="1">IFERROR(__xludf.DUMMYFUNCTION("""COMPUTED_VALUE"""),2024)</f>
        <v>2024</v>
      </c>
      <c r="E468" s="9">
        <f ca="1">IFERROR(__xludf.DUMMYFUNCTION("""COMPUTED_VALUE"""),45334)</f>
        <v>45334</v>
      </c>
      <c r="F468" s="8" t="str">
        <f ca="1">IFERROR(__xludf.DUMMYFUNCTION("""COMPUTED_VALUE"""),"Compass Academy")</f>
        <v>Compass Academy</v>
      </c>
      <c r="G468" s="8">
        <f ca="1">IFERROR(__xludf.DUMMYFUNCTION("""COMPUTED_VALUE"""),1)</f>
        <v>1</v>
      </c>
      <c r="H468" s="8">
        <f ca="1">IFERROR(__xludf.DUMMYFUNCTION("""COMPUTED_VALUE"""),2)</f>
        <v>2</v>
      </c>
      <c r="I468" s="8">
        <f ca="1">IFERROR(__xludf.DUMMYFUNCTION("""COMPUTED_VALUE"""),3)</f>
        <v>3</v>
      </c>
      <c r="J468" s="8">
        <f ca="1">IFERROR(__xludf.DUMMYFUNCTION("""COMPUTED_VALUE"""),0)</f>
        <v>0</v>
      </c>
      <c r="K468" s="8" t="str">
        <f ca="1">IFERROR(__xludf.DUMMYFUNCTION("""COMPUTED_VALUE"""),"https://www.eastidahonews.com/2024/02/compass-academy-in-idaho-falls-closed-due-to-homicide-investigation/
https://www.gazettextra.com/news/nation_world/shooting-in-idaho-high-school-parking-lot-leaves-1-dead-3-injured-police-arrest-2/article_0ba05fc0-f76"&amp;"0-5294-81a6-e09b325c3865.html")</f>
        <v>https://www.eastidahonews.com/2024/02/compass-academy-in-idaho-falls-closed-due-to-homicide-investigation/
https://www.gazettextra.com/news/nation_world/shooting-in-idaho-high-school-parking-lot-leaves-1-dead-3-injured-police-arrest-2/article_0ba05fc0-f760-5294-81a6-e09b325c3865.html</v>
      </c>
      <c r="L468" s="8">
        <f ca="1">IFERROR(__xludf.DUMMYFUNCTION("""COMPUTED_VALUE"""),5)</f>
        <v>5</v>
      </c>
      <c r="M468" s="8" t="str">
        <f ca="1">IFERROR(__xludf.DUMMYFUNCTION("""COMPUTED_VALUE"""),"Local")</f>
        <v>Local</v>
      </c>
      <c r="N468" s="8">
        <f ca="1">IFERROR(__xludf.DUMMYFUNCTION("""COMPUTED_VALUE"""),4)</f>
        <v>4</v>
      </c>
      <c r="O468" s="8" t="str">
        <f ca="1">IFERROR(__xludf.DUMMYFUNCTION("""COMPUTED_VALUE"""),"Winter")</f>
        <v>Winter</v>
      </c>
      <c r="P468" s="8" t="str">
        <f ca="1">IFERROR(__xludf.DUMMYFUNCTION("""COMPUTED_VALUE"""),"Idaho Falls")</f>
        <v>Idaho Falls</v>
      </c>
      <c r="Q468" s="8" t="str">
        <f ca="1">IFERROR(__xludf.DUMMYFUNCTION("""COMPUTED_VALUE"""),"ID")</f>
        <v>ID</v>
      </c>
      <c r="R468" s="8" t="str">
        <f ca="1">IFERROR(__xludf.DUMMYFUNCTION("""COMPUTED_VALUE"""),"High")</f>
        <v>High</v>
      </c>
      <c r="S468" s="8" t="str">
        <f ca="1">IFERROR(__xludf.DUMMYFUNCTION("""COMPUTED_VALUE"""),"Parking Lot")</f>
        <v>Parking Lot</v>
      </c>
      <c r="T468" s="8" t="str">
        <f ca="1">IFERROR(__xludf.DUMMYFUNCTION("""COMPUTED_VALUE"""),"Outside on School Property")</f>
        <v>Outside on School Property</v>
      </c>
      <c r="U468" s="8" t="str">
        <f ca="1">IFERROR(__xludf.DUMMYFUNCTION("""COMPUTED_VALUE"""),"No")</f>
        <v>No</v>
      </c>
      <c r="V468" s="8" t="str">
        <f ca="1">IFERROR(__xludf.DUMMYFUNCTION("""COMPUTED_VALUE"""),"Night")</f>
        <v>Night</v>
      </c>
      <c r="W468" s="11">
        <f ca="1">IFERROR(__xludf.DUMMYFUNCTION("""COMPUTED_VALUE"""),0.0416666666666666)</f>
        <v>4.1666666666666602E-2</v>
      </c>
      <c r="X468" s="8">
        <f ca="1">IFERROR(__xludf.DUMMYFUNCTION("""COMPUTED_VALUE"""),1)</f>
        <v>1</v>
      </c>
      <c r="Y468" s="12" t="str">
        <f ca="1">IFERROR(__xludf.DUMMYFUNCTION("""COMPUTED_VALUE"""),"One person killed and two wounded following fight in school parking lot")</f>
        <v>One person killed and two wounded following fight in school parking lot</v>
      </c>
      <c r="Z468" s="12" t="str">
        <f ca="1">IFERROR(__xludf.DUMMYFUNCTION("""COMPUTED_VALUE"""),"One person was killed and several others injured after two people fired guns during an argument in the parking lot of an Idaho Falls high school, according to a news release from the Idaho Falls Police Department. Police said a “large group” of people wer"&amp;"e arguing in the school’s parking lot when two people fired their guns and struck at least two people. Two others were injured, one of whom was run over by a car, according to the release, but police didn't say how the fourth person was injured.")</f>
        <v>One person was killed and several others injured after two people fired guns during an argument in the parking lot of an Idaho Falls high school, according to a news release from the Idaho Falls Police Department. Police said a “large group” of people were arguing in the school’s parking lot when two people fired their guns and struck at least two people. Two others were injured, one of whom was run over by a car, according to the release, but police didn't say how the fourth person was injured.</v>
      </c>
      <c r="AA468" s="8" t="str">
        <f ca="1">IFERROR(__xludf.DUMMYFUNCTION("""COMPUTED_VALUE"""),"Escalation of Dispute")</f>
        <v>Escalation of Dispute</v>
      </c>
      <c r="AB468" s="8" t="str">
        <f ca="1">IFERROR(__xludf.DUMMYFUNCTION("""COMPUTED_VALUE"""),"Spontaneous")</f>
        <v>Spontaneous</v>
      </c>
      <c r="AC468" s="8" t="str">
        <f ca="1">IFERROR(__xludf.DUMMYFUNCTION("""COMPUTED_VALUE"""),"No")</f>
        <v>No</v>
      </c>
      <c r="AD468" s="8" t="str">
        <f ca="1">IFERROR(__xludf.DUMMYFUNCTION("""COMPUTED_VALUE"""),"Victims Targeted")</f>
        <v>Victims Targeted</v>
      </c>
      <c r="AE468" s="8" t="str">
        <f ca="1">IFERROR(__xludf.DUMMYFUNCTION("""COMPUTED_VALUE"""),"Yes")</f>
        <v>Yes</v>
      </c>
      <c r="AF468" s="8" t="str">
        <f ca="1">IFERROR(__xludf.DUMMYFUNCTION("""COMPUTED_VALUE"""),"Large group")</f>
        <v>Large group</v>
      </c>
      <c r="AG468" s="8" t="str">
        <f ca="1">IFERROR(__xludf.DUMMYFUNCTION("""COMPUTED_VALUE"""),"No")</f>
        <v>No</v>
      </c>
      <c r="AH468" s="8" t="str">
        <f ca="1">IFERROR(__xludf.DUMMYFUNCTION("""COMPUTED_VALUE"""),"No")</f>
        <v>No</v>
      </c>
      <c r="AI468" s="8" t="str">
        <f ca="1">IFERROR(__xludf.DUMMYFUNCTION("""COMPUTED_VALUE"""),"No")</f>
        <v>No</v>
      </c>
      <c r="AJ468" s="8" t="str">
        <f ca="1">IFERROR(__xludf.DUMMYFUNCTION("""COMPUTED_VALUE"""),"No")</f>
        <v>No</v>
      </c>
      <c r="AK468" s="8" t="str">
        <f ca="1">IFERROR(__xludf.DUMMYFUNCTION("""COMPUTED_VALUE"""),"No")</f>
        <v>No</v>
      </c>
      <c r="AL468" s="8" t="str">
        <f ca="1">IFERROR(__xludf.DUMMYFUNCTION("""COMPUTED_VALUE"""),"No")</f>
        <v>No</v>
      </c>
      <c r="AM468" s="8" t="str">
        <f ca="1">IFERROR(__xludf.DUMMYFUNCTION("""COMPUTED_VALUE"""),"No")</f>
        <v>No</v>
      </c>
      <c r="AN468" s="8" t="str">
        <f ca="1">IFERROR(__xludf.DUMMYFUNCTION("""COMPUTED_VALUE"""),"Outside")</f>
        <v>Outside</v>
      </c>
      <c r="AO468" s="8" t="str">
        <f ca="1">IFERROR(__xludf.DUMMYFUNCTION("""COMPUTED_VALUE"""),"No")</f>
        <v>No</v>
      </c>
      <c r="AP468" s="8"/>
      <c r="AQ468" s="8"/>
      <c r="AR468" s="8" t="str">
        <f ca="1">IFERROR(__xludf.DUMMYFUNCTION("""COMPUTED_VALUE"""),"Outside/Off-Property")</f>
        <v>Outside/Off-Property</v>
      </c>
      <c r="AS468" s="8">
        <f ca="1">IFERROR(__xludf.DUMMYFUNCTION("""COMPUTED_VALUE"""),99)</f>
        <v>99</v>
      </c>
      <c r="AT468" s="8" t="str">
        <f ca="1">IFERROR(__xludf.DUMMYFUNCTION("""COMPUTED_VALUE"""),"No")</f>
        <v>No</v>
      </c>
      <c r="AU468" s="8">
        <f ca="1">IFERROR(__xludf.DUMMYFUNCTION("""COMPUTED_VALUE"""),43.502188)</f>
        <v>43.502187999999997</v>
      </c>
      <c r="AV468" s="8">
        <f ca="1">IFERROR(__xludf.DUMMYFUNCTION("""COMPUTED_VALUE"""),-112.01256)</f>
        <v>-112.01255999999999</v>
      </c>
      <c r="AW468" s="8" t="str">
        <f ca="1">IFERROR(__xludf.DUMMYFUNCTION("""COMPUTED_VALUE"""),"Single building indoor hallway")</f>
        <v>Single building indoor hallway</v>
      </c>
      <c r="AX468" s="8">
        <f ca="1">IFERROR(__xludf.DUMMYFUNCTION("""COMPUTED_VALUE"""),83401)</f>
        <v>83401</v>
      </c>
    </row>
    <row r="469" spans="1:50" ht="210" x14ac:dyDescent="0.2">
      <c r="A469" s="8" t="str">
        <f ca="1">IFERROR(__xludf.DUMMYFUNCTION("""COMPUTED_VALUE"""),"20240212CAELC")</f>
        <v>20240212CAELC</v>
      </c>
      <c r="B469" s="8">
        <f ca="1">IFERROR(__xludf.DUMMYFUNCTION("""COMPUTED_VALUE"""),2)</f>
        <v>2</v>
      </c>
      <c r="C469" s="8">
        <f ca="1">IFERROR(__xludf.DUMMYFUNCTION("""COMPUTED_VALUE"""),12)</f>
        <v>12</v>
      </c>
      <c r="D469" s="8">
        <f ca="1">IFERROR(__xludf.DUMMYFUNCTION("""COMPUTED_VALUE"""),2024)</f>
        <v>2024</v>
      </c>
      <c r="E469" s="9">
        <f ca="1">IFERROR(__xludf.DUMMYFUNCTION("""COMPUTED_VALUE"""),45334)</f>
        <v>45334</v>
      </c>
      <c r="F469" s="8" t="str">
        <f ca="1">IFERROR(__xludf.DUMMYFUNCTION("""COMPUTED_VALUE"""),"Ellen Ochoa Learning Center")</f>
        <v>Ellen Ochoa Learning Center</v>
      </c>
      <c r="G469" s="8">
        <f ca="1">IFERROR(__xludf.DUMMYFUNCTION("""COMPUTED_VALUE"""),1)</f>
        <v>1</v>
      </c>
      <c r="H469" s="8">
        <f ca="1">IFERROR(__xludf.DUMMYFUNCTION("""COMPUTED_VALUE"""),1)</f>
        <v>1</v>
      </c>
      <c r="I469" s="8">
        <f ca="1">IFERROR(__xludf.DUMMYFUNCTION("""COMPUTED_VALUE"""),2)</f>
        <v>2</v>
      </c>
      <c r="J469" s="8">
        <f ca="1">IFERROR(__xludf.DUMMYFUNCTION("""COMPUTED_VALUE"""),0)</f>
        <v>0</v>
      </c>
      <c r="K469" s="8" t="str">
        <f ca="1">IFERROR(__xludf.DUMMYFUNCTION("""COMPUTED_VALUE"""),"https://www.foxla.com/news/3-separate-shootings-reported-near-la-schools-2-teens-killed
https://www.nbclosangeles.com/news/local/shooting-victim-found-dead-near-school-in-cudahy/3337151/")</f>
        <v>https://www.foxla.com/news/3-separate-shootings-reported-near-la-schools-2-teens-killed
https://www.nbclosangeles.com/news/local/shooting-victim-found-dead-near-school-in-cudahy/3337151/</v>
      </c>
      <c r="L469" s="8">
        <f ca="1">IFERROR(__xludf.DUMMYFUNCTION("""COMPUTED_VALUE"""),10)</f>
        <v>10</v>
      </c>
      <c r="M469" s="8" t="str">
        <f ca="1">IFERROR(__xludf.DUMMYFUNCTION("""COMPUTED_VALUE"""),"Regional")</f>
        <v>Regional</v>
      </c>
      <c r="N469" s="8">
        <f ca="1">IFERROR(__xludf.DUMMYFUNCTION("""COMPUTED_VALUE"""),4)</f>
        <v>4</v>
      </c>
      <c r="O469" s="8" t="str">
        <f ca="1">IFERROR(__xludf.DUMMYFUNCTION("""COMPUTED_VALUE"""),"Winter")</f>
        <v>Winter</v>
      </c>
      <c r="P469" s="8" t="str">
        <f ca="1">IFERROR(__xludf.DUMMYFUNCTION("""COMPUTED_VALUE"""),"Cudahy")</f>
        <v>Cudahy</v>
      </c>
      <c r="Q469" s="8" t="str">
        <f ca="1">IFERROR(__xludf.DUMMYFUNCTION("""COMPUTED_VALUE"""),"CA")</f>
        <v>CA</v>
      </c>
      <c r="R469" s="8" t="str">
        <f ca="1">IFERROR(__xludf.DUMMYFUNCTION("""COMPUTED_VALUE"""),"Elementary")</f>
        <v>Elementary</v>
      </c>
      <c r="S469" s="8" t="str">
        <f ca="1">IFERROR(__xludf.DUMMYFUNCTION("""COMPUTED_VALUE"""),"Front of School")</f>
        <v>Front of School</v>
      </c>
      <c r="T469" s="8" t="str">
        <f ca="1">IFERROR(__xludf.DUMMYFUNCTION("""COMPUTED_VALUE"""),"Outside on School Property")</f>
        <v>Outside on School Property</v>
      </c>
      <c r="U469" s="8" t="str">
        <f ca="1">IFERROR(__xludf.DUMMYFUNCTION("""COMPUTED_VALUE"""),"No")</f>
        <v>No</v>
      </c>
      <c r="V469" s="8" t="str">
        <f ca="1">IFERROR(__xludf.DUMMYFUNCTION("""COMPUTED_VALUE"""),"Night")</f>
        <v>Night</v>
      </c>
      <c r="W469" s="11">
        <f ca="1">IFERROR(__xludf.DUMMYFUNCTION("""COMPUTED_VALUE"""),0.0208333333333333)</f>
        <v>2.0833333333333301E-2</v>
      </c>
      <c r="X469" s="8">
        <f ca="1">IFERROR(__xludf.DUMMYFUNCTION("""COMPUTED_VALUE"""),1)</f>
        <v>1</v>
      </c>
      <c r="Y469" s="12" t="str">
        <f ca="1">IFERROR(__xludf.DUMMYFUNCTION("""COMPUTED_VALUE"""),"Teen was killed and another wounded in front of school")</f>
        <v>Teen was killed and another wounded in front of school</v>
      </c>
      <c r="Z469" s="12" t="str">
        <f ca="1">IFERROR(__xludf.DUMMYFUNCTION("""COMPUTED_VALUE"""),"A double shooting outside of a Los Angeles County school left one teen dead and another wounded and now parents of students at the school are angry the district did not notify them of the gruesome crime scene in front of their children’s school. he incide"&amp;"nt was reported in the 5000 block of Live Oak Street shortly before 12:30 a.m., the Los Angeles County Sheriff’s Department stated in a news release. Video from the scene showed a black canopy covering the victim’s body just hours before students were exp"&amp;"ected to arrive for class at Ellen Ochoa Learning Center in Cudahy on Monday. Nearly eight hours after the shooting was reported and authorities responded, the body of the teen was still on the ground as children as young as 5 years old walked into the sc"&amp;"hool.  ")</f>
        <v xml:space="preserve">A double shooting outside of a Los Angeles County school left one teen dead and another wounded and now parents of students at the school are angry the district did not notify them of the gruesome crime scene in front of their children’s school. he incident was reported in the 5000 block of Live Oak Street shortly before 12:30 a.m., the Los Angeles County Sheriff’s Department stated in a news release. Video from the scene showed a black canopy covering the victim’s body just hours before students were expected to arrive for class at Ellen Ochoa Learning Center in Cudahy on Monday. Nearly eight hours after the shooting was reported and authorities responded, the body of the teen was still on the ground as children as young as 5 years old walked into the school.  </v>
      </c>
      <c r="AA469" s="8" t="str">
        <f ca="1">IFERROR(__xludf.DUMMYFUNCTION("""COMPUTED_VALUE"""),"Drive-by Shooting")</f>
        <v>Drive-by Shooting</v>
      </c>
      <c r="AB469" s="8" t="str">
        <f ca="1">IFERROR(__xludf.DUMMYFUNCTION("""COMPUTED_VALUE"""),"Targeted")</f>
        <v>Targeted</v>
      </c>
      <c r="AC469" s="8" t="str">
        <f ca="1">IFERROR(__xludf.DUMMYFUNCTION("""COMPUTED_VALUE"""),"Yes")</f>
        <v>Yes</v>
      </c>
      <c r="AD469" s="8" t="str">
        <f ca="1">IFERROR(__xludf.DUMMYFUNCTION("""COMPUTED_VALUE"""),"Victims Targeted")</f>
        <v>Victims Targeted</v>
      </c>
      <c r="AE469" s="8"/>
      <c r="AF469" s="8"/>
      <c r="AG469" s="8" t="str">
        <f ca="1">IFERROR(__xludf.DUMMYFUNCTION("""COMPUTED_VALUE"""),"No")</f>
        <v>No</v>
      </c>
      <c r="AH469" s="8" t="str">
        <f ca="1">IFERROR(__xludf.DUMMYFUNCTION("""COMPUTED_VALUE"""),"No")</f>
        <v>No</v>
      </c>
      <c r="AI469" s="8" t="str">
        <f ca="1">IFERROR(__xludf.DUMMYFUNCTION("""COMPUTED_VALUE"""),"No")</f>
        <v>No</v>
      </c>
      <c r="AJ469" s="8" t="str">
        <f ca="1">IFERROR(__xludf.DUMMYFUNCTION("""COMPUTED_VALUE"""),"No")</f>
        <v>No</v>
      </c>
      <c r="AK469" s="8" t="str">
        <f ca="1">IFERROR(__xludf.DUMMYFUNCTION("""COMPUTED_VALUE"""),"No")</f>
        <v>No</v>
      </c>
      <c r="AL469" s="8"/>
      <c r="AM469" s="8" t="str">
        <f ca="1">IFERROR(__xludf.DUMMYFUNCTION("""COMPUTED_VALUE"""),"No")</f>
        <v>No</v>
      </c>
      <c r="AN469" s="8" t="str">
        <f ca="1">IFERROR(__xludf.DUMMYFUNCTION("""COMPUTED_VALUE"""),"Outside")</f>
        <v>Outside</v>
      </c>
      <c r="AO469" s="8" t="str">
        <f ca="1">IFERROR(__xludf.DUMMYFUNCTION("""COMPUTED_VALUE"""),"No")</f>
        <v>No</v>
      </c>
      <c r="AP469" s="8"/>
      <c r="AQ469" s="8"/>
      <c r="AR469" s="8" t="str">
        <f ca="1">IFERROR(__xludf.DUMMYFUNCTION("""COMPUTED_VALUE"""),"Outside/Off-Property")</f>
        <v>Outside/Off-Property</v>
      </c>
      <c r="AS469" s="8">
        <f ca="1">IFERROR(__xludf.DUMMYFUNCTION("""COMPUTED_VALUE"""),3)</f>
        <v>3</v>
      </c>
      <c r="AT469" s="8" t="str">
        <f ca="1">IFERROR(__xludf.DUMMYFUNCTION("""COMPUTED_VALUE"""),"No")</f>
        <v>No</v>
      </c>
      <c r="AU469" s="8">
        <f ca="1">IFERROR(__xludf.DUMMYFUNCTION("""COMPUTED_VALUE"""),33.967758)</f>
        <v>33.967758000000003</v>
      </c>
      <c r="AV469" s="8">
        <f ca="1">IFERROR(__xludf.DUMMYFUNCTION("""COMPUTED_VALUE"""),-118.176742)</f>
        <v>-118.176742</v>
      </c>
      <c r="AW469" s="8" t="str">
        <f ca="1">IFERROR(__xludf.DUMMYFUNCTION("""COMPUTED_VALUE"""),"Multiple detached buildings")</f>
        <v>Multiple detached buildings</v>
      </c>
      <c r="AX469" s="8">
        <f ca="1">IFERROR(__xludf.DUMMYFUNCTION("""COMPUTED_VALUE"""),90201)</f>
        <v>90201</v>
      </c>
    </row>
    <row r="470" spans="1:50" ht="90" x14ac:dyDescent="0.2">
      <c r="A470" s="8" t="str">
        <f ca="1">IFERROR(__xludf.DUMMYFUNCTION("""COMPUTED_VALUE"""),"20240211CAMAB")</f>
        <v>20240211CAMAB</v>
      </c>
      <c r="B470" s="8">
        <f ca="1">IFERROR(__xludf.DUMMYFUNCTION("""COMPUTED_VALUE"""),2)</f>
        <v>2</v>
      </c>
      <c r="C470" s="8">
        <f ca="1">IFERROR(__xludf.DUMMYFUNCTION("""COMPUTED_VALUE"""),11)</f>
        <v>11</v>
      </c>
      <c r="D470" s="8">
        <f ca="1">IFERROR(__xludf.DUMMYFUNCTION("""COMPUTED_VALUE"""),2024)</f>
        <v>2024</v>
      </c>
      <c r="E470" s="9">
        <f ca="1">IFERROR(__xludf.DUMMYFUNCTION("""COMPUTED_VALUE"""),45333)</f>
        <v>45333</v>
      </c>
      <c r="F470" s="8" t="str">
        <f ca="1">IFERROR(__xludf.DUMMYFUNCTION("""COMPUTED_VALUE"""),"Martha Escutia Primary Center")</f>
        <v>Martha Escutia Primary Center</v>
      </c>
      <c r="G470" s="8">
        <f ca="1">IFERROR(__xludf.DUMMYFUNCTION("""COMPUTED_VALUE"""),1)</f>
        <v>1</v>
      </c>
      <c r="H470" s="8">
        <f ca="1">IFERROR(__xludf.DUMMYFUNCTION("""COMPUTED_VALUE"""),0)</f>
        <v>0</v>
      </c>
      <c r="I470" s="8">
        <f ca="1">IFERROR(__xludf.DUMMYFUNCTION("""COMPUTED_VALUE"""),1)</f>
        <v>1</v>
      </c>
      <c r="J470" s="8">
        <f ca="1">IFERROR(__xludf.DUMMYFUNCTION("""COMPUTED_VALUE"""),0)</f>
        <v>0</v>
      </c>
      <c r="K470" s="8" t="str">
        <f ca="1">IFERROR(__xludf.DUMMYFUNCTION("""COMPUTED_VALUE"""),"https://www.foxla.com/news/3-separate-shootings-reported-near-la-schools-2-teens-killed
https://www.cbsnews.com/losangeles/news/4-deadly-overnight-shootings-in-east-la-county-believed-to-be-connected/")</f>
        <v>https://www.foxla.com/news/3-separate-shootings-reported-near-la-schools-2-teens-killed
https://www.cbsnews.com/losangeles/news/4-deadly-overnight-shootings-in-east-la-county-believed-to-be-connected/</v>
      </c>
      <c r="L470" s="8">
        <f ca="1">IFERROR(__xludf.DUMMYFUNCTION("""COMPUTED_VALUE"""),10)</f>
        <v>10</v>
      </c>
      <c r="M470" s="8" t="str">
        <f ca="1">IFERROR(__xludf.DUMMYFUNCTION("""COMPUTED_VALUE"""),"Regional")</f>
        <v>Regional</v>
      </c>
      <c r="N470" s="8">
        <f ca="1">IFERROR(__xludf.DUMMYFUNCTION("""COMPUTED_VALUE"""),4)</f>
        <v>4</v>
      </c>
      <c r="O470" s="8" t="str">
        <f ca="1">IFERROR(__xludf.DUMMYFUNCTION("""COMPUTED_VALUE"""),"Winter")</f>
        <v>Winter</v>
      </c>
      <c r="P470" s="8" t="str">
        <f ca="1">IFERROR(__xludf.DUMMYFUNCTION("""COMPUTED_VALUE"""),"Bell")</f>
        <v>Bell</v>
      </c>
      <c r="Q470" s="8" t="str">
        <f ca="1">IFERROR(__xludf.DUMMYFUNCTION("""COMPUTED_VALUE"""),"CA")</f>
        <v>CA</v>
      </c>
      <c r="R470" s="8" t="str">
        <f ca="1">IFERROR(__xludf.DUMMYFUNCTION("""COMPUTED_VALUE"""),"Elementary")</f>
        <v>Elementary</v>
      </c>
      <c r="S470" s="8" t="str">
        <f ca="1">IFERROR(__xludf.DUMMYFUNCTION("""COMPUTED_VALUE"""),"Beside Building")</f>
        <v>Beside Building</v>
      </c>
      <c r="T470" s="8" t="str">
        <f ca="1">IFERROR(__xludf.DUMMYFUNCTION("""COMPUTED_VALUE"""),"Outside on School Property")</f>
        <v>Outside on School Property</v>
      </c>
      <c r="U470" s="8" t="str">
        <f ca="1">IFERROR(__xludf.DUMMYFUNCTION("""COMPUTED_VALUE"""),"No")</f>
        <v>No</v>
      </c>
      <c r="V470" s="8" t="str">
        <f ca="1">IFERROR(__xludf.DUMMYFUNCTION("""COMPUTED_VALUE"""),"Night")</f>
        <v>Night</v>
      </c>
      <c r="W470" s="11">
        <f ca="1">IFERROR(__xludf.DUMMYFUNCTION("""COMPUTED_VALUE"""),0.9375)</f>
        <v>0.9375</v>
      </c>
      <c r="X470" s="8">
        <f ca="1">IFERROR(__xludf.DUMMYFUNCTION("""COMPUTED_VALUE"""),1)</f>
        <v>1</v>
      </c>
      <c r="Y470" s="12" t="str">
        <f ca="1">IFERROR(__xludf.DUMMYFUNCTION("""COMPUTED_VALUE"""),"Man fatally shot next to school")</f>
        <v>Man fatally shot next to school</v>
      </c>
      <c r="Z470" s="12" t="str">
        <f ca="1">IFERROR(__xludf.DUMMYFUNCTION("""COMPUTED_VALUE"""),"The first shooting was reported to the Bell Police Department at about 10:30 p.m., according to LASD. Officers found the unconscious victim next to the Martha Escutia Primary Center. Paramedics pronounced the victim dead shortly after arriving at the scen"&amp;"e. The death forced school officials to close the campus until Tuesday. ")</f>
        <v xml:space="preserve">The first shooting was reported to the Bell Police Department at about 10:30 p.m., according to LASD. Officers found the unconscious victim next to the Martha Escutia Primary Center. Paramedics pronounced the victim dead shortly after arriving at the scene. The death forced school officials to close the campus until Tuesday. </v>
      </c>
      <c r="AA470" s="8" t="str">
        <f ca="1">IFERROR(__xludf.DUMMYFUNCTION("""COMPUTED_VALUE"""),"Drive-by Shooting")</f>
        <v>Drive-by Shooting</v>
      </c>
      <c r="AB470" s="8" t="str">
        <f ca="1">IFERROR(__xludf.DUMMYFUNCTION("""COMPUTED_VALUE"""),"Targeted")</f>
        <v>Targeted</v>
      </c>
      <c r="AC470" s="8" t="str">
        <f ca="1">IFERROR(__xludf.DUMMYFUNCTION("""COMPUTED_VALUE"""),"Yes")</f>
        <v>Yes</v>
      </c>
      <c r="AD470" s="8" t="str">
        <f ca="1">IFERROR(__xludf.DUMMYFUNCTION("""COMPUTED_VALUE"""),"Victims Targeted")</f>
        <v>Victims Targeted</v>
      </c>
      <c r="AE470" s="8"/>
      <c r="AF470" s="8"/>
      <c r="AG470" s="8" t="str">
        <f ca="1">IFERROR(__xludf.DUMMYFUNCTION("""COMPUTED_VALUE"""),"No")</f>
        <v>No</v>
      </c>
      <c r="AH470" s="8" t="str">
        <f ca="1">IFERROR(__xludf.DUMMYFUNCTION("""COMPUTED_VALUE"""),"No")</f>
        <v>No</v>
      </c>
      <c r="AI470" s="8" t="str">
        <f ca="1">IFERROR(__xludf.DUMMYFUNCTION("""COMPUTED_VALUE"""),"No")</f>
        <v>No</v>
      </c>
      <c r="AJ470" s="8" t="str">
        <f ca="1">IFERROR(__xludf.DUMMYFUNCTION("""COMPUTED_VALUE"""),"No")</f>
        <v>No</v>
      </c>
      <c r="AK470" s="8" t="str">
        <f ca="1">IFERROR(__xludf.DUMMYFUNCTION("""COMPUTED_VALUE"""),"No")</f>
        <v>No</v>
      </c>
      <c r="AL470" s="8"/>
      <c r="AM470" s="8" t="str">
        <f ca="1">IFERROR(__xludf.DUMMYFUNCTION("""COMPUTED_VALUE"""),"No")</f>
        <v>No</v>
      </c>
      <c r="AN470" s="8" t="str">
        <f ca="1">IFERROR(__xludf.DUMMYFUNCTION("""COMPUTED_VALUE"""),"Outside")</f>
        <v>Outside</v>
      </c>
      <c r="AO470" s="8" t="str">
        <f ca="1">IFERROR(__xludf.DUMMYFUNCTION("""COMPUTED_VALUE"""),"No")</f>
        <v>No</v>
      </c>
      <c r="AP470" s="8"/>
      <c r="AQ470" s="8"/>
      <c r="AR470" s="8" t="str">
        <f ca="1">IFERROR(__xludf.DUMMYFUNCTION("""COMPUTED_VALUE"""),"Outside/Off-Property")</f>
        <v>Outside/Off-Property</v>
      </c>
      <c r="AS470" s="8">
        <f ca="1">IFERROR(__xludf.DUMMYFUNCTION("""COMPUTED_VALUE"""),99)</f>
        <v>99</v>
      </c>
      <c r="AT470" s="8" t="str">
        <f ca="1">IFERROR(__xludf.DUMMYFUNCTION("""COMPUTED_VALUE"""),"No")</f>
        <v>No</v>
      </c>
      <c r="AU470" s="8">
        <f ca="1">IFERROR(__xludf.DUMMYFUNCTION("""COMPUTED_VALUE"""),33.978346)</f>
        <v>33.978346000000002</v>
      </c>
      <c r="AV470" s="8">
        <f ca="1">IFERROR(__xludf.DUMMYFUNCTION("""COMPUTED_VALUE"""),-118.198064)</f>
        <v>-118.198064</v>
      </c>
      <c r="AW470" s="8" t="str">
        <f ca="1">IFERROR(__xludf.DUMMYFUNCTION("""COMPUTED_VALUE"""),"Single building indoor hallway")</f>
        <v>Single building indoor hallway</v>
      </c>
      <c r="AX470" s="8">
        <f ca="1">IFERROR(__xludf.DUMMYFUNCTION("""COMPUTED_VALUE"""),90201)</f>
        <v>90201</v>
      </c>
    </row>
    <row r="471" spans="1:50" ht="60" x14ac:dyDescent="0.2">
      <c r="A471" s="8" t="str">
        <f ca="1">IFERROR(__xludf.DUMMYFUNCTION("""COMPUTED_VALUE"""),"20240209PACOR")</f>
        <v>20240209PACOR</v>
      </c>
      <c r="B471" s="8">
        <f ca="1">IFERROR(__xludf.DUMMYFUNCTION("""COMPUTED_VALUE"""),2)</f>
        <v>2</v>
      </c>
      <c r="C471" s="8">
        <f ca="1">IFERROR(__xludf.DUMMYFUNCTION("""COMPUTED_VALUE"""),9)</f>
        <v>9</v>
      </c>
      <c r="D471" s="8">
        <f ca="1">IFERROR(__xludf.DUMMYFUNCTION("""COMPUTED_VALUE"""),2024)</f>
        <v>2024</v>
      </c>
      <c r="E471" s="9">
        <f ca="1">IFERROR(__xludf.DUMMYFUNCTION("""COMPUTED_VALUE"""),45331)</f>
        <v>45331</v>
      </c>
      <c r="F471" s="8" t="str">
        <f ca="1">IFERROR(__xludf.DUMMYFUNCTION("""COMPUTED_VALUE"""),"Cornwall Terrace Elementary School")</f>
        <v>Cornwall Terrace Elementary School</v>
      </c>
      <c r="G471" s="8">
        <f ca="1">IFERROR(__xludf.DUMMYFUNCTION("""COMPUTED_VALUE"""),0)</f>
        <v>0</v>
      </c>
      <c r="H471" s="8">
        <f ca="1">IFERROR(__xludf.DUMMYFUNCTION("""COMPUTED_VALUE"""),0)</f>
        <v>0</v>
      </c>
      <c r="I471" s="8">
        <f ca="1">IFERROR(__xludf.DUMMYFUNCTION("""COMPUTED_VALUE"""),0)</f>
        <v>0</v>
      </c>
      <c r="J471" s="8">
        <f ca="1">IFERROR(__xludf.DUMMYFUNCTION("""COMPUTED_VALUE"""),0)</f>
        <v>0</v>
      </c>
      <c r="K471" s="8" t="str">
        <f ca="1">IFERROR(__xludf.DUMMYFUNCTION("""COMPUTED_VALUE"""),"https://berksweekly.com/crime/spring-township-police-investigate-shots-fired-near-elementary-school/
https://www.wfmz.com/news/area/berks/police-investigating-shots-fired-at-elementary-school-building/article_6390a5d6-c9f3-11ee-901f-23402d885ae4.html")</f>
        <v>https://berksweekly.com/crime/spring-township-police-investigate-shots-fired-near-elementary-school/
https://www.wfmz.com/news/area/berks/police-investigating-shots-fired-at-elementary-school-building/article_6390a5d6-c9f3-11ee-901f-23402d885ae4.html</v>
      </c>
      <c r="L471" s="8">
        <f ca="1">IFERROR(__xludf.DUMMYFUNCTION("""COMPUTED_VALUE"""),5)</f>
        <v>5</v>
      </c>
      <c r="M471" s="8" t="str">
        <f ca="1">IFERROR(__xludf.DUMMYFUNCTION("""COMPUTED_VALUE"""),"Local")</f>
        <v>Local</v>
      </c>
      <c r="N471" s="8">
        <f ca="1">IFERROR(__xludf.DUMMYFUNCTION("""COMPUTED_VALUE"""),4)</f>
        <v>4</v>
      </c>
      <c r="O471" s="8" t="str">
        <f ca="1">IFERROR(__xludf.DUMMYFUNCTION("""COMPUTED_VALUE"""),"Winter")</f>
        <v>Winter</v>
      </c>
      <c r="P471" s="8" t="str">
        <f ca="1">IFERROR(__xludf.DUMMYFUNCTION("""COMPUTED_VALUE"""),"Reading")</f>
        <v>Reading</v>
      </c>
      <c r="Q471" s="8" t="str">
        <f ca="1">IFERROR(__xludf.DUMMYFUNCTION("""COMPUTED_VALUE"""),"PA")</f>
        <v>PA</v>
      </c>
      <c r="R471" s="8" t="str">
        <f ca="1">IFERROR(__xludf.DUMMYFUNCTION("""COMPUTED_VALUE"""),"Elementary")</f>
        <v>Elementary</v>
      </c>
      <c r="S471" s="8" t="str">
        <f ca="1">IFERROR(__xludf.DUMMYFUNCTION("""COMPUTED_VALUE"""),"Beside Building")</f>
        <v>Beside Building</v>
      </c>
      <c r="T471" s="8" t="str">
        <f ca="1">IFERROR(__xludf.DUMMYFUNCTION("""COMPUTED_VALUE"""),"Outside on School Property")</f>
        <v>Outside on School Property</v>
      </c>
      <c r="U471" s="8" t="str">
        <f ca="1">IFERROR(__xludf.DUMMYFUNCTION("""COMPUTED_VALUE"""),"No")</f>
        <v>No</v>
      </c>
      <c r="V471" s="8" t="str">
        <f ca="1">IFERROR(__xludf.DUMMYFUNCTION("""COMPUTED_VALUE"""),"Evening")</f>
        <v>Evening</v>
      </c>
      <c r="W471" s="11">
        <f ca="1">IFERROR(__xludf.DUMMYFUNCTION("""COMPUTED_VALUE"""),0.78125)</f>
        <v>0.78125</v>
      </c>
      <c r="X471" s="8">
        <f ca="1">IFERROR(__xludf.DUMMYFUNCTION("""COMPUTED_VALUE"""),1)</f>
        <v>1</v>
      </c>
      <c r="Y471" s="12" t="str">
        <f ca="1">IFERROR(__xludf.DUMMYFUNCTION("""COMPUTED_VALUE"""),"Shots fired behind school")</f>
        <v>Shots fired behind school</v>
      </c>
      <c r="Z471" s="12" t="str">
        <f ca="1">IFERROR(__xludf.DUMMYFUNCTION("""COMPUTED_VALUE"""),"Police say evidence was discovered that multiple shots were fired at the back of the Cornwall Terrace Elementary School and that there were multiple people present at the time of the incident.")</f>
        <v>Police say evidence was discovered that multiple shots were fired at the back of the Cornwall Terrace Elementary School and that there were multiple people present at the time of the incident.</v>
      </c>
      <c r="AA471" s="8" t="str">
        <f ca="1">IFERROR(__xludf.DUMMYFUNCTION("""COMPUTED_VALUE"""),"Intentional Property Damage")</f>
        <v>Intentional Property Damage</v>
      </c>
      <c r="AB471" s="8"/>
      <c r="AC471" s="8" t="str">
        <f ca="1">IFERROR(__xludf.DUMMYFUNCTION("""COMPUTED_VALUE"""),"No")</f>
        <v>No</v>
      </c>
      <c r="AD471" s="8" t="str">
        <f ca="1">IFERROR(__xludf.DUMMYFUNCTION("""COMPUTED_VALUE"""),"Neither")</f>
        <v>Neither</v>
      </c>
      <c r="AE471" s="8" t="str">
        <f ca="1">IFERROR(__xludf.DUMMYFUNCTION("""COMPUTED_VALUE"""),"Yes")</f>
        <v>Yes</v>
      </c>
      <c r="AF471" s="8"/>
      <c r="AG471" s="8" t="str">
        <f ca="1">IFERROR(__xludf.DUMMYFUNCTION("""COMPUTED_VALUE"""),"No")</f>
        <v>No</v>
      </c>
      <c r="AH471" s="8" t="str">
        <f ca="1">IFERROR(__xludf.DUMMYFUNCTION("""COMPUTED_VALUE"""),"No")</f>
        <v>No</v>
      </c>
      <c r="AI471" s="8" t="str">
        <f ca="1">IFERROR(__xludf.DUMMYFUNCTION("""COMPUTED_VALUE"""),"No")</f>
        <v>No</v>
      </c>
      <c r="AJ471" s="8" t="str">
        <f ca="1">IFERROR(__xludf.DUMMYFUNCTION("""COMPUTED_VALUE"""),"No")</f>
        <v>No</v>
      </c>
      <c r="AK471" s="8" t="str">
        <f ca="1">IFERROR(__xludf.DUMMYFUNCTION("""COMPUTED_VALUE"""),"No")</f>
        <v>No</v>
      </c>
      <c r="AL471" s="8"/>
      <c r="AM471" s="8" t="str">
        <f ca="1">IFERROR(__xludf.DUMMYFUNCTION("""COMPUTED_VALUE"""),"No")</f>
        <v>No</v>
      </c>
      <c r="AN471" s="8" t="str">
        <f ca="1">IFERROR(__xludf.DUMMYFUNCTION("""COMPUTED_VALUE"""),"Outside")</f>
        <v>Outside</v>
      </c>
      <c r="AO471" s="8" t="str">
        <f ca="1">IFERROR(__xludf.DUMMYFUNCTION("""COMPUTED_VALUE"""),"No")</f>
        <v>No</v>
      </c>
      <c r="AP471" s="8"/>
      <c r="AQ471" s="8"/>
      <c r="AR471" s="8" t="str">
        <f ca="1">IFERROR(__xludf.DUMMYFUNCTION("""COMPUTED_VALUE"""),"Outside/Off-Property")</f>
        <v>Outside/Off-Property</v>
      </c>
      <c r="AS471" s="8">
        <f ca="1">IFERROR(__xludf.DUMMYFUNCTION("""COMPUTED_VALUE"""),99)</f>
        <v>99</v>
      </c>
      <c r="AT471" s="8" t="str">
        <f ca="1">IFERROR(__xludf.DUMMYFUNCTION("""COMPUTED_VALUE"""),"No")</f>
        <v>No</v>
      </c>
      <c r="AU471" s="8">
        <f ca="1">IFERROR(__xludf.DUMMYFUNCTION("""COMPUTED_VALUE"""),40.316919)</f>
        <v>40.316918999999999</v>
      </c>
      <c r="AV471" s="8">
        <f ca="1">IFERROR(__xludf.DUMMYFUNCTION("""COMPUTED_VALUE"""),-76.011571)</f>
        <v>-76.011571000000004</v>
      </c>
      <c r="AW471" s="8" t="str">
        <f ca="1">IFERROR(__xludf.DUMMYFUNCTION("""COMPUTED_VALUE"""),"Single building indoor hallway")</f>
        <v>Single building indoor hallway</v>
      </c>
      <c r="AX471" s="8">
        <f ca="1">IFERROR(__xludf.DUMMYFUNCTION("""COMPUTED_VALUE"""),19608)</f>
        <v>19608</v>
      </c>
    </row>
    <row r="472" spans="1:50" ht="120" x14ac:dyDescent="0.2">
      <c r="A472" s="8" t="str">
        <f ca="1">IFERROR(__xludf.DUMMYFUNCTION("""COMPUTED_VALUE"""),"20240209GATRE")</f>
        <v>20240209GATRE</v>
      </c>
      <c r="B472" s="8">
        <f ca="1">IFERROR(__xludf.DUMMYFUNCTION("""COMPUTED_VALUE"""),2)</f>
        <v>2</v>
      </c>
      <c r="C472" s="8">
        <f ca="1">IFERROR(__xludf.DUMMYFUNCTION("""COMPUTED_VALUE"""),9)</f>
        <v>9</v>
      </c>
      <c r="D472" s="8">
        <f ca="1">IFERROR(__xludf.DUMMYFUNCTION("""COMPUTED_VALUE"""),2024)</f>
        <v>2024</v>
      </c>
      <c r="E472" s="9">
        <f ca="1">IFERROR(__xludf.DUMMYFUNCTION("""COMPUTED_VALUE"""),45331)</f>
        <v>45331</v>
      </c>
      <c r="F472" s="8" t="str">
        <f ca="1">IFERROR(__xludf.DUMMYFUNCTION("""COMPUTED_VALUE"""),"Tri-Cities High School")</f>
        <v>Tri-Cities High School</v>
      </c>
      <c r="G472" s="8">
        <f ca="1">IFERROR(__xludf.DUMMYFUNCTION("""COMPUTED_VALUE"""),1)</f>
        <v>1</v>
      </c>
      <c r="H472" s="8">
        <f ca="1">IFERROR(__xludf.DUMMYFUNCTION("""COMPUTED_VALUE"""),1)</f>
        <v>1</v>
      </c>
      <c r="I472" s="8">
        <f ca="1">IFERROR(__xludf.DUMMYFUNCTION("""COMPUTED_VALUE"""),2)</f>
        <v>2</v>
      </c>
      <c r="J472" s="8">
        <f ca="1">IFERROR(__xludf.DUMMYFUNCTION("""COMPUTED_VALUE"""),0)</f>
        <v>0</v>
      </c>
      <c r="K472" s="8" t="str">
        <f ca="1">IFERROR(__xludf.DUMMYFUNCTION("""COMPUTED_VALUE"""),"https://www.fox5atlanta.com/news/juvenile-arrested-for-fatal-shooting-after-tri-cities-high-school-basketball-game
https://www.fox5atlanta.com/news/east-point-tri-cities-high-school-shooting-stabbing-mario-bailey
https://www.fox5atlanta.com/news/two-peopl"&amp;"e-critically-injured-after-basketball-game-at-tri-cities-high-school-in-east-point
https://www.wsbtv.com/news/local/south-fulton-county/1-teen-shot-1-teen-stabbed-after-basketball-game-high-school-east-point-police-say/O2PMZ56I7BFW3ELOZKVYJUZEQ4/")</f>
        <v>https://www.fox5atlanta.com/news/juvenile-arrested-for-fatal-shooting-after-tri-cities-high-school-basketball-game
https://www.fox5atlanta.com/news/east-point-tri-cities-high-school-shooting-stabbing-mario-bailey
https://www.fox5atlanta.com/news/two-people-critically-injured-after-basketball-game-at-tri-cities-high-school-in-east-point
https://www.wsbtv.com/news/local/south-fulton-county/1-teen-shot-1-teen-stabbed-after-basketball-game-high-school-east-point-police-say/O2PMZ56I7BFW3ELOZKVYJUZEQ4/</v>
      </c>
      <c r="L472" s="8">
        <f ca="1">IFERROR(__xludf.DUMMYFUNCTION("""COMPUTED_VALUE"""),10)</f>
        <v>10</v>
      </c>
      <c r="M472" s="8" t="str">
        <f ca="1">IFERROR(__xludf.DUMMYFUNCTION("""COMPUTED_VALUE"""),"Regional")</f>
        <v>Regional</v>
      </c>
      <c r="N472" s="8">
        <f ca="1">IFERROR(__xludf.DUMMYFUNCTION("""COMPUTED_VALUE"""),4)</f>
        <v>4</v>
      </c>
      <c r="O472" s="8" t="str">
        <f ca="1">IFERROR(__xludf.DUMMYFUNCTION("""COMPUTED_VALUE"""),"Winter")</f>
        <v>Winter</v>
      </c>
      <c r="P472" s="8" t="str">
        <f ca="1">IFERROR(__xludf.DUMMYFUNCTION("""COMPUTED_VALUE"""),"East Point")</f>
        <v>East Point</v>
      </c>
      <c r="Q472" s="8" t="str">
        <f ca="1">IFERROR(__xludf.DUMMYFUNCTION("""COMPUTED_VALUE"""),"GA")</f>
        <v>GA</v>
      </c>
      <c r="R472" s="8" t="str">
        <f ca="1">IFERROR(__xludf.DUMMYFUNCTION("""COMPUTED_VALUE"""),"High")</f>
        <v>High</v>
      </c>
      <c r="S472" s="8" t="str">
        <f ca="1">IFERROR(__xludf.DUMMYFUNCTION("""COMPUTED_VALUE"""),"Beside Building")</f>
        <v>Beside Building</v>
      </c>
      <c r="T472" s="8" t="str">
        <f ca="1">IFERROR(__xludf.DUMMYFUNCTION("""COMPUTED_VALUE"""),"Outside on School Property")</f>
        <v>Outside on School Property</v>
      </c>
      <c r="U472" s="8" t="str">
        <f ca="1">IFERROR(__xludf.DUMMYFUNCTION("""COMPUTED_VALUE"""),"No")</f>
        <v>No</v>
      </c>
      <c r="V472" s="8" t="str">
        <f ca="1">IFERROR(__xludf.DUMMYFUNCTION("""COMPUTED_VALUE"""),"Sport Event")</f>
        <v>Sport Event</v>
      </c>
      <c r="W472" s="11">
        <f ca="1">IFERROR(__xludf.DUMMYFUNCTION("""COMPUTED_VALUE"""),0.875)</f>
        <v>0.875</v>
      </c>
      <c r="X472" s="8">
        <f ca="1">IFERROR(__xludf.DUMMYFUNCTION("""COMPUTED_VALUE"""),1)</f>
        <v>1</v>
      </c>
      <c r="Y472" s="12" t="str">
        <f ca="1">IFERROR(__xludf.DUMMYFUNCTION("""COMPUTED_VALUE"""),"One teen shot and another stabbed outside following high school basketball game")</f>
        <v>One teen shot and another stabbed outside following high school basketball game</v>
      </c>
      <c r="Z472" s="12" t="str">
        <f ca="1">IFERROR(__xludf.DUMMYFUNCTION("""COMPUTED_VALUE"""),"Police in East Point are investigating after a teenager was shot and another was stabbed near a high school on Friday night. East Point Police Chief Shawn Buchanan told Channel 2′s Larry Spruill that a teen was shot and another teen was stabbed. The shoot"&amp;"ing happened after a basketball game. He says they are working two scenes, one outside the school’s gym and another just a few feet away at railroad tracks by the football stadium. ")</f>
        <v xml:space="preserve">Police in East Point are investigating after a teenager was shot and another was stabbed near a high school on Friday night. East Point Police Chief Shawn Buchanan told Channel 2′s Larry Spruill that a teen was shot and another teen was stabbed. The shooting happened after a basketball game. He says they are working two scenes, one outside the school’s gym and another just a few feet away at railroad tracks by the football stadium. </v>
      </c>
      <c r="AA472" s="8"/>
      <c r="AB472" s="8" t="str">
        <f ca="1">IFERROR(__xludf.DUMMYFUNCTION("""COMPUTED_VALUE"""),"Spontaneous")</f>
        <v>Spontaneous</v>
      </c>
      <c r="AC472" s="8" t="str">
        <f ca="1">IFERROR(__xludf.DUMMYFUNCTION("""COMPUTED_VALUE"""),"Yes")</f>
        <v>Yes</v>
      </c>
      <c r="AD472" s="8"/>
      <c r="AE472" s="8" t="str">
        <f ca="1">IFERROR(__xludf.DUMMYFUNCTION("""COMPUTED_VALUE"""),"No")</f>
        <v>No</v>
      </c>
      <c r="AF472" s="8"/>
      <c r="AG472" s="8" t="str">
        <f ca="1">IFERROR(__xludf.DUMMYFUNCTION("""COMPUTED_VALUE"""),"No")</f>
        <v>No</v>
      </c>
      <c r="AH472" s="8" t="str">
        <f ca="1">IFERROR(__xludf.DUMMYFUNCTION("""COMPUTED_VALUE"""),"No")</f>
        <v>No</v>
      </c>
      <c r="AI472" s="8" t="str">
        <f ca="1">IFERROR(__xludf.DUMMYFUNCTION("""COMPUTED_VALUE"""),"No")</f>
        <v>No</v>
      </c>
      <c r="AJ472" s="8" t="str">
        <f ca="1">IFERROR(__xludf.DUMMYFUNCTION("""COMPUTED_VALUE"""),"No")</f>
        <v>No</v>
      </c>
      <c r="AK472" s="8" t="str">
        <f ca="1">IFERROR(__xludf.DUMMYFUNCTION("""COMPUTED_VALUE"""),"No")</f>
        <v>No</v>
      </c>
      <c r="AL472" s="8"/>
      <c r="AM472" s="8" t="str">
        <f ca="1">IFERROR(__xludf.DUMMYFUNCTION("""COMPUTED_VALUE"""),"No")</f>
        <v>No</v>
      </c>
      <c r="AN472" s="8" t="str">
        <f ca="1">IFERROR(__xludf.DUMMYFUNCTION("""COMPUTED_VALUE"""),"Outside")</f>
        <v>Outside</v>
      </c>
      <c r="AO472" s="8" t="str">
        <f ca="1">IFERROR(__xludf.DUMMYFUNCTION("""COMPUTED_VALUE"""),"No")</f>
        <v>No</v>
      </c>
      <c r="AP472" s="8"/>
      <c r="AQ472" s="8"/>
      <c r="AR472" s="8" t="str">
        <f ca="1">IFERROR(__xludf.DUMMYFUNCTION("""COMPUTED_VALUE"""),"Outside/Off-Property")</f>
        <v>Outside/Off-Property</v>
      </c>
      <c r="AS472" s="8">
        <f ca="1">IFERROR(__xludf.DUMMYFUNCTION("""COMPUTED_VALUE"""),99)</f>
        <v>99</v>
      </c>
      <c r="AT472" s="8" t="str">
        <f ca="1">IFERROR(__xludf.DUMMYFUNCTION("""COMPUTED_VALUE"""),"No")</f>
        <v>No</v>
      </c>
      <c r="AU472" s="8">
        <f ca="1">IFERROR(__xludf.DUMMYFUNCTION("""COMPUTED_VALUE"""),33.684387)</f>
        <v>33.684387000000001</v>
      </c>
      <c r="AV472" s="8">
        <f ca="1">IFERROR(__xludf.DUMMYFUNCTION("""COMPUTED_VALUE"""),-84.435806)</f>
        <v>-84.435805999999999</v>
      </c>
      <c r="AW472" s="8" t="str">
        <f ca="1">IFERROR(__xludf.DUMMYFUNCTION("""COMPUTED_VALUE"""),"Multiple attached buildings")</f>
        <v>Multiple attached buildings</v>
      </c>
      <c r="AX472" s="8">
        <f ca="1">IFERROR(__xludf.DUMMYFUNCTION("""COMPUTED_VALUE"""),30344)</f>
        <v>30344</v>
      </c>
    </row>
    <row r="473" spans="1:50" ht="60" x14ac:dyDescent="0.2">
      <c r="A473" s="8" t="str">
        <f ca="1">IFERROR(__xludf.DUMMYFUNCTION("""COMPUTED_VALUE"""),"20240208MDBEB")</f>
        <v>20240208MDBEB</v>
      </c>
      <c r="B473" s="8">
        <f ca="1">IFERROR(__xludf.DUMMYFUNCTION("""COMPUTED_VALUE"""),2)</f>
        <v>2</v>
      </c>
      <c r="C473" s="8">
        <f ca="1">IFERROR(__xludf.DUMMYFUNCTION("""COMPUTED_VALUE"""),8)</f>
        <v>8</v>
      </c>
      <c r="D473" s="8">
        <f ca="1">IFERROR(__xludf.DUMMYFUNCTION("""COMPUTED_VALUE"""),2024)</f>
        <v>2024</v>
      </c>
      <c r="E473" s="9">
        <f ca="1">IFERROR(__xludf.DUMMYFUNCTION("""COMPUTED_VALUE"""),45330)</f>
        <v>45330</v>
      </c>
      <c r="F473" s="8" t="str">
        <f ca="1">IFERROR(__xludf.DUMMYFUNCTION("""COMPUTED_VALUE"""),"Bethesda Chevy Chase High School")</f>
        <v>Bethesda Chevy Chase High School</v>
      </c>
      <c r="G473" s="8">
        <f ca="1">IFERROR(__xludf.DUMMYFUNCTION("""COMPUTED_VALUE"""),0)</f>
        <v>0</v>
      </c>
      <c r="H473" s="8">
        <f ca="1">IFERROR(__xludf.DUMMYFUNCTION("""COMPUTED_VALUE"""),0)</f>
        <v>0</v>
      </c>
      <c r="I473" s="8">
        <f ca="1">IFERROR(__xludf.DUMMYFUNCTION("""COMPUTED_VALUE"""),0)</f>
        <v>0</v>
      </c>
      <c r="J473" s="8">
        <f ca="1">IFERROR(__xludf.DUMMYFUNCTION("""COMPUTED_VALUE"""),0)</f>
        <v>0</v>
      </c>
      <c r="K473" s="8"/>
      <c r="L473" s="8">
        <f ca="1">IFERROR(__xludf.DUMMYFUNCTION("""COMPUTED_VALUE"""),0)</f>
        <v>0</v>
      </c>
      <c r="M473" s="8"/>
      <c r="N473" s="8">
        <f ca="1">IFERROR(__xludf.DUMMYFUNCTION("""COMPUTED_VALUE"""),4)</f>
        <v>4</v>
      </c>
      <c r="O473" s="8" t="str">
        <f ca="1">IFERROR(__xludf.DUMMYFUNCTION("""COMPUTED_VALUE"""),"Winter")</f>
        <v>Winter</v>
      </c>
      <c r="P473" s="8" t="str">
        <f ca="1">IFERROR(__xludf.DUMMYFUNCTION("""COMPUTED_VALUE"""),"Bethesda")</f>
        <v>Bethesda</v>
      </c>
      <c r="Q473" s="8" t="str">
        <f ca="1">IFERROR(__xludf.DUMMYFUNCTION("""COMPUTED_VALUE"""),"MD")</f>
        <v>MD</v>
      </c>
      <c r="R473" s="8" t="str">
        <f ca="1">IFERROR(__xludf.DUMMYFUNCTION("""COMPUTED_VALUE"""),"High")</f>
        <v>High</v>
      </c>
      <c r="S473" s="8" t="str">
        <f ca="1">IFERROR(__xludf.DUMMYFUNCTION("""COMPUTED_VALUE"""),"Front of School (Bus)")</f>
        <v>Front of School (Bus)</v>
      </c>
      <c r="T473" s="8" t="str">
        <f ca="1">IFERROR(__xludf.DUMMYFUNCTION("""COMPUTED_VALUE"""),"School Bus")</f>
        <v>School Bus</v>
      </c>
      <c r="U473" s="8" t="str">
        <f ca="1">IFERROR(__xludf.DUMMYFUNCTION("""COMPUTED_VALUE"""),"Yes")</f>
        <v>Yes</v>
      </c>
      <c r="V473" s="8" t="str">
        <f ca="1">IFERROR(__xludf.DUMMYFUNCTION("""COMPUTED_VALUE"""),"Dismissal")</f>
        <v>Dismissal</v>
      </c>
      <c r="W473" s="11">
        <f ca="1">IFERROR(__xludf.DUMMYFUNCTION("""COMPUTED_VALUE"""),0.625)</f>
        <v>0.625</v>
      </c>
      <c r="X473" s="8">
        <f ca="1">IFERROR(__xludf.DUMMYFUNCTION("""COMPUTED_VALUE"""),1)</f>
        <v>1</v>
      </c>
      <c r="Y473" s="12" t="str">
        <f ca="1">IFERROR(__xludf.DUMMYFUNCTION("""COMPUTED_VALUE"""),"Teen pointed gun at students head, pulled trigger, gun misfired")</f>
        <v>Teen pointed gun at students head, pulled trigger, gun misfired</v>
      </c>
      <c r="Z473" s="12" t="str">
        <f ca="1">IFERROR(__xludf.DUMMYFUNCTION("""COMPUTED_VALUE"""),"On the school bus during dismissal, a teen put a gun against the head of a student and pulled the trigger. The gun misfired and the shooter fled.")</f>
        <v>On the school bus during dismissal, a teen put a gun against the head of a student and pulled the trigger. The gun misfired and the shooter fled.</v>
      </c>
      <c r="AA473" s="8"/>
      <c r="AB473" s="8" t="str">
        <f ca="1">IFERROR(__xludf.DUMMYFUNCTION("""COMPUTED_VALUE"""),"Targeted")</f>
        <v>Targeted</v>
      </c>
      <c r="AC473" s="8" t="str">
        <f ca="1">IFERROR(__xludf.DUMMYFUNCTION("""COMPUTED_VALUE"""),"Yes")</f>
        <v>Yes</v>
      </c>
      <c r="AD473" s="8" t="str">
        <f ca="1">IFERROR(__xludf.DUMMYFUNCTION("""COMPUTED_VALUE"""),"Victims Targeted")</f>
        <v>Victims Targeted</v>
      </c>
      <c r="AE473" s="8" t="str">
        <f ca="1">IFERROR(__xludf.DUMMYFUNCTION("""COMPUTED_VALUE"""),"No")</f>
        <v>No</v>
      </c>
      <c r="AF473" s="8"/>
      <c r="AG473" s="8" t="str">
        <f ca="1">IFERROR(__xludf.DUMMYFUNCTION("""COMPUTED_VALUE"""),"No")</f>
        <v>No</v>
      </c>
      <c r="AH473" s="8" t="str">
        <f ca="1">IFERROR(__xludf.DUMMYFUNCTION("""COMPUTED_VALUE"""),"No")</f>
        <v>No</v>
      </c>
      <c r="AI473" s="8" t="str">
        <f ca="1">IFERROR(__xludf.DUMMYFUNCTION("""COMPUTED_VALUE"""),"No")</f>
        <v>No</v>
      </c>
      <c r="AJ473" s="8" t="str">
        <f ca="1">IFERROR(__xludf.DUMMYFUNCTION("""COMPUTED_VALUE"""),"No")</f>
        <v>No</v>
      </c>
      <c r="AK473" s="8" t="str">
        <f ca="1">IFERROR(__xludf.DUMMYFUNCTION("""COMPUTED_VALUE"""),"No")</f>
        <v>No</v>
      </c>
      <c r="AL473" s="8"/>
      <c r="AM473" s="8" t="str">
        <f ca="1">IFERROR(__xludf.DUMMYFUNCTION("""COMPUTED_VALUE"""),"No")</f>
        <v>No</v>
      </c>
      <c r="AN473" s="8" t="str">
        <f ca="1">IFERROR(__xludf.DUMMYFUNCTION("""COMPUTED_VALUE"""),"Outside")</f>
        <v>Outside</v>
      </c>
      <c r="AO473" s="8" t="str">
        <f ca="1">IFERROR(__xludf.DUMMYFUNCTION("""COMPUTED_VALUE"""),"No")</f>
        <v>No</v>
      </c>
      <c r="AP473" s="8" t="str">
        <f ca="1">IFERROR(__xludf.DUMMYFUNCTION("""COMPUTED_VALUE"""),"Yes")</f>
        <v>Yes</v>
      </c>
      <c r="AQ473" s="8"/>
      <c r="AR473" s="8" t="str">
        <f ca="1">IFERROR(__xludf.DUMMYFUNCTION("""COMPUTED_VALUE"""),"Outside/Off-Property")</f>
        <v>Outside/Off-Property</v>
      </c>
      <c r="AS473" s="8">
        <f ca="1">IFERROR(__xludf.DUMMYFUNCTION("""COMPUTED_VALUE"""),0)</f>
        <v>0</v>
      </c>
      <c r="AT473" s="8" t="str">
        <f ca="1">IFERROR(__xludf.DUMMYFUNCTION("""COMPUTED_VALUE"""),"No")</f>
        <v>No</v>
      </c>
      <c r="AU473" s="8">
        <f ca="1">IFERROR(__xludf.DUMMYFUNCTION("""COMPUTED_VALUE"""),38.986042)</f>
        <v>38.986041999999998</v>
      </c>
      <c r="AV473" s="8">
        <f ca="1">IFERROR(__xludf.DUMMYFUNCTION("""COMPUTED_VALUE"""),-77.088193)</f>
        <v>-77.088193000000004</v>
      </c>
      <c r="AW473" s="8" t="str">
        <f ca="1">IFERROR(__xludf.DUMMYFUNCTION("""COMPUTED_VALUE"""),"Single building indoor hallway")</f>
        <v>Single building indoor hallway</v>
      </c>
      <c r="AX473" s="8">
        <f ca="1">IFERROR(__xludf.DUMMYFUNCTION("""COMPUTED_VALUE"""),20814)</f>
        <v>20814</v>
      </c>
    </row>
    <row r="474" spans="1:50" ht="75" x14ac:dyDescent="0.2">
      <c r="A474" s="8" t="str">
        <f ca="1">IFERROR(__xludf.DUMMYFUNCTION("""COMPUTED_VALUE"""),"20240208TNMEN")</f>
        <v>20240208TNMEN</v>
      </c>
      <c r="B474" s="8">
        <f ca="1">IFERROR(__xludf.DUMMYFUNCTION("""COMPUTED_VALUE"""),2)</f>
        <v>2</v>
      </c>
      <c r="C474" s="8">
        <f ca="1">IFERROR(__xludf.DUMMYFUNCTION("""COMPUTED_VALUE"""),8)</f>
        <v>8</v>
      </c>
      <c r="D474" s="8">
        <f ca="1">IFERROR(__xludf.DUMMYFUNCTION("""COMPUTED_VALUE"""),2024)</f>
        <v>2024</v>
      </c>
      <c r="E474" s="9">
        <f ca="1">IFERROR(__xludf.DUMMYFUNCTION("""COMPUTED_VALUE"""),45330)</f>
        <v>45330</v>
      </c>
      <c r="F474" s="8" t="str">
        <f ca="1">IFERROR(__xludf.DUMMYFUNCTION("""COMPUTED_VALUE"""),"Meigs Magnet School")</f>
        <v>Meigs Magnet School</v>
      </c>
      <c r="G474" s="8">
        <f ca="1">IFERROR(__xludf.DUMMYFUNCTION("""COMPUTED_VALUE"""),2)</f>
        <v>2</v>
      </c>
      <c r="H474" s="8">
        <f ca="1">IFERROR(__xludf.DUMMYFUNCTION("""COMPUTED_VALUE"""),0)</f>
        <v>0</v>
      </c>
      <c r="I474" s="8">
        <f ca="1">IFERROR(__xludf.DUMMYFUNCTION("""COMPUTED_VALUE"""),2)</f>
        <v>2</v>
      </c>
      <c r="J474" s="8">
        <f ca="1">IFERROR(__xludf.DUMMYFUNCTION("""COMPUTED_VALUE"""),0)</f>
        <v>0</v>
      </c>
      <c r="K474" s="8" t="str">
        <f ca="1">IFERROR(__xludf.DUMMYFUNCTION("""COMPUTED_VALUE"""),"https://www.nashville.gov/departments/police/news/18-year-old-being-charged-two-counts-homicide-thursdays-shooting-school-parking-lot
https://www.newschannel5.com/news/two-dead-after-shooting-in-a-nashville-high-school-parking-lot
https://www.wsmv.com/202"&amp;"4/02/09/two-teenagers-killed-outside-east-nashville-middle-school/")</f>
        <v>https://www.nashville.gov/departments/police/news/18-year-old-being-charged-two-counts-homicide-thursdays-shooting-school-parking-lot
https://www.newschannel5.com/news/two-dead-after-shooting-in-a-nashville-high-school-parking-lot
https://www.wsmv.com/2024/02/09/two-teenagers-killed-outside-east-nashville-middle-school/</v>
      </c>
      <c r="L474" s="8">
        <f ca="1">IFERROR(__xludf.DUMMYFUNCTION("""COMPUTED_VALUE"""),5)</f>
        <v>5</v>
      </c>
      <c r="M474" s="8" t="str">
        <f ca="1">IFERROR(__xludf.DUMMYFUNCTION("""COMPUTED_VALUE"""),"Local")</f>
        <v>Local</v>
      </c>
      <c r="N474" s="8">
        <f ca="1">IFERROR(__xludf.DUMMYFUNCTION("""COMPUTED_VALUE"""),4)</f>
        <v>4</v>
      </c>
      <c r="O474" s="8" t="str">
        <f ca="1">IFERROR(__xludf.DUMMYFUNCTION("""COMPUTED_VALUE"""),"Winter")</f>
        <v>Winter</v>
      </c>
      <c r="P474" s="8" t="str">
        <f ca="1">IFERROR(__xludf.DUMMYFUNCTION("""COMPUTED_VALUE"""),"Nashville")</f>
        <v>Nashville</v>
      </c>
      <c r="Q474" s="8" t="str">
        <f ca="1">IFERROR(__xludf.DUMMYFUNCTION("""COMPUTED_VALUE"""),"TN")</f>
        <v>TN</v>
      </c>
      <c r="R474" s="8" t="str">
        <f ca="1">IFERROR(__xludf.DUMMYFUNCTION("""COMPUTED_VALUE"""),"Middle")</f>
        <v>Middle</v>
      </c>
      <c r="S474" s="8" t="str">
        <f ca="1">IFERROR(__xludf.DUMMYFUNCTION("""COMPUTED_VALUE"""),"Parking Lot")</f>
        <v>Parking Lot</v>
      </c>
      <c r="T474" s="8" t="str">
        <f ca="1">IFERROR(__xludf.DUMMYFUNCTION("""COMPUTED_VALUE"""),"Outside on School Property")</f>
        <v>Outside on School Property</v>
      </c>
      <c r="U474" s="8" t="str">
        <f ca="1">IFERROR(__xludf.DUMMYFUNCTION("""COMPUTED_VALUE"""),"No")</f>
        <v>No</v>
      </c>
      <c r="V474" s="8" t="str">
        <f ca="1">IFERROR(__xludf.DUMMYFUNCTION("""COMPUTED_VALUE"""),"Evening")</f>
        <v>Evening</v>
      </c>
      <c r="W474" s="11">
        <f ca="1">IFERROR(__xludf.DUMMYFUNCTION("""COMPUTED_VALUE"""),0.791666666666666)</f>
        <v>0.79166666666666596</v>
      </c>
      <c r="X474" s="8">
        <f ca="1">IFERROR(__xludf.DUMMYFUNCTION("""COMPUTED_VALUE"""),1)</f>
        <v>1</v>
      </c>
      <c r="Y474" s="12" t="str">
        <f ca="1">IFERROR(__xludf.DUMMYFUNCTION("""COMPUTED_VALUE"""),"Two teens fatally shot in school parking lot during dispute")</f>
        <v>Two teens fatally shot in school parking lot during dispute</v>
      </c>
      <c r="Z474" s="12" t="str">
        <f ca="1">IFERROR(__xludf.DUMMYFUNCTION("""COMPUTED_VALUE"""),"Two teens were fatally shot inside a vehicle in the school parking lot during “marijuana deal gone bad” with two unidentified men. School CCTV recorded the incident and staff were inside when the shooting happened. Shooter fled in a vehicle.")</f>
        <v>Two teens were fatally shot inside a vehicle in the school parking lot during “marijuana deal gone bad” with two unidentified men. School CCTV recorded the incident and staff were inside when the shooting happened. Shooter fled in a vehicle.</v>
      </c>
      <c r="AA474" s="8" t="str">
        <f ca="1">IFERROR(__xludf.DUMMYFUNCTION("""COMPUTED_VALUE"""),"Illegal Activity")</f>
        <v>Illegal Activity</v>
      </c>
      <c r="AB474" s="8" t="str">
        <f ca="1">IFERROR(__xludf.DUMMYFUNCTION("""COMPUTED_VALUE"""),"Spontaneous")</f>
        <v>Spontaneous</v>
      </c>
      <c r="AC474" s="8" t="str">
        <f ca="1">IFERROR(__xludf.DUMMYFUNCTION("""COMPUTED_VALUE"""),"Yes")</f>
        <v>Yes</v>
      </c>
      <c r="AD474" s="8" t="str">
        <f ca="1">IFERROR(__xludf.DUMMYFUNCTION("""COMPUTED_VALUE"""),"Victims Targeted")</f>
        <v>Victims Targeted</v>
      </c>
      <c r="AE474" s="8" t="str">
        <f ca="1">IFERROR(__xludf.DUMMYFUNCTION("""COMPUTED_VALUE"""),"Yes")</f>
        <v>Yes</v>
      </c>
      <c r="AF474" s="8" t="str">
        <f ca="1">IFERROR(__xludf.DUMMYFUNCTION("""COMPUTED_VALUE"""),"Two men")</f>
        <v>Two men</v>
      </c>
      <c r="AG474" s="8" t="str">
        <f ca="1">IFERROR(__xludf.DUMMYFUNCTION("""COMPUTED_VALUE"""),"No")</f>
        <v>No</v>
      </c>
      <c r="AH474" s="8" t="str">
        <f ca="1">IFERROR(__xludf.DUMMYFUNCTION("""COMPUTED_VALUE"""),"No")</f>
        <v>No</v>
      </c>
      <c r="AI474" s="8" t="str">
        <f ca="1">IFERROR(__xludf.DUMMYFUNCTION("""COMPUTED_VALUE"""),"No")</f>
        <v>No</v>
      </c>
      <c r="AJ474" s="8" t="str">
        <f ca="1">IFERROR(__xludf.DUMMYFUNCTION("""COMPUTED_VALUE"""),"No")</f>
        <v>No</v>
      </c>
      <c r="AK474" s="8" t="str">
        <f ca="1">IFERROR(__xludf.DUMMYFUNCTION("""COMPUTED_VALUE"""),"No")</f>
        <v>No</v>
      </c>
      <c r="AL474" s="8"/>
      <c r="AM474" s="8" t="str">
        <f ca="1">IFERROR(__xludf.DUMMYFUNCTION("""COMPUTED_VALUE"""),"No")</f>
        <v>No</v>
      </c>
      <c r="AN474" s="8" t="str">
        <f ca="1">IFERROR(__xludf.DUMMYFUNCTION("""COMPUTED_VALUE"""),"Outside")</f>
        <v>Outside</v>
      </c>
      <c r="AO474" s="8" t="str">
        <f ca="1">IFERROR(__xludf.DUMMYFUNCTION("""COMPUTED_VALUE"""),"No")</f>
        <v>No</v>
      </c>
      <c r="AP474" s="8"/>
      <c r="AQ474" s="8"/>
      <c r="AR474" s="8" t="str">
        <f ca="1">IFERROR(__xludf.DUMMYFUNCTION("""COMPUTED_VALUE"""),"Outside/Off-Property")</f>
        <v>Outside/Off-Property</v>
      </c>
      <c r="AS474" s="8">
        <f ca="1">IFERROR(__xludf.DUMMYFUNCTION("""COMPUTED_VALUE"""),99)</f>
        <v>99</v>
      </c>
      <c r="AT474" s="8" t="str">
        <f ca="1">IFERROR(__xludf.DUMMYFUNCTION("""COMPUTED_VALUE"""),"No")</f>
        <v>No</v>
      </c>
      <c r="AU474" s="8">
        <f ca="1">IFERROR(__xludf.DUMMYFUNCTION("""COMPUTED_VALUE"""),36.176258)</f>
        <v>36.176257999999997</v>
      </c>
      <c r="AV474" s="8">
        <f ca="1">IFERROR(__xludf.DUMMYFUNCTION("""COMPUTED_VALUE"""),-86.760461)</f>
        <v>-86.760461000000006</v>
      </c>
      <c r="AW474" s="8" t="str">
        <f ca="1">IFERROR(__xludf.DUMMYFUNCTION("""COMPUTED_VALUE"""),"Single building indoor hallway")</f>
        <v>Single building indoor hallway</v>
      </c>
      <c r="AX474" s="8">
        <f ca="1">IFERROR(__xludf.DUMMYFUNCTION("""COMPUTED_VALUE"""),37213)</f>
        <v>37213</v>
      </c>
    </row>
    <row r="475" spans="1:50" ht="165" x14ac:dyDescent="0.2">
      <c r="A475" s="8" t="str">
        <f ca="1">IFERROR(__xludf.DUMMYFUNCTION("""COMPUTED_VALUE"""),"20240207ORWIE")</f>
        <v>20240207ORWIE</v>
      </c>
      <c r="B475" s="8">
        <f ca="1">IFERROR(__xludf.DUMMYFUNCTION("""COMPUTED_VALUE"""),2)</f>
        <v>2</v>
      </c>
      <c r="C475" s="8">
        <f ca="1">IFERROR(__xludf.DUMMYFUNCTION("""COMPUTED_VALUE"""),7)</f>
        <v>7</v>
      </c>
      <c r="D475" s="8">
        <f ca="1">IFERROR(__xludf.DUMMYFUNCTION("""COMPUTED_VALUE"""),2024)</f>
        <v>2024</v>
      </c>
      <c r="E475" s="9">
        <f ca="1">IFERROR(__xludf.DUMMYFUNCTION("""COMPUTED_VALUE"""),45329)</f>
        <v>45329</v>
      </c>
      <c r="F475" s="8" t="str">
        <f ca="1">IFERROR(__xludf.DUMMYFUNCTION("""COMPUTED_VALUE"""),"Willagillespie Elementary School")</f>
        <v>Willagillespie Elementary School</v>
      </c>
      <c r="G475" s="8">
        <f ca="1">IFERROR(__xludf.DUMMYFUNCTION("""COMPUTED_VALUE"""),0)</f>
        <v>0</v>
      </c>
      <c r="H475" s="8">
        <f ca="1">IFERROR(__xludf.DUMMYFUNCTION("""COMPUTED_VALUE"""),0)</f>
        <v>0</v>
      </c>
      <c r="I475" s="8">
        <f ca="1">IFERROR(__xludf.DUMMYFUNCTION("""COMPUTED_VALUE"""),0)</f>
        <v>0</v>
      </c>
      <c r="J475" s="8">
        <f ca="1">IFERROR(__xludf.DUMMYFUNCTION("""COMPUTED_VALUE"""),0)</f>
        <v>0</v>
      </c>
      <c r="K475" s="8" t="str">
        <f ca="1">IFERROR(__xludf.DUMMYFUNCTION("""COMPUTED_VALUE"""),"https://www.kezi.com/news/eugene-police-responding-to-shots-fired-in-school-parking-lot/article_015cf706-c616-11ee-a080-1f247647ce91.html
https://www.kptv.com/2024/02/09/2-portland-teens-arrested-after-shots-fired-outside-eugene-elementary-school-police-c"&amp;"hase/")</f>
        <v>https://www.kezi.com/news/eugene-police-responding-to-shots-fired-in-school-parking-lot/article_015cf706-c616-11ee-a080-1f247647ce91.html
https://www.kptv.com/2024/02/09/2-portland-teens-arrested-after-shots-fired-outside-eugene-elementary-school-police-chase/</v>
      </c>
      <c r="L475" s="8">
        <f ca="1">IFERROR(__xludf.DUMMYFUNCTION("""COMPUTED_VALUE"""),2)</f>
        <v>2</v>
      </c>
      <c r="M475" s="8" t="str">
        <f ca="1">IFERROR(__xludf.DUMMYFUNCTION("""COMPUTED_VALUE"""),"Local")</f>
        <v>Local</v>
      </c>
      <c r="N475" s="8">
        <f ca="1">IFERROR(__xludf.DUMMYFUNCTION("""COMPUTED_VALUE"""),3)</f>
        <v>3</v>
      </c>
      <c r="O475" s="8" t="str">
        <f ca="1">IFERROR(__xludf.DUMMYFUNCTION("""COMPUTED_VALUE"""),"Winter")</f>
        <v>Winter</v>
      </c>
      <c r="P475" s="8" t="str">
        <f ca="1">IFERROR(__xludf.DUMMYFUNCTION("""COMPUTED_VALUE"""),"Eugene")</f>
        <v>Eugene</v>
      </c>
      <c r="Q475" s="8" t="str">
        <f ca="1">IFERROR(__xludf.DUMMYFUNCTION("""COMPUTED_VALUE"""),"OR")</f>
        <v>OR</v>
      </c>
      <c r="R475" s="8" t="str">
        <f ca="1">IFERROR(__xludf.DUMMYFUNCTION("""COMPUTED_VALUE"""),"Elementary")</f>
        <v>Elementary</v>
      </c>
      <c r="S475" s="8" t="str">
        <f ca="1">IFERROR(__xludf.DUMMYFUNCTION("""COMPUTED_VALUE"""),"Parking Lot")</f>
        <v>Parking Lot</v>
      </c>
      <c r="T475" s="8" t="str">
        <f ca="1">IFERROR(__xludf.DUMMYFUNCTION("""COMPUTED_VALUE"""),"Outside on School Property")</f>
        <v>Outside on School Property</v>
      </c>
      <c r="U475" s="8" t="str">
        <f ca="1">IFERROR(__xludf.DUMMYFUNCTION("""COMPUTED_VALUE"""),"Yes")</f>
        <v>Yes</v>
      </c>
      <c r="V475" s="8" t="str">
        <f ca="1">IFERROR(__xludf.DUMMYFUNCTION("""COMPUTED_VALUE"""),"Afternoon Classes")</f>
        <v>Afternoon Classes</v>
      </c>
      <c r="W475" s="11">
        <f ca="1">IFERROR(__xludf.DUMMYFUNCTION("""COMPUTED_VALUE"""),0.638888888888888)</f>
        <v>0.63888888888888795</v>
      </c>
      <c r="X475" s="8">
        <f ca="1">IFERROR(__xludf.DUMMYFUNCTION("""COMPUTED_VALUE"""),1)</f>
        <v>1</v>
      </c>
      <c r="Y475" s="12" t="str">
        <f ca="1">IFERROR(__xludf.DUMMYFUNCTION("""COMPUTED_VALUE"""),"Shots fired in school parking lot")</f>
        <v>Shots fired in school parking lot</v>
      </c>
      <c r="Z475" s="12" t="str">
        <f ca="1">IFERROR(__xludf.DUMMYFUNCTION("""COMPUTED_VALUE"""),"According to Eugene Police Department officials, officers responded to reports of shots fired from a blue Ford Explorer in the south parking lot if Willagillespie Elementary School at about 3:29 p.m. on February 7. The Explorer reportedly left northbound "&amp;"on Delta Highway. No injuries were reported. Officials at Willagillespie said a lockdown was initiated after the incident, and that students and staff on campus were safe inside the building. School officials reiterated that no injuries occurred, and prai"&amp;"sed the calm professionalism with which staff carried out the lockdown procedure.")</f>
        <v>According to Eugene Police Department officials, officers responded to reports of shots fired from a blue Ford Explorer in the south parking lot if Willagillespie Elementary School at about 3:29 p.m. on February 7. The Explorer reportedly left northbound on Delta Highway. No injuries were reported. Officials at Willagillespie said a lockdown was initiated after the incident, and that students and staff on campus were safe inside the building. School officials reiterated that no injuries occurred, and praised the calm professionalism with which staff carried out the lockdown procedure.</v>
      </c>
      <c r="AA475" s="8" t="str">
        <f ca="1">IFERROR(__xludf.DUMMYFUNCTION("""COMPUTED_VALUE"""),"Drive-by Shooting")</f>
        <v>Drive-by Shooting</v>
      </c>
      <c r="AB475" s="8"/>
      <c r="AC475" s="8" t="str">
        <f ca="1">IFERROR(__xludf.DUMMYFUNCTION("""COMPUTED_VALUE"""),"Yes")</f>
        <v>Yes</v>
      </c>
      <c r="AD475" s="8"/>
      <c r="AE475" s="8" t="str">
        <f ca="1">IFERROR(__xludf.DUMMYFUNCTION("""COMPUTED_VALUE"""),"Yes")</f>
        <v>Yes</v>
      </c>
      <c r="AF475" s="8" t="str">
        <f ca="1">IFERROR(__xludf.DUMMYFUNCTION("""COMPUTED_VALUE"""),"Three arrested")</f>
        <v>Three arrested</v>
      </c>
      <c r="AG475" s="8" t="str">
        <f ca="1">IFERROR(__xludf.DUMMYFUNCTION("""COMPUTED_VALUE"""),"No")</f>
        <v>No</v>
      </c>
      <c r="AH475" s="8" t="str">
        <f ca="1">IFERROR(__xludf.DUMMYFUNCTION("""COMPUTED_VALUE"""),"No")</f>
        <v>No</v>
      </c>
      <c r="AI475" s="8" t="str">
        <f ca="1">IFERROR(__xludf.DUMMYFUNCTION("""COMPUTED_VALUE"""),"No")</f>
        <v>No</v>
      </c>
      <c r="AJ475" s="8" t="str">
        <f ca="1">IFERROR(__xludf.DUMMYFUNCTION("""COMPUTED_VALUE"""),"No")</f>
        <v>No</v>
      </c>
      <c r="AK475" s="8" t="str">
        <f ca="1">IFERROR(__xludf.DUMMYFUNCTION("""COMPUTED_VALUE"""),"No")</f>
        <v>No</v>
      </c>
      <c r="AL475" s="8"/>
      <c r="AM475" s="8" t="str">
        <f ca="1">IFERROR(__xludf.DUMMYFUNCTION("""COMPUTED_VALUE"""),"No")</f>
        <v>No</v>
      </c>
      <c r="AN475" s="8" t="str">
        <f ca="1">IFERROR(__xludf.DUMMYFUNCTION("""COMPUTED_VALUE"""),"Outside")</f>
        <v>Outside</v>
      </c>
      <c r="AO475" s="8" t="str">
        <f ca="1">IFERROR(__xludf.DUMMYFUNCTION("""COMPUTED_VALUE"""),"No")</f>
        <v>No</v>
      </c>
      <c r="AP475" s="8"/>
      <c r="AQ475" s="8"/>
      <c r="AR475" s="8" t="str">
        <f ca="1">IFERROR(__xludf.DUMMYFUNCTION("""COMPUTED_VALUE"""),"Outside/Off-Property")</f>
        <v>Outside/Off-Property</v>
      </c>
      <c r="AS475" s="8">
        <f ca="1">IFERROR(__xludf.DUMMYFUNCTION("""COMPUTED_VALUE"""),99)</f>
        <v>99</v>
      </c>
      <c r="AT475" s="8" t="str">
        <f ca="1">IFERROR(__xludf.DUMMYFUNCTION("""COMPUTED_VALUE"""),"Yes")</f>
        <v>Yes</v>
      </c>
      <c r="AU475" s="8">
        <f ca="1">IFERROR(__xludf.DUMMYFUNCTION("""COMPUTED_VALUE"""),44.071532)</f>
        <v>44.071531999999998</v>
      </c>
      <c r="AV475" s="8">
        <f ca="1">IFERROR(__xludf.DUMMYFUNCTION("""COMPUTED_VALUE"""),-123.100322)</f>
        <v>-123.10032200000001</v>
      </c>
      <c r="AW475" s="8" t="str">
        <f ca="1">IFERROR(__xludf.DUMMYFUNCTION("""COMPUTED_VALUE"""),"Multiple attached buildings")</f>
        <v>Multiple attached buildings</v>
      </c>
      <c r="AX475" s="8">
        <f ca="1">IFERROR(__xludf.DUMMYFUNCTION("""COMPUTED_VALUE"""),97401)</f>
        <v>97401</v>
      </c>
    </row>
    <row r="476" spans="1:50" ht="60" x14ac:dyDescent="0.2">
      <c r="A476" s="8" t="str">
        <f ca="1">IFERROR(__xludf.DUMMYFUNCTION("""COMPUTED_VALUE"""),"2024207TXKUH")</f>
        <v>2024207TXKUH</v>
      </c>
      <c r="B476" s="8">
        <f ca="1">IFERROR(__xludf.DUMMYFUNCTION("""COMPUTED_VALUE"""),2)</f>
        <v>2</v>
      </c>
      <c r="C476" s="8">
        <f ca="1">IFERROR(__xludf.DUMMYFUNCTION("""COMPUTED_VALUE"""),6)</f>
        <v>6</v>
      </c>
      <c r="D476" s="8">
        <f ca="1">IFERROR(__xludf.DUMMYFUNCTION("""COMPUTED_VALUE"""),2024)</f>
        <v>2024</v>
      </c>
      <c r="E476" s="9">
        <f ca="1">IFERROR(__xludf.DUMMYFUNCTION("""COMPUTED_VALUE"""),45328)</f>
        <v>45328</v>
      </c>
      <c r="F476" s="8" t="str">
        <f ca="1">IFERROR(__xludf.DUMMYFUNCTION("""COMPUTED_VALUE"""),"Kujawa Elementary School")</f>
        <v>Kujawa Elementary School</v>
      </c>
      <c r="G476" s="8">
        <f ca="1">IFERROR(__xludf.DUMMYFUNCTION("""COMPUTED_VALUE"""),1)</f>
        <v>1</v>
      </c>
      <c r="H476" s="8">
        <f ca="1">IFERROR(__xludf.DUMMYFUNCTION("""COMPUTED_VALUE"""),0)</f>
        <v>0</v>
      </c>
      <c r="I476" s="8">
        <f ca="1">IFERROR(__xludf.DUMMYFUNCTION("""COMPUTED_VALUE"""),1)</f>
        <v>1</v>
      </c>
      <c r="J476" s="8">
        <f ca="1">IFERROR(__xludf.DUMMYFUNCTION("""COMPUTED_VALUE"""),0)</f>
        <v>0</v>
      </c>
      <c r="K476" s="8" t="str">
        <f ca="1">IFERROR(__xludf.DUMMYFUNCTION("""COMPUTED_VALUE"""),"https://www.click2houston.com/news/local/2024/02/07/man-shot-killed-in-front-of-elementary-school-in-nw-harris-county/
https://www.khou.com/article/news/crime/houston-texas-crime-body-fallbrook-kujawa-elementary-school/285-b4cb1096-4d66-4b44-b379-3d957a81"&amp;"1d3e")</f>
        <v>https://www.click2houston.com/news/local/2024/02/07/man-shot-killed-in-front-of-elementary-school-in-nw-harris-county/
https://www.khou.com/article/news/crime/houston-texas-crime-body-fallbrook-kujawa-elementary-school/285-b4cb1096-4d66-4b44-b379-3d957a811d3e</v>
      </c>
      <c r="L476" s="8">
        <f ca="1">IFERROR(__xludf.DUMMYFUNCTION("""COMPUTED_VALUE"""),10)</f>
        <v>10</v>
      </c>
      <c r="M476" s="8" t="str">
        <f ca="1">IFERROR(__xludf.DUMMYFUNCTION("""COMPUTED_VALUE"""),"Regional")</f>
        <v>Regional</v>
      </c>
      <c r="N476" s="8">
        <f ca="1">IFERROR(__xludf.DUMMYFUNCTION("""COMPUTED_VALUE"""),4)</f>
        <v>4</v>
      </c>
      <c r="O476" s="8" t="str">
        <f ca="1">IFERROR(__xludf.DUMMYFUNCTION("""COMPUTED_VALUE"""),"Winter")</f>
        <v>Winter</v>
      </c>
      <c r="P476" s="8" t="str">
        <f ca="1">IFERROR(__xludf.DUMMYFUNCTION("""COMPUTED_VALUE"""),"Houston")</f>
        <v>Houston</v>
      </c>
      <c r="Q476" s="8" t="str">
        <f ca="1">IFERROR(__xludf.DUMMYFUNCTION("""COMPUTED_VALUE"""),"TX")</f>
        <v>TX</v>
      </c>
      <c r="R476" s="8" t="str">
        <f ca="1">IFERROR(__xludf.DUMMYFUNCTION("""COMPUTED_VALUE"""),"Elementary")</f>
        <v>Elementary</v>
      </c>
      <c r="S476" s="8" t="str">
        <f ca="1">IFERROR(__xludf.DUMMYFUNCTION("""COMPUTED_VALUE"""),"Front of School")</f>
        <v>Front of School</v>
      </c>
      <c r="T476" s="8" t="str">
        <f ca="1">IFERROR(__xludf.DUMMYFUNCTION("""COMPUTED_VALUE"""),"Outside on School Property")</f>
        <v>Outside on School Property</v>
      </c>
      <c r="U476" s="8" t="str">
        <f ca="1">IFERROR(__xludf.DUMMYFUNCTION("""COMPUTED_VALUE"""),"No")</f>
        <v>No</v>
      </c>
      <c r="V476" s="8" t="str">
        <f ca="1">IFERROR(__xludf.DUMMYFUNCTION("""COMPUTED_VALUE"""),"Night")</f>
        <v>Night</v>
      </c>
      <c r="W476" s="11">
        <f ca="1">IFERROR(__xludf.DUMMYFUNCTION("""COMPUTED_VALUE"""),0.979166666666666)</f>
        <v>0.97916666666666596</v>
      </c>
      <c r="X476" s="8">
        <f ca="1">IFERROR(__xludf.DUMMYFUNCTION("""COMPUTED_VALUE"""),1)</f>
        <v>1</v>
      </c>
      <c r="Y476" s="12" t="str">
        <f ca="1">IFERROR(__xludf.DUMMYFUNCTION("""COMPUTED_VALUE"""),"Man fatally shot in front of the school")</f>
        <v>Man fatally shot in front of the school</v>
      </c>
      <c r="Z476" s="12" t="str">
        <f ca="1">IFERROR(__xludf.DUMMYFUNCTION("""COMPUTED_VALUE"""),"Man was walking down the street when he was fatally shot in front of the school. Aldine ISD is off this week so there will not be students on campus as deputies conduct their investigation Wednesday morning.")</f>
        <v>Man was walking down the street when he was fatally shot in front of the school. Aldine ISD is off this week so there will not be students on campus as deputies conduct their investigation Wednesday morning.</v>
      </c>
      <c r="AA476" s="8"/>
      <c r="AB476" s="8" t="str">
        <f ca="1">IFERROR(__xludf.DUMMYFUNCTION("""COMPUTED_VALUE"""),"Targeted")</f>
        <v>Targeted</v>
      </c>
      <c r="AC476" s="8" t="str">
        <f ca="1">IFERROR(__xludf.DUMMYFUNCTION("""COMPUTED_VALUE"""),"No")</f>
        <v>No</v>
      </c>
      <c r="AD476" s="8" t="str">
        <f ca="1">IFERROR(__xludf.DUMMYFUNCTION("""COMPUTED_VALUE"""),"Victims Targeted")</f>
        <v>Victims Targeted</v>
      </c>
      <c r="AE476" s="8"/>
      <c r="AF476" s="8"/>
      <c r="AG476" s="8" t="str">
        <f ca="1">IFERROR(__xludf.DUMMYFUNCTION("""COMPUTED_VALUE"""),"No")</f>
        <v>No</v>
      </c>
      <c r="AH476" s="8" t="str">
        <f ca="1">IFERROR(__xludf.DUMMYFUNCTION("""COMPUTED_VALUE"""),"No")</f>
        <v>No</v>
      </c>
      <c r="AI476" s="8" t="str">
        <f ca="1">IFERROR(__xludf.DUMMYFUNCTION("""COMPUTED_VALUE"""),"No")</f>
        <v>No</v>
      </c>
      <c r="AJ476" s="8" t="str">
        <f ca="1">IFERROR(__xludf.DUMMYFUNCTION("""COMPUTED_VALUE"""),"No")</f>
        <v>No</v>
      </c>
      <c r="AK476" s="8" t="str">
        <f ca="1">IFERROR(__xludf.DUMMYFUNCTION("""COMPUTED_VALUE"""),"No")</f>
        <v>No</v>
      </c>
      <c r="AL476" s="8"/>
      <c r="AM476" s="8" t="str">
        <f ca="1">IFERROR(__xludf.DUMMYFUNCTION("""COMPUTED_VALUE"""),"No")</f>
        <v>No</v>
      </c>
      <c r="AN476" s="8" t="str">
        <f ca="1">IFERROR(__xludf.DUMMYFUNCTION("""COMPUTED_VALUE"""),"Outside")</f>
        <v>Outside</v>
      </c>
      <c r="AO476" s="8" t="str">
        <f ca="1">IFERROR(__xludf.DUMMYFUNCTION("""COMPUTED_VALUE"""),"No")</f>
        <v>No</v>
      </c>
      <c r="AP476" s="8"/>
      <c r="AQ476" s="8"/>
      <c r="AR476" s="8" t="str">
        <f ca="1">IFERROR(__xludf.DUMMYFUNCTION("""COMPUTED_VALUE"""),"Outside/Off-Property")</f>
        <v>Outside/Off-Property</v>
      </c>
      <c r="AS476" s="8">
        <f ca="1">IFERROR(__xludf.DUMMYFUNCTION("""COMPUTED_VALUE"""),99)</f>
        <v>99</v>
      </c>
      <c r="AT476" s="8" t="str">
        <f ca="1">IFERROR(__xludf.DUMMYFUNCTION("""COMPUTED_VALUE"""),"No")</f>
        <v>No</v>
      </c>
      <c r="AU476" s="8">
        <f ca="1">IFERROR(__xludf.DUMMYFUNCTION("""COMPUTED_VALUE"""),29.923252)</f>
        <v>29.923252000000002</v>
      </c>
      <c r="AV476" s="8">
        <f ca="1">IFERROR(__xludf.DUMMYFUNCTION("""COMPUTED_VALUE"""),-95.492646)</f>
        <v>-95.492645999999993</v>
      </c>
      <c r="AW476" s="8" t="str">
        <f ca="1">IFERROR(__xludf.DUMMYFUNCTION("""COMPUTED_VALUE"""),"Single building indoor hallway")</f>
        <v>Single building indoor hallway</v>
      </c>
      <c r="AX476" s="8">
        <f ca="1">IFERROR(__xludf.DUMMYFUNCTION("""COMPUTED_VALUE"""),77086)</f>
        <v>77086</v>
      </c>
    </row>
    <row r="477" spans="1:50" ht="60" x14ac:dyDescent="0.2">
      <c r="A477" s="8" t="str">
        <f ca="1">IFERROR(__xludf.DUMMYFUNCTION("""COMPUTED_VALUE"""),"20240206TNNOC")</f>
        <v>20240206TNNOC</v>
      </c>
      <c r="B477" s="8">
        <f ca="1">IFERROR(__xludf.DUMMYFUNCTION("""COMPUTED_VALUE"""),2)</f>
        <v>2</v>
      </c>
      <c r="C477" s="8">
        <f ca="1">IFERROR(__xludf.DUMMYFUNCTION("""COMPUTED_VALUE"""),6)</f>
        <v>6</v>
      </c>
      <c r="D477" s="8">
        <f ca="1">IFERROR(__xludf.DUMMYFUNCTION("""COMPUTED_VALUE"""),2024)</f>
        <v>2024</v>
      </c>
      <c r="E477" s="9">
        <f ca="1">IFERROR(__xludf.DUMMYFUNCTION("""COMPUTED_VALUE"""),45328)</f>
        <v>45328</v>
      </c>
      <c r="F477" s="8" t="str">
        <f ca="1">IFERROR(__xludf.DUMMYFUNCTION("""COMPUTED_VALUE"""),"Notre Dame High School")</f>
        <v>Notre Dame High School</v>
      </c>
      <c r="G477" s="8">
        <f ca="1">IFERROR(__xludf.DUMMYFUNCTION("""COMPUTED_VALUE"""),0)</f>
        <v>0</v>
      </c>
      <c r="H477" s="8">
        <f ca="1">IFERROR(__xludf.DUMMYFUNCTION("""COMPUTED_VALUE"""),1)</f>
        <v>1</v>
      </c>
      <c r="I477" s="8">
        <f ca="1">IFERROR(__xludf.DUMMYFUNCTION("""COMPUTED_VALUE"""),1)</f>
        <v>1</v>
      </c>
      <c r="J477" s="8">
        <f ca="1">IFERROR(__xludf.DUMMYFUNCTION("""COMPUTED_VALUE"""),0)</f>
        <v>0</v>
      </c>
      <c r="K477" s="8" t="str">
        <f ca="1">IFERROR(__xludf.DUMMYFUNCTION("""COMPUTED_VALUE"""),"https://www.wdef.com/shooting-near-notre-dame-high-school/
https://newschannel9.com/news/local/large-police-presence-near-notre-dame-high-school-tuesday")</f>
        <v>https://www.wdef.com/shooting-near-notre-dame-high-school/
https://newschannel9.com/news/local/large-police-presence-near-notre-dame-high-school-tuesday</v>
      </c>
      <c r="L477" s="8">
        <f ca="1">IFERROR(__xludf.DUMMYFUNCTION("""COMPUTED_VALUE"""),10)</f>
        <v>10</v>
      </c>
      <c r="M477" s="8" t="str">
        <f ca="1">IFERROR(__xludf.DUMMYFUNCTION("""COMPUTED_VALUE"""),"Regional")</f>
        <v>Regional</v>
      </c>
      <c r="N477" s="8">
        <f ca="1">IFERROR(__xludf.DUMMYFUNCTION("""COMPUTED_VALUE"""),4)</f>
        <v>4</v>
      </c>
      <c r="O477" s="8" t="str">
        <f ca="1">IFERROR(__xludf.DUMMYFUNCTION("""COMPUTED_VALUE"""),"Winter")</f>
        <v>Winter</v>
      </c>
      <c r="P477" s="8" t="str">
        <f ca="1">IFERROR(__xludf.DUMMYFUNCTION("""COMPUTED_VALUE"""),"Chattanooga")</f>
        <v>Chattanooga</v>
      </c>
      <c r="Q477" s="8" t="str">
        <f ca="1">IFERROR(__xludf.DUMMYFUNCTION("""COMPUTED_VALUE"""),"TN")</f>
        <v>TN</v>
      </c>
      <c r="R477" s="8" t="str">
        <f ca="1">IFERROR(__xludf.DUMMYFUNCTION("""COMPUTED_VALUE"""),"High")</f>
        <v>High</v>
      </c>
      <c r="S477" s="8" t="str">
        <f ca="1">IFERROR(__xludf.DUMMYFUNCTION("""COMPUTED_VALUE"""),"Outside on School Property")</f>
        <v>Outside on School Property</v>
      </c>
      <c r="T477" s="8" t="str">
        <f ca="1">IFERROR(__xludf.DUMMYFUNCTION("""COMPUTED_VALUE"""),"Outside on School Property")</f>
        <v>Outside on School Property</v>
      </c>
      <c r="U477" s="8" t="str">
        <f ca="1">IFERROR(__xludf.DUMMYFUNCTION("""COMPUTED_VALUE"""),"Yes")</f>
        <v>Yes</v>
      </c>
      <c r="V477" s="8" t="str">
        <f ca="1">IFERROR(__xludf.DUMMYFUNCTION("""COMPUTED_VALUE"""),"Afternoon Classes")</f>
        <v>Afternoon Classes</v>
      </c>
      <c r="W477" s="11">
        <f ca="1">IFERROR(__xludf.DUMMYFUNCTION("""COMPUTED_VALUE"""),0.602083333333333)</f>
        <v>0.60208333333333297</v>
      </c>
      <c r="X477" s="8">
        <f ca="1">IFERROR(__xludf.DUMMYFUNCTION("""COMPUTED_VALUE"""),1)</f>
        <v>1</v>
      </c>
      <c r="Y477" s="12" t="str">
        <f ca="1">IFERROR(__xludf.DUMMYFUNCTION("""COMPUTED_VALUE"""),"Person shot outside on the campus, school went on lockdown")</f>
        <v>Person shot outside on the campus, school went on lockdown</v>
      </c>
      <c r="Z477" s="12" t="str">
        <f ca="1">IFERROR(__xludf.DUMMYFUNCTION("""COMPUTED_VALUE"""),"A person was shot outside on the campus. Students and staff barricaded doors during 90 minute lockdown. No details released about the victim, shooter, or motive.")</f>
        <v>A person was shot outside on the campus. Students and staff barricaded doors during 90 minute lockdown. No details released about the victim, shooter, or motive.</v>
      </c>
      <c r="AA477" s="8"/>
      <c r="AB477" s="8"/>
      <c r="AC477" s="8" t="str">
        <f ca="1">IFERROR(__xludf.DUMMYFUNCTION("""COMPUTED_VALUE"""),"Yes")</f>
        <v>Yes</v>
      </c>
      <c r="AD477" s="8"/>
      <c r="AE477" s="8" t="str">
        <f ca="1">IFERROR(__xludf.DUMMYFUNCTION("""COMPUTED_VALUE"""),"No")</f>
        <v>No</v>
      </c>
      <c r="AF477" s="8"/>
      <c r="AG477" s="8" t="str">
        <f ca="1">IFERROR(__xludf.DUMMYFUNCTION("""COMPUTED_VALUE"""),"No")</f>
        <v>No</v>
      </c>
      <c r="AH477" s="8" t="str">
        <f ca="1">IFERROR(__xludf.DUMMYFUNCTION("""COMPUTED_VALUE"""),"No")</f>
        <v>No</v>
      </c>
      <c r="AI477" s="8" t="str">
        <f ca="1">IFERROR(__xludf.DUMMYFUNCTION("""COMPUTED_VALUE"""),"No")</f>
        <v>No</v>
      </c>
      <c r="AJ477" s="8"/>
      <c r="AK477" s="8"/>
      <c r="AL477" s="8"/>
      <c r="AM477" s="8" t="str">
        <f ca="1">IFERROR(__xludf.DUMMYFUNCTION("""COMPUTED_VALUE"""),"No")</f>
        <v>No</v>
      </c>
      <c r="AN477" s="8" t="str">
        <f ca="1">IFERROR(__xludf.DUMMYFUNCTION("""COMPUTED_VALUE"""),"Outside")</f>
        <v>Outside</v>
      </c>
      <c r="AO477" s="8" t="str">
        <f ca="1">IFERROR(__xludf.DUMMYFUNCTION("""COMPUTED_VALUE"""),"No")</f>
        <v>No</v>
      </c>
      <c r="AP477" s="8"/>
      <c r="AQ477" s="8"/>
      <c r="AR477" s="8" t="str">
        <f ca="1">IFERROR(__xludf.DUMMYFUNCTION("""COMPUTED_VALUE"""),"Outside/Off-Property")</f>
        <v>Outside/Off-Property</v>
      </c>
      <c r="AS477" s="8"/>
      <c r="AT477" s="8" t="str">
        <f ca="1">IFERROR(__xludf.DUMMYFUNCTION("""COMPUTED_VALUE"""),"Yes")</f>
        <v>Yes</v>
      </c>
      <c r="AU477" s="8">
        <f ca="1">IFERROR(__xludf.DUMMYFUNCTION("""COMPUTED_VALUE"""),35.038703)</f>
        <v>35.038702999999998</v>
      </c>
      <c r="AV477" s="8">
        <f ca="1">IFERROR(__xludf.DUMMYFUNCTION("""COMPUTED_VALUE"""),-85.259164)</f>
        <v>-85.259163999999998</v>
      </c>
      <c r="AW477" s="8" t="str">
        <f ca="1">IFERROR(__xludf.DUMMYFUNCTION("""COMPUTED_VALUE"""),"Single building indoor hallway")</f>
        <v>Single building indoor hallway</v>
      </c>
      <c r="AX477" s="8">
        <f ca="1">IFERROR(__xludf.DUMMYFUNCTION("""COMPUTED_VALUE"""),37404)</f>
        <v>37404</v>
      </c>
    </row>
    <row r="478" spans="1:50" ht="105" x14ac:dyDescent="0.2">
      <c r="A478" s="8" t="str">
        <f ca="1">IFERROR(__xludf.DUMMYFUNCTION("""COMPUTED_VALUE"""),"20240205GALUA")</f>
        <v>20240205GALUA</v>
      </c>
      <c r="B478" s="8">
        <f ca="1">IFERROR(__xludf.DUMMYFUNCTION("""COMPUTED_VALUE"""),2)</f>
        <v>2</v>
      </c>
      <c r="C478" s="8">
        <f ca="1">IFERROR(__xludf.DUMMYFUNCTION("""COMPUTED_VALUE"""),5)</f>
        <v>5</v>
      </c>
      <c r="D478" s="8">
        <f ca="1">IFERROR(__xludf.DUMMYFUNCTION("""COMPUTED_VALUE"""),2024)</f>
        <v>2024</v>
      </c>
      <c r="E478" s="9">
        <f ca="1">IFERROR(__xludf.DUMMYFUNCTION("""COMPUTED_VALUE"""),45327)</f>
        <v>45327</v>
      </c>
      <c r="F478" s="8" t="str">
        <f ca="1">IFERROR(__xludf.DUMMYFUNCTION("""COMPUTED_VALUE"""),"Lucy C. Laney High School")</f>
        <v>Lucy C. Laney High School</v>
      </c>
      <c r="G478" s="8">
        <f ca="1">IFERROR(__xludf.DUMMYFUNCTION("""COMPUTED_VALUE"""),0)</f>
        <v>0</v>
      </c>
      <c r="H478" s="8">
        <f ca="1">IFERROR(__xludf.DUMMYFUNCTION("""COMPUTED_VALUE"""),0)</f>
        <v>0</v>
      </c>
      <c r="I478" s="8">
        <f ca="1">IFERROR(__xludf.DUMMYFUNCTION("""COMPUTED_VALUE"""),0)</f>
        <v>0</v>
      </c>
      <c r="J478" s="8">
        <f ca="1">IFERROR(__xludf.DUMMYFUNCTION("""COMPUTED_VALUE"""),0)</f>
        <v>0</v>
      </c>
      <c r="K478" s="8" t="str">
        <f ca="1">IFERROR(__xludf.DUMMYFUNCTION("""COMPUTED_VALUE"""),"https://www.augustachronicle.com/story/news/crime/2024/02/05/shots-fired-inside-lucy-c-laney-high-school-in-augusta/72481378007/
https://www.wrdw.com/2024/02/05/law-enforcement-responds-laney-high-school/")</f>
        <v>https://www.augustachronicle.com/story/news/crime/2024/02/05/shots-fired-inside-lucy-c-laney-high-school-in-augusta/72481378007/
https://www.wrdw.com/2024/02/05/law-enforcement-responds-laney-high-school/</v>
      </c>
      <c r="L478" s="8">
        <f ca="1">IFERROR(__xludf.DUMMYFUNCTION("""COMPUTED_VALUE"""),10)</f>
        <v>10</v>
      </c>
      <c r="M478" s="8" t="str">
        <f ca="1">IFERROR(__xludf.DUMMYFUNCTION("""COMPUTED_VALUE"""),"Regional")</f>
        <v>Regional</v>
      </c>
      <c r="N478" s="8">
        <f ca="1">IFERROR(__xludf.DUMMYFUNCTION("""COMPUTED_VALUE"""),4)</f>
        <v>4</v>
      </c>
      <c r="O478" s="8" t="str">
        <f ca="1">IFERROR(__xludf.DUMMYFUNCTION("""COMPUTED_VALUE"""),"Winter")</f>
        <v>Winter</v>
      </c>
      <c r="P478" s="8" t="str">
        <f ca="1">IFERROR(__xludf.DUMMYFUNCTION("""COMPUTED_VALUE"""),"Augusta")</f>
        <v>Augusta</v>
      </c>
      <c r="Q478" s="8" t="str">
        <f ca="1">IFERROR(__xludf.DUMMYFUNCTION("""COMPUTED_VALUE"""),"GA")</f>
        <v>GA</v>
      </c>
      <c r="R478" s="8" t="str">
        <f ca="1">IFERROR(__xludf.DUMMYFUNCTION("""COMPUTED_VALUE"""),"High")</f>
        <v>High</v>
      </c>
      <c r="S478" s="8" t="str">
        <f ca="1">IFERROR(__xludf.DUMMYFUNCTION("""COMPUTED_VALUE"""),"Bathroom")</f>
        <v>Bathroom</v>
      </c>
      <c r="T478" s="8" t="str">
        <f ca="1">IFERROR(__xludf.DUMMYFUNCTION("""COMPUTED_VALUE"""),"Inside School Building")</f>
        <v>Inside School Building</v>
      </c>
      <c r="U478" s="8" t="str">
        <f ca="1">IFERROR(__xludf.DUMMYFUNCTION("""COMPUTED_VALUE"""),"Yes")</f>
        <v>Yes</v>
      </c>
      <c r="V478" s="8" t="str">
        <f ca="1">IFERROR(__xludf.DUMMYFUNCTION("""COMPUTED_VALUE"""),"Morning Classes")</f>
        <v>Morning Classes</v>
      </c>
      <c r="W478" s="11">
        <f ca="1">IFERROR(__xludf.DUMMYFUNCTION("""COMPUTED_VALUE"""),0.416666666666666)</f>
        <v>0.41666666666666602</v>
      </c>
      <c r="X478" s="8">
        <f ca="1">IFERROR(__xludf.DUMMYFUNCTION("""COMPUTED_VALUE"""),1)</f>
        <v>1</v>
      </c>
      <c r="Y478" s="12" t="str">
        <f ca="1">IFERROR(__xludf.DUMMYFUNCTION("""COMPUTED_VALUE"""),"Student fired gun inside bathroom, identified by CCTV and arrested inside school")</f>
        <v>Student fired gun inside bathroom, identified by CCTV and arrested inside school</v>
      </c>
      <c r="Z478" s="12" t="str">
        <f ca="1">IFERROR(__xludf.DUMMYFUNCTION("""COMPUTED_VALUE"""),"Just before 10 a.m., Richmond County Sheriff's Office deputies responded to Laney High School for shots fired, according to a news release. Deputies were told at least one gunshot was fired in a restroom inside the school, according to the release. After "&amp;"reviewing video from inside the school, deputies located and detained the students responsible for the shooting.")</f>
        <v>Just before 10 a.m., Richmond County Sheriff's Office deputies responded to Laney High School for shots fired, according to a news release. Deputies were told at least one gunshot was fired in a restroom inside the school, according to the release. After reviewing video from inside the school, deputies located and detained the students responsible for the shooting.</v>
      </c>
      <c r="AA478" s="8"/>
      <c r="AB478" s="8"/>
      <c r="AC478" s="8" t="str">
        <f ca="1">IFERROR(__xludf.DUMMYFUNCTION("""COMPUTED_VALUE"""),"Yes")</f>
        <v>Yes</v>
      </c>
      <c r="AD478" s="8"/>
      <c r="AE478" s="8" t="str">
        <f ca="1">IFERROR(__xludf.DUMMYFUNCTION("""COMPUTED_VALUE"""),"Yes")</f>
        <v>Yes</v>
      </c>
      <c r="AF478" s="8" t="str">
        <f ca="1">IFERROR(__xludf.DUMMYFUNCTION("""COMPUTED_VALUE"""),"Two students arrested")</f>
        <v>Two students arrested</v>
      </c>
      <c r="AG478" s="8" t="str">
        <f ca="1">IFERROR(__xludf.DUMMYFUNCTION("""COMPUTED_VALUE"""),"No")</f>
        <v>No</v>
      </c>
      <c r="AH478" s="8" t="str">
        <f ca="1">IFERROR(__xludf.DUMMYFUNCTION("""COMPUTED_VALUE"""),"No")</f>
        <v>No</v>
      </c>
      <c r="AI478" s="8" t="str">
        <f ca="1">IFERROR(__xludf.DUMMYFUNCTION("""COMPUTED_VALUE"""),"No")</f>
        <v>No</v>
      </c>
      <c r="AJ478" s="8" t="str">
        <f ca="1">IFERROR(__xludf.DUMMYFUNCTION("""COMPUTED_VALUE"""),"No")</f>
        <v>No</v>
      </c>
      <c r="AK478" s="8" t="str">
        <f ca="1">IFERROR(__xludf.DUMMYFUNCTION("""COMPUTED_VALUE"""),"No")</f>
        <v>No</v>
      </c>
      <c r="AL478" s="8" t="str">
        <f ca="1">IFERROR(__xludf.DUMMYFUNCTION("""COMPUTED_VALUE"""),"No")</f>
        <v>No</v>
      </c>
      <c r="AM478" s="8" t="str">
        <f ca="1">IFERROR(__xludf.DUMMYFUNCTION("""COMPUTED_VALUE"""),"No")</f>
        <v>No</v>
      </c>
      <c r="AN478" s="8" t="str">
        <f ca="1">IFERROR(__xludf.DUMMYFUNCTION("""COMPUTED_VALUE"""),"Single Room")</f>
        <v>Single Room</v>
      </c>
      <c r="AO478" s="8" t="str">
        <f ca="1">IFERROR(__xludf.DUMMYFUNCTION("""COMPUTED_VALUE"""),"No")</f>
        <v>No</v>
      </c>
      <c r="AP478" s="8"/>
      <c r="AQ478" s="8"/>
      <c r="AR478" s="8" t="str">
        <f ca="1">IFERROR(__xludf.DUMMYFUNCTION("""COMPUTED_VALUE"""),"Outside/Off-Property")</f>
        <v>Outside/Off-Property</v>
      </c>
      <c r="AS478" s="8">
        <f ca="1">IFERROR(__xludf.DUMMYFUNCTION("""COMPUTED_VALUE"""),1)</f>
        <v>1</v>
      </c>
      <c r="AT478" s="8" t="str">
        <f ca="1">IFERROR(__xludf.DUMMYFUNCTION("""COMPUTED_VALUE"""),"Yes")</f>
        <v>Yes</v>
      </c>
      <c r="AU478" s="8">
        <f ca="1">IFERROR(__xludf.DUMMYFUNCTION("""COMPUTED_VALUE"""),33.467226)</f>
        <v>33.467225999999997</v>
      </c>
      <c r="AV478" s="8">
        <f ca="1">IFERROR(__xludf.DUMMYFUNCTION("""COMPUTED_VALUE"""),-81.982488)</f>
        <v>-81.982488000000004</v>
      </c>
      <c r="AW478" s="8" t="str">
        <f ca="1">IFERROR(__xludf.DUMMYFUNCTION("""COMPUTED_VALUE"""),"Multiple detached buildings")</f>
        <v>Multiple detached buildings</v>
      </c>
      <c r="AX478" s="8">
        <f ca="1">IFERROR(__xludf.DUMMYFUNCTION("""COMPUTED_VALUE"""),30912)</f>
        <v>30912</v>
      </c>
    </row>
    <row r="479" spans="1:50" ht="150" x14ac:dyDescent="0.2">
      <c r="A479" s="8" t="str">
        <f ca="1">IFERROR(__xludf.DUMMYFUNCTION("""COMPUTED_VALUE"""),"20240202AZLAA")</f>
        <v>20240202AZLAA</v>
      </c>
      <c r="B479" s="8">
        <f ca="1">IFERROR(__xludf.DUMMYFUNCTION("""COMPUTED_VALUE"""),2)</f>
        <v>2</v>
      </c>
      <c r="C479" s="8">
        <f ca="1">IFERROR(__xludf.DUMMYFUNCTION("""COMPUTED_VALUE"""),2)</f>
        <v>2</v>
      </c>
      <c r="D479" s="8">
        <f ca="1">IFERROR(__xludf.DUMMYFUNCTION("""COMPUTED_VALUE"""),2024)</f>
        <v>2024</v>
      </c>
      <c r="E479" s="9">
        <f ca="1">IFERROR(__xludf.DUMMYFUNCTION("""COMPUTED_VALUE"""),45324)</f>
        <v>45324</v>
      </c>
      <c r="F479" s="8" t="str">
        <f ca="1">IFERROR(__xludf.DUMMYFUNCTION("""COMPUTED_VALUE"""),"La Joya Community High School")</f>
        <v>La Joya Community High School</v>
      </c>
      <c r="G479" s="8">
        <f ca="1">IFERROR(__xludf.DUMMYFUNCTION("""COMPUTED_VALUE"""),0)</f>
        <v>0</v>
      </c>
      <c r="H479" s="8">
        <f ca="1">IFERROR(__xludf.DUMMYFUNCTION("""COMPUTED_VALUE"""),0)</f>
        <v>0</v>
      </c>
      <c r="I479" s="8">
        <f ca="1">IFERROR(__xludf.DUMMYFUNCTION("""COMPUTED_VALUE"""),0)</f>
        <v>0</v>
      </c>
      <c r="J479" s="8">
        <f ca="1">IFERROR(__xludf.DUMMYFUNCTION("""COMPUTED_VALUE"""),0)</f>
        <v>0</v>
      </c>
      <c r="K479" s="8" t="str">
        <f ca="1">IFERROR(__xludf.DUMMYFUNCTION("""COMPUTED_VALUE"""),"https://www.azfamily.com/2024/02/02/2-students-arrested-allegedly-waiving-gun-outside-high-school-avondale/
https://www.abc15.com/news/region-west-valley/avondale/two-students-arrested-at-avondale-school-after-being-seen-waving-gun")</f>
        <v>https://www.azfamily.com/2024/02/02/2-students-arrested-allegedly-waiving-gun-outside-high-school-avondale/
https://www.abc15.com/news/region-west-valley/avondale/two-students-arrested-at-avondale-school-after-being-seen-waving-gun</v>
      </c>
      <c r="L479" s="8">
        <f ca="1">IFERROR(__xludf.DUMMYFUNCTION("""COMPUTED_VALUE"""),5)</f>
        <v>5</v>
      </c>
      <c r="M479" s="8" t="str">
        <f ca="1">IFERROR(__xludf.DUMMYFUNCTION("""COMPUTED_VALUE"""),"Regional")</f>
        <v>Regional</v>
      </c>
      <c r="N479" s="8">
        <f ca="1">IFERROR(__xludf.DUMMYFUNCTION("""COMPUTED_VALUE"""),4)</f>
        <v>4</v>
      </c>
      <c r="O479" s="8" t="str">
        <f ca="1">IFERROR(__xludf.DUMMYFUNCTION("""COMPUTED_VALUE"""),"Winter")</f>
        <v>Winter</v>
      </c>
      <c r="P479" s="8" t="str">
        <f ca="1">IFERROR(__xludf.DUMMYFUNCTION("""COMPUTED_VALUE"""),"Avondale")</f>
        <v>Avondale</v>
      </c>
      <c r="Q479" s="8" t="str">
        <f ca="1">IFERROR(__xludf.DUMMYFUNCTION("""COMPUTED_VALUE"""),"AZ")</f>
        <v>AZ</v>
      </c>
      <c r="R479" s="8" t="str">
        <f ca="1">IFERROR(__xludf.DUMMYFUNCTION("""COMPUTED_VALUE"""),"High")</f>
        <v>High</v>
      </c>
      <c r="S479" s="8" t="str">
        <f ca="1">IFERROR(__xludf.DUMMYFUNCTION("""COMPUTED_VALUE"""),"Parking Lot")</f>
        <v>Parking Lot</v>
      </c>
      <c r="T479" s="8" t="str">
        <f ca="1">IFERROR(__xludf.DUMMYFUNCTION("""COMPUTED_VALUE"""),"Outside on School Property")</f>
        <v>Outside on School Property</v>
      </c>
      <c r="U479" s="8" t="str">
        <f ca="1">IFERROR(__xludf.DUMMYFUNCTION("""COMPUTED_VALUE"""),"Yes")</f>
        <v>Yes</v>
      </c>
      <c r="V479" s="8" t="str">
        <f ca="1">IFERROR(__xludf.DUMMYFUNCTION("""COMPUTED_VALUE"""),"School Start")</f>
        <v>School Start</v>
      </c>
      <c r="W479" s="11">
        <f ca="1">IFERROR(__xludf.DUMMYFUNCTION("""COMPUTED_VALUE"""),0.319444444444444)</f>
        <v>0.31944444444444398</v>
      </c>
      <c r="X479" s="8">
        <f ca="1">IFERROR(__xludf.DUMMYFUNCTION("""COMPUTED_VALUE"""),1)</f>
        <v>1</v>
      </c>
      <c r="Y479" s="12" t="str">
        <f ca="1">IFERROR(__xludf.DUMMYFUNCTION("""COMPUTED_VALUE"""),"Two students arrested after pointing gun in school parking lot")</f>
        <v>Two students arrested after pointing gun in school parking lot</v>
      </c>
      <c r="Z479" s="12" t="str">
        <f ca="1">IFERROR(__xludf.DUMMYFUNCTION("""COMPUTED_VALUE"""),"Two students were arrested Friday morning after Avondale police say they waved a gun in front of their high school. Around 7:40 a.m., police were notified that two students were waving a gun from inside a car outside La Joya Community High School, located"&amp;" on Avondale Boulevard near Lower Buckeye Road. Police say school staff identified the students involved, and officers then searched the car they arrived in. A handgun was recovered from inside the car. Officers then took the two students, both under the "&amp;"age of 18, into custody for weapons violations. ")</f>
        <v xml:space="preserve">Two students were arrested Friday morning after Avondale police say they waved a gun in front of their high school. Around 7:40 a.m., police were notified that two students were waving a gun from inside a car outside La Joya Community High School, located on Avondale Boulevard near Lower Buckeye Road. Police say school staff identified the students involved, and officers then searched the car they arrived in. A handgun was recovered from inside the car. Officers then took the two students, both under the age of 18, into custody for weapons violations. </v>
      </c>
      <c r="AA479" s="8"/>
      <c r="AB479" s="8"/>
      <c r="AC479" s="8" t="str">
        <f ca="1">IFERROR(__xludf.DUMMYFUNCTION("""COMPUTED_VALUE"""),"Yes")</f>
        <v>Yes</v>
      </c>
      <c r="AD479" s="8" t="str">
        <f ca="1">IFERROR(__xludf.DUMMYFUNCTION("""COMPUTED_VALUE"""),"Neither")</f>
        <v>Neither</v>
      </c>
      <c r="AE479" s="8" t="str">
        <f ca="1">IFERROR(__xludf.DUMMYFUNCTION("""COMPUTED_VALUE"""),"Yes")</f>
        <v>Yes</v>
      </c>
      <c r="AF479" s="8" t="str">
        <f ca="1">IFERROR(__xludf.DUMMYFUNCTION("""COMPUTED_VALUE"""),"Two students")</f>
        <v>Two students</v>
      </c>
      <c r="AG479" s="8" t="str">
        <f ca="1">IFERROR(__xludf.DUMMYFUNCTION("""COMPUTED_VALUE"""),"No")</f>
        <v>No</v>
      </c>
      <c r="AH479" s="8" t="str">
        <f ca="1">IFERROR(__xludf.DUMMYFUNCTION("""COMPUTED_VALUE"""),"No")</f>
        <v>No</v>
      </c>
      <c r="AI479" s="8" t="str">
        <f ca="1">IFERROR(__xludf.DUMMYFUNCTION("""COMPUTED_VALUE"""),"No")</f>
        <v>No</v>
      </c>
      <c r="AJ479" s="8" t="str">
        <f ca="1">IFERROR(__xludf.DUMMYFUNCTION("""COMPUTED_VALUE"""),"No")</f>
        <v>No</v>
      </c>
      <c r="AK479" s="8" t="str">
        <f ca="1">IFERROR(__xludf.DUMMYFUNCTION("""COMPUTED_VALUE"""),"No")</f>
        <v>No</v>
      </c>
      <c r="AL479" s="8"/>
      <c r="AM479" s="8" t="str">
        <f ca="1">IFERROR(__xludf.DUMMYFUNCTION("""COMPUTED_VALUE"""),"No")</f>
        <v>No</v>
      </c>
      <c r="AN479" s="8" t="str">
        <f ca="1">IFERROR(__xludf.DUMMYFUNCTION("""COMPUTED_VALUE"""),"Outside")</f>
        <v>Outside</v>
      </c>
      <c r="AO479" s="8" t="str">
        <f ca="1">IFERROR(__xludf.DUMMYFUNCTION("""COMPUTED_VALUE"""),"No")</f>
        <v>No</v>
      </c>
      <c r="AP479" s="8"/>
      <c r="AQ479" s="8"/>
      <c r="AR479" s="8" t="str">
        <f ca="1">IFERROR(__xludf.DUMMYFUNCTION("""COMPUTED_VALUE"""),"Outside/Off-Property")</f>
        <v>Outside/Off-Property</v>
      </c>
      <c r="AS479" s="8">
        <f ca="1">IFERROR(__xludf.DUMMYFUNCTION("""COMPUTED_VALUE"""),0)</f>
        <v>0</v>
      </c>
      <c r="AT479" s="8" t="str">
        <f ca="1">IFERROR(__xludf.DUMMYFUNCTION("""COMPUTED_VALUE"""),"Yes")</f>
        <v>Yes</v>
      </c>
      <c r="AU479" s="8">
        <f ca="1">IFERROR(__xludf.DUMMYFUNCTION("""COMPUTED_VALUE"""),33.425171)</f>
        <v>33.425170999999999</v>
      </c>
      <c r="AV479" s="8">
        <f ca="1">IFERROR(__xludf.DUMMYFUNCTION("""COMPUTED_VALUE"""),-112.310181)</f>
        <v>-112.310181</v>
      </c>
      <c r="AW479" s="8" t="str">
        <f ca="1">IFERROR(__xludf.DUMMYFUNCTION("""COMPUTED_VALUE"""),"Multiple detached buildings")</f>
        <v>Multiple detached buildings</v>
      </c>
      <c r="AX479" s="8">
        <f ca="1">IFERROR(__xludf.DUMMYFUNCTION("""COMPUTED_VALUE"""),85323)</f>
        <v>85323</v>
      </c>
    </row>
    <row r="480" spans="1:50" ht="165" x14ac:dyDescent="0.2">
      <c r="A480" s="8" t="str">
        <f ca="1">IFERROR(__xludf.DUMMYFUNCTION("""COMPUTED_VALUE"""),"20240201TNHAN")</f>
        <v>20240201TNHAN</v>
      </c>
      <c r="B480" s="8">
        <f ca="1">IFERROR(__xludf.DUMMYFUNCTION("""COMPUTED_VALUE"""),2)</f>
        <v>2</v>
      </c>
      <c r="C480" s="8">
        <f ca="1">IFERROR(__xludf.DUMMYFUNCTION("""COMPUTED_VALUE"""),1)</f>
        <v>1</v>
      </c>
      <c r="D480" s="8">
        <f ca="1">IFERROR(__xludf.DUMMYFUNCTION("""COMPUTED_VALUE"""),2024)</f>
        <v>2024</v>
      </c>
      <c r="E480" s="9">
        <f ca="1">IFERROR(__xludf.DUMMYFUNCTION("""COMPUTED_VALUE"""),45323)</f>
        <v>45323</v>
      </c>
      <c r="F480" s="8" t="str">
        <f ca="1">IFERROR(__xludf.DUMMYFUNCTION("""COMPUTED_VALUE"""),"Haynes Middle School")</f>
        <v>Haynes Middle School</v>
      </c>
      <c r="G480" s="8">
        <f ca="1">IFERROR(__xludf.DUMMYFUNCTION("""COMPUTED_VALUE"""),0)</f>
        <v>0</v>
      </c>
      <c r="H480" s="8">
        <f ca="1">IFERROR(__xludf.DUMMYFUNCTION("""COMPUTED_VALUE"""),0)</f>
        <v>0</v>
      </c>
      <c r="I480" s="8">
        <f ca="1">IFERROR(__xludf.DUMMYFUNCTION("""COMPUTED_VALUE"""),0)</f>
        <v>0</v>
      </c>
      <c r="J480" s="8">
        <f ca="1">IFERROR(__xludf.DUMMYFUNCTION("""COMPUTED_VALUE"""),0)</f>
        <v>0</v>
      </c>
      <c r="K480" s="10" t="str">
        <f ca="1">IFERROR(__xludf.DUMMYFUNCTION("""COMPUTED_VALUE"""),"https://www.wsmv.com/2024/01/31/8th-grader-allegedly-confronted-classmate-with-gun-fired-shot-outside-haynes-middle-school/")</f>
        <v>https://www.wsmv.com/2024/01/31/8th-grader-allegedly-confronted-classmate-with-gun-fired-shot-outside-haynes-middle-school/</v>
      </c>
      <c r="L480" s="8">
        <f ca="1">IFERROR(__xludf.DUMMYFUNCTION("""COMPUTED_VALUE"""),5)</f>
        <v>5</v>
      </c>
      <c r="M480" s="8" t="str">
        <f ca="1">IFERROR(__xludf.DUMMYFUNCTION("""COMPUTED_VALUE"""),"Local")</f>
        <v>Local</v>
      </c>
      <c r="N480" s="8">
        <f ca="1">IFERROR(__xludf.DUMMYFUNCTION("""COMPUTED_VALUE"""),4)</f>
        <v>4</v>
      </c>
      <c r="O480" s="8" t="str">
        <f ca="1">IFERROR(__xludf.DUMMYFUNCTION("""COMPUTED_VALUE"""),"Winter")</f>
        <v>Winter</v>
      </c>
      <c r="P480" s="8" t="str">
        <f ca="1">IFERROR(__xludf.DUMMYFUNCTION("""COMPUTED_VALUE"""),"Nashville")</f>
        <v>Nashville</v>
      </c>
      <c r="Q480" s="8" t="str">
        <f ca="1">IFERROR(__xludf.DUMMYFUNCTION("""COMPUTED_VALUE"""),"TN")</f>
        <v>TN</v>
      </c>
      <c r="R480" s="8" t="str">
        <f ca="1">IFERROR(__xludf.DUMMYFUNCTION("""COMPUTED_VALUE"""),"Middle")</f>
        <v>Middle</v>
      </c>
      <c r="S480" s="8" t="str">
        <f ca="1">IFERROR(__xludf.DUMMYFUNCTION("""COMPUTED_VALUE"""),"Bathroom")</f>
        <v>Bathroom</v>
      </c>
      <c r="T480" s="8" t="str">
        <f ca="1">IFERROR(__xludf.DUMMYFUNCTION("""COMPUTED_VALUE"""),"Inside School Building")</f>
        <v>Inside School Building</v>
      </c>
      <c r="U480" s="8" t="str">
        <f ca="1">IFERROR(__xludf.DUMMYFUNCTION("""COMPUTED_VALUE"""),"Yes")</f>
        <v>Yes</v>
      </c>
      <c r="V480" s="8" t="str">
        <f ca="1">IFERROR(__xludf.DUMMYFUNCTION("""COMPUTED_VALUE"""),"Morning Classes")</f>
        <v>Morning Classes</v>
      </c>
      <c r="W480" s="8"/>
      <c r="X480" s="8">
        <f ca="1">IFERROR(__xludf.DUMMYFUNCTION("""COMPUTED_VALUE"""),1)</f>
        <v>1</v>
      </c>
      <c r="Y480" s="12" t="str">
        <f ca="1">IFERROR(__xludf.DUMMYFUNCTION("""COMPUTED_VALUE"""),"Student pointed gun at classmate inside bathroom, chased him through building, fired shot outside")</f>
        <v>Student pointed gun at classmate inside bathroom, chased him through building, fired shot outside</v>
      </c>
      <c r="Z480" s="12" t="str">
        <f ca="1">IFERROR(__xludf.DUMMYFUNCTION("""COMPUTED_VALUE"""),"The two students were reportedly involved in a fight last week. On Wednesday, the 13-year-old brought a gun to school and confronted the 14-year-old in a restroom, police said. The 14-year-old fled and ran outside of the school to get away. The 13-year-ol"&amp;"d also ran out of the school and admitted to officers that he fired a shot from his pistol once outside. He then fled into some nearby woods behind the school. He was eventually taken into custody unarmed near Liberia Street. The gun was later recovered i"&amp;"n the woods with assistance from an ATF K-9. Shooter and victim had recently been involved in fight.")</f>
        <v>The two students were reportedly involved in a fight last week. On Wednesday, the 13-year-old brought a gun to school and confronted the 14-year-old in a restroom, police said. The 14-year-old fled and ran outside of the school to get away. The 13-year-old also ran out of the school and admitted to officers that he fired a shot from his pistol once outside. He then fled into some nearby woods behind the school. He was eventually taken into custody unarmed near Liberia Street. The gun was later recovered in the woods with assistance from an ATF K-9. Shooter and victim had recently been involved in fight.</v>
      </c>
      <c r="AA480" s="8" t="str">
        <f ca="1">IFERROR(__xludf.DUMMYFUNCTION("""COMPUTED_VALUE"""),"Escalation of Dispute")</f>
        <v>Escalation of Dispute</v>
      </c>
      <c r="AB480" s="8" t="str">
        <f ca="1">IFERROR(__xludf.DUMMYFUNCTION("""COMPUTED_VALUE"""),"Targeted")</f>
        <v>Targeted</v>
      </c>
      <c r="AC480" s="8" t="str">
        <f ca="1">IFERROR(__xludf.DUMMYFUNCTION("""COMPUTED_VALUE"""),"Yes")</f>
        <v>Yes</v>
      </c>
      <c r="AD480" s="8" t="str">
        <f ca="1">IFERROR(__xludf.DUMMYFUNCTION("""COMPUTED_VALUE"""),"Victims Targeted")</f>
        <v>Victims Targeted</v>
      </c>
      <c r="AE480" s="8" t="str">
        <f ca="1">IFERROR(__xludf.DUMMYFUNCTION("""COMPUTED_VALUE"""),"No")</f>
        <v>No</v>
      </c>
      <c r="AF480" s="8"/>
      <c r="AG480" s="8" t="str">
        <f ca="1">IFERROR(__xludf.DUMMYFUNCTION("""COMPUTED_VALUE"""),"No")</f>
        <v>No</v>
      </c>
      <c r="AH480" s="8" t="str">
        <f ca="1">IFERROR(__xludf.DUMMYFUNCTION("""COMPUTED_VALUE"""),"No")</f>
        <v>No</v>
      </c>
      <c r="AI480" s="8" t="str">
        <f ca="1">IFERROR(__xludf.DUMMYFUNCTION("""COMPUTED_VALUE"""),"No")</f>
        <v>No</v>
      </c>
      <c r="AJ480" s="8"/>
      <c r="AK480" s="8" t="str">
        <f ca="1">IFERROR(__xludf.DUMMYFUNCTION("""COMPUTED_VALUE"""),"No")</f>
        <v>No</v>
      </c>
      <c r="AL480" s="8" t="str">
        <f ca="1">IFERROR(__xludf.DUMMYFUNCTION("""COMPUTED_VALUE"""),"No")</f>
        <v>No</v>
      </c>
      <c r="AM480" s="8" t="str">
        <f ca="1">IFERROR(__xludf.DUMMYFUNCTION("""COMPUTED_VALUE"""),"No")</f>
        <v>No</v>
      </c>
      <c r="AN480" s="8" t="str">
        <f ca="1">IFERROR(__xludf.DUMMYFUNCTION("""COMPUTED_VALUE"""),"Hallway")</f>
        <v>Hallway</v>
      </c>
      <c r="AO480" s="8" t="str">
        <f ca="1">IFERROR(__xludf.DUMMYFUNCTION("""COMPUTED_VALUE"""),"No")</f>
        <v>No</v>
      </c>
      <c r="AP480" s="8"/>
      <c r="AQ480" s="8"/>
      <c r="AR480" s="8" t="str">
        <f ca="1">IFERROR(__xludf.DUMMYFUNCTION("""COMPUTED_VALUE"""),"Outside/Off-Property")</f>
        <v>Outside/Off-Property</v>
      </c>
      <c r="AS480" s="8">
        <f ca="1">IFERROR(__xludf.DUMMYFUNCTION("""COMPUTED_VALUE"""),1)</f>
        <v>1</v>
      </c>
      <c r="AT480" s="8" t="str">
        <f ca="1">IFERROR(__xludf.DUMMYFUNCTION("""COMPUTED_VALUE"""),"Yes")</f>
        <v>Yes</v>
      </c>
      <c r="AU480" s="8">
        <f ca="1">IFERROR(__xludf.DUMMYFUNCTION("""COMPUTED_VALUE"""),36.207829)</f>
        <v>36.207828999999997</v>
      </c>
      <c r="AV480" s="8">
        <f ca="1">IFERROR(__xludf.DUMMYFUNCTION("""COMPUTED_VALUE"""),-86.788703)</f>
        <v>-86.788702999999998</v>
      </c>
      <c r="AW480" s="8" t="str">
        <f ca="1">IFERROR(__xludf.DUMMYFUNCTION("""COMPUTED_VALUE"""),"Single building indoor hallway")</f>
        <v>Single building indoor hallway</v>
      </c>
      <c r="AX480" s="8">
        <f ca="1">IFERROR(__xludf.DUMMYFUNCTION("""COMPUTED_VALUE"""),37207)</f>
        <v>37207</v>
      </c>
    </row>
    <row r="481" spans="1:50" ht="120" x14ac:dyDescent="0.2">
      <c r="A481" s="8" t="str">
        <f ca="1">IFERROR(__xludf.DUMMYFUNCTION("""COMPUTED_VALUE"""),"20240201GAMCP")</f>
        <v>20240201GAMCP</v>
      </c>
      <c r="B481" s="8">
        <f ca="1">IFERROR(__xludf.DUMMYFUNCTION("""COMPUTED_VALUE"""),2)</f>
        <v>2</v>
      </c>
      <c r="C481" s="8">
        <f ca="1">IFERROR(__xludf.DUMMYFUNCTION("""COMPUTED_VALUE"""),1)</f>
        <v>1</v>
      </c>
      <c r="D481" s="8">
        <f ca="1">IFERROR(__xludf.DUMMYFUNCTION("""COMPUTED_VALUE"""),2024)</f>
        <v>2024</v>
      </c>
      <c r="E481" s="9">
        <f ca="1">IFERROR(__xludf.DUMMYFUNCTION("""COMPUTED_VALUE"""),45323)</f>
        <v>45323</v>
      </c>
      <c r="F481" s="8" t="str">
        <f ca="1">IFERROR(__xludf.DUMMYFUNCTION("""COMPUTED_VALUE"""),"McEachern High School")</f>
        <v>McEachern High School</v>
      </c>
      <c r="G481" s="8">
        <f ca="1">IFERROR(__xludf.DUMMYFUNCTION("""COMPUTED_VALUE"""),0)</f>
        <v>0</v>
      </c>
      <c r="H481" s="8">
        <f ca="1">IFERROR(__xludf.DUMMYFUNCTION("""COMPUTED_VALUE"""),2)</f>
        <v>2</v>
      </c>
      <c r="I481" s="8">
        <f ca="1">IFERROR(__xludf.DUMMYFUNCTION("""COMPUTED_VALUE"""),2)</f>
        <v>2</v>
      </c>
      <c r="J481" s="8">
        <f ca="1">IFERROR(__xludf.DUMMYFUNCTION("""COMPUTED_VALUE"""),0)</f>
        <v>0</v>
      </c>
      <c r="K481" s="8" t="str">
        <f ca="1">IFERROR(__xludf.DUMMYFUNCTION("""COMPUTED_VALUE"""),"https://www.wsbtv.com/news/local/cobb-county/teen-arrested-after-shooting-mceachern-high-school-both-shooters-idd-students/ESR2WZ2JBJGPVOTIUZODMBLFDQ/
https://www.fox5atlanta.com/news/mceachern-high-school-shooting-investigation-17-year-old-arrested-accus"&amp;"ed-of-opening-fire
https://www.fox5atlanta.com/news/shooting-reported-at-mceachern-high-school-in-cobb-county
https://www.wsbtv.com/news/local/shooting-reported-mceachern-high-school-cobb-county/H76KNUXQNNDPTBKWDC2V6HV26I/?taid=65bbf143d020900001364cc4&amp;ut"&amp;"m_campaign=trueanthem&amp;utm_medium=trueanthem&amp;utm_source=twitter")</f>
        <v>https://www.wsbtv.com/news/local/cobb-county/teen-arrested-after-shooting-mceachern-high-school-both-shooters-idd-students/ESR2WZ2JBJGPVOTIUZODMBLFDQ/
https://www.fox5atlanta.com/news/mceachern-high-school-shooting-investigation-17-year-old-arrested-accused-of-opening-fire
https://www.fox5atlanta.com/news/shooting-reported-at-mceachern-high-school-in-cobb-county
https://www.wsbtv.com/news/local/shooting-reported-mceachern-high-school-cobb-county/H76KNUXQNNDPTBKWDC2V6HV26I/?taid=65bbf143d020900001364cc4&amp;utm_campaign=trueanthem&amp;utm_medium=trueanthem&amp;utm_source=twitter</v>
      </c>
      <c r="L481" s="8">
        <f ca="1">IFERROR(__xludf.DUMMYFUNCTION("""COMPUTED_VALUE"""),10)</f>
        <v>10</v>
      </c>
      <c r="M481" s="8" t="str">
        <f ca="1">IFERROR(__xludf.DUMMYFUNCTION("""COMPUTED_VALUE"""),"Regional")</f>
        <v>Regional</v>
      </c>
      <c r="N481" s="8">
        <f ca="1">IFERROR(__xludf.DUMMYFUNCTION("""COMPUTED_VALUE"""),4)</f>
        <v>4</v>
      </c>
      <c r="O481" s="8" t="str">
        <f ca="1">IFERROR(__xludf.DUMMYFUNCTION("""COMPUTED_VALUE"""),"Winter")</f>
        <v>Winter</v>
      </c>
      <c r="P481" s="8" t="str">
        <f ca="1">IFERROR(__xludf.DUMMYFUNCTION("""COMPUTED_VALUE"""),"Powder Springs")</f>
        <v>Powder Springs</v>
      </c>
      <c r="Q481" s="8" t="str">
        <f ca="1">IFERROR(__xludf.DUMMYFUNCTION("""COMPUTED_VALUE"""),"GA")</f>
        <v>GA</v>
      </c>
      <c r="R481" s="8" t="str">
        <f ca="1">IFERROR(__xludf.DUMMYFUNCTION("""COMPUTED_VALUE"""),"High")</f>
        <v>High</v>
      </c>
      <c r="S481" s="8" t="str">
        <f ca="1">IFERROR(__xludf.DUMMYFUNCTION("""COMPUTED_VALUE"""),"Parking Lot")</f>
        <v>Parking Lot</v>
      </c>
      <c r="T481" s="8" t="str">
        <f ca="1">IFERROR(__xludf.DUMMYFUNCTION("""COMPUTED_VALUE"""),"Outside on School Property")</f>
        <v>Outside on School Property</v>
      </c>
      <c r="U481" s="8" t="str">
        <f ca="1">IFERROR(__xludf.DUMMYFUNCTION("""COMPUTED_VALUE"""),"Yes")</f>
        <v>Yes</v>
      </c>
      <c r="V481" s="8" t="str">
        <f ca="1">IFERROR(__xludf.DUMMYFUNCTION("""COMPUTED_VALUE"""),"Afternoon Classes")</f>
        <v>Afternoon Classes</v>
      </c>
      <c r="W481" s="11">
        <f ca="1">IFERROR(__xludf.DUMMYFUNCTION("""COMPUTED_VALUE"""),0.574305555555555)</f>
        <v>0.57430555555555496</v>
      </c>
      <c r="X481" s="8">
        <f ca="1">IFERROR(__xludf.DUMMYFUNCTION("""COMPUTED_VALUE"""),1)</f>
        <v>1</v>
      </c>
      <c r="Y481" s="12" t="str">
        <f ca="1">IFERROR(__xludf.DUMMYFUNCTION("""COMPUTED_VALUE"""),"Two teens were shot in the school parking lot during an altercation")</f>
        <v>Two teens were shot in the school parking lot during an altercation</v>
      </c>
      <c r="Z481" s="12" t="str">
        <f ca="1">IFERROR(__xludf.DUMMYFUNCTION("""COMPUTED_VALUE"""),"Cobb County police confirmed two younger people, who are not students, were shot in the parking lot following some sort of argument or altercation. 20 teens were in the area when the shooting happened. Those two people, who have not yet been identified, w"&amp;"ere taken to the hospital with non-life-threatening injuries where authorities say they are expected to survive. Authorities say they do not know why the individuals were on campus. ")</f>
        <v xml:space="preserve">Cobb County police confirmed two younger people, who are not students, were shot in the parking lot following some sort of argument or altercation. 20 teens were in the area when the shooting happened. Those two people, who have not yet been identified, were taken to the hospital with non-life-threatening injuries where authorities say they are expected to survive. Authorities say they do not know why the individuals were on campus. </v>
      </c>
      <c r="AA481" s="8" t="str">
        <f ca="1">IFERROR(__xludf.DUMMYFUNCTION("""COMPUTED_VALUE"""),"Escalation of Dispute")</f>
        <v>Escalation of Dispute</v>
      </c>
      <c r="AB481" s="8" t="str">
        <f ca="1">IFERROR(__xludf.DUMMYFUNCTION("""COMPUTED_VALUE"""),"Spontaneous")</f>
        <v>Spontaneous</v>
      </c>
      <c r="AC481" s="8" t="str">
        <f ca="1">IFERROR(__xludf.DUMMYFUNCTION("""COMPUTED_VALUE"""),"Yes")</f>
        <v>Yes</v>
      </c>
      <c r="AD481" s="8" t="str">
        <f ca="1">IFERROR(__xludf.DUMMYFUNCTION("""COMPUTED_VALUE"""),"Victims Targeted")</f>
        <v>Victims Targeted</v>
      </c>
      <c r="AE481" s="8"/>
      <c r="AF481" s="8"/>
      <c r="AG481" s="8" t="str">
        <f ca="1">IFERROR(__xludf.DUMMYFUNCTION("""COMPUTED_VALUE"""),"No")</f>
        <v>No</v>
      </c>
      <c r="AH481" s="8" t="str">
        <f ca="1">IFERROR(__xludf.DUMMYFUNCTION("""COMPUTED_VALUE"""),"No")</f>
        <v>No</v>
      </c>
      <c r="AI481" s="8" t="str">
        <f ca="1">IFERROR(__xludf.DUMMYFUNCTION("""COMPUTED_VALUE"""),"No")</f>
        <v>No</v>
      </c>
      <c r="AJ481" s="8" t="str">
        <f ca="1">IFERROR(__xludf.DUMMYFUNCTION("""COMPUTED_VALUE"""),"No")</f>
        <v>No</v>
      </c>
      <c r="AK481" s="8" t="str">
        <f ca="1">IFERROR(__xludf.DUMMYFUNCTION("""COMPUTED_VALUE"""),"No")</f>
        <v>No</v>
      </c>
      <c r="AL481" s="8"/>
      <c r="AM481" s="8" t="str">
        <f ca="1">IFERROR(__xludf.DUMMYFUNCTION("""COMPUTED_VALUE"""),"No")</f>
        <v>No</v>
      </c>
      <c r="AN481" s="8" t="str">
        <f ca="1">IFERROR(__xludf.DUMMYFUNCTION("""COMPUTED_VALUE"""),"Outside")</f>
        <v>Outside</v>
      </c>
      <c r="AO481" s="8" t="str">
        <f ca="1">IFERROR(__xludf.DUMMYFUNCTION("""COMPUTED_VALUE"""),"No")</f>
        <v>No</v>
      </c>
      <c r="AP481" s="8"/>
      <c r="AQ481" s="8"/>
      <c r="AR481" s="8" t="str">
        <f ca="1">IFERROR(__xludf.DUMMYFUNCTION("""COMPUTED_VALUE"""),"Outside/Off-Property")</f>
        <v>Outside/Off-Property</v>
      </c>
      <c r="AS481" s="8">
        <f ca="1">IFERROR(__xludf.DUMMYFUNCTION("""COMPUTED_VALUE"""),99)</f>
        <v>99</v>
      </c>
      <c r="AT481" s="8" t="str">
        <f ca="1">IFERROR(__xludf.DUMMYFUNCTION("""COMPUTED_VALUE"""),"Yes")</f>
        <v>Yes</v>
      </c>
      <c r="AU481" s="8">
        <f ca="1">IFERROR(__xludf.DUMMYFUNCTION("""COMPUTED_VALUE"""),33.895578)</f>
        <v>33.895578</v>
      </c>
      <c r="AV481" s="8">
        <f ca="1">IFERROR(__xludf.DUMMYFUNCTION("""COMPUTED_VALUE"""),-84.676713)</f>
        <v>-84.676713000000007</v>
      </c>
      <c r="AW481" s="8" t="str">
        <f ca="1">IFERROR(__xludf.DUMMYFUNCTION("""COMPUTED_VALUE"""),"Multiple detached buildings")</f>
        <v>Multiple detached buildings</v>
      </c>
      <c r="AX481" s="8">
        <f ca="1">IFERROR(__xludf.DUMMYFUNCTION("""COMPUTED_VALUE"""),30127)</f>
        <v>30127</v>
      </c>
    </row>
    <row r="482" spans="1:50" ht="165" x14ac:dyDescent="0.2">
      <c r="A482" s="8" t="str">
        <f ca="1">IFERROR(__xludf.DUMMYFUNCTION("""COMPUTED_VALUE"""),"20240131CADUD")</f>
        <v>20240131CADUD</v>
      </c>
      <c r="B482" s="8">
        <f ca="1">IFERROR(__xludf.DUMMYFUNCTION("""COMPUTED_VALUE"""),1)</f>
        <v>1</v>
      </c>
      <c r="C482" s="8">
        <f ca="1">IFERROR(__xludf.DUMMYFUNCTION("""COMPUTED_VALUE"""),31)</f>
        <v>31</v>
      </c>
      <c r="D482" s="8">
        <f ca="1">IFERROR(__xludf.DUMMYFUNCTION("""COMPUTED_VALUE"""),2024)</f>
        <v>2024</v>
      </c>
      <c r="E482" s="9">
        <f ca="1">IFERROR(__xludf.DUMMYFUNCTION("""COMPUTED_VALUE"""),45322)</f>
        <v>45322</v>
      </c>
      <c r="F482" s="8" t="str">
        <f ca="1">IFERROR(__xludf.DUMMYFUNCTION("""COMPUTED_VALUE"""),"Dublin High School")</f>
        <v>Dublin High School</v>
      </c>
      <c r="G482" s="8">
        <f ca="1">IFERROR(__xludf.DUMMYFUNCTION("""COMPUTED_VALUE"""),0)</f>
        <v>0</v>
      </c>
      <c r="H482" s="8">
        <f ca="1">IFERROR(__xludf.DUMMYFUNCTION("""COMPUTED_VALUE"""),1)</f>
        <v>1</v>
      </c>
      <c r="I482" s="8">
        <f ca="1">IFERROR(__xludf.DUMMYFUNCTION("""COMPUTED_VALUE"""),1)</f>
        <v>1</v>
      </c>
      <c r="J482" s="8">
        <f ca="1">IFERROR(__xludf.DUMMYFUNCTION("""COMPUTED_VALUE"""),0)</f>
        <v>0</v>
      </c>
      <c r="K482" s="10" t="str">
        <f ca="1">IFERROR(__xludf.DUMMYFUNCTION("""COMPUTED_VALUE"""),"https://www.nbcbayarea.com/news/local/east-bay/dublin-school-district-lawsuit-orbeez-gun/3446087/")</f>
        <v>https://www.nbcbayarea.com/news/local/east-bay/dublin-school-district-lawsuit-orbeez-gun/3446087/</v>
      </c>
      <c r="L482" s="8">
        <f ca="1">IFERROR(__xludf.DUMMYFUNCTION("""COMPUTED_VALUE"""),1)</f>
        <v>1</v>
      </c>
      <c r="M482" s="8" t="str">
        <f ca="1">IFERROR(__xludf.DUMMYFUNCTION("""COMPUTED_VALUE"""),"Local")</f>
        <v>Local</v>
      </c>
      <c r="N482" s="8">
        <f ca="1">IFERROR(__xludf.DUMMYFUNCTION("""COMPUTED_VALUE"""),4)</f>
        <v>4</v>
      </c>
      <c r="O482" s="8" t="str">
        <f ca="1">IFERROR(__xludf.DUMMYFUNCTION("""COMPUTED_VALUE"""),"Winter")</f>
        <v>Winter</v>
      </c>
      <c r="P482" s="8" t="str">
        <f ca="1">IFERROR(__xludf.DUMMYFUNCTION("""COMPUTED_VALUE"""),"Dublin")</f>
        <v>Dublin</v>
      </c>
      <c r="Q482" s="8" t="str">
        <f ca="1">IFERROR(__xludf.DUMMYFUNCTION("""COMPUTED_VALUE"""),"CA")</f>
        <v>CA</v>
      </c>
      <c r="R482" s="8" t="str">
        <f ca="1">IFERROR(__xludf.DUMMYFUNCTION("""COMPUTED_VALUE"""),"High")</f>
        <v>High</v>
      </c>
      <c r="S482" s="8" t="str">
        <f ca="1">IFERROR(__xludf.DUMMYFUNCTION("""COMPUTED_VALUE"""),"Parking Lot")</f>
        <v>Parking Lot</v>
      </c>
      <c r="T482" s="8" t="str">
        <f ca="1">IFERROR(__xludf.DUMMYFUNCTION("""COMPUTED_VALUE"""),"Outside on School Property")</f>
        <v>Outside on School Property</v>
      </c>
      <c r="U482" s="8" t="str">
        <f ca="1">IFERROR(__xludf.DUMMYFUNCTION("""COMPUTED_VALUE"""),"Yes")</f>
        <v>Yes</v>
      </c>
      <c r="V482" s="8"/>
      <c r="W482" s="8"/>
      <c r="X482" s="8">
        <f ca="1">IFERROR(__xludf.DUMMYFUNCTION("""COMPUTED_VALUE"""),1)</f>
        <v>1</v>
      </c>
      <c r="Y482" s="12" t="str">
        <f ca="1">IFERROR(__xludf.DUMMYFUNCTION("""COMPUTED_VALUE"""),"Student shot in the eye with pellet gun during ""Senior Assassins"" game")</f>
        <v>Student shot in the eye with pellet gun during "Senior Assassins" game</v>
      </c>
      <c r="Z482" s="12" t="str">
        <f ca="1">IFERROR(__xludf.DUMMYFUNCTION("""COMPUTED_VALUE"""),"It happened in the school parking lot during the so called “assassins game” -- an unsanctioned competition amongst seniors that involves students using toy guns to shoot at other students. Last Wednesday, the victim, who does not want to be identified, wa"&amp;"s just sitting in her car in the school parking lot and was unfortunately on the receiving end of this dangerous game. Doctors have diagnosed her with blunt force trauma, and she says it’s unclear if she'll ever regain vision in her right eye. Now, a lawy"&amp;"er for the family says they're taking legal action against the Dublin Unified School District as the victim recovers from this life-changing injury.")</f>
        <v>It happened in the school parking lot during the so called “assassins game” -- an unsanctioned competition amongst seniors that involves students using toy guns to shoot at other students. Last Wednesday, the victim, who does not want to be identified, was just sitting in her car in the school parking lot and was unfortunately on the receiving end of this dangerous game. Doctors have diagnosed her with blunt force trauma, and she says it’s unclear if she'll ever regain vision in her right eye. Now, a lawyer for the family says they're taking legal action against the Dublin Unified School District as the victim recovers from this life-changing injury.</v>
      </c>
      <c r="AA482" s="8"/>
      <c r="AB482" s="8" t="str">
        <f ca="1">IFERROR(__xludf.DUMMYFUNCTION("""COMPUTED_VALUE"""),"Targeted")</f>
        <v>Targeted</v>
      </c>
      <c r="AC482" s="8" t="str">
        <f ca="1">IFERROR(__xludf.DUMMYFUNCTION("""COMPUTED_VALUE"""),"Yes")</f>
        <v>Yes</v>
      </c>
      <c r="AD482" s="8" t="str">
        <f ca="1">IFERROR(__xludf.DUMMYFUNCTION("""COMPUTED_VALUE"""),"Victims Targeted")</f>
        <v>Victims Targeted</v>
      </c>
      <c r="AE482" s="8" t="str">
        <f ca="1">IFERROR(__xludf.DUMMYFUNCTION("""COMPUTED_VALUE"""),"No")</f>
        <v>No</v>
      </c>
      <c r="AF482" s="8"/>
      <c r="AG482" s="8" t="str">
        <f ca="1">IFERROR(__xludf.DUMMYFUNCTION("""COMPUTED_VALUE"""),"No")</f>
        <v>No</v>
      </c>
      <c r="AH482" s="8" t="str">
        <f ca="1">IFERROR(__xludf.DUMMYFUNCTION("""COMPUTED_VALUE"""),"No")</f>
        <v>No</v>
      </c>
      <c r="AI482" s="8" t="str">
        <f ca="1">IFERROR(__xludf.DUMMYFUNCTION("""COMPUTED_VALUE"""),"No")</f>
        <v>No</v>
      </c>
      <c r="AJ482" s="8" t="str">
        <f ca="1">IFERROR(__xludf.DUMMYFUNCTION("""COMPUTED_VALUE"""),"No")</f>
        <v>No</v>
      </c>
      <c r="AK482" s="8" t="str">
        <f ca="1">IFERROR(__xludf.DUMMYFUNCTION("""COMPUTED_VALUE"""),"No")</f>
        <v>No</v>
      </c>
      <c r="AL482" s="8" t="str">
        <f ca="1">IFERROR(__xludf.DUMMYFUNCTION("""COMPUTED_VALUE"""),"No")</f>
        <v>No</v>
      </c>
      <c r="AM482" s="8" t="str">
        <f ca="1">IFERROR(__xludf.DUMMYFUNCTION("""COMPUTED_VALUE"""),"No")</f>
        <v>No</v>
      </c>
      <c r="AN482" s="8" t="str">
        <f ca="1">IFERROR(__xludf.DUMMYFUNCTION("""COMPUTED_VALUE"""),"Outside")</f>
        <v>Outside</v>
      </c>
      <c r="AO482" s="8" t="str">
        <f ca="1">IFERROR(__xludf.DUMMYFUNCTION("""COMPUTED_VALUE"""),"No")</f>
        <v>No</v>
      </c>
      <c r="AP482" s="8"/>
      <c r="AQ482" s="8"/>
      <c r="AR482" s="8" t="str">
        <f ca="1">IFERROR(__xludf.DUMMYFUNCTION("""COMPUTED_VALUE"""),"Outside/Off-Property")</f>
        <v>Outside/Off-Property</v>
      </c>
      <c r="AS482" s="8">
        <f ca="1">IFERROR(__xludf.DUMMYFUNCTION("""COMPUTED_VALUE"""),1)</f>
        <v>1</v>
      </c>
      <c r="AT482" s="8" t="str">
        <f ca="1">IFERROR(__xludf.DUMMYFUNCTION("""COMPUTED_VALUE"""),"No")</f>
        <v>No</v>
      </c>
      <c r="AU482" s="8">
        <f ca="1">IFERROR(__xludf.DUMMYFUNCTION("""COMPUTED_VALUE"""),37.720107)</f>
        <v>37.720106999999999</v>
      </c>
      <c r="AV482" s="8">
        <f ca="1">IFERROR(__xludf.DUMMYFUNCTION("""COMPUTED_VALUE"""),-121.924749)</f>
        <v>-121.92474900000001</v>
      </c>
      <c r="AW482" s="8" t="str">
        <f ca="1">IFERROR(__xludf.DUMMYFUNCTION("""COMPUTED_VALUE"""),"Multiple detached buildings")</f>
        <v>Multiple detached buildings</v>
      </c>
      <c r="AX482" s="8">
        <f ca="1">IFERROR(__xludf.DUMMYFUNCTION("""COMPUTED_VALUE"""),94568)</f>
        <v>94568</v>
      </c>
    </row>
    <row r="483" spans="1:50" ht="60" x14ac:dyDescent="0.2">
      <c r="A483" s="8" t="str">
        <f ca="1">IFERROR(__xludf.DUMMYFUNCTION("""COMPUTED_VALUE"""),"20240131ILCHC")</f>
        <v>20240131ILCHC</v>
      </c>
      <c r="B483" s="8">
        <f ca="1">IFERROR(__xludf.DUMMYFUNCTION("""COMPUTED_VALUE"""),1)</f>
        <v>1</v>
      </c>
      <c r="C483" s="8">
        <f ca="1">IFERROR(__xludf.DUMMYFUNCTION("""COMPUTED_VALUE"""),31)</f>
        <v>31</v>
      </c>
      <c r="D483" s="8">
        <f ca="1">IFERROR(__xludf.DUMMYFUNCTION("""COMPUTED_VALUE"""),2024)</f>
        <v>2024</v>
      </c>
      <c r="E483" s="9">
        <f ca="1">IFERROR(__xludf.DUMMYFUNCTION("""COMPUTED_VALUE"""),45322)</f>
        <v>45322</v>
      </c>
      <c r="F483" s="8" t="str">
        <f ca="1">IFERROR(__xludf.DUMMYFUNCTION("""COMPUTED_VALUE"""),"Chicago Friends School")</f>
        <v>Chicago Friends School</v>
      </c>
      <c r="G483" s="8">
        <f ca="1">IFERROR(__xludf.DUMMYFUNCTION("""COMPUTED_VALUE"""),1)</f>
        <v>1</v>
      </c>
      <c r="H483" s="8">
        <f ca="1">IFERROR(__xludf.DUMMYFUNCTION("""COMPUTED_VALUE"""),2)</f>
        <v>2</v>
      </c>
      <c r="I483" s="8">
        <f ca="1">IFERROR(__xludf.DUMMYFUNCTION("""COMPUTED_VALUE"""),3)</f>
        <v>3</v>
      </c>
      <c r="J483" s="8">
        <f ca="1">IFERROR(__xludf.DUMMYFUNCTION("""COMPUTED_VALUE"""),0)</f>
        <v>0</v>
      </c>
      <c r="K483" s="8" t="str">
        <f ca="1">IFERROR(__xludf.DUMMYFUNCTION("""COMPUTED_VALUE"""),"https://www.chicagotribune.com/2024/02/21/2-teens-charged-with-murder-in-deadly-shooting-near-senn-high-school/
https://www.nbcchicago.com/news/local/cfd-three-teens-wounded-in-shooting-near-senn-high-school-on-chicagos-far-north-side/3343531/
https://www"&amp;".cbsnews.com/chicago/news/cps-students-shot-broad-daylight-chicago-north-side/")</f>
        <v>https://www.chicagotribune.com/2024/02/21/2-teens-charged-with-murder-in-deadly-shooting-near-senn-high-school/
https://www.nbcchicago.com/news/local/cfd-three-teens-wounded-in-shooting-near-senn-high-school-on-chicagos-far-north-side/3343531/
https://www.cbsnews.com/chicago/news/cps-students-shot-broad-daylight-chicago-north-side/</v>
      </c>
      <c r="L483" s="8">
        <f ca="1">IFERROR(__xludf.DUMMYFUNCTION("""COMPUTED_VALUE"""),10)</f>
        <v>10</v>
      </c>
      <c r="M483" s="8" t="str">
        <f ca="1">IFERROR(__xludf.DUMMYFUNCTION("""COMPUTED_VALUE"""),"Regional")</f>
        <v>Regional</v>
      </c>
      <c r="N483" s="8">
        <f ca="1">IFERROR(__xludf.DUMMYFUNCTION("""COMPUTED_VALUE"""),4)</f>
        <v>4</v>
      </c>
      <c r="O483" s="8" t="str">
        <f ca="1">IFERROR(__xludf.DUMMYFUNCTION("""COMPUTED_VALUE"""),"Winter")</f>
        <v>Winter</v>
      </c>
      <c r="P483" s="8" t="str">
        <f ca="1">IFERROR(__xludf.DUMMYFUNCTION("""COMPUTED_VALUE"""),"Chicago")</f>
        <v>Chicago</v>
      </c>
      <c r="Q483" s="8" t="str">
        <f ca="1">IFERROR(__xludf.DUMMYFUNCTION("""COMPUTED_VALUE"""),"IL")</f>
        <v>IL</v>
      </c>
      <c r="R483" s="8" t="str">
        <f ca="1">IFERROR(__xludf.DUMMYFUNCTION("""COMPUTED_VALUE"""),"High")</f>
        <v>High</v>
      </c>
      <c r="S483" s="8" t="str">
        <f ca="1">IFERROR(__xludf.DUMMYFUNCTION("""COMPUTED_VALUE"""),"Front of School")</f>
        <v>Front of School</v>
      </c>
      <c r="T483" s="8" t="str">
        <f ca="1">IFERROR(__xludf.DUMMYFUNCTION("""COMPUTED_VALUE"""),"Outside on School Property")</f>
        <v>Outside on School Property</v>
      </c>
      <c r="U483" s="8" t="str">
        <f ca="1">IFERROR(__xludf.DUMMYFUNCTION("""COMPUTED_VALUE"""),"Yes")</f>
        <v>Yes</v>
      </c>
      <c r="V483" s="8" t="str">
        <f ca="1">IFERROR(__xludf.DUMMYFUNCTION("""COMPUTED_VALUE"""),"Dismissal")</f>
        <v>Dismissal</v>
      </c>
      <c r="W483" s="11">
        <f ca="1">IFERROR(__xludf.DUMMYFUNCTION("""COMPUTED_VALUE"""),0.645833333333333)</f>
        <v>0.64583333333333304</v>
      </c>
      <c r="X483" s="8">
        <f ca="1">IFERROR(__xludf.DUMMYFUNCTION("""COMPUTED_VALUE"""),1)</f>
        <v>1</v>
      </c>
      <c r="Y483" s="12" t="str">
        <f ca="1">IFERROR(__xludf.DUMMYFUNCTION("""COMPUTED_VALUE"""),"Three students shot in front of school by multiple teens in vehicle")</f>
        <v>Three students shot in front of school by multiple teens in vehicle</v>
      </c>
      <c r="Z483" s="12" t="str">
        <f ca="1">IFERROR(__xludf.DUMMYFUNCTION("""COMPUTED_VALUE"""),"Three teens were shot in front of the school by a group of teens who got out of a vehicle and opened fire. ")</f>
        <v xml:space="preserve">Three teens were shot in front of the school by a group of teens who got out of a vehicle and opened fire. </v>
      </c>
      <c r="AA483" s="8" t="str">
        <f ca="1">IFERROR(__xludf.DUMMYFUNCTION("""COMPUTED_VALUE"""),"Drive-by Shooting")</f>
        <v>Drive-by Shooting</v>
      </c>
      <c r="AB483" s="8" t="str">
        <f ca="1">IFERROR(__xludf.DUMMYFUNCTION("""COMPUTED_VALUE"""),"Targeted")</f>
        <v>Targeted</v>
      </c>
      <c r="AC483" s="8" t="str">
        <f ca="1">IFERROR(__xludf.DUMMYFUNCTION("""COMPUTED_VALUE"""),"Yes")</f>
        <v>Yes</v>
      </c>
      <c r="AD483" s="8" t="str">
        <f ca="1">IFERROR(__xludf.DUMMYFUNCTION("""COMPUTED_VALUE"""),"Victims Targeted")</f>
        <v>Victims Targeted</v>
      </c>
      <c r="AE483" s="8" t="str">
        <f ca="1">IFERROR(__xludf.DUMMYFUNCTION("""COMPUTED_VALUE"""),"Yes")</f>
        <v>Yes</v>
      </c>
      <c r="AF483" s="8" t="str">
        <f ca="1">IFERROR(__xludf.DUMMYFUNCTION("""COMPUTED_VALUE"""),"Multiple teen shooters")</f>
        <v>Multiple teen shooters</v>
      </c>
      <c r="AG483" s="8" t="str">
        <f ca="1">IFERROR(__xludf.DUMMYFUNCTION("""COMPUTED_VALUE"""),"No")</f>
        <v>No</v>
      </c>
      <c r="AH483" s="8" t="str">
        <f ca="1">IFERROR(__xludf.DUMMYFUNCTION("""COMPUTED_VALUE"""),"No")</f>
        <v>No</v>
      </c>
      <c r="AI483" s="8" t="str">
        <f ca="1">IFERROR(__xludf.DUMMYFUNCTION("""COMPUTED_VALUE"""),"No")</f>
        <v>No</v>
      </c>
      <c r="AJ483" s="8" t="str">
        <f ca="1">IFERROR(__xludf.DUMMYFUNCTION("""COMPUTED_VALUE"""),"No")</f>
        <v>No</v>
      </c>
      <c r="AK483" s="8" t="str">
        <f ca="1">IFERROR(__xludf.DUMMYFUNCTION("""COMPUTED_VALUE"""),"No")</f>
        <v>No</v>
      </c>
      <c r="AL483" s="8"/>
      <c r="AM483" s="8" t="str">
        <f ca="1">IFERROR(__xludf.DUMMYFUNCTION("""COMPUTED_VALUE"""),"No")</f>
        <v>No</v>
      </c>
      <c r="AN483" s="8" t="str">
        <f ca="1">IFERROR(__xludf.DUMMYFUNCTION("""COMPUTED_VALUE"""),"Outside")</f>
        <v>Outside</v>
      </c>
      <c r="AO483" s="8" t="str">
        <f ca="1">IFERROR(__xludf.DUMMYFUNCTION("""COMPUTED_VALUE"""),"No")</f>
        <v>No</v>
      </c>
      <c r="AP483" s="8"/>
      <c r="AQ483" s="8"/>
      <c r="AR483" s="8" t="str">
        <f ca="1">IFERROR(__xludf.DUMMYFUNCTION("""COMPUTED_VALUE"""),"Outside/Off-Property")</f>
        <v>Outside/Off-Property</v>
      </c>
      <c r="AS483" s="8">
        <f ca="1">IFERROR(__xludf.DUMMYFUNCTION("""COMPUTED_VALUE"""),99)</f>
        <v>99</v>
      </c>
      <c r="AT483" s="8"/>
      <c r="AU483" s="8">
        <f ca="1">IFERROR(__xludf.DUMMYFUNCTION("""COMPUTED_VALUE"""),41.989979)</f>
        <v>41.989978999999998</v>
      </c>
      <c r="AV483" s="8">
        <f ca="1">IFERROR(__xludf.DUMMYFUNCTION("""COMPUTED_VALUE"""),-87.661937)</f>
        <v>-87.661936999999995</v>
      </c>
      <c r="AW483" s="8" t="str">
        <f ca="1">IFERROR(__xludf.DUMMYFUNCTION("""COMPUTED_VALUE"""),"Urban Street Standalone")</f>
        <v>Urban Street Standalone</v>
      </c>
      <c r="AX483" s="8">
        <f ca="1">IFERROR(__xludf.DUMMYFUNCTION("""COMPUTED_VALUE"""),60660)</f>
        <v>60660</v>
      </c>
    </row>
    <row r="484" spans="1:50" ht="90" x14ac:dyDescent="0.2">
      <c r="A484" s="8" t="str">
        <f ca="1">IFERROR(__xludf.DUMMYFUNCTION("""COMPUTED_VALUE"""),"20240130TNBLM")</f>
        <v>20240130TNBLM</v>
      </c>
      <c r="B484" s="8">
        <f ca="1">IFERROR(__xludf.DUMMYFUNCTION("""COMPUTED_VALUE"""),1)</f>
        <v>1</v>
      </c>
      <c r="C484" s="8">
        <f ca="1">IFERROR(__xludf.DUMMYFUNCTION("""COMPUTED_VALUE"""),30)</f>
        <v>30</v>
      </c>
      <c r="D484" s="8">
        <f ca="1">IFERROR(__xludf.DUMMYFUNCTION("""COMPUTED_VALUE"""),2024)</f>
        <v>2024</v>
      </c>
      <c r="E484" s="9">
        <f ca="1">IFERROR(__xludf.DUMMYFUNCTION("""COMPUTED_VALUE"""),45321)</f>
        <v>45321</v>
      </c>
      <c r="F484" s="8" t="str">
        <f ca="1">IFERROR(__xludf.DUMMYFUNCTION("""COMPUTED_VALUE"""),"Blackman High School")</f>
        <v>Blackman High School</v>
      </c>
      <c r="G484" s="8">
        <f ca="1">IFERROR(__xludf.DUMMYFUNCTION("""COMPUTED_VALUE"""),0)</f>
        <v>0</v>
      </c>
      <c r="H484" s="8">
        <f ca="1">IFERROR(__xludf.DUMMYFUNCTION("""COMPUTED_VALUE"""),0)</f>
        <v>0</v>
      </c>
      <c r="I484" s="8">
        <f ca="1">IFERROR(__xludf.DUMMYFUNCTION("""COMPUTED_VALUE"""),0)</f>
        <v>0</v>
      </c>
      <c r="J484" s="8">
        <f ca="1">IFERROR(__xludf.DUMMYFUNCTION("""COMPUTED_VALUE"""),0)</f>
        <v>0</v>
      </c>
      <c r="K484" s="8" t="str">
        <f ca="1">IFERROR(__xludf.DUMMYFUNCTION("""COMPUTED_VALUE"""),"https://www.wsmv.com/2024/01/31/teen-brothers-arrested-after-firing-shots-during-fight-after-high-school-basketball-game/
https://www.wkrn.com/news/local-news/murfreesboro/shots-fired-near-blackman-high-school-parking-lot-after-basketball-game/")</f>
        <v>https://www.wsmv.com/2024/01/31/teen-brothers-arrested-after-firing-shots-during-fight-after-high-school-basketball-game/
https://www.wkrn.com/news/local-news/murfreesboro/shots-fired-near-blackman-high-school-parking-lot-after-basketball-game/</v>
      </c>
      <c r="L484" s="8">
        <f ca="1">IFERROR(__xludf.DUMMYFUNCTION("""COMPUTED_VALUE"""),5)</f>
        <v>5</v>
      </c>
      <c r="M484" s="8" t="str">
        <f ca="1">IFERROR(__xludf.DUMMYFUNCTION("""COMPUTED_VALUE"""),"Local")</f>
        <v>Local</v>
      </c>
      <c r="N484" s="8">
        <f ca="1">IFERROR(__xludf.DUMMYFUNCTION("""COMPUTED_VALUE"""),4)</f>
        <v>4</v>
      </c>
      <c r="O484" s="8" t="str">
        <f ca="1">IFERROR(__xludf.DUMMYFUNCTION("""COMPUTED_VALUE"""),"Winter")</f>
        <v>Winter</v>
      </c>
      <c r="P484" s="8" t="str">
        <f ca="1">IFERROR(__xludf.DUMMYFUNCTION("""COMPUTED_VALUE"""),"Murfreesboro")</f>
        <v>Murfreesboro</v>
      </c>
      <c r="Q484" s="8" t="str">
        <f ca="1">IFERROR(__xludf.DUMMYFUNCTION("""COMPUTED_VALUE"""),"TN")</f>
        <v>TN</v>
      </c>
      <c r="R484" s="8" t="str">
        <f ca="1">IFERROR(__xludf.DUMMYFUNCTION("""COMPUTED_VALUE"""),"High")</f>
        <v>High</v>
      </c>
      <c r="S484" s="8" t="str">
        <f ca="1">IFERROR(__xludf.DUMMYFUNCTION("""COMPUTED_VALUE"""),"Parking Lot")</f>
        <v>Parking Lot</v>
      </c>
      <c r="T484" s="8" t="str">
        <f ca="1">IFERROR(__xludf.DUMMYFUNCTION("""COMPUTED_VALUE"""),"Outside on School Property")</f>
        <v>Outside on School Property</v>
      </c>
      <c r="U484" s="8" t="str">
        <f ca="1">IFERROR(__xludf.DUMMYFUNCTION("""COMPUTED_VALUE"""),"No")</f>
        <v>No</v>
      </c>
      <c r="V484" s="8" t="str">
        <f ca="1">IFERROR(__xludf.DUMMYFUNCTION("""COMPUTED_VALUE"""),"Sport Event")</f>
        <v>Sport Event</v>
      </c>
      <c r="W484" s="11">
        <f ca="1">IFERROR(__xludf.DUMMYFUNCTION("""COMPUTED_VALUE"""),0.833333333333333)</f>
        <v>0.83333333333333304</v>
      </c>
      <c r="X484" s="8">
        <f ca="1">IFERROR(__xludf.DUMMYFUNCTION("""COMPUTED_VALUE"""),1)</f>
        <v>1</v>
      </c>
      <c r="Y484" s="12" t="str">
        <f ca="1">IFERROR(__xludf.DUMMYFUNCTION("""COMPUTED_VALUE"""),"Teen fired shots into air during fight in school parking lot outside basketball game")</f>
        <v>Teen fired shots into air during fight in school parking lot outside basketball game</v>
      </c>
      <c r="Z484" s="12" t="str">
        <f ca="1">IFERROR(__xludf.DUMMYFUNCTION("""COMPUTED_VALUE"""),"Two teen brothers were charged after shots were fired into the air during a fight after a high school basketball game Tuesday night in the Blackman High School parking lot, according to the Rutherford County Sheriff’s Office. RCSO said the brothers are fa"&amp;"cing several charges after one of them allegedly fired shots into the air during a fight.")</f>
        <v>Two teen brothers were charged after shots were fired into the air during a fight after a high school basketball game Tuesday night in the Blackman High School parking lot, according to the Rutherford County Sheriff’s Office. RCSO said the brothers are facing several charges after one of them allegedly fired shots into the air during a fight.</v>
      </c>
      <c r="AA484" s="8" t="str">
        <f ca="1">IFERROR(__xludf.DUMMYFUNCTION("""COMPUTED_VALUE"""),"Escalation of Dispute")</f>
        <v>Escalation of Dispute</v>
      </c>
      <c r="AB484" s="8" t="str">
        <f ca="1">IFERROR(__xludf.DUMMYFUNCTION("""COMPUTED_VALUE"""),"Spontaneous")</f>
        <v>Spontaneous</v>
      </c>
      <c r="AC484" s="8" t="str">
        <f ca="1">IFERROR(__xludf.DUMMYFUNCTION("""COMPUTED_VALUE"""),"Yes")</f>
        <v>Yes</v>
      </c>
      <c r="AD484" s="8" t="str">
        <f ca="1">IFERROR(__xludf.DUMMYFUNCTION("""COMPUTED_VALUE"""),"Neither")</f>
        <v>Neither</v>
      </c>
      <c r="AE484" s="8" t="str">
        <f ca="1">IFERROR(__xludf.DUMMYFUNCTION("""COMPUTED_VALUE"""),"Yes")</f>
        <v>Yes</v>
      </c>
      <c r="AF484" s="8" t="str">
        <f ca="1">IFERROR(__xludf.DUMMYFUNCTION("""COMPUTED_VALUE"""),"Two brothers")</f>
        <v>Two brothers</v>
      </c>
      <c r="AG484" s="8" t="str">
        <f ca="1">IFERROR(__xludf.DUMMYFUNCTION("""COMPUTED_VALUE"""),"No")</f>
        <v>No</v>
      </c>
      <c r="AH484" s="8" t="str">
        <f ca="1">IFERROR(__xludf.DUMMYFUNCTION("""COMPUTED_VALUE"""),"No")</f>
        <v>No</v>
      </c>
      <c r="AI484" s="8" t="str">
        <f ca="1">IFERROR(__xludf.DUMMYFUNCTION("""COMPUTED_VALUE"""),"No")</f>
        <v>No</v>
      </c>
      <c r="AJ484" s="8" t="str">
        <f ca="1">IFERROR(__xludf.DUMMYFUNCTION("""COMPUTED_VALUE"""),"No")</f>
        <v>No</v>
      </c>
      <c r="AK484" s="8" t="str">
        <f ca="1">IFERROR(__xludf.DUMMYFUNCTION("""COMPUTED_VALUE"""),"No")</f>
        <v>No</v>
      </c>
      <c r="AL484" s="8" t="str">
        <f ca="1">IFERROR(__xludf.DUMMYFUNCTION("""COMPUTED_VALUE"""),"No")</f>
        <v>No</v>
      </c>
      <c r="AM484" s="8" t="str">
        <f ca="1">IFERROR(__xludf.DUMMYFUNCTION("""COMPUTED_VALUE"""),"No")</f>
        <v>No</v>
      </c>
      <c r="AN484" s="8" t="str">
        <f ca="1">IFERROR(__xludf.DUMMYFUNCTION("""COMPUTED_VALUE"""),"Outside")</f>
        <v>Outside</v>
      </c>
      <c r="AO484" s="8" t="str">
        <f ca="1">IFERROR(__xludf.DUMMYFUNCTION("""COMPUTED_VALUE"""),"No")</f>
        <v>No</v>
      </c>
      <c r="AP484" s="8"/>
      <c r="AQ484" s="8"/>
      <c r="AR484" s="8" t="str">
        <f ca="1">IFERROR(__xludf.DUMMYFUNCTION("""COMPUTED_VALUE"""),"Outside/Off-Property")</f>
        <v>Outside/Off-Property</v>
      </c>
      <c r="AS484" s="8">
        <f ca="1">IFERROR(__xludf.DUMMYFUNCTION("""COMPUTED_VALUE"""),99)</f>
        <v>99</v>
      </c>
      <c r="AT484" s="8" t="str">
        <f ca="1">IFERROR(__xludf.DUMMYFUNCTION("""COMPUTED_VALUE"""),"Yes")</f>
        <v>Yes</v>
      </c>
      <c r="AU484" s="8">
        <f ca="1">IFERROR(__xludf.DUMMYFUNCTION("""COMPUTED_VALUE"""),35.858972)</f>
        <v>35.858972000000001</v>
      </c>
      <c r="AV484" s="8">
        <f ca="1">IFERROR(__xludf.DUMMYFUNCTION("""COMPUTED_VALUE"""),-86.47426)</f>
        <v>-86.474260000000001</v>
      </c>
      <c r="AW484" s="8" t="str">
        <f ca="1">IFERROR(__xludf.DUMMYFUNCTION("""COMPUTED_VALUE"""),"Multiple detached buildings")</f>
        <v>Multiple detached buildings</v>
      </c>
      <c r="AX484" s="8">
        <f ca="1">IFERROR(__xludf.DUMMYFUNCTION("""COMPUTED_VALUE"""),37129)</f>
        <v>37129</v>
      </c>
    </row>
    <row r="485" spans="1:50" ht="75" x14ac:dyDescent="0.2">
      <c r="A485" s="8" t="str">
        <f ca="1">IFERROR(__xludf.DUMMYFUNCTION("""COMPUTED_VALUE"""),"20240130INBEB")</f>
        <v>20240130INBEB</v>
      </c>
      <c r="B485" s="8">
        <f ca="1">IFERROR(__xludf.DUMMYFUNCTION("""COMPUTED_VALUE"""),1)</f>
        <v>1</v>
      </c>
      <c r="C485" s="8">
        <f ca="1">IFERROR(__xludf.DUMMYFUNCTION("""COMPUTED_VALUE"""),30)</f>
        <v>30</v>
      </c>
      <c r="D485" s="8">
        <f ca="1">IFERROR(__xludf.DUMMYFUNCTION("""COMPUTED_VALUE"""),2024)</f>
        <v>2024</v>
      </c>
      <c r="E485" s="9">
        <f ca="1">IFERROR(__xludf.DUMMYFUNCTION("""COMPUTED_VALUE"""),45321)</f>
        <v>45321</v>
      </c>
      <c r="F485" s="8" t="str">
        <f ca="1">IFERROR(__xludf.DUMMYFUNCTION("""COMPUTED_VALUE"""),"Beech Grove High School")</f>
        <v>Beech Grove High School</v>
      </c>
      <c r="G485" s="8">
        <f ca="1">IFERROR(__xludf.DUMMYFUNCTION("""COMPUTED_VALUE"""),0)</f>
        <v>0</v>
      </c>
      <c r="H485" s="8">
        <f ca="1">IFERROR(__xludf.DUMMYFUNCTION("""COMPUTED_VALUE"""),0)</f>
        <v>0</v>
      </c>
      <c r="I485" s="8">
        <f ca="1">IFERROR(__xludf.DUMMYFUNCTION("""COMPUTED_VALUE"""),0)</f>
        <v>0</v>
      </c>
      <c r="J485" s="8">
        <f ca="1">IFERROR(__xludf.DUMMYFUNCTION("""COMPUTED_VALUE"""),0)</f>
        <v>0</v>
      </c>
      <c r="K485" s="8" t="str">
        <f ca="1">IFERROR(__xludf.DUMMYFUNCTION("""COMPUTED_VALUE"""),"https://fox59.com/news/shots-fired-in-parking-lot-at-beech-grove-high-school-no-injuries/
https://www.wthr.com/article/news/crime/police-report-teen-arrested-shots-fired-beech-grove-high-school-parking-lot/531-5d17b85a-1a46-41ea-8af8-5eaf7a709459")</f>
        <v>https://fox59.com/news/shots-fired-in-parking-lot-at-beech-grove-high-school-no-injuries/
https://www.wthr.com/article/news/crime/police-report-teen-arrested-shots-fired-beech-grove-high-school-parking-lot/531-5d17b85a-1a46-41ea-8af8-5eaf7a709459</v>
      </c>
      <c r="L485" s="8">
        <f ca="1">IFERROR(__xludf.DUMMYFUNCTION("""COMPUTED_VALUE"""),10)</f>
        <v>10</v>
      </c>
      <c r="M485" s="8" t="str">
        <f ca="1">IFERROR(__xludf.DUMMYFUNCTION("""COMPUTED_VALUE"""),"Regional")</f>
        <v>Regional</v>
      </c>
      <c r="N485" s="8">
        <f ca="1">IFERROR(__xludf.DUMMYFUNCTION("""COMPUTED_VALUE"""),4)</f>
        <v>4</v>
      </c>
      <c r="O485" s="8" t="str">
        <f ca="1">IFERROR(__xludf.DUMMYFUNCTION("""COMPUTED_VALUE"""),"Winter")</f>
        <v>Winter</v>
      </c>
      <c r="P485" s="8" t="str">
        <f ca="1">IFERROR(__xludf.DUMMYFUNCTION("""COMPUTED_VALUE"""),"Beech Grove")</f>
        <v>Beech Grove</v>
      </c>
      <c r="Q485" s="8" t="str">
        <f ca="1">IFERROR(__xludf.DUMMYFUNCTION("""COMPUTED_VALUE"""),"IN")</f>
        <v>IN</v>
      </c>
      <c r="R485" s="8" t="str">
        <f ca="1">IFERROR(__xludf.DUMMYFUNCTION("""COMPUTED_VALUE"""),"High")</f>
        <v>High</v>
      </c>
      <c r="S485" s="8" t="str">
        <f ca="1">IFERROR(__xludf.DUMMYFUNCTION("""COMPUTED_VALUE"""),"Parking Lot")</f>
        <v>Parking Lot</v>
      </c>
      <c r="T485" s="8" t="str">
        <f ca="1">IFERROR(__xludf.DUMMYFUNCTION("""COMPUTED_VALUE"""),"Outside on School Property")</f>
        <v>Outside on School Property</v>
      </c>
      <c r="U485" s="8" t="str">
        <f ca="1">IFERROR(__xludf.DUMMYFUNCTION("""COMPUTED_VALUE"""),"No")</f>
        <v>No</v>
      </c>
      <c r="V485" s="8" t="str">
        <f ca="1">IFERROR(__xludf.DUMMYFUNCTION("""COMPUTED_VALUE"""),"Sport Event")</f>
        <v>Sport Event</v>
      </c>
      <c r="W485" s="11">
        <f ca="1">IFERROR(__xludf.DUMMYFUNCTION("""COMPUTED_VALUE"""),0.875)</f>
        <v>0.875</v>
      </c>
      <c r="X485" s="8">
        <f ca="1">IFERROR(__xludf.DUMMYFUNCTION("""COMPUTED_VALUE"""),1)</f>
        <v>1</v>
      </c>
      <c r="Y485" s="12" t="str">
        <f ca="1">IFERROR(__xludf.DUMMYFUNCTION("""COMPUTED_VALUE"""),"Teen fired 12 shots in school parking lot during fight at high school girls basketball game")</f>
        <v>Teen fired 12 shots in school parking lot during fight at high school girls basketball game</v>
      </c>
      <c r="Z485" s="12" t="str">
        <f ca="1">IFERROR(__xludf.DUMMYFUNCTION("""COMPUTED_VALUE"""),"Teen fired 12 shots in school parking lot during fight at high school girls basketball game.")</f>
        <v>Teen fired 12 shots in school parking lot during fight at high school girls basketball game.</v>
      </c>
      <c r="AA485" s="8" t="str">
        <f ca="1">IFERROR(__xludf.DUMMYFUNCTION("""COMPUTED_VALUE"""),"Escalation of Dispute")</f>
        <v>Escalation of Dispute</v>
      </c>
      <c r="AB485" s="8" t="str">
        <f ca="1">IFERROR(__xludf.DUMMYFUNCTION("""COMPUTED_VALUE"""),"Spontaneous")</f>
        <v>Spontaneous</v>
      </c>
      <c r="AC485" s="8" t="str">
        <f ca="1">IFERROR(__xludf.DUMMYFUNCTION("""COMPUTED_VALUE"""),"Yes")</f>
        <v>Yes</v>
      </c>
      <c r="AD485" s="8"/>
      <c r="AE485" s="8" t="str">
        <f ca="1">IFERROR(__xludf.DUMMYFUNCTION("""COMPUTED_VALUE"""),"No")</f>
        <v>No</v>
      </c>
      <c r="AF485" s="8"/>
      <c r="AG485" s="8" t="str">
        <f ca="1">IFERROR(__xludf.DUMMYFUNCTION("""COMPUTED_VALUE"""),"No")</f>
        <v>No</v>
      </c>
      <c r="AH485" s="8" t="str">
        <f ca="1">IFERROR(__xludf.DUMMYFUNCTION("""COMPUTED_VALUE"""),"No")</f>
        <v>No</v>
      </c>
      <c r="AI485" s="8" t="str">
        <f ca="1">IFERROR(__xludf.DUMMYFUNCTION("""COMPUTED_VALUE"""),"No")</f>
        <v>No</v>
      </c>
      <c r="AJ485" s="8"/>
      <c r="AK485" s="8" t="str">
        <f ca="1">IFERROR(__xludf.DUMMYFUNCTION("""COMPUTED_VALUE"""),"No")</f>
        <v>No</v>
      </c>
      <c r="AL485" s="8"/>
      <c r="AM485" s="8" t="str">
        <f ca="1">IFERROR(__xludf.DUMMYFUNCTION("""COMPUTED_VALUE"""),"No")</f>
        <v>No</v>
      </c>
      <c r="AN485" s="8" t="str">
        <f ca="1">IFERROR(__xludf.DUMMYFUNCTION("""COMPUTED_VALUE"""),"Outside")</f>
        <v>Outside</v>
      </c>
      <c r="AO485" s="8" t="str">
        <f ca="1">IFERROR(__xludf.DUMMYFUNCTION("""COMPUTED_VALUE"""),"No")</f>
        <v>No</v>
      </c>
      <c r="AP485" s="8"/>
      <c r="AQ485" s="8"/>
      <c r="AR485" s="8" t="str">
        <f ca="1">IFERROR(__xludf.DUMMYFUNCTION("""COMPUTED_VALUE"""),"Outside/Off-Property")</f>
        <v>Outside/Off-Property</v>
      </c>
      <c r="AS485" s="8">
        <f ca="1">IFERROR(__xludf.DUMMYFUNCTION("""COMPUTED_VALUE"""),12)</f>
        <v>12</v>
      </c>
      <c r="AT485" s="8"/>
      <c r="AU485" s="8">
        <f ca="1">IFERROR(__xludf.DUMMYFUNCTION("""COMPUTED_VALUE"""),39.711293)</f>
        <v>39.711292999999998</v>
      </c>
      <c r="AV485" s="8">
        <f ca="1">IFERROR(__xludf.DUMMYFUNCTION("""COMPUTED_VALUE"""),-86.077247)</f>
        <v>-86.077247</v>
      </c>
      <c r="AW485" s="8" t="str">
        <f ca="1">IFERROR(__xludf.DUMMYFUNCTION("""COMPUTED_VALUE"""),"Single building indoor hallway")</f>
        <v>Single building indoor hallway</v>
      </c>
      <c r="AX485" s="8">
        <f ca="1">IFERROR(__xludf.DUMMYFUNCTION("""COMPUTED_VALUE"""),46107)</f>
        <v>46107</v>
      </c>
    </row>
    <row r="486" spans="1:50" ht="300" x14ac:dyDescent="0.2">
      <c r="A486" s="8" t="str">
        <f ca="1">IFERROR(__xludf.DUMMYFUNCTION("""COMPUTED_VALUE"""),"20240130CAGRS")</f>
        <v>20240130CAGRS</v>
      </c>
      <c r="B486" s="8">
        <f ca="1">IFERROR(__xludf.DUMMYFUNCTION("""COMPUTED_VALUE"""),1)</f>
        <v>1</v>
      </c>
      <c r="C486" s="8">
        <f ca="1">IFERROR(__xludf.DUMMYFUNCTION("""COMPUTED_VALUE"""),30)</f>
        <v>30</v>
      </c>
      <c r="D486" s="8">
        <f ca="1">IFERROR(__xludf.DUMMYFUNCTION("""COMPUTED_VALUE"""),2024)</f>
        <v>2024</v>
      </c>
      <c r="E486" s="9">
        <f ca="1">IFERROR(__xludf.DUMMYFUNCTION("""COMPUTED_VALUE"""),45321)</f>
        <v>45321</v>
      </c>
      <c r="F486" s="8" t="str">
        <f ca="1">IFERROR(__xludf.DUMMYFUNCTION("""COMPUTED_VALUE"""),"Grant High School")</f>
        <v>Grant High School</v>
      </c>
      <c r="G486" s="8">
        <f ca="1">IFERROR(__xludf.DUMMYFUNCTION("""COMPUTED_VALUE"""),0)</f>
        <v>0</v>
      </c>
      <c r="H486" s="8">
        <f ca="1">IFERROR(__xludf.DUMMYFUNCTION("""COMPUTED_VALUE"""),1)</f>
        <v>1</v>
      </c>
      <c r="I486" s="8">
        <f ca="1">IFERROR(__xludf.DUMMYFUNCTION("""COMPUTED_VALUE"""),1)</f>
        <v>1</v>
      </c>
      <c r="J486" s="8">
        <f ca="1">IFERROR(__xludf.DUMMYFUNCTION("""COMPUTED_VALUE"""),0)</f>
        <v>0</v>
      </c>
      <c r="K486" s="10" t="str">
        <f ca="1">IFERROR(__xludf.DUMMYFUNCTION("""COMPUTED_VALUE"""),"https://www.cbsnews.com/sacramento/news/shooting-investigation-underway-at-grant-union-high-school-in-sacramento/")</f>
        <v>https://www.cbsnews.com/sacramento/news/shooting-investigation-underway-at-grant-union-high-school-in-sacramento/</v>
      </c>
      <c r="L486" s="8">
        <f ca="1">IFERROR(__xludf.DUMMYFUNCTION("""COMPUTED_VALUE"""),10)</f>
        <v>10</v>
      </c>
      <c r="M486" s="8" t="str">
        <f ca="1">IFERROR(__xludf.DUMMYFUNCTION("""COMPUTED_VALUE"""),"Regional")</f>
        <v>Regional</v>
      </c>
      <c r="N486" s="8">
        <f ca="1">IFERROR(__xludf.DUMMYFUNCTION("""COMPUTED_VALUE"""),4)</f>
        <v>4</v>
      </c>
      <c r="O486" s="8" t="str">
        <f ca="1">IFERROR(__xludf.DUMMYFUNCTION("""COMPUTED_VALUE"""),"Winter")</f>
        <v>Winter</v>
      </c>
      <c r="P486" s="8" t="str">
        <f ca="1">IFERROR(__xludf.DUMMYFUNCTION("""COMPUTED_VALUE"""),"Sacramento")</f>
        <v>Sacramento</v>
      </c>
      <c r="Q486" s="8" t="str">
        <f ca="1">IFERROR(__xludf.DUMMYFUNCTION("""COMPUTED_VALUE"""),"CA")</f>
        <v>CA</v>
      </c>
      <c r="R486" s="8" t="str">
        <f ca="1">IFERROR(__xludf.DUMMYFUNCTION("""COMPUTED_VALUE"""),"High")</f>
        <v>High</v>
      </c>
      <c r="S486" s="8" t="str">
        <f ca="1">IFERROR(__xludf.DUMMYFUNCTION("""COMPUTED_VALUE"""),"Parking Lot")</f>
        <v>Parking Lot</v>
      </c>
      <c r="T486" s="8" t="str">
        <f ca="1">IFERROR(__xludf.DUMMYFUNCTION("""COMPUTED_VALUE"""),"Outside on School Property")</f>
        <v>Outside on School Property</v>
      </c>
      <c r="U486" s="8" t="str">
        <f ca="1">IFERROR(__xludf.DUMMYFUNCTION("""COMPUTED_VALUE"""),"Yes")</f>
        <v>Yes</v>
      </c>
      <c r="V486" s="8" t="str">
        <f ca="1">IFERROR(__xludf.DUMMYFUNCTION("""COMPUTED_VALUE"""),"Morning Classes")</f>
        <v>Morning Classes</v>
      </c>
      <c r="W486" s="11">
        <f ca="1">IFERROR(__xludf.DUMMYFUNCTION("""COMPUTED_VALUE"""),0.416666666666666)</f>
        <v>0.41666666666666602</v>
      </c>
      <c r="X486" s="8">
        <f ca="1">IFERROR(__xludf.DUMMYFUNCTION("""COMPUTED_VALUE"""),1)</f>
        <v>1</v>
      </c>
      <c r="Y486" s="12" t="str">
        <f ca="1">IFERROR(__xludf.DUMMYFUNCTION("""COMPUTED_VALUE"""),"Student was shot during dispute with another student in the parking lot.")</f>
        <v>Student was shot during dispute with another student in the parking lot.</v>
      </c>
      <c r="Z486" s="12" t="str">
        <f ca="1">IFERROR(__xludf.DUMMYFUNCTION("""COMPUTED_VALUE"""),"Sacramento police say they got a ShotSpotter alert near the campus a little before 10 a.m. Police soon got calls reporting that a student had been shot by another student. ""I was with my friends in the parking lot and this kid walked up to us with a gun "&amp;"and he was trying to scare us,"" victim said. He later added that the gun initially jammed, and when he ran after the gunman, ""that's when I got shot."" Police noted that the incident was isolated and targeted, saying that there was no outstanding threat"&amp;" to the surrounding community. They added that the suspect, a 14-year-old boy, was arrested just a block away from the school along Balsam Street. Police said the young suspect has since been booked into juvenile hall on assault-related charges. Grant Hig"&amp;"h was on lockdown and students were sheltering in place due to the incident. In a message posted to the school's website, parents were being urged to not come to campus at this time. The lockdown was lifted just before 12:30 p.m. and classes resumed for t"&amp;"he rest of the day, but parents who wished to pick up their children could now do so at the Grant West campus. ")</f>
        <v xml:space="preserve">Sacramento police say they got a ShotSpotter alert near the campus a little before 10 a.m. Police soon got calls reporting that a student had been shot by another student. "I was with my friends in the parking lot and this kid walked up to us with a gun and he was trying to scare us," victim said. He later added that the gun initially jammed, and when he ran after the gunman, "that's when I got shot." Police noted that the incident was isolated and targeted, saying that there was no outstanding threat to the surrounding community. They added that the suspect, a 14-year-old boy, was arrested just a block away from the school along Balsam Street. Police said the young suspect has since been booked into juvenile hall on assault-related charges. Grant High was on lockdown and students were sheltering in place due to the incident. In a message posted to the school's website, parents were being urged to not come to campus at this time. The lockdown was lifted just before 12:30 p.m. and classes resumed for the rest of the day, but parents who wished to pick up their children could now do so at the Grant West campus. </v>
      </c>
      <c r="AA486" s="8" t="str">
        <f ca="1">IFERROR(__xludf.DUMMYFUNCTION("""COMPUTED_VALUE"""),"Escalation of Dispute")</f>
        <v>Escalation of Dispute</v>
      </c>
      <c r="AB486" s="8" t="str">
        <f ca="1">IFERROR(__xludf.DUMMYFUNCTION("""COMPUTED_VALUE"""),"Targeted")</f>
        <v>Targeted</v>
      </c>
      <c r="AC486" s="8" t="str">
        <f ca="1">IFERROR(__xludf.DUMMYFUNCTION("""COMPUTED_VALUE"""),"Yes")</f>
        <v>Yes</v>
      </c>
      <c r="AD486" s="8" t="str">
        <f ca="1">IFERROR(__xludf.DUMMYFUNCTION("""COMPUTED_VALUE"""),"Victims Targeted")</f>
        <v>Victims Targeted</v>
      </c>
      <c r="AE486" s="8" t="str">
        <f ca="1">IFERROR(__xludf.DUMMYFUNCTION("""COMPUTED_VALUE"""),"No")</f>
        <v>No</v>
      </c>
      <c r="AF486" s="8"/>
      <c r="AG486" s="8" t="str">
        <f ca="1">IFERROR(__xludf.DUMMYFUNCTION("""COMPUTED_VALUE"""),"No")</f>
        <v>No</v>
      </c>
      <c r="AH486" s="8" t="str">
        <f ca="1">IFERROR(__xludf.DUMMYFUNCTION("""COMPUTED_VALUE"""),"No")</f>
        <v>No</v>
      </c>
      <c r="AI486" s="8" t="str">
        <f ca="1">IFERROR(__xludf.DUMMYFUNCTION("""COMPUTED_VALUE"""),"No")</f>
        <v>No</v>
      </c>
      <c r="AJ486" s="8"/>
      <c r="AK486" s="8" t="str">
        <f ca="1">IFERROR(__xludf.DUMMYFUNCTION("""COMPUTED_VALUE"""),"No")</f>
        <v>No</v>
      </c>
      <c r="AL486" s="8"/>
      <c r="AM486" s="8" t="str">
        <f ca="1">IFERROR(__xludf.DUMMYFUNCTION("""COMPUTED_VALUE"""),"No")</f>
        <v>No</v>
      </c>
      <c r="AN486" s="8" t="str">
        <f ca="1">IFERROR(__xludf.DUMMYFUNCTION("""COMPUTED_VALUE"""),"Outside")</f>
        <v>Outside</v>
      </c>
      <c r="AO486" s="8" t="str">
        <f ca="1">IFERROR(__xludf.DUMMYFUNCTION("""COMPUTED_VALUE"""),"No")</f>
        <v>No</v>
      </c>
      <c r="AP486" s="8"/>
      <c r="AQ486" s="8"/>
      <c r="AR486" s="8" t="str">
        <f ca="1">IFERROR(__xludf.DUMMYFUNCTION("""COMPUTED_VALUE"""),"Outside/Off-Property")</f>
        <v>Outside/Off-Property</v>
      </c>
      <c r="AS486" s="8">
        <f ca="1">IFERROR(__xludf.DUMMYFUNCTION("""COMPUTED_VALUE"""),1)</f>
        <v>1</v>
      </c>
      <c r="AT486" s="8" t="str">
        <f ca="1">IFERROR(__xludf.DUMMYFUNCTION("""COMPUTED_VALUE"""),"Yes")</f>
        <v>Yes</v>
      </c>
      <c r="AU486" s="8">
        <f ca="1">IFERROR(__xludf.DUMMYFUNCTION("""COMPUTED_VALUE"""),38.636431)</f>
        <v>38.636431000000002</v>
      </c>
      <c r="AV486" s="8">
        <f ca="1">IFERROR(__xludf.DUMMYFUNCTION("""COMPUTED_VALUE"""),-121.436459)</f>
        <v>-121.436459</v>
      </c>
      <c r="AW486" s="8" t="str">
        <f ca="1">IFERROR(__xludf.DUMMYFUNCTION("""COMPUTED_VALUE"""),"Multiple detached buildings")</f>
        <v>Multiple detached buildings</v>
      </c>
      <c r="AX486" s="8">
        <f ca="1">IFERROR(__xludf.DUMMYFUNCTION("""COMPUTED_VALUE"""),95838)</f>
        <v>95838</v>
      </c>
    </row>
    <row r="487" spans="1:50" ht="180" x14ac:dyDescent="0.2">
      <c r="A487" s="8" t="str">
        <f ca="1">IFERROR(__xludf.DUMMYFUNCTION("""COMPUTED_VALUE"""),"20240130ALLEM")</f>
        <v>20240130ALLEM</v>
      </c>
      <c r="B487" s="8">
        <f ca="1">IFERROR(__xludf.DUMMYFUNCTION("""COMPUTED_VALUE"""),1)</f>
        <v>1</v>
      </c>
      <c r="C487" s="8">
        <f ca="1">IFERROR(__xludf.DUMMYFUNCTION("""COMPUTED_VALUE"""),30)</f>
        <v>30</v>
      </c>
      <c r="D487" s="8">
        <f ca="1">IFERROR(__xludf.DUMMYFUNCTION("""COMPUTED_VALUE"""),2024)</f>
        <v>2024</v>
      </c>
      <c r="E487" s="9">
        <f ca="1">IFERROR(__xludf.DUMMYFUNCTION("""COMPUTED_VALUE"""),45321)</f>
        <v>45321</v>
      </c>
      <c r="F487" s="8" t="str">
        <f ca="1">IFERROR(__xludf.DUMMYFUNCTION("""COMPUTED_VALUE"""),"LeFlore High School")</f>
        <v>LeFlore High School</v>
      </c>
      <c r="G487" s="8">
        <f ca="1">IFERROR(__xludf.DUMMYFUNCTION("""COMPUTED_VALUE"""),0)</f>
        <v>0</v>
      </c>
      <c r="H487" s="8">
        <f ca="1">IFERROR(__xludf.DUMMYFUNCTION("""COMPUTED_VALUE"""),2)</f>
        <v>2</v>
      </c>
      <c r="I487" s="8">
        <f ca="1">IFERROR(__xludf.DUMMYFUNCTION("""COMPUTED_VALUE"""),2)</f>
        <v>2</v>
      </c>
      <c r="J487" s="8">
        <f ca="1">IFERROR(__xludf.DUMMYFUNCTION("""COMPUTED_VALUE"""),0)</f>
        <v>0</v>
      </c>
      <c r="K487" s="10" t="str">
        <f ca="1">IFERROR(__xludf.DUMMYFUNCTION("""COMPUTED_VALUE"""),"https://www.fox10tv.com/2024/03/11/video-shows-leflore-student-putting-gun-victims-head-after-initial-shot-detective-testifies/
https://www.fox10tv.com/2024/02/26/mother-leflore-student-charged-school-shooting-questions-whether-daughter-had-gun/
https://w"&amp;"ww.fox10tv.com/2024/01/30/mpd-2-students-shot-leflore-high-school/
https://mynbc15.com/news/local/mobile-pd-student-shot-at-leflore-high-school")</f>
        <v>https://www.fox10tv.com/2024/03/11/video-shows-leflore-student-putting-gun-victims-head-after-initial-shot-detective-testifies/
https://www.fox10tv.com/2024/02/26/mother-leflore-student-charged-school-shooting-questions-whether-daughter-had-gun/
https://www.fox10tv.com/2024/01/30/mpd-2-students-shot-leflore-high-school/
https://mynbc15.com/news/local/mobile-pd-student-shot-at-leflore-high-school</v>
      </c>
      <c r="L487" s="8">
        <f ca="1">IFERROR(__xludf.DUMMYFUNCTION("""COMPUTED_VALUE"""),10)</f>
        <v>10</v>
      </c>
      <c r="M487" s="8" t="str">
        <f ca="1">IFERROR(__xludf.DUMMYFUNCTION("""COMPUTED_VALUE"""),"Regional")</f>
        <v>Regional</v>
      </c>
      <c r="N487" s="8">
        <f ca="1">IFERROR(__xludf.DUMMYFUNCTION("""COMPUTED_VALUE"""),4)</f>
        <v>4</v>
      </c>
      <c r="O487" s="8" t="str">
        <f ca="1">IFERROR(__xludf.DUMMYFUNCTION("""COMPUTED_VALUE"""),"Winter")</f>
        <v>Winter</v>
      </c>
      <c r="P487" s="8" t="str">
        <f ca="1">IFERROR(__xludf.DUMMYFUNCTION("""COMPUTED_VALUE"""),"Mobile")</f>
        <v>Mobile</v>
      </c>
      <c r="Q487" s="8" t="str">
        <f ca="1">IFERROR(__xludf.DUMMYFUNCTION("""COMPUTED_VALUE"""),"AL")</f>
        <v>AL</v>
      </c>
      <c r="R487" s="8" t="str">
        <f ca="1">IFERROR(__xludf.DUMMYFUNCTION("""COMPUTED_VALUE"""),"High")</f>
        <v>High</v>
      </c>
      <c r="S487" s="8" t="str">
        <f ca="1">IFERROR(__xludf.DUMMYFUNCTION("""COMPUTED_VALUE"""),"Inside School Building")</f>
        <v>Inside School Building</v>
      </c>
      <c r="T487" s="8" t="str">
        <f ca="1">IFERROR(__xludf.DUMMYFUNCTION("""COMPUTED_VALUE"""),"Inside School Building")</f>
        <v>Inside School Building</v>
      </c>
      <c r="U487" s="8" t="str">
        <f ca="1">IFERROR(__xludf.DUMMYFUNCTION("""COMPUTED_VALUE"""),"Yes")</f>
        <v>Yes</v>
      </c>
      <c r="V487" s="8" t="str">
        <f ca="1">IFERROR(__xludf.DUMMYFUNCTION("""COMPUTED_VALUE"""),"Lunch")</f>
        <v>Lunch</v>
      </c>
      <c r="W487" s="11">
        <f ca="1">IFERROR(__xludf.DUMMYFUNCTION("""COMPUTED_VALUE"""),0.502083333333333)</f>
        <v>0.50208333333333299</v>
      </c>
      <c r="X487" s="8">
        <f ca="1">IFERROR(__xludf.DUMMYFUNCTION("""COMPUTED_VALUE"""),1)</f>
        <v>1</v>
      </c>
      <c r="Y487" s="12" t="str">
        <f ca="1">IFERROR(__xludf.DUMMYFUNCTION("""COMPUTED_VALUE"""),"Female student shot two male students during dispute inside the school")</f>
        <v>Female student shot two male students during dispute inside the school</v>
      </c>
      <c r="Z487" s="12" t="str">
        <f ca="1">IFERROR(__xludf.DUMMYFUNCTION("""COMPUTED_VALUE"""),"There were reports of shots fired around midday Tuesday. The MPD said officers responded to the school at 12:03 p.m. and found that a 16-year-old girl had been engaged in an argument with a 15-year-old boy. The girl then produced a handgun and shot the bo"&amp;"y, causing a superficial wound. The bullet also struck a 17-year-old male student who was taken to the hospital for a non-life-threatening injury. The suspect surrendered to police with the assistance of her parents, according to officials. In court, vide"&amp;"o showed the female student shot the first victim in the leg, followed him as he crawled down the hallway, put the gun to his head, and missed hitting a bystander student.")</f>
        <v>There were reports of shots fired around midday Tuesday. The MPD said officers responded to the school at 12:03 p.m. and found that a 16-year-old girl had been engaged in an argument with a 15-year-old boy. The girl then produced a handgun and shot the boy, causing a superficial wound. The bullet also struck a 17-year-old male student who was taken to the hospital for a non-life-threatening injury. The suspect surrendered to police with the assistance of her parents, according to officials. In court, video showed the female student shot the first victim in the leg, followed him as he crawled down the hallway, put the gun to his head, and missed hitting a bystander student.</v>
      </c>
      <c r="AA487" s="8" t="str">
        <f ca="1">IFERROR(__xludf.DUMMYFUNCTION("""COMPUTED_VALUE"""),"Escalation of Dispute")</f>
        <v>Escalation of Dispute</v>
      </c>
      <c r="AB487" s="8" t="str">
        <f ca="1">IFERROR(__xludf.DUMMYFUNCTION("""COMPUTED_VALUE"""),"Spontaneous")</f>
        <v>Spontaneous</v>
      </c>
      <c r="AC487" s="8" t="str">
        <f ca="1">IFERROR(__xludf.DUMMYFUNCTION("""COMPUTED_VALUE"""),"Yes")</f>
        <v>Yes</v>
      </c>
      <c r="AD487" s="8" t="str">
        <f ca="1">IFERROR(__xludf.DUMMYFUNCTION("""COMPUTED_VALUE"""),"Both")</f>
        <v>Both</v>
      </c>
      <c r="AE487" s="8" t="str">
        <f ca="1">IFERROR(__xludf.DUMMYFUNCTION("""COMPUTED_VALUE"""),"No")</f>
        <v>No</v>
      </c>
      <c r="AF487" s="8"/>
      <c r="AG487" s="8" t="str">
        <f ca="1">IFERROR(__xludf.DUMMYFUNCTION("""COMPUTED_VALUE"""),"No")</f>
        <v>No</v>
      </c>
      <c r="AH487" s="8" t="str">
        <f ca="1">IFERROR(__xludf.DUMMYFUNCTION("""COMPUTED_VALUE"""),"No")</f>
        <v>No</v>
      </c>
      <c r="AI487" s="8" t="str">
        <f ca="1">IFERROR(__xludf.DUMMYFUNCTION("""COMPUTED_VALUE"""),"No")</f>
        <v>No</v>
      </c>
      <c r="AJ487" s="8"/>
      <c r="AK487" s="8"/>
      <c r="AL487" s="8" t="str">
        <f ca="1">IFERROR(__xludf.DUMMYFUNCTION("""COMPUTED_VALUE"""),"No")</f>
        <v>No</v>
      </c>
      <c r="AM487" s="8" t="str">
        <f ca="1">IFERROR(__xludf.DUMMYFUNCTION("""COMPUTED_VALUE"""),"No")</f>
        <v>No</v>
      </c>
      <c r="AN487" s="8"/>
      <c r="AO487" s="8" t="str">
        <f ca="1">IFERROR(__xludf.DUMMYFUNCTION("""COMPUTED_VALUE"""),"No")</f>
        <v>No</v>
      </c>
      <c r="AP487" s="8"/>
      <c r="AQ487" s="8"/>
      <c r="AR487" s="8" t="str">
        <f ca="1">IFERROR(__xludf.DUMMYFUNCTION("""COMPUTED_VALUE"""),"Failed")</f>
        <v>Failed</v>
      </c>
      <c r="AS487" s="8">
        <f ca="1">IFERROR(__xludf.DUMMYFUNCTION("""COMPUTED_VALUE"""),1)</f>
        <v>1</v>
      </c>
      <c r="AT487" s="8" t="str">
        <f ca="1">IFERROR(__xludf.DUMMYFUNCTION("""COMPUTED_VALUE"""),"Yes")</f>
        <v>Yes</v>
      </c>
      <c r="AU487" s="8">
        <f ca="1">IFERROR(__xludf.DUMMYFUNCTION("""COMPUTED_VALUE"""),30.714079)</f>
        <v>30.714079000000002</v>
      </c>
      <c r="AV487" s="8">
        <f ca="1">IFERROR(__xludf.DUMMYFUNCTION("""COMPUTED_VALUE"""),-88.087595)</f>
        <v>-88.087594999999993</v>
      </c>
      <c r="AW487" s="8" t="str">
        <f ca="1">IFERROR(__xludf.DUMMYFUNCTION("""COMPUTED_VALUE"""),"Single building indoor hallway")</f>
        <v>Single building indoor hallway</v>
      </c>
      <c r="AX487" s="8">
        <f ca="1">IFERROR(__xludf.DUMMYFUNCTION("""COMPUTED_VALUE"""),36613)</f>
        <v>36613</v>
      </c>
    </row>
    <row r="488" spans="1:50" ht="90" x14ac:dyDescent="0.2">
      <c r="A488" s="8" t="str">
        <f ca="1">IFERROR(__xludf.DUMMYFUNCTION("""COMPUTED_VALUE"""),"20240129TXCOA")</f>
        <v>20240129TXCOA</v>
      </c>
      <c r="B488" s="8">
        <f ca="1">IFERROR(__xludf.DUMMYFUNCTION("""COMPUTED_VALUE"""),1)</f>
        <v>1</v>
      </c>
      <c r="C488" s="8">
        <f ca="1">IFERROR(__xludf.DUMMYFUNCTION("""COMPUTED_VALUE"""),29)</f>
        <v>29</v>
      </c>
      <c r="D488" s="8">
        <f ca="1">IFERROR(__xludf.DUMMYFUNCTION("""COMPUTED_VALUE"""),2024)</f>
        <v>2024</v>
      </c>
      <c r="E488" s="9">
        <f ca="1">IFERROR(__xludf.DUMMYFUNCTION("""COMPUTED_VALUE"""),45320)</f>
        <v>45320</v>
      </c>
      <c r="F488" s="8" t="str">
        <f ca="1">IFERROR(__xludf.DUMMYFUNCTION("""COMPUTED_VALUE"""),"Connally High School")</f>
        <v>Connally High School</v>
      </c>
      <c r="G488" s="8">
        <f ca="1">IFERROR(__xludf.DUMMYFUNCTION("""COMPUTED_VALUE"""),0)</f>
        <v>0</v>
      </c>
      <c r="H488" s="8">
        <f ca="1">IFERROR(__xludf.DUMMYFUNCTION("""COMPUTED_VALUE"""),1)</f>
        <v>1</v>
      </c>
      <c r="I488" s="8">
        <f ca="1">IFERROR(__xludf.DUMMYFUNCTION("""COMPUTED_VALUE"""),1)</f>
        <v>1</v>
      </c>
      <c r="J488" s="8">
        <f ca="1">IFERROR(__xludf.DUMMYFUNCTION("""COMPUTED_VALUE"""),0)</f>
        <v>0</v>
      </c>
      <c r="K488" s="8" t="str">
        <f ca="1">IFERROR(__xludf.DUMMYFUNCTION("""COMPUTED_VALUE"""),"https://cbsaustin.com/news/local/affidavit-teen-arrested-for-possession-of-stolen-firearm-at-austin-high-school-arrest-vince-nguyen-john-b-connally-high-school-police-gun
https://www.kvue.com/article/news/crime/shooting-connally-high-school-pflugerville-t"&amp;"een-arrested/269-0a94eaf2-5d35-47ac-a48a-8e1309c0ce33")</f>
        <v>https://cbsaustin.com/news/local/affidavit-teen-arrested-for-possession-of-stolen-firearm-at-austin-high-school-arrest-vince-nguyen-john-b-connally-high-school-police-gun
https://www.kvue.com/article/news/crime/shooting-connally-high-school-pflugerville-teen-arrested/269-0a94eaf2-5d35-47ac-a48a-8e1309c0ce33</v>
      </c>
      <c r="L488" s="8">
        <f ca="1">IFERROR(__xludf.DUMMYFUNCTION("""COMPUTED_VALUE"""),5)</f>
        <v>5</v>
      </c>
      <c r="M488" s="8" t="str">
        <f ca="1">IFERROR(__xludf.DUMMYFUNCTION("""COMPUTED_VALUE"""),"Local")</f>
        <v>Local</v>
      </c>
      <c r="N488" s="8">
        <f ca="1">IFERROR(__xludf.DUMMYFUNCTION("""COMPUTED_VALUE"""),4)</f>
        <v>4</v>
      </c>
      <c r="O488" s="8" t="str">
        <f ca="1">IFERROR(__xludf.DUMMYFUNCTION("""COMPUTED_VALUE"""),"Winter")</f>
        <v>Winter</v>
      </c>
      <c r="P488" s="8" t="str">
        <f ca="1">IFERROR(__xludf.DUMMYFUNCTION("""COMPUTED_VALUE"""),"Austin")</f>
        <v>Austin</v>
      </c>
      <c r="Q488" s="8" t="str">
        <f ca="1">IFERROR(__xludf.DUMMYFUNCTION("""COMPUTED_VALUE"""),"TX")</f>
        <v>TX</v>
      </c>
      <c r="R488" s="8" t="str">
        <f ca="1">IFERROR(__xludf.DUMMYFUNCTION("""COMPUTED_VALUE"""),"High")</f>
        <v>High</v>
      </c>
      <c r="S488" s="8" t="str">
        <f ca="1">IFERROR(__xludf.DUMMYFUNCTION("""COMPUTED_VALUE"""),"Parking Lot")</f>
        <v>Parking Lot</v>
      </c>
      <c r="T488" s="8" t="str">
        <f ca="1">IFERROR(__xludf.DUMMYFUNCTION("""COMPUTED_VALUE"""),"Outside on School Property")</f>
        <v>Outside on School Property</v>
      </c>
      <c r="U488" s="8" t="str">
        <f ca="1">IFERROR(__xludf.DUMMYFUNCTION("""COMPUTED_VALUE"""),"Yes")</f>
        <v>Yes</v>
      </c>
      <c r="V488" s="8" t="str">
        <f ca="1">IFERROR(__xludf.DUMMYFUNCTION("""COMPUTED_VALUE"""),"Lunch")</f>
        <v>Lunch</v>
      </c>
      <c r="W488" s="11">
        <f ca="1">IFERROR(__xludf.DUMMYFUNCTION("""COMPUTED_VALUE"""),0.513888888888888)</f>
        <v>0.51388888888888795</v>
      </c>
      <c r="X488" s="8">
        <f ca="1">IFERROR(__xludf.DUMMYFUNCTION("""COMPUTED_VALUE"""),1)</f>
        <v>1</v>
      </c>
      <c r="Y488" s="12" t="str">
        <f ca="1">IFERROR(__xludf.DUMMYFUNCTION("""COMPUTED_VALUE"""),"Student shot at a classmate and then ran him over with his car in the school parking lot")</f>
        <v>Student shot at a classmate and then ran him over with his car in the school parking lot</v>
      </c>
      <c r="Z488" s="12" t="str">
        <f ca="1">IFERROR(__xludf.DUMMYFUNCTION("""COMPUTED_VALUE"""),"Student armed with an AK 47 rifle and a pistol told a former student who was on campus during lunch ""you are done"" and then shot him in the school parking lot. The shooter then ran the victim over with his vehicle before fleeing from the scene. Shooter "&amp;"and victim had an ongoing dispute over a former girlfriend.")</f>
        <v>Student armed with an AK 47 rifle and a pistol told a former student who was on campus during lunch "you are done" and then shot him in the school parking lot. The shooter then ran the victim over with his vehicle before fleeing from the scene. Shooter and victim had an ongoing dispute over a former girlfriend.</v>
      </c>
      <c r="AA488" s="8" t="str">
        <f ca="1">IFERROR(__xludf.DUMMYFUNCTION("""COMPUTED_VALUE"""),"Domestic w/ Targeted Victim")</f>
        <v>Domestic w/ Targeted Victim</v>
      </c>
      <c r="AB488" s="8" t="str">
        <f ca="1">IFERROR(__xludf.DUMMYFUNCTION("""COMPUTED_VALUE"""),"Targeted")</f>
        <v>Targeted</v>
      </c>
      <c r="AC488" s="8" t="str">
        <f ca="1">IFERROR(__xludf.DUMMYFUNCTION("""COMPUTED_VALUE"""),"Yes")</f>
        <v>Yes</v>
      </c>
      <c r="AD488" s="8" t="str">
        <f ca="1">IFERROR(__xludf.DUMMYFUNCTION("""COMPUTED_VALUE"""),"Victims Targeted")</f>
        <v>Victims Targeted</v>
      </c>
      <c r="AE488" s="8" t="str">
        <f ca="1">IFERROR(__xludf.DUMMYFUNCTION("""COMPUTED_VALUE"""),"No")</f>
        <v>No</v>
      </c>
      <c r="AF488" s="8"/>
      <c r="AG488" s="8" t="str">
        <f ca="1">IFERROR(__xludf.DUMMYFUNCTION("""COMPUTED_VALUE"""),"No")</f>
        <v>No</v>
      </c>
      <c r="AH488" s="8" t="str">
        <f ca="1">IFERROR(__xludf.DUMMYFUNCTION("""COMPUTED_VALUE"""),"No")</f>
        <v>No</v>
      </c>
      <c r="AI488" s="8" t="str">
        <f ca="1">IFERROR(__xludf.DUMMYFUNCTION("""COMPUTED_VALUE"""),"No")</f>
        <v>No</v>
      </c>
      <c r="AJ488" s="8"/>
      <c r="AK488" s="8" t="str">
        <f ca="1">IFERROR(__xludf.DUMMYFUNCTION("""COMPUTED_VALUE"""),"No")</f>
        <v>No</v>
      </c>
      <c r="AL488" s="8" t="str">
        <f ca="1">IFERROR(__xludf.DUMMYFUNCTION("""COMPUTED_VALUE"""),"No")</f>
        <v>No</v>
      </c>
      <c r="AM488" s="8" t="str">
        <f ca="1">IFERROR(__xludf.DUMMYFUNCTION("""COMPUTED_VALUE"""),"No")</f>
        <v>No</v>
      </c>
      <c r="AN488" s="8" t="str">
        <f ca="1">IFERROR(__xludf.DUMMYFUNCTION("""COMPUTED_VALUE"""),"Outside")</f>
        <v>Outside</v>
      </c>
      <c r="AO488" s="8" t="str">
        <f ca="1">IFERROR(__xludf.DUMMYFUNCTION("""COMPUTED_VALUE"""),"No")</f>
        <v>No</v>
      </c>
      <c r="AP488" s="8" t="str">
        <f ca="1">IFERROR(__xludf.DUMMYFUNCTION("""COMPUTED_VALUE"""),"Yes")</f>
        <v>Yes</v>
      </c>
      <c r="AQ488" s="8" t="str">
        <f ca="1">IFERROR(__xludf.DUMMYFUNCTION("""COMPUTED_VALUE"""),"Armed Guards")</f>
        <v>Armed Guards</v>
      </c>
      <c r="AR488" s="8" t="str">
        <f ca="1">IFERROR(__xludf.DUMMYFUNCTION("""COMPUTED_VALUE"""),"Outside/Off-Property")</f>
        <v>Outside/Off-Property</v>
      </c>
      <c r="AS488" s="8">
        <f ca="1">IFERROR(__xludf.DUMMYFUNCTION("""COMPUTED_VALUE"""),1)</f>
        <v>1</v>
      </c>
      <c r="AT488" s="8"/>
      <c r="AU488" s="8"/>
      <c r="AV488" s="8"/>
      <c r="AW488" s="8"/>
      <c r="AX488" s="8"/>
    </row>
    <row r="489" spans="1:50" ht="45" x14ac:dyDescent="0.2">
      <c r="A489" s="8" t="str">
        <f ca="1">IFERROR(__xludf.DUMMYFUNCTION("""COMPUTED_VALUE"""),"20240126ILINC")</f>
        <v>20240126ILINC</v>
      </c>
      <c r="B489" s="8">
        <f ca="1">IFERROR(__xludf.DUMMYFUNCTION("""COMPUTED_VALUE"""),1)</f>
        <v>1</v>
      </c>
      <c r="C489" s="8">
        <f ca="1">IFERROR(__xludf.DUMMYFUNCTION("""COMPUTED_VALUE"""),26)</f>
        <v>26</v>
      </c>
      <c r="D489" s="8">
        <f ca="1">IFERROR(__xludf.DUMMYFUNCTION("""COMPUTED_VALUE"""),2024)</f>
        <v>2024</v>
      </c>
      <c r="E489" s="9">
        <f ca="1">IFERROR(__xludf.DUMMYFUNCTION("""COMPUTED_VALUE"""),45317)</f>
        <v>45317</v>
      </c>
      <c r="F489" s="8" t="str">
        <f ca="1">IFERROR(__xludf.DUMMYFUNCTION("""COMPUTED_VALUE"""),"Innovations High School")</f>
        <v>Innovations High School</v>
      </c>
      <c r="G489" s="8">
        <f ca="1">IFERROR(__xludf.DUMMYFUNCTION("""COMPUTED_VALUE"""),2)</f>
        <v>2</v>
      </c>
      <c r="H489" s="8">
        <f ca="1">IFERROR(__xludf.DUMMYFUNCTION("""COMPUTED_VALUE"""),0)</f>
        <v>0</v>
      </c>
      <c r="I489" s="8">
        <f ca="1">IFERROR(__xludf.DUMMYFUNCTION("""COMPUTED_VALUE"""),2)</f>
        <v>2</v>
      </c>
      <c r="J489" s="8">
        <f ca="1">IFERROR(__xludf.DUMMYFUNCTION("""COMPUTED_VALUE"""),0)</f>
        <v>0</v>
      </c>
      <c r="K489" s="10" t="str">
        <f ca="1">IFERROR(__xludf.DUMMYFUNCTION("""COMPUTED_VALUE"""),"https://chicago.suntimes.com/crime/2025/02/01/suspect-ambushed-teenagers-in-2024-shooting-outside-innovations-high-school-judge-says
https://blockclubchicago.org/2024/01/26/2-teenagers-shot-and-killed-in-loop/
https://abc7chicago.com/chicago-shooting-loop"&amp;"-washington-street-wabash/14363148/")</f>
        <v>https://chicago.suntimes.com/crime/2025/02/01/suspect-ambushed-teenagers-in-2024-shooting-outside-innovations-high-school-judge-says
https://blockclubchicago.org/2024/01/26/2-teenagers-shot-and-killed-in-loop/
https://abc7chicago.com/chicago-shooting-loop-washington-street-wabash/14363148/</v>
      </c>
      <c r="L489" s="8">
        <f ca="1">IFERROR(__xludf.DUMMYFUNCTION("""COMPUTED_VALUE"""),100)</f>
        <v>100</v>
      </c>
      <c r="M489" s="8" t="str">
        <f ca="1">IFERROR(__xludf.DUMMYFUNCTION("""COMPUTED_VALUE"""),"National")</f>
        <v>National</v>
      </c>
      <c r="N489" s="8">
        <f ca="1">IFERROR(__xludf.DUMMYFUNCTION("""COMPUTED_VALUE"""),4)</f>
        <v>4</v>
      </c>
      <c r="O489" s="8" t="str">
        <f ca="1">IFERROR(__xludf.DUMMYFUNCTION("""COMPUTED_VALUE"""),"Winter")</f>
        <v>Winter</v>
      </c>
      <c r="P489" s="8" t="str">
        <f ca="1">IFERROR(__xludf.DUMMYFUNCTION("""COMPUTED_VALUE"""),"Chicago")</f>
        <v>Chicago</v>
      </c>
      <c r="Q489" s="8" t="str">
        <f ca="1">IFERROR(__xludf.DUMMYFUNCTION("""COMPUTED_VALUE"""),"IL")</f>
        <v>IL</v>
      </c>
      <c r="R489" s="8" t="str">
        <f ca="1">IFERROR(__xludf.DUMMYFUNCTION("""COMPUTED_VALUE"""),"High")</f>
        <v>High</v>
      </c>
      <c r="S489" s="8" t="str">
        <f ca="1">IFERROR(__xludf.DUMMYFUNCTION("""COMPUTED_VALUE"""),"Front of School")</f>
        <v>Front of School</v>
      </c>
      <c r="T489" s="8" t="str">
        <f ca="1">IFERROR(__xludf.DUMMYFUNCTION("""COMPUTED_VALUE"""),"Outside on School Property")</f>
        <v>Outside on School Property</v>
      </c>
      <c r="U489" s="8" t="str">
        <f ca="1">IFERROR(__xludf.DUMMYFUNCTION("""COMPUTED_VALUE"""),"Yes")</f>
        <v>Yes</v>
      </c>
      <c r="V489" s="8" t="str">
        <f ca="1">IFERROR(__xludf.DUMMYFUNCTION("""COMPUTED_VALUE"""),"Afternoon Classes")</f>
        <v>Afternoon Classes</v>
      </c>
      <c r="W489" s="11">
        <f ca="1">IFERROR(__xludf.DUMMYFUNCTION("""COMPUTED_VALUE"""),0.517361111111111)</f>
        <v>0.51736111111111105</v>
      </c>
      <c r="X489" s="8">
        <f ca="1">IFERROR(__xludf.DUMMYFUNCTION("""COMPUTED_VALUE"""),1)</f>
        <v>1</v>
      </c>
      <c r="Y489" s="12" t="str">
        <f ca="1">IFERROR(__xludf.DUMMYFUNCTION("""COMPUTED_VALUE"""),"Two students shot during ambush at front door to school")</f>
        <v>Two students shot during ambush at front door to school</v>
      </c>
      <c r="Z489" s="12" t="str">
        <f ca="1">IFERROR(__xludf.DUMMYFUNCTION("""COMPUTED_VALUE"""),"When two students left the front door of the school, multiple masked gunmen got out of two vehicles and fired at them. Both students were killed. Shooters fled.")</f>
        <v>When two students left the front door of the school, multiple masked gunmen got out of two vehicles and fired at them. Both students were killed. Shooters fled.</v>
      </c>
      <c r="AA489" s="8" t="str">
        <f ca="1">IFERROR(__xludf.DUMMYFUNCTION("""COMPUTED_VALUE"""),"Drive-by Shooting")</f>
        <v>Drive-by Shooting</v>
      </c>
      <c r="AB489" s="8" t="str">
        <f ca="1">IFERROR(__xludf.DUMMYFUNCTION("""COMPUTED_VALUE"""),"Targeted")</f>
        <v>Targeted</v>
      </c>
      <c r="AC489" s="8" t="str">
        <f ca="1">IFERROR(__xludf.DUMMYFUNCTION("""COMPUTED_VALUE"""),"Yes")</f>
        <v>Yes</v>
      </c>
      <c r="AD489" s="8" t="str">
        <f ca="1">IFERROR(__xludf.DUMMYFUNCTION("""COMPUTED_VALUE"""),"Victims Targeted")</f>
        <v>Victims Targeted</v>
      </c>
      <c r="AE489" s="8" t="str">
        <f ca="1">IFERROR(__xludf.DUMMYFUNCTION("""COMPUTED_VALUE"""),"Yes")</f>
        <v>Yes</v>
      </c>
      <c r="AF489" s="8" t="str">
        <f ca="1">IFERROR(__xludf.DUMMYFUNCTION("""COMPUTED_VALUE"""),"Multiple shooters")</f>
        <v>Multiple shooters</v>
      </c>
      <c r="AG489" s="8" t="str">
        <f ca="1">IFERROR(__xludf.DUMMYFUNCTION("""COMPUTED_VALUE"""),"No")</f>
        <v>No</v>
      </c>
      <c r="AH489" s="8" t="str">
        <f ca="1">IFERROR(__xludf.DUMMYFUNCTION("""COMPUTED_VALUE"""),"No")</f>
        <v>No</v>
      </c>
      <c r="AI489" s="8" t="str">
        <f ca="1">IFERROR(__xludf.DUMMYFUNCTION("""COMPUTED_VALUE"""),"No")</f>
        <v>No</v>
      </c>
      <c r="AJ489" s="8" t="str">
        <f ca="1">IFERROR(__xludf.DUMMYFUNCTION("""COMPUTED_VALUE"""),"No")</f>
        <v>No</v>
      </c>
      <c r="AK489" s="8" t="str">
        <f ca="1">IFERROR(__xludf.DUMMYFUNCTION("""COMPUTED_VALUE"""),"No")</f>
        <v>No</v>
      </c>
      <c r="AL489" s="8"/>
      <c r="AM489" s="8" t="str">
        <f ca="1">IFERROR(__xludf.DUMMYFUNCTION("""COMPUTED_VALUE"""),"No")</f>
        <v>No</v>
      </c>
      <c r="AN489" s="8" t="str">
        <f ca="1">IFERROR(__xludf.DUMMYFUNCTION("""COMPUTED_VALUE"""),"Outside")</f>
        <v>Outside</v>
      </c>
      <c r="AO489" s="8" t="str">
        <f ca="1">IFERROR(__xludf.DUMMYFUNCTION("""COMPUTED_VALUE"""),"No")</f>
        <v>No</v>
      </c>
      <c r="AP489" s="8"/>
      <c r="AQ489" s="8"/>
      <c r="AR489" s="8" t="str">
        <f ca="1">IFERROR(__xludf.DUMMYFUNCTION("""COMPUTED_VALUE"""),"Outside/Off-Property")</f>
        <v>Outside/Off-Property</v>
      </c>
      <c r="AS489" s="8">
        <f ca="1">IFERROR(__xludf.DUMMYFUNCTION("""COMPUTED_VALUE"""),99)</f>
        <v>99</v>
      </c>
      <c r="AT489" s="8"/>
      <c r="AU489" s="8">
        <f ca="1">IFERROR(__xludf.DUMMYFUNCTION("""COMPUTED_VALUE"""),41.882755)</f>
        <v>41.882755000000003</v>
      </c>
      <c r="AV489" s="8">
        <f ca="1">IFERROR(__xludf.DUMMYFUNCTION("""COMPUTED_VALUE"""),-87.627761)</f>
        <v>-87.627761000000007</v>
      </c>
      <c r="AW489" s="8" t="str">
        <f ca="1">IFERROR(__xludf.DUMMYFUNCTION("""COMPUTED_VALUE"""),"Urban Street Highrise")</f>
        <v>Urban Street Highrise</v>
      </c>
      <c r="AX489" s="8">
        <f ca="1">IFERROR(__xludf.DUMMYFUNCTION("""COMPUTED_VALUE"""),60602)</f>
        <v>60602</v>
      </c>
    </row>
    <row r="490" spans="1:50" ht="90" x14ac:dyDescent="0.2">
      <c r="A490" s="8" t="str">
        <f ca="1">IFERROR(__xludf.DUMMYFUNCTION("""COMPUTED_VALUE"""),"20240126ALHUH")</f>
        <v>20240126ALHUH</v>
      </c>
      <c r="B490" s="8">
        <f ca="1">IFERROR(__xludf.DUMMYFUNCTION("""COMPUTED_VALUE"""),1)</f>
        <v>1</v>
      </c>
      <c r="C490" s="8">
        <f ca="1">IFERROR(__xludf.DUMMYFUNCTION("""COMPUTED_VALUE"""),26)</f>
        <v>26</v>
      </c>
      <c r="D490" s="8">
        <f ca="1">IFERROR(__xludf.DUMMYFUNCTION("""COMPUTED_VALUE"""),2024)</f>
        <v>2024</v>
      </c>
      <c r="E490" s="9">
        <f ca="1">IFERROR(__xludf.DUMMYFUNCTION("""COMPUTED_VALUE"""),45315)</f>
        <v>45315</v>
      </c>
      <c r="F490" s="8" t="str">
        <f ca="1">IFERROR(__xludf.DUMMYFUNCTION("""COMPUTED_VALUE"""),"Hueytown High School ")</f>
        <v xml:space="preserve">Hueytown High School </v>
      </c>
      <c r="G490" s="8">
        <f ca="1">IFERROR(__xludf.DUMMYFUNCTION("""COMPUTED_VALUE"""),0)</f>
        <v>0</v>
      </c>
      <c r="H490" s="8">
        <f ca="1">IFERROR(__xludf.DUMMYFUNCTION("""COMPUTED_VALUE"""),0)</f>
        <v>0</v>
      </c>
      <c r="I490" s="8">
        <f ca="1">IFERROR(__xludf.DUMMYFUNCTION("""COMPUTED_VALUE"""),0)</f>
        <v>0</v>
      </c>
      <c r="J490" s="8">
        <f ca="1">IFERROR(__xludf.DUMMYFUNCTION("""COMPUTED_VALUE"""),0)</f>
        <v>0</v>
      </c>
      <c r="K490" s="10" t="str">
        <f ca="1">IFERROR(__xludf.DUMMYFUNCTION("""COMPUTED_VALUE"""),"https://jeffcosheriffal.com/arrest-made-in-shooting-outside-high-school/
https://www.cbs42.com/news/local/authorities-responding-to-incident-at-hueytown-high-school/
https://abc3340.com/news/local/shots-fired-outside-gym-following-high-school-basketball-g"&amp;"ame-hueytown-leeds-jefferson-county-sheriff-office-police-department-shooting-juvenile-children")</f>
        <v>https://jeffcosheriffal.com/arrest-made-in-shooting-outside-high-school/
https://www.cbs42.com/news/local/authorities-responding-to-incident-at-hueytown-high-school/
https://abc3340.com/news/local/shots-fired-outside-gym-following-high-school-basketball-game-hueytown-leeds-jefferson-county-sheriff-office-police-department-shooting-juvenile-children</v>
      </c>
      <c r="L490" s="8">
        <f ca="1">IFERROR(__xludf.DUMMYFUNCTION("""COMPUTED_VALUE"""),10)</f>
        <v>10</v>
      </c>
      <c r="M490" s="8" t="str">
        <f ca="1">IFERROR(__xludf.DUMMYFUNCTION("""COMPUTED_VALUE"""),"Regional")</f>
        <v>Regional</v>
      </c>
      <c r="N490" s="8">
        <f ca="1">IFERROR(__xludf.DUMMYFUNCTION("""COMPUTED_VALUE"""),4)</f>
        <v>4</v>
      </c>
      <c r="O490" s="8" t="str">
        <f ca="1">IFERROR(__xludf.DUMMYFUNCTION("""COMPUTED_VALUE"""),"Winter")</f>
        <v>Winter</v>
      </c>
      <c r="P490" s="8" t="str">
        <f ca="1">IFERROR(__xludf.DUMMYFUNCTION("""COMPUTED_VALUE"""),"Hueytown")</f>
        <v>Hueytown</v>
      </c>
      <c r="Q490" s="8" t="str">
        <f ca="1">IFERROR(__xludf.DUMMYFUNCTION("""COMPUTED_VALUE"""),"AL")</f>
        <v>AL</v>
      </c>
      <c r="R490" s="8" t="str">
        <f ca="1">IFERROR(__xludf.DUMMYFUNCTION("""COMPUTED_VALUE"""),"High")</f>
        <v>High</v>
      </c>
      <c r="S490" s="8" t="str">
        <f ca="1">IFERROR(__xludf.DUMMYFUNCTION("""COMPUTED_VALUE"""),"Parking Lot")</f>
        <v>Parking Lot</v>
      </c>
      <c r="T490" s="8" t="str">
        <f ca="1">IFERROR(__xludf.DUMMYFUNCTION("""COMPUTED_VALUE"""),"Outside on School Property")</f>
        <v>Outside on School Property</v>
      </c>
      <c r="U490" s="8" t="str">
        <f ca="1">IFERROR(__xludf.DUMMYFUNCTION("""COMPUTED_VALUE"""),"No")</f>
        <v>No</v>
      </c>
      <c r="V490" s="8" t="str">
        <f ca="1">IFERROR(__xludf.DUMMYFUNCTION("""COMPUTED_VALUE"""),"Sport Event")</f>
        <v>Sport Event</v>
      </c>
      <c r="W490" s="11">
        <f ca="1">IFERROR(__xludf.DUMMYFUNCTION("""COMPUTED_VALUE"""),0.895833333333333)</f>
        <v>0.89583333333333304</v>
      </c>
      <c r="X490" s="8">
        <f ca="1">IFERROR(__xludf.DUMMYFUNCTION("""COMPUTED_VALUE"""),1)</f>
        <v>1</v>
      </c>
      <c r="Y490" s="12" t="str">
        <f ca="1">IFERROR(__xludf.DUMMYFUNCTION("""COMPUTED_VALUE"""),"Adult fired shots into the air during dispute after high school basketball game")</f>
        <v>Adult fired shots into the air during dispute after high school basketball game</v>
      </c>
      <c r="Z490" s="12" t="str">
        <f ca="1">IFERROR(__xludf.DUMMYFUNCTION("""COMPUTED_VALUE"""),"According to witnesses, a group of juveniles were involved in a fight in the parking lot of the school when adult family members intervened. One of the family members fired shots in the air and fled the scene with some of the juveniles. Money also stated "&amp;"no one had been shot or injured in the incident. No further information is available at this time.")</f>
        <v>According to witnesses, a group of juveniles were involved in a fight in the parking lot of the school when adult family members intervened. One of the family members fired shots in the air and fled the scene with some of the juveniles. Money also stated no one had been shot or injured in the incident. No further information is available at this time.</v>
      </c>
      <c r="AA490" s="8" t="str">
        <f ca="1">IFERROR(__xludf.DUMMYFUNCTION("""COMPUTED_VALUE"""),"Escalation of Dispute")</f>
        <v>Escalation of Dispute</v>
      </c>
      <c r="AB490" s="8" t="str">
        <f ca="1">IFERROR(__xludf.DUMMYFUNCTION("""COMPUTED_VALUE"""),"Spontaneous")</f>
        <v>Spontaneous</v>
      </c>
      <c r="AC490" s="8" t="str">
        <f ca="1">IFERROR(__xludf.DUMMYFUNCTION("""COMPUTED_VALUE"""),"Yes")</f>
        <v>Yes</v>
      </c>
      <c r="AD490" s="8" t="str">
        <f ca="1">IFERROR(__xludf.DUMMYFUNCTION("""COMPUTED_VALUE"""),"Neither")</f>
        <v>Neither</v>
      </c>
      <c r="AE490" s="8" t="str">
        <f ca="1">IFERROR(__xludf.DUMMYFUNCTION("""COMPUTED_VALUE"""),"No")</f>
        <v>No</v>
      </c>
      <c r="AF490" s="8"/>
      <c r="AG490" s="8" t="str">
        <f ca="1">IFERROR(__xludf.DUMMYFUNCTION("""COMPUTED_VALUE"""),"No")</f>
        <v>No</v>
      </c>
      <c r="AH490" s="8" t="str">
        <f ca="1">IFERROR(__xludf.DUMMYFUNCTION("""COMPUTED_VALUE"""),"No")</f>
        <v>No</v>
      </c>
      <c r="AI490" s="8" t="str">
        <f ca="1">IFERROR(__xludf.DUMMYFUNCTION("""COMPUTED_VALUE"""),"No")</f>
        <v>No</v>
      </c>
      <c r="AJ490" s="8" t="str">
        <f ca="1">IFERROR(__xludf.DUMMYFUNCTION("""COMPUTED_VALUE"""),"No")</f>
        <v>No</v>
      </c>
      <c r="AK490" s="8" t="str">
        <f ca="1">IFERROR(__xludf.DUMMYFUNCTION("""COMPUTED_VALUE"""),"No")</f>
        <v>No</v>
      </c>
      <c r="AL490" s="8"/>
      <c r="AM490" s="8" t="str">
        <f ca="1">IFERROR(__xludf.DUMMYFUNCTION("""COMPUTED_VALUE"""),"No")</f>
        <v>No</v>
      </c>
      <c r="AN490" s="8" t="str">
        <f ca="1">IFERROR(__xludf.DUMMYFUNCTION("""COMPUTED_VALUE"""),"Outside")</f>
        <v>Outside</v>
      </c>
      <c r="AO490" s="8" t="str">
        <f ca="1">IFERROR(__xludf.DUMMYFUNCTION("""COMPUTED_VALUE"""),"No")</f>
        <v>No</v>
      </c>
      <c r="AP490" s="8"/>
      <c r="AQ490" s="8"/>
      <c r="AR490" s="8" t="str">
        <f ca="1">IFERROR(__xludf.DUMMYFUNCTION("""COMPUTED_VALUE"""),"Outside/Off-Property")</f>
        <v>Outside/Off-Property</v>
      </c>
      <c r="AS490" s="8">
        <f ca="1">IFERROR(__xludf.DUMMYFUNCTION("""COMPUTED_VALUE"""),99)</f>
        <v>99</v>
      </c>
      <c r="AT490" s="8" t="str">
        <f ca="1">IFERROR(__xludf.DUMMYFUNCTION("""COMPUTED_VALUE"""),"No")</f>
        <v>No</v>
      </c>
      <c r="AU490" s="8">
        <f ca="1">IFERROR(__xludf.DUMMYFUNCTION("""COMPUTED_VALUE"""),33.430282)</f>
        <v>33.430281999999998</v>
      </c>
      <c r="AV490" s="8">
        <f ca="1">IFERROR(__xludf.DUMMYFUNCTION("""COMPUTED_VALUE"""),-87.032796)</f>
        <v>-87.032796000000005</v>
      </c>
      <c r="AW490" s="8" t="str">
        <f ca="1">IFERROR(__xludf.DUMMYFUNCTION("""COMPUTED_VALUE"""),"Single building indoor hallway")</f>
        <v>Single building indoor hallway</v>
      </c>
      <c r="AX490" s="8">
        <f ca="1">IFERROR(__xludf.DUMMYFUNCTION("""COMPUTED_VALUE"""),35023)</f>
        <v>35023</v>
      </c>
    </row>
    <row r="491" spans="1:50" ht="75" x14ac:dyDescent="0.2">
      <c r="A491" s="8" t="str">
        <f ca="1">IFERROR(__xludf.DUMMYFUNCTION("""COMPUTED_VALUE"""),"20240124TNWEM")</f>
        <v>20240124TNWEM</v>
      </c>
      <c r="B491" s="8">
        <f ca="1">IFERROR(__xludf.DUMMYFUNCTION("""COMPUTED_VALUE"""),1)</f>
        <v>1</v>
      </c>
      <c r="C491" s="8">
        <f ca="1">IFERROR(__xludf.DUMMYFUNCTION("""COMPUTED_VALUE"""),24)</f>
        <v>24</v>
      </c>
      <c r="D491" s="8">
        <f ca="1">IFERROR(__xludf.DUMMYFUNCTION("""COMPUTED_VALUE"""),2024)</f>
        <v>2024</v>
      </c>
      <c r="E491" s="9">
        <f ca="1">IFERROR(__xludf.DUMMYFUNCTION("""COMPUTED_VALUE"""),45315)</f>
        <v>45315</v>
      </c>
      <c r="F491" s="8" t="str">
        <f ca="1">IFERROR(__xludf.DUMMYFUNCTION("""COMPUTED_VALUE"""),"Weaver Elementary School")</f>
        <v>Weaver Elementary School</v>
      </c>
      <c r="G491" s="8">
        <f ca="1">IFERROR(__xludf.DUMMYFUNCTION("""COMPUTED_VALUE"""),1)</f>
        <v>1</v>
      </c>
      <c r="H491" s="8">
        <f ca="1">IFERROR(__xludf.DUMMYFUNCTION("""COMPUTED_VALUE"""),0)</f>
        <v>0</v>
      </c>
      <c r="I491" s="8">
        <f ca="1">IFERROR(__xludf.DUMMYFUNCTION("""COMPUTED_VALUE"""),1)</f>
        <v>1</v>
      </c>
      <c r="J491" s="8">
        <f ca="1">IFERROR(__xludf.DUMMYFUNCTION("""COMPUTED_VALUE"""),0)</f>
        <v>0</v>
      </c>
      <c r="K491" s="10" t="str">
        <f ca="1">IFERROR(__xludf.DUMMYFUNCTION("""COMPUTED_VALUE"""),"https://wreg.com/news/local/shooting-near-west-memphis-school-kills-one/")</f>
        <v>https://wreg.com/news/local/shooting-near-west-memphis-school-kills-one/</v>
      </c>
      <c r="L491" s="8">
        <f ca="1">IFERROR(__xludf.DUMMYFUNCTION("""COMPUTED_VALUE"""),5)</f>
        <v>5</v>
      </c>
      <c r="M491" s="8" t="str">
        <f ca="1">IFERROR(__xludf.DUMMYFUNCTION("""COMPUTED_VALUE"""),"Local")</f>
        <v>Local</v>
      </c>
      <c r="N491" s="8">
        <f ca="1">IFERROR(__xludf.DUMMYFUNCTION("""COMPUTED_VALUE"""),4)</f>
        <v>4</v>
      </c>
      <c r="O491" s="8" t="str">
        <f ca="1">IFERROR(__xludf.DUMMYFUNCTION("""COMPUTED_VALUE"""),"Winter")</f>
        <v>Winter</v>
      </c>
      <c r="P491" s="8" t="str">
        <f ca="1">IFERROR(__xludf.DUMMYFUNCTION("""COMPUTED_VALUE"""),"Memphis")</f>
        <v>Memphis</v>
      </c>
      <c r="Q491" s="8" t="str">
        <f ca="1">IFERROR(__xludf.DUMMYFUNCTION("""COMPUTED_VALUE"""),"TN")</f>
        <v>TN</v>
      </c>
      <c r="R491" s="8" t="str">
        <f ca="1">IFERROR(__xludf.DUMMYFUNCTION("""COMPUTED_VALUE"""),"Elementary")</f>
        <v>Elementary</v>
      </c>
      <c r="S491" s="8" t="str">
        <f ca="1">IFERROR(__xludf.DUMMYFUNCTION("""COMPUTED_VALUE"""),"Parking Lot")</f>
        <v>Parking Lot</v>
      </c>
      <c r="T491" s="8" t="str">
        <f ca="1">IFERROR(__xludf.DUMMYFUNCTION("""COMPUTED_VALUE"""),"Outside on School Property")</f>
        <v>Outside on School Property</v>
      </c>
      <c r="U491" s="8" t="str">
        <f ca="1">IFERROR(__xludf.DUMMYFUNCTION("""COMPUTED_VALUE"""),"Yes")</f>
        <v>Yes</v>
      </c>
      <c r="V491" s="8" t="str">
        <f ca="1">IFERROR(__xludf.DUMMYFUNCTION("""COMPUTED_VALUE"""),"Dismissal")</f>
        <v>Dismissal</v>
      </c>
      <c r="W491" s="11">
        <f ca="1">IFERROR(__xludf.DUMMYFUNCTION("""COMPUTED_VALUE"""),0.625)</f>
        <v>0.625</v>
      </c>
      <c r="X491" s="8">
        <f ca="1">IFERROR(__xludf.DUMMYFUNCTION("""COMPUTED_VALUE"""),1)</f>
        <v>1</v>
      </c>
      <c r="Y491" s="12" t="str">
        <f ca="1">IFERROR(__xludf.DUMMYFUNCTION("""COMPUTED_VALUE"""),"Parent fatally shot while picking children up at dismissal")</f>
        <v>Parent fatally shot while picking children up at dismissal</v>
      </c>
      <c r="Z491" s="12" t="str">
        <f ca="1">IFERROR(__xludf.DUMMYFUNCTION("""COMPUTED_VALUE"""),"Parent was fatally shot outside the school while picking his children up at dismissal. Other student, staff, and parents witnessed the shooting. Student and staff when back into the building to lockdown while police investigated. Shooter fled.")</f>
        <v>Parent was fatally shot outside the school while picking his children up at dismissal. Other student, staff, and parents witnessed the shooting. Student and staff when back into the building to lockdown while police investigated. Shooter fled.</v>
      </c>
      <c r="AA491" s="8"/>
      <c r="AB491" s="8" t="str">
        <f ca="1">IFERROR(__xludf.DUMMYFUNCTION("""COMPUTED_VALUE"""),"Targeted")</f>
        <v>Targeted</v>
      </c>
      <c r="AC491" s="8" t="str">
        <f ca="1">IFERROR(__xludf.DUMMYFUNCTION("""COMPUTED_VALUE"""),"Yes")</f>
        <v>Yes</v>
      </c>
      <c r="AD491" s="8" t="str">
        <f ca="1">IFERROR(__xludf.DUMMYFUNCTION("""COMPUTED_VALUE"""),"Victims Targeted")</f>
        <v>Victims Targeted</v>
      </c>
      <c r="AE491" s="8" t="str">
        <f ca="1">IFERROR(__xludf.DUMMYFUNCTION("""COMPUTED_VALUE"""),"No")</f>
        <v>No</v>
      </c>
      <c r="AF491" s="8"/>
      <c r="AG491" s="8" t="str">
        <f ca="1">IFERROR(__xludf.DUMMYFUNCTION("""COMPUTED_VALUE"""),"No")</f>
        <v>No</v>
      </c>
      <c r="AH491" s="8" t="str">
        <f ca="1">IFERROR(__xludf.DUMMYFUNCTION("""COMPUTED_VALUE"""),"No")</f>
        <v>No</v>
      </c>
      <c r="AI491" s="8" t="str">
        <f ca="1">IFERROR(__xludf.DUMMYFUNCTION("""COMPUTED_VALUE"""),"No")</f>
        <v>No</v>
      </c>
      <c r="AJ491" s="8" t="str">
        <f ca="1">IFERROR(__xludf.DUMMYFUNCTION("""COMPUTED_VALUE"""),"No")</f>
        <v>No</v>
      </c>
      <c r="AK491" s="8" t="str">
        <f ca="1">IFERROR(__xludf.DUMMYFUNCTION("""COMPUTED_VALUE"""),"No")</f>
        <v>No</v>
      </c>
      <c r="AL491" s="8"/>
      <c r="AM491" s="8" t="str">
        <f ca="1">IFERROR(__xludf.DUMMYFUNCTION("""COMPUTED_VALUE"""),"No")</f>
        <v>No</v>
      </c>
      <c r="AN491" s="8" t="str">
        <f ca="1">IFERROR(__xludf.DUMMYFUNCTION("""COMPUTED_VALUE"""),"Outside")</f>
        <v>Outside</v>
      </c>
      <c r="AO491" s="8" t="str">
        <f ca="1">IFERROR(__xludf.DUMMYFUNCTION("""COMPUTED_VALUE"""),"No")</f>
        <v>No</v>
      </c>
      <c r="AP491" s="8"/>
      <c r="AQ491" s="8"/>
      <c r="AR491" s="8" t="str">
        <f ca="1">IFERROR(__xludf.DUMMYFUNCTION("""COMPUTED_VALUE"""),"Outside/Off-Property")</f>
        <v>Outside/Off-Property</v>
      </c>
      <c r="AS491" s="8">
        <f ca="1">IFERROR(__xludf.DUMMYFUNCTION("""COMPUTED_VALUE"""),99)</f>
        <v>99</v>
      </c>
      <c r="AT491" s="8" t="str">
        <f ca="1">IFERROR(__xludf.DUMMYFUNCTION("""COMPUTED_VALUE"""),"Yes")</f>
        <v>Yes</v>
      </c>
      <c r="AU491" s="8">
        <f ca="1">IFERROR(__xludf.DUMMYFUNCTION("""COMPUTED_VALUE"""),35.154243)</f>
        <v>35.154243000000001</v>
      </c>
      <c r="AV491" s="8">
        <f ca="1">IFERROR(__xludf.DUMMYFUNCTION("""COMPUTED_VALUE"""),-90.169618)</f>
        <v>-90.169618</v>
      </c>
      <c r="AW491" s="8" t="str">
        <f ca="1">IFERROR(__xludf.DUMMYFUNCTION("""COMPUTED_VALUE"""),"Multiple detached buildings")</f>
        <v>Multiple detached buildings</v>
      </c>
      <c r="AX491" s="8">
        <f ca="1">IFERROR(__xludf.DUMMYFUNCTION("""COMPUTED_VALUE"""),72301)</f>
        <v>72301</v>
      </c>
    </row>
    <row r="492" spans="1:50" ht="409.5" x14ac:dyDescent="0.2">
      <c r="A492" s="8" t="str">
        <f ca="1">IFERROR(__xludf.DUMMYFUNCTION("""COMPUTED_VALUE"""),"20240122ILCIC")</f>
        <v>20240122ILCIC</v>
      </c>
      <c r="B492" s="8">
        <f ca="1">IFERROR(__xludf.DUMMYFUNCTION("""COMPUTED_VALUE"""),1)</f>
        <v>1</v>
      </c>
      <c r="C492" s="8">
        <f ca="1">IFERROR(__xludf.DUMMYFUNCTION("""COMPUTED_VALUE"""),22)</f>
        <v>22</v>
      </c>
      <c r="D492" s="8">
        <f ca="1">IFERROR(__xludf.DUMMYFUNCTION("""COMPUTED_VALUE"""),2024)</f>
        <v>2024</v>
      </c>
      <c r="E492" s="9">
        <f ca="1">IFERROR(__xludf.DUMMYFUNCTION("""COMPUTED_VALUE"""),45313)</f>
        <v>45313</v>
      </c>
      <c r="F492" s="8" t="str">
        <f ca="1">IFERROR(__xludf.DUMMYFUNCTION("""COMPUTED_VALUE"""),"CICS Loomis-Longwood High School")</f>
        <v>CICS Loomis-Longwood High School</v>
      </c>
      <c r="G492" s="8">
        <f ca="1">IFERROR(__xludf.DUMMYFUNCTION("""COMPUTED_VALUE"""),1)</f>
        <v>1</v>
      </c>
      <c r="H492" s="8">
        <f ca="1">IFERROR(__xludf.DUMMYFUNCTION("""COMPUTED_VALUE"""),1)</f>
        <v>1</v>
      </c>
      <c r="I492" s="8">
        <f ca="1">IFERROR(__xludf.DUMMYFUNCTION("""COMPUTED_VALUE"""),2)</f>
        <v>2</v>
      </c>
      <c r="J492" s="8">
        <f ca="1">IFERROR(__xludf.DUMMYFUNCTION("""COMPUTED_VALUE"""),0)</f>
        <v>0</v>
      </c>
      <c r="K492" s="10" t="str">
        <f ca="1">IFERROR(__xludf.DUMMYFUNCTION("""COMPUTED_VALUE"""),"https://chicago.suntimes.com/crime/2024/1/22/24047515/brothers-shot-fatally-cics-wood-longwood-chicago-maurice-clay")</f>
        <v>https://chicago.suntimes.com/crime/2024/1/22/24047515/brothers-shot-fatally-cics-wood-longwood-chicago-maurice-clay</v>
      </c>
      <c r="L492" s="8">
        <f ca="1">IFERROR(__xludf.DUMMYFUNCTION("""COMPUTED_VALUE"""),10)</f>
        <v>10</v>
      </c>
      <c r="M492" s="8" t="str">
        <f ca="1">IFERROR(__xludf.DUMMYFUNCTION("""COMPUTED_VALUE"""),"Local")</f>
        <v>Local</v>
      </c>
      <c r="N492" s="8">
        <f ca="1">IFERROR(__xludf.DUMMYFUNCTION("""COMPUTED_VALUE"""),4)</f>
        <v>4</v>
      </c>
      <c r="O492" s="8" t="str">
        <f ca="1">IFERROR(__xludf.DUMMYFUNCTION("""COMPUTED_VALUE"""),"Winter")</f>
        <v>Winter</v>
      </c>
      <c r="P492" s="8" t="str">
        <f ca="1">IFERROR(__xludf.DUMMYFUNCTION("""COMPUTED_VALUE"""),"Chicago")</f>
        <v>Chicago</v>
      </c>
      <c r="Q492" s="8" t="str">
        <f ca="1">IFERROR(__xludf.DUMMYFUNCTION("""COMPUTED_VALUE"""),"IL")</f>
        <v>IL</v>
      </c>
      <c r="R492" s="8" t="str">
        <f ca="1">IFERROR(__xludf.DUMMYFUNCTION("""COMPUTED_VALUE"""),"High")</f>
        <v>High</v>
      </c>
      <c r="S492" s="8" t="str">
        <f ca="1">IFERROR(__xludf.DUMMYFUNCTION("""COMPUTED_VALUE"""),"Front of School")</f>
        <v>Front of School</v>
      </c>
      <c r="T492" s="8" t="str">
        <f ca="1">IFERROR(__xludf.DUMMYFUNCTION("""COMPUTED_VALUE"""),"Outside on School Property")</f>
        <v>Outside on School Property</v>
      </c>
      <c r="U492" s="8" t="str">
        <f ca="1">IFERROR(__xludf.DUMMYFUNCTION("""COMPUTED_VALUE"""),"No")</f>
        <v>No</v>
      </c>
      <c r="V492" s="8" t="str">
        <f ca="1">IFERROR(__xludf.DUMMYFUNCTION("""COMPUTED_VALUE"""),"Sport Event")</f>
        <v>Sport Event</v>
      </c>
      <c r="W492" s="11">
        <f ca="1">IFERROR(__xludf.DUMMYFUNCTION("""COMPUTED_VALUE"""),0.71875)</f>
        <v>0.71875</v>
      </c>
      <c r="X492" s="8">
        <f ca="1">IFERROR(__xludf.DUMMYFUNCTION("""COMPUTED_VALUE"""),1)</f>
        <v>1</v>
      </c>
      <c r="Y492" s="12" t="str">
        <f ca="1">IFERROR(__xludf.DUMMYFUNCTION("""COMPUTED_VALUE"""),"Two brothers shot outside basketball game following dispute")</f>
        <v>Two brothers shot outside basketball game following dispute</v>
      </c>
      <c r="Z492" s="12" t="str">
        <f ca="1">IFERROR(__xludf.DUMMYFUNCTION("""COMPUTED_VALUE"""),"Police had been called to a South Side high school after a “disturbance” broke out among students Monday evening — including one who had warned officials they should guard the exits because “this is not over,” a police report said. An officer said police "&amp;"ensured no weapons were seen inside the school, CICS Loomis-Longwood at 1309 W. 95th St., and said they were able to “gain control of the situation” after they arrived. Police then made sure one of the students involved, 18-year-old Maurice Clay, was esco"&amp;"rted outside and released to his older brother, Martell. But minutes after police left, a small black car with a missing bumper drove up, and someone got out and fired “dozens of rounds,” the brother said — striking both of them. One of the students invol"&amp;"ved in the scuffle allegedly said, “Have somebody on all the exits because this is not over,” the report said. “You should cancel school tomorrow.” Security guards also informed officers another “individual” had attempted to enter the school and was gestu"&amp;"ring inside his jacket “like he had a weapon,” according to the police report. Officers said they spoke with a school official who said Maurice Clay and another student were later refusing to leave the school gym, but said things were “under control” afte"&amp;"r the students were escorted out. Police said they stayed with Maurice Clay until his brother arrived in an Uber to pick him up. Martell Clay said he saw the police squad car when he arrived. After police left, the two waited for another brother to arrive"&amp;", Martell Clay said, so they could go home to safety. The shooting, he said, took place 10-15 minutes later. Investigators recovered multiple shell casings from two guns, one of which was possibly a rifle, the report said.")</f>
        <v>Police had been called to a South Side high school after a “disturbance” broke out among students Monday evening — including one who had warned officials they should guard the exits because “this is not over,” a police report said. An officer said police ensured no weapons were seen inside the school, CICS Loomis-Longwood at 1309 W. 95th St., and said they were able to “gain control of the situation” after they arrived. Police then made sure one of the students involved, 18-year-old Maurice Clay, was escorted outside and released to his older brother, Martell. But minutes after police left, a small black car with a missing bumper drove up, and someone got out and fired “dozens of rounds,” the brother said — striking both of them. One of the students involved in the scuffle allegedly said, “Have somebody on all the exits because this is not over,” the report said. “You should cancel school tomorrow.” Security guards also informed officers another “individual” had attempted to enter the school and was gesturing inside his jacket “like he had a weapon,” according to the police report. Officers said they spoke with a school official who said Maurice Clay and another student were later refusing to leave the school gym, but said things were “under control” after the students were escorted out. Police said they stayed with Maurice Clay until his brother arrived in an Uber to pick him up. Martell Clay said he saw the police squad car when he arrived. After police left, the two waited for another brother to arrive, Martell Clay said, so they could go home to safety. The shooting, he said, took place 10-15 minutes later. Investigators recovered multiple shell casings from two guns, one of which was possibly a rifle, the report said.</v>
      </c>
      <c r="AA492" s="8" t="str">
        <f ca="1">IFERROR(__xludf.DUMMYFUNCTION("""COMPUTED_VALUE"""),"Escalation of Dispute")</f>
        <v>Escalation of Dispute</v>
      </c>
      <c r="AB492" s="8" t="str">
        <f ca="1">IFERROR(__xludf.DUMMYFUNCTION("""COMPUTED_VALUE"""),"Targeted")</f>
        <v>Targeted</v>
      </c>
      <c r="AC492" s="8" t="str">
        <f ca="1">IFERROR(__xludf.DUMMYFUNCTION("""COMPUTED_VALUE"""),"Yes")</f>
        <v>Yes</v>
      </c>
      <c r="AD492" s="8" t="str">
        <f ca="1">IFERROR(__xludf.DUMMYFUNCTION("""COMPUTED_VALUE"""),"Victims Targeted")</f>
        <v>Victims Targeted</v>
      </c>
      <c r="AE492" s="8" t="str">
        <f ca="1">IFERROR(__xludf.DUMMYFUNCTION("""COMPUTED_VALUE"""),"Yes")</f>
        <v>Yes</v>
      </c>
      <c r="AF492" s="8" t="str">
        <f ca="1">IFERROR(__xludf.DUMMYFUNCTION("""COMPUTED_VALUE"""),"Two guns fired from vehicle")</f>
        <v>Two guns fired from vehicle</v>
      </c>
      <c r="AG492" s="8" t="str">
        <f ca="1">IFERROR(__xludf.DUMMYFUNCTION("""COMPUTED_VALUE"""),"No")</f>
        <v>No</v>
      </c>
      <c r="AH492" s="8" t="str">
        <f ca="1">IFERROR(__xludf.DUMMYFUNCTION("""COMPUTED_VALUE"""),"No")</f>
        <v>No</v>
      </c>
      <c r="AI492" s="8" t="str">
        <f ca="1">IFERROR(__xludf.DUMMYFUNCTION("""COMPUTED_VALUE"""),"No")</f>
        <v>No</v>
      </c>
      <c r="AJ492" s="8" t="str">
        <f ca="1">IFERROR(__xludf.DUMMYFUNCTION("""COMPUTED_VALUE"""),"No")</f>
        <v>No</v>
      </c>
      <c r="AK492" s="8" t="str">
        <f ca="1">IFERROR(__xludf.DUMMYFUNCTION("""COMPUTED_VALUE"""),"No")</f>
        <v>No</v>
      </c>
      <c r="AL492" s="8" t="str">
        <f ca="1">IFERROR(__xludf.DUMMYFUNCTION("""COMPUTED_VALUE"""),"Yes")</f>
        <v>Yes</v>
      </c>
      <c r="AM492" s="8" t="str">
        <f ca="1">IFERROR(__xludf.DUMMYFUNCTION("""COMPUTED_VALUE"""),"No")</f>
        <v>No</v>
      </c>
      <c r="AN492" s="8" t="str">
        <f ca="1">IFERROR(__xludf.DUMMYFUNCTION("""COMPUTED_VALUE"""),"Outside")</f>
        <v>Outside</v>
      </c>
      <c r="AO492" s="8" t="str">
        <f ca="1">IFERROR(__xludf.DUMMYFUNCTION("""COMPUTED_VALUE"""),"No")</f>
        <v>No</v>
      </c>
      <c r="AP492" s="8"/>
      <c r="AQ492" s="8"/>
      <c r="AR492" s="8" t="str">
        <f ca="1">IFERROR(__xludf.DUMMYFUNCTION("""COMPUTED_VALUE"""),"Outside/Off-Property")</f>
        <v>Outside/Off-Property</v>
      </c>
      <c r="AS492" s="8">
        <f ca="1">IFERROR(__xludf.DUMMYFUNCTION("""COMPUTED_VALUE"""),99)</f>
        <v>99</v>
      </c>
      <c r="AT492" s="8" t="str">
        <f ca="1">IFERROR(__xludf.DUMMYFUNCTION("""COMPUTED_VALUE"""),"No")</f>
        <v>No</v>
      </c>
      <c r="AU492" s="8">
        <f ca="1">IFERROR(__xludf.DUMMYFUNCTION("""COMPUTED_VALUE"""),41.720521)</f>
        <v>41.720520999999998</v>
      </c>
      <c r="AV492" s="8">
        <f ca="1">IFERROR(__xludf.DUMMYFUNCTION("""COMPUTED_VALUE"""),-87.656287)</f>
        <v>-87.656287000000006</v>
      </c>
      <c r="AW492" s="8" t="str">
        <f ca="1">IFERROR(__xludf.DUMMYFUNCTION("""COMPUTED_VALUE"""),"Multiple detached buildings")</f>
        <v>Multiple detached buildings</v>
      </c>
      <c r="AX492" s="8">
        <f ca="1">IFERROR(__xludf.DUMMYFUNCTION("""COMPUTED_VALUE"""),60643)</f>
        <v>60643</v>
      </c>
    </row>
    <row r="493" spans="1:50" ht="225" x14ac:dyDescent="0.2">
      <c r="A493" s="8" t="str">
        <f ca="1">IFERROR(__xludf.DUMMYFUNCTION("""COMPUTED_VALUE"""),"20240118MNCOS")</f>
        <v>20240118MNCOS</v>
      </c>
      <c r="B493" s="8">
        <f ca="1">IFERROR(__xludf.DUMMYFUNCTION("""COMPUTED_VALUE"""),1)</f>
        <v>1</v>
      </c>
      <c r="C493" s="8">
        <f ca="1">IFERROR(__xludf.DUMMYFUNCTION("""COMPUTED_VALUE"""),18)</f>
        <v>18</v>
      </c>
      <c r="D493" s="8">
        <f ca="1">IFERROR(__xludf.DUMMYFUNCTION("""COMPUTED_VALUE"""),2024)</f>
        <v>2024</v>
      </c>
      <c r="E493" s="9">
        <f ca="1">IFERROR(__xludf.DUMMYFUNCTION("""COMPUTED_VALUE"""),45309)</f>
        <v>45309</v>
      </c>
      <c r="F493" s="8" t="str">
        <f ca="1">IFERROR(__xludf.DUMMYFUNCTION("""COMPUTED_VALUE"""),"Como Park Elementary School")</f>
        <v>Como Park Elementary School</v>
      </c>
      <c r="G493" s="8">
        <f ca="1">IFERROR(__xludf.DUMMYFUNCTION("""COMPUTED_VALUE"""),0)</f>
        <v>0</v>
      </c>
      <c r="H493" s="8">
        <f ca="1">IFERROR(__xludf.DUMMYFUNCTION("""COMPUTED_VALUE"""),1)</f>
        <v>1</v>
      </c>
      <c r="I493" s="8">
        <f ca="1">IFERROR(__xludf.DUMMYFUNCTION("""COMPUTED_VALUE"""),1)</f>
        <v>1</v>
      </c>
      <c r="J493" s="8">
        <f ca="1">IFERROR(__xludf.DUMMYFUNCTION("""COMPUTED_VALUE"""),0)</f>
        <v>0</v>
      </c>
      <c r="K493" s="10" t="str">
        <f ca="1">IFERROR(__xludf.DUMMYFUNCTION("""COMPUTED_VALUE"""),"https://www.cbsnews.com/minnesota/news/man-accidentally-shot-in-leg-playing-basketball-at-st-paul-elementary-school/")</f>
        <v>https://www.cbsnews.com/minnesota/news/man-accidentally-shot-in-leg-playing-basketball-at-st-paul-elementary-school/</v>
      </c>
      <c r="L493" s="8">
        <f ca="1">IFERROR(__xludf.DUMMYFUNCTION("""COMPUTED_VALUE"""),3)</f>
        <v>3</v>
      </c>
      <c r="M493" s="8" t="str">
        <f ca="1">IFERROR(__xludf.DUMMYFUNCTION("""COMPUTED_VALUE"""),"Local")</f>
        <v>Local</v>
      </c>
      <c r="N493" s="8">
        <f ca="1">IFERROR(__xludf.DUMMYFUNCTION("""COMPUTED_VALUE"""),4)</f>
        <v>4</v>
      </c>
      <c r="O493" s="8" t="str">
        <f ca="1">IFERROR(__xludf.DUMMYFUNCTION("""COMPUTED_VALUE"""),"Winter")</f>
        <v>Winter</v>
      </c>
      <c r="P493" s="8" t="str">
        <f ca="1">IFERROR(__xludf.DUMMYFUNCTION("""COMPUTED_VALUE"""),"St. Paul")</f>
        <v>St. Paul</v>
      </c>
      <c r="Q493" s="8" t="str">
        <f ca="1">IFERROR(__xludf.DUMMYFUNCTION("""COMPUTED_VALUE"""),"MN")</f>
        <v>MN</v>
      </c>
      <c r="R493" s="8" t="str">
        <f ca="1">IFERROR(__xludf.DUMMYFUNCTION("""COMPUTED_VALUE"""),"Elementary")</f>
        <v>Elementary</v>
      </c>
      <c r="S493" s="8" t="str">
        <f ca="1">IFERROR(__xludf.DUMMYFUNCTION("""COMPUTED_VALUE"""),"Gym")</f>
        <v>Gym</v>
      </c>
      <c r="T493" s="8" t="str">
        <f ca="1">IFERROR(__xludf.DUMMYFUNCTION("""COMPUTED_VALUE"""),"Inside School Building")</f>
        <v>Inside School Building</v>
      </c>
      <c r="U493" s="8" t="str">
        <f ca="1">IFERROR(__xludf.DUMMYFUNCTION("""COMPUTED_VALUE"""),"No")</f>
        <v>No</v>
      </c>
      <c r="V493" s="8" t="str">
        <f ca="1">IFERROR(__xludf.DUMMYFUNCTION("""COMPUTED_VALUE"""),"Evening")</f>
        <v>Evening</v>
      </c>
      <c r="W493" s="11">
        <f ca="1">IFERROR(__xludf.DUMMYFUNCTION("""COMPUTED_VALUE"""),0.739583333333333)</f>
        <v>0.73958333333333304</v>
      </c>
      <c r="X493" s="8">
        <f ca="1">IFERROR(__xludf.DUMMYFUNCTION("""COMPUTED_VALUE"""),1)</f>
        <v>1</v>
      </c>
      <c r="Y493" s="12" t="str">
        <f ca="1">IFERROR(__xludf.DUMMYFUNCTION("""COMPUTED_VALUE"""),"Man shot self in the leg while playing basketball in school gym")</f>
        <v>Man shot self in the leg while playing basketball in school gym</v>
      </c>
      <c r="Z493" s="12" t="str">
        <f ca="1">IFERROR(__xludf.DUMMYFUNCTION("""COMPUTED_VALUE"""),"Police in St. Paul say a man accidentally shot himself in the leg during an open house at an elementary school Thursday night. Officers were called to Como Elementary School on a report of a person accidentally shot with their own gun around 5:45 p.m., ac"&amp;"cording to the St. Paul Police Department. Upon arrival, officers found a 30-year-old man with a gunshot injury to the leg. He was transported to Regions Hospital for treatment. Police say the man had been playing basketball while carrying a handgun on hi"&amp;"s body, unholstered, when it discharged. According to school officials, the incident happened inside the gymnasium. The man reportedly had a valid permit to carry a firearm. The school says a district crisis team is available for students and staff on Fri"&amp;"day, in addition to the school counselor and social worker. ")</f>
        <v xml:space="preserve">Police in St. Paul say a man accidentally shot himself in the leg during an open house at an elementary school Thursday night. Officers were called to Como Elementary School on a report of a person accidentally shot with their own gun around 5:45 p.m., according to the St. Paul Police Department. Upon arrival, officers found a 30-year-old man with a gunshot injury to the leg. He was transported to Regions Hospital for treatment. Police say the man had been playing basketball while carrying a handgun on his body, unholstered, when it discharged. According to school officials, the incident happened inside the gymnasium. The man reportedly had a valid permit to carry a firearm. The school says a district crisis team is available for students and staff on Friday, in addition to the school counselor and social worker. </v>
      </c>
      <c r="AA493" s="8" t="str">
        <f ca="1">IFERROR(__xludf.DUMMYFUNCTION("""COMPUTED_VALUE"""),"Accidental")</f>
        <v>Accidental</v>
      </c>
      <c r="AB493" s="8" t="str">
        <f ca="1">IFERROR(__xludf.DUMMYFUNCTION("""COMPUTED_VALUE"""),"Spontaneous")</f>
        <v>Spontaneous</v>
      </c>
      <c r="AC493" s="8" t="str">
        <f ca="1">IFERROR(__xludf.DUMMYFUNCTION("""COMPUTED_VALUE"""),"Yes")</f>
        <v>Yes</v>
      </c>
      <c r="AD493" s="8" t="str">
        <f ca="1">IFERROR(__xludf.DUMMYFUNCTION("""COMPUTED_VALUE"""),"Neither")</f>
        <v>Neither</v>
      </c>
      <c r="AE493" s="8" t="str">
        <f ca="1">IFERROR(__xludf.DUMMYFUNCTION("""COMPUTED_VALUE"""),"No")</f>
        <v>No</v>
      </c>
      <c r="AF493" s="8"/>
      <c r="AG493" s="8" t="str">
        <f ca="1">IFERROR(__xludf.DUMMYFUNCTION("""COMPUTED_VALUE"""),"No")</f>
        <v>No</v>
      </c>
      <c r="AH493" s="8" t="str">
        <f ca="1">IFERROR(__xludf.DUMMYFUNCTION("""COMPUTED_VALUE"""),"No")</f>
        <v>No</v>
      </c>
      <c r="AI493" s="8" t="str">
        <f ca="1">IFERROR(__xludf.DUMMYFUNCTION("""COMPUTED_VALUE"""),"No")</f>
        <v>No</v>
      </c>
      <c r="AJ493" s="8" t="str">
        <f ca="1">IFERROR(__xludf.DUMMYFUNCTION("""COMPUTED_VALUE"""),"No")</f>
        <v>No</v>
      </c>
      <c r="AK493" s="8" t="str">
        <f ca="1">IFERROR(__xludf.DUMMYFUNCTION("""COMPUTED_VALUE"""),"No")</f>
        <v>No</v>
      </c>
      <c r="AL493" s="8" t="str">
        <f ca="1">IFERROR(__xludf.DUMMYFUNCTION("""COMPUTED_VALUE"""),"No")</f>
        <v>No</v>
      </c>
      <c r="AM493" s="8" t="str">
        <f ca="1">IFERROR(__xludf.DUMMYFUNCTION("""COMPUTED_VALUE"""),"No")</f>
        <v>No</v>
      </c>
      <c r="AN493" s="8" t="str">
        <f ca="1">IFERROR(__xludf.DUMMYFUNCTION("""COMPUTED_VALUE"""),"Single Room")</f>
        <v>Single Room</v>
      </c>
      <c r="AO493" s="8" t="str">
        <f ca="1">IFERROR(__xludf.DUMMYFUNCTION("""COMPUTED_VALUE"""),"No")</f>
        <v>No</v>
      </c>
      <c r="AP493" s="8"/>
      <c r="AQ493" s="8"/>
      <c r="AR493" s="8" t="str">
        <f ca="1">IFERROR(__xludf.DUMMYFUNCTION("""COMPUTED_VALUE"""),"Failed")</f>
        <v>Failed</v>
      </c>
      <c r="AS493" s="8">
        <f ca="1">IFERROR(__xludf.DUMMYFUNCTION("""COMPUTED_VALUE"""),1)</f>
        <v>1</v>
      </c>
      <c r="AT493" s="8" t="str">
        <f ca="1">IFERROR(__xludf.DUMMYFUNCTION("""COMPUTED_VALUE"""),"No")</f>
        <v>No</v>
      </c>
      <c r="AU493" s="8">
        <f ca="1">IFERROR(__xludf.DUMMYFUNCTION("""COMPUTED_VALUE"""),44.978088)</f>
        <v>44.978088</v>
      </c>
      <c r="AV493" s="8">
        <f ca="1">IFERROR(__xludf.DUMMYFUNCTION("""COMPUTED_VALUE"""),-93.13351)</f>
        <v>-93.133510000000001</v>
      </c>
      <c r="AW493" s="8" t="str">
        <f ca="1">IFERROR(__xludf.DUMMYFUNCTION("""COMPUTED_VALUE"""),"Single building indoor hallway")</f>
        <v>Single building indoor hallway</v>
      </c>
      <c r="AX493" s="8">
        <f ca="1">IFERROR(__xludf.DUMMYFUNCTION("""COMPUTED_VALUE"""),55117)</f>
        <v>55117</v>
      </c>
    </row>
    <row r="494" spans="1:50" ht="165" x14ac:dyDescent="0.2">
      <c r="A494" s="8" t="str">
        <f ca="1">IFERROR(__xludf.DUMMYFUNCTION("""COMPUTED_VALUE"""),"20240117VAWED")</f>
        <v>20240117VAWED</v>
      </c>
      <c r="B494" s="8">
        <f ca="1">IFERROR(__xludf.DUMMYFUNCTION("""COMPUTED_VALUE"""),1)</f>
        <v>1</v>
      </c>
      <c r="C494" s="8">
        <f ca="1">IFERROR(__xludf.DUMMYFUNCTION("""COMPUTED_VALUE"""),17)</f>
        <v>17</v>
      </c>
      <c r="D494" s="8">
        <f ca="1">IFERROR(__xludf.DUMMYFUNCTION("""COMPUTED_VALUE"""),2024)</f>
        <v>2024</v>
      </c>
      <c r="E494" s="9">
        <f ca="1">IFERROR(__xludf.DUMMYFUNCTION("""COMPUTED_VALUE"""),45308)</f>
        <v>45308</v>
      </c>
      <c r="F494" s="8" t="str">
        <f ca="1">IFERROR(__xludf.DUMMYFUNCTION("""COMPUTED_VALUE"""),"Westwood Middle School")</f>
        <v>Westwood Middle School</v>
      </c>
      <c r="G494" s="8">
        <f ca="1">IFERROR(__xludf.DUMMYFUNCTION("""COMPUTED_VALUE"""),0)</f>
        <v>0</v>
      </c>
      <c r="H494" s="8">
        <f ca="1">IFERROR(__xludf.DUMMYFUNCTION("""COMPUTED_VALUE"""),0)</f>
        <v>0</v>
      </c>
      <c r="I494" s="8">
        <f ca="1">IFERROR(__xludf.DUMMYFUNCTION("""COMPUTED_VALUE"""),0)</f>
        <v>0</v>
      </c>
      <c r="J494" s="8">
        <f ca="1">IFERROR(__xludf.DUMMYFUNCTION("""COMPUTED_VALUE"""),0)</f>
        <v>0</v>
      </c>
      <c r="K494" s="8" t="str">
        <f ca="1">IFERROR(__xludf.DUMMYFUNCTION("""COMPUTED_VALUE"""),"https://godanriver.com/news/local/crime-and-courts/danville-shooting-suspect/article_ba5f488a-bb03-11ee-8b60-f7d43eed5c08.html
https://godanriver.com/news/local/crime-and-courts/danville-shooting-suspect/article_ba5f488a-bb03-11ee-8b60-f7d43eed5c08.html")</f>
        <v>https://godanriver.com/news/local/crime-and-courts/danville-shooting-suspect/article_ba5f488a-bb03-11ee-8b60-f7d43eed5c08.html
https://godanriver.com/news/local/crime-and-courts/danville-shooting-suspect/article_ba5f488a-bb03-11ee-8b60-f7d43eed5c08.html</v>
      </c>
      <c r="L494" s="8">
        <f ca="1">IFERROR(__xludf.DUMMYFUNCTION("""COMPUTED_VALUE"""),2)</f>
        <v>2</v>
      </c>
      <c r="M494" s="8" t="str">
        <f ca="1">IFERROR(__xludf.DUMMYFUNCTION("""COMPUTED_VALUE"""),"Local")</f>
        <v>Local</v>
      </c>
      <c r="N494" s="8">
        <f ca="1">IFERROR(__xludf.DUMMYFUNCTION("""COMPUTED_VALUE"""),4)</f>
        <v>4</v>
      </c>
      <c r="O494" s="8" t="str">
        <f ca="1">IFERROR(__xludf.DUMMYFUNCTION("""COMPUTED_VALUE"""),"Winter")</f>
        <v>Winter</v>
      </c>
      <c r="P494" s="8" t="str">
        <f ca="1">IFERROR(__xludf.DUMMYFUNCTION("""COMPUTED_VALUE"""),"Danville")</f>
        <v>Danville</v>
      </c>
      <c r="Q494" s="8" t="str">
        <f ca="1">IFERROR(__xludf.DUMMYFUNCTION("""COMPUTED_VALUE"""),"VA")</f>
        <v>VA</v>
      </c>
      <c r="R494" s="8" t="str">
        <f ca="1">IFERROR(__xludf.DUMMYFUNCTION("""COMPUTED_VALUE"""),"Middle")</f>
        <v>Middle</v>
      </c>
      <c r="S494" s="8" t="str">
        <f ca="1">IFERROR(__xludf.DUMMYFUNCTION("""COMPUTED_VALUE"""),"Parking Lot")</f>
        <v>Parking Lot</v>
      </c>
      <c r="T494" s="8" t="str">
        <f ca="1">IFERROR(__xludf.DUMMYFUNCTION("""COMPUTED_VALUE"""),"Outside on School Property")</f>
        <v>Outside on School Property</v>
      </c>
      <c r="U494" s="8" t="str">
        <f ca="1">IFERROR(__xludf.DUMMYFUNCTION("""COMPUTED_VALUE"""),"No")</f>
        <v>No</v>
      </c>
      <c r="V494" s="8" t="str">
        <f ca="1">IFERROR(__xludf.DUMMYFUNCTION("""COMPUTED_VALUE"""),"Not a School Day")</f>
        <v>Not a School Day</v>
      </c>
      <c r="W494" s="11">
        <f ca="1">IFERROR(__xludf.DUMMYFUNCTION("""COMPUTED_VALUE"""),0.666666666666666)</f>
        <v>0.66666666666666596</v>
      </c>
      <c r="X494" s="8">
        <f ca="1">IFERROR(__xludf.DUMMYFUNCTION("""COMPUTED_VALUE"""),1)</f>
        <v>1</v>
      </c>
      <c r="Y494" s="12" t="str">
        <f ca="1">IFERROR(__xludf.DUMMYFUNCTION("""COMPUTED_VALUE"""),"Police called for suicidal man with gun in school parking lot, shot by officers")</f>
        <v>Police called for suicidal man with gun in school parking lot, shot by officers</v>
      </c>
      <c r="Z494" s="12" t="str">
        <f ca="1">IFERROR(__xludf.DUMMYFUNCTION("""COMPUTED_VALUE"""),"Police were called for a report of a suspicious man with a weapon. Police found the suspect, who claimed he was armed and suicidal, in the school parking lot. They tried for 25 minutes to negotiate with him. A news release reported the suspect pulled out "&amp;"a handgun from his waistband, and police commanded him to drop it. Then, the suspect fired the gun away from the officers before turning and pointing at them. That’s when the officers fired, hitting armed man. After receiving first aid on the scene, shoot"&amp;"er was taken to Sovah Health-Danville. He was then been transported to another unidentified facility for treatment.")</f>
        <v>Police were called for a report of a suspicious man with a weapon. Police found the suspect, who claimed he was armed and suicidal, in the school parking lot. They tried for 25 minutes to negotiate with him. A news release reported the suspect pulled out a handgun from his waistband, and police commanded him to drop it. Then, the suspect fired the gun away from the officers before turning and pointing at them. That’s when the officers fired, hitting armed man. After receiving first aid on the scene, shooter was taken to Sovah Health-Danville. He was then been transported to another unidentified facility for treatment.</v>
      </c>
      <c r="AA494" s="8" t="str">
        <f ca="1">IFERROR(__xludf.DUMMYFUNCTION("""COMPUTED_VALUE"""),"Suicide/Attempted")</f>
        <v>Suicide/Attempted</v>
      </c>
      <c r="AB494" s="8"/>
      <c r="AC494" s="8" t="str">
        <f ca="1">IFERROR(__xludf.DUMMYFUNCTION("""COMPUTED_VALUE"""),"No")</f>
        <v>No</v>
      </c>
      <c r="AD494" s="8" t="str">
        <f ca="1">IFERROR(__xludf.DUMMYFUNCTION("""COMPUTED_VALUE"""),"Neither")</f>
        <v>Neither</v>
      </c>
      <c r="AE494" s="8" t="str">
        <f ca="1">IFERROR(__xludf.DUMMYFUNCTION("""COMPUTED_VALUE"""),"No")</f>
        <v>No</v>
      </c>
      <c r="AF494" s="8"/>
      <c r="AG494" s="8" t="str">
        <f ca="1">IFERROR(__xludf.DUMMYFUNCTION("""COMPUTED_VALUE"""),"No")</f>
        <v>No</v>
      </c>
      <c r="AH494" s="8" t="str">
        <f ca="1">IFERROR(__xludf.DUMMYFUNCTION("""COMPUTED_VALUE"""),"No")</f>
        <v>No</v>
      </c>
      <c r="AI494" s="8" t="str">
        <f ca="1">IFERROR(__xludf.DUMMYFUNCTION("""COMPUTED_VALUE"""),"No")</f>
        <v>No</v>
      </c>
      <c r="AJ494" s="8" t="str">
        <f ca="1">IFERROR(__xludf.DUMMYFUNCTION("""COMPUTED_VALUE"""),"No")</f>
        <v>No</v>
      </c>
      <c r="AK494" s="8" t="str">
        <f ca="1">IFERROR(__xludf.DUMMYFUNCTION("""COMPUTED_VALUE"""),"No")</f>
        <v>No</v>
      </c>
      <c r="AL494" s="8" t="str">
        <f ca="1">IFERROR(__xludf.DUMMYFUNCTION("""COMPUTED_VALUE"""),"No")</f>
        <v>No</v>
      </c>
      <c r="AM494" s="8" t="str">
        <f ca="1">IFERROR(__xludf.DUMMYFUNCTION("""COMPUTED_VALUE"""),"No")</f>
        <v>No</v>
      </c>
      <c r="AN494" s="8" t="str">
        <f ca="1">IFERROR(__xludf.DUMMYFUNCTION("""COMPUTED_VALUE"""),"Outside")</f>
        <v>Outside</v>
      </c>
      <c r="AO494" s="8" t="str">
        <f ca="1">IFERROR(__xludf.DUMMYFUNCTION("""COMPUTED_VALUE"""),"No")</f>
        <v>No</v>
      </c>
      <c r="AP494" s="8"/>
      <c r="AQ494" s="8"/>
      <c r="AR494" s="8" t="str">
        <f ca="1">IFERROR(__xludf.DUMMYFUNCTION("""COMPUTED_VALUE"""),"Outside/Off-Property")</f>
        <v>Outside/Off-Property</v>
      </c>
      <c r="AS494" s="8">
        <f ca="1">IFERROR(__xludf.DUMMYFUNCTION("""COMPUTED_VALUE"""),99)</f>
        <v>99</v>
      </c>
      <c r="AT494" s="8" t="str">
        <f ca="1">IFERROR(__xludf.DUMMYFUNCTION("""COMPUTED_VALUE"""),"No")</f>
        <v>No</v>
      </c>
      <c r="AU494" s="8">
        <f ca="1">IFERROR(__xludf.DUMMYFUNCTION("""COMPUTED_VALUE"""),36.597339)</f>
        <v>36.597338999999998</v>
      </c>
      <c r="AV494" s="8">
        <f ca="1">IFERROR(__xludf.DUMMYFUNCTION("""COMPUTED_VALUE"""),-79.407979)</f>
        <v>-79.407978999999997</v>
      </c>
      <c r="AW494" s="8" t="str">
        <f ca="1">IFERROR(__xludf.DUMMYFUNCTION("""COMPUTED_VALUE"""),"Single building indoor hallway")</f>
        <v>Single building indoor hallway</v>
      </c>
      <c r="AX494" s="8">
        <f ca="1">IFERROR(__xludf.DUMMYFUNCTION("""COMPUTED_VALUE"""),24540)</f>
        <v>24540</v>
      </c>
    </row>
    <row r="495" spans="1:50" ht="180" x14ac:dyDescent="0.2">
      <c r="A495" s="8" t="str">
        <f ca="1">IFERROR(__xludf.DUMMYFUNCTION("""COMPUTED_VALUE"""),"20240117INLIG")</f>
        <v>20240117INLIG</v>
      </c>
      <c r="B495" s="8">
        <f ca="1">IFERROR(__xludf.DUMMYFUNCTION("""COMPUTED_VALUE"""),1)</f>
        <v>1</v>
      </c>
      <c r="C495" s="8">
        <f ca="1">IFERROR(__xludf.DUMMYFUNCTION("""COMPUTED_VALUE"""),17)</f>
        <v>17</v>
      </c>
      <c r="D495" s="8">
        <f ca="1">IFERROR(__xludf.DUMMYFUNCTION("""COMPUTED_VALUE"""),2024)</f>
        <v>2024</v>
      </c>
      <c r="E495" s="9">
        <f ca="1">IFERROR(__xludf.DUMMYFUNCTION("""COMPUTED_VALUE"""),45308)</f>
        <v>45308</v>
      </c>
      <c r="F495" s="8" t="str">
        <f ca="1">IFERROR(__xludf.DUMMYFUNCTION("""COMPUTED_VALUE"""),"Lighthouse College Prep Academy")</f>
        <v>Lighthouse College Prep Academy</v>
      </c>
      <c r="G495" s="8">
        <f ca="1">IFERROR(__xludf.DUMMYFUNCTION("""COMPUTED_VALUE"""),0)</f>
        <v>0</v>
      </c>
      <c r="H495" s="8">
        <f ca="1">IFERROR(__xludf.DUMMYFUNCTION("""COMPUTED_VALUE"""),0)</f>
        <v>0</v>
      </c>
      <c r="I495" s="8">
        <f ca="1">IFERROR(__xludf.DUMMYFUNCTION("""COMPUTED_VALUE"""),0)</f>
        <v>0</v>
      </c>
      <c r="J495" s="8">
        <f ca="1">IFERROR(__xludf.DUMMYFUNCTION("""COMPUTED_VALUE"""),0)</f>
        <v>0</v>
      </c>
      <c r="K495" s="8" t="str">
        <f ca="1">IFERROR(__xludf.DUMMYFUNCTION("""COMPUTED_VALUE"""),"https://wgntv.com/northwest-indiana/student-charged-after-shot-fired-inside-gary-charter-school/
https://archive.is/z0bx0")</f>
        <v>https://wgntv.com/northwest-indiana/student-charged-after-shot-fired-inside-gary-charter-school/
https://archive.is/z0bx0</v>
      </c>
      <c r="L495" s="8">
        <f ca="1">IFERROR(__xludf.DUMMYFUNCTION("""COMPUTED_VALUE"""),3)</f>
        <v>3</v>
      </c>
      <c r="M495" s="8" t="str">
        <f ca="1">IFERROR(__xludf.DUMMYFUNCTION("""COMPUTED_VALUE"""),"Local")</f>
        <v>Local</v>
      </c>
      <c r="N495" s="8">
        <f ca="1">IFERROR(__xludf.DUMMYFUNCTION("""COMPUTED_VALUE"""),4)</f>
        <v>4</v>
      </c>
      <c r="O495" s="8" t="str">
        <f ca="1">IFERROR(__xludf.DUMMYFUNCTION("""COMPUTED_VALUE"""),"Winter")</f>
        <v>Winter</v>
      </c>
      <c r="P495" s="8" t="str">
        <f ca="1">IFERROR(__xludf.DUMMYFUNCTION("""COMPUTED_VALUE"""),"Gary")</f>
        <v>Gary</v>
      </c>
      <c r="Q495" s="8" t="str">
        <f ca="1">IFERROR(__xludf.DUMMYFUNCTION("""COMPUTED_VALUE"""),"IN")</f>
        <v>IN</v>
      </c>
      <c r="R495" s="8" t="str">
        <f ca="1">IFERROR(__xludf.DUMMYFUNCTION("""COMPUTED_VALUE"""),"High")</f>
        <v>High</v>
      </c>
      <c r="S495" s="8" t="str">
        <f ca="1">IFERROR(__xludf.DUMMYFUNCTION("""COMPUTED_VALUE"""),"Bathroom")</f>
        <v>Bathroom</v>
      </c>
      <c r="T495" s="8" t="str">
        <f ca="1">IFERROR(__xludf.DUMMYFUNCTION("""COMPUTED_VALUE"""),"Inside School Building")</f>
        <v>Inside School Building</v>
      </c>
      <c r="U495" s="8" t="str">
        <f ca="1">IFERROR(__xludf.DUMMYFUNCTION("""COMPUTED_VALUE"""),"Yes")</f>
        <v>Yes</v>
      </c>
      <c r="V495" s="8" t="str">
        <f ca="1">IFERROR(__xludf.DUMMYFUNCTION("""COMPUTED_VALUE"""),"Morning Classes")</f>
        <v>Morning Classes</v>
      </c>
      <c r="W495" s="11">
        <f ca="1">IFERROR(__xludf.DUMMYFUNCTION("""COMPUTED_VALUE"""),0.375)</f>
        <v>0.375</v>
      </c>
      <c r="X495" s="8">
        <f ca="1">IFERROR(__xludf.DUMMYFUNCTION("""COMPUTED_VALUE"""),1)</f>
        <v>1</v>
      </c>
      <c r="Y495" s="12" t="str">
        <f ca="1">IFERROR(__xludf.DUMMYFUNCTION("""COMPUTED_VALUE"""),"Student fired gun inside school bathroom")</f>
        <v>Student fired gun inside school bathroom</v>
      </c>
      <c r="Z495" s="12" t="str">
        <f ca="1">IFERROR(__xludf.DUMMYFUNCTION("""COMPUTED_VALUE"""),"At around 9 a.m. Wednesday, police were dispatched to Lighthouse College Prep Academy, located in the 700 block of Clark Road, on the report of a shot fired inside the school. The school was placed on lockdown by staff and the staff already isolated a stu"&amp;"dent that was possible involved. The school said a shot was fired inside of the boys’ bathroom. A handgun was recovered and a brief struggle ensued between authorities and the student with the gun, police said. The student, a boy, was charged with dangero"&amp;"us possession of a firearm, possession of a firearm on school property, criminal recklessness and resisting law enforcement.")</f>
        <v>At around 9 a.m. Wednesday, police were dispatched to Lighthouse College Prep Academy, located in the 700 block of Clark Road, on the report of a shot fired inside the school. The school was placed on lockdown by staff and the staff already isolated a student that was possible involved. The school said a shot was fired inside of the boys’ bathroom. A handgun was recovered and a brief struggle ensued between authorities and the student with the gun, police said. The student, a boy, was charged with dangerous possession of a firearm, possession of a firearm on school property, criminal recklessness and resisting law enforcement.</v>
      </c>
      <c r="AA495" s="8"/>
      <c r="AB495" s="8" t="str">
        <f ca="1">IFERROR(__xludf.DUMMYFUNCTION("""COMPUTED_VALUE"""),"Spontaneous")</f>
        <v>Spontaneous</v>
      </c>
      <c r="AC495" s="8" t="str">
        <f ca="1">IFERROR(__xludf.DUMMYFUNCTION("""COMPUTED_VALUE"""),"Yes")</f>
        <v>Yes</v>
      </c>
      <c r="AD495" s="8"/>
      <c r="AE495" s="8" t="str">
        <f ca="1">IFERROR(__xludf.DUMMYFUNCTION("""COMPUTED_VALUE"""),"No")</f>
        <v>No</v>
      </c>
      <c r="AF495" s="8"/>
      <c r="AG495" s="8" t="str">
        <f ca="1">IFERROR(__xludf.DUMMYFUNCTION("""COMPUTED_VALUE"""),"No")</f>
        <v>No</v>
      </c>
      <c r="AH495" s="8" t="str">
        <f ca="1">IFERROR(__xludf.DUMMYFUNCTION("""COMPUTED_VALUE"""),"No")</f>
        <v>No</v>
      </c>
      <c r="AI495" s="8" t="str">
        <f ca="1">IFERROR(__xludf.DUMMYFUNCTION("""COMPUTED_VALUE"""),"No")</f>
        <v>No</v>
      </c>
      <c r="AJ495" s="8"/>
      <c r="AK495" s="8" t="str">
        <f ca="1">IFERROR(__xludf.DUMMYFUNCTION("""COMPUTED_VALUE"""),"No")</f>
        <v>No</v>
      </c>
      <c r="AL495" s="8"/>
      <c r="AM495" s="8" t="str">
        <f ca="1">IFERROR(__xludf.DUMMYFUNCTION("""COMPUTED_VALUE"""),"No")</f>
        <v>No</v>
      </c>
      <c r="AN495" s="8" t="str">
        <f ca="1">IFERROR(__xludf.DUMMYFUNCTION("""COMPUTED_VALUE"""),"Single Room")</f>
        <v>Single Room</v>
      </c>
      <c r="AO495" s="8" t="str">
        <f ca="1">IFERROR(__xludf.DUMMYFUNCTION("""COMPUTED_VALUE"""),"No")</f>
        <v>No</v>
      </c>
      <c r="AP495" s="8"/>
      <c r="AQ495" s="8"/>
      <c r="AR495" s="8" t="str">
        <f ca="1">IFERROR(__xludf.DUMMYFUNCTION("""COMPUTED_VALUE"""),"Failed")</f>
        <v>Failed</v>
      </c>
      <c r="AS495" s="8">
        <f ca="1">IFERROR(__xludf.DUMMYFUNCTION("""COMPUTED_VALUE"""),1)</f>
        <v>1</v>
      </c>
      <c r="AT495" s="8" t="str">
        <f ca="1">IFERROR(__xludf.DUMMYFUNCTION("""COMPUTED_VALUE"""),"Yes")</f>
        <v>Yes</v>
      </c>
      <c r="AU495" s="8">
        <f ca="1">IFERROR(__xludf.DUMMYFUNCTION("""COMPUTED_VALUE"""),41.597973)</f>
        <v>41.597973000000003</v>
      </c>
      <c r="AV495" s="8">
        <f ca="1">IFERROR(__xludf.DUMMYFUNCTION("""COMPUTED_VALUE"""),-87.393147)</f>
        <v>-87.393146999999999</v>
      </c>
      <c r="AW495" s="8" t="str">
        <f ca="1">IFERROR(__xludf.DUMMYFUNCTION("""COMPUTED_VALUE"""),"Multiple detached buildings")</f>
        <v>Multiple detached buildings</v>
      </c>
      <c r="AX495" s="8">
        <f ca="1">IFERROR(__xludf.DUMMYFUNCTION("""COMPUTED_VALUE"""),46406)</f>
        <v>46406</v>
      </c>
    </row>
    <row r="496" spans="1:50" ht="105" x14ac:dyDescent="0.2">
      <c r="A496" s="8" t="str">
        <f ca="1">IFERROR(__xludf.DUMMYFUNCTION("""COMPUTED_VALUE"""),"20240117MDCHE")</f>
        <v>20240117MDCHE</v>
      </c>
      <c r="B496" s="8">
        <f ca="1">IFERROR(__xludf.DUMMYFUNCTION("""COMPUTED_VALUE"""),1)</f>
        <v>1</v>
      </c>
      <c r="C496" s="8">
        <f ca="1">IFERROR(__xludf.DUMMYFUNCTION("""COMPUTED_VALUE"""),17)</f>
        <v>17</v>
      </c>
      <c r="D496" s="8">
        <f ca="1">IFERROR(__xludf.DUMMYFUNCTION("""COMPUTED_VALUE"""),2024)</f>
        <v>2024</v>
      </c>
      <c r="E496" s="9">
        <f ca="1">IFERROR(__xludf.DUMMYFUNCTION("""COMPUTED_VALUE"""),45308)</f>
        <v>45308</v>
      </c>
      <c r="F496" s="8" t="str">
        <f ca="1">IFERROR(__xludf.DUMMYFUNCTION("""COMPUTED_VALUE"""),"Children's Manor Montessori School")</f>
        <v>Children's Manor Montessori School</v>
      </c>
      <c r="G496" s="8">
        <f ca="1">IFERROR(__xludf.DUMMYFUNCTION("""COMPUTED_VALUE"""),1)</f>
        <v>1</v>
      </c>
      <c r="H496" s="8">
        <f ca="1">IFERROR(__xludf.DUMMYFUNCTION("""COMPUTED_VALUE"""),0)</f>
        <v>0</v>
      </c>
      <c r="I496" s="8">
        <f ca="1">IFERROR(__xludf.DUMMYFUNCTION("""COMPUTED_VALUE"""),1)</f>
        <v>1</v>
      </c>
      <c r="J496" s="8">
        <f ca="1">IFERROR(__xludf.DUMMYFUNCTION("""COMPUTED_VALUE"""),0)</f>
        <v>0</v>
      </c>
      <c r="K496" s="8" t="str">
        <f ca="1">IFERROR(__xludf.DUMMYFUNCTION("""COMPUTED_VALUE"""),"https://www.wbaltv.com/article/snow-plow-driver-fatally-shot-ellicott-city/46444331
https://www.wmar2news.com/local/man-found-shot-outside-montessori-school-in-howard-county
https://dailyvoice.com/maryland/howard/man-listed-in-critical-condition-after-bei"&amp;"ng-shot-near-school-in-ellicott-city-police/
https://www.baltimoresun.com/2024/01/18/shooting-injury-near-ellicott-mills-middle/")</f>
        <v>https://www.wbaltv.com/article/snow-plow-driver-fatally-shot-ellicott-city/46444331
https://www.wmar2news.com/local/man-found-shot-outside-montessori-school-in-howard-county
https://dailyvoice.com/maryland/howard/man-listed-in-critical-condition-after-being-shot-near-school-in-ellicott-city-police/
https://www.baltimoresun.com/2024/01/18/shooting-injury-near-ellicott-mills-middle/</v>
      </c>
      <c r="L496" s="8">
        <f ca="1">IFERROR(__xludf.DUMMYFUNCTION("""COMPUTED_VALUE"""),20)</f>
        <v>20</v>
      </c>
      <c r="M496" s="8" t="str">
        <f ca="1">IFERROR(__xludf.DUMMYFUNCTION("""COMPUTED_VALUE"""),"National")</f>
        <v>National</v>
      </c>
      <c r="N496" s="8">
        <f ca="1">IFERROR(__xludf.DUMMYFUNCTION("""COMPUTED_VALUE"""),4)</f>
        <v>4</v>
      </c>
      <c r="O496" s="8" t="str">
        <f ca="1">IFERROR(__xludf.DUMMYFUNCTION("""COMPUTED_VALUE"""),"Winter")</f>
        <v>Winter</v>
      </c>
      <c r="P496" s="8" t="str">
        <f ca="1">IFERROR(__xludf.DUMMYFUNCTION("""COMPUTED_VALUE"""),"Ellicott City")</f>
        <v>Ellicott City</v>
      </c>
      <c r="Q496" s="8" t="str">
        <f ca="1">IFERROR(__xludf.DUMMYFUNCTION("""COMPUTED_VALUE"""),"MD")</f>
        <v>MD</v>
      </c>
      <c r="R496" s="8" t="str">
        <f ca="1">IFERROR(__xludf.DUMMYFUNCTION("""COMPUTED_VALUE"""),"Elementary")</f>
        <v>Elementary</v>
      </c>
      <c r="S496" s="8" t="str">
        <f ca="1">IFERROR(__xludf.DUMMYFUNCTION("""COMPUTED_VALUE"""),"Parking Lot")</f>
        <v>Parking Lot</v>
      </c>
      <c r="T496" s="8" t="str">
        <f ca="1">IFERROR(__xludf.DUMMYFUNCTION("""COMPUTED_VALUE"""),"Outside on School Property")</f>
        <v>Outside on School Property</v>
      </c>
      <c r="U496" s="8" t="str">
        <f ca="1">IFERROR(__xludf.DUMMYFUNCTION("""COMPUTED_VALUE"""),"Yes")</f>
        <v>Yes</v>
      </c>
      <c r="V496" s="8" t="str">
        <f ca="1">IFERROR(__xludf.DUMMYFUNCTION("""COMPUTED_VALUE"""),"Morning Classes")</f>
        <v>Morning Classes</v>
      </c>
      <c r="W496" s="11">
        <f ca="1">IFERROR(__xludf.DUMMYFUNCTION("""COMPUTED_VALUE"""),0.364583333333333)</f>
        <v>0.36458333333333298</v>
      </c>
      <c r="X496" s="8">
        <f ca="1">IFERROR(__xludf.DUMMYFUNCTION("""COMPUTED_VALUE"""),1)</f>
        <v>1</v>
      </c>
      <c r="Y496" s="12" t="str">
        <f ca="1">IFERROR(__xludf.DUMMYFUNCTION("""COMPUTED_VALUE"""),"Plow driver shot in parking lot shared by middle school and montessori school while clearing snow from the school lots")</f>
        <v>Plow driver shot in parking lot shared by middle school and montessori school while clearing snow from the school lots</v>
      </c>
      <c r="Z496" s="12" t="str">
        <f ca="1">IFERROR(__xludf.DUMMYFUNCTION("""COMPUTED_VALUE"""),"Howard County police responded at 8:45 a.m. to the Children's Manor Montessori School on Montgomery Road. They said they found a snow plow driver who was clearing snow at the school with a single gunshot wound. He was taken to Johns Hopkins Hospital in cr"&amp;"itical condition. Police said they don't believe there is any connection to the school.")</f>
        <v>Howard County police responded at 8:45 a.m. to the Children's Manor Montessori School on Montgomery Road. They said they found a snow plow driver who was clearing snow at the school with a single gunshot wound. He was taken to Johns Hopkins Hospital in critical condition. Police said they don't believe there is any connection to the school.</v>
      </c>
      <c r="AA496" s="8"/>
      <c r="AB496" s="8"/>
      <c r="AC496" s="8" t="str">
        <f ca="1">IFERROR(__xludf.DUMMYFUNCTION("""COMPUTED_VALUE"""),"Yes")</f>
        <v>Yes</v>
      </c>
      <c r="AD496" s="8" t="str">
        <f ca="1">IFERROR(__xludf.DUMMYFUNCTION("""COMPUTED_VALUE"""),"Victims Targeted")</f>
        <v>Victims Targeted</v>
      </c>
      <c r="AE496" s="8" t="str">
        <f ca="1">IFERROR(__xludf.DUMMYFUNCTION("""COMPUTED_VALUE"""),"No")</f>
        <v>No</v>
      </c>
      <c r="AF496" s="8"/>
      <c r="AG496" s="8" t="str">
        <f ca="1">IFERROR(__xludf.DUMMYFUNCTION("""COMPUTED_VALUE"""),"No")</f>
        <v>No</v>
      </c>
      <c r="AH496" s="8" t="str">
        <f ca="1">IFERROR(__xludf.DUMMYFUNCTION("""COMPUTED_VALUE"""),"No")</f>
        <v>No</v>
      </c>
      <c r="AI496" s="8" t="str">
        <f ca="1">IFERROR(__xludf.DUMMYFUNCTION("""COMPUTED_VALUE"""),"No")</f>
        <v>No</v>
      </c>
      <c r="AJ496" s="8" t="str">
        <f ca="1">IFERROR(__xludf.DUMMYFUNCTION("""COMPUTED_VALUE"""),"No")</f>
        <v>No</v>
      </c>
      <c r="AK496" s="8" t="str">
        <f ca="1">IFERROR(__xludf.DUMMYFUNCTION("""COMPUTED_VALUE"""),"No")</f>
        <v>No</v>
      </c>
      <c r="AL496" s="8"/>
      <c r="AM496" s="8" t="str">
        <f ca="1">IFERROR(__xludf.DUMMYFUNCTION("""COMPUTED_VALUE"""),"No")</f>
        <v>No</v>
      </c>
      <c r="AN496" s="8" t="str">
        <f ca="1">IFERROR(__xludf.DUMMYFUNCTION("""COMPUTED_VALUE"""),"Outside")</f>
        <v>Outside</v>
      </c>
      <c r="AO496" s="8" t="str">
        <f ca="1">IFERROR(__xludf.DUMMYFUNCTION("""COMPUTED_VALUE"""),"No")</f>
        <v>No</v>
      </c>
      <c r="AP496" s="8"/>
      <c r="AQ496" s="8"/>
      <c r="AR496" s="8" t="str">
        <f ca="1">IFERROR(__xludf.DUMMYFUNCTION("""COMPUTED_VALUE"""),"Outside/Off-Property")</f>
        <v>Outside/Off-Property</v>
      </c>
      <c r="AS496" s="8">
        <f ca="1">IFERROR(__xludf.DUMMYFUNCTION("""COMPUTED_VALUE"""),1)</f>
        <v>1</v>
      </c>
      <c r="AT496" s="8"/>
      <c r="AU496" s="8">
        <f ca="1">IFERROR(__xludf.DUMMYFUNCTION("""COMPUTED_VALUE"""),39.249238)</f>
        <v>39.249237999999998</v>
      </c>
      <c r="AV496" s="8">
        <f ca="1">IFERROR(__xludf.DUMMYFUNCTION("""COMPUTED_VALUE"""),-76.810339)</f>
        <v>-76.810338999999999</v>
      </c>
      <c r="AW496" s="8" t="str">
        <f ca="1">IFERROR(__xludf.DUMMYFUNCTION("""COMPUTED_VALUE"""),"Single building indoor hallway")</f>
        <v>Single building indoor hallway</v>
      </c>
      <c r="AX496" s="8">
        <f ca="1">IFERROR(__xludf.DUMMYFUNCTION("""COMPUTED_VALUE"""),21043)</f>
        <v>21043</v>
      </c>
    </row>
    <row r="497" spans="1:50" ht="45" x14ac:dyDescent="0.2">
      <c r="A497" s="8" t="str">
        <f ca="1">IFERROR(__xludf.DUMMYFUNCTION("""COMPUTED_VALUE"""),"20240113INLAF")</f>
        <v>20240113INLAF</v>
      </c>
      <c r="B497" s="8">
        <f ca="1">IFERROR(__xludf.DUMMYFUNCTION("""COMPUTED_VALUE"""),1)</f>
        <v>1</v>
      </c>
      <c r="C497" s="8">
        <f ca="1">IFERROR(__xludf.DUMMYFUNCTION("""COMPUTED_VALUE"""),13)</f>
        <v>13</v>
      </c>
      <c r="D497" s="8">
        <f ca="1">IFERROR(__xludf.DUMMYFUNCTION("""COMPUTED_VALUE"""),2024)</f>
        <v>2024</v>
      </c>
      <c r="E497" s="9">
        <f ca="1">IFERROR(__xludf.DUMMYFUNCTION("""COMPUTED_VALUE"""),45304)</f>
        <v>45304</v>
      </c>
      <c r="F497" s="8" t="str">
        <f ca="1">IFERROR(__xludf.DUMMYFUNCTION("""COMPUTED_VALUE"""),"Wayne Middle School")</f>
        <v>Wayne Middle School</v>
      </c>
      <c r="G497" s="8">
        <f ca="1">IFERROR(__xludf.DUMMYFUNCTION("""COMPUTED_VALUE"""),1)</f>
        <v>1</v>
      </c>
      <c r="H497" s="8">
        <f ca="1">IFERROR(__xludf.DUMMYFUNCTION("""COMPUTED_VALUE"""),0)</f>
        <v>0</v>
      </c>
      <c r="I497" s="8">
        <f ca="1">IFERROR(__xludf.DUMMYFUNCTION("""COMPUTED_VALUE"""),1)</f>
        <v>1</v>
      </c>
      <c r="J497" s="8">
        <f ca="1">IFERROR(__xludf.DUMMYFUNCTION("""COMPUTED_VALUE"""),0)</f>
        <v>0</v>
      </c>
      <c r="K497" s="10" t="str">
        <f ca="1">IFERROR(__xludf.DUMMYFUNCTION("""COMPUTED_VALUE"""),"https://www.wane.com/top-stories/one-dead-following-late-night-shooting/
https://www.wishtv.com/news/indiana-news/juvenile-shot-killed-in-neighborhood-near-middle-school-in-fort-wayne/")</f>
        <v>https://www.wane.com/top-stories/one-dead-following-late-night-shooting/
https://www.wishtv.com/news/indiana-news/juvenile-shot-killed-in-neighborhood-near-middle-school-in-fort-wayne/</v>
      </c>
      <c r="L497" s="8">
        <f ca="1">IFERROR(__xludf.DUMMYFUNCTION("""COMPUTED_VALUE"""),5)</f>
        <v>5</v>
      </c>
      <c r="M497" s="8" t="str">
        <f ca="1">IFERROR(__xludf.DUMMYFUNCTION("""COMPUTED_VALUE"""),"Local")</f>
        <v>Local</v>
      </c>
      <c r="N497" s="8">
        <f ca="1">IFERROR(__xludf.DUMMYFUNCTION("""COMPUTED_VALUE"""),3)</f>
        <v>3</v>
      </c>
      <c r="O497" s="8" t="str">
        <f ca="1">IFERROR(__xludf.DUMMYFUNCTION("""COMPUTED_VALUE"""),"Winter")</f>
        <v>Winter</v>
      </c>
      <c r="P497" s="8" t="str">
        <f ca="1">IFERROR(__xludf.DUMMYFUNCTION("""COMPUTED_VALUE"""),"Fort Wayne")</f>
        <v>Fort Wayne</v>
      </c>
      <c r="Q497" s="8" t="str">
        <f ca="1">IFERROR(__xludf.DUMMYFUNCTION("""COMPUTED_VALUE"""),"IN")</f>
        <v>IN</v>
      </c>
      <c r="R497" s="8" t="str">
        <f ca="1">IFERROR(__xludf.DUMMYFUNCTION("""COMPUTED_VALUE"""),"Middle")</f>
        <v>Middle</v>
      </c>
      <c r="S497" s="8" t="str">
        <f ca="1">IFERROR(__xludf.DUMMYFUNCTION("""COMPUTED_VALUE"""),"Parking Lot")</f>
        <v>Parking Lot</v>
      </c>
      <c r="T497" s="8" t="str">
        <f ca="1">IFERROR(__xludf.DUMMYFUNCTION("""COMPUTED_VALUE"""),"Outside on School Property")</f>
        <v>Outside on School Property</v>
      </c>
      <c r="U497" s="8" t="str">
        <f ca="1">IFERROR(__xludf.DUMMYFUNCTION("""COMPUTED_VALUE"""),"No")</f>
        <v>No</v>
      </c>
      <c r="V497" s="8" t="str">
        <f ca="1">IFERROR(__xludf.DUMMYFUNCTION("""COMPUTED_VALUE"""),"Night")</f>
        <v>Night</v>
      </c>
      <c r="W497" s="11">
        <f ca="1">IFERROR(__xludf.DUMMYFUNCTION("""COMPUTED_VALUE"""),0.00347222222222222)</f>
        <v>3.4722222222222199E-3</v>
      </c>
      <c r="X497" s="8">
        <f ca="1">IFERROR(__xludf.DUMMYFUNCTION("""COMPUTED_VALUE"""),1)</f>
        <v>1</v>
      </c>
      <c r="Y497" s="12" t="str">
        <f ca="1">IFERROR(__xludf.DUMMYFUNCTION("""COMPUTED_VALUE"""),"Juvenile male was fatally shot in the school parking lot")</f>
        <v>Juvenile male was fatally shot in the school parking lot</v>
      </c>
      <c r="Z497" s="12" t="str">
        <f ca="1">IFERROR(__xludf.DUMMYFUNCTION("""COMPUTED_VALUE"""),"Officers were dispatched for a shotspotter alert and found a juvenile male who was shot multiple times. He was transported to the hospital and died.")</f>
        <v>Officers were dispatched for a shotspotter alert and found a juvenile male who was shot multiple times. He was transported to the hospital and died.</v>
      </c>
      <c r="AA497" s="8"/>
      <c r="AB497" s="8" t="str">
        <f ca="1">IFERROR(__xludf.DUMMYFUNCTION("""COMPUTED_VALUE"""),"Targeted")</f>
        <v>Targeted</v>
      </c>
      <c r="AC497" s="8" t="str">
        <f ca="1">IFERROR(__xludf.DUMMYFUNCTION("""COMPUTED_VALUE"""),"No")</f>
        <v>No</v>
      </c>
      <c r="AD497" s="8" t="str">
        <f ca="1">IFERROR(__xludf.DUMMYFUNCTION("""COMPUTED_VALUE"""),"Victims Targeted")</f>
        <v>Victims Targeted</v>
      </c>
      <c r="AE497" s="8"/>
      <c r="AF497" s="8"/>
      <c r="AG497" s="8" t="str">
        <f ca="1">IFERROR(__xludf.DUMMYFUNCTION("""COMPUTED_VALUE"""),"No")</f>
        <v>No</v>
      </c>
      <c r="AH497" s="8" t="str">
        <f ca="1">IFERROR(__xludf.DUMMYFUNCTION("""COMPUTED_VALUE"""),"No")</f>
        <v>No</v>
      </c>
      <c r="AI497" s="8" t="str">
        <f ca="1">IFERROR(__xludf.DUMMYFUNCTION("""COMPUTED_VALUE"""),"No")</f>
        <v>No</v>
      </c>
      <c r="AJ497" s="8"/>
      <c r="AK497" s="8" t="str">
        <f ca="1">IFERROR(__xludf.DUMMYFUNCTION("""COMPUTED_VALUE"""),"No")</f>
        <v>No</v>
      </c>
      <c r="AL497" s="8"/>
      <c r="AM497" s="8" t="str">
        <f ca="1">IFERROR(__xludf.DUMMYFUNCTION("""COMPUTED_VALUE"""),"No")</f>
        <v>No</v>
      </c>
      <c r="AN497" s="8" t="str">
        <f ca="1">IFERROR(__xludf.DUMMYFUNCTION("""COMPUTED_VALUE"""),"Outside")</f>
        <v>Outside</v>
      </c>
      <c r="AO497" s="8" t="str">
        <f ca="1">IFERROR(__xludf.DUMMYFUNCTION("""COMPUTED_VALUE"""),"No")</f>
        <v>No</v>
      </c>
      <c r="AP497" s="8"/>
      <c r="AQ497" s="8"/>
      <c r="AR497" s="8" t="str">
        <f ca="1">IFERROR(__xludf.DUMMYFUNCTION("""COMPUTED_VALUE"""),"Outside/Off-Property")</f>
        <v>Outside/Off-Property</v>
      </c>
      <c r="AS497" s="8">
        <f ca="1">IFERROR(__xludf.DUMMYFUNCTION("""COMPUTED_VALUE"""),99)</f>
        <v>99</v>
      </c>
      <c r="AT497" s="8" t="str">
        <f ca="1">IFERROR(__xludf.DUMMYFUNCTION("""COMPUTED_VALUE"""),"No")</f>
        <v>No</v>
      </c>
      <c r="AU497" s="8">
        <f ca="1">IFERROR(__xludf.DUMMYFUNCTION("""COMPUTED_VALUE"""),41.10573)</f>
        <v>41.105730000000001</v>
      </c>
      <c r="AV497" s="8">
        <f ca="1">IFERROR(__xludf.DUMMYFUNCTION("""COMPUTED_VALUE"""),-85.07862)</f>
        <v>-85.078620000000001</v>
      </c>
      <c r="AW497" s="8" t="str">
        <f ca="1">IFERROR(__xludf.DUMMYFUNCTION("""COMPUTED_VALUE"""),"Single building indoor hallway")</f>
        <v>Single building indoor hallway</v>
      </c>
      <c r="AX497" s="8">
        <f ca="1">IFERROR(__xludf.DUMMYFUNCTION("""COMPUTED_VALUE"""),46815)</f>
        <v>46815</v>
      </c>
    </row>
    <row r="498" spans="1:50" ht="45" x14ac:dyDescent="0.2">
      <c r="A498" s="8" t="str">
        <f ca="1">IFERROR(__xludf.DUMMYFUNCTION("""COMPUTED_VALUE"""),"20240112VABEM")</f>
        <v>20240112VABEM</v>
      </c>
      <c r="B498" s="8">
        <f ca="1">IFERROR(__xludf.DUMMYFUNCTION("""COMPUTED_VALUE"""),1)</f>
        <v>1</v>
      </c>
      <c r="C498" s="8">
        <f ca="1">IFERROR(__xludf.DUMMYFUNCTION("""COMPUTED_VALUE"""),12)</f>
        <v>12</v>
      </c>
      <c r="D498" s="8">
        <f ca="1">IFERROR(__xludf.DUMMYFUNCTION("""COMPUTED_VALUE"""),2024)</f>
        <v>2024</v>
      </c>
      <c r="E498" s="9">
        <f ca="1">IFERROR(__xludf.DUMMYFUNCTION("""COMPUTED_VALUE"""),45303)</f>
        <v>45303</v>
      </c>
      <c r="F498" s="8" t="str">
        <f ca="1">IFERROR(__xludf.DUMMYFUNCTION("""COMPUTED_VALUE"""),"Smith Mountain Lake Christian Academy")</f>
        <v>Smith Mountain Lake Christian Academy</v>
      </c>
      <c r="G498" s="8">
        <f ca="1">IFERROR(__xludf.DUMMYFUNCTION("""COMPUTED_VALUE"""),0)</f>
        <v>0</v>
      </c>
      <c r="H498" s="8">
        <f ca="1">IFERROR(__xludf.DUMMYFUNCTION("""COMPUTED_VALUE"""),1)</f>
        <v>1</v>
      </c>
      <c r="I498" s="8">
        <f ca="1">IFERROR(__xludf.DUMMYFUNCTION("""COMPUTED_VALUE"""),1)</f>
        <v>1</v>
      </c>
      <c r="J498" s="8">
        <f ca="1">IFERROR(__xludf.DUMMYFUNCTION("""COMPUTED_VALUE"""),0)</f>
        <v>0</v>
      </c>
      <c r="K498" s="8" t="str">
        <f ca="1">IFERROR(__xludf.DUMMYFUNCTION("""COMPUTED_VALUE"""),"https://www.wdbj7.com/2024/06/26/man-charged-after-accidentally-shooting-himself-appears-court-wednesday/
https://www.wsls.com/news/local/2024/04/01/bedford-co-man-charged-for-accidentally-shooting-himself-on-school-property-deputies-say/")</f>
        <v>https://www.wdbj7.com/2024/06/26/man-charged-after-accidentally-shooting-himself-appears-court-wednesday/
https://www.wsls.com/news/local/2024/04/01/bedford-co-man-charged-for-accidentally-shooting-himself-on-school-property-deputies-say/</v>
      </c>
      <c r="L498" s="8">
        <f ca="1">IFERROR(__xludf.DUMMYFUNCTION("""COMPUTED_VALUE"""),2)</f>
        <v>2</v>
      </c>
      <c r="M498" s="8" t="str">
        <f ca="1">IFERROR(__xludf.DUMMYFUNCTION("""COMPUTED_VALUE"""),"Local")</f>
        <v>Local</v>
      </c>
      <c r="N498" s="8">
        <f ca="1">IFERROR(__xludf.DUMMYFUNCTION("""COMPUTED_VALUE"""),4)</f>
        <v>4</v>
      </c>
      <c r="O498" s="8" t="str">
        <f ca="1">IFERROR(__xludf.DUMMYFUNCTION("""COMPUTED_VALUE"""),"Winter")</f>
        <v>Winter</v>
      </c>
      <c r="P498" s="8" t="str">
        <f ca="1">IFERROR(__xludf.DUMMYFUNCTION("""COMPUTED_VALUE"""),"Moneta")</f>
        <v>Moneta</v>
      </c>
      <c r="Q498" s="8" t="str">
        <f ca="1">IFERROR(__xludf.DUMMYFUNCTION("""COMPUTED_VALUE"""),"VA")</f>
        <v>VA</v>
      </c>
      <c r="R498" s="8" t="str">
        <f ca="1">IFERROR(__xludf.DUMMYFUNCTION("""COMPUTED_VALUE"""),"K-12")</f>
        <v>K-12</v>
      </c>
      <c r="S498" s="8" t="str">
        <f ca="1">IFERROR(__xludf.DUMMYFUNCTION("""COMPUTED_VALUE"""),"Parking Lot")</f>
        <v>Parking Lot</v>
      </c>
      <c r="T498" s="8" t="str">
        <f ca="1">IFERROR(__xludf.DUMMYFUNCTION("""COMPUTED_VALUE"""),"Outside on School Property")</f>
        <v>Outside on School Property</v>
      </c>
      <c r="U498" s="8"/>
      <c r="V498" s="8"/>
      <c r="W498" s="8"/>
      <c r="X498" s="8">
        <f ca="1">IFERROR(__xludf.DUMMYFUNCTION("""COMPUTED_VALUE"""),1)</f>
        <v>1</v>
      </c>
      <c r="Y498" s="12" t="str">
        <f ca="1">IFERROR(__xludf.DUMMYFUNCTION("""COMPUTED_VALUE"""),"Man accidentally shot himself in the school parking lot")</f>
        <v>Man accidentally shot himself in the school parking lot</v>
      </c>
      <c r="Z498" s="12" t="str">
        <f ca="1">IFERROR(__xludf.DUMMYFUNCTION("""COMPUTED_VALUE"""),"18-year-old man accidentally shot himself in the school parking lot. Fled from the scene to a nearby grocery store where he was transported to the hospital.")</f>
        <v>18-year-old man accidentally shot himself in the school parking lot. Fled from the scene to a nearby grocery store where he was transported to the hospital.</v>
      </c>
      <c r="AA498" s="8" t="str">
        <f ca="1">IFERROR(__xludf.DUMMYFUNCTION("""COMPUTED_VALUE"""),"Accidental")</f>
        <v>Accidental</v>
      </c>
      <c r="AB498" s="8" t="str">
        <f ca="1">IFERROR(__xludf.DUMMYFUNCTION("""COMPUTED_VALUE"""),"Spontaneous")</f>
        <v>Spontaneous</v>
      </c>
      <c r="AC498" s="8"/>
      <c r="AD498" s="8" t="str">
        <f ca="1">IFERROR(__xludf.DUMMYFUNCTION("""COMPUTED_VALUE"""),"Neither")</f>
        <v>Neither</v>
      </c>
      <c r="AE498" s="8" t="str">
        <f ca="1">IFERROR(__xludf.DUMMYFUNCTION("""COMPUTED_VALUE"""),"No")</f>
        <v>No</v>
      </c>
      <c r="AF498" s="8"/>
      <c r="AG498" s="8" t="str">
        <f ca="1">IFERROR(__xludf.DUMMYFUNCTION("""COMPUTED_VALUE"""),"No")</f>
        <v>No</v>
      </c>
      <c r="AH498" s="8" t="str">
        <f ca="1">IFERROR(__xludf.DUMMYFUNCTION("""COMPUTED_VALUE"""),"No")</f>
        <v>No</v>
      </c>
      <c r="AI498" s="8" t="str">
        <f ca="1">IFERROR(__xludf.DUMMYFUNCTION("""COMPUTED_VALUE"""),"No")</f>
        <v>No</v>
      </c>
      <c r="AJ498" s="8" t="str">
        <f ca="1">IFERROR(__xludf.DUMMYFUNCTION("""COMPUTED_VALUE"""),"No")</f>
        <v>No</v>
      </c>
      <c r="AK498" s="8" t="str">
        <f ca="1">IFERROR(__xludf.DUMMYFUNCTION("""COMPUTED_VALUE"""),"No")</f>
        <v>No</v>
      </c>
      <c r="AL498" s="8" t="str">
        <f ca="1">IFERROR(__xludf.DUMMYFUNCTION("""COMPUTED_VALUE"""),"No")</f>
        <v>No</v>
      </c>
      <c r="AM498" s="8" t="str">
        <f ca="1">IFERROR(__xludf.DUMMYFUNCTION("""COMPUTED_VALUE"""),"No")</f>
        <v>No</v>
      </c>
      <c r="AN498" s="8" t="str">
        <f ca="1">IFERROR(__xludf.DUMMYFUNCTION("""COMPUTED_VALUE"""),"Outside")</f>
        <v>Outside</v>
      </c>
      <c r="AO498" s="8" t="str">
        <f ca="1">IFERROR(__xludf.DUMMYFUNCTION("""COMPUTED_VALUE"""),"No")</f>
        <v>No</v>
      </c>
      <c r="AP498" s="8"/>
      <c r="AQ498" s="8"/>
      <c r="AR498" s="8" t="str">
        <f ca="1">IFERROR(__xludf.DUMMYFUNCTION("""COMPUTED_VALUE"""),"Outside/Off-Property")</f>
        <v>Outside/Off-Property</v>
      </c>
      <c r="AS498" s="8">
        <f ca="1">IFERROR(__xludf.DUMMYFUNCTION("""COMPUTED_VALUE"""),1)</f>
        <v>1</v>
      </c>
      <c r="AT498" s="8"/>
      <c r="AU498" s="8">
        <f ca="1">IFERROR(__xludf.DUMMYFUNCTION("""COMPUTED_VALUE"""),37.150112)</f>
        <v>37.150112</v>
      </c>
      <c r="AV498" s="8">
        <f ca="1">IFERROR(__xludf.DUMMYFUNCTION("""COMPUTED_VALUE"""),-79.629016)</f>
        <v>-79.629015999999993</v>
      </c>
      <c r="AW498" s="8" t="str">
        <f ca="1">IFERROR(__xludf.DUMMYFUNCTION("""COMPUTED_VALUE"""),"Single building indoor hallway")</f>
        <v>Single building indoor hallway</v>
      </c>
      <c r="AX498" s="8">
        <f ca="1">IFERROR(__xludf.DUMMYFUNCTION("""COMPUTED_VALUE"""),24121)</f>
        <v>24121</v>
      </c>
    </row>
    <row r="499" spans="1:50" ht="120" x14ac:dyDescent="0.2">
      <c r="A499" s="8" t="str">
        <f ca="1">IFERROR(__xludf.DUMMYFUNCTION("""COMPUTED_VALUE"""),"20240112OKHEO")</f>
        <v>20240112OKHEO</v>
      </c>
      <c r="B499" s="8">
        <f ca="1">IFERROR(__xludf.DUMMYFUNCTION("""COMPUTED_VALUE"""),1)</f>
        <v>1</v>
      </c>
      <c r="C499" s="8">
        <f ca="1">IFERROR(__xludf.DUMMYFUNCTION("""COMPUTED_VALUE"""),12)</f>
        <v>12</v>
      </c>
      <c r="D499" s="8">
        <f ca="1">IFERROR(__xludf.DUMMYFUNCTION("""COMPUTED_VALUE"""),2024)</f>
        <v>2024</v>
      </c>
      <c r="E499" s="9">
        <f ca="1">IFERROR(__xludf.DUMMYFUNCTION("""COMPUTED_VALUE"""),45303)</f>
        <v>45303</v>
      </c>
      <c r="F499" s="8" t="str">
        <f ca="1">IFERROR(__xludf.DUMMYFUNCTION("""COMPUTED_VALUE"""),"Hefner Middle School")</f>
        <v>Hefner Middle School</v>
      </c>
      <c r="G499" s="8">
        <f ca="1">IFERROR(__xludf.DUMMYFUNCTION("""COMPUTED_VALUE"""),0)</f>
        <v>0</v>
      </c>
      <c r="H499" s="8">
        <f ca="1">IFERROR(__xludf.DUMMYFUNCTION("""COMPUTED_VALUE"""),0)</f>
        <v>0</v>
      </c>
      <c r="I499" s="8">
        <f ca="1">IFERROR(__xludf.DUMMYFUNCTION("""COMPUTED_VALUE"""),0)</f>
        <v>0</v>
      </c>
      <c r="J499" s="8">
        <f ca="1">IFERROR(__xludf.DUMMYFUNCTION("""COMPUTED_VALUE"""),0)</f>
        <v>0</v>
      </c>
      <c r="K499" s="8" t="str">
        <f ca="1">IFERROR(__xludf.DUMMYFUNCTION("""COMPUTED_VALUE"""),"https://www.koco.com/article/oklahoma-putnam-city-hefner-shot-fired-student-gun-entered-school-metal-detector/46367389
https://kfor.com/news/local/hefner-middle-school-lifts-lockdown-after-weapon-found/")</f>
        <v>https://www.koco.com/article/oklahoma-putnam-city-hefner-shot-fired-student-gun-entered-school-metal-detector/46367389
https://kfor.com/news/local/hefner-middle-school-lifts-lockdown-after-weapon-found/</v>
      </c>
      <c r="L499" s="8">
        <f ca="1">IFERROR(__xludf.DUMMYFUNCTION("""COMPUTED_VALUE"""),5)</f>
        <v>5</v>
      </c>
      <c r="M499" s="8" t="str">
        <f ca="1">IFERROR(__xludf.DUMMYFUNCTION("""COMPUTED_VALUE"""),"Local")</f>
        <v>Local</v>
      </c>
      <c r="N499" s="8">
        <f ca="1">IFERROR(__xludf.DUMMYFUNCTION("""COMPUTED_VALUE"""),4)</f>
        <v>4</v>
      </c>
      <c r="O499" s="8" t="str">
        <f ca="1">IFERROR(__xludf.DUMMYFUNCTION("""COMPUTED_VALUE"""),"Winter")</f>
        <v>Winter</v>
      </c>
      <c r="P499" s="8" t="str">
        <f ca="1">IFERROR(__xludf.DUMMYFUNCTION("""COMPUTED_VALUE"""),"Oklahoma City")</f>
        <v>Oklahoma City</v>
      </c>
      <c r="Q499" s="8" t="str">
        <f ca="1">IFERROR(__xludf.DUMMYFUNCTION("""COMPUTED_VALUE"""),"OK")</f>
        <v>OK</v>
      </c>
      <c r="R499" s="8" t="str">
        <f ca="1">IFERROR(__xludf.DUMMYFUNCTION("""COMPUTED_VALUE"""),"Middle")</f>
        <v>Middle</v>
      </c>
      <c r="S499" s="8" t="str">
        <f ca="1">IFERROR(__xludf.DUMMYFUNCTION("""COMPUTED_VALUE"""),"Bathroom")</f>
        <v>Bathroom</v>
      </c>
      <c r="T499" s="8" t="str">
        <f ca="1">IFERROR(__xludf.DUMMYFUNCTION("""COMPUTED_VALUE"""),"Inside School Building")</f>
        <v>Inside School Building</v>
      </c>
      <c r="U499" s="8" t="str">
        <f ca="1">IFERROR(__xludf.DUMMYFUNCTION("""COMPUTED_VALUE"""),"Yes")</f>
        <v>Yes</v>
      </c>
      <c r="V499" s="8" t="str">
        <f ca="1">IFERROR(__xludf.DUMMYFUNCTION("""COMPUTED_VALUE"""),"School Start")</f>
        <v>School Start</v>
      </c>
      <c r="W499" s="11">
        <f ca="1">IFERROR(__xludf.DUMMYFUNCTION("""COMPUTED_VALUE"""),0.316666666666666)</f>
        <v>0.31666666666666599</v>
      </c>
      <c r="X499" s="8">
        <f ca="1">IFERROR(__xludf.DUMMYFUNCTION("""COMPUTED_VALUE"""),1)</f>
        <v>1</v>
      </c>
      <c r="Y499" s="12" t="str">
        <f ca="1">IFERROR(__xludf.DUMMYFUNCTION("""COMPUTED_VALUE"""),"Student fired gun inside bathroom after carrying gun through metal detector")</f>
        <v>Student fired gun inside bathroom after carrying gun through metal detector</v>
      </c>
      <c r="Z499" s="12" t="str">
        <f ca="1">IFERROR(__xludf.DUMMYFUNCTION("""COMPUTED_VALUE"""),"According to school officials, the student entered the school through the main entrance at around 7:11 a.m. and the weapon was discharged at around 7:36 a.m. The school went into a lockdown shortly after as police began an investigation. Student left the "&amp;"gun in the bathroom and walked away. According to Putnam City Schools, the student involved was arrested and the weapon was taken by police.")</f>
        <v>According to school officials, the student entered the school through the main entrance at around 7:11 a.m. and the weapon was discharged at around 7:36 a.m. The school went into a lockdown shortly after as police began an investigation. Student left the gun in the bathroom and walked away. According to Putnam City Schools, the student involved was arrested and the weapon was taken by police.</v>
      </c>
      <c r="AA499" s="8"/>
      <c r="AB499" s="8"/>
      <c r="AC499" s="8" t="str">
        <f ca="1">IFERROR(__xludf.DUMMYFUNCTION("""COMPUTED_VALUE"""),"Yes")</f>
        <v>Yes</v>
      </c>
      <c r="AD499" s="8"/>
      <c r="AE499" s="8" t="str">
        <f ca="1">IFERROR(__xludf.DUMMYFUNCTION("""COMPUTED_VALUE"""),"No")</f>
        <v>No</v>
      </c>
      <c r="AF499" s="8"/>
      <c r="AG499" s="8" t="str">
        <f ca="1">IFERROR(__xludf.DUMMYFUNCTION("""COMPUTED_VALUE"""),"No")</f>
        <v>No</v>
      </c>
      <c r="AH499" s="8" t="str">
        <f ca="1">IFERROR(__xludf.DUMMYFUNCTION("""COMPUTED_VALUE"""),"No")</f>
        <v>No</v>
      </c>
      <c r="AI499" s="8" t="str">
        <f ca="1">IFERROR(__xludf.DUMMYFUNCTION("""COMPUTED_VALUE"""),"No")</f>
        <v>No</v>
      </c>
      <c r="AJ499" s="8"/>
      <c r="AK499" s="8" t="str">
        <f ca="1">IFERROR(__xludf.DUMMYFUNCTION("""COMPUTED_VALUE"""),"No")</f>
        <v>No</v>
      </c>
      <c r="AL499" s="8" t="str">
        <f ca="1">IFERROR(__xludf.DUMMYFUNCTION("""COMPUTED_VALUE"""),"No")</f>
        <v>No</v>
      </c>
      <c r="AM499" s="8" t="str">
        <f ca="1">IFERROR(__xludf.DUMMYFUNCTION("""COMPUTED_VALUE"""),"No")</f>
        <v>No</v>
      </c>
      <c r="AN499" s="8" t="str">
        <f ca="1">IFERROR(__xludf.DUMMYFUNCTION("""COMPUTED_VALUE"""),"Single Room")</f>
        <v>Single Room</v>
      </c>
      <c r="AO499" s="8"/>
      <c r="AP499" s="8"/>
      <c r="AQ499" s="8" t="str">
        <f ca="1">IFERROR(__xludf.DUMMYFUNCTION("""COMPUTED_VALUE"""),"Metal Detectors Failed")</f>
        <v>Metal Detectors Failed</v>
      </c>
      <c r="AR499" s="8" t="str">
        <f ca="1">IFERROR(__xludf.DUMMYFUNCTION("""COMPUTED_VALUE"""),"Failed")</f>
        <v>Failed</v>
      </c>
      <c r="AS499" s="8">
        <f ca="1">IFERROR(__xludf.DUMMYFUNCTION("""COMPUTED_VALUE"""),1)</f>
        <v>1</v>
      </c>
      <c r="AT499" s="8" t="str">
        <f ca="1">IFERROR(__xludf.DUMMYFUNCTION("""COMPUTED_VALUE"""),"Yes")</f>
        <v>Yes</v>
      </c>
      <c r="AU499" s="8">
        <f ca="1">IFERROR(__xludf.DUMMYFUNCTION("""COMPUTED_VALUE"""),35.557584)</f>
        <v>35.557583999999999</v>
      </c>
      <c r="AV499" s="8">
        <f ca="1">IFERROR(__xludf.DUMMYFUNCTION("""COMPUTED_VALUE"""),-97.620432)</f>
        <v>-97.620431999999994</v>
      </c>
      <c r="AW499" s="8" t="str">
        <f ca="1">IFERROR(__xludf.DUMMYFUNCTION("""COMPUTED_VALUE"""),"Single building indoor hallway")</f>
        <v>Single building indoor hallway</v>
      </c>
      <c r="AX499" s="8">
        <f ca="1">IFERROR(__xludf.DUMMYFUNCTION("""COMPUTED_VALUE"""),73132)</f>
        <v>73132</v>
      </c>
    </row>
    <row r="500" spans="1:50" ht="105" x14ac:dyDescent="0.2">
      <c r="A500" s="8" t="str">
        <f ca="1">IFERROR(__xludf.DUMMYFUNCTION("""COMPUTED_VALUE"""),"20240112OHROD")</f>
        <v>20240112OHROD</v>
      </c>
      <c r="B500" s="8">
        <f ca="1">IFERROR(__xludf.DUMMYFUNCTION("""COMPUTED_VALUE"""),1)</f>
        <v>1</v>
      </c>
      <c r="C500" s="8">
        <f ca="1">IFERROR(__xludf.DUMMYFUNCTION("""COMPUTED_VALUE"""),12)</f>
        <v>12</v>
      </c>
      <c r="D500" s="8">
        <f ca="1">IFERROR(__xludf.DUMMYFUNCTION("""COMPUTED_VALUE"""),2024)</f>
        <v>2024</v>
      </c>
      <c r="E500" s="9">
        <f ca="1">IFERROR(__xludf.DUMMYFUNCTION("""COMPUTED_VALUE"""),45303)</f>
        <v>45303</v>
      </c>
      <c r="F500" s="8" t="str">
        <f ca="1">IFERROR(__xludf.DUMMYFUNCTION("""COMPUTED_VALUE"""),"Roosevelt Elementary School")</f>
        <v>Roosevelt Elementary School</v>
      </c>
      <c r="G500" s="8">
        <f ca="1">IFERROR(__xludf.DUMMYFUNCTION("""COMPUTED_VALUE"""),1)</f>
        <v>1</v>
      </c>
      <c r="H500" s="8">
        <f ca="1">IFERROR(__xludf.DUMMYFUNCTION("""COMPUTED_VALUE"""),0)</f>
        <v>0</v>
      </c>
      <c r="I500" s="8">
        <f ca="1">IFERROR(__xludf.DUMMYFUNCTION("""COMPUTED_VALUE"""),1)</f>
        <v>1</v>
      </c>
      <c r="J500" s="8">
        <f ca="1">IFERROR(__xludf.DUMMYFUNCTION("""COMPUTED_VALUE"""),0)</f>
        <v>0</v>
      </c>
      <c r="K500" s="8" t="str">
        <f ca="1">IFERROR(__xludf.DUMMYFUNCTION("""COMPUTED_VALUE"""),"https://dayton247now.com/news/local/man-shot-dead-on-dayton-basketball-court-identified
https://www.whio.com/news/local/20-year-old-idd-man-shot-killed-near-dayton-elementary-school/2LJHXRPZF5B3TKF3OFN3J2CEJU/
https://www.whio.com/news/local/elementary-sc"&amp;"hool-lockdown-after-reports-nearby-shooting-dayton/6MRUDE7NL5BRXBWR26NQYOO3MM/
https://www.daytondailynews.com/local/shooting-reported-near-rec-center-in-dayton/I2VE347DFFDFDPVABLDRIQZKCI/")</f>
        <v>https://dayton247now.com/news/local/man-shot-dead-on-dayton-basketball-court-identified
https://www.whio.com/news/local/20-year-old-idd-man-shot-killed-near-dayton-elementary-school/2LJHXRPZF5B3TKF3OFN3J2CEJU/
https://www.whio.com/news/local/elementary-school-lockdown-after-reports-nearby-shooting-dayton/6MRUDE7NL5BRXBWR26NQYOO3MM/
https://www.daytondailynews.com/local/shooting-reported-near-rec-center-in-dayton/I2VE347DFFDFDPVABLDRIQZKCI/</v>
      </c>
      <c r="L500" s="8">
        <f ca="1">IFERROR(__xludf.DUMMYFUNCTION("""COMPUTED_VALUE"""),4)</f>
        <v>4</v>
      </c>
      <c r="M500" s="8" t="str">
        <f ca="1">IFERROR(__xludf.DUMMYFUNCTION("""COMPUTED_VALUE"""),"Local")</f>
        <v>Local</v>
      </c>
      <c r="N500" s="8">
        <f ca="1">IFERROR(__xludf.DUMMYFUNCTION("""COMPUTED_VALUE"""),4)</f>
        <v>4</v>
      </c>
      <c r="O500" s="8" t="str">
        <f ca="1">IFERROR(__xludf.DUMMYFUNCTION("""COMPUTED_VALUE"""),"Winter")</f>
        <v>Winter</v>
      </c>
      <c r="P500" s="8" t="str">
        <f ca="1">IFERROR(__xludf.DUMMYFUNCTION("""COMPUTED_VALUE"""),"Dayton")</f>
        <v>Dayton</v>
      </c>
      <c r="Q500" s="8" t="str">
        <f ca="1">IFERROR(__xludf.DUMMYFUNCTION("""COMPUTED_VALUE"""),"OH")</f>
        <v>OH</v>
      </c>
      <c r="R500" s="8" t="str">
        <f ca="1">IFERROR(__xludf.DUMMYFUNCTION("""COMPUTED_VALUE"""),"Elementary")</f>
        <v>Elementary</v>
      </c>
      <c r="S500" s="8" t="str">
        <f ca="1">IFERROR(__xludf.DUMMYFUNCTION("""COMPUTED_VALUE"""),"Basketball Court")</f>
        <v>Basketball Court</v>
      </c>
      <c r="T500" s="8" t="str">
        <f ca="1">IFERROR(__xludf.DUMMYFUNCTION("""COMPUTED_VALUE"""),"Outside on School Property")</f>
        <v>Outside on School Property</v>
      </c>
      <c r="U500" s="8" t="str">
        <f ca="1">IFERROR(__xludf.DUMMYFUNCTION("""COMPUTED_VALUE"""),"Yes")</f>
        <v>Yes</v>
      </c>
      <c r="V500" s="8" t="str">
        <f ca="1">IFERROR(__xludf.DUMMYFUNCTION("""COMPUTED_VALUE"""),"Afternoon Classes")</f>
        <v>Afternoon Classes</v>
      </c>
      <c r="W500" s="11">
        <f ca="1">IFERROR(__xludf.DUMMYFUNCTION("""COMPUTED_VALUE"""),0.524305555555555)</f>
        <v>0.52430555555555503</v>
      </c>
      <c r="X500" s="8">
        <f ca="1">IFERROR(__xludf.DUMMYFUNCTION("""COMPUTED_VALUE"""),1)</f>
        <v>1</v>
      </c>
      <c r="Y500" s="12" t="str">
        <f ca="1">IFERROR(__xludf.DUMMYFUNCTION("""COMPUTED_VALUE"""),"Man killed on the outdoor basketball court, school went on lockdown for 2 hours, stray bullet hit building")</f>
        <v>Man killed on the outdoor basketball court, school went on lockdown for 2 hours, stray bullet hit building</v>
      </c>
      <c r="Z500" s="12" t="str">
        <f ca="1">IFERROR(__xludf.DUMMYFUNCTION("""COMPUTED_VALUE"""),"A shooting occurred in the shared parking lot and outdoor basketball court of the Roosevelt Elementary School and the Greater Dayton Recreation Center (both are in the same building). The school went into a shelter-in-place as a precautionary measure, but"&amp;" there was no threat to the building. The shooting involved teenagers, and multiple shell cases were found in the parking lot. ")</f>
        <v xml:space="preserve">A shooting occurred in the shared parking lot and outdoor basketball court of the Roosevelt Elementary School and the Greater Dayton Recreation Center (both are in the same building). The school went into a shelter-in-place as a precautionary measure, but there was no threat to the building. The shooting involved teenagers, and multiple shell cases were found in the parking lot. </v>
      </c>
      <c r="AA500" s="8" t="str">
        <f ca="1">IFERROR(__xludf.DUMMYFUNCTION("""COMPUTED_VALUE"""),"Drive-by Shooting")</f>
        <v>Drive-by Shooting</v>
      </c>
      <c r="AB500" s="8" t="str">
        <f ca="1">IFERROR(__xludf.DUMMYFUNCTION("""COMPUTED_VALUE"""),"Targeted")</f>
        <v>Targeted</v>
      </c>
      <c r="AC500" s="8" t="str">
        <f ca="1">IFERROR(__xludf.DUMMYFUNCTION("""COMPUTED_VALUE"""),"Yes")</f>
        <v>Yes</v>
      </c>
      <c r="AD500" s="8" t="str">
        <f ca="1">IFERROR(__xludf.DUMMYFUNCTION("""COMPUTED_VALUE"""),"Victims Targeted")</f>
        <v>Victims Targeted</v>
      </c>
      <c r="AE500" s="8" t="str">
        <f ca="1">IFERROR(__xludf.DUMMYFUNCTION("""COMPUTED_VALUE"""),"Yes")</f>
        <v>Yes</v>
      </c>
      <c r="AF500" s="8" t="str">
        <f ca="1">IFERROR(__xludf.DUMMYFUNCTION("""COMPUTED_VALUE"""),"Multiple teens fled in vehicle")</f>
        <v>Multiple teens fled in vehicle</v>
      </c>
      <c r="AG500" s="8" t="str">
        <f ca="1">IFERROR(__xludf.DUMMYFUNCTION("""COMPUTED_VALUE"""),"No")</f>
        <v>No</v>
      </c>
      <c r="AH500" s="8" t="str">
        <f ca="1">IFERROR(__xludf.DUMMYFUNCTION("""COMPUTED_VALUE"""),"No")</f>
        <v>No</v>
      </c>
      <c r="AI500" s="8" t="str">
        <f ca="1">IFERROR(__xludf.DUMMYFUNCTION("""COMPUTED_VALUE"""),"No")</f>
        <v>No</v>
      </c>
      <c r="AJ500" s="8" t="str">
        <f ca="1">IFERROR(__xludf.DUMMYFUNCTION("""COMPUTED_VALUE"""),"No")</f>
        <v>No</v>
      </c>
      <c r="AK500" s="8" t="str">
        <f ca="1">IFERROR(__xludf.DUMMYFUNCTION("""COMPUTED_VALUE"""),"No")</f>
        <v>No</v>
      </c>
      <c r="AL500" s="8"/>
      <c r="AM500" s="8" t="str">
        <f ca="1">IFERROR(__xludf.DUMMYFUNCTION("""COMPUTED_VALUE"""),"No")</f>
        <v>No</v>
      </c>
      <c r="AN500" s="8" t="str">
        <f ca="1">IFERROR(__xludf.DUMMYFUNCTION("""COMPUTED_VALUE"""),"Outside")</f>
        <v>Outside</v>
      </c>
      <c r="AO500" s="8" t="str">
        <f ca="1">IFERROR(__xludf.DUMMYFUNCTION("""COMPUTED_VALUE"""),"No")</f>
        <v>No</v>
      </c>
      <c r="AP500" s="8"/>
      <c r="AQ500" s="8"/>
      <c r="AR500" s="8" t="str">
        <f ca="1">IFERROR(__xludf.DUMMYFUNCTION("""COMPUTED_VALUE"""),"Outside/Off-Property")</f>
        <v>Outside/Off-Property</v>
      </c>
      <c r="AS500" s="8">
        <f ca="1">IFERROR(__xludf.DUMMYFUNCTION("""COMPUTED_VALUE"""),99)</f>
        <v>99</v>
      </c>
      <c r="AT500" s="8" t="str">
        <f ca="1">IFERROR(__xludf.DUMMYFUNCTION("""COMPUTED_VALUE"""),"Yes")</f>
        <v>Yes</v>
      </c>
      <c r="AU500" s="8">
        <f ca="1">IFERROR(__xludf.DUMMYFUNCTION("""COMPUTED_VALUE"""),39.754868)</f>
        <v>39.754868000000002</v>
      </c>
      <c r="AV500" s="8">
        <f ca="1">IFERROR(__xludf.DUMMYFUNCTION("""COMPUTED_VALUE"""),-84.227876)</f>
        <v>-84.227875999999995</v>
      </c>
      <c r="AW500" s="8" t="str">
        <f ca="1">IFERROR(__xludf.DUMMYFUNCTION("""COMPUTED_VALUE"""),"Single building indoor hallway")</f>
        <v>Single building indoor hallway</v>
      </c>
      <c r="AX500" s="8">
        <f ca="1">IFERROR(__xludf.DUMMYFUNCTION("""COMPUTED_VALUE"""),45417)</f>
        <v>45417</v>
      </c>
    </row>
    <row r="501" spans="1:50" ht="120" x14ac:dyDescent="0.2">
      <c r="A501" s="8" t="str">
        <f ca="1">IFERROR(__xludf.DUMMYFUNCTION("""COMPUTED_VALUE"""),"20240111FLNOM")</f>
        <v>20240111FLNOM</v>
      </c>
      <c r="B501" s="8">
        <f ca="1">IFERROR(__xludf.DUMMYFUNCTION("""COMPUTED_VALUE"""),1)</f>
        <v>1</v>
      </c>
      <c r="C501" s="8">
        <f ca="1">IFERROR(__xludf.DUMMYFUNCTION("""COMPUTED_VALUE"""),11)</f>
        <v>11</v>
      </c>
      <c r="D501" s="8">
        <f ca="1">IFERROR(__xludf.DUMMYFUNCTION("""COMPUTED_VALUE"""),2024)</f>
        <v>2024</v>
      </c>
      <c r="E501" s="9">
        <f ca="1">IFERROR(__xludf.DUMMYFUNCTION("""COMPUTED_VALUE"""),45302)</f>
        <v>45302</v>
      </c>
      <c r="F501" s="8" t="str">
        <f ca="1">IFERROR(__xludf.DUMMYFUNCTION("""COMPUTED_VALUE"""),"Miami Northwestern Senior High School")</f>
        <v>Miami Northwestern Senior High School</v>
      </c>
      <c r="G501" s="8">
        <f ca="1">IFERROR(__xludf.DUMMYFUNCTION("""COMPUTED_VALUE"""),0)</f>
        <v>0</v>
      </c>
      <c r="H501" s="8">
        <f ca="1">IFERROR(__xludf.DUMMYFUNCTION("""COMPUTED_VALUE"""),1)</f>
        <v>1</v>
      </c>
      <c r="I501" s="8">
        <f ca="1">IFERROR(__xludf.DUMMYFUNCTION("""COMPUTED_VALUE"""),1)</f>
        <v>1</v>
      </c>
      <c r="J501" s="8">
        <f ca="1">IFERROR(__xludf.DUMMYFUNCTION("""COMPUTED_VALUE"""),0)</f>
        <v>0</v>
      </c>
      <c r="K501" s="8" t="str">
        <f ca="1">IFERROR(__xludf.DUMMYFUNCTION("""COMPUTED_VALUE"""),"https://www.local10.com/news/local/2024/01/17/police-identify-15-year-old-who-shot-teen-during-fight-outside-high-school-basketball-game/
https://www.local10.com/news/local/2024/01/12/police-1-shot-outside-miami-dade-high-school/")</f>
        <v>https://www.local10.com/news/local/2024/01/17/police-identify-15-year-old-who-shot-teen-during-fight-outside-high-school-basketball-game/
https://www.local10.com/news/local/2024/01/12/police-1-shot-outside-miami-dade-high-school/</v>
      </c>
      <c r="L501" s="8">
        <f ca="1">IFERROR(__xludf.DUMMYFUNCTION("""COMPUTED_VALUE"""),3)</f>
        <v>3</v>
      </c>
      <c r="M501" s="8" t="str">
        <f ca="1">IFERROR(__xludf.DUMMYFUNCTION("""COMPUTED_VALUE"""),"Local")</f>
        <v>Local</v>
      </c>
      <c r="N501" s="8">
        <f ca="1">IFERROR(__xludf.DUMMYFUNCTION("""COMPUTED_VALUE"""),5)</f>
        <v>5</v>
      </c>
      <c r="O501" s="8" t="str">
        <f ca="1">IFERROR(__xludf.DUMMYFUNCTION("""COMPUTED_VALUE"""),"Winter")</f>
        <v>Winter</v>
      </c>
      <c r="P501" s="8" t="str">
        <f ca="1">IFERROR(__xludf.DUMMYFUNCTION("""COMPUTED_VALUE"""),"Miami")</f>
        <v>Miami</v>
      </c>
      <c r="Q501" s="8" t="str">
        <f ca="1">IFERROR(__xludf.DUMMYFUNCTION("""COMPUTED_VALUE"""),"FL")</f>
        <v>FL</v>
      </c>
      <c r="R501" s="8" t="str">
        <f ca="1">IFERROR(__xludf.DUMMYFUNCTION("""COMPUTED_VALUE"""),"High")</f>
        <v>High</v>
      </c>
      <c r="S501" s="8" t="str">
        <f ca="1">IFERROR(__xludf.DUMMYFUNCTION("""COMPUTED_VALUE"""),"Parking Lot")</f>
        <v>Parking Lot</v>
      </c>
      <c r="T501" s="8" t="str">
        <f ca="1">IFERROR(__xludf.DUMMYFUNCTION("""COMPUTED_VALUE"""),"Outside on School Property")</f>
        <v>Outside on School Property</v>
      </c>
      <c r="U501" s="8" t="str">
        <f ca="1">IFERROR(__xludf.DUMMYFUNCTION("""COMPUTED_VALUE"""),"No")</f>
        <v>No</v>
      </c>
      <c r="V501" s="8" t="str">
        <f ca="1">IFERROR(__xludf.DUMMYFUNCTION("""COMPUTED_VALUE"""),"Sport Event")</f>
        <v>Sport Event</v>
      </c>
      <c r="W501" s="8"/>
      <c r="X501" s="8">
        <f ca="1">IFERROR(__xludf.DUMMYFUNCTION("""COMPUTED_VALUE"""),1)</f>
        <v>1</v>
      </c>
      <c r="Y501" s="12" t="str">
        <f ca="1">IFERROR(__xludf.DUMMYFUNCTION("""COMPUTED_VALUE"""),"Student shot multiple times during fight outside high school basketball game")</f>
        <v>Student shot multiple times during fight outside high school basketball game</v>
      </c>
      <c r="Z501" s="12" t="str">
        <f ca="1">IFERROR(__xludf.DUMMYFUNCTION("""COMPUTED_VALUE"""),"A 15-year-old student was shot five times in the parking lot of Miami Northwestern Senior High School after a sporting event. The shooting occurred in the evening. The victim was transported to Jackson Memorial Hospital in critical condition. The shooting"&amp;" was the result of a fight or altercation that took place during or after the basketball game between Northwestern and Miami Central High School. ")</f>
        <v xml:space="preserve">A 15-year-old student was shot five times in the parking lot of Miami Northwestern Senior High School after a sporting event. The shooting occurred in the evening. The victim was transported to Jackson Memorial Hospital in critical condition. The shooting was the result of a fight or altercation that took place during or after the basketball game between Northwestern and Miami Central High School. </v>
      </c>
      <c r="AA501" s="8" t="str">
        <f ca="1">IFERROR(__xludf.DUMMYFUNCTION("""COMPUTED_VALUE"""),"Escalation of Dispute")</f>
        <v>Escalation of Dispute</v>
      </c>
      <c r="AB501" s="8" t="str">
        <f ca="1">IFERROR(__xludf.DUMMYFUNCTION("""COMPUTED_VALUE"""),"Targeted")</f>
        <v>Targeted</v>
      </c>
      <c r="AC501" s="8" t="str">
        <f ca="1">IFERROR(__xludf.DUMMYFUNCTION("""COMPUTED_VALUE"""),"Yes")</f>
        <v>Yes</v>
      </c>
      <c r="AD501" s="8" t="str">
        <f ca="1">IFERROR(__xludf.DUMMYFUNCTION("""COMPUTED_VALUE"""),"Victims Targeted")</f>
        <v>Victims Targeted</v>
      </c>
      <c r="AE501" s="8" t="str">
        <f ca="1">IFERROR(__xludf.DUMMYFUNCTION("""COMPUTED_VALUE"""),"No")</f>
        <v>No</v>
      </c>
      <c r="AF501" s="8"/>
      <c r="AG501" s="8" t="str">
        <f ca="1">IFERROR(__xludf.DUMMYFUNCTION("""COMPUTED_VALUE"""),"No")</f>
        <v>No</v>
      </c>
      <c r="AH501" s="8" t="str">
        <f ca="1">IFERROR(__xludf.DUMMYFUNCTION("""COMPUTED_VALUE"""),"No")</f>
        <v>No</v>
      </c>
      <c r="AI501" s="8" t="str">
        <f ca="1">IFERROR(__xludf.DUMMYFUNCTION("""COMPUTED_VALUE"""),"No")</f>
        <v>No</v>
      </c>
      <c r="AJ501" s="8" t="str">
        <f ca="1">IFERROR(__xludf.DUMMYFUNCTION("""COMPUTED_VALUE"""),"Yes")</f>
        <v>Yes</v>
      </c>
      <c r="AK501" s="8" t="str">
        <f ca="1">IFERROR(__xludf.DUMMYFUNCTION("""COMPUTED_VALUE"""),"No")</f>
        <v>No</v>
      </c>
      <c r="AL501" s="8" t="str">
        <f ca="1">IFERROR(__xludf.DUMMYFUNCTION("""COMPUTED_VALUE"""),"No")</f>
        <v>No</v>
      </c>
      <c r="AM501" s="8" t="str">
        <f ca="1">IFERROR(__xludf.DUMMYFUNCTION("""COMPUTED_VALUE"""),"No")</f>
        <v>No</v>
      </c>
      <c r="AN501" s="8" t="str">
        <f ca="1">IFERROR(__xludf.DUMMYFUNCTION("""COMPUTED_VALUE"""),"Outside")</f>
        <v>Outside</v>
      </c>
      <c r="AO501" s="8" t="str">
        <f ca="1">IFERROR(__xludf.DUMMYFUNCTION("""COMPUTED_VALUE"""),"No")</f>
        <v>No</v>
      </c>
      <c r="AP501" s="8"/>
      <c r="AQ501" s="8"/>
      <c r="AR501" s="8" t="str">
        <f ca="1">IFERROR(__xludf.DUMMYFUNCTION("""COMPUTED_VALUE"""),"Outside/Off-Property")</f>
        <v>Outside/Off-Property</v>
      </c>
      <c r="AS501" s="8">
        <f ca="1">IFERROR(__xludf.DUMMYFUNCTION("""COMPUTED_VALUE"""),5)</f>
        <v>5</v>
      </c>
      <c r="AT501" s="8"/>
      <c r="AU501" s="8">
        <f ca="1">IFERROR(__xludf.DUMMYFUNCTION("""COMPUTED_VALUE"""),25.838069)</f>
        <v>25.838069000000001</v>
      </c>
      <c r="AV501" s="8">
        <f ca="1">IFERROR(__xludf.DUMMYFUNCTION("""COMPUTED_VALUE"""),-80.214814)</f>
        <v>-80.214814000000004</v>
      </c>
      <c r="AW501" s="8" t="str">
        <f ca="1">IFERROR(__xludf.DUMMYFUNCTION("""COMPUTED_VALUE"""),"Single building indoor hallway")</f>
        <v>Single building indoor hallway</v>
      </c>
      <c r="AX501" s="8" t="str">
        <f ca="1">IFERROR(__xludf.DUMMYFUNCTION("""COMPUTED_VALUE"""),"33150-4124")</f>
        <v>33150-4124</v>
      </c>
    </row>
    <row r="502" spans="1:50" ht="105" x14ac:dyDescent="0.2">
      <c r="A502" s="8" t="str">
        <f ca="1">IFERROR(__xludf.DUMMYFUNCTION("""COMPUTED_VALUE"""),"20240111LABOB")</f>
        <v>20240111LABOB</v>
      </c>
      <c r="B502" s="8">
        <f ca="1">IFERROR(__xludf.DUMMYFUNCTION("""COMPUTED_VALUE"""),1)</f>
        <v>1</v>
      </c>
      <c r="C502" s="8">
        <f ca="1">IFERROR(__xludf.DUMMYFUNCTION("""COMPUTED_VALUE"""),11)</f>
        <v>11</v>
      </c>
      <c r="D502" s="8">
        <f ca="1">IFERROR(__xludf.DUMMYFUNCTION("""COMPUTED_VALUE"""),2024)</f>
        <v>2024</v>
      </c>
      <c r="E502" s="9">
        <f ca="1">IFERROR(__xludf.DUMMYFUNCTION("""COMPUTED_VALUE"""),45302)</f>
        <v>45302</v>
      </c>
      <c r="F502" s="8" t="str">
        <f ca="1">IFERROR(__xludf.DUMMYFUNCTION("""COMPUTED_VALUE"""),"Bogalusa High School")</f>
        <v>Bogalusa High School</v>
      </c>
      <c r="G502" s="8">
        <f ca="1">IFERROR(__xludf.DUMMYFUNCTION("""COMPUTED_VALUE"""),1)</f>
        <v>1</v>
      </c>
      <c r="H502" s="8">
        <f ca="1">IFERROR(__xludf.DUMMYFUNCTION("""COMPUTED_VALUE"""),1)</f>
        <v>1</v>
      </c>
      <c r="I502" s="8">
        <f ca="1">IFERROR(__xludf.DUMMYFUNCTION("""COMPUTED_VALUE"""),2)</f>
        <v>2</v>
      </c>
      <c r="J502" s="8">
        <f ca="1">IFERROR(__xludf.DUMMYFUNCTION("""COMPUTED_VALUE"""),0)</f>
        <v>0</v>
      </c>
      <c r="K502" s="8" t="str">
        <f ca="1">IFERROR(__xludf.DUMMYFUNCTION("""COMPUTED_VALUE"""),"https://www.wwltv.com/article/news/crime/teens-indicted-for-fatal-bogalusa-high-school-shooting/289-72570d75-a7d7-4b6b-a0c8-5cc732b36cdd
https://www.wwltv.com/article/news/crime/bogalusa-basketball-shooting-washington-parish-st-tammany-parish-covington-hi"&amp;"gh-school-crime/289-beae61d9-17fc-4684-bb71-caf76dea0bfb
https://www.wdsu.com/article/1-dead-1-injured-in-shooting-near-bogalusa-high-school/46357164#")</f>
        <v>https://www.wwltv.com/article/news/crime/teens-indicted-for-fatal-bogalusa-high-school-shooting/289-72570d75-a7d7-4b6b-a0c8-5cc732b36cdd
https://www.wwltv.com/article/news/crime/bogalusa-basketball-shooting-washington-parish-st-tammany-parish-covington-high-school-crime/289-beae61d9-17fc-4684-bb71-caf76dea0bfb
https://www.wdsu.com/article/1-dead-1-injured-in-shooting-near-bogalusa-high-school/46357164#</v>
      </c>
      <c r="L502" s="8">
        <f ca="1">IFERROR(__xludf.DUMMYFUNCTION("""COMPUTED_VALUE"""),4)</f>
        <v>4</v>
      </c>
      <c r="M502" s="8" t="str">
        <f ca="1">IFERROR(__xludf.DUMMYFUNCTION("""COMPUTED_VALUE"""),"Local")</f>
        <v>Local</v>
      </c>
      <c r="N502" s="8">
        <f ca="1">IFERROR(__xludf.DUMMYFUNCTION("""COMPUTED_VALUE"""),4)</f>
        <v>4</v>
      </c>
      <c r="O502" s="8" t="str">
        <f ca="1">IFERROR(__xludf.DUMMYFUNCTION("""COMPUTED_VALUE"""),"Winter")</f>
        <v>Winter</v>
      </c>
      <c r="P502" s="8" t="str">
        <f ca="1">IFERROR(__xludf.DUMMYFUNCTION("""COMPUTED_VALUE"""),"Bogalusa")</f>
        <v>Bogalusa</v>
      </c>
      <c r="Q502" s="8" t="str">
        <f ca="1">IFERROR(__xludf.DUMMYFUNCTION("""COMPUTED_VALUE"""),"LA")</f>
        <v>LA</v>
      </c>
      <c r="R502" s="8" t="str">
        <f ca="1">IFERROR(__xludf.DUMMYFUNCTION("""COMPUTED_VALUE"""),"High")</f>
        <v>High</v>
      </c>
      <c r="S502" s="8" t="str">
        <f ca="1">IFERROR(__xludf.DUMMYFUNCTION("""COMPUTED_VALUE"""),"Parking Lot")</f>
        <v>Parking Lot</v>
      </c>
      <c r="T502" s="8" t="str">
        <f ca="1">IFERROR(__xludf.DUMMYFUNCTION("""COMPUTED_VALUE"""),"Outside on School Property")</f>
        <v>Outside on School Property</v>
      </c>
      <c r="U502" s="8" t="str">
        <f ca="1">IFERROR(__xludf.DUMMYFUNCTION("""COMPUTED_VALUE"""),"No")</f>
        <v>No</v>
      </c>
      <c r="V502" s="8" t="str">
        <f ca="1">IFERROR(__xludf.DUMMYFUNCTION("""COMPUTED_VALUE"""),"Sport Event")</f>
        <v>Sport Event</v>
      </c>
      <c r="W502" s="11">
        <f ca="1">IFERROR(__xludf.DUMMYFUNCTION("""COMPUTED_VALUE"""),0.864583333333333)</f>
        <v>0.86458333333333304</v>
      </c>
      <c r="X502" s="8">
        <f ca="1">IFERROR(__xludf.DUMMYFUNCTION("""COMPUTED_VALUE"""),1)</f>
        <v>1</v>
      </c>
      <c r="Y502" s="12" t="str">
        <f ca="1">IFERROR(__xludf.DUMMYFUNCTION("""COMPUTED_VALUE"""),"One student killed, another hurt outside high school basketball game")</f>
        <v>One student killed, another hurt outside high school basketball game</v>
      </c>
      <c r="Z502" s="12" t="str">
        <f ca="1">IFERROR(__xludf.DUMMYFUNCTION("""COMPUTED_VALUE"""),"One student was shot and killed outside a Thursday night basketball game at Bogalusa High School. Another student was hurt. The shooting happened outside a Thursday night basketball game against Covington High School at around 8:45 p.m. Officers working a"&amp;"t the game heard the gunshots. Shooter had already fled when they found the victims outside.")</f>
        <v>One student was shot and killed outside a Thursday night basketball game at Bogalusa High School. Another student was hurt. The shooting happened outside a Thursday night basketball game against Covington High School at around 8:45 p.m. Officers working at the game heard the gunshots. Shooter had already fled when they found the victims outside.</v>
      </c>
      <c r="AA502" s="8"/>
      <c r="AB502" s="8"/>
      <c r="AC502" s="8" t="str">
        <f ca="1">IFERROR(__xludf.DUMMYFUNCTION("""COMPUTED_VALUE"""),"Yes")</f>
        <v>Yes</v>
      </c>
      <c r="AD502" s="8"/>
      <c r="AE502" s="8"/>
      <c r="AF502" s="8"/>
      <c r="AG502" s="8" t="str">
        <f ca="1">IFERROR(__xludf.DUMMYFUNCTION("""COMPUTED_VALUE"""),"No")</f>
        <v>No</v>
      </c>
      <c r="AH502" s="8" t="str">
        <f ca="1">IFERROR(__xludf.DUMMYFUNCTION("""COMPUTED_VALUE"""),"No")</f>
        <v>No</v>
      </c>
      <c r="AI502" s="8" t="str">
        <f ca="1">IFERROR(__xludf.DUMMYFUNCTION("""COMPUTED_VALUE"""),"No")</f>
        <v>No</v>
      </c>
      <c r="AJ502" s="8" t="str">
        <f ca="1">IFERROR(__xludf.DUMMYFUNCTION("""COMPUTED_VALUE"""),"No")</f>
        <v>No</v>
      </c>
      <c r="AK502" s="8" t="str">
        <f ca="1">IFERROR(__xludf.DUMMYFUNCTION("""COMPUTED_VALUE"""),"No")</f>
        <v>No</v>
      </c>
      <c r="AL502" s="8"/>
      <c r="AM502" s="8" t="str">
        <f ca="1">IFERROR(__xludf.DUMMYFUNCTION("""COMPUTED_VALUE"""),"No")</f>
        <v>No</v>
      </c>
      <c r="AN502" s="8" t="str">
        <f ca="1">IFERROR(__xludf.DUMMYFUNCTION("""COMPUTED_VALUE"""),"Outside")</f>
        <v>Outside</v>
      </c>
      <c r="AO502" s="8" t="str">
        <f ca="1">IFERROR(__xludf.DUMMYFUNCTION("""COMPUTED_VALUE"""),"No")</f>
        <v>No</v>
      </c>
      <c r="AP502" s="8" t="str">
        <f ca="1">IFERROR(__xludf.DUMMYFUNCTION("""COMPUTED_VALUE"""),"Yes")</f>
        <v>Yes</v>
      </c>
      <c r="AQ502" s="8" t="str">
        <f ca="1">IFERROR(__xludf.DUMMYFUNCTION("""COMPUTED_VALUE"""),"Armed Guards")</f>
        <v>Armed Guards</v>
      </c>
      <c r="AR502" s="8" t="str">
        <f ca="1">IFERROR(__xludf.DUMMYFUNCTION("""COMPUTED_VALUE"""),"Outside/Off-Property")</f>
        <v>Outside/Off-Property</v>
      </c>
      <c r="AS502" s="8">
        <f ca="1">IFERROR(__xludf.DUMMYFUNCTION("""COMPUTED_VALUE"""),99)</f>
        <v>99</v>
      </c>
      <c r="AT502" s="8"/>
      <c r="AU502" s="8">
        <f ca="1">IFERROR(__xludf.DUMMYFUNCTION("""COMPUTED_VALUE"""),30.780345)</f>
        <v>30.780345000000001</v>
      </c>
      <c r="AV502" s="8">
        <f ca="1">IFERROR(__xludf.DUMMYFUNCTION("""COMPUTED_VALUE"""),-89.867678)</f>
        <v>-89.867677999999998</v>
      </c>
      <c r="AW502" s="8" t="str">
        <f ca="1">IFERROR(__xludf.DUMMYFUNCTION("""COMPUTED_VALUE"""),"Multiple detached buildings")</f>
        <v>Multiple detached buildings</v>
      </c>
      <c r="AX502" s="8">
        <f ca="1">IFERROR(__xludf.DUMMYFUNCTION("""COMPUTED_VALUE"""),70427)</f>
        <v>70427</v>
      </c>
    </row>
    <row r="503" spans="1:50" ht="75" x14ac:dyDescent="0.2">
      <c r="A503" s="8" t="str">
        <f ca="1">IFERROR(__xludf.DUMMYFUNCTION("""COMPUTED_VALUE"""),"20240110WAWHW")</f>
        <v>20240110WAWHW</v>
      </c>
      <c r="B503" s="8">
        <f ca="1">IFERROR(__xludf.DUMMYFUNCTION("""COMPUTED_VALUE"""),1)</f>
        <v>1</v>
      </c>
      <c r="C503" s="8">
        <f ca="1">IFERROR(__xludf.DUMMYFUNCTION("""COMPUTED_VALUE"""),10)</f>
        <v>10</v>
      </c>
      <c r="D503" s="8">
        <f ca="1">IFERROR(__xludf.DUMMYFUNCTION("""COMPUTED_VALUE"""),2024)</f>
        <v>2024</v>
      </c>
      <c r="E503" s="9">
        <f ca="1">IFERROR(__xludf.DUMMYFUNCTION("""COMPUTED_VALUE"""),45301)</f>
        <v>45301</v>
      </c>
      <c r="F503" s="8" t="str">
        <f ca="1">IFERROR(__xludf.DUMMYFUNCTION("""COMPUTED_VALUE"""),"White Swan High School")</f>
        <v>White Swan High School</v>
      </c>
      <c r="G503" s="8">
        <f ca="1">IFERROR(__xludf.DUMMYFUNCTION("""COMPUTED_VALUE"""),0)</f>
        <v>0</v>
      </c>
      <c r="H503" s="8">
        <f ca="1">IFERROR(__xludf.DUMMYFUNCTION("""COMPUTED_VALUE"""),0)</f>
        <v>0</v>
      </c>
      <c r="I503" s="8">
        <f ca="1">IFERROR(__xludf.DUMMYFUNCTION("""COMPUTED_VALUE"""),0)</f>
        <v>0</v>
      </c>
      <c r="J503" s="8">
        <f ca="1">IFERROR(__xludf.DUMMYFUNCTION("""COMPUTED_VALUE"""),0)</f>
        <v>0</v>
      </c>
      <c r="K503" s="10" t="str">
        <f ca="1">IFERROR(__xludf.DUMMYFUNCTION("""COMPUTED_VALUE"""),"https://www.yakimaherald.com/news/local/crime_and_courts/white-swan-high-school-briefly-locked-down-after-gun-incident/article_d2c44a06-afeb-11ee-81d7-37baeb475594.html
https://www.fox41yakima.com/lockdown-lifted-at-white-swan-high-school/
https://newstal"&amp;"kkit.com/lockdown-lifted-at-white-swan-high-school-after-gun-incident/")</f>
        <v>https://www.yakimaherald.com/news/local/crime_and_courts/white-swan-high-school-briefly-locked-down-after-gun-incident/article_d2c44a06-afeb-11ee-81d7-37baeb475594.html
https://www.fox41yakima.com/lockdown-lifted-at-white-swan-high-school/
https://newstalkkit.com/lockdown-lifted-at-white-swan-high-school-after-gun-incident/</v>
      </c>
      <c r="L503" s="8">
        <f ca="1">IFERROR(__xludf.DUMMYFUNCTION("""COMPUTED_VALUE"""),3)</f>
        <v>3</v>
      </c>
      <c r="M503" s="8" t="str">
        <f ca="1">IFERROR(__xludf.DUMMYFUNCTION("""COMPUTED_VALUE"""),"Local")</f>
        <v>Local</v>
      </c>
      <c r="N503" s="8">
        <f ca="1">IFERROR(__xludf.DUMMYFUNCTION("""COMPUTED_VALUE"""),4)</f>
        <v>4</v>
      </c>
      <c r="O503" s="8" t="str">
        <f ca="1">IFERROR(__xludf.DUMMYFUNCTION("""COMPUTED_VALUE"""),"Winter")</f>
        <v>Winter</v>
      </c>
      <c r="P503" s="8" t="str">
        <f ca="1">IFERROR(__xludf.DUMMYFUNCTION("""COMPUTED_VALUE"""),"White Swan")</f>
        <v>White Swan</v>
      </c>
      <c r="Q503" s="8" t="str">
        <f ca="1">IFERROR(__xludf.DUMMYFUNCTION("""COMPUTED_VALUE"""),"WA")</f>
        <v>WA</v>
      </c>
      <c r="R503" s="8" t="str">
        <f ca="1">IFERROR(__xludf.DUMMYFUNCTION("""COMPUTED_VALUE"""),"High")</f>
        <v>High</v>
      </c>
      <c r="S503" s="8" t="str">
        <f ca="1">IFERROR(__xludf.DUMMYFUNCTION("""COMPUTED_VALUE"""),"Outside on School Property")</f>
        <v>Outside on School Property</v>
      </c>
      <c r="T503" s="8" t="str">
        <f ca="1">IFERROR(__xludf.DUMMYFUNCTION("""COMPUTED_VALUE"""),"Outside on School Property")</f>
        <v>Outside on School Property</v>
      </c>
      <c r="U503" s="8" t="str">
        <f ca="1">IFERROR(__xludf.DUMMYFUNCTION("""COMPUTED_VALUE"""),"Yes")</f>
        <v>Yes</v>
      </c>
      <c r="V503" s="8" t="str">
        <f ca="1">IFERROR(__xludf.DUMMYFUNCTION("""COMPUTED_VALUE"""),"Morning Classes")</f>
        <v>Morning Classes</v>
      </c>
      <c r="W503" s="11">
        <f ca="1">IFERROR(__xludf.DUMMYFUNCTION("""COMPUTED_VALUE"""),0.326388888888888)</f>
        <v>0.32638888888888801</v>
      </c>
      <c r="X503" s="8">
        <f ca="1">IFERROR(__xludf.DUMMYFUNCTION("""COMPUTED_VALUE"""),1)</f>
        <v>1</v>
      </c>
      <c r="Y503" s="12" t="str">
        <f ca="1">IFERROR(__xludf.DUMMYFUNCTION("""COMPUTED_VALUE"""),"Student pointed rifle a SRO outside school, school went on lockdown, no shots fired")</f>
        <v>Student pointed rifle a SRO outside school, school went on lockdown, no shots fired</v>
      </c>
      <c r="Z503" s="12" t="str">
        <f ca="1">IFERROR(__xludf.DUMMYFUNCTION("""COMPUTED_VALUE"""),"Student pointed rifle a SRO outside school, school went on lockdown, and no shots fired. Students were buses to an alternate location after the lockdown.")</f>
        <v>Student pointed rifle a SRO outside school, school went on lockdown, and no shots fired. Students were buses to an alternate location after the lockdown.</v>
      </c>
      <c r="AA503" s="8"/>
      <c r="AB503" s="8"/>
      <c r="AC503" s="8" t="str">
        <f ca="1">IFERROR(__xludf.DUMMYFUNCTION("""COMPUTED_VALUE"""),"Yes")</f>
        <v>Yes</v>
      </c>
      <c r="AD503" s="8"/>
      <c r="AE503" s="8" t="str">
        <f ca="1">IFERROR(__xludf.DUMMYFUNCTION("""COMPUTED_VALUE"""),"No")</f>
        <v>No</v>
      </c>
      <c r="AF503" s="8"/>
      <c r="AG503" s="8" t="str">
        <f ca="1">IFERROR(__xludf.DUMMYFUNCTION("""COMPUTED_VALUE"""),"No")</f>
        <v>No</v>
      </c>
      <c r="AH503" s="8" t="str">
        <f ca="1">IFERROR(__xludf.DUMMYFUNCTION("""COMPUTED_VALUE"""),"No")</f>
        <v>No</v>
      </c>
      <c r="AI503" s="8" t="str">
        <f ca="1">IFERROR(__xludf.DUMMYFUNCTION("""COMPUTED_VALUE"""),"No")</f>
        <v>No</v>
      </c>
      <c r="AJ503" s="8" t="str">
        <f ca="1">IFERROR(__xludf.DUMMYFUNCTION("""COMPUTED_VALUE"""),"No")</f>
        <v>No</v>
      </c>
      <c r="AK503" s="8" t="str">
        <f ca="1">IFERROR(__xludf.DUMMYFUNCTION("""COMPUTED_VALUE"""),"No")</f>
        <v>No</v>
      </c>
      <c r="AL503" s="8" t="str">
        <f ca="1">IFERROR(__xludf.DUMMYFUNCTION("""COMPUTED_VALUE"""),"No")</f>
        <v>No</v>
      </c>
      <c r="AM503" s="8"/>
      <c r="AN503" s="8" t="str">
        <f ca="1">IFERROR(__xludf.DUMMYFUNCTION("""COMPUTED_VALUE"""),"Outside")</f>
        <v>Outside</v>
      </c>
      <c r="AO503" s="8"/>
      <c r="AP503" s="8" t="str">
        <f ca="1">IFERROR(__xludf.DUMMYFUNCTION("""COMPUTED_VALUE"""),"Yes")</f>
        <v>Yes</v>
      </c>
      <c r="AQ503" s="8" t="str">
        <f ca="1">IFERROR(__xludf.DUMMYFUNCTION("""COMPUTED_VALUE"""),"Armed Guards")</f>
        <v>Armed Guards</v>
      </c>
      <c r="AR503" s="8" t="str">
        <f ca="1">IFERROR(__xludf.DUMMYFUNCTION("""COMPUTED_VALUE"""),"Outside/Off-Property")</f>
        <v>Outside/Off-Property</v>
      </c>
      <c r="AS503" s="8">
        <f ca="1">IFERROR(__xludf.DUMMYFUNCTION("""COMPUTED_VALUE"""),0)</f>
        <v>0</v>
      </c>
      <c r="AT503" s="8" t="str">
        <f ca="1">IFERROR(__xludf.DUMMYFUNCTION("""COMPUTED_VALUE"""),"Yes")</f>
        <v>Yes</v>
      </c>
      <c r="AU503" s="8">
        <f ca="1">IFERROR(__xludf.DUMMYFUNCTION("""COMPUTED_VALUE"""),46.37831)</f>
        <v>46.378309999999999</v>
      </c>
      <c r="AV503" s="8">
        <f ca="1">IFERROR(__xludf.DUMMYFUNCTION("""COMPUTED_VALUE"""),-120.731802)</f>
        <v>-120.731802</v>
      </c>
      <c r="AW503" s="8" t="str">
        <f ca="1">IFERROR(__xludf.DUMMYFUNCTION("""COMPUTED_VALUE"""),"Multiple detached buildings")</f>
        <v>Multiple detached buildings</v>
      </c>
      <c r="AX503" s="8">
        <f ca="1">IFERROR(__xludf.DUMMYFUNCTION("""COMPUTED_VALUE"""),98952)</f>
        <v>98952</v>
      </c>
    </row>
    <row r="504" spans="1:50" ht="180" x14ac:dyDescent="0.2">
      <c r="A504" s="8" t="str">
        <f ca="1">IFERROR(__xludf.DUMMYFUNCTION("""COMPUTED_VALUE"""),"20240109TXACH")</f>
        <v>20240109TXACH</v>
      </c>
      <c r="B504" s="8">
        <f ca="1">IFERROR(__xludf.DUMMYFUNCTION("""COMPUTED_VALUE"""),1)</f>
        <v>1</v>
      </c>
      <c r="C504" s="8">
        <f ca="1">IFERROR(__xludf.DUMMYFUNCTION("""COMPUTED_VALUE"""),9)</f>
        <v>9</v>
      </c>
      <c r="D504" s="8">
        <f ca="1">IFERROR(__xludf.DUMMYFUNCTION("""COMPUTED_VALUE"""),2024)</f>
        <v>2024</v>
      </c>
      <c r="E504" s="9">
        <f ca="1">IFERROR(__xludf.DUMMYFUNCTION("""COMPUTED_VALUE"""),45300)</f>
        <v>45300</v>
      </c>
      <c r="F504" s="8" t="str">
        <f ca="1">IFERROR(__xludf.DUMMYFUNCTION("""COMPUTED_VALUE"""),"Academy of Accelerated Learning Middle School")</f>
        <v>Academy of Accelerated Learning Middle School</v>
      </c>
      <c r="G504" s="8">
        <f ca="1">IFERROR(__xludf.DUMMYFUNCTION("""COMPUTED_VALUE"""),1)</f>
        <v>1</v>
      </c>
      <c r="H504" s="8">
        <f ca="1">IFERROR(__xludf.DUMMYFUNCTION("""COMPUTED_VALUE"""),0)</f>
        <v>0</v>
      </c>
      <c r="I504" s="8">
        <f ca="1">IFERROR(__xludf.DUMMYFUNCTION("""COMPUTED_VALUE"""),1)</f>
        <v>1</v>
      </c>
      <c r="J504" s="8">
        <f ca="1">IFERROR(__xludf.DUMMYFUNCTION("""COMPUTED_VALUE"""),0)</f>
        <v>0</v>
      </c>
      <c r="K504" s="10" t="str">
        <f ca="1">IFERROR(__xludf.DUMMYFUNCTION("""COMPUTED_VALUE"""),"https://www.khou.com/article/news/crime/houston-texas-crime-shooting-man-found-dead-savoy-harwin/285-7f9d4361-f373-4cad-8178-8ca8130adca3
https://abc13.com/houston-shooting-man-found-shot-outside-middle-school-homicide-investigation-hpd/14302020/")</f>
        <v>https://www.khou.com/article/news/crime/houston-texas-crime-shooting-man-found-dead-savoy-harwin/285-7f9d4361-f373-4cad-8178-8ca8130adca3
https://abc13.com/houston-shooting-man-found-shot-outside-middle-school-homicide-investigation-hpd/14302020/</v>
      </c>
      <c r="L504" s="8">
        <f ca="1">IFERROR(__xludf.DUMMYFUNCTION("""COMPUTED_VALUE"""),6)</f>
        <v>6</v>
      </c>
      <c r="M504" s="8" t="str">
        <f ca="1">IFERROR(__xludf.DUMMYFUNCTION("""COMPUTED_VALUE"""),"Regional")</f>
        <v>Regional</v>
      </c>
      <c r="N504" s="8">
        <f ca="1">IFERROR(__xludf.DUMMYFUNCTION("""COMPUTED_VALUE"""),4)</f>
        <v>4</v>
      </c>
      <c r="O504" s="8" t="str">
        <f ca="1">IFERROR(__xludf.DUMMYFUNCTION("""COMPUTED_VALUE"""),"Winter")</f>
        <v>Winter</v>
      </c>
      <c r="P504" s="8" t="str">
        <f ca="1">IFERROR(__xludf.DUMMYFUNCTION("""COMPUTED_VALUE"""),"Houston")</f>
        <v>Houston</v>
      </c>
      <c r="Q504" s="8" t="str">
        <f ca="1">IFERROR(__xludf.DUMMYFUNCTION("""COMPUTED_VALUE"""),"TX")</f>
        <v>TX</v>
      </c>
      <c r="R504" s="8" t="str">
        <f ca="1">IFERROR(__xludf.DUMMYFUNCTION("""COMPUTED_VALUE"""),"Middle")</f>
        <v>Middle</v>
      </c>
      <c r="S504" s="8" t="str">
        <f ca="1">IFERROR(__xludf.DUMMYFUNCTION("""COMPUTED_VALUE"""),"Front of School")</f>
        <v>Front of School</v>
      </c>
      <c r="T504" s="8" t="str">
        <f ca="1">IFERROR(__xludf.DUMMYFUNCTION("""COMPUTED_VALUE"""),"Outside on School Property")</f>
        <v>Outside on School Property</v>
      </c>
      <c r="U504" s="8" t="str">
        <f ca="1">IFERROR(__xludf.DUMMYFUNCTION("""COMPUTED_VALUE"""),"Yes")</f>
        <v>Yes</v>
      </c>
      <c r="V504" s="8" t="str">
        <f ca="1">IFERROR(__xludf.DUMMYFUNCTION("""COMPUTED_VALUE"""),"Before School")</f>
        <v>Before School</v>
      </c>
      <c r="W504" s="8"/>
      <c r="X504" s="8">
        <f ca="1">IFERROR(__xludf.DUMMYFUNCTION("""COMPUTED_VALUE"""),1)</f>
        <v>1</v>
      </c>
      <c r="Y504" s="12" t="str">
        <f ca="1">IFERROR(__xludf.DUMMYFUNCTION("""COMPUTED_VALUE"""),"Man's body found in the bushes near the front door by staffer arriving at school")</f>
        <v>Man's body found in the bushes near the front door by staffer arriving at school</v>
      </c>
      <c r="Z504" s="12" t="str">
        <f ca="1">IFERROR(__xludf.DUMMYFUNCTION("""COMPUTED_VALUE"""),"Houston police said the man, who is in his early 20s, was found just after 7 a.m. outside the Academy of Accelerated Learning building off Savoy and Harwin Drive. An employee arrived at the middle school and spotted the victim's body in the bushes, police"&amp;" said. She called for help and had another employee check out the body. When paramedics arrived at the scene, they pronounced him dead. Police believe the shooting happened in the school parking lot, where multiple shell casings were located. However, wha"&amp;"t led up to the shooting is still under investigation. The victim has yet to be identified, but police said he is not affiliated with the school and had been shot several times.")</f>
        <v>Houston police said the man, who is in his early 20s, was found just after 7 a.m. outside the Academy of Accelerated Learning building off Savoy and Harwin Drive. An employee arrived at the middle school and spotted the victim's body in the bushes, police said. She called for help and had another employee check out the body. When paramedics arrived at the scene, they pronounced him dead. Police believe the shooting happened in the school parking lot, where multiple shell casings were located. However, what led up to the shooting is still under investigation. The victim has yet to be identified, but police said he is not affiliated with the school and had been shot several times.</v>
      </c>
      <c r="AA504" s="8"/>
      <c r="AB504" s="8" t="str">
        <f ca="1">IFERROR(__xludf.DUMMYFUNCTION("""COMPUTED_VALUE"""),"Targeted")</f>
        <v>Targeted</v>
      </c>
      <c r="AC504" s="8" t="str">
        <f ca="1">IFERROR(__xludf.DUMMYFUNCTION("""COMPUTED_VALUE"""),"Yes")</f>
        <v>Yes</v>
      </c>
      <c r="AD504" s="8" t="str">
        <f ca="1">IFERROR(__xludf.DUMMYFUNCTION("""COMPUTED_VALUE"""),"Victims Targeted")</f>
        <v>Victims Targeted</v>
      </c>
      <c r="AE504" s="8"/>
      <c r="AF504" s="8"/>
      <c r="AG504" s="8" t="str">
        <f ca="1">IFERROR(__xludf.DUMMYFUNCTION("""COMPUTED_VALUE"""),"No")</f>
        <v>No</v>
      </c>
      <c r="AH504" s="8" t="str">
        <f ca="1">IFERROR(__xludf.DUMMYFUNCTION("""COMPUTED_VALUE"""),"No")</f>
        <v>No</v>
      </c>
      <c r="AI504" s="8" t="str">
        <f ca="1">IFERROR(__xludf.DUMMYFUNCTION("""COMPUTED_VALUE"""),"No")</f>
        <v>No</v>
      </c>
      <c r="AJ504" s="8" t="str">
        <f ca="1">IFERROR(__xludf.DUMMYFUNCTION("""COMPUTED_VALUE"""),"No")</f>
        <v>No</v>
      </c>
      <c r="AK504" s="8" t="str">
        <f ca="1">IFERROR(__xludf.DUMMYFUNCTION("""COMPUTED_VALUE"""),"No")</f>
        <v>No</v>
      </c>
      <c r="AL504" s="8"/>
      <c r="AM504" s="8" t="str">
        <f ca="1">IFERROR(__xludf.DUMMYFUNCTION("""COMPUTED_VALUE"""),"No")</f>
        <v>No</v>
      </c>
      <c r="AN504" s="8" t="str">
        <f ca="1">IFERROR(__xludf.DUMMYFUNCTION("""COMPUTED_VALUE"""),"Outside")</f>
        <v>Outside</v>
      </c>
      <c r="AO504" s="8" t="str">
        <f ca="1">IFERROR(__xludf.DUMMYFUNCTION("""COMPUTED_VALUE"""),"No")</f>
        <v>No</v>
      </c>
      <c r="AP504" s="8"/>
      <c r="AQ504" s="8"/>
      <c r="AR504" s="8" t="str">
        <f ca="1">IFERROR(__xludf.DUMMYFUNCTION("""COMPUTED_VALUE"""),"Outside/Off-Property")</f>
        <v>Outside/Off-Property</v>
      </c>
      <c r="AS504" s="8">
        <f ca="1">IFERROR(__xludf.DUMMYFUNCTION("""COMPUTED_VALUE"""),99)</f>
        <v>99</v>
      </c>
      <c r="AT504" s="8" t="str">
        <f ca="1">IFERROR(__xludf.DUMMYFUNCTION("""COMPUTED_VALUE"""),"Yes")</f>
        <v>Yes</v>
      </c>
      <c r="AU504" s="8">
        <f ca="1">IFERROR(__xludf.DUMMYFUNCTION("""COMPUTED_VALUE"""),29.716751)</f>
        <v>29.716750999999999</v>
      </c>
      <c r="AV504" s="8">
        <f ca="1">IFERROR(__xludf.DUMMYFUNCTION("""COMPUTED_VALUE"""),-95.505534)</f>
        <v>-95.505533999999997</v>
      </c>
      <c r="AW504" s="8" t="str">
        <f ca="1">IFERROR(__xludf.DUMMYFUNCTION("""COMPUTED_VALUE"""),"Single building indoor hallway")</f>
        <v>Single building indoor hallway</v>
      </c>
      <c r="AX504" s="8">
        <f ca="1">IFERROR(__xludf.DUMMYFUNCTION("""COMPUTED_VALUE"""),77036)</f>
        <v>77036</v>
      </c>
    </row>
    <row r="505" spans="1:50" ht="90" x14ac:dyDescent="0.2">
      <c r="A505" s="8" t="str">
        <f ca="1">IFERROR(__xludf.DUMMYFUNCTION("""COMPUTED_VALUE"""),"20240108MSSIS")</f>
        <v>20240108MSSIS</v>
      </c>
      <c r="B505" s="8">
        <f ca="1">IFERROR(__xludf.DUMMYFUNCTION("""COMPUTED_VALUE"""),1)</f>
        <v>1</v>
      </c>
      <c r="C505" s="8">
        <f ca="1">IFERROR(__xludf.DUMMYFUNCTION("""COMPUTED_VALUE"""),8)</f>
        <v>8</v>
      </c>
      <c r="D505" s="8">
        <f ca="1">IFERROR(__xludf.DUMMYFUNCTION("""COMPUTED_VALUE"""),2024)</f>
        <v>2024</v>
      </c>
      <c r="E505" s="9">
        <f ca="1">IFERROR(__xludf.DUMMYFUNCTION("""COMPUTED_VALUE"""),45299)</f>
        <v>45299</v>
      </c>
      <c r="F505" s="8" t="str">
        <f ca="1">IFERROR(__xludf.DUMMYFUNCTION("""COMPUTED_VALUE"""),"Simpson County School Bus")</f>
        <v>Simpson County School Bus</v>
      </c>
      <c r="G505" s="8">
        <f ca="1">IFERROR(__xludf.DUMMYFUNCTION("""COMPUTED_VALUE"""),0)</f>
        <v>0</v>
      </c>
      <c r="H505" s="8">
        <f ca="1">IFERROR(__xludf.DUMMYFUNCTION("""COMPUTED_VALUE"""),1)</f>
        <v>1</v>
      </c>
      <c r="I505" s="8">
        <f ca="1">IFERROR(__xludf.DUMMYFUNCTION("""COMPUTED_VALUE"""),1)</f>
        <v>1</v>
      </c>
      <c r="J505" s="8">
        <f ca="1">IFERROR(__xludf.DUMMYFUNCTION("""COMPUTED_VALUE"""),0)</f>
        <v>0</v>
      </c>
      <c r="K505" s="10" t="str">
        <f ca="1">IFERROR(__xludf.DUMMYFUNCTION("""COMPUTED_VALUE"""),"https://www.wlbt.com/2024/01/09/simpson-county-teen-recovering-gunshot-wound/
https://www.supertalk.fm/simpson-county-teen-recovering-after-being-shot-while-exiting-school-bus/")</f>
        <v>https://www.wlbt.com/2024/01/09/simpson-county-teen-recovering-gunshot-wound/
https://www.supertalk.fm/simpson-county-teen-recovering-after-being-shot-while-exiting-school-bus/</v>
      </c>
      <c r="L505" s="8">
        <f ca="1">IFERROR(__xludf.DUMMYFUNCTION("""COMPUTED_VALUE"""),4)</f>
        <v>4</v>
      </c>
      <c r="M505" s="8" t="str">
        <f ca="1">IFERROR(__xludf.DUMMYFUNCTION("""COMPUTED_VALUE"""),"Local")</f>
        <v>Local</v>
      </c>
      <c r="N505" s="8">
        <f ca="1">IFERROR(__xludf.DUMMYFUNCTION("""COMPUTED_VALUE"""),4)</f>
        <v>4</v>
      </c>
      <c r="O505" s="8" t="str">
        <f ca="1">IFERROR(__xludf.DUMMYFUNCTION("""COMPUTED_VALUE"""),"Winter")</f>
        <v>Winter</v>
      </c>
      <c r="P505" s="8" t="str">
        <f ca="1">IFERROR(__xludf.DUMMYFUNCTION("""COMPUTED_VALUE"""),"Shivers")</f>
        <v>Shivers</v>
      </c>
      <c r="Q505" s="8" t="str">
        <f ca="1">IFERROR(__xludf.DUMMYFUNCTION("""COMPUTED_VALUE"""),"MS")</f>
        <v>MS</v>
      </c>
      <c r="R505" s="8" t="str">
        <f ca="1">IFERROR(__xludf.DUMMYFUNCTION("""COMPUTED_VALUE"""),"High")</f>
        <v>High</v>
      </c>
      <c r="S505" s="8" t="str">
        <f ca="1">IFERROR(__xludf.DUMMYFUNCTION("""COMPUTED_VALUE"""),"School Bus")</f>
        <v>School Bus</v>
      </c>
      <c r="T505" s="8" t="str">
        <f ca="1">IFERROR(__xludf.DUMMYFUNCTION("""COMPUTED_VALUE"""),"School Bus")</f>
        <v>School Bus</v>
      </c>
      <c r="U505" s="8" t="str">
        <f ca="1">IFERROR(__xludf.DUMMYFUNCTION("""COMPUTED_VALUE"""),"Yes")</f>
        <v>Yes</v>
      </c>
      <c r="V505" s="8" t="str">
        <f ca="1">IFERROR(__xludf.DUMMYFUNCTION("""COMPUTED_VALUE"""),"Dismissal")</f>
        <v>Dismissal</v>
      </c>
      <c r="W505" s="11">
        <f ca="1">IFERROR(__xludf.DUMMYFUNCTION("""COMPUTED_VALUE"""),0.604166666666666)</f>
        <v>0.60416666666666596</v>
      </c>
      <c r="X505" s="8">
        <f ca="1">IFERROR(__xludf.DUMMYFUNCTION("""COMPUTED_VALUE"""),1)</f>
        <v>1</v>
      </c>
      <c r="Y505" s="12" t="str">
        <f ca="1">IFERROR(__xludf.DUMMYFUNCTION("""COMPUTED_VALUE"""),"Student shot while getting off of the school bus")</f>
        <v>Student shot while getting off of the school bus</v>
      </c>
      <c r="Z505" s="12" t="str">
        <f ca="1">IFERROR(__xludf.DUMMYFUNCTION("""COMPUTED_VALUE"""),"Simpson County Sheriff Paul Mullins said the 16-year-old was shot around 2:30 p.m. on Monday after getting off of a school bus near Shivers Road. The sheriff says the teen was shot in the back. The name of the victim has not been released. Investigators b"&amp;"elieve the incident was not a random attack, and possibly an ambush.")</f>
        <v>Simpson County Sheriff Paul Mullins said the 16-year-old was shot around 2:30 p.m. on Monday after getting off of a school bus near Shivers Road. The sheriff says the teen was shot in the back. The name of the victim has not been released. Investigators believe the incident was not a random attack, and possibly an ambush.</v>
      </c>
      <c r="AA505" s="8"/>
      <c r="AB505" s="8" t="str">
        <f ca="1">IFERROR(__xludf.DUMMYFUNCTION("""COMPUTED_VALUE"""),"Targeted")</f>
        <v>Targeted</v>
      </c>
      <c r="AC505" s="8" t="str">
        <f ca="1">IFERROR(__xludf.DUMMYFUNCTION("""COMPUTED_VALUE"""),"Yes")</f>
        <v>Yes</v>
      </c>
      <c r="AD505" s="8" t="str">
        <f ca="1">IFERROR(__xludf.DUMMYFUNCTION("""COMPUTED_VALUE"""),"Victims Targeted")</f>
        <v>Victims Targeted</v>
      </c>
      <c r="AE505" s="8"/>
      <c r="AF505" s="8"/>
      <c r="AG505" s="8" t="str">
        <f ca="1">IFERROR(__xludf.DUMMYFUNCTION("""COMPUTED_VALUE"""),"No")</f>
        <v>No</v>
      </c>
      <c r="AH505" s="8" t="str">
        <f ca="1">IFERROR(__xludf.DUMMYFUNCTION("""COMPUTED_VALUE"""),"No")</f>
        <v>No</v>
      </c>
      <c r="AI505" s="8" t="str">
        <f ca="1">IFERROR(__xludf.DUMMYFUNCTION("""COMPUTED_VALUE"""),"No")</f>
        <v>No</v>
      </c>
      <c r="AJ505" s="8"/>
      <c r="AK505" s="8" t="str">
        <f ca="1">IFERROR(__xludf.DUMMYFUNCTION("""COMPUTED_VALUE"""),"No")</f>
        <v>No</v>
      </c>
      <c r="AL505" s="8"/>
      <c r="AM505" s="8" t="str">
        <f ca="1">IFERROR(__xludf.DUMMYFUNCTION("""COMPUTED_VALUE"""),"No")</f>
        <v>No</v>
      </c>
      <c r="AN505" s="8" t="str">
        <f ca="1">IFERROR(__xludf.DUMMYFUNCTION("""COMPUTED_VALUE"""),"Outside")</f>
        <v>Outside</v>
      </c>
      <c r="AO505" s="8" t="str">
        <f ca="1">IFERROR(__xludf.DUMMYFUNCTION("""COMPUTED_VALUE"""),"No")</f>
        <v>No</v>
      </c>
      <c r="AP505" s="8"/>
      <c r="AQ505" s="8"/>
      <c r="AR505" s="8" t="str">
        <f ca="1">IFERROR(__xludf.DUMMYFUNCTION("""COMPUTED_VALUE"""),"Outside/Off-Property")</f>
        <v>Outside/Off-Property</v>
      </c>
      <c r="AS505" s="8">
        <f ca="1">IFERROR(__xludf.DUMMYFUNCTION("""COMPUTED_VALUE"""),1)</f>
        <v>1</v>
      </c>
      <c r="AT505" s="8" t="str">
        <f ca="1">IFERROR(__xludf.DUMMYFUNCTION("""COMPUTED_VALUE"""),"No")</f>
        <v>No</v>
      </c>
      <c r="AU505" s="8">
        <f ca="1">IFERROR(__xludf.DUMMYFUNCTION("""COMPUTED_VALUE"""),31.796566)</f>
        <v>31.796565999999999</v>
      </c>
      <c r="AV505" s="8">
        <f ca="1">IFERROR(__xludf.DUMMYFUNCTION("""COMPUTED_VALUE"""),-89.987791)</f>
        <v>-89.987791000000001</v>
      </c>
      <c r="AW505" s="8"/>
      <c r="AX505" s="8">
        <f ca="1">IFERROR(__xludf.DUMMYFUNCTION("""COMPUTED_VALUE"""),39149)</f>
        <v>39149</v>
      </c>
    </row>
    <row r="506" spans="1:50" ht="45" x14ac:dyDescent="0.2">
      <c r="A506" s="8" t="str">
        <f ca="1">IFERROR(__xludf.DUMMYFUNCTION("""COMPUTED_VALUE"""),"20240108CARIR")</f>
        <v>20240108CARIR</v>
      </c>
      <c r="B506" s="8">
        <f ca="1">IFERROR(__xludf.DUMMYFUNCTION("""COMPUTED_VALUE"""),1)</f>
        <v>1</v>
      </c>
      <c r="C506" s="8">
        <f ca="1">IFERROR(__xludf.DUMMYFUNCTION("""COMPUTED_VALUE"""),8)</f>
        <v>8</v>
      </c>
      <c r="D506" s="8">
        <f ca="1">IFERROR(__xludf.DUMMYFUNCTION("""COMPUTED_VALUE"""),2024)</f>
        <v>2024</v>
      </c>
      <c r="E506" s="9">
        <f ca="1">IFERROR(__xludf.DUMMYFUNCTION("""COMPUTED_VALUE"""),45299)</f>
        <v>45299</v>
      </c>
      <c r="F506" s="8" t="str">
        <f ca="1">IFERROR(__xludf.DUMMYFUNCTION("""COMPUTED_VALUE"""),"Richmond High School")</f>
        <v>Richmond High School</v>
      </c>
      <c r="G506" s="8">
        <f ca="1">IFERROR(__xludf.DUMMYFUNCTION("""COMPUTED_VALUE"""),0)</f>
        <v>0</v>
      </c>
      <c r="H506" s="8">
        <f ca="1">IFERROR(__xludf.DUMMYFUNCTION("""COMPUTED_VALUE"""),0)</f>
        <v>0</v>
      </c>
      <c r="I506" s="8">
        <f ca="1">IFERROR(__xludf.DUMMYFUNCTION("""COMPUTED_VALUE"""),0)</f>
        <v>0</v>
      </c>
      <c r="J506" s="8">
        <f ca="1">IFERROR(__xludf.DUMMYFUNCTION("""COMPUTED_VALUE"""),0)</f>
        <v>0</v>
      </c>
      <c r="K506" s="10" t="str">
        <f ca="1">IFERROR(__xludf.DUMMYFUNCTION("""COMPUTED_VALUE"""),"https://www.cbsnews.com/sanfrancisco/news/police-respond-to-shooting-near-richmond-high-school-no-injuries-reported/")</f>
        <v>https://www.cbsnews.com/sanfrancisco/news/police-respond-to-shooting-near-richmond-high-school-no-injuries-reported/</v>
      </c>
      <c r="L506" s="8">
        <f ca="1">IFERROR(__xludf.DUMMYFUNCTION("""COMPUTED_VALUE"""),1)</f>
        <v>1</v>
      </c>
      <c r="M506" s="8" t="str">
        <f ca="1">IFERROR(__xludf.DUMMYFUNCTION("""COMPUTED_VALUE"""),"Local")</f>
        <v>Local</v>
      </c>
      <c r="N506" s="8">
        <f ca="1">IFERROR(__xludf.DUMMYFUNCTION("""COMPUTED_VALUE"""),3)</f>
        <v>3</v>
      </c>
      <c r="O506" s="8" t="str">
        <f ca="1">IFERROR(__xludf.DUMMYFUNCTION("""COMPUTED_VALUE"""),"Winter")</f>
        <v>Winter</v>
      </c>
      <c r="P506" s="8" t="str">
        <f ca="1">IFERROR(__xludf.DUMMYFUNCTION("""COMPUTED_VALUE"""),"Richmond")</f>
        <v>Richmond</v>
      </c>
      <c r="Q506" s="8" t="str">
        <f ca="1">IFERROR(__xludf.DUMMYFUNCTION("""COMPUTED_VALUE"""),"CA")</f>
        <v>CA</v>
      </c>
      <c r="R506" s="8" t="str">
        <f ca="1">IFERROR(__xludf.DUMMYFUNCTION("""COMPUTED_VALUE"""),"High")</f>
        <v>High</v>
      </c>
      <c r="S506" s="8" t="str">
        <f ca="1">IFERROR(__xludf.DUMMYFUNCTION("""COMPUTED_VALUE"""),"Parking Lot")</f>
        <v>Parking Lot</v>
      </c>
      <c r="T506" s="8" t="str">
        <f ca="1">IFERROR(__xludf.DUMMYFUNCTION("""COMPUTED_VALUE"""),"Outside on School Property")</f>
        <v>Outside on School Property</v>
      </c>
      <c r="U506" s="8" t="str">
        <f ca="1">IFERROR(__xludf.DUMMYFUNCTION("""COMPUTED_VALUE"""),"Yes")</f>
        <v>Yes</v>
      </c>
      <c r="V506" s="8" t="str">
        <f ca="1">IFERROR(__xludf.DUMMYFUNCTION("""COMPUTED_VALUE"""),"Afternoon Classes")</f>
        <v>Afternoon Classes</v>
      </c>
      <c r="W506" s="11">
        <f ca="1">IFERROR(__xludf.DUMMYFUNCTION("""COMPUTED_VALUE"""),0.65625)</f>
        <v>0.65625</v>
      </c>
      <c r="X506" s="8">
        <f ca="1">IFERROR(__xludf.DUMMYFUNCTION("""COMPUTED_VALUE"""),1)</f>
        <v>1</v>
      </c>
      <c r="Y506" s="12" t="str">
        <f ca="1">IFERROR(__xludf.DUMMYFUNCTION("""COMPUTED_VALUE"""),"Shots fired in visitor parking lot, school went on lockdown")</f>
        <v>Shots fired in visitor parking lot, school went on lockdown</v>
      </c>
      <c r="Z506" s="12" t="str">
        <f ca="1">IFERROR(__xludf.DUMMYFUNCTION("""COMPUTED_VALUE"""),"Shots fired in visitor parking lot. School went on lockdown for 30 minutes. No injuries. Shooter fled.")</f>
        <v>Shots fired in visitor parking lot. School went on lockdown for 30 minutes. No injuries. Shooter fled.</v>
      </c>
      <c r="AA506" s="8"/>
      <c r="AB506" s="8"/>
      <c r="AC506" s="8" t="str">
        <f ca="1">IFERROR(__xludf.DUMMYFUNCTION("""COMPUTED_VALUE"""),"Yes")</f>
        <v>Yes</v>
      </c>
      <c r="AD506" s="8"/>
      <c r="AE506" s="8" t="str">
        <f ca="1">IFERROR(__xludf.DUMMYFUNCTION("""COMPUTED_VALUE"""),"No")</f>
        <v>No</v>
      </c>
      <c r="AF506" s="8"/>
      <c r="AG506" s="8" t="str">
        <f ca="1">IFERROR(__xludf.DUMMYFUNCTION("""COMPUTED_VALUE"""),"No")</f>
        <v>No</v>
      </c>
      <c r="AH506" s="8" t="str">
        <f ca="1">IFERROR(__xludf.DUMMYFUNCTION("""COMPUTED_VALUE"""),"No")</f>
        <v>No</v>
      </c>
      <c r="AI506" s="8" t="str">
        <f ca="1">IFERROR(__xludf.DUMMYFUNCTION("""COMPUTED_VALUE"""),"No")</f>
        <v>No</v>
      </c>
      <c r="AJ506" s="8" t="str">
        <f ca="1">IFERROR(__xludf.DUMMYFUNCTION("""COMPUTED_VALUE"""),"No")</f>
        <v>No</v>
      </c>
      <c r="AK506" s="8" t="str">
        <f ca="1">IFERROR(__xludf.DUMMYFUNCTION("""COMPUTED_VALUE"""),"No")</f>
        <v>No</v>
      </c>
      <c r="AL506" s="8"/>
      <c r="AM506" s="8" t="str">
        <f ca="1">IFERROR(__xludf.DUMMYFUNCTION("""COMPUTED_VALUE"""),"No")</f>
        <v>No</v>
      </c>
      <c r="AN506" s="8" t="str">
        <f ca="1">IFERROR(__xludf.DUMMYFUNCTION("""COMPUTED_VALUE"""),"Outside")</f>
        <v>Outside</v>
      </c>
      <c r="AO506" s="8" t="str">
        <f ca="1">IFERROR(__xludf.DUMMYFUNCTION("""COMPUTED_VALUE"""),"No")</f>
        <v>No</v>
      </c>
      <c r="AP506" s="8"/>
      <c r="AQ506" s="8"/>
      <c r="AR506" s="8" t="str">
        <f ca="1">IFERROR(__xludf.DUMMYFUNCTION("""COMPUTED_VALUE"""),"Outside/Off-Property")</f>
        <v>Outside/Off-Property</v>
      </c>
      <c r="AS506" s="8">
        <f ca="1">IFERROR(__xludf.DUMMYFUNCTION("""COMPUTED_VALUE"""),99)</f>
        <v>99</v>
      </c>
      <c r="AT506" s="8" t="str">
        <f ca="1">IFERROR(__xludf.DUMMYFUNCTION("""COMPUTED_VALUE"""),"Yes")</f>
        <v>Yes</v>
      </c>
      <c r="AU506" s="8">
        <f ca="1">IFERROR(__xludf.DUMMYFUNCTION("""COMPUTED_VALUE"""),37.952351)</f>
        <v>37.952351</v>
      </c>
      <c r="AV506" s="8">
        <f ca="1">IFERROR(__xludf.DUMMYFUNCTION("""COMPUTED_VALUE"""),-122.345275)</f>
        <v>-122.345275</v>
      </c>
      <c r="AW506" s="8" t="str">
        <f ca="1">IFERROR(__xludf.DUMMYFUNCTION("""COMPUTED_VALUE"""),"Multiple detached buildings")</f>
        <v>Multiple detached buildings</v>
      </c>
      <c r="AX506" s="8">
        <f ca="1">IFERROR(__xludf.DUMMYFUNCTION("""COMPUTED_VALUE"""),94806)</f>
        <v>94806</v>
      </c>
    </row>
    <row r="507" spans="1:50" ht="360" x14ac:dyDescent="0.2">
      <c r="A507" s="8" t="str">
        <f ca="1">IFERROR(__xludf.DUMMYFUNCTION("""COMPUTED_VALUE"""),"20240104IAPEP")</f>
        <v>20240104IAPEP</v>
      </c>
      <c r="B507" s="8">
        <f ca="1">IFERROR(__xludf.DUMMYFUNCTION("""COMPUTED_VALUE"""),1)</f>
        <v>1</v>
      </c>
      <c r="C507" s="8">
        <f ca="1">IFERROR(__xludf.DUMMYFUNCTION("""COMPUTED_VALUE"""),4)</f>
        <v>4</v>
      </c>
      <c r="D507" s="8">
        <f ca="1">IFERROR(__xludf.DUMMYFUNCTION("""COMPUTED_VALUE"""),2024)</f>
        <v>2024</v>
      </c>
      <c r="E507" s="9">
        <f ca="1">IFERROR(__xludf.DUMMYFUNCTION("""COMPUTED_VALUE"""),45295)</f>
        <v>45295</v>
      </c>
      <c r="F507" s="8" t="str">
        <f ca="1">IFERROR(__xludf.DUMMYFUNCTION("""COMPUTED_VALUE"""),"Perry Middle and High School")</f>
        <v>Perry Middle and High School</v>
      </c>
      <c r="G507" s="8">
        <f ca="1">IFERROR(__xludf.DUMMYFUNCTION("""COMPUTED_VALUE"""),2)</f>
        <v>2</v>
      </c>
      <c r="H507" s="8">
        <f ca="1">IFERROR(__xludf.DUMMYFUNCTION("""COMPUTED_VALUE"""),6)</f>
        <v>6</v>
      </c>
      <c r="I507" s="8">
        <f ca="1">IFERROR(__xludf.DUMMYFUNCTION("""COMPUTED_VALUE"""),8)</f>
        <v>8</v>
      </c>
      <c r="J507" s="8">
        <f ca="1">IFERROR(__xludf.DUMMYFUNCTION("""COMPUTED_VALUE"""),1)</f>
        <v>1</v>
      </c>
      <c r="K507" s="10" t="str">
        <f ca="1">IFERROR(__xludf.DUMMYFUNCTION("""COMPUTED_VALUE"""),"https://htv-prod-media.s3.amazonaws.com/files/perry-school-shooting-report-press-release-67118f7926b6c.pdf
https://www.weareiowa.com/article/news/special-reports/perry-iowa-school-shooting/perry-iowa-school-shooting-corey-hoffman-family-survivor-speaks-ou"&amp;"t-ahmir-jolliff-dan-marburger/524-c7739b2a-f85d-468c-bc36-37cfce191ddc
https://www.kcra.com/article/perry-high-school-iowa-shooting/46284624")</f>
        <v>https://htv-prod-media.s3.amazonaws.com/files/perry-school-shooting-report-press-release-67118f7926b6c.pdf
https://www.weareiowa.com/article/news/special-reports/perry-iowa-school-shooting/perry-iowa-school-shooting-corey-hoffman-family-survivor-speaks-out-ahmir-jolliff-dan-marburger/524-c7739b2a-f85d-468c-bc36-37cfce191ddc
https://www.kcra.com/article/perry-high-school-iowa-shooting/46284624</v>
      </c>
      <c r="L507" s="8">
        <f ca="1">IFERROR(__xludf.DUMMYFUNCTION("""COMPUTED_VALUE"""),999)</f>
        <v>999</v>
      </c>
      <c r="M507" s="8" t="str">
        <f ca="1">IFERROR(__xludf.DUMMYFUNCTION("""COMPUTED_VALUE"""),"National")</f>
        <v>National</v>
      </c>
      <c r="N507" s="8">
        <f ca="1">IFERROR(__xludf.DUMMYFUNCTION("""COMPUTED_VALUE"""),4)</f>
        <v>4</v>
      </c>
      <c r="O507" s="8" t="str">
        <f ca="1">IFERROR(__xludf.DUMMYFUNCTION("""COMPUTED_VALUE"""),"Winter")</f>
        <v>Winter</v>
      </c>
      <c r="P507" s="8" t="str">
        <f ca="1">IFERROR(__xludf.DUMMYFUNCTION("""COMPUTED_VALUE"""),"Perry")</f>
        <v>Perry</v>
      </c>
      <c r="Q507" s="8" t="str">
        <f ca="1">IFERROR(__xludf.DUMMYFUNCTION("""COMPUTED_VALUE"""),"IA")</f>
        <v>IA</v>
      </c>
      <c r="R507" s="8" t="str">
        <f ca="1">IFERROR(__xludf.DUMMYFUNCTION("""COMPUTED_VALUE"""),"6-12")</f>
        <v>6-12</v>
      </c>
      <c r="S507" s="8" t="str">
        <f ca="1">IFERROR(__xludf.DUMMYFUNCTION("""COMPUTED_VALUE"""),"Hallway")</f>
        <v>Hallway</v>
      </c>
      <c r="T507" s="8" t="str">
        <f ca="1">IFERROR(__xludf.DUMMYFUNCTION("""COMPUTED_VALUE"""),"Inside School Building")</f>
        <v>Inside School Building</v>
      </c>
      <c r="U507" s="8" t="str">
        <f ca="1">IFERROR(__xludf.DUMMYFUNCTION("""COMPUTED_VALUE"""),"Yes")</f>
        <v>Yes</v>
      </c>
      <c r="V507" s="8" t="str">
        <f ca="1">IFERROR(__xludf.DUMMYFUNCTION("""COMPUTED_VALUE"""),"School Start")</f>
        <v>School Start</v>
      </c>
      <c r="W507" s="11">
        <f ca="1">IFERROR(__xludf.DUMMYFUNCTION("""COMPUTED_VALUE"""),0.317361111111111)</f>
        <v>0.31736111111111098</v>
      </c>
      <c r="X507" s="8">
        <f ca="1">IFERROR(__xludf.DUMMYFUNCTION("""COMPUTED_VALUE"""),7)</f>
        <v>7</v>
      </c>
      <c r="Y507" s="12" t="str">
        <f ca="1">IFERROR(__xludf.DUMMYFUNCTION("""COMPUTED_VALUE"""),"Student with shotgun and handgun opened fire inside the school before classes started then commit suicide")</f>
        <v>Student with shotgun and handgun opened fire inside the school before classes started then commit suicide</v>
      </c>
      <c r="Z507" s="12" t="str">
        <f ca="1">IFERROR(__xludf.DUMMYFUNCTION("""COMPUTED_VALUE"""),"A 17-year-old student armed with a pump-action shotgun and a small-caliber handgun opened fire at Perry High School just after 7:30 a.m. The shooting started in the cafeteria and spilled outside. The student who was killed, 11-year-old Ahmir Jolliff, was "&amp;"shot three times. Perry High School Principal Dan Marburger and six others, including two staff members and four teenage students, suffered injuries ranging from significant to minor. The high-schooler identified as the shooter died of an apparent self-in"&amp;"flicted gunshot. “The evidence suggests his actions that morning were indiscriminate and driven by a desire to commit suicide with the hostile intent of taking others with him,” the report states. Teen entered the school through the main entrance, conceal"&amp;"ing the weapons he was carrying, and hid inside a student bathroom for about 20 minutes, until the school started to fill up with students and staff. At that point, he emerged and started shooting, the report said. The investigation determined that the sh"&amp;"otgun used by the teen “likely came from a large gun collection within the extended family,” and was taken without the owner’s knowledge. A revolver found on his body was legally purchased by his father in 2020 and left unsecured in the family home, accor"&amp;"ding to Iowa Department of Public Safety Director Stephan Bayens.")</f>
        <v>A 17-year-old student armed with a pump-action shotgun and a small-caliber handgun opened fire at Perry High School just after 7:30 a.m. The shooting started in the cafeteria and spilled outside. The student who was killed, 11-year-old Ahmir Jolliff, was shot three times. Perry High School Principal Dan Marburger and six others, including two staff members and four teenage students, suffered injuries ranging from significant to minor. The high-schooler identified as the shooter died of an apparent self-inflicted gunshot. “The evidence suggests his actions that morning were indiscriminate and driven by a desire to commit suicide with the hostile intent of taking others with him,” the report states. Teen entered the school through the main entrance, concealing the weapons he was carrying, and hid inside a student bathroom for about 20 minutes, until the school started to fill up with students and staff. At that point, he emerged and started shooting, the report said. The investigation determined that the shotgun used by the teen “likely came from a large gun collection within the extended family,” and was taken without the owner’s knowledge. A revolver found on his body was legally purchased by his father in 2020 and left unsecured in the family home, according to Iowa Department of Public Safety Director Stephan Bayens.</v>
      </c>
      <c r="AA507" s="8" t="str">
        <f ca="1">IFERROR(__xludf.DUMMYFUNCTION("""COMPUTED_VALUE"""),"Indiscriminate Shooting")</f>
        <v>Indiscriminate Shooting</v>
      </c>
      <c r="AB507" s="8" t="str">
        <f ca="1">IFERROR(__xludf.DUMMYFUNCTION("""COMPUTED_VALUE"""),"Active Shooter/Planned Attack")</f>
        <v>Active Shooter/Planned Attack</v>
      </c>
      <c r="AC507" s="8" t="str">
        <f ca="1">IFERROR(__xludf.DUMMYFUNCTION("""COMPUTED_VALUE"""),"Yes")</f>
        <v>Yes</v>
      </c>
      <c r="AD507" s="8" t="str">
        <f ca="1">IFERROR(__xludf.DUMMYFUNCTION("""COMPUTED_VALUE"""),"Random Shooting")</f>
        <v>Random Shooting</v>
      </c>
      <c r="AE507" s="8" t="str">
        <f ca="1">IFERROR(__xludf.DUMMYFUNCTION("""COMPUTED_VALUE"""),"No")</f>
        <v>No</v>
      </c>
      <c r="AF507" s="8"/>
      <c r="AG507" s="8" t="str">
        <f ca="1">IFERROR(__xludf.DUMMYFUNCTION("""COMPUTED_VALUE"""),"No")</f>
        <v>No</v>
      </c>
      <c r="AH507" s="8" t="str">
        <f ca="1">IFERROR(__xludf.DUMMYFUNCTION("""COMPUTED_VALUE"""),"No")</f>
        <v>No</v>
      </c>
      <c r="AI507" s="8" t="str">
        <f ca="1">IFERROR(__xludf.DUMMYFUNCTION("""COMPUTED_VALUE"""),"No")</f>
        <v>No</v>
      </c>
      <c r="AJ507" s="8" t="str">
        <f ca="1">IFERROR(__xludf.DUMMYFUNCTION("""COMPUTED_VALUE"""),"Yes")</f>
        <v>Yes</v>
      </c>
      <c r="AK507" s="8" t="str">
        <f ca="1">IFERROR(__xludf.DUMMYFUNCTION("""COMPUTED_VALUE"""),"No")</f>
        <v>No</v>
      </c>
      <c r="AL507" s="8" t="str">
        <f ca="1">IFERROR(__xludf.DUMMYFUNCTION("""COMPUTED_VALUE"""),"No")</f>
        <v>No</v>
      </c>
      <c r="AM507" s="8" t="str">
        <f ca="1">IFERROR(__xludf.DUMMYFUNCTION("""COMPUTED_VALUE"""),"Yes")</f>
        <v>Yes</v>
      </c>
      <c r="AN507" s="8" t="str">
        <f ca="1">IFERROR(__xludf.DUMMYFUNCTION("""COMPUTED_VALUE"""),"Hallway")</f>
        <v>Hallway</v>
      </c>
      <c r="AO507" s="8" t="str">
        <f ca="1">IFERROR(__xludf.DUMMYFUNCTION("""COMPUTED_VALUE"""),"Yes")</f>
        <v>Yes</v>
      </c>
      <c r="AP507" s="8" t="str">
        <f ca="1">IFERROR(__xludf.DUMMYFUNCTION("""COMPUTED_VALUE"""),"No")</f>
        <v>No</v>
      </c>
      <c r="AQ507" s="8"/>
      <c r="AR507" s="8" t="str">
        <f ca="1">IFERROR(__xludf.DUMMYFUNCTION("""COMPUTED_VALUE"""),"Failed")</f>
        <v>Failed</v>
      </c>
      <c r="AS507" s="8">
        <f ca="1">IFERROR(__xludf.DUMMYFUNCTION("""COMPUTED_VALUE"""),23)</f>
        <v>23</v>
      </c>
      <c r="AT507" s="8" t="str">
        <f ca="1">IFERROR(__xludf.DUMMYFUNCTION("""COMPUTED_VALUE"""),"Yes")</f>
        <v>Yes</v>
      </c>
      <c r="AU507" s="8">
        <f ca="1">IFERROR(__xludf.DUMMYFUNCTION("""COMPUTED_VALUE"""),41.840451)</f>
        <v>41.840451000000002</v>
      </c>
      <c r="AV507" s="8">
        <f ca="1">IFERROR(__xludf.DUMMYFUNCTION("""COMPUTED_VALUE"""),-94.081308)</f>
        <v>-94.081308000000007</v>
      </c>
      <c r="AW507" s="8" t="str">
        <f ca="1">IFERROR(__xludf.DUMMYFUNCTION("""COMPUTED_VALUE"""),"Multiple attached buildings")</f>
        <v>Multiple attached buildings</v>
      </c>
      <c r="AX507" s="8">
        <f ca="1">IFERROR(__xludf.DUMMYFUNCTION("""COMPUTED_VALUE"""),50220)</f>
        <v>50220</v>
      </c>
    </row>
    <row r="508" spans="1:50" ht="165" x14ac:dyDescent="0.2">
      <c r="A508" s="8" t="str">
        <f ca="1">IFERROR(__xludf.DUMMYFUNCTION("""COMPUTED_VALUE"""),"20240103TNFRM")</f>
        <v>20240103TNFRM</v>
      </c>
      <c r="B508" s="8">
        <f ca="1">IFERROR(__xludf.DUMMYFUNCTION("""COMPUTED_VALUE"""),1)</f>
        <v>1</v>
      </c>
      <c r="C508" s="8">
        <f ca="1">IFERROR(__xludf.DUMMYFUNCTION("""COMPUTED_VALUE"""),3)</f>
        <v>3</v>
      </c>
      <c r="D508" s="8">
        <f ca="1">IFERROR(__xludf.DUMMYFUNCTION("""COMPUTED_VALUE"""),2024)</f>
        <v>2024</v>
      </c>
      <c r="E508" s="9">
        <f ca="1">IFERROR(__xludf.DUMMYFUNCTION("""COMPUTED_VALUE"""),45294)</f>
        <v>45294</v>
      </c>
      <c r="F508" s="8" t="str">
        <f ca="1">IFERROR(__xludf.DUMMYFUNCTION("""COMPUTED_VALUE"""),"Freedom Preparatory Academy Westwood")</f>
        <v>Freedom Preparatory Academy Westwood</v>
      </c>
      <c r="G508" s="8">
        <f ca="1">IFERROR(__xludf.DUMMYFUNCTION("""COMPUTED_VALUE"""),0)</f>
        <v>0</v>
      </c>
      <c r="H508" s="8">
        <f ca="1">IFERROR(__xludf.DUMMYFUNCTION("""COMPUTED_VALUE"""),0)</f>
        <v>0</v>
      </c>
      <c r="I508" s="8">
        <f ca="1">IFERROR(__xludf.DUMMYFUNCTION("""COMPUTED_VALUE"""),0)</f>
        <v>0</v>
      </c>
      <c r="J508" s="8">
        <f ca="1">IFERROR(__xludf.DUMMYFUNCTION("""COMPUTED_VALUE"""),0)</f>
        <v>0</v>
      </c>
      <c r="K508" s="8" t="str">
        <f ca="1">IFERROR(__xludf.DUMMYFUNCTION("""COMPUTED_VALUE"""),"https://wreg.com/news/local/shots-fired-into-elementary-school-in-southwest-memphis/
https://www.fox13memphis.com/news/bullet-flies-through-window-of-memphis-elementary-school-police-say/article_5c291542-aa65-11ee-9310-7fa4bd2456a0.html")</f>
        <v>https://wreg.com/news/local/shots-fired-into-elementary-school-in-southwest-memphis/
https://www.fox13memphis.com/news/bullet-flies-through-window-of-memphis-elementary-school-police-say/article_5c291542-aa65-11ee-9310-7fa4bd2456a0.html</v>
      </c>
      <c r="L508" s="8">
        <f ca="1">IFERROR(__xludf.DUMMYFUNCTION("""COMPUTED_VALUE"""),5)</f>
        <v>5</v>
      </c>
      <c r="M508" s="8" t="str">
        <f ca="1">IFERROR(__xludf.DUMMYFUNCTION("""COMPUTED_VALUE"""),"Local")</f>
        <v>Local</v>
      </c>
      <c r="N508" s="8">
        <f ca="1">IFERROR(__xludf.DUMMYFUNCTION("""COMPUTED_VALUE"""),4)</f>
        <v>4</v>
      </c>
      <c r="O508" s="8" t="str">
        <f ca="1">IFERROR(__xludf.DUMMYFUNCTION("""COMPUTED_VALUE"""),"Winter")</f>
        <v>Winter</v>
      </c>
      <c r="P508" s="8" t="str">
        <f ca="1">IFERROR(__xludf.DUMMYFUNCTION("""COMPUTED_VALUE"""),"Memphis")</f>
        <v>Memphis</v>
      </c>
      <c r="Q508" s="8" t="str">
        <f ca="1">IFERROR(__xludf.DUMMYFUNCTION("""COMPUTED_VALUE"""),"TN")</f>
        <v>TN</v>
      </c>
      <c r="R508" s="8" t="str">
        <f ca="1">IFERROR(__xludf.DUMMYFUNCTION("""COMPUTED_VALUE"""),"Elementary")</f>
        <v>Elementary</v>
      </c>
      <c r="S508" s="8" t="str">
        <f ca="1">IFERROR(__xludf.DUMMYFUNCTION("""COMPUTED_VALUE"""),"Classroom")</f>
        <v>Classroom</v>
      </c>
      <c r="T508" s="8" t="str">
        <f ca="1">IFERROR(__xludf.DUMMYFUNCTION("""COMPUTED_VALUE"""),"Both Inside/Outside")</f>
        <v>Both Inside/Outside</v>
      </c>
      <c r="U508" s="8" t="str">
        <f ca="1">IFERROR(__xludf.DUMMYFUNCTION("""COMPUTED_VALUE"""),"Yes")</f>
        <v>Yes</v>
      </c>
      <c r="V508" s="8" t="str">
        <f ca="1">IFERROR(__xludf.DUMMYFUNCTION("""COMPUTED_VALUE"""),"Morning Classes")</f>
        <v>Morning Classes</v>
      </c>
      <c r="W508" s="11">
        <f ca="1">IFERROR(__xludf.DUMMYFUNCTION("""COMPUTED_VALUE"""),0.40625)</f>
        <v>0.40625</v>
      </c>
      <c r="X508" s="8">
        <f ca="1">IFERROR(__xludf.DUMMYFUNCTION("""COMPUTED_VALUE"""),1)</f>
        <v>1</v>
      </c>
      <c r="Y508" s="12" t="str">
        <f ca="1">IFERROR(__xludf.DUMMYFUNCTION("""COMPUTED_VALUE"""),"Bullet shattered classroom window during morning classes with students inside the room")</f>
        <v>Bullet shattered classroom window during morning classes with students inside the room</v>
      </c>
      <c r="Z508" s="12" t="str">
        <f ca="1">IFERROR(__xludf.DUMMYFUNCTION("""COMPUTED_VALUE"""),"A stray bullet shattered a window at Freedom Preparatory Academy in Westwood as students returned from break Wednesday. The bullet tore through a classroom window at 9:45 a.m. while students were inside. No one was hurt but it still left students and educ"&amp;"ators shaken for the rest of the day. School administrators said they immediately took precautionary measures and evacuated the students that were in that impacted classroom, as well as the surrounding classrooms, to move them to a safe space within the b"&amp;"uilding. The school was placed on a soft lockdown as police investigated. Police believe it was a stray bullet. ")</f>
        <v xml:space="preserve">A stray bullet shattered a window at Freedom Preparatory Academy in Westwood as students returned from break Wednesday. The bullet tore through a classroom window at 9:45 a.m. while students were inside. No one was hurt but it still left students and educators shaken for the rest of the day. School administrators said they immediately took precautionary measures and evacuated the students that were in that impacted classroom, as well as the surrounding classrooms, to move them to a safe space within the building. The school was placed on a soft lockdown as police investigated. Police believe it was a stray bullet. </v>
      </c>
      <c r="AA508" s="8"/>
      <c r="AB508" s="8"/>
      <c r="AC508" s="8" t="str">
        <f ca="1">IFERROR(__xludf.DUMMYFUNCTION("""COMPUTED_VALUE"""),"Yes")</f>
        <v>Yes</v>
      </c>
      <c r="AD508" s="8"/>
      <c r="AE508" s="8" t="str">
        <f ca="1">IFERROR(__xludf.DUMMYFUNCTION("""COMPUTED_VALUE"""),"No")</f>
        <v>No</v>
      </c>
      <c r="AF508" s="8"/>
      <c r="AG508" s="8" t="str">
        <f ca="1">IFERROR(__xludf.DUMMYFUNCTION("""COMPUTED_VALUE"""),"No")</f>
        <v>No</v>
      </c>
      <c r="AH508" s="8" t="str">
        <f ca="1">IFERROR(__xludf.DUMMYFUNCTION("""COMPUTED_VALUE"""),"No")</f>
        <v>No</v>
      </c>
      <c r="AI508" s="8" t="str">
        <f ca="1">IFERROR(__xludf.DUMMYFUNCTION("""COMPUTED_VALUE"""),"No")</f>
        <v>No</v>
      </c>
      <c r="AJ508" s="8" t="str">
        <f ca="1">IFERROR(__xludf.DUMMYFUNCTION("""COMPUTED_VALUE"""),"No")</f>
        <v>No</v>
      </c>
      <c r="AK508" s="8" t="str">
        <f ca="1">IFERROR(__xludf.DUMMYFUNCTION("""COMPUTED_VALUE"""),"No")</f>
        <v>No</v>
      </c>
      <c r="AL508" s="8"/>
      <c r="AM508" s="8" t="str">
        <f ca="1">IFERROR(__xludf.DUMMYFUNCTION("""COMPUTED_VALUE"""),"No")</f>
        <v>No</v>
      </c>
      <c r="AN508" s="8" t="str">
        <f ca="1">IFERROR(__xludf.DUMMYFUNCTION("""COMPUTED_VALUE"""),"Outside")</f>
        <v>Outside</v>
      </c>
      <c r="AO508" s="8" t="str">
        <f ca="1">IFERROR(__xludf.DUMMYFUNCTION("""COMPUTED_VALUE"""),"No")</f>
        <v>No</v>
      </c>
      <c r="AP508" s="8"/>
      <c r="AQ508" s="8"/>
      <c r="AR508" s="8" t="str">
        <f ca="1">IFERROR(__xludf.DUMMYFUNCTION("""COMPUTED_VALUE"""),"Outside/Off-Property")</f>
        <v>Outside/Off-Property</v>
      </c>
      <c r="AS508" s="8">
        <f ca="1">IFERROR(__xludf.DUMMYFUNCTION("""COMPUTED_VALUE"""),99)</f>
        <v>99</v>
      </c>
      <c r="AT508" s="8" t="str">
        <f ca="1">IFERROR(__xludf.DUMMYFUNCTION("""COMPUTED_VALUE"""),"Yes")</f>
        <v>Yes</v>
      </c>
      <c r="AU508" s="8">
        <f ca="1">IFERROR(__xludf.DUMMYFUNCTION("""COMPUTED_VALUE"""),35.025419)</f>
        <v>35.025418999999999</v>
      </c>
      <c r="AV508" s="8">
        <f ca="1">IFERROR(__xludf.DUMMYFUNCTION("""COMPUTED_VALUE"""),-90.090291)</f>
        <v>-90.090290999999993</v>
      </c>
      <c r="AW508" s="8" t="str">
        <f ca="1">IFERROR(__xludf.DUMMYFUNCTION("""COMPUTED_VALUE"""),"Single building indoor hallway")</f>
        <v>Single building indoor hallway</v>
      </c>
      <c r="AX508" s="8">
        <f ca="1">IFERROR(__xludf.DUMMYFUNCTION("""COMPUTED_VALUE"""),38109)</f>
        <v>38109</v>
      </c>
    </row>
    <row r="509" spans="1:50" ht="150" x14ac:dyDescent="0.2">
      <c r="A509" s="8" t="str">
        <f ca="1">IFERROR(__xludf.DUMMYFUNCTION("""COMPUTED_VALUE"""),"20240103VAMAM")</f>
        <v>20240103VAMAM</v>
      </c>
      <c r="B509" s="8">
        <f ca="1">IFERROR(__xludf.DUMMYFUNCTION("""COMPUTED_VALUE"""),1)</f>
        <v>1</v>
      </c>
      <c r="C509" s="8">
        <f ca="1">IFERROR(__xludf.DUMMYFUNCTION("""COMPUTED_VALUE"""),3)</f>
        <v>3</v>
      </c>
      <c r="D509" s="8">
        <f ca="1">IFERROR(__xludf.DUMMYFUNCTION("""COMPUTED_VALUE"""),2024)</f>
        <v>2024</v>
      </c>
      <c r="E509" s="9">
        <f ca="1">IFERROR(__xludf.DUMMYFUNCTION("""COMPUTED_VALUE"""),45294)</f>
        <v>45294</v>
      </c>
      <c r="F509" s="8" t="str">
        <f ca="1">IFERROR(__xludf.DUMMYFUNCTION("""COMPUTED_VALUE"""),"Manchester High School")</f>
        <v>Manchester High School</v>
      </c>
      <c r="G509" s="8">
        <f ca="1">IFERROR(__xludf.DUMMYFUNCTION("""COMPUTED_VALUE"""),0)</f>
        <v>0</v>
      </c>
      <c r="H509" s="8">
        <f ca="1">IFERROR(__xludf.DUMMYFUNCTION("""COMPUTED_VALUE"""),1)</f>
        <v>1</v>
      </c>
      <c r="I509" s="8">
        <f ca="1">IFERROR(__xludf.DUMMYFUNCTION("""COMPUTED_VALUE"""),1)</f>
        <v>1</v>
      </c>
      <c r="J509" s="8">
        <f ca="1">IFERROR(__xludf.DUMMYFUNCTION("""COMPUTED_VALUE"""),0)</f>
        <v>0</v>
      </c>
      <c r="K509" s="10" t="str">
        <f ca="1">IFERROR(__xludf.DUMMYFUNCTION("""COMPUTED_VALUE"""),"https://www.wtvr.com/news/local-news/manchester-hs-shooting-jan-3-2024")</f>
        <v>https://www.wtvr.com/news/local-news/manchester-hs-shooting-jan-3-2024</v>
      </c>
      <c r="L509" s="8">
        <f ca="1">IFERROR(__xludf.DUMMYFUNCTION("""COMPUTED_VALUE"""),1)</f>
        <v>1</v>
      </c>
      <c r="M509" s="8" t="str">
        <f ca="1">IFERROR(__xludf.DUMMYFUNCTION("""COMPUTED_VALUE"""),"Local")</f>
        <v>Local</v>
      </c>
      <c r="N509" s="8">
        <f ca="1">IFERROR(__xludf.DUMMYFUNCTION("""COMPUTED_VALUE"""),4)</f>
        <v>4</v>
      </c>
      <c r="O509" s="8" t="str">
        <f ca="1">IFERROR(__xludf.DUMMYFUNCTION("""COMPUTED_VALUE"""),"Winter")</f>
        <v>Winter</v>
      </c>
      <c r="P509" s="8" t="str">
        <f ca="1">IFERROR(__xludf.DUMMYFUNCTION("""COMPUTED_VALUE"""),"Midlothian")</f>
        <v>Midlothian</v>
      </c>
      <c r="Q509" s="8" t="str">
        <f ca="1">IFERROR(__xludf.DUMMYFUNCTION("""COMPUTED_VALUE"""),"VA")</f>
        <v>VA</v>
      </c>
      <c r="R509" s="8" t="str">
        <f ca="1">IFERROR(__xludf.DUMMYFUNCTION("""COMPUTED_VALUE"""),"High")</f>
        <v>High</v>
      </c>
      <c r="S509" s="8" t="str">
        <f ca="1">IFERROR(__xludf.DUMMYFUNCTION("""COMPUTED_VALUE"""),"Parking Lot")</f>
        <v>Parking Lot</v>
      </c>
      <c r="T509" s="8" t="str">
        <f ca="1">IFERROR(__xludf.DUMMYFUNCTION("""COMPUTED_VALUE"""),"Outside on School Property")</f>
        <v>Outside on School Property</v>
      </c>
      <c r="U509" s="8" t="str">
        <f ca="1">IFERROR(__xludf.DUMMYFUNCTION("""COMPUTED_VALUE"""),"No")</f>
        <v>No</v>
      </c>
      <c r="V509" s="8" t="str">
        <f ca="1">IFERROR(__xludf.DUMMYFUNCTION("""COMPUTED_VALUE"""),"Sport Event")</f>
        <v>Sport Event</v>
      </c>
      <c r="W509" s="11">
        <f ca="1">IFERROR(__xludf.DUMMYFUNCTION("""COMPUTED_VALUE"""),0.680555555555555)</f>
        <v>0.68055555555555503</v>
      </c>
      <c r="X509" s="8">
        <f ca="1">IFERROR(__xludf.DUMMYFUNCTION("""COMPUTED_VALUE"""),1)</f>
        <v>1</v>
      </c>
      <c r="Y509" s="12" t="str">
        <f ca="1">IFERROR(__xludf.DUMMYFUNCTION("""COMPUTED_VALUE"""),"14-year-old shot an 18-year-old during a dispute in the school parking lot")</f>
        <v>14-year-old shot an 18-year-old during a dispute in the school parking lot</v>
      </c>
      <c r="Z509" s="12" t="str">
        <f ca="1">IFERROR(__xludf.DUMMYFUNCTION("""COMPUTED_VALUE"""),"An 18-year-old girl has been hospitalized with a non-life-threatening gunshot wound after an argument in a Chesterfield high school parking lot led to shots being fired. Police say the argument took place at around 4:20 Wednesday afternoon in the parking "&amp;"lot of Manchester High School. A basketball tournament was being played at the same time as the shooting, inside the school's gym. Police are now looking for evidence in the school's parking lot. They say four teenagers fled the scene of the shooting, wit"&amp;"h three of them driving away in the same car.")</f>
        <v>An 18-year-old girl has been hospitalized with a non-life-threatening gunshot wound after an argument in a Chesterfield high school parking lot led to shots being fired. Police say the argument took place at around 4:20 Wednesday afternoon in the parking lot of Manchester High School. A basketball tournament was being played at the same time as the shooting, inside the school's gym. Police are now looking for evidence in the school's parking lot. They say four teenagers fled the scene of the shooting, with three of them driving away in the same car.</v>
      </c>
      <c r="AA509" s="8" t="str">
        <f ca="1">IFERROR(__xludf.DUMMYFUNCTION("""COMPUTED_VALUE"""),"Escalation of Dispute")</f>
        <v>Escalation of Dispute</v>
      </c>
      <c r="AB509" s="8"/>
      <c r="AC509" s="8" t="str">
        <f ca="1">IFERROR(__xludf.DUMMYFUNCTION("""COMPUTED_VALUE"""),"Yes")</f>
        <v>Yes</v>
      </c>
      <c r="AD509" s="8" t="str">
        <f ca="1">IFERROR(__xludf.DUMMYFUNCTION("""COMPUTED_VALUE"""),"Victims Targeted")</f>
        <v>Victims Targeted</v>
      </c>
      <c r="AE509" s="8" t="str">
        <f ca="1">IFERROR(__xludf.DUMMYFUNCTION("""COMPUTED_VALUE"""),"Yes")</f>
        <v>Yes</v>
      </c>
      <c r="AF509" s="8" t="str">
        <f ca="1">IFERROR(__xludf.DUMMYFUNCTION("""COMPUTED_VALUE"""),"3 fled in vehicle")</f>
        <v>3 fled in vehicle</v>
      </c>
      <c r="AG509" s="8" t="str">
        <f ca="1">IFERROR(__xludf.DUMMYFUNCTION("""COMPUTED_VALUE"""),"No")</f>
        <v>No</v>
      </c>
      <c r="AH509" s="8" t="str">
        <f ca="1">IFERROR(__xludf.DUMMYFUNCTION("""COMPUTED_VALUE"""),"No")</f>
        <v>No</v>
      </c>
      <c r="AI509" s="8" t="str">
        <f ca="1">IFERROR(__xludf.DUMMYFUNCTION("""COMPUTED_VALUE"""),"No")</f>
        <v>No</v>
      </c>
      <c r="AJ509" s="8"/>
      <c r="AK509" s="8" t="str">
        <f ca="1">IFERROR(__xludf.DUMMYFUNCTION("""COMPUTED_VALUE"""),"No")</f>
        <v>No</v>
      </c>
      <c r="AL509" s="8" t="str">
        <f ca="1">IFERROR(__xludf.DUMMYFUNCTION("""COMPUTED_VALUE"""),"No")</f>
        <v>No</v>
      </c>
      <c r="AM509" s="8" t="str">
        <f ca="1">IFERROR(__xludf.DUMMYFUNCTION("""COMPUTED_VALUE"""),"No")</f>
        <v>No</v>
      </c>
      <c r="AN509" s="8" t="str">
        <f ca="1">IFERROR(__xludf.DUMMYFUNCTION("""COMPUTED_VALUE"""),"Outside")</f>
        <v>Outside</v>
      </c>
      <c r="AO509" s="8" t="str">
        <f ca="1">IFERROR(__xludf.DUMMYFUNCTION("""COMPUTED_VALUE"""),"No")</f>
        <v>No</v>
      </c>
      <c r="AP509" s="8"/>
      <c r="AQ509" s="8"/>
      <c r="AR509" s="8" t="str">
        <f ca="1">IFERROR(__xludf.DUMMYFUNCTION("""COMPUTED_VALUE"""),"Outside/Off-Property")</f>
        <v>Outside/Off-Property</v>
      </c>
      <c r="AS509" s="8"/>
      <c r="AT509" s="8"/>
      <c r="AU509" s="8">
        <f ca="1">IFERROR(__xludf.DUMMYFUNCTION("""COMPUTED_VALUE"""),37.40664)</f>
        <v>37.406640000000003</v>
      </c>
      <c r="AV509" s="8">
        <f ca="1">IFERROR(__xludf.DUMMYFUNCTION("""COMPUTED_VALUE"""),-77.624206)</f>
        <v>-77.624206000000001</v>
      </c>
      <c r="AW509" s="8" t="str">
        <f ca="1">IFERROR(__xludf.DUMMYFUNCTION("""COMPUTED_VALUE"""),"Single building indoor hallway")</f>
        <v>Single building indoor hallway</v>
      </c>
      <c r="AX509" s="8">
        <f ca="1">IFERROR(__xludf.DUMMYFUNCTION("""COMPUTED_VALUE"""),23112)</f>
        <v>23112</v>
      </c>
    </row>
    <row r="510" spans="1:50" ht="150" x14ac:dyDescent="0.2">
      <c r="A510" s="8" t="str">
        <f ca="1">IFERROR(__xludf.DUMMYFUNCTION("""COMPUTED_VALUE"""),"20240101LABAM")</f>
        <v>20240101LABAM</v>
      </c>
      <c r="B510" s="8">
        <f ca="1">IFERROR(__xludf.DUMMYFUNCTION("""COMPUTED_VALUE"""),1)</f>
        <v>1</v>
      </c>
      <c r="C510" s="8">
        <f ca="1">IFERROR(__xludf.DUMMYFUNCTION("""COMPUTED_VALUE"""),1)</f>
        <v>1</v>
      </c>
      <c r="D510" s="8">
        <f ca="1">IFERROR(__xludf.DUMMYFUNCTION("""COMPUTED_VALUE"""),2024)</f>
        <v>2024</v>
      </c>
      <c r="E510" s="9">
        <f ca="1">IFERROR(__xludf.DUMMYFUNCTION("""COMPUTED_VALUE"""),45292)</f>
        <v>45292</v>
      </c>
      <c r="F510" s="8" t="str">
        <f ca="1">IFERROR(__xludf.DUMMYFUNCTION("""COMPUTED_VALUE"""),"Barkdull Faulk Elementary School")</f>
        <v>Barkdull Faulk Elementary School</v>
      </c>
      <c r="G510" s="8">
        <f ca="1">IFERROR(__xludf.DUMMYFUNCTION("""COMPUTED_VALUE"""),0)</f>
        <v>0</v>
      </c>
      <c r="H510" s="8">
        <f ca="1">IFERROR(__xludf.DUMMYFUNCTION("""COMPUTED_VALUE"""),0)</f>
        <v>0</v>
      </c>
      <c r="I510" s="8">
        <f ca="1">IFERROR(__xludf.DUMMYFUNCTION("""COMPUTED_VALUE"""),0)</f>
        <v>0</v>
      </c>
      <c r="J510" s="8">
        <f ca="1">IFERROR(__xludf.DUMMYFUNCTION("""COMPUTED_VALUE"""),0)</f>
        <v>0</v>
      </c>
      <c r="K510" s="10" t="str">
        <f ca="1">IFERROR(__xludf.DUMMYFUNCTION("""COMPUTED_VALUE"""),"https://www.knoe.com/2024/01/01/monroe-police-arrest-suspect-accused-shooting-firearm-behind-local-school/")</f>
        <v>https://www.knoe.com/2024/01/01/monroe-police-arrest-suspect-accused-shooting-firearm-behind-local-school/</v>
      </c>
      <c r="L510" s="8">
        <f ca="1">IFERROR(__xludf.DUMMYFUNCTION("""COMPUTED_VALUE"""),1)</f>
        <v>1</v>
      </c>
      <c r="M510" s="8" t="str">
        <f ca="1">IFERROR(__xludf.DUMMYFUNCTION("""COMPUTED_VALUE"""),"Local")</f>
        <v>Local</v>
      </c>
      <c r="N510" s="8">
        <f ca="1">IFERROR(__xludf.DUMMYFUNCTION("""COMPUTED_VALUE"""),4)</f>
        <v>4</v>
      </c>
      <c r="O510" s="8" t="str">
        <f ca="1">IFERROR(__xludf.DUMMYFUNCTION("""COMPUTED_VALUE"""),"Winter")</f>
        <v>Winter</v>
      </c>
      <c r="P510" s="8" t="str">
        <f ca="1">IFERROR(__xludf.DUMMYFUNCTION("""COMPUTED_VALUE"""),"Monroe")</f>
        <v>Monroe</v>
      </c>
      <c r="Q510" s="8" t="str">
        <f ca="1">IFERROR(__xludf.DUMMYFUNCTION("""COMPUTED_VALUE"""),"LA")</f>
        <v>LA</v>
      </c>
      <c r="R510" s="8" t="str">
        <f ca="1">IFERROR(__xludf.DUMMYFUNCTION("""COMPUTED_VALUE"""),"Elementary")</f>
        <v>Elementary</v>
      </c>
      <c r="S510" s="8" t="str">
        <f ca="1">IFERROR(__xludf.DUMMYFUNCTION("""COMPUTED_VALUE"""),"Beside Building")</f>
        <v>Beside Building</v>
      </c>
      <c r="T510" s="8" t="str">
        <f ca="1">IFERROR(__xludf.DUMMYFUNCTION("""COMPUTED_VALUE"""),"Outside on School Property")</f>
        <v>Outside on School Property</v>
      </c>
      <c r="U510" s="8" t="str">
        <f ca="1">IFERROR(__xludf.DUMMYFUNCTION("""COMPUTED_VALUE"""),"No")</f>
        <v>No</v>
      </c>
      <c r="V510" s="8" t="str">
        <f ca="1">IFERROR(__xludf.DUMMYFUNCTION("""COMPUTED_VALUE"""),"Night")</f>
        <v>Night</v>
      </c>
      <c r="W510" s="8"/>
      <c r="X510" s="8">
        <f ca="1">IFERROR(__xludf.DUMMYFUNCTION("""COMPUTED_VALUE"""),1)</f>
        <v>1</v>
      </c>
      <c r="Y510" s="12" t="str">
        <f ca="1">IFERROR(__xludf.DUMMYFUNCTION("""COMPUTED_VALUE"""),"Man arrested for firing 100 shots outside elementary school")</f>
        <v>Man arrested for firing 100 shots outside elementary school</v>
      </c>
      <c r="Z510" s="12" t="str">
        <f ca="1">IFERROR(__xludf.DUMMYFUNCTION("""COMPUTED_VALUE"""),"According to arrest records, an MPD officer saw Antonio Sanders standing behind Barkfull Faulk Elementary School, located at 2204 Gordon Ave. The officer says Sanders was carrying an AR-15. Once Sanders was arrested, the officer secured the AR-15 and also"&amp;" allegedly found a 9MM handgun in Sanders’ car. Sanders allegedly admitted to both firearms being his. The officer says they found approximately 80 fired 5.56 caliber casings and approximately 20 fired 9MM casings where Sanders was first found.")</f>
        <v>According to arrest records, an MPD officer saw Antonio Sanders standing behind Barkfull Faulk Elementary School, located at 2204 Gordon Ave. The officer says Sanders was carrying an AR-15. Once Sanders was arrested, the officer secured the AR-15 and also allegedly found a 9MM handgun in Sanders’ car. Sanders allegedly admitted to both firearms being his. The officer says they found approximately 80 fired 5.56 caliber casings and approximately 20 fired 9MM casings where Sanders was first found.</v>
      </c>
      <c r="AA510" s="8"/>
      <c r="AB510" s="8"/>
      <c r="AC510" s="8" t="str">
        <f ca="1">IFERROR(__xludf.DUMMYFUNCTION("""COMPUTED_VALUE"""),"No")</f>
        <v>No</v>
      </c>
      <c r="AD510" s="8"/>
      <c r="AE510" s="8" t="str">
        <f ca="1">IFERROR(__xludf.DUMMYFUNCTION("""COMPUTED_VALUE"""),"No")</f>
        <v>No</v>
      </c>
      <c r="AF510" s="8"/>
      <c r="AG510" s="8" t="str">
        <f ca="1">IFERROR(__xludf.DUMMYFUNCTION("""COMPUTED_VALUE"""),"No")</f>
        <v>No</v>
      </c>
      <c r="AH510" s="8" t="str">
        <f ca="1">IFERROR(__xludf.DUMMYFUNCTION("""COMPUTED_VALUE"""),"No")</f>
        <v>No</v>
      </c>
      <c r="AI510" s="8" t="str">
        <f ca="1">IFERROR(__xludf.DUMMYFUNCTION("""COMPUTED_VALUE"""),"No")</f>
        <v>No</v>
      </c>
      <c r="AJ510" s="8" t="str">
        <f ca="1">IFERROR(__xludf.DUMMYFUNCTION("""COMPUTED_VALUE"""),"No")</f>
        <v>No</v>
      </c>
      <c r="AK510" s="8" t="str">
        <f ca="1">IFERROR(__xludf.DUMMYFUNCTION("""COMPUTED_VALUE"""),"No")</f>
        <v>No</v>
      </c>
      <c r="AL510" s="8" t="str">
        <f ca="1">IFERROR(__xludf.DUMMYFUNCTION("""COMPUTED_VALUE"""),"No")</f>
        <v>No</v>
      </c>
      <c r="AM510" s="8" t="str">
        <f ca="1">IFERROR(__xludf.DUMMYFUNCTION("""COMPUTED_VALUE"""),"No")</f>
        <v>No</v>
      </c>
      <c r="AN510" s="8" t="str">
        <f ca="1">IFERROR(__xludf.DUMMYFUNCTION("""COMPUTED_VALUE"""),"Outside")</f>
        <v>Outside</v>
      </c>
      <c r="AO510" s="8" t="str">
        <f ca="1">IFERROR(__xludf.DUMMYFUNCTION("""COMPUTED_VALUE"""),"No")</f>
        <v>No</v>
      </c>
      <c r="AP510" s="8"/>
      <c r="AQ510" s="8"/>
      <c r="AR510" s="8" t="str">
        <f ca="1">IFERROR(__xludf.DUMMYFUNCTION("""COMPUTED_VALUE"""),"Outside/Off-Property")</f>
        <v>Outside/Off-Property</v>
      </c>
      <c r="AS510" s="8">
        <f ca="1">IFERROR(__xludf.DUMMYFUNCTION("""COMPUTED_VALUE"""),100)</f>
        <v>100</v>
      </c>
      <c r="AT510" s="8" t="str">
        <f ca="1">IFERROR(__xludf.DUMMYFUNCTION("""COMPUTED_VALUE"""),"No")</f>
        <v>No</v>
      </c>
      <c r="AU510" s="8">
        <f ca="1">IFERROR(__xludf.DUMMYFUNCTION("""COMPUTED_VALUE"""),32.482555)</f>
        <v>32.482554999999998</v>
      </c>
      <c r="AV510" s="8">
        <f ca="1">IFERROR(__xludf.DUMMYFUNCTION("""COMPUTED_VALUE"""),-92.110181)</f>
        <v>-92.110180999999997</v>
      </c>
      <c r="AW510" s="8" t="str">
        <f ca="1">IFERROR(__xludf.DUMMYFUNCTION("""COMPUTED_VALUE"""),"Single building indoor hallway")</f>
        <v>Single building indoor hallway</v>
      </c>
      <c r="AX510" s="8">
        <f ca="1">IFERROR(__xludf.DUMMYFUNCTION("""COMPUTED_VALUE"""),71202)</f>
        <v>71202</v>
      </c>
    </row>
    <row r="511" spans="1:50" ht="75" x14ac:dyDescent="0.2">
      <c r="A511" s="8" t="str">
        <f ca="1">IFERROR(__xludf.DUMMYFUNCTION("""COMPUTED_VALUE"""),"20231226RIEME")</f>
        <v>20231226RIEME</v>
      </c>
      <c r="B511" s="8">
        <f ca="1">IFERROR(__xludf.DUMMYFUNCTION("""COMPUTED_VALUE"""),12)</f>
        <v>12</v>
      </c>
      <c r="C511" s="8">
        <f ca="1">IFERROR(__xludf.DUMMYFUNCTION("""COMPUTED_VALUE"""),26)</f>
        <v>26</v>
      </c>
      <c r="D511" s="8">
        <f ca="1">IFERROR(__xludf.DUMMYFUNCTION("""COMPUTED_VALUE"""),2023)</f>
        <v>2023</v>
      </c>
      <c r="E511" s="9">
        <f ca="1">IFERROR(__xludf.DUMMYFUNCTION("""COMPUTED_VALUE"""),45286)</f>
        <v>45286</v>
      </c>
      <c r="F511" s="8" t="str">
        <f ca="1">IFERROR(__xludf.DUMMYFUNCTION("""COMPUTED_VALUE"""),"Emma G. Whiteknact Elementary School")</f>
        <v>Emma G. Whiteknact Elementary School</v>
      </c>
      <c r="G511" s="8">
        <f ca="1">IFERROR(__xludf.DUMMYFUNCTION("""COMPUTED_VALUE"""),0)</f>
        <v>0</v>
      </c>
      <c r="H511" s="8">
        <f ca="1">IFERROR(__xludf.DUMMYFUNCTION("""COMPUTED_VALUE"""),1)</f>
        <v>1</v>
      </c>
      <c r="I511" s="8">
        <f ca="1">IFERROR(__xludf.DUMMYFUNCTION("""COMPUTED_VALUE"""),1)</f>
        <v>1</v>
      </c>
      <c r="J511" s="8">
        <f ca="1">IFERROR(__xludf.DUMMYFUNCTION("""COMPUTED_VALUE"""),0)</f>
        <v>0</v>
      </c>
      <c r="K511" s="10" t="str">
        <f ca="1">IFERROR(__xludf.DUMMYFUNCTION("""COMPUTED_VALUE"""),"https://www.wpri.com/news/local-news/providence/police-man-shot-at-east-providence-playground/")</f>
        <v>https://www.wpri.com/news/local-news/providence/police-man-shot-at-east-providence-playground/</v>
      </c>
      <c r="L511" s="8">
        <f ca="1">IFERROR(__xludf.DUMMYFUNCTION("""COMPUTED_VALUE"""),1)</f>
        <v>1</v>
      </c>
      <c r="M511" s="8" t="str">
        <f ca="1">IFERROR(__xludf.DUMMYFUNCTION("""COMPUTED_VALUE"""),"Local")</f>
        <v>Local</v>
      </c>
      <c r="N511" s="8">
        <f ca="1">IFERROR(__xludf.DUMMYFUNCTION("""COMPUTED_VALUE"""),3)</f>
        <v>3</v>
      </c>
      <c r="O511" s="8" t="str">
        <f ca="1">IFERROR(__xludf.DUMMYFUNCTION("""COMPUTED_VALUE"""),"Winter")</f>
        <v>Winter</v>
      </c>
      <c r="P511" s="8" t="str">
        <f ca="1">IFERROR(__xludf.DUMMYFUNCTION("""COMPUTED_VALUE"""),"East Providence")</f>
        <v>East Providence</v>
      </c>
      <c r="Q511" s="8" t="str">
        <f ca="1">IFERROR(__xludf.DUMMYFUNCTION("""COMPUTED_VALUE"""),"RI")</f>
        <v>RI</v>
      </c>
      <c r="R511" s="8" t="str">
        <f ca="1">IFERROR(__xludf.DUMMYFUNCTION("""COMPUTED_VALUE"""),"Elementary")</f>
        <v>Elementary</v>
      </c>
      <c r="S511" s="8" t="str">
        <f ca="1">IFERROR(__xludf.DUMMYFUNCTION("""COMPUTED_VALUE"""),"Playground")</f>
        <v>Playground</v>
      </c>
      <c r="T511" s="8" t="str">
        <f ca="1">IFERROR(__xludf.DUMMYFUNCTION("""COMPUTED_VALUE"""),"Outside on School Property")</f>
        <v>Outside on School Property</v>
      </c>
      <c r="U511" s="8" t="str">
        <f ca="1">IFERROR(__xludf.DUMMYFUNCTION("""COMPUTED_VALUE"""),"No")</f>
        <v>No</v>
      </c>
      <c r="V511" s="8" t="str">
        <f ca="1">IFERROR(__xludf.DUMMYFUNCTION("""COMPUTED_VALUE"""),"Not a School Day")</f>
        <v>Not a School Day</v>
      </c>
      <c r="W511" s="11">
        <f ca="1">IFERROR(__xludf.DUMMYFUNCTION("""COMPUTED_VALUE"""),0.541666666666666)</f>
        <v>0.54166666666666596</v>
      </c>
      <c r="X511" s="8">
        <f ca="1">IFERROR(__xludf.DUMMYFUNCTION("""COMPUTED_VALUE"""),1)</f>
        <v>1</v>
      </c>
      <c r="Y511" s="12" t="str">
        <f ca="1">IFERROR(__xludf.DUMMYFUNCTION("""COMPUTED_VALUE"""),"Adult man shot on the playground, shell casing recovered in parking lot")</f>
        <v>Adult man shot on the playground, shell casing recovered in parking lot</v>
      </c>
      <c r="Z511" s="12" t="str">
        <f ca="1">IFERROR(__xludf.DUMMYFUNCTION("""COMPUTED_VALUE"""),"Adult man shot on the playground, shell casing recovered in parking lot. Both shooter and victim fled the scene before police arrived. Victim was found at a nearby gas station.")</f>
        <v>Adult man shot on the playground, shell casing recovered in parking lot. Both shooter and victim fled the scene before police arrived. Victim was found at a nearby gas station.</v>
      </c>
      <c r="AA511" s="8"/>
      <c r="AB511" s="8"/>
      <c r="AC511" s="8" t="str">
        <f ca="1">IFERROR(__xludf.DUMMYFUNCTION("""COMPUTED_VALUE"""),"No")</f>
        <v>No</v>
      </c>
      <c r="AD511" s="8"/>
      <c r="AE511" s="8" t="str">
        <f ca="1">IFERROR(__xludf.DUMMYFUNCTION("""COMPUTED_VALUE"""),"No")</f>
        <v>No</v>
      </c>
      <c r="AF511" s="8"/>
      <c r="AG511" s="8" t="str">
        <f ca="1">IFERROR(__xludf.DUMMYFUNCTION("""COMPUTED_VALUE"""),"No")</f>
        <v>No</v>
      </c>
      <c r="AH511" s="8" t="str">
        <f ca="1">IFERROR(__xludf.DUMMYFUNCTION("""COMPUTED_VALUE"""),"No")</f>
        <v>No</v>
      </c>
      <c r="AI511" s="8" t="str">
        <f ca="1">IFERROR(__xludf.DUMMYFUNCTION("""COMPUTED_VALUE"""),"No")</f>
        <v>No</v>
      </c>
      <c r="AJ511" s="8" t="str">
        <f ca="1">IFERROR(__xludf.DUMMYFUNCTION("""COMPUTED_VALUE"""),"No")</f>
        <v>No</v>
      </c>
      <c r="AK511" s="8" t="str">
        <f ca="1">IFERROR(__xludf.DUMMYFUNCTION("""COMPUTED_VALUE"""),"No")</f>
        <v>No</v>
      </c>
      <c r="AL511" s="8"/>
      <c r="AM511" s="8" t="str">
        <f ca="1">IFERROR(__xludf.DUMMYFUNCTION("""COMPUTED_VALUE"""),"No")</f>
        <v>No</v>
      </c>
      <c r="AN511" s="8" t="str">
        <f ca="1">IFERROR(__xludf.DUMMYFUNCTION("""COMPUTED_VALUE"""),"Outside")</f>
        <v>Outside</v>
      </c>
      <c r="AO511" s="8" t="str">
        <f ca="1">IFERROR(__xludf.DUMMYFUNCTION("""COMPUTED_VALUE"""),"No")</f>
        <v>No</v>
      </c>
      <c r="AP511" s="8"/>
      <c r="AQ511" s="8"/>
      <c r="AR511" s="8" t="str">
        <f ca="1">IFERROR(__xludf.DUMMYFUNCTION("""COMPUTED_VALUE"""),"Outside/Off-Property")</f>
        <v>Outside/Off-Property</v>
      </c>
      <c r="AS511" s="8">
        <f ca="1">IFERROR(__xludf.DUMMYFUNCTION("""COMPUTED_VALUE"""),1)</f>
        <v>1</v>
      </c>
      <c r="AT511" s="8" t="str">
        <f ca="1">IFERROR(__xludf.DUMMYFUNCTION("""COMPUTED_VALUE"""),"No")</f>
        <v>No</v>
      </c>
      <c r="AU511" s="8">
        <f ca="1">IFERROR(__xludf.DUMMYFUNCTION("""COMPUTED_VALUE"""),41.815518)</f>
        <v>41.815517999999997</v>
      </c>
      <c r="AV511" s="8">
        <f ca="1">IFERROR(__xludf.DUMMYFUNCTION("""COMPUTED_VALUE"""),-71.36555)</f>
        <v>-71.365549999999999</v>
      </c>
      <c r="AW511" s="8" t="str">
        <f ca="1">IFERROR(__xludf.DUMMYFUNCTION("""COMPUTED_VALUE"""),"Single building indoor hallway")</f>
        <v>Single building indoor hallway</v>
      </c>
      <c r="AX511" s="8">
        <f ca="1">IFERROR(__xludf.DUMMYFUNCTION("""COMPUTED_VALUE"""),2914)</f>
        <v>2914</v>
      </c>
    </row>
    <row r="512" spans="1:50" ht="30" x14ac:dyDescent="0.2">
      <c r="A512" s="8" t="str">
        <f ca="1">IFERROR(__xludf.DUMMYFUNCTION("""COMPUTED_VALUE"""),"20231220TXEAF")</f>
        <v>20231220TXEAF</v>
      </c>
      <c r="B512" s="8">
        <f ca="1">IFERROR(__xludf.DUMMYFUNCTION("""COMPUTED_VALUE"""),12)</f>
        <v>12</v>
      </c>
      <c r="C512" s="8">
        <f ca="1">IFERROR(__xludf.DUMMYFUNCTION("""COMPUTED_VALUE"""),20)</f>
        <v>20</v>
      </c>
      <c r="D512" s="8">
        <f ca="1">IFERROR(__xludf.DUMMYFUNCTION("""COMPUTED_VALUE"""),2023)</f>
        <v>2023</v>
      </c>
      <c r="E512" s="9">
        <f ca="1">IFERROR(__xludf.DUMMYFUNCTION("""COMPUTED_VALUE"""),45280)</f>
        <v>45280</v>
      </c>
      <c r="F512" s="8" t="str">
        <f ca="1">IFERROR(__xludf.DUMMYFUNCTION("""COMPUTED_VALUE"""),"Eastern Hills High School")</f>
        <v>Eastern Hills High School</v>
      </c>
      <c r="G512" s="8">
        <f ca="1">IFERROR(__xludf.DUMMYFUNCTION("""COMPUTED_VALUE"""),0)</f>
        <v>0</v>
      </c>
      <c r="H512" s="8">
        <f ca="1">IFERROR(__xludf.DUMMYFUNCTION("""COMPUTED_VALUE"""),0)</f>
        <v>0</v>
      </c>
      <c r="I512" s="8">
        <f ca="1">IFERROR(__xludf.DUMMYFUNCTION("""COMPUTED_VALUE"""),0)</f>
        <v>0</v>
      </c>
      <c r="J512" s="8">
        <f ca="1">IFERROR(__xludf.DUMMYFUNCTION("""COMPUTED_VALUE"""),0)</f>
        <v>0</v>
      </c>
      <c r="K512" s="8" t="str">
        <f ca="1">IFERROR(__xludf.DUMMYFUNCTION("""COMPUTED_VALUE"""),"https://www.wfaa.com/article/news/crime/gun-fired-outside-fort-worth-high-school/287-94c53ef3-4514-434d-8c50-d821f8bccab7
https://dallasexpress.com/education/shots-fired-during-fight-near-local-high-school/")</f>
        <v>https://www.wfaa.com/article/news/crime/gun-fired-outside-fort-worth-high-school/287-94c53ef3-4514-434d-8c50-d821f8bccab7
https://dallasexpress.com/education/shots-fired-during-fight-near-local-high-school/</v>
      </c>
      <c r="L512" s="8">
        <f ca="1">IFERROR(__xludf.DUMMYFUNCTION("""COMPUTED_VALUE"""),2)</f>
        <v>2</v>
      </c>
      <c r="M512" s="8" t="str">
        <f ca="1">IFERROR(__xludf.DUMMYFUNCTION("""COMPUTED_VALUE"""),"Local")</f>
        <v>Local</v>
      </c>
      <c r="N512" s="8">
        <f ca="1">IFERROR(__xludf.DUMMYFUNCTION("""COMPUTED_VALUE"""),2)</f>
        <v>2</v>
      </c>
      <c r="O512" s="8" t="str">
        <f ca="1">IFERROR(__xludf.DUMMYFUNCTION("""COMPUTED_VALUE"""),"Winter")</f>
        <v>Winter</v>
      </c>
      <c r="P512" s="8" t="str">
        <f ca="1">IFERROR(__xludf.DUMMYFUNCTION("""COMPUTED_VALUE"""),"Fort Worth")</f>
        <v>Fort Worth</v>
      </c>
      <c r="Q512" s="8" t="str">
        <f ca="1">IFERROR(__xludf.DUMMYFUNCTION("""COMPUTED_VALUE"""),"TX")</f>
        <v>TX</v>
      </c>
      <c r="R512" s="8" t="str">
        <f ca="1">IFERROR(__xludf.DUMMYFUNCTION("""COMPUTED_VALUE"""),"High")</f>
        <v>High</v>
      </c>
      <c r="S512" s="8" t="str">
        <f ca="1">IFERROR(__xludf.DUMMYFUNCTION("""COMPUTED_VALUE"""),"Outside on School Property")</f>
        <v>Outside on School Property</v>
      </c>
      <c r="T512" s="8" t="str">
        <f ca="1">IFERROR(__xludf.DUMMYFUNCTION("""COMPUTED_VALUE"""),"Outside on School Property")</f>
        <v>Outside on School Property</v>
      </c>
      <c r="U512" s="8" t="str">
        <f ca="1">IFERROR(__xludf.DUMMYFUNCTION("""COMPUTED_VALUE"""),"Yes")</f>
        <v>Yes</v>
      </c>
      <c r="V512" s="8" t="str">
        <f ca="1">IFERROR(__xludf.DUMMYFUNCTION("""COMPUTED_VALUE"""),"Dismissal")</f>
        <v>Dismissal</v>
      </c>
      <c r="W512" s="11">
        <f ca="1">IFERROR(__xludf.DUMMYFUNCTION("""COMPUTED_VALUE"""),0.583333333333333)</f>
        <v>0.58333333333333304</v>
      </c>
      <c r="X512" s="8">
        <f ca="1">IFERROR(__xludf.DUMMYFUNCTION("""COMPUTED_VALUE"""),1)</f>
        <v>1</v>
      </c>
      <c r="Y512" s="12" t="str">
        <f ca="1">IFERROR(__xludf.DUMMYFUNCTION("""COMPUTED_VALUE"""),"Shot fired outside school at dismissal")</f>
        <v>Shot fired outside school at dismissal</v>
      </c>
      <c r="Z512" s="12" t="str">
        <f ca="1">IFERROR(__xludf.DUMMYFUNCTION("""COMPUTED_VALUE"""),"Shot fired outside school during fight at dismissal. Shooter fled. No injuries.")</f>
        <v>Shot fired outside school during fight at dismissal. Shooter fled. No injuries.</v>
      </c>
      <c r="AA512" s="8" t="str">
        <f ca="1">IFERROR(__xludf.DUMMYFUNCTION("""COMPUTED_VALUE"""),"Escalation of Dispute")</f>
        <v>Escalation of Dispute</v>
      </c>
      <c r="AB512" s="8" t="str">
        <f ca="1">IFERROR(__xludf.DUMMYFUNCTION("""COMPUTED_VALUE"""),"Spontaneous")</f>
        <v>Spontaneous</v>
      </c>
      <c r="AC512" s="8" t="str">
        <f ca="1">IFERROR(__xludf.DUMMYFUNCTION("""COMPUTED_VALUE"""),"Yes")</f>
        <v>Yes</v>
      </c>
      <c r="AD512" s="8"/>
      <c r="AE512" s="8"/>
      <c r="AF512" s="8"/>
      <c r="AG512" s="8" t="str">
        <f ca="1">IFERROR(__xludf.DUMMYFUNCTION("""COMPUTED_VALUE"""),"No")</f>
        <v>No</v>
      </c>
      <c r="AH512" s="8" t="str">
        <f ca="1">IFERROR(__xludf.DUMMYFUNCTION("""COMPUTED_VALUE"""),"No")</f>
        <v>No</v>
      </c>
      <c r="AI512" s="8" t="str">
        <f ca="1">IFERROR(__xludf.DUMMYFUNCTION("""COMPUTED_VALUE"""),"No")</f>
        <v>No</v>
      </c>
      <c r="AJ512" s="8" t="str">
        <f ca="1">IFERROR(__xludf.DUMMYFUNCTION("""COMPUTED_VALUE"""),"No")</f>
        <v>No</v>
      </c>
      <c r="AK512" s="8" t="str">
        <f ca="1">IFERROR(__xludf.DUMMYFUNCTION("""COMPUTED_VALUE"""),"No")</f>
        <v>No</v>
      </c>
      <c r="AL512" s="8"/>
      <c r="AM512" s="8" t="str">
        <f ca="1">IFERROR(__xludf.DUMMYFUNCTION("""COMPUTED_VALUE"""),"No")</f>
        <v>No</v>
      </c>
      <c r="AN512" s="8" t="str">
        <f ca="1">IFERROR(__xludf.DUMMYFUNCTION("""COMPUTED_VALUE"""),"Outside")</f>
        <v>Outside</v>
      </c>
      <c r="AO512" s="8" t="str">
        <f ca="1">IFERROR(__xludf.DUMMYFUNCTION("""COMPUTED_VALUE"""),"No")</f>
        <v>No</v>
      </c>
      <c r="AP512" s="8"/>
      <c r="AQ512" s="8"/>
      <c r="AR512" s="8" t="str">
        <f ca="1">IFERROR(__xludf.DUMMYFUNCTION("""COMPUTED_VALUE"""),"Outside/Off-Property")</f>
        <v>Outside/Off-Property</v>
      </c>
      <c r="AS512" s="8">
        <f ca="1">IFERROR(__xludf.DUMMYFUNCTION("""COMPUTED_VALUE"""),1)</f>
        <v>1</v>
      </c>
      <c r="AT512" s="8" t="str">
        <f ca="1">IFERROR(__xludf.DUMMYFUNCTION("""COMPUTED_VALUE"""),"Yes")</f>
        <v>Yes</v>
      </c>
      <c r="AU512" s="8">
        <f ca="1">IFERROR(__xludf.DUMMYFUNCTION("""COMPUTED_VALUE"""),32.747908)</f>
        <v>32.747908000000002</v>
      </c>
      <c r="AV512" s="8">
        <f ca="1">IFERROR(__xludf.DUMMYFUNCTION("""COMPUTED_VALUE"""),-97.233047)</f>
        <v>-97.233046999999999</v>
      </c>
      <c r="AW512" s="8"/>
      <c r="AX512" s="8">
        <f ca="1">IFERROR(__xludf.DUMMYFUNCTION("""COMPUTED_VALUE"""),76112)</f>
        <v>76112</v>
      </c>
    </row>
    <row r="513" spans="1:50" ht="60" x14ac:dyDescent="0.2">
      <c r="A513" s="8" t="str">
        <f ca="1">IFERROR(__xludf.DUMMYFUNCTION("""COMPUTED_VALUE"""),"20231220NJKIN")</f>
        <v>20231220NJKIN</v>
      </c>
      <c r="B513" s="8">
        <f ca="1">IFERROR(__xludf.DUMMYFUNCTION("""COMPUTED_VALUE"""),12)</f>
        <v>12</v>
      </c>
      <c r="C513" s="8">
        <f ca="1">IFERROR(__xludf.DUMMYFUNCTION("""COMPUTED_VALUE"""),20)</f>
        <v>20</v>
      </c>
      <c r="D513" s="8">
        <f ca="1">IFERROR(__xludf.DUMMYFUNCTION("""COMPUTED_VALUE"""),2023)</f>
        <v>2023</v>
      </c>
      <c r="E513" s="9">
        <f ca="1">IFERROR(__xludf.DUMMYFUNCTION("""COMPUTED_VALUE"""),45280)</f>
        <v>45280</v>
      </c>
      <c r="F513" s="8" t="str">
        <f ca="1">IFERROR(__xludf.DUMMYFUNCTION("""COMPUTED_VALUE"""),"KIPP Life Academy")</f>
        <v>KIPP Life Academy</v>
      </c>
      <c r="G513" s="8">
        <f ca="1">IFERROR(__xludf.DUMMYFUNCTION("""COMPUTED_VALUE"""),0)</f>
        <v>0</v>
      </c>
      <c r="H513" s="8">
        <f ca="1">IFERROR(__xludf.DUMMYFUNCTION("""COMPUTED_VALUE"""),1)</f>
        <v>1</v>
      </c>
      <c r="I513" s="8">
        <f ca="1">IFERROR(__xludf.DUMMYFUNCTION("""COMPUTED_VALUE"""),1)</f>
        <v>1</v>
      </c>
      <c r="J513" s="8">
        <f ca="1">IFERROR(__xludf.DUMMYFUNCTION("""COMPUTED_VALUE"""),0)</f>
        <v>0</v>
      </c>
      <c r="K513" s="10" t="str">
        <f ca="1">IFERROR(__xludf.DUMMYFUNCTION("""COMPUTED_VALUE"""),"https://www.fox5ny.com/news/newark-school-shooting-13-year-old-shot-nj
https://www.timesnownews.com/world/newark-new-jersey-shooting-update-teen-injured-lockdown-at-bragaw-avenue-school-article-106162460")</f>
        <v>https://www.fox5ny.com/news/newark-school-shooting-13-year-old-shot-nj
https://www.timesnownews.com/world/newark-new-jersey-shooting-update-teen-injured-lockdown-at-bragaw-avenue-school-article-106162460</v>
      </c>
      <c r="L513" s="8">
        <f ca="1">IFERROR(__xludf.DUMMYFUNCTION("""COMPUTED_VALUE"""),10)</f>
        <v>10</v>
      </c>
      <c r="M513" s="8" t="str">
        <f ca="1">IFERROR(__xludf.DUMMYFUNCTION("""COMPUTED_VALUE"""),"Local")</f>
        <v>Local</v>
      </c>
      <c r="N513" s="8">
        <f ca="1">IFERROR(__xludf.DUMMYFUNCTION("""COMPUTED_VALUE"""),3)</f>
        <v>3</v>
      </c>
      <c r="O513" s="8" t="str">
        <f ca="1">IFERROR(__xludf.DUMMYFUNCTION("""COMPUTED_VALUE"""),"Winter")</f>
        <v>Winter</v>
      </c>
      <c r="P513" s="8" t="str">
        <f ca="1">IFERROR(__xludf.DUMMYFUNCTION("""COMPUTED_VALUE"""),"Newark")</f>
        <v>Newark</v>
      </c>
      <c r="Q513" s="8" t="str">
        <f ca="1">IFERROR(__xludf.DUMMYFUNCTION("""COMPUTED_VALUE"""),"NJ")</f>
        <v>NJ</v>
      </c>
      <c r="R513" s="8" t="str">
        <f ca="1">IFERROR(__xludf.DUMMYFUNCTION("""COMPUTED_VALUE"""),"K-12")</f>
        <v>K-12</v>
      </c>
      <c r="S513" s="8" t="str">
        <f ca="1">IFERROR(__xludf.DUMMYFUNCTION("""COMPUTED_VALUE"""),"Front of School")</f>
        <v>Front of School</v>
      </c>
      <c r="T513" s="8" t="str">
        <f ca="1">IFERROR(__xludf.DUMMYFUNCTION("""COMPUTED_VALUE"""),"Outside on School Property")</f>
        <v>Outside on School Property</v>
      </c>
      <c r="U513" s="8" t="str">
        <f ca="1">IFERROR(__xludf.DUMMYFUNCTION("""COMPUTED_VALUE"""),"Yes")</f>
        <v>Yes</v>
      </c>
      <c r="V513" s="8" t="str">
        <f ca="1">IFERROR(__xludf.DUMMYFUNCTION("""COMPUTED_VALUE"""),"Morning Classes")</f>
        <v>Morning Classes</v>
      </c>
      <c r="W513" s="11">
        <f ca="1">IFERROR(__xludf.DUMMYFUNCTION("""COMPUTED_VALUE"""),0.444444444444444)</f>
        <v>0.44444444444444398</v>
      </c>
      <c r="X513" s="8">
        <f ca="1">IFERROR(__xludf.DUMMYFUNCTION("""COMPUTED_VALUE"""),1)</f>
        <v>1</v>
      </c>
      <c r="Y513" s="12" t="str">
        <f ca="1">IFERROR(__xludf.DUMMYFUNCTION("""COMPUTED_VALUE"""),"13-year-old shot in front of the school, staff heard 11 shots and locked down")</f>
        <v>13-year-old shot in front of the school, staff heard 11 shots and locked down</v>
      </c>
      <c r="Z513" s="12" t="str">
        <f ca="1">IFERROR(__xludf.DUMMYFUNCTION("""COMPUTED_VALUE"""),"13-year-old shot in front of the school, staff heard 11 shots and locked down. Teen was transported to the hospital in a private vehicle before EMS arrived. Shooter fled.")</f>
        <v>13-year-old shot in front of the school, staff heard 11 shots and locked down. Teen was transported to the hospital in a private vehicle before EMS arrived. Shooter fled.</v>
      </c>
      <c r="AA513" s="8"/>
      <c r="AB513" s="8"/>
      <c r="AC513" s="8" t="str">
        <f ca="1">IFERROR(__xludf.DUMMYFUNCTION("""COMPUTED_VALUE"""),"Yes")</f>
        <v>Yes</v>
      </c>
      <c r="AD513" s="8"/>
      <c r="AE513" s="8"/>
      <c r="AF513" s="8"/>
      <c r="AG513" s="8" t="str">
        <f ca="1">IFERROR(__xludf.DUMMYFUNCTION("""COMPUTED_VALUE"""),"No")</f>
        <v>No</v>
      </c>
      <c r="AH513" s="8" t="str">
        <f ca="1">IFERROR(__xludf.DUMMYFUNCTION("""COMPUTED_VALUE"""),"No")</f>
        <v>No</v>
      </c>
      <c r="AI513" s="8" t="str">
        <f ca="1">IFERROR(__xludf.DUMMYFUNCTION("""COMPUTED_VALUE"""),"No")</f>
        <v>No</v>
      </c>
      <c r="AJ513" s="8" t="str">
        <f ca="1">IFERROR(__xludf.DUMMYFUNCTION("""COMPUTED_VALUE"""),"No")</f>
        <v>No</v>
      </c>
      <c r="AK513" s="8" t="str">
        <f ca="1">IFERROR(__xludf.DUMMYFUNCTION("""COMPUTED_VALUE"""),"No")</f>
        <v>No</v>
      </c>
      <c r="AL513" s="8"/>
      <c r="AM513" s="8" t="str">
        <f ca="1">IFERROR(__xludf.DUMMYFUNCTION("""COMPUTED_VALUE"""),"No")</f>
        <v>No</v>
      </c>
      <c r="AN513" s="8" t="str">
        <f ca="1">IFERROR(__xludf.DUMMYFUNCTION("""COMPUTED_VALUE"""),"Outside")</f>
        <v>Outside</v>
      </c>
      <c r="AO513" s="8" t="str">
        <f ca="1">IFERROR(__xludf.DUMMYFUNCTION("""COMPUTED_VALUE"""),"No")</f>
        <v>No</v>
      </c>
      <c r="AP513" s="8"/>
      <c r="AQ513" s="8"/>
      <c r="AR513" s="8" t="str">
        <f ca="1">IFERROR(__xludf.DUMMYFUNCTION("""COMPUTED_VALUE"""),"Outside/Off-Property")</f>
        <v>Outside/Off-Property</v>
      </c>
      <c r="AS513" s="8">
        <f ca="1">IFERROR(__xludf.DUMMYFUNCTION("""COMPUTED_VALUE"""),11)</f>
        <v>11</v>
      </c>
      <c r="AT513" s="8" t="str">
        <f ca="1">IFERROR(__xludf.DUMMYFUNCTION("""COMPUTED_VALUE"""),"Yes")</f>
        <v>Yes</v>
      </c>
      <c r="AU513" s="8">
        <f ca="1">IFERROR(__xludf.DUMMYFUNCTION("""COMPUTED_VALUE"""),40.717273)</f>
        <v>40.717272999999999</v>
      </c>
      <c r="AV513" s="8">
        <f ca="1">IFERROR(__xludf.DUMMYFUNCTION("""COMPUTED_VALUE"""),-74.217075)</f>
        <v>-74.217074999999994</v>
      </c>
      <c r="AW513" s="8"/>
      <c r="AX513" s="8">
        <f ca="1">IFERROR(__xludf.DUMMYFUNCTION("""COMPUTED_VALUE"""),7112)</f>
        <v>7112</v>
      </c>
    </row>
    <row r="514" spans="1:50" ht="60" x14ac:dyDescent="0.2">
      <c r="A514" s="8" t="str">
        <f ca="1">IFERROR(__xludf.DUMMYFUNCTION("""COMPUTED_VALUE"""),"20231219COLEC")</f>
        <v>20231219COLEC</v>
      </c>
      <c r="B514" s="8">
        <f ca="1">IFERROR(__xludf.DUMMYFUNCTION("""COMPUTED_VALUE"""),12)</f>
        <v>12</v>
      </c>
      <c r="C514" s="8">
        <f ca="1">IFERROR(__xludf.DUMMYFUNCTION("""COMPUTED_VALUE"""),19)</f>
        <v>19</v>
      </c>
      <c r="D514" s="8">
        <f ca="1">IFERROR(__xludf.DUMMYFUNCTION("""COMPUTED_VALUE"""),2023)</f>
        <v>2023</v>
      </c>
      <c r="E514" s="9">
        <f ca="1">IFERROR(__xludf.DUMMYFUNCTION("""COMPUTED_VALUE"""),45279)</f>
        <v>45279</v>
      </c>
      <c r="F514" s="8" t="str">
        <f ca="1">IFERROR(__xludf.DUMMYFUNCTION("""COMPUTED_VALUE"""),"Legacy Peak Elementary School")</f>
        <v>Legacy Peak Elementary School</v>
      </c>
      <c r="G514" s="8">
        <f ca="1">IFERROR(__xludf.DUMMYFUNCTION("""COMPUTED_VALUE"""),0)</f>
        <v>0</v>
      </c>
      <c r="H514" s="8">
        <f ca="1">IFERROR(__xludf.DUMMYFUNCTION("""COMPUTED_VALUE"""),2)</f>
        <v>2</v>
      </c>
      <c r="I514" s="8">
        <f ca="1">IFERROR(__xludf.DUMMYFUNCTION("""COMPUTED_VALUE"""),2)</f>
        <v>2</v>
      </c>
      <c r="J514" s="8">
        <f ca="1">IFERROR(__xludf.DUMMYFUNCTION("""COMPUTED_VALUE"""),0)</f>
        <v>0</v>
      </c>
      <c r="K514" s="8" t="str">
        <f ca="1">IFERROR(__xludf.DUMMYFUNCTION("""COMPUTED_VALUE"""),"https://www.youtube.com/watch?v=BjW_zoSBE44
https://krdo.com/news/2023/12/19/shooting-investigation-tuesday-night-near-black-forest/
https://www.kktv.com/2023/12/20/2-shot-vehicle-colorado-springs-elementary-school-tuesday-night/")</f>
        <v>https://www.youtube.com/watch?v=BjW_zoSBE44
https://krdo.com/news/2023/12/19/shooting-investigation-tuesday-night-near-black-forest/
https://www.kktv.com/2023/12/20/2-shot-vehicle-colorado-springs-elementary-school-tuesday-night/</v>
      </c>
      <c r="L514" s="8">
        <f ca="1">IFERROR(__xludf.DUMMYFUNCTION("""COMPUTED_VALUE"""),2)</f>
        <v>2</v>
      </c>
      <c r="M514" s="8" t="str">
        <f ca="1">IFERROR(__xludf.DUMMYFUNCTION("""COMPUTED_VALUE"""),"Local")</f>
        <v>Local</v>
      </c>
      <c r="N514" s="8">
        <f ca="1">IFERROR(__xludf.DUMMYFUNCTION("""COMPUTED_VALUE"""),4)</f>
        <v>4</v>
      </c>
      <c r="O514" s="8" t="str">
        <f ca="1">IFERROR(__xludf.DUMMYFUNCTION("""COMPUTED_VALUE"""),"Winter")</f>
        <v>Winter</v>
      </c>
      <c r="P514" s="8" t="str">
        <f ca="1">IFERROR(__xludf.DUMMYFUNCTION("""COMPUTED_VALUE"""),"Colorado Springs")</f>
        <v>Colorado Springs</v>
      </c>
      <c r="Q514" s="8" t="str">
        <f ca="1">IFERROR(__xludf.DUMMYFUNCTION("""COMPUTED_VALUE"""),"CO")</f>
        <v>CO</v>
      </c>
      <c r="R514" s="8" t="str">
        <f ca="1">IFERROR(__xludf.DUMMYFUNCTION("""COMPUTED_VALUE"""),"Elementary")</f>
        <v>Elementary</v>
      </c>
      <c r="S514" s="8" t="str">
        <f ca="1">IFERROR(__xludf.DUMMYFUNCTION("""COMPUTED_VALUE"""),"Parking Lot")</f>
        <v>Parking Lot</v>
      </c>
      <c r="T514" s="8" t="str">
        <f ca="1">IFERROR(__xludf.DUMMYFUNCTION("""COMPUTED_VALUE"""),"Outside on School Property")</f>
        <v>Outside on School Property</v>
      </c>
      <c r="U514" s="8" t="str">
        <f ca="1">IFERROR(__xludf.DUMMYFUNCTION("""COMPUTED_VALUE"""),"No")</f>
        <v>No</v>
      </c>
      <c r="V514" s="8" t="str">
        <f ca="1">IFERROR(__xludf.DUMMYFUNCTION("""COMPUTED_VALUE"""),"Evening")</f>
        <v>Evening</v>
      </c>
      <c r="W514" s="11">
        <f ca="1">IFERROR(__xludf.DUMMYFUNCTION("""COMPUTED_VALUE"""),0.895833333333333)</f>
        <v>0.89583333333333304</v>
      </c>
      <c r="X514" s="8">
        <f ca="1">IFERROR(__xludf.DUMMYFUNCTION("""COMPUTED_VALUE"""),1)</f>
        <v>1</v>
      </c>
      <c r="Y514" s="12" t="str">
        <f ca="1">IFERROR(__xludf.DUMMYFUNCTION("""COMPUTED_VALUE"""),"Two people shot inside vehicle parked at the school")</f>
        <v>Two people shot inside vehicle parked at the school</v>
      </c>
      <c r="Z514" s="12" t="str">
        <f ca="1">IFERROR(__xludf.DUMMYFUNCTION("""COMPUTED_VALUE"""),"Two people shot inside vehicle parked at the school. Both victims transported to the hospital. Shooter fled. School was closed at the time of the shooting.")</f>
        <v>Two people shot inside vehicle parked at the school. Both victims transported to the hospital. Shooter fled. School was closed at the time of the shooting.</v>
      </c>
      <c r="AA514" s="8" t="str">
        <f ca="1">IFERROR(__xludf.DUMMYFUNCTION("""COMPUTED_VALUE"""),"Escalation of Dispute")</f>
        <v>Escalation of Dispute</v>
      </c>
      <c r="AB514" s="8" t="str">
        <f ca="1">IFERROR(__xludf.DUMMYFUNCTION("""COMPUTED_VALUE"""),"Targeted")</f>
        <v>Targeted</v>
      </c>
      <c r="AC514" s="8" t="str">
        <f ca="1">IFERROR(__xludf.DUMMYFUNCTION("""COMPUTED_VALUE"""),"No")</f>
        <v>No</v>
      </c>
      <c r="AD514" s="8" t="str">
        <f ca="1">IFERROR(__xludf.DUMMYFUNCTION("""COMPUTED_VALUE"""),"Victims Targeted")</f>
        <v>Victims Targeted</v>
      </c>
      <c r="AE514" s="8" t="str">
        <f ca="1">IFERROR(__xludf.DUMMYFUNCTION("""COMPUTED_VALUE"""),"No")</f>
        <v>No</v>
      </c>
      <c r="AF514" s="8"/>
      <c r="AG514" s="8" t="str">
        <f ca="1">IFERROR(__xludf.DUMMYFUNCTION("""COMPUTED_VALUE"""),"No")</f>
        <v>No</v>
      </c>
      <c r="AH514" s="8" t="str">
        <f ca="1">IFERROR(__xludf.DUMMYFUNCTION("""COMPUTED_VALUE"""),"No")</f>
        <v>No</v>
      </c>
      <c r="AI514" s="8" t="str">
        <f ca="1">IFERROR(__xludf.DUMMYFUNCTION("""COMPUTED_VALUE"""),"No")</f>
        <v>No</v>
      </c>
      <c r="AJ514" s="8" t="str">
        <f ca="1">IFERROR(__xludf.DUMMYFUNCTION("""COMPUTED_VALUE"""),"No")</f>
        <v>No</v>
      </c>
      <c r="AK514" s="8" t="str">
        <f ca="1">IFERROR(__xludf.DUMMYFUNCTION("""COMPUTED_VALUE"""),"No")</f>
        <v>No</v>
      </c>
      <c r="AL514" s="8"/>
      <c r="AM514" s="8" t="str">
        <f ca="1">IFERROR(__xludf.DUMMYFUNCTION("""COMPUTED_VALUE"""),"No")</f>
        <v>No</v>
      </c>
      <c r="AN514" s="8" t="str">
        <f ca="1">IFERROR(__xludf.DUMMYFUNCTION("""COMPUTED_VALUE"""),"Outside")</f>
        <v>Outside</v>
      </c>
      <c r="AO514" s="8" t="str">
        <f ca="1">IFERROR(__xludf.DUMMYFUNCTION("""COMPUTED_VALUE"""),"No")</f>
        <v>No</v>
      </c>
      <c r="AP514" s="8"/>
      <c r="AQ514" s="8"/>
      <c r="AR514" s="8" t="str">
        <f ca="1">IFERROR(__xludf.DUMMYFUNCTION("""COMPUTED_VALUE"""),"Outside/Off-Property")</f>
        <v>Outside/Off-Property</v>
      </c>
      <c r="AS514" s="8">
        <f ca="1">IFERROR(__xludf.DUMMYFUNCTION("""COMPUTED_VALUE"""),10)</f>
        <v>10</v>
      </c>
      <c r="AT514" s="8" t="str">
        <f ca="1">IFERROR(__xludf.DUMMYFUNCTION("""COMPUTED_VALUE"""),"No")</f>
        <v>No</v>
      </c>
      <c r="AU514" s="8">
        <f ca="1">IFERROR(__xludf.DUMMYFUNCTION("""COMPUTED_VALUE"""),38.957547)</f>
        <v>38.957546999999998</v>
      </c>
      <c r="AV514" s="8">
        <f ca="1">IFERROR(__xludf.DUMMYFUNCTION("""COMPUTED_VALUE"""),-104.707813)</f>
        <v>-104.707813</v>
      </c>
      <c r="AW514" s="8"/>
      <c r="AX514" s="8">
        <f ca="1">IFERROR(__xludf.DUMMYFUNCTION("""COMPUTED_VALUE"""),80924)</f>
        <v>80924</v>
      </c>
    </row>
    <row r="515" spans="1:50" ht="195" x14ac:dyDescent="0.2">
      <c r="A515" s="8" t="str">
        <f ca="1">IFERROR(__xludf.DUMMYFUNCTION("""COMPUTED_VALUE"""),"20231219TXCYK")</f>
        <v>20231219TXCYK</v>
      </c>
      <c r="B515" s="8">
        <f ca="1">IFERROR(__xludf.DUMMYFUNCTION("""COMPUTED_VALUE"""),12)</f>
        <v>12</v>
      </c>
      <c r="C515" s="8">
        <f ca="1">IFERROR(__xludf.DUMMYFUNCTION("""COMPUTED_VALUE"""),19)</f>
        <v>19</v>
      </c>
      <c r="D515" s="8">
        <f ca="1">IFERROR(__xludf.DUMMYFUNCTION("""COMPUTED_VALUE"""),2023)</f>
        <v>2023</v>
      </c>
      <c r="E515" s="9">
        <f ca="1">IFERROR(__xludf.DUMMYFUNCTION("""COMPUTED_VALUE"""),45279)</f>
        <v>45279</v>
      </c>
      <c r="F515" s="8" t="str">
        <f ca="1">IFERROR(__xludf.DUMMYFUNCTION("""COMPUTED_VALUE"""),"Cypress Lakes High School")</f>
        <v>Cypress Lakes High School</v>
      </c>
      <c r="G515" s="8">
        <f ca="1">IFERROR(__xludf.DUMMYFUNCTION("""COMPUTED_VALUE"""),1)</f>
        <v>1</v>
      </c>
      <c r="H515" s="8">
        <f ca="1">IFERROR(__xludf.DUMMYFUNCTION("""COMPUTED_VALUE"""),0)</f>
        <v>0</v>
      </c>
      <c r="I515" s="8">
        <f ca="1">IFERROR(__xludf.DUMMYFUNCTION("""COMPUTED_VALUE"""),1)</f>
        <v>1</v>
      </c>
      <c r="J515" s="8">
        <f ca="1">IFERROR(__xludf.DUMMYFUNCTION("""COMPUTED_VALUE"""),0)</f>
        <v>0</v>
      </c>
      <c r="K515" s="8" t="str">
        <f ca="1">IFERROR(__xludf.DUMMYFUNCTION("""COMPUTED_VALUE"""),"https://www.khou.com/article/news/local/katy-texas-shooting/285-f1838285-5559-4f81-8014-c064137db853
https://abc13.com/brittany-reese-charged-jake-mason-killed-17-year-old-murdered-near-cypress-lakes-high-school-brenwood-trails-lane-shooting-on-dec-19/142"&amp;"52065/")</f>
        <v>https://www.khou.com/article/news/local/katy-texas-shooting/285-f1838285-5559-4f81-8014-c064137db853
https://abc13.com/brittany-reese-charged-jake-mason-killed-17-year-old-murdered-near-cypress-lakes-high-school-brenwood-trails-lane-shooting-on-dec-19/14252065/</v>
      </c>
      <c r="L515" s="8">
        <f ca="1">IFERROR(__xludf.DUMMYFUNCTION("""COMPUTED_VALUE"""),2)</f>
        <v>2</v>
      </c>
      <c r="M515" s="8" t="str">
        <f ca="1">IFERROR(__xludf.DUMMYFUNCTION("""COMPUTED_VALUE"""),"Local")</f>
        <v>Local</v>
      </c>
      <c r="N515" s="8">
        <f ca="1">IFERROR(__xludf.DUMMYFUNCTION("""COMPUTED_VALUE"""),4)</f>
        <v>4</v>
      </c>
      <c r="O515" s="8" t="str">
        <f ca="1">IFERROR(__xludf.DUMMYFUNCTION("""COMPUTED_VALUE"""),"Winter")</f>
        <v>Winter</v>
      </c>
      <c r="P515" s="8" t="str">
        <f ca="1">IFERROR(__xludf.DUMMYFUNCTION("""COMPUTED_VALUE"""),"Katy")</f>
        <v>Katy</v>
      </c>
      <c r="Q515" s="8" t="str">
        <f ca="1">IFERROR(__xludf.DUMMYFUNCTION("""COMPUTED_VALUE"""),"TX")</f>
        <v>TX</v>
      </c>
      <c r="R515" s="8" t="str">
        <f ca="1">IFERROR(__xludf.DUMMYFUNCTION("""COMPUTED_VALUE"""),"High")</f>
        <v>High</v>
      </c>
      <c r="S515" s="8" t="str">
        <f ca="1">IFERROR(__xludf.DUMMYFUNCTION("""COMPUTED_VALUE"""),"Parking Lot")</f>
        <v>Parking Lot</v>
      </c>
      <c r="T515" s="8" t="str">
        <f ca="1">IFERROR(__xludf.DUMMYFUNCTION("""COMPUTED_VALUE"""),"Outside on School Property")</f>
        <v>Outside on School Property</v>
      </c>
      <c r="U515" s="8" t="str">
        <f ca="1">IFERROR(__xludf.DUMMYFUNCTION("""COMPUTED_VALUE"""),"Yes")</f>
        <v>Yes</v>
      </c>
      <c r="V515" s="8" t="str">
        <f ca="1">IFERROR(__xludf.DUMMYFUNCTION("""COMPUTED_VALUE"""),"Morning Classes")</f>
        <v>Morning Classes</v>
      </c>
      <c r="W515" s="11">
        <f ca="1">IFERROR(__xludf.DUMMYFUNCTION("""COMPUTED_VALUE"""),0.4375)</f>
        <v>0.4375</v>
      </c>
      <c r="X515" s="8">
        <f ca="1">IFERROR(__xludf.DUMMYFUNCTION("""COMPUTED_VALUE"""),1)</f>
        <v>1</v>
      </c>
      <c r="Y515" s="12" t="str">
        <f ca="1">IFERROR(__xludf.DUMMYFUNCTION("""COMPUTED_VALUE"""),"Student fatally shot inside vehicle parked by the school tennis courts while waiting to pick another student up")</f>
        <v>Student fatally shot inside vehicle parked by the school tennis courts while waiting to pick another student up</v>
      </c>
      <c r="Z515" s="12" t="str">
        <f ca="1">IFERROR(__xludf.DUMMYFUNCTION("""COMPUTED_VALUE"""),"17-year-old was fatally shot inside his vehicle while parked next to the school tennis court. He was waiting to pick a student up. Shooter fled on foot. Three schools were placed on lockdown and then dismissed early.
The mother of a teen suspect in the s"&amp;"hooting death of a 17-year-old near Cypress Lakes High School has been charged. Brittany Breann Reese, 35, is charged with tampering with evidence in connection to the murder of Jake Mason on Dec.19 on Brenwood Trails Lane. Court records state Reese ""dis"&amp;"posed of a firearm used in a shooting death by her son, making it unavailable to law enforcement in their homicide investigation.""")</f>
        <v>17-year-old was fatally shot inside his vehicle while parked next to the school tennis court. He was waiting to pick a student up. Shooter fled on foot. Three schools were placed on lockdown and then dismissed early.
The mother of a teen suspect in the shooting death of a 17-year-old near Cypress Lakes High School has been charged. Brittany Breann Reese, 35, is charged with tampering with evidence in connection to the murder of Jake Mason on Dec.19 on Brenwood Trails Lane. Court records state Reese "disposed of a firearm used in a shooting death by her son, making it unavailable to law enforcement in their homicide investigation."</v>
      </c>
      <c r="AA515" s="8"/>
      <c r="AB515" s="8" t="str">
        <f ca="1">IFERROR(__xludf.DUMMYFUNCTION("""COMPUTED_VALUE"""),"Targeted")</f>
        <v>Targeted</v>
      </c>
      <c r="AC515" s="8" t="str">
        <f ca="1">IFERROR(__xludf.DUMMYFUNCTION("""COMPUTED_VALUE"""),"Yes")</f>
        <v>Yes</v>
      </c>
      <c r="AD515" s="8" t="str">
        <f ca="1">IFERROR(__xludf.DUMMYFUNCTION("""COMPUTED_VALUE"""),"Victims Targeted")</f>
        <v>Victims Targeted</v>
      </c>
      <c r="AE515" s="8" t="str">
        <f ca="1">IFERROR(__xludf.DUMMYFUNCTION("""COMPUTED_VALUE"""),"No")</f>
        <v>No</v>
      </c>
      <c r="AF515" s="8"/>
      <c r="AG515" s="8" t="str">
        <f ca="1">IFERROR(__xludf.DUMMYFUNCTION("""COMPUTED_VALUE"""),"No")</f>
        <v>No</v>
      </c>
      <c r="AH515" s="8" t="str">
        <f ca="1">IFERROR(__xludf.DUMMYFUNCTION("""COMPUTED_VALUE"""),"No")</f>
        <v>No</v>
      </c>
      <c r="AI515" s="8" t="str">
        <f ca="1">IFERROR(__xludf.DUMMYFUNCTION("""COMPUTED_VALUE"""),"No")</f>
        <v>No</v>
      </c>
      <c r="AJ515" s="8" t="str">
        <f ca="1">IFERROR(__xludf.DUMMYFUNCTION("""COMPUTED_VALUE"""),"No")</f>
        <v>No</v>
      </c>
      <c r="AK515" s="8" t="str">
        <f ca="1">IFERROR(__xludf.DUMMYFUNCTION("""COMPUTED_VALUE"""),"No")</f>
        <v>No</v>
      </c>
      <c r="AL515" s="8" t="str">
        <f ca="1">IFERROR(__xludf.DUMMYFUNCTION("""COMPUTED_VALUE"""),"No")</f>
        <v>No</v>
      </c>
      <c r="AM515" s="8" t="str">
        <f ca="1">IFERROR(__xludf.DUMMYFUNCTION("""COMPUTED_VALUE"""),"No")</f>
        <v>No</v>
      </c>
      <c r="AN515" s="8" t="str">
        <f ca="1">IFERROR(__xludf.DUMMYFUNCTION("""COMPUTED_VALUE"""),"Outside")</f>
        <v>Outside</v>
      </c>
      <c r="AO515" s="8" t="str">
        <f ca="1">IFERROR(__xludf.DUMMYFUNCTION("""COMPUTED_VALUE"""),"No")</f>
        <v>No</v>
      </c>
      <c r="AP515" s="8" t="str">
        <f ca="1">IFERROR(__xludf.DUMMYFUNCTION("""COMPUTED_VALUE"""),"Yes")</f>
        <v>Yes</v>
      </c>
      <c r="AQ515" s="8"/>
      <c r="AR515" s="8" t="str">
        <f ca="1">IFERROR(__xludf.DUMMYFUNCTION("""COMPUTED_VALUE"""),"Outside/Off-Property")</f>
        <v>Outside/Off-Property</v>
      </c>
      <c r="AS515" s="8">
        <f ca="1">IFERROR(__xludf.DUMMYFUNCTION("""COMPUTED_VALUE"""),99)</f>
        <v>99</v>
      </c>
      <c r="AT515" s="8" t="str">
        <f ca="1">IFERROR(__xludf.DUMMYFUNCTION("""COMPUTED_VALUE"""),"Yes")</f>
        <v>Yes</v>
      </c>
      <c r="AU515" s="8">
        <f ca="1">IFERROR(__xludf.DUMMYFUNCTION("""COMPUTED_VALUE"""),29.856129)</f>
        <v>29.856128999999999</v>
      </c>
      <c r="AV515" s="8">
        <f ca="1">IFERROR(__xludf.DUMMYFUNCTION("""COMPUTED_VALUE"""),-95.705023)</f>
        <v>-95.705022999999997</v>
      </c>
      <c r="AW515" s="8"/>
      <c r="AX515" s="8">
        <f ca="1">IFERROR(__xludf.DUMMYFUNCTION("""COMPUTED_VALUE"""),77449)</f>
        <v>77449</v>
      </c>
    </row>
    <row r="516" spans="1:50" ht="60" x14ac:dyDescent="0.2">
      <c r="A516" s="8" t="str">
        <f ca="1">IFERROR(__xludf.DUMMYFUNCTION("""COMPUTED_VALUE"""),"20231218VAORC")</f>
        <v>20231218VAORC</v>
      </c>
      <c r="B516" s="8">
        <f ca="1">IFERROR(__xludf.DUMMYFUNCTION("""COMPUTED_VALUE"""),12)</f>
        <v>12</v>
      </c>
      <c r="C516" s="8">
        <f ca="1">IFERROR(__xludf.DUMMYFUNCTION("""COMPUTED_VALUE"""),18)</f>
        <v>18</v>
      </c>
      <c r="D516" s="8">
        <f ca="1">IFERROR(__xludf.DUMMYFUNCTION("""COMPUTED_VALUE"""),2023)</f>
        <v>2023</v>
      </c>
      <c r="E516" s="9">
        <f ca="1">IFERROR(__xludf.DUMMYFUNCTION("""COMPUTED_VALUE"""),45278)</f>
        <v>45278</v>
      </c>
      <c r="F516" s="8" t="str">
        <f ca="1">IFERROR(__xludf.DUMMYFUNCTION("""COMPUTED_VALUE"""),"Orange County Public Schools Bus")</f>
        <v>Orange County Public Schools Bus</v>
      </c>
      <c r="G516" s="8">
        <f ca="1">IFERROR(__xludf.DUMMYFUNCTION("""COMPUTED_VALUE"""),0)</f>
        <v>0</v>
      </c>
      <c r="H516" s="8">
        <f ca="1">IFERROR(__xludf.DUMMYFUNCTION("""COMPUTED_VALUE"""),0)</f>
        <v>0</v>
      </c>
      <c r="I516" s="8">
        <f ca="1">IFERROR(__xludf.DUMMYFUNCTION("""COMPUTED_VALUE"""),0)</f>
        <v>0</v>
      </c>
      <c r="J516" s="8">
        <f ca="1">IFERROR(__xludf.DUMMYFUNCTION("""COMPUTED_VALUE"""),0)</f>
        <v>0</v>
      </c>
      <c r="K516" s="10" t="str">
        <f ca="1">IFERROR(__xludf.DUMMYFUNCTION("""COMPUTED_VALUE"""),"https://starexponent.com/news/local/superintendent-orange-school-bus-windows-shot-with-bb-gun-while-parked-in-culpeper/article_04167536-9e92-11ee-831d-53c7fe42ca20.html")</f>
        <v>https://starexponent.com/news/local/superintendent-orange-school-bus-windows-shot-with-bb-gun-while-parked-in-culpeper/article_04167536-9e92-11ee-831d-53c7fe42ca20.html</v>
      </c>
      <c r="L516" s="8">
        <f ca="1">IFERROR(__xludf.DUMMYFUNCTION("""COMPUTED_VALUE"""),1)</f>
        <v>1</v>
      </c>
      <c r="M516" s="8" t="str">
        <f ca="1">IFERROR(__xludf.DUMMYFUNCTION("""COMPUTED_VALUE"""),"Local")</f>
        <v>Local</v>
      </c>
      <c r="N516" s="8">
        <f ca="1">IFERROR(__xludf.DUMMYFUNCTION("""COMPUTED_VALUE"""),4)</f>
        <v>4</v>
      </c>
      <c r="O516" s="8" t="str">
        <f ca="1">IFERROR(__xludf.DUMMYFUNCTION("""COMPUTED_VALUE"""),"Winter")</f>
        <v>Winter</v>
      </c>
      <c r="P516" s="8" t="str">
        <f ca="1">IFERROR(__xludf.DUMMYFUNCTION("""COMPUTED_VALUE"""),"Culpeper")</f>
        <v>Culpeper</v>
      </c>
      <c r="Q516" s="8" t="str">
        <f ca="1">IFERROR(__xludf.DUMMYFUNCTION("""COMPUTED_VALUE"""),"VA")</f>
        <v>VA</v>
      </c>
      <c r="R516" s="8"/>
      <c r="S516" s="8" t="str">
        <f ca="1">IFERROR(__xludf.DUMMYFUNCTION("""COMPUTED_VALUE"""),"Parking Lot")</f>
        <v>Parking Lot</v>
      </c>
      <c r="T516" s="8" t="str">
        <f ca="1">IFERROR(__xludf.DUMMYFUNCTION("""COMPUTED_VALUE"""),"Outside on School Property")</f>
        <v>Outside on School Property</v>
      </c>
      <c r="U516" s="8" t="str">
        <f ca="1">IFERROR(__xludf.DUMMYFUNCTION("""COMPUTED_VALUE"""),"No")</f>
        <v>No</v>
      </c>
      <c r="V516" s="8" t="str">
        <f ca="1">IFERROR(__xludf.DUMMYFUNCTION("""COMPUTED_VALUE"""),"Before School")</f>
        <v>Before School</v>
      </c>
      <c r="W516" s="8"/>
      <c r="X516" s="8">
        <f ca="1">IFERROR(__xludf.DUMMYFUNCTION("""COMPUTED_VALUE"""),1)</f>
        <v>1</v>
      </c>
      <c r="Y516" s="12" t="str">
        <f ca="1">IFERROR(__xludf.DUMMYFUNCTION("""COMPUTED_VALUE"""),"Three school bus windows shot with BB gun")</f>
        <v>Three school bus windows shot with BB gun</v>
      </c>
      <c r="Z516" s="12" t="str">
        <f ca="1">IFERROR(__xludf.DUMMYFUNCTION("""COMPUTED_VALUE"""),"According to Orange County Public Schools Superintendent Daniel Hornick, no one was on the bus and it was stationary when someone shot a BB gun at the vehicle, shattering one window and damaging two others.")</f>
        <v>According to Orange County Public Schools Superintendent Daniel Hornick, no one was on the bus and it was stationary when someone shot a BB gun at the vehicle, shattering one window and damaging two others.</v>
      </c>
      <c r="AA516" s="8" t="str">
        <f ca="1">IFERROR(__xludf.DUMMYFUNCTION("""COMPUTED_VALUE"""),"Indiscriminate Shooting")</f>
        <v>Indiscriminate Shooting</v>
      </c>
      <c r="AB516" s="8"/>
      <c r="AC516" s="8" t="str">
        <f ca="1">IFERROR(__xludf.DUMMYFUNCTION("""COMPUTED_VALUE"""),"No")</f>
        <v>No</v>
      </c>
      <c r="AD516" s="8" t="str">
        <f ca="1">IFERROR(__xludf.DUMMYFUNCTION("""COMPUTED_VALUE"""),"Neither")</f>
        <v>Neither</v>
      </c>
      <c r="AE516" s="8"/>
      <c r="AF516" s="8"/>
      <c r="AG516" s="8" t="str">
        <f ca="1">IFERROR(__xludf.DUMMYFUNCTION("""COMPUTED_VALUE"""),"No")</f>
        <v>No</v>
      </c>
      <c r="AH516" s="8" t="str">
        <f ca="1">IFERROR(__xludf.DUMMYFUNCTION("""COMPUTED_VALUE"""),"No")</f>
        <v>No</v>
      </c>
      <c r="AI516" s="8" t="str">
        <f ca="1">IFERROR(__xludf.DUMMYFUNCTION("""COMPUTED_VALUE"""),"No")</f>
        <v>No</v>
      </c>
      <c r="AJ516" s="8" t="str">
        <f ca="1">IFERROR(__xludf.DUMMYFUNCTION("""COMPUTED_VALUE"""),"No")</f>
        <v>No</v>
      </c>
      <c r="AK516" s="8" t="str">
        <f ca="1">IFERROR(__xludf.DUMMYFUNCTION("""COMPUTED_VALUE"""),"No")</f>
        <v>No</v>
      </c>
      <c r="AL516" s="8" t="str">
        <f ca="1">IFERROR(__xludf.DUMMYFUNCTION("""COMPUTED_VALUE"""),"No")</f>
        <v>No</v>
      </c>
      <c r="AM516" s="8" t="str">
        <f ca="1">IFERROR(__xludf.DUMMYFUNCTION("""COMPUTED_VALUE"""),"No")</f>
        <v>No</v>
      </c>
      <c r="AN516" s="8" t="str">
        <f ca="1">IFERROR(__xludf.DUMMYFUNCTION("""COMPUTED_VALUE"""),"Outside")</f>
        <v>Outside</v>
      </c>
      <c r="AO516" s="8" t="str">
        <f ca="1">IFERROR(__xludf.DUMMYFUNCTION("""COMPUTED_VALUE"""),"No")</f>
        <v>No</v>
      </c>
      <c r="AP516" s="8"/>
      <c r="AQ516" s="8"/>
      <c r="AR516" s="8" t="str">
        <f ca="1">IFERROR(__xludf.DUMMYFUNCTION("""COMPUTED_VALUE"""),"Outside/Off-Property")</f>
        <v>Outside/Off-Property</v>
      </c>
      <c r="AS516" s="8">
        <f ca="1">IFERROR(__xludf.DUMMYFUNCTION("""COMPUTED_VALUE"""),3)</f>
        <v>3</v>
      </c>
      <c r="AT516" s="8" t="str">
        <f ca="1">IFERROR(__xludf.DUMMYFUNCTION("""COMPUTED_VALUE"""),"No")</f>
        <v>No</v>
      </c>
      <c r="AU516" s="8">
        <f ca="1">IFERROR(__xludf.DUMMYFUNCTION("""COMPUTED_VALUE"""),38.472527)</f>
        <v>38.472526999999999</v>
      </c>
      <c r="AV516" s="8">
        <f ca="1">IFERROR(__xludf.DUMMYFUNCTION("""COMPUTED_VALUE"""),-77.995572)</f>
        <v>-77.995571999999996</v>
      </c>
      <c r="AW516" s="8"/>
      <c r="AX516" s="8">
        <f ca="1">IFERROR(__xludf.DUMMYFUNCTION("""COMPUTED_VALUE"""),22701)</f>
        <v>22701</v>
      </c>
    </row>
    <row r="517" spans="1:50" ht="180" x14ac:dyDescent="0.2">
      <c r="A517" s="8" t="str">
        <f ca="1">IFERROR(__xludf.DUMMYFUNCTION("""COMPUTED_VALUE"""),"20231218INEGH")</f>
        <v>20231218INEGH</v>
      </c>
      <c r="B517" s="8">
        <f ca="1">IFERROR(__xludf.DUMMYFUNCTION("""COMPUTED_VALUE"""),12)</f>
        <v>12</v>
      </c>
      <c r="C517" s="8">
        <f ca="1">IFERROR(__xludf.DUMMYFUNCTION("""COMPUTED_VALUE"""),18)</f>
        <v>18</v>
      </c>
      <c r="D517" s="8">
        <f ca="1">IFERROR(__xludf.DUMMYFUNCTION("""COMPUTED_VALUE"""),2023)</f>
        <v>2023</v>
      </c>
      <c r="E517" s="9">
        <f ca="1">IFERROR(__xludf.DUMMYFUNCTION("""COMPUTED_VALUE"""),45278)</f>
        <v>45278</v>
      </c>
      <c r="F517" s="8" t="str">
        <f ca="1">IFERROR(__xludf.DUMMYFUNCTION("""COMPUTED_VALUE"""),"Eggers Middle School")</f>
        <v>Eggers Middle School</v>
      </c>
      <c r="G517" s="8">
        <f ca="1">IFERROR(__xludf.DUMMYFUNCTION("""COMPUTED_VALUE"""),0)</f>
        <v>0</v>
      </c>
      <c r="H517" s="8">
        <f ca="1">IFERROR(__xludf.DUMMYFUNCTION("""COMPUTED_VALUE"""),0)</f>
        <v>0</v>
      </c>
      <c r="I517" s="8">
        <f ca="1">IFERROR(__xludf.DUMMYFUNCTION("""COMPUTED_VALUE"""),0)</f>
        <v>0</v>
      </c>
      <c r="J517" s="8">
        <f ca="1">IFERROR(__xludf.DUMMYFUNCTION("""COMPUTED_VALUE"""),0)</f>
        <v>0</v>
      </c>
      <c r="K517" s="10" t="str">
        <f ca="1">IFERROR(__xludf.DUMMYFUNCTION("""COMPUTED_VALUE"""),"https://www.nwitimes.com/news/local/crime-courts/gun-fired-inside-eggers-middle-school/article_66b8bb88-9de6-11ee-90ec-2bf171a723f3.html")</f>
        <v>https://www.nwitimes.com/news/local/crime-courts/gun-fired-inside-eggers-middle-school/article_66b8bb88-9de6-11ee-90ec-2bf171a723f3.html</v>
      </c>
      <c r="L517" s="8">
        <f ca="1">IFERROR(__xludf.DUMMYFUNCTION("""COMPUTED_VALUE"""),3)</f>
        <v>3</v>
      </c>
      <c r="M517" s="8" t="str">
        <f ca="1">IFERROR(__xludf.DUMMYFUNCTION("""COMPUTED_VALUE"""),"Local")</f>
        <v>Local</v>
      </c>
      <c r="N517" s="8">
        <f ca="1">IFERROR(__xludf.DUMMYFUNCTION("""COMPUTED_VALUE"""),4)</f>
        <v>4</v>
      </c>
      <c r="O517" s="8" t="str">
        <f ca="1">IFERROR(__xludf.DUMMYFUNCTION("""COMPUTED_VALUE"""),"Winter")</f>
        <v>Winter</v>
      </c>
      <c r="P517" s="8" t="str">
        <f ca="1">IFERROR(__xludf.DUMMYFUNCTION("""COMPUTED_VALUE"""),"Hammond")</f>
        <v>Hammond</v>
      </c>
      <c r="Q517" s="8" t="str">
        <f ca="1">IFERROR(__xludf.DUMMYFUNCTION("""COMPUTED_VALUE"""),"IN")</f>
        <v>IN</v>
      </c>
      <c r="R517" s="8" t="str">
        <f ca="1">IFERROR(__xludf.DUMMYFUNCTION("""COMPUTED_VALUE"""),"Middle")</f>
        <v>Middle</v>
      </c>
      <c r="S517" s="8" t="str">
        <f ca="1">IFERROR(__xludf.DUMMYFUNCTION("""COMPUTED_VALUE"""),"Hallway")</f>
        <v>Hallway</v>
      </c>
      <c r="T517" s="8" t="str">
        <f ca="1">IFERROR(__xludf.DUMMYFUNCTION("""COMPUTED_VALUE"""),"Inside School Building")</f>
        <v>Inside School Building</v>
      </c>
      <c r="U517" s="8" t="str">
        <f ca="1">IFERROR(__xludf.DUMMYFUNCTION("""COMPUTED_VALUE"""),"Yes")</f>
        <v>Yes</v>
      </c>
      <c r="V517" s="8" t="str">
        <f ca="1">IFERROR(__xludf.DUMMYFUNCTION("""COMPUTED_VALUE"""),"Afternoon Classes")</f>
        <v>Afternoon Classes</v>
      </c>
      <c r="W517" s="8"/>
      <c r="X517" s="8">
        <f ca="1">IFERROR(__xludf.DUMMYFUNCTION("""COMPUTED_VALUE"""),1)</f>
        <v>1</v>
      </c>
      <c r="Y517" s="12" t="str">
        <f ca="1">IFERROR(__xludf.DUMMYFUNCTION("""COMPUTED_VALUE"""),"Student fired SRO's weapon during struggle")</f>
        <v>Student fired SRO's weapon during struggle</v>
      </c>
      <c r="Z517" s="12" t="str">
        <f ca="1">IFERROR(__xludf.DUMMYFUNCTION("""COMPUTED_VALUE"""),"According to School City of Hammond spokesperson Nathaniel George V, a school administrator noticed two students roaming the hallways. Both students were escorted to the school's main office by security staff. One of the students, identified by Hammond po"&amp;"lice as a 14-year-old female, had a mental health episode. According to Hammond Police Lt. Steven Kellogg, efforts were then made by an SRO to bring the child back into the school's main office. The student managed to reach her finger into the officer's d"&amp;"uty belt and pull the trigger of the weapon, according to Kellogg. The bullet hit a wall within the office, getting lodged into a supply cabinet.")</f>
        <v>According to School City of Hammond spokesperson Nathaniel George V, a school administrator noticed two students roaming the hallways. Both students were escorted to the school's main office by security staff. One of the students, identified by Hammond police as a 14-year-old female, had a mental health episode. According to Hammond Police Lt. Steven Kellogg, efforts were then made by an SRO to bring the child back into the school's main office. The student managed to reach her finger into the officer's duty belt and pull the trigger of the weapon, according to Kellogg. The bullet hit a wall within the office, getting lodged into a supply cabinet.</v>
      </c>
      <c r="AA517" s="8"/>
      <c r="AB517" s="8" t="str">
        <f ca="1">IFERROR(__xludf.DUMMYFUNCTION("""COMPUTED_VALUE"""),"Spontaneous")</f>
        <v>Spontaneous</v>
      </c>
      <c r="AC517" s="8" t="str">
        <f ca="1">IFERROR(__xludf.DUMMYFUNCTION("""COMPUTED_VALUE"""),"Yes")</f>
        <v>Yes</v>
      </c>
      <c r="AD517" s="8" t="str">
        <f ca="1">IFERROR(__xludf.DUMMYFUNCTION("""COMPUTED_VALUE"""),"Neither")</f>
        <v>Neither</v>
      </c>
      <c r="AE517" s="8" t="str">
        <f ca="1">IFERROR(__xludf.DUMMYFUNCTION("""COMPUTED_VALUE"""),"No")</f>
        <v>No</v>
      </c>
      <c r="AF517" s="8"/>
      <c r="AG517" s="8" t="str">
        <f ca="1">IFERROR(__xludf.DUMMYFUNCTION("""COMPUTED_VALUE"""),"No")</f>
        <v>No</v>
      </c>
      <c r="AH517" s="8" t="str">
        <f ca="1">IFERROR(__xludf.DUMMYFUNCTION("""COMPUTED_VALUE"""),"No")</f>
        <v>No</v>
      </c>
      <c r="AI517" s="8" t="str">
        <f ca="1">IFERROR(__xludf.DUMMYFUNCTION("""COMPUTED_VALUE"""),"No")</f>
        <v>No</v>
      </c>
      <c r="AJ517" s="8" t="str">
        <f ca="1">IFERROR(__xludf.DUMMYFUNCTION("""COMPUTED_VALUE"""),"No")</f>
        <v>No</v>
      </c>
      <c r="AK517" s="8" t="str">
        <f ca="1">IFERROR(__xludf.DUMMYFUNCTION("""COMPUTED_VALUE"""),"No")</f>
        <v>No</v>
      </c>
      <c r="AL517" s="8" t="str">
        <f ca="1">IFERROR(__xludf.DUMMYFUNCTION("""COMPUTED_VALUE"""),"No")</f>
        <v>No</v>
      </c>
      <c r="AM517" s="8" t="str">
        <f ca="1">IFERROR(__xludf.DUMMYFUNCTION("""COMPUTED_VALUE"""),"No")</f>
        <v>No</v>
      </c>
      <c r="AN517" s="8" t="str">
        <f ca="1">IFERROR(__xludf.DUMMYFUNCTION("""COMPUTED_VALUE"""),"Outside")</f>
        <v>Outside</v>
      </c>
      <c r="AO517" s="8" t="str">
        <f ca="1">IFERROR(__xludf.DUMMYFUNCTION("""COMPUTED_VALUE"""),"No")</f>
        <v>No</v>
      </c>
      <c r="AP517" s="8" t="str">
        <f ca="1">IFERROR(__xludf.DUMMYFUNCTION("""COMPUTED_VALUE"""),"Yes")</f>
        <v>Yes</v>
      </c>
      <c r="AQ517" s="8" t="str">
        <f ca="1">IFERROR(__xludf.DUMMYFUNCTION("""COMPUTED_VALUE"""),"Armed Guards")</f>
        <v>Armed Guards</v>
      </c>
      <c r="AR517" s="8"/>
      <c r="AS517" s="8">
        <f ca="1">IFERROR(__xludf.DUMMYFUNCTION("""COMPUTED_VALUE"""),1)</f>
        <v>1</v>
      </c>
      <c r="AT517" s="8" t="str">
        <f ca="1">IFERROR(__xludf.DUMMYFUNCTION("""COMPUTED_VALUE"""),"Yes")</f>
        <v>Yes</v>
      </c>
      <c r="AU517" s="8">
        <f ca="1">IFERROR(__xludf.DUMMYFUNCTION("""COMPUTED_VALUE"""),41.606812)</f>
        <v>41.606811999999998</v>
      </c>
      <c r="AV517" s="8">
        <f ca="1">IFERROR(__xludf.DUMMYFUNCTION("""COMPUTED_VALUE"""),-87.516267)</f>
        <v>-87.516266999999999</v>
      </c>
      <c r="AW517" s="8"/>
      <c r="AX517" s="8">
        <f ca="1">IFERROR(__xludf.DUMMYFUNCTION("""COMPUTED_VALUE"""),46320)</f>
        <v>46320</v>
      </c>
    </row>
    <row r="518" spans="1:50" ht="135" x14ac:dyDescent="0.2">
      <c r="A518" s="8" t="str">
        <f ca="1">IFERROR(__xludf.DUMMYFUNCTION("""COMPUTED_VALUE"""),"20231215CAPAP")</f>
        <v>20231215CAPAP</v>
      </c>
      <c r="B518" s="8">
        <f ca="1">IFERROR(__xludf.DUMMYFUNCTION("""COMPUTED_VALUE"""),12)</f>
        <v>12</v>
      </c>
      <c r="C518" s="8">
        <f ca="1">IFERROR(__xludf.DUMMYFUNCTION("""COMPUTED_VALUE"""),15)</f>
        <v>15</v>
      </c>
      <c r="D518" s="8">
        <f ca="1">IFERROR(__xludf.DUMMYFUNCTION("""COMPUTED_VALUE"""),2023)</f>
        <v>2023</v>
      </c>
      <c r="E518" s="9">
        <f ca="1">IFERROR(__xludf.DUMMYFUNCTION("""COMPUTED_VALUE"""),45275)</f>
        <v>45275</v>
      </c>
      <c r="F518" s="8" t="str">
        <f ca="1">IFERROR(__xludf.DUMMYFUNCTION("""COMPUTED_VALUE"""),"Palo Alto High School")</f>
        <v>Palo Alto High School</v>
      </c>
      <c r="G518" s="8">
        <f ca="1">IFERROR(__xludf.DUMMYFUNCTION("""COMPUTED_VALUE"""),0)</f>
        <v>0</v>
      </c>
      <c r="H518" s="8">
        <f ca="1">IFERROR(__xludf.DUMMYFUNCTION("""COMPUTED_VALUE"""),0)</f>
        <v>0</v>
      </c>
      <c r="I518" s="8">
        <f ca="1">IFERROR(__xludf.DUMMYFUNCTION("""COMPUTED_VALUE"""),0)</f>
        <v>0</v>
      </c>
      <c r="J518" s="8">
        <f ca="1">IFERROR(__xludf.DUMMYFUNCTION("""COMPUTED_VALUE"""),0)</f>
        <v>0</v>
      </c>
      <c r="K518" s="10" t="str">
        <f ca="1">IFERROR(__xludf.DUMMYFUNCTION("""COMPUTED_VALUE"""),"https://www.cbsnews.com/sanfrancisco/news/report-of-man-with-gun-put-palo-alto-high-on-lockdown/
https://www.mercurynews.com/2023/12/14/armed-man-spotted-near-palo-alto-high-school-campus-under-shelter-in-place-order/")</f>
        <v>https://www.cbsnews.com/sanfrancisco/news/report-of-man-with-gun-put-palo-alto-high-on-lockdown/
https://www.mercurynews.com/2023/12/14/armed-man-spotted-near-palo-alto-high-school-campus-under-shelter-in-place-order/</v>
      </c>
      <c r="L518" s="8">
        <f ca="1">IFERROR(__xludf.DUMMYFUNCTION("""COMPUTED_VALUE"""),2)</f>
        <v>2</v>
      </c>
      <c r="M518" s="8" t="str">
        <f ca="1">IFERROR(__xludf.DUMMYFUNCTION("""COMPUTED_VALUE"""),"Local")</f>
        <v>Local</v>
      </c>
      <c r="N518" s="8">
        <f ca="1">IFERROR(__xludf.DUMMYFUNCTION("""COMPUTED_VALUE"""),3)</f>
        <v>3</v>
      </c>
      <c r="O518" s="8" t="str">
        <f ca="1">IFERROR(__xludf.DUMMYFUNCTION("""COMPUTED_VALUE"""),"Winter")</f>
        <v>Winter</v>
      </c>
      <c r="P518" s="8" t="str">
        <f ca="1">IFERROR(__xludf.DUMMYFUNCTION("""COMPUTED_VALUE"""),"Palo Alto")</f>
        <v>Palo Alto</v>
      </c>
      <c r="Q518" s="8" t="str">
        <f ca="1">IFERROR(__xludf.DUMMYFUNCTION("""COMPUTED_VALUE"""),"CA")</f>
        <v>CA</v>
      </c>
      <c r="R518" s="8" t="str">
        <f ca="1">IFERROR(__xludf.DUMMYFUNCTION("""COMPUTED_VALUE"""),"High")</f>
        <v>High</v>
      </c>
      <c r="S518" s="8" t="str">
        <f ca="1">IFERROR(__xludf.DUMMYFUNCTION("""COMPUTED_VALUE"""),"Outside on School Property")</f>
        <v>Outside on School Property</v>
      </c>
      <c r="T518" s="8" t="str">
        <f ca="1">IFERROR(__xludf.DUMMYFUNCTION("""COMPUTED_VALUE"""),"Outside on School Property")</f>
        <v>Outside on School Property</v>
      </c>
      <c r="U518" s="8" t="str">
        <f ca="1">IFERROR(__xludf.DUMMYFUNCTION("""COMPUTED_VALUE"""),"Yes")</f>
        <v>Yes</v>
      </c>
      <c r="V518" s="8" t="str">
        <f ca="1">IFERROR(__xludf.DUMMYFUNCTION("""COMPUTED_VALUE"""),"Morning Classes")</f>
        <v>Morning Classes</v>
      </c>
      <c r="W518" s="11">
        <f ca="1">IFERROR(__xludf.DUMMYFUNCTION("""COMPUTED_VALUE"""),0.479166666666666)</f>
        <v>0.47916666666666602</v>
      </c>
      <c r="X518" s="8">
        <f ca="1">IFERROR(__xludf.DUMMYFUNCTION("""COMPUTED_VALUE"""),1)</f>
        <v>1</v>
      </c>
      <c r="Y518" s="12" t="str">
        <f ca="1">IFERROR(__xludf.DUMMYFUNCTION("""COMPUTED_VALUE"""),"School went on lockdown when man brandished gun near classroom buildings and athletic field")</f>
        <v>School went on lockdown when man brandished gun near classroom buildings and athletic field</v>
      </c>
      <c r="Z518" s="12" t="str">
        <f ca="1">IFERROR(__xludf.DUMMYFUNCTION("""COMPUTED_VALUE"""),"Police began investigating a report of a man with a handgun near Palo Alto High at about 11:30 a.m. The suspect was on a bike path behind the school and was seen brandishing a gun at passing cars on Alma Street. Police placed the school on lockdown as off"&amp;"icers responded to investigate the report. The shelter-in-place order was lifted at 12:15 p.m. Police said the campus itself was checked and cleared, but officers were planning to stay in the area out of an abundance of caution.  ")</f>
        <v xml:space="preserve">Police began investigating a report of a man with a handgun near Palo Alto High at about 11:30 a.m. The suspect was on a bike path behind the school and was seen brandishing a gun at passing cars on Alma Street. Police placed the school on lockdown as officers responded to investigate the report. The shelter-in-place order was lifted at 12:15 p.m. Police said the campus itself was checked and cleared, but officers were planning to stay in the area out of an abundance of caution.  </v>
      </c>
      <c r="AA518" s="8"/>
      <c r="AB518" s="8"/>
      <c r="AC518" s="8" t="str">
        <f ca="1">IFERROR(__xludf.DUMMYFUNCTION("""COMPUTED_VALUE"""),"Yes")</f>
        <v>Yes</v>
      </c>
      <c r="AD518" s="8" t="str">
        <f ca="1">IFERROR(__xludf.DUMMYFUNCTION("""COMPUTED_VALUE"""),"Neither")</f>
        <v>Neither</v>
      </c>
      <c r="AE518" s="8" t="str">
        <f ca="1">IFERROR(__xludf.DUMMYFUNCTION("""COMPUTED_VALUE"""),"No")</f>
        <v>No</v>
      </c>
      <c r="AF518" s="8"/>
      <c r="AG518" s="8" t="str">
        <f ca="1">IFERROR(__xludf.DUMMYFUNCTION("""COMPUTED_VALUE"""),"No")</f>
        <v>No</v>
      </c>
      <c r="AH518" s="8" t="str">
        <f ca="1">IFERROR(__xludf.DUMMYFUNCTION("""COMPUTED_VALUE"""),"No")</f>
        <v>No</v>
      </c>
      <c r="AI518" s="8" t="str">
        <f ca="1">IFERROR(__xludf.DUMMYFUNCTION("""COMPUTED_VALUE"""),"No")</f>
        <v>No</v>
      </c>
      <c r="AJ518" s="8" t="str">
        <f ca="1">IFERROR(__xludf.DUMMYFUNCTION("""COMPUTED_VALUE"""),"No")</f>
        <v>No</v>
      </c>
      <c r="AK518" s="8" t="str">
        <f ca="1">IFERROR(__xludf.DUMMYFUNCTION("""COMPUTED_VALUE"""),"No")</f>
        <v>No</v>
      </c>
      <c r="AL518" s="8" t="str">
        <f ca="1">IFERROR(__xludf.DUMMYFUNCTION("""COMPUTED_VALUE"""),"No")</f>
        <v>No</v>
      </c>
      <c r="AM518" s="8" t="str">
        <f ca="1">IFERROR(__xludf.DUMMYFUNCTION("""COMPUTED_VALUE"""),"No")</f>
        <v>No</v>
      </c>
      <c r="AN518" s="8" t="str">
        <f ca="1">IFERROR(__xludf.DUMMYFUNCTION("""COMPUTED_VALUE"""),"Outside")</f>
        <v>Outside</v>
      </c>
      <c r="AO518" s="8" t="str">
        <f ca="1">IFERROR(__xludf.DUMMYFUNCTION("""COMPUTED_VALUE"""),"No")</f>
        <v>No</v>
      </c>
      <c r="AP518" s="8"/>
      <c r="AQ518" s="8"/>
      <c r="AR518" s="8" t="str">
        <f ca="1">IFERROR(__xludf.DUMMYFUNCTION("""COMPUTED_VALUE"""),"Outside/Off-Property")</f>
        <v>Outside/Off-Property</v>
      </c>
      <c r="AS518" s="8">
        <f ca="1">IFERROR(__xludf.DUMMYFUNCTION("""COMPUTED_VALUE"""),0)</f>
        <v>0</v>
      </c>
      <c r="AT518" s="8" t="str">
        <f ca="1">IFERROR(__xludf.DUMMYFUNCTION("""COMPUTED_VALUE"""),"Yes")</f>
        <v>Yes</v>
      </c>
      <c r="AU518" s="8">
        <f ca="1">IFERROR(__xludf.DUMMYFUNCTION("""COMPUTED_VALUE"""),37.436835)</f>
        <v>37.436835000000002</v>
      </c>
      <c r="AV518" s="8">
        <f ca="1">IFERROR(__xludf.DUMMYFUNCTION("""COMPUTED_VALUE"""),-122.154647)</f>
        <v>-122.154647</v>
      </c>
      <c r="AW518" s="8"/>
      <c r="AX518" s="8">
        <f ca="1">IFERROR(__xludf.DUMMYFUNCTION("""COMPUTED_VALUE"""),94301)</f>
        <v>94301</v>
      </c>
    </row>
    <row r="519" spans="1:50" ht="60" x14ac:dyDescent="0.2">
      <c r="A519" s="8" t="str">
        <f ca="1">IFERROR(__xludf.DUMMYFUNCTION("""COMPUTED_VALUE"""),"20231215TNLEN")</f>
        <v>20231215TNLEN</v>
      </c>
      <c r="B519" s="8">
        <f ca="1">IFERROR(__xludf.DUMMYFUNCTION("""COMPUTED_VALUE"""),12)</f>
        <v>12</v>
      </c>
      <c r="C519" s="8">
        <f ca="1">IFERROR(__xludf.DUMMYFUNCTION("""COMPUTED_VALUE"""),15)</f>
        <v>15</v>
      </c>
      <c r="D519" s="8">
        <f ca="1">IFERROR(__xludf.DUMMYFUNCTION("""COMPUTED_VALUE"""),2023)</f>
        <v>2023</v>
      </c>
      <c r="E519" s="9">
        <f ca="1">IFERROR(__xludf.DUMMYFUNCTION("""COMPUTED_VALUE"""),45275)</f>
        <v>45275</v>
      </c>
      <c r="F519" s="8" t="str">
        <f ca="1">IFERROR(__xludf.DUMMYFUNCTION("""COMPUTED_VALUE"""),"LEAD Brick Church School")</f>
        <v>LEAD Brick Church School</v>
      </c>
      <c r="G519" s="8">
        <f ca="1">IFERROR(__xludf.DUMMYFUNCTION("""COMPUTED_VALUE"""),0)</f>
        <v>0</v>
      </c>
      <c r="H519" s="8">
        <f ca="1">IFERROR(__xludf.DUMMYFUNCTION("""COMPUTED_VALUE"""),0)</f>
        <v>0</v>
      </c>
      <c r="I519" s="8">
        <f ca="1">IFERROR(__xludf.DUMMYFUNCTION("""COMPUTED_VALUE"""),0)</f>
        <v>0</v>
      </c>
      <c r="J519" s="8">
        <f ca="1">IFERROR(__xludf.DUMMYFUNCTION("""COMPUTED_VALUE"""),0)</f>
        <v>0</v>
      </c>
      <c r="K519" s="8" t="str">
        <f ca="1">IFERROR(__xludf.DUMMYFUNCTION("""COMPUTED_VALUE"""),"https://www.wsmv.com/2023/12/16/shots-fired-outside-basketball-game-lead-brick-church-school/
https://www.wsmv.com/video/2023/12/16/shooting-middle-school-basketball-game/")</f>
        <v>https://www.wsmv.com/2023/12/16/shots-fired-outside-basketball-game-lead-brick-church-school/
https://www.wsmv.com/video/2023/12/16/shooting-middle-school-basketball-game/</v>
      </c>
      <c r="L519" s="8">
        <f ca="1">IFERROR(__xludf.DUMMYFUNCTION("""COMPUTED_VALUE"""),5)</f>
        <v>5</v>
      </c>
      <c r="M519" s="8" t="str">
        <f ca="1">IFERROR(__xludf.DUMMYFUNCTION("""COMPUTED_VALUE"""),"Local")</f>
        <v>Local</v>
      </c>
      <c r="N519" s="8">
        <f ca="1">IFERROR(__xludf.DUMMYFUNCTION("""COMPUTED_VALUE"""),4)</f>
        <v>4</v>
      </c>
      <c r="O519" s="8" t="str">
        <f ca="1">IFERROR(__xludf.DUMMYFUNCTION("""COMPUTED_VALUE"""),"Winter")</f>
        <v>Winter</v>
      </c>
      <c r="P519" s="8" t="str">
        <f ca="1">IFERROR(__xludf.DUMMYFUNCTION("""COMPUTED_VALUE"""),"Nashville")</f>
        <v>Nashville</v>
      </c>
      <c r="Q519" s="8" t="str">
        <f ca="1">IFERROR(__xludf.DUMMYFUNCTION("""COMPUTED_VALUE"""),"TN")</f>
        <v>TN</v>
      </c>
      <c r="R519" s="8" t="str">
        <f ca="1">IFERROR(__xludf.DUMMYFUNCTION("""COMPUTED_VALUE"""),"Middle")</f>
        <v>Middle</v>
      </c>
      <c r="S519" s="8" t="str">
        <f ca="1">IFERROR(__xludf.DUMMYFUNCTION("""COMPUTED_VALUE"""),"Parking Lot")</f>
        <v>Parking Lot</v>
      </c>
      <c r="T519" s="8" t="str">
        <f ca="1">IFERROR(__xludf.DUMMYFUNCTION("""COMPUTED_VALUE"""),"Outside on School Property")</f>
        <v>Outside on School Property</v>
      </c>
      <c r="U519" s="8" t="str">
        <f ca="1">IFERROR(__xludf.DUMMYFUNCTION("""COMPUTED_VALUE"""),"No")</f>
        <v>No</v>
      </c>
      <c r="V519" s="8" t="str">
        <f ca="1">IFERROR(__xludf.DUMMYFUNCTION("""COMPUTED_VALUE"""),"Sport Event")</f>
        <v>Sport Event</v>
      </c>
      <c r="W519" s="11">
        <f ca="1">IFERROR(__xludf.DUMMYFUNCTION("""COMPUTED_VALUE"""),0.881944444444444)</f>
        <v>0.88194444444444398</v>
      </c>
      <c r="X519" s="8">
        <f ca="1">IFERROR(__xludf.DUMMYFUNCTION("""COMPUTED_VALUE"""),1)</f>
        <v>1</v>
      </c>
      <c r="Y519" s="12" t="str">
        <f ca="1">IFERROR(__xludf.DUMMYFUNCTION("""COMPUTED_VALUE"""),"Shots fired during fight during middle school basketball game")</f>
        <v>Shots fired during fight during middle school basketball game</v>
      </c>
      <c r="Z519" s="12" t="str">
        <f ca="1">IFERROR(__xludf.DUMMYFUNCTION("""COMPUTED_VALUE"""),"Officers were dispatched to LEAD Brick Church at 9:10 p.m. after a report of shots fired. Officers arrived and determined that shots were fired and no one was struck after a fight had occurred in the parking lot of the school.")</f>
        <v>Officers were dispatched to LEAD Brick Church at 9:10 p.m. after a report of shots fired. Officers arrived and determined that shots were fired and no one was struck after a fight had occurred in the parking lot of the school.</v>
      </c>
      <c r="AA519" s="8" t="str">
        <f ca="1">IFERROR(__xludf.DUMMYFUNCTION("""COMPUTED_VALUE"""),"Escalation of Dispute")</f>
        <v>Escalation of Dispute</v>
      </c>
      <c r="AB519" s="8" t="str">
        <f ca="1">IFERROR(__xludf.DUMMYFUNCTION("""COMPUTED_VALUE"""),"Spontaneous")</f>
        <v>Spontaneous</v>
      </c>
      <c r="AC519" s="8" t="str">
        <f ca="1">IFERROR(__xludf.DUMMYFUNCTION("""COMPUTED_VALUE"""),"Yes")</f>
        <v>Yes</v>
      </c>
      <c r="AD519" s="8" t="str">
        <f ca="1">IFERROR(__xludf.DUMMYFUNCTION("""COMPUTED_VALUE"""),"Victims Targeted")</f>
        <v>Victims Targeted</v>
      </c>
      <c r="AE519" s="8" t="str">
        <f ca="1">IFERROR(__xludf.DUMMYFUNCTION("""COMPUTED_VALUE"""),"No")</f>
        <v>No</v>
      </c>
      <c r="AF519" s="8"/>
      <c r="AG519" s="8" t="str">
        <f ca="1">IFERROR(__xludf.DUMMYFUNCTION("""COMPUTED_VALUE"""),"No")</f>
        <v>No</v>
      </c>
      <c r="AH519" s="8" t="str">
        <f ca="1">IFERROR(__xludf.DUMMYFUNCTION("""COMPUTED_VALUE"""),"No")</f>
        <v>No</v>
      </c>
      <c r="AI519" s="8" t="str">
        <f ca="1">IFERROR(__xludf.DUMMYFUNCTION("""COMPUTED_VALUE"""),"No")</f>
        <v>No</v>
      </c>
      <c r="AJ519" s="8" t="str">
        <f ca="1">IFERROR(__xludf.DUMMYFUNCTION("""COMPUTED_VALUE"""),"No")</f>
        <v>No</v>
      </c>
      <c r="AK519" s="8" t="str">
        <f ca="1">IFERROR(__xludf.DUMMYFUNCTION("""COMPUTED_VALUE"""),"No")</f>
        <v>No</v>
      </c>
      <c r="AL519" s="8" t="str">
        <f ca="1">IFERROR(__xludf.DUMMYFUNCTION("""COMPUTED_VALUE"""),"No")</f>
        <v>No</v>
      </c>
      <c r="AM519" s="8" t="str">
        <f ca="1">IFERROR(__xludf.DUMMYFUNCTION("""COMPUTED_VALUE"""),"No")</f>
        <v>No</v>
      </c>
      <c r="AN519" s="8" t="str">
        <f ca="1">IFERROR(__xludf.DUMMYFUNCTION("""COMPUTED_VALUE"""),"Outside")</f>
        <v>Outside</v>
      </c>
      <c r="AO519" s="8" t="str">
        <f ca="1">IFERROR(__xludf.DUMMYFUNCTION("""COMPUTED_VALUE"""),"No")</f>
        <v>No</v>
      </c>
      <c r="AP519" s="8"/>
      <c r="AQ519" s="8"/>
      <c r="AR519" s="8" t="str">
        <f ca="1">IFERROR(__xludf.DUMMYFUNCTION("""COMPUTED_VALUE"""),"Outside/Off-Property")</f>
        <v>Outside/Off-Property</v>
      </c>
      <c r="AS519" s="8">
        <f ca="1">IFERROR(__xludf.DUMMYFUNCTION("""COMPUTED_VALUE"""),99)</f>
        <v>99</v>
      </c>
      <c r="AT519" s="8"/>
      <c r="AU519" s="8">
        <f ca="1">IFERROR(__xludf.DUMMYFUNCTION("""COMPUTED_VALUE"""),36.219804)</f>
        <v>36.219804000000003</v>
      </c>
      <c r="AV519" s="8">
        <f ca="1">IFERROR(__xludf.DUMMYFUNCTION("""COMPUTED_VALUE"""),-86.78193)</f>
        <v>-86.781930000000003</v>
      </c>
      <c r="AW519" s="8"/>
      <c r="AX519" s="8">
        <f ca="1">IFERROR(__xludf.DUMMYFUNCTION("""COMPUTED_VALUE"""),37207)</f>
        <v>37207</v>
      </c>
    </row>
    <row r="520" spans="1:50" ht="60" x14ac:dyDescent="0.2">
      <c r="A520" s="8" t="str">
        <f ca="1">IFERROR(__xludf.DUMMYFUNCTION("""COMPUTED_VALUE"""),"20231213MIDED")</f>
        <v>20231213MIDED</v>
      </c>
      <c r="B520" s="8">
        <f ca="1">IFERROR(__xludf.DUMMYFUNCTION("""COMPUTED_VALUE"""),12)</f>
        <v>12</v>
      </c>
      <c r="C520" s="8">
        <f ca="1">IFERROR(__xludf.DUMMYFUNCTION("""COMPUTED_VALUE"""),13)</f>
        <v>13</v>
      </c>
      <c r="D520" s="8">
        <f ca="1">IFERROR(__xludf.DUMMYFUNCTION("""COMPUTED_VALUE"""),2023)</f>
        <v>2023</v>
      </c>
      <c r="E520" s="9">
        <f ca="1">IFERROR(__xludf.DUMMYFUNCTION("""COMPUTED_VALUE"""),45273)</f>
        <v>45273</v>
      </c>
      <c r="F520" s="8" t="str">
        <f ca="1">IFERROR(__xludf.DUMMYFUNCTION("""COMPUTED_VALUE"""),"Detroit Leadership Academy")</f>
        <v>Detroit Leadership Academy</v>
      </c>
      <c r="G520" s="8">
        <f ca="1">IFERROR(__xludf.DUMMYFUNCTION("""COMPUTED_VALUE"""),0)</f>
        <v>0</v>
      </c>
      <c r="H520" s="8">
        <f ca="1">IFERROR(__xludf.DUMMYFUNCTION("""COMPUTED_VALUE"""),0)</f>
        <v>0</v>
      </c>
      <c r="I520" s="8">
        <f ca="1">IFERROR(__xludf.DUMMYFUNCTION("""COMPUTED_VALUE"""),0)</f>
        <v>0</v>
      </c>
      <c r="J520" s="8">
        <f ca="1">IFERROR(__xludf.DUMMYFUNCTION("""COMPUTED_VALUE"""),0)</f>
        <v>0</v>
      </c>
      <c r="K520" s="8" t="str">
        <f ca="1">IFERROR(__xludf.DUMMYFUNCTION("""COMPUTED_VALUE"""),"https://www.clickondetroit.com/news/local/2023/12/13/shots-ring-out-inside-charter-school-classroom-on-detroits-west-side/
https://www.fox2detroit.com/news/detroit-high-school-steps-up-safety-measures-after-gun-accidentally-fired-inside-classroom")</f>
        <v>https://www.clickondetroit.com/news/local/2023/12/13/shots-ring-out-inside-charter-school-classroom-on-detroits-west-side/
https://www.fox2detroit.com/news/detroit-high-school-steps-up-safety-measures-after-gun-accidentally-fired-inside-classroom</v>
      </c>
      <c r="L520" s="8">
        <f ca="1">IFERROR(__xludf.DUMMYFUNCTION("""COMPUTED_VALUE"""),2)</f>
        <v>2</v>
      </c>
      <c r="M520" s="8" t="str">
        <f ca="1">IFERROR(__xludf.DUMMYFUNCTION("""COMPUTED_VALUE"""),"Local")</f>
        <v>Local</v>
      </c>
      <c r="N520" s="8">
        <f ca="1">IFERROR(__xludf.DUMMYFUNCTION("""COMPUTED_VALUE"""),4)</f>
        <v>4</v>
      </c>
      <c r="O520" s="8" t="str">
        <f ca="1">IFERROR(__xludf.DUMMYFUNCTION("""COMPUTED_VALUE"""),"Winter")</f>
        <v>Winter</v>
      </c>
      <c r="P520" s="8" t="str">
        <f ca="1">IFERROR(__xludf.DUMMYFUNCTION("""COMPUTED_VALUE"""),"Detroit")</f>
        <v>Detroit</v>
      </c>
      <c r="Q520" s="8" t="str">
        <f ca="1">IFERROR(__xludf.DUMMYFUNCTION("""COMPUTED_VALUE"""),"MI")</f>
        <v>MI</v>
      </c>
      <c r="R520" s="8" t="str">
        <f ca="1">IFERROR(__xludf.DUMMYFUNCTION("""COMPUTED_VALUE"""),"K-12")</f>
        <v>K-12</v>
      </c>
      <c r="S520" s="8" t="str">
        <f ca="1">IFERROR(__xludf.DUMMYFUNCTION("""COMPUTED_VALUE"""),"Classroom")</f>
        <v>Classroom</v>
      </c>
      <c r="T520" s="8" t="str">
        <f ca="1">IFERROR(__xludf.DUMMYFUNCTION("""COMPUTED_VALUE"""),"Inside School Building")</f>
        <v>Inside School Building</v>
      </c>
      <c r="U520" s="8" t="str">
        <f ca="1">IFERROR(__xludf.DUMMYFUNCTION("""COMPUTED_VALUE"""),"Yes")</f>
        <v>Yes</v>
      </c>
      <c r="V520" s="8" t="str">
        <f ca="1">IFERROR(__xludf.DUMMYFUNCTION("""COMPUTED_VALUE"""),"Afternoon Classes")</f>
        <v>Afternoon Classes</v>
      </c>
      <c r="W520" s="11">
        <f ca="1">IFERROR(__xludf.DUMMYFUNCTION("""COMPUTED_VALUE"""),0.558333333333333)</f>
        <v>0.55833333333333302</v>
      </c>
      <c r="X520" s="8">
        <f ca="1">IFERROR(__xludf.DUMMYFUNCTION("""COMPUTED_VALUE"""),1)</f>
        <v>1</v>
      </c>
      <c r="Y520" s="12" t="str">
        <f ca="1">IFERROR(__xludf.DUMMYFUNCTION("""COMPUTED_VALUE"""),"Student fired two shots at the chalkboard inside a classroom")</f>
        <v>Student fired two shots at the chalkboard inside a classroom</v>
      </c>
      <c r="Z520" s="12" t="str">
        <f ca="1">IFERROR(__xludf.DUMMYFUNCTION("""COMPUTED_VALUE"""),"15-year-old male student fired two shot inside a classroom striking the chalkboard. He passed the gun to a 14-year-old female student who hid it in her backpack. Both students were arrested.")</f>
        <v>15-year-old male student fired two shot inside a classroom striking the chalkboard. He passed the gun to a 14-year-old female student who hid it in her backpack. Both students were arrested.</v>
      </c>
      <c r="AA520" s="8" t="str">
        <f ca="1">IFERROR(__xludf.DUMMYFUNCTION("""COMPUTED_VALUE"""),"Accidental")</f>
        <v>Accidental</v>
      </c>
      <c r="AB520" s="8"/>
      <c r="AC520" s="8" t="str">
        <f ca="1">IFERROR(__xludf.DUMMYFUNCTION("""COMPUTED_VALUE"""),"Yes")</f>
        <v>Yes</v>
      </c>
      <c r="AD520" s="8"/>
      <c r="AE520" s="8" t="str">
        <f ca="1">IFERROR(__xludf.DUMMYFUNCTION("""COMPUTED_VALUE"""),"Yes")</f>
        <v>Yes</v>
      </c>
      <c r="AF520" s="8" t="str">
        <f ca="1">IFERROR(__xludf.DUMMYFUNCTION("""COMPUTED_VALUE"""),"Two students arrested")</f>
        <v>Two students arrested</v>
      </c>
      <c r="AG520" s="8" t="str">
        <f ca="1">IFERROR(__xludf.DUMMYFUNCTION("""COMPUTED_VALUE"""),"No")</f>
        <v>No</v>
      </c>
      <c r="AH520" s="8" t="str">
        <f ca="1">IFERROR(__xludf.DUMMYFUNCTION("""COMPUTED_VALUE"""),"No")</f>
        <v>No</v>
      </c>
      <c r="AI520" s="8" t="str">
        <f ca="1">IFERROR(__xludf.DUMMYFUNCTION("""COMPUTED_VALUE"""),"No")</f>
        <v>No</v>
      </c>
      <c r="AJ520" s="8" t="str">
        <f ca="1">IFERROR(__xludf.DUMMYFUNCTION("""COMPUTED_VALUE"""),"No")</f>
        <v>No</v>
      </c>
      <c r="AK520" s="8" t="str">
        <f ca="1">IFERROR(__xludf.DUMMYFUNCTION("""COMPUTED_VALUE"""),"No")</f>
        <v>No</v>
      </c>
      <c r="AL520" s="8" t="str">
        <f ca="1">IFERROR(__xludf.DUMMYFUNCTION("""COMPUTED_VALUE"""),"No")</f>
        <v>No</v>
      </c>
      <c r="AM520" s="8" t="str">
        <f ca="1">IFERROR(__xludf.DUMMYFUNCTION("""COMPUTED_VALUE"""),"No")</f>
        <v>No</v>
      </c>
      <c r="AN520" s="8" t="str">
        <f ca="1">IFERROR(__xludf.DUMMYFUNCTION("""COMPUTED_VALUE"""),"Single Room")</f>
        <v>Single Room</v>
      </c>
      <c r="AO520" s="8" t="str">
        <f ca="1">IFERROR(__xludf.DUMMYFUNCTION("""COMPUTED_VALUE"""),"No")</f>
        <v>No</v>
      </c>
      <c r="AP520" s="8"/>
      <c r="AQ520" s="8"/>
      <c r="AR520" s="8" t="str">
        <f ca="1">IFERROR(__xludf.DUMMYFUNCTION("""COMPUTED_VALUE"""),"Failed")</f>
        <v>Failed</v>
      </c>
      <c r="AS520" s="8">
        <f ca="1">IFERROR(__xludf.DUMMYFUNCTION("""COMPUTED_VALUE"""),2)</f>
        <v>2</v>
      </c>
      <c r="AT520" s="8" t="str">
        <f ca="1">IFERROR(__xludf.DUMMYFUNCTION("""COMPUTED_VALUE"""),"Yes")</f>
        <v>Yes</v>
      </c>
      <c r="AU520" s="8">
        <f ca="1">IFERROR(__xludf.DUMMYFUNCTION("""COMPUTED_VALUE"""),42.384327)</f>
        <v>42.384326999999999</v>
      </c>
      <c r="AV520" s="8">
        <f ca="1">IFERROR(__xludf.DUMMYFUNCTION("""COMPUTED_VALUE"""),-83.270738)</f>
        <v>-83.270737999999994</v>
      </c>
      <c r="AW520" s="8"/>
      <c r="AX520" s="8">
        <f ca="1">IFERROR(__xludf.DUMMYFUNCTION("""COMPUTED_VALUE"""),48214)</f>
        <v>48214</v>
      </c>
    </row>
    <row r="521" spans="1:50" ht="240" x14ac:dyDescent="0.2">
      <c r="A521" s="8" t="str">
        <f ca="1">IFERROR(__xludf.DUMMYFUNCTION("""COMPUTED_VALUE"""),"20231212MICOK")</f>
        <v>20231212MICOK</v>
      </c>
      <c r="B521" s="8">
        <f ca="1">IFERROR(__xludf.DUMMYFUNCTION("""COMPUTED_VALUE"""),12)</f>
        <v>12</v>
      </c>
      <c r="C521" s="8">
        <f ca="1">IFERROR(__xludf.DUMMYFUNCTION("""COMPUTED_VALUE"""),12)</f>
        <v>12</v>
      </c>
      <c r="D521" s="8">
        <f ca="1">IFERROR(__xludf.DUMMYFUNCTION("""COMPUTED_VALUE"""),2023)</f>
        <v>2023</v>
      </c>
      <c r="E521" s="9">
        <f ca="1">IFERROR(__xludf.DUMMYFUNCTION("""COMPUTED_VALUE"""),45272)</f>
        <v>45272</v>
      </c>
      <c r="F521" s="8" t="str">
        <f ca="1">IFERROR(__xludf.DUMMYFUNCTION("""COMPUTED_VALUE"""),"Comstock High School")</f>
        <v>Comstock High School</v>
      </c>
      <c r="G521" s="8">
        <f ca="1">IFERROR(__xludf.DUMMYFUNCTION("""COMPUTED_VALUE"""),0)</f>
        <v>0</v>
      </c>
      <c r="H521" s="8">
        <f ca="1">IFERROR(__xludf.DUMMYFUNCTION("""COMPUTED_VALUE"""),0)</f>
        <v>0</v>
      </c>
      <c r="I521" s="8">
        <f ca="1">IFERROR(__xludf.DUMMYFUNCTION("""COMPUTED_VALUE"""),0)</f>
        <v>0</v>
      </c>
      <c r="J521" s="8">
        <f ca="1">IFERROR(__xludf.DUMMYFUNCTION("""COMPUTED_VALUE"""),0)</f>
        <v>0</v>
      </c>
      <c r="K521" s="8" t="str">
        <f ca="1">IFERROR(__xludf.DUMMYFUNCTION("""COMPUTED_VALUE"""),"https://www.woodtv.com/news/kalamazoo-county/no-injuries-in-shots-fired-at-comstock-hs-district-says/
https://wwmt.com/news/local/comstock-shooting-high-school-no-injuries-police-respond-sheriffs-office-gun-lockdown-safety-local-michigan-kalamazoo-county")</f>
        <v>https://www.woodtv.com/news/kalamazoo-county/no-injuries-in-shots-fired-at-comstock-hs-district-says/
https://wwmt.com/news/local/comstock-shooting-high-school-no-injuries-police-respond-sheriffs-office-gun-lockdown-safety-local-michigan-kalamazoo-county</v>
      </c>
      <c r="L521" s="8">
        <f ca="1">IFERROR(__xludf.DUMMYFUNCTION("""COMPUTED_VALUE"""),5)</f>
        <v>5</v>
      </c>
      <c r="M521" s="8" t="str">
        <f ca="1">IFERROR(__xludf.DUMMYFUNCTION("""COMPUTED_VALUE"""),"Regional")</f>
        <v>Regional</v>
      </c>
      <c r="N521" s="8">
        <f ca="1">IFERROR(__xludf.DUMMYFUNCTION("""COMPUTED_VALUE"""),4)</f>
        <v>4</v>
      </c>
      <c r="O521" s="8" t="str">
        <f ca="1">IFERROR(__xludf.DUMMYFUNCTION("""COMPUTED_VALUE"""),"Winter")</f>
        <v>Winter</v>
      </c>
      <c r="P521" s="8" t="str">
        <f ca="1">IFERROR(__xludf.DUMMYFUNCTION("""COMPUTED_VALUE"""),"Kalamazoo")</f>
        <v>Kalamazoo</v>
      </c>
      <c r="Q521" s="8" t="str">
        <f ca="1">IFERROR(__xludf.DUMMYFUNCTION("""COMPUTED_VALUE"""),"MI")</f>
        <v>MI</v>
      </c>
      <c r="R521" s="8" t="str">
        <f ca="1">IFERROR(__xludf.DUMMYFUNCTION("""COMPUTED_VALUE"""),"High")</f>
        <v>High</v>
      </c>
      <c r="S521" s="8" t="str">
        <f ca="1">IFERROR(__xludf.DUMMYFUNCTION("""COMPUTED_VALUE"""),"Parking Lot")</f>
        <v>Parking Lot</v>
      </c>
      <c r="T521" s="8" t="str">
        <f ca="1">IFERROR(__xludf.DUMMYFUNCTION("""COMPUTED_VALUE"""),"Outside on School Property")</f>
        <v>Outside on School Property</v>
      </c>
      <c r="U521" s="8" t="str">
        <f ca="1">IFERROR(__xludf.DUMMYFUNCTION("""COMPUTED_VALUE"""),"No")</f>
        <v>No</v>
      </c>
      <c r="V521" s="8" t="str">
        <f ca="1">IFERROR(__xludf.DUMMYFUNCTION("""COMPUTED_VALUE"""),"Sport Event")</f>
        <v>Sport Event</v>
      </c>
      <c r="W521" s="11">
        <f ca="1">IFERROR(__xludf.DUMMYFUNCTION("""COMPUTED_VALUE"""),0.875)</f>
        <v>0.875</v>
      </c>
      <c r="X521" s="8">
        <f ca="1">IFERROR(__xludf.DUMMYFUNCTION("""COMPUTED_VALUE"""),1)</f>
        <v>1</v>
      </c>
      <c r="Y521" s="12" t="str">
        <f ca="1">IFERROR(__xludf.DUMMYFUNCTION("""COMPUTED_VALUE"""),"Shooting in parking lot during high school basketball game")</f>
        <v>Shooting in parking lot during high school basketball game</v>
      </c>
      <c r="Z521" s="12" t="str">
        <f ca="1">IFERROR(__xludf.DUMMYFUNCTION("""COMPUTED_VALUE"""),"No one was hurt when more than 30 gunshots were fired at the parking lot of Comstock High School Tuesday evening, officials say. The boys’ junior varsity and varsity basketball games against Lawrence High School were taking place in the gym. An argument b"&amp;"etween two groups of people started in the bleachers, escalating to the point that one group was kicked out, Kalamazoo County Sheriff Richard Fuller said. “It sounds like that they may have called for reinforcements, or they had gone to their vehicles, re"&amp;"trieved firearms,” Fuller said. “The other group that was on the other side of the argument was also going to be escorted out. But prior to that happening, the shots (were) fired in the parking lot by the original people that had been moved out of the sch"&amp;"ool.” Four guns were used, and at least 30 casings were found on scene, Fuller said. No one was hurt, though it is believed some vehicles may have been hit.")</f>
        <v>No one was hurt when more than 30 gunshots were fired at the parking lot of Comstock High School Tuesday evening, officials say. The boys’ junior varsity and varsity basketball games against Lawrence High School were taking place in the gym. An argument between two groups of people started in the bleachers, escalating to the point that one group was kicked out, Kalamazoo County Sheriff Richard Fuller said. “It sounds like that they may have called for reinforcements, or they had gone to their vehicles, retrieved firearms,” Fuller said. “The other group that was on the other side of the argument was also going to be escorted out. But prior to that happening, the shots (were) fired in the parking lot by the original people that had been moved out of the school.” Four guns were used, and at least 30 casings were found on scene, Fuller said. No one was hurt, though it is believed some vehicles may have been hit.</v>
      </c>
      <c r="AA521" s="8" t="str">
        <f ca="1">IFERROR(__xludf.DUMMYFUNCTION("""COMPUTED_VALUE"""),"Escalation of Dispute")</f>
        <v>Escalation of Dispute</v>
      </c>
      <c r="AB521" s="8" t="str">
        <f ca="1">IFERROR(__xludf.DUMMYFUNCTION("""COMPUTED_VALUE"""),"Spontaneous")</f>
        <v>Spontaneous</v>
      </c>
      <c r="AC521" s="8" t="str">
        <f ca="1">IFERROR(__xludf.DUMMYFUNCTION("""COMPUTED_VALUE"""),"Yes")</f>
        <v>Yes</v>
      </c>
      <c r="AD521" s="8" t="str">
        <f ca="1">IFERROR(__xludf.DUMMYFUNCTION("""COMPUTED_VALUE"""),"Victims Targeted")</f>
        <v>Victims Targeted</v>
      </c>
      <c r="AE521" s="8" t="str">
        <f ca="1">IFERROR(__xludf.DUMMYFUNCTION("""COMPUTED_VALUE"""),"No")</f>
        <v>No</v>
      </c>
      <c r="AF521" s="8"/>
      <c r="AG521" s="8" t="str">
        <f ca="1">IFERROR(__xludf.DUMMYFUNCTION("""COMPUTED_VALUE"""),"No")</f>
        <v>No</v>
      </c>
      <c r="AH521" s="8" t="str">
        <f ca="1">IFERROR(__xludf.DUMMYFUNCTION("""COMPUTED_VALUE"""),"No")</f>
        <v>No</v>
      </c>
      <c r="AI521" s="8" t="str">
        <f ca="1">IFERROR(__xludf.DUMMYFUNCTION("""COMPUTED_VALUE"""),"No")</f>
        <v>No</v>
      </c>
      <c r="AJ521" s="8" t="str">
        <f ca="1">IFERROR(__xludf.DUMMYFUNCTION("""COMPUTED_VALUE"""),"No")</f>
        <v>No</v>
      </c>
      <c r="AK521" s="8" t="str">
        <f ca="1">IFERROR(__xludf.DUMMYFUNCTION("""COMPUTED_VALUE"""),"No")</f>
        <v>No</v>
      </c>
      <c r="AL521" s="8" t="str">
        <f ca="1">IFERROR(__xludf.DUMMYFUNCTION("""COMPUTED_VALUE"""),"No")</f>
        <v>No</v>
      </c>
      <c r="AM521" s="8" t="str">
        <f ca="1">IFERROR(__xludf.DUMMYFUNCTION("""COMPUTED_VALUE"""),"No")</f>
        <v>No</v>
      </c>
      <c r="AN521" s="8" t="str">
        <f ca="1">IFERROR(__xludf.DUMMYFUNCTION("""COMPUTED_VALUE"""),"Outside")</f>
        <v>Outside</v>
      </c>
      <c r="AO521" s="8" t="str">
        <f ca="1">IFERROR(__xludf.DUMMYFUNCTION("""COMPUTED_VALUE"""),"No")</f>
        <v>No</v>
      </c>
      <c r="AP521" s="8"/>
      <c r="AQ521" s="8"/>
      <c r="AR521" s="8" t="str">
        <f ca="1">IFERROR(__xludf.DUMMYFUNCTION("""COMPUTED_VALUE"""),"Outside/Off-Property")</f>
        <v>Outside/Off-Property</v>
      </c>
      <c r="AS521" s="8">
        <f ca="1">IFERROR(__xludf.DUMMYFUNCTION("""COMPUTED_VALUE"""),30)</f>
        <v>30</v>
      </c>
      <c r="AT521" s="8"/>
      <c r="AU521" s="8">
        <f ca="1">IFERROR(__xludf.DUMMYFUNCTION("""COMPUTED_VALUE"""),42.307768)</f>
        <v>42.307768000000003</v>
      </c>
      <c r="AV521" s="8">
        <f ca="1">IFERROR(__xludf.DUMMYFUNCTION("""COMPUTED_VALUE"""),-85.518713)</f>
        <v>-85.518713000000005</v>
      </c>
      <c r="AW521" s="8"/>
      <c r="AX521" s="8">
        <f ca="1">IFERROR(__xludf.DUMMYFUNCTION("""COMPUTED_VALUE"""),49048)</f>
        <v>49048</v>
      </c>
    </row>
    <row r="522" spans="1:50" ht="75" x14ac:dyDescent="0.2">
      <c r="A522" s="8" t="str">
        <f ca="1">IFERROR(__xludf.DUMMYFUNCTION("""COMPUTED_VALUE"""),"20231211NYROQ")</f>
        <v>20231211NYROQ</v>
      </c>
      <c r="B522" s="8">
        <f ca="1">IFERROR(__xludf.DUMMYFUNCTION("""COMPUTED_VALUE"""),12)</f>
        <v>12</v>
      </c>
      <c r="C522" s="8">
        <f ca="1">IFERROR(__xludf.DUMMYFUNCTION("""COMPUTED_VALUE"""),11)</f>
        <v>11</v>
      </c>
      <c r="D522" s="8">
        <f ca="1">IFERROR(__xludf.DUMMYFUNCTION("""COMPUTED_VALUE"""),2023)</f>
        <v>2023</v>
      </c>
      <c r="E522" s="9">
        <f ca="1">IFERROR(__xludf.DUMMYFUNCTION("""COMPUTED_VALUE"""),45271)</f>
        <v>45271</v>
      </c>
      <c r="F522" s="8" t="str">
        <f ca="1">IFERROR(__xludf.DUMMYFUNCTION("""COMPUTED_VALUE"""),"Robert F. Kennedy Community School")</f>
        <v>Robert F. Kennedy Community School</v>
      </c>
      <c r="G522" s="8">
        <f ca="1">IFERROR(__xludf.DUMMYFUNCTION("""COMPUTED_VALUE"""),0)</f>
        <v>0</v>
      </c>
      <c r="H522" s="8">
        <f ca="1">IFERROR(__xludf.DUMMYFUNCTION("""COMPUTED_VALUE"""),0)</f>
        <v>0</v>
      </c>
      <c r="I522" s="8">
        <f ca="1">IFERROR(__xludf.DUMMYFUNCTION("""COMPUTED_VALUE"""),0)</f>
        <v>0</v>
      </c>
      <c r="J522" s="8">
        <f ca="1">IFERROR(__xludf.DUMMYFUNCTION("""COMPUTED_VALUE"""),0)</f>
        <v>0</v>
      </c>
      <c r="K522" s="10" t="str">
        <f ca="1">IFERROR(__xludf.DUMMYFUNCTION("""COMPUTED_VALUE"""),"https://qns.com/2023/12/man-sought-shooting-firearm-in-front-fresh-meadows-school-nypd/")</f>
        <v>https://qns.com/2023/12/man-sought-shooting-firearm-in-front-fresh-meadows-school-nypd/</v>
      </c>
      <c r="L522" s="8">
        <f ca="1">IFERROR(__xludf.DUMMYFUNCTION("""COMPUTED_VALUE"""),1)</f>
        <v>1</v>
      </c>
      <c r="M522" s="8" t="str">
        <f ca="1">IFERROR(__xludf.DUMMYFUNCTION("""COMPUTED_VALUE"""),"Local")</f>
        <v>Local</v>
      </c>
      <c r="N522" s="8">
        <f ca="1">IFERROR(__xludf.DUMMYFUNCTION("""COMPUTED_VALUE"""),4)</f>
        <v>4</v>
      </c>
      <c r="O522" s="8" t="str">
        <f ca="1">IFERROR(__xludf.DUMMYFUNCTION("""COMPUTED_VALUE"""),"Winter")</f>
        <v>Winter</v>
      </c>
      <c r="P522" s="8" t="str">
        <f ca="1">IFERROR(__xludf.DUMMYFUNCTION("""COMPUTED_VALUE"""),"Queens")</f>
        <v>Queens</v>
      </c>
      <c r="Q522" s="8" t="str">
        <f ca="1">IFERROR(__xludf.DUMMYFUNCTION("""COMPUTED_VALUE"""),"NY")</f>
        <v>NY</v>
      </c>
      <c r="R522" s="8" t="str">
        <f ca="1">IFERROR(__xludf.DUMMYFUNCTION("""COMPUTED_VALUE"""),"High")</f>
        <v>High</v>
      </c>
      <c r="S522" s="8" t="str">
        <f ca="1">IFERROR(__xludf.DUMMYFUNCTION("""COMPUTED_VALUE"""),"Front of School")</f>
        <v>Front of School</v>
      </c>
      <c r="T522" s="8" t="str">
        <f ca="1">IFERROR(__xludf.DUMMYFUNCTION("""COMPUTED_VALUE"""),"Outside on School Property")</f>
        <v>Outside on School Property</v>
      </c>
      <c r="U522" s="8" t="str">
        <f ca="1">IFERROR(__xludf.DUMMYFUNCTION("""COMPUTED_VALUE"""),"Yes")</f>
        <v>Yes</v>
      </c>
      <c r="V522" s="8" t="str">
        <f ca="1">IFERROR(__xludf.DUMMYFUNCTION("""COMPUTED_VALUE"""),"Dismissal")</f>
        <v>Dismissal</v>
      </c>
      <c r="W522" s="11">
        <f ca="1">IFERROR(__xludf.DUMMYFUNCTION("""COMPUTED_VALUE"""),0.645833333333333)</f>
        <v>0.64583333333333304</v>
      </c>
      <c r="X522" s="8">
        <f ca="1">IFERROR(__xludf.DUMMYFUNCTION("""COMPUTED_VALUE"""),1)</f>
        <v>1</v>
      </c>
      <c r="Y522" s="12" t="str">
        <f ca="1">IFERROR(__xludf.DUMMYFUNCTION("""COMPUTED_VALUE"""),"Teen fired shots in front of the school at dismissal and then fled")</f>
        <v>Teen fired shots in front of the school at dismissal and then fled</v>
      </c>
      <c r="Z522" s="12" t="str">
        <f ca="1">IFERROR(__xludf.DUMMYFUNCTION("""COMPUTED_VALUE"""),"The suspect was in front of I.S. 250, the Robert F. Kennedy Community School, at 75-40 Parsons Blvd just after 3:30 p.m. on Monday, Dec. 11, when he pulled out a handgun and fired multiple times before running off in an unknown direction. No one was injur"&amp;"ed in the gunfire.")</f>
        <v>The suspect was in front of I.S. 250, the Robert F. Kennedy Community School, at 75-40 Parsons Blvd just after 3:30 p.m. on Monday, Dec. 11, when he pulled out a handgun and fired multiple times before running off in an unknown direction. No one was injured in the gunfire.</v>
      </c>
      <c r="AA522" s="8"/>
      <c r="AB522" s="8"/>
      <c r="AC522" s="8" t="str">
        <f ca="1">IFERROR(__xludf.DUMMYFUNCTION("""COMPUTED_VALUE"""),"Yes")</f>
        <v>Yes</v>
      </c>
      <c r="AD522" s="8"/>
      <c r="AE522" s="8" t="str">
        <f ca="1">IFERROR(__xludf.DUMMYFUNCTION("""COMPUTED_VALUE"""),"No")</f>
        <v>No</v>
      </c>
      <c r="AF522" s="8"/>
      <c r="AG522" s="8" t="str">
        <f ca="1">IFERROR(__xludf.DUMMYFUNCTION("""COMPUTED_VALUE"""),"No")</f>
        <v>No</v>
      </c>
      <c r="AH522" s="8" t="str">
        <f ca="1">IFERROR(__xludf.DUMMYFUNCTION("""COMPUTED_VALUE"""),"No")</f>
        <v>No</v>
      </c>
      <c r="AI522" s="8" t="str">
        <f ca="1">IFERROR(__xludf.DUMMYFUNCTION("""COMPUTED_VALUE"""),"No")</f>
        <v>No</v>
      </c>
      <c r="AJ522" s="8" t="str">
        <f ca="1">IFERROR(__xludf.DUMMYFUNCTION("""COMPUTED_VALUE"""),"No")</f>
        <v>No</v>
      </c>
      <c r="AK522" s="8" t="str">
        <f ca="1">IFERROR(__xludf.DUMMYFUNCTION("""COMPUTED_VALUE"""),"No")</f>
        <v>No</v>
      </c>
      <c r="AL522" s="8" t="str">
        <f ca="1">IFERROR(__xludf.DUMMYFUNCTION("""COMPUTED_VALUE"""),"No")</f>
        <v>No</v>
      </c>
      <c r="AM522" s="8" t="str">
        <f ca="1">IFERROR(__xludf.DUMMYFUNCTION("""COMPUTED_VALUE"""),"No")</f>
        <v>No</v>
      </c>
      <c r="AN522" s="8" t="str">
        <f ca="1">IFERROR(__xludf.DUMMYFUNCTION("""COMPUTED_VALUE"""),"Outside")</f>
        <v>Outside</v>
      </c>
      <c r="AO522" s="8" t="str">
        <f ca="1">IFERROR(__xludf.DUMMYFUNCTION("""COMPUTED_VALUE"""),"No")</f>
        <v>No</v>
      </c>
      <c r="AP522" s="8"/>
      <c r="AQ522" s="8"/>
      <c r="AR522" s="8" t="str">
        <f ca="1">IFERROR(__xludf.DUMMYFUNCTION("""COMPUTED_VALUE"""),"Outside/Off-Property")</f>
        <v>Outside/Off-Property</v>
      </c>
      <c r="AS522" s="8">
        <f ca="1">IFERROR(__xludf.DUMMYFUNCTION("""COMPUTED_VALUE"""),99)</f>
        <v>99</v>
      </c>
      <c r="AT522" s="8" t="str">
        <f ca="1">IFERROR(__xludf.DUMMYFUNCTION("""COMPUTED_VALUE"""),"No")</f>
        <v>No</v>
      </c>
      <c r="AU522" s="8">
        <f ca="1">IFERROR(__xludf.DUMMYFUNCTION("""COMPUTED_VALUE"""),40.725483)</f>
        <v>40.725482999999997</v>
      </c>
      <c r="AV522" s="8">
        <f ca="1">IFERROR(__xludf.DUMMYFUNCTION("""COMPUTED_VALUE"""),-73.811117)</f>
        <v>-73.811116999999996</v>
      </c>
      <c r="AW522" s="8" t="str">
        <f ca="1">IFERROR(__xludf.DUMMYFUNCTION("""COMPUTED_VALUE"""),"Urban Street Standalone")</f>
        <v>Urban Street Standalone</v>
      </c>
      <c r="AX522" s="8">
        <f ca="1">IFERROR(__xludf.DUMMYFUNCTION("""COMPUTED_VALUE"""),11366)</f>
        <v>11366</v>
      </c>
    </row>
    <row r="523" spans="1:50" ht="180" x14ac:dyDescent="0.2">
      <c r="A523" s="8" t="str">
        <f ca="1">IFERROR(__xludf.DUMMYFUNCTION("""COMPUTED_VALUE"""),"20231208MONOS")</f>
        <v>20231208MONOS</v>
      </c>
      <c r="B523" s="8">
        <f ca="1">IFERROR(__xludf.DUMMYFUNCTION("""COMPUTED_VALUE"""),12)</f>
        <v>12</v>
      </c>
      <c r="C523" s="8">
        <f ca="1">IFERROR(__xludf.DUMMYFUNCTION("""COMPUTED_VALUE"""),8)</f>
        <v>8</v>
      </c>
      <c r="D523" s="8">
        <f ca="1">IFERROR(__xludf.DUMMYFUNCTION("""COMPUTED_VALUE"""),2023)</f>
        <v>2023</v>
      </c>
      <c r="E523" s="9">
        <f ca="1">IFERROR(__xludf.DUMMYFUNCTION("""COMPUTED_VALUE"""),45268)</f>
        <v>45268</v>
      </c>
      <c r="F523" s="8" t="str">
        <f ca="1">IFERROR(__xludf.DUMMYFUNCTION("""COMPUTED_VALUE"""),"Normandy High School")</f>
        <v>Normandy High School</v>
      </c>
      <c r="G523" s="8">
        <f ca="1">IFERROR(__xludf.DUMMYFUNCTION("""COMPUTED_VALUE"""),0)</f>
        <v>0</v>
      </c>
      <c r="H523" s="8">
        <f ca="1">IFERROR(__xludf.DUMMYFUNCTION("""COMPUTED_VALUE"""),1)</f>
        <v>1</v>
      </c>
      <c r="I523" s="8">
        <f ca="1">IFERROR(__xludf.DUMMYFUNCTION("""COMPUTED_VALUE"""),1)</f>
        <v>1</v>
      </c>
      <c r="J523" s="8">
        <f ca="1">IFERROR(__xludf.DUMMYFUNCTION("""COMPUTED_VALUE"""),0)</f>
        <v>0</v>
      </c>
      <c r="K523" s="10" t="str">
        <f ca="1">IFERROR(__xludf.DUMMYFUNCTION("""COMPUTED_VALUE"""),"https://www.ksdk.com/article/news/crime/normandy-high-school-meetup-shots-fired/63-c84ef949-e434-4531-b7e9-f6437222a98b")</f>
        <v>https://www.ksdk.com/article/news/crime/normandy-high-school-meetup-shots-fired/63-c84ef949-e434-4531-b7e9-f6437222a98b</v>
      </c>
      <c r="L523" s="8">
        <f ca="1">IFERROR(__xludf.DUMMYFUNCTION("""COMPUTED_VALUE"""),1)</f>
        <v>1</v>
      </c>
      <c r="M523" s="8" t="str">
        <f ca="1">IFERROR(__xludf.DUMMYFUNCTION("""COMPUTED_VALUE"""),"Local")</f>
        <v>Local</v>
      </c>
      <c r="N523" s="8">
        <f ca="1">IFERROR(__xludf.DUMMYFUNCTION("""COMPUTED_VALUE"""),4)</f>
        <v>4</v>
      </c>
      <c r="O523" s="8" t="str">
        <f ca="1">IFERROR(__xludf.DUMMYFUNCTION("""COMPUTED_VALUE"""),"Winter")</f>
        <v>Winter</v>
      </c>
      <c r="P523" s="8" t="str">
        <f ca="1">IFERROR(__xludf.DUMMYFUNCTION("""COMPUTED_VALUE"""),"St. Louis")</f>
        <v>St. Louis</v>
      </c>
      <c r="Q523" s="8" t="str">
        <f ca="1">IFERROR(__xludf.DUMMYFUNCTION("""COMPUTED_VALUE"""),"MO")</f>
        <v>MO</v>
      </c>
      <c r="R523" s="8" t="str">
        <f ca="1">IFERROR(__xludf.DUMMYFUNCTION("""COMPUTED_VALUE"""),"High")</f>
        <v>High</v>
      </c>
      <c r="S523" s="8" t="str">
        <f ca="1">IFERROR(__xludf.DUMMYFUNCTION("""COMPUTED_VALUE"""),"Parking Lot")</f>
        <v>Parking Lot</v>
      </c>
      <c r="T523" s="8" t="str">
        <f ca="1">IFERROR(__xludf.DUMMYFUNCTION("""COMPUTED_VALUE"""),"Outside on School Property")</f>
        <v>Outside on School Property</v>
      </c>
      <c r="U523" s="8" t="str">
        <f ca="1">IFERROR(__xludf.DUMMYFUNCTION("""COMPUTED_VALUE"""),"No")</f>
        <v>No</v>
      </c>
      <c r="V523" s="8" t="str">
        <f ca="1">IFERROR(__xludf.DUMMYFUNCTION("""COMPUTED_VALUE"""),"Night")</f>
        <v>Night</v>
      </c>
      <c r="W523" s="11">
        <f ca="1">IFERROR(__xludf.DUMMYFUNCTION("""COMPUTED_VALUE"""),0)</f>
        <v>0</v>
      </c>
      <c r="X523" s="8">
        <f ca="1">IFERROR(__xludf.DUMMYFUNCTION("""COMPUTED_VALUE"""),1)</f>
        <v>1</v>
      </c>
      <c r="Y523" s="12" t="str">
        <f ca="1">IFERROR(__xludf.DUMMYFUNCTION("""COMPUTED_VALUE"""),"Man fired shots into the air and then shot a woman in the leg during a dispute")</f>
        <v>Man fired shots into the air and then shot a woman in the leg during a dispute</v>
      </c>
      <c r="Z523" s="12" t="str">
        <f ca="1">IFERROR(__xludf.DUMMYFUNCTION("""COMPUTED_VALUE"""),"According to the St. Louis County Prosecuting Attorney's Office, 37-year-old Steven Brown of Pine Lawn met up with a woman to smoke together at about midnight on Dec. 8 at the high school on St. Charles Rock Road in Wellston. A fight ensued after Brown ma"&amp;"de unwanted sexual advances toward the woman. Charging documents say Brown pulled out a pistol. He fired a shot in the air before aiming the weapon near the woman's legs and firing again. They ended up leaving in separate vehicles. While driving away, the"&amp;" woman began to feel pain in her leg, and she drove to an area hospital, where she was treated for a graze wound from bullet shrapnel, according to charging documents.")</f>
        <v>According to the St. Louis County Prosecuting Attorney's Office, 37-year-old Steven Brown of Pine Lawn met up with a woman to smoke together at about midnight on Dec. 8 at the high school on St. Charles Rock Road in Wellston. A fight ensued after Brown made unwanted sexual advances toward the woman. Charging documents say Brown pulled out a pistol. He fired a shot in the air before aiming the weapon near the woman's legs and firing again. They ended up leaving in separate vehicles. While driving away, the woman began to feel pain in her leg, and she drove to an area hospital, where she was treated for a graze wound from bullet shrapnel, according to charging documents.</v>
      </c>
      <c r="AA523" s="8" t="str">
        <f ca="1">IFERROR(__xludf.DUMMYFUNCTION("""COMPUTED_VALUE"""),"Escalation of Dispute")</f>
        <v>Escalation of Dispute</v>
      </c>
      <c r="AB523" s="8" t="str">
        <f ca="1">IFERROR(__xludf.DUMMYFUNCTION("""COMPUTED_VALUE"""),"Spontaneous")</f>
        <v>Spontaneous</v>
      </c>
      <c r="AC523" s="8" t="str">
        <f ca="1">IFERROR(__xludf.DUMMYFUNCTION("""COMPUTED_VALUE"""),"Yes")</f>
        <v>Yes</v>
      </c>
      <c r="AD523" s="8" t="str">
        <f ca="1">IFERROR(__xludf.DUMMYFUNCTION("""COMPUTED_VALUE"""),"Victims Targeted")</f>
        <v>Victims Targeted</v>
      </c>
      <c r="AE523" s="8" t="str">
        <f ca="1">IFERROR(__xludf.DUMMYFUNCTION("""COMPUTED_VALUE"""),"No")</f>
        <v>No</v>
      </c>
      <c r="AF523" s="8"/>
      <c r="AG523" s="8" t="str">
        <f ca="1">IFERROR(__xludf.DUMMYFUNCTION("""COMPUTED_VALUE"""),"No")</f>
        <v>No</v>
      </c>
      <c r="AH523" s="8" t="str">
        <f ca="1">IFERROR(__xludf.DUMMYFUNCTION("""COMPUTED_VALUE"""),"No")</f>
        <v>No</v>
      </c>
      <c r="AI523" s="8" t="str">
        <f ca="1">IFERROR(__xludf.DUMMYFUNCTION("""COMPUTED_VALUE"""),"No")</f>
        <v>No</v>
      </c>
      <c r="AJ523" s="8" t="str">
        <f ca="1">IFERROR(__xludf.DUMMYFUNCTION("""COMPUTED_VALUE"""),"No")</f>
        <v>No</v>
      </c>
      <c r="AK523" s="8" t="str">
        <f ca="1">IFERROR(__xludf.DUMMYFUNCTION("""COMPUTED_VALUE"""),"Yes")</f>
        <v>Yes</v>
      </c>
      <c r="AL523" s="8" t="str">
        <f ca="1">IFERROR(__xludf.DUMMYFUNCTION("""COMPUTED_VALUE"""),"No")</f>
        <v>No</v>
      </c>
      <c r="AM523" s="8" t="str">
        <f ca="1">IFERROR(__xludf.DUMMYFUNCTION("""COMPUTED_VALUE"""),"No")</f>
        <v>No</v>
      </c>
      <c r="AN523" s="8" t="str">
        <f ca="1">IFERROR(__xludf.DUMMYFUNCTION("""COMPUTED_VALUE"""),"Outside")</f>
        <v>Outside</v>
      </c>
      <c r="AO523" s="8" t="str">
        <f ca="1">IFERROR(__xludf.DUMMYFUNCTION("""COMPUTED_VALUE"""),"No")</f>
        <v>No</v>
      </c>
      <c r="AP523" s="8"/>
      <c r="AQ523" s="8"/>
      <c r="AR523" s="8" t="str">
        <f ca="1">IFERROR(__xludf.DUMMYFUNCTION("""COMPUTED_VALUE"""),"Outside/Off-Property")</f>
        <v>Outside/Off-Property</v>
      </c>
      <c r="AS523" s="8">
        <f ca="1">IFERROR(__xludf.DUMMYFUNCTION("""COMPUTED_VALUE"""),99)</f>
        <v>99</v>
      </c>
      <c r="AT523" s="8" t="str">
        <f ca="1">IFERROR(__xludf.DUMMYFUNCTION("""COMPUTED_VALUE"""),"No")</f>
        <v>No</v>
      </c>
      <c r="AU523" s="8">
        <f ca="1">IFERROR(__xludf.DUMMYFUNCTION("""COMPUTED_VALUE"""),38.682687)</f>
        <v>38.682687000000001</v>
      </c>
      <c r="AV523" s="8">
        <f ca="1">IFERROR(__xludf.DUMMYFUNCTION("""COMPUTED_VALUE"""),-90.296536)</f>
        <v>-90.296536000000003</v>
      </c>
      <c r="AW523" s="8"/>
      <c r="AX523" s="8">
        <f ca="1">IFERROR(__xludf.DUMMYFUNCTION("""COMPUTED_VALUE"""),63133)</f>
        <v>63133</v>
      </c>
    </row>
    <row r="524" spans="1:50" ht="105" x14ac:dyDescent="0.2">
      <c r="A524" s="8" t="str">
        <f ca="1">IFERROR(__xludf.DUMMYFUNCTION("""COMPUTED_VALUE"""),"20231208NMATA")</f>
        <v>20231208NMATA</v>
      </c>
      <c r="B524" s="8">
        <f ca="1">IFERROR(__xludf.DUMMYFUNCTION("""COMPUTED_VALUE"""),12)</f>
        <v>12</v>
      </c>
      <c r="C524" s="8">
        <f ca="1">IFERROR(__xludf.DUMMYFUNCTION("""COMPUTED_VALUE"""),8)</f>
        <v>8</v>
      </c>
      <c r="D524" s="8">
        <f ca="1">IFERROR(__xludf.DUMMYFUNCTION("""COMPUTED_VALUE"""),2023)</f>
        <v>2023</v>
      </c>
      <c r="E524" s="9">
        <f ca="1">IFERROR(__xludf.DUMMYFUNCTION("""COMPUTED_VALUE"""),45268)</f>
        <v>45268</v>
      </c>
      <c r="F524" s="8" t="str">
        <f ca="1">IFERROR(__xludf.DUMMYFUNCTION("""COMPUTED_VALUE"""),"Atrisco Heritage Academy")</f>
        <v>Atrisco Heritage Academy</v>
      </c>
      <c r="G524" s="8">
        <f ca="1">IFERROR(__xludf.DUMMYFUNCTION("""COMPUTED_VALUE"""),1)</f>
        <v>1</v>
      </c>
      <c r="H524" s="8">
        <f ca="1">IFERROR(__xludf.DUMMYFUNCTION("""COMPUTED_VALUE"""),0)</f>
        <v>0</v>
      </c>
      <c r="I524" s="8">
        <f ca="1">IFERROR(__xludf.DUMMYFUNCTION("""COMPUTED_VALUE"""),1)</f>
        <v>1</v>
      </c>
      <c r="J524" s="8">
        <f ca="1">IFERROR(__xludf.DUMMYFUNCTION("""COMPUTED_VALUE"""),0)</f>
        <v>0</v>
      </c>
      <c r="K524" s="8" t="str">
        <f ca="1">IFERROR(__xludf.DUMMYFUNCTION("""COMPUTED_VALUE"""),"https://www.aps.edu/news/news-from-2023-2024/letter-to-atrisco-heritage-academy-families-on-friday-night-tragedy
https://www.koat.com/article/bcso-investigates-fatal-shooting-at-atrisco-heritage-high-school/46081616#
https://www.abqjournal.com/news/bcso-1"&amp;"6-year-old-killed-as-teens-play-with-guns-outside-atrisco-heritage-high/article_e6261cce-96b8-11ee-b009-37dd657b521d.html")</f>
        <v>https://www.aps.edu/news/news-from-2023-2024/letter-to-atrisco-heritage-academy-families-on-friday-night-tragedy
https://www.koat.com/article/bcso-investigates-fatal-shooting-at-atrisco-heritage-high-school/46081616#
https://www.abqjournal.com/news/bcso-16-year-old-killed-as-teens-play-with-guns-outside-atrisco-heritage-high/article_e6261cce-96b8-11ee-b009-37dd657b521d.html</v>
      </c>
      <c r="L524" s="8">
        <f ca="1">IFERROR(__xludf.DUMMYFUNCTION("""COMPUTED_VALUE"""),10)</f>
        <v>10</v>
      </c>
      <c r="M524" s="8" t="str">
        <f ca="1">IFERROR(__xludf.DUMMYFUNCTION("""COMPUTED_VALUE"""),"Regional")</f>
        <v>Regional</v>
      </c>
      <c r="N524" s="8">
        <f ca="1">IFERROR(__xludf.DUMMYFUNCTION("""COMPUTED_VALUE"""),4)</f>
        <v>4</v>
      </c>
      <c r="O524" s="8" t="str">
        <f ca="1">IFERROR(__xludf.DUMMYFUNCTION("""COMPUTED_VALUE"""),"Winter")</f>
        <v>Winter</v>
      </c>
      <c r="P524" s="8" t="str">
        <f ca="1">IFERROR(__xludf.DUMMYFUNCTION("""COMPUTED_VALUE"""),"Albuquerque")</f>
        <v>Albuquerque</v>
      </c>
      <c r="Q524" s="8" t="str">
        <f ca="1">IFERROR(__xludf.DUMMYFUNCTION("""COMPUTED_VALUE"""),"NM")</f>
        <v>NM</v>
      </c>
      <c r="R524" s="8" t="str">
        <f ca="1">IFERROR(__xludf.DUMMYFUNCTION("""COMPUTED_VALUE"""),"High")</f>
        <v>High</v>
      </c>
      <c r="S524" s="8" t="str">
        <f ca="1">IFERROR(__xludf.DUMMYFUNCTION("""COMPUTED_VALUE"""),"Parking Lot")</f>
        <v>Parking Lot</v>
      </c>
      <c r="T524" s="8" t="str">
        <f ca="1">IFERROR(__xludf.DUMMYFUNCTION("""COMPUTED_VALUE"""),"Outside on School Property")</f>
        <v>Outside on School Property</v>
      </c>
      <c r="U524" s="8" t="str">
        <f ca="1">IFERROR(__xludf.DUMMYFUNCTION("""COMPUTED_VALUE"""),"No")</f>
        <v>No</v>
      </c>
      <c r="V524" s="8" t="str">
        <f ca="1">IFERROR(__xludf.DUMMYFUNCTION("""COMPUTED_VALUE"""),"Sport Event")</f>
        <v>Sport Event</v>
      </c>
      <c r="W524" s="11">
        <f ca="1">IFERROR(__xludf.DUMMYFUNCTION("""COMPUTED_VALUE"""),0.90625)</f>
        <v>0.90625</v>
      </c>
      <c r="X524" s="8">
        <f ca="1">IFERROR(__xludf.DUMMYFUNCTION("""COMPUTED_VALUE"""),1)</f>
        <v>1</v>
      </c>
      <c r="Y524" s="12" t="str">
        <f ca="1">IFERROR(__xludf.DUMMYFUNCTION("""COMPUTED_VALUE"""),"Student killed in parking lot while friend was showing off handgun and fired")</f>
        <v>Student killed in parking lot while friend was showing off handgun and fired</v>
      </c>
      <c r="Z524" s="12" t="str">
        <f ca="1">IFERROR(__xludf.DUMMYFUNCTION("""COMPUTED_VALUE"""),"Three teenage boys walked to the Atrisco Heritage Academy parking lot on Friday night after watching a basketball game at the high school. Then, according to deputies, two 16-year-olds pulled out guns and began playing with them. One teen “began messing w"&amp;"ith” the laser sight on his gun and it went off, striking the other teen and killing him.")</f>
        <v>Three teenage boys walked to the Atrisco Heritage Academy parking lot on Friday night after watching a basketball game at the high school. Then, according to deputies, two 16-year-olds pulled out guns and began playing with them. One teen “began messing with” the laser sight on his gun and it went off, striking the other teen and killing him.</v>
      </c>
      <c r="AA524" s="8" t="str">
        <f ca="1">IFERROR(__xludf.DUMMYFUNCTION("""COMPUTED_VALUE"""),"Accidental")</f>
        <v>Accidental</v>
      </c>
      <c r="AB524" s="8" t="str">
        <f ca="1">IFERROR(__xludf.DUMMYFUNCTION("""COMPUTED_VALUE"""),"Spontaneous")</f>
        <v>Spontaneous</v>
      </c>
      <c r="AC524" s="8" t="str">
        <f ca="1">IFERROR(__xludf.DUMMYFUNCTION("""COMPUTED_VALUE"""),"Yes")</f>
        <v>Yes</v>
      </c>
      <c r="AD524" s="8" t="str">
        <f ca="1">IFERROR(__xludf.DUMMYFUNCTION("""COMPUTED_VALUE"""),"Neither")</f>
        <v>Neither</v>
      </c>
      <c r="AE524" s="8" t="str">
        <f ca="1">IFERROR(__xludf.DUMMYFUNCTION("""COMPUTED_VALUE"""),"No")</f>
        <v>No</v>
      </c>
      <c r="AF524" s="8"/>
      <c r="AG524" s="8" t="str">
        <f ca="1">IFERROR(__xludf.DUMMYFUNCTION("""COMPUTED_VALUE"""),"No")</f>
        <v>No</v>
      </c>
      <c r="AH524" s="8" t="str">
        <f ca="1">IFERROR(__xludf.DUMMYFUNCTION("""COMPUTED_VALUE"""),"No")</f>
        <v>No</v>
      </c>
      <c r="AI524" s="8" t="str">
        <f ca="1">IFERROR(__xludf.DUMMYFUNCTION("""COMPUTED_VALUE"""),"No")</f>
        <v>No</v>
      </c>
      <c r="AJ524" s="8" t="str">
        <f ca="1">IFERROR(__xludf.DUMMYFUNCTION("""COMPUTED_VALUE"""),"No")</f>
        <v>No</v>
      </c>
      <c r="AK524" s="8" t="str">
        <f ca="1">IFERROR(__xludf.DUMMYFUNCTION("""COMPUTED_VALUE"""),"No")</f>
        <v>No</v>
      </c>
      <c r="AL524" s="8" t="str">
        <f ca="1">IFERROR(__xludf.DUMMYFUNCTION("""COMPUTED_VALUE"""),"No")</f>
        <v>No</v>
      </c>
      <c r="AM524" s="8" t="str">
        <f ca="1">IFERROR(__xludf.DUMMYFUNCTION("""COMPUTED_VALUE"""),"No")</f>
        <v>No</v>
      </c>
      <c r="AN524" s="8" t="str">
        <f ca="1">IFERROR(__xludf.DUMMYFUNCTION("""COMPUTED_VALUE"""),"Outside")</f>
        <v>Outside</v>
      </c>
      <c r="AO524" s="8" t="str">
        <f ca="1">IFERROR(__xludf.DUMMYFUNCTION("""COMPUTED_VALUE"""),"No")</f>
        <v>No</v>
      </c>
      <c r="AP524" s="8"/>
      <c r="AQ524" s="8"/>
      <c r="AR524" s="8" t="str">
        <f ca="1">IFERROR(__xludf.DUMMYFUNCTION("""COMPUTED_VALUE"""),"Outside/Off-Property")</f>
        <v>Outside/Off-Property</v>
      </c>
      <c r="AS524" s="8">
        <f ca="1">IFERROR(__xludf.DUMMYFUNCTION("""COMPUTED_VALUE"""),1)</f>
        <v>1</v>
      </c>
      <c r="AT524" s="8" t="str">
        <f ca="1">IFERROR(__xludf.DUMMYFUNCTION("""COMPUTED_VALUE"""),"No")</f>
        <v>No</v>
      </c>
      <c r="AU524" s="8">
        <f ca="1">IFERROR(__xludf.DUMMYFUNCTION("""COMPUTED_VALUE"""),35.022364)</f>
        <v>35.022364000000003</v>
      </c>
      <c r="AV524" s="8">
        <f ca="1">IFERROR(__xludf.DUMMYFUNCTION("""COMPUTED_VALUE"""),-106.750122)</f>
        <v>-106.750122</v>
      </c>
      <c r="AW524" s="8"/>
      <c r="AX524" s="8">
        <f ca="1">IFERROR(__xludf.DUMMYFUNCTION("""COMPUTED_VALUE"""),87121)</f>
        <v>87121</v>
      </c>
    </row>
    <row r="525" spans="1:50" ht="225" x14ac:dyDescent="0.2">
      <c r="A525" s="8" t="str">
        <f ca="1">IFERROR(__xludf.DUMMYFUNCTION("""COMPUTED_VALUE"""),"20231208VAWOW")</f>
        <v>20231208VAWOW</v>
      </c>
      <c r="B525" s="8">
        <f ca="1">IFERROR(__xludf.DUMMYFUNCTION("""COMPUTED_VALUE"""),12)</f>
        <v>12</v>
      </c>
      <c r="C525" s="8">
        <f ca="1">IFERROR(__xludf.DUMMYFUNCTION("""COMPUTED_VALUE"""),8)</f>
        <v>8</v>
      </c>
      <c r="D525" s="8">
        <f ca="1">IFERROR(__xludf.DUMMYFUNCTION("""COMPUTED_VALUE"""),2023)</f>
        <v>2023</v>
      </c>
      <c r="E525" s="9">
        <f ca="1">IFERROR(__xludf.DUMMYFUNCTION("""COMPUTED_VALUE"""),45268)</f>
        <v>45268</v>
      </c>
      <c r="F525" s="8" t="str">
        <f ca="1">IFERROR(__xludf.DUMMYFUNCTION("""COMPUTED_VALUE"""),"Woodbridge Senior High School")</f>
        <v>Woodbridge Senior High School</v>
      </c>
      <c r="G525" s="8">
        <f ca="1">IFERROR(__xludf.DUMMYFUNCTION("""COMPUTED_VALUE"""),0)</f>
        <v>0</v>
      </c>
      <c r="H525" s="8">
        <f ca="1">IFERROR(__xludf.DUMMYFUNCTION("""COMPUTED_VALUE"""),3)</f>
        <v>3</v>
      </c>
      <c r="I525" s="8">
        <f ca="1">IFERROR(__xludf.DUMMYFUNCTION("""COMPUTED_VALUE"""),3)</f>
        <v>3</v>
      </c>
      <c r="J525" s="8">
        <f ca="1">IFERROR(__xludf.DUMMYFUNCTION("""COMPUTED_VALUE"""),0)</f>
        <v>0</v>
      </c>
      <c r="K525" s="8" t="str">
        <f ca="1">IFERROR(__xludf.DUMMYFUNCTION("""COMPUTED_VALUE"""),"https://www.potomaclocal.com/2023/12/12/boys-17-shot-out-school-bus-windows-with-bb-gun-police-said/
https://www.princewilliamtimes.com/news/police-2-woodbridge-h-s-students-2-occupied-school-buses-struck-by-bb-gun-projectiles/article_e064d20c-992a-11ee-9"&amp;"3db-9f5480d78c07.html")</f>
        <v>https://www.potomaclocal.com/2023/12/12/boys-17-shot-out-school-bus-windows-with-bb-gun-police-said/
https://www.princewilliamtimes.com/news/police-2-woodbridge-h-s-students-2-occupied-school-buses-struck-by-bb-gun-projectiles/article_e064d20c-992a-11ee-93db-9f5480d78c07.html</v>
      </c>
      <c r="L525" s="8">
        <f ca="1">IFERROR(__xludf.DUMMYFUNCTION("""COMPUTED_VALUE"""),2)</f>
        <v>2</v>
      </c>
      <c r="M525" s="8" t="str">
        <f ca="1">IFERROR(__xludf.DUMMYFUNCTION("""COMPUTED_VALUE"""),"Local")</f>
        <v>Local</v>
      </c>
      <c r="N525" s="8">
        <f ca="1">IFERROR(__xludf.DUMMYFUNCTION("""COMPUTED_VALUE"""),4)</f>
        <v>4</v>
      </c>
      <c r="O525" s="8" t="str">
        <f ca="1">IFERROR(__xludf.DUMMYFUNCTION("""COMPUTED_VALUE"""),"Winter")</f>
        <v>Winter</v>
      </c>
      <c r="P525" s="8" t="str">
        <f ca="1">IFERROR(__xludf.DUMMYFUNCTION("""COMPUTED_VALUE"""),"Woodbridge")</f>
        <v>Woodbridge</v>
      </c>
      <c r="Q525" s="8" t="str">
        <f ca="1">IFERROR(__xludf.DUMMYFUNCTION("""COMPUTED_VALUE"""),"VA")</f>
        <v>VA</v>
      </c>
      <c r="R525" s="8" t="str">
        <f ca="1">IFERROR(__xludf.DUMMYFUNCTION("""COMPUTED_VALUE"""),"High")</f>
        <v>High</v>
      </c>
      <c r="S525" s="8" t="str">
        <f ca="1">IFERROR(__xludf.DUMMYFUNCTION("""COMPUTED_VALUE"""),"School Bus")</f>
        <v>School Bus</v>
      </c>
      <c r="T525" s="8" t="str">
        <f ca="1">IFERROR(__xludf.DUMMYFUNCTION("""COMPUTED_VALUE"""),"School Bus")</f>
        <v>School Bus</v>
      </c>
      <c r="U525" s="8" t="str">
        <f ca="1">IFERROR(__xludf.DUMMYFUNCTION("""COMPUTED_VALUE"""),"Yes")</f>
        <v>Yes</v>
      </c>
      <c r="V525" s="8" t="str">
        <f ca="1">IFERROR(__xludf.DUMMYFUNCTION("""COMPUTED_VALUE"""),"Dismissal")</f>
        <v>Dismissal</v>
      </c>
      <c r="W525" s="11">
        <f ca="1">IFERROR(__xludf.DUMMYFUNCTION("""COMPUTED_VALUE"""),0.611805555555555)</f>
        <v>0.61180555555555505</v>
      </c>
      <c r="X525" s="8">
        <f ca="1">IFERROR(__xludf.DUMMYFUNCTION("""COMPUTED_VALUE"""),1)</f>
        <v>1</v>
      </c>
      <c r="Y525" s="12" t="str">
        <f ca="1">IFERROR(__xludf.DUMMYFUNCTION("""COMPUTED_VALUE"""),"Teen shot moving school bus with BBs breaking window")</f>
        <v>Teen shot moving school bus with BBs breaking window</v>
      </c>
      <c r="Z525" s="12" t="str">
        <f ca="1">IFERROR(__xludf.DUMMYFUNCTION("""COMPUTED_VALUE"""),"On December 8 at 2:41 p.m., officers responded to the area of Harbor Drive and Colby Drive in Woodbridge to investigate reports of injury and property damage from BB projectiles. The investigation revealed two occupied Prince William County Public School "&amp;"buses were struck by BB projectiles in the above area. Windows were damaged on both buses and one occupant sustained a cut from the broken glass. No additional injuries were reported. Additionally, a female juvenile and a male juvenile, both 17 years of a"&amp;"ge, were walking separately in the area of Old Bridge Road and Oakwood Drive when they were also struck by BB projectiles. Both juveniles were treated for non-life threatening injuries. Officers searched the area for the suspect(s), who were not located. "&amp;"No additional injuries or property damage were reported.")</f>
        <v>On December 8 at 2:41 p.m., officers responded to the area of Harbor Drive and Colby Drive in Woodbridge to investigate reports of injury and property damage from BB projectiles. The investigation revealed two occupied Prince William County Public School buses were struck by BB projectiles in the above area. Windows were damaged on both buses and one occupant sustained a cut from the broken glass. No additional injuries were reported. Additionally, a female juvenile and a male juvenile, both 17 years of age, were walking separately in the area of Old Bridge Road and Oakwood Drive when they were also struck by BB projectiles. Both juveniles were treated for non-life threatening injuries. Officers searched the area for the suspect(s), who were not located. No additional injuries or property damage were reported.</v>
      </c>
      <c r="AA525" s="8" t="str">
        <f ca="1">IFERROR(__xludf.DUMMYFUNCTION("""COMPUTED_VALUE"""),"Intentional Property Damage")</f>
        <v>Intentional Property Damage</v>
      </c>
      <c r="AB525" s="8" t="str">
        <f ca="1">IFERROR(__xludf.DUMMYFUNCTION("""COMPUTED_VALUE"""),"Targeted")</f>
        <v>Targeted</v>
      </c>
      <c r="AC525" s="8" t="str">
        <f ca="1">IFERROR(__xludf.DUMMYFUNCTION("""COMPUTED_VALUE"""),"Yes")</f>
        <v>Yes</v>
      </c>
      <c r="AD525" s="8" t="str">
        <f ca="1">IFERROR(__xludf.DUMMYFUNCTION("""COMPUTED_VALUE"""),"Random Shooting")</f>
        <v>Random Shooting</v>
      </c>
      <c r="AE525" s="8" t="str">
        <f ca="1">IFERROR(__xludf.DUMMYFUNCTION("""COMPUTED_VALUE"""),"No")</f>
        <v>No</v>
      </c>
      <c r="AF525" s="8"/>
      <c r="AG525" s="8" t="str">
        <f ca="1">IFERROR(__xludf.DUMMYFUNCTION("""COMPUTED_VALUE"""),"No")</f>
        <v>No</v>
      </c>
      <c r="AH525" s="8" t="str">
        <f ca="1">IFERROR(__xludf.DUMMYFUNCTION("""COMPUTED_VALUE"""),"No")</f>
        <v>No</v>
      </c>
      <c r="AI525" s="8" t="str">
        <f ca="1">IFERROR(__xludf.DUMMYFUNCTION("""COMPUTED_VALUE"""),"No")</f>
        <v>No</v>
      </c>
      <c r="AJ525" s="8" t="str">
        <f ca="1">IFERROR(__xludf.DUMMYFUNCTION("""COMPUTED_VALUE"""),"No")</f>
        <v>No</v>
      </c>
      <c r="AK525" s="8" t="str">
        <f ca="1">IFERROR(__xludf.DUMMYFUNCTION("""COMPUTED_VALUE"""),"No")</f>
        <v>No</v>
      </c>
      <c r="AL525" s="8" t="str">
        <f ca="1">IFERROR(__xludf.DUMMYFUNCTION("""COMPUTED_VALUE"""),"No")</f>
        <v>No</v>
      </c>
      <c r="AM525" s="8" t="str">
        <f ca="1">IFERROR(__xludf.DUMMYFUNCTION("""COMPUTED_VALUE"""),"No")</f>
        <v>No</v>
      </c>
      <c r="AN525" s="8" t="str">
        <f ca="1">IFERROR(__xludf.DUMMYFUNCTION("""COMPUTED_VALUE"""),"Outside")</f>
        <v>Outside</v>
      </c>
      <c r="AO525" s="8" t="str">
        <f ca="1">IFERROR(__xludf.DUMMYFUNCTION("""COMPUTED_VALUE"""),"No")</f>
        <v>No</v>
      </c>
      <c r="AP525" s="8"/>
      <c r="AQ525" s="8"/>
      <c r="AR525" s="8" t="str">
        <f ca="1">IFERROR(__xludf.DUMMYFUNCTION("""COMPUTED_VALUE"""),"Outside/Off-Property")</f>
        <v>Outside/Off-Property</v>
      </c>
      <c r="AS525" s="8">
        <f ca="1">IFERROR(__xludf.DUMMYFUNCTION("""COMPUTED_VALUE"""),99)</f>
        <v>99</v>
      </c>
      <c r="AT525" s="8" t="str">
        <f ca="1">IFERROR(__xludf.DUMMYFUNCTION("""COMPUTED_VALUE"""),"No")</f>
        <v>No</v>
      </c>
      <c r="AU525" s="8">
        <f ca="1">IFERROR(__xludf.DUMMYFUNCTION("""COMPUTED_VALUE"""),38.682006)</f>
        <v>38.682006000000001</v>
      </c>
      <c r="AV525" s="8">
        <f ca="1">IFERROR(__xludf.DUMMYFUNCTION("""COMPUTED_VALUE"""),-77.293604)</f>
        <v>-77.293604000000002</v>
      </c>
      <c r="AW525" s="8"/>
      <c r="AX525" s="8">
        <f ca="1">IFERROR(__xludf.DUMMYFUNCTION("""COMPUTED_VALUE"""),22192)</f>
        <v>22192</v>
      </c>
    </row>
    <row r="526" spans="1:50" ht="180" x14ac:dyDescent="0.2">
      <c r="A526" s="8" t="str">
        <f ca="1">IFERROR(__xludf.DUMMYFUNCTION("""COMPUTED_VALUE"""),"20231208WIBUW")</f>
        <v>20231208WIBUW</v>
      </c>
      <c r="B526" s="8">
        <f ca="1">IFERROR(__xludf.DUMMYFUNCTION("""COMPUTED_VALUE"""),12)</f>
        <v>12</v>
      </c>
      <c r="C526" s="8">
        <f ca="1">IFERROR(__xludf.DUMMYFUNCTION("""COMPUTED_VALUE"""),8)</f>
        <v>8</v>
      </c>
      <c r="D526" s="8">
        <f ca="1">IFERROR(__xludf.DUMMYFUNCTION("""COMPUTED_VALUE"""),2023)</f>
        <v>2023</v>
      </c>
      <c r="E526" s="9">
        <f ca="1">IFERROR(__xludf.DUMMYFUNCTION("""COMPUTED_VALUE"""),45268)</f>
        <v>45268</v>
      </c>
      <c r="F526" s="8" t="str">
        <f ca="1">IFERROR(__xludf.DUMMYFUNCTION("""COMPUTED_VALUE"""),"Butler Middle School")</f>
        <v>Butler Middle School</v>
      </c>
      <c r="G526" s="8">
        <f ca="1">IFERROR(__xludf.DUMMYFUNCTION("""COMPUTED_VALUE"""),0)</f>
        <v>0</v>
      </c>
      <c r="H526" s="8">
        <f ca="1">IFERROR(__xludf.DUMMYFUNCTION("""COMPUTED_VALUE"""),0)</f>
        <v>0</v>
      </c>
      <c r="I526" s="8">
        <f ca="1">IFERROR(__xludf.DUMMYFUNCTION("""COMPUTED_VALUE"""),0)</f>
        <v>0</v>
      </c>
      <c r="J526" s="8">
        <f ca="1">IFERROR(__xludf.DUMMYFUNCTION("""COMPUTED_VALUE"""),0)</f>
        <v>0</v>
      </c>
      <c r="K526" s="10" t="str">
        <f ca="1">IFERROR(__xludf.DUMMYFUNCTION("""COMPUTED_VALUE"""),"https://www.fox6now.com/news/waukesha-school-road-rage-charge")</f>
        <v>https://www.fox6now.com/news/waukesha-school-road-rage-charge</v>
      </c>
      <c r="L526" s="8">
        <f ca="1">IFERROR(__xludf.DUMMYFUNCTION("""COMPUTED_VALUE"""),1)</f>
        <v>1</v>
      </c>
      <c r="M526" s="8" t="str">
        <f ca="1">IFERROR(__xludf.DUMMYFUNCTION("""COMPUTED_VALUE"""),"Local")</f>
        <v>Local</v>
      </c>
      <c r="N526" s="8">
        <f ca="1">IFERROR(__xludf.DUMMYFUNCTION("""COMPUTED_VALUE"""),3)</f>
        <v>3</v>
      </c>
      <c r="O526" s="8" t="str">
        <f ca="1">IFERROR(__xludf.DUMMYFUNCTION("""COMPUTED_VALUE"""),"Winter")</f>
        <v>Winter</v>
      </c>
      <c r="P526" s="8" t="str">
        <f ca="1">IFERROR(__xludf.DUMMYFUNCTION("""COMPUTED_VALUE"""),"Waukesha")</f>
        <v>Waukesha</v>
      </c>
      <c r="Q526" s="8" t="str">
        <f ca="1">IFERROR(__xludf.DUMMYFUNCTION("""COMPUTED_VALUE"""),"WI")</f>
        <v>WI</v>
      </c>
      <c r="R526" s="8" t="str">
        <f ca="1">IFERROR(__xludf.DUMMYFUNCTION("""COMPUTED_VALUE"""),"High")</f>
        <v>High</v>
      </c>
      <c r="S526" s="8" t="str">
        <f ca="1">IFERROR(__xludf.DUMMYFUNCTION("""COMPUTED_VALUE"""),"Front of School")</f>
        <v>Front of School</v>
      </c>
      <c r="T526" s="8" t="str">
        <f ca="1">IFERROR(__xludf.DUMMYFUNCTION("""COMPUTED_VALUE"""),"Outside on School Property")</f>
        <v>Outside on School Property</v>
      </c>
      <c r="U526" s="8" t="str">
        <f ca="1">IFERROR(__xludf.DUMMYFUNCTION("""COMPUTED_VALUE"""),"Yes")</f>
        <v>Yes</v>
      </c>
      <c r="V526" s="8" t="str">
        <f ca="1">IFERROR(__xludf.DUMMYFUNCTION("""COMPUTED_VALUE"""),"Dismissal")</f>
        <v>Dismissal</v>
      </c>
      <c r="W526" s="11">
        <f ca="1">IFERROR(__xludf.DUMMYFUNCTION("""COMPUTED_VALUE"""),0.625)</f>
        <v>0.625</v>
      </c>
      <c r="X526" s="8">
        <f ca="1">IFERROR(__xludf.DUMMYFUNCTION("""COMPUTED_VALUE"""),1)</f>
        <v>1</v>
      </c>
      <c r="Y526" s="12" t="str">
        <f ca="1">IFERROR(__xludf.DUMMYFUNCTION("""COMPUTED_VALUE"""),"Parent racked and waved gun in the air during argument at dismissal")</f>
        <v>Parent racked and waved gun in the air during argument at dismissal</v>
      </c>
      <c r="Z526" s="12" t="str">
        <f ca="1">IFERROR(__xludf.DUMMYFUNCTION("""COMPUTED_VALUE"""),"Waukesha police arrested a man who they said waved a gun in the air outside Butler Middle School on Thursday, Dec. 8. Prosecutors charged that man, 33-year-old Abisai Villafuentes Mercado, with misdemeanor disorderly conduct. Police said he got upset with"&amp;" another driver while waiting to pick up a student. ""Some of the children who saw this were scared and ran back into the school,"" said Prosecutor Melissa Zilavy. No shots were fired, and no one was hurt – but police said a bullet fell out of the chamber"&amp;". It sent kids and parents into a panic. ""I thought I was about to get shot,"" said student Robert Mercado. ""He got mad at somebody and walked out the car and cocked his gun.""")</f>
        <v>Waukesha police arrested a man who they said waved a gun in the air outside Butler Middle School on Thursday, Dec. 8. Prosecutors charged that man, 33-year-old Abisai Villafuentes Mercado, with misdemeanor disorderly conduct. Police said he got upset with another driver while waiting to pick up a student. "Some of the children who saw this were scared and ran back into the school," said Prosecutor Melissa Zilavy. No shots were fired, and no one was hurt – but police said a bullet fell out of the chamber. It sent kids and parents into a panic. "I thought I was about to get shot," said student Robert Mercado. "He got mad at somebody and walked out the car and cocked his gun."</v>
      </c>
      <c r="AA526" s="8" t="str">
        <f ca="1">IFERROR(__xludf.DUMMYFUNCTION("""COMPUTED_VALUE"""),"Escalation of Dispute")</f>
        <v>Escalation of Dispute</v>
      </c>
      <c r="AB526" s="8" t="str">
        <f ca="1">IFERROR(__xludf.DUMMYFUNCTION("""COMPUTED_VALUE"""),"Spontaneous")</f>
        <v>Spontaneous</v>
      </c>
      <c r="AC526" s="8" t="str">
        <f ca="1">IFERROR(__xludf.DUMMYFUNCTION("""COMPUTED_VALUE"""),"Yes")</f>
        <v>Yes</v>
      </c>
      <c r="AD526" s="8" t="str">
        <f ca="1">IFERROR(__xludf.DUMMYFUNCTION("""COMPUTED_VALUE"""),"Neither")</f>
        <v>Neither</v>
      </c>
      <c r="AE526" s="8" t="str">
        <f ca="1">IFERROR(__xludf.DUMMYFUNCTION("""COMPUTED_VALUE"""),"No")</f>
        <v>No</v>
      </c>
      <c r="AF526" s="8"/>
      <c r="AG526" s="8" t="str">
        <f ca="1">IFERROR(__xludf.DUMMYFUNCTION("""COMPUTED_VALUE"""),"No")</f>
        <v>No</v>
      </c>
      <c r="AH526" s="8" t="str">
        <f ca="1">IFERROR(__xludf.DUMMYFUNCTION("""COMPUTED_VALUE"""),"No")</f>
        <v>No</v>
      </c>
      <c r="AI526" s="8" t="str">
        <f ca="1">IFERROR(__xludf.DUMMYFUNCTION("""COMPUTED_VALUE"""),"No")</f>
        <v>No</v>
      </c>
      <c r="AJ526" s="8" t="str">
        <f ca="1">IFERROR(__xludf.DUMMYFUNCTION("""COMPUTED_VALUE"""),"No")</f>
        <v>No</v>
      </c>
      <c r="AK526" s="8" t="str">
        <f ca="1">IFERROR(__xludf.DUMMYFUNCTION("""COMPUTED_VALUE"""),"No")</f>
        <v>No</v>
      </c>
      <c r="AL526" s="8" t="str">
        <f ca="1">IFERROR(__xludf.DUMMYFUNCTION("""COMPUTED_VALUE"""),"No")</f>
        <v>No</v>
      </c>
      <c r="AM526" s="8" t="str">
        <f ca="1">IFERROR(__xludf.DUMMYFUNCTION("""COMPUTED_VALUE"""),"No")</f>
        <v>No</v>
      </c>
      <c r="AN526" s="8" t="str">
        <f ca="1">IFERROR(__xludf.DUMMYFUNCTION("""COMPUTED_VALUE"""),"Outside")</f>
        <v>Outside</v>
      </c>
      <c r="AO526" s="8" t="str">
        <f ca="1">IFERROR(__xludf.DUMMYFUNCTION("""COMPUTED_VALUE"""),"No")</f>
        <v>No</v>
      </c>
      <c r="AP526" s="8"/>
      <c r="AQ526" s="8"/>
      <c r="AR526" s="8" t="str">
        <f ca="1">IFERROR(__xludf.DUMMYFUNCTION("""COMPUTED_VALUE"""),"Outside/Off-Property")</f>
        <v>Outside/Off-Property</v>
      </c>
      <c r="AS526" s="8">
        <f ca="1">IFERROR(__xludf.DUMMYFUNCTION("""COMPUTED_VALUE"""),0)</f>
        <v>0</v>
      </c>
      <c r="AT526" s="8" t="str">
        <f ca="1">IFERROR(__xludf.DUMMYFUNCTION("""COMPUTED_VALUE"""),"Yes")</f>
        <v>Yes</v>
      </c>
      <c r="AU526" s="8">
        <f ca="1">IFERROR(__xludf.DUMMYFUNCTION("""COMPUTED_VALUE"""),43.015959)</f>
        <v>43.015959000000002</v>
      </c>
      <c r="AV526" s="8">
        <f ca="1">IFERROR(__xludf.DUMMYFUNCTION("""COMPUTED_VALUE"""),-88.248451)</f>
        <v>-88.248451000000003</v>
      </c>
      <c r="AW526" s="8"/>
      <c r="AX526" s="8">
        <f ca="1">IFERROR(__xludf.DUMMYFUNCTION("""COMPUTED_VALUE"""),53188)</f>
        <v>53188</v>
      </c>
    </row>
    <row r="527" spans="1:50" ht="285" x14ac:dyDescent="0.2">
      <c r="A527" s="8" t="str">
        <f ca="1">IFERROR(__xludf.DUMMYFUNCTION("""COMPUTED_VALUE"""),"20231206INLAL")</f>
        <v>20231206INLAL</v>
      </c>
      <c r="B527" s="8">
        <f ca="1">IFERROR(__xludf.DUMMYFUNCTION("""COMPUTED_VALUE"""),12)</f>
        <v>12</v>
      </c>
      <c r="C527" s="8">
        <f ca="1">IFERROR(__xludf.DUMMYFUNCTION("""COMPUTED_VALUE"""),6)</f>
        <v>6</v>
      </c>
      <c r="D527" s="8">
        <f ca="1">IFERROR(__xludf.DUMMYFUNCTION("""COMPUTED_VALUE"""),2023)</f>
        <v>2023</v>
      </c>
      <c r="E527" s="9">
        <f ca="1">IFERROR(__xludf.DUMMYFUNCTION("""COMPUTED_VALUE"""),45266)</f>
        <v>45266</v>
      </c>
      <c r="F527" s="8" t="str">
        <f ca="1">IFERROR(__xludf.DUMMYFUNCTION("""COMPUTED_VALUE"""),"Lawrence Central High School Wednesday")</f>
        <v>Lawrence Central High School Wednesday</v>
      </c>
      <c r="G527" s="8">
        <f ca="1">IFERROR(__xludf.DUMMYFUNCTION("""COMPUTED_VALUE"""),0)</f>
        <v>0</v>
      </c>
      <c r="H527" s="8">
        <f ca="1">IFERROR(__xludf.DUMMYFUNCTION("""COMPUTED_VALUE"""),0)</f>
        <v>0</v>
      </c>
      <c r="I527" s="8">
        <f ca="1">IFERROR(__xludf.DUMMYFUNCTION("""COMPUTED_VALUE"""),0)</f>
        <v>0</v>
      </c>
      <c r="J527" s="8">
        <f ca="1">IFERROR(__xludf.DUMMYFUNCTION("""COMPUTED_VALUE"""),0)</f>
        <v>0</v>
      </c>
      <c r="K527" s="10" t="str">
        <f ca="1">IFERROR(__xludf.DUMMYFUNCTION("""COMPUTED_VALUE"""),"https://www.wthr.com/article/news/local/police-investigate-shots-fired-outside-lawrence-central-high-school/531-ad2efe76-026e-41a1-92f8-c5949ec13cb2
https://fox59.com/news/indycrime/shots-fired-in-parking-lot-at-lawrence-central-high-school-no-injuries-re"&amp;"ported/")</f>
        <v>https://www.wthr.com/article/news/local/police-investigate-shots-fired-outside-lawrence-central-high-school/531-ad2efe76-026e-41a1-92f8-c5949ec13cb2
https://fox59.com/news/indycrime/shots-fired-in-parking-lot-at-lawrence-central-high-school-no-injuries-reported/</v>
      </c>
      <c r="L527" s="8">
        <f ca="1">IFERROR(__xludf.DUMMYFUNCTION("""COMPUTED_VALUE"""),10)</f>
        <v>10</v>
      </c>
      <c r="M527" s="8" t="str">
        <f ca="1">IFERROR(__xludf.DUMMYFUNCTION("""COMPUTED_VALUE"""),"Regional")</f>
        <v>Regional</v>
      </c>
      <c r="N527" s="8">
        <f ca="1">IFERROR(__xludf.DUMMYFUNCTION("""COMPUTED_VALUE"""),4)</f>
        <v>4</v>
      </c>
      <c r="O527" s="8" t="str">
        <f ca="1">IFERROR(__xludf.DUMMYFUNCTION("""COMPUTED_VALUE"""),"Winter")</f>
        <v>Winter</v>
      </c>
      <c r="P527" s="8" t="str">
        <f ca="1">IFERROR(__xludf.DUMMYFUNCTION("""COMPUTED_VALUE"""),"Lawrence")</f>
        <v>Lawrence</v>
      </c>
      <c r="Q527" s="8" t="str">
        <f ca="1">IFERROR(__xludf.DUMMYFUNCTION("""COMPUTED_VALUE"""),"IN")</f>
        <v>IN</v>
      </c>
      <c r="R527" s="8" t="str">
        <f ca="1">IFERROR(__xludf.DUMMYFUNCTION("""COMPUTED_VALUE"""),"High")</f>
        <v>High</v>
      </c>
      <c r="S527" s="8" t="str">
        <f ca="1">IFERROR(__xludf.DUMMYFUNCTION("""COMPUTED_VALUE"""),"Parking Lot")</f>
        <v>Parking Lot</v>
      </c>
      <c r="T527" s="8" t="str">
        <f ca="1">IFERROR(__xludf.DUMMYFUNCTION("""COMPUTED_VALUE"""),"Outside on School Property")</f>
        <v>Outside on School Property</v>
      </c>
      <c r="U527" s="8" t="str">
        <f ca="1">IFERROR(__xludf.DUMMYFUNCTION("""COMPUTED_VALUE"""),"No")</f>
        <v>No</v>
      </c>
      <c r="V527" s="8" t="str">
        <f ca="1">IFERROR(__xludf.DUMMYFUNCTION("""COMPUTED_VALUE"""),"Sport Event")</f>
        <v>Sport Event</v>
      </c>
      <c r="W527" s="11">
        <f ca="1">IFERROR(__xludf.DUMMYFUNCTION("""COMPUTED_VALUE"""),0.875)</f>
        <v>0.875</v>
      </c>
      <c r="X527" s="8">
        <f ca="1">IFERROR(__xludf.DUMMYFUNCTION("""COMPUTED_VALUE"""),1)</f>
        <v>1</v>
      </c>
      <c r="Y527" s="12" t="str">
        <f ca="1">IFERROR(__xludf.DUMMYFUNCTION("""COMPUTED_VALUE"""),"Shots fired in parking lot during high school basketball game")</f>
        <v>Shots fired in parking lot during high school basketball game</v>
      </c>
      <c r="Z527" s="12" t="str">
        <f ca="1">IFERROR(__xludf.DUMMYFUNCTION("""COMPUTED_VALUE"""),"Two teenagers were arrested after gunshots were fired during a disturbance outside a school in Lawrence Wednesday night. According to a Lawrence Police Department spokesperson, officers were called to Lawrence Central High School, along 56th Street just e"&amp;"ast of I-465, around 9 p.m. when two shots were heard in a parking lot. No one was injured. The spokesperson said one person, a minor, was detained inside the school after officers discovered he was in possession of a handgun. It's not clear whether the j"&amp;"uvenile had been involved in the disturbance in the parking lot. A police report obtained by 13News Thursday indicated two teenage boys, a 15-year-old and 14-year-old, were arrested by Lawrence police in connection with the incident. Both face preliminary"&amp;" charges including possession of a gun on school property and resisting law enforcement, according to the report. The 15-year-old is also preliminarily charged with possession of a Glock switch, and the 14-year-old is preliminarily charged with theft of a"&amp;" firearm.")</f>
        <v>Two teenagers were arrested after gunshots were fired during a disturbance outside a school in Lawrence Wednesday night. According to a Lawrence Police Department spokesperson, officers were called to Lawrence Central High School, along 56th Street just east of I-465, around 9 p.m. when two shots were heard in a parking lot. No one was injured. The spokesperson said one person, a minor, was detained inside the school after officers discovered he was in possession of a handgun. It's not clear whether the juvenile had been involved in the disturbance in the parking lot. A police report obtained by 13News Thursday indicated two teenage boys, a 15-year-old and 14-year-old, were arrested by Lawrence police in connection with the incident. Both face preliminary charges including possession of a gun on school property and resisting law enforcement, according to the report. The 15-year-old is also preliminarily charged with possession of a Glock switch, and the 14-year-old is preliminarily charged with theft of a firearm.</v>
      </c>
      <c r="AA527" s="8" t="str">
        <f ca="1">IFERROR(__xludf.DUMMYFUNCTION("""COMPUTED_VALUE"""),"Escalation of Dispute")</f>
        <v>Escalation of Dispute</v>
      </c>
      <c r="AB527" s="8" t="str">
        <f ca="1">IFERROR(__xludf.DUMMYFUNCTION("""COMPUTED_VALUE"""),"Spontaneous")</f>
        <v>Spontaneous</v>
      </c>
      <c r="AC527" s="8" t="str">
        <f ca="1">IFERROR(__xludf.DUMMYFUNCTION("""COMPUTED_VALUE"""),"Yes")</f>
        <v>Yes</v>
      </c>
      <c r="AD527" s="8" t="str">
        <f ca="1">IFERROR(__xludf.DUMMYFUNCTION("""COMPUTED_VALUE"""),"Random Shooting")</f>
        <v>Random Shooting</v>
      </c>
      <c r="AE527" s="8" t="str">
        <f ca="1">IFERROR(__xludf.DUMMYFUNCTION("""COMPUTED_VALUE"""),"Yes")</f>
        <v>Yes</v>
      </c>
      <c r="AF527" s="8" t="str">
        <f ca="1">IFERROR(__xludf.DUMMYFUNCTION("""COMPUTED_VALUE"""),"Two arrested")</f>
        <v>Two arrested</v>
      </c>
      <c r="AG527" s="8" t="str">
        <f ca="1">IFERROR(__xludf.DUMMYFUNCTION("""COMPUTED_VALUE"""),"No")</f>
        <v>No</v>
      </c>
      <c r="AH527" s="8" t="str">
        <f ca="1">IFERROR(__xludf.DUMMYFUNCTION("""COMPUTED_VALUE"""),"No")</f>
        <v>No</v>
      </c>
      <c r="AI527" s="8" t="str">
        <f ca="1">IFERROR(__xludf.DUMMYFUNCTION("""COMPUTED_VALUE"""),"No")</f>
        <v>No</v>
      </c>
      <c r="AJ527" s="8" t="str">
        <f ca="1">IFERROR(__xludf.DUMMYFUNCTION("""COMPUTED_VALUE"""),"No")</f>
        <v>No</v>
      </c>
      <c r="AK527" s="8" t="str">
        <f ca="1">IFERROR(__xludf.DUMMYFUNCTION("""COMPUTED_VALUE"""),"No")</f>
        <v>No</v>
      </c>
      <c r="AL527" s="8"/>
      <c r="AM527" s="8" t="str">
        <f ca="1">IFERROR(__xludf.DUMMYFUNCTION("""COMPUTED_VALUE"""),"No")</f>
        <v>No</v>
      </c>
      <c r="AN527" s="8" t="str">
        <f ca="1">IFERROR(__xludf.DUMMYFUNCTION("""COMPUTED_VALUE"""),"Outside")</f>
        <v>Outside</v>
      </c>
      <c r="AO527" s="8" t="str">
        <f ca="1">IFERROR(__xludf.DUMMYFUNCTION("""COMPUTED_VALUE"""),"No")</f>
        <v>No</v>
      </c>
      <c r="AP527" s="8"/>
      <c r="AQ527" s="8"/>
      <c r="AR527" s="8" t="str">
        <f ca="1">IFERROR(__xludf.DUMMYFUNCTION("""COMPUTED_VALUE"""),"Outside/Off-Property")</f>
        <v>Outside/Off-Property</v>
      </c>
      <c r="AS527" s="8">
        <f ca="1">IFERROR(__xludf.DUMMYFUNCTION("""COMPUTED_VALUE"""),2)</f>
        <v>2</v>
      </c>
      <c r="AT527" s="8" t="str">
        <f ca="1">IFERROR(__xludf.DUMMYFUNCTION("""COMPUTED_VALUE"""),"Yes")</f>
        <v>Yes</v>
      </c>
      <c r="AU527" s="8">
        <f ca="1">IFERROR(__xludf.DUMMYFUNCTION("""COMPUTED_VALUE"""),39.856341)</f>
        <v>39.856341</v>
      </c>
      <c r="AV527" s="8">
        <f ca="1">IFERROR(__xludf.DUMMYFUNCTION("""COMPUTED_VALUE"""),-86.038193)</f>
        <v>-86.038193000000007</v>
      </c>
      <c r="AW527" s="8"/>
      <c r="AX527" s="8">
        <f ca="1">IFERROR(__xludf.DUMMYFUNCTION("""COMPUTED_VALUE"""),46226)</f>
        <v>46226</v>
      </c>
    </row>
    <row r="528" spans="1:50" ht="60" x14ac:dyDescent="0.2">
      <c r="A528" s="8" t="str">
        <f ca="1">IFERROR(__xludf.DUMMYFUNCTION("""COMPUTED_VALUE"""),"20231205NCVAH")</f>
        <v>20231205NCVAH</v>
      </c>
      <c r="B528" s="8">
        <f ca="1">IFERROR(__xludf.DUMMYFUNCTION("""COMPUTED_VALUE"""),12)</f>
        <v>12</v>
      </c>
      <c r="C528" s="8">
        <f ca="1">IFERROR(__xludf.DUMMYFUNCTION("""COMPUTED_VALUE"""),5)</f>
        <v>5</v>
      </c>
      <c r="D528" s="8">
        <f ca="1">IFERROR(__xludf.DUMMYFUNCTION("""COMPUTED_VALUE"""),2023)</f>
        <v>2023</v>
      </c>
      <c r="E528" s="9">
        <f ca="1">IFERROR(__xludf.DUMMYFUNCTION("""COMPUTED_VALUE"""),45265)</f>
        <v>45265</v>
      </c>
      <c r="F528" s="8" t="str">
        <f ca="1">IFERROR(__xludf.DUMMYFUNCTION("""COMPUTED_VALUE"""),"Vance County High School")</f>
        <v>Vance County High School</v>
      </c>
      <c r="G528" s="8">
        <f ca="1">IFERROR(__xludf.DUMMYFUNCTION("""COMPUTED_VALUE"""),0)</f>
        <v>0</v>
      </c>
      <c r="H528" s="8">
        <f ca="1">IFERROR(__xludf.DUMMYFUNCTION("""COMPUTED_VALUE"""),0)</f>
        <v>0</v>
      </c>
      <c r="I528" s="8">
        <f ca="1">IFERROR(__xludf.DUMMYFUNCTION("""COMPUTED_VALUE"""),0)</f>
        <v>0</v>
      </c>
      <c r="J528" s="8">
        <f ca="1">IFERROR(__xludf.DUMMYFUNCTION("""COMPUTED_VALUE"""),0)</f>
        <v>0</v>
      </c>
      <c r="K528" s="8" t="str">
        <f ca="1">IFERROR(__xludf.DUMMYFUNCTION("""COMPUTED_VALUE"""),"https://www.wral.com/story/fight-shuts-down-vance-county-basketball-game-shots-fired-outside-of-school/21185543/
https://www.hendersondispatch.com/archives/shots-fired-outside-vchs-after-brawl-ends-boys-basketball-game/article_82fa217f-ee28-5bfe-b42c-7453"&amp;"0afca1f8.html")</f>
        <v>https://www.wral.com/story/fight-shuts-down-vance-county-basketball-game-shots-fired-outside-of-school/21185543/
https://www.hendersondispatch.com/archives/shots-fired-outside-vchs-after-brawl-ends-boys-basketball-game/article_82fa217f-ee28-5bfe-b42c-74530afca1f8.html</v>
      </c>
      <c r="L528" s="8">
        <f ca="1">IFERROR(__xludf.DUMMYFUNCTION("""COMPUTED_VALUE"""),5)</f>
        <v>5</v>
      </c>
      <c r="M528" s="8" t="str">
        <f ca="1">IFERROR(__xludf.DUMMYFUNCTION("""COMPUTED_VALUE"""),"Local")</f>
        <v>Local</v>
      </c>
      <c r="N528" s="8">
        <f ca="1">IFERROR(__xludf.DUMMYFUNCTION("""COMPUTED_VALUE"""),4)</f>
        <v>4</v>
      </c>
      <c r="O528" s="8" t="str">
        <f ca="1">IFERROR(__xludf.DUMMYFUNCTION("""COMPUTED_VALUE"""),"Winter")</f>
        <v>Winter</v>
      </c>
      <c r="P528" s="8" t="str">
        <f ca="1">IFERROR(__xludf.DUMMYFUNCTION("""COMPUTED_VALUE"""),"Hendersonville")</f>
        <v>Hendersonville</v>
      </c>
      <c r="Q528" s="8" t="str">
        <f ca="1">IFERROR(__xludf.DUMMYFUNCTION("""COMPUTED_VALUE"""),"NC")</f>
        <v>NC</v>
      </c>
      <c r="R528" s="8" t="str">
        <f ca="1">IFERROR(__xludf.DUMMYFUNCTION("""COMPUTED_VALUE"""),"High")</f>
        <v>High</v>
      </c>
      <c r="S528" s="8" t="str">
        <f ca="1">IFERROR(__xludf.DUMMYFUNCTION("""COMPUTED_VALUE"""),"Parking Lot")</f>
        <v>Parking Lot</v>
      </c>
      <c r="T528" s="8" t="str">
        <f ca="1">IFERROR(__xludf.DUMMYFUNCTION("""COMPUTED_VALUE"""),"Outside on School Property")</f>
        <v>Outside on School Property</v>
      </c>
      <c r="U528" s="8" t="str">
        <f ca="1">IFERROR(__xludf.DUMMYFUNCTION("""COMPUTED_VALUE"""),"No")</f>
        <v>No</v>
      </c>
      <c r="V528" s="8" t="str">
        <f ca="1">IFERROR(__xludf.DUMMYFUNCTION("""COMPUTED_VALUE"""),"Sport Event")</f>
        <v>Sport Event</v>
      </c>
      <c r="W528" s="11">
        <f ca="1">IFERROR(__xludf.DUMMYFUNCTION("""COMPUTED_VALUE"""),0.833333333333333)</f>
        <v>0.83333333333333304</v>
      </c>
      <c r="X528" s="8">
        <f ca="1">IFERROR(__xludf.DUMMYFUNCTION("""COMPUTED_VALUE"""),1)</f>
        <v>1</v>
      </c>
      <c r="Y528" s="12" t="str">
        <f ca="1">IFERROR(__xludf.DUMMYFUNCTION("""COMPUTED_VALUE"""),"20 shots fired during large fight at high school basketball game")</f>
        <v>20 shots fired during large fight at high school basketball game</v>
      </c>
      <c r="Z528" s="12" t="str">
        <f ca="1">IFERROR(__xludf.DUMMYFUNCTION("""COMPUTED_VALUE"""),"Twenty shots were fired outside of the school when a large fight inside the gym ended the high school basketball game early. Fight continued outside.")</f>
        <v>Twenty shots were fired outside of the school when a large fight inside the gym ended the high school basketball game early. Fight continued outside.</v>
      </c>
      <c r="AA528" s="8" t="str">
        <f ca="1">IFERROR(__xludf.DUMMYFUNCTION("""COMPUTED_VALUE"""),"Escalation of Dispute")</f>
        <v>Escalation of Dispute</v>
      </c>
      <c r="AB528" s="8" t="str">
        <f ca="1">IFERROR(__xludf.DUMMYFUNCTION("""COMPUTED_VALUE"""),"Spontaneous")</f>
        <v>Spontaneous</v>
      </c>
      <c r="AC528" s="8" t="str">
        <f ca="1">IFERROR(__xludf.DUMMYFUNCTION("""COMPUTED_VALUE"""),"Yes")</f>
        <v>Yes</v>
      </c>
      <c r="AD528" s="8" t="str">
        <f ca="1">IFERROR(__xludf.DUMMYFUNCTION("""COMPUTED_VALUE"""),"Both")</f>
        <v>Both</v>
      </c>
      <c r="AE528" s="8"/>
      <c r="AF528" s="8"/>
      <c r="AG528" s="8" t="str">
        <f ca="1">IFERROR(__xludf.DUMMYFUNCTION("""COMPUTED_VALUE"""),"No")</f>
        <v>No</v>
      </c>
      <c r="AH528" s="8" t="str">
        <f ca="1">IFERROR(__xludf.DUMMYFUNCTION("""COMPUTED_VALUE"""),"No")</f>
        <v>No</v>
      </c>
      <c r="AI528" s="8" t="str">
        <f ca="1">IFERROR(__xludf.DUMMYFUNCTION("""COMPUTED_VALUE"""),"No")</f>
        <v>No</v>
      </c>
      <c r="AJ528" s="8" t="str">
        <f ca="1">IFERROR(__xludf.DUMMYFUNCTION("""COMPUTED_VALUE"""),"No")</f>
        <v>No</v>
      </c>
      <c r="AK528" s="8" t="str">
        <f ca="1">IFERROR(__xludf.DUMMYFUNCTION("""COMPUTED_VALUE"""),"No")</f>
        <v>No</v>
      </c>
      <c r="AL528" s="8" t="str">
        <f ca="1">IFERROR(__xludf.DUMMYFUNCTION("""COMPUTED_VALUE"""),"No")</f>
        <v>No</v>
      </c>
      <c r="AM528" s="8" t="str">
        <f ca="1">IFERROR(__xludf.DUMMYFUNCTION("""COMPUTED_VALUE"""),"No")</f>
        <v>No</v>
      </c>
      <c r="AN528" s="8" t="str">
        <f ca="1">IFERROR(__xludf.DUMMYFUNCTION("""COMPUTED_VALUE"""),"Outside")</f>
        <v>Outside</v>
      </c>
      <c r="AO528" s="8" t="str">
        <f ca="1">IFERROR(__xludf.DUMMYFUNCTION("""COMPUTED_VALUE"""),"No")</f>
        <v>No</v>
      </c>
      <c r="AP528" s="8"/>
      <c r="AQ528" s="8"/>
      <c r="AR528" s="8" t="str">
        <f ca="1">IFERROR(__xludf.DUMMYFUNCTION("""COMPUTED_VALUE"""),"Outside/Off-Property")</f>
        <v>Outside/Off-Property</v>
      </c>
      <c r="AS528" s="8">
        <f ca="1">IFERROR(__xludf.DUMMYFUNCTION("""COMPUTED_VALUE"""),20)</f>
        <v>20</v>
      </c>
      <c r="AT528" s="8"/>
      <c r="AU528" s="8">
        <f ca="1">IFERROR(__xludf.DUMMYFUNCTION("""COMPUTED_VALUE"""),36.302722)</f>
        <v>36.302722000000003</v>
      </c>
      <c r="AV528" s="8">
        <f ca="1">IFERROR(__xludf.DUMMYFUNCTION("""COMPUTED_VALUE"""),-78.374154)</f>
        <v>-78.374154000000004</v>
      </c>
      <c r="AW528" s="8"/>
      <c r="AX528" s="8">
        <f ca="1">IFERROR(__xludf.DUMMYFUNCTION("""COMPUTED_VALUE"""),27537)</f>
        <v>27537</v>
      </c>
    </row>
    <row r="529" spans="1:50" ht="300" x14ac:dyDescent="0.2">
      <c r="A529" s="8" t="str">
        <f ca="1">IFERROR(__xludf.DUMMYFUNCTION("""COMPUTED_VALUE"""),"20231205TXNOA")</f>
        <v>20231205TXNOA</v>
      </c>
      <c r="B529" s="8">
        <f ca="1">IFERROR(__xludf.DUMMYFUNCTION("""COMPUTED_VALUE"""),12)</f>
        <v>12</v>
      </c>
      <c r="C529" s="8">
        <f ca="1">IFERROR(__xludf.DUMMYFUNCTION("""COMPUTED_VALUE"""),5)</f>
        <v>5</v>
      </c>
      <c r="D529" s="8">
        <f ca="1">IFERROR(__xludf.DUMMYFUNCTION("""COMPUTED_VALUE"""),2023)</f>
        <v>2023</v>
      </c>
      <c r="E529" s="9">
        <f ca="1">IFERROR(__xludf.DUMMYFUNCTION("""COMPUTED_VALUE"""),45265)</f>
        <v>45265</v>
      </c>
      <c r="F529" s="8" t="str">
        <f ca="1">IFERROR(__xludf.DUMMYFUNCTION("""COMPUTED_VALUE"""),"Northeast Early College High School")</f>
        <v>Northeast Early College High School</v>
      </c>
      <c r="G529" s="8">
        <f ca="1">IFERROR(__xludf.DUMMYFUNCTION("""COMPUTED_VALUE"""),0)</f>
        <v>0</v>
      </c>
      <c r="H529" s="8">
        <f ca="1">IFERROR(__xludf.DUMMYFUNCTION("""COMPUTED_VALUE"""),1)</f>
        <v>1</v>
      </c>
      <c r="I529" s="8">
        <f ca="1">IFERROR(__xludf.DUMMYFUNCTION("""COMPUTED_VALUE"""),1)</f>
        <v>1</v>
      </c>
      <c r="J529" s="8">
        <f ca="1">IFERROR(__xludf.DUMMYFUNCTION("""COMPUTED_VALUE"""),0)</f>
        <v>0</v>
      </c>
      <c r="K529" s="10" t="str">
        <f ca="1">IFERROR(__xludf.DUMMYFUNCTION("""COMPUTED_VALUE"""),"https://www.kvue.com/article/news/crime/austin-isd-police-officer-shot-nelson-field/269-b86565f8-e21d-46cb-88b7-afaa70398564
https://www.kvue.com/article/news/crime/austin-isd-police-officer-shot-nelson-field/269-b86565f8-e21d-46cb-88b7-afaa70398564")</f>
        <v>https://www.kvue.com/article/news/crime/austin-isd-police-officer-shot-nelson-field/269-b86565f8-e21d-46cb-88b7-afaa70398564
https://www.kvue.com/article/news/crime/austin-isd-police-officer-shot-nelson-field/269-b86565f8-e21d-46cb-88b7-afaa70398564</v>
      </c>
      <c r="L529" s="8">
        <f ca="1">IFERROR(__xludf.DUMMYFUNCTION("""COMPUTED_VALUE"""),50)</f>
        <v>50</v>
      </c>
      <c r="M529" s="8" t="str">
        <f ca="1">IFERROR(__xludf.DUMMYFUNCTION("""COMPUTED_VALUE"""),"National")</f>
        <v>National</v>
      </c>
      <c r="N529" s="8">
        <f ca="1">IFERROR(__xludf.DUMMYFUNCTION("""COMPUTED_VALUE"""),4)</f>
        <v>4</v>
      </c>
      <c r="O529" s="8" t="str">
        <f ca="1">IFERROR(__xludf.DUMMYFUNCTION("""COMPUTED_VALUE"""),"Winter")</f>
        <v>Winter</v>
      </c>
      <c r="P529" s="8" t="str">
        <f ca="1">IFERROR(__xludf.DUMMYFUNCTION("""COMPUTED_VALUE"""),"Austin")</f>
        <v>Austin</v>
      </c>
      <c r="Q529" s="8" t="str">
        <f ca="1">IFERROR(__xludf.DUMMYFUNCTION("""COMPUTED_VALUE"""),"TX")</f>
        <v>TX</v>
      </c>
      <c r="R529" s="8" t="str">
        <f ca="1">IFERROR(__xludf.DUMMYFUNCTION("""COMPUTED_VALUE"""),"High")</f>
        <v>High</v>
      </c>
      <c r="S529" s="8" t="str">
        <f ca="1">IFERROR(__xludf.DUMMYFUNCTION("""COMPUTED_VALUE"""),"Parking Lot")</f>
        <v>Parking Lot</v>
      </c>
      <c r="T529" s="8" t="str">
        <f ca="1">IFERROR(__xludf.DUMMYFUNCTION("""COMPUTED_VALUE"""),"Outside on School Property")</f>
        <v>Outside on School Property</v>
      </c>
      <c r="U529" s="8" t="str">
        <f ca="1">IFERROR(__xludf.DUMMYFUNCTION("""COMPUTED_VALUE"""),"Yes")</f>
        <v>Yes</v>
      </c>
      <c r="V529" s="8" t="str">
        <f ca="1">IFERROR(__xludf.DUMMYFUNCTION("""COMPUTED_VALUE"""),"Morning Classes")</f>
        <v>Morning Classes</v>
      </c>
      <c r="W529" s="11">
        <f ca="1">IFERROR(__xludf.DUMMYFUNCTION("""COMPUTED_VALUE"""),0.444444444444444)</f>
        <v>0.44444444444444398</v>
      </c>
      <c r="X529" s="8">
        <f ca="1">IFERROR(__xludf.DUMMYFUNCTION("""COMPUTED_VALUE"""),1)</f>
        <v>1</v>
      </c>
      <c r="Y529" s="12" t="str">
        <f ca="1">IFERROR(__xludf.DUMMYFUNCTION("""COMPUTED_VALUE"""),"Officer shot in school parking lot while patrolling the campus, shooter fled and was arrested away from campus")</f>
        <v>Officer shot in school parking lot while patrolling the campus, shooter fled and was arrested away from campus</v>
      </c>
      <c r="Z529" s="12" t="str">
        <f ca="1">IFERROR(__xludf.DUMMYFUNCTION("""COMPUTED_VALUE"""),"A suspect has been arrested after an Austin ISD Police Department officer was shot and injured near Northeast Early College High School on Tuesday morning. Police are also investigating a connection with the incident and multiple other shootings that happ"&amp;"ened later on Tuesday. The shooting occurred around 10:40 a.m. near the school, located at 7105 Berkman Dr., near US 290. Officials told KVUE the officer was shot in ""an unprovoked way,"" where there had been no interaction between the officer and the su"&amp;"spect. AISD police confirmed the officer who was shot was hit in the leg. As of around 2:30 p.m., he was stable and was set to be released from the hospital later on Tuesday afternoon. The high school was placed on lockdown at 10:46 a.m. The Austin Police"&amp;" Department arrived on the scene shortly after, along with other law enforcement, first responders and investigators. The AISD Police Department said 15 different agencies responded to the scene. Around 2 p.m., the school conducted a controlled release af"&amp;"ter the campus was cleared. Students were bused to the Delco Activity Center. Classes cancelled on Wednesday.")</f>
        <v>A suspect has been arrested after an Austin ISD Police Department officer was shot and injured near Northeast Early College High School on Tuesday morning. Police are also investigating a connection with the incident and multiple other shootings that happened later on Tuesday. The shooting occurred around 10:40 a.m. near the school, located at 7105 Berkman Dr., near US 290. Officials told KVUE the officer was shot in "an unprovoked way," where there had been no interaction between the officer and the suspect. AISD police confirmed the officer who was shot was hit in the leg. As of around 2:30 p.m., he was stable and was set to be released from the hospital later on Tuesday afternoon. The high school was placed on lockdown at 10:46 a.m. The Austin Police Department arrived on the scene shortly after, along with other law enforcement, first responders and investigators. The AISD Police Department said 15 different agencies responded to the scene. Around 2 p.m., the school conducted a controlled release after the campus was cleared. Students were bused to the Delco Activity Center. Classes cancelled on Wednesday.</v>
      </c>
      <c r="AA529" s="8"/>
      <c r="AB529" s="8"/>
      <c r="AC529" s="8" t="str">
        <f ca="1">IFERROR(__xludf.DUMMYFUNCTION("""COMPUTED_VALUE"""),"Yes")</f>
        <v>Yes</v>
      </c>
      <c r="AD529" s="8" t="str">
        <f ca="1">IFERROR(__xludf.DUMMYFUNCTION("""COMPUTED_VALUE"""),"Victims Targeted")</f>
        <v>Victims Targeted</v>
      </c>
      <c r="AE529" s="8" t="str">
        <f ca="1">IFERROR(__xludf.DUMMYFUNCTION("""COMPUTED_VALUE"""),"No")</f>
        <v>No</v>
      </c>
      <c r="AF529" s="8"/>
      <c r="AG529" s="8" t="str">
        <f ca="1">IFERROR(__xludf.DUMMYFUNCTION("""COMPUTED_VALUE"""),"No")</f>
        <v>No</v>
      </c>
      <c r="AH529" s="8" t="str">
        <f ca="1">IFERROR(__xludf.DUMMYFUNCTION("""COMPUTED_VALUE"""),"No")</f>
        <v>No</v>
      </c>
      <c r="AI529" s="8" t="str">
        <f ca="1">IFERROR(__xludf.DUMMYFUNCTION("""COMPUTED_VALUE"""),"No")</f>
        <v>No</v>
      </c>
      <c r="AJ529" s="8" t="str">
        <f ca="1">IFERROR(__xludf.DUMMYFUNCTION("""COMPUTED_VALUE"""),"No")</f>
        <v>No</v>
      </c>
      <c r="AK529" s="8" t="str">
        <f ca="1">IFERROR(__xludf.DUMMYFUNCTION("""COMPUTED_VALUE"""),"No")</f>
        <v>No</v>
      </c>
      <c r="AL529" s="8" t="str">
        <f ca="1">IFERROR(__xludf.DUMMYFUNCTION("""COMPUTED_VALUE"""),"No")</f>
        <v>No</v>
      </c>
      <c r="AM529" s="8" t="str">
        <f ca="1">IFERROR(__xludf.DUMMYFUNCTION("""COMPUTED_VALUE"""),"No")</f>
        <v>No</v>
      </c>
      <c r="AN529" s="8" t="str">
        <f ca="1">IFERROR(__xludf.DUMMYFUNCTION("""COMPUTED_VALUE"""),"Outside")</f>
        <v>Outside</v>
      </c>
      <c r="AO529" s="8" t="str">
        <f ca="1">IFERROR(__xludf.DUMMYFUNCTION("""COMPUTED_VALUE"""),"No")</f>
        <v>No</v>
      </c>
      <c r="AP529" s="8" t="str">
        <f ca="1">IFERROR(__xludf.DUMMYFUNCTION("""COMPUTED_VALUE"""),"Yes")</f>
        <v>Yes</v>
      </c>
      <c r="AQ529" s="8" t="str">
        <f ca="1">IFERROR(__xludf.DUMMYFUNCTION("""COMPUTED_VALUE"""),"Armed Guards")</f>
        <v>Armed Guards</v>
      </c>
      <c r="AR529" s="8" t="str">
        <f ca="1">IFERROR(__xludf.DUMMYFUNCTION("""COMPUTED_VALUE"""),"Outside/Off-Property")</f>
        <v>Outside/Off-Property</v>
      </c>
      <c r="AS529" s="8"/>
      <c r="AT529" s="8" t="str">
        <f ca="1">IFERROR(__xludf.DUMMYFUNCTION("""COMPUTED_VALUE"""),"Yes")</f>
        <v>Yes</v>
      </c>
      <c r="AU529" s="8">
        <f ca="1">IFERROR(__xludf.DUMMYFUNCTION("""COMPUTED_VALUE"""),30.322673)</f>
        <v>30.322673000000002</v>
      </c>
      <c r="AV529" s="8">
        <f ca="1">IFERROR(__xludf.DUMMYFUNCTION("""COMPUTED_VALUE"""),-97.690461)</f>
        <v>-97.690460999999999</v>
      </c>
      <c r="AW529" s="8"/>
      <c r="AX529" s="8">
        <f ca="1">IFERROR(__xludf.DUMMYFUNCTION("""COMPUTED_VALUE"""),78752)</f>
        <v>78752</v>
      </c>
    </row>
    <row r="530" spans="1:50" ht="60" x14ac:dyDescent="0.2">
      <c r="A530" s="8" t="str">
        <f ca="1">IFERROR(__xludf.DUMMYFUNCTION("""COMPUTED_VALUE"""),"20231202VADRA")</f>
        <v>20231202VADRA</v>
      </c>
      <c r="B530" s="8">
        <f ca="1">IFERROR(__xludf.DUMMYFUNCTION("""COMPUTED_VALUE"""),12)</f>
        <v>12</v>
      </c>
      <c r="C530" s="8">
        <f ca="1">IFERROR(__xludf.DUMMYFUNCTION("""COMPUTED_VALUE"""),2)</f>
        <v>2</v>
      </c>
      <c r="D530" s="8">
        <f ca="1">IFERROR(__xludf.DUMMYFUNCTION("""COMPUTED_VALUE"""),2023)</f>
        <v>2023</v>
      </c>
      <c r="E530" s="9">
        <f ca="1">IFERROR(__xludf.DUMMYFUNCTION("""COMPUTED_VALUE"""),45262)</f>
        <v>45262</v>
      </c>
      <c r="F530" s="8" t="str">
        <f ca="1">IFERROR(__xludf.DUMMYFUNCTION("""COMPUTED_VALUE"""),"Dr. Charles R. Drew Elementary School")</f>
        <v>Dr. Charles R. Drew Elementary School</v>
      </c>
      <c r="G530" s="8">
        <f ca="1">IFERROR(__xludf.DUMMYFUNCTION("""COMPUTED_VALUE"""),0)</f>
        <v>0</v>
      </c>
      <c r="H530" s="8">
        <f ca="1">IFERROR(__xludf.DUMMYFUNCTION("""COMPUTED_VALUE"""),0)</f>
        <v>0</v>
      </c>
      <c r="I530" s="8">
        <f ca="1">IFERROR(__xludf.DUMMYFUNCTION("""COMPUTED_VALUE"""),0)</f>
        <v>0</v>
      </c>
      <c r="J530" s="8">
        <f ca="1">IFERROR(__xludf.DUMMYFUNCTION("""COMPUTED_VALUE"""),0)</f>
        <v>0</v>
      </c>
      <c r="K530" s="10" t="str">
        <f ca="1">IFERROR(__xludf.DUMMYFUNCTION("""COMPUTED_VALUE"""),"https://dailyvoice.com/virginia/arlington/arrest-made-in-arlington-parking-lot-shooting/")</f>
        <v>https://dailyvoice.com/virginia/arlington/arrest-made-in-arlington-parking-lot-shooting/</v>
      </c>
      <c r="L530" s="8">
        <f ca="1">IFERROR(__xludf.DUMMYFUNCTION("""COMPUTED_VALUE"""),1)</f>
        <v>1</v>
      </c>
      <c r="M530" s="8" t="str">
        <f ca="1">IFERROR(__xludf.DUMMYFUNCTION("""COMPUTED_VALUE"""),"Local")</f>
        <v>Local</v>
      </c>
      <c r="N530" s="8">
        <f ca="1">IFERROR(__xludf.DUMMYFUNCTION("""COMPUTED_VALUE"""),3)</f>
        <v>3</v>
      </c>
      <c r="O530" s="8" t="str">
        <f ca="1">IFERROR(__xludf.DUMMYFUNCTION("""COMPUTED_VALUE"""),"Winter")</f>
        <v>Winter</v>
      </c>
      <c r="P530" s="8" t="str">
        <f ca="1">IFERROR(__xludf.DUMMYFUNCTION("""COMPUTED_VALUE"""),"Arlington")</f>
        <v>Arlington</v>
      </c>
      <c r="Q530" s="8" t="str">
        <f ca="1">IFERROR(__xludf.DUMMYFUNCTION("""COMPUTED_VALUE"""),"VA")</f>
        <v>VA</v>
      </c>
      <c r="R530" s="8" t="str">
        <f ca="1">IFERROR(__xludf.DUMMYFUNCTION("""COMPUTED_VALUE"""),"Elementary")</f>
        <v>Elementary</v>
      </c>
      <c r="S530" s="8" t="str">
        <f ca="1">IFERROR(__xludf.DUMMYFUNCTION("""COMPUTED_VALUE"""),"Parking Lot")</f>
        <v>Parking Lot</v>
      </c>
      <c r="T530" s="8" t="str">
        <f ca="1">IFERROR(__xludf.DUMMYFUNCTION("""COMPUTED_VALUE"""),"Outside on School Property")</f>
        <v>Outside on School Property</v>
      </c>
      <c r="U530" s="8" t="str">
        <f ca="1">IFERROR(__xludf.DUMMYFUNCTION("""COMPUTED_VALUE"""),"No")</f>
        <v>No</v>
      </c>
      <c r="V530" s="8" t="str">
        <f ca="1">IFERROR(__xludf.DUMMYFUNCTION("""COMPUTED_VALUE"""),"Not a School Day")</f>
        <v>Not a School Day</v>
      </c>
      <c r="W530" s="8"/>
      <c r="X530" s="8"/>
      <c r="Y530" s="12" t="str">
        <f ca="1">IFERROR(__xludf.DUMMYFUNCTION("""COMPUTED_VALUE"""),"Two men fired at a vehicle leaving the school parking lot")</f>
        <v>Two men fired at a vehicle leaving the school parking lot</v>
      </c>
      <c r="Z530" s="12" t="str">
        <f ca="1">IFERROR(__xludf.DUMMYFUNCTION("""COMPUTED_VALUE"""),"Elijah Broadus, 21, and  Isaiah Grady, 18, were charged for their roles in a shooting in which at least one person in a group of six fired at a vehicle leaving the school parking lot on Dec. 2, Arlington County police said.")</f>
        <v>Elijah Broadus, 21, and  Isaiah Grady, 18, were charged for their roles in a shooting in which at least one person in a group of six fired at a vehicle leaving the school parking lot on Dec. 2, Arlington County police said.</v>
      </c>
      <c r="AA530" s="8"/>
      <c r="AB530" s="8"/>
      <c r="AC530" s="8" t="str">
        <f ca="1">IFERROR(__xludf.DUMMYFUNCTION("""COMPUTED_VALUE"""),"No")</f>
        <v>No</v>
      </c>
      <c r="AD530" s="8" t="str">
        <f ca="1">IFERROR(__xludf.DUMMYFUNCTION("""COMPUTED_VALUE"""),"Victims Targeted")</f>
        <v>Victims Targeted</v>
      </c>
      <c r="AE530" s="8" t="str">
        <f ca="1">IFERROR(__xludf.DUMMYFUNCTION("""COMPUTED_VALUE"""),"Yes")</f>
        <v>Yes</v>
      </c>
      <c r="AF530" s="8"/>
      <c r="AG530" s="8" t="str">
        <f ca="1">IFERROR(__xludf.DUMMYFUNCTION("""COMPUTED_VALUE"""),"No")</f>
        <v>No</v>
      </c>
      <c r="AH530" s="8" t="str">
        <f ca="1">IFERROR(__xludf.DUMMYFUNCTION("""COMPUTED_VALUE"""),"No")</f>
        <v>No</v>
      </c>
      <c r="AI530" s="8" t="str">
        <f ca="1">IFERROR(__xludf.DUMMYFUNCTION("""COMPUTED_VALUE"""),"No")</f>
        <v>No</v>
      </c>
      <c r="AJ530" s="8" t="str">
        <f ca="1">IFERROR(__xludf.DUMMYFUNCTION("""COMPUTED_VALUE"""),"No")</f>
        <v>No</v>
      </c>
      <c r="AK530" s="8" t="str">
        <f ca="1">IFERROR(__xludf.DUMMYFUNCTION("""COMPUTED_VALUE"""),"No")</f>
        <v>No</v>
      </c>
      <c r="AL530" s="8"/>
      <c r="AM530" s="8" t="str">
        <f ca="1">IFERROR(__xludf.DUMMYFUNCTION("""COMPUTED_VALUE"""),"No")</f>
        <v>No</v>
      </c>
      <c r="AN530" s="8" t="str">
        <f ca="1">IFERROR(__xludf.DUMMYFUNCTION("""COMPUTED_VALUE"""),"Outside")</f>
        <v>Outside</v>
      </c>
      <c r="AO530" s="8" t="str">
        <f ca="1">IFERROR(__xludf.DUMMYFUNCTION("""COMPUTED_VALUE"""),"No")</f>
        <v>No</v>
      </c>
      <c r="AP530" s="8"/>
      <c r="AQ530" s="8"/>
      <c r="AR530" s="8" t="str">
        <f ca="1">IFERROR(__xludf.DUMMYFUNCTION("""COMPUTED_VALUE"""),"Outside/Off-Property")</f>
        <v>Outside/Off-Property</v>
      </c>
      <c r="AS530" s="8">
        <f ca="1">IFERROR(__xludf.DUMMYFUNCTION("""COMPUTED_VALUE"""),99)</f>
        <v>99</v>
      </c>
      <c r="AT530" s="8" t="str">
        <f ca="1">IFERROR(__xludf.DUMMYFUNCTION("""COMPUTED_VALUE"""),"No")</f>
        <v>No</v>
      </c>
      <c r="AU530" s="8">
        <f ca="1">IFERROR(__xludf.DUMMYFUNCTION("""COMPUTED_VALUE"""),38.848849)</f>
        <v>38.848849000000001</v>
      </c>
      <c r="AV530" s="8">
        <f ca="1">IFERROR(__xludf.DUMMYFUNCTION("""COMPUTED_VALUE"""),-77.086558)</f>
        <v>-77.086557999999997</v>
      </c>
      <c r="AW530" s="8"/>
      <c r="AX530" s="8">
        <f ca="1">IFERROR(__xludf.DUMMYFUNCTION("""COMPUTED_VALUE"""),22206)</f>
        <v>22206</v>
      </c>
    </row>
    <row r="531" spans="1:50" ht="195" x14ac:dyDescent="0.2">
      <c r="A531" s="8" t="str">
        <f ca="1">IFERROR(__xludf.DUMMYFUNCTION("""COMPUTED_VALUE"""),"20231201OHBUA")</f>
        <v>20231201OHBUA</v>
      </c>
      <c r="B531" s="8">
        <f ca="1">IFERROR(__xludf.DUMMYFUNCTION("""COMPUTED_VALUE"""),12)</f>
        <v>12</v>
      </c>
      <c r="C531" s="8">
        <f ca="1">IFERROR(__xludf.DUMMYFUNCTION("""COMPUTED_VALUE"""),1)</f>
        <v>1</v>
      </c>
      <c r="D531" s="8">
        <f ca="1">IFERROR(__xludf.DUMMYFUNCTION("""COMPUTED_VALUE"""),2023)</f>
        <v>2023</v>
      </c>
      <c r="E531" s="9">
        <f ca="1">IFERROR(__xludf.DUMMYFUNCTION("""COMPUTED_VALUE"""),45261)</f>
        <v>45261</v>
      </c>
      <c r="F531" s="8" t="str">
        <f ca="1">IFERROR(__xludf.DUMMYFUNCTION("""COMPUTED_VALUE"""),"Buchtel High School")</f>
        <v>Buchtel High School</v>
      </c>
      <c r="G531" s="8">
        <f ca="1">IFERROR(__xludf.DUMMYFUNCTION("""COMPUTED_VALUE"""),0)</f>
        <v>0</v>
      </c>
      <c r="H531" s="8">
        <f ca="1">IFERROR(__xludf.DUMMYFUNCTION("""COMPUTED_VALUE"""),0)</f>
        <v>0</v>
      </c>
      <c r="I531" s="8">
        <f ca="1">IFERROR(__xludf.DUMMYFUNCTION("""COMPUTED_VALUE"""),0)</f>
        <v>0</v>
      </c>
      <c r="J531" s="8">
        <f ca="1">IFERROR(__xludf.DUMMYFUNCTION("""COMPUTED_VALUE"""),0)</f>
        <v>0</v>
      </c>
      <c r="K531" s="10" t="str">
        <f ca="1">IFERROR(__xludf.DUMMYFUNCTION("""COMPUTED_VALUE"""),"https://www.beaconjournal.com/story/news/crime/2023/12/01/akron-police-say-teen-in-buchtel-fight-had-live-ammo-in-airsoft-gun/71774527007/")</f>
        <v>https://www.beaconjournal.com/story/news/crime/2023/12/01/akron-police-say-teen-in-buchtel-fight-had-live-ammo-in-airsoft-gun/71774527007/</v>
      </c>
      <c r="L531" s="8">
        <f ca="1">IFERROR(__xludf.DUMMYFUNCTION("""COMPUTED_VALUE"""),1)</f>
        <v>1</v>
      </c>
      <c r="M531" s="8" t="str">
        <f ca="1">IFERROR(__xludf.DUMMYFUNCTION("""COMPUTED_VALUE"""),"Local")</f>
        <v>Local</v>
      </c>
      <c r="N531" s="8">
        <f ca="1">IFERROR(__xludf.DUMMYFUNCTION("""COMPUTED_VALUE"""),4)</f>
        <v>4</v>
      </c>
      <c r="O531" s="8" t="str">
        <f ca="1">IFERROR(__xludf.DUMMYFUNCTION("""COMPUTED_VALUE"""),"Winter")</f>
        <v>Winter</v>
      </c>
      <c r="P531" s="8" t="str">
        <f ca="1">IFERROR(__xludf.DUMMYFUNCTION("""COMPUTED_VALUE"""),"Akron")</f>
        <v>Akron</v>
      </c>
      <c r="Q531" s="8" t="str">
        <f ca="1">IFERROR(__xludf.DUMMYFUNCTION("""COMPUTED_VALUE"""),"OH")</f>
        <v>OH</v>
      </c>
      <c r="R531" s="8" t="str">
        <f ca="1">IFERROR(__xludf.DUMMYFUNCTION("""COMPUTED_VALUE"""),"High")</f>
        <v>High</v>
      </c>
      <c r="S531" s="8" t="str">
        <f ca="1">IFERROR(__xludf.DUMMYFUNCTION("""COMPUTED_VALUE"""),"Front of School")</f>
        <v>Front of School</v>
      </c>
      <c r="T531" s="8" t="str">
        <f ca="1">IFERROR(__xludf.DUMMYFUNCTION("""COMPUTED_VALUE"""),"Outside on School Property")</f>
        <v>Outside on School Property</v>
      </c>
      <c r="U531" s="8" t="str">
        <f ca="1">IFERROR(__xludf.DUMMYFUNCTION("""COMPUTED_VALUE"""),"Yes")</f>
        <v>Yes</v>
      </c>
      <c r="V531" s="8" t="str">
        <f ca="1">IFERROR(__xludf.DUMMYFUNCTION("""COMPUTED_VALUE"""),"Dismissal")</f>
        <v>Dismissal</v>
      </c>
      <c r="W531" s="11">
        <f ca="1">IFERROR(__xludf.DUMMYFUNCTION("""COMPUTED_VALUE"""),0.642361111111111)</f>
        <v>0.64236111111111105</v>
      </c>
      <c r="X531" s="8">
        <f ca="1">IFERROR(__xludf.DUMMYFUNCTION("""COMPUTED_VALUE"""),1)</f>
        <v>1</v>
      </c>
      <c r="Y531" s="12" t="str">
        <f ca="1">IFERROR(__xludf.DUMMYFUNCTION("""COMPUTED_VALUE"""),"Teen attempted to pull replica rifle loaded with .223 ammo during fight, subdued by SRO")</f>
        <v>Teen attempted to pull replica rifle loaded with .223 ammo during fight, subdued by SRO</v>
      </c>
      <c r="Z531" s="12" t="str">
        <f ca="1">IFERROR(__xludf.DUMMYFUNCTION("""COMPUTED_VALUE"""),"Akron police arrested a 15-year-old who they said had live ammunition in an airsoft-type gun after they were called to a fight outside Buchtel CLC Friday afternoon. The call came just after dismissal around 3:25 p.m., when APS safety team members said the"&amp;"y saw at least three male teens in a fight. Two of the teens are presumed students at the school, while the 15-year-old police arrested was not. Police said safety team members saw the 15-year-old with what appeared to be the end of a firearm concealed an"&amp;"d sticking out of his waistband. Police said the other two teens involved in the fight fled the scene, and the school resource officer joined the safety team members, who were actively struggling to restrain the armed teen on the ground.")</f>
        <v>Akron police arrested a 15-year-old who they said had live ammunition in an airsoft-type gun after they were called to a fight outside Buchtel CLC Friday afternoon. The call came just after dismissal around 3:25 p.m., when APS safety team members said they saw at least three male teens in a fight. Two of the teens are presumed students at the school, while the 15-year-old police arrested was not. Police said safety team members saw the 15-year-old with what appeared to be the end of a firearm concealed and sticking out of his waistband. Police said the other two teens involved in the fight fled the scene, and the school resource officer joined the safety team members, who were actively struggling to restrain the armed teen on the ground.</v>
      </c>
      <c r="AA531" s="8" t="str">
        <f ca="1">IFERROR(__xludf.DUMMYFUNCTION("""COMPUTED_VALUE"""),"Escalation of Dispute")</f>
        <v>Escalation of Dispute</v>
      </c>
      <c r="AB531" s="8" t="str">
        <f ca="1">IFERROR(__xludf.DUMMYFUNCTION("""COMPUTED_VALUE"""),"Spontaneous")</f>
        <v>Spontaneous</v>
      </c>
      <c r="AC531" s="8" t="str">
        <f ca="1">IFERROR(__xludf.DUMMYFUNCTION("""COMPUTED_VALUE"""),"Yes")</f>
        <v>Yes</v>
      </c>
      <c r="AD531" s="8" t="str">
        <f ca="1">IFERROR(__xludf.DUMMYFUNCTION("""COMPUTED_VALUE"""),"Victims Targeted")</f>
        <v>Victims Targeted</v>
      </c>
      <c r="AE531" s="8" t="str">
        <f ca="1">IFERROR(__xludf.DUMMYFUNCTION("""COMPUTED_VALUE"""),"No")</f>
        <v>No</v>
      </c>
      <c r="AF531" s="8"/>
      <c r="AG531" s="8" t="str">
        <f ca="1">IFERROR(__xludf.DUMMYFUNCTION("""COMPUTED_VALUE"""),"No")</f>
        <v>No</v>
      </c>
      <c r="AH531" s="8" t="str">
        <f ca="1">IFERROR(__xludf.DUMMYFUNCTION("""COMPUTED_VALUE"""),"No")</f>
        <v>No</v>
      </c>
      <c r="AI531" s="8" t="str">
        <f ca="1">IFERROR(__xludf.DUMMYFUNCTION("""COMPUTED_VALUE"""),"No")</f>
        <v>No</v>
      </c>
      <c r="AJ531" s="8" t="str">
        <f ca="1">IFERROR(__xludf.DUMMYFUNCTION("""COMPUTED_VALUE"""),"No")</f>
        <v>No</v>
      </c>
      <c r="AK531" s="8" t="str">
        <f ca="1">IFERROR(__xludf.DUMMYFUNCTION("""COMPUTED_VALUE"""),"No")</f>
        <v>No</v>
      </c>
      <c r="AL531" s="8"/>
      <c r="AM531" s="8" t="str">
        <f ca="1">IFERROR(__xludf.DUMMYFUNCTION("""COMPUTED_VALUE"""),"No")</f>
        <v>No</v>
      </c>
      <c r="AN531" s="8" t="str">
        <f ca="1">IFERROR(__xludf.DUMMYFUNCTION("""COMPUTED_VALUE"""),"Outside")</f>
        <v>Outside</v>
      </c>
      <c r="AO531" s="8" t="str">
        <f ca="1">IFERROR(__xludf.DUMMYFUNCTION("""COMPUTED_VALUE"""),"No")</f>
        <v>No</v>
      </c>
      <c r="AP531" s="8" t="str">
        <f ca="1">IFERROR(__xludf.DUMMYFUNCTION("""COMPUTED_VALUE"""),"Yes")</f>
        <v>Yes</v>
      </c>
      <c r="AQ531" s="8" t="str">
        <f ca="1">IFERROR(__xludf.DUMMYFUNCTION("""COMPUTED_VALUE"""),"Armed Guards")</f>
        <v>Armed Guards</v>
      </c>
      <c r="AR531" s="8" t="str">
        <f ca="1">IFERROR(__xludf.DUMMYFUNCTION("""COMPUTED_VALUE"""),"Outside/Off-Property")</f>
        <v>Outside/Off-Property</v>
      </c>
      <c r="AS531" s="8">
        <f ca="1">IFERROR(__xludf.DUMMYFUNCTION("""COMPUTED_VALUE"""),0)</f>
        <v>0</v>
      </c>
      <c r="AT531" s="8" t="str">
        <f ca="1">IFERROR(__xludf.DUMMYFUNCTION("""COMPUTED_VALUE"""),"No")</f>
        <v>No</v>
      </c>
      <c r="AU531" s="8">
        <f ca="1">IFERROR(__xludf.DUMMYFUNCTION("""COMPUTED_VALUE"""),41.086244)</f>
        <v>41.086244000000001</v>
      </c>
      <c r="AV531" s="8">
        <f ca="1">IFERROR(__xludf.DUMMYFUNCTION("""COMPUTED_VALUE"""),-81.560547)</f>
        <v>-81.560547</v>
      </c>
      <c r="AW531" s="8"/>
      <c r="AX531" s="8">
        <f ca="1">IFERROR(__xludf.DUMMYFUNCTION("""COMPUTED_VALUE"""),44320)</f>
        <v>44320</v>
      </c>
    </row>
    <row r="532" spans="1:50" ht="90" x14ac:dyDescent="0.2">
      <c r="A532" s="8" t="str">
        <f ca="1">IFERROR(__xludf.DUMMYFUNCTION("""COMPUTED_VALUE"""),"20231201OHNOC")</f>
        <v>20231201OHNOC</v>
      </c>
      <c r="B532" s="8">
        <f ca="1">IFERROR(__xludf.DUMMYFUNCTION("""COMPUTED_VALUE"""),12)</f>
        <v>12</v>
      </c>
      <c r="C532" s="8">
        <f ca="1">IFERROR(__xludf.DUMMYFUNCTION("""COMPUTED_VALUE"""),1)</f>
        <v>1</v>
      </c>
      <c r="D532" s="8">
        <f ca="1">IFERROR(__xludf.DUMMYFUNCTION("""COMPUTED_VALUE"""),2023)</f>
        <v>2023</v>
      </c>
      <c r="E532" s="9">
        <f ca="1">IFERROR(__xludf.DUMMYFUNCTION("""COMPUTED_VALUE"""),45261)</f>
        <v>45261</v>
      </c>
      <c r="F532" s="8" t="str">
        <f ca="1">IFERROR(__xludf.DUMMYFUNCTION("""COMPUTED_VALUE"""),"North College Hill High School")</f>
        <v>North College Hill High School</v>
      </c>
      <c r="G532" s="8">
        <f ca="1">IFERROR(__xludf.DUMMYFUNCTION("""COMPUTED_VALUE"""),0)</f>
        <v>0</v>
      </c>
      <c r="H532" s="8">
        <f ca="1">IFERROR(__xludf.DUMMYFUNCTION("""COMPUTED_VALUE"""),1)</f>
        <v>1</v>
      </c>
      <c r="I532" s="8">
        <f ca="1">IFERROR(__xludf.DUMMYFUNCTION("""COMPUTED_VALUE"""),1)</f>
        <v>1</v>
      </c>
      <c r="J532" s="8">
        <f ca="1">IFERROR(__xludf.DUMMYFUNCTION("""COMPUTED_VALUE"""),0)</f>
        <v>0</v>
      </c>
      <c r="K532" s="8" t="str">
        <f ca="1">IFERROR(__xludf.DUMMYFUNCTION("""COMPUTED_VALUE"""),"https://www.fox19.com/2023/12/01/north-college-hill-high-school-lockdown-after-man-shot-school-dispatch-says/
https://www.wcpo.com/news/local-news/hamilton-county/north-college-hill/superintendent-person-shot-near-north-college-hill-high-school-football-f"&amp;"ield")</f>
        <v>https://www.fox19.com/2023/12/01/north-college-hill-high-school-lockdown-after-man-shot-school-dispatch-says/
https://www.wcpo.com/news/local-news/hamilton-county/north-college-hill/superintendent-person-shot-near-north-college-hill-high-school-football-field</v>
      </c>
      <c r="L532" s="8">
        <f ca="1">IFERROR(__xludf.DUMMYFUNCTION("""COMPUTED_VALUE"""),2)</f>
        <v>2</v>
      </c>
      <c r="M532" s="8" t="str">
        <f ca="1">IFERROR(__xludf.DUMMYFUNCTION("""COMPUTED_VALUE"""),"Local")</f>
        <v>Local</v>
      </c>
      <c r="N532" s="8">
        <f ca="1">IFERROR(__xludf.DUMMYFUNCTION("""COMPUTED_VALUE"""),4)</f>
        <v>4</v>
      </c>
      <c r="O532" s="8" t="str">
        <f ca="1">IFERROR(__xludf.DUMMYFUNCTION("""COMPUTED_VALUE"""),"Winter")</f>
        <v>Winter</v>
      </c>
      <c r="P532" s="8" t="str">
        <f ca="1">IFERROR(__xludf.DUMMYFUNCTION("""COMPUTED_VALUE"""),"Cincinnati")</f>
        <v>Cincinnati</v>
      </c>
      <c r="Q532" s="8" t="str">
        <f ca="1">IFERROR(__xludf.DUMMYFUNCTION("""COMPUTED_VALUE"""),"OH")</f>
        <v>OH</v>
      </c>
      <c r="R532" s="8" t="str">
        <f ca="1">IFERROR(__xludf.DUMMYFUNCTION("""COMPUTED_VALUE"""),"High")</f>
        <v>High</v>
      </c>
      <c r="S532" s="8" t="str">
        <f ca="1">IFERROR(__xludf.DUMMYFUNCTION("""COMPUTED_VALUE"""),"Football Field/Track")</f>
        <v>Football Field/Track</v>
      </c>
      <c r="T532" s="8" t="str">
        <f ca="1">IFERROR(__xludf.DUMMYFUNCTION("""COMPUTED_VALUE"""),"Outside on School Property")</f>
        <v>Outside on School Property</v>
      </c>
      <c r="U532" s="8" t="str">
        <f ca="1">IFERROR(__xludf.DUMMYFUNCTION("""COMPUTED_VALUE"""),"Yes")</f>
        <v>Yes</v>
      </c>
      <c r="V532" s="8" t="str">
        <f ca="1">IFERROR(__xludf.DUMMYFUNCTION("""COMPUTED_VALUE"""),"Afternoon Classes")</f>
        <v>Afternoon Classes</v>
      </c>
      <c r="W532" s="11">
        <f ca="1">IFERROR(__xludf.DUMMYFUNCTION("""COMPUTED_VALUE"""),0.583333333333333)</f>
        <v>0.58333333333333304</v>
      </c>
      <c r="X532" s="8">
        <f ca="1">IFERROR(__xludf.DUMMYFUNCTION("""COMPUTED_VALUE"""),1)</f>
        <v>1</v>
      </c>
      <c r="Y532" s="12" t="str">
        <f ca="1">IFERROR(__xludf.DUMMYFUNCTION("""COMPUTED_VALUE"""),"Man shot near the football field during an altercation between adults, school went on lockdown")</f>
        <v>Man shot near the football field during an altercation between adults, school went on lockdown</v>
      </c>
      <c r="Z532" s="12" t="str">
        <f ca="1">IFERROR(__xludf.DUMMYFUNCTION("""COMPUTED_VALUE"""),"Man shot near the football field during an altercation between adults. Shooter fled  school and school went on lockdown.")</f>
        <v>Man shot near the football field during an altercation between adults. Shooter fled  school and school went on lockdown.</v>
      </c>
      <c r="AA532" s="8" t="str">
        <f ca="1">IFERROR(__xludf.DUMMYFUNCTION("""COMPUTED_VALUE"""),"Escalation of Dispute")</f>
        <v>Escalation of Dispute</v>
      </c>
      <c r="AB532" s="8" t="str">
        <f ca="1">IFERROR(__xludf.DUMMYFUNCTION("""COMPUTED_VALUE"""),"Targeted")</f>
        <v>Targeted</v>
      </c>
      <c r="AC532" s="8" t="str">
        <f ca="1">IFERROR(__xludf.DUMMYFUNCTION("""COMPUTED_VALUE"""),"Yes")</f>
        <v>Yes</v>
      </c>
      <c r="AD532" s="8" t="str">
        <f ca="1">IFERROR(__xludf.DUMMYFUNCTION("""COMPUTED_VALUE"""),"Victims Targeted")</f>
        <v>Victims Targeted</v>
      </c>
      <c r="AE532" s="8" t="str">
        <f ca="1">IFERROR(__xludf.DUMMYFUNCTION("""COMPUTED_VALUE"""),"No")</f>
        <v>No</v>
      </c>
      <c r="AF532" s="8"/>
      <c r="AG532" s="8" t="str">
        <f ca="1">IFERROR(__xludf.DUMMYFUNCTION("""COMPUTED_VALUE"""),"No")</f>
        <v>No</v>
      </c>
      <c r="AH532" s="8" t="str">
        <f ca="1">IFERROR(__xludf.DUMMYFUNCTION("""COMPUTED_VALUE"""),"No")</f>
        <v>No</v>
      </c>
      <c r="AI532" s="8" t="str">
        <f ca="1">IFERROR(__xludf.DUMMYFUNCTION("""COMPUTED_VALUE"""),"No")</f>
        <v>No</v>
      </c>
      <c r="AJ532" s="8" t="str">
        <f ca="1">IFERROR(__xludf.DUMMYFUNCTION("""COMPUTED_VALUE"""),"No")</f>
        <v>No</v>
      </c>
      <c r="AK532" s="8" t="str">
        <f ca="1">IFERROR(__xludf.DUMMYFUNCTION("""COMPUTED_VALUE"""),"No")</f>
        <v>No</v>
      </c>
      <c r="AL532" s="8" t="str">
        <f ca="1">IFERROR(__xludf.DUMMYFUNCTION("""COMPUTED_VALUE"""),"No")</f>
        <v>No</v>
      </c>
      <c r="AM532" s="8" t="str">
        <f ca="1">IFERROR(__xludf.DUMMYFUNCTION("""COMPUTED_VALUE"""),"No")</f>
        <v>No</v>
      </c>
      <c r="AN532" s="8" t="str">
        <f ca="1">IFERROR(__xludf.DUMMYFUNCTION("""COMPUTED_VALUE"""),"Outside")</f>
        <v>Outside</v>
      </c>
      <c r="AO532" s="8" t="str">
        <f ca="1">IFERROR(__xludf.DUMMYFUNCTION("""COMPUTED_VALUE"""),"No")</f>
        <v>No</v>
      </c>
      <c r="AP532" s="8"/>
      <c r="AQ532" s="8"/>
      <c r="AR532" s="8" t="str">
        <f ca="1">IFERROR(__xludf.DUMMYFUNCTION("""COMPUTED_VALUE"""),"Outside/Off-Property")</f>
        <v>Outside/Off-Property</v>
      </c>
      <c r="AS532" s="8">
        <f ca="1">IFERROR(__xludf.DUMMYFUNCTION("""COMPUTED_VALUE"""),99)</f>
        <v>99</v>
      </c>
      <c r="AT532" s="8" t="str">
        <f ca="1">IFERROR(__xludf.DUMMYFUNCTION("""COMPUTED_VALUE"""),"Yes")</f>
        <v>Yes</v>
      </c>
      <c r="AU532" s="8">
        <f ca="1">IFERROR(__xludf.DUMMYFUNCTION("""COMPUTED_VALUE"""),39.21969)</f>
        <v>39.21969</v>
      </c>
      <c r="AV532" s="8">
        <f ca="1">IFERROR(__xludf.DUMMYFUNCTION("""COMPUTED_VALUE"""),-84.551448)</f>
        <v>-84.551447999999993</v>
      </c>
      <c r="AW532" s="8"/>
      <c r="AX532" s="8">
        <f ca="1">IFERROR(__xludf.DUMMYFUNCTION("""COMPUTED_VALUE"""),45239)</f>
        <v>45239</v>
      </c>
    </row>
    <row r="533" spans="1:50" ht="105" x14ac:dyDescent="0.2">
      <c r="A533" s="8" t="str">
        <f ca="1">IFERROR(__xludf.DUMMYFUNCTION("""COMPUTED_VALUE"""),"20231201DCKIW")</f>
        <v>20231201DCKIW</v>
      </c>
      <c r="B533" s="8">
        <f ca="1">IFERROR(__xludf.DUMMYFUNCTION("""COMPUTED_VALUE"""),12)</f>
        <v>12</v>
      </c>
      <c r="C533" s="8">
        <f ca="1">IFERROR(__xludf.DUMMYFUNCTION("""COMPUTED_VALUE"""),1)</f>
        <v>1</v>
      </c>
      <c r="D533" s="8">
        <f ca="1">IFERROR(__xludf.DUMMYFUNCTION("""COMPUTED_VALUE"""),2023)</f>
        <v>2023</v>
      </c>
      <c r="E533" s="9">
        <f ca="1">IFERROR(__xludf.DUMMYFUNCTION("""COMPUTED_VALUE"""),45261)</f>
        <v>45261</v>
      </c>
      <c r="F533" s="8" t="str">
        <f ca="1">IFERROR(__xludf.DUMMYFUNCTION("""COMPUTED_VALUE"""),"KIPP DC College Preparatory School")</f>
        <v>KIPP DC College Preparatory School</v>
      </c>
      <c r="G533" s="8">
        <f ca="1">IFERROR(__xludf.DUMMYFUNCTION("""COMPUTED_VALUE"""),0)</f>
        <v>0</v>
      </c>
      <c r="H533" s="8">
        <f ca="1">IFERROR(__xludf.DUMMYFUNCTION("""COMPUTED_VALUE"""),1)</f>
        <v>1</v>
      </c>
      <c r="I533" s="8">
        <f ca="1">IFERROR(__xludf.DUMMYFUNCTION("""COMPUTED_VALUE"""),1)</f>
        <v>1</v>
      </c>
      <c r="J533" s="8">
        <f ca="1">IFERROR(__xludf.DUMMYFUNCTION("""COMPUTED_VALUE"""),0)</f>
        <v>0</v>
      </c>
      <c r="K533" s="8" t="str">
        <f ca="1">IFERROR(__xludf.DUMMYFUNCTION("""COMPUTED_VALUE"""),"https://www.nbcwashington.com/news/local/17-year-old-found-shot-near-kipp-dc-college-prep-school/3484282/
https://www.dcnewsnow.com/news/local-news/washington-dc/person-shot-near-school-in-northeast-dc/")</f>
        <v>https://www.nbcwashington.com/news/local/17-year-old-found-shot-near-kipp-dc-college-prep-school/3484282/
https://www.dcnewsnow.com/news/local-news/washington-dc/person-shot-near-school-in-northeast-dc/</v>
      </c>
      <c r="L533" s="8">
        <f ca="1">IFERROR(__xludf.DUMMYFUNCTION("""COMPUTED_VALUE"""),6)</f>
        <v>6</v>
      </c>
      <c r="M533" s="8" t="str">
        <f ca="1">IFERROR(__xludf.DUMMYFUNCTION("""COMPUTED_VALUE"""),"Regional")</f>
        <v>Regional</v>
      </c>
      <c r="N533" s="8">
        <f ca="1">IFERROR(__xludf.DUMMYFUNCTION("""COMPUTED_VALUE"""),4)</f>
        <v>4</v>
      </c>
      <c r="O533" s="8" t="str">
        <f ca="1">IFERROR(__xludf.DUMMYFUNCTION("""COMPUTED_VALUE"""),"Winter")</f>
        <v>Winter</v>
      </c>
      <c r="P533" s="8" t="str">
        <f ca="1">IFERROR(__xludf.DUMMYFUNCTION("""COMPUTED_VALUE"""),"Washington")</f>
        <v>Washington</v>
      </c>
      <c r="Q533" s="8" t="str">
        <f ca="1">IFERROR(__xludf.DUMMYFUNCTION("""COMPUTED_VALUE"""),"DC")</f>
        <v>DC</v>
      </c>
      <c r="R533" s="8" t="str">
        <f ca="1">IFERROR(__xludf.DUMMYFUNCTION("""COMPUTED_VALUE"""),"High")</f>
        <v>High</v>
      </c>
      <c r="S533" s="8" t="str">
        <f ca="1">IFERROR(__xludf.DUMMYFUNCTION("""COMPUTED_VALUE"""),"Front of School")</f>
        <v>Front of School</v>
      </c>
      <c r="T533" s="8" t="str">
        <f ca="1">IFERROR(__xludf.DUMMYFUNCTION("""COMPUTED_VALUE"""),"Outside on School Property")</f>
        <v>Outside on School Property</v>
      </c>
      <c r="U533" s="8" t="str">
        <f ca="1">IFERROR(__xludf.DUMMYFUNCTION("""COMPUTED_VALUE"""),"Yes")</f>
        <v>Yes</v>
      </c>
      <c r="V533" s="8" t="str">
        <f ca="1">IFERROR(__xludf.DUMMYFUNCTION("""COMPUTED_VALUE"""),"Morning Classes")</f>
        <v>Morning Classes</v>
      </c>
      <c r="W533" s="11">
        <f ca="1">IFERROR(__xludf.DUMMYFUNCTION("""COMPUTED_VALUE"""),0.4375)</f>
        <v>0.4375</v>
      </c>
      <c r="X533" s="8">
        <f ca="1">IFERROR(__xludf.DUMMYFUNCTION("""COMPUTED_VALUE"""),1)</f>
        <v>1</v>
      </c>
      <c r="Y533" s="12" t="str">
        <f ca="1">IFERROR(__xludf.DUMMYFUNCTION("""COMPUTED_VALUE"""),"Student shot in front of school during morning classes, went inside the school for help")</f>
        <v>Student shot in front of school during morning classes, went inside the school for help</v>
      </c>
      <c r="Z533" s="12" t="str">
        <f ca="1">IFERROR(__xludf.DUMMYFUNCTION("""COMPUTED_VALUE"""),"A student at the school was shot near Brentwood Parkway and Sixth Street NE at about 10:30 a.m., police said. He was hit in the calf, was able to make it into the school and was taken to a hospital. Police believe the driver of a white sedan pulled up to "&amp;"the boy and at least one person inside opened fire. As many as 10 shell casings could be seen in the street.")</f>
        <v>A student at the school was shot near Brentwood Parkway and Sixth Street NE at about 10:30 a.m., police said. He was hit in the calf, was able to make it into the school and was taken to a hospital. Police believe the driver of a white sedan pulled up to the boy and at least one person inside opened fire. As many as 10 shell casings could be seen in the street.</v>
      </c>
      <c r="AA533" s="8" t="str">
        <f ca="1">IFERROR(__xludf.DUMMYFUNCTION("""COMPUTED_VALUE"""),"Drive-by Shooting")</f>
        <v>Drive-by Shooting</v>
      </c>
      <c r="AB533" s="8" t="str">
        <f ca="1">IFERROR(__xludf.DUMMYFUNCTION("""COMPUTED_VALUE"""),"Targeted")</f>
        <v>Targeted</v>
      </c>
      <c r="AC533" s="8" t="str">
        <f ca="1">IFERROR(__xludf.DUMMYFUNCTION("""COMPUTED_VALUE"""),"Yes")</f>
        <v>Yes</v>
      </c>
      <c r="AD533" s="8" t="str">
        <f ca="1">IFERROR(__xludf.DUMMYFUNCTION("""COMPUTED_VALUE"""),"Victims Targeted")</f>
        <v>Victims Targeted</v>
      </c>
      <c r="AE533" s="8" t="str">
        <f ca="1">IFERROR(__xludf.DUMMYFUNCTION("""COMPUTED_VALUE"""),"Yes")</f>
        <v>Yes</v>
      </c>
      <c r="AF533" s="8" t="str">
        <f ca="1">IFERROR(__xludf.DUMMYFUNCTION("""COMPUTED_VALUE"""),"Multiple in car")</f>
        <v>Multiple in car</v>
      </c>
      <c r="AG533" s="8" t="str">
        <f ca="1">IFERROR(__xludf.DUMMYFUNCTION("""COMPUTED_VALUE"""),"No")</f>
        <v>No</v>
      </c>
      <c r="AH533" s="8" t="str">
        <f ca="1">IFERROR(__xludf.DUMMYFUNCTION("""COMPUTED_VALUE"""),"No")</f>
        <v>No</v>
      </c>
      <c r="AI533" s="8" t="str">
        <f ca="1">IFERROR(__xludf.DUMMYFUNCTION("""COMPUTED_VALUE"""),"No")</f>
        <v>No</v>
      </c>
      <c r="AJ533" s="8" t="str">
        <f ca="1">IFERROR(__xludf.DUMMYFUNCTION("""COMPUTED_VALUE"""),"No")</f>
        <v>No</v>
      </c>
      <c r="AK533" s="8" t="str">
        <f ca="1">IFERROR(__xludf.DUMMYFUNCTION("""COMPUTED_VALUE"""),"No")</f>
        <v>No</v>
      </c>
      <c r="AL533" s="8"/>
      <c r="AM533" s="8" t="str">
        <f ca="1">IFERROR(__xludf.DUMMYFUNCTION("""COMPUTED_VALUE"""),"No")</f>
        <v>No</v>
      </c>
      <c r="AN533" s="8" t="str">
        <f ca="1">IFERROR(__xludf.DUMMYFUNCTION("""COMPUTED_VALUE"""),"Outside")</f>
        <v>Outside</v>
      </c>
      <c r="AO533" s="8" t="str">
        <f ca="1">IFERROR(__xludf.DUMMYFUNCTION("""COMPUTED_VALUE"""),"No")</f>
        <v>No</v>
      </c>
      <c r="AP533" s="8"/>
      <c r="AQ533" s="8"/>
      <c r="AR533" s="8" t="str">
        <f ca="1">IFERROR(__xludf.DUMMYFUNCTION("""COMPUTED_VALUE"""),"Outside/Off-Property")</f>
        <v>Outside/Off-Property</v>
      </c>
      <c r="AS533" s="8">
        <f ca="1">IFERROR(__xludf.DUMMYFUNCTION("""COMPUTED_VALUE"""),10)</f>
        <v>10</v>
      </c>
      <c r="AT533" s="8" t="str">
        <f ca="1">IFERROR(__xludf.DUMMYFUNCTION("""COMPUTED_VALUE"""),"Yes")</f>
        <v>Yes</v>
      </c>
      <c r="AU533" s="8">
        <f ca="1">IFERROR(__xludf.DUMMYFUNCTION("""COMPUTED_VALUE"""),38.909616)</f>
        <v>38.909616</v>
      </c>
      <c r="AV533" s="8">
        <f ca="1">IFERROR(__xludf.DUMMYFUNCTION("""COMPUTED_VALUE"""),-76.99406)</f>
        <v>-76.994060000000005</v>
      </c>
      <c r="AW533" s="8"/>
      <c r="AX533" s="8">
        <f ca="1">IFERROR(__xludf.DUMMYFUNCTION("""COMPUTED_VALUE"""),20002)</f>
        <v>20002</v>
      </c>
    </row>
    <row r="534" spans="1:50" ht="165" x14ac:dyDescent="0.2">
      <c r="A534" s="8" t="str">
        <f ca="1">IFERROR(__xludf.DUMMYFUNCTION("""COMPUTED_VALUE"""),"20231130TXBUH")</f>
        <v>20231130TXBUH</v>
      </c>
      <c r="B534" s="8">
        <f ca="1">IFERROR(__xludf.DUMMYFUNCTION("""COMPUTED_VALUE"""),11)</f>
        <v>11</v>
      </c>
      <c r="C534" s="8">
        <f ca="1">IFERROR(__xludf.DUMMYFUNCTION("""COMPUTED_VALUE"""),30)</f>
        <v>30</v>
      </c>
      <c r="D534" s="8">
        <f ca="1">IFERROR(__xludf.DUMMYFUNCTION("""COMPUTED_VALUE"""),2023)</f>
        <v>2023</v>
      </c>
      <c r="E534" s="9">
        <f ca="1">IFERROR(__xludf.DUMMYFUNCTION("""COMPUTED_VALUE"""),45260)</f>
        <v>45260</v>
      </c>
      <c r="F534" s="8" t="str">
        <f ca="1">IFERROR(__xludf.DUMMYFUNCTION("""COMPUTED_VALUE"""),"Buffalo Creek Elementary")</f>
        <v>Buffalo Creek Elementary</v>
      </c>
      <c r="G534" s="8">
        <f ca="1">IFERROR(__xludf.DUMMYFUNCTION("""COMPUTED_VALUE"""),0)</f>
        <v>0</v>
      </c>
      <c r="H534" s="8">
        <f ca="1">IFERROR(__xludf.DUMMYFUNCTION("""COMPUTED_VALUE"""),0)</f>
        <v>0</v>
      </c>
      <c r="I534" s="8">
        <f ca="1">IFERROR(__xludf.DUMMYFUNCTION("""COMPUTED_VALUE"""),0)</f>
        <v>0</v>
      </c>
      <c r="J534" s="8">
        <f ca="1">IFERROR(__xludf.DUMMYFUNCTION("""COMPUTED_VALUE"""),1)</f>
        <v>1</v>
      </c>
      <c r="K534" s="10" t="str">
        <f ca="1">IFERROR(__xludf.DUMMYFUNCTION("""COMPUTED_VALUE"""),"https://www.houstonpublicmedia.org/articles/news/crime/2023/11/30/471185/spring-branch-isd-police-officer-fatally-shoots-man-suspecting-of-killing-his-father-before-stealing-cars-outside-nearby-elementary-school/")</f>
        <v>https://www.houstonpublicmedia.org/articles/news/crime/2023/11/30/471185/spring-branch-isd-police-officer-fatally-shoots-man-suspecting-of-killing-his-father-before-stealing-cars-outside-nearby-elementary-school/</v>
      </c>
      <c r="L534" s="8">
        <f ca="1">IFERROR(__xludf.DUMMYFUNCTION("""COMPUTED_VALUE"""),3)</f>
        <v>3</v>
      </c>
      <c r="M534" s="8" t="str">
        <f ca="1">IFERROR(__xludf.DUMMYFUNCTION("""COMPUTED_VALUE"""),"Local")</f>
        <v>Local</v>
      </c>
      <c r="N534" s="8">
        <f ca="1">IFERROR(__xludf.DUMMYFUNCTION("""COMPUTED_VALUE"""),4)</f>
        <v>4</v>
      </c>
      <c r="O534" s="8" t="str">
        <f ca="1">IFERROR(__xludf.DUMMYFUNCTION("""COMPUTED_VALUE"""),"Fall")</f>
        <v>Fall</v>
      </c>
      <c r="P534" s="8" t="str">
        <f ca="1">IFERROR(__xludf.DUMMYFUNCTION("""COMPUTED_VALUE"""),"Houston")</f>
        <v>Houston</v>
      </c>
      <c r="Q534" s="8" t="str">
        <f ca="1">IFERROR(__xludf.DUMMYFUNCTION("""COMPUTED_VALUE"""),"TX")</f>
        <v>TX</v>
      </c>
      <c r="R534" s="8" t="str">
        <f ca="1">IFERROR(__xludf.DUMMYFUNCTION("""COMPUTED_VALUE"""),"Elementary")</f>
        <v>Elementary</v>
      </c>
      <c r="S534" s="8" t="str">
        <f ca="1">IFERROR(__xludf.DUMMYFUNCTION("""COMPUTED_VALUE"""),"Front of School")</f>
        <v>Front of School</v>
      </c>
      <c r="T534" s="8" t="str">
        <f ca="1">IFERROR(__xludf.DUMMYFUNCTION("""COMPUTED_VALUE"""),"Outside on School Property")</f>
        <v>Outside on School Property</v>
      </c>
      <c r="U534" s="8" t="str">
        <f ca="1">IFERROR(__xludf.DUMMYFUNCTION("""COMPUTED_VALUE"""),"Yes")</f>
        <v>Yes</v>
      </c>
      <c r="V534" s="8" t="str">
        <f ca="1">IFERROR(__xludf.DUMMYFUNCTION("""COMPUTED_VALUE"""),"School Start")</f>
        <v>School Start</v>
      </c>
      <c r="W534" s="11">
        <f ca="1">IFERROR(__xludf.DUMMYFUNCTION("""COMPUTED_VALUE"""),0.3125)</f>
        <v>0.3125</v>
      </c>
      <c r="X534" s="8">
        <f ca="1">IFERROR(__xludf.DUMMYFUNCTION("""COMPUTED_VALUE"""),1)</f>
        <v>1</v>
      </c>
      <c r="Y534" s="12" t="str">
        <f ca="1">IFERROR(__xludf.DUMMYFUNCTION("""COMPUTED_VALUE"""),"SRO fatally shot man attempting to carjack parent during student drop off")</f>
        <v>SRO fatally shot man attempting to carjack parent during student drop off</v>
      </c>
      <c r="Z534" s="12" t="str">
        <f ca="1">IFERROR(__xludf.DUMMYFUNCTION("""COMPUTED_VALUE"""),"A 12-year veteran of the Spring Branch ISD Police Department acted in self-defense when he fatally shot the suspected murderer and carjacker, estimated to be about 30 years old, at about 7:30 a.m. Thursday in the 2800 block of Campbell Road, according to "&amp;"school district police chief Larry Baimbridge. He said the officer pursued the now-deceased man after he unsuccessfully tried to carjack a woman who was dropping off her children at nearby Buffalo Creek Elementary, subsequently stealing another car and si"&amp;"deswiping several other vehicles and a school bus during a brief chase. Man fired shot at officer before being killed.")</f>
        <v>A 12-year veteran of the Spring Branch ISD Police Department acted in self-defense when he fatally shot the suspected murderer and carjacker, estimated to be about 30 years old, at about 7:30 a.m. Thursday in the 2800 block of Campbell Road, according to school district police chief Larry Baimbridge. He said the officer pursued the now-deceased man after he unsuccessfully tried to carjack a woman who was dropping off her children at nearby Buffalo Creek Elementary, subsequently stealing another car and sideswiping several other vehicles and a school bus during a brief chase. Man fired shot at officer before being killed.</v>
      </c>
      <c r="AA534" s="8" t="str">
        <f ca="1">IFERROR(__xludf.DUMMYFUNCTION("""COMPUTED_VALUE"""),"Illegal Activity")</f>
        <v>Illegal Activity</v>
      </c>
      <c r="AB534" s="8" t="str">
        <f ca="1">IFERROR(__xludf.DUMMYFUNCTION("""COMPUTED_VALUE"""),"Spontaneous")</f>
        <v>Spontaneous</v>
      </c>
      <c r="AC534" s="8" t="str">
        <f ca="1">IFERROR(__xludf.DUMMYFUNCTION("""COMPUTED_VALUE"""),"Yes")</f>
        <v>Yes</v>
      </c>
      <c r="AD534" s="8" t="str">
        <f ca="1">IFERROR(__xludf.DUMMYFUNCTION("""COMPUTED_VALUE"""),"Random Shooting")</f>
        <v>Random Shooting</v>
      </c>
      <c r="AE534" s="8" t="str">
        <f ca="1">IFERROR(__xludf.DUMMYFUNCTION("""COMPUTED_VALUE"""),"No")</f>
        <v>No</v>
      </c>
      <c r="AF534" s="8"/>
      <c r="AG534" s="8" t="str">
        <f ca="1">IFERROR(__xludf.DUMMYFUNCTION("""COMPUTED_VALUE"""),"No")</f>
        <v>No</v>
      </c>
      <c r="AH534" s="8" t="str">
        <f ca="1">IFERROR(__xludf.DUMMYFUNCTION("""COMPUTED_VALUE"""),"No")</f>
        <v>No</v>
      </c>
      <c r="AI534" s="8" t="str">
        <f ca="1">IFERROR(__xludf.DUMMYFUNCTION("""COMPUTED_VALUE"""),"No")</f>
        <v>No</v>
      </c>
      <c r="AJ534" s="8" t="str">
        <f ca="1">IFERROR(__xludf.DUMMYFUNCTION("""COMPUTED_VALUE"""),"No")</f>
        <v>No</v>
      </c>
      <c r="AK534" s="8" t="str">
        <f ca="1">IFERROR(__xludf.DUMMYFUNCTION("""COMPUTED_VALUE"""),"No")</f>
        <v>No</v>
      </c>
      <c r="AL534" s="8" t="str">
        <f ca="1">IFERROR(__xludf.DUMMYFUNCTION("""COMPUTED_VALUE"""),"No")</f>
        <v>No</v>
      </c>
      <c r="AM534" s="8" t="str">
        <f ca="1">IFERROR(__xludf.DUMMYFUNCTION("""COMPUTED_VALUE"""),"No")</f>
        <v>No</v>
      </c>
      <c r="AN534" s="8" t="str">
        <f ca="1">IFERROR(__xludf.DUMMYFUNCTION("""COMPUTED_VALUE"""),"Outside")</f>
        <v>Outside</v>
      </c>
      <c r="AO534" s="8" t="str">
        <f ca="1">IFERROR(__xludf.DUMMYFUNCTION("""COMPUTED_VALUE"""),"No")</f>
        <v>No</v>
      </c>
      <c r="AP534" s="8" t="str">
        <f ca="1">IFERROR(__xludf.DUMMYFUNCTION("""COMPUTED_VALUE"""),"Yes")</f>
        <v>Yes</v>
      </c>
      <c r="AQ534" s="8" t="str">
        <f ca="1">IFERROR(__xludf.DUMMYFUNCTION("""COMPUTED_VALUE"""),"Armed Guards")</f>
        <v>Armed Guards</v>
      </c>
      <c r="AR534" s="8" t="str">
        <f ca="1">IFERROR(__xludf.DUMMYFUNCTION("""COMPUTED_VALUE"""),"Outside/Off-Property")</f>
        <v>Outside/Off-Property</v>
      </c>
      <c r="AS534" s="8">
        <f ca="1">IFERROR(__xludf.DUMMYFUNCTION("""COMPUTED_VALUE"""),1)</f>
        <v>1</v>
      </c>
      <c r="AT534" s="8"/>
      <c r="AU534" s="8">
        <f ca="1">IFERROR(__xludf.DUMMYFUNCTION("""COMPUTED_VALUE"""),29.819464)</f>
        <v>29.819464</v>
      </c>
      <c r="AV534" s="8">
        <f ca="1">IFERROR(__xludf.DUMMYFUNCTION("""COMPUTED_VALUE"""),-95.523307)</f>
        <v>-95.523307000000003</v>
      </c>
      <c r="AW534" s="8"/>
      <c r="AX534" s="8">
        <f ca="1">IFERROR(__xludf.DUMMYFUNCTION("""COMPUTED_VALUE"""),77080)</f>
        <v>77080</v>
      </c>
    </row>
    <row r="535" spans="1:50" ht="105" x14ac:dyDescent="0.2">
      <c r="A535" s="8" t="str">
        <f ca="1">IFERROR(__xludf.DUMMYFUNCTION("""COMPUTED_VALUE"""),"20231129OHMAT")</f>
        <v>20231129OHMAT</v>
      </c>
      <c r="B535" s="8">
        <f ca="1">IFERROR(__xludf.DUMMYFUNCTION("""COMPUTED_VALUE"""),11)</f>
        <v>11</v>
      </c>
      <c r="C535" s="8">
        <f ca="1">IFERROR(__xludf.DUMMYFUNCTION("""COMPUTED_VALUE"""),29)</f>
        <v>29</v>
      </c>
      <c r="D535" s="8">
        <f ca="1">IFERROR(__xludf.DUMMYFUNCTION("""COMPUTED_VALUE"""),2023)</f>
        <v>2023</v>
      </c>
      <c r="E535" s="9">
        <f ca="1">IFERROR(__xludf.DUMMYFUNCTION("""COMPUTED_VALUE"""),45259)</f>
        <v>45259</v>
      </c>
      <c r="F535" s="8" t="str">
        <f ca="1">IFERROR(__xludf.DUMMYFUNCTION("""COMPUTED_VALUE"""),"Martin Luther King Jr. Academy for Boys")</f>
        <v>Martin Luther King Jr. Academy for Boys</v>
      </c>
      <c r="G535" s="8">
        <f ca="1">IFERROR(__xludf.DUMMYFUNCTION("""COMPUTED_VALUE"""),0)</f>
        <v>0</v>
      </c>
      <c r="H535" s="8">
        <f ca="1">IFERROR(__xludf.DUMMYFUNCTION("""COMPUTED_VALUE"""),0)</f>
        <v>0</v>
      </c>
      <c r="I535" s="8">
        <f ca="1">IFERROR(__xludf.DUMMYFUNCTION("""COMPUTED_VALUE"""),0)</f>
        <v>0</v>
      </c>
      <c r="J535" s="8">
        <f ca="1">IFERROR(__xludf.DUMMYFUNCTION("""COMPUTED_VALUE"""),0)</f>
        <v>0</v>
      </c>
      <c r="K535" s="10" t="str">
        <f ca="1">IFERROR(__xludf.DUMMYFUNCTION("""COMPUTED_VALUE"""),"https://www.wtol.com/article/news/crime/18-year-old-arrested-for-shooting-gun-nearby-school/512-c8a17ee7-a80c-451b-a302-98749418e2bf")</f>
        <v>https://www.wtol.com/article/news/crime/18-year-old-arrested-for-shooting-gun-nearby-school/512-c8a17ee7-a80c-451b-a302-98749418e2bf</v>
      </c>
      <c r="L535" s="8">
        <f ca="1">IFERROR(__xludf.DUMMYFUNCTION("""COMPUTED_VALUE"""),1)</f>
        <v>1</v>
      </c>
      <c r="M535" s="8" t="str">
        <f ca="1">IFERROR(__xludf.DUMMYFUNCTION("""COMPUTED_VALUE"""),"Local")</f>
        <v>Local</v>
      </c>
      <c r="N535" s="8">
        <f ca="1">IFERROR(__xludf.DUMMYFUNCTION("""COMPUTED_VALUE"""),3)</f>
        <v>3</v>
      </c>
      <c r="O535" s="8" t="str">
        <f ca="1">IFERROR(__xludf.DUMMYFUNCTION("""COMPUTED_VALUE"""),"Fall")</f>
        <v>Fall</v>
      </c>
      <c r="P535" s="8" t="str">
        <f ca="1">IFERROR(__xludf.DUMMYFUNCTION("""COMPUTED_VALUE"""),"Toledo")</f>
        <v>Toledo</v>
      </c>
      <c r="Q535" s="8" t="str">
        <f ca="1">IFERROR(__xludf.DUMMYFUNCTION("""COMPUTED_VALUE"""),"OH")</f>
        <v>OH</v>
      </c>
      <c r="R535" s="8" t="str">
        <f ca="1">IFERROR(__xludf.DUMMYFUNCTION("""COMPUTED_VALUE"""),"Middle")</f>
        <v>Middle</v>
      </c>
      <c r="S535" s="8" t="str">
        <f ca="1">IFERROR(__xludf.DUMMYFUNCTION("""COMPUTED_VALUE"""),"Beside Building")</f>
        <v>Beside Building</v>
      </c>
      <c r="T535" s="8" t="str">
        <f ca="1">IFERROR(__xludf.DUMMYFUNCTION("""COMPUTED_VALUE"""),"Outside on School Property")</f>
        <v>Outside on School Property</v>
      </c>
      <c r="U535" s="8" t="str">
        <f ca="1">IFERROR(__xludf.DUMMYFUNCTION("""COMPUTED_VALUE"""),"Yes")</f>
        <v>Yes</v>
      </c>
      <c r="V535" s="8"/>
      <c r="W535" s="8"/>
      <c r="X535" s="8">
        <f ca="1">IFERROR(__xludf.DUMMYFUNCTION("""COMPUTED_VALUE"""),1)</f>
        <v>1</v>
      </c>
      <c r="Y535" s="12" t="str">
        <f ca="1">IFERROR(__xludf.DUMMYFUNCTION("""COMPUTED_VALUE"""),"Teen fired 7 shots behind school causing lockdown")</f>
        <v>Teen fired 7 shots behind school causing lockdown</v>
      </c>
      <c r="Z535" s="12" t="str">
        <f ca="1">IFERROR(__xludf.DUMMYFUNCTION("""COMPUTED_VALUE"""),"According to Toledo police, Mykeile Crawford, 18, fired a pistol seven times in an alley near Martin Luther King, Jr. Academy for Boys, prompting the school to go on lockdown for a brief time. TPD responded to the location after getting a ShotSpotter aler"&amp;"t and later arrested Crawford. He is charged with improperly discharging a firearm near a school and is being held on a $20,000 bond.")</f>
        <v>According to Toledo police, Mykeile Crawford, 18, fired a pistol seven times in an alley near Martin Luther King, Jr. Academy for Boys, prompting the school to go on lockdown for a brief time. TPD responded to the location after getting a ShotSpotter alert and later arrested Crawford. He is charged with improperly discharging a firearm near a school and is being held on a $20,000 bond.</v>
      </c>
      <c r="AA535" s="8"/>
      <c r="AB535" s="8"/>
      <c r="AC535" s="8" t="str">
        <f ca="1">IFERROR(__xludf.DUMMYFUNCTION("""COMPUTED_VALUE"""),"Yes")</f>
        <v>Yes</v>
      </c>
      <c r="AD535" s="8"/>
      <c r="AE535" s="8" t="str">
        <f ca="1">IFERROR(__xludf.DUMMYFUNCTION("""COMPUTED_VALUE"""),"No")</f>
        <v>No</v>
      </c>
      <c r="AF535" s="8"/>
      <c r="AG535" s="8" t="str">
        <f ca="1">IFERROR(__xludf.DUMMYFUNCTION("""COMPUTED_VALUE"""),"No")</f>
        <v>No</v>
      </c>
      <c r="AH535" s="8" t="str">
        <f ca="1">IFERROR(__xludf.DUMMYFUNCTION("""COMPUTED_VALUE"""),"No")</f>
        <v>No</v>
      </c>
      <c r="AI535" s="8" t="str">
        <f ca="1">IFERROR(__xludf.DUMMYFUNCTION("""COMPUTED_VALUE"""),"No")</f>
        <v>No</v>
      </c>
      <c r="AJ535" s="8" t="str">
        <f ca="1">IFERROR(__xludf.DUMMYFUNCTION("""COMPUTED_VALUE"""),"No")</f>
        <v>No</v>
      </c>
      <c r="AK535" s="8" t="str">
        <f ca="1">IFERROR(__xludf.DUMMYFUNCTION("""COMPUTED_VALUE"""),"No")</f>
        <v>No</v>
      </c>
      <c r="AL535" s="8"/>
      <c r="AM535" s="8" t="str">
        <f ca="1">IFERROR(__xludf.DUMMYFUNCTION("""COMPUTED_VALUE"""),"No")</f>
        <v>No</v>
      </c>
      <c r="AN535" s="8" t="str">
        <f ca="1">IFERROR(__xludf.DUMMYFUNCTION("""COMPUTED_VALUE"""),"Outside")</f>
        <v>Outside</v>
      </c>
      <c r="AO535" s="8" t="str">
        <f ca="1">IFERROR(__xludf.DUMMYFUNCTION("""COMPUTED_VALUE"""),"No")</f>
        <v>No</v>
      </c>
      <c r="AP535" s="8"/>
      <c r="AQ535" s="8"/>
      <c r="AR535" s="8" t="str">
        <f ca="1">IFERROR(__xludf.DUMMYFUNCTION("""COMPUTED_VALUE"""),"Outside/Off-Property")</f>
        <v>Outside/Off-Property</v>
      </c>
      <c r="AS535" s="8">
        <f ca="1">IFERROR(__xludf.DUMMYFUNCTION("""COMPUTED_VALUE"""),7)</f>
        <v>7</v>
      </c>
      <c r="AT535" s="8" t="str">
        <f ca="1">IFERROR(__xludf.DUMMYFUNCTION("""COMPUTED_VALUE"""),"Yes")</f>
        <v>Yes</v>
      </c>
      <c r="AU535" s="8">
        <f ca="1">IFERROR(__xludf.DUMMYFUNCTION("""COMPUTED_VALUE"""),41.654247)</f>
        <v>41.654246999999998</v>
      </c>
      <c r="AV535" s="8">
        <f ca="1">IFERROR(__xludf.DUMMYFUNCTION("""COMPUTED_VALUE"""),-83.569377)</f>
        <v>-83.569377000000003</v>
      </c>
      <c r="AW535" s="8"/>
      <c r="AX535" s="8">
        <f ca="1">IFERROR(__xludf.DUMMYFUNCTION("""COMPUTED_VALUE"""),43607)</f>
        <v>43607</v>
      </c>
    </row>
    <row r="536" spans="1:50" ht="45" x14ac:dyDescent="0.2">
      <c r="A536" s="8" t="str">
        <f ca="1">IFERROR(__xludf.DUMMYFUNCTION("""COMPUTED_VALUE"""),"20231128TXNOH")</f>
        <v>20231128TXNOH</v>
      </c>
      <c r="B536" s="8">
        <f ca="1">IFERROR(__xludf.DUMMYFUNCTION("""COMPUTED_VALUE"""),11)</f>
        <v>11</v>
      </c>
      <c r="C536" s="8">
        <f ca="1">IFERROR(__xludf.DUMMYFUNCTION("""COMPUTED_VALUE"""),28)</f>
        <v>28</v>
      </c>
      <c r="D536" s="8">
        <f ca="1">IFERROR(__xludf.DUMMYFUNCTION("""COMPUTED_VALUE"""),2023)</f>
        <v>2023</v>
      </c>
      <c r="E536" s="9">
        <f ca="1">IFERROR(__xludf.DUMMYFUNCTION("""COMPUTED_VALUE"""),45258)</f>
        <v>45258</v>
      </c>
      <c r="F536" s="8" t="str">
        <f ca="1">IFERROR(__xludf.DUMMYFUNCTION("""COMPUTED_VALUE"""),"Northside High School")</f>
        <v>Northside High School</v>
      </c>
      <c r="G536" s="8">
        <f ca="1">IFERROR(__xludf.DUMMYFUNCTION("""COMPUTED_VALUE"""),0)</f>
        <v>0</v>
      </c>
      <c r="H536" s="8">
        <f ca="1">IFERROR(__xludf.DUMMYFUNCTION("""COMPUTED_VALUE"""),1)</f>
        <v>1</v>
      </c>
      <c r="I536" s="8">
        <f ca="1">IFERROR(__xludf.DUMMYFUNCTION("""COMPUTED_VALUE"""),1)</f>
        <v>1</v>
      </c>
      <c r="J536" s="8">
        <f ca="1">IFERROR(__xludf.DUMMYFUNCTION("""COMPUTED_VALUE"""),0)</f>
        <v>0</v>
      </c>
      <c r="K536" s="10" t="str">
        <f ca="1">IFERROR(__xludf.DUMMYFUNCTION("""COMPUTED_VALUE"""),"https://www.click2houston.com/news/local/2023/11/28/2-detained-after-16-year-old-shot-during-fight-off-high-school-campus-in-north-houston/
https://abc13.com/houston-crime-fulton-street-shooting-near-schools-northside-high-school/14113773/")</f>
        <v>https://www.click2houston.com/news/local/2023/11/28/2-detained-after-16-year-old-shot-during-fight-off-high-school-campus-in-north-houston/
https://abc13.com/houston-crime-fulton-street-shooting-near-schools-northside-high-school/14113773/</v>
      </c>
      <c r="L536" s="8">
        <f ca="1">IFERROR(__xludf.DUMMYFUNCTION("""COMPUTED_VALUE"""),5)</f>
        <v>5</v>
      </c>
      <c r="M536" s="8" t="str">
        <f ca="1">IFERROR(__xludf.DUMMYFUNCTION("""COMPUTED_VALUE"""),"Local")</f>
        <v>Local</v>
      </c>
      <c r="N536" s="8">
        <f ca="1">IFERROR(__xludf.DUMMYFUNCTION("""COMPUTED_VALUE"""),4)</f>
        <v>4</v>
      </c>
      <c r="O536" s="8" t="str">
        <f ca="1">IFERROR(__xludf.DUMMYFUNCTION("""COMPUTED_VALUE"""),"Fall")</f>
        <v>Fall</v>
      </c>
      <c r="P536" s="8" t="str">
        <f ca="1">IFERROR(__xludf.DUMMYFUNCTION("""COMPUTED_VALUE"""),"Houston")</f>
        <v>Houston</v>
      </c>
      <c r="Q536" s="8" t="str">
        <f ca="1">IFERROR(__xludf.DUMMYFUNCTION("""COMPUTED_VALUE"""),"TX")</f>
        <v>TX</v>
      </c>
      <c r="R536" s="8" t="str">
        <f ca="1">IFERROR(__xludf.DUMMYFUNCTION("""COMPUTED_VALUE"""),"High")</f>
        <v>High</v>
      </c>
      <c r="S536" s="8" t="str">
        <f ca="1">IFERROR(__xludf.DUMMYFUNCTION("""COMPUTED_VALUE"""),"Parking Lot")</f>
        <v>Parking Lot</v>
      </c>
      <c r="T536" s="8" t="str">
        <f ca="1">IFERROR(__xludf.DUMMYFUNCTION("""COMPUTED_VALUE"""),"Outside on School Property")</f>
        <v>Outside on School Property</v>
      </c>
      <c r="U536" s="8" t="str">
        <f ca="1">IFERROR(__xludf.DUMMYFUNCTION("""COMPUTED_VALUE"""),"Yes")</f>
        <v>Yes</v>
      </c>
      <c r="V536" s="8" t="str">
        <f ca="1">IFERROR(__xludf.DUMMYFUNCTION("""COMPUTED_VALUE"""),"Afternoon Classes")</f>
        <v>Afternoon Classes</v>
      </c>
      <c r="W536" s="11">
        <f ca="1">IFERROR(__xludf.DUMMYFUNCTION("""COMPUTED_VALUE"""),0.541666666666666)</f>
        <v>0.54166666666666596</v>
      </c>
      <c r="X536" s="8">
        <f ca="1">IFERROR(__xludf.DUMMYFUNCTION("""COMPUTED_VALUE"""),1)</f>
        <v>1</v>
      </c>
      <c r="Y536" s="12" t="str">
        <f ca="1">IFERROR(__xludf.DUMMYFUNCTION("""COMPUTED_VALUE"""),"Teen shot during fight at school parking lot")</f>
        <v>Teen shot during fight at school parking lot</v>
      </c>
      <c r="Z536" s="12" t="str">
        <f ca="1">IFERROR(__xludf.DUMMYFUNCTION("""COMPUTED_VALUE"""),"Teen shot during fight at the gate to the school parking lot. Three schools went on lockdown.")</f>
        <v>Teen shot during fight at the gate to the school parking lot. Three schools went on lockdown.</v>
      </c>
      <c r="AA536" s="8" t="str">
        <f ca="1">IFERROR(__xludf.DUMMYFUNCTION("""COMPUTED_VALUE"""),"Escalation of Dispute")</f>
        <v>Escalation of Dispute</v>
      </c>
      <c r="AB536" s="8" t="str">
        <f ca="1">IFERROR(__xludf.DUMMYFUNCTION("""COMPUTED_VALUE"""),"Spontaneous")</f>
        <v>Spontaneous</v>
      </c>
      <c r="AC536" s="8" t="str">
        <f ca="1">IFERROR(__xludf.DUMMYFUNCTION("""COMPUTED_VALUE"""),"Yes")</f>
        <v>Yes</v>
      </c>
      <c r="AD536" s="8" t="str">
        <f ca="1">IFERROR(__xludf.DUMMYFUNCTION("""COMPUTED_VALUE"""),"Victims Targeted")</f>
        <v>Victims Targeted</v>
      </c>
      <c r="AE536" s="8" t="str">
        <f ca="1">IFERROR(__xludf.DUMMYFUNCTION("""COMPUTED_VALUE"""),"Yes")</f>
        <v>Yes</v>
      </c>
      <c r="AF536" s="8" t="str">
        <f ca="1">IFERROR(__xludf.DUMMYFUNCTION("""COMPUTED_VALUE"""),"Two teens fled")</f>
        <v>Two teens fled</v>
      </c>
      <c r="AG536" s="8" t="str">
        <f ca="1">IFERROR(__xludf.DUMMYFUNCTION("""COMPUTED_VALUE"""),"No")</f>
        <v>No</v>
      </c>
      <c r="AH536" s="8" t="str">
        <f ca="1">IFERROR(__xludf.DUMMYFUNCTION("""COMPUTED_VALUE"""),"No")</f>
        <v>No</v>
      </c>
      <c r="AI536" s="8" t="str">
        <f ca="1">IFERROR(__xludf.DUMMYFUNCTION("""COMPUTED_VALUE"""),"No")</f>
        <v>No</v>
      </c>
      <c r="AJ536" s="8" t="str">
        <f ca="1">IFERROR(__xludf.DUMMYFUNCTION("""COMPUTED_VALUE"""),"No")</f>
        <v>No</v>
      </c>
      <c r="AK536" s="8" t="str">
        <f ca="1">IFERROR(__xludf.DUMMYFUNCTION("""COMPUTED_VALUE"""),"No")</f>
        <v>No</v>
      </c>
      <c r="AL536" s="8" t="str">
        <f ca="1">IFERROR(__xludf.DUMMYFUNCTION("""COMPUTED_VALUE"""),"No")</f>
        <v>No</v>
      </c>
      <c r="AM536" s="8" t="str">
        <f ca="1">IFERROR(__xludf.DUMMYFUNCTION("""COMPUTED_VALUE"""),"No")</f>
        <v>No</v>
      </c>
      <c r="AN536" s="8" t="str">
        <f ca="1">IFERROR(__xludf.DUMMYFUNCTION("""COMPUTED_VALUE"""),"Outside")</f>
        <v>Outside</v>
      </c>
      <c r="AO536" s="8" t="str">
        <f ca="1">IFERROR(__xludf.DUMMYFUNCTION("""COMPUTED_VALUE"""),"No")</f>
        <v>No</v>
      </c>
      <c r="AP536" s="8"/>
      <c r="AQ536" s="8"/>
      <c r="AR536" s="8" t="str">
        <f ca="1">IFERROR(__xludf.DUMMYFUNCTION("""COMPUTED_VALUE"""),"Outside/Off-Property")</f>
        <v>Outside/Off-Property</v>
      </c>
      <c r="AS536" s="8">
        <f ca="1">IFERROR(__xludf.DUMMYFUNCTION("""COMPUTED_VALUE"""),99)</f>
        <v>99</v>
      </c>
      <c r="AT536" s="8" t="str">
        <f ca="1">IFERROR(__xludf.DUMMYFUNCTION("""COMPUTED_VALUE"""),"Yes")</f>
        <v>Yes</v>
      </c>
      <c r="AU536" s="8">
        <f ca="1">IFERROR(__xludf.DUMMYFUNCTION("""COMPUTED_VALUE"""),29.783433)</f>
        <v>29.783432999999999</v>
      </c>
      <c r="AV536" s="8">
        <f ca="1">IFERROR(__xludf.DUMMYFUNCTION("""COMPUTED_VALUE"""),-95.358603)</f>
        <v>-95.358603000000002</v>
      </c>
      <c r="AW536" s="8"/>
      <c r="AX536" s="8">
        <f ca="1">IFERROR(__xludf.DUMMYFUNCTION("""COMPUTED_VALUE"""),77026)</f>
        <v>77026</v>
      </c>
    </row>
    <row r="537" spans="1:50" ht="45" x14ac:dyDescent="0.2">
      <c r="A537" s="8" t="str">
        <f ca="1">IFERROR(__xludf.DUMMYFUNCTION("""COMPUTED_VALUE"""),"20231126OHEDD")</f>
        <v>20231126OHEDD</v>
      </c>
      <c r="B537" s="8">
        <f ca="1">IFERROR(__xludf.DUMMYFUNCTION("""COMPUTED_VALUE"""),11)</f>
        <v>11</v>
      </c>
      <c r="C537" s="8">
        <f ca="1">IFERROR(__xludf.DUMMYFUNCTION("""COMPUTED_VALUE"""),26)</f>
        <v>26</v>
      </c>
      <c r="D537" s="8">
        <f ca="1">IFERROR(__xludf.DUMMYFUNCTION("""COMPUTED_VALUE"""),2023)</f>
        <v>2023</v>
      </c>
      <c r="E537" s="9">
        <f ca="1">IFERROR(__xludf.DUMMYFUNCTION("""COMPUTED_VALUE"""),45256)</f>
        <v>45256</v>
      </c>
      <c r="F537" s="8" t="str">
        <f ca="1">IFERROR(__xludf.DUMMYFUNCTION("""COMPUTED_VALUE"""),"Edwin Joel Brown Middle School")</f>
        <v>Edwin Joel Brown Middle School</v>
      </c>
      <c r="G537" s="8">
        <f ca="1">IFERROR(__xludf.DUMMYFUNCTION("""COMPUTED_VALUE"""),0)</f>
        <v>0</v>
      </c>
      <c r="H537" s="8">
        <f ca="1">IFERROR(__xludf.DUMMYFUNCTION("""COMPUTED_VALUE"""),1)</f>
        <v>1</v>
      </c>
      <c r="I537" s="8">
        <f ca="1">IFERROR(__xludf.DUMMYFUNCTION("""COMPUTED_VALUE"""),1)</f>
        <v>1</v>
      </c>
      <c r="J537" s="8">
        <f ca="1">IFERROR(__xludf.DUMMYFUNCTION("""COMPUTED_VALUE"""),0)</f>
        <v>0</v>
      </c>
      <c r="K537" s="10" t="str">
        <f ca="1">IFERROR(__xludf.DUMMYFUNCTION("""COMPUTED_VALUE"""),"https://www.whio.com/news/local/hes-bleeding-real-bad-15-year-old-shot-near-local-middle-school/TJBVE7EGMZE2ZGQFQ2CXTKOGBE/")</f>
        <v>https://www.whio.com/news/local/hes-bleeding-real-bad-15-year-old-shot-near-local-middle-school/TJBVE7EGMZE2ZGQFQ2CXTKOGBE/</v>
      </c>
      <c r="L537" s="8">
        <f ca="1">IFERROR(__xludf.DUMMYFUNCTION("""COMPUTED_VALUE"""),1)</f>
        <v>1</v>
      </c>
      <c r="M537" s="8" t="str">
        <f ca="1">IFERROR(__xludf.DUMMYFUNCTION("""COMPUTED_VALUE"""),"Local")</f>
        <v>Local</v>
      </c>
      <c r="N537" s="8">
        <f ca="1">IFERROR(__xludf.DUMMYFUNCTION("""COMPUTED_VALUE"""),2)</f>
        <v>2</v>
      </c>
      <c r="O537" s="8" t="str">
        <f ca="1">IFERROR(__xludf.DUMMYFUNCTION("""COMPUTED_VALUE"""),"Fall")</f>
        <v>Fall</v>
      </c>
      <c r="P537" s="8" t="str">
        <f ca="1">IFERROR(__xludf.DUMMYFUNCTION("""COMPUTED_VALUE"""),"Dayton")</f>
        <v>Dayton</v>
      </c>
      <c r="Q537" s="8" t="str">
        <f ca="1">IFERROR(__xludf.DUMMYFUNCTION("""COMPUTED_VALUE"""),"OH")</f>
        <v>OH</v>
      </c>
      <c r="R537" s="8" t="str">
        <f ca="1">IFERROR(__xludf.DUMMYFUNCTION("""COMPUTED_VALUE"""),"Middle")</f>
        <v>Middle</v>
      </c>
      <c r="S537" s="8" t="str">
        <f ca="1">IFERROR(__xludf.DUMMYFUNCTION("""COMPUTED_VALUE"""),"Outside on School Property")</f>
        <v>Outside on School Property</v>
      </c>
      <c r="T537" s="8" t="str">
        <f ca="1">IFERROR(__xludf.DUMMYFUNCTION("""COMPUTED_VALUE"""),"Outside on School Property")</f>
        <v>Outside on School Property</v>
      </c>
      <c r="U537" s="8" t="str">
        <f ca="1">IFERROR(__xludf.DUMMYFUNCTION("""COMPUTED_VALUE"""),"No")</f>
        <v>No</v>
      </c>
      <c r="V537" s="8" t="str">
        <f ca="1">IFERROR(__xludf.DUMMYFUNCTION("""COMPUTED_VALUE"""),"Not a School Day")</f>
        <v>Not a School Day</v>
      </c>
      <c r="W537" s="11">
        <f ca="1">IFERROR(__xludf.DUMMYFUNCTION("""COMPUTED_VALUE"""),0.736111111111111)</f>
        <v>0.73611111111111105</v>
      </c>
      <c r="X537" s="8">
        <f ca="1">IFERROR(__xludf.DUMMYFUNCTION("""COMPUTED_VALUE"""),1)</f>
        <v>1</v>
      </c>
      <c r="Y537" s="12" t="str">
        <f ca="1">IFERROR(__xludf.DUMMYFUNCTION("""COMPUTED_VALUE"""),"Teen shot behind school during robbery")</f>
        <v>Teen shot behind school during robbery</v>
      </c>
      <c r="Z537" s="12" t="str">
        <f ca="1">IFERROR(__xludf.DUMMYFUNCTION("""COMPUTED_VALUE"""),"Teen shot behind school during robbery. Shooter fled.")</f>
        <v>Teen shot behind school during robbery. Shooter fled.</v>
      </c>
      <c r="AA537" s="8" t="str">
        <f ca="1">IFERROR(__xludf.DUMMYFUNCTION("""COMPUTED_VALUE"""),"Illegal Activity")</f>
        <v>Illegal Activity</v>
      </c>
      <c r="AB537" s="8" t="str">
        <f ca="1">IFERROR(__xludf.DUMMYFUNCTION("""COMPUTED_VALUE"""),"Spontaneous")</f>
        <v>Spontaneous</v>
      </c>
      <c r="AC537" s="8" t="str">
        <f ca="1">IFERROR(__xludf.DUMMYFUNCTION("""COMPUTED_VALUE"""),"No")</f>
        <v>No</v>
      </c>
      <c r="AD537" s="8" t="str">
        <f ca="1">IFERROR(__xludf.DUMMYFUNCTION("""COMPUTED_VALUE"""),"Victims Targeted")</f>
        <v>Victims Targeted</v>
      </c>
      <c r="AE537" s="8" t="str">
        <f ca="1">IFERROR(__xludf.DUMMYFUNCTION("""COMPUTED_VALUE"""),"Yes")</f>
        <v>Yes</v>
      </c>
      <c r="AF537" s="8" t="str">
        <f ca="1">IFERROR(__xludf.DUMMYFUNCTION("""COMPUTED_VALUE"""),"Two teens fled")</f>
        <v>Two teens fled</v>
      </c>
      <c r="AG537" s="8" t="str">
        <f ca="1">IFERROR(__xludf.DUMMYFUNCTION("""COMPUTED_VALUE"""),"No")</f>
        <v>No</v>
      </c>
      <c r="AH537" s="8" t="str">
        <f ca="1">IFERROR(__xludf.DUMMYFUNCTION("""COMPUTED_VALUE"""),"No")</f>
        <v>No</v>
      </c>
      <c r="AI537" s="8" t="str">
        <f ca="1">IFERROR(__xludf.DUMMYFUNCTION("""COMPUTED_VALUE"""),"No")</f>
        <v>No</v>
      </c>
      <c r="AJ537" s="8" t="str">
        <f ca="1">IFERROR(__xludf.DUMMYFUNCTION("""COMPUTED_VALUE"""),"No")</f>
        <v>No</v>
      </c>
      <c r="AK537" s="8" t="str">
        <f ca="1">IFERROR(__xludf.DUMMYFUNCTION("""COMPUTED_VALUE"""),"No")</f>
        <v>No</v>
      </c>
      <c r="AL537" s="8" t="str">
        <f ca="1">IFERROR(__xludf.DUMMYFUNCTION("""COMPUTED_VALUE"""),"No")</f>
        <v>No</v>
      </c>
      <c r="AM537" s="8" t="str">
        <f ca="1">IFERROR(__xludf.DUMMYFUNCTION("""COMPUTED_VALUE"""),"No")</f>
        <v>No</v>
      </c>
      <c r="AN537" s="8" t="str">
        <f ca="1">IFERROR(__xludf.DUMMYFUNCTION("""COMPUTED_VALUE"""),"Outside")</f>
        <v>Outside</v>
      </c>
      <c r="AO537" s="8" t="str">
        <f ca="1">IFERROR(__xludf.DUMMYFUNCTION("""COMPUTED_VALUE"""),"No")</f>
        <v>No</v>
      </c>
      <c r="AP537" s="8"/>
      <c r="AQ537" s="8"/>
      <c r="AR537" s="8" t="str">
        <f ca="1">IFERROR(__xludf.DUMMYFUNCTION("""COMPUTED_VALUE"""),"Outside/Off-Property")</f>
        <v>Outside/Off-Property</v>
      </c>
      <c r="AS537" s="8"/>
      <c r="AT537" s="8" t="str">
        <f ca="1">IFERROR(__xludf.DUMMYFUNCTION("""COMPUTED_VALUE"""),"No")</f>
        <v>No</v>
      </c>
      <c r="AU537" s="8">
        <f ca="1">IFERROR(__xludf.DUMMYFUNCTION("""COMPUTED_VALUE"""),39.785324)</f>
        <v>39.785324000000003</v>
      </c>
      <c r="AV537" s="8">
        <f ca="1">IFERROR(__xludf.DUMMYFUNCTION("""COMPUTED_VALUE"""),-84.213747)</f>
        <v>-84.213746999999998</v>
      </c>
      <c r="AW537" s="8"/>
      <c r="AX537" s="8">
        <f ca="1">IFERROR(__xludf.DUMMYFUNCTION("""COMPUTED_VALUE"""),45405)</f>
        <v>45405</v>
      </c>
    </row>
    <row r="538" spans="1:50" ht="60" x14ac:dyDescent="0.2">
      <c r="A538" s="8" t="str">
        <f ca="1">IFERROR(__xludf.DUMMYFUNCTION("""COMPUTED_VALUE"""),"20231123OHSOC")</f>
        <v>20231123OHSOC</v>
      </c>
      <c r="B538" s="8">
        <f ca="1">IFERROR(__xludf.DUMMYFUNCTION("""COMPUTED_VALUE"""),11)</f>
        <v>11</v>
      </c>
      <c r="C538" s="8">
        <f ca="1">IFERROR(__xludf.DUMMYFUNCTION("""COMPUTED_VALUE"""),23)</f>
        <v>23</v>
      </c>
      <c r="D538" s="8">
        <f ca="1">IFERROR(__xludf.DUMMYFUNCTION("""COMPUTED_VALUE"""),2023)</f>
        <v>2023</v>
      </c>
      <c r="E538" s="9">
        <f ca="1">IFERROR(__xludf.DUMMYFUNCTION("""COMPUTED_VALUE"""),45253)</f>
        <v>45253</v>
      </c>
      <c r="F538" s="8" t="str">
        <f ca="1">IFERROR(__xludf.DUMMYFUNCTION("""COMPUTED_VALUE"""),"South Avondale Elementary School")</f>
        <v>South Avondale Elementary School</v>
      </c>
      <c r="G538" s="8">
        <f ca="1">IFERROR(__xludf.DUMMYFUNCTION("""COMPUTED_VALUE"""),0)</f>
        <v>0</v>
      </c>
      <c r="H538" s="8">
        <f ca="1">IFERROR(__xludf.DUMMYFUNCTION("""COMPUTED_VALUE"""),1)</f>
        <v>1</v>
      </c>
      <c r="I538" s="8">
        <f ca="1">IFERROR(__xludf.DUMMYFUNCTION("""COMPUTED_VALUE"""),1)</f>
        <v>1</v>
      </c>
      <c r="J538" s="8">
        <f ca="1">IFERROR(__xludf.DUMMYFUNCTION("""COMPUTED_VALUE"""),0)</f>
        <v>0</v>
      </c>
      <c r="K538" s="10" t="str">
        <f ca="1">IFERROR(__xludf.DUMMYFUNCTION("""COMPUTED_VALUE"""),"https://www.fox19.com/2023/11/24/man-hospitalized-thanksgiving-shooting-near-school-police-say/")</f>
        <v>https://www.fox19.com/2023/11/24/man-hospitalized-thanksgiving-shooting-near-school-police-say/</v>
      </c>
      <c r="L538" s="8">
        <f ca="1">IFERROR(__xludf.DUMMYFUNCTION("""COMPUTED_VALUE"""),3)</f>
        <v>3</v>
      </c>
      <c r="M538" s="8" t="str">
        <f ca="1">IFERROR(__xludf.DUMMYFUNCTION("""COMPUTED_VALUE"""),"Local")</f>
        <v>Local</v>
      </c>
      <c r="N538" s="8">
        <f ca="1">IFERROR(__xludf.DUMMYFUNCTION("""COMPUTED_VALUE"""),4)</f>
        <v>4</v>
      </c>
      <c r="O538" s="8" t="str">
        <f ca="1">IFERROR(__xludf.DUMMYFUNCTION("""COMPUTED_VALUE"""),"Fall")</f>
        <v>Fall</v>
      </c>
      <c r="P538" s="8" t="str">
        <f ca="1">IFERROR(__xludf.DUMMYFUNCTION("""COMPUTED_VALUE"""),"Cincinnati")</f>
        <v>Cincinnati</v>
      </c>
      <c r="Q538" s="8" t="str">
        <f ca="1">IFERROR(__xludf.DUMMYFUNCTION("""COMPUTED_VALUE"""),"OH")</f>
        <v>OH</v>
      </c>
      <c r="R538" s="8" t="str">
        <f ca="1">IFERROR(__xludf.DUMMYFUNCTION("""COMPUTED_VALUE"""),"Elementary")</f>
        <v>Elementary</v>
      </c>
      <c r="S538" s="8" t="str">
        <f ca="1">IFERROR(__xludf.DUMMYFUNCTION("""COMPUTED_VALUE"""),"Football Field/Track")</f>
        <v>Football Field/Track</v>
      </c>
      <c r="T538" s="8" t="str">
        <f ca="1">IFERROR(__xludf.DUMMYFUNCTION("""COMPUTED_VALUE"""),"Outside on School Property")</f>
        <v>Outside on School Property</v>
      </c>
      <c r="U538" s="8" t="str">
        <f ca="1">IFERROR(__xludf.DUMMYFUNCTION("""COMPUTED_VALUE"""),"No")</f>
        <v>No</v>
      </c>
      <c r="V538" s="8" t="str">
        <f ca="1">IFERROR(__xludf.DUMMYFUNCTION("""COMPUTED_VALUE"""),"Not a School Day")</f>
        <v>Not a School Day</v>
      </c>
      <c r="W538" s="11">
        <f ca="1">IFERROR(__xludf.DUMMYFUNCTION("""COMPUTED_VALUE"""),0.513888888888888)</f>
        <v>0.51388888888888795</v>
      </c>
      <c r="X538" s="8">
        <f ca="1">IFERROR(__xludf.DUMMYFUNCTION("""COMPUTED_VALUE"""),1)</f>
        <v>1</v>
      </c>
      <c r="Y538" s="12" t="str">
        <f ca="1">IFERROR(__xludf.DUMMYFUNCTION("""COMPUTED_VALUE"""),"Man shot on the school football field during family Thanksgiving game")</f>
        <v>Man shot on the school football field during family Thanksgiving game</v>
      </c>
      <c r="Z538" s="12" t="str">
        <f ca="1">IFERROR(__xludf.DUMMYFUNCTION("""COMPUTED_VALUE"""),"Man shot on the school football field during family Thanksgiving game")</f>
        <v>Man shot on the school football field during family Thanksgiving game</v>
      </c>
      <c r="AA538" s="8"/>
      <c r="AB538" s="8"/>
      <c r="AC538" s="8" t="str">
        <f ca="1">IFERROR(__xludf.DUMMYFUNCTION("""COMPUTED_VALUE"""),"No")</f>
        <v>No</v>
      </c>
      <c r="AD538" s="8" t="str">
        <f ca="1">IFERROR(__xludf.DUMMYFUNCTION("""COMPUTED_VALUE"""),"Victims Targeted")</f>
        <v>Victims Targeted</v>
      </c>
      <c r="AE538" s="8" t="str">
        <f ca="1">IFERROR(__xludf.DUMMYFUNCTION("""COMPUTED_VALUE"""),"No")</f>
        <v>No</v>
      </c>
      <c r="AF538" s="8"/>
      <c r="AG538" s="8" t="str">
        <f ca="1">IFERROR(__xludf.DUMMYFUNCTION("""COMPUTED_VALUE"""),"No")</f>
        <v>No</v>
      </c>
      <c r="AH538" s="8" t="str">
        <f ca="1">IFERROR(__xludf.DUMMYFUNCTION("""COMPUTED_VALUE"""),"No")</f>
        <v>No</v>
      </c>
      <c r="AI538" s="8" t="str">
        <f ca="1">IFERROR(__xludf.DUMMYFUNCTION("""COMPUTED_VALUE"""),"No")</f>
        <v>No</v>
      </c>
      <c r="AJ538" s="8" t="str">
        <f ca="1">IFERROR(__xludf.DUMMYFUNCTION("""COMPUTED_VALUE"""),"No")</f>
        <v>No</v>
      </c>
      <c r="AK538" s="8" t="str">
        <f ca="1">IFERROR(__xludf.DUMMYFUNCTION("""COMPUTED_VALUE"""),"No")</f>
        <v>No</v>
      </c>
      <c r="AL538" s="8" t="str">
        <f ca="1">IFERROR(__xludf.DUMMYFUNCTION("""COMPUTED_VALUE"""),"No")</f>
        <v>No</v>
      </c>
      <c r="AM538" s="8" t="str">
        <f ca="1">IFERROR(__xludf.DUMMYFUNCTION("""COMPUTED_VALUE"""),"No")</f>
        <v>No</v>
      </c>
      <c r="AN538" s="8" t="str">
        <f ca="1">IFERROR(__xludf.DUMMYFUNCTION("""COMPUTED_VALUE"""),"Outside")</f>
        <v>Outside</v>
      </c>
      <c r="AO538" s="8" t="str">
        <f ca="1">IFERROR(__xludf.DUMMYFUNCTION("""COMPUTED_VALUE"""),"No")</f>
        <v>No</v>
      </c>
      <c r="AP538" s="8"/>
      <c r="AQ538" s="8"/>
      <c r="AR538" s="8" t="str">
        <f ca="1">IFERROR(__xludf.DUMMYFUNCTION("""COMPUTED_VALUE"""),"Outside/Off-Property")</f>
        <v>Outside/Off-Property</v>
      </c>
      <c r="AS538" s="8"/>
      <c r="AT538" s="8" t="str">
        <f ca="1">IFERROR(__xludf.DUMMYFUNCTION("""COMPUTED_VALUE"""),"No")</f>
        <v>No</v>
      </c>
      <c r="AU538" s="8">
        <f ca="1">IFERROR(__xludf.DUMMYFUNCTION("""COMPUTED_VALUE"""),39.143758)</f>
        <v>39.143757999999998</v>
      </c>
      <c r="AV538" s="8">
        <f ca="1">IFERROR(__xludf.DUMMYFUNCTION("""COMPUTED_VALUE"""),-84.493803)</f>
        <v>-84.493803</v>
      </c>
      <c r="AW538" s="8"/>
      <c r="AX538" s="8">
        <f ca="1">IFERROR(__xludf.DUMMYFUNCTION("""COMPUTED_VALUE"""),45229)</f>
        <v>45229</v>
      </c>
    </row>
    <row r="539" spans="1:50" ht="60" x14ac:dyDescent="0.2">
      <c r="A539" s="8" t="str">
        <f ca="1">IFERROR(__xludf.DUMMYFUNCTION("""COMPUTED_VALUE"""),"20231119ILURU")</f>
        <v>20231119ILURU</v>
      </c>
      <c r="B539" s="8">
        <f ca="1">IFERROR(__xludf.DUMMYFUNCTION("""COMPUTED_VALUE"""),11)</f>
        <v>11</v>
      </c>
      <c r="C539" s="8">
        <f ca="1">IFERROR(__xludf.DUMMYFUNCTION("""COMPUTED_VALUE"""),19)</f>
        <v>19</v>
      </c>
      <c r="D539" s="8">
        <f ca="1">IFERROR(__xludf.DUMMYFUNCTION("""COMPUTED_VALUE"""),2023)</f>
        <v>2023</v>
      </c>
      <c r="E539" s="9">
        <f ca="1">IFERROR(__xludf.DUMMYFUNCTION("""COMPUTED_VALUE"""),45249)</f>
        <v>45249</v>
      </c>
      <c r="F539" s="8" t="str">
        <f ca="1">IFERROR(__xludf.DUMMYFUNCTION("""COMPUTED_VALUE"""),"Urbana High School")</f>
        <v>Urbana High School</v>
      </c>
      <c r="G539" s="8">
        <f ca="1">IFERROR(__xludf.DUMMYFUNCTION("""COMPUTED_VALUE"""),0)</f>
        <v>0</v>
      </c>
      <c r="H539" s="8">
        <f ca="1">IFERROR(__xludf.DUMMYFUNCTION("""COMPUTED_VALUE"""),1)</f>
        <v>1</v>
      </c>
      <c r="I539" s="8">
        <f ca="1">IFERROR(__xludf.DUMMYFUNCTION("""COMPUTED_VALUE"""),1)</f>
        <v>1</v>
      </c>
      <c r="J539" s="8">
        <f ca="1">IFERROR(__xludf.DUMMYFUNCTION("""COMPUTED_VALUE"""),0)</f>
        <v>0</v>
      </c>
      <c r="K539" s="10" t="str">
        <f ca="1">IFERROR(__xludf.DUMMYFUNCTION("""COMPUTED_VALUE"""),"https://www.wcia.com/news/person-shot-outside-of-urbana-high-school/")</f>
        <v>https://www.wcia.com/news/person-shot-outside-of-urbana-high-school/</v>
      </c>
      <c r="L539" s="8">
        <f ca="1">IFERROR(__xludf.DUMMYFUNCTION("""COMPUTED_VALUE"""),4)</f>
        <v>4</v>
      </c>
      <c r="M539" s="8" t="str">
        <f ca="1">IFERROR(__xludf.DUMMYFUNCTION("""COMPUTED_VALUE"""),"Local")</f>
        <v>Local</v>
      </c>
      <c r="N539" s="8">
        <f ca="1">IFERROR(__xludf.DUMMYFUNCTION("""COMPUTED_VALUE"""),4)</f>
        <v>4</v>
      </c>
      <c r="O539" s="8" t="str">
        <f ca="1">IFERROR(__xludf.DUMMYFUNCTION("""COMPUTED_VALUE"""),"Fall")</f>
        <v>Fall</v>
      </c>
      <c r="P539" s="8" t="str">
        <f ca="1">IFERROR(__xludf.DUMMYFUNCTION("""COMPUTED_VALUE"""),"Urbana")</f>
        <v>Urbana</v>
      </c>
      <c r="Q539" s="8" t="str">
        <f ca="1">IFERROR(__xludf.DUMMYFUNCTION("""COMPUTED_VALUE"""),"IL")</f>
        <v>IL</v>
      </c>
      <c r="R539" s="8" t="str">
        <f ca="1">IFERROR(__xludf.DUMMYFUNCTION("""COMPUTED_VALUE"""),"High")</f>
        <v>High</v>
      </c>
      <c r="S539" s="8" t="str">
        <f ca="1">IFERROR(__xludf.DUMMYFUNCTION("""COMPUTED_VALUE"""),"Beside Building")</f>
        <v>Beside Building</v>
      </c>
      <c r="T539" s="8" t="str">
        <f ca="1">IFERROR(__xludf.DUMMYFUNCTION("""COMPUTED_VALUE"""),"Outside on School Property")</f>
        <v>Outside on School Property</v>
      </c>
      <c r="U539" s="8" t="str">
        <f ca="1">IFERROR(__xludf.DUMMYFUNCTION("""COMPUTED_VALUE"""),"No")</f>
        <v>No</v>
      </c>
      <c r="V539" s="8" t="str">
        <f ca="1">IFERROR(__xludf.DUMMYFUNCTION("""COMPUTED_VALUE"""),"Not a School Day")</f>
        <v>Not a School Day</v>
      </c>
      <c r="W539" s="11">
        <f ca="1">IFERROR(__xludf.DUMMYFUNCTION("""COMPUTED_VALUE"""),0.571527777777777)</f>
        <v>0.57152777777777697</v>
      </c>
      <c r="X539" s="8">
        <f ca="1">IFERROR(__xludf.DUMMYFUNCTION("""COMPUTED_VALUE"""),1)</f>
        <v>1</v>
      </c>
      <c r="Y539" s="12" t="str">
        <f ca="1">IFERROR(__xludf.DUMMYFUNCTION("""COMPUTED_VALUE"""),"Man shot outside of school gym")</f>
        <v>Man shot outside of school gym</v>
      </c>
      <c r="Z539" s="12" t="str">
        <f ca="1">IFERROR(__xludf.DUMMYFUNCTION("""COMPUTED_VALUE"""),"Following a dispute at the apartment complex across the street, a man was chased onto the school campus and shot next to the school gym. The school CCTV system recorded the shooting. Man was transported to the hospital.")</f>
        <v>Following a dispute at the apartment complex across the street, a man was chased onto the school campus and shot next to the school gym. The school CCTV system recorded the shooting. Man was transported to the hospital.</v>
      </c>
      <c r="AA539" s="8" t="str">
        <f ca="1">IFERROR(__xludf.DUMMYFUNCTION("""COMPUTED_VALUE"""),"Escalation of Dispute")</f>
        <v>Escalation of Dispute</v>
      </c>
      <c r="AB539" s="8" t="str">
        <f ca="1">IFERROR(__xludf.DUMMYFUNCTION("""COMPUTED_VALUE"""),"Spontaneous")</f>
        <v>Spontaneous</v>
      </c>
      <c r="AC539" s="8" t="str">
        <f ca="1">IFERROR(__xludf.DUMMYFUNCTION("""COMPUTED_VALUE"""),"No")</f>
        <v>No</v>
      </c>
      <c r="AD539" s="8" t="str">
        <f ca="1">IFERROR(__xludf.DUMMYFUNCTION("""COMPUTED_VALUE"""),"Victims Targeted")</f>
        <v>Victims Targeted</v>
      </c>
      <c r="AE539" s="8" t="str">
        <f ca="1">IFERROR(__xludf.DUMMYFUNCTION("""COMPUTED_VALUE"""),"No")</f>
        <v>No</v>
      </c>
      <c r="AF539" s="8"/>
      <c r="AG539" s="8" t="str">
        <f ca="1">IFERROR(__xludf.DUMMYFUNCTION("""COMPUTED_VALUE"""),"No")</f>
        <v>No</v>
      </c>
      <c r="AH539" s="8" t="str">
        <f ca="1">IFERROR(__xludf.DUMMYFUNCTION("""COMPUTED_VALUE"""),"No")</f>
        <v>No</v>
      </c>
      <c r="AI539" s="8" t="str">
        <f ca="1">IFERROR(__xludf.DUMMYFUNCTION("""COMPUTED_VALUE"""),"No")</f>
        <v>No</v>
      </c>
      <c r="AJ539" s="8" t="str">
        <f ca="1">IFERROR(__xludf.DUMMYFUNCTION("""COMPUTED_VALUE"""),"No")</f>
        <v>No</v>
      </c>
      <c r="AK539" s="8" t="str">
        <f ca="1">IFERROR(__xludf.DUMMYFUNCTION("""COMPUTED_VALUE"""),"No")</f>
        <v>No</v>
      </c>
      <c r="AL539" s="8" t="str">
        <f ca="1">IFERROR(__xludf.DUMMYFUNCTION("""COMPUTED_VALUE"""),"No")</f>
        <v>No</v>
      </c>
      <c r="AM539" s="8" t="str">
        <f ca="1">IFERROR(__xludf.DUMMYFUNCTION("""COMPUTED_VALUE"""),"No")</f>
        <v>No</v>
      </c>
      <c r="AN539" s="8" t="str">
        <f ca="1">IFERROR(__xludf.DUMMYFUNCTION("""COMPUTED_VALUE"""),"Outside")</f>
        <v>Outside</v>
      </c>
      <c r="AO539" s="8" t="str">
        <f ca="1">IFERROR(__xludf.DUMMYFUNCTION("""COMPUTED_VALUE"""),"No")</f>
        <v>No</v>
      </c>
      <c r="AP539" s="8"/>
      <c r="AQ539" s="8"/>
      <c r="AR539" s="8" t="str">
        <f ca="1">IFERROR(__xludf.DUMMYFUNCTION("""COMPUTED_VALUE"""),"Outside/Off-Property")</f>
        <v>Outside/Off-Property</v>
      </c>
      <c r="AS539" s="8">
        <f ca="1">IFERROR(__xludf.DUMMYFUNCTION("""COMPUTED_VALUE"""),99)</f>
        <v>99</v>
      </c>
      <c r="AT539" s="8" t="str">
        <f ca="1">IFERROR(__xludf.DUMMYFUNCTION("""COMPUTED_VALUE"""),"No")</f>
        <v>No</v>
      </c>
      <c r="AU539" s="8">
        <f ca="1">IFERROR(__xludf.DUMMYFUNCTION("""COMPUTED_VALUE"""),40.104051)</f>
        <v>40.104050999999998</v>
      </c>
      <c r="AV539" s="8">
        <f ca="1">IFERROR(__xludf.DUMMYFUNCTION("""COMPUTED_VALUE"""),-88.208184)</f>
        <v>-88.208184000000003</v>
      </c>
      <c r="AW539" s="8"/>
      <c r="AX539" s="8">
        <f ca="1">IFERROR(__xludf.DUMMYFUNCTION("""COMPUTED_VALUE"""),61801)</f>
        <v>61801</v>
      </c>
    </row>
    <row r="540" spans="1:50" ht="195" x14ac:dyDescent="0.2">
      <c r="A540" s="8" t="str">
        <f ca="1">IFERROR(__xludf.DUMMYFUNCTION("""COMPUTED_VALUE"""),"20231117LAACL")</f>
        <v>20231117LAACL</v>
      </c>
      <c r="B540" s="8">
        <f ca="1">IFERROR(__xludf.DUMMYFUNCTION("""COMPUTED_VALUE"""),11)</f>
        <v>11</v>
      </c>
      <c r="C540" s="8">
        <f ca="1">IFERROR(__xludf.DUMMYFUNCTION("""COMPUTED_VALUE"""),18)</f>
        <v>18</v>
      </c>
      <c r="D540" s="8">
        <f ca="1">IFERROR(__xludf.DUMMYFUNCTION("""COMPUTED_VALUE"""),2023)</f>
        <v>2023</v>
      </c>
      <c r="E540" s="9">
        <f ca="1">IFERROR(__xludf.DUMMYFUNCTION("""COMPUTED_VALUE"""),45247)</f>
        <v>45247</v>
      </c>
      <c r="F540" s="8" t="str">
        <f ca="1">IFERROR(__xludf.DUMMYFUNCTION("""COMPUTED_VALUE"""),"Acadiana High School")</f>
        <v>Acadiana High School</v>
      </c>
      <c r="G540" s="8">
        <f ca="1">IFERROR(__xludf.DUMMYFUNCTION("""COMPUTED_VALUE"""),0)</f>
        <v>0</v>
      </c>
      <c r="H540" s="8">
        <f ca="1">IFERROR(__xludf.DUMMYFUNCTION("""COMPUTED_VALUE"""),0)</f>
        <v>0</v>
      </c>
      <c r="I540" s="8">
        <f ca="1">IFERROR(__xludf.DUMMYFUNCTION("""COMPUTED_VALUE"""),0)</f>
        <v>0</v>
      </c>
      <c r="J540" s="8">
        <f ca="1">IFERROR(__xludf.DUMMYFUNCTION("""COMPUTED_VALUE"""),0)</f>
        <v>0</v>
      </c>
      <c r="K540" s="10" t="str">
        <f ca="1">IFERROR(__xludf.DUMMYFUNCTION("""COMPUTED_VALUE"""),"https://www.klfy.com/local/lafayette-parish/no-injuries-in-acadiana-high-school-football-game-shooting-one-arrested/
https://www.kplctv.com/2023/11/19/one-juvenile-taken-into-custody-after-shooting-acadiana-high/")</f>
        <v>https://www.klfy.com/local/lafayette-parish/no-injuries-in-acadiana-high-school-football-game-shooting-one-arrested/
https://www.kplctv.com/2023/11/19/one-juvenile-taken-into-custody-after-shooting-acadiana-high/</v>
      </c>
      <c r="L540" s="8">
        <f ca="1">IFERROR(__xludf.DUMMYFUNCTION("""COMPUTED_VALUE"""),3)</f>
        <v>3</v>
      </c>
      <c r="M540" s="8" t="str">
        <f ca="1">IFERROR(__xludf.DUMMYFUNCTION("""COMPUTED_VALUE"""),"Local")</f>
        <v>Local</v>
      </c>
      <c r="N540" s="8">
        <f ca="1">IFERROR(__xludf.DUMMYFUNCTION("""COMPUTED_VALUE"""),4)</f>
        <v>4</v>
      </c>
      <c r="O540" s="8" t="str">
        <f ca="1">IFERROR(__xludf.DUMMYFUNCTION("""COMPUTED_VALUE"""),"Fall")</f>
        <v>Fall</v>
      </c>
      <c r="P540" s="8" t="str">
        <f ca="1">IFERROR(__xludf.DUMMYFUNCTION("""COMPUTED_VALUE"""),"Lafayette")</f>
        <v>Lafayette</v>
      </c>
      <c r="Q540" s="8" t="str">
        <f ca="1">IFERROR(__xludf.DUMMYFUNCTION("""COMPUTED_VALUE"""),"LA")</f>
        <v>LA</v>
      </c>
      <c r="R540" s="8" t="str">
        <f ca="1">IFERROR(__xludf.DUMMYFUNCTION("""COMPUTED_VALUE"""),"High")</f>
        <v>High</v>
      </c>
      <c r="S540" s="8" t="str">
        <f ca="1">IFERROR(__xludf.DUMMYFUNCTION("""COMPUTED_VALUE"""),"Football Field/Track")</f>
        <v>Football Field/Track</v>
      </c>
      <c r="T540" s="8" t="str">
        <f ca="1">IFERROR(__xludf.DUMMYFUNCTION("""COMPUTED_VALUE"""),"Outside on School Property")</f>
        <v>Outside on School Property</v>
      </c>
      <c r="U540" s="8" t="str">
        <f ca="1">IFERROR(__xludf.DUMMYFUNCTION("""COMPUTED_VALUE"""),"No")</f>
        <v>No</v>
      </c>
      <c r="V540" s="8" t="str">
        <f ca="1">IFERROR(__xludf.DUMMYFUNCTION("""COMPUTED_VALUE"""),"Sport Event")</f>
        <v>Sport Event</v>
      </c>
      <c r="W540" s="11">
        <f ca="1">IFERROR(__xludf.DUMMYFUNCTION("""COMPUTED_VALUE"""),0.909722222222222)</f>
        <v>0.90972222222222199</v>
      </c>
      <c r="X540" s="8">
        <f ca="1">IFERROR(__xludf.DUMMYFUNCTION("""COMPUTED_VALUE"""),1)</f>
        <v>1</v>
      </c>
      <c r="Y540" s="12" t="str">
        <f ca="1">IFERROR(__xludf.DUMMYFUNCTION("""COMPUTED_VALUE"""),"Teen fired shots during fight on the football field during a high school game")</f>
        <v>Teen fired shots during fight on the football field during a high school game</v>
      </c>
      <c r="Z540" s="12" t="str">
        <f ca="1">IFERROR(__xludf.DUMMYFUNCTION("""COMPUTED_VALUE"""),"While Acadiana was taking on Carencro, a verbal argument in a road next to the practice football field led to a juvenile male shooting a gun, according to the Scott Police Department. The juvenile told Scott Police officers he believed the person he fired"&amp;" at had pointed a gun at him during the argument. Two handguns and multiple shell casings were found at the scene. No injuries are reported but two witnesses and three cars were hit by stray projectiles. The male juvenile was arrested and booked into the "&amp;"Lafayette Juvenile Detention center on one count of possession of a firearm in a firearm free zone, one count of illegal discharge of a firearm and three counts of aggravated damage to property.")</f>
        <v>While Acadiana was taking on Carencro, a verbal argument in a road next to the practice football field led to a juvenile male shooting a gun, according to the Scott Police Department. The juvenile told Scott Police officers he believed the person he fired at had pointed a gun at him during the argument. Two handguns and multiple shell casings were found at the scene. No injuries are reported but two witnesses and three cars were hit by stray projectiles. The male juvenile was arrested and booked into the Lafayette Juvenile Detention center on one count of possession of a firearm in a firearm free zone, one count of illegal discharge of a firearm and three counts of aggravated damage to property.</v>
      </c>
      <c r="AA540" s="8" t="str">
        <f ca="1">IFERROR(__xludf.DUMMYFUNCTION("""COMPUTED_VALUE"""),"Escalation of Dispute")</f>
        <v>Escalation of Dispute</v>
      </c>
      <c r="AB540" s="8" t="str">
        <f ca="1">IFERROR(__xludf.DUMMYFUNCTION("""COMPUTED_VALUE"""),"Spontaneous")</f>
        <v>Spontaneous</v>
      </c>
      <c r="AC540" s="8" t="str">
        <f ca="1">IFERROR(__xludf.DUMMYFUNCTION("""COMPUTED_VALUE"""),"Yes")</f>
        <v>Yes</v>
      </c>
      <c r="AD540" s="8" t="str">
        <f ca="1">IFERROR(__xludf.DUMMYFUNCTION("""COMPUTED_VALUE"""),"Victims Targeted")</f>
        <v>Victims Targeted</v>
      </c>
      <c r="AE540" s="8" t="str">
        <f ca="1">IFERROR(__xludf.DUMMYFUNCTION("""COMPUTED_VALUE"""),"Yes")</f>
        <v>Yes</v>
      </c>
      <c r="AF540" s="8" t="str">
        <f ca="1">IFERROR(__xludf.DUMMYFUNCTION("""COMPUTED_VALUE"""),"Two guns recovered")</f>
        <v>Two guns recovered</v>
      </c>
      <c r="AG540" s="8" t="str">
        <f ca="1">IFERROR(__xludf.DUMMYFUNCTION("""COMPUTED_VALUE"""),"No")</f>
        <v>No</v>
      </c>
      <c r="AH540" s="8" t="str">
        <f ca="1">IFERROR(__xludf.DUMMYFUNCTION("""COMPUTED_VALUE"""),"No")</f>
        <v>No</v>
      </c>
      <c r="AI540" s="8" t="str">
        <f ca="1">IFERROR(__xludf.DUMMYFUNCTION("""COMPUTED_VALUE"""),"No")</f>
        <v>No</v>
      </c>
      <c r="AJ540" s="8" t="str">
        <f ca="1">IFERROR(__xludf.DUMMYFUNCTION("""COMPUTED_VALUE"""),"No")</f>
        <v>No</v>
      </c>
      <c r="AK540" s="8" t="str">
        <f ca="1">IFERROR(__xludf.DUMMYFUNCTION("""COMPUTED_VALUE"""),"No")</f>
        <v>No</v>
      </c>
      <c r="AL540" s="8" t="str">
        <f ca="1">IFERROR(__xludf.DUMMYFUNCTION("""COMPUTED_VALUE"""),"No")</f>
        <v>No</v>
      </c>
      <c r="AM540" s="8" t="str">
        <f ca="1">IFERROR(__xludf.DUMMYFUNCTION("""COMPUTED_VALUE"""),"No")</f>
        <v>No</v>
      </c>
      <c r="AN540" s="8" t="str">
        <f ca="1">IFERROR(__xludf.DUMMYFUNCTION("""COMPUTED_VALUE"""),"Outside")</f>
        <v>Outside</v>
      </c>
      <c r="AO540" s="8" t="str">
        <f ca="1">IFERROR(__xludf.DUMMYFUNCTION("""COMPUTED_VALUE"""),"No")</f>
        <v>No</v>
      </c>
      <c r="AP540" s="8" t="str">
        <f ca="1">IFERROR(__xludf.DUMMYFUNCTION("""COMPUTED_VALUE"""),"Yes")</f>
        <v>Yes</v>
      </c>
      <c r="AQ540" s="8" t="str">
        <f ca="1">IFERROR(__xludf.DUMMYFUNCTION("""COMPUTED_VALUE"""),"Armed Guards")</f>
        <v>Armed Guards</v>
      </c>
      <c r="AR540" s="8" t="str">
        <f ca="1">IFERROR(__xludf.DUMMYFUNCTION("""COMPUTED_VALUE"""),"Outside/Off-Property")</f>
        <v>Outside/Off-Property</v>
      </c>
      <c r="AS540" s="8">
        <f ca="1">IFERROR(__xludf.DUMMYFUNCTION("""COMPUTED_VALUE"""),99)</f>
        <v>99</v>
      </c>
      <c r="AT540" s="8" t="str">
        <f ca="1">IFERROR(__xludf.DUMMYFUNCTION("""COMPUTED_VALUE"""),"No")</f>
        <v>No</v>
      </c>
      <c r="AU540" s="8">
        <f ca="1">IFERROR(__xludf.DUMMYFUNCTION("""COMPUTED_VALUE"""),30.204243)</f>
        <v>30.204243000000002</v>
      </c>
      <c r="AV540" s="8">
        <f ca="1">IFERROR(__xludf.DUMMYFUNCTION("""COMPUTED_VALUE"""),-92.091113)</f>
        <v>-92.091113000000007</v>
      </c>
      <c r="AW540" s="8"/>
      <c r="AX540" s="8">
        <f ca="1">IFERROR(__xludf.DUMMYFUNCTION("""COMPUTED_VALUE"""),70506)</f>
        <v>70506</v>
      </c>
    </row>
    <row r="541" spans="1:50" ht="90" x14ac:dyDescent="0.2">
      <c r="A541" s="8" t="str">
        <f ca="1">IFERROR(__xludf.DUMMYFUNCTION("""COMPUTED_VALUE"""),"20231116CALAW")</f>
        <v>20231116CALAW</v>
      </c>
      <c r="B541" s="8">
        <f ca="1">IFERROR(__xludf.DUMMYFUNCTION("""COMPUTED_VALUE"""),11)</f>
        <v>11</v>
      </c>
      <c r="C541" s="8">
        <f ca="1">IFERROR(__xludf.DUMMYFUNCTION("""COMPUTED_VALUE"""),16)</f>
        <v>16</v>
      </c>
      <c r="D541" s="8">
        <f ca="1">IFERROR(__xludf.DUMMYFUNCTION("""COMPUTED_VALUE"""),2023)</f>
        <v>2023</v>
      </c>
      <c r="E541" s="9">
        <f ca="1">IFERROR(__xludf.DUMMYFUNCTION("""COMPUTED_VALUE"""),45246)</f>
        <v>45246</v>
      </c>
      <c r="F541" s="8" t="str">
        <f ca="1">IFERROR(__xludf.DUMMYFUNCTION("""COMPUTED_VALUE"""),"Larchmont Charter School")</f>
        <v>Larchmont Charter School</v>
      </c>
      <c r="G541" s="8">
        <f ca="1">IFERROR(__xludf.DUMMYFUNCTION("""COMPUTED_VALUE"""),0)</f>
        <v>0</v>
      </c>
      <c r="H541" s="8">
        <f ca="1">IFERROR(__xludf.DUMMYFUNCTION("""COMPUTED_VALUE"""),0)</f>
        <v>0</v>
      </c>
      <c r="I541" s="8">
        <f ca="1">IFERROR(__xludf.DUMMYFUNCTION("""COMPUTED_VALUE"""),0)</f>
        <v>0</v>
      </c>
      <c r="J541" s="8">
        <f ca="1">IFERROR(__xludf.DUMMYFUNCTION("""COMPUTED_VALUE"""),0)</f>
        <v>0</v>
      </c>
      <c r="K541" s="8" t="str">
        <f ca="1">IFERROR(__xludf.DUMMYFUNCTION("""COMPUTED_VALUE"""),"https://www.cbsnews.com/losangeles/news/man-arrested-after-allegedly-pointing-gun-at-larchmont-charter-school-in-west-hollywood/
https://abc7.com/west-hollywood-school-lockdown-man-with-gun-larchmont-charter/14070839/")</f>
        <v>https://www.cbsnews.com/losangeles/news/man-arrested-after-allegedly-pointing-gun-at-larchmont-charter-school-in-west-hollywood/
https://abc7.com/west-hollywood-school-lockdown-man-with-gun-larchmont-charter/14070839/</v>
      </c>
      <c r="L541" s="8">
        <f ca="1">IFERROR(__xludf.DUMMYFUNCTION("""COMPUTED_VALUE"""),2)</f>
        <v>2</v>
      </c>
      <c r="M541" s="8" t="str">
        <f ca="1">IFERROR(__xludf.DUMMYFUNCTION("""COMPUTED_VALUE"""),"Local")</f>
        <v>Local</v>
      </c>
      <c r="N541" s="8">
        <f ca="1">IFERROR(__xludf.DUMMYFUNCTION("""COMPUTED_VALUE"""),4)</f>
        <v>4</v>
      </c>
      <c r="O541" s="8" t="str">
        <f ca="1">IFERROR(__xludf.DUMMYFUNCTION("""COMPUTED_VALUE"""),"Fall")</f>
        <v>Fall</v>
      </c>
      <c r="P541" s="8" t="str">
        <f ca="1">IFERROR(__xludf.DUMMYFUNCTION("""COMPUTED_VALUE"""),"West Hollywood")</f>
        <v>West Hollywood</v>
      </c>
      <c r="Q541" s="8" t="str">
        <f ca="1">IFERROR(__xludf.DUMMYFUNCTION("""COMPUTED_VALUE"""),"CA")</f>
        <v>CA</v>
      </c>
      <c r="R541" s="8" t="str">
        <f ca="1">IFERROR(__xludf.DUMMYFUNCTION("""COMPUTED_VALUE"""),"Elementary")</f>
        <v>Elementary</v>
      </c>
      <c r="S541" s="8" t="str">
        <f ca="1">IFERROR(__xludf.DUMMYFUNCTION("""COMPUTED_VALUE"""),"Parking Lot")</f>
        <v>Parking Lot</v>
      </c>
      <c r="T541" s="8" t="str">
        <f ca="1">IFERROR(__xludf.DUMMYFUNCTION("""COMPUTED_VALUE"""),"Outside on School Property")</f>
        <v>Outside on School Property</v>
      </c>
      <c r="U541" s="8" t="str">
        <f ca="1">IFERROR(__xludf.DUMMYFUNCTION("""COMPUTED_VALUE"""),"Yes")</f>
        <v>Yes</v>
      </c>
      <c r="V541" s="8" t="str">
        <f ca="1">IFERROR(__xludf.DUMMYFUNCTION("""COMPUTED_VALUE"""),"School Start")</f>
        <v>School Start</v>
      </c>
      <c r="W541" s="11">
        <f ca="1">IFERROR(__xludf.DUMMYFUNCTION("""COMPUTED_VALUE"""),0.333333333333333)</f>
        <v>0.33333333333333298</v>
      </c>
      <c r="X541" s="8">
        <f ca="1">IFERROR(__xludf.DUMMYFUNCTION("""COMPUTED_VALUE"""),1)</f>
        <v>1</v>
      </c>
      <c r="Y541" s="12" t="str">
        <f ca="1">IFERROR(__xludf.DUMMYFUNCTION("""COMPUTED_VALUE"""),"Man got out of his car and pointed a rifle at the school during drop off, school went on lockdown, man fled")</f>
        <v>Man got out of his car and pointed a rifle at the school during drop off, school went on lockdown, man fled</v>
      </c>
      <c r="Z541" s="12" t="str">
        <f ca="1">IFERROR(__xludf.DUMMYFUNCTION("""COMPUTED_VALUE"""),"Man got out of his car and pointed a rifle at the school during drop off, school went on lockdown, man fled. Police identified and arrested the man. He had a replica semi-auto rifle that fired pellets. Unclear why he went to the school or pointed the gun "&amp;"at the school. Students dismissed early after lockdown.")</f>
        <v>Man got out of his car and pointed a rifle at the school during drop off, school went on lockdown, man fled. Police identified and arrested the man. He had a replica semi-auto rifle that fired pellets. Unclear why he went to the school or pointed the gun at the school. Students dismissed early after lockdown.</v>
      </c>
      <c r="AA541" s="8"/>
      <c r="AB541" s="8"/>
      <c r="AC541" s="8" t="str">
        <f ca="1">IFERROR(__xludf.DUMMYFUNCTION("""COMPUTED_VALUE"""),"Yes")</f>
        <v>Yes</v>
      </c>
      <c r="AD541" s="8"/>
      <c r="AE541" s="8" t="str">
        <f ca="1">IFERROR(__xludf.DUMMYFUNCTION("""COMPUTED_VALUE"""),"No")</f>
        <v>No</v>
      </c>
      <c r="AF541" s="8"/>
      <c r="AG541" s="8" t="str">
        <f ca="1">IFERROR(__xludf.DUMMYFUNCTION("""COMPUTED_VALUE"""),"No")</f>
        <v>No</v>
      </c>
      <c r="AH541" s="8" t="str">
        <f ca="1">IFERROR(__xludf.DUMMYFUNCTION("""COMPUTED_VALUE"""),"No")</f>
        <v>No</v>
      </c>
      <c r="AI541" s="8" t="str">
        <f ca="1">IFERROR(__xludf.DUMMYFUNCTION("""COMPUTED_VALUE"""),"No")</f>
        <v>No</v>
      </c>
      <c r="AJ541" s="8" t="str">
        <f ca="1">IFERROR(__xludf.DUMMYFUNCTION("""COMPUTED_VALUE"""),"No")</f>
        <v>No</v>
      </c>
      <c r="AK541" s="8" t="str">
        <f ca="1">IFERROR(__xludf.DUMMYFUNCTION("""COMPUTED_VALUE"""),"No")</f>
        <v>No</v>
      </c>
      <c r="AL541" s="8" t="str">
        <f ca="1">IFERROR(__xludf.DUMMYFUNCTION("""COMPUTED_VALUE"""),"No")</f>
        <v>No</v>
      </c>
      <c r="AM541" s="8" t="str">
        <f ca="1">IFERROR(__xludf.DUMMYFUNCTION("""COMPUTED_VALUE"""),"No")</f>
        <v>No</v>
      </c>
      <c r="AN541" s="8" t="str">
        <f ca="1">IFERROR(__xludf.DUMMYFUNCTION("""COMPUTED_VALUE"""),"Outside")</f>
        <v>Outside</v>
      </c>
      <c r="AO541" s="8" t="str">
        <f ca="1">IFERROR(__xludf.DUMMYFUNCTION("""COMPUTED_VALUE"""),"No")</f>
        <v>No</v>
      </c>
      <c r="AP541" s="8"/>
      <c r="AQ541" s="8"/>
      <c r="AR541" s="8" t="str">
        <f ca="1">IFERROR(__xludf.DUMMYFUNCTION("""COMPUTED_VALUE"""),"Outside/Off-Property")</f>
        <v>Outside/Off-Property</v>
      </c>
      <c r="AS541" s="8">
        <f ca="1">IFERROR(__xludf.DUMMYFUNCTION("""COMPUTED_VALUE"""),0)</f>
        <v>0</v>
      </c>
      <c r="AT541" s="8" t="str">
        <f ca="1">IFERROR(__xludf.DUMMYFUNCTION("""COMPUTED_VALUE"""),"Yes")</f>
        <v>Yes</v>
      </c>
      <c r="AU541" s="8">
        <f ca="1">IFERROR(__xludf.DUMMYFUNCTION("""COMPUTED_VALUE"""),34.093449)</f>
        <v>34.093449</v>
      </c>
      <c r="AV541" s="8">
        <f ca="1">IFERROR(__xludf.DUMMYFUNCTION("""COMPUTED_VALUE"""),-118.361907)</f>
        <v>-118.361907</v>
      </c>
      <c r="AW541" s="8"/>
      <c r="AX541" s="8">
        <f ca="1">IFERROR(__xludf.DUMMYFUNCTION("""COMPUTED_VALUE"""),90046)</f>
        <v>90046</v>
      </c>
    </row>
    <row r="542" spans="1:50" ht="60" x14ac:dyDescent="0.2">
      <c r="A542" s="8" t="str">
        <f ca="1">IFERROR(__xludf.DUMMYFUNCTION("""COMPUTED_VALUE"""),"20231116OHSTC")</f>
        <v>20231116OHSTC</v>
      </c>
      <c r="B542" s="8">
        <f ca="1">IFERROR(__xludf.DUMMYFUNCTION("""COMPUTED_VALUE"""),11)</f>
        <v>11</v>
      </c>
      <c r="C542" s="8">
        <f ca="1">IFERROR(__xludf.DUMMYFUNCTION("""COMPUTED_VALUE"""),16)</f>
        <v>16</v>
      </c>
      <c r="D542" s="8">
        <f ca="1">IFERROR(__xludf.DUMMYFUNCTION("""COMPUTED_VALUE"""),2023)</f>
        <v>2023</v>
      </c>
      <c r="E542" s="9">
        <f ca="1">IFERROR(__xludf.DUMMYFUNCTION("""COMPUTED_VALUE"""),45246)</f>
        <v>45246</v>
      </c>
      <c r="F542" s="8" t="str">
        <f ca="1">IFERROR(__xludf.DUMMYFUNCTION("""COMPUTED_VALUE"""),"St. Francis Catholic School")</f>
        <v>St. Francis Catholic School</v>
      </c>
      <c r="G542" s="8">
        <f ca="1">IFERROR(__xludf.DUMMYFUNCTION("""COMPUTED_VALUE"""),1)</f>
        <v>1</v>
      </c>
      <c r="H542" s="8">
        <f ca="1">IFERROR(__xludf.DUMMYFUNCTION("""COMPUTED_VALUE"""),0)</f>
        <v>0</v>
      </c>
      <c r="I542" s="8">
        <f ca="1">IFERROR(__xludf.DUMMYFUNCTION("""COMPUTED_VALUE"""),1)</f>
        <v>1</v>
      </c>
      <c r="J542" s="8">
        <f ca="1">IFERROR(__xludf.DUMMYFUNCTION("""COMPUTED_VALUE"""),0)</f>
        <v>0</v>
      </c>
      <c r="K542" s="10" t="str">
        <f ca="1">IFERROR(__xludf.DUMMYFUNCTION("""COMPUTED_VALUE"""),"https://fox8.com/news/live-man-shot-outside-local-school/
https://www.news5cleveland.com/news/local-news/cleveland-metro/man-shot-killed-outside-cleveland-school-police-say-suspect-in-custody
https://www.cleveland19.com/2023/11/16/victim-shot-near-school-"&amp;"clevelands-east-side/")</f>
        <v>https://fox8.com/news/live-man-shot-outside-local-school/
https://www.news5cleveland.com/news/local-news/cleveland-metro/man-shot-killed-outside-cleveland-school-police-say-suspect-in-custody
https://www.cleveland19.com/2023/11/16/victim-shot-near-school-clevelands-east-side/</v>
      </c>
      <c r="L542" s="8">
        <f ca="1">IFERROR(__xludf.DUMMYFUNCTION("""COMPUTED_VALUE"""),10)</f>
        <v>10</v>
      </c>
      <c r="M542" s="8" t="str">
        <f ca="1">IFERROR(__xludf.DUMMYFUNCTION("""COMPUTED_VALUE"""),"Local")</f>
        <v>Local</v>
      </c>
      <c r="N542" s="8">
        <f ca="1">IFERROR(__xludf.DUMMYFUNCTION("""COMPUTED_VALUE"""),4)</f>
        <v>4</v>
      </c>
      <c r="O542" s="8" t="str">
        <f ca="1">IFERROR(__xludf.DUMMYFUNCTION("""COMPUTED_VALUE"""),"Fall")</f>
        <v>Fall</v>
      </c>
      <c r="P542" s="8" t="str">
        <f ca="1">IFERROR(__xludf.DUMMYFUNCTION("""COMPUTED_VALUE"""),"Cleveland")</f>
        <v>Cleveland</v>
      </c>
      <c r="Q542" s="8" t="str">
        <f ca="1">IFERROR(__xludf.DUMMYFUNCTION("""COMPUTED_VALUE"""),"OH")</f>
        <v>OH</v>
      </c>
      <c r="R542" s="8" t="str">
        <f ca="1">IFERROR(__xludf.DUMMYFUNCTION("""COMPUTED_VALUE"""),"Elementary")</f>
        <v>Elementary</v>
      </c>
      <c r="S542" s="8" t="str">
        <f ca="1">IFERROR(__xludf.DUMMYFUNCTION("""COMPUTED_VALUE"""),"Playground")</f>
        <v>Playground</v>
      </c>
      <c r="T542" s="8" t="str">
        <f ca="1">IFERROR(__xludf.DUMMYFUNCTION("""COMPUTED_VALUE"""),"Outside on School Property")</f>
        <v>Outside on School Property</v>
      </c>
      <c r="U542" s="8" t="str">
        <f ca="1">IFERROR(__xludf.DUMMYFUNCTION("""COMPUTED_VALUE"""),"Yes")</f>
        <v>Yes</v>
      </c>
      <c r="V542" s="8" t="str">
        <f ca="1">IFERROR(__xludf.DUMMYFUNCTION("""COMPUTED_VALUE"""),"Morning Classes")</f>
        <v>Morning Classes</v>
      </c>
      <c r="W542" s="11">
        <f ca="1">IFERROR(__xludf.DUMMYFUNCTION("""COMPUTED_VALUE"""),0.363888888888888)</f>
        <v>0.36388888888888798</v>
      </c>
      <c r="X542" s="8">
        <f ca="1">IFERROR(__xludf.DUMMYFUNCTION("""COMPUTED_VALUE"""),1)</f>
        <v>1</v>
      </c>
      <c r="Y542" s="12" t="str">
        <f ca="1">IFERROR(__xludf.DUMMYFUNCTION("""COMPUTED_VALUE"""),"Man was fatally shot next to the fence around the school playground")</f>
        <v>Man was fatally shot next to the fence around the school playground</v>
      </c>
      <c r="Z542" s="12" t="str">
        <f ca="1">IFERROR(__xludf.DUMMYFUNCTION("""COMPUTED_VALUE"""),"Man was fatally shot next to the fence around the school playground.")</f>
        <v>Man was fatally shot next to the fence around the school playground.</v>
      </c>
      <c r="AA542" s="8"/>
      <c r="AB542" s="8" t="str">
        <f ca="1">IFERROR(__xludf.DUMMYFUNCTION("""COMPUTED_VALUE"""),"Targeted")</f>
        <v>Targeted</v>
      </c>
      <c r="AC542" s="8" t="str">
        <f ca="1">IFERROR(__xludf.DUMMYFUNCTION("""COMPUTED_VALUE"""),"Yes")</f>
        <v>Yes</v>
      </c>
      <c r="AD542" s="8" t="str">
        <f ca="1">IFERROR(__xludf.DUMMYFUNCTION("""COMPUTED_VALUE"""),"Victims Targeted")</f>
        <v>Victims Targeted</v>
      </c>
      <c r="AE542" s="8" t="str">
        <f ca="1">IFERROR(__xludf.DUMMYFUNCTION("""COMPUTED_VALUE"""),"No")</f>
        <v>No</v>
      </c>
      <c r="AF542" s="8"/>
      <c r="AG542" s="8" t="str">
        <f ca="1">IFERROR(__xludf.DUMMYFUNCTION("""COMPUTED_VALUE"""),"No")</f>
        <v>No</v>
      </c>
      <c r="AH542" s="8" t="str">
        <f ca="1">IFERROR(__xludf.DUMMYFUNCTION("""COMPUTED_VALUE"""),"No")</f>
        <v>No</v>
      </c>
      <c r="AI542" s="8" t="str">
        <f ca="1">IFERROR(__xludf.DUMMYFUNCTION("""COMPUTED_VALUE"""),"No")</f>
        <v>No</v>
      </c>
      <c r="AJ542" s="8" t="str">
        <f ca="1">IFERROR(__xludf.DUMMYFUNCTION("""COMPUTED_VALUE"""),"No")</f>
        <v>No</v>
      </c>
      <c r="AK542" s="8" t="str">
        <f ca="1">IFERROR(__xludf.DUMMYFUNCTION("""COMPUTED_VALUE"""),"No")</f>
        <v>No</v>
      </c>
      <c r="AL542" s="8"/>
      <c r="AM542" s="8" t="str">
        <f ca="1">IFERROR(__xludf.DUMMYFUNCTION("""COMPUTED_VALUE"""),"No")</f>
        <v>No</v>
      </c>
      <c r="AN542" s="8" t="str">
        <f ca="1">IFERROR(__xludf.DUMMYFUNCTION("""COMPUTED_VALUE"""),"Outside")</f>
        <v>Outside</v>
      </c>
      <c r="AO542" s="8" t="str">
        <f ca="1">IFERROR(__xludf.DUMMYFUNCTION("""COMPUTED_VALUE"""),"No")</f>
        <v>No</v>
      </c>
      <c r="AP542" s="8"/>
      <c r="AQ542" s="8"/>
      <c r="AR542" s="8" t="str">
        <f ca="1">IFERROR(__xludf.DUMMYFUNCTION("""COMPUTED_VALUE"""),"Outside/Off-Property")</f>
        <v>Outside/Off-Property</v>
      </c>
      <c r="AS542" s="8">
        <f ca="1">IFERROR(__xludf.DUMMYFUNCTION("""COMPUTED_VALUE"""),99)</f>
        <v>99</v>
      </c>
      <c r="AT542" s="8"/>
      <c r="AU542" s="8">
        <f ca="1">IFERROR(__xludf.DUMMYFUNCTION("""COMPUTED_VALUE"""),41.519472)</f>
        <v>41.519472</v>
      </c>
      <c r="AV542" s="8">
        <f ca="1">IFERROR(__xludf.DUMMYFUNCTION("""COMPUTED_VALUE"""),-81.639212)</f>
        <v>-81.639212000000001</v>
      </c>
      <c r="AW542" s="8"/>
      <c r="AX542" s="8">
        <f ca="1">IFERROR(__xludf.DUMMYFUNCTION("""COMPUTED_VALUE"""),44112)</f>
        <v>44112</v>
      </c>
    </row>
    <row r="543" spans="1:50" ht="60" x14ac:dyDescent="0.2">
      <c r="A543" s="8" t="str">
        <f ca="1">IFERROR(__xludf.DUMMYFUNCTION("""COMPUTED_VALUE"""),"20231114MILID")</f>
        <v>20231114MILID</v>
      </c>
      <c r="B543" s="8">
        <f ca="1">IFERROR(__xludf.DUMMYFUNCTION("""COMPUTED_VALUE"""),11)</f>
        <v>11</v>
      </c>
      <c r="C543" s="8">
        <f ca="1">IFERROR(__xludf.DUMMYFUNCTION("""COMPUTED_VALUE"""),14)</f>
        <v>14</v>
      </c>
      <c r="D543" s="8">
        <f ca="1">IFERROR(__xludf.DUMMYFUNCTION("""COMPUTED_VALUE"""),2023)</f>
        <v>2023</v>
      </c>
      <c r="E543" s="9">
        <f ca="1">IFERROR(__xludf.DUMMYFUNCTION("""COMPUTED_VALUE"""),45244)</f>
        <v>45244</v>
      </c>
      <c r="F543" s="8" t="str">
        <f ca="1">IFERROR(__xludf.DUMMYFUNCTION("""COMPUTED_VALUE"""),"Lincoln Park High School")</f>
        <v>Lincoln Park High School</v>
      </c>
      <c r="G543" s="8">
        <f ca="1">IFERROR(__xludf.DUMMYFUNCTION("""COMPUTED_VALUE"""),0)</f>
        <v>0</v>
      </c>
      <c r="H543" s="8">
        <f ca="1">IFERROR(__xludf.DUMMYFUNCTION("""COMPUTED_VALUE"""),0)</f>
        <v>0</v>
      </c>
      <c r="I543" s="8">
        <f ca="1">IFERROR(__xludf.DUMMYFUNCTION("""COMPUTED_VALUE"""),0)</f>
        <v>0</v>
      </c>
      <c r="J543" s="8">
        <f ca="1">IFERROR(__xludf.DUMMYFUNCTION("""COMPUTED_VALUE"""),0)</f>
        <v>0</v>
      </c>
      <c r="K543" s="10" t="str">
        <f ca="1">IFERROR(__xludf.DUMMYFUNCTION("""COMPUTED_VALUE"""),"https://www.detroitnews.com/story/news/local/wayne-county/2023/11/16/student-gun-lincoln-park-high-school-arrested/71604233007/
https://www.thenewsherald.com/2023/11/15/resource-officer-promptly-arrests-student-with-loaded-gun-knife-in-backpack-at-lphs/")</f>
        <v>https://www.detroitnews.com/story/news/local/wayne-county/2023/11/16/student-gun-lincoln-park-high-school-arrested/71604233007/
https://www.thenewsherald.com/2023/11/15/resource-officer-promptly-arrests-student-with-loaded-gun-knife-in-backpack-at-lphs/</v>
      </c>
      <c r="L543" s="8">
        <f ca="1">IFERROR(__xludf.DUMMYFUNCTION("""COMPUTED_VALUE"""),5)</f>
        <v>5</v>
      </c>
      <c r="M543" s="8" t="str">
        <f ca="1">IFERROR(__xludf.DUMMYFUNCTION("""COMPUTED_VALUE"""),"Local")</f>
        <v>Local</v>
      </c>
      <c r="N543" s="8">
        <f ca="1">IFERROR(__xludf.DUMMYFUNCTION("""COMPUTED_VALUE"""),3)</f>
        <v>3</v>
      </c>
      <c r="O543" s="8" t="str">
        <f ca="1">IFERROR(__xludf.DUMMYFUNCTION("""COMPUTED_VALUE"""),"Fall")</f>
        <v>Fall</v>
      </c>
      <c r="P543" s="8" t="str">
        <f ca="1">IFERROR(__xludf.DUMMYFUNCTION("""COMPUTED_VALUE"""),"Detroit")</f>
        <v>Detroit</v>
      </c>
      <c r="Q543" s="8" t="str">
        <f ca="1">IFERROR(__xludf.DUMMYFUNCTION("""COMPUTED_VALUE"""),"MI")</f>
        <v>MI</v>
      </c>
      <c r="R543" s="8" t="str">
        <f ca="1">IFERROR(__xludf.DUMMYFUNCTION("""COMPUTED_VALUE"""),"High")</f>
        <v>High</v>
      </c>
      <c r="S543" s="8" t="str">
        <f ca="1">IFERROR(__xludf.DUMMYFUNCTION("""COMPUTED_VALUE"""),"Outside on School Property")</f>
        <v>Outside on School Property</v>
      </c>
      <c r="T543" s="8" t="str">
        <f ca="1">IFERROR(__xludf.DUMMYFUNCTION("""COMPUTED_VALUE"""),"Outside on School Property")</f>
        <v>Outside on School Property</v>
      </c>
      <c r="U543" s="8" t="str">
        <f ca="1">IFERROR(__xludf.DUMMYFUNCTION("""COMPUTED_VALUE"""),"Yes")</f>
        <v>Yes</v>
      </c>
      <c r="V543" s="8"/>
      <c r="W543" s="8"/>
      <c r="X543" s="8">
        <f ca="1">IFERROR(__xludf.DUMMYFUNCTION("""COMPUTED_VALUE"""),1)</f>
        <v>1</v>
      </c>
      <c r="Y543" s="12" t="str">
        <f ca="1">IFERROR(__xludf.DUMMYFUNCTION("""COMPUTED_VALUE"""),"SRO saw student brandish handgun outside on the campus")</f>
        <v>SRO saw student brandish handgun outside on the campus</v>
      </c>
      <c r="Z543" s="12" t="str">
        <f ca="1">IFERROR(__xludf.DUMMYFUNCTION("""COMPUTED_VALUE"""),"Student brandished handgun outside on the school campus. Arrested with loaded handgun, ammo, and knife. Student claimed he was carrying the gun for protection.")</f>
        <v>Student brandished handgun outside on the school campus. Arrested with loaded handgun, ammo, and knife. Student claimed he was carrying the gun for protection.</v>
      </c>
      <c r="AA543" s="8" t="str">
        <f ca="1">IFERROR(__xludf.DUMMYFUNCTION("""COMPUTED_VALUE"""),"Escalation of Dispute")</f>
        <v>Escalation of Dispute</v>
      </c>
      <c r="AB543" s="8"/>
      <c r="AC543" s="8" t="str">
        <f ca="1">IFERROR(__xludf.DUMMYFUNCTION("""COMPUTED_VALUE"""),"Yes")</f>
        <v>Yes</v>
      </c>
      <c r="AD543" s="8" t="str">
        <f ca="1">IFERROR(__xludf.DUMMYFUNCTION("""COMPUTED_VALUE"""),"Neither")</f>
        <v>Neither</v>
      </c>
      <c r="AE543" s="8" t="str">
        <f ca="1">IFERROR(__xludf.DUMMYFUNCTION("""COMPUTED_VALUE"""),"No")</f>
        <v>No</v>
      </c>
      <c r="AF543" s="8"/>
      <c r="AG543" s="8" t="str">
        <f ca="1">IFERROR(__xludf.DUMMYFUNCTION("""COMPUTED_VALUE"""),"No")</f>
        <v>No</v>
      </c>
      <c r="AH543" s="8" t="str">
        <f ca="1">IFERROR(__xludf.DUMMYFUNCTION("""COMPUTED_VALUE"""),"No")</f>
        <v>No</v>
      </c>
      <c r="AI543" s="8" t="str">
        <f ca="1">IFERROR(__xludf.DUMMYFUNCTION("""COMPUTED_VALUE"""),"No")</f>
        <v>No</v>
      </c>
      <c r="AJ543" s="8" t="str">
        <f ca="1">IFERROR(__xludf.DUMMYFUNCTION("""COMPUTED_VALUE"""),"No")</f>
        <v>No</v>
      </c>
      <c r="AK543" s="8" t="str">
        <f ca="1">IFERROR(__xludf.DUMMYFUNCTION("""COMPUTED_VALUE"""),"No")</f>
        <v>No</v>
      </c>
      <c r="AL543" s="8"/>
      <c r="AM543" s="8" t="str">
        <f ca="1">IFERROR(__xludf.DUMMYFUNCTION("""COMPUTED_VALUE"""),"No")</f>
        <v>No</v>
      </c>
      <c r="AN543" s="8" t="str">
        <f ca="1">IFERROR(__xludf.DUMMYFUNCTION("""COMPUTED_VALUE"""),"Outside")</f>
        <v>Outside</v>
      </c>
      <c r="AO543" s="8" t="str">
        <f ca="1">IFERROR(__xludf.DUMMYFUNCTION("""COMPUTED_VALUE"""),"No")</f>
        <v>No</v>
      </c>
      <c r="AP543" s="8" t="str">
        <f ca="1">IFERROR(__xludf.DUMMYFUNCTION("""COMPUTED_VALUE"""),"Yes")</f>
        <v>Yes</v>
      </c>
      <c r="AQ543" s="8" t="str">
        <f ca="1">IFERROR(__xludf.DUMMYFUNCTION("""COMPUTED_VALUE"""),"Armed Guards")</f>
        <v>Armed Guards</v>
      </c>
      <c r="AR543" s="8" t="str">
        <f ca="1">IFERROR(__xludf.DUMMYFUNCTION("""COMPUTED_VALUE"""),"Outside/Off-Property")</f>
        <v>Outside/Off-Property</v>
      </c>
      <c r="AS543" s="8">
        <f ca="1">IFERROR(__xludf.DUMMYFUNCTION("""COMPUTED_VALUE"""),0)</f>
        <v>0</v>
      </c>
      <c r="AT543" s="8"/>
      <c r="AU543" s="8">
        <f ca="1">IFERROR(__xludf.DUMMYFUNCTION("""COMPUTED_VALUE"""),42.246602)</f>
        <v>42.246602000000003</v>
      </c>
      <c r="AV543" s="8">
        <f ca="1">IFERROR(__xludf.DUMMYFUNCTION("""COMPUTED_VALUE"""),-83.190064)</f>
        <v>-83.190064000000007</v>
      </c>
      <c r="AW543" s="8" t="str">
        <f ca="1">IFERROR(__xludf.DUMMYFUNCTION("""COMPUTED_VALUE"""),"Multiple attached buildings")</f>
        <v>Multiple attached buildings</v>
      </c>
      <c r="AX543" s="8">
        <f ca="1">IFERROR(__xludf.DUMMYFUNCTION("""COMPUTED_VALUE"""),48146)</f>
        <v>48146</v>
      </c>
    </row>
    <row r="544" spans="1:50" ht="90" x14ac:dyDescent="0.2">
      <c r="A544" s="8" t="str">
        <f ca="1">IFERROR(__xludf.DUMMYFUNCTION("""COMPUTED_VALUE"""),"2023114ILMAP")</f>
        <v>2023114ILMAP</v>
      </c>
      <c r="B544" s="8">
        <f ca="1">IFERROR(__xludf.DUMMYFUNCTION("""COMPUTED_VALUE"""),11)</f>
        <v>11</v>
      </c>
      <c r="C544" s="8">
        <f ca="1">IFERROR(__xludf.DUMMYFUNCTION("""COMPUTED_VALUE"""),14)</f>
        <v>14</v>
      </c>
      <c r="D544" s="8">
        <f ca="1">IFERROR(__xludf.DUMMYFUNCTION("""COMPUTED_VALUE"""),2023)</f>
        <v>2023</v>
      </c>
      <c r="E544" s="9">
        <f ca="1">IFERROR(__xludf.DUMMYFUNCTION("""COMPUTED_VALUE"""),45244)</f>
        <v>45244</v>
      </c>
      <c r="F544" s="8" t="str">
        <f ca="1">IFERROR(__xludf.DUMMYFUNCTION("""COMPUTED_VALUE"""),"Manual High School")</f>
        <v>Manual High School</v>
      </c>
      <c r="G544" s="8">
        <f ca="1">IFERROR(__xludf.DUMMYFUNCTION("""COMPUTED_VALUE"""),0)</f>
        <v>0</v>
      </c>
      <c r="H544" s="8">
        <f ca="1">IFERROR(__xludf.DUMMYFUNCTION("""COMPUTED_VALUE"""),0)</f>
        <v>0</v>
      </c>
      <c r="I544" s="8">
        <f ca="1">IFERROR(__xludf.DUMMYFUNCTION("""COMPUTED_VALUE"""),0)</f>
        <v>0</v>
      </c>
      <c r="J544" s="8">
        <f ca="1">IFERROR(__xludf.DUMMYFUNCTION("""COMPUTED_VALUE"""),0)</f>
        <v>0</v>
      </c>
      <c r="K544" s="8" t="str">
        <f ca="1">IFERROR(__xludf.DUMMYFUNCTION("""COMPUTED_VALUE"""),"https://www.25newsnow.com/2023/11/15/juvenile-tied-shooting-student-walking-school-arrested/
https://www.25newsnow.com/2023/11/14/no-victims-found-after-multiple-shots-fired-manual-soft-lockdown/")</f>
        <v>https://www.25newsnow.com/2023/11/15/juvenile-tied-shooting-student-walking-school-arrested/
https://www.25newsnow.com/2023/11/14/no-victims-found-after-multiple-shots-fired-manual-soft-lockdown/</v>
      </c>
      <c r="L544" s="8">
        <f ca="1">IFERROR(__xludf.DUMMYFUNCTION("""COMPUTED_VALUE"""),3)</f>
        <v>3</v>
      </c>
      <c r="M544" s="8" t="str">
        <f ca="1">IFERROR(__xludf.DUMMYFUNCTION("""COMPUTED_VALUE"""),"Local")</f>
        <v>Local</v>
      </c>
      <c r="N544" s="8">
        <f ca="1">IFERROR(__xludf.DUMMYFUNCTION("""COMPUTED_VALUE"""),4)</f>
        <v>4</v>
      </c>
      <c r="O544" s="8" t="str">
        <f ca="1">IFERROR(__xludf.DUMMYFUNCTION("""COMPUTED_VALUE"""),"Fall")</f>
        <v>Fall</v>
      </c>
      <c r="P544" s="8" t="str">
        <f ca="1">IFERROR(__xludf.DUMMYFUNCTION("""COMPUTED_VALUE"""),"Peoria")</f>
        <v>Peoria</v>
      </c>
      <c r="Q544" s="8" t="str">
        <f ca="1">IFERROR(__xludf.DUMMYFUNCTION("""COMPUTED_VALUE"""),"IL")</f>
        <v>IL</v>
      </c>
      <c r="R544" s="8" t="str">
        <f ca="1">IFERROR(__xludf.DUMMYFUNCTION("""COMPUTED_VALUE"""),"High")</f>
        <v>High</v>
      </c>
      <c r="S544" s="8" t="str">
        <f ca="1">IFERROR(__xludf.DUMMYFUNCTION("""COMPUTED_VALUE"""),"Front of School")</f>
        <v>Front of School</v>
      </c>
      <c r="T544" s="8" t="str">
        <f ca="1">IFERROR(__xludf.DUMMYFUNCTION("""COMPUTED_VALUE"""),"Outside on School Property")</f>
        <v>Outside on School Property</v>
      </c>
      <c r="U544" s="8" t="str">
        <f ca="1">IFERROR(__xludf.DUMMYFUNCTION("""COMPUTED_VALUE"""),"Yes")</f>
        <v>Yes</v>
      </c>
      <c r="V544" s="8" t="str">
        <f ca="1">IFERROR(__xludf.DUMMYFUNCTION("""COMPUTED_VALUE"""),"Morning Classes")</f>
        <v>Morning Classes</v>
      </c>
      <c r="W544" s="11">
        <f ca="1">IFERROR(__xludf.DUMMYFUNCTION("""COMPUTED_VALUE"""),0.458333333333333)</f>
        <v>0.45833333333333298</v>
      </c>
      <c r="X544" s="8">
        <f ca="1">IFERROR(__xludf.DUMMYFUNCTION("""COMPUTED_VALUE"""),1)</f>
        <v>1</v>
      </c>
      <c r="Y544" s="12" t="str">
        <f ca="1">IFERROR(__xludf.DUMMYFUNCTION("""COMPUTED_VALUE"""),"ShotSpotter identified 22 shots near the school, building was struck by bullets. School went on lockdown.")</f>
        <v>ShotSpotter identified 22 shots near the school, building was struck by bullets. School went on lockdown.</v>
      </c>
      <c r="Z544" s="12" t="str">
        <f ca="1">IFERROR(__xludf.DUMMYFUNCTION("""COMPUTED_VALUE"""),"Manual High School was briefly placed on lockdown this morning after the Peoria Police Department detected 22 shots fired on ShotSpotter. Upon investigation, PPD discovered that the school building and a vehicle were struck.")</f>
        <v>Manual High School was briefly placed on lockdown this morning after the Peoria Police Department detected 22 shots fired on ShotSpotter. Upon investigation, PPD discovered that the school building and a vehicle were struck.</v>
      </c>
      <c r="AA544" s="8"/>
      <c r="AB544" s="8" t="str">
        <f ca="1">IFERROR(__xludf.DUMMYFUNCTION("""COMPUTED_VALUE"""),"Spontaneous")</f>
        <v>Spontaneous</v>
      </c>
      <c r="AC544" s="8" t="str">
        <f ca="1">IFERROR(__xludf.DUMMYFUNCTION("""COMPUTED_VALUE"""),"Yes")</f>
        <v>Yes</v>
      </c>
      <c r="AD544" s="8"/>
      <c r="AE544" s="8"/>
      <c r="AF544" s="8"/>
      <c r="AG544" s="8" t="str">
        <f ca="1">IFERROR(__xludf.DUMMYFUNCTION("""COMPUTED_VALUE"""),"No")</f>
        <v>No</v>
      </c>
      <c r="AH544" s="8" t="str">
        <f ca="1">IFERROR(__xludf.DUMMYFUNCTION("""COMPUTED_VALUE"""),"No")</f>
        <v>No</v>
      </c>
      <c r="AI544" s="8" t="str">
        <f ca="1">IFERROR(__xludf.DUMMYFUNCTION("""COMPUTED_VALUE"""),"No")</f>
        <v>No</v>
      </c>
      <c r="AJ544" s="8" t="str">
        <f ca="1">IFERROR(__xludf.DUMMYFUNCTION("""COMPUTED_VALUE"""),"No")</f>
        <v>No</v>
      </c>
      <c r="AK544" s="8" t="str">
        <f ca="1">IFERROR(__xludf.DUMMYFUNCTION("""COMPUTED_VALUE"""),"No")</f>
        <v>No</v>
      </c>
      <c r="AL544" s="8"/>
      <c r="AM544" s="8" t="str">
        <f ca="1">IFERROR(__xludf.DUMMYFUNCTION("""COMPUTED_VALUE"""),"No")</f>
        <v>No</v>
      </c>
      <c r="AN544" s="8" t="str">
        <f ca="1">IFERROR(__xludf.DUMMYFUNCTION("""COMPUTED_VALUE"""),"Outside")</f>
        <v>Outside</v>
      </c>
      <c r="AO544" s="8" t="str">
        <f ca="1">IFERROR(__xludf.DUMMYFUNCTION("""COMPUTED_VALUE"""),"No")</f>
        <v>No</v>
      </c>
      <c r="AP544" s="8"/>
      <c r="AQ544" s="8"/>
      <c r="AR544" s="8" t="str">
        <f ca="1">IFERROR(__xludf.DUMMYFUNCTION("""COMPUTED_VALUE"""),"Outside/Off-Property")</f>
        <v>Outside/Off-Property</v>
      </c>
      <c r="AS544" s="8">
        <f ca="1">IFERROR(__xludf.DUMMYFUNCTION("""COMPUTED_VALUE"""),22)</f>
        <v>22</v>
      </c>
      <c r="AT544" s="8" t="str">
        <f ca="1">IFERROR(__xludf.DUMMYFUNCTION("""COMPUTED_VALUE"""),"Yes")</f>
        <v>Yes</v>
      </c>
      <c r="AU544" s="8">
        <f ca="1">IFERROR(__xludf.DUMMYFUNCTION("""COMPUTED_VALUE"""),40.680731)</f>
        <v>40.680731000000002</v>
      </c>
      <c r="AV544" s="8">
        <f ca="1">IFERROR(__xludf.DUMMYFUNCTION("""COMPUTED_VALUE"""),-89.635502)</f>
        <v>-89.635502000000002</v>
      </c>
      <c r="AW544" s="8"/>
      <c r="AX544" s="8">
        <f ca="1">IFERROR(__xludf.DUMMYFUNCTION("""COMPUTED_VALUE"""),61605)</f>
        <v>61605</v>
      </c>
    </row>
    <row r="545" spans="1:50" ht="75" x14ac:dyDescent="0.2">
      <c r="A545" s="8" t="str">
        <f ca="1">IFERROR(__xludf.DUMMYFUNCTION("""COMPUTED_VALUE"""),"2023113KYJEL")</f>
        <v>2023113KYJEL</v>
      </c>
      <c r="B545" s="8">
        <f ca="1">IFERROR(__xludf.DUMMYFUNCTION("""COMPUTED_VALUE"""),11)</f>
        <v>11</v>
      </c>
      <c r="C545" s="8">
        <f ca="1">IFERROR(__xludf.DUMMYFUNCTION("""COMPUTED_VALUE"""),13)</f>
        <v>13</v>
      </c>
      <c r="D545" s="8">
        <f ca="1">IFERROR(__xludf.DUMMYFUNCTION("""COMPUTED_VALUE"""),2023)</f>
        <v>2023</v>
      </c>
      <c r="E545" s="9">
        <f ca="1">IFERROR(__xludf.DUMMYFUNCTION("""COMPUTED_VALUE"""),45243)</f>
        <v>45243</v>
      </c>
      <c r="F545" s="8" t="str">
        <f ca="1">IFERROR(__xludf.DUMMYFUNCTION("""COMPUTED_VALUE"""),"Jefferson County School Bus")</f>
        <v>Jefferson County School Bus</v>
      </c>
      <c r="G545" s="8">
        <f ca="1">IFERROR(__xludf.DUMMYFUNCTION("""COMPUTED_VALUE"""),0)</f>
        <v>0</v>
      </c>
      <c r="H545" s="8">
        <f ca="1">IFERROR(__xludf.DUMMYFUNCTION("""COMPUTED_VALUE"""),1)</f>
        <v>1</v>
      </c>
      <c r="I545" s="8">
        <f ca="1">IFERROR(__xludf.DUMMYFUNCTION("""COMPUTED_VALUE"""),1)</f>
        <v>1</v>
      </c>
      <c r="J545" s="8">
        <f ca="1">IFERROR(__xludf.DUMMYFUNCTION("""COMPUTED_VALUE"""),0)</f>
        <v>0</v>
      </c>
      <c r="K545" s="10" t="str">
        <f ca="1">IFERROR(__xludf.DUMMYFUNCTION("""COMPUTED_VALUE"""),"https://www.wdrb.com/news/jcps-bus-driver-threatening-to-resign-after-she-says-she-was-shot-by-student-with/article_309ec530-832c-11ee-ac74-3f871afea378.html")</f>
        <v>https://www.wdrb.com/news/jcps-bus-driver-threatening-to-resign-after-she-says-she-was-shot-by-student-with/article_309ec530-832c-11ee-ac74-3f871afea378.html</v>
      </c>
      <c r="L545" s="8">
        <f ca="1">IFERROR(__xludf.DUMMYFUNCTION("""COMPUTED_VALUE"""),1)</f>
        <v>1</v>
      </c>
      <c r="M545" s="8" t="str">
        <f ca="1">IFERROR(__xludf.DUMMYFUNCTION("""COMPUTED_VALUE"""),"Local")</f>
        <v>Local</v>
      </c>
      <c r="N545" s="8">
        <f ca="1">IFERROR(__xludf.DUMMYFUNCTION("""COMPUTED_VALUE"""),4)</f>
        <v>4</v>
      </c>
      <c r="O545" s="8" t="str">
        <f ca="1">IFERROR(__xludf.DUMMYFUNCTION("""COMPUTED_VALUE"""),"Fall")</f>
        <v>Fall</v>
      </c>
      <c r="P545" s="8" t="str">
        <f ca="1">IFERROR(__xludf.DUMMYFUNCTION("""COMPUTED_VALUE"""),"Louisville")</f>
        <v>Louisville</v>
      </c>
      <c r="Q545" s="8" t="str">
        <f ca="1">IFERROR(__xludf.DUMMYFUNCTION("""COMPUTED_VALUE"""),"KY")</f>
        <v>KY</v>
      </c>
      <c r="R545" s="8" t="str">
        <f ca="1">IFERROR(__xludf.DUMMYFUNCTION("""COMPUTED_VALUE"""),"High")</f>
        <v>High</v>
      </c>
      <c r="S545" s="8" t="str">
        <f ca="1">IFERROR(__xludf.DUMMYFUNCTION("""COMPUTED_VALUE"""),"School Bus")</f>
        <v>School Bus</v>
      </c>
      <c r="T545" s="8" t="str">
        <f ca="1">IFERROR(__xludf.DUMMYFUNCTION("""COMPUTED_VALUE"""),"School Bus")</f>
        <v>School Bus</v>
      </c>
      <c r="U545" s="8" t="str">
        <f ca="1">IFERROR(__xludf.DUMMYFUNCTION("""COMPUTED_VALUE"""),"Yes")</f>
        <v>Yes</v>
      </c>
      <c r="V545" s="8" t="str">
        <f ca="1">IFERROR(__xludf.DUMMYFUNCTION("""COMPUTED_VALUE"""),"Dismissal")</f>
        <v>Dismissal</v>
      </c>
      <c r="W545" s="8"/>
      <c r="X545" s="8">
        <f ca="1">IFERROR(__xludf.DUMMYFUNCTION("""COMPUTED_VALUE"""),1)</f>
        <v>1</v>
      </c>
      <c r="Y545" s="12" t="str">
        <f ca="1">IFERROR(__xludf.DUMMYFUNCTION("""COMPUTED_VALUE"""),"Student shot bus driver with pellet gun multiple times while getting off the bus.")</f>
        <v>Student shot bus driver with pellet gun multiple times while getting off the bus.</v>
      </c>
      <c r="Z545" s="12" t="str">
        <f ca="1">IFERROR(__xludf.DUMMYFUNCTION("""COMPUTED_VALUE"""),"Student shot bus driver with pellet gun multiple times while getting off the bus.")</f>
        <v>Student shot bus driver with pellet gun multiple times while getting off the bus.</v>
      </c>
      <c r="AA545" s="8"/>
      <c r="AB545" s="8" t="str">
        <f ca="1">IFERROR(__xludf.DUMMYFUNCTION("""COMPUTED_VALUE"""),"Targeted")</f>
        <v>Targeted</v>
      </c>
      <c r="AC545" s="8" t="str">
        <f ca="1">IFERROR(__xludf.DUMMYFUNCTION("""COMPUTED_VALUE"""),"Yes")</f>
        <v>Yes</v>
      </c>
      <c r="AD545" s="8" t="str">
        <f ca="1">IFERROR(__xludf.DUMMYFUNCTION("""COMPUTED_VALUE"""),"Victims Targeted")</f>
        <v>Victims Targeted</v>
      </c>
      <c r="AE545" s="8"/>
      <c r="AF545" s="8"/>
      <c r="AG545" s="8" t="str">
        <f ca="1">IFERROR(__xludf.DUMMYFUNCTION("""COMPUTED_VALUE"""),"No")</f>
        <v>No</v>
      </c>
      <c r="AH545" s="8" t="str">
        <f ca="1">IFERROR(__xludf.DUMMYFUNCTION("""COMPUTED_VALUE"""),"No")</f>
        <v>No</v>
      </c>
      <c r="AI545" s="8" t="str">
        <f ca="1">IFERROR(__xludf.DUMMYFUNCTION("""COMPUTED_VALUE"""),"No")</f>
        <v>No</v>
      </c>
      <c r="AJ545" s="8" t="str">
        <f ca="1">IFERROR(__xludf.DUMMYFUNCTION("""COMPUTED_VALUE"""),"No")</f>
        <v>No</v>
      </c>
      <c r="AK545" s="8" t="str">
        <f ca="1">IFERROR(__xludf.DUMMYFUNCTION("""COMPUTED_VALUE"""),"No")</f>
        <v>No</v>
      </c>
      <c r="AL545" s="8" t="str">
        <f ca="1">IFERROR(__xludf.DUMMYFUNCTION("""COMPUTED_VALUE"""),"No")</f>
        <v>No</v>
      </c>
      <c r="AM545" s="8" t="str">
        <f ca="1">IFERROR(__xludf.DUMMYFUNCTION("""COMPUTED_VALUE"""),"No")</f>
        <v>No</v>
      </c>
      <c r="AN545" s="8" t="str">
        <f ca="1">IFERROR(__xludf.DUMMYFUNCTION("""COMPUTED_VALUE"""),"Outside")</f>
        <v>Outside</v>
      </c>
      <c r="AO545" s="8" t="str">
        <f ca="1">IFERROR(__xludf.DUMMYFUNCTION("""COMPUTED_VALUE"""),"No")</f>
        <v>No</v>
      </c>
      <c r="AP545" s="8"/>
      <c r="AQ545" s="8"/>
      <c r="AR545" s="8" t="str">
        <f ca="1">IFERROR(__xludf.DUMMYFUNCTION("""COMPUTED_VALUE"""),"Outside/Off-Property")</f>
        <v>Outside/Off-Property</v>
      </c>
      <c r="AS545" s="8">
        <f ca="1">IFERROR(__xludf.DUMMYFUNCTION("""COMPUTED_VALUE"""),99)</f>
        <v>99</v>
      </c>
      <c r="AT545" s="8" t="str">
        <f ca="1">IFERROR(__xludf.DUMMYFUNCTION("""COMPUTED_VALUE"""),"No")</f>
        <v>No</v>
      </c>
      <c r="AU545" s="8">
        <f ca="1">IFERROR(__xludf.DUMMYFUNCTION("""COMPUTED_VALUE"""),38.244372)</f>
        <v>38.244371999999998</v>
      </c>
      <c r="AV545" s="8">
        <f ca="1">IFERROR(__xludf.DUMMYFUNCTION("""COMPUTED_VALUE"""),-85.751615)</f>
        <v>-85.751615000000001</v>
      </c>
      <c r="AW545" s="8"/>
      <c r="AX545" s="8">
        <f ca="1">IFERROR(__xludf.DUMMYFUNCTION("""COMPUTED_VALUE"""),40202)</f>
        <v>40202</v>
      </c>
    </row>
    <row r="546" spans="1:50" ht="165" x14ac:dyDescent="0.2">
      <c r="A546" s="8" t="str">
        <f ca="1">IFERROR(__xludf.DUMMYFUNCTION("""COMPUTED_VALUE"""),"20231113NJCEN")</f>
        <v>20231113NJCEN</v>
      </c>
      <c r="B546" s="8">
        <f ca="1">IFERROR(__xludf.DUMMYFUNCTION("""COMPUTED_VALUE"""),11)</f>
        <v>11</v>
      </c>
      <c r="C546" s="8">
        <f ca="1">IFERROR(__xludf.DUMMYFUNCTION("""COMPUTED_VALUE"""),13)</f>
        <v>13</v>
      </c>
      <c r="D546" s="8">
        <f ca="1">IFERROR(__xludf.DUMMYFUNCTION("""COMPUTED_VALUE"""),2023)</f>
        <v>2023</v>
      </c>
      <c r="E546" s="9">
        <f ca="1">IFERROR(__xludf.DUMMYFUNCTION("""COMPUTED_VALUE"""),45243)</f>
        <v>45243</v>
      </c>
      <c r="F546" s="8" t="str">
        <f ca="1">IFERROR(__xludf.DUMMYFUNCTION("""COMPUTED_VALUE"""),"Central High School")</f>
        <v>Central High School</v>
      </c>
      <c r="G546" s="8">
        <f ca="1">IFERROR(__xludf.DUMMYFUNCTION("""COMPUTED_VALUE"""),0)</f>
        <v>0</v>
      </c>
      <c r="H546" s="8">
        <f ca="1">IFERROR(__xludf.DUMMYFUNCTION("""COMPUTED_VALUE"""),1)</f>
        <v>1</v>
      </c>
      <c r="I546" s="8">
        <f ca="1">IFERROR(__xludf.DUMMYFUNCTION("""COMPUTED_VALUE"""),1)</f>
        <v>1</v>
      </c>
      <c r="J546" s="8">
        <f ca="1">IFERROR(__xludf.DUMMYFUNCTION("""COMPUTED_VALUE"""),0)</f>
        <v>0</v>
      </c>
      <c r="K546" s="10" t="str">
        <f ca="1">IFERROR(__xludf.DUMMYFUNCTION("""COMPUTED_VALUE"""),"https://abc7ny.com/newark-central-high-school-teen-shot-drive-by-shooting/14053163/")</f>
        <v>https://abc7ny.com/newark-central-high-school-teen-shot-drive-by-shooting/14053163/</v>
      </c>
      <c r="L546" s="8">
        <f ca="1">IFERROR(__xludf.DUMMYFUNCTION("""COMPUTED_VALUE"""),10)</f>
        <v>10</v>
      </c>
      <c r="M546" s="8" t="str">
        <f ca="1">IFERROR(__xludf.DUMMYFUNCTION("""COMPUTED_VALUE"""),"Regional")</f>
        <v>Regional</v>
      </c>
      <c r="N546" s="8">
        <f ca="1">IFERROR(__xludf.DUMMYFUNCTION("""COMPUTED_VALUE"""),4)</f>
        <v>4</v>
      </c>
      <c r="O546" s="8" t="str">
        <f ca="1">IFERROR(__xludf.DUMMYFUNCTION("""COMPUTED_VALUE"""),"Fall")</f>
        <v>Fall</v>
      </c>
      <c r="P546" s="8" t="str">
        <f ca="1">IFERROR(__xludf.DUMMYFUNCTION("""COMPUTED_VALUE"""),"Newark")</f>
        <v>Newark</v>
      </c>
      <c r="Q546" s="8" t="str">
        <f ca="1">IFERROR(__xludf.DUMMYFUNCTION("""COMPUTED_VALUE"""),"NJ")</f>
        <v>NJ</v>
      </c>
      <c r="R546" s="8" t="str">
        <f ca="1">IFERROR(__xludf.DUMMYFUNCTION("""COMPUTED_VALUE"""),"High")</f>
        <v>High</v>
      </c>
      <c r="S546" s="8" t="str">
        <f ca="1">IFERROR(__xludf.DUMMYFUNCTION("""COMPUTED_VALUE"""),"Front of School")</f>
        <v>Front of School</v>
      </c>
      <c r="T546" s="8" t="str">
        <f ca="1">IFERROR(__xludf.DUMMYFUNCTION("""COMPUTED_VALUE"""),"Outside on School Property")</f>
        <v>Outside on School Property</v>
      </c>
      <c r="U546" s="8" t="str">
        <f ca="1">IFERROR(__xludf.DUMMYFUNCTION("""COMPUTED_VALUE"""),"Yes")</f>
        <v>Yes</v>
      </c>
      <c r="V546" s="8" t="str">
        <f ca="1">IFERROR(__xludf.DUMMYFUNCTION("""COMPUTED_VALUE"""),"Morning Classes")</f>
        <v>Morning Classes</v>
      </c>
      <c r="W546" s="11">
        <f ca="1">IFERROR(__xludf.DUMMYFUNCTION("""COMPUTED_VALUE"""),0)</f>
        <v>0</v>
      </c>
      <c r="X546" s="8">
        <f ca="1">IFERROR(__xludf.DUMMYFUNCTION("""COMPUTED_VALUE"""),1)</f>
        <v>1</v>
      </c>
      <c r="Y546" s="12" t="str">
        <f ca="1">IFERROR(__xludf.DUMMYFUNCTION("""COMPUTED_VALUE"""),"Student shot outside while students evacuated the building for a gas leak")</f>
        <v>Student shot outside while students evacuated the building for a gas leak</v>
      </c>
      <c r="Z546" s="12" t="str">
        <f ca="1">IFERROR(__xludf.DUMMYFUNCTION("""COMPUTED_VALUE"""),"A 15-year-old boy was injured in an apparent drive-by shooting outside of Central High School in Newark on Monday afternoon. Gunshots rang out shortly after 12 p.m. outside the school near 17th Avenue and Sayre Street. A spokesperson said the shooting occ"&amp;"urred during an evacuation for a gas leak. The entire student body was outside when the shooting happened. The student who was shot, reportedly in the shoulder, was standing on Sayre Street across from the school. Students began calling their parents and "&amp;"several showed up to get their children. Two small gas leaks were discovered after the evacuation.")</f>
        <v>A 15-year-old boy was injured in an apparent drive-by shooting outside of Central High School in Newark on Monday afternoon. Gunshots rang out shortly after 12 p.m. outside the school near 17th Avenue and Sayre Street. A spokesperson said the shooting occurred during an evacuation for a gas leak. The entire student body was outside when the shooting happened. The student who was shot, reportedly in the shoulder, was standing on Sayre Street across from the school. Students began calling their parents and several showed up to get their children. Two small gas leaks were discovered after the evacuation.</v>
      </c>
      <c r="AA546" s="8" t="str">
        <f ca="1">IFERROR(__xludf.DUMMYFUNCTION("""COMPUTED_VALUE"""),"Drive-by Shooting")</f>
        <v>Drive-by Shooting</v>
      </c>
      <c r="AB546" s="8"/>
      <c r="AC546" s="8" t="str">
        <f ca="1">IFERROR(__xludf.DUMMYFUNCTION("""COMPUTED_VALUE"""),"Yes")</f>
        <v>Yes</v>
      </c>
      <c r="AD546" s="8"/>
      <c r="AE546" s="8"/>
      <c r="AF546" s="8"/>
      <c r="AG546" s="8" t="str">
        <f ca="1">IFERROR(__xludf.DUMMYFUNCTION("""COMPUTED_VALUE"""),"No")</f>
        <v>No</v>
      </c>
      <c r="AH546" s="8" t="str">
        <f ca="1">IFERROR(__xludf.DUMMYFUNCTION("""COMPUTED_VALUE"""),"No")</f>
        <v>No</v>
      </c>
      <c r="AI546" s="8" t="str">
        <f ca="1">IFERROR(__xludf.DUMMYFUNCTION("""COMPUTED_VALUE"""),"No")</f>
        <v>No</v>
      </c>
      <c r="AJ546" s="8" t="str">
        <f ca="1">IFERROR(__xludf.DUMMYFUNCTION("""COMPUTED_VALUE"""),"No")</f>
        <v>No</v>
      </c>
      <c r="AK546" s="8" t="str">
        <f ca="1">IFERROR(__xludf.DUMMYFUNCTION("""COMPUTED_VALUE"""),"No")</f>
        <v>No</v>
      </c>
      <c r="AL546" s="8"/>
      <c r="AM546" s="8" t="str">
        <f ca="1">IFERROR(__xludf.DUMMYFUNCTION("""COMPUTED_VALUE"""),"No")</f>
        <v>No</v>
      </c>
      <c r="AN546" s="8" t="str">
        <f ca="1">IFERROR(__xludf.DUMMYFUNCTION("""COMPUTED_VALUE"""),"Outside")</f>
        <v>Outside</v>
      </c>
      <c r="AO546" s="8" t="str">
        <f ca="1">IFERROR(__xludf.DUMMYFUNCTION("""COMPUTED_VALUE"""),"No")</f>
        <v>No</v>
      </c>
      <c r="AP546" s="8"/>
      <c r="AQ546" s="8"/>
      <c r="AR546" s="8" t="str">
        <f ca="1">IFERROR(__xludf.DUMMYFUNCTION("""COMPUTED_VALUE"""),"Outside/Off-Property")</f>
        <v>Outside/Off-Property</v>
      </c>
      <c r="AS546" s="8">
        <f ca="1">IFERROR(__xludf.DUMMYFUNCTION("""COMPUTED_VALUE"""),99)</f>
        <v>99</v>
      </c>
      <c r="AT546" s="8" t="str">
        <f ca="1">IFERROR(__xludf.DUMMYFUNCTION("""COMPUTED_VALUE"""),"No")</f>
        <v>No</v>
      </c>
      <c r="AU546" s="8">
        <f ca="1">IFERROR(__xludf.DUMMYFUNCTION("""COMPUTED_VALUE"""),40.730041)</f>
        <v>40.730041</v>
      </c>
      <c r="AV546" s="8">
        <f ca="1">IFERROR(__xludf.DUMMYFUNCTION("""COMPUTED_VALUE"""),-74.193263)</f>
        <v>-74.193263000000002</v>
      </c>
      <c r="AW546" s="8"/>
      <c r="AX546" s="8">
        <f ca="1">IFERROR(__xludf.DUMMYFUNCTION("""COMPUTED_VALUE"""),7103)</f>
        <v>7103</v>
      </c>
    </row>
    <row r="547" spans="1:50" ht="75" x14ac:dyDescent="0.2">
      <c r="A547" s="8" t="str">
        <f ca="1">IFERROR(__xludf.DUMMYFUNCTION("""COMPUTED_VALUE"""),"20231110CAVAV")</f>
        <v>20231110CAVAV</v>
      </c>
      <c r="B547" s="8">
        <f ca="1">IFERROR(__xludf.DUMMYFUNCTION("""COMPUTED_VALUE"""),11)</f>
        <v>11</v>
      </c>
      <c r="C547" s="8">
        <f ca="1">IFERROR(__xludf.DUMMYFUNCTION("""COMPUTED_VALUE"""),10)</f>
        <v>10</v>
      </c>
      <c r="D547" s="8">
        <f ca="1">IFERROR(__xludf.DUMMYFUNCTION("""COMPUTED_VALUE"""),2023)</f>
        <v>2023</v>
      </c>
      <c r="E547" s="9">
        <f ca="1">IFERROR(__xludf.DUMMYFUNCTION("""COMPUTED_VALUE"""),45240)</f>
        <v>45240</v>
      </c>
      <c r="F547" s="8" t="str">
        <f ca="1">IFERROR(__xludf.DUMMYFUNCTION("""COMPUTED_VALUE"""),"Vallejo High School")</f>
        <v>Vallejo High School</v>
      </c>
      <c r="G547" s="8">
        <f ca="1">IFERROR(__xludf.DUMMYFUNCTION("""COMPUTED_VALUE"""),0)</f>
        <v>0</v>
      </c>
      <c r="H547" s="8">
        <f ca="1">IFERROR(__xludf.DUMMYFUNCTION("""COMPUTED_VALUE"""),1)</f>
        <v>1</v>
      </c>
      <c r="I547" s="8">
        <f ca="1">IFERROR(__xludf.DUMMYFUNCTION("""COMPUTED_VALUE"""),1)</f>
        <v>1</v>
      </c>
      <c r="J547" s="8">
        <f ca="1">IFERROR(__xludf.DUMMYFUNCTION("""COMPUTED_VALUE"""),0)</f>
        <v>0</v>
      </c>
      <c r="K547" s="10" t="str">
        <f ca="1">IFERROR(__xludf.DUMMYFUNCTION("""COMPUTED_VALUE"""),"https://www.nbcbayarea.com/news/local/teen-injured-shooting-vallejo-high-school/3368467/
https://www.ktvu.com/news/juvenile-shot-friday-night-in-front-of-vallejo-high-school")</f>
        <v>https://www.nbcbayarea.com/news/local/teen-injured-shooting-vallejo-high-school/3368467/
https://www.ktvu.com/news/juvenile-shot-friday-night-in-front-of-vallejo-high-school</v>
      </c>
      <c r="L547" s="8">
        <f ca="1">IFERROR(__xludf.DUMMYFUNCTION("""COMPUTED_VALUE"""),10)</f>
        <v>10</v>
      </c>
      <c r="M547" s="8" t="str">
        <f ca="1">IFERROR(__xludf.DUMMYFUNCTION("""COMPUTED_VALUE"""),"Regional")</f>
        <v>Regional</v>
      </c>
      <c r="N547" s="8">
        <f ca="1">IFERROR(__xludf.DUMMYFUNCTION("""COMPUTED_VALUE"""),4)</f>
        <v>4</v>
      </c>
      <c r="O547" s="8" t="str">
        <f ca="1">IFERROR(__xludf.DUMMYFUNCTION("""COMPUTED_VALUE"""),"Fall")</f>
        <v>Fall</v>
      </c>
      <c r="P547" s="8" t="str">
        <f ca="1">IFERROR(__xludf.DUMMYFUNCTION("""COMPUTED_VALUE"""),"Vallejo")</f>
        <v>Vallejo</v>
      </c>
      <c r="Q547" s="8" t="str">
        <f ca="1">IFERROR(__xludf.DUMMYFUNCTION("""COMPUTED_VALUE"""),"CA")</f>
        <v>CA</v>
      </c>
      <c r="R547" s="8" t="str">
        <f ca="1">IFERROR(__xludf.DUMMYFUNCTION("""COMPUTED_VALUE"""),"High")</f>
        <v>High</v>
      </c>
      <c r="S547" s="8" t="str">
        <f ca="1">IFERROR(__xludf.DUMMYFUNCTION("""COMPUTED_VALUE"""),"Front of School")</f>
        <v>Front of School</v>
      </c>
      <c r="T547" s="8" t="str">
        <f ca="1">IFERROR(__xludf.DUMMYFUNCTION("""COMPUTED_VALUE"""),"Outside on School Property")</f>
        <v>Outside on School Property</v>
      </c>
      <c r="U547" s="8" t="str">
        <f ca="1">IFERROR(__xludf.DUMMYFUNCTION("""COMPUTED_VALUE"""),"No")</f>
        <v>No</v>
      </c>
      <c r="V547" s="8" t="str">
        <f ca="1">IFERROR(__xludf.DUMMYFUNCTION("""COMPUTED_VALUE"""),"Sport Event")</f>
        <v>Sport Event</v>
      </c>
      <c r="W547" s="11">
        <f ca="1">IFERROR(__xludf.DUMMYFUNCTION("""COMPUTED_VALUE"""),0.911111111111111)</f>
        <v>0.91111111111111098</v>
      </c>
      <c r="X547" s="8">
        <f ca="1">IFERROR(__xludf.DUMMYFUNCTION("""COMPUTED_VALUE"""),1)</f>
        <v>1</v>
      </c>
      <c r="Y547" s="12" t="str">
        <f ca="1">IFERROR(__xludf.DUMMYFUNCTION("""COMPUTED_VALUE"""),"Student shot while standing in front of the school after a football game ended")</f>
        <v>Student shot while standing in front of the school after a football game ended</v>
      </c>
      <c r="Z547" s="12" t="str">
        <f ca="1">IFERROR(__xludf.DUMMYFUNCTION("""COMPUTED_VALUE"""),"Student shot while standing in front of the school after a football game ended. Transported to the hospital with serious injuries.")</f>
        <v>Student shot while standing in front of the school after a football game ended. Transported to the hospital with serious injuries.</v>
      </c>
      <c r="AA547" s="8"/>
      <c r="AB547" s="8"/>
      <c r="AC547" s="8" t="str">
        <f ca="1">IFERROR(__xludf.DUMMYFUNCTION("""COMPUTED_VALUE"""),"Yes")</f>
        <v>Yes</v>
      </c>
      <c r="AD547" s="8" t="str">
        <f ca="1">IFERROR(__xludf.DUMMYFUNCTION("""COMPUTED_VALUE"""),"Victims Targeted")</f>
        <v>Victims Targeted</v>
      </c>
      <c r="AE547" s="8"/>
      <c r="AF547" s="8"/>
      <c r="AG547" s="8" t="str">
        <f ca="1">IFERROR(__xludf.DUMMYFUNCTION("""COMPUTED_VALUE"""),"No")</f>
        <v>No</v>
      </c>
      <c r="AH547" s="8" t="str">
        <f ca="1">IFERROR(__xludf.DUMMYFUNCTION("""COMPUTED_VALUE"""),"No")</f>
        <v>No</v>
      </c>
      <c r="AI547" s="8" t="str">
        <f ca="1">IFERROR(__xludf.DUMMYFUNCTION("""COMPUTED_VALUE"""),"No")</f>
        <v>No</v>
      </c>
      <c r="AJ547" s="8" t="str">
        <f ca="1">IFERROR(__xludf.DUMMYFUNCTION("""COMPUTED_VALUE"""),"No")</f>
        <v>No</v>
      </c>
      <c r="AK547" s="8" t="str">
        <f ca="1">IFERROR(__xludf.DUMMYFUNCTION("""COMPUTED_VALUE"""),"No")</f>
        <v>No</v>
      </c>
      <c r="AL547" s="8"/>
      <c r="AM547" s="8" t="str">
        <f ca="1">IFERROR(__xludf.DUMMYFUNCTION("""COMPUTED_VALUE"""),"No")</f>
        <v>No</v>
      </c>
      <c r="AN547" s="8" t="str">
        <f ca="1">IFERROR(__xludf.DUMMYFUNCTION("""COMPUTED_VALUE"""),"Outside")</f>
        <v>Outside</v>
      </c>
      <c r="AO547" s="8" t="str">
        <f ca="1">IFERROR(__xludf.DUMMYFUNCTION("""COMPUTED_VALUE"""),"No")</f>
        <v>No</v>
      </c>
      <c r="AP547" s="8"/>
      <c r="AQ547" s="8"/>
      <c r="AR547" s="8" t="str">
        <f ca="1">IFERROR(__xludf.DUMMYFUNCTION("""COMPUTED_VALUE"""),"Outside/Off-Property")</f>
        <v>Outside/Off-Property</v>
      </c>
      <c r="AS547" s="8">
        <f ca="1">IFERROR(__xludf.DUMMYFUNCTION("""COMPUTED_VALUE"""),99)</f>
        <v>99</v>
      </c>
      <c r="AT547" s="8" t="str">
        <f ca="1">IFERROR(__xludf.DUMMYFUNCTION("""COMPUTED_VALUE"""),"No")</f>
        <v>No</v>
      </c>
      <c r="AU547" s="8">
        <f ca="1">IFERROR(__xludf.DUMMYFUNCTION("""COMPUTED_VALUE"""),38.115307)</f>
        <v>38.115307000000001</v>
      </c>
      <c r="AV547" s="8">
        <f ca="1">IFERROR(__xludf.DUMMYFUNCTION("""COMPUTED_VALUE"""),-122.24578)</f>
        <v>-122.24578</v>
      </c>
      <c r="AW547" s="8"/>
      <c r="AX547" s="8">
        <f ca="1">IFERROR(__xludf.DUMMYFUNCTION("""COMPUTED_VALUE"""),94590)</f>
        <v>94590</v>
      </c>
    </row>
    <row r="548" spans="1:50" ht="270" x14ac:dyDescent="0.2">
      <c r="A548" s="8" t="str">
        <f ca="1">IFERROR(__xludf.DUMMYFUNCTION("""COMPUTED_VALUE"""),"20231109NVLAL")</f>
        <v>20231109NVLAL</v>
      </c>
      <c r="B548" s="8">
        <f ca="1">IFERROR(__xludf.DUMMYFUNCTION("""COMPUTED_VALUE"""),11)</f>
        <v>11</v>
      </c>
      <c r="C548" s="8">
        <f ca="1">IFERROR(__xludf.DUMMYFUNCTION("""COMPUTED_VALUE"""),9)</f>
        <v>9</v>
      </c>
      <c r="D548" s="8">
        <f ca="1">IFERROR(__xludf.DUMMYFUNCTION("""COMPUTED_VALUE"""),2023)</f>
        <v>2023</v>
      </c>
      <c r="E548" s="9">
        <f ca="1">IFERROR(__xludf.DUMMYFUNCTION("""COMPUTED_VALUE"""),45239)</f>
        <v>45239</v>
      </c>
      <c r="F548" s="8" t="str">
        <f ca="1">IFERROR(__xludf.DUMMYFUNCTION("""COMPUTED_VALUE"""),"Las Vegas Academy")</f>
        <v>Las Vegas Academy</v>
      </c>
      <c r="G548" s="8">
        <f ca="1">IFERROR(__xludf.DUMMYFUNCTION("""COMPUTED_VALUE"""),1)</f>
        <v>1</v>
      </c>
      <c r="H548" s="8">
        <f ca="1">IFERROR(__xludf.DUMMYFUNCTION("""COMPUTED_VALUE"""),0)</f>
        <v>0</v>
      </c>
      <c r="I548" s="8">
        <f ca="1">IFERROR(__xludf.DUMMYFUNCTION("""COMPUTED_VALUE"""),1)</f>
        <v>1</v>
      </c>
      <c r="J548" s="8">
        <f ca="1">IFERROR(__xludf.DUMMYFUNCTION("""COMPUTED_VALUE"""),0)</f>
        <v>0</v>
      </c>
      <c r="K548" s="8" t="str">
        <f ca="1">IFERROR(__xludf.DUMMYFUNCTION("""COMPUTED_VALUE"""),"https://www.8newsnow.com/news/local-news/i-killed-that-alien-las-vegas-man-accused-of-deadly-shooting-near-high-school-says/
https://www.8newsnow.com/news/local-news/man-killed-near-las-vegas-academy-as-students-arrive-at-downtown-school/?ipid=promo-link-"&amp;"block1
https://www.8newsnow.com/news/local-news/man-faces-numerous-charges-for-deadly-shooting-near-las-vegas-academy/")</f>
        <v>https://www.8newsnow.com/news/local-news/i-killed-that-alien-las-vegas-man-accused-of-deadly-shooting-near-high-school-says/
https://www.8newsnow.com/news/local-news/man-killed-near-las-vegas-academy-as-students-arrive-at-downtown-school/?ipid=promo-link-block1
https://www.8newsnow.com/news/local-news/man-faces-numerous-charges-for-deadly-shooting-near-las-vegas-academy/</v>
      </c>
      <c r="L548" s="8">
        <f ca="1">IFERROR(__xludf.DUMMYFUNCTION("""COMPUTED_VALUE"""),5)</f>
        <v>5</v>
      </c>
      <c r="M548" s="8" t="str">
        <f ca="1">IFERROR(__xludf.DUMMYFUNCTION("""COMPUTED_VALUE"""),"Local")</f>
        <v>Local</v>
      </c>
      <c r="N548" s="8">
        <f ca="1">IFERROR(__xludf.DUMMYFUNCTION("""COMPUTED_VALUE"""),4)</f>
        <v>4</v>
      </c>
      <c r="O548" s="8" t="str">
        <f ca="1">IFERROR(__xludf.DUMMYFUNCTION("""COMPUTED_VALUE"""),"Fall")</f>
        <v>Fall</v>
      </c>
      <c r="P548" s="8" t="str">
        <f ca="1">IFERROR(__xludf.DUMMYFUNCTION("""COMPUTED_VALUE"""),"Las Vegas")</f>
        <v>Las Vegas</v>
      </c>
      <c r="Q548" s="8" t="str">
        <f ca="1">IFERROR(__xludf.DUMMYFUNCTION("""COMPUTED_VALUE"""),"NV")</f>
        <v>NV</v>
      </c>
      <c r="R548" s="8" t="str">
        <f ca="1">IFERROR(__xludf.DUMMYFUNCTION("""COMPUTED_VALUE"""),"High")</f>
        <v>High</v>
      </c>
      <c r="S548" s="8" t="str">
        <f ca="1">IFERROR(__xludf.DUMMYFUNCTION("""COMPUTED_VALUE"""),"Parking Lot")</f>
        <v>Parking Lot</v>
      </c>
      <c r="T548" s="8" t="str">
        <f ca="1">IFERROR(__xludf.DUMMYFUNCTION("""COMPUTED_VALUE"""),"Outside on School Property")</f>
        <v>Outside on School Property</v>
      </c>
      <c r="U548" s="8" t="str">
        <f ca="1">IFERROR(__xludf.DUMMYFUNCTION("""COMPUTED_VALUE"""),"Yes")</f>
        <v>Yes</v>
      </c>
      <c r="V548" s="8" t="str">
        <f ca="1">IFERROR(__xludf.DUMMYFUNCTION("""COMPUTED_VALUE"""),"School Start")</f>
        <v>School Start</v>
      </c>
      <c r="W548" s="11">
        <f ca="1">IFERROR(__xludf.DUMMYFUNCTION("""COMPUTED_VALUE"""),0.290972222222222)</f>
        <v>0.29097222222222202</v>
      </c>
      <c r="X548" s="8">
        <f ca="1">IFERROR(__xludf.DUMMYFUNCTION("""COMPUTED_VALUE"""),1)</f>
        <v>1</v>
      </c>
      <c r="Y548" s="12" t="str">
        <f ca="1">IFERROR(__xludf.DUMMYFUNCTION("""COMPUTED_VALUE"""),"When students were arriving, man fired multiple shots from the school parking lot that his the school theater and an apartment across the street.")</f>
        <v>When students were arriving, man fired multiple shots from the school parking lot that his the school theater and an apartment across the street.</v>
      </c>
      <c r="Z548" s="12" t="str">
        <f ca="1">IFERROR(__xludf.DUMMYFUNCTION("""COMPUTED_VALUE"""),"When students were arriving, man fired multiple shots from the school parking lot at an apartment across the street. Las Vegas Metropolitan police said officers responded to calls about several shots being fired in the area of the school shortly before th"&amp;"e school opened for classes and arrested Sanford based on descriptions from witnesses. Officers then found a man who was dead at a nearby apartment complex with a gunshot wound to his head. School went on lockdown for 2 hours. A witness told police she wa"&amp;"s walking toward the theatre building of the Las Vegas Academy of Arts when she heard five to seven “loud pops” and saw a man standing in the doorway of one of the apartments, the report stated. She told police she saw him shooting at the theatre building"&amp;" “indiscriminately,” so she got into her friend’s car and they left the area. She later positively identified Sanford as the man she saw, according to the report. Police later found three bullet impacts on the east side of the theater building.")</f>
        <v>When students were arriving, man fired multiple shots from the school parking lot at an apartment across the street. Las Vegas Metropolitan police said officers responded to calls about several shots being fired in the area of the school shortly before the school opened for classes and arrested Sanford based on descriptions from witnesses. Officers then found a man who was dead at a nearby apartment complex with a gunshot wound to his head. School went on lockdown for 2 hours. A witness told police she was walking toward the theatre building of the Las Vegas Academy of Arts when she heard five to seven “loud pops” and saw a man standing in the doorway of one of the apartments, the report stated. She told police she saw him shooting at the theatre building “indiscriminately,” so she got into her friend’s car and they left the area. She later positively identified Sanford as the man she saw, according to the report. Police later found three bullet impacts on the east side of the theater building.</v>
      </c>
      <c r="AA548" s="8" t="str">
        <f ca="1">IFERROR(__xludf.DUMMYFUNCTION("""COMPUTED_VALUE"""),"Psychosis")</f>
        <v>Psychosis</v>
      </c>
      <c r="AB548" s="8" t="str">
        <f ca="1">IFERROR(__xludf.DUMMYFUNCTION("""COMPUTED_VALUE"""),"Targeted")</f>
        <v>Targeted</v>
      </c>
      <c r="AC548" s="8" t="str">
        <f ca="1">IFERROR(__xludf.DUMMYFUNCTION("""COMPUTED_VALUE"""),"Yes")</f>
        <v>Yes</v>
      </c>
      <c r="AD548" s="8" t="str">
        <f ca="1">IFERROR(__xludf.DUMMYFUNCTION("""COMPUTED_VALUE"""),"Both")</f>
        <v>Both</v>
      </c>
      <c r="AE548" s="8" t="str">
        <f ca="1">IFERROR(__xludf.DUMMYFUNCTION("""COMPUTED_VALUE"""),"No")</f>
        <v>No</v>
      </c>
      <c r="AF548" s="8"/>
      <c r="AG548" s="8" t="str">
        <f ca="1">IFERROR(__xludf.DUMMYFUNCTION("""COMPUTED_VALUE"""),"No")</f>
        <v>No</v>
      </c>
      <c r="AH548" s="8" t="str">
        <f ca="1">IFERROR(__xludf.DUMMYFUNCTION("""COMPUTED_VALUE"""),"No")</f>
        <v>No</v>
      </c>
      <c r="AI548" s="8" t="str">
        <f ca="1">IFERROR(__xludf.DUMMYFUNCTION("""COMPUTED_VALUE"""),"No")</f>
        <v>No</v>
      </c>
      <c r="AJ548" s="8" t="str">
        <f ca="1">IFERROR(__xludf.DUMMYFUNCTION("""COMPUTED_VALUE"""),"No")</f>
        <v>No</v>
      </c>
      <c r="AK548" s="8" t="str">
        <f ca="1">IFERROR(__xludf.DUMMYFUNCTION("""COMPUTED_VALUE"""),"No")</f>
        <v>No</v>
      </c>
      <c r="AL548" s="8"/>
      <c r="AM548" s="8" t="str">
        <f ca="1">IFERROR(__xludf.DUMMYFUNCTION("""COMPUTED_VALUE"""),"No")</f>
        <v>No</v>
      </c>
      <c r="AN548" s="8" t="str">
        <f ca="1">IFERROR(__xludf.DUMMYFUNCTION("""COMPUTED_VALUE"""),"Outside")</f>
        <v>Outside</v>
      </c>
      <c r="AO548" s="8" t="str">
        <f ca="1">IFERROR(__xludf.DUMMYFUNCTION("""COMPUTED_VALUE"""),"No")</f>
        <v>No</v>
      </c>
      <c r="AP548" s="8"/>
      <c r="AQ548" s="8"/>
      <c r="AR548" s="8" t="str">
        <f ca="1">IFERROR(__xludf.DUMMYFUNCTION("""COMPUTED_VALUE"""),"Outside/Off-Property")</f>
        <v>Outside/Off-Property</v>
      </c>
      <c r="AS548" s="8">
        <f ca="1">IFERROR(__xludf.DUMMYFUNCTION("""COMPUTED_VALUE"""),99)</f>
        <v>99</v>
      </c>
      <c r="AT548" s="8" t="str">
        <f ca="1">IFERROR(__xludf.DUMMYFUNCTION("""COMPUTED_VALUE"""),"Yes")</f>
        <v>Yes</v>
      </c>
      <c r="AU548" s="8">
        <f ca="1">IFERROR(__xludf.DUMMYFUNCTION("""COMPUTED_VALUE"""),36.165185)</f>
        <v>36.165185000000001</v>
      </c>
      <c r="AV548" s="8">
        <f ca="1">IFERROR(__xludf.DUMMYFUNCTION("""COMPUTED_VALUE"""),-115.139953)</f>
        <v>-115.13995300000001</v>
      </c>
      <c r="AW548" s="8"/>
      <c r="AX548" s="8">
        <f ca="1">IFERROR(__xludf.DUMMYFUNCTION("""COMPUTED_VALUE"""),89101)</f>
        <v>89101</v>
      </c>
    </row>
    <row r="549" spans="1:50" ht="195" x14ac:dyDescent="0.2">
      <c r="A549" s="8" t="str">
        <f ca="1">IFERROR(__xludf.DUMMYFUNCTION("""COMPUTED_VALUE"""),"20231109ALESA")</f>
        <v>20231109ALESA</v>
      </c>
      <c r="B549" s="8">
        <f ca="1">IFERROR(__xludf.DUMMYFUNCTION("""COMPUTED_VALUE"""),11)</f>
        <v>11</v>
      </c>
      <c r="C549" s="8">
        <f ca="1">IFERROR(__xludf.DUMMYFUNCTION("""COMPUTED_VALUE"""),9)</f>
        <v>9</v>
      </c>
      <c r="D549" s="8">
        <f ca="1">IFERROR(__xludf.DUMMYFUNCTION("""COMPUTED_VALUE"""),2023)</f>
        <v>2023</v>
      </c>
      <c r="E549" s="9">
        <f ca="1">IFERROR(__xludf.DUMMYFUNCTION("""COMPUTED_VALUE"""),45239)</f>
        <v>45239</v>
      </c>
      <c r="F549" s="8" t="str">
        <f ca="1">IFERROR(__xludf.DUMMYFUNCTION("""COMPUTED_VALUE"""),"Escambia County High School")</f>
        <v>Escambia County High School</v>
      </c>
      <c r="G549" s="8">
        <f ca="1">IFERROR(__xludf.DUMMYFUNCTION("""COMPUTED_VALUE"""),0)</f>
        <v>0</v>
      </c>
      <c r="H549" s="8">
        <f ca="1">IFERROR(__xludf.DUMMYFUNCTION("""COMPUTED_VALUE"""),2)</f>
        <v>2</v>
      </c>
      <c r="I549" s="8">
        <f ca="1">IFERROR(__xludf.DUMMYFUNCTION("""COMPUTED_VALUE"""),2)</f>
        <v>2</v>
      </c>
      <c r="J549" s="8">
        <f ca="1">IFERROR(__xludf.DUMMYFUNCTION("""COMPUTED_VALUE"""),0)</f>
        <v>0</v>
      </c>
      <c r="K549" s="10" t="str">
        <f ca="1">IFERROR(__xludf.DUMMYFUNCTION("""COMPUTED_VALUE"""),"https://www.fox10tv.com/2023/11/11/ecso-atmore-pd-respond-discharged-firearm-escambia-county-high-school/
https://weartv.com/news/local/2-injured-after-accidental-gun-discharge-in-atmore-high-school-gym")</f>
        <v>https://www.fox10tv.com/2023/11/11/ecso-atmore-pd-respond-discharged-firearm-escambia-county-high-school/
https://weartv.com/news/local/2-injured-after-accidental-gun-discharge-in-atmore-high-school-gym</v>
      </c>
      <c r="L549" s="8">
        <f ca="1">IFERROR(__xludf.DUMMYFUNCTION("""COMPUTED_VALUE"""),3)</f>
        <v>3</v>
      </c>
      <c r="M549" s="8" t="str">
        <f ca="1">IFERROR(__xludf.DUMMYFUNCTION("""COMPUTED_VALUE"""),"Local")</f>
        <v>Local</v>
      </c>
      <c r="N549" s="8">
        <f ca="1">IFERROR(__xludf.DUMMYFUNCTION("""COMPUTED_VALUE"""),4)</f>
        <v>4</v>
      </c>
      <c r="O549" s="8" t="str">
        <f ca="1">IFERROR(__xludf.DUMMYFUNCTION("""COMPUTED_VALUE"""),"Fall")</f>
        <v>Fall</v>
      </c>
      <c r="P549" s="8" t="str">
        <f ca="1">IFERROR(__xludf.DUMMYFUNCTION("""COMPUTED_VALUE"""),"Atmore")</f>
        <v>Atmore</v>
      </c>
      <c r="Q549" s="8" t="str">
        <f ca="1">IFERROR(__xludf.DUMMYFUNCTION("""COMPUTED_VALUE"""),"AL")</f>
        <v>AL</v>
      </c>
      <c r="R549" s="8" t="str">
        <f ca="1">IFERROR(__xludf.DUMMYFUNCTION("""COMPUTED_VALUE"""),"High")</f>
        <v>High</v>
      </c>
      <c r="S549" s="8" t="str">
        <f ca="1">IFERROR(__xludf.DUMMYFUNCTION("""COMPUTED_VALUE"""),"Gym")</f>
        <v>Gym</v>
      </c>
      <c r="T549" s="8" t="str">
        <f ca="1">IFERROR(__xludf.DUMMYFUNCTION("""COMPUTED_VALUE"""),"Inside School Building")</f>
        <v>Inside School Building</v>
      </c>
      <c r="U549" s="8" t="str">
        <f ca="1">IFERROR(__xludf.DUMMYFUNCTION("""COMPUTED_VALUE"""),"No")</f>
        <v>No</v>
      </c>
      <c r="V549" s="8" t="str">
        <f ca="1">IFERROR(__xludf.DUMMYFUNCTION("""COMPUTED_VALUE"""),"Sport Event")</f>
        <v>Sport Event</v>
      </c>
      <c r="W549" s="8"/>
      <c r="X549" s="8">
        <f ca="1">IFERROR(__xludf.DUMMYFUNCTION("""COMPUTED_VALUE"""),1)</f>
        <v>1</v>
      </c>
      <c r="Y549" s="12" t="str">
        <f ca="1">IFERROR(__xludf.DUMMYFUNCTION("""COMPUTED_VALUE"""),"Gun fell from man's waistband during basketball game and fired when it hit the floor, two wounded")</f>
        <v>Gun fell from man's waistband during basketball game and fired when it hit the floor, two wounded</v>
      </c>
      <c r="Z549" s="12" t="str">
        <f ca="1">IFERROR(__xludf.DUMMYFUNCTION("""COMPUTED_VALUE"""),"On November 9, 2023, Escambia County (AL) Sheriff’s Deputies along with Atmore Police officers responded to a report of a weapon being discharged at Escambia County High School inside the gym during a basketball game,” Sheriff Heath Jackson said. “A preli"&amp;"minary investigation led to the determination that a small group of individuals entered the gym area and that one of the young men was concealing a handgun in his waistband. The firearm fell from the suspects pants and hit the ground causing the gun to di"&amp;"scharge. Two people in the group later showed up at area hospitals for treatment for what appeared to be wounds from bullet fragments. This is still an ongoing investigation and will be updated in the future as arrests are made.")</f>
        <v>On November 9, 2023, Escambia County (AL) Sheriff’s Deputies along with Atmore Police officers responded to a report of a weapon being discharged at Escambia County High School inside the gym during a basketball game,” Sheriff Heath Jackson said. “A preliminary investigation led to the determination that a small group of individuals entered the gym area and that one of the young men was concealing a handgun in his waistband. The firearm fell from the suspects pants and hit the ground causing the gun to discharge. Two people in the group later showed up at area hospitals for treatment for what appeared to be wounds from bullet fragments. This is still an ongoing investigation and will be updated in the future as arrests are made.</v>
      </c>
      <c r="AA549" s="8" t="str">
        <f ca="1">IFERROR(__xludf.DUMMYFUNCTION("""COMPUTED_VALUE"""),"Accidental")</f>
        <v>Accidental</v>
      </c>
      <c r="AB549" s="8" t="str">
        <f ca="1">IFERROR(__xludf.DUMMYFUNCTION("""COMPUTED_VALUE"""),"Spontaneous")</f>
        <v>Spontaneous</v>
      </c>
      <c r="AC549" s="8" t="str">
        <f ca="1">IFERROR(__xludf.DUMMYFUNCTION("""COMPUTED_VALUE"""),"Yes")</f>
        <v>Yes</v>
      </c>
      <c r="AD549" s="8" t="str">
        <f ca="1">IFERROR(__xludf.DUMMYFUNCTION("""COMPUTED_VALUE"""),"Neither")</f>
        <v>Neither</v>
      </c>
      <c r="AE549" s="8" t="str">
        <f ca="1">IFERROR(__xludf.DUMMYFUNCTION("""COMPUTED_VALUE"""),"No")</f>
        <v>No</v>
      </c>
      <c r="AF549" s="8"/>
      <c r="AG549" s="8" t="str">
        <f ca="1">IFERROR(__xludf.DUMMYFUNCTION("""COMPUTED_VALUE"""),"No")</f>
        <v>No</v>
      </c>
      <c r="AH549" s="8" t="str">
        <f ca="1">IFERROR(__xludf.DUMMYFUNCTION("""COMPUTED_VALUE"""),"No")</f>
        <v>No</v>
      </c>
      <c r="AI549" s="8" t="str">
        <f ca="1">IFERROR(__xludf.DUMMYFUNCTION("""COMPUTED_VALUE"""),"No")</f>
        <v>No</v>
      </c>
      <c r="AJ549" s="8" t="str">
        <f ca="1">IFERROR(__xludf.DUMMYFUNCTION("""COMPUTED_VALUE"""),"No")</f>
        <v>No</v>
      </c>
      <c r="AK549" s="8" t="str">
        <f ca="1">IFERROR(__xludf.DUMMYFUNCTION("""COMPUTED_VALUE"""),"No")</f>
        <v>No</v>
      </c>
      <c r="AL549" s="8" t="str">
        <f ca="1">IFERROR(__xludf.DUMMYFUNCTION("""COMPUTED_VALUE"""),"No")</f>
        <v>No</v>
      </c>
      <c r="AM549" s="8" t="str">
        <f ca="1">IFERROR(__xludf.DUMMYFUNCTION("""COMPUTED_VALUE"""),"No")</f>
        <v>No</v>
      </c>
      <c r="AN549" s="8" t="str">
        <f ca="1">IFERROR(__xludf.DUMMYFUNCTION("""COMPUTED_VALUE"""),"Single Room")</f>
        <v>Single Room</v>
      </c>
      <c r="AO549" s="8" t="str">
        <f ca="1">IFERROR(__xludf.DUMMYFUNCTION("""COMPUTED_VALUE"""),"No")</f>
        <v>No</v>
      </c>
      <c r="AP549" s="8"/>
      <c r="AQ549" s="8"/>
      <c r="AR549" s="8" t="str">
        <f ca="1">IFERROR(__xludf.DUMMYFUNCTION("""COMPUTED_VALUE"""),"Failed")</f>
        <v>Failed</v>
      </c>
      <c r="AS549" s="8">
        <f ca="1">IFERROR(__xludf.DUMMYFUNCTION("""COMPUTED_VALUE"""),1)</f>
        <v>1</v>
      </c>
      <c r="AT549" s="8" t="str">
        <f ca="1">IFERROR(__xludf.DUMMYFUNCTION("""COMPUTED_VALUE"""),"No")</f>
        <v>No</v>
      </c>
      <c r="AU549" s="8">
        <f ca="1">IFERROR(__xludf.DUMMYFUNCTION("""COMPUTED_VALUE"""),31.006599)</f>
        <v>31.006599000000001</v>
      </c>
      <c r="AV549" s="8">
        <f ca="1">IFERROR(__xludf.DUMMYFUNCTION("""COMPUTED_VALUE"""),-87.487448)</f>
        <v>-87.487448000000001</v>
      </c>
      <c r="AW549" s="8"/>
      <c r="AX549" s="8">
        <f ca="1">IFERROR(__xludf.DUMMYFUNCTION("""COMPUTED_VALUE"""),36502)</f>
        <v>36502</v>
      </c>
    </row>
    <row r="550" spans="1:50" ht="270" x14ac:dyDescent="0.2">
      <c r="A550" s="8" t="str">
        <f ca="1">IFERROR(__xludf.DUMMYFUNCTION("""COMPUTED_VALUE"""),"20231108CTLIN")</f>
        <v>20231108CTLIN</v>
      </c>
      <c r="B550" s="8">
        <f ca="1">IFERROR(__xludf.DUMMYFUNCTION("""COMPUTED_VALUE"""),11)</f>
        <v>11</v>
      </c>
      <c r="C550" s="8">
        <f ca="1">IFERROR(__xludf.DUMMYFUNCTION("""COMPUTED_VALUE"""),8)</f>
        <v>8</v>
      </c>
      <c r="D550" s="8">
        <f ca="1">IFERROR(__xludf.DUMMYFUNCTION("""COMPUTED_VALUE"""),2023)</f>
        <v>2023</v>
      </c>
      <c r="E550" s="9">
        <f ca="1">IFERROR(__xludf.DUMMYFUNCTION("""COMPUTED_VALUE"""),45238)</f>
        <v>45238</v>
      </c>
      <c r="F550" s="8" t="str">
        <f ca="1">IFERROR(__xludf.DUMMYFUNCTION("""COMPUTED_VALUE"""),"Lincoln Bassett School")</f>
        <v>Lincoln Bassett School</v>
      </c>
      <c r="G550" s="8">
        <f ca="1">IFERROR(__xludf.DUMMYFUNCTION("""COMPUTED_VALUE"""),0)</f>
        <v>0</v>
      </c>
      <c r="H550" s="8">
        <f ca="1">IFERROR(__xludf.DUMMYFUNCTION("""COMPUTED_VALUE"""),0)</f>
        <v>0</v>
      </c>
      <c r="I550" s="8">
        <f ca="1">IFERROR(__xludf.DUMMYFUNCTION("""COMPUTED_VALUE"""),0)</f>
        <v>0</v>
      </c>
      <c r="J550" s="8">
        <f ca="1">IFERROR(__xludf.DUMMYFUNCTION("""COMPUTED_VALUE"""),0)</f>
        <v>0</v>
      </c>
      <c r="K550" s="10" t="str">
        <f ca="1">IFERROR(__xludf.DUMMYFUNCTION("""COMPUTED_VALUE"""),"https://news.yahoo.com/ct-elementary-school-custodian-helps-151400200.html")</f>
        <v>https://news.yahoo.com/ct-elementary-school-custodian-helps-151400200.html</v>
      </c>
      <c r="L550" s="8">
        <f ca="1">IFERROR(__xludf.DUMMYFUNCTION("""COMPUTED_VALUE"""),4)</f>
        <v>4</v>
      </c>
      <c r="M550" s="8" t="str">
        <f ca="1">IFERROR(__xludf.DUMMYFUNCTION("""COMPUTED_VALUE"""),"Local")</f>
        <v>Local</v>
      </c>
      <c r="N550" s="8">
        <f ca="1">IFERROR(__xludf.DUMMYFUNCTION("""COMPUTED_VALUE"""),4)</f>
        <v>4</v>
      </c>
      <c r="O550" s="8" t="str">
        <f ca="1">IFERROR(__xludf.DUMMYFUNCTION("""COMPUTED_VALUE"""),"Fall")</f>
        <v>Fall</v>
      </c>
      <c r="P550" s="8" t="str">
        <f ca="1">IFERROR(__xludf.DUMMYFUNCTION("""COMPUTED_VALUE"""),"New Haven")</f>
        <v>New Haven</v>
      </c>
      <c r="Q550" s="8" t="str">
        <f ca="1">IFERROR(__xludf.DUMMYFUNCTION("""COMPUTED_VALUE"""),"CT")</f>
        <v>CT</v>
      </c>
      <c r="R550" s="8" t="str">
        <f ca="1">IFERROR(__xludf.DUMMYFUNCTION("""COMPUTED_VALUE"""),"Elementary")</f>
        <v>Elementary</v>
      </c>
      <c r="S550" s="8" t="str">
        <f ca="1">IFERROR(__xludf.DUMMYFUNCTION("""COMPUTED_VALUE"""),"Parking Lot")</f>
        <v>Parking Lot</v>
      </c>
      <c r="T550" s="8" t="str">
        <f ca="1">IFERROR(__xludf.DUMMYFUNCTION("""COMPUTED_VALUE"""),"Outside on School Property")</f>
        <v>Outside on School Property</v>
      </c>
      <c r="U550" s="8" t="str">
        <f ca="1">IFERROR(__xludf.DUMMYFUNCTION("""COMPUTED_VALUE"""),"Yes")</f>
        <v>Yes</v>
      </c>
      <c r="V550" s="8" t="str">
        <f ca="1">IFERROR(__xludf.DUMMYFUNCTION("""COMPUTED_VALUE"""),"Morning Classes")</f>
        <v>Morning Classes</v>
      </c>
      <c r="W550" s="11">
        <f ca="1">IFERROR(__xludf.DUMMYFUNCTION("""COMPUTED_VALUE"""),0.415277777777777)</f>
        <v>0.41527777777777702</v>
      </c>
      <c r="X550" s="8">
        <f ca="1">IFERROR(__xludf.DUMMYFUNCTION("""COMPUTED_VALUE"""),1)</f>
        <v>1</v>
      </c>
      <c r="Y550" s="12" t="str">
        <f ca="1">IFERROR(__xludf.DUMMYFUNCTION("""COMPUTED_VALUE"""),"Janitor spotted man with gun in school parking lot, de-escalated situation, man arrested and taken for psych eval")</f>
        <v>Janitor spotted man with gun in school parking lot, de-escalated situation, man arrested and taken for psych eval</v>
      </c>
      <c r="Z550" s="12" t="str">
        <f ca="1">IFERROR(__xludf.DUMMYFUNCTION("""COMPUTED_VALUE"""),"The custodian was arriving at Lincoln Bassett School in the morning hours while classes were already in session when he noticed the armed individual who appeared to be “distraught,” officials with the New Haven Public School system wrote in a message to p"&amp;"arents and guardians Wednesday. The custodian approached the individual and was successful in “de-escalating the situation,” according to the school system. Members of the New Haven Police Department were notified at about 9:58 a.m. and responded to take "&amp;"custody of the armed man. Police said the individual was found lying naked on an area of concrete in front of the school. The man, who appeared disoriented, was taken in an ambulance to Yale New Haven Hospital “under a committal for a psychiatric evaluati"&amp;"on,” New Haven police Sgt. Cherelle Carr said. “Students were indoors and did not witness the event,” school officials told parents and guardians. “They were safe at all times. We are grateful for the courageous intervention of the staff member.”")</f>
        <v>The custodian was arriving at Lincoln Bassett School in the morning hours while classes were already in session when he noticed the armed individual who appeared to be “distraught,” officials with the New Haven Public School system wrote in a message to parents and guardians Wednesday. The custodian approached the individual and was successful in “de-escalating the situation,” according to the school system. Members of the New Haven Police Department were notified at about 9:58 a.m. and responded to take custody of the armed man. Police said the individual was found lying naked on an area of concrete in front of the school. The man, who appeared disoriented, was taken in an ambulance to Yale New Haven Hospital “under a committal for a psychiatric evaluation,” New Haven police Sgt. Cherelle Carr said. “Students were indoors and did not witness the event,” school officials told parents and guardians. “They were safe at all times. We are grateful for the courageous intervention of the staff member.”</v>
      </c>
      <c r="AA550" s="8" t="str">
        <f ca="1">IFERROR(__xludf.DUMMYFUNCTION("""COMPUTED_VALUE"""),"Psychosis")</f>
        <v>Psychosis</v>
      </c>
      <c r="AB550" s="8"/>
      <c r="AC550" s="8" t="str">
        <f ca="1">IFERROR(__xludf.DUMMYFUNCTION("""COMPUTED_VALUE"""),"Yes")</f>
        <v>Yes</v>
      </c>
      <c r="AD550" s="8" t="str">
        <f ca="1">IFERROR(__xludf.DUMMYFUNCTION("""COMPUTED_VALUE"""),"Neither")</f>
        <v>Neither</v>
      </c>
      <c r="AE550" s="8" t="str">
        <f ca="1">IFERROR(__xludf.DUMMYFUNCTION("""COMPUTED_VALUE"""),"No")</f>
        <v>No</v>
      </c>
      <c r="AF550" s="8"/>
      <c r="AG550" s="8" t="str">
        <f ca="1">IFERROR(__xludf.DUMMYFUNCTION("""COMPUTED_VALUE"""),"No")</f>
        <v>No</v>
      </c>
      <c r="AH550" s="8" t="str">
        <f ca="1">IFERROR(__xludf.DUMMYFUNCTION("""COMPUTED_VALUE"""),"No")</f>
        <v>No</v>
      </c>
      <c r="AI550" s="8" t="str">
        <f ca="1">IFERROR(__xludf.DUMMYFUNCTION("""COMPUTED_VALUE"""),"No")</f>
        <v>No</v>
      </c>
      <c r="AJ550" s="8" t="str">
        <f ca="1">IFERROR(__xludf.DUMMYFUNCTION("""COMPUTED_VALUE"""),"No")</f>
        <v>No</v>
      </c>
      <c r="AK550" s="8" t="str">
        <f ca="1">IFERROR(__xludf.DUMMYFUNCTION("""COMPUTED_VALUE"""),"No")</f>
        <v>No</v>
      </c>
      <c r="AL550" s="8" t="str">
        <f ca="1">IFERROR(__xludf.DUMMYFUNCTION("""COMPUTED_VALUE"""),"No")</f>
        <v>No</v>
      </c>
      <c r="AM550" s="8" t="str">
        <f ca="1">IFERROR(__xludf.DUMMYFUNCTION("""COMPUTED_VALUE"""),"No")</f>
        <v>No</v>
      </c>
      <c r="AN550" s="8" t="str">
        <f ca="1">IFERROR(__xludf.DUMMYFUNCTION("""COMPUTED_VALUE"""),"Outside")</f>
        <v>Outside</v>
      </c>
      <c r="AO550" s="8" t="str">
        <f ca="1">IFERROR(__xludf.DUMMYFUNCTION("""COMPUTED_VALUE"""),"No")</f>
        <v>No</v>
      </c>
      <c r="AP550" s="8" t="str">
        <f ca="1">IFERROR(__xludf.DUMMYFUNCTION("""COMPUTED_VALUE"""),"No")</f>
        <v>No</v>
      </c>
      <c r="AQ550" s="8"/>
      <c r="AR550" s="8" t="str">
        <f ca="1">IFERROR(__xludf.DUMMYFUNCTION("""COMPUTED_VALUE"""),"Outside/Off-Property")</f>
        <v>Outside/Off-Property</v>
      </c>
      <c r="AS550" s="8">
        <f ca="1">IFERROR(__xludf.DUMMYFUNCTION("""COMPUTED_VALUE"""),0)</f>
        <v>0</v>
      </c>
      <c r="AT550" s="8" t="str">
        <f ca="1">IFERROR(__xludf.DUMMYFUNCTION("""COMPUTED_VALUE"""),"Yes")</f>
        <v>Yes</v>
      </c>
      <c r="AU550" s="8">
        <f ca="1">IFERROR(__xludf.DUMMYFUNCTION("""COMPUTED_VALUE"""),41.331026)</f>
        <v>41.331026000000001</v>
      </c>
      <c r="AV550" s="8">
        <f ca="1">IFERROR(__xludf.DUMMYFUNCTION("""COMPUTED_VALUE"""),-72.93137)</f>
        <v>-72.931370000000001</v>
      </c>
      <c r="AW550" s="8"/>
      <c r="AX550" s="8">
        <f ca="1">IFERROR(__xludf.DUMMYFUNCTION("""COMPUTED_VALUE"""),6511)</f>
        <v>6511</v>
      </c>
    </row>
    <row r="551" spans="1:50" ht="315" x14ac:dyDescent="0.2">
      <c r="A551" s="8" t="str">
        <f ca="1">IFERROR(__xludf.DUMMYFUNCTION("""COMPUTED_VALUE"""),"20231107CABUB")</f>
        <v>20231107CABUB</v>
      </c>
      <c r="B551" s="8">
        <f ca="1">IFERROR(__xludf.DUMMYFUNCTION("""COMPUTED_VALUE"""),11)</f>
        <v>11</v>
      </c>
      <c r="C551" s="8">
        <f ca="1">IFERROR(__xludf.DUMMYFUNCTION("""COMPUTED_VALUE"""),7)</f>
        <v>7</v>
      </c>
      <c r="D551" s="8">
        <f ca="1">IFERROR(__xludf.DUMMYFUNCTION("""COMPUTED_VALUE"""),2023)</f>
        <v>2023</v>
      </c>
      <c r="E551" s="9">
        <f ca="1">IFERROR(__xludf.DUMMYFUNCTION("""COMPUTED_VALUE"""),45237)</f>
        <v>45237</v>
      </c>
      <c r="F551" s="8" t="str">
        <f ca="1">IFERROR(__xludf.DUMMYFUNCTION("""COMPUTED_VALUE"""),"Bullard High School")</f>
        <v>Bullard High School</v>
      </c>
      <c r="G551" s="8">
        <f ca="1">IFERROR(__xludf.DUMMYFUNCTION("""COMPUTED_VALUE"""),0)</f>
        <v>0</v>
      </c>
      <c r="H551" s="8">
        <f ca="1">IFERROR(__xludf.DUMMYFUNCTION("""COMPUTED_VALUE"""),0)</f>
        <v>0</v>
      </c>
      <c r="I551" s="8">
        <f ca="1">IFERROR(__xludf.DUMMYFUNCTION("""COMPUTED_VALUE"""),0)</f>
        <v>0</v>
      </c>
      <c r="J551" s="8">
        <f ca="1">IFERROR(__xludf.DUMMYFUNCTION("""COMPUTED_VALUE"""),0)</f>
        <v>0</v>
      </c>
      <c r="K551" s="10" t="str">
        <f ca="1">IFERROR(__xludf.DUMMYFUNCTION("""COMPUTED_VALUE"""),"https://kmph.com/news/local/school-bus-driver-shot-at-from-inside-bus-teen-inside-bus-fresnoo-unified-school-district-airsoft-bb-damage-windown-bullard-high-chp-kids-students-county-resource-officers-depties-investigation")</f>
        <v>https://kmph.com/news/local/school-bus-driver-shot-at-from-inside-bus-teen-inside-bus-fresnoo-unified-school-district-airsoft-bb-damage-windown-bullard-high-chp-kids-students-county-resource-officers-depties-investigation</v>
      </c>
      <c r="L551" s="8">
        <f ca="1">IFERROR(__xludf.DUMMYFUNCTION("""COMPUTED_VALUE"""),5)</f>
        <v>5</v>
      </c>
      <c r="M551" s="8" t="str">
        <f ca="1">IFERROR(__xludf.DUMMYFUNCTION("""COMPUTED_VALUE"""),"Local")</f>
        <v>Local</v>
      </c>
      <c r="N551" s="8">
        <f ca="1">IFERROR(__xludf.DUMMYFUNCTION("""COMPUTED_VALUE"""),4)</f>
        <v>4</v>
      </c>
      <c r="O551" s="8" t="str">
        <f ca="1">IFERROR(__xludf.DUMMYFUNCTION("""COMPUTED_VALUE"""),"Fall")</f>
        <v>Fall</v>
      </c>
      <c r="P551" s="8" t="str">
        <f ca="1">IFERROR(__xludf.DUMMYFUNCTION("""COMPUTED_VALUE"""),"Fresno")</f>
        <v>Fresno</v>
      </c>
      <c r="Q551" s="8" t="str">
        <f ca="1">IFERROR(__xludf.DUMMYFUNCTION("""COMPUTED_VALUE"""),"CA")</f>
        <v>CA</v>
      </c>
      <c r="R551" s="8" t="str">
        <f ca="1">IFERROR(__xludf.DUMMYFUNCTION("""COMPUTED_VALUE"""),"High")</f>
        <v>High</v>
      </c>
      <c r="S551" s="8" t="str">
        <f ca="1">IFERROR(__xludf.DUMMYFUNCTION("""COMPUTED_VALUE"""),"School Bus")</f>
        <v>School Bus</v>
      </c>
      <c r="T551" s="8" t="str">
        <f ca="1">IFERROR(__xludf.DUMMYFUNCTION("""COMPUTED_VALUE"""),"School Bus")</f>
        <v>School Bus</v>
      </c>
      <c r="U551" s="8" t="str">
        <f ca="1">IFERROR(__xludf.DUMMYFUNCTION("""COMPUTED_VALUE"""),"Yes")</f>
        <v>Yes</v>
      </c>
      <c r="V551" s="8" t="str">
        <f ca="1">IFERROR(__xludf.DUMMYFUNCTION("""COMPUTED_VALUE"""),"School Start")</f>
        <v>School Start</v>
      </c>
      <c r="W551" s="11">
        <f ca="1">IFERROR(__xludf.DUMMYFUNCTION("""COMPUTED_VALUE"""),0.34375)</f>
        <v>0.34375</v>
      </c>
      <c r="X551" s="8">
        <f ca="1">IFERROR(__xludf.DUMMYFUNCTION("""COMPUTED_VALUE"""),1)</f>
        <v>1</v>
      </c>
      <c r="Y551" s="12" t="str">
        <f ca="1">IFERROR(__xludf.DUMMYFUNCTION("""COMPUTED_VALUE"""),"Student fired gel pellet gun on moving school bus striking driver and 13 students, charged with 13 counts of assault and battery")</f>
        <v>Student fired gel pellet gun on moving school bus striking driver and 13 students, charged with 13 counts of assault and battery</v>
      </c>
      <c r="Z551" s="12" t="str">
        <f ca="1">IFERROR(__xludf.DUMMYFUNCTION("""COMPUTED_VALUE"""),"Bullard High School issued a statement to parents regarding the matter: ""This morning one of our buses was involved in an incident where a student riding the school bus had a plastic Orbeez water pellet gun. The student shot the water pellets towards the"&amp;" front of the bus. After further investigation by the Sheriff’s Department, we have learned a second student took the water pellet gun and began to shoot the water pellets at students who were sitting on the bus. No one was physically injured and all stud"&amp;"ents riding the bus are okay and safe. Parents were notified and all students who were on the bus were brought back on campus where they were provided breakfast and social emotional support. As part of the investigation, students who were witnesses were i"&amp;"nterviewed by the Sheriff’s Department to get first-hand information from students. The students involved have been identified, arrested, and are facing legal consequences. This event is extremely unacceptable and does not reflect the Knight characteristi"&amp;"cs or behavior we expect from our Bullard students. In addition, the students involved are facing appropriate disciplinary action from the school site level.")</f>
        <v>Bullard High School issued a statement to parents regarding the matter: "This morning one of our buses was involved in an incident where a student riding the school bus had a plastic Orbeez water pellet gun. The student shot the water pellets towards the front of the bus. After further investigation by the Sheriff’s Department, we have learned a second student took the water pellet gun and began to shoot the water pellets at students who were sitting on the bus. No one was physically injured and all students riding the bus are okay and safe. Parents were notified and all students who were on the bus were brought back on campus where they were provided breakfast and social emotional support. As part of the investigation, students who were witnesses were interviewed by the Sheriff’s Department to get first-hand information from students. The students involved have been identified, arrested, and are facing legal consequences. This event is extremely unacceptable and does not reflect the Knight characteristics or behavior we expect from our Bullard students. In addition, the students involved are facing appropriate disciplinary action from the school site level.</v>
      </c>
      <c r="AA551" s="8"/>
      <c r="AB551" s="8"/>
      <c r="AC551" s="8" t="str">
        <f ca="1">IFERROR(__xludf.DUMMYFUNCTION("""COMPUTED_VALUE"""),"Yes")</f>
        <v>Yes</v>
      </c>
      <c r="AD551" s="8" t="str">
        <f ca="1">IFERROR(__xludf.DUMMYFUNCTION("""COMPUTED_VALUE"""),"Both")</f>
        <v>Both</v>
      </c>
      <c r="AE551" s="8"/>
      <c r="AF551" s="8"/>
      <c r="AG551" s="8" t="str">
        <f ca="1">IFERROR(__xludf.DUMMYFUNCTION("""COMPUTED_VALUE"""),"No")</f>
        <v>No</v>
      </c>
      <c r="AH551" s="8" t="str">
        <f ca="1">IFERROR(__xludf.DUMMYFUNCTION("""COMPUTED_VALUE"""),"No")</f>
        <v>No</v>
      </c>
      <c r="AI551" s="8" t="str">
        <f ca="1">IFERROR(__xludf.DUMMYFUNCTION("""COMPUTED_VALUE"""),"No")</f>
        <v>No</v>
      </c>
      <c r="AJ551" s="8" t="str">
        <f ca="1">IFERROR(__xludf.DUMMYFUNCTION("""COMPUTED_VALUE"""),"No")</f>
        <v>No</v>
      </c>
      <c r="AK551" s="8" t="str">
        <f ca="1">IFERROR(__xludf.DUMMYFUNCTION("""COMPUTED_VALUE"""),"No")</f>
        <v>No</v>
      </c>
      <c r="AL551" s="8" t="str">
        <f ca="1">IFERROR(__xludf.DUMMYFUNCTION("""COMPUTED_VALUE"""),"No")</f>
        <v>No</v>
      </c>
      <c r="AM551" s="8" t="str">
        <f ca="1">IFERROR(__xludf.DUMMYFUNCTION("""COMPUTED_VALUE"""),"No")</f>
        <v>No</v>
      </c>
      <c r="AN551" s="8" t="str">
        <f ca="1">IFERROR(__xludf.DUMMYFUNCTION("""COMPUTED_VALUE"""),"Outside")</f>
        <v>Outside</v>
      </c>
      <c r="AO551" s="8" t="str">
        <f ca="1">IFERROR(__xludf.DUMMYFUNCTION("""COMPUTED_VALUE"""),"No")</f>
        <v>No</v>
      </c>
      <c r="AP551" s="8"/>
      <c r="AQ551" s="8"/>
      <c r="AR551" s="8" t="str">
        <f ca="1">IFERROR(__xludf.DUMMYFUNCTION("""COMPUTED_VALUE"""),"Outside/Off-Property")</f>
        <v>Outside/Off-Property</v>
      </c>
      <c r="AS551" s="8">
        <f ca="1">IFERROR(__xludf.DUMMYFUNCTION("""COMPUTED_VALUE"""),99)</f>
        <v>99</v>
      </c>
      <c r="AT551" s="8" t="str">
        <f ca="1">IFERROR(__xludf.DUMMYFUNCTION("""COMPUTED_VALUE"""),"No")</f>
        <v>No</v>
      </c>
      <c r="AU551" s="8">
        <f ca="1">IFERROR(__xludf.DUMMYFUNCTION("""COMPUTED_VALUE"""),36.817006)</f>
        <v>36.817005999999999</v>
      </c>
      <c r="AV551" s="8">
        <f ca="1">IFERROR(__xludf.DUMMYFUNCTION("""COMPUTED_VALUE"""),-119.810033)</f>
        <v>-119.810033</v>
      </c>
      <c r="AW551" s="8"/>
      <c r="AX551" s="8">
        <f ca="1">IFERROR(__xludf.DUMMYFUNCTION("""COMPUTED_VALUE"""),93704)</f>
        <v>93704</v>
      </c>
    </row>
    <row r="552" spans="1:50" ht="60" x14ac:dyDescent="0.2">
      <c r="A552" s="8" t="str">
        <f ca="1">IFERROR(__xludf.DUMMYFUNCTION("""COMPUTED_VALUE"""),"20231103INKII")</f>
        <v>20231103INKII</v>
      </c>
      <c r="B552" s="8">
        <f ca="1">IFERROR(__xludf.DUMMYFUNCTION("""COMPUTED_VALUE"""),11)</f>
        <v>11</v>
      </c>
      <c r="C552" s="8">
        <f ca="1">IFERROR(__xludf.DUMMYFUNCTION("""COMPUTED_VALUE"""),3)</f>
        <v>3</v>
      </c>
      <c r="D552" s="8">
        <f ca="1">IFERROR(__xludf.DUMMYFUNCTION("""COMPUTED_VALUE"""),2023)</f>
        <v>2023</v>
      </c>
      <c r="E552" s="9">
        <f ca="1">IFERROR(__xludf.DUMMYFUNCTION("""COMPUTED_VALUE"""),45233)</f>
        <v>45233</v>
      </c>
      <c r="F552" s="8" t="str">
        <f ca="1">IFERROR(__xludf.DUMMYFUNCTION("""COMPUTED_VALUE"""),"Kipp Indy Legacy High School")</f>
        <v>Kipp Indy Legacy High School</v>
      </c>
      <c r="G552" s="8">
        <f ca="1">IFERROR(__xludf.DUMMYFUNCTION("""COMPUTED_VALUE"""),1)</f>
        <v>1</v>
      </c>
      <c r="H552" s="8">
        <f ca="1">IFERROR(__xludf.DUMMYFUNCTION("""COMPUTED_VALUE"""),0)</f>
        <v>0</v>
      </c>
      <c r="I552" s="8">
        <f ca="1">IFERROR(__xludf.DUMMYFUNCTION("""COMPUTED_VALUE"""),1)</f>
        <v>1</v>
      </c>
      <c r="J552" s="8">
        <f ca="1">IFERROR(__xludf.DUMMYFUNCTION("""COMPUTED_VALUE"""),0)</f>
        <v>0</v>
      </c>
      <c r="K552" s="8" t="str">
        <f ca="1">IFERROR(__xludf.DUMMYFUNCTION("""COMPUTED_VALUE"""),"https://www.wishtv.com/news/crime-watch-8/15-year-old-suspect-charged-with-murder-for-shooting-outside-indianapolis-school/
https://fox59.com/news/indycrime/high-school-students-say-fight-led-to-friday-killing-of-15-year-old/
https://www.wrtv.com/news/loc"&amp;"al-news/crime/1-critically-injured-in-shooting-outside-indianapolis-school
https://www.cbs7.com/2023/11/03/student-is-fatally-shot-outside-high-school-indianapolis/")</f>
        <v>https://www.wishtv.com/news/crime-watch-8/15-year-old-suspect-charged-with-murder-for-shooting-outside-indianapolis-school/
https://fox59.com/news/indycrime/high-school-students-say-fight-led-to-friday-killing-of-15-year-old/
https://www.wrtv.com/news/local-news/crime/1-critically-injured-in-shooting-outside-indianapolis-school
https://www.cbs7.com/2023/11/03/student-is-fatally-shot-outside-high-school-indianapolis/</v>
      </c>
      <c r="L552" s="8">
        <f ca="1">IFERROR(__xludf.DUMMYFUNCTION("""COMPUTED_VALUE"""),5)</f>
        <v>5</v>
      </c>
      <c r="M552" s="8" t="str">
        <f ca="1">IFERROR(__xludf.DUMMYFUNCTION("""COMPUTED_VALUE"""),"Local")</f>
        <v>Local</v>
      </c>
      <c r="N552" s="8">
        <f ca="1">IFERROR(__xludf.DUMMYFUNCTION("""COMPUTED_VALUE"""),4)</f>
        <v>4</v>
      </c>
      <c r="O552" s="8" t="str">
        <f ca="1">IFERROR(__xludf.DUMMYFUNCTION("""COMPUTED_VALUE"""),"Fall")</f>
        <v>Fall</v>
      </c>
      <c r="P552" s="8" t="str">
        <f ca="1">IFERROR(__xludf.DUMMYFUNCTION("""COMPUTED_VALUE"""),"Indianapolis")</f>
        <v>Indianapolis</v>
      </c>
      <c r="Q552" s="8" t="str">
        <f ca="1">IFERROR(__xludf.DUMMYFUNCTION("""COMPUTED_VALUE"""),"IN")</f>
        <v>IN</v>
      </c>
      <c r="R552" s="8" t="str">
        <f ca="1">IFERROR(__xludf.DUMMYFUNCTION("""COMPUTED_VALUE"""),"High")</f>
        <v>High</v>
      </c>
      <c r="S552" s="8" t="str">
        <f ca="1">IFERROR(__xludf.DUMMYFUNCTION("""COMPUTED_VALUE"""),"Parking Lot")</f>
        <v>Parking Lot</v>
      </c>
      <c r="T552" s="8" t="str">
        <f ca="1">IFERROR(__xludf.DUMMYFUNCTION("""COMPUTED_VALUE"""),"Outside on School Property")</f>
        <v>Outside on School Property</v>
      </c>
      <c r="U552" s="8" t="str">
        <f ca="1">IFERROR(__xludf.DUMMYFUNCTION("""COMPUTED_VALUE"""),"Yes")</f>
        <v>Yes</v>
      </c>
      <c r="V552" s="8" t="str">
        <f ca="1">IFERROR(__xludf.DUMMYFUNCTION("""COMPUTED_VALUE"""),"Afternoon Classes")</f>
        <v>Afternoon Classes</v>
      </c>
      <c r="W552" s="11">
        <f ca="1">IFERROR(__xludf.DUMMYFUNCTION("""COMPUTED_VALUE"""),0.541666666666666)</f>
        <v>0.54166666666666596</v>
      </c>
      <c r="X552" s="8">
        <f ca="1">IFERROR(__xludf.DUMMYFUNCTION("""COMPUTED_VALUE"""),1)</f>
        <v>1</v>
      </c>
      <c r="Y552" s="12" t="str">
        <f ca="1">IFERROR(__xludf.DUMMYFUNCTION("""COMPUTED_VALUE"""),"Student fatally shot in parking lot during afternoon classes")</f>
        <v>Student fatally shot in parking lot during afternoon classes</v>
      </c>
      <c r="Z552" s="12" t="str">
        <f ca="1">IFERROR(__xludf.DUMMYFUNCTION("""COMPUTED_VALUE"""),"The teenage student was shot shortly before 1 p.m. outside KIPP Indy Legacy School, the Indianapolis Metropolitan Police Department said. The shooter was another teenager who is not a student at the school")</f>
        <v>The teenage student was shot shortly before 1 p.m. outside KIPP Indy Legacy School, the Indianapolis Metropolitan Police Department said. The shooter was another teenager who is not a student at the school</v>
      </c>
      <c r="AA552" s="8" t="str">
        <f ca="1">IFERROR(__xludf.DUMMYFUNCTION("""COMPUTED_VALUE"""),"Escalation of Dispute")</f>
        <v>Escalation of Dispute</v>
      </c>
      <c r="AB552" s="8" t="str">
        <f ca="1">IFERROR(__xludf.DUMMYFUNCTION("""COMPUTED_VALUE"""),"Targeted")</f>
        <v>Targeted</v>
      </c>
      <c r="AC552" s="8" t="str">
        <f ca="1">IFERROR(__xludf.DUMMYFUNCTION("""COMPUTED_VALUE"""),"Yes")</f>
        <v>Yes</v>
      </c>
      <c r="AD552" s="8" t="str">
        <f ca="1">IFERROR(__xludf.DUMMYFUNCTION("""COMPUTED_VALUE"""),"Victims Targeted")</f>
        <v>Victims Targeted</v>
      </c>
      <c r="AE552" s="8" t="str">
        <f ca="1">IFERROR(__xludf.DUMMYFUNCTION("""COMPUTED_VALUE"""),"No")</f>
        <v>No</v>
      </c>
      <c r="AF552" s="8"/>
      <c r="AG552" s="8" t="str">
        <f ca="1">IFERROR(__xludf.DUMMYFUNCTION("""COMPUTED_VALUE"""),"No")</f>
        <v>No</v>
      </c>
      <c r="AH552" s="8" t="str">
        <f ca="1">IFERROR(__xludf.DUMMYFUNCTION("""COMPUTED_VALUE"""),"No")</f>
        <v>No</v>
      </c>
      <c r="AI552" s="8" t="str">
        <f ca="1">IFERROR(__xludf.DUMMYFUNCTION("""COMPUTED_VALUE"""),"No")</f>
        <v>No</v>
      </c>
      <c r="AJ552" s="8" t="str">
        <f ca="1">IFERROR(__xludf.DUMMYFUNCTION("""COMPUTED_VALUE"""),"No")</f>
        <v>No</v>
      </c>
      <c r="AK552" s="8" t="str">
        <f ca="1">IFERROR(__xludf.DUMMYFUNCTION("""COMPUTED_VALUE"""),"No")</f>
        <v>No</v>
      </c>
      <c r="AL552" s="8"/>
      <c r="AM552" s="8" t="str">
        <f ca="1">IFERROR(__xludf.DUMMYFUNCTION("""COMPUTED_VALUE"""),"No")</f>
        <v>No</v>
      </c>
      <c r="AN552" s="8" t="str">
        <f ca="1">IFERROR(__xludf.DUMMYFUNCTION("""COMPUTED_VALUE"""),"Outside")</f>
        <v>Outside</v>
      </c>
      <c r="AO552" s="8" t="str">
        <f ca="1">IFERROR(__xludf.DUMMYFUNCTION("""COMPUTED_VALUE"""),"No")</f>
        <v>No</v>
      </c>
      <c r="AP552" s="8"/>
      <c r="AQ552" s="8"/>
      <c r="AR552" s="8" t="str">
        <f ca="1">IFERROR(__xludf.DUMMYFUNCTION("""COMPUTED_VALUE"""),"Outside/Off-Property")</f>
        <v>Outside/Off-Property</v>
      </c>
      <c r="AS552" s="8">
        <f ca="1">IFERROR(__xludf.DUMMYFUNCTION("""COMPUTED_VALUE"""),99)</f>
        <v>99</v>
      </c>
      <c r="AT552" s="8" t="str">
        <f ca="1">IFERROR(__xludf.DUMMYFUNCTION("""COMPUTED_VALUE"""),"Yes")</f>
        <v>Yes</v>
      </c>
      <c r="AU552" s="8">
        <f ca="1">IFERROR(__xludf.DUMMYFUNCTION("""COMPUTED_VALUE"""),39.79807)</f>
        <v>39.798070000000003</v>
      </c>
      <c r="AV552" s="8">
        <f ca="1">IFERROR(__xludf.DUMMYFUNCTION("""COMPUTED_VALUE"""),-86.13069)</f>
        <v>-86.130690000000001</v>
      </c>
      <c r="AW552" s="8"/>
      <c r="AX552" s="8">
        <f ca="1">IFERROR(__xludf.DUMMYFUNCTION("""COMPUTED_VALUE"""),46218)</f>
        <v>46218</v>
      </c>
    </row>
    <row r="553" spans="1:50" ht="75" x14ac:dyDescent="0.2">
      <c r="A553" s="8" t="str">
        <f ca="1">IFERROR(__xludf.DUMMYFUNCTION("""COMPUTED_VALUE"""),"20231102NCFRM")</f>
        <v>20231102NCFRM</v>
      </c>
      <c r="B553" s="8">
        <f ca="1">IFERROR(__xludf.DUMMYFUNCTION("""COMPUTED_VALUE"""),11)</f>
        <v>11</v>
      </c>
      <c r="C553" s="8">
        <f ca="1">IFERROR(__xludf.DUMMYFUNCTION("""COMPUTED_VALUE"""),2)</f>
        <v>2</v>
      </c>
      <c r="D553" s="8">
        <f ca="1">IFERROR(__xludf.DUMMYFUNCTION("""COMPUTED_VALUE"""),2023)</f>
        <v>2023</v>
      </c>
      <c r="E553" s="9">
        <f ca="1">IFERROR(__xludf.DUMMYFUNCTION("""COMPUTED_VALUE"""),45232)</f>
        <v>45232</v>
      </c>
      <c r="F553" s="8" t="str">
        <f ca="1">IFERROR(__xludf.DUMMYFUNCTION("""COMPUTED_VALUE"""),"Freedom High School")</f>
        <v>Freedom High School</v>
      </c>
      <c r="G553" s="8">
        <f ca="1">IFERROR(__xludf.DUMMYFUNCTION("""COMPUTED_VALUE"""),0)</f>
        <v>0</v>
      </c>
      <c r="H553" s="8">
        <f ca="1">IFERROR(__xludf.DUMMYFUNCTION("""COMPUTED_VALUE"""),0)</f>
        <v>0</v>
      </c>
      <c r="I553" s="8">
        <f ca="1">IFERROR(__xludf.DUMMYFUNCTION("""COMPUTED_VALUE"""),0)</f>
        <v>0</v>
      </c>
      <c r="J553" s="8">
        <f ca="1">IFERROR(__xludf.DUMMYFUNCTION("""COMPUTED_VALUE"""),0)</f>
        <v>0</v>
      </c>
      <c r="K553" s="10" t="str">
        <f ca="1">IFERROR(__xludf.DUMMYFUNCTION("""COMPUTED_VALUE"""),"https://morganton.com/news/local/crime-courts/2-men-charged-after-shots-fired-near-freedom-high-school/article_5728089e-79c5-11ee-a74b-8f3a4c64c7f2.html")</f>
        <v>https://morganton.com/news/local/crime-courts/2-men-charged-after-shots-fired-near-freedom-high-school/article_5728089e-79c5-11ee-a74b-8f3a4c64c7f2.html</v>
      </c>
      <c r="L553" s="8">
        <f ca="1">IFERROR(__xludf.DUMMYFUNCTION("""COMPUTED_VALUE"""),1)</f>
        <v>1</v>
      </c>
      <c r="M553" s="8" t="str">
        <f ca="1">IFERROR(__xludf.DUMMYFUNCTION("""COMPUTED_VALUE"""),"Local")</f>
        <v>Local</v>
      </c>
      <c r="N553" s="8">
        <f ca="1">IFERROR(__xludf.DUMMYFUNCTION("""COMPUTED_VALUE"""),4)</f>
        <v>4</v>
      </c>
      <c r="O553" s="8" t="str">
        <f ca="1">IFERROR(__xludf.DUMMYFUNCTION("""COMPUTED_VALUE"""),"Fall")</f>
        <v>Fall</v>
      </c>
      <c r="P553" s="8" t="str">
        <f ca="1">IFERROR(__xludf.DUMMYFUNCTION("""COMPUTED_VALUE"""),"Morganton")</f>
        <v>Morganton</v>
      </c>
      <c r="Q553" s="8" t="str">
        <f ca="1">IFERROR(__xludf.DUMMYFUNCTION("""COMPUTED_VALUE"""),"NC")</f>
        <v>NC</v>
      </c>
      <c r="R553" s="8" t="str">
        <f ca="1">IFERROR(__xludf.DUMMYFUNCTION("""COMPUTED_VALUE"""),"High")</f>
        <v>High</v>
      </c>
      <c r="S553" s="8" t="str">
        <f ca="1">IFERROR(__xludf.DUMMYFUNCTION("""COMPUTED_VALUE"""),"Front of School")</f>
        <v>Front of School</v>
      </c>
      <c r="T553" s="8" t="str">
        <f ca="1">IFERROR(__xludf.DUMMYFUNCTION("""COMPUTED_VALUE"""),"Outside on School Property")</f>
        <v>Outside on School Property</v>
      </c>
      <c r="U553" s="8" t="str">
        <f ca="1">IFERROR(__xludf.DUMMYFUNCTION("""COMPUTED_VALUE"""),"Yes")</f>
        <v>Yes</v>
      </c>
      <c r="V553" s="8" t="str">
        <f ca="1">IFERROR(__xludf.DUMMYFUNCTION("""COMPUTED_VALUE"""),"Morning Classes")</f>
        <v>Morning Classes</v>
      </c>
      <c r="W553" s="11">
        <f ca="1">IFERROR(__xludf.DUMMYFUNCTION("""COMPUTED_VALUE"""),0.458333333333333)</f>
        <v>0.45833333333333298</v>
      </c>
      <c r="X553" s="8">
        <f ca="1">IFERROR(__xludf.DUMMYFUNCTION("""COMPUTED_VALUE"""),1)</f>
        <v>1</v>
      </c>
      <c r="Y553" s="12" t="str">
        <f ca="1">IFERROR(__xludf.DUMMYFUNCTION("""COMPUTED_VALUE"""),"School employee witnessed man firing gun into the air in the front of the school")</f>
        <v>School employee witnessed man firing gun into the air in the front of the school</v>
      </c>
      <c r="Z553" s="12" t="str">
        <f ca="1">IFERROR(__xludf.DUMMYFUNCTION("""COMPUTED_VALUE"""),"A school employee at Freedom High School reported seeing someone in a white passenger car firing a gun from the car into the air in front of the school shortly before 11 a.m. Two men were arrested. 3 guns were found inside the car.")</f>
        <v>A school employee at Freedom High School reported seeing someone in a white passenger car firing a gun from the car into the air in front of the school shortly before 11 a.m. Two men were arrested. 3 guns were found inside the car.</v>
      </c>
      <c r="AA553" s="8" t="str">
        <f ca="1">IFERROR(__xludf.DUMMYFUNCTION("""COMPUTED_VALUE"""),"Drive-by Shooting")</f>
        <v>Drive-by Shooting</v>
      </c>
      <c r="AB553" s="8" t="str">
        <f ca="1">IFERROR(__xludf.DUMMYFUNCTION("""COMPUTED_VALUE"""),"Spontaneous")</f>
        <v>Spontaneous</v>
      </c>
      <c r="AC553" s="8" t="str">
        <f ca="1">IFERROR(__xludf.DUMMYFUNCTION("""COMPUTED_VALUE"""),"Yes")</f>
        <v>Yes</v>
      </c>
      <c r="AD553" s="8" t="str">
        <f ca="1">IFERROR(__xludf.DUMMYFUNCTION("""COMPUTED_VALUE"""),"Neither")</f>
        <v>Neither</v>
      </c>
      <c r="AE553" s="8" t="str">
        <f ca="1">IFERROR(__xludf.DUMMYFUNCTION("""COMPUTED_VALUE"""),"Yes")</f>
        <v>Yes</v>
      </c>
      <c r="AF553" s="8" t="str">
        <f ca="1">IFERROR(__xludf.DUMMYFUNCTION("""COMPUTED_VALUE"""),"Two arrested")</f>
        <v>Two arrested</v>
      </c>
      <c r="AG553" s="8" t="str">
        <f ca="1">IFERROR(__xludf.DUMMYFUNCTION("""COMPUTED_VALUE"""),"No")</f>
        <v>No</v>
      </c>
      <c r="AH553" s="8" t="str">
        <f ca="1">IFERROR(__xludf.DUMMYFUNCTION("""COMPUTED_VALUE"""),"No")</f>
        <v>No</v>
      </c>
      <c r="AI553" s="8" t="str">
        <f ca="1">IFERROR(__xludf.DUMMYFUNCTION("""COMPUTED_VALUE"""),"No")</f>
        <v>No</v>
      </c>
      <c r="AJ553" s="8" t="str">
        <f ca="1">IFERROR(__xludf.DUMMYFUNCTION("""COMPUTED_VALUE"""),"No")</f>
        <v>No</v>
      </c>
      <c r="AK553" s="8" t="str">
        <f ca="1">IFERROR(__xludf.DUMMYFUNCTION("""COMPUTED_VALUE"""),"No")</f>
        <v>No</v>
      </c>
      <c r="AL553" s="8" t="str">
        <f ca="1">IFERROR(__xludf.DUMMYFUNCTION("""COMPUTED_VALUE"""),"No")</f>
        <v>No</v>
      </c>
      <c r="AM553" s="8" t="str">
        <f ca="1">IFERROR(__xludf.DUMMYFUNCTION("""COMPUTED_VALUE"""),"No")</f>
        <v>No</v>
      </c>
      <c r="AN553" s="8" t="str">
        <f ca="1">IFERROR(__xludf.DUMMYFUNCTION("""COMPUTED_VALUE"""),"Outside")</f>
        <v>Outside</v>
      </c>
      <c r="AO553" s="8" t="str">
        <f ca="1">IFERROR(__xludf.DUMMYFUNCTION("""COMPUTED_VALUE"""),"No")</f>
        <v>No</v>
      </c>
      <c r="AP553" s="8"/>
      <c r="AQ553" s="8"/>
      <c r="AR553" s="8" t="str">
        <f ca="1">IFERROR(__xludf.DUMMYFUNCTION("""COMPUTED_VALUE"""),"Outside/Off-Property")</f>
        <v>Outside/Off-Property</v>
      </c>
      <c r="AS553" s="8">
        <f ca="1">IFERROR(__xludf.DUMMYFUNCTION("""COMPUTED_VALUE"""),99)</f>
        <v>99</v>
      </c>
      <c r="AT553" s="8"/>
      <c r="AU553" s="8">
        <f ca="1">IFERROR(__xludf.DUMMYFUNCTION("""COMPUTED_VALUE"""),35.74447)</f>
        <v>35.74447</v>
      </c>
      <c r="AV553" s="8">
        <f ca="1">IFERROR(__xludf.DUMMYFUNCTION("""COMPUTED_VALUE"""),-81.720224)</f>
        <v>-81.720224000000002</v>
      </c>
      <c r="AW553" s="8"/>
      <c r="AX553" s="8">
        <f ca="1">IFERROR(__xludf.DUMMYFUNCTION("""COMPUTED_VALUE"""),28655)</f>
        <v>28655</v>
      </c>
    </row>
    <row r="554" spans="1:50" ht="120" x14ac:dyDescent="0.2">
      <c r="A554" s="8" t="str">
        <f ca="1">IFERROR(__xludf.DUMMYFUNCTION("""COMPUTED_VALUE"""),"20231102OHWAL")</f>
        <v>20231102OHWAL</v>
      </c>
      <c r="B554" s="8">
        <f ca="1">IFERROR(__xludf.DUMMYFUNCTION("""COMPUTED_VALUE"""),11)</f>
        <v>11</v>
      </c>
      <c r="C554" s="8">
        <f ca="1">IFERROR(__xludf.DUMMYFUNCTION("""COMPUTED_VALUE"""),2)</f>
        <v>2</v>
      </c>
      <c r="D554" s="8">
        <f ca="1">IFERROR(__xludf.DUMMYFUNCTION("""COMPUTED_VALUE"""),2023)</f>
        <v>2023</v>
      </c>
      <c r="E554" s="9">
        <f ca="1">IFERROR(__xludf.DUMMYFUNCTION("""COMPUTED_VALUE"""),45232)</f>
        <v>45232</v>
      </c>
      <c r="F554" s="8" t="str">
        <f ca="1">IFERROR(__xludf.DUMMYFUNCTION("""COMPUTED_VALUE"""),"Washington Elementary School")</f>
        <v>Washington Elementary School</v>
      </c>
      <c r="G554" s="8">
        <f ca="1">IFERROR(__xludf.DUMMYFUNCTION("""COMPUTED_VALUE"""),0)</f>
        <v>0</v>
      </c>
      <c r="H554" s="8">
        <f ca="1">IFERROR(__xludf.DUMMYFUNCTION("""COMPUTED_VALUE"""),0)</f>
        <v>0</v>
      </c>
      <c r="I554" s="8">
        <f ca="1">IFERROR(__xludf.DUMMYFUNCTION("""COMPUTED_VALUE"""),0)</f>
        <v>0</v>
      </c>
      <c r="J554" s="8">
        <f ca="1">IFERROR(__xludf.DUMMYFUNCTION("""COMPUTED_VALUE"""),0)</f>
        <v>0</v>
      </c>
      <c r="K554" s="10" t="str">
        <f ca="1">IFERROR(__xludf.DUMMYFUNCTION("""COMPUTED_VALUE"""),"https://fox8.com/news/suspect-arrested-after-shooting-near-lorain-elementary-school/")</f>
        <v>https://fox8.com/news/suspect-arrested-after-shooting-near-lorain-elementary-school/</v>
      </c>
      <c r="L554" s="8">
        <f ca="1">IFERROR(__xludf.DUMMYFUNCTION("""COMPUTED_VALUE"""),5)</f>
        <v>5</v>
      </c>
      <c r="M554" s="8" t="str">
        <f ca="1">IFERROR(__xludf.DUMMYFUNCTION("""COMPUTED_VALUE"""),"Local")</f>
        <v>Local</v>
      </c>
      <c r="N554" s="8">
        <f ca="1">IFERROR(__xludf.DUMMYFUNCTION("""COMPUTED_VALUE"""),4)</f>
        <v>4</v>
      </c>
      <c r="O554" s="8" t="str">
        <f ca="1">IFERROR(__xludf.DUMMYFUNCTION("""COMPUTED_VALUE"""),"Fall")</f>
        <v>Fall</v>
      </c>
      <c r="P554" s="8" t="str">
        <f ca="1">IFERROR(__xludf.DUMMYFUNCTION("""COMPUTED_VALUE"""),"Lorain")</f>
        <v>Lorain</v>
      </c>
      <c r="Q554" s="8" t="str">
        <f ca="1">IFERROR(__xludf.DUMMYFUNCTION("""COMPUTED_VALUE"""),"OH")</f>
        <v>OH</v>
      </c>
      <c r="R554" s="8" t="str">
        <f ca="1">IFERROR(__xludf.DUMMYFUNCTION("""COMPUTED_VALUE"""),"Elementary")</f>
        <v>Elementary</v>
      </c>
      <c r="S554" s="8" t="str">
        <f ca="1">IFERROR(__xludf.DUMMYFUNCTION("""COMPUTED_VALUE"""),"Parking Lot")</f>
        <v>Parking Lot</v>
      </c>
      <c r="T554" s="8" t="str">
        <f ca="1">IFERROR(__xludf.DUMMYFUNCTION("""COMPUTED_VALUE"""),"Outside on School Property")</f>
        <v>Outside on School Property</v>
      </c>
      <c r="U554" s="8" t="str">
        <f ca="1">IFERROR(__xludf.DUMMYFUNCTION("""COMPUTED_VALUE"""),"Yes")</f>
        <v>Yes</v>
      </c>
      <c r="V554" s="8" t="str">
        <f ca="1">IFERROR(__xludf.DUMMYFUNCTION("""COMPUTED_VALUE"""),"Dismissal")</f>
        <v>Dismissal</v>
      </c>
      <c r="W554" s="11">
        <f ca="1">IFERROR(__xludf.DUMMYFUNCTION("""COMPUTED_VALUE"""),0.604166666666666)</f>
        <v>0.60416666666666596</v>
      </c>
      <c r="X554" s="8">
        <f ca="1">IFERROR(__xludf.DUMMYFUNCTION("""COMPUTED_VALUE"""),1)</f>
        <v>1</v>
      </c>
      <c r="Y554" s="12" t="str">
        <f ca="1">IFERROR(__xludf.DUMMYFUNCTION("""COMPUTED_VALUE"""),"Two shots fired near the parking lot and playground at dismissal, multiple additional shots fired at a vehicle nearby")</f>
        <v>Two shots fired near the parking lot and playground at dismissal, multiple additional shots fired at a vehicle nearby</v>
      </c>
      <c r="Z554" s="12" t="str">
        <f ca="1">IFERROR(__xludf.DUMMYFUNCTION("""COMPUTED_VALUE"""),"Two shots fired near the parking lot at dismissal. SRO ran toward the shooter who fired additional shots at a vehicle and then fled into a house. 20-year-old man was arrested and charged with felonious assault, inducing panic, obstructing official busines"&amp;"s, resisting arrest and discharging a firearm in a school zone. Students in the process of dismissing ran back inside and the school was locked down for 2.5 hours.")</f>
        <v>Two shots fired near the parking lot at dismissal. SRO ran toward the shooter who fired additional shots at a vehicle and then fled into a house. 20-year-old man was arrested and charged with felonious assault, inducing panic, obstructing official business, resisting arrest and discharging a firearm in a school zone. Students in the process of dismissing ran back inside and the school was locked down for 2.5 hours.</v>
      </c>
      <c r="AA554" s="8"/>
      <c r="AB554" s="8" t="str">
        <f ca="1">IFERROR(__xludf.DUMMYFUNCTION("""COMPUTED_VALUE"""),"Spontaneous")</f>
        <v>Spontaneous</v>
      </c>
      <c r="AC554" s="8" t="str">
        <f ca="1">IFERROR(__xludf.DUMMYFUNCTION("""COMPUTED_VALUE"""),"Yes")</f>
        <v>Yes</v>
      </c>
      <c r="AD554" s="8" t="str">
        <f ca="1">IFERROR(__xludf.DUMMYFUNCTION("""COMPUTED_VALUE"""),"Victims Targeted")</f>
        <v>Victims Targeted</v>
      </c>
      <c r="AE554" s="8" t="str">
        <f ca="1">IFERROR(__xludf.DUMMYFUNCTION("""COMPUTED_VALUE"""),"No")</f>
        <v>No</v>
      </c>
      <c r="AF554" s="8"/>
      <c r="AG554" s="8" t="str">
        <f ca="1">IFERROR(__xludf.DUMMYFUNCTION("""COMPUTED_VALUE"""),"No")</f>
        <v>No</v>
      </c>
      <c r="AH554" s="8" t="str">
        <f ca="1">IFERROR(__xludf.DUMMYFUNCTION("""COMPUTED_VALUE"""),"No")</f>
        <v>No</v>
      </c>
      <c r="AI554" s="8" t="str">
        <f ca="1">IFERROR(__xludf.DUMMYFUNCTION("""COMPUTED_VALUE"""),"No")</f>
        <v>No</v>
      </c>
      <c r="AJ554" s="8" t="str">
        <f ca="1">IFERROR(__xludf.DUMMYFUNCTION("""COMPUTED_VALUE"""),"No")</f>
        <v>No</v>
      </c>
      <c r="AK554" s="8" t="str">
        <f ca="1">IFERROR(__xludf.DUMMYFUNCTION("""COMPUTED_VALUE"""),"No")</f>
        <v>No</v>
      </c>
      <c r="AL554" s="8"/>
      <c r="AM554" s="8" t="str">
        <f ca="1">IFERROR(__xludf.DUMMYFUNCTION("""COMPUTED_VALUE"""),"No")</f>
        <v>No</v>
      </c>
      <c r="AN554" s="8" t="str">
        <f ca="1">IFERROR(__xludf.DUMMYFUNCTION("""COMPUTED_VALUE"""),"Outside")</f>
        <v>Outside</v>
      </c>
      <c r="AO554" s="8" t="str">
        <f ca="1">IFERROR(__xludf.DUMMYFUNCTION("""COMPUTED_VALUE"""),"No")</f>
        <v>No</v>
      </c>
      <c r="AP554" s="8" t="str">
        <f ca="1">IFERROR(__xludf.DUMMYFUNCTION("""COMPUTED_VALUE"""),"Yes")</f>
        <v>Yes</v>
      </c>
      <c r="AQ554" s="8" t="str">
        <f ca="1">IFERROR(__xludf.DUMMYFUNCTION("""COMPUTED_VALUE"""),"Armed Guards")</f>
        <v>Armed Guards</v>
      </c>
      <c r="AR554" s="8" t="str">
        <f ca="1">IFERROR(__xludf.DUMMYFUNCTION("""COMPUTED_VALUE"""),"Outside/Off-Property")</f>
        <v>Outside/Off-Property</v>
      </c>
      <c r="AS554" s="8">
        <f ca="1">IFERROR(__xludf.DUMMYFUNCTION("""COMPUTED_VALUE"""),99)</f>
        <v>99</v>
      </c>
      <c r="AT554" s="8" t="str">
        <f ca="1">IFERROR(__xludf.DUMMYFUNCTION("""COMPUTED_VALUE"""),"Yes")</f>
        <v>Yes</v>
      </c>
      <c r="AU554" s="8">
        <f ca="1">IFERROR(__xludf.DUMMYFUNCTION("""COMPUTED_VALUE"""),41.448237)</f>
        <v>41.448236999999999</v>
      </c>
      <c r="AV554" s="8">
        <f ca="1">IFERROR(__xludf.DUMMYFUNCTION("""COMPUTED_VALUE"""),-82.180155)</f>
        <v>-82.180154999999999</v>
      </c>
      <c r="AW554" s="8"/>
      <c r="AX554" s="8">
        <f ca="1">IFERROR(__xludf.DUMMYFUNCTION("""COMPUTED_VALUE"""),44052)</f>
        <v>44052</v>
      </c>
    </row>
    <row r="555" spans="1:50" ht="270" x14ac:dyDescent="0.2">
      <c r="A555" s="8" t="str">
        <f ca="1">IFERROR(__xludf.DUMMYFUNCTION("""COMPUTED_VALUE"""),"20231102ALSMS")</f>
        <v>20231102ALSMS</v>
      </c>
      <c r="B555" s="8">
        <f ca="1">IFERROR(__xludf.DUMMYFUNCTION("""COMPUTED_VALUE"""),11)</f>
        <v>11</v>
      </c>
      <c r="C555" s="8">
        <f ca="1">IFERROR(__xludf.DUMMYFUNCTION("""COMPUTED_VALUE"""),2)</f>
        <v>2</v>
      </c>
      <c r="D555" s="8">
        <f ca="1">IFERROR(__xludf.DUMMYFUNCTION("""COMPUTED_VALUE"""),2023)</f>
        <v>2023</v>
      </c>
      <c r="E555" s="9">
        <f ca="1">IFERROR(__xludf.DUMMYFUNCTION("""COMPUTED_VALUE"""),45232)</f>
        <v>45232</v>
      </c>
      <c r="F555" s="8" t="str">
        <f ca="1">IFERROR(__xludf.DUMMYFUNCTION("""COMPUTED_VALUE"""),"Smiths Station High School")</f>
        <v>Smiths Station High School</v>
      </c>
      <c r="G555" s="8">
        <f ca="1">IFERROR(__xludf.DUMMYFUNCTION("""COMPUTED_VALUE"""),0)</f>
        <v>0</v>
      </c>
      <c r="H555" s="8">
        <f ca="1">IFERROR(__xludf.DUMMYFUNCTION("""COMPUTED_VALUE"""),0)</f>
        <v>0</v>
      </c>
      <c r="I555" s="8">
        <f ca="1">IFERROR(__xludf.DUMMYFUNCTION("""COMPUTED_VALUE"""),0)</f>
        <v>0</v>
      </c>
      <c r="J555" s="8">
        <f ca="1">IFERROR(__xludf.DUMMYFUNCTION("""COMPUTED_VALUE"""),0)</f>
        <v>0</v>
      </c>
      <c r="K555" s="10" t="str">
        <f ca="1">IFERROR(__xludf.DUMMYFUNCTION("""COMPUTED_VALUE"""),"https://www.wtvm.com/2023/11/03/smiths-station-student-arrested-multiple-charges-including-terrorist-threats-charge/")</f>
        <v>https://www.wtvm.com/2023/11/03/smiths-station-student-arrested-multiple-charges-including-terrorist-threats-charge/</v>
      </c>
      <c r="L555" s="8">
        <f ca="1">IFERROR(__xludf.DUMMYFUNCTION("""COMPUTED_VALUE"""),4)</f>
        <v>4</v>
      </c>
      <c r="M555" s="8" t="str">
        <f ca="1">IFERROR(__xludf.DUMMYFUNCTION("""COMPUTED_VALUE"""),"Local")</f>
        <v>Local</v>
      </c>
      <c r="N555" s="8">
        <f ca="1">IFERROR(__xludf.DUMMYFUNCTION("""COMPUTED_VALUE"""),1)</f>
        <v>1</v>
      </c>
      <c r="O555" s="8" t="str">
        <f ca="1">IFERROR(__xludf.DUMMYFUNCTION("""COMPUTED_VALUE"""),"Fall")</f>
        <v>Fall</v>
      </c>
      <c r="P555" s="8" t="str">
        <f ca="1">IFERROR(__xludf.DUMMYFUNCTION("""COMPUTED_VALUE"""),"Smiths Station")</f>
        <v>Smiths Station</v>
      </c>
      <c r="Q555" s="8" t="str">
        <f ca="1">IFERROR(__xludf.DUMMYFUNCTION("""COMPUTED_VALUE"""),"AL")</f>
        <v>AL</v>
      </c>
      <c r="R555" s="8" t="str">
        <f ca="1">IFERROR(__xludf.DUMMYFUNCTION("""COMPUTED_VALUE"""),"High")</f>
        <v>High</v>
      </c>
      <c r="S555" s="8" t="str">
        <f ca="1">IFERROR(__xludf.DUMMYFUNCTION("""COMPUTED_VALUE"""),"Gym")</f>
        <v>Gym</v>
      </c>
      <c r="T555" s="8" t="str">
        <f ca="1">IFERROR(__xludf.DUMMYFUNCTION("""COMPUTED_VALUE"""),"Inside School Building")</f>
        <v>Inside School Building</v>
      </c>
      <c r="U555" s="8" t="str">
        <f ca="1">IFERROR(__xludf.DUMMYFUNCTION("""COMPUTED_VALUE"""),"Yes")</f>
        <v>Yes</v>
      </c>
      <c r="V555" s="8" t="str">
        <f ca="1">IFERROR(__xludf.DUMMYFUNCTION("""COMPUTED_VALUE"""),"Sport Event")</f>
        <v>Sport Event</v>
      </c>
      <c r="W555" s="11">
        <f ca="1">IFERROR(__xludf.DUMMYFUNCTION("""COMPUTED_VALUE"""),0.736111111111111)</f>
        <v>0.73611111111111105</v>
      </c>
      <c r="X555" s="8">
        <f ca="1">IFERROR(__xludf.DUMMYFUNCTION("""COMPUTED_VALUE"""),1)</f>
        <v>1</v>
      </c>
      <c r="Y555" s="12" t="str">
        <f ca="1">IFERROR(__xludf.DUMMYFUNCTION("""COMPUTED_VALUE"""),"Student pointed handgun at female staff member and student during fight at basketball game, said he was going to kill them")</f>
        <v>Student pointed handgun at female staff member and student during fight at basketball game, said he was going to kill them</v>
      </c>
      <c r="Z555" s="12" t="str">
        <f ca="1">IFERROR(__xludf.DUMMYFUNCTION("""COMPUTED_VALUE"""),"LCSO deputies responded to Smith’s Station High School, located on Lee Road 430, about a subject at the school gym with a firearm. They say witnesses reported the armed suspect was leaving in a white KIA automobile, and responding deputies observed and st"&amp;"opped the vehicle as it was attempting to leave the school campus. Officials say evidence determined that the 16-year-old had been in a fight with another student. They say after the initial confrontation, the suspect obtained a handgun from his vehicle a"&amp;"nd while armed, entered the gym building on campus, threatening to kill the other student. An adult female trainer working with the school’s athletics program stepped in front of the suspect, shielding the student who was being threatened, and told the su"&amp;"spect to leave. Officials say the trainer stated that the suspect said that he was going to kill the other student as he was pointing a gun in her face. Investigators recovered a 9mm semi-automatic handgun from the suspect’s vehicle at the scene.")</f>
        <v>LCSO deputies responded to Smith’s Station High School, located on Lee Road 430, about a subject at the school gym with a firearm. They say witnesses reported the armed suspect was leaving in a white KIA automobile, and responding deputies observed and stopped the vehicle as it was attempting to leave the school campus. Officials say evidence determined that the 16-year-old had been in a fight with another student. They say after the initial confrontation, the suspect obtained a handgun from his vehicle and while armed, entered the gym building on campus, threatening to kill the other student. An adult female trainer working with the school’s athletics program stepped in front of the suspect, shielding the student who was being threatened, and told the suspect to leave. Officials say the trainer stated that the suspect said that he was going to kill the other student as he was pointing a gun in her face. Investigators recovered a 9mm semi-automatic handgun from the suspect’s vehicle at the scene.</v>
      </c>
      <c r="AA555" s="8" t="str">
        <f ca="1">IFERROR(__xludf.DUMMYFUNCTION("""COMPUTED_VALUE"""),"Escalation of Dispute")</f>
        <v>Escalation of Dispute</v>
      </c>
      <c r="AB555" s="8" t="str">
        <f ca="1">IFERROR(__xludf.DUMMYFUNCTION("""COMPUTED_VALUE"""),"Spontaneous")</f>
        <v>Spontaneous</v>
      </c>
      <c r="AC555" s="8" t="str">
        <f ca="1">IFERROR(__xludf.DUMMYFUNCTION("""COMPUTED_VALUE"""),"Yes")</f>
        <v>Yes</v>
      </c>
      <c r="AD555" s="8" t="str">
        <f ca="1">IFERROR(__xludf.DUMMYFUNCTION("""COMPUTED_VALUE"""),"Victims Targeted")</f>
        <v>Victims Targeted</v>
      </c>
      <c r="AE555" s="8" t="str">
        <f ca="1">IFERROR(__xludf.DUMMYFUNCTION("""COMPUTED_VALUE"""),"No")</f>
        <v>No</v>
      </c>
      <c r="AF555" s="8"/>
      <c r="AG555" s="8" t="str">
        <f ca="1">IFERROR(__xludf.DUMMYFUNCTION("""COMPUTED_VALUE"""),"No")</f>
        <v>No</v>
      </c>
      <c r="AH555" s="8" t="str">
        <f ca="1">IFERROR(__xludf.DUMMYFUNCTION("""COMPUTED_VALUE"""),"No")</f>
        <v>No</v>
      </c>
      <c r="AI555" s="8" t="str">
        <f ca="1">IFERROR(__xludf.DUMMYFUNCTION("""COMPUTED_VALUE"""),"No")</f>
        <v>No</v>
      </c>
      <c r="AJ555" s="8" t="str">
        <f ca="1">IFERROR(__xludf.DUMMYFUNCTION("""COMPUTED_VALUE"""),"No")</f>
        <v>No</v>
      </c>
      <c r="AK555" s="8" t="str">
        <f ca="1">IFERROR(__xludf.DUMMYFUNCTION("""COMPUTED_VALUE"""),"No")</f>
        <v>No</v>
      </c>
      <c r="AL555" s="8" t="str">
        <f ca="1">IFERROR(__xludf.DUMMYFUNCTION("""COMPUTED_VALUE"""),"No")</f>
        <v>No</v>
      </c>
      <c r="AM555" s="8" t="str">
        <f ca="1">IFERROR(__xludf.DUMMYFUNCTION("""COMPUTED_VALUE"""),"No")</f>
        <v>No</v>
      </c>
      <c r="AN555" s="8" t="str">
        <f ca="1">IFERROR(__xludf.DUMMYFUNCTION("""COMPUTED_VALUE"""),"Single Room")</f>
        <v>Single Room</v>
      </c>
      <c r="AO555" s="8" t="str">
        <f ca="1">IFERROR(__xludf.DUMMYFUNCTION("""COMPUTED_VALUE"""),"No")</f>
        <v>No</v>
      </c>
      <c r="AP555" s="8"/>
      <c r="AQ555" s="8"/>
      <c r="AR555" s="8" t="str">
        <f ca="1">IFERROR(__xludf.DUMMYFUNCTION("""COMPUTED_VALUE"""),"Failed")</f>
        <v>Failed</v>
      </c>
      <c r="AS555" s="8">
        <f ca="1">IFERROR(__xludf.DUMMYFUNCTION("""COMPUTED_VALUE"""),0)</f>
        <v>0</v>
      </c>
      <c r="AT555" s="8" t="str">
        <f ca="1">IFERROR(__xludf.DUMMYFUNCTION("""COMPUTED_VALUE"""),"No")</f>
        <v>No</v>
      </c>
      <c r="AU555" s="8">
        <f ca="1">IFERROR(__xludf.DUMMYFUNCTION("""COMPUTED_VALUE"""),32.521944)</f>
        <v>32.521943999999998</v>
      </c>
      <c r="AV555" s="8">
        <f ca="1">IFERROR(__xludf.DUMMYFUNCTION("""COMPUTED_VALUE"""),-85.079526)</f>
        <v>-85.079526000000001</v>
      </c>
      <c r="AW555" s="8" t="str">
        <f ca="1">IFERROR(__xludf.DUMMYFUNCTION("""COMPUTED_VALUE"""),"Multiple detached buildings")</f>
        <v>Multiple detached buildings</v>
      </c>
      <c r="AX555" s="8">
        <f ca="1">IFERROR(__xludf.DUMMYFUNCTION("""COMPUTED_VALUE"""),36877)</f>
        <v>36877</v>
      </c>
    </row>
    <row r="556" spans="1:50" ht="60" x14ac:dyDescent="0.2">
      <c r="A556" s="8" t="str">
        <f ca="1">IFERROR(__xludf.DUMMYFUNCTION("""COMPUTED_VALUE"""),"20231031NVCOL")</f>
        <v>20231031NVCOL</v>
      </c>
      <c r="B556" s="8">
        <f ca="1">IFERROR(__xludf.DUMMYFUNCTION("""COMPUTED_VALUE"""),10)</f>
        <v>10</v>
      </c>
      <c r="C556" s="8">
        <f ca="1">IFERROR(__xludf.DUMMYFUNCTION("""COMPUTED_VALUE"""),31)</f>
        <v>31</v>
      </c>
      <c r="D556" s="8">
        <f ca="1">IFERROR(__xludf.DUMMYFUNCTION("""COMPUTED_VALUE"""),2023)</f>
        <v>2023</v>
      </c>
      <c r="E556" s="9">
        <f ca="1">IFERROR(__xludf.DUMMYFUNCTION("""COMPUTED_VALUE"""),45230)</f>
        <v>45230</v>
      </c>
      <c r="F556" s="8" t="str">
        <f ca="1">IFERROR(__xludf.DUMMYFUNCTION("""COMPUTED_VALUE"""),"Cortney Junior High School")</f>
        <v>Cortney Junior High School</v>
      </c>
      <c r="G556" s="8">
        <f ca="1">IFERROR(__xludf.DUMMYFUNCTION("""COMPUTED_VALUE"""),0)</f>
        <v>0</v>
      </c>
      <c r="H556" s="8">
        <f ca="1">IFERROR(__xludf.DUMMYFUNCTION("""COMPUTED_VALUE"""),0)</f>
        <v>0</v>
      </c>
      <c r="I556" s="8">
        <f ca="1">IFERROR(__xludf.DUMMYFUNCTION("""COMPUTED_VALUE"""),0)</f>
        <v>0</v>
      </c>
      <c r="J556" s="8">
        <f ca="1">IFERROR(__xludf.DUMMYFUNCTION("""COMPUTED_VALUE"""),0)</f>
        <v>0</v>
      </c>
      <c r="K556" s="10" t="str">
        <f ca="1">IFERROR(__xludf.DUMMYFUNCTION("""COMPUTED_VALUE"""),"https://www.fox5vegas.com/2023/11/16/las-vegas-man-arrested-after-allegedly-firing-gun-into-group-juveniles/")</f>
        <v>https://www.fox5vegas.com/2023/11/16/las-vegas-man-arrested-after-allegedly-firing-gun-into-group-juveniles/</v>
      </c>
      <c r="L556" s="8">
        <f ca="1">IFERROR(__xludf.DUMMYFUNCTION("""COMPUTED_VALUE"""),10)</f>
        <v>10</v>
      </c>
      <c r="M556" s="8" t="str">
        <f ca="1">IFERROR(__xludf.DUMMYFUNCTION("""COMPUTED_VALUE"""),"Local")</f>
        <v>Local</v>
      </c>
      <c r="N556" s="8">
        <f ca="1">IFERROR(__xludf.DUMMYFUNCTION("""COMPUTED_VALUE"""),4)</f>
        <v>4</v>
      </c>
      <c r="O556" s="8" t="str">
        <f ca="1">IFERROR(__xludf.DUMMYFUNCTION("""COMPUTED_VALUE"""),"Fall")</f>
        <v>Fall</v>
      </c>
      <c r="P556" s="8" t="str">
        <f ca="1">IFERROR(__xludf.DUMMYFUNCTION("""COMPUTED_VALUE"""),"Las Vegas")</f>
        <v>Las Vegas</v>
      </c>
      <c r="Q556" s="8" t="str">
        <f ca="1">IFERROR(__xludf.DUMMYFUNCTION("""COMPUTED_VALUE"""),"NV")</f>
        <v>NV</v>
      </c>
      <c r="R556" s="8" t="str">
        <f ca="1">IFERROR(__xludf.DUMMYFUNCTION("""COMPUTED_VALUE"""),"Middle")</f>
        <v>Middle</v>
      </c>
      <c r="S556" s="8" t="str">
        <f ca="1">IFERROR(__xludf.DUMMYFUNCTION("""COMPUTED_VALUE"""),"Front of School")</f>
        <v>Front of School</v>
      </c>
      <c r="T556" s="8" t="str">
        <f ca="1">IFERROR(__xludf.DUMMYFUNCTION("""COMPUTED_VALUE"""),"Outside on School Property")</f>
        <v>Outside on School Property</v>
      </c>
      <c r="U556" s="8" t="str">
        <f ca="1">IFERROR(__xludf.DUMMYFUNCTION("""COMPUTED_VALUE"""),"Yes")</f>
        <v>Yes</v>
      </c>
      <c r="V556" s="8" t="str">
        <f ca="1">IFERROR(__xludf.DUMMYFUNCTION("""COMPUTED_VALUE"""),"Dismissal")</f>
        <v>Dismissal</v>
      </c>
      <c r="W556" s="11">
        <f ca="1">IFERROR(__xludf.DUMMYFUNCTION("""COMPUTED_VALUE"""),0.600694444444444)</f>
        <v>0.60069444444444398</v>
      </c>
      <c r="X556" s="8">
        <f ca="1">IFERROR(__xludf.DUMMYFUNCTION("""COMPUTED_VALUE"""),1)</f>
        <v>1</v>
      </c>
      <c r="Y556" s="12" t="str">
        <f ca="1">IFERROR(__xludf.DUMMYFUNCTION("""COMPUTED_VALUE"""),"Parent fired 3 shots during pickup during fight between students")</f>
        <v>Parent fired 3 shots during pickup during fight between students</v>
      </c>
      <c r="Z556" s="12" t="str">
        <f ca="1">IFERROR(__xludf.DUMMYFUNCTION("""COMPUTED_VALUE"""),"Parent fired 3 shots from a vehicle at a group of student fighting while picking up a student during dismissal. Parent arrested on Nov 16, 2023.")</f>
        <v>Parent fired 3 shots from a vehicle at a group of student fighting while picking up a student during dismissal. Parent arrested on Nov 16, 2023.</v>
      </c>
      <c r="AA556" s="8" t="str">
        <f ca="1">IFERROR(__xludf.DUMMYFUNCTION("""COMPUTED_VALUE"""),"Escalation of Dispute")</f>
        <v>Escalation of Dispute</v>
      </c>
      <c r="AB556" s="8" t="str">
        <f ca="1">IFERROR(__xludf.DUMMYFUNCTION("""COMPUTED_VALUE"""),"Spontaneous")</f>
        <v>Spontaneous</v>
      </c>
      <c r="AC556" s="8" t="str">
        <f ca="1">IFERROR(__xludf.DUMMYFUNCTION("""COMPUTED_VALUE"""),"Yes")</f>
        <v>Yes</v>
      </c>
      <c r="AD556" s="8" t="str">
        <f ca="1">IFERROR(__xludf.DUMMYFUNCTION("""COMPUTED_VALUE"""),"Victims Targeted")</f>
        <v>Victims Targeted</v>
      </c>
      <c r="AE556" s="8" t="str">
        <f ca="1">IFERROR(__xludf.DUMMYFUNCTION("""COMPUTED_VALUE"""),"No")</f>
        <v>No</v>
      </c>
      <c r="AF556" s="8"/>
      <c r="AG556" s="8" t="str">
        <f ca="1">IFERROR(__xludf.DUMMYFUNCTION("""COMPUTED_VALUE"""),"No")</f>
        <v>No</v>
      </c>
      <c r="AH556" s="8" t="str">
        <f ca="1">IFERROR(__xludf.DUMMYFUNCTION("""COMPUTED_VALUE"""),"No")</f>
        <v>No</v>
      </c>
      <c r="AI556" s="8" t="str">
        <f ca="1">IFERROR(__xludf.DUMMYFUNCTION("""COMPUTED_VALUE"""),"No")</f>
        <v>No</v>
      </c>
      <c r="AJ556" s="8" t="str">
        <f ca="1">IFERROR(__xludf.DUMMYFUNCTION("""COMPUTED_VALUE"""),"No")</f>
        <v>No</v>
      </c>
      <c r="AK556" s="8" t="str">
        <f ca="1">IFERROR(__xludf.DUMMYFUNCTION("""COMPUTED_VALUE"""),"No")</f>
        <v>No</v>
      </c>
      <c r="AL556" s="8" t="str">
        <f ca="1">IFERROR(__xludf.DUMMYFUNCTION("""COMPUTED_VALUE"""),"No")</f>
        <v>No</v>
      </c>
      <c r="AM556" s="8" t="str">
        <f ca="1">IFERROR(__xludf.DUMMYFUNCTION("""COMPUTED_VALUE"""),"No")</f>
        <v>No</v>
      </c>
      <c r="AN556" s="8" t="str">
        <f ca="1">IFERROR(__xludf.DUMMYFUNCTION("""COMPUTED_VALUE"""),"Outside")</f>
        <v>Outside</v>
      </c>
      <c r="AO556" s="8" t="str">
        <f ca="1">IFERROR(__xludf.DUMMYFUNCTION("""COMPUTED_VALUE"""),"No")</f>
        <v>No</v>
      </c>
      <c r="AP556" s="8"/>
      <c r="AQ556" s="8"/>
      <c r="AR556" s="8" t="str">
        <f ca="1">IFERROR(__xludf.DUMMYFUNCTION("""COMPUTED_VALUE"""),"Outside/Off-Property")</f>
        <v>Outside/Off-Property</v>
      </c>
      <c r="AS556" s="8">
        <f ca="1">IFERROR(__xludf.DUMMYFUNCTION("""COMPUTED_VALUE"""),3)</f>
        <v>3</v>
      </c>
      <c r="AT556" s="8"/>
      <c r="AU556" s="8">
        <f ca="1">IFERROR(__xludf.DUMMYFUNCTION("""COMPUTED_VALUE"""),36.09249)</f>
        <v>36.092489999999998</v>
      </c>
      <c r="AV556" s="8">
        <f ca="1">IFERROR(__xludf.DUMMYFUNCTION("""COMPUTED_VALUE"""),-115.058605)</f>
        <v>-115.058605</v>
      </c>
      <c r="AW556" s="8"/>
      <c r="AX556" s="8">
        <f ca="1">IFERROR(__xludf.DUMMYFUNCTION("""COMPUTED_VALUE"""),89112)</f>
        <v>89112</v>
      </c>
    </row>
    <row r="557" spans="1:50" ht="120" x14ac:dyDescent="0.2">
      <c r="A557" s="8" t="str">
        <f ca="1">IFERROR(__xludf.DUMMYFUNCTION("""COMPUTED_VALUE"""),"20231030NCRAR")</f>
        <v>20231030NCRAR</v>
      </c>
      <c r="B557" s="8">
        <f ca="1">IFERROR(__xludf.DUMMYFUNCTION("""COMPUTED_VALUE"""),10)</f>
        <v>10</v>
      </c>
      <c r="C557" s="8">
        <f ca="1">IFERROR(__xludf.DUMMYFUNCTION("""COMPUTED_VALUE"""),30)</f>
        <v>30</v>
      </c>
      <c r="D557" s="8">
        <f ca="1">IFERROR(__xludf.DUMMYFUNCTION("""COMPUTED_VALUE"""),2023)</f>
        <v>2023</v>
      </c>
      <c r="E557" s="9">
        <f ca="1">IFERROR(__xludf.DUMMYFUNCTION("""COMPUTED_VALUE"""),45229)</f>
        <v>45229</v>
      </c>
      <c r="F557" s="8" t="str">
        <f ca="1">IFERROR(__xludf.DUMMYFUNCTION("""COMPUTED_VALUE"""),"Raleigh School Bus")</f>
        <v>Raleigh School Bus</v>
      </c>
      <c r="G557" s="8">
        <f ca="1">IFERROR(__xludf.DUMMYFUNCTION("""COMPUTED_VALUE"""),0)</f>
        <v>0</v>
      </c>
      <c r="H557" s="8">
        <f ca="1">IFERROR(__xludf.DUMMYFUNCTION("""COMPUTED_VALUE"""),2)</f>
        <v>2</v>
      </c>
      <c r="I557" s="8">
        <f ca="1">IFERROR(__xludf.DUMMYFUNCTION("""COMPUTED_VALUE"""),2)</f>
        <v>2</v>
      </c>
      <c r="J557" s="8">
        <f ca="1">IFERROR(__xludf.DUMMYFUNCTION("""COMPUTED_VALUE"""),0)</f>
        <v>0</v>
      </c>
      <c r="K557" s="10" t="str">
        <f ca="1">IFERROR(__xludf.DUMMYFUNCTION("""COMPUTED_VALUE"""),"https://abc11.com/raleigh-school-van-shot-student-hurt-driver-injured/14007877/")</f>
        <v>https://abc11.com/raleigh-school-van-shot-student-hurt-driver-injured/14007877/</v>
      </c>
      <c r="L557" s="8">
        <f ca="1">IFERROR(__xludf.DUMMYFUNCTION("""COMPUTED_VALUE"""),1)</f>
        <v>1</v>
      </c>
      <c r="M557" s="8" t="str">
        <f ca="1">IFERROR(__xludf.DUMMYFUNCTION("""COMPUTED_VALUE"""),"Local")</f>
        <v>Local</v>
      </c>
      <c r="N557" s="8">
        <f ca="1">IFERROR(__xludf.DUMMYFUNCTION("""COMPUTED_VALUE"""),4)</f>
        <v>4</v>
      </c>
      <c r="O557" s="8" t="str">
        <f ca="1">IFERROR(__xludf.DUMMYFUNCTION("""COMPUTED_VALUE"""),"Fall")</f>
        <v>Fall</v>
      </c>
      <c r="P557" s="8" t="str">
        <f ca="1">IFERROR(__xludf.DUMMYFUNCTION("""COMPUTED_VALUE"""),"Raleigh")</f>
        <v>Raleigh</v>
      </c>
      <c r="Q557" s="8" t="str">
        <f ca="1">IFERROR(__xludf.DUMMYFUNCTION("""COMPUTED_VALUE"""),"NC")</f>
        <v>NC</v>
      </c>
      <c r="R557" s="8" t="str">
        <f ca="1">IFERROR(__xludf.DUMMYFUNCTION("""COMPUTED_VALUE"""),"High")</f>
        <v>High</v>
      </c>
      <c r="S557" s="8" t="str">
        <f ca="1">IFERROR(__xludf.DUMMYFUNCTION("""COMPUTED_VALUE"""),"School Bus")</f>
        <v>School Bus</v>
      </c>
      <c r="T557" s="8" t="str">
        <f ca="1">IFERROR(__xludf.DUMMYFUNCTION("""COMPUTED_VALUE"""),"School Bus")</f>
        <v>School Bus</v>
      </c>
      <c r="U557" s="8" t="str">
        <f ca="1">IFERROR(__xludf.DUMMYFUNCTION("""COMPUTED_VALUE"""),"Yes")</f>
        <v>Yes</v>
      </c>
      <c r="V557" s="8" t="str">
        <f ca="1">IFERROR(__xludf.DUMMYFUNCTION("""COMPUTED_VALUE"""),"School Start")</f>
        <v>School Start</v>
      </c>
      <c r="W557" s="11">
        <f ca="1">IFERROR(__xludf.DUMMYFUNCTION("""COMPUTED_VALUE"""),0.272916666666666)</f>
        <v>0.27291666666666597</v>
      </c>
      <c r="X557" s="8">
        <f ca="1">IFERROR(__xludf.DUMMYFUNCTION("""COMPUTED_VALUE"""),1)</f>
        <v>1</v>
      </c>
      <c r="Y557" s="12" t="str">
        <f ca="1">IFERROR(__xludf.DUMMYFUNCTION("""COMPUTED_VALUE"""),"Van picking up special needs students was shot multiple times with students inside")</f>
        <v>Van picking up special needs students was shot multiple times with students inside</v>
      </c>
      <c r="Z557" s="12" t="str">
        <f ca="1">IFERROR(__xludf.DUMMYFUNCTION("""COMPUTED_VALUE"""),"At 6:33 a.m. on Monday, Raleigh police responded to Walnut View Road in regards to a shooting into an occupied vehicle. One adult and three students were inside the van at the time and were not directly hit by gunfire. However, the driver and a student we"&amp;"re taken to the hospital with minor injuries from broken glass. Three other unoccupied cars were also hit by gunfire and one building was hit.")</f>
        <v>At 6:33 a.m. on Monday, Raleigh police responded to Walnut View Road in regards to a shooting into an occupied vehicle. One adult and three students were inside the van at the time and were not directly hit by gunfire. However, the driver and a student were taken to the hospital with minor injuries from broken glass. Three other unoccupied cars were also hit by gunfire and one building was hit.</v>
      </c>
      <c r="AA557" s="8"/>
      <c r="AB557" s="8"/>
      <c r="AC557" s="8" t="str">
        <f ca="1">IFERROR(__xludf.DUMMYFUNCTION("""COMPUTED_VALUE"""),"Yes")</f>
        <v>Yes</v>
      </c>
      <c r="AD557" s="8" t="str">
        <f ca="1">IFERROR(__xludf.DUMMYFUNCTION("""COMPUTED_VALUE"""),"Both")</f>
        <v>Both</v>
      </c>
      <c r="AE557" s="8"/>
      <c r="AF557" s="8"/>
      <c r="AG557" s="8" t="str">
        <f ca="1">IFERROR(__xludf.DUMMYFUNCTION("""COMPUTED_VALUE"""),"No")</f>
        <v>No</v>
      </c>
      <c r="AH557" s="8" t="str">
        <f ca="1">IFERROR(__xludf.DUMMYFUNCTION("""COMPUTED_VALUE"""),"No")</f>
        <v>No</v>
      </c>
      <c r="AI557" s="8" t="str">
        <f ca="1">IFERROR(__xludf.DUMMYFUNCTION("""COMPUTED_VALUE"""),"No")</f>
        <v>No</v>
      </c>
      <c r="AJ557" s="8" t="str">
        <f ca="1">IFERROR(__xludf.DUMMYFUNCTION("""COMPUTED_VALUE"""),"No")</f>
        <v>No</v>
      </c>
      <c r="AK557" s="8" t="str">
        <f ca="1">IFERROR(__xludf.DUMMYFUNCTION("""COMPUTED_VALUE"""),"No")</f>
        <v>No</v>
      </c>
      <c r="AL557" s="8"/>
      <c r="AM557" s="8" t="str">
        <f ca="1">IFERROR(__xludf.DUMMYFUNCTION("""COMPUTED_VALUE"""),"No")</f>
        <v>No</v>
      </c>
      <c r="AN557" s="8" t="str">
        <f ca="1">IFERROR(__xludf.DUMMYFUNCTION("""COMPUTED_VALUE"""),"Outside")</f>
        <v>Outside</v>
      </c>
      <c r="AO557" s="8" t="str">
        <f ca="1">IFERROR(__xludf.DUMMYFUNCTION("""COMPUTED_VALUE"""),"No")</f>
        <v>No</v>
      </c>
      <c r="AP557" s="8"/>
      <c r="AQ557" s="8"/>
      <c r="AR557" s="8" t="str">
        <f ca="1">IFERROR(__xludf.DUMMYFUNCTION("""COMPUTED_VALUE"""),"Outside/Off-Property")</f>
        <v>Outside/Off-Property</v>
      </c>
      <c r="AS557" s="8">
        <f ca="1">IFERROR(__xludf.DUMMYFUNCTION("""COMPUTED_VALUE"""),99)</f>
        <v>99</v>
      </c>
      <c r="AT557" s="8" t="str">
        <f ca="1">IFERROR(__xludf.DUMMYFUNCTION("""COMPUTED_VALUE"""),"No")</f>
        <v>No</v>
      </c>
      <c r="AU557" s="8">
        <f ca="1">IFERROR(__xludf.DUMMYFUNCTION("""COMPUTED_VALUE"""),35.755658)</f>
        <v>35.755657999999997</v>
      </c>
      <c r="AV557" s="8">
        <f ca="1">IFERROR(__xludf.DUMMYFUNCTION("""COMPUTED_VALUE"""),-78.615814)</f>
        <v>-78.615814</v>
      </c>
      <c r="AW557" s="8"/>
      <c r="AX557" s="8">
        <f ca="1">IFERROR(__xludf.DUMMYFUNCTION("""COMPUTED_VALUE"""),27610)</f>
        <v>27610</v>
      </c>
    </row>
    <row r="558" spans="1:50" ht="150" x14ac:dyDescent="0.2">
      <c r="A558" s="8" t="str">
        <f ca="1">IFERROR(__xludf.DUMMYFUNCTION("""COMPUTED_VALUE"""),"20231028TXDUS")</f>
        <v>20231028TXDUS</v>
      </c>
      <c r="B558" s="8">
        <f ca="1">IFERROR(__xludf.DUMMYFUNCTION("""COMPUTED_VALUE"""),10)</f>
        <v>10</v>
      </c>
      <c r="C558" s="8">
        <f ca="1">IFERROR(__xludf.DUMMYFUNCTION("""COMPUTED_VALUE"""),28)</f>
        <v>28</v>
      </c>
      <c r="D558" s="8">
        <f ca="1">IFERROR(__xludf.DUMMYFUNCTION("""COMPUTED_VALUE"""),2023)</f>
        <v>2023</v>
      </c>
      <c r="E558" s="9">
        <f ca="1">IFERROR(__xludf.DUMMYFUNCTION("""COMPUTED_VALUE"""),45227)</f>
        <v>45227</v>
      </c>
      <c r="F558" s="8" t="str">
        <f ca="1">IFERROR(__xludf.DUMMYFUNCTION("""COMPUTED_VALUE"""),"Dub Farris Athletic Complex")</f>
        <v>Dub Farris Athletic Complex</v>
      </c>
      <c r="G558" s="8">
        <f ca="1">IFERROR(__xludf.DUMMYFUNCTION("""COMPUTED_VALUE"""),0)</f>
        <v>0</v>
      </c>
      <c r="H558" s="8">
        <f ca="1">IFERROR(__xludf.DUMMYFUNCTION("""COMPUTED_VALUE"""),1)</f>
        <v>1</v>
      </c>
      <c r="I558" s="8">
        <f ca="1">IFERROR(__xludf.DUMMYFUNCTION("""COMPUTED_VALUE"""),1)</f>
        <v>1</v>
      </c>
      <c r="J558" s="8">
        <f ca="1">IFERROR(__xludf.DUMMYFUNCTION("""COMPUTED_VALUE"""),0)</f>
        <v>0</v>
      </c>
      <c r="K558" s="8" t="str">
        <f ca="1">IFERROR(__xludf.DUMMYFUNCTION("""COMPUTED_VALUE"""),"https://www.ksat.com/news/local/2024/05/31/nisd-identifies-woman-shot-by-officer-outside-crowded-football-game/
https://www.ksat.com/news/local/2023/10/28/police-respond-to-shooting-involving-officer-at-dub-farris-athletic-complex/
https://news4sanantonio"&amp;".com/news/local/shooting-crime-people-community-tragic-school-officers-police-bexar-county")</f>
        <v>https://www.ksat.com/news/local/2024/05/31/nisd-identifies-woman-shot-by-officer-outside-crowded-football-game/
https://www.ksat.com/news/local/2023/10/28/police-respond-to-shooting-involving-officer-at-dub-farris-athletic-complex/
https://news4sanantonio.com/news/local/shooting-crime-people-community-tragic-school-officers-police-bexar-county</v>
      </c>
      <c r="L558" s="8">
        <f ca="1">IFERROR(__xludf.DUMMYFUNCTION("""COMPUTED_VALUE"""),2)</f>
        <v>2</v>
      </c>
      <c r="M558" s="8" t="str">
        <f ca="1">IFERROR(__xludf.DUMMYFUNCTION("""COMPUTED_VALUE"""),"Regional")</f>
        <v>Regional</v>
      </c>
      <c r="N558" s="8">
        <f ca="1">IFERROR(__xludf.DUMMYFUNCTION("""COMPUTED_VALUE"""),4)</f>
        <v>4</v>
      </c>
      <c r="O558" s="8" t="str">
        <f ca="1">IFERROR(__xludf.DUMMYFUNCTION("""COMPUTED_VALUE"""),"Fall")</f>
        <v>Fall</v>
      </c>
      <c r="P558" s="8" t="str">
        <f ca="1">IFERROR(__xludf.DUMMYFUNCTION("""COMPUTED_VALUE"""),"San Antonio")</f>
        <v>San Antonio</v>
      </c>
      <c r="Q558" s="8" t="str">
        <f ca="1">IFERROR(__xludf.DUMMYFUNCTION("""COMPUTED_VALUE"""),"TX")</f>
        <v>TX</v>
      </c>
      <c r="R558" s="8" t="str">
        <f ca="1">IFERROR(__xludf.DUMMYFUNCTION("""COMPUTED_VALUE"""),"High")</f>
        <v>High</v>
      </c>
      <c r="S558" s="8" t="str">
        <f ca="1">IFERROR(__xludf.DUMMYFUNCTION("""COMPUTED_VALUE"""),"Parking Lot")</f>
        <v>Parking Lot</v>
      </c>
      <c r="T558" s="8" t="str">
        <f ca="1">IFERROR(__xludf.DUMMYFUNCTION("""COMPUTED_VALUE"""),"Outside on School Property")</f>
        <v>Outside on School Property</v>
      </c>
      <c r="U558" s="8" t="str">
        <f ca="1">IFERROR(__xludf.DUMMYFUNCTION("""COMPUTED_VALUE"""),"No")</f>
        <v>No</v>
      </c>
      <c r="V558" s="8" t="str">
        <f ca="1">IFERROR(__xludf.DUMMYFUNCTION("""COMPUTED_VALUE"""),"Sport Event")</f>
        <v>Sport Event</v>
      </c>
      <c r="W558" s="11">
        <f ca="1">IFERROR(__xludf.DUMMYFUNCTION("""COMPUTED_VALUE"""),0.5625)</f>
        <v>0.5625</v>
      </c>
      <c r="X558" s="8">
        <f ca="1">IFERROR(__xludf.DUMMYFUNCTION("""COMPUTED_VALUE"""),1)</f>
        <v>1</v>
      </c>
      <c r="Y558" s="12" t="str">
        <f ca="1">IFERROR(__xludf.DUMMYFUNCTION("""COMPUTED_VALUE"""),"Officer fired shot at woman inside vehicle in the parking lot during football game")</f>
        <v>Officer fired shot at woman inside vehicle in the parking lot during football game</v>
      </c>
      <c r="Z558" s="12" t="str">
        <f ca="1">IFERROR(__xludf.DUMMYFUNCTION("""COMPUTED_VALUE"""),"A woman was shot by a Northside ISD police officer at a local athletic stadium Saturday afternoon. According to the Northside Independent School District, the shooting occurred near the 8400 block of North Loop 1604 West around 1:30 p.m. Authorities say t"&amp;"hat a woman was acting aggressively while in her car in the stadium parking lot. Officials say that her behavior then drew the attention of NISD police officers who were directing traffic during the event. The woman was allegedly acting belligerent and wa"&amp;"s being aggressive towards an officer.")</f>
        <v>A woman was shot by a Northside ISD police officer at a local athletic stadium Saturday afternoon. According to the Northside Independent School District, the shooting occurred near the 8400 block of North Loop 1604 West around 1:30 p.m. Authorities say that a woman was acting aggressively while in her car in the stadium parking lot. Officials say that her behavior then drew the attention of NISD police officers who were directing traffic during the event. The woman was allegedly acting belligerent and was being aggressive towards an officer.</v>
      </c>
      <c r="AA558" s="8" t="str">
        <f ca="1">IFERROR(__xludf.DUMMYFUNCTION("""COMPUTED_VALUE"""),"Officer-Involved Shooting")</f>
        <v>Officer-Involved Shooting</v>
      </c>
      <c r="AB558" s="8" t="str">
        <f ca="1">IFERROR(__xludf.DUMMYFUNCTION("""COMPUTED_VALUE"""),"Spontaneous")</f>
        <v>Spontaneous</v>
      </c>
      <c r="AC558" s="8" t="str">
        <f ca="1">IFERROR(__xludf.DUMMYFUNCTION("""COMPUTED_VALUE"""),"Yes")</f>
        <v>Yes</v>
      </c>
      <c r="AD558" s="8" t="str">
        <f ca="1">IFERROR(__xludf.DUMMYFUNCTION("""COMPUTED_VALUE"""),"Victims Targeted")</f>
        <v>Victims Targeted</v>
      </c>
      <c r="AE558" s="8" t="str">
        <f ca="1">IFERROR(__xludf.DUMMYFUNCTION("""COMPUTED_VALUE"""),"No")</f>
        <v>No</v>
      </c>
      <c r="AF558" s="8"/>
      <c r="AG558" s="8" t="str">
        <f ca="1">IFERROR(__xludf.DUMMYFUNCTION("""COMPUTED_VALUE"""),"No")</f>
        <v>No</v>
      </c>
      <c r="AH558" s="8" t="str">
        <f ca="1">IFERROR(__xludf.DUMMYFUNCTION("""COMPUTED_VALUE"""),"No")</f>
        <v>No</v>
      </c>
      <c r="AI558" s="8" t="str">
        <f ca="1">IFERROR(__xludf.DUMMYFUNCTION("""COMPUTED_VALUE"""),"No")</f>
        <v>No</v>
      </c>
      <c r="AJ558" s="8" t="str">
        <f ca="1">IFERROR(__xludf.DUMMYFUNCTION("""COMPUTED_VALUE"""),"No")</f>
        <v>No</v>
      </c>
      <c r="AK558" s="8" t="str">
        <f ca="1">IFERROR(__xludf.DUMMYFUNCTION("""COMPUTED_VALUE"""),"No")</f>
        <v>No</v>
      </c>
      <c r="AL558" s="8" t="str">
        <f ca="1">IFERROR(__xludf.DUMMYFUNCTION("""COMPUTED_VALUE"""),"No")</f>
        <v>No</v>
      </c>
      <c r="AM558" s="8" t="str">
        <f ca="1">IFERROR(__xludf.DUMMYFUNCTION("""COMPUTED_VALUE"""),"No")</f>
        <v>No</v>
      </c>
      <c r="AN558" s="8" t="str">
        <f ca="1">IFERROR(__xludf.DUMMYFUNCTION("""COMPUTED_VALUE"""),"Outside")</f>
        <v>Outside</v>
      </c>
      <c r="AO558" s="8" t="str">
        <f ca="1">IFERROR(__xludf.DUMMYFUNCTION("""COMPUTED_VALUE"""),"No")</f>
        <v>No</v>
      </c>
      <c r="AP558" s="8" t="str">
        <f ca="1">IFERROR(__xludf.DUMMYFUNCTION("""COMPUTED_VALUE"""),"Yes")</f>
        <v>Yes</v>
      </c>
      <c r="AQ558" s="8" t="str">
        <f ca="1">IFERROR(__xludf.DUMMYFUNCTION("""COMPUTED_VALUE"""),"Armed Guards")</f>
        <v>Armed Guards</v>
      </c>
      <c r="AR558" s="8" t="str">
        <f ca="1">IFERROR(__xludf.DUMMYFUNCTION("""COMPUTED_VALUE"""),"Outside/Off-Property")</f>
        <v>Outside/Off-Property</v>
      </c>
      <c r="AS558" s="8">
        <f ca="1">IFERROR(__xludf.DUMMYFUNCTION("""COMPUTED_VALUE"""),1)</f>
        <v>1</v>
      </c>
      <c r="AT558" s="8" t="str">
        <f ca="1">IFERROR(__xludf.DUMMYFUNCTION("""COMPUTED_VALUE"""),"No")</f>
        <v>No</v>
      </c>
      <c r="AU558" s="8">
        <f ca="1">IFERROR(__xludf.DUMMYFUNCTION("""COMPUTED_VALUE"""),29.56322)</f>
        <v>29.563220000000001</v>
      </c>
      <c r="AV558" s="8">
        <f ca="1">IFERROR(__xludf.DUMMYFUNCTION("""COMPUTED_VALUE"""),-98.653965)</f>
        <v>-98.653964999999999</v>
      </c>
      <c r="AW558" s="8"/>
      <c r="AX558" s="8">
        <f ca="1">IFERROR(__xludf.DUMMYFUNCTION("""COMPUTED_VALUE"""),78249)</f>
        <v>78249</v>
      </c>
    </row>
    <row r="559" spans="1:50" ht="75" x14ac:dyDescent="0.2">
      <c r="A559" s="8" t="str">
        <f ca="1">IFERROR(__xludf.DUMMYFUNCTION("""COMPUTED_VALUE"""),"20231027LADOD")</f>
        <v>20231027LADOD</v>
      </c>
      <c r="B559" s="8">
        <f ca="1">IFERROR(__xludf.DUMMYFUNCTION("""COMPUTED_VALUE"""),10)</f>
        <v>10</v>
      </c>
      <c r="C559" s="8">
        <f ca="1">IFERROR(__xludf.DUMMYFUNCTION("""COMPUTED_VALUE"""),27)</f>
        <v>27</v>
      </c>
      <c r="D559" s="8">
        <f ca="1">IFERROR(__xludf.DUMMYFUNCTION("""COMPUTED_VALUE"""),2023)</f>
        <v>2023</v>
      </c>
      <c r="E559" s="9">
        <f ca="1">IFERROR(__xludf.DUMMYFUNCTION("""COMPUTED_VALUE"""),45226)</f>
        <v>45226</v>
      </c>
      <c r="F559" s="8" t="str">
        <f ca="1">IFERROR(__xludf.DUMMYFUNCTION("""COMPUTED_VALUE"""),"Donaldsonville High School")</f>
        <v>Donaldsonville High School</v>
      </c>
      <c r="G559" s="8">
        <f ca="1">IFERROR(__xludf.DUMMYFUNCTION("""COMPUTED_VALUE"""),1)</f>
        <v>1</v>
      </c>
      <c r="H559" s="8">
        <f ca="1">IFERROR(__xludf.DUMMYFUNCTION("""COMPUTED_VALUE"""),1)</f>
        <v>1</v>
      </c>
      <c r="I559" s="8">
        <f ca="1">IFERROR(__xludf.DUMMYFUNCTION("""COMPUTED_VALUE"""),2)</f>
        <v>2</v>
      </c>
      <c r="J559" s="8">
        <f ca="1">IFERROR(__xludf.DUMMYFUNCTION("""COMPUTED_VALUE"""),0)</f>
        <v>0</v>
      </c>
      <c r="K559" s="10" t="str">
        <f ca="1">IFERROR(__xludf.DUMMYFUNCTION("""COMPUTED_VALUE"""),"https://www.wafb.com/2023/10/28/apso-1-man-dead-another-injured-shooting-near-donaldsonville-high-football-game/")</f>
        <v>https://www.wafb.com/2023/10/28/apso-1-man-dead-another-injured-shooting-near-donaldsonville-high-football-game/</v>
      </c>
      <c r="L559" s="8">
        <f ca="1">IFERROR(__xludf.DUMMYFUNCTION("""COMPUTED_VALUE"""),5)</f>
        <v>5</v>
      </c>
      <c r="M559" s="8" t="str">
        <f ca="1">IFERROR(__xludf.DUMMYFUNCTION("""COMPUTED_VALUE"""),"Regional")</f>
        <v>Regional</v>
      </c>
      <c r="N559" s="8">
        <f ca="1">IFERROR(__xludf.DUMMYFUNCTION("""COMPUTED_VALUE"""),4)</f>
        <v>4</v>
      </c>
      <c r="O559" s="8" t="str">
        <f ca="1">IFERROR(__xludf.DUMMYFUNCTION("""COMPUTED_VALUE"""),"Fall")</f>
        <v>Fall</v>
      </c>
      <c r="P559" s="8" t="str">
        <f ca="1">IFERROR(__xludf.DUMMYFUNCTION("""COMPUTED_VALUE"""),"Donaldsonville")</f>
        <v>Donaldsonville</v>
      </c>
      <c r="Q559" s="8" t="str">
        <f ca="1">IFERROR(__xludf.DUMMYFUNCTION("""COMPUTED_VALUE"""),"LA")</f>
        <v>LA</v>
      </c>
      <c r="R559" s="8" t="str">
        <f ca="1">IFERROR(__xludf.DUMMYFUNCTION("""COMPUTED_VALUE"""),"High")</f>
        <v>High</v>
      </c>
      <c r="S559" s="8" t="str">
        <f ca="1">IFERROR(__xludf.DUMMYFUNCTION("""COMPUTED_VALUE"""),"Parking Lot")</f>
        <v>Parking Lot</v>
      </c>
      <c r="T559" s="8" t="str">
        <f ca="1">IFERROR(__xludf.DUMMYFUNCTION("""COMPUTED_VALUE"""),"Outside on School Property")</f>
        <v>Outside on School Property</v>
      </c>
      <c r="U559" s="8" t="str">
        <f ca="1">IFERROR(__xludf.DUMMYFUNCTION("""COMPUTED_VALUE"""),"No")</f>
        <v>No</v>
      </c>
      <c r="V559" s="8" t="str">
        <f ca="1">IFERROR(__xludf.DUMMYFUNCTION("""COMPUTED_VALUE"""),"Sport Event")</f>
        <v>Sport Event</v>
      </c>
      <c r="W559" s="11">
        <f ca="1">IFERROR(__xludf.DUMMYFUNCTION("""COMPUTED_VALUE"""),0.847222222222222)</f>
        <v>0.84722222222222199</v>
      </c>
      <c r="X559" s="8">
        <f ca="1">IFERROR(__xludf.DUMMYFUNCTION("""COMPUTED_VALUE"""),1)</f>
        <v>1</v>
      </c>
      <c r="Y559" s="12" t="str">
        <f ca="1">IFERROR(__xludf.DUMMYFUNCTION("""COMPUTED_VALUE"""),"Two non students shot outside football stadium during homecoming game, stadium evacuated")</f>
        <v>Two non students shot outside football stadium during homecoming game, stadium evacuated</v>
      </c>
      <c r="Z559" s="12" t="str">
        <f ca="1">IFERROR(__xludf.DUMMYFUNCTION("""COMPUTED_VALUE"""),"Two non students shot outside Floyd Boutte Stadium during homecoming game, stadium evacuated. Shooter fled. One man was killed, other in critical condition.")</f>
        <v>Two non students shot outside Floyd Boutte Stadium during homecoming game, stadium evacuated. Shooter fled. One man was killed, other in critical condition.</v>
      </c>
      <c r="AA559" s="8"/>
      <c r="AB559" s="8" t="str">
        <f ca="1">IFERROR(__xludf.DUMMYFUNCTION("""COMPUTED_VALUE"""),"Spontaneous")</f>
        <v>Spontaneous</v>
      </c>
      <c r="AC559" s="8" t="str">
        <f ca="1">IFERROR(__xludf.DUMMYFUNCTION("""COMPUTED_VALUE"""),"Yes")</f>
        <v>Yes</v>
      </c>
      <c r="AD559" s="8" t="str">
        <f ca="1">IFERROR(__xludf.DUMMYFUNCTION("""COMPUTED_VALUE"""),"Victims Targeted")</f>
        <v>Victims Targeted</v>
      </c>
      <c r="AE559" s="8" t="str">
        <f ca="1">IFERROR(__xludf.DUMMYFUNCTION("""COMPUTED_VALUE"""),"No")</f>
        <v>No</v>
      </c>
      <c r="AF559" s="8"/>
      <c r="AG559" s="8" t="str">
        <f ca="1">IFERROR(__xludf.DUMMYFUNCTION("""COMPUTED_VALUE"""),"No")</f>
        <v>No</v>
      </c>
      <c r="AH559" s="8" t="str">
        <f ca="1">IFERROR(__xludf.DUMMYFUNCTION("""COMPUTED_VALUE"""),"No")</f>
        <v>No</v>
      </c>
      <c r="AI559" s="8" t="str">
        <f ca="1">IFERROR(__xludf.DUMMYFUNCTION("""COMPUTED_VALUE"""),"No")</f>
        <v>No</v>
      </c>
      <c r="AJ559" s="8" t="str">
        <f ca="1">IFERROR(__xludf.DUMMYFUNCTION("""COMPUTED_VALUE"""),"No")</f>
        <v>No</v>
      </c>
      <c r="AK559" s="8" t="str">
        <f ca="1">IFERROR(__xludf.DUMMYFUNCTION("""COMPUTED_VALUE"""),"No")</f>
        <v>No</v>
      </c>
      <c r="AL559" s="8"/>
      <c r="AM559" s="8" t="str">
        <f ca="1">IFERROR(__xludf.DUMMYFUNCTION("""COMPUTED_VALUE"""),"No")</f>
        <v>No</v>
      </c>
      <c r="AN559" s="8" t="str">
        <f ca="1">IFERROR(__xludf.DUMMYFUNCTION("""COMPUTED_VALUE"""),"Outside")</f>
        <v>Outside</v>
      </c>
      <c r="AO559" s="8" t="str">
        <f ca="1">IFERROR(__xludf.DUMMYFUNCTION("""COMPUTED_VALUE"""),"No")</f>
        <v>No</v>
      </c>
      <c r="AP559" s="8"/>
      <c r="AQ559" s="8"/>
      <c r="AR559" s="8" t="str">
        <f ca="1">IFERROR(__xludf.DUMMYFUNCTION("""COMPUTED_VALUE"""),"Outside/Off-Property")</f>
        <v>Outside/Off-Property</v>
      </c>
      <c r="AS559" s="8">
        <f ca="1">IFERROR(__xludf.DUMMYFUNCTION("""COMPUTED_VALUE"""),99)</f>
        <v>99</v>
      </c>
      <c r="AT559" s="8" t="str">
        <f ca="1">IFERROR(__xludf.DUMMYFUNCTION("""COMPUTED_VALUE"""),"No")</f>
        <v>No</v>
      </c>
      <c r="AU559" s="8">
        <f ca="1">IFERROR(__xludf.DUMMYFUNCTION("""COMPUTED_VALUE"""),30.099443)</f>
        <v>30.099443000000001</v>
      </c>
      <c r="AV559" s="8">
        <f ca="1">IFERROR(__xludf.DUMMYFUNCTION("""COMPUTED_VALUE"""),-90.982625)</f>
        <v>-90.982624999999999</v>
      </c>
      <c r="AW559" s="8"/>
      <c r="AX559" s="8">
        <f ca="1">IFERROR(__xludf.DUMMYFUNCTION("""COMPUTED_VALUE"""),70346)</f>
        <v>70346</v>
      </c>
    </row>
    <row r="560" spans="1:50" ht="240" x14ac:dyDescent="0.2">
      <c r="A560" s="8" t="str">
        <f ca="1">IFERROR(__xludf.DUMMYFUNCTION("""COMPUTED_VALUE"""),"20231027MDCAB")</f>
        <v>20231027MDCAB</v>
      </c>
      <c r="B560" s="8">
        <f ca="1">IFERROR(__xludf.DUMMYFUNCTION("""COMPUTED_VALUE"""),10)</f>
        <v>10</v>
      </c>
      <c r="C560" s="8">
        <f ca="1">IFERROR(__xludf.DUMMYFUNCTION("""COMPUTED_VALUE"""),27)</f>
        <v>27</v>
      </c>
      <c r="D560" s="8">
        <f ca="1">IFERROR(__xludf.DUMMYFUNCTION("""COMPUTED_VALUE"""),2023)</f>
        <v>2023</v>
      </c>
      <c r="E560" s="9">
        <f ca="1">IFERROR(__xludf.DUMMYFUNCTION("""COMPUTED_VALUE"""),45226)</f>
        <v>45226</v>
      </c>
      <c r="F560" s="8" t="str">
        <f ca="1">IFERROR(__xludf.DUMMYFUNCTION("""COMPUTED_VALUE"""),"Carver Vocational-Technical High School")</f>
        <v>Carver Vocational-Technical High School</v>
      </c>
      <c r="G560" s="8">
        <f ca="1">IFERROR(__xludf.DUMMYFUNCTION("""COMPUTED_VALUE"""),0)</f>
        <v>0</v>
      </c>
      <c r="H560" s="8">
        <f ca="1">IFERROR(__xludf.DUMMYFUNCTION("""COMPUTED_VALUE"""),3)</f>
        <v>3</v>
      </c>
      <c r="I560" s="8">
        <f ca="1">IFERROR(__xludf.DUMMYFUNCTION("""COMPUTED_VALUE"""),3)</f>
        <v>3</v>
      </c>
      <c r="J560" s="8">
        <f ca="1">IFERROR(__xludf.DUMMYFUNCTION("""COMPUTED_VALUE"""),0)</f>
        <v>0</v>
      </c>
      <c r="K560" s="10" t="str">
        <f ca="1">IFERROR(__xludf.DUMMYFUNCTION("""COMPUTED_VALUE"""),"https://www.cbsnews.com/baltimore/news/3-students-shot-baltimore-carver-vocational-technical-high-school/
https://abcnews.go.com/US/wireStory/3-teens-shot-wounded-west-baltimore-high-school-104428789")</f>
        <v>https://www.cbsnews.com/baltimore/news/3-students-shot-baltimore-carver-vocational-technical-high-school/
https://abcnews.go.com/US/wireStory/3-teens-shot-wounded-west-baltimore-high-school-104428789</v>
      </c>
      <c r="L560" s="8">
        <f ca="1">IFERROR(__xludf.DUMMYFUNCTION("""COMPUTED_VALUE"""),10)</f>
        <v>10</v>
      </c>
      <c r="M560" s="8" t="str">
        <f ca="1">IFERROR(__xludf.DUMMYFUNCTION("""COMPUTED_VALUE"""),"Local")</f>
        <v>Local</v>
      </c>
      <c r="N560" s="8">
        <f ca="1">IFERROR(__xludf.DUMMYFUNCTION("""COMPUTED_VALUE"""),4)</f>
        <v>4</v>
      </c>
      <c r="O560" s="8" t="str">
        <f ca="1">IFERROR(__xludf.DUMMYFUNCTION("""COMPUTED_VALUE"""),"Fall")</f>
        <v>Fall</v>
      </c>
      <c r="P560" s="8" t="str">
        <f ca="1">IFERROR(__xludf.DUMMYFUNCTION("""COMPUTED_VALUE"""),"Baltimore")</f>
        <v>Baltimore</v>
      </c>
      <c r="Q560" s="8" t="str">
        <f ca="1">IFERROR(__xludf.DUMMYFUNCTION("""COMPUTED_VALUE"""),"MD")</f>
        <v>MD</v>
      </c>
      <c r="R560" s="8" t="str">
        <f ca="1">IFERROR(__xludf.DUMMYFUNCTION("""COMPUTED_VALUE"""),"High")</f>
        <v>High</v>
      </c>
      <c r="S560" s="8" t="str">
        <f ca="1">IFERROR(__xludf.DUMMYFUNCTION("""COMPUTED_VALUE"""),"Front of School")</f>
        <v>Front of School</v>
      </c>
      <c r="T560" s="8" t="str">
        <f ca="1">IFERROR(__xludf.DUMMYFUNCTION("""COMPUTED_VALUE"""),"Outside on School Property")</f>
        <v>Outside on School Property</v>
      </c>
      <c r="U560" s="8" t="str">
        <f ca="1">IFERROR(__xludf.DUMMYFUNCTION("""COMPUTED_VALUE"""),"Yes")</f>
        <v>Yes</v>
      </c>
      <c r="V560" s="8" t="str">
        <f ca="1">IFERROR(__xludf.DUMMYFUNCTION("""COMPUTED_VALUE"""),"School Start")</f>
        <v>School Start</v>
      </c>
      <c r="W560" s="11">
        <f ca="1">IFERROR(__xludf.DUMMYFUNCTION("""COMPUTED_VALUE"""),0.319444444444444)</f>
        <v>0.31944444444444398</v>
      </c>
      <c r="X560" s="8">
        <f ca="1">IFERROR(__xludf.DUMMYFUNCTION("""COMPUTED_VALUE"""),1)</f>
        <v>1</v>
      </c>
      <c r="Y560" s="12" t="str">
        <f ca="1">IFERROR(__xludf.DUMMYFUNCTION("""COMPUTED_VALUE"""),"Three students shot by front door of the school before 1st period class started")</f>
        <v>Three students shot by front door of the school before 1st period class started</v>
      </c>
      <c r="Z560" s="12" t="str">
        <f ca="1">IFERROR(__xludf.DUMMYFUNCTION("""COMPUTED_VALUE"""),"Detectives learned over the course of their investigation that the parents of one of the 15-year-old boys took him to the school to assault someone, according to authorities. The parents of the teen allegedly joined him in the assault, during which time t"&amp;"he teen pistol-whipped his intended victim, police said. The teen then fled from the physical encounter and ran into another 15-year-old boy. They both allegedly engaged in a verbal altercation, pulled out handguns, and started shooting at each other. The"&amp;" two teenagers were injured by the gunfire, and a 16-year-old boy was injured by their crossfire. Following the melee, another student at Carver Vocational-Technical High School grabbed one of the guns that had been used during the shooting and ran off wi"&amp;"th it, police said. The 16-year-old boy was treated for his injuries at a local hospital and then released from that hospital, according to authorities. ")</f>
        <v xml:space="preserve">Detectives learned over the course of their investigation that the parents of one of the 15-year-old boys took him to the school to assault someone, according to authorities. The parents of the teen allegedly joined him in the assault, during which time the teen pistol-whipped his intended victim, police said. The teen then fled from the physical encounter and ran into another 15-year-old boy. They both allegedly engaged in a verbal altercation, pulled out handguns, and started shooting at each other. The two teenagers were injured by the gunfire, and a 16-year-old boy was injured by their crossfire. Following the melee, another student at Carver Vocational-Technical High School grabbed one of the guns that had been used during the shooting and ran off with it, police said. The 16-year-old boy was treated for his injuries at a local hospital and then released from that hospital, according to authorities. </v>
      </c>
      <c r="AA560" s="8" t="str">
        <f ca="1">IFERROR(__xludf.DUMMYFUNCTION("""COMPUTED_VALUE"""),"Escalation of Dispute")</f>
        <v>Escalation of Dispute</v>
      </c>
      <c r="AB560" s="8" t="str">
        <f ca="1">IFERROR(__xludf.DUMMYFUNCTION("""COMPUTED_VALUE"""),"Spontaneous")</f>
        <v>Spontaneous</v>
      </c>
      <c r="AC560" s="8" t="str">
        <f ca="1">IFERROR(__xludf.DUMMYFUNCTION("""COMPUTED_VALUE"""),"Yes")</f>
        <v>Yes</v>
      </c>
      <c r="AD560" s="8" t="str">
        <f ca="1">IFERROR(__xludf.DUMMYFUNCTION("""COMPUTED_VALUE"""),"Both")</f>
        <v>Both</v>
      </c>
      <c r="AE560" s="8" t="str">
        <f ca="1">IFERROR(__xludf.DUMMYFUNCTION("""COMPUTED_VALUE"""),"No")</f>
        <v>No</v>
      </c>
      <c r="AF560" s="8"/>
      <c r="AG560" s="8" t="str">
        <f ca="1">IFERROR(__xludf.DUMMYFUNCTION("""COMPUTED_VALUE"""),"No")</f>
        <v>No</v>
      </c>
      <c r="AH560" s="8" t="str">
        <f ca="1">IFERROR(__xludf.DUMMYFUNCTION("""COMPUTED_VALUE"""),"No")</f>
        <v>No</v>
      </c>
      <c r="AI560" s="8" t="str">
        <f ca="1">IFERROR(__xludf.DUMMYFUNCTION("""COMPUTED_VALUE"""),"No")</f>
        <v>No</v>
      </c>
      <c r="AJ560" s="8" t="str">
        <f ca="1">IFERROR(__xludf.DUMMYFUNCTION("""COMPUTED_VALUE"""),"No")</f>
        <v>No</v>
      </c>
      <c r="AK560" s="8" t="str">
        <f ca="1">IFERROR(__xludf.DUMMYFUNCTION("""COMPUTED_VALUE"""),"No")</f>
        <v>No</v>
      </c>
      <c r="AL560" s="8" t="str">
        <f ca="1">IFERROR(__xludf.DUMMYFUNCTION("""COMPUTED_VALUE"""),"No")</f>
        <v>No</v>
      </c>
      <c r="AM560" s="8" t="str">
        <f ca="1">IFERROR(__xludf.DUMMYFUNCTION("""COMPUTED_VALUE"""),"No")</f>
        <v>No</v>
      </c>
      <c r="AN560" s="8" t="str">
        <f ca="1">IFERROR(__xludf.DUMMYFUNCTION("""COMPUTED_VALUE"""),"Outside")</f>
        <v>Outside</v>
      </c>
      <c r="AO560" s="8" t="str">
        <f ca="1">IFERROR(__xludf.DUMMYFUNCTION("""COMPUTED_VALUE"""),"No")</f>
        <v>No</v>
      </c>
      <c r="AP560" s="8"/>
      <c r="AQ560" s="8"/>
      <c r="AR560" s="8" t="str">
        <f ca="1">IFERROR(__xludf.DUMMYFUNCTION("""COMPUTED_VALUE"""),"Outside/Off-Property")</f>
        <v>Outside/Off-Property</v>
      </c>
      <c r="AS560" s="8">
        <f ca="1">IFERROR(__xludf.DUMMYFUNCTION("""COMPUTED_VALUE"""),99)</f>
        <v>99</v>
      </c>
      <c r="AT560" s="8" t="str">
        <f ca="1">IFERROR(__xludf.DUMMYFUNCTION("""COMPUTED_VALUE"""),"Yes")</f>
        <v>Yes</v>
      </c>
      <c r="AU560" s="8">
        <f ca="1">IFERROR(__xludf.DUMMYFUNCTION("""COMPUTED_VALUE"""),39.304251)</f>
        <v>39.304251000000001</v>
      </c>
      <c r="AV560" s="8">
        <f ca="1">IFERROR(__xludf.DUMMYFUNCTION("""COMPUTED_VALUE"""),-76.652399)</f>
        <v>-76.652399000000003</v>
      </c>
      <c r="AW560" s="8"/>
      <c r="AX560" s="8">
        <f ca="1">IFERROR(__xludf.DUMMYFUNCTION("""COMPUTED_VALUE"""),21217)</f>
        <v>21217</v>
      </c>
    </row>
    <row r="561" spans="1:50" ht="45" x14ac:dyDescent="0.2">
      <c r="A561" s="8" t="str">
        <f ca="1">IFERROR(__xludf.DUMMYFUNCTION("""COMPUTED_VALUE"""),"20231027MIDED")</f>
        <v>20231027MIDED</v>
      </c>
      <c r="B561" s="8">
        <f ca="1">IFERROR(__xludf.DUMMYFUNCTION("""COMPUTED_VALUE"""),10)</f>
        <v>10</v>
      </c>
      <c r="C561" s="8">
        <f ca="1">IFERROR(__xludf.DUMMYFUNCTION("""COMPUTED_VALUE"""),26)</f>
        <v>26</v>
      </c>
      <c r="D561" s="8">
        <f ca="1">IFERROR(__xludf.DUMMYFUNCTION("""COMPUTED_VALUE"""),2023)</f>
        <v>2023</v>
      </c>
      <c r="E561" s="9">
        <f ca="1">IFERROR(__xludf.DUMMYFUNCTION("""COMPUTED_VALUE"""),45225)</f>
        <v>45225</v>
      </c>
      <c r="F561" s="8" t="str">
        <f ca="1">IFERROR(__xludf.DUMMYFUNCTION("""COMPUTED_VALUE"""),"Denby High School")</f>
        <v>Denby High School</v>
      </c>
      <c r="G561" s="8">
        <f ca="1">IFERROR(__xludf.DUMMYFUNCTION("""COMPUTED_VALUE"""),0)</f>
        <v>0</v>
      </c>
      <c r="H561" s="8">
        <f ca="1">IFERROR(__xludf.DUMMYFUNCTION("""COMPUTED_VALUE"""),1)</f>
        <v>1</v>
      </c>
      <c r="I561" s="8">
        <f ca="1">IFERROR(__xludf.DUMMYFUNCTION("""COMPUTED_VALUE"""),1)</f>
        <v>1</v>
      </c>
      <c r="J561" s="8">
        <f ca="1">IFERROR(__xludf.DUMMYFUNCTION("""COMPUTED_VALUE"""),0)</f>
        <v>0</v>
      </c>
      <c r="K561" s="10" t="str">
        <f ca="1">IFERROR(__xludf.DUMMYFUNCTION("""COMPUTED_VALUE"""),"https://www.detroitnews.com/story/news/local/detroit-city/2023/10/27/detroit-teen-shot-near-denby-high-school-thursday-night/71341096007/
https://www.mlive.com/news/2023/10/15-year-old-shot-at-park-outside-a-detroit-high-school.html")</f>
        <v>https://www.detroitnews.com/story/news/local/detroit-city/2023/10/27/detroit-teen-shot-near-denby-high-school-thursday-night/71341096007/
https://www.mlive.com/news/2023/10/15-year-old-shot-at-park-outside-a-detroit-high-school.html</v>
      </c>
      <c r="L561" s="8">
        <f ca="1">IFERROR(__xludf.DUMMYFUNCTION("""COMPUTED_VALUE"""),5)</f>
        <v>5</v>
      </c>
      <c r="M561" s="8" t="str">
        <f ca="1">IFERROR(__xludf.DUMMYFUNCTION("""COMPUTED_VALUE"""),"Local")</f>
        <v>Local</v>
      </c>
      <c r="N561" s="8">
        <f ca="1">IFERROR(__xludf.DUMMYFUNCTION("""COMPUTED_VALUE"""),4)</f>
        <v>4</v>
      </c>
      <c r="O561" s="8" t="str">
        <f ca="1">IFERROR(__xludf.DUMMYFUNCTION("""COMPUTED_VALUE"""),"Fall")</f>
        <v>Fall</v>
      </c>
      <c r="P561" s="8" t="str">
        <f ca="1">IFERROR(__xludf.DUMMYFUNCTION("""COMPUTED_VALUE"""),"Detroit")</f>
        <v>Detroit</v>
      </c>
      <c r="Q561" s="8" t="str">
        <f ca="1">IFERROR(__xludf.DUMMYFUNCTION("""COMPUTED_VALUE"""),"MI")</f>
        <v>MI</v>
      </c>
      <c r="R561" s="8" t="str">
        <f ca="1">IFERROR(__xludf.DUMMYFUNCTION("""COMPUTED_VALUE"""),"High")</f>
        <v>High</v>
      </c>
      <c r="S561" s="8" t="str">
        <f ca="1">IFERROR(__xludf.DUMMYFUNCTION("""COMPUTED_VALUE"""),"Basketball Court")</f>
        <v>Basketball Court</v>
      </c>
      <c r="T561" s="8" t="str">
        <f ca="1">IFERROR(__xludf.DUMMYFUNCTION("""COMPUTED_VALUE"""),"Outside on School Property")</f>
        <v>Outside on School Property</v>
      </c>
      <c r="U561" s="8" t="str">
        <f ca="1">IFERROR(__xludf.DUMMYFUNCTION("""COMPUTED_VALUE"""),"No")</f>
        <v>No</v>
      </c>
      <c r="V561" s="8" t="str">
        <f ca="1">IFERROR(__xludf.DUMMYFUNCTION("""COMPUTED_VALUE"""),"School Event")</f>
        <v>School Event</v>
      </c>
      <c r="W561" s="11">
        <f ca="1">IFERROR(__xludf.DUMMYFUNCTION("""COMPUTED_VALUE"""),0.822916666666666)</f>
        <v>0.82291666666666596</v>
      </c>
      <c r="X561" s="8">
        <f ca="1">IFERROR(__xludf.DUMMYFUNCTION("""COMPUTED_VALUE"""),1)</f>
        <v>1</v>
      </c>
      <c r="Y561" s="12" t="str">
        <f ca="1">IFERROR(__xludf.DUMMYFUNCTION("""COMPUTED_VALUE"""),"Student shot on the athletic fields behind the school")</f>
        <v>Student shot on the athletic fields behind the school</v>
      </c>
      <c r="Z561" s="12" t="str">
        <f ca="1">IFERROR(__xludf.DUMMYFUNCTION("""COMPUTED_VALUE"""),"Student shot on the athletic fields and basketball courts behind the school. Shooter fled.")</f>
        <v>Student shot on the athletic fields and basketball courts behind the school. Shooter fled.</v>
      </c>
      <c r="AA561" s="8"/>
      <c r="AB561" s="8"/>
      <c r="AC561" s="8" t="str">
        <f ca="1">IFERROR(__xludf.DUMMYFUNCTION("""COMPUTED_VALUE"""),"Yes")</f>
        <v>Yes</v>
      </c>
      <c r="AD561" s="8" t="str">
        <f ca="1">IFERROR(__xludf.DUMMYFUNCTION("""COMPUTED_VALUE"""),"Victims Targeted")</f>
        <v>Victims Targeted</v>
      </c>
      <c r="AE561" s="8"/>
      <c r="AF561" s="8"/>
      <c r="AG561" s="8" t="str">
        <f ca="1">IFERROR(__xludf.DUMMYFUNCTION("""COMPUTED_VALUE"""),"No")</f>
        <v>No</v>
      </c>
      <c r="AH561" s="8" t="str">
        <f ca="1">IFERROR(__xludf.DUMMYFUNCTION("""COMPUTED_VALUE"""),"No")</f>
        <v>No</v>
      </c>
      <c r="AI561" s="8" t="str">
        <f ca="1">IFERROR(__xludf.DUMMYFUNCTION("""COMPUTED_VALUE"""),"No")</f>
        <v>No</v>
      </c>
      <c r="AJ561" s="8" t="str">
        <f ca="1">IFERROR(__xludf.DUMMYFUNCTION("""COMPUTED_VALUE"""),"No")</f>
        <v>No</v>
      </c>
      <c r="AK561" s="8" t="str">
        <f ca="1">IFERROR(__xludf.DUMMYFUNCTION("""COMPUTED_VALUE"""),"No")</f>
        <v>No</v>
      </c>
      <c r="AL561" s="8"/>
      <c r="AM561" s="8" t="str">
        <f ca="1">IFERROR(__xludf.DUMMYFUNCTION("""COMPUTED_VALUE"""),"No")</f>
        <v>No</v>
      </c>
      <c r="AN561" s="8" t="str">
        <f ca="1">IFERROR(__xludf.DUMMYFUNCTION("""COMPUTED_VALUE"""),"Outside")</f>
        <v>Outside</v>
      </c>
      <c r="AO561" s="8" t="str">
        <f ca="1">IFERROR(__xludf.DUMMYFUNCTION("""COMPUTED_VALUE"""),"No")</f>
        <v>No</v>
      </c>
      <c r="AP561" s="8"/>
      <c r="AQ561" s="8"/>
      <c r="AR561" s="8" t="str">
        <f ca="1">IFERROR(__xludf.DUMMYFUNCTION("""COMPUTED_VALUE"""),"Outside/Off-Property")</f>
        <v>Outside/Off-Property</v>
      </c>
      <c r="AS561" s="8"/>
      <c r="AT561" s="8" t="str">
        <f ca="1">IFERROR(__xludf.DUMMYFUNCTION("""COMPUTED_VALUE"""),"No")</f>
        <v>No</v>
      </c>
      <c r="AU561" s="8">
        <f ca="1">IFERROR(__xludf.DUMMYFUNCTION("""COMPUTED_VALUE"""),42.426029)</f>
        <v>42.426029</v>
      </c>
      <c r="AV561" s="8">
        <f ca="1">IFERROR(__xludf.DUMMYFUNCTION("""COMPUTED_VALUE"""),-82.957076)</f>
        <v>-82.957076000000001</v>
      </c>
      <c r="AW561" s="8"/>
      <c r="AX561" s="8">
        <f ca="1">IFERROR(__xludf.DUMMYFUNCTION("""COMPUTED_VALUE"""),48224)</f>
        <v>48224</v>
      </c>
    </row>
    <row r="562" spans="1:50" ht="105" x14ac:dyDescent="0.2">
      <c r="A562" s="8" t="str">
        <f ca="1">IFERROR(__xludf.DUMMYFUNCTION("""COMPUTED_VALUE"""),"20231026CALEL")</f>
        <v>20231026CALEL</v>
      </c>
      <c r="B562" s="8">
        <f ca="1">IFERROR(__xludf.DUMMYFUNCTION("""COMPUTED_VALUE"""),10)</f>
        <v>10</v>
      </c>
      <c r="C562" s="8">
        <f ca="1">IFERROR(__xludf.DUMMYFUNCTION("""COMPUTED_VALUE"""),26)</f>
        <v>26</v>
      </c>
      <c r="D562" s="8">
        <f ca="1">IFERROR(__xludf.DUMMYFUNCTION("""COMPUTED_VALUE"""),2023)</f>
        <v>2023</v>
      </c>
      <c r="E562" s="9">
        <f ca="1">IFERROR(__xludf.DUMMYFUNCTION("""COMPUTED_VALUE"""),45225)</f>
        <v>45225</v>
      </c>
      <c r="F562" s="8" t="str">
        <f ca="1">IFERROR(__xludf.DUMMYFUNCTION("""COMPUTED_VALUE"""),"Legacy High School")</f>
        <v>Legacy High School</v>
      </c>
      <c r="G562" s="8">
        <f ca="1">IFERROR(__xludf.DUMMYFUNCTION("""COMPUTED_VALUE"""),0)</f>
        <v>0</v>
      </c>
      <c r="H562" s="8">
        <f ca="1">IFERROR(__xludf.DUMMYFUNCTION("""COMPUTED_VALUE"""),1)</f>
        <v>1</v>
      </c>
      <c r="I562" s="8">
        <f ca="1">IFERROR(__xludf.DUMMYFUNCTION("""COMPUTED_VALUE"""),1)</f>
        <v>1</v>
      </c>
      <c r="J562" s="8">
        <f ca="1">IFERROR(__xludf.DUMMYFUNCTION("""COMPUTED_VALUE"""),0)</f>
        <v>0</v>
      </c>
      <c r="K562" s="10" t="str">
        <f ca="1">IFERROR(__xludf.DUMMYFUNCTION("""COMPUTED_VALUE"""),"https://www.cbsnews.com/losangeles/news/officers-investigate-police-shooting-at-legacy-high-school/")</f>
        <v>https://www.cbsnews.com/losangeles/news/officers-investigate-police-shooting-at-legacy-high-school/</v>
      </c>
      <c r="L562" s="8">
        <f ca="1">IFERROR(__xludf.DUMMYFUNCTION("""COMPUTED_VALUE"""),5)</f>
        <v>5</v>
      </c>
      <c r="M562" s="8" t="str">
        <f ca="1">IFERROR(__xludf.DUMMYFUNCTION("""COMPUTED_VALUE"""),"Local")</f>
        <v>Local</v>
      </c>
      <c r="N562" s="8">
        <f ca="1">IFERROR(__xludf.DUMMYFUNCTION("""COMPUTED_VALUE"""),4)</f>
        <v>4</v>
      </c>
      <c r="O562" s="8" t="str">
        <f ca="1">IFERROR(__xludf.DUMMYFUNCTION("""COMPUTED_VALUE"""),"Fall")</f>
        <v>Fall</v>
      </c>
      <c r="P562" s="8" t="str">
        <f ca="1">IFERROR(__xludf.DUMMYFUNCTION("""COMPUTED_VALUE"""),"Los Angles")</f>
        <v>Los Angles</v>
      </c>
      <c r="Q562" s="8" t="str">
        <f ca="1">IFERROR(__xludf.DUMMYFUNCTION("""COMPUTED_VALUE"""),"CA")</f>
        <v>CA</v>
      </c>
      <c r="R562" s="8" t="str">
        <f ca="1">IFERROR(__xludf.DUMMYFUNCTION("""COMPUTED_VALUE"""),"High")</f>
        <v>High</v>
      </c>
      <c r="S562" s="8" t="str">
        <f ca="1">IFERROR(__xludf.DUMMYFUNCTION("""COMPUTED_VALUE"""),"Parking Lot")</f>
        <v>Parking Lot</v>
      </c>
      <c r="T562" s="8" t="str">
        <f ca="1">IFERROR(__xludf.DUMMYFUNCTION("""COMPUTED_VALUE"""),"Outside on School Property")</f>
        <v>Outside on School Property</v>
      </c>
      <c r="U562" s="8" t="str">
        <f ca="1">IFERROR(__xludf.DUMMYFUNCTION("""COMPUTED_VALUE"""),"No")</f>
        <v>No</v>
      </c>
      <c r="V562" s="8" t="str">
        <f ca="1">IFERROR(__xludf.DUMMYFUNCTION("""COMPUTED_VALUE"""),"Sport Event")</f>
        <v>Sport Event</v>
      </c>
      <c r="W562" s="11">
        <f ca="1">IFERROR(__xludf.DUMMYFUNCTION("""COMPUTED_VALUE"""),0.895833333333333)</f>
        <v>0.89583333333333304</v>
      </c>
      <c r="X562" s="8">
        <f ca="1">IFERROR(__xludf.DUMMYFUNCTION("""COMPUTED_VALUE"""),1)</f>
        <v>1</v>
      </c>
      <c r="Y562" s="12" t="str">
        <f ca="1">IFERROR(__xludf.DUMMYFUNCTION("""COMPUTED_VALUE"""),"Officers fired at vehicle that attempted to strike them in the school parking lot, large crowd leaving football game")</f>
        <v>Officers fired at vehicle that attempted to strike them in the school parking lot, large crowd leaving football game</v>
      </c>
      <c r="Z562" s="12" t="str">
        <f ca="1">IFERROR(__xludf.DUMMYFUNCTION("""COMPUTED_VALUE"""),"The gunfire and the proximity to the campus prompted an active shooter response to the 5200 block of Tweedy Boulevard in South Gate around 9:30 p.m. Thursday. Investigators said the LAUSD police officer at the school opened fire on an SUV that tried to ru"&amp;"n him over after a high school football game. ")</f>
        <v xml:space="preserve">The gunfire and the proximity to the campus prompted an active shooter response to the 5200 block of Tweedy Boulevard in South Gate around 9:30 p.m. Thursday. Investigators said the LAUSD police officer at the school opened fire on an SUV that tried to run him over after a high school football game. </v>
      </c>
      <c r="AA562" s="8" t="str">
        <f ca="1">IFERROR(__xludf.DUMMYFUNCTION("""COMPUTED_VALUE"""),"Officer-Involved Shooting")</f>
        <v>Officer-Involved Shooting</v>
      </c>
      <c r="AB562" s="8" t="str">
        <f ca="1">IFERROR(__xludf.DUMMYFUNCTION("""COMPUTED_VALUE"""),"Spontaneous")</f>
        <v>Spontaneous</v>
      </c>
      <c r="AC562" s="8" t="str">
        <f ca="1">IFERROR(__xludf.DUMMYFUNCTION("""COMPUTED_VALUE"""),"Yes")</f>
        <v>Yes</v>
      </c>
      <c r="AD562" s="8" t="str">
        <f ca="1">IFERROR(__xludf.DUMMYFUNCTION("""COMPUTED_VALUE"""),"Victims Targeted")</f>
        <v>Victims Targeted</v>
      </c>
      <c r="AE562" s="8" t="str">
        <f ca="1">IFERROR(__xludf.DUMMYFUNCTION("""COMPUTED_VALUE"""),"No")</f>
        <v>No</v>
      </c>
      <c r="AF562" s="8"/>
      <c r="AG562" s="8" t="str">
        <f ca="1">IFERROR(__xludf.DUMMYFUNCTION("""COMPUTED_VALUE"""),"No")</f>
        <v>No</v>
      </c>
      <c r="AH562" s="8" t="str">
        <f ca="1">IFERROR(__xludf.DUMMYFUNCTION("""COMPUTED_VALUE"""),"No")</f>
        <v>No</v>
      </c>
      <c r="AI562" s="8" t="str">
        <f ca="1">IFERROR(__xludf.DUMMYFUNCTION("""COMPUTED_VALUE"""),"No")</f>
        <v>No</v>
      </c>
      <c r="AJ562" s="8" t="str">
        <f ca="1">IFERROR(__xludf.DUMMYFUNCTION("""COMPUTED_VALUE"""),"No")</f>
        <v>No</v>
      </c>
      <c r="AK562" s="8" t="str">
        <f ca="1">IFERROR(__xludf.DUMMYFUNCTION("""COMPUTED_VALUE"""),"No")</f>
        <v>No</v>
      </c>
      <c r="AL562" s="8" t="str">
        <f ca="1">IFERROR(__xludf.DUMMYFUNCTION("""COMPUTED_VALUE"""),"No")</f>
        <v>No</v>
      </c>
      <c r="AM562" s="8" t="str">
        <f ca="1">IFERROR(__xludf.DUMMYFUNCTION("""COMPUTED_VALUE"""),"No")</f>
        <v>No</v>
      </c>
      <c r="AN562" s="8" t="str">
        <f ca="1">IFERROR(__xludf.DUMMYFUNCTION("""COMPUTED_VALUE"""),"Outside")</f>
        <v>Outside</v>
      </c>
      <c r="AO562" s="8" t="str">
        <f ca="1">IFERROR(__xludf.DUMMYFUNCTION("""COMPUTED_VALUE"""),"No")</f>
        <v>No</v>
      </c>
      <c r="AP562" s="8" t="str">
        <f ca="1">IFERROR(__xludf.DUMMYFUNCTION("""COMPUTED_VALUE"""),"Yes")</f>
        <v>Yes</v>
      </c>
      <c r="AQ562" s="8" t="str">
        <f ca="1">IFERROR(__xludf.DUMMYFUNCTION("""COMPUTED_VALUE"""),"Armed Guards")</f>
        <v>Armed Guards</v>
      </c>
      <c r="AR562" s="8" t="str">
        <f ca="1">IFERROR(__xludf.DUMMYFUNCTION("""COMPUTED_VALUE"""),"Outside/Off-Property")</f>
        <v>Outside/Off-Property</v>
      </c>
      <c r="AS562" s="8">
        <f ca="1">IFERROR(__xludf.DUMMYFUNCTION("""COMPUTED_VALUE"""),99)</f>
        <v>99</v>
      </c>
      <c r="AT562" s="8" t="str">
        <f ca="1">IFERROR(__xludf.DUMMYFUNCTION("""COMPUTED_VALUE"""),"No")</f>
        <v>No</v>
      </c>
      <c r="AU562" s="8">
        <f ca="1">IFERROR(__xludf.DUMMYFUNCTION("""COMPUTED_VALUE"""),33.940016)</f>
        <v>33.940016</v>
      </c>
      <c r="AV562" s="8">
        <f ca="1">IFERROR(__xludf.DUMMYFUNCTION("""COMPUTED_VALUE"""),-118.178467)</f>
        <v>-118.178467</v>
      </c>
      <c r="AW562" s="8"/>
      <c r="AX562" s="8">
        <f ca="1">IFERROR(__xludf.DUMMYFUNCTION("""COMPUTED_VALUE"""),90280)</f>
        <v>90280</v>
      </c>
    </row>
    <row r="563" spans="1:50" ht="45" x14ac:dyDescent="0.2">
      <c r="A563" s="8" t="str">
        <f ca="1">IFERROR(__xludf.DUMMYFUNCTION("""COMPUTED_VALUE"""),"20231026VTMOM")</f>
        <v>20231026VTMOM</v>
      </c>
      <c r="B563" s="8">
        <f ca="1">IFERROR(__xludf.DUMMYFUNCTION("""COMPUTED_VALUE"""),10)</f>
        <v>10</v>
      </c>
      <c r="C563" s="8">
        <f ca="1">IFERROR(__xludf.DUMMYFUNCTION("""COMPUTED_VALUE"""),26)</f>
        <v>26</v>
      </c>
      <c r="D563" s="8">
        <f ca="1">IFERROR(__xludf.DUMMYFUNCTION("""COMPUTED_VALUE"""),2023)</f>
        <v>2023</v>
      </c>
      <c r="E563" s="9">
        <f ca="1">IFERROR(__xludf.DUMMYFUNCTION("""COMPUTED_VALUE"""),45225)</f>
        <v>45225</v>
      </c>
      <c r="F563" s="8" t="str">
        <f ca="1">IFERROR(__xludf.DUMMYFUNCTION("""COMPUTED_VALUE"""),"Montpelier School Bus")</f>
        <v>Montpelier School Bus</v>
      </c>
      <c r="G563" s="8">
        <f ca="1">IFERROR(__xludf.DUMMYFUNCTION("""COMPUTED_VALUE"""),0)</f>
        <v>0</v>
      </c>
      <c r="H563" s="8">
        <f ca="1">IFERROR(__xludf.DUMMYFUNCTION("""COMPUTED_VALUE"""),0)</f>
        <v>0</v>
      </c>
      <c r="I563" s="8">
        <f ca="1">IFERROR(__xludf.DUMMYFUNCTION("""COMPUTED_VALUE"""),0)</f>
        <v>0</v>
      </c>
      <c r="J563" s="8">
        <f ca="1">IFERROR(__xludf.DUMMYFUNCTION("""COMPUTED_VALUE"""),0)</f>
        <v>0</v>
      </c>
      <c r="K563" s="8" t="str">
        <f ca="1">IFERROR(__xludf.DUMMYFUNCTION("""COMPUTED_VALUE"""),"https://montpelierbridge.org/2023/11/confirmed-school-bus-gunshot-came-from-encampment/
https://www.newportdispatch.com/2023/10/26/school-bus-windshield-shot-out-in-montpelier/")</f>
        <v>https://montpelierbridge.org/2023/11/confirmed-school-bus-gunshot-came-from-encampment/
https://www.newportdispatch.com/2023/10/26/school-bus-windshield-shot-out-in-montpelier/</v>
      </c>
      <c r="L563" s="8">
        <f ca="1">IFERROR(__xludf.DUMMYFUNCTION("""COMPUTED_VALUE"""),10)</f>
        <v>10</v>
      </c>
      <c r="M563" s="8" t="str">
        <f ca="1">IFERROR(__xludf.DUMMYFUNCTION("""COMPUTED_VALUE"""),"Local")</f>
        <v>Local</v>
      </c>
      <c r="N563" s="8">
        <f ca="1">IFERROR(__xludf.DUMMYFUNCTION("""COMPUTED_VALUE"""),4)</f>
        <v>4</v>
      </c>
      <c r="O563" s="8" t="str">
        <f ca="1">IFERROR(__xludf.DUMMYFUNCTION("""COMPUTED_VALUE"""),"Fall")</f>
        <v>Fall</v>
      </c>
      <c r="P563" s="8" t="str">
        <f ca="1">IFERROR(__xludf.DUMMYFUNCTION("""COMPUTED_VALUE"""),"Montpelier")</f>
        <v>Montpelier</v>
      </c>
      <c r="Q563" s="8" t="str">
        <f ca="1">IFERROR(__xludf.DUMMYFUNCTION("""COMPUTED_VALUE"""),"VT")</f>
        <v>VT</v>
      </c>
      <c r="R563" s="8"/>
      <c r="S563" s="8" t="str">
        <f ca="1">IFERROR(__xludf.DUMMYFUNCTION("""COMPUTED_VALUE"""),"School Bus")</f>
        <v>School Bus</v>
      </c>
      <c r="T563" s="8" t="str">
        <f ca="1">IFERROR(__xludf.DUMMYFUNCTION("""COMPUTED_VALUE"""),"School Bus")</f>
        <v>School Bus</v>
      </c>
      <c r="U563" s="8" t="str">
        <f ca="1">IFERROR(__xludf.DUMMYFUNCTION("""COMPUTED_VALUE"""),"Yes")</f>
        <v>Yes</v>
      </c>
      <c r="V563" s="8" t="str">
        <f ca="1">IFERROR(__xludf.DUMMYFUNCTION("""COMPUTED_VALUE"""),"Dismissal")</f>
        <v>Dismissal</v>
      </c>
      <c r="W563" s="11">
        <f ca="1">IFERROR(__xludf.DUMMYFUNCTION("""COMPUTED_VALUE"""),0.641666666666666)</f>
        <v>0.64166666666666605</v>
      </c>
      <c r="X563" s="8">
        <f ca="1">IFERROR(__xludf.DUMMYFUNCTION("""COMPUTED_VALUE"""),1)</f>
        <v>1</v>
      </c>
      <c r="Y563" s="12" t="str">
        <f ca="1">IFERROR(__xludf.DUMMYFUNCTION("""COMPUTED_VALUE"""),"School bus windshield shot with students aboard")</f>
        <v>School bus windshield shot with students aboard</v>
      </c>
      <c r="Z563" s="12" t="str">
        <f ca="1">IFERROR(__xludf.DUMMYFUNCTION("""COMPUTED_VALUE"""),"School bus windshield shot with students aboard. 3 arrested and guns seized from a homeless camp near the shooting location.")</f>
        <v>School bus windshield shot with students aboard. 3 arrested and guns seized from a homeless camp near the shooting location.</v>
      </c>
      <c r="AA563" s="8" t="str">
        <f ca="1">IFERROR(__xludf.DUMMYFUNCTION("""COMPUTED_VALUE"""),"Accidental")</f>
        <v>Accidental</v>
      </c>
      <c r="AB563" s="8" t="str">
        <f ca="1">IFERROR(__xludf.DUMMYFUNCTION("""COMPUTED_VALUE"""),"Spontaneous")</f>
        <v>Spontaneous</v>
      </c>
      <c r="AC563" s="8" t="str">
        <f ca="1">IFERROR(__xludf.DUMMYFUNCTION("""COMPUTED_VALUE"""),"Yes")</f>
        <v>Yes</v>
      </c>
      <c r="AD563" s="8" t="str">
        <f ca="1">IFERROR(__xludf.DUMMYFUNCTION("""COMPUTED_VALUE"""),"Neither")</f>
        <v>Neither</v>
      </c>
      <c r="AE563" s="8"/>
      <c r="AF563" s="8"/>
      <c r="AG563" s="8" t="str">
        <f ca="1">IFERROR(__xludf.DUMMYFUNCTION("""COMPUTED_VALUE"""),"No")</f>
        <v>No</v>
      </c>
      <c r="AH563" s="8" t="str">
        <f ca="1">IFERROR(__xludf.DUMMYFUNCTION("""COMPUTED_VALUE"""),"No")</f>
        <v>No</v>
      </c>
      <c r="AI563" s="8" t="str">
        <f ca="1">IFERROR(__xludf.DUMMYFUNCTION("""COMPUTED_VALUE"""),"No")</f>
        <v>No</v>
      </c>
      <c r="AJ563" s="8" t="str">
        <f ca="1">IFERROR(__xludf.DUMMYFUNCTION("""COMPUTED_VALUE"""),"No")</f>
        <v>No</v>
      </c>
      <c r="AK563" s="8" t="str">
        <f ca="1">IFERROR(__xludf.DUMMYFUNCTION("""COMPUTED_VALUE"""),"No")</f>
        <v>No</v>
      </c>
      <c r="AL563" s="8" t="str">
        <f ca="1">IFERROR(__xludf.DUMMYFUNCTION("""COMPUTED_VALUE"""),"No")</f>
        <v>No</v>
      </c>
      <c r="AM563" s="8" t="str">
        <f ca="1">IFERROR(__xludf.DUMMYFUNCTION("""COMPUTED_VALUE"""),"No")</f>
        <v>No</v>
      </c>
      <c r="AN563" s="8" t="str">
        <f ca="1">IFERROR(__xludf.DUMMYFUNCTION("""COMPUTED_VALUE"""),"Outside")</f>
        <v>Outside</v>
      </c>
      <c r="AO563" s="8" t="str">
        <f ca="1">IFERROR(__xludf.DUMMYFUNCTION("""COMPUTED_VALUE"""),"No")</f>
        <v>No</v>
      </c>
      <c r="AP563" s="8"/>
      <c r="AQ563" s="8"/>
      <c r="AR563" s="8" t="str">
        <f ca="1">IFERROR(__xludf.DUMMYFUNCTION("""COMPUTED_VALUE"""),"Outside/Off-Property")</f>
        <v>Outside/Off-Property</v>
      </c>
      <c r="AS563" s="8">
        <f ca="1">IFERROR(__xludf.DUMMYFUNCTION("""COMPUTED_VALUE"""),1)</f>
        <v>1</v>
      </c>
      <c r="AT563" s="8" t="str">
        <f ca="1">IFERROR(__xludf.DUMMYFUNCTION("""COMPUTED_VALUE"""),"No")</f>
        <v>No</v>
      </c>
      <c r="AU563" s="8">
        <f ca="1">IFERROR(__xludf.DUMMYFUNCTION("""COMPUTED_VALUE"""),44.203161)</f>
        <v>44.203161000000001</v>
      </c>
      <c r="AV563" s="8">
        <f ca="1">IFERROR(__xludf.DUMMYFUNCTION("""COMPUTED_VALUE"""),-72.507661)</f>
        <v>-72.507660999999999</v>
      </c>
      <c r="AW563" s="8"/>
      <c r="AX563" s="8">
        <f ca="1">IFERROR(__xludf.DUMMYFUNCTION("""COMPUTED_VALUE"""),5641)</f>
        <v>5641</v>
      </c>
    </row>
    <row r="564" spans="1:50" ht="45" x14ac:dyDescent="0.2">
      <c r="A564" s="8" t="str">
        <f ca="1">IFERROR(__xludf.DUMMYFUNCTION("""COMPUTED_VALUE"""),"20231026FLNFJ")</f>
        <v>20231026FLNFJ</v>
      </c>
      <c r="B564" s="8">
        <f ca="1">IFERROR(__xludf.DUMMYFUNCTION("""COMPUTED_VALUE"""),10)</f>
        <v>10</v>
      </c>
      <c r="C564" s="8">
        <f ca="1">IFERROR(__xludf.DUMMYFUNCTION("""COMPUTED_VALUE"""),26)</f>
        <v>26</v>
      </c>
      <c r="D564" s="8">
        <f ca="1">IFERROR(__xludf.DUMMYFUNCTION("""COMPUTED_VALUE"""),2023)</f>
        <v>2023</v>
      </c>
      <c r="E564" s="9">
        <f ca="1">IFERROR(__xludf.DUMMYFUNCTION("""COMPUTED_VALUE"""),45225)</f>
        <v>45225</v>
      </c>
      <c r="F564" s="8" t="str">
        <f ca="1">IFERROR(__xludf.DUMMYFUNCTION("""COMPUTED_VALUE"""),"North Florida Educational Institute")</f>
        <v>North Florida Educational Institute</v>
      </c>
      <c r="G564" s="8">
        <f ca="1">IFERROR(__xludf.DUMMYFUNCTION("""COMPUTED_VALUE"""),0)</f>
        <v>0</v>
      </c>
      <c r="H564" s="8">
        <f ca="1">IFERROR(__xludf.DUMMYFUNCTION("""COMPUTED_VALUE"""),1)</f>
        <v>1</v>
      </c>
      <c r="I564" s="8">
        <f ca="1">IFERROR(__xludf.DUMMYFUNCTION("""COMPUTED_VALUE"""),1)</f>
        <v>1</v>
      </c>
      <c r="J564" s="8">
        <f ca="1">IFERROR(__xludf.DUMMYFUNCTION("""COMPUTED_VALUE"""),0)</f>
        <v>0</v>
      </c>
      <c r="K564" s="10" t="str">
        <f ca="1">IFERROR(__xludf.DUMMYFUNCTION("""COMPUTED_VALUE"""),"https://www.news4jax.com/news/local/2023/10/26/mother-shot-as-father-adult-son-struggle-over-gun-in-school-parking-lot-police-say/")</f>
        <v>https://www.news4jax.com/news/local/2023/10/26/mother-shot-as-father-adult-son-struggle-over-gun-in-school-parking-lot-police-say/</v>
      </c>
      <c r="L564" s="8">
        <f ca="1">IFERROR(__xludf.DUMMYFUNCTION("""COMPUTED_VALUE"""),10)</f>
        <v>10</v>
      </c>
      <c r="M564" s="8" t="str">
        <f ca="1">IFERROR(__xludf.DUMMYFUNCTION("""COMPUTED_VALUE"""),"Local")</f>
        <v>Local</v>
      </c>
      <c r="N564" s="8">
        <f ca="1">IFERROR(__xludf.DUMMYFUNCTION("""COMPUTED_VALUE"""),4)</f>
        <v>4</v>
      </c>
      <c r="O564" s="8" t="str">
        <f ca="1">IFERROR(__xludf.DUMMYFUNCTION("""COMPUTED_VALUE"""),"Fall")</f>
        <v>Fall</v>
      </c>
      <c r="P564" s="8" t="str">
        <f ca="1">IFERROR(__xludf.DUMMYFUNCTION("""COMPUTED_VALUE"""),"Jacksonville")</f>
        <v>Jacksonville</v>
      </c>
      <c r="Q564" s="8" t="str">
        <f ca="1">IFERROR(__xludf.DUMMYFUNCTION("""COMPUTED_VALUE"""),"FL")</f>
        <v>FL</v>
      </c>
      <c r="R564" s="8" t="str">
        <f ca="1">IFERROR(__xludf.DUMMYFUNCTION("""COMPUTED_VALUE"""),"Elementary")</f>
        <v>Elementary</v>
      </c>
      <c r="S564" s="8" t="str">
        <f ca="1">IFERROR(__xludf.DUMMYFUNCTION("""COMPUTED_VALUE"""),"Parking Lot")</f>
        <v>Parking Lot</v>
      </c>
      <c r="T564" s="8" t="str">
        <f ca="1">IFERROR(__xludf.DUMMYFUNCTION("""COMPUTED_VALUE"""),"Outside on School Property")</f>
        <v>Outside on School Property</v>
      </c>
      <c r="U564" s="8" t="str">
        <f ca="1">IFERROR(__xludf.DUMMYFUNCTION("""COMPUTED_VALUE"""),"No")</f>
        <v>No</v>
      </c>
      <c r="V564" s="8" t="str">
        <f ca="1">IFERROR(__xludf.DUMMYFUNCTION("""COMPUTED_VALUE"""),"Evening")</f>
        <v>Evening</v>
      </c>
      <c r="W564" s="11">
        <f ca="1">IFERROR(__xludf.DUMMYFUNCTION("""COMPUTED_VALUE"""),0.729166666666666)</f>
        <v>0.72916666666666596</v>
      </c>
      <c r="X564" s="8">
        <f ca="1">IFERROR(__xludf.DUMMYFUNCTION("""COMPUTED_VALUE"""),1)</f>
        <v>1</v>
      </c>
      <c r="Y564" s="12" t="str">
        <f ca="1">IFERROR(__xludf.DUMMYFUNCTION("""COMPUTED_VALUE"""),"Woman shot during fight between father and son")</f>
        <v>Woman shot during fight between father and son</v>
      </c>
      <c r="Z564" s="12" t="str">
        <f ca="1">IFERROR(__xludf.DUMMYFUNCTION("""COMPUTED_VALUE"""),"Mother shot while father and son were in a dispute that turned into a physical struggle over a firearm the father was carrying.")</f>
        <v>Mother shot while father and son were in a dispute that turned into a physical struggle over a firearm the father was carrying.</v>
      </c>
      <c r="AA564" s="8" t="str">
        <f ca="1">IFERROR(__xludf.DUMMYFUNCTION("""COMPUTED_VALUE"""),"Escalation of Dispute")</f>
        <v>Escalation of Dispute</v>
      </c>
      <c r="AB564" s="8" t="str">
        <f ca="1">IFERROR(__xludf.DUMMYFUNCTION("""COMPUTED_VALUE"""),"Spontaneous")</f>
        <v>Spontaneous</v>
      </c>
      <c r="AC564" s="8" t="str">
        <f ca="1">IFERROR(__xludf.DUMMYFUNCTION("""COMPUTED_VALUE"""),"No")</f>
        <v>No</v>
      </c>
      <c r="AD564" s="8" t="str">
        <f ca="1">IFERROR(__xludf.DUMMYFUNCTION("""COMPUTED_VALUE"""),"Victims Targeted")</f>
        <v>Victims Targeted</v>
      </c>
      <c r="AE564" s="8" t="str">
        <f ca="1">IFERROR(__xludf.DUMMYFUNCTION("""COMPUTED_VALUE"""),"No")</f>
        <v>No</v>
      </c>
      <c r="AF564" s="8"/>
      <c r="AG564" s="8" t="str">
        <f ca="1">IFERROR(__xludf.DUMMYFUNCTION("""COMPUTED_VALUE"""),"No")</f>
        <v>No</v>
      </c>
      <c r="AH564" s="8" t="str">
        <f ca="1">IFERROR(__xludf.DUMMYFUNCTION("""COMPUTED_VALUE"""),"No")</f>
        <v>No</v>
      </c>
      <c r="AI564" s="8" t="str">
        <f ca="1">IFERROR(__xludf.DUMMYFUNCTION("""COMPUTED_VALUE"""),"No")</f>
        <v>No</v>
      </c>
      <c r="AJ564" s="8" t="str">
        <f ca="1">IFERROR(__xludf.DUMMYFUNCTION("""COMPUTED_VALUE"""),"No")</f>
        <v>No</v>
      </c>
      <c r="AK564" s="8" t="str">
        <f ca="1">IFERROR(__xludf.DUMMYFUNCTION("""COMPUTED_VALUE"""),"No")</f>
        <v>No</v>
      </c>
      <c r="AL564" s="8" t="str">
        <f ca="1">IFERROR(__xludf.DUMMYFUNCTION("""COMPUTED_VALUE"""),"No")</f>
        <v>No</v>
      </c>
      <c r="AM564" s="8" t="str">
        <f ca="1">IFERROR(__xludf.DUMMYFUNCTION("""COMPUTED_VALUE"""),"No")</f>
        <v>No</v>
      </c>
      <c r="AN564" s="8" t="str">
        <f ca="1">IFERROR(__xludf.DUMMYFUNCTION("""COMPUTED_VALUE"""),"Outside")</f>
        <v>Outside</v>
      </c>
      <c r="AO564" s="8" t="str">
        <f ca="1">IFERROR(__xludf.DUMMYFUNCTION("""COMPUTED_VALUE"""),"No")</f>
        <v>No</v>
      </c>
      <c r="AP564" s="8"/>
      <c r="AQ564" s="8"/>
      <c r="AR564" s="8" t="str">
        <f ca="1">IFERROR(__xludf.DUMMYFUNCTION("""COMPUTED_VALUE"""),"Outside/Off-Property")</f>
        <v>Outside/Off-Property</v>
      </c>
      <c r="AS564" s="8">
        <f ca="1">IFERROR(__xludf.DUMMYFUNCTION("""COMPUTED_VALUE"""),1)</f>
        <v>1</v>
      </c>
      <c r="AT564" s="8" t="str">
        <f ca="1">IFERROR(__xludf.DUMMYFUNCTION("""COMPUTED_VALUE"""),"No")</f>
        <v>No</v>
      </c>
      <c r="AU564" s="8">
        <f ca="1">IFERROR(__xludf.DUMMYFUNCTION("""COMPUTED_VALUE"""),30.307444)</f>
        <v>30.307444</v>
      </c>
      <c r="AV564" s="8">
        <f ca="1">IFERROR(__xludf.DUMMYFUNCTION("""COMPUTED_VALUE"""),-81.759059)</f>
        <v>-81.759058999999993</v>
      </c>
      <c r="AW564" s="8"/>
      <c r="AX564" s="8">
        <f ca="1">IFERROR(__xludf.DUMMYFUNCTION("""COMPUTED_VALUE"""),32099)</f>
        <v>32099</v>
      </c>
    </row>
    <row r="565" spans="1:50" ht="165" x14ac:dyDescent="0.2">
      <c r="A565" s="8" t="str">
        <f ca="1">IFERROR(__xludf.DUMMYFUNCTION("""COMPUTED_VALUE"""),"20231024MDEDW")</f>
        <v>20231024MDEDW</v>
      </c>
      <c r="B565" s="8">
        <f ca="1">IFERROR(__xludf.DUMMYFUNCTION("""COMPUTED_VALUE"""),10)</f>
        <v>10</v>
      </c>
      <c r="C565" s="8">
        <f ca="1">IFERROR(__xludf.DUMMYFUNCTION("""COMPUTED_VALUE"""),24)</f>
        <v>24</v>
      </c>
      <c r="D565" s="8">
        <f ca="1">IFERROR(__xludf.DUMMYFUNCTION("""COMPUTED_VALUE"""),2023)</f>
        <v>2023</v>
      </c>
      <c r="E565" s="9">
        <f ca="1">IFERROR(__xludf.DUMMYFUNCTION("""COMPUTED_VALUE"""),45223)</f>
        <v>45223</v>
      </c>
      <c r="F565" s="8" t="str">
        <f ca="1">IFERROR(__xludf.DUMMYFUNCTION("""COMPUTED_VALUE"""),"Edmondson Heights Elementary School")</f>
        <v>Edmondson Heights Elementary School</v>
      </c>
      <c r="G565" s="8">
        <f ca="1">IFERROR(__xludf.DUMMYFUNCTION("""COMPUTED_VALUE"""),0)</f>
        <v>0</v>
      </c>
      <c r="H565" s="8">
        <f ca="1">IFERROR(__xludf.DUMMYFUNCTION("""COMPUTED_VALUE"""),1)</f>
        <v>1</v>
      </c>
      <c r="I565" s="8">
        <f ca="1">IFERROR(__xludf.DUMMYFUNCTION("""COMPUTED_VALUE"""),1)</f>
        <v>1</v>
      </c>
      <c r="J565" s="8">
        <f ca="1">IFERROR(__xludf.DUMMYFUNCTION("""COMPUTED_VALUE"""),0)</f>
        <v>0</v>
      </c>
      <c r="K565" s="8" t="str">
        <f ca="1">IFERROR(__xludf.DUMMYFUNCTION("""COMPUTED_VALUE"""),"https://www.wbaltv.com/article/matthew-okumodi-charged-edmondson-heights-elementary-school-shooting/45794026#
https://www.wbaltv.com/article/baltimore-county-police-shooting-near-edmondson-heights-elementary-school/45631107#")</f>
        <v>https://www.wbaltv.com/article/matthew-okumodi-charged-edmondson-heights-elementary-school-shooting/45794026#
https://www.wbaltv.com/article/baltimore-county-police-shooting-near-edmondson-heights-elementary-school/45631107#</v>
      </c>
      <c r="L565" s="8">
        <f ca="1">IFERROR(__xludf.DUMMYFUNCTION("""COMPUTED_VALUE"""),2)</f>
        <v>2</v>
      </c>
      <c r="M565" s="8" t="str">
        <f ca="1">IFERROR(__xludf.DUMMYFUNCTION("""COMPUTED_VALUE"""),"Local")</f>
        <v>Local</v>
      </c>
      <c r="N565" s="8">
        <f ca="1">IFERROR(__xludf.DUMMYFUNCTION("""COMPUTED_VALUE"""),4)</f>
        <v>4</v>
      </c>
      <c r="O565" s="8" t="str">
        <f ca="1">IFERROR(__xludf.DUMMYFUNCTION("""COMPUTED_VALUE"""),"Fall")</f>
        <v>Fall</v>
      </c>
      <c r="P565" s="8" t="str">
        <f ca="1">IFERROR(__xludf.DUMMYFUNCTION("""COMPUTED_VALUE"""),"Woodlawn")</f>
        <v>Woodlawn</v>
      </c>
      <c r="Q565" s="8" t="str">
        <f ca="1">IFERROR(__xludf.DUMMYFUNCTION("""COMPUTED_VALUE"""),"MD")</f>
        <v>MD</v>
      </c>
      <c r="R565" s="8" t="str">
        <f ca="1">IFERROR(__xludf.DUMMYFUNCTION("""COMPUTED_VALUE"""),"Elementary")</f>
        <v>Elementary</v>
      </c>
      <c r="S565" s="8" t="str">
        <f ca="1">IFERROR(__xludf.DUMMYFUNCTION("""COMPUTED_VALUE"""),"Playground")</f>
        <v>Playground</v>
      </c>
      <c r="T565" s="8" t="str">
        <f ca="1">IFERROR(__xludf.DUMMYFUNCTION("""COMPUTED_VALUE"""),"Outside on School Property")</f>
        <v>Outside on School Property</v>
      </c>
      <c r="U565" s="8" t="str">
        <f ca="1">IFERROR(__xludf.DUMMYFUNCTION("""COMPUTED_VALUE"""),"Yes")</f>
        <v>Yes</v>
      </c>
      <c r="V565" s="8" t="str">
        <f ca="1">IFERROR(__xludf.DUMMYFUNCTION("""COMPUTED_VALUE"""),"Dismissal")</f>
        <v>Dismissal</v>
      </c>
      <c r="W565" s="11">
        <f ca="1">IFERROR(__xludf.DUMMYFUNCTION("""COMPUTED_VALUE"""),0.642361111111111)</f>
        <v>0.64236111111111105</v>
      </c>
      <c r="X565" s="8">
        <f ca="1">IFERROR(__xludf.DUMMYFUNCTION("""COMPUTED_VALUE"""),1)</f>
        <v>1</v>
      </c>
      <c r="Y565" s="12" t="str">
        <f ca="1">IFERROR(__xludf.DUMMYFUNCTION("""COMPUTED_VALUE"""),"Teen shot on school playground during dismissal")</f>
        <v>Teen shot on school playground during dismissal</v>
      </c>
      <c r="Z565" s="12" t="str">
        <f ca="1">IFERROR(__xludf.DUMMYFUNCTION("""COMPUTED_VALUE"""),"Police said it happened at 3:40 p.m. at the school playground in Woodlawn. Dismissal started at 3:25 p.m. A male teen was found near the school with a gunshot wound. He was taken to a hospital and is in stable condition. ""The children who to go school he"&amp;"re, they were in the process of being dismissed when this happened, so the school was on lockdown, but at that point, most of the kids were already out of the school,"" police spokeswoman Joy Stewart said. Police said that they believe the shooter may hav"&amp;"e been targeting several people from an earlier altercation and the shooting had nothing to do with the school.")</f>
        <v>Police said it happened at 3:40 p.m. at the school playground in Woodlawn. Dismissal started at 3:25 p.m. A male teen was found near the school with a gunshot wound. He was taken to a hospital and is in stable condition. "The children who to go school here, they were in the process of being dismissed when this happened, so the school was on lockdown, but at that point, most of the kids were already out of the school," police spokeswoman Joy Stewart said. Police said that they believe the shooter may have been targeting several people from an earlier altercation and the shooting had nothing to do with the school.</v>
      </c>
      <c r="AA565" s="8" t="str">
        <f ca="1">IFERROR(__xludf.DUMMYFUNCTION("""COMPUTED_VALUE"""),"Escalation of Dispute")</f>
        <v>Escalation of Dispute</v>
      </c>
      <c r="AB565" s="8" t="str">
        <f ca="1">IFERROR(__xludf.DUMMYFUNCTION("""COMPUTED_VALUE"""),"Targeted")</f>
        <v>Targeted</v>
      </c>
      <c r="AC565" s="8" t="str">
        <f ca="1">IFERROR(__xludf.DUMMYFUNCTION("""COMPUTED_VALUE"""),"Yes")</f>
        <v>Yes</v>
      </c>
      <c r="AD565" s="8" t="str">
        <f ca="1">IFERROR(__xludf.DUMMYFUNCTION("""COMPUTED_VALUE"""),"Victims Targeted")</f>
        <v>Victims Targeted</v>
      </c>
      <c r="AE565" s="8" t="str">
        <f ca="1">IFERROR(__xludf.DUMMYFUNCTION("""COMPUTED_VALUE"""),"No")</f>
        <v>No</v>
      </c>
      <c r="AF565" s="8"/>
      <c r="AG565" s="8" t="str">
        <f ca="1">IFERROR(__xludf.DUMMYFUNCTION("""COMPUTED_VALUE"""),"No")</f>
        <v>No</v>
      </c>
      <c r="AH565" s="8" t="str">
        <f ca="1">IFERROR(__xludf.DUMMYFUNCTION("""COMPUTED_VALUE"""),"No")</f>
        <v>No</v>
      </c>
      <c r="AI565" s="8" t="str">
        <f ca="1">IFERROR(__xludf.DUMMYFUNCTION("""COMPUTED_VALUE"""),"No")</f>
        <v>No</v>
      </c>
      <c r="AJ565" s="8" t="str">
        <f ca="1">IFERROR(__xludf.DUMMYFUNCTION("""COMPUTED_VALUE"""),"No")</f>
        <v>No</v>
      </c>
      <c r="AK565" s="8" t="str">
        <f ca="1">IFERROR(__xludf.DUMMYFUNCTION("""COMPUTED_VALUE"""),"No")</f>
        <v>No</v>
      </c>
      <c r="AL565" s="8"/>
      <c r="AM565" s="8" t="str">
        <f ca="1">IFERROR(__xludf.DUMMYFUNCTION("""COMPUTED_VALUE"""),"No")</f>
        <v>No</v>
      </c>
      <c r="AN565" s="8" t="str">
        <f ca="1">IFERROR(__xludf.DUMMYFUNCTION("""COMPUTED_VALUE"""),"Outside")</f>
        <v>Outside</v>
      </c>
      <c r="AO565" s="8" t="str">
        <f ca="1">IFERROR(__xludf.DUMMYFUNCTION("""COMPUTED_VALUE"""),"No")</f>
        <v>No</v>
      </c>
      <c r="AP565" s="8"/>
      <c r="AQ565" s="8"/>
      <c r="AR565" s="8" t="str">
        <f ca="1">IFERROR(__xludf.DUMMYFUNCTION("""COMPUTED_VALUE"""),"Outside/Off-Property")</f>
        <v>Outside/Off-Property</v>
      </c>
      <c r="AS565" s="8">
        <f ca="1">IFERROR(__xludf.DUMMYFUNCTION("""COMPUTED_VALUE"""),99)</f>
        <v>99</v>
      </c>
      <c r="AT565" s="8" t="str">
        <f ca="1">IFERROR(__xludf.DUMMYFUNCTION("""COMPUTED_VALUE"""),"Yes")</f>
        <v>Yes</v>
      </c>
      <c r="AU565" s="8">
        <f ca="1">IFERROR(__xludf.DUMMYFUNCTION("""COMPUTED_VALUE"""),39.298999)</f>
        <v>39.298999000000002</v>
      </c>
      <c r="AV565" s="8">
        <f ca="1">IFERROR(__xludf.DUMMYFUNCTION("""COMPUTED_VALUE"""),-76.719878)</f>
        <v>-76.719877999999994</v>
      </c>
      <c r="AW565" s="8"/>
      <c r="AX565" s="8">
        <f ca="1">IFERROR(__xludf.DUMMYFUNCTION("""COMPUTED_VALUE"""),21235)</f>
        <v>21235</v>
      </c>
    </row>
    <row r="566" spans="1:50" ht="195" x14ac:dyDescent="0.2">
      <c r="A566" s="8" t="str">
        <f ca="1">IFERROR(__xludf.DUMMYFUNCTION("""COMPUTED_VALUE"""),"20231023WIKEG")</f>
        <v>20231023WIKEG</v>
      </c>
      <c r="B566" s="8">
        <f ca="1">IFERROR(__xludf.DUMMYFUNCTION("""COMPUTED_VALUE"""),10)</f>
        <v>10</v>
      </c>
      <c r="C566" s="8">
        <f ca="1">IFERROR(__xludf.DUMMYFUNCTION("""COMPUTED_VALUE"""),23)</f>
        <v>23</v>
      </c>
      <c r="D566" s="8">
        <f ca="1">IFERROR(__xludf.DUMMYFUNCTION("""COMPUTED_VALUE"""),2023)</f>
        <v>2023</v>
      </c>
      <c r="E566" s="9">
        <f ca="1">IFERROR(__xludf.DUMMYFUNCTION("""COMPUTED_VALUE"""),45222)</f>
        <v>45222</v>
      </c>
      <c r="F566" s="8" t="str">
        <f ca="1">IFERROR(__xludf.DUMMYFUNCTION("""COMPUTED_VALUE"""),"Kennedy Middle School")</f>
        <v>Kennedy Middle School</v>
      </c>
      <c r="G566" s="8">
        <f ca="1">IFERROR(__xludf.DUMMYFUNCTION("""COMPUTED_VALUE"""),0)</f>
        <v>0</v>
      </c>
      <c r="H566" s="8">
        <f ca="1">IFERROR(__xludf.DUMMYFUNCTION("""COMPUTED_VALUE"""),0)</f>
        <v>0</v>
      </c>
      <c r="I566" s="8">
        <f ca="1">IFERROR(__xludf.DUMMYFUNCTION("""COMPUTED_VALUE"""),0)</f>
        <v>0</v>
      </c>
      <c r="J566" s="8">
        <f ca="1">IFERROR(__xludf.DUMMYFUNCTION("""COMPUTED_VALUE"""),1)</f>
        <v>1</v>
      </c>
      <c r="K566" s="10" t="str">
        <f ca="1">IFERROR(__xludf.DUMMYFUNCTION("""COMPUTED_VALUE"""),"https://www.wisn.com/article/germantown-school-board-incident-at-kennedy-middle-school/45620245#")</f>
        <v>https://www.wisn.com/article/germantown-school-board-incident-at-kennedy-middle-school/45620245#</v>
      </c>
      <c r="L566" s="8">
        <f ca="1">IFERROR(__xludf.DUMMYFUNCTION("""COMPUTED_VALUE"""),50)</f>
        <v>50</v>
      </c>
      <c r="M566" s="8" t="str">
        <f ca="1">IFERROR(__xludf.DUMMYFUNCTION("""COMPUTED_VALUE"""),"National")</f>
        <v>National</v>
      </c>
      <c r="N566" s="8">
        <f ca="1">IFERROR(__xludf.DUMMYFUNCTION("""COMPUTED_VALUE"""),4)</f>
        <v>4</v>
      </c>
      <c r="O566" s="8" t="str">
        <f ca="1">IFERROR(__xludf.DUMMYFUNCTION("""COMPUTED_VALUE"""),"Fall")</f>
        <v>Fall</v>
      </c>
      <c r="P566" s="8" t="str">
        <f ca="1">IFERROR(__xludf.DUMMYFUNCTION("""COMPUTED_VALUE"""),"Germantown")</f>
        <v>Germantown</v>
      </c>
      <c r="Q566" s="8" t="str">
        <f ca="1">IFERROR(__xludf.DUMMYFUNCTION("""COMPUTED_VALUE"""),"WI")</f>
        <v>WI</v>
      </c>
      <c r="R566" s="8" t="str">
        <f ca="1">IFERROR(__xludf.DUMMYFUNCTION("""COMPUTED_VALUE"""),"Middle")</f>
        <v>Middle</v>
      </c>
      <c r="S566" s="8" t="str">
        <f ca="1">IFERROR(__xludf.DUMMYFUNCTION("""COMPUTED_VALUE"""),"Outside on School Property")</f>
        <v>Outside on School Property</v>
      </c>
      <c r="T566" s="8" t="str">
        <f ca="1">IFERROR(__xludf.DUMMYFUNCTION("""COMPUTED_VALUE"""),"Outside on School Property")</f>
        <v>Outside on School Property</v>
      </c>
      <c r="U566" s="8" t="str">
        <f ca="1">IFERROR(__xludf.DUMMYFUNCTION("""COMPUTED_VALUE"""),"No")</f>
        <v>No</v>
      </c>
      <c r="V566" s="8" t="str">
        <f ca="1">IFERROR(__xludf.DUMMYFUNCTION("""COMPUTED_VALUE"""),"Sport Event")</f>
        <v>Sport Event</v>
      </c>
      <c r="W566" s="11">
        <f ca="1">IFERROR(__xludf.DUMMYFUNCTION("""COMPUTED_VALUE"""),0.770833333333333)</f>
        <v>0.77083333333333304</v>
      </c>
      <c r="X566" s="8">
        <f ca="1">IFERROR(__xludf.DUMMYFUNCTION("""COMPUTED_VALUE"""),1)</f>
        <v>1</v>
      </c>
      <c r="Y566" s="12" t="str">
        <f ca="1">IFERROR(__xludf.DUMMYFUNCTION("""COMPUTED_VALUE"""),"Man climbed onto roof and fired shots are police officers, killed by officers")</f>
        <v>Man climbed onto roof and fired shots are police officers, killed by officers</v>
      </c>
      <c r="Z566" s="12" t="str">
        <f ca="1">IFERROR(__xludf.DUMMYFUNCTION("""COMPUTED_VALUE"""),"The DOJ says Germantown police officers responded to reports of a ""subject acting erratically"" in the parking lot of Kennedy Middle School around 6:30 p.m. on Monday. When police arrived, they say the suspect climbed onto the roof of the school. Officia"&amp;"ls say the suspect then fired at officers as the followed, and the officers returned fire. The DOJ says the suspect was hit by the gunfire and died at the scene. 70 students were inside the school for basketball, cheerleading, and dance team practices. Sc"&amp;"hool went on multi-hour lockdown and students were bused to a elementary school to meet their parents. Classes cancelled the following day. Man identified as 32-year-old combat vet who suffered from severe PTSD.")</f>
        <v>The DOJ says Germantown police officers responded to reports of a "subject acting erratically" in the parking lot of Kennedy Middle School around 6:30 p.m. on Monday. When police arrived, they say the suspect climbed onto the roof of the school. Officials say the suspect then fired at officers as the followed, and the officers returned fire. The DOJ says the suspect was hit by the gunfire and died at the scene. 70 students were inside the school for basketball, cheerleading, and dance team practices. School went on multi-hour lockdown and students were bused to a elementary school to meet their parents. Classes cancelled the following day. Man identified as 32-year-old combat vet who suffered from severe PTSD.</v>
      </c>
      <c r="AA566" s="8" t="str">
        <f ca="1">IFERROR(__xludf.DUMMYFUNCTION("""COMPUTED_VALUE"""),"Psychosis")</f>
        <v>Psychosis</v>
      </c>
      <c r="AB566" s="8" t="str">
        <f ca="1">IFERROR(__xludf.DUMMYFUNCTION("""COMPUTED_VALUE"""),"Spontaneous")</f>
        <v>Spontaneous</v>
      </c>
      <c r="AC566" s="8" t="str">
        <f ca="1">IFERROR(__xludf.DUMMYFUNCTION("""COMPUTED_VALUE"""),"Yes")</f>
        <v>Yes</v>
      </c>
      <c r="AD566" s="8" t="str">
        <f ca="1">IFERROR(__xludf.DUMMYFUNCTION("""COMPUTED_VALUE"""),"Random Shooting")</f>
        <v>Random Shooting</v>
      </c>
      <c r="AE566" s="8" t="str">
        <f ca="1">IFERROR(__xludf.DUMMYFUNCTION("""COMPUTED_VALUE"""),"No")</f>
        <v>No</v>
      </c>
      <c r="AF566" s="8"/>
      <c r="AG566" s="8" t="str">
        <f ca="1">IFERROR(__xludf.DUMMYFUNCTION("""COMPUTED_VALUE"""),"No")</f>
        <v>No</v>
      </c>
      <c r="AH566" s="8" t="str">
        <f ca="1">IFERROR(__xludf.DUMMYFUNCTION("""COMPUTED_VALUE"""),"No")</f>
        <v>No</v>
      </c>
      <c r="AI566" s="8" t="str">
        <f ca="1">IFERROR(__xludf.DUMMYFUNCTION("""COMPUTED_VALUE"""),"No")</f>
        <v>No</v>
      </c>
      <c r="AJ566" s="8" t="str">
        <f ca="1">IFERROR(__xludf.DUMMYFUNCTION("""COMPUTED_VALUE"""),"No")</f>
        <v>No</v>
      </c>
      <c r="AK566" s="8" t="str">
        <f ca="1">IFERROR(__xludf.DUMMYFUNCTION("""COMPUTED_VALUE"""),"No")</f>
        <v>No</v>
      </c>
      <c r="AL566" s="8" t="str">
        <f ca="1">IFERROR(__xludf.DUMMYFUNCTION("""COMPUTED_VALUE"""),"No")</f>
        <v>No</v>
      </c>
      <c r="AM566" s="8" t="str">
        <f ca="1">IFERROR(__xludf.DUMMYFUNCTION("""COMPUTED_VALUE"""),"Yes")</f>
        <v>Yes</v>
      </c>
      <c r="AN566" s="8" t="str">
        <f ca="1">IFERROR(__xludf.DUMMYFUNCTION("""COMPUTED_VALUE"""),"Outside")</f>
        <v>Outside</v>
      </c>
      <c r="AO566" s="8" t="str">
        <f ca="1">IFERROR(__xludf.DUMMYFUNCTION("""COMPUTED_VALUE"""),"No")</f>
        <v>No</v>
      </c>
      <c r="AP566" s="8"/>
      <c r="AQ566" s="8"/>
      <c r="AR566" s="8" t="str">
        <f ca="1">IFERROR(__xludf.DUMMYFUNCTION("""COMPUTED_VALUE"""),"Outside/Off-Property")</f>
        <v>Outside/Off-Property</v>
      </c>
      <c r="AS566" s="8">
        <f ca="1">IFERROR(__xludf.DUMMYFUNCTION("""COMPUTED_VALUE"""),99)</f>
        <v>99</v>
      </c>
      <c r="AT566" s="8" t="str">
        <f ca="1">IFERROR(__xludf.DUMMYFUNCTION("""COMPUTED_VALUE"""),"Yes")</f>
        <v>Yes</v>
      </c>
      <c r="AU566" s="8">
        <f ca="1">IFERROR(__xludf.DUMMYFUNCTION("""COMPUTED_VALUE"""),43.231583)</f>
        <v>43.231583000000001</v>
      </c>
      <c r="AV566" s="8">
        <f ca="1">IFERROR(__xludf.DUMMYFUNCTION("""COMPUTED_VALUE"""),-88.106554)</f>
        <v>-88.106554000000003</v>
      </c>
      <c r="AW566" s="8"/>
      <c r="AX566" s="8">
        <f ca="1">IFERROR(__xludf.DUMMYFUNCTION("""COMPUTED_VALUE"""),53022)</f>
        <v>53022</v>
      </c>
    </row>
    <row r="567" spans="1:50" ht="30" x14ac:dyDescent="0.2">
      <c r="A567" s="8" t="str">
        <f ca="1">IFERROR(__xludf.DUMMYFUNCTION("""COMPUTED_VALUE"""),"20231021OHFAD")</f>
        <v>20231021OHFAD</v>
      </c>
      <c r="B567" s="8">
        <f ca="1">IFERROR(__xludf.DUMMYFUNCTION("""COMPUTED_VALUE"""),10)</f>
        <v>10</v>
      </c>
      <c r="C567" s="8">
        <f ca="1">IFERROR(__xludf.DUMMYFUNCTION("""COMPUTED_VALUE"""),21)</f>
        <v>21</v>
      </c>
      <c r="D567" s="8">
        <f ca="1">IFERROR(__xludf.DUMMYFUNCTION("""COMPUTED_VALUE"""),2023)</f>
        <v>2023</v>
      </c>
      <c r="E567" s="9">
        <f ca="1">IFERROR(__xludf.DUMMYFUNCTION("""COMPUTED_VALUE"""),45220)</f>
        <v>45220</v>
      </c>
      <c r="F567" s="8" t="str">
        <f ca="1">IFERROR(__xludf.DUMMYFUNCTION("""COMPUTED_VALUE"""),"Fairview PreK-6 School")</f>
        <v>Fairview PreK-6 School</v>
      </c>
      <c r="G567" s="8">
        <f ca="1">IFERROR(__xludf.DUMMYFUNCTION("""COMPUTED_VALUE"""),0)</f>
        <v>0</v>
      </c>
      <c r="H567" s="8">
        <f ca="1">IFERROR(__xludf.DUMMYFUNCTION("""COMPUTED_VALUE"""),1)</f>
        <v>1</v>
      </c>
      <c r="I567" s="8">
        <f ca="1">IFERROR(__xludf.DUMMYFUNCTION("""COMPUTED_VALUE"""),1)</f>
        <v>1</v>
      </c>
      <c r="J567" s="8">
        <f ca="1">IFERROR(__xludf.DUMMYFUNCTION("""COMPUTED_VALUE"""),0)</f>
        <v>0</v>
      </c>
      <c r="K567" s="10" t="str">
        <f ca="1">IFERROR(__xludf.DUMMYFUNCTION("""COMPUTED_VALUE"""),"https://www.whio.com/news/local/one-hospitalized-after-shooting-near-local-school-building/6QK6LAE4YRCU7KMYQFG357NCAM/
https://dayton247now.com/news/local/at-least-one-taken-to-hospital-after-shooting-near-school")</f>
        <v>https://www.whio.com/news/local/one-hospitalized-after-shooting-near-local-school-building/6QK6LAE4YRCU7KMYQFG357NCAM/
https://dayton247now.com/news/local/at-least-one-taken-to-hospital-after-shooting-near-school</v>
      </c>
      <c r="L567" s="8">
        <f ca="1">IFERROR(__xludf.DUMMYFUNCTION("""COMPUTED_VALUE"""),2)</f>
        <v>2</v>
      </c>
      <c r="M567" s="8" t="str">
        <f ca="1">IFERROR(__xludf.DUMMYFUNCTION("""COMPUTED_VALUE"""),"Local")</f>
        <v>Local</v>
      </c>
      <c r="N567" s="8">
        <f ca="1">IFERROR(__xludf.DUMMYFUNCTION("""COMPUTED_VALUE"""),3)</f>
        <v>3</v>
      </c>
      <c r="O567" s="8" t="str">
        <f ca="1">IFERROR(__xludf.DUMMYFUNCTION("""COMPUTED_VALUE"""),"Fall")</f>
        <v>Fall</v>
      </c>
      <c r="P567" s="8" t="str">
        <f ca="1">IFERROR(__xludf.DUMMYFUNCTION("""COMPUTED_VALUE"""),"Dayton")</f>
        <v>Dayton</v>
      </c>
      <c r="Q567" s="8" t="str">
        <f ca="1">IFERROR(__xludf.DUMMYFUNCTION("""COMPUTED_VALUE"""),"OH")</f>
        <v>OH</v>
      </c>
      <c r="R567" s="8" t="str">
        <f ca="1">IFERROR(__xludf.DUMMYFUNCTION("""COMPUTED_VALUE"""),"Elementary")</f>
        <v>Elementary</v>
      </c>
      <c r="S567" s="8" t="str">
        <f ca="1">IFERROR(__xludf.DUMMYFUNCTION("""COMPUTED_VALUE"""),"Parking Lot")</f>
        <v>Parking Lot</v>
      </c>
      <c r="T567" s="8" t="str">
        <f ca="1">IFERROR(__xludf.DUMMYFUNCTION("""COMPUTED_VALUE"""),"Outside on School Property")</f>
        <v>Outside on School Property</v>
      </c>
      <c r="U567" s="8" t="str">
        <f ca="1">IFERROR(__xludf.DUMMYFUNCTION("""COMPUTED_VALUE"""),"No")</f>
        <v>No</v>
      </c>
      <c r="V567" s="8" t="str">
        <f ca="1">IFERROR(__xludf.DUMMYFUNCTION("""COMPUTED_VALUE"""),"Evening")</f>
        <v>Evening</v>
      </c>
      <c r="W567" s="11">
        <f ca="1">IFERROR(__xludf.DUMMYFUNCTION("""COMPUTED_VALUE"""),0.797222222222222)</f>
        <v>0.79722222222222205</v>
      </c>
      <c r="X567" s="8">
        <f ca="1">IFERROR(__xludf.DUMMYFUNCTION("""COMPUTED_VALUE"""),1)</f>
        <v>1</v>
      </c>
      <c r="Y567" s="12" t="str">
        <f ca="1">IFERROR(__xludf.DUMMYFUNCTION("""COMPUTED_VALUE"""),"Person shot in school parking lot")</f>
        <v>Person shot in school parking lot</v>
      </c>
      <c r="Z567" s="12" t="str">
        <f ca="1">IFERROR(__xludf.DUMMYFUNCTION("""COMPUTED_VALUE"""),"Person shot in school parking lot")</f>
        <v>Person shot in school parking lot</v>
      </c>
      <c r="AA567" s="8"/>
      <c r="AB567" s="8"/>
      <c r="AC567" s="8" t="str">
        <f ca="1">IFERROR(__xludf.DUMMYFUNCTION("""COMPUTED_VALUE"""),"No")</f>
        <v>No</v>
      </c>
      <c r="AD567" s="8"/>
      <c r="AE567" s="8" t="str">
        <f ca="1">IFERROR(__xludf.DUMMYFUNCTION("""COMPUTED_VALUE"""),"No")</f>
        <v>No</v>
      </c>
      <c r="AF567" s="8"/>
      <c r="AG567" s="8" t="str">
        <f ca="1">IFERROR(__xludf.DUMMYFUNCTION("""COMPUTED_VALUE"""),"No")</f>
        <v>No</v>
      </c>
      <c r="AH567" s="8" t="str">
        <f ca="1">IFERROR(__xludf.DUMMYFUNCTION("""COMPUTED_VALUE"""),"No")</f>
        <v>No</v>
      </c>
      <c r="AI567" s="8" t="str">
        <f ca="1">IFERROR(__xludf.DUMMYFUNCTION("""COMPUTED_VALUE"""),"No")</f>
        <v>No</v>
      </c>
      <c r="AJ567" s="8" t="str">
        <f ca="1">IFERROR(__xludf.DUMMYFUNCTION("""COMPUTED_VALUE"""),"No")</f>
        <v>No</v>
      </c>
      <c r="AK567" s="8" t="str">
        <f ca="1">IFERROR(__xludf.DUMMYFUNCTION("""COMPUTED_VALUE"""),"No")</f>
        <v>No</v>
      </c>
      <c r="AL567" s="8" t="str">
        <f ca="1">IFERROR(__xludf.DUMMYFUNCTION("""COMPUTED_VALUE"""),"No")</f>
        <v>No</v>
      </c>
      <c r="AM567" s="8" t="str">
        <f ca="1">IFERROR(__xludf.DUMMYFUNCTION("""COMPUTED_VALUE"""),"No")</f>
        <v>No</v>
      </c>
      <c r="AN567" s="8" t="str">
        <f ca="1">IFERROR(__xludf.DUMMYFUNCTION("""COMPUTED_VALUE"""),"Outside")</f>
        <v>Outside</v>
      </c>
      <c r="AO567" s="8" t="str">
        <f ca="1">IFERROR(__xludf.DUMMYFUNCTION("""COMPUTED_VALUE"""),"No")</f>
        <v>No</v>
      </c>
      <c r="AP567" s="8"/>
      <c r="AQ567" s="8"/>
      <c r="AR567" s="8" t="str">
        <f ca="1">IFERROR(__xludf.DUMMYFUNCTION("""COMPUTED_VALUE"""),"Outside/Off-Property")</f>
        <v>Outside/Off-Property</v>
      </c>
      <c r="AS567" s="8"/>
      <c r="AT567" s="8" t="str">
        <f ca="1">IFERROR(__xludf.DUMMYFUNCTION("""COMPUTED_VALUE"""),"No")</f>
        <v>No</v>
      </c>
      <c r="AU567" s="8">
        <f ca="1">IFERROR(__xludf.DUMMYFUNCTION("""COMPUTED_VALUE"""),39.790098)</f>
        <v>39.790098</v>
      </c>
      <c r="AV567" s="8">
        <f ca="1">IFERROR(__xludf.DUMMYFUNCTION("""COMPUTED_VALUE"""),-84.229618)</f>
        <v>-84.229618000000002</v>
      </c>
      <c r="AW567" s="8"/>
      <c r="AX567" s="8">
        <f ca="1">IFERROR(__xludf.DUMMYFUNCTION("""COMPUTED_VALUE"""),45406)</f>
        <v>45406</v>
      </c>
    </row>
    <row r="568" spans="1:50" ht="165" x14ac:dyDescent="0.2">
      <c r="A568" s="8" t="str">
        <f ca="1">IFERROR(__xludf.DUMMYFUNCTION("""COMPUTED_VALUE"""),"20231020FLLIT")</f>
        <v>20231020FLLIT</v>
      </c>
      <c r="B568" s="8">
        <f ca="1">IFERROR(__xludf.DUMMYFUNCTION("""COMPUTED_VALUE"""),10)</f>
        <v>10</v>
      </c>
      <c r="C568" s="8">
        <f ca="1">IFERROR(__xludf.DUMMYFUNCTION("""COMPUTED_VALUE"""),20)</f>
        <v>20</v>
      </c>
      <c r="D568" s="8">
        <f ca="1">IFERROR(__xludf.DUMMYFUNCTION("""COMPUTED_VALUE"""),2023)</f>
        <v>2023</v>
      </c>
      <c r="E568" s="9">
        <f ca="1">IFERROR(__xludf.DUMMYFUNCTION("""COMPUTED_VALUE"""),45219)</f>
        <v>45219</v>
      </c>
      <c r="F568" s="8" t="str">
        <f ca="1">IFERROR(__xludf.DUMMYFUNCTION("""COMPUTED_VALUE"""),"Lincoln High School")</f>
        <v>Lincoln High School</v>
      </c>
      <c r="G568" s="8">
        <f ca="1">IFERROR(__xludf.DUMMYFUNCTION("""COMPUTED_VALUE"""),0)</f>
        <v>0</v>
      </c>
      <c r="H568" s="8">
        <f ca="1">IFERROR(__xludf.DUMMYFUNCTION("""COMPUTED_VALUE"""),1)</f>
        <v>1</v>
      </c>
      <c r="I568" s="8">
        <f ca="1">IFERROR(__xludf.DUMMYFUNCTION("""COMPUTED_VALUE"""),1)</f>
        <v>1</v>
      </c>
      <c r="J568" s="8">
        <f ca="1">IFERROR(__xludf.DUMMYFUNCTION("""COMPUTED_VALUE"""),0)</f>
        <v>0</v>
      </c>
      <c r="K568" s="10" t="str">
        <f ca="1">IFERROR(__xludf.DUMMYFUNCTION("""COMPUTED_VALUE"""),"https://www.wctv.tv/2023/10/20/lincoln-high-school-student-arrested-after-bringing-airsoft-rifle-campus/")</f>
        <v>https://www.wctv.tv/2023/10/20/lincoln-high-school-student-arrested-after-bringing-airsoft-rifle-campus/</v>
      </c>
      <c r="L568" s="8">
        <f ca="1">IFERROR(__xludf.DUMMYFUNCTION("""COMPUTED_VALUE"""),3)</f>
        <v>3</v>
      </c>
      <c r="M568" s="8" t="str">
        <f ca="1">IFERROR(__xludf.DUMMYFUNCTION("""COMPUTED_VALUE"""),"Local")</f>
        <v>Local</v>
      </c>
      <c r="N568" s="8">
        <f ca="1">IFERROR(__xludf.DUMMYFUNCTION("""COMPUTED_VALUE"""),4)</f>
        <v>4</v>
      </c>
      <c r="O568" s="8" t="str">
        <f ca="1">IFERROR(__xludf.DUMMYFUNCTION("""COMPUTED_VALUE"""),"Fall")</f>
        <v>Fall</v>
      </c>
      <c r="P568" s="8" t="str">
        <f ca="1">IFERROR(__xludf.DUMMYFUNCTION("""COMPUTED_VALUE"""),"Tallahassee")</f>
        <v>Tallahassee</v>
      </c>
      <c r="Q568" s="8" t="str">
        <f ca="1">IFERROR(__xludf.DUMMYFUNCTION("""COMPUTED_VALUE"""),"FL")</f>
        <v>FL</v>
      </c>
      <c r="R568" s="8" t="str">
        <f ca="1">IFERROR(__xludf.DUMMYFUNCTION("""COMPUTED_VALUE"""),"High")</f>
        <v>High</v>
      </c>
      <c r="S568" s="8" t="str">
        <f ca="1">IFERROR(__xludf.DUMMYFUNCTION("""COMPUTED_VALUE"""),"Parking Lot")</f>
        <v>Parking Lot</v>
      </c>
      <c r="T568" s="8" t="str">
        <f ca="1">IFERROR(__xludf.DUMMYFUNCTION("""COMPUTED_VALUE"""),"Outside on School Property")</f>
        <v>Outside on School Property</v>
      </c>
      <c r="U568" s="8" t="str">
        <f ca="1">IFERROR(__xludf.DUMMYFUNCTION("""COMPUTED_VALUE"""),"Yes")</f>
        <v>Yes</v>
      </c>
      <c r="V568" s="8" t="str">
        <f ca="1">IFERROR(__xludf.DUMMYFUNCTION("""COMPUTED_VALUE"""),"Morning Classes")</f>
        <v>Morning Classes</v>
      </c>
      <c r="W568" s="11">
        <f ca="1">IFERROR(__xludf.DUMMYFUNCTION("""COMPUTED_VALUE"""),0.34375)</f>
        <v>0.34375</v>
      </c>
      <c r="X568" s="8">
        <f ca="1">IFERROR(__xludf.DUMMYFUNCTION("""COMPUTED_VALUE"""),1)</f>
        <v>1</v>
      </c>
      <c r="Y568" s="12" t="str">
        <f ca="1">IFERROR(__xludf.DUMMYFUNCTION("""COMPUTED_VALUE"""),"Student shot classmate with replica AR-15 rifle in parking lot")</f>
        <v>Student shot classmate with replica AR-15 rifle in parking lot</v>
      </c>
      <c r="Z568" s="12" t="str">
        <f ca="1">IFERROR(__xludf.DUMMYFUNCTION("""COMPUTED_VALUE"""),"A Lincoln High School student was arrested Friday morning after they allegedly brought an airsoft gun on campus and fired it at another student, according to the Leon County Sheriff’s Office. LCSO says around 8 a.m. Friday, Lincoln High staff members obse"&amp;"rved a distressed student who informed them they had been shot with an airsoft gun. LCSO’s School Resource deputy on campus arrested the student, who is an 11th grader and transported him to the Juvenile Assessment Center, according to LCSO. He was charge"&amp;"d with felony possession of a dangerous weapon on campus.")</f>
        <v>A Lincoln High School student was arrested Friday morning after they allegedly brought an airsoft gun on campus and fired it at another student, according to the Leon County Sheriff’s Office. LCSO says around 8 a.m. Friday, Lincoln High staff members observed a distressed student who informed them they had been shot with an airsoft gun. LCSO’s School Resource deputy on campus arrested the student, who is an 11th grader and transported him to the Juvenile Assessment Center, according to LCSO. He was charged with felony possession of a dangerous weapon on campus.</v>
      </c>
      <c r="AA568" s="8"/>
      <c r="AB568" s="8" t="str">
        <f ca="1">IFERROR(__xludf.DUMMYFUNCTION("""COMPUTED_VALUE"""),"Targeted")</f>
        <v>Targeted</v>
      </c>
      <c r="AC568" s="8" t="str">
        <f ca="1">IFERROR(__xludf.DUMMYFUNCTION("""COMPUTED_VALUE"""),"Yes")</f>
        <v>Yes</v>
      </c>
      <c r="AD568" s="8" t="str">
        <f ca="1">IFERROR(__xludf.DUMMYFUNCTION("""COMPUTED_VALUE"""),"Victims Targeted")</f>
        <v>Victims Targeted</v>
      </c>
      <c r="AE568" s="8" t="str">
        <f ca="1">IFERROR(__xludf.DUMMYFUNCTION("""COMPUTED_VALUE"""),"No")</f>
        <v>No</v>
      </c>
      <c r="AF568" s="8"/>
      <c r="AG568" s="8" t="str">
        <f ca="1">IFERROR(__xludf.DUMMYFUNCTION("""COMPUTED_VALUE"""),"No")</f>
        <v>No</v>
      </c>
      <c r="AH568" s="8" t="str">
        <f ca="1">IFERROR(__xludf.DUMMYFUNCTION("""COMPUTED_VALUE"""),"No")</f>
        <v>No</v>
      </c>
      <c r="AI568" s="8" t="str">
        <f ca="1">IFERROR(__xludf.DUMMYFUNCTION("""COMPUTED_VALUE"""),"No")</f>
        <v>No</v>
      </c>
      <c r="AJ568" s="8" t="str">
        <f ca="1">IFERROR(__xludf.DUMMYFUNCTION("""COMPUTED_VALUE"""),"No")</f>
        <v>No</v>
      </c>
      <c r="AK568" s="8" t="str">
        <f ca="1">IFERROR(__xludf.DUMMYFUNCTION("""COMPUTED_VALUE"""),"No")</f>
        <v>No</v>
      </c>
      <c r="AL568" s="8" t="str">
        <f ca="1">IFERROR(__xludf.DUMMYFUNCTION("""COMPUTED_VALUE"""),"No")</f>
        <v>No</v>
      </c>
      <c r="AM568" s="8" t="str">
        <f ca="1">IFERROR(__xludf.DUMMYFUNCTION("""COMPUTED_VALUE"""),"No")</f>
        <v>No</v>
      </c>
      <c r="AN568" s="8" t="str">
        <f ca="1">IFERROR(__xludf.DUMMYFUNCTION("""COMPUTED_VALUE"""),"Outside")</f>
        <v>Outside</v>
      </c>
      <c r="AO568" s="8" t="str">
        <f ca="1">IFERROR(__xludf.DUMMYFUNCTION("""COMPUTED_VALUE"""),"No")</f>
        <v>No</v>
      </c>
      <c r="AP568" s="8" t="str">
        <f ca="1">IFERROR(__xludf.DUMMYFUNCTION("""COMPUTED_VALUE"""),"Yes")</f>
        <v>Yes</v>
      </c>
      <c r="AQ568" s="8"/>
      <c r="AR568" s="8" t="str">
        <f ca="1">IFERROR(__xludf.DUMMYFUNCTION("""COMPUTED_VALUE"""),"Outside/Off-Property")</f>
        <v>Outside/Off-Property</v>
      </c>
      <c r="AS568" s="8">
        <f ca="1">IFERROR(__xludf.DUMMYFUNCTION("""COMPUTED_VALUE"""),1)</f>
        <v>1</v>
      </c>
      <c r="AT568" s="8" t="str">
        <f ca="1">IFERROR(__xludf.DUMMYFUNCTION("""COMPUTED_VALUE"""),"No")</f>
        <v>No</v>
      </c>
      <c r="AU568" s="8">
        <f ca="1">IFERROR(__xludf.DUMMYFUNCTION("""COMPUTED_VALUE"""),30.43544)</f>
        <v>30.43544</v>
      </c>
      <c r="AV568" s="8">
        <f ca="1">IFERROR(__xludf.DUMMYFUNCTION("""COMPUTED_VALUE"""),-84.213519)</f>
        <v>-84.213519000000005</v>
      </c>
      <c r="AW568" s="8"/>
      <c r="AX568" s="8">
        <f ca="1">IFERROR(__xludf.DUMMYFUNCTION("""COMPUTED_VALUE"""),32311)</f>
        <v>32311</v>
      </c>
    </row>
    <row r="569" spans="1:50" ht="180" x14ac:dyDescent="0.2">
      <c r="A569" s="8" t="str">
        <f ca="1">IFERROR(__xludf.DUMMYFUNCTION("""COMPUTED_VALUE"""),"20231020FLFAT")</f>
        <v>20231020FLFAT</v>
      </c>
      <c r="B569" s="8">
        <f ca="1">IFERROR(__xludf.DUMMYFUNCTION("""COMPUTED_VALUE"""),10)</f>
        <v>10</v>
      </c>
      <c r="C569" s="8">
        <f ca="1">IFERROR(__xludf.DUMMYFUNCTION("""COMPUTED_VALUE"""),20)</f>
        <v>20</v>
      </c>
      <c r="D569" s="8">
        <f ca="1">IFERROR(__xludf.DUMMYFUNCTION("""COMPUTED_VALUE"""),2023)</f>
        <v>2023</v>
      </c>
      <c r="E569" s="9">
        <f ca="1">IFERROR(__xludf.DUMMYFUNCTION("""COMPUTED_VALUE"""),45219)</f>
        <v>45219</v>
      </c>
      <c r="F569" s="8" t="str">
        <f ca="1">IFERROR(__xludf.DUMMYFUNCTION("""COMPUTED_VALUE"""),"Farnell Middle School")</f>
        <v>Farnell Middle School</v>
      </c>
      <c r="G569" s="8">
        <f ca="1">IFERROR(__xludf.DUMMYFUNCTION("""COMPUTED_VALUE"""),0)</f>
        <v>0</v>
      </c>
      <c r="H569" s="8">
        <f ca="1">IFERROR(__xludf.DUMMYFUNCTION("""COMPUTED_VALUE"""),0)</f>
        <v>0</v>
      </c>
      <c r="I569" s="8">
        <f ca="1">IFERROR(__xludf.DUMMYFUNCTION("""COMPUTED_VALUE"""),0)</f>
        <v>0</v>
      </c>
      <c r="J569" s="8">
        <f ca="1">IFERROR(__xludf.DUMMYFUNCTION("""COMPUTED_VALUE"""),1)</f>
        <v>1</v>
      </c>
      <c r="K569" s="8" t="str">
        <f ca="1">IFERROR(__xludf.DUMMYFUNCTION("""COMPUTED_VALUE"""),"https://teamhcso.com/News/PressRelease/8f12d1de-a566-4f15-89a2-9b00337828f2/en-US
https://www.fox13news.com/news/hillsborough-deputies-investigating-death-at-farnell-middle-school")</f>
        <v>https://teamhcso.com/News/PressRelease/8f12d1de-a566-4f15-89a2-9b00337828f2/en-US
https://www.fox13news.com/news/hillsborough-deputies-investigating-death-at-farnell-middle-school</v>
      </c>
      <c r="L569" s="8">
        <f ca="1">IFERROR(__xludf.DUMMYFUNCTION("""COMPUTED_VALUE"""),20)</f>
        <v>20</v>
      </c>
      <c r="M569" s="8" t="str">
        <f ca="1">IFERROR(__xludf.DUMMYFUNCTION("""COMPUTED_VALUE"""),"Regional")</f>
        <v>Regional</v>
      </c>
      <c r="N569" s="8">
        <f ca="1">IFERROR(__xludf.DUMMYFUNCTION("""COMPUTED_VALUE"""),4)</f>
        <v>4</v>
      </c>
      <c r="O569" s="8" t="str">
        <f ca="1">IFERROR(__xludf.DUMMYFUNCTION("""COMPUTED_VALUE"""),"Fall")</f>
        <v>Fall</v>
      </c>
      <c r="P569" s="8" t="str">
        <f ca="1">IFERROR(__xludf.DUMMYFUNCTION("""COMPUTED_VALUE"""),"Tampa")</f>
        <v>Tampa</v>
      </c>
      <c r="Q569" s="8" t="str">
        <f ca="1">IFERROR(__xludf.DUMMYFUNCTION("""COMPUTED_VALUE"""),"FL")</f>
        <v>FL</v>
      </c>
      <c r="R569" s="8" t="str">
        <f ca="1">IFERROR(__xludf.DUMMYFUNCTION("""COMPUTED_VALUE"""),"Middle")</f>
        <v>Middle</v>
      </c>
      <c r="S569" s="8" t="str">
        <f ca="1">IFERROR(__xludf.DUMMYFUNCTION("""COMPUTED_VALUE"""),"Parking Lot")</f>
        <v>Parking Lot</v>
      </c>
      <c r="T569" s="8" t="str">
        <f ca="1">IFERROR(__xludf.DUMMYFUNCTION("""COMPUTED_VALUE"""),"Outside on School Property")</f>
        <v>Outside on School Property</v>
      </c>
      <c r="U569" s="8" t="str">
        <f ca="1">IFERROR(__xludf.DUMMYFUNCTION("""COMPUTED_VALUE"""),"Yes")</f>
        <v>Yes</v>
      </c>
      <c r="V569" s="8" t="str">
        <f ca="1">IFERROR(__xludf.DUMMYFUNCTION("""COMPUTED_VALUE"""),"School Start")</f>
        <v>School Start</v>
      </c>
      <c r="W569" s="11">
        <f ca="1">IFERROR(__xludf.DUMMYFUNCTION("""COMPUTED_VALUE"""),0.291666666666666)</f>
        <v>0.29166666666666602</v>
      </c>
      <c r="X569" s="8">
        <f ca="1">IFERROR(__xludf.DUMMYFUNCTION("""COMPUTED_VALUE"""),1)</f>
        <v>1</v>
      </c>
      <c r="Y569" s="12" t="str">
        <f ca="1">IFERROR(__xludf.DUMMYFUNCTION("""COMPUTED_VALUE"""),"Ex-husband of teacher killed himself in front of students in the drop off area")</f>
        <v>Ex-husband of teacher killed himself in front of students in the drop off area</v>
      </c>
      <c r="Z569" s="12" t="str">
        <f ca="1">IFERROR(__xludf.DUMMYFUNCTION("""COMPUTED_VALUE"""),"On Friday, October 20, 2023, deputies responded to calls about a shooting that had occurred at Farnell Middle School. When deputies arrived, they located a deceased adult male in the back part of the school. The preliminary investigation shows that a man "&amp;"drove to where students are dropped off by bus and by their parents. As he approached the school building, he took his life with a self-inflicted gunshot wound. Unfortunately, two students were in the vicinity at the time of the shooting and witnessed the"&amp;" incident. Those students ran to the office, where they informed school staff and, using the CENTEGIX System, placed the school on immediate lockdown.")</f>
        <v>On Friday, October 20, 2023, deputies responded to calls about a shooting that had occurred at Farnell Middle School. When deputies arrived, they located a deceased adult male in the back part of the school. The preliminary investigation shows that a man drove to where students are dropped off by bus and by their parents. As he approached the school building, he took his life with a self-inflicted gunshot wound. Unfortunately, two students were in the vicinity at the time of the shooting and witnessed the incident. Those students ran to the office, where they informed school staff and, using the CENTEGIX System, placed the school on immediate lockdown.</v>
      </c>
      <c r="AA569" s="8" t="str">
        <f ca="1">IFERROR(__xludf.DUMMYFUNCTION("""COMPUTED_VALUE"""),"Suicide/Attempted")</f>
        <v>Suicide/Attempted</v>
      </c>
      <c r="AB569" s="8" t="str">
        <f ca="1">IFERROR(__xludf.DUMMYFUNCTION("""COMPUTED_VALUE"""),"Targeted")</f>
        <v>Targeted</v>
      </c>
      <c r="AC569" s="8" t="str">
        <f ca="1">IFERROR(__xludf.DUMMYFUNCTION("""COMPUTED_VALUE"""),"Yes")</f>
        <v>Yes</v>
      </c>
      <c r="AD569" s="8" t="str">
        <f ca="1">IFERROR(__xludf.DUMMYFUNCTION("""COMPUTED_VALUE"""),"Victims Targeted")</f>
        <v>Victims Targeted</v>
      </c>
      <c r="AE569" s="8" t="str">
        <f ca="1">IFERROR(__xludf.DUMMYFUNCTION("""COMPUTED_VALUE"""),"No")</f>
        <v>No</v>
      </c>
      <c r="AF569" s="8"/>
      <c r="AG569" s="8" t="str">
        <f ca="1">IFERROR(__xludf.DUMMYFUNCTION("""COMPUTED_VALUE"""),"No")</f>
        <v>No</v>
      </c>
      <c r="AH569" s="8" t="str">
        <f ca="1">IFERROR(__xludf.DUMMYFUNCTION("""COMPUTED_VALUE"""),"No")</f>
        <v>No</v>
      </c>
      <c r="AI569" s="8" t="str">
        <f ca="1">IFERROR(__xludf.DUMMYFUNCTION("""COMPUTED_VALUE"""),"No")</f>
        <v>No</v>
      </c>
      <c r="AJ569" s="8" t="str">
        <f ca="1">IFERROR(__xludf.DUMMYFUNCTION("""COMPUTED_VALUE"""),"No")</f>
        <v>No</v>
      </c>
      <c r="AK569" s="8" t="str">
        <f ca="1">IFERROR(__xludf.DUMMYFUNCTION("""COMPUTED_VALUE"""),"No")</f>
        <v>No</v>
      </c>
      <c r="AL569" s="8" t="str">
        <f ca="1">IFERROR(__xludf.DUMMYFUNCTION("""COMPUTED_VALUE"""),"No")</f>
        <v>No</v>
      </c>
      <c r="AM569" s="8" t="str">
        <f ca="1">IFERROR(__xludf.DUMMYFUNCTION("""COMPUTED_VALUE"""),"No")</f>
        <v>No</v>
      </c>
      <c r="AN569" s="8" t="str">
        <f ca="1">IFERROR(__xludf.DUMMYFUNCTION("""COMPUTED_VALUE"""),"Outside")</f>
        <v>Outside</v>
      </c>
      <c r="AO569" s="8" t="str">
        <f ca="1">IFERROR(__xludf.DUMMYFUNCTION("""COMPUTED_VALUE"""),"No")</f>
        <v>No</v>
      </c>
      <c r="AP569" s="8" t="str">
        <f ca="1">IFERROR(__xludf.DUMMYFUNCTION("""COMPUTED_VALUE"""),"Yes")</f>
        <v>Yes</v>
      </c>
      <c r="AQ569" s="8"/>
      <c r="AR569" s="8" t="str">
        <f ca="1">IFERROR(__xludf.DUMMYFUNCTION("""COMPUTED_VALUE"""),"Outside/Off-Property")</f>
        <v>Outside/Off-Property</v>
      </c>
      <c r="AS569" s="8">
        <f ca="1">IFERROR(__xludf.DUMMYFUNCTION("""COMPUTED_VALUE"""),1)</f>
        <v>1</v>
      </c>
      <c r="AT569" s="8" t="str">
        <f ca="1">IFERROR(__xludf.DUMMYFUNCTION("""COMPUTED_VALUE"""),"Yes")</f>
        <v>Yes</v>
      </c>
      <c r="AU569" s="8">
        <f ca="1">IFERROR(__xludf.DUMMYFUNCTION("""COMPUTED_VALUE"""),28.07222)</f>
        <v>28.072220000000002</v>
      </c>
      <c r="AV569" s="8">
        <f ca="1">IFERROR(__xludf.DUMMYFUNCTION("""COMPUTED_VALUE"""),-82.635721)</f>
        <v>-82.635721000000004</v>
      </c>
      <c r="AW569" s="8"/>
      <c r="AX569" s="8">
        <f ca="1">IFERROR(__xludf.DUMMYFUNCTION("""COMPUTED_VALUE"""),33626)</f>
        <v>33626</v>
      </c>
    </row>
    <row r="570" spans="1:50" ht="360" x14ac:dyDescent="0.2">
      <c r="A570" s="8" t="str">
        <f ca="1">IFERROR(__xludf.DUMMYFUNCTION("""COMPUTED_VALUE"""),"20231019WAEVV")</f>
        <v>20231019WAEVV</v>
      </c>
      <c r="B570" s="8">
        <f ca="1">IFERROR(__xludf.DUMMYFUNCTION("""COMPUTED_VALUE"""),10)</f>
        <v>10</v>
      </c>
      <c r="C570" s="8">
        <f ca="1">IFERROR(__xludf.DUMMYFUNCTION("""COMPUTED_VALUE"""),19)</f>
        <v>19</v>
      </c>
      <c r="D570" s="8">
        <f ca="1">IFERROR(__xludf.DUMMYFUNCTION("""COMPUTED_VALUE"""),2023)</f>
        <v>2023</v>
      </c>
      <c r="E570" s="9">
        <f ca="1">IFERROR(__xludf.DUMMYFUNCTION("""COMPUTED_VALUE"""),45218)</f>
        <v>45218</v>
      </c>
      <c r="F570" s="8" t="str">
        <f ca="1">IFERROR(__xludf.DUMMYFUNCTION("""COMPUTED_VALUE"""),"Evergreen High School")</f>
        <v>Evergreen High School</v>
      </c>
      <c r="G570" s="8">
        <f ca="1">IFERROR(__xludf.DUMMYFUNCTION("""COMPUTED_VALUE"""),0)</f>
        <v>0</v>
      </c>
      <c r="H570" s="8">
        <f ca="1">IFERROR(__xludf.DUMMYFUNCTION("""COMPUTED_VALUE"""),0)</f>
        <v>0</v>
      </c>
      <c r="I570" s="8">
        <f ca="1">IFERROR(__xludf.DUMMYFUNCTION("""COMPUTED_VALUE"""),0)</f>
        <v>0</v>
      </c>
      <c r="J570" s="8">
        <f ca="1">IFERROR(__xludf.DUMMYFUNCTION("""COMPUTED_VALUE"""),0)</f>
        <v>0</v>
      </c>
      <c r="K570" s="10" t="str">
        <f ca="1">IFERROR(__xludf.DUMMYFUNCTION("""COMPUTED_VALUE"""),"https://www.kptv.com/2023/10/24/district-facing-backlash-communication-over-evergreen-hs-shooting-lockdown/")</f>
        <v>https://www.kptv.com/2023/10/24/district-facing-backlash-communication-over-evergreen-hs-shooting-lockdown/</v>
      </c>
      <c r="L570" s="8">
        <f ca="1">IFERROR(__xludf.DUMMYFUNCTION("""COMPUTED_VALUE"""),10)</f>
        <v>10</v>
      </c>
      <c r="M570" s="8" t="str">
        <f ca="1">IFERROR(__xludf.DUMMYFUNCTION("""COMPUTED_VALUE"""),"Local")</f>
        <v>Local</v>
      </c>
      <c r="N570" s="8">
        <f ca="1">IFERROR(__xludf.DUMMYFUNCTION("""COMPUTED_VALUE"""),4)</f>
        <v>4</v>
      </c>
      <c r="O570" s="8" t="str">
        <f ca="1">IFERROR(__xludf.DUMMYFUNCTION("""COMPUTED_VALUE"""),"Fall")</f>
        <v>Fall</v>
      </c>
      <c r="P570" s="8" t="str">
        <f ca="1">IFERROR(__xludf.DUMMYFUNCTION("""COMPUTED_VALUE"""),"Vancouver")</f>
        <v>Vancouver</v>
      </c>
      <c r="Q570" s="8" t="str">
        <f ca="1">IFERROR(__xludf.DUMMYFUNCTION("""COMPUTED_VALUE"""),"WA")</f>
        <v>WA</v>
      </c>
      <c r="R570" s="8" t="str">
        <f ca="1">IFERROR(__xludf.DUMMYFUNCTION("""COMPUTED_VALUE"""),"High")</f>
        <v>High</v>
      </c>
      <c r="S570" s="8" t="str">
        <f ca="1">IFERROR(__xludf.DUMMYFUNCTION("""COMPUTED_VALUE"""),"Football Field/Track")</f>
        <v>Football Field/Track</v>
      </c>
      <c r="T570" s="8" t="str">
        <f ca="1">IFERROR(__xludf.DUMMYFUNCTION("""COMPUTED_VALUE"""),"Outside on School Property")</f>
        <v>Outside on School Property</v>
      </c>
      <c r="U570" s="8" t="str">
        <f ca="1">IFERROR(__xludf.DUMMYFUNCTION("""COMPUTED_VALUE"""),"Yes")</f>
        <v>Yes</v>
      </c>
      <c r="V570" s="8" t="str">
        <f ca="1">IFERROR(__xludf.DUMMYFUNCTION("""COMPUTED_VALUE"""),"Afternoon Classes")</f>
        <v>Afternoon Classes</v>
      </c>
      <c r="W570" s="11">
        <f ca="1">IFERROR(__xludf.DUMMYFUNCTION("""COMPUTED_VALUE"""),0.5625)</f>
        <v>0.5625</v>
      </c>
      <c r="X570" s="8">
        <f ca="1">IFERROR(__xludf.DUMMYFUNCTION("""COMPUTED_VALUE"""),1)</f>
        <v>1</v>
      </c>
      <c r="Y570" s="12" t="str">
        <f ca="1">IFERROR(__xludf.DUMMYFUNCTION("""COMPUTED_VALUE"""),"Student fired shots on football field following fight during lunch in school courtyard")</f>
        <v>Student fired shots on football field following fight during lunch in school courtyard</v>
      </c>
      <c r="Z570" s="12" t="str">
        <f ca="1">IFERROR(__xludf.DUMMYFUNCTION("""COMPUTED_VALUE"""),"“There were bullets going through our campus,” said Charles “Chuck” Keplar, a paraeducator, football coach, and parent at Evergreen High School, who is also running for a position on the school board. “I know there were kids out there playing soccer, eati"&amp;"ng lunch, that is the line of fire.” According to the probable cause affidavit, Vancouver police said they responded to Evergreen High School last Thursday around 1:30 p.m. Upon arriving, officers were flagged down between the school and football field, a"&amp;"nd authorities said they found multiple shell casings and unfired rounds on the ground. VPD said they arrested 16-year-old Kikarson Asan at the “edge of the school property,” who was identified by school staff as the person allegedly responsible. Asan is "&amp;"facing charges including assault, unlawful possession of a firearm, and possession of a dangerous weapon on school grounds. “This was 100% a student that through Thursday night was enrolled and actively coming to Evergreen HS. I have had interactions with"&amp;" this student at least a dozen times this year,” Keplar said. As the investigation continues, community members said they're disappointed by what they're calling a lack of transparency and urgency from the district. Nobody was injured in the shooting, but"&amp;" people said the incident escalated after a fight broke out at the high school.")</f>
        <v>“There were bullets going through our campus,” said Charles “Chuck” Keplar, a paraeducator, football coach, and parent at Evergreen High School, who is also running for a position on the school board. “I know there were kids out there playing soccer, eating lunch, that is the line of fire.” According to the probable cause affidavit, Vancouver police said they responded to Evergreen High School last Thursday around 1:30 p.m. Upon arriving, officers were flagged down between the school and football field, and authorities said they found multiple shell casings and unfired rounds on the ground. VPD said they arrested 16-year-old Kikarson Asan at the “edge of the school property,” who was identified by school staff as the person allegedly responsible. Asan is facing charges including assault, unlawful possession of a firearm, and possession of a dangerous weapon on school grounds. “This was 100% a student that through Thursday night was enrolled and actively coming to Evergreen HS. I have had interactions with this student at least a dozen times this year,” Keplar said. As the investigation continues, community members said they're disappointed by what they're calling a lack of transparency and urgency from the district. Nobody was injured in the shooting, but people said the incident escalated after a fight broke out at the high school.</v>
      </c>
      <c r="AA570" s="8" t="str">
        <f ca="1">IFERROR(__xludf.DUMMYFUNCTION("""COMPUTED_VALUE"""),"Escalation of Dispute")</f>
        <v>Escalation of Dispute</v>
      </c>
      <c r="AB570" s="8" t="str">
        <f ca="1">IFERROR(__xludf.DUMMYFUNCTION("""COMPUTED_VALUE"""),"Spontaneous")</f>
        <v>Spontaneous</v>
      </c>
      <c r="AC570" s="8" t="str">
        <f ca="1">IFERROR(__xludf.DUMMYFUNCTION("""COMPUTED_VALUE"""),"Yes")</f>
        <v>Yes</v>
      </c>
      <c r="AD570" s="8" t="str">
        <f ca="1">IFERROR(__xludf.DUMMYFUNCTION("""COMPUTED_VALUE"""),"Victims Targeted")</f>
        <v>Victims Targeted</v>
      </c>
      <c r="AE570" s="8" t="str">
        <f ca="1">IFERROR(__xludf.DUMMYFUNCTION("""COMPUTED_VALUE"""),"No")</f>
        <v>No</v>
      </c>
      <c r="AF570" s="8"/>
      <c r="AG570" s="8" t="str">
        <f ca="1">IFERROR(__xludf.DUMMYFUNCTION("""COMPUTED_VALUE"""),"No")</f>
        <v>No</v>
      </c>
      <c r="AH570" s="8" t="str">
        <f ca="1">IFERROR(__xludf.DUMMYFUNCTION("""COMPUTED_VALUE"""),"No")</f>
        <v>No</v>
      </c>
      <c r="AI570" s="8" t="str">
        <f ca="1">IFERROR(__xludf.DUMMYFUNCTION("""COMPUTED_VALUE"""),"No")</f>
        <v>No</v>
      </c>
      <c r="AJ570" s="8" t="str">
        <f ca="1">IFERROR(__xludf.DUMMYFUNCTION("""COMPUTED_VALUE"""),"No")</f>
        <v>No</v>
      </c>
      <c r="AK570" s="8" t="str">
        <f ca="1">IFERROR(__xludf.DUMMYFUNCTION("""COMPUTED_VALUE"""),"No")</f>
        <v>No</v>
      </c>
      <c r="AL570" s="8" t="str">
        <f ca="1">IFERROR(__xludf.DUMMYFUNCTION("""COMPUTED_VALUE"""),"Yes")</f>
        <v>Yes</v>
      </c>
      <c r="AM570" s="8" t="str">
        <f ca="1">IFERROR(__xludf.DUMMYFUNCTION("""COMPUTED_VALUE"""),"No")</f>
        <v>No</v>
      </c>
      <c r="AN570" s="8" t="str">
        <f ca="1">IFERROR(__xludf.DUMMYFUNCTION("""COMPUTED_VALUE"""),"Outside")</f>
        <v>Outside</v>
      </c>
      <c r="AO570" s="8" t="str">
        <f ca="1">IFERROR(__xludf.DUMMYFUNCTION("""COMPUTED_VALUE"""),"No")</f>
        <v>No</v>
      </c>
      <c r="AP570" s="8"/>
      <c r="AQ570" s="8"/>
      <c r="AR570" s="8" t="str">
        <f ca="1">IFERROR(__xludf.DUMMYFUNCTION("""COMPUTED_VALUE"""),"Outside/Off-Property")</f>
        <v>Outside/Off-Property</v>
      </c>
      <c r="AS570" s="8">
        <f ca="1">IFERROR(__xludf.DUMMYFUNCTION("""COMPUTED_VALUE"""),99)</f>
        <v>99</v>
      </c>
      <c r="AT570" s="8" t="str">
        <f ca="1">IFERROR(__xludf.DUMMYFUNCTION("""COMPUTED_VALUE"""),"Yes")</f>
        <v>Yes</v>
      </c>
      <c r="AU570" s="8">
        <f ca="1">IFERROR(__xludf.DUMMYFUNCTION("""COMPUTED_VALUE"""),45.636314)</f>
        <v>45.636313999999999</v>
      </c>
      <c r="AV570" s="8">
        <f ca="1">IFERROR(__xludf.DUMMYFUNCTION("""COMPUTED_VALUE"""),-122.525282)</f>
        <v>-122.525282</v>
      </c>
      <c r="AW570" s="8"/>
      <c r="AX570" s="8">
        <f ca="1">IFERROR(__xludf.DUMMYFUNCTION("""COMPUTED_VALUE"""),98684)</f>
        <v>98684</v>
      </c>
    </row>
    <row r="571" spans="1:50" ht="75" x14ac:dyDescent="0.2">
      <c r="A571" s="8" t="str">
        <f ca="1">IFERROR(__xludf.DUMMYFUNCTION("""COMPUTED_VALUE"""),"20231019ILMAC")</f>
        <v>20231019ILMAC</v>
      </c>
      <c r="B571" s="8">
        <f ca="1">IFERROR(__xludf.DUMMYFUNCTION("""COMPUTED_VALUE"""),10)</f>
        <v>10</v>
      </c>
      <c r="C571" s="8">
        <f ca="1">IFERROR(__xludf.DUMMYFUNCTION("""COMPUTED_VALUE"""),19)</f>
        <v>19</v>
      </c>
      <c r="D571" s="8">
        <f ca="1">IFERROR(__xludf.DUMMYFUNCTION("""COMPUTED_VALUE"""),2023)</f>
        <v>2023</v>
      </c>
      <c r="E571" s="9">
        <f ca="1">IFERROR(__xludf.DUMMYFUNCTION("""COMPUTED_VALUE"""),45218)</f>
        <v>45218</v>
      </c>
      <c r="F571" s="8" t="str">
        <f ca="1">IFERROR(__xludf.DUMMYFUNCTION("""COMPUTED_VALUE"""),"Mather High School")</f>
        <v>Mather High School</v>
      </c>
      <c r="G571" s="8">
        <f ca="1">IFERROR(__xludf.DUMMYFUNCTION("""COMPUTED_VALUE"""),0)</f>
        <v>0</v>
      </c>
      <c r="H571" s="8">
        <f ca="1">IFERROR(__xludf.DUMMYFUNCTION("""COMPUTED_VALUE"""),0)</f>
        <v>0</v>
      </c>
      <c r="I571" s="8">
        <f ca="1">IFERROR(__xludf.DUMMYFUNCTION("""COMPUTED_VALUE"""),0)</f>
        <v>0</v>
      </c>
      <c r="J571" s="8">
        <f ca="1">IFERROR(__xludf.DUMMYFUNCTION("""COMPUTED_VALUE"""),0)</f>
        <v>0</v>
      </c>
      <c r="K571" s="10" t="str">
        <f ca="1">IFERROR(__xludf.DUMMYFUNCTION("""COMPUTED_VALUE"""),"https://wgntv.com/news/chicagocrime/alderman-shots-fired-near-mather-high-school-in-chicago/")</f>
        <v>https://wgntv.com/news/chicagocrime/alderman-shots-fired-near-mather-high-school-in-chicago/</v>
      </c>
      <c r="L571" s="8">
        <f ca="1">IFERROR(__xludf.DUMMYFUNCTION("""COMPUTED_VALUE"""),1)</f>
        <v>1</v>
      </c>
      <c r="M571" s="8" t="str">
        <f ca="1">IFERROR(__xludf.DUMMYFUNCTION("""COMPUTED_VALUE"""),"Local")</f>
        <v>Local</v>
      </c>
      <c r="N571" s="8">
        <f ca="1">IFERROR(__xludf.DUMMYFUNCTION("""COMPUTED_VALUE"""),3)</f>
        <v>3</v>
      </c>
      <c r="O571" s="8" t="str">
        <f ca="1">IFERROR(__xludf.DUMMYFUNCTION("""COMPUTED_VALUE"""),"Fall")</f>
        <v>Fall</v>
      </c>
      <c r="P571" s="8" t="str">
        <f ca="1">IFERROR(__xludf.DUMMYFUNCTION("""COMPUTED_VALUE"""),"Chicago")</f>
        <v>Chicago</v>
      </c>
      <c r="Q571" s="8" t="str">
        <f ca="1">IFERROR(__xludf.DUMMYFUNCTION("""COMPUTED_VALUE"""),"IL")</f>
        <v>IL</v>
      </c>
      <c r="R571" s="8" t="str">
        <f ca="1">IFERROR(__xludf.DUMMYFUNCTION("""COMPUTED_VALUE"""),"High")</f>
        <v>High</v>
      </c>
      <c r="S571" s="8" t="str">
        <f ca="1">IFERROR(__xludf.DUMMYFUNCTION("""COMPUTED_VALUE"""),"Parking Lot")</f>
        <v>Parking Lot</v>
      </c>
      <c r="T571" s="8" t="str">
        <f ca="1">IFERROR(__xludf.DUMMYFUNCTION("""COMPUTED_VALUE"""),"Outside on School Property")</f>
        <v>Outside on School Property</v>
      </c>
      <c r="U571" s="8" t="str">
        <f ca="1">IFERROR(__xludf.DUMMYFUNCTION("""COMPUTED_VALUE"""),"No")</f>
        <v>No</v>
      </c>
      <c r="V571" s="8" t="str">
        <f ca="1">IFERROR(__xludf.DUMMYFUNCTION("""COMPUTED_VALUE"""),"After School")</f>
        <v>After School</v>
      </c>
      <c r="W571" s="8"/>
      <c r="X571" s="8">
        <f ca="1">IFERROR(__xludf.DUMMYFUNCTION("""COMPUTED_VALUE"""),1)</f>
        <v>1</v>
      </c>
      <c r="Y571" s="12" t="str">
        <f ca="1">IFERROR(__xludf.DUMMYFUNCTION("""COMPUTED_VALUE"""),"Shots fired in school parking lot during after school activities, several cars damaged")</f>
        <v>Shots fired in school parking lot during after school activities, several cars damaged</v>
      </c>
      <c r="Z571" s="12" t="str">
        <f ca="1">IFERROR(__xludf.DUMMYFUNCTION("""COMPUTED_VALUE"""),"Shots fired in school parking lot during after school activities, several cars damaged")</f>
        <v>Shots fired in school parking lot during after school activities, several cars damaged</v>
      </c>
      <c r="AA571" s="8"/>
      <c r="AB571" s="8" t="str">
        <f ca="1">IFERROR(__xludf.DUMMYFUNCTION("""COMPUTED_VALUE"""),"Spontaneous")</f>
        <v>Spontaneous</v>
      </c>
      <c r="AC571" s="8" t="str">
        <f ca="1">IFERROR(__xludf.DUMMYFUNCTION("""COMPUTED_VALUE"""),"Yes")</f>
        <v>Yes</v>
      </c>
      <c r="AD571" s="8"/>
      <c r="AE571" s="8"/>
      <c r="AF571" s="8"/>
      <c r="AG571" s="8" t="str">
        <f ca="1">IFERROR(__xludf.DUMMYFUNCTION("""COMPUTED_VALUE"""),"No")</f>
        <v>No</v>
      </c>
      <c r="AH571" s="8" t="str">
        <f ca="1">IFERROR(__xludf.DUMMYFUNCTION("""COMPUTED_VALUE"""),"No")</f>
        <v>No</v>
      </c>
      <c r="AI571" s="8" t="str">
        <f ca="1">IFERROR(__xludf.DUMMYFUNCTION("""COMPUTED_VALUE"""),"No")</f>
        <v>No</v>
      </c>
      <c r="AJ571" s="8" t="str">
        <f ca="1">IFERROR(__xludf.DUMMYFUNCTION("""COMPUTED_VALUE"""),"No")</f>
        <v>No</v>
      </c>
      <c r="AK571" s="8" t="str">
        <f ca="1">IFERROR(__xludf.DUMMYFUNCTION("""COMPUTED_VALUE"""),"No")</f>
        <v>No</v>
      </c>
      <c r="AL571" s="8"/>
      <c r="AM571" s="8" t="str">
        <f ca="1">IFERROR(__xludf.DUMMYFUNCTION("""COMPUTED_VALUE"""),"No")</f>
        <v>No</v>
      </c>
      <c r="AN571" s="8" t="str">
        <f ca="1">IFERROR(__xludf.DUMMYFUNCTION("""COMPUTED_VALUE"""),"Outside")</f>
        <v>Outside</v>
      </c>
      <c r="AO571" s="8" t="str">
        <f ca="1">IFERROR(__xludf.DUMMYFUNCTION("""COMPUTED_VALUE"""),"No")</f>
        <v>No</v>
      </c>
      <c r="AP571" s="8"/>
      <c r="AQ571" s="8"/>
      <c r="AR571" s="8" t="str">
        <f ca="1">IFERROR(__xludf.DUMMYFUNCTION("""COMPUTED_VALUE"""),"Outside/Off-Property")</f>
        <v>Outside/Off-Property</v>
      </c>
      <c r="AS571" s="8">
        <f ca="1">IFERROR(__xludf.DUMMYFUNCTION("""COMPUTED_VALUE"""),99)</f>
        <v>99</v>
      </c>
      <c r="AT571" s="8"/>
      <c r="AU571" s="8">
        <f ca="1">IFERROR(__xludf.DUMMYFUNCTION("""COMPUTED_VALUE"""),41.987506)</f>
        <v>41.987506000000003</v>
      </c>
      <c r="AV571" s="8">
        <f ca="1">IFERROR(__xludf.DUMMYFUNCTION("""COMPUTED_VALUE"""),-87.700849)</f>
        <v>-87.700849000000005</v>
      </c>
      <c r="AW571" s="8"/>
      <c r="AX571" s="8">
        <f ca="1">IFERROR(__xludf.DUMMYFUNCTION("""COMPUTED_VALUE"""),60659)</f>
        <v>60659</v>
      </c>
    </row>
    <row r="572" spans="1:50" ht="45" x14ac:dyDescent="0.2">
      <c r="A572" s="8" t="str">
        <f ca="1">IFERROR(__xludf.DUMMYFUNCTION("""COMPUTED_VALUE"""),"20231019TXNAA")</f>
        <v>20231019TXNAA</v>
      </c>
      <c r="B572" s="8">
        <f ca="1">IFERROR(__xludf.DUMMYFUNCTION("""COMPUTED_VALUE"""),10)</f>
        <v>10</v>
      </c>
      <c r="C572" s="8">
        <f ca="1">IFERROR(__xludf.DUMMYFUNCTION("""COMPUTED_VALUE"""),19)</f>
        <v>19</v>
      </c>
      <c r="D572" s="8">
        <f ca="1">IFERROR(__xludf.DUMMYFUNCTION("""COMPUTED_VALUE"""),2023)</f>
        <v>2023</v>
      </c>
      <c r="E572" s="9">
        <f ca="1">IFERROR(__xludf.DUMMYFUNCTION("""COMPUTED_VALUE"""),45218)</f>
        <v>45218</v>
      </c>
      <c r="F572" s="8" t="str">
        <f ca="1">IFERROR(__xludf.DUMMYFUNCTION("""COMPUTED_VALUE"""),"Navarro High School")</f>
        <v>Navarro High School</v>
      </c>
      <c r="G572" s="8">
        <f ca="1">IFERROR(__xludf.DUMMYFUNCTION("""COMPUTED_VALUE"""),0)</f>
        <v>0</v>
      </c>
      <c r="H572" s="8">
        <f ca="1">IFERROR(__xludf.DUMMYFUNCTION("""COMPUTED_VALUE"""),1)</f>
        <v>1</v>
      </c>
      <c r="I572" s="8">
        <f ca="1">IFERROR(__xludf.DUMMYFUNCTION("""COMPUTED_VALUE"""),1)</f>
        <v>1</v>
      </c>
      <c r="J572" s="8">
        <f ca="1">IFERROR(__xludf.DUMMYFUNCTION("""COMPUTED_VALUE"""),0)</f>
        <v>0</v>
      </c>
      <c r="K572" s="10" t="str">
        <f ca="1">IFERROR(__xludf.DUMMYFUNCTION("""COMPUTED_VALUE"""),"https://www.kxan.com/news/local/austin/apd-says-scene-still-active-after-juvenile-shot-in-northeast-austin/")</f>
        <v>https://www.kxan.com/news/local/austin/apd-says-scene-still-active-after-juvenile-shot-in-northeast-austin/</v>
      </c>
      <c r="L572" s="8">
        <f ca="1">IFERROR(__xludf.DUMMYFUNCTION("""COMPUTED_VALUE"""),5)</f>
        <v>5</v>
      </c>
      <c r="M572" s="8" t="str">
        <f ca="1">IFERROR(__xludf.DUMMYFUNCTION("""COMPUTED_VALUE"""),"Local")</f>
        <v>Local</v>
      </c>
      <c r="N572" s="8">
        <f ca="1">IFERROR(__xludf.DUMMYFUNCTION("""COMPUTED_VALUE"""),4)</f>
        <v>4</v>
      </c>
      <c r="O572" s="8" t="str">
        <f ca="1">IFERROR(__xludf.DUMMYFUNCTION("""COMPUTED_VALUE"""),"Fall")</f>
        <v>Fall</v>
      </c>
      <c r="P572" s="8" t="str">
        <f ca="1">IFERROR(__xludf.DUMMYFUNCTION("""COMPUTED_VALUE"""),"Austin")</f>
        <v>Austin</v>
      </c>
      <c r="Q572" s="8" t="str">
        <f ca="1">IFERROR(__xludf.DUMMYFUNCTION("""COMPUTED_VALUE"""),"TX")</f>
        <v>TX</v>
      </c>
      <c r="R572" s="8" t="str">
        <f ca="1">IFERROR(__xludf.DUMMYFUNCTION("""COMPUTED_VALUE"""),"High")</f>
        <v>High</v>
      </c>
      <c r="S572" s="8" t="str">
        <f ca="1">IFERROR(__xludf.DUMMYFUNCTION("""COMPUTED_VALUE"""),"Parking Lot")</f>
        <v>Parking Lot</v>
      </c>
      <c r="T572" s="8" t="str">
        <f ca="1">IFERROR(__xludf.DUMMYFUNCTION("""COMPUTED_VALUE"""),"Outside on School Property")</f>
        <v>Outside on School Property</v>
      </c>
      <c r="U572" s="8" t="str">
        <f ca="1">IFERROR(__xludf.DUMMYFUNCTION("""COMPUTED_VALUE"""),"Yes")</f>
        <v>Yes</v>
      </c>
      <c r="V572" s="8" t="str">
        <f ca="1">IFERROR(__xludf.DUMMYFUNCTION("""COMPUTED_VALUE"""),"Afternoon Classes")</f>
        <v>Afternoon Classes</v>
      </c>
      <c r="W572" s="11">
        <f ca="1">IFERROR(__xludf.DUMMYFUNCTION("""COMPUTED_VALUE"""),0.541666666666666)</f>
        <v>0.54166666666666596</v>
      </c>
      <c r="X572" s="8">
        <f ca="1">IFERROR(__xludf.DUMMYFUNCTION("""COMPUTED_VALUE"""),1)</f>
        <v>1</v>
      </c>
      <c r="Y572" s="12" t="str">
        <f ca="1">IFERROR(__xludf.DUMMYFUNCTION("""COMPUTED_VALUE"""),"Student shot in the student parking lot")</f>
        <v>Student shot in the student parking lot</v>
      </c>
      <c r="Z572" s="12" t="str">
        <f ca="1">IFERROR(__xludf.DUMMYFUNCTION("""COMPUTED_VALUE"""),"Police responded for reported shooting and found a student with a gunshot wound in the student parking lot. School went on lockdown.")</f>
        <v>Police responded for reported shooting and found a student with a gunshot wound in the student parking lot. School went on lockdown.</v>
      </c>
      <c r="AA572" s="8"/>
      <c r="AB572" s="8"/>
      <c r="AC572" s="8" t="str">
        <f ca="1">IFERROR(__xludf.DUMMYFUNCTION("""COMPUTED_VALUE"""),"Yes")</f>
        <v>Yes</v>
      </c>
      <c r="AD572" s="8" t="str">
        <f ca="1">IFERROR(__xludf.DUMMYFUNCTION("""COMPUTED_VALUE"""),"Victims Targeted")</f>
        <v>Victims Targeted</v>
      </c>
      <c r="AE572" s="8" t="str">
        <f ca="1">IFERROR(__xludf.DUMMYFUNCTION("""COMPUTED_VALUE"""),"No")</f>
        <v>No</v>
      </c>
      <c r="AF572" s="8"/>
      <c r="AG572" s="8" t="str">
        <f ca="1">IFERROR(__xludf.DUMMYFUNCTION("""COMPUTED_VALUE"""),"No")</f>
        <v>No</v>
      </c>
      <c r="AH572" s="8" t="str">
        <f ca="1">IFERROR(__xludf.DUMMYFUNCTION("""COMPUTED_VALUE"""),"No")</f>
        <v>No</v>
      </c>
      <c r="AI572" s="8" t="str">
        <f ca="1">IFERROR(__xludf.DUMMYFUNCTION("""COMPUTED_VALUE"""),"No")</f>
        <v>No</v>
      </c>
      <c r="AJ572" s="8" t="str">
        <f ca="1">IFERROR(__xludf.DUMMYFUNCTION("""COMPUTED_VALUE"""),"No")</f>
        <v>No</v>
      </c>
      <c r="AK572" s="8" t="str">
        <f ca="1">IFERROR(__xludf.DUMMYFUNCTION("""COMPUTED_VALUE"""),"No")</f>
        <v>No</v>
      </c>
      <c r="AL572" s="8"/>
      <c r="AM572" s="8" t="str">
        <f ca="1">IFERROR(__xludf.DUMMYFUNCTION("""COMPUTED_VALUE"""),"No")</f>
        <v>No</v>
      </c>
      <c r="AN572" s="8" t="str">
        <f ca="1">IFERROR(__xludf.DUMMYFUNCTION("""COMPUTED_VALUE"""),"Outside")</f>
        <v>Outside</v>
      </c>
      <c r="AO572" s="8" t="str">
        <f ca="1">IFERROR(__xludf.DUMMYFUNCTION("""COMPUTED_VALUE"""),"No")</f>
        <v>No</v>
      </c>
      <c r="AP572" s="8"/>
      <c r="AQ572" s="8"/>
      <c r="AR572" s="8" t="str">
        <f ca="1">IFERROR(__xludf.DUMMYFUNCTION("""COMPUTED_VALUE"""),"Outside/Off-Property")</f>
        <v>Outside/Off-Property</v>
      </c>
      <c r="AS572" s="8">
        <f ca="1">IFERROR(__xludf.DUMMYFUNCTION("""COMPUTED_VALUE"""),99)</f>
        <v>99</v>
      </c>
      <c r="AT572" s="8" t="str">
        <f ca="1">IFERROR(__xludf.DUMMYFUNCTION("""COMPUTED_VALUE"""),"Yes")</f>
        <v>Yes</v>
      </c>
      <c r="AU572" s="8">
        <f ca="1">IFERROR(__xludf.DUMMYFUNCTION("""COMPUTED_VALUE"""),30.360665)</f>
        <v>30.360665000000001</v>
      </c>
      <c r="AV572" s="8">
        <f ca="1">IFERROR(__xludf.DUMMYFUNCTION("""COMPUTED_VALUE"""),-97.70812)</f>
        <v>-97.708119999999994</v>
      </c>
      <c r="AW572" s="8"/>
      <c r="AX572" s="8">
        <f ca="1">IFERROR(__xludf.DUMMYFUNCTION("""COMPUTED_VALUE"""),78758)</f>
        <v>78758</v>
      </c>
    </row>
    <row r="573" spans="1:50" ht="255" x14ac:dyDescent="0.2">
      <c r="A573" s="8" t="str">
        <f ca="1">IFERROR(__xludf.DUMMYFUNCTION("""COMPUTED_VALUE"""),"20231019CAGRF")</f>
        <v>20231019CAGRF</v>
      </c>
      <c r="B573" s="8">
        <f ca="1">IFERROR(__xludf.DUMMYFUNCTION("""COMPUTED_VALUE"""),10)</f>
        <v>10</v>
      </c>
      <c r="C573" s="8">
        <f ca="1">IFERROR(__xludf.DUMMYFUNCTION("""COMPUTED_VALUE"""),19)</f>
        <v>19</v>
      </c>
      <c r="D573" s="8">
        <f ca="1">IFERROR(__xludf.DUMMYFUNCTION("""COMPUTED_VALUE"""),2023)</f>
        <v>2023</v>
      </c>
      <c r="E573" s="9">
        <f ca="1">IFERROR(__xludf.DUMMYFUNCTION("""COMPUTED_VALUE"""),45218)</f>
        <v>45218</v>
      </c>
      <c r="F573" s="8" t="str">
        <f ca="1">IFERROR(__xludf.DUMMYFUNCTION("""COMPUTED_VALUE"""),"Greenberg Elementary School")</f>
        <v>Greenberg Elementary School</v>
      </c>
      <c r="G573" s="8">
        <f ca="1">IFERROR(__xludf.DUMMYFUNCTION("""COMPUTED_VALUE"""),0)</f>
        <v>0</v>
      </c>
      <c r="H573" s="8">
        <f ca="1">IFERROR(__xludf.DUMMYFUNCTION("""COMPUTED_VALUE"""),1)</f>
        <v>1</v>
      </c>
      <c r="I573" s="8">
        <f ca="1">IFERROR(__xludf.DUMMYFUNCTION("""COMPUTED_VALUE"""),1)</f>
        <v>1</v>
      </c>
      <c r="J573" s="8">
        <f ca="1">IFERROR(__xludf.DUMMYFUNCTION("""COMPUTED_VALUE"""),0)</f>
        <v>0</v>
      </c>
      <c r="K573" s="10" t="str">
        <f ca="1">IFERROR(__xludf.DUMMYFUNCTION("""COMPUTED_VALUE"""),"https://www.yourcentralvalley.com/news/crime/fresno-teen-arrested-for-shooting-fleeing-with-gun-to-elementary-school/")</f>
        <v>https://www.yourcentralvalley.com/news/crime/fresno-teen-arrested-for-shooting-fleeing-with-gun-to-elementary-school/</v>
      </c>
      <c r="L573" s="8">
        <f ca="1">IFERROR(__xludf.DUMMYFUNCTION("""COMPUTED_VALUE"""),5)</f>
        <v>5</v>
      </c>
      <c r="M573" s="8" t="str">
        <f ca="1">IFERROR(__xludf.DUMMYFUNCTION("""COMPUTED_VALUE"""),"Local")</f>
        <v>Local</v>
      </c>
      <c r="N573" s="8">
        <f ca="1">IFERROR(__xludf.DUMMYFUNCTION("""COMPUTED_VALUE"""),4)</f>
        <v>4</v>
      </c>
      <c r="O573" s="8" t="str">
        <f ca="1">IFERROR(__xludf.DUMMYFUNCTION("""COMPUTED_VALUE"""),"Fall")</f>
        <v>Fall</v>
      </c>
      <c r="P573" s="8" t="str">
        <f ca="1">IFERROR(__xludf.DUMMYFUNCTION("""COMPUTED_VALUE"""),"Fresno")</f>
        <v>Fresno</v>
      </c>
      <c r="Q573" s="8" t="str">
        <f ca="1">IFERROR(__xludf.DUMMYFUNCTION("""COMPUTED_VALUE"""),"CA")</f>
        <v>CA</v>
      </c>
      <c r="R573" s="8" t="str">
        <f ca="1">IFERROR(__xludf.DUMMYFUNCTION("""COMPUTED_VALUE"""),"Elementary")</f>
        <v>Elementary</v>
      </c>
      <c r="S573" s="8" t="str">
        <f ca="1">IFERROR(__xludf.DUMMYFUNCTION("""COMPUTED_VALUE"""),"Outside on School Property")</f>
        <v>Outside on School Property</v>
      </c>
      <c r="T573" s="8" t="str">
        <f ca="1">IFERROR(__xludf.DUMMYFUNCTION("""COMPUTED_VALUE"""),"Outside on School Property")</f>
        <v>Outside on School Property</v>
      </c>
      <c r="U573" s="8" t="str">
        <f ca="1">IFERROR(__xludf.DUMMYFUNCTION("""COMPUTED_VALUE"""),"Yes")</f>
        <v>Yes</v>
      </c>
      <c r="V573" s="8" t="str">
        <f ca="1">IFERROR(__xludf.DUMMYFUNCTION("""COMPUTED_VALUE"""),"School Start")</f>
        <v>School Start</v>
      </c>
      <c r="W573" s="11">
        <f ca="1">IFERROR(__xludf.DUMMYFUNCTION("""COMPUTED_VALUE"""),0.322916666666666)</f>
        <v>0.32291666666666602</v>
      </c>
      <c r="X573" s="8">
        <f ca="1">IFERROR(__xludf.DUMMYFUNCTION("""COMPUTED_VALUE"""),1)</f>
        <v>1</v>
      </c>
      <c r="Y573" s="12" t="str">
        <f ca="1">IFERROR(__xludf.DUMMYFUNCTION("""COMPUTED_VALUE"""),"Principal detained student with gun who was running across campus")</f>
        <v>Principal detained student with gun who was running across campus</v>
      </c>
      <c r="Z573" s="12" t="str">
        <f ca="1">IFERROR(__xludf.DUMMYFUNCTION("""COMPUTED_VALUE"""),"The Fresno Police Department says it all started around 7:45 a.m. Thursday, when they received a ShotSpotter activation reporting 11 shots were fired in the 5100 block of East Lane Avenue. It happened to fall right next door to Greenberg Elementary, which"&amp;" was placed on lockdown. They say immediately after the shooting, the suspect, whose mother said is a sixth grader at Greenberg, fled heading right towards the school. That’s when police say a teacher spotted him jumping over a fence, bringing a gun onto "&amp;"school grounds. “Immediately told the principal what she had seen. And then the principal immediately detained the juvenile before he made it any further onto the school campus,” said Sgt. Diana Trueba Vega with the Fresno Police Department. When officers"&amp;" arrived, they took the alleged shooter into custody and found a 15-year-old boy shot multiple times in his left leg and on the left side of his body at the apartment complex.")</f>
        <v>The Fresno Police Department says it all started around 7:45 a.m. Thursday, when they received a ShotSpotter activation reporting 11 shots were fired in the 5100 block of East Lane Avenue. It happened to fall right next door to Greenberg Elementary, which was placed on lockdown. They say immediately after the shooting, the suspect, whose mother said is a sixth grader at Greenberg, fled heading right towards the school. That’s when police say a teacher spotted him jumping over a fence, bringing a gun onto school grounds. “Immediately told the principal what she had seen. And then the principal immediately detained the juvenile before he made it any further onto the school campus,” said Sgt. Diana Trueba Vega with the Fresno Police Department. When officers arrived, they took the alleged shooter into custody and found a 15-year-old boy shot multiple times in his left leg and on the left side of his body at the apartment complex.</v>
      </c>
      <c r="AA573" s="8"/>
      <c r="AB573" s="8"/>
      <c r="AC573" s="8" t="str">
        <f ca="1">IFERROR(__xludf.DUMMYFUNCTION("""COMPUTED_VALUE"""),"Yes")</f>
        <v>Yes</v>
      </c>
      <c r="AD573" s="8" t="str">
        <f ca="1">IFERROR(__xludf.DUMMYFUNCTION("""COMPUTED_VALUE"""),"Victims Targeted")</f>
        <v>Victims Targeted</v>
      </c>
      <c r="AE573" s="8" t="str">
        <f ca="1">IFERROR(__xludf.DUMMYFUNCTION("""COMPUTED_VALUE"""),"No")</f>
        <v>No</v>
      </c>
      <c r="AF573" s="8"/>
      <c r="AG573" s="8" t="str">
        <f ca="1">IFERROR(__xludf.DUMMYFUNCTION("""COMPUTED_VALUE"""),"No")</f>
        <v>No</v>
      </c>
      <c r="AH573" s="8" t="str">
        <f ca="1">IFERROR(__xludf.DUMMYFUNCTION("""COMPUTED_VALUE"""),"No")</f>
        <v>No</v>
      </c>
      <c r="AI573" s="8" t="str">
        <f ca="1">IFERROR(__xludf.DUMMYFUNCTION("""COMPUTED_VALUE"""),"No")</f>
        <v>No</v>
      </c>
      <c r="AJ573" s="8" t="str">
        <f ca="1">IFERROR(__xludf.DUMMYFUNCTION("""COMPUTED_VALUE"""),"No")</f>
        <v>No</v>
      </c>
      <c r="AK573" s="8" t="str">
        <f ca="1">IFERROR(__xludf.DUMMYFUNCTION("""COMPUTED_VALUE"""),"No")</f>
        <v>No</v>
      </c>
      <c r="AL573" s="8"/>
      <c r="AM573" s="8" t="str">
        <f ca="1">IFERROR(__xludf.DUMMYFUNCTION("""COMPUTED_VALUE"""),"No")</f>
        <v>No</v>
      </c>
      <c r="AN573" s="8" t="str">
        <f ca="1">IFERROR(__xludf.DUMMYFUNCTION("""COMPUTED_VALUE"""),"Outside")</f>
        <v>Outside</v>
      </c>
      <c r="AO573" s="8" t="str">
        <f ca="1">IFERROR(__xludf.DUMMYFUNCTION("""COMPUTED_VALUE"""),"No")</f>
        <v>No</v>
      </c>
      <c r="AP573" s="8"/>
      <c r="AQ573" s="8"/>
      <c r="AR573" s="8" t="str">
        <f ca="1">IFERROR(__xludf.DUMMYFUNCTION("""COMPUTED_VALUE"""),"Outside/Off-Property")</f>
        <v>Outside/Off-Property</v>
      </c>
      <c r="AS573" s="8">
        <f ca="1">IFERROR(__xludf.DUMMYFUNCTION("""COMPUTED_VALUE"""),11)</f>
        <v>11</v>
      </c>
      <c r="AT573" s="8" t="str">
        <f ca="1">IFERROR(__xludf.DUMMYFUNCTION("""COMPUTED_VALUE"""),"Yes")</f>
        <v>Yes</v>
      </c>
      <c r="AU573" s="8">
        <f ca="1">IFERROR(__xludf.DUMMYFUNCTION("""COMPUTED_VALUE"""),36.732736)</f>
        <v>36.732736000000003</v>
      </c>
      <c r="AV573" s="8">
        <f ca="1">IFERROR(__xludf.DUMMYFUNCTION("""COMPUTED_VALUE"""),-119.724702)</f>
        <v>-119.72470199999999</v>
      </c>
      <c r="AW573" s="8"/>
      <c r="AX573" s="8">
        <f ca="1">IFERROR(__xludf.DUMMYFUNCTION("""COMPUTED_VALUE"""),93727)</f>
        <v>93727</v>
      </c>
    </row>
    <row r="574" spans="1:50" ht="75" x14ac:dyDescent="0.2">
      <c r="A574" s="8" t="str">
        <f ca="1">IFERROR(__xludf.DUMMYFUNCTION("""COMPUTED_VALUE"""),"20231018WILUW")</f>
        <v>20231018WILUW</v>
      </c>
      <c r="B574" s="8">
        <f ca="1">IFERROR(__xludf.DUMMYFUNCTION("""COMPUTED_VALUE"""),10)</f>
        <v>10</v>
      </c>
      <c r="C574" s="8">
        <f ca="1">IFERROR(__xludf.DUMMYFUNCTION("""COMPUTED_VALUE"""),18)</f>
        <v>18</v>
      </c>
      <c r="D574" s="8">
        <f ca="1">IFERROR(__xludf.DUMMYFUNCTION("""COMPUTED_VALUE"""),2023)</f>
        <v>2023</v>
      </c>
      <c r="E574" s="9">
        <f ca="1">IFERROR(__xludf.DUMMYFUNCTION("""COMPUTED_VALUE"""),45217)</f>
        <v>45217</v>
      </c>
      <c r="F574" s="8" t="str">
        <f ca="1">IFERROR(__xludf.DUMMYFUNCTION("""COMPUTED_VALUE"""),"Luther Preparatory School")</f>
        <v>Luther Preparatory School</v>
      </c>
      <c r="G574" s="8">
        <f ca="1">IFERROR(__xludf.DUMMYFUNCTION("""COMPUTED_VALUE"""),0)</f>
        <v>0</v>
      </c>
      <c r="H574" s="8">
        <f ca="1">IFERROR(__xludf.DUMMYFUNCTION("""COMPUTED_VALUE"""),0)</f>
        <v>0</v>
      </c>
      <c r="I574" s="8">
        <f ca="1">IFERROR(__xludf.DUMMYFUNCTION("""COMPUTED_VALUE"""),0)</f>
        <v>0</v>
      </c>
      <c r="J574" s="8">
        <f ca="1">IFERROR(__xludf.DUMMYFUNCTION("""COMPUTED_VALUE"""),1)</f>
        <v>1</v>
      </c>
      <c r="K574" s="10" t="str">
        <f ca="1">IFERROR(__xludf.DUMMYFUNCTION("""COMPUTED_VALUE"""),"https://www.wisn.com/article/watertown-police-shoot-kill-man-near-elementary-school/45572872#")</f>
        <v>https://www.wisn.com/article/watertown-police-shoot-kill-man-near-elementary-school/45572872#</v>
      </c>
      <c r="L574" s="8">
        <f ca="1">IFERROR(__xludf.DUMMYFUNCTION("""COMPUTED_VALUE"""),10)</f>
        <v>10</v>
      </c>
      <c r="M574" s="8" t="str">
        <f ca="1">IFERROR(__xludf.DUMMYFUNCTION("""COMPUTED_VALUE"""),"Local")</f>
        <v>Local</v>
      </c>
      <c r="N574" s="8">
        <f ca="1">IFERROR(__xludf.DUMMYFUNCTION("""COMPUTED_VALUE"""),4)</f>
        <v>4</v>
      </c>
      <c r="O574" s="8" t="str">
        <f ca="1">IFERROR(__xludf.DUMMYFUNCTION("""COMPUTED_VALUE"""),"Fall")</f>
        <v>Fall</v>
      </c>
      <c r="P574" s="8" t="str">
        <f ca="1">IFERROR(__xludf.DUMMYFUNCTION("""COMPUTED_VALUE"""),"Watertown")</f>
        <v>Watertown</v>
      </c>
      <c r="Q574" s="8" t="str">
        <f ca="1">IFERROR(__xludf.DUMMYFUNCTION("""COMPUTED_VALUE"""),"WI")</f>
        <v>WI</v>
      </c>
      <c r="R574" s="8" t="str">
        <f ca="1">IFERROR(__xludf.DUMMYFUNCTION("""COMPUTED_VALUE"""),"K-12")</f>
        <v>K-12</v>
      </c>
      <c r="S574" s="8" t="str">
        <f ca="1">IFERROR(__xludf.DUMMYFUNCTION("""COMPUTED_VALUE"""),"Beside Building")</f>
        <v>Beside Building</v>
      </c>
      <c r="T574" s="8" t="str">
        <f ca="1">IFERROR(__xludf.DUMMYFUNCTION("""COMPUTED_VALUE"""),"Outside on School Property")</f>
        <v>Outside on School Property</v>
      </c>
      <c r="U574" s="8" t="str">
        <f ca="1">IFERROR(__xludf.DUMMYFUNCTION("""COMPUTED_VALUE"""),"Yes")</f>
        <v>Yes</v>
      </c>
      <c r="V574" s="8" t="str">
        <f ca="1">IFERROR(__xludf.DUMMYFUNCTION("""COMPUTED_VALUE"""),"Morning Classes")</f>
        <v>Morning Classes</v>
      </c>
      <c r="W574" s="11">
        <f ca="1">IFERROR(__xludf.DUMMYFUNCTION("""COMPUTED_VALUE"""),0.96875)</f>
        <v>0.96875</v>
      </c>
      <c r="X574" s="8">
        <f ca="1">IFERROR(__xludf.DUMMYFUNCTION("""COMPUTED_VALUE"""),1)</f>
        <v>1</v>
      </c>
      <c r="Y574" s="12" t="str">
        <f ca="1">IFERROR(__xludf.DUMMYFUNCTION("""COMPUTED_VALUE"""),"Man fleeing from police was shot on campus when he pulled handgun")</f>
        <v>Man fleeing from police was shot on campus when he pulled handgun</v>
      </c>
      <c r="Z574" s="12" t="str">
        <f ca="1">IFERROR(__xludf.DUMMYFUNCTION("""COMPUTED_VALUE"""),"Police were investigating property damage to an apartment building when the suspect fled. Police chased the suspect onto the school campus where he pulled a handgun near a campus building. Police fatally shot the man. School went on lockdown and cancelled"&amp;" classes the following day.")</f>
        <v>Police were investigating property damage to an apartment building when the suspect fled. Police chased the suspect onto the school campus where he pulled a handgun near a campus building. Police fatally shot the man. School went on lockdown and cancelled classes the following day.</v>
      </c>
      <c r="AA574" s="8" t="str">
        <f ca="1">IFERROR(__xludf.DUMMYFUNCTION("""COMPUTED_VALUE"""),"Illegal Activity")</f>
        <v>Illegal Activity</v>
      </c>
      <c r="AB574" s="8" t="str">
        <f ca="1">IFERROR(__xludf.DUMMYFUNCTION("""COMPUTED_VALUE"""),"Spontaneous")</f>
        <v>Spontaneous</v>
      </c>
      <c r="AC574" s="8" t="str">
        <f ca="1">IFERROR(__xludf.DUMMYFUNCTION("""COMPUTED_VALUE"""),"Yes")</f>
        <v>Yes</v>
      </c>
      <c r="AD574" s="8" t="str">
        <f ca="1">IFERROR(__xludf.DUMMYFUNCTION("""COMPUTED_VALUE"""),"Victims Targeted")</f>
        <v>Victims Targeted</v>
      </c>
      <c r="AE574" s="8" t="str">
        <f ca="1">IFERROR(__xludf.DUMMYFUNCTION("""COMPUTED_VALUE"""),"No")</f>
        <v>No</v>
      </c>
      <c r="AF574" s="8"/>
      <c r="AG574" s="8" t="str">
        <f ca="1">IFERROR(__xludf.DUMMYFUNCTION("""COMPUTED_VALUE"""),"No")</f>
        <v>No</v>
      </c>
      <c r="AH574" s="8" t="str">
        <f ca="1">IFERROR(__xludf.DUMMYFUNCTION("""COMPUTED_VALUE"""),"No")</f>
        <v>No</v>
      </c>
      <c r="AI574" s="8" t="str">
        <f ca="1">IFERROR(__xludf.DUMMYFUNCTION("""COMPUTED_VALUE"""),"No")</f>
        <v>No</v>
      </c>
      <c r="AJ574" s="8" t="str">
        <f ca="1">IFERROR(__xludf.DUMMYFUNCTION("""COMPUTED_VALUE"""),"No")</f>
        <v>No</v>
      </c>
      <c r="AK574" s="8" t="str">
        <f ca="1">IFERROR(__xludf.DUMMYFUNCTION("""COMPUTED_VALUE"""),"No")</f>
        <v>No</v>
      </c>
      <c r="AL574" s="8" t="str">
        <f ca="1">IFERROR(__xludf.DUMMYFUNCTION("""COMPUTED_VALUE"""),"No")</f>
        <v>No</v>
      </c>
      <c r="AM574" s="8" t="str">
        <f ca="1">IFERROR(__xludf.DUMMYFUNCTION("""COMPUTED_VALUE"""),"No")</f>
        <v>No</v>
      </c>
      <c r="AN574" s="8" t="str">
        <f ca="1">IFERROR(__xludf.DUMMYFUNCTION("""COMPUTED_VALUE"""),"Outside")</f>
        <v>Outside</v>
      </c>
      <c r="AO574" s="8" t="str">
        <f ca="1">IFERROR(__xludf.DUMMYFUNCTION("""COMPUTED_VALUE"""),"No")</f>
        <v>No</v>
      </c>
      <c r="AP574" s="8"/>
      <c r="AQ574" s="8"/>
      <c r="AR574" s="8" t="str">
        <f ca="1">IFERROR(__xludf.DUMMYFUNCTION("""COMPUTED_VALUE"""),"Outside/Off-Property")</f>
        <v>Outside/Off-Property</v>
      </c>
      <c r="AS574" s="8">
        <f ca="1">IFERROR(__xludf.DUMMYFUNCTION("""COMPUTED_VALUE"""),99)</f>
        <v>99</v>
      </c>
      <c r="AT574" s="8" t="str">
        <f ca="1">IFERROR(__xludf.DUMMYFUNCTION("""COMPUTED_VALUE"""),"Yes")</f>
        <v>Yes</v>
      </c>
      <c r="AU574" s="8">
        <f ca="1">IFERROR(__xludf.DUMMYFUNCTION("""COMPUTED_VALUE"""),43.188626)</f>
        <v>43.188625999999999</v>
      </c>
      <c r="AV574" s="8">
        <f ca="1">IFERROR(__xludf.DUMMYFUNCTION("""COMPUTED_VALUE"""),-88.713206)</f>
        <v>-88.713206</v>
      </c>
      <c r="AW574" s="8"/>
      <c r="AX574" s="8">
        <f ca="1">IFERROR(__xludf.DUMMYFUNCTION("""COMPUTED_VALUE"""),53094)</f>
        <v>53094</v>
      </c>
    </row>
    <row r="575" spans="1:50" ht="120" x14ac:dyDescent="0.2">
      <c r="A575" s="8" t="str">
        <f ca="1">IFERROR(__xludf.DUMMYFUNCTION("""COMPUTED_VALUE"""),"20231015OHEAT")</f>
        <v>20231015OHEAT</v>
      </c>
      <c r="B575" s="8">
        <f ca="1">IFERROR(__xludf.DUMMYFUNCTION("""COMPUTED_VALUE"""),10)</f>
        <v>10</v>
      </c>
      <c r="C575" s="8">
        <f ca="1">IFERROR(__xludf.DUMMYFUNCTION("""COMPUTED_VALUE"""),15)</f>
        <v>15</v>
      </c>
      <c r="D575" s="8">
        <f ca="1">IFERROR(__xludf.DUMMYFUNCTION("""COMPUTED_VALUE"""),2023)</f>
        <v>2023</v>
      </c>
      <c r="E575" s="9">
        <f ca="1">IFERROR(__xludf.DUMMYFUNCTION("""COMPUTED_VALUE"""),45214)</f>
        <v>45214</v>
      </c>
      <c r="F575" s="8" t="str">
        <f ca="1">IFERROR(__xludf.DUMMYFUNCTION("""COMPUTED_VALUE"""),"East Broadway Elementary")</f>
        <v>East Broadway Elementary</v>
      </c>
      <c r="G575" s="8">
        <f ca="1">IFERROR(__xludf.DUMMYFUNCTION("""COMPUTED_VALUE"""),0)</f>
        <v>0</v>
      </c>
      <c r="H575" s="8">
        <f ca="1">IFERROR(__xludf.DUMMYFUNCTION("""COMPUTED_VALUE"""),1)</f>
        <v>1</v>
      </c>
      <c r="I575" s="8">
        <f ca="1">IFERROR(__xludf.DUMMYFUNCTION("""COMPUTED_VALUE"""),1)</f>
        <v>1</v>
      </c>
      <c r="J575" s="8">
        <f ca="1">IFERROR(__xludf.DUMMYFUNCTION("""COMPUTED_VALUE"""),0)</f>
        <v>0</v>
      </c>
      <c r="K575" s="10" t="str">
        <f ca="1">IFERROR(__xludf.DUMMYFUNCTION("""COMPUTED_VALUE"""),"https://www.13abc.com/2023/10/16/man-shot-neck-after-confrontation-flag-football-game/")</f>
        <v>https://www.13abc.com/2023/10/16/man-shot-neck-after-confrontation-flag-football-game/</v>
      </c>
      <c r="L575" s="8">
        <f ca="1">IFERROR(__xludf.DUMMYFUNCTION("""COMPUTED_VALUE"""),1)</f>
        <v>1</v>
      </c>
      <c r="M575" s="8" t="str">
        <f ca="1">IFERROR(__xludf.DUMMYFUNCTION("""COMPUTED_VALUE"""),"Local")</f>
        <v>Local</v>
      </c>
      <c r="N575" s="8">
        <f ca="1">IFERROR(__xludf.DUMMYFUNCTION("""COMPUTED_VALUE"""),4)</f>
        <v>4</v>
      </c>
      <c r="O575" s="8" t="str">
        <f ca="1">IFERROR(__xludf.DUMMYFUNCTION("""COMPUTED_VALUE"""),"Fall")</f>
        <v>Fall</v>
      </c>
      <c r="P575" s="8" t="str">
        <f ca="1">IFERROR(__xludf.DUMMYFUNCTION("""COMPUTED_VALUE"""),"Toledo")</f>
        <v>Toledo</v>
      </c>
      <c r="Q575" s="8" t="str">
        <f ca="1">IFERROR(__xludf.DUMMYFUNCTION("""COMPUTED_VALUE"""),"OH")</f>
        <v>OH</v>
      </c>
      <c r="R575" s="8" t="str">
        <f ca="1">IFERROR(__xludf.DUMMYFUNCTION("""COMPUTED_VALUE"""),"High")</f>
        <v>High</v>
      </c>
      <c r="S575" s="8" t="str">
        <f ca="1">IFERROR(__xludf.DUMMYFUNCTION("""COMPUTED_VALUE"""),"Football Field/Track")</f>
        <v>Football Field/Track</v>
      </c>
      <c r="T575" s="8" t="str">
        <f ca="1">IFERROR(__xludf.DUMMYFUNCTION("""COMPUTED_VALUE"""),"Outside on School Property")</f>
        <v>Outside on School Property</v>
      </c>
      <c r="U575" s="8" t="str">
        <f ca="1">IFERROR(__xludf.DUMMYFUNCTION("""COMPUTED_VALUE"""),"No")</f>
        <v>No</v>
      </c>
      <c r="V575" s="8" t="str">
        <f ca="1">IFERROR(__xludf.DUMMYFUNCTION("""COMPUTED_VALUE"""),"Sport Event")</f>
        <v>Sport Event</v>
      </c>
      <c r="W575" s="11">
        <f ca="1">IFERROR(__xludf.DUMMYFUNCTION("""COMPUTED_VALUE"""),0.416666666666666)</f>
        <v>0.41666666666666602</v>
      </c>
      <c r="X575" s="8">
        <f ca="1">IFERROR(__xludf.DUMMYFUNCTION("""COMPUTED_VALUE"""),1)</f>
        <v>1</v>
      </c>
      <c r="Y575" s="12" t="str">
        <f ca="1">IFERROR(__xludf.DUMMYFUNCTION("""COMPUTED_VALUE"""),"Man shot another man in the neck during dispute a youth football game")</f>
        <v>Man shot another man in the neck during dispute a youth football game</v>
      </c>
      <c r="Z575" s="12" t="str">
        <f ca="1">IFERROR(__xludf.DUMMYFUNCTION("""COMPUTED_VALUE"""),"Toledo police officers responded to the football field of East Broadway Elementary Sunday morning on reports of shots fired. Witnesses told police the suspect had pointed a gun in the victim’s face, and when the victim swiped at it, the 26-year-old victim"&amp;" was shot in the neck. TPD says he suffered non-life-threatening injuries. Officers stopped a truck matching the description and found Dominique McClain, 23, hiding in the backseat.")</f>
        <v>Toledo police officers responded to the football field of East Broadway Elementary Sunday morning on reports of shots fired. Witnesses told police the suspect had pointed a gun in the victim’s face, and when the victim swiped at it, the 26-year-old victim was shot in the neck. TPD says he suffered non-life-threatening injuries. Officers stopped a truck matching the description and found Dominique McClain, 23, hiding in the backseat.</v>
      </c>
      <c r="AA575" s="8" t="str">
        <f ca="1">IFERROR(__xludf.DUMMYFUNCTION("""COMPUTED_VALUE"""),"Escalation of Dispute")</f>
        <v>Escalation of Dispute</v>
      </c>
      <c r="AB575" s="8" t="str">
        <f ca="1">IFERROR(__xludf.DUMMYFUNCTION("""COMPUTED_VALUE"""),"Spontaneous")</f>
        <v>Spontaneous</v>
      </c>
      <c r="AC575" s="8" t="str">
        <f ca="1">IFERROR(__xludf.DUMMYFUNCTION("""COMPUTED_VALUE"""),"No")</f>
        <v>No</v>
      </c>
      <c r="AD575" s="8" t="str">
        <f ca="1">IFERROR(__xludf.DUMMYFUNCTION("""COMPUTED_VALUE"""),"Victims Targeted")</f>
        <v>Victims Targeted</v>
      </c>
      <c r="AE575" s="8" t="str">
        <f ca="1">IFERROR(__xludf.DUMMYFUNCTION("""COMPUTED_VALUE"""),"No")</f>
        <v>No</v>
      </c>
      <c r="AF575" s="8"/>
      <c r="AG575" s="8" t="str">
        <f ca="1">IFERROR(__xludf.DUMMYFUNCTION("""COMPUTED_VALUE"""),"No")</f>
        <v>No</v>
      </c>
      <c r="AH575" s="8" t="str">
        <f ca="1">IFERROR(__xludf.DUMMYFUNCTION("""COMPUTED_VALUE"""),"No")</f>
        <v>No</v>
      </c>
      <c r="AI575" s="8" t="str">
        <f ca="1">IFERROR(__xludf.DUMMYFUNCTION("""COMPUTED_VALUE"""),"No")</f>
        <v>No</v>
      </c>
      <c r="AJ575" s="8" t="str">
        <f ca="1">IFERROR(__xludf.DUMMYFUNCTION("""COMPUTED_VALUE"""),"No")</f>
        <v>No</v>
      </c>
      <c r="AK575" s="8" t="str">
        <f ca="1">IFERROR(__xludf.DUMMYFUNCTION("""COMPUTED_VALUE"""),"No")</f>
        <v>No</v>
      </c>
      <c r="AL575" s="8" t="str">
        <f ca="1">IFERROR(__xludf.DUMMYFUNCTION("""COMPUTED_VALUE"""),"No")</f>
        <v>No</v>
      </c>
      <c r="AM575" s="8" t="str">
        <f ca="1">IFERROR(__xludf.DUMMYFUNCTION("""COMPUTED_VALUE"""),"No")</f>
        <v>No</v>
      </c>
      <c r="AN575" s="8" t="str">
        <f ca="1">IFERROR(__xludf.DUMMYFUNCTION("""COMPUTED_VALUE"""),"Outside")</f>
        <v>Outside</v>
      </c>
      <c r="AO575" s="8" t="str">
        <f ca="1">IFERROR(__xludf.DUMMYFUNCTION("""COMPUTED_VALUE"""),"No")</f>
        <v>No</v>
      </c>
      <c r="AP575" s="8"/>
      <c r="AQ575" s="8"/>
      <c r="AR575" s="8" t="str">
        <f ca="1">IFERROR(__xludf.DUMMYFUNCTION("""COMPUTED_VALUE"""),"Outside/Off-Property")</f>
        <v>Outside/Off-Property</v>
      </c>
      <c r="AS575" s="8">
        <f ca="1">IFERROR(__xludf.DUMMYFUNCTION("""COMPUTED_VALUE"""),1)</f>
        <v>1</v>
      </c>
      <c r="AT575" s="8" t="str">
        <f ca="1">IFERROR(__xludf.DUMMYFUNCTION("""COMPUTED_VALUE"""),"No")</f>
        <v>No</v>
      </c>
      <c r="AU575" s="8">
        <f ca="1">IFERROR(__xludf.DUMMYFUNCTION("""COMPUTED_VALUE"""),41.619143)</f>
        <v>41.619143000000001</v>
      </c>
      <c r="AV575" s="8">
        <f ca="1">IFERROR(__xludf.DUMMYFUNCTION("""COMPUTED_VALUE"""),-83.511858)</f>
        <v>-83.511858000000004</v>
      </c>
      <c r="AW575" s="8"/>
      <c r="AX575" s="8">
        <f ca="1">IFERROR(__xludf.DUMMYFUNCTION("""COMPUTED_VALUE"""),43605)</f>
        <v>43605</v>
      </c>
    </row>
    <row r="576" spans="1:50" ht="60" x14ac:dyDescent="0.2">
      <c r="A576" s="8" t="str">
        <f ca="1">IFERROR(__xludf.DUMMYFUNCTION("""COMPUTED_VALUE"""),"20231015TXFRD")</f>
        <v>20231015TXFRD</v>
      </c>
      <c r="B576" s="8">
        <f ca="1">IFERROR(__xludf.DUMMYFUNCTION("""COMPUTED_VALUE"""),10)</f>
        <v>10</v>
      </c>
      <c r="C576" s="8">
        <f ca="1">IFERROR(__xludf.DUMMYFUNCTION("""COMPUTED_VALUE"""),15)</f>
        <v>15</v>
      </c>
      <c r="D576" s="8">
        <f ca="1">IFERROR(__xludf.DUMMYFUNCTION("""COMPUTED_VALUE"""),2023)</f>
        <v>2023</v>
      </c>
      <c r="E576" s="9">
        <f ca="1">IFERROR(__xludf.DUMMYFUNCTION("""COMPUTED_VALUE"""),45214)</f>
        <v>45214</v>
      </c>
      <c r="F576" s="8" t="str">
        <f ca="1">IFERROR(__xludf.DUMMYFUNCTION("""COMPUTED_VALUE"""),"Fred Moore High School")</f>
        <v>Fred Moore High School</v>
      </c>
      <c r="G576" s="8">
        <f ca="1">IFERROR(__xludf.DUMMYFUNCTION("""COMPUTED_VALUE"""),1)</f>
        <v>1</v>
      </c>
      <c r="H576" s="8">
        <f ca="1">IFERROR(__xludf.DUMMYFUNCTION("""COMPUTED_VALUE"""),1)</f>
        <v>1</v>
      </c>
      <c r="I576" s="8">
        <f ca="1">IFERROR(__xludf.DUMMYFUNCTION("""COMPUTED_VALUE"""),2)</f>
        <v>2</v>
      </c>
      <c r="J576" s="8">
        <f ca="1">IFERROR(__xludf.DUMMYFUNCTION("""COMPUTED_VALUE"""),0)</f>
        <v>0</v>
      </c>
      <c r="K576" s="8" t="str">
        <f ca="1">IFERROR(__xludf.DUMMYFUNCTION("""COMPUTED_VALUE"""),"https://www.fox4news.com/news/2-men-shot-in-high-school-parking-lot-denton-police-say
https://www.wfaa.com/video/news/crime/man-dies-critically-injured-shooting-denton-school-parking-lot-police/287-1cb40db3-2035-4537-b3bb-018b1ff0bbc2")</f>
        <v>https://www.fox4news.com/news/2-men-shot-in-high-school-parking-lot-denton-police-say
https://www.wfaa.com/video/news/crime/man-dies-critically-injured-shooting-denton-school-parking-lot-police/287-1cb40db3-2035-4537-b3bb-018b1ff0bbc2</v>
      </c>
      <c r="L576" s="8">
        <f ca="1">IFERROR(__xludf.DUMMYFUNCTION("""COMPUTED_VALUE"""),5)</f>
        <v>5</v>
      </c>
      <c r="M576" s="8" t="str">
        <f ca="1">IFERROR(__xludf.DUMMYFUNCTION("""COMPUTED_VALUE"""),"Local")</f>
        <v>Local</v>
      </c>
      <c r="N576" s="8">
        <f ca="1">IFERROR(__xludf.DUMMYFUNCTION("""COMPUTED_VALUE"""),4)</f>
        <v>4</v>
      </c>
      <c r="O576" s="8" t="str">
        <f ca="1">IFERROR(__xludf.DUMMYFUNCTION("""COMPUTED_VALUE"""),"Fall")</f>
        <v>Fall</v>
      </c>
      <c r="P576" s="8" t="str">
        <f ca="1">IFERROR(__xludf.DUMMYFUNCTION("""COMPUTED_VALUE"""),"Denton")</f>
        <v>Denton</v>
      </c>
      <c r="Q576" s="8" t="str">
        <f ca="1">IFERROR(__xludf.DUMMYFUNCTION("""COMPUTED_VALUE"""),"TX")</f>
        <v>TX</v>
      </c>
      <c r="R576" s="8" t="str">
        <f ca="1">IFERROR(__xludf.DUMMYFUNCTION("""COMPUTED_VALUE"""),"High")</f>
        <v>High</v>
      </c>
      <c r="S576" s="8" t="str">
        <f ca="1">IFERROR(__xludf.DUMMYFUNCTION("""COMPUTED_VALUE"""),"Parking Lot")</f>
        <v>Parking Lot</v>
      </c>
      <c r="T576" s="8" t="str">
        <f ca="1">IFERROR(__xludf.DUMMYFUNCTION("""COMPUTED_VALUE"""),"Outside on School Property")</f>
        <v>Outside on School Property</v>
      </c>
      <c r="U576" s="8" t="str">
        <f ca="1">IFERROR(__xludf.DUMMYFUNCTION("""COMPUTED_VALUE"""),"No")</f>
        <v>No</v>
      </c>
      <c r="V576" s="8" t="str">
        <f ca="1">IFERROR(__xludf.DUMMYFUNCTION("""COMPUTED_VALUE"""),"Night")</f>
        <v>Night</v>
      </c>
      <c r="W576" s="11">
        <f ca="1">IFERROR(__xludf.DUMMYFUNCTION("""COMPUTED_VALUE"""),0.104166666666666)</f>
        <v>0.10416666666666601</v>
      </c>
      <c r="X576" s="8">
        <f ca="1">IFERROR(__xludf.DUMMYFUNCTION("""COMPUTED_VALUE"""),1)</f>
        <v>1</v>
      </c>
      <c r="Y576" s="12" t="str">
        <f ca="1">IFERROR(__xludf.DUMMYFUNCTION("""COMPUTED_VALUE"""),"Two men shot in school parking lot")</f>
        <v>Two men shot in school parking lot</v>
      </c>
      <c r="Z576" s="12" t="str">
        <f ca="1">IFERROR(__xludf.DUMMYFUNCTION("""COMPUTED_VALUE"""),"Police said they got multiple calls around 2:30 a.m. about shots fired in the school’s parking lot. When officers got there, they found two adult gunshot victims who were taken to local hospitals.")</f>
        <v>Police said they got multiple calls around 2:30 a.m. about shots fired in the school’s parking lot. When officers got there, they found two adult gunshot victims who were taken to local hospitals.</v>
      </c>
      <c r="AA576" s="8"/>
      <c r="AB576" s="8"/>
      <c r="AC576" s="8" t="str">
        <f ca="1">IFERROR(__xludf.DUMMYFUNCTION("""COMPUTED_VALUE"""),"No")</f>
        <v>No</v>
      </c>
      <c r="AD576" s="8"/>
      <c r="AE576" s="8"/>
      <c r="AF576" s="8"/>
      <c r="AG576" s="8" t="str">
        <f ca="1">IFERROR(__xludf.DUMMYFUNCTION("""COMPUTED_VALUE"""),"No")</f>
        <v>No</v>
      </c>
      <c r="AH576" s="8" t="str">
        <f ca="1">IFERROR(__xludf.DUMMYFUNCTION("""COMPUTED_VALUE"""),"No")</f>
        <v>No</v>
      </c>
      <c r="AI576" s="8" t="str">
        <f ca="1">IFERROR(__xludf.DUMMYFUNCTION("""COMPUTED_VALUE"""),"No")</f>
        <v>No</v>
      </c>
      <c r="AJ576" s="8" t="str">
        <f ca="1">IFERROR(__xludf.DUMMYFUNCTION("""COMPUTED_VALUE"""),"No")</f>
        <v>No</v>
      </c>
      <c r="AK576" s="8"/>
      <c r="AL576" s="8"/>
      <c r="AM576" s="8" t="str">
        <f ca="1">IFERROR(__xludf.DUMMYFUNCTION("""COMPUTED_VALUE"""),"No")</f>
        <v>No</v>
      </c>
      <c r="AN576" s="8" t="str">
        <f ca="1">IFERROR(__xludf.DUMMYFUNCTION("""COMPUTED_VALUE"""),"Outside")</f>
        <v>Outside</v>
      </c>
      <c r="AO576" s="8" t="str">
        <f ca="1">IFERROR(__xludf.DUMMYFUNCTION("""COMPUTED_VALUE"""),"No")</f>
        <v>No</v>
      </c>
      <c r="AP576" s="8"/>
      <c r="AQ576" s="8"/>
      <c r="AR576" s="8" t="str">
        <f ca="1">IFERROR(__xludf.DUMMYFUNCTION("""COMPUTED_VALUE"""),"Outside/Off-Property")</f>
        <v>Outside/Off-Property</v>
      </c>
      <c r="AS576" s="8">
        <f ca="1">IFERROR(__xludf.DUMMYFUNCTION("""COMPUTED_VALUE"""),99)</f>
        <v>99</v>
      </c>
      <c r="AT576" s="8" t="str">
        <f ca="1">IFERROR(__xludf.DUMMYFUNCTION("""COMPUTED_VALUE"""),"No")</f>
        <v>No</v>
      </c>
      <c r="AU576" s="8">
        <f ca="1">IFERROR(__xludf.DUMMYFUNCTION("""COMPUTED_VALUE"""),33.20714)</f>
        <v>33.207140000000003</v>
      </c>
      <c r="AV576" s="8">
        <f ca="1">IFERROR(__xludf.DUMMYFUNCTION("""COMPUTED_VALUE"""),-97.127168)</f>
        <v>-97.127167999999998</v>
      </c>
      <c r="AW576" s="8"/>
      <c r="AX576" s="8">
        <f ca="1">IFERROR(__xludf.DUMMYFUNCTION("""COMPUTED_VALUE"""),76205)</f>
        <v>76205</v>
      </c>
    </row>
    <row r="577" spans="1:50" ht="210" x14ac:dyDescent="0.2">
      <c r="A577" s="8" t="str">
        <f ca="1">IFERROR(__xludf.DUMMYFUNCTION("""COMPUTED_VALUE"""),"20231015MOKIK")</f>
        <v>20231015MOKIK</v>
      </c>
      <c r="B577" s="8">
        <f ca="1">IFERROR(__xludf.DUMMYFUNCTION("""COMPUTED_VALUE"""),10)</f>
        <v>10</v>
      </c>
      <c r="C577" s="8">
        <f ca="1">IFERROR(__xludf.DUMMYFUNCTION("""COMPUTED_VALUE"""),15)</f>
        <v>15</v>
      </c>
      <c r="D577" s="8">
        <f ca="1">IFERROR(__xludf.DUMMYFUNCTION("""COMPUTED_VALUE"""),2023)</f>
        <v>2023</v>
      </c>
      <c r="E577" s="9">
        <f ca="1">IFERROR(__xludf.DUMMYFUNCTION("""COMPUTED_VALUE"""),45214)</f>
        <v>45214</v>
      </c>
      <c r="F577" s="8" t="str">
        <f ca="1">IFERROR(__xludf.DUMMYFUNCTION("""COMPUTED_VALUE"""),"North Kirkwood Middle School")</f>
        <v>North Kirkwood Middle School</v>
      </c>
      <c r="G577" s="8">
        <f ca="1">IFERROR(__xludf.DUMMYFUNCTION("""COMPUTED_VALUE"""),0)</f>
        <v>0</v>
      </c>
      <c r="H577" s="8">
        <f ca="1">IFERROR(__xludf.DUMMYFUNCTION("""COMPUTED_VALUE"""),0)</f>
        <v>0</v>
      </c>
      <c r="I577" s="8">
        <f ca="1">IFERROR(__xludf.DUMMYFUNCTION("""COMPUTED_VALUE"""),0)</f>
        <v>0</v>
      </c>
      <c r="J577" s="8">
        <f ca="1">IFERROR(__xludf.DUMMYFUNCTION("""COMPUTED_VALUE"""),0)</f>
        <v>0</v>
      </c>
      <c r="K577" s="10" t="str">
        <f ca="1">IFERROR(__xludf.DUMMYFUNCTION("""COMPUTED_VALUE"""),"https://www.ksdk.com/article/news/crime/alleged-kirkwood-trunk-or-treat-shooter-pleads-guilty/63-cb2a5ca8-7a1a-49d1-b4f3-f2975b6f92e6
https://www.ksdk.com/article/news/crime/police-officer-no-longer-with-department-halloween-shots-fired-kirkwood/63-f85854"&amp;"d5-a8ff-404e-9d28-8b26f765ed7f
https://www.riverfronttimes.com/news/bob-mccullochs-son-arrested-for-kirkwood-trunk-or-treat-shooting-41062265
https://www.stltoday.com/news/local/crime-courts/shots-fired-at-kirkwood-school-trunk-or-treat-event/article_1f49"&amp;"f840-6bbc-11ee-9767-4bae03581e5e.html
https://fox2now.com/news/missouri/shots-fired-at-kirkwood-schools-trunk-or-treat-event/
")</f>
        <v xml:space="preserve">https://www.ksdk.com/article/news/crime/alleged-kirkwood-trunk-or-treat-shooter-pleads-guilty/63-cb2a5ca8-7a1a-49d1-b4f3-f2975b6f92e6
https://www.ksdk.com/article/news/crime/police-officer-no-longer-with-department-halloween-shots-fired-kirkwood/63-f85854d5-a8ff-404e-9d28-8b26f765ed7f
https://www.riverfronttimes.com/news/bob-mccullochs-son-arrested-for-kirkwood-trunk-or-treat-shooting-41062265
https://www.stltoday.com/news/local/crime-courts/shots-fired-at-kirkwood-school-trunk-or-treat-event/article_1f49f840-6bbc-11ee-9767-4bae03581e5e.html
https://fox2now.com/news/missouri/shots-fired-at-kirkwood-schools-trunk-or-treat-event/
</v>
      </c>
      <c r="L577" s="8">
        <f ca="1">IFERROR(__xludf.DUMMYFUNCTION("""COMPUTED_VALUE"""),100)</f>
        <v>100</v>
      </c>
      <c r="M577" s="8" t="str">
        <f ca="1">IFERROR(__xludf.DUMMYFUNCTION("""COMPUTED_VALUE"""),"Regional")</f>
        <v>Regional</v>
      </c>
      <c r="N577" s="8">
        <f ca="1">IFERROR(__xludf.DUMMYFUNCTION("""COMPUTED_VALUE"""),4)</f>
        <v>4</v>
      </c>
      <c r="O577" s="8" t="str">
        <f ca="1">IFERROR(__xludf.DUMMYFUNCTION("""COMPUTED_VALUE"""),"Fall")</f>
        <v>Fall</v>
      </c>
      <c r="P577" s="8" t="str">
        <f ca="1">IFERROR(__xludf.DUMMYFUNCTION("""COMPUTED_VALUE"""),"Kirkwood")</f>
        <v>Kirkwood</v>
      </c>
      <c r="Q577" s="8" t="str">
        <f ca="1">IFERROR(__xludf.DUMMYFUNCTION("""COMPUTED_VALUE"""),"MO")</f>
        <v>MO</v>
      </c>
      <c r="R577" s="8" t="str">
        <f ca="1">IFERROR(__xludf.DUMMYFUNCTION("""COMPUTED_VALUE"""),"Middle")</f>
        <v>Middle</v>
      </c>
      <c r="S577" s="8" t="str">
        <f ca="1">IFERROR(__xludf.DUMMYFUNCTION("""COMPUTED_VALUE"""),"Parking Lot")</f>
        <v>Parking Lot</v>
      </c>
      <c r="T577" s="8" t="str">
        <f ca="1">IFERROR(__xludf.DUMMYFUNCTION("""COMPUTED_VALUE"""),"Outside on School Property")</f>
        <v>Outside on School Property</v>
      </c>
      <c r="U577" s="8" t="str">
        <f ca="1">IFERROR(__xludf.DUMMYFUNCTION("""COMPUTED_VALUE"""),"No")</f>
        <v>No</v>
      </c>
      <c r="V577" s="8" t="str">
        <f ca="1">IFERROR(__xludf.DUMMYFUNCTION("""COMPUTED_VALUE"""),"School Event")</f>
        <v>School Event</v>
      </c>
      <c r="W577" s="11">
        <f ca="1">IFERROR(__xludf.DUMMYFUNCTION("""COMPUTED_VALUE"""),0.708333333333333)</f>
        <v>0.70833333333333304</v>
      </c>
      <c r="X577" s="8">
        <f ca="1">IFERROR(__xludf.DUMMYFUNCTION("""COMPUTED_VALUE"""),1)</f>
        <v>1</v>
      </c>
      <c r="Y577" s="12" t="str">
        <f ca="1">IFERROR(__xludf.DUMMYFUNCTION("""COMPUTED_VALUE"""),"Man fired shot into the air during Halloween event in school parking lot")</f>
        <v>Man fired shot into the air during Halloween event in school parking lot</v>
      </c>
      <c r="Z577" s="12" t="str">
        <f ca="1">IFERROR(__xludf.DUMMYFUNCTION("""COMPUTED_VALUE"""),"A probable cause statement against Matthew McCulloch (St. Louis Police Officer) alleges he told multiple people they “are all going to die” at the trunk-or-treat event. It also says he began harassing people in the parking lot while hundreds of children a"&amp;"nd adults were there. The statement goes on to say that Matthew McCulloch was shoved to the ground after threatening a witness and the witness’ wife. Matthew McCulloch pulled up his shirt to show a handgun and a badge, the statement alleges. Officials sai"&amp;"d he then fired shots into the air “approximately a dozen times while shouting that the attendees would die.” Several people at the event tackled Matthew McCulloch and took his gun, according to court documents. He was attending the event with his family.")</f>
        <v>A probable cause statement against Matthew McCulloch (St. Louis Police Officer) alleges he told multiple people they “are all going to die” at the trunk-or-treat event. It also says he began harassing people in the parking lot while hundreds of children and adults were there. The statement goes on to say that Matthew McCulloch was shoved to the ground after threatening a witness and the witness’ wife. Matthew McCulloch pulled up his shirt to show a handgun and a badge, the statement alleges. Officials said he then fired shots into the air “approximately a dozen times while shouting that the attendees would die.” Several people at the event tackled Matthew McCulloch and took his gun, according to court documents. He was attending the event with his family.</v>
      </c>
      <c r="AA577" s="8" t="str">
        <f ca="1">IFERROR(__xludf.DUMMYFUNCTION("""COMPUTED_VALUE"""),"Indiscriminate Shooting")</f>
        <v>Indiscriminate Shooting</v>
      </c>
      <c r="AB577" s="8" t="str">
        <f ca="1">IFERROR(__xludf.DUMMYFUNCTION("""COMPUTED_VALUE"""),"Spontaneous")</f>
        <v>Spontaneous</v>
      </c>
      <c r="AC577" s="8" t="str">
        <f ca="1">IFERROR(__xludf.DUMMYFUNCTION("""COMPUTED_VALUE"""),"Yes")</f>
        <v>Yes</v>
      </c>
      <c r="AD577" s="8" t="str">
        <f ca="1">IFERROR(__xludf.DUMMYFUNCTION("""COMPUTED_VALUE"""),"Random Shooting")</f>
        <v>Random Shooting</v>
      </c>
      <c r="AE577" s="8" t="str">
        <f ca="1">IFERROR(__xludf.DUMMYFUNCTION("""COMPUTED_VALUE"""),"No")</f>
        <v>No</v>
      </c>
      <c r="AF577" s="8"/>
      <c r="AG577" s="8" t="str">
        <f ca="1">IFERROR(__xludf.DUMMYFUNCTION("""COMPUTED_VALUE"""),"No")</f>
        <v>No</v>
      </c>
      <c r="AH577" s="8" t="str">
        <f ca="1">IFERROR(__xludf.DUMMYFUNCTION("""COMPUTED_VALUE"""),"No")</f>
        <v>No</v>
      </c>
      <c r="AI577" s="8" t="str">
        <f ca="1">IFERROR(__xludf.DUMMYFUNCTION("""COMPUTED_VALUE"""),"No")</f>
        <v>No</v>
      </c>
      <c r="AJ577" s="8" t="str">
        <f ca="1">IFERROR(__xludf.DUMMYFUNCTION("""COMPUTED_VALUE"""),"No")</f>
        <v>No</v>
      </c>
      <c r="AK577" s="8" t="str">
        <f ca="1">IFERROR(__xludf.DUMMYFUNCTION("""COMPUTED_VALUE"""),"No")</f>
        <v>No</v>
      </c>
      <c r="AL577" s="8" t="str">
        <f ca="1">IFERROR(__xludf.DUMMYFUNCTION("""COMPUTED_VALUE"""),"No")</f>
        <v>No</v>
      </c>
      <c r="AM577" s="8" t="str">
        <f ca="1">IFERROR(__xludf.DUMMYFUNCTION("""COMPUTED_VALUE"""),"Yes")</f>
        <v>Yes</v>
      </c>
      <c r="AN577" s="8" t="str">
        <f ca="1">IFERROR(__xludf.DUMMYFUNCTION("""COMPUTED_VALUE"""),"Outside")</f>
        <v>Outside</v>
      </c>
      <c r="AO577" s="8" t="str">
        <f ca="1">IFERROR(__xludf.DUMMYFUNCTION("""COMPUTED_VALUE"""),"No")</f>
        <v>No</v>
      </c>
      <c r="AP577" s="8"/>
      <c r="AQ577" s="8"/>
      <c r="AR577" s="8" t="str">
        <f ca="1">IFERROR(__xludf.DUMMYFUNCTION("""COMPUTED_VALUE"""),"Outside/Off-Property")</f>
        <v>Outside/Off-Property</v>
      </c>
      <c r="AS577" s="8">
        <f ca="1">IFERROR(__xludf.DUMMYFUNCTION("""COMPUTED_VALUE"""),12)</f>
        <v>12</v>
      </c>
      <c r="AT577" s="8" t="str">
        <f ca="1">IFERROR(__xludf.DUMMYFUNCTION("""COMPUTED_VALUE"""),"No")</f>
        <v>No</v>
      </c>
      <c r="AU577" s="8">
        <f ca="1">IFERROR(__xludf.DUMMYFUNCTION("""COMPUTED_VALUE"""),38.600036)</f>
        <v>38.600036000000003</v>
      </c>
      <c r="AV577" s="8">
        <f ca="1">IFERROR(__xludf.DUMMYFUNCTION("""COMPUTED_VALUE"""),-90.418977)</f>
        <v>-90.418976999999998</v>
      </c>
      <c r="AW577" s="8"/>
      <c r="AX577" s="8">
        <f ca="1">IFERROR(__xludf.DUMMYFUNCTION("""COMPUTED_VALUE"""),63122)</f>
        <v>63122</v>
      </c>
    </row>
    <row r="578" spans="1:50" ht="60" x14ac:dyDescent="0.2">
      <c r="A578" s="8" t="str">
        <f ca="1">IFERROR(__xludf.DUMMYFUNCTION("""COMPUTED_VALUE"""),"20231013FLBOS")</f>
        <v>20231013FLBOS</v>
      </c>
      <c r="B578" s="8">
        <f ca="1">IFERROR(__xludf.DUMMYFUNCTION("""COMPUTED_VALUE"""),10)</f>
        <v>10</v>
      </c>
      <c r="C578" s="8">
        <f ca="1">IFERROR(__xludf.DUMMYFUNCTION("""COMPUTED_VALUE"""),13)</f>
        <v>13</v>
      </c>
      <c r="D578" s="8">
        <f ca="1">IFERROR(__xludf.DUMMYFUNCTION("""COMPUTED_VALUE"""),2023)</f>
        <v>2023</v>
      </c>
      <c r="E578" s="9">
        <f ca="1">IFERROR(__xludf.DUMMYFUNCTION("""COMPUTED_VALUE"""),45212)</f>
        <v>45212</v>
      </c>
      <c r="F578" s="8" t="str">
        <f ca="1">IFERROR(__xludf.DUMMYFUNCTION("""COMPUTED_VALUE"""),"Booker High School")</f>
        <v>Booker High School</v>
      </c>
      <c r="G578" s="8">
        <f ca="1">IFERROR(__xludf.DUMMYFUNCTION("""COMPUTED_VALUE"""),0)</f>
        <v>0</v>
      </c>
      <c r="H578" s="8">
        <f ca="1">IFERROR(__xludf.DUMMYFUNCTION("""COMPUTED_VALUE"""),0)</f>
        <v>0</v>
      </c>
      <c r="I578" s="8">
        <f ca="1">IFERROR(__xludf.DUMMYFUNCTION("""COMPUTED_VALUE"""),0)</f>
        <v>0</v>
      </c>
      <c r="J578" s="8">
        <f ca="1">IFERROR(__xludf.DUMMYFUNCTION("""COMPUTED_VALUE"""),0)</f>
        <v>0</v>
      </c>
      <c r="K578" s="10" t="str">
        <f ca="1">IFERROR(__xludf.DUMMYFUNCTION("""COMPUTED_VALUE"""),"https://www.wfla.com/news/sarasota-county/police-investigate-after-shots-fired-near-booker-high-school-in-sarasota/
https://www.mysuncoast.com/2023/10/14/spd-investigating-shooting-incident-near-booker-high-school/")</f>
        <v>https://www.wfla.com/news/sarasota-county/police-investigate-after-shots-fired-near-booker-high-school-in-sarasota/
https://www.mysuncoast.com/2023/10/14/spd-investigating-shooting-incident-near-booker-high-school/</v>
      </c>
      <c r="L578" s="8">
        <f ca="1">IFERROR(__xludf.DUMMYFUNCTION("""COMPUTED_VALUE"""),10)</f>
        <v>10</v>
      </c>
      <c r="M578" s="8" t="str">
        <f ca="1">IFERROR(__xludf.DUMMYFUNCTION("""COMPUTED_VALUE"""),"Local")</f>
        <v>Local</v>
      </c>
      <c r="N578" s="8">
        <f ca="1">IFERROR(__xludf.DUMMYFUNCTION("""COMPUTED_VALUE"""),4)</f>
        <v>4</v>
      </c>
      <c r="O578" s="8" t="str">
        <f ca="1">IFERROR(__xludf.DUMMYFUNCTION("""COMPUTED_VALUE"""),"Fall")</f>
        <v>Fall</v>
      </c>
      <c r="P578" s="8" t="str">
        <f ca="1">IFERROR(__xludf.DUMMYFUNCTION("""COMPUTED_VALUE"""),"Sarasota")</f>
        <v>Sarasota</v>
      </c>
      <c r="Q578" s="8" t="str">
        <f ca="1">IFERROR(__xludf.DUMMYFUNCTION("""COMPUTED_VALUE"""),"FL")</f>
        <v>FL</v>
      </c>
      <c r="R578" s="8" t="str">
        <f ca="1">IFERROR(__xludf.DUMMYFUNCTION("""COMPUTED_VALUE"""),"High")</f>
        <v>High</v>
      </c>
      <c r="S578" s="8" t="str">
        <f ca="1">IFERROR(__xludf.DUMMYFUNCTION("""COMPUTED_VALUE"""),"Off School Property")</f>
        <v>Off School Property</v>
      </c>
      <c r="T578" s="8" t="str">
        <f ca="1">IFERROR(__xludf.DUMMYFUNCTION("""COMPUTED_VALUE"""),"Off School Property")</f>
        <v>Off School Property</v>
      </c>
      <c r="U578" s="8" t="str">
        <f ca="1">IFERROR(__xludf.DUMMYFUNCTION("""COMPUTED_VALUE"""),"No")</f>
        <v>No</v>
      </c>
      <c r="V578" s="8" t="str">
        <f ca="1">IFERROR(__xludf.DUMMYFUNCTION("""COMPUTED_VALUE"""),"Sport Event")</f>
        <v>Sport Event</v>
      </c>
      <c r="W578" s="11">
        <f ca="1">IFERROR(__xludf.DUMMYFUNCTION("""COMPUTED_VALUE"""),0.854166666666666)</f>
        <v>0.85416666666666596</v>
      </c>
      <c r="X578" s="8">
        <f ca="1">IFERROR(__xludf.DUMMYFUNCTION("""COMPUTED_VALUE"""),1)</f>
        <v>1</v>
      </c>
      <c r="Y578" s="12" t="str">
        <f ca="1">IFERROR(__xludf.DUMMYFUNCTION("""COMPUTED_VALUE"""),"Shots fired on the street next to the football stadium, crowd evacuated")</f>
        <v>Shots fired on the street next to the football stadium, crowd evacuated</v>
      </c>
      <c r="Z578" s="12" t="str">
        <f ca="1">IFERROR(__xludf.DUMMYFUNCTION("""COMPUTED_VALUE"""),"The crowd and players ran from the football stadium when shots were fired on the street outside. No injuries.")</f>
        <v>The crowd and players ran from the football stadium when shots were fired on the street outside. No injuries.</v>
      </c>
      <c r="AA578" s="8"/>
      <c r="AB578" s="8"/>
      <c r="AC578" s="8" t="str">
        <f ca="1">IFERROR(__xludf.DUMMYFUNCTION("""COMPUTED_VALUE"""),"Yes")</f>
        <v>Yes</v>
      </c>
      <c r="AD578" s="8"/>
      <c r="AE578" s="8"/>
      <c r="AF578" s="8"/>
      <c r="AG578" s="8" t="str">
        <f ca="1">IFERROR(__xludf.DUMMYFUNCTION("""COMPUTED_VALUE"""),"No")</f>
        <v>No</v>
      </c>
      <c r="AH578" s="8" t="str">
        <f ca="1">IFERROR(__xludf.DUMMYFUNCTION("""COMPUTED_VALUE"""),"No")</f>
        <v>No</v>
      </c>
      <c r="AI578" s="8" t="str">
        <f ca="1">IFERROR(__xludf.DUMMYFUNCTION("""COMPUTED_VALUE"""),"No")</f>
        <v>No</v>
      </c>
      <c r="AJ578" s="8" t="str">
        <f ca="1">IFERROR(__xludf.DUMMYFUNCTION("""COMPUTED_VALUE"""),"No")</f>
        <v>No</v>
      </c>
      <c r="AK578" s="8"/>
      <c r="AL578" s="8"/>
      <c r="AM578" s="8" t="str">
        <f ca="1">IFERROR(__xludf.DUMMYFUNCTION("""COMPUTED_VALUE"""),"No")</f>
        <v>No</v>
      </c>
      <c r="AN578" s="8" t="str">
        <f ca="1">IFERROR(__xludf.DUMMYFUNCTION("""COMPUTED_VALUE"""),"Outside")</f>
        <v>Outside</v>
      </c>
      <c r="AO578" s="8" t="str">
        <f ca="1">IFERROR(__xludf.DUMMYFUNCTION("""COMPUTED_VALUE"""),"No")</f>
        <v>No</v>
      </c>
      <c r="AP578" s="8" t="str">
        <f ca="1">IFERROR(__xludf.DUMMYFUNCTION("""COMPUTED_VALUE"""),"Yes")</f>
        <v>Yes</v>
      </c>
      <c r="AQ578" s="8"/>
      <c r="AR578" s="8" t="str">
        <f ca="1">IFERROR(__xludf.DUMMYFUNCTION("""COMPUTED_VALUE"""),"Outside/Off-Property")</f>
        <v>Outside/Off-Property</v>
      </c>
      <c r="AS578" s="8">
        <f ca="1">IFERROR(__xludf.DUMMYFUNCTION("""COMPUTED_VALUE"""),99)</f>
        <v>99</v>
      </c>
      <c r="AT578" s="8" t="str">
        <f ca="1">IFERROR(__xludf.DUMMYFUNCTION("""COMPUTED_VALUE"""),"No")</f>
        <v>No</v>
      </c>
      <c r="AU578" s="8">
        <f ca="1">IFERROR(__xludf.DUMMYFUNCTION("""COMPUTED_VALUE"""),27.363912)</f>
        <v>27.363911999999999</v>
      </c>
      <c r="AV578" s="8">
        <f ca="1">IFERROR(__xludf.DUMMYFUNCTION("""COMPUTED_VALUE"""),-82.541942)</f>
        <v>-82.541942000000006</v>
      </c>
      <c r="AW578" s="8"/>
      <c r="AX578" s="8">
        <f ca="1">IFERROR(__xludf.DUMMYFUNCTION("""COMPUTED_VALUE"""),34234)</f>
        <v>34234</v>
      </c>
    </row>
    <row r="579" spans="1:50" ht="60" x14ac:dyDescent="0.2">
      <c r="A579" s="8" t="str">
        <f ca="1">IFERROR(__xludf.DUMMYFUNCTION("""COMPUTED_VALUE"""),"20231013OHCLC")</f>
        <v>20231013OHCLC</v>
      </c>
      <c r="B579" s="8">
        <f ca="1">IFERROR(__xludf.DUMMYFUNCTION("""COMPUTED_VALUE"""),10)</f>
        <v>10</v>
      </c>
      <c r="C579" s="8">
        <f ca="1">IFERROR(__xludf.DUMMYFUNCTION("""COMPUTED_VALUE"""),13)</f>
        <v>13</v>
      </c>
      <c r="D579" s="8">
        <f ca="1">IFERROR(__xludf.DUMMYFUNCTION("""COMPUTED_VALUE"""),2023)</f>
        <v>2023</v>
      </c>
      <c r="E579" s="9">
        <f ca="1">IFERROR(__xludf.DUMMYFUNCTION("""COMPUTED_VALUE"""),45212)</f>
        <v>45212</v>
      </c>
      <c r="F579" s="8" t="str">
        <f ca="1">IFERROR(__xludf.DUMMYFUNCTION("""COMPUTED_VALUE"""),"Cleveland Central Catholic High School")</f>
        <v>Cleveland Central Catholic High School</v>
      </c>
      <c r="G579" s="8">
        <f ca="1">IFERROR(__xludf.DUMMYFUNCTION("""COMPUTED_VALUE"""),0)</f>
        <v>0</v>
      </c>
      <c r="H579" s="8">
        <f ca="1">IFERROR(__xludf.DUMMYFUNCTION("""COMPUTED_VALUE"""),1)</f>
        <v>1</v>
      </c>
      <c r="I579" s="8">
        <f ca="1">IFERROR(__xludf.DUMMYFUNCTION("""COMPUTED_VALUE"""),1)</f>
        <v>1</v>
      </c>
      <c r="J579" s="8">
        <f ca="1">IFERROR(__xludf.DUMMYFUNCTION("""COMPUTED_VALUE"""),0)</f>
        <v>0</v>
      </c>
      <c r="K579" s="10" t="str">
        <f ca="1">IFERROR(__xludf.DUMMYFUNCTION("""COMPUTED_VALUE"""),"https://www.cleveland19.com/2023/12/17/teenager-found-guilty-shooting-outside-cleveland-central-catholic-high-school/
https://www.news5cleveland.com/news/local-news/we-follow-through/police-arrest-15-year-old-accused-of-shooting-15-year-old-shot-near-clev"&amp;"eland-central-catholic-high-school
https://fox8.com/news/15-year-old-shot-near-cleveland-catholic-school/
https://fox8.com/news/15-year-old-arrested-in-shooting-near-cleveland-central-catholic-high-school/
https://www.cleveland19.com/2023/10/13/15-year-ol"&amp;"d-shot-during-fight-outside-cleveland-central-catholic-high-school/")</f>
        <v>https://www.cleveland19.com/2023/12/17/teenager-found-guilty-shooting-outside-cleveland-central-catholic-high-school/
https://www.news5cleveland.com/news/local-news/we-follow-through/police-arrest-15-year-old-accused-of-shooting-15-year-old-shot-near-cleveland-central-catholic-high-school
https://fox8.com/news/15-year-old-shot-near-cleveland-catholic-school/
https://fox8.com/news/15-year-old-arrested-in-shooting-near-cleveland-central-catholic-high-school/
https://www.cleveland19.com/2023/10/13/15-year-old-shot-during-fight-outside-cleveland-central-catholic-high-school/</v>
      </c>
      <c r="L579" s="8">
        <f ca="1">IFERROR(__xludf.DUMMYFUNCTION("""COMPUTED_VALUE"""),20)</f>
        <v>20</v>
      </c>
      <c r="M579" s="8" t="str">
        <f ca="1">IFERROR(__xludf.DUMMYFUNCTION("""COMPUTED_VALUE"""),"Local")</f>
        <v>Local</v>
      </c>
      <c r="N579" s="8">
        <f ca="1">IFERROR(__xludf.DUMMYFUNCTION("""COMPUTED_VALUE"""),4)</f>
        <v>4</v>
      </c>
      <c r="O579" s="8" t="str">
        <f ca="1">IFERROR(__xludf.DUMMYFUNCTION("""COMPUTED_VALUE"""),"Fall")</f>
        <v>Fall</v>
      </c>
      <c r="P579" s="8" t="str">
        <f ca="1">IFERROR(__xludf.DUMMYFUNCTION("""COMPUTED_VALUE"""),"Cleveland")</f>
        <v>Cleveland</v>
      </c>
      <c r="Q579" s="8" t="str">
        <f ca="1">IFERROR(__xludf.DUMMYFUNCTION("""COMPUTED_VALUE"""),"OH")</f>
        <v>OH</v>
      </c>
      <c r="R579" s="8" t="str">
        <f ca="1">IFERROR(__xludf.DUMMYFUNCTION("""COMPUTED_VALUE"""),"High")</f>
        <v>High</v>
      </c>
      <c r="S579" s="8" t="str">
        <f ca="1">IFERROR(__xludf.DUMMYFUNCTION("""COMPUTED_VALUE"""),"Front of School")</f>
        <v>Front of School</v>
      </c>
      <c r="T579" s="8" t="str">
        <f ca="1">IFERROR(__xludf.DUMMYFUNCTION("""COMPUTED_VALUE"""),"Outside on School Property")</f>
        <v>Outside on School Property</v>
      </c>
      <c r="U579" s="8" t="str">
        <f ca="1">IFERROR(__xludf.DUMMYFUNCTION("""COMPUTED_VALUE"""),"Yes")</f>
        <v>Yes</v>
      </c>
      <c r="V579" s="8" t="str">
        <f ca="1">IFERROR(__xludf.DUMMYFUNCTION("""COMPUTED_VALUE"""),"Dismissal")</f>
        <v>Dismissal</v>
      </c>
      <c r="W579" s="11">
        <f ca="1">IFERROR(__xludf.DUMMYFUNCTION("""COMPUTED_VALUE"""),0.625)</f>
        <v>0.625</v>
      </c>
      <c r="X579" s="8">
        <f ca="1">IFERROR(__xludf.DUMMYFUNCTION("""COMPUTED_VALUE"""),1)</f>
        <v>1</v>
      </c>
      <c r="Y579" s="12" t="str">
        <f ca="1">IFERROR(__xludf.DUMMYFUNCTION("""COMPUTED_VALUE"""),"15-year-old shot during fight in front of the school")</f>
        <v>15-year-old shot during fight in front of the school</v>
      </c>
      <c r="Z579" s="12" t="str">
        <f ca="1">IFERROR(__xludf.DUMMYFUNCTION("""COMPUTED_VALUE"""),"15-year-old was seriously injured when he was shot during a fight in front of the school at dismissal. A backpack was found by police in the grass in front of the building. The gun used may have been a pellet gun.")</f>
        <v>15-year-old was seriously injured when he was shot during a fight in front of the school at dismissal. A backpack was found by police in the grass in front of the building. The gun used may have been a pellet gun.</v>
      </c>
      <c r="AA579" s="8" t="str">
        <f ca="1">IFERROR(__xludf.DUMMYFUNCTION("""COMPUTED_VALUE"""),"Escalation of Dispute")</f>
        <v>Escalation of Dispute</v>
      </c>
      <c r="AB579" s="8" t="str">
        <f ca="1">IFERROR(__xludf.DUMMYFUNCTION("""COMPUTED_VALUE"""),"Spontaneous")</f>
        <v>Spontaneous</v>
      </c>
      <c r="AC579" s="8" t="str">
        <f ca="1">IFERROR(__xludf.DUMMYFUNCTION("""COMPUTED_VALUE"""),"Yes")</f>
        <v>Yes</v>
      </c>
      <c r="AD579" s="8"/>
      <c r="AE579" s="8"/>
      <c r="AF579" s="8"/>
      <c r="AG579" s="8" t="str">
        <f ca="1">IFERROR(__xludf.DUMMYFUNCTION("""COMPUTED_VALUE"""),"No")</f>
        <v>No</v>
      </c>
      <c r="AH579" s="8" t="str">
        <f ca="1">IFERROR(__xludf.DUMMYFUNCTION("""COMPUTED_VALUE"""),"No")</f>
        <v>No</v>
      </c>
      <c r="AI579" s="8" t="str">
        <f ca="1">IFERROR(__xludf.DUMMYFUNCTION("""COMPUTED_VALUE"""),"No")</f>
        <v>No</v>
      </c>
      <c r="AJ579" s="8" t="str">
        <f ca="1">IFERROR(__xludf.DUMMYFUNCTION("""COMPUTED_VALUE"""),"No")</f>
        <v>No</v>
      </c>
      <c r="AK579" s="8" t="str">
        <f ca="1">IFERROR(__xludf.DUMMYFUNCTION("""COMPUTED_VALUE"""),"No")</f>
        <v>No</v>
      </c>
      <c r="AL579" s="8"/>
      <c r="AM579" s="8" t="str">
        <f ca="1">IFERROR(__xludf.DUMMYFUNCTION("""COMPUTED_VALUE"""),"No")</f>
        <v>No</v>
      </c>
      <c r="AN579" s="8" t="str">
        <f ca="1">IFERROR(__xludf.DUMMYFUNCTION("""COMPUTED_VALUE"""),"Outside")</f>
        <v>Outside</v>
      </c>
      <c r="AO579" s="8" t="str">
        <f ca="1">IFERROR(__xludf.DUMMYFUNCTION("""COMPUTED_VALUE"""),"No")</f>
        <v>No</v>
      </c>
      <c r="AP579" s="8"/>
      <c r="AQ579" s="8"/>
      <c r="AR579" s="8" t="str">
        <f ca="1">IFERROR(__xludf.DUMMYFUNCTION("""COMPUTED_VALUE"""),"Outside/Off-Property")</f>
        <v>Outside/Off-Property</v>
      </c>
      <c r="AS579" s="8"/>
      <c r="AT579" s="8" t="str">
        <f ca="1">IFERROR(__xludf.DUMMYFUNCTION("""COMPUTED_VALUE"""),"No")</f>
        <v>No</v>
      </c>
      <c r="AU579" s="8">
        <f ca="1">IFERROR(__xludf.DUMMYFUNCTION("""COMPUTED_VALUE"""),41.459187)</f>
        <v>41.459187</v>
      </c>
      <c r="AV579" s="8">
        <f ca="1">IFERROR(__xludf.DUMMYFUNCTION("""COMPUTED_VALUE"""),-81.643204)</f>
        <v>-81.643203999999997</v>
      </c>
      <c r="AW579" s="8"/>
      <c r="AX579" s="8">
        <f ca="1">IFERROR(__xludf.DUMMYFUNCTION("""COMPUTED_VALUE"""),44105)</f>
        <v>44105</v>
      </c>
    </row>
    <row r="580" spans="1:50" ht="30" x14ac:dyDescent="0.2">
      <c r="A580" s="8" t="str">
        <f ca="1">IFERROR(__xludf.DUMMYFUNCTION("""COMPUTED_VALUE"""),"20231011CAMAL")</f>
        <v>20231011CAMAL</v>
      </c>
      <c r="B580" s="8">
        <f ca="1">IFERROR(__xludf.DUMMYFUNCTION("""COMPUTED_VALUE"""),10)</f>
        <v>10</v>
      </c>
      <c r="C580" s="8">
        <f ca="1">IFERROR(__xludf.DUMMYFUNCTION("""COMPUTED_VALUE"""),11)</f>
        <v>11</v>
      </c>
      <c r="D580" s="8">
        <f ca="1">IFERROR(__xludf.DUMMYFUNCTION("""COMPUTED_VALUE"""),2023)</f>
        <v>2023</v>
      </c>
      <c r="E580" s="9">
        <f ca="1">IFERROR(__xludf.DUMMYFUNCTION("""COMPUTED_VALUE"""),45210)</f>
        <v>45210</v>
      </c>
      <c r="F580" s="8" t="str">
        <f ca="1">IFERROR(__xludf.DUMMYFUNCTION("""COMPUTED_VALUE"""),"Manual Arts Sr. High School")</f>
        <v>Manual Arts Sr. High School</v>
      </c>
      <c r="G580" s="8">
        <f ca="1">IFERROR(__xludf.DUMMYFUNCTION("""COMPUTED_VALUE"""),0)</f>
        <v>0</v>
      </c>
      <c r="H580" s="8">
        <f ca="1">IFERROR(__xludf.DUMMYFUNCTION("""COMPUTED_VALUE"""),1)</f>
        <v>1</v>
      </c>
      <c r="I580" s="8">
        <f ca="1">IFERROR(__xludf.DUMMYFUNCTION("""COMPUTED_VALUE"""),1)</f>
        <v>1</v>
      </c>
      <c r="J580" s="8">
        <f ca="1">IFERROR(__xludf.DUMMYFUNCTION("""COMPUTED_VALUE"""),0)</f>
        <v>0</v>
      </c>
      <c r="K580" s="10" t="str">
        <f ca="1">IFERROR(__xludf.DUMMYFUNCTION("""COMPUTED_VALUE"""),"https://www.foxla.com/news/shooting-near-high-school-in-los-angeles-under-investigation")</f>
        <v>https://www.foxla.com/news/shooting-near-high-school-in-los-angeles-under-investigation</v>
      </c>
      <c r="L580" s="8">
        <f ca="1">IFERROR(__xludf.DUMMYFUNCTION("""COMPUTED_VALUE"""),1)</f>
        <v>1</v>
      </c>
      <c r="M580" s="8" t="str">
        <f ca="1">IFERROR(__xludf.DUMMYFUNCTION("""COMPUTED_VALUE"""),"Local")</f>
        <v>Local</v>
      </c>
      <c r="N580" s="8">
        <f ca="1">IFERROR(__xludf.DUMMYFUNCTION("""COMPUTED_VALUE"""),3)</f>
        <v>3</v>
      </c>
      <c r="O580" s="8" t="str">
        <f ca="1">IFERROR(__xludf.DUMMYFUNCTION("""COMPUTED_VALUE"""),"Fall")</f>
        <v>Fall</v>
      </c>
      <c r="P580" s="8" t="str">
        <f ca="1">IFERROR(__xludf.DUMMYFUNCTION("""COMPUTED_VALUE"""),"Los Angles")</f>
        <v>Los Angles</v>
      </c>
      <c r="Q580" s="8" t="str">
        <f ca="1">IFERROR(__xludf.DUMMYFUNCTION("""COMPUTED_VALUE"""),"CA")</f>
        <v>CA</v>
      </c>
      <c r="R580" s="8" t="str">
        <f ca="1">IFERROR(__xludf.DUMMYFUNCTION("""COMPUTED_VALUE"""),"High")</f>
        <v>High</v>
      </c>
      <c r="S580" s="8" t="str">
        <f ca="1">IFERROR(__xludf.DUMMYFUNCTION("""COMPUTED_VALUE"""),"Front of School")</f>
        <v>Front of School</v>
      </c>
      <c r="T580" s="8" t="str">
        <f ca="1">IFERROR(__xludf.DUMMYFUNCTION("""COMPUTED_VALUE"""),"Outside on School Property")</f>
        <v>Outside on School Property</v>
      </c>
      <c r="U580" s="8" t="str">
        <f ca="1">IFERROR(__xludf.DUMMYFUNCTION("""COMPUTED_VALUE"""),"Yes")</f>
        <v>Yes</v>
      </c>
      <c r="V580" s="8" t="str">
        <f ca="1">IFERROR(__xludf.DUMMYFUNCTION("""COMPUTED_VALUE"""),"Morning Classes")</f>
        <v>Morning Classes</v>
      </c>
      <c r="W580" s="11">
        <f ca="1">IFERROR(__xludf.DUMMYFUNCTION("""COMPUTED_VALUE"""),0.354166666666666)</f>
        <v>0.35416666666666602</v>
      </c>
      <c r="X580" s="8">
        <f ca="1">IFERROR(__xludf.DUMMYFUNCTION("""COMPUTED_VALUE"""),1)</f>
        <v>1</v>
      </c>
      <c r="Y580" s="12" t="str">
        <f ca="1">IFERROR(__xludf.DUMMYFUNCTION("""COMPUTED_VALUE"""),"Man shot in front of school")</f>
        <v>Man shot in front of school</v>
      </c>
      <c r="Z580" s="12" t="str">
        <f ca="1">IFERROR(__xludf.DUMMYFUNCTION("""COMPUTED_VALUE"""),"Man shot in front of the school. School went on lockdown and LA School Police responded")</f>
        <v>Man shot in front of the school. School went on lockdown and LA School Police responded</v>
      </c>
      <c r="AA580" s="8"/>
      <c r="AB580" s="8"/>
      <c r="AC580" s="8" t="str">
        <f ca="1">IFERROR(__xludf.DUMMYFUNCTION("""COMPUTED_VALUE"""),"Yes")</f>
        <v>Yes</v>
      </c>
      <c r="AD580" s="8"/>
      <c r="AE580" s="8"/>
      <c r="AF580" s="8"/>
      <c r="AG580" s="8" t="str">
        <f ca="1">IFERROR(__xludf.DUMMYFUNCTION("""COMPUTED_VALUE"""),"No")</f>
        <v>No</v>
      </c>
      <c r="AH580" s="8" t="str">
        <f ca="1">IFERROR(__xludf.DUMMYFUNCTION("""COMPUTED_VALUE"""),"No")</f>
        <v>No</v>
      </c>
      <c r="AI580" s="8" t="str">
        <f ca="1">IFERROR(__xludf.DUMMYFUNCTION("""COMPUTED_VALUE"""),"No")</f>
        <v>No</v>
      </c>
      <c r="AJ580" s="8" t="str">
        <f ca="1">IFERROR(__xludf.DUMMYFUNCTION("""COMPUTED_VALUE"""),"No")</f>
        <v>No</v>
      </c>
      <c r="AK580" s="8" t="str">
        <f ca="1">IFERROR(__xludf.DUMMYFUNCTION("""COMPUTED_VALUE"""),"No")</f>
        <v>No</v>
      </c>
      <c r="AL580" s="8"/>
      <c r="AM580" s="8" t="str">
        <f ca="1">IFERROR(__xludf.DUMMYFUNCTION("""COMPUTED_VALUE"""),"No")</f>
        <v>No</v>
      </c>
      <c r="AN580" s="8" t="str">
        <f ca="1">IFERROR(__xludf.DUMMYFUNCTION("""COMPUTED_VALUE"""),"Outside")</f>
        <v>Outside</v>
      </c>
      <c r="AO580" s="8" t="str">
        <f ca="1">IFERROR(__xludf.DUMMYFUNCTION("""COMPUTED_VALUE"""),"No")</f>
        <v>No</v>
      </c>
      <c r="AP580" s="8" t="str">
        <f ca="1">IFERROR(__xludf.DUMMYFUNCTION("""COMPUTED_VALUE"""),"Yes")</f>
        <v>Yes</v>
      </c>
      <c r="AQ580" s="8" t="str">
        <f ca="1">IFERROR(__xludf.DUMMYFUNCTION("""COMPUTED_VALUE"""),"Armed Guards")</f>
        <v>Armed Guards</v>
      </c>
      <c r="AR580" s="8" t="str">
        <f ca="1">IFERROR(__xludf.DUMMYFUNCTION("""COMPUTED_VALUE"""),"Outside/Off-Property")</f>
        <v>Outside/Off-Property</v>
      </c>
      <c r="AS580" s="8">
        <f ca="1">IFERROR(__xludf.DUMMYFUNCTION("""COMPUTED_VALUE"""),99)</f>
        <v>99</v>
      </c>
      <c r="AT580" s="8" t="str">
        <f ca="1">IFERROR(__xludf.DUMMYFUNCTION("""COMPUTED_VALUE"""),"Yes")</f>
        <v>Yes</v>
      </c>
      <c r="AU580" s="8">
        <f ca="1">IFERROR(__xludf.DUMMYFUNCTION("""COMPUTED_VALUE"""),34.009266)</f>
        <v>34.009265999999997</v>
      </c>
      <c r="AV580" s="8">
        <f ca="1">IFERROR(__xludf.DUMMYFUNCTION("""COMPUTED_VALUE"""),-118.292033)</f>
        <v>-118.292033</v>
      </c>
      <c r="AW580" s="8"/>
      <c r="AX580" s="8">
        <f ca="1">IFERROR(__xludf.DUMMYFUNCTION("""COMPUTED_VALUE"""),90037)</f>
        <v>90037</v>
      </c>
    </row>
    <row r="581" spans="1:50" ht="45" x14ac:dyDescent="0.2">
      <c r="A581" s="8" t="str">
        <f ca="1">IFERROR(__xludf.DUMMYFUNCTION("""COMPUTED_VALUE"""),"20231011FLMIM")</f>
        <v>20231011FLMIM</v>
      </c>
      <c r="B581" s="8">
        <f ca="1">IFERROR(__xludf.DUMMYFUNCTION("""COMPUTED_VALUE"""),10)</f>
        <v>10</v>
      </c>
      <c r="C581" s="8">
        <f ca="1">IFERROR(__xludf.DUMMYFUNCTION("""COMPUTED_VALUE"""),11)</f>
        <v>11</v>
      </c>
      <c r="D581" s="8">
        <f ca="1">IFERROR(__xludf.DUMMYFUNCTION("""COMPUTED_VALUE"""),2023)</f>
        <v>2023</v>
      </c>
      <c r="E581" s="9">
        <f ca="1">IFERROR(__xludf.DUMMYFUNCTION("""COMPUTED_VALUE"""),45210)</f>
        <v>45210</v>
      </c>
      <c r="F581" s="8" t="str">
        <f ca="1">IFERROR(__xludf.DUMMYFUNCTION("""COMPUTED_VALUE"""),"Miami Edison High School")</f>
        <v>Miami Edison High School</v>
      </c>
      <c r="G581" s="8">
        <f ca="1">IFERROR(__xludf.DUMMYFUNCTION("""COMPUTED_VALUE"""),1)</f>
        <v>1</v>
      </c>
      <c r="H581" s="8">
        <f ca="1">IFERROR(__xludf.DUMMYFUNCTION("""COMPUTED_VALUE"""),0)</f>
        <v>0</v>
      </c>
      <c r="I581" s="8">
        <f ca="1">IFERROR(__xludf.DUMMYFUNCTION("""COMPUTED_VALUE"""),1)</f>
        <v>1</v>
      </c>
      <c r="J581" s="8">
        <f ca="1">IFERROR(__xludf.DUMMYFUNCTION("""COMPUTED_VALUE"""),0)</f>
        <v>0</v>
      </c>
      <c r="K581" s="10" t="str">
        <f ca="1">IFERROR(__xludf.DUMMYFUNCTION("""COMPUTED_VALUE"""),"https://wsvn.com/news/local/miami-dade/man-killed-in-police-involved-shooting-near-miami-edison-high-school-2nd-armed-subject-in-custody/")</f>
        <v>https://wsvn.com/news/local/miami-dade/man-killed-in-police-involved-shooting-near-miami-edison-high-school-2nd-armed-subject-in-custody/</v>
      </c>
      <c r="L581" s="8">
        <f ca="1">IFERROR(__xludf.DUMMYFUNCTION("""COMPUTED_VALUE"""),5)</f>
        <v>5</v>
      </c>
      <c r="M581" s="8" t="str">
        <f ca="1">IFERROR(__xludf.DUMMYFUNCTION("""COMPUTED_VALUE"""),"Local")</f>
        <v>Local</v>
      </c>
      <c r="N581" s="8">
        <f ca="1">IFERROR(__xludf.DUMMYFUNCTION("""COMPUTED_VALUE"""),4)</f>
        <v>4</v>
      </c>
      <c r="O581" s="8" t="str">
        <f ca="1">IFERROR(__xludf.DUMMYFUNCTION("""COMPUTED_VALUE"""),"Fall")</f>
        <v>Fall</v>
      </c>
      <c r="P581" s="8" t="str">
        <f ca="1">IFERROR(__xludf.DUMMYFUNCTION("""COMPUTED_VALUE"""),"Miami")</f>
        <v>Miami</v>
      </c>
      <c r="Q581" s="8" t="str">
        <f ca="1">IFERROR(__xludf.DUMMYFUNCTION("""COMPUTED_VALUE"""),"FL")</f>
        <v>FL</v>
      </c>
      <c r="R581" s="8" t="str">
        <f ca="1">IFERROR(__xludf.DUMMYFUNCTION("""COMPUTED_VALUE"""),"High")</f>
        <v>High</v>
      </c>
      <c r="S581" s="8" t="str">
        <f ca="1">IFERROR(__xludf.DUMMYFUNCTION("""COMPUTED_VALUE"""),"Football Field/Track")</f>
        <v>Football Field/Track</v>
      </c>
      <c r="T581" s="8" t="str">
        <f ca="1">IFERROR(__xludf.DUMMYFUNCTION("""COMPUTED_VALUE"""),"Outside on School Property")</f>
        <v>Outside on School Property</v>
      </c>
      <c r="U581" s="8" t="str">
        <f ca="1">IFERROR(__xludf.DUMMYFUNCTION("""COMPUTED_VALUE"""),"No")</f>
        <v>No</v>
      </c>
      <c r="V581" s="8" t="str">
        <f ca="1">IFERROR(__xludf.DUMMYFUNCTION("""COMPUTED_VALUE"""),"Evening")</f>
        <v>Evening</v>
      </c>
      <c r="W581" s="11">
        <f ca="1">IFERROR(__xludf.DUMMYFUNCTION("""COMPUTED_VALUE"""),0.71875)</f>
        <v>0.71875</v>
      </c>
      <c r="X581" s="8">
        <f ca="1">IFERROR(__xludf.DUMMYFUNCTION("""COMPUTED_VALUE"""),1)</f>
        <v>1</v>
      </c>
      <c r="Y581" s="12" t="str">
        <f ca="1">IFERROR(__xludf.DUMMYFUNCTION("""COMPUTED_VALUE"""),"Man was fatally shot on the school football field")</f>
        <v>Man was fatally shot on the school football field</v>
      </c>
      <c r="Z581" s="12" t="str">
        <f ca="1">IFERROR(__xludf.DUMMYFUNCTION("""COMPUTED_VALUE"""),"Man was found fatally shot on the school football field. Second arm man was shot at by officers and detained.")</f>
        <v>Man was found fatally shot on the school football field. Second arm man was shot at by officers and detained.</v>
      </c>
      <c r="AA581" s="8"/>
      <c r="AB581" s="8"/>
      <c r="AC581" s="8"/>
      <c r="AD581" s="8" t="str">
        <f ca="1">IFERROR(__xludf.DUMMYFUNCTION("""COMPUTED_VALUE"""),"Victims Targeted")</f>
        <v>Victims Targeted</v>
      </c>
      <c r="AE581" s="8" t="str">
        <f ca="1">IFERROR(__xludf.DUMMYFUNCTION("""COMPUTED_VALUE"""),"No")</f>
        <v>No</v>
      </c>
      <c r="AF581" s="8"/>
      <c r="AG581" s="8" t="str">
        <f ca="1">IFERROR(__xludf.DUMMYFUNCTION("""COMPUTED_VALUE"""),"No")</f>
        <v>No</v>
      </c>
      <c r="AH581" s="8" t="str">
        <f ca="1">IFERROR(__xludf.DUMMYFUNCTION("""COMPUTED_VALUE"""),"No")</f>
        <v>No</v>
      </c>
      <c r="AI581" s="8" t="str">
        <f ca="1">IFERROR(__xludf.DUMMYFUNCTION("""COMPUTED_VALUE"""),"No")</f>
        <v>No</v>
      </c>
      <c r="AJ581" s="8" t="str">
        <f ca="1">IFERROR(__xludf.DUMMYFUNCTION("""COMPUTED_VALUE"""),"No")</f>
        <v>No</v>
      </c>
      <c r="AK581" s="8" t="str">
        <f ca="1">IFERROR(__xludf.DUMMYFUNCTION("""COMPUTED_VALUE"""),"No")</f>
        <v>No</v>
      </c>
      <c r="AL581" s="8" t="str">
        <f ca="1">IFERROR(__xludf.DUMMYFUNCTION("""COMPUTED_VALUE"""),"Yes")</f>
        <v>Yes</v>
      </c>
      <c r="AM581" s="8" t="str">
        <f ca="1">IFERROR(__xludf.DUMMYFUNCTION("""COMPUTED_VALUE"""),"No")</f>
        <v>No</v>
      </c>
      <c r="AN581" s="8" t="str">
        <f ca="1">IFERROR(__xludf.DUMMYFUNCTION("""COMPUTED_VALUE"""),"Outside")</f>
        <v>Outside</v>
      </c>
      <c r="AO581" s="8" t="str">
        <f ca="1">IFERROR(__xludf.DUMMYFUNCTION("""COMPUTED_VALUE"""),"No")</f>
        <v>No</v>
      </c>
      <c r="AP581" s="8"/>
      <c r="AQ581" s="8"/>
      <c r="AR581" s="8" t="str">
        <f ca="1">IFERROR(__xludf.DUMMYFUNCTION("""COMPUTED_VALUE"""),"Outside/Off-Property")</f>
        <v>Outside/Off-Property</v>
      </c>
      <c r="AS581" s="8">
        <f ca="1">IFERROR(__xludf.DUMMYFUNCTION("""COMPUTED_VALUE"""),99)</f>
        <v>99</v>
      </c>
      <c r="AT581" s="8" t="str">
        <f ca="1">IFERROR(__xludf.DUMMYFUNCTION("""COMPUTED_VALUE"""),"No")</f>
        <v>No</v>
      </c>
      <c r="AU581" s="8">
        <f ca="1">IFERROR(__xludf.DUMMYFUNCTION("""COMPUTED_VALUE"""),25.831978)</f>
        <v>25.831977999999999</v>
      </c>
      <c r="AV581" s="8">
        <f ca="1">IFERROR(__xludf.DUMMYFUNCTION("""COMPUTED_VALUE"""),-80.204024)</f>
        <v>-80.204024000000004</v>
      </c>
      <c r="AW581" s="8"/>
      <c r="AX581" s="8">
        <f ca="1">IFERROR(__xludf.DUMMYFUNCTION("""COMPUTED_VALUE"""),33150)</f>
        <v>33150</v>
      </c>
    </row>
    <row r="582" spans="1:50" ht="135" x14ac:dyDescent="0.2">
      <c r="A582" s="8" t="str">
        <f ca="1">IFERROR(__xludf.DUMMYFUNCTION("""COMPUTED_VALUE"""),"20231011TXSEF")</f>
        <v>20231011TXSEF</v>
      </c>
      <c r="B582" s="8">
        <f ca="1">IFERROR(__xludf.DUMMYFUNCTION("""COMPUTED_VALUE"""),10)</f>
        <v>10</v>
      </c>
      <c r="C582" s="8">
        <f ca="1">IFERROR(__xludf.DUMMYFUNCTION("""COMPUTED_VALUE"""),11)</f>
        <v>11</v>
      </c>
      <c r="D582" s="8">
        <f ca="1">IFERROR(__xludf.DUMMYFUNCTION("""COMPUTED_VALUE"""),2023)</f>
        <v>2023</v>
      </c>
      <c r="E582" s="9">
        <f ca="1">IFERROR(__xludf.DUMMYFUNCTION("""COMPUTED_VALUE"""),45210)</f>
        <v>45210</v>
      </c>
      <c r="F582" s="8" t="str">
        <f ca="1">IFERROR(__xludf.DUMMYFUNCTION("""COMPUTED_VALUE"""),"Sellars Elementary School")</f>
        <v>Sellars Elementary School</v>
      </c>
      <c r="G582" s="8">
        <f ca="1">IFERROR(__xludf.DUMMYFUNCTION("""COMPUTED_VALUE"""),1)</f>
        <v>1</v>
      </c>
      <c r="H582" s="8">
        <f ca="1">IFERROR(__xludf.DUMMYFUNCTION("""COMPUTED_VALUE"""),0)</f>
        <v>0</v>
      </c>
      <c r="I582" s="8">
        <f ca="1">IFERROR(__xludf.DUMMYFUNCTION("""COMPUTED_VALUE"""),1)</f>
        <v>1</v>
      </c>
      <c r="J582" s="8">
        <f ca="1">IFERROR(__xludf.DUMMYFUNCTION("""COMPUTED_VALUE"""),0)</f>
        <v>0</v>
      </c>
      <c r="K582" s="8" t="str">
        <f ca="1">IFERROR(__xludf.DUMMYFUNCTION("""COMPUTED_VALUE"""),"https://www.fox4news.com/news/sellars-elementary-school-shooting
https://www.nbcdfw.com/news/local/staff-member-dead-at-fwisd-elementary-school/3357903/")</f>
        <v>https://www.fox4news.com/news/sellars-elementary-school-shooting
https://www.nbcdfw.com/news/local/staff-member-dead-at-fwisd-elementary-school/3357903/</v>
      </c>
      <c r="L582" s="8">
        <f ca="1">IFERROR(__xludf.DUMMYFUNCTION("""COMPUTED_VALUE"""),20)</f>
        <v>20</v>
      </c>
      <c r="M582" s="8" t="str">
        <f ca="1">IFERROR(__xludf.DUMMYFUNCTION("""COMPUTED_VALUE"""),"National")</f>
        <v>National</v>
      </c>
      <c r="N582" s="8">
        <f ca="1">IFERROR(__xludf.DUMMYFUNCTION("""COMPUTED_VALUE"""),4)</f>
        <v>4</v>
      </c>
      <c r="O582" s="8" t="str">
        <f ca="1">IFERROR(__xludf.DUMMYFUNCTION("""COMPUTED_VALUE"""),"Fall")</f>
        <v>Fall</v>
      </c>
      <c r="P582" s="8" t="str">
        <f ca="1">IFERROR(__xludf.DUMMYFUNCTION("""COMPUTED_VALUE"""),"Forest Hill")</f>
        <v>Forest Hill</v>
      </c>
      <c r="Q582" s="8" t="str">
        <f ca="1">IFERROR(__xludf.DUMMYFUNCTION("""COMPUTED_VALUE"""),"TX")</f>
        <v>TX</v>
      </c>
      <c r="R582" s="8" t="str">
        <f ca="1">IFERROR(__xludf.DUMMYFUNCTION("""COMPUTED_VALUE"""),"Elementary")</f>
        <v>Elementary</v>
      </c>
      <c r="S582" s="8" t="str">
        <f ca="1">IFERROR(__xludf.DUMMYFUNCTION("""COMPUTED_VALUE"""),"Parking Lot")</f>
        <v>Parking Lot</v>
      </c>
      <c r="T582" s="8" t="str">
        <f ca="1">IFERROR(__xludf.DUMMYFUNCTION("""COMPUTED_VALUE"""),"Outside on School Property")</f>
        <v>Outside on School Property</v>
      </c>
      <c r="U582" s="8" t="str">
        <f ca="1">IFERROR(__xludf.DUMMYFUNCTION("""COMPUTED_VALUE"""),"Yes")</f>
        <v>Yes</v>
      </c>
      <c r="V582" s="8" t="str">
        <f ca="1">IFERROR(__xludf.DUMMYFUNCTION("""COMPUTED_VALUE"""),"School Start")</f>
        <v>School Start</v>
      </c>
      <c r="W582" s="11">
        <f ca="1">IFERROR(__xludf.DUMMYFUNCTION("""COMPUTED_VALUE"""),0.284722222222222)</f>
        <v>0.28472222222222199</v>
      </c>
      <c r="X582" s="8">
        <f ca="1">IFERROR(__xludf.DUMMYFUNCTION("""COMPUTED_VALUE"""),1)</f>
        <v>1</v>
      </c>
      <c r="Y582" s="12" t="str">
        <f ca="1">IFERROR(__xludf.DUMMYFUNCTION("""COMPUTED_VALUE"""),"Cafeteria work was fatally shot while talking to someone in the school parking lot")</f>
        <v>Cafeteria work was fatally shot while talking to someone in the school parking lot</v>
      </c>
      <c r="Z582" s="12" t="str">
        <f ca="1">IFERROR(__xludf.DUMMYFUNCTION("""COMPUTED_VALUE"""),"In a statement late Wednesday afternoon, Forest Hill Police said a woman who worked at David K. Sellars Elementary School was talking with a person in a vehicle in the back parking lot when she was shot several times. Officers arrived at the 4200 block of"&amp;" Dorsey Street at about 6:50 a.m. and provided the injured woman first aid before she was taken to John Peter Smith Hospital in Fort Worth, where she died. Person of interest was found dead on Saturday.")</f>
        <v>In a statement late Wednesday afternoon, Forest Hill Police said a woman who worked at David K. Sellars Elementary School was talking with a person in a vehicle in the back parking lot when she was shot several times. Officers arrived at the 4200 block of Dorsey Street at about 6:50 a.m. and provided the injured woman first aid before she was taken to John Peter Smith Hospital in Fort Worth, where she died. Person of interest was found dead on Saturday.</v>
      </c>
      <c r="AA582" s="8" t="str">
        <f ca="1">IFERROR(__xludf.DUMMYFUNCTION("""COMPUTED_VALUE"""),"Domestic w/ Targeted Victim")</f>
        <v>Domestic w/ Targeted Victim</v>
      </c>
      <c r="AB582" s="8" t="str">
        <f ca="1">IFERROR(__xludf.DUMMYFUNCTION("""COMPUTED_VALUE"""),"Targeted")</f>
        <v>Targeted</v>
      </c>
      <c r="AC582" s="8" t="str">
        <f ca="1">IFERROR(__xludf.DUMMYFUNCTION("""COMPUTED_VALUE"""),"Yes")</f>
        <v>Yes</v>
      </c>
      <c r="AD582" s="8" t="str">
        <f ca="1">IFERROR(__xludf.DUMMYFUNCTION("""COMPUTED_VALUE"""),"Victims Targeted")</f>
        <v>Victims Targeted</v>
      </c>
      <c r="AE582" s="8" t="str">
        <f ca="1">IFERROR(__xludf.DUMMYFUNCTION("""COMPUTED_VALUE"""),"No")</f>
        <v>No</v>
      </c>
      <c r="AF582" s="8"/>
      <c r="AG582" s="8" t="str">
        <f ca="1">IFERROR(__xludf.DUMMYFUNCTION("""COMPUTED_VALUE"""),"No")</f>
        <v>No</v>
      </c>
      <c r="AH582" s="8" t="str">
        <f ca="1">IFERROR(__xludf.DUMMYFUNCTION("""COMPUTED_VALUE"""),"No")</f>
        <v>No</v>
      </c>
      <c r="AI582" s="8" t="str">
        <f ca="1">IFERROR(__xludf.DUMMYFUNCTION("""COMPUTED_VALUE"""),"No")</f>
        <v>No</v>
      </c>
      <c r="AJ582" s="8" t="str">
        <f ca="1">IFERROR(__xludf.DUMMYFUNCTION("""COMPUTED_VALUE"""),"No")</f>
        <v>No</v>
      </c>
      <c r="AK582" s="8"/>
      <c r="AL582" s="8" t="str">
        <f ca="1">IFERROR(__xludf.DUMMYFUNCTION("""COMPUTED_VALUE"""),"No")</f>
        <v>No</v>
      </c>
      <c r="AM582" s="8" t="str">
        <f ca="1">IFERROR(__xludf.DUMMYFUNCTION("""COMPUTED_VALUE"""),"No")</f>
        <v>No</v>
      </c>
      <c r="AN582" s="8" t="str">
        <f ca="1">IFERROR(__xludf.DUMMYFUNCTION("""COMPUTED_VALUE"""),"Outside")</f>
        <v>Outside</v>
      </c>
      <c r="AO582" s="8" t="str">
        <f ca="1">IFERROR(__xludf.DUMMYFUNCTION("""COMPUTED_VALUE"""),"No")</f>
        <v>No</v>
      </c>
      <c r="AP582" s="8"/>
      <c r="AQ582" s="8"/>
      <c r="AR582" s="8" t="str">
        <f ca="1">IFERROR(__xludf.DUMMYFUNCTION("""COMPUTED_VALUE"""),"Outside/Off-Property")</f>
        <v>Outside/Off-Property</v>
      </c>
      <c r="AS582" s="8">
        <f ca="1">IFERROR(__xludf.DUMMYFUNCTION("""COMPUTED_VALUE"""),99)</f>
        <v>99</v>
      </c>
      <c r="AT582" s="8" t="str">
        <f ca="1">IFERROR(__xludf.DUMMYFUNCTION("""COMPUTED_VALUE"""),"No")</f>
        <v>No</v>
      </c>
      <c r="AU582" s="8">
        <f ca="1">IFERROR(__xludf.DUMMYFUNCTION("""COMPUTED_VALUE"""),32.66651)</f>
        <v>32.666510000000002</v>
      </c>
      <c r="AV582" s="8">
        <f ca="1">IFERROR(__xludf.DUMMYFUNCTION("""COMPUTED_VALUE"""),-97.262486)</f>
        <v>-97.262485999999996</v>
      </c>
      <c r="AW582" s="8"/>
      <c r="AX582" s="8">
        <f ca="1">IFERROR(__xludf.DUMMYFUNCTION("""COMPUTED_VALUE"""),76119)</f>
        <v>76119</v>
      </c>
    </row>
    <row r="583" spans="1:50" ht="45" x14ac:dyDescent="0.2">
      <c r="A583" s="8" t="str">
        <f ca="1">IFERROR(__xludf.DUMMYFUNCTION("""COMPUTED_VALUE"""),"20231010MOBAS")</f>
        <v>20231010MOBAS</v>
      </c>
      <c r="B583" s="8">
        <f ca="1">IFERROR(__xludf.DUMMYFUNCTION("""COMPUTED_VALUE"""),10)</f>
        <v>10</v>
      </c>
      <c r="C583" s="8">
        <f ca="1">IFERROR(__xludf.DUMMYFUNCTION("""COMPUTED_VALUE"""),10)</f>
        <v>10</v>
      </c>
      <c r="D583" s="8">
        <f ca="1">IFERROR(__xludf.DUMMYFUNCTION("""COMPUTED_VALUE"""),2023)</f>
        <v>2023</v>
      </c>
      <c r="E583" s="9">
        <f ca="1">IFERROR(__xludf.DUMMYFUNCTION("""COMPUTED_VALUE"""),45209)</f>
        <v>45209</v>
      </c>
      <c r="F583" s="8" t="str">
        <f ca="1">IFERROR(__xludf.DUMMYFUNCTION("""COMPUTED_VALUE"""),"Bayless Elementary School")</f>
        <v>Bayless Elementary School</v>
      </c>
      <c r="G583" s="8">
        <f ca="1">IFERROR(__xludf.DUMMYFUNCTION("""COMPUTED_VALUE"""),0)</f>
        <v>0</v>
      </c>
      <c r="H583" s="8">
        <f ca="1">IFERROR(__xludf.DUMMYFUNCTION("""COMPUTED_VALUE"""),0)</f>
        <v>0</v>
      </c>
      <c r="I583" s="8">
        <f ca="1">IFERROR(__xludf.DUMMYFUNCTION("""COMPUTED_VALUE"""),0)</f>
        <v>0</v>
      </c>
      <c r="J583" s="8">
        <f ca="1">IFERROR(__xludf.DUMMYFUNCTION("""COMPUTED_VALUE"""),0)</f>
        <v>0</v>
      </c>
      <c r="K583" s="10" t="str">
        <f ca="1">IFERROR(__xludf.DUMMYFUNCTION("""COMPUTED_VALUE"""),"https://fox2now.com/news/missouri/south-county-residents-shocked-after-gunfire-hits-elementary-school-driver-wanted/")</f>
        <v>https://fox2now.com/news/missouri/south-county-residents-shocked-after-gunfire-hits-elementary-school-driver-wanted/</v>
      </c>
      <c r="L583" s="8">
        <f ca="1">IFERROR(__xludf.DUMMYFUNCTION("""COMPUTED_VALUE"""),5)</f>
        <v>5</v>
      </c>
      <c r="M583" s="8" t="str">
        <f ca="1">IFERROR(__xludf.DUMMYFUNCTION("""COMPUTED_VALUE"""),"Local")</f>
        <v>Local</v>
      </c>
      <c r="N583" s="8">
        <f ca="1">IFERROR(__xludf.DUMMYFUNCTION("""COMPUTED_VALUE"""),4)</f>
        <v>4</v>
      </c>
      <c r="O583" s="8" t="str">
        <f ca="1">IFERROR(__xludf.DUMMYFUNCTION("""COMPUTED_VALUE"""),"Fall")</f>
        <v>Fall</v>
      </c>
      <c r="P583" s="8" t="str">
        <f ca="1">IFERROR(__xludf.DUMMYFUNCTION("""COMPUTED_VALUE"""),"St. Louis")</f>
        <v>St. Louis</v>
      </c>
      <c r="Q583" s="8" t="str">
        <f ca="1">IFERROR(__xludf.DUMMYFUNCTION("""COMPUTED_VALUE"""),"MO")</f>
        <v>MO</v>
      </c>
      <c r="R583" s="8" t="str">
        <f ca="1">IFERROR(__xludf.DUMMYFUNCTION("""COMPUTED_VALUE"""),"Elementary")</f>
        <v>Elementary</v>
      </c>
      <c r="S583" s="8" t="str">
        <f ca="1">IFERROR(__xludf.DUMMYFUNCTION("""COMPUTED_VALUE"""),"Front of School")</f>
        <v>Front of School</v>
      </c>
      <c r="T583" s="8" t="str">
        <f ca="1">IFERROR(__xludf.DUMMYFUNCTION("""COMPUTED_VALUE"""),"Outside on School Property")</f>
        <v>Outside on School Property</v>
      </c>
      <c r="U583" s="8" t="str">
        <f ca="1">IFERROR(__xludf.DUMMYFUNCTION("""COMPUTED_VALUE"""),"Yes")</f>
        <v>Yes</v>
      </c>
      <c r="V583" s="8" t="str">
        <f ca="1">IFERROR(__xludf.DUMMYFUNCTION("""COMPUTED_VALUE"""),"Not a School Day")</f>
        <v>Not a School Day</v>
      </c>
      <c r="W583" s="11">
        <f ca="1">IFERROR(__xludf.DUMMYFUNCTION("""COMPUTED_VALUE"""),0.541666666666666)</f>
        <v>0.54166666666666596</v>
      </c>
      <c r="X583" s="8">
        <f ca="1">IFERROR(__xludf.DUMMYFUNCTION("""COMPUTED_VALUE"""),1)</f>
        <v>1</v>
      </c>
      <c r="Y583" s="12" t="str">
        <f ca="1">IFERROR(__xludf.DUMMYFUNCTION("""COMPUTED_VALUE"""),"Shots fired from vehicle struck the school")</f>
        <v>Shots fired from vehicle struck the school</v>
      </c>
      <c r="Z583" s="12" t="str">
        <f ca="1">IFERROR(__xludf.DUMMYFUNCTION("""COMPUTED_VALUE"""),"Shots fired from vehicle struck the school. Shooter fled. No suspect or motive identified.")</f>
        <v>Shots fired from vehicle struck the school. Shooter fled. No suspect or motive identified.</v>
      </c>
      <c r="AA583" s="8" t="str">
        <f ca="1">IFERROR(__xludf.DUMMYFUNCTION("""COMPUTED_VALUE"""),"Drive-by Shooting")</f>
        <v>Drive-by Shooting</v>
      </c>
      <c r="AB583" s="8"/>
      <c r="AC583" s="8" t="str">
        <f ca="1">IFERROR(__xludf.DUMMYFUNCTION("""COMPUTED_VALUE"""),"Yes")</f>
        <v>Yes</v>
      </c>
      <c r="AD583" s="8" t="str">
        <f ca="1">IFERROR(__xludf.DUMMYFUNCTION("""COMPUTED_VALUE"""),"Random Shooting")</f>
        <v>Random Shooting</v>
      </c>
      <c r="AE583" s="8" t="str">
        <f ca="1">IFERROR(__xludf.DUMMYFUNCTION("""COMPUTED_VALUE"""),"No")</f>
        <v>No</v>
      </c>
      <c r="AF583" s="8"/>
      <c r="AG583" s="8" t="str">
        <f ca="1">IFERROR(__xludf.DUMMYFUNCTION("""COMPUTED_VALUE"""),"No")</f>
        <v>No</v>
      </c>
      <c r="AH583" s="8" t="str">
        <f ca="1">IFERROR(__xludf.DUMMYFUNCTION("""COMPUTED_VALUE"""),"No")</f>
        <v>No</v>
      </c>
      <c r="AI583" s="8" t="str">
        <f ca="1">IFERROR(__xludf.DUMMYFUNCTION("""COMPUTED_VALUE"""),"No")</f>
        <v>No</v>
      </c>
      <c r="AJ583" s="8" t="str">
        <f ca="1">IFERROR(__xludf.DUMMYFUNCTION("""COMPUTED_VALUE"""),"No")</f>
        <v>No</v>
      </c>
      <c r="AK583" s="8" t="str">
        <f ca="1">IFERROR(__xludf.DUMMYFUNCTION("""COMPUTED_VALUE"""),"No")</f>
        <v>No</v>
      </c>
      <c r="AL583" s="8" t="str">
        <f ca="1">IFERROR(__xludf.DUMMYFUNCTION("""COMPUTED_VALUE"""),"No")</f>
        <v>No</v>
      </c>
      <c r="AM583" s="8" t="str">
        <f ca="1">IFERROR(__xludf.DUMMYFUNCTION("""COMPUTED_VALUE"""),"No")</f>
        <v>No</v>
      </c>
      <c r="AN583" s="8" t="str">
        <f ca="1">IFERROR(__xludf.DUMMYFUNCTION("""COMPUTED_VALUE"""),"Outside")</f>
        <v>Outside</v>
      </c>
      <c r="AO583" s="8" t="str">
        <f ca="1">IFERROR(__xludf.DUMMYFUNCTION("""COMPUTED_VALUE"""),"No")</f>
        <v>No</v>
      </c>
      <c r="AP583" s="8"/>
      <c r="AQ583" s="8"/>
      <c r="AR583" s="8" t="str">
        <f ca="1">IFERROR(__xludf.DUMMYFUNCTION("""COMPUTED_VALUE"""),"Outside/Off-Property")</f>
        <v>Outside/Off-Property</v>
      </c>
      <c r="AS583" s="8">
        <f ca="1">IFERROR(__xludf.DUMMYFUNCTION("""COMPUTED_VALUE"""),99)</f>
        <v>99</v>
      </c>
      <c r="AT583" s="8" t="str">
        <f ca="1">IFERROR(__xludf.DUMMYFUNCTION("""COMPUTED_VALUE"""),"No")</f>
        <v>No</v>
      </c>
      <c r="AU583" s="8">
        <f ca="1">IFERROR(__xludf.DUMMYFUNCTION("""COMPUTED_VALUE"""),38.552777)</f>
        <v>38.552776999999999</v>
      </c>
      <c r="AV583" s="8">
        <f ca="1">IFERROR(__xludf.DUMMYFUNCTION("""COMPUTED_VALUE"""),-90.300337)</f>
        <v>-90.300336999999999</v>
      </c>
      <c r="AW583" s="8"/>
      <c r="AX583" s="8">
        <f ca="1">IFERROR(__xludf.DUMMYFUNCTION("""COMPUTED_VALUE"""),63123)</f>
        <v>63123</v>
      </c>
    </row>
    <row r="584" spans="1:50" ht="75" x14ac:dyDescent="0.2">
      <c r="A584" s="8" t="str">
        <f ca="1">IFERROR(__xludf.DUMMYFUNCTION("""COMPUTED_VALUE"""),"20231010NCTEF")</f>
        <v>20231010NCTEF</v>
      </c>
      <c r="B584" s="8">
        <f ca="1">IFERROR(__xludf.DUMMYFUNCTION("""COMPUTED_VALUE"""),10)</f>
        <v>10</v>
      </c>
      <c r="C584" s="8">
        <f ca="1">IFERROR(__xludf.DUMMYFUNCTION("""COMPUTED_VALUE"""),10)</f>
        <v>10</v>
      </c>
      <c r="D584" s="8">
        <f ca="1">IFERROR(__xludf.DUMMYFUNCTION("""COMPUTED_VALUE"""),2023)</f>
        <v>2023</v>
      </c>
      <c r="E584" s="9">
        <f ca="1">IFERROR(__xludf.DUMMYFUNCTION("""COMPUTED_VALUE"""),45209)</f>
        <v>45209</v>
      </c>
      <c r="F584" s="8" t="str">
        <f ca="1">IFERROR(__xludf.DUMMYFUNCTION("""COMPUTED_VALUE"""),"Terry Sanford High School")</f>
        <v>Terry Sanford High School</v>
      </c>
      <c r="G584" s="8">
        <f ca="1">IFERROR(__xludf.DUMMYFUNCTION("""COMPUTED_VALUE"""),0)</f>
        <v>0</v>
      </c>
      <c r="H584" s="8">
        <f ca="1">IFERROR(__xludf.DUMMYFUNCTION("""COMPUTED_VALUE"""),0)</f>
        <v>0</v>
      </c>
      <c r="I584" s="8">
        <f ca="1">IFERROR(__xludf.DUMMYFUNCTION("""COMPUTED_VALUE"""),0)</f>
        <v>0</v>
      </c>
      <c r="J584" s="8">
        <f ca="1">IFERROR(__xludf.DUMMYFUNCTION("""COMPUTED_VALUE"""),0)</f>
        <v>0</v>
      </c>
      <c r="K584" s="10" t="str">
        <f ca="1">IFERROR(__xludf.DUMMYFUNCTION("""COMPUTED_VALUE"""),"https://abc11.com/fayetteville-police-man-shoots-at-officer-terry-sanford-high-school-involved-shooting/13886712/")</f>
        <v>https://abc11.com/fayetteville-police-man-shoots-at-officer-terry-sanford-high-school-involved-shooting/13886712/</v>
      </c>
      <c r="L584" s="8"/>
      <c r="M584" s="8" t="str">
        <f ca="1">IFERROR(__xludf.DUMMYFUNCTION("""COMPUTED_VALUE"""),"Local")</f>
        <v>Local</v>
      </c>
      <c r="N584" s="8">
        <f ca="1">IFERROR(__xludf.DUMMYFUNCTION("""COMPUTED_VALUE"""),4)</f>
        <v>4</v>
      </c>
      <c r="O584" s="8" t="str">
        <f ca="1">IFERROR(__xludf.DUMMYFUNCTION("""COMPUTED_VALUE"""),"Fall")</f>
        <v>Fall</v>
      </c>
      <c r="P584" s="8" t="str">
        <f ca="1">IFERROR(__xludf.DUMMYFUNCTION("""COMPUTED_VALUE"""),"Fayetteville")</f>
        <v>Fayetteville</v>
      </c>
      <c r="Q584" s="8" t="str">
        <f ca="1">IFERROR(__xludf.DUMMYFUNCTION("""COMPUTED_VALUE"""),"NC")</f>
        <v>NC</v>
      </c>
      <c r="R584" s="8" t="str">
        <f ca="1">IFERROR(__xludf.DUMMYFUNCTION("""COMPUTED_VALUE"""),"High")</f>
        <v>High</v>
      </c>
      <c r="S584" s="8" t="str">
        <f ca="1">IFERROR(__xludf.DUMMYFUNCTION("""COMPUTED_VALUE"""),"Field (General)")</f>
        <v>Field (General)</v>
      </c>
      <c r="T584" s="8" t="str">
        <f ca="1">IFERROR(__xludf.DUMMYFUNCTION("""COMPUTED_VALUE"""),"Outside on School Property")</f>
        <v>Outside on School Property</v>
      </c>
      <c r="U584" s="8" t="str">
        <f ca="1">IFERROR(__xludf.DUMMYFUNCTION("""COMPUTED_VALUE"""),"No")</f>
        <v>No</v>
      </c>
      <c r="V584" s="8" t="str">
        <f ca="1">IFERROR(__xludf.DUMMYFUNCTION("""COMPUTED_VALUE"""),"Night")</f>
        <v>Night</v>
      </c>
      <c r="W584" s="11">
        <f ca="1">IFERROR(__xludf.DUMMYFUNCTION("""COMPUTED_VALUE"""),0.0833333333333333)</f>
        <v>8.3333333333333301E-2</v>
      </c>
      <c r="X584" s="8">
        <f ca="1">IFERROR(__xludf.DUMMYFUNCTION("""COMPUTED_VALUE"""),1)</f>
        <v>1</v>
      </c>
      <c r="Y584" s="12" t="str">
        <f ca="1">IFERROR(__xludf.DUMMYFUNCTION("""COMPUTED_VALUE"""),"Man fired shots are officers and barricaded inside his car near school baseball field")</f>
        <v>Man fired shots are officers and barricaded inside his car near school baseball field</v>
      </c>
      <c r="Z584" s="12" t="str">
        <f ca="1">IFERROR(__xludf.DUMMYFUNCTION("""COMPUTED_VALUE"""),"Man fired shots at officers striking a police car twice and then barricaded inside of his vehicle for 30 minutes near the school baseball field. He surrendered. No injuries.")</f>
        <v>Man fired shots at officers striking a police car twice and then barricaded inside of his vehicle for 30 minutes near the school baseball field. He surrendered. No injuries.</v>
      </c>
      <c r="AA584" s="8" t="str">
        <f ca="1">IFERROR(__xludf.DUMMYFUNCTION("""COMPUTED_VALUE"""),"Hostage/Standoff")</f>
        <v>Hostage/Standoff</v>
      </c>
      <c r="AB584" s="8" t="str">
        <f ca="1">IFERROR(__xludf.DUMMYFUNCTION("""COMPUTED_VALUE"""),"Spontaneous")</f>
        <v>Spontaneous</v>
      </c>
      <c r="AC584" s="8" t="str">
        <f ca="1">IFERROR(__xludf.DUMMYFUNCTION("""COMPUTED_VALUE"""),"No")</f>
        <v>No</v>
      </c>
      <c r="AD584" s="8" t="str">
        <f ca="1">IFERROR(__xludf.DUMMYFUNCTION("""COMPUTED_VALUE"""),"Random Shooting")</f>
        <v>Random Shooting</v>
      </c>
      <c r="AE584" s="8" t="str">
        <f ca="1">IFERROR(__xludf.DUMMYFUNCTION("""COMPUTED_VALUE"""),"No")</f>
        <v>No</v>
      </c>
      <c r="AF584" s="8"/>
      <c r="AG584" s="8" t="str">
        <f ca="1">IFERROR(__xludf.DUMMYFUNCTION("""COMPUTED_VALUE"""),"No")</f>
        <v>No</v>
      </c>
      <c r="AH584" s="8" t="str">
        <f ca="1">IFERROR(__xludf.DUMMYFUNCTION("""COMPUTED_VALUE"""),"Yes")</f>
        <v>Yes</v>
      </c>
      <c r="AI584" s="8" t="str">
        <f ca="1">IFERROR(__xludf.DUMMYFUNCTION("""COMPUTED_VALUE"""),"No")</f>
        <v>No</v>
      </c>
      <c r="AJ584" s="8" t="str">
        <f ca="1">IFERROR(__xludf.DUMMYFUNCTION("""COMPUTED_VALUE"""),"No")</f>
        <v>No</v>
      </c>
      <c r="AK584" s="8" t="str">
        <f ca="1">IFERROR(__xludf.DUMMYFUNCTION("""COMPUTED_VALUE"""),"No")</f>
        <v>No</v>
      </c>
      <c r="AL584" s="8" t="str">
        <f ca="1">IFERROR(__xludf.DUMMYFUNCTION("""COMPUTED_VALUE"""),"No")</f>
        <v>No</v>
      </c>
      <c r="AM584" s="8" t="str">
        <f ca="1">IFERROR(__xludf.DUMMYFUNCTION("""COMPUTED_VALUE"""),"No")</f>
        <v>No</v>
      </c>
      <c r="AN584" s="8" t="str">
        <f ca="1">IFERROR(__xludf.DUMMYFUNCTION("""COMPUTED_VALUE"""),"Outside")</f>
        <v>Outside</v>
      </c>
      <c r="AO584" s="8" t="str">
        <f ca="1">IFERROR(__xludf.DUMMYFUNCTION("""COMPUTED_VALUE"""),"No")</f>
        <v>No</v>
      </c>
      <c r="AP584" s="8"/>
      <c r="AQ584" s="8"/>
      <c r="AR584" s="8" t="str">
        <f ca="1">IFERROR(__xludf.DUMMYFUNCTION("""COMPUTED_VALUE"""),"Outside/Off-Property")</f>
        <v>Outside/Off-Property</v>
      </c>
      <c r="AS584" s="8">
        <f ca="1">IFERROR(__xludf.DUMMYFUNCTION("""COMPUTED_VALUE"""),99)</f>
        <v>99</v>
      </c>
      <c r="AT584" s="8" t="str">
        <f ca="1">IFERROR(__xludf.DUMMYFUNCTION("""COMPUTED_VALUE"""),"No")</f>
        <v>No</v>
      </c>
      <c r="AU584" s="8">
        <f ca="1">IFERROR(__xludf.DUMMYFUNCTION("""COMPUTED_VALUE"""),35.063718)</f>
        <v>35.063718000000001</v>
      </c>
      <c r="AV584" s="8">
        <f ca="1">IFERROR(__xludf.DUMMYFUNCTION("""COMPUTED_VALUE"""),-78.914199)</f>
        <v>-78.914198999999996</v>
      </c>
      <c r="AW584" s="8"/>
      <c r="AX584" s="8">
        <f ca="1">IFERROR(__xludf.DUMMYFUNCTION("""COMPUTED_VALUE"""),28303)</f>
        <v>28303</v>
      </c>
    </row>
    <row r="585" spans="1:50" ht="45" x14ac:dyDescent="0.2">
      <c r="A585" s="8" t="str">
        <f ca="1">IFERROR(__xludf.DUMMYFUNCTION("""COMPUTED_VALUE"""),"20231010SCDAD")</f>
        <v>20231010SCDAD</v>
      </c>
      <c r="B585" s="8">
        <f ca="1">IFERROR(__xludf.DUMMYFUNCTION("""COMPUTED_VALUE"""),10)</f>
        <v>10</v>
      </c>
      <c r="C585" s="8">
        <f ca="1">IFERROR(__xludf.DUMMYFUNCTION("""COMPUTED_VALUE"""),10)</f>
        <v>10</v>
      </c>
      <c r="D585" s="8">
        <f ca="1">IFERROR(__xludf.DUMMYFUNCTION("""COMPUTED_VALUE"""),2023)</f>
        <v>2023</v>
      </c>
      <c r="E585" s="9">
        <f ca="1">IFERROR(__xludf.DUMMYFUNCTION("""COMPUTED_VALUE"""),45209)</f>
        <v>45209</v>
      </c>
      <c r="F585" s="8" t="str">
        <f ca="1">IFERROR(__xludf.DUMMYFUNCTION("""COMPUTED_VALUE"""),"Darlington-Lee Adult Education Campus")</f>
        <v>Darlington-Lee Adult Education Campus</v>
      </c>
      <c r="G585" s="8">
        <f ca="1">IFERROR(__xludf.DUMMYFUNCTION("""COMPUTED_VALUE"""),1)</f>
        <v>1</v>
      </c>
      <c r="H585" s="8">
        <f ca="1">IFERROR(__xludf.DUMMYFUNCTION("""COMPUTED_VALUE"""),0)</f>
        <v>0</v>
      </c>
      <c r="I585" s="8">
        <f ca="1">IFERROR(__xludf.DUMMYFUNCTION("""COMPUTED_VALUE"""),1)</f>
        <v>1</v>
      </c>
      <c r="J585" s="8">
        <f ca="1">IFERROR(__xludf.DUMMYFUNCTION("""COMPUTED_VALUE"""),0)</f>
        <v>0</v>
      </c>
      <c r="K585" s="10" t="str">
        <f ca="1">IFERROR(__xludf.DUMMYFUNCTION("""COMPUTED_VALUE"""),"https://wpde.com/news/local/heavy-police-first-responders-presence-reported-chestnut-street-darlington-county-possible-gunsfire-gunshots-heard-community-members-concerned-shooting-incident-developing-situation-south-carolina-october-10-2023")</f>
        <v>https://wpde.com/news/local/heavy-police-first-responders-presence-reported-chestnut-street-darlington-county-possible-gunsfire-gunshots-heard-community-members-concerned-shooting-incident-developing-situation-south-carolina-october-10-2023</v>
      </c>
      <c r="L585" s="8">
        <f ca="1">IFERROR(__xludf.DUMMYFUNCTION("""COMPUTED_VALUE"""),5)</f>
        <v>5</v>
      </c>
      <c r="M585" s="8" t="str">
        <f ca="1">IFERROR(__xludf.DUMMYFUNCTION("""COMPUTED_VALUE"""),"Regional")</f>
        <v>Regional</v>
      </c>
      <c r="N585" s="8">
        <f ca="1">IFERROR(__xludf.DUMMYFUNCTION("""COMPUTED_VALUE"""),4)</f>
        <v>4</v>
      </c>
      <c r="O585" s="8" t="str">
        <f ca="1">IFERROR(__xludf.DUMMYFUNCTION("""COMPUTED_VALUE"""),"Fall")</f>
        <v>Fall</v>
      </c>
      <c r="P585" s="8" t="str">
        <f ca="1">IFERROR(__xludf.DUMMYFUNCTION("""COMPUTED_VALUE"""),"Darlington")</f>
        <v>Darlington</v>
      </c>
      <c r="Q585" s="8" t="str">
        <f ca="1">IFERROR(__xludf.DUMMYFUNCTION("""COMPUTED_VALUE"""),"SC")</f>
        <v>SC</v>
      </c>
      <c r="R585" s="8" t="str">
        <f ca="1">IFERROR(__xludf.DUMMYFUNCTION("""COMPUTED_VALUE"""),"High")</f>
        <v>High</v>
      </c>
      <c r="S585" s="8" t="str">
        <f ca="1">IFERROR(__xludf.DUMMYFUNCTION("""COMPUTED_VALUE"""),"Parking Lot")</f>
        <v>Parking Lot</v>
      </c>
      <c r="T585" s="8" t="str">
        <f ca="1">IFERROR(__xludf.DUMMYFUNCTION("""COMPUTED_VALUE"""),"Outside on School Property")</f>
        <v>Outside on School Property</v>
      </c>
      <c r="U585" s="8" t="str">
        <f ca="1">IFERROR(__xludf.DUMMYFUNCTION("""COMPUTED_VALUE"""),"Yes")</f>
        <v>Yes</v>
      </c>
      <c r="V585" s="8" t="str">
        <f ca="1">IFERROR(__xludf.DUMMYFUNCTION("""COMPUTED_VALUE"""),"Afternoon Classes")</f>
        <v>Afternoon Classes</v>
      </c>
      <c r="W585" s="8"/>
      <c r="X585" s="8">
        <f ca="1">IFERROR(__xludf.DUMMYFUNCTION("""COMPUTED_VALUE"""),1)</f>
        <v>1</v>
      </c>
      <c r="Y585" s="12" t="str">
        <f ca="1">IFERROR(__xludf.DUMMYFUNCTION("""COMPUTED_VALUE"""),"Student fatally shot in parking lot during afternoon classes")</f>
        <v>Student fatally shot in parking lot during afternoon classes</v>
      </c>
      <c r="Z585" s="12" t="str">
        <f ca="1">IFERROR(__xludf.DUMMYFUNCTION("""COMPUTED_VALUE"""),"16-year-old was fatally shot in the school parking lot during afternoon classes. School went on lockdown. Shooter fled in vehicle.")</f>
        <v>16-year-old was fatally shot in the school parking lot during afternoon classes. School went on lockdown. Shooter fled in vehicle.</v>
      </c>
      <c r="AA585" s="8"/>
      <c r="AB585" s="8"/>
      <c r="AC585" s="8" t="str">
        <f ca="1">IFERROR(__xludf.DUMMYFUNCTION("""COMPUTED_VALUE"""),"Yes")</f>
        <v>Yes</v>
      </c>
      <c r="AD585" s="8" t="str">
        <f ca="1">IFERROR(__xludf.DUMMYFUNCTION("""COMPUTED_VALUE"""),"Victims Targeted")</f>
        <v>Victims Targeted</v>
      </c>
      <c r="AE585" s="8"/>
      <c r="AF585" s="8"/>
      <c r="AG585" s="8" t="str">
        <f ca="1">IFERROR(__xludf.DUMMYFUNCTION("""COMPUTED_VALUE"""),"No")</f>
        <v>No</v>
      </c>
      <c r="AH585" s="8" t="str">
        <f ca="1">IFERROR(__xludf.DUMMYFUNCTION("""COMPUTED_VALUE"""),"No")</f>
        <v>No</v>
      </c>
      <c r="AI585" s="8" t="str">
        <f ca="1">IFERROR(__xludf.DUMMYFUNCTION("""COMPUTED_VALUE"""),"No")</f>
        <v>No</v>
      </c>
      <c r="AJ585" s="8" t="str">
        <f ca="1">IFERROR(__xludf.DUMMYFUNCTION("""COMPUTED_VALUE"""),"No")</f>
        <v>No</v>
      </c>
      <c r="AK585" s="8" t="str">
        <f ca="1">IFERROR(__xludf.DUMMYFUNCTION("""COMPUTED_VALUE"""),"No")</f>
        <v>No</v>
      </c>
      <c r="AL585" s="8"/>
      <c r="AM585" s="8" t="str">
        <f ca="1">IFERROR(__xludf.DUMMYFUNCTION("""COMPUTED_VALUE"""),"No")</f>
        <v>No</v>
      </c>
      <c r="AN585" s="8" t="str">
        <f ca="1">IFERROR(__xludf.DUMMYFUNCTION("""COMPUTED_VALUE"""),"Outside")</f>
        <v>Outside</v>
      </c>
      <c r="AO585" s="8" t="str">
        <f ca="1">IFERROR(__xludf.DUMMYFUNCTION("""COMPUTED_VALUE"""),"No")</f>
        <v>No</v>
      </c>
      <c r="AP585" s="8"/>
      <c r="AQ585" s="8"/>
      <c r="AR585" s="8" t="str">
        <f ca="1">IFERROR(__xludf.DUMMYFUNCTION("""COMPUTED_VALUE"""),"Outside/Off-Property")</f>
        <v>Outside/Off-Property</v>
      </c>
      <c r="AS585" s="8"/>
      <c r="AT585" s="8" t="str">
        <f ca="1">IFERROR(__xludf.DUMMYFUNCTION("""COMPUTED_VALUE"""),"Yes")</f>
        <v>Yes</v>
      </c>
      <c r="AU585" s="8">
        <f ca="1">IFERROR(__xludf.DUMMYFUNCTION("""COMPUTED_VALUE"""),34.223555)</f>
        <v>34.223554999999998</v>
      </c>
      <c r="AV585" s="8">
        <f ca="1">IFERROR(__xludf.DUMMYFUNCTION("""COMPUTED_VALUE"""),-80.240733)</f>
        <v>-80.240733000000006</v>
      </c>
      <c r="AW585" s="8"/>
      <c r="AX585" s="8">
        <f ca="1">IFERROR(__xludf.DUMMYFUNCTION("""COMPUTED_VALUE"""),29010)</f>
        <v>29010</v>
      </c>
    </row>
    <row r="586" spans="1:50" ht="120" x14ac:dyDescent="0.2">
      <c r="A586" s="8" t="str">
        <f ca="1">IFERROR(__xludf.DUMMYFUNCTION("""COMPUTED_VALUE"""),"20231008ILTHD")</f>
        <v>20231008ILTHD</v>
      </c>
      <c r="B586" s="8">
        <f ca="1">IFERROR(__xludf.DUMMYFUNCTION("""COMPUTED_VALUE"""),10)</f>
        <v>10</v>
      </c>
      <c r="C586" s="8">
        <f ca="1">IFERROR(__xludf.DUMMYFUNCTION("""COMPUTED_VALUE"""),8)</f>
        <v>8</v>
      </c>
      <c r="D586" s="8">
        <f ca="1">IFERROR(__xludf.DUMMYFUNCTION("""COMPUTED_VALUE"""),2023)</f>
        <v>2023</v>
      </c>
      <c r="E586" s="9">
        <f ca="1">IFERROR(__xludf.DUMMYFUNCTION("""COMPUTED_VALUE"""),45207)</f>
        <v>45207</v>
      </c>
      <c r="F586" s="8" t="str">
        <f ca="1">IFERROR(__xludf.DUMMYFUNCTION("""COMPUTED_VALUE"""),"Thornridge High School")</f>
        <v>Thornridge High School</v>
      </c>
      <c r="G586" s="8">
        <f ca="1">IFERROR(__xludf.DUMMYFUNCTION("""COMPUTED_VALUE"""),0)</f>
        <v>0</v>
      </c>
      <c r="H586" s="8">
        <f ca="1">IFERROR(__xludf.DUMMYFUNCTION("""COMPUTED_VALUE"""),0)</f>
        <v>0</v>
      </c>
      <c r="I586" s="8">
        <f ca="1">IFERROR(__xludf.DUMMYFUNCTION("""COMPUTED_VALUE"""),0)</f>
        <v>0</v>
      </c>
      <c r="J586" s="8">
        <f ca="1">IFERROR(__xludf.DUMMYFUNCTION("""COMPUTED_VALUE"""),0)</f>
        <v>0</v>
      </c>
      <c r="K586" s="10" t="str">
        <f ca="1">IFERROR(__xludf.DUMMYFUNCTION("""COMPUTED_VALUE"""),"https://www.cbsnews.com/chicago/news/youth-football-game-shooting-dolton-bears-thornridge-high-school/")</f>
        <v>https://www.cbsnews.com/chicago/news/youth-football-game-shooting-dolton-bears-thornridge-high-school/</v>
      </c>
      <c r="L586" s="8">
        <f ca="1">IFERROR(__xludf.DUMMYFUNCTION("""COMPUTED_VALUE"""),1)</f>
        <v>1</v>
      </c>
      <c r="M586" s="8" t="str">
        <f ca="1">IFERROR(__xludf.DUMMYFUNCTION("""COMPUTED_VALUE"""),"Local")</f>
        <v>Local</v>
      </c>
      <c r="N586" s="8">
        <f ca="1">IFERROR(__xludf.DUMMYFUNCTION("""COMPUTED_VALUE"""),4)</f>
        <v>4</v>
      </c>
      <c r="O586" s="8" t="str">
        <f ca="1">IFERROR(__xludf.DUMMYFUNCTION("""COMPUTED_VALUE"""),"Fall")</f>
        <v>Fall</v>
      </c>
      <c r="P586" s="8" t="str">
        <f ca="1">IFERROR(__xludf.DUMMYFUNCTION("""COMPUTED_VALUE"""),"Dolton")</f>
        <v>Dolton</v>
      </c>
      <c r="Q586" s="8" t="str">
        <f ca="1">IFERROR(__xludf.DUMMYFUNCTION("""COMPUTED_VALUE"""),"IL")</f>
        <v>IL</v>
      </c>
      <c r="R586" s="8" t="str">
        <f ca="1">IFERROR(__xludf.DUMMYFUNCTION("""COMPUTED_VALUE"""),"High")</f>
        <v>High</v>
      </c>
      <c r="S586" s="8" t="str">
        <f ca="1">IFERROR(__xludf.DUMMYFUNCTION("""COMPUTED_VALUE"""),"Football Field/Track")</f>
        <v>Football Field/Track</v>
      </c>
      <c r="T586" s="8" t="str">
        <f ca="1">IFERROR(__xludf.DUMMYFUNCTION("""COMPUTED_VALUE"""),"Outside on School Property")</f>
        <v>Outside on School Property</v>
      </c>
      <c r="U586" s="8" t="str">
        <f ca="1">IFERROR(__xludf.DUMMYFUNCTION("""COMPUTED_VALUE"""),"No")</f>
        <v>No</v>
      </c>
      <c r="V586" s="8" t="str">
        <f ca="1">IFERROR(__xludf.DUMMYFUNCTION("""COMPUTED_VALUE"""),"Sport Event")</f>
        <v>Sport Event</v>
      </c>
      <c r="W586" s="11">
        <f ca="1">IFERROR(__xludf.DUMMYFUNCTION("""COMPUTED_VALUE"""),0.614583333333333)</f>
        <v>0.61458333333333304</v>
      </c>
      <c r="X586" s="8">
        <f ca="1">IFERROR(__xludf.DUMMYFUNCTION("""COMPUTED_VALUE"""),1)</f>
        <v>1</v>
      </c>
      <c r="Y586" s="12" t="str">
        <f ca="1">IFERROR(__xludf.DUMMYFUNCTION("""COMPUTED_VALUE"""),"10 shots fired in stands during dispute between parents")</f>
        <v>10 shots fired in stands during dispute between parents</v>
      </c>
      <c r="Z586" s="12" t="str">
        <f ca="1">IFERROR(__xludf.DUMMYFUNCTION("""COMPUTED_VALUE"""),"The third quarter was just getting underway as the Dolton Bears faced off with the South Holland Jets when a man opened fire. The ruckus cleared out the bleachers and had many scrambling. ""The first thing that came to our mind was to tell the children to"&amp;" get down, you know, get covered,"" said parent Dedric Scales. A packed crowd of mostly children ran for cover at the field at Thornridge High School where the peewee football game was underway. ")</f>
        <v xml:space="preserve">The third quarter was just getting underway as the Dolton Bears faced off with the South Holland Jets when a man opened fire. The ruckus cleared out the bleachers and had many scrambling. "The first thing that came to our mind was to tell the children to get down, you know, get covered," said parent Dedric Scales. A packed crowd of mostly children ran for cover at the field at Thornridge High School where the peewee football game was underway. </v>
      </c>
      <c r="AA586" s="8" t="str">
        <f ca="1">IFERROR(__xludf.DUMMYFUNCTION("""COMPUTED_VALUE"""),"Escalation of Dispute")</f>
        <v>Escalation of Dispute</v>
      </c>
      <c r="AB586" s="8" t="str">
        <f ca="1">IFERROR(__xludf.DUMMYFUNCTION("""COMPUTED_VALUE"""),"Spontaneous")</f>
        <v>Spontaneous</v>
      </c>
      <c r="AC586" s="8" t="str">
        <f ca="1">IFERROR(__xludf.DUMMYFUNCTION("""COMPUTED_VALUE"""),"No")</f>
        <v>No</v>
      </c>
      <c r="AD586" s="8" t="str">
        <f ca="1">IFERROR(__xludf.DUMMYFUNCTION("""COMPUTED_VALUE"""),"Both")</f>
        <v>Both</v>
      </c>
      <c r="AE586" s="8" t="str">
        <f ca="1">IFERROR(__xludf.DUMMYFUNCTION("""COMPUTED_VALUE"""),"No")</f>
        <v>No</v>
      </c>
      <c r="AF586" s="8"/>
      <c r="AG586" s="8" t="str">
        <f ca="1">IFERROR(__xludf.DUMMYFUNCTION("""COMPUTED_VALUE"""),"No")</f>
        <v>No</v>
      </c>
      <c r="AH586" s="8" t="str">
        <f ca="1">IFERROR(__xludf.DUMMYFUNCTION("""COMPUTED_VALUE"""),"No")</f>
        <v>No</v>
      </c>
      <c r="AI586" s="8" t="str">
        <f ca="1">IFERROR(__xludf.DUMMYFUNCTION("""COMPUTED_VALUE"""),"No")</f>
        <v>No</v>
      </c>
      <c r="AJ586" s="8" t="str">
        <f ca="1">IFERROR(__xludf.DUMMYFUNCTION("""COMPUTED_VALUE"""),"No")</f>
        <v>No</v>
      </c>
      <c r="AK586" s="8" t="str">
        <f ca="1">IFERROR(__xludf.DUMMYFUNCTION("""COMPUTED_VALUE"""),"No")</f>
        <v>No</v>
      </c>
      <c r="AL586" s="8" t="str">
        <f ca="1">IFERROR(__xludf.DUMMYFUNCTION("""COMPUTED_VALUE"""),"No")</f>
        <v>No</v>
      </c>
      <c r="AM586" s="8" t="str">
        <f ca="1">IFERROR(__xludf.DUMMYFUNCTION("""COMPUTED_VALUE"""),"No")</f>
        <v>No</v>
      </c>
      <c r="AN586" s="8" t="str">
        <f ca="1">IFERROR(__xludf.DUMMYFUNCTION("""COMPUTED_VALUE"""),"Outside")</f>
        <v>Outside</v>
      </c>
      <c r="AO586" s="8" t="str">
        <f ca="1">IFERROR(__xludf.DUMMYFUNCTION("""COMPUTED_VALUE"""),"No")</f>
        <v>No</v>
      </c>
      <c r="AP586" s="8"/>
      <c r="AQ586" s="8"/>
      <c r="AR586" s="8" t="str">
        <f ca="1">IFERROR(__xludf.DUMMYFUNCTION("""COMPUTED_VALUE"""),"Outside/Off-Property")</f>
        <v>Outside/Off-Property</v>
      </c>
      <c r="AS586" s="8">
        <f ca="1">IFERROR(__xludf.DUMMYFUNCTION("""COMPUTED_VALUE"""),10)</f>
        <v>10</v>
      </c>
      <c r="AT586" s="8" t="str">
        <f ca="1">IFERROR(__xludf.DUMMYFUNCTION("""COMPUTED_VALUE"""),"No")</f>
        <v>No</v>
      </c>
      <c r="AU586" s="8">
        <f ca="1">IFERROR(__xludf.DUMMYFUNCTION("""COMPUTED_VALUE"""),41.621601)</f>
        <v>41.621600999999998</v>
      </c>
      <c r="AV586" s="8">
        <f ca="1">IFERROR(__xludf.DUMMYFUNCTION("""COMPUTED_VALUE"""),-87.600081)</f>
        <v>-87.600081000000003</v>
      </c>
      <c r="AW586" s="8"/>
      <c r="AX586" s="8">
        <f ca="1">IFERROR(__xludf.DUMMYFUNCTION("""COMPUTED_VALUE"""),60419)</f>
        <v>60419</v>
      </c>
    </row>
    <row r="587" spans="1:50" ht="345" x14ac:dyDescent="0.2">
      <c r="A587" s="8" t="str">
        <f ca="1">IFERROR(__xludf.DUMMYFUNCTION("""COMPUTED_VALUE"""),"20231006LATHT")</f>
        <v>20231006LATHT</v>
      </c>
      <c r="B587" s="8">
        <f ca="1">IFERROR(__xludf.DUMMYFUNCTION("""COMPUTED_VALUE"""),10)</f>
        <v>10</v>
      </c>
      <c r="C587" s="8">
        <f ca="1">IFERROR(__xludf.DUMMYFUNCTION("""COMPUTED_VALUE"""),6)</f>
        <v>6</v>
      </c>
      <c r="D587" s="8">
        <f ca="1">IFERROR(__xludf.DUMMYFUNCTION("""COMPUTED_VALUE"""),2023)</f>
        <v>2023</v>
      </c>
      <c r="E587" s="9">
        <f ca="1">IFERROR(__xludf.DUMMYFUNCTION("""COMPUTED_VALUE"""),45205)</f>
        <v>45205</v>
      </c>
      <c r="F587" s="8" t="str">
        <f ca="1">IFERROR(__xludf.DUMMYFUNCTION("""COMPUTED_VALUE"""),"Thibodaux High Stadium")</f>
        <v>Thibodaux High Stadium</v>
      </c>
      <c r="G587" s="8">
        <f ca="1">IFERROR(__xludf.DUMMYFUNCTION("""COMPUTED_VALUE"""),0)</f>
        <v>0</v>
      </c>
      <c r="H587" s="8">
        <f ca="1">IFERROR(__xludf.DUMMYFUNCTION("""COMPUTED_VALUE"""),0)</f>
        <v>0</v>
      </c>
      <c r="I587" s="8">
        <f ca="1">IFERROR(__xludf.DUMMYFUNCTION("""COMPUTED_VALUE"""),0)</f>
        <v>0</v>
      </c>
      <c r="J587" s="8">
        <f ca="1">IFERROR(__xludf.DUMMYFUNCTION("""COMPUTED_VALUE"""),0)</f>
        <v>0</v>
      </c>
      <c r="K587" s="8" t="str">
        <f ca="1">IFERROR(__xludf.DUMMYFUNCTION("""COMPUTED_VALUE"""),"https://www.fox8live.com/2023/10/19/13-year-old-custody-following-shooting-incident-thibodaux-high-school-football-game/
https://www.wdsu.com/article/thibodaux-football-shooting/45472359#
https://www.wwltv.com/article/news/crime/football-game-stopped-afte"&amp;"r-shots-fired-near-thibodaux-high-school-stadium/289-392ba77a-8019-49fe-beb0-e6dbe36a5d60")</f>
        <v>https://www.fox8live.com/2023/10/19/13-year-old-custody-following-shooting-incident-thibodaux-high-school-football-game/
https://www.wdsu.com/article/thibodaux-football-shooting/45472359#
https://www.wwltv.com/article/news/crime/football-game-stopped-after-shots-fired-near-thibodaux-high-school-stadium/289-392ba77a-8019-49fe-beb0-e6dbe36a5d60</v>
      </c>
      <c r="L587" s="8">
        <f ca="1">IFERROR(__xludf.DUMMYFUNCTION("""COMPUTED_VALUE"""),10)</f>
        <v>10</v>
      </c>
      <c r="M587" s="8" t="str">
        <f ca="1">IFERROR(__xludf.DUMMYFUNCTION("""COMPUTED_VALUE"""),"Local")</f>
        <v>Local</v>
      </c>
      <c r="N587" s="8">
        <f ca="1">IFERROR(__xludf.DUMMYFUNCTION("""COMPUTED_VALUE"""),4)</f>
        <v>4</v>
      </c>
      <c r="O587" s="8" t="str">
        <f ca="1">IFERROR(__xludf.DUMMYFUNCTION("""COMPUTED_VALUE"""),"Fall")</f>
        <v>Fall</v>
      </c>
      <c r="P587" s="8" t="str">
        <f ca="1">IFERROR(__xludf.DUMMYFUNCTION("""COMPUTED_VALUE"""),"Thibodaux")</f>
        <v>Thibodaux</v>
      </c>
      <c r="Q587" s="8" t="str">
        <f ca="1">IFERROR(__xludf.DUMMYFUNCTION("""COMPUTED_VALUE"""),"LA")</f>
        <v>LA</v>
      </c>
      <c r="R587" s="8" t="str">
        <f ca="1">IFERROR(__xludf.DUMMYFUNCTION("""COMPUTED_VALUE"""),"High")</f>
        <v>High</v>
      </c>
      <c r="S587" s="8" t="str">
        <f ca="1">IFERROR(__xludf.DUMMYFUNCTION("""COMPUTED_VALUE"""),"Parking Lot")</f>
        <v>Parking Lot</v>
      </c>
      <c r="T587" s="8" t="str">
        <f ca="1">IFERROR(__xludf.DUMMYFUNCTION("""COMPUTED_VALUE"""),"Outside on School Property")</f>
        <v>Outside on School Property</v>
      </c>
      <c r="U587" s="8" t="str">
        <f ca="1">IFERROR(__xludf.DUMMYFUNCTION("""COMPUTED_VALUE"""),"No")</f>
        <v>No</v>
      </c>
      <c r="V587" s="8" t="str">
        <f ca="1">IFERROR(__xludf.DUMMYFUNCTION("""COMPUTED_VALUE"""),"Sport Event")</f>
        <v>Sport Event</v>
      </c>
      <c r="W587" s="11">
        <f ca="1">IFERROR(__xludf.DUMMYFUNCTION("""COMPUTED_VALUE"""),0.868055555555555)</f>
        <v>0.86805555555555503</v>
      </c>
      <c r="X587" s="8">
        <f ca="1">IFERROR(__xludf.DUMMYFUNCTION("""COMPUTED_VALUE"""),1)</f>
        <v>1</v>
      </c>
      <c r="Y587" s="12" t="str">
        <f ca="1">IFERROR(__xludf.DUMMYFUNCTION("""COMPUTED_VALUE"""),"Shots fired near football field cancelled game")</f>
        <v>Shots fired near football field cancelled game</v>
      </c>
      <c r="Z587" s="12" t="str">
        <f ca="1">IFERROR(__xludf.DUMMYFUNCTION("""COMPUTED_VALUE"""),"A 13-year-old boy was arrested on multiple felony charges, including aggravated assault with a firearm, following a shooting incident near a Thibodaux High School football game, Police Chief Bryan Zeringue confirmed. The incident occurred on the evening o"&amp;"f Oct. 6 during a game between Thibodaux High School and Hahnville High School. Law enforcement officials providing security at the game reported hearing 5-6 gunshots from outside the stadium’s west side shortly before 8:30 p.m. The sound triggered a stad"&amp;"ium evacuation, prompting authorities and school officials to suspend the game and clear the premises. Despite an immediate search by officers from both the Thibodaux Police Department and Lafourche Parish Sheriff’s Office, no crime scene, victims, or pro"&amp;"perty damage were identified on the night of the incident. However, a medical event involving a student-athlete was reported, though it was clarified to be unrelated to the shooting, and no injuries linked to the gunshots were recorded. The investigation "&amp;"revealed that the gunfire followed a fight between two groups of juveniles in the stadium parking lot. The suspect, who was not part of the initial altercation, allegedly opened fire on one group as they were leaving the scene.")</f>
        <v>A 13-year-old boy was arrested on multiple felony charges, including aggravated assault with a firearm, following a shooting incident near a Thibodaux High School football game, Police Chief Bryan Zeringue confirmed. The incident occurred on the evening of Oct. 6 during a game between Thibodaux High School and Hahnville High School. Law enforcement officials providing security at the game reported hearing 5-6 gunshots from outside the stadium’s west side shortly before 8:30 p.m. The sound triggered a stadium evacuation, prompting authorities and school officials to suspend the game and clear the premises. Despite an immediate search by officers from both the Thibodaux Police Department and Lafourche Parish Sheriff’s Office, no crime scene, victims, or property damage were identified on the night of the incident. However, a medical event involving a student-athlete was reported, though it was clarified to be unrelated to the shooting, and no injuries linked to the gunshots were recorded. The investigation revealed that the gunfire followed a fight between two groups of juveniles in the stadium parking lot. The suspect, who was not part of the initial altercation, allegedly opened fire on one group as they were leaving the scene.</v>
      </c>
      <c r="AA587" s="8" t="str">
        <f ca="1">IFERROR(__xludf.DUMMYFUNCTION("""COMPUTED_VALUE"""),"Escalation of Dispute")</f>
        <v>Escalation of Dispute</v>
      </c>
      <c r="AB587" s="8" t="str">
        <f ca="1">IFERROR(__xludf.DUMMYFUNCTION("""COMPUTED_VALUE"""),"Spontaneous")</f>
        <v>Spontaneous</v>
      </c>
      <c r="AC587" s="8" t="str">
        <f ca="1">IFERROR(__xludf.DUMMYFUNCTION("""COMPUTED_VALUE"""),"Yes")</f>
        <v>Yes</v>
      </c>
      <c r="AD587" s="8" t="str">
        <f ca="1">IFERROR(__xludf.DUMMYFUNCTION("""COMPUTED_VALUE"""),"Victims Targeted")</f>
        <v>Victims Targeted</v>
      </c>
      <c r="AE587" s="8" t="str">
        <f ca="1">IFERROR(__xludf.DUMMYFUNCTION("""COMPUTED_VALUE"""),"No")</f>
        <v>No</v>
      </c>
      <c r="AF587" s="8"/>
      <c r="AG587" s="8" t="str">
        <f ca="1">IFERROR(__xludf.DUMMYFUNCTION("""COMPUTED_VALUE"""),"No")</f>
        <v>No</v>
      </c>
      <c r="AH587" s="8" t="str">
        <f ca="1">IFERROR(__xludf.DUMMYFUNCTION("""COMPUTED_VALUE"""),"No")</f>
        <v>No</v>
      </c>
      <c r="AI587" s="8" t="str">
        <f ca="1">IFERROR(__xludf.DUMMYFUNCTION("""COMPUTED_VALUE"""),"No")</f>
        <v>No</v>
      </c>
      <c r="AJ587" s="8" t="str">
        <f ca="1">IFERROR(__xludf.DUMMYFUNCTION("""COMPUTED_VALUE"""),"No")</f>
        <v>No</v>
      </c>
      <c r="AK587" s="8" t="str">
        <f ca="1">IFERROR(__xludf.DUMMYFUNCTION("""COMPUTED_VALUE"""),"No")</f>
        <v>No</v>
      </c>
      <c r="AL587" s="8"/>
      <c r="AM587" s="8" t="str">
        <f ca="1">IFERROR(__xludf.DUMMYFUNCTION("""COMPUTED_VALUE"""),"No")</f>
        <v>No</v>
      </c>
      <c r="AN587" s="8" t="str">
        <f ca="1">IFERROR(__xludf.DUMMYFUNCTION("""COMPUTED_VALUE"""),"Outside")</f>
        <v>Outside</v>
      </c>
      <c r="AO587" s="8" t="str">
        <f ca="1">IFERROR(__xludf.DUMMYFUNCTION("""COMPUTED_VALUE"""),"No")</f>
        <v>No</v>
      </c>
      <c r="AP587" s="8"/>
      <c r="AQ587" s="8"/>
      <c r="AR587" s="8" t="str">
        <f ca="1">IFERROR(__xludf.DUMMYFUNCTION("""COMPUTED_VALUE"""),"Outside/Off-Property")</f>
        <v>Outside/Off-Property</v>
      </c>
      <c r="AS587" s="8">
        <f ca="1">IFERROR(__xludf.DUMMYFUNCTION("""COMPUTED_VALUE"""),5)</f>
        <v>5</v>
      </c>
      <c r="AT587" s="8" t="str">
        <f ca="1">IFERROR(__xludf.DUMMYFUNCTION("""COMPUTED_VALUE"""),"No")</f>
        <v>No</v>
      </c>
      <c r="AU587" s="8">
        <f ca="1">IFERROR(__xludf.DUMMYFUNCTION("""COMPUTED_VALUE"""),29.77768)</f>
        <v>29.77768</v>
      </c>
      <c r="AV587" s="8">
        <f ca="1">IFERROR(__xludf.DUMMYFUNCTION("""COMPUTED_VALUE"""),-90.838674)</f>
        <v>-90.838673999999997</v>
      </c>
      <c r="AW587" s="8"/>
      <c r="AX587" s="8">
        <f ca="1">IFERROR(__xludf.DUMMYFUNCTION("""COMPUTED_VALUE"""),70301)</f>
        <v>70301</v>
      </c>
    </row>
    <row r="588" spans="1:50" ht="180" x14ac:dyDescent="0.2">
      <c r="A588" s="8" t="str">
        <f ca="1">IFERROR(__xludf.DUMMYFUNCTION("""COMPUTED_VALUE"""),"20231006MIOAO")</f>
        <v>20231006MIOAO</v>
      </c>
      <c r="B588" s="8">
        <f ca="1">IFERROR(__xludf.DUMMYFUNCTION("""COMPUTED_VALUE"""),10)</f>
        <v>10</v>
      </c>
      <c r="C588" s="8">
        <f ca="1">IFERROR(__xludf.DUMMYFUNCTION("""COMPUTED_VALUE"""),6)</f>
        <v>6</v>
      </c>
      <c r="D588" s="8">
        <f ca="1">IFERROR(__xludf.DUMMYFUNCTION("""COMPUTED_VALUE"""),2023)</f>
        <v>2023</v>
      </c>
      <c r="E588" s="9">
        <f ca="1">IFERROR(__xludf.DUMMYFUNCTION("""COMPUTED_VALUE"""),45205)</f>
        <v>45205</v>
      </c>
      <c r="F588" s="8" t="str">
        <f ca="1">IFERROR(__xludf.DUMMYFUNCTION("""COMPUTED_VALUE"""),"Oak Park High School")</f>
        <v>Oak Park High School</v>
      </c>
      <c r="G588" s="8">
        <f ca="1">IFERROR(__xludf.DUMMYFUNCTION("""COMPUTED_VALUE"""),0)</f>
        <v>0</v>
      </c>
      <c r="H588" s="8">
        <f ca="1">IFERROR(__xludf.DUMMYFUNCTION("""COMPUTED_VALUE"""),2)</f>
        <v>2</v>
      </c>
      <c r="I588" s="8">
        <f ca="1">IFERROR(__xludf.DUMMYFUNCTION("""COMPUTED_VALUE"""),2)</f>
        <v>2</v>
      </c>
      <c r="J588" s="8">
        <f ca="1">IFERROR(__xludf.DUMMYFUNCTION("""COMPUTED_VALUE"""),0)</f>
        <v>0</v>
      </c>
      <c r="K588" s="10" t="str">
        <f ca="1">IFERROR(__xludf.DUMMYFUNCTION("""COMPUTED_VALUE"""),"https://www.wxyz.com/news/2-students-shot-during-oak-park-high-school-homecoming-football-game-district-says")</f>
        <v>https://www.wxyz.com/news/2-students-shot-during-oak-park-high-school-homecoming-football-game-district-says</v>
      </c>
      <c r="L588" s="8">
        <f ca="1">IFERROR(__xludf.DUMMYFUNCTION("""COMPUTED_VALUE"""),1)</f>
        <v>1</v>
      </c>
      <c r="M588" s="8" t="str">
        <f ca="1">IFERROR(__xludf.DUMMYFUNCTION("""COMPUTED_VALUE"""),"Local")</f>
        <v>Local</v>
      </c>
      <c r="N588" s="8">
        <f ca="1">IFERROR(__xludf.DUMMYFUNCTION("""COMPUTED_VALUE"""),4)</f>
        <v>4</v>
      </c>
      <c r="O588" s="8" t="str">
        <f ca="1">IFERROR(__xludf.DUMMYFUNCTION("""COMPUTED_VALUE"""),"Fall")</f>
        <v>Fall</v>
      </c>
      <c r="P588" s="8" t="str">
        <f ca="1">IFERROR(__xludf.DUMMYFUNCTION("""COMPUTED_VALUE"""),"Oak Park")</f>
        <v>Oak Park</v>
      </c>
      <c r="Q588" s="8" t="str">
        <f ca="1">IFERROR(__xludf.DUMMYFUNCTION("""COMPUTED_VALUE"""),"MI")</f>
        <v>MI</v>
      </c>
      <c r="R588" s="8" t="str">
        <f ca="1">IFERROR(__xludf.DUMMYFUNCTION("""COMPUTED_VALUE"""),"High")</f>
        <v>High</v>
      </c>
      <c r="S588" s="8" t="str">
        <f ca="1">IFERROR(__xludf.DUMMYFUNCTION("""COMPUTED_VALUE"""),"Parking Lot")</f>
        <v>Parking Lot</v>
      </c>
      <c r="T588" s="8" t="str">
        <f ca="1">IFERROR(__xludf.DUMMYFUNCTION("""COMPUTED_VALUE"""),"Outside on School Property")</f>
        <v>Outside on School Property</v>
      </c>
      <c r="U588" s="8" t="str">
        <f ca="1">IFERROR(__xludf.DUMMYFUNCTION("""COMPUTED_VALUE"""),"No")</f>
        <v>No</v>
      </c>
      <c r="V588" s="8" t="str">
        <f ca="1">IFERROR(__xludf.DUMMYFUNCTION("""COMPUTED_VALUE"""),"Sport Event")</f>
        <v>Sport Event</v>
      </c>
      <c r="W588" s="11">
        <f ca="1">IFERROR(__xludf.DUMMYFUNCTION("""COMPUTED_VALUE"""),0.875)</f>
        <v>0.875</v>
      </c>
      <c r="X588" s="8">
        <f ca="1">IFERROR(__xludf.DUMMYFUNCTION("""COMPUTED_VALUE"""),1)</f>
        <v>1</v>
      </c>
      <c r="Y588" s="12" t="str">
        <f ca="1">IFERROR(__xludf.DUMMYFUNCTION("""COMPUTED_VALUE"""),"Two students shot in the parking lot during football game")</f>
        <v>Two students shot in the parking lot during football game</v>
      </c>
      <c r="Z588" s="12" t="str">
        <f ca="1">IFERROR(__xludf.DUMMYFUNCTION("""COMPUTED_VALUE"""),"Two students were shot Friday night during a football game at Oak Park High School, the school district said. It happened in the parking lot toward the end of Oak Park High School’s homecoming football game against Ferndale High School with about six minu"&amp;"tes remaining. Oak Park Schools confirmed that both victims are students in the district. The district told 7 Action News that both students were transported to the hospital and one of the students was taken into surgery. Both are in stable condition. Som"&amp;"e students reportedly were moved into the high school to shelter in place. Spectators took cover before being evacuated out of the opposite side of the stadium.")</f>
        <v>Two students were shot Friday night during a football game at Oak Park High School, the school district said. It happened in the parking lot toward the end of Oak Park High School’s homecoming football game against Ferndale High School with about six minutes remaining. Oak Park Schools confirmed that both victims are students in the district. The district told 7 Action News that both students were transported to the hospital and one of the students was taken into surgery. Both are in stable condition. Some students reportedly were moved into the high school to shelter in place. Spectators took cover before being evacuated out of the opposite side of the stadium.</v>
      </c>
      <c r="AA588" s="8"/>
      <c r="AB588" s="8" t="str">
        <f ca="1">IFERROR(__xludf.DUMMYFUNCTION("""COMPUTED_VALUE"""),"Spontaneous")</f>
        <v>Spontaneous</v>
      </c>
      <c r="AC588" s="8" t="str">
        <f ca="1">IFERROR(__xludf.DUMMYFUNCTION("""COMPUTED_VALUE"""),"Yes")</f>
        <v>Yes</v>
      </c>
      <c r="AD588" s="8"/>
      <c r="AE588" s="8"/>
      <c r="AF588" s="8"/>
      <c r="AG588" s="8" t="str">
        <f ca="1">IFERROR(__xludf.DUMMYFUNCTION("""COMPUTED_VALUE"""),"No")</f>
        <v>No</v>
      </c>
      <c r="AH588" s="8" t="str">
        <f ca="1">IFERROR(__xludf.DUMMYFUNCTION("""COMPUTED_VALUE"""),"No")</f>
        <v>No</v>
      </c>
      <c r="AI588" s="8" t="str">
        <f ca="1">IFERROR(__xludf.DUMMYFUNCTION("""COMPUTED_VALUE"""),"No")</f>
        <v>No</v>
      </c>
      <c r="AJ588" s="8" t="str">
        <f ca="1">IFERROR(__xludf.DUMMYFUNCTION("""COMPUTED_VALUE"""),"No")</f>
        <v>No</v>
      </c>
      <c r="AK588" s="8" t="str">
        <f ca="1">IFERROR(__xludf.DUMMYFUNCTION("""COMPUTED_VALUE"""),"No")</f>
        <v>No</v>
      </c>
      <c r="AL588" s="8"/>
      <c r="AM588" s="8" t="str">
        <f ca="1">IFERROR(__xludf.DUMMYFUNCTION("""COMPUTED_VALUE"""),"No")</f>
        <v>No</v>
      </c>
      <c r="AN588" s="8" t="str">
        <f ca="1">IFERROR(__xludf.DUMMYFUNCTION("""COMPUTED_VALUE"""),"Outside")</f>
        <v>Outside</v>
      </c>
      <c r="AO588" s="8" t="str">
        <f ca="1">IFERROR(__xludf.DUMMYFUNCTION("""COMPUTED_VALUE"""),"No")</f>
        <v>No</v>
      </c>
      <c r="AP588" s="8"/>
      <c r="AQ588" s="8"/>
      <c r="AR588" s="8" t="str">
        <f ca="1">IFERROR(__xludf.DUMMYFUNCTION("""COMPUTED_VALUE"""),"Outside/Off-Property")</f>
        <v>Outside/Off-Property</v>
      </c>
      <c r="AS588" s="8">
        <f ca="1">IFERROR(__xludf.DUMMYFUNCTION("""COMPUTED_VALUE"""),99)</f>
        <v>99</v>
      </c>
      <c r="AT588" s="8" t="str">
        <f ca="1">IFERROR(__xludf.DUMMYFUNCTION("""COMPUTED_VALUE"""),"Yes")</f>
        <v>Yes</v>
      </c>
      <c r="AU588" s="8">
        <f ca="1">IFERROR(__xludf.DUMMYFUNCTION("""COMPUTED_VALUE"""),42.465091)</f>
        <v>42.465091000000001</v>
      </c>
      <c r="AV588" s="8">
        <f ca="1">IFERROR(__xludf.DUMMYFUNCTION("""COMPUTED_VALUE"""),-83.184403)</f>
        <v>-83.184403000000003</v>
      </c>
      <c r="AW588" s="8"/>
      <c r="AX588" s="8">
        <f ca="1">IFERROR(__xludf.DUMMYFUNCTION("""COMPUTED_VALUE"""),48237)</f>
        <v>48237</v>
      </c>
    </row>
    <row r="589" spans="1:50" ht="195" x14ac:dyDescent="0.2">
      <c r="A589" s="8" t="str">
        <f ca="1">IFERROR(__xludf.DUMMYFUNCTION("""COMPUTED_VALUE"""),"20231004PAMIE")</f>
        <v>20231004PAMIE</v>
      </c>
      <c r="B589" s="8">
        <f ca="1">IFERROR(__xludf.DUMMYFUNCTION("""COMPUTED_VALUE"""),10)</f>
        <v>10</v>
      </c>
      <c r="C589" s="8">
        <f ca="1">IFERROR(__xludf.DUMMYFUNCTION("""COMPUTED_VALUE"""),4)</f>
        <v>4</v>
      </c>
      <c r="D589" s="8">
        <f ca="1">IFERROR(__xludf.DUMMYFUNCTION("""COMPUTED_VALUE"""),2023)</f>
        <v>2023</v>
      </c>
      <c r="E589" s="9">
        <f ca="1">IFERROR(__xludf.DUMMYFUNCTION("""COMPUTED_VALUE"""),45203)</f>
        <v>45203</v>
      </c>
      <c r="F589" s="8" t="str">
        <f ca="1">IFERROR(__xludf.DUMMYFUNCTION("""COMPUTED_VALUE"""),"Middle Smithfield Elementary School")</f>
        <v>Middle Smithfield Elementary School</v>
      </c>
      <c r="G589" s="8">
        <f ca="1">IFERROR(__xludf.DUMMYFUNCTION("""COMPUTED_VALUE"""),0)</f>
        <v>0</v>
      </c>
      <c r="H589" s="8">
        <f ca="1">IFERROR(__xludf.DUMMYFUNCTION("""COMPUTED_VALUE"""),0)</f>
        <v>0</v>
      </c>
      <c r="I589" s="8">
        <f ca="1">IFERROR(__xludf.DUMMYFUNCTION("""COMPUTED_VALUE"""),0)</f>
        <v>0</v>
      </c>
      <c r="J589" s="8">
        <f ca="1">IFERROR(__xludf.DUMMYFUNCTION("""COMPUTED_VALUE"""),0)</f>
        <v>0</v>
      </c>
      <c r="K589" s="10" t="str">
        <f ca="1">IFERROR(__xludf.DUMMYFUNCTION("""COMPUTED_VALUE"""),"https://www.nbcphiladelphia.com/news/local/couple-charged-after-toddler-fires-handgun-at-monroe-co-elementary-school/3698026/
https://www.poconorecord.com/story/news/crime/2023/11/16/child-shoots-gun-middle-smithfield-elementary-school-parking-lot/7160360"&amp;"5007/")</f>
        <v>https://www.nbcphiladelphia.com/news/local/couple-charged-after-toddler-fires-handgun-at-monroe-co-elementary-school/3698026/
https://www.poconorecord.com/story/news/crime/2023/11/16/child-shoots-gun-middle-smithfield-elementary-school-parking-lot/71603605007/</v>
      </c>
      <c r="L589" s="8">
        <f ca="1">IFERROR(__xludf.DUMMYFUNCTION("""COMPUTED_VALUE"""),2)</f>
        <v>2</v>
      </c>
      <c r="M589" s="8" t="str">
        <f ca="1">IFERROR(__xludf.DUMMYFUNCTION("""COMPUTED_VALUE"""),"Local")</f>
        <v>Local</v>
      </c>
      <c r="N589" s="8">
        <f ca="1">IFERROR(__xludf.DUMMYFUNCTION("""COMPUTED_VALUE"""),4)</f>
        <v>4</v>
      </c>
      <c r="O589" s="8" t="str">
        <f ca="1">IFERROR(__xludf.DUMMYFUNCTION("""COMPUTED_VALUE"""),"Fall")</f>
        <v>Fall</v>
      </c>
      <c r="P589" s="8" t="str">
        <f ca="1">IFERROR(__xludf.DUMMYFUNCTION("""COMPUTED_VALUE"""),"East Stroudsburg")</f>
        <v>East Stroudsburg</v>
      </c>
      <c r="Q589" s="8" t="str">
        <f ca="1">IFERROR(__xludf.DUMMYFUNCTION("""COMPUTED_VALUE"""),"PA")</f>
        <v>PA</v>
      </c>
      <c r="R589" s="8" t="str">
        <f ca="1">IFERROR(__xludf.DUMMYFUNCTION("""COMPUTED_VALUE"""),"Elementary")</f>
        <v>Elementary</v>
      </c>
      <c r="S589" s="8" t="str">
        <f ca="1">IFERROR(__xludf.DUMMYFUNCTION("""COMPUTED_VALUE"""),"Parking Lot")</f>
        <v>Parking Lot</v>
      </c>
      <c r="T589" s="8" t="str">
        <f ca="1">IFERROR(__xludf.DUMMYFUNCTION("""COMPUTED_VALUE"""),"Outside on School Property")</f>
        <v>Outside on School Property</v>
      </c>
      <c r="U589" s="8" t="str">
        <f ca="1">IFERROR(__xludf.DUMMYFUNCTION("""COMPUTED_VALUE"""),"Yes")</f>
        <v>Yes</v>
      </c>
      <c r="V589" s="8" t="str">
        <f ca="1">IFERROR(__xludf.DUMMYFUNCTION("""COMPUTED_VALUE"""),"Afternoon Classes")</f>
        <v>Afternoon Classes</v>
      </c>
      <c r="W589" s="11">
        <f ca="1">IFERROR(__xludf.DUMMYFUNCTION("""COMPUTED_VALUE"""),0.583333333333333)</f>
        <v>0.58333333333333304</v>
      </c>
      <c r="X589" s="8">
        <f ca="1">IFERROR(__xludf.DUMMYFUNCTION("""COMPUTED_VALUE"""),1)</f>
        <v>1</v>
      </c>
      <c r="Y589" s="12" t="str">
        <f ca="1">IFERROR(__xludf.DUMMYFUNCTION("""COMPUTED_VALUE"""),"3-year-old fired gun found inside car in the school parking lot")</f>
        <v>3-year-old fired gun found inside car in the school parking lot</v>
      </c>
      <c r="Z589" s="12" t="str">
        <f ca="1">IFERROR(__xludf.DUMMYFUNCTION("""COMPUTED_VALUE"""),"Officials said that, at that time, De Los Santos was at the school to pick up one of her children, and left her other children -- an 11-year-old and a three-year-old -- in her car in the school's parking lot while she was gone. While De Los Santos was in "&amp;"the school, under the front passenger seat, the three-year-old found a loaded 9mm Glock handgun in an unlocked case, which police said, was left there by Jimenez Zabala. After finding the weapon, officials said the child pulled the trigger, discharging a "&amp;"single round inside the vehicle. The shot traveled under the rear passenger seat and back towards the rear of the vehicle, and police said, no one was struck by the bullet. Police said the school's video surveillance captured the incident.")</f>
        <v>Officials said that, at that time, De Los Santos was at the school to pick up one of her children, and left her other children -- an 11-year-old and a three-year-old -- in her car in the school's parking lot while she was gone. While De Los Santos was in the school, under the front passenger seat, the three-year-old found a loaded 9mm Glock handgun in an unlocked case, which police said, was left there by Jimenez Zabala. After finding the weapon, officials said the child pulled the trigger, discharging a single round inside the vehicle. The shot traveled under the rear passenger seat and back towards the rear of the vehicle, and police said, no one was struck by the bullet. Police said the school's video surveillance captured the incident.</v>
      </c>
      <c r="AA589" s="8" t="str">
        <f ca="1">IFERROR(__xludf.DUMMYFUNCTION("""COMPUTED_VALUE"""),"Accidental")</f>
        <v>Accidental</v>
      </c>
      <c r="AB589" s="8" t="str">
        <f ca="1">IFERROR(__xludf.DUMMYFUNCTION("""COMPUTED_VALUE"""),"Spontaneous")</f>
        <v>Spontaneous</v>
      </c>
      <c r="AC589" s="8" t="str">
        <f ca="1">IFERROR(__xludf.DUMMYFUNCTION("""COMPUTED_VALUE"""),"Yes")</f>
        <v>Yes</v>
      </c>
      <c r="AD589" s="8" t="str">
        <f ca="1">IFERROR(__xludf.DUMMYFUNCTION("""COMPUTED_VALUE"""),"Neither")</f>
        <v>Neither</v>
      </c>
      <c r="AE589" s="8" t="str">
        <f ca="1">IFERROR(__xludf.DUMMYFUNCTION("""COMPUTED_VALUE"""),"No")</f>
        <v>No</v>
      </c>
      <c r="AF589" s="8"/>
      <c r="AG589" s="8" t="str">
        <f ca="1">IFERROR(__xludf.DUMMYFUNCTION("""COMPUTED_VALUE"""),"No")</f>
        <v>No</v>
      </c>
      <c r="AH589" s="8" t="str">
        <f ca="1">IFERROR(__xludf.DUMMYFUNCTION("""COMPUTED_VALUE"""),"No")</f>
        <v>No</v>
      </c>
      <c r="AI589" s="8" t="str">
        <f ca="1">IFERROR(__xludf.DUMMYFUNCTION("""COMPUTED_VALUE"""),"No")</f>
        <v>No</v>
      </c>
      <c r="AJ589" s="8" t="str">
        <f ca="1">IFERROR(__xludf.DUMMYFUNCTION("""COMPUTED_VALUE"""),"No")</f>
        <v>No</v>
      </c>
      <c r="AK589" s="8" t="str">
        <f ca="1">IFERROR(__xludf.DUMMYFUNCTION("""COMPUTED_VALUE"""),"No")</f>
        <v>No</v>
      </c>
      <c r="AL589" s="8" t="str">
        <f ca="1">IFERROR(__xludf.DUMMYFUNCTION("""COMPUTED_VALUE"""),"No")</f>
        <v>No</v>
      </c>
      <c r="AM589" s="8" t="str">
        <f ca="1">IFERROR(__xludf.DUMMYFUNCTION("""COMPUTED_VALUE"""),"No")</f>
        <v>No</v>
      </c>
      <c r="AN589" s="8" t="str">
        <f ca="1">IFERROR(__xludf.DUMMYFUNCTION("""COMPUTED_VALUE"""),"Outside")</f>
        <v>Outside</v>
      </c>
      <c r="AO589" s="8" t="str">
        <f ca="1">IFERROR(__xludf.DUMMYFUNCTION("""COMPUTED_VALUE"""),"No")</f>
        <v>No</v>
      </c>
      <c r="AP589" s="8"/>
      <c r="AQ589" s="8"/>
      <c r="AR589" s="8" t="str">
        <f ca="1">IFERROR(__xludf.DUMMYFUNCTION("""COMPUTED_VALUE"""),"Outside/Off-Property")</f>
        <v>Outside/Off-Property</v>
      </c>
      <c r="AS589" s="8">
        <f ca="1">IFERROR(__xludf.DUMMYFUNCTION("""COMPUTED_VALUE"""),1)</f>
        <v>1</v>
      </c>
      <c r="AT589" s="8" t="str">
        <f ca="1">IFERROR(__xludf.DUMMYFUNCTION("""COMPUTED_VALUE"""),"No")</f>
        <v>No</v>
      </c>
      <c r="AU589" s="8">
        <f ca="1">IFERROR(__xludf.DUMMYFUNCTION("""COMPUTED_VALUE"""),41.059456)</f>
        <v>41.059455999999997</v>
      </c>
      <c r="AV589" s="8">
        <f ca="1">IFERROR(__xludf.DUMMYFUNCTION("""COMPUTED_VALUE"""),-75.077964)</f>
        <v>-75.077963999999994</v>
      </c>
      <c r="AW589" s="8"/>
      <c r="AX589" s="8">
        <f ca="1">IFERROR(__xludf.DUMMYFUNCTION("""COMPUTED_VALUE"""),18302)</f>
        <v>18302</v>
      </c>
    </row>
    <row r="590" spans="1:50" ht="195" x14ac:dyDescent="0.2">
      <c r="A590" s="8" t="str">
        <f ca="1">IFERROR(__xludf.DUMMYFUNCTION("""COMPUTED_VALUE"""),"20231004COROD")</f>
        <v>20231004COROD</v>
      </c>
      <c r="B590" s="8">
        <f ca="1">IFERROR(__xludf.DUMMYFUNCTION("""COMPUTED_VALUE"""),10)</f>
        <v>10</v>
      </c>
      <c r="C590" s="8">
        <f ca="1">IFERROR(__xludf.DUMMYFUNCTION("""COMPUTED_VALUE"""),4)</f>
        <v>4</v>
      </c>
      <c r="D590" s="8">
        <f ca="1">IFERROR(__xludf.DUMMYFUNCTION("""COMPUTED_VALUE"""),2023)</f>
        <v>2023</v>
      </c>
      <c r="E590" s="9">
        <f ca="1">IFERROR(__xludf.DUMMYFUNCTION("""COMPUTED_VALUE"""),45203)</f>
        <v>45203</v>
      </c>
      <c r="F590" s="8" t="str">
        <f ca="1">IFERROR(__xludf.DUMMYFUNCTION("""COMPUTED_VALUE"""),"Rocky Mountain Prep Southwest")</f>
        <v>Rocky Mountain Prep Southwest</v>
      </c>
      <c r="G590" s="8">
        <f ca="1">IFERROR(__xludf.DUMMYFUNCTION("""COMPUTED_VALUE"""),0)</f>
        <v>0</v>
      </c>
      <c r="H590" s="8">
        <f ca="1">IFERROR(__xludf.DUMMYFUNCTION("""COMPUTED_VALUE"""),1)</f>
        <v>1</v>
      </c>
      <c r="I590" s="8">
        <f ca="1">IFERROR(__xludf.DUMMYFUNCTION("""COMPUTED_VALUE"""),1)</f>
        <v>1</v>
      </c>
      <c r="J590" s="8">
        <f ca="1">IFERROR(__xludf.DUMMYFUNCTION("""COMPUTED_VALUE"""),0)</f>
        <v>0</v>
      </c>
      <c r="K590" s="8" t="str">
        <f ca="1">IFERROR(__xludf.DUMMYFUNCTION("""COMPUTED_VALUE"""),"https://www.9news.com/article/news/crime/father-in-hospital-after-shooting-near-denver-school/73-7bf9d3b4-9a62-4488-ac19-36751081ecd6
https://rockymountainprep.org/news/southwest-westwood-and-smart-schools-closed-oct-5/")</f>
        <v>https://www.9news.com/article/news/crime/father-in-hospital-after-shooting-near-denver-school/73-7bf9d3b4-9a62-4488-ac19-36751081ecd6
https://rockymountainprep.org/news/southwest-westwood-and-smart-schools-closed-oct-5/</v>
      </c>
      <c r="L590" s="8">
        <f ca="1">IFERROR(__xludf.DUMMYFUNCTION("""COMPUTED_VALUE"""),1)</f>
        <v>1</v>
      </c>
      <c r="M590" s="8" t="str">
        <f ca="1">IFERROR(__xludf.DUMMYFUNCTION("""COMPUTED_VALUE"""),"Local")</f>
        <v>Local</v>
      </c>
      <c r="N590" s="8">
        <f ca="1">IFERROR(__xludf.DUMMYFUNCTION("""COMPUTED_VALUE"""),4)</f>
        <v>4</v>
      </c>
      <c r="O590" s="8" t="str">
        <f ca="1">IFERROR(__xludf.DUMMYFUNCTION("""COMPUTED_VALUE"""),"Fall")</f>
        <v>Fall</v>
      </c>
      <c r="P590" s="8" t="str">
        <f ca="1">IFERROR(__xludf.DUMMYFUNCTION("""COMPUTED_VALUE"""),"Denver")</f>
        <v>Denver</v>
      </c>
      <c r="Q590" s="8" t="str">
        <f ca="1">IFERROR(__xludf.DUMMYFUNCTION("""COMPUTED_VALUE"""),"CO")</f>
        <v>CO</v>
      </c>
      <c r="R590" s="8" t="str">
        <f ca="1">IFERROR(__xludf.DUMMYFUNCTION("""COMPUTED_VALUE"""),"Elementary")</f>
        <v>Elementary</v>
      </c>
      <c r="S590" s="8" t="str">
        <f ca="1">IFERROR(__xludf.DUMMYFUNCTION("""COMPUTED_VALUE"""),"Front of School")</f>
        <v>Front of School</v>
      </c>
      <c r="T590" s="8" t="str">
        <f ca="1">IFERROR(__xludf.DUMMYFUNCTION("""COMPUTED_VALUE"""),"Off School Property")</f>
        <v>Off School Property</v>
      </c>
      <c r="U590" s="8" t="str">
        <f ca="1">IFERROR(__xludf.DUMMYFUNCTION("""COMPUTED_VALUE"""),"Yes")</f>
        <v>Yes</v>
      </c>
      <c r="V590" s="8" t="str">
        <f ca="1">IFERROR(__xludf.DUMMYFUNCTION("""COMPUTED_VALUE"""),"Dismissal")</f>
        <v>Dismissal</v>
      </c>
      <c r="W590" s="11">
        <f ca="1">IFERROR(__xludf.DUMMYFUNCTION("""COMPUTED_VALUE"""),0.625)</f>
        <v>0.625</v>
      </c>
      <c r="X590" s="8">
        <f ca="1">IFERROR(__xludf.DUMMYFUNCTION("""COMPUTED_VALUE"""),1)</f>
        <v>1</v>
      </c>
      <c r="Y590" s="12" t="str">
        <f ca="1">IFERROR(__xludf.DUMMYFUNCTION("""COMPUTED_VALUE"""),"Father picking up child shot while chasing teen with gun off of school property")</f>
        <v>Father picking up child shot while chasing teen with gun off of school property</v>
      </c>
      <c r="Z590" s="12" t="str">
        <f ca="1">IFERROR(__xludf.DUMMYFUNCTION("""COMPUTED_VALUE"""),"On Oct. 4, Duran said, he was picking up his 9-year-old son from elementary school near Kentucky Avenue and Federal Boulevard. His son hopped in the car, and then, Duran said, he saw a kid with a gun. ""He was walking on school grounds with that gun. I wa"&amp;"s literally one car away from the main office of my son's school,"" Duran said. According to Duran, the teenager threatened another kid with a gun, and then ran away. That's when Duran decided to chase him. ""I just couldn't let him get away. I had this f"&amp;"eeling I had to intervene,"" Duran said. The kid fired a gun down the street from families. Duran's fourth-grade son heard the shots from the car. School went on lockdown. Multiple schools in the area were closed the following day.")</f>
        <v>On Oct. 4, Duran said, he was picking up his 9-year-old son from elementary school near Kentucky Avenue and Federal Boulevard. His son hopped in the car, and then, Duran said, he saw a kid with a gun. "He was walking on school grounds with that gun. I was literally one car away from the main office of my son's school," Duran said. According to Duran, the teenager threatened another kid with a gun, and then ran away. That's when Duran decided to chase him. "I just couldn't let him get away. I had this feeling I had to intervene," Duran said. The kid fired a gun down the street from families. Duran's fourth-grade son heard the shots from the car. School went on lockdown. Multiple schools in the area were closed the following day.</v>
      </c>
      <c r="AA590" s="8" t="str">
        <f ca="1">IFERROR(__xludf.DUMMYFUNCTION("""COMPUTED_VALUE"""),"Escalation of Dispute")</f>
        <v>Escalation of Dispute</v>
      </c>
      <c r="AB590" s="8" t="str">
        <f ca="1">IFERROR(__xludf.DUMMYFUNCTION("""COMPUTED_VALUE"""),"Spontaneous")</f>
        <v>Spontaneous</v>
      </c>
      <c r="AC590" s="8" t="str">
        <f ca="1">IFERROR(__xludf.DUMMYFUNCTION("""COMPUTED_VALUE"""),"Yes")</f>
        <v>Yes</v>
      </c>
      <c r="AD590" s="8" t="str">
        <f ca="1">IFERROR(__xludf.DUMMYFUNCTION("""COMPUTED_VALUE"""),"Both")</f>
        <v>Both</v>
      </c>
      <c r="AE590" s="8" t="str">
        <f ca="1">IFERROR(__xludf.DUMMYFUNCTION("""COMPUTED_VALUE"""),"No")</f>
        <v>No</v>
      </c>
      <c r="AF590" s="8"/>
      <c r="AG590" s="8" t="str">
        <f ca="1">IFERROR(__xludf.DUMMYFUNCTION("""COMPUTED_VALUE"""),"No")</f>
        <v>No</v>
      </c>
      <c r="AH590" s="8" t="str">
        <f ca="1">IFERROR(__xludf.DUMMYFUNCTION("""COMPUTED_VALUE"""),"No")</f>
        <v>No</v>
      </c>
      <c r="AI590" s="8" t="str">
        <f ca="1">IFERROR(__xludf.DUMMYFUNCTION("""COMPUTED_VALUE"""),"No")</f>
        <v>No</v>
      </c>
      <c r="AJ590" s="8" t="str">
        <f ca="1">IFERROR(__xludf.DUMMYFUNCTION("""COMPUTED_VALUE"""),"No")</f>
        <v>No</v>
      </c>
      <c r="AK590" s="8" t="str">
        <f ca="1">IFERROR(__xludf.DUMMYFUNCTION("""COMPUTED_VALUE"""),"No")</f>
        <v>No</v>
      </c>
      <c r="AL590" s="8"/>
      <c r="AM590" s="8" t="str">
        <f ca="1">IFERROR(__xludf.DUMMYFUNCTION("""COMPUTED_VALUE"""),"No")</f>
        <v>No</v>
      </c>
      <c r="AN590" s="8" t="str">
        <f ca="1">IFERROR(__xludf.DUMMYFUNCTION("""COMPUTED_VALUE"""),"Outside")</f>
        <v>Outside</v>
      </c>
      <c r="AO590" s="8" t="str">
        <f ca="1">IFERROR(__xludf.DUMMYFUNCTION("""COMPUTED_VALUE"""),"No")</f>
        <v>No</v>
      </c>
      <c r="AP590" s="8"/>
      <c r="AQ590" s="8"/>
      <c r="AR590" s="8" t="str">
        <f ca="1">IFERROR(__xludf.DUMMYFUNCTION("""COMPUTED_VALUE"""),"Outside/Off-Property")</f>
        <v>Outside/Off-Property</v>
      </c>
      <c r="AS590" s="8">
        <f ca="1">IFERROR(__xludf.DUMMYFUNCTION("""COMPUTED_VALUE"""),99)</f>
        <v>99</v>
      </c>
      <c r="AT590" s="8" t="str">
        <f ca="1">IFERROR(__xludf.DUMMYFUNCTION("""COMPUTED_VALUE"""),"Yes")</f>
        <v>Yes</v>
      </c>
      <c r="AU590" s="8">
        <f ca="1">IFERROR(__xludf.DUMMYFUNCTION("""COMPUTED_VALUE"""),39.698913)</f>
        <v>39.698912999999997</v>
      </c>
      <c r="AV590" s="8">
        <f ca="1">IFERROR(__xludf.DUMMYFUNCTION("""COMPUTED_VALUE"""),-105.027691)</f>
        <v>-105.027691</v>
      </c>
      <c r="AW590" s="8"/>
      <c r="AX590" s="8">
        <f ca="1">IFERROR(__xludf.DUMMYFUNCTION("""COMPUTED_VALUE"""),80219)</f>
        <v>80219</v>
      </c>
    </row>
    <row r="591" spans="1:50" ht="60" x14ac:dyDescent="0.2">
      <c r="A591" s="8" t="str">
        <f ca="1">IFERROR(__xludf.DUMMYFUNCTION("""COMPUTED_VALUE"""),"20231004WAGAS")</f>
        <v>20231004WAGAS</v>
      </c>
      <c r="B591" s="8">
        <f ca="1">IFERROR(__xludf.DUMMYFUNCTION("""COMPUTED_VALUE"""),10)</f>
        <v>10</v>
      </c>
      <c r="C591" s="8">
        <f ca="1">IFERROR(__xludf.DUMMYFUNCTION("""COMPUTED_VALUE"""),4)</f>
        <v>4</v>
      </c>
      <c r="D591" s="8">
        <f ca="1">IFERROR(__xludf.DUMMYFUNCTION("""COMPUTED_VALUE"""),2023)</f>
        <v>2023</v>
      </c>
      <c r="E591" s="9">
        <f ca="1">IFERROR(__xludf.DUMMYFUNCTION("""COMPUTED_VALUE"""),45203)</f>
        <v>45203</v>
      </c>
      <c r="F591" s="8" t="str">
        <f ca="1">IFERROR(__xludf.DUMMYFUNCTION("""COMPUTED_VALUE"""),"Garfield High School")</f>
        <v>Garfield High School</v>
      </c>
      <c r="G591" s="8">
        <f ca="1">IFERROR(__xludf.DUMMYFUNCTION("""COMPUTED_VALUE"""),0)</f>
        <v>0</v>
      </c>
      <c r="H591" s="8">
        <f ca="1">IFERROR(__xludf.DUMMYFUNCTION("""COMPUTED_VALUE"""),0)</f>
        <v>0</v>
      </c>
      <c r="I591" s="8">
        <f ca="1">IFERROR(__xludf.DUMMYFUNCTION("""COMPUTED_VALUE"""),0)</f>
        <v>0</v>
      </c>
      <c r="J591" s="8">
        <f ca="1">IFERROR(__xludf.DUMMYFUNCTION("""COMPUTED_VALUE"""),0)</f>
        <v>0</v>
      </c>
      <c r="K591" s="8" t="str">
        <f ca="1">IFERROR(__xludf.DUMMYFUNCTION("""COMPUTED_VALUE"""),"https://komonews.com/news/local/garfield-high-school-gun-shooting-police-presence-investigation-fight-football-field-property-damage-house-washington-king-county-public-schools-employee-staff-education-teacher-shots-fired-alder-bulldogss
https://www.king5"&amp;".com/article/news/local/seattle/seattle-garfield-high-school-police-activity/281-3c2a7612-4965-4232-b05b-aaaab8baae18")</f>
        <v>https://komonews.com/news/local/garfield-high-school-gun-shooting-police-presence-investigation-fight-football-field-property-damage-house-washington-king-county-public-schools-employee-staff-education-teacher-shots-fired-alder-bulldogss
https://www.king5.com/article/news/local/seattle/seattle-garfield-high-school-police-activity/281-3c2a7612-4965-4232-b05b-aaaab8baae18</v>
      </c>
      <c r="L591" s="8">
        <f ca="1">IFERROR(__xludf.DUMMYFUNCTION("""COMPUTED_VALUE"""),10)</f>
        <v>10</v>
      </c>
      <c r="M591" s="8" t="str">
        <f ca="1">IFERROR(__xludf.DUMMYFUNCTION("""COMPUTED_VALUE"""),"Regional")</f>
        <v>Regional</v>
      </c>
      <c r="N591" s="8">
        <f ca="1">IFERROR(__xludf.DUMMYFUNCTION("""COMPUTED_VALUE"""),4)</f>
        <v>4</v>
      </c>
      <c r="O591" s="8" t="str">
        <f ca="1">IFERROR(__xludf.DUMMYFUNCTION("""COMPUTED_VALUE"""),"Fall")</f>
        <v>Fall</v>
      </c>
      <c r="P591" s="8" t="str">
        <f ca="1">IFERROR(__xludf.DUMMYFUNCTION("""COMPUTED_VALUE"""),"Seattle")</f>
        <v>Seattle</v>
      </c>
      <c r="Q591" s="8" t="str">
        <f ca="1">IFERROR(__xludf.DUMMYFUNCTION("""COMPUTED_VALUE"""),"WA")</f>
        <v>WA</v>
      </c>
      <c r="R591" s="8" t="str">
        <f ca="1">IFERROR(__xludf.DUMMYFUNCTION("""COMPUTED_VALUE"""),"High")</f>
        <v>High</v>
      </c>
      <c r="S591" s="8" t="str">
        <f ca="1">IFERROR(__xludf.DUMMYFUNCTION("""COMPUTED_VALUE"""),"Football Field/Track")</f>
        <v>Football Field/Track</v>
      </c>
      <c r="T591" s="8" t="str">
        <f ca="1">IFERROR(__xludf.DUMMYFUNCTION("""COMPUTED_VALUE"""),"Outside on School Property")</f>
        <v>Outside on School Property</v>
      </c>
      <c r="U591" s="8" t="str">
        <f ca="1">IFERROR(__xludf.DUMMYFUNCTION("""COMPUTED_VALUE"""),"Yes")</f>
        <v>Yes</v>
      </c>
      <c r="V591" s="8" t="str">
        <f ca="1">IFERROR(__xludf.DUMMYFUNCTION("""COMPUTED_VALUE"""),"Lunch")</f>
        <v>Lunch</v>
      </c>
      <c r="W591" s="11">
        <f ca="1">IFERROR(__xludf.DUMMYFUNCTION("""COMPUTED_VALUE"""),0.529166666666666)</f>
        <v>0.52916666666666601</v>
      </c>
      <c r="X591" s="8">
        <f ca="1">IFERROR(__xludf.DUMMYFUNCTION("""COMPUTED_VALUE"""),1)</f>
        <v>1</v>
      </c>
      <c r="Y591" s="12" t="str">
        <f ca="1">IFERROR(__xludf.DUMMYFUNCTION("""COMPUTED_VALUE"""),"Shots fired near football field while students were outside for lunch")</f>
        <v>Shots fired near football field while students were outside for lunch</v>
      </c>
      <c r="Z591" s="12" t="str">
        <f ca="1">IFERROR(__xludf.DUMMYFUNCTION("""COMPUTED_VALUE"""),"Shots fired near football field while students were outside for lunch. Students ran back to the building and went on lockdown. No injuries. Police found property damage and shell casings.")</f>
        <v>Shots fired near football field while students were outside for lunch. Students ran back to the building and went on lockdown. No injuries. Police found property damage and shell casings.</v>
      </c>
      <c r="AA591" s="8"/>
      <c r="AB591" s="8" t="str">
        <f ca="1">IFERROR(__xludf.DUMMYFUNCTION("""COMPUTED_VALUE"""),"Spontaneous")</f>
        <v>Spontaneous</v>
      </c>
      <c r="AC591" s="8" t="str">
        <f ca="1">IFERROR(__xludf.DUMMYFUNCTION("""COMPUTED_VALUE"""),"Yes")</f>
        <v>Yes</v>
      </c>
      <c r="AD591" s="8"/>
      <c r="AE591" s="8" t="str">
        <f ca="1">IFERROR(__xludf.DUMMYFUNCTION("""COMPUTED_VALUE"""),"No")</f>
        <v>No</v>
      </c>
      <c r="AF591" s="8"/>
      <c r="AG591" s="8" t="str">
        <f ca="1">IFERROR(__xludf.DUMMYFUNCTION("""COMPUTED_VALUE"""),"No")</f>
        <v>No</v>
      </c>
      <c r="AH591" s="8" t="str">
        <f ca="1">IFERROR(__xludf.DUMMYFUNCTION("""COMPUTED_VALUE"""),"No")</f>
        <v>No</v>
      </c>
      <c r="AI591" s="8" t="str">
        <f ca="1">IFERROR(__xludf.DUMMYFUNCTION("""COMPUTED_VALUE"""),"No")</f>
        <v>No</v>
      </c>
      <c r="AJ591" s="8" t="str">
        <f ca="1">IFERROR(__xludf.DUMMYFUNCTION("""COMPUTED_VALUE"""),"No")</f>
        <v>No</v>
      </c>
      <c r="AK591" s="8" t="str">
        <f ca="1">IFERROR(__xludf.DUMMYFUNCTION("""COMPUTED_VALUE"""),"No")</f>
        <v>No</v>
      </c>
      <c r="AL591" s="8"/>
      <c r="AM591" s="8" t="str">
        <f ca="1">IFERROR(__xludf.DUMMYFUNCTION("""COMPUTED_VALUE"""),"No")</f>
        <v>No</v>
      </c>
      <c r="AN591" s="8" t="str">
        <f ca="1">IFERROR(__xludf.DUMMYFUNCTION("""COMPUTED_VALUE"""),"Outside")</f>
        <v>Outside</v>
      </c>
      <c r="AO591" s="8" t="str">
        <f ca="1">IFERROR(__xludf.DUMMYFUNCTION("""COMPUTED_VALUE"""),"No")</f>
        <v>No</v>
      </c>
      <c r="AP591" s="8"/>
      <c r="AQ591" s="8"/>
      <c r="AR591" s="8" t="str">
        <f ca="1">IFERROR(__xludf.DUMMYFUNCTION("""COMPUTED_VALUE"""),"Outside/Off-Property")</f>
        <v>Outside/Off-Property</v>
      </c>
      <c r="AS591" s="8">
        <f ca="1">IFERROR(__xludf.DUMMYFUNCTION("""COMPUTED_VALUE"""),99)</f>
        <v>99</v>
      </c>
      <c r="AT591" s="8" t="str">
        <f ca="1">IFERROR(__xludf.DUMMYFUNCTION("""COMPUTED_VALUE"""),"Yes")</f>
        <v>Yes</v>
      </c>
      <c r="AU591" s="8">
        <f ca="1">IFERROR(__xludf.DUMMYFUNCTION("""COMPUTED_VALUE"""),47.605389)</f>
        <v>47.605389000000002</v>
      </c>
      <c r="AV591" s="8">
        <f ca="1">IFERROR(__xludf.DUMMYFUNCTION("""COMPUTED_VALUE"""),-122.300104)</f>
        <v>-122.300104</v>
      </c>
      <c r="AW591" s="8"/>
      <c r="AX591" s="8">
        <f ca="1">IFERROR(__xludf.DUMMYFUNCTION("""COMPUTED_VALUE"""),98122)</f>
        <v>98122</v>
      </c>
    </row>
    <row r="592" spans="1:50" ht="90" x14ac:dyDescent="0.2">
      <c r="A592" s="8" t="str">
        <f ca="1">IFERROR(__xludf.DUMMYFUNCTION("""COMPUTED_VALUE"""),"20231004GASAS")</f>
        <v>20231004GASAS</v>
      </c>
      <c r="B592" s="8">
        <f ca="1">IFERROR(__xludf.DUMMYFUNCTION("""COMPUTED_VALUE"""),10)</f>
        <v>10</v>
      </c>
      <c r="C592" s="8">
        <f ca="1">IFERROR(__xludf.DUMMYFUNCTION("""COMPUTED_VALUE"""),4)</f>
        <v>4</v>
      </c>
      <c r="D592" s="8">
        <f ca="1">IFERROR(__xludf.DUMMYFUNCTION("""COMPUTED_VALUE"""),2023)</f>
        <v>2023</v>
      </c>
      <c r="E592" s="9">
        <f ca="1">IFERROR(__xludf.DUMMYFUNCTION("""COMPUTED_VALUE"""),45203)</f>
        <v>45203</v>
      </c>
      <c r="F592" s="8" t="str">
        <f ca="1">IFERROR(__xludf.DUMMYFUNCTION("""COMPUTED_VALUE"""),"Savannah High School")</f>
        <v>Savannah High School</v>
      </c>
      <c r="G592" s="8">
        <f ca="1">IFERROR(__xludf.DUMMYFUNCTION("""COMPUTED_VALUE"""),0)</f>
        <v>0</v>
      </c>
      <c r="H592" s="8">
        <f ca="1">IFERROR(__xludf.DUMMYFUNCTION("""COMPUTED_VALUE"""),1)</f>
        <v>1</v>
      </c>
      <c r="I592" s="8">
        <f ca="1">IFERROR(__xludf.DUMMYFUNCTION("""COMPUTED_VALUE"""),1)</f>
        <v>1</v>
      </c>
      <c r="J592" s="8">
        <f ca="1">IFERROR(__xludf.DUMMYFUNCTION("""COMPUTED_VALUE"""),0)</f>
        <v>0</v>
      </c>
      <c r="K592" s="8" t="str">
        <f ca="1">IFERROR(__xludf.DUMMYFUNCTION("""COMPUTED_VALUE"""),"https://www.wtoc.com/2023/10/05/im-shocked-neighbors-concerned-after-savannah-high-student-shot-while-walking-school/
https://www.wjcl.com/article/savannah-high-school-shooting-lockdown/45442624#")</f>
        <v>https://www.wtoc.com/2023/10/05/im-shocked-neighbors-concerned-after-savannah-high-student-shot-while-walking-school/
https://www.wjcl.com/article/savannah-high-school-shooting-lockdown/45442624#</v>
      </c>
      <c r="L592" s="8">
        <f ca="1">IFERROR(__xludf.DUMMYFUNCTION("""COMPUTED_VALUE"""),5)</f>
        <v>5</v>
      </c>
      <c r="M592" s="8" t="str">
        <f ca="1">IFERROR(__xludf.DUMMYFUNCTION("""COMPUTED_VALUE"""),"Local")</f>
        <v>Local</v>
      </c>
      <c r="N592" s="8">
        <f ca="1">IFERROR(__xludf.DUMMYFUNCTION("""COMPUTED_VALUE"""),4)</f>
        <v>4</v>
      </c>
      <c r="O592" s="8" t="str">
        <f ca="1">IFERROR(__xludf.DUMMYFUNCTION("""COMPUTED_VALUE"""),"Fall")</f>
        <v>Fall</v>
      </c>
      <c r="P592" s="8" t="str">
        <f ca="1">IFERROR(__xludf.DUMMYFUNCTION("""COMPUTED_VALUE"""),"Savannah")</f>
        <v>Savannah</v>
      </c>
      <c r="Q592" s="8" t="str">
        <f ca="1">IFERROR(__xludf.DUMMYFUNCTION("""COMPUTED_VALUE"""),"GA")</f>
        <v>GA</v>
      </c>
      <c r="R592" s="8" t="str">
        <f ca="1">IFERROR(__xludf.DUMMYFUNCTION("""COMPUTED_VALUE"""),"High")</f>
        <v>High</v>
      </c>
      <c r="S592" s="8" t="str">
        <f ca="1">IFERROR(__xludf.DUMMYFUNCTION("""COMPUTED_VALUE"""),"Field (General)")</f>
        <v>Field (General)</v>
      </c>
      <c r="T592" s="8" t="str">
        <f ca="1">IFERROR(__xludf.DUMMYFUNCTION("""COMPUTED_VALUE"""),"Off School Property")</f>
        <v>Off School Property</v>
      </c>
      <c r="U592" s="8" t="str">
        <f ca="1">IFERROR(__xludf.DUMMYFUNCTION("""COMPUTED_VALUE"""),"Yes")</f>
        <v>Yes</v>
      </c>
      <c r="V592" s="8" t="str">
        <f ca="1">IFERROR(__xludf.DUMMYFUNCTION("""COMPUTED_VALUE"""),"School Start")</f>
        <v>School Start</v>
      </c>
      <c r="W592" s="11">
        <f ca="1">IFERROR(__xludf.DUMMYFUNCTION("""COMPUTED_VALUE"""),0.3125)</f>
        <v>0.3125</v>
      </c>
      <c r="X592" s="8">
        <f ca="1">IFERROR(__xludf.DUMMYFUNCTION("""COMPUTED_VALUE"""),1)</f>
        <v>1</v>
      </c>
      <c r="Y592" s="12" t="str">
        <f ca="1">IFERROR(__xludf.DUMMYFUNCTION("""COMPUTED_VALUE"""),"Group of 4 students shot at as they walked on the sidewalk around the campus to the front gate")</f>
        <v>Group of 4 students shot at as they walked on the sidewalk around the campus to the front gate</v>
      </c>
      <c r="Z592" s="12" t="str">
        <f ca="1">IFERROR(__xludf.DUMMYFUNCTION("""COMPUTED_VALUE"""),"Group of 4 students shot at, one wounded, as they walked on the sidewalk around the campus to the front gate before school started. Students ran and took shelter inside a firehouse that is next to the football field. School was placed on lockdown for the "&amp;"remainder of the day.")</f>
        <v>Group of 4 students shot at, one wounded, as they walked on the sidewalk around the campus to the front gate before school started. Students ran and took shelter inside a firehouse that is next to the football field. School was placed on lockdown for the remainder of the day.</v>
      </c>
      <c r="AA592" s="8" t="str">
        <f ca="1">IFERROR(__xludf.DUMMYFUNCTION("""COMPUTED_VALUE"""),"Drive-by Shooting")</f>
        <v>Drive-by Shooting</v>
      </c>
      <c r="AB592" s="8" t="str">
        <f ca="1">IFERROR(__xludf.DUMMYFUNCTION("""COMPUTED_VALUE"""),"Targeted")</f>
        <v>Targeted</v>
      </c>
      <c r="AC592" s="8" t="str">
        <f ca="1">IFERROR(__xludf.DUMMYFUNCTION("""COMPUTED_VALUE"""),"Yes")</f>
        <v>Yes</v>
      </c>
      <c r="AD592" s="8" t="str">
        <f ca="1">IFERROR(__xludf.DUMMYFUNCTION("""COMPUTED_VALUE"""),"Victims Targeted")</f>
        <v>Victims Targeted</v>
      </c>
      <c r="AE592" s="8" t="str">
        <f ca="1">IFERROR(__xludf.DUMMYFUNCTION("""COMPUTED_VALUE"""),"No")</f>
        <v>No</v>
      </c>
      <c r="AF592" s="8"/>
      <c r="AG592" s="8" t="str">
        <f ca="1">IFERROR(__xludf.DUMMYFUNCTION("""COMPUTED_VALUE"""),"No")</f>
        <v>No</v>
      </c>
      <c r="AH592" s="8" t="str">
        <f ca="1">IFERROR(__xludf.DUMMYFUNCTION("""COMPUTED_VALUE"""),"No")</f>
        <v>No</v>
      </c>
      <c r="AI592" s="8" t="str">
        <f ca="1">IFERROR(__xludf.DUMMYFUNCTION("""COMPUTED_VALUE"""),"No")</f>
        <v>No</v>
      </c>
      <c r="AJ592" s="8" t="str">
        <f ca="1">IFERROR(__xludf.DUMMYFUNCTION("""COMPUTED_VALUE"""),"No")</f>
        <v>No</v>
      </c>
      <c r="AK592" s="8" t="str">
        <f ca="1">IFERROR(__xludf.DUMMYFUNCTION("""COMPUTED_VALUE"""),"No")</f>
        <v>No</v>
      </c>
      <c r="AL592" s="8"/>
      <c r="AM592" s="8" t="str">
        <f ca="1">IFERROR(__xludf.DUMMYFUNCTION("""COMPUTED_VALUE"""),"No")</f>
        <v>No</v>
      </c>
      <c r="AN592" s="8" t="str">
        <f ca="1">IFERROR(__xludf.DUMMYFUNCTION("""COMPUTED_VALUE"""),"Outside")</f>
        <v>Outside</v>
      </c>
      <c r="AO592" s="8" t="str">
        <f ca="1">IFERROR(__xludf.DUMMYFUNCTION("""COMPUTED_VALUE"""),"No")</f>
        <v>No</v>
      </c>
      <c r="AP592" s="8"/>
      <c r="AQ592" s="8"/>
      <c r="AR592" s="8" t="str">
        <f ca="1">IFERROR(__xludf.DUMMYFUNCTION("""COMPUTED_VALUE"""),"Outside/Off-Property")</f>
        <v>Outside/Off-Property</v>
      </c>
      <c r="AS592" s="8">
        <f ca="1">IFERROR(__xludf.DUMMYFUNCTION("""COMPUTED_VALUE"""),99)</f>
        <v>99</v>
      </c>
      <c r="AT592" s="8" t="str">
        <f ca="1">IFERROR(__xludf.DUMMYFUNCTION("""COMPUTED_VALUE"""),"Yes")</f>
        <v>Yes</v>
      </c>
      <c r="AU592" s="8">
        <f ca="1">IFERROR(__xludf.DUMMYFUNCTION("""COMPUTED_VALUE"""),32.063472)</f>
        <v>32.063471999999997</v>
      </c>
      <c r="AV592" s="8">
        <f ca="1">IFERROR(__xludf.DUMMYFUNCTION("""COMPUTED_VALUE"""),-81.053506)</f>
        <v>-81.053505999999999</v>
      </c>
      <c r="AW592" s="8"/>
      <c r="AX592" s="8">
        <f ca="1">IFERROR(__xludf.DUMMYFUNCTION("""COMPUTED_VALUE"""),31404)</f>
        <v>31404</v>
      </c>
    </row>
    <row r="593" spans="1:50" ht="225" x14ac:dyDescent="0.2">
      <c r="A593" s="8" t="str">
        <f ca="1">IFERROR(__xludf.DUMMYFUNCTION("""COMPUTED_VALUE"""),"20231002CAALL")</f>
        <v>20231002CAALL</v>
      </c>
      <c r="B593" s="8">
        <f ca="1">IFERROR(__xludf.DUMMYFUNCTION("""COMPUTED_VALUE"""),10)</f>
        <v>10</v>
      </c>
      <c r="C593" s="8">
        <f ca="1">IFERROR(__xludf.DUMMYFUNCTION("""COMPUTED_VALUE"""),2)</f>
        <v>2</v>
      </c>
      <c r="D593" s="8">
        <f ca="1">IFERROR(__xludf.DUMMYFUNCTION("""COMPUTED_VALUE"""),2023)</f>
        <v>2023</v>
      </c>
      <c r="E593" s="9">
        <f ca="1">IFERROR(__xludf.DUMMYFUNCTION("""COMPUTED_VALUE"""),45201)</f>
        <v>45201</v>
      </c>
      <c r="F593" s="8" t="str">
        <f ca="1">IFERROR(__xludf.DUMMYFUNCTION("""COMPUTED_VALUE"""),"Albert Einstein High School")</f>
        <v>Albert Einstein High School</v>
      </c>
      <c r="G593" s="8">
        <f ca="1">IFERROR(__xludf.DUMMYFUNCTION("""COMPUTED_VALUE"""),0)</f>
        <v>0</v>
      </c>
      <c r="H593" s="8">
        <f ca="1">IFERROR(__xludf.DUMMYFUNCTION("""COMPUTED_VALUE"""),1)</f>
        <v>1</v>
      </c>
      <c r="I593" s="8">
        <f ca="1">IFERROR(__xludf.DUMMYFUNCTION("""COMPUTED_VALUE"""),1)</f>
        <v>1</v>
      </c>
      <c r="J593" s="8">
        <f ca="1">IFERROR(__xludf.DUMMYFUNCTION("""COMPUTED_VALUE"""),0)</f>
        <v>0</v>
      </c>
      <c r="K593" s="10" t="str">
        <f ca="1">IFERROR(__xludf.DUMMYFUNCTION("""COMPUTED_VALUE"""),"https://www.nbclosangeles.com/investigations/shooting-that-wounded-student-near-high-school-in-north-hills-investigated-as-possible-hate-crime/3237252/")</f>
        <v>https://www.nbclosangeles.com/investigations/shooting-that-wounded-student-near-high-school-in-north-hills-investigated-as-possible-hate-crime/3237252/</v>
      </c>
      <c r="L593" s="8">
        <f ca="1">IFERROR(__xludf.DUMMYFUNCTION("""COMPUTED_VALUE"""),5)</f>
        <v>5</v>
      </c>
      <c r="M593" s="8" t="str">
        <f ca="1">IFERROR(__xludf.DUMMYFUNCTION("""COMPUTED_VALUE"""),"Local")</f>
        <v>Local</v>
      </c>
      <c r="N593" s="8">
        <f ca="1">IFERROR(__xludf.DUMMYFUNCTION("""COMPUTED_VALUE"""),4)</f>
        <v>4</v>
      </c>
      <c r="O593" s="8" t="str">
        <f ca="1">IFERROR(__xludf.DUMMYFUNCTION("""COMPUTED_VALUE"""),"Fall")</f>
        <v>Fall</v>
      </c>
      <c r="P593" s="8" t="str">
        <f ca="1">IFERROR(__xludf.DUMMYFUNCTION("""COMPUTED_VALUE"""),"Los Angles")</f>
        <v>Los Angles</v>
      </c>
      <c r="Q593" s="8" t="str">
        <f ca="1">IFERROR(__xludf.DUMMYFUNCTION("""COMPUTED_VALUE"""),"CA")</f>
        <v>CA</v>
      </c>
      <c r="R593" s="8" t="str">
        <f ca="1">IFERROR(__xludf.DUMMYFUNCTION("""COMPUTED_VALUE"""),"High")</f>
        <v>High</v>
      </c>
      <c r="S593" s="8" t="str">
        <f ca="1">IFERROR(__xludf.DUMMYFUNCTION("""COMPUTED_VALUE"""),"Front of School")</f>
        <v>Front of School</v>
      </c>
      <c r="T593" s="8" t="str">
        <f ca="1">IFERROR(__xludf.DUMMYFUNCTION("""COMPUTED_VALUE"""),"Outside on School Property")</f>
        <v>Outside on School Property</v>
      </c>
      <c r="U593" s="8" t="str">
        <f ca="1">IFERROR(__xludf.DUMMYFUNCTION("""COMPUTED_VALUE"""),"Yes")</f>
        <v>Yes</v>
      </c>
      <c r="V593" s="8" t="str">
        <f ca="1">IFERROR(__xludf.DUMMYFUNCTION("""COMPUTED_VALUE"""),"Dismissal")</f>
        <v>Dismissal</v>
      </c>
      <c r="W593" s="11">
        <f ca="1">IFERROR(__xludf.DUMMYFUNCTION("""COMPUTED_VALUE"""),0.625)</f>
        <v>0.625</v>
      </c>
      <c r="X593" s="8">
        <f ca="1">IFERROR(__xludf.DUMMYFUNCTION("""COMPUTED_VALUE"""),1)</f>
        <v>1</v>
      </c>
      <c r="Y593" s="12" t="str">
        <f ca="1">IFERROR(__xludf.DUMMYFUNCTION("""COMPUTED_VALUE"""),"Two students shot at, one wounded, as they get into a car at the front gate of the school")</f>
        <v>Two students shot at, one wounded, as they get into a car at the front gate of the school</v>
      </c>
      <c r="Z593" s="12" t="str">
        <f ca="1">IFERROR(__xludf.DUMMYFUNCTION("""COMPUTED_VALUE"""),"The 16-year-old victim and another 17-year-old had just left Einstein and were getting into the 16-year-old's car near the front gate when a man approached, used racial slurs and began shooting, police said. “After those words were exchanged, the suspect "&amp;"produced a handgun and fired rounds at the victims. One of the victims, the driver of the vehicle, was struck and transported himself to the hospital,"" LAPD Dep. Chief Alan Hamilton said. ""In the course of transporting himself, he [the victim] struck th"&amp;"e suspect with his vehicle, and that suspect eventually ran from the location,"" Hamilton said. The 17-year-old ran from the shooting scene and wasn't injured. The 16-year-old was said to be in stable condition recovering from gunshot wounds to the arm an"&amp;"d face. Two schools on combined campus went on lockdown.")</f>
        <v>The 16-year-old victim and another 17-year-old had just left Einstein and were getting into the 16-year-old's car near the front gate when a man approached, used racial slurs and began shooting, police said. “After those words were exchanged, the suspect produced a handgun and fired rounds at the victims. One of the victims, the driver of the vehicle, was struck and transported himself to the hospital," LAPD Dep. Chief Alan Hamilton said. "In the course of transporting himself, he [the victim] struck the suspect with his vehicle, and that suspect eventually ran from the location," Hamilton said. The 17-year-old ran from the shooting scene and wasn't injured. The 16-year-old was said to be in stable condition recovering from gunshot wounds to the arm and face. Two schools on combined campus went on lockdown.</v>
      </c>
      <c r="AA593" s="8" t="str">
        <f ca="1">IFERROR(__xludf.DUMMYFUNCTION("""COMPUTED_VALUE"""),"Racial")</f>
        <v>Racial</v>
      </c>
      <c r="AB593" s="8" t="str">
        <f ca="1">IFERROR(__xludf.DUMMYFUNCTION("""COMPUTED_VALUE"""),"Targeted")</f>
        <v>Targeted</v>
      </c>
      <c r="AC593" s="8" t="str">
        <f ca="1">IFERROR(__xludf.DUMMYFUNCTION("""COMPUTED_VALUE"""),"Yes")</f>
        <v>Yes</v>
      </c>
      <c r="AD593" s="8" t="str">
        <f ca="1">IFERROR(__xludf.DUMMYFUNCTION("""COMPUTED_VALUE"""),"Victims Targeted")</f>
        <v>Victims Targeted</v>
      </c>
      <c r="AE593" s="8" t="str">
        <f ca="1">IFERROR(__xludf.DUMMYFUNCTION("""COMPUTED_VALUE"""),"No")</f>
        <v>No</v>
      </c>
      <c r="AF593" s="8"/>
      <c r="AG593" s="8" t="str">
        <f ca="1">IFERROR(__xludf.DUMMYFUNCTION("""COMPUTED_VALUE"""),"No")</f>
        <v>No</v>
      </c>
      <c r="AH593" s="8" t="str">
        <f ca="1">IFERROR(__xludf.DUMMYFUNCTION("""COMPUTED_VALUE"""),"No")</f>
        <v>No</v>
      </c>
      <c r="AI593" s="8" t="str">
        <f ca="1">IFERROR(__xludf.DUMMYFUNCTION("""COMPUTED_VALUE"""),"No")</f>
        <v>No</v>
      </c>
      <c r="AJ593" s="8" t="str">
        <f ca="1">IFERROR(__xludf.DUMMYFUNCTION("""COMPUTED_VALUE"""),"No")</f>
        <v>No</v>
      </c>
      <c r="AK593" s="8" t="str">
        <f ca="1">IFERROR(__xludf.DUMMYFUNCTION("""COMPUTED_VALUE"""),"No")</f>
        <v>No</v>
      </c>
      <c r="AL593" s="8" t="str">
        <f ca="1">IFERROR(__xludf.DUMMYFUNCTION("""COMPUTED_VALUE"""),"No")</f>
        <v>No</v>
      </c>
      <c r="AM593" s="8" t="str">
        <f ca="1">IFERROR(__xludf.DUMMYFUNCTION("""COMPUTED_VALUE"""),"No")</f>
        <v>No</v>
      </c>
      <c r="AN593" s="8" t="str">
        <f ca="1">IFERROR(__xludf.DUMMYFUNCTION("""COMPUTED_VALUE"""),"Outside")</f>
        <v>Outside</v>
      </c>
      <c r="AO593" s="8" t="str">
        <f ca="1">IFERROR(__xludf.DUMMYFUNCTION("""COMPUTED_VALUE"""),"No")</f>
        <v>No</v>
      </c>
      <c r="AP593" s="8"/>
      <c r="AQ593" s="8"/>
      <c r="AR593" s="8" t="str">
        <f ca="1">IFERROR(__xludf.DUMMYFUNCTION("""COMPUTED_VALUE"""),"Outside/Off-Property")</f>
        <v>Outside/Off-Property</v>
      </c>
      <c r="AS593" s="8">
        <f ca="1">IFERROR(__xludf.DUMMYFUNCTION("""COMPUTED_VALUE"""),99)</f>
        <v>99</v>
      </c>
      <c r="AT593" s="8" t="str">
        <f ca="1">IFERROR(__xludf.DUMMYFUNCTION("""COMPUTED_VALUE"""),"Yes")</f>
        <v>Yes</v>
      </c>
      <c r="AU593" s="8">
        <f ca="1">IFERROR(__xludf.DUMMYFUNCTION("""COMPUTED_VALUE"""),34.23863)</f>
        <v>34.238630000000001</v>
      </c>
      <c r="AV593" s="8">
        <f ca="1">IFERROR(__xludf.DUMMYFUNCTION("""COMPUTED_VALUE"""),-118.479348)</f>
        <v>-118.479348</v>
      </c>
      <c r="AW593" s="8"/>
      <c r="AX593" s="8">
        <f ca="1">IFERROR(__xludf.DUMMYFUNCTION("""COMPUTED_VALUE"""),91405)</f>
        <v>91405</v>
      </c>
    </row>
    <row r="594" spans="1:50" ht="75" x14ac:dyDescent="0.2">
      <c r="A594" s="8" t="str">
        <f ca="1">IFERROR(__xludf.DUMMYFUNCTION("""COMPUTED_VALUE"""),"20231002AZALP")</f>
        <v>20231002AZALP</v>
      </c>
      <c r="B594" s="8">
        <f ca="1">IFERROR(__xludf.DUMMYFUNCTION("""COMPUTED_VALUE"""),10)</f>
        <v>10</v>
      </c>
      <c r="C594" s="8">
        <f ca="1">IFERROR(__xludf.DUMMYFUNCTION("""COMPUTED_VALUE"""),2)</f>
        <v>2</v>
      </c>
      <c r="D594" s="8">
        <f ca="1">IFERROR(__xludf.DUMMYFUNCTION("""COMPUTED_VALUE"""),2023)</f>
        <v>2023</v>
      </c>
      <c r="E594" s="9">
        <f ca="1">IFERROR(__xludf.DUMMYFUNCTION("""COMPUTED_VALUE"""),45201)</f>
        <v>45201</v>
      </c>
      <c r="F594" s="8" t="str">
        <f ca="1">IFERROR(__xludf.DUMMYFUNCTION("""COMPUTED_VALUE"""),"Alhambra High School")</f>
        <v>Alhambra High School</v>
      </c>
      <c r="G594" s="8">
        <f ca="1">IFERROR(__xludf.DUMMYFUNCTION("""COMPUTED_VALUE"""),0)</f>
        <v>0</v>
      </c>
      <c r="H594" s="8">
        <f ca="1">IFERROR(__xludf.DUMMYFUNCTION("""COMPUTED_VALUE"""),0)</f>
        <v>0</v>
      </c>
      <c r="I594" s="8">
        <f ca="1">IFERROR(__xludf.DUMMYFUNCTION("""COMPUTED_VALUE"""),0)</f>
        <v>0</v>
      </c>
      <c r="J594" s="8">
        <f ca="1">IFERROR(__xludf.DUMMYFUNCTION("""COMPUTED_VALUE"""),0)</f>
        <v>0</v>
      </c>
      <c r="K594" s="10" t="str">
        <f ca="1">IFERROR(__xludf.DUMMYFUNCTION("""COMPUTED_VALUE"""),"https://www.abc15.com/news/region-phoenix-metro/central-phoenix/multiple-gunshots-fired-near-phoenix-high-school-football-field-during-practice
https://www.azfamily.com/2023/10/03/shots-fired-during-football-practice-near-west-phoenix-high-school/")</f>
        <v>https://www.abc15.com/news/region-phoenix-metro/central-phoenix/multiple-gunshots-fired-near-phoenix-high-school-football-field-during-practice
https://www.azfamily.com/2023/10/03/shots-fired-during-football-practice-near-west-phoenix-high-school/</v>
      </c>
      <c r="L594" s="8">
        <f ca="1">IFERROR(__xludf.DUMMYFUNCTION("""COMPUTED_VALUE"""),5)</f>
        <v>5</v>
      </c>
      <c r="M594" s="8" t="str">
        <f ca="1">IFERROR(__xludf.DUMMYFUNCTION("""COMPUTED_VALUE"""),"Local")</f>
        <v>Local</v>
      </c>
      <c r="N594" s="8">
        <f ca="1">IFERROR(__xludf.DUMMYFUNCTION("""COMPUTED_VALUE"""),4)</f>
        <v>4</v>
      </c>
      <c r="O594" s="8" t="str">
        <f ca="1">IFERROR(__xludf.DUMMYFUNCTION("""COMPUTED_VALUE"""),"Fall")</f>
        <v>Fall</v>
      </c>
      <c r="P594" s="8" t="str">
        <f ca="1">IFERROR(__xludf.DUMMYFUNCTION("""COMPUTED_VALUE"""),"Phoenix")</f>
        <v>Phoenix</v>
      </c>
      <c r="Q594" s="8" t="str">
        <f ca="1">IFERROR(__xludf.DUMMYFUNCTION("""COMPUTED_VALUE"""),"AZ")</f>
        <v>AZ</v>
      </c>
      <c r="R594" s="8" t="str">
        <f ca="1">IFERROR(__xludf.DUMMYFUNCTION("""COMPUTED_VALUE"""),"High")</f>
        <v>High</v>
      </c>
      <c r="S594" s="8" t="str">
        <f ca="1">IFERROR(__xludf.DUMMYFUNCTION("""COMPUTED_VALUE"""),"Football Field/Track")</f>
        <v>Football Field/Track</v>
      </c>
      <c r="T594" s="8" t="str">
        <f ca="1">IFERROR(__xludf.DUMMYFUNCTION("""COMPUTED_VALUE"""),"Outside on School Property")</f>
        <v>Outside on School Property</v>
      </c>
      <c r="U594" s="8" t="str">
        <f ca="1">IFERROR(__xludf.DUMMYFUNCTION("""COMPUTED_VALUE"""),"No")</f>
        <v>No</v>
      </c>
      <c r="V594" s="8" t="str">
        <f ca="1">IFERROR(__xludf.DUMMYFUNCTION("""COMPUTED_VALUE"""),"Sport Event")</f>
        <v>Sport Event</v>
      </c>
      <c r="W594" s="11">
        <f ca="1">IFERROR(__xludf.DUMMYFUNCTION("""COMPUTED_VALUE"""),0.78125)</f>
        <v>0.78125</v>
      </c>
      <c r="X594" s="8">
        <f ca="1">IFERROR(__xludf.DUMMYFUNCTION("""COMPUTED_VALUE"""),1)</f>
        <v>1</v>
      </c>
      <c r="Y594" s="12" t="str">
        <f ca="1">IFERROR(__xludf.DUMMYFUNCTION("""COMPUTED_VALUE"""),"Multiple shots were fired from a vehicle parked at the football field during practice")</f>
        <v>Multiple shots were fired from a vehicle parked at the football field during practice</v>
      </c>
      <c r="Z594" s="12" t="str">
        <f ca="1">IFERROR(__xludf.DUMMYFUNCTION("""COMPUTED_VALUE"""),"The principal of the school sent a letter to parents saying, in part, ""...as football practice was concluding, a minivan parked near the football stadium and discharged a firearm several times,"" and went on to say, ""Thankfully, no one was hurt.""")</f>
        <v>The principal of the school sent a letter to parents saying, in part, "...as football practice was concluding, a minivan parked near the football stadium and discharged a firearm several times," and went on to say, "Thankfully, no one was hurt."</v>
      </c>
      <c r="AA594" s="8" t="str">
        <f ca="1">IFERROR(__xludf.DUMMYFUNCTION("""COMPUTED_VALUE"""),"Drive-by Shooting")</f>
        <v>Drive-by Shooting</v>
      </c>
      <c r="AB594" s="8" t="str">
        <f ca="1">IFERROR(__xludf.DUMMYFUNCTION("""COMPUTED_VALUE"""),"Spontaneous")</f>
        <v>Spontaneous</v>
      </c>
      <c r="AC594" s="8" t="str">
        <f ca="1">IFERROR(__xludf.DUMMYFUNCTION("""COMPUTED_VALUE"""),"Yes")</f>
        <v>Yes</v>
      </c>
      <c r="AD594" s="8"/>
      <c r="AE594" s="8"/>
      <c r="AF594" s="8"/>
      <c r="AG594" s="8" t="str">
        <f ca="1">IFERROR(__xludf.DUMMYFUNCTION("""COMPUTED_VALUE"""),"No")</f>
        <v>No</v>
      </c>
      <c r="AH594" s="8" t="str">
        <f ca="1">IFERROR(__xludf.DUMMYFUNCTION("""COMPUTED_VALUE"""),"No")</f>
        <v>No</v>
      </c>
      <c r="AI594" s="8" t="str">
        <f ca="1">IFERROR(__xludf.DUMMYFUNCTION("""COMPUTED_VALUE"""),"No")</f>
        <v>No</v>
      </c>
      <c r="AJ594" s="8" t="str">
        <f ca="1">IFERROR(__xludf.DUMMYFUNCTION("""COMPUTED_VALUE"""),"No")</f>
        <v>No</v>
      </c>
      <c r="AK594" s="8" t="str">
        <f ca="1">IFERROR(__xludf.DUMMYFUNCTION("""COMPUTED_VALUE"""),"No")</f>
        <v>No</v>
      </c>
      <c r="AL594" s="8"/>
      <c r="AM594" s="8" t="str">
        <f ca="1">IFERROR(__xludf.DUMMYFUNCTION("""COMPUTED_VALUE"""),"No")</f>
        <v>No</v>
      </c>
      <c r="AN594" s="8" t="str">
        <f ca="1">IFERROR(__xludf.DUMMYFUNCTION("""COMPUTED_VALUE"""),"Outside")</f>
        <v>Outside</v>
      </c>
      <c r="AO594" s="8" t="str">
        <f ca="1">IFERROR(__xludf.DUMMYFUNCTION("""COMPUTED_VALUE"""),"No")</f>
        <v>No</v>
      </c>
      <c r="AP594" s="8"/>
      <c r="AQ594" s="8"/>
      <c r="AR594" s="8" t="str">
        <f ca="1">IFERROR(__xludf.DUMMYFUNCTION("""COMPUTED_VALUE"""),"Outside/Off-Property")</f>
        <v>Outside/Off-Property</v>
      </c>
      <c r="AS594" s="8">
        <f ca="1">IFERROR(__xludf.DUMMYFUNCTION("""COMPUTED_VALUE"""),99)</f>
        <v>99</v>
      </c>
      <c r="AT594" s="8" t="str">
        <f ca="1">IFERROR(__xludf.DUMMYFUNCTION("""COMPUTED_VALUE"""),"No")</f>
        <v>No</v>
      </c>
      <c r="AU594" s="8">
        <f ca="1">IFERROR(__xludf.DUMMYFUNCTION("""COMPUTED_VALUE"""),33.508996)</f>
        <v>33.508996000000003</v>
      </c>
      <c r="AV594" s="8">
        <f ca="1">IFERROR(__xludf.DUMMYFUNCTION("""COMPUTED_VALUE"""),-112.141564)</f>
        <v>-112.141564</v>
      </c>
      <c r="AW594" s="8"/>
      <c r="AX594" s="8">
        <f ca="1">IFERROR(__xludf.DUMMYFUNCTION("""COMPUTED_VALUE"""),85019)</f>
        <v>85019</v>
      </c>
    </row>
    <row r="595" spans="1:50" ht="255" x14ac:dyDescent="0.2">
      <c r="A595" s="8" t="str">
        <f ca="1">IFERROR(__xludf.DUMMYFUNCTION("""COMPUTED_VALUE"""),"20230930GAGRG")</f>
        <v>20230930GAGRG</v>
      </c>
      <c r="B595" s="8">
        <f ca="1">IFERROR(__xludf.DUMMYFUNCTION("""COMPUTED_VALUE"""),9)</f>
        <v>9</v>
      </c>
      <c r="C595" s="8">
        <f ca="1">IFERROR(__xludf.DUMMYFUNCTION("""COMPUTED_VALUE"""),30)</f>
        <v>30</v>
      </c>
      <c r="D595" s="8">
        <f ca="1">IFERROR(__xludf.DUMMYFUNCTION("""COMPUTED_VALUE"""),2023)</f>
        <v>2023</v>
      </c>
      <c r="E595" s="9">
        <f ca="1">IFERROR(__xludf.DUMMYFUNCTION("""COMPUTED_VALUE"""),45199)</f>
        <v>45199</v>
      </c>
      <c r="F595" s="8" t="str">
        <f ca="1">IFERROR(__xludf.DUMMYFUNCTION("""COMPUTED_VALUE"""),"Griffin High School")</f>
        <v>Griffin High School</v>
      </c>
      <c r="G595" s="8">
        <f ca="1">IFERROR(__xludf.DUMMYFUNCTION("""COMPUTED_VALUE"""),1)</f>
        <v>1</v>
      </c>
      <c r="H595" s="8">
        <f ca="1">IFERROR(__xludf.DUMMYFUNCTION("""COMPUTED_VALUE"""),0)</f>
        <v>0</v>
      </c>
      <c r="I595" s="8">
        <f ca="1">IFERROR(__xludf.DUMMYFUNCTION("""COMPUTED_VALUE"""),1)</f>
        <v>1</v>
      </c>
      <c r="J595" s="8">
        <f ca="1">IFERROR(__xludf.DUMMYFUNCTION("""COMPUTED_VALUE"""),0)</f>
        <v>0</v>
      </c>
      <c r="K595" s="8" t="str">
        <f ca="1">IFERROR(__xludf.DUMMYFUNCTION("""COMPUTED_VALUE"""),"https://www.fox5atlanta.com/news/suspect-identified-in-teen-homicide-outside-rival-high-school-football-game
https://www.griffindailynews.com/news/gpd-investigating-fatal-shooting-of-griffin-teen/article_6bf7ba7d-08a2-5c40-aac2-b5b4675aaf57.html
https://w"&amp;"ww.atlantanewsfirst.com/2023/10/01/1-dead-after-shooting-near-metro-atlanta-high-school-football-stadium-police-say/")</f>
        <v>https://www.fox5atlanta.com/news/suspect-identified-in-teen-homicide-outside-rival-high-school-football-game
https://www.griffindailynews.com/news/gpd-investigating-fatal-shooting-of-griffin-teen/article_6bf7ba7d-08a2-5c40-aac2-b5b4675aaf57.html
https://www.atlantanewsfirst.com/2023/10/01/1-dead-after-shooting-near-metro-atlanta-high-school-football-stadium-police-say/</v>
      </c>
      <c r="L595" s="8">
        <f ca="1">IFERROR(__xludf.DUMMYFUNCTION("""COMPUTED_VALUE"""),10)</f>
        <v>10</v>
      </c>
      <c r="M595" s="8" t="str">
        <f ca="1">IFERROR(__xludf.DUMMYFUNCTION("""COMPUTED_VALUE"""),"Regional")</f>
        <v>Regional</v>
      </c>
      <c r="N595" s="8">
        <f ca="1">IFERROR(__xludf.DUMMYFUNCTION("""COMPUTED_VALUE"""),4)</f>
        <v>4</v>
      </c>
      <c r="O595" s="8" t="str">
        <f ca="1">IFERROR(__xludf.DUMMYFUNCTION("""COMPUTED_VALUE"""),"Fall")</f>
        <v>Fall</v>
      </c>
      <c r="P595" s="8" t="str">
        <f ca="1">IFERROR(__xludf.DUMMYFUNCTION("""COMPUTED_VALUE"""),"Griffin")</f>
        <v>Griffin</v>
      </c>
      <c r="Q595" s="8" t="str">
        <f ca="1">IFERROR(__xludf.DUMMYFUNCTION("""COMPUTED_VALUE"""),"GA")</f>
        <v>GA</v>
      </c>
      <c r="R595" s="8" t="str">
        <f ca="1">IFERROR(__xludf.DUMMYFUNCTION("""COMPUTED_VALUE"""),"High")</f>
        <v>High</v>
      </c>
      <c r="S595" s="8" t="str">
        <f ca="1">IFERROR(__xludf.DUMMYFUNCTION("""COMPUTED_VALUE"""),"Parking Lot")</f>
        <v>Parking Lot</v>
      </c>
      <c r="T595" s="8" t="str">
        <f ca="1">IFERROR(__xludf.DUMMYFUNCTION("""COMPUTED_VALUE"""),"Off School Property")</f>
        <v>Off School Property</v>
      </c>
      <c r="U595" s="8" t="str">
        <f ca="1">IFERROR(__xludf.DUMMYFUNCTION("""COMPUTED_VALUE"""),"No")</f>
        <v>No</v>
      </c>
      <c r="V595" s="8" t="str">
        <f ca="1">IFERROR(__xludf.DUMMYFUNCTION("""COMPUTED_VALUE"""),"Sport Event")</f>
        <v>Sport Event</v>
      </c>
      <c r="W595" s="11">
        <f ca="1">IFERROR(__xludf.DUMMYFUNCTION("""COMPUTED_VALUE"""),0.695833333333333)</f>
        <v>0.69583333333333297</v>
      </c>
      <c r="X595" s="8">
        <f ca="1">IFERROR(__xludf.DUMMYFUNCTION("""COMPUTED_VALUE"""),1)</f>
        <v>1</v>
      </c>
      <c r="Y595" s="12" t="str">
        <f ca="1">IFERROR(__xludf.DUMMYFUNCTION("""COMPUTED_VALUE"""),"15-year-old was fatally shot while crowd was leaving the afternoon high school football game")</f>
        <v>15-year-old was fatally shot while crowd was leaving the afternoon high school football game</v>
      </c>
      <c r="Z595" s="12" t="str">
        <f ca="1">IFERROR(__xludf.DUMMYFUNCTION("""COMPUTED_VALUE"""),"Griffin police said a 15-year-old boy was shot 150 feet from Griffin Memorial Stadium. According to police, units working the game between Griffin High and Spalding High reported hearing gunshots just before 4:45 p.m. They found the boy near the intersect"&amp;"ion of South 5th Street and Poplar Street, the intersection between the football stadium and field house. Police said the boy was taken to Spalding Regional Hospital, where he later died. The Griffin-Spalding County School System said the shooting happene"&amp;"d near the end of the game. Police have issued a lookout for 18-year-old Kaomarion Kendricks, who has arrest warrants for murder, aggravated assault, possession of a pistol by persons under 18, reckless conduct and possession of a firearm during a felony."&amp;" His whereabouts are unknown and he should be considered “armed and dangerous,” police said. Per police, the shooting was targeted and the shooter knew the victim.")</f>
        <v>Griffin police said a 15-year-old boy was shot 150 feet from Griffin Memorial Stadium. According to police, units working the game between Griffin High and Spalding High reported hearing gunshots just before 4:45 p.m. They found the boy near the intersection of South 5th Street and Poplar Street, the intersection between the football stadium and field house. Police said the boy was taken to Spalding Regional Hospital, where he later died. The Griffin-Spalding County School System said the shooting happened near the end of the game. Police have issued a lookout for 18-year-old Kaomarion Kendricks, who has arrest warrants for murder, aggravated assault, possession of a pistol by persons under 18, reckless conduct and possession of a firearm during a felony. His whereabouts are unknown and he should be considered “armed and dangerous,” police said. Per police, the shooting was targeted and the shooter knew the victim.</v>
      </c>
      <c r="AA595" s="8"/>
      <c r="AB595" s="8" t="str">
        <f ca="1">IFERROR(__xludf.DUMMYFUNCTION("""COMPUTED_VALUE"""),"Spontaneous")</f>
        <v>Spontaneous</v>
      </c>
      <c r="AC595" s="8" t="str">
        <f ca="1">IFERROR(__xludf.DUMMYFUNCTION("""COMPUTED_VALUE"""),"Yes")</f>
        <v>Yes</v>
      </c>
      <c r="AD595" s="8" t="str">
        <f ca="1">IFERROR(__xludf.DUMMYFUNCTION("""COMPUTED_VALUE"""),"Victims Targeted")</f>
        <v>Victims Targeted</v>
      </c>
      <c r="AE595" s="8" t="str">
        <f ca="1">IFERROR(__xludf.DUMMYFUNCTION("""COMPUTED_VALUE"""),"No")</f>
        <v>No</v>
      </c>
      <c r="AF595" s="8"/>
      <c r="AG595" s="8" t="str">
        <f ca="1">IFERROR(__xludf.DUMMYFUNCTION("""COMPUTED_VALUE"""),"No")</f>
        <v>No</v>
      </c>
      <c r="AH595" s="8" t="str">
        <f ca="1">IFERROR(__xludf.DUMMYFUNCTION("""COMPUTED_VALUE"""),"No")</f>
        <v>No</v>
      </c>
      <c r="AI595" s="8" t="str">
        <f ca="1">IFERROR(__xludf.DUMMYFUNCTION("""COMPUTED_VALUE"""),"No")</f>
        <v>No</v>
      </c>
      <c r="AJ595" s="8" t="str">
        <f ca="1">IFERROR(__xludf.DUMMYFUNCTION("""COMPUTED_VALUE"""),"No")</f>
        <v>No</v>
      </c>
      <c r="AK595" s="8" t="str">
        <f ca="1">IFERROR(__xludf.DUMMYFUNCTION("""COMPUTED_VALUE"""),"No")</f>
        <v>No</v>
      </c>
      <c r="AL595" s="8"/>
      <c r="AM595" s="8" t="str">
        <f ca="1">IFERROR(__xludf.DUMMYFUNCTION("""COMPUTED_VALUE"""),"No")</f>
        <v>No</v>
      </c>
      <c r="AN595" s="8" t="str">
        <f ca="1">IFERROR(__xludf.DUMMYFUNCTION("""COMPUTED_VALUE"""),"Outside")</f>
        <v>Outside</v>
      </c>
      <c r="AO595" s="8" t="str">
        <f ca="1">IFERROR(__xludf.DUMMYFUNCTION("""COMPUTED_VALUE"""),"No")</f>
        <v>No</v>
      </c>
      <c r="AP595" s="8" t="str">
        <f ca="1">IFERROR(__xludf.DUMMYFUNCTION("""COMPUTED_VALUE"""),"Yes")</f>
        <v>Yes</v>
      </c>
      <c r="AQ595" s="8" t="str">
        <f ca="1">IFERROR(__xludf.DUMMYFUNCTION("""COMPUTED_VALUE"""),"Armed Guards")</f>
        <v>Armed Guards</v>
      </c>
      <c r="AR595" s="8" t="str">
        <f ca="1">IFERROR(__xludf.DUMMYFUNCTION("""COMPUTED_VALUE"""),"Outside/Off-Property")</f>
        <v>Outside/Off-Property</v>
      </c>
      <c r="AS595" s="8">
        <f ca="1">IFERROR(__xludf.DUMMYFUNCTION("""COMPUTED_VALUE"""),99)</f>
        <v>99</v>
      </c>
      <c r="AT595" s="8" t="str">
        <f ca="1">IFERROR(__xludf.DUMMYFUNCTION("""COMPUTED_VALUE"""),"No")</f>
        <v>No</v>
      </c>
      <c r="AU595" s="8">
        <f ca="1">IFERROR(__xludf.DUMMYFUNCTION("""COMPUTED_VALUE"""),33.24564)</f>
        <v>33.245640000000002</v>
      </c>
      <c r="AV595" s="8">
        <f ca="1">IFERROR(__xludf.DUMMYFUNCTION("""COMPUTED_VALUE"""),-84.259326)</f>
        <v>-84.259326000000001</v>
      </c>
      <c r="AW595" s="8"/>
      <c r="AX595" s="8">
        <f ca="1">IFERROR(__xludf.DUMMYFUNCTION("""COMPUTED_VALUE"""),30224)</f>
        <v>30224</v>
      </c>
    </row>
    <row r="596" spans="1:50" ht="135" x14ac:dyDescent="0.2">
      <c r="A596" s="8" t="str">
        <f ca="1">IFERROR(__xludf.DUMMYFUNCTION("""COMPUTED_VALUE"""),"20230929AKWAW")</f>
        <v>20230929AKWAW</v>
      </c>
      <c r="B596" s="8">
        <f ca="1">IFERROR(__xludf.DUMMYFUNCTION("""COMPUTED_VALUE"""),9)</f>
        <v>9</v>
      </c>
      <c r="C596" s="8">
        <f ca="1">IFERROR(__xludf.DUMMYFUNCTION("""COMPUTED_VALUE"""),29)</f>
        <v>29</v>
      </c>
      <c r="D596" s="8">
        <f ca="1">IFERROR(__xludf.DUMMYFUNCTION("""COMPUTED_VALUE"""),2023)</f>
        <v>2023</v>
      </c>
      <c r="E596" s="9">
        <f ca="1">IFERROR(__xludf.DUMMYFUNCTION("""COMPUTED_VALUE"""),45198)</f>
        <v>45198</v>
      </c>
      <c r="F596" s="8" t="str">
        <f ca="1">IFERROR(__xludf.DUMMYFUNCTION("""COMPUTED_VALUE"""),"Wasilla School Bus")</f>
        <v>Wasilla School Bus</v>
      </c>
      <c r="G596" s="8">
        <f ca="1">IFERROR(__xludf.DUMMYFUNCTION("""COMPUTED_VALUE"""),0)</f>
        <v>0</v>
      </c>
      <c r="H596" s="8">
        <f ca="1">IFERROR(__xludf.DUMMYFUNCTION("""COMPUTED_VALUE"""),0)</f>
        <v>0</v>
      </c>
      <c r="I596" s="8">
        <f ca="1">IFERROR(__xludf.DUMMYFUNCTION("""COMPUTED_VALUE"""),0)</f>
        <v>0</v>
      </c>
      <c r="J596" s="8">
        <f ca="1">IFERROR(__xludf.DUMMYFUNCTION("""COMPUTED_VALUE"""),0)</f>
        <v>0</v>
      </c>
      <c r="K596" s="10" t="str">
        <f ca="1">IFERROR(__xludf.DUMMYFUNCTION("""COMPUTED_VALUE"""),"https://dailydispatch.dps.alaska.gov/Home/DisplayIncident?incidentNumber=AK23104653")</f>
        <v>https://dailydispatch.dps.alaska.gov/Home/DisplayIncident?incidentNumber=AK23104653</v>
      </c>
      <c r="L596" s="8">
        <f ca="1">IFERROR(__xludf.DUMMYFUNCTION("""COMPUTED_VALUE"""),5)</f>
        <v>5</v>
      </c>
      <c r="M596" s="8" t="str">
        <f ca="1">IFERROR(__xludf.DUMMYFUNCTION("""COMPUTED_VALUE"""),"Local")</f>
        <v>Local</v>
      </c>
      <c r="N596" s="8">
        <f ca="1">IFERROR(__xludf.DUMMYFUNCTION("""COMPUTED_VALUE"""),5)</f>
        <v>5</v>
      </c>
      <c r="O596" s="8" t="str">
        <f ca="1">IFERROR(__xludf.DUMMYFUNCTION("""COMPUTED_VALUE"""),"Fall")</f>
        <v>Fall</v>
      </c>
      <c r="P596" s="8" t="str">
        <f ca="1">IFERROR(__xludf.DUMMYFUNCTION("""COMPUTED_VALUE"""),"Wasilla")</f>
        <v>Wasilla</v>
      </c>
      <c r="Q596" s="8" t="str">
        <f ca="1">IFERROR(__xludf.DUMMYFUNCTION("""COMPUTED_VALUE"""),"AK")</f>
        <v>AK</v>
      </c>
      <c r="R596" s="8"/>
      <c r="S596" s="8" t="str">
        <f ca="1">IFERROR(__xludf.DUMMYFUNCTION("""COMPUTED_VALUE"""),"School Bus")</f>
        <v>School Bus</v>
      </c>
      <c r="T596" s="8" t="str">
        <f ca="1">IFERROR(__xludf.DUMMYFUNCTION("""COMPUTED_VALUE"""),"School Bus")</f>
        <v>School Bus</v>
      </c>
      <c r="U596" s="8" t="str">
        <f ca="1">IFERROR(__xludf.DUMMYFUNCTION("""COMPUTED_VALUE"""),"Yes")</f>
        <v>Yes</v>
      </c>
      <c r="V596" s="8" t="str">
        <f ca="1">IFERROR(__xludf.DUMMYFUNCTION("""COMPUTED_VALUE"""),"Dismissal")</f>
        <v>Dismissal</v>
      </c>
      <c r="W596" s="11">
        <f ca="1">IFERROR(__xludf.DUMMYFUNCTION("""COMPUTED_VALUE"""),0.6875)</f>
        <v>0.6875</v>
      </c>
      <c r="X596" s="8">
        <f ca="1">IFERROR(__xludf.DUMMYFUNCTION("""COMPUTED_VALUE"""),1)</f>
        <v>1</v>
      </c>
      <c r="Y596" s="12" t="str">
        <f ca="1">IFERROR(__xludf.DUMMYFUNCTION("""COMPUTED_VALUE"""),"Man dropped rifle, bullet went through occupied school bus windshield and into seat")</f>
        <v>Man dropped rifle, bullet went through occupied school bus windshield and into seat</v>
      </c>
      <c r="Z596" s="12" t="str">
        <f ca="1">IFERROR(__xludf.DUMMYFUNCTION("""COMPUTED_VALUE"""),"Troopers and EMS immediately responded to the scene. A preliminary investigation revealed that someone was transporting a 30.06 rifle from a camper into a residence when the firearm fell and accidentally discharged. The bullet struck the windshield and th"&amp;"en hit a seat before leaving the bus out of a side window. None of the juveniles on the bus or the driver were struck by the bullet or injured in anyway. Troopers have determined that this was a non-criminal event, and have closed their investigation.")</f>
        <v>Troopers and EMS immediately responded to the scene. A preliminary investigation revealed that someone was transporting a 30.06 rifle from a camper into a residence when the firearm fell and accidentally discharged. The bullet struck the windshield and then hit a seat before leaving the bus out of a side window. None of the juveniles on the bus or the driver were struck by the bullet or injured in anyway. Troopers have determined that this was a non-criminal event, and have closed their investigation.</v>
      </c>
      <c r="AA596" s="8" t="str">
        <f ca="1">IFERROR(__xludf.DUMMYFUNCTION("""COMPUTED_VALUE"""),"Accidental")</f>
        <v>Accidental</v>
      </c>
      <c r="AB596" s="8" t="str">
        <f ca="1">IFERROR(__xludf.DUMMYFUNCTION("""COMPUTED_VALUE"""),"Spontaneous")</f>
        <v>Spontaneous</v>
      </c>
      <c r="AC596" s="8" t="str">
        <f ca="1">IFERROR(__xludf.DUMMYFUNCTION("""COMPUTED_VALUE"""),"Yes")</f>
        <v>Yes</v>
      </c>
      <c r="AD596" s="8" t="str">
        <f ca="1">IFERROR(__xludf.DUMMYFUNCTION("""COMPUTED_VALUE"""),"Neither")</f>
        <v>Neither</v>
      </c>
      <c r="AE596" s="8" t="str">
        <f ca="1">IFERROR(__xludf.DUMMYFUNCTION("""COMPUTED_VALUE"""),"No")</f>
        <v>No</v>
      </c>
      <c r="AF596" s="8"/>
      <c r="AG596" s="8" t="str">
        <f ca="1">IFERROR(__xludf.DUMMYFUNCTION("""COMPUTED_VALUE"""),"No")</f>
        <v>No</v>
      </c>
      <c r="AH596" s="8" t="str">
        <f ca="1">IFERROR(__xludf.DUMMYFUNCTION("""COMPUTED_VALUE"""),"No")</f>
        <v>No</v>
      </c>
      <c r="AI596" s="8" t="str">
        <f ca="1">IFERROR(__xludf.DUMMYFUNCTION("""COMPUTED_VALUE"""),"No")</f>
        <v>No</v>
      </c>
      <c r="AJ596" s="8" t="str">
        <f ca="1">IFERROR(__xludf.DUMMYFUNCTION("""COMPUTED_VALUE"""),"No")</f>
        <v>No</v>
      </c>
      <c r="AK596" s="8" t="str">
        <f ca="1">IFERROR(__xludf.DUMMYFUNCTION("""COMPUTED_VALUE"""),"No")</f>
        <v>No</v>
      </c>
      <c r="AL596" s="8" t="str">
        <f ca="1">IFERROR(__xludf.DUMMYFUNCTION("""COMPUTED_VALUE"""),"No")</f>
        <v>No</v>
      </c>
      <c r="AM596" s="8" t="str">
        <f ca="1">IFERROR(__xludf.DUMMYFUNCTION("""COMPUTED_VALUE"""),"No")</f>
        <v>No</v>
      </c>
      <c r="AN596" s="8" t="str">
        <f ca="1">IFERROR(__xludf.DUMMYFUNCTION("""COMPUTED_VALUE"""),"Outside")</f>
        <v>Outside</v>
      </c>
      <c r="AO596" s="8" t="str">
        <f ca="1">IFERROR(__xludf.DUMMYFUNCTION("""COMPUTED_VALUE"""),"No")</f>
        <v>No</v>
      </c>
      <c r="AP596" s="8"/>
      <c r="AQ596" s="8"/>
      <c r="AR596" s="8" t="str">
        <f ca="1">IFERROR(__xludf.DUMMYFUNCTION("""COMPUTED_VALUE"""),"Outside/Off-Property")</f>
        <v>Outside/Off-Property</v>
      </c>
      <c r="AS596" s="8">
        <f ca="1">IFERROR(__xludf.DUMMYFUNCTION("""COMPUTED_VALUE"""),1)</f>
        <v>1</v>
      </c>
      <c r="AT596" s="8" t="str">
        <f ca="1">IFERROR(__xludf.DUMMYFUNCTION("""COMPUTED_VALUE"""),"No")</f>
        <v>No</v>
      </c>
      <c r="AU596" s="8">
        <f ca="1">IFERROR(__xludf.DUMMYFUNCTION("""COMPUTED_VALUE"""),61.581102)</f>
        <v>61.581102000000001</v>
      </c>
      <c r="AV596" s="8">
        <f ca="1">IFERROR(__xludf.DUMMYFUNCTION("""COMPUTED_VALUE"""),-149.438108)</f>
        <v>-149.438108</v>
      </c>
      <c r="AW596" s="8"/>
      <c r="AX596" s="8">
        <f ca="1">IFERROR(__xludf.DUMMYFUNCTION("""COMPUTED_VALUE"""),99654)</f>
        <v>99654</v>
      </c>
    </row>
    <row r="597" spans="1:50" ht="150" x14ac:dyDescent="0.2">
      <c r="A597" s="8" t="str">
        <f ca="1">IFERROR(__xludf.DUMMYFUNCTION("""COMPUTED_VALUE"""),"20230929NCDUG")</f>
        <v>20230929NCDUG</v>
      </c>
      <c r="B597" s="8">
        <f ca="1">IFERROR(__xludf.DUMMYFUNCTION("""COMPUTED_VALUE"""),9)</f>
        <v>9</v>
      </c>
      <c r="C597" s="8">
        <f ca="1">IFERROR(__xludf.DUMMYFUNCTION("""COMPUTED_VALUE"""),29)</f>
        <v>29</v>
      </c>
      <c r="D597" s="8">
        <f ca="1">IFERROR(__xludf.DUMMYFUNCTION("""COMPUTED_VALUE"""),2023)</f>
        <v>2023</v>
      </c>
      <c r="E597" s="9">
        <f ca="1">IFERROR(__xludf.DUMMYFUNCTION("""COMPUTED_VALUE"""),45198)</f>
        <v>45198</v>
      </c>
      <c r="F597" s="8" t="str">
        <f ca="1">IFERROR(__xludf.DUMMYFUNCTION("""COMPUTED_VALUE"""),"Dudley High School")</f>
        <v>Dudley High School</v>
      </c>
      <c r="G597" s="8">
        <f ca="1">IFERROR(__xludf.DUMMYFUNCTION("""COMPUTED_VALUE"""),1)</f>
        <v>1</v>
      </c>
      <c r="H597" s="8">
        <f ca="1">IFERROR(__xludf.DUMMYFUNCTION("""COMPUTED_VALUE"""),1)</f>
        <v>1</v>
      </c>
      <c r="I597" s="8">
        <f ca="1">IFERROR(__xludf.DUMMYFUNCTION("""COMPUTED_VALUE"""),2)</f>
        <v>2</v>
      </c>
      <c r="J597" s="8">
        <f ca="1">IFERROR(__xludf.DUMMYFUNCTION("""COMPUTED_VALUE"""),0)</f>
        <v>0</v>
      </c>
      <c r="K597" s="10" t="str">
        <f ca="1">IFERROR(__xludf.DUMMYFUNCTION("""COMPUTED_VALUE"""),"https://www.wxii12.com/article/2nd-suspect-charged-connection-shooting-near-dudley-high-school/45899867
https://myfox8.com/news/north-carolina/greensboro/17-year-old-charged-with-murder-in-connection-to-deadly-dudley-high-school-shooting/
https://myfox8.c"&amp;"om/news/north-carolina/greensboro/victim-identified-in-deadly-shooting-in-dudley-high-school-parking-lot-greensboro-police-exhausted-attempts-to-locate-next-of-kin/
https://greensboro.com/news/local/unidentified-person-shot-wounded-near-dudley-high-school"&amp;"/article_7bb2fb2e-5f35-11ee-b0f9-eb313dfb2835.html")</f>
        <v>https://www.wxii12.com/article/2nd-suspect-charged-connection-shooting-near-dudley-high-school/45899867
https://myfox8.com/news/north-carolina/greensboro/17-year-old-charged-with-murder-in-connection-to-deadly-dudley-high-school-shooting/
https://myfox8.com/news/north-carolina/greensboro/victim-identified-in-deadly-shooting-in-dudley-high-school-parking-lot-greensboro-police-exhausted-attempts-to-locate-next-of-kin/
https://greensboro.com/news/local/unidentified-person-shot-wounded-near-dudley-high-school/article_7bb2fb2e-5f35-11ee-b0f9-eb313dfb2835.html</v>
      </c>
      <c r="L597" s="8">
        <f ca="1">IFERROR(__xludf.DUMMYFUNCTION("""COMPUTED_VALUE"""),10)</f>
        <v>10</v>
      </c>
      <c r="M597" s="8" t="str">
        <f ca="1">IFERROR(__xludf.DUMMYFUNCTION("""COMPUTED_VALUE"""),"Local")</f>
        <v>Local</v>
      </c>
      <c r="N597" s="8">
        <f ca="1">IFERROR(__xludf.DUMMYFUNCTION("""COMPUTED_VALUE"""),4)</f>
        <v>4</v>
      </c>
      <c r="O597" s="8" t="str">
        <f ca="1">IFERROR(__xludf.DUMMYFUNCTION("""COMPUTED_VALUE"""),"Fall")</f>
        <v>Fall</v>
      </c>
      <c r="P597" s="8" t="str">
        <f ca="1">IFERROR(__xludf.DUMMYFUNCTION("""COMPUTED_VALUE"""),"Greensboro")</f>
        <v>Greensboro</v>
      </c>
      <c r="Q597" s="8" t="str">
        <f ca="1">IFERROR(__xludf.DUMMYFUNCTION("""COMPUTED_VALUE"""),"NC")</f>
        <v>NC</v>
      </c>
      <c r="R597" s="8" t="str">
        <f ca="1">IFERROR(__xludf.DUMMYFUNCTION("""COMPUTED_VALUE"""),"High")</f>
        <v>High</v>
      </c>
      <c r="S597" s="8" t="str">
        <f ca="1">IFERROR(__xludf.DUMMYFUNCTION("""COMPUTED_VALUE"""),"Parking Lot")</f>
        <v>Parking Lot</v>
      </c>
      <c r="T597" s="8" t="str">
        <f ca="1">IFERROR(__xludf.DUMMYFUNCTION("""COMPUTED_VALUE"""),"Outside on School Property")</f>
        <v>Outside on School Property</v>
      </c>
      <c r="U597" s="8" t="str">
        <f ca="1">IFERROR(__xludf.DUMMYFUNCTION("""COMPUTED_VALUE"""),"No")</f>
        <v>No</v>
      </c>
      <c r="V597" s="8" t="str">
        <f ca="1">IFERROR(__xludf.DUMMYFUNCTION("""COMPUTED_VALUE"""),"Sport Event")</f>
        <v>Sport Event</v>
      </c>
      <c r="W597" s="11">
        <f ca="1">IFERROR(__xludf.DUMMYFUNCTION("""COMPUTED_VALUE"""),0.909027777777777)</f>
        <v>0.90902777777777699</v>
      </c>
      <c r="X597" s="8">
        <f ca="1">IFERROR(__xludf.DUMMYFUNCTION("""COMPUTED_VALUE"""),1)</f>
        <v>1</v>
      </c>
      <c r="Y597" s="12" t="str">
        <f ca="1">IFERROR(__xludf.DUMMYFUNCTION("""COMPUTED_VALUE"""),"Two people were shot in the parking lot of Dudley High School after a football game at the school on Friday, 8 others treated by EMS after vehicle drove through crowd")</f>
        <v>Two people were shot in the parking lot of Dudley High School after a football game at the school on Friday, 8 others treated by EMS after vehicle drove through crowd</v>
      </c>
      <c r="Z597" s="12" t="str">
        <f ca="1">IFERROR(__xludf.DUMMYFUNCTION("""COMPUTED_VALUE"""),"The football game between Dudley and Smith high schools had just ended. A News &amp; Record reporter was conducting an interview when they heard a commotion and saw the car drive onto the sidewalk just above the stadium on the east side and in front of the fi"&amp;"eldhouse. A man was seen lying on the ground and someone was tending to him. Another person ran toward the scene and was crying and embraced another person, according to the reporter.")</f>
        <v>The football game between Dudley and Smith high schools had just ended. A News &amp; Record reporter was conducting an interview when they heard a commotion and saw the car drive onto the sidewalk just above the stadium on the east side and in front of the fieldhouse. A man was seen lying on the ground and someone was tending to him. Another person ran toward the scene and was crying and embraced another person, according to the reporter.</v>
      </c>
      <c r="AA597" s="8" t="str">
        <f ca="1">IFERROR(__xludf.DUMMYFUNCTION("""COMPUTED_VALUE"""),"Drive-by Shooting")</f>
        <v>Drive-by Shooting</v>
      </c>
      <c r="AB597" s="8" t="str">
        <f ca="1">IFERROR(__xludf.DUMMYFUNCTION("""COMPUTED_VALUE"""),"Spontaneous")</f>
        <v>Spontaneous</v>
      </c>
      <c r="AC597" s="8" t="str">
        <f ca="1">IFERROR(__xludf.DUMMYFUNCTION("""COMPUTED_VALUE"""),"Yes")</f>
        <v>Yes</v>
      </c>
      <c r="AD597" s="8" t="str">
        <f ca="1">IFERROR(__xludf.DUMMYFUNCTION("""COMPUTED_VALUE"""),"Both")</f>
        <v>Both</v>
      </c>
      <c r="AE597" s="8"/>
      <c r="AF597" s="8"/>
      <c r="AG597" s="8" t="str">
        <f ca="1">IFERROR(__xludf.DUMMYFUNCTION("""COMPUTED_VALUE"""),"No")</f>
        <v>No</v>
      </c>
      <c r="AH597" s="8" t="str">
        <f ca="1">IFERROR(__xludf.DUMMYFUNCTION("""COMPUTED_VALUE"""),"No")</f>
        <v>No</v>
      </c>
      <c r="AI597" s="8" t="str">
        <f ca="1">IFERROR(__xludf.DUMMYFUNCTION("""COMPUTED_VALUE"""),"No")</f>
        <v>No</v>
      </c>
      <c r="AJ597" s="8" t="str">
        <f ca="1">IFERROR(__xludf.DUMMYFUNCTION("""COMPUTED_VALUE"""),"No")</f>
        <v>No</v>
      </c>
      <c r="AK597" s="8" t="str">
        <f ca="1">IFERROR(__xludf.DUMMYFUNCTION("""COMPUTED_VALUE"""),"No")</f>
        <v>No</v>
      </c>
      <c r="AL597" s="8"/>
      <c r="AM597" s="8" t="str">
        <f ca="1">IFERROR(__xludf.DUMMYFUNCTION("""COMPUTED_VALUE"""),"No")</f>
        <v>No</v>
      </c>
      <c r="AN597" s="8" t="str">
        <f ca="1">IFERROR(__xludf.DUMMYFUNCTION("""COMPUTED_VALUE"""),"Outside")</f>
        <v>Outside</v>
      </c>
      <c r="AO597" s="8" t="str">
        <f ca="1">IFERROR(__xludf.DUMMYFUNCTION("""COMPUTED_VALUE"""),"No")</f>
        <v>No</v>
      </c>
      <c r="AP597" s="8"/>
      <c r="AQ597" s="8"/>
      <c r="AR597" s="8" t="str">
        <f ca="1">IFERROR(__xludf.DUMMYFUNCTION("""COMPUTED_VALUE"""),"Outside/Off-Property")</f>
        <v>Outside/Off-Property</v>
      </c>
      <c r="AS597" s="8"/>
      <c r="AT597" s="8" t="str">
        <f ca="1">IFERROR(__xludf.DUMMYFUNCTION("""COMPUTED_VALUE"""),"No")</f>
        <v>No</v>
      </c>
      <c r="AU597" s="8">
        <f ca="1">IFERROR(__xludf.DUMMYFUNCTION("""COMPUTED_VALUE"""),36.061077)</f>
        <v>36.061076999999997</v>
      </c>
      <c r="AV597" s="8">
        <f ca="1">IFERROR(__xludf.DUMMYFUNCTION("""COMPUTED_VALUE"""),-79.764821)</f>
        <v>-79.764820999999998</v>
      </c>
      <c r="AW597" s="8"/>
      <c r="AX597" s="8">
        <f ca="1">IFERROR(__xludf.DUMMYFUNCTION("""COMPUTED_VALUE"""),27401)</f>
        <v>27401</v>
      </c>
    </row>
    <row r="598" spans="1:50" ht="60" x14ac:dyDescent="0.2">
      <c r="A598" s="8" t="str">
        <f ca="1">IFERROR(__xludf.DUMMYFUNCTION("""COMPUTED_VALUE"""),"20230928MDEDE")</f>
        <v>20230928MDEDE</v>
      </c>
      <c r="B598" s="8">
        <f ca="1">IFERROR(__xludf.DUMMYFUNCTION("""COMPUTED_VALUE"""),9)</f>
        <v>9</v>
      </c>
      <c r="C598" s="8">
        <f ca="1">IFERROR(__xludf.DUMMYFUNCTION("""COMPUTED_VALUE"""),29)</f>
        <v>29</v>
      </c>
      <c r="D598" s="8">
        <f ca="1">IFERROR(__xludf.DUMMYFUNCTION("""COMPUTED_VALUE"""),2023)</f>
        <v>2023</v>
      </c>
      <c r="E598" s="9">
        <f ca="1">IFERROR(__xludf.DUMMYFUNCTION("""COMPUTED_VALUE"""),45198)</f>
        <v>45198</v>
      </c>
      <c r="F598" s="8" t="str">
        <f ca="1">IFERROR(__xludf.DUMMYFUNCTION("""COMPUTED_VALUE"""),"Edgewood High School")</f>
        <v>Edgewood High School</v>
      </c>
      <c r="G598" s="8">
        <f ca="1">IFERROR(__xludf.DUMMYFUNCTION("""COMPUTED_VALUE"""),0)</f>
        <v>0</v>
      </c>
      <c r="H598" s="8">
        <f ca="1">IFERROR(__xludf.DUMMYFUNCTION("""COMPUTED_VALUE"""),0)</f>
        <v>0</v>
      </c>
      <c r="I598" s="8">
        <f ca="1">IFERROR(__xludf.DUMMYFUNCTION("""COMPUTED_VALUE"""),0)</f>
        <v>0</v>
      </c>
      <c r="J598" s="8">
        <f ca="1">IFERROR(__xludf.DUMMYFUNCTION("""COMPUTED_VALUE"""),0)</f>
        <v>0</v>
      </c>
      <c r="K598" s="10" t="str">
        <f ca="1">IFERROR(__xludf.DUMMYFUNCTION("""COMPUTED_VALUE"""),"https://m.facebook.com/story.php?story_fbid=pfbid0mvyw4JvjUoDLAsFc65suyqy3NmfEgE58cmqR4Qzj9CYF3zugJA6fkZFfgY3n3Z77l&amp;id=100064677340284&amp;mibextid=qC1gEa")</f>
        <v>https://m.facebook.com/story.php?story_fbid=pfbid0mvyw4JvjUoDLAsFc65suyqy3NmfEgE58cmqR4Qzj9CYF3zugJA6fkZFfgY3n3Z77l&amp;id=100064677340284&amp;mibextid=qC1gEa</v>
      </c>
      <c r="L598" s="8">
        <f ca="1">IFERROR(__xludf.DUMMYFUNCTION("""COMPUTED_VALUE"""),4)</f>
        <v>4</v>
      </c>
      <c r="M598" s="8" t="str">
        <f ca="1">IFERROR(__xludf.DUMMYFUNCTION("""COMPUTED_VALUE"""),"Local")</f>
        <v>Local</v>
      </c>
      <c r="N598" s="8">
        <f ca="1">IFERROR(__xludf.DUMMYFUNCTION("""COMPUTED_VALUE"""),4)</f>
        <v>4</v>
      </c>
      <c r="O598" s="8" t="str">
        <f ca="1">IFERROR(__xludf.DUMMYFUNCTION("""COMPUTED_VALUE"""),"Fall")</f>
        <v>Fall</v>
      </c>
      <c r="P598" s="8" t="str">
        <f ca="1">IFERROR(__xludf.DUMMYFUNCTION("""COMPUTED_VALUE"""),"Edgewood")</f>
        <v>Edgewood</v>
      </c>
      <c r="Q598" s="8" t="str">
        <f ca="1">IFERROR(__xludf.DUMMYFUNCTION("""COMPUTED_VALUE"""),"MD")</f>
        <v>MD</v>
      </c>
      <c r="R598" s="8" t="str">
        <f ca="1">IFERROR(__xludf.DUMMYFUNCTION("""COMPUTED_VALUE"""),"High")</f>
        <v>High</v>
      </c>
      <c r="S598" s="8" t="str">
        <f ca="1">IFERROR(__xludf.DUMMYFUNCTION("""COMPUTED_VALUE"""),"Front of School")</f>
        <v>Front of School</v>
      </c>
      <c r="T598" s="8" t="str">
        <f ca="1">IFERROR(__xludf.DUMMYFUNCTION("""COMPUTED_VALUE"""),"Outside on School Property")</f>
        <v>Outside on School Property</v>
      </c>
      <c r="U598" s="8" t="str">
        <f ca="1">IFERROR(__xludf.DUMMYFUNCTION("""COMPUTED_VALUE"""),"No")</f>
        <v>No</v>
      </c>
      <c r="V598" s="8" t="str">
        <f ca="1">IFERROR(__xludf.DUMMYFUNCTION("""COMPUTED_VALUE"""),"Sport Event")</f>
        <v>Sport Event</v>
      </c>
      <c r="W598" s="11">
        <f ca="1">IFERROR(__xludf.DUMMYFUNCTION("""COMPUTED_VALUE"""),0.875)</f>
        <v>0.875</v>
      </c>
      <c r="X598" s="8">
        <f ca="1">IFERROR(__xludf.DUMMYFUNCTION("""COMPUTED_VALUE"""),1)</f>
        <v>1</v>
      </c>
      <c r="Y598" s="12" t="str">
        <f ca="1">IFERROR(__xludf.DUMMYFUNCTION("""COMPUTED_VALUE"""),"Shots fired in front of school when crowd was leaving football game")</f>
        <v>Shots fired in front of school when crowd was leaving football game</v>
      </c>
      <c r="Z598" s="12" t="str">
        <f ca="1">IFERROR(__xludf.DUMMYFUNCTION("""COMPUTED_VALUE"""),"Police at the stadium heard shots and apprehended two suspects near the front of the school. Shell casings were recovered at the school. Additional suspects fled.")</f>
        <v>Police at the stadium heard shots and apprehended two suspects near the front of the school. Shell casings were recovered at the school. Additional suspects fled.</v>
      </c>
      <c r="AA598" s="8"/>
      <c r="AB598" s="8" t="str">
        <f ca="1">IFERROR(__xludf.DUMMYFUNCTION("""COMPUTED_VALUE"""),"Spontaneous")</f>
        <v>Spontaneous</v>
      </c>
      <c r="AC598" s="8" t="str">
        <f ca="1">IFERROR(__xludf.DUMMYFUNCTION("""COMPUTED_VALUE"""),"Yes")</f>
        <v>Yes</v>
      </c>
      <c r="AD598" s="8"/>
      <c r="AE598" s="8" t="str">
        <f ca="1">IFERROR(__xludf.DUMMYFUNCTION("""COMPUTED_VALUE"""),"Yes")</f>
        <v>Yes</v>
      </c>
      <c r="AF598" s="8"/>
      <c r="AG598" s="8" t="str">
        <f ca="1">IFERROR(__xludf.DUMMYFUNCTION("""COMPUTED_VALUE"""),"No")</f>
        <v>No</v>
      </c>
      <c r="AH598" s="8" t="str">
        <f ca="1">IFERROR(__xludf.DUMMYFUNCTION("""COMPUTED_VALUE"""),"No")</f>
        <v>No</v>
      </c>
      <c r="AI598" s="8" t="str">
        <f ca="1">IFERROR(__xludf.DUMMYFUNCTION("""COMPUTED_VALUE"""),"No")</f>
        <v>No</v>
      </c>
      <c r="AJ598" s="8" t="str">
        <f ca="1">IFERROR(__xludf.DUMMYFUNCTION("""COMPUTED_VALUE"""),"No")</f>
        <v>No</v>
      </c>
      <c r="AK598" s="8" t="str">
        <f ca="1">IFERROR(__xludf.DUMMYFUNCTION("""COMPUTED_VALUE"""),"No")</f>
        <v>No</v>
      </c>
      <c r="AL598" s="8"/>
      <c r="AM598" s="8" t="str">
        <f ca="1">IFERROR(__xludf.DUMMYFUNCTION("""COMPUTED_VALUE"""),"No")</f>
        <v>No</v>
      </c>
      <c r="AN598" s="8" t="str">
        <f ca="1">IFERROR(__xludf.DUMMYFUNCTION("""COMPUTED_VALUE"""),"Outside")</f>
        <v>Outside</v>
      </c>
      <c r="AO598" s="8" t="str">
        <f ca="1">IFERROR(__xludf.DUMMYFUNCTION("""COMPUTED_VALUE"""),"No")</f>
        <v>No</v>
      </c>
      <c r="AP598" s="8" t="str">
        <f ca="1">IFERROR(__xludf.DUMMYFUNCTION("""COMPUTED_VALUE"""),"Yes")</f>
        <v>Yes</v>
      </c>
      <c r="AQ598" s="8"/>
      <c r="AR598" s="8" t="str">
        <f ca="1">IFERROR(__xludf.DUMMYFUNCTION("""COMPUTED_VALUE"""),"Outside/Off-Property")</f>
        <v>Outside/Off-Property</v>
      </c>
      <c r="AS598" s="8">
        <f ca="1">IFERROR(__xludf.DUMMYFUNCTION("""COMPUTED_VALUE"""),99)</f>
        <v>99</v>
      </c>
      <c r="AT598" s="8" t="str">
        <f ca="1">IFERROR(__xludf.DUMMYFUNCTION("""COMPUTED_VALUE"""),"No")</f>
        <v>No</v>
      </c>
      <c r="AU598" s="8">
        <f ca="1">IFERROR(__xludf.DUMMYFUNCTION("""COMPUTED_VALUE"""),39.42316)</f>
        <v>39.423160000000003</v>
      </c>
      <c r="AV598" s="8">
        <f ca="1">IFERROR(__xludf.DUMMYFUNCTION("""COMPUTED_VALUE"""),-76.285178)</f>
        <v>-76.285178000000002</v>
      </c>
      <c r="AW598" s="8"/>
      <c r="AX598" s="8">
        <f ca="1">IFERROR(__xludf.DUMMYFUNCTION("""COMPUTED_VALUE"""),21040)</f>
        <v>21040</v>
      </c>
    </row>
    <row r="599" spans="1:50" ht="105" x14ac:dyDescent="0.2">
      <c r="A599" s="8" t="str">
        <f ca="1">IFERROR(__xludf.DUMMYFUNCTION("""COMPUTED_VALUE"""),"20230928GAROC")</f>
        <v>20230928GAROC</v>
      </c>
      <c r="B599" s="8">
        <f ca="1">IFERROR(__xludf.DUMMYFUNCTION("""COMPUTED_VALUE"""),9)</f>
        <v>9</v>
      </c>
      <c r="C599" s="8">
        <f ca="1">IFERROR(__xludf.DUMMYFUNCTION("""COMPUTED_VALUE"""),28)</f>
        <v>28</v>
      </c>
      <c r="D599" s="8">
        <f ca="1">IFERROR(__xludf.DUMMYFUNCTION("""COMPUTED_VALUE"""),2023)</f>
        <v>2023</v>
      </c>
      <c r="E599" s="9">
        <f ca="1">IFERROR(__xludf.DUMMYFUNCTION("""COMPUTED_VALUE"""),45197)</f>
        <v>45197</v>
      </c>
      <c r="F599" s="8" t="str">
        <f ca="1">IFERROR(__xludf.DUMMYFUNCTION("""COMPUTED_VALUE"""),"Rothschild Leadership Academy")</f>
        <v>Rothschild Leadership Academy</v>
      </c>
      <c r="G599" s="8">
        <f ca="1">IFERROR(__xludf.DUMMYFUNCTION("""COMPUTED_VALUE"""),0)</f>
        <v>0</v>
      </c>
      <c r="H599" s="8">
        <f ca="1">IFERROR(__xludf.DUMMYFUNCTION("""COMPUTED_VALUE"""),1)</f>
        <v>1</v>
      </c>
      <c r="I599" s="8">
        <f ca="1">IFERROR(__xludf.DUMMYFUNCTION("""COMPUTED_VALUE"""),1)</f>
        <v>1</v>
      </c>
      <c r="J599" s="8">
        <f ca="1">IFERROR(__xludf.DUMMYFUNCTION("""COMPUTED_VALUE"""),0)</f>
        <v>0</v>
      </c>
      <c r="K599" s="10" t="str">
        <f ca="1">IFERROR(__xludf.DUMMYFUNCTION("""COMPUTED_VALUE"""),"https://www.wtvm.com/2023/09/28/police-presence-middle-school-hunt-ave-columbus/")</f>
        <v>https://www.wtvm.com/2023/09/28/police-presence-middle-school-hunt-ave-columbus/</v>
      </c>
      <c r="L599" s="8">
        <f ca="1">IFERROR(__xludf.DUMMYFUNCTION("""COMPUTED_VALUE"""),5)</f>
        <v>5</v>
      </c>
      <c r="M599" s="8" t="str">
        <f ca="1">IFERROR(__xludf.DUMMYFUNCTION("""COMPUTED_VALUE"""),"Local")</f>
        <v>Local</v>
      </c>
      <c r="N599" s="8">
        <f ca="1">IFERROR(__xludf.DUMMYFUNCTION("""COMPUTED_VALUE"""),4)</f>
        <v>4</v>
      </c>
      <c r="O599" s="8" t="str">
        <f ca="1">IFERROR(__xludf.DUMMYFUNCTION("""COMPUTED_VALUE"""),"Fall")</f>
        <v>Fall</v>
      </c>
      <c r="P599" s="8" t="str">
        <f ca="1">IFERROR(__xludf.DUMMYFUNCTION("""COMPUTED_VALUE"""),"Columbus")</f>
        <v>Columbus</v>
      </c>
      <c r="Q599" s="8" t="str">
        <f ca="1">IFERROR(__xludf.DUMMYFUNCTION("""COMPUTED_VALUE"""),"GA")</f>
        <v>GA</v>
      </c>
      <c r="R599" s="8" t="str">
        <f ca="1">IFERROR(__xludf.DUMMYFUNCTION("""COMPUTED_VALUE"""),"6-12")</f>
        <v>6-12</v>
      </c>
      <c r="S599" s="8" t="str">
        <f ca="1">IFERROR(__xludf.DUMMYFUNCTION("""COMPUTED_VALUE"""),"Inside School Building")</f>
        <v>Inside School Building</v>
      </c>
      <c r="T599" s="8" t="str">
        <f ca="1">IFERROR(__xludf.DUMMYFUNCTION("""COMPUTED_VALUE"""),"Inside School Building")</f>
        <v>Inside School Building</v>
      </c>
      <c r="U599" s="8" t="str">
        <f ca="1">IFERROR(__xludf.DUMMYFUNCTION("""COMPUTED_VALUE"""),"Yes")</f>
        <v>Yes</v>
      </c>
      <c r="V599" s="8" t="str">
        <f ca="1">IFERROR(__xludf.DUMMYFUNCTION("""COMPUTED_VALUE"""),"Afternoon Classes")</f>
        <v>Afternoon Classes</v>
      </c>
      <c r="W599" s="11">
        <f ca="1">IFERROR(__xludf.DUMMYFUNCTION("""COMPUTED_VALUE"""),0.541666666666666)</f>
        <v>0.54166666666666596</v>
      </c>
      <c r="X599" s="8">
        <f ca="1">IFERROR(__xludf.DUMMYFUNCTION("""COMPUTED_VALUE"""),1)</f>
        <v>1</v>
      </c>
      <c r="Y599" s="12" t="str">
        <f ca="1">IFERROR(__xludf.DUMMYFUNCTION("""COMPUTED_VALUE"""),"Student shot himself while taking gun out of Chromebook case")</f>
        <v>Student shot himself while taking gun out of Chromebook case</v>
      </c>
      <c r="Z599" s="12" t="str">
        <f ca="1">IFERROR(__xludf.DUMMYFUNCTION("""COMPUTED_VALUE"""),"A student was unintentionally shot after a gun was smuggled into Rothschild Leadership Academy, according to the Muscogee County School District. The student injured in the incident received immediate medical attention. No other injuries were reported and"&amp;" the weapon has been confiscated. MCSD says firearm was brought into the school through a Chromebook computer case.")</f>
        <v>A student was unintentionally shot after a gun was smuggled into Rothschild Leadership Academy, according to the Muscogee County School District. The student injured in the incident received immediate medical attention. No other injuries were reported and the weapon has been confiscated. MCSD says firearm was brought into the school through a Chromebook computer case.</v>
      </c>
      <c r="AA599" s="8" t="str">
        <f ca="1">IFERROR(__xludf.DUMMYFUNCTION("""COMPUTED_VALUE"""),"Accidental")</f>
        <v>Accidental</v>
      </c>
      <c r="AB599" s="8" t="str">
        <f ca="1">IFERROR(__xludf.DUMMYFUNCTION("""COMPUTED_VALUE"""),"Spontaneous")</f>
        <v>Spontaneous</v>
      </c>
      <c r="AC599" s="8" t="str">
        <f ca="1">IFERROR(__xludf.DUMMYFUNCTION("""COMPUTED_VALUE"""),"Yes")</f>
        <v>Yes</v>
      </c>
      <c r="AD599" s="8" t="str">
        <f ca="1">IFERROR(__xludf.DUMMYFUNCTION("""COMPUTED_VALUE"""),"Neither")</f>
        <v>Neither</v>
      </c>
      <c r="AE599" s="8" t="str">
        <f ca="1">IFERROR(__xludf.DUMMYFUNCTION("""COMPUTED_VALUE"""),"No")</f>
        <v>No</v>
      </c>
      <c r="AF599" s="8"/>
      <c r="AG599" s="8" t="str">
        <f ca="1">IFERROR(__xludf.DUMMYFUNCTION("""COMPUTED_VALUE"""),"No")</f>
        <v>No</v>
      </c>
      <c r="AH599" s="8" t="str">
        <f ca="1">IFERROR(__xludf.DUMMYFUNCTION("""COMPUTED_VALUE"""),"No")</f>
        <v>No</v>
      </c>
      <c r="AI599" s="8" t="str">
        <f ca="1">IFERROR(__xludf.DUMMYFUNCTION("""COMPUTED_VALUE"""),"No")</f>
        <v>No</v>
      </c>
      <c r="AJ599" s="8" t="str">
        <f ca="1">IFERROR(__xludf.DUMMYFUNCTION("""COMPUTED_VALUE"""),"No")</f>
        <v>No</v>
      </c>
      <c r="AK599" s="8" t="str">
        <f ca="1">IFERROR(__xludf.DUMMYFUNCTION("""COMPUTED_VALUE"""),"No")</f>
        <v>No</v>
      </c>
      <c r="AL599" s="8" t="str">
        <f ca="1">IFERROR(__xludf.DUMMYFUNCTION("""COMPUTED_VALUE"""),"No")</f>
        <v>No</v>
      </c>
      <c r="AM599" s="8" t="str">
        <f ca="1">IFERROR(__xludf.DUMMYFUNCTION("""COMPUTED_VALUE"""),"No")</f>
        <v>No</v>
      </c>
      <c r="AN599" s="8" t="str">
        <f ca="1">IFERROR(__xludf.DUMMYFUNCTION("""COMPUTED_VALUE"""),"Single Room")</f>
        <v>Single Room</v>
      </c>
      <c r="AO599" s="8" t="str">
        <f ca="1">IFERROR(__xludf.DUMMYFUNCTION("""COMPUTED_VALUE"""),"No")</f>
        <v>No</v>
      </c>
      <c r="AP599" s="8" t="str">
        <f ca="1">IFERROR(__xludf.DUMMYFUNCTION("""COMPUTED_VALUE"""),"Yes")</f>
        <v>Yes</v>
      </c>
      <c r="AQ599" s="8"/>
      <c r="AR599" s="8" t="str">
        <f ca="1">IFERROR(__xludf.DUMMYFUNCTION("""COMPUTED_VALUE"""),"Failed")</f>
        <v>Failed</v>
      </c>
      <c r="AS599" s="8">
        <f ca="1">IFERROR(__xludf.DUMMYFUNCTION("""COMPUTED_VALUE"""),1)</f>
        <v>1</v>
      </c>
      <c r="AT599" s="8" t="str">
        <f ca="1">IFERROR(__xludf.DUMMYFUNCTION("""COMPUTED_VALUE"""),"Yes")</f>
        <v>Yes</v>
      </c>
      <c r="AU599" s="8">
        <f ca="1">IFERROR(__xludf.DUMMYFUNCTION("""COMPUTED_VALUE"""),32.468537)</f>
        <v>32.468536999999998</v>
      </c>
      <c r="AV599" s="8">
        <f ca="1">IFERROR(__xludf.DUMMYFUNCTION("""COMPUTED_VALUE"""),-84.91782)</f>
        <v>-84.917820000000006</v>
      </c>
      <c r="AW599" s="8"/>
      <c r="AX599" s="8">
        <f ca="1">IFERROR(__xludf.DUMMYFUNCTION("""COMPUTED_VALUE"""),31907)</f>
        <v>31907</v>
      </c>
    </row>
    <row r="600" spans="1:50" ht="270" x14ac:dyDescent="0.2">
      <c r="A600" s="8" t="str">
        <f ca="1">IFERROR(__xludf.DUMMYFUNCTION("""COMPUTED_VALUE"""),"20230925DCSTW")</f>
        <v>20230925DCSTW</v>
      </c>
      <c r="B600" s="8">
        <f ca="1">IFERROR(__xludf.DUMMYFUNCTION("""COMPUTED_VALUE"""),9)</f>
        <v>9</v>
      </c>
      <c r="C600" s="8">
        <f ca="1">IFERROR(__xludf.DUMMYFUNCTION("""COMPUTED_VALUE"""),25)</f>
        <v>25</v>
      </c>
      <c r="D600" s="8">
        <f ca="1">IFERROR(__xludf.DUMMYFUNCTION("""COMPUTED_VALUE"""),2023)</f>
        <v>2023</v>
      </c>
      <c r="E600" s="9">
        <f ca="1">IFERROR(__xludf.DUMMYFUNCTION("""COMPUTED_VALUE"""),45194)</f>
        <v>45194</v>
      </c>
      <c r="F600" s="8" t="str">
        <f ca="1">IFERROR(__xludf.DUMMYFUNCTION("""COMPUTED_VALUE"""),"Stanton Elementary School")</f>
        <v>Stanton Elementary School</v>
      </c>
      <c r="G600" s="8">
        <f ca="1">IFERROR(__xludf.DUMMYFUNCTION("""COMPUTED_VALUE"""),0)</f>
        <v>0</v>
      </c>
      <c r="H600" s="8">
        <f ca="1">IFERROR(__xludf.DUMMYFUNCTION("""COMPUTED_VALUE"""),0)</f>
        <v>0</v>
      </c>
      <c r="I600" s="8">
        <f ca="1">IFERROR(__xludf.DUMMYFUNCTION("""COMPUTED_VALUE"""),0)</f>
        <v>0</v>
      </c>
      <c r="J600" s="8">
        <f ca="1">IFERROR(__xludf.DUMMYFUNCTION("""COMPUTED_VALUE"""),0)</f>
        <v>0</v>
      </c>
      <c r="K600" s="10" t="str">
        <f ca="1">IFERROR(__xludf.DUMMYFUNCTION("""COMPUTED_VALUE"""),"https://wjla.com/news/local/stanton-elementary-school-washington-dc-gunfire-bullets-building-struck-classrooms-lockdown-gunshots-staff-metropolitan-police-department-investigation-students-families-parents-district-bowser-violent-crime-chief-mpd-pamela-sm"&amp;"ith")</f>
        <v>https://wjla.com/news/local/stanton-elementary-school-washington-dc-gunfire-bullets-building-struck-classrooms-lockdown-gunshots-staff-metropolitan-police-department-investigation-students-families-parents-district-bowser-violent-crime-chief-mpd-pamela-smith</v>
      </c>
      <c r="L600" s="8">
        <f ca="1">IFERROR(__xludf.DUMMYFUNCTION("""COMPUTED_VALUE"""),1)</f>
        <v>1</v>
      </c>
      <c r="M600" s="8" t="str">
        <f ca="1">IFERROR(__xludf.DUMMYFUNCTION("""COMPUTED_VALUE"""),"Local")</f>
        <v>Local</v>
      </c>
      <c r="N600" s="8">
        <f ca="1">IFERROR(__xludf.DUMMYFUNCTION("""COMPUTED_VALUE"""),4)</f>
        <v>4</v>
      </c>
      <c r="O600" s="8" t="str">
        <f ca="1">IFERROR(__xludf.DUMMYFUNCTION("""COMPUTED_VALUE"""),"Fall")</f>
        <v>Fall</v>
      </c>
      <c r="P600" s="8" t="str">
        <f ca="1">IFERROR(__xludf.DUMMYFUNCTION("""COMPUTED_VALUE"""),"Washington")</f>
        <v>Washington</v>
      </c>
      <c r="Q600" s="8" t="str">
        <f ca="1">IFERROR(__xludf.DUMMYFUNCTION("""COMPUTED_VALUE"""),"DC")</f>
        <v>DC</v>
      </c>
      <c r="R600" s="8" t="str">
        <f ca="1">IFERROR(__xludf.DUMMYFUNCTION("""COMPUTED_VALUE"""),"Elementary")</f>
        <v>Elementary</v>
      </c>
      <c r="S600" s="8" t="str">
        <f ca="1">IFERROR(__xludf.DUMMYFUNCTION("""COMPUTED_VALUE"""),"Classroom")</f>
        <v>Classroom</v>
      </c>
      <c r="T600" s="8" t="str">
        <f ca="1">IFERROR(__xludf.DUMMYFUNCTION("""COMPUTED_VALUE"""),"Outside on School Property")</f>
        <v>Outside on School Property</v>
      </c>
      <c r="U600" s="8" t="str">
        <f ca="1">IFERROR(__xludf.DUMMYFUNCTION("""COMPUTED_VALUE"""),"Yes")</f>
        <v>Yes</v>
      </c>
      <c r="V600" s="8" t="str">
        <f ca="1">IFERROR(__xludf.DUMMYFUNCTION("""COMPUTED_VALUE"""),"Afternoon Classes")</f>
        <v>Afternoon Classes</v>
      </c>
      <c r="W600" s="11">
        <f ca="1">IFERROR(__xludf.DUMMYFUNCTION("""COMPUTED_VALUE"""),0.5625)</f>
        <v>0.5625</v>
      </c>
      <c r="X600" s="8">
        <f ca="1">IFERROR(__xludf.DUMMYFUNCTION("""COMPUTED_VALUE"""),1)</f>
        <v>1</v>
      </c>
      <c r="Y600" s="12" t="str">
        <f ca="1">IFERROR(__xludf.DUMMYFUNCTION("""COMPUTED_VALUE"""),"Multiple bullets hit the school building while students were outside for recess.")</f>
        <v>Multiple bullets hit the school building while students were outside for recess.</v>
      </c>
      <c r="Z600" s="12" t="str">
        <f ca="1">IFERROR(__xludf.DUMMYFUNCTION("""COMPUTED_VALUE"""),"This afternoon at approximately 1:35 p.m., school administration was alerted to gunshots near our campus. We immediately called the Metropolitan Police Department (MPD) as students who were outside were quickly brought back into the building by staff duri"&amp;"ng a reverse evacuation. Once all students and staff were safely inside, we went into a lockdown. During a lockdown status at Stanton, students are ushered away from all windows and exterior classrooms, and moving between classes or entering and exiting t"&amp;"he building is not permitted. Bullets from the gunfire did strike and lodge into the windows of two of our classrooms. The window of an empty 5th grade classroom was struck once, and two windows within a kindergarten classroom were each struck once. No on"&amp;"e was injured, and with both classrooms, the damage to the windows was discovered during a sweep following the lockdown. By 2:10 p.m., MPD cleared us to resume normal operations, and the remainder of the day continued as planned. ")</f>
        <v xml:space="preserve">This afternoon at approximately 1:35 p.m., school administration was alerted to gunshots near our campus. We immediately called the Metropolitan Police Department (MPD) as students who were outside were quickly brought back into the building by staff during a reverse evacuation. Once all students and staff were safely inside, we went into a lockdown. During a lockdown status at Stanton, students are ushered away from all windows and exterior classrooms, and moving between classes or entering and exiting the building is not permitted. Bullets from the gunfire did strike and lodge into the windows of two of our classrooms. The window of an empty 5th grade classroom was struck once, and two windows within a kindergarten classroom were each struck once. No one was injured, and with both classrooms, the damage to the windows was discovered during a sweep following the lockdown. By 2:10 p.m., MPD cleared us to resume normal operations, and the remainder of the day continued as planned. </v>
      </c>
      <c r="AA600" s="8" t="str">
        <f ca="1">IFERROR(__xludf.DUMMYFUNCTION("""COMPUTED_VALUE"""),"Drive-by Shooting")</f>
        <v>Drive-by Shooting</v>
      </c>
      <c r="AB600" s="8"/>
      <c r="AC600" s="8" t="str">
        <f ca="1">IFERROR(__xludf.DUMMYFUNCTION("""COMPUTED_VALUE"""),"Yes")</f>
        <v>Yes</v>
      </c>
      <c r="AD600" s="8" t="str">
        <f ca="1">IFERROR(__xludf.DUMMYFUNCTION("""COMPUTED_VALUE"""),"Both")</f>
        <v>Both</v>
      </c>
      <c r="AE600" s="8"/>
      <c r="AF600" s="8"/>
      <c r="AG600" s="8" t="str">
        <f ca="1">IFERROR(__xludf.DUMMYFUNCTION("""COMPUTED_VALUE"""),"No")</f>
        <v>No</v>
      </c>
      <c r="AH600" s="8" t="str">
        <f ca="1">IFERROR(__xludf.DUMMYFUNCTION("""COMPUTED_VALUE"""),"No")</f>
        <v>No</v>
      </c>
      <c r="AI600" s="8" t="str">
        <f ca="1">IFERROR(__xludf.DUMMYFUNCTION("""COMPUTED_VALUE"""),"No")</f>
        <v>No</v>
      </c>
      <c r="AJ600" s="8" t="str">
        <f ca="1">IFERROR(__xludf.DUMMYFUNCTION("""COMPUTED_VALUE"""),"No")</f>
        <v>No</v>
      </c>
      <c r="AK600" s="8" t="str">
        <f ca="1">IFERROR(__xludf.DUMMYFUNCTION("""COMPUTED_VALUE"""),"No")</f>
        <v>No</v>
      </c>
      <c r="AL600" s="8"/>
      <c r="AM600" s="8" t="str">
        <f ca="1">IFERROR(__xludf.DUMMYFUNCTION("""COMPUTED_VALUE"""),"No")</f>
        <v>No</v>
      </c>
      <c r="AN600" s="8" t="str">
        <f ca="1">IFERROR(__xludf.DUMMYFUNCTION("""COMPUTED_VALUE"""),"Outside")</f>
        <v>Outside</v>
      </c>
      <c r="AO600" s="8" t="str">
        <f ca="1">IFERROR(__xludf.DUMMYFUNCTION("""COMPUTED_VALUE"""),"No")</f>
        <v>No</v>
      </c>
      <c r="AP600" s="8"/>
      <c r="AQ600" s="8"/>
      <c r="AR600" s="8" t="str">
        <f ca="1">IFERROR(__xludf.DUMMYFUNCTION("""COMPUTED_VALUE"""),"Outside/Off-Property")</f>
        <v>Outside/Off-Property</v>
      </c>
      <c r="AS600" s="8">
        <f ca="1">IFERROR(__xludf.DUMMYFUNCTION("""COMPUTED_VALUE"""),99)</f>
        <v>99</v>
      </c>
      <c r="AT600" s="8" t="str">
        <f ca="1">IFERROR(__xludf.DUMMYFUNCTION("""COMPUTED_VALUE"""),"Yes")</f>
        <v>Yes</v>
      </c>
      <c r="AU600" s="8">
        <f ca="1">IFERROR(__xludf.DUMMYFUNCTION("""COMPUTED_VALUE"""),38.859372)</f>
        <v>38.859372</v>
      </c>
      <c r="AV600" s="8">
        <f ca="1">IFERROR(__xludf.DUMMYFUNCTION("""COMPUTED_VALUE"""),-76.969806)</f>
        <v>-76.969806000000005</v>
      </c>
      <c r="AW600" s="8"/>
      <c r="AX600" s="8">
        <f ca="1">IFERROR(__xludf.DUMMYFUNCTION("""COMPUTED_VALUE"""),20020)</f>
        <v>20020</v>
      </c>
    </row>
    <row r="601" spans="1:50" ht="45" x14ac:dyDescent="0.2">
      <c r="A601" s="8" t="str">
        <f ca="1">IFERROR(__xludf.DUMMYFUNCTION("""COMPUTED_VALUE"""),"20230925MDDUB")</f>
        <v>20230925MDDUB</v>
      </c>
      <c r="B601" s="8">
        <f ca="1">IFERROR(__xludf.DUMMYFUNCTION("""COMPUTED_VALUE"""),9)</f>
        <v>9</v>
      </c>
      <c r="C601" s="8">
        <f ca="1">IFERROR(__xludf.DUMMYFUNCTION("""COMPUTED_VALUE"""),25)</f>
        <v>25</v>
      </c>
      <c r="D601" s="8">
        <f ca="1">IFERROR(__xludf.DUMMYFUNCTION("""COMPUTED_VALUE"""),2023)</f>
        <v>2023</v>
      </c>
      <c r="E601" s="9">
        <f ca="1">IFERROR(__xludf.DUMMYFUNCTION("""COMPUTED_VALUE"""),45194)</f>
        <v>45194</v>
      </c>
      <c r="F601" s="8" t="str">
        <f ca="1">IFERROR(__xludf.DUMMYFUNCTION("""COMPUTED_VALUE"""),"Dunbar High School")</f>
        <v>Dunbar High School</v>
      </c>
      <c r="G601" s="8">
        <f ca="1">IFERROR(__xludf.DUMMYFUNCTION("""COMPUTED_VALUE"""),0)</f>
        <v>0</v>
      </c>
      <c r="H601" s="8">
        <f ca="1">IFERROR(__xludf.DUMMYFUNCTION("""COMPUTED_VALUE"""),1)</f>
        <v>1</v>
      </c>
      <c r="I601" s="8">
        <f ca="1">IFERROR(__xludf.DUMMYFUNCTION("""COMPUTED_VALUE"""),1)</f>
        <v>1</v>
      </c>
      <c r="J601" s="8">
        <f ca="1">IFERROR(__xludf.DUMMYFUNCTION("""COMPUTED_VALUE"""),0)</f>
        <v>0</v>
      </c>
      <c r="K601" s="10" t="str">
        <f ca="1">IFERROR(__xludf.DUMMYFUNCTION("""COMPUTED_VALUE"""),"https://foxbaltimore.com/news/local/student-injured-after-shooting-self-near-dunbar-high-school#")</f>
        <v>https://foxbaltimore.com/news/local/student-injured-after-shooting-self-near-dunbar-high-school#</v>
      </c>
      <c r="L601" s="8">
        <f ca="1">IFERROR(__xludf.DUMMYFUNCTION("""COMPUTED_VALUE"""),5)</f>
        <v>5</v>
      </c>
      <c r="M601" s="8" t="str">
        <f ca="1">IFERROR(__xludf.DUMMYFUNCTION("""COMPUTED_VALUE"""),"Local")</f>
        <v>Local</v>
      </c>
      <c r="N601" s="8">
        <f ca="1">IFERROR(__xludf.DUMMYFUNCTION("""COMPUTED_VALUE"""),4)</f>
        <v>4</v>
      </c>
      <c r="O601" s="8" t="str">
        <f ca="1">IFERROR(__xludf.DUMMYFUNCTION("""COMPUTED_VALUE"""),"Fall")</f>
        <v>Fall</v>
      </c>
      <c r="P601" s="8" t="str">
        <f ca="1">IFERROR(__xludf.DUMMYFUNCTION("""COMPUTED_VALUE"""),"Baltimore")</f>
        <v>Baltimore</v>
      </c>
      <c r="Q601" s="8" t="str">
        <f ca="1">IFERROR(__xludf.DUMMYFUNCTION("""COMPUTED_VALUE"""),"MD")</f>
        <v>MD</v>
      </c>
      <c r="R601" s="8" t="str">
        <f ca="1">IFERROR(__xludf.DUMMYFUNCTION("""COMPUTED_VALUE"""),"High")</f>
        <v>High</v>
      </c>
      <c r="S601" s="8" t="str">
        <f ca="1">IFERROR(__xludf.DUMMYFUNCTION("""COMPUTED_VALUE"""),"Beside Building")</f>
        <v>Beside Building</v>
      </c>
      <c r="T601" s="8" t="str">
        <f ca="1">IFERROR(__xludf.DUMMYFUNCTION("""COMPUTED_VALUE"""),"Outside on School Property")</f>
        <v>Outside on School Property</v>
      </c>
      <c r="U601" s="8" t="str">
        <f ca="1">IFERROR(__xludf.DUMMYFUNCTION("""COMPUTED_VALUE"""),"Yes")</f>
        <v>Yes</v>
      </c>
      <c r="V601" s="8" t="str">
        <f ca="1">IFERROR(__xludf.DUMMYFUNCTION("""COMPUTED_VALUE"""),"Dismissal")</f>
        <v>Dismissal</v>
      </c>
      <c r="W601" s="11">
        <f ca="1">IFERROR(__xludf.DUMMYFUNCTION("""COMPUTED_VALUE"""),0.666666666666666)</f>
        <v>0.66666666666666596</v>
      </c>
      <c r="X601" s="8">
        <f ca="1">IFERROR(__xludf.DUMMYFUNCTION("""COMPUTED_VALUE"""),1)</f>
        <v>1</v>
      </c>
      <c r="Y601" s="12" t="str">
        <f ca="1">IFERROR(__xludf.DUMMYFUNCTION("""COMPUTED_VALUE"""),"Student shot self in the leg behind school")</f>
        <v>Student shot self in the leg behind school</v>
      </c>
      <c r="Z601" s="12" t="str">
        <f ca="1">IFERROR(__xludf.DUMMYFUNCTION("""COMPUTED_VALUE"""),"Student shot self in the leg behind school. Transported to hospital.")</f>
        <v>Student shot self in the leg behind school. Transported to hospital.</v>
      </c>
      <c r="AA601" s="8" t="str">
        <f ca="1">IFERROR(__xludf.DUMMYFUNCTION("""COMPUTED_VALUE"""),"Accidental")</f>
        <v>Accidental</v>
      </c>
      <c r="AB601" s="8"/>
      <c r="AC601" s="8" t="str">
        <f ca="1">IFERROR(__xludf.DUMMYFUNCTION("""COMPUTED_VALUE"""),"Yes")</f>
        <v>Yes</v>
      </c>
      <c r="AD601" s="8" t="str">
        <f ca="1">IFERROR(__xludf.DUMMYFUNCTION("""COMPUTED_VALUE"""),"Neither")</f>
        <v>Neither</v>
      </c>
      <c r="AE601" s="8" t="str">
        <f ca="1">IFERROR(__xludf.DUMMYFUNCTION("""COMPUTED_VALUE"""),"No")</f>
        <v>No</v>
      </c>
      <c r="AF601" s="8"/>
      <c r="AG601" s="8" t="str">
        <f ca="1">IFERROR(__xludf.DUMMYFUNCTION("""COMPUTED_VALUE"""),"No")</f>
        <v>No</v>
      </c>
      <c r="AH601" s="8" t="str">
        <f ca="1">IFERROR(__xludf.DUMMYFUNCTION("""COMPUTED_VALUE"""),"No")</f>
        <v>No</v>
      </c>
      <c r="AI601" s="8" t="str">
        <f ca="1">IFERROR(__xludf.DUMMYFUNCTION("""COMPUTED_VALUE"""),"No")</f>
        <v>No</v>
      </c>
      <c r="AJ601" s="8" t="str">
        <f ca="1">IFERROR(__xludf.DUMMYFUNCTION("""COMPUTED_VALUE"""),"No")</f>
        <v>No</v>
      </c>
      <c r="AK601" s="8" t="str">
        <f ca="1">IFERROR(__xludf.DUMMYFUNCTION("""COMPUTED_VALUE"""),"No")</f>
        <v>No</v>
      </c>
      <c r="AL601" s="8" t="str">
        <f ca="1">IFERROR(__xludf.DUMMYFUNCTION("""COMPUTED_VALUE"""),"No")</f>
        <v>No</v>
      </c>
      <c r="AM601" s="8" t="str">
        <f ca="1">IFERROR(__xludf.DUMMYFUNCTION("""COMPUTED_VALUE"""),"No")</f>
        <v>No</v>
      </c>
      <c r="AN601" s="8" t="str">
        <f ca="1">IFERROR(__xludf.DUMMYFUNCTION("""COMPUTED_VALUE"""),"Outside")</f>
        <v>Outside</v>
      </c>
      <c r="AO601" s="8" t="str">
        <f ca="1">IFERROR(__xludf.DUMMYFUNCTION("""COMPUTED_VALUE"""),"No")</f>
        <v>No</v>
      </c>
      <c r="AP601" s="8"/>
      <c r="AQ601" s="8"/>
      <c r="AR601" s="8" t="str">
        <f ca="1">IFERROR(__xludf.DUMMYFUNCTION("""COMPUTED_VALUE"""),"Outside/Off-Property")</f>
        <v>Outside/Off-Property</v>
      </c>
      <c r="AS601" s="8">
        <f ca="1">IFERROR(__xludf.DUMMYFUNCTION("""COMPUTED_VALUE"""),1)</f>
        <v>1</v>
      </c>
      <c r="AT601" s="8" t="str">
        <f ca="1">IFERROR(__xludf.DUMMYFUNCTION("""COMPUTED_VALUE"""),"No")</f>
        <v>No</v>
      </c>
      <c r="AU601" s="8">
        <f ca="1">IFERROR(__xludf.DUMMYFUNCTION("""COMPUTED_VALUE"""),39.295315)</f>
        <v>39.295315000000002</v>
      </c>
      <c r="AV601" s="8">
        <f ca="1">IFERROR(__xludf.DUMMYFUNCTION("""COMPUTED_VALUE"""),-76.598077)</f>
        <v>-76.598077000000004</v>
      </c>
      <c r="AW601" s="8"/>
      <c r="AX601" s="8">
        <f ca="1">IFERROR(__xludf.DUMMYFUNCTION("""COMPUTED_VALUE"""),21231)</f>
        <v>21231</v>
      </c>
    </row>
    <row r="602" spans="1:50" ht="60" x14ac:dyDescent="0.2">
      <c r="A602" s="8" t="str">
        <f ca="1">IFERROR(__xludf.DUMMYFUNCTION("""COMPUTED_VALUE"""),"20230925MDGIB")</f>
        <v>20230925MDGIB</v>
      </c>
      <c r="B602" s="8">
        <f ca="1">IFERROR(__xludf.DUMMYFUNCTION("""COMPUTED_VALUE"""),9)</f>
        <v>9</v>
      </c>
      <c r="C602" s="8">
        <f ca="1">IFERROR(__xludf.DUMMYFUNCTION("""COMPUTED_VALUE"""),25)</f>
        <v>25</v>
      </c>
      <c r="D602" s="8">
        <f ca="1">IFERROR(__xludf.DUMMYFUNCTION("""COMPUTED_VALUE"""),2023)</f>
        <v>2023</v>
      </c>
      <c r="E602" s="9">
        <f ca="1">IFERROR(__xludf.DUMMYFUNCTION("""COMPUTED_VALUE"""),45194)</f>
        <v>45194</v>
      </c>
      <c r="F602" s="8" t="str">
        <f ca="1">IFERROR(__xludf.DUMMYFUNCTION("""COMPUTED_VALUE"""),"Gilmor Elementary School")</f>
        <v>Gilmor Elementary School</v>
      </c>
      <c r="G602" s="8">
        <f ca="1">IFERROR(__xludf.DUMMYFUNCTION("""COMPUTED_VALUE"""),1)</f>
        <v>1</v>
      </c>
      <c r="H602" s="8">
        <f ca="1">IFERROR(__xludf.DUMMYFUNCTION("""COMPUTED_VALUE"""),0)</f>
        <v>0</v>
      </c>
      <c r="I602" s="8">
        <f ca="1">IFERROR(__xludf.DUMMYFUNCTION("""COMPUTED_VALUE"""),1)</f>
        <v>1</v>
      </c>
      <c r="J602" s="8">
        <f ca="1">IFERROR(__xludf.DUMMYFUNCTION("""COMPUTED_VALUE"""),0)</f>
        <v>0</v>
      </c>
      <c r="K602" s="10" t="str">
        <f ca="1">IFERROR(__xludf.DUMMYFUNCTION("""COMPUTED_VALUE"""),"https://www.wbaltv.com/article/baltimore-police-shooting-near-gilmore-elementary/45306369")</f>
        <v>https://www.wbaltv.com/article/baltimore-police-shooting-near-gilmore-elementary/45306369</v>
      </c>
      <c r="L602" s="8">
        <f ca="1">IFERROR(__xludf.DUMMYFUNCTION("""COMPUTED_VALUE"""),5)</f>
        <v>5</v>
      </c>
      <c r="M602" s="8" t="str">
        <f ca="1">IFERROR(__xludf.DUMMYFUNCTION("""COMPUTED_VALUE"""),"Local")</f>
        <v>Local</v>
      </c>
      <c r="N602" s="8">
        <f ca="1">IFERROR(__xludf.DUMMYFUNCTION("""COMPUTED_VALUE"""),4)</f>
        <v>4</v>
      </c>
      <c r="O602" s="8" t="str">
        <f ca="1">IFERROR(__xludf.DUMMYFUNCTION("""COMPUTED_VALUE"""),"Fall")</f>
        <v>Fall</v>
      </c>
      <c r="P602" s="8" t="str">
        <f ca="1">IFERROR(__xludf.DUMMYFUNCTION("""COMPUTED_VALUE"""),"Baltimore")</f>
        <v>Baltimore</v>
      </c>
      <c r="Q602" s="8" t="str">
        <f ca="1">IFERROR(__xludf.DUMMYFUNCTION("""COMPUTED_VALUE"""),"MD")</f>
        <v>MD</v>
      </c>
      <c r="R602" s="8" t="str">
        <f ca="1">IFERROR(__xludf.DUMMYFUNCTION("""COMPUTED_VALUE"""),"Elementary")</f>
        <v>Elementary</v>
      </c>
      <c r="S602" s="8" t="str">
        <f ca="1">IFERROR(__xludf.DUMMYFUNCTION("""COMPUTED_VALUE"""),"Front of School")</f>
        <v>Front of School</v>
      </c>
      <c r="T602" s="8" t="str">
        <f ca="1">IFERROR(__xludf.DUMMYFUNCTION("""COMPUTED_VALUE"""),"Outside on School Property")</f>
        <v>Outside on School Property</v>
      </c>
      <c r="U602" s="8" t="str">
        <f ca="1">IFERROR(__xludf.DUMMYFUNCTION("""COMPUTED_VALUE"""),"No")</f>
        <v>No</v>
      </c>
      <c r="V602" s="8" t="str">
        <f ca="1">IFERROR(__xludf.DUMMYFUNCTION("""COMPUTED_VALUE"""),"Not a School Day")</f>
        <v>Not a School Day</v>
      </c>
      <c r="W602" s="11">
        <f ca="1">IFERROR(__xludf.DUMMYFUNCTION("""COMPUTED_VALUE"""),0.6875)</f>
        <v>0.6875</v>
      </c>
      <c r="X602" s="8">
        <f ca="1">IFERROR(__xludf.DUMMYFUNCTION("""COMPUTED_VALUE"""),1)</f>
        <v>1</v>
      </c>
      <c r="Y602" s="12" t="str">
        <f ca="1">IFERROR(__xludf.DUMMYFUNCTION("""COMPUTED_VALUE"""),"Teen fatally shot in front of the school")</f>
        <v>Teen fatally shot in front of the school</v>
      </c>
      <c r="Z602" s="12" t="str">
        <f ca="1">IFERROR(__xludf.DUMMYFUNCTION("""COMPUTED_VALUE"""),"A 15-year-old boy was killed in a shooting outside of Gilmor Elementary School. Police found the teen suffering from numerous life-threatening gunshot wounds. He was taken to a hospital where he died, according to police.")</f>
        <v>A 15-year-old boy was killed in a shooting outside of Gilmor Elementary School. Police found the teen suffering from numerous life-threatening gunshot wounds. He was taken to a hospital where he died, according to police.</v>
      </c>
      <c r="AA602" s="8"/>
      <c r="AB602" s="8"/>
      <c r="AC602" s="8" t="str">
        <f ca="1">IFERROR(__xludf.DUMMYFUNCTION("""COMPUTED_VALUE"""),"No")</f>
        <v>No</v>
      </c>
      <c r="AD602" s="8" t="str">
        <f ca="1">IFERROR(__xludf.DUMMYFUNCTION("""COMPUTED_VALUE"""),"Victims Targeted")</f>
        <v>Victims Targeted</v>
      </c>
      <c r="AE602" s="8" t="str">
        <f ca="1">IFERROR(__xludf.DUMMYFUNCTION("""COMPUTED_VALUE"""),"No")</f>
        <v>No</v>
      </c>
      <c r="AF602" s="8"/>
      <c r="AG602" s="8" t="str">
        <f ca="1">IFERROR(__xludf.DUMMYFUNCTION("""COMPUTED_VALUE"""),"No")</f>
        <v>No</v>
      </c>
      <c r="AH602" s="8" t="str">
        <f ca="1">IFERROR(__xludf.DUMMYFUNCTION("""COMPUTED_VALUE"""),"No")</f>
        <v>No</v>
      </c>
      <c r="AI602" s="8" t="str">
        <f ca="1">IFERROR(__xludf.DUMMYFUNCTION("""COMPUTED_VALUE"""),"No")</f>
        <v>No</v>
      </c>
      <c r="AJ602" s="8" t="str">
        <f ca="1">IFERROR(__xludf.DUMMYFUNCTION("""COMPUTED_VALUE"""),"No")</f>
        <v>No</v>
      </c>
      <c r="AK602" s="8" t="str">
        <f ca="1">IFERROR(__xludf.DUMMYFUNCTION("""COMPUTED_VALUE"""),"No")</f>
        <v>No</v>
      </c>
      <c r="AL602" s="8"/>
      <c r="AM602" s="8" t="str">
        <f ca="1">IFERROR(__xludf.DUMMYFUNCTION("""COMPUTED_VALUE"""),"No")</f>
        <v>No</v>
      </c>
      <c r="AN602" s="8" t="str">
        <f ca="1">IFERROR(__xludf.DUMMYFUNCTION("""COMPUTED_VALUE"""),"Outside")</f>
        <v>Outside</v>
      </c>
      <c r="AO602" s="8" t="str">
        <f ca="1">IFERROR(__xludf.DUMMYFUNCTION("""COMPUTED_VALUE"""),"No")</f>
        <v>No</v>
      </c>
      <c r="AP602" s="8"/>
      <c r="AQ602" s="8"/>
      <c r="AR602" s="8" t="str">
        <f ca="1">IFERROR(__xludf.DUMMYFUNCTION("""COMPUTED_VALUE"""),"Outside/Off-Property")</f>
        <v>Outside/Off-Property</v>
      </c>
      <c r="AS602" s="8">
        <f ca="1">IFERROR(__xludf.DUMMYFUNCTION("""COMPUTED_VALUE"""),99)</f>
        <v>99</v>
      </c>
      <c r="AT602" s="8" t="str">
        <f ca="1">IFERROR(__xludf.DUMMYFUNCTION("""COMPUTED_VALUE"""),"No")</f>
        <v>No</v>
      </c>
      <c r="AU602" s="8">
        <f ca="1">IFERROR(__xludf.DUMMYFUNCTION("""COMPUTED_VALUE"""),39.304237)</f>
        <v>39.304237000000001</v>
      </c>
      <c r="AV602" s="8">
        <f ca="1">IFERROR(__xludf.DUMMYFUNCTION("""COMPUTED_VALUE"""),-76.641862)</f>
        <v>-76.641862000000003</v>
      </c>
      <c r="AW602" s="8"/>
      <c r="AX602" s="8">
        <f ca="1">IFERROR(__xludf.DUMMYFUNCTION("""COMPUTED_VALUE"""),21217)</f>
        <v>21217</v>
      </c>
    </row>
    <row r="603" spans="1:50" ht="45" x14ac:dyDescent="0.2">
      <c r="A603" s="8" t="str">
        <f ca="1">IFERROR(__xludf.DUMMYFUNCTION("""COMPUTED_VALUE"""),"20230923OHMAC")</f>
        <v>20230923OHMAC</v>
      </c>
      <c r="B603" s="8">
        <f ca="1">IFERROR(__xludf.DUMMYFUNCTION("""COMPUTED_VALUE"""),9)</f>
        <v>9</v>
      </c>
      <c r="C603" s="8">
        <f ca="1">IFERROR(__xludf.DUMMYFUNCTION("""COMPUTED_VALUE"""),23)</f>
        <v>23</v>
      </c>
      <c r="D603" s="8">
        <f ca="1">IFERROR(__xludf.DUMMYFUNCTION("""COMPUTED_VALUE"""),2023)</f>
        <v>2023</v>
      </c>
      <c r="E603" s="9">
        <f ca="1">IFERROR(__xludf.DUMMYFUNCTION("""COMPUTED_VALUE"""),45192)</f>
        <v>45192</v>
      </c>
      <c r="F603" s="8" t="str">
        <f ca="1">IFERROR(__xludf.DUMMYFUNCTION("""COMPUTED_VALUE"""),"Mary Church Terrell School")</f>
        <v>Mary Church Terrell School</v>
      </c>
      <c r="G603" s="8">
        <f ca="1">IFERROR(__xludf.DUMMYFUNCTION("""COMPUTED_VALUE"""),0)</f>
        <v>0</v>
      </c>
      <c r="H603" s="8">
        <f ca="1">IFERROR(__xludf.DUMMYFUNCTION("""COMPUTED_VALUE"""),0)</f>
        <v>0</v>
      </c>
      <c r="I603" s="8">
        <f ca="1">IFERROR(__xludf.DUMMYFUNCTION("""COMPUTED_VALUE"""),0)</f>
        <v>0</v>
      </c>
      <c r="J603" s="8">
        <f ca="1">IFERROR(__xludf.DUMMYFUNCTION("""COMPUTED_VALUE"""),0)</f>
        <v>0</v>
      </c>
      <c r="K603" s="10" t="str">
        <f ca="1">IFERROR(__xludf.DUMMYFUNCTION("""COMPUTED_VALUE"""),"https://www.cleveland19.com/2023/09/28/woman-robbed-her-purse-gunpoint-cleveland-school-parking-lot-police-say/")</f>
        <v>https://www.cleveland19.com/2023/09/28/woman-robbed-her-purse-gunpoint-cleveland-school-parking-lot-police-say/</v>
      </c>
      <c r="L603" s="8">
        <f ca="1">IFERROR(__xludf.DUMMYFUNCTION("""COMPUTED_VALUE"""),1)</f>
        <v>1</v>
      </c>
      <c r="M603" s="8" t="str">
        <f ca="1">IFERROR(__xludf.DUMMYFUNCTION("""COMPUTED_VALUE"""),"Local")</f>
        <v>Local</v>
      </c>
      <c r="N603" s="8">
        <f ca="1">IFERROR(__xludf.DUMMYFUNCTION("""COMPUTED_VALUE"""),4)</f>
        <v>4</v>
      </c>
      <c r="O603" s="8" t="str">
        <f ca="1">IFERROR(__xludf.DUMMYFUNCTION("""COMPUTED_VALUE"""),"Fall")</f>
        <v>Fall</v>
      </c>
      <c r="P603" s="8" t="str">
        <f ca="1">IFERROR(__xludf.DUMMYFUNCTION("""COMPUTED_VALUE"""),"Cleveland")</f>
        <v>Cleveland</v>
      </c>
      <c r="Q603" s="8" t="str">
        <f ca="1">IFERROR(__xludf.DUMMYFUNCTION("""COMPUTED_VALUE"""),"OH")</f>
        <v>OH</v>
      </c>
      <c r="R603" s="8" t="str">
        <f ca="1">IFERROR(__xludf.DUMMYFUNCTION("""COMPUTED_VALUE"""),"K-8")</f>
        <v>K-8</v>
      </c>
      <c r="S603" s="8" t="str">
        <f ca="1">IFERROR(__xludf.DUMMYFUNCTION("""COMPUTED_VALUE"""),"Parking Lot")</f>
        <v>Parking Lot</v>
      </c>
      <c r="T603" s="8" t="str">
        <f ca="1">IFERROR(__xludf.DUMMYFUNCTION("""COMPUTED_VALUE"""),"Outside on School Property")</f>
        <v>Outside on School Property</v>
      </c>
      <c r="U603" s="8" t="str">
        <f ca="1">IFERROR(__xludf.DUMMYFUNCTION("""COMPUTED_VALUE"""),"Yes")</f>
        <v>Yes</v>
      </c>
      <c r="V603" s="8" t="str">
        <f ca="1">IFERROR(__xludf.DUMMYFUNCTION("""COMPUTED_VALUE"""),"Not a School Day")</f>
        <v>Not a School Day</v>
      </c>
      <c r="W603" s="11">
        <f ca="1">IFERROR(__xludf.DUMMYFUNCTION("""COMPUTED_VALUE"""),0.423611111111111)</f>
        <v>0.42361111111111099</v>
      </c>
      <c r="X603" s="8">
        <f ca="1">IFERROR(__xludf.DUMMYFUNCTION("""COMPUTED_VALUE"""),1)</f>
        <v>1</v>
      </c>
      <c r="Y603" s="12" t="str">
        <f ca="1">IFERROR(__xludf.DUMMYFUNCTION("""COMPUTED_VALUE"""),"Woman robbed at gunpoint in school parking lot")</f>
        <v>Woman robbed at gunpoint in school parking lot</v>
      </c>
      <c r="Z603" s="12" t="str">
        <f ca="1">IFERROR(__xludf.DUMMYFUNCTION("""COMPUTED_VALUE"""),"Woman robbed at gunpoint in school parking lot.")</f>
        <v>Woman robbed at gunpoint in school parking lot.</v>
      </c>
      <c r="AA603" s="8" t="str">
        <f ca="1">IFERROR(__xludf.DUMMYFUNCTION("""COMPUTED_VALUE"""),"Illegal Activity")</f>
        <v>Illegal Activity</v>
      </c>
      <c r="AB603" s="8"/>
      <c r="AC603" s="8" t="str">
        <f ca="1">IFERROR(__xludf.DUMMYFUNCTION("""COMPUTED_VALUE"""),"Yes")</f>
        <v>Yes</v>
      </c>
      <c r="AD603" s="8" t="str">
        <f ca="1">IFERROR(__xludf.DUMMYFUNCTION("""COMPUTED_VALUE"""),"Victims Targeted")</f>
        <v>Victims Targeted</v>
      </c>
      <c r="AE603" s="8" t="str">
        <f ca="1">IFERROR(__xludf.DUMMYFUNCTION("""COMPUTED_VALUE"""),"No")</f>
        <v>No</v>
      </c>
      <c r="AF603" s="8"/>
      <c r="AG603" s="8" t="str">
        <f ca="1">IFERROR(__xludf.DUMMYFUNCTION("""COMPUTED_VALUE"""),"No")</f>
        <v>No</v>
      </c>
      <c r="AH603" s="8" t="str">
        <f ca="1">IFERROR(__xludf.DUMMYFUNCTION("""COMPUTED_VALUE"""),"No")</f>
        <v>No</v>
      </c>
      <c r="AI603" s="8" t="str">
        <f ca="1">IFERROR(__xludf.DUMMYFUNCTION("""COMPUTED_VALUE"""),"No")</f>
        <v>No</v>
      </c>
      <c r="AJ603" s="8" t="str">
        <f ca="1">IFERROR(__xludf.DUMMYFUNCTION("""COMPUTED_VALUE"""),"No")</f>
        <v>No</v>
      </c>
      <c r="AK603" s="8" t="str">
        <f ca="1">IFERROR(__xludf.DUMMYFUNCTION("""COMPUTED_VALUE"""),"No")</f>
        <v>No</v>
      </c>
      <c r="AL603" s="8" t="str">
        <f ca="1">IFERROR(__xludf.DUMMYFUNCTION("""COMPUTED_VALUE"""),"No")</f>
        <v>No</v>
      </c>
      <c r="AM603" s="8" t="str">
        <f ca="1">IFERROR(__xludf.DUMMYFUNCTION("""COMPUTED_VALUE"""),"No")</f>
        <v>No</v>
      </c>
      <c r="AN603" s="8" t="str">
        <f ca="1">IFERROR(__xludf.DUMMYFUNCTION("""COMPUTED_VALUE"""),"Outside")</f>
        <v>Outside</v>
      </c>
      <c r="AO603" s="8" t="str">
        <f ca="1">IFERROR(__xludf.DUMMYFUNCTION("""COMPUTED_VALUE"""),"No")</f>
        <v>No</v>
      </c>
      <c r="AP603" s="8"/>
      <c r="AQ603" s="8"/>
      <c r="AR603" s="8" t="str">
        <f ca="1">IFERROR(__xludf.DUMMYFUNCTION("""COMPUTED_VALUE"""),"Outside/Off-Property")</f>
        <v>Outside/Off-Property</v>
      </c>
      <c r="AS603" s="8">
        <f ca="1">IFERROR(__xludf.DUMMYFUNCTION("""COMPUTED_VALUE"""),0)</f>
        <v>0</v>
      </c>
      <c r="AT603" s="8" t="str">
        <f ca="1">IFERROR(__xludf.DUMMYFUNCTION("""COMPUTED_VALUE"""),"No")</f>
        <v>No</v>
      </c>
      <c r="AU603" s="8">
        <f ca="1">IFERROR(__xludf.DUMMYFUNCTION("""COMPUTED_VALUE"""),41.454612)</f>
        <v>41.454611999999997</v>
      </c>
      <c r="AV603" s="8">
        <f ca="1">IFERROR(__xludf.DUMMYFUNCTION("""COMPUTED_VALUE"""),-81.763277)</f>
        <v>-81.763277000000002</v>
      </c>
      <c r="AW603" s="8"/>
      <c r="AX603" s="8">
        <f ca="1">IFERROR(__xludf.DUMMYFUNCTION("""COMPUTED_VALUE"""),44111)</f>
        <v>44111</v>
      </c>
    </row>
    <row r="604" spans="1:50" ht="75" x14ac:dyDescent="0.2">
      <c r="A604" s="8" t="str">
        <f ca="1">IFERROR(__xludf.DUMMYFUNCTION("""COMPUTED_VALUE"""),"20230922IAOTO")</f>
        <v>20230922IAOTO</v>
      </c>
      <c r="B604" s="8">
        <f ca="1">IFERROR(__xludf.DUMMYFUNCTION("""COMPUTED_VALUE"""),9)</f>
        <v>9</v>
      </c>
      <c r="C604" s="8">
        <f ca="1">IFERROR(__xludf.DUMMYFUNCTION("""COMPUTED_VALUE"""),22)</f>
        <v>22</v>
      </c>
      <c r="D604" s="8">
        <f ca="1">IFERROR(__xludf.DUMMYFUNCTION("""COMPUTED_VALUE"""),2023)</f>
        <v>2023</v>
      </c>
      <c r="E604" s="9">
        <f ca="1">IFERROR(__xludf.DUMMYFUNCTION("""COMPUTED_VALUE"""),45191)</f>
        <v>45191</v>
      </c>
      <c r="F604" s="8" t="str">
        <f ca="1">IFERROR(__xludf.DUMMYFUNCTION("""COMPUTED_VALUE"""),"Ottumwa High School")</f>
        <v>Ottumwa High School</v>
      </c>
      <c r="G604" s="8">
        <f ca="1">IFERROR(__xludf.DUMMYFUNCTION("""COMPUTED_VALUE"""),0)</f>
        <v>0</v>
      </c>
      <c r="H604" s="8">
        <f ca="1">IFERROR(__xludf.DUMMYFUNCTION("""COMPUTED_VALUE"""),0)</f>
        <v>0</v>
      </c>
      <c r="I604" s="8">
        <f ca="1">IFERROR(__xludf.DUMMYFUNCTION("""COMPUTED_VALUE"""),0)</f>
        <v>0</v>
      </c>
      <c r="J604" s="8">
        <f ca="1">IFERROR(__xludf.DUMMYFUNCTION("""COMPUTED_VALUE"""),0)</f>
        <v>0</v>
      </c>
      <c r="K604" s="10" t="str">
        <f ca="1">IFERROR(__xludf.DUMMYFUNCTION("""COMPUTED_VALUE"""),"https://www.kcrg.com/2023/09/25/ottumwa-police-end-homecoming-game-early-following-shots-fired-incident/
https://ottumwaradio.com/2023/09/opd-shots-fired-outside-of-schafer-stadium-during-football-game-remains-under-investigation/")</f>
        <v>https://www.kcrg.com/2023/09/25/ottumwa-police-end-homecoming-game-early-following-shots-fired-incident/
https://ottumwaradio.com/2023/09/opd-shots-fired-outside-of-schafer-stadium-during-football-game-remains-under-investigation/</v>
      </c>
      <c r="L604" s="8">
        <f ca="1">IFERROR(__xludf.DUMMYFUNCTION("""COMPUTED_VALUE"""),4)</f>
        <v>4</v>
      </c>
      <c r="M604" s="8" t="str">
        <f ca="1">IFERROR(__xludf.DUMMYFUNCTION("""COMPUTED_VALUE"""),"Local")</f>
        <v>Local</v>
      </c>
      <c r="N604" s="8">
        <f ca="1">IFERROR(__xludf.DUMMYFUNCTION("""COMPUTED_VALUE"""),4)</f>
        <v>4</v>
      </c>
      <c r="O604" s="8" t="str">
        <f ca="1">IFERROR(__xludf.DUMMYFUNCTION("""COMPUTED_VALUE"""),"Fall")</f>
        <v>Fall</v>
      </c>
      <c r="P604" s="8" t="str">
        <f ca="1">IFERROR(__xludf.DUMMYFUNCTION("""COMPUTED_VALUE"""),"Ottumwa")</f>
        <v>Ottumwa</v>
      </c>
      <c r="Q604" s="8" t="str">
        <f ca="1">IFERROR(__xludf.DUMMYFUNCTION("""COMPUTED_VALUE"""),"IA")</f>
        <v>IA</v>
      </c>
      <c r="R604" s="8" t="str">
        <f ca="1">IFERROR(__xludf.DUMMYFUNCTION("""COMPUTED_VALUE"""),"High")</f>
        <v>High</v>
      </c>
      <c r="S604" s="8" t="str">
        <f ca="1">IFERROR(__xludf.DUMMYFUNCTION("""COMPUTED_VALUE"""),"Parking Lot")</f>
        <v>Parking Lot</v>
      </c>
      <c r="T604" s="8" t="str">
        <f ca="1">IFERROR(__xludf.DUMMYFUNCTION("""COMPUTED_VALUE"""),"Outside on School Property")</f>
        <v>Outside on School Property</v>
      </c>
      <c r="U604" s="8" t="str">
        <f ca="1">IFERROR(__xludf.DUMMYFUNCTION("""COMPUTED_VALUE"""),"No")</f>
        <v>No</v>
      </c>
      <c r="V604" s="8" t="str">
        <f ca="1">IFERROR(__xludf.DUMMYFUNCTION("""COMPUTED_VALUE"""),"Sport Event")</f>
        <v>Sport Event</v>
      </c>
      <c r="W604" s="11">
        <f ca="1">IFERROR(__xludf.DUMMYFUNCTION("""COMPUTED_VALUE"""),0.833333333333333)</f>
        <v>0.83333333333333304</v>
      </c>
      <c r="X604" s="8">
        <f ca="1">IFERROR(__xludf.DUMMYFUNCTION("""COMPUTED_VALUE"""),1)</f>
        <v>1</v>
      </c>
      <c r="Y604" s="12" t="str">
        <f ca="1">IFERROR(__xludf.DUMMYFUNCTION("""COMPUTED_VALUE"""),"Shots fired in parking lot during half time, game cancelled")</f>
        <v>Shots fired in parking lot during half time, game cancelled</v>
      </c>
      <c r="Z604" s="12" t="str">
        <f ca="1">IFERROR(__xludf.DUMMYFUNCTION("""COMPUTED_VALUE"""),"Shots were reportedly fired during halftime of Ottumwa’s game versus Marshalltown and out of an abundance of caution, the police department and the Ottumwa Community School District made the decision to halt the game which ended in a 44-7 victory for Mars"&amp;"halltown.")</f>
        <v>Shots were reportedly fired during halftime of Ottumwa’s game versus Marshalltown and out of an abundance of caution, the police department and the Ottumwa Community School District made the decision to halt the game which ended in a 44-7 victory for Marshalltown.</v>
      </c>
      <c r="AA604" s="8"/>
      <c r="AB604" s="8"/>
      <c r="AC604" s="8" t="str">
        <f ca="1">IFERROR(__xludf.DUMMYFUNCTION("""COMPUTED_VALUE"""),"Yes")</f>
        <v>Yes</v>
      </c>
      <c r="AD604" s="8"/>
      <c r="AE604" s="8" t="str">
        <f ca="1">IFERROR(__xludf.DUMMYFUNCTION("""COMPUTED_VALUE"""),"No")</f>
        <v>No</v>
      </c>
      <c r="AF604" s="8"/>
      <c r="AG604" s="8" t="str">
        <f ca="1">IFERROR(__xludf.DUMMYFUNCTION("""COMPUTED_VALUE"""),"No")</f>
        <v>No</v>
      </c>
      <c r="AH604" s="8" t="str">
        <f ca="1">IFERROR(__xludf.DUMMYFUNCTION("""COMPUTED_VALUE"""),"No")</f>
        <v>No</v>
      </c>
      <c r="AI604" s="8" t="str">
        <f ca="1">IFERROR(__xludf.DUMMYFUNCTION("""COMPUTED_VALUE"""),"No")</f>
        <v>No</v>
      </c>
      <c r="AJ604" s="8" t="str">
        <f ca="1">IFERROR(__xludf.DUMMYFUNCTION("""COMPUTED_VALUE"""),"No")</f>
        <v>No</v>
      </c>
      <c r="AK604" s="8" t="str">
        <f ca="1">IFERROR(__xludf.DUMMYFUNCTION("""COMPUTED_VALUE"""),"No")</f>
        <v>No</v>
      </c>
      <c r="AL604" s="8"/>
      <c r="AM604" s="8" t="str">
        <f ca="1">IFERROR(__xludf.DUMMYFUNCTION("""COMPUTED_VALUE"""),"No")</f>
        <v>No</v>
      </c>
      <c r="AN604" s="8" t="str">
        <f ca="1">IFERROR(__xludf.DUMMYFUNCTION("""COMPUTED_VALUE"""),"Outside")</f>
        <v>Outside</v>
      </c>
      <c r="AO604" s="8" t="str">
        <f ca="1">IFERROR(__xludf.DUMMYFUNCTION("""COMPUTED_VALUE"""),"No")</f>
        <v>No</v>
      </c>
      <c r="AP604" s="8"/>
      <c r="AQ604" s="8"/>
      <c r="AR604" s="8" t="str">
        <f ca="1">IFERROR(__xludf.DUMMYFUNCTION("""COMPUTED_VALUE"""),"Outside/Off-Property")</f>
        <v>Outside/Off-Property</v>
      </c>
      <c r="AS604" s="8">
        <f ca="1">IFERROR(__xludf.DUMMYFUNCTION("""COMPUTED_VALUE"""),99)</f>
        <v>99</v>
      </c>
      <c r="AT604" s="8" t="str">
        <f ca="1">IFERROR(__xludf.DUMMYFUNCTION("""COMPUTED_VALUE"""),"No")</f>
        <v>No</v>
      </c>
      <c r="AU604" s="8">
        <f ca="1">IFERROR(__xludf.DUMMYFUNCTION("""COMPUTED_VALUE"""),41.015503)</f>
        <v>41.015503000000002</v>
      </c>
      <c r="AV604" s="8">
        <f ca="1">IFERROR(__xludf.DUMMYFUNCTION("""COMPUTED_VALUE"""),-92.405708)</f>
        <v>-92.405708000000004</v>
      </c>
      <c r="AW604" s="8"/>
      <c r="AX604" s="8">
        <f ca="1">IFERROR(__xludf.DUMMYFUNCTION("""COMPUTED_VALUE"""),52501)</f>
        <v>52501</v>
      </c>
    </row>
    <row r="605" spans="1:50" ht="105" x14ac:dyDescent="0.2">
      <c r="A605" s="8" t="str">
        <f ca="1">IFERROR(__xludf.DUMMYFUNCTION("""COMPUTED_VALUE"""),"20230922KYMAL")</f>
        <v>20230922KYMAL</v>
      </c>
      <c r="B605" s="8">
        <f ca="1">IFERROR(__xludf.DUMMYFUNCTION("""COMPUTED_VALUE"""),9)</f>
        <v>9</v>
      </c>
      <c r="C605" s="8">
        <f ca="1">IFERROR(__xludf.DUMMYFUNCTION("""COMPUTED_VALUE"""),22)</f>
        <v>22</v>
      </c>
      <c r="D605" s="8">
        <f ca="1">IFERROR(__xludf.DUMMYFUNCTION("""COMPUTED_VALUE"""),2023)</f>
        <v>2023</v>
      </c>
      <c r="E605" s="9">
        <f ca="1">IFERROR(__xludf.DUMMYFUNCTION("""COMPUTED_VALUE"""),45191)</f>
        <v>45191</v>
      </c>
      <c r="F605" s="8" t="str">
        <f ca="1">IFERROR(__xludf.DUMMYFUNCTION("""COMPUTED_VALUE"""),"Male High School")</f>
        <v>Male High School</v>
      </c>
      <c r="G605" s="8">
        <f ca="1">IFERROR(__xludf.DUMMYFUNCTION("""COMPUTED_VALUE"""),0)</f>
        <v>0</v>
      </c>
      <c r="H605" s="8">
        <f ca="1">IFERROR(__xludf.DUMMYFUNCTION("""COMPUTED_VALUE"""),0)</f>
        <v>0</v>
      </c>
      <c r="I605" s="8">
        <f ca="1">IFERROR(__xludf.DUMMYFUNCTION("""COMPUTED_VALUE"""),0)</f>
        <v>0</v>
      </c>
      <c r="J605" s="8">
        <f ca="1">IFERROR(__xludf.DUMMYFUNCTION("""COMPUTED_VALUE"""),0)</f>
        <v>0</v>
      </c>
      <c r="K605" s="10" t="str">
        <f ca="1">IFERROR(__xludf.DUMMYFUNCTION("""COMPUTED_VALUE"""),"https://www.wdrb.com/news/gunshots-fired-into-air-in-parking-lot-after-male-high-school-football-game-no-one/article_2fc52822-5b20-11ee-983d-a71662a894db.html")</f>
        <v>https://www.wdrb.com/news/gunshots-fired-into-air-in-parking-lot-after-male-high-school-football-game-no-one/article_2fc52822-5b20-11ee-983d-a71662a894db.html</v>
      </c>
      <c r="L605" s="8">
        <f ca="1">IFERROR(__xludf.DUMMYFUNCTION("""COMPUTED_VALUE"""),3)</f>
        <v>3</v>
      </c>
      <c r="M605" s="8" t="str">
        <f ca="1">IFERROR(__xludf.DUMMYFUNCTION("""COMPUTED_VALUE"""),"Local")</f>
        <v>Local</v>
      </c>
      <c r="N605" s="8">
        <f ca="1">IFERROR(__xludf.DUMMYFUNCTION("""COMPUTED_VALUE"""),4)</f>
        <v>4</v>
      </c>
      <c r="O605" s="8" t="str">
        <f ca="1">IFERROR(__xludf.DUMMYFUNCTION("""COMPUTED_VALUE"""),"Fall")</f>
        <v>Fall</v>
      </c>
      <c r="P605" s="8" t="str">
        <f ca="1">IFERROR(__xludf.DUMMYFUNCTION("""COMPUTED_VALUE"""),"Louisville")</f>
        <v>Louisville</v>
      </c>
      <c r="Q605" s="8" t="str">
        <f ca="1">IFERROR(__xludf.DUMMYFUNCTION("""COMPUTED_VALUE"""),"KY")</f>
        <v>KY</v>
      </c>
      <c r="R605" s="8" t="str">
        <f ca="1">IFERROR(__xludf.DUMMYFUNCTION("""COMPUTED_VALUE"""),"High")</f>
        <v>High</v>
      </c>
      <c r="S605" s="8" t="str">
        <f ca="1">IFERROR(__xludf.DUMMYFUNCTION("""COMPUTED_VALUE"""),"Parking Lot")</f>
        <v>Parking Lot</v>
      </c>
      <c r="T605" s="8" t="str">
        <f ca="1">IFERROR(__xludf.DUMMYFUNCTION("""COMPUTED_VALUE"""),"Outside on School Property")</f>
        <v>Outside on School Property</v>
      </c>
      <c r="U605" s="8" t="str">
        <f ca="1">IFERROR(__xludf.DUMMYFUNCTION("""COMPUTED_VALUE"""),"No")</f>
        <v>No</v>
      </c>
      <c r="V605" s="8" t="str">
        <f ca="1">IFERROR(__xludf.DUMMYFUNCTION("""COMPUTED_VALUE"""),"Sport Event")</f>
        <v>Sport Event</v>
      </c>
      <c r="W605" s="11">
        <f ca="1">IFERROR(__xludf.DUMMYFUNCTION("""COMPUTED_VALUE"""),0.895833333333333)</f>
        <v>0.89583333333333304</v>
      </c>
      <c r="X605" s="8">
        <f ca="1">IFERROR(__xludf.DUMMYFUNCTION("""COMPUTED_VALUE"""),1)</f>
        <v>1</v>
      </c>
      <c r="Y605" s="12" t="str">
        <f ca="1">IFERROR(__xludf.DUMMYFUNCTION("""COMPUTED_VALUE"""),"Shots fired in the school parking lot when football game ended.")</f>
        <v>Shots fired in the school parking lot when football game ended.</v>
      </c>
      <c r="Z605" s="12" t="str">
        <f ca="1">IFERROR(__xludf.DUMMYFUNCTION("""COMPUTED_VALUE"""),"Gunshots were fired into the air after the Male High School vs Pleasure Ridge Park football game on Friday night. According to a letter sent home to parents by principal Keith Cathey, the gunshots were heard in the Gheens parking lot as people were leavin"&amp;"g the game. No one was injured and it's yet to be determined if any Jefferson County Public Schools (JCPS) students were involved.")</f>
        <v>Gunshots were fired into the air after the Male High School vs Pleasure Ridge Park football game on Friday night. According to a letter sent home to parents by principal Keith Cathey, the gunshots were heard in the Gheens parking lot as people were leaving the game. No one was injured and it's yet to be determined if any Jefferson County Public Schools (JCPS) students were involved.</v>
      </c>
      <c r="AA605" s="8"/>
      <c r="AB605" s="8"/>
      <c r="AC605" s="8" t="str">
        <f ca="1">IFERROR(__xludf.DUMMYFUNCTION("""COMPUTED_VALUE"""),"Yes")</f>
        <v>Yes</v>
      </c>
      <c r="AD605" s="8" t="str">
        <f ca="1">IFERROR(__xludf.DUMMYFUNCTION("""COMPUTED_VALUE"""),"Neither")</f>
        <v>Neither</v>
      </c>
      <c r="AE605" s="8" t="str">
        <f ca="1">IFERROR(__xludf.DUMMYFUNCTION("""COMPUTED_VALUE"""),"No")</f>
        <v>No</v>
      </c>
      <c r="AF605" s="8"/>
      <c r="AG605" s="8" t="str">
        <f ca="1">IFERROR(__xludf.DUMMYFUNCTION("""COMPUTED_VALUE"""),"No")</f>
        <v>No</v>
      </c>
      <c r="AH605" s="8" t="str">
        <f ca="1">IFERROR(__xludf.DUMMYFUNCTION("""COMPUTED_VALUE"""),"No")</f>
        <v>No</v>
      </c>
      <c r="AI605" s="8" t="str">
        <f ca="1">IFERROR(__xludf.DUMMYFUNCTION("""COMPUTED_VALUE"""),"No")</f>
        <v>No</v>
      </c>
      <c r="AJ605" s="8" t="str">
        <f ca="1">IFERROR(__xludf.DUMMYFUNCTION("""COMPUTED_VALUE"""),"No")</f>
        <v>No</v>
      </c>
      <c r="AK605" s="8" t="str">
        <f ca="1">IFERROR(__xludf.DUMMYFUNCTION("""COMPUTED_VALUE"""),"No")</f>
        <v>No</v>
      </c>
      <c r="AL605" s="8" t="str">
        <f ca="1">IFERROR(__xludf.DUMMYFUNCTION("""COMPUTED_VALUE"""),"No")</f>
        <v>No</v>
      </c>
      <c r="AM605" s="8" t="str">
        <f ca="1">IFERROR(__xludf.DUMMYFUNCTION("""COMPUTED_VALUE"""),"No")</f>
        <v>No</v>
      </c>
      <c r="AN605" s="8" t="str">
        <f ca="1">IFERROR(__xludf.DUMMYFUNCTION("""COMPUTED_VALUE"""),"Outside")</f>
        <v>Outside</v>
      </c>
      <c r="AO605" s="8" t="str">
        <f ca="1">IFERROR(__xludf.DUMMYFUNCTION("""COMPUTED_VALUE"""),"No")</f>
        <v>No</v>
      </c>
      <c r="AP605" s="8"/>
      <c r="AQ605" s="8"/>
      <c r="AR605" s="8" t="str">
        <f ca="1">IFERROR(__xludf.DUMMYFUNCTION("""COMPUTED_VALUE"""),"Outside/Off-Property")</f>
        <v>Outside/Off-Property</v>
      </c>
      <c r="AS605" s="8">
        <f ca="1">IFERROR(__xludf.DUMMYFUNCTION("""COMPUTED_VALUE"""),99)</f>
        <v>99</v>
      </c>
      <c r="AT605" s="8" t="str">
        <f ca="1">IFERROR(__xludf.DUMMYFUNCTION("""COMPUTED_VALUE"""),"No")</f>
        <v>No</v>
      </c>
      <c r="AU605" s="8">
        <f ca="1">IFERROR(__xludf.DUMMYFUNCTION("""COMPUTED_VALUE"""),38.184302)</f>
        <v>38.184302000000002</v>
      </c>
      <c r="AV605" s="8">
        <f ca="1">IFERROR(__xludf.DUMMYFUNCTION("""COMPUTED_VALUE"""),-85.721643)</f>
        <v>-85.721643</v>
      </c>
      <c r="AW605" s="8"/>
      <c r="AX605" s="8">
        <f ca="1">IFERROR(__xludf.DUMMYFUNCTION("""COMPUTED_VALUE"""),40213)</f>
        <v>40213</v>
      </c>
    </row>
    <row r="606" spans="1:50" ht="120" x14ac:dyDescent="0.2">
      <c r="A606" s="8" t="str">
        <f ca="1">IFERROR(__xludf.DUMMYFUNCTION("""COMPUTED_VALUE"""),"20230922TNWEM")</f>
        <v>20230922TNWEM</v>
      </c>
      <c r="B606" s="8">
        <f ca="1">IFERROR(__xludf.DUMMYFUNCTION("""COMPUTED_VALUE"""),9)</f>
        <v>9</v>
      </c>
      <c r="C606" s="8">
        <f ca="1">IFERROR(__xludf.DUMMYFUNCTION("""COMPUTED_VALUE"""),22)</f>
        <v>22</v>
      </c>
      <c r="D606" s="8">
        <f ca="1">IFERROR(__xludf.DUMMYFUNCTION("""COMPUTED_VALUE"""),2023)</f>
        <v>2023</v>
      </c>
      <c r="E606" s="9">
        <f ca="1">IFERROR(__xludf.DUMMYFUNCTION("""COMPUTED_VALUE"""),45191)</f>
        <v>45191</v>
      </c>
      <c r="F606" s="8" t="str">
        <f ca="1">IFERROR(__xludf.DUMMYFUNCTION("""COMPUTED_VALUE"""),"Westwood Elementary School")</f>
        <v>Westwood Elementary School</v>
      </c>
      <c r="G606" s="8">
        <f ca="1">IFERROR(__xludf.DUMMYFUNCTION("""COMPUTED_VALUE"""),0)</f>
        <v>0</v>
      </c>
      <c r="H606" s="8">
        <f ca="1">IFERROR(__xludf.DUMMYFUNCTION("""COMPUTED_VALUE"""),1)</f>
        <v>1</v>
      </c>
      <c r="I606" s="8">
        <f ca="1">IFERROR(__xludf.DUMMYFUNCTION("""COMPUTED_VALUE"""),1)</f>
        <v>1</v>
      </c>
      <c r="J606" s="8">
        <f ca="1">IFERROR(__xludf.DUMMYFUNCTION("""COMPUTED_VALUE"""),0)</f>
        <v>0</v>
      </c>
      <c r="K606" s="8" t="str">
        <f ca="1">IFERROR(__xludf.DUMMYFUNCTION("""COMPUTED_VALUE"""),"https://www.wsmv.com/2023/09/24/13-year-old-shot-by-teen-front-elementary-school-manchester/
https://www.wsmv.com/2023/09/25/teen-shot-outside-manchester-elementary-school-playground/")</f>
        <v>https://www.wsmv.com/2023/09/24/13-year-old-shot-by-teen-front-elementary-school-manchester/
https://www.wsmv.com/2023/09/25/teen-shot-outside-manchester-elementary-school-playground/</v>
      </c>
      <c r="L606" s="8">
        <f ca="1">IFERROR(__xludf.DUMMYFUNCTION("""COMPUTED_VALUE"""),2)</f>
        <v>2</v>
      </c>
      <c r="M606" s="8" t="str">
        <f ca="1">IFERROR(__xludf.DUMMYFUNCTION("""COMPUTED_VALUE"""),"Local")</f>
        <v>Local</v>
      </c>
      <c r="N606" s="8">
        <f ca="1">IFERROR(__xludf.DUMMYFUNCTION("""COMPUTED_VALUE"""),4)</f>
        <v>4</v>
      </c>
      <c r="O606" s="8" t="str">
        <f ca="1">IFERROR(__xludf.DUMMYFUNCTION("""COMPUTED_VALUE"""),"Fall")</f>
        <v>Fall</v>
      </c>
      <c r="P606" s="8" t="str">
        <f ca="1">IFERROR(__xludf.DUMMYFUNCTION("""COMPUTED_VALUE"""),"Manchester")</f>
        <v>Manchester</v>
      </c>
      <c r="Q606" s="8" t="str">
        <f ca="1">IFERROR(__xludf.DUMMYFUNCTION("""COMPUTED_VALUE"""),"TN")</f>
        <v>TN</v>
      </c>
      <c r="R606" s="8" t="str">
        <f ca="1">IFERROR(__xludf.DUMMYFUNCTION("""COMPUTED_VALUE"""),"Elementary")</f>
        <v>Elementary</v>
      </c>
      <c r="S606" s="8" t="str">
        <f ca="1">IFERROR(__xludf.DUMMYFUNCTION("""COMPUTED_VALUE"""),"Playground")</f>
        <v>Playground</v>
      </c>
      <c r="T606" s="8" t="str">
        <f ca="1">IFERROR(__xludf.DUMMYFUNCTION("""COMPUTED_VALUE"""),"Outside on School Property")</f>
        <v>Outside on School Property</v>
      </c>
      <c r="U606" s="8" t="str">
        <f ca="1">IFERROR(__xludf.DUMMYFUNCTION("""COMPUTED_VALUE"""),"No")</f>
        <v>No</v>
      </c>
      <c r="V606" s="8" t="str">
        <f ca="1">IFERROR(__xludf.DUMMYFUNCTION("""COMPUTED_VALUE"""),"Night")</f>
        <v>Night</v>
      </c>
      <c r="W606" s="8"/>
      <c r="X606" s="8">
        <f ca="1">IFERROR(__xludf.DUMMYFUNCTION("""COMPUTED_VALUE"""),1)</f>
        <v>1</v>
      </c>
      <c r="Y606" s="12" t="str">
        <f ca="1">IFERROR(__xludf.DUMMYFUNCTION("""COMPUTED_VALUE"""),"13-year-old shot by 14-year-old in front of the school")</f>
        <v>13-year-old shot by 14-year-old in front of the school</v>
      </c>
      <c r="Z606" s="12" t="str">
        <f ca="1">IFERROR(__xludf.DUMMYFUNCTION("""COMPUTED_VALUE"""),"A 13-year-old was shot and another teen was detained after a shooting in front of an elementary school in Manchester on Friday night, according to District Attorney General Craig Northcott. Northcott said on Friday night the Manchester Police Department w"&amp;"as called to Westwood Elementary School. A 13-year-old was shot and flown to Vanderbilt. Northcott said the teen was in critical but stable condition. A 14-year-old was detained for the shooting")</f>
        <v>A 13-year-old was shot and another teen was detained after a shooting in front of an elementary school in Manchester on Friday night, according to District Attorney General Craig Northcott. Northcott said on Friday night the Manchester Police Department was called to Westwood Elementary School. A 13-year-old was shot and flown to Vanderbilt. Northcott said the teen was in critical but stable condition. A 14-year-old was detained for the shooting</v>
      </c>
      <c r="AA606" s="8"/>
      <c r="AB606" s="8"/>
      <c r="AC606" s="8" t="str">
        <f ca="1">IFERROR(__xludf.DUMMYFUNCTION("""COMPUTED_VALUE"""),"No")</f>
        <v>No</v>
      </c>
      <c r="AD606" s="8" t="str">
        <f ca="1">IFERROR(__xludf.DUMMYFUNCTION("""COMPUTED_VALUE"""),"Victims Targeted")</f>
        <v>Victims Targeted</v>
      </c>
      <c r="AE606" s="8" t="str">
        <f ca="1">IFERROR(__xludf.DUMMYFUNCTION("""COMPUTED_VALUE"""),"No")</f>
        <v>No</v>
      </c>
      <c r="AF606" s="8"/>
      <c r="AG606" s="8" t="str">
        <f ca="1">IFERROR(__xludf.DUMMYFUNCTION("""COMPUTED_VALUE"""),"No")</f>
        <v>No</v>
      </c>
      <c r="AH606" s="8" t="str">
        <f ca="1">IFERROR(__xludf.DUMMYFUNCTION("""COMPUTED_VALUE"""),"No")</f>
        <v>No</v>
      </c>
      <c r="AI606" s="8" t="str">
        <f ca="1">IFERROR(__xludf.DUMMYFUNCTION("""COMPUTED_VALUE"""),"No")</f>
        <v>No</v>
      </c>
      <c r="AJ606" s="8"/>
      <c r="AK606" s="8" t="str">
        <f ca="1">IFERROR(__xludf.DUMMYFUNCTION("""COMPUTED_VALUE"""),"No")</f>
        <v>No</v>
      </c>
      <c r="AL606" s="8"/>
      <c r="AM606" s="8" t="str">
        <f ca="1">IFERROR(__xludf.DUMMYFUNCTION("""COMPUTED_VALUE"""),"No")</f>
        <v>No</v>
      </c>
      <c r="AN606" s="8" t="str">
        <f ca="1">IFERROR(__xludf.DUMMYFUNCTION("""COMPUTED_VALUE"""),"Outside")</f>
        <v>Outside</v>
      </c>
      <c r="AO606" s="8" t="str">
        <f ca="1">IFERROR(__xludf.DUMMYFUNCTION("""COMPUTED_VALUE"""),"No")</f>
        <v>No</v>
      </c>
      <c r="AP606" s="8"/>
      <c r="AQ606" s="8"/>
      <c r="AR606" s="8" t="str">
        <f ca="1">IFERROR(__xludf.DUMMYFUNCTION("""COMPUTED_VALUE"""),"Outside/Off-Property")</f>
        <v>Outside/Off-Property</v>
      </c>
      <c r="AS606" s="8">
        <f ca="1">IFERROR(__xludf.DUMMYFUNCTION("""COMPUTED_VALUE"""),99)</f>
        <v>99</v>
      </c>
      <c r="AT606" s="8" t="str">
        <f ca="1">IFERROR(__xludf.DUMMYFUNCTION("""COMPUTED_VALUE"""),"No")</f>
        <v>No</v>
      </c>
      <c r="AU606" s="8">
        <f ca="1">IFERROR(__xludf.DUMMYFUNCTION("""COMPUTED_VALUE"""),35.471951)</f>
        <v>35.471950999999997</v>
      </c>
      <c r="AV606" s="8">
        <f ca="1">IFERROR(__xludf.DUMMYFUNCTION("""COMPUTED_VALUE"""),-86.094245)</f>
        <v>-86.094245000000001</v>
      </c>
      <c r="AW606" s="8"/>
      <c r="AX606" s="8">
        <f ca="1">IFERROR(__xludf.DUMMYFUNCTION("""COMPUTED_VALUE"""),37355)</f>
        <v>37355</v>
      </c>
    </row>
    <row r="607" spans="1:50" ht="60" x14ac:dyDescent="0.2">
      <c r="A607" s="8" t="str">
        <f ca="1">IFERROR(__xludf.DUMMYFUNCTION("""COMPUTED_VALUE"""),"20230922TNSWS")</f>
        <v>20230922TNSWS</v>
      </c>
      <c r="B607" s="8">
        <f ca="1">IFERROR(__xludf.DUMMYFUNCTION("""COMPUTED_VALUE"""),9)</f>
        <v>9</v>
      </c>
      <c r="C607" s="8">
        <f ca="1">IFERROR(__xludf.DUMMYFUNCTION("""COMPUTED_VALUE"""),22)</f>
        <v>22</v>
      </c>
      <c r="D607" s="8">
        <f ca="1">IFERROR(__xludf.DUMMYFUNCTION("""COMPUTED_VALUE"""),2023)</f>
        <v>2023</v>
      </c>
      <c r="E607" s="9">
        <f ca="1">IFERROR(__xludf.DUMMYFUNCTION("""COMPUTED_VALUE"""),45191)</f>
        <v>45191</v>
      </c>
      <c r="F607" s="8" t="str">
        <f ca="1">IFERROR(__xludf.DUMMYFUNCTION("""COMPUTED_VALUE"""),"Sweetwater High School")</f>
        <v>Sweetwater High School</v>
      </c>
      <c r="G607" s="8">
        <f ca="1">IFERROR(__xludf.DUMMYFUNCTION("""COMPUTED_VALUE"""),0)</f>
        <v>0</v>
      </c>
      <c r="H607" s="8">
        <f ca="1">IFERROR(__xludf.DUMMYFUNCTION("""COMPUTED_VALUE"""),0)</f>
        <v>0</v>
      </c>
      <c r="I607" s="8">
        <f ca="1">IFERROR(__xludf.DUMMYFUNCTION("""COMPUTED_VALUE"""),0)</f>
        <v>0</v>
      </c>
      <c r="J607" s="8">
        <f ca="1">IFERROR(__xludf.DUMMYFUNCTION("""COMPUTED_VALUE"""),0)</f>
        <v>0</v>
      </c>
      <c r="K607" s="10" t="str">
        <f ca="1">IFERROR(__xludf.DUMMYFUNCTION("""COMPUTED_VALUE"""),"https://newschannel9.com/news/local/gunshots-heard-outside-finley-stadium-during-high-school-football-game")</f>
        <v>https://newschannel9.com/news/local/gunshots-heard-outside-finley-stadium-during-high-school-football-game</v>
      </c>
      <c r="L607" s="8">
        <f ca="1">IFERROR(__xludf.DUMMYFUNCTION("""COMPUTED_VALUE"""),1)</f>
        <v>1</v>
      </c>
      <c r="M607" s="8" t="str">
        <f ca="1">IFERROR(__xludf.DUMMYFUNCTION("""COMPUTED_VALUE"""),"Local")</f>
        <v>Local</v>
      </c>
      <c r="N607" s="8">
        <f ca="1">IFERROR(__xludf.DUMMYFUNCTION("""COMPUTED_VALUE"""),4)</f>
        <v>4</v>
      </c>
      <c r="O607" s="8" t="str">
        <f ca="1">IFERROR(__xludf.DUMMYFUNCTION("""COMPUTED_VALUE"""),"Fall")</f>
        <v>Fall</v>
      </c>
      <c r="P607" s="8" t="str">
        <f ca="1">IFERROR(__xludf.DUMMYFUNCTION("""COMPUTED_VALUE"""),"Sweetwater")</f>
        <v>Sweetwater</v>
      </c>
      <c r="Q607" s="8" t="str">
        <f ca="1">IFERROR(__xludf.DUMMYFUNCTION("""COMPUTED_VALUE"""),"TN")</f>
        <v>TN</v>
      </c>
      <c r="R607" s="8" t="str">
        <f ca="1">IFERROR(__xludf.DUMMYFUNCTION("""COMPUTED_VALUE"""),"High")</f>
        <v>High</v>
      </c>
      <c r="S607" s="8" t="str">
        <f ca="1">IFERROR(__xludf.DUMMYFUNCTION("""COMPUTED_VALUE"""),"Football Field/Track")</f>
        <v>Football Field/Track</v>
      </c>
      <c r="T607" s="8" t="str">
        <f ca="1">IFERROR(__xludf.DUMMYFUNCTION("""COMPUTED_VALUE"""),"Outside on School Property")</f>
        <v>Outside on School Property</v>
      </c>
      <c r="U607" s="8" t="str">
        <f ca="1">IFERROR(__xludf.DUMMYFUNCTION("""COMPUTED_VALUE"""),"No")</f>
        <v>No</v>
      </c>
      <c r="V607" s="8" t="str">
        <f ca="1">IFERROR(__xludf.DUMMYFUNCTION("""COMPUTED_VALUE"""),"Sport Event")</f>
        <v>Sport Event</v>
      </c>
      <c r="W607" s="11">
        <f ca="1">IFERROR(__xludf.DUMMYFUNCTION("""COMPUTED_VALUE"""),0.875)</f>
        <v>0.875</v>
      </c>
      <c r="X607" s="8">
        <f ca="1">IFERROR(__xludf.DUMMYFUNCTION("""COMPUTED_VALUE"""),1)</f>
        <v>1</v>
      </c>
      <c r="Y607" s="12" t="str">
        <f ca="1">IFERROR(__xludf.DUMMYFUNCTION("""COMPUTED_VALUE"""),"2 shots fired during high school football game")</f>
        <v>2 shots fired during high school football game</v>
      </c>
      <c r="Z607" s="12" t="str">
        <f ca="1">IFERROR(__xludf.DUMMYFUNCTION("""COMPUTED_VALUE"""),"Two shots fired during high school football game. Witnesses saw three teens run from the area. Players went back to the locker rooms for 15 minutes while police investigated and then the game resumed.")</f>
        <v>Two shots fired during high school football game. Witnesses saw three teens run from the area. Players went back to the locker rooms for 15 minutes while police investigated and then the game resumed.</v>
      </c>
      <c r="AA607" s="8"/>
      <c r="AB607" s="8"/>
      <c r="AC607" s="8" t="str">
        <f ca="1">IFERROR(__xludf.DUMMYFUNCTION("""COMPUTED_VALUE"""),"Yes")</f>
        <v>Yes</v>
      </c>
      <c r="AD607" s="8"/>
      <c r="AE607" s="8" t="str">
        <f ca="1">IFERROR(__xludf.DUMMYFUNCTION("""COMPUTED_VALUE"""),"Yes")</f>
        <v>Yes</v>
      </c>
      <c r="AF607" s="8" t="str">
        <f ca="1">IFERROR(__xludf.DUMMYFUNCTION("""COMPUTED_VALUE"""),"3 teens ran")</f>
        <v>3 teens ran</v>
      </c>
      <c r="AG607" s="8" t="str">
        <f ca="1">IFERROR(__xludf.DUMMYFUNCTION("""COMPUTED_VALUE"""),"No")</f>
        <v>No</v>
      </c>
      <c r="AH607" s="8" t="str">
        <f ca="1">IFERROR(__xludf.DUMMYFUNCTION("""COMPUTED_VALUE"""),"No")</f>
        <v>No</v>
      </c>
      <c r="AI607" s="8" t="str">
        <f ca="1">IFERROR(__xludf.DUMMYFUNCTION("""COMPUTED_VALUE"""),"No")</f>
        <v>No</v>
      </c>
      <c r="AJ607" s="8"/>
      <c r="AK607" s="8" t="str">
        <f ca="1">IFERROR(__xludf.DUMMYFUNCTION("""COMPUTED_VALUE"""),"No")</f>
        <v>No</v>
      </c>
      <c r="AL607" s="8"/>
      <c r="AM607" s="8" t="str">
        <f ca="1">IFERROR(__xludf.DUMMYFUNCTION("""COMPUTED_VALUE"""),"No")</f>
        <v>No</v>
      </c>
      <c r="AN607" s="8" t="str">
        <f ca="1">IFERROR(__xludf.DUMMYFUNCTION("""COMPUTED_VALUE"""),"Outside")</f>
        <v>Outside</v>
      </c>
      <c r="AO607" s="8" t="str">
        <f ca="1">IFERROR(__xludf.DUMMYFUNCTION("""COMPUTED_VALUE"""),"No")</f>
        <v>No</v>
      </c>
      <c r="AP607" s="8"/>
      <c r="AQ607" s="8"/>
      <c r="AR607" s="8" t="str">
        <f ca="1">IFERROR(__xludf.DUMMYFUNCTION("""COMPUTED_VALUE"""),"Outside/Off-Property")</f>
        <v>Outside/Off-Property</v>
      </c>
      <c r="AS607" s="8">
        <f ca="1">IFERROR(__xludf.DUMMYFUNCTION("""COMPUTED_VALUE"""),2)</f>
        <v>2</v>
      </c>
      <c r="AT607" s="8" t="str">
        <f ca="1">IFERROR(__xludf.DUMMYFUNCTION("""COMPUTED_VALUE"""),"No")</f>
        <v>No</v>
      </c>
      <c r="AU607" s="8">
        <f ca="1">IFERROR(__xludf.DUMMYFUNCTION("""COMPUTED_VALUE"""),35.597647)</f>
        <v>35.597647000000002</v>
      </c>
      <c r="AV607" s="8">
        <f ca="1">IFERROR(__xludf.DUMMYFUNCTION("""COMPUTED_VALUE"""),-84.469927)</f>
        <v>-84.469926999999998</v>
      </c>
      <c r="AW607" s="8"/>
      <c r="AX607" s="8">
        <f ca="1">IFERROR(__xludf.DUMMYFUNCTION("""COMPUTED_VALUE"""),37874)</f>
        <v>37874</v>
      </c>
    </row>
    <row r="608" spans="1:50" ht="255" x14ac:dyDescent="0.2">
      <c r="A608" s="8" t="str">
        <f ca="1">IFERROR(__xludf.DUMMYFUNCTION("""COMPUTED_VALUE"""),"20230922WIMIM")</f>
        <v>20230922WIMIM</v>
      </c>
      <c r="B608" s="8">
        <f ca="1">IFERROR(__xludf.DUMMYFUNCTION("""COMPUTED_VALUE"""),9)</f>
        <v>9</v>
      </c>
      <c r="C608" s="8">
        <f ca="1">IFERROR(__xludf.DUMMYFUNCTION("""COMPUTED_VALUE"""),22)</f>
        <v>22</v>
      </c>
      <c r="D608" s="8">
        <f ca="1">IFERROR(__xludf.DUMMYFUNCTION("""COMPUTED_VALUE"""),2023)</f>
        <v>2023</v>
      </c>
      <c r="E608" s="9">
        <f ca="1">IFERROR(__xludf.DUMMYFUNCTION("""COMPUTED_VALUE"""),45191)</f>
        <v>45191</v>
      </c>
      <c r="F608" s="8" t="str">
        <f ca="1">IFERROR(__xludf.DUMMYFUNCTION("""COMPUTED_VALUE"""),"Milwaukee Lutheran High School")</f>
        <v>Milwaukee Lutheran High School</v>
      </c>
      <c r="G608" s="8">
        <f ca="1">IFERROR(__xludf.DUMMYFUNCTION("""COMPUTED_VALUE"""),0)</f>
        <v>0</v>
      </c>
      <c r="H608" s="8">
        <f ca="1">IFERROR(__xludf.DUMMYFUNCTION("""COMPUTED_VALUE"""),0)</f>
        <v>0</v>
      </c>
      <c r="I608" s="8">
        <f ca="1">IFERROR(__xludf.DUMMYFUNCTION("""COMPUTED_VALUE"""),0)</f>
        <v>0</v>
      </c>
      <c r="J608" s="8">
        <f ca="1">IFERROR(__xludf.DUMMYFUNCTION("""COMPUTED_VALUE"""),0)</f>
        <v>0</v>
      </c>
      <c r="K608" s="10" t="str">
        <f ca="1">IFERROR(__xludf.DUMMYFUNCTION("""COMPUTED_VALUE"""),"https://wtmj.com/breaking-news/2023/09/23/breaking-shots-fired-near-milwaukee-high-school-football-game/")</f>
        <v>https://wtmj.com/breaking-news/2023/09/23/breaking-shots-fired-near-milwaukee-high-school-football-game/</v>
      </c>
      <c r="L608" s="8">
        <f ca="1">IFERROR(__xludf.DUMMYFUNCTION("""COMPUTED_VALUE"""),5)</f>
        <v>5</v>
      </c>
      <c r="M608" s="8" t="str">
        <f ca="1">IFERROR(__xludf.DUMMYFUNCTION("""COMPUTED_VALUE"""),"Local")</f>
        <v>Local</v>
      </c>
      <c r="N608" s="8">
        <f ca="1">IFERROR(__xludf.DUMMYFUNCTION("""COMPUTED_VALUE"""),4)</f>
        <v>4</v>
      </c>
      <c r="O608" s="8" t="str">
        <f ca="1">IFERROR(__xludf.DUMMYFUNCTION("""COMPUTED_VALUE"""),"Fall")</f>
        <v>Fall</v>
      </c>
      <c r="P608" s="8" t="str">
        <f ca="1">IFERROR(__xludf.DUMMYFUNCTION("""COMPUTED_VALUE"""),"Milwaukee")</f>
        <v>Milwaukee</v>
      </c>
      <c r="Q608" s="8" t="str">
        <f ca="1">IFERROR(__xludf.DUMMYFUNCTION("""COMPUTED_VALUE"""),"WI")</f>
        <v>WI</v>
      </c>
      <c r="R608" s="8" t="str">
        <f ca="1">IFERROR(__xludf.DUMMYFUNCTION("""COMPUTED_VALUE"""),"High")</f>
        <v>High</v>
      </c>
      <c r="S608" s="8" t="str">
        <f ca="1">IFERROR(__xludf.DUMMYFUNCTION("""COMPUTED_VALUE"""),"Football Field/Track")</f>
        <v>Football Field/Track</v>
      </c>
      <c r="T608" s="8" t="str">
        <f ca="1">IFERROR(__xludf.DUMMYFUNCTION("""COMPUTED_VALUE"""),"Outside on School Property")</f>
        <v>Outside on School Property</v>
      </c>
      <c r="U608" s="8" t="str">
        <f ca="1">IFERROR(__xludf.DUMMYFUNCTION("""COMPUTED_VALUE"""),"No")</f>
        <v>No</v>
      </c>
      <c r="V608" s="8" t="str">
        <f ca="1">IFERROR(__xludf.DUMMYFUNCTION("""COMPUTED_VALUE"""),"Sport Event")</f>
        <v>Sport Event</v>
      </c>
      <c r="W608" s="11">
        <f ca="1">IFERROR(__xludf.DUMMYFUNCTION("""COMPUTED_VALUE"""),0.888888888888888)</f>
        <v>0.88888888888888795</v>
      </c>
      <c r="X608" s="8">
        <f ca="1">IFERROR(__xludf.DUMMYFUNCTION("""COMPUTED_VALUE"""),1)</f>
        <v>1</v>
      </c>
      <c r="Y608" s="12" t="str">
        <f ca="1">IFERROR(__xludf.DUMMYFUNCTION("""COMPUTED_VALUE"""),"13 shots fired during high school football game")</f>
        <v>13 shots fired during high school football game</v>
      </c>
      <c r="Z608" s="12" t="str">
        <f ca="1">IFERROR(__xludf.DUMMYFUNCTION("""COMPUTED_VALUE"""),"Police report there were no injuries. No one is in custody connected to the shooting and an investigation is ongoing. Pius XI Communications Director Kristin Bendlin released the following statement: Late yesterday evening, September 22, at the Pius XI fo"&amp;"otball game at Milwaukee Lutheran High School an active shooter incident occurred that required the involvement of local law enforcement. Pius XI leaders have spoken with leaders at Milwaukee Lutheran High School and are working closely with the City of M"&amp;"ilwaukee Police Department. All Pius XI football players and coaches are safe and with their families. We are still learning additional details of the situation, but are hopeful that all fans are safe and well. We are deeply thankful for the rapid respons"&amp;"e of our law enforcement officers. The safety, security, and well-being of all Pius XI students and staff is of the utmost importance to us and we are working to provide mental health support for our students.")</f>
        <v>Police report there were no injuries. No one is in custody connected to the shooting and an investigation is ongoing. Pius XI Communications Director Kristin Bendlin released the following statement: Late yesterday evening, September 22, at the Pius XI football game at Milwaukee Lutheran High School an active shooter incident occurred that required the involvement of local law enforcement. Pius XI leaders have spoken with leaders at Milwaukee Lutheran High School and are working closely with the City of Milwaukee Police Department. All Pius XI football players and coaches are safe and with their families. We are still learning additional details of the situation, but are hopeful that all fans are safe and well. We are deeply thankful for the rapid response of our law enforcement officers. The safety, security, and well-being of all Pius XI students and staff is of the utmost importance to us and we are working to provide mental health support for our students.</v>
      </c>
      <c r="AA608" s="8"/>
      <c r="AB608" s="8"/>
      <c r="AC608" s="8" t="str">
        <f ca="1">IFERROR(__xludf.DUMMYFUNCTION("""COMPUTED_VALUE"""),"Yes")</f>
        <v>Yes</v>
      </c>
      <c r="AD608" s="8" t="str">
        <f ca="1">IFERROR(__xludf.DUMMYFUNCTION("""COMPUTED_VALUE"""),"Both")</f>
        <v>Both</v>
      </c>
      <c r="AE608" s="8" t="str">
        <f ca="1">IFERROR(__xludf.DUMMYFUNCTION("""COMPUTED_VALUE"""),"No")</f>
        <v>No</v>
      </c>
      <c r="AF608" s="8"/>
      <c r="AG608" s="8" t="str">
        <f ca="1">IFERROR(__xludf.DUMMYFUNCTION("""COMPUTED_VALUE"""),"No")</f>
        <v>No</v>
      </c>
      <c r="AH608" s="8" t="str">
        <f ca="1">IFERROR(__xludf.DUMMYFUNCTION("""COMPUTED_VALUE"""),"No")</f>
        <v>No</v>
      </c>
      <c r="AI608" s="8" t="str">
        <f ca="1">IFERROR(__xludf.DUMMYFUNCTION("""COMPUTED_VALUE"""),"No")</f>
        <v>No</v>
      </c>
      <c r="AJ608" s="8"/>
      <c r="AK608" s="8"/>
      <c r="AL608" s="8"/>
      <c r="AM608" s="8" t="str">
        <f ca="1">IFERROR(__xludf.DUMMYFUNCTION("""COMPUTED_VALUE"""),"No")</f>
        <v>No</v>
      </c>
      <c r="AN608" s="8" t="str">
        <f ca="1">IFERROR(__xludf.DUMMYFUNCTION("""COMPUTED_VALUE"""),"Outside")</f>
        <v>Outside</v>
      </c>
      <c r="AO608" s="8"/>
      <c r="AP608" s="8" t="str">
        <f ca="1">IFERROR(__xludf.DUMMYFUNCTION("""COMPUTED_VALUE"""),"Yes")</f>
        <v>Yes</v>
      </c>
      <c r="AQ608" s="8" t="str">
        <f ca="1">IFERROR(__xludf.DUMMYFUNCTION("""COMPUTED_VALUE"""),"Armed Guards")</f>
        <v>Armed Guards</v>
      </c>
      <c r="AR608" s="8" t="str">
        <f ca="1">IFERROR(__xludf.DUMMYFUNCTION("""COMPUTED_VALUE"""),"Failed")</f>
        <v>Failed</v>
      </c>
      <c r="AS608" s="8">
        <f ca="1">IFERROR(__xludf.DUMMYFUNCTION("""COMPUTED_VALUE"""),13)</f>
        <v>13</v>
      </c>
      <c r="AT608" s="8" t="str">
        <f ca="1">IFERROR(__xludf.DUMMYFUNCTION("""COMPUTED_VALUE"""),"No")</f>
        <v>No</v>
      </c>
      <c r="AU608" s="8">
        <f ca="1">IFERROR(__xludf.DUMMYFUNCTION("""COMPUTED_VALUE"""),43.096217)</f>
        <v>43.096217000000003</v>
      </c>
      <c r="AV608" s="8">
        <f ca="1">IFERROR(__xludf.DUMMYFUNCTION("""COMPUTED_VALUE"""),-88.032836)</f>
        <v>-88.032836000000003</v>
      </c>
      <c r="AW608" s="8"/>
      <c r="AX608" s="8">
        <f ca="1">IFERROR(__xludf.DUMMYFUNCTION("""COMPUTED_VALUE"""),53222)</f>
        <v>53222</v>
      </c>
    </row>
    <row r="609" spans="1:50" ht="60" x14ac:dyDescent="0.2">
      <c r="A609" s="8" t="str">
        <f ca="1">IFERROR(__xludf.DUMMYFUNCTION("""COMPUTED_VALUE"""),"20230920ILVOC")</f>
        <v>20230920ILVOC</v>
      </c>
      <c r="B609" s="8">
        <f ca="1">IFERROR(__xludf.DUMMYFUNCTION("""COMPUTED_VALUE"""),9)</f>
        <v>9</v>
      </c>
      <c r="C609" s="8">
        <f ca="1">IFERROR(__xludf.DUMMYFUNCTION("""COMPUTED_VALUE"""),20)</f>
        <v>20</v>
      </c>
      <c r="D609" s="8">
        <f ca="1">IFERROR(__xludf.DUMMYFUNCTION("""COMPUTED_VALUE"""),2023)</f>
        <v>2023</v>
      </c>
      <c r="E609" s="9">
        <f ca="1">IFERROR(__xludf.DUMMYFUNCTION("""COMPUTED_VALUE"""),45189)</f>
        <v>45189</v>
      </c>
      <c r="F609" s="8" t="str">
        <f ca="1">IFERROR(__xludf.DUMMYFUNCTION("""COMPUTED_VALUE"""),"Volta Elementary School")</f>
        <v>Volta Elementary School</v>
      </c>
      <c r="G609" s="8">
        <f ca="1">IFERROR(__xludf.DUMMYFUNCTION("""COMPUTED_VALUE"""),0)</f>
        <v>0</v>
      </c>
      <c r="H609" s="8">
        <f ca="1">IFERROR(__xludf.DUMMYFUNCTION("""COMPUTED_VALUE"""),1)</f>
        <v>1</v>
      </c>
      <c r="I609" s="8">
        <f ca="1">IFERROR(__xludf.DUMMYFUNCTION("""COMPUTED_VALUE"""),1)</f>
        <v>1</v>
      </c>
      <c r="J609" s="8">
        <f ca="1">IFERROR(__xludf.DUMMYFUNCTION("""COMPUTED_VALUE"""),0)</f>
        <v>0</v>
      </c>
      <c r="K609" s="10" t="str">
        <f ca="1">IFERROR(__xludf.DUMMYFUNCTION("""COMPUTED_VALUE"""),"https://abc7chicago.com/chicago-shooting-albany-park-boy-shot-crime-crimes-volta-elementary-school-police-news/13808290/")</f>
        <v>https://abc7chicago.com/chicago-shooting-albany-park-boy-shot-crime-crimes-volta-elementary-school-police-news/13808290/</v>
      </c>
      <c r="L609" s="8">
        <f ca="1">IFERROR(__xludf.DUMMYFUNCTION("""COMPUTED_VALUE"""),2)</f>
        <v>2</v>
      </c>
      <c r="M609" s="8" t="str">
        <f ca="1">IFERROR(__xludf.DUMMYFUNCTION("""COMPUTED_VALUE"""),"Local")</f>
        <v>Local</v>
      </c>
      <c r="N609" s="8">
        <f ca="1">IFERROR(__xludf.DUMMYFUNCTION("""COMPUTED_VALUE"""),4)</f>
        <v>4</v>
      </c>
      <c r="O609" s="8" t="str">
        <f ca="1">IFERROR(__xludf.DUMMYFUNCTION("""COMPUTED_VALUE"""),"Fall")</f>
        <v>Fall</v>
      </c>
      <c r="P609" s="8" t="str">
        <f ca="1">IFERROR(__xludf.DUMMYFUNCTION("""COMPUTED_VALUE"""),"Chicago")</f>
        <v>Chicago</v>
      </c>
      <c r="Q609" s="8" t="str">
        <f ca="1">IFERROR(__xludf.DUMMYFUNCTION("""COMPUTED_VALUE"""),"IL")</f>
        <v>IL</v>
      </c>
      <c r="R609" s="8" t="str">
        <f ca="1">IFERROR(__xludf.DUMMYFUNCTION("""COMPUTED_VALUE"""),"Elementary")</f>
        <v>Elementary</v>
      </c>
      <c r="S609" s="8" t="str">
        <f ca="1">IFERROR(__xludf.DUMMYFUNCTION("""COMPUTED_VALUE"""),"Beside Building")</f>
        <v>Beside Building</v>
      </c>
      <c r="T609" s="8" t="str">
        <f ca="1">IFERROR(__xludf.DUMMYFUNCTION("""COMPUTED_VALUE"""),"Outside on School Property")</f>
        <v>Outside on School Property</v>
      </c>
      <c r="U609" s="8" t="str">
        <f ca="1">IFERROR(__xludf.DUMMYFUNCTION("""COMPUTED_VALUE"""),"No")</f>
        <v>No</v>
      </c>
      <c r="V609" s="8" t="str">
        <f ca="1">IFERROR(__xludf.DUMMYFUNCTION("""COMPUTED_VALUE"""),"Night")</f>
        <v>Night</v>
      </c>
      <c r="W609" s="11">
        <f ca="1">IFERROR(__xludf.DUMMYFUNCTION("""COMPUTED_VALUE"""),0.890972222222222)</f>
        <v>0.89097222222222205</v>
      </c>
      <c r="X609" s="8">
        <f ca="1">IFERROR(__xludf.DUMMYFUNCTION("""COMPUTED_VALUE"""),1)</f>
        <v>1</v>
      </c>
      <c r="Y609" s="12" t="str">
        <f ca="1">IFERROR(__xludf.DUMMYFUNCTION("""COMPUTED_VALUE"""),"Teen shot beside school building")</f>
        <v>Teen shot beside school building</v>
      </c>
      <c r="Z609" s="12" t="str">
        <f ca="1">IFERROR(__xludf.DUMMYFUNCTION("""COMPUTED_VALUE"""),"A 15-year-old was shot outside Volta Elementary School (IL) at 9pm last night. He heard a gunshot and felt a sharp pain. He did not see the shooter. Police do not have any suspects.")</f>
        <v>A 15-year-old was shot outside Volta Elementary School (IL) at 9pm last night. He heard a gunshot and felt a sharp pain. He did not see the shooter. Police do not have any suspects.</v>
      </c>
      <c r="AA609" s="8"/>
      <c r="AB609" s="8"/>
      <c r="AC609" s="8" t="str">
        <f ca="1">IFERROR(__xludf.DUMMYFUNCTION("""COMPUTED_VALUE"""),"No")</f>
        <v>No</v>
      </c>
      <c r="AD609" s="8"/>
      <c r="AE609" s="8" t="str">
        <f ca="1">IFERROR(__xludf.DUMMYFUNCTION("""COMPUTED_VALUE"""),"No")</f>
        <v>No</v>
      </c>
      <c r="AF609" s="8"/>
      <c r="AG609" s="8" t="str">
        <f ca="1">IFERROR(__xludf.DUMMYFUNCTION("""COMPUTED_VALUE"""),"No")</f>
        <v>No</v>
      </c>
      <c r="AH609" s="8" t="str">
        <f ca="1">IFERROR(__xludf.DUMMYFUNCTION("""COMPUTED_VALUE"""),"No")</f>
        <v>No</v>
      </c>
      <c r="AI609" s="8" t="str">
        <f ca="1">IFERROR(__xludf.DUMMYFUNCTION("""COMPUTED_VALUE"""),"No")</f>
        <v>No</v>
      </c>
      <c r="AJ609" s="8" t="str">
        <f ca="1">IFERROR(__xludf.DUMMYFUNCTION("""COMPUTED_VALUE"""),"No")</f>
        <v>No</v>
      </c>
      <c r="AK609" s="8" t="str">
        <f ca="1">IFERROR(__xludf.DUMMYFUNCTION("""COMPUTED_VALUE"""),"No")</f>
        <v>No</v>
      </c>
      <c r="AL609" s="8"/>
      <c r="AM609" s="8" t="str">
        <f ca="1">IFERROR(__xludf.DUMMYFUNCTION("""COMPUTED_VALUE"""),"No")</f>
        <v>No</v>
      </c>
      <c r="AN609" s="8" t="str">
        <f ca="1">IFERROR(__xludf.DUMMYFUNCTION("""COMPUTED_VALUE"""),"Outside")</f>
        <v>Outside</v>
      </c>
      <c r="AO609" s="8" t="str">
        <f ca="1">IFERROR(__xludf.DUMMYFUNCTION("""COMPUTED_VALUE"""),"No")</f>
        <v>No</v>
      </c>
      <c r="AP609" s="8"/>
      <c r="AQ609" s="8"/>
      <c r="AR609" s="8" t="str">
        <f ca="1">IFERROR(__xludf.DUMMYFUNCTION("""COMPUTED_VALUE"""),"Outside/Off-Property")</f>
        <v>Outside/Off-Property</v>
      </c>
      <c r="AS609" s="8">
        <f ca="1">IFERROR(__xludf.DUMMYFUNCTION("""COMPUTED_VALUE"""),1)</f>
        <v>1</v>
      </c>
      <c r="AT609" s="8" t="str">
        <f ca="1">IFERROR(__xludf.DUMMYFUNCTION("""COMPUTED_VALUE"""),"No")</f>
        <v>No</v>
      </c>
      <c r="AU609" s="8">
        <f ca="1">IFERROR(__xludf.DUMMYFUNCTION("""COMPUTED_VALUE"""),41.971271)</f>
        <v>41.971271000000002</v>
      </c>
      <c r="AV609" s="8">
        <f ca="1">IFERROR(__xludf.DUMMYFUNCTION("""COMPUTED_VALUE"""),-87.725529)</f>
        <v>-87.725528999999995</v>
      </c>
      <c r="AW609" s="8"/>
      <c r="AX609" s="8">
        <f ca="1">IFERROR(__xludf.DUMMYFUNCTION("""COMPUTED_VALUE"""),60625)</f>
        <v>60625</v>
      </c>
    </row>
    <row r="610" spans="1:50" ht="120" x14ac:dyDescent="0.2">
      <c r="A610" s="8" t="str">
        <f ca="1">IFERROR(__xludf.DUMMYFUNCTION("""COMPUTED_VALUE"""),"20230919TXKEB")</f>
        <v>20230919TXKEB</v>
      </c>
      <c r="B610" s="8">
        <f ca="1">IFERROR(__xludf.DUMMYFUNCTION("""COMPUTED_VALUE"""),9)</f>
        <v>9</v>
      </c>
      <c r="C610" s="8">
        <f ca="1">IFERROR(__xludf.DUMMYFUNCTION("""COMPUTED_VALUE"""),19)</f>
        <v>19</v>
      </c>
      <c r="D610" s="8">
        <f ca="1">IFERROR(__xludf.DUMMYFUNCTION("""COMPUTED_VALUE"""),2023)</f>
        <v>2023</v>
      </c>
      <c r="E610" s="9">
        <f ca="1">IFERROR(__xludf.DUMMYFUNCTION("""COMPUTED_VALUE"""),45188)</f>
        <v>45188</v>
      </c>
      <c r="F610" s="8" t="str">
        <f ca="1">IFERROR(__xludf.DUMMYFUNCTION("""COMPUTED_VALUE"""),"Kendall Elementary School")</f>
        <v>Kendall Elementary School</v>
      </c>
      <c r="G610" s="8">
        <f ca="1">IFERROR(__xludf.DUMMYFUNCTION("""COMPUTED_VALUE"""),0)</f>
        <v>0</v>
      </c>
      <c r="H610" s="8">
        <f ca="1">IFERROR(__xludf.DUMMYFUNCTION("""COMPUTED_VALUE"""),1)</f>
        <v>1</v>
      </c>
      <c r="I610" s="8">
        <f ca="1">IFERROR(__xludf.DUMMYFUNCTION("""COMPUTED_VALUE"""),1)</f>
        <v>1</v>
      </c>
      <c r="J610" s="8">
        <f ca="1">IFERROR(__xludf.DUMMYFUNCTION("""COMPUTED_VALUE"""),0)</f>
        <v>0</v>
      </c>
      <c r="K610" s="10" t="str">
        <f ca="1">IFERROR(__xludf.DUMMYFUNCTION("""COMPUTED_VALUE"""),"https://foxsanantonio.com/newsletter-daily/fifth-grade-student-shot-with-bb-gun-on-school-playground-in-boerne-suspect-apprehended-recess-district-officials-precaution-police-investigation")</f>
        <v>https://foxsanantonio.com/newsletter-daily/fifth-grade-student-shot-with-bb-gun-on-school-playground-in-boerne-suspect-apprehended-recess-district-officials-precaution-police-investigation</v>
      </c>
      <c r="L610" s="8">
        <f ca="1">IFERROR(__xludf.DUMMYFUNCTION("""COMPUTED_VALUE"""),1)</f>
        <v>1</v>
      </c>
      <c r="M610" s="8" t="str">
        <f ca="1">IFERROR(__xludf.DUMMYFUNCTION("""COMPUTED_VALUE"""),"Local")</f>
        <v>Local</v>
      </c>
      <c r="N610" s="8">
        <f ca="1">IFERROR(__xludf.DUMMYFUNCTION("""COMPUTED_VALUE"""),4)</f>
        <v>4</v>
      </c>
      <c r="O610" s="8" t="str">
        <f ca="1">IFERROR(__xludf.DUMMYFUNCTION("""COMPUTED_VALUE"""),"Fall")</f>
        <v>Fall</v>
      </c>
      <c r="P610" s="8" t="str">
        <f ca="1">IFERROR(__xludf.DUMMYFUNCTION("""COMPUTED_VALUE"""),"Boerne")</f>
        <v>Boerne</v>
      </c>
      <c r="Q610" s="8" t="str">
        <f ca="1">IFERROR(__xludf.DUMMYFUNCTION("""COMPUTED_VALUE"""),"TX")</f>
        <v>TX</v>
      </c>
      <c r="R610" s="8" t="str">
        <f ca="1">IFERROR(__xludf.DUMMYFUNCTION("""COMPUTED_VALUE"""),"Elementary")</f>
        <v>Elementary</v>
      </c>
      <c r="S610" s="8" t="str">
        <f ca="1">IFERROR(__xludf.DUMMYFUNCTION("""COMPUTED_VALUE"""),"Playground")</f>
        <v>Playground</v>
      </c>
      <c r="T610" s="8" t="str">
        <f ca="1">IFERROR(__xludf.DUMMYFUNCTION("""COMPUTED_VALUE"""),"Outside on School Property")</f>
        <v>Outside on School Property</v>
      </c>
      <c r="U610" s="8" t="str">
        <f ca="1">IFERROR(__xludf.DUMMYFUNCTION("""COMPUTED_VALUE"""),"Yes")</f>
        <v>Yes</v>
      </c>
      <c r="V610" s="8" t="str">
        <f ca="1">IFERROR(__xludf.DUMMYFUNCTION("""COMPUTED_VALUE"""),"Afternoon Classes")</f>
        <v>Afternoon Classes</v>
      </c>
      <c r="W610" s="8"/>
      <c r="X610" s="8">
        <f ca="1">IFERROR(__xludf.DUMMYFUNCTION("""COMPUTED_VALUE"""),1)</f>
        <v>1</v>
      </c>
      <c r="Y610" s="12" t="str">
        <f ca="1">IFERROR(__xludf.DUMMYFUNCTION("""COMPUTED_VALUE"""),"Student shot with BB gun on playground, student shooter arrested")</f>
        <v>Student shot with BB gun on playground, student shooter arrested</v>
      </c>
      <c r="Z610" s="12" t="str">
        <f ca="1">IFERROR(__xludf.DUMMYFUNCTION("""COMPUTED_VALUE"""),"Authorities are investigating an incident where a fifth-grade student was shot with a BB gun while on the playground. District officials said that the student who was hit was not injured, and that all the students, who were out at recess, were brought bac"&amp;"k inside the school as a precaution. The suspect, an 11-year-old, was taken into custody along with the gun. Officials say the suspect is not a student of any school within Boerne ISD.")</f>
        <v>Authorities are investigating an incident where a fifth-grade student was shot with a BB gun while on the playground. District officials said that the student who was hit was not injured, and that all the students, who were out at recess, were brought back inside the school as a precaution. The suspect, an 11-year-old, was taken into custody along with the gun. Officials say the suspect is not a student of any school within Boerne ISD.</v>
      </c>
      <c r="AA610" s="8"/>
      <c r="AB610" s="8"/>
      <c r="AC610" s="8" t="str">
        <f ca="1">IFERROR(__xludf.DUMMYFUNCTION("""COMPUTED_VALUE"""),"Yes")</f>
        <v>Yes</v>
      </c>
      <c r="AD610" s="8" t="str">
        <f ca="1">IFERROR(__xludf.DUMMYFUNCTION("""COMPUTED_VALUE"""),"Victims Targeted")</f>
        <v>Victims Targeted</v>
      </c>
      <c r="AE610" s="8" t="str">
        <f ca="1">IFERROR(__xludf.DUMMYFUNCTION("""COMPUTED_VALUE"""),"No")</f>
        <v>No</v>
      </c>
      <c r="AF610" s="8"/>
      <c r="AG610" s="8" t="str">
        <f ca="1">IFERROR(__xludf.DUMMYFUNCTION("""COMPUTED_VALUE"""),"No")</f>
        <v>No</v>
      </c>
      <c r="AH610" s="8" t="str">
        <f ca="1">IFERROR(__xludf.DUMMYFUNCTION("""COMPUTED_VALUE"""),"No")</f>
        <v>No</v>
      </c>
      <c r="AI610" s="8" t="str">
        <f ca="1">IFERROR(__xludf.DUMMYFUNCTION("""COMPUTED_VALUE"""),"No")</f>
        <v>No</v>
      </c>
      <c r="AJ610" s="8" t="str">
        <f ca="1">IFERROR(__xludf.DUMMYFUNCTION("""COMPUTED_VALUE"""),"No")</f>
        <v>No</v>
      </c>
      <c r="AK610" s="8" t="str">
        <f ca="1">IFERROR(__xludf.DUMMYFUNCTION("""COMPUTED_VALUE"""),"No")</f>
        <v>No</v>
      </c>
      <c r="AL610" s="8" t="str">
        <f ca="1">IFERROR(__xludf.DUMMYFUNCTION("""COMPUTED_VALUE"""),"No")</f>
        <v>No</v>
      </c>
      <c r="AM610" s="8" t="str">
        <f ca="1">IFERROR(__xludf.DUMMYFUNCTION("""COMPUTED_VALUE"""),"No")</f>
        <v>No</v>
      </c>
      <c r="AN610" s="8" t="str">
        <f ca="1">IFERROR(__xludf.DUMMYFUNCTION("""COMPUTED_VALUE"""),"Outside")</f>
        <v>Outside</v>
      </c>
      <c r="AO610" s="8" t="str">
        <f ca="1">IFERROR(__xludf.DUMMYFUNCTION("""COMPUTED_VALUE"""),"No")</f>
        <v>No</v>
      </c>
      <c r="AP610" s="8"/>
      <c r="AQ610" s="8"/>
      <c r="AR610" s="8" t="str">
        <f ca="1">IFERROR(__xludf.DUMMYFUNCTION("""COMPUTED_VALUE"""),"Outside/Off-Property")</f>
        <v>Outside/Off-Property</v>
      </c>
      <c r="AS610" s="8">
        <f ca="1">IFERROR(__xludf.DUMMYFUNCTION("""COMPUTED_VALUE"""),1)</f>
        <v>1</v>
      </c>
      <c r="AT610" s="8" t="str">
        <f ca="1">IFERROR(__xludf.DUMMYFUNCTION("""COMPUTED_VALUE"""),"Yes")</f>
        <v>Yes</v>
      </c>
      <c r="AU610" s="8">
        <f ca="1">IFERROR(__xludf.DUMMYFUNCTION("""COMPUTED_VALUE"""),29.761812)</f>
        <v>29.761811999999999</v>
      </c>
      <c r="AV610" s="8">
        <f ca="1">IFERROR(__xludf.DUMMYFUNCTION("""COMPUTED_VALUE"""),-98.70217)</f>
        <v>-98.702169999999995</v>
      </c>
      <c r="AW610" s="8"/>
      <c r="AX610" s="8">
        <f ca="1">IFERROR(__xludf.DUMMYFUNCTION("""COMPUTED_VALUE"""),78006)</f>
        <v>78006</v>
      </c>
    </row>
    <row r="611" spans="1:50" ht="90" x14ac:dyDescent="0.2">
      <c r="A611" s="8" t="str">
        <f ca="1">IFERROR(__xludf.DUMMYFUNCTION("""COMPUTED_VALUE"""),"20230919FLWOP")</f>
        <v>20230919FLWOP</v>
      </c>
      <c r="B611" s="8">
        <f ca="1">IFERROR(__xludf.DUMMYFUNCTION("""COMPUTED_VALUE"""),9)</f>
        <v>9</v>
      </c>
      <c r="C611" s="8">
        <f ca="1">IFERROR(__xludf.DUMMYFUNCTION("""COMPUTED_VALUE"""),19)</f>
        <v>19</v>
      </c>
      <c r="D611" s="8">
        <f ca="1">IFERROR(__xludf.DUMMYFUNCTION("""COMPUTED_VALUE"""),2023)</f>
        <v>2023</v>
      </c>
      <c r="E611" s="9">
        <f ca="1">IFERROR(__xludf.DUMMYFUNCTION("""COMPUTED_VALUE"""),45188)</f>
        <v>45188</v>
      </c>
      <c r="F611" s="8" t="str">
        <f ca="1">IFERROR(__xludf.DUMMYFUNCTION("""COMPUTED_VALUE"""),"Workman Middle School")</f>
        <v>Workman Middle School</v>
      </c>
      <c r="G611" s="8">
        <f ca="1">IFERROR(__xludf.DUMMYFUNCTION("""COMPUTED_VALUE"""),0)</f>
        <v>0</v>
      </c>
      <c r="H611" s="8">
        <f ca="1">IFERROR(__xludf.DUMMYFUNCTION("""COMPUTED_VALUE"""),1)</f>
        <v>1</v>
      </c>
      <c r="I611" s="8">
        <f ca="1">IFERROR(__xludf.DUMMYFUNCTION("""COMPUTED_VALUE"""),1)</f>
        <v>1</v>
      </c>
      <c r="J611" s="8">
        <f ca="1">IFERROR(__xludf.DUMMYFUNCTION("""COMPUTED_VALUE"""),0)</f>
        <v>0</v>
      </c>
      <c r="K611" s="8" t="str">
        <f ca="1">IFERROR(__xludf.DUMMYFUNCTION("""COMPUTED_VALUE"""),"https://www.wkrg.com/northwest-florida/escambia-county/pensacola-man-arrested-after-workman-middle-school-shooting/
https://www.wkrg.com/northwest-florida/escambia-county/pensacola-police-investigate-shooting-near-workman-middle-school/")</f>
        <v>https://www.wkrg.com/northwest-florida/escambia-county/pensacola-man-arrested-after-workman-middle-school-shooting/
https://www.wkrg.com/northwest-florida/escambia-county/pensacola-police-investigate-shooting-near-workman-middle-school/</v>
      </c>
      <c r="L611" s="8">
        <f ca="1">IFERROR(__xludf.DUMMYFUNCTION("""COMPUTED_VALUE"""),1)</f>
        <v>1</v>
      </c>
      <c r="M611" s="8" t="str">
        <f ca="1">IFERROR(__xludf.DUMMYFUNCTION("""COMPUTED_VALUE"""),"Local")</f>
        <v>Local</v>
      </c>
      <c r="N611" s="8">
        <f ca="1">IFERROR(__xludf.DUMMYFUNCTION("""COMPUTED_VALUE"""),4)</f>
        <v>4</v>
      </c>
      <c r="O611" s="8" t="str">
        <f ca="1">IFERROR(__xludf.DUMMYFUNCTION("""COMPUTED_VALUE"""),"Fall")</f>
        <v>Fall</v>
      </c>
      <c r="P611" s="8" t="str">
        <f ca="1">IFERROR(__xludf.DUMMYFUNCTION("""COMPUTED_VALUE"""),"Pensacola")</f>
        <v>Pensacola</v>
      </c>
      <c r="Q611" s="8" t="str">
        <f ca="1">IFERROR(__xludf.DUMMYFUNCTION("""COMPUTED_VALUE"""),"FL")</f>
        <v>FL</v>
      </c>
      <c r="R611" s="8" t="str">
        <f ca="1">IFERROR(__xludf.DUMMYFUNCTION("""COMPUTED_VALUE"""),"Middle")</f>
        <v>Middle</v>
      </c>
      <c r="S611" s="8" t="str">
        <f ca="1">IFERROR(__xludf.DUMMYFUNCTION("""COMPUTED_VALUE"""),"Front of School")</f>
        <v>Front of School</v>
      </c>
      <c r="T611" s="8" t="str">
        <f ca="1">IFERROR(__xludf.DUMMYFUNCTION("""COMPUTED_VALUE"""),"Outside on School Property")</f>
        <v>Outside on School Property</v>
      </c>
      <c r="U611" s="8" t="str">
        <f ca="1">IFERROR(__xludf.DUMMYFUNCTION("""COMPUTED_VALUE"""),"No")</f>
        <v>No</v>
      </c>
      <c r="V611" s="8" t="str">
        <f ca="1">IFERROR(__xludf.DUMMYFUNCTION("""COMPUTED_VALUE"""),"Sport Event")</f>
        <v>Sport Event</v>
      </c>
      <c r="W611" s="11">
        <f ca="1">IFERROR(__xludf.DUMMYFUNCTION("""COMPUTED_VALUE"""),0.854166666666666)</f>
        <v>0.85416666666666596</v>
      </c>
      <c r="X611" s="8">
        <f ca="1">IFERROR(__xludf.DUMMYFUNCTION("""COMPUTED_VALUE"""),1)</f>
        <v>1</v>
      </c>
      <c r="Y611" s="12" t="str">
        <f ca="1">IFERROR(__xludf.DUMMYFUNCTION("""COMPUTED_VALUE"""),"Man shot outside school during basketball game, school went on lockdown")</f>
        <v>Man shot outside school during basketball game, school went on lockdown</v>
      </c>
      <c r="Z611" s="12" t="str">
        <f ca="1">IFERROR(__xludf.DUMMYFUNCTION("""COMPUTED_VALUE"""),"Man shot outside school during basketball game, school went on lockdown and officers working the game responded to assist the victim. Shooter fled in vehicle. 24-year-old man was arrested 4 days later and charged with charged with attempted murder and pos"&amp;"session of a firearm on school property.")</f>
        <v>Man shot outside school during basketball game, school went on lockdown and officers working the game responded to assist the victim. Shooter fled in vehicle. 24-year-old man was arrested 4 days later and charged with charged with attempted murder and possession of a firearm on school property.</v>
      </c>
      <c r="AA611" s="8" t="str">
        <f ca="1">IFERROR(__xludf.DUMMYFUNCTION("""COMPUTED_VALUE"""),"Drive-by Shooting")</f>
        <v>Drive-by Shooting</v>
      </c>
      <c r="AB611" s="8"/>
      <c r="AC611" s="8" t="str">
        <f ca="1">IFERROR(__xludf.DUMMYFUNCTION("""COMPUTED_VALUE"""),"Yes")</f>
        <v>Yes</v>
      </c>
      <c r="AD611" s="8"/>
      <c r="AE611" s="8" t="str">
        <f ca="1">IFERROR(__xludf.DUMMYFUNCTION("""COMPUTED_VALUE"""),"No")</f>
        <v>No</v>
      </c>
      <c r="AF611" s="8"/>
      <c r="AG611" s="8" t="str">
        <f ca="1">IFERROR(__xludf.DUMMYFUNCTION("""COMPUTED_VALUE"""),"No")</f>
        <v>No</v>
      </c>
      <c r="AH611" s="8" t="str">
        <f ca="1">IFERROR(__xludf.DUMMYFUNCTION("""COMPUTED_VALUE"""),"No")</f>
        <v>No</v>
      </c>
      <c r="AI611" s="8" t="str">
        <f ca="1">IFERROR(__xludf.DUMMYFUNCTION("""COMPUTED_VALUE"""),"No")</f>
        <v>No</v>
      </c>
      <c r="AJ611" s="8" t="str">
        <f ca="1">IFERROR(__xludf.DUMMYFUNCTION("""COMPUTED_VALUE"""),"No")</f>
        <v>No</v>
      </c>
      <c r="AK611" s="8" t="str">
        <f ca="1">IFERROR(__xludf.DUMMYFUNCTION("""COMPUTED_VALUE"""),"No")</f>
        <v>No</v>
      </c>
      <c r="AL611" s="8"/>
      <c r="AM611" s="8" t="str">
        <f ca="1">IFERROR(__xludf.DUMMYFUNCTION("""COMPUTED_VALUE"""),"No")</f>
        <v>No</v>
      </c>
      <c r="AN611" s="8" t="str">
        <f ca="1">IFERROR(__xludf.DUMMYFUNCTION("""COMPUTED_VALUE"""),"Outside")</f>
        <v>Outside</v>
      </c>
      <c r="AO611" s="8" t="str">
        <f ca="1">IFERROR(__xludf.DUMMYFUNCTION("""COMPUTED_VALUE"""),"No")</f>
        <v>No</v>
      </c>
      <c r="AP611" s="8" t="str">
        <f ca="1">IFERROR(__xludf.DUMMYFUNCTION("""COMPUTED_VALUE"""),"Yes")</f>
        <v>Yes</v>
      </c>
      <c r="AQ611" s="8" t="str">
        <f ca="1">IFERROR(__xludf.DUMMYFUNCTION("""COMPUTED_VALUE"""),"Armed Guards")</f>
        <v>Armed Guards</v>
      </c>
      <c r="AR611" s="8" t="str">
        <f ca="1">IFERROR(__xludf.DUMMYFUNCTION("""COMPUTED_VALUE"""),"Outside/Off-Property")</f>
        <v>Outside/Off-Property</v>
      </c>
      <c r="AS611" s="8">
        <f ca="1">IFERROR(__xludf.DUMMYFUNCTION("""COMPUTED_VALUE"""),99)</f>
        <v>99</v>
      </c>
      <c r="AT611" s="8" t="str">
        <f ca="1">IFERROR(__xludf.DUMMYFUNCTION("""COMPUTED_VALUE"""),"Yes")</f>
        <v>Yes</v>
      </c>
      <c r="AU611" s="8">
        <f ca="1">IFERROR(__xludf.DUMMYFUNCTION("""COMPUTED_VALUE"""),30.487157)</f>
        <v>30.487157</v>
      </c>
      <c r="AV611" s="8">
        <f ca="1">IFERROR(__xludf.DUMMYFUNCTION("""COMPUTED_VALUE"""),-87.205487)</f>
        <v>-87.205487000000005</v>
      </c>
      <c r="AW611" s="8"/>
      <c r="AX611" s="8">
        <f ca="1">IFERROR(__xludf.DUMMYFUNCTION("""COMPUTED_VALUE"""),32504)</f>
        <v>32504</v>
      </c>
    </row>
    <row r="612" spans="1:50" ht="60" x14ac:dyDescent="0.2">
      <c r="A612" s="8" t="str">
        <f ca="1">IFERROR(__xludf.DUMMYFUNCTION("""COMPUTED_VALUE"""),"20230919DCROW")</f>
        <v>20230919DCROW</v>
      </c>
      <c r="B612" s="8">
        <f ca="1">IFERROR(__xludf.DUMMYFUNCTION("""COMPUTED_VALUE"""),9)</f>
        <v>9</v>
      </c>
      <c r="C612" s="8">
        <f ca="1">IFERROR(__xludf.DUMMYFUNCTION("""COMPUTED_VALUE"""),19)</f>
        <v>19</v>
      </c>
      <c r="D612" s="8">
        <f ca="1">IFERROR(__xludf.DUMMYFUNCTION("""COMPUTED_VALUE"""),2023)</f>
        <v>2023</v>
      </c>
      <c r="E612" s="9">
        <f ca="1">IFERROR(__xludf.DUMMYFUNCTION("""COMPUTED_VALUE"""),45188)</f>
        <v>45188</v>
      </c>
      <c r="F612" s="8" t="str">
        <f ca="1">IFERROR(__xludf.DUMMYFUNCTION("""COMPUTED_VALUE"""),"Rocketship Rise Academy")</f>
        <v>Rocketship Rise Academy</v>
      </c>
      <c r="G612" s="8">
        <f ca="1">IFERROR(__xludf.DUMMYFUNCTION("""COMPUTED_VALUE"""),0)</f>
        <v>0</v>
      </c>
      <c r="H612" s="8">
        <f ca="1">IFERROR(__xludf.DUMMYFUNCTION("""COMPUTED_VALUE"""),0)</f>
        <v>0</v>
      </c>
      <c r="I612" s="8">
        <f ca="1">IFERROR(__xludf.DUMMYFUNCTION("""COMPUTED_VALUE"""),0)</f>
        <v>0</v>
      </c>
      <c r="J612" s="8">
        <f ca="1">IFERROR(__xludf.DUMMYFUNCTION("""COMPUTED_VALUE"""),0)</f>
        <v>0</v>
      </c>
      <c r="K612" s="10" t="str">
        <f ca="1">IFERROR(__xludf.DUMMYFUNCTION("""COMPUTED_VALUE"""),"https://www.fox5dc.com/news/dc-charter-school-struck-by-bullets-during-shooting-in-southeast")</f>
        <v>https://www.fox5dc.com/news/dc-charter-school-struck-by-bullets-during-shooting-in-southeast</v>
      </c>
      <c r="L612" s="8">
        <f ca="1">IFERROR(__xludf.DUMMYFUNCTION("""COMPUTED_VALUE"""),1)</f>
        <v>1</v>
      </c>
      <c r="M612" s="8" t="str">
        <f ca="1">IFERROR(__xludf.DUMMYFUNCTION("""COMPUTED_VALUE"""),"Local")</f>
        <v>Local</v>
      </c>
      <c r="N612" s="8">
        <f ca="1">IFERROR(__xludf.DUMMYFUNCTION("""COMPUTED_VALUE"""),4)</f>
        <v>4</v>
      </c>
      <c r="O612" s="8" t="str">
        <f ca="1">IFERROR(__xludf.DUMMYFUNCTION("""COMPUTED_VALUE"""),"Fall")</f>
        <v>Fall</v>
      </c>
      <c r="P612" s="8" t="str">
        <f ca="1">IFERROR(__xludf.DUMMYFUNCTION("""COMPUTED_VALUE"""),"Washington")</f>
        <v>Washington</v>
      </c>
      <c r="Q612" s="8" t="str">
        <f ca="1">IFERROR(__xludf.DUMMYFUNCTION("""COMPUTED_VALUE"""),"DC")</f>
        <v>DC</v>
      </c>
      <c r="R612" s="8" t="str">
        <f ca="1">IFERROR(__xludf.DUMMYFUNCTION("""COMPUTED_VALUE"""),"Elementary")</f>
        <v>Elementary</v>
      </c>
      <c r="S612" s="8" t="str">
        <f ca="1">IFERROR(__xludf.DUMMYFUNCTION("""COMPUTED_VALUE"""),"Outside on School Property")</f>
        <v>Outside on School Property</v>
      </c>
      <c r="T612" s="8" t="str">
        <f ca="1">IFERROR(__xludf.DUMMYFUNCTION("""COMPUTED_VALUE"""),"Outside on School Property")</f>
        <v>Outside on School Property</v>
      </c>
      <c r="U612" s="8" t="str">
        <f ca="1">IFERROR(__xludf.DUMMYFUNCTION("""COMPUTED_VALUE"""),"No")</f>
        <v>No</v>
      </c>
      <c r="V612" s="8" t="str">
        <f ca="1">IFERROR(__xludf.DUMMYFUNCTION("""COMPUTED_VALUE"""),"Night")</f>
        <v>Night</v>
      </c>
      <c r="W612" s="11">
        <f ca="1">IFERROR(__xludf.DUMMYFUNCTION("""COMPUTED_VALUE"""),0.0416666666666666)</f>
        <v>4.1666666666666602E-2</v>
      </c>
      <c r="X612" s="8">
        <f ca="1">IFERROR(__xludf.DUMMYFUNCTION("""COMPUTED_VALUE"""),1)</f>
        <v>1</v>
      </c>
      <c r="Y612" s="12" t="str">
        <f ca="1">IFERROR(__xludf.DUMMYFUNCTION("""COMPUTED_VALUE"""),"Multiple bullets struck school building damaging walls and windows")</f>
        <v>Multiple bullets struck school building damaging walls and windows</v>
      </c>
      <c r="Z612" s="12" t="str">
        <f ca="1">IFERROR(__xludf.DUMMYFUNCTION("""COMPUTED_VALUE"""),"Multiple bullets fired at a nearby apartment building struck the school damaging windows and walls.")</f>
        <v>Multiple bullets fired at a nearby apartment building struck the school damaging windows and walls.</v>
      </c>
      <c r="AA612" s="8"/>
      <c r="AB612" s="8"/>
      <c r="AC612" s="8" t="str">
        <f ca="1">IFERROR(__xludf.DUMMYFUNCTION("""COMPUTED_VALUE"""),"No")</f>
        <v>No</v>
      </c>
      <c r="AD612" s="8"/>
      <c r="AE612" s="8" t="str">
        <f ca="1">IFERROR(__xludf.DUMMYFUNCTION("""COMPUTED_VALUE"""),"No")</f>
        <v>No</v>
      </c>
      <c r="AF612" s="8"/>
      <c r="AG612" s="8" t="str">
        <f ca="1">IFERROR(__xludf.DUMMYFUNCTION("""COMPUTED_VALUE"""),"No")</f>
        <v>No</v>
      </c>
      <c r="AH612" s="8" t="str">
        <f ca="1">IFERROR(__xludf.DUMMYFUNCTION("""COMPUTED_VALUE"""),"No")</f>
        <v>No</v>
      </c>
      <c r="AI612" s="8" t="str">
        <f ca="1">IFERROR(__xludf.DUMMYFUNCTION("""COMPUTED_VALUE"""),"No")</f>
        <v>No</v>
      </c>
      <c r="AJ612" s="8" t="str">
        <f ca="1">IFERROR(__xludf.DUMMYFUNCTION("""COMPUTED_VALUE"""),"No")</f>
        <v>No</v>
      </c>
      <c r="AK612" s="8" t="str">
        <f ca="1">IFERROR(__xludf.DUMMYFUNCTION("""COMPUTED_VALUE"""),"No")</f>
        <v>No</v>
      </c>
      <c r="AL612" s="8"/>
      <c r="AM612" s="8" t="str">
        <f ca="1">IFERROR(__xludf.DUMMYFUNCTION("""COMPUTED_VALUE"""),"No")</f>
        <v>No</v>
      </c>
      <c r="AN612" s="8" t="str">
        <f ca="1">IFERROR(__xludf.DUMMYFUNCTION("""COMPUTED_VALUE"""),"Outside")</f>
        <v>Outside</v>
      </c>
      <c r="AO612" s="8" t="str">
        <f ca="1">IFERROR(__xludf.DUMMYFUNCTION("""COMPUTED_VALUE"""),"No")</f>
        <v>No</v>
      </c>
      <c r="AP612" s="8"/>
      <c r="AQ612" s="8"/>
      <c r="AR612" s="8" t="str">
        <f ca="1">IFERROR(__xludf.DUMMYFUNCTION("""COMPUTED_VALUE"""),"Outside/Off-Property")</f>
        <v>Outside/Off-Property</v>
      </c>
      <c r="AS612" s="8">
        <f ca="1">IFERROR(__xludf.DUMMYFUNCTION("""COMPUTED_VALUE"""),99)</f>
        <v>99</v>
      </c>
      <c r="AT612" s="8" t="str">
        <f ca="1">IFERROR(__xludf.DUMMYFUNCTION("""COMPUTED_VALUE"""),"No")</f>
        <v>No</v>
      </c>
      <c r="AU612" s="8">
        <f ca="1">IFERROR(__xludf.DUMMYFUNCTION("""COMPUTED_VALUE"""),38.855613)</f>
        <v>38.855612999999998</v>
      </c>
      <c r="AV612" s="8">
        <f ca="1">IFERROR(__xludf.DUMMYFUNCTION("""COMPUTED_VALUE"""),-76.973795)</f>
        <v>-76.973794999999996</v>
      </c>
      <c r="AW612" s="8"/>
      <c r="AX612" s="8">
        <f ca="1">IFERROR(__xludf.DUMMYFUNCTION("""COMPUTED_VALUE"""),20020)</f>
        <v>20020</v>
      </c>
    </row>
    <row r="613" spans="1:50" ht="60" x14ac:dyDescent="0.2">
      <c r="A613" s="8" t="str">
        <f ca="1">IFERROR(__xludf.DUMMYFUNCTION("""COMPUTED_VALUE"""),"20230918MDDUB")</f>
        <v>20230918MDDUB</v>
      </c>
      <c r="B613" s="8">
        <f ca="1">IFERROR(__xludf.DUMMYFUNCTION("""COMPUTED_VALUE"""),9)</f>
        <v>9</v>
      </c>
      <c r="C613" s="8">
        <f ca="1">IFERROR(__xludf.DUMMYFUNCTION("""COMPUTED_VALUE"""),18)</f>
        <v>18</v>
      </c>
      <c r="D613" s="8">
        <f ca="1">IFERROR(__xludf.DUMMYFUNCTION("""COMPUTED_VALUE"""),2023)</f>
        <v>2023</v>
      </c>
      <c r="E613" s="9">
        <f ca="1">IFERROR(__xludf.DUMMYFUNCTION("""COMPUTED_VALUE"""),45187)</f>
        <v>45187</v>
      </c>
      <c r="F613" s="8" t="str">
        <f ca="1">IFERROR(__xludf.DUMMYFUNCTION("""COMPUTED_VALUE"""),"Dunbar High School")</f>
        <v>Dunbar High School</v>
      </c>
      <c r="G613" s="8">
        <f ca="1">IFERROR(__xludf.DUMMYFUNCTION("""COMPUTED_VALUE"""),0)</f>
        <v>0</v>
      </c>
      <c r="H613" s="8">
        <f ca="1">IFERROR(__xludf.DUMMYFUNCTION("""COMPUTED_VALUE"""),0)</f>
        <v>0</v>
      </c>
      <c r="I613" s="8">
        <f ca="1">IFERROR(__xludf.DUMMYFUNCTION("""COMPUTED_VALUE"""),0)</f>
        <v>0</v>
      </c>
      <c r="J613" s="8">
        <f ca="1">IFERROR(__xludf.DUMMYFUNCTION("""COMPUTED_VALUE"""),0)</f>
        <v>0</v>
      </c>
      <c r="K613" s="8" t="str">
        <f ca="1">IFERROR(__xludf.DUMMYFUNCTION("""COMPUTED_VALUE"""),"https://foxbaltimore.com/news/local/dunbar-high-school-window-hit-by-gunfire-two-juveniles-in-custody-police
https://www.cbsnews.com/baltimore/news/two-minors-in-custody-after-gunshot-fired-into-dunbar-highs-cafeteria-window-police-say/")</f>
        <v>https://foxbaltimore.com/news/local/dunbar-high-school-window-hit-by-gunfire-two-juveniles-in-custody-police
https://www.cbsnews.com/baltimore/news/two-minors-in-custody-after-gunshot-fired-into-dunbar-highs-cafeteria-window-police-say/</v>
      </c>
      <c r="L613" s="8">
        <f ca="1">IFERROR(__xludf.DUMMYFUNCTION("""COMPUTED_VALUE"""),10)</f>
        <v>10</v>
      </c>
      <c r="M613" s="8" t="str">
        <f ca="1">IFERROR(__xludf.DUMMYFUNCTION("""COMPUTED_VALUE"""),"Regional")</f>
        <v>Regional</v>
      </c>
      <c r="N613" s="8">
        <f ca="1">IFERROR(__xludf.DUMMYFUNCTION("""COMPUTED_VALUE"""),4)</f>
        <v>4</v>
      </c>
      <c r="O613" s="8" t="str">
        <f ca="1">IFERROR(__xludf.DUMMYFUNCTION("""COMPUTED_VALUE"""),"Fall")</f>
        <v>Fall</v>
      </c>
      <c r="P613" s="8" t="str">
        <f ca="1">IFERROR(__xludf.DUMMYFUNCTION("""COMPUTED_VALUE"""),"Baltimore")</f>
        <v>Baltimore</v>
      </c>
      <c r="Q613" s="8" t="str">
        <f ca="1">IFERROR(__xludf.DUMMYFUNCTION("""COMPUTED_VALUE"""),"MD")</f>
        <v>MD</v>
      </c>
      <c r="R613" s="8" t="str">
        <f ca="1">IFERROR(__xludf.DUMMYFUNCTION("""COMPUTED_VALUE"""),"High")</f>
        <v>High</v>
      </c>
      <c r="S613" s="8" t="str">
        <f ca="1">IFERROR(__xludf.DUMMYFUNCTION("""COMPUTED_VALUE"""),"Beside Building")</f>
        <v>Beside Building</v>
      </c>
      <c r="T613" s="8" t="str">
        <f ca="1">IFERROR(__xludf.DUMMYFUNCTION("""COMPUTED_VALUE"""),"Outside on School Property")</f>
        <v>Outside on School Property</v>
      </c>
      <c r="U613" s="8" t="str">
        <f ca="1">IFERROR(__xludf.DUMMYFUNCTION("""COMPUTED_VALUE"""),"Yes")</f>
        <v>Yes</v>
      </c>
      <c r="V613" s="8" t="str">
        <f ca="1">IFERROR(__xludf.DUMMYFUNCTION("""COMPUTED_VALUE"""),"Dismissal")</f>
        <v>Dismissal</v>
      </c>
      <c r="W613" s="11">
        <f ca="1">IFERROR(__xludf.DUMMYFUNCTION("""COMPUTED_VALUE"""),0.666666666666666)</f>
        <v>0.66666666666666596</v>
      </c>
      <c r="X613" s="8">
        <f ca="1">IFERROR(__xludf.DUMMYFUNCTION("""COMPUTED_VALUE"""),1)</f>
        <v>1</v>
      </c>
      <c r="Y613" s="12" t="str">
        <f ca="1">IFERROR(__xludf.DUMMYFUNCTION("""COMPUTED_VALUE"""),"Shot fired during fight between teens struck cafeteria window")</f>
        <v>Shot fired during fight between teens struck cafeteria window</v>
      </c>
      <c r="Z613" s="12" t="str">
        <f ca="1">IFERROR(__xludf.DUMMYFUNCTION("""COMPUTED_VALUE"""),"Shot fired during fight between teens at dismissal struck the cafeteria window. Two teens were arrested.")</f>
        <v>Shot fired during fight between teens at dismissal struck the cafeteria window. Two teens were arrested.</v>
      </c>
      <c r="AA613" s="8" t="str">
        <f ca="1">IFERROR(__xludf.DUMMYFUNCTION("""COMPUTED_VALUE"""),"Escalation of Dispute")</f>
        <v>Escalation of Dispute</v>
      </c>
      <c r="AB613" s="8"/>
      <c r="AC613" s="8" t="str">
        <f ca="1">IFERROR(__xludf.DUMMYFUNCTION("""COMPUTED_VALUE"""),"Yes")</f>
        <v>Yes</v>
      </c>
      <c r="AD613" s="8" t="str">
        <f ca="1">IFERROR(__xludf.DUMMYFUNCTION("""COMPUTED_VALUE"""),"Victims Targeted")</f>
        <v>Victims Targeted</v>
      </c>
      <c r="AE613" s="8" t="str">
        <f ca="1">IFERROR(__xludf.DUMMYFUNCTION("""COMPUTED_VALUE"""),"No")</f>
        <v>No</v>
      </c>
      <c r="AF613" s="8"/>
      <c r="AG613" s="8" t="str">
        <f ca="1">IFERROR(__xludf.DUMMYFUNCTION("""COMPUTED_VALUE"""),"No")</f>
        <v>No</v>
      </c>
      <c r="AH613" s="8" t="str">
        <f ca="1">IFERROR(__xludf.DUMMYFUNCTION("""COMPUTED_VALUE"""),"No")</f>
        <v>No</v>
      </c>
      <c r="AI613" s="8" t="str">
        <f ca="1">IFERROR(__xludf.DUMMYFUNCTION("""COMPUTED_VALUE"""),"No")</f>
        <v>No</v>
      </c>
      <c r="AJ613" s="8" t="str">
        <f ca="1">IFERROR(__xludf.DUMMYFUNCTION("""COMPUTED_VALUE"""),"No")</f>
        <v>No</v>
      </c>
      <c r="AK613" s="8" t="str">
        <f ca="1">IFERROR(__xludf.DUMMYFUNCTION("""COMPUTED_VALUE"""),"No")</f>
        <v>No</v>
      </c>
      <c r="AL613" s="8"/>
      <c r="AM613" s="8" t="str">
        <f ca="1">IFERROR(__xludf.DUMMYFUNCTION("""COMPUTED_VALUE"""),"No")</f>
        <v>No</v>
      </c>
      <c r="AN613" s="8" t="str">
        <f ca="1">IFERROR(__xludf.DUMMYFUNCTION("""COMPUTED_VALUE"""),"Outside")</f>
        <v>Outside</v>
      </c>
      <c r="AO613" s="8" t="str">
        <f ca="1">IFERROR(__xludf.DUMMYFUNCTION("""COMPUTED_VALUE"""),"No")</f>
        <v>No</v>
      </c>
      <c r="AP613" s="8"/>
      <c r="AQ613" s="8"/>
      <c r="AR613" s="8" t="str">
        <f ca="1">IFERROR(__xludf.DUMMYFUNCTION("""COMPUTED_VALUE"""),"Outside/Off-Property")</f>
        <v>Outside/Off-Property</v>
      </c>
      <c r="AS613" s="8">
        <f ca="1">IFERROR(__xludf.DUMMYFUNCTION("""COMPUTED_VALUE"""),99)</f>
        <v>99</v>
      </c>
      <c r="AT613" s="8" t="str">
        <f ca="1">IFERROR(__xludf.DUMMYFUNCTION("""COMPUTED_VALUE"""),"No")</f>
        <v>No</v>
      </c>
      <c r="AU613" s="8">
        <f ca="1">IFERROR(__xludf.DUMMYFUNCTION("""COMPUTED_VALUE"""),39.295315)</f>
        <v>39.295315000000002</v>
      </c>
      <c r="AV613" s="8">
        <f ca="1">IFERROR(__xludf.DUMMYFUNCTION("""COMPUTED_VALUE"""),-76.598077)</f>
        <v>-76.598077000000004</v>
      </c>
      <c r="AW613" s="8"/>
      <c r="AX613" s="8">
        <f ca="1">IFERROR(__xludf.DUMMYFUNCTION("""COMPUTED_VALUE"""),21231)</f>
        <v>21231</v>
      </c>
    </row>
    <row r="614" spans="1:50" ht="30" x14ac:dyDescent="0.2">
      <c r="A614" s="8" t="str">
        <f ca="1">IFERROR(__xludf.DUMMYFUNCTION("""COMPUTED_VALUE"""),"20230916OHEAC")</f>
        <v>20230916OHEAC</v>
      </c>
      <c r="B614" s="8">
        <f ca="1">IFERROR(__xludf.DUMMYFUNCTION("""COMPUTED_VALUE"""),9)</f>
        <v>9</v>
      </c>
      <c r="C614" s="8">
        <f ca="1">IFERROR(__xludf.DUMMYFUNCTION("""COMPUTED_VALUE"""),16)</f>
        <v>16</v>
      </c>
      <c r="D614" s="8">
        <f ca="1">IFERROR(__xludf.DUMMYFUNCTION("""COMPUTED_VALUE"""),2023)</f>
        <v>2023</v>
      </c>
      <c r="E614" s="9">
        <f ca="1">IFERROR(__xludf.DUMMYFUNCTION("""COMPUTED_VALUE"""),45185)</f>
        <v>45185</v>
      </c>
      <c r="F614" s="8" t="str">
        <f ca="1">IFERROR(__xludf.DUMMYFUNCTION("""COMPUTED_VALUE"""),"East Tech High School")</f>
        <v>East Tech High School</v>
      </c>
      <c r="G614" s="8">
        <f ca="1">IFERROR(__xludf.DUMMYFUNCTION("""COMPUTED_VALUE"""),0)</f>
        <v>0</v>
      </c>
      <c r="H614" s="8">
        <f ca="1">IFERROR(__xludf.DUMMYFUNCTION("""COMPUTED_VALUE"""),1)</f>
        <v>1</v>
      </c>
      <c r="I614" s="8">
        <f ca="1">IFERROR(__xludf.DUMMYFUNCTION("""COMPUTED_VALUE"""),1)</f>
        <v>1</v>
      </c>
      <c r="J614" s="8">
        <f ca="1">IFERROR(__xludf.DUMMYFUNCTION("""COMPUTED_VALUE"""),0)</f>
        <v>0</v>
      </c>
      <c r="K614" s="10" t="str">
        <f ca="1">IFERROR(__xludf.DUMMYFUNCTION("""COMPUTED_VALUE"""),"https://www.cleveland19.com/2023/09/17/police-man-shot-east-tech-high-school-parking-lot/")</f>
        <v>https://www.cleveland19.com/2023/09/17/police-man-shot-east-tech-high-school-parking-lot/</v>
      </c>
      <c r="L614" s="8">
        <f ca="1">IFERROR(__xludf.DUMMYFUNCTION("""COMPUTED_VALUE"""),1)</f>
        <v>1</v>
      </c>
      <c r="M614" s="8" t="str">
        <f ca="1">IFERROR(__xludf.DUMMYFUNCTION("""COMPUTED_VALUE"""),"Local")</f>
        <v>Local</v>
      </c>
      <c r="N614" s="8">
        <f ca="1">IFERROR(__xludf.DUMMYFUNCTION("""COMPUTED_VALUE"""),4)</f>
        <v>4</v>
      </c>
      <c r="O614" s="8" t="str">
        <f ca="1">IFERROR(__xludf.DUMMYFUNCTION("""COMPUTED_VALUE"""),"Fall")</f>
        <v>Fall</v>
      </c>
      <c r="P614" s="8" t="str">
        <f ca="1">IFERROR(__xludf.DUMMYFUNCTION("""COMPUTED_VALUE"""),"Cleveland")</f>
        <v>Cleveland</v>
      </c>
      <c r="Q614" s="8" t="str">
        <f ca="1">IFERROR(__xludf.DUMMYFUNCTION("""COMPUTED_VALUE"""),"OH")</f>
        <v>OH</v>
      </c>
      <c r="R614" s="8" t="str">
        <f ca="1">IFERROR(__xludf.DUMMYFUNCTION("""COMPUTED_VALUE"""),"High")</f>
        <v>High</v>
      </c>
      <c r="S614" s="8" t="str">
        <f ca="1">IFERROR(__xludf.DUMMYFUNCTION("""COMPUTED_VALUE"""),"Parking Lot")</f>
        <v>Parking Lot</v>
      </c>
      <c r="T614" s="8" t="str">
        <f ca="1">IFERROR(__xludf.DUMMYFUNCTION("""COMPUTED_VALUE"""),"Outside on School Property")</f>
        <v>Outside on School Property</v>
      </c>
      <c r="U614" s="8" t="str">
        <f ca="1">IFERROR(__xludf.DUMMYFUNCTION("""COMPUTED_VALUE"""),"No")</f>
        <v>No</v>
      </c>
      <c r="V614" s="8" t="str">
        <f ca="1">IFERROR(__xludf.DUMMYFUNCTION("""COMPUTED_VALUE"""),"Night")</f>
        <v>Night</v>
      </c>
      <c r="W614" s="11">
        <f ca="1">IFERROR(__xludf.DUMMYFUNCTION("""COMPUTED_VALUE"""),0.999305555555555)</f>
        <v>0.999305555555555</v>
      </c>
      <c r="X614" s="8">
        <f ca="1">IFERROR(__xludf.DUMMYFUNCTION("""COMPUTED_VALUE"""),1)</f>
        <v>1</v>
      </c>
      <c r="Y614" s="12" t="str">
        <f ca="1">IFERROR(__xludf.DUMMYFUNCTION("""COMPUTED_VALUE"""),"Man shot in school parking lot")</f>
        <v>Man shot in school parking lot</v>
      </c>
      <c r="Z614" s="12" t="str">
        <f ca="1">IFERROR(__xludf.DUMMYFUNCTION("""COMPUTED_VALUE"""),"Man shot in school parking lot. Shooter fled.")</f>
        <v>Man shot in school parking lot. Shooter fled.</v>
      </c>
      <c r="AA614" s="8"/>
      <c r="AB614" s="8"/>
      <c r="AC614" s="8" t="str">
        <f ca="1">IFERROR(__xludf.DUMMYFUNCTION("""COMPUTED_VALUE"""),"No")</f>
        <v>No</v>
      </c>
      <c r="AD614" s="8"/>
      <c r="AE614" s="8"/>
      <c r="AF614" s="8"/>
      <c r="AG614" s="8" t="str">
        <f ca="1">IFERROR(__xludf.DUMMYFUNCTION("""COMPUTED_VALUE"""),"No")</f>
        <v>No</v>
      </c>
      <c r="AH614" s="8" t="str">
        <f ca="1">IFERROR(__xludf.DUMMYFUNCTION("""COMPUTED_VALUE"""),"No")</f>
        <v>No</v>
      </c>
      <c r="AI614" s="8" t="str">
        <f ca="1">IFERROR(__xludf.DUMMYFUNCTION("""COMPUTED_VALUE"""),"No")</f>
        <v>No</v>
      </c>
      <c r="AJ614" s="8" t="str">
        <f ca="1">IFERROR(__xludf.DUMMYFUNCTION("""COMPUTED_VALUE"""),"No")</f>
        <v>No</v>
      </c>
      <c r="AK614" s="8"/>
      <c r="AL614" s="8"/>
      <c r="AM614" s="8" t="str">
        <f ca="1">IFERROR(__xludf.DUMMYFUNCTION("""COMPUTED_VALUE"""),"No")</f>
        <v>No</v>
      </c>
      <c r="AN614" s="8" t="str">
        <f ca="1">IFERROR(__xludf.DUMMYFUNCTION("""COMPUTED_VALUE"""),"Outside")</f>
        <v>Outside</v>
      </c>
      <c r="AO614" s="8" t="str">
        <f ca="1">IFERROR(__xludf.DUMMYFUNCTION("""COMPUTED_VALUE"""),"No")</f>
        <v>No</v>
      </c>
      <c r="AP614" s="8"/>
      <c r="AQ614" s="8"/>
      <c r="AR614" s="8" t="str">
        <f ca="1">IFERROR(__xludf.DUMMYFUNCTION("""COMPUTED_VALUE"""),"Outside/Off-Property")</f>
        <v>Outside/Off-Property</v>
      </c>
      <c r="AS614" s="8"/>
      <c r="AT614" s="8" t="str">
        <f ca="1">IFERROR(__xludf.DUMMYFUNCTION("""COMPUTED_VALUE"""),"No")</f>
        <v>No</v>
      </c>
      <c r="AU614" s="8">
        <f ca="1">IFERROR(__xludf.DUMMYFUNCTION("""COMPUTED_VALUE"""),41.492998)</f>
        <v>41.492998</v>
      </c>
      <c r="AV614" s="8">
        <f ca="1">IFERROR(__xludf.DUMMYFUNCTION("""COMPUTED_VALUE"""),-81.648796)</f>
        <v>-81.648796000000004</v>
      </c>
      <c r="AW614" s="8"/>
      <c r="AX614" s="8">
        <f ca="1">IFERROR(__xludf.DUMMYFUNCTION("""COMPUTED_VALUE"""),44104)</f>
        <v>44104</v>
      </c>
    </row>
    <row r="615" spans="1:50" ht="30" x14ac:dyDescent="0.2">
      <c r="A615" s="8" t="str">
        <f ca="1">IFERROR(__xludf.DUMMYFUNCTION("""COMPUTED_VALUE"""),"20230915MDJAB")</f>
        <v>20230915MDJAB</v>
      </c>
      <c r="B615" s="8">
        <f ca="1">IFERROR(__xludf.DUMMYFUNCTION("""COMPUTED_VALUE"""),9)</f>
        <v>9</v>
      </c>
      <c r="C615" s="8">
        <f ca="1">IFERROR(__xludf.DUMMYFUNCTION("""COMPUTED_VALUE"""),15)</f>
        <v>15</v>
      </c>
      <c r="D615" s="8">
        <f ca="1">IFERROR(__xludf.DUMMYFUNCTION("""COMPUTED_VALUE"""),2023)</f>
        <v>2023</v>
      </c>
      <c r="E615" s="9">
        <f ca="1">IFERROR(__xludf.DUMMYFUNCTION("""COMPUTED_VALUE"""),45184)</f>
        <v>45184</v>
      </c>
      <c r="F615" s="8" t="str">
        <f ca="1">IFERROR(__xludf.DUMMYFUNCTION("""COMPUTED_VALUE"""),"James McHenry Elementary School")</f>
        <v>James McHenry Elementary School</v>
      </c>
      <c r="G615" s="8">
        <f ca="1">IFERROR(__xludf.DUMMYFUNCTION("""COMPUTED_VALUE"""),0)</f>
        <v>0</v>
      </c>
      <c r="H615" s="8">
        <f ca="1">IFERROR(__xludf.DUMMYFUNCTION("""COMPUTED_VALUE"""),2)</f>
        <v>2</v>
      </c>
      <c r="I615" s="8">
        <f ca="1">IFERROR(__xludf.DUMMYFUNCTION("""COMPUTED_VALUE"""),2)</f>
        <v>2</v>
      </c>
      <c r="J615" s="8">
        <f ca="1">IFERROR(__xludf.DUMMYFUNCTION("""COMPUTED_VALUE"""),0)</f>
        <v>0</v>
      </c>
      <c r="K615" s="10" t="str">
        <f ca="1">IFERROR(__xludf.DUMMYFUNCTION("""COMPUTED_VALUE"""),"https://www.cbsnews.com/baltimore/news/two-teens-injured-by-gunfire-near-southwest-baltimore-elementary-school/")</f>
        <v>https://www.cbsnews.com/baltimore/news/two-teens-injured-by-gunfire-near-southwest-baltimore-elementary-school/</v>
      </c>
      <c r="L615" s="8">
        <f ca="1">IFERROR(__xludf.DUMMYFUNCTION("""COMPUTED_VALUE"""),1)</f>
        <v>1</v>
      </c>
      <c r="M615" s="8" t="str">
        <f ca="1">IFERROR(__xludf.DUMMYFUNCTION("""COMPUTED_VALUE"""),"Local")</f>
        <v>Local</v>
      </c>
      <c r="N615" s="8">
        <f ca="1">IFERROR(__xludf.DUMMYFUNCTION("""COMPUTED_VALUE"""),3)</f>
        <v>3</v>
      </c>
      <c r="O615" s="8" t="str">
        <f ca="1">IFERROR(__xludf.DUMMYFUNCTION("""COMPUTED_VALUE"""),"Fall")</f>
        <v>Fall</v>
      </c>
      <c r="P615" s="8" t="str">
        <f ca="1">IFERROR(__xludf.DUMMYFUNCTION("""COMPUTED_VALUE"""),"Baltimore")</f>
        <v>Baltimore</v>
      </c>
      <c r="Q615" s="8" t="str">
        <f ca="1">IFERROR(__xludf.DUMMYFUNCTION("""COMPUTED_VALUE"""),"MD")</f>
        <v>MD</v>
      </c>
      <c r="R615" s="8" t="str">
        <f ca="1">IFERROR(__xludf.DUMMYFUNCTION("""COMPUTED_VALUE"""),"Elementary")</f>
        <v>Elementary</v>
      </c>
      <c r="S615" s="8" t="str">
        <f ca="1">IFERROR(__xludf.DUMMYFUNCTION("""COMPUTED_VALUE"""),"Playground")</f>
        <v>Playground</v>
      </c>
      <c r="T615" s="8" t="str">
        <f ca="1">IFERROR(__xludf.DUMMYFUNCTION("""COMPUTED_VALUE"""),"Outside on School Property")</f>
        <v>Outside on School Property</v>
      </c>
      <c r="U615" s="8" t="str">
        <f ca="1">IFERROR(__xludf.DUMMYFUNCTION("""COMPUTED_VALUE"""),"No")</f>
        <v>No</v>
      </c>
      <c r="V615" s="8" t="str">
        <f ca="1">IFERROR(__xludf.DUMMYFUNCTION("""COMPUTED_VALUE"""),"Evening")</f>
        <v>Evening</v>
      </c>
      <c r="W615" s="11">
        <f ca="1">IFERROR(__xludf.DUMMYFUNCTION("""COMPUTED_VALUE"""),0.833333333333333)</f>
        <v>0.83333333333333304</v>
      </c>
      <c r="X615" s="8">
        <f ca="1">IFERROR(__xludf.DUMMYFUNCTION("""COMPUTED_VALUE"""),1)</f>
        <v>1</v>
      </c>
      <c r="Y615" s="12" t="str">
        <f ca="1">IFERROR(__xludf.DUMMYFUNCTION("""COMPUTED_VALUE"""),"Two teens shot on school playground")</f>
        <v>Two teens shot on school playground</v>
      </c>
      <c r="Z615" s="12" t="str">
        <f ca="1">IFERROR(__xludf.DUMMYFUNCTION("""COMPUTED_VALUE"""),"Two teens (14-year-old girl and 17-year-old boy) shot on or near the school playground. Shooter fled.")</f>
        <v>Two teens (14-year-old girl and 17-year-old boy) shot on or near the school playground. Shooter fled.</v>
      </c>
      <c r="AA615" s="8"/>
      <c r="AB615" s="8"/>
      <c r="AC615" s="8" t="str">
        <f ca="1">IFERROR(__xludf.DUMMYFUNCTION("""COMPUTED_VALUE"""),"No")</f>
        <v>No</v>
      </c>
      <c r="AD615" s="8"/>
      <c r="AE615" s="8"/>
      <c r="AF615" s="8"/>
      <c r="AG615" s="8" t="str">
        <f ca="1">IFERROR(__xludf.DUMMYFUNCTION("""COMPUTED_VALUE"""),"No")</f>
        <v>No</v>
      </c>
      <c r="AH615" s="8" t="str">
        <f ca="1">IFERROR(__xludf.DUMMYFUNCTION("""COMPUTED_VALUE"""),"No")</f>
        <v>No</v>
      </c>
      <c r="AI615" s="8" t="str">
        <f ca="1">IFERROR(__xludf.DUMMYFUNCTION("""COMPUTED_VALUE"""),"No")</f>
        <v>No</v>
      </c>
      <c r="AJ615" s="8" t="str">
        <f ca="1">IFERROR(__xludf.DUMMYFUNCTION("""COMPUTED_VALUE"""),"No")</f>
        <v>No</v>
      </c>
      <c r="AK615" s="8" t="str">
        <f ca="1">IFERROR(__xludf.DUMMYFUNCTION("""COMPUTED_VALUE"""),"No")</f>
        <v>No</v>
      </c>
      <c r="AL615" s="8"/>
      <c r="AM615" s="8" t="str">
        <f ca="1">IFERROR(__xludf.DUMMYFUNCTION("""COMPUTED_VALUE"""),"No")</f>
        <v>No</v>
      </c>
      <c r="AN615" s="8" t="str">
        <f ca="1">IFERROR(__xludf.DUMMYFUNCTION("""COMPUTED_VALUE"""),"Outside")</f>
        <v>Outside</v>
      </c>
      <c r="AO615" s="8" t="str">
        <f ca="1">IFERROR(__xludf.DUMMYFUNCTION("""COMPUTED_VALUE"""),"No")</f>
        <v>No</v>
      </c>
      <c r="AP615" s="8"/>
      <c r="AQ615" s="8"/>
      <c r="AR615" s="8" t="str">
        <f ca="1">IFERROR(__xludf.DUMMYFUNCTION("""COMPUTED_VALUE"""),"Outside/Off-Property")</f>
        <v>Outside/Off-Property</v>
      </c>
      <c r="AS615" s="8">
        <f ca="1">IFERROR(__xludf.DUMMYFUNCTION("""COMPUTED_VALUE"""),99)</f>
        <v>99</v>
      </c>
      <c r="AT615" s="8" t="str">
        <f ca="1">IFERROR(__xludf.DUMMYFUNCTION("""COMPUTED_VALUE"""),"No")</f>
        <v>No</v>
      </c>
      <c r="AU615" s="8">
        <f ca="1">IFERROR(__xludf.DUMMYFUNCTION("""COMPUTED_VALUE"""),39.287198)</f>
        <v>39.287197999999997</v>
      </c>
      <c r="AV615" s="8">
        <f ca="1">IFERROR(__xludf.DUMMYFUNCTION("""COMPUTED_VALUE"""),-76.633648)</f>
        <v>-76.633647999999994</v>
      </c>
      <c r="AW615" s="8"/>
      <c r="AX615" s="8">
        <f ca="1">IFERROR(__xludf.DUMMYFUNCTION("""COMPUTED_VALUE"""),21223)</f>
        <v>21223</v>
      </c>
    </row>
    <row r="616" spans="1:50" ht="135" x14ac:dyDescent="0.2">
      <c r="A616" s="8" t="str">
        <f ca="1">IFERROR(__xludf.DUMMYFUNCTION("""COMPUTED_VALUE"""),"20230915ILHIC")</f>
        <v>20230915ILHIC</v>
      </c>
      <c r="B616" s="8">
        <f ca="1">IFERROR(__xludf.DUMMYFUNCTION("""COMPUTED_VALUE"""),9)</f>
        <v>9</v>
      </c>
      <c r="C616" s="8">
        <f ca="1">IFERROR(__xludf.DUMMYFUNCTION("""COMPUTED_VALUE"""),15)</f>
        <v>15</v>
      </c>
      <c r="D616" s="8">
        <f ca="1">IFERROR(__xludf.DUMMYFUNCTION("""COMPUTED_VALUE"""),2023)</f>
        <v>2023</v>
      </c>
      <c r="E616" s="9">
        <f ca="1">IFERROR(__xludf.DUMMYFUNCTION("""COMPUTED_VALUE"""),45184)</f>
        <v>45184</v>
      </c>
      <c r="F616" s="8" t="str">
        <f ca="1">IFERROR(__xludf.DUMMYFUNCTION("""COMPUTED_VALUE"""),"Hillcrest High School")</f>
        <v>Hillcrest High School</v>
      </c>
      <c r="G616" s="8">
        <f ca="1">IFERROR(__xludf.DUMMYFUNCTION("""COMPUTED_VALUE"""),1)</f>
        <v>1</v>
      </c>
      <c r="H616" s="8">
        <f ca="1">IFERROR(__xludf.DUMMYFUNCTION("""COMPUTED_VALUE"""),0)</f>
        <v>0</v>
      </c>
      <c r="I616" s="8">
        <f ca="1">IFERROR(__xludf.DUMMYFUNCTION("""COMPUTED_VALUE"""),1)</f>
        <v>1</v>
      </c>
      <c r="J616" s="8">
        <f ca="1">IFERROR(__xludf.DUMMYFUNCTION("""COMPUTED_VALUE"""),0)</f>
        <v>0</v>
      </c>
      <c r="K616" s="10" t="str">
        <f ca="1">IFERROR(__xludf.DUMMYFUNCTION("""COMPUTED_VALUE"""),"https://www.fox32chicago.com/news/hillcrest-high-school-shooting-country-club-hills")</f>
        <v>https://www.fox32chicago.com/news/hillcrest-high-school-shooting-country-club-hills</v>
      </c>
      <c r="L616" s="8">
        <f ca="1">IFERROR(__xludf.DUMMYFUNCTION("""COMPUTED_VALUE"""),500)</f>
        <v>500</v>
      </c>
      <c r="M616" s="8" t="str">
        <f ca="1">IFERROR(__xludf.DUMMYFUNCTION("""COMPUTED_VALUE"""),"National")</f>
        <v>National</v>
      </c>
      <c r="N616" s="8">
        <f ca="1">IFERROR(__xludf.DUMMYFUNCTION("""COMPUTED_VALUE"""),4)</f>
        <v>4</v>
      </c>
      <c r="O616" s="8" t="str">
        <f ca="1">IFERROR(__xludf.DUMMYFUNCTION("""COMPUTED_VALUE"""),"Fall")</f>
        <v>Fall</v>
      </c>
      <c r="P616" s="8" t="str">
        <f ca="1">IFERROR(__xludf.DUMMYFUNCTION("""COMPUTED_VALUE"""),"Country Club Hills")</f>
        <v>Country Club Hills</v>
      </c>
      <c r="Q616" s="8" t="str">
        <f ca="1">IFERROR(__xludf.DUMMYFUNCTION("""COMPUTED_VALUE"""),"IL")</f>
        <v>IL</v>
      </c>
      <c r="R616" s="8" t="str">
        <f ca="1">IFERROR(__xludf.DUMMYFUNCTION("""COMPUTED_VALUE"""),"High")</f>
        <v>High</v>
      </c>
      <c r="S616" s="8" t="str">
        <f ca="1">IFERROR(__xludf.DUMMYFUNCTION("""COMPUTED_VALUE"""),"Football Field/Track")</f>
        <v>Football Field/Track</v>
      </c>
      <c r="T616" s="8" t="str">
        <f ca="1">IFERROR(__xludf.DUMMYFUNCTION("""COMPUTED_VALUE"""),"Outside on School Property")</f>
        <v>Outside on School Property</v>
      </c>
      <c r="U616" s="8" t="str">
        <f ca="1">IFERROR(__xludf.DUMMYFUNCTION("""COMPUTED_VALUE"""),"No")</f>
        <v>No</v>
      </c>
      <c r="V616" s="8" t="str">
        <f ca="1">IFERROR(__xludf.DUMMYFUNCTION("""COMPUTED_VALUE"""),"Sport Event")</f>
        <v>Sport Event</v>
      </c>
      <c r="W616" s="11">
        <f ca="1">IFERROR(__xludf.DUMMYFUNCTION("""COMPUTED_VALUE"""),0.875)</f>
        <v>0.875</v>
      </c>
      <c r="X616" s="8">
        <f ca="1">IFERROR(__xludf.DUMMYFUNCTION("""COMPUTED_VALUE"""),1)</f>
        <v>1</v>
      </c>
      <c r="Y616" s="12" t="str">
        <f ca="1">IFERROR(__xludf.DUMMYFUNCTION("""COMPUTED_VALUE"""),"Student killed while leaving football game")</f>
        <v>Student killed while leaving football game</v>
      </c>
      <c r="Z616" s="12" t="str">
        <f ca="1">IFERROR(__xludf.DUMMYFUNCTION("""COMPUTED_VALUE"""),"According to police, the shooting occurred at around 9 p.m. as officers were dispersing a crowd following Hillcrest High School's homecoming football game against Oak Forest High School. As people were exiting the game, gunshots were fired from an unknown"&amp;" direction, striking a 14-year-old boy and inflicting life-threatening injuries, according to officials. The teen was taken to an area hospital where he was later pronounced dead, according to the Cook County Medical Examiner's office.")</f>
        <v>According to police, the shooting occurred at around 9 p.m. as officers were dispersing a crowd following Hillcrest High School's homecoming football game against Oak Forest High School. As people were exiting the game, gunshots were fired from an unknown direction, striking a 14-year-old boy and inflicting life-threatening injuries, according to officials. The teen was taken to an area hospital where he was later pronounced dead, according to the Cook County Medical Examiner's office.</v>
      </c>
      <c r="AA616" s="8"/>
      <c r="AB616" s="8"/>
      <c r="AC616" s="8" t="str">
        <f ca="1">IFERROR(__xludf.DUMMYFUNCTION("""COMPUTED_VALUE"""),"Yes")</f>
        <v>Yes</v>
      </c>
      <c r="AD616" s="8"/>
      <c r="AE616" s="8"/>
      <c r="AF616" s="8"/>
      <c r="AG616" s="8" t="str">
        <f ca="1">IFERROR(__xludf.DUMMYFUNCTION("""COMPUTED_VALUE"""),"No")</f>
        <v>No</v>
      </c>
      <c r="AH616" s="8" t="str">
        <f ca="1">IFERROR(__xludf.DUMMYFUNCTION("""COMPUTED_VALUE"""),"No")</f>
        <v>No</v>
      </c>
      <c r="AI616" s="8" t="str">
        <f ca="1">IFERROR(__xludf.DUMMYFUNCTION("""COMPUTED_VALUE"""),"No")</f>
        <v>No</v>
      </c>
      <c r="AJ616" s="8" t="str">
        <f ca="1">IFERROR(__xludf.DUMMYFUNCTION("""COMPUTED_VALUE"""),"No")</f>
        <v>No</v>
      </c>
      <c r="AK616" s="8" t="str">
        <f ca="1">IFERROR(__xludf.DUMMYFUNCTION("""COMPUTED_VALUE"""),"No")</f>
        <v>No</v>
      </c>
      <c r="AL616" s="8"/>
      <c r="AM616" s="8" t="str">
        <f ca="1">IFERROR(__xludf.DUMMYFUNCTION("""COMPUTED_VALUE"""),"No")</f>
        <v>No</v>
      </c>
      <c r="AN616" s="8" t="str">
        <f ca="1">IFERROR(__xludf.DUMMYFUNCTION("""COMPUTED_VALUE"""),"Outside")</f>
        <v>Outside</v>
      </c>
      <c r="AO616" s="8" t="str">
        <f ca="1">IFERROR(__xludf.DUMMYFUNCTION("""COMPUTED_VALUE"""),"No")</f>
        <v>No</v>
      </c>
      <c r="AP616" s="8"/>
      <c r="AQ616" s="8"/>
      <c r="AR616" s="8" t="str">
        <f ca="1">IFERROR(__xludf.DUMMYFUNCTION("""COMPUTED_VALUE"""),"Outside/Off-Property")</f>
        <v>Outside/Off-Property</v>
      </c>
      <c r="AS616" s="8">
        <f ca="1">IFERROR(__xludf.DUMMYFUNCTION("""COMPUTED_VALUE"""),99)</f>
        <v>99</v>
      </c>
      <c r="AT616" s="8" t="str">
        <f ca="1">IFERROR(__xludf.DUMMYFUNCTION("""COMPUTED_VALUE"""),"No")</f>
        <v>No</v>
      </c>
      <c r="AU616" s="8">
        <f ca="1">IFERROR(__xludf.DUMMYFUNCTION("""COMPUTED_VALUE"""),41.573196)</f>
        <v>41.573196000000003</v>
      </c>
      <c r="AV616" s="8">
        <f ca="1">IFERROR(__xludf.DUMMYFUNCTION("""COMPUTED_VALUE"""),-87.712544)</f>
        <v>-87.712543999999994</v>
      </c>
      <c r="AW616" s="8"/>
      <c r="AX616" s="8">
        <f ca="1">IFERROR(__xludf.DUMMYFUNCTION("""COMPUTED_VALUE"""),60478)</f>
        <v>60478</v>
      </c>
    </row>
    <row r="617" spans="1:50" ht="105" x14ac:dyDescent="0.2">
      <c r="A617" s="8" t="str">
        <f ca="1">IFERROR(__xludf.DUMMYFUNCTION("""COMPUTED_VALUE"""),"20230915KSWYK")</f>
        <v>20230915KSWYK</v>
      </c>
      <c r="B617" s="8">
        <f ca="1">IFERROR(__xludf.DUMMYFUNCTION("""COMPUTED_VALUE"""),9)</f>
        <v>9</v>
      </c>
      <c r="C617" s="8">
        <f ca="1">IFERROR(__xludf.DUMMYFUNCTION("""COMPUTED_VALUE"""),15)</f>
        <v>15</v>
      </c>
      <c r="D617" s="8">
        <f ca="1">IFERROR(__xludf.DUMMYFUNCTION("""COMPUTED_VALUE"""),2023)</f>
        <v>2023</v>
      </c>
      <c r="E617" s="9">
        <f ca="1">IFERROR(__xludf.DUMMYFUNCTION("""COMPUTED_VALUE"""),45184)</f>
        <v>45184</v>
      </c>
      <c r="F617" s="8" t="str">
        <f ca="1">IFERROR(__xludf.DUMMYFUNCTION("""COMPUTED_VALUE"""),"Wyandotte High School")</f>
        <v>Wyandotte High School</v>
      </c>
      <c r="G617" s="8">
        <f ca="1">IFERROR(__xludf.DUMMYFUNCTION("""COMPUTED_VALUE"""),0)</f>
        <v>0</v>
      </c>
      <c r="H617" s="8">
        <f ca="1">IFERROR(__xludf.DUMMYFUNCTION("""COMPUTED_VALUE"""),0)</f>
        <v>0</v>
      </c>
      <c r="I617" s="8">
        <f ca="1">IFERROR(__xludf.DUMMYFUNCTION("""COMPUTED_VALUE"""),0)</f>
        <v>0</v>
      </c>
      <c r="J617" s="8">
        <f ca="1">IFERROR(__xludf.DUMMYFUNCTION("""COMPUTED_VALUE"""),0)</f>
        <v>0</v>
      </c>
      <c r="K617" s="8" t="str">
        <f ca="1">IFERROR(__xludf.DUMMYFUNCTION("""COMPUTED_VALUE"""),"https://fox4kc.com/news/kckpd-investigating-after-shots-fired-at-high-school-football-game/
https://www.kshb.com/news/crime/2-suspects-fire-shots-after-football-game-at-wyandotte-high-school-football-night-police-say")</f>
        <v>https://fox4kc.com/news/kckpd-investigating-after-shots-fired-at-high-school-football-game/
https://www.kshb.com/news/crime/2-suspects-fire-shots-after-football-game-at-wyandotte-high-school-football-night-police-say</v>
      </c>
      <c r="L617" s="8">
        <f ca="1">IFERROR(__xludf.DUMMYFUNCTION("""COMPUTED_VALUE"""),10)</f>
        <v>10</v>
      </c>
      <c r="M617" s="8" t="str">
        <f ca="1">IFERROR(__xludf.DUMMYFUNCTION("""COMPUTED_VALUE"""),"Local")</f>
        <v>Local</v>
      </c>
      <c r="N617" s="8">
        <f ca="1">IFERROR(__xludf.DUMMYFUNCTION("""COMPUTED_VALUE"""),4)</f>
        <v>4</v>
      </c>
      <c r="O617" s="8" t="str">
        <f ca="1">IFERROR(__xludf.DUMMYFUNCTION("""COMPUTED_VALUE"""),"Fall")</f>
        <v>Fall</v>
      </c>
      <c r="P617" s="8" t="str">
        <f ca="1">IFERROR(__xludf.DUMMYFUNCTION("""COMPUTED_VALUE"""),"Kansas City")</f>
        <v>Kansas City</v>
      </c>
      <c r="Q617" s="8" t="str">
        <f ca="1">IFERROR(__xludf.DUMMYFUNCTION("""COMPUTED_VALUE"""),"KS")</f>
        <v>KS</v>
      </c>
      <c r="R617" s="8" t="str">
        <f ca="1">IFERROR(__xludf.DUMMYFUNCTION("""COMPUTED_VALUE"""),"High")</f>
        <v>High</v>
      </c>
      <c r="S617" s="8" t="str">
        <f ca="1">IFERROR(__xludf.DUMMYFUNCTION("""COMPUTED_VALUE"""),"Football Field/Track")</f>
        <v>Football Field/Track</v>
      </c>
      <c r="T617" s="8" t="str">
        <f ca="1">IFERROR(__xludf.DUMMYFUNCTION("""COMPUTED_VALUE"""),"Outside on School Property")</f>
        <v>Outside on School Property</v>
      </c>
      <c r="U617" s="8" t="str">
        <f ca="1">IFERROR(__xludf.DUMMYFUNCTION("""COMPUTED_VALUE"""),"No")</f>
        <v>No</v>
      </c>
      <c r="V617" s="8" t="str">
        <f ca="1">IFERROR(__xludf.DUMMYFUNCTION("""COMPUTED_VALUE"""),"Sport Event")</f>
        <v>Sport Event</v>
      </c>
      <c r="W617" s="11">
        <f ca="1">IFERROR(__xludf.DUMMYFUNCTION("""COMPUTED_VALUE"""),0.916666666666666)</f>
        <v>0.91666666666666596</v>
      </c>
      <c r="X617" s="8">
        <f ca="1">IFERROR(__xludf.DUMMYFUNCTION("""COMPUTED_VALUE"""),1)</f>
        <v>1</v>
      </c>
      <c r="Y617" s="12" t="str">
        <f ca="1">IFERROR(__xludf.DUMMYFUNCTION("""COMPUTED_VALUE"""),"Two suspects fired at officer working gate during football game")</f>
        <v>Two suspects fired at officer working gate during football game</v>
      </c>
      <c r="Z617" s="12" t="str">
        <f ca="1">IFERROR(__xludf.DUMMYFUNCTION("""COMPUTED_VALUE"""),"According to KCKPD, at one minute left in the game, two unknown suspects approached the entrance to the field, from outside of the stadium, and shot towards a police officer that was standing at the gate. The officer returned fire until the suspects fled "&amp;"north to a vehicle and left the scene. At this time there are no reports of any individuals being struck by the gunfire.")</f>
        <v>According to KCKPD, at one minute left in the game, two unknown suspects approached the entrance to the field, from outside of the stadium, and shot towards a police officer that was standing at the gate. The officer returned fire until the suspects fled north to a vehicle and left the scene. At this time there are no reports of any individuals being struck by the gunfire.</v>
      </c>
      <c r="AA617" s="8"/>
      <c r="AB617" s="8"/>
      <c r="AC617" s="8" t="str">
        <f ca="1">IFERROR(__xludf.DUMMYFUNCTION("""COMPUTED_VALUE"""),"Yes")</f>
        <v>Yes</v>
      </c>
      <c r="AD617" s="8"/>
      <c r="AE617" s="8" t="str">
        <f ca="1">IFERROR(__xludf.DUMMYFUNCTION("""COMPUTED_VALUE"""),"Yes")</f>
        <v>Yes</v>
      </c>
      <c r="AF617" s="8" t="str">
        <f ca="1">IFERROR(__xludf.DUMMYFUNCTION("""COMPUTED_VALUE"""),"Two shooters")</f>
        <v>Two shooters</v>
      </c>
      <c r="AG617" s="8" t="str">
        <f ca="1">IFERROR(__xludf.DUMMYFUNCTION("""COMPUTED_VALUE"""),"No")</f>
        <v>No</v>
      </c>
      <c r="AH617" s="8" t="str">
        <f ca="1">IFERROR(__xludf.DUMMYFUNCTION("""COMPUTED_VALUE"""),"No")</f>
        <v>No</v>
      </c>
      <c r="AI617" s="8" t="str">
        <f ca="1">IFERROR(__xludf.DUMMYFUNCTION("""COMPUTED_VALUE"""),"No")</f>
        <v>No</v>
      </c>
      <c r="AJ617" s="8" t="str">
        <f ca="1">IFERROR(__xludf.DUMMYFUNCTION("""COMPUTED_VALUE"""),"No")</f>
        <v>No</v>
      </c>
      <c r="AK617" s="8" t="str">
        <f ca="1">IFERROR(__xludf.DUMMYFUNCTION("""COMPUTED_VALUE"""),"No")</f>
        <v>No</v>
      </c>
      <c r="AL617" s="8"/>
      <c r="AM617" s="8"/>
      <c r="AN617" s="8" t="str">
        <f ca="1">IFERROR(__xludf.DUMMYFUNCTION("""COMPUTED_VALUE"""),"Outside")</f>
        <v>Outside</v>
      </c>
      <c r="AO617" s="8"/>
      <c r="AP617" s="8" t="str">
        <f ca="1">IFERROR(__xludf.DUMMYFUNCTION("""COMPUTED_VALUE"""),"Yes")</f>
        <v>Yes</v>
      </c>
      <c r="AQ617" s="8" t="str">
        <f ca="1">IFERROR(__xludf.DUMMYFUNCTION("""COMPUTED_VALUE"""),"Armed Guards")</f>
        <v>Armed Guards</v>
      </c>
      <c r="AR617" s="8" t="str">
        <f ca="1">IFERROR(__xludf.DUMMYFUNCTION("""COMPUTED_VALUE"""),"Outside/Off-Property")</f>
        <v>Outside/Off-Property</v>
      </c>
      <c r="AS617" s="8">
        <f ca="1">IFERROR(__xludf.DUMMYFUNCTION("""COMPUTED_VALUE"""),99)</f>
        <v>99</v>
      </c>
      <c r="AT617" s="8"/>
      <c r="AU617" s="8">
        <f ca="1">IFERROR(__xludf.DUMMYFUNCTION("""COMPUTED_VALUE"""),39.114278)</f>
        <v>39.114277999999999</v>
      </c>
      <c r="AV617" s="8">
        <f ca="1">IFERROR(__xludf.DUMMYFUNCTION("""COMPUTED_VALUE"""),-94.656201)</f>
        <v>-94.656200999999996</v>
      </c>
      <c r="AW617" s="8"/>
      <c r="AX617" s="8">
        <f ca="1">IFERROR(__xludf.DUMMYFUNCTION("""COMPUTED_VALUE"""),66102)</f>
        <v>66102</v>
      </c>
    </row>
    <row r="618" spans="1:50" ht="45" x14ac:dyDescent="0.2">
      <c r="A618" s="8" t="str">
        <f ca="1">IFERROR(__xludf.DUMMYFUNCTION("""COMPUTED_VALUE"""),"20230914ILBOU")</f>
        <v>20230914ILBOU</v>
      </c>
      <c r="B618" s="8">
        <f ca="1">IFERROR(__xludf.DUMMYFUNCTION("""COMPUTED_VALUE"""),9)</f>
        <v>9</v>
      </c>
      <c r="C618" s="8">
        <f ca="1">IFERROR(__xludf.DUMMYFUNCTION("""COMPUTED_VALUE"""),14)</f>
        <v>14</v>
      </c>
      <c r="D618" s="8">
        <f ca="1">IFERROR(__xludf.DUMMYFUNCTION("""COMPUTED_VALUE"""),2023)</f>
        <v>2023</v>
      </c>
      <c r="E618" s="9">
        <f ca="1">IFERROR(__xludf.DUMMYFUNCTION("""COMPUTED_VALUE"""),45183)</f>
        <v>45183</v>
      </c>
      <c r="F618" s="8" t="str">
        <f ca="1">IFERROR(__xludf.DUMMYFUNCTION("""COMPUTED_VALUE"""),"Booker T. Washington School")</f>
        <v>Booker T. Washington School</v>
      </c>
      <c r="G618" s="8">
        <f ca="1">IFERROR(__xludf.DUMMYFUNCTION("""COMPUTED_VALUE"""),0)</f>
        <v>0</v>
      </c>
      <c r="H618" s="8">
        <f ca="1">IFERROR(__xludf.DUMMYFUNCTION("""COMPUTED_VALUE"""),0)</f>
        <v>0</v>
      </c>
      <c r="I618" s="8">
        <f ca="1">IFERROR(__xludf.DUMMYFUNCTION("""COMPUTED_VALUE"""),0)</f>
        <v>0</v>
      </c>
      <c r="J618" s="8">
        <f ca="1">IFERROR(__xludf.DUMMYFUNCTION("""COMPUTED_VALUE"""),0)</f>
        <v>0</v>
      </c>
      <c r="K618" s="8" t="str">
        <f ca="1">IFERROR(__xludf.DUMMYFUNCTION("""COMPUTED_VALUE"""),"https://www.wcia.com/crime/11-year-old-charged-with-gun-crime-after-shots-fired-near-champaign-school/
https://newschannel20.com/newsletter-daily/multiple-arrests-made-in-connection-to-shooting-near-urbanas-booker-t-washington-school")</f>
        <v>https://www.wcia.com/crime/11-year-old-charged-with-gun-crime-after-shots-fired-near-champaign-school/
https://newschannel20.com/newsletter-daily/multiple-arrests-made-in-connection-to-shooting-near-urbanas-booker-t-washington-school</v>
      </c>
      <c r="L618" s="8">
        <f ca="1">IFERROR(__xludf.DUMMYFUNCTION("""COMPUTED_VALUE"""),5)</f>
        <v>5</v>
      </c>
      <c r="M618" s="8" t="str">
        <f ca="1">IFERROR(__xludf.DUMMYFUNCTION("""COMPUTED_VALUE"""),"Local")</f>
        <v>Local</v>
      </c>
      <c r="N618" s="8">
        <f ca="1">IFERROR(__xludf.DUMMYFUNCTION("""COMPUTED_VALUE"""),4)</f>
        <v>4</v>
      </c>
      <c r="O618" s="8" t="str">
        <f ca="1">IFERROR(__xludf.DUMMYFUNCTION("""COMPUTED_VALUE"""),"Fall")</f>
        <v>Fall</v>
      </c>
      <c r="P618" s="8" t="str">
        <f ca="1">IFERROR(__xludf.DUMMYFUNCTION("""COMPUTED_VALUE"""),"Urbana")</f>
        <v>Urbana</v>
      </c>
      <c r="Q618" s="8" t="str">
        <f ca="1">IFERROR(__xludf.DUMMYFUNCTION("""COMPUTED_VALUE"""),"IL")</f>
        <v>IL</v>
      </c>
      <c r="R618" s="8" t="str">
        <f ca="1">IFERROR(__xludf.DUMMYFUNCTION("""COMPUTED_VALUE"""),"K-12")</f>
        <v>K-12</v>
      </c>
      <c r="S618" s="8" t="str">
        <f ca="1">IFERROR(__xludf.DUMMYFUNCTION("""COMPUTED_VALUE"""),"Front of School")</f>
        <v>Front of School</v>
      </c>
      <c r="T618" s="8" t="str">
        <f ca="1">IFERROR(__xludf.DUMMYFUNCTION("""COMPUTED_VALUE"""),"Outside on School Property")</f>
        <v>Outside on School Property</v>
      </c>
      <c r="U618" s="8" t="str">
        <f ca="1">IFERROR(__xludf.DUMMYFUNCTION("""COMPUTED_VALUE"""),"Yes")</f>
        <v>Yes</v>
      </c>
      <c r="V618" s="8" t="str">
        <f ca="1">IFERROR(__xludf.DUMMYFUNCTION("""COMPUTED_VALUE"""),"Dismissal")</f>
        <v>Dismissal</v>
      </c>
      <c r="W618" s="11">
        <f ca="1">IFERROR(__xludf.DUMMYFUNCTION("""COMPUTED_VALUE"""),0.666666666666666)</f>
        <v>0.66666666666666596</v>
      </c>
      <c r="X618" s="8">
        <f ca="1">IFERROR(__xludf.DUMMYFUNCTION("""COMPUTED_VALUE"""),1)</f>
        <v>1</v>
      </c>
      <c r="Y618" s="12" t="str">
        <f ca="1">IFERROR(__xludf.DUMMYFUNCTION("""COMPUTED_VALUE"""),"Four teens fired shots outside the school at dismissal")</f>
        <v>Four teens fired shots outside the school at dismissal</v>
      </c>
      <c r="Z618" s="12" t="str">
        <f ca="1">IFERROR(__xludf.DUMMYFUNCTION("""COMPUTED_VALUE"""),"Four teens fired shots outside the school at dismissal. No injuries or property damage. Suspects fled and were arrested 2 weeks later.")</f>
        <v>Four teens fired shots outside the school at dismissal. No injuries or property damage. Suspects fled and were arrested 2 weeks later.</v>
      </c>
      <c r="AA618" s="8" t="str">
        <f ca="1">IFERROR(__xludf.DUMMYFUNCTION("""COMPUTED_VALUE"""),"Escalation of Dispute")</f>
        <v>Escalation of Dispute</v>
      </c>
      <c r="AB618" s="8"/>
      <c r="AC618" s="8" t="str">
        <f ca="1">IFERROR(__xludf.DUMMYFUNCTION("""COMPUTED_VALUE"""),"Yes")</f>
        <v>Yes</v>
      </c>
      <c r="AD618" s="8" t="str">
        <f ca="1">IFERROR(__xludf.DUMMYFUNCTION("""COMPUTED_VALUE"""),"Victims Targeted")</f>
        <v>Victims Targeted</v>
      </c>
      <c r="AE618" s="8" t="str">
        <f ca="1">IFERROR(__xludf.DUMMYFUNCTION("""COMPUTED_VALUE"""),"Yes")</f>
        <v>Yes</v>
      </c>
      <c r="AF618" s="8" t="str">
        <f ca="1">IFERROR(__xludf.DUMMYFUNCTION("""COMPUTED_VALUE"""),"4 teens")</f>
        <v>4 teens</v>
      </c>
      <c r="AG618" s="8" t="str">
        <f ca="1">IFERROR(__xludf.DUMMYFUNCTION("""COMPUTED_VALUE"""),"No")</f>
        <v>No</v>
      </c>
      <c r="AH618" s="8" t="str">
        <f ca="1">IFERROR(__xludf.DUMMYFUNCTION("""COMPUTED_VALUE"""),"No")</f>
        <v>No</v>
      </c>
      <c r="AI618" s="8" t="str">
        <f ca="1">IFERROR(__xludf.DUMMYFUNCTION("""COMPUTED_VALUE"""),"No")</f>
        <v>No</v>
      </c>
      <c r="AJ618" s="8" t="str">
        <f ca="1">IFERROR(__xludf.DUMMYFUNCTION("""COMPUTED_VALUE"""),"No")</f>
        <v>No</v>
      </c>
      <c r="AK618" s="8" t="str">
        <f ca="1">IFERROR(__xludf.DUMMYFUNCTION("""COMPUTED_VALUE"""),"No")</f>
        <v>No</v>
      </c>
      <c r="AL618" s="8"/>
      <c r="AM618" s="8" t="str">
        <f ca="1">IFERROR(__xludf.DUMMYFUNCTION("""COMPUTED_VALUE"""),"No")</f>
        <v>No</v>
      </c>
      <c r="AN618" s="8" t="str">
        <f ca="1">IFERROR(__xludf.DUMMYFUNCTION("""COMPUTED_VALUE"""),"Outside")</f>
        <v>Outside</v>
      </c>
      <c r="AO618" s="8" t="str">
        <f ca="1">IFERROR(__xludf.DUMMYFUNCTION("""COMPUTED_VALUE"""),"No")</f>
        <v>No</v>
      </c>
      <c r="AP618" s="8"/>
      <c r="AQ618" s="8"/>
      <c r="AR618" s="8" t="str">
        <f ca="1">IFERROR(__xludf.DUMMYFUNCTION("""COMPUTED_VALUE"""),"Outside/Off-Property")</f>
        <v>Outside/Off-Property</v>
      </c>
      <c r="AS618" s="8">
        <f ca="1">IFERROR(__xludf.DUMMYFUNCTION("""COMPUTED_VALUE"""),99)</f>
        <v>99</v>
      </c>
      <c r="AT618" s="8" t="str">
        <f ca="1">IFERROR(__xludf.DUMMYFUNCTION("""COMPUTED_VALUE"""),"No")</f>
        <v>No</v>
      </c>
      <c r="AU618" s="8">
        <f ca="1">IFERROR(__xludf.DUMMYFUNCTION("""COMPUTED_VALUE"""),40.123136)</f>
        <v>40.123136000000002</v>
      </c>
      <c r="AV618" s="8">
        <f ca="1">IFERROR(__xludf.DUMMYFUNCTION("""COMPUTED_VALUE"""),-88.229709)</f>
        <v>-88.229709</v>
      </c>
      <c r="AW618" s="8"/>
      <c r="AX618" s="8">
        <f ca="1">IFERROR(__xludf.DUMMYFUNCTION("""COMPUTED_VALUE"""),61801)</f>
        <v>61801</v>
      </c>
    </row>
    <row r="619" spans="1:50" ht="75" x14ac:dyDescent="0.2">
      <c r="A619" s="8" t="str">
        <f ca="1">IFERROR(__xludf.DUMMYFUNCTION("""COMPUTED_VALUE"""),"20230913GALAA")</f>
        <v>20230913GALAA</v>
      </c>
      <c r="B619" s="8">
        <f ca="1">IFERROR(__xludf.DUMMYFUNCTION("""COMPUTED_VALUE"""),9)</f>
        <v>9</v>
      </c>
      <c r="C619" s="8">
        <f ca="1">IFERROR(__xludf.DUMMYFUNCTION("""COMPUTED_VALUE"""),13)</f>
        <v>13</v>
      </c>
      <c r="D619" s="8">
        <f ca="1">IFERROR(__xludf.DUMMYFUNCTION("""COMPUTED_VALUE"""),2023)</f>
        <v>2023</v>
      </c>
      <c r="E619" s="9">
        <f ca="1">IFERROR(__xludf.DUMMYFUNCTION("""COMPUTED_VALUE"""),45182)</f>
        <v>45182</v>
      </c>
      <c r="F619" s="8" t="str">
        <f ca="1">IFERROR(__xludf.DUMMYFUNCTION("""COMPUTED_VALUE"""),"Lake Park Elementary School")</f>
        <v>Lake Park Elementary School</v>
      </c>
      <c r="G619" s="8">
        <f ca="1">IFERROR(__xludf.DUMMYFUNCTION("""COMPUTED_VALUE"""),0)</f>
        <v>0</v>
      </c>
      <c r="H619" s="8">
        <f ca="1">IFERROR(__xludf.DUMMYFUNCTION("""COMPUTED_VALUE"""),1)</f>
        <v>1</v>
      </c>
      <c r="I619" s="8">
        <f ca="1">IFERROR(__xludf.DUMMYFUNCTION("""COMPUTED_VALUE"""),1)</f>
        <v>1</v>
      </c>
      <c r="J619" s="8">
        <f ca="1">IFERROR(__xludf.DUMMYFUNCTION("""COMPUTED_VALUE"""),0)</f>
        <v>0</v>
      </c>
      <c r="K619" s="10" t="str">
        <f ca="1">IFERROR(__xludf.DUMMYFUNCTION("""COMPUTED_VALUE"""),"https://www.albanyherald.com/news/shooting-near-albany-elementary-school-under-investigation/article_958d3ce6-5303-11ee-b3fe-671ba7f87e57.html")</f>
        <v>https://www.albanyherald.com/news/shooting-near-albany-elementary-school-under-investigation/article_958d3ce6-5303-11ee-b3fe-671ba7f87e57.html</v>
      </c>
      <c r="L619" s="8">
        <f ca="1">IFERROR(__xludf.DUMMYFUNCTION("""COMPUTED_VALUE"""),5)</f>
        <v>5</v>
      </c>
      <c r="M619" s="8" t="str">
        <f ca="1">IFERROR(__xludf.DUMMYFUNCTION("""COMPUTED_VALUE"""),"Local")</f>
        <v>Local</v>
      </c>
      <c r="N619" s="8">
        <f ca="1">IFERROR(__xludf.DUMMYFUNCTION("""COMPUTED_VALUE"""),4)</f>
        <v>4</v>
      </c>
      <c r="O619" s="8" t="str">
        <f ca="1">IFERROR(__xludf.DUMMYFUNCTION("""COMPUTED_VALUE"""),"Fall")</f>
        <v>Fall</v>
      </c>
      <c r="P619" s="8" t="str">
        <f ca="1">IFERROR(__xludf.DUMMYFUNCTION("""COMPUTED_VALUE"""),"Albany")</f>
        <v>Albany</v>
      </c>
      <c r="Q619" s="8" t="str">
        <f ca="1">IFERROR(__xludf.DUMMYFUNCTION("""COMPUTED_VALUE"""),"GA")</f>
        <v>GA</v>
      </c>
      <c r="R619" s="8" t="str">
        <f ca="1">IFERROR(__xludf.DUMMYFUNCTION("""COMPUTED_VALUE"""),"Elementary")</f>
        <v>Elementary</v>
      </c>
      <c r="S619" s="8" t="str">
        <f ca="1">IFERROR(__xludf.DUMMYFUNCTION("""COMPUTED_VALUE"""),"Parking Lot")</f>
        <v>Parking Lot</v>
      </c>
      <c r="T619" s="8" t="str">
        <f ca="1">IFERROR(__xludf.DUMMYFUNCTION("""COMPUTED_VALUE"""),"Outside on School Property")</f>
        <v>Outside on School Property</v>
      </c>
      <c r="U619" s="8" t="str">
        <f ca="1">IFERROR(__xludf.DUMMYFUNCTION("""COMPUTED_VALUE"""),"Yes")</f>
        <v>Yes</v>
      </c>
      <c r="V619" s="8" t="str">
        <f ca="1">IFERROR(__xludf.DUMMYFUNCTION("""COMPUTED_VALUE"""),"Dismissal")</f>
        <v>Dismissal</v>
      </c>
      <c r="W619" s="11">
        <f ca="1">IFERROR(__xludf.DUMMYFUNCTION("""COMPUTED_VALUE"""),0.75)</f>
        <v>0.75</v>
      </c>
      <c r="X619" s="8">
        <f ca="1">IFERROR(__xludf.DUMMYFUNCTION("""COMPUTED_VALUE"""),1)</f>
        <v>1</v>
      </c>
      <c r="Y619" s="12" t="str">
        <f ca="1">IFERROR(__xludf.DUMMYFUNCTION("""COMPUTED_VALUE"""),"Parent assaulted and shot during domestic dispute at pickup by ex-spouse")</f>
        <v>Parent assaulted and shot during domestic dispute at pickup by ex-spouse</v>
      </c>
      <c r="Z619" s="12" t="str">
        <f ca="1">IFERROR(__xludf.DUMMYFUNCTION("""COMPUTED_VALUE"""),"Parent assaulted and shot during domestic dispute at pickup by ex-spouse. 3 children were inside the car when the ex-spouse fired at the victim.")</f>
        <v>Parent assaulted and shot during domestic dispute at pickup by ex-spouse. 3 children were inside the car when the ex-spouse fired at the victim.</v>
      </c>
      <c r="AA619" s="8" t="str">
        <f ca="1">IFERROR(__xludf.DUMMYFUNCTION("""COMPUTED_VALUE"""),"Domestic w/ Targeted Victim")</f>
        <v>Domestic w/ Targeted Victim</v>
      </c>
      <c r="AB619" s="8"/>
      <c r="AC619" s="8" t="str">
        <f ca="1">IFERROR(__xludf.DUMMYFUNCTION("""COMPUTED_VALUE"""),"Yes")</f>
        <v>Yes</v>
      </c>
      <c r="AD619" s="8" t="str">
        <f ca="1">IFERROR(__xludf.DUMMYFUNCTION("""COMPUTED_VALUE"""),"Victims Targeted")</f>
        <v>Victims Targeted</v>
      </c>
      <c r="AE619" s="8" t="str">
        <f ca="1">IFERROR(__xludf.DUMMYFUNCTION("""COMPUTED_VALUE"""),"No")</f>
        <v>No</v>
      </c>
      <c r="AF619" s="8"/>
      <c r="AG619" s="8" t="str">
        <f ca="1">IFERROR(__xludf.DUMMYFUNCTION("""COMPUTED_VALUE"""),"No")</f>
        <v>No</v>
      </c>
      <c r="AH619" s="8" t="str">
        <f ca="1">IFERROR(__xludf.DUMMYFUNCTION("""COMPUTED_VALUE"""),"No")</f>
        <v>No</v>
      </c>
      <c r="AI619" s="8" t="str">
        <f ca="1">IFERROR(__xludf.DUMMYFUNCTION("""COMPUTED_VALUE"""),"No")</f>
        <v>No</v>
      </c>
      <c r="AJ619" s="8" t="str">
        <f ca="1">IFERROR(__xludf.DUMMYFUNCTION("""COMPUTED_VALUE"""),"No")</f>
        <v>No</v>
      </c>
      <c r="AK619" s="8" t="str">
        <f ca="1">IFERROR(__xludf.DUMMYFUNCTION("""COMPUTED_VALUE"""),"Yes")</f>
        <v>Yes</v>
      </c>
      <c r="AL619" s="8" t="str">
        <f ca="1">IFERROR(__xludf.DUMMYFUNCTION("""COMPUTED_VALUE"""),"No")</f>
        <v>No</v>
      </c>
      <c r="AM619" s="8" t="str">
        <f ca="1">IFERROR(__xludf.DUMMYFUNCTION("""COMPUTED_VALUE"""),"No")</f>
        <v>No</v>
      </c>
      <c r="AN619" s="8" t="str">
        <f ca="1">IFERROR(__xludf.DUMMYFUNCTION("""COMPUTED_VALUE"""),"Outside")</f>
        <v>Outside</v>
      </c>
      <c r="AO619" s="8" t="str">
        <f ca="1">IFERROR(__xludf.DUMMYFUNCTION("""COMPUTED_VALUE"""),"No")</f>
        <v>No</v>
      </c>
      <c r="AP619" s="8" t="str">
        <f ca="1">IFERROR(__xludf.DUMMYFUNCTION("""COMPUTED_VALUE"""),"Yes")</f>
        <v>Yes</v>
      </c>
      <c r="AQ619" s="8" t="str">
        <f ca="1">IFERROR(__xludf.DUMMYFUNCTION("""COMPUTED_VALUE"""),"Armed Guards")</f>
        <v>Armed Guards</v>
      </c>
      <c r="AR619" s="8" t="str">
        <f ca="1">IFERROR(__xludf.DUMMYFUNCTION("""COMPUTED_VALUE"""),"Outside/Off-Property")</f>
        <v>Outside/Off-Property</v>
      </c>
      <c r="AS619" s="8">
        <f ca="1">IFERROR(__xludf.DUMMYFUNCTION("""COMPUTED_VALUE"""),99)</f>
        <v>99</v>
      </c>
      <c r="AT619" s="8" t="str">
        <f ca="1">IFERROR(__xludf.DUMMYFUNCTION("""COMPUTED_VALUE"""),"No")</f>
        <v>No</v>
      </c>
      <c r="AU619" s="8">
        <f ca="1">IFERROR(__xludf.DUMMYFUNCTION("""COMPUTED_VALUE"""),30.686729)</f>
        <v>30.686729</v>
      </c>
      <c r="AV619" s="8">
        <f ca="1">IFERROR(__xludf.DUMMYFUNCTION("""COMPUTED_VALUE"""),-83.185135)</f>
        <v>-83.185135000000002</v>
      </c>
      <c r="AW619" s="8"/>
      <c r="AX619" s="8">
        <f ca="1">IFERROR(__xludf.DUMMYFUNCTION("""COMPUTED_VALUE"""),31636)</f>
        <v>31636</v>
      </c>
    </row>
    <row r="620" spans="1:50" ht="75" x14ac:dyDescent="0.2">
      <c r="A620" s="8" t="str">
        <f ca="1">IFERROR(__xludf.DUMMYFUNCTION("""COMPUTED_VALUE"""),"20230913DCLIW")</f>
        <v>20230913DCLIW</v>
      </c>
      <c r="B620" s="8">
        <f ca="1">IFERROR(__xludf.DUMMYFUNCTION("""COMPUTED_VALUE"""),9)</f>
        <v>9</v>
      </c>
      <c r="C620" s="8">
        <f ca="1">IFERROR(__xludf.DUMMYFUNCTION("""COMPUTED_VALUE"""),13)</f>
        <v>13</v>
      </c>
      <c r="D620" s="8">
        <f ca="1">IFERROR(__xludf.DUMMYFUNCTION("""COMPUTED_VALUE"""),2023)</f>
        <v>2023</v>
      </c>
      <c r="E620" s="9">
        <f ca="1">IFERROR(__xludf.DUMMYFUNCTION("""COMPUTED_VALUE"""),45182)</f>
        <v>45182</v>
      </c>
      <c r="F620" s="8" t="str">
        <f ca="1">IFERROR(__xludf.DUMMYFUNCTION("""COMPUTED_VALUE"""),"Lincoln Middle School")</f>
        <v>Lincoln Middle School</v>
      </c>
      <c r="G620" s="8">
        <f ca="1">IFERROR(__xludf.DUMMYFUNCTION("""COMPUTED_VALUE"""),0)</f>
        <v>0</v>
      </c>
      <c r="H620" s="8">
        <f ca="1">IFERROR(__xludf.DUMMYFUNCTION("""COMPUTED_VALUE"""),1)</f>
        <v>1</v>
      </c>
      <c r="I620" s="8">
        <f ca="1">IFERROR(__xludf.DUMMYFUNCTION("""COMPUTED_VALUE"""),1)</f>
        <v>1</v>
      </c>
      <c r="J620" s="8">
        <f ca="1">IFERROR(__xludf.DUMMYFUNCTION("""COMPUTED_VALUE"""),0)</f>
        <v>0</v>
      </c>
      <c r="K620" s="10" t="str">
        <f ca="1">IFERROR(__xludf.DUMMYFUNCTION("""COMPUTED_VALUE"""),"https://www.fox5dc.com/news/man-shot-near-2-dc-schools")</f>
        <v>https://www.fox5dc.com/news/man-shot-near-2-dc-schools</v>
      </c>
      <c r="L620" s="8">
        <f ca="1">IFERROR(__xludf.DUMMYFUNCTION("""COMPUTED_VALUE"""),1)</f>
        <v>1</v>
      </c>
      <c r="M620" s="8" t="str">
        <f ca="1">IFERROR(__xludf.DUMMYFUNCTION("""COMPUTED_VALUE"""),"Local")</f>
        <v>Local</v>
      </c>
      <c r="N620" s="8">
        <f ca="1">IFERROR(__xludf.DUMMYFUNCTION("""COMPUTED_VALUE"""),3)</f>
        <v>3</v>
      </c>
      <c r="O620" s="8" t="str">
        <f ca="1">IFERROR(__xludf.DUMMYFUNCTION("""COMPUTED_VALUE"""),"Fall")</f>
        <v>Fall</v>
      </c>
      <c r="P620" s="8" t="str">
        <f ca="1">IFERROR(__xludf.DUMMYFUNCTION("""COMPUTED_VALUE"""),"Washington")</f>
        <v>Washington</v>
      </c>
      <c r="Q620" s="8" t="str">
        <f ca="1">IFERROR(__xludf.DUMMYFUNCTION("""COMPUTED_VALUE"""),"DC")</f>
        <v>DC</v>
      </c>
      <c r="R620" s="8" t="str">
        <f ca="1">IFERROR(__xludf.DUMMYFUNCTION("""COMPUTED_VALUE"""),"Middle")</f>
        <v>Middle</v>
      </c>
      <c r="S620" s="8" t="str">
        <f ca="1">IFERROR(__xludf.DUMMYFUNCTION("""COMPUTED_VALUE"""),"Parking Lot")</f>
        <v>Parking Lot</v>
      </c>
      <c r="T620" s="8" t="str">
        <f ca="1">IFERROR(__xludf.DUMMYFUNCTION("""COMPUTED_VALUE"""),"Outside on School Property")</f>
        <v>Outside on School Property</v>
      </c>
      <c r="U620" s="8" t="str">
        <f ca="1">IFERROR(__xludf.DUMMYFUNCTION("""COMPUTED_VALUE"""),"No")</f>
        <v>No</v>
      </c>
      <c r="V620" s="8" t="str">
        <f ca="1">IFERROR(__xludf.DUMMYFUNCTION("""COMPUTED_VALUE"""),"After School")</f>
        <v>After School</v>
      </c>
      <c r="W620" s="11">
        <f ca="1">IFERROR(__xludf.DUMMYFUNCTION("""COMPUTED_VALUE"""),0.666666666666666)</f>
        <v>0.66666666666666596</v>
      </c>
      <c r="X620" s="8">
        <f ca="1">IFERROR(__xludf.DUMMYFUNCTION("""COMPUTED_VALUE"""),1)</f>
        <v>1</v>
      </c>
      <c r="Y620" s="12" t="str">
        <f ca="1">IFERROR(__xludf.DUMMYFUNCTION("""COMPUTED_VALUE"""),"Man shot by dumpster behind the school in the parking lots near the athletic fields")</f>
        <v>Man shot by dumpster behind the school in the parking lots near the athletic fields</v>
      </c>
      <c r="Z620" s="12" t="str">
        <f ca="1">IFERROR(__xludf.DUMMYFUNCTION("""COMPUTED_VALUE"""),"Man shot by dumpster behind the school in the parking lots near the athletic fields. Shooter fled.")</f>
        <v>Man shot by dumpster behind the school in the parking lots near the athletic fields. Shooter fled.</v>
      </c>
      <c r="AA620" s="8"/>
      <c r="AB620" s="8"/>
      <c r="AC620" s="8" t="str">
        <f ca="1">IFERROR(__xludf.DUMMYFUNCTION("""COMPUTED_VALUE"""),"No")</f>
        <v>No</v>
      </c>
      <c r="AD620" s="8" t="str">
        <f ca="1">IFERROR(__xludf.DUMMYFUNCTION("""COMPUTED_VALUE"""),"Victims Targeted")</f>
        <v>Victims Targeted</v>
      </c>
      <c r="AE620" s="8"/>
      <c r="AF620" s="8"/>
      <c r="AG620" s="8" t="str">
        <f ca="1">IFERROR(__xludf.DUMMYFUNCTION("""COMPUTED_VALUE"""),"No")</f>
        <v>No</v>
      </c>
      <c r="AH620" s="8" t="str">
        <f ca="1">IFERROR(__xludf.DUMMYFUNCTION("""COMPUTED_VALUE"""),"No")</f>
        <v>No</v>
      </c>
      <c r="AI620" s="8" t="str">
        <f ca="1">IFERROR(__xludf.DUMMYFUNCTION("""COMPUTED_VALUE"""),"No")</f>
        <v>No</v>
      </c>
      <c r="AJ620" s="8" t="str">
        <f ca="1">IFERROR(__xludf.DUMMYFUNCTION("""COMPUTED_VALUE"""),"No")</f>
        <v>No</v>
      </c>
      <c r="AK620" s="8" t="str">
        <f ca="1">IFERROR(__xludf.DUMMYFUNCTION("""COMPUTED_VALUE"""),"No")</f>
        <v>No</v>
      </c>
      <c r="AL620" s="8"/>
      <c r="AM620" s="8" t="str">
        <f ca="1">IFERROR(__xludf.DUMMYFUNCTION("""COMPUTED_VALUE"""),"No")</f>
        <v>No</v>
      </c>
      <c r="AN620" s="8" t="str">
        <f ca="1">IFERROR(__xludf.DUMMYFUNCTION("""COMPUTED_VALUE"""),"Outside")</f>
        <v>Outside</v>
      </c>
      <c r="AO620" s="8" t="str">
        <f ca="1">IFERROR(__xludf.DUMMYFUNCTION("""COMPUTED_VALUE"""),"No")</f>
        <v>No</v>
      </c>
      <c r="AP620" s="8"/>
      <c r="AQ620" s="8"/>
      <c r="AR620" s="8" t="str">
        <f ca="1">IFERROR(__xludf.DUMMYFUNCTION("""COMPUTED_VALUE"""),"Outside/Off-Property")</f>
        <v>Outside/Off-Property</v>
      </c>
      <c r="AS620" s="8"/>
      <c r="AT620" s="8"/>
      <c r="AU620" s="8">
        <f ca="1">IFERROR(__xludf.DUMMYFUNCTION("""COMPUTED_VALUE"""),38.929908)</f>
        <v>38.929907999999998</v>
      </c>
      <c r="AV620" s="8">
        <f ca="1">IFERROR(__xludf.DUMMYFUNCTION("""COMPUTED_VALUE"""),-77.035549)</f>
        <v>-77.035549000000003</v>
      </c>
      <c r="AW620" s="8"/>
      <c r="AX620" s="8">
        <f ca="1">IFERROR(__xludf.DUMMYFUNCTION("""COMPUTED_VALUE"""),20012)</f>
        <v>20012</v>
      </c>
    </row>
    <row r="621" spans="1:50" ht="45" x14ac:dyDescent="0.2">
      <c r="A621" s="8" t="str">
        <f ca="1">IFERROR(__xludf.DUMMYFUNCTION("""COMPUTED_VALUE"""),"20230912WAEIY")</f>
        <v>20230912WAEIY</v>
      </c>
      <c r="B621" s="8">
        <f ca="1">IFERROR(__xludf.DUMMYFUNCTION("""COMPUTED_VALUE"""),9)</f>
        <v>9</v>
      </c>
      <c r="C621" s="8">
        <f ca="1">IFERROR(__xludf.DUMMYFUNCTION("""COMPUTED_VALUE"""),12)</f>
        <v>12</v>
      </c>
      <c r="D621" s="8">
        <f ca="1">IFERROR(__xludf.DUMMYFUNCTION("""COMPUTED_VALUE"""),2023)</f>
        <v>2023</v>
      </c>
      <c r="E621" s="9">
        <f ca="1">IFERROR(__xludf.DUMMYFUNCTION("""COMPUTED_VALUE"""),45181)</f>
        <v>45181</v>
      </c>
      <c r="F621" s="8" t="str">
        <f ca="1">IFERROR(__xludf.DUMMYFUNCTION("""COMPUTED_VALUE"""),"Eisenhower High School")</f>
        <v>Eisenhower High School</v>
      </c>
      <c r="G621" s="8">
        <f ca="1">IFERROR(__xludf.DUMMYFUNCTION("""COMPUTED_VALUE"""),0)</f>
        <v>0</v>
      </c>
      <c r="H621" s="8">
        <f ca="1">IFERROR(__xludf.DUMMYFUNCTION("""COMPUTED_VALUE"""),1)</f>
        <v>1</v>
      </c>
      <c r="I621" s="8">
        <f ca="1">IFERROR(__xludf.DUMMYFUNCTION("""COMPUTED_VALUE"""),1)</f>
        <v>1</v>
      </c>
      <c r="J621" s="8">
        <f ca="1">IFERROR(__xludf.DUMMYFUNCTION("""COMPUTED_VALUE"""),0)</f>
        <v>0</v>
      </c>
      <c r="K621" s="10" t="str">
        <f ca="1">IFERROR(__xludf.DUMMYFUNCTION("""COMPUTED_VALUE"""),"https://www.yakimaherald.com/news/local/crime_and_courts/14-year-old-wounded-in-gang-shooting-outside-eisenhower-high-school-lockdown-measures-lifted/article_940601a4-5188-11ee-a9f4-d3dc7788405f.html")</f>
        <v>https://www.yakimaherald.com/news/local/crime_and_courts/14-year-old-wounded-in-gang-shooting-outside-eisenhower-high-school-lockdown-measures-lifted/article_940601a4-5188-11ee-a9f4-d3dc7788405f.html</v>
      </c>
      <c r="L621" s="8">
        <f ca="1">IFERROR(__xludf.DUMMYFUNCTION("""COMPUTED_VALUE"""),10)</f>
        <v>10</v>
      </c>
      <c r="M621" s="8" t="str">
        <f ca="1">IFERROR(__xludf.DUMMYFUNCTION("""COMPUTED_VALUE"""),"Regional")</f>
        <v>Regional</v>
      </c>
      <c r="N621" s="8">
        <f ca="1">IFERROR(__xludf.DUMMYFUNCTION("""COMPUTED_VALUE"""),4)</f>
        <v>4</v>
      </c>
      <c r="O621" s="8" t="str">
        <f ca="1">IFERROR(__xludf.DUMMYFUNCTION("""COMPUTED_VALUE"""),"Fall")</f>
        <v>Fall</v>
      </c>
      <c r="P621" s="8" t="str">
        <f ca="1">IFERROR(__xludf.DUMMYFUNCTION("""COMPUTED_VALUE"""),"Yakima")</f>
        <v>Yakima</v>
      </c>
      <c r="Q621" s="8" t="str">
        <f ca="1">IFERROR(__xludf.DUMMYFUNCTION("""COMPUTED_VALUE"""),"WA")</f>
        <v>WA</v>
      </c>
      <c r="R621" s="8" t="str">
        <f ca="1">IFERROR(__xludf.DUMMYFUNCTION("""COMPUTED_VALUE"""),"High")</f>
        <v>High</v>
      </c>
      <c r="S621" s="8" t="str">
        <f ca="1">IFERROR(__xludf.DUMMYFUNCTION("""COMPUTED_VALUE"""),"Parking Lot")</f>
        <v>Parking Lot</v>
      </c>
      <c r="T621" s="8" t="str">
        <f ca="1">IFERROR(__xludf.DUMMYFUNCTION("""COMPUTED_VALUE"""),"Outside on School Property")</f>
        <v>Outside on School Property</v>
      </c>
      <c r="U621" s="8" t="str">
        <f ca="1">IFERROR(__xludf.DUMMYFUNCTION("""COMPUTED_VALUE"""),"Yes")</f>
        <v>Yes</v>
      </c>
      <c r="V621" s="8" t="str">
        <f ca="1">IFERROR(__xludf.DUMMYFUNCTION("""COMPUTED_VALUE"""),"School Start")</f>
        <v>School Start</v>
      </c>
      <c r="W621" s="11">
        <f ca="1">IFERROR(__xludf.DUMMYFUNCTION("""COMPUTED_VALUE"""),0.333333333333333)</f>
        <v>0.33333333333333298</v>
      </c>
      <c r="X621" s="8">
        <f ca="1">IFERROR(__xludf.DUMMYFUNCTION("""COMPUTED_VALUE"""),1)</f>
        <v>1</v>
      </c>
      <c r="Y621" s="12" t="str">
        <f ca="1">IFERROR(__xludf.DUMMYFUNCTION("""COMPUTED_VALUE"""),"Student was shot during drive-by as school opened.")</f>
        <v>Student was shot during drive-by as school opened.</v>
      </c>
      <c r="Z621" s="12" t="str">
        <f ca="1">IFERROR(__xludf.DUMMYFUNCTION("""COMPUTED_VALUE"""),"14-year-old student was shot during drive-by as the school opened. School went on lockdown for 2 hours. Shooter fled.")</f>
        <v>14-year-old student was shot during drive-by as the school opened. School went on lockdown for 2 hours. Shooter fled.</v>
      </c>
      <c r="AA621" s="8" t="str">
        <f ca="1">IFERROR(__xludf.DUMMYFUNCTION("""COMPUTED_VALUE"""),"Drive-by Shooting")</f>
        <v>Drive-by Shooting</v>
      </c>
      <c r="AB621" s="8"/>
      <c r="AC621" s="8" t="str">
        <f ca="1">IFERROR(__xludf.DUMMYFUNCTION("""COMPUTED_VALUE"""),"Yes")</f>
        <v>Yes</v>
      </c>
      <c r="AD621" s="8" t="str">
        <f ca="1">IFERROR(__xludf.DUMMYFUNCTION("""COMPUTED_VALUE"""),"Victims Targeted")</f>
        <v>Victims Targeted</v>
      </c>
      <c r="AE621" s="8"/>
      <c r="AF621" s="8"/>
      <c r="AG621" s="8" t="str">
        <f ca="1">IFERROR(__xludf.DUMMYFUNCTION("""COMPUTED_VALUE"""),"No")</f>
        <v>No</v>
      </c>
      <c r="AH621" s="8" t="str">
        <f ca="1">IFERROR(__xludf.DUMMYFUNCTION("""COMPUTED_VALUE"""),"No")</f>
        <v>No</v>
      </c>
      <c r="AI621" s="8" t="str">
        <f ca="1">IFERROR(__xludf.DUMMYFUNCTION("""COMPUTED_VALUE"""),"No")</f>
        <v>No</v>
      </c>
      <c r="AJ621" s="8" t="str">
        <f ca="1">IFERROR(__xludf.DUMMYFUNCTION("""COMPUTED_VALUE"""),"No")</f>
        <v>No</v>
      </c>
      <c r="AK621" s="8" t="str">
        <f ca="1">IFERROR(__xludf.DUMMYFUNCTION("""COMPUTED_VALUE"""),"No")</f>
        <v>No</v>
      </c>
      <c r="AL621" s="8" t="str">
        <f ca="1">IFERROR(__xludf.DUMMYFUNCTION("""COMPUTED_VALUE"""),"Yes")</f>
        <v>Yes</v>
      </c>
      <c r="AM621" s="8" t="str">
        <f ca="1">IFERROR(__xludf.DUMMYFUNCTION("""COMPUTED_VALUE"""),"No")</f>
        <v>No</v>
      </c>
      <c r="AN621" s="8" t="str">
        <f ca="1">IFERROR(__xludf.DUMMYFUNCTION("""COMPUTED_VALUE"""),"Outside")</f>
        <v>Outside</v>
      </c>
      <c r="AO621" s="8" t="str">
        <f ca="1">IFERROR(__xludf.DUMMYFUNCTION("""COMPUTED_VALUE"""),"No")</f>
        <v>No</v>
      </c>
      <c r="AP621" s="8"/>
      <c r="AQ621" s="8"/>
      <c r="AR621" s="8" t="str">
        <f ca="1">IFERROR(__xludf.DUMMYFUNCTION("""COMPUTED_VALUE"""),"Outside/Off-Property")</f>
        <v>Outside/Off-Property</v>
      </c>
      <c r="AS621" s="8">
        <f ca="1">IFERROR(__xludf.DUMMYFUNCTION("""COMPUTED_VALUE"""),99)</f>
        <v>99</v>
      </c>
      <c r="AT621" s="8" t="str">
        <f ca="1">IFERROR(__xludf.DUMMYFUNCTION("""COMPUTED_VALUE"""),"Yes")</f>
        <v>Yes</v>
      </c>
      <c r="AU621" s="8">
        <f ca="1">IFERROR(__xludf.DUMMYFUNCTION("""COMPUTED_VALUE"""),46.589195)</f>
        <v>46.589194999999997</v>
      </c>
      <c r="AV621" s="8">
        <f ca="1">IFERROR(__xludf.DUMMYFUNCTION("""COMPUTED_VALUE"""),-120.565727)</f>
        <v>-120.565727</v>
      </c>
      <c r="AW621" s="8"/>
      <c r="AX621" s="8">
        <f ca="1">IFERROR(__xludf.DUMMYFUNCTION("""COMPUTED_VALUE"""),98909)</f>
        <v>98909</v>
      </c>
    </row>
    <row r="622" spans="1:50" ht="60" x14ac:dyDescent="0.2">
      <c r="A622" s="8" t="str">
        <f ca="1">IFERROR(__xludf.DUMMYFUNCTION("""COMPUTED_VALUE"""),"20230912LASTG")</f>
        <v>20230912LASTG</v>
      </c>
      <c r="B622" s="8">
        <f ca="1">IFERROR(__xludf.DUMMYFUNCTION("""COMPUTED_VALUE"""),9)</f>
        <v>9</v>
      </c>
      <c r="C622" s="8">
        <f ca="1">IFERROR(__xludf.DUMMYFUNCTION("""COMPUTED_VALUE"""),12)</f>
        <v>12</v>
      </c>
      <c r="D622" s="8">
        <f ca="1">IFERROR(__xludf.DUMMYFUNCTION("""COMPUTED_VALUE"""),2023)</f>
        <v>2023</v>
      </c>
      <c r="E622" s="9">
        <f ca="1">IFERROR(__xludf.DUMMYFUNCTION("""COMPUTED_VALUE"""),45181)</f>
        <v>45181</v>
      </c>
      <c r="F622" s="8" t="str">
        <f ca="1">IFERROR(__xludf.DUMMYFUNCTION("""COMPUTED_VALUE"""),"St. Helena College &amp; Career Academy")</f>
        <v>St. Helena College &amp; Career Academy</v>
      </c>
      <c r="G622" s="8">
        <f ca="1">IFERROR(__xludf.DUMMYFUNCTION("""COMPUTED_VALUE"""),1)</f>
        <v>1</v>
      </c>
      <c r="H622" s="8">
        <f ca="1">IFERROR(__xludf.DUMMYFUNCTION("""COMPUTED_VALUE"""),2)</f>
        <v>2</v>
      </c>
      <c r="I622" s="8">
        <f ca="1">IFERROR(__xludf.DUMMYFUNCTION("""COMPUTED_VALUE"""),3)</f>
        <v>3</v>
      </c>
      <c r="J622" s="8">
        <f ca="1">IFERROR(__xludf.DUMMYFUNCTION("""COMPUTED_VALUE"""),0)</f>
        <v>0</v>
      </c>
      <c r="K622" s="8" t="str">
        <f ca="1">IFERROR(__xludf.DUMMYFUNCTION("""COMPUTED_VALUE"""),"https://www.independent.co.uk/news/world/americas/crime/vernon-gordon-shooting-greenburg-lousiana-b2411852.html
https://www.wafb.com/2023/09/13/juvenile-suspect-arrested-connection-with-deadly-shooting-st-helena-school-class-canceled-until-friday/")</f>
        <v>https://www.independent.co.uk/news/world/americas/crime/vernon-gordon-shooting-greenburg-lousiana-b2411852.html
https://www.wafb.com/2023/09/13/juvenile-suspect-arrested-connection-with-deadly-shooting-st-helena-school-class-canceled-until-friday/</v>
      </c>
      <c r="L622" s="8">
        <f ca="1">IFERROR(__xludf.DUMMYFUNCTION("""COMPUTED_VALUE"""),100)</f>
        <v>100</v>
      </c>
      <c r="M622" s="8" t="str">
        <f ca="1">IFERROR(__xludf.DUMMYFUNCTION("""COMPUTED_VALUE"""),"National")</f>
        <v>National</v>
      </c>
      <c r="N622" s="8">
        <f ca="1">IFERROR(__xludf.DUMMYFUNCTION("""COMPUTED_VALUE"""),4)</f>
        <v>4</v>
      </c>
      <c r="O622" s="8" t="str">
        <f ca="1">IFERROR(__xludf.DUMMYFUNCTION("""COMPUTED_VALUE"""),"Fall")</f>
        <v>Fall</v>
      </c>
      <c r="P622" s="8" t="str">
        <f ca="1">IFERROR(__xludf.DUMMYFUNCTION("""COMPUTED_VALUE"""),"Helena")</f>
        <v>Helena</v>
      </c>
      <c r="Q622" s="8" t="str">
        <f ca="1">IFERROR(__xludf.DUMMYFUNCTION("""COMPUTED_VALUE"""),"LA")</f>
        <v>LA</v>
      </c>
      <c r="R622" s="8" t="str">
        <f ca="1">IFERROR(__xludf.DUMMYFUNCTION("""COMPUTED_VALUE"""),"High")</f>
        <v>High</v>
      </c>
      <c r="S622" s="8" t="str">
        <f ca="1">IFERROR(__xludf.DUMMYFUNCTION("""COMPUTED_VALUE"""),"Parking Lot")</f>
        <v>Parking Lot</v>
      </c>
      <c r="T622" s="8" t="str">
        <f ca="1">IFERROR(__xludf.DUMMYFUNCTION("""COMPUTED_VALUE"""),"Outside on School Property")</f>
        <v>Outside on School Property</v>
      </c>
      <c r="U622" s="8" t="str">
        <f ca="1">IFERROR(__xludf.DUMMYFUNCTION("""COMPUTED_VALUE"""),"Yes")</f>
        <v>Yes</v>
      </c>
      <c r="V622" s="8" t="str">
        <f ca="1">IFERROR(__xludf.DUMMYFUNCTION("""COMPUTED_VALUE"""),"Dismissal")</f>
        <v>Dismissal</v>
      </c>
      <c r="W622" s="11">
        <f ca="1">IFERROR(__xludf.DUMMYFUNCTION("""COMPUTED_VALUE"""),0.645833333333333)</f>
        <v>0.64583333333333304</v>
      </c>
      <c r="X622" s="8">
        <f ca="1">IFERROR(__xludf.DUMMYFUNCTION("""COMPUTED_VALUE"""),1)</f>
        <v>1</v>
      </c>
      <c r="Y622" s="12" t="str">
        <f ca="1">IFERROR(__xludf.DUMMYFUNCTION("""COMPUTED_VALUE"""),"Student shot three classmates in the parking lot at dismissal")</f>
        <v>Student shot three classmates in the parking lot at dismissal</v>
      </c>
      <c r="Z622" s="12" t="str">
        <f ca="1">IFERROR(__xludf.DUMMYFUNCTION("""COMPUTED_VALUE"""),"A 14-year-old student fatally shot a 16-year-old student and wounded two others in the parking lot at dismissal. Per police, the shooter was motivated by bullying.")</f>
        <v>A 14-year-old student fatally shot a 16-year-old student and wounded two others in the parking lot at dismissal. Per police, the shooter was motivated by bullying.</v>
      </c>
      <c r="AA622" s="8" t="str">
        <f ca="1">IFERROR(__xludf.DUMMYFUNCTION("""COMPUTED_VALUE"""),"Bullying")</f>
        <v>Bullying</v>
      </c>
      <c r="AB622" s="8"/>
      <c r="AC622" s="8" t="str">
        <f ca="1">IFERROR(__xludf.DUMMYFUNCTION("""COMPUTED_VALUE"""),"Yes")</f>
        <v>Yes</v>
      </c>
      <c r="AD622" s="8" t="str">
        <f ca="1">IFERROR(__xludf.DUMMYFUNCTION("""COMPUTED_VALUE"""),"Victims Targeted")</f>
        <v>Victims Targeted</v>
      </c>
      <c r="AE622" s="8" t="str">
        <f ca="1">IFERROR(__xludf.DUMMYFUNCTION("""COMPUTED_VALUE"""),"No")</f>
        <v>No</v>
      </c>
      <c r="AF622" s="8"/>
      <c r="AG622" s="8" t="str">
        <f ca="1">IFERROR(__xludf.DUMMYFUNCTION("""COMPUTED_VALUE"""),"No")</f>
        <v>No</v>
      </c>
      <c r="AH622" s="8" t="str">
        <f ca="1">IFERROR(__xludf.DUMMYFUNCTION("""COMPUTED_VALUE"""),"No")</f>
        <v>No</v>
      </c>
      <c r="AI622" s="8" t="str">
        <f ca="1">IFERROR(__xludf.DUMMYFUNCTION("""COMPUTED_VALUE"""),"No")</f>
        <v>No</v>
      </c>
      <c r="AJ622" s="8" t="str">
        <f ca="1">IFERROR(__xludf.DUMMYFUNCTION("""COMPUTED_VALUE"""),"Yes")</f>
        <v>Yes</v>
      </c>
      <c r="AK622" s="8" t="str">
        <f ca="1">IFERROR(__xludf.DUMMYFUNCTION("""COMPUTED_VALUE"""),"No")</f>
        <v>No</v>
      </c>
      <c r="AL622" s="8" t="str">
        <f ca="1">IFERROR(__xludf.DUMMYFUNCTION("""COMPUTED_VALUE"""),"No")</f>
        <v>No</v>
      </c>
      <c r="AM622" s="8" t="str">
        <f ca="1">IFERROR(__xludf.DUMMYFUNCTION("""COMPUTED_VALUE"""),"No")</f>
        <v>No</v>
      </c>
      <c r="AN622" s="8" t="str">
        <f ca="1">IFERROR(__xludf.DUMMYFUNCTION("""COMPUTED_VALUE"""),"Outside")</f>
        <v>Outside</v>
      </c>
      <c r="AO622" s="8" t="str">
        <f ca="1">IFERROR(__xludf.DUMMYFUNCTION("""COMPUTED_VALUE"""),"No")</f>
        <v>No</v>
      </c>
      <c r="AP622" s="8"/>
      <c r="AQ622" s="8"/>
      <c r="AR622" s="8" t="str">
        <f ca="1">IFERROR(__xludf.DUMMYFUNCTION("""COMPUTED_VALUE"""),"Outside/Off-Property")</f>
        <v>Outside/Off-Property</v>
      </c>
      <c r="AS622" s="8">
        <f ca="1">IFERROR(__xludf.DUMMYFUNCTION("""COMPUTED_VALUE"""),99)</f>
        <v>99</v>
      </c>
      <c r="AT622" s="8"/>
      <c r="AU622" s="8">
        <f ca="1">IFERROR(__xludf.DUMMYFUNCTION("""COMPUTED_VALUE"""),30.827985)</f>
        <v>30.827985000000002</v>
      </c>
      <c r="AV622" s="8">
        <f ca="1">IFERROR(__xludf.DUMMYFUNCTION("""COMPUTED_VALUE"""),-90.671369)</f>
        <v>-90.671368999999999</v>
      </c>
      <c r="AW622" s="8"/>
      <c r="AX622" s="8">
        <f ca="1">IFERROR(__xludf.DUMMYFUNCTION("""COMPUTED_VALUE"""),70441)</f>
        <v>70441</v>
      </c>
    </row>
    <row r="623" spans="1:50" ht="90" x14ac:dyDescent="0.2">
      <c r="A623" s="8" t="str">
        <f ca="1">IFERROR(__xludf.DUMMYFUNCTION("""COMPUTED_VALUE"""),"20230911MDDUL")</f>
        <v>20230911MDDUL</v>
      </c>
      <c r="B623" s="8">
        <f ca="1">IFERROR(__xludf.DUMMYFUNCTION("""COMPUTED_VALUE"""),9)</f>
        <v>9</v>
      </c>
      <c r="C623" s="8">
        <f ca="1">IFERROR(__xludf.DUMMYFUNCTION("""COMPUTED_VALUE"""),11)</f>
        <v>11</v>
      </c>
      <c r="D623" s="8">
        <f ca="1">IFERROR(__xludf.DUMMYFUNCTION("""COMPUTED_VALUE"""),2023)</f>
        <v>2023</v>
      </c>
      <c r="E623" s="9">
        <f ca="1">IFERROR(__xludf.DUMMYFUNCTION("""COMPUTED_VALUE"""),45180)</f>
        <v>45180</v>
      </c>
      <c r="F623" s="8" t="str">
        <f ca="1">IFERROR(__xludf.DUMMYFUNCTION("""COMPUTED_VALUE"""),"DuVal High School")</f>
        <v>DuVal High School</v>
      </c>
      <c r="G623" s="8">
        <f ca="1">IFERROR(__xludf.DUMMYFUNCTION("""COMPUTED_VALUE"""),1)</f>
        <v>1</v>
      </c>
      <c r="H623" s="8">
        <f ca="1">IFERROR(__xludf.DUMMYFUNCTION("""COMPUTED_VALUE"""),0)</f>
        <v>0</v>
      </c>
      <c r="I623" s="8">
        <f ca="1">IFERROR(__xludf.DUMMYFUNCTION("""COMPUTED_VALUE"""),1)</f>
        <v>1</v>
      </c>
      <c r="J623" s="8">
        <f ca="1">IFERROR(__xludf.DUMMYFUNCTION("""COMPUTED_VALUE"""),0)</f>
        <v>0</v>
      </c>
      <c r="K623" s="10" t="str">
        <f ca="1">IFERROR(__xludf.DUMMYFUNCTION("""COMPUTED_VALUE"""),"https://www.nbcwashington.com/news/local/prince-georges-county/girl-in-critical-condition-after-shooting-in-lanham-two-nearby-schools-on-lockdown/3420840/")</f>
        <v>https://www.nbcwashington.com/news/local/prince-georges-county/girl-in-critical-condition-after-shooting-in-lanham-two-nearby-schools-on-lockdown/3420840/</v>
      </c>
      <c r="L623" s="8">
        <f ca="1">IFERROR(__xludf.DUMMYFUNCTION("""COMPUTED_VALUE"""),50)</f>
        <v>50</v>
      </c>
      <c r="M623" s="8" t="str">
        <f ca="1">IFERROR(__xludf.DUMMYFUNCTION("""COMPUTED_VALUE"""),"Regional")</f>
        <v>Regional</v>
      </c>
      <c r="N623" s="8">
        <f ca="1">IFERROR(__xludf.DUMMYFUNCTION("""COMPUTED_VALUE"""),4)</f>
        <v>4</v>
      </c>
      <c r="O623" s="8" t="str">
        <f ca="1">IFERROR(__xludf.DUMMYFUNCTION("""COMPUTED_VALUE"""),"Fall")</f>
        <v>Fall</v>
      </c>
      <c r="P623" s="8" t="str">
        <f ca="1">IFERROR(__xludf.DUMMYFUNCTION("""COMPUTED_VALUE"""),"Lanham")</f>
        <v>Lanham</v>
      </c>
      <c r="Q623" s="8" t="str">
        <f ca="1">IFERROR(__xludf.DUMMYFUNCTION("""COMPUTED_VALUE"""),"MD")</f>
        <v>MD</v>
      </c>
      <c r="R623" s="8" t="str">
        <f ca="1">IFERROR(__xludf.DUMMYFUNCTION("""COMPUTED_VALUE"""),"High")</f>
        <v>High</v>
      </c>
      <c r="S623" s="8" t="str">
        <f ca="1">IFERROR(__xludf.DUMMYFUNCTION("""COMPUTED_VALUE"""),"Football Field/Track")</f>
        <v>Football Field/Track</v>
      </c>
      <c r="T623" s="8" t="str">
        <f ca="1">IFERROR(__xludf.DUMMYFUNCTION("""COMPUTED_VALUE"""),"Off School Property")</f>
        <v>Off School Property</v>
      </c>
      <c r="U623" s="8" t="str">
        <f ca="1">IFERROR(__xludf.DUMMYFUNCTION("""COMPUTED_VALUE"""),"Yes")</f>
        <v>Yes</v>
      </c>
      <c r="V623" s="8" t="str">
        <f ca="1">IFERROR(__xludf.DUMMYFUNCTION("""COMPUTED_VALUE"""),"Dismissal")</f>
        <v>Dismissal</v>
      </c>
      <c r="W623" s="11">
        <f ca="1">IFERROR(__xludf.DUMMYFUNCTION("""COMPUTED_VALUE"""),0.65625)</f>
        <v>0.65625</v>
      </c>
      <c r="X623" s="8">
        <f ca="1">IFERROR(__xludf.DUMMYFUNCTION("""COMPUTED_VALUE"""),1)</f>
        <v>1</v>
      </c>
      <c r="Y623" s="12" t="str">
        <f ca="1">IFERROR(__xludf.DUMMYFUNCTION("""COMPUTED_VALUE"""),"Female bystander student was shot while walking on the sidewalk near the athletic field at dismissal")</f>
        <v>Female bystander student was shot while walking on the sidewalk near the athletic field at dismissal</v>
      </c>
      <c r="Z623" s="12" t="str">
        <f ca="1">IFERROR(__xludf.DUMMYFUNCTION("""COMPUTED_VALUE"""),"A 16-year-old female bystander student was shot while walking on the sidewalk near the athletic field at dismissal. There was a nearby fight between students and she was not the intended target. Shooter fled.")</f>
        <v>A 16-year-old female bystander student was shot while walking on the sidewalk near the athletic field at dismissal. There was a nearby fight between students and she was not the intended target. Shooter fled.</v>
      </c>
      <c r="AA623" s="8" t="str">
        <f ca="1">IFERROR(__xludf.DUMMYFUNCTION("""COMPUTED_VALUE"""),"Escalation of Dispute")</f>
        <v>Escalation of Dispute</v>
      </c>
      <c r="AB623" s="8"/>
      <c r="AC623" s="8" t="str">
        <f ca="1">IFERROR(__xludf.DUMMYFUNCTION("""COMPUTED_VALUE"""),"Yes")</f>
        <v>Yes</v>
      </c>
      <c r="AD623" s="8" t="str">
        <f ca="1">IFERROR(__xludf.DUMMYFUNCTION("""COMPUTED_VALUE"""),"Both")</f>
        <v>Both</v>
      </c>
      <c r="AE623" s="8"/>
      <c r="AF623" s="8"/>
      <c r="AG623" s="8" t="str">
        <f ca="1">IFERROR(__xludf.DUMMYFUNCTION("""COMPUTED_VALUE"""),"No")</f>
        <v>No</v>
      </c>
      <c r="AH623" s="8" t="str">
        <f ca="1">IFERROR(__xludf.DUMMYFUNCTION("""COMPUTED_VALUE"""),"No")</f>
        <v>No</v>
      </c>
      <c r="AI623" s="8" t="str">
        <f ca="1">IFERROR(__xludf.DUMMYFUNCTION("""COMPUTED_VALUE"""),"No")</f>
        <v>No</v>
      </c>
      <c r="AJ623" s="8" t="str">
        <f ca="1">IFERROR(__xludf.DUMMYFUNCTION("""COMPUTED_VALUE"""),"No")</f>
        <v>No</v>
      </c>
      <c r="AK623" s="8" t="str">
        <f ca="1">IFERROR(__xludf.DUMMYFUNCTION("""COMPUTED_VALUE"""),"No")</f>
        <v>No</v>
      </c>
      <c r="AL623" s="8"/>
      <c r="AM623" s="8" t="str">
        <f ca="1">IFERROR(__xludf.DUMMYFUNCTION("""COMPUTED_VALUE"""),"No")</f>
        <v>No</v>
      </c>
      <c r="AN623" s="8" t="str">
        <f ca="1">IFERROR(__xludf.DUMMYFUNCTION("""COMPUTED_VALUE"""),"Outside")</f>
        <v>Outside</v>
      </c>
      <c r="AO623" s="8" t="str">
        <f ca="1">IFERROR(__xludf.DUMMYFUNCTION("""COMPUTED_VALUE"""),"No")</f>
        <v>No</v>
      </c>
      <c r="AP623" s="8"/>
      <c r="AQ623" s="8"/>
      <c r="AR623" s="8" t="str">
        <f ca="1">IFERROR(__xludf.DUMMYFUNCTION("""COMPUTED_VALUE"""),"Outside/Off-Property")</f>
        <v>Outside/Off-Property</v>
      </c>
      <c r="AS623" s="8">
        <f ca="1">IFERROR(__xludf.DUMMYFUNCTION("""COMPUTED_VALUE"""),99)</f>
        <v>99</v>
      </c>
      <c r="AT623" s="8" t="str">
        <f ca="1">IFERROR(__xludf.DUMMYFUNCTION("""COMPUTED_VALUE"""),"Yes")</f>
        <v>Yes</v>
      </c>
      <c r="AU623" s="8">
        <f ca="1">IFERROR(__xludf.DUMMYFUNCTION("""COMPUTED_VALUE"""),38.989094)</f>
        <v>38.989094000000001</v>
      </c>
      <c r="AV623" s="8">
        <f ca="1">IFERROR(__xludf.DUMMYFUNCTION("""COMPUTED_VALUE"""),-76.837565)</f>
        <v>-76.837564999999998</v>
      </c>
      <c r="AW623" s="8"/>
      <c r="AX623" s="8">
        <f ca="1">IFERROR(__xludf.DUMMYFUNCTION("""COMPUTED_VALUE"""),20769)</f>
        <v>20769</v>
      </c>
    </row>
    <row r="624" spans="1:50" ht="60" x14ac:dyDescent="0.2">
      <c r="A624" s="8" t="str">
        <f ca="1">IFERROR(__xludf.DUMMYFUNCTION("""COMPUTED_VALUE"""),"20230911ARPRN")</f>
        <v>20230911ARPRN</v>
      </c>
      <c r="B624" s="8">
        <f ca="1">IFERROR(__xludf.DUMMYFUNCTION("""COMPUTED_VALUE"""),9)</f>
        <v>9</v>
      </c>
      <c r="C624" s="8">
        <f ca="1">IFERROR(__xludf.DUMMYFUNCTION("""COMPUTED_VALUE"""),11)</f>
        <v>11</v>
      </c>
      <c r="D624" s="8">
        <f ca="1">IFERROR(__xludf.DUMMYFUNCTION("""COMPUTED_VALUE"""),2023)</f>
        <v>2023</v>
      </c>
      <c r="E624" s="9">
        <f ca="1">IFERROR(__xludf.DUMMYFUNCTION("""COMPUTED_VALUE"""),45180)</f>
        <v>45180</v>
      </c>
      <c r="F624" s="8" t="str">
        <f ca="1">IFERROR(__xludf.DUMMYFUNCTION("""COMPUTED_VALUE"""),"Premier High School")</f>
        <v>Premier High School</v>
      </c>
      <c r="G624" s="8">
        <f ca="1">IFERROR(__xludf.DUMMYFUNCTION("""COMPUTED_VALUE"""),0)</f>
        <v>0</v>
      </c>
      <c r="H624" s="8">
        <f ca="1">IFERROR(__xludf.DUMMYFUNCTION("""COMPUTED_VALUE"""),0)</f>
        <v>0</v>
      </c>
      <c r="I624" s="8">
        <f ca="1">IFERROR(__xludf.DUMMYFUNCTION("""COMPUTED_VALUE"""),0)</f>
        <v>0</v>
      </c>
      <c r="J624" s="8">
        <f ca="1">IFERROR(__xludf.DUMMYFUNCTION("""COMPUTED_VALUE"""),0)</f>
        <v>0</v>
      </c>
      <c r="K624" s="10" t="str">
        <f ca="1">IFERROR(__xludf.DUMMYFUNCTION("""COMPUTED_VALUE"""),"https://www.arkansasonline.com/news/2023/sep/11/north-little-rock-police-responding-to-gunshot-fired-inside-premiere-high-school/")</f>
        <v>https://www.arkansasonline.com/news/2023/sep/11/north-little-rock-police-responding-to-gunshot-fired-inside-premiere-high-school/</v>
      </c>
      <c r="L624" s="8">
        <f ca="1">IFERROR(__xludf.DUMMYFUNCTION("""COMPUTED_VALUE"""),5)</f>
        <v>5</v>
      </c>
      <c r="M624" s="8" t="str">
        <f ca="1">IFERROR(__xludf.DUMMYFUNCTION("""COMPUTED_VALUE"""),"Regional")</f>
        <v>Regional</v>
      </c>
      <c r="N624" s="8">
        <f ca="1">IFERROR(__xludf.DUMMYFUNCTION("""COMPUTED_VALUE"""),4)</f>
        <v>4</v>
      </c>
      <c r="O624" s="8" t="str">
        <f ca="1">IFERROR(__xludf.DUMMYFUNCTION("""COMPUTED_VALUE"""),"Fall")</f>
        <v>Fall</v>
      </c>
      <c r="P624" s="8" t="str">
        <f ca="1">IFERROR(__xludf.DUMMYFUNCTION("""COMPUTED_VALUE"""),"North Little Rock")</f>
        <v>North Little Rock</v>
      </c>
      <c r="Q624" s="8" t="str">
        <f ca="1">IFERROR(__xludf.DUMMYFUNCTION("""COMPUTED_VALUE"""),"AR")</f>
        <v>AR</v>
      </c>
      <c r="R624" s="8" t="str">
        <f ca="1">IFERROR(__xludf.DUMMYFUNCTION("""COMPUTED_VALUE"""),"High")</f>
        <v>High</v>
      </c>
      <c r="S624" s="8" t="str">
        <f ca="1">IFERROR(__xludf.DUMMYFUNCTION("""COMPUTED_VALUE"""),"Bathroom")</f>
        <v>Bathroom</v>
      </c>
      <c r="T624" s="8" t="str">
        <f ca="1">IFERROR(__xludf.DUMMYFUNCTION("""COMPUTED_VALUE"""),"Inside School Building")</f>
        <v>Inside School Building</v>
      </c>
      <c r="U624" s="8" t="str">
        <f ca="1">IFERROR(__xludf.DUMMYFUNCTION("""COMPUTED_VALUE"""),"Yes")</f>
        <v>Yes</v>
      </c>
      <c r="V624" s="8" t="str">
        <f ca="1">IFERROR(__xludf.DUMMYFUNCTION("""COMPUTED_VALUE"""),"Lunch")</f>
        <v>Lunch</v>
      </c>
      <c r="W624" s="11">
        <f ca="1">IFERROR(__xludf.DUMMYFUNCTION("""COMPUTED_VALUE"""),0.522916666666666)</f>
        <v>0.52291666666666603</v>
      </c>
      <c r="X624" s="8">
        <f ca="1">IFERROR(__xludf.DUMMYFUNCTION("""COMPUTED_VALUE"""),1)</f>
        <v>1</v>
      </c>
      <c r="Y624" s="12" t="str">
        <f ca="1">IFERROR(__xludf.DUMMYFUNCTION("""COMPUTED_VALUE"""),"At least one shot fired inside bathroom during lunch")</f>
        <v>At least one shot fired inside bathroom during lunch</v>
      </c>
      <c r="Z624" s="12" t="str">
        <f ca="1">IFERROR(__xludf.DUMMYFUNCTION("""COMPUTED_VALUE"""),"At least one shot was fired inside the school bathroom during lunch. Shooter fled. School went on lockdown and was searched by police. No shooter or weapon found.")</f>
        <v>At least one shot was fired inside the school bathroom during lunch. Shooter fled. School went on lockdown and was searched by police. No shooter or weapon found.</v>
      </c>
      <c r="AA624" s="8"/>
      <c r="AB624" s="8"/>
      <c r="AC624" s="8" t="str">
        <f ca="1">IFERROR(__xludf.DUMMYFUNCTION("""COMPUTED_VALUE"""),"Yes")</f>
        <v>Yes</v>
      </c>
      <c r="AD624" s="8"/>
      <c r="AE624" s="8"/>
      <c r="AF624" s="8"/>
      <c r="AG624" s="8" t="str">
        <f ca="1">IFERROR(__xludf.DUMMYFUNCTION("""COMPUTED_VALUE"""),"No")</f>
        <v>No</v>
      </c>
      <c r="AH624" s="8" t="str">
        <f ca="1">IFERROR(__xludf.DUMMYFUNCTION("""COMPUTED_VALUE"""),"No")</f>
        <v>No</v>
      </c>
      <c r="AI624" s="8" t="str">
        <f ca="1">IFERROR(__xludf.DUMMYFUNCTION("""COMPUTED_VALUE"""),"No")</f>
        <v>No</v>
      </c>
      <c r="AJ624" s="8"/>
      <c r="AK624" s="8" t="str">
        <f ca="1">IFERROR(__xludf.DUMMYFUNCTION("""COMPUTED_VALUE"""),"No")</f>
        <v>No</v>
      </c>
      <c r="AL624" s="8"/>
      <c r="AM624" s="8" t="str">
        <f ca="1">IFERROR(__xludf.DUMMYFUNCTION("""COMPUTED_VALUE"""),"No")</f>
        <v>No</v>
      </c>
      <c r="AN624" s="8" t="str">
        <f ca="1">IFERROR(__xludf.DUMMYFUNCTION("""COMPUTED_VALUE"""),"Outside")</f>
        <v>Outside</v>
      </c>
      <c r="AO624" s="8" t="str">
        <f ca="1">IFERROR(__xludf.DUMMYFUNCTION("""COMPUTED_VALUE"""),"No")</f>
        <v>No</v>
      </c>
      <c r="AP624" s="8"/>
      <c r="AQ624" s="8"/>
      <c r="AR624" s="8" t="str">
        <f ca="1">IFERROR(__xludf.DUMMYFUNCTION("""COMPUTED_VALUE"""),"Outside/Off-Property")</f>
        <v>Outside/Off-Property</v>
      </c>
      <c r="AS624" s="8">
        <f ca="1">IFERROR(__xludf.DUMMYFUNCTION("""COMPUTED_VALUE"""),1)</f>
        <v>1</v>
      </c>
      <c r="AT624" s="8" t="str">
        <f ca="1">IFERROR(__xludf.DUMMYFUNCTION("""COMPUTED_VALUE"""),"Yes")</f>
        <v>Yes</v>
      </c>
      <c r="AU624" s="8">
        <f ca="1">IFERROR(__xludf.DUMMYFUNCTION("""COMPUTED_VALUE"""),34.781485)</f>
        <v>34.781485000000004</v>
      </c>
      <c r="AV624" s="8">
        <f ca="1">IFERROR(__xludf.DUMMYFUNCTION("""COMPUTED_VALUE"""),-92.276026)</f>
        <v>-92.276026000000002</v>
      </c>
      <c r="AW624" s="8"/>
      <c r="AX624" s="8">
        <f ca="1">IFERROR(__xludf.DUMMYFUNCTION("""COMPUTED_VALUE"""),72114)</f>
        <v>72114</v>
      </c>
    </row>
    <row r="625" spans="1:50" ht="105" x14ac:dyDescent="0.2">
      <c r="A625" s="8" t="str">
        <f ca="1">IFERROR(__xludf.DUMMYFUNCTION("""COMPUTED_VALUE"""),"20230909NYPRU")</f>
        <v>20230909NYPRU</v>
      </c>
      <c r="B625" s="8">
        <f ca="1">IFERROR(__xludf.DUMMYFUNCTION("""COMPUTED_VALUE"""),9)</f>
        <v>9</v>
      </c>
      <c r="C625" s="8">
        <f ca="1">IFERROR(__xludf.DUMMYFUNCTION("""COMPUTED_VALUE"""),9)</f>
        <v>9</v>
      </c>
      <c r="D625" s="8">
        <f ca="1">IFERROR(__xludf.DUMMYFUNCTION("""COMPUTED_VALUE"""),2023)</f>
        <v>2023</v>
      </c>
      <c r="E625" s="9">
        <f ca="1">IFERROR(__xludf.DUMMYFUNCTION("""COMPUTED_VALUE"""),45178)</f>
        <v>45178</v>
      </c>
      <c r="F625" s="8" t="str">
        <f ca="1">IFERROR(__xludf.DUMMYFUNCTION("""COMPUTED_VALUE"""),"Proctor High School")</f>
        <v>Proctor High School</v>
      </c>
      <c r="G625" s="8">
        <f ca="1">IFERROR(__xludf.DUMMYFUNCTION("""COMPUTED_VALUE"""),0)</f>
        <v>0</v>
      </c>
      <c r="H625" s="8">
        <f ca="1">IFERROR(__xludf.DUMMYFUNCTION("""COMPUTED_VALUE"""),1)</f>
        <v>1</v>
      </c>
      <c r="I625" s="8">
        <f ca="1">IFERROR(__xludf.DUMMYFUNCTION("""COMPUTED_VALUE"""),1)</f>
        <v>1</v>
      </c>
      <c r="J625" s="8">
        <f ca="1">IFERROR(__xludf.DUMMYFUNCTION("""COMPUTED_VALUE"""),0)</f>
        <v>0</v>
      </c>
      <c r="K625" s="8" t="str">
        <f ca="1">IFERROR(__xludf.DUMMYFUNCTION("""COMPUTED_VALUE"""),"https://www.uticaod.com/story/news/2024/01/16/proctor-football-shooting-teen-gets-18-to-20-years-in-plea-deal/72246726007/
https://nypost.com/2023/09/10/teen-arrested-after-security-guard-shot-in-head-at-utica-high-school-football-game/
https://www.cnyhom"&amp;"epage.com/news/local-news/shots-fired-at-proctor-high-school-football-game/")</f>
        <v>https://www.uticaod.com/story/news/2024/01/16/proctor-football-shooting-teen-gets-18-to-20-years-in-plea-deal/72246726007/
https://nypost.com/2023/09/10/teen-arrested-after-security-guard-shot-in-head-at-utica-high-school-football-game/
https://www.cnyhomepage.com/news/local-news/shots-fired-at-proctor-high-school-football-game/</v>
      </c>
      <c r="L625" s="8">
        <f ca="1">IFERROR(__xludf.DUMMYFUNCTION("""COMPUTED_VALUE"""),100)</f>
        <v>100</v>
      </c>
      <c r="M625" s="8" t="str">
        <f ca="1">IFERROR(__xludf.DUMMYFUNCTION("""COMPUTED_VALUE"""),"National")</f>
        <v>National</v>
      </c>
      <c r="N625" s="8">
        <f ca="1">IFERROR(__xludf.DUMMYFUNCTION("""COMPUTED_VALUE"""),4)</f>
        <v>4</v>
      </c>
      <c r="O625" s="8" t="str">
        <f ca="1">IFERROR(__xludf.DUMMYFUNCTION("""COMPUTED_VALUE"""),"Fall")</f>
        <v>Fall</v>
      </c>
      <c r="P625" s="8" t="str">
        <f ca="1">IFERROR(__xludf.DUMMYFUNCTION("""COMPUTED_VALUE"""),"Utica")</f>
        <v>Utica</v>
      </c>
      <c r="Q625" s="8" t="str">
        <f ca="1">IFERROR(__xludf.DUMMYFUNCTION("""COMPUTED_VALUE"""),"NY")</f>
        <v>NY</v>
      </c>
      <c r="R625" s="8" t="str">
        <f ca="1">IFERROR(__xludf.DUMMYFUNCTION("""COMPUTED_VALUE"""),"High")</f>
        <v>High</v>
      </c>
      <c r="S625" s="8" t="str">
        <f ca="1">IFERROR(__xludf.DUMMYFUNCTION("""COMPUTED_VALUE"""),"Parking Lot")</f>
        <v>Parking Lot</v>
      </c>
      <c r="T625" s="8" t="str">
        <f ca="1">IFERROR(__xludf.DUMMYFUNCTION("""COMPUTED_VALUE"""),"Outside on School Property")</f>
        <v>Outside on School Property</v>
      </c>
      <c r="U625" s="8" t="str">
        <f ca="1">IFERROR(__xludf.DUMMYFUNCTION("""COMPUTED_VALUE"""),"No")</f>
        <v>No</v>
      </c>
      <c r="V625" s="8" t="str">
        <f ca="1">IFERROR(__xludf.DUMMYFUNCTION("""COMPUTED_VALUE"""),"Sport Event")</f>
        <v>Sport Event</v>
      </c>
      <c r="W625" s="11">
        <f ca="1">IFERROR(__xludf.DUMMYFUNCTION("""COMPUTED_VALUE"""),0.666666666666666)</f>
        <v>0.66666666666666596</v>
      </c>
      <c r="X625" s="8">
        <f ca="1">IFERROR(__xludf.DUMMYFUNCTION("""COMPUTED_VALUE"""),1)</f>
        <v>1</v>
      </c>
      <c r="Y625" s="12" t="str">
        <f ca="1">IFERROR(__xludf.DUMMYFUNCTION("""COMPUTED_VALUE"""),"Security guard shot in head while breaking up fight between teens when game ended")</f>
        <v>Security guard shot in head while breaking up fight between teens when game ended</v>
      </c>
      <c r="Z625" s="12" t="str">
        <f ca="1">IFERROR(__xludf.DUMMYFUNCTION("""COMPUTED_VALUE"""),"The Proctor High School football team had just finished their game against Binghamton High School when a large crowd gathered across the street from the school on Armory Drive. A fight broke out prompting a response from Proctor Security and Utica Police."&amp;" The physical fight then became a gun fight, and a member of the school security staff was shot in the head.")</f>
        <v>The Proctor High School football team had just finished their game against Binghamton High School when a large crowd gathered across the street from the school on Armory Drive. A fight broke out prompting a response from Proctor Security and Utica Police. The physical fight then became a gun fight, and a member of the school security staff was shot in the head.</v>
      </c>
      <c r="AA625" s="8" t="str">
        <f ca="1">IFERROR(__xludf.DUMMYFUNCTION("""COMPUTED_VALUE"""),"Escalation of Dispute")</f>
        <v>Escalation of Dispute</v>
      </c>
      <c r="AB625" s="8"/>
      <c r="AC625" s="8" t="str">
        <f ca="1">IFERROR(__xludf.DUMMYFUNCTION("""COMPUTED_VALUE"""),"Yes")</f>
        <v>Yes</v>
      </c>
      <c r="AD625" s="8" t="str">
        <f ca="1">IFERROR(__xludf.DUMMYFUNCTION("""COMPUTED_VALUE"""),"Both")</f>
        <v>Both</v>
      </c>
      <c r="AE625" s="8" t="str">
        <f ca="1">IFERROR(__xludf.DUMMYFUNCTION("""COMPUTED_VALUE"""),"No")</f>
        <v>No</v>
      </c>
      <c r="AF625" s="8"/>
      <c r="AG625" s="8" t="str">
        <f ca="1">IFERROR(__xludf.DUMMYFUNCTION("""COMPUTED_VALUE"""),"No")</f>
        <v>No</v>
      </c>
      <c r="AH625" s="8" t="str">
        <f ca="1">IFERROR(__xludf.DUMMYFUNCTION("""COMPUTED_VALUE"""),"No")</f>
        <v>No</v>
      </c>
      <c r="AI625" s="8" t="str">
        <f ca="1">IFERROR(__xludf.DUMMYFUNCTION("""COMPUTED_VALUE"""),"No")</f>
        <v>No</v>
      </c>
      <c r="AJ625" s="8" t="str">
        <f ca="1">IFERROR(__xludf.DUMMYFUNCTION("""COMPUTED_VALUE"""),"No")</f>
        <v>No</v>
      </c>
      <c r="AK625" s="8" t="str">
        <f ca="1">IFERROR(__xludf.DUMMYFUNCTION("""COMPUTED_VALUE"""),"No")</f>
        <v>No</v>
      </c>
      <c r="AL625" s="8"/>
      <c r="AM625" s="8" t="str">
        <f ca="1">IFERROR(__xludf.DUMMYFUNCTION("""COMPUTED_VALUE"""),"No")</f>
        <v>No</v>
      </c>
      <c r="AN625" s="8" t="str">
        <f ca="1">IFERROR(__xludf.DUMMYFUNCTION("""COMPUTED_VALUE"""),"Outside")</f>
        <v>Outside</v>
      </c>
      <c r="AO625" s="8" t="str">
        <f ca="1">IFERROR(__xludf.DUMMYFUNCTION("""COMPUTED_VALUE"""),"No")</f>
        <v>No</v>
      </c>
      <c r="AP625" s="8" t="str">
        <f ca="1">IFERROR(__xludf.DUMMYFUNCTION("""COMPUTED_VALUE"""),"Yes")</f>
        <v>Yes</v>
      </c>
      <c r="AQ625" s="8" t="str">
        <f ca="1">IFERROR(__xludf.DUMMYFUNCTION("""COMPUTED_VALUE"""),"Guards")</f>
        <v>Guards</v>
      </c>
      <c r="AR625" s="8" t="str">
        <f ca="1">IFERROR(__xludf.DUMMYFUNCTION("""COMPUTED_VALUE"""),"Outside/Off-Property")</f>
        <v>Outside/Off-Property</v>
      </c>
      <c r="AS625" s="8">
        <f ca="1">IFERROR(__xludf.DUMMYFUNCTION("""COMPUTED_VALUE"""),99)</f>
        <v>99</v>
      </c>
      <c r="AT625" s="8" t="str">
        <f ca="1">IFERROR(__xludf.DUMMYFUNCTION("""COMPUTED_VALUE"""),"No")</f>
        <v>No</v>
      </c>
      <c r="AU625" s="8">
        <f ca="1">IFERROR(__xludf.DUMMYFUNCTION("""COMPUTED_VALUE"""),43.082567)</f>
        <v>43.082566999999997</v>
      </c>
      <c r="AV625" s="8">
        <f ca="1">IFERROR(__xludf.DUMMYFUNCTION("""COMPUTED_VALUE"""),-75.215041)</f>
        <v>-75.215040999999999</v>
      </c>
      <c r="AW625" s="8"/>
      <c r="AX625" s="8">
        <f ca="1">IFERROR(__xludf.DUMMYFUNCTION("""COMPUTED_VALUE"""),13492)</f>
        <v>13492</v>
      </c>
    </row>
    <row r="626" spans="1:50" ht="105" x14ac:dyDescent="0.2">
      <c r="A626" s="8" t="str">
        <f ca="1">IFERROR(__xludf.DUMMYFUNCTION("""COMPUTED_VALUE"""),"20230908NCLUL")</f>
        <v>20230908NCLUL</v>
      </c>
      <c r="B626" s="8">
        <f ca="1">IFERROR(__xludf.DUMMYFUNCTION("""COMPUTED_VALUE"""),9)</f>
        <v>9</v>
      </c>
      <c r="C626" s="8">
        <f ca="1">IFERROR(__xludf.DUMMYFUNCTION("""COMPUTED_VALUE"""),8)</f>
        <v>8</v>
      </c>
      <c r="D626" s="8">
        <f ca="1">IFERROR(__xludf.DUMMYFUNCTION("""COMPUTED_VALUE"""),2023)</f>
        <v>2023</v>
      </c>
      <c r="E626" s="9">
        <f ca="1">IFERROR(__xludf.DUMMYFUNCTION("""COMPUTED_VALUE"""),45177)</f>
        <v>45177</v>
      </c>
      <c r="F626" s="8" t="str">
        <f ca="1">IFERROR(__xludf.DUMMYFUNCTION("""COMPUTED_VALUE"""),"Lumberton High School")</f>
        <v>Lumberton High School</v>
      </c>
      <c r="G626" s="8">
        <f ca="1">IFERROR(__xludf.DUMMYFUNCTION("""COMPUTED_VALUE"""),0)</f>
        <v>0</v>
      </c>
      <c r="H626" s="8">
        <f ca="1">IFERROR(__xludf.DUMMYFUNCTION("""COMPUTED_VALUE"""),0)</f>
        <v>0</v>
      </c>
      <c r="I626" s="8">
        <f ca="1">IFERROR(__xludf.DUMMYFUNCTION("""COMPUTED_VALUE"""),0)</f>
        <v>0</v>
      </c>
      <c r="J626" s="8">
        <f ca="1">IFERROR(__xludf.DUMMYFUNCTION("""COMPUTED_VALUE"""),0)</f>
        <v>0</v>
      </c>
      <c r="K626" s="10" t="str">
        <f ca="1">IFERROR(__xludf.DUMMYFUNCTION("""COMPUTED_VALUE"""),"https://www.robesonian.com/news/290864/ten-more-suspects-charged-in-shooting-during-lumberton-high-football-game
https://www.wbtw.com/news/state-regional-news/lumberton/one-of-suspected-shooters-who-shot-at-lumberton-high-school-varsity-game-arrested-and-"&amp;"charged-police-say/
https://www.robesonian.com/news/290404/shot-fired-at-lumberton-high-schoo-football-game")</f>
        <v>https://www.robesonian.com/news/290864/ten-more-suspects-charged-in-shooting-during-lumberton-high-football-game
https://www.wbtw.com/news/state-regional-news/lumberton/one-of-suspected-shooters-who-shot-at-lumberton-high-school-varsity-game-arrested-and-charged-police-say/
https://www.robesonian.com/news/290404/shot-fired-at-lumberton-high-schoo-football-game</v>
      </c>
      <c r="L626" s="8">
        <f ca="1">IFERROR(__xludf.DUMMYFUNCTION("""COMPUTED_VALUE"""),20)</f>
        <v>20</v>
      </c>
      <c r="M626" s="8" t="str">
        <f ca="1">IFERROR(__xludf.DUMMYFUNCTION("""COMPUTED_VALUE"""),"Regional")</f>
        <v>Regional</v>
      </c>
      <c r="N626" s="8">
        <f ca="1">IFERROR(__xludf.DUMMYFUNCTION("""COMPUTED_VALUE"""),4)</f>
        <v>4</v>
      </c>
      <c r="O626" s="8" t="str">
        <f ca="1">IFERROR(__xludf.DUMMYFUNCTION("""COMPUTED_VALUE"""),"Fall")</f>
        <v>Fall</v>
      </c>
      <c r="P626" s="8" t="str">
        <f ca="1">IFERROR(__xludf.DUMMYFUNCTION("""COMPUTED_VALUE"""),"Lumberton")</f>
        <v>Lumberton</v>
      </c>
      <c r="Q626" s="8" t="str">
        <f ca="1">IFERROR(__xludf.DUMMYFUNCTION("""COMPUTED_VALUE"""),"NC")</f>
        <v>NC</v>
      </c>
      <c r="R626" s="8" t="str">
        <f ca="1">IFERROR(__xludf.DUMMYFUNCTION("""COMPUTED_VALUE"""),"High")</f>
        <v>High</v>
      </c>
      <c r="S626" s="8" t="str">
        <f ca="1">IFERROR(__xludf.DUMMYFUNCTION("""COMPUTED_VALUE"""),"Parking Lot")</f>
        <v>Parking Lot</v>
      </c>
      <c r="T626" s="8" t="str">
        <f ca="1">IFERROR(__xludf.DUMMYFUNCTION("""COMPUTED_VALUE"""),"Outside on School Property")</f>
        <v>Outside on School Property</v>
      </c>
      <c r="U626" s="8" t="str">
        <f ca="1">IFERROR(__xludf.DUMMYFUNCTION("""COMPUTED_VALUE"""),"No")</f>
        <v>No</v>
      </c>
      <c r="V626" s="8" t="str">
        <f ca="1">IFERROR(__xludf.DUMMYFUNCTION("""COMPUTED_VALUE"""),"Sport Event")</f>
        <v>Sport Event</v>
      </c>
      <c r="W626" s="11">
        <f ca="1">IFERROR(__xludf.DUMMYFUNCTION("""COMPUTED_VALUE"""),0.871527777777777)</f>
        <v>0.87152777777777701</v>
      </c>
      <c r="X626" s="8">
        <f ca="1">IFERROR(__xludf.DUMMYFUNCTION("""COMPUTED_VALUE"""),1)</f>
        <v>1</v>
      </c>
      <c r="Y626" s="12" t="str">
        <f ca="1">IFERROR(__xludf.DUMMYFUNCTION("""COMPUTED_VALUE"""),"Shots fired in parking lot during football game, game cancelled")</f>
        <v>Shots fired in parking lot during football game, game cancelled</v>
      </c>
      <c r="Z626" s="12" t="str">
        <f ca="1">IFERROR(__xludf.DUMMYFUNCTION("""COMPUTED_VALUE"""),"Shots were fired into the air and law enforcement chased a vehicle from the scene. Multiple vehicles were reportedly struck by gunshots. Public Schools of Robeson County released a statement to its social media channels which read in part: “Police are inv"&amp;"estigating a shooting which occurred in the parking lot area. No injuries have been reported at this time.”")</f>
        <v>Shots were fired into the air and law enforcement chased a vehicle from the scene. Multiple vehicles were reportedly struck by gunshots. Public Schools of Robeson County released a statement to its social media channels which read in part: “Police are investigating a shooting which occurred in the parking lot area. No injuries have been reported at this time.”</v>
      </c>
      <c r="AA626" s="8" t="str">
        <f ca="1">IFERROR(__xludf.DUMMYFUNCTION("""COMPUTED_VALUE"""),"Drive-by Shooting")</f>
        <v>Drive-by Shooting</v>
      </c>
      <c r="AB626" s="8"/>
      <c r="AC626" s="8" t="str">
        <f ca="1">IFERROR(__xludf.DUMMYFUNCTION("""COMPUTED_VALUE"""),"Yes")</f>
        <v>Yes</v>
      </c>
      <c r="AD626" s="8" t="str">
        <f ca="1">IFERROR(__xludf.DUMMYFUNCTION("""COMPUTED_VALUE"""),"Both")</f>
        <v>Both</v>
      </c>
      <c r="AE626" s="8" t="str">
        <f ca="1">IFERROR(__xludf.DUMMYFUNCTION("""COMPUTED_VALUE"""),"Yes")</f>
        <v>Yes</v>
      </c>
      <c r="AF626" s="8" t="str">
        <f ca="1">IFERROR(__xludf.DUMMYFUNCTION("""COMPUTED_VALUE"""),"5 teens arrested")</f>
        <v>5 teens arrested</v>
      </c>
      <c r="AG626" s="8" t="str">
        <f ca="1">IFERROR(__xludf.DUMMYFUNCTION("""COMPUTED_VALUE"""),"No")</f>
        <v>No</v>
      </c>
      <c r="AH626" s="8" t="str">
        <f ca="1">IFERROR(__xludf.DUMMYFUNCTION("""COMPUTED_VALUE"""),"No")</f>
        <v>No</v>
      </c>
      <c r="AI626" s="8" t="str">
        <f ca="1">IFERROR(__xludf.DUMMYFUNCTION("""COMPUTED_VALUE"""),"No")</f>
        <v>No</v>
      </c>
      <c r="AJ626" s="8" t="str">
        <f ca="1">IFERROR(__xludf.DUMMYFUNCTION("""COMPUTED_VALUE"""),"No")</f>
        <v>No</v>
      </c>
      <c r="AK626" s="8" t="str">
        <f ca="1">IFERROR(__xludf.DUMMYFUNCTION("""COMPUTED_VALUE"""),"No")</f>
        <v>No</v>
      </c>
      <c r="AL626" s="8" t="str">
        <f ca="1">IFERROR(__xludf.DUMMYFUNCTION("""COMPUTED_VALUE"""),"No")</f>
        <v>No</v>
      </c>
      <c r="AM626" s="8" t="str">
        <f ca="1">IFERROR(__xludf.DUMMYFUNCTION("""COMPUTED_VALUE"""),"No")</f>
        <v>No</v>
      </c>
      <c r="AN626" s="8" t="str">
        <f ca="1">IFERROR(__xludf.DUMMYFUNCTION("""COMPUTED_VALUE"""),"Outside")</f>
        <v>Outside</v>
      </c>
      <c r="AO626" s="8" t="str">
        <f ca="1">IFERROR(__xludf.DUMMYFUNCTION("""COMPUTED_VALUE"""),"No")</f>
        <v>No</v>
      </c>
      <c r="AP626" s="8"/>
      <c r="AQ626" s="8"/>
      <c r="AR626" s="8" t="str">
        <f ca="1">IFERROR(__xludf.DUMMYFUNCTION("""COMPUTED_VALUE"""),"Outside/Off-Property")</f>
        <v>Outside/Off-Property</v>
      </c>
      <c r="AS626" s="8">
        <f ca="1">IFERROR(__xludf.DUMMYFUNCTION("""COMPUTED_VALUE"""),99)</f>
        <v>99</v>
      </c>
      <c r="AT626" s="8" t="str">
        <f ca="1">IFERROR(__xludf.DUMMYFUNCTION("""COMPUTED_VALUE"""),"No")</f>
        <v>No</v>
      </c>
      <c r="AU626" s="8">
        <f ca="1">IFERROR(__xludf.DUMMYFUNCTION("""COMPUTED_VALUE"""),34.6461)</f>
        <v>34.646099999999997</v>
      </c>
      <c r="AV626" s="8">
        <f ca="1">IFERROR(__xludf.DUMMYFUNCTION("""COMPUTED_VALUE"""),-78.998198)</f>
        <v>-78.998198000000002</v>
      </c>
      <c r="AW626" s="8"/>
      <c r="AX626" s="8">
        <f ca="1">IFERROR(__xludf.DUMMYFUNCTION("""COMPUTED_VALUE"""),28358)</f>
        <v>28358</v>
      </c>
    </row>
    <row r="627" spans="1:50" ht="180" x14ac:dyDescent="0.2">
      <c r="A627" s="8" t="str">
        <f ca="1">IFERROR(__xludf.DUMMYFUNCTION("""COMPUTED_VALUE"""),"20230906FLANT")</f>
        <v>20230906FLANT</v>
      </c>
      <c r="B627" s="8">
        <f ca="1">IFERROR(__xludf.DUMMYFUNCTION("""COMPUTED_VALUE"""),9)</f>
        <v>9</v>
      </c>
      <c r="C627" s="8">
        <f ca="1">IFERROR(__xludf.DUMMYFUNCTION("""COMPUTED_VALUE"""),6)</f>
        <v>6</v>
      </c>
      <c r="D627" s="8">
        <f ca="1">IFERROR(__xludf.DUMMYFUNCTION("""COMPUTED_VALUE"""),2023)</f>
        <v>2023</v>
      </c>
      <c r="E627" s="9">
        <f ca="1">IFERROR(__xludf.DUMMYFUNCTION("""COMPUTED_VALUE"""),45175)</f>
        <v>45175</v>
      </c>
      <c r="F627" s="8" t="str">
        <f ca="1">IFERROR(__xludf.DUMMYFUNCTION("""COMPUTED_VALUE"""),"Andrew Jackson Middle School")</f>
        <v>Andrew Jackson Middle School</v>
      </c>
      <c r="G627" s="8">
        <f ca="1">IFERROR(__xludf.DUMMYFUNCTION("""COMPUTED_VALUE"""),0)</f>
        <v>0</v>
      </c>
      <c r="H627" s="8">
        <f ca="1">IFERROR(__xludf.DUMMYFUNCTION("""COMPUTED_VALUE"""),0)</f>
        <v>0</v>
      </c>
      <c r="I627" s="8">
        <f ca="1">IFERROR(__xludf.DUMMYFUNCTION("""COMPUTED_VALUE"""),0)</f>
        <v>0</v>
      </c>
      <c r="J627" s="8">
        <f ca="1">IFERROR(__xludf.DUMMYFUNCTION("""COMPUTED_VALUE"""),0)</f>
        <v>0</v>
      </c>
      <c r="K627" s="10" t="str">
        <f ca="1">IFERROR(__xludf.DUMMYFUNCTION("""COMPUTED_VALUE"""),"https://www.clickorlando.com/news/local/2023/09/06/woman-fired-gun-at-school-bus-in-titusville-police-say/")</f>
        <v>https://www.clickorlando.com/news/local/2023/09/06/woman-fired-gun-at-school-bus-in-titusville-police-say/</v>
      </c>
      <c r="L627" s="8">
        <f ca="1">IFERROR(__xludf.DUMMYFUNCTION("""COMPUTED_VALUE"""),10)</f>
        <v>10</v>
      </c>
      <c r="M627" s="8" t="str">
        <f ca="1">IFERROR(__xludf.DUMMYFUNCTION("""COMPUTED_VALUE"""),"Regional")</f>
        <v>Regional</v>
      </c>
      <c r="N627" s="8">
        <f ca="1">IFERROR(__xludf.DUMMYFUNCTION("""COMPUTED_VALUE"""),4)</f>
        <v>4</v>
      </c>
      <c r="O627" s="8" t="str">
        <f ca="1">IFERROR(__xludf.DUMMYFUNCTION("""COMPUTED_VALUE"""),"Fall")</f>
        <v>Fall</v>
      </c>
      <c r="P627" s="8" t="str">
        <f ca="1">IFERROR(__xludf.DUMMYFUNCTION("""COMPUTED_VALUE"""),"Titusville")</f>
        <v>Titusville</v>
      </c>
      <c r="Q627" s="8" t="str">
        <f ca="1">IFERROR(__xludf.DUMMYFUNCTION("""COMPUTED_VALUE"""),"FL")</f>
        <v>FL</v>
      </c>
      <c r="R627" s="8" t="str">
        <f ca="1">IFERROR(__xludf.DUMMYFUNCTION("""COMPUTED_VALUE"""),"Middle")</f>
        <v>Middle</v>
      </c>
      <c r="S627" s="8" t="str">
        <f ca="1">IFERROR(__xludf.DUMMYFUNCTION("""COMPUTED_VALUE"""),"School Bus")</f>
        <v>School Bus</v>
      </c>
      <c r="T627" s="8" t="str">
        <f ca="1">IFERROR(__xludf.DUMMYFUNCTION("""COMPUTED_VALUE"""),"School Bus")</f>
        <v>School Bus</v>
      </c>
      <c r="U627" s="8" t="str">
        <f ca="1">IFERROR(__xludf.DUMMYFUNCTION("""COMPUTED_VALUE"""),"Yes")</f>
        <v>Yes</v>
      </c>
      <c r="V627" s="8" t="str">
        <f ca="1">IFERROR(__xludf.DUMMYFUNCTION("""COMPUTED_VALUE"""),"Dismissal")</f>
        <v>Dismissal</v>
      </c>
      <c r="W627" s="11">
        <f ca="1">IFERROR(__xludf.DUMMYFUNCTION("""COMPUTED_VALUE"""),0.697916666666666)</f>
        <v>0.69791666666666596</v>
      </c>
      <c r="X627" s="8">
        <f ca="1">IFERROR(__xludf.DUMMYFUNCTION("""COMPUTED_VALUE"""),1)</f>
        <v>1</v>
      </c>
      <c r="Y627" s="12" t="str">
        <f ca="1">IFERROR(__xludf.DUMMYFUNCTION("""COMPUTED_VALUE"""),"Woman fired shots at bus during dispute between students")</f>
        <v>Woman fired shots at bus during dispute between students</v>
      </c>
      <c r="Z627" s="12" t="str">
        <f ca="1">IFERROR(__xludf.DUMMYFUNCTION("""COMPUTED_VALUE"""),"Titusville police said a boy and a girl who attend Andrew Jackson Middle School got into an argument at school and it continued on the bus. One of the students called Wyns, who drove to Sisson Road and Little League Lane to pick up the girl. According to "&amp;"police, Wyns told the bus driver that she was there to “handle” the situation, but the driver did not allow her onto the vehicle. The bus driver told Wyns that school officials would be informed about the students’ altercation. The driver then spotted a m"&amp;"agazine and bullets in Wyns’ hand, said police, who added that Wyns walked to her car, which was near the bus. Moments later, a gunshot was fired and Wyns sped away, police said.")</f>
        <v>Titusville police said a boy and a girl who attend Andrew Jackson Middle School got into an argument at school and it continued on the bus. One of the students called Wyns, who drove to Sisson Road and Little League Lane to pick up the girl. According to police, Wyns told the bus driver that she was there to “handle” the situation, but the driver did not allow her onto the vehicle. The bus driver told Wyns that school officials would be informed about the students’ altercation. The driver then spotted a magazine and bullets in Wyns’ hand, said police, who added that Wyns walked to her car, which was near the bus. Moments later, a gunshot was fired and Wyns sped away, police said.</v>
      </c>
      <c r="AA627" s="8" t="str">
        <f ca="1">IFERROR(__xludf.DUMMYFUNCTION("""COMPUTED_VALUE"""),"Escalation of Dispute")</f>
        <v>Escalation of Dispute</v>
      </c>
      <c r="AB627" s="8"/>
      <c r="AC627" s="8" t="str">
        <f ca="1">IFERROR(__xludf.DUMMYFUNCTION("""COMPUTED_VALUE"""),"Yes")</f>
        <v>Yes</v>
      </c>
      <c r="AD627" s="8" t="str">
        <f ca="1">IFERROR(__xludf.DUMMYFUNCTION("""COMPUTED_VALUE"""),"Both")</f>
        <v>Both</v>
      </c>
      <c r="AE627" s="8" t="str">
        <f ca="1">IFERROR(__xludf.DUMMYFUNCTION("""COMPUTED_VALUE"""),"No")</f>
        <v>No</v>
      </c>
      <c r="AF627" s="8"/>
      <c r="AG627" s="8" t="str">
        <f ca="1">IFERROR(__xludf.DUMMYFUNCTION("""COMPUTED_VALUE"""),"No")</f>
        <v>No</v>
      </c>
      <c r="AH627" s="8" t="str">
        <f ca="1">IFERROR(__xludf.DUMMYFUNCTION("""COMPUTED_VALUE"""),"No")</f>
        <v>No</v>
      </c>
      <c r="AI627" s="8" t="str">
        <f ca="1">IFERROR(__xludf.DUMMYFUNCTION("""COMPUTED_VALUE"""),"No")</f>
        <v>No</v>
      </c>
      <c r="AJ627" s="8" t="str">
        <f ca="1">IFERROR(__xludf.DUMMYFUNCTION("""COMPUTED_VALUE"""),"No")</f>
        <v>No</v>
      </c>
      <c r="AK627" s="8" t="str">
        <f ca="1">IFERROR(__xludf.DUMMYFUNCTION("""COMPUTED_VALUE"""),"No")</f>
        <v>No</v>
      </c>
      <c r="AL627" s="8" t="str">
        <f ca="1">IFERROR(__xludf.DUMMYFUNCTION("""COMPUTED_VALUE"""),"No")</f>
        <v>No</v>
      </c>
      <c r="AM627" s="8" t="str">
        <f ca="1">IFERROR(__xludf.DUMMYFUNCTION("""COMPUTED_VALUE"""),"No")</f>
        <v>No</v>
      </c>
      <c r="AN627" s="8" t="str">
        <f ca="1">IFERROR(__xludf.DUMMYFUNCTION("""COMPUTED_VALUE"""),"Outside")</f>
        <v>Outside</v>
      </c>
      <c r="AO627" s="8" t="str">
        <f ca="1">IFERROR(__xludf.DUMMYFUNCTION("""COMPUTED_VALUE"""),"No")</f>
        <v>No</v>
      </c>
      <c r="AP627" s="8"/>
      <c r="AQ627" s="8"/>
      <c r="AR627" s="8" t="str">
        <f ca="1">IFERROR(__xludf.DUMMYFUNCTION("""COMPUTED_VALUE"""),"Outside/Off-Property")</f>
        <v>Outside/Off-Property</v>
      </c>
      <c r="AS627" s="8">
        <f ca="1">IFERROR(__xludf.DUMMYFUNCTION("""COMPUTED_VALUE"""),99)</f>
        <v>99</v>
      </c>
      <c r="AT627" s="8" t="str">
        <f ca="1">IFERROR(__xludf.DUMMYFUNCTION("""COMPUTED_VALUE"""),"No")</f>
        <v>No</v>
      </c>
      <c r="AU627" s="8">
        <f ca="1">IFERROR(__xludf.DUMMYFUNCTION("""COMPUTED_VALUE"""),28.569037)</f>
        <v>28.569037000000002</v>
      </c>
      <c r="AV627" s="8">
        <f ca="1">IFERROR(__xludf.DUMMYFUNCTION("""COMPUTED_VALUE"""),-80.819585)</f>
        <v>-80.819585000000004</v>
      </c>
      <c r="AW627" s="8"/>
      <c r="AX627" s="8">
        <f ca="1">IFERROR(__xludf.DUMMYFUNCTION("""COMPUTED_VALUE"""),32780)</f>
        <v>32780</v>
      </c>
    </row>
    <row r="628" spans="1:50" ht="30" x14ac:dyDescent="0.2">
      <c r="A628" s="8" t="str">
        <f ca="1">IFERROR(__xludf.DUMMYFUNCTION("""COMPUTED_VALUE"""),"20230905CASKO")</f>
        <v>20230905CASKO</v>
      </c>
      <c r="B628" s="8">
        <f ca="1">IFERROR(__xludf.DUMMYFUNCTION("""COMPUTED_VALUE"""),9)</f>
        <v>9</v>
      </c>
      <c r="C628" s="8">
        <f ca="1">IFERROR(__xludf.DUMMYFUNCTION("""COMPUTED_VALUE"""),5)</f>
        <v>5</v>
      </c>
      <c r="D628" s="8">
        <f ca="1">IFERROR(__xludf.DUMMYFUNCTION("""COMPUTED_VALUE"""),2023)</f>
        <v>2023</v>
      </c>
      <c r="E628" s="9">
        <f ca="1">IFERROR(__xludf.DUMMYFUNCTION("""COMPUTED_VALUE"""),45174)</f>
        <v>45174</v>
      </c>
      <c r="F628" s="8" t="str">
        <f ca="1">IFERROR(__xludf.DUMMYFUNCTION("""COMPUTED_VALUE"""),"Skyline High School")</f>
        <v>Skyline High School</v>
      </c>
      <c r="G628" s="8">
        <f ca="1">IFERROR(__xludf.DUMMYFUNCTION("""COMPUTED_VALUE"""),0)</f>
        <v>0</v>
      </c>
      <c r="H628" s="8">
        <f ca="1">IFERROR(__xludf.DUMMYFUNCTION("""COMPUTED_VALUE"""),0)</f>
        <v>0</v>
      </c>
      <c r="I628" s="8">
        <f ca="1">IFERROR(__xludf.DUMMYFUNCTION("""COMPUTED_VALUE"""),0)</f>
        <v>0</v>
      </c>
      <c r="J628" s="8">
        <f ca="1">IFERROR(__xludf.DUMMYFUNCTION("""COMPUTED_VALUE"""),0)</f>
        <v>0</v>
      </c>
      <c r="K628" s="8" t="str">
        <f ca="1">IFERROR(__xludf.DUMMYFUNCTION("""COMPUTED_VALUE"""),"https://www.nbcbayarea.com/news/local/alameda-county-da-charges-oakland-skyline-high-school-shooting/3319431/
https://abc7news.com/skyline-high-school-report-of-shooting-oakland-suspects-detained-arrested/13739637/
https://www.nbcbayarea.com/news/local/ea"&amp;"st-bay/high-school-oakland-shooting/3311291/")</f>
        <v>https://www.nbcbayarea.com/news/local/alameda-county-da-charges-oakland-skyline-high-school-shooting/3319431/
https://abc7news.com/skyline-high-school-report-of-shooting-oakland-suspects-detained-arrested/13739637/
https://www.nbcbayarea.com/news/local/east-bay/high-school-oakland-shooting/3311291/</v>
      </c>
      <c r="L628" s="8">
        <f ca="1">IFERROR(__xludf.DUMMYFUNCTION("""COMPUTED_VALUE"""),10)</f>
        <v>10</v>
      </c>
      <c r="M628" s="8" t="str">
        <f ca="1">IFERROR(__xludf.DUMMYFUNCTION("""COMPUTED_VALUE"""),"Regional")</f>
        <v>Regional</v>
      </c>
      <c r="N628" s="8">
        <f ca="1">IFERROR(__xludf.DUMMYFUNCTION("""COMPUTED_VALUE"""),4)</f>
        <v>4</v>
      </c>
      <c r="O628" s="8" t="str">
        <f ca="1">IFERROR(__xludf.DUMMYFUNCTION("""COMPUTED_VALUE"""),"Fall")</f>
        <v>Fall</v>
      </c>
      <c r="P628" s="8" t="str">
        <f ca="1">IFERROR(__xludf.DUMMYFUNCTION("""COMPUTED_VALUE"""),"Oakland")</f>
        <v>Oakland</v>
      </c>
      <c r="Q628" s="8" t="str">
        <f ca="1">IFERROR(__xludf.DUMMYFUNCTION("""COMPUTED_VALUE"""),"CA")</f>
        <v>CA</v>
      </c>
      <c r="R628" s="8" t="str">
        <f ca="1">IFERROR(__xludf.DUMMYFUNCTION("""COMPUTED_VALUE"""),"High")</f>
        <v>High</v>
      </c>
      <c r="S628" s="8" t="str">
        <f ca="1">IFERROR(__xludf.DUMMYFUNCTION("""COMPUTED_VALUE"""),"Outside on School Property")</f>
        <v>Outside on School Property</v>
      </c>
      <c r="T628" s="8" t="str">
        <f ca="1">IFERROR(__xludf.DUMMYFUNCTION("""COMPUTED_VALUE"""),"Outside on School Property")</f>
        <v>Outside on School Property</v>
      </c>
      <c r="U628" s="8" t="str">
        <f ca="1">IFERROR(__xludf.DUMMYFUNCTION("""COMPUTED_VALUE"""),"Yes")</f>
        <v>Yes</v>
      </c>
      <c r="V628" s="8" t="str">
        <f ca="1">IFERROR(__xludf.DUMMYFUNCTION("""COMPUTED_VALUE"""),"Morning Classes")</f>
        <v>Morning Classes</v>
      </c>
      <c r="W628" s="11">
        <f ca="1">IFERROR(__xludf.DUMMYFUNCTION("""COMPUTED_VALUE"""),0.479166666666666)</f>
        <v>0.47916666666666602</v>
      </c>
      <c r="X628" s="8">
        <f ca="1">IFERROR(__xludf.DUMMYFUNCTION("""COMPUTED_VALUE"""),1)</f>
        <v>1</v>
      </c>
      <c r="Y628" s="12" t="str">
        <f ca="1">IFERROR(__xludf.DUMMYFUNCTION("""COMPUTED_VALUE"""),"Shots fired on campus")</f>
        <v>Shots fired on campus</v>
      </c>
      <c r="Z628" s="12" t="str">
        <f ca="1">IFERROR(__xludf.DUMMYFUNCTION("""COMPUTED_VALUE"""),"Shots fired on campus caused 3.5 hour lockdown and school closed the following day. 3 teens arrested")</f>
        <v>Shots fired on campus caused 3.5 hour lockdown and school closed the following day. 3 teens arrested</v>
      </c>
      <c r="AA628" s="8"/>
      <c r="AB628" s="8"/>
      <c r="AC628" s="8" t="str">
        <f ca="1">IFERROR(__xludf.DUMMYFUNCTION("""COMPUTED_VALUE"""),"Yes")</f>
        <v>Yes</v>
      </c>
      <c r="AD628" s="8"/>
      <c r="AE628" s="8" t="str">
        <f ca="1">IFERROR(__xludf.DUMMYFUNCTION("""COMPUTED_VALUE"""),"Yes")</f>
        <v>Yes</v>
      </c>
      <c r="AF628" s="8" t="str">
        <f ca="1">IFERROR(__xludf.DUMMYFUNCTION("""COMPUTED_VALUE"""),"3 teens ")</f>
        <v xml:space="preserve">3 teens </v>
      </c>
      <c r="AG628" s="8" t="str">
        <f ca="1">IFERROR(__xludf.DUMMYFUNCTION("""COMPUTED_VALUE"""),"No")</f>
        <v>No</v>
      </c>
      <c r="AH628" s="8" t="str">
        <f ca="1">IFERROR(__xludf.DUMMYFUNCTION("""COMPUTED_VALUE"""),"No")</f>
        <v>No</v>
      </c>
      <c r="AI628" s="8" t="str">
        <f ca="1">IFERROR(__xludf.DUMMYFUNCTION("""COMPUTED_VALUE"""),"No")</f>
        <v>No</v>
      </c>
      <c r="AJ628" s="8"/>
      <c r="AK628" s="8" t="str">
        <f ca="1">IFERROR(__xludf.DUMMYFUNCTION("""COMPUTED_VALUE"""),"No")</f>
        <v>No</v>
      </c>
      <c r="AL628" s="8"/>
      <c r="AM628" s="8" t="str">
        <f ca="1">IFERROR(__xludf.DUMMYFUNCTION("""COMPUTED_VALUE"""),"No")</f>
        <v>No</v>
      </c>
      <c r="AN628" s="8" t="str">
        <f ca="1">IFERROR(__xludf.DUMMYFUNCTION("""COMPUTED_VALUE"""),"Outside")</f>
        <v>Outside</v>
      </c>
      <c r="AO628" s="8" t="str">
        <f ca="1">IFERROR(__xludf.DUMMYFUNCTION("""COMPUTED_VALUE"""),"No")</f>
        <v>No</v>
      </c>
      <c r="AP628" s="8"/>
      <c r="AQ628" s="8"/>
      <c r="AR628" s="8" t="str">
        <f ca="1">IFERROR(__xludf.DUMMYFUNCTION("""COMPUTED_VALUE"""),"Outside/Off-Property")</f>
        <v>Outside/Off-Property</v>
      </c>
      <c r="AS628" s="8">
        <f ca="1">IFERROR(__xludf.DUMMYFUNCTION("""COMPUTED_VALUE"""),99)</f>
        <v>99</v>
      </c>
      <c r="AT628" s="8" t="str">
        <f ca="1">IFERROR(__xludf.DUMMYFUNCTION("""COMPUTED_VALUE"""),"Yes")</f>
        <v>Yes</v>
      </c>
      <c r="AU628" s="8">
        <f ca="1">IFERROR(__xludf.DUMMYFUNCTION("""COMPUTED_VALUE"""),37.797728)</f>
        <v>37.797727999999999</v>
      </c>
      <c r="AV628" s="8">
        <f ca="1">IFERROR(__xludf.DUMMYFUNCTION("""COMPUTED_VALUE"""),-122.162361)</f>
        <v>-122.162361</v>
      </c>
      <c r="AW628" s="8"/>
      <c r="AX628" s="8">
        <f ca="1">IFERROR(__xludf.DUMMYFUNCTION("""COMPUTED_VALUE"""),94613)</f>
        <v>94613</v>
      </c>
    </row>
    <row r="629" spans="1:50" ht="120" x14ac:dyDescent="0.2">
      <c r="A629" s="8" t="str">
        <f ca="1">IFERROR(__xludf.DUMMYFUNCTION("""COMPUTED_VALUE"""),"20230901TNMEM")</f>
        <v>20230901TNMEM</v>
      </c>
      <c r="B629" s="8">
        <f ca="1">IFERROR(__xludf.DUMMYFUNCTION("""COMPUTED_VALUE"""),9)</f>
        <v>9</v>
      </c>
      <c r="C629" s="8">
        <f ca="1">IFERROR(__xludf.DUMMYFUNCTION("""COMPUTED_VALUE"""),2)</f>
        <v>2</v>
      </c>
      <c r="D629" s="8">
        <f ca="1">IFERROR(__xludf.DUMMYFUNCTION("""COMPUTED_VALUE"""),2023)</f>
        <v>2023</v>
      </c>
      <c r="E629" s="9">
        <f ca="1">IFERROR(__xludf.DUMMYFUNCTION("""COMPUTED_VALUE"""),45170)</f>
        <v>45170</v>
      </c>
      <c r="F629" s="8" t="str">
        <f ca="1">IFERROR(__xludf.DUMMYFUNCTION("""COMPUTED_VALUE"""),"Melrose High School")</f>
        <v>Melrose High School</v>
      </c>
      <c r="G629" s="8">
        <f ca="1">IFERROR(__xludf.DUMMYFUNCTION("""COMPUTED_VALUE"""),0)</f>
        <v>0</v>
      </c>
      <c r="H629" s="8">
        <f ca="1">IFERROR(__xludf.DUMMYFUNCTION("""COMPUTED_VALUE"""),0)</f>
        <v>0</v>
      </c>
      <c r="I629" s="8">
        <f ca="1">IFERROR(__xludf.DUMMYFUNCTION("""COMPUTED_VALUE"""),0)</f>
        <v>0</v>
      </c>
      <c r="J629" s="8">
        <f ca="1">IFERROR(__xludf.DUMMYFUNCTION("""COMPUTED_VALUE"""),0)</f>
        <v>0</v>
      </c>
      <c r="K629" s="10" t="str">
        <f ca="1">IFERROR(__xludf.DUMMYFUNCTION("""COMPUTED_VALUE"""),"https://www.fox13memphis.com/news/shots-fired-in-area-of-melrose-high-mpd-says/article_8a2e7520-490f-11ee-951c-fbf57f8f8977.html")</f>
        <v>https://www.fox13memphis.com/news/shots-fired-in-area-of-melrose-high-mpd-says/article_8a2e7520-490f-11ee-951c-fbf57f8f8977.html</v>
      </c>
      <c r="L629" s="8">
        <f ca="1">IFERROR(__xludf.DUMMYFUNCTION("""COMPUTED_VALUE"""),2)</f>
        <v>2</v>
      </c>
      <c r="M629" s="8" t="str">
        <f ca="1">IFERROR(__xludf.DUMMYFUNCTION("""COMPUTED_VALUE"""),"Local")</f>
        <v>Local</v>
      </c>
      <c r="N629" s="8">
        <f ca="1">IFERROR(__xludf.DUMMYFUNCTION("""COMPUTED_VALUE"""),3)</f>
        <v>3</v>
      </c>
      <c r="O629" s="8" t="str">
        <f ca="1">IFERROR(__xludf.DUMMYFUNCTION("""COMPUTED_VALUE"""),"Fall")</f>
        <v>Fall</v>
      </c>
      <c r="P629" s="8" t="str">
        <f ca="1">IFERROR(__xludf.DUMMYFUNCTION("""COMPUTED_VALUE"""),"Memphis")</f>
        <v>Memphis</v>
      </c>
      <c r="Q629" s="8" t="str">
        <f ca="1">IFERROR(__xludf.DUMMYFUNCTION("""COMPUTED_VALUE"""),"TN")</f>
        <v>TN</v>
      </c>
      <c r="R629" s="8" t="str">
        <f ca="1">IFERROR(__xludf.DUMMYFUNCTION("""COMPUTED_VALUE"""),"High")</f>
        <v>High</v>
      </c>
      <c r="S629" s="8" t="str">
        <f ca="1">IFERROR(__xludf.DUMMYFUNCTION("""COMPUTED_VALUE"""),"Beside Building")</f>
        <v>Beside Building</v>
      </c>
      <c r="T629" s="8" t="str">
        <f ca="1">IFERROR(__xludf.DUMMYFUNCTION("""COMPUTED_VALUE"""),"Outside on School Property")</f>
        <v>Outside on School Property</v>
      </c>
      <c r="U629" s="8" t="str">
        <f ca="1">IFERROR(__xludf.DUMMYFUNCTION("""COMPUTED_VALUE"""),"Yes")</f>
        <v>Yes</v>
      </c>
      <c r="V629" s="8" t="str">
        <f ca="1">IFERROR(__xludf.DUMMYFUNCTION("""COMPUTED_VALUE"""),"Dismissal")</f>
        <v>Dismissal</v>
      </c>
      <c r="W629" s="11">
        <f ca="1">IFERROR(__xludf.DUMMYFUNCTION("""COMPUTED_VALUE"""),0.625)</f>
        <v>0.625</v>
      </c>
      <c r="X629" s="8">
        <f ca="1">IFERROR(__xludf.DUMMYFUNCTION("""COMPUTED_VALUE"""),1)</f>
        <v>1</v>
      </c>
      <c r="Y629" s="12" t="str">
        <f ca="1">IFERROR(__xludf.DUMMYFUNCTION("""COMPUTED_VALUE"""),"Shots fired from vehicle during burnout show at dismissal")</f>
        <v>Shots fired from vehicle during burnout show at dismissal</v>
      </c>
      <c r="Z629" s="12" t="str">
        <f ca="1">IFERROR(__xludf.DUMMYFUNCTION("""COMPUTED_VALUE"""),"Two cars started a burnout show next to the school at dismissal. Parents said the reckless driving happened just feet from the school as students were being dismissed. As they were picking up their kids from school, parents said they spotted two cars doin"&amp;"g donuts in the middle of the street right next to the school. They claim some of the people in the cars were leaning out the windows and waving guns around. No injuries reported.")</f>
        <v>Two cars started a burnout show next to the school at dismissal. Parents said the reckless driving happened just feet from the school as students were being dismissed. As they were picking up their kids from school, parents said they spotted two cars doing donuts in the middle of the street right next to the school. They claim some of the people in the cars were leaning out the windows and waving guns around. No injuries reported.</v>
      </c>
      <c r="AA629" s="8" t="str">
        <f ca="1">IFERROR(__xludf.DUMMYFUNCTION("""COMPUTED_VALUE"""),"Drive-by Shooting")</f>
        <v>Drive-by Shooting</v>
      </c>
      <c r="AB629" s="8"/>
      <c r="AC629" s="8" t="str">
        <f ca="1">IFERROR(__xludf.DUMMYFUNCTION("""COMPUTED_VALUE"""),"Yes")</f>
        <v>Yes</v>
      </c>
      <c r="AD629" s="8" t="str">
        <f ca="1">IFERROR(__xludf.DUMMYFUNCTION("""COMPUTED_VALUE"""),"Neither")</f>
        <v>Neither</v>
      </c>
      <c r="AE629" s="8" t="str">
        <f ca="1">IFERROR(__xludf.DUMMYFUNCTION("""COMPUTED_VALUE"""),"No")</f>
        <v>No</v>
      </c>
      <c r="AF629" s="8"/>
      <c r="AG629" s="8" t="str">
        <f ca="1">IFERROR(__xludf.DUMMYFUNCTION("""COMPUTED_VALUE"""),"No")</f>
        <v>No</v>
      </c>
      <c r="AH629" s="8" t="str">
        <f ca="1">IFERROR(__xludf.DUMMYFUNCTION("""COMPUTED_VALUE"""),"No")</f>
        <v>No</v>
      </c>
      <c r="AI629" s="8" t="str">
        <f ca="1">IFERROR(__xludf.DUMMYFUNCTION("""COMPUTED_VALUE"""),"No")</f>
        <v>No</v>
      </c>
      <c r="AJ629" s="8" t="str">
        <f ca="1">IFERROR(__xludf.DUMMYFUNCTION("""COMPUTED_VALUE"""),"No")</f>
        <v>No</v>
      </c>
      <c r="AK629" s="8" t="str">
        <f ca="1">IFERROR(__xludf.DUMMYFUNCTION("""COMPUTED_VALUE"""),"No")</f>
        <v>No</v>
      </c>
      <c r="AL629" s="8" t="str">
        <f ca="1">IFERROR(__xludf.DUMMYFUNCTION("""COMPUTED_VALUE"""),"No")</f>
        <v>No</v>
      </c>
      <c r="AM629" s="8" t="str">
        <f ca="1">IFERROR(__xludf.DUMMYFUNCTION("""COMPUTED_VALUE"""),"No")</f>
        <v>No</v>
      </c>
      <c r="AN629" s="8" t="str">
        <f ca="1">IFERROR(__xludf.DUMMYFUNCTION("""COMPUTED_VALUE"""),"Outside")</f>
        <v>Outside</v>
      </c>
      <c r="AO629" s="8" t="str">
        <f ca="1">IFERROR(__xludf.DUMMYFUNCTION("""COMPUTED_VALUE"""),"No")</f>
        <v>No</v>
      </c>
      <c r="AP629" s="8"/>
      <c r="AQ629" s="8"/>
      <c r="AR629" s="8" t="str">
        <f ca="1">IFERROR(__xludf.DUMMYFUNCTION("""COMPUTED_VALUE"""),"Outside/Off-Property")</f>
        <v>Outside/Off-Property</v>
      </c>
      <c r="AS629" s="8">
        <f ca="1">IFERROR(__xludf.DUMMYFUNCTION("""COMPUTED_VALUE"""),99)</f>
        <v>99</v>
      </c>
      <c r="AT629" s="8" t="str">
        <f ca="1">IFERROR(__xludf.DUMMYFUNCTION("""COMPUTED_VALUE"""),"No")</f>
        <v>No</v>
      </c>
      <c r="AU629" s="8">
        <f ca="1">IFERROR(__xludf.DUMMYFUNCTION("""COMPUTED_VALUE"""),35.105087)</f>
        <v>35.105086999999997</v>
      </c>
      <c r="AV629" s="8">
        <f ca="1">IFERROR(__xludf.DUMMYFUNCTION("""COMPUTED_VALUE"""),-89.966027)</f>
        <v>-89.966026999999997</v>
      </c>
      <c r="AW629" s="8"/>
      <c r="AX629" s="8">
        <f ca="1">IFERROR(__xludf.DUMMYFUNCTION("""COMPUTED_VALUE"""),38114)</f>
        <v>38114</v>
      </c>
    </row>
    <row r="630" spans="1:50" ht="75" x14ac:dyDescent="0.2">
      <c r="A630" s="8" t="str">
        <f ca="1">IFERROR(__xludf.DUMMYFUNCTION("""COMPUTED_VALUE"""),"20230901MDDUB")</f>
        <v>20230901MDDUB</v>
      </c>
      <c r="B630" s="8">
        <f ca="1">IFERROR(__xludf.DUMMYFUNCTION("""COMPUTED_VALUE"""),9)</f>
        <v>9</v>
      </c>
      <c r="C630" s="8">
        <f ca="1">IFERROR(__xludf.DUMMYFUNCTION("""COMPUTED_VALUE"""),1)</f>
        <v>1</v>
      </c>
      <c r="D630" s="8">
        <f ca="1">IFERROR(__xludf.DUMMYFUNCTION("""COMPUTED_VALUE"""),2023)</f>
        <v>2023</v>
      </c>
      <c r="E630" s="9">
        <f ca="1">IFERROR(__xludf.DUMMYFUNCTION("""COMPUTED_VALUE"""),45170)</f>
        <v>45170</v>
      </c>
      <c r="F630" s="8" t="str">
        <f ca="1">IFERROR(__xludf.DUMMYFUNCTION("""COMPUTED_VALUE"""),"Dunbar High School")</f>
        <v>Dunbar High School</v>
      </c>
      <c r="G630" s="8">
        <f ca="1">IFERROR(__xludf.DUMMYFUNCTION("""COMPUTED_VALUE"""),0)</f>
        <v>0</v>
      </c>
      <c r="H630" s="8">
        <f ca="1">IFERROR(__xludf.DUMMYFUNCTION("""COMPUTED_VALUE"""),1)</f>
        <v>1</v>
      </c>
      <c r="I630" s="8">
        <f ca="1">IFERROR(__xludf.DUMMYFUNCTION("""COMPUTED_VALUE"""),1)</f>
        <v>1</v>
      </c>
      <c r="J630" s="8">
        <f ca="1">IFERROR(__xludf.DUMMYFUNCTION("""COMPUTED_VALUE"""),0)</f>
        <v>0</v>
      </c>
      <c r="K630" s="8" t="str">
        <f ca="1">IFERROR(__xludf.DUMMYFUNCTION("""COMPUTED_VALUE"""),"https://www.wbaltv.com/article/shooting-dunbar-high-school-football-game-loyola-blakefield/44978702#
https://www.cbsnews.com/baltimore/news/teen-charged-in-shooting-of-12-year-old-boy-near-dunbar-high-school-football-game/")</f>
        <v>https://www.wbaltv.com/article/shooting-dunbar-high-school-football-game-loyola-blakefield/44978702#
https://www.cbsnews.com/baltimore/news/teen-charged-in-shooting-of-12-year-old-boy-near-dunbar-high-school-football-game/</v>
      </c>
      <c r="L630" s="8">
        <f ca="1">IFERROR(__xludf.DUMMYFUNCTION("""COMPUTED_VALUE"""),10)</f>
        <v>10</v>
      </c>
      <c r="M630" s="8" t="str">
        <f ca="1">IFERROR(__xludf.DUMMYFUNCTION("""COMPUTED_VALUE"""),"Regional")</f>
        <v>Regional</v>
      </c>
      <c r="N630" s="8">
        <f ca="1">IFERROR(__xludf.DUMMYFUNCTION("""COMPUTED_VALUE"""),4)</f>
        <v>4</v>
      </c>
      <c r="O630" s="8" t="str">
        <f ca="1">IFERROR(__xludf.DUMMYFUNCTION("""COMPUTED_VALUE"""),"Fall")</f>
        <v>Fall</v>
      </c>
      <c r="P630" s="8" t="str">
        <f ca="1">IFERROR(__xludf.DUMMYFUNCTION("""COMPUTED_VALUE"""),"Baltimore")</f>
        <v>Baltimore</v>
      </c>
      <c r="Q630" s="8" t="str">
        <f ca="1">IFERROR(__xludf.DUMMYFUNCTION("""COMPUTED_VALUE"""),"MD")</f>
        <v>MD</v>
      </c>
      <c r="R630" s="8" t="str">
        <f ca="1">IFERROR(__xludf.DUMMYFUNCTION("""COMPUTED_VALUE"""),"High")</f>
        <v>High</v>
      </c>
      <c r="S630" s="8" t="str">
        <f ca="1">IFERROR(__xludf.DUMMYFUNCTION("""COMPUTED_VALUE"""),"Parking Lot")</f>
        <v>Parking Lot</v>
      </c>
      <c r="T630" s="8" t="str">
        <f ca="1">IFERROR(__xludf.DUMMYFUNCTION("""COMPUTED_VALUE"""),"Outside on School Property")</f>
        <v>Outside on School Property</v>
      </c>
      <c r="U630" s="8" t="str">
        <f ca="1">IFERROR(__xludf.DUMMYFUNCTION("""COMPUTED_VALUE"""),"No")</f>
        <v>No</v>
      </c>
      <c r="V630" s="8" t="str">
        <f ca="1">IFERROR(__xludf.DUMMYFUNCTION("""COMPUTED_VALUE"""),"Sport Event")</f>
        <v>Sport Event</v>
      </c>
      <c r="W630" s="11">
        <f ca="1">IFERROR(__xludf.DUMMYFUNCTION("""COMPUTED_VALUE"""),0.795138888888888)</f>
        <v>0.79513888888888795</v>
      </c>
      <c r="X630" s="8">
        <f ca="1">IFERROR(__xludf.DUMMYFUNCTION("""COMPUTED_VALUE"""),1)</f>
        <v>1</v>
      </c>
      <c r="Y630" s="12" t="str">
        <f ca="1">IFERROR(__xludf.DUMMYFUNCTION("""COMPUTED_VALUE"""),"Child wounded when shots were fired into the crowd waiting to get into the stadium")</f>
        <v>Child wounded when shots were fired into the crowd waiting to get into the stadium</v>
      </c>
      <c r="Z630" s="12" t="str">
        <f ca="1">IFERROR(__xludf.DUMMYFUNCTION("""COMPUTED_VALUE"""),"12-year-old was wounded while standing in the crowd waiting to get into the stadium. Teen holding a gun fled from the area. Fans inside heard gunshots and crowd evacuated the stadium. The game was cancelled.")</f>
        <v>12-year-old was wounded while standing in the crowd waiting to get into the stadium. Teen holding a gun fled from the area. Fans inside heard gunshots and crowd evacuated the stadium. The game was cancelled.</v>
      </c>
      <c r="AA630" s="8"/>
      <c r="AB630" s="8"/>
      <c r="AC630" s="8" t="str">
        <f ca="1">IFERROR(__xludf.DUMMYFUNCTION("""COMPUTED_VALUE"""),"Yes")</f>
        <v>Yes</v>
      </c>
      <c r="AD630" s="8"/>
      <c r="AE630" s="8" t="str">
        <f ca="1">IFERROR(__xludf.DUMMYFUNCTION("""COMPUTED_VALUE"""),"No")</f>
        <v>No</v>
      </c>
      <c r="AF630" s="8"/>
      <c r="AG630" s="8" t="str">
        <f ca="1">IFERROR(__xludf.DUMMYFUNCTION("""COMPUTED_VALUE"""),"No")</f>
        <v>No</v>
      </c>
      <c r="AH630" s="8" t="str">
        <f ca="1">IFERROR(__xludf.DUMMYFUNCTION("""COMPUTED_VALUE"""),"No")</f>
        <v>No</v>
      </c>
      <c r="AI630" s="8" t="str">
        <f ca="1">IFERROR(__xludf.DUMMYFUNCTION("""COMPUTED_VALUE"""),"No")</f>
        <v>No</v>
      </c>
      <c r="AJ630" s="8" t="str">
        <f ca="1">IFERROR(__xludf.DUMMYFUNCTION("""COMPUTED_VALUE"""),"No")</f>
        <v>No</v>
      </c>
      <c r="AK630" s="8" t="str">
        <f ca="1">IFERROR(__xludf.DUMMYFUNCTION("""COMPUTED_VALUE"""),"No")</f>
        <v>No</v>
      </c>
      <c r="AL630" s="8"/>
      <c r="AM630" s="8" t="str">
        <f ca="1">IFERROR(__xludf.DUMMYFUNCTION("""COMPUTED_VALUE"""),"No")</f>
        <v>No</v>
      </c>
      <c r="AN630" s="8" t="str">
        <f ca="1">IFERROR(__xludf.DUMMYFUNCTION("""COMPUTED_VALUE"""),"Outside")</f>
        <v>Outside</v>
      </c>
      <c r="AO630" s="8" t="str">
        <f ca="1">IFERROR(__xludf.DUMMYFUNCTION("""COMPUTED_VALUE"""),"No")</f>
        <v>No</v>
      </c>
      <c r="AP630" s="8"/>
      <c r="AQ630" s="8"/>
      <c r="AR630" s="8" t="str">
        <f ca="1">IFERROR(__xludf.DUMMYFUNCTION("""COMPUTED_VALUE"""),"Outside/Off-Property")</f>
        <v>Outside/Off-Property</v>
      </c>
      <c r="AS630" s="8">
        <f ca="1">IFERROR(__xludf.DUMMYFUNCTION("""COMPUTED_VALUE"""),99)</f>
        <v>99</v>
      </c>
      <c r="AT630" s="8" t="str">
        <f ca="1">IFERROR(__xludf.DUMMYFUNCTION("""COMPUTED_VALUE"""),"No")</f>
        <v>No</v>
      </c>
      <c r="AU630" s="8">
        <f ca="1">IFERROR(__xludf.DUMMYFUNCTION("""COMPUTED_VALUE"""),39.295315)</f>
        <v>39.295315000000002</v>
      </c>
      <c r="AV630" s="8">
        <f ca="1">IFERROR(__xludf.DUMMYFUNCTION("""COMPUTED_VALUE"""),-76.598077)</f>
        <v>-76.598077000000004</v>
      </c>
      <c r="AW630" s="8"/>
      <c r="AX630" s="8">
        <f ca="1">IFERROR(__xludf.DUMMYFUNCTION("""COMPUTED_VALUE"""),21231)</f>
        <v>21231</v>
      </c>
    </row>
    <row r="631" spans="1:50" ht="45" x14ac:dyDescent="0.2">
      <c r="A631" s="8" t="str">
        <f ca="1">IFERROR(__xludf.DUMMYFUNCTION("""COMPUTED_VALUE"""),"20230901ILMOC")</f>
        <v>20230901ILMOC</v>
      </c>
      <c r="B631" s="8">
        <f ca="1">IFERROR(__xludf.DUMMYFUNCTION("""COMPUTED_VALUE"""),9)</f>
        <v>9</v>
      </c>
      <c r="C631" s="8">
        <f ca="1">IFERROR(__xludf.DUMMYFUNCTION("""COMPUTED_VALUE"""),1)</f>
        <v>1</v>
      </c>
      <c r="D631" s="8">
        <f ca="1">IFERROR(__xludf.DUMMYFUNCTION("""COMPUTED_VALUE"""),2023)</f>
        <v>2023</v>
      </c>
      <c r="E631" s="9">
        <f ca="1">IFERROR(__xludf.DUMMYFUNCTION("""COMPUTED_VALUE"""),45170)</f>
        <v>45170</v>
      </c>
      <c r="F631" s="8" t="str">
        <f ca="1">IFERROR(__xludf.DUMMYFUNCTION("""COMPUTED_VALUE"""),"Mount Carmel High School")</f>
        <v>Mount Carmel High School</v>
      </c>
      <c r="G631" s="8">
        <f ca="1">IFERROR(__xludf.DUMMYFUNCTION("""COMPUTED_VALUE"""),0)</f>
        <v>0</v>
      </c>
      <c r="H631" s="8">
        <f ca="1">IFERROR(__xludf.DUMMYFUNCTION("""COMPUTED_VALUE"""),2)</f>
        <v>2</v>
      </c>
      <c r="I631" s="8">
        <f ca="1">IFERROR(__xludf.DUMMYFUNCTION("""COMPUTED_VALUE"""),2)</f>
        <v>2</v>
      </c>
      <c r="J631" s="8">
        <f ca="1">IFERROR(__xludf.DUMMYFUNCTION("""COMPUTED_VALUE"""),0)</f>
        <v>0</v>
      </c>
      <c r="K631" s="10" t="str">
        <f ca="1">IFERROR(__xludf.DUMMYFUNCTION("""COMPUTED_VALUE"""),"https://abc7chicago.com/chicago-shooting-teen-girl-shot-boy-mount-carmel-high-school/13728531/")</f>
        <v>https://abc7chicago.com/chicago-shooting-teen-girl-shot-boy-mount-carmel-high-school/13728531/</v>
      </c>
      <c r="L631" s="8">
        <f ca="1">IFERROR(__xludf.DUMMYFUNCTION("""COMPUTED_VALUE"""),10)</f>
        <v>10</v>
      </c>
      <c r="M631" s="8" t="str">
        <f ca="1">IFERROR(__xludf.DUMMYFUNCTION("""COMPUTED_VALUE"""),"Regional")</f>
        <v>Regional</v>
      </c>
      <c r="N631" s="8">
        <f ca="1">IFERROR(__xludf.DUMMYFUNCTION("""COMPUTED_VALUE"""),4)</f>
        <v>4</v>
      </c>
      <c r="O631" s="8" t="str">
        <f ca="1">IFERROR(__xludf.DUMMYFUNCTION("""COMPUTED_VALUE"""),"Fall")</f>
        <v>Fall</v>
      </c>
      <c r="P631" s="8" t="str">
        <f ca="1">IFERROR(__xludf.DUMMYFUNCTION("""COMPUTED_VALUE"""),"Chicago")</f>
        <v>Chicago</v>
      </c>
      <c r="Q631" s="8" t="str">
        <f ca="1">IFERROR(__xludf.DUMMYFUNCTION("""COMPUTED_VALUE"""),"IL")</f>
        <v>IL</v>
      </c>
      <c r="R631" s="8" t="str">
        <f ca="1">IFERROR(__xludf.DUMMYFUNCTION("""COMPUTED_VALUE"""),"High")</f>
        <v>High</v>
      </c>
      <c r="S631" s="8" t="str">
        <f ca="1">IFERROR(__xludf.DUMMYFUNCTION("""COMPUTED_VALUE"""),"Football Field/Track")</f>
        <v>Football Field/Track</v>
      </c>
      <c r="T631" s="8" t="str">
        <f ca="1">IFERROR(__xludf.DUMMYFUNCTION("""COMPUTED_VALUE"""),"Outside on School Property")</f>
        <v>Outside on School Property</v>
      </c>
      <c r="U631" s="8" t="str">
        <f ca="1">IFERROR(__xludf.DUMMYFUNCTION("""COMPUTED_VALUE"""),"No")</f>
        <v>No</v>
      </c>
      <c r="V631" s="8" t="str">
        <f ca="1">IFERROR(__xludf.DUMMYFUNCTION("""COMPUTED_VALUE"""),"School Event")</f>
        <v>School Event</v>
      </c>
      <c r="W631" s="11">
        <f ca="1">IFERROR(__xludf.DUMMYFUNCTION("""COMPUTED_VALUE"""),0.927777777777777)</f>
        <v>0.92777777777777704</v>
      </c>
      <c r="X631" s="8">
        <f ca="1">IFERROR(__xludf.DUMMYFUNCTION("""COMPUTED_VALUE"""),1)</f>
        <v>1</v>
      </c>
      <c r="Y631" s="12" t="str">
        <f ca="1">IFERROR(__xludf.DUMMYFUNCTION("""COMPUTED_VALUE"""),"Two teens shot while crowd was leaving stadium")</f>
        <v>Two teens shot while crowd was leaving stadium</v>
      </c>
      <c r="Z631" s="12" t="str">
        <f ca="1">IFERROR(__xludf.DUMMYFUNCTION("""COMPUTED_VALUE"""),"Two teens shot while crowd was exiting the stadium at the end of the game. Security sent fans back inside to lockdown. Shooter fled.")</f>
        <v>Two teens shot while crowd was exiting the stadium at the end of the game. Security sent fans back inside to lockdown. Shooter fled.</v>
      </c>
      <c r="AA631" s="8"/>
      <c r="AB631" s="8"/>
      <c r="AC631" s="8" t="str">
        <f ca="1">IFERROR(__xludf.DUMMYFUNCTION("""COMPUTED_VALUE"""),"Yes")</f>
        <v>Yes</v>
      </c>
      <c r="AD631" s="8" t="str">
        <f ca="1">IFERROR(__xludf.DUMMYFUNCTION("""COMPUTED_VALUE"""),"Both")</f>
        <v>Both</v>
      </c>
      <c r="AE631" s="8" t="str">
        <f ca="1">IFERROR(__xludf.DUMMYFUNCTION("""COMPUTED_VALUE"""),"No")</f>
        <v>No</v>
      </c>
      <c r="AF631" s="8"/>
      <c r="AG631" s="8" t="str">
        <f ca="1">IFERROR(__xludf.DUMMYFUNCTION("""COMPUTED_VALUE"""),"No")</f>
        <v>No</v>
      </c>
      <c r="AH631" s="8" t="str">
        <f ca="1">IFERROR(__xludf.DUMMYFUNCTION("""COMPUTED_VALUE"""),"No")</f>
        <v>No</v>
      </c>
      <c r="AI631" s="8" t="str">
        <f ca="1">IFERROR(__xludf.DUMMYFUNCTION("""COMPUTED_VALUE"""),"No")</f>
        <v>No</v>
      </c>
      <c r="AJ631" s="8" t="str">
        <f ca="1">IFERROR(__xludf.DUMMYFUNCTION("""COMPUTED_VALUE"""),"No")</f>
        <v>No</v>
      </c>
      <c r="AK631" s="8" t="str">
        <f ca="1">IFERROR(__xludf.DUMMYFUNCTION("""COMPUTED_VALUE"""),"No")</f>
        <v>No</v>
      </c>
      <c r="AL631" s="8"/>
      <c r="AM631" s="8" t="str">
        <f ca="1">IFERROR(__xludf.DUMMYFUNCTION("""COMPUTED_VALUE"""),"No")</f>
        <v>No</v>
      </c>
      <c r="AN631" s="8" t="str">
        <f ca="1">IFERROR(__xludf.DUMMYFUNCTION("""COMPUTED_VALUE"""),"Outside")</f>
        <v>Outside</v>
      </c>
      <c r="AO631" s="8" t="str">
        <f ca="1">IFERROR(__xludf.DUMMYFUNCTION("""COMPUTED_VALUE"""),"No")</f>
        <v>No</v>
      </c>
      <c r="AP631" s="8"/>
      <c r="AQ631" s="8"/>
      <c r="AR631" s="8" t="str">
        <f ca="1">IFERROR(__xludf.DUMMYFUNCTION("""COMPUTED_VALUE"""),"Outside/Off-Property")</f>
        <v>Outside/Off-Property</v>
      </c>
      <c r="AS631" s="8">
        <f ca="1">IFERROR(__xludf.DUMMYFUNCTION("""COMPUTED_VALUE"""),99)</f>
        <v>99</v>
      </c>
      <c r="AT631" s="8" t="str">
        <f ca="1">IFERROR(__xludf.DUMMYFUNCTION("""COMPUTED_VALUE"""),"Yes")</f>
        <v>Yes</v>
      </c>
      <c r="AU631" s="8">
        <f ca="1">IFERROR(__xludf.DUMMYFUNCTION("""COMPUTED_VALUE"""),41.778273)</f>
        <v>41.778272999999999</v>
      </c>
      <c r="AV631" s="8">
        <f ca="1">IFERROR(__xludf.DUMMYFUNCTION("""COMPUTED_VALUE"""),-87.589115)</f>
        <v>-87.589115000000007</v>
      </c>
      <c r="AW631" s="8"/>
      <c r="AX631" s="8">
        <f ca="1">IFERROR(__xludf.DUMMYFUNCTION("""COMPUTED_VALUE"""),60637)</f>
        <v>60637</v>
      </c>
    </row>
    <row r="632" spans="1:50" ht="105" x14ac:dyDescent="0.2">
      <c r="A632" s="8" t="str">
        <f ca="1">IFERROR(__xludf.DUMMYFUNCTION("""COMPUTED_VALUE"""),"20230901LAPOP")</f>
        <v>20230901LAPOP</v>
      </c>
      <c r="B632" s="8">
        <f ca="1">IFERROR(__xludf.DUMMYFUNCTION("""COMPUTED_VALUE"""),9)</f>
        <v>9</v>
      </c>
      <c r="C632" s="8">
        <f ca="1">IFERROR(__xludf.DUMMYFUNCTION("""COMPUTED_VALUE"""),1)</f>
        <v>1</v>
      </c>
      <c r="D632" s="8">
        <f ca="1">IFERROR(__xludf.DUMMYFUNCTION("""COMPUTED_VALUE"""),2023)</f>
        <v>2023</v>
      </c>
      <c r="E632" s="9">
        <f ca="1">IFERROR(__xludf.DUMMYFUNCTION("""COMPUTED_VALUE"""),45170)</f>
        <v>45170</v>
      </c>
      <c r="F632" s="8" t="str">
        <f ca="1">IFERROR(__xludf.DUMMYFUNCTION("""COMPUTED_VALUE"""),"Port Allen High School")</f>
        <v>Port Allen High School</v>
      </c>
      <c r="G632" s="8">
        <f ca="1">IFERROR(__xludf.DUMMYFUNCTION("""COMPUTED_VALUE"""),1)</f>
        <v>1</v>
      </c>
      <c r="H632" s="8">
        <f ca="1">IFERROR(__xludf.DUMMYFUNCTION("""COMPUTED_VALUE"""),1)</f>
        <v>1</v>
      </c>
      <c r="I632" s="8">
        <f ca="1">IFERROR(__xludf.DUMMYFUNCTION("""COMPUTED_VALUE"""),2)</f>
        <v>2</v>
      </c>
      <c r="J632" s="8">
        <f ca="1">IFERROR(__xludf.DUMMYFUNCTION("""COMPUTED_VALUE"""),0)</f>
        <v>0</v>
      </c>
      <c r="K632" s="10" t="str">
        <f ca="1">IFERROR(__xludf.DUMMYFUNCTION("""COMPUTED_VALUE"""),"https://www.wafb.com/2023/09/02/teenager-killed-shooting-port-allen-high-school/")</f>
        <v>https://www.wafb.com/2023/09/02/teenager-killed-shooting-port-allen-high-school/</v>
      </c>
      <c r="L632" s="8">
        <f ca="1">IFERROR(__xludf.DUMMYFUNCTION("""COMPUTED_VALUE"""),30)</f>
        <v>30</v>
      </c>
      <c r="M632" s="8" t="str">
        <f ca="1">IFERROR(__xludf.DUMMYFUNCTION("""COMPUTED_VALUE"""),"National")</f>
        <v>National</v>
      </c>
      <c r="N632" s="8">
        <f ca="1">IFERROR(__xludf.DUMMYFUNCTION("""COMPUTED_VALUE"""),4)</f>
        <v>4</v>
      </c>
      <c r="O632" s="8" t="str">
        <f ca="1">IFERROR(__xludf.DUMMYFUNCTION("""COMPUTED_VALUE"""),"Fall")</f>
        <v>Fall</v>
      </c>
      <c r="P632" s="8" t="str">
        <f ca="1">IFERROR(__xludf.DUMMYFUNCTION("""COMPUTED_VALUE"""),"Port Allen")</f>
        <v>Port Allen</v>
      </c>
      <c r="Q632" s="8" t="str">
        <f ca="1">IFERROR(__xludf.DUMMYFUNCTION("""COMPUTED_VALUE"""),"LA")</f>
        <v>LA</v>
      </c>
      <c r="R632" s="8" t="str">
        <f ca="1">IFERROR(__xludf.DUMMYFUNCTION("""COMPUTED_VALUE"""),"High")</f>
        <v>High</v>
      </c>
      <c r="S632" s="8" t="str">
        <f ca="1">IFERROR(__xludf.DUMMYFUNCTION("""COMPUTED_VALUE"""),"Football Field/Track")</f>
        <v>Football Field/Track</v>
      </c>
      <c r="T632" s="8" t="str">
        <f ca="1">IFERROR(__xludf.DUMMYFUNCTION("""COMPUTED_VALUE"""),"Outside on School Property")</f>
        <v>Outside on School Property</v>
      </c>
      <c r="U632" s="8" t="str">
        <f ca="1">IFERROR(__xludf.DUMMYFUNCTION("""COMPUTED_VALUE"""),"No")</f>
        <v>No</v>
      </c>
      <c r="V632" s="8" t="str">
        <f ca="1">IFERROR(__xludf.DUMMYFUNCTION("""COMPUTED_VALUE"""),"Sport Event")</f>
        <v>Sport Event</v>
      </c>
      <c r="W632" s="11">
        <f ca="1">IFERROR(__xludf.DUMMYFUNCTION("""COMPUTED_VALUE"""),0.854166666666666)</f>
        <v>0.85416666666666596</v>
      </c>
      <c r="X632" s="8">
        <f ca="1">IFERROR(__xludf.DUMMYFUNCTION("""COMPUTED_VALUE"""),1)</f>
        <v>1</v>
      </c>
      <c r="Y632" s="12" t="str">
        <f ca="1">IFERROR(__xludf.DUMMYFUNCTION("""COMPUTED_VALUE"""),"Teen killed and adult wounded during fight in stands at halftime")</f>
        <v>Teen killed and adult wounded during fight in stands at halftime</v>
      </c>
      <c r="Z632" s="12" t="str">
        <f ca="1">IFERROR(__xludf.DUMMYFUNCTION("""COMPUTED_VALUE"""),"Deputies responded to a shooting at Port Allen High School during a sporting event Friday night. Two males were shot, according to West Baton Rouge Sheriff’s spokesman Sgt. Landon Groger. He said the 15-year-old was killed and a 28-year-old was transferre"&amp;"d to the hospital with unknown injuries. As of 9:10 p.m., Groger said the shooter was not in custody.")</f>
        <v>Deputies responded to a shooting at Port Allen High School during a sporting event Friday night. Two males were shot, according to West Baton Rouge Sheriff’s spokesman Sgt. Landon Groger. He said the 15-year-old was killed and a 28-year-old was transferred to the hospital with unknown injuries. As of 9:10 p.m., Groger said the shooter was not in custody.</v>
      </c>
      <c r="AA632" s="8" t="str">
        <f ca="1">IFERROR(__xludf.DUMMYFUNCTION("""COMPUTED_VALUE"""),"Escalation of Dispute")</f>
        <v>Escalation of Dispute</v>
      </c>
      <c r="AB632" s="8"/>
      <c r="AC632" s="8" t="str">
        <f ca="1">IFERROR(__xludf.DUMMYFUNCTION("""COMPUTED_VALUE"""),"Yes")</f>
        <v>Yes</v>
      </c>
      <c r="AD632" s="8" t="str">
        <f ca="1">IFERROR(__xludf.DUMMYFUNCTION("""COMPUTED_VALUE"""),"Both")</f>
        <v>Both</v>
      </c>
      <c r="AE632" s="8" t="str">
        <f ca="1">IFERROR(__xludf.DUMMYFUNCTION("""COMPUTED_VALUE"""),"No")</f>
        <v>No</v>
      </c>
      <c r="AF632" s="8"/>
      <c r="AG632" s="8" t="str">
        <f ca="1">IFERROR(__xludf.DUMMYFUNCTION("""COMPUTED_VALUE"""),"No")</f>
        <v>No</v>
      </c>
      <c r="AH632" s="8" t="str">
        <f ca="1">IFERROR(__xludf.DUMMYFUNCTION("""COMPUTED_VALUE"""),"No")</f>
        <v>No</v>
      </c>
      <c r="AI632" s="8" t="str">
        <f ca="1">IFERROR(__xludf.DUMMYFUNCTION("""COMPUTED_VALUE"""),"No")</f>
        <v>No</v>
      </c>
      <c r="AJ632" s="8" t="str">
        <f ca="1">IFERROR(__xludf.DUMMYFUNCTION("""COMPUTED_VALUE"""),"No")</f>
        <v>No</v>
      </c>
      <c r="AK632" s="8" t="str">
        <f ca="1">IFERROR(__xludf.DUMMYFUNCTION("""COMPUTED_VALUE"""),"No")</f>
        <v>No</v>
      </c>
      <c r="AL632" s="8"/>
      <c r="AM632" s="8" t="str">
        <f ca="1">IFERROR(__xludf.DUMMYFUNCTION("""COMPUTED_VALUE"""),"No")</f>
        <v>No</v>
      </c>
      <c r="AN632" s="8" t="str">
        <f ca="1">IFERROR(__xludf.DUMMYFUNCTION("""COMPUTED_VALUE"""),"Outside")</f>
        <v>Outside</v>
      </c>
      <c r="AO632" s="8" t="str">
        <f ca="1">IFERROR(__xludf.DUMMYFUNCTION("""COMPUTED_VALUE"""),"No")</f>
        <v>No</v>
      </c>
      <c r="AP632" s="8"/>
      <c r="AQ632" s="8"/>
      <c r="AR632" s="8" t="str">
        <f ca="1">IFERROR(__xludf.DUMMYFUNCTION("""COMPUTED_VALUE"""),"Outside/Off-Property")</f>
        <v>Outside/Off-Property</v>
      </c>
      <c r="AS632" s="8">
        <f ca="1">IFERROR(__xludf.DUMMYFUNCTION("""COMPUTED_VALUE"""),99)</f>
        <v>99</v>
      </c>
      <c r="AT632" s="8" t="str">
        <f ca="1">IFERROR(__xludf.DUMMYFUNCTION("""COMPUTED_VALUE"""),"No")</f>
        <v>No</v>
      </c>
      <c r="AU632" s="8">
        <f ca="1">IFERROR(__xludf.DUMMYFUNCTION("""COMPUTED_VALUE"""),30.459975)</f>
        <v>30.459975</v>
      </c>
      <c r="AV632" s="8">
        <f ca="1">IFERROR(__xludf.DUMMYFUNCTION("""COMPUTED_VALUE"""),-91.256263)</f>
        <v>-91.256263000000004</v>
      </c>
      <c r="AW632" s="8"/>
      <c r="AX632" s="8">
        <f ca="1">IFERROR(__xludf.DUMMYFUNCTION("""COMPUTED_VALUE"""),70767)</f>
        <v>70767</v>
      </c>
    </row>
    <row r="633" spans="1:50" ht="60" x14ac:dyDescent="0.2">
      <c r="A633" s="8" t="str">
        <f ca="1">IFERROR(__xludf.DUMMYFUNCTION("""COMPUTED_VALUE"""),"20230831KSWEW")</f>
        <v>20230831KSWEW</v>
      </c>
      <c r="B633" s="8">
        <f ca="1">IFERROR(__xludf.DUMMYFUNCTION("""COMPUTED_VALUE"""),8)</f>
        <v>8</v>
      </c>
      <c r="C633" s="8">
        <f ca="1">IFERROR(__xludf.DUMMYFUNCTION("""COMPUTED_VALUE"""),31)</f>
        <v>31</v>
      </c>
      <c r="D633" s="8">
        <f ca="1">IFERROR(__xludf.DUMMYFUNCTION("""COMPUTED_VALUE"""),2023)</f>
        <v>2023</v>
      </c>
      <c r="E633" s="9">
        <f ca="1">IFERROR(__xludf.DUMMYFUNCTION("""COMPUTED_VALUE"""),45169)</f>
        <v>45169</v>
      </c>
      <c r="F633" s="8" t="str">
        <f ca="1">IFERROR(__xludf.DUMMYFUNCTION("""COMPUTED_VALUE"""),"Wellington High School")</f>
        <v>Wellington High School</v>
      </c>
      <c r="G633" s="8">
        <f ca="1">IFERROR(__xludf.DUMMYFUNCTION("""COMPUTED_VALUE"""),0)</f>
        <v>0</v>
      </c>
      <c r="H633" s="8">
        <f ca="1">IFERROR(__xludf.DUMMYFUNCTION("""COMPUTED_VALUE"""),0)</f>
        <v>0</v>
      </c>
      <c r="I633" s="8">
        <f ca="1">IFERROR(__xludf.DUMMYFUNCTION("""COMPUTED_VALUE"""),0)</f>
        <v>0</v>
      </c>
      <c r="J633" s="8">
        <f ca="1">IFERROR(__xludf.DUMMYFUNCTION("""COMPUTED_VALUE"""),0)</f>
        <v>0</v>
      </c>
      <c r="K633" s="10" t="str">
        <f ca="1">IFERROR(__xludf.DUMMYFUNCTION("""COMPUTED_VALUE"""),"https://www.kake.com/story/49575845/pellet-gun-fired-at-students-coaches-at-wellington-sports-practices")</f>
        <v>https://www.kake.com/story/49575845/pellet-gun-fired-at-students-coaches-at-wellington-sports-practices</v>
      </c>
      <c r="L633" s="8">
        <f ca="1">IFERROR(__xludf.DUMMYFUNCTION("""COMPUTED_VALUE"""),1)</f>
        <v>1</v>
      </c>
      <c r="M633" s="8" t="str">
        <f ca="1">IFERROR(__xludf.DUMMYFUNCTION("""COMPUTED_VALUE"""),"Local")</f>
        <v>Local</v>
      </c>
      <c r="N633" s="8">
        <f ca="1">IFERROR(__xludf.DUMMYFUNCTION("""COMPUTED_VALUE"""),4)</f>
        <v>4</v>
      </c>
      <c r="O633" s="8" t="str">
        <f ca="1">IFERROR(__xludf.DUMMYFUNCTION("""COMPUTED_VALUE"""),"Summer")</f>
        <v>Summer</v>
      </c>
      <c r="P633" s="8" t="str">
        <f ca="1">IFERROR(__xludf.DUMMYFUNCTION("""COMPUTED_VALUE"""),"Wellington")</f>
        <v>Wellington</v>
      </c>
      <c r="Q633" s="8" t="str">
        <f ca="1">IFERROR(__xludf.DUMMYFUNCTION("""COMPUTED_VALUE"""),"KS")</f>
        <v>KS</v>
      </c>
      <c r="R633" s="8" t="str">
        <f ca="1">IFERROR(__xludf.DUMMYFUNCTION("""COMPUTED_VALUE"""),"High")</f>
        <v>High</v>
      </c>
      <c r="S633" s="8" t="str">
        <f ca="1">IFERROR(__xludf.DUMMYFUNCTION("""COMPUTED_VALUE"""),"Field (General)")</f>
        <v>Field (General)</v>
      </c>
      <c r="T633" s="8" t="str">
        <f ca="1">IFERROR(__xludf.DUMMYFUNCTION("""COMPUTED_VALUE"""),"Outside on School Property")</f>
        <v>Outside on School Property</v>
      </c>
      <c r="U633" s="8" t="str">
        <f ca="1">IFERROR(__xludf.DUMMYFUNCTION("""COMPUTED_VALUE"""),"No")</f>
        <v>No</v>
      </c>
      <c r="V633" s="8" t="str">
        <f ca="1">IFERROR(__xludf.DUMMYFUNCTION("""COMPUTED_VALUE"""),"After School")</f>
        <v>After School</v>
      </c>
      <c r="W633" s="11">
        <f ca="1">IFERROR(__xludf.DUMMYFUNCTION("""COMPUTED_VALUE"""),0.666666666666666)</f>
        <v>0.66666666666666596</v>
      </c>
      <c r="X633" s="8">
        <f ca="1">IFERROR(__xludf.DUMMYFUNCTION("""COMPUTED_VALUE"""),1)</f>
        <v>1</v>
      </c>
      <c r="Y633" s="12" t="str">
        <f ca="1">IFERROR(__xludf.DUMMYFUNCTION("""COMPUTED_VALUE"""),"Students and coaches shot with pellet gun during practice")</f>
        <v>Students and coaches shot with pellet gun during practice</v>
      </c>
      <c r="Z633" s="12" t="str">
        <f ca="1">IFERROR(__xludf.DUMMYFUNCTION("""COMPUTED_VALUE"""),"Wellington Public Schools says a couple of students had minor injuries after someone in a vehicle fired a pellet gun at students and coaches during after-school sports practices. ")</f>
        <v xml:space="preserve">Wellington Public Schools says a couple of students had minor injuries after someone in a vehicle fired a pellet gun at students and coaches during after-school sports practices. </v>
      </c>
      <c r="AA633" s="8" t="str">
        <f ca="1">IFERROR(__xludf.DUMMYFUNCTION("""COMPUTED_VALUE"""),"Drive-by Shooting")</f>
        <v>Drive-by Shooting</v>
      </c>
      <c r="AB633" s="8"/>
      <c r="AC633" s="8" t="str">
        <f ca="1">IFERROR(__xludf.DUMMYFUNCTION("""COMPUTED_VALUE"""),"Yes")</f>
        <v>Yes</v>
      </c>
      <c r="AD633" s="8" t="str">
        <f ca="1">IFERROR(__xludf.DUMMYFUNCTION("""COMPUTED_VALUE"""),"Random Shooting")</f>
        <v>Random Shooting</v>
      </c>
      <c r="AE633" s="8"/>
      <c r="AF633" s="8"/>
      <c r="AG633" s="8" t="str">
        <f ca="1">IFERROR(__xludf.DUMMYFUNCTION("""COMPUTED_VALUE"""),"No")</f>
        <v>No</v>
      </c>
      <c r="AH633" s="8" t="str">
        <f ca="1">IFERROR(__xludf.DUMMYFUNCTION("""COMPUTED_VALUE"""),"No")</f>
        <v>No</v>
      </c>
      <c r="AI633" s="8" t="str">
        <f ca="1">IFERROR(__xludf.DUMMYFUNCTION("""COMPUTED_VALUE"""),"No")</f>
        <v>No</v>
      </c>
      <c r="AJ633" s="8" t="str">
        <f ca="1">IFERROR(__xludf.DUMMYFUNCTION("""COMPUTED_VALUE"""),"No")</f>
        <v>No</v>
      </c>
      <c r="AK633" s="8" t="str">
        <f ca="1">IFERROR(__xludf.DUMMYFUNCTION("""COMPUTED_VALUE"""),"No")</f>
        <v>No</v>
      </c>
      <c r="AL633" s="8" t="str">
        <f ca="1">IFERROR(__xludf.DUMMYFUNCTION("""COMPUTED_VALUE"""),"No")</f>
        <v>No</v>
      </c>
      <c r="AM633" s="8" t="str">
        <f ca="1">IFERROR(__xludf.DUMMYFUNCTION("""COMPUTED_VALUE"""),"No")</f>
        <v>No</v>
      </c>
      <c r="AN633" s="8" t="str">
        <f ca="1">IFERROR(__xludf.DUMMYFUNCTION("""COMPUTED_VALUE"""),"Outside")</f>
        <v>Outside</v>
      </c>
      <c r="AO633" s="8" t="str">
        <f ca="1">IFERROR(__xludf.DUMMYFUNCTION("""COMPUTED_VALUE"""),"No")</f>
        <v>No</v>
      </c>
      <c r="AP633" s="8"/>
      <c r="AQ633" s="8"/>
      <c r="AR633" s="8" t="str">
        <f ca="1">IFERROR(__xludf.DUMMYFUNCTION("""COMPUTED_VALUE"""),"Outside/Off-Property")</f>
        <v>Outside/Off-Property</v>
      </c>
      <c r="AS633" s="8">
        <f ca="1">IFERROR(__xludf.DUMMYFUNCTION("""COMPUTED_VALUE"""),99)</f>
        <v>99</v>
      </c>
      <c r="AT633" s="8" t="str">
        <f ca="1">IFERROR(__xludf.DUMMYFUNCTION("""COMPUTED_VALUE"""),"No")</f>
        <v>No</v>
      </c>
      <c r="AU633" s="8">
        <f ca="1">IFERROR(__xludf.DUMMYFUNCTION("""COMPUTED_VALUE"""),37.272961)</f>
        <v>37.272961000000002</v>
      </c>
      <c r="AV633" s="8">
        <f ca="1">IFERROR(__xludf.DUMMYFUNCTION("""COMPUTED_VALUE"""),-97.378384)</f>
        <v>-97.378383999999997</v>
      </c>
      <c r="AW633" s="8"/>
      <c r="AX633" s="8">
        <f ca="1">IFERROR(__xludf.DUMMYFUNCTION("""COMPUTED_VALUE"""),67152)</f>
        <v>67152</v>
      </c>
    </row>
    <row r="634" spans="1:50" ht="75" x14ac:dyDescent="0.2">
      <c r="A634" s="8" t="str">
        <f ca="1">IFERROR(__xludf.DUMMYFUNCTION("""COMPUTED_VALUE"""),"20230831MSBRB")</f>
        <v>20230831MSBRB</v>
      </c>
      <c r="B634" s="8">
        <f ca="1">IFERROR(__xludf.DUMMYFUNCTION("""COMPUTED_VALUE"""),8)</f>
        <v>8</v>
      </c>
      <c r="C634" s="8">
        <f ca="1">IFERROR(__xludf.DUMMYFUNCTION("""COMPUTED_VALUE"""),31)</f>
        <v>31</v>
      </c>
      <c r="D634" s="8">
        <f ca="1">IFERROR(__xludf.DUMMYFUNCTION("""COMPUTED_VALUE"""),2023)</f>
        <v>2023</v>
      </c>
      <c r="E634" s="9">
        <f ca="1">IFERROR(__xludf.DUMMYFUNCTION("""COMPUTED_VALUE"""),45169)</f>
        <v>45169</v>
      </c>
      <c r="F634" s="8" t="str">
        <f ca="1">IFERROR(__xludf.DUMMYFUNCTION("""COMPUTED_VALUE"""),"Brookhaven School Bus")</f>
        <v>Brookhaven School Bus</v>
      </c>
      <c r="G634" s="8">
        <f ca="1">IFERROR(__xludf.DUMMYFUNCTION("""COMPUTED_VALUE"""),0)</f>
        <v>0</v>
      </c>
      <c r="H634" s="8">
        <f ca="1">IFERROR(__xludf.DUMMYFUNCTION("""COMPUTED_VALUE"""),0)</f>
        <v>0</v>
      </c>
      <c r="I634" s="8">
        <f ca="1">IFERROR(__xludf.DUMMYFUNCTION("""COMPUTED_VALUE"""),0)</f>
        <v>0</v>
      </c>
      <c r="J634" s="8">
        <f ca="1">IFERROR(__xludf.DUMMYFUNCTION("""COMPUTED_VALUE"""),0)</f>
        <v>0</v>
      </c>
      <c r="K634" s="10" t="str">
        <f ca="1">IFERROR(__xludf.DUMMYFUNCTION("""COMPUTED_VALUE"""),"https://www.wlbt.com/2023/08/31/11-year-old-boy-fires-gun-toward-or-near-lincoln-co-school-bus/")</f>
        <v>https://www.wlbt.com/2023/08/31/11-year-old-boy-fires-gun-toward-or-near-lincoln-co-school-bus/</v>
      </c>
      <c r="L634" s="8">
        <f ca="1">IFERROR(__xludf.DUMMYFUNCTION("""COMPUTED_VALUE"""),1)</f>
        <v>1</v>
      </c>
      <c r="M634" s="8" t="str">
        <f ca="1">IFERROR(__xludf.DUMMYFUNCTION("""COMPUTED_VALUE"""),"Local")</f>
        <v>Local</v>
      </c>
      <c r="N634" s="8">
        <f ca="1">IFERROR(__xludf.DUMMYFUNCTION("""COMPUTED_VALUE"""),4)</f>
        <v>4</v>
      </c>
      <c r="O634" s="8" t="str">
        <f ca="1">IFERROR(__xludf.DUMMYFUNCTION("""COMPUTED_VALUE"""),"Summer")</f>
        <v>Summer</v>
      </c>
      <c r="P634" s="8" t="str">
        <f ca="1">IFERROR(__xludf.DUMMYFUNCTION("""COMPUTED_VALUE"""),"Brookhaven")</f>
        <v>Brookhaven</v>
      </c>
      <c r="Q634" s="8" t="str">
        <f ca="1">IFERROR(__xludf.DUMMYFUNCTION("""COMPUTED_VALUE"""),"MS")</f>
        <v>MS</v>
      </c>
      <c r="R634" s="8" t="str">
        <f ca="1">IFERROR(__xludf.DUMMYFUNCTION("""COMPUTED_VALUE"""),"Middle")</f>
        <v>Middle</v>
      </c>
      <c r="S634" s="8" t="str">
        <f ca="1">IFERROR(__xludf.DUMMYFUNCTION("""COMPUTED_VALUE"""),"School Bus")</f>
        <v>School Bus</v>
      </c>
      <c r="T634" s="8" t="str">
        <f ca="1">IFERROR(__xludf.DUMMYFUNCTION("""COMPUTED_VALUE"""),"School Bus")</f>
        <v>School Bus</v>
      </c>
      <c r="U634" s="8" t="str">
        <f ca="1">IFERROR(__xludf.DUMMYFUNCTION("""COMPUTED_VALUE"""),"Yes")</f>
        <v>Yes</v>
      </c>
      <c r="V634" s="8" t="str">
        <f ca="1">IFERROR(__xludf.DUMMYFUNCTION("""COMPUTED_VALUE"""),"Dismissal")</f>
        <v>Dismissal</v>
      </c>
      <c r="W634" s="11">
        <f ca="1">IFERROR(__xludf.DUMMYFUNCTION("""COMPUTED_VALUE"""),0.6875)</f>
        <v>0.6875</v>
      </c>
      <c r="X634" s="8">
        <f ca="1">IFERROR(__xludf.DUMMYFUNCTION("""COMPUTED_VALUE"""),1)</f>
        <v>1</v>
      </c>
      <c r="Y634" s="12" t="str">
        <f ca="1">IFERROR(__xludf.DUMMYFUNCTION("""COMPUTED_VALUE"""),"Student fired long range rifle at student getting off school bus")</f>
        <v>Student fired long range rifle at student getting off school bus</v>
      </c>
      <c r="Z634" s="12" t="str">
        <f ca="1">IFERROR(__xludf.DUMMYFUNCTION("""COMPUTED_VALUE"""),"An 11-year-old student fired a long range rifle at a student who was getting off the school bus. The shot missed. The driver aborted the dropoff and continued away from the area. The shooter and the targeted student had been involved in a dispute.")</f>
        <v>An 11-year-old student fired a long range rifle at a student who was getting off the school bus. The shot missed. The driver aborted the dropoff and continued away from the area. The shooter and the targeted student had been involved in a dispute.</v>
      </c>
      <c r="AA634" s="8" t="str">
        <f ca="1">IFERROR(__xludf.DUMMYFUNCTION("""COMPUTED_VALUE"""),"Escalation of Dispute")</f>
        <v>Escalation of Dispute</v>
      </c>
      <c r="AB634" s="8"/>
      <c r="AC634" s="8" t="str">
        <f ca="1">IFERROR(__xludf.DUMMYFUNCTION("""COMPUTED_VALUE"""),"Yes")</f>
        <v>Yes</v>
      </c>
      <c r="AD634" s="8" t="str">
        <f ca="1">IFERROR(__xludf.DUMMYFUNCTION("""COMPUTED_VALUE"""),"Victims Targeted")</f>
        <v>Victims Targeted</v>
      </c>
      <c r="AE634" s="8"/>
      <c r="AF634" s="8"/>
      <c r="AG634" s="8" t="str">
        <f ca="1">IFERROR(__xludf.DUMMYFUNCTION("""COMPUTED_VALUE"""),"No")</f>
        <v>No</v>
      </c>
      <c r="AH634" s="8" t="str">
        <f ca="1">IFERROR(__xludf.DUMMYFUNCTION("""COMPUTED_VALUE"""),"No")</f>
        <v>No</v>
      </c>
      <c r="AI634" s="8" t="str">
        <f ca="1">IFERROR(__xludf.DUMMYFUNCTION("""COMPUTED_VALUE"""),"No")</f>
        <v>No</v>
      </c>
      <c r="AJ634" s="8" t="str">
        <f ca="1">IFERROR(__xludf.DUMMYFUNCTION("""COMPUTED_VALUE"""),"No")</f>
        <v>No</v>
      </c>
      <c r="AK634" s="8" t="str">
        <f ca="1">IFERROR(__xludf.DUMMYFUNCTION("""COMPUTED_VALUE"""),"No")</f>
        <v>No</v>
      </c>
      <c r="AL634" s="8" t="str">
        <f ca="1">IFERROR(__xludf.DUMMYFUNCTION("""COMPUTED_VALUE"""),"No")</f>
        <v>No</v>
      </c>
      <c r="AM634" s="8" t="str">
        <f ca="1">IFERROR(__xludf.DUMMYFUNCTION("""COMPUTED_VALUE"""),"No")</f>
        <v>No</v>
      </c>
      <c r="AN634" s="8" t="str">
        <f ca="1">IFERROR(__xludf.DUMMYFUNCTION("""COMPUTED_VALUE"""),"Outside")</f>
        <v>Outside</v>
      </c>
      <c r="AO634" s="8" t="str">
        <f ca="1">IFERROR(__xludf.DUMMYFUNCTION("""COMPUTED_VALUE"""),"No")</f>
        <v>No</v>
      </c>
      <c r="AP634" s="8"/>
      <c r="AQ634" s="8"/>
      <c r="AR634" s="8" t="str">
        <f ca="1">IFERROR(__xludf.DUMMYFUNCTION("""COMPUTED_VALUE"""),"Outside/Off-Property")</f>
        <v>Outside/Off-Property</v>
      </c>
      <c r="AS634" s="8">
        <f ca="1">IFERROR(__xludf.DUMMYFUNCTION("""COMPUTED_VALUE"""),1)</f>
        <v>1</v>
      </c>
      <c r="AT634" s="8" t="str">
        <f ca="1">IFERROR(__xludf.DUMMYFUNCTION("""COMPUTED_VALUE"""),"No")</f>
        <v>No</v>
      </c>
      <c r="AU634" s="8">
        <f ca="1">IFERROR(__xludf.DUMMYFUNCTION("""COMPUTED_VALUE"""),31.641208)</f>
        <v>31.641207999999999</v>
      </c>
      <c r="AV634" s="8">
        <f ca="1">IFERROR(__xludf.DUMMYFUNCTION("""COMPUTED_VALUE"""),-90.420923)</f>
        <v>-90.420923000000002</v>
      </c>
      <c r="AW634" s="8"/>
      <c r="AX634" s="8">
        <f ca="1">IFERROR(__xludf.DUMMYFUNCTION("""COMPUTED_VALUE"""),39601)</f>
        <v>39601</v>
      </c>
    </row>
    <row r="635" spans="1:50" ht="90" x14ac:dyDescent="0.2">
      <c r="A635" s="8" t="str">
        <f ca="1">IFERROR(__xludf.DUMMYFUNCTION("""COMPUTED_VALUE"""),"20230831WANOD")</f>
        <v>20230831WANOD</v>
      </c>
      <c r="B635" s="8">
        <f ca="1">IFERROR(__xludf.DUMMYFUNCTION("""COMPUTED_VALUE"""),8)</f>
        <v>8</v>
      </c>
      <c r="C635" s="8">
        <f ca="1">IFERROR(__xludf.DUMMYFUNCTION("""COMPUTED_VALUE"""),31)</f>
        <v>31</v>
      </c>
      <c r="D635" s="8">
        <f ca="1">IFERROR(__xludf.DUMMYFUNCTION("""COMPUTED_VALUE"""),2023)</f>
        <v>2023</v>
      </c>
      <c r="E635" s="9">
        <f ca="1">IFERROR(__xludf.DUMMYFUNCTION("""COMPUTED_VALUE"""),45169)</f>
        <v>45169</v>
      </c>
      <c r="F635" s="8" t="str">
        <f ca="1">IFERROR(__xludf.DUMMYFUNCTION("""COMPUTED_VALUE"""),"North Hill Elementary School")</f>
        <v>North Hill Elementary School</v>
      </c>
      <c r="G635" s="8">
        <f ca="1">IFERROR(__xludf.DUMMYFUNCTION("""COMPUTED_VALUE"""),0)</f>
        <v>0</v>
      </c>
      <c r="H635" s="8">
        <f ca="1">IFERROR(__xludf.DUMMYFUNCTION("""COMPUTED_VALUE"""),0)</f>
        <v>0</v>
      </c>
      <c r="I635" s="8">
        <f ca="1">IFERROR(__xludf.DUMMYFUNCTION("""COMPUTED_VALUE"""),0)</f>
        <v>0</v>
      </c>
      <c r="J635" s="8">
        <f ca="1">IFERROR(__xludf.DUMMYFUNCTION("""COMPUTED_VALUE"""),0)</f>
        <v>0</v>
      </c>
      <c r="K635" s="10" t="str">
        <f ca="1">IFERROR(__xludf.DUMMYFUNCTION("""COMPUTED_VALUE"""),"https://www.king5.com/article/news/local/juveniles-fire-shots-outside-des-moines-elementary-school/281-59052b02-95e0-446e-b78a-c075503bf165")</f>
        <v>https://www.king5.com/article/news/local/juveniles-fire-shots-outside-des-moines-elementary-school/281-59052b02-95e0-446e-b78a-c075503bf165</v>
      </c>
      <c r="L635" s="8">
        <f ca="1">IFERROR(__xludf.DUMMYFUNCTION("""COMPUTED_VALUE"""),5)</f>
        <v>5</v>
      </c>
      <c r="M635" s="8" t="str">
        <f ca="1">IFERROR(__xludf.DUMMYFUNCTION("""COMPUTED_VALUE"""),"Regional")</f>
        <v>Regional</v>
      </c>
      <c r="N635" s="8">
        <f ca="1">IFERROR(__xludf.DUMMYFUNCTION("""COMPUTED_VALUE"""),4)</f>
        <v>4</v>
      </c>
      <c r="O635" s="8" t="str">
        <f ca="1">IFERROR(__xludf.DUMMYFUNCTION("""COMPUTED_VALUE"""),"Summer")</f>
        <v>Summer</v>
      </c>
      <c r="P635" s="8" t="str">
        <f ca="1">IFERROR(__xludf.DUMMYFUNCTION("""COMPUTED_VALUE"""),"Des Moines")</f>
        <v>Des Moines</v>
      </c>
      <c r="Q635" s="8" t="str">
        <f ca="1">IFERROR(__xludf.DUMMYFUNCTION("""COMPUTED_VALUE"""),"WA")</f>
        <v>WA</v>
      </c>
      <c r="R635" s="8" t="str">
        <f ca="1">IFERROR(__xludf.DUMMYFUNCTION("""COMPUTED_VALUE"""),"Elementary")</f>
        <v>Elementary</v>
      </c>
      <c r="S635" s="8" t="str">
        <f ca="1">IFERROR(__xludf.DUMMYFUNCTION("""COMPUTED_VALUE"""),"Field (General)")</f>
        <v>Field (General)</v>
      </c>
      <c r="T635" s="8" t="str">
        <f ca="1">IFERROR(__xludf.DUMMYFUNCTION("""COMPUTED_VALUE"""),"Outside on School Property")</f>
        <v>Outside on School Property</v>
      </c>
      <c r="U635" s="8" t="str">
        <f ca="1">IFERROR(__xludf.DUMMYFUNCTION("""COMPUTED_VALUE"""),"No")</f>
        <v>No</v>
      </c>
      <c r="V635" s="8" t="str">
        <f ca="1">IFERROR(__xludf.DUMMYFUNCTION("""COMPUTED_VALUE"""),"Not a School Day")</f>
        <v>Not a School Day</v>
      </c>
      <c r="W635" s="11">
        <f ca="1">IFERROR(__xludf.DUMMYFUNCTION("""COMPUTED_VALUE"""),0.647222222222222)</f>
        <v>0.64722222222222203</v>
      </c>
      <c r="X635" s="8">
        <f ca="1">IFERROR(__xludf.DUMMYFUNCTION("""COMPUTED_VALUE"""),1)</f>
        <v>1</v>
      </c>
      <c r="Y635" s="12" t="str">
        <f ca="1">IFERROR(__xludf.DUMMYFUNCTION("""COMPUTED_VALUE"""),"Two groups of teens shot at each other on the school athletic field")</f>
        <v>Two groups of teens shot at each other on the school athletic field</v>
      </c>
      <c r="Z635" s="12" t="str">
        <f ca="1">IFERROR(__xludf.DUMMYFUNCTION("""COMPUTED_VALUE"""),"At about 2:45 p.m., two sets of two teenage boys were in the field of North Hill Elementary School when they took out guns and began shooting at each other, according to the Des Moines Police Department. Police have not located the suspects after searchin"&amp;"g with a helicopter, drone and several canines. Detectives are continuing to investigate. ")</f>
        <v xml:space="preserve">At about 2:45 p.m., two sets of two teenage boys were in the field of North Hill Elementary School when they took out guns and began shooting at each other, according to the Des Moines Police Department. Police have not located the suspects after searching with a helicopter, drone and several canines. Detectives are continuing to investigate. </v>
      </c>
      <c r="AA635" s="8" t="str">
        <f ca="1">IFERROR(__xludf.DUMMYFUNCTION("""COMPUTED_VALUE"""),"Escalation of Dispute")</f>
        <v>Escalation of Dispute</v>
      </c>
      <c r="AB635" s="8"/>
      <c r="AC635" s="8" t="str">
        <f ca="1">IFERROR(__xludf.DUMMYFUNCTION("""COMPUTED_VALUE"""),"No")</f>
        <v>No</v>
      </c>
      <c r="AD635" s="8" t="str">
        <f ca="1">IFERROR(__xludf.DUMMYFUNCTION("""COMPUTED_VALUE"""),"Victims Targeted")</f>
        <v>Victims Targeted</v>
      </c>
      <c r="AE635" s="8" t="str">
        <f ca="1">IFERROR(__xludf.DUMMYFUNCTION("""COMPUTED_VALUE"""),"Yes")</f>
        <v>Yes</v>
      </c>
      <c r="AF635" s="8" t="str">
        <f ca="1">IFERROR(__xludf.DUMMYFUNCTION("""COMPUTED_VALUE"""),"two groups")</f>
        <v>two groups</v>
      </c>
      <c r="AG635" s="8" t="str">
        <f ca="1">IFERROR(__xludf.DUMMYFUNCTION("""COMPUTED_VALUE"""),"No")</f>
        <v>No</v>
      </c>
      <c r="AH635" s="8" t="str">
        <f ca="1">IFERROR(__xludf.DUMMYFUNCTION("""COMPUTED_VALUE"""),"No")</f>
        <v>No</v>
      </c>
      <c r="AI635" s="8" t="str">
        <f ca="1">IFERROR(__xludf.DUMMYFUNCTION("""COMPUTED_VALUE"""),"No")</f>
        <v>No</v>
      </c>
      <c r="AJ635" s="8" t="str">
        <f ca="1">IFERROR(__xludf.DUMMYFUNCTION("""COMPUTED_VALUE"""),"No")</f>
        <v>No</v>
      </c>
      <c r="AK635" s="8" t="str">
        <f ca="1">IFERROR(__xludf.DUMMYFUNCTION("""COMPUTED_VALUE"""),"No")</f>
        <v>No</v>
      </c>
      <c r="AL635" s="8"/>
      <c r="AM635" s="8" t="str">
        <f ca="1">IFERROR(__xludf.DUMMYFUNCTION("""COMPUTED_VALUE"""),"No")</f>
        <v>No</v>
      </c>
      <c r="AN635" s="8" t="str">
        <f ca="1">IFERROR(__xludf.DUMMYFUNCTION("""COMPUTED_VALUE"""),"Outside")</f>
        <v>Outside</v>
      </c>
      <c r="AO635" s="8" t="str">
        <f ca="1">IFERROR(__xludf.DUMMYFUNCTION("""COMPUTED_VALUE"""),"No")</f>
        <v>No</v>
      </c>
      <c r="AP635" s="8"/>
      <c r="AQ635" s="8"/>
      <c r="AR635" s="8" t="str">
        <f ca="1">IFERROR(__xludf.DUMMYFUNCTION("""COMPUTED_VALUE"""),"Outside/Off-Property")</f>
        <v>Outside/Off-Property</v>
      </c>
      <c r="AS635" s="8">
        <f ca="1">IFERROR(__xludf.DUMMYFUNCTION("""COMPUTED_VALUE"""),99)</f>
        <v>99</v>
      </c>
      <c r="AT635" s="8" t="str">
        <f ca="1">IFERROR(__xludf.DUMMYFUNCTION("""COMPUTED_VALUE"""),"No")</f>
        <v>No</v>
      </c>
      <c r="AU635" s="8">
        <f ca="1">IFERROR(__xludf.DUMMYFUNCTION("""COMPUTED_VALUE"""),47.424381)</f>
        <v>47.424380999999997</v>
      </c>
      <c r="AV635" s="8">
        <f ca="1">IFERROR(__xludf.DUMMYFUNCTION("""COMPUTED_VALUE"""),-122.325801)</f>
        <v>-122.325801</v>
      </c>
      <c r="AW635" s="8"/>
      <c r="AX635" s="8">
        <f ca="1">IFERROR(__xludf.DUMMYFUNCTION("""COMPUTED_VALUE"""),98148)</f>
        <v>98148</v>
      </c>
    </row>
    <row r="636" spans="1:50" ht="60" x14ac:dyDescent="0.2">
      <c r="A636" s="8" t="str">
        <f ca="1">IFERROR(__xludf.DUMMYFUNCTION("""COMPUTED_VALUE"""),"20230829NVCLL")</f>
        <v>20230829NVCLL</v>
      </c>
      <c r="B636" s="8">
        <f ca="1">IFERROR(__xludf.DUMMYFUNCTION("""COMPUTED_VALUE"""),8)</f>
        <v>8</v>
      </c>
      <c r="C636" s="8">
        <f ca="1">IFERROR(__xludf.DUMMYFUNCTION("""COMPUTED_VALUE"""),29)</f>
        <v>29</v>
      </c>
      <c r="D636" s="8">
        <f ca="1">IFERROR(__xludf.DUMMYFUNCTION("""COMPUTED_VALUE"""),2023)</f>
        <v>2023</v>
      </c>
      <c r="E636" s="9">
        <f ca="1">IFERROR(__xludf.DUMMYFUNCTION("""COMPUTED_VALUE"""),45167)</f>
        <v>45167</v>
      </c>
      <c r="F636" s="8" t="str">
        <f ca="1">IFERROR(__xludf.DUMMYFUNCTION("""COMPUTED_VALUE"""),"Clark High School")</f>
        <v>Clark High School</v>
      </c>
      <c r="G636" s="8">
        <f ca="1">IFERROR(__xludf.DUMMYFUNCTION("""COMPUTED_VALUE"""),0)</f>
        <v>0</v>
      </c>
      <c r="H636" s="8">
        <f ca="1">IFERROR(__xludf.DUMMYFUNCTION("""COMPUTED_VALUE"""),0)</f>
        <v>0</v>
      </c>
      <c r="I636" s="8">
        <f ca="1">IFERROR(__xludf.DUMMYFUNCTION("""COMPUTED_VALUE"""),0)</f>
        <v>0</v>
      </c>
      <c r="J636" s="8">
        <f ca="1">IFERROR(__xludf.DUMMYFUNCTION("""COMPUTED_VALUE"""),0)</f>
        <v>0</v>
      </c>
      <c r="K636" s="10" t="str">
        <f ca="1">IFERROR(__xludf.DUMMYFUNCTION("""COMPUTED_VALUE"""),"https://news3lv.com/news/instagram/las-vegas-police-investigate-shooting-reported-near-clark-high-school-lvmpd-metro-southern-nevada")</f>
        <v>https://news3lv.com/news/instagram/las-vegas-police-investigate-shooting-reported-near-clark-high-school-lvmpd-metro-southern-nevada</v>
      </c>
      <c r="L636" s="8">
        <f ca="1">IFERROR(__xludf.DUMMYFUNCTION("""COMPUTED_VALUE"""),5)</f>
        <v>5</v>
      </c>
      <c r="M636" s="8" t="str">
        <f ca="1">IFERROR(__xludf.DUMMYFUNCTION("""COMPUTED_VALUE"""),"Regional")</f>
        <v>Regional</v>
      </c>
      <c r="N636" s="8">
        <f ca="1">IFERROR(__xludf.DUMMYFUNCTION("""COMPUTED_VALUE"""),4)</f>
        <v>4</v>
      </c>
      <c r="O636" s="8" t="str">
        <f ca="1">IFERROR(__xludf.DUMMYFUNCTION("""COMPUTED_VALUE"""),"Summer")</f>
        <v>Summer</v>
      </c>
      <c r="P636" s="8" t="str">
        <f ca="1">IFERROR(__xludf.DUMMYFUNCTION("""COMPUTED_VALUE"""),"Las Vegas")</f>
        <v>Las Vegas</v>
      </c>
      <c r="Q636" s="8" t="str">
        <f ca="1">IFERROR(__xludf.DUMMYFUNCTION("""COMPUTED_VALUE"""),"NV")</f>
        <v>NV</v>
      </c>
      <c r="R636" s="8" t="str">
        <f ca="1">IFERROR(__xludf.DUMMYFUNCTION("""COMPUTED_VALUE"""),"High")</f>
        <v>High</v>
      </c>
      <c r="S636" s="8" t="str">
        <f ca="1">IFERROR(__xludf.DUMMYFUNCTION("""COMPUTED_VALUE"""),"Front of School")</f>
        <v>Front of School</v>
      </c>
      <c r="T636" s="8" t="str">
        <f ca="1">IFERROR(__xludf.DUMMYFUNCTION("""COMPUTED_VALUE"""),"Outside on School Property")</f>
        <v>Outside on School Property</v>
      </c>
      <c r="U636" s="8" t="str">
        <f ca="1">IFERROR(__xludf.DUMMYFUNCTION("""COMPUTED_VALUE"""),"Yes")</f>
        <v>Yes</v>
      </c>
      <c r="V636" s="8" t="str">
        <f ca="1">IFERROR(__xludf.DUMMYFUNCTION("""COMPUTED_VALUE"""),"Lunch")</f>
        <v>Lunch</v>
      </c>
      <c r="W636" s="11">
        <f ca="1">IFERROR(__xludf.DUMMYFUNCTION("""COMPUTED_VALUE"""),0.510416666666666)</f>
        <v>0.51041666666666596</v>
      </c>
      <c r="X636" s="8">
        <f ca="1">IFERROR(__xludf.DUMMYFUNCTION("""COMPUTED_VALUE"""),1)</f>
        <v>1</v>
      </c>
      <c r="Y636" s="12" t="str">
        <f ca="1">IFERROR(__xludf.DUMMYFUNCTION("""COMPUTED_VALUE"""),"Multiple shots fired in front of school and at intersection bordering campus")</f>
        <v>Multiple shots fired in front of school and at intersection bordering campus</v>
      </c>
      <c r="Z636" s="12" t="str">
        <f ca="1">IFERROR(__xludf.DUMMYFUNCTION("""COMPUTED_VALUE"""),"Multiple shots fired in front of school and at intersection bordering campus. School went on lockdown. No injuries.")</f>
        <v>Multiple shots fired in front of school and at intersection bordering campus. School went on lockdown. No injuries.</v>
      </c>
      <c r="AA636" s="8" t="str">
        <f ca="1">IFERROR(__xludf.DUMMYFUNCTION("""COMPUTED_VALUE"""),"Drive-by Shooting")</f>
        <v>Drive-by Shooting</v>
      </c>
      <c r="AB636" s="8"/>
      <c r="AC636" s="8" t="str">
        <f ca="1">IFERROR(__xludf.DUMMYFUNCTION("""COMPUTED_VALUE"""),"Yes")</f>
        <v>Yes</v>
      </c>
      <c r="AD636" s="8"/>
      <c r="AE636" s="8"/>
      <c r="AF636" s="8"/>
      <c r="AG636" s="8" t="str">
        <f ca="1">IFERROR(__xludf.DUMMYFUNCTION("""COMPUTED_VALUE"""),"No")</f>
        <v>No</v>
      </c>
      <c r="AH636" s="8" t="str">
        <f ca="1">IFERROR(__xludf.DUMMYFUNCTION("""COMPUTED_VALUE"""),"No")</f>
        <v>No</v>
      </c>
      <c r="AI636" s="8" t="str">
        <f ca="1">IFERROR(__xludf.DUMMYFUNCTION("""COMPUTED_VALUE"""),"No")</f>
        <v>No</v>
      </c>
      <c r="AJ636" s="8" t="str">
        <f ca="1">IFERROR(__xludf.DUMMYFUNCTION("""COMPUTED_VALUE"""),"No")</f>
        <v>No</v>
      </c>
      <c r="AK636" s="8" t="str">
        <f ca="1">IFERROR(__xludf.DUMMYFUNCTION("""COMPUTED_VALUE"""),"No")</f>
        <v>No</v>
      </c>
      <c r="AL636" s="8"/>
      <c r="AM636" s="8" t="str">
        <f ca="1">IFERROR(__xludf.DUMMYFUNCTION("""COMPUTED_VALUE"""),"No")</f>
        <v>No</v>
      </c>
      <c r="AN636" s="8" t="str">
        <f ca="1">IFERROR(__xludf.DUMMYFUNCTION("""COMPUTED_VALUE"""),"Outside")</f>
        <v>Outside</v>
      </c>
      <c r="AO636" s="8" t="str">
        <f ca="1">IFERROR(__xludf.DUMMYFUNCTION("""COMPUTED_VALUE"""),"No")</f>
        <v>No</v>
      </c>
      <c r="AP636" s="8"/>
      <c r="AQ636" s="8"/>
      <c r="AR636" s="8" t="str">
        <f ca="1">IFERROR(__xludf.DUMMYFUNCTION("""COMPUTED_VALUE"""),"Outside/Off-Property")</f>
        <v>Outside/Off-Property</v>
      </c>
      <c r="AS636" s="8">
        <f ca="1">IFERROR(__xludf.DUMMYFUNCTION("""COMPUTED_VALUE"""),99)</f>
        <v>99</v>
      </c>
      <c r="AT636" s="8" t="str">
        <f ca="1">IFERROR(__xludf.DUMMYFUNCTION("""COMPUTED_VALUE"""),"Yes")</f>
        <v>Yes</v>
      </c>
      <c r="AU636" s="8">
        <f ca="1">IFERROR(__xludf.DUMMYFUNCTION("""COMPUTED_VALUE"""),36.135992)</f>
        <v>36.135992000000002</v>
      </c>
      <c r="AV636" s="8">
        <f ca="1">IFERROR(__xludf.DUMMYFUNCTION("""COMPUTED_VALUE"""),-115.198224)</f>
        <v>-115.198224</v>
      </c>
      <c r="AW636" s="8"/>
      <c r="AX636" s="8">
        <f ca="1">IFERROR(__xludf.DUMMYFUNCTION("""COMPUTED_VALUE"""),89102)</f>
        <v>89102</v>
      </c>
    </row>
    <row r="637" spans="1:50" ht="150" x14ac:dyDescent="0.2">
      <c r="A637" s="8" t="str">
        <f ca="1">IFERROR(__xludf.DUMMYFUNCTION("""COMPUTED_VALUE"""),"20230826CAFAF")</f>
        <v>20230826CAFAF</v>
      </c>
      <c r="B637" s="8">
        <f ca="1">IFERROR(__xludf.DUMMYFUNCTION("""COMPUTED_VALUE"""),8)</f>
        <v>8</v>
      </c>
      <c r="C637" s="8">
        <f ca="1">IFERROR(__xludf.DUMMYFUNCTION("""COMPUTED_VALUE"""),26)</f>
        <v>26</v>
      </c>
      <c r="D637" s="8">
        <f ca="1">IFERROR(__xludf.DUMMYFUNCTION("""COMPUTED_VALUE"""),2023)</f>
        <v>2023</v>
      </c>
      <c r="E637" s="9">
        <f ca="1">IFERROR(__xludf.DUMMYFUNCTION("""COMPUTED_VALUE"""),45164)</f>
        <v>45164</v>
      </c>
      <c r="F637" s="8" t="str">
        <f ca="1">IFERROR(__xludf.DUMMYFUNCTION("""COMPUTED_VALUE"""),"Fairfield High School")</f>
        <v>Fairfield High School</v>
      </c>
      <c r="G637" s="8">
        <f ca="1">IFERROR(__xludf.DUMMYFUNCTION("""COMPUTED_VALUE"""),0)</f>
        <v>0</v>
      </c>
      <c r="H637" s="8">
        <f ca="1">IFERROR(__xludf.DUMMYFUNCTION("""COMPUTED_VALUE"""),0)</f>
        <v>0</v>
      </c>
      <c r="I637" s="8">
        <f ca="1">IFERROR(__xludf.DUMMYFUNCTION("""COMPUTED_VALUE"""),0)</f>
        <v>0</v>
      </c>
      <c r="J637" s="8">
        <f ca="1">IFERROR(__xludf.DUMMYFUNCTION("""COMPUTED_VALUE"""),0)</f>
        <v>0</v>
      </c>
      <c r="K637" s="10" t="str">
        <f ca="1">IFERROR(__xludf.DUMMYFUNCTION("""COMPUTED_VALUE"""),"https://www.abc10.com/article/news/local/fairfield/road-rage/103-827d57ae-0c85-4a58-85a2-0458c014811b
https://www.facebook.com/100064977000498/posts/682497583926136...")</f>
        <v>https://www.abc10.com/article/news/local/fairfield/road-rage/103-827d57ae-0c85-4a58-85a2-0458c014811b
https://www.facebook.com/100064977000498/posts/682497583926136...</v>
      </c>
      <c r="L637" s="8">
        <f ca="1">IFERROR(__xludf.DUMMYFUNCTION("""COMPUTED_VALUE"""),5)</f>
        <v>5</v>
      </c>
      <c r="M637" s="8" t="str">
        <f ca="1">IFERROR(__xludf.DUMMYFUNCTION("""COMPUTED_VALUE"""),"Regional")</f>
        <v>Regional</v>
      </c>
      <c r="N637" s="8">
        <f ca="1">IFERROR(__xludf.DUMMYFUNCTION("""COMPUTED_VALUE"""),4)</f>
        <v>4</v>
      </c>
      <c r="O637" s="8" t="str">
        <f ca="1">IFERROR(__xludf.DUMMYFUNCTION("""COMPUTED_VALUE"""),"Summer")</f>
        <v>Summer</v>
      </c>
      <c r="P637" s="8" t="str">
        <f ca="1">IFERROR(__xludf.DUMMYFUNCTION("""COMPUTED_VALUE"""),"Fairfield")</f>
        <v>Fairfield</v>
      </c>
      <c r="Q637" s="8" t="str">
        <f ca="1">IFERROR(__xludf.DUMMYFUNCTION("""COMPUTED_VALUE"""),"CA")</f>
        <v>CA</v>
      </c>
      <c r="R637" s="8" t="str">
        <f ca="1">IFERROR(__xludf.DUMMYFUNCTION("""COMPUTED_VALUE"""),"High")</f>
        <v>High</v>
      </c>
      <c r="S637" s="8" t="str">
        <f ca="1">IFERROR(__xludf.DUMMYFUNCTION("""COMPUTED_VALUE"""),"Parking Lot")</f>
        <v>Parking Lot</v>
      </c>
      <c r="T637" s="8" t="str">
        <f ca="1">IFERROR(__xludf.DUMMYFUNCTION("""COMPUTED_VALUE"""),"Outside on School Property")</f>
        <v>Outside on School Property</v>
      </c>
      <c r="U637" s="8" t="str">
        <f ca="1">IFERROR(__xludf.DUMMYFUNCTION("""COMPUTED_VALUE"""),"No")</f>
        <v>No</v>
      </c>
      <c r="V637" s="8" t="str">
        <f ca="1">IFERROR(__xludf.DUMMYFUNCTION("""COMPUTED_VALUE"""),"Sport Event")</f>
        <v>Sport Event</v>
      </c>
      <c r="W637" s="8"/>
      <c r="X637" s="8">
        <f ca="1">IFERROR(__xludf.DUMMYFUNCTION("""COMPUTED_VALUE"""),1)</f>
        <v>1</v>
      </c>
      <c r="Y637" s="12" t="str">
        <f ca="1">IFERROR(__xludf.DUMMYFUNCTION("""COMPUTED_VALUE"""),"10 shots fired during roadrage dispute outside of football field during game")</f>
        <v>10 shots fired during roadrage dispute outside of football field during game</v>
      </c>
      <c r="Z637" s="12" t="str">
        <f ca="1">IFERROR(__xludf.DUMMYFUNCTION("""COMPUTED_VALUE"""),"On Saturday, August 26, two vehicles were involved in a road rage incident near East Atlantic Avenue, when the occupants of one vehicle fired a gun into the air. The incident occurred on a roadway near Fairfield Highschool’s football stadium, where a Pop "&amp;"Warner game was going on. Fairfield police responded and confirmed that no one was injured. The decision was made to end the game early out of an abundance of caution. Although those involved in the road rage incident fled before officer’s arrived, member"&amp;"s of Patrol were able to obtain vehicle information. ")</f>
        <v xml:space="preserve">On Saturday, August 26, two vehicles were involved in a road rage incident near East Atlantic Avenue, when the occupants of one vehicle fired a gun into the air. The incident occurred on a roadway near Fairfield Highschool’s football stadium, where a Pop Warner game was going on. Fairfield police responded and confirmed that no one was injured. The decision was made to end the game early out of an abundance of caution. Although those involved in the road rage incident fled before officer’s arrived, members of Patrol were able to obtain vehicle information. </v>
      </c>
      <c r="AA637" s="8" t="str">
        <f ca="1">IFERROR(__xludf.DUMMYFUNCTION("""COMPUTED_VALUE"""),"Escalation of Dispute")</f>
        <v>Escalation of Dispute</v>
      </c>
      <c r="AB637" s="8"/>
      <c r="AC637" s="8" t="str">
        <f ca="1">IFERROR(__xludf.DUMMYFUNCTION("""COMPUTED_VALUE"""),"No")</f>
        <v>No</v>
      </c>
      <c r="AD637" s="8" t="str">
        <f ca="1">IFERROR(__xludf.DUMMYFUNCTION("""COMPUTED_VALUE"""),"Neither")</f>
        <v>Neither</v>
      </c>
      <c r="AE637" s="8" t="str">
        <f ca="1">IFERROR(__xludf.DUMMYFUNCTION("""COMPUTED_VALUE"""),"No")</f>
        <v>No</v>
      </c>
      <c r="AF637" s="8"/>
      <c r="AG637" s="8" t="str">
        <f ca="1">IFERROR(__xludf.DUMMYFUNCTION("""COMPUTED_VALUE"""),"No")</f>
        <v>No</v>
      </c>
      <c r="AH637" s="8" t="str">
        <f ca="1">IFERROR(__xludf.DUMMYFUNCTION("""COMPUTED_VALUE"""),"No")</f>
        <v>No</v>
      </c>
      <c r="AI637" s="8" t="str">
        <f ca="1">IFERROR(__xludf.DUMMYFUNCTION("""COMPUTED_VALUE"""),"No")</f>
        <v>No</v>
      </c>
      <c r="AJ637" s="8" t="str">
        <f ca="1">IFERROR(__xludf.DUMMYFUNCTION("""COMPUTED_VALUE"""),"No")</f>
        <v>No</v>
      </c>
      <c r="AK637" s="8" t="str">
        <f ca="1">IFERROR(__xludf.DUMMYFUNCTION("""COMPUTED_VALUE"""),"No")</f>
        <v>No</v>
      </c>
      <c r="AL637" s="8" t="str">
        <f ca="1">IFERROR(__xludf.DUMMYFUNCTION("""COMPUTED_VALUE"""),"No")</f>
        <v>No</v>
      </c>
      <c r="AM637" s="8" t="str">
        <f ca="1">IFERROR(__xludf.DUMMYFUNCTION("""COMPUTED_VALUE"""),"No")</f>
        <v>No</v>
      </c>
      <c r="AN637" s="8" t="str">
        <f ca="1">IFERROR(__xludf.DUMMYFUNCTION("""COMPUTED_VALUE"""),"Outside")</f>
        <v>Outside</v>
      </c>
      <c r="AO637" s="8" t="str">
        <f ca="1">IFERROR(__xludf.DUMMYFUNCTION("""COMPUTED_VALUE"""),"No")</f>
        <v>No</v>
      </c>
      <c r="AP637" s="8"/>
      <c r="AQ637" s="8"/>
      <c r="AR637" s="8" t="str">
        <f ca="1">IFERROR(__xludf.DUMMYFUNCTION("""COMPUTED_VALUE"""),"Outside/Off-Property")</f>
        <v>Outside/Off-Property</v>
      </c>
      <c r="AS637" s="8">
        <f ca="1">IFERROR(__xludf.DUMMYFUNCTION("""COMPUTED_VALUE"""),10)</f>
        <v>10</v>
      </c>
      <c r="AT637" s="8" t="str">
        <f ca="1">IFERROR(__xludf.DUMMYFUNCTION("""COMPUTED_VALUE"""),"No")</f>
        <v>No</v>
      </c>
      <c r="AU637" s="8">
        <f ca="1">IFERROR(__xludf.DUMMYFUNCTION("""COMPUTED_VALUE"""),38.276032)</f>
        <v>38.276032000000001</v>
      </c>
      <c r="AV637" s="8">
        <f ca="1">IFERROR(__xludf.DUMMYFUNCTION("""COMPUTED_VALUE"""),-122.027186)</f>
        <v>-122.027186</v>
      </c>
      <c r="AW637" s="8"/>
      <c r="AX637" s="8">
        <f ca="1">IFERROR(__xludf.DUMMYFUNCTION("""COMPUTED_VALUE"""),94533)</f>
        <v>94533</v>
      </c>
    </row>
    <row r="638" spans="1:50" ht="210" x14ac:dyDescent="0.2">
      <c r="A638" s="8" t="str">
        <f ca="1">IFERROR(__xludf.DUMMYFUNCTION("""COMPUTED_VALUE"""),"20230825MSOBG")</f>
        <v>20230825MSOBG</v>
      </c>
      <c r="B638" s="8">
        <f ca="1">IFERROR(__xludf.DUMMYFUNCTION("""COMPUTED_VALUE"""),8)</f>
        <v>8</v>
      </c>
      <c r="C638" s="8">
        <f ca="1">IFERROR(__xludf.DUMMYFUNCTION("""COMPUTED_VALUE"""),25)</f>
        <v>25</v>
      </c>
      <c r="D638" s="8">
        <f ca="1">IFERROR(__xludf.DUMMYFUNCTION("""COMPUTED_VALUE"""),2023)</f>
        <v>2023</v>
      </c>
      <c r="E638" s="9">
        <f ca="1">IFERROR(__xludf.DUMMYFUNCTION("""COMPUTED_VALUE"""),45163)</f>
        <v>45163</v>
      </c>
      <c r="F638" s="8" t="str">
        <f ca="1">IFERROR(__xludf.DUMMYFUNCTION("""COMPUTED_VALUE"""),"O’Bannon High School")</f>
        <v>O’Bannon High School</v>
      </c>
      <c r="G638" s="8">
        <f ca="1">IFERROR(__xludf.DUMMYFUNCTION("""COMPUTED_VALUE"""),0)</f>
        <v>0</v>
      </c>
      <c r="H638" s="8">
        <f ca="1">IFERROR(__xludf.DUMMYFUNCTION("""COMPUTED_VALUE"""),0)</f>
        <v>0</v>
      </c>
      <c r="I638" s="8">
        <f ca="1">IFERROR(__xludf.DUMMYFUNCTION("""COMPUTED_VALUE"""),0)</f>
        <v>0</v>
      </c>
      <c r="J638" s="8">
        <f ca="1">IFERROR(__xludf.DUMMYFUNCTION("""COMPUTED_VALUE"""),0)</f>
        <v>0</v>
      </c>
      <c r="K638" s="10" t="str">
        <f ca="1">IFERROR(__xludf.DUMMYFUNCTION("""COMPUTED_VALUE"""),"https://www.ddtonline.com/local-sports/leland-obannon-football-game-ends-shooting")</f>
        <v>https://www.ddtonline.com/local-sports/leland-obannon-football-game-ends-shooting</v>
      </c>
      <c r="L638" s="8">
        <f ca="1">IFERROR(__xludf.DUMMYFUNCTION("""COMPUTED_VALUE"""),1)</f>
        <v>1</v>
      </c>
      <c r="M638" s="8" t="str">
        <f ca="1">IFERROR(__xludf.DUMMYFUNCTION("""COMPUTED_VALUE"""),"Local")</f>
        <v>Local</v>
      </c>
      <c r="N638" s="8">
        <f ca="1">IFERROR(__xludf.DUMMYFUNCTION("""COMPUTED_VALUE"""),3)</f>
        <v>3</v>
      </c>
      <c r="O638" s="8" t="str">
        <f ca="1">IFERROR(__xludf.DUMMYFUNCTION("""COMPUTED_VALUE"""),"Summer")</f>
        <v>Summer</v>
      </c>
      <c r="P638" s="8" t="str">
        <f ca="1">IFERROR(__xludf.DUMMYFUNCTION("""COMPUTED_VALUE"""),"Greenville")</f>
        <v>Greenville</v>
      </c>
      <c r="Q638" s="8" t="str">
        <f ca="1">IFERROR(__xludf.DUMMYFUNCTION("""COMPUTED_VALUE"""),"MS")</f>
        <v>MS</v>
      </c>
      <c r="R638" s="8" t="str">
        <f ca="1">IFERROR(__xludf.DUMMYFUNCTION("""COMPUTED_VALUE"""),"High")</f>
        <v>High</v>
      </c>
      <c r="S638" s="8" t="str">
        <f ca="1">IFERROR(__xludf.DUMMYFUNCTION("""COMPUTED_VALUE"""),"Parking Lot")</f>
        <v>Parking Lot</v>
      </c>
      <c r="T638" s="8" t="str">
        <f ca="1">IFERROR(__xludf.DUMMYFUNCTION("""COMPUTED_VALUE"""),"Outside on School Property")</f>
        <v>Outside on School Property</v>
      </c>
      <c r="U638" s="8" t="str">
        <f ca="1">IFERROR(__xludf.DUMMYFUNCTION("""COMPUTED_VALUE"""),"No")</f>
        <v>No</v>
      </c>
      <c r="V638" s="8" t="str">
        <f ca="1">IFERROR(__xludf.DUMMYFUNCTION("""COMPUTED_VALUE"""),"Sport Event")</f>
        <v>Sport Event</v>
      </c>
      <c r="W638" s="8"/>
      <c r="X638" s="8">
        <f ca="1">IFERROR(__xludf.DUMMYFUNCTION("""COMPUTED_VALUE"""),1)</f>
        <v>1</v>
      </c>
      <c r="Y638" s="12" t="str">
        <f ca="1">IFERROR(__xludf.DUMMYFUNCTION("""COMPUTED_VALUE"""),"20-30 shots fired in parking lot next to stadium, crowd evacuated, and game cancelled")</f>
        <v>20-30 shots fired in parking lot next to stadium, crowd evacuated, and game cancelled</v>
      </c>
      <c r="Z638" s="12" t="str">
        <f ca="1">IFERROR(__xludf.DUMMYFUNCTION("""COMPUTED_VALUE"""),"The high school football game between O’Bannon High School and Leland High School ended prematurely in the third quarter Friday night at O’Bannon High School after shots were heard coming from outside of the stadium. Leland head coach Johnny Bley describe"&amp;"d the incident as pure chaos. While fans in the stadium scattered to find cover, Bley and his players and coaches lied down on the field and waited for the shooting to end. Bley said another scary incident happened for his team on the bus back to Leland w"&amp;"hen he heard from law enforcement officers that a group of four young men were waiting for his team with guns outside of Leland High School. “When they saw the officers, these guys shot their guns in the air and got back in the car and drove away.”")</f>
        <v>The high school football game between O’Bannon High School and Leland High School ended prematurely in the third quarter Friday night at O’Bannon High School after shots were heard coming from outside of the stadium. Leland head coach Johnny Bley described the incident as pure chaos. While fans in the stadium scattered to find cover, Bley and his players and coaches lied down on the field and waited for the shooting to end. Bley said another scary incident happened for his team on the bus back to Leland when he heard from law enforcement officers that a group of four young men were waiting for his team with guns outside of Leland High School. “When they saw the officers, these guys shot their guns in the air and got back in the car and drove away.”</v>
      </c>
      <c r="AA638" s="8"/>
      <c r="AB638" s="8"/>
      <c r="AC638" s="8" t="str">
        <f ca="1">IFERROR(__xludf.DUMMYFUNCTION("""COMPUTED_VALUE"""),"Yes")</f>
        <v>Yes</v>
      </c>
      <c r="AD638" s="8" t="str">
        <f ca="1">IFERROR(__xludf.DUMMYFUNCTION("""COMPUTED_VALUE"""),"Random Shooting")</f>
        <v>Random Shooting</v>
      </c>
      <c r="AE638" s="8" t="str">
        <f ca="1">IFERROR(__xludf.DUMMYFUNCTION("""COMPUTED_VALUE"""),"Yes")</f>
        <v>Yes</v>
      </c>
      <c r="AF638" s="8" t="str">
        <f ca="1">IFERROR(__xludf.DUMMYFUNCTION("""COMPUTED_VALUE"""),"4 men")</f>
        <v>4 men</v>
      </c>
      <c r="AG638" s="8" t="str">
        <f ca="1">IFERROR(__xludf.DUMMYFUNCTION("""COMPUTED_VALUE"""),"No")</f>
        <v>No</v>
      </c>
      <c r="AH638" s="8" t="str">
        <f ca="1">IFERROR(__xludf.DUMMYFUNCTION("""COMPUTED_VALUE"""),"No")</f>
        <v>No</v>
      </c>
      <c r="AI638" s="8" t="str">
        <f ca="1">IFERROR(__xludf.DUMMYFUNCTION("""COMPUTED_VALUE"""),"No")</f>
        <v>No</v>
      </c>
      <c r="AJ638" s="8" t="str">
        <f ca="1">IFERROR(__xludf.DUMMYFUNCTION("""COMPUTED_VALUE"""),"No")</f>
        <v>No</v>
      </c>
      <c r="AK638" s="8" t="str">
        <f ca="1">IFERROR(__xludf.DUMMYFUNCTION("""COMPUTED_VALUE"""),"No")</f>
        <v>No</v>
      </c>
      <c r="AL638" s="8"/>
      <c r="AM638" s="8" t="str">
        <f ca="1">IFERROR(__xludf.DUMMYFUNCTION("""COMPUTED_VALUE"""),"No")</f>
        <v>No</v>
      </c>
      <c r="AN638" s="8" t="str">
        <f ca="1">IFERROR(__xludf.DUMMYFUNCTION("""COMPUTED_VALUE"""),"Outside")</f>
        <v>Outside</v>
      </c>
      <c r="AO638" s="8" t="str">
        <f ca="1">IFERROR(__xludf.DUMMYFUNCTION("""COMPUTED_VALUE"""),"Yes")</f>
        <v>Yes</v>
      </c>
      <c r="AP638" s="8"/>
      <c r="AQ638" s="8"/>
      <c r="AR638" s="8" t="str">
        <f ca="1">IFERROR(__xludf.DUMMYFUNCTION("""COMPUTED_VALUE"""),"Outside/Off-Property")</f>
        <v>Outside/Off-Property</v>
      </c>
      <c r="AS638" s="8">
        <f ca="1">IFERROR(__xludf.DUMMYFUNCTION("""COMPUTED_VALUE"""),30)</f>
        <v>30</v>
      </c>
      <c r="AT638" s="8" t="str">
        <f ca="1">IFERROR(__xludf.DUMMYFUNCTION("""COMPUTED_VALUE"""),"No")</f>
        <v>No</v>
      </c>
      <c r="AU638" s="8">
        <f ca="1">IFERROR(__xludf.DUMMYFUNCTION("""COMPUTED_VALUE"""),33.384793)</f>
        <v>33.384793000000002</v>
      </c>
      <c r="AV638" s="8">
        <f ca="1">IFERROR(__xludf.DUMMYFUNCTION("""COMPUTED_VALUE"""),-91.008001)</f>
        <v>-91.008000999999993</v>
      </c>
      <c r="AW638" s="8"/>
      <c r="AX638" s="8">
        <f ca="1">IFERROR(__xludf.DUMMYFUNCTION("""COMPUTED_VALUE"""),38701)</f>
        <v>38701</v>
      </c>
    </row>
    <row r="639" spans="1:50" ht="195" x14ac:dyDescent="0.2">
      <c r="A639" s="8" t="str">
        <f ca="1">IFERROR(__xludf.DUMMYFUNCTION("""COMPUTED_VALUE"""),"20230825CADRL")</f>
        <v>20230825CADRL</v>
      </c>
      <c r="B639" s="8">
        <f ca="1">IFERROR(__xludf.DUMMYFUNCTION("""COMPUTED_VALUE"""),8)</f>
        <v>8</v>
      </c>
      <c r="C639" s="8">
        <f ca="1">IFERROR(__xludf.DUMMYFUNCTION("""COMPUTED_VALUE"""),25)</f>
        <v>25</v>
      </c>
      <c r="D639" s="8">
        <f ca="1">IFERROR(__xludf.DUMMYFUNCTION("""COMPUTED_VALUE"""),2023)</f>
        <v>2023</v>
      </c>
      <c r="E639" s="9">
        <f ca="1">IFERROR(__xludf.DUMMYFUNCTION("""COMPUTED_VALUE"""),45163)</f>
        <v>45163</v>
      </c>
      <c r="F639" s="8" t="str">
        <f ca="1">IFERROR(__xludf.DUMMYFUNCTION("""COMPUTED_VALUE"""),"Dr. Maya Angelous Community High School")</f>
        <v>Dr. Maya Angelous Community High School</v>
      </c>
      <c r="G639" s="8">
        <f ca="1">IFERROR(__xludf.DUMMYFUNCTION("""COMPUTED_VALUE"""),0)</f>
        <v>0</v>
      </c>
      <c r="H639" s="8">
        <f ca="1">IFERROR(__xludf.DUMMYFUNCTION("""COMPUTED_VALUE"""),1)</f>
        <v>1</v>
      </c>
      <c r="I639" s="8">
        <f ca="1">IFERROR(__xludf.DUMMYFUNCTION("""COMPUTED_VALUE"""),1)</f>
        <v>1</v>
      </c>
      <c r="J639" s="8">
        <f ca="1">IFERROR(__xludf.DUMMYFUNCTION("""COMPUTED_VALUE"""),0)</f>
        <v>0</v>
      </c>
      <c r="K639" s="10" t="str">
        <f ca="1">IFERROR(__xludf.DUMMYFUNCTION("""COMPUTED_VALUE"""),"https://2urbangirls.com/2023/08/woman-shot-while-watching-high-school-football-game-in-south-la/
https://www.latimes.com/california/story/2023-08-27/shooting-maya-angelou-high-school-football-game")</f>
        <v>https://2urbangirls.com/2023/08/woman-shot-while-watching-high-school-football-game-in-south-la/
https://www.latimes.com/california/story/2023-08-27/shooting-maya-angelou-high-school-football-game</v>
      </c>
      <c r="L639" s="8">
        <f ca="1">IFERROR(__xludf.DUMMYFUNCTION("""COMPUTED_VALUE"""),5)</f>
        <v>5</v>
      </c>
      <c r="M639" s="8" t="str">
        <f ca="1">IFERROR(__xludf.DUMMYFUNCTION("""COMPUTED_VALUE"""),"Regional")</f>
        <v>Regional</v>
      </c>
      <c r="N639" s="8">
        <f ca="1">IFERROR(__xludf.DUMMYFUNCTION("""COMPUTED_VALUE"""),4)</f>
        <v>4</v>
      </c>
      <c r="O639" s="8" t="str">
        <f ca="1">IFERROR(__xludf.DUMMYFUNCTION("""COMPUTED_VALUE"""),"Summer")</f>
        <v>Summer</v>
      </c>
      <c r="P639" s="8" t="str">
        <f ca="1">IFERROR(__xludf.DUMMYFUNCTION("""COMPUTED_VALUE"""),"Los Angles")</f>
        <v>Los Angles</v>
      </c>
      <c r="Q639" s="8" t="str">
        <f ca="1">IFERROR(__xludf.DUMMYFUNCTION("""COMPUTED_VALUE"""),"CA")</f>
        <v>CA</v>
      </c>
      <c r="R639" s="8" t="str">
        <f ca="1">IFERROR(__xludf.DUMMYFUNCTION("""COMPUTED_VALUE"""),"High")</f>
        <v>High</v>
      </c>
      <c r="S639" s="8" t="str">
        <f ca="1">IFERROR(__xludf.DUMMYFUNCTION("""COMPUTED_VALUE"""),"Football Field/Track")</f>
        <v>Football Field/Track</v>
      </c>
      <c r="T639" s="8" t="str">
        <f ca="1">IFERROR(__xludf.DUMMYFUNCTION("""COMPUTED_VALUE"""),"Outside on School Property")</f>
        <v>Outside on School Property</v>
      </c>
      <c r="U639" s="8" t="str">
        <f ca="1">IFERROR(__xludf.DUMMYFUNCTION("""COMPUTED_VALUE"""),"No")</f>
        <v>No</v>
      </c>
      <c r="V639" s="8" t="str">
        <f ca="1">IFERROR(__xludf.DUMMYFUNCTION("""COMPUTED_VALUE"""),"Sport Event")</f>
        <v>Sport Event</v>
      </c>
      <c r="W639" s="11">
        <f ca="1">IFERROR(__xludf.DUMMYFUNCTION("""COMPUTED_VALUE"""),0.888888888888888)</f>
        <v>0.88888888888888795</v>
      </c>
      <c r="X639" s="8">
        <f ca="1">IFERROR(__xludf.DUMMYFUNCTION("""COMPUTED_VALUE"""),1)</f>
        <v>1</v>
      </c>
      <c r="Y639" s="12" t="str">
        <f ca="1">IFERROR(__xludf.DUMMYFUNCTION("""COMPUTED_VALUE"""),"School employee shot while standing on the field during game")</f>
        <v>School employee shot while standing on the field during game</v>
      </c>
      <c r="Z639" s="12" t="str">
        <f ca="1">IFERROR(__xludf.DUMMYFUNCTION("""COMPUTED_VALUE"""),"The shooting happened while Maya Angelou Community High School was hosting a game on its campus against Watts Jesuit school Verbum Dei. Around 9:20 p.m., gunshots were fired in the area of 52nd Street and Avalon Boulevard, northeast of the football field."&amp;" Police officers who were at the game discovered a woman with a gunshot wound on the field, according to school district officials. The officers and medical personnel who were on site provided the victim with medical care until she was taken to a hospital"&amp;", where she was reported to be in stable condition. In a letter to parents and staff, the high school’s Principal Jose Meza Sanchez said the victim was struck by an errant bullet and investigators do not believe she was targeted.")</f>
        <v>The shooting happened while Maya Angelou Community High School was hosting a game on its campus against Watts Jesuit school Verbum Dei. Around 9:20 p.m., gunshots were fired in the area of 52nd Street and Avalon Boulevard, northeast of the football field. Police officers who were at the game discovered a woman with a gunshot wound on the field, according to school district officials. The officers and medical personnel who were on site provided the victim with medical care until she was taken to a hospital, where she was reported to be in stable condition. In a letter to parents and staff, the high school’s Principal Jose Meza Sanchez said the victim was struck by an errant bullet and investigators do not believe she was targeted.</v>
      </c>
      <c r="AA639" s="8"/>
      <c r="AB639" s="8"/>
      <c r="AC639" s="8" t="str">
        <f ca="1">IFERROR(__xludf.DUMMYFUNCTION("""COMPUTED_VALUE"""),"Yes")</f>
        <v>Yes</v>
      </c>
      <c r="AD639" s="8" t="str">
        <f ca="1">IFERROR(__xludf.DUMMYFUNCTION("""COMPUTED_VALUE"""),"Random Shooting")</f>
        <v>Random Shooting</v>
      </c>
      <c r="AE639" s="8" t="str">
        <f ca="1">IFERROR(__xludf.DUMMYFUNCTION("""COMPUTED_VALUE"""),"No")</f>
        <v>No</v>
      </c>
      <c r="AF639" s="8"/>
      <c r="AG639" s="8" t="str">
        <f ca="1">IFERROR(__xludf.DUMMYFUNCTION("""COMPUTED_VALUE"""),"No")</f>
        <v>No</v>
      </c>
      <c r="AH639" s="8" t="str">
        <f ca="1">IFERROR(__xludf.DUMMYFUNCTION("""COMPUTED_VALUE"""),"No")</f>
        <v>No</v>
      </c>
      <c r="AI639" s="8" t="str">
        <f ca="1">IFERROR(__xludf.DUMMYFUNCTION("""COMPUTED_VALUE"""),"No")</f>
        <v>No</v>
      </c>
      <c r="AJ639" s="8" t="str">
        <f ca="1">IFERROR(__xludf.DUMMYFUNCTION("""COMPUTED_VALUE"""),"No")</f>
        <v>No</v>
      </c>
      <c r="AK639" s="8" t="str">
        <f ca="1">IFERROR(__xludf.DUMMYFUNCTION("""COMPUTED_VALUE"""),"No")</f>
        <v>No</v>
      </c>
      <c r="AL639" s="8"/>
      <c r="AM639" s="8" t="str">
        <f ca="1">IFERROR(__xludf.DUMMYFUNCTION("""COMPUTED_VALUE"""),"No")</f>
        <v>No</v>
      </c>
      <c r="AN639" s="8" t="str">
        <f ca="1">IFERROR(__xludf.DUMMYFUNCTION("""COMPUTED_VALUE"""),"Outside")</f>
        <v>Outside</v>
      </c>
      <c r="AO639" s="8" t="str">
        <f ca="1">IFERROR(__xludf.DUMMYFUNCTION("""COMPUTED_VALUE"""),"No")</f>
        <v>No</v>
      </c>
      <c r="AP639" s="8"/>
      <c r="AQ639" s="8"/>
      <c r="AR639" s="8" t="str">
        <f ca="1">IFERROR(__xludf.DUMMYFUNCTION("""COMPUTED_VALUE"""),"Outside/Off-Property")</f>
        <v>Outside/Off-Property</v>
      </c>
      <c r="AS639" s="8">
        <f ca="1">IFERROR(__xludf.DUMMYFUNCTION("""COMPUTED_VALUE"""),99)</f>
        <v>99</v>
      </c>
      <c r="AT639" s="8" t="str">
        <f ca="1">IFERROR(__xludf.DUMMYFUNCTION("""COMPUTED_VALUE"""),"No")</f>
        <v>No</v>
      </c>
      <c r="AU639" s="8">
        <f ca="1">IFERROR(__xludf.DUMMYFUNCTION("""COMPUTED_VALUE"""),33.994295)</f>
        <v>33.994295000000001</v>
      </c>
      <c r="AV639" s="8">
        <f ca="1">IFERROR(__xludf.DUMMYFUNCTION("""COMPUTED_VALUE"""),-118.266502)</f>
        <v>-118.266502</v>
      </c>
      <c r="AW639" s="8"/>
      <c r="AX639" s="8">
        <f ca="1">IFERROR(__xludf.DUMMYFUNCTION("""COMPUTED_VALUE"""),90037)</f>
        <v>90037</v>
      </c>
    </row>
    <row r="640" spans="1:50" ht="165" x14ac:dyDescent="0.2">
      <c r="A640" s="8" t="str">
        <f ca="1">IFERROR(__xludf.DUMMYFUNCTION("""COMPUTED_VALUE"""),"20230825OKBOT")</f>
        <v>20230825OKBOT</v>
      </c>
      <c r="B640" s="8">
        <f ca="1">IFERROR(__xludf.DUMMYFUNCTION("""COMPUTED_VALUE"""),8)</f>
        <v>8</v>
      </c>
      <c r="C640" s="8">
        <f ca="1">IFERROR(__xludf.DUMMYFUNCTION("""COMPUTED_VALUE"""),25)</f>
        <v>25</v>
      </c>
      <c r="D640" s="8">
        <f ca="1">IFERROR(__xludf.DUMMYFUNCTION("""COMPUTED_VALUE"""),2023)</f>
        <v>2023</v>
      </c>
      <c r="E640" s="9">
        <f ca="1">IFERROR(__xludf.DUMMYFUNCTION("""COMPUTED_VALUE"""),45163)</f>
        <v>45163</v>
      </c>
      <c r="F640" s="8" t="str">
        <f ca="1">IFERROR(__xludf.DUMMYFUNCTION("""COMPUTED_VALUE"""),"Booker T. Washington High")</f>
        <v>Booker T. Washington High</v>
      </c>
      <c r="G640" s="8">
        <f ca="1">IFERROR(__xludf.DUMMYFUNCTION("""COMPUTED_VALUE"""),0)</f>
        <v>0</v>
      </c>
      <c r="H640" s="8">
        <f ca="1">IFERROR(__xludf.DUMMYFUNCTION("""COMPUTED_VALUE"""),0)</f>
        <v>0</v>
      </c>
      <c r="I640" s="8">
        <f ca="1">IFERROR(__xludf.DUMMYFUNCTION("""COMPUTED_VALUE"""),0)</f>
        <v>0</v>
      </c>
      <c r="J640" s="8">
        <f ca="1">IFERROR(__xludf.DUMMYFUNCTION("""COMPUTED_VALUE"""),0)</f>
        <v>0</v>
      </c>
      <c r="K640" s="10" t="str">
        <f ca="1">IFERROR(__xludf.DUMMYFUNCTION("""COMPUTED_VALUE"""),"https://www.fox23.com/news/local/mass-exodus-seen-at-booker-t-washington-football-game-gun-recovered-suspect-at-large/article_c7aa322c-43c4-11ee-b8b2-8b6327f63cb4.html")</f>
        <v>https://www.fox23.com/news/local/mass-exodus-seen-at-booker-t-washington-football-game-gun-recovered-suspect-at-large/article_c7aa322c-43c4-11ee-b8b2-8b6327f63cb4.html</v>
      </c>
      <c r="L640" s="8">
        <f ca="1">IFERROR(__xludf.DUMMYFUNCTION("""COMPUTED_VALUE"""),2)</f>
        <v>2</v>
      </c>
      <c r="M640" s="8" t="str">
        <f ca="1">IFERROR(__xludf.DUMMYFUNCTION("""COMPUTED_VALUE"""),"Local")</f>
        <v>Local</v>
      </c>
      <c r="N640" s="8">
        <f ca="1">IFERROR(__xludf.DUMMYFUNCTION("""COMPUTED_VALUE"""),4)</f>
        <v>4</v>
      </c>
      <c r="O640" s="8" t="str">
        <f ca="1">IFERROR(__xludf.DUMMYFUNCTION("""COMPUTED_VALUE"""),"Summer")</f>
        <v>Summer</v>
      </c>
      <c r="P640" s="8" t="str">
        <f ca="1">IFERROR(__xludf.DUMMYFUNCTION("""COMPUTED_VALUE"""),"Tulsa")</f>
        <v>Tulsa</v>
      </c>
      <c r="Q640" s="8" t="str">
        <f ca="1">IFERROR(__xludf.DUMMYFUNCTION("""COMPUTED_VALUE"""),"OK")</f>
        <v>OK</v>
      </c>
      <c r="R640" s="8" t="str">
        <f ca="1">IFERROR(__xludf.DUMMYFUNCTION("""COMPUTED_VALUE"""),"High")</f>
        <v>High</v>
      </c>
      <c r="S640" s="8" t="str">
        <f ca="1">IFERROR(__xludf.DUMMYFUNCTION("""COMPUTED_VALUE"""),"Football Field/Track")</f>
        <v>Football Field/Track</v>
      </c>
      <c r="T640" s="8" t="str">
        <f ca="1">IFERROR(__xludf.DUMMYFUNCTION("""COMPUTED_VALUE"""),"Outside on School Property")</f>
        <v>Outside on School Property</v>
      </c>
      <c r="U640" s="8" t="str">
        <f ca="1">IFERROR(__xludf.DUMMYFUNCTION("""COMPUTED_VALUE"""),"No")</f>
        <v>No</v>
      </c>
      <c r="V640" s="8" t="str">
        <f ca="1">IFERROR(__xludf.DUMMYFUNCTION("""COMPUTED_VALUE"""),"Sport Event")</f>
        <v>Sport Event</v>
      </c>
      <c r="W640" s="11">
        <f ca="1">IFERROR(__xludf.DUMMYFUNCTION("""COMPUTED_VALUE"""),0.916666666666666)</f>
        <v>0.91666666666666596</v>
      </c>
      <c r="X640" s="8">
        <f ca="1">IFERROR(__xludf.DUMMYFUNCTION("""COMPUTED_VALUE"""),1)</f>
        <v>1</v>
      </c>
      <c r="Y640" s="12" t="str">
        <f ca="1">IFERROR(__xludf.DUMMYFUNCTION("""COMPUTED_VALUE"""),"Teen flashed gun during fight in the stands setting off crowd stampede")</f>
        <v>Teen flashed gun during fight in the stands setting off crowd stampede</v>
      </c>
      <c r="Z640" s="12" t="str">
        <f ca="1">IFERROR(__xludf.DUMMYFUNCTION("""COMPUTED_VALUE"""),"The Tulsa Police Department (TPD) stated that a juvenile female was talking to a friend when a 16-year-old Hispanic male approached them and pushed the girl. Then, he lifted his shirt and revealed a gun tucked into his pants. The girl reportedly screamed "&amp;"and panicked which created a ripple effect. Fans and football players scattered, creating a stampede. Tulsa Public School (TPS) Campus Police ran after the teen suspect but were unable to catch him. The suspect jumped the fence. TPS Campus Police recovere"&amp;"d the suspect's pistol that he had dropped as he ran from the high school. The suspect is currently not in custody. ")</f>
        <v xml:space="preserve">The Tulsa Police Department (TPD) stated that a juvenile female was talking to a friend when a 16-year-old Hispanic male approached them and pushed the girl. Then, he lifted his shirt and revealed a gun tucked into his pants. The girl reportedly screamed and panicked which created a ripple effect. Fans and football players scattered, creating a stampede. Tulsa Public School (TPS) Campus Police ran after the teen suspect but were unable to catch him. The suspect jumped the fence. TPS Campus Police recovered the suspect's pistol that he had dropped as he ran from the high school. The suspect is currently not in custody. </v>
      </c>
      <c r="AA640" s="8" t="str">
        <f ca="1">IFERROR(__xludf.DUMMYFUNCTION("""COMPUTED_VALUE"""),"Escalation of Dispute")</f>
        <v>Escalation of Dispute</v>
      </c>
      <c r="AB640" s="8"/>
      <c r="AC640" s="8" t="str">
        <f ca="1">IFERROR(__xludf.DUMMYFUNCTION("""COMPUTED_VALUE"""),"Yes")</f>
        <v>Yes</v>
      </c>
      <c r="AD640" s="8" t="str">
        <f ca="1">IFERROR(__xludf.DUMMYFUNCTION("""COMPUTED_VALUE"""),"Neither")</f>
        <v>Neither</v>
      </c>
      <c r="AE640" s="8" t="str">
        <f ca="1">IFERROR(__xludf.DUMMYFUNCTION("""COMPUTED_VALUE"""),"No")</f>
        <v>No</v>
      </c>
      <c r="AF640" s="8"/>
      <c r="AG640" s="8" t="str">
        <f ca="1">IFERROR(__xludf.DUMMYFUNCTION("""COMPUTED_VALUE"""),"No")</f>
        <v>No</v>
      </c>
      <c r="AH640" s="8" t="str">
        <f ca="1">IFERROR(__xludf.DUMMYFUNCTION("""COMPUTED_VALUE"""),"No")</f>
        <v>No</v>
      </c>
      <c r="AI640" s="8" t="str">
        <f ca="1">IFERROR(__xludf.DUMMYFUNCTION("""COMPUTED_VALUE"""),"No")</f>
        <v>No</v>
      </c>
      <c r="AJ640" s="8" t="str">
        <f ca="1">IFERROR(__xludf.DUMMYFUNCTION("""COMPUTED_VALUE"""),"No")</f>
        <v>No</v>
      </c>
      <c r="AK640" s="8" t="str">
        <f ca="1">IFERROR(__xludf.DUMMYFUNCTION("""COMPUTED_VALUE"""),"No")</f>
        <v>No</v>
      </c>
      <c r="AL640" s="8" t="str">
        <f ca="1">IFERROR(__xludf.DUMMYFUNCTION("""COMPUTED_VALUE"""),"No")</f>
        <v>No</v>
      </c>
      <c r="AM640" s="8" t="str">
        <f ca="1">IFERROR(__xludf.DUMMYFUNCTION("""COMPUTED_VALUE"""),"No")</f>
        <v>No</v>
      </c>
      <c r="AN640" s="8" t="str">
        <f ca="1">IFERROR(__xludf.DUMMYFUNCTION("""COMPUTED_VALUE"""),"Outside")</f>
        <v>Outside</v>
      </c>
      <c r="AO640" s="8" t="str">
        <f ca="1">IFERROR(__xludf.DUMMYFUNCTION("""COMPUTED_VALUE"""),"No")</f>
        <v>No</v>
      </c>
      <c r="AP640" s="8"/>
      <c r="AQ640" s="8"/>
      <c r="AR640" s="8" t="str">
        <f ca="1">IFERROR(__xludf.DUMMYFUNCTION("""COMPUTED_VALUE"""),"Failed")</f>
        <v>Failed</v>
      </c>
      <c r="AS640" s="8">
        <f ca="1">IFERROR(__xludf.DUMMYFUNCTION("""COMPUTED_VALUE"""),0)</f>
        <v>0</v>
      </c>
      <c r="AT640" s="8" t="str">
        <f ca="1">IFERROR(__xludf.DUMMYFUNCTION("""COMPUTED_VALUE"""),"No")</f>
        <v>No</v>
      </c>
      <c r="AU640" s="8">
        <f ca="1">IFERROR(__xludf.DUMMYFUNCTION("""COMPUTED_VALUE"""),36.189035)</f>
        <v>36.189034999999997</v>
      </c>
      <c r="AV640" s="8">
        <f ca="1">IFERROR(__xludf.DUMMYFUNCTION("""COMPUTED_VALUE"""),-95.971149)</f>
        <v>-95.971148999999997</v>
      </c>
      <c r="AW640" s="8"/>
      <c r="AX640" s="8">
        <f ca="1">IFERROR(__xludf.DUMMYFUNCTION("""COMPUTED_VALUE"""),74106)</f>
        <v>74106</v>
      </c>
    </row>
    <row r="641" spans="1:50" ht="75" x14ac:dyDescent="0.2">
      <c r="A641" s="8" t="str">
        <f ca="1">IFERROR(__xludf.DUMMYFUNCTION("""COMPUTED_VALUE"""),"20230825SCGEG")</f>
        <v>20230825SCGEG</v>
      </c>
      <c r="B641" s="8">
        <f ca="1">IFERROR(__xludf.DUMMYFUNCTION("""COMPUTED_VALUE"""),8)</f>
        <v>8</v>
      </c>
      <c r="C641" s="8">
        <f ca="1">IFERROR(__xludf.DUMMYFUNCTION("""COMPUTED_VALUE"""),25)</f>
        <v>25</v>
      </c>
      <c r="D641" s="8">
        <f ca="1">IFERROR(__xludf.DUMMYFUNCTION("""COMPUTED_VALUE"""),2023)</f>
        <v>2023</v>
      </c>
      <c r="E641" s="9">
        <f ca="1">IFERROR(__xludf.DUMMYFUNCTION("""COMPUTED_VALUE"""),45163)</f>
        <v>45163</v>
      </c>
      <c r="F641" s="8" t="str">
        <f ca="1">IFERROR(__xludf.DUMMYFUNCTION("""COMPUTED_VALUE"""),"Georgetown High School")</f>
        <v>Georgetown High School</v>
      </c>
      <c r="G641" s="8">
        <f ca="1">IFERROR(__xludf.DUMMYFUNCTION("""COMPUTED_VALUE"""),0)</f>
        <v>0</v>
      </c>
      <c r="H641" s="8">
        <f ca="1">IFERROR(__xludf.DUMMYFUNCTION("""COMPUTED_VALUE"""),0)</f>
        <v>0</v>
      </c>
      <c r="I641" s="8">
        <f ca="1">IFERROR(__xludf.DUMMYFUNCTION("""COMPUTED_VALUE"""),0)</f>
        <v>0</v>
      </c>
      <c r="J641" s="8">
        <f ca="1">IFERROR(__xludf.DUMMYFUNCTION("""COMPUTED_VALUE"""),0)</f>
        <v>0</v>
      </c>
      <c r="K641" s="10" t="str">
        <f ca="1">IFERROR(__xludf.DUMMYFUNCTION("""COMPUTED_VALUE"""),"https://abcnews4.com/news/local/georgetown-high-school-football-game-canceled-after-shots-fired-police-say-friday-night-sports")</f>
        <v>https://abcnews4.com/news/local/georgetown-high-school-football-game-canceled-after-shots-fired-police-say-friday-night-sports</v>
      </c>
      <c r="L641" s="8">
        <f ca="1">IFERROR(__xludf.DUMMYFUNCTION("""COMPUTED_VALUE"""),8)</f>
        <v>8</v>
      </c>
      <c r="M641" s="8" t="str">
        <f ca="1">IFERROR(__xludf.DUMMYFUNCTION("""COMPUTED_VALUE"""),"Regional")</f>
        <v>Regional</v>
      </c>
      <c r="N641" s="8">
        <f ca="1">IFERROR(__xludf.DUMMYFUNCTION("""COMPUTED_VALUE"""),4)</f>
        <v>4</v>
      </c>
      <c r="O641" s="8" t="str">
        <f ca="1">IFERROR(__xludf.DUMMYFUNCTION("""COMPUTED_VALUE"""),"Summer")</f>
        <v>Summer</v>
      </c>
      <c r="P641" s="8" t="str">
        <f ca="1">IFERROR(__xludf.DUMMYFUNCTION("""COMPUTED_VALUE"""),"Georgetown")</f>
        <v>Georgetown</v>
      </c>
      <c r="Q641" s="8" t="str">
        <f ca="1">IFERROR(__xludf.DUMMYFUNCTION("""COMPUTED_VALUE"""),"SC")</f>
        <v>SC</v>
      </c>
      <c r="R641" s="8" t="str">
        <f ca="1">IFERROR(__xludf.DUMMYFUNCTION("""COMPUTED_VALUE"""),"High")</f>
        <v>High</v>
      </c>
      <c r="S641" s="8" t="str">
        <f ca="1">IFERROR(__xludf.DUMMYFUNCTION("""COMPUTED_VALUE"""),"Football Field/Track")</f>
        <v>Football Field/Track</v>
      </c>
      <c r="T641" s="8" t="str">
        <f ca="1">IFERROR(__xludf.DUMMYFUNCTION("""COMPUTED_VALUE"""),"Outside on School Property")</f>
        <v>Outside on School Property</v>
      </c>
      <c r="U641" s="8" t="str">
        <f ca="1">IFERROR(__xludf.DUMMYFUNCTION("""COMPUTED_VALUE"""),"No")</f>
        <v>No</v>
      </c>
      <c r="V641" s="8" t="str">
        <f ca="1">IFERROR(__xludf.DUMMYFUNCTION("""COMPUTED_VALUE"""),"Sport Event")</f>
        <v>Sport Event</v>
      </c>
      <c r="W641" s="11">
        <f ca="1">IFERROR(__xludf.DUMMYFUNCTION("""COMPUTED_VALUE"""),0.875)</f>
        <v>0.875</v>
      </c>
      <c r="X641" s="8">
        <f ca="1">IFERROR(__xludf.DUMMYFUNCTION("""COMPUTED_VALUE"""),1)</f>
        <v>1</v>
      </c>
      <c r="Y641" s="12" t="str">
        <f ca="1">IFERROR(__xludf.DUMMYFUNCTION("""COMPUTED_VALUE"""),"Shots fired during fight at football game")</f>
        <v>Shots fired during fight at football game</v>
      </c>
      <c r="Z641" s="12" t="str">
        <f ca="1">IFERROR(__xludf.DUMMYFUNCTION("""COMPUTED_VALUE"""),"Officers responded to a large fight with shots fired at the Georgetown High School varsity football game Friday night, according to police. The game was canceled and everyone was asked to clear the area while first responders secured the scene.")</f>
        <v>Officers responded to a large fight with shots fired at the Georgetown High School varsity football game Friday night, according to police. The game was canceled and everyone was asked to clear the area while first responders secured the scene.</v>
      </c>
      <c r="AA641" s="8" t="str">
        <f ca="1">IFERROR(__xludf.DUMMYFUNCTION("""COMPUTED_VALUE"""),"Escalation of Dispute")</f>
        <v>Escalation of Dispute</v>
      </c>
      <c r="AB641" s="8"/>
      <c r="AC641" s="8" t="str">
        <f ca="1">IFERROR(__xludf.DUMMYFUNCTION("""COMPUTED_VALUE"""),"Yes")</f>
        <v>Yes</v>
      </c>
      <c r="AD641" s="8" t="str">
        <f ca="1">IFERROR(__xludf.DUMMYFUNCTION("""COMPUTED_VALUE"""),"Both")</f>
        <v>Both</v>
      </c>
      <c r="AE641" s="8" t="str">
        <f ca="1">IFERROR(__xludf.DUMMYFUNCTION("""COMPUTED_VALUE"""),"No")</f>
        <v>No</v>
      </c>
      <c r="AF641" s="8"/>
      <c r="AG641" s="8" t="str">
        <f ca="1">IFERROR(__xludf.DUMMYFUNCTION("""COMPUTED_VALUE"""),"No")</f>
        <v>No</v>
      </c>
      <c r="AH641" s="8" t="str">
        <f ca="1">IFERROR(__xludf.DUMMYFUNCTION("""COMPUTED_VALUE"""),"No")</f>
        <v>No</v>
      </c>
      <c r="AI641" s="8" t="str">
        <f ca="1">IFERROR(__xludf.DUMMYFUNCTION("""COMPUTED_VALUE"""),"No")</f>
        <v>No</v>
      </c>
      <c r="AJ641" s="8" t="str">
        <f ca="1">IFERROR(__xludf.DUMMYFUNCTION("""COMPUTED_VALUE"""),"No")</f>
        <v>No</v>
      </c>
      <c r="AK641" s="8" t="str">
        <f ca="1">IFERROR(__xludf.DUMMYFUNCTION("""COMPUTED_VALUE"""),"No")</f>
        <v>No</v>
      </c>
      <c r="AL641" s="8"/>
      <c r="AM641" s="8" t="str">
        <f ca="1">IFERROR(__xludf.DUMMYFUNCTION("""COMPUTED_VALUE"""),"No")</f>
        <v>No</v>
      </c>
      <c r="AN641" s="8" t="str">
        <f ca="1">IFERROR(__xludf.DUMMYFUNCTION("""COMPUTED_VALUE"""),"Outside")</f>
        <v>Outside</v>
      </c>
      <c r="AO641" s="8" t="str">
        <f ca="1">IFERROR(__xludf.DUMMYFUNCTION("""COMPUTED_VALUE"""),"No")</f>
        <v>No</v>
      </c>
      <c r="AP641" s="8"/>
      <c r="AQ641" s="8"/>
      <c r="AR641" s="8" t="str">
        <f ca="1">IFERROR(__xludf.DUMMYFUNCTION("""COMPUTED_VALUE"""),"Failed")</f>
        <v>Failed</v>
      </c>
      <c r="AS641" s="8">
        <f ca="1">IFERROR(__xludf.DUMMYFUNCTION("""COMPUTED_VALUE"""),99)</f>
        <v>99</v>
      </c>
      <c r="AT641" s="8" t="str">
        <f ca="1">IFERROR(__xludf.DUMMYFUNCTION("""COMPUTED_VALUE"""),"No")</f>
        <v>No</v>
      </c>
      <c r="AU641" s="8">
        <f ca="1">IFERROR(__xludf.DUMMYFUNCTION("""COMPUTED_VALUE"""),33.386226)</f>
        <v>33.386226000000001</v>
      </c>
      <c r="AV641" s="8">
        <f ca="1">IFERROR(__xludf.DUMMYFUNCTION("""COMPUTED_VALUE"""),-79.302299)</f>
        <v>-79.302299000000005</v>
      </c>
      <c r="AW641" s="8"/>
      <c r="AX641" s="8">
        <f ca="1">IFERROR(__xludf.DUMMYFUNCTION("""COMPUTED_VALUE"""),29440)</f>
        <v>29440</v>
      </c>
    </row>
    <row r="642" spans="1:50" ht="105" x14ac:dyDescent="0.2">
      <c r="A642" s="8" t="str">
        <f ca="1">IFERROR(__xludf.DUMMYFUNCTION("""COMPUTED_VALUE"""),"20230825OKCHC")</f>
        <v>20230825OKCHC</v>
      </c>
      <c r="B642" s="8">
        <f ca="1">IFERROR(__xludf.DUMMYFUNCTION("""COMPUTED_VALUE"""),8)</f>
        <v>8</v>
      </c>
      <c r="C642" s="8">
        <f ca="1">IFERROR(__xludf.DUMMYFUNCTION("""COMPUTED_VALUE"""),25)</f>
        <v>25</v>
      </c>
      <c r="D642" s="8">
        <f ca="1">IFERROR(__xludf.DUMMYFUNCTION("""COMPUTED_VALUE"""),2023)</f>
        <v>2023</v>
      </c>
      <c r="E642" s="9">
        <f ca="1">IFERROR(__xludf.DUMMYFUNCTION("""COMPUTED_VALUE"""),45163)</f>
        <v>45163</v>
      </c>
      <c r="F642" s="8" t="str">
        <f ca="1">IFERROR(__xludf.DUMMYFUNCTION("""COMPUTED_VALUE"""),"Choctaw High School")</f>
        <v>Choctaw High School</v>
      </c>
      <c r="G642" s="8">
        <f ca="1">IFERROR(__xludf.DUMMYFUNCTION("""COMPUTED_VALUE"""),1)</f>
        <v>1</v>
      </c>
      <c r="H642" s="8">
        <f ca="1">IFERROR(__xludf.DUMMYFUNCTION("""COMPUTED_VALUE"""),3)</f>
        <v>3</v>
      </c>
      <c r="I642" s="8">
        <f ca="1">IFERROR(__xludf.DUMMYFUNCTION("""COMPUTED_VALUE"""),4)</f>
        <v>4</v>
      </c>
      <c r="J642" s="8">
        <f ca="1">IFERROR(__xludf.DUMMYFUNCTION("""COMPUTED_VALUE"""),0)</f>
        <v>0</v>
      </c>
      <c r="K642" s="8" t="str">
        <f ca="1">IFERROR(__xludf.DUMMYFUNCTION("""COMPUTED_VALUE"""),"https://www.koco.com/article/oklahoma-attorney-43-year-old-shot-off-duty-officer-choctaw-football-game-civil-rights/44992466
https://nypost.com/2023/08/26/oklahoma-high-school-football-game-shooting-leaves-4-injured/")</f>
        <v>https://www.koco.com/article/oklahoma-attorney-43-year-old-shot-off-duty-officer-choctaw-football-game-civil-rights/44992466
https://nypost.com/2023/08/26/oklahoma-high-school-football-game-shooting-leaves-4-injured/</v>
      </c>
      <c r="L642" s="8">
        <f ca="1">IFERROR(__xludf.DUMMYFUNCTION("""COMPUTED_VALUE"""),100)</f>
        <v>100</v>
      </c>
      <c r="M642" s="8" t="str">
        <f ca="1">IFERROR(__xludf.DUMMYFUNCTION("""COMPUTED_VALUE"""),"National")</f>
        <v>National</v>
      </c>
      <c r="N642" s="8">
        <f ca="1">IFERROR(__xludf.DUMMYFUNCTION("""COMPUTED_VALUE"""),4)</f>
        <v>4</v>
      </c>
      <c r="O642" s="8" t="str">
        <f ca="1">IFERROR(__xludf.DUMMYFUNCTION("""COMPUTED_VALUE"""),"Summer")</f>
        <v>Summer</v>
      </c>
      <c r="P642" s="8" t="str">
        <f ca="1">IFERROR(__xludf.DUMMYFUNCTION("""COMPUTED_VALUE"""),"Choctaw")</f>
        <v>Choctaw</v>
      </c>
      <c r="Q642" s="8" t="str">
        <f ca="1">IFERROR(__xludf.DUMMYFUNCTION("""COMPUTED_VALUE"""),"OK")</f>
        <v>OK</v>
      </c>
      <c r="R642" s="8" t="str">
        <f ca="1">IFERROR(__xludf.DUMMYFUNCTION("""COMPUTED_VALUE"""),"High")</f>
        <v>High</v>
      </c>
      <c r="S642" s="8" t="str">
        <f ca="1">IFERROR(__xludf.DUMMYFUNCTION("""COMPUTED_VALUE"""),"Football Field/Track")</f>
        <v>Football Field/Track</v>
      </c>
      <c r="T642" s="8" t="str">
        <f ca="1">IFERROR(__xludf.DUMMYFUNCTION("""COMPUTED_VALUE"""),"Outside on School Property")</f>
        <v>Outside on School Property</v>
      </c>
      <c r="U642" s="8" t="str">
        <f ca="1">IFERROR(__xludf.DUMMYFUNCTION("""COMPUTED_VALUE"""),"No")</f>
        <v>No</v>
      </c>
      <c r="V642" s="8" t="str">
        <f ca="1">IFERROR(__xludf.DUMMYFUNCTION("""COMPUTED_VALUE"""),"Sport Event")</f>
        <v>Sport Event</v>
      </c>
      <c r="W642" s="11">
        <f ca="1">IFERROR(__xludf.DUMMYFUNCTION("""COMPUTED_VALUE"""),0.927083333333333)</f>
        <v>0.92708333333333304</v>
      </c>
      <c r="X642" s="8">
        <f ca="1">IFERROR(__xludf.DUMMYFUNCTION("""COMPUTED_VALUE"""),1)</f>
        <v>1</v>
      </c>
      <c r="Y642" s="12" t="str">
        <f ca="1">IFERROR(__xludf.DUMMYFUNCTION("""COMPUTED_VALUE"""),"4 people shot in stands during high school football game")</f>
        <v>4 people shot in stands during high school football game</v>
      </c>
      <c r="Z642" s="12" t="str">
        <f ca="1">IFERROR(__xludf.DUMMYFUNCTION("""COMPUTED_VALUE"""),"4 people shot in stands during high school football game. 7 police officers were working the game and one fired his weapon. A fight occured in the same area before the shooting. Shooter was treated by EMS for a head injury after the shooting and then rele"&amp;"ase. The 43-year-old man was shot by a police officer while attempting to provide first aid to the fatally wounded student.")</f>
        <v>4 people shot in stands during high school football game. 7 police officers were working the game and one fired his weapon. A fight occured in the same area before the shooting. Shooter was treated by EMS for a head injury after the shooting and then release. The 43-year-old man was shot by a police officer while attempting to provide first aid to the fatally wounded student.</v>
      </c>
      <c r="AA642" s="8" t="str">
        <f ca="1">IFERROR(__xludf.DUMMYFUNCTION("""COMPUTED_VALUE"""),"Escalation of Dispute")</f>
        <v>Escalation of Dispute</v>
      </c>
      <c r="AB642" s="8"/>
      <c r="AC642" s="8" t="str">
        <f ca="1">IFERROR(__xludf.DUMMYFUNCTION("""COMPUTED_VALUE"""),"Yes")</f>
        <v>Yes</v>
      </c>
      <c r="AD642" s="8" t="str">
        <f ca="1">IFERROR(__xludf.DUMMYFUNCTION("""COMPUTED_VALUE"""),"Both")</f>
        <v>Both</v>
      </c>
      <c r="AE642" s="8" t="str">
        <f ca="1">IFERROR(__xludf.DUMMYFUNCTION("""COMPUTED_VALUE"""),"No")</f>
        <v>No</v>
      </c>
      <c r="AF642" s="8"/>
      <c r="AG642" s="8" t="str">
        <f ca="1">IFERROR(__xludf.DUMMYFUNCTION("""COMPUTED_VALUE"""),"No")</f>
        <v>No</v>
      </c>
      <c r="AH642" s="8" t="str">
        <f ca="1">IFERROR(__xludf.DUMMYFUNCTION("""COMPUTED_VALUE"""),"No")</f>
        <v>No</v>
      </c>
      <c r="AI642" s="8" t="str">
        <f ca="1">IFERROR(__xludf.DUMMYFUNCTION("""COMPUTED_VALUE"""),"No")</f>
        <v>No</v>
      </c>
      <c r="AJ642" s="8" t="str">
        <f ca="1">IFERROR(__xludf.DUMMYFUNCTION("""COMPUTED_VALUE"""),"No")</f>
        <v>No</v>
      </c>
      <c r="AK642" s="8" t="str">
        <f ca="1">IFERROR(__xludf.DUMMYFUNCTION("""COMPUTED_VALUE"""),"No")</f>
        <v>No</v>
      </c>
      <c r="AL642" s="8" t="str">
        <f ca="1">IFERROR(__xludf.DUMMYFUNCTION("""COMPUTED_VALUE"""),"No")</f>
        <v>No</v>
      </c>
      <c r="AM642" s="8" t="str">
        <f ca="1">IFERROR(__xludf.DUMMYFUNCTION("""COMPUTED_VALUE"""),"No")</f>
        <v>No</v>
      </c>
      <c r="AN642" s="8" t="str">
        <f ca="1">IFERROR(__xludf.DUMMYFUNCTION("""COMPUTED_VALUE"""),"Outside")</f>
        <v>Outside</v>
      </c>
      <c r="AO642" s="8" t="str">
        <f ca="1">IFERROR(__xludf.DUMMYFUNCTION("""COMPUTED_VALUE"""),"No")</f>
        <v>No</v>
      </c>
      <c r="AP642" s="8" t="str">
        <f ca="1">IFERROR(__xludf.DUMMYFUNCTION("""COMPUTED_VALUE"""),"Yes")</f>
        <v>Yes</v>
      </c>
      <c r="AQ642" s="8" t="str">
        <f ca="1">IFERROR(__xludf.DUMMYFUNCTION("""COMPUTED_VALUE"""),"Armed Guards")</f>
        <v>Armed Guards</v>
      </c>
      <c r="AR642" s="8" t="str">
        <f ca="1">IFERROR(__xludf.DUMMYFUNCTION("""COMPUTED_VALUE"""),"Failed")</f>
        <v>Failed</v>
      </c>
      <c r="AS642" s="8">
        <f ca="1">IFERROR(__xludf.DUMMYFUNCTION("""COMPUTED_VALUE"""),99)</f>
        <v>99</v>
      </c>
      <c r="AT642" s="8" t="str">
        <f ca="1">IFERROR(__xludf.DUMMYFUNCTION("""COMPUTED_VALUE"""),"No")</f>
        <v>No</v>
      </c>
      <c r="AU642" s="8">
        <f ca="1">IFERROR(__xludf.DUMMYFUNCTION("""COMPUTED_VALUE"""),35.477607)</f>
        <v>35.477606999999999</v>
      </c>
      <c r="AV642" s="8">
        <f ca="1">IFERROR(__xludf.DUMMYFUNCTION("""COMPUTED_VALUE"""),-97.280348)</f>
        <v>-97.280348000000004</v>
      </c>
      <c r="AW642" s="8"/>
      <c r="AX642" s="8">
        <f ca="1">IFERROR(__xludf.DUMMYFUNCTION("""COMPUTED_VALUE"""),73045)</f>
        <v>73045</v>
      </c>
    </row>
    <row r="643" spans="1:50" ht="150" x14ac:dyDescent="0.2">
      <c r="A643" s="8" t="str">
        <f ca="1">IFERROR(__xludf.DUMMYFUNCTION("""COMPUTED_VALUE"""),"20230824NMRAT")</f>
        <v>20230824NMRAT</v>
      </c>
      <c r="B643" s="8">
        <f ca="1">IFERROR(__xludf.DUMMYFUNCTION("""COMPUTED_VALUE"""),8)</f>
        <v>8</v>
      </c>
      <c r="C643" s="8">
        <f ca="1">IFERROR(__xludf.DUMMYFUNCTION("""COMPUTED_VALUE"""),24)</f>
        <v>24</v>
      </c>
      <c r="D643" s="8">
        <f ca="1">IFERROR(__xludf.DUMMYFUNCTION("""COMPUTED_VALUE"""),2023)</f>
        <v>2023</v>
      </c>
      <c r="E643" s="9">
        <f ca="1">IFERROR(__xludf.DUMMYFUNCTION("""COMPUTED_VALUE"""),45162)</f>
        <v>45162</v>
      </c>
      <c r="F643" s="8" t="str">
        <f ca="1">IFERROR(__xludf.DUMMYFUNCTION("""COMPUTED_VALUE"""),"Ranchos Elementary School")</f>
        <v>Ranchos Elementary School</v>
      </c>
      <c r="G643" s="8">
        <f ca="1">IFERROR(__xludf.DUMMYFUNCTION("""COMPUTED_VALUE"""),1)</f>
        <v>1</v>
      </c>
      <c r="H643" s="8">
        <f ca="1">IFERROR(__xludf.DUMMYFUNCTION("""COMPUTED_VALUE"""),0)</f>
        <v>0</v>
      </c>
      <c r="I643" s="8">
        <f ca="1">IFERROR(__xludf.DUMMYFUNCTION("""COMPUTED_VALUE"""),1)</f>
        <v>1</v>
      </c>
      <c r="J643" s="8">
        <f ca="1">IFERROR(__xludf.DUMMYFUNCTION("""COMPUTED_VALUE"""),0)</f>
        <v>0</v>
      </c>
      <c r="K643" s="10" t="str">
        <f ca="1">IFERROR(__xludf.DUMMYFUNCTION("""COMPUTED_VALUE"""),"https://www.taosnews.com/public-safety/taos-county-sheriffs-deputies-respond-to-shooting-near-ranchos-elementary-school/article_e0cf0aba-42ee-11ee-a38f-e3c0caddebe6.html")</f>
        <v>https://www.taosnews.com/public-safety/taos-county-sheriffs-deputies-respond-to-shooting-near-ranchos-elementary-school/article_e0cf0aba-42ee-11ee-a38f-e3c0caddebe6.html</v>
      </c>
      <c r="L643" s="8">
        <f ca="1">IFERROR(__xludf.DUMMYFUNCTION("""COMPUTED_VALUE"""),1)</f>
        <v>1</v>
      </c>
      <c r="M643" s="8" t="str">
        <f ca="1">IFERROR(__xludf.DUMMYFUNCTION("""COMPUTED_VALUE"""),"Local")</f>
        <v>Local</v>
      </c>
      <c r="N643" s="8">
        <f ca="1">IFERROR(__xludf.DUMMYFUNCTION("""COMPUTED_VALUE"""),3)</f>
        <v>3</v>
      </c>
      <c r="O643" s="8" t="str">
        <f ca="1">IFERROR(__xludf.DUMMYFUNCTION("""COMPUTED_VALUE"""),"Summer")</f>
        <v>Summer</v>
      </c>
      <c r="P643" s="8" t="str">
        <f ca="1">IFERROR(__xludf.DUMMYFUNCTION("""COMPUTED_VALUE"""),"Ranchos De Taos")</f>
        <v>Ranchos De Taos</v>
      </c>
      <c r="Q643" s="8" t="str">
        <f ca="1">IFERROR(__xludf.DUMMYFUNCTION("""COMPUTED_VALUE"""),"NM")</f>
        <v>NM</v>
      </c>
      <c r="R643" s="8" t="str">
        <f ca="1">IFERROR(__xludf.DUMMYFUNCTION("""COMPUTED_VALUE"""),"Elementary")</f>
        <v>Elementary</v>
      </c>
      <c r="S643" s="8" t="str">
        <f ca="1">IFERROR(__xludf.DUMMYFUNCTION("""COMPUTED_VALUE"""),"Beside Building")</f>
        <v>Beside Building</v>
      </c>
      <c r="T643" s="8" t="str">
        <f ca="1">IFERROR(__xludf.DUMMYFUNCTION("""COMPUTED_VALUE"""),"Outside on School Property")</f>
        <v>Outside on School Property</v>
      </c>
      <c r="U643" s="8" t="str">
        <f ca="1">IFERROR(__xludf.DUMMYFUNCTION("""COMPUTED_VALUE"""),"No")</f>
        <v>No</v>
      </c>
      <c r="V643" s="8" t="str">
        <f ca="1">IFERROR(__xludf.DUMMYFUNCTION("""COMPUTED_VALUE"""),"School Event")</f>
        <v>School Event</v>
      </c>
      <c r="W643" s="11">
        <f ca="1">IFERROR(__xludf.DUMMYFUNCTION("""COMPUTED_VALUE"""),0.708333333333333)</f>
        <v>0.70833333333333304</v>
      </c>
      <c r="X643" s="8">
        <f ca="1">IFERROR(__xludf.DUMMYFUNCTION("""COMPUTED_VALUE"""),1)</f>
        <v>1</v>
      </c>
      <c r="Y643" s="12" t="str">
        <f ca="1">IFERROR(__xludf.DUMMYFUNCTION("""COMPUTED_VALUE"""),"Man killed behind school during back to school night")</f>
        <v>Man killed behind school during back to school night</v>
      </c>
      <c r="Z643" s="12" t="str">
        <f ca="1">IFERROR(__xludf.DUMMYFUNCTION("""COMPUTED_VALUE"""),"One male was transported to Holy Cross Medical Center Thursday evening (Aug. 24) after suffering a gunshot wound in a shooting on Espinoza Road behind Ranchos Elementary School, according to Taos County Sheriff Steve Miera. Miera said the elementary schoo"&amp;"l was hosting a parent-teacher night when the shooting occurred around 5 p.m. Taos Municipal Schools Superintendent Valerie Trujillo notified the public in an email that the school immediately cancelled the event and went on a temporary lockdown Thursday "&amp;"evening in response to the shooting. ")</f>
        <v xml:space="preserve">One male was transported to Holy Cross Medical Center Thursday evening (Aug. 24) after suffering a gunshot wound in a shooting on Espinoza Road behind Ranchos Elementary School, according to Taos County Sheriff Steve Miera. Miera said the elementary school was hosting a parent-teacher night when the shooting occurred around 5 p.m. Taos Municipal Schools Superintendent Valerie Trujillo notified the public in an email that the school immediately cancelled the event and went on a temporary lockdown Thursday evening in response to the shooting. </v>
      </c>
      <c r="AA643" s="8"/>
      <c r="AB643" s="8"/>
      <c r="AC643" s="8" t="str">
        <f ca="1">IFERROR(__xludf.DUMMYFUNCTION("""COMPUTED_VALUE"""),"Yes")</f>
        <v>Yes</v>
      </c>
      <c r="AD643" s="8" t="str">
        <f ca="1">IFERROR(__xludf.DUMMYFUNCTION("""COMPUTED_VALUE"""),"Victims Targeted")</f>
        <v>Victims Targeted</v>
      </c>
      <c r="AE643" s="8"/>
      <c r="AF643" s="8"/>
      <c r="AG643" s="8" t="str">
        <f ca="1">IFERROR(__xludf.DUMMYFUNCTION("""COMPUTED_VALUE"""),"No")</f>
        <v>No</v>
      </c>
      <c r="AH643" s="8" t="str">
        <f ca="1">IFERROR(__xludf.DUMMYFUNCTION("""COMPUTED_VALUE"""),"No")</f>
        <v>No</v>
      </c>
      <c r="AI643" s="8" t="str">
        <f ca="1">IFERROR(__xludf.DUMMYFUNCTION("""COMPUTED_VALUE"""),"No")</f>
        <v>No</v>
      </c>
      <c r="AJ643" s="8" t="str">
        <f ca="1">IFERROR(__xludf.DUMMYFUNCTION("""COMPUTED_VALUE"""),"No")</f>
        <v>No</v>
      </c>
      <c r="AK643" s="8"/>
      <c r="AL643" s="8"/>
      <c r="AM643" s="8" t="str">
        <f ca="1">IFERROR(__xludf.DUMMYFUNCTION("""COMPUTED_VALUE"""),"No")</f>
        <v>No</v>
      </c>
      <c r="AN643" s="8" t="str">
        <f ca="1">IFERROR(__xludf.DUMMYFUNCTION("""COMPUTED_VALUE"""),"Outside")</f>
        <v>Outside</v>
      </c>
      <c r="AO643" s="8" t="str">
        <f ca="1">IFERROR(__xludf.DUMMYFUNCTION("""COMPUTED_VALUE"""),"No")</f>
        <v>No</v>
      </c>
      <c r="AP643" s="8"/>
      <c r="AQ643" s="8"/>
      <c r="AR643" s="8" t="str">
        <f ca="1">IFERROR(__xludf.DUMMYFUNCTION("""COMPUTED_VALUE"""),"Outside/Off-Property")</f>
        <v>Outside/Off-Property</v>
      </c>
      <c r="AS643" s="8">
        <f ca="1">IFERROR(__xludf.DUMMYFUNCTION("""COMPUTED_VALUE"""),99)</f>
        <v>99</v>
      </c>
      <c r="AT643" s="8" t="str">
        <f ca="1">IFERROR(__xludf.DUMMYFUNCTION("""COMPUTED_VALUE"""),"Yes")</f>
        <v>Yes</v>
      </c>
      <c r="AU643" s="8">
        <f ca="1">IFERROR(__xludf.DUMMYFUNCTION("""COMPUTED_VALUE"""),36.35508)</f>
        <v>36.355080000000001</v>
      </c>
      <c r="AV643" s="8">
        <f ca="1">IFERROR(__xludf.DUMMYFUNCTION("""COMPUTED_VALUE"""),-105.599557)</f>
        <v>-105.599557</v>
      </c>
      <c r="AW643" s="8"/>
      <c r="AX643" s="8">
        <f ca="1">IFERROR(__xludf.DUMMYFUNCTION("""COMPUTED_VALUE"""),87557)</f>
        <v>87557</v>
      </c>
    </row>
    <row r="644" spans="1:50" ht="60" x14ac:dyDescent="0.2">
      <c r="A644" s="8" t="str">
        <f ca="1">IFERROR(__xludf.DUMMYFUNCTION("""COMPUTED_VALUE"""),"20230824VAWAP")</f>
        <v>20230824VAWAP</v>
      </c>
      <c r="B644" s="8">
        <f ca="1">IFERROR(__xludf.DUMMYFUNCTION("""COMPUTED_VALUE"""),8)</f>
        <v>8</v>
      </c>
      <c r="C644" s="8">
        <f ca="1">IFERROR(__xludf.DUMMYFUNCTION("""COMPUTED_VALUE"""),24)</f>
        <v>24</v>
      </c>
      <c r="D644" s="8">
        <f ca="1">IFERROR(__xludf.DUMMYFUNCTION("""COMPUTED_VALUE"""),2023)</f>
        <v>2023</v>
      </c>
      <c r="E644" s="9">
        <f ca="1">IFERROR(__xludf.DUMMYFUNCTION("""COMPUTED_VALUE"""),45162)</f>
        <v>45162</v>
      </c>
      <c r="F644" s="8" t="str">
        <f ca="1">IFERROR(__xludf.DUMMYFUNCTION("""COMPUTED_VALUE"""),"Walnut Hill Elementary School")</f>
        <v>Walnut Hill Elementary School</v>
      </c>
      <c r="G644" s="8">
        <f ca="1">IFERROR(__xludf.DUMMYFUNCTION("""COMPUTED_VALUE"""),1)</f>
        <v>1</v>
      </c>
      <c r="H644" s="8">
        <f ca="1">IFERROR(__xludf.DUMMYFUNCTION("""COMPUTED_VALUE"""),0)</f>
        <v>0</v>
      </c>
      <c r="I644" s="8">
        <f ca="1">IFERROR(__xludf.DUMMYFUNCTION("""COMPUTED_VALUE"""),1)</f>
        <v>1</v>
      </c>
      <c r="J644" s="8">
        <f ca="1">IFERROR(__xludf.DUMMYFUNCTION("""COMPUTED_VALUE"""),0)</f>
        <v>0</v>
      </c>
      <c r="K644" s="8" t="str">
        <f ca="1">IFERROR(__xludf.DUMMYFUNCTION("""COMPUTED_VALUE"""),"https://www.nbc12.com/2023/08/25/south-carolina-teen-shot-killed-near-walnut-elementary-school/
https://www.wtvr.com/news/local-news/petersburg-shooting-w-south-boulevard-august-24-2023
https://www.wbrc.com/video/2023/08/24/shooting-reported-near-walnut-h"&amp;"ill-elementary-school/")</f>
        <v>https://www.nbc12.com/2023/08/25/south-carolina-teen-shot-killed-near-walnut-elementary-school/
https://www.wtvr.com/news/local-news/petersburg-shooting-w-south-boulevard-august-24-2023
https://www.wbrc.com/video/2023/08/24/shooting-reported-near-walnut-hill-elementary-school/</v>
      </c>
      <c r="L644" s="8">
        <f ca="1">IFERROR(__xludf.DUMMYFUNCTION("""COMPUTED_VALUE"""),10)</f>
        <v>10</v>
      </c>
      <c r="M644" s="8" t="str">
        <f ca="1">IFERROR(__xludf.DUMMYFUNCTION("""COMPUTED_VALUE"""),"Regional")</f>
        <v>Regional</v>
      </c>
      <c r="N644" s="8">
        <f ca="1">IFERROR(__xludf.DUMMYFUNCTION("""COMPUTED_VALUE"""),4)</f>
        <v>4</v>
      </c>
      <c r="O644" s="8" t="str">
        <f ca="1">IFERROR(__xludf.DUMMYFUNCTION("""COMPUTED_VALUE"""),"Summer")</f>
        <v>Summer</v>
      </c>
      <c r="P644" s="8" t="str">
        <f ca="1">IFERROR(__xludf.DUMMYFUNCTION("""COMPUTED_VALUE"""),"Petersburg")</f>
        <v>Petersburg</v>
      </c>
      <c r="Q644" s="8" t="str">
        <f ca="1">IFERROR(__xludf.DUMMYFUNCTION("""COMPUTED_VALUE"""),"VA")</f>
        <v>VA</v>
      </c>
      <c r="R644" s="8" t="str">
        <f ca="1">IFERROR(__xludf.DUMMYFUNCTION("""COMPUTED_VALUE"""),"Elementary")</f>
        <v>Elementary</v>
      </c>
      <c r="S644" s="8" t="str">
        <f ca="1">IFERROR(__xludf.DUMMYFUNCTION("""COMPUTED_VALUE"""),"Front of School")</f>
        <v>Front of School</v>
      </c>
      <c r="T644" s="8" t="str">
        <f ca="1">IFERROR(__xludf.DUMMYFUNCTION("""COMPUTED_VALUE"""),"Outside on School Property")</f>
        <v>Outside on School Property</v>
      </c>
      <c r="U644" s="8" t="str">
        <f ca="1">IFERROR(__xludf.DUMMYFUNCTION("""COMPUTED_VALUE"""),"No")</f>
        <v>No</v>
      </c>
      <c r="V644" s="8" t="str">
        <f ca="1">IFERROR(__xludf.DUMMYFUNCTION("""COMPUTED_VALUE"""),"Not a School Day")</f>
        <v>Not a School Day</v>
      </c>
      <c r="W644" s="11">
        <f ca="1">IFERROR(__xludf.DUMMYFUNCTION("""COMPUTED_VALUE"""),0.677083333333333)</f>
        <v>0.67708333333333304</v>
      </c>
      <c r="X644" s="8">
        <f ca="1">IFERROR(__xludf.DUMMYFUNCTION("""COMPUTED_VALUE"""),1)</f>
        <v>1</v>
      </c>
      <c r="Y644" s="12" t="str">
        <f ca="1">IFERROR(__xludf.DUMMYFUNCTION("""COMPUTED_VALUE"""),"Teen found fatally shot near the school building")</f>
        <v>Teen found fatally shot near the school building</v>
      </c>
      <c r="Z644" s="12" t="str">
        <f ca="1">IFERROR(__xludf.DUMMYFUNCTION("""COMPUTED_VALUE"""),"A man was found fatally shot in front of Walnut Hill Elementary School (VA) at 4:15pm yesterday. Staff inside the school went on lockdown for 45 minutes. Classes do not start until September.")</f>
        <v>A man was found fatally shot in front of Walnut Hill Elementary School (VA) at 4:15pm yesterday. Staff inside the school went on lockdown for 45 minutes. Classes do not start until September.</v>
      </c>
      <c r="AA644" s="8"/>
      <c r="AB644" s="8"/>
      <c r="AC644" s="8" t="str">
        <f ca="1">IFERROR(__xludf.DUMMYFUNCTION("""COMPUTED_VALUE"""),"Yes")</f>
        <v>Yes</v>
      </c>
      <c r="AD644" s="8" t="str">
        <f ca="1">IFERROR(__xludf.DUMMYFUNCTION("""COMPUTED_VALUE"""),"Victims Targeted")</f>
        <v>Victims Targeted</v>
      </c>
      <c r="AE644" s="8" t="str">
        <f ca="1">IFERROR(__xludf.DUMMYFUNCTION("""COMPUTED_VALUE"""),"No")</f>
        <v>No</v>
      </c>
      <c r="AF644" s="8"/>
      <c r="AG644" s="8" t="str">
        <f ca="1">IFERROR(__xludf.DUMMYFUNCTION("""COMPUTED_VALUE"""),"No")</f>
        <v>No</v>
      </c>
      <c r="AH644" s="8" t="str">
        <f ca="1">IFERROR(__xludf.DUMMYFUNCTION("""COMPUTED_VALUE"""),"No")</f>
        <v>No</v>
      </c>
      <c r="AI644" s="8" t="str">
        <f ca="1">IFERROR(__xludf.DUMMYFUNCTION("""COMPUTED_VALUE"""),"No")</f>
        <v>No</v>
      </c>
      <c r="AJ644" s="8" t="str">
        <f ca="1">IFERROR(__xludf.DUMMYFUNCTION("""COMPUTED_VALUE"""),"No")</f>
        <v>No</v>
      </c>
      <c r="AK644" s="8" t="str">
        <f ca="1">IFERROR(__xludf.DUMMYFUNCTION("""COMPUTED_VALUE"""),"No")</f>
        <v>No</v>
      </c>
      <c r="AL644" s="8"/>
      <c r="AM644" s="8" t="str">
        <f ca="1">IFERROR(__xludf.DUMMYFUNCTION("""COMPUTED_VALUE"""),"No")</f>
        <v>No</v>
      </c>
      <c r="AN644" s="8" t="str">
        <f ca="1">IFERROR(__xludf.DUMMYFUNCTION("""COMPUTED_VALUE"""),"Outside")</f>
        <v>Outside</v>
      </c>
      <c r="AO644" s="8" t="str">
        <f ca="1">IFERROR(__xludf.DUMMYFUNCTION("""COMPUTED_VALUE"""),"No")</f>
        <v>No</v>
      </c>
      <c r="AP644" s="8"/>
      <c r="AQ644" s="8"/>
      <c r="AR644" s="8" t="str">
        <f ca="1">IFERROR(__xludf.DUMMYFUNCTION("""COMPUTED_VALUE"""),"Outside/Off-Property")</f>
        <v>Outside/Off-Property</v>
      </c>
      <c r="AS644" s="8">
        <f ca="1">IFERROR(__xludf.DUMMYFUNCTION("""COMPUTED_VALUE"""),99)</f>
        <v>99</v>
      </c>
      <c r="AT644" s="8" t="str">
        <f ca="1">IFERROR(__xludf.DUMMYFUNCTION("""COMPUTED_VALUE"""),"Yes")</f>
        <v>Yes</v>
      </c>
      <c r="AU644" s="8">
        <f ca="1">IFERROR(__xludf.DUMMYFUNCTION("""COMPUTED_VALUE"""),37.203262)</f>
        <v>37.203262000000002</v>
      </c>
      <c r="AV644" s="8">
        <f ca="1">IFERROR(__xludf.DUMMYFUNCTION("""COMPUTED_VALUE"""),-77.385817)</f>
        <v>-77.385817000000003</v>
      </c>
      <c r="AW644" s="8"/>
      <c r="AX644" s="8">
        <f ca="1">IFERROR(__xludf.DUMMYFUNCTION("""COMPUTED_VALUE"""),23805)</f>
        <v>23805</v>
      </c>
    </row>
    <row r="645" spans="1:50" ht="120" x14ac:dyDescent="0.2">
      <c r="A645" s="8" t="str">
        <f ca="1">IFERROR(__xludf.DUMMYFUNCTION("""COMPUTED_VALUE"""),"20230824VAKEV")</f>
        <v>20230824VAKEV</v>
      </c>
      <c r="B645" s="8">
        <f ca="1">IFERROR(__xludf.DUMMYFUNCTION("""COMPUTED_VALUE"""),8)</f>
        <v>8</v>
      </c>
      <c r="C645" s="8">
        <f ca="1">IFERROR(__xludf.DUMMYFUNCTION("""COMPUTED_VALUE"""),24)</f>
        <v>24</v>
      </c>
      <c r="D645" s="8">
        <f ca="1">IFERROR(__xludf.DUMMYFUNCTION("""COMPUTED_VALUE"""),2023)</f>
        <v>2023</v>
      </c>
      <c r="E645" s="9">
        <f ca="1">IFERROR(__xludf.DUMMYFUNCTION("""COMPUTED_VALUE"""),45162)</f>
        <v>45162</v>
      </c>
      <c r="F645" s="8" t="str">
        <f ca="1">IFERROR(__xludf.DUMMYFUNCTION("""COMPUTED_VALUE"""),"Kempsville High School")</f>
        <v>Kempsville High School</v>
      </c>
      <c r="G645" s="8">
        <f ca="1">IFERROR(__xludf.DUMMYFUNCTION("""COMPUTED_VALUE"""),0)</f>
        <v>0</v>
      </c>
      <c r="H645" s="8">
        <f ca="1">IFERROR(__xludf.DUMMYFUNCTION("""COMPUTED_VALUE"""),2)</f>
        <v>2</v>
      </c>
      <c r="I645" s="8">
        <f ca="1">IFERROR(__xludf.DUMMYFUNCTION("""COMPUTED_VALUE"""),2)</f>
        <v>2</v>
      </c>
      <c r="J645" s="8">
        <f ca="1">IFERROR(__xludf.DUMMYFUNCTION("""COMPUTED_VALUE"""),0)</f>
        <v>0</v>
      </c>
      <c r="K645" s="8" t="str">
        <f ca="1">IFERROR(__xludf.DUMMYFUNCTION("""COMPUTED_VALUE"""),"https://www.wtkr.com/news/in-the-community/portsmouth-families-speak-about-safety-after-gunshots-at-vb-football-game
https://www.13newsnow.com/article/news/crime/shots-fired-kempsville-high-school-ends-football-game-early/291-89cdeb0f-f96b-4928-9066-cbdeb"&amp;"4e7ee38")</f>
        <v>https://www.wtkr.com/news/in-the-community/portsmouth-families-speak-about-safety-after-gunshots-at-vb-football-game
https://www.13newsnow.com/article/news/crime/shots-fired-kempsville-high-school-ends-football-game-early/291-89cdeb0f-f96b-4928-9066-cbdeb4e7ee38</v>
      </c>
      <c r="L645" s="8">
        <f ca="1">IFERROR(__xludf.DUMMYFUNCTION("""COMPUTED_VALUE"""),10)</f>
        <v>10</v>
      </c>
      <c r="M645" s="8" t="str">
        <f ca="1">IFERROR(__xludf.DUMMYFUNCTION("""COMPUTED_VALUE"""),"Regional")</f>
        <v>Regional</v>
      </c>
      <c r="N645" s="8">
        <f ca="1">IFERROR(__xludf.DUMMYFUNCTION("""COMPUTED_VALUE"""),4)</f>
        <v>4</v>
      </c>
      <c r="O645" s="8" t="str">
        <f ca="1">IFERROR(__xludf.DUMMYFUNCTION("""COMPUTED_VALUE"""),"Summer")</f>
        <v>Summer</v>
      </c>
      <c r="P645" s="8" t="str">
        <f ca="1">IFERROR(__xludf.DUMMYFUNCTION("""COMPUTED_VALUE"""),"Virginia Beach")</f>
        <v>Virginia Beach</v>
      </c>
      <c r="Q645" s="8" t="str">
        <f ca="1">IFERROR(__xludf.DUMMYFUNCTION("""COMPUTED_VALUE"""),"VA")</f>
        <v>VA</v>
      </c>
      <c r="R645" s="8" t="str">
        <f ca="1">IFERROR(__xludf.DUMMYFUNCTION("""COMPUTED_VALUE"""),"High")</f>
        <v>High</v>
      </c>
      <c r="S645" s="8" t="str">
        <f ca="1">IFERROR(__xludf.DUMMYFUNCTION("""COMPUTED_VALUE"""),"Off School Property")</f>
        <v>Off School Property</v>
      </c>
      <c r="T645" s="8" t="str">
        <f ca="1">IFERROR(__xludf.DUMMYFUNCTION("""COMPUTED_VALUE"""),"Off School Property")</f>
        <v>Off School Property</v>
      </c>
      <c r="U645" s="8" t="str">
        <f ca="1">IFERROR(__xludf.DUMMYFUNCTION("""COMPUTED_VALUE"""),"No")</f>
        <v>No</v>
      </c>
      <c r="V645" s="8" t="str">
        <f ca="1">IFERROR(__xludf.DUMMYFUNCTION("""COMPUTED_VALUE"""),"Sport Event")</f>
        <v>Sport Event</v>
      </c>
      <c r="W645" s="11">
        <f ca="1">IFERROR(__xludf.DUMMYFUNCTION("""COMPUTED_VALUE"""),0.90625)</f>
        <v>0.90625</v>
      </c>
      <c r="X645" s="8">
        <f ca="1">IFERROR(__xludf.DUMMYFUNCTION("""COMPUTED_VALUE"""),1)</f>
        <v>1</v>
      </c>
      <c r="Y645" s="12" t="str">
        <f ca="1">IFERROR(__xludf.DUMMYFUNCTION("""COMPUTED_VALUE"""),"Shots fired 50 feet from campus caused fans to evacuate and cancelled remainder of high school football game")</f>
        <v>Shots fired 50 feet from campus caused fans to evacuate and cancelled remainder of high school football game</v>
      </c>
      <c r="Z645" s="12" t="str">
        <f ca="1">IFERROR(__xludf.DUMMYFUNCTION("""COMPUTED_VALUE"""),"Shots fired in front of a residence 50 feet from campus caused fans to evacuate and cancelled remainder of high school football game.")</f>
        <v>Shots fired in front of a residence 50 feet from campus caused fans to evacuate and cancelled remainder of high school football game.</v>
      </c>
      <c r="AA645" s="8"/>
      <c r="AB645" s="8"/>
      <c r="AC645" s="8" t="str">
        <f ca="1">IFERROR(__xludf.DUMMYFUNCTION("""COMPUTED_VALUE"""),"Yes")</f>
        <v>Yes</v>
      </c>
      <c r="AD645" s="8" t="str">
        <f ca="1">IFERROR(__xludf.DUMMYFUNCTION("""COMPUTED_VALUE"""),"Neither")</f>
        <v>Neither</v>
      </c>
      <c r="AE645" s="8" t="str">
        <f ca="1">IFERROR(__xludf.DUMMYFUNCTION("""COMPUTED_VALUE"""),"No")</f>
        <v>No</v>
      </c>
      <c r="AF645" s="8"/>
      <c r="AG645" s="8" t="str">
        <f ca="1">IFERROR(__xludf.DUMMYFUNCTION("""COMPUTED_VALUE"""),"No")</f>
        <v>No</v>
      </c>
      <c r="AH645" s="8" t="str">
        <f ca="1">IFERROR(__xludf.DUMMYFUNCTION("""COMPUTED_VALUE"""),"No")</f>
        <v>No</v>
      </c>
      <c r="AI645" s="8" t="str">
        <f ca="1">IFERROR(__xludf.DUMMYFUNCTION("""COMPUTED_VALUE"""),"No")</f>
        <v>No</v>
      </c>
      <c r="AJ645" s="8" t="str">
        <f ca="1">IFERROR(__xludf.DUMMYFUNCTION("""COMPUTED_VALUE"""),"No")</f>
        <v>No</v>
      </c>
      <c r="AK645" s="8" t="str">
        <f ca="1">IFERROR(__xludf.DUMMYFUNCTION("""COMPUTED_VALUE"""),"No")</f>
        <v>No</v>
      </c>
      <c r="AL645" s="8"/>
      <c r="AM645" s="8" t="str">
        <f ca="1">IFERROR(__xludf.DUMMYFUNCTION("""COMPUTED_VALUE"""),"No")</f>
        <v>No</v>
      </c>
      <c r="AN645" s="8" t="str">
        <f ca="1">IFERROR(__xludf.DUMMYFUNCTION("""COMPUTED_VALUE"""),"Outside")</f>
        <v>Outside</v>
      </c>
      <c r="AO645" s="8" t="str">
        <f ca="1">IFERROR(__xludf.DUMMYFUNCTION("""COMPUTED_VALUE"""),"No")</f>
        <v>No</v>
      </c>
      <c r="AP645" s="8"/>
      <c r="AQ645" s="8"/>
      <c r="AR645" s="8" t="str">
        <f ca="1">IFERROR(__xludf.DUMMYFUNCTION("""COMPUTED_VALUE"""),"Outside/Off-Property")</f>
        <v>Outside/Off-Property</v>
      </c>
      <c r="AS645" s="8">
        <f ca="1">IFERROR(__xludf.DUMMYFUNCTION("""COMPUTED_VALUE"""),5)</f>
        <v>5</v>
      </c>
      <c r="AT645" s="8" t="str">
        <f ca="1">IFERROR(__xludf.DUMMYFUNCTION("""COMPUTED_VALUE"""),"No")</f>
        <v>No</v>
      </c>
      <c r="AU645" s="8">
        <f ca="1">IFERROR(__xludf.DUMMYFUNCTION("""COMPUTED_VALUE"""),36.820407)</f>
        <v>36.820407000000003</v>
      </c>
      <c r="AV645" s="8">
        <f ca="1">IFERROR(__xludf.DUMMYFUNCTION("""COMPUTED_VALUE"""),-76.157416)</f>
        <v>-76.157415999999998</v>
      </c>
      <c r="AW645" s="8"/>
      <c r="AX645" s="8">
        <f ca="1">IFERROR(__xludf.DUMMYFUNCTION("""COMPUTED_VALUE"""),23462)</f>
        <v>23462</v>
      </c>
    </row>
    <row r="646" spans="1:50" ht="90" x14ac:dyDescent="0.2">
      <c r="A646" s="8" t="str">
        <f ca="1">IFERROR(__xludf.DUMMYFUNCTION("""COMPUTED_VALUE"""),"20230824AZPHP")</f>
        <v>20230824AZPHP</v>
      </c>
      <c r="B646" s="8">
        <f ca="1">IFERROR(__xludf.DUMMYFUNCTION("""COMPUTED_VALUE"""),8)</f>
        <v>8</v>
      </c>
      <c r="C646" s="8">
        <f ca="1">IFERROR(__xludf.DUMMYFUNCTION("""COMPUTED_VALUE"""),24)</f>
        <v>24</v>
      </c>
      <c r="D646" s="8">
        <f ca="1">IFERROR(__xludf.DUMMYFUNCTION("""COMPUTED_VALUE"""),2023)</f>
        <v>2023</v>
      </c>
      <c r="E646" s="9">
        <f ca="1">IFERROR(__xludf.DUMMYFUNCTION("""COMPUTED_VALUE"""),45162)</f>
        <v>45162</v>
      </c>
      <c r="F646" s="8" t="str">
        <f ca="1">IFERROR(__xludf.DUMMYFUNCTION("""COMPUTED_VALUE"""),"Phoenix School Bus")</f>
        <v>Phoenix School Bus</v>
      </c>
      <c r="G646" s="8">
        <f ca="1">IFERROR(__xludf.DUMMYFUNCTION("""COMPUTED_VALUE"""),0)</f>
        <v>0</v>
      </c>
      <c r="H646" s="8">
        <f ca="1">IFERROR(__xludf.DUMMYFUNCTION("""COMPUTED_VALUE"""),1)</f>
        <v>1</v>
      </c>
      <c r="I646" s="8">
        <f ca="1">IFERROR(__xludf.DUMMYFUNCTION("""COMPUTED_VALUE"""),1)</f>
        <v>1</v>
      </c>
      <c r="J646" s="8">
        <f ca="1">IFERROR(__xludf.DUMMYFUNCTION("""COMPUTED_VALUE"""),0)</f>
        <v>0</v>
      </c>
      <c r="K646" s="10" t="str">
        <f ca="1">IFERROR(__xludf.DUMMYFUNCTION("""COMPUTED_VALUE"""),"https://www.abc15.com/news/region-phoenix-metro/north-phoenix/student-shot-by-bb-gun-on-school-bus-in-phoenix-phoenix-police-investigating")</f>
        <v>https://www.abc15.com/news/region-phoenix-metro/north-phoenix/student-shot-by-bb-gun-on-school-bus-in-phoenix-phoenix-police-investigating</v>
      </c>
      <c r="L646" s="8">
        <f ca="1">IFERROR(__xludf.DUMMYFUNCTION("""COMPUTED_VALUE"""),1)</f>
        <v>1</v>
      </c>
      <c r="M646" s="8" t="str">
        <f ca="1">IFERROR(__xludf.DUMMYFUNCTION("""COMPUTED_VALUE"""),"Local")</f>
        <v>Local</v>
      </c>
      <c r="N646" s="8">
        <f ca="1">IFERROR(__xludf.DUMMYFUNCTION("""COMPUTED_VALUE"""),3)</f>
        <v>3</v>
      </c>
      <c r="O646" s="8" t="str">
        <f ca="1">IFERROR(__xludf.DUMMYFUNCTION("""COMPUTED_VALUE"""),"Summer")</f>
        <v>Summer</v>
      </c>
      <c r="P646" s="8" t="str">
        <f ca="1">IFERROR(__xludf.DUMMYFUNCTION("""COMPUTED_VALUE"""),"Phoenix")</f>
        <v>Phoenix</v>
      </c>
      <c r="Q646" s="8" t="str">
        <f ca="1">IFERROR(__xludf.DUMMYFUNCTION("""COMPUTED_VALUE"""),"AZ")</f>
        <v>AZ</v>
      </c>
      <c r="R646" s="8" t="str">
        <f ca="1">IFERROR(__xludf.DUMMYFUNCTION("""COMPUTED_VALUE"""),"Elementary")</f>
        <v>Elementary</v>
      </c>
      <c r="S646" s="8" t="str">
        <f ca="1">IFERROR(__xludf.DUMMYFUNCTION("""COMPUTED_VALUE"""),"School Bus")</f>
        <v>School Bus</v>
      </c>
      <c r="T646" s="8" t="str">
        <f ca="1">IFERROR(__xludf.DUMMYFUNCTION("""COMPUTED_VALUE"""),"School Bus")</f>
        <v>School Bus</v>
      </c>
      <c r="U646" s="8" t="str">
        <f ca="1">IFERROR(__xludf.DUMMYFUNCTION("""COMPUTED_VALUE"""),"Yes")</f>
        <v>Yes</v>
      </c>
      <c r="V646" s="8" t="str">
        <f ca="1">IFERROR(__xludf.DUMMYFUNCTION("""COMPUTED_VALUE"""),"Dismissal")</f>
        <v>Dismissal</v>
      </c>
      <c r="W646" s="11">
        <f ca="1">IFERROR(__xludf.DUMMYFUNCTION("""COMPUTED_VALUE"""),0.666666666666666)</f>
        <v>0.66666666666666596</v>
      </c>
      <c r="X646" s="8">
        <f ca="1">IFERROR(__xludf.DUMMYFUNCTION("""COMPUTED_VALUE"""),1)</f>
        <v>1</v>
      </c>
      <c r="Y646" s="12" t="str">
        <f ca="1">IFERROR(__xludf.DUMMYFUNCTION("""COMPUTED_VALUE"""),"Student shot with bb gun on school bus")</f>
        <v>Student shot with bb gun on school bus</v>
      </c>
      <c r="Z646" s="12" t="str">
        <f ca="1">IFERROR(__xludf.DUMMYFUNCTION("""COMPUTED_VALUE"""),"Phoenix police are investigating an incident where a student was shot with a BB gun on a school bus Thursday afternoon. According to Phoenix police, the incident happened near 28th Drive and Cactus Road around 4 p.m. A young student was reportedly shot wi"&amp;"th a BB gun but did not require transportation to a hospital.")</f>
        <v>Phoenix police are investigating an incident where a student was shot with a BB gun on a school bus Thursday afternoon. According to Phoenix police, the incident happened near 28th Drive and Cactus Road around 4 p.m. A young student was reportedly shot with a BB gun but did not require transportation to a hospital.</v>
      </c>
      <c r="AA646" s="8"/>
      <c r="AB646" s="8"/>
      <c r="AC646" s="8" t="str">
        <f ca="1">IFERROR(__xludf.DUMMYFUNCTION("""COMPUTED_VALUE"""),"Yes")</f>
        <v>Yes</v>
      </c>
      <c r="AD646" s="8" t="str">
        <f ca="1">IFERROR(__xludf.DUMMYFUNCTION("""COMPUTED_VALUE"""),"Victims Targeted")</f>
        <v>Victims Targeted</v>
      </c>
      <c r="AE646" s="8" t="str">
        <f ca="1">IFERROR(__xludf.DUMMYFUNCTION("""COMPUTED_VALUE"""),"No")</f>
        <v>No</v>
      </c>
      <c r="AF646" s="8"/>
      <c r="AG646" s="8" t="str">
        <f ca="1">IFERROR(__xludf.DUMMYFUNCTION("""COMPUTED_VALUE"""),"No")</f>
        <v>No</v>
      </c>
      <c r="AH646" s="8" t="str">
        <f ca="1">IFERROR(__xludf.DUMMYFUNCTION("""COMPUTED_VALUE"""),"No")</f>
        <v>No</v>
      </c>
      <c r="AI646" s="8" t="str">
        <f ca="1">IFERROR(__xludf.DUMMYFUNCTION("""COMPUTED_VALUE"""),"No")</f>
        <v>No</v>
      </c>
      <c r="AJ646" s="8" t="str">
        <f ca="1">IFERROR(__xludf.DUMMYFUNCTION("""COMPUTED_VALUE"""),"No")</f>
        <v>No</v>
      </c>
      <c r="AK646" s="8" t="str">
        <f ca="1">IFERROR(__xludf.DUMMYFUNCTION("""COMPUTED_VALUE"""),"No")</f>
        <v>No</v>
      </c>
      <c r="AL646" s="8" t="str">
        <f ca="1">IFERROR(__xludf.DUMMYFUNCTION("""COMPUTED_VALUE"""),"No")</f>
        <v>No</v>
      </c>
      <c r="AM646" s="8" t="str">
        <f ca="1">IFERROR(__xludf.DUMMYFUNCTION("""COMPUTED_VALUE"""),"No")</f>
        <v>No</v>
      </c>
      <c r="AN646" s="8"/>
      <c r="AO646" s="8" t="str">
        <f ca="1">IFERROR(__xludf.DUMMYFUNCTION("""COMPUTED_VALUE"""),"No")</f>
        <v>No</v>
      </c>
      <c r="AP646" s="8"/>
      <c r="AQ646" s="8"/>
      <c r="AR646" s="8" t="str">
        <f ca="1">IFERROR(__xludf.DUMMYFUNCTION("""COMPUTED_VALUE"""),"Outside/Off-Property")</f>
        <v>Outside/Off-Property</v>
      </c>
      <c r="AS646" s="8">
        <f ca="1">IFERROR(__xludf.DUMMYFUNCTION("""COMPUTED_VALUE"""),1)</f>
        <v>1</v>
      </c>
      <c r="AT646" s="8" t="str">
        <f ca="1">IFERROR(__xludf.DUMMYFUNCTION("""COMPUTED_VALUE"""),"No")</f>
        <v>No</v>
      </c>
      <c r="AU646" s="8">
        <f ca="1">IFERROR(__xludf.DUMMYFUNCTION("""COMPUTED_VALUE"""),33.596403)</f>
        <v>33.596403000000002</v>
      </c>
      <c r="AV646" s="8">
        <f ca="1">IFERROR(__xludf.DUMMYFUNCTION("""COMPUTED_VALUE"""),-112.120152)</f>
        <v>-112.120152</v>
      </c>
      <c r="AW646" s="8"/>
      <c r="AX646" s="8">
        <f ca="1">IFERROR(__xludf.DUMMYFUNCTION("""COMPUTED_VALUE"""),85029)</f>
        <v>85029</v>
      </c>
    </row>
    <row r="647" spans="1:50" ht="45" x14ac:dyDescent="0.2">
      <c r="A647" s="8" t="str">
        <f ca="1">IFERROR(__xludf.DUMMYFUNCTION("""COMPUTED_VALUE"""),"20230823MDTOT")</f>
        <v>20230823MDTOT</v>
      </c>
      <c r="B647" s="8">
        <f ca="1">IFERROR(__xludf.DUMMYFUNCTION("""COMPUTED_VALUE"""),8)</f>
        <v>8</v>
      </c>
      <c r="C647" s="8">
        <f ca="1">IFERROR(__xludf.DUMMYFUNCTION("""COMPUTED_VALUE"""),23)</f>
        <v>23</v>
      </c>
      <c r="D647" s="8">
        <f ca="1">IFERROR(__xludf.DUMMYFUNCTION("""COMPUTED_VALUE"""),2023)</f>
        <v>2023</v>
      </c>
      <c r="E647" s="9">
        <f ca="1">IFERROR(__xludf.DUMMYFUNCTION("""COMPUTED_VALUE"""),45161)</f>
        <v>45161</v>
      </c>
      <c r="F647" s="8" t="str">
        <f ca="1">IFERROR(__xludf.DUMMYFUNCTION("""COMPUTED_VALUE"""),"Towson High School")</f>
        <v>Towson High School</v>
      </c>
      <c r="G647" s="8">
        <f ca="1">IFERROR(__xludf.DUMMYFUNCTION("""COMPUTED_VALUE"""),0)</f>
        <v>0</v>
      </c>
      <c r="H647" s="8">
        <f ca="1">IFERROR(__xludf.DUMMYFUNCTION("""COMPUTED_VALUE"""),1)</f>
        <v>1</v>
      </c>
      <c r="I647" s="8">
        <f ca="1">IFERROR(__xludf.DUMMYFUNCTION("""COMPUTED_VALUE"""),1)</f>
        <v>1</v>
      </c>
      <c r="J647" s="8">
        <f ca="1">IFERROR(__xludf.DUMMYFUNCTION("""COMPUTED_VALUE"""),0)</f>
        <v>0</v>
      </c>
      <c r="K647" s="8" t="str">
        <f ca="1">IFERROR(__xludf.DUMMYFUNCTION("""COMPUTED_VALUE"""),"https://www.baltimoresun.com/maryland/baltimore-county/bs-md-co-towson-high-shooting-investigation-20230824-iebfzmyg7vfhlfzcxgn5toftj4-story.html
https://www.wbaltv.com/article/shooting-outside-towson-high-school-baltimore-county-police/44894784#
https://"&amp;"www.cbsnews.com/baltimore/news/minor-injured-after-reported-shooting-at-towson-high-school-police-say/")</f>
        <v>https://www.baltimoresun.com/maryland/baltimore-county/bs-md-co-towson-high-shooting-investigation-20230824-iebfzmyg7vfhlfzcxgn5toftj4-story.html
https://www.wbaltv.com/article/shooting-outside-towson-high-school-baltimore-county-police/44894784#
https://www.cbsnews.com/baltimore/news/minor-injured-after-reported-shooting-at-towson-high-school-police-say/</v>
      </c>
      <c r="L647" s="8">
        <f ca="1">IFERROR(__xludf.DUMMYFUNCTION("""COMPUTED_VALUE"""),10)</f>
        <v>10</v>
      </c>
      <c r="M647" s="8" t="str">
        <f ca="1">IFERROR(__xludf.DUMMYFUNCTION("""COMPUTED_VALUE"""),"Regional")</f>
        <v>Regional</v>
      </c>
      <c r="N647" s="8">
        <f ca="1">IFERROR(__xludf.DUMMYFUNCTION("""COMPUTED_VALUE"""),4)</f>
        <v>4</v>
      </c>
      <c r="O647" s="8" t="str">
        <f ca="1">IFERROR(__xludf.DUMMYFUNCTION("""COMPUTED_VALUE"""),"Summer")</f>
        <v>Summer</v>
      </c>
      <c r="P647" s="8" t="str">
        <f ca="1">IFERROR(__xludf.DUMMYFUNCTION("""COMPUTED_VALUE"""),"Towson")</f>
        <v>Towson</v>
      </c>
      <c r="Q647" s="8" t="str">
        <f ca="1">IFERROR(__xludf.DUMMYFUNCTION("""COMPUTED_VALUE"""),"MD")</f>
        <v>MD</v>
      </c>
      <c r="R647" s="8" t="str">
        <f ca="1">IFERROR(__xludf.DUMMYFUNCTION("""COMPUTED_VALUE"""),"High")</f>
        <v>High</v>
      </c>
      <c r="S647" s="8" t="str">
        <f ca="1">IFERROR(__xludf.DUMMYFUNCTION("""COMPUTED_VALUE"""),"Parking Lot")</f>
        <v>Parking Lot</v>
      </c>
      <c r="T647" s="8" t="str">
        <f ca="1">IFERROR(__xludf.DUMMYFUNCTION("""COMPUTED_VALUE"""),"Outside on School Property")</f>
        <v>Outside on School Property</v>
      </c>
      <c r="U647" s="8" t="str">
        <f ca="1">IFERROR(__xludf.DUMMYFUNCTION("""COMPUTED_VALUE"""),"No")</f>
        <v>No</v>
      </c>
      <c r="V647" s="8" t="str">
        <f ca="1">IFERROR(__xludf.DUMMYFUNCTION("""COMPUTED_VALUE"""),"Night")</f>
        <v>Night</v>
      </c>
      <c r="W647" s="11">
        <f ca="1">IFERROR(__xludf.DUMMYFUNCTION("""COMPUTED_VALUE"""),0.895833333333333)</f>
        <v>0.89583333333333304</v>
      </c>
      <c r="X647" s="8">
        <f ca="1">IFERROR(__xludf.DUMMYFUNCTION("""COMPUTED_VALUE"""),1)</f>
        <v>1</v>
      </c>
      <c r="Y647" s="12" t="str">
        <f ca="1">IFERROR(__xludf.DUMMYFUNCTION("""COMPUTED_VALUE"""),"Teen shot near the school's pickleball courts")</f>
        <v>Teen shot near the school's pickleball courts</v>
      </c>
      <c r="Z647" s="12" t="str">
        <f ca="1">IFERROR(__xludf.DUMMYFUNCTION("""COMPUTED_VALUE"""),"Teen was shot near pickleball courts. Shooter fled in a vehicle and teenage victim walked to a hospital. Students playing on the courts heard multiple gunshots.")</f>
        <v>Teen was shot near pickleball courts. Shooter fled in a vehicle and teenage victim walked to a hospital. Students playing on the courts heard multiple gunshots.</v>
      </c>
      <c r="AA647" s="8" t="str">
        <f ca="1">IFERROR(__xludf.DUMMYFUNCTION("""COMPUTED_VALUE"""),"Accidental")</f>
        <v>Accidental</v>
      </c>
      <c r="AB647" s="8"/>
      <c r="AC647" s="8" t="str">
        <f ca="1">IFERROR(__xludf.DUMMYFUNCTION("""COMPUTED_VALUE"""),"Yes")</f>
        <v>Yes</v>
      </c>
      <c r="AD647" s="8" t="str">
        <f ca="1">IFERROR(__xludf.DUMMYFUNCTION("""COMPUTED_VALUE"""),"Victims Targeted")</f>
        <v>Victims Targeted</v>
      </c>
      <c r="AE647" s="8" t="str">
        <f ca="1">IFERROR(__xludf.DUMMYFUNCTION("""COMPUTED_VALUE"""),"No")</f>
        <v>No</v>
      </c>
      <c r="AF647" s="8"/>
      <c r="AG647" s="8" t="str">
        <f ca="1">IFERROR(__xludf.DUMMYFUNCTION("""COMPUTED_VALUE"""),"No")</f>
        <v>No</v>
      </c>
      <c r="AH647" s="8" t="str">
        <f ca="1">IFERROR(__xludf.DUMMYFUNCTION("""COMPUTED_VALUE"""),"No")</f>
        <v>No</v>
      </c>
      <c r="AI647" s="8" t="str">
        <f ca="1">IFERROR(__xludf.DUMMYFUNCTION("""COMPUTED_VALUE"""),"No")</f>
        <v>No</v>
      </c>
      <c r="AJ647" s="8" t="str">
        <f ca="1">IFERROR(__xludf.DUMMYFUNCTION("""COMPUTED_VALUE"""),"No")</f>
        <v>No</v>
      </c>
      <c r="AK647" s="8" t="str">
        <f ca="1">IFERROR(__xludf.DUMMYFUNCTION("""COMPUTED_VALUE"""),"No")</f>
        <v>No</v>
      </c>
      <c r="AL647" s="8" t="str">
        <f ca="1">IFERROR(__xludf.DUMMYFUNCTION("""COMPUTED_VALUE"""),"No")</f>
        <v>No</v>
      </c>
      <c r="AM647" s="8" t="str">
        <f ca="1">IFERROR(__xludf.DUMMYFUNCTION("""COMPUTED_VALUE"""),"No")</f>
        <v>No</v>
      </c>
      <c r="AN647" s="8" t="str">
        <f ca="1">IFERROR(__xludf.DUMMYFUNCTION("""COMPUTED_VALUE"""),"Outside")</f>
        <v>Outside</v>
      </c>
      <c r="AO647" s="8" t="str">
        <f ca="1">IFERROR(__xludf.DUMMYFUNCTION("""COMPUTED_VALUE"""),"No")</f>
        <v>No</v>
      </c>
      <c r="AP647" s="8"/>
      <c r="AQ647" s="8"/>
      <c r="AR647" s="8" t="str">
        <f ca="1">IFERROR(__xludf.DUMMYFUNCTION("""COMPUTED_VALUE"""),"Outside/Off-Property")</f>
        <v>Outside/Off-Property</v>
      </c>
      <c r="AS647" s="8">
        <f ca="1">IFERROR(__xludf.DUMMYFUNCTION("""COMPUTED_VALUE"""),99)</f>
        <v>99</v>
      </c>
      <c r="AT647" s="8" t="str">
        <f ca="1">IFERROR(__xludf.DUMMYFUNCTION("""COMPUTED_VALUE"""),"No")</f>
        <v>No</v>
      </c>
      <c r="AU647" s="8">
        <f ca="1">IFERROR(__xludf.DUMMYFUNCTION("""COMPUTED_VALUE"""),39.390209)</f>
        <v>39.390208999999999</v>
      </c>
      <c r="AV647" s="8">
        <f ca="1">IFERROR(__xludf.DUMMYFUNCTION("""COMPUTED_VALUE"""),-76.601075)</f>
        <v>-76.601074999999994</v>
      </c>
      <c r="AW647" s="8"/>
      <c r="AX647" s="8">
        <f ca="1">IFERROR(__xludf.DUMMYFUNCTION("""COMPUTED_VALUE"""),21286)</f>
        <v>21286</v>
      </c>
    </row>
    <row r="648" spans="1:50" ht="90" x14ac:dyDescent="0.2">
      <c r="A648" s="8" t="str">
        <f ca="1">IFERROR(__xludf.DUMMYFUNCTION("""COMPUTED_VALUE"""),"20230822OKSTS")</f>
        <v>20230822OKSTS</v>
      </c>
      <c r="B648" s="8">
        <f ca="1">IFERROR(__xludf.DUMMYFUNCTION("""COMPUTED_VALUE"""),8)</f>
        <v>8</v>
      </c>
      <c r="C648" s="8">
        <f ca="1">IFERROR(__xludf.DUMMYFUNCTION("""COMPUTED_VALUE"""),22)</f>
        <v>22</v>
      </c>
      <c r="D648" s="8">
        <f ca="1">IFERROR(__xludf.DUMMYFUNCTION("""COMPUTED_VALUE"""),2023)</f>
        <v>2023</v>
      </c>
      <c r="E648" s="9">
        <f ca="1">IFERROR(__xludf.DUMMYFUNCTION("""COMPUTED_VALUE"""),45160)</f>
        <v>45160</v>
      </c>
      <c r="F648" s="8" t="str">
        <f ca="1">IFERROR(__xludf.DUMMYFUNCTION("""COMPUTED_VALUE"""),"Stillwater High School")</f>
        <v>Stillwater High School</v>
      </c>
      <c r="G648" s="8">
        <f ca="1">IFERROR(__xludf.DUMMYFUNCTION("""COMPUTED_VALUE"""),0)</f>
        <v>0</v>
      </c>
      <c r="H648" s="8">
        <f ca="1">IFERROR(__xludf.DUMMYFUNCTION("""COMPUTED_VALUE"""),0)</f>
        <v>0</v>
      </c>
      <c r="I648" s="8">
        <f ca="1">IFERROR(__xludf.DUMMYFUNCTION("""COMPUTED_VALUE"""),0)</f>
        <v>0</v>
      </c>
      <c r="J648" s="8">
        <f ca="1">IFERROR(__xludf.DUMMYFUNCTION("""COMPUTED_VALUE"""),0)</f>
        <v>0</v>
      </c>
      <c r="K648" s="10" t="str">
        <f ca="1">IFERROR(__xludf.DUMMYFUNCTION("""COMPUTED_VALUE"""),"https://www.news9.com/story/64e5331547a1cb79b5e0625e/stillwater-high-school-students-accused-of-firing-gun-near-campus")</f>
        <v>https://www.news9.com/story/64e5331547a1cb79b5e0625e/stillwater-high-school-students-accused-of-firing-gun-near-campus</v>
      </c>
      <c r="L648" s="8">
        <f ca="1">IFERROR(__xludf.DUMMYFUNCTION("""COMPUTED_VALUE"""),1)</f>
        <v>1</v>
      </c>
      <c r="M648" s="8" t="str">
        <f ca="1">IFERROR(__xludf.DUMMYFUNCTION("""COMPUTED_VALUE"""),"Local")</f>
        <v>Local</v>
      </c>
      <c r="N648" s="8">
        <f ca="1">IFERROR(__xludf.DUMMYFUNCTION("""COMPUTED_VALUE"""),4)</f>
        <v>4</v>
      </c>
      <c r="O648" s="8" t="str">
        <f ca="1">IFERROR(__xludf.DUMMYFUNCTION("""COMPUTED_VALUE"""),"Summer")</f>
        <v>Summer</v>
      </c>
      <c r="P648" s="8" t="str">
        <f ca="1">IFERROR(__xludf.DUMMYFUNCTION("""COMPUTED_VALUE"""),"Stillwater")</f>
        <v>Stillwater</v>
      </c>
      <c r="Q648" s="8" t="str">
        <f ca="1">IFERROR(__xludf.DUMMYFUNCTION("""COMPUTED_VALUE"""),"OK")</f>
        <v>OK</v>
      </c>
      <c r="R648" s="8" t="str">
        <f ca="1">IFERROR(__xludf.DUMMYFUNCTION("""COMPUTED_VALUE"""),"High")</f>
        <v>High</v>
      </c>
      <c r="S648" s="8" t="str">
        <f ca="1">IFERROR(__xludf.DUMMYFUNCTION("""COMPUTED_VALUE"""),"Football Field/Track")</f>
        <v>Football Field/Track</v>
      </c>
      <c r="T648" s="8" t="str">
        <f ca="1">IFERROR(__xludf.DUMMYFUNCTION("""COMPUTED_VALUE"""),"Outside on School Property")</f>
        <v>Outside on School Property</v>
      </c>
      <c r="U648" s="8" t="str">
        <f ca="1">IFERROR(__xludf.DUMMYFUNCTION("""COMPUTED_VALUE"""),"No")</f>
        <v>No</v>
      </c>
      <c r="V648" s="8" t="str">
        <f ca="1">IFERROR(__xludf.DUMMYFUNCTION("""COMPUTED_VALUE"""),"Evening")</f>
        <v>Evening</v>
      </c>
      <c r="W648" s="11">
        <f ca="1">IFERROR(__xludf.DUMMYFUNCTION("""COMPUTED_VALUE"""),0.833333333333333)</f>
        <v>0.83333333333333304</v>
      </c>
      <c r="X648" s="8">
        <f ca="1">IFERROR(__xludf.DUMMYFUNCTION("""COMPUTED_VALUE"""),1)</f>
        <v>1</v>
      </c>
      <c r="Y648" s="12" t="str">
        <f ca="1">IFERROR(__xludf.DUMMYFUNCTION("""COMPUTED_VALUE"""),"Student fired shot at tree while showing off handgun")</f>
        <v>Student fired shot at tree while showing off handgun</v>
      </c>
      <c r="Z648" s="12" t="str">
        <f ca="1">IFERROR(__xludf.DUMMYFUNCTION("""COMPUTED_VALUE"""),"A Stillwater High School student fired a gun at a tree near the football stadium. A witness told staff that a student was showing off a black handgun at the football stadium, police said. The student removed the magazine from the gun, showing the ammuniti"&amp;"on. A round that was lodged in the gun fell into the stands, according to police.")</f>
        <v>A Stillwater High School student fired a gun at a tree near the football stadium. A witness told staff that a student was showing off a black handgun at the football stadium, police said. The student removed the magazine from the gun, showing the ammunition. A round that was lodged in the gun fell into the stands, according to police.</v>
      </c>
      <c r="AA648" s="8" t="str">
        <f ca="1">IFERROR(__xludf.DUMMYFUNCTION("""COMPUTED_VALUE"""),"Intentional Property Damage")</f>
        <v>Intentional Property Damage</v>
      </c>
      <c r="AB648" s="8"/>
      <c r="AC648" s="8" t="str">
        <f ca="1">IFERROR(__xludf.DUMMYFUNCTION("""COMPUTED_VALUE"""),"Yes")</f>
        <v>Yes</v>
      </c>
      <c r="AD648" s="8" t="str">
        <f ca="1">IFERROR(__xludf.DUMMYFUNCTION("""COMPUTED_VALUE"""),"Neither")</f>
        <v>Neither</v>
      </c>
      <c r="AE648" s="8" t="str">
        <f ca="1">IFERROR(__xludf.DUMMYFUNCTION("""COMPUTED_VALUE"""),"Yes")</f>
        <v>Yes</v>
      </c>
      <c r="AF648" s="8" t="str">
        <f ca="1">IFERROR(__xludf.DUMMYFUNCTION("""COMPUTED_VALUE"""),"2 teens arrested")</f>
        <v>2 teens arrested</v>
      </c>
      <c r="AG648" s="8" t="str">
        <f ca="1">IFERROR(__xludf.DUMMYFUNCTION("""COMPUTED_VALUE"""),"No")</f>
        <v>No</v>
      </c>
      <c r="AH648" s="8" t="str">
        <f ca="1">IFERROR(__xludf.DUMMYFUNCTION("""COMPUTED_VALUE"""),"No")</f>
        <v>No</v>
      </c>
      <c r="AI648" s="8" t="str">
        <f ca="1">IFERROR(__xludf.DUMMYFUNCTION("""COMPUTED_VALUE"""),"No")</f>
        <v>No</v>
      </c>
      <c r="AJ648" s="8" t="str">
        <f ca="1">IFERROR(__xludf.DUMMYFUNCTION("""COMPUTED_VALUE"""),"No")</f>
        <v>No</v>
      </c>
      <c r="AK648" s="8" t="str">
        <f ca="1">IFERROR(__xludf.DUMMYFUNCTION("""COMPUTED_VALUE"""),"No")</f>
        <v>No</v>
      </c>
      <c r="AL648" s="8" t="str">
        <f ca="1">IFERROR(__xludf.DUMMYFUNCTION("""COMPUTED_VALUE"""),"No")</f>
        <v>No</v>
      </c>
      <c r="AM648" s="8" t="str">
        <f ca="1">IFERROR(__xludf.DUMMYFUNCTION("""COMPUTED_VALUE"""),"No")</f>
        <v>No</v>
      </c>
      <c r="AN648" s="8" t="str">
        <f ca="1">IFERROR(__xludf.DUMMYFUNCTION("""COMPUTED_VALUE"""),"Outside")</f>
        <v>Outside</v>
      </c>
      <c r="AO648" s="8" t="str">
        <f ca="1">IFERROR(__xludf.DUMMYFUNCTION("""COMPUTED_VALUE"""),"No")</f>
        <v>No</v>
      </c>
      <c r="AP648" s="8"/>
      <c r="AQ648" s="8"/>
      <c r="AR648" s="8" t="str">
        <f ca="1">IFERROR(__xludf.DUMMYFUNCTION("""COMPUTED_VALUE"""),"Outside/Off-Property")</f>
        <v>Outside/Off-Property</v>
      </c>
      <c r="AS648" s="8">
        <f ca="1">IFERROR(__xludf.DUMMYFUNCTION("""COMPUTED_VALUE"""),1)</f>
        <v>1</v>
      </c>
      <c r="AT648" s="8" t="str">
        <f ca="1">IFERROR(__xludf.DUMMYFUNCTION("""COMPUTED_VALUE"""),"No")</f>
        <v>No</v>
      </c>
      <c r="AU648" s="8">
        <f ca="1">IFERROR(__xludf.DUMMYFUNCTION("""COMPUTED_VALUE"""),36.136735)</f>
        <v>36.136735000000002</v>
      </c>
      <c r="AV648" s="8">
        <f ca="1">IFERROR(__xludf.DUMMYFUNCTION("""COMPUTED_VALUE"""),-97.06334)</f>
        <v>-97.063339999999997</v>
      </c>
      <c r="AW648" s="8"/>
      <c r="AX648" s="8">
        <f ca="1">IFERROR(__xludf.DUMMYFUNCTION("""COMPUTED_VALUE"""),74075)</f>
        <v>74075</v>
      </c>
    </row>
    <row r="649" spans="1:50" ht="45" x14ac:dyDescent="0.2">
      <c r="A649" s="8" t="str">
        <f ca="1">IFERROR(__xludf.DUMMYFUNCTION("""COMPUTED_VALUE"""),"20230822TNSTC")</f>
        <v>20230822TNSTC</v>
      </c>
      <c r="B649" s="8">
        <f ca="1">IFERROR(__xludf.DUMMYFUNCTION("""COMPUTED_VALUE"""),8)</f>
        <v>8</v>
      </c>
      <c r="C649" s="8">
        <f ca="1">IFERROR(__xludf.DUMMYFUNCTION("""COMPUTED_VALUE"""),22)</f>
        <v>22</v>
      </c>
      <c r="D649" s="8">
        <f ca="1">IFERROR(__xludf.DUMMYFUNCTION("""COMPUTED_VALUE"""),2023)</f>
        <v>2023</v>
      </c>
      <c r="E649" s="9">
        <f ca="1">IFERROR(__xludf.DUMMYFUNCTION("""COMPUTED_VALUE"""),45160)</f>
        <v>45160</v>
      </c>
      <c r="F649" s="8" t="str">
        <f ca="1">IFERROR(__xludf.DUMMYFUNCTION("""COMPUTED_VALUE"""),"Stone Elementary School")</f>
        <v>Stone Elementary School</v>
      </c>
      <c r="G649" s="8">
        <f ca="1">IFERROR(__xludf.DUMMYFUNCTION("""COMPUTED_VALUE"""),0)</f>
        <v>0</v>
      </c>
      <c r="H649" s="8">
        <f ca="1">IFERROR(__xludf.DUMMYFUNCTION("""COMPUTED_VALUE"""),0)</f>
        <v>0</v>
      </c>
      <c r="I649" s="8">
        <f ca="1">IFERROR(__xludf.DUMMYFUNCTION("""COMPUTED_VALUE"""),0)</f>
        <v>0</v>
      </c>
      <c r="J649" s="8">
        <f ca="1">IFERROR(__xludf.DUMMYFUNCTION("""COMPUTED_VALUE"""),0)</f>
        <v>0</v>
      </c>
      <c r="K649" s="10" t="str">
        <f ca="1">IFERROR(__xludf.DUMMYFUNCTION("""COMPUTED_VALUE"""),"https://www.wsmv.com/video/2023/08/23/schools-go-lockdown-after-road-rage-shooting/
https://www.wbir.com/article/news/crime/crossville-police-department-2-arrested-after-road-rage-shooting-in-school-parking-lot/51-b42a3f6c-39e6-4641-a03c-94d364edc2c7")</f>
        <v>https://www.wsmv.com/video/2023/08/23/schools-go-lockdown-after-road-rage-shooting/
https://www.wbir.com/article/news/crime/crossville-police-department-2-arrested-after-road-rage-shooting-in-school-parking-lot/51-b42a3f6c-39e6-4641-a03c-94d364edc2c7</v>
      </c>
      <c r="L649" s="8">
        <f ca="1">IFERROR(__xludf.DUMMYFUNCTION("""COMPUTED_VALUE"""),2)</f>
        <v>2</v>
      </c>
      <c r="M649" s="8" t="str">
        <f ca="1">IFERROR(__xludf.DUMMYFUNCTION("""COMPUTED_VALUE"""),"Local")</f>
        <v>Local</v>
      </c>
      <c r="N649" s="8">
        <f ca="1">IFERROR(__xludf.DUMMYFUNCTION("""COMPUTED_VALUE"""),4)</f>
        <v>4</v>
      </c>
      <c r="O649" s="8" t="str">
        <f ca="1">IFERROR(__xludf.DUMMYFUNCTION("""COMPUTED_VALUE"""),"Summer")</f>
        <v>Summer</v>
      </c>
      <c r="P649" s="8" t="str">
        <f ca="1">IFERROR(__xludf.DUMMYFUNCTION("""COMPUTED_VALUE"""),"Crossville")</f>
        <v>Crossville</v>
      </c>
      <c r="Q649" s="8" t="str">
        <f ca="1">IFERROR(__xludf.DUMMYFUNCTION("""COMPUTED_VALUE"""),"TN")</f>
        <v>TN</v>
      </c>
      <c r="R649" s="8" t="str">
        <f ca="1">IFERROR(__xludf.DUMMYFUNCTION("""COMPUTED_VALUE"""),"Elementary")</f>
        <v>Elementary</v>
      </c>
      <c r="S649" s="8" t="str">
        <f ca="1">IFERROR(__xludf.DUMMYFUNCTION("""COMPUTED_VALUE"""),"Parking Lot")</f>
        <v>Parking Lot</v>
      </c>
      <c r="T649" s="8" t="str">
        <f ca="1">IFERROR(__xludf.DUMMYFUNCTION("""COMPUTED_VALUE"""),"Outside on School Property")</f>
        <v>Outside on School Property</v>
      </c>
      <c r="U649" s="8" t="str">
        <f ca="1">IFERROR(__xludf.DUMMYFUNCTION("""COMPUTED_VALUE"""),"Yes")</f>
        <v>Yes</v>
      </c>
      <c r="V649" s="8" t="str">
        <f ca="1">IFERROR(__xludf.DUMMYFUNCTION("""COMPUTED_VALUE"""),"Morning Classes")</f>
        <v>Morning Classes</v>
      </c>
      <c r="W649" s="8"/>
      <c r="X649" s="8">
        <f ca="1">IFERROR(__xludf.DUMMYFUNCTION("""COMPUTED_VALUE"""),1)</f>
        <v>1</v>
      </c>
      <c r="Y649" s="12" t="str">
        <f ca="1">IFERROR(__xludf.DUMMYFUNCTION("""COMPUTED_VALUE"""),"Shot fired in parking lot during road rage dispute")</f>
        <v>Shot fired in parking lot during road rage dispute</v>
      </c>
      <c r="Z649" s="12" t="str">
        <f ca="1">IFERROR(__xludf.DUMMYFUNCTION("""COMPUTED_VALUE"""),"School went on lockdown for shot fired in the parking lot during a road rage dispute between adults. SRO arrested two adults. No injuries.")</f>
        <v>School went on lockdown for shot fired in the parking lot during a road rage dispute between adults. SRO arrested two adults. No injuries.</v>
      </c>
      <c r="AA649" s="8" t="str">
        <f ca="1">IFERROR(__xludf.DUMMYFUNCTION("""COMPUTED_VALUE"""),"Escalation of Dispute")</f>
        <v>Escalation of Dispute</v>
      </c>
      <c r="AB649" s="8"/>
      <c r="AC649" s="8" t="str">
        <f ca="1">IFERROR(__xludf.DUMMYFUNCTION("""COMPUTED_VALUE"""),"Yes")</f>
        <v>Yes</v>
      </c>
      <c r="AD649" s="8" t="str">
        <f ca="1">IFERROR(__xludf.DUMMYFUNCTION("""COMPUTED_VALUE"""),"Victims Targeted")</f>
        <v>Victims Targeted</v>
      </c>
      <c r="AE649" s="8" t="str">
        <f ca="1">IFERROR(__xludf.DUMMYFUNCTION("""COMPUTED_VALUE"""),"No")</f>
        <v>No</v>
      </c>
      <c r="AF649" s="8"/>
      <c r="AG649" s="8" t="str">
        <f ca="1">IFERROR(__xludf.DUMMYFUNCTION("""COMPUTED_VALUE"""),"No")</f>
        <v>No</v>
      </c>
      <c r="AH649" s="8" t="str">
        <f ca="1">IFERROR(__xludf.DUMMYFUNCTION("""COMPUTED_VALUE"""),"No")</f>
        <v>No</v>
      </c>
      <c r="AI649" s="8" t="str">
        <f ca="1">IFERROR(__xludf.DUMMYFUNCTION("""COMPUTED_VALUE"""),"No")</f>
        <v>No</v>
      </c>
      <c r="AJ649" s="8" t="str">
        <f ca="1">IFERROR(__xludf.DUMMYFUNCTION("""COMPUTED_VALUE"""),"No")</f>
        <v>No</v>
      </c>
      <c r="AK649" s="8" t="str">
        <f ca="1">IFERROR(__xludf.DUMMYFUNCTION("""COMPUTED_VALUE"""),"No")</f>
        <v>No</v>
      </c>
      <c r="AL649" s="8" t="str">
        <f ca="1">IFERROR(__xludf.DUMMYFUNCTION("""COMPUTED_VALUE"""),"No")</f>
        <v>No</v>
      </c>
      <c r="AM649" s="8" t="str">
        <f ca="1">IFERROR(__xludf.DUMMYFUNCTION("""COMPUTED_VALUE"""),"No")</f>
        <v>No</v>
      </c>
      <c r="AN649" s="8" t="str">
        <f ca="1">IFERROR(__xludf.DUMMYFUNCTION("""COMPUTED_VALUE"""),"Outside")</f>
        <v>Outside</v>
      </c>
      <c r="AO649" s="8" t="str">
        <f ca="1">IFERROR(__xludf.DUMMYFUNCTION("""COMPUTED_VALUE"""),"No")</f>
        <v>No</v>
      </c>
      <c r="AP649" s="8" t="str">
        <f ca="1">IFERROR(__xludf.DUMMYFUNCTION("""COMPUTED_VALUE"""),"Yes")</f>
        <v>Yes</v>
      </c>
      <c r="AQ649" s="8" t="str">
        <f ca="1">IFERROR(__xludf.DUMMYFUNCTION("""COMPUTED_VALUE"""),"Armed Guards")</f>
        <v>Armed Guards</v>
      </c>
      <c r="AR649" s="8" t="str">
        <f ca="1">IFERROR(__xludf.DUMMYFUNCTION("""COMPUTED_VALUE"""),"Outside/Off-Property")</f>
        <v>Outside/Off-Property</v>
      </c>
      <c r="AS649" s="8">
        <f ca="1">IFERROR(__xludf.DUMMYFUNCTION("""COMPUTED_VALUE"""),1)</f>
        <v>1</v>
      </c>
      <c r="AT649" s="8" t="str">
        <f ca="1">IFERROR(__xludf.DUMMYFUNCTION("""COMPUTED_VALUE"""),"Yes")</f>
        <v>Yes</v>
      </c>
      <c r="AU649" s="8">
        <f ca="1">IFERROR(__xludf.DUMMYFUNCTION("""COMPUTED_VALUE"""),35.966767)</f>
        <v>35.966766999999997</v>
      </c>
      <c r="AV649" s="8">
        <f ca="1">IFERROR(__xludf.DUMMYFUNCTION("""COMPUTED_VALUE"""),-85.006864)</f>
        <v>-85.006863999999993</v>
      </c>
      <c r="AW649" s="8"/>
      <c r="AX649" s="8">
        <f ca="1">IFERROR(__xludf.DUMMYFUNCTION("""COMPUTED_VALUE"""),38555)</f>
        <v>38555</v>
      </c>
    </row>
    <row r="650" spans="1:50" ht="180" x14ac:dyDescent="0.2">
      <c r="A650" s="8" t="str">
        <f ca="1">IFERROR(__xludf.DUMMYFUNCTION("""COMPUTED_VALUE"""),"20230822TXJES")</f>
        <v>20230822TXJES</v>
      </c>
      <c r="B650" s="8">
        <f ca="1">IFERROR(__xludf.DUMMYFUNCTION("""COMPUTED_VALUE"""),8)</f>
        <v>8</v>
      </c>
      <c r="C650" s="8">
        <f ca="1">IFERROR(__xludf.DUMMYFUNCTION("""COMPUTED_VALUE"""),22)</f>
        <v>22</v>
      </c>
      <c r="D650" s="8">
        <f ca="1">IFERROR(__xludf.DUMMYFUNCTION("""COMPUTED_VALUE"""),2023)</f>
        <v>2023</v>
      </c>
      <c r="E650" s="9">
        <f ca="1">IFERROR(__xludf.DUMMYFUNCTION("""COMPUTED_VALUE"""),45160)</f>
        <v>45160</v>
      </c>
      <c r="F650" s="8" t="str">
        <f ca="1">IFERROR(__xludf.DUMMYFUNCTION("""COMPUTED_VALUE"""),"Jefferson Elementary School")</f>
        <v>Jefferson Elementary School</v>
      </c>
      <c r="G650" s="8">
        <f ca="1">IFERROR(__xludf.DUMMYFUNCTION("""COMPUTED_VALUE"""),0)</f>
        <v>0</v>
      </c>
      <c r="H650" s="8">
        <f ca="1">IFERROR(__xludf.DUMMYFUNCTION("""COMPUTED_VALUE"""),0)</f>
        <v>0</v>
      </c>
      <c r="I650" s="8">
        <f ca="1">IFERROR(__xludf.DUMMYFUNCTION("""COMPUTED_VALUE"""),0)</f>
        <v>0</v>
      </c>
      <c r="J650" s="8">
        <f ca="1">IFERROR(__xludf.DUMMYFUNCTION("""COMPUTED_VALUE"""),0)</f>
        <v>0</v>
      </c>
      <c r="K650" s="10" t="str">
        <f ca="1">IFERROR(__xludf.DUMMYFUNCTION("""COMPUTED_VALUE"""),"https://www.ksat.com/news/local/2023/08/22/seguin-isd-elementary-student-discharges-loaded-gun-on-school-bus-nobody-injured/")</f>
        <v>https://www.ksat.com/news/local/2023/08/22/seguin-isd-elementary-student-discharges-loaded-gun-on-school-bus-nobody-injured/</v>
      </c>
      <c r="L650" s="8">
        <f ca="1">IFERROR(__xludf.DUMMYFUNCTION("""COMPUTED_VALUE"""),10)</f>
        <v>10</v>
      </c>
      <c r="M650" s="8" t="str">
        <f ca="1">IFERROR(__xludf.DUMMYFUNCTION("""COMPUTED_VALUE"""),"Regional")</f>
        <v>Regional</v>
      </c>
      <c r="N650" s="8">
        <f ca="1">IFERROR(__xludf.DUMMYFUNCTION("""COMPUTED_VALUE"""),4)</f>
        <v>4</v>
      </c>
      <c r="O650" s="8" t="str">
        <f ca="1">IFERROR(__xludf.DUMMYFUNCTION("""COMPUTED_VALUE"""),"Summer")</f>
        <v>Summer</v>
      </c>
      <c r="P650" s="8" t="str">
        <f ca="1">IFERROR(__xludf.DUMMYFUNCTION("""COMPUTED_VALUE"""),"Seguin")</f>
        <v>Seguin</v>
      </c>
      <c r="Q650" s="8" t="str">
        <f ca="1">IFERROR(__xludf.DUMMYFUNCTION("""COMPUTED_VALUE"""),"TX")</f>
        <v>TX</v>
      </c>
      <c r="R650" s="8" t="str">
        <f ca="1">IFERROR(__xludf.DUMMYFUNCTION("""COMPUTED_VALUE"""),"Elementary")</f>
        <v>Elementary</v>
      </c>
      <c r="S650" s="8" t="str">
        <f ca="1">IFERROR(__xludf.DUMMYFUNCTION("""COMPUTED_VALUE"""),"School Bus")</f>
        <v>School Bus</v>
      </c>
      <c r="T650" s="8" t="str">
        <f ca="1">IFERROR(__xludf.DUMMYFUNCTION("""COMPUTED_VALUE"""),"School Bus")</f>
        <v>School Bus</v>
      </c>
      <c r="U650" s="8" t="str">
        <f ca="1">IFERROR(__xludf.DUMMYFUNCTION("""COMPUTED_VALUE"""),"Yes")</f>
        <v>Yes</v>
      </c>
      <c r="V650" s="8" t="str">
        <f ca="1">IFERROR(__xludf.DUMMYFUNCTION("""COMPUTED_VALUE"""),"School Start")</f>
        <v>School Start</v>
      </c>
      <c r="W650" s="11">
        <f ca="1">IFERROR(__xludf.DUMMYFUNCTION("""COMPUTED_VALUE"""),0.309027777777777)</f>
        <v>0.30902777777777701</v>
      </c>
      <c r="X650" s="8">
        <f ca="1">IFERROR(__xludf.DUMMYFUNCTION("""COMPUTED_VALUE"""),1)</f>
        <v>1</v>
      </c>
      <c r="Y650" s="12" t="str">
        <f ca="1">IFERROR(__xludf.DUMMYFUNCTION("""COMPUTED_VALUE"""),"A Seguin ISD elementary school student discharged a loaded gun on a school bus Tuesday morning")</f>
        <v>A Seguin ISD elementary school student discharged a loaded gun on a school bus Tuesday morning</v>
      </c>
      <c r="Z650" s="12" t="str">
        <f ca="1">IFERROR(__xludf.DUMMYFUNCTION("""COMPUTED_VALUE"""),"A Seguin ISD elementary school student discharged a loaded gun on a school bus Tuesday morning, district officials said. Nobody was injured. The incident happened around 7:25 a.m. as the bus entered the Jefferson Elementary School parking lot. There were "&amp;"37 students on the bus from several schools, including Jefferson, Koennecke and Ball Elementary schools. The bus driver took the gun, a .25-caliber semiautomatic handgun, from the student, Seguin Police Chief Jason Brady said. Brady said one bullet went t"&amp;"hrough a seat where a child was seated. Luckily, a steel barrier underneath the upholstery of the seat prevented the bullet from traveling further.")</f>
        <v>A Seguin ISD elementary school student discharged a loaded gun on a school bus Tuesday morning, district officials said. Nobody was injured. The incident happened around 7:25 a.m. as the bus entered the Jefferson Elementary School parking lot. There were 37 students on the bus from several schools, including Jefferson, Koennecke and Ball Elementary schools. The bus driver took the gun, a .25-caliber semiautomatic handgun, from the student, Seguin Police Chief Jason Brady said. Brady said one bullet went through a seat where a child was seated. Luckily, a steel barrier underneath the upholstery of the seat prevented the bullet from traveling further.</v>
      </c>
      <c r="AA650" s="8" t="str">
        <f ca="1">IFERROR(__xludf.DUMMYFUNCTION("""COMPUTED_VALUE"""),"Accidental")</f>
        <v>Accidental</v>
      </c>
      <c r="AB650" s="8"/>
      <c r="AC650" s="8" t="str">
        <f ca="1">IFERROR(__xludf.DUMMYFUNCTION("""COMPUTED_VALUE"""),"Yes")</f>
        <v>Yes</v>
      </c>
      <c r="AD650" s="8" t="str">
        <f ca="1">IFERROR(__xludf.DUMMYFUNCTION("""COMPUTED_VALUE"""),"Neither")</f>
        <v>Neither</v>
      </c>
      <c r="AE650" s="8" t="str">
        <f ca="1">IFERROR(__xludf.DUMMYFUNCTION("""COMPUTED_VALUE"""),"No")</f>
        <v>No</v>
      </c>
      <c r="AF650" s="8"/>
      <c r="AG650" s="8" t="str">
        <f ca="1">IFERROR(__xludf.DUMMYFUNCTION("""COMPUTED_VALUE"""),"No")</f>
        <v>No</v>
      </c>
      <c r="AH650" s="8" t="str">
        <f ca="1">IFERROR(__xludf.DUMMYFUNCTION("""COMPUTED_VALUE"""),"No")</f>
        <v>No</v>
      </c>
      <c r="AI650" s="8" t="str">
        <f ca="1">IFERROR(__xludf.DUMMYFUNCTION("""COMPUTED_VALUE"""),"No")</f>
        <v>No</v>
      </c>
      <c r="AJ650" s="8" t="str">
        <f ca="1">IFERROR(__xludf.DUMMYFUNCTION("""COMPUTED_VALUE"""),"No")</f>
        <v>No</v>
      </c>
      <c r="AK650" s="8" t="str">
        <f ca="1">IFERROR(__xludf.DUMMYFUNCTION("""COMPUTED_VALUE"""),"No")</f>
        <v>No</v>
      </c>
      <c r="AL650" s="8" t="str">
        <f ca="1">IFERROR(__xludf.DUMMYFUNCTION("""COMPUTED_VALUE"""),"No")</f>
        <v>No</v>
      </c>
      <c r="AM650" s="8" t="str">
        <f ca="1">IFERROR(__xludf.DUMMYFUNCTION("""COMPUTED_VALUE"""),"No")</f>
        <v>No</v>
      </c>
      <c r="AN650" s="8" t="str">
        <f ca="1">IFERROR(__xludf.DUMMYFUNCTION("""COMPUTED_VALUE"""),"Outside")</f>
        <v>Outside</v>
      </c>
      <c r="AO650" s="8" t="str">
        <f ca="1">IFERROR(__xludf.DUMMYFUNCTION("""COMPUTED_VALUE"""),"No")</f>
        <v>No</v>
      </c>
      <c r="AP650" s="8"/>
      <c r="AQ650" s="8"/>
      <c r="AR650" s="8" t="str">
        <f ca="1">IFERROR(__xludf.DUMMYFUNCTION("""COMPUTED_VALUE"""),"Outside/Off-Property")</f>
        <v>Outside/Off-Property</v>
      </c>
      <c r="AS650" s="8">
        <f ca="1">IFERROR(__xludf.DUMMYFUNCTION("""COMPUTED_VALUE"""),1)</f>
        <v>1</v>
      </c>
      <c r="AT650" s="8" t="str">
        <f ca="1">IFERROR(__xludf.DUMMYFUNCTION("""COMPUTED_VALUE"""),"No")</f>
        <v>No</v>
      </c>
      <c r="AU650" s="8">
        <f ca="1">IFERROR(__xludf.DUMMYFUNCTION("""COMPUTED_VALUE"""),29.566851)</f>
        <v>29.566851</v>
      </c>
      <c r="AV650" s="8">
        <f ca="1">IFERROR(__xludf.DUMMYFUNCTION("""COMPUTED_VALUE"""),-97.977018)</f>
        <v>-97.977018000000001</v>
      </c>
      <c r="AW650" s="8"/>
      <c r="AX650" s="8">
        <f ca="1">IFERROR(__xludf.DUMMYFUNCTION("""COMPUTED_VALUE"""),78155)</f>
        <v>78155</v>
      </c>
    </row>
    <row r="651" spans="1:50" ht="150" x14ac:dyDescent="0.2">
      <c r="A651" s="8" t="str">
        <f ca="1">IFERROR(__xludf.DUMMYFUNCTION("""COMPUTED_VALUE"""),"20230818GANOK")</f>
        <v>20230818GANOK</v>
      </c>
      <c r="B651" s="8">
        <f ca="1">IFERROR(__xludf.DUMMYFUNCTION("""COMPUTED_VALUE"""),8)</f>
        <v>8</v>
      </c>
      <c r="C651" s="8">
        <f ca="1">IFERROR(__xludf.DUMMYFUNCTION("""COMPUTED_VALUE"""),18)</f>
        <v>18</v>
      </c>
      <c r="D651" s="8">
        <f ca="1">IFERROR(__xludf.DUMMYFUNCTION("""COMPUTED_VALUE"""),2023)</f>
        <v>2023</v>
      </c>
      <c r="E651" s="9">
        <f ca="1">IFERROR(__xludf.DUMMYFUNCTION("""COMPUTED_VALUE"""),45156)</f>
        <v>45156</v>
      </c>
      <c r="F651" s="8" t="str">
        <f ca="1">IFERROR(__xludf.DUMMYFUNCTION("""COMPUTED_VALUE"""),"North Cobb High School")</f>
        <v>North Cobb High School</v>
      </c>
      <c r="G651" s="8">
        <f ca="1">IFERROR(__xludf.DUMMYFUNCTION("""COMPUTED_VALUE"""),0)</f>
        <v>0</v>
      </c>
      <c r="H651" s="8">
        <f ca="1">IFERROR(__xludf.DUMMYFUNCTION("""COMPUTED_VALUE"""),1)</f>
        <v>1</v>
      </c>
      <c r="I651" s="8">
        <f ca="1">IFERROR(__xludf.DUMMYFUNCTION("""COMPUTED_VALUE"""),1)</f>
        <v>1</v>
      </c>
      <c r="J651" s="8">
        <f ca="1">IFERROR(__xludf.DUMMYFUNCTION("""COMPUTED_VALUE"""),0)</f>
        <v>0</v>
      </c>
      <c r="K651" s="10" t="str">
        <f ca="1">IFERROR(__xludf.DUMMYFUNCTION("""COMPUTED_VALUE"""),"https://www.wsbtv.com/news/local/cobb-county/17-year-old-cobb-county-student-shot-during-violent-altercation-after-high-school-football-game/FG6H5QBBMNBRHJMROUQWGAJD4Y/")</f>
        <v>https://www.wsbtv.com/news/local/cobb-county/17-year-old-cobb-county-student-shot-during-violent-altercation-after-high-school-football-game/FG6H5QBBMNBRHJMROUQWGAJD4Y/</v>
      </c>
      <c r="L651" s="8">
        <f ca="1">IFERROR(__xludf.DUMMYFUNCTION("""COMPUTED_VALUE"""),10)</f>
        <v>10</v>
      </c>
      <c r="M651" s="8" t="str">
        <f ca="1">IFERROR(__xludf.DUMMYFUNCTION("""COMPUTED_VALUE"""),"Regional")</f>
        <v>Regional</v>
      </c>
      <c r="N651" s="8">
        <f ca="1">IFERROR(__xludf.DUMMYFUNCTION("""COMPUTED_VALUE"""),4)</f>
        <v>4</v>
      </c>
      <c r="O651" s="8" t="str">
        <f ca="1">IFERROR(__xludf.DUMMYFUNCTION("""COMPUTED_VALUE"""),"Summer")</f>
        <v>Summer</v>
      </c>
      <c r="P651" s="8" t="str">
        <f ca="1">IFERROR(__xludf.DUMMYFUNCTION("""COMPUTED_VALUE"""),"Kennesaw")</f>
        <v>Kennesaw</v>
      </c>
      <c r="Q651" s="8" t="str">
        <f ca="1">IFERROR(__xludf.DUMMYFUNCTION("""COMPUTED_VALUE"""),"GA")</f>
        <v>GA</v>
      </c>
      <c r="R651" s="8" t="str">
        <f ca="1">IFERROR(__xludf.DUMMYFUNCTION("""COMPUTED_VALUE"""),"High")</f>
        <v>High</v>
      </c>
      <c r="S651" s="8" t="str">
        <f ca="1">IFERROR(__xludf.DUMMYFUNCTION("""COMPUTED_VALUE"""),"Parking Lot")</f>
        <v>Parking Lot</v>
      </c>
      <c r="T651" s="8" t="str">
        <f ca="1">IFERROR(__xludf.DUMMYFUNCTION("""COMPUTED_VALUE"""),"Outside on School Property")</f>
        <v>Outside on School Property</v>
      </c>
      <c r="U651" s="8" t="str">
        <f ca="1">IFERROR(__xludf.DUMMYFUNCTION("""COMPUTED_VALUE"""),"No")</f>
        <v>No</v>
      </c>
      <c r="V651" s="8" t="str">
        <f ca="1">IFERROR(__xludf.DUMMYFUNCTION("""COMPUTED_VALUE"""),"Sport Event")</f>
        <v>Sport Event</v>
      </c>
      <c r="W651" s="11">
        <f ca="1">IFERROR(__xludf.DUMMYFUNCTION("""COMPUTED_VALUE"""),0.953472222222222)</f>
        <v>0.95347222222222205</v>
      </c>
      <c r="X651" s="8">
        <f ca="1">IFERROR(__xludf.DUMMYFUNCTION("""COMPUTED_VALUE"""),1)</f>
        <v>1</v>
      </c>
      <c r="Y651" s="12" t="str">
        <f ca="1">IFERROR(__xludf.DUMMYFUNCTION("""COMPUTED_VALUE"""),"Student shot during fight after football game")</f>
        <v>Student shot during fight after football game</v>
      </c>
      <c r="Z651" s="12" t="str">
        <f ca="1">IFERROR(__xludf.DUMMYFUNCTION("""COMPUTED_VALUE"""),"Cobb County police officials received reports of a shooting around 10:53 p.m. Friday near North Cobb High School located on Old 41 Highway NW. When authorities arrived, they located 17-year-old Bruce Manns, who was shot in the leg. Manns was taken to the "&amp;"hospital with non-life-threatening injuries. According to the investigation, Manns was shot in a business plaza parking lot across the street from NCHS after a dispute with a suspect escalated to gunfire. Officials said after being shot, Manns walked acro"&amp;"ss the road to the campus, where police met them.")</f>
        <v>Cobb County police officials received reports of a shooting around 10:53 p.m. Friday near North Cobb High School located on Old 41 Highway NW. When authorities arrived, they located 17-year-old Bruce Manns, who was shot in the leg. Manns was taken to the hospital with non-life-threatening injuries. According to the investigation, Manns was shot in a business plaza parking lot across the street from NCHS after a dispute with a suspect escalated to gunfire. Officials said after being shot, Manns walked across the road to the campus, where police met them.</v>
      </c>
      <c r="AA651" s="8" t="str">
        <f ca="1">IFERROR(__xludf.DUMMYFUNCTION("""COMPUTED_VALUE"""),"Escalation of Dispute")</f>
        <v>Escalation of Dispute</v>
      </c>
      <c r="AB651" s="8"/>
      <c r="AC651" s="8" t="str">
        <f ca="1">IFERROR(__xludf.DUMMYFUNCTION("""COMPUTED_VALUE"""),"Yes")</f>
        <v>Yes</v>
      </c>
      <c r="AD651" s="8" t="str">
        <f ca="1">IFERROR(__xludf.DUMMYFUNCTION("""COMPUTED_VALUE"""),"Victims Targeted")</f>
        <v>Victims Targeted</v>
      </c>
      <c r="AE651" s="8" t="str">
        <f ca="1">IFERROR(__xludf.DUMMYFUNCTION("""COMPUTED_VALUE"""),"No")</f>
        <v>No</v>
      </c>
      <c r="AF651" s="8"/>
      <c r="AG651" s="8" t="str">
        <f ca="1">IFERROR(__xludf.DUMMYFUNCTION("""COMPUTED_VALUE"""),"No")</f>
        <v>No</v>
      </c>
      <c r="AH651" s="8" t="str">
        <f ca="1">IFERROR(__xludf.DUMMYFUNCTION("""COMPUTED_VALUE"""),"No")</f>
        <v>No</v>
      </c>
      <c r="AI651" s="8" t="str">
        <f ca="1">IFERROR(__xludf.DUMMYFUNCTION("""COMPUTED_VALUE"""),"No")</f>
        <v>No</v>
      </c>
      <c r="AJ651" s="8" t="str">
        <f ca="1">IFERROR(__xludf.DUMMYFUNCTION("""COMPUTED_VALUE"""),"No")</f>
        <v>No</v>
      </c>
      <c r="AK651" s="8" t="str">
        <f ca="1">IFERROR(__xludf.DUMMYFUNCTION("""COMPUTED_VALUE"""),"No")</f>
        <v>No</v>
      </c>
      <c r="AL651" s="8" t="str">
        <f ca="1">IFERROR(__xludf.DUMMYFUNCTION("""COMPUTED_VALUE"""),"No")</f>
        <v>No</v>
      </c>
      <c r="AM651" s="8" t="str">
        <f ca="1">IFERROR(__xludf.DUMMYFUNCTION("""COMPUTED_VALUE"""),"No")</f>
        <v>No</v>
      </c>
      <c r="AN651" s="8" t="str">
        <f ca="1">IFERROR(__xludf.DUMMYFUNCTION("""COMPUTED_VALUE"""),"Outside")</f>
        <v>Outside</v>
      </c>
      <c r="AO651" s="8" t="str">
        <f ca="1">IFERROR(__xludf.DUMMYFUNCTION("""COMPUTED_VALUE"""),"No")</f>
        <v>No</v>
      </c>
      <c r="AP651" s="8"/>
      <c r="AQ651" s="8"/>
      <c r="AR651" s="8" t="str">
        <f ca="1">IFERROR(__xludf.DUMMYFUNCTION("""COMPUTED_VALUE"""),"Outside/Off-Property")</f>
        <v>Outside/Off-Property</v>
      </c>
      <c r="AS651" s="8">
        <f ca="1">IFERROR(__xludf.DUMMYFUNCTION("""COMPUTED_VALUE"""),99)</f>
        <v>99</v>
      </c>
      <c r="AT651" s="8" t="str">
        <f ca="1">IFERROR(__xludf.DUMMYFUNCTION("""COMPUTED_VALUE"""),"No")</f>
        <v>No</v>
      </c>
      <c r="AU651" s="8">
        <f ca="1">IFERROR(__xludf.DUMMYFUNCTION("""COMPUTED_VALUE"""),34.039878)</f>
        <v>34.039878000000002</v>
      </c>
      <c r="AV651" s="8">
        <f ca="1">IFERROR(__xludf.DUMMYFUNCTION("""COMPUTED_VALUE"""),-84.648703)</f>
        <v>-84.648702999999998</v>
      </c>
      <c r="AW651" s="8"/>
      <c r="AX651" s="8">
        <f ca="1">IFERROR(__xludf.DUMMYFUNCTION("""COMPUTED_VALUE"""),30144)</f>
        <v>30144</v>
      </c>
    </row>
    <row r="652" spans="1:50" ht="180" x14ac:dyDescent="0.2">
      <c r="A652" s="8" t="str">
        <f ca="1">IFERROR(__xludf.DUMMYFUNCTION("""COMPUTED_VALUE"""),"20230818CAETR")</f>
        <v>20230818CAETR</v>
      </c>
      <c r="B652" s="8">
        <f ca="1">IFERROR(__xludf.DUMMYFUNCTION("""COMPUTED_VALUE"""),8)</f>
        <v>8</v>
      </c>
      <c r="C652" s="8">
        <f ca="1">IFERROR(__xludf.DUMMYFUNCTION("""COMPUTED_VALUE"""),18)</f>
        <v>18</v>
      </c>
      <c r="D652" s="8">
        <f ca="1">IFERROR(__xludf.DUMMYFUNCTION("""COMPUTED_VALUE"""),2023)</f>
        <v>2023</v>
      </c>
      <c r="E652" s="9">
        <f ca="1">IFERROR(__xludf.DUMMYFUNCTION("""COMPUTED_VALUE"""),45156)</f>
        <v>45156</v>
      </c>
      <c r="F652" s="8" t="str">
        <f ca="1">IFERROR(__xludf.DUMMYFUNCTION("""COMPUTED_VALUE"""),"Etiwanda High School")</f>
        <v>Etiwanda High School</v>
      </c>
      <c r="G652" s="8">
        <f ca="1">IFERROR(__xludf.DUMMYFUNCTION("""COMPUTED_VALUE"""),0)</f>
        <v>0</v>
      </c>
      <c r="H652" s="8">
        <f ca="1">IFERROR(__xludf.DUMMYFUNCTION("""COMPUTED_VALUE"""),1)</f>
        <v>1</v>
      </c>
      <c r="I652" s="8">
        <f ca="1">IFERROR(__xludf.DUMMYFUNCTION("""COMPUTED_VALUE"""),1)</f>
        <v>1</v>
      </c>
      <c r="J652" s="8">
        <f ca="1">IFERROR(__xludf.DUMMYFUNCTION("""COMPUTED_VALUE"""),0)</f>
        <v>0</v>
      </c>
      <c r="K652" s="10" t="str">
        <f ca="1">IFERROR(__xludf.DUMMYFUNCTION("""COMPUTED_VALUE"""),"https://ktla.com/news/local-news/teen-shot-high-school-football-game-rancho-cucamonga/")</f>
        <v>https://ktla.com/news/local-news/teen-shot-high-school-football-game-rancho-cucamonga/</v>
      </c>
      <c r="L652" s="8">
        <f ca="1">IFERROR(__xludf.DUMMYFUNCTION("""COMPUTED_VALUE"""),5)</f>
        <v>5</v>
      </c>
      <c r="M652" s="8" t="str">
        <f ca="1">IFERROR(__xludf.DUMMYFUNCTION("""COMPUTED_VALUE"""),"Regional")</f>
        <v>Regional</v>
      </c>
      <c r="N652" s="8">
        <f ca="1">IFERROR(__xludf.DUMMYFUNCTION("""COMPUTED_VALUE"""),4)</f>
        <v>4</v>
      </c>
      <c r="O652" s="8" t="str">
        <f ca="1">IFERROR(__xludf.DUMMYFUNCTION("""COMPUTED_VALUE"""),"Summer")</f>
        <v>Summer</v>
      </c>
      <c r="P652" s="8" t="str">
        <f ca="1">IFERROR(__xludf.DUMMYFUNCTION("""COMPUTED_VALUE"""),"Rancho Cucamonga")</f>
        <v>Rancho Cucamonga</v>
      </c>
      <c r="Q652" s="8" t="str">
        <f ca="1">IFERROR(__xludf.DUMMYFUNCTION("""COMPUTED_VALUE"""),"CA")</f>
        <v>CA</v>
      </c>
      <c r="R652" s="8" t="str">
        <f ca="1">IFERROR(__xludf.DUMMYFUNCTION("""COMPUTED_VALUE"""),"High")</f>
        <v>High</v>
      </c>
      <c r="S652" s="8" t="str">
        <f ca="1">IFERROR(__xludf.DUMMYFUNCTION("""COMPUTED_VALUE"""),"Parking Lot")</f>
        <v>Parking Lot</v>
      </c>
      <c r="T652" s="8" t="str">
        <f ca="1">IFERROR(__xludf.DUMMYFUNCTION("""COMPUTED_VALUE"""),"Outside on School Property")</f>
        <v>Outside on School Property</v>
      </c>
      <c r="U652" s="8" t="str">
        <f ca="1">IFERROR(__xludf.DUMMYFUNCTION("""COMPUTED_VALUE"""),"No")</f>
        <v>No</v>
      </c>
      <c r="V652" s="8" t="str">
        <f ca="1">IFERROR(__xludf.DUMMYFUNCTION("""COMPUTED_VALUE"""),"Sport Event")</f>
        <v>Sport Event</v>
      </c>
      <c r="W652" s="11">
        <f ca="1">IFERROR(__xludf.DUMMYFUNCTION("""COMPUTED_VALUE"""),0.849305555555555)</f>
        <v>0.84930555555555498</v>
      </c>
      <c r="X652" s="8">
        <f ca="1">IFERROR(__xludf.DUMMYFUNCTION("""COMPUTED_VALUE"""),1)</f>
        <v>1</v>
      </c>
      <c r="Y652" s="12" t="str">
        <f ca="1">IFERROR(__xludf.DUMMYFUNCTION("""COMPUTED_VALUE"""),"Teen shot outside football game")</f>
        <v>Teen shot outside football game</v>
      </c>
      <c r="Z652" s="12" t="str">
        <f ca="1">IFERROR(__xludf.DUMMYFUNCTION("""COMPUTED_VALUE"""),"A teenager was hospitalized after being shot during a high school football game in Rancho Cucamonga on Friday night. The victim, identified only as a 16-year-old boy, was attending a game at Etiwanda High School, according to the San Bernardino County She"&amp;"riff’s Department. Deputies responded to reports of a large group of juveniles fighting in the street in front of the school around 8:23 p.m. During the fight, an unidentified suspect fired gunshots, prompting the group of juveniles to run from the scene."&amp;" Arriving deputies found the injured victim with a non-life-threatening gunshot wound. He was transported to a local hospital where he remains in stable condition, authorities said ")</f>
        <v xml:space="preserve">A teenager was hospitalized after being shot during a high school football game in Rancho Cucamonga on Friday night. The victim, identified only as a 16-year-old boy, was attending a game at Etiwanda High School, according to the San Bernardino County Sheriff’s Department. Deputies responded to reports of a large group of juveniles fighting in the street in front of the school around 8:23 p.m. During the fight, an unidentified suspect fired gunshots, prompting the group of juveniles to run from the scene. Arriving deputies found the injured victim with a non-life-threatening gunshot wound. He was transported to a local hospital where he remains in stable condition, authorities said </v>
      </c>
      <c r="AA652" s="8" t="str">
        <f ca="1">IFERROR(__xludf.DUMMYFUNCTION("""COMPUTED_VALUE"""),"Escalation of Dispute")</f>
        <v>Escalation of Dispute</v>
      </c>
      <c r="AB652" s="8"/>
      <c r="AC652" s="8" t="str">
        <f ca="1">IFERROR(__xludf.DUMMYFUNCTION("""COMPUTED_VALUE"""),"Yes")</f>
        <v>Yes</v>
      </c>
      <c r="AD652" s="8" t="str">
        <f ca="1">IFERROR(__xludf.DUMMYFUNCTION("""COMPUTED_VALUE"""),"Victims Targeted")</f>
        <v>Victims Targeted</v>
      </c>
      <c r="AE652" s="8" t="str">
        <f ca="1">IFERROR(__xludf.DUMMYFUNCTION("""COMPUTED_VALUE"""),"Yes")</f>
        <v>Yes</v>
      </c>
      <c r="AF652" s="8" t="str">
        <f ca="1">IFERROR(__xludf.DUMMYFUNCTION("""COMPUTED_VALUE"""),"Group in fight")</f>
        <v>Group in fight</v>
      </c>
      <c r="AG652" s="8" t="str">
        <f ca="1">IFERROR(__xludf.DUMMYFUNCTION("""COMPUTED_VALUE"""),"No")</f>
        <v>No</v>
      </c>
      <c r="AH652" s="8" t="str">
        <f ca="1">IFERROR(__xludf.DUMMYFUNCTION("""COMPUTED_VALUE"""),"No")</f>
        <v>No</v>
      </c>
      <c r="AI652" s="8" t="str">
        <f ca="1">IFERROR(__xludf.DUMMYFUNCTION("""COMPUTED_VALUE"""),"No")</f>
        <v>No</v>
      </c>
      <c r="AJ652" s="8" t="str">
        <f ca="1">IFERROR(__xludf.DUMMYFUNCTION("""COMPUTED_VALUE"""),"No")</f>
        <v>No</v>
      </c>
      <c r="AK652" s="8" t="str">
        <f ca="1">IFERROR(__xludf.DUMMYFUNCTION("""COMPUTED_VALUE"""),"No")</f>
        <v>No</v>
      </c>
      <c r="AL652" s="8"/>
      <c r="AM652" s="8" t="str">
        <f ca="1">IFERROR(__xludf.DUMMYFUNCTION("""COMPUTED_VALUE"""),"No")</f>
        <v>No</v>
      </c>
      <c r="AN652" s="8" t="str">
        <f ca="1">IFERROR(__xludf.DUMMYFUNCTION("""COMPUTED_VALUE"""),"Outside")</f>
        <v>Outside</v>
      </c>
      <c r="AO652" s="8" t="str">
        <f ca="1">IFERROR(__xludf.DUMMYFUNCTION("""COMPUTED_VALUE"""),"No")</f>
        <v>No</v>
      </c>
      <c r="AP652" s="8"/>
      <c r="AQ652" s="8"/>
      <c r="AR652" s="8" t="str">
        <f ca="1">IFERROR(__xludf.DUMMYFUNCTION("""COMPUTED_VALUE"""),"Outside/Off-Property")</f>
        <v>Outside/Off-Property</v>
      </c>
      <c r="AS652" s="8">
        <f ca="1">IFERROR(__xludf.DUMMYFUNCTION("""COMPUTED_VALUE"""),99)</f>
        <v>99</v>
      </c>
      <c r="AT652" s="8" t="str">
        <f ca="1">IFERROR(__xludf.DUMMYFUNCTION("""COMPUTED_VALUE"""),"No")</f>
        <v>No</v>
      </c>
      <c r="AU652" s="8">
        <f ca="1">IFERROR(__xludf.DUMMYFUNCTION("""COMPUTED_VALUE"""),34.12947)</f>
        <v>34.129469999999998</v>
      </c>
      <c r="AV652" s="8">
        <f ca="1">IFERROR(__xludf.DUMMYFUNCTION("""COMPUTED_VALUE"""),-117.510849)</f>
        <v>-117.51084899999999</v>
      </c>
      <c r="AW652" s="8"/>
      <c r="AX652" s="8">
        <f ca="1">IFERROR(__xludf.DUMMYFUNCTION("""COMPUTED_VALUE"""),91739)</f>
        <v>91739</v>
      </c>
    </row>
    <row r="653" spans="1:50" ht="60" x14ac:dyDescent="0.2">
      <c r="A653" s="8" t="str">
        <f ca="1">IFERROR(__xludf.DUMMYFUNCTION("""COMPUTED_VALUE"""),"20230818GAJOJ")</f>
        <v>20230818GAJOJ</v>
      </c>
      <c r="B653" s="8">
        <f ca="1">IFERROR(__xludf.DUMMYFUNCTION("""COMPUTED_VALUE"""),8)</f>
        <v>8</v>
      </c>
      <c r="C653" s="8">
        <f ca="1">IFERROR(__xludf.DUMMYFUNCTION("""COMPUTED_VALUE"""),18)</f>
        <v>18</v>
      </c>
      <c r="D653" s="8">
        <f ca="1">IFERROR(__xludf.DUMMYFUNCTION("""COMPUTED_VALUE"""),2023)</f>
        <v>2023</v>
      </c>
      <c r="E653" s="9">
        <f ca="1">IFERROR(__xludf.DUMMYFUNCTION("""COMPUTED_VALUE"""),45156)</f>
        <v>45156</v>
      </c>
      <c r="F653" s="8" t="str">
        <f ca="1">IFERROR(__xludf.DUMMYFUNCTION("""COMPUTED_VALUE"""),"Jonesboro High School")</f>
        <v>Jonesboro High School</v>
      </c>
      <c r="G653" s="8">
        <f ca="1">IFERROR(__xludf.DUMMYFUNCTION("""COMPUTED_VALUE"""),0)</f>
        <v>0</v>
      </c>
      <c r="H653" s="8">
        <f ca="1">IFERROR(__xludf.DUMMYFUNCTION("""COMPUTED_VALUE"""),1)</f>
        <v>1</v>
      </c>
      <c r="I653" s="8">
        <f ca="1">IFERROR(__xludf.DUMMYFUNCTION("""COMPUTED_VALUE"""),1)</f>
        <v>1</v>
      </c>
      <c r="J653" s="8">
        <f ca="1">IFERROR(__xludf.DUMMYFUNCTION("""COMPUTED_VALUE"""),0)</f>
        <v>0</v>
      </c>
      <c r="K653" s="10" t="str">
        <f ca="1">IFERROR(__xludf.DUMMYFUNCTION("""COMPUTED_VALUE"""),"https://www.11alive.com/article/news/crime/teen-shot-clayton-county-high-school-tara-stadium-hines-ward-field/85-54a1c6dc-e918-4800-8567-51c000224f6e
https://www.atlantanewsfirst.com/2023/08/20/discipline-issues-tiktok-challenges-several-high-school-footb"&amp;"all-games-canceled/")</f>
        <v>https://www.11alive.com/article/news/crime/teen-shot-clayton-county-high-school-tara-stadium-hines-ward-field/85-54a1c6dc-e918-4800-8567-51c000224f6e
https://www.atlantanewsfirst.com/2023/08/20/discipline-issues-tiktok-challenges-several-high-school-football-games-canceled/</v>
      </c>
      <c r="L653" s="8">
        <f ca="1">IFERROR(__xludf.DUMMYFUNCTION("""COMPUTED_VALUE"""),10)</f>
        <v>10</v>
      </c>
      <c r="M653" s="8" t="str">
        <f ca="1">IFERROR(__xludf.DUMMYFUNCTION("""COMPUTED_VALUE"""),"Regional")</f>
        <v>Regional</v>
      </c>
      <c r="N653" s="8">
        <f ca="1">IFERROR(__xludf.DUMMYFUNCTION("""COMPUTED_VALUE"""),4)</f>
        <v>4</v>
      </c>
      <c r="O653" s="8" t="str">
        <f ca="1">IFERROR(__xludf.DUMMYFUNCTION("""COMPUTED_VALUE"""),"Summer")</f>
        <v>Summer</v>
      </c>
      <c r="P653" s="8" t="str">
        <f ca="1">IFERROR(__xludf.DUMMYFUNCTION("""COMPUTED_VALUE"""),"Jonesboro")</f>
        <v>Jonesboro</v>
      </c>
      <c r="Q653" s="8" t="str">
        <f ca="1">IFERROR(__xludf.DUMMYFUNCTION("""COMPUTED_VALUE"""),"GA")</f>
        <v>GA</v>
      </c>
      <c r="R653" s="8" t="str">
        <f ca="1">IFERROR(__xludf.DUMMYFUNCTION("""COMPUTED_VALUE"""),"High")</f>
        <v>High</v>
      </c>
      <c r="S653" s="8" t="str">
        <f ca="1">IFERROR(__xludf.DUMMYFUNCTION("""COMPUTED_VALUE"""),"Parking Lot")</f>
        <v>Parking Lot</v>
      </c>
      <c r="T653" s="8" t="str">
        <f ca="1">IFERROR(__xludf.DUMMYFUNCTION("""COMPUTED_VALUE"""),"Outside on School Property")</f>
        <v>Outside on School Property</v>
      </c>
      <c r="U653" s="8" t="str">
        <f ca="1">IFERROR(__xludf.DUMMYFUNCTION("""COMPUTED_VALUE"""),"No")</f>
        <v>No</v>
      </c>
      <c r="V653" s="8" t="str">
        <f ca="1">IFERROR(__xludf.DUMMYFUNCTION("""COMPUTED_VALUE"""),"Sport Event")</f>
        <v>Sport Event</v>
      </c>
      <c r="W653" s="11">
        <f ca="1">IFERROR(__xludf.DUMMYFUNCTION("""COMPUTED_VALUE"""),0.934722222222222)</f>
        <v>0.93472222222222201</v>
      </c>
      <c r="X653" s="8">
        <f ca="1">IFERROR(__xludf.DUMMYFUNCTION("""COMPUTED_VALUE"""),1)</f>
        <v>1</v>
      </c>
      <c r="Y653" s="12" t="str">
        <f ca="1">IFERROR(__xludf.DUMMYFUNCTION("""COMPUTED_VALUE"""),"Student shot during robbery in parking lot during football game")</f>
        <v>Student shot during robbery in parking lot during football game</v>
      </c>
      <c r="Z653" s="12" t="str">
        <f ca="1">IFERROR(__xludf.DUMMYFUNCTION("""COMPUTED_VALUE"""),"Around 10:26 p.m., the school district said that an 18-year-old was shot in the parking lot after someone attempted to rob him. The teen was taken to the hospital, and officials expect him to be OK. ")</f>
        <v xml:space="preserve">Around 10:26 p.m., the school district said that an 18-year-old was shot in the parking lot after someone attempted to rob him. The teen was taken to the hospital, and officials expect him to be OK. </v>
      </c>
      <c r="AA653" s="8" t="str">
        <f ca="1">IFERROR(__xludf.DUMMYFUNCTION("""COMPUTED_VALUE"""),"Illegal Activity")</f>
        <v>Illegal Activity</v>
      </c>
      <c r="AB653" s="8"/>
      <c r="AC653" s="8" t="str">
        <f ca="1">IFERROR(__xludf.DUMMYFUNCTION("""COMPUTED_VALUE"""),"Yes")</f>
        <v>Yes</v>
      </c>
      <c r="AD653" s="8" t="str">
        <f ca="1">IFERROR(__xludf.DUMMYFUNCTION("""COMPUTED_VALUE"""),"Victims Targeted")</f>
        <v>Victims Targeted</v>
      </c>
      <c r="AE653" s="8" t="str">
        <f ca="1">IFERROR(__xludf.DUMMYFUNCTION("""COMPUTED_VALUE"""),"No")</f>
        <v>No</v>
      </c>
      <c r="AF653" s="8"/>
      <c r="AG653" s="8" t="str">
        <f ca="1">IFERROR(__xludf.DUMMYFUNCTION("""COMPUTED_VALUE"""),"No")</f>
        <v>No</v>
      </c>
      <c r="AH653" s="8" t="str">
        <f ca="1">IFERROR(__xludf.DUMMYFUNCTION("""COMPUTED_VALUE"""),"No")</f>
        <v>No</v>
      </c>
      <c r="AI653" s="8" t="str">
        <f ca="1">IFERROR(__xludf.DUMMYFUNCTION("""COMPUTED_VALUE"""),"No")</f>
        <v>No</v>
      </c>
      <c r="AJ653" s="8" t="str">
        <f ca="1">IFERROR(__xludf.DUMMYFUNCTION("""COMPUTED_VALUE"""),"No")</f>
        <v>No</v>
      </c>
      <c r="AK653" s="8" t="str">
        <f ca="1">IFERROR(__xludf.DUMMYFUNCTION("""COMPUTED_VALUE"""),"No")</f>
        <v>No</v>
      </c>
      <c r="AL653" s="8" t="str">
        <f ca="1">IFERROR(__xludf.DUMMYFUNCTION("""COMPUTED_VALUE"""),"No")</f>
        <v>No</v>
      </c>
      <c r="AM653" s="8" t="str">
        <f ca="1">IFERROR(__xludf.DUMMYFUNCTION("""COMPUTED_VALUE"""),"No")</f>
        <v>No</v>
      </c>
      <c r="AN653" s="8" t="str">
        <f ca="1">IFERROR(__xludf.DUMMYFUNCTION("""COMPUTED_VALUE"""),"Outside")</f>
        <v>Outside</v>
      </c>
      <c r="AO653" s="8" t="str">
        <f ca="1">IFERROR(__xludf.DUMMYFUNCTION("""COMPUTED_VALUE"""),"No")</f>
        <v>No</v>
      </c>
      <c r="AP653" s="8"/>
      <c r="AQ653" s="8"/>
      <c r="AR653" s="8" t="str">
        <f ca="1">IFERROR(__xludf.DUMMYFUNCTION("""COMPUTED_VALUE"""),"Outside/Off-Property")</f>
        <v>Outside/Off-Property</v>
      </c>
      <c r="AS653" s="8">
        <f ca="1">IFERROR(__xludf.DUMMYFUNCTION("""COMPUTED_VALUE"""),1)</f>
        <v>1</v>
      </c>
      <c r="AT653" s="8" t="str">
        <f ca="1">IFERROR(__xludf.DUMMYFUNCTION("""COMPUTED_VALUE"""),"No")</f>
        <v>No</v>
      </c>
      <c r="AU653" s="8">
        <f ca="1">IFERROR(__xludf.DUMMYFUNCTION("""COMPUTED_VALUE"""),33.550645)</f>
        <v>33.550645000000003</v>
      </c>
      <c r="AV653" s="8">
        <f ca="1">IFERROR(__xludf.DUMMYFUNCTION("""COMPUTED_VALUE"""),-84.357288)</f>
        <v>-84.357287999999997</v>
      </c>
      <c r="AW653" s="8"/>
      <c r="AX653" s="8">
        <f ca="1">IFERROR(__xludf.DUMMYFUNCTION("""COMPUTED_VALUE"""),30236)</f>
        <v>30236</v>
      </c>
    </row>
    <row r="654" spans="1:50" ht="60" x14ac:dyDescent="0.2">
      <c r="A654" s="8" t="str">
        <f ca="1">IFERROR(__xludf.DUMMYFUNCTION("""COMPUTED_VALUE"""),"20230818MSPAP")</f>
        <v>20230818MSPAP</v>
      </c>
      <c r="B654" s="8">
        <f ca="1">IFERROR(__xludf.DUMMYFUNCTION("""COMPUTED_VALUE"""),8)</f>
        <v>8</v>
      </c>
      <c r="C654" s="8">
        <f ca="1">IFERROR(__xludf.DUMMYFUNCTION("""COMPUTED_VALUE"""),18)</f>
        <v>18</v>
      </c>
      <c r="D654" s="8">
        <f ca="1">IFERROR(__xludf.DUMMYFUNCTION("""COMPUTED_VALUE"""),2023)</f>
        <v>2023</v>
      </c>
      <c r="E654" s="9">
        <f ca="1">IFERROR(__xludf.DUMMYFUNCTION("""COMPUTED_VALUE"""),45156)</f>
        <v>45156</v>
      </c>
      <c r="F654" s="8" t="str">
        <f ca="1">IFERROR(__xludf.DUMMYFUNCTION("""COMPUTED_VALUE"""),"Pascagoula High School")</f>
        <v>Pascagoula High School</v>
      </c>
      <c r="G654" s="8">
        <f ca="1">IFERROR(__xludf.DUMMYFUNCTION("""COMPUTED_VALUE"""),0)</f>
        <v>0</v>
      </c>
      <c r="H654" s="8">
        <f ca="1">IFERROR(__xludf.DUMMYFUNCTION("""COMPUTED_VALUE"""),1)</f>
        <v>1</v>
      </c>
      <c r="I654" s="8">
        <f ca="1">IFERROR(__xludf.DUMMYFUNCTION("""COMPUTED_VALUE"""),1)</f>
        <v>1</v>
      </c>
      <c r="J654" s="8">
        <f ca="1">IFERROR(__xludf.DUMMYFUNCTION("""COMPUTED_VALUE"""),0)</f>
        <v>0</v>
      </c>
      <c r="K654" s="10" t="str">
        <f ca="1">IFERROR(__xludf.DUMMYFUNCTION("""COMPUTED_VALUE"""),"https://www.wxxv25.com/pascagoula-police-investigating-friday-night-shooting-near-high-school/
https://www.wlox.com/2023/08/19/16-year-old-shot-pascagoula-police-say/")</f>
        <v>https://www.wxxv25.com/pascagoula-police-investigating-friday-night-shooting-near-high-school/
https://www.wlox.com/2023/08/19/16-year-old-shot-pascagoula-police-say/</v>
      </c>
      <c r="L654" s="8">
        <f ca="1">IFERROR(__xludf.DUMMYFUNCTION("""COMPUTED_VALUE"""),3)</f>
        <v>3</v>
      </c>
      <c r="M654" s="8" t="str">
        <f ca="1">IFERROR(__xludf.DUMMYFUNCTION("""COMPUTED_VALUE"""),"Local")</f>
        <v>Local</v>
      </c>
      <c r="N654" s="8">
        <f ca="1">IFERROR(__xludf.DUMMYFUNCTION("""COMPUTED_VALUE"""),4)</f>
        <v>4</v>
      </c>
      <c r="O654" s="8" t="str">
        <f ca="1">IFERROR(__xludf.DUMMYFUNCTION("""COMPUTED_VALUE"""),"Summer")</f>
        <v>Summer</v>
      </c>
      <c r="P654" s="8" t="str">
        <f ca="1">IFERROR(__xludf.DUMMYFUNCTION("""COMPUTED_VALUE"""),"Pascagoula")</f>
        <v>Pascagoula</v>
      </c>
      <c r="Q654" s="8" t="str">
        <f ca="1">IFERROR(__xludf.DUMMYFUNCTION("""COMPUTED_VALUE"""),"MS")</f>
        <v>MS</v>
      </c>
      <c r="R654" s="8" t="str">
        <f ca="1">IFERROR(__xludf.DUMMYFUNCTION("""COMPUTED_VALUE"""),"High")</f>
        <v>High</v>
      </c>
      <c r="S654" s="8" t="str">
        <f ca="1">IFERROR(__xludf.DUMMYFUNCTION("""COMPUTED_VALUE"""),"Parking Lot")</f>
        <v>Parking Lot</v>
      </c>
      <c r="T654" s="8" t="str">
        <f ca="1">IFERROR(__xludf.DUMMYFUNCTION("""COMPUTED_VALUE"""),"Outside on School Property")</f>
        <v>Outside on School Property</v>
      </c>
      <c r="U654" s="8" t="str">
        <f ca="1">IFERROR(__xludf.DUMMYFUNCTION("""COMPUTED_VALUE"""),"No")</f>
        <v>No</v>
      </c>
      <c r="V654" s="8" t="str">
        <f ca="1">IFERROR(__xludf.DUMMYFUNCTION("""COMPUTED_VALUE"""),"Sport Event")</f>
        <v>Sport Event</v>
      </c>
      <c r="W654" s="11">
        <f ca="1">IFERROR(__xludf.DUMMYFUNCTION("""COMPUTED_VALUE"""),0.888194444444444)</f>
        <v>0.88819444444444395</v>
      </c>
      <c r="X654" s="8">
        <f ca="1">IFERROR(__xludf.DUMMYFUNCTION("""COMPUTED_VALUE"""),1)</f>
        <v>1</v>
      </c>
      <c r="Y654" s="12" t="str">
        <f ca="1">IFERROR(__xludf.DUMMYFUNCTION("""COMPUTED_VALUE"""),"Teen shot outside football field after game")</f>
        <v>Teen shot outside football field after game</v>
      </c>
      <c r="Z654" s="12" t="str">
        <f ca="1">IFERROR(__xludf.DUMMYFUNCTION("""COMPUTED_VALUE"""),"Pascagoula Police announced a 16-year-old was shot near Pascagoula High School just moments after the Ocean Springs and Pascagoula football teams finished their Friday night scrimmage.")</f>
        <v>Pascagoula Police announced a 16-year-old was shot near Pascagoula High School just moments after the Ocean Springs and Pascagoula football teams finished their Friday night scrimmage.</v>
      </c>
      <c r="AA654" s="8"/>
      <c r="AB654" s="8"/>
      <c r="AC654" s="8" t="str">
        <f ca="1">IFERROR(__xludf.DUMMYFUNCTION("""COMPUTED_VALUE"""),"Yes")</f>
        <v>Yes</v>
      </c>
      <c r="AD654" s="8" t="str">
        <f ca="1">IFERROR(__xludf.DUMMYFUNCTION("""COMPUTED_VALUE"""),"Victims Targeted")</f>
        <v>Victims Targeted</v>
      </c>
      <c r="AE654" s="8" t="str">
        <f ca="1">IFERROR(__xludf.DUMMYFUNCTION("""COMPUTED_VALUE"""),"No")</f>
        <v>No</v>
      </c>
      <c r="AF654" s="8"/>
      <c r="AG654" s="8" t="str">
        <f ca="1">IFERROR(__xludf.DUMMYFUNCTION("""COMPUTED_VALUE"""),"No")</f>
        <v>No</v>
      </c>
      <c r="AH654" s="8" t="str">
        <f ca="1">IFERROR(__xludf.DUMMYFUNCTION("""COMPUTED_VALUE"""),"No")</f>
        <v>No</v>
      </c>
      <c r="AI654" s="8" t="str">
        <f ca="1">IFERROR(__xludf.DUMMYFUNCTION("""COMPUTED_VALUE"""),"No")</f>
        <v>No</v>
      </c>
      <c r="AJ654" s="8" t="str">
        <f ca="1">IFERROR(__xludf.DUMMYFUNCTION("""COMPUTED_VALUE"""),"No")</f>
        <v>No</v>
      </c>
      <c r="AK654" s="8" t="str">
        <f ca="1">IFERROR(__xludf.DUMMYFUNCTION("""COMPUTED_VALUE"""),"No")</f>
        <v>No</v>
      </c>
      <c r="AL654" s="8"/>
      <c r="AM654" s="8" t="str">
        <f ca="1">IFERROR(__xludf.DUMMYFUNCTION("""COMPUTED_VALUE"""),"No")</f>
        <v>No</v>
      </c>
      <c r="AN654" s="8" t="str">
        <f ca="1">IFERROR(__xludf.DUMMYFUNCTION("""COMPUTED_VALUE"""),"Outside")</f>
        <v>Outside</v>
      </c>
      <c r="AO654" s="8" t="str">
        <f ca="1">IFERROR(__xludf.DUMMYFUNCTION("""COMPUTED_VALUE"""),"No")</f>
        <v>No</v>
      </c>
      <c r="AP654" s="8"/>
      <c r="AQ654" s="8"/>
      <c r="AR654" s="8" t="str">
        <f ca="1">IFERROR(__xludf.DUMMYFUNCTION("""COMPUTED_VALUE"""),"Outside/Off-Property")</f>
        <v>Outside/Off-Property</v>
      </c>
      <c r="AS654" s="8">
        <f ca="1">IFERROR(__xludf.DUMMYFUNCTION("""COMPUTED_VALUE"""),8)</f>
        <v>8</v>
      </c>
      <c r="AT654" s="8" t="str">
        <f ca="1">IFERROR(__xludf.DUMMYFUNCTION("""COMPUTED_VALUE"""),"No")</f>
        <v>No</v>
      </c>
      <c r="AU654" s="8">
        <f ca="1">IFERROR(__xludf.DUMMYFUNCTION("""COMPUTED_VALUE"""),30.362131)</f>
        <v>30.362131000000002</v>
      </c>
      <c r="AV654" s="8">
        <f ca="1">IFERROR(__xludf.DUMMYFUNCTION("""COMPUTED_VALUE"""),-88.545237)</f>
        <v>-88.545237</v>
      </c>
      <c r="AW654" s="8"/>
      <c r="AX654" s="8">
        <f ca="1">IFERROR(__xludf.DUMMYFUNCTION("""COMPUTED_VALUE"""),39567)</f>
        <v>39567</v>
      </c>
    </row>
    <row r="655" spans="1:50" ht="165" x14ac:dyDescent="0.2">
      <c r="A655" s="8" t="str">
        <f ca="1">IFERROR(__xludf.DUMMYFUNCTION("""COMPUTED_VALUE"""),"20230818FLFIJ")</f>
        <v>20230818FLFIJ</v>
      </c>
      <c r="B655" s="8">
        <f ca="1">IFERROR(__xludf.DUMMYFUNCTION("""COMPUTED_VALUE"""),8)</f>
        <v>8</v>
      </c>
      <c r="C655" s="8">
        <f ca="1">IFERROR(__xludf.DUMMYFUNCTION("""COMPUTED_VALUE"""),18)</f>
        <v>18</v>
      </c>
      <c r="D655" s="8">
        <f ca="1">IFERROR(__xludf.DUMMYFUNCTION("""COMPUTED_VALUE"""),2023)</f>
        <v>2023</v>
      </c>
      <c r="E655" s="9">
        <f ca="1">IFERROR(__xludf.DUMMYFUNCTION("""COMPUTED_VALUE"""),45156)</f>
        <v>45156</v>
      </c>
      <c r="F655" s="8" t="str">
        <f ca="1">IFERROR(__xludf.DUMMYFUNCTION("""COMPUTED_VALUE"""),"First Coast High School")</f>
        <v>First Coast High School</v>
      </c>
      <c r="G655" s="8">
        <f ca="1">IFERROR(__xludf.DUMMYFUNCTION("""COMPUTED_VALUE"""),0)</f>
        <v>0</v>
      </c>
      <c r="H655" s="8">
        <f ca="1">IFERROR(__xludf.DUMMYFUNCTION("""COMPUTED_VALUE"""),0)</f>
        <v>0</v>
      </c>
      <c r="I655" s="8">
        <f ca="1">IFERROR(__xludf.DUMMYFUNCTION("""COMPUTED_VALUE"""),0)</f>
        <v>0</v>
      </c>
      <c r="J655" s="8">
        <f ca="1">IFERROR(__xludf.DUMMYFUNCTION("""COMPUTED_VALUE"""),0)</f>
        <v>0</v>
      </c>
      <c r="K655" s="10" t="str">
        <f ca="1">IFERROR(__xludf.DUMMYFUNCTION("""COMPUTED_VALUE"""),"https://www.firstcoastnews.com/article/news/crime/jacksonville-sheriffs-officer-officer-involved-shooting-starratt-road-duval-station-road-first-coast-ribault-high-football-game/77-52cf860d-27eb-4007-b011-0e3b812edd6d")</f>
        <v>https://www.firstcoastnews.com/article/news/crime/jacksonville-sheriffs-officer-officer-involved-shooting-starratt-road-duval-station-road-first-coast-ribault-high-football-game/77-52cf860d-27eb-4007-b011-0e3b812edd6d</v>
      </c>
      <c r="L655" s="8">
        <f ca="1">IFERROR(__xludf.DUMMYFUNCTION("""COMPUTED_VALUE"""),10)</f>
        <v>10</v>
      </c>
      <c r="M655" s="8" t="str">
        <f ca="1">IFERROR(__xludf.DUMMYFUNCTION("""COMPUTED_VALUE"""),"Regional")</f>
        <v>Regional</v>
      </c>
      <c r="N655" s="8">
        <f ca="1">IFERROR(__xludf.DUMMYFUNCTION("""COMPUTED_VALUE"""),4)</f>
        <v>4</v>
      </c>
      <c r="O655" s="8" t="str">
        <f ca="1">IFERROR(__xludf.DUMMYFUNCTION("""COMPUTED_VALUE"""),"Summer")</f>
        <v>Summer</v>
      </c>
      <c r="P655" s="8" t="str">
        <f ca="1">IFERROR(__xludf.DUMMYFUNCTION("""COMPUTED_VALUE"""),"Jacksonville")</f>
        <v>Jacksonville</v>
      </c>
      <c r="Q655" s="8" t="str">
        <f ca="1">IFERROR(__xludf.DUMMYFUNCTION("""COMPUTED_VALUE"""),"FL")</f>
        <v>FL</v>
      </c>
      <c r="R655" s="8" t="str">
        <f ca="1">IFERROR(__xludf.DUMMYFUNCTION("""COMPUTED_VALUE"""),"High")</f>
        <v>High</v>
      </c>
      <c r="S655" s="8" t="str">
        <f ca="1">IFERROR(__xludf.DUMMYFUNCTION("""COMPUTED_VALUE"""),"Football Field/Track")</f>
        <v>Football Field/Track</v>
      </c>
      <c r="T655" s="8" t="str">
        <f ca="1">IFERROR(__xludf.DUMMYFUNCTION("""COMPUTED_VALUE"""),"Outside on School Property")</f>
        <v>Outside on School Property</v>
      </c>
      <c r="U655" s="8" t="str">
        <f ca="1">IFERROR(__xludf.DUMMYFUNCTION("""COMPUTED_VALUE"""),"No")</f>
        <v>No</v>
      </c>
      <c r="V655" s="8" t="str">
        <f ca="1">IFERROR(__xludf.DUMMYFUNCTION("""COMPUTED_VALUE"""),"Sport Event")</f>
        <v>Sport Event</v>
      </c>
      <c r="W655" s="11">
        <f ca="1">IFERROR(__xludf.DUMMYFUNCTION("""COMPUTED_VALUE"""),0.875)</f>
        <v>0.875</v>
      </c>
      <c r="X655" s="8">
        <f ca="1">IFERROR(__xludf.DUMMYFUNCTION("""COMPUTED_VALUE"""),1)</f>
        <v>1</v>
      </c>
      <c r="Y655" s="12" t="str">
        <f ca="1">IFERROR(__xludf.DUMMYFUNCTION("""COMPUTED_VALUE"""),"20 shots fired into crowd during large fight that ended football game early")</f>
        <v>20 shots fired into crowd during large fight that ended football game early</v>
      </c>
      <c r="Z655" s="12" t="str">
        <f ca="1">IFERROR(__xludf.DUMMYFUNCTION("""COMPUTED_VALUE"""),"20 shots fired into crowd during large fight that ended football game early. Jacksonville officers had a car pulled over arresting two occupants for illegal firearms outside of the school when large crowds began to exit the game, police said. Several figh"&amp;"ts broke out in the crowd when the suspect began firing a gun, police said. Officers chased the suspect into a nearby parking lot and wooded area returning fire striking him in the lower extremities and a bullet grazed his head. Officers were able to arre"&amp;"st the juvenile and he was taken to the hospital for treatment, police said.")</f>
        <v>20 shots fired into crowd during large fight that ended football game early. Jacksonville officers had a car pulled over arresting two occupants for illegal firearms outside of the school when large crowds began to exit the game, police said. Several fights broke out in the crowd when the suspect began firing a gun, police said. Officers chased the suspect into a nearby parking lot and wooded area returning fire striking him in the lower extremities and a bullet grazed his head. Officers were able to arrest the juvenile and he was taken to the hospital for treatment, police said.</v>
      </c>
      <c r="AA655" s="8" t="str">
        <f ca="1">IFERROR(__xludf.DUMMYFUNCTION("""COMPUTED_VALUE"""),"Escalation of Dispute")</f>
        <v>Escalation of Dispute</v>
      </c>
      <c r="AB655" s="8"/>
      <c r="AC655" s="8" t="str">
        <f ca="1">IFERROR(__xludf.DUMMYFUNCTION("""COMPUTED_VALUE"""),"Yes")</f>
        <v>Yes</v>
      </c>
      <c r="AD655" s="8" t="str">
        <f ca="1">IFERROR(__xludf.DUMMYFUNCTION("""COMPUTED_VALUE"""),"Both")</f>
        <v>Both</v>
      </c>
      <c r="AE655" s="8" t="str">
        <f ca="1">IFERROR(__xludf.DUMMYFUNCTION("""COMPUTED_VALUE"""),"No")</f>
        <v>No</v>
      </c>
      <c r="AF655" s="8"/>
      <c r="AG655" s="8" t="str">
        <f ca="1">IFERROR(__xludf.DUMMYFUNCTION("""COMPUTED_VALUE"""),"No")</f>
        <v>No</v>
      </c>
      <c r="AH655" s="8" t="str">
        <f ca="1">IFERROR(__xludf.DUMMYFUNCTION("""COMPUTED_VALUE"""),"No")</f>
        <v>No</v>
      </c>
      <c r="AI655" s="8" t="str">
        <f ca="1">IFERROR(__xludf.DUMMYFUNCTION("""COMPUTED_VALUE"""),"No")</f>
        <v>No</v>
      </c>
      <c r="AJ655" s="8" t="str">
        <f ca="1">IFERROR(__xludf.DUMMYFUNCTION("""COMPUTED_VALUE"""),"No")</f>
        <v>No</v>
      </c>
      <c r="AK655" s="8" t="str">
        <f ca="1">IFERROR(__xludf.DUMMYFUNCTION("""COMPUTED_VALUE"""),"No")</f>
        <v>No</v>
      </c>
      <c r="AL655" s="8" t="str">
        <f ca="1">IFERROR(__xludf.DUMMYFUNCTION("""COMPUTED_VALUE"""),"Yes")</f>
        <v>Yes</v>
      </c>
      <c r="AM655" s="8" t="str">
        <f ca="1">IFERROR(__xludf.DUMMYFUNCTION("""COMPUTED_VALUE"""),"No")</f>
        <v>No</v>
      </c>
      <c r="AN655" s="8" t="str">
        <f ca="1">IFERROR(__xludf.DUMMYFUNCTION("""COMPUTED_VALUE"""),"Outside")</f>
        <v>Outside</v>
      </c>
      <c r="AO655" s="8" t="str">
        <f ca="1">IFERROR(__xludf.DUMMYFUNCTION("""COMPUTED_VALUE"""),"No")</f>
        <v>No</v>
      </c>
      <c r="AP655" s="8" t="str">
        <f ca="1">IFERROR(__xludf.DUMMYFUNCTION("""COMPUTED_VALUE"""),"Yes")</f>
        <v>Yes</v>
      </c>
      <c r="AQ655" s="8" t="str">
        <f ca="1">IFERROR(__xludf.DUMMYFUNCTION("""COMPUTED_VALUE"""),"Metal Detectors Stadium")</f>
        <v>Metal Detectors Stadium</v>
      </c>
      <c r="AR655" s="8" t="str">
        <f ca="1">IFERROR(__xludf.DUMMYFUNCTION("""COMPUTED_VALUE"""),"Failed")</f>
        <v>Failed</v>
      </c>
      <c r="AS655" s="8">
        <f ca="1">IFERROR(__xludf.DUMMYFUNCTION("""COMPUTED_VALUE"""),20)</f>
        <v>20</v>
      </c>
      <c r="AT655" s="8" t="str">
        <f ca="1">IFERROR(__xludf.DUMMYFUNCTION("""COMPUTED_VALUE"""),"No")</f>
        <v>No</v>
      </c>
      <c r="AU655" s="8">
        <f ca="1">IFERROR(__xludf.DUMMYFUNCTION("""COMPUTED_VALUE"""),30.48258)</f>
        <v>30.482579999999999</v>
      </c>
      <c r="AV655" s="8">
        <f ca="1">IFERROR(__xludf.DUMMYFUNCTION("""COMPUTED_VALUE"""),-81.607551)</f>
        <v>-81.607551000000001</v>
      </c>
      <c r="AW655" s="8"/>
      <c r="AX655" s="8">
        <f ca="1">IFERROR(__xludf.DUMMYFUNCTION("""COMPUTED_VALUE"""),32218)</f>
        <v>32218</v>
      </c>
    </row>
    <row r="656" spans="1:50" ht="90" x14ac:dyDescent="0.2">
      <c r="A656" s="8" t="str">
        <f ca="1">IFERROR(__xludf.DUMMYFUNCTION("""COMPUTED_VALUE"""),"20230816GAJOA")</f>
        <v>20230816GAJOA</v>
      </c>
      <c r="B656" s="8">
        <f ca="1">IFERROR(__xludf.DUMMYFUNCTION("""COMPUTED_VALUE"""),8)</f>
        <v>8</v>
      </c>
      <c r="C656" s="8">
        <f ca="1">IFERROR(__xludf.DUMMYFUNCTION("""COMPUTED_VALUE"""),16)</f>
        <v>16</v>
      </c>
      <c r="D656" s="8">
        <f ca="1">IFERROR(__xludf.DUMMYFUNCTION("""COMPUTED_VALUE"""),2023)</f>
        <v>2023</v>
      </c>
      <c r="E656" s="9">
        <f ca="1">IFERROR(__xludf.DUMMYFUNCTION("""COMPUTED_VALUE"""),45154)</f>
        <v>45154</v>
      </c>
      <c r="F656" s="8" t="str">
        <f ca="1">IFERROR(__xludf.DUMMYFUNCTION("""COMPUTED_VALUE"""),"T. W. Josey High School")</f>
        <v>T. W. Josey High School</v>
      </c>
      <c r="G656" s="8">
        <f ca="1">IFERROR(__xludf.DUMMYFUNCTION("""COMPUTED_VALUE"""),0)</f>
        <v>0</v>
      </c>
      <c r="H656" s="8">
        <f ca="1">IFERROR(__xludf.DUMMYFUNCTION("""COMPUTED_VALUE"""),1)</f>
        <v>1</v>
      </c>
      <c r="I656" s="8">
        <f ca="1">IFERROR(__xludf.DUMMYFUNCTION("""COMPUTED_VALUE"""),1)</f>
        <v>1</v>
      </c>
      <c r="J656" s="8">
        <f ca="1">IFERROR(__xludf.DUMMYFUNCTION("""COMPUTED_VALUE"""),0)</f>
        <v>0</v>
      </c>
      <c r="K656" s="10" t="str">
        <f ca="1">IFERROR(__xludf.DUMMYFUNCTION("""COMPUTED_VALUE"""),"https://www.wrdw.com/2023/08/16/josey-high-shooting-student-injured-shooter-at-large/")</f>
        <v>https://www.wrdw.com/2023/08/16/josey-high-shooting-student-injured-shooter-at-large/</v>
      </c>
      <c r="L656" s="8">
        <f ca="1">IFERROR(__xludf.DUMMYFUNCTION("""COMPUTED_VALUE"""),10)</f>
        <v>10</v>
      </c>
      <c r="M656" s="8" t="str">
        <f ca="1">IFERROR(__xludf.DUMMYFUNCTION("""COMPUTED_VALUE"""),"Regional")</f>
        <v>Regional</v>
      </c>
      <c r="N656" s="8">
        <f ca="1">IFERROR(__xludf.DUMMYFUNCTION("""COMPUTED_VALUE"""),4)</f>
        <v>4</v>
      </c>
      <c r="O656" s="8" t="str">
        <f ca="1">IFERROR(__xludf.DUMMYFUNCTION("""COMPUTED_VALUE"""),"Summer")</f>
        <v>Summer</v>
      </c>
      <c r="P656" s="8" t="str">
        <f ca="1">IFERROR(__xludf.DUMMYFUNCTION("""COMPUTED_VALUE"""),"Augusta")</f>
        <v>Augusta</v>
      </c>
      <c r="Q656" s="8" t="str">
        <f ca="1">IFERROR(__xludf.DUMMYFUNCTION("""COMPUTED_VALUE"""),"GA")</f>
        <v>GA</v>
      </c>
      <c r="R656" s="8" t="str">
        <f ca="1">IFERROR(__xludf.DUMMYFUNCTION("""COMPUTED_VALUE"""),"High")</f>
        <v>High</v>
      </c>
      <c r="S656" s="8" t="str">
        <f ca="1">IFERROR(__xludf.DUMMYFUNCTION("""COMPUTED_VALUE"""),"Cafeteria")</f>
        <v>Cafeteria</v>
      </c>
      <c r="T656" s="8" t="str">
        <f ca="1">IFERROR(__xludf.DUMMYFUNCTION("""COMPUTED_VALUE"""),"Inside School Building")</f>
        <v>Inside School Building</v>
      </c>
      <c r="U656" s="8" t="str">
        <f ca="1">IFERROR(__xludf.DUMMYFUNCTION("""COMPUTED_VALUE"""),"Yes")</f>
        <v>Yes</v>
      </c>
      <c r="V656" s="8" t="str">
        <f ca="1">IFERROR(__xludf.DUMMYFUNCTION("""COMPUTED_VALUE"""),"Lunch")</f>
        <v>Lunch</v>
      </c>
      <c r="W656" s="11">
        <f ca="1">IFERROR(__xludf.DUMMYFUNCTION("""COMPUTED_VALUE"""),0.458333333333333)</f>
        <v>0.45833333333333298</v>
      </c>
      <c r="X656" s="8">
        <f ca="1">IFERROR(__xludf.DUMMYFUNCTION("""COMPUTED_VALUE"""),1)</f>
        <v>1</v>
      </c>
      <c r="Y656" s="12" t="str">
        <f ca="1">IFERROR(__xludf.DUMMYFUNCTION("""COMPUTED_VALUE"""),"Student shot during fight in cafeteria")</f>
        <v>Student shot during fight in cafeteria</v>
      </c>
      <c r="Z656" s="12" t="str">
        <f ca="1">IFERROR(__xludf.DUMMYFUNCTION("""COMPUTED_VALUE"""),"Richmond County Sheriff Richard Roundtree said two students got into an altercation that boiled over into a shooting inside the school. The victim’s injuries weren’t life-threatening, and the suspect remained at-large, authorities said Wednesday afternoon"&amp;" during a news conference at the Richmond County Board of Education office.")</f>
        <v>Richmond County Sheriff Richard Roundtree said two students got into an altercation that boiled over into a shooting inside the school. The victim’s injuries weren’t life-threatening, and the suspect remained at-large, authorities said Wednesday afternoon during a news conference at the Richmond County Board of Education office.</v>
      </c>
      <c r="AA656" s="8" t="str">
        <f ca="1">IFERROR(__xludf.DUMMYFUNCTION("""COMPUTED_VALUE"""),"Escalation of Dispute")</f>
        <v>Escalation of Dispute</v>
      </c>
      <c r="AB656" s="8"/>
      <c r="AC656" s="8" t="str">
        <f ca="1">IFERROR(__xludf.DUMMYFUNCTION("""COMPUTED_VALUE"""),"Yes")</f>
        <v>Yes</v>
      </c>
      <c r="AD656" s="8" t="str">
        <f ca="1">IFERROR(__xludf.DUMMYFUNCTION("""COMPUTED_VALUE"""),"Victims Targeted")</f>
        <v>Victims Targeted</v>
      </c>
      <c r="AE656" s="8" t="str">
        <f ca="1">IFERROR(__xludf.DUMMYFUNCTION("""COMPUTED_VALUE"""),"No")</f>
        <v>No</v>
      </c>
      <c r="AF656" s="8"/>
      <c r="AG656" s="8" t="str">
        <f ca="1">IFERROR(__xludf.DUMMYFUNCTION("""COMPUTED_VALUE"""),"No")</f>
        <v>No</v>
      </c>
      <c r="AH656" s="8" t="str">
        <f ca="1">IFERROR(__xludf.DUMMYFUNCTION("""COMPUTED_VALUE"""),"No")</f>
        <v>No</v>
      </c>
      <c r="AI656" s="8" t="str">
        <f ca="1">IFERROR(__xludf.DUMMYFUNCTION("""COMPUTED_VALUE"""),"No")</f>
        <v>No</v>
      </c>
      <c r="AJ656" s="8" t="str">
        <f ca="1">IFERROR(__xludf.DUMMYFUNCTION("""COMPUTED_VALUE"""),"No")</f>
        <v>No</v>
      </c>
      <c r="AK656" s="8" t="str">
        <f ca="1">IFERROR(__xludf.DUMMYFUNCTION("""COMPUTED_VALUE"""),"No")</f>
        <v>No</v>
      </c>
      <c r="AL656" s="8" t="str">
        <f ca="1">IFERROR(__xludf.DUMMYFUNCTION("""COMPUTED_VALUE"""),"No")</f>
        <v>No</v>
      </c>
      <c r="AM656" s="8" t="str">
        <f ca="1">IFERROR(__xludf.DUMMYFUNCTION("""COMPUTED_VALUE"""),"No")</f>
        <v>No</v>
      </c>
      <c r="AN656" s="8" t="str">
        <f ca="1">IFERROR(__xludf.DUMMYFUNCTION("""COMPUTED_VALUE"""),"Single Room")</f>
        <v>Single Room</v>
      </c>
      <c r="AO656" s="8" t="str">
        <f ca="1">IFERROR(__xludf.DUMMYFUNCTION("""COMPUTED_VALUE"""),"No")</f>
        <v>No</v>
      </c>
      <c r="AP656" s="8" t="str">
        <f ca="1">IFERROR(__xludf.DUMMYFUNCTION("""COMPUTED_VALUE"""),"Yes")</f>
        <v>Yes</v>
      </c>
      <c r="AQ656" s="8" t="str">
        <f ca="1">IFERROR(__xludf.DUMMYFUNCTION("""COMPUTED_VALUE"""),"Armed Guards")</f>
        <v>Armed Guards</v>
      </c>
      <c r="AR656" s="8"/>
      <c r="AS656" s="8">
        <f ca="1">IFERROR(__xludf.DUMMYFUNCTION("""COMPUTED_VALUE"""),2)</f>
        <v>2</v>
      </c>
      <c r="AT656" s="8" t="str">
        <f ca="1">IFERROR(__xludf.DUMMYFUNCTION("""COMPUTED_VALUE"""),"No")</f>
        <v>No</v>
      </c>
      <c r="AU656" s="8">
        <f ca="1">IFERROR(__xludf.DUMMYFUNCTION("""COMPUTED_VALUE"""),33.454756)</f>
        <v>33.454756000000003</v>
      </c>
      <c r="AV656" s="8">
        <f ca="1">IFERROR(__xludf.DUMMYFUNCTION("""COMPUTED_VALUE"""),-82.000424)</f>
        <v>-82.000423999999995</v>
      </c>
      <c r="AW656" s="8"/>
      <c r="AX656" s="8">
        <f ca="1">IFERROR(__xludf.DUMMYFUNCTION("""COMPUTED_VALUE"""),30904)</f>
        <v>30904</v>
      </c>
    </row>
    <row r="657" spans="1:50" ht="210" x14ac:dyDescent="0.2">
      <c r="A657" s="8" t="str">
        <f ca="1">IFERROR(__xludf.DUMMYFUNCTION("""COMPUTED_VALUE"""),"20230813NEWON")</f>
        <v>20230813NEWON</v>
      </c>
      <c r="B657" s="8">
        <f ca="1">IFERROR(__xludf.DUMMYFUNCTION("""COMPUTED_VALUE"""),8)</f>
        <v>8</v>
      </c>
      <c r="C657" s="8">
        <f ca="1">IFERROR(__xludf.DUMMYFUNCTION("""COMPUTED_VALUE"""),13)</f>
        <v>13</v>
      </c>
      <c r="D657" s="8">
        <f ca="1">IFERROR(__xludf.DUMMYFUNCTION("""COMPUTED_VALUE"""),2023)</f>
        <v>2023</v>
      </c>
      <c r="E657" s="9">
        <f ca="1">IFERROR(__xludf.DUMMYFUNCTION("""COMPUTED_VALUE"""),45151)</f>
        <v>45151</v>
      </c>
      <c r="F657" s="8" t="str">
        <f ca="1">IFERROR(__xludf.DUMMYFUNCTION("""COMPUTED_VALUE"""),"Woodland Park Elementary")</f>
        <v>Woodland Park Elementary</v>
      </c>
      <c r="G657" s="8">
        <f ca="1">IFERROR(__xludf.DUMMYFUNCTION("""COMPUTED_VALUE"""),0)</f>
        <v>0</v>
      </c>
      <c r="H657" s="8">
        <f ca="1">IFERROR(__xludf.DUMMYFUNCTION("""COMPUTED_VALUE"""),0)</f>
        <v>0</v>
      </c>
      <c r="I657" s="8">
        <f ca="1">IFERROR(__xludf.DUMMYFUNCTION("""COMPUTED_VALUE"""),0)</f>
        <v>0</v>
      </c>
      <c r="J657" s="8">
        <f ca="1">IFERROR(__xludf.DUMMYFUNCTION("""COMPUTED_VALUE"""),0)</f>
        <v>0</v>
      </c>
      <c r="K657" s="10" t="str">
        <f ca="1">IFERROR(__xludf.DUMMYFUNCTION("""COMPUTED_VALUE"""),"https://www.ktiv.com/2023/08/13/three-teens-arrested-after-shots-fired-northeast-nebraska/")</f>
        <v>https://www.ktiv.com/2023/08/13/three-teens-arrested-after-shots-fired-northeast-nebraska/</v>
      </c>
      <c r="L657" s="8">
        <f ca="1">IFERROR(__xludf.DUMMYFUNCTION("""COMPUTED_VALUE"""),1)</f>
        <v>1</v>
      </c>
      <c r="M657" s="8" t="str">
        <f ca="1">IFERROR(__xludf.DUMMYFUNCTION("""COMPUTED_VALUE"""),"Local")</f>
        <v>Local</v>
      </c>
      <c r="N657" s="8">
        <f ca="1">IFERROR(__xludf.DUMMYFUNCTION("""COMPUTED_VALUE"""),3)</f>
        <v>3</v>
      </c>
      <c r="O657" s="8" t="str">
        <f ca="1">IFERROR(__xludf.DUMMYFUNCTION("""COMPUTED_VALUE"""),"Summer")</f>
        <v>Summer</v>
      </c>
      <c r="P657" s="8" t="str">
        <f ca="1">IFERROR(__xludf.DUMMYFUNCTION("""COMPUTED_VALUE"""),"Norfolk")</f>
        <v>Norfolk</v>
      </c>
      <c r="Q657" s="8" t="str">
        <f ca="1">IFERROR(__xludf.DUMMYFUNCTION("""COMPUTED_VALUE"""),"NE")</f>
        <v>NE</v>
      </c>
      <c r="R657" s="8" t="str">
        <f ca="1">IFERROR(__xludf.DUMMYFUNCTION("""COMPUTED_VALUE"""),"Elementary")</f>
        <v>Elementary</v>
      </c>
      <c r="S657" s="8" t="str">
        <f ca="1">IFERROR(__xludf.DUMMYFUNCTION("""COMPUTED_VALUE"""),"Outside on School Property")</f>
        <v>Outside on School Property</v>
      </c>
      <c r="T657" s="8" t="str">
        <f ca="1">IFERROR(__xludf.DUMMYFUNCTION("""COMPUTED_VALUE"""),"Outside on School Property")</f>
        <v>Outside on School Property</v>
      </c>
      <c r="U657" s="8" t="str">
        <f ca="1">IFERROR(__xludf.DUMMYFUNCTION("""COMPUTED_VALUE"""),"No")</f>
        <v>No</v>
      </c>
      <c r="V657" s="8" t="str">
        <f ca="1">IFERROR(__xludf.DUMMYFUNCTION("""COMPUTED_VALUE"""),"Night")</f>
        <v>Night</v>
      </c>
      <c r="W657" s="11">
        <f ca="1">IFERROR(__xludf.DUMMYFUNCTION("""COMPUTED_VALUE"""),0.09375)</f>
        <v>9.375E-2</v>
      </c>
      <c r="X657" s="8">
        <f ca="1">IFERROR(__xludf.DUMMYFUNCTION("""COMPUTED_VALUE"""),1)</f>
        <v>1</v>
      </c>
      <c r="Y657" s="12" t="str">
        <f ca="1">IFERROR(__xludf.DUMMYFUNCTION("""COMPUTED_VALUE"""),"Three teens arrested for firing guns outside the school")</f>
        <v>Three teens arrested for firing guns outside the school</v>
      </c>
      <c r="Z657" s="12" t="str">
        <f ca="1">IFERROR(__xludf.DUMMYFUNCTION("""COMPUTED_VALUE"""),"A 14-year-old boy carrying a prop handgun and a 13-year-old girl were detained near the school grounds. While being arrested, the 14-year-old boy fled on foot but was subsequently found near his home and detained. Another 14-year-old boy was arrested. Thi"&amp;"s teen was found at the home the other boy had fled to and they reportedly refused to cooperate with police. Authorities say this boy was identified as the shooter and resisted arrest as well. Ammunition was allegedly found on him and authorities believe "&amp;"he got rid of the handgun at some point after the shooting. All three teens were on probation for previous offenses. Both boys were detained while the girl was released to their mother. Authorities have not found the gun but believe it is somewhere near t"&amp;"he school.")</f>
        <v>A 14-year-old boy carrying a prop handgun and a 13-year-old girl were detained near the school grounds. While being arrested, the 14-year-old boy fled on foot but was subsequently found near his home and detained. Another 14-year-old boy was arrested. This teen was found at the home the other boy had fled to and they reportedly refused to cooperate with police. Authorities say this boy was identified as the shooter and resisted arrest as well. Ammunition was allegedly found on him and authorities believe he got rid of the handgun at some point after the shooting. All three teens were on probation for previous offenses. Both boys were detained while the girl was released to their mother. Authorities have not found the gun but believe it is somewhere near the school.</v>
      </c>
      <c r="AA657" s="8" t="str">
        <f ca="1">IFERROR(__xludf.DUMMYFUNCTION("""COMPUTED_VALUE"""),"Intentional Property Damage")</f>
        <v>Intentional Property Damage</v>
      </c>
      <c r="AB657" s="8"/>
      <c r="AC657" s="8" t="str">
        <f ca="1">IFERROR(__xludf.DUMMYFUNCTION("""COMPUTED_VALUE"""),"No")</f>
        <v>No</v>
      </c>
      <c r="AD657" s="8" t="str">
        <f ca="1">IFERROR(__xludf.DUMMYFUNCTION("""COMPUTED_VALUE"""),"Neither")</f>
        <v>Neither</v>
      </c>
      <c r="AE657" s="8" t="str">
        <f ca="1">IFERROR(__xludf.DUMMYFUNCTION("""COMPUTED_VALUE"""),"Yes")</f>
        <v>Yes</v>
      </c>
      <c r="AF657" s="8" t="str">
        <f ca="1">IFERROR(__xludf.DUMMYFUNCTION("""COMPUTED_VALUE"""),"Three teens")</f>
        <v>Three teens</v>
      </c>
      <c r="AG657" s="8" t="str">
        <f ca="1">IFERROR(__xludf.DUMMYFUNCTION("""COMPUTED_VALUE"""),"No")</f>
        <v>No</v>
      </c>
      <c r="AH657" s="8" t="str">
        <f ca="1">IFERROR(__xludf.DUMMYFUNCTION("""COMPUTED_VALUE"""),"No")</f>
        <v>No</v>
      </c>
      <c r="AI657" s="8" t="str">
        <f ca="1">IFERROR(__xludf.DUMMYFUNCTION("""COMPUTED_VALUE"""),"No")</f>
        <v>No</v>
      </c>
      <c r="AJ657" s="8" t="str">
        <f ca="1">IFERROR(__xludf.DUMMYFUNCTION("""COMPUTED_VALUE"""),"No")</f>
        <v>No</v>
      </c>
      <c r="AK657" s="8" t="str">
        <f ca="1">IFERROR(__xludf.DUMMYFUNCTION("""COMPUTED_VALUE"""),"No")</f>
        <v>No</v>
      </c>
      <c r="AL657" s="8" t="str">
        <f ca="1">IFERROR(__xludf.DUMMYFUNCTION("""COMPUTED_VALUE"""),"No")</f>
        <v>No</v>
      </c>
      <c r="AM657" s="8" t="str">
        <f ca="1">IFERROR(__xludf.DUMMYFUNCTION("""COMPUTED_VALUE"""),"No")</f>
        <v>No</v>
      </c>
      <c r="AN657" s="8" t="str">
        <f ca="1">IFERROR(__xludf.DUMMYFUNCTION("""COMPUTED_VALUE"""),"Outside")</f>
        <v>Outside</v>
      </c>
      <c r="AO657" s="8" t="str">
        <f ca="1">IFERROR(__xludf.DUMMYFUNCTION("""COMPUTED_VALUE"""),"No")</f>
        <v>No</v>
      </c>
      <c r="AP657" s="8"/>
      <c r="AQ657" s="8"/>
      <c r="AR657" s="8" t="str">
        <f ca="1">IFERROR(__xludf.DUMMYFUNCTION("""COMPUTED_VALUE"""),"Outside/Off-Property")</f>
        <v>Outside/Off-Property</v>
      </c>
      <c r="AS657" s="8">
        <f ca="1">IFERROR(__xludf.DUMMYFUNCTION("""COMPUTED_VALUE"""),99)</f>
        <v>99</v>
      </c>
      <c r="AT657" s="8" t="str">
        <f ca="1">IFERROR(__xludf.DUMMYFUNCTION("""COMPUTED_VALUE"""),"No")</f>
        <v>No</v>
      </c>
      <c r="AU657" s="8">
        <f ca="1">IFERROR(__xludf.DUMMYFUNCTION("""COMPUTED_VALUE"""),42.05648)</f>
        <v>42.056480000000001</v>
      </c>
      <c r="AV657" s="8">
        <f ca="1">IFERROR(__xludf.DUMMYFUNCTION("""COMPUTED_VALUE"""),-97.346843)</f>
        <v>-97.346843000000007</v>
      </c>
      <c r="AW657" s="8"/>
      <c r="AX657" s="8">
        <f ca="1">IFERROR(__xludf.DUMMYFUNCTION("""COMPUTED_VALUE"""),68701)</f>
        <v>68701</v>
      </c>
    </row>
    <row r="658" spans="1:50" ht="120" x14ac:dyDescent="0.2">
      <c r="A658" s="8" t="str">
        <f ca="1">IFERROR(__xludf.DUMMYFUNCTION("""COMPUTED_VALUE"""),"20230812MSSTS")</f>
        <v>20230812MSSTS</v>
      </c>
      <c r="B658" s="8">
        <f ca="1">IFERROR(__xludf.DUMMYFUNCTION("""COMPUTED_VALUE"""),8)</f>
        <v>8</v>
      </c>
      <c r="C658" s="8">
        <f ca="1">IFERROR(__xludf.DUMMYFUNCTION("""COMPUTED_VALUE"""),12)</f>
        <v>12</v>
      </c>
      <c r="D658" s="8">
        <f ca="1">IFERROR(__xludf.DUMMYFUNCTION("""COMPUTED_VALUE"""),2023)</f>
        <v>2023</v>
      </c>
      <c r="E658" s="9">
        <f ca="1">IFERROR(__xludf.DUMMYFUNCTION("""COMPUTED_VALUE"""),45150)</f>
        <v>45150</v>
      </c>
      <c r="F658" s="8" t="str">
        <f ca="1">IFERROR(__xludf.DUMMYFUNCTION("""COMPUTED_VALUE"""),"Starkville High School")</f>
        <v>Starkville High School</v>
      </c>
      <c r="G658" s="8">
        <f ca="1">IFERROR(__xludf.DUMMYFUNCTION("""COMPUTED_VALUE"""),0)</f>
        <v>0</v>
      </c>
      <c r="H658" s="8">
        <f ca="1">IFERROR(__xludf.DUMMYFUNCTION("""COMPUTED_VALUE"""),0)</f>
        <v>0</v>
      </c>
      <c r="I658" s="8">
        <f ca="1">IFERROR(__xludf.DUMMYFUNCTION("""COMPUTED_VALUE"""),0)</f>
        <v>0</v>
      </c>
      <c r="J658" s="8">
        <f ca="1">IFERROR(__xludf.DUMMYFUNCTION("""COMPUTED_VALUE"""),0)</f>
        <v>0</v>
      </c>
      <c r="K658" s="8" t="str">
        <f ca="1">IFERROR(__xludf.DUMMYFUNCTION("""COMPUTED_VALUE"""),"https://www.wtva.com/news/shooting-at-starkville-high-school-under-investigation/article_b59e4dd8-3989-11ee-964c-d3fd7a93e575.html
https://www.wcbi.com/starkville-high-school-football-scrimmage-shooting-is-under-investigation/")</f>
        <v>https://www.wtva.com/news/shooting-at-starkville-high-school-under-investigation/article_b59e4dd8-3989-11ee-964c-d3fd7a93e575.html
https://www.wcbi.com/starkville-high-school-football-scrimmage-shooting-is-under-investigation/</v>
      </c>
      <c r="L658" s="8">
        <f ca="1">IFERROR(__xludf.DUMMYFUNCTION("""COMPUTED_VALUE"""),3)</f>
        <v>3</v>
      </c>
      <c r="M658" s="8" t="str">
        <f ca="1">IFERROR(__xludf.DUMMYFUNCTION("""COMPUTED_VALUE"""),"Local")</f>
        <v>Local</v>
      </c>
      <c r="N658" s="8">
        <f ca="1">IFERROR(__xludf.DUMMYFUNCTION("""COMPUTED_VALUE"""),4)</f>
        <v>4</v>
      </c>
      <c r="O658" s="8" t="str">
        <f ca="1">IFERROR(__xludf.DUMMYFUNCTION("""COMPUTED_VALUE"""),"Summer")</f>
        <v>Summer</v>
      </c>
      <c r="P658" s="8" t="str">
        <f ca="1">IFERROR(__xludf.DUMMYFUNCTION("""COMPUTED_VALUE"""),"Starkville")</f>
        <v>Starkville</v>
      </c>
      <c r="Q658" s="8" t="str">
        <f ca="1">IFERROR(__xludf.DUMMYFUNCTION("""COMPUTED_VALUE"""),"TN")</f>
        <v>TN</v>
      </c>
      <c r="R658" s="8" t="str">
        <f ca="1">IFERROR(__xludf.DUMMYFUNCTION("""COMPUTED_VALUE"""),"High")</f>
        <v>High</v>
      </c>
      <c r="S658" s="8" t="str">
        <f ca="1">IFERROR(__xludf.DUMMYFUNCTION("""COMPUTED_VALUE"""),"Parking Lot")</f>
        <v>Parking Lot</v>
      </c>
      <c r="T658" s="8" t="str">
        <f ca="1">IFERROR(__xludf.DUMMYFUNCTION("""COMPUTED_VALUE"""),"Outside on School Property")</f>
        <v>Outside on School Property</v>
      </c>
      <c r="U658" s="8" t="str">
        <f ca="1">IFERROR(__xludf.DUMMYFUNCTION("""COMPUTED_VALUE"""),"No")</f>
        <v>No</v>
      </c>
      <c r="V658" s="8" t="str">
        <f ca="1">IFERROR(__xludf.DUMMYFUNCTION("""COMPUTED_VALUE"""),"Sport Event")</f>
        <v>Sport Event</v>
      </c>
      <c r="W658" s="11">
        <f ca="1">IFERROR(__xludf.DUMMYFUNCTION("""COMPUTED_VALUE"""),0.0208333333333333)</f>
        <v>2.0833333333333301E-2</v>
      </c>
      <c r="X658" s="8">
        <f ca="1">IFERROR(__xludf.DUMMYFUNCTION("""COMPUTED_VALUE"""),1)</f>
        <v>1</v>
      </c>
      <c r="Y658" s="12" t="str">
        <f ca="1">IFERROR(__xludf.DUMMYFUNCTION("""COMPUTED_VALUE"""),"Shots fired during midnight madness football practice")</f>
        <v>Shots fired during midnight madness football practice</v>
      </c>
      <c r="Z658" s="12" t="str">
        <f ca="1">IFERROR(__xludf.DUMMYFUNCTION("""COMPUTED_VALUE"""),"According to a spokesman from the Starkville Police Department, officers responded to the SHS parking lot around 12:30 a.m. to assist the school’s law enforcement after reports of shots fired. No injuries were reported. So far, no arrests have been made. "&amp;"The shooting happened during the SHS football team's “Midnight Madness” scrimmage. They host the scrimmage before the season kicks off.")</f>
        <v>According to a spokesman from the Starkville Police Department, officers responded to the SHS parking lot around 12:30 a.m. to assist the school’s law enforcement after reports of shots fired. No injuries were reported. So far, no arrests have been made. The shooting happened during the SHS football team's “Midnight Madness” scrimmage. They host the scrimmage before the season kicks off.</v>
      </c>
      <c r="AA658" s="8" t="str">
        <f ca="1">IFERROR(__xludf.DUMMYFUNCTION("""COMPUTED_VALUE"""),"Escalation of Dispute")</f>
        <v>Escalation of Dispute</v>
      </c>
      <c r="AB658" s="8"/>
      <c r="AC658" s="8" t="str">
        <f ca="1">IFERROR(__xludf.DUMMYFUNCTION("""COMPUTED_VALUE"""),"Yes")</f>
        <v>Yes</v>
      </c>
      <c r="AD658" s="8" t="str">
        <f ca="1">IFERROR(__xludf.DUMMYFUNCTION("""COMPUTED_VALUE"""),"Victims Targeted")</f>
        <v>Victims Targeted</v>
      </c>
      <c r="AE658" s="8" t="str">
        <f ca="1">IFERROR(__xludf.DUMMYFUNCTION("""COMPUTED_VALUE"""),"No")</f>
        <v>No</v>
      </c>
      <c r="AF658" s="8"/>
      <c r="AG658" s="8" t="str">
        <f ca="1">IFERROR(__xludf.DUMMYFUNCTION("""COMPUTED_VALUE"""),"No")</f>
        <v>No</v>
      </c>
      <c r="AH658" s="8" t="str">
        <f ca="1">IFERROR(__xludf.DUMMYFUNCTION("""COMPUTED_VALUE"""),"No")</f>
        <v>No</v>
      </c>
      <c r="AI658" s="8" t="str">
        <f ca="1">IFERROR(__xludf.DUMMYFUNCTION("""COMPUTED_VALUE"""),"No")</f>
        <v>No</v>
      </c>
      <c r="AJ658" s="8" t="str">
        <f ca="1">IFERROR(__xludf.DUMMYFUNCTION("""COMPUTED_VALUE"""),"No")</f>
        <v>No</v>
      </c>
      <c r="AK658" s="8" t="str">
        <f ca="1">IFERROR(__xludf.DUMMYFUNCTION("""COMPUTED_VALUE"""),"No")</f>
        <v>No</v>
      </c>
      <c r="AL658" s="8"/>
      <c r="AM658" s="8" t="str">
        <f ca="1">IFERROR(__xludf.DUMMYFUNCTION("""COMPUTED_VALUE"""),"No")</f>
        <v>No</v>
      </c>
      <c r="AN658" s="8" t="str">
        <f ca="1">IFERROR(__xludf.DUMMYFUNCTION("""COMPUTED_VALUE"""),"Outside")</f>
        <v>Outside</v>
      </c>
      <c r="AO658" s="8" t="str">
        <f ca="1">IFERROR(__xludf.DUMMYFUNCTION("""COMPUTED_VALUE"""),"No")</f>
        <v>No</v>
      </c>
      <c r="AP658" s="8"/>
      <c r="AQ658" s="8"/>
      <c r="AR658" s="8" t="str">
        <f ca="1">IFERROR(__xludf.DUMMYFUNCTION("""COMPUTED_VALUE"""),"Outside/Off-Property")</f>
        <v>Outside/Off-Property</v>
      </c>
      <c r="AS658" s="8">
        <f ca="1">IFERROR(__xludf.DUMMYFUNCTION("""COMPUTED_VALUE"""),99)</f>
        <v>99</v>
      </c>
      <c r="AT658" s="8" t="str">
        <f ca="1">IFERROR(__xludf.DUMMYFUNCTION("""COMPUTED_VALUE"""),"No")</f>
        <v>No</v>
      </c>
      <c r="AU658" s="8">
        <f ca="1">IFERROR(__xludf.DUMMYFUNCTION("""COMPUTED_VALUE"""),33.451604)</f>
        <v>33.451604000000003</v>
      </c>
      <c r="AV658" s="8">
        <f ca="1">IFERROR(__xludf.DUMMYFUNCTION("""COMPUTED_VALUE"""),-88.820808)</f>
        <v>-88.820808</v>
      </c>
      <c r="AW658" s="8"/>
      <c r="AX658" s="8">
        <f ca="1">IFERROR(__xludf.DUMMYFUNCTION("""COMPUTED_VALUE"""),39759)</f>
        <v>39759</v>
      </c>
    </row>
    <row r="659" spans="1:50" ht="150" x14ac:dyDescent="0.2">
      <c r="A659" s="8" t="str">
        <f ca="1">IFERROR(__xludf.DUMMYFUNCTION("""COMPUTED_VALUE"""),"20230810TNCOM")</f>
        <v>20230810TNCOM</v>
      </c>
      <c r="B659" s="8">
        <f ca="1">IFERROR(__xludf.DUMMYFUNCTION("""COMPUTED_VALUE"""),8)</f>
        <v>8</v>
      </c>
      <c r="C659" s="8">
        <f ca="1">IFERROR(__xludf.DUMMYFUNCTION("""COMPUTED_VALUE"""),10)</f>
        <v>10</v>
      </c>
      <c r="D659" s="8">
        <f ca="1">IFERROR(__xludf.DUMMYFUNCTION("""COMPUTED_VALUE"""),2023)</f>
        <v>2023</v>
      </c>
      <c r="E659" s="9">
        <f ca="1">IFERROR(__xludf.DUMMYFUNCTION("""COMPUTED_VALUE"""),45148)</f>
        <v>45148</v>
      </c>
      <c r="F659" s="8" t="str">
        <f ca="1">IFERROR(__xludf.DUMMYFUNCTION("""COMPUTED_VALUE"""),"Cordova High School")</f>
        <v>Cordova High School</v>
      </c>
      <c r="G659" s="8">
        <f ca="1">IFERROR(__xludf.DUMMYFUNCTION("""COMPUTED_VALUE"""),0)</f>
        <v>0</v>
      </c>
      <c r="H659" s="8">
        <f ca="1">IFERROR(__xludf.DUMMYFUNCTION("""COMPUTED_VALUE"""),0)</f>
        <v>0</v>
      </c>
      <c r="I659" s="8">
        <f ca="1">IFERROR(__xludf.DUMMYFUNCTION("""COMPUTED_VALUE"""),0)</f>
        <v>0</v>
      </c>
      <c r="J659" s="8">
        <f ca="1">IFERROR(__xludf.DUMMYFUNCTION("""COMPUTED_VALUE"""),0)</f>
        <v>0</v>
      </c>
      <c r="K659" s="10" t="str">
        <f ca="1">IFERROR(__xludf.DUMMYFUNCTION("""COMPUTED_VALUE"""),"https://www.actionnews5.com/2023/08/11/3-minors-1-adult-charged-cordova-high-school-jamboree-shooting/")</f>
        <v>https://www.actionnews5.com/2023/08/11/3-minors-1-adult-charged-cordova-high-school-jamboree-shooting/</v>
      </c>
      <c r="L659" s="8">
        <f ca="1">IFERROR(__xludf.DUMMYFUNCTION("""COMPUTED_VALUE"""),5)</f>
        <v>5</v>
      </c>
      <c r="M659" s="8" t="str">
        <f ca="1">IFERROR(__xludf.DUMMYFUNCTION("""COMPUTED_VALUE"""),"Local")</f>
        <v>Local</v>
      </c>
      <c r="N659" s="8">
        <f ca="1">IFERROR(__xludf.DUMMYFUNCTION("""COMPUTED_VALUE"""),4)</f>
        <v>4</v>
      </c>
      <c r="O659" s="8" t="str">
        <f ca="1">IFERROR(__xludf.DUMMYFUNCTION("""COMPUTED_VALUE"""),"Summer")</f>
        <v>Summer</v>
      </c>
      <c r="P659" s="8" t="str">
        <f ca="1">IFERROR(__xludf.DUMMYFUNCTION("""COMPUTED_VALUE"""),"Memphis")</f>
        <v>Memphis</v>
      </c>
      <c r="Q659" s="8" t="str">
        <f ca="1">IFERROR(__xludf.DUMMYFUNCTION("""COMPUTED_VALUE"""),"TN")</f>
        <v>TN</v>
      </c>
      <c r="R659" s="8" t="str">
        <f ca="1">IFERROR(__xludf.DUMMYFUNCTION("""COMPUTED_VALUE"""),"High")</f>
        <v>High</v>
      </c>
      <c r="S659" s="8" t="str">
        <f ca="1">IFERROR(__xludf.DUMMYFUNCTION("""COMPUTED_VALUE"""),"Parking Lot")</f>
        <v>Parking Lot</v>
      </c>
      <c r="T659" s="8" t="str">
        <f ca="1">IFERROR(__xludf.DUMMYFUNCTION("""COMPUTED_VALUE"""),"Outside on School Property")</f>
        <v>Outside on School Property</v>
      </c>
      <c r="U659" s="8" t="str">
        <f ca="1">IFERROR(__xludf.DUMMYFUNCTION("""COMPUTED_VALUE"""),"No")</f>
        <v>No</v>
      </c>
      <c r="V659" s="8" t="str">
        <f ca="1">IFERROR(__xludf.DUMMYFUNCTION("""COMPUTED_VALUE"""),"Sport Event")</f>
        <v>Sport Event</v>
      </c>
      <c r="W659" s="11">
        <f ca="1">IFERROR(__xludf.DUMMYFUNCTION("""COMPUTED_VALUE"""),0.854166666666666)</f>
        <v>0.85416666666666596</v>
      </c>
      <c r="X659" s="8">
        <f ca="1">IFERROR(__xludf.DUMMYFUNCTION("""COMPUTED_VALUE"""),1)</f>
        <v>1</v>
      </c>
      <c r="Y659" s="12" t="str">
        <f ca="1">IFERROR(__xludf.DUMMYFUNCTION("""COMPUTED_VALUE"""),"Shots fired in parking lot during fight at football game")</f>
        <v>Shots fired in parking lot during fight at football game</v>
      </c>
      <c r="Z659" s="12" t="str">
        <f ca="1">IFERROR(__xludf.DUMMYFUNCTION("""COMPUTED_VALUE"""),"An after-school football jamboree turned south Thursday night at Cordova High School after supposed gunshots sent panic through the stands. Memphis police responded to the shots-fired call at 8:20 p.m., just as the game between Ridgeway High and Sheffield"&amp;" High was underway. Memphis Shelby County Schools said about 25 Shelby County Sheriff deputies attended the jamboree and they defused a situation of an individual who fired shots in the air at a stadium parking lot. MPD says two vehicles drove away from t"&amp;"he scene and officers recovered two shell casings.")</f>
        <v>An after-school football jamboree turned south Thursday night at Cordova High School after supposed gunshots sent panic through the stands. Memphis police responded to the shots-fired call at 8:20 p.m., just as the game between Ridgeway High and Sheffield High was underway. Memphis Shelby County Schools said about 25 Shelby County Sheriff deputies attended the jamboree and they defused a situation of an individual who fired shots in the air at a stadium parking lot. MPD says two vehicles drove away from the scene and officers recovered two shell casings.</v>
      </c>
      <c r="AA659" s="8" t="str">
        <f ca="1">IFERROR(__xludf.DUMMYFUNCTION("""COMPUTED_VALUE"""),"Escalation of Dispute")</f>
        <v>Escalation of Dispute</v>
      </c>
      <c r="AB659" s="8"/>
      <c r="AC659" s="8" t="str">
        <f ca="1">IFERROR(__xludf.DUMMYFUNCTION("""COMPUTED_VALUE"""),"Yes")</f>
        <v>Yes</v>
      </c>
      <c r="AD659" s="8" t="str">
        <f ca="1">IFERROR(__xludf.DUMMYFUNCTION("""COMPUTED_VALUE"""),"Neither")</f>
        <v>Neither</v>
      </c>
      <c r="AE659" s="8" t="str">
        <f ca="1">IFERROR(__xludf.DUMMYFUNCTION("""COMPUTED_VALUE"""),"Yes")</f>
        <v>Yes</v>
      </c>
      <c r="AF659" s="8" t="str">
        <f ca="1">IFERROR(__xludf.DUMMYFUNCTION("""COMPUTED_VALUE"""),"4 arrested")</f>
        <v>4 arrested</v>
      </c>
      <c r="AG659" s="8" t="str">
        <f ca="1">IFERROR(__xludf.DUMMYFUNCTION("""COMPUTED_VALUE"""),"No")</f>
        <v>No</v>
      </c>
      <c r="AH659" s="8" t="str">
        <f ca="1">IFERROR(__xludf.DUMMYFUNCTION("""COMPUTED_VALUE"""),"No")</f>
        <v>No</v>
      </c>
      <c r="AI659" s="8" t="str">
        <f ca="1">IFERROR(__xludf.DUMMYFUNCTION("""COMPUTED_VALUE"""),"No")</f>
        <v>No</v>
      </c>
      <c r="AJ659" s="8" t="str">
        <f ca="1">IFERROR(__xludf.DUMMYFUNCTION("""COMPUTED_VALUE"""),"No")</f>
        <v>No</v>
      </c>
      <c r="AK659" s="8" t="str">
        <f ca="1">IFERROR(__xludf.DUMMYFUNCTION("""COMPUTED_VALUE"""),"No")</f>
        <v>No</v>
      </c>
      <c r="AL659" s="8" t="str">
        <f ca="1">IFERROR(__xludf.DUMMYFUNCTION("""COMPUTED_VALUE"""),"No")</f>
        <v>No</v>
      </c>
      <c r="AM659" s="8" t="str">
        <f ca="1">IFERROR(__xludf.DUMMYFUNCTION("""COMPUTED_VALUE"""),"No")</f>
        <v>No</v>
      </c>
      <c r="AN659" s="8" t="str">
        <f ca="1">IFERROR(__xludf.DUMMYFUNCTION("""COMPUTED_VALUE"""),"Outside")</f>
        <v>Outside</v>
      </c>
      <c r="AO659" s="8" t="str">
        <f ca="1">IFERROR(__xludf.DUMMYFUNCTION("""COMPUTED_VALUE"""),"No")</f>
        <v>No</v>
      </c>
      <c r="AP659" s="8" t="str">
        <f ca="1">IFERROR(__xludf.DUMMYFUNCTION("""COMPUTED_VALUE"""),"Yes")</f>
        <v>Yes</v>
      </c>
      <c r="AQ659" s="8" t="str">
        <f ca="1">IFERROR(__xludf.DUMMYFUNCTION("""COMPUTED_VALUE"""),"Armed Guards")</f>
        <v>Armed Guards</v>
      </c>
      <c r="AR659" s="8" t="str">
        <f ca="1">IFERROR(__xludf.DUMMYFUNCTION("""COMPUTED_VALUE"""),"Outside/Off-Property")</f>
        <v>Outside/Off-Property</v>
      </c>
      <c r="AS659" s="8">
        <f ca="1">IFERROR(__xludf.DUMMYFUNCTION("""COMPUTED_VALUE"""),2)</f>
        <v>2</v>
      </c>
      <c r="AT659" s="8" t="str">
        <f ca="1">IFERROR(__xludf.DUMMYFUNCTION("""COMPUTED_VALUE"""),"No")</f>
        <v>No</v>
      </c>
      <c r="AU659" s="8">
        <f ca="1">IFERROR(__xludf.DUMMYFUNCTION("""COMPUTED_VALUE"""),35.174225)</f>
        <v>35.174225</v>
      </c>
      <c r="AV659" s="8">
        <f ca="1">IFERROR(__xludf.DUMMYFUNCTION("""COMPUTED_VALUE"""),-89.753106)</f>
        <v>-89.753106000000002</v>
      </c>
      <c r="AW659" s="8"/>
      <c r="AX659" s="8">
        <f ca="1">IFERROR(__xludf.DUMMYFUNCTION("""COMPUTED_VALUE"""),38016)</f>
        <v>38016</v>
      </c>
    </row>
    <row r="660" spans="1:50" ht="60" x14ac:dyDescent="0.2">
      <c r="A660" s="8" t="str">
        <f ca="1">IFERROR(__xludf.DUMMYFUNCTION("""COMPUTED_VALUE"""),"20230808ILBOC")</f>
        <v>20230808ILBOC</v>
      </c>
      <c r="B660" s="8">
        <f ca="1">IFERROR(__xludf.DUMMYFUNCTION("""COMPUTED_VALUE"""),8)</f>
        <v>8</v>
      </c>
      <c r="C660" s="8">
        <f ca="1">IFERROR(__xludf.DUMMYFUNCTION("""COMPUTED_VALUE"""),8)</f>
        <v>8</v>
      </c>
      <c r="D660" s="8">
        <f ca="1">IFERROR(__xludf.DUMMYFUNCTION("""COMPUTED_VALUE"""),2023)</f>
        <v>2023</v>
      </c>
      <c r="E660" s="9">
        <f ca="1">IFERROR(__xludf.DUMMYFUNCTION("""COMPUTED_VALUE"""),45146)</f>
        <v>45146</v>
      </c>
      <c r="F660" s="8" t="str">
        <f ca="1">IFERROR(__xludf.DUMMYFUNCTION("""COMPUTED_VALUE"""),"Booker T. Washington STEM Academy")</f>
        <v>Booker T. Washington STEM Academy</v>
      </c>
      <c r="G660" s="8">
        <f ca="1">IFERROR(__xludf.DUMMYFUNCTION("""COMPUTED_VALUE"""),0)</f>
        <v>0</v>
      </c>
      <c r="H660" s="8">
        <f ca="1">IFERROR(__xludf.DUMMYFUNCTION("""COMPUTED_VALUE"""),0)</f>
        <v>0</v>
      </c>
      <c r="I660" s="8">
        <f ca="1">IFERROR(__xludf.DUMMYFUNCTION("""COMPUTED_VALUE"""),0)</f>
        <v>0</v>
      </c>
      <c r="J660" s="8">
        <f ca="1">IFERROR(__xludf.DUMMYFUNCTION("""COMPUTED_VALUE"""),0)</f>
        <v>0</v>
      </c>
      <c r="K660" s="10" t="str">
        <f ca="1">IFERROR(__xludf.DUMMYFUNCTION("""COMPUTED_VALUE"""),"https://www.news-gazette.com/news/local/courts-police-fire/police-investigating-shot-fired-into-window-at-champaign-elementary-school/article_2f53ca52-438b-5584-a3dd-439007eb6d2b.html")</f>
        <v>https://www.news-gazette.com/news/local/courts-police-fire/police-investigating-shot-fired-into-window-at-champaign-elementary-school/article_2f53ca52-438b-5584-a3dd-439007eb6d2b.html</v>
      </c>
      <c r="L660" s="8">
        <f ca="1">IFERROR(__xludf.DUMMYFUNCTION("""COMPUTED_VALUE"""),3)</f>
        <v>3</v>
      </c>
      <c r="M660" s="8" t="str">
        <f ca="1">IFERROR(__xludf.DUMMYFUNCTION("""COMPUTED_VALUE"""),"Local")</f>
        <v>Local</v>
      </c>
      <c r="N660" s="8">
        <f ca="1">IFERROR(__xludf.DUMMYFUNCTION("""COMPUTED_VALUE"""),4)</f>
        <v>4</v>
      </c>
      <c r="O660" s="8" t="str">
        <f ca="1">IFERROR(__xludf.DUMMYFUNCTION("""COMPUTED_VALUE"""),"Summer")</f>
        <v>Summer</v>
      </c>
      <c r="P660" s="8" t="str">
        <f ca="1">IFERROR(__xludf.DUMMYFUNCTION("""COMPUTED_VALUE"""),"Champaign")</f>
        <v>Champaign</v>
      </c>
      <c r="Q660" s="8" t="str">
        <f ca="1">IFERROR(__xludf.DUMMYFUNCTION("""COMPUTED_VALUE"""),"IL")</f>
        <v>IL</v>
      </c>
      <c r="R660" s="8" t="str">
        <f ca="1">IFERROR(__xludf.DUMMYFUNCTION("""COMPUTED_VALUE"""),"Elementary")</f>
        <v>Elementary</v>
      </c>
      <c r="S660" s="8" t="str">
        <f ca="1">IFERROR(__xludf.DUMMYFUNCTION("""COMPUTED_VALUE"""),"Office")</f>
        <v>Office</v>
      </c>
      <c r="T660" s="8" t="str">
        <f ca="1">IFERROR(__xludf.DUMMYFUNCTION("""COMPUTED_VALUE"""),"Outside on School Property")</f>
        <v>Outside on School Property</v>
      </c>
      <c r="U660" s="8" t="str">
        <f ca="1">IFERROR(__xludf.DUMMYFUNCTION("""COMPUTED_VALUE"""),"Yes")</f>
        <v>Yes</v>
      </c>
      <c r="V660" s="8" t="str">
        <f ca="1">IFERROR(__xludf.DUMMYFUNCTION("""COMPUTED_VALUE"""),"Before School")</f>
        <v>Before School</v>
      </c>
      <c r="W660" s="11">
        <f ca="1">IFERROR(__xludf.DUMMYFUNCTION("""COMPUTED_VALUE"""),0.364583333333333)</f>
        <v>0.36458333333333298</v>
      </c>
      <c r="X660" s="8">
        <f ca="1">IFERROR(__xludf.DUMMYFUNCTION("""COMPUTED_VALUE"""),1)</f>
        <v>1</v>
      </c>
      <c r="Y660" s="12" t="str">
        <f ca="1">IFERROR(__xludf.DUMMYFUNCTION("""COMPUTED_VALUE"""),"Window broken by bullet while staff were inside")</f>
        <v>Window broken by bullet while staff were inside</v>
      </c>
      <c r="Z660" s="12" t="str">
        <f ca="1">IFERROR(__xludf.DUMMYFUNCTION("""COMPUTED_VALUE"""),"Employees discovered a broken window in the administrative office about 8:45 a.m. Officers found metal fragments on the floor that appeared to be bullet fragments. CCTV did not show the shooting.")</f>
        <v>Employees discovered a broken window in the administrative office about 8:45 a.m. Officers found metal fragments on the floor that appeared to be bullet fragments. CCTV did not show the shooting.</v>
      </c>
      <c r="AA660" s="8" t="str">
        <f ca="1">IFERROR(__xludf.DUMMYFUNCTION("""COMPUTED_VALUE"""),"Intentional Property Damage")</f>
        <v>Intentional Property Damage</v>
      </c>
      <c r="AB660" s="8"/>
      <c r="AC660" s="8" t="str">
        <f ca="1">IFERROR(__xludf.DUMMYFUNCTION("""COMPUTED_VALUE"""),"Yes")</f>
        <v>Yes</v>
      </c>
      <c r="AD660" s="8" t="str">
        <f ca="1">IFERROR(__xludf.DUMMYFUNCTION("""COMPUTED_VALUE"""),"Neither")</f>
        <v>Neither</v>
      </c>
      <c r="AE660" s="8" t="str">
        <f ca="1">IFERROR(__xludf.DUMMYFUNCTION("""COMPUTED_VALUE"""),"No")</f>
        <v>No</v>
      </c>
      <c r="AF660" s="8"/>
      <c r="AG660" s="8" t="str">
        <f ca="1">IFERROR(__xludf.DUMMYFUNCTION("""COMPUTED_VALUE"""),"No")</f>
        <v>No</v>
      </c>
      <c r="AH660" s="8" t="str">
        <f ca="1">IFERROR(__xludf.DUMMYFUNCTION("""COMPUTED_VALUE"""),"No")</f>
        <v>No</v>
      </c>
      <c r="AI660" s="8" t="str">
        <f ca="1">IFERROR(__xludf.DUMMYFUNCTION("""COMPUTED_VALUE"""),"No")</f>
        <v>No</v>
      </c>
      <c r="AJ660" s="8" t="str">
        <f ca="1">IFERROR(__xludf.DUMMYFUNCTION("""COMPUTED_VALUE"""),"No")</f>
        <v>No</v>
      </c>
      <c r="AK660" s="8" t="str">
        <f ca="1">IFERROR(__xludf.DUMMYFUNCTION("""COMPUTED_VALUE"""),"No")</f>
        <v>No</v>
      </c>
      <c r="AL660" s="8" t="str">
        <f ca="1">IFERROR(__xludf.DUMMYFUNCTION("""COMPUTED_VALUE"""),"No")</f>
        <v>No</v>
      </c>
      <c r="AM660" s="8" t="str">
        <f ca="1">IFERROR(__xludf.DUMMYFUNCTION("""COMPUTED_VALUE"""),"No")</f>
        <v>No</v>
      </c>
      <c r="AN660" s="8" t="str">
        <f ca="1">IFERROR(__xludf.DUMMYFUNCTION("""COMPUTED_VALUE"""),"Outside")</f>
        <v>Outside</v>
      </c>
      <c r="AO660" s="8" t="str">
        <f ca="1">IFERROR(__xludf.DUMMYFUNCTION("""COMPUTED_VALUE"""),"No")</f>
        <v>No</v>
      </c>
      <c r="AP660" s="8"/>
      <c r="AQ660" s="8"/>
      <c r="AR660" s="8" t="str">
        <f ca="1">IFERROR(__xludf.DUMMYFUNCTION("""COMPUTED_VALUE"""),"Outside/Off-Property")</f>
        <v>Outside/Off-Property</v>
      </c>
      <c r="AS660" s="8">
        <f ca="1">IFERROR(__xludf.DUMMYFUNCTION("""COMPUTED_VALUE"""),1)</f>
        <v>1</v>
      </c>
      <c r="AT660" s="8" t="str">
        <f ca="1">IFERROR(__xludf.DUMMYFUNCTION("""COMPUTED_VALUE"""),"No")</f>
        <v>No</v>
      </c>
      <c r="AU660" s="8">
        <f ca="1">IFERROR(__xludf.DUMMYFUNCTION("""COMPUTED_VALUE"""),40.123139)</f>
        <v>40.123139000000002</v>
      </c>
      <c r="AV660" s="8">
        <f ca="1">IFERROR(__xludf.DUMMYFUNCTION("""COMPUTED_VALUE"""),-88.229379)</f>
        <v>-88.229378999999994</v>
      </c>
      <c r="AW660" s="8"/>
      <c r="AX660" s="8">
        <f ca="1">IFERROR(__xludf.DUMMYFUNCTION("""COMPUTED_VALUE"""),61801)</f>
        <v>61801</v>
      </c>
    </row>
    <row r="661" spans="1:50" ht="120" x14ac:dyDescent="0.2">
      <c r="A661" s="8" t="str">
        <f ca="1">IFERROR(__xludf.DUMMYFUNCTION("""COMPUTED_VALUE"""),"20230807WAHIS")</f>
        <v>20230807WAHIS</v>
      </c>
      <c r="B661" s="8">
        <f ca="1">IFERROR(__xludf.DUMMYFUNCTION("""COMPUTED_VALUE"""),8)</f>
        <v>8</v>
      </c>
      <c r="C661" s="8">
        <f ca="1">IFERROR(__xludf.DUMMYFUNCTION("""COMPUTED_VALUE"""),7)</f>
        <v>7</v>
      </c>
      <c r="D661" s="8">
        <f ca="1">IFERROR(__xludf.DUMMYFUNCTION("""COMPUTED_VALUE"""),2023)</f>
        <v>2023</v>
      </c>
      <c r="E661" s="9">
        <f ca="1">IFERROR(__xludf.DUMMYFUNCTION("""COMPUTED_VALUE"""),45145)</f>
        <v>45145</v>
      </c>
      <c r="F661" s="8" t="str">
        <f ca="1">IFERROR(__xludf.DUMMYFUNCTION("""COMPUTED_VALUE"""),"Highland Park Elementary School")</f>
        <v>Highland Park Elementary School</v>
      </c>
      <c r="G661" s="8">
        <f ca="1">IFERROR(__xludf.DUMMYFUNCTION("""COMPUTED_VALUE"""),0)</f>
        <v>0</v>
      </c>
      <c r="H661" s="8">
        <f ca="1">IFERROR(__xludf.DUMMYFUNCTION("""COMPUTED_VALUE"""),0)</f>
        <v>0</v>
      </c>
      <c r="I661" s="8">
        <f ca="1">IFERROR(__xludf.DUMMYFUNCTION("""COMPUTED_VALUE"""),0)</f>
        <v>0</v>
      </c>
      <c r="J661" s="8">
        <f ca="1">IFERROR(__xludf.DUMMYFUNCTION("""COMPUTED_VALUE"""),0)</f>
        <v>0</v>
      </c>
      <c r="K661" s="10" t="str">
        <f ca="1">IFERROR(__xludf.DUMMYFUNCTION("""COMPUTED_VALUE"""),"https://www.kiro7.com/news/local/kids-playing-with-spent-casing-leads-seattle-police-discovering-shots-fired-school/PQD4YFMXYVDXPLDANAUG4JYU5Q/")</f>
        <v>https://www.kiro7.com/news/local/kids-playing-with-spent-casing-leads-seattle-police-discovering-shots-fired-school/PQD4YFMXYVDXPLDANAUG4JYU5Q/</v>
      </c>
      <c r="L661" s="8">
        <f ca="1">IFERROR(__xludf.DUMMYFUNCTION("""COMPUTED_VALUE"""),2)</f>
        <v>2</v>
      </c>
      <c r="M661" s="8" t="str">
        <f ca="1">IFERROR(__xludf.DUMMYFUNCTION("""COMPUTED_VALUE"""),"Local")</f>
        <v>Local</v>
      </c>
      <c r="N661" s="8">
        <f ca="1">IFERROR(__xludf.DUMMYFUNCTION("""COMPUTED_VALUE"""),4)</f>
        <v>4</v>
      </c>
      <c r="O661" s="8" t="str">
        <f ca="1">IFERROR(__xludf.DUMMYFUNCTION("""COMPUTED_VALUE"""),"Summer")</f>
        <v>Summer</v>
      </c>
      <c r="P661" s="8" t="str">
        <f ca="1">IFERROR(__xludf.DUMMYFUNCTION("""COMPUTED_VALUE"""),"Seattle")</f>
        <v>Seattle</v>
      </c>
      <c r="Q661" s="8" t="str">
        <f ca="1">IFERROR(__xludf.DUMMYFUNCTION("""COMPUTED_VALUE"""),"WA")</f>
        <v>WA</v>
      </c>
      <c r="R661" s="8" t="str">
        <f ca="1">IFERROR(__xludf.DUMMYFUNCTION("""COMPUTED_VALUE"""),"Elementary")</f>
        <v>Elementary</v>
      </c>
      <c r="S661" s="8" t="str">
        <f ca="1">IFERROR(__xludf.DUMMYFUNCTION("""COMPUTED_VALUE"""),"Playground")</f>
        <v>Playground</v>
      </c>
      <c r="T661" s="8" t="str">
        <f ca="1">IFERROR(__xludf.DUMMYFUNCTION("""COMPUTED_VALUE"""),"Outside on School Property")</f>
        <v>Outside on School Property</v>
      </c>
      <c r="U661" s="8" t="str">
        <f ca="1">IFERROR(__xludf.DUMMYFUNCTION("""COMPUTED_VALUE"""),"No")</f>
        <v>No</v>
      </c>
      <c r="V661" s="8" t="str">
        <f ca="1">IFERROR(__xludf.DUMMYFUNCTION("""COMPUTED_VALUE"""),"Night")</f>
        <v>Night</v>
      </c>
      <c r="W661" s="8"/>
      <c r="X661" s="8">
        <f ca="1">IFERROR(__xludf.DUMMYFUNCTION("""COMPUTED_VALUE"""),1)</f>
        <v>1</v>
      </c>
      <c r="Y661" s="12" t="str">
        <f ca="1">IFERROR(__xludf.DUMMYFUNCTION("""COMPUTED_VALUE"""),"Shots fired at school building, light broken, casings found on playground")</f>
        <v>Shots fired at school building, light broken, casings found on playground</v>
      </c>
      <c r="Z661" s="12" t="str">
        <f ca="1">IFERROR(__xludf.DUMMYFUNCTION("""COMPUTED_VALUE"""),"An elementary school in West Seattle was hit by several bullets, which was discovered after staff saw kids handling a spent casing in the playground. At about 10:32 a.m. Monday, staff at Highland Park Elementary School saw bullet damage to the building af"&amp;"ter they saw two kids with the spent casing. Seattle police that responded noted damage to a floodlight and damage to the outside of the building where the floodlight was located.")</f>
        <v>An elementary school in West Seattle was hit by several bullets, which was discovered after staff saw kids handling a spent casing in the playground. At about 10:32 a.m. Monday, staff at Highland Park Elementary School saw bullet damage to the building after they saw two kids with the spent casing. Seattle police that responded noted damage to a floodlight and damage to the outside of the building where the floodlight was located.</v>
      </c>
      <c r="AA661" s="8" t="str">
        <f ca="1">IFERROR(__xludf.DUMMYFUNCTION("""COMPUTED_VALUE"""),"Intentional Property Damage")</f>
        <v>Intentional Property Damage</v>
      </c>
      <c r="AB661" s="8"/>
      <c r="AC661" s="8" t="str">
        <f ca="1">IFERROR(__xludf.DUMMYFUNCTION("""COMPUTED_VALUE"""),"Yes")</f>
        <v>Yes</v>
      </c>
      <c r="AD661" s="8" t="str">
        <f ca="1">IFERROR(__xludf.DUMMYFUNCTION("""COMPUTED_VALUE"""),"Neither")</f>
        <v>Neither</v>
      </c>
      <c r="AE661" s="8" t="str">
        <f ca="1">IFERROR(__xludf.DUMMYFUNCTION("""COMPUTED_VALUE"""),"No")</f>
        <v>No</v>
      </c>
      <c r="AF661" s="8"/>
      <c r="AG661" s="8" t="str">
        <f ca="1">IFERROR(__xludf.DUMMYFUNCTION("""COMPUTED_VALUE"""),"No")</f>
        <v>No</v>
      </c>
      <c r="AH661" s="8" t="str">
        <f ca="1">IFERROR(__xludf.DUMMYFUNCTION("""COMPUTED_VALUE"""),"No")</f>
        <v>No</v>
      </c>
      <c r="AI661" s="8" t="str">
        <f ca="1">IFERROR(__xludf.DUMMYFUNCTION("""COMPUTED_VALUE"""),"No")</f>
        <v>No</v>
      </c>
      <c r="AJ661" s="8" t="str">
        <f ca="1">IFERROR(__xludf.DUMMYFUNCTION("""COMPUTED_VALUE"""),"No")</f>
        <v>No</v>
      </c>
      <c r="AK661" s="8" t="str">
        <f ca="1">IFERROR(__xludf.DUMMYFUNCTION("""COMPUTED_VALUE"""),"No")</f>
        <v>No</v>
      </c>
      <c r="AL661" s="8" t="str">
        <f ca="1">IFERROR(__xludf.DUMMYFUNCTION("""COMPUTED_VALUE"""),"No")</f>
        <v>No</v>
      </c>
      <c r="AM661" s="8" t="str">
        <f ca="1">IFERROR(__xludf.DUMMYFUNCTION("""COMPUTED_VALUE"""),"No")</f>
        <v>No</v>
      </c>
      <c r="AN661" s="8" t="str">
        <f ca="1">IFERROR(__xludf.DUMMYFUNCTION("""COMPUTED_VALUE"""),"Outside")</f>
        <v>Outside</v>
      </c>
      <c r="AO661" s="8" t="str">
        <f ca="1">IFERROR(__xludf.DUMMYFUNCTION("""COMPUTED_VALUE"""),"No")</f>
        <v>No</v>
      </c>
      <c r="AP661" s="8"/>
      <c r="AQ661" s="8"/>
      <c r="AR661" s="8" t="str">
        <f ca="1">IFERROR(__xludf.DUMMYFUNCTION("""COMPUTED_VALUE"""),"Outside/Off-Property")</f>
        <v>Outside/Off-Property</v>
      </c>
      <c r="AS661" s="8">
        <f ca="1">IFERROR(__xludf.DUMMYFUNCTION("""COMPUTED_VALUE"""),99)</f>
        <v>99</v>
      </c>
      <c r="AT661" s="8" t="str">
        <f ca="1">IFERROR(__xludf.DUMMYFUNCTION("""COMPUTED_VALUE"""),"No")</f>
        <v>No</v>
      </c>
      <c r="AU661" s="8">
        <f ca="1">IFERROR(__xludf.DUMMYFUNCTION("""COMPUTED_VALUE"""),47.524993)</f>
        <v>47.524993000000002</v>
      </c>
      <c r="AV661" s="8">
        <f ca="1">IFERROR(__xludf.DUMMYFUNCTION("""COMPUTED_VALUE"""),-122.34883)</f>
        <v>-122.34883000000001</v>
      </c>
      <c r="AW661" s="8"/>
      <c r="AX661" s="8">
        <f ca="1">IFERROR(__xludf.DUMMYFUNCTION("""COMPUTED_VALUE"""),98106)</f>
        <v>98106</v>
      </c>
    </row>
    <row r="662" spans="1:50" ht="300" x14ac:dyDescent="0.2">
      <c r="A662" s="8" t="str">
        <f ca="1">IFERROR(__xludf.DUMMYFUNCTION("""COMPUTED_VALUE"""),"20230731TNMAM")</f>
        <v>20230731TNMAM</v>
      </c>
      <c r="B662" s="8">
        <f ca="1">IFERROR(__xludf.DUMMYFUNCTION("""COMPUTED_VALUE"""),7)</f>
        <v>7</v>
      </c>
      <c r="C662" s="8">
        <f ca="1">IFERROR(__xludf.DUMMYFUNCTION("""COMPUTED_VALUE"""),31)</f>
        <v>31</v>
      </c>
      <c r="D662" s="8">
        <f ca="1">IFERROR(__xludf.DUMMYFUNCTION("""COMPUTED_VALUE"""),2023)</f>
        <v>2023</v>
      </c>
      <c r="E662" s="9">
        <f ca="1">IFERROR(__xludf.DUMMYFUNCTION("""COMPUTED_VALUE"""),45138)</f>
        <v>45138</v>
      </c>
      <c r="F662" s="8" t="str">
        <f ca="1">IFERROR(__xludf.DUMMYFUNCTION("""COMPUTED_VALUE"""),"Margolin Hebrew Academy")</f>
        <v>Margolin Hebrew Academy</v>
      </c>
      <c r="G662" s="8">
        <f ca="1">IFERROR(__xludf.DUMMYFUNCTION("""COMPUTED_VALUE"""),0)</f>
        <v>0</v>
      </c>
      <c r="H662" s="8">
        <f ca="1">IFERROR(__xludf.DUMMYFUNCTION("""COMPUTED_VALUE"""),0)</f>
        <v>0</v>
      </c>
      <c r="I662" s="8">
        <f ca="1">IFERROR(__xludf.DUMMYFUNCTION("""COMPUTED_VALUE"""),0)</f>
        <v>0</v>
      </c>
      <c r="J662" s="8">
        <f ca="1">IFERROR(__xludf.DUMMYFUNCTION("""COMPUTED_VALUE"""),0)</f>
        <v>0</v>
      </c>
      <c r="K662" s="8" t="str">
        <f ca="1">IFERROR(__xludf.DUMMYFUNCTION("""COMPUTED_VALUE"""),"https://apnews.com/article/jewish-school-memphis-shots-fired-police-098e61f56fc99285932a157301cf2383
https://www.cnn.com/2023/07/31/us/memphis-margolin-hebrew-academy-shooting/index.html
https://wreg.com/news/local/jewish-school-shooting-suspect-charged-w"&amp;"ith-attempted-second-degree-murder/")</f>
        <v>https://apnews.com/article/jewish-school-memphis-shots-fired-police-098e61f56fc99285932a157301cf2383
https://www.cnn.com/2023/07/31/us/memphis-margolin-hebrew-academy-shooting/index.html
https://wreg.com/news/local/jewish-school-shooting-suspect-charged-with-attempted-second-degree-murder/</v>
      </c>
      <c r="L662" s="8">
        <f ca="1">IFERROR(__xludf.DUMMYFUNCTION("""COMPUTED_VALUE"""),999)</f>
        <v>999</v>
      </c>
      <c r="M662" s="8" t="str">
        <f ca="1">IFERROR(__xludf.DUMMYFUNCTION("""COMPUTED_VALUE"""),"National")</f>
        <v>National</v>
      </c>
      <c r="N662" s="8">
        <f ca="1">IFERROR(__xludf.DUMMYFUNCTION("""COMPUTED_VALUE"""),4)</f>
        <v>4</v>
      </c>
      <c r="O662" s="8" t="str">
        <f ca="1">IFERROR(__xludf.DUMMYFUNCTION("""COMPUTED_VALUE"""),"Summer")</f>
        <v>Summer</v>
      </c>
      <c r="P662" s="8" t="str">
        <f ca="1">IFERROR(__xludf.DUMMYFUNCTION("""COMPUTED_VALUE"""),"Memphis")</f>
        <v>Memphis</v>
      </c>
      <c r="Q662" s="8" t="str">
        <f ca="1">IFERROR(__xludf.DUMMYFUNCTION("""COMPUTED_VALUE"""),"TN")</f>
        <v>TN</v>
      </c>
      <c r="R662" s="8" t="str">
        <f ca="1">IFERROR(__xludf.DUMMYFUNCTION("""COMPUTED_VALUE"""),"K-12")</f>
        <v>K-12</v>
      </c>
      <c r="S662" s="8" t="str">
        <f ca="1">IFERROR(__xludf.DUMMYFUNCTION("""COMPUTED_VALUE"""),"Front of School")</f>
        <v>Front of School</v>
      </c>
      <c r="T662" s="8" t="str">
        <f ca="1">IFERROR(__xludf.DUMMYFUNCTION("""COMPUTED_VALUE"""),"Outside on School Property")</f>
        <v>Outside on School Property</v>
      </c>
      <c r="U662" s="8" t="str">
        <f ca="1">IFERROR(__xludf.DUMMYFUNCTION("""COMPUTED_VALUE"""),"Yes")</f>
        <v>Yes</v>
      </c>
      <c r="V662" s="8" t="str">
        <f ca="1">IFERROR(__xludf.DUMMYFUNCTION("""COMPUTED_VALUE"""),"Afternoon Classes")</f>
        <v>Afternoon Classes</v>
      </c>
      <c r="W662" s="11">
        <f ca="1">IFERROR(__xludf.DUMMYFUNCTION("""COMPUTED_VALUE"""),0.513888888888888)</f>
        <v>0.51388888888888795</v>
      </c>
      <c r="X662" s="8">
        <f ca="1">IFERROR(__xludf.DUMMYFUNCTION("""COMPUTED_VALUE"""),1)</f>
        <v>1</v>
      </c>
      <c r="Y662" s="12" t="str">
        <f ca="1">IFERROR(__xludf.DUMMYFUNCTION("""COMPUTED_VALUE"""),"Former student attempted to enter school, fired shots outside, fled, and was shot by police")</f>
        <v>Former student attempted to enter school, fired shots outside, fled, and was shot by police</v>
      </c>
      <c r="Z662" s="12" t="str">
        <f ca="1">IFERROR(__xludf.DUMMYFUNCTION("""COMPUTED_VALUE"""),"Memphis police were called to the Margolin Hebrew Academy-Feinstone Yeshiva of the South around 12:20 p.m. ET after an armed man tried to enter the school, according to Memphis Police Assistant Chief Don Crowe. Police say the suspect tried to enter the bu"&amp;"ilding but couldn’t get inside. Class was not in session, but there were limited staff and construction workers there at the time. In an affidavit, police said Bowman — who had attended the school — walked around its exterior and fired two shots at the co"&amp;"ntractor, who was not hit. Bowman then fired two more shots outside the school before driving away in a pickup truck, police said. Officers tracked down Bowman a short drive from the school. He exited his truck with a gun in his right hand and pointed the"&amp;" weapon at an officer, who shot him, police said. Bowman was hospitalized in critical condition. Friend said he was diagnosed with PTSD, perhaps stemming from his father’s death in 2003, when police fatally shot him during a mental health episode. He said"&amp;" doctors recently changed Bowman’s medication and he noticed Bowman’s behavior change. ")</f>
        <v xml:space="preserve">Memphis police were called to the Margolin Hebrew Academy-Feinstone Yeshiva of the South around 12:20 p.m. ET after an armed man tried to enter the school, according to Memphis Police Assistant Chief Don Crowe. Police say the suspect tried to enter the building but couldn’t get inside. Class was not in session, but there were limited staff and construction workers there at the time. In an affidavit, police said Bowman — who had attended the school — walked around its exterior and fired two shots at the contractor, who was not hit. Bowman then fired two more shots outside the school before driving away in a pickup truck, police said. Officers tracked down Bowman a short drive from the school. He exited his truck with a gun in his right hand and pointed the weapon at an officer, who shot him, police said. Bowman was hospitalized in critical condition. Friend said he was diagnosed with PTSD, perhaps stemming from his father’s death in 2003, when police fatally shot him during a mental health episode. He said doctors recently changed Bowman’s medication and he noticed Bowman’s behavior change. </v>
      </c>
      <c r="AA662" s="8" t="str">
        <f ca="1">IFERROR(__xludf.DUMMYFUNCTION("""COMPUTED_VALUE"""),"Psychosis")</f>
        <v>Psychosis</v>
      </c>
      <c r="AB662" s="8"/>
      <c r="AC662" s="8" t="str">
        <f ca="1">IFERROR(__xludf.DUMMYFUNCTION("""COMPUTED_VALUE"""),"Yes")</f>
        <v>Yes</v>
      </c>
      <c r="AD662" s="8" t="str">
        <f ca="1">IFERROR(__xludf.DUMMYFUNCTION("""COMPUTED_VALUE"""),"Random Shooting")</f>
        <v>Random Shooting</v>
      </c>
      <c r="AE662" s="8" t="str">
        <f ca="1">IFERROR(__xludf.DUMMYFUNCTION("""COMPUTED_VALUE"""),"No")</f>
        <v>No</v>
      </c>
      <c r="AF662" s="8"/>
      <c r="AG662" s="8" t="str">
        <f ca="1">IFERROR(__xludf.DUMMYFUNCTION("""COMPUTED_VALUE"""),"No")</f>
        <v>No</v>
      </c>
      <c r="AH662" s="8" t="str">
        <f ca="1">IFERROR(__xludf.DUMMYFUNCTION("""COMPUTED_VALUE"""),"No")</f>
        <v>No</v>
      </c>
      <c r="AI662" s="8" t="str">
        <f ca="1">IFERROR(__xludf.DUMMYFUNCTION("""COMPUTED_VALUE"""),"No")</f>
        <v>No</v>
      </c>
      <c r="AJ662" s="8" t="str">
        <f ca="1">IFERROR(__xludf.DUMMYFUNCTION("""COMPUTED_VALUE"""),"No")</f>
        <v>No</v>
      </c>
      <c r="AK662" s="8" t="str">
        <f ca="1">IFERROR(__xludf.DUMMYFUNCTION("""COMPUTED_VALUE"""),"No")</f>
        <v>No</v>
      </c>
      <c r="AL662" s="8" t="str">
        <f ca="1">IFERROR(__xludf.DUMMYFUNCTION("""COMPUTED_VALUE"""),"No")</f>
        <v>No</v>
      </c>
      <c r="AM662" s="8" t="str">
        <f ca="1">IFERROR(__xludf.DUMMYFUNCTION("""COMPUTED_VALUE"""),"Yes")</f>
        <v>Yes</v>
      </c>
      <c r="AN662" s="8" t="str">
        <f ca="1">IFERROR(__xludf.DUMMYFUNCTION("""COMPUTED_VALUE"""),"Outside")</f>
        <v>Outside</v>
      </c>
      <c r="AO662" s="8" t="str">
        <f ca="1">IFERROR(__xludf.DUMMYFUNCTION("""COMPUTED_VALUE"""),"Yes")</f>
        <v>Yes</v>
      </c>
      <c r="AP662" s="8"/>
      <c r="AQ662" s="8"/>
      <c r="AR662" s="8" t="str">
        <f ca="1">IFERROR(__xludf.DUMMYFUNCTION("""COMPUTED_VALUE"""),"Outside/Off-Property")</f>
        <v>Outside/Off-Property</v>
      </c>
      <c r="AS662" s="8">
        <f ca="1">IFERROR(__xludf.DUMMYFUNCTION("""COMPUTED_VALUE"""),99)</f>
        <v>99</v>
      </c>
      <c r="AT662" s="8" t="str">
        <f ca="1">IFERROR(__xludf.DUMMYFUNCTION("""COMPUTED_VALUE"""),"Yes")</f>
        <v>Yes</v>
      </c>
      <c r="AU662" s="8">
        <f ca="1">IFERROR(__xludf.DUMMYFUNCTION("""COMPUTED_VALUE"""),35.120456)</f>
        <v>35.120455999999997</v>
      </c>
      <c r="AV662" s="8">
        <f ca="1">IFERROR(__xludf.DUMMYFUNCTION("""COMPUTED_VALUE"""),-89.886498)</f>
        <v>-89.886498000000003</v>
      </c>
      <c r="AW662" s="8"/>
      <c r="AX662" s="8">
        <f ca="1">IFERROR(__xludf.DUMMYFUNCTION("""COMPUTED_VALUE"""),38117)</f>
        <v>38117</v>
      </c>
    </row>
    <row r="663" spans="1:50" ht="105" x14ac:dyDescent="0.2">
      <c r="A663" s="8" t="str">
        <f ca="1">IFERROR(__xludf.DUMMYFUNCTION("""COMPUTED_VALUE"""),"20230726DCMAW")</f>
        <v>20230726DCMAW</v>
      </c>
      <c r="B663" s="8">
        <f ca="1">IFERROR(__xludf.DUMMYFUNCTION("""COMPUTED_VALUE"""),7)</f>
        <v>7</v>
      </c>
      <c r="C663" s="8">
        <f ca="1">IFERROR(__xludf.DUMMYFUNCTION("""COMPUTED_VALUE"""),26)</f>
        <v>26</v>
      </c>
      <c r="D663" s="8">
        <f ca="1">IFERROR(__xludf.DUMMYFUNCTION("""COMPUTED_VALUE"""),2023)</f>
        <v>2023</v>
      </c>
      <c r="E663" s="9">
        <f ca="1">IFERROR(__xludf.DUMMYFUNCTION("""COMPUTED_VALUE"""),45133)</f>
        <v>45133</v>
      </c>
      <c r="F663" s="8" t="str">
        <f ca="1">IFERROR(__xludf.DUMMYFUNCTION("""COMPUTED_VALUE"""),"Marie Reed Elementary School")</f>
        <v>Marie Reed Elementary School</v>
      </c>
      <c r="G663" s="8">
        <f ca="1">IFERROR(__xludf.DUMMYFUNCTION("""COMPUTED_VALUE"""),1)</f>
        <v>1</v>
      </c>
      <c r="H663" s="8">
        <f ca="1">IFERROR(__xludf.DUMMYFUNCTION("""COMPUTED_VALUE"""),0)</f>
        <v>0</v>
      </c>
      <c r="I663" s="8">
        <f ca="1">IFERROR(__xludf.DUMMYFUNCTION("""COMPUTED_VALUE"""),1)</f>
        <v>1</v>
      </c>
      <c r="J663" s="8">
        <f ca="1">IFERROR(__xludf.DUMMYFUNCTION("""COMPUTED_VALUE"""),0)</f>
        <v>0</v>
      </c>
      <c r="K663" s="10" t="str">
        <f ca="1">IFERROR(__xludf.DUMMYFUNCTION("""COMPUTED_VALUE"""),"https://www.dcnewsnow.com/news/local-news/washington-dc/fatal-shooting-across-from-a-dc-recreational-center/
https://wjla.com/news/local/shooting-adams-morgan-kalorama-deadly-nw-dc-metropolitan-police-department-mpd-near-marie-reed-elementary-school-socce"&amp;"r-field-basketball-court-18-street-northwest-rec-center")</f>
        <v>https://www.dcnewsnow.com/news/local-news/washington-dc/fatal-shooting-across-from-a-dc-recreational-center/
https://wjla.com/news/local/shooting-adams-morgan-kalorama-deadly-nw-dc-metropolitan-police-department-mpd-near-marie-reed-elementary-school-soccer-field-basketball-court-18-street-northwest-rec-center</v>
      </c>
      <c r="L663" s="8">
        <f ca="1">IFERROR(__xludf.DUMMYFUNCTION("""COMPUTED_VALUE"""),2)</f>
        <v>2</v>
      </c>
      <c r="M663" s="8" t="str">
        <f ca="1">IFERROR(__xludf.DUMMYFUNCTION("""COMPUTED_VALUE"""),"Local")</f>
        <v>Local</v>
      </c>
      <c r="N663" s="8">
        <f ca="1">IFERROR(__xludf.DUMMYFUNCTION("""COMPUTED_VALUE"""),4)</f>
        <v>4</v>
      </c>
      <c r="O663" s="8" t="str">
        <f ca="1">IFERROR(__xludf.DUMMYFUNCTION("""COMPUTED_VALUE"""),"Summer")</f>
        <v>Summer</v>
      </c>
      <c r="P663" s="8" t="str">
        <f ca="1">IFERROR(__xludf.DUMMYFUNCTION("""COMPUTED_VALUE"""),"Washington")</f>
        <v>Washington</v>
      </c>
      <c r="Q663" s="8" t="str">
        <f ca="1">IFERROR(__xludf.DUMMYFUNCTION("""COMPUTED_VALUE"""),"DC")</f>
        <v>DC</v>
      </c>
      <c r="R663" s="8" t="str">
        <f ca="1">IFERROR(__xludf.DUMMYFUNCTION("""COMPUTED_VALUE"""),"Elementary")</f>
        <v>Elementary</v>
      </c>
      <c r="S663" s="8" t="str">
        <f ca="1">IFERROR(__xludf.DUMMYFUNCTION("""COMPUTED_VALUE"""),"Football Field/Track")</f>
        <v>Football Field/Track</v>
      </c>
      <c r="T663" s="8" t="str">
        <f ca="1">IFERROR(__xludf.DUMMYFUNCTION("""COMPUTED_VALUE"""),"Outside on School Property")</f>
        <v>Outside on School Property</v>
      </c>
      <c r="U663" s="8" t="str">
        <f ca="1">IFERROR(__xludf.DUMMYFUNCTION("""COMPUTED_VALUE"""),"No")</f>
        <v>No</v>
      </c>
      <c r="V663" s="8" t="str">
        <f ca="1">IFERROR(__xludf.DUMMYFUNCTION("""COMPUTED_VALUE"""),"Evening")</f>
        <v>Evening</v>
      </c>
      <c r="W663" s="11">
        <f ca="1">IFERROR(__xludf.DUMMYFUNCTION("""COMPUTED_VALUE"""),0.854166666666666)</f>
        <v>0.85416666666666596</v>
      </c>
      <c r="X663" s="8">
        <f ca="1">IFERROR(__xludf.DUMMYFUNCTION("""COMPUTED_VALUE"""),1)</f>
        <v>1</v>
      </c>
      <c r="Y663" s="12" t="str">
        <f ca="1">IFERROR(__xludf.DUMMYFUNCTION("""COMPUTED_VALUE"""),"Man killed on elementary school soccer field")</f>
        <v>Man killed on elementary school soccer field</v>
      </c>
      <c r="Z663" s="12" t="str">
        <f ca="1">IFERROR(__xludf.DUMMYFUNCTION("""COMPUTED_VALUE"""),"According to police investigation and witness testimony, a group of men were sitting in the bleachers at a soccer game on school grounds when an altercation broke out. The altercation seemingly escalated as a firearm was discharged, however, witness testi"&amp;"mony did not suggest that any verbal interaction had taken place. The shooter was reported casually leaving the scene.")</f>
        <v>According to police investigation and witness testimony, a group of men were sitting in the bleachers at a soccer game on school grounds when an altercation broke out. The altercation seemingly escalated as a firearm was discharged, however, witness testimony did not suggest that any verbal interaction had taken place. The shooter was reported casually leaving the scene.</v>
      </c>
      <c r="AA663" s="8" t="str">
        <f ca="1">IFERROR(__xludf.DUMMYFUNCTION("""COMPUTED_VALUE"""),"Escalation of Dispute")</f>
        <v>Escalation of Dispute</v>
      </c>
      <c r="AB663" s="8"/>
      <c r="AC663" s="8" t="str">
        <f ca="1">IFERROR(__xludf.DUMMYFUNCTION("""COMPUTED_VALUE"""),"No")</f>
        <v>No</v>
      </c>
      <c r="AD663" s="8" t="str">
        <f ca="1">IFERROR(__xludf.DUMMYFUNCTION("""COMPUTED_VALUE"""),"Victims Targeted")</f>
        <v>Victims Targeted</v>
      </c>
      <c r="AE663" s="8" t="str">
        <f ca="1">IFERROR(__xludf.DUMMYFUNCTION("""COMPUTED_VALUE"""),"No")</f>
        <v>No</v>
      </c>
      <c r="AF663" s="8"/>
      <c r="AG663" s="8" t="str">
        <f ca="1">IFERROR(__xludf.DUMMYFUNCTION("""COMPUTED_VALUE"""),"No")</f>
        <v>No</v>
      </c>
      <c r="AH663" s="8" t="str">
        <f ca="1">IFERROR(__xludf.DUMMYFUNCTION("""COMPUTED_VALUE"""),"No")</f>
        <v>No</v>
      </c>
      <c r="AI663" s="8" t="str">
        <f ca="1">IFERROR(__xludf.DUMMYFUNCTION("""COMPUTED_VALUE"""),"No")</f>
        <v>No</v>
      </c>
      <c r="AJ663" s="8" t="str">
        <f ca="1">IFERROR(__xludf.DUMMYFUNCTION("""COMPUTED_VALUE"""),"No")</f>
        <v>No</v>
      </c>
      <c r="AK663" s="8" t="str">
        <f ca="1">IFERROR(__xludf.DUMMYFUNCTION("""COMPUTED_VALUE"""),"No")</f>
        <v>No</v>
      </c>
      <c r="AL663" s="8" t="str">
        <f ca="1">IFERROR(__xludf.DUMMYFUNCTION("""COMPUTED_VALUE"""),"No")</f>
        <v>No</v>
      </c>
      <c r="AM663" s="8" t="str">
        <f ca="1">IFERROR(__xludf.DUMMYFUNCTION("""COMPUTED_VALUE"""),"No")</f>
        <v>No</v>
      </c>
      <c r="AN663" s="8" t="str">
        <f ca="1">IFERROR(__xludf.DUMMYFUNCTION("""COMPUTED_VALUE"""),"Outside")</f>
        <v>Outside</v>
      </c>
      <c r="AO663" s="8" t="str">
        <f ca="1">IFERROR(__xludf.DUMMYFUNCTION("""COMPUTED_VALUE"""),"No")</f>
        <v>No</v>
      </c>
      <c r="AP663" s="8"/>
      <c r="AQ663" s="8"/>
      <c r="AR663" s="8" t="str">
        <f ca="1">IFERROR(__xludf.DUMMYFUNCTION("""COMPUTED_VALUE"""),"Outside/Off-Property")</f>
        <v>Outside/Off-Property</v>
      </c>
      <c r="AS663" s="8">
        <f ca="1">IFERROR(__xludf.DUMMYFUNCTION("""COMPUTED_VALUE"""),1)</f>
        <v>1</v>
      </c>
      <c r="AT663" s="8" t="str">
        <f ca="1">IFERROR(__xludf.DUMMYFUNCTION("""COMPUTED_VALUE"""),"No")</f>
        <v>No</v>
      </c>
      <c r="AU663" s="8">
        <f ca="1">IFERROR(__xludf.DUMMYFUNCTION("""COMPUTED_VALUE"""),38.918471)</f>
        <v>38.918470999999997</v>
      </c>
      <c r="AV663" s="8">
        <f ca="1">IFERROR(__xludf.DUMMYFUNCTION("""COMPUTED_VALUE"""),-77.040641)</f>
        <v>-77.040640999999994</v>
      </c>
      <c r="AW663" s="8"/>
      <c r="AX663" s="8">
        <f ca="1">IFERROR(__xludf.DUMMYFUNCTION("""COMPUTED_VALUE"""),20009)</f>
        <v>20009</v>
      </c>
    </row>
    <row r="664" spans="1:50" ht="255" x14ac:dyDescent="0.2">
      <c r="A664" s="8" t="str">
        <f ca="1">IFERROR(__xludf.DUMMYFUNCTION("""COMPUTED_VALUE"""),"20230725TNFRM")</f>
        <v>20230725TNFRM</v>
      </c>
      <c r="B664" s="8">
        <f ca="1">IFERROR(__xludf.DUMMYFUNCTION("""COMPUTED_VALUE"""),7)</f>
        <v>7</v>
      </c>
      <c r="C664" s="8">
        <f ca="1">IFERROR(__xludf.DUMMYFUNCTION("""COMPUTED_VALUE"""),25)</f>
        <v>25</v>
      </c>
      <c r="D664" s="8">
        <f ca="1">IFERROR(__xludf.DUMMYFUNCTION("""COMPUTED_VALUE"""),2023)</f>
        <v>2023</v>
      </c>
      <c r="E664" s="9">
        <f ca="1">IFERROR(__xludf.DUMMYFUNCTION("""COMPUTED_VALUE"""),45132)</f>
        <v>45132</v>
      </c>
      <c r="F664" s="8" t="str">
        <f ca="1">IFERROR(__xludf.DUMMYFUNCTION("""COMPUTED_VALUE"""),"Freedom Prep Academy Westwood")</f>
        <v>Freedom Prep Academy Westwood</v>
      </c>
      <c r="G664" s="8">
        <f ca="1">IFERROR(__xludf.DUMMYFUNCTION("""COMPUTED_VALUE"""),0)</f>
        <v>0</v>
      </c>
      <c r="H664" s="8">
        <f ca="1">IFERROR(__xludf.DUMMYFUNCTION("""COMPUTED_VALUE"""),1)</f>
        <v>1</v>
      </c>
      <c r="I664" s="8">
        <f ca="1">IFERROR(__xludf.DUMMYFUNCTION("""COMPUTED_VALUE"""),1)</f>
        <v>1</v>
      </c>
      <c r="J664" s="8">
        <f ca="1">IFERROR(__xludf.DUMMYFUNCTION("""COMPUTED_VALUE"""),0)</f>
        <v>0</v>
      </c>
      <c r="K664" s="10" t="str">
        <f ca="1">IFERROR(__xludf.DUMMYFUNCTION("""COMPUTED_VALUE"""),"https://www.fox13memphis.com/news/security-guard-shot-at-memphis-high-school-police-say/article_d887aebe-2aea-11ee-8f4b-9339c33a29be.html")</f>
        <v>https://www.fox13memphis.com/news/security-guard-shot-at-memphis-high-school-police-say/article_d887aebe-2aea-11ee-8f4b-9339c33a29be.html</v>
      </c>
      <c r="L664" s="8">
        <f ca="1">IFERROR(__xludf.DUMMYFUNCTION("""COMPUTED_VALUE"""),5)</f>
        <v>5</v>
      </c>
      <c r="M664" s="8" t="str">
        <f ca="1">IFERROR(__xludf.DUMMYFUNCTION("""COMPUTED_VALUE"""),"Local")</f>
        <v>Local</v>
      </c>
      <c r="N664" s="8">
        <f ca="1">IFERROR(__xludf.DUMMYFUNCTION("""COMPUTED_VALUE"""),4)</f>
        <v>4</v>
      </c>
      <c r="O664" s="8" t="str">
        <f ca="1">IFERROR(__xludf.DUMMYFUNCTION("""COMPUTED_VALUE"""),"Summer")</f>
        <v>Summer</v>
      </c>
      <c r="P664" s="8" t="str">
        <f ca="1">IFERROR(__xludf.DUMMYFUNCTION("""COMPUTED_VALUE"""),"Memphis")</f>
        <v>Memphis</v>
      </c>
      <c r="Q664" s="8" t="str">
        <f ca="1">IFERROR(__xludf.DUMMYFUNCTION("""COMPUTED_VALUE"""),"TN")</f>
        <v>TN</v>
      </c>
      <c r="R664" s="8" t="str">
        <f ca="1">IFERROR(__xludf.DUMMYFUNCTION("""COMPUTED_VALUE"""),"High")</f>
        <v>High</v>
      </c>
      <c r="S664" s="8" t="str">
        <f ca="1">IFERROR(__xludf.DUMMYFUNCTION("""COMPUTED_VALUE"""),"Front of School")</f>
        <v>Front of School</v>
      </c>
      <c r="T664" s="8" t="str">
        <f ca="1">IFERROR(__xludf.DUMMYFUNCTION("""COMPUTED_VALUE"""),"Outside on School Property")</f>
        <v>Outside on School Property</v>
      </c>
      <c r="U664" s="8" t="str">
        <f ca="1">IFERROR(__xludf.DUMMYFUNCTION("""COMPUTED_VALUE"""),"No")</f>
        <v>No</v>
      </c>
      <c r="V664" s="8" t="str">
        <f ca="1">IFERROR(__xludf.DUMMYFUNCTION("""COMPUTED_VALUE"""),"Not a School Day")</f>
        <v>Not a School Day</v>
      </c>
      <c r="W664" s="11">
        <f ca="1">IFERROR(__xludf.DUMMYFUNCTION("""COMPUTED_VALUE"""),0.305555555555555)</f>
        <v>0.30555555555555503</v>
      </c>
      <c r="X664" s="8">
        <f ca="1">IFERROR(__xludf.DUMMYFUNCTION("""COMPUTED_VALUE"""),1)</f>
        <v>1</v>
      </c>
      <c r="Y664" s="12" t="str">
        <f ca="1">IFERROR(__xludf.DUMMYFUNCTION("""COMPUTED_VALUE"""),"Security guard shot in front of school")</f>
        <v>Security guard shot in front of school</v>
      </c>
      <c r="Z664" s="12" t="str">
        <f ca="1">IFERROR(__xludf.DUMMYFUNCTION("""COMPUTED_VALUE"""),"At around 7:20 a.m., officers responded to a shooting outside of Freedom Prep Academy Westwood on Parkrose Road, MPD said. MPD on scene told me a security guard contracted by Freedom Prep in Westwood is the person who got shot. The security guard was rush"&amp;"ed to Regional One in critical condition but is expected to be okay, MPD said. Memphis Police is looking for a burgundy sedan with five men inside. Sources told me the men shot into the security guard’s car. Officers say the security guard told them the b"&amp;"urgundy sedan drove past the school in the 700 block of Parkrose Avenue. The car went to the end of the street and made a U-turn before shooting into the guard’s car in front of the school. According to sources, the guard told officers he and the suspects"&amp;" didn’t exchange any communication before the shooting. From what I’ve been told the school hired the guard to provide safety for contractors inside of the building.")</f>
        <v>At around 7:20 a.m., officers responded to a shooting outside of Freedom Prep Academy Westwood on Parkrose Road, MPD said. MPD on scene told me a security guard contracted by Freedom Prep in Westwood is the person who got shot. The security guard was rushed to Regional One in critical condition but is expected to be okay, MPD said. Memphis Police is looking for a burgundy sedan with five men inside. Sources told me the men shot into the security guard’s car. Officers say the security guard told them the burgundy sedan drove past the school in the 700 block of Parkrose Avenue. The car went to the end of the street and made a U-turn before shooting into the guard’s car in front of the school. According to sources, the guard told officers he and the suspects didn’t exchange any communication before the shooting. From what I’ve been told the school hired the guard to provide safety for contractors inside of the building.</v>
      </c>
      <c r="AA664" s="8" t="str">
        <f ca="1">IFERROR(__xludf.DUMMYFUNCTION("""COMPUTED_VALUE"""),"Drive-by Shooting")</f>
        <v>Drive-by Shooting</v>
      </c>
      <c r="AB664" s="8"/>
      <c r="AC664" s="8" t="str">
        <f ca="1">IFERROR(__xludf.DUMMYFUNCTION("""COMPUTED_VALUE"""),"No")</f>
        <v>No</v>
      </c>
      <c r="AD664" s="8" t="str">
        <f ca="1">IFERROR(__xludf.DUMMYFUNCTION("""COMPUTED_VALUE"""),"Victims Targeted")</f>
        <v>Victims Targeted</v>
      </c>
      <c r="AE664" s="8" t="str">
        <f ca="1">IFERROR(__xludf.DUMMYFUNCTION("""COMPUTED_VALUE"""),"Yes")</f>
        <v>Yes</v>
      </c>
      <c r="AF664" s="8" t="str">
        <f ca="1">IFERROR(__xludf.DUMMYFUNCTION("""COMPUTED_VALUE"""),"5 men in car")</f>
        <v>5 men in car</v>
      </c>
      <c r="AG664" s="8" t="str">
        <f ca="1">IFERROR(__xludf.DUMMYFUNCTION("""COMPUTED_VALUE"""),"No")</f>
        <v>No</v>
      </c>
      <c r="AH664" s="8" t="str">
        <f ca="1">IFERROR(__xludf.DUMMYFUNCTION("""COMPUTED_VALUE"""),"No")</f>
        <v>No</v>
      </c>
      <c r="AI664" s="8" t="str">
        <f ca="1">IFERROR(__xludf.DUMMYFUNCTION("""COMPUTED_VALUE"""),"No")</f>
        <v>No</v>
      </c>
      <c r="AJ664" s="8" t="str">
        <f ca="1">IFERROR(__xludf.DUMMYFUNCTION("""COMPUTED_VALUE"""),"No")</f>
        <v>No</v>
      </c>
      <c r="AK664" s="8" t="str">
        <f ca="1">IFERROR(__xludf.DUMMYFUNCTION("""COMPUTED_VALUE"""),"No")</f>
        <v>No</v>
      </c>
      <c r="AL664" s="8"/>
      <c r="AM664" s="8" t="str">
        <f ca="1">IFERROR(__xludf.DUMMYFUNCTION("""COMPUTED_VALUE"""),"No")</f>
        <v>No</v>
      </c>
      <c r="AN664" s="8" t="str">
        <f ca="1">IFERROR(__xludf.DUMMYFUNCTION("""COMPUTED_VALUE"""),"Outside")</f>
        <v>Outside</v>
      </c>
      <c r="AO664" s="8" t="str">
        <f ca="1">IFERROR(__xludf.DUMMYFUNCTION("""COMPUTED_VALUE"""),"No")</f>
        <v>No</v>
      </c>
      <c r="AP664" s="8"/>
      <c r="AQ664" s="8" t="str">
        <f ca="1">IFERROR(__xludf.DUMMYFUNCTION("""COMPUTED_VALUE"""),"Guards")</f>
        <v>Guards</v>
      </c>
      <c r="AR664" s="8" t="str">
        <f ca="1">IFERROR(__xludf.DUMMYFUNCTION("""COMPUTED_VALUE"""),"Outside/Off-Property")</f>
        <v>Outside/Off-Property</v>
      </c>
      <c r="AS664" s="8">
        <f ca="1">IFERROR(__xludf.DUMMYFUNCTION("""COMPUTED_VALUE"""),99)</f>
        <v>99</v>
      </c>
      <c r="AT664" s="8" t="str">
        <f ca="1">IFERROR(__xludf.DUMMYFUNCTION("""COMPUTED_VALUE"""),"Yes")</f>
        <v>Yes</v>
      </c>
      <c r="AU664" s="8">
        <f ca="1">IFERROR(__xludf.DUMMYFUNCTION("""COMPUTED_VALUE"""),35.025508)</f>
        <v>35.025508000000002</v>
      </c>
      <c r="AV664" s="8">
        <f ca="1">IFERROR(__xludf.DUMMYFUNCTION("""COMPUTED_VALUE"""),-90.090158)</f>
        <v>-90.090158000000002</v>
      </c>
      <c r="AW664" s="8"/>
      <c r="AX664" s="8">
        <f ca="1">IFERROR(__xludf.DUMMYFUNCTION("""COMPUTED_VALUE"""),38109)</f>
        <v>38109</v>
      </c>
    </row>
    <row r="665" spans="1:50" ht="135" x14ac:dyDescent="0.2">
      <c r="A665" s="8" t="str">
        <f ca="1">IFERROR(__xludf.DUMMYFUNCTION("""COMPUTED_VALUE"""),"20230725NCJUC")</f>
        <v>20230725NCJUC</v>
      </c>
      <c r="B665" s="8">
        <f ca="1">IFERROR(__xludf.DUMMYFUNCTION("""COMPUTED_VALUE"""),7)</f>
        <v>7</v>
      </c>
      <c r="C665" s="8">
        <f ca="1">IFERROR(__xludf.DUMMYFUNCTION("""COMPUTED_VALUE"""),25)</f>
        <v>25</v>
      </c>
      <c r="D665" s="8">
        <f ca="1">IFERROR(__xludf.DUMMYFUNCTION("""COMPUTED_VALUE"""),2023)</f>
        <v>2023</v>
      </c>
      <c r="E665" s="9">
        <f ca="1">IFERROR(__xludf.DUMMYFUNCTION("""COMPUTED_VALUE"""),45132)</f>
        <v>45132</v>
      </c>
      <c r="F665" s="8" t="str">
        <f ca="1">IFERROR(__xludf.DUMMYFUNCTION("""COMPUTED_VALUE"""),"Julius Chambers High School")</f>
        <v>Julius Chambers High School</v>
      </c>
      <c r="G665" s="8">
        <f ca="1">IFERROR(__xludf.DUMMYFUNCTION("""COMPUTED_VALUE"""),0)</f>
        <v>0</v>
      </c>
      <c r="H665" s="8">
        <f ca="1">IFERROR(__xludf.DUMMYFUNCTION("""COMPUTED_VALUE"""),1)</f>
        <v>1</v>
      </c>
      <c r="I665" s="8">
        <f ca="1">IFERROR(__xludf.DUMMYFUNCTION("""COMPUTED_VALUE"""),1)</f>
        <v>1</v>
      </c>
      <c r="J665" s="8">
        <f ca="1">IFERROR(__xludf.DUMMYFUNCTION("""COMPUTED_VALUE"""),0)</f>
        <v>0</v>
      </c>
      <c r="K665" s="10" t="str">
        <f ca="1">IFERROR(__xludf.DUMMYFUNCTION("""COMPUTED_VALUE"""),"https://myfox8.com/news/north-carolina/charlotte/fight-between-two-adults-leads-to-shooting-at-north-carolina-high-school-police-say/")</f>
        <v>https://myfox8.com/news/north-carolina/charlotte/fight-between-two-adults-leads-to-shooting-at-north-carolina-high-school-police-say/</v>
      </c>
      <c r="L665" s="8">
        <f ca="1">IFERROR(__xludf.DUMMYFUNCTION("""COMPUTED_VALUE"""),5)</f>
        <v>5</v>
      </c>
      <c r="M665" s="8" t="str">
        <f ca="1">IFERROR(__xludf.DUMMYFUNCTION("""COMPUTED_VALUE"""),"Regional")</f>
        <v>Regional</v>
      </c>
      <c r="N665" s="8">
        <f ca="1">IFERROR(__xludf.DUMMYFUNCTION("""COMPUTED_VALUE"""),4)</f>
        <v>4</v>
      </c>
      <c r="O665" s="8" t="str">
        <f ca="1">IFERROR(__xludf.DUMMYFUNCTION("""COMPUTED_VALUE"""),"Summer")</f>
        <v>Summer</v>
      </c>
      <c r="P665" s="8" t="str">
        <f ca="1">IFERROR(__xludf.DUMMYFUNCTION("""COMPUTED_VALUE"""),"Charlotte")</f>
        <v>Charlotte</v>
      </c>
      <c r="Q665" s="8" t="str">
        <f ca="1">IFERROR(__xludf.DUMMYFUNCTION("""COMPUTED_VALUE"""),"NC")</f>
        <v>NC</v>
      </c>
      <c r="R665" s="8" t="str">
        <f ca="1">IFERROR(__xludf.DUMMYFUNCTION("""COMPUTED_VALUE"""),"High")</f>
        <v>High</v>
      </c>
      <c r="S665" s="8" t="str">
        <f ca="1">IFERROR(__xludf.DUMMYFUNCTION("""COMPUTED_VALUE"""),"Football Field/Track")</f>
        <v>Football Field/Track</v>
      </c>
      <c r="T665" s="8" t="str">
        <f ca="1">IFERROR(__xludf.DUMMYFUNCTION("""COMPUTED_VALUE"""),"Outside on School Property")</f>
        <v>Outside on School Property</v>
      </c>
      <c r="U665" s="8" t="str">
        <f ca="1">IFERROR(__xludf.DUMMYFUNCTION("""COMPUTED_VALUE"""),"No")</f>
        <v>No</v>
      </c>
      <c r="V665" s="8" t="str">
        <f ca="1">IFERROR(__xludf.DUMMYFUNCTION("""COMPUTED_VALUE"""),"Not a School Day")</f>
        <v>Not a School Day</v>
      </c>
      <c r="W665" s="11">
        <f ca="1">IFERROR(__xludf.DUMMYFUNCTION("""COMPUTED_VALUE"""),0.59375)</f>
        <v>0.59375</v>
      </c>
      <c r="X665" s="8">
        <f ca="1">IFERROR(__xludf.DUMMYFUNCTION("""COMPUTED_VALUE"""),1)</f>
        <v>1</v>
      </c>
      <c r="Y665" s="12" t="str">
        <f ca="1">IFERROR(__xludf.DUMMYFUNCTION("""COMPUTED_VALUE"""),"Adult shot during fight")</f>
        <v>Adult shot during fight</v>
      </c>
      <c r="Z665" s="12" t="str">
        <f ca="1">IFERROR(__xludf.DUMMYFUNCTION("""COMPUTED_VALUE"""),"Police are investigating a shooting that followed a fight between workers on the grounds of Julius L. Chambers High School on Tuesday afternoon. Chambers High was not in session when shots were fired at about 2:50 p.m., but it went under a “modified lockd"&amp;"own” when students arrived for football tryouts around 3:30 p.m., said Chambers High principal Gregory Hicks in a message sent to families. The two workers were repairing the track when they began fighting and one shot the other in the arm.")</f>
        <v>Police are investigating a shooting that followed a fight between workers on the grounds of Julius L. Chambers High School on Tuesday afternoon. Chambers High was not in session when shots were fired at about 2:50 p.m., but it went under a “modified lockdown” when students arrived for football tryouts around 3:30 p.m., said Chambers High principal Gregory Hicks in a message sent to families. The two workers were repairing the track when they began fighting and one shot the other in the arm.</v>
      </c>
      <c r="AA665" s="8" t="str">
        <f ca="1">IFERROR(__xludf.DUMMYFUNCTION("""COMPUTED_VALUE"""),"Escalation of Dispute")</f>
        <v>Escalation of Dispute</v>
      </c>
      <c r="AB665" s="8"/>
      <c r="AC665" s="8" t="str">
        <f ca="1">IFERROR(__xludf.DUMMYFUNCTION("""COMPUTED_VALUE"""),"Yes")</f>
        <v>Yes</v>
      </c>
      <c r="AD665" s="8" t="str">
        <f ca="1">IFERROR(__xludf.DUMMYFUNCTION("""COMPUTED_VALUE"""),"Victims Targeted")</f>
        <v>Victims Targeted</v>
      </c>
      <c r="AE665" s="8" t="str">
        <f ca="1">IFERROR(__xludf.DUMMYFUNCTION("""COMPUTED_VALUE"""),"No")</f>
        <v>No</v>
      </c>
      <c r="AF665" s="8"/>
      <c r="AG665" s="8" t="str">
        <f ca="1">IFERROR(__xludf.DUMMYFUNCTION("""COMPUTED_VALUE"""),"No")</f>
        <v>No</v>
      </c>
      <c r="AH665" s="8" t="str">
        <f ca="1">IFERROR(__xludf.DUMMYFUNCTION("""COMPUTED_VALUE"""),"No")</f>
        <v>No</v>
      </c>
      <c r="AI665" s="8" t="str">
        <f ca="1">IFERROR(__xludf.DUMMYFUNCTION("""COMPUTED_VALUE"""),"No")</f>
        <v>No</v>
      </c>
      <c r="AJ665" s="8" t="str">
        <f ca="1">IFERROR(__xludf.DUMMYFUNCTION("""COMPUTED_VALUE"""),"No")</f>
        <v>No</v>
      </c>
      <c r="AK665" s="8" t="str">
        <f ca="1">IFERROR(__xludf.DUMMYFUNCTION("""COMPUTED_VALUE"""),"No")</f>
        <v>No</v>
      </c>
      <c r="AL665" s="8" t="str">
        <f ca="1">IFERROR(__xludf.DUMMYFUNCTION("""COMPUTED_VALUE"""),"No")</f>
        <v>No</v>
      </c>
      <c r="AM665" s="8" t="str">
        <f ca="1">IFERROR(__xludf.DUMMYFUNCTION("""COMPUTED_VALUE"""),"No")</f>
        <v>No</v>
      </c>
      <c r="AN665" s="8" t="str">
        <f ca="1">IFERROR(__xludf.DUMMYFUNCTION("""COMPUTED_VALUE"""),"Outside")</f>
        <v>Outside</v>
      </c>
      <c r="AO665" s="8" t="str">
        <f ca="1">IFERROR(__xludf.DUMMYFUNCTION("""COMPUTED_VALUE"""),"No")</f>
        <v>No</v>
      </c>
      <c r="AP665" s="8"/>
      <c r="AQ665" s="8"/>
      <c r="AR665" s="8" t="str">
        <f ca="1">IFERROR(__xludf.DUMMYFUNCTION("""COMPUTED_VALUE"""),"Outside/Off-Property")</f>
        <v>Outside/Off-Property</v>
      </c>
      <c r="AS665" s="8">
        <f ca="1">IFERROR(__xludf.DUMMYFUNCTION("""COMPUTED_VALUE"""),1)</f>
        <v>1</v>
      </c>
      <c r="AT665" s="8" t="str">
        <f ca="1">IFERROR(__xludf.DUMMYFUNCTION("""COMPUTED_VALUE"""),"Yes")</f>
        <v>Yes</v>
      </c>
      <c r="AU665" s="8">
        <f ca="1">IFERROR(__xludf.DUMMYFUNCTION("""COMPUTED_VALUE"""),35.300674)</f>
        <v>35.300674000000001</v>
      </c>
      <c r="AV665" s="8">
        <f ca="1">IFERROR(__xludf.DUMMYFUNCTION("""COMPUTED_VALUE"""),-80.76945)</f>
        <v>-80.769450000000006</v>
      </c>
      <c r="AW665" s="8"/>
      <c r="AX665" s="8">
        <f ca="1">IFERROR(__xludf.DUMMYFUNCTION("""COMPUTED_VALUE"""),28223)</f>
        <v>28223</v>
      </c>
    </row>
    <row r="666" spans="1:50" ht="150" x14ac:dyDescent="0.2">
      <c r="A666" s="8" t="str">
        <f ca="1">IFERROR(__xludf.DUMMYFUNCTION("""COMPUTED_VALUE"""),"20230724PAJOH")</f>
        <v>20230724PAJOH</v>
      </c>
      <c r="B666" s="8">
        <f ca="1">IFERROR(__xludf.DUMMYFUNCTION("""COMPUTED_VALUE"""),7)</f>
        <v>7</v>
      </c>
      <c r="C666" s="8">
        <f ca="1">IFERROR(__xludf.DUMMYFUNCTION("""COMPUTED_VALUE"""),24)</f>
        <v>24</v>
      </c>
      <c r="D666" s="8">
        <f ca="1">IFERROR(__xludf.DUMMYFUNCTION("""COMPUTED_VALUE"""),2023)</f>
        <v>2023</v>
      </c>
      <c r="E666" s="9">
        <f ca="1">IFERROR(__xludf.DUMMYFUNCTION("""COMPUTED_VALUE"""),45131)</f>
        <v>45131</v>
      </c>
      <c r="F666" s="8" t="str">
        <f ca="1">IFERROR(__xludf.DUMMYFUNCTION("""COMPUTED_VALUE"""),"John Harris High School")</f>
        <v>John Harris High School</v>
      </c>
      <c r="G666" s="8">
        <f ca="1">IFERROR(__xludf.DUMMYFUNCTION("""COMPUTED_VALUE"""),1)</f>
        <v>1</v>
      </c>
      <c r="H666" s="8">
        <f ca="1">IFERROR(__xludf.DUMMYFUNCTION("""COMPUTED_VALUE"""),0)</f>
        <v>0</v>
      </c>
      <c r="I666" s="8">
        <f ca="1">IFERROR(__xludf.DUMMYFUNCTION("""COMPUTED_VALUE"""),1)</f>
        <v>1</v>
      </c>
      <c r="J666" s="8">
        <f ca="1">IFERROR(__xludf.DUMMYFUNCTION("""COMPUTED_VALUE"""),0)</f>
        <v>0</v>
      </c>
      <c r="K666" s="10" t="str">
        <f ca="1">IFERROR(__xludf.DUMMYFUNCTION("""COMPUTED_VALUE"""),"https://www.pennlive.com/crime/2023/08/15-year-old-charged-in-fatal-shooting-near-harrisburg-high-school.html")</f>
        <v>https://www.pennlive.com/crime/2023/08/15-year-old-charged-in-fatal-shooting-near-harrisburg-high-school.html</v>
      </c>
      <c r="L666" s="8">
        <f ca="1">IFERROR(__xludf.DUMMYFUNCTION("""COMPUTED_VALUE"""),1)</f>
        <v>1</v>
      </c>
      <c r="M666" s="8" t="str">
        <f ca="1">IFERROR(__xludf.DUMMYFUNCTION("""COMPUTED_VALUE"""),"Local")</f>
        <v>Local</v>
      </c>
      <c r="N666" s="8">
        <f ca="1">IFERROR(__xludf.DUMMYFUNCTION("""COMPUTED_VALUE"""),4)</f>
        <v>4</v>
      </c>
      <c r="O666" s="8" t="str">
        <f ca="1">IFERROR(__xludf.DUMMYFUNCTION("""COMPUTED_VALUE"""),"Summer")</f>
        <v>Summer</v>
      </c>
      <c r="P666" s="8" t="str">
        <f ca="1">IFERROR(__xludf.DUMMYFUNCTION("""COMPUTED_VALUE"""),"Harrisburg")</f>
        <v>Harrisburg</v>
      </c>
      <c r="Q666" s="8" t="str">
        <f ca="1">IFERROR(__xludf.DUMMYFUNCTION("""COMPUTED_VALUE"""),"PA")</f>
        <v>PA</v>
      </c>
      <c r="R666" s="8" t="str">
        <f ca="1">IFERROR(__xludf.DUMMYFUNCTION("""COMPUTED_VALUE"""),"High")</f>
        <v>High</v>
      </c>
      <c r="S666" s="8" t="str">
        <f ca="1">IFERROR(__xludf.DUMMYFUNCTION("""COMPUTED_VALUE"""),"Front of School")</f>
        <v>Front of School</v>
      </c>
      <c r="T666" s="8" t="str">
        <f ca="1">IFERROR(__xludf.DUMMYFUNCTION("""COMPUTED_VALUE"""),"Outside on School Property")</f>
        <v>Outside on School Property</v>
      </c>
      <c r="U666" s="8" t="str">
        <f ca="1">IFERROR(__xludf.DUMMYFUNCTION("""COMPUTED_VALUE"""),"No")</f>
        <v>No</v>
      </c>
      <c r="V666" s="8" t="str">
        <f ca="1">IFERROR(__xludf.DUMMYFUNCTION("""COMPUTED_VALUE"""),"Night")</f>
        <v>Night</v>
      </c>
      <c r="W666" s="11">
        <f ca="1">IFERROR(__xludf.DUMMYFUNCTION("""COMPUTED_VALUE"""),0.908333333333333)</f>
        <v>0.90833333333333299</v>
      </c>
      <c r="X666" s="8">
        <f ca="1">IFERROR(__xludf.DUMMYFUNCTION("""COMPUTED_VALUE"""),1)</f>
        <v>1</v>
      </c>
      <c r="Y666" s="12" t="str">
        <f ca="1">IFERROR(__xludf.DUMMYFUNCTION("""COMPUTED_VALUE"""),"Teen fatally shot man in front of the schhol")</f>
        <v>Teen fatally shot man in front of the schhol</v>
      </c>
      <c r="Z666" s="12" t="str">
        <f ca="1">IFERROR(__xludf.DUMMYFUNCTION("""COMPUTED_VALUE"""),"Officers arrived in front of the John Harris high school campus and found Strain-Hankerson in the passenger seat of a car after being hit multiple times by bullets. The car also had been struck by bullets. Strain-Hankerson died at the scene. Police linked"&amp;" Akai to the shooting after being spotted in video surveillance from multiple locations in the area, according to court documents. The 15-year-old spoke with police on Tuesday and told a detective that he possessed and shot a firearm during the incident, "&amp;"according to court record")</f>
        <v>Officers arrived in front of the John Harris high school campus and found Strain-Hankerson in the passenger seat of a car after being hit multiple times by bullets. The car also had been struck by bullets. Strain-Hankerson died at the scene. Police linked Akai to the shooting after being spotted in video surveillance from multiple locations in the area, according to court documents. The 15-year-old spoke with police on Tuesday and told a detective that he possessed and shot a firearm during the incident, according to court record</v>
      </c>
      <c r="AA666" s="8"/>
      <c r="AB666" s="8"/>
      <c r="AC666" s="8" t="str">
        <f ca="1">IFERROR(__xludf.DUMMYFUNCTION("""COMPUTED_VALUE"""),"No")</f>
        <v>No</v>
      </c>
      <c r="AD666" s="8" t="str">
        <f ca="1">IFERROR(__xludf.DUMMYFUNCTION("""COMPUTED_VALUE"""),"Victims Targeted")</f>
        <v>Victims Targeted</v>
      </c>
      <c r="AE666" s="8" t="str">
        <f ca="1">IFERROR(__xludf.DUMMYFUNCTION("""COMPUTED_VALUE"""),"No")</f>
        <v>No</v>
      </c>
      <c r="AF666" s="8"/>
      <c r="AG666" s="8" t="str">
        <f ca="1">IFERROR(__xludf.DUMMYFUNCTION("""COMPUTED_VALUE"""),"No")</f>
        <v>No</v>
      </c>
      <c r="AH666" s="8" t="str">
        <f ca="1">IFERROR(__xludf.DUMMYFUNCTION("""COMPUTED_VALUE"""),"No")</f>
        <v>No</v>
      </c>
      <c r="AI666" s="8" t="str">
        <f ca="1">IFERROR(__xludf.DUMMYFUNCTION("""COMPUTED_VALUE"""),"No")</f>
        <v>No</v>
      </c>
      <c r="AJ666" s="8" t="str">
        <f ca="1">IFERROR(__xludf.DUMMYFUNCTION("""COMPUTED_VALUE"""),"No")</f>
        <v>No</v>
      </c>
      <c r="AK666" s="8" t="str">
        <f ca="1">IFERROR(__xludf.DUMMYFUNCTION("""COMPUTED_VALUE"""),"No")</f>
        <v>No</v>
      </c>
      <c r="AL666" s="8"/>
      <c r="AM666" s="8" t="str">
        <f ca="1">IFERROR(__xludf.DUMMYFUNCTION("""COMPUTED_VALUE"""),"No")</f>
        <v>No</v>
      </c>
      <c r="AN666" s="8" t="str">
        <f ca="1">IFERROR(__xludf.DUMMYFUNCTION("""COMPUTED_VALUE"""),"Outside")</f>
        <v>Outside</v>
      </c>
      <c r="AO666" s="8" t="str">
        <f ca="1">IFERROR(__xludf.DUMMYFUNCTION("""COMPUTED_VALUE"""),"No")</f>
        <v>No</v>
      </c>
      <c r="AP666" s="8"/>
      <c r="AQ666" s="8"/>
      <c r="AR666" s="8" t="str">
        <f ca="1">IFERROR(__xludf.DUMMYFUNCTION("""COMPUTED_VALUE"""),"Outside/Off-Property")</f>
        <v>Outside/Off-Property</v>
      </c>
      <c r="AS666" s="8">
        <f ca="1">IFERROR(__xludf.DUMMYFUNCTION("""COMPUTED_VALUE"""),99)</f>
        <v>99</v>
      </c>
      <c r="AT666" s="8"/>
      <c r="AU666" s="8">
        <f ca="1">IFERROR(__xludf.DUMMYFUNCTION("""COMPUTED_VALUE"""),40.271487)</f>
        <v>40.271487</v>
      </c>
      <c r="AV666" s="8">
        <f ca="1">IFERROR(__xludf.DUMMYFUNCTION("""COMPUTED_VALUE"""),-76.847467)</f>
        <v>-76.847466999999995</v>
      </c>
      <c r="AW666" s="8"/>
      <c r="AX666" s="8">
        <f ca="1">IFERROR(__xludf.DUMMYFUNCTION("""COMPUTED_VALUE"""),17103)</f>
        <v>17103</v>
      </c>
    </row>
    <row r="667" spans="1:50" ht="150" x14ac:dyDescent="0.2">
      <c r="A667" s="8" t="str">
        <f ca="1">IFERROR(__xludf.DUMMYFUNCTION("""COMPUTED_VALUE"""),"20230718NYFRB")</f>
        <v>20230718NYFRB</v>
      </c>
      <c r="B667" s="8">
        <f ca="1">IFERROR(__xludf.DUMMYFUNCTION("""COMPUTED_VALUE"""),7)</f>
        <v>7</v>
      </c>
      <c r="C667" s="8">
        <f ca="1">IFERROR(__xludf.DUMMYFUNCTION("""COMPUTED_VALUE"""),18)</f>
        <v>18</v>
      </c>
      <c r="D667" s="8">
        <f ca="1">IFERROR(__xludf.DUMMYFUNCTION("""COMPUTED_VALUE"""),2023)</f>
        <v>2023</v>
      </c>
      <c r="E667" s="9">
        <f ca="1">IFERROR(__xludf.DUMMYFUNCTION("""COMPUTED_VALUE"""),45125)</f>
        <v>45125</v>
      </c>
      <c r="F667" s="8" t="str">
        <f ca="1">IFERROR(__xludf.DUMMYFUNCTION("""COMPUTED_VALUE"""),"Franklin Delano Roosevelt High School")</f>
        <v>Franklin Delano Roosevelt High School</v>
      </c>
      <c r="G667" s="8">
        <f ca="1">IFERROR(__xludf.DUMMYFUNCTION("""COMPUTED_VALUE"""),1)</f>
        <v>1</v>
      </c>
      <c r="H667" s="8">
        <f ca="1">IFERROR(__xludf.DUMMYFUNCTION("""COMPUTED_VALUE"""),0)</f>
        <v>0</v>
      </c>
      <c r="I667" s="8">
        <f ca="1">IFERROR(__xludf.DUMMYFUNCTION("""COMPUTED_VALUE"""),1)</f>
        <v>1</v>
      </c>
      <c r="J667" s="8">
        <f ca="1">IFERROR(__xludf.DUMMYFUNCTION("""COMPUTED_VALUE"""),0)</f>
        <v>0</v>
      </c>
      <c r="K667" s="8" t="str">
        <f ca="1">IFERROR(__xludf.DUMMYFUNCTION("""COMPUTED_VALUE"""),"https://abc7ny.com/nyc-teen-shot-brooklyn-shooting-foridun-mavlonov/13517929/
https://abc7ny.com/nyc-teen-shot-brooklyn-shooting-foridun-mavlonov/13517929/")</f>
        <v>https://abc7ny.com/nyc-teen-shot-brooklyn-shooting-foridun-mavlonov/13517929/
https://abc7ny.com/nyc-teen-shot-brooklyn-shooting-foridun-mavlonov/13517929/</v>
      </c>
      <c r="L667" s="8">
        <f ca="1">IFERROR(__xludf.DUMMYFUNCTION("""COMPUTED_VALUE"""),10)</f>
        <v>10</v>
      </c>
      <c r="M667" s="8" t="str">
        <f ca="1">IFERROR(__xludf.DUMMYFUNCTION("""COMPUTED_VALUE"""),"Regional")</f>
        <v>Regional</v>
      </c>
      <c r="N667" s="8">
        <f ca="1">IFERROR(__xludf.DUMMYFUNCTION("""COMPUTED_VALUE"""),4)</f>
        <v>4</v>
      </c>
      <c r="O667" s="8" t="str">
        <f ca="1">IFERROR(__xludf.DUMMYFUNCTION("""COMPUTED_VALUE"""),"Summer")</f>
        <v>Summer</v>
      </c>
      <c r="P667" s="8" t="str">
        <f ca="1">IFERROR(__xludf.DUMMYFUNCTION("""COMPUTED_VALUE"""),"Brooklyn")</f>
        <v>Brooklyn</v>
      </c>
      <c r="Q667" s="8" t="str">
        <f ca="1">IFERROR(__xludf.DUMMYFUNCTION("""COMPUTED_VALUE"""),"NY")</f>
        <v>NY</v>
      </c>
      <c r="R667" s="8" t="str">
        <f ca="1">IFERROR(__xludf.DUMMYFUNCTION("""COMPUTED_VALUE"""),"High")</f>
        <v>High</v>
      </c>
      <c r="S667" s="8" t="str">
        <f ca="1">IFERROR(__xludf.DUMMYFUNCTION("""COMPUTED_VALUE"""),"Front of School")</f>
        <v>Front of School</v>
      </c>
      <c r="T667" s="8" t="str">
        <f ca="1">IFERROR(__xludf.DUMMYFUNCTION("""COMPUTED_VALUE"""),"Outside on School Property")</f>
        <v>Outside on School Property</v>
      </c>
      <c r="U667" s="8" t="str">
        <f ca="1">IFERROR(__xludf.DUMMYFUNCTION("""COMPUTED_VALUE"""),"Yes")</f>
        <v>Yes</v>
      </c>
      <c r="V667" s="8" t="str">
        <f ca="1">IFERROR(__xludf.DUMMYFUNCTION("""COMPUTED_VALUE"""),"Afternoon Classes")</f>
        <v>Afternoon Classes</v>
      </c>
      <c r="W667" s="11">
        <f ca="1">IFERROR(__xludf.DUMMYFUNCTION("""COMPUTED_VALUE"""),0.541666666666666)</f>
        <v>0.54166666666666596</v>
      </c>
      <c r="X667" s="8">
        <f ca="1">IFERROR(__xludf.DUMMYFUNCTION("""COMPUTED_VALUE"""),1)</f>
        <v>1</v>
      </c>
      <c r="Y667" s="12" t="str">
        <f ca="1">IFERROR(__xludf.DUMMYFUNCTION("""COMPUTED_VALUE"""),"Teen shot during planned fight between students")</f>
        <v>Teen shot during planned fight between students</v>
      </c>
      <c r="Z667" s="12" t="str">
        <f ca="1">IFERROR(__xludf.DUMMYFUNCTION("""COMPUTED_VALUE"""),"According to investigators, around 1 p.m. Monday 15-year-old Foridun Mavlonov was with six other young people on 20th Avenue in Bensonhurst. They believe two groups of students knew each other from Franklin Delano Roosevelt High School, where they all att"&amp;"end summer school. The victim had been with one group of students arguing with another group, which included the 17-year-old shooter. Detectives say the gunman had words with a particular member of the victim's group, and agreed to meet up later to settle"&amp;" matters physically.")</f>
        <v>According to investigators, around 1 p.m. Monday 15-year-old Foridun Mavlonov was with six other young people on 20th Avenue in Bensonhurst. They believe two groups of students knew each other from Franklin Delano Roosevelt High School, where they all attend summer school. The victim had been with one group of students arguing with another group, which included the 17-year-old shooter. Detectives say the gunman had words with a particular member of the victim's group, and agreed to meet up later to settle matters physically.</v>
      </c>
      <c r="AA667" s="8" t="str">
        <f ca="1">IFERROR(__xludf.DUMMYFUNCTION("""COMPUTED_VALUE"""),"Escalation of Dispute")</f>
        <v>Escalation of Dispute</v>
      </c>
      <c r="AB667" s="8"/>
      <c r="AC667" s="8" t="str">
        <f ca="1">IFERROR(__xludf.DUMMYFUNCTION("""COMPUTED_VALUE"""),"Yes")</f>
        <v>Yes</v>
      </c>
      <c r="AD667" s="8" t="str">
        <f ca="1">IFERROR(__xludf.DUMMYFUNCTION("""COMPUTED_VALUE"""),"Both")</f>
        <v>Both</v>
      </c>
      <c r="AE667" s="8" t="str">
        <f ca="1">IFERROR(__xludf.DUMMYFUNCTION("""COMPUTED_VALUE"""),"Yes")</f>
        <v>Yes</v>
      </c>
      <c r="AF667" s="8" t="str">
        <f ca="1">IFERROR(__xludf.DUMMYFUNCTION("""COMPUTED_VALUE"""),"Group")</f>
        <v>Group</v>
      </c>
      <c r="AG667" s="8" t="str">
        <f ca="1">IFERROR(__xludf.DUMMYFUNCTION("""COMPUTED_VALUE"""),"No")</f>
        <v>No</v>
      </c>
      <c r="AH667" s="8" t="str">
        <f ca="1">IFERROR(__xludf.DUMMYFUNCTION("""COMPUTED_VALUE"""),"No")</f>
        <v>No</v>
      </c>
      <c r="AI667" s="8" t="str">
        <f ca="1">IFERROR(__xludf.DUMMYFUNCTION("""COMPUTED_VALUE"""),"No")</f>
        <v>No</v>
      </c>
      <c r="AJ667" s="8"/>
      <c r="AK667" s="8" t="str">
        <f ca="1">IFERROR(__xludf.DUMMYFUNCTION("""COMPUTED_VALUE"""),"No")</f>
        <v>No</v>
      </c>
      <c r="AL667" s="8" t="str">
        <f ca="1">IFERROR(__xludf.DUMMYFUNCTION("""COMPUTED_VALUE"""),"No")</f>
        <v>No</v>
      </c>
      <c r="AM667" s="8" t="str">
        <f ca="1">IFERROR(__xludf.DUMMYFUNCTION("""COMPUTED_VALUE"""),"No")</f>
        <v>No</v>
      </c>
      <c r="AN667" s="8" t="str">
        <f ca="1">IFERROR(__xludf.DUMMYFUNCTION("""COMPUTED_VALUE"""),"Outside")</f>
        <v>Outside</v>
      </c>
      <c r="AO667" s="8" t="str">
        <f ca="1">IFERROR(__xludf.DUMMYFUNCTION("""COMPUTED_VALUE"""),"No")</f>
        <v>No</v>
      </c>
      <c r="AP667" s="8"/>
      <c r="AQ667" s="8"/>
      <c r="AR667" s="8" t="str">
        <f ca="1">IFERROR(__xludf.DUMMYFUNCTION("""COMPUTED_VALUE"""),"Outside/Off-Property")</f>
        <v>Outside/Off-Property</v>
      </c>
      <c r="AS667" s="8">
        <f ca="1">IFERROR(__xludf.DUMMYFUNCTION("""COMPUTED_VALUE"""),7)</f>
        <v>7</v>
      </c>
      <c r="AT667" s="8"/>
      <c r="AU667" s="8">
        <f ca="1">IFERROR(__xludf.DUMMYFUNCTION("""COMPUTED_VALUE"""),40.621017)</f>
        <v>40.621017000000002</v>
      </c>
      <c r="AV667" s="8">
        <f ca="1">IFERROR(__xludf.DUMMYFUNCTION("""COMPUTED_VALUE"""),-73.981291)</f>
        <v>-73.981290999999999</v>
      </c>
      <c r="AW667" s="8"/>
      <c r="AX667" s="8">
        <f ca="1">IFERROR(__xludf.DUMMYFUNCTION("""COMPUTED_VALUE"""),11204)</f>
        <v>11204</v>
      </c>
    </row>
    <row r="668" spans="1:50" ht="210" x14ac:dyDescent="0.2">
      <c r="A668" s="8" t="str">
        <f ca="1">IFERROR(__xludf.DUMMYFUNCTION("""COMPUTED_VALUE"""),"20230716GALOH")</f>
        <v>20230716GALOH</v>
      </c>
      <c r="B668" s="8">
        <f ca="1">IFERROR(__xludf.DUMMYFUNCTION("""COMPUTED_VALUE"""),7)</f>
        <v>7</v>
      </c>
      <c r="C668" s="8">
        <f ca="1">IFERROR(__xludf.DUMMYFUNCTION("""COMPUTED_VALUE"""),16)</f>
        <v>16</v>
      </c>
      <c r="D668" s="8">
        <f ca="1">IFERROR(__xludf.DUMMYFUNCTION("""COMPUTED_VALUE"""),2023)</f>
        <v>2023</v>
      </c>
      <c r="E668" s="9">
        <f ca="1">IFERROR(__xludf.DUMMYFUNCTION("""COMPUTED_VALUE"""),45123)</f>
        <v>45123</v>
      </c>
      <c r="F668" s="8" t="str">
        <f ca="1">IFERROR(__xludf.DUMMYFUNCTION("""COMPUTED_VALUE"""),"Lovejoy High School")</f>
        <v>Lovejoy High School</v>
      </c>
      <c r="G668" s="8">
        <f ca="1">IFERROR(__xludf.DUMMYFUNCTION("""COMPUTED_VALUE"""),1)</f>
        <v>1</v>
      </c>
      <c r="H668" s="8">
        <f ca="1">IFERROR(__xludf.DUMMYFUNCTION("""COMPUTED_VALUE"""),0)</f>
        <v>0</v>
      </c>
      <c r="I668" s="8">
        <f ca="1">IFERROR(__xludf.DUMMYFUNCTION("""COMPUTED_VALUE"""),1)</f>
        <v>1</v>
      </c>
      <c r="J668" s="8">
        <f ca="1">IFERROR(__xludf.DUMMYFUNCTION("""COMPUTED_VALUE"""),0)</f>
        <v>0</v>
      </c>
      <c r="K668" s="10" t="str">
        <f ca="1">IFERROR(__xludf.DUMMYFUNCTION("""COMPUTED_VALUE"""),"https://www.wsbtv.com/news/local/man-kidnaps-ex-girlfriend-work-kills-her-after-chase-ends-outside-metro-high-school-police-say/I4Z2FR7NWBCB3H5B2CIISUKRV4/")</f>
        <v>https://www.wsbtv.com/news/local/man-kidnaps-ex-girlfriend-work-kills-her-after-chase-ends-outside-metro-high-school-police-say/I4Z2FR7NWBCB3H5B2CIISUKRV4/</v>
      </c>
      <c r="L668" s="8">
        <f ca="1">IFERROR(__xludf.DUMMYFUNCTION("""COMPUTED_VALUE"""),3)</f>
        <v>3</v>
      </c>
      <c r="M668" s="8" t="str">
        <f ca="1">IFERROR(__xludf.DUMMYFUNCTION("""COMPUTED_VALUE"""),"Local")</f>
        <v>Local</v>
      </c>
      <c r="N668" s="8">
        <f ca="1">IFERROR(__xludf.DUMMYFUNCTION("""COMPUTED_VALUE"""),4)</f>
        <v>4</v>
      </c>
      <c r="O668" s="8" t="str">
        <f ca="1">IFERROR(__xludf.DUMMYFUNCTION("""COMPUTED_VALUE"""),"Summer")</f>
        <v>Summer</v>
      </c>
      <c r="P668" s="8" t="str">
        <f ca="1">IFERROR(__xludf.DUMMYFUNCTION("""COMPUTED_VALUE"""),"Hampton")</f>
        <v>Hampton</v>
      </c>
      <c r="Q668" s="8" t="str">
        <f ca="1">IFERROR(__xludf.DUMMYFUNCTION("""COMPUTED_VALUE"""),"GA")</f>
        <v>GA</v>
      </c>
      <c r="R668" s="8" t="str">
        <f ca="1">IFERROR(__xludf.DUMMYFUNCTION("""COMPUTED_VALUE"""),"High")</f>
        <v>High</v>
      </c>
      <c r="S668" s="8" t="str">
        <f ca="1">IFERROR(__xludf.DUMMYFUNCTION("""COMPUTED_VALUE"""),"Parking Lot")</f>
        <v>Parking Lot</v>
      </c>
      <c r="T668" s="8" t="str">
        <f ca="1">IFERROR(__xludf.DUMMYFUNCTION("""COMPUTED_VALUE"""),"Outside on School Property")</f>
        <v>Outside on School Property</v>
      </c>
      <c r="U668" s="8" t="str">
        <f ca="1">IFERROR(__xludf.DUMMYFUNCTION("""COMPUTED_VALUE"""),"No")</f>
        <v>No</v>
      </c>
      <c r="V668" s="8" t="str">
        <f ca="1">IFERROR(__xludf.DUMMYFUNCTION("""COMPUTED_VALUE"""),"Night")</f>
        <v>Night</v>
      </c>
      <c r="W668" s="11">
        <f ca="1">IFERROR(__xludf.DUMMYFUNCTION("""COMPUTED_VALUE"""),0.958333333333333)</f>
        <v>0.95833333333333304</v>
      </c>
      <c r="X668" s="8">
        <f ca="1">IFERROR(__xludf.DUMMYFUNCTION("""COMPUTED_VALUE"""),1)</f>
        <v>1</v>
      </c>
      <c r="Y668" s="12" t="str">
        <f ca="1">IFERROR(__xludf.DUMMYFUNCTION("""COMPUTED_VALUE"""),"Man kidnapped ex girlfriend and fatally shot her at schhol")</f>
        <v>Man kidnapped ex girlfriend and fatally shot her at schhol</v>
      </c>
      <c r="Z668" s="12" t="str">
        <f ca="1">IFERROR(__xludf.DUMMYFUNCTION("""COMPUTED_VALUE"""),"Around 11 p.m. Sunday, Fayetteville Police responded to a kidnapping call at Wingstop off North Glynn Street. 911 callers told police that a man, identified as Hopkins, came into the restaurant and took his ex-girlfriend at gunpoint. One of the callers sa"&amp;"id they left in a red Camaro, which officers later spotted and began to follow it. Police say that Hopkins eventually sped off from officers near Banks Road and the chase went into Clayton County, where he pulled into Lovejoy High School. Fayetteville pol"&amp;"ice said their officers did a PIT maneuver to end the chase and they heard several gunshots fired inside the car. They said Hopkins also fired shots at the officers’ cars. Officers and deputies found the 19-year-old woman dead with several gunshot wounds."&amp;" ")</f>
        <v xml:space="preserve">Around 11 p.m. Sunday, Fayetteville Police responded to a kidnapping call at Wingstop off North Glynn Street. 911 callers told police that a man, identified as Hopkins, came into the restaurant and took his ex-girlfriend at gunpoint. One of the callers said they left in a red Camaro, which officers later spotted and began to follow it. Police say that Hopkins eventually sped off from officers near Banks Road and the chase went into Clayton County, where he pulled into Lovejoy High School. Fayetteville police said their officers did a PIT maneuver to end the chase and they heard several gunshots fired inside the car. They said Hopkins also fired shots at the officers’ cars. Officers and deputies found the 19-year-old woman dead with several gunshot wounds. </v>
      </c>
      <c r="AA668" s="8" t="str">
        <f ca="1">IFERROR(__xludf.DUMMYFUNCTION("""COMPUTED_VALUE"""),"Domestic w/ Targeted Victim")</f>
        <v>Domestic w/ Targeted Victim</v>
      </c>
      <c r="AB668" s="8"/>
      <c r="AC668" s="8" t="str">
        <f ca="1">IFERROR(__xludf.DUMMYFUNCTION("""COMPUTED_VALUE"""),"No")</f>
        <v>No</v>
      </c>
      <c r="AD668" s="8" t="str">
        <f ca="1">IFERROR(__xludf.DUMMYFUNCTION("""COMPUTED_VALUE"""),"Victims Targeted")</f>
        <v>Victims Targeted</v>
      </c>
      <c r="AE668" s="8" t="str">
        <f ca="1">IFERROR(__xludf.DUMMYFUNCTION("""COMPUTED_VALUE"""),"No")</f>
        <v>No</v>
      </c>
      <c r="AF668" s="8"/>
      <c r="AG668" s="8" t="str">
        <f ca="1">IFERROR(__xludf.DUMMYFUNCTION("""COMPUTED_VALUE"""),"No")</f>
        <v>No</v>
      </c>
      <c r="AH668" s="8" t="str">
        <f ca="1">IFERROR(__xludf.DUMMYFUNCTION("""COMPUTED_VALUE"""),"No")</f>
        <v>No</v>
      </c>
      <c r="AI668" s="8" t="str">
        <f ca="1">IFERROR(__xludf.DUMMYFUNCTION("""COMPUTED_VALUE"""),"No")</f>
        <v>No</v>
      </c>
      <c r="AJ668" s="8" t="str">
        <f ca="1">IFERROR(__xludf.DUMMYFUNCTION("""COMPUTED_VALUE"""),"No")</f>
        <v>No</v>
      </c>
      <c r="AK668" s="8" t="str">
        <f ca="1">IFERROR(__xludf.DUMMYFUNCTION("""COMPUTED_VALUE"""),"Yes")</f>
        <v>Yes</v>
      </c>
      <c r="AL668" s="8" t="str">
        <f ca="1">IFERROR(__xludf.DUMMYFUNCTION("""COMPUTED_VALUE"""),"No")</f>
        <v>No</v>
      </c>
      <c r="AM668" s="8" t="str">
        <f ca="1">IFERROR(__xludf.DUMMYFUNCTION("""COMPUTED_VALUE"""),"No")</f>
        <v>No</v>
      </c>
      <c r="AN668" s="8" t="str">
        <f ca="1">IFERROR(__xludf.DUMMYFUNCTION("""COMPUTED_VALUE"""),"Outside")</f>
        <v>Outside</v>
      </c>
      <c r="AO668" s="8" t="str">
        <f ca="1">IFERROR(__xludf.DUMMYFUNCTION("""COMPUTED_VALUE"""),"No")</f>
        <v>No</v>
      </c>
      <c r="AP668" s="8"/>
      <c r="AQ668" s="8"/>
      <c r="AR668" s="8" t="str">
        <f ca="1">IFERROR(__xludf.DUMMYFUNCTION("""COMPUTED_VALUE"""),"Outside/Off-Property")</f>
        <v>Outside/Off-Property</v>
      </c>
      <c r="AS668" s="8">
        <f ca="1">IFERROR(__xludf.DUMMYFUNCTION("""COMPUTED_VALUE"""),99)</f>
        <v>99</v>
      </c>
      <c r="AT668" s="8"/>
      <c r="AU668" s="8">
        <f ca="1">IFERROR(__xludf.DUMMYFUNCTION("""COMPUTED_VALUE"""),33.44606)</f>
        <v>33.446060000000003</v>
      </c>
      <c r="AV668" s="8">
        <f ca="1">IFERROR(__xludf.DUMMYFUNCTION("""COMPUTED_VALUE"""),-84.338464)</f>
        <v>-84.338464000000002</v>
      </c>
      <c r="AW668" s="8"/>
      <c r="AX668" s="8">
        <f ca="1">IFERROR(__xludf.DUMMYFUNCTION("""COMPUTED_VALUE"""),30228)</f>
        <v>30228</v>
      </c>
    </row>
    <row r="669" spans="1:50" ht="120" x14ac:dyDescent="0.2">
      <c r="A669" s="8" t="str">
        <f ca="1">IFERROR(__xludf.DUMMYFUNCTION("""COMPUTED_VALUE"""),"20230714TXJAS")</f>
        <v>20230714TXJAS</v>
      </c>
      <c r="B669" s="8">
        <f ca="1">IFERROR(__xludf.DUMMYFUNCTION("""COMPUTED_VALUE"""),7)</f>
        <v>7</v>
      </c>
      <c r="C669" s="8">
        <f ca="1">IFERROR(__xludf.DUMMYFUNCTION("""COMPUTED_VALUE"""),14)</f>
        <v>14</v>
      </c>
      <c r="D669" s="8">
        <f ca="1">IFERROR(__xludf.DUMMYFUNCTION("""COMPUTED_VALUE"""),2023)</f>
        <v>2023</v>
      </c>
      <c r="E669" s="9">
        <f ca="1">IFERROR(__xludf.DUMMYFUNCTION("""COMPUTED_VALUE"""),45121)</f>
        <v>45121</v>
      </c>
      <c r="F669" s="8" t="str">
        <f ca="1">IFERROR(__xludf.DUMMYFUNCTION("""COMPUTED_VALUE"""),"Japhet Elementary School")</f>
        <v>Japhet Elementary School</v>
      </c>
      <c r="G669" s="8">
        <f ca="1">IFERROR(__xludf.DUMMYFUNCTION("""COMPUTED_VALUE"""),0)</f>
        <v>0</v>
      </c>
      <c r="H669" s="8">
        <f ca="1">IFERROR(__xludf.DUMMYFUNCTION("""COMPUTED_VALUE"""),0)</f>
        <v>0</v>
      </c>
      <c r="I669" s="8">
        <f ca="1">IFERROR(__xludf.DUMMYFUNCTION("""COMPUTED_VALUE"""),0)</f>
        <v>0</v>
      </c>
      <c r="J669" s="8">
        <f ca="1">IFERROR(__xludf.DUMMYFUNCTION("""COMPUTED_VALUE"""),0)</f>
        <v>0</v>
      </c>
      <c r="K669" s="10" t="str">
        <f ca="1">IFERROR(__xludf.DUMMYFUNCTION("""COMPUTED_VALUE"""),"https://news4sanantonio.com/news/local/juvenile-arrested-after-firing-shots-in-san-antonio-elementary-school-parking-lot-crime-local-bexar-county-young-gun-police")</f>
        <v>https://news4sanantonio.com/news/local/juvenile-arrested-after-firing-shots-in-san-antonio-elementary-school-parking-lot-crime-local-bexar-county-young-gun-police</v>
      </c>
      <c r="L669" s="8">
        <f ca="1">IFERROR(__xludf.DUMMYFUNCTION("""COMPUTED_VALUE"""),2)</f>
        <v>2</v>
      </c>
      <c r="M669" s="8" t="str">
        <f ca="1">IFERROR(__xludf.DUMMYFUNCTION("""COMPUTED_VALUE"""),"Local")</f>
        <v>Local</v>
      </c>
      <c r="N669" s="8">
        <f ca="1">IFERROR(__xludf.DUMMYFUNCTION("""COMPUTED_VALUE"""),4)</f>
        <v>4</v>
      </c>
      <c r="O669" s="8" t="str">
        <f ca="1">IFERROR(__xludf.DUMMYFUNCTION("""COMPUTED_VALUE"""),"Summer")</f>
        <v>Summer</v>
      </c>
      <c r="P669" s="8" t="str">
        <f ca="1">IFERROR(__xludf.DUMMYFUNCTION("""COMPUTED_VALUE"""),"San Antonio")</f>
        <v>San Antonio</v>
      </c>
      <c r="Q669" s="8" t="str">
        <f ca="1">IFERROR(__xludf.DUMMYFUNCTION("""COMPUTED_VALUE"""),"TX")</f>
        <v>TX</v>
      </c>
      <c r="R669" s="8" t="str">
        <f ca="1">IFERROR(__xludf.DUMMYFUNCTION("""COMPUTED_VALUE"""),"Elementary")</f>
        <v>Elementary</v>
      </c>
      <c r="S669" s="8" t="str">
        <f ca="1">IFERROR(__xludf.DUMMYFUNCTION("""COMPUTED_VALUE"""),"Parking Lot")</f>
        <v>Parking Lot</v>
      </c>
      <c r="T669" s="8" t="str">
        <f ca="1">IFERROR(__xludf.DUMMYFUNCTION("""COMPUTED_VALUE"""),"Outside on School Property")</f>
        <v>Outside on School Property</v>
      </c>
      <c r="U669" s="8" t="str">
        <f ca="1">IFERROR(__xludf.DUMMYFUNCTION("""COMPUTED_VALUE"""),"No")</f>
        <v>No</v>
      </c>
      <c r="V669" s="8" t="str">
        <f ca="1">IFERROR(__xludf.DUMMYFUNCTION("""COMPUTED_VALUE"""),"Evening")</f>
        <v>Evening</v>
      </c>
      <c r="W669" s="11">
        <f ca="1">IFERROR(__xludf.DUMMYFUNCTION("""COMPUTED_VALUE"""),0.833333333333333)</f>
        <v>0.83333333333333304</v>
      </c>
      <c r="X669" s="8">
        <f ca="1">IFERROR(__xludf.DUMMYFUNCTION("""COMPUTED_VALUE"""),1)</f>
        <v>1</v>
      </c>
      <c r="Y669" s="12" t="str">
        <f ca="1">IFERROR(__xludf.DUMMYFUNCTION("""COMPUTED_VALUE"""),"A juvenile was arrested after firing rounds in an elementary parking lot")</f>
        <v>A juvenile was arrested after firing rounds in an elementary parking lot</v>
      </c>
      <c r="Z669" s="12" t="str">
        <f ca="1">IFERROR(__xludf.DUMMYFUNCTION("""COMPUTED_VALUE"""),"According to The San Antonio Police Department, the shooting happened around 8 p.m. in parking lot of school. Police say that a 28-year-old victim approached an officer saying that a young man had a weapon and fired shots toward him. The officer went to i"&amp;"nvestigate and saw the suspect with a gun in his hand nearby. The officer drew his weapon and demanded the suspect to drop the gun and he complied with the officer.")</f>
        <v>According to The San Antonio Police Department, the shooting happened around 8 p.m. in parking lot of school. Police say that a 28-year-old victim approached an officer saying that a young man had a weapon and fired shots toward him. The officer went to investigate and saw the suspect with a gun in his hand nearby. The officer drew his weapon and demanded the suspect to drop the gun and he complied with the officer.</v>
      </c>
      <c r="AA669" s="8" t="str">
        <f ca="1">IFERROR(__xludf.DUMMYFUNCTION("""COMPUTED_VALUE"""),"Escalation of Dispute")</f>
        <v>Escalation of Dispute</v>
      </c>
      <c r="AB669" s="8"/>
      <c r="AC669" s="8" t="str">
        <f ca="1">IFERROR(__xludf.DUMMYFUNCTION("""COMPUTED_VALUE"""),"No")</f>
        <v>No</v>
      </c>
      <c r="AD669" s="8" t="str">
        <f ca="1">IFERROR(__xludf.DUMMYFUNCTION("""COMPUTED_VALUE"""),"Victims Targeted")</f>
        <v>Victims Targeted</v>
      </c>
      <c r="AE669" s="8" t="str">
        <f ca="1">IFERROR(__xludf.DUMMYFUNCTION("""COMPUTED_VALUE"""),"No")</f>
        <v>No</v>
      </c>
      <c r="AF669" s="8"/>
      <c r="AG669" s="8" t="str">
        <f ca="1">IFERROR(__xludf.DUMMYFUNCTION("""COMPUTED_VALUE"""),"No")</f>
        <v>No</v>
      </c>
      <c r="AH669" s="8" t="str">
        <f ca="1">IFERROR(__xludf.DUMMYFUNCTION("""COMPUTED_VALUE"""),"No")</f>
        <v>No</v>
      </c>
      <c r="AI669" s="8" t="str">
        <f ca="1">IFERROR(__xludf.DUMMYFUNCTION("""COMPUTED_VALUE"""),"No")</f>
        <v>No</v>
      </c>
      <c r="AJ669" s="8" t="str">
        <f ca="1">IFERROR(__xludf.DUMMYFUNCTION("""COMPUTED_VALUE"""),"No")</f>
        <v>No</v>
      </c>
      <c r="AK669" s="8" t="str">
        <f ca="1">IFERROR(__xludf.DUMMYFUNCTION("""COMPUTED_VALUE"""),"No")</f>
        <v>No</v>
      </c>
      <c r="AL669" s="8" t="str">
        <f ca="1">IFERROR(__xludf.DUMMYFUNCTION("""COMPUTED_VALUE"""),"No")</f>
        <v>No</v>
      </c>
      <c r="AM669" s="8" t="str">
        <f ca="1">IFERROR(__xludf.DUMMYFUNCTION("""COMPUTED_VALUE"""),"No")</f>
        <v>No</v>
      </c>
      <c r="AN669" s="8" t="str">
        <f ca="1">IFERROR(__xludf.DUMMYFUNCTION("""COMPUTED_VALUE"""),"Outside")</f>
        <v>Outside</v>
      </c>
      <c r="AO669" s="8" t="str">
        <f ca="1">IFERROR(__xludf.DUMMYFUNCTION("""COMPUTED_VALUE"""),"No")</f>
        <v>No</v>
      </c>
      <c r="AP669" s="8"/>
      <c r="AQ669" s="8"/>
      <c r="AR669" s="8" t="str">
        <f ca="1">IFERROR(__xludf.DUMMYFUNCTION("""COMPUTED_VALUE"""),"Outside/Off-Property")</f>
        <v>Outside/Off-Property</v>
      </c>
      <c r="AS669" s="8">
        <f ca="1">IFERROR(__xludf.DUMMYFUNCTION("""COMPUTED_VALUE"""),99)</f>
        <v>99</v>
      </c>
      <c r="AT669" s="8" t="str">
        <f ca="1">IFERROR(__xludf.DUMMYFUNCTION("""COMPUTED_VALUE"""),"No")</f>
        <v>No</v>
      </c>
      <c r="AU669" s="8">
        <f ca="1">IFERROR(__xludf.DUMMYFUNCTION("""COMPUTED_VALUE"""),29.387174)</f>
        <v>29.387174000000002</v>
      </c>
      <c r="AV669" s="8">
        <f ca="1">IFERROR(__xludf.DUMMYFUNCTION("""COMPUTED_VALUE"""),-98.468045)</f>
        <v>-98.468045000000004</v>
      </c>
      <c r="AW669" s="8"/>
      <c r="AX669" s="8">
        <f ca="1">IFERROR(__xludf.DUMMYFUNCTION("""COMPUTED_VALUE"""),78210)</f>
        <v>78210</v>
      </c>
    </row>
    <row r="670" spans="1:50" ht="45" x14ac:dyDescent="0.2">
      <c r="A670" s="8" t="str">
        <f ca="1">IFERROR(__xludf.DUMMYFUNCTION("""COMPUTED_VALUE"""),"20230714NYKIT")</f>
        <v>20230714NYKIT</v>
      </c>
      <c r="B670" s="8">
        <f ca="1">IFERROR(__xludf.DUMMYFUNCTION("""COMPUTED_VALUE"""),7)</f>
        <v>7</v>
      </c>
      <c r="C670" s="8">
        <f ca="1">IFERROR(__xludf.DUMMYFUNCTION("""COMPUTED_VALUE"""),14)</f>
        <v>14</v>
      </c>
      <c r="D670" s="8">
        <f ca="1">IFERROR(__xludf.DUMMYFUNCTION("""COMPUTED_VALUE"""),2023)</f>
        <v>2023</v>
      </c>
      <c r="E670" s="9">
        <f ca="1">IFERROR(__xludf.DUMMYFUNCTION("""COMPUTED_VALUE"""),45121)</f>
        <v>45121</v>
      </c>
      <c r="F670" s="8" t="str">
        <f ca="1">IFERROR(__xludf.DUMMYFUNCTION("""COMPUTED_VALUE"""),"KIPP Troy Prep Elementary School")</f>
        <v>KIPP Troy Prep Elementary School</v>
      </c>
      <c r="G670" s="8">
        <f ca="1">IFERROR(__xludf.DUMMYFUNCTION("""COMPUTED_VALUE"""),0)</f>
        <v>0</v>
      </c>
      <c r="H670" s="8">
        <f ca="1">IFERROR(__xludf.DUMMYFUNCTION("""COMPUTED_VALUE"""),1)</f>
        <v>1</v>
      </c>
      <c r="I670" s="8">
        <f ca="1">IFERROR(__xludf.DUMMYFUNCTION("""COMPUTED_VALUE"""),1)</f>
        <v>1</v>
      </c>
      <c r="J670" s="8">
        <f ca="1">IFERROR(__xludf.DUMMYFUNCTION("""COMPUTED_VALUE"""),0)</f>
        <v>0</v>
      </c>
      <c r="K670" s="10" t="str">
        <f ca="1">IFERROR(__xludf.DUMMYFUNCTION("""COMPUTED_VALUE"""),"https://dailyvoice.com/new-york/capital-district/16-year-old-in-critical-condition-after-shooting-near-troy-elementary-school/")</f>
        <v>https://dailyvoice.com/new-york/capital-district/16-year-old-in-critical-condition-after-shooting-near-troy-elementary-school/</v>
      </c>
      <c r="L670" s="8">
        <f ca="1">IFERROR(__xludf.DUMMYFUNCTION("""COMPUTED_VALUE"""),2)</f>
        <v>2</v>
      </c>
      <c r="M670" s="8" t="str">
        <f ca="1">IFERROR(__xludf.DUMMYFUNCTION("""COMPUTED_VALUE"""),"Local")</f>
        <v>Local</v>
      </c>
      <c r="N670" s="8">
        <f ca="1">IFERROR(__xludf.DUMMYFUNCTION("""COMPUTED_VALUE"""),4)</f>
        <v>4</v>
      </c>
      <c r="O670" s="8" t="str">
        <f ca="1">IFERROR(__xludf.DUMMYFUNCTION("""COMPUTED_VALUE"""),"Summer")</f>
        <v>Summer</v>
      </c>
      <c r="P670" s="8" t="str">
        <f ca="1">IFERROR(__xludf.DUMMYFUNCTION("""COMPUTED_VALUE"""),"Troy")</f>
        <v>Troy</v>
      </c>
      <c r="Q670" s="8" t="str">
        <f ca="1">IFERROR(__xludf.DUMMYFUNCTION("""COMPUTED_VALUE"""),"NY")</f>
        <v>NY</v>
      </c>
      <c r="R670" s="8" t="str">
        <f ca="1">IFERROR(__xludf.DUMMYFUNCTION("""COMPUTED_VALUE"""),"Elementary")</f>
        <v>Elementary</v>
      </c>
      <c r="S670" s="8" t="str">
        <f ca="1">IFERROR(__xludf.DUMMYFUNCTION("""COMPUTED_VALUE"""),"Front of School")</f>
        <v>Front of School</v>
      </c>
      <c r="T670" s="8" t="str">
        <f ca="1">IFERROR(__xludf.DUMMYFUNCTION("""COMPUTED_VALUE"""),"Outside on School Property")</f>
        <v>Outside on School Property</v>
      </c>
      <c r="U670" s="8" t="str">
        <f ca="1">IFERROR(__xludf.DUMMYFUNCTION("""COMPUTED_VALUE"""),"No")</f>
        <v>No</v>
      </c>
      <c r="V670" s="8" t="str">
        <f ca="1">IFERROR(__xludf.DUMMYFUNCTION("""COMPUTED_VALUE"""),"Evening")</f>
        <v>Evening</v>
      </c>
      <c r="W670" s="11">
        <f ca="1">IFERROR(__xludf.DUMMYFUNCTION("""COMPUTED_VALUE"""),0.75)</f>
        <v>0.75</v>
      </c>
      <c r="X670" s="8">
        <f ca="1">IFERROR(__xludf.DUMMYFUNCTION("""COMPUTED_VALUE"""),1)</f>
        <v>1</v>
      </c>
      <c r="Y670" s="12" t="str">
        <f ca="1">IFERROR(__xludf.DUMMYFUNCTION("""COMPUTED_VALUE"""),"Teen shot in front of school")</f>
        <v>Teen shot in front of school</v>
      </c>
      <c r="Z670" s="12" t="str">
        <f ca="1">IFERROR(__xludf.DUMMYFUNCTION("""COMPUTED_VALUE"""),"According to Troy Police, two groups of people got into a fight and someone opened fire, intentionally striking a 16-year-old boy. The suspect then fled the scene.")</f>
        <v>According to Troy Police, two groups of people got into a fight and someone opened fire, intentionally striking a 16-year-old boy. The suspect then fled the scene.</v>
      </c>
      <c r="AA670" s="8" t="str">
        <f ca="1">IFERROR(__xludf.DUMMYFUNCTION("""COMPUTED_VALUE"""),"Escalation of Dispute")</f>
        <v>Escalation of Dispute</v>
      </c>
      <c r="AB670" s="8"/>
      <c r="AC670" s="8" t="str">
        <f ca="1">IFERROR(__xludf.DUMMYFUNCTION("""COMPUTED_VALUE"""),"No")</f>
        <v>No</v>
      </c>
      <c r="AD670" s="8" t="str">
        <f ca="1">IFERROR(__xludf.DUMMYFUNCTION("""COMPUTED_VALUE"""),"Victims Targeted")</f>
        <v>Victims Targeted</v>
      </c>
      <c r="AE670" s="8" t="str">
        <f ca="1">IFERROR(__xludf.DUMMYFUNCTION("""COMPUTED_VALUE"""),"No")</f>
        <v>No</v>
      </c>
      <c r="AF670" s="8"/>
      <c r="AG670" s="8" t="str">
        <f ca="1">IFERROR(__xludf.DUMMYFUNCTION("""COMPUTED_VALUE"""),"No")</f>
        <v>No</v>
      </c>
      <c r="AH670" s="8" t="str">
        <f ca="1">IFERROR(__xludf.DUMMYFUNCTION("""COMPUTED_VALUE"""),"No")</f>
        <v>No</v>
      </c>
      <c r="AI670" s="8" t="str">
        <f ca="1">IFERROR(__xludf.DUMMYFUNCTION("""COMPUTED_VALUE"""),"No")</f>
        <v>No</v>
      </c>
      <c r="AJ670" s="8" t="str">
        <f ca="1">IFERROR(__xludf.DUMMYFUNCTION("""COMPUTED_VALUE"""),"No")</f>
        <v>No</v>
      </c>
      <c r="AK670" s="8" t="str">
        <f ca="1">IFERROR(__xludf.DUMMYFUNCTION("""COMPUTED_VALUE"""),"No")</f>
        <v>No</v>
      </c>
      <c r="AL670" s="8" t="str">
        <f ca="1">IFERROR(__xludf.DUMMYFUNCTION("""COMPUTED_VALUE"""),"No")</f>
        <v>No</v>
      </c>
      <c r="AM670" s="8" t="str">
        <f ca="1">IFERROR(__xludf.DUMMYFUNCTION("""COMPUTED_VALUE"""),"No")</f>
        <v>No</v>
      </c>
      <c r="AN670" s="8" t="str">
        <f ca="1">IFERROR(__xludf.DUMMYFUNCTION("""COMPUTED_VALUE"""),"Outside")</f>
        <v>Outside</v>
      </c>
      <c r="AO670" s="8" t="str">
        <f ca="1">IFERROR(__xludf.DUMMYFUNCTION("""COMPUTED_VALUE"""),"No")</f>
        <v>No</v>
      </c>
      <c r="AP670" s="8"/>
      <c r="AQ670" s="8"/>
      <c r="AR670" s="8" t="str">
        <f ca="1">IFERROR(__xludf.DUMMYFUNCTION("""COMPUTED_VALUE"""),"Outside/Off-Property")</f>
        <v>Outside/Off-Property</v>
      </c>
      <c r="AS670" s="8"/>
      <c r="AT670" s="8"/>
      <c r="AU670" s="8">
        <f ca="1">IFERROR(__xludf.DUMMYFUNCTION("""COMPUTED_VALUE"""),42.748082)</f>
        <v>42.748081999999997</v>
      </c>
      <c r="AV670" s="8">
        <f ca="1">IFERROR(__xludf.DUMMYFUNCTION("""COMPUTED_VALUE"""),-73.682001)</f>
        <v>-73.682001</v>
      </c>
      <c r="AW670" s="8"/>
      <c r="AX670" s="8">
        <f ca="1">IFERROR(__xludf.DUMMYFUNCTION("""COMPUTED_VALUE"""),12180)</f>
        <v>12180</v>
      </c>
    </row>
    <row r="671" spans="1:50" ht="75" x14ac:dyDescent="0.2">
      <c r="A671" s="8" t="str">
        <f ca="1">IFERROR(__xludf.DUMMYFUNCTION("""COMPUTED_VALUE"""),"20230708ALWOB")</f>
        <v>20230708ALWOB</v>
      </c>
      <c r="B671" s="8">
        <f ca="1">IFERROR(__xludf.DUMMYFUNCTION("""COMPUTED_VALUE"""),7)</f>
        <v>7</v>
      </c>
      <c r="C671" s="8">
        <f ca="1">IFERROR(__xludf.DUMMYFUNCTION("""COMPUTED_VALUE"""),8)</f>
        <v>8</v>
      </c>
      <c r="D671" s="8">
        <f ca="1">IFERROR(__xludf.DUMMYFUNCTION("""COMPUTED_VALUE"""),2023)</f>
        <v>2023</v>
      </c>
      <c r="E671" s="9">
        <f ca="1">IFERROR(__xludf.DUMMYFUNCTION("""COMPUTED_VALUE"""),45115)</f>
        <v>45115</v>
      </c>
      <c r="F671" s="8" t="str">
        <f ca="1">IFERROR(__xludf.DUMMYFUNCTION("""COMPUTED_VALUE"""),"Woodlawn High School")</f>
        <v>Woodlawn High School</v>
      </c>
      <c r="G671" s="8">
        <f ca="1">IFERROR(__xludf.DUMMYFUNCTION("""COMPUTED_VALUE"""),1)</f>
        <v>1</v>
      </c>
      <c r="H671" s="8">
        <f ca="1">IFERROR(__xludf.DUMMYFUNCTION("""COMPUTED_VALUE"""),1)</f>
        <v>1</v>
      </c>
      <c r="I671" s="8">
        <f ca="1">IFERROR(__xludf.DUMMYFUNCTION("""COMPUTED_VALUE"""),2)</f>
        <v>2</v>
      </c>
      <c r="J671" s="8">
        <f ca="1">IFERROR(__xludf.DUMMYFUNCTION("""COMPUTED_VALUE"""),1)</f>
        <v>1</v>
      </c>
      <c r="K671" s="8" t="str">
        <f ca="1">IFERROR(__xludf.DUMMYFUNCTION("""COMPUTED_VALUE"""),"https://www.wvtm13.com/article/police-on-scenes-of-two-shootings-in-woodlawn-area/44482465
https://abc3340.com/news/local/one-dead-after-multiple-people-shot-near-woodlawn-high-school-events-shooting-birmingham-police-department-gun-control-violence")</f>
        <v>https://www.wvtm13.com/article/police-on-scenes-of-two-shootings-in-woodlawn-area/44482465
https://abc3340.com/news/local/one-dead-after-multiple-people-shot-near-woodlawn-high-school-events-shooting-birmingham-police-department-gun-control-violence</v>
      </c>
      <c r="L671" s="8">
        <f ca="1">IFERROR(__xludf.DUMMYFUNCTION("""COMPUTED_VALUE"""),2)</f>
        <v>2</v>
      </c>
      <c r="M671" s="8" t="str">
        <f ca="1">IFERROR(__xludf.DUMMYFUNCTION("""COMPUTED_VALUE"""),"Local")</f>
        <v>Local</v>
      </c>
      <c r="N671" s="8">
        <f ca="1">IFERROR(__xludf.DUMMYFUNCTION("""COMPUTED_VALUE"""),4)</f>
        <v>4</v>
      </c>
      <c r="O671" s="8" t="str">
        <f ca="1">IFERROR(__xludf.DUMMYFUNCTION("""COMPUTED_VALUE"""),"Summer")</f>
        <v>Summer</v>
      </c>
      <c r="P671" s="8" t="str">
        <f ca="1">IFERROR(__xludf.DUMMYFUNCTION("""COMPUTED_VALUE"""),"Bermingham")</f>
        <v>Bermingham</v>
      </c>
      <c r="Q671" s="8" t="str">
        <f ca="1">IFERROR(__xludf.DUMMYFUNCTION("""COMPUTED_VALUE"""),"AL")</f>
        <v>AL</v>
      </c>
      <c r="R671" s="8" t="str">
        <f ca="1">IFERROR(__xludf.DUMMYFUNCTION("""COMPUTED_VALUE"""),"High")</f>
        <v>High</v>
      </c>
      <c r="S671" s="8" t="str">
        <f ca="1">IFERROR(__xludf.DUMMYFUNCTION("""COMPUTED_VALUE"""),"Parking Lot")</f>
        <v>Parking Lot</v>
      </c>
      <c r="T671" s="8" t="str">
        <f ca="1">IFERROR(__xludf.DUMMYFUNCTION("""COMPUTED_VALUE"""),"Outside on School Property")</f>
        <v>Outside on School Property</v>
      </c>
      <c r="U671" s="8" t="str">
        <f ca="1">IFERROR(__xludf.DUMMYFUNCTION("""COMPUTED_VALUE"""),"No")</f>
        <v>No</v>
      </c>
      <c r="V671" s="8" t="str">
        <f ca="1">IFERROR(__xludf.DUMMYFUNCTION("""COMPUTED_VALUE"""),"Not a School Day")</f>
        <v>Not a School Day</v>
      </c>
      <c r="W671" s="11">
        <f ca="1">IFERROR(__xludf.DUMMYFUNCTION("""COMPUTED_VALUE"""),0.75)</f>
        <v>0.75</v>
      </c>
      <c r="X671" s="8">
        <f ca="1">IFERROR(__xludf.DUMMYFUNCTION("""COMPUTED_VALUE"""),1)</f>
        <v>1</v>
      </c>
      <c r="Y671" s="12" t="str">
        <f ca="1">IFERROR(__xludf.DUMMYFUNCTION("""COMPUTED_VALUE"""),"Two women shot in school parking lot during domestic, man fled and commit suicide")</f>
        <v>Two women shot in school parking lot during domestic, man fled and commit suicide</v>
      </c>
      <c r="Z671" s="12" t="str">
        <f ca="1">IFERROR(__xludf.DUMMYFUNCTION("""COMPUTED_VALUE"""),"Two women shot in school parking lot during domestic, man fled and commit suicide")</f>
        <v>Two women shot in school parking lot during domestic, man fled and commit suicide</v>
      </c>
      <c r="AA671" s="8" t="str">
        <f ca="1">IFERROR(__xludf.DUMMYFUNCTION("""COMPUTED_VALUE"""),"Domestic w/ Targeted Victim")</f>
        <v>Domestic w/ Targeted Victim</v>
      </c>
      <c r="AB671" s="8"/>
      <c r="AC671" s="8" t="str">
        <f ca="1">IFERROR(__xludf.DUMMYFUNCTION("""COMPUTED_VALUE"""),"No")</f>
        <v>No</v>
      </c>
      <c r="AD671" s="8" t="str">
        <f ca="1">IFERROR(__xludf.DUMMYFUNCTION("""COMPUTED_VALUE"""),"Victims Targeted")</f>
        <v>Victims Targeted</v>
      </c>
      <c r="AE671" s="8" t="str">
        <f ca="1">IFERROR(__xludf.DUMMYFUNCTION("""COMPUTED_VALUE"""),"No")</f>
        <v>No</v>
      </c>
      <c r="AF671" s="8"/>
      <c r="AG671" s="8" t="str">
        <f ca="1">IFERROR(__xludf.DUMMYFUNCTION("""COMPUTED_VALUE"""),"No")</f>
        <v>No</v>
      </c>
      <c r="AH671" s="8" t="str">
        <f ca="1">IFERROR(__xludf.DUMMYFUNCTION("""COMPUTED_VALUE"""),"No")</f>
        <v>No</v>
      </c>
      <c r="AI671" s="8" t="str">
        <f ca="1">IFERROR(__xludf.DUMMYFUNCTION("""COMPUTED_VALUE"""),"No")</f>
        <v>No</v>
      </c>
      <c r="AJ671" s="8" t="str">
        <f ca="1">IFERROR(__xludf.DUMMYFUNCTION("""COMPUTED_VALUE"""),"No")</f>
        <v>No</v>
      </c>
      <c r="AK671" s="8" t="str">
        <f ca="1">IFERROR(__xludf.DUMMYFUNCTION("""COMPUTED_VALUE"""),"Yes")</f>
        <v>Yes</v>
      </c>
      <c r="AL671" s="8" t="str">
        <f ca="1">IFERROR(__xludf.DUMMYFUNCTION("""COMPUTED_VALUE"""),"No")</f>
        <v>No</v>
      </c>
      <c r="AM671" s="8" t="str">
        <f ca="1">IFERROR(__xludf.DUMMYFUNCTION("""COMPUTED_VALUE"""),"No")</f>
        <v>No</v>
      </c>
      <c r="AN671" s="8" t="str">
        <f ca="1">IFERROR(__xludf.DUMMYFUNCTION("""COMPUTED_VALUE"""),"Outside")</f>
        <v>Outside</v>
      </c>
      <c r="AO671" s="8" t="str">
        <f ca="1">IFERROR(__xludf.DUMMYFUNCTION("""COMPUTED_VALUE"""),"No")</f>
        <v>No</v>
      </c>
      <c r="AP671" s="8"/>
      <c r="AQ671" s="8"/>
      <c r="AR671" s="8" t="str">
        <f ca="1">IFERROR(__xludf.DUMMYFUNCTION("""COMPUTED_VALUE"""),"Outside/Off-Property")</f>
        <v>Outside/Off-Property</v>
      </c>
      <c r="AS671" s="8">
        <f ca="1">IFERROR(__xludf.DUMMYFUNCTION("""COMPUTED_VALUE"""),99)</f>
        <v>99</v>
      </c>
      <c r="AT671" s="8"/>
      <c r="AU671" s="8">
        <f ca="1">IFERROR(__xludf.DUMMYFUNCTION("""COMPUTED_VALUE"""),33.541961)</f>
        <v>33.541961000000001</v>
      </c>
      <c r="AV671" s="8">
        <f ca="1">IFERROR(__xludf.DUMMYFUNCTION("""COMPUTED_VALUE"""),-86.75192)</f>
        <v>-86.751919999999998</v>
      </c>
      <c r="AW671" s="8"/>
      <c r="AX671" s="8">
        <f ca="1">IFERROR(__xludf.DUMMYFUNCTION("""COMPUTED_VALUE"""),35212)</f>
        <v>35212</v>
      </c>
    </row>
    <row r="672" spans="1:50" ht="105" x14ac:dyDescent="0.2">
      <c r="A672" s="8" t="str">
        <f ca="1">IFERROR(__xludf.DUMMYFUNCTION("""COMPUTED_VALUE"""),"20230707MDPIP")</f>
        <v>20230707MDPIP</v>
      </c>
      <c r="B672" s="8">
        <f ca="1">IFERROR(__xludf.DUMMYFUNCTION("""COMPUTED_VALUE"""),7)</f>
        <v>7</v>
      </c>
      <c r="C672" s="8">
        <f ca="1">IFERROR(__xludf.DUMMYFUNCTION("""COMPUTED_VALUE"""),7)</f>
        <v>7</v>
      </c>
      <c r="D672" s="8">
        <f ca="1">IFERROR(__xludf.DUMMYFUNCTION("""COMPUTED_VALUE"""),2023)</f>
        <v>2023</v>
      </c>
      <c r="E672" s="9">
        <f ca="1">IFERROR(__xludf.DUMMYFUNCTION("""COMPUTED_VALUE"""),45114)</f>
        <v>45114</v>
      </c>
      <c r="F672" s="8" t="str">
        <f ca="1">IFERROR(__xludf.DUMMYFUNCTION("""COMPUTED_VALUE"""),"Pikesville High School")</f>
        <v>Pikesville High School</v>
      </c>
      <c r="G672" s="8">
        <f ca="1">IFERROR(__xludf.DUMMYFUNCTION("""COMPUTED_VALUE"""),1)</f>
        <v>1</v>
      </c>
      <c r="H672" s="8">
        <f ca="1">IFERROR(__xludf.DUMMYFUNCTION("""COMPUTED_VALUE"""),0)</f>
        <v>0</v>
      </c>
      <c r="I672" s="8">
        <f ca="1">IFERROR(__xludf.DUMMYFUNCTION("""COMPUTED_VALUE"""),1)</f>
        <v>1</v>
      </c>
      <c r="J672" s="8">
        <f ca="1">IFERROR(__xludf.DUMMYFUNCTION("""COMPUTED_VALUE"""),0)</f>
        <v>0</v>
      </c>
      <c r="K672" s="8" t="str">
        <f ca="1">IFERROR(__xludf.DUMMYFUNCTION("""COMPUTED_VALUE"""),"https://www.wbal.com/article/613040/21/police-woman-found-fatally-shot-near-pikesville-high-school
https://foxbaltimore.com/news/local/1-killed-near-pikesville-high-school-friday-evening-police-say
https://www.youtube.com/watch?v=el_1uDiXjUg")</f>
        <v>https://www.wbal.com/article/613040/21/police-woman-found-fatally-shot-near-pikesville-high-school
https://foxbaltimore.com/news/local/1-killed-near-pikesville-high-school-friday-evening-police-say
https://www.youtube.com/watch?v=el_1uDiXjUg</v>
      </c>
      <c r="L672" s="8">
        <f ca="1">IFERROR(__xludf.DUMMYFUNCTION("""COMPUTED_VALUE"""),3)</f>
        <v>3</v>
      </c>
      <c r="M672" s="8" t="str">
        <f ca="1">IFERROR(__xludf.DUMMYFUNCTION("""COMPUTED_VALUE"""),"Local")</f>
        <v>Local</v>
      </c>
      <c r="N672" s="8">
        <f ca="1">IFERROR(__xludf.DUMMYFUNCTION("""COMPUTED_VALUE"""),4)</f>
        <v>4</v>
      </c>
      <c r="O672" s="8" t="str">
        <f ca="1">IFERROR(__xludf.DUMMYFUNCTION("""COMPUTED_VALUE"""),"Summer")</f>
        <v>Summer</v>
      </c>
      <c r="P672" s="8" t="str">
        <f ca="1">IFERROR(__xludf.DUMMYFUNCTION("""COMPUTED_VALUE"""),"Pikesville")</f>
        <v>Pikesville</v>
      </c>
      <c r="Q672" s="8" t="str">
        <f ca="1">IFERROR(__xludf.DUMMYFUNCTION("""COMPUTED_VALUE"""),"MD")</f>
        <v>MD</v>
      </c>
      <c r="R672" s="8" t="str">
        <f ca="1">IFERROR(__xludf.DUMMYFUNCTION("""COMPUTED_VALUE"""),"High")</f>
        <v>High</v>
      </c>
      <c r="S672" s="8" t="str">
        <f ca="1">IFERROR(__xludf.DUMMYFUNCTION("""COMPUTED_VALUE"""),"Parking Lot")</f>
        <v>Parking Lot</v>
      </c>
      <c r="T672" s="8" t="str">
        <f ca="1">IFERROR(__xludf.DUMMYFUNCTION("""COMPUTED_VALUE"""),"Outside on School Property")</f>
        <v>Outside on School Property</v>
      </c>
      <c r="U672" s="8" t="str">
        <f ca="1">IFERROR(__xludf.DUMMYFUNCTION("""COMPUTED_VALUE"""),"No")</f>
        <v>No</v>
      </c>
      <c r="V672" s="8" t="str">
        <f ca="1">IFERROR(__xludf.DUMMYFUNCTION("""COMPUTED_VALUE"""),"Evening")</f>
        <v>Evening</v>
      </c>
      <c r="W672" s="11">
        <f ca="1">IFERROR(__xludf.DUMMYFUNCTION("""COMPUTED_VALUE"""),0.826388888888888)</f>
        <v>0.82638888888888795</v>
      </c>
      <c r="X672" s="8">
        <f ca="1">IFERROR(__xludf.DUMMYFUNCTION("""COMPUTED_VALUE"""),1)</f>
        <v>1</v>
      </c>
      <c r="Y672" s="12" t="str">
        <f ca="1">IFERROR(__xludf.DUMMYFUNCTION("""COMPUTED_VALUE"""),"Woman found fatally shot in schhol parking lot")</f>
        <v>Woman found fatally shot in schhol parking lot</v>
      </c>
      <c r="Z672" s="12" t="str">
        <f ca="1">IFERROR(__xludf.DUMMYFUNCTION("""COMPUTED_VALUE"""),"A woman was found fatally shot Friday evening in parking lot of Pikesville High School in Baltimore County. Police said they responded to the 7600 block of Labyrinth Road just before 7 p.m. for a report of an unconscious person. Upon arrival, officers sai"&amp;"d they found Lakisha Wheeler, 45, with an apparent gunshot wound. Wheeler was pronounced dead at the scene, police said.")</f>
        <v>A woman was found fatally shot Friday evening in parking lot of Pikesville High School in Baltimore County. Police said they responded to the 7600 block of Labyrinth Road just before 7 p.m. for a report of an unconscious person. Upon arrival, officers said they found Lakisha Wheeler, 45, with an apparent gunshot wound. Wheeler was pronounced dead at the scene, police said.</v>
      </c>
      <c r="AA672" s="8"/>
      <c r="AB672" s="8"/>
      <c r="AC672" s="8" t="str">
        <f ca="1">IFERROR(__xludf.DUMMYFUNCTION("""COMPUTED_VALUE"""),"No")</f>
        <v>No</v>
      </c>
      <c r="AD672" s="8" t="str">
        <f ca="1">IFERROR(__xludf.DUMMYFUNCTION("""COMPUTED_VALUE"""),"Victims Targeted")</f>
        <v>Victims Targeted</v>
      </c>
      <c r="AE672" s="8"/>
      <c r="AF672" s="8"/>
      <c r="AG672" s="8" t="str">
        <f ca="1">IFERROR(__xludf.DUMMYFUNCTION("""COMPUTED_VALUE"""),"No")</f>
        <v>No</v>
      </c>
      <c r="AH672" s="8" t="str">
        <f ca="1">IFERROR(__xludf.DUMMYFUNCTION("""COMPUTED_VALUE"""),"No")</f>
        <v>No</v>
      </c>
      <c r="AI672" s="8" t="str">
        <f ca="1">IFERROR(__xludf.DUMMYFUNCTION("""COMPUTED_VALUE"""),"No")</f>
        <v>No</v>
      </c>
      <c r="AJ672" s="8" t="str">
        <f ca="1">IFERROR(__xludf.DUMMYFUNCTION("""COMPUTED_VALUE"""),"No")</f>
        <v>No</v>
      </c>
      <c r="AK672" s="8"/>
      <c r="AL672" s="8"/>
      <c r="AM672" s="8" t="str">
        <f ca="1">IFERROR(__xludf.DUMMYFUNCTION("""COMPUTED_VALUE"""),"No")</f>
        <v>No</v>
      </c>
      <c r="AN672" s="8" t="str">
        <f ca="1">IFERROR(__xludf.DUMMYFUNCTION("""COMPUTED_VALUE"""),"Outside")</f>
        <v>Outside</v>
      </c>
      <c r="AO672" s="8" t="str">
        <f ca="1">IFERROR(__xludf.DUMMYFUNCTION("""COMPUTED_VALUE"""),"No")</f>
        <v>No</v>
      </c>
      <c r="AP672" s="8"/>
      <c r="AQ672" s="8"/>
      <c r="AR672" s="8" t="str">
        <f ca="1">IFERROR(__xludf.DUMMYFUNCTION("""COMPUTED_VALUE"""),"Outside/Off-Property")</f>
        <v>Outside/Off-Property</v>
      </c>
      <c r="AS672" s="8"/>
      <c r="AT672" s="8" t="str">
        <f ca="1">IFERROR(__xludf.DUMMYFUNCTION("""COMPUTED_VALUE"""),"No")</f>
        <v>No</v>
      </c>
      <c r="AU672" s="8">
        <f ca="1">IFERROR(__xludf.DUMMYFUNCTION("""COMPUTED_VALUE"""),39.377191)</f>
        <v>39.377191000000003</v>
      </c>
      <c r="AV672" s="8">
        <f ca="1">IFERROR(__xludf.DUMMYFUNCTION("""COMPUTED_VALUE"""),-76.699631)</f>
        <v>-76.699630999999997</v>
      </c>
      <c r="AW672" s="8"/>
      <c r="AX672" s="8">
        <f ca="1">IFERROR(__xludf.DUMMYFUNCTION("""COMPUTED_VALUE"""),21208)</f>
        <v>21208</v>
      </c>
    </row>
    <row r="673" spans="1:50" ht="75" x14ac:dyDescent="0.2">
      <c r="A673" s="8" t="str">
        <f ca="1">IFERROR(__xludf.DUMMYFUNCTION("""COMPUTED_VALUE"""),"20230706OHHUC")</f>
        <v>20230706OHHUC</v>
      </c>
      <c r="B673" s="8">
        <f ca="1">IFERROR(__xludf.DUMMYFUNCTION("""COMPUTED_VALUE"""),7)</f>
        <v>7</v>
      </c>
      <c r="C673" s="8">
        <f ca="1">IFERROR(__xludf.DUMMYFUNCTION("""COMPUTED_VALUE"""),6)</f>
        <v>6</v>
      </c>
      <c r="D673" s="8">
        <f ca="1">IFERROR(__xludf.DUMMYFUNCTION("""COMPUTED_VALUE"""),2023)</f>
        <v>2023</v>
      </c>
      <c r="E673" s="9">
        <f ca="1">IFERROR(__xludf.DUMMYFUNCTION("""COMPUTED_VALUE"""),45113)</f>
        <v>45113</v>
      </c>
      <c r="F673" s="8" t="str">
        <f ca="1">IFERROR(__xludf.DUMMYFUNCTION("""COMPUTED_VALUE"""),"Hughes High School")</f>
        <v>Hughes High School</v>
      </c>
      <c r="G673" s="8">
        <f ca="1">IFERROR(__xludf.DUMMYFUNCTION("""COMPUTED_VALUE"""),0)</f>
        <v>0</v>
      </c>
      <c r="H673" s="8">
        <f ca="1">IFERROR(__xludf.DUMMYFUNCTION("""COMPUTED_VALUE"""),1)</f>
        <v>1</v>
      </c>
      <c r="I673" s="8">
        <f ca="1">IFERROR(__xludf.DUMMYFUNCTION("""COMPUTED_VALUE"""),1)</f>
        <v>1</v>
      </c>
      <c r="J673" s="8">
        <f ca="1">IFERROR(__xludf.DUMMYFUNCTION("""COMPUTED_VALUE"""),0)</f>
        <v>0</v>
      </c>
      <c r="K673" s="10" t="str">
        <f ca="1">IFERROR(__xludf.DUMMYFUNCTION("""COMPUTED_VALUE"""),"https://www.fox19.com/2023/07/07/man-shot-front-hughes-high-school-overnight/")</f>
        <v>https://www.fox19.com/2023/07/07/man-shot-front-hughes-high-school-overnight/</v>
      </c>
      <c r="L673" s="8">
        <f ca="1">IFERROR(__xludf.DUMMYFUNCTION("""COMPUTED_VALUE"""),1)</f>
        <v>1</v>
      </c>
      <c r="M673" s="8" t="str">
        <f ca="1">IFERROR(__xludf.DUMMYFUNCTION("""COMPUTED_VALUE"""),"Local")</f>
        <v>Local</v>
      </c>
      <c r="N673" s="8">
        <f ca="1">IFERROR(__xludf.DUMMYFUNCTION("""COMPUTED_VALUE"""),3)</f>
        <v>3</v>
      </c>
      <c r="O673" s="8" t="str">
        <f ca="1">IFERROR(__xludf.DUMMYFUNCTION("""COMPUTED_VALUE"""),"Summer")</f>
        <v>Summer</v>
      </c>
      <c r="P673" s="8" t="str">
        <f ca="1">IFERROR(__xludf.DUMMYFUNCTION("""COMPUTED_VALUE"""),"Cincinnati")</f>
        <v>Cincinnati</v>
      </c>
      <c r="Q673" s="8" t="str">
        <f ca="1">IFERROR(__xludf.DUMMYFUNCTION("""COMPUTED_VALUE"""),"OH")</f>
        <v>OH</v>
      </c>
      <c r="R673" s="8" t="str">
        <f ca="1">IFERROR(__xludf.DUMMYFUNCTION("""COMPUTED_VALUE"""),"High")</f>
        <v>High</v>
      </c>
      <c r="S673" s="8" t="str">
        <f ca="1">IFERROR(__xludf.DUMMYFUNCTION("""COMPUTED_VALUE"""),"Front of School")</f>
        <v>Front of School</v>
      </c>
      <c r="T673" s="8" t="str">
        <f ca="1">IFERROR(__xludf.DUMMYFUNCTION("""COMPUTED_VALUE"""),"Outside on School Property")</f>
        <v>Outside on School Property</v>
      </c>
      <c r="U673" s="8" t="str">
        <f ca="1">IFERROR(__xludf.DUMMYFUNCTION("""COMPUTED_VALUE"""),"No")</f>
        <v>No</v>
      </c>
      <c r="V673" s="8" t="str">
        <f ca="1">IFERROR(__xludf.DUMMYFUNCTION("""COMPUTED_VALUE"""),"Night")</f>
        <v>Night</v>
      </c>
      <c r="W673" s="11">
        <f ca="1">IFERROR(__xludf.DUMMYFUNCTION("""COMPUTED_VALUE"""),0.958333333333333)</f>
        <v>0.95833333333333304</v>
      </c>
      <c r="X673" s="8">
        <f ca="1">IFERROR(__xludf.DUMMYFUNCTION("""COMPUTED_VALUE"""),1)</f>
        <v>1</v>
      </c>
      <c r="Y673" s="12" t="str">
        <f ca="1">IFERROR(__xludf.DUMMYFUNCTION("""COMPUTED_VALUE"""),"Man shot in front of school")</f>
        <v>Man shot in front of school</v>
      </c>
      <c r="Z673" s="12" t="str">
        <f ca="1">IFERROR(__xludf.DUMMYFUNCTION("""COMPUTED_VALUE"""),"Cincinnati police are investigating an overnight shooting in front of Hughes High School near the University of Cincinnati. It was reported at about 11 p.m. on Clifton Avenue. A man with a gunshot wound to one of his legs drove himself to a hospital for t"&amp;"reatment")</f>
        <v>Cincinnati police are investigating an overnight shooting in front of Hughes High School near the University of Cincinnati. It was reported at about 11 p.m. on Clifton Avenue. A man with a gunshot wound to one of his legs drove himself to a hospital for treatment</v>
      </c>
      <c r="AA673" s="8"/>
      <c r="AB673" s="8"/>
      <c r="AC673" s="8" t="str">
        <f ca="1">IFERROR(__xludf.DUMMYFUNCTION("""COMPUTED_VALUE"""),"No")</f>
        <v>No</v>
      </c>
      <c r="AD673" s="8"/>
      <c r="AE673" s="8"/>
      <c r="AF673" s="8"/>
      <c r="AG673" s="8" t="str">
        <f ca="1">IFERROR(__xludf.DUMMYFUNCTION("""COMPUTED_VALUE"""),"No")</f>
        <v>No</v>
      </c>
      <c r="AH673" s="8" t="str">
        <f ca="1">IFERROR(__xludf.DUMMYFUNCTION("""COMPUTED_VALUE"""),"No")</f>
        <v>No</v>
      </c>
      <c r="AI673" s="8" t="str">
        <f ca="1">IFERROR(__xludf.DUMMYFUNCTION("""COMPUTED_VALUE"""),"No")</f>
        <v>No</v>
      </c>
      <c r="AJ673" s="8" t="str">
        <f ca="1">IFERROR(__xludf.DUMMYFUNCTION("""COMPUTED_VALUE"""),"No")</f>
        <v>No</v>
      </c>
      <c r="AK673" s="8" t="str">
        <f ca="1">IFERROR(__xludf.DUMMYFUNCTION("""COMPUTED_VALUE"""),"No")</f>
        <v>No</v>
      </c>
      <c r="AL673" s="8"/>
      <c r="AM673" s="8" t="str">
        <f ca="1">IFERROR(__xludf.DUMMYFUNCTION("""COMPUTED_VALUE"""),"No")</f>
        <v>No</v>
      </c>
      <c r="AN673" s="8" t="str">
        <f ca="1">IFERROR(__xludf.DUMMYFUNCTION("""COMPUTED_VALUE"""),"Outside")</f>
        <v>Outside</v>
      </c>
      <c r="AO673" s="8" t="str">
        <f ca="1">IFERROR(__xludf.DUMMYFUNCTION("""COMPUTED_VALUE"""),"No")</f>
        <v>No</v>
      </c>
      <c r="AP673" s="8"/>
      <c r="AQ673" s="8"/>
      <c r="AR673" s="8" t="str">
        <f ca="1">IFERROR(__xludf.DUMMYFUNCTION("""COMPUTED_VALUE"""),"Outside/Off-Property")</f>
        <v>Outside/Off-Property</v>
      </c>
      <c r="AS673" s="8"/>
      <c r="AT673" s="8" t="str">
        <f ca="1">IFERROR(__xludf.DUMMYFUNCTION("""COMPUTED_VALUE"""),"No")</f>
        <v>No</v>
      </c>
      <c r="AU673" s="8">
        <f ca="1">IFERROR(__xludf.DUMMYFUNCTION("""COMPUTED_VALUE"""),39.128499)</f>
        <v>39.128498999999998</v>
      </c>
      <c r="AV673" s="8">
        <f ca="1">IFERROR(__xludf.DUMMYFUNCTION("""COMPUTED_VALUE"""),-84.521111)</f>
        <v>-84.521111000000005</v>
      </c>
      <c r="AW673" s="8"/>
      <c r="AX673" s="8">
        <f ca="1">IFERROR(__xludf.DUMMYFUNCTION("""COMPUTED_VALUE"""),45221)</f>
        <v>45221</v>
      </c>
    </row>
    <row r="674" spans="1:50" ht="135" x14ac:dyDescent="0.2">
      <c r="A674" s="8" t="str">
        <f ca="1">IFERROR(__xludf.DUMMYFUNCTION("""COMPUTED_VALUE"""),"20230702MNUNF")</f>
        <v>20230702MNUNF</v>
      </c>
      <c r="B674" s="8">
        <f ca="1">IFERROR(__xludf.DUMMYFUNCTION("""COMPUTED_VALUE"""),7)</f>
        <v>7</v>
      </c>
      <c r="C674" s="8">
        <f ca="1">IFERROR(__xludf.DUMMYFUNCTION("""COMPUTED_VALUE"""),2)</f>
        <v>2</v>
      </c>
      <c r="D674" s="8">
        <f ca="1">IFERROR(__xludf.DUMMYFUNCTION("""COMPUTED_VALUE"""),2023)</f>
        <v>2023</v>
      </c>
      <c r="E674" s="9">
        <f ca="1">IFERROR(__xludf.DUMMYFUNCTION("""COMPUTED_VALUE"""),45109)</f>
        <v>45109</v>
      </c>
      <c r="F674" s="8" t="str">
        <f ca="1">IFERROR(__xludf.DUMMYFUNCTION("""COMPUTED_VALUE"""),"Jefferson Elementary School")</f>
        <v>Jefferson Elementary School</v>
      </c>
      <c r="G674" s="8">
        <f ca="1">IFERROR(__xludf.DUMMYFUNCTION("""COMPUTED_VALUE"""),0)</f>
        <v>0</v>
      </c>
      <c r="H674" s="8">
        <f ca="1">IFERROR(__xludf.DUMMYFUNCTION("""COMPUTED_VALUE"""),0)</f>
        <v>0</v>
      </c>
      <c r="I674" s="8">
        <f ca="1">IFERROR(__xludf.DUMMYFUNCTION("""COMPUTED_VALUE"""),0)</f>
        <v>0</v>
      </c>
      <c r="J674" s="8">
        <f ca="1">IFERROR(__xludf.DUMMYFUNCTION("""COMPUTED_VALUE"""),0)</f>
        <v>0</v>
      </c>
      <c r="K674" s="8" t="str">
        <f ca="1">IFERROR(__xludf.DUMMYFUNCTION("""COMPUTED_VALUE"""),"https://bringmethenews.com/minnesota-news/charges-faribault-teen-fired-bb-gun-at-kids-outside-elementary-school
https://www.southernminn.com/faribault_daily_news/news/faribault-teen-allegedly-shot-at-children-outside-a-school/article_eb1c1266-1b65-11ee-88"&amp;"8c-bf77f795a227.html")</f>
        <v>https://bringmethenews.com/minnesota-news/charges-faribault-teen-fired-bb-gun-at-kids-outside-elementary-school
https://www.southernminn.com/faribault_daily_news/news/faribault-teen-allegedly-shot-at-children-outside-a-school/article_eb1c1266-1b65-11ee-888c-bf77f795a227.html</v>
      </c>
      <c r="L674" s="8">
        <f ca="1">IFERROR(__xludf.DUMMYFUNCTION("""COMPUTED_VALUE"""),2)</f>
        <v>2</v>
      </c>
      <c r="M674" s="8" t="str">
        <f ca="1">IFERROR(__xludf.DUMMYFUNCTION("""COMPUTED_VALUE"""),"Local")</f>
        <v>Local</v>
      </c>
      <c r="N674" s="8">
        <f ca="1">IFERROR(__xludf.DUMMYFUNCTION("""COMPUTED_VALUE"""),3)</f>
        <v>3</v>
      </c>
      <c r="O674" s="8" t="str">
        <f ca="1">IFERROR(__xludf.DUMMYFUNCTION("""COMPUTED_VALUE"""),"Summer")</f>
        <v>Summer</v>
      </c>
      <c r="P674" s="8" t="str">
        <f ca="1">IFERROR(__xludf.DUMMYFUNCTION("""COMPUTED_VALUE"""),"Faribault")</f>
        <v>Faribault</v>
      </c>
      <c r="Q674" s="8" t="str">
        <f ca="1">IFERROR(__xludf.DUMMYFUNCTION("""COMPUTED_VALUE"""),"MN")</f>
        <v>MN</v>
      </c>
      <c r="R674" s="8" t="str">
        <f ca="1">IFERROR(__xludf.DUMMYFUNCTION("""COMPUTED_VALUE"""),"Unknown")</f>
        <v>Unknown</v>
      </c>
      <c r="S674" s="8" t="str">
        <f ca="1">IFERROR(__xludf.DUMMYFUNCTION("""COMPUTED_VALUE"""),"Basketball Court")</f>
        <v>Basketball Court</v>
      </c>
      <c r="T674" s="8" t="str">
        <f ca="1">IFERROR(__xludf.DUMMYFUNCTION("""COMPUTED_VALUE"""),"Outside on School Property")</f>
        <v>Outside on School Property</v>
      </c>
      <c r="U674" s="8" t="str">
        <f ca="1">IFERROR(__xludf.DUMMYFUNCTION("""COMPUTED_VALUE"""),"No")</f>
        <v>No</v>
      </c>
      <c r="V674" s="8" t="str">
        <f ca="1">IFERROR(__xludf.DUMMYFUNCTION("""COMPUTED_VALUE"""),"Night")</f>
        <v>Night</v>
      </c>
      <c r="W674" s="11">
        <f ca="1">IFERROR(__xludf.DUMMYFUNCTION("""COMPUTED_VALUE"""),0.986111111111111)</f>
        <v>0.98611111111111105</v>
      </c>
      <c r="X674" s="8">
        <f ca="1">IFERROR(__xludf.DUMMYFUNCTION("""COMPUTED_VALUE"""),1)</f>
        <v>1</v>
      </c>
      <c r="Y674" s="12" t="str">
        <f ca="1">IFERROR(__xludf.DUMMYFUNCTION("""COMPUTED_VALUE"""),"19-year-old shot replica bb gun at kids playing basketball")</f>
        <v>19-year-old shot replica bb gun at kids playing basketball</v>
      </c>
      <c r="Z674" s="12" t="str">
        <f ca="1">IFERROR(__xludf.DUMMYFUNCTION("""COMPUTED_VALUE"""),"19-year-old shot replica bb gun at kids playing basketball. Hassannuur allegedly pulled up in a black Ford with tinted windows and called out threatening to beat up the kids playing on the basketball court, according to a victim statement in the criminal "&amp;"complaint. Moments later, the group was being shot at and the kids ran away. One child, who fell and chipped his tooth, told police he was ""terrified and had difficulty speaking because he was crying,"" charges state. ")</f>
        <v xml:space="preserve">19-year-old shot replica bb gun at kids playing basketball. Hassannuur allegedly pulled up in a black Ford with tinted windows and called out threatening to beat up the kids playing on the basketball court, according to a victim statement in the criminal complaint. Moments later, the group was being shot at and the kids ran away. One child, who fell and chipped his tooth, told police he was "terrified and had difficulty speaking because he was crying," charges state. </v>
      </c>
      <c r="AA674" s="8" t="str">
        <f ca="1">IFERROR(__xludf.DUMMYFUNCTION("""COMPUTED_VALUE"""),"Escalation of Dispute")</f>
        <v>Escalation of Dispute</v>
      </c>
      <c r="AB674" s="8"/>
      <c r="AC674" s="8"/>
      <c r="AD674" s="8"/>
      <c r="AE674" s="8" t="str">
        <f ca="1">IFERROR(__xludf.DUMMYFUNCTION("""COMPUTED_VALUE"""),"No")</f>
        <v>No</v>
      </c>
      <c r="AF674" s="8"/>
      <c r="AG674" s="8" t="str">
        <f ca="1">IFERROR(__xludf.DUMMYFUNCTION("""COMPUTED_VALUE"""),"No")</f>
        <v>No</v>
      </c>
      <c r="AH674" s="8" t="str">
        <f ca="1">IFERROR(__xludf.DUMMYFUNCTION("""COMPUTED_VALUE"""),"No")</f>
        <v>No</v>
      </c>
      <c r="AI674" s="8" t="str">
        <f ca="1">IFERROR(__xludf.DUMMYFUNCTION("""COMPUTED_VALUE"""),"No")</f>
        <v>No</v>
      </c>
      <c r="AJ674" s="8" t="str">
        <f ca="1">IFERROR(__xludf.DUMMYFUNCTION("""COMPUTED_VALUE"""),"No")</f>
        <v>No</v>
      </c>
      <c r="AK674" s="8" t="str">
        <f ca="1">IFERROR(__xludf.DUMMYFUNCTION("""COMPUTED_VALUE"""),"No")</f>
        <v>No</v>
      </c>
      <c r="AL674" s="8" t="str">
        <f ca="1">IFERROR(__xludf.DUMMYFUNCTION("""COMPUTED_VALUE"""),"No")</f>
        <v>No</v>
      </c>
      <c r="AM674" s="8" t="str">
        <f ca="1">IFERROR(__xludf.DUMMYFUNCTION("""COMPUTED_VALUE"""),"No")</f>
        <v>No</v>
      </c>
      <c r="AN674" s="8" t="str">
        <f ca="1">IFERROR(__xludf.DUMMYFUNCTION("""COMPUTED_VALUE"""),"Outside")</f>
        <v>Outside</v>
      </c>
      <c r="AO674" s="8" t="str">
        <f ca="1">IFERROR(__xludf.DUMMYFUNCTION("""COMPUTED_VALUE"""),"No")</f>
        <v>No</v>
      </c>
      <c r="AP674" s="8"/>
      <c r="AQ674" s="8"/>
      <c r="AR674" s="8" t="str">
        <f ca="1">IFERROR(__xludf.DUMMYFUNCTION("""COMPUTED_VALUE"""),"Outside/Off-Property")</f>
        <v>Outside/Off-Property</v>
      </c>
      <c r="AS674" s="8">
        <f ca="1">IFERROR(__xludf.DUMMYFUNCTION("""COMPUTED_VALUE"""),99)</f>
        <v>99</v>
      </c>
      <c r="AT674" s="8" t="str">
        <f ca="1">IFERROR(__xludf.DUMMYFUNCTION("""COMPUTED_VALUE"""),"No")</f>
        <v>No</v>
      </c>
      <c r="AU674" s="8">
        <f ca="1">IFERROR(__xludf.DUMMYFUNCTION("""COMPUTED_VALUE"""),44.294124)</f>
        <v>44.294123999999996</v>
      </c>
      <c r="AV674" s="8">
        <f ca="1">IFERROR(__xludf.DUMMYFUNCTION("""COMPUTED_VALUE"""),-93.269244)</f>
        <v>-93.269244</v>
      </c>
      <c r="AW674" s="8"/>
      <c r="AX674" s="8">
        <f ca="1">IFERROR(__xludf.DUMMYFUNCTION("""COMPUTED_VALUE"""),55021)</f>
        <v>55021</v>
      </c>
    </row>
    <row r="675" spans="1:50" ht="60" x14ac:dyDescent="0.2">
      <c r="A675" s="8" t="str">
        <f ca="1">IFERROR(__xludf.DUMMYFUNCTION("""COMPUTED_VALUE"""),"20230623NMKEA")</f>
        <v>20230623NMKEA</v>
      </c>
      <c r="B675" s="8">
        <f ca="1">IFERROR(__xludf.DUMMYFUNCTION("""COMPUTED_VALUE"""),6)</f>
        <v>6</v>
      </c>
      <c r="C675" s="8">
        <f ca="1">IFERROR(__xludf.DUMMYFUNCTION("""COMPUTED_VALUE"""),23)</f>
        <v>23</v>
      </c>
      <c r="D675" s="8">
        <f ca="1">IFERROR(__xludf.DUMMYFUNCTION("""COMPUTED_VALUE"""),2023)</f>
        <v>2023</v>
      </c>
      <c r="E675" s="9">
        <f ca="1">IFERROR(__xludf.DUMMYFUNCTION("""COMPUTED_VALUE"""),45100)</f>
        <v>45100</v>
      </c>
      <c r="F675" s="8" t="str">
        <f ca="1">IFERROR(__xludf.DUMMYFUNCTION("""COMPUTED_VALUE"""),"Kennedy Middle School")</f>
        <v>Kennedy Middle School</v>
      </c>
      <c r="G675" s="8">
        <f ca="1">IFERROR(__xludf.DUMMYFUNCTION("""COMPUTED_VALUE"""),0)</f>
        <v>0</v>
      </c>
      <c r="H675" s="8">
        <f ca="1">IFERROR(__xludf.DUMMYFUNCTION("""COMPUTED_VALUE"""),1)</f>
        <v>1</v>
      </c>
      <c r="I675" s="8">
        <f ca="1">IFERROR(__xludf.DUMMYFUNCTION("""COMPUTED_VALUE"""),1)</f>
        <v>1</v>
      </c>
      <c r="J675" s="8">
        <f ca="1">IFERROR(__xludf.DUMMYFUNCTION("""COMPUTED_VALUE"""),0)</f>
        <v>0</v>
      </c>
      <c r="K675" s="8" t="str">
        <f ca="1">IFERROR(__xludf.DUMMYFUNCTION("""COMPUTED_VALUE"""),"https://www.koat.com/article/albuquerque-public-schools-custodian-shooting/45012791#
https://www.krqe.com/news/suspects-on-the-run-after-shooting-albuquerque-school-custodian/")</f>
        <v>https://www.koat.com/article/albuquerque-public-schools-custodian-shooting/45012791#
https://www.krqe.com/news/suspects-on-the-run-after-shooting-albuquerque-school-custodian/</v>
      </c>
      <c r="L675" s="8">
        <f ca="1">IFERROR(__xludf.DUMMYFUNCTION("""COMPUTED_VALUE"""),1)</f>
        <v>1</v>
      </c>
      <c r="M675" s="8" t="str">
        <f ca="1">IFERROR(__xludf.DUMMYFUNCTION("""COMPUTED_VALUE"""),"Local")</f>
        <v>Local</v>
      </c>
      <c r="N675" s="8">
        <f ca="1">IFERROR(__xludf.DUMMYFUNCTION("""COMPUTED_VALUE"""),4)</f>
        <v>4</v>
      </c>
      <c r="O675" s="8" t="str">
        <f ca="1">IFERROR(__xludf.DUMMYFUNCTION("""COMPUTED_VALUE"""),"Summer")</f>
        <v>Summer</v>
      </c>
      <c r="P675" s="8" t="str">
        <f ca="1">IFERROR(__xludf.DUMMYFUNCTION("""COMPUTED_VALUE"""),"Albuquerque")</f>
        <v>Albuquerque</v>
      </c>
      <c r="Q675" s="8" t="str">
        <f ca="1">IFERROR(__xludf.DUMMYFUNCTION("""COMPUTED_VALUE"""),"NM")</f>
        <v>NM</v>
      </c>
      <c r="R675" s="8" t="str">
        <f ca="1">IFERROR(__xludf.DUMMYFUNCTION("""COMPUTED_VALUE"""),"Middle")</f>
        <v>Middle</v>
      </c>
      <c r="S675" s="8" t="str">
        <f ca="1">IFERROR(__xludf.DUMMYFUNCTION("""COMPUTED_VALUE"""),"Front of School")</f>
        <v>Front of School</v>
      </c>
      <c r="T675" s="8" t="str">
        <f ca="1">IFERROR(__xludf.DUMMYFUNCTION("""COMPUTED_VALUE"""),"Outside on School Property")</f>
        <v>Outside on School Property</v>
      </c>
      <c r="U675" s="8" t="str">
        <f ca="1">IFERROR(__xludf.DUMMYFUNCTION("""COMPUTED_VALUE"""),"Yes")</f>
        <v>Yes</v>
      </c>
      <c r="V675" s="8" t="str">
        <f ca="1">IFERROR(__xludf.DUMMYFUNCTION("""COMPUTED_VALUE"""),"Before School")</f>
        <v>Before School</v>
      </c>
      <c r="W675" s="11">
        <f ca="1">IFERROR(__xludf.DUMMYFUNCTION("""COMPUTED_VALUE"""),0.25)</f>
        <v>0.25</v>
      </c>
      <c r="X675" s="8">
        <f ca="1">IFERROR(__xludf.DUMMYFUNCTION("""COMPUTED_VALUE"""),1)</f>
        <v>1</v>
      </c>
      <c r="Y675" s="12" t="str">
        <f ca="1">IFERROR(__xludf.DUMMYFUNCTION("""COMPUTED_VALUE"""),"Janitor shot while confronting 4 trespassers at the front door")</f>
        <v>Janitor shot while confronting 4 trespassers at the front door</v>
      </c>
      <c r="Z675" s="12" t="str">
        <f ca="1">IFERROR(__xludf.DUMMYFUNCTION("""COMPUTED_VALUE"""),"The district said the worker confronted the trespassers when they knocked a phone out of his hand and shot him after being confronted. APS said the school custodian was shot outside the school’s front entrance.")</f>
        <v>The district said the worker confronted the trespassers when they knocked a phone out of his hand and shot him after being confronted. APS said the school custodian was shot outside the school’s front entrance.</v>
      </c>
      <c r="AA675" s="8" t="str">
        <f ca="1">IFERROR(__xludf.DUMMYFUNCTION("""COMPUTED_VALUE"""),"Illegal Activity")</f>
        <v>Illegal Activity</v>
      </c>
      <c r="AB675" s="8"/>
      <c r="AC675" s="8" t="str">
        <f ca="1">IFERROR(__xludf.DUMMYFUNCTION("""COMPUTED_VALUE"""),"Yes")</f>
        <v>Yes</v>
      </c>
      <c r="AD675" s="8" t="str">
        <f ca="1">IFERROR(__xludf.DUMMYFUNCTION("""COMPUTED_VALUE"""),"Victims Targeted")</f>
        <v>Victims Targeted</v>
      </c>
      <c r="AE675" s="8" t="str">
        <f ca="1">IFERROR(__xludf.DUMMYFUNCTION("""COMPUTED_VALUE"""),"Yes")</f>
        <v>Yes</v>
      </c>
      <c r="AF675" s="8" t="str">
        <f ca="1">IFERROR(__xludf.DUMMYFUNCTION("""COMPUTED_VALUE"""),"4 trespassers")</f>
        <v>4 trespassers</v>
      </c>
      <c r="AG675" s="8" t="str">
        <f ca="1">IFERROR(__xludf.DUMMYFUNCTION("""COMPUTED_VALUE"""),"No")</f>
        <v>No</v>
      </c>
      <c r="AH675" s="8" t="str">
        <f ca="1">IFERROR(__xludf.DUMMYFUNCTION("""COMPUTED_VALUE"""),"No")</f>
        <v>No</v>
      </c>
      <c r="AI675" s="8" t="str">
        <f ca="1">IFERROR(__xludf.DUMMYFUNCTION("""COMPUTED_VALUE"""),"No")</f>
        <v>No</v>
      </c>
      <c r="AJ675" s="8" t="str">
        <f ca="1">IFERROR(__xludf.DUMMYFUNCTION("""COMPUTED_VALUE"""),"No")</f>
        <v>No</v>
      </c>
      <c r="AK675" s="8" t="str">
        <f ca="1">IFERROR(__xludf.DUMMYFUNCTION("""COMPUTED_VALUE"""),"No")</f>
        <v>No</v>
      </c>
      <c r="AL675" s="8" t="str">
        <f ca="1">IFERROR(__xludf.DUMMYFUNCTION("""COMPUTED_VALUE"""),"No")</f>
        <v>No</v>
      </c>
      <c r="AM675" s="8" t="str">
        <f ca="1">IFERROR(__xludf.DUMMYFUNCTION("""COMPUTED_VALUE"""),"No")</f>
        <v>No</v>
      </c>
      <c r="AN675" s="8" t="str">
        <f ca="1">IFERROR(__xludf.DUMMYFUNCTION("""COMPUTED_VALUE"""),"Outside")</f>
        <v>Outside</v>
      </c>
      <c r="AO675" s="8" t="str">
        <f ca="1">IFERROR(__xludf.DUMMYFUNCTION("""COMPUTED_VALUE"""),"No")</f>
        <v>No</v>
      </c>
      <c r="AP675" s="8"/>
      <c r="AQ675" s="8"/>
      <c r="AR675" s="8" t="str">
        <f ca="1">IFERROR(__xludf.DUMMYFUNCTION("""COMPUTED_VALUE"""),"Outside/Off-Property")</f>
        <v>Outside/Off-Property</v>
      </c>
      <c r="AS675" s="8">
        <f ca="1">IFERROR(__xludf.DUMMYFUNCTION("""COMPUTED_VALUE"""),1)</f>
        <v>1</v>
      </c>
      <c r="AT675" s="8" t="str">
        <f ca="1">IFERROR(__xludf.DUMMYFUNCTION("""COMPUTED_VALUE"""),"No")</f>
        <v>No</v>
      </c>
      <c r="AU675" s="8">
        <f ca="1">IFERROR(__xludf.DUMMYFUNCTION("""COMPUTED_VALUE"""),35.083281)</f>
        <v>35.083280999999999</v>
      </c>
      <c r="AV675" s="8">
        <f ca="1">IFERROR(__xludf.DUMMYFUNCTION("""COMPUTED_VALUE"""),-106.524073)</f>
        <v>-106.524073</v>
      </c>
      <c r="AW675" s="8"/>
      <c r="AX675" s="8">
        <f ca="1">IFERROR(__xludf.DUMMYFUNCTION("""COMPUTED_VALUE"""),87112)</f>
        <v>87112</v>
      </c>
    </row>
    <row r="676" spans="1:50" ht="255" x14ac:dyDescent="0.2">
      <c r="A676" s="8" t="str">
        <f ca="1">IFERROR(__xludf.DUMMYFUNCTION("""COMPUTED_VALUE"""),"20230622ARSOS")</f>
        <v>20230622ARSOS</v>
      </c>
      <c r="B676" s="8">
        <f ca="1">IFERROR(__xludf.DUMMYFUNCTION("""COMPUTED_VALUE"""),6)</f>
        <v>6</v>
      </c>
      <c r="C676" s="8">
        <f ca="1">IFERROR(__xludf.DUMMYFUNCTION("""COMPUTED_VALUE"""),22)</f>
        <v>22</v>
      </c>
      <c r="D676" s="8">
        <f ca="1">IFERROR(__xludf.DUMMYFUNCTION("""COMPUTED_VALUE"""),2023)</f>
        <v>2023</v>
      </c>
      <c r="E676" s="9">
        <f ca="1">IFERROR(__xludf.DUMMYFUNCTION("""COMPUTED_VALUE"""),45099)</f>
        <v>45099</v>
      </c>
      <c r="F676" s="8" t="str">
        <f ca="1">IFERROR(__xludf.DUMMYFUNCTION("""COMPUTED_VALUE"""),"Southwest Middle School")</f>
        <v>Southwest Middle School</v>
      </c>
      <c r="G676" s="8">
        <f ca="1">IFERROR(__xludf.DUMMYFUNCTION("""COMPUTED_VALUE"""),0)</f>
        <v>0</v>
      </c>
      <c r="H676" s="8">
        <f ca="1">IFERROR(__xludf.DUMMYFUNCTION("""COMPUTED_VALUE"""),0)</f>
        <v>0</v>
      </c>
      <c r="I676" s="8">
        <f ca="1">IFERROR(__xludf.DUMMYFUNCTION("""COMPUTED_VALUE"""),0)</f>
        <v>0</v>
      </c>
      <c r="J676" s="8">
        <f ca="1">IFERROR(__xludf.DUMMYFUNCTION("""COMPUTED_VALUE"""),0)</f>
        <v>0</v>
      </c>
      <c r="K676" s="10" t="str">
        <f ca="1">IFERROR(__xludf.DUMMYFUNCTION("""COMPUTED_VALUE"""),"https://www.thedailycitizen.com/news/searcy-29-year-old-arrested-thursday-after-shot-fired-behind-southwest-middle-school/article_df8b3bff-7239-5975-b421-47c0db37f071.html")</f>
        <v>https://www.thedailycitizen.com/news/searcy-29-year-old-arrested-thursday-after-shot-fired-behind-southwest-middle-school/article_df8b3bff-7239-5975-b421-47c0db37f071.html</v>
      </c>
      <c r="L676" s="8">
        <f ca="1">IFERROR(__xludf.DUMMYFUNCTION("""COMPUTED_VALUE"""),1)</f>
        <v>1</v>
      </c>
      <c r="M676" s="8" t="str">
        <f ca="1">IFERROR(__xludf.DUMMYFUNCTION("""COMPUTED_VALUE"""),"Local")</f>
        <v>Local</v>
      </c>
      <c r="N676" s="8">
        <f ca="1">IFERROR(__xludf.DUMMYFUNCTION("""COMPUTED_VALUE"""),3)</f>
        <v>3</v>
      </c>
      <c r="O676" s="8" t="str">
        <f ca="1">IFERROR(__xludf.DUMMYFUNCTION("""COMPUTED_VALUE"""),"Summer")</f>
        <v>Summer</v>
      </c>
      <c r="P676" s="8" t="str">
        <f ca="1">IFERROR(__xludf.DUMMYFUNCTION("""COMPUTED_VALUE"""),"Searcy")</f>
        <v>Searcy</v>
      </c>
      <c r="Q676" s="8" t="str">
        <f ca="1">IFERROR(__xludf.DUMMYFUNCTION("""COMPUTED_VALUE"""),"AR")</f>
        <v>AR</v>
      </c>
      <c r="R676" s="8" t="str">
        <f ca="1">IFERROR(__xludf.DUMMYFUNCTION("""COMPUTED_VALUE"""),"Middle")</f>
        <v>Middle</v>
      </c>
      <c r="S676" s="8" t="str">
        <f ca="1">IFERROR(__xludf.DUMMYFUNCTION("""COMPUTED_VALUE"""),"Outside on School Property")</f>
        <v>Outside on School Property</v>
      </c>
      <c r="T676" s="8" t="str">
        <f ca="1">IFERROR(__xludf.DUMMYFUNCTION("""COMPUTED_VALUE"""),"Outside on School Property")</f>
        <v>Outside on School Property</v>
      </c>
      <c r="U676" s="8" t="str">
        <f ca="1">IFERROR(__xludf.DUMMYFUNCTION("""COMPUTED_VALUE"""),"Yes")</f>
        <v>Yes</v>
      </c>
      <c r="V676" s="8" t="str">
        <f ca="1">IFERROR(__xludf.DUMMYFUNCTION("""COMPUTED_VALUE"""),"Afternoon Classes")</f>
        <v>Afternoon Classes</v>
      </c>
      <c r="W676" s="8"/>
      <c r="X676" s="8">
        <f ca="1">IFERROR(__xludf.DUMMYFUNCTION("""COMPUTED_VALUE"""),1)</f>
        <v>1</v>
      </c>
      <c r="Y676" s="12" t="str">
        <f ca="1">IFERROR(__xludf.DUMMYFUNCTION("""COMPUTED_VALUE"""),"Man fired shot behind school, school went on lockdown")</f>
        <v>Man fired shot behind school, school went on lockdown</v>
      </c>
      <c r="Z676" s="12" t="str">
        <f ca="1">IFERROR(__xludf.DUMMYFUNCTION("""COMPUTED_VALUE"""),"A shot fired Thursday behind Southwest Middle School, leading to a short lockdown while summer school was in session, resulted in the arrest of a 29-year-old Searcy man who reportedly fled from police while intoxicated. Dylan Cole Rigsby has been charged "&amp;"preliminarily with fleeing, DWI (second offense) and DWI refusal to submit to a chemical test after officers responded to the shots-fired call, according to Lt. Todd Wells with the Searcy Police Department. “We had a quick response by officers, plus our s"&amp;"chool resource officer was working summer school duty when the shot happened,” Wells said. “Responding officers were able to locate a suspect vehicle. The vehicle was stopped after a pursuit and Rigsby was identified as the driver. Rigsby smelled of alcoh"&amp;"ol, had slurred speech and swayed as he walked. Rigsby refused testing for his intoxication level. Evidence was collected from the traffic stop and scene of the shots fired call.”")</f>
        <v>A shot fired Thursday behind Southwest Middle School, leading to a short lockdown while summer school was in session, resulted in the arrest of a 29-year-old Searcy man who reportedly fled from police while intoxicated. Dylan Cole Rigsby has been charged preliminarily with fleeing, DWI (second offense) and DWI refusal to submit to a chemical test after officers responded to the shots-fired call, according to Lt. Todd Wells with the Searcy Police Department. “We had a quick response by officers, plus our school resource officer was working summer school duty when the shot happened,” Wells said. “Responding officers were able to locate a suspect vehicle. The vehicle was stopped after a pursuit and Rigsby was identified as the driver. Rigsby smelled of alcohol, had slurred speech and swayed as he walked. Rigsby refused testing for his intoxication level. Evidence was collected from the traffic stop and scene of the shots fired call.”</v>
      </c>
      <c r="AA676" s="8"/>
      <c r="AB676" s="8"/>
      <c r="AC676" s="8" t="str">
        <f ca="1">IFERROR(__xludf.DUMMYFUNCTION("""COMPUTED_VALUE"""),"Yes")</f>
        <v>Yes</v>
      </c>
      <c r="AD676" s="8"/>
      <c r="AE676" s="8" t="str">
        <f ca="1">IFERROR(__xludf.DUMMYFUNCTION("""COMPUTED_VALUE"""),"No")</f>
        <v>No</v>
      </c>
      <c r="AF676" s="8"/>
      <c r="AG676" s="8" t="str">
        <f ca="1">IFERROR(__xludf.DUMMYFUNCTION("""COMPUTED_VALUE"""),"No")</f>
        <v>No</v>
      </c>
      <c r="AH676" s="8" t="str">
        <f ca="1">IFERROR(__xludf.DUMMYFUNCTION("""COMPUTED_VALUE"""),"No")</f>
        <v>No</v>
      </c>
      <c r="AI676" s="8" t="str">
        <f ca="1">IFERROR(__xludf.DUMMYFUNCTION("""COMPUTED_VALUE"""),"No")</f>
        <v>No</v>
      </c>
      <c r="AJ676" s="8" t="str">
        <f ca="1">IFERROR(__xludf.DUMMYFUNCTION("""COMPUTED_VALUE"""),"No")</f>
        <v>No</v>
      </c>
      <c r="AK676" s="8" t="str">
        <f ca="1">IFERROR(__xludf.DUMMYFUNCTION("""COMPUTED_VALUE"""),"No")</f>
        <v>No</v>
      </c>
      <c r="AL676" s="8" t="str">
        <f ca="1">IFERROR(__xludf.DUMMYFUNCTION("""COMPUTED_VALUE"""),"No")</f>
        <v>No</v>
      </c>
      <c r="AM676" s="8" t="str">
        <f ca="1">IFERROR(__xludf.DUMMYFUNCTION("""COMPUTED_VALUE"""),"No")</f>
        <v>No</v>
      </c>
      <c r="AN676" s="8" t="str">
        <f ca="1">IFERROR(__xludf.DUMMYFUNCTION("""COMPUTED_VALUE"""),"Outside")</f>
        <v>Outside</v>
      </c>
      <c r="AO676" s="8" t="str">
        <f ca="1">IFERROR(__xludf.DUMMYFUNCTION("""COMPUTED_VALUE"""),"No")</f>
        <v>No</v>
      </c>
      <c r="AP676" s="8" t="str">
        <f ca="1">IFERROR(__xludf.DUMMYFUNCTION("""COMPUTED_VALUE"""),"Yes")</f>
        <v>Yes</v>
      </c>
      <c r="AQ676" s="8" t="str">
        <f ca="1">IFERROR(__xludf.DUMMYFUNCTION("""COMPUTED_VALUE"""),"Armed Guards")</f>
        <v>Armed Guards</v>
      </c>
      <c r="AR676" s="8" t="str">
        <f ca="1">IFERROR(__xludf.DUMMYFUNCTION("""COMPUTED_VALUE"""),"Outside/Off-Property")</f>
        <v>Outside/Off-Property</v>
      </c>
      <c r="AS676" s="8">
        <f ca="1">IFERROR(__xludf.DUMMYFUNCTION("""COMPUTED_VALUE"""),1)</f>
        <v>1</v>
      </c>
      <c r="AT676" s="8" t="str">
        <f ca="1">IFERROR(__xludf.DUMMYFUNCTION("""COMPUTED_VALUE"""),"Yes")</f>
        <v>Yes</v>
      </c>
      <c r="AU676" s="8">
        <f ca="1">IFERROR(__xludf.DUMMYFUNCTION("""COMPUTED_VALUE"""),35.244684)</f>
        <v>35.244683999999999</v>
      </c>
      <c r="AV676" s="8">
        <f ca="1">IFERROR(__xludf.DUMMYFUNCTION("""COMPUTED_VALUE"""),-91.748205)</f>
        <v>-91.748204999999999</v>
      </c>
      <c r="AW676" s="8"/>
      <c r="AX676" s="8">
        <f ca="1">IFERROR(__xludf.DUMMYFUNCTION("""COMPUTED_VALUE"""),72143)</f>
        <v>72143</v>
      </c>
    </row>
    <row r="677" spans="1:50" ht="120" x14ac:dyDescent="0.2">
      <c r="A677" s="8" t="str">
        <f ca="1">IFERROR(__xludf.DUMMYFUNCTION("""COMPUTED_VALUE"""),"20230613PAJUP")</f>
        <v>20230613PAJUP</v>
      </c>
      <c r="B677" s="8">
        <f ca="1">IFERROR(__xludf.DUMMYFUNCTION("""COMPUTED_VALUE"""),6)</f>
        <v>6</v>
      </c>
      <c r="C677" s="8">
        <f ca="1">IFERROR(__xludf.DUMMYFUNCTION("""COMPUTED_VALUE"""),13)</f>
        <v>13</v>
      </c>
      <c r="D677" s="8">
        <f ca="1">IFERROR(__xludf.DUMMYFUNCTION("""COMPUTED_VALUE"""),2023)</f>
        <v>2023</v>
      </c>
      <c r="E677" s="9">
        <f ca="1">IFERROR(__xludf.DUMMYFUNCTION("""COMPUTED_VALUE"""),45090)</f>
        <v>45090</v>
      </c>
      <c r="F677" s="8" t="str">
        <f ca="1">IFERROR(__xludf.DUMMYFUNCTION("""COMPUTED_VALUE"""),"Julia De Burgos Elementary School")</f>
        <v>Julia De Burgos Elementary School</v>
      </c>
      <c r="G677" s="8">
        <f ca="1">IFERROR(__xludf.DUMMYFUNCTION("""COMPUTED_VALUE"""),0)</f>
        <v>0</v>
      </c>
      <c r="H677" s="8">
        <f ca="1">IFERROR(__xludf.DUMMYFUNCTION("""COMPUTED_VALUE"""),1)</f>
        <v>1</v>
      </c>
      <c r="I677" s="8">
        <f ca="1">IFERROR(__xludf.DUMMYFUNCTION("""COMPUTED_VALUE"""),1)</f>
        <v>1</v>
      </c>
      <c r="J677" s="8">
        <f ca="1">IFERROR(__xludf.DUMMYFUNCTION("""COMPUTED_VALUE"""),0)</f>
        <v>0</v>
      </c>
      <c r="K677" s="10" t="str">
        <f ca="1">IFERROR(__xludf.DUMMYFUNCTION("""COMPUTED_VALUE"""),"https://6abc.com/man-shot-outside-philadelphia-school-julia-de-burgos-elementary-north-philly-shooting-4th-street/13380406/
https://news.yahoo.com/man-shot-front-elementary-school-095900208.html")</f>
        <v>https://6abc.com/man-shot-outside-philadelphia-school-julia-de-burgos-elementary-north-philly-shooting-4th-street/13380406/
https://news.yahoo.com/man-shot-front-elementary-school-095900208.html</v>
      </c>
      <c r="L677" s="8">
        <f ca="1">IFERROR(__xludf.DUMMYFUNCTION("""COMPUTED_VALUE"""),2)</f>
        <v>2</v>
      </c>
      <c r="M677" s="8" t="str">
        <f ca="1">IFERROR(__xludf.DUMMYFUNCTION("""COMPUTED_VALUE"""),"Local")</f>
        <v>Local</v>
      </c>
      <c r="N677" s="8">
        <f ca="1">IFERROR(__xludf.DUMMYFUNCTION("""COMPUTED_VALUE"""),4)</f>
        <v>4</v>
      </c>
      <c r="O677" s="8" t="str">
        <f ca="1">IFERROR(__xludf.DUMMYFUNCTION("""COMPUTED_VALUE"""),"Summer")</f>
        <v>Summer</v>
      </c>
      <c r="P677" s="8" t="str">
        <f ca="1">IFERROR(__xludf.DUMMYFUNCTION("""COMPUTED_VALUE"""),"Philadelphia")</f>
        <v>Philadelphia</v>
      </c>
      <c r="Q677" s="8" t="str">
        <f ca="1">IFERROR(__xludf.DUMMYFUNCTION("""COMPUTED_VALUE"""),"PA")</f>
        <v>PA</v>
      </c>
      <c r="R677" s="8" t="str">
        <f ca="1">IFERROR(__xludf.DUMMYFUNCTION("""COMPUTED_VALUE"""),"Elementary")</f>
        <v>Elementary</v>
      </c>
      <c r="S677" s="8" t="str">
        <f ca="1">IFERROR(__xludf.DUMMYFUNCTION("""COMPUTED_VALUE"""),"Front of School")</f>
        <v>Front of School</v>
      </c>
      <c r="T677" s="8" t="str">
        <f ca="1">IFERROR(__xludf.DUMMYFUNCTION("""COMPUTED_VALUE"""),"Outside on School Property")</f>
        <v>Outside on School Property</v>
      </c>
      <c r="U677" s="8" t="str">
        <f ca="1">IFERROR(__xludf.DUMMYFUNCTION("""COMPUTED_VALUE"""),"No")</f>
        <v>No</v>
      </c>
      <c r="V677" s="8" t="str">
        <f ca="1">IFERROR(__xludf.DUMMYFUNCTION("""COMPUTED_VALUE"""),"Night")</f>
        <v>Night</v>
      </c>
      <c r="W677" s="11">
        <f ca="1">IFERROR(__xludf.DUMMYFUNCTION("""COMPUTED_VALUE"""),0.958333333333333)</f>
        <v>0.95833333333333304</v>
      </c>
      <c r="X677" s="8">
        <f ca="1">IFERROR(__xludf.DUMMYFUNCTION("""COMPUTED_VALUE"""),1)</f>
        <v>1</v>
      </c>
      <c r="Y677" s="12" t="str">
        <f ca="1">IFERROR(__xludf.DUMMYFUNCTION("""COMPUTED_VALUE"""),"Man shot on the front steps of the school during argument, shooter fled")</f>
        <v>Man shot on the front steps of the school during argument, shooter fled</v>
      </c>
      <c r="Z677" s="12" t="str">
        <f ca="1">IFERROR(__xludf.DUMMYFUNCTION("""COMPUTED_VALUE"""),"A gunman shot a 26-year-old man while he was sitting on the front steps of a North Philadelphia elementary school, police say. It happened at the Julia De Burgos Elementary School at 4th Street and Lehigh Avenue just after 11 p.m. Tuesday. Investigators t"&amp;"ell Action News the victim and the gunman were arguing and that escalated into gunfire. The 26-year-old victim was shot four times. He was taken to Temple University Hospital in critical condition.")</f>
        <v>A gunman shot a 26-year-old man while he was sitting on the front steps of a North Philadelphia elementary school, police say. It happened at the Julia De Burgos Elementary School at 4th Street and Lehigh Avenue just after 11 p.m. Tuesday. Investigators tell Action News the victim and the gunman were arguing and that escalated into gunfire. The 26-year-old victim was shot four times. He was taken to Temple University Hospital in critical condition.</v>
      </c>
      <c r="AA677" s="8" t="str">
        <f ca="1">IFERROR(__xludf.DUMMYFUNCTION("""COMPUTED_VALUE"""),"Escalation of Dispute")</f>
        <v>Escalation of Dispute</v>
      </c>
      <c r="AB677" s="8"/>
      <c r="AC677" s="8" t="str">
        <f ca="1">IFERROR(__xludf.DUMMYFUNCTION("""COMPUTED_VALUE"""),"No")</f>
        <v>No</v>
      </c>
      <c r="AD677" s="8" t="str">
        <f ca="1">IFERROR(__xludf.DUMMYFUNCTION("""COMPUTED_VALUE"""),"Victims Targeted")</f>
        <v>Victims Targeted</v>
      </c>
      <c r="AE677" s="8" t="str">
        <f ca="1">IFERROR(__xludf.DUMMYFUNCTION("""COMPUTED_VALUE"""),"No")</f>
        <v>No</v>
      </c>
      <c r="AF677" s="8"/>
      <c r="AG677" s="8" t="str">
        <f ca="1">IFERROR(__xludf.DUMMYFUNCTION("""COMPUTED_VALUE"""),"No")</f>
        <v>No</v>
      </c>
      <c r="AH677" s="8" t="str">
        <f ca="1">IFERROR(__xludf.DUMMYFUNCTION("""COMPUTED_VALUE"""),"No")</f>
        <v>No</v>
      </c>
      <c r="AI677" s="8" t="str">
        <f ca="1">IFERROR(__xludf.DUMMYFUNCTION("""COMPUTED_VALUE"""),"No")</f>
        <v>No</v>
      </c>
      <c r="AJ677" s="8" t="str">
        <f ca="1">IFERROR(__xludf.DUMMYFUNCTION("""COMPUTED_VALUE"""),"No")</f>
        <v>No</v>
      </c>
      <c r="AK677" s="8" t="str">
        <f ca="1">IFERROR(__xludf.DUMMYFUNCTION("""COMPUTED_VALUE"""),"No")</f>
        <v>No</v>
      </c>
      <c r="AL677" s="8" t="str">
        <f ca="1">IFERROR(__xludf.DUMMYFUNCTION("""COMPUTED_VALUE"""),"No")</f>
        <v>No</v>
      </c>
      <c r="AM677" s="8" t="str">
        <f ca="1">IFERROR(__xludf.DUMMYFUNCTION("""COMPUTED_VALUE"""),"No")</f>
        <v>No</v>
      </c>
      <c r="AN677" s="8" t="str">
        <f ca="1">IFERROR(__xludf.DUMMYFUNCTION("""COMPUTED_VALUE"""),"Outside")</f>
        <v>Outside</v>
      </c>
      <c r="AO677" s="8" t="str">
        <f ca="1">IFERROR(__xludf.DUMMYFUNCTION("""COMPUTED_VALUE"""),"No")</f>
        <v>No</v>
      </c>
      <c r="AP677" s="8"/>
      <c r="AQ677" s="8"/>
      <c r="AR677" s="8" t="str">
        <f ca="1">IFERROR(__xludf.DUMMYFUNCTION("""COMPUTED_VALUE"""),"Outside/Off-Property")</f>
        <v>Outside/Off-Property</v>
      </c>
      <c r="AS677" s="8">
        <f ca="1">IFERROR(__xludf.DUMMYFUNCTION("""COMPUTED_VALUE"""),4)</f>
        <v>4</v>
      </c>
      <c r="AT677" s="8" t="str">
        <f ca="1">IFERROR(__xludf.DUMMYFUNCTION("""COMPUTED_VALUE"""),"No")</f>
        <v>No</v>
      </c>
      <c r="AU677" s="8">
        <f ca="1">IFERROR(__xludf.DUMMYFUNCTION("""COMPUTED_VALUE"""),39.992636)</f>
        <v>39.992635999999997</v>
      </c>
      <c r="AV677" s="8">
        <f ca="1">IFERROR(__xludf.DUMMYFUNCTION("""COMPUTED_VALUE"""),-75.1389)</f>
        <v>-75.138900000000007</v>
      </c>
      <c r="AW677" s="8"/>
      <c r="AX677" s="8">
        <f ca="1">IFERROR(__xludf.DUMMYFUNCTION("""COMPUTED_VALUE"""),19133)</f>
        <v>19133</v>
      </c>
    </row>
    <row r="678" spans="1:50" ht="165" x14ac:dyDescent="0.2">
      <c r="A678" s="8" t="str">
        <f ca="1">IFERROR(__xludf.DUMMYFUNCTION("""COMPUTED_VALUE"""),"20230612NJRIM")</f>
        <v>20230612NJRIM</v>
      </c>
      <c r="B678" s="8">
        <f ca="1">IFERROR(__xludf.DUMMYFUNCTION("""COMPUTED_VALUE"""),6)</f>
        <v>6</v>
      </c>
      <c r="C678" s="8">
        <f ca="1">IFERROR(__xludf.DUMMYFUNCTION("""COMPUTED_VALUE"""),12)</f>
        <v>12</v>
      </c>
      <c r="D678" s="8">
        <f ca="1">IFERROR(__xludf.DUMMYFUNCTION("""COMPUTED_VALUE"""),2023)</f>
        <v>2023</v>
      </c>
      <c r="E678" s="9">
        <f ca="1">IFERROR(__xludf.DUMMYFUNCTION("""COMPUTED_VALUE"""),45089)</f>
        <v>45089</v>
      </c>
      <c r="F678" s="8" t="str">
        <f ca="1">IFERROR(__xludf.DUMMYFUNCTION("""COMPUTED_VALUE"""),"Rieck Avenue Elementary School")</f>
        <v>Rieck Avenue Elementary School</v>
      </c>
      <c r="G678" s="8">
        <f ca="1">IFERROR(__xludf.DUMMYFUNCTION("""COMPUTED_VALUE"""),1)</f>
        <v>1</v>
      </c>
      <c r="H678" s="8">
        <f ca="1">IFERROR(__xludf.DUMMYFUNCTION("""COMPUTED_VALUE"""),0)</f>
        <v>0</v>
      </c>
      <c r="I678" s="8">
        <f ca="1">IFERROR(__xludf.DUMMYFUNCTION("""COMPUTED_VALUE"""),1)</f>
        <v>1</v>
      </c>
      <c r="J678" s="8">
        <f ca="1">IFERROR(__xludf.DUMMYFUNCTION("""COMPUTED_VALUE"""),0)</f>
        <v>0</v>
      </c>
      <c r="K678" s="8" t="str">
        <f ca="1">IFERROR(__xludf.DUMMYFUNCTION("""COMPUTED_VALUE"""),"https://www.courierpostonline.com/story/news/local/2023/06/27/emmanuel-doivilus-mark-hoffman-detenton-hearing-vineland-millville-rieck-avenue/70357160007/
https://wpgtalkradio.com/man-found-dead-in-parking-lot-of-elementary-school-in-millville-nj/
https:/"&amp;"/www.courierpostonline.com/story/news/local/2023/06/15/cumberland-county-prosecutor-arrest-vineland-high-emmanuel-doivilus-june-12-murder-millville-school/70326215007/")</f>
        <v>https://www.courierpostonline.com/story/news/local/2023/06/27/emmanuel-doivilus-mark-hoffman-detenton-hearing-vineland-millville-rieck-avenue/70357160007/
https://wpgtalkradio.com/man-found-dead-in-parking-lot-of-elementary-school-in-millville-nj/
https://www.courierpostonline.com/story/news/local/2023/06/15/cumberland-county-prosecutor-arrest-vineland-high-emmanuel-doivilus-june-12-murder-millville-school/70326215007/</v>
      </c>
      <c r="L678" s="8">
        <f ca="1">IFERROR(__xludf.DUMMYFUNCTION("""COMPUTED_VALUE"""),3)</f>
        <v>3</v>
      </c>
      <c r="M678" s="8" t="str">
        <f ca="1">IFERROR(__xludf.DUMMYFUNCTION("""COMPUTED_VALUE"""),"Local")</f>
        <v>Local</v>
      </c>
      <c r="N678" s="8">
        <f ca="1">IFERROR(__xludf.DUMMYFUNCTION("""COMPUTED_VALUE"""),4)</f>
        <v>4</v>
      </c>
      <c r="O678" s="8" t="str">
        <f ca="1">IFERROR(__xludf.DUMMYFUNCTION("""COMPUTED_VALUE"""),"Summer")</f>
        <v>Summer</v>
      </c>
      <c r="P678" s="8" t="str">
        <f ca="1">IFERROR(__xludf.DUMMYFUNCTION("""COMPUTED_VALUE"""),"Millville")</f>
        <v>Millville</v>
      </c>
      <c r="Q678" s="8" t="str">
        <f ca="1">IFERROR(__xludf.DUMMYFUNCTION("""COMPUTED_VALUE"""),"NJ")</f>
        <v>NJ</v>
      </c>
      <c r="R678" s="8" t="str">
        <f ca="1">IFERROR(__xludf.DUMMYFUNCTION("""COMPUTED_VALUE"""),"Elementary")</f>
        <v>Elementary</v>
      </c>
      <c r="S678" s="8" t="str">
        <f ca="1">IFERROR(__xludf.DUMMYFUNCTION("""COMPUTED_VALUE"""),"Parking Lot")</f>
        <v>Parking Lot</v>
      </c>
      <c r="T678" s="8" t="str">
        <f ca="1">IFERROR(__xludf.DUMMYFUNCTION("""COMPUTED_VALUE"""),"Outside on School Property")</f>
        <v>Outside on School Property</v>
      </c>
      <c r="U678" s="8" t="str">
        <f ca="1">IFERROR(__xludf.DUMMYFUNCTION("""COMPUTED_VALUE"""),"No")</f>
        <v>No</v>
      </c>
      <c r="V678" s="8" t="str">
        <f ca="1">IFERROR(__xludf.DUMMYFUNCTION("""COMPUTED_VALUE"""),"Before School")</f>
        <v>Before School</v>
      </c>
      <c r="W678" s="11">
        <f ca="1">IFERROR(__xludf.DUMMYFUNCTION("""COMPUTED_VALUE"""),0.208333333333333)</f>
        <v>0.20833333333333301</v>
      </c>
      <c r="X678" s="8">
        <f ca="1">IFERROR(__xludf.DUMMYFUNCTION("""COMPUTED_VALUE"""),1)</f>
        <v>1</v>
      </c>
      <c r="Y678" s="12" t="str">
        <f ca="1">IFERROR(__xludf.DUMMYFUNCTION("""COMPUTED_VALUE"""),"Man fatally shot in school parking lot")</f>
        <v>Man fatally shot in school parking lot</v>
      </c>
      <c r="Z678" s="12" t="str">
        <f ca="1">IFERROR(__xludf.DUMMYFUNCTION("""COMPUTED_VALUE"""),"An attorney defending a Vineland High School senior against murder and other charges claims his client only meant to fire a “warning shot” toward the victim, not to kill him. Emmanuel B. Doivilus, 18, did not know the victim, 20-year-old Mark Hoffman of M"&amp;"illville, defense attorney David Branco said at a court hearing. He said Doivilus was present to support an unidentified male friend, who was supposed to fight Hoffman in a dispute involving a girl. The shooting occurred behind Rieck Avenue Elementary Sch"&amp;"ool in Millville, where Hoffman's body was found in his vehicle on June 12.")</f>
        <v>An attorney defending a Vineland High School senior against murder and other charges claims his client only meant to fire a “warning shot” toward the victim, not to kill him. Emmanuel B. Doivilus, 18, did not know the victim, 20-year-old Mark Hoffman of Millville, defense attorney David Branco said at a court hearing. He said Doivilus was present to support an unidentified male friend, who was supposed to fight Hoffman in a dispute involving a girl. The shooting occurred behind Rieck Avenue Elementary School in Millville, where Hoffman's body was found in his vehicle on June 12.</v>
      </c>
      <c r="AA678" s="8" t="str">
        <f ca="1">IFERROR(__xludf.DUMMYFUNCTION("""COMPUTED_VALUE"""),"Escalation of Dispute")</f>
        <v>Escalation of Dispute</v>
      </c>
      <c r="AB678" s="8"/>
      <c r="AC678" s="8" t="str">
        <f ca="1">IFERROR(__xludf.DUMMYFUNCTION("""COMPUTED_VALUE"""),"No")</f>
        <v>No</v>
      </c>
      <c r="AD678" s="8" t="str">
        <f ca="1">IFERROR(__xludf.DUMMYFUNCTION("""COMPUTED_VALUE"""),"Victims Targeted")</f>
        <v>Victims Targeted</v>
      </c>
      <c r="AE678" s="8" t="str">
        <f ca="1">IFERROR(__xludf.DUMMYFUNCTION("""COMPUTED_VALUE"""),"No")</f>
        <v>No</v>
      </c>
      <c r="AF678" s="8"/>
      <c r="AG678" s="8" t="str">
        <f ca="1">IFERROR(__xludf.DUMMYFUNCTION("""COMPUTED_VALUE"""),"No")</f>
        <v>No</v>
      </c>
      <c r="AH678" s="8" t="str">
        <f ca="1">IFERROR(__xludf.DUMMYFUNCTION("""COMPUTED_VALUE"""),"No")</f>
        <v>No</v>
      </c>
      <c r="AI678" s="8" t="str">
        <f ca="1">IFERROR(__xludf.DUMMYFUNCTION("""COMPUTED_VALUE"""),"No")</f>
        <v>No</v>
      </c>
      <c r="AJ678" s="8" t="str">
        <f ca="1">IFERROR(__xludf.DUMMYFUNCTION("""COMPUTED_VALUE"""),"No")</f>
        <v>No</v>
      </c>
      <c r="AK678" s="8" t="str">
        <f ca="1">IFERROR(__xludf.DUMMYFUNCTION("""COMPUTED_VALUE"""),"No")</f>
        <v>No</v>
      </c>
      <c r="AL678" s="8"/>
      <c r="AM678" s="8" t="str">
        <f ca="1">IFERROR(__xludf.DUMMYFUNCTION("""COMPUTED_VALUE"""),"No")</f>
        <v>No</v>
      </c>
      <c r="AN678" s="8" t="str">
        <f ca="1">IFERROR(__xludf.DUMMYFUNCTION("""COMPUTED_VALUE"""),"Outside")</f>
        <v>Outside</v>
      </c>
      <c r="AO678" s="8" t="str">
        <f ca="1">IFERROR(__xludf.DUMMYFUNCTION("""COMPUTED_VALUE"""),"No")</f>
        <v>No</v>
      </c>
      <c r="AP678" s="8"/>
      <c r="AQ678" s="8"/>
      <c r="AR678" s="8" t="str">
        <f ca="1">IFERROR(__xludf.DUMMYFUNCTION("""COMPUTED_VALUE"""),"Outside/Off-Property")</f>
        <v>Outside/Off-Property</v>
      </c>
      <c r="AS678" s="8">
        <f ca="1">IFERROR(__xludf.DUMMYFUNCTION("""COMPUTED_VALUE"""),99)</f>
        <v>99</v>
      </c>
      <c r="AT678" s="8" t="str">
        <f ca="1">IFERROR(__xludf.DUMMYFUNCTION("""COMPUTED_VALUE"""),"No")</f>
        <v>No</v>
      </c>
      <c r="AU678" s="8">
        <f ca="1">IFERROR(__xludf.DUMMYFUNCTION("""COMPUTED_VALUE"""),39.388474)</f>
        <v>39.388474000000002</v>
      </c>
      <c r="AV678" s="8">
        <f ca="1">IFERROR(__xludf.DUMMYFUNCTION("""COMPUTED_VALUE"""),-75.073446)</f>
        <v>-75.073446000000004</v>
      </c>
      <c r="AW678" s="8"/>
      <c r="AX678" s="8">
        <f ca="1">IFERROR(__xludf.DUMMYFUNCTION("""COMPUTED_VALUE"""),8332)</f>
        <v>8332</v>
      </c>
    </row>
    <row r="679" spans="1:50" ht="30" x14ac:dyDescent="0.2">
      <c r="A679" s="8" t="str">
        <f ca="1">IFERROR(__xludf.DUMMYFUNCTION("""COMPUTED_VALUE"""),"20230612GAKEC")</f>
        <v>20230612GAKEC</v>
      </c>
      <c r="B679" s="8">
        <f ca="1">IFERROR(__xludf.DUMMYFUNCTION("""COMPUTED_VALUE"""),6)</f>
        <v>6</v>
      </c>
      <c r="C679" s="8">
        <f ca="1">IFERROR(__xludf.DUMMYFUNCTION("""COMPUTED_VALUE"""),12)</f>
        <v>12</v>
      </c>
      <c r="D679" s="8">
        <f ca="1">IFERROR(__xludf.DUMMYFUNCTION("""COMPUTED_VALUE"""),2023)</f>
        <v>2023</v>
      </c>
      <c r="E679" s="9">
        <f ca="1">IFERROR(__xludf.DUMMYFUNCTION("""COMPUTED_VALUE"""),45089)</f>
        <v>45089</v>
      </c>
      <c r="F679" s="8" t="str">
        <f ca="1">IFERROR(__xludf.DUMMYFUNCTION("""COMPUTED_VALUE"""),"Kendrick High School")</f>
        <v>Kendrick High School</v>
      </c>
      <c r="G679" s="8">
        <f ca="1">IFERROR(__xludf.DUMMYFUNCTION("""COMPUTED_VALUE"""),0)</f>
        <v>0</v>
      </c>
      <c r="H679" s="8">
        <f ca="1">IFERROR(__xludf.DUMMYFUNCTION("""COMPUTED_VALUE"""),1)</f>
        <v>1</v>
      </c>
      <c r="I679" s="8">
        <f ca="1">IFERROR(__xludf.DUMMYFUNCTION("""COMPUTED_VALUE"""),1)</f>
        <v>1</v>
      </c>
      <c r="J679" s="8">
        <f ca="1">IFERROR(__xludf.DUMMYFUNCTION("""COMPUTED_VALUE"""),0)</f>
        <v>0</v>
      </c>
      <c r="K679" s="10" t="str">
        <f ca="1">IFERROR(__xludf.DUMMYFUNCTION("""COMPUTED_VALUE"""),"https://www.wtvm.com/2023/06/12/columbus-police-investigating-shooting-that-injured-1-person/
https://www.wrbl.com/news/crime/cpd-investigating-shooting-behind-kendrick-high-school/")</f>
        <v>https://www.wtvm.com/2023/06/12/columbus-police-investigating-shooting-that-injured-1-person/
https://www.wrbl.com/news/crime/cpd-investigating-shooting-behind-kendrick-high-school/</v>
      </c>
      <c r="L679" s="8">
        <f ca="1">IFERROR(__xludf.DUMMYFUNCTION("""COMPUTED_VALUE"""),2)</f>
        <v>2</v>
      </c>
      <c r="M679" s="8" t="str">
        <f ca="1">IFERROR(__xludf.DUMMYFUNCTION("""COMPUTED_VALUE"""),"Local")</f>
        <v>Local</v>
      </c>
      <c r="N679" s="8">
        <f ca="1">IFERROR(__xludf.DUMMYFUNCTION("""COMPUTED_VALUE"""),3)</f>
        <v>3</v>
      </c>
      <c r="O679" s="8" t="str">
        <f ca="1">IFERROR(__xludf.DUMMYFUNCTION("""COMPUTED_VALUE"""),"Summer")</f>
        <v>Summer</v>
      </c>
      <c r="P679" s="8" t="str">
        <f ca="1">IFERROR(__xludf.DUMMYFUNCTION("""COMPUTED_VALUE"""),"Columbus")</f>
        <v>Columbus</v>
      </c>
      <c r="Q679" s="8" t="str">
        <f ca="1">IFERROR(__xludf.DUMMYFUNCTION("""COMPUTED_VALUE"""),"GA")</f>
        <v>GA</v>
      </c>
      <c r="R679" s="8" t="str">
        <f ca="1">IFERROR(__xludf.DUMMYFUNCTION("""COMPUTED_VALUE"""),"High")</f>
        <v>High</v>
      </c>
      <c r="S679" s="8" t="str">
        <f ca="1">IFERROR(__xludf.DUMMYFUNCTION("""COMPUTED_VALUE"""),"Beside Building")</f>
        <v>Beside Building</v>
      </c>
      <c r="T679" s="8" t="str">
        <f ca="1">IFERROR(__xludf.DUMMYFUNCTION("""COMPUTED_VALUE"""),"Outside on School Property")</f>
        <v>Outside on School Property</v>
      </c>
      <c r="U679" s="8" t="str">
        <f ca="1">IFERROR(__xludf.DUMMYFUNCTION("""COMPUTED_VALUE"""),"No")</f>
        <v>No</v>
      </c>
      <c r="V679" s="8" t="str">
        <f ca="1">IFERROR(__xludf.DUMMYFUNCTION("""COMPUTED_VALUE"""),"Evening")</f>
        <v>Evening</v>
      </c>
      <c r="W679" s="11">
        <f ca="1">IFERROR(__xludf.DUMMYFUNCTION("""COMPUTED_VALUE"""),0.729166666666666)</f>
        <v>0.72916666666666596</v>
      </c>
      <c r="X679" s="8">
        <f ca="1">IFERROR(__xludf.DUMMYFUNCTION("""COMPUTED_VALUE"""),1)</f>
        <v>1</v>
      </c>
      <c r="Y679" s="12" t="str">
        <f ca="1">IFERROR(__xludf.DUMMYFUNCTION("""COMPUTED_VALUE"""),"Male victim shot behind the school")</f>
        <v>Male victim shot behind the school</v>
      </c>
      <c r="Z679" s="12" t="str">
        <f ca="1">IFERROR(__xludf.DUMMYFUNCTION("""COMPUTED_VALUE"""),"Police responded for a male victim with a gunshot wound to the foot behind the school.")</f>
        <v>Police responded for a male victim with a gunshot wound to the foot behind the school.</v>
      </c>
      <c r="AA679" s="8"/>
      <c r="AB679" s="8"/>
      <c r="AC679" s="8"/>
      <c r="AD679" s="8"/>
      <c r="AE679" s="8"/>
      <c r="AF679" s="8"/>
      <c r="AG679" s="8" t="str">
        <f ca="1">IFERROR(__xludf.DUMMYFUNCTION("""COMPUTED_VALUE"""),"No")</f>
        <v>No</v>
      </c>
      <c r="AH679" s="8" t="str">
        <f ca="1">IFERROR(__xludf.DUMMYFUNCTION("""COMPUTED_VALUE"""),"No")</f>
        <v>No</v>
      </c>
      <c r="AI679" s="8" t="str">
        <f ca="1">IFERROR(__xludf.DUMMYFUNCTION("""COMPUTED_VALUE"""),"No")</f>
        <v>No</v>
      </c>
      <c r="AJ679" s="8" t="str">
        <f ca="1">IFERROR(__xludf.DUMMYFUNCTION("""COMPUTED_VALUE"""),"No")</f>
        <v>No</v>
      </c>
      <c r="AK679" s="8" t="str">
        <f ca="1">IFERROR(__xludf.DUMMYFUNCTION("""COMPUTED_VALUE"""),"No")</f>
        <v>No</v>
      </c>
      <c r="AL679" s="8"/>
      <c r="AM679" s="8" t="str">
        <f ca="1">IFERROR(__xludf.DUMMYFUNCTION("""COMPUTED_VALUE"""),"No")</f>
        <v>No</v>
      </c>
      <c r="AN679" s="8" t="str">
        <f ca="1">IFERROR(__xludf.DUMMYFUNCTION("""COMPUTED_VALUE"""),"Outside")</f>
        <v>Outside</v>
      </c>
      <c r="AO679" s="8" t="str">
        <f ca="1">IFERROR(__xludf.DUMMYFUNCTION("""COMPUTED_VALUE"""),"No")</f>
        <v>No</v>
      </c>
      <c r="AP679" s="8"/>
      <c r="AQ679" s="8"/>
      <c r="AR679" s="8" t="str">
        <f ca="1">IFERROR(__xludf.DUMMYFUNCTION("""COMPUTED_VALUE"""),"Outside/Off-Property")</f>
        <v>Outside/Off-Property</v>
      </c>
      <c r="AS679" s="8">
        <f ca="1">IFERROR(__xludf.DUMMYFUNCTION("""COMPUTED_VALUE"""),1)</f>
        <v>1</v>
      </c>
      <c r="AT679" s="8"/>
      <c r="AU679" s="8">
        <f ca="1">IFERROR(__xludf.DUMMYFUNCTION("""COMPUTED_VALUE"""),32.467389)</f>
        <v>32.467388999999997</v>
      </c>
      <c r="AV679" s="8">
        <f ca="1">IFERROR(__xludf.DUMMYFUNCTION("""COMPUTED_VALUE"""),-84.88808)</f>
        <v>-84.888080000000002</v>
      </c>
      <c r="AW679" s="8"/>
      <c r="AX679" s="8">
        <f ca="1">IFERROR(__xludf.DUMMYFUNCTION("""COMPUTED_VALUE"""),31907)</f>
        <v>31907</v>
      </c>
    </row>
    <row r="680" spans="1:50" ht="75" x14ac:dyDescent="0.2">
      <c r="A680" s="8" t="str">
        <f ca="1">IFERROR(__xludf.DUMMYFUNCTION("""COMPUTED_VALUE"""),"20230609DCTUW")</f>
        <v>20230609DCTUW</v>
      </c>
      <c r="B680" s="8">
        <f ca="1">IFERROR(__xludf.DUMMYFUNCTION("""COMPUTED_VALUE"""),6)</f>
        <v>6</v>
      </c>
      <c r="C680" s="8">
        <f ca="1">IFERROR(__xludf.DUMMYFUNCTION("""COMPUTED_VALUE"""),9)</f>
        <v>9</v>
      </c>
      <c r="D680" s="8">
        <f ca="1">IFERROR(__xludf.DUMMYFUNCTION("""COMPUTED_VALUE"""),2023)</f>
        <v>2023</v>
      </c>
      <c r="E680" s="9">
        <f ca="1">IFERROR(__xludf.DUMMYFUNCTION("""COMPUTED_VALUE"""),45086)</f>
        <v>45086</v>
      </c>
      <c r="F680" s="8" t="str">
        <f ca="1">IFERROR(__xludf.DUMMYFUNCTION("""COMPUTED_VALUE"""),"Turner Elementary School")</f>
        <v>Turner Elementary School</v>
      </c>
      <c r="G680" s="8">
        <f ca="1">IFERROR(__xludf.DUMMYFUNCTION("""COMPUTED_VALUE"""),0)</f>
        <v>0</v>
      </c>
      <c r="H680" s="8">
        <f ca="1">IFERROR(__xludf.DUMMYFUNCTION("""COMPUTED_VALUE"""),1)</f>
        <v>1</v>
      </c>
      <c r="I680" s="8">
        <f ca="1">IFERROR(__xludf.DUMMYFUNCTION("""COMPUTED_VALUE"""),1)</f>
        <v>1</v>
      </c>
      <c r="J680" s="8">
        <f ca="1">IFERROR(__xludf.DUMMYFUNCTION("""COMPUTED_VALUE"""),0)</f>
        <v>0</v>
      </c>
      <c r="K680" s="10" t="str">
        <f ca="1">IFERROR(__xludf.DUMMYFUNCTION("""COMPUTED_VALUE"""),"https://www.wusa9.com/video/news/crime/dc-shooting-sends-school-into-lockdown/65-61405cfc-90e5-42c9-836a-fe0d65820db5")</f>
        <v>https://www.wusa9.com/video/news/crime/dc-shooting-sends-school-into-lockdown/65-61405cfc-90e5-42c9-836a-fe0d65820db5</v>
      </c>
      <c r="L680" s="8">
        <f ca="1">IFERROR(__xludf.DUMMYFUNCTION("""COMPUTED_VALUE"""),2)</f>
        <v>2</v>
      </c>
      <c r="M680" s="8" t="str">
        <f ca="1">IFERROR(__xludf.DUMMYFUNCTION("""COMPUTED_VALUE"""),"Local")</f>
        <v>Local</v>
      </c>
      <c r="N680" s="8">
        <f ca="1">IFERROR(__xludf.DUMMYFUNCTION("""COMPUTED_VALUE"""),3)</f>
        <v>3</v>
      </c>
      <c r="O680" s="8" t="str">
        <f ca="1">IFERROR(__xludf.DUMMYFUNCTION("""COMPUTED_VALUE"""),"Summer")</f>
        <v>Summer</v>
      </c>
      <c r="P680" s="8" t="str">
        <f ca="1">IFERROR(__xludf.DUMMYFUNCTION("""COMPUTED_VALUE"""),"Washington")</f>
        <v>Washington</v>
      </c>
      <c r="Q680" s="8" t="str">
        <f ca="1">IFERROR(__xludf.DUMMYFUNCTION("""COMPUTED_VALUE"""),"DC")</f>
        <v>DC</v>
      </c>
      <c r="R680" s="8" t="str">
        <f ca="1">IFERROR(__xludf.DUMMYFUNCTION("""COMPUTED_VALUE"""),"Elementary")</f>
        <v>Elementary</v>
      </c>
      <c r="S680" s="8" t="str">
        <f ca="1">IFERROR(__xludf.DUMMYFUNCTION("""COMPUTED_VALUE"""),"Front of School")</f>
        <v>Front of School</v>
      </c>
      <c r="T680" s="8" t="str">
        <f ca="1">IFERROR(__xludf.DUMMYFUNCTION("""COMPUTED_VALUE"""),"Outside on School Property")</f>
        <v>Outside on School Property</v>
      </c>
      <c r="U680" s="8" t="str">
        <f ca="1">IFERROR(__xludf.DUMMYFUNCTION("""COMPUTED_VALUE"""),"Yes")</f>
        <v>Yes</v>
      </c>
      <c r="V680" s="8" t="str">
        <f ca="1">IFERROR(__xludf.DUMMYFUNCTION("""COMPUTED_VALUE"""),"Afternoon Classes")</f>
        <v>Afternoon Classes</v>
      </c>
      <c r="W680" s="11">
        <f ca="1">IFERROR(__xludf.DUMMYFUNCTION("""COMPUTED_VALUE"""),0.619444444444444)</f>
        <v>0.61944444444444402</v>
      </c>
      <c r="X680" s="8">
        <f ca="1">IFERROR(__xludf.DUMMYFUNCTION("""COMPUTED_VALUE"""),1)</f>
        <v>1</v>
      </c>
      <c r="Y680" s="12" t="str">
        <f ca="1">IFERROR(__xludf.DUMMYFUNCTION("""COMPUTED_VALUE"""),"School went on lockdown when adult man was shot on the sidewalk outside")</f>
        <v>School went on lockdown when adult man was shot on the sidewalk outside</v>
      </c>
      <c r="Z680" s="12" t="str">
        <f ca="1">IFERROR(__xludf.DUMMYFUNCTION("""COMPUTED_VALUE"""),"School went on lockdown when adult man was shot on the sidewalk outside. Victim was shot 3 times. Shots were fired from a vehicle and shooter feld.")</f>
        <v>School went on lockdown when adult man was shot on the sidewalk outside. Victim was shot 3 times. Shots were fired from a vehicle and shooter feld.</v>
      </c>
      <c r="AA680" s="8" t="str">
        <f ca="1">IFERROR(__xludf.DUMMYFUNCTION("""COMPUTED_VALUE"""),"Drive-by Shooting")</f>
        <v>Drive-by Shooting</v>
      </c>
      <c r="AB680" s="8"/>
      <c r="AC680" s="8" t="str">
        <f ca="1">IFERROR(__xludf.DUMMYFUNCTION("""COMPUTED_VALUE"""),"Yes")</f>
        <v>Yes</v>
      </c>
      <c r="AD680" s="8" t="str">
        <f ca="1">IFERROR(__xludf.DUMMYFUNCTION("""COMPUTED_VALUE"""),"Victims Targeted")</f>
        <v>Victims Targeted</v>
      </c>
      <c r="AE680" s="8"/>
      <c r="AF680" s="8"/>
      <c r="AG680" s="8" t="str">
        <f ca="1">IFERROR(__xludf.DUMMYFUNCTION("""COMPUTED_VALUE"""),"No")</f>
        <v>No</v>
      </c>
      <c r="AH680" s="8" t="str">
        <f ca="1">IFERROR(__xludf.DUMMYFUNCTION("""COMPUTED_VALUE"""),"No")</f>
        <v>No</v>
      </c>
      <c r="AI680" s="8" t="str">
        <f ca="1">IFERROR(__xludf.DUMMYFUNCTION("""COMPUTED_VALUE"""),"No")</f>
        <v>No</v>
      </c>
      <c r="AJ680" s="8" t="str">
        <f ca="1">IFERROR(__xludf.DUMMYFUNCTION("""COMPUTED_VALUE"""),"No")</f>
        <v>No</v>
      </c>
      <c r="AK680" s="8" t="str">
        <f ca="1">IFERROR(__xludf.DUMMYFUNCTION("""COMPUTED_VALUE"""),"No")</f>
        <v>No</v>
      </c>
      <c r="AL680" s="8"/>
      <c r="AM680" s="8" t="str">
        <f ca="1">IFERROR(__xludf.DUMMYFUNCTION("""COMPUTED_VALUE"""),"No")</f>
        <v>No</v>
      </c>
      <c r="AN680" s="8" t="str">
        <f ca="1">IFERROR(__xludf.DUMMYFUNCTION("""COMPUTED_VALUE"""),"Outside")</f>
        <v>Outside</v>
      </c>
      <c r="AO680" s="8" t="str">
        <f ca="1">IFERROR(__xludf.DUMMYFUNCTION("""COMPUTED_VALUE"""),"No")</f>
        <v>No</v>
      </c>
      <c r="AP680" s="8"/>
      <c r="AQ680" s="8"/>
      <c r="AR680" s="8" t="str">
        <f ca="1">IFERROR(__xludf.DUMMYFUNCTION("""COMPUTED_VALUE"""),"Outside/Off-Property")</f>
        <v>Outside/Off-Property</v>
      </c>
      <c r="AS680" s="8">
        <f ca="1">IFERROR(__xludf.DUMMYFUNCTION("""COMPUTED_VALUE"""),99)</f>
        <v>99</v>
      </c>
      <c r="AT680" s="8" t="str">
        <f ca="1">IFERROR(__xludf.DUMMYFUNCTION("""COMPUTED_VALUE"""),"Yes")</f>
        <v>Yes</v>
      </c>
      <c r="AU680" s="8">
        <f ca="1">IFERROR(__xludf.DUMMYFUNCTION("""COMPUTED_VALUE"""),38.847483)</f>
        <v>38.847482999999997</v>
      </c>
      <c r="AV680" s="8">
        <f ca="1">IFERROR(__xludf.DUMMYFUNCTION("""COMPUTED_VALUE"""),-76.980266)</f>
        <v>-76.980266</v>
      </c>
      <c r="AW680" s="8"/>
      <c r="AX680" s="8">
        <f ca="1">IFERROR(__xludf.DUMMYFUNCTION("""COMPUTED_VALUE"""),20020)</f>
        <v>20020</v>
      </c>
    </row>
    <row r="681" spans="1:50" ht="90" x14ac:dyDescent="0.2">
      <c r="A681" s="8" t="str">
        <f ca="1">IFERROR(__xludf.DUMMYFUNCTION("""COMPUTED_VALUE"""),"20230607WIMIM")</f>
        <v>20230607WIMIM</v>
      </c>
      <c r="B681" s="8">
        <f ca="1">IFERROR(__xludf.DUMMYFUNCTION("""COMPUTED_VALUE"""),6)</f>
        <v>6</v>
      </c>
      <c r="C681" s="8">
        <f ca="1">IFERROR(__xludf.DUMMYFUNCTION("""COMPUTED_VALUE"""),7)</f>
        <v>7</v>
      </c>
      <c r="D681" s="8">
        <f ca="1">IFERROR(__xludf.DUMMYFUNCTION("""COMPUTED_VALUE"""),2023)</f>
        <v>2023</v>
      </c>
      <c r="E681" s="9">
        <f ca="1">IFERROR(__xludf.DUMMYFUNCTION("""COMPUTED_VALUE"""),45084)</f>
        <v>45084</v>
      </c>
      <c r="F681" s="8" t="str">
        <f ca="1">IFERROR(__xludf.DUMMYFUNCTION("""COMPUTED_VALUE"""),"Milwaukee School Bus")</f>
        <v>Milwaukee School Bus</v>
      </c>
      <c r="G681" s="8">
        <f ca="1">IFERROR(__xludf.DUMMYFUNCTION("""COMPUTED_VALUE"""),0)</f>
        <v>0</v>
      </c>
      <c r="H681" s="8">
        <f ca="1">IFERROR(__xludf.DUMMYFUNCTION("""COMPUTED_VALUE"""),0)</f>
        <v>0</v>
      </c>
      <c r="I681" s="8">
        <f ca="1">IFERROR(__xludf.DUMMYFUNCTION("""COMPUTED_VALUE"""),0)</f>
        <v>0</v>
      </c>
      <c r="J681" s="8">
        <f ca="1">IFERROR(__xludf.DUMMYFUNCTION("""COMPUTED_VALUE"""),0)</f>
        <v>0</v>
      </c>
      <c r="K681" s="10" t="str">
        <f ca="1">IFERROR(__xludf.DUMMYFUNCTION("""COMPUTED_VALUE"""),"https://www.cbs58.com/news/gunfire-strikes-school-bus-with-2-children-inside-milwaukee-police-investigating
https://www.wisn.com/article/school-bus-hit-by-gunfire-in-milwaukee/44115821#")</f>
        <v>https://www.cbs58.com/news/gunfire-strikes-school-bus-with-2-children-inside-milwaukee-police-investigating
https://www.wisn.com/article/school-bus-hit-by-gunfire-in-milwaukee/44115821#</v>
      </c>
      <c r="L681" s="8">
        <f ca="1">IFERROR(__xludf.DUMMYFUNCTION("""COMPUTED_VALUE"""),5)</f>
        <v>5</v>
      </c>
      <c r="M681" s="8" t="str">
        <f ca="1">IFERROR(__xludf.DUMMYFUNCTION("""COMPUTED_VALUE"""),"Local")</f>
        <v>Local</v>
      </c>
      <c r="N681" s="8">
        <f ca="1">IFERROR(__xludf.DUMMYFUNCTION("""COMPUTED_VALUE"""),4)</f>
        <v>4</v>
      </c>
      <c r="O681" s="8" t="str">
        <f ca="1">IFERROR(__xludf.DUMMYFUNCTION("""COMPUTED_VALUE"""),"Summer")</f>
        <v>Summer</v>
      </c>
      <c r="P681" s="8" t="str">
        <f ca="1">IFERROR(__xludf.DUMMYFUNCTION("""COMPUTED_VALUE"""),"Milwaukee")</f>
        <v>Milwaukee</v>
      </c>
      <c r="Q681" s="8" t="str">
        <f ca="1">IFERROR(__xludf.DUMMYFUNCTION("""COMPUTED_VALUE"""),"WI")</f>
        <v>WI</v>
      </c>
      <c r="R681" s="8" t="str">
        <f ca="1">IFERROR(__xludf.DUMMYFUNCTION("""COMPUTED_VALUE"""),"Elementary")</f>
        <v>Elementary</v>
      </c>
      <c r="S681" s="8" t="str">
        <f ca="1">IFERROR(__xludf.DUMMYFUNCTION("""COMPUTED_VALUE"""),"School Bus")</f>
        <v>School Bus</v>
      </c>
      <c r="T681" s="8" t="str">
        <f ca="1">IFERROR(__xludf.DUMMYFUNCTION("""COMPUTED_VALUE"""),"School Bus")</f>
        <v>School Bus</v>
      </c>
      <c r="U681" s="8" t="str">
        <f ca="1">IFERROR(__xludf.DUMMYFUNCTION("""COMPUTED_VALUE"""),"Yes")</f>
        <v>Yes</v>
      </c>
      <c r="V681" s="8" t="str">
        <f ca="1">IFERROR(__xludf.DUMMYFUNCTION("""COMPUTED_VALUE"""),"Dismissal")</f>
        <v>Dismissal</v>
      </c>
      <c r="W681" s="11">
        <f ca="1">IFERROR(__xludf.DUMMYFUNCTION("""COMPUTED_VALUE"""),0.640277777777777)</f>
        <v>0.64027777777777695</v>
      </c>
      <c r="X681" s="8">
        <f ca="1">IFERROR(__xludf.DUMMYFUNCTION("""COMPUTED_VALUE"""),1)</f>
        <v>1</v>
      </c>
      <c r="Y681" s="12" t="str">
        <f ca="1">IFERROR(__xludf.DUMMYFUNCTION("""COMPUTED_VALUE"""),"School bus carrying student was struck by bullets")</f>
        <v>School bus carrying student was struck by bullets</v>
      </c>
      <c r="Z681" s="12" t="str">
        <f ca="1">IFERROR(__xludf.DUMMYFUNCTION("""COMPUTED_VALUE"""),"Milwaukee police are investigating after gunfire struck a school bus with two children inside Tuesday afternoon, June 6. According to the police department, two children, ages 7 and 13, were inside the bus when it was struck by gunfire while traveling nea"&amp;"r 15th and Meinecke Avenue around 3:22 p.m. ")</f>
        <v xml:space="preserve">Milwaukee police are investigating after gunfire struck a school bus with two children inside Tuesday afternoon, June 6. According to the police department, two children, ages 7 and 13, were inside the bus when it was struck by gunfire while traveling near 15th and Meinecke Avenue around 3:22 p.m. </v>
      </c>
      <c r="AA681" s="8"/>
      <c r="AB681" s="8"/>
      <c r="AC681" s="8" t="str">
        <f ca="1">IFERROR(__xludf.DUMMYFUNCTION("""COMPUTED_VALUE"""),"Yes")</f>
        <v>Yes</v>
      </c>
      <c r="AD681" s="8"/>
      <c r="AE681" s="8"/>
      <c r="AF681" s="8"/>
      <c r="AG681" s="8" t="str">
        <f ca="1">IFERROR(__xludf.DUMMYFUNCTION("""COMPUTED_VALUE"""),"No")</f>
        <v>No</v>
      </c>
      <c r="AH681" s="8" t="str">
        <f ca="1">IFERROR(__xludf.DUMMYFUNCTION("""COMPUTED_VALUE"""),"No")</f>
        <v>No</v>
      </c>
      <c r="AI681" s="8" t="str">
        <f ca="1">IFERROR(__xludf.DUMMYFUNCTION("""COMPUTED_VALUE"""),"No")</f>
        <v>No</v>
      </c>
      <c r="AJ681" s="8" t="str">
        <f ca="1">IFERROR(__xludf.DUMMYFUNCTION("""COMPUTED_VALUE"""),"No")</f>
        <v>No</v>
      </c>
      <c r="AK681" s="8" t="str">
        <f ca="1">IFERROR(__xludf.DUMMYFUNCTION("""COMPUTED_VALUE"""),"No")</f>
        <v>No</v>
      </c>
      <c r="AL681" s="8"/>
      <c r="AM681" s="8" t="str">
        <f ca="1">IFERROR(__xludf.DUMMYFUNCTION("""COMPUTED_VALUE"""),"No")</f>
        <v>No</v>
      </c>
      <c r="AN681" s="8" t="str">
        <f ca="1">IFERROR(__xludf.DUMMYFUNCTION("""COMPUTED_VALUE"""),"Outside")</f>
        <v>Outside</v>
      </c>
      <c r="AO681" s="8" t="str">
        <f ca="1">IFERROR(__xludf.DUMMYFUNCTION("""COMPUTED_VALUE"""),"No")</f>
        <v>No</v>
      </c>
      <c r="AP681" s="8"/>
      <c r="AQ681" s="8"/>
      <c r="AR681" s="8" t="str">
        <f ca="1">IFERROR(__xludf.DUMMYFUNCTION("""COMPUTED_VALUE"""),"Outside/Off-Property")</f>
        <v>Outside/Off-Property</v>
      </c>
      <c r="AS681" s="8">
        <f ca="1">IFERROR(__xludf.DUMMYFUNCTION("""COMPUTED_VALUE"""),99)</f>
        <v>99</v>
      </c>
      <c r="AT681" s="8"/>
      <c r="AU681" s="8">
        <f ca="1">IFERROR(__xludf.DUMMYFUNCTION("""COMPUTED_VALUE"""),43.062203)</f>
        <v>43.062202999999997</v>
      </c>
      <c r="AV681" s="8">
        <f ca="1">IFERROR(__xludf.DUMMYFUNCTION("""COMPUTED_VALUE"""),-87.931353)</f>
        <v>-87.931353000000001</v>
      </c>
      <c r="AW681" s="8"/>
      <c r="AX681" s="8">
        <f ca="1">IFERROR(__xludf.DUMMYFUNCTION("""COMPUTED_VALUE"""),53206)</f>
        <v>53206</v>
      </c>
    </row>
    <row r="682" spans="1:50" ht="270" x14ac:dyDescent="0.2">
      <c r="A682" s="8" t="str">
        <f ca="1">IFERROR(__xludf.DUMMYFUNCTION("""COMPUTED_VALUE"""),"20230607VADRA")</f>
        <v>20230607VADRA</v>
      </c>
      <c r="B682" s="8">
        <f ca="1">IFERROR(__xludf.DUMMYFUNCTION("""COMPUTED_VALUE"""),6)</f>
        <v>6</v>
      </c>
      <c r="C682" s="8">
        <f ca="1">IFERROR(__xludf.DUMMYFUNCTION("""COMPUTED_VALUE"""),7)</f>
        <v>7</v>
      </c>
      <c r="D682" s="8">
        <f ca="1">IFERROR(__xludf.DUMMYFUNCTION("""COMPUTED_VALUE"""),2023)</f>
        <v>2023</v>
      </c>
      <c r="E682" s="9">
        <f ca="1">IFERROR(__xludf.DUMMYFUNCTION("""COMPUTED_VALUE"""),45084)</f>
        <v>45084</v>
      </c>
      <c r="F682" s="8" t="str">
        <f ca="1">IFERROR(__xludf.DUMMYFUNCTION("""COMPUTED_VALUE"""),"Drew Elementary School")</f>
        <v>Drew Elementary School</v>
      </c>
      <c r="G682" s="8">
        <f ca="1">IFERROR(__xludf.DUMMYFUNCTION("""COMPUTED_VALUE"""),0)</f>
        <v>0</v>
      </c>
      <c r="H682" s="8">
        <f ca="1">IFERROR(__xludf.DUMMYFUNCTION("""COMPUTED_VALUE"""),0)</f>
        <v>0</v>
      </c>
      <c r="I682" s="8">
        <f ca="1">IFERROR(__xludf.DUMMYFUNCTION("""COMPUTED_VALUE"""),0)</f>
        <v>0</v>
      </c>
      <c r="J682" s="8">
        <f ca="1">IFERROR(__xludf.DUMMYFUNCTION("""COMPUTED_VALUE"""),0)</f>
        <v>0</v>
      </c>
      <c r="K682" s="10" t="str">
        <f ca="1">IFERROR(__xludf.DUMMYFUNCTION("""COMPUTED_VALUE"""),"https://www.arlnow.com/2023/06/07/now-police-on-scene-of-reported-fight-and-shot-fired-in-green-valley/")</f>
        <v>https://www.arlnow.com/2023/06/07/now-police-on-scene-of-reported-fight-and-shot-fired-in-green-valley/</v>
      </c>
      <c r="L682" s="8">
        <f ca="1">IFERROR(__xludf.DUMMYFUNCTION("""COMPUTED_VALUE"""),1)</f>
        <v>1</v>
      </c>
      <c r="M682" s="8" t="str">
        <f ca="1">IFERROR(__xludf.DUMMYFUNCTION("""COMPUTED_VALUE"""),"Local")</f>
        <v>Local</v>
      </c>
      <c r="N682" s="8">
        <f ca="1">IFERROR(__xludf.DUMMYFUNCTION("""COMPUTED_VALUE"""),3)</f>
        <v>3</v>
      </c>
      <c r="O682" s="8" t="str">
        <f ca="1">IFERROR(__xludf.DUMMYFUNCTION("""COMPUTED_VALUE"""),"Summer")</f>
        <v>Summer</v>
      </c>
      <c r="P682" s="8" t="str">
        <f ca="1">IFERROR(__xludf.DUMMYFUNCTION("""COMPUTED_VALUE"""),"Arlington")</f>
        <v>Arlington</v>
      </c>
      <c r="Q682" s="8" t="str">
        <f ca="1">IFERROR(__xludf.DUMMYFUNCTION("""COMPUTED_VALUE"""),"VA")</f>
        <v>VA</v>
      </c>
      <c r="R682" s="8" t="str">
        <f ca="1">IFERROR(__xludf.DUMMYFUNCTION("""COMPUTED_VALUE"""),"Elementary")</f>
        <v>Elementary</v>
      </c>
      <c r="S682" s="8" t="str">
        <f ca="1">IFERROR(__xludf.DUMMYFUNCTION("""COMPUTED_VALUE"""),"Front of School")</f>
        <v>Front of School</v>
      </c>
      <c r="T682" s="8" t="str">
        <f ca="1">IFERROR(__xludf.DUMMYFUNCTION("""COMPUTED_VALUE"""),"Outside on School Property")</f>
        <v>Outside on School Property</v>
      </c>
      <c r="U682" s="8" t="str">
        <f ca="1">IFERROR(__xludf.DUMMYFUNCTION("""COMPUTED_VALUE"""),"Yes")</f>
        <v>Yes</v>
      </c>
      <c r="V682" s="8" t="str">
        <f ca="1">IFERROR(__xludf.DUMMYFUNCTION("""COMPUTED_VALUE"""),"Morning Classes")</f>
        <v>Morning Classes</v>
      </c>
      <c r="W682" s="11">
        <f ca="1">IFERROR(__xludf.DUMMYFUNCTION("""COMPUTED_VALUE"""),0.436805555555555)</f>
        <v>0.436805555555555</v>
      </c>
      <c r="X682" s="8">
        <f ca="1">IFERROR(__xludf.DUMMYFUNCTION("""COMPUTED_VALUE"""),1)</f>
        <v>1</v>
      </c>
      <c r="Y682" s="12" t="str">
        <f ca="1">IFERROR(__xludf.DUMMYFUNCTION("""COMPUTED_VALUE"""),"Adult fired shot outside of school during fight over firearm")</f>
        <v>Adult fired shot outside of school during fight over firearm</v>
      </c>
      <c r="Z682" s="12" t="str">
        <f ca="1">IFERROR(__xludf.DUMMYFUNCTION("""COMPUTED_VALUE"""),"The Arlington County Police Department’s Homicide/Robbery Unit is announcing the arrest of a suspect following an investigation into a fight with a shot fired. Chase Smith, 21, of Arlington, VA is charged with Attempted Aggravated Malicious Wounding and D"&amp;"ischarge of a Firearm within 1,000 feet of a School. At approximately 10:29 a.m. on June 7, 2023, police were dispatched to the 2200 block of S. Kenmore Street for the report of a fight involving a firearm. Prior to police arrival, the suspect ran from th"&amp;"e scene. Responding officers located him in the 3400 block of 22nd Street S. and took him into custody without incident. The preliminary investigation indicates the victim and suspect were involved in a verbal dispute when the suspect allegedly displayed "&amp;"a firearm. A physical altercation ensued over the firearm, during which a shot was fired. No property damage or injuries were reported as a result of the firearm discharge. A firearm was recovered on scene.")</f>
        <v>The Arlington County Police Department’s Homicide/Robbery Unit is announcing the arrest of a suspect following an investigation into a fight with a shot fired. Chase Smith, 21, of Arlington, VA is charged with Attempted Aggravated Malicious Wounding and Discharge of a Firearm within 1,000 feet of a School. At approximately 10:29 a.m. on June 7, 2023, police were dispatched to the 2200 block of S. Kenmore Street for the report of a fight involving a firearm. Prior to police arrival, the suspect ran from the scene. Responding officers located him in the 3400 block of 22nd Street S. and took him into custody without incident. The preliminary investigation indicates the victim and suspect were involved in a verbal dispute when the suspect allegedly displayed a firearm. A physical altercation ensued over the firearm, during which a shot was fired. No property damage or injuries were reported as a result of the firearm discharge. A firearm was recovered on scene.</v>
      </c>
      <c r="AA682" s="8" t="str">
        <f ca="1">IFERROR(__xludf.DUMMYFUNCTION("""COMPUTED_VALUE"""),"Escalation of Dispute")</f>
        <v>Escalation of Dispute</v>
      </c>
      <c r="AB682" s="8"/>
      <c r="AC682" s="8" t="str">
        <f ca="1">IFERROR(__xludf.DUMMYFUNCTION("""COMPUTED_VALUE"""),"Yes")</f>
        <v>Yes</v>
      </c>
      <c r="AD682" s="8" t="str">
        <f ca="1">IFERROR(__xludf.DUMMYFUNCTION("""COMPUTED_VALUE"""),"Victims Targeted")</f>
        <v>Victims Targeted</v>
      </c>
      <c r="AE682" s="8" t="str">
        <f ca="1">IFERROR(__xludf.DUMMYFUNCTION("""COMPUTED_VALUE"""),"No")</f>
        <v>No</v>
      </c>
      <c r="AF682" s="8"/>
      <c r="AG682" s="8" t="str">
        <f ca="1">IFERROR(__xludf.DUMMYFUNCTION("""COMPUTED_VALUE"""),"No")</f>
        <v>No</v>
      </c>
      <c r="AH682" s="8" t="str">
        <f ca="1">IFERROR(__xludf.DUMMYFUNCTION("""COMPUTED_VALUE"""),"No")</f>
        <v>No</v>
      </c>
      <c r="AI682" s="8" t="str">
        <f ca="1">IFERROR(__xludf.DUMMYFUNCTION("""COMPUTED_VALUE"""),"No")</f>
        <v>No</v>
      </c>
      <c r="AJ682" s="8" t="str">
        <f ca="1">IFERROR(__xludf.DUMMYFUNCTION("""COMPUTED_VALUE"""),"No")</f>
        <v>No</v>
      </c>
      <c r="AK682" s="8" t="str">
        <f ca="1">IFERROR(__xludf.DUMMYFUNCTION("""COMPUTED_VALUE"""),"No")</f>
        <v>No</v>
      </c>
      <c r="AL682" s="8" t="str">
        <f ca="1">IFERROR(__xludf.DUMMYFUNCTION("""COMPUTED_VALUE"""),"No")</f>
        <v>No</v>
      </c>
      <c r="AM682" s="8" t="str">
        <f ca="1">IFERROR(__xludf.DUMMYFUNCTION("""COMPUTED_VALUE"""),"No")</f>
        <v>No</v>
      </c>
      <c r="AN682" s="8" t="str">
        <f ca="1">IFERROR(__xludf.DUMMYFUNCTION("""COMPUTED_VALUE"""),"Outside")</f>
        <v>Outside</v>
      </c>
      <c r="AO682" s="8" t="str">
        <f ca="1">IFERROR(__xludf.DUMMYFUNCTION("""COMPUTED_VALUE"""),"No")</f>
        <v>No</v>
      </c>
      <c r="AP682" s="8"/>
      <c r="AQ682" s="8"/>
      <c r="AR682" s="8" t="str">
        <f ca="1">IFERROR(__xludf.DUMMYFUNCTION("""COMPUTED_VALUE"""),"Outside/Off-Property")</f>
        <v>Outside/Off-Property</v>
      </c>
      <c r="AS682" s="8">
        <f ca="1">IFERROR(__xludf.DUMMYFUNCTION("""COMPUTED_VALUE"""),1)</f>
        <v>1</v>
      </c>
      <c r="AT682" s="8"/>
      <c r="AU682" s="8">
        <f ca="1">IFERROR(__xludf.DUMMYFUNCTION("""COMPUTED_VALUE"""),38.848186)</f>
        <v>38.848185999999998</v>
      </c>
      <c r="AV682" s="8">
        <f ca="1">IFERROR(__xludf.DUMMYFUNCTION("""COMPUTED_VALUE"""),-77.087685)</f>
        <v>-77.087684999999993</v>
      </c>
      <c r="AW682" s="8"/>
      <c r="AX682" s="8">
        <f ca="1">IFERROR(__xludf.DUMMYFUNCTION("""COMPUTED_VALUE"""),22206)</f>
        <v>22206</v>
      </c>
    </row>
    <row r="683" spans="1:50" ht="409.5" x14ac:dyDescent="0.2">
      <c r="A683" s="8" t="str">
        <f ca="1">IFERROR(__xludf.DUMMYFUNCTION("""COMPUTED_VALUE"""),"20230606VAHUR")</f>
        <v>20230606VAHUR</v>
      </c>
      <c r="B683" s="8">
        <f ca="1">IFERROR(__xludf.DUMMYFUNCTION("""COMPUTED_VALUE"""),6)</f>
        <v>6</v>
      </c>
      <c r="C683" s="8">
        <f ca="1">IFERROR(__xludf.DUMMYFUNCTION("""COMPUTED_VALUE"""),6)</f>
        <v>6</v>
      </c>
      <c r="D683" s="8">
        <f ca="1">IFERROR(__xludf.DUMMYFUNCTION("""COMPUTED_VALUE"""),2023)</f>
        <v>2023</v>
      </c>
      <c r="E683" s="9">
        <f ca="1">IFERROR(__xludf.DUMMYFUNCTION("""COMPUTED_VALUE"""),45083)</f>
        <v>45083</v>
      </c>
      <c r="F683" s="8" t="str">
        <f ca="1">IFERROR(__xludf.DUMMYFUNCTION("""COMPUTED_VALUE"""),"Huguenot High School")</f>
        <v>Huguenot High School</v>
      </c>
      <c r="G683" s="8">
        <f ca="1">IFERROR(__xludf.DUMMYFUNCTION("""COMPUTED_VALUE"""),2)</f>
        <v>2</v>
      </c>
      <c r="H683" s="8">
        <f ca="1">IFERROR(__xludf.DUMMYFUNCTION("""COMPUTED_VALUE"""),5)</f>
        <v>5</v>
      </c>
      <c r="I683" s="8">
        <f ca="1">IFERROR(__xludf.DUMMYFUNCTION("""COMPUTED_VALUE"""),7)</f>
        <v>7</v>
      </c>
      <c r="J683" s="8">
        <f ca="1">IFERROR(__xludf.DUMMYFUNCTION("""COMPUTED_VALUE"""),0)</f>
        <v>0</v>
      </c>
      <c r="K683" s="8" t="str">
        <f ca="1">IFERROR(__xludf.DUMMYFUNCTION("""COMPUTED_VALUE"""),"https://www.wric.com/news/local-news/richmond/watch-fbi-timeline-video-shows-huguenot-high-school-graduation-shooting-arrest-of-amari-pollard/
https://www.wtvr.com/news/local-news/new-information-graduation-day-shooting-june-12-2023
https://www.wtvr.com/n"&amp;"ews/local-news/altria-theater-graduation-shooting-june-6-2023
https://www.nbc12.com/2023/06/07/2-dead-5-injured-after-near-altria-theater-after-graduation-2-custody/")</f>
        <v>https://www.wric.com/news/local-news/richmond/watch-fbi-timeline-video-shows-huguenot-high-school-graduation-shooting-arrest-of-amari-pollard/
https://www.wtvr.com/news/local-news/new-information-graduation-day-shooting-june-12-2023
https://www.wtvr.com/news/local-news/altria-theater-graduation-shooting-june-6-2023
https://www.nbc12.com/2023/06/07/2-dead-5-injured-after-near-altria-theater-after-graduation-2-custody/</v>
      </c>
      <c r="L683" s="8">
        <f ca="1">IFERROR(__xludf.DUMMYFUNCTION("""COMPUTED_VALUE"""),999)</f>
        <v>999</v>
      </c>
      <c r="M683" s="8" t="str">
        <f ca="1">IFERROR(__xludf.DUMMYFUNCTION("""COMPUTED_VALUE"""),"National")</f>
        <v>National</v>
      </c>
      <c r="N683" s="8">
        <f ca="1">IFERROR(__xludf.DUMMYFUNCTION("""COMPUTED_VALUE"""),4)</f>
        <v>4</v>
      </c>
      <c r="O683" s="8" t="str">
        <f ca="1">IFERROR(__xludf.DUMMYFUNCTION("""COMPUTED_VALUE"""),"Summer")</f>
        <v>Summer</v>
      </c>
      <c r="P683" s="8" t="str">
        <f ca="1">IFERROR(__xludf.DUMMYFUNCTION("""COMPUTED_VALUE"""),"Richmond")</f>
        <v>Richmond</v>
      </c>
      <c r="Q683" s="8" t="str">
        <f ca="1">IFERROR(__xludf.DUMMYFUNCTION("""COMPUTED_VALUE"""),"VA")</f>
        <v>VA</v>
      </c>
      <c r="R683" s="8" t="str">
        <f ca="1">IFERROR(__xludf.DUMMYFUNCTION("""COMPUTED_VALUE"""),"High")</f>
        <v>High</v>
      </c>
      <c r="S683" s="8" t="str">
        <f ca="1">IFERROR(__xludf.DUMMYFUNCTION("""COMPUTED_VALUE"""),"Off School Property")</f>
        <v>Off School Property</v>
      </c>
      <c r="T683" s="8" t="str">
        <f ca="1">IFERROR(__xludf.DUMMYFUNCTION("""COMPUTED_VALUE"""),"Off School Property")</f>
        <v>Off School Property</v>
      </c>
      <c r="U683" s="8" t="str">
        <f ca="1">IFERROR(__xludf.DUMMYFUNCTION("""COMPUTED_VALUE"""),"No")</f>
        <v>No</v>
      </c>
      <c r="V683" s="8" t="str">
        <f ca="1">IFERROR(__xludf.DUMMYFUNCTION("""COMPUTED_VALUE"""),"School Event")</f>
        <v>School Event</v>
      </c>
      <c r="W683" s="11">
        <f ca="1">IFERROR(__xludf.DUMMYFUNCTION("""COMPUTED_VALUE"""),0.71875)</f>
        <v>0.71875</v>
      </c>
      <c r="X683" s="8">
        <f ca="1">IFERROR(__xludf.DUMMYFUNCTION("""COMPUTED_VALUE"""),1)</f>
        <v>1</v>
      </c>
      <c r="Y683" s="12" t="str">
        <f ca="1">IFERROR(__xludf.DUMMYFUNCTION("""COMPUTED_VALUE"""),"19-year-old killed graduate and father, wounded 5 others outside graduation")</f>
        <v>19-year-old killed graduate and father, wounded 5 others outside graduation</v>
      </c>
      <c r="Z683" s="12" t="str">
        <f ca="1">IFERROR(__xludf.DUMMYFUNCTION("""COMPUTED_VALUE"""),"Richmond police said in a press conference around 5:15 p.m., officers were inside Altria Theater running security when they reported hearing gunshots outside. Officers on traffic detail found “multiple victims.” Acting Police Chief Rick Edwards says a tot"&amp;"al of seven people were shot. A family spokesperson confirmed An 18-year-old Shawn Jackson and his 36-year-old father, Renzo Smith, died as a result of their injuries. A 31-year-old is suffering from life-threatening injuries. Edwards also confirmed four "&amp;"other males, ages 14, 42, 55 and 58, were injured but are expected to be okay. Six other people sustained injuries unrelated to the gunfire, three reported needing to be transported to the hospital for anxiety, two were injured from falls and a 9-year-old"&amp;" was hit by a car as they were running away from the area. That child is also expected to be okay. Police have a 19-year-old man in custody that they believe was involved in the shooting. He is expected to be charged with two counts of second-degree murde"&amp;"r with more potential charges. Police also think the suspect knew at least one of the victims. Richmond Public Schools confirmed the shooting happened outside the theater after Huguenot High School’s graduation ceremony and occurred in Monroe Park adjacen"&amp;"t to the theater. The district says they have canceled all high school graduation ceremonies this week. Richmond Police said there were four total guns recovered from the shooting scene near Monroe Park at North Laurel and West Main Street. Police said Po"&amp;"llard had one gun, police confirmed. Another person, not directly involved in the shooting and who never fired gunshots, was found with the second gun, police said. Police have not yet said to whom the remaining two guns belonged.
Jackson-Smith told 8New"&amp;"s she witnessed a teen boy run up behind her son and open fire. “My son was walking toward me, and I seen the boy run up behind him and just start shooting him from behind,” she said. “My son was walking toward me. My husband was walking behind my son, bu"&amp;"t somehow the boy ran around everybody and ran behind my son.” Shawn Jackson and his stepfather, Renzo Smith, were shot dead. Several other people were shot and injured. Police later identified the gunman as 19-year-old Amari Pollard, adding that the vict"&amp;"im and suspect knew each other and had an “ongoing dispute.” Jackson-Smith said she was unclear on what the dispute was about but confirmed the two knew each other. “They were friends. He used to stay at my house when they were little kids since they were"&amp;" like 8 years old,” she said. “My son told me, about four-five months ago, that he was going to see him, so I didn’t even know that they were having a problem. When you think of people that your child considered a friend… and somebody stayed in your home…"&amp;" you wouldn’t think that they would be that angry at you that they would take their life from you. It’s no amount of words that equals a life.”")</f>
        <v>Richmond police said in a press conference around 5:15 p.m., officers were inside Altria Theater running security when they reported hearing gunshots outside. Officers on traffic detail found “multiple victims.” Acting Police Chief Rick Edwards says a total of seven people were shot. A family spokesperson confirmed An 18-year-old Shawn Jackson and his 36-year-old father, Renzo Smith, died as a result of their injuries. A 31-year-old is suffering from life-threatening injuries. Edwards also confirmed four other males, ages 14, 42, 55 and 58, were injured but are expected to be okay. Six other people sustained injuries unrelated to the gunfire, three reported needing to be transported to the hospital for anxiety, two were injured from falls and a 9-year-old was hit by a car as they were running away from the area. That child is also expected to be okay. Police have a 19-year-old man in custody that they believe was involved in the shooting. He is expected to be charged with two counts of second-degree murder with more potential charges. Police also think the suspect knew at least one of the victims. Richmond Public Schools confirmed the shooting happened outside the theater after Huguenot High School’s graduation ceremony and occurred in Monroe Park adjacent to the theater. The district says they have canceled all high school graduation ceremonies this week. Richmond Police said there were four total guns recovered from the shooting scene near Monroe Park at North Laurel and West Main Street. Police said Pollard had one gun, police confirmed. Another person, not directly involved in the shooting and who never fired gunshots, was found with the second gun, police said. Police have not yet said to whom the remaining two guns belonged.
Jackson-Smith told 8News she witnessed a teen boy run up behind her son and open fire. “My son was walking toward me, and I seen the boy run up behind him and just start shooting him from behind,” she said. “My son was walking toward me. My husband was walking behind my son, but somehow the boy ran around everybody and ran behind my son.” Shawn Jackson and his stepfather, Renzo Smith, were shot dead. Several other people were shot and injured. Police later identified the gunman as 19-year-old Amari Pollard, adding that the victim and suspect knew each other and had an “ongoing dispute.” Jackson-Smith said she was unclear on what the dispute was about but confirmed the two knew each other. “They were friends. He used to stay at my house when they were little kids since they were like 8 years old,” she said. “My son told me, about four-five months ago, that he was going to see him, so I didn’t even know that they were having a problem. When you think of people that your child considered a friend… and somebody stayed in your home… you wouldn’t think that they would be that angry at you that they would take their life from you. It’s no amount of words that equals a life.”</v>
      </c>
      <c r="AA683" s="8" t="str">
        <f ca="1">IFERROR(__xludf.DUMMYFUNCTION("""COMPUTED_VALUE"""),"Escalation of Dispute")</f>
        <v>Escalation of Dispute</v>
      </c>
      <c r="AB683" s="8"/>
      <c r="AC683" s="8" t="str">
        <f ca="1">IFERROR(__xludf.DUMMYFUNCTION("""COMPUTED_VALUE"""),"Yes")</f>
        <v>Yes</v>
      </c>
      <c r="AD683" s="8" t="str">
        <f ca="1">IFERROR(__xludf.DUMMYFUNCTION("""COMPUTED_VALUE"""),"Both")</f>
        <v>Both</v>
      </c>
      <c r="AE683" s="8" t="str">
        <f ca="1">IFERROR(__xludf.DUMMYFUNCTION("""COMPUTED_VALUE"""),"No")</f>
        <v>No</v>
      </c>
      <c r="AF683" s="8"/>
      <c r="AG683" s="8" t="str">
        <f ca="1">IFERROR(__xludf.DUMMYFUNCTION("""COMPUTED_VALUE"""),"No")</f>
        <v>No</v>
      </c>
      <c r="AH683" s="8" t="str">
        <f ca="1">IFERROR(__xludf.DUMMYFUNCTION("""COMPUTED_VALUE"""),"No")</f>
        <v>No</v>
      </c>
      <c r="AI683" s="8" t="str">
        <f ca="1">IFERROR(__xludf.DUMMYFUNCTION("""COMPUTED_VALUE"""),"No")</f>
        <v>No</v>
      </c>
      <c r="AJ683" s="8" t="str">
        <f ca="1">IFERROR(__xludf.DUMMYFUNCTION("""COMPUTED_VALUE"""),"No")</f>
        <v>No</v>
      </c>
      <c r="AK683" s="8" t="str">
        <f ca="1">IFERROR(__xludf.DUMMYFUNCTION("""COMPUTED_VALUE"""),"No")</f>
        <v>No</v>
      </c>
      <c r="AL683" s="8" t="str">
        <f ca="1">IFERROR(__xludf.DUMMYFUNCTION("""COMPUTED_VALUE"""),"No")</f>
        <v>No</v>
      </c>
      <c r="AM683" s="8" t="str">
        <f ca="1">IFERROR(__xludf.DUMMYFUNCTION("""COMPUTED_VALUE"""),"No")</f>
        <v>No</v>
      </c>
      <c r="AN683" s="8" t="str">
        <f ca="1">IFERROR(__xludf.DUMMYFUNCTION("""COMPUTED_VALUE"""),"Outside")</f>
        <v>Outside</v>
      </c>
      <c r="AO683" s="8" t="str">
        <f ca="1">IFERROR(__xludf.DUMMYFUNCTION("""COMPUTED_VALUE"""),"Yes")</f>
        <v>Yes</v>
      </c>
      <c r="AP683" s="8"/>
      <c r="AQ683" s="8"/>
      <c r="AR683" s="8" t="str">
        <f ca="1">IFERROR(__xludf.DUMMYFUNCTION("""COMPUTED_VALUE"""),"Outside/Off-Property")</f>
        <v>Outside/Off-Property</v>
      </c>
      <c r="AS683" s="8">
        <f ca="1">IFERROR(__xludf.DUMMYFUNCTION("""COMPUTED_VALUE"""),99)</f>
        <v>99</v>
      </c>
      <c r="AT683" s="8"/>
      <c r="AU683" s="8">
        <f ca="1">IFERROR(__xludf.DUMMYFUNCTION("""COMPUTED_VALUE"""),37.546442)</f>
        <v>37.546441999999999</v>
      </c>
      <c r="AV683" s="8">
        <f ca="1">IFERROR(__xludf.DUMMYFUNCTION("""COMPUTED_VALUE"""),-77.451597)</f>
        <v>-77.451597000000007</v>
      </c>
      <c r="AW683" s="8"/>
      <c r="AX683" s="8">
        <f ca="1">IFERROR(__xludf.DUMMYFUNCTION("""COMPUTED_VALUE"""),23220)</f>
        <v>23220</v>
      </c>
    </row>
    <row r="684" spans="1:50" ht="135" x14ac:dyDescent="0.2">
      <c r="A684" s="8" t="str">
        <f ca="1">IFERROR(__xludf.DUMMYFUNCTION("""COMPUTED_VALUE"""),"20230605MIMIW")</f>
        <v>20230605MIMIW</v>
      </c>
      <c r="B684" s="8">
        <f ca="1">IFERROR(__xludf.DUMMYFUNCTION("""COMPUTED_VALUE"""),6)</f>
        <v>6</v>
      </c>
      <c r="C684" s="8">
        <f ca="1">IFERROR(__xludf.DUMMYFUNCTION("""COMPUTED_VALUE"""),5)</f>
        <v>5</v>
      </c>
      <c r="D684" s="8">
        <f ca="1">IFERROR(__xludf.DUMMYFUNCTION("""COMPUTED_VALUE"""),2023)</f>
        <v>2023</v>
      </c>
      <c r="E684" s="9">
        <f ca="1">IFERROR(__xludf.DUMMYFUNCTION("""COMPUTED_VALUE"""),45082)</f>
        <v>45082</v>
      </c>
      <c r="F684" s="8" t="str">
        <f ca="1">IFERROR(__xludf.DUMMYFUNCTION("""COMPUTED_VALUE"""),"Michigan Collegiate High School")</f>
        <v>Michigan Collegiate High School</v>
      </c>
      <c r="G684" s="8">
        <f ca="1">IFERROR(__xludf.DUMMYFUNCTION("""COMPUTED_VALUE"""),0)</f>
        <v>0</v>
      </c>
      <c r="H684" s="8">
        <f ca="1">IFERROR(__xludf.DUMMYFUNCTION("""COMPUTED_VALUE"""),0)</f>
        <v>0</v>
      </c>
      <c r="I684" s="8">
        <f ca="1">IFERROR(__xludf.DUMMYFUNCTION("""COMPUTED_VALUE"""),0)</f>
        <v>0</v>
      </c>
      <c r="J684" s="8">
        <f ca="1">IFERROR(__xludf.DUMMYFUNCTION("""COMPUTED_VALUE"""),0)</f>
        <v>0</v>
      </c>
      <c r="K684" s="8" t="str">
        <f ca="1">IFERROR(__xludf.DUMMYFUNCTION("""COMPUTED_VALUE"""),"https://www.audacy.com/wwjnewsradio/news/local/detroit-man-arrested-for-firing-shots-in-school-parking-lot
https://www.clickondetroit.com/news/local/2023/06/05/students-fire-shots-outside-school-in-warren-after-being-suspended-earlier-in-day-police-say/
h"&amp;"ttps://www.fox2detroit.com/news/students-unhurt-after-shooting-at-warren-high-school-police-say-suspended-students-returned
https://www.cbsnews.com/detroit/news/no-one-hurt-after-shots-fired-in-parking-lot-of-warren-high-school/")</f>
        <v>https://www.audacy.com/wwjnewsradio/news/local/detroit-man-arrested-for-firing-shots-in-school-parking-lot
https://www.clickondetroit.com/news/local/2023/06/05/students-fire-shots-outside-school-in-warren-after-being-suspended-earlier-in-day-police-say/
https://www.fox2detroit.com/news/students-unhurt-after-shooting-at-warren-high-school-police-say-suspended-students-returned
https://www.cbsnews.com/detroit/news/no-one-hurt-after-shots-fired-in-parking-lot-of-warren-high-school/</v>
      </c>
      <c r="L684" s="8">
        <f ca="1">IFERROR(__xludf.DUMMYFUNCTION("""COMPUTED_VALUE"""),5)</f>
        <v>5</v>
      </c>
      <c r="M684" s="8" t="str">
        <f ca="1">IFERROR(__xludf.DUMMYFUNCTION("""COMPUTED_VALUE"""),"Regional")</f>
        <v>Regional</v>
      </c>
      <c r="N684" s="8">
        <f ca="1">IFERROR(__xludf.DUMMYFUNCTION("""COMPUTED_VALUE"""),5)</f>
        <v>5</v>
      </c>
      <c r="O684" s="8" t="str">
        <f ca="1">IFERROR(__xludf.DUMMYFUNCTION("""COMPUTED_VALUE"""),"Summer")</f>
        <v>Summer</v>
      </c>
      <c r="P684" s="8" t="str">
        <f ca="1">IFERROR(__xludf.DUMMYFUNCTION("""COMPUTED_VALUE"""),"Warren")</f>
        <v>Warren</v>
      </c>
      <c r="Q684" s="8" t="str">
        <f ca="1">IFERROR(__xludf.DUMMYFUNCTION("""COMPUTED_VALUE"""),"MI")</f>
        <v>MI</v>
      </c>
      <c r="R684" s="8" t="str">
        <f ca="1">IFERROR(__xludf.DUMMYFUNCTION("""COMPUTED_VALUE"""),"High")</f>
        <v>High</v>
      </c>
      <c r="S684" s="8" t="str">
        <f ca="1">IFERROR(__xludf.DUMMYFUNCTION("""COMPUTED_VALUE"""),"Parking Lot")</f>
        <v>Parking Lot</v>
      </c>
      <c r="T684" s="8" t="str">
        <f ca="1">IFERROR(__xludf.DUMMYFUNCTION("""COMPUTED_VALUE"""),"Outside on School Property")</f>
        <v>Outside on School Property</v>
      </c>
      <c r="U684" s="8" t="str">
        <f ca="1">IFERROR(__xludf.DUMMYFUNCTION("""COMPUTED_VALUE"""),"Yes")</f>
        <v>Yes</v>
      </c>
      <c r="V684" s="8" t="str">
        <f ca="1">IFERROR(__xludf.DUMMYFUNCTION("""COMPUTED_VALUE"""),"Dismissal")</f>
        <v>Dismissal</v>
      </c>
      <c r="W684" s="11">
        <f ca="1">IFERROR(__xludf.DUMMYFUNCTION("""COMPUTED_VALUE"""),0.611111111111111)</f>
        <v>0.61111111111111105</v>
      </c>
      <c r="X684" s="8">
        <f ca="1">IFERROR(__xludf.DUMMYFUNCTION("""COMPUTED_VALUE"""),1)</f>
        <v>1</v>
      </c>
      <c r="Y684" s="12" t="str">
        <f ca="1">IFERROR(__xludf.DUMMYFUNCTION("""COMPUTED_VALUE"""),"Relative of suspended student fired 6 shots during planned fight in front of the school at dismissal")</f>
        <v>Relative of suspended student fired 6 shots during planned fight in front of the school at dismissal</v>
      </c>
      <c r="Z684" s="12" t="str">
        <f ca="1">IFERROR(__xludf.DUMMYFUNCTION("""COMPUTED_VALUE"""),"Police said at 2:40 p.m., six gunshots were fired in what they're calling a planned fight that evolved into a shooting by a 22-year-old male relative of a student suspended earlier in the day. According to police, some students who had been suspended from"&amp;" school earlier in the day on Monday came back, parked on the south side of the school, and then started shooting. ""Looking at the video, we believe this to be a planned after-school fight,"" said Warren Police Captain Charles Rushton.")</f>
        <v>Police said at 2:40 p.m., six gunshots were fired in what they're calling a planned fight that evolved into a shooting by a 22-year-old male relative of a student suspended earlier in the day. According to police, some students who had been suspended from school earlier in the day on Monday came back, parked on the south side of the school, and then started shooting. "Looking at the video, we believe this to be a planned after-school fight," said Warren Police Captain Charles Rushton.</v>
      </c>
      <c r="AA684" s="8" t="str">
        <f ca="1">IFERROR(__xludf.DUMMYFUNCTION("""COMPUTED_VALUE"""),"Escalation of Dispute")</f>
        <v>Escalation of Dispute</v>
      </c>
      <c r="AB684" s="8"/>
      <c r="AC684" s="8" t="str">
        <f ca="1">IFERROR(__xludf.DUMMYFUNCTION("""COMPUTED_VALUE"""),"Yes")</f>
        <v>Yes</v>
      </c>
      <c r="AD684" s="8" t="str">
        <f ca="1">IFERROR(__xludf.DUMMYFUNCTION("""COMPUTED_VALUE"""),"Neither")</f>
        <v>Neither</v>
      </c>
      <c r="AE684" s="8" t="str">
        <f ca="1">IFERROR(__xludf.DUMMYFUNCTION("""COMPUTED_VALUE"""),"No")</f>
        <v>No</v>
      </c>
      <c r="AF684" s="8"/>
      <c r="AG684" s="8" t="str">
        <f ca="1">IFERROR(__xludf.DUMMYFUNCTION("""COMPUTED_VALUE"""),"No")</f>
        <v>No</v>
      </c>
      <c r="AH684" s="8" t="str">
        <f ca="1">IFERROR(__xludf.DUMMYFUNCTION("""COMPUTED_VALUE"""),"No")</f>
        <v>No</v>
      </c>
      <c r="AI684" s="8" t="str">
        <f ca="1">IFERROR(__xludf.DUMMYFUNCTION("""COMPUTED_VALUE"""),"No")</f>
        <v>No</v>
      </c>
      <c r="AJ684" s="8" t="str">
        <f ca="1">IFERROR(__xludf.DUMMYFUNCTION("""COMPUTED_VALUE"""),"No")</f>
        <v>No</v>
      </c>
      <c r="AK684" s="8" t="str">
        <f ca="1">IFERROR(__xludf.DUMMYFUNCTION("""COMPUTED_VALUE"""),"No")</f>
        <v>No</v>
      </c>
      <c r="AL684" s="8"/>
      <c r="AM684" s="8" t="str">
        <f ca="1">IFERROR(__xludf.DUMMYFUNCTION("""COMPUTED_VALUE"""),"No")</f>
        <v>No</v>
      </c>
      <c r="AN684" s="8" t="str">
        <f ca="1">IFERROR(__xludf.DUMMYFUNCTION("""COMPUTED_VALUE"""),"Outside")</f>
        <v>Outside</v>
      </c>
      <c r="AO684" s="8" t="str">
        <f ca="1">IFERROR(__xludf.DUMMYFUNCTION("""COMPUTED_VALUE"""),"No")</f>
        <v>No</v>
      </c>
      <c r="AP684" s="8"/>
      <c r="AQ684" s="8"/>
      <c r="AR684" s="8" t="str">
        <f ca="1">IFERROR(__xludf.DUMMYFUNCTION("""COMPUTED_VALUE"""),"Outside/Off-Property")</f>
        <v>Outside/Off-Property</v>
      </c>
      <c r="AS684" s="8">
        <f ca="1">IFERROR(__xludf.DUMMYFUNCTION("""COMPUTED_VALUE"""),6)</f>
        <v>6</v>
      </c>
      <c r="AT684" s="8"/>
      <c r="AU684" s="8">
        <f ca="1">IFERROR(__xludf.DUMMYFUNCTION("""COMPUTED_VALUE"""),42.522375)</f>
        <v>42.522374999999997</v>
      </c>
      <c r="AV684" s="8">
        <f ca="1">IFERROR(__xludf.DUMMYFUNCTION("""COMPUTED_VALUE"""),-83.067161)</f>
        <v>-83.067160999999999</v>
      </c>
      <c r="AW684" s="8"/>
      <c r="AX684" s="8">
        <f ca="1">IFERROR(__xludf.DUMMYFUNCTION("""COMPUTED_VALUE"""),48092)</f>
        <v>48092</v>
      </c>
    </row>
    <row r="685" spans="1:50" ht="150" x14ac:dyDescent="0.2">
      <c r="A685" s="8" t="str">
        <f ca="1">IFERROR(__xludf.DUMMYFUNCTION("""COMPUTED_VALUE"""),"20230605MARID")</f>
        <v>20230605MARID</v>
      </c>
      <c r="B685" s="8">
        <f ca="1">IFERROR(__xludf.DUMMYFUNCTION("""COMPUTED_VALUE"""),6)</f>
        <v>6</v>
      </c>
      <c r="C685" s="8">
        <f ca="1">IFERROR(__xludf.DUMMYFUNCTION("""COMPUTED_VALUE"""),5)</f>
        <v>5</v>
      </c>
      <c r="D685" s="8">
        <f ca="1">IFERROR(__xludf.DUMMYFUNCTION("""COMPUTED_VALUE"""),2023)</f>
        <v>2023</v>
      </c>
      <c r="E685" s="9">
        <f ca="1">IFERROR(__xludf.DUMMYFUNCTION("""COMPUTED_VALUE"""),45082)</f>
        <v>45082</v>
      </c>
      <c r="F685" s="8" t="str">
        <f ca="1">IFERROR(__xludf.DUMMYFUNCTION("""COMPUTED_VALUE"""),"Richard Murphy School")</f>
        <v>Richard Murphy School</v>
      </c>
      <c r="G685" s="8">
        <f ca="1">IFERROR(__xludf.DUMMYFUNCTION("""COMPUTED_VALUE"""),0)</f>
        <v>0</v>
      </c>
      <c r="H685" s="8">
        <f ca="1">IFERROR(__xludf.DUMMYFUNCTION("""COMPUTED_VALUE"""),0)</f>
        <v>0</v>
      </c>
      <c r="I685" s="8">
        <f ca="1">IFERROR(__xludf.DUMMYFUNCTION("""COMPUTED_VALUE"""),0)</f>
        <v>0</v>
      </c>
      <c r="J685" s="8">
        <f ca="1">IFERROR(__xludf.DUMMYFUNCTION("""COMPUTED_VALUE"""),0)</f>
        <v>0</v>
      </c>
      <c r="K685" s="8" t="str">
        <f ca="1">IFERROR(__xludf.DUMMYFUNCTION("""COMPUTED_VALUE"""),"https://www.boston25news.com/news/local/pellets-shot-dorchester-school-may-be-connected-quincy-traffic-stop-tiktok/FM46TWFOERAOHPEIDK5UQWLCNE/
https://www.necn.com/news/local/someone-shoots-pellet-gun-near-dorchester-school-no-one-hurt/2991716/
https://ww"&amp;"w.nbcboston.com/news/local/someone-shoots-pellet-gun-near-dorchester-school-no-one-hurt/3061297/")</f>
        <v>https://www.boston25news.com/news/local/pellets-shot-dorchester-school-may-be-connected-quincy-traffic-stop-tiktok/FM46TWFOERAOHPEIDK5UQWLCNE/
https://www.necn.com/news/local/someone-shoots-pellet-gun-near-dorchester-school-no-one-hurt/2991716/
https://www.nbcboston.com/news/local/someone-shoots-pellet-gun-near-dorchester-school-no-one-hurt/3061297/</v>
      </c>
      <c r="L685" s="8">
        <f ca="1">IFERROR(__xludf.DUMMYFUNCTION("""COMPUTED_VALUE"""),10)</f>
        <v>10</v>
      </c>
      <c r="M685" s="8" t="str">
        <f ca="1">IFERROR(__xludf.DUMMYFUNCTION("""COMPUTED_VALUE"""),"Regional")</f>
        <v>Regional</v>
      </c>
      <c r="N685" s="8">
        <f ca="1">IFERROR(__xludf.DUMMYFUNCTION("""COMPUTED_VALUE"""),4)</f>
        <v>4</v>
      </c>
      <c r="O685" s="8" t="str">
        <f ca="1">IFERROR(__xludf.DUMMYFUNCTION("""COMPUTED_VALUE"""),"Summer")</f>
        <v>Summer</v>
      </c>
      <c r="P685" s="8" t="str">
        <f ca="1">IFERROR(__xludf.DUMMYFUNCTION("""COMPUTED_VALUE"""),"Dorchester")</f>
        <v>Dorchester</v>
      </c>
      <c r="Q685" s="8" t="str">
        <f ca="1">IFERROR(__xludf.DUMMYFUNCTION("""COMPUTED_VALUE"""),"MA")</f>
        <v>MA</v>
      </c>
      <c r="R685" s="8" t="str">
        <f ca="1">IFERROR(__xludf.DUMMYFUNCTION("""COMPUTED_VALUE"""),"K-8")</f>
        <v>K-8</v>
      </c>
      <c r="S685" s="8" t="str">
        <f ca="1">IFERROR(__xludf.DUMMYFUNCTION("""COMPUTED_VALUE"""),"Playground")</f>
        <v>Playground</v>
      </c>
      <c r="T685" s="8" t="str">
        <f ca="1">IFERROR(__xludf.DUMMYFUNCTION("""COMPUTED_VALUE"""),"Outside on School Property")</f>
        <v>Outside on School Property</v>
      </c>
      <c r="U685" s="8" t="str">
        <f ca="1">IFERROR(__xludf.DUMMYFUNCTION("""COMPUTED_VALUE"""),"Yes")</f>
        <v>Yes</v>
      </c>
      <c r="V685" s="8" t="str">
        <f ca="1">IFERROR(__xludf.DUMMYFUNCTION("""COMPUTED_VALUE"""),"Afternoon Classes")</f>
        <v>Afternoon Classes</v>
      </c>
      <c r="W685" s="11">
        <f ca="1">IFERROR(__xludf.DUMMYFUNCTION("""COMPUTED_VALUE"""),0.583333333333333)</f>
        <v>0.58333333333333304</v>
      </c>
      <c r="X685" s="8">
        <f ca="1">IFERROR(__xludf.DUMMYFUNCTION("""COMPUTED_VALUE"""),1)</f>
        <v>1</v>
      </c>
      <c r="Y685" s="12" t="str">
        <f ca="1">IFERROR(__xludf.DUMMYFUNCTION("""COMPUTED_VALUE"""),"Multiple pellets fired at school playground during afternoon classes")</f>
        <v>Multiple pellets fired at school playground during afternoon classes</v>
      </c>
      <c r="Z685" s="12" t="str">
        <f ca="1">IFERROR(__xludf.DUMMYFUNCTION("""COMPUTED_VALUE"""),"School staff were notified Monday afternoon that someone ""discharged what appeared to be pellets from a pellet gun, which were found near the perimeter of school grounds by members of the school community,"" Principal of the Richard Murphy School Courtne"&amp;"y Sheppeck wrote in her letter to the school community, adding that no students or staff were hurt during the incident. Boston Public Schools Safety Services was notified by school staff, and an investigation is ongoing. The letter noted that the person w"&amp;"ho apparently shot the pellet gun is unknown to the district.")</f>
        <v>School staff were notified Monday afternoon that someone "discharged what appeared to be pellets from a pellet gun, which were found near the perimeter of school grounds by members of the school community," Principal of the Richard Murphy School Courtney Sheppeck wrote in her letter to the school community, adding that no students or staff were hurt during the incident. Boston Public Schools Safety Services was notified by school staff, and an investigation is ongoing. The letter noted that the person who apparently shot the pellet gun is unknown to the district.</v>
      </c>
      <c r="AA685" s="8" t="str">
        <f ca="1">IFERROR(__xludf.DUMMYFUNCTION("""COMPUTED_VALUE"""),"Drive-by Shooting")</f>
        <v>Drive-by Shooting</v>
      </c>
      <c r="AB685" s="8"/>
      <c r="AC685" s="8" t="str">
        <f ca="1">IFERROR(__xludf.DUMMYFUNCTION("""COMPUTED_VALUE"""),"Yes")</f>
        <v>Yes</v>
      </c>
      <c r="AD685" s="8" t="str">
        <f ca="1">IFERROR(__xludf.DUMMYFUNCTION("""COMPUTED_VALUE"""),"Random Shooting")</f>
        <v>Random Shooting</v>
      </c>
      <c r="AE685" s="8" t="str">
        <f ca="1">IFERROR(__xludf.DUMMYFUNCTION("""COMPUTED_VALUE"""),"No")</f>
        <v>No</v>
      </c>
      <c r="AF685" s="8"/>
      <c r="AG685" s="8" t="str">
        <f ca="1">IFERROR(__xludf.DUMMYFUNCTION("""COMPUTED_VALUE"""),"No")</f>
        <v>No</v>
      </c>
      <c r="AH685" s="8" t="str">
        <f ca="1">IFERROR(__xludf.DUMMYFUNCTION("""COMPUTED_VALUE"""),"No")</f>
        <v>No</v>
      </c>
      <c r="AI685" s="8" t="str">
        <f ca="1">IFERROR(__xludf.DUMMYFUNCTION("""COMPUTED_VALUE"""),"No")</f>
        <v>No</v>
      </c>
      <c r="AJ685" s="8" t="str">
        <f ca="1">IFERROR(__xludf.DUMMYFUNCTION("""COMPUTED_VALUE"""),"No")</f>
        <v>No</v>
      </c>
      <c r="AK685" s="8" t="str">
        <f ca="1">IFERROR(__xludf.DUMMYFUNCTION("""COMPUTED_VALUE"""),"No")</f>
        <v>No</v>
      </c>
      <c r="AL685" s="8" t="str">
        <f ca="1">IFERROR(__xludf.DUMMYFUNCTION("""COMPUTED_VALUE"""),"No")</f>
        <v>No</v>
      </c>
      <c r="AM685" s="8" t="str">
        <f ca="1">IFERROR(__xludf.DUMMYFUNCTION("""COMPUTED_VALUE"""),"No")</f>
        <v>No</v>
      </c>
      <c r="AN685" s="8" t="str">
        <f ca="1">IFERROR(__xludf.DUMMYFUNCTION("""COMPUTED_VALUE"""),"Outside")</f>
        <v>Outside</v>
      </c>
      <c r="AO685" s="8" t="str">
        <f ca="1">IFERROR(__xludf.DUMMYFUNCTION("""COMPUTED_VALUE"""),"No")</f>
        <v>No</v>
      </c>
      <c r="AP685" s="8"/>
      <c r="AQ685" s="8"/>
      <c r="AR685" s="8" t="str">
        <f ca="1">IFERROR(__xludf.DUMMYFUNCTION("""COMPUTED_VALUE"""),"Outside/Off-Property")</f>
        <v>Outside/Off-Property</v>
      </c>
      <c r="AS685" s="8">
        <f ca="1">IFERROR(__xludf.DUMMYFUNCTION("""COMPUTED_VALUE"""),99)</f>
        <v>99</v>
      </c>
      <c r="AT685" s="8" t="str">
        <f ca="1">IFERROR(__xludf.DUMMYFUNCTION("""COMPUTED_VALUE"""),"Yes")</f>
        <v>Yes</v>
      </c>
      <c r="AU685" s="8">
        <f ca="1">IFERROR(__xludf.DUMMYFUNCTION("""COMPUTED_VALUE"""),42.29365)</f>
        <v>42.29365</v>
      </c>
      <c r="AV685" s="8">
        <f ca="1">IFERROR(__xludf.DUMMYFUNCTION("""COMPUTED_VALUE"""),-71.049038)</f>
        <v>-71.049037999999996</v>
      </c>
      <c r="AW685" s="8"/>
      <c r="AX685" s="8">
        <f ca="1">IFERROR(__xludf.DUMMYFUNCTION("""COMPUTED_VALUE"""),2122)</f>
        <v>2122</v>
      </c>
    </row>
    <row r="686" spans="1:50" ht="105" x14ac:dyDescent="0.2">
      <c r="A686" s="8" t="str">
        <f ca="1">IFERROR(__xludf.DUMMYFUNCTION("""COMPUTED_VALUE"""),"20230602MDSAE")</f>
        <v>20230602MDSAE</v>
      </c>
      <c r="B686" s="8">
        <f ca="1">IFERROR(__xludf.DUMMYFUNCTION("""COMPUTED_VALUE"""),6)</f>
        <v>6</v>
      </c>
      <c r="C686" s="8">
        <f ca="1">IFERROR(__xludf.DUMMYFUNCTION("""COMPUTED_VALUE"""),2)</f>
        <v>2</v>
      </c>
      <c r="D686" s="8">
        <f ca="1">IFERROR(__xludf.DUMMYFUNCTION("""COMPUTED_VALUE"""),2023)</f>
        <v>2023</v>
      </c>
      <c r="E686" s="9">
        <f ca="1">IFERROR(__xludf.DUMMYFUNCTION("""COMPUTED_VALUE"""),45079)</f>
        <v>45079</v>
      </c>
      <c r="F686" s="8" t="str">
        <f ca="1">IFERROR(__xludf.DUMMYFUNCTION("""COMPUTED_VALUE"""),"Sandalwood Elementary School")</f>
        <v>Sandalwood Elementary School</v>
      </c>
      <c r="G686" s="8">
        <f ca="1">IFERROR(__xludf.DUMMYFUNCTION("""COMPUTED_VALUE"""),0)</f>
        <v>0</v>
      </c>
      <c r="H686" s="8">
        <f ca="1">IFERROR(__xludf.DUMMYFUNCTION("""COMPUTED_VALUE"""),2)</f>
        <v>2</v>
      </c>
      <c r="I686" s="8">
        <f ca="1">IFERROR(__xludf.DUMMYFUNCTION("""COMPUTED_VALUE"""),2)</f>
        <v>2</v>
      </c>
      <c r="J686" s="8">
        <f ca="1">IFERROR(__xludf.DUMMYFUNCTION("""COMPUTED_VALUE"""),0)</f>
        <v>0</v>
      </c>
      <c r="K686" s="8" t="str">
        <f ca="1">IFERROR(__xludf.DUMMYFUNCTION("""COMPUTED_VALUE"""),"https://foxbaltimore.com/news/local/2-juveniles-shot-in-essex-friday-now-facing-adult-charges-for-shooting-each-other-south-marlyn-ave-attempted-murder-firearm-felony-crime-violence-isolated-incident
https://foxbaltimore.com/news/local/baltimore-county-po"&amp;"lice-investigate-shooting-in-essex
https://www.wbaltv.com/article/essex-shooting-marlyn-avenue-baltimore-county/44081500#")</f>
        <v>https://foxbaltimore.com/news/local/2-juveniles-shot-in-essex-friday-now-facing-adult-charges-for-shooting-each-other-south-marlyn-ave-attempted-murder-firearm-felony-crime-violence-isolated-incident
https://foxbaltimore.com/news/local/baltimore-county-police-investigate-shooting-in-essex
https://www.wbaltv.com/article/essex-shooting-marlyn-avenue-baltimore-county/44081500#</v>
      </c>
      <c r="L686" s="8">
        <f ca="1">IFERROR(__xludf.DUMMYFUNCTION("""COMPUTED_VALUE"""),2)</f>
        <v>2</v>
      </c>
      <c r="M686" s="8" t="str">
        <f ca="1">IFERROR(__xludf.DUMMYFUNCTION("""COMPUTED_VALUE"""),"Local")</f>
        <v>Local</v>
      </c>
      <c r="N686" s="8">
        <f ca="1">IFERROR(__xludf.DUMMYFUNCTION("""COMPUTED_VALUE"""),3)</f>
        <v>3</v>
      </c>
      <c r="O686" s="8" t="str">
        <f ca="1">IFERROR(__xludf.DUMMYFUNCTION("""COMPUTED_VALUE"""),"Summer")</f>
        <v>Summer</v>
      </c>
      <c r="P686" s="8" t="str">
        <f ca="1">IFERROR(__xludf.DUMMYFUNCTION("""COMPUTED_VALUE"""),"Essex")</f>
        <v>Essex</v>
      </c>
      <c r="Q686" s="8" t="str">
        <f ca="1">IFERROR(__xludf.DUMMYFUNCTION("""COMPUTED_VALUE"""),"MD")</f>
        <v>MD</v>
      </c>
      <c r="R686" s="8" t="str">
        <f ca="1">IFERROR(__xludf.DUMMYFUNCTION("""COMPUTED_VALUE"""),"Elementary")</f>
        <v>Elementary</v>
      </c>
      <c r="S686" s="8" t="str">
        <f ca="1">IFERROR(__xludf.DUMMYFUNCTION("""COMPUTED_VALUE"""),"Front of School")</f>
        <v>Front of School</v>
      </c>
      <c r="T686" s="8" t="str">
        <f ca="1">IFERROR(__xludf.DUMMYFUNCTION("""COMPUTED_VALUE"""),"Outside on School Property")</f>
        <v>Outside on School Property</v>
      </c>
      <c r="U686" s="8" t="str">
        <f ca="1">IFERROR(__xludf.DUMMYFUNCTION("""COMPUTED_VALUE"""),"No")</f>
        <v>No</v>
      </c>
      <c r="V686" s="8" t="str">
        <f ca="1">IFERROR(__xludf.DUMMYFUNCTION("""COMPUTED_VALUE"""),"Evening")</f>
        <v>Evening</v>
      </c>
      <c r="W686" s="11">
        <f ca="1">IFERROR(__xludf.DUMMYFUNCTION("""COMPUTED_VALUE"""),0.840277777777777)</f>
        <v>0.84027777777777701</v>
      </c>
      <c r="X686" s="8">
        <f ca="1">IFERROR(__xludf.DUMMYFUNCTION("""COMPUTED_VALUE"""),1)</f>
        <v>1</v>
      </c>
      <c r="Y686" s="12" t="str">
        <f ca="1">IFERROR(__xludf.DUMMYFUNCTION("""COMPUTED_VALUE"""),"Two juveniles shot each other during fight in front of elementary school")</f>
        <v>Two juveniles shot each other during fight in front of elementary school</v>
      </c>
      <c r="Z686" s="12" t="str">
        <f ca="1">IFERROR(__xludf.DUMMYFUNCTION("""COMPUTED_VALUE"""),"Baltimore County police said two juveniles shot each other during fight. Both were transported to a local hospital. At around 8:10 p.m., officers responded to the 900 block of South Marlyn Avenue, according to police. Crime scene tape was visible at both "&amp;"the Royal Farms and Sandalwood Elementary School across the street. No other information was immediately available.")</f>
        <v>Baltimore County police said two juveniles shot each other during fight. Both were transported to a local hospital. At around 8:10 p.m., officers responded to the 900 block of South Marlyn Avenue, according to police. Crime scene tape was visible at both the Royal Farms and Sandalwood Elementary School across the street. No other information was immediately available.</v>
      </c>
      <c r="AA686" s="8" t="str">
        <f ca="1">IFERROR(__xludf.DUMMYFUNCTION("""COMPUTED_VALUE"""),"Escalation of Dispute")</f>
        <v>Escalation of Dispute</v>
      </c>
      <c r="AB686" s="8"/>
      <c r="AC686" s="8" t="str">
        <f ca="1">IFERROR(__xludf.DUMMYFUNCTION("""COMPUTED_VALUE"""),"No")</f>
        <v>No</v>
      </c>
      <c r="AD686" s="8" t="str">
        <f ca="1">IFERROR(__xludf.DUMMYFUNCTION("""COMPUTED_VALUE"""),"Victims Targeted")</f>
        <v>Victims Targeted</v>
      </c>
      <c r="AE686" s="8" t="str">
        <f ca="1">IFERROR(__xludf.DUMMYFUNCTION("""COMPUTED_VALUE"""),"No")</f>
        <v>No</v>
      </c>
      <c r="AF686" s="8"/>
      <c r="AG686" s="8" t="str">
        <f ca="1">IFERROR(__xludf.DUMMYFUNCTION("""COMPUTED_VALUE"""),"No")</f>
        <v>No</v>
      </c>
      <c r="AH686" s="8" t="str">
        <f ca="1">IFERROR(__xludf.DUMMYFUNCTION("""COMPUTED_VALUE"""),"No")</f>
        <v>No</v>
      </c>
      <c r="AI686" s="8" t="str">
        <f ca="1">IFERROR(__xludf.DUMMYFUNCTION("""COMPUTED_VALUE"""),"No")</f>
        <v>No</v>
      </c>
      <c r="AJ686" s="8" t="str">
        <f ca="1">IFERROR(__xludf.DUMMYFUNCTION("""COMPUTED_VALUE"""),"No")</f>
        <v>No</v>
      </c>
      <c r="AK686" s="8" t="str">
        <f ca="1">IFERROR(__xludf.DUMMYFUNCTION("""COMPUTED_VALUE"""),"No")</f>
        <v>No</v>
      </c>
      <c r="AL686" s="8"/>
      <c r="AM686" s="8" t="str">
        <f ca="1">IFERROR(__xludf.DUMMYFUNCTION("""COMPUTED_VALUE"""),"No")</f>
        <v>No</v>
      </c>
      <c r="AN686" s="8" t="str">
        <f ca="1">IFERROR(__xludf.DUMMYFUNCTION("""COMPUTED_VALUE"""),"Outside")</f>
        <v>Outside</v>
      </c>
      <c r="AO686" s="8" t="str">
        <f ca="1">IFERROR(__xludf.DUMMYFUNCTION("""COMPUTED_VALUE"""),"No")</f>
        <v>No</v>
      </c>
      <c r="AP686" s="8"/>
      <c r="AQ686" s="8"/>
      <c r="AR686" s="8" t="str">
        <f ca="1">IFERROR(__xludf.DUMMYFUNCTION("""COMPUTED_VALUE"""),"Outside/Off-Property")</f>
        <v>Outside/Off-Property</v>
      </c>
      <c r="AS686" s="8">
        <f ca="1">IFERROR(__xludf.DUMMYFUNCTION("""COMPUTED_VALUE"""),99)</f>
        <v>99</v>
      </c>
      <c r="AT686" s="8"/>
      <c r="AU686" s="8">
        <f ca="1">IFERROR(__xludf.DUMMYFUNCTION("""COMPUTED_VALUE"""),39.294622)</f>
        <v>39.294621999999997</v>
      </c>
      <c r="AV686" s="8">
        <f ca="1">IFERROR(__xludf.DUMMYFUNCTION("""COMPUTED_VALUE"""),-76.457347)</f>
        <v>-76.457346999999999</v>
      </c>
      <c r="AW686" s="8"/>
      <c r="AX686" s="8">
        <f ca="1">IFERROR(__xludf.DUMMYFUNCTION("""COMPUTED_VALUE"""),21221)</f>
        <v>21221</v>
      </c>
    </row>
    <row r="687" spans="1:50" ht="135" x14ac:dyDescent="0.2">
      <c r="A687" s="8" t="str">
        <f ca="1">IFERROR(__xludf.DUMMYFUNCTION("""COMPUTED_VALUE"""),"20230602MAWOW")</f>
        <v>20230602MAWOW</v>
      </c>
      <c r="B687" s="8">
        <f ca="1">IFERROR(__xludf.DUMMYFUNCTION("""COMPUTED_VALUE"""),6)</f>
        <v>6</v>
      </c>
      <c r="C687" s="8">
        <f ca="1">IFERROR(__xludf.DUMMYFUNCTION("""COMPUTED_VALUE"""),2)</f>
        <v>2</v>
      </c>
      <c r="D687" s="8">
        <f ca="1">IFERROR(__xludf.DUMMYFUNCTION("""COMPUTED_VALUE"""),2023)</f>
        <v>2023</v>
      </c>
      <c r="E687" s="9">
        <f ca="1">IFERROR(__xludf.DUMMYFUNCTION("""COMPUTED_VALUE"""),45079)</f>
        <v>45079</v>
      </c>
      <c r="F687" s="8" t="str">
        <f ca="1">IFERROR(__xludf.DUMMYFUNCTION("""COMPUTED_VALUE"""),"Worcester Technical High School")</f>
        <v>Worcester Technical High School</v>
      </c>
      <c r="G687" s="8">
        <f ca="1">IFERROR(__xludf.DUMMYFUNCTION("""COMPUTED_VALUE"""),0)</f>
        <v>0</v>
      </c>
      <c r="H687" s="8">
        <f ca="1">IFERROR(__xludf.DUMMYFUNCTION("""COMPUTED_VALUE"""),1)</f>
        <v>1</v>
      </c>
      <c r="I687" s="8">
        <f ca="1">IFERROR(__xludf.DUMMYFUNCTION("""COMPUTED_VALUE"""),1)</f>
        <v>1</v>
      </c>
      <c r="J687" s="8">
        <f ca="1">IFERROR(__xludf.DUMMYFUNCTION("""COMPUTED_VALUE"""),0)</f>
        <v>0</v>
      </c>
      <c r="K687" s="8" t="str">
        <f ca="1">IFERROR(__xludf.DUMMYFUNCTION("""COMPUTED_VALUE"""),"https://www.nbcboston.com/news/local/shooting-on-worcester-tech-high-school-property-leaves-man-wounded-overnight/3059197/
https://www.worcesterma.gov/police/press-releases/wpd-detectives-investigate-early-morning-shooting#idTy59ksaJ6q4z8Kux_yr0aQ")</f>
        <v>https://www.nbcboston.com/news/local/shooting-on-worcester-tech-high-school-property-leaves-man-wounded-overnight/3059197/
https://www.worcesterma.gov/police/press-releases/wpd-detectives-investigate-early-morning-shooting#idTy59ksaJ6q4z8Kux_yr0aQ</v>
      </c>
      <c r="L687" s="8">
        <f ca="1">IFERROR(__xludf.DUMMYFUNCTION("""COMPUTED_VALUE"""),5)</f>
        <v>5</v>
      </c>
      <c r="M687" s="8" t="str">
        <f ca="1">IFERROR(__xludf.DUMMYFUNCTION("""COMPUTED_VALUE"""),"Regional")</f>
        <v>Regional</v>
      </c>
      <c r="N687" s="8">
        <f ca="1">IFERROR(__xludf.DUMMYFUNCTION("""COMPUTED_VALUE"""),5)</f>
        <v>5</v>
      </c>
      <c r="O687" s="8" t="str">
        <f ca="1">IFERROR(__xludf.DUMMYFUNCTION("""COMPUTED_VALUE"""),"Summer")</f>
        <v>Summer</v>
      </c>
      <c r="P687" s="8" t="str">
        <f ca="1">IFERROR(__xludf.DUMMYFUNCTION("""COMPUTED_VALUE"""),"Worcester")</f>
        <v>Worcester</v>
      </c>
      <c r="Q687" s="8" t="str">
        <f ca="1">IFERROR(__xludf.DUMMYFUNCTION("""COMPUTED_VALUE"""),"MA")</f>
        <v>MA</v>
      </c>
      <c r="R687" s="8" t="str">
        <f ca="1">IFERROR(__xludf.DUMMYFUNCTION("""COMPUTED_VALUE"""),"High")</f>
        <v>High</v>
      </c>
      <c r="S687" s="8" t="str">
        <f ca="1">IFERROR(__xludf.DUMMYFUNCTION("""COMPUTED_VALUE"""),"Outside on School Property")</f>
        <v>Outside on School Property</v>
      </c>
      <c r="T687" s="8" t="str">
        <f ca="1">IFERROR(__xludf.DUMMYFUNCTION("""COMPUTED_VALUE"""),"Outside on School Property")</f>
        <v>Outside on School Property</v>
      </c>
      <c r="U687" s="8" t="str">
        <f ca="1">IFERROR(__xludf.DUMMYFUNCTION("""COMPUTED_VALUE"""),"No")</f>
        <v>No</v>
      </c>
      <c r="V687" s="8" t="str">
        <f ca="1">IFERROR(__xludf.DUMMYFUNCTION("""COMPUTED_VALUE"""),"Night")</f>
        <v>Night</v>
      </c>
      <c r="W687" s="11">
        <f ca="1">IFERROR(__xludf.DUMMYFUNCTION("""COMPUTED_VALUE"""),0.131944444444444)</f>
        <v>0.131944444444444</v>
      </c>
      <c r="X687" s="8">
        <f ca="1">IFERROR(__xludf.DUMMYFUNCTION("""COMPUTED_VALUE"""),1)</f>
        <v>1</v>
      </c>
      <c r="Y687" s="12" t="str">
        <f ca="1">IFERROR(__xludf.DUMMYFUNCTION("""COMPUTED_VALUE"""),"Man shot outside school")</f>
        <v>Man shot outside school</v>
      </c>
      <c r="Z687" s="12" t="str">
        <f ca="1">IFERROR(__xludf.DUMMYFUNCTION("""COMPUTED_VALUE"""),"On June 2nd 2023 at about 3:10 AM, Worcester Police officers were dispatched to the property of Worcester Technical High School for a report of a ShotSpotter activation. Upon arrival, officers located a twenty-two-year-old male shooting victim. He was tre"&amp;"ated medically and transported to the hospital with non-life-threatening injuries. Detectives arrived to investigate and process the scene. At this time, it appears that no one involved in this incident had any affiliation with the school.")</f>
        <v>On June 2nd 2023 at about 3:10 AM, Worcester Police officers were dispatched to the property of Worcester Technical High School for a report of a ShotSpotter activation. Upon arrival, officers located a twenty-two-year-old male shooting victim. He was treated medically and transported to the hospital with non-life-threatening injuries. Detectives arrived to investigate and process the scene. At this time, it appears that no one involved in this incident had any affiliation with the school.</v>
      </c>
      <c r="AA687" s="8"/>
      <c r="AB687" s="8"/>
      <c r="AC687" s="8" t="str">
        <f ca="1">IFERROR(__xludf.DUMMYFUNCTION("""COMPUTED_VALUE"""),"No")</f>
        <v>No</v>
      </c>
      <c r="AD687" s="8" t="str">
        <f ca="1">IFERROR(__xludf.DUMMYFUNCTION("""COMPUTED_VALUE"""),"Victims Targeted")</f>
        <v>Victims Targeted</v>
      </c>
      <c r="AE687" s="8"/>
      <c r="AF687" s="8"/>
      <c r="AG687" s="8" t="str">
        <f ca="1">IFERROR(__xludf.DUMMYFUNCTION("""COMPUTED_VALUE"""),"No")</f>
        <v>No</v>
      </c>
      <c r="AH687" s="8" t="str">
        <f ca="1">IFERROR(__xludf.DUMMYFUNCTION("""COMPUTED_VALUE"""),"No")</f>
        <v>No</v>
      </c>
      <c r="AI687" s="8" t="str">
        <f ca="1">IFERROR(__xludf.DUMMYFUNCTION("""COMPUTED_VALUE"""),"No")</f>
        <v>No</v>
      </c>
      <c r="AJ687" s="8" t="str">
        <f ca="1">IFERROR(__xludf.DUMMYFUNCTION("""COMPUTED_VALUE"""),"No")</f>
        <v>No</v>
      </c>
      <c r="AK687" s="8" t="str">
        <f ca="1">IFERROR(__xludf.DUMMYFUNCTION("""COMPUTED_VALUE"""),"No")</f>
        <v>No</v>
      </c>
      <c r="AL687" s="8"/>
      <c r="AM687" s="8" t="str">
        <f ca="1">IFERROR(__xludf.DUMMYFUNCTION("""COMPUTED_VALUE"""),"No")</f>
        <v>No</v>
      </c>
      <c r="AN687" s="8" t="str">
        <f ca="1">IFERROR(__xludf.DUMMYFUNCTION("""COMPUTED_VALUE"""),"Outside")</f>
        <v>Outside</v>
      </c>
      <c r="AO687" s="8" t="str">
        <f ca="1">IFERROR(__xludf.DUMMYFUNCTION("""COMPUTED_VALUE"""),"No")</f>
        <v>No</v>
      </c>
      <c r="AP687" s="8"/>
      <c r="AQ687" s="8"/>
      <c r="AR687" s="8" t="str">
        <f ca="1">IFERROR(__xludf.DUMMYFUNCTION("""COMPUTED_VALUE"""),"Outside/Off-Property")</f>
        <v>Outside/Off-Property</v>
      </c>
      <c r="AS687" s="8">
        <f ca="1">IFERROR(__xludf.DUMMYFUNCTION("""COMPUTED_VALUE"""),99)</f>
        <v>99</v>
      </c>
      <c r="AT687" s="8"/>
      <c r="AU687" s="8">
        <f ca="1">IFERROR(__xludf.DUMMYFUNCTION("""COMPUTED_VALUE"""),42.276768)</f>
        <v>42.276767999999997</v>
      </c>
      <c r="AV687" s="8">
        <f ca="1">IFERROR(__xludf.DUMMYFUNCTION("""COMPUTED_VALUE"""),-71.778104)</f>
        <v>-71.778103999999999</v>
      </c>
      <c r="AW687" s="8"/>
      <c r="AX687" s="8">
        <f ca="1">IFERROR(__xludf.DUMMYFUNCTION("""COMPUTED_VALUE"""),1604)</f>
        <v>1604</v>
      </c>
    </row>
    <row r="688" spans="1:50" ht="180" x14ac:dyDescent="0.2">
      <c r="A688" s="8" t="str">
        <f ca="1">IFERROR(__xludf.DUMMYFUNCTION("""COMPUTED_VALUE"""),"20230601TXCAF")</f>
        <v>20230601TXCAF</v>
      </c>
      <c r="B688" s="8">
        <f ca="1">IFERROR(__xludf.DUMMYFUNCTION("""COMPUTED_VALUE"""),6)</f>
        <v>6</v>
      </c>
      <c r="C688" s="8">
        <f ca="1">IFERROR(__xludf.DUMMYFUNCTION("""COMPUTED_VALUE"""),1)</f>
        <v>1</v>
      </c>
      <c r="D688" s="8">
        <f ca="1">IFERROR(__xludf.DUMMYFUNCTION("""COMPUTED_VALUE"""),2023)</f>
        <v>2023</v>
      </c>
      <c r="E688" s="9">
        <f ca="1">IFERROR(__xludf.DUMMYFUNCTION("""COMPUTED_VALUE"""),45078)</f>
        <v>45078</v>
      </c>
      <c r="F688" s="8" t="str">
        <f ca="1">IFERROR(__xludf.DUMMYFUNCTION("""COMPUTED_VALUE"""),"Carroll Peak Elementary School")</f>
        <v>Carroll Peak Elementary School</v>
      </c>
      <c r="G688" s="8">
        <f ca="1">IFERROR(__xludf.DUMMYFUNCTION("""COMPUTED_VALUE"""),0)</f>
        <v>0</v>
      </c>
      <c r="H688" s="8">
        <f ca="1">IFERROR(__xludf.DUMMYFUNCTION("""COMPUTED_VALUE"""),1)</f>
        <v>1</v>
      </c>
      <c r="I688" s="8">
        <f ca="1">IFERROR(__xludf.DUMMYFUNCTION("""COMPUTED_VALUE"""),1)</f>
        <v>1</v>
      </c>
      <c r="J688" s="8">
        <f ca="1">IFERROR(__xludf.DUMMYFUNCTION("""COMPUTED_VALUE"""),0)</f>
        <v>0</v>
      </c>
      <c r="K688" s="10" t="str">
        <f ca="1">IFERROR(__xludf.DUMMYFUNCTION("""COMPUTED_VALUE"""),"https://news.yahoo.com/fort-worth-man-shot-near-012048702.html?guccounter=1&amp;guce_referrer=aHR0cHM6Ly93d3cuZ29vZ2xlLmNvbS8&amp;guce_referrer_sig=AQAAABJIcvttMv8xsAuRvsDxvk35jWdjY6pydSEBlBolFEbIzh1dkmrLAxX9HfNybnJR3OW0lC-1BPWz6WzO3b_mG1CxdvT7iB5WrdNqIpVp3sfAUnL"&amp;"gQuIZJ28DaLsqlZr_MlZ7YEXAaBSoCykD4i9KuC0sPwZD4jlwrSXELIDqY4fX")</f>
        <v>https://news.yahoo.com/fort-worth-man-shot-near-012048702.html?guccounter=1&amp;guce_referrer=aHR0cHM6Ly93d3cuZ29vZ2xlLmNvbS8&amp;guce_referrer_sig=AQAAABJIcvttMv8xsAuRvsDxvk35jWdjY6pydSEBlBolFEbIzh1dkmrLAxX9HfNybnJR3OW0lC-1BPWz6WzO3b_mG1CxdvT7iB5WrdNqIpVp3sfAUnLgQuIZJ28DaLsqlZr_MlZ7YEXAaBSoCykD4i9KuC0sPwZD4jlwrSXELIDqY4fX</v>
      </c>
      <c r="L688" s="8">
        <f ca="1">IFERROR(__xludf.DUMMYFUNCTION("""COMPUTED_VALUE"""),1)</f>
        <v>1</v>
      </c>
      <c r="M688" s="8" t="str">
        <f ca="1">IFERROR(__xludf.DUMMYFUNCTION("""COMPUTED_VALUE"""),"National")</f>
        <v>National</v>
      </c>
      <c r="N688" s="8">
        <f ca="1">IFERROR(__xludf.DUMMYFUNCTION("""COMPUTED_VALUE"""),3)</f>
        <v>3</v>
      </c>
      <c r="O688" s="8" t="str">
        <f ca="1">IFERROR(__xludf.DUMMYFUNCTION("""COMPUTED_VALUE"""),"Summer")</f>
        <v>Summer</v>
      </c>
      <c r="P688" s="8" t="str">
        <f ca="1">IFERROR(__xludf.DUMMYFUNCTION("""COMPUTED_VALUE"""),"Fort Worth")</f>
        <v>Fort Worth</v>
      </c>
      <c r="Q688" s="8" t="str">
        <f ca="1">IFERROR(__xludf.DUMMYFUNCTION("""COMPUTED_VALUE"""),"TX")</f>
        <v>TX</v>
      </c>
      <c r="R688" s="8" t="str">
        <f ca="1">IFERROR(__xludf.DUMMYFUNCTION("""COMPUTED_VALUE"""),"Elementary")</f>
        <v>Elementary</v>
      </c>
      <c r="S688" s="8" t="str">
        <f ca="1">IFERROR(__xludf.DUMMYFUNCTION("""COMPUTED_VALUE"""),"Outside on School Property")</f>
        <v>Outside on School Property</v>
      </c>
      <c r="T688" s="8" t="str">
        <f ca="1">IFERROR(__xludf.DUMMYFUNCTION("""COMPUTED_VALUE"""),"Outside on School Property")</f>
        <v>Outside on School Property</v>
      </c>
      <c r="U688" s="8" t="str">
        <f ca="1">IFERROR(__xludf.DUMMYFUNCTION("""COMPUTED_VALUE"""),"No")</f>
        <v>No</v>
      </c>
      <c r="V688" s="8" t="str">
        <f ca="1">IFERROR(__xludf.DUMMYFUNCTION("""COMPUTED_VALUE"""),"Evening")</f>
        <v>Evening</v>
      </c>
      <c r="W688" s="11">
        <f ca="1">IFERROR(__xludf.DUMMYFUNCTION("""COMPUTED_VALUE"""),0.777777777777777)</f>
        <v>0.77777777777777701</v>
      </c>
      <c r="X688" s="8">
        <f ca="1">IFERROR(__xludf.DUMMYFUNCTION("""COMPUTED_VALUE"""),1)</f>
        <v>1</v>
      </c>
      <c r="Y688" s="12" t="str">
        <f ca="1">IFERROR(__xludf.DUMMYFUNCTION("""COMPUTED_VALUE"""),"Bystander man shot during fight between two men at the school")</f>
        <v>Bystander man shot during fight between two men at the school</v>
      </c>
      <c r="Z688" s="12" t="str">
        <f ca="1">IFERROR(__xludf.DUMMYFUNCTION("""COMPUTED_VALUE"""),"A bystander was shot and taken to a hospital after one of two people who got into a dispute near an elementary school fired a gun, according to the Fort Worth Police Department. On Thursday at about 6:40 p.m., police responded to a hospital about a man wh"&amp;"o had arrived in a private vehicle and was in need of treatment for a gunshot wound. Officers found the man had suffered a gunshot wound to his left leg. The man told police that the shooting happened near Carroll Peak Elementary School, at 1201 E. Jeffer"&amp;"son Ave. He said that two unidentified people had begun fighting with each other on the school grounds when one took out a gun and fired it, hitting the victim in his calf.")</f>
        <v>A bystander was shot and taken to a hospital after one of two people who got into a dispute near an elementary school fired a gun, according to the Fort Worth Police Department. On Thursday at about 6:40 p.m., police responded to a hospital about a man who had arrived in a private vehicle and was in need of treatment for a gunshot wound. Officers found the man had suffered a gunshot wound to his left leg. The man told police that the shooting happened near Carroll Peak Elementary School, at 1201 E. Jefferson Ave. He said that two unidentified people had begun fighting with each other on the school grounds when one took out a gun and fired it, hitting the victim in his calf.</v>
      </c>
      <c r="AA688" s="8" t="str">
        <f ca="1">IFERROR(__xludf.DUMMYFUNCTION("""COMPUTED_VALUE"""),"Escalation of Dispute")</f>
        <v>Escalation of Dispute</v>
      </c>
      <c r="AB688" s="8"/>
      <c r="AC688" s="8" t="str">
        <f ca="1">IFERROR(__xludf.DUMMYFUNCTION("""COMPUTED_VALUE"""),"No")</f>
        <v>No</v>
      </c>
      <c r="AD688" s="8" t="str">
        <f ca="1">IFERROR(__xludf.DUMMYFUNCTION("""COMPUTED_VALUE"""),"Both")</f>
        <v>Both</v>
      </c>
      <c r="AE688" s="8" t="str">
        <f ca="1">IFERROR(__xludf.DUMMYFUNCTION("""COMPUTED_VALUE"""),"No")</f>
        <v>No</v>
      </c>
      <c r="AF688" s="8"/>
      <c r="AG688" s="8" t="str">
        <f ca="1">IFERROR(__xludf.DUMMYFUNCTION("""COMPUTED_VALUE"""),"No")</f>
        <v>No</v>
      </c>
      <c r="AH688" s="8" t="str">
        <f ca="1">IFERROR(__xludf.DUMMYFUNCTION("""COMPUTED_VALUE"""),"No")</f>
        <v>No</v>
      </c>
      <c r="AI688" s="8" t="str">
        <f ca="1">IFERROR(__xludf.DUMMYFUNCTION("""COMPUTED_VALUE"""),"No")</f>
        <v>No</v>
      </c>
      <c r="AJ688" s="8" t="str">
        <f ca="1">IFERROR(__xludf.DUMMYFUNCTION("""COMPUTED_VALUE"""),"No")</f>
        <v>No</v>
      </c>
      <c r="AK688" s="8" t="str">
        <f ca="1">IFERROR(__xludf.DUMMYFUNCTION("""COMPUTED_VALUE"""),"No")</f>
        <v>No</v>
      </c>
      <c r="AL688" s="8" t="str">
        <f ca="1">IFERROR(__xludf.DUMMYFUNCTION("""COMPUTED_VALUE"""),"No")</f>
        <v>No</v>
      </c>
      <c r="AM688" s="8" t="str">
        <f ca="1">IFERROR(__xludf.DUMMYFUNCTION("""COMPUTED_VALUE"""),"No")</f>
        <v>No</v>
      </c>
      <c r="AN688" s="8" t="str">
        <f ca="1">IFERROR(__xludf.DUMMYFUNCTION("""COMPUTED_VALUE"""),"Outside")</f>
        <v>Outside</v>
      </c>
      <c r="AO688" s="8" t="str">
        <f ca="1">IFERROR(__xludf.DUMMYFUNCTION("""COMPUTED_VALUE"""),"No")</f>
        <v>No</v>
      </c>
      <c r="AP688" s="8"/>
      <c r="AQ688" s="8"/>
      <c r="AR688" s="8" t="str">
        <f ca="1">IFERROR(__xludf.DUMMYFUNCTION("""COMPUTED_VALUE"""),"Outside/Off-Property")</f>
        <v>Outside/Off-Property</v>
      </c>
      <c r="AS688" s="8">
        <f ca="1">IFERROR(__xludf.DUMMYFUNCTION("""COMPUTED_VALUE"""),99)</f>
        <v>99</v>
      </c>
      <c r="AT688" s="8" t="str">
        <f ca="1">IFERROR(__xludf.DUMMYFUNCTION("""COMPUTED_VALUE"""),"No")</f>
        <v>No</v>
      </c>
      <c r="AU688" s="8">
        <f ca="1">IFERROR(__xludf.DUMMYFUNCTION("""COMPUTED_VALUE"""),32.724575)</f>
        <v>32.724575000000002</v>
      </c>
      <c r="AV688" s="8">
        <f ca="1">IFERROR(__xludf.DUMMYFUNCTION("""COMPUTED_VALUE"""),-97.310499)</f>
        <v>-97.310498999999993</v>
      </c>
      <c r="AW688" s="8"/>
      <c r="AX688" s="8">
        <f ca="1">IFERROR(__xludf.DUMMYFUNCTION("""COMPUTED_VALUE"""),76104)</f>
        <v>76104</v>
      </c>
    </row>
    <row r="689" spans="1:50" ht="210" x14ac:dyDescent="0.2">
      <c r="A689" s="8" t="str">
        <f ca="1">IFERROR(__xludf.DUMMYFUNCTION("""COMPUTED_VALUE"""),"20230531CABAB")</f>
        <v>20230531CABAB</v>
      </c>
      <c r="B689" s="8">
        <f ca="1">IFERROR(__xludf.DUMMYFUNCTION("""COMPUTED_VALUE"""),5)</f>
        <v>5</v>
      </c>
      <c r="C689" s="8">
        <f ca="1">IFERROR(__xludf.DUMMYFUNCTION("""COMPUTED_VALUE"""),31)</f>
        <v>31</v>
      </c>
      <c r="D689" s="8">
        <f ca="1">IFERROR(__xludf.DUMMYFUNCTION("""COMPUTED_VALUE"""),2023)</f>
        <v>2023</v>
      </c>
      <c r="E689" s="9">
        <f ca="1">IFERROR(__xludf.DUMMYFUNCTION("""COMPUTED_VALUE"""),45077)</f>
        <v>45077</v>
      </c>
      <c r="F689" s="8" t="str">
        <f ca="1">IFERROR(__xludf.DUMMYFUNCTION("""COMPUTED_VALUE"""),"Banning High School")</f>
        <v>Banning High School</v>
      </c>
      <c r="G689" s="8">
        <f ca="1">IFERROR(__xludf.DUMMYFUNCTION("""COMPUTED_VALUE"""),1)</f>
        <v>1</v>
      </c>
      <c r="H689" s="8">
        <f ca="1">IFERROR(__xludf.DUMMYFUNCTION("""COMPUTED_VALUE"""),0)</f>
        <v>0</v>
      </c>
      <c r="I689" s="8">
        <f ca="1">IFERROR(__xludf.DUMMYFUNCTION("""COMPUTED_VALUE"""),1)</f>
        <v>1</v>
      </c>
      <c r="J689" s="8">
        <f ca="1">IFERROR(__xludf.DUMMYFUNCTION("""COMPUTED_VALUE"""),0)</f>
        <v>0</v>
      </c>
      <c r="K689" s="8" t="str">
        <f ca="1">IFERROR(__xludf.DUMMYFUNCTION("""COMPUTED_VALUE"""),"https://kesq.com/news/crime/2023/06/02/19-year-old-charged-with-killing-man-in-shooting-outside-of-banning-high-school/
https://patch.com/california/banning-beaumont/details-pending-shooting-near-banning-high-school
https://ktla.com/news/local-news/gunfir"&amp;"e-erupts-near-graduation-ceremony-in-banning/
https://kesq.com/news/2023/05/31/police-respond-to-reported-shooting-near-banning-high-school/")</f>
        <v>https://kesq.com/news/crime/2023/06/02/19-year-old-charged-with-killing-man-in-shooting-outside-of-banning-high-school/
https://patch.com/california/banning-beaumont/details-pending-shooting-near-banning-high-school
https://ktla.com/news/local-news/gunfire-erupts-near-graduation-ceremony-in-banning/
https://kesq.com/news/2023/05/31/police-respond-to-reported-shooting-near-banning-high-school/</v>
      </c>
      <c r="L689" s="8">
        <f ca="1">IFERROR(__xludf.DUMMYFUNCTION("""COMPUTED_VALUE"""),5)</f>
        <v>5</v>
      </c>
      <c r="M689" s="8" t="str">
        <f ca="1">IFERROR(__xludf.DUMMYFUNCTION("""COMPUTED_VALUE"""),"Local")</f>
        <v>Local</v>
      </c>
      <c r="N689" s="8">
        <f ca="1">IFERROR(__xludf.DUMMYFUNCTION("""COMPUTED_VALUE"""),4)</f>
        <v>4</v>
      </c>
      <c r="O689" s="8" t="str">
        <f ca="1">IFERROR(__xludf.DUMMYFUNCTION("""COMPUTED_VALUE"""),"Spring")</f>
        <v>Spring</v>
      </c>
      <c r="P689" s="8" t="str">
        <f ca="1">IFERROR(__xludf.DUMMYFUNCTION("""COMPUTED_VALUE"""),"Banning")</f>
        <v>Banning</v>
      </c>
      <c r="Q689" s="8" t="str">
        <f ca="1">IFERROR(__xludf.DUMMYFUNCTION("""COMPUTED_VALUE"""),"CA")</f>
        <v>CA</v>
      </c>
      <c r="R689" s="8" t="str">
        <f ca="1">IFERROR(__xludf.DUMMYFUNCTION("""COMPUTED_VALUE"""),"High")</f>
        <v>High</v>
      </c>
      <c r="S689" s="8" t="str">
        <f ca="1">IFERROR(__xludf.DUMMYFUNCTION("""COMPUTED_VALUE"""),"Front of School")</f>
        <v>Front of School</v>
      </c>
      <c r="T689" s="8" t="str">
        <f ca="1">IFERROR(__xludf.DUMMYFUNCTION("""COMPUTED_VALUE"""),"Outside on School Property")</f>
        <v>Outside on School Property</v>
      </c>
      <c r="U689" s="8" t="str">
        <f ca="1">IFERROR(__xludf.DUMMYFUNCTION("""COMPUTED_VALUE"""),"No")</f>
        <v>No</v>
      </c>
      <c r="V689" s="8" t="str">
        <f ca="1">IFERROR(__xludf.DUMMYFUNCTION("""COMPUTED_VALUE"""),"School Event")</f>
        <v>School Event</v>
      </c>
      <c r="W689" s="11">
        <f ca="1">IFERROR(__xludf.DUMMYFUNCTION("""COMPUTED_VALUE"""),0.729166666666666)</f>
        <v>0.72916666666666596</v>
      </c>
      <c r="X689" s="8">
        <f ca="1">IFERROR(__xludf.DUMMYFUNCTION("""COMPUTED_VALUE"""),1)</f>
        <v>1</v>
      </c>
      <c r="Y689" s="12" t="str">
        <f ca="1">IFERROR(__xludf.DUMMYFUNCTION("""COMPUTED_VALUE"""),"19-year-old male killed 20-year-old in vehicle male leaving graduation. ")</f>
        <v xml:space="preserve">19-year-old male killed 20-year-old in vehicle male leaving graduation. </v>
      </c>
      <c r="Z689" s="12" t="str">
        <f ca="1">IFERROR(__xludf.DUMMYFUNCTION("""COMPUTED_VALUE"""),"19-year-old male killed 20-year-old male leaving graduation. At approximately 5:31 p.m., Banning police officers were called to the campus regarding a report of shots fired. School resource officers were already at the site monitoring a graduation ceremon"&amp;"y for New Horizons High School (Susan B. Coombs Intermediate School) that was being held at Banning High School's Performing Arts Center, according to police. ""One of the officers on scene witnessed a male suspect wearing a white mask, black long-sleeve "&amp;"shirt and grey pants shooting into a black sedan that was traveling eastbound on W. Westward Avenue, in front of the high school,"" the news release stated. After shots were fired, the sedan smashed into a light pole by the school sign and came to a stop.")</f>
        <v>19-year-old male killed 20-year-old male leaving graduation. At approximately 5:31 p.m., Banning police officers were called to the campus regarding a report of shots fired. School resource officers were already at the site monitoring a graduation ceremony for New Horizons High School (Susan B. Coombs Intermediate School) that was being held at Banning High School's Performing Arts Center, according to police. "One of the officers on scene witnessed a male suspect wearing a white mask, black long-sleeve shirt and grey pants shooting into a black sedan that was traveling eastbound on W. Westward Avenue, in front of the high school," the news release stated. After shots were fired, the sedan smashed into a light pole by the school sign and came to a stop.</v>
      </c>
      <c r="AA689" s="8" t="str">
        <f ca="1">IFERROR(__xludf.DUMMYFUNCTION("""COMPUTED_VALUE"""),"Drive-by Shooting")</f>
        <v>Drive-by Shooting</v>
      </c>
      <c r="AB689" s="8"/>
      <c r="AC689" s="8" t="str">
        <f ca="1">IFERROR(__xludf.DUMMYFUNCTION("""COMPUTED_VALUE"""),"Yes")</f>
        <v>Yes</v>
      </c>
      <c r="AD689" s="8"/>
      <c r="AE689" s="8"/>
      <c r="AF689" s="8"/>
      <c r="AG689" s="8" t="str">
        <f ca="1">IFERROR(__xludf.DUMMYFUNCTION("""COMPUTED_VALUE"""),"No")</f>
        <v>No</v>
      </c>
      <c r="AH689" s="8" t="str">
        <f ca="1">IFERROR(__xludf.DUMMYFUNCTION("""COMPUTED_VALUE"""),"No")</f>
        <v>No</v>
      </c>
      <c r="AI689" s="8" t="str">
        <f ca="1">IFERROR(__xludf.DUMMYFUNCTION("""COMPUTED_VALUE"""),"No")</f>
        <v>No</v>
      </c>
      <c r="AJ689" s="8" t="str">
        <f ca="1">IFERROR(__xludf.DUMMYFUNCTION("""COMPUTED_VALUE"""),"No")</f>
        <v>No</v>
      </c>
      <c r="AK689" s="8" t="str">
        <f ca="1">IFERROR(__xludf.DUMMYFUNCTION("""COMPUTED_VALUE"""),"No")</f>
        <v>No</v>
      </c>
      <c r="AL689" s="8"/>
      <c r="AM689" s="8" t="str">
        <f ca="1">IFERROR(__xludf.DUMMYFUNCTION("""COMPUTED_VALUE"""),"No")</f>
        <v>No</v>
      </c>
      <c r="AN689" s="8" t="str">
        <f ca="1">IFERROR(__xludf.DUMMYFUNCTION("""COMPUTED_VALUE"""),"Outside")</f>
        <v>Outside</v>
      </c>
      <c r="AO689" s="8" t="str">
        <f ca="1">IFERROR(__xludf.DUMMYFUNCTION("""COMPUTED_VALUE"""),"No")</f>
        <v>No</v>
      </c>
      <c r="AP689" s="8"/>
      <c r="AQ689" s="8"/>
      <c r="AR689" s="8" t="str">
        <f ca="1">IFERROR(__xludf.DUMMYFUNCTION("""COMPUTED_VALUE"""),"Outside/Off-Property")</f>
        <v>Outside/Off-Property</v>
      </c>
      <c r="AS689" s="8">
        <f ca="1">IFERROR(__xludf.DUMMYFUNCTION("""COMPUTED_VALUE"""),99)</f>
        <v>99</v>
      </c>
      <c r="AT689" s="8"/>
      <c r="AU689" s="8">
        <f ca="1">IFERROR(__xludf.DUMMYFUNCTION("""COMPUTED_VALUE"""),33.917587)</f>
        <v>33.917586999999997</v>
      </c>
      <c r="AV689" s="8">
        <f ca="1">IFERROR(__xludf.DUMMYFUNCTION("""COMPUTED_VALUE"""),-116.877627)</f>
        <v>-116.877627</v>
      </c>
      <c r="AW689" s="8"/>
      <c r="AX689" s="8">
        <f ca="1">IFERROR(__xludf.DUMMYFUNCTION("""COMPUTED_VALUE"""),92220)</f>
        <v>92220</v>
      </c>
    </row>
    <row r="690" spans="1:50" ht="195" x14ac:dyDescent="0.2">
      <c r="A690" s="8" t="str">
        <f ca="1">IFERROR(__xludf.DUMMYFUNCTION("""COMPUTED_VALUE"""),"20230528GABEA")</f>
        <v>20230528GABEA</v>
      </c>
      <c r="B690" s="8">
        <f ca="1">IFERROR(__xludf.DUMMYFUNCTION("""COMPUTED_VALUE"""),5)</f>
        <v>5</v>
      </c>
      <c r="C690" s="8">
        <f ca="1">IFERROR(__xludf.DUMMYFUNCTION("""COMPUTED_VALUE"""),28)</f>
        <v>28</v>
      </c>
      <c r="D690" s="8">
        <f ca="1">IFERROR(__xludf.DUMMYFUNCTION("""COMPUTED_VALUE"""),2023)</f>
        <v>2023</v>
      </c>
      <c r="E690" s="9">
        <f ca="1">IFERROR(__xludf.DUMMYFUNCTION("""COMPUTED_VALUE"""),45074)</f>
        <v>45074</v>
      </c>
      <c r="F690" s="8" t="str">
        <f ca="1">IFERROR(__xludf.DUMMYFUNCTION("""COMPUTED_VALUE"""),"Benjamin E. Mays High School")</f>
        <v>Benjamin E. Mays High School</v>
      </c>
      <c r="G690" s="8">
        <f ca="1">IFERROR(__xludf.DUMMYFUNCTION("""COMPUTED_VALUE"""),1)</f>
        <v>1</v>
      </c>
      <c r="H690" s="8">
        <f ca="1">IFERROR(__xludf.DUMMYFUNCTION("""COMPUTED_VALUE"""),1)</f>
        <v>1</v>
      </c>
      <c r="I690" s="8">
        <f ca="1">IFERROR(__xludf.DUMMYFUNCTION("""COMPUTED_VALUE"""),2)</f>
        <v>2</v>
      </c>
      <c r="J690" s="8">
        <f ca="1">IFERROR(__xludf.DUMMYFUNCTION("""COMPUTED_VALUE"""),0)</f>
        <v>0</v>
      </c>
      <c r="K690" s="8" t="str">
        <f ca="1">IFERROR(__xludf.DUMMYFUNCTION("""COMPUTED_VALUE"""),"https://abcnews.go.com/US/teen-dies-injured-shooting-atlanta-high-school-graduation/story?id=99662572
https://www.wsaw.com/2023/05/29/teen-killed-another-injured-shooting-outside-atlanta-high-school/")</f>
        <v>https://abcnews.go.com/US/teen-dies-injured-shooting-atlanta-high-school-graduation/story?id=99662572
https://www.wsaw.com/2023/05/29/teen-killed-another-injured-shooting-outside-atlanta-high-school/</v>
      </c>
      <c r="L690" s="8">
        <f ca="1">IFERROR(__xludf.DUMMYFUNCTION("""COMPUTED_VALUE"""),100)</f>
        <v>100</v>
      </c>
      <c r="M690" s="8" t="str">
        <f ca="1">IFERROR(__xludf.DUMMYFUNCTION("""COMPUTED_VALUE"""),"National")</f>
        <v>National</v>
      </c>
      <c r="N690" s="8">
        <f ca="1">IFERROR(__xludf.DUMMYFUNCTION("""COMPUTED_VALUE"""),4)</f>
        <v>4</v>
      </c>
      <c r="O690" s="8" t="str">
        <f ca="1">IFERROR(__xludf.DUMMYFUNCTION("""COMPUTED_VALUE"""),"Spring")</f>
        <v>Spring</v>
      </c>
      <c r="P690" s="8" t="str">
        <f ca="1">IFERROR(__xludf.DUMMYFUNCTION("""COMPUTED_VALUE"""),"Atlanta")</f>
        <v>Atlanta</v>
      </c>
      <c r="Q690" s="8" t="str">
        <f ca="1">IFERROR(__xludf.DUMMYFUNCTION("""COMPUTED_VALUE"""),"GA")</f>
        <v>GA</v>
      </c>
      <c r="R690" s="8" t="str">
        <f ca="1">IFERROR(__xludf.DUMMYFUNCTION("""COMPUTED_VALUE"""),"High")</f>
        <v>High</v>
      </c>
      <c r="S690" s="8" t="str">
        <f ca="1">IFERROR(__xludf.DUMMYFUNCTION("""COMPUTED_VALUE"""),"Parking Lot")</f>
        <v>Parking Lot</v>
      </c>
      <c r="T690" s="8" t="str">
        <f ca="1">IFERROR(__xludf.DUMMYFUNCTION("""COMPUTED_VALUE"""),"Outside on School Property")</f>
        <v>Outside on School Property</v>
      </c>
      <c r="U690" s="8" t="str">
        <f ca="1">IFERROR(__xludf.DUMMYFUNCTION("""COMPUTED_VALUE"""),"No")</f>
        <v>No</v>
      </c>
      <c r="V690" s="8" t="str">
        <f ca="1">IFERROR(__xludf.DUMMYFUNCTION("""COMPUTED_VALUE"""),"Night")</f>
        <v>Night</v>
      </c>
      <c r="W690" s="11">
        <f ca="1">IFERROR(__xludf.DUMMYFUNCTION("""COMPUTED_VALUE"""),0.104166666666666)</f>
        <v>0.10416666666666601</v>
      </c>
      <c r="X690" s="8">
        <f ca="1">IFERROR(__xludf.DUMMYFUNCTION("""COMPUTED_VALUE"""),1)</f>
        <v>1</v>
      </c>
      <c r="Y690" s="12" t="str">
        <f ca="1">IFERROR(__xludf.DUMMYFUNCTION("""COMPUTED_VALUE"""),"Two student shot during unauthorized graduation party outside of the school")</f>
        <v>Two student shot during unauthorized graduation party outside of the school</v>
      </c>
      <c r="Z690" s="12" t="str">
        <f ca="1">IFERROR(__xludf.DUMMYFUNCTION("""COMPUTED_VALUE"""),"Officers responded to a report of multiple people shot outside Benjamin E. Mays High School around 2:30 a.m. Sunday. Upon arrival, they located two victims, including Powell. She was rushed to the hospital where she later died. The second victim was a 16-"&amp;"year-old boy who was also rushed to the hospital, where he is in stable condition. Police did not release the identity of the 16-year-old boy or information on the extent of his injuries. Atlanta Public Schools said in a statement that the shooting happen"&amp;"ed “during an unauthorized gathering at the end of the exiting driveway” at the high school. The gathering took place after a graduation party at another location was broken up by police hours earlier.")</f>
        <v>Officers responded to a report of multiple people shot outside Benjamin E. Mays High School around 2:30 a.m. Sunday. Upon arrival, they located two victims, including Powell. She was rushed to the hospital where she later died. The second victim was a 16-year-old boy who was also rushed to the hospital, where he is in stable condition. Police did not release the identity of the 16-year-old boy or information on the extent of his injuries. Atlanta Public Schools said in a statement that the shooting happened “during an unauthorized gathering at the end of the exiting driveway” at the high school. The gathering took place after a graduation party at another location was broken up by police hours earlier.</v>
      </c>
      <c r="AA690" s="8" t="str">
        <f ca="1">IFERROR(__xludf.DUMMYFUNCTION("""COMPUTED_VALUE"""),"Escalation of Dispute")</f>
        <v>Escalation of Dispute</v>
      </c>
      <c r="AB690" s="8"/>
      <c r="AC690" s="8" t="str">
        <f ca="1">IFERROR(__xludf.DUMMYFUNCTION("""COMPUTED_VALUE"""),"Yes")</f>
        <v>Yes</v>
      </c>
      <c r="AD690" s="8" t="str">
        <f ca="1">IFERROR(__xludf.DUMMYFUNCTION("""COMPUTED_VALUE"""),"Both")</f>
        <v>Both</v>
      </c>
      <c r="AE690" s="8"/>
      <c r="AF690" s="8"/>
      <c r="AG690" s="8" t="str">
        <f ca="1">IFERROR(__xludf.DUMMYFUNCTION("""COMPUTED_VALUE"""),"No")</f>
        <v>No</v>
      </c>
      <c r="AH690" s="8" t="str">
        <f ca="1">IFERROR(__xludf.DUMMYFUNCTION("""COMPUTED_VALUE"""),"No")</f>
        <v>No</v>
      </c>
      <c r="AI690" s="8" t="str">
        <f ca="1">IFERROR(__xludf.DUMMYFUNCTION("""COMPUTED_VALUE"""),"No")</f>
        <v>No</v>
      </c>
      <c r="AJ690" s="8" t="str">
        <f ca="1">IFERROR(__xludf.DUMMYFUNCTION("""COMPUTED_VALUE"""),"No")</f>
        <v>No</v>
      </c>
      <c r="AK690" s="8" t="str">
        <f ca="1">IFERROR(__xludf.DUMMYFUNCTION("""COMPUTED_VALUE"""),"No")</f>
        <v>No</v>
      </c>
      <c r="AL690" s="8"/>
      <c r="AM690" s="8" t="str">
        <f ca="1">IFERROR(__xludf.DUMMYFUNCTION("""COMPUTED_VALUE"""),"No")</f>
        <v>No</v>
      </c>
      <c r="AN690" s="8" t="str">
        <f ca="1">IFERROR(__xludf.DUMMYFUNCTION("""COMPUTED_VALUE"""),"Outside")</f>
        <v>Outside</v>
      </c>
      <c r="AO690" s="8" t="str">
        <f ca="1">IFERROR(__xludf.DUMMYFUNCTION("""COMPUTED_VALUE"""),"No")</f>
        <v>No</v>
      </c>
      <c r="AP690" s="8"/>
      <c r="AQ690" s="8"/>
      <c r="AR690" s="8" t="str">
        <f ca="1">IFERROR(__xludf.DUMMYFUNCTION("""COMPUTED_VALUE"""),"Outside/Off-Property")</f>
        <v>Outside/Off-Property</v>
      </c>
      <c r="AS690" s="8">
        <f ca="1">IFERROR(__xludf.DUMMYFUNCTION("""COMPUTED_VALUE"""),99)</f>
        <v>99</v>
      </c>
      <c r="AT690" s="8" t="str">
        <f ca="1">IFERROR(__xludf.DUMMYFUNCTION("""COMPUTED_VALUE"""),"No")</f>
        <v>No</v>
      </c>
      <c r="AU690" s="8">
        <f ca="1">IFERROR(__xludf.DUMMYFUNCTION("""COMPUTED_VALUE"""),33.734782)</f>
        <v>33.734782000000003</v>
      </c>
      <c r="AV690" s="8">
        <f ca="1">IFERROR(__xludf.DUMMYFUNCTION("""COMPUTED_VALUE"""),-84.505205)</f>
        <v>-84.505205000000004</v>
      </c>
      <c r="AW690" s="8"/>
      <c r="AX690" s="8">
        <f ca="1">IFERROR(__xludf.DUMMYFUNCTION("""COMPUTED_VALUE"""),30331)</f>
        <v>30331</v>
      </c>
    </row>
    <row r="691" spans="1:50" ht="75" x14ac:dyDescent="0.2">
      <c r="A691" s="8" t="str">
        <f ca="1">IFERROR(__xludf.DUMMYFUNCTION("""COMPUTED_VALUE"""),"20230526NYMOM")</f>
        <v>20230526NYMOM</v>
      </c>
      <c r="B691" s="8">
        <f ca="1">IFERROR(__xludf.DUMMYFUNCTION("""COMPUTED_VALUE"""),5)</f>
        <v>5</v>
      </c>
      <c r="C691" s="8">
        <f ca="1">IFERROR(__xludf.DUMMYFUNCTION("""COMPUTED_VALUE"""),26)</f>
        <v>26</v>
      </c>
      <c r="D691" s="8">
        <f ca="1">IFERROR(__xludf.DUMMYFUNCTION("""COMPUTED_VALUE"""),2023)</f>
        <v>2023</v>
      </c>
      <c r="E691" s="9">
        <f ca="1">IFERROR(__xludf.DUMMYFUNCTION("""COMPUTED_VALUE"""),45072)</f>
        <v>45072</v>
      </c>
      <c r="F691" s="8" t="str">
        <f ca="1">IFERROR(__xludf.DUMMYFUNCTION("""COMPUTED_VALUE"""),"Monhagen Middle School")</f>
        <v>Monhagen Middle School</v>
      </c>
      <c r="G691" s="8">
        <f ca="1">IFERROR(__xludf.DUMMYFUNCTION("""COMPUTED_VALUE"""),0)</f>
        <v>0</v>
      </c>
      <c r="H691" s="8">
        <f ca="1">IFERROR(__xludf.DUMMYFUNCTION("""COMPUTED_VALUE"""),0)</f>
        <v>0</v>
      </c>
      <c r="I691" s="8">
        <f ca="1">IFERROR(__xludf.DUMMYFUNCTION("""COMPUTED_VALUE"""),0)</f>
        <v>0</v>
      </c>
      <c r="J691" s="8">
        <f ca="1">IFERROR(__xludf.DUMMYFUNCTION("""COMPUTED_VALUE"""),0)</f>
        <v>0</v>
      </c>
      <c r="K691" s="10" t="str">
        <f ca="1">IFERROR(__xludf.DUMMYFUNCTION("""COMPUTED_VALUE"""),"https://westchester.news12.com/police-shots-fired-outside-school-in-town-of-wallkill")</f>
        <v>https://westchester.news12.com/police-shots-fired-outside-school-in-town-of-wallkill</v>
      </c>
      <c r="L691" s="8">
        <f ca="1">IFERROR(__xludf.DUMMYFUNCTION("""COMPUTED_VALUE"""),1)</f>
        <v>1</v>
      </c>
      <c r="M691" s="8" t="str">
        <f ca="1">IFERROR(__xludf.DUMMYFUNCTION("""COMPUTED_VALUE"""),"Local")</f>
        <v>Local</v>
      </c>
      <c r="N691" s="8">
        <f ca="1">IFERROR(__xludf.DUMMYFUNCTION("""COMPUTED_VALUE"""),3)</f>
        <v>3</v>
      </c>
      <c r="O691" s="8" t="str">
        <f ca="1">IFERROR(__xludf.DUMMYFUNCTION("""COMPUTED_VALUE"""),"Spring")</f>
        <v>Spring</v>
      </c>
      <c r="P691" s="8" t="str">
        <f ca="1">IFERROR(__xludf.DUMMYFUNCTION("""COMPUTED_VALUE"""),"Middletown")</f>
        <v>Middletown</v>
      </c>
      <c r="Q691" s="8" t="str">
        <f ca="1">IFERROR(__xludf.DUMMYFUNCTION("""COMPUTED_VALUE"""),"NY")</f>
        <v>NY</v>
      </c>
      <c r="R691" s="8" t="str">
        <f ca="1">IFERROR(__xludf.DUMMYFUNCTION("""COMPUTED_VALUE"""),"Middle")</f>
        <v>Middle</v>
      </c>
      <c r="S691" s="8" t="str">
        <f ca="1">IFERROR(__xludf.DUMMYFUNCTION("""COMPUTED_VALUE"""),"Outside on School Property")</f>
        <v>Outside on School Property</v>
      </c>
      <c r="T691" s="8" t="str">
        <f ca="1">IFERROR(__xludf.DUMMYFUNCTION("""COMPUTED_VALUE"""),"Outside on School Property")</f>
        <v>Outside on School Property</v>
      </c>
      <c r="U691" s="8" t="str">
        <f ca="1">IFERROR(__xludf.DUMMYFUNCTION("""COMPUTED_VALUE"""),"No")</f>
        <v>No</v>
      </c>
      <c r="V691" s="8" t="str">
        <f ca="1">IFERROR(__xludf.DUMMYFUNCTION("""COMPUTED_VALUE"""),"Evening")</f>
        <v>Evening</v>
      </c>
      <c r="W691" s="11">
        <f ca="1">IFERROR(__xludf.DUMMYFUNCTION("""COMPUTED_VALUE"""),0.791666666666666)</f>
        <v>0.79166666666666596</v>
      </c>
      <c r="X691" s="8">
        <f ca="1">IFERROR(__xludf.DUMMYFUNCTION("""COMPUTED_VALUE"""),1)</f>
        <v>1</v>
      </c>
      <c r="Y691" s="12" t="str">
        <f ca="1">IFERROR(__xludf.DUMMYFUNCTION("""COMPUTED_VALUE"""),"Shots fired outside of school")</f>
        <v>Shots fired outside of school</v>
      </c>
      <c r="Z691" s="12" t="str">
        <f ca="1">IFERROR(__xludf.DUMMYFUNCTION("""COMPUTED_VALUE"""),"Police responded for shots fired outside a school on Friday evening. It happened outside the Monhagen Middle School on County Route 78 in the Town of Wallkill. Police recovered shell casings at the scene. No one was injured, and no suspects have been foun"&amp;"d.")</f>
        <v>Police responded for shots fired outside a school on Friday evening. It happened outside the Monhagen Middle School on County Route 78 in the Town of Wallkill. Police recovered shell casings at the scene. No one was injured, and no suspects have been found.</v>
      </c>
      <c r="AA691" s="8"/>
      <c r="AB691" s="8"/>
      <c r="AC691" s="8"/>
      <c r="AD691" s="8"/>
      <c r="AE691" s="8"/>
      <c r="AF691" s="8"/>
      <c r="AG691" s="8" t="str">
        <f ca="1">IFERROR(__xludf.DUMMYFUNCTION("""COMPUTED_VALUE"""),"No")</f>
        <v>No</v>
      </c>
      <c r="AH691" s="8" t="str">
        <f ca="1">IFERROR(__xludf.DUMMYFUNCTION("""COMPUTED_VALUE"""),"No")</f>
        <v>No</v>
      </c>
      <c r="AI691" s="8" t="str">
        <f ca="1">IFERROR(__xludf.DUMMYFUNCTION("""COMPUTED_VALUE"""),"No")</f>
        <v>No</v>
      </c>
      <c r="AJ691" s="8" t="str">
        <f ca="1">IFERROR(__xludf.DUMMYFUNCTION("""COMPUTED_VALUE"""),"No")</f>
        <v>No</v>
      </c>
      <c r="AK691" s="8" t="str">
        <f ca="1">IFERROR(__xludf.DUMMYFUNCTION("""COMPUTED_VALUE"""),"No")</f>
        <v>No</v>
      </c>
      <c r="AL691" s="8"/>
      <c r="AM691" s="8" t="str">
        <f ca="1">IFERROR(__xludf.DUMMYFUNCTION("""COMPUTED_VALUE"""),"No")</f>
        <v>No</v>
      </c>
      <c r="AN691" s="8" t="str">
        <f ca="1">IFERROR(__xludf.DUMMYFUNCTION("""COMPUTED_VALUE"""),"Outside")</f>
        <v>Outside</v>
      </c>
      <c r="AO691" s="8" t="str">
        <f ca="1">IFERROR(__xludf.DUMMYFUNCTION("""COMPUTED_VALUE"""),"No")</f>
        <v>No</v>
      </c>
      <c r="AP691" s="8"/>
      <c r="AQ691" s="8"/>
      <c r="AR691" s="8" t="str">
        <f ca="1">IFERROR(__xludf.DUMMYFUNCTION("""COMPUTED_VALUE"""),"Outside/Off-Property")</f>
        <v>Outside/Off-Property</v>
      </c>
      <c r="AS691" s="8">
        <f ca="1">IFERROR(__xludf.DUMMYFUNCTION("""COMPUTED_VALUE"""),99)</f>
        <v>99</v>
      </c>
      <c r="AT691" s="8"/>
      <c r="AU691" s="8">
        <f ca="1">IFERROR(__xludf.DUMMYFUNCTION("""COMPUTED_VALUE"""),41.450791)</f>
        <v>41.450791000000002</v>
      </c>
      <c r="AV691" s="8">
        <f ca="1">IFERROR(__xludf.DUMMYFUNCTION("""COMPUTED_VALUE"""),-74.448199)</f>
        <v>-74.448199000000002</v>
      </c>
      <c r="AW691" s="8"/>
      <c r="AX691" s="8">
        <f ca="1">IFERROR(__xludf.DUMMYFUNCTION("""COMPUTED_VALUE"""),10940)</f>
        <v>10940</v>
      </c>
    </row>
    <row r="692" spans="1:50" ht="75" x14ac:dyDescent="0.2">
      <c r="A692" s="8" t="str">
        <f ca="1">IFERROR(__xludf.DUMMYFUNCTION("""COMPUTED_VALUE"""),"20230526MIHAH")</f>
        <v>20230526MIHAH</v>
      </c>
      <c r="B692" s="8">
        <f ca="1">IFERROR(__xludf.DUMMYFUNCTION("""COMPUTED_VALUE"""),5)</f>
        <v>5</v>
      </c>
      <c r="C692" s="8">
        <f ca="1">IFERROR(__xludf.DUMMYFUNCTION("""COMPUTED_VALUE"""),26)</f>
        <v>26</v>
      </c>
      <c r="D692" s="8">
        <f ca="1">IFERROR(__xludf.DUMMYFUNCTION("""COMPUTED_VALUE"""),2023)</f>
        <v>2023</v>
      </c>
      <c r="E692" s="9">
        <f ca="1">IFERROR(__xludf.DUMMYFUNCTION("""COMPUTED_VALUE"""),45072)</f>
        <v>45072</v>
      </c>
      <c r="F692" s="8" t="str">
        <f ca="1">IFERROR(__xludf.DUMMYFUNCTION("""COMPUTED_VALUE"""),"Harper Woods Middle School")</f>
        <v>Harper Woods Middle School</v>
      </c>
      <c r="G692" s="8">
        <f ca="1">IFERROR(__xludf.DUMMYFUNCTION("""COMPUTED_VALUE"""),0)</f>
        <v>0</v>
      </c>
      <c r="H692" s="8">
        <f ca="1">IFERROR(__xludf.DUMMYFUNCTION("""COMPUTED_VALUE"""),0)</f>
        <v>0</v>
      </c>
      <c r="I692" s="8">
        <f ca="1">IFERROR(__xludf.DUMMYFUNCTION("""COMPUTED_VALUE"""),0)</f>
        <v>0</v>
      </c>
      <c r="J692" s="8">
        <f ca="1">IFERROR(__xludf.DUMMYFUNCTION("""COMPUTED_VALUE"""),0)</f>
        <v>0</v>
      </c>
      <c r="K692" s="8" t="str">
        <f ca="1">IFERROR(__xludf.DUMMYFUNCTION("""COMPUTED_VALUE"""),"https://www.fox2detroit.com/news/harper-woods-high-school-prom-vehicles-hit-by-gunfire
https://www.detroitnews.com/story/news/local/wayne-county/2023/05/27/harper-woods-police-probe-shots-fired-triumph-middle-school-prom-event/70263649007/")</f>
        <v>https://www.fox2detroit.com/news/harper-woods-high-school-prom-vehicles-hit-by-gunfire
https://www.detroitnews.com/story/news/local/wayne-county/2023/05/27/harper-woods-police-probe-shots-fired-triumph-middle-school-prom-event/70263649007/</v>
      </c>
      <c r="L692" s="8">
        <f ca="1">IFERROR(__xludf.DUMMYFUNCTION("""COMPUTED_VALUE"""),2)</f>
        <v>2</v>
      </c>
      <c r="M692" s="8" t="str">
        <f ca="1">IFERROR(__xludf.DUMMYFUNCTION("""COMPUTED_VALUE"""),"Local")</f>
        <v>Local</v>
      </c>
      <c r="N692" s="8">
        <f ca="1">IFERROR(__xludf.DUMMYFUNCTION("""COMPUTED_VALUE"""),4)</f>
        <v>4</v>
      </c>
      <c r="O692" s="8" t="str">
        <f ca="1">IFERROR(__xludf.DUMMYFUNCTION("""COMPUTED_VALUE"""),"Spring")</f>
        <v>Spring</v>
      </c>
      <c r="P692" s="8" t="str">
        <f ca="1">IFERROR(__xludf.DUMMYFUNCTION("""COMPUTED_VALUE"""),"Harper Woods")</f>
        <v>Harper Woods</v>
      </c>
      <c r="Q692" s="8" t="str">
        <f ca="1">IFERROR(__xludf.DUMMYFUNCTION("""COMPUTED_VALUE"""),"MI")</f>
        <v>MI</v>
      </c>
      <c r="R692" s="8" t="str">
        <f ca="1">IFERROR(__xludf.DUMMYFUNCTION("""COMPUTED_VALUE"""),"Middle")</f>
        <v>Middle</v>
      </c>
      <c r="S692" s="8" t="str">
        <f ca="1">IFERROR(__xludf.DUMMYFUNCTION("""COMPUTED_VALUE"""),"Front of School")</f>
        <v>Front of School</v>
      </c>
      <c r="T692" s="8" t="str">
        <f ca="1">IFERROR(__xludf.DUMMYFUNCTION("""COMPUTED_VALUE"""),"Outside on School Property")</f>
        <v>Outside on School Property</v>
      </c>
      <c r="U692" s="8" t="str">
        <f ca="1">IFERROR(__xludf.DUMMYFUNCTION("""COMPUTED_VALUE"""),"No")</f>
        <v>No</v>
      </c>
      <c r="V692" s="8" t="str">
        <f ca="1">IFERROR(__xludf.DUMMYFUNCTION("""COMPUTED_VALUE"""),"School Event")</f>
        <v>School Event</v>
      </c>
      <c r="W692" s="11">
        <f ca="1">IFERROR(__xludf.DUMMYFUNCTION("""COMPUTED_VALUE"""),0.833333333333333)</f>
        <v>0.83333333333333304</v>
      </c>
      <c r="X692" s="8">
        <f ca="1">IFERROR(__xludf.DUMMYFUNCTION("""COMPUTED_VALUE"""),1)</f>
        <v>1</v>
      </c>
      <c r="Y692" s="12" t="str">
        <f ca="1">IFERROR(__xludf.DUMMYFUNCTION("""COMPUTED_VALUE"""),"Shots fired at two vehicles during prom parade in front of middle school")</f>
        <v>Shots fired at two vehicles during prom parade in front of middle school</v>
      </c>
      <c r="Z692" s="12" t="str">
        <f ca="1">IFERROR(__xludf.DUMMYFUNCTION("""COMPUTED_VALUE"""),"Shots fired at two vehicles during the high school prom parade while vehicles were lining up in front of the nearby middle school. No injuries. Shooter fled.")</f>
        <v>Shots fired at two vehicles during the high school prom parade while vehicles were lining up in front of the nearby middle school. No injuries. Shooter fled.</v>
      </c>
      <c r="AA692" s="8" t="str">
        <f ca="1">IFERROR(__xludf.DUMMYFUNCTION("""COMPUTED_VALUE"""),"Drive-by Shooting")</f>
        <v>Drive-by Shooting</v>
      </c>
      <c r="AB692" s="8"/>
      <c r="AC692" s="8" t="str">
        <f ca="1">IFERROR(__xludf.DUMMYFUNCTION("""COMPUTED_VALUE"""),"Yes")</f>
        <v>Yes</v>
      </c>
      <c r="AD692" s="8" t="str">
        <f ca="1">IFERROR(__xludf.DUMMYFUNCTION("""COMPUTED_VALUE"""),"Both")</f>
        <v>Both</v>
      </c>
      <c r="AE692" s="8" t="str">
        <f ca="1">IFERROR(__xludf.DUMMYFUNCTION("""COMPUTED_VALUE"""),"No")</f>
        <v>No</v>
      </c>
      <c r="AF692" s="8"/>
      <c r="AG692" s="8" t="str">
        <f ca="1">IFERROR(__xludf.DUMMYFUNCTION("""COMPUTED_VALUE"""),"No")</f>
        <v>No</v>
      </c>
      <c r="AH692" s="8" t="str">
        <f ca="1">IFERROR(__xludf.DUMMYFUNCTION("""COMPUTED_VALUE"""),"No")</f>
        <v>No</v>
      </c>
      <c r="AI692" s="8" t="str">
        <f ca="1">IFERROR(__xludf.DUMMYFUNCTION("""COMPUTED_VALUE"""),"No")</f>
        <v>No</v>
      </c>
      <c r="AJ692" s="8" t="str">
        <f ca="1">IFERROR(__xludf.DUMMYFUNCTION("""COMPUTED_VALUE"""),"No")</f>
        <v>No</v>
      </c>
      <c r="AK692" s="8" t="str">
        <f ca="1">IFERROR(__xludf.DUMMYFUNCTION("""COMPUTED_VALUE"""),"No")</f>
        <v>No</v>
      </c>
      <c r="AL692" s="8"/>
      <c r="AM692" s="8" t="str">
        <f ca="1">IFERROR(__xludf.DUMMYFUNCTION("""COMPUTED_VALUE"""),"No")</f>
        <v>No</v>
      </c>
      <c r="AN692" s="8" t="str">
        <f ca="1">IFERROR(__xludf.DUMMYFUNCTION("""COMPUTED_VALUE"""),"Outside")</f>
        <v>Outside</v>
      </c>
      <c r="AO692" s="8" t="str">
        <f ca="1">IFERROR(__xludf.DUMMYFUNCTION("""COMPUTED_VALUE"""),"No")</f>
        <v>No</v>
      </c>
      <c r="AP692" s="8"/>
      <c r="AQ692" s="8"/>
      <c r="AR692" s="8" t="str">
        <f ca="1">IFERROR(__xludf.DUMMYFUNCTION("""COMPUTED_VALUE"""),"Outside/Off-Property")</f>
        <v>Outside/Off-Property</v>
      </c>
      <c r="AS692" s="8">
        <f ca="1">IFERROR(__xludf.DUMMYFUNCTION("""COMPUTED_VALUE"""),99)</f>
        <v>99</v>
      </c>
      <c r="AT692" s="8"/>
      <c r="AU692" s="8">
        <f ca="1">IFERROR(__xludf.DUMMYFUNCTION("""COMPUTED_VALUE"""),42.448633)</f>
        <v>42.448633000000001</v>
      </c>
      <c r="AV692" s="8">
        <f ca="1">IFERROR(__xludf.DUMMYFUNCTION("""COMPUTED_VALUE"""),-82.926324)</f>
        <v>-82.926323999999994</v>
      </c>
      <c r="AW692" s="8"/>
      <c r="AX692" s="8">
        <f ca="1">IFERROR(__xludf.DUMMYFUNCTION("""COMPUTED_VALUE"""),48225)</f>
        <v>48225</v>
      </c>
    </row>
    <row r="693" spans="1:50" ht="75" x14ac:dyDescent="0.2">
      <c r="A693" s="8" t="str">
        <f ca="1">IFERROR(__xludf.DUMMYFUNCTION("""COMPUTED_VALUE"""),"20230525PASAB")</f>
        <v>20230525PASAB</v>
      </c>
      <c r="B693" s="8">
        <f ca="1">IFERROR(__xludf.DUMMYFUNCTION("""COMPUTED_VALUE"""),5)</f>
        <v>5</v>
      </c>
      <c r="C693" s="8">
        <f ca="1">IFERROR(__xludf.DUMMYFUNCTION("""COMPUTED_VALUE"""),25)</f>
        <v>25</v>
      </c>
      <c r="D693" s="8">
        <f ca="1">IFERROR(__xludf.DUMMYFUNCTION("""COMPUTED_VALUE"""),2023)</f>
        <v>2023</v>
      </c>
      <c r="E693" s="9">
        <f ca="1">IFERROR(__xludf.DUMMYFUNCTION("""COMPUTED_VALUE"""),45071)</f>
        <v>45071</v>
      </c>
      <c r="F693" s="8" t="str">
        <f ca="1">IFERROR(__xludf.DUMMYFUNCTION("""COMPUTED_VALUE"""),"Salem Elementary School")</f>
        <v>Salem Elementary School</v>
      </c>
      <c r="G693" s="8">
        <f ca="1">IFERROR(__xludf.DUMMYFUNCTION("""COMPUTED_VALUE"""),0)</f>
        <v>0</v>
      </c>
      <c r="H693" s="8">
        <f ca="1">IFERROR(__xludf.DUMMYFUNCTION("""COMPUTED_VALUE"""),0)</f>
        <v>0</v>
      </c>
      <c r="I693" s="8">
        <f ca="1">IFERROR(__xludf.DUMMYFUNCTION("""COMPUTED_VALUE"""),0)</f>
        <v>0</v>
      </c>
      <c r="J693" s="8">
        <f ca="1">IFERROR(__xludf.DUMMYFUNCTION("""COMPUTED_VALUE"""),0)</f>
        <v>0</v>
      </c>
      <c r="K693" s="10" t="str">
        <f ca="1">IFERROR(__xludf.DUMMYFUNCTION("""COMPUTED_VALUE"""),"https://fox56.com/news/local/police-search-for-suspects-accused-of-crashing-firing-shots-at-stolen-car
https://www.pahomepage.com/news/crime-courts/stolen-truck-dumped-shot-up-near-elementary-school/")</f>
        <v>https://fox56.com/news/local/police-search-for-suspects-accused-of-crashing-firing-shots-at-stolen-car
https://www.pahomepage.com/news/crime-courts/stolen-truck-dumped-shot-up-near-elementary-school/</v>
      </c>
      <c r="L693" s="8">
        <f ca="1">IFERROR(__xludf.DUMMYFUNCTION("""COMPUTED_VALUE"""),2)</f>
        <v>2</v>
      </c>
      <c r="M693" s="8" t="str">
        <f ca="1">IFERROR(__xludf.DUMMYFUNCTION("""COMPUTED_VALUE"""),"Local")</f>
        <v>Local</v>
      </c>
      <c r="N693" s="8">
        <f ca="1">IFERROR(__xludf.DUMMYFUNCTION("""COMPUTED_VALUE"""),4)</f>
        <v>4</v>
      </c>
      <c r="O693" s="8" t="str">
        <f ca="1">IFERROR(__xludf.DUMMYFUNCTION("""COMPUTED_VALUE"""),"Spring")</f>
        <v>Spring</v>
      </c>
      <c r="P693" s="8" t="str">
        <f ca="1">IFERROR(__xludf.DUMMYFUNCTION("""COMPUTED_VALUE"""),"Berwick")</f>
        <v>Berwick</v>
      </c>
      <c r="Q693" s="8" t="str">
        <f ca="1">IFERROR(__xludf.DUMMYFUNCTION("""COMPUTED_VALUE"""),"PA")</f>
        <v>PA</v>
      </c>
      <c r="R693" s="8" t="str">
        <f ca="1">IFERROR(__xludf.DUMMYFUNCTION("""COMPUTED_VALUE"""),"Elementary")</f>
        <v>Elementary</v>
      </c>
      <c r="S693" s="8" t="str">
        <f ca="1">IFERROR(__xludf.DUMMYFUNCTION("""COMPUTED_VALUE"""),"Football Field/Track")</f>
        <v>Football Field/Track</v>
      </c>
      <c r="T693" s="8" t="str">
        <f ca="1">IFERROR(__xludf.DUMMYFUNCTION("""COMPUTED_VALUE"""),"Outside on School Property")</f>
        <v>Outside on School Property</v>
      </c>
      <c r="U693" s="8" t="str">
        <f ca="1">IFERROR(__xludf.DUMMYFUNCTION("""COMPUTED_VALUE"""),"No")</f>
        <v>No</v>
      </c>
      <c r="V693" s="8" t="str">
        <f ca="1">IFERROR(__xludf.DUMMYFUNCTION("""COMPUTED_VALUE"""),"Night")</f>
        <v>Night</v>
      </c>
      <c r="W693" s="11">
        <f ca="1">IFERROR(__xludf.DUMMYFUNCTION("""COMPUTED_VALUE"""),0.142361111111111)</f>
        <v>0.14236111111111099</v>
      </c>
      <c r="X693" s="8">
        <f ca="1">IFERROR(__xludf.DUMMYFUNCTION("""COMPUTED_VALUE"""),1)</f>
        <v>1</v>
      </c>
      <c r="Y693" s="12" t="str">
        <f ca="1">IFERROR(__xludf.DUMMYFUNCTION("""COMPUTED_VALUE"""),"Teens drove stolen car through school fence, drove around track, and then fired shot at vehicle")</f>
        <v>Teens drove stolen car through school fence, drove around track, and then fired shot at vehicle</v>
      </c>
      <c r="Z693" s="12" t="str">
        <f ca="1">IFERROR(__xludf.DUMMYFUNCTION("""COMPUTED_VALUE"""),"Teens drove stolen car through school fence, drove around track, and then fired shot at vehicle")</f>
        <v>Teens drove stolen car through school fence, drove around track, and then fired shot at vehicle</v>
      </c>
      <c r="AA693" s="8" t="str">
        <f ca="1">IFERROR(__xludf.DUMMYFUNCTION("""COMPUTED_VALUE"""),"Intentional Property Damage")</f>
        <v>Intentional Property Damage</v>
      </c>
      <c r="AB693" s="8"/>
      <c r="AC693" s="8" t="str">
        <f ca="1">IFERROR(__xludf.DUMMYFUNCTION("""COMPUTED_VALUE"""),"No")</f>
        <v>No</v>
      </c>
      <c r="AD693" s="8" t="str">
        <f ca="1">IFERROR(__xludf.DUMMYFUNCTION("""COMPUTED_VALUE"""),"Neither")</f>
        <v>Neither</v>
      </c>
      <c r="AE693" s="8" t="str">
        <f ca="1">IFERROR(__xludf.DUMMYFUNCTION("""COMPUTED_VALUE"""),"Yes")</f>
        <v>Yes</v>
      </c>
      <c r="AF693" s="8" t="str">
        <f ca="1">IFERROR(__xludf.DUMMYFUNCTION("""COMPUTED_VALUE"""),"4 teens")</f>
        <v>4 teens</v>
      </c>
      <c r="AG693" s="8" t="str">
        <f ca="1">IFERROR(__xludf.DUMMYFUNCTION("""COMPUTED_VALUE"""),"No")</f>
        <v>No</v>
      </c>
      <c r="AH693" s="8" t="str">
        <f ca="1">IFERROR(__xludf.DUMMYFUNCTION("""COMPUTED_VALUE"""),"No")</f>
        <v>No</v>
      </c>
      <c r="AI693" s="8" t="str">
        <f ca="1">IFERROR(__xludf.DUMMYFUNCTION("""COMPUTED_VALUE"""),"No")</f>
        <v>No</v>
      </c>
      <c r="AJ693" s="8" t="str">
        <f ca="1">IFERROR(__xludf.DUMMYFUNCTION("""COMPUTED_VALUE"""),"No")</f>
        <v>No</v>
      </c>
      <c r="AK693" s="8" t="str">
        <f ca="1">IFERROR(__xludf.DUMMYFUNCTION("""COMPUTED_VALUE"""),"No")</f>
        <v>No</v>
      </c>
      <c r="AL693" s="8" t="str">
        <f ca="1">IFERROR(__xludf.DUMMYFUNCTION("""COMPUTED_VALUE"""),"No")</f>
        <v>No</v>
      </c>
      <c r="AM693" s="8" t="str">
        <f ca="1">IFERROR(__xludf.DUMMYFUNCTION("""COMPUTED_VALUE"""),"No")</f>
        <v>No</v>
      </c>
      <c r="AN693" s="8" t="str">
        <f ca="1">IFERROR(__xludf.DUMMYFUNCTION("""COMPUTED_VALUE"""),"Outside")</f>
        <v>Outside</v>
      </c>
      <c r="AO693" s="8" t="str">
        <f ca="1">IFERROR(__xludf.DUMMYFUNCTION("""COMPUTED_VALUE"""),"No")</f>
        <v>No</v>
      </c>
      <c r="AP693" s="8"/>
      <c r="AQ693" s="8"/>
      <c r="AR693" s="8" t="str">
        <f ca="1">IFERROR(__xludf.DUMMYFUNCTION("""COMPUTED_VALUE"""),"Outside/Off-Property")</f>
        <v>Outside/Off-Property</v>
      </c>
      <c r="AS693" s="8">
        <f ca="1">IFERROR(__xludf.DUMMYFUNCTION("""COMPUTED_VALUE"""),4)</f>
        <v>4</v>
      </c>
      <c r="AT693" s="8"/>
      <c r="AU693" s="8">
        <f ca="1">IFERROR(__xludf.DUMMYFUNCTION("""COMPUTED_VALUE"""),41.06495)</f>
        <v>41.064950000000003</v>
      </c>
      <c r="AV693" s="8">
        <f ca="1">IFERROR(__xludf.DUMMYFUNCTION("""COMPUTED_VALUE"""),-76.225056)</f>
        <v>-76.225055999999995</v>
      </c>
      <c r="AW693" s="8"/>
      <c r="AX693" s="8">
        <f ca="1">IFERROR(__xludf.DUMMYFUNCTION("""COMPUTED_VALUE"""),18603)</f>
        <v>18603</v>
      </c>
    </row>
    <row r="694" spans="1:50" ht="30" x14ac:dyDescent="0.2">
      <c r="A694" s="8" t="str">
        <f ca="1">IFERROR(__xludf.DUMMYFUNCTION("""COMPUTED_VALUE"""),"20230525OHBEC")</f>
        <v>20230525OHBEC</v>
      </c>
      <c r="B694" s="8">
        <f ca="1">IFERROR(__xludf.DUMMYFUNCTION("""COMPUTED_VALUE"""),5)</f>
        <v>5</v>
      </c>
      <c r="C694" s="8">
        <f ca="1">IFERROR(__xludf.DUMMYFUNCTION("""COMPUTED_VALUE"""),25)</f>
        <v>25</v>
      </c>
      <c r="D694" s="8">
        <f ca="1">IFERROR(__xludf.DUMMYFUNCTION("""COMPUTED_VALUE"""),2023)</f>
        <v>2023</v>
      </c>
      <c r="E694" s="9">
        <f ca="1">IFERROR(__xludf.DUMMYFUNCTION("""COMPUTED_VALUE"""),45071)</f>
        <v>45071</v>
      </c>
      <c r="F694" s="8" t="str">
        <f ca="1">IFERROR(__xludf.DUMMYFUNCTION("""COMPUTED_VALUE"""),"Berwick Alternative Elementary School")</f>
        <v>Berwick Alternative Elementary School</v>
      </c>
      <c r="G694" s="8">
        <f ca="1">IFERROR(__xludf.DUMMYFUNCTION("""COMPUTED_VALUE"""),0)</f>
        <v>0</v>
      </c>
      <c r="H694" s="8">
        <f ca="1">IFERROR(__xludf.DUMMYFUNCTION("""COMPUTED_VALUE"""),1)</f>
        <v>1</v>
      </c>
      <c r="I694" s="8">
        <f ca="1">IFERROR(__xludf.DUMMYFUNCTION("""COMPUTED_VALUE"""),1)</f>
        <v>1</v>
      </c>
      <c r="J694" s="8">
        <f ca="1">IFERROR(__xludf.DUMMYFUNCTION("""COMPUTED_VALUE"""),0)</f>
        <v>0</v>
      </c>
      <c r="K694" s="10" t="str">
        <f ca="1">IFERROR(__xludf.DUMMYFUNCTION("""COMPUTED_VALUE"""),"https://www.nbc4i.com/news/local-news/columbus/berwick-shooting-near-elementary-school-leaves-one-injured/")</f>
        <v>https://www.nbc4i.com/news/local-news/columbus/berwick-shooting-near-elementary-school-leaves-one-injured/</v>
      </c>
      <c r="L694" s="8">
        <f ca="1">IFERROR(__xludf.DUMMYFUNCTION("""COMPUTED_VALUE"""),1)</f>
        <v>1</v>
      </c>
      <c r="M694" s="8" t="str">
        <f ca="1">IFERROR(__xludf.DUMMYFUNCTION("""COMPUTED_VALUE"""),"Local")</f>
        <v>Local</v>
      </c>
      <c r="N694" s="8">
        <f ca="1">IFERROR(__xludf.DUMMYFUNCTION("""COMPUTED_VALUE"""),4)</f>
        <v>4</v>
      </c>
      <c r="O694" s="8" t="str">
        <f ca="1">IFERROR(__xludf.DUMMYFUNCTION("""COMPUTED_VALUE"""),"Spring")</f>
        <v>Spring</v>
      </c>
      <c r="P694" s="8" t="str">
        <f ca="1">IFERROR(__xludf.DUMMYFUNCTION("""COMPUTED_VALUE"""),"Columbus")</f>
        <v>Columbus</v>
      </c>
      <c r="Q694" s="8" t="str">
        <f ca="1">IFERROR(__xludf.DUMMYFUNCTION("""COMPUTED_VALUE"""),"OH")</f>
        <v>OH</v>
      </c>
      <c r="R694" s="8" t="str">
        <f ca="1">IFERROR(__xludf.DUMMYFUNCTION("""COMPUTED_VALUE"""),"Elementary")</f>
        <v>Elementary</v>
      </c>
      <c r="S694" s="8" t="str">
        <f ca="1">IFERROR(__xludf.DUMMYFUNCTION("""COMPUTED_VALUE"""),"Basketball Court")</f>
        <v>Basketball Court</v>
      </c>
      <c r="T694" s="8" t="str">
        <f ca="1">IFERROR(__xludf.DUMMYFUNCTION("""COMPUTED_VALUE"""),"Outside on School Property")</f>
        <v>Outside on School Property</v>
      </c>
      <c r="U694" s="8" t="str">
        <f ca="1">IFERROR(__xludf.DUMMYFUNCTION("""COMPUTED_VALUE"""),"No")</f>
        <v>No</v>
      </c>
      <c r="V694" s="8" t="str">
        <f ca="1">IFERROR(__xludf.DUMMYFUNCTION("""COMPUTED_VALUE"""),"Evening")</f>
        <v>Evening</v>
      </c>
      <c r="W694" s="11">
        <f ca="1">IFERROR(__xludf.DUMMYFUNCTION("""COMPUTED_VALUE"""),0.875)</f>
        <v>0.875</v>
      </c>
      <c r="X694" s="8">
        <f ca="1">IFERROR(__xludf.DUMMYFUNCTION("""COMPUTED_VALUE"""),1)</f>
        <v>1</v>
      </c>
      <c r="Y694" s="12" t="str">
        <f ca="1">IFERROR(__xludf.DUMMYFUNCTION("""COMPUTED_VALUE"""),"Man shot on school basketball court")</f>
        <v>Man shot on school basketball court</v>
      </c>
      <c r="Z694" s="12" t="str">
        <f ca="1">IFERROR(__xludf.DUMMYFUNCTION("""COMPUTED_VALUE"""),"Man was shot on the school basketball court and transported to the hospital. Shooter fled.")</f>
        <v>Man was shot on the school basketball court and transported to the hospital. Shooter fled.</v>
      </c>
      <c r="AA694" s="8" t="str">
        <f ca="1">IFERROR(__xludf.DUMMYFUNCTION("""COMPUTED_VALUE"""),"Drive-by Shooting")</f>
        <v>Drive-by Shooting</v>
      </c>
      <c r="AB694" s="8"/>
      <c r="AC694" s="8" t="str">
        <f ca="1">IFERROR(__xludf.DUMMYFUNCTION("""COMPUTED_VALUE"""),"No")</f>
        <v>No</v>
      </c>
      <c r="AD694" s="8" t="str">
        <f ca="1">IFERROR(__xludf.DUMMYFUNCTION("""COMPUTED_VALUE"""),"Victims Targeted")</f>
        <v>Victims Targeted</v>
      </c>
      <c r="AE694" s="8" t="str">
        <f ca="1">IFERROR(__xludf.DUMMYFUNCTION("""COMPUTED_VALUE"""),"No")</f>
        <v>No</v>
      </c>
      <c r="AF694" s="8"/>
      <c r="AG694" s="8" t="str">
        <f ca="1">IFERROR(__xludf.DUMMYFUNCTION("""COMPUTED_VALUE"""),"No")</f>
        <v>No</v>
      </c>
      <c r="AH694" s="8" t="str">
        <f ca="1">IFERROR(__xludf.DUMMYFUNCTION("""COMPUTED_VALUE"""),"No")</f>
        <v>No</v>
      </c>
      <c r="AI694" s="8" t="str">
        <f ca="1">IFERROR(__xludf.DUMMYFUNCTION("""COMPUTED_VALUE"""),"No")</f>
        <v>No</v>
      </c>
      <c r="AJ694" s="8" t="str">
        <f ca="1">IFERROR(__xludf.DUMMYFUNCTION("""COMPUTED_VALUE"""),"No")</f>
        <v>No</v>
      </c>
      <c r="AK694" s="8" t="str">
        <f ca="1">IFERROR(__xludf.DUMMYFUNCTION("""COMPUTED_VALUE"""),"No")</f>
        <v>No</v>
      </c>
      <c r="AL694" s="8"/>
      <c r="AM694" s="8" t="str">
        <f ca="1">IFERROR(__xludf.DUMMYFUNCTION("""COMPUTED_VALUE"""),"No")</f>
        <v>No</v>
      </c>
      <c r="AN694" s="8" t="str">
        <f ca="1">IFERROR(__xludf.DUMMYFUNCTION("""COMPUTED_VALUE"""),"Outside")</f>
        <v>Outside</v>
      </c>
      <c r="AO694" s="8" t="str">
        <f ca="1">IFERROR(__xludf.DUMMYFUNCTION("""COMPUTED_VALUE"""),"No")</f>
        <v>No</v>
      </c>
      <c r="AP694" s="8"/>
      <c r="AQ694" s="8"/>
      <c r="AR694" s="8" t="str">
        <f ca="1">IFERROR(__xludf.DUMMYFUNCTION("""COMPUTED_VALUE"""),"Outside/Off-Property")</f>
        <v>Outside/Off-Property</v>
      </c>
      <c r="AS694" s="8">
        <f ca="1">IFERROR(__xludf.DUMMYFUNCTION("""COMPUTED_VALUE"""),99)</f>
        <v>99</v>
      </c>
      <c r="AT694" s="8"/>
      <c r="AU694" s="8">
        <f ca="1">IFERROR(__xludf.DUMMYFUNCTION("""COMPUTED_VALUE"""),39.939275)</f>
        <v>39.939275000000002</v>
      </c>
      <c r="AV694" s="8">
        <f ca="1">IFERROR(__xludf.DUMMYFUNCTION("""COMPUTED_VALUE"""),-82.925414)</f>
        <v>-82.925414000000004</v>
      </c>
      <c r="AW694" s="8"/>
      <c r="AX694" s="8">
        <f ca="1">IFERROR(__xludf.DUMMYFUNCTION("""COMPUTED_VALUE"""),43209)</f>
        <v>43209</v>
      </c>
    </row>
    <row r="695" spans="1:50" ht="240" x14ac:dyDescent="0.2">
      <c r="A695" s="8" t="str">
        <f ca="1">IFERROR(__xludf.DUMMYFUNCTION("""COMPUTED_VALUE"""),"20230525MNWAM")</f>
        <v>20230525MNWAM</v>
      </c>
      <c r="B695" s="8">
        <f ca="1">IFERROR(__xludf.DUMMYFUNCTION("""COMPUTED_VALUE"""),5)</f>
        <v>5</v>
      </c>
      <c r="C695" s="8">
        <f ca="1">IFERROR(__xludf.DUMMYFUNCTION("""COMPUTED_VALUE"""),25)</f>
        <v>25</v>
      </c>
      <c r="D695" s="8">
        <f ca="1">IFERROR(__xludf.DUMMYFUNCTION("""COMPUTED_VALUE"""),2023)</f>
        <v>2023</v>
      </c>
      <c r="E695" s="9">
        <f ca="1">IFERROR(__xludf.DUMMYFUNCTION("""COMPUTED_VALUE"""),45071)</f>
        <v>45071</v>
      </c>
      <c r="F695" s="8" t="str">
        <f ca="1">IFERROR(__xludf.DUMMYFUNCTION("""COMPUTED_VALUE"""),"Washburn High School")</f>
        <v>Washburn High School</v>
      </c>
      <c r="G695" s="8">
        <f ca="1">IFERROR(__xludf.DUMMYFUNCTION("""COMPUTED_VALUE"""),0)</f>
        <v>0</v>
      </c>
      <c r="H695" s="8">
        <f ca="1">IFERROR(__xludf.DUMMYFUNCTION("""COMPUTED_VALUE"""),0)</f>
        <v>0</v>
      </c>
      <c r="I695" s="8">
        <f ca="1">IFERROR(__xludf.DUMMYFUNCTION("""COMPUTED_VALUE"""),0)</f>
        <v>0</v>
      </c>
      <c r="J695" s="8">
        <f ca="1">IFERROR(__xludf.DUMMYFUNCTION("""COMPUTED_VALUE"""),0)</f>
        <v>0</v>
      </c>
      <c r="K695" s="8" t="str">
        <f ca="1">IFERROR(__xludf.DUMMYFUNCTION("""COMPUTED_VALUE"""),"https://www.fox9.com/news/teenager-stabbed-at-washburn-high-school-during-large-fight
https://www.kare11.com/article/news/local/2-teens-charged-stabbing-shooting-washburn-high-school/89-a9c6d5fd-5a3b-47a8-a00f-467795ee512b
https://kstp.com/kstp-news/local"&amp;"-news/fight-at-washburn-high-school-leads-to-stabbing-shots-fired/")</f>
        <v>https://www.fox9.com/news/teenager-stabbed-at-washburn-high-school-during-large-fight
https://www.kare11.com/article/news/local/2-teens-charged-stabbing-shooting-washburn-high-school/89-a9c6d5fd-5a3b-47a8-a00f-467795ee512b
https://kstp.com/kstp-news/local-news/fight-at-washburn-high-school-leads-to-stabbing-shots-fired/</v>
      </c>
      <c r="L695" s="8">
        <f ca="1">IFERROR(__xludf.DUMMYFUNCTION("""COMPUTED_VALUE"""),2)</f>
        <v>2</v>
      </c>
      <c r="M695" s="8" t="str">
        <f ca="1">IFERROR(__xludf.DUMMYFUNCTION("""COMPUTED_VALUE"""),"Local")</f>
        <v>Local</v>
      </c>
      <c r="N695" s="8">
        <f ca="1">IFERROR(__xludf.DUMMYFUNCTION("""COMPUTED_VALUE"""),4)</f>
        <v>4</v>
      </c>
      <c r="O695" s="8" t="str">
        <f ca="1">IFERROR(__xludf.DUMMYFUNCTION("""COMPUTED_VALUE"""),"Spring")</f>
        <v>Spring</v>
      </c>
      <c r="P695" s="8" t="str">
        <f ca="1">IFERROR(__xludf.DUMMYFUNCTION("""COMPUTED_VALUE"""),"Minneapolis")</f>
        <v>Minneapolis</v>
      </c>
      <c r="Q695" s="8" t="str">
        <f ca="1">IFERROR(__xludf.DUMMYFUNCTION("""COMPUTED_VALUE"""),"MN")</f>
        <v>MN</v>
      </c>
      <c r="R695" s="8" t="str">
        <f ca="1">IFERROR(__xludf.DUMMYFUNCTION("""COMPUTED_VALUE"""),"High")</f>
        <v>High</v>
      </c>
      <c r="S695" s="8" t="str">
        <f ca="1">IFERROR(__xludf.DUMMYFUNCTION("""COMPUTED_VALUE"""),"Beside Building")</f>
        <v>Beside Building</v>
      </c>
      <c r="T695" s="8" t="str">
        <f ca="1">IFERROR(__xludf.DUMMYFUNCTION("""COMPUTED_VALUE"""),"Outside on School Property")</f>
        <v>Outside on School Property</v>
      </c>
      <c r="U695" s="8" t="str">
        <f ca="1">IFERROR(__xludf.DUMMYFUNCTION("""COMPUTED_VALUE"""),"No")</f>
        <v>No</v>
      </c>
      <c r="V695" s="8" t="str">
        <f ca="1">IFERROR(__xludf.DUMMYFUNCTION("""COMPUTED_VALUE"""),"School Event")</f>
        <v>School Event</v>
      </c>
      <c r="W695" s="11">
        <f ca="1">IFERROR(__xludf.DUMMYFUNCTION("""COMPUTED_VALUE"""),0.829861111111111)</f>
        <v>0.82986111111111105</v>
      </c>
      <c r="X695" s="8">
        <f ca="1">IFERROR(__xludf.DUMMYFUNCTION("""COMPUTED_VALUE"""),1)</f>
        <v>1</v>
      </c>
      <c r="Y695" s="12" t="str">
        <f ca="1">IFERROR(__xludf.DUMMYFUNCTION("""COMPUTED_VALUE"""),"Shots fired during large fight in auditorium, one student stabbed, one student criticall injured")</f>
        <v>Shots fired during large fight in auditorium, one student stabbed, one student criticall injured</v>
      </c>
      <c r="Z695" s="12" t="str">
        <f ca="1">IFERROR(__xludf.DUMMYFUNCTION("""COMPUTED_VALUE"""),"Minneapolis officers got a 911 call about a “large fight” inside the auditorium of Washburn High School around 7:55 p.m. Officers found a 17-year-old who had been stabbed in the back. His wounds were non-life-threatening, and he was brought to the hospita"&amp;"l, police said. As more law enforcement got to the school, bystanders pointed out suspects involved in the fight. Police said that a 15-year-old was later brought to the hospital with a potentially life-threatening injury sustained in the fight. An office"&amp;"r began chasing the suspects, and when he turned a corner, he heard gunfire and saw a muzzle flash, according to police. Three shell casings were later recovered. The 16-year-old who fired the gun has been arrested, and a Glock handgun with a 50-round dru"&amp;"m magazine was recovered, O’Hara said. He added that the officer isn’t sure yet whether the teen was shooting at him.")</f>
        <v>Minneapolis officers got a 911 call about a “large fight” inside the auditorium of Washburn High School around 7:55 p.m. Officers found a 17-year-old who had been stabbed in the back. His wounds were non-life-threatening, and he was brought to the hospital, police said. As more law enforcement got to the school, bystanders pointed out suspects involved in the fight. Police said that a 15-year-old was later brought to the hospital with a potentially life-threatening injury sustained in the fight. An officer began chasing the suspects, and when he turned a corner, he heard gunfire and saw a muzzle flash, according to police. Three shell casings were later recovered. The 16-year-old who fired the gun has been arrested, and a Glock handgun with a 50-round drum magazine was recovered, O’Hara said. He added that the officer isn’t sure yet whether the teen was shooting at him.</v>
      </c>
      <c r="AA695" s="8" t="str">
        <f ca="1">IFERROR(__xludf.DUMMYFUNCTION("""COMPUTED_VALUE"""),"Escalation of Dispute")</f>
        <v>Escalation of Dispute</v>
      </c>
      <c r="AB695" s="8"/>
      <c r="AC695" s="8" t="str">
        <f ca="1">IFERROR(__xludf.DUMMYFUNCTION("""COMPUTED_VALUE"""),"Yes")</f>
        <v>Yes</v>
      </c>
      <c r="AD695" s="8" t="str">
        <f ca="1">IFERROR(__xludf.DUMMYFUNCTION("""COMPUTED_VALUE"""),"Random Shooting")</f>
        <v>Random Shooting</v>
      </c>
      <c r="AE695" s="8" t="str">
        <f ca="1">IFERROR(__xludf.DUMMYFUNCTION("""COMPUTED_VALUE"""),"Yes")</f>
        <v>Yes</v>
      </c>
      <c r="AF695" s="8" t="str">
        <f ca="1">IFERROR(__xludf.DUMMYFUNCTION("""COMPUTED_VALUE"""),"Group of teens running")</f>
        <v>Group of teens running</v>
      </c>
      <c r="AG695" s="8" t="str">
        <f ca="1">IFERROR(__xludf.DUMMYFUNCTION("""COMPUTED_VALUE"""),"No")</f>
        <v>No</v>
      </c>
      <c r="AH695" s="8" t="str">
        <f ca="1">IFERROR(__xludf.DUMMYFUNCTION("""COMPUTED_VALUE"""),"No")</f>
        <v>No</v>
      </c>
      <c r="AI695" s="8" t="str">
        <f ca="1">IFERROR(__xludf.DUMMYFUNCTION("""COMPUTED_VALUE"""),"No")</f>
        <v>No</v>
      </c>
      <c r="AJ695" s="8" t="str">
        <f ca="1">IFERROR(__xludf.DUMMYFUNCTION("""COMPUTED_VALUE"""),"No")</f>
        <v>No</v>
      </c>
      <c r="AK695" s="8" t="str">
        <f ca="1">IFERROR(__xludf.DUMMYFUNCTION("""COMPUTED_VALUE"""),"No")</f>
        <v>No</v>
      </c>
      <c r="AL695" s="8"/>
      <c r="AM695" s="8" t="str">
        <f ca="1">IFERROR(__xludf.DUMMYFUNCTION("""COMPUTED_VALUE"""),"No")</f>
        <v>No</v>
      </c>
      <c r="AN695" s="8" t="str">
        <f ca="1">IFERROR(__xludf.DUMMYFUNCTION("""COMPUTED_VALUE"""),"Outside")</f>
        <v>Outside</v>
      </c>
      <c r="AO695" s="8" t="str">
        <f ca="1">IFERROR(__xludf.DUMMYFUNCTION("""COMPUTED_VALUE"""),"No")</f>
        <v>No</v>
      </c>
      <c r="AP695" s="8"/>
      <c r="AQ695" s="8"/>
      <c r="AR695" s="8" t="str">
        <f ca="1">IFERROR(__xludf.DUMMYFUNCTION("""COMPUTED_VALUE"""),"Failed")</f>
        <v>Failed</v>
      </c>
      <c r="AS695" s="8">
        <f ca="1">IFERROR(__xludf.DUMMYFUNCTION("""COMPUTED_VALUE"""),3)</f>
        <v>3</v>
      </c>
      <c r="AT695" s="8"/>
      <c r="AU695" s="8">
        <f ca="1">IFERROR(__xludf.DUMMYFUNCTION("""COMPUTED_VALUE"""),44.912852)</f>
        <v>44.912852000000001</v>
      </c>
      <c r="AV695" s="8">
        <f ca="1">IFERROR(__xludf.DUMMYFUNCTION("""COMPUTED_VALUE"""),-93.282644)</f>
        <v>-93.282644000000005</v>
      </c>
      <c r="AW695" s="8"/>
      <c r="AX695" s="8">
        <f ca="1">IFERROR(__xludf.DUMMYFUNCTION("""COMPUTED_VALUE"""),55419)</f>
        <v>55419</v>
      </c>
    </row>
    <row r="696" spans="1:50" ht="150" x14ac:dyDescent="0.2">
      <c r="A696" s="8" t="str">
        <f ca="1">IFERROR(__xludf.DUMMYFUNCTION("""COMPUTED_VALUE"""),"20230525CABEM")</f>
        <v>20230525CABEM</v>
      </c>
      <c r="B696" s="8">
        <f ca="1">IFERROR(__xludf.DUMMYFUNCTION("""COMPUTED_VALUE"""),5)</f>
        <v>5</v>
      </c>
      <c r="C696" s="8">
        <f ca="1">IFERROR(__xludf.DUMMYFUNCTION("""COMPUTED_VALUE"""),25)</f>
        <v>25</v>
      </c>
      <c r="D696" s="8">
        <f ca="1">IFERROR(__xludf.DUMMYFUNCTION("""COMPUTED_VALUE"""),2023)</f>
        <v>2023</v>
      </c>
      <c r="E696" s="9">
        <f ca="1">IFERROR(__xludf.DUMMYFUNCTION("""COMPUTED_VALUE"""),45071)</f>
        <v>45071</v>
      </c>
      <c r="F696" s="8" t="str">
        <f ca="1">IFERROR(__xludf.DUMMYFUNCTION("""COMPUTED_VALUE"""),"Berenda Elementary School")</f>
        <v>Berenda Elementary School</v>
      </c>
      <c r="G696" s="8">
        <f ca="1">IFERROR(__xludf.DUMMYFUNCTION("""COMPUTED_VALUE"""),0)</f>
        <v>0</v>
      </c>
      <c r="H696" s="8">
        <f ca="1">IFERROR(__xludf.DUMMYFUNCTION("""COMPUTED_VALUE"""),0)</f>
        <v>0</v>
      </c>
      <c r="I696" s="8">
        <f ca="1">IFERROR(__xludf.DUMMYFUNCTION("""COMPUTED_VALUE"""),0)</f>
        <v>0</v>
      </c>
      <c r="J696" s="8">
        <f ca="1">IFERROR(__xludf.DUMMYFUNCTION("""COMPUTED_VALUE"""),0)</f>
        <v>0</v>
      </c>
      <c r="K696" s="8" t="str">
        <f ca="1">IFERROR(__xludf.DUMMYFUNCTION("""COMPUTED_VALUE"""),"https://abc30.com/shooting-investigation-berenda-elementary-school-club-drive-and-midland-way-lockdown/13301332/
https://www.yourcentralvalley.com/news/crime/deputies-respond-to-shots-fired-call-in-madera/")</f>
        <v>https://abc30.com/shooting-investigation-berenda-elementary-school-club-drive-and-midland-way-lockdown/13301332/
https://www.yourcentralvalley.com/news/crime/deputies-respond-to-shots-fired-call-in-madera/</v>
      </c>
      <c r="L696" s="8">
        <f ca="1">IFERROR(__xludf.DUMMYFUNCTION("""COMPUTED_VALUE"""),10)</f>
        <v>10</v>
      </c>
      <c r="M696" s="8" t="str">
        <f ca="1">IFERROR(__xludf.DUMMYFUNCTION("""COMPUTED_VALUE"""),"National")</f>
        <v>National</v>
      </c>
      <c r="N696" s="8">
        <f ca="1">IFERROR(__xludf.DUMMYFUNCTION("""COMPUTED_VALUE"""),4)</f>
        <v>4</v>
      </c>
      <c r="O696" s="8" t="str">
        <f ca="1">IFERROR(__xludf.DUMMYFUNCTION("""COMPUTED_VALUE"""),"Spring")</f>
        <v>Spring</v>
      </c>
      <c r="P696" s="8" t="str">
        <f ca="1">IFERROR(__xludf.DUMMYFUNCTION("""COMPUTED_VALUE"""),"Madera Acres")</f>
        <v>Madera Acres</v>
      </c>
      <c r="Q696" s="8" t="str">
        <f ca="1">IFERROR(__xludf.DUMMYFUNCTION("""COMPUTED_VALUE"""),"CA")</f>
        <v>CA</v>
      </c>
      <c r="R696" s="8" t="str">
        <f ca="1">IFERROR(__xludf.DUMMYFUNCTION("""COMPUTED_VALUE"""),"Elementary")</f>
        <v>Elementary</v>
      </c>
      <c r="S696" s="8" t="str">
        <f ca="1">IFERROR(__xludf.DUMMYFUNCTION("""COMPUTED_VALUE"""),"Front of School")</f>
        <v>Front of School</v>
      </c>
      <c r="T696" s="8" t="str">
        <f ca="1">IFERROR(__xludf.DUMMYFUNCTION("""COMPUTED_VALUE"""),"Outside on School Property")</f>
        <v>Outside on School Property</v>
      </c>
      <c r="U696" s="8" t="str">
        <f ca="1">IFERROR(__xludf.DUMMYFUNCTION("""COMPUTED_VALUE"""),"No")</f>
        <v>No</v>
      </c>
      <c r="V696" s="8" t="str">
        <f ca="1">IFERROR(__xludf.DUMMYFUNCTION("""COMPUTED_VALUE"""),"School Event")</f>
        <v>School Event</v>
      </c>
      <c r="W696" s="11">
        <f ca="1">IFERROR(__xludf.DUMMYFUNCTION("""COMPUTED_VALUE"""),0.75)</f>
        <v>0.75</v>
      </c>
      <c r="X696" s="8">
        <f ca="1">IFERROR(__xludf.DUMMYFUNCTION("""COMPUTED_VALUE"""),1)</f>
        <v>1</v>
      </c>
      <c r="Y696" s="12" t="str">
        <f ca="1">IFERROR(__xludf.DUMMYFUNCTION("""COMPUTED_VALUE"""),"Shots fired in front of school during end of year dance, school locked down and attendees search for weapons")</f>
        <v>Shots fired in front of school during end of year dance, school locked down and attendees search for weapons</v>
      </c>
      <c r="Z696" s="12" t="str">
        <f ca="1">IFERROR(__xludf.DUMMYFUNCTION("""COMPUTED_VALUE"""),"Deputies say around 6:00 p.m. they responded to a shots fired call across from Berenda Elementary School. Upon arrival, authorities say they found evidence that a shooting did occur and learned the school nearby was having a dance. The Madera County Sheri"&amp;"ff's Office says the campus was placed on lockdown in the middle of a school dance. No injuries were reported. Detectives are actively investigating the scene and say preliminary investigation suggests there were likely at least four people involved in th"&amp;"e shooting.")</f>
        <v>Deputies say around 6:00 p.m. they responded to a shots fired call across from Berenda Elementary School. Upon arrival, authorities say they found evidence that a shooting did occur and learned the school nearby was having a dance. The Madera County Sheriff's Office says the campus was placed on lockdown in the middle of a school dance. No injuries were reported. Detectives are actively investigating the scene and say preliminary investigation suggests there were likely at least four people involved in the shooting.</v>
      </c>
      <c r="AA696" s="8" t="str">
        <f ca="1">IFERROR(__xludf.DUMMYFUNCTION("""COMPUTED_VALUE"""),"Escalation of Dispute")</f>
        <v>Escalation of Dispute</v>
      </c>
      <c r="AB696" s="8"/>
      <c r="AC696" s="8" t="str">
        <f ca="1">IFERROR(__xludf.DUMMYFUNCTION("""COMPUTED_VALUE"""),"Yes")</f>
        <v>Yes</v>
      </c>
      <c r="AD696" s="8" t="str">
        <f ca="1">IFERROR(__xludf.DUMMYFUNCTION("""COMPUTED_VALUE"""),"Victims Targeted")</f>
        <v>Victims Targeted</v>
      </c>
      <c r="AE696" s="8" t="str">
        <f ca="1">IFERROR(__xludf.DUMMYFUNCTION("""COMPUTED_VALUE"""),"Yes")</f>
        <v>Yes</v>
      </c>
      <c r="AF696" s="8" t="str">
        <f ca="1">IFERROR(__xludf.DUMMYFUNCTION("""COMPUTED_VALUE"""),"Group")</f>
        <v>Group</v>
      </c>
      <c r="AG696" s="8" t="str">
        <f ca="1">IFERROR(__xludf.DUMMYFUNCTION("""COMPUTED_VALUE"""),"No")</f>
        <v>No</v>
      </c>
      <c r="AH696" s="8" t="str">
        <f ca="1">IFERROR(__xludf.DUMMYFUNCTION("""COMPUTED_VALUE"""),"No")</f>
        <v>No</v>
      </c>
      <c r="AI696" s="8" t="str">
        <f ca="1">IFERROR(__xludf.DUMMYFUNCTION("""COMPUTED_VALUE"""),"No")</f>
        <v>No</v>
      </c>
      <c r="AJ696" s="8" t="str">
        <f ca="1">IFERROR(__xludf.DUMMYFUNCTION("""COMPUTED_VALUE"""),"No")</f>
        <v>No</v>
      </c>
      <c r="AK696" s="8" t="str">
        <f ca="1">IFERROR(__xludf.DUMMYFUNCTION("""COMPUTED_VALUE"""),"No")</f>
        <v>No</v>
      </c>
      <c r="AL696" s="8"/>
      <c r="AM696" s="8" t="str">
        <f ca="1">IFERROR(__xludf.DUMMYFUNCTION("""COMPUTED_VALUE"""),"No")</f>
        <v>No</v>
      </c>
      <c r="AN696" s="8" t="str">
        <f ca="1">IFERROR(__xludf.DUMMYFUNCTION("""COMPUTED_VALUE"""),"Outside")</f>
        <v>Outside</v>
      </c>
      <c r="AO696" s="8" t="str">
        <f ca="1">IFERROR(__xludf.DUMMYFUNCTION("""COMPUTED_VALUE"""),"No")</f>
        <v>No</v>
      </c>
      <c r="AP696" s="8"/>
      <c r="AQ696" s="8"/>
      <c r="AR696" s="8" t="str">
        <f ca="1">IFERROR(__xludf.DUMMYFUNCTION("""COMPUTED_VALUE"""),"Outside/Off-Property")</f>
        <v>Outside/Off-Property</v>
      </c>
      <c r="AS696" s="8">
        <f ca="1">IFERROR(__xludf.DUMMYFUNCTION("""COMPUTED_VALUE"""),99)</f>
        <v>99</v>
      </c>
      <c r="AT696" s="8" t="str">
        <f ca="1">IFERROR(__xludf.DUMMYFUNCTION("""COMPUTED_VALUE"""),"Yes")</f>
        <v>Yes</v>
      </c>
      <c r="AU696" s="8">
        <f ca="1">IFERROR(__xludf.DUMMYFUNCTION("""COMPUTED_VALUE"""),37.024159)</f>
        <v>37.024158999999997</v>
      </c>
      <c r="AV696" s="8">
        <f ca="1">IFERROR(__xludf.DUMMYFUNCTION("""COMPUTED_VALUE"""),-120.058545)</f>
        <v>-120.058545</v>
      </c>
      <c r="AW696" s="8"/>
      <c r="AX696" s="8">
        <f ca="1">IFERROR(__xludf.DUMMYFUNCTION("""COMPUTED_VALUE"""),93638)</f>
        <v>93638</v>
      </c>
    </row>
    <row r="697" spans="1:50" ht="120" x14ac:dyDescent="0.2">
      <c r="A697" s="8" t="str">
        <f ca="1">IFERROR(__xludf.DUMMYFUNCTION("""COMPUTED_VALUE"""),"20230524PAOLP")</f>
        <v>20230524PAOLP</v>
      </c>
      <c r="B697" s="8">
        <f ca="1">IFERROR(__xludf.DUMMYFUNCTION("""COMPUTED_VALUE"""),5)</f>
        <v>5</v>
      </c>
      <c r="C697" s="8">
        <f ca="1">IFERROR(__xludf.DUMMYFUNCTION("""COMPUTED_VALUE"""),24)</f>
        <v>24</v>
      </c>
      <c r="D697" s="8">
        <f ca="1">IFERROR(__xludf.DUMMYFUNCTION("""COMPUTED_VALUE"""),2023)</f>
        <v>2023</v>
      </c>
      <c r="E697" s="9">
        <f ca="1">IFERROR(__xludf.DUMMYFUNCTION("""COMPUTED_VALUE"""),45070)</f>
        <v>45070</v>
      </c>
      <c r="F697" s="8" t="str">
        <f ca="1">IFERROR(__xludf.DUMMYFUNCTION("""COMPUTED_VALUE"""),"Oliver Citywide Academy")</f>
        <v>Oliver Citywide Academy</v>
      </c>
      <c r="G697" s="8">
        <f ca="1">IFERROR(__xludf.DUMMYFUNCTION("""COMPUTED_VALUE"""),1)</f>
        <v>1</v>
      </c>
      <c r="H697" s="8">
        <f ca="1">IFERROR(__xludf.DUMMYFUNCTION("""COMPUTED_VALUE"""),0)</f>
        <v>0</v>
      </c>
      <c r="I697" s="8">
        <f ca="1">IFERROR(__xludf.DUMMYFUNCTION("""COMPUTED_VALUE"""),1)</f>
        <v>1</v>
      </c>
      <c r="J697" s="8">
        <f ca="1">IFERROR(__xludf.DUMMYFUNCTION("""COMPUTED_VALUE"""),0)</f>
        <v>0</v>
      </c>
      <c r="K697" s="8" t="str">
        <f ca="1">IFERROR(__xludf.DUMMYFUNCTION("""COMPUTED_VALUE"""),"https://www.wtae.com/article/oliver-citywide-pittsburgh-shooting/43987257
https://www.wkbn.com/news/pennsylvania/ap-police-student-fatally-shot-by-another-student-outside-pittsburgh-school/
https://www.wtae.com/article/oliver-citywide-pittsburgh-shooting/"&amp;"43987257#")</f>
        <v>https://www.wtae.com/article/oliver-citywide-pittsburgh-shooting/43987257
https://www.wkbn.com/news/pennsylvania/ap-police-student-fatally-shot-by-another-student-outside-pittsburgh-school/
https://www.wtae.com/article/oliver-citywide-pittsburgh-shooting/43987257#</v>
      </c>
      <c r="L697" s="8">
        <f ca="1">IFERROR(__xludf.DUMMYFUNCTION("""COMPUTED_VALUE"""),20)</f>
        <v>20</v>
      </c>
      <c r="M697" s="8" t="str">
        <f ca="1">IFERROR(__xludf.DUMMYFUNCTION("""COMPUTED_VALUE"""),"Regional")</f>
        <v>Regional</v>
      </c>
      <c r="N697" s="8">
        <f ca="1">IFERROR(__xludf.DUMMYFUNCTION("""COMPUTED_VALUE"""),4)</f>
        <v>4</v>
      </c>
      <c r="O697" s="8" t="str">
        <f ca="1">IFERROR(__xludf.DUMMYFUNCTION("""COMPUTED_VALUE"""),"Spring")</f>
        <v>Spring</v>
      </c>
      <c r="P697" s="8" t="str">
        <f ca="1">IFERROR(__xludf.DUMMYFUNCTION("""COMPUTED_VALUE"""),"Pittsburgh")</f>
        <v>Pittsburgh</v>
      </c>
      <c r="Q697" s="8" t="str">
        <f ca="1">IFERROR(__xludf.DUMMYFUNCTION("""COMPUTED_VALUE"""),"PA")</f>
        <v>PA</v>
      </c>
      <c r="R697" s="8" t="str">
        <f ca="1">IFERROR(__xludf.DUMMYFUNCTION("""COMPUTED_VALUE"""),"K-12")</f>
        <v>K-12</v>
      </c>
      <c r="S697" s="8" t="str">
        <f ca="1">IFERROR(__xludf.DUMMYFUNCTION("""COMPUTED_VALUE"""),"Front of School")</f>
        <v>Front of School</v>
      </c>
      <c r="T697" s="8" t="str">
        <f ca="1">IFERROR(__xludf.DUMMYFUNCTION("""COMPUTED_VALUE"""),"Outside on School Property")</f>
        <v>Outside on School Property</v>
      </c>
      <c r="U697" s="8" t="str">
        <f ca="1">IFERROR(__xludf.DUMMYFUNCTION("""COMPUTED_VALUE"""),"Yes")</f>
        <v>Yes</v>
      </c>
      <c r="V697" s="8" t="str">
        <f ca="1">IFERROR(__xludf.DUMMYFUNCTION("""COMPUTED_VALUE"""),"School Start")</f>
        <v>School Start</v>
      </c>
      <c r="W697" s="11">
        <f ca="1">IFERROR(__xludf.DUMMYFUNCTION("""COMPUTED_VALUE"""),0.309027777777777)</f>
        <v>0.30902777777777701</v>
      </c>
      <c r="X697" s="8">
        <f ca="1">IFERROR(__xludf.DUMMYFUNCTION("""COMPUTED_VALUE"""),1)</f>
        <v>1</v>
      </c>
      <c r="Y697" s="12" t="str">
        <f ca="1">IFERROR(__xludf.DUMMYFUNCTION("""COMPUTED_VALUE"""),"Student fatally shot on the front steps while waiting for doors to open, student shooter fled")</f>
        <v>Student fatally shot on the front steps while waiting for doors to open, student shooter fled</v>
      </c>
      <c r="Z697" s="12" t="str">
        <f ca="1">IFERROR(__xludf.DUMMYFUNCTION("""COMPUTED_VALUE"""),"Pittsburgh police said the shooting happened around 7:25 a.m. Wednesday as students began arriving for the school day. As many as eleven gunshots were fired along Brighton Road. The male victim was found outside the school and taken to the hospital, where"&amp;" they later died. Shooter dropped 9mm handgun in front of school and was arrested away from the campus. School switched to virtual learning for the remainder of the school year after the shooting.")</f>
        <v>Pittsburgh police said the shooting happened around 7:25 a.m. Wednesday as students began arriving for the school day. As many as eleven gunshots were fired along Brighton Road. The male victim was found outside the school and taken to the hospital, where they later died. Shooter dropped 9mm handgun in front of school and was arrested away from the campus. School switched to virtual learning for the remainder of the school year after the shooting.</v>
      </c>
      <c r="AA697" s="8"/>
      <c r="AB697" s="8"/>
      <c r="AC697" s="8" t="str">
        <f ca="1">IFERROR(__xludf.DUMMYFUNCTION("""COMPUTED_VALUE"""),"Yes")</f>
        <v>Yes</v>
      </c>
      <c r="AD697" s="8" t="str">
        <f ca="1">IFERROR(__xludf.DUMMYFUNCTION("""COMPUTED_VALUE"""),"Victims Targeted")</f>
        <v>Victims Targeted</v>
      </c>
      <c r="AE697" s="8" t="str">
        <f ca="1">IFERROR(__xludf.DUMMYFUNCTION("""COMPUTED_VALUE"""),"No")</f>
        <v>No</v>
      </c>
      <c r="AF697" s="8"/>
      <c r="AG697" s="8" t="str">
        <f ca="1">IFERROR(__xludf.DUMMYFUNCTION("""COMPUTED_VALUE"""),"No")</f>
        <v>No</v>
      </c>
      <c r="AH697" s="8" t="str">
        <f ca="1">IFERROR(__xludf.DUMMYFUNCTION("""COMPUTED_VALUE"""),"No")</f>
        <v>No</v>
      </c>
      <c r="AI697" s="8" t="str">
        <f ca="1">IFERROR(__xludf.DUMMYFUNCTION("""COMPUTED_VALUE"""),"No")</f>
        <v>No</v>
      </c>
      <c r="AJ697" s="8"/>
      <c r="AK697" s="8" t="str">
        <f ca="1">IFERROR(__xludf.DUMMYFUNCTION("""COMPUTED_VALUE"""),"No")</f>
        <v>No</v>
      </c>
      <c r="AL697" s="8"/>
      <c r="AM697" s="8" t="str">
        <f ca="1">IFERROR(__xludf.DUMMYFUNCTION("""COMPUTED_VALUE"""),"No")</f>
        <v>No</v>
      </c>
      <c r="AN697" s="8" t="str">
        <f ca="1">IFERROR(__xludf.DUMMYFUNCTION("""COMPUTED_VALUE"""),"Outside")</f>
        <v>Outside</v>
      </c>
      <c r="AO697" s="8" t="str">
        <f ca="1">IFERROR(__xludf.DUMMYFUNCTION("""COMPUTED_VALUE"""),"No")</f>
        <v>No</v>
      </c>
      <c r="AP697" s="8"/>
      <c r="AQ697" s="8"/>
      <c r="AR697" s="8" t="str">
        <f ca="1">IFERROR(__xludf.DUMMYFUNCTION("""COMPUTED_VALUE"""),"Outside/Off-Property")</f>
        <v>Outside/Off-Property</v>
      </c>
      <c r="AS697" s="8">
        <f ca="1">IFERROR(__xludf.DUMMYFUNCTION("""COMPUTED_VALUE"""),11)</f>
        <v>11</v>
      </c>
      <c r="AT697" s="8" t="str">
        <f ca="1">IFERROR(__xludf.DUMMYFUNCTION("""COMPUTED_VALUE"""),"Yes")</f>
        <v>Yes</v>
      </c>
      <c r="AU697" s="8">
        <f ca="1">IFERROR(__xludf.DUMMYFUNCTION("""COMPUTED_VALUE"""),40.464471)</f>
        <v>40.464471000000003</v>
      </c>
      <c r="AV697" s="8">
        <f ca="1">IFERROR(__xludf.DUMMYFUNCTION("""COMPUTED_VALUE"""),-80.024013)</f>
        <v>-80.024012999999997</v>
      </c>
      <c r="AW697" s="8"/>
      <c r="AX697" s="8">
        <f ca="1">IFERROR(__xludf.DUMMYFUNCTION("""COMPUTED_VALUE"""),15212)</f>
        <v>15212</v>
      </c>
    </row>
    <row r="698" spans="1:50" ht="90" x14ac:dyDescent="0.2">
      <c r="A698" s="8" t="str">
        <f ca="1">IFERROR(__xludf.DUMMYFUNCTION("""COMPUTED_VALUE"""),"20230524NCNOD")</f>
        <v>20230524NCNOD</v>
      </c>
      <c r="B698" s="8">
        <f ca="1">IFERROR(__xludf.DUMMYFUNCTION("""COMPUTED_VALUE"""),5)</f>
        <v>5</v>
      </c>
      <c r="C698" s="8">
        <f ca="1">IFERROR(__xludf.DUMMYFUNCTION("""COMPUTED_VALUE"""),24)</f>
        <v>24</v>
      </c>
      <c r="D698" s="8">
        <f ca="1">IFERROR(__xludf.DUMMYFUNCTION("""COMPUTED_VALUE"""),2023)</f>
        <v>2023</v>
      </c>
      <c r="E698" s="9">
        <f ca="1">IFERROR(__xludf.DUMMYFUNCTION("""COMPUTED_VALUE"""),45070)</f>
        <v>45070</v>
      </c>
      <c r="F698" s="8" t="str">
        <f ca="1">IFERROR(__xludf.DUMMYFUNCTION("""COMPUTED_VALUE"""),"Northern High School")</f>
        <v>Northern High School</v>
      </c>
      <c r="G698" s="8">
        <f ca="1">IFERROR(__xludf.DUMMYFUNCTION("""COMPUTED_VALUE"""),0)</f>
        <v>0</v>
      </c>
      <c r="H698" s="8">
        <f ca="1">IFERROR(__xludf.DUMMYFUNCTION("""COMPUTED_VALUE"""),0)</f>
        <v>0</v>
      </c>
      <c r="I698" s="8">
        <f ca="1">IFERROR(__xludf.DUMMYFUNCTION("""COMPUTED_VALUE"""),0)</f>
        <v>0</v>
      </c>
      <c r="J698" s="8">
        <f ca="1">IFERROR(__xludf.DUMMYFUNCTION("""COMPUTED_VALUE"""),0)</f>
        <v>0</v>
      </c>
      <c r="K698" s="10" t="str">
        <f ca="1">IFERROR(__xludf.DUMMYFUNCTION("""COMPUTED_VALUE"""),"https://abc11.com/northern-high-school-lockdown-secure-status-durham/13294368/")</f>
        <v>https://abc11.com/northern-high-school-lockdown-secure-status-durham/13294368/</v>
      </c>
      <c r="L698" s="8">
        <f ca="1">IFERROR(__xludf.DUMMYFUNCTION("""COMPUTED_VALUE"""),10)</f>
        <v>10</v>
      </c>
      <c r="M698" s="8" t="str">
        <f ca="1">IFERROR(__xludf.DUMMYFUNCTION("""COMPUTED_VALUE"""),"National")</f>
        <v>National</v>
      </c>
      <c r="N698" s="8">
        <f ca="1">IFERROR(__xludf.DUMMYFUNCTION("""COMPUTED_VALUE"""),4)</f>
        <v>4</v>
      </c>
      <c r="O698" s="8" t="str">
        <f ca="1">IFERROR(__xludf.DUMMYFUNCTION("""COMPUTED_VALUE"""),"Spring")</f>
        <v>Spring</v>
      </c>
      <c r="P698" s="8" t="str">
        <f ca="1">IFERROR(__xludf.DUMMYFUNCTION("""COMPUTED_VALUE"""),"Durham")</f>
        <v>Durham</v>
      </c>
      <c r="Q698" s="8" t="str">
        <f ca="1">IFERROR(__xludf.DUMMYFUNCTION("""COMPUTED_VALUE"""),"NC")</f>
        <v>NC</v>
      </c>
      <c r="R698" s="8" t="str">
        <f ca="1">IFERROR(__xludf.DUMMYFUNCTION("""COMPUTED_VALUE"""),"High")</f>
        <v>High</v>
      </c>
      <c r="S698" s="8" t="str">
        <f ca="1">IFERROR(__xludf.DUMMYFUNCTION("""COMPUTED_VALUE"""),"Off School Property")</f>
        <v>Off School Property</v>
      </c>
      <c r="T698" s="8" t="str">
        <f ca="1">IFERROR(__xludf.DUMMYFUNCTION("""COMPUTED_VALUE"""),"Off School Property")</f>
        <v>Off School Property</v>
      </c>
      <c r="U698" s="8" t="str">
        <f ca="1">IFERROR(__xludf.DUMMYFUNCTION("""COMPUTED_VALUE"""),"Yes")</f>
        <v>Yes</v>
      </c>
      <c r="V698" s="8" t="str">
        <f ca="1">IFERROR(__xludf.DUMMYFUNCTION("""COMPUTED_VALUE"""),"Afternoon Classes")</f>
        <v>Afternoon Classes</v>
      </c>
      <c r="W698" s="11">
        <f ca="1">IFERROR(__xludf.DUMMYFUNCTION("""COMPUTED_VALUE"""),0.583333333333333)</f>
        <v>0.58333333333333304</v>
      </c>
      <c r="X698" s="8">
        <f ca="1">IFERROR(__xludf.DUMMYFUNCTION("""COMPUTED_VALUE"""),1)</f>
        <v>1</v>
      </c>
      <c r="Y698" s="12" t="str">
        <f ca="1">IFERROR(__xludf.DUMMYFUNCTION("""COMPUTED_VALUE"""),"Teen was dropped of on street behind high school with AK-47 rifle wearing ski mask, school went on lockdown")</f>
        <v>Teen was dropped of on street behind high school with AK-47 rifle wearing ski mask, school went on lockdown</v>
      </c>
      <c r="Z698" s="12" t="str">
        <f ca="1">IFERROR(__xludf.DUMMYFUNCTION("""COMPUTED_VALUE"""),"16-year-old was dropped of on street behind high school with AK-47 rifle wearing ski mask, school went on lockdown. Police arrested teen off school property. Third time teen was arrested with a firearm.")</f>
        <v>16-year-old was dropped of on street behind high school with AK-47 rifle wearing ski mask, school went on lockdown. Police arrested teen off school property. Third time teen was arrested with a firearm.</v>
      </c>
      <c r="AA698" s="8"/>
      <c r="AB698" s="8"/>
      <c r="AC698" s="8" t="str">
        <f ca="1">IFERROR(__xludf.DUMMYFUNCTION("""COMPUTED_VALUE"""),"Yes")</f>
        <v>Yes</v>
      </c>
      <c r="AD698" s="8"/>
      <c r="AE698" s="8" t="str">
        <f ca="1">IFERROR(__xludf.DUMMYFUNCTION("""COMPUTED_VALUE"""),"Yes")</f>
        <v>Yes</v>
      </c>
      <c r="AF698" s="8" t="str">
        <f ca="1">IFERROR(__xludf.DUMMYFUNCTION("""COMPUTED_VALUE"""),"Dropped off in stolen vehicle")</f>
        <v>Dropped off in stolen vehicle</v>
      </c>
      <c r="AG698" s="8" t="str">
        <f ca="1">IFERROR(__xludf.DUMMYFUNCTION("""COMPUTED_VALUE"""),"No")</f>
        <v>No</v>
      </c>
      <c r="AH698" s="8" t="str">
        <f ca="1">IFERROR(__xludf.DUMMYFUNCTION("""COMPUTED_VALUE"""),"No")</f>
        <v>No</v>
      </c>
      <c r="AI698" s="8" t="str">
        <f ca="1">IFERROR(__xludf.DUMMYFUNCTION("""COMPUTED_VALUE"""),"No")</f>
        <v>No</v>
      </c>
      <c r="AJ698" s="8" t="str">
        <f ca="1">IFERROR(__xludf.DUMMYFUNCTION("""COMPUTED_VALUE"""),"No")</f>
        <v>No</v>
      </c>
      <c r="AK698" s="8" t="str">
        <f ca="1">IFERROR(__xludf.DUMMYFUNCTION("""COMPUTED_VALUE"""),"No")</f>
        <v>No</v>
      </c>
      <c r="AL698" s="8"/>
      <c r="AM698" s="8" t="str">
        <f ca="1">IFERROR(__xludf.DUMMYFUNCTION("""COMPUTED_VALUE"""),"No")</f>
        <v>No</v>
      </c>
      <c r="AN698" s="8" t="str">
        <f ca="1">IFERROR(__xludf.DUMMYFUNCTION("""COMPUTED_VALUE"""),"Outside")</f>
        <v>Outside</v>
      </c>
      <c r="AO698" s="8"/>
      <c r="AP698" s="8"/>
      <c r="AQ698" s="8"/>
      <c r="AR698" s="8" t="str">
        <f ca="1">IFERROR(__xludf.DUMMYFUNCTION("""COMPUTED_VALUE"""),"Outside/Off-Property")</f>
        <v>Outside/Off-Property</v>
      </c>
      <c r="AS698" s="8">
        <f ca="1">IFERROR(__xludf.DUMMYFUNCTION("""COMPUTED_VALUE"""),0)</f>
        <v>0</v>
      </c>
      <c r="AT698" s="8" t="str">
        <f ca="1">IFERROR(__xludf.DUMMYFUNCTION("""COMPUTED_VALUE"""),"Yes")</f>
        <v>Yes</v>
      </c>
      <c r="AU698" s="8">
        <f ca="1">IFERROR(__xludf.DUMMYFUNCTION("""COMPUTED_VALUE"""),36.094642)</f>
        <v>36.094642</v>
      </c>
      <c r="AV698" s="8">
        <f ca="1">IFERROR(__xludf.DUMMYFUNCTION("""COMPUTED_VALUE"""),-78.911285)</f>
        <v>-78.911285000000007</v>
      </c>
      <c r="AW698" s="8"/>
      <c r="AX698" s="8">
        <f ca="1">IFERROR(__xludf.DUMMYFUNCTION("""COMPUTED_VALUE"""),27712)</f>
        <v>27712</v>
      </c>
    </row>
    <row r="699" spans="1:50" ht="180" x14ac:dyDescent="0.2">
      <c r="A699" s="8" t="str">
        <f ca="1">IFERROR(__xludf.DUMMYFUNCTION("""COMPUTED_VALUE"""),"20230524NCJHG")</f>
        <v>20230524NCJHG</v>
      </c>
      <c r="B699" s="8">
        <f ca="1">IFERROR(__xludf.DUMMYFUNCTION("""COMPUTED_VALUE"""),5)</f>
        <v>5</v>
      </c>
      <c r="C699" s="8">
        <f ca="1">IFERROR(__xludf.DUMMYFUNCTION("""COMPUTED_VALUE"""),24)</f>
        <v>24</v>
      </c>
      <c r="D699" s="8">
        <f ca="1">IFERROR(__xludf.DUMMYFUNCTION("""COMPUTED_VALUE"""),2023)</f>
        <v>2023</v>
      </c>
      <c r="E699" s="9">
        <f ca="1">IFERROR(__xludf.DUMMYFUNCTION("""COMPUTED_VALUE"""),45070)</f>
        <v>45070</v>
      </c>
      <c r="F699" s="8" t="str">
        <f ca="1">IFERROR(__xludf.DUMMYFUNCTION("""COMPUTED_VALUE"""),"J.H. Rose High School")</f>
        <v>J.H. Rose High School</v>
      </c>
      <c r="G699" s="8">
        <f ca="1">IFERROR(__xludf.DUMMYFUNCTION("""COMPUTED_VALUE"""),0)</f>
        <v>0</v>
      </c>
      <c r="H699" s="8">
        <f ca="1">IFERROR(__xludf.DUMMYFUNCTION("""COMPUTED_VALUE"""),1)</f>
        <v>1</v>
      </c>
      <c r="I699" s="8">
        <f ca="1">IFERROR(__xludf.DUMMYFUNCTION("""COMPUTED_VALUE"""),1)</f>
        <v>1</v>
      </c>
      <c r="J699" s="8">
        <f ca="1">IFERROR(__xludf.DUMMYFUNCTION("""COMPUTED_VALUE"""),0)</f>
        <v>0</v>
      </c>
      <c r="K699" s="8" t="str">
        <f ca="1">IFERROR(__xludf.DUMMYFUNCTION("""COMPUTED_VALUE"""),"https://wcti12.com/news/local/two-arrested-in-relation-to-shooting-outside-jh-rose-in-late-may
https://www.witn.com/2023/05/24/jh-rose-high-school-put-lockdown-police-ems-football-field/")</f>
        <v>https://wcti12.com/news/local/two-arrested-in-relation-to-shooting-outside-jh-rose-in-late-may
https://www.witn.com/2023/05/24/jh-rose-high-school-put-lockdown-police-ems-football-field/</v>
      </c>
      <c r="L699" s="8">
        <f ca="1">IFERROR(__xludf.DUMMYFUNCTION("""COMPUTED_VALUE"""),10)</f>
        <v>10</v>
      </c>
      <c r="M699" s="8" t="str">
        <f ca="1">IFERROR(__xludf.DUMMYFUNCTION("""COMPUTED_VALUE"""),"Regional")</f>
        <v>Regional</v>
      </c>
      <c r="N699" s="8">
        <f ca="1">IFERROR(__xludf.DUMMYFUNCTION("""COMPUTED_VALUE"""),4)</f>
        <v>4</v>
      </c>
      <c r="O699" s="8" t="str">
        <f ca="1">IFERROR(__xludf.DUMMYFUNCTION("""COMPUTED_VALUE"""),"Spring")</f>
        <v>Spring</v>
      </c>
      <c r="P699" s="8" t="str">
        <f ca="1">IFERROR(__xludf.DUMMYFUNCTION("""COMPUTED_VALUE"""),"Greenville")</f>
        <v>Greenville</v>
      </c>
      <c r="Q699" s="8" t="str">
        <f ca="1">IFERROR(__xludf.DUMMYFUNCTION("""COMPUTED_VALUE"""),"NC")</f>
        <v>NC</v>
      </c>
      <c r="R699" s="8" t="str">
        <f ca="1">IFERROR(__xludf.DUMMYFUNCTION("""COMPUTED_VALUE"""),"High")</f>
        <v>High</v>
      </c>
      <c r="S699" s="8" t="str">
        <f ca="1">IFERROR(__xludf.DUMMYFUNCTION("""COMPUTED_VALUE"""),"Football Field/Track")</f>
        <v>Football Field/Track</v>
      </c>
      <c r="T699" s="8" t="str">
        <f ca="1">IFERROR(__xludf.DUMMYFUNCTION("""COMPUTED_VALUE"""),"Outside on School Property")</f>
        <v>Outside on School Property</v>
      </c>
      <c r="U699" s="8" t="str">
        <f ca="1">IFERROR(__xludf.DUMMYFUNCTION("""COMPUTED_VALUE"""),"Yes")</f>
        <v>Yes</v>
      </c>
      <c r="V699" s="8" t="str">
        <f ca="1">IFERROR(__xludf.DUMMYFUNCTION("""COMPUTED_VALUE"""),"Morning Classes")</f>
        <v>Morning Classes</v>
      </c>
      <c r="W699" s="11">
        <f ca="1">IFERROR(__xludf.DUMMYFUNCTION("""COMPUTED_VALUE"""),0.444444444444444)</f>
        <v>0.44444444444444398</v>
      </c>
      <c r="X699" s="8">
        <f ca="1">IFERROR(__xludf.DUMMYFUNCTION("""COMPUTED_VALUE"""),1)</f>
        <v>1</v>
      </c>
      <c r="Y699" s="12" t="str">
        <f ca="1">IFERROR(__xludf.DUMMYFUNCTION("""COMPUTED_VALUE"""),"Teen shot on athletic field during morning classes")</f>
        <v>Teen shot on athletic field during morning classes</v>
      </c>
      <c r="Z699" s="12" t="str">
        <f ca="1">IFERROR(__xludf.DUMMYFUNCTION("""COMPUTED_VALUE"""),"Around 10:40 in the morning, police responded to a Shotspotter alert in the immediate area of J.H. Rose High School. Officers found an 18-year-old male on a recreational practice field in the area of Marvin Jarman Drive. The man sustained a non-life-threa"&amp;"tening gunshot wound to the leg and was transported to ECU Health Medical Center. The shooting appears to have been a targeted incident. Investigators said the victim was not a student and the shooting was not related to any school activities. J.H. Rose H"&amp;"igh School was immediately secured and placed on lockdown for approximately 30 minutes as a precaution.")</f>
        <v>Around 10:40 in the morning, police responded to a Shotspotter alert in the immediate area of J.H. Rose High School. Officers found an 18-year-old male on a recreational practice field in the area of Marvin Jarman Drive. The man sustained a non-life-threatening gunshot wound to the leg and was transported to ECU Health Medical Center. The shooting appears to have been a targeted incident. Investigators said the victim was not a student and the shooting was not related to any school activities. J.H. Rose High School was immediately secured and placed on lockdown for approximately 30 minutes as a precaution.</v>
      </c>
      <c r="AA699" s="8" t="str">
        <f ca="1">IFERROR(__xludf.DUMMYFUNCTION("""COMPUTED_VALUE"""),"Escalation of Dispute")</f>
        <v>Escalation of Dispute</v>
      </c>
      <c r="AB699" s="8"/>
      <c r="AC699" s="8" t="str">
        <f ca="1">IFERROR(__xludf.DUMMYFUNCTION("""COMPUTED_VALUE"""),"Yes")</f>
        <v>Yes</v>
      </c>
      <c r="AD699" s="8" t="str">
        <f ca="1">IFERROR(__xludf.DUMMYFUNCTION("""COMPUTED_VALUE"""),"Victims Targeted")</f>
        <v>Victims Targeted</v>
      </c>
      <c r="AE699" s="8" t="str">
        <f ca="1">IFERROR(__xludf.DUMMYFUNCTION("""COMPUTED_VALUE"""),"Yes")</f>
        <v>Yes</v>
      </c>
      <c r="AF699" s="8" t="str">
        <f ca="1">IFERROR(__xludf.DUMMYFUNCTION("""COMPUTED_VALUE"""),"4 people fled in vehicle")</f>
        <v>4 people fled in vehicle</v>
      </c>
      <c r="AG699" s="8" t="str">
        <f ca="1">IFERROR(__xludf.DUMMYFUNCTION("""COMPUTED_VALUE"""),"No")</f>
        <v>No</v>
      </c>
      <c r="AH699" s="8" t="str">
        <f ca="1">IFERROR(__xludf.DUMMYFUNCTION("""COMPUTED_VALUE"""),"No")</f>
        <v>No</v>
      </c>
      <c r="AI699" s="8" t="str">
        <f ca="1">IFERROR(__xludf.DUMMYFUNCTION("""COMPUTED_VALUE"""),"No")</f>
        <v>No</v>
      </c>
      <c r="AJ699" s="8" t="str">
        <f ca="1">IFERROR(__xludf.DUMMYFUNCTION("""COMPUTED_VALUE"""),"No")</f>
        <v>No</v>
      </c>
      <c r="AK699" s="8" t="str">
        <f ca="1">IFERROR(__xludf.DUMMYFUNCTION("""COMPUTED_VALUE"""),"No")</f>
        <v>No</v>
      </c>
      <c r="AL699" s="8"/>
      <c r="AM699" s="8" t="str">
        <f ca="1">IFERROR(__xludf.DUMMYFUNCTION("""COMPUTED_VALUE"""),"No")</f>
        <v>No</v>
      </c>
      <c r="AN699" s="8" t="str">
        <f ca="1">IFERROR(__xludf.DUMMYFUNCTION("""COMPUTED_VALUE"""),"Outside")</f>
        <v>Outside</v>
      </c>
      <c r="AO699" s="8" t="str">
        <f ca="1">IFERROR(__xludf.DUMMYFUNCTION("""COMPUTED_VALUE"""),"No")</f>
        <v>No</v>
      </c>
      <c r="AP699" s="8"/>
      <c r="AQ699" s="8"/>
      <c r="AR699" s="8" t="str">
        <f ca="1">IFERROR(__xludf.DUMMYFUNCTION("""COMPUTED_VALUE"""),"Outside/Off-Property")</f>
        <v>Outside/Off-Property</v>
      </c>
      <c r="AS699" s="8">
        <f ca="1">IFERROR(__xludf.DUMMYFUNCTION("""COMPUTED_VALUE"""),9)</f>
        <v>9</v>
      </c>
      <c r="AT699" s="8" t="str">
        <f ca="1">IFERROR(__xludf.DUMMYFUNCTION("""COMPUTED_VALUE"""),"Yes")</f>
        <v>Yes</v>
      </c>
      <c r="AU699" s="8">
        <f ca="1">IFERROR(__xludf.DUMMYFUNCTION("""COMPUTED_VALUE"""),35.593593)</f>
        <v>35.593592999999998</v>
      </c>
      <c r="AV699" s="8">
        <f ca="1">IFERROR(__xludf.DUMMYFUNCTION("""COMPUTED_VALUE"""),-77.384214)</f>
        <v>-77.384214</v>
      </c>
      <c r="AW699" s="8"/>
      <c r="AX699" s="8">
        <f ca="1">IFERROR(__xludf.DUMMYFUNCTION("""COMPUTED_VALUE"""),27658)</f>
        <v>27658</v>
      </c>
    </row>
    <row r="700" spans="1:50" ht="225" x14ac:dyDescent="0.2">
      <c r="A700" s="8" t="str">
        <f ca="1">IFERROR(__xludf.DUMMYFUNCTION("""COMPUTED_VALUE"""),"20230523MIYPY")</f>
        <v>20230523MIYPY</v>
      </c>
      <c r="B700" s="8">
        <f ca="1">IFERROR(__xludf.DUMMYFUNCTION("""COMPUTED_VALUE"""),5)</f>
        <v>5</v>
      </c>
      <c r="C700" s="8">
        <f ca="1">IFERROR(__xludf.DUMMYFUNCTION("""COMPUTED_VALUE"""),23)</f>
        <v>23</v>
      </c>
      <c r="D700" s="8">
        <f ca="1">IFERROR(__xludf.DUMMYFUNCTION("""COMPUTED_VALUE"""),2023)</f>
        <v>2023</v>
      </c>
      <c r="E700" s="9">
        <f ca="1">IFERROR(__xludf.DUMMYFUNCTION("""COMPUTED_VALUE"""),45069)</f>
        <v>45069</v>
      </c>
      <c r="F700" s="8" t="str">
        <f ca="1">IFERROR(__xludf.DUMMYFUNCTION("""COMPUTED_VALUE"""),"Ypsilanti Community Schools Bus")</f>
        <v>Ypsilanti Community Schools Bus</v>
      </c>
      <c r="G700" s="8">
        <f ca="1">IFERROR(__xludf.DUMMYFUNCTION("""COMPUTED_VALUE"""),0)</f>
        <v>0</v>
      </c>
      <c r="H700" s="8">
        <f ca="1">IFERROR(__xludf.DUMMYFUNCTION("""COMPUTED_VALUE"""),0)</f>
        <v>0</v>
      </c>
      <c r="I700" s="8">
        <f ca="1">IFERROR(__xludf.DUMMYFUNCTION("""COMPUTED_VALUE"""),0)</f>
        <v>0</v>
      </c>
      <c r="J700" s="8">
        <f ca="1">IFERROR(__xludf.DUMMYFUNCTION("""COMPUTED_VALUE"""),0)</f>
        <v>0</v>
      </c>
      <c r="K700" s="8" t="str">
        <f ca="1">IFERROR(__xludf.DUMMYFUNCTION("""COMPUTED_VALUE"""),"https://www.freep.com/story/news/local/michigan/2023/05/23/ypsilanti-school-bus-shot-bullet/70247632007/
https://www.wxyz.com/news/ypsilanti-school-bus-hit-by-gunfire-with-students-on-board")</f>
        <v>https://www.freep.com/story/news/local/michigan/2023/05/23/ypsilanti-school-bus-shot-bullet/70247632007/
https://www.wxyz.com/news/ypsilanti-school-bus-hit-by-gunfire-with-students-on-board</v>
      </c>
      <c r="L700" s="8">
        <f ca="1">IFERROR(__xludf.DUMMYFUNCTION("""COMPUTED_VALUE"""),3)</f>
        <v>3</v>
      </c>
      <c r="M700" s="8" t="str">
        <f ca="1">IFERROR(__xludf.DUMMYFUNCTION("""COMPUTED_VALUE"""),"Local")</f>
        <v>Local</v>
      </c>
      <c r="N700" s="8">
        <f ca="1">IFERROR(__xludf.DUMMYFUNCTION("""COMPUTED_VALUE"""),4)</f>
        <v>4</v>
      </c>
      <c r="O700" s="8" t="str">
        <f ca="1">IFERROR(__xludf.DUMMYFUNCTION("""COMPUTED_VALUE"""),"Spring")</f>
        <v>Spring</v>
      </c>
      <c r="P700" s="8" t="str">
        <f ca="1">IFERROR(__xludf.DUMMYFUNCTION("""COMPUTED_VALUE"""),"Ypsilanti")</f>
        <v>Ypsilanti</v>
      </c>
      <c r="Q700" s="8" t="str">
        <f ca="1">IFERROR(__xludf.DUMMYFUNCTION("""COMPUTED_VALUE"""),"MI")</f>
        <v>MI</v>
      </c>
      <c r="R700" s="8" t="str">
        <f ca="1">IFERROR(__xludf.DUMMYFUNCTION("""COMPUTED_VALUE"""),"Elementary")</f>
        <v>Elementary</v>
      </c>
      <c r="S700" s="8" t="str">
        <f ca="1">IFERROR(__xludf.DUMMYFUNCTION("""COMPUTED_VALUE"""),"School Bus")</f>
        <v>School Bus</v>
      </c>
      <c r="T700" s="8" t="str">
        <f ca="1">IFERROR(__xludf.DUMMYFUNCTION("""COMPUTED_VALUE"""),"School Bus")</f>
        <v>School Bus</v>
      </c>
      <c r="U700" s="8" t="str">
        <f ca="1">IFERROR(__xludf.DUMMYFUNCTION("""COMPUTED_VALUE"""),"Yes")</f>
        <v>Yes</v>
      </c>
      <c r="V700" s="8" t="str">
        <f ca="1">IFERROR(__xludf.DUMMYFUNCTION("""COMPUTED_VALUE"""),"Dismissal")</f>
        <v>Dismissal</v>
      </c>
      <c r="W700" s="11">
        <f ca="1">IFERROR(__xludf.DUMMYFUNCTION("""COMPUTED_VALUE"""),0.635416666666666)</f>
        <v>0.63541666666666596</v>
      </c>
      <c r="X700" s="8">
        <f ca="1">IFERROR(__xludf.DUMMYFUNCTION("""COMPUTED_VALUE"""),1)</f>
        <v>1</v>
      </c>
      <c r="Y700" s="12" t="str">
        <f ca="1">IFERROR(__xludf.DUMMYFUNCTION("""COMPUTED_VALUE"""),"Bus struck by bullet while dropping off students")</f>
        <v>Bus struck by bullet while dropping off students</v>
      </c>
      <c r="Z700" s="12" t="str">
        <f ca="1">IFERROR(__xludf.DUMMYFUNCTION("""COMPUTED_VALUE"""),"An Ypsilanti school bus was struck by gunfire (bullet went through the front windshield) Monday afternoon while dropping off students after someone opened fire. A call of shots fired came to the Washtenaw County Sheriff's Office around 3:15 p.m. in the ar"&amp;"ea of Concord and Bedford drives, and as deputies were en route, they received additional information that a school bus was struck. The investigation is ongoing, but preliminary findings indicate that the bus was not the intended target, said Derrick Jack"&amp;"son, spokesman for the agency. The passengers and driver were all unharmed, said Ypsilanti Community Schools Superintendent Alena Zachery-Ross in a letter to families explaining the incident Monday. The school bus driver and monitor ensured each student's"&amp;" safety and acted within the district's safety procedures, Zachery-Ross said.")</f>
        <v>An Ypsilanti school bus was struck by gunfire (bullet went through the front windshield) Monday afternoon while dropping off students after someone opened fire. A call of shots fired came to the Washtenaw County Sheriff's Office around 3:15 p.m. in the area of Concord and Bedford drives, and as deputies were en route, they received additional information that a school bus was struck. The investigation is ongoing, but preliminary findings indicate that the bus was not the intended target, said Derrick Jackson, spokesman for the agency. The passengers and driver were all unharmed, said Ypsilanti Community Schools Superintendent Alena Zachery-Ross in a letter to families explaining the incident Monday. The school bus driver and monitor ensured each student's safety and acted within the district's safety procedures, Zachery-Ross said.</v>
      </c>
      <c r="AA700" s="8" t="str">
        <f ca="1">IFERROR(__xludf.DUMMYFUNCTION("""COMPUTED_VALUE"""),"Escalation of Dispute")</f>
        <v>Escalation of Dispute</v>
      </c>
      <c r="AB700" s="8"/>
      <c r="AC700" s="8" t="str">
        <f ca="1">IFERROR(__xludf.DUMMYFUNCTION("""COMPUTED_VALUE"""),"Yes")</f>
        <v>Yes</v>
      </c>
      <c r="AD700" s="8" t="str">
        <f ca="1">IFERROR(__xludf.DUMMYFUNCTION("""COMPUTED_VALUE"""),"Victims Targeted")</f>
        <v>Victims Targeted</v>
      </c>
      <c r="AE700" s="8" t="str">
        <f ca="1">IFERROR(__xludf.DUMMYFUNCTION("""COMPUTED_VALUE"""),"No")</f>
        <v>No</v>
      </c>
      <c r="AF700" s="8"/>
      <c r="AG700" s="8" t="str">
        <f ca="1">IFERROR(__xludf.DUMMYFUNCTION("""COMPUTED_VALUE"""),"No")</f>
        <v>No</v>
      </c>
      <c r="AH700" s="8" t="str">
        <f ca="1">IFERROR(__xludf.DUMMYFUNCTION("""COMPUTED_VALUE"""),"No")</f>
        <v>No</v>
      </c>
      <c r="AI700" s="8" t="str">
        <f ca="1">IFERROR(__xludf.DUMMYFUNCTION("""COMPUTED_VALUE"""),"No")</f>
        <v>No</v>
      </c>
      <c r="AJ700" s="8" t="str">
        <f ca="1">IFERROR(__xludf.DUMMYFUNCTION("""COMPUTED_VALUE"""),"No")</f>
        <v>No</v>
      </c>
      <c r="AK700" s="8" t="str">
        <f ca="1">IFERROR(__xludf.DUMMYFUNCTION("""COMPUTED_VALUE"""),"No")</f>
        <v>No</v>
      </c>
      <c r="AL700" s="8"/>
      <c r="AM700" s="8" t="str">
        <f ca="1">IFERROR(__xludf.DUMMYFUNCTION("""COMPUTED_VALUE"""),"No")</f>
        <v>No</v>
      </c>
      <c r="AN700" s="8" t="str">
        <f ca="1">IFERROR(__xludf.DUMMYFUNCTION("""COMPUTED_VALUE"""),"Outside")</f>
        <v>Outside</v>
      </c>
      <c r="AO700" s="8" t="str">
        <f ca="1">IFERROR(__xludf.DUMMYFUNCTION("""COMPUTED_VALUE"""),"No")</f>
        <v>No</v>
      </c>
      <c r="AP700" s="8"/>
      <c r="AQ700" s="8"/>
      <c r="AR700" s="8" t="str">
        <f ca="1">IFERROR(__xludf.DUMMYFUNCTION("""COMPUTED_VALUE"""),"Outside/Off-Property")</f>
        <v>Outside/Off-Property</v>
      </c>
      <c r="AS700" s="8">
        <f ca="1">IFERROR(__xludf.DUMMYFUNCTION("""COMPUTED_VALUE"""),99)</f>
        <v>99</v>
      </c>
      <c r="AT700" s="8" t="str">
        <f ca="1">IFERROR(__xludf.DUMMYFUNCTION("""COMPUTED_VALUE"""),"Yes")</f>
        <v>Yes</v>
      </c>
      <c r="AU700" s="8">
        <f ca="1">IFERROR(__xludf.DUMMYFUNCTION("""COMPUTED_VALUE"""),42.259365)</f>
        <v>42.259365000000003</v>
      </c>
      <c r="AV700" s="8">
        <f ca="1">IFERROR(__xludf.DUMMYFUNCTION("""COMPUTED_VALUE"""),-83.615149)</f>
        <v>-83.615149000000002</v>
      </c>
      <c r="AW700" s="8"/>
      <c r="AX700" s="8">
        <f ca="1">IFERROR(__xludf.DUMMYFUNCTION("""COMPUTED_VALUE"""),48198)</f>
        <v>48198</v>
      </c>
    </row>
    <row r="701" spans="1:50" ht="165" x14ac:dyDescent="0.2">
      <c r="A701" s="8" t="str">
        <f ca="1">IFERROR(__xludf.DUMMYFUNCTION("""COMPUTED_VALUE"""),"20230522MASTD")</f>
        <v>20230522MASTD</v>
      </c>
      <c r="B701" s="8">
        <f ca="1">IFERROR(__xludf.DUMMYFUNCTION("""COMPUTED_VALUE"""),5)</f>
        <v>5</v>
      </c>
      <c r="C701" s="8">
        <f ca="1">IFERROR(__xludf.DUMMYFUNCTION("""COMPUTED_VALUE"""),22)</f>
        <v>22</v>
      </c>
      <c r="D701" s="8">
        <f ca="1">IFERROR(__xludf.DUMMYFUNCTION("""COMPUTED_VALUE"""),2023)</f>
        <v>2023</v>
      </c>
      <c r="E701" s="9">
        <f ca="1">IFERROR(__xludf.DUMMYFUNCTION("""COMPUTED_VALUE"""),45068)</f>
        <v>45068</v>
      </c>
      <c r="F701" s="8" t="str">
        <f ca="1">IFERROR(__xludf.DUMMYFUNCTION("""COMPUTED_VALUE"""),"St. John's Preparatory School")</f>
        <v>St. John's Preparatory School</v>
      </c>
      <c r="G701" s="8">
        <f ca="1">IFERROR(__xludf.DUMMYFUNCTION("""COMPUTED_VALUE"""),0)</f>
        <v>0</v>
      </c>
      <c r="H701" s="8">
        <f ca="1">IFERROR(__xludf.DUMMYFUNCTION("""COMPUTED_VALUE"""),0)</f>
        <v>0</v>
      </c>
      <c r="I701" s="8">
        <f ca="1">IFERROR(__xludf.DUMMYFUNCTION("""COMPUTED_VALUE"""),0)</f>
        <v>0</v>
      </c>
      <c r="J701" s="8">
        <f ca="1">IFERROR(__xludf.DUMMYFUNCTION("""COMPUTED_VALUE"""),0)</f>
        <v>0</v>
      </c>
      <c r="K701" s="10" t="str">
        <f ca="1">IFERROR(__xludf.DUMMYFUNCTION("""COMPUTED_VALUE"""),"https://www.boston25news.com/news/local/police-accidental-discharge-officers-gun-prompted-huge-emergency-response-st-johns-prep/Y4CKJ7TLXZAXNIYNMLOC4KB7RM/")</f>
        <v>https://www.boston25news.com/news/local/police-accidental-discharge-officers-gun-prompted-huge-emergency-response-st-johns-prep/Y4CKJ7TLXZAXNIYNMLOC4KB7RM/</v>
      </c>
      <c r="L701" s="8">
        <f ca="1">IFERROR(__xludf.DUMMYFUNCTION("""COMPUTED_VALUE"""),999)</f>
        <v>999</v>
      </c>
      <c r="M701" s="8" t="str">
        <f ca="1">IFERROR(__xludf.DUMMYFUNCTION("""COMPUTED_VALUE"""),"National")</f>
        <v>National</v>
      </c>
      <c r="N701" s="8">
        <f ca="1">IFERROR(__xludf.DUMMYFUNCTION("""COMPUTED_VALUE"""),4)</f>
        <v>4</v>
      </c>
      <c r="O701" s="8" t="str">
        <f ca="1">IFERROR(__xludf.DUMMYFUNCTION("""COMPUTED_VALUE"""),"Spring")</f>
        <v>Spring</v>
      </c>
      <c r="P701" s="8" t="str">
        <f ca="1">IFERROR(__xludf.DUMMYFUNCTION("""COMPUTED_VALUE"""),"Danvers")</f>
        <v>Danvers</v>
      </c>
      <c r="Q701" s="8" t="str">
        <f ca="1">IFERROR(__xludf.DUMMYFUNCTION("""COMPUTED_VALUE"""),"MA")</f>
        <v>MA</v>
      </c>
      <c r="R701" s="8" t="str">
        <f ca="1">IFERROR(__xludf.DUMMYFUNCTION("""COMPUTED_VALUE"""),"High")</f>
        <v>High</v>
      </c>
      <c r="S701" s="8" t="str">
        <f ca="1">IFERROR(__xludf.DUMMYFUNCTION("""COMPUTED_VALUE"""),"Hallway")</f>
        <v>Hallway</v>
      </c>
      <c r="T701" s="8" t="str">
        <f ca="1">IFERROR(__xludf.DUMMYFUNCTION("""COMPUTED_VALUE"""),"Inside School Building")</f>
        <v>Inside School Building</v>
      </c>
      <c r="U701" s="8" t="str">
        <f ca="1">IFERROR(__xludf.DUMMYFUNCTION("""COMPUTED_VALUE"""),"Yes")</f>
        <v>Yes</v>
      </c>
      <c r="V701" s="8" t="str">
        <f ca="1">IFERROR(__xludf.DUMMYFUNCTION("""COMPUTED_VALUE"""),"Afternoon Classes")</f>
        <v>Afternoon Classes</v>
      </c>
      <c r="W701" s="11">
        <f ca="1">IFERROR(__xludf.DUMMYFUNCTION("""COMPUTED_VALUE"""),0.583333333333333)</f>
        <v>0.58333333333333304</v>
      </c>
      <c r="X701" s="8">
        <f ca="1">IFERROR(__xludf.DUMMYFUNCTION("""COMPUTED_VALUE"""),1)</f>
        <v>1</v>
      </c>
      <c r="Y701" s="12" t="str">
        <f ca="1">IFERROR(__xludf.DUMMYFUNCTION("""COMPUTED_VALUE"""),"Officer fired shot while searching school during swatting hoax")</f>
        <v>Officer fired shot while searching school during swatting hoax</v>
      </c>
      <c r="Z701" s="12" t="str">
        <f ca="1">IFERROR(__xludf.DUMMYFUNCTION("""COMPUTED_VALUE"""),"Danvers Police and the school’s superintendent gave an update just after 4 p.m. saying an officer’s gun accidentally went off which elevated the situation from a swatting response to an actual active shooter situation. “We are aware of reports of a single"&amp;", accidental discharge of a firearm by a responding Danvers officer,” state police said. Local and state police descended upon the school on Spring Street shortly before 2 p.m. and immediately ordered students and staff to shelter in place. School remaine"&amp;"d locked down until 4pm and classes cancelled the following 2 days.")</f>
        <v>Danvers Police and the school’s superintendent gave an update just after 4 p.m. saying an officer’s gun accidentally went off which elevated the situation from a swatting response to an actual active shooter situation. “We are aware of reports of a single, accidental discharge of a firearm by a responding Danvers officer,” state police said. Local and state police descended upon the school on Spring Street shortly before 2 p.m. and immediately ordered students and staff to shelter in place. School remained locked down until 4pm and classes cancelled the following 2 days.</v>
      </c>
      <c r="AA701" s="8" t="str">
        <f ca="1">IFERROR(__xludf.DUMMYFUNCTION("""COMPUTED_VALUE"""),"Accidental")</f>
        <v>Accidental</v>
      </c>
      <c r="AB701" s="8"/>
      <c r="AC701" s="8" t="str">
        <f ca="1">IFERROR(__xludf.DUMMYFUNCTION("""COMPUTED_VALUE"""),"Yes")</f>
        <v>Yes</v>
      </c>
      <c r="AD701" s="8" t="str">
        <f ca="1">IFERROR(__xludf.DUMMYFUNCTION("""COMPUTED_VALUE"""),"Neither")</f>
        <v>Neither</v>
      </c>
      <c r="AE701" s="8" t="str">
        <f ca="1">IFERROR(__xludf.DUMMYFUNCTION("""COMPUTED_VALUE"""),"No")</f>
        <v>No</v>
      </c>
      <c r="AF701" s="8"/>
      <c r="AG701" s="8" t="str">
        <f ca="1">IFERROR(__xludf.DUMMYFUNCTION("""COMPUTED_VALUE"""),"No")</f>
        <v>No</v>
      </c>
      <c r="AH701" s="8" t="str">
        <f ca="1">IFERROR(__xludf.DUMMYFUNCTION("""COMPUTED_VALUE"""),"No")</f>
        <v>No</v>
      </c>
      <c r="AI701" s="8" t="str">
        <f ca="1">IFERROR(__xludf.DUMMYFUNCTION("""COMPUTED_VALUE"""),"Yes")</f>
        <v>Yes</v>
      </c>
      <c r="AJ701" s="8" t="str">
        <f ca="1">IFERROR(__xludf.DUMMYFUNCTION("""COMPUTED_VALUE"""),"No")</f>
        <v>No</v>
      </c>
      <c r="AK701" s="8" t="str">
        <f ca="1">IFERROR(__xludf.DUMMYFUNCTION("""COMPUTED_VALUE"""),"No")</f>
        <v>No</v>
      </c>
      <c r="AL701" s="8" t="str">
        <f ca="1">IFERROR(__xludf.DUMMYFUNCTION("""COMPUTED_VALUE"""),"No")</f>
        <v>No</v>
      </c>
      <c r="AM701" s="8" t="str">
        <f ca="1">IFERROR(__xludf.DUMMYFUNCTION("""COMPUTED_VALUE"""),"No")</f>
        <v>No</v>
      </c>
      <c r="AN701" s="8" t="str">
        <f ca="1">IFERROR(__xludf.DUMMYFUNCTION("""COMPUTED_VALUE"""),"Hallway")</f>
        <v>Hallway</v>
      </c>
      <c r="AO701" s="8" t="str">
        <f ca="1">IFERROR(__xludf.DUMMYFUNCTION("""COMPUTED_VALUE"""),"No")</f>
        <v>No</v>
      </c>
      <c r="AP701" s="8"/>
      <c r="AQ701" s="8"/>
      <c r="AR701" s="8"/>
      <c r="AS701" s="8">
        <f ca="1">IFERROR(__xludf.DUMMYFUNCTION("""COMPUTED_VALUE"""),1)</f>
        <v>1</v>
      </c>
      <c r="AT701" s="8" t="str">
        <f ca="1">IFERROR(__xludf.DUMMYFUNCTION("""COMPUTED_VALUE"""),"Yes")</f>
        <v>Yes</v>
      </c>
      <c r="AU701" s="8">
        <f ca="1">IFERROR(__xludf.DUMMYFUNCTION("""COMPUTED_VALUE"""),42.582386)</f>
        <v>42.582386</v>
      </c>
      <c r="AV701" s="8">
        <f ca="1">IFERROR(__xludf.DUMMYFUNCTION("""COMPUTED_VALUE"""),-70.952354)</f>
        <v>-70.952354</v>
      </c>
      <c r="AW701" s="8"/>
      <c r="AX701" s="8">
        <f ca="1">IFERROR(__xludf.DUMMYFUNCTION("""COMPUTED_VALUE"""),1923)</f>
        <v>1923</v>
      </c>
    </row>
    <row r="702" spans="1:50" ht="75" x14ac:dyDescent="0.2">
      <c r="A702" s="8" t="str">
        <f ca="1">IFERROR(__xludf.DUMMYFUNCTION("""COMPUTED_VALUE"""),"20230522DCKID")</f>
        <v>20230522DCKID</v>
      </c>
      <c r="B702" s="8">
        <f ca="1">IFERROR(__xludf.DUMMYFUNCTION("""COMPUTED_VALUE"""),5)</f>
        <v>5</v>
      </c>
      <c r="C702" s="8">
        <f ca="1">IFERROR(__xludf.DUMMYFUNCTION("""COMPUTED_VALUE"""),22)</f>
        <v>22</v>
      </c>
      <c r="D702" s="8">
        <f ca="1">IFERROR(__xludf.DUMMYFUNCTION("""COMPUTED_VALUE"""),2023)</f>
        <v>2023</v>
      </c>
      <c r="E702" s="9">
        <f ca="1">IFERROR(__xludf.DUMMYFUNCTION("""COMPUTED_VALUE"""),45068)</f>
        <v>45068</v>
      </c>
      <c r="F702" s="8" t="str">
        <f ca="1">IFERROR(__xludf.DUMMYFUNCTION("""COMPUTED_VALUE"""),"KIPP College Preparatry High School")</f>
        <v>KIPP College Preparatry High School</v>
      </c>
      <c r="G702" s="8">
        <f ca="1">IFERROR(__xludf.DUMMYFUNCTION("""COMPUTED_VALUE"""),0)</f>
        <v>0</v>
      </c>
      <c r="H702" s="8">
        <f ca="1">IFERROR(__xludf.DUMMYFUNCTION("""COMPUTED_VALUE"""),1)</f>
        <v>1</v>
      </c>
      <c r="I702" s="8">
        <f ca="1">IFERROR(__xludf.DUMMYFUNCTION("""COMPUTED_VALUE"""),1)</f>
        <v>1</v>
      </c>
      <c r="J702" s="8">
        <f ca="1">IFERROR(__xludf.DUMMYFUNCTION("""COMPUTED_VALUE"""),0)</f>
        <v>0</v>
      </c>
      <c r="K702" s="8" t="str">
        <f ca="1">IFERROR(__xludf.DUMMYFUNCTION("""COMPUTED_VALUE"""),"https://www.fox5dc.com/news/mom-says-student-shot-outside-kipp-dc-college-prep-was-targeted-for-his-air-jordans-and-iphone
https://www.fox5dc.com/news/student-shot-outside-kipp-dc-college-prep
https://www.nbcwashington.com/news/local/18-year-old-shot-woun"&amp;"ded-near-his-high-school-in-northeast-dc/3353023/
https://wjla.com/news/local/dc-shooting-crime-violence-mpd-metropolitan-police-department-man-shot-outside-kipp-dc-school-northeast-police-investigation-students-teachers")</f>
        <v>https://www.fox5dc.com/news/mom-says-student-shot-outside-kipp-dc-college-prep-was-targeted-for-his-air-jordans-and-iphone
https://www.fox5dc.com/news/student-shot-outside-kipp-dc-college-prep
https://www.nbcwashington.com/news/local/18-year-old-shot-wounded-near-his-high-school-in-northeast-dc/3353023/
https://wjla.com/news/local/dc-shooting-crime-violence-mpd-metropolitan-police-department-man-shot-outside-kipp-dc-school-northeast-police-investigation-students-teachers</v>
      </c>
      <c r="L702" s="8">
        <f ca="1">IFERROR(__xludf.DUMMYFUNCTION("""COMPUTED_VALUE"""),10)</f>
        <v>10</v>
      </c>
      <c r="M702" s="8" t="str">
        <f ca="1">IFERROR(__xludf.DUMMYFUNCTION("""COMPUTED_VALUE"""),"Regional")</f>
        <v>Regional</v>
      </c>
      <c r="N702" s="8">
        <f ca="1">IFERROR(__xludf.DUMMYFUNCTION("""COMPUTED_VALUE"""),4)</f>
        <v>4</v>
      </c>
      <c r="O702" s="8" t="str">
        <f ca="1">IFERROR(__xludf.DUMMYFUNCTION("""COMPUTED_VALUE"""),"Spring")</f>
        <v>Spring</v>
      </c>
      <c r="P702" s="8" t="str">
        <f ca="1">IFERROR(__xludf.DUMMYFUNCTION("""COMPUTED_VALUE"""),"Washington")</f>
        <v>Washington</v>
      </c>
      <c r="Q702" s="8" t="str">
        <f ca="1">IFERROR(__xludf.DUMMYFUNCTION("""COMPUTED_VALUE"""),"DC")</f>
        <v>DC</v>
      </c>
      <c r="R702" s="8" t="str">
        <f ca="1">IFERROR(__xludf.DUMMYFUNCTION("""COMPUTED_VALUE"""),"High")</f>
        <v>High</v>
      </c>
      <c r="S702" s="8" t="str">
        <f ca="1">IFERROR(__xludf.DUMMYFUNCTION("""COMPUTED_VALUE"""),"Front of School")</f>
        <v>Front of School</v>
      </c>
      <c r="T702" s="8" t="str">
        <f ca="1">IFERROR(__xludf.DUMMYFUNCTION("""COMPUTED_VALUE"""),"Outside on School Property")</f>
        <v>Outside on School Property</v>
      </c>
      <c r="U702" s="8" t="str">
        <f ca="1">IFERROR(__xludf.DUMMYFUNCTION("""COMPUTED_VALUE"""),"Yes")</f>
        <v>Yes</v>
      </c>
      <c r="V702" s="8" t="str">
        <f ca="1">IFERROR(__xludf.DUMMYFUNCTION("""COMPUTED_VALUE"""),"Afternoon Classes")</f>
        <v>Afternoon Classes</v>
      </c>
      <c r="W702" s="11">
        <f ca="1">IFERROR(__xludf.DUMMYFUNCTION("""COMPUTED_VALUE"""),0.568055555555555)</f>
        <v>0.56805555555555498</v>
      </c>
      <c r="X702" s="8">
        <f ca="1">IFERROR(__xludf.DUMMYFUNCTION("""COMPUTED_VALUE"""),1)</f>
        <v>1</v>
      </c>
      <c r="Y702" s="12" t="str">
        <f ca="1">IFERROR(__xludf.DUMMYFUNCTION("""COMPUTED_VALUE"""),"Student shot in front of the school during afternoon classes")</f>
        <v>Student shot in front of the school during afternoon classes</v>
      </c>
      <c r="Z702" s="12" t="str">
        <f ca="1">IFERROR(__xludf.DUMMYFUNCTION("""COMPUTED_VALUE"""),"An 18-year-old student was shot in front of the school during afternoon classes during attempted robbery of Air Jordan shoes and cellphone. School went on lockdown, dismissed, and closed the following day. Shooter fled and was not identified.")</f>
        <v>An 18-year-old student was shot in front of the school during afternoon classes during attempted robbery of Air Jordan shoes and cellphone. School went on lockdown, dismissed, and closed the following day. Shooter fled and was not identified.</v>
      </c>
      <c r="AA702" s="8" t="str">
        <f ca="1">IFERROR(__xludf.DUMMYFUNCTION("""COMPUTED_VALUE"""),"Illegal Activity")</f>
        <v>Illegal Activity</v>
      </c>
      <c r="AB702" s="8"/>
      <c r="AC702" s="8" t="str">
        <f ca="1">IFERROR(__xludf.DUMMYFUNCTION("""COMPUTED_VALUE"""),"Yes")</f>
        <v>Yes</v>
      </c>
      <c r="AD702" s="8" t="str">
        <f ca="1">IFERROR(__xludf.DUMMYFUNCTION("""COMPUTED_VALUE"""),"Victims Targeted")</f>
        <v>Victims Targeted</v>
      </c>
      <c r="AE702" s="8" t="str">
        <f ca="1">IFERROR(__xludf.DUMMYFUNCTION("""COMPUTED_VALUE"""),"No")</f>
        <v>No</v>
      </c>
      <c r="AF702" s="8"/>
      <c r="AG702" s="8" t="str">
        <f ca="1">IFERROR(__xludf.DUMMYFUNCTION("""COMPUTED_VALUE"""),"No")</f>
        <v>No</v>
      </c>
      <c r="AH702" s="8" t="str">
        <f ca="1">IFERROR(__xludf.DUMMYFUNCTION("""COMPUTED_VALUE"""),"No")</f>
        <v>No</v>
      </c>
      <c r="AI702" s="8" t="str">
        <f ca="1">IFERROR(__xludf.DUMMYFUNCTION("""COMPUTED_VALUE"""),"No")</f>
        <v>No</v>
      </c>
      <c r="AJ702" s="8" t="str">
        <f ca="1">IFERROR(__xludf.DUMMYFUNCTION("""COMPUTED_VALUE"""),"No")</f>
        <v>No</v>
      </c>
      <c r="AK702" s="8" t="str">
        <f ca="1">IFERROR(__xludf.DUMMYFUNCTION("""COMPUTED_VALUE"""),"No")</f>
        <v>No</v>
      </c>
      <c r="AL702" s="8"/>
      <c r="AM702" s="8" t="str">
        <f ca="1">IFERROR(__xludf.DUMMYFUNCTION("""COMPUTED_VALUE"""),"No")</f>
        <v>No</v>
      </c>
      <c r="AN702" s="8" t="str">
        <f ca="1">IFERROR(__xludf.DUMMYFUNCTION("""COMPUTED_VALUE"""),"Outside")</f>
        <v>Outside</v>
      </c>
      <c r="AO702" s="8" t="str">
        <f ca="1">IFERROR(__xludf.DUMMYFUNCTION("""COMPUTED_VALUE"""),"No")</f>
        <v>No</v>
      </c>
      <c r="AP702" s="8"/>
      <c r="AQ702" s="8"/>
      <c r="AR702" s="8" t="str">
        <f ca="1">IFERROR(__xludf.DUMMYFUNCTION("""COMPUTED_VALUE"""),"Outside/Off-Property")</f>
        <v>Outside/Off-Property</v>
      </c>
      <c r="AS702" s="8">
        <f ca="1">IFERROR(__xludf.DUMMYFUNCTION("""COMPUTED_VALUE"""),99)</f>
        <v>99</v>
      </c>
      <c r="AT702" s="8" t="str">
        <f ca="1">IFERROR(__xludf.DUMMYFUNCTION("""COMPUTED_VALUE"""),"Yes")</f>
        <v>Yes</v>
      </c>
      <c r="AU702" s="8">
        <f ca="1">IFERROR(__xludf.DUMMYFUNCTION("""COMPUTED_VALUE"""),38.909875)</f>
        <v>38.909875</v>
      </c>
      <c r="AV702" s="8">
        <f ca="1">IFERROR(__xludf.DUMMYFUNCTION("""COMPUTED_VALUE"""),-76.993985)</f>
        <v>-76.993984999999995</v>
      </c>
      <c r="AW702" s="8"/>
      <c r="AX702" s="8">
        <f ca="1">IFERROR(__xludf.DUMMYFUNCTION("""COMPUTED_VALUE"""),20002)</f>
        <v>20002</v>
      </c>
    </row>
    <row r="703" spans="1:50" ht="45" x14ac:dyDescent="0.2">
      <c r="A703" s="8" t="str">
        <f ca="1">IFERROR(__xludf.DUMMYFUNCTION("""COMPUTED_VALUE"""),"20230521NJCEN")</f>
        <v>20230521NJCEN</v>
      </c>
      <c r="B703" s="8">
        <f ca="1">IFERROR(__xludf.DUMMYFUNCTION("""COMPUTED_VALUE"""),5)</f>
        <v>5</v>
      </c>
      <c r="C703" s="8">
        <f ca="1">IFERROR(__xludf.DUMMYFUNCTION("""COMPUTED_VALUE"""),21)</f>
        <v>21</v>
      </c>
      <c r="D703" s="8">
        <f ca="1">IFERROR(__xludf.DUMMYFUNCTION("""COMPUTED_VALUE"""),2023)</f>
        <v>2023</v>
      </c>
      <c r="E703" s="9">
        <f ca="1">IFERROR(__xludf.DUMMYFUNCTION("""COMPUTED_VALUE"""),45067)</f>
        <v>45067</v>
      </c>
      <c r="F703" s="8" t="str">
        <f ca="1">IFERROR(__xludf.DUMMYFUNCTION("""COMPUTED_VALUE"""),"Central High School")</f>
        <v>Central High School</v>
      </c>
      <c r="G703" s="8">
        <f ca="1">IFERROR(__xludf.DUMMYFUNCTION("""COMPUTED_VALUE"""),0)</f>
        <v>0</v>
      </c>
      <c r="H703" s="8">
        <f ca="1">IFERROR(__xludf.DUMMYFUNCTION("""COMPUTED_VALUE"""),1)</f>
        <v>1</v>
      </c>
      <c r="I703" s="8">
        <f ca="1">IFERROR(__xludf.DUMMYFUNCTION("""COMPUTED_VALUE"""),1)</f>
        <v>1</v>
      </c>
      <c r="J703" s="8">
        <f ca="1">IFERROR(__xludf.DUMMYFUNCTION("""COMPUTED_VALUE"""),0)</f>
        <v>0</v>
      </c>
      <c r="K703" s="10" t="str">
        <f ca="1">IFERROR(__xludf.DUMMYFUNCTION("""COMPUTED_VALUE"""),"https://www.tapinto.net/towns/newark/sections/police-and-fire/articles/two-people-die-in-separate-newark-street-shootings
https://www.tapinto.net/towns/newark/sections/police-and-fire/articles/person-of-interest-arrested-in-shooting-of-newark-13-year-old")</f>
        <v>https://www.tapinto.net/towns/newark/sections/police-and-fire/articles/two-people-die-in-separate-newark-street-shootings
https://www.tapinto.net/towns/newark/sections/police-and-fire/articles/person-of-interest-arrested-in-shooting-of-newark-13-year-old</v>
      </c>
      <c r="L703" s="8">
        <f ca="1">IFERROR(__xludf.DUMMYFUNCTION("""COMPUTED_VALUE"""),2)</f>
        <v>2</v>
      </c>
      <c r="M703" s="8" t="str">
        <f ca="1">IFERROR(__xludf.DUMMYFUNCTION("""COMPUTED_VALUE"""),"Local")</f>
        <v>Local</v>
      </c>
      <c r="N703" s="8">
        <f ca="1">IFERROR(__xludf.DUMMYFUNCTION("""COMPUTED_VALUE"""),4)</f>
        <v>4</v>
      </c>
      <c r="O703" s="8" t="str">
        <f ca="1">IFERROR(__xludf.DUMMYFUNCTION("""COMPUTED_VALUE"""),"Spring")</f>
        <v>Spring</v>
      </c>
      <c r="P703" s="8" t="str">
        <f ca="1">IFERROR(__xludf.DUMMYFUNCTION("""COMPUTED_VALUE"""),"Newark")</f>
        <v>Newark</v>
      </c>
      <c r="Q703" s="8" t="str">
        <f ca="1">IFERROR(__xludf.DUMMYFUNCTION("""COMPUTED_VALUE"""),"NJ")</f>
        <v>NJ</v>
      </c>
      <c r="R703" s="8" t="str">
        <f ca="1">IFERROR(__xludf.DUMMYFUNCTION("""COMPUTED_VALUE"""),"High")</f>
        <v>High</v>
      </c>
      <c r="S703" s="8" t="str">
        <f ca="1">IFERROR(__xludf.DUMMYFUNCTION("""COMPUTED_VALUE"""),"Football Field/Track")</f>
        <v>Football Field/Track</v>
      </c>
      <c r="T703" s="8" t="str">
        <f ca="1">IFERROR(__xludf.DUMMYFUNCTION("""COMPUTED_VALUE"""),"Outside on School Property")</f>
        <v>Outside on School Property</v>
      </c>
      <c r="U703" s="8" t="str">
        <f ca="1">IFERROR(__xludf.DUMMYFUNCTION("""COMPUTED_VALUE"""),"No")</f>
        <v>No</v>
      </c>
      <c r="V703" s="8" t="str">
        <f ca="1">IFERROR(__xludf.DUMMYFUNCTION("""COMPUTED_VALUE"""),"Not a School Day")</f>
        <v>Not a School Day</v>
      </c>
      <c r="W703" s="11">
        <f ca="1">IFERROR(__xludf.DUMMYFUNCTION("""COMPUTED_VALUE"""),0.729166666666666)</f>
        <v>0.72916666666666596</v>
      </c>
      <c r="X703" s="8">
        <f ca="1">IFERROR(__xludf.DUMMYFUNCTION("""COMPUTED_VALUE"""),1)</f>
        <v>1</v>
      </c>
      <c r="Y703" s="12" t="str">
        <f ca="1">IFERROR(__xludf.DUMMYFUNCTION("""COMPUTED_VALUE"""),"13-year-old shot near school football field")</f>
        <v>13-year-old shot near school football field</v>
      </c>
      <c r="Z703" s="12" t="str">
        <f ca="1">IFERROR(__xludf.DUMMYFUNCTION("""COMPUTED_VALUE"""),"13-year-old shot near the school football field by teen with a ghost gun. Victim was critically injured.")</f>
        <v>13-year-old shot near the school football field by teen with a ghost gun. Victim was critically injured.</v>
      </c>
      <c r="AA703" s="8"/>
      <c r="AB703" s="8"/>
      <c r="AC703" s="8" t="str">
        <f ca="1">IFERROR(__xludf.DUMMYFUNCTION("""COMPUTED_VALUE"""),"No")</f>
        <v>No</v>
      </c>
      <c r="AD703" s="8" t="str">
        <f ca="1">IFERROR(__xludf.DUMMYFUNCTION("""COMPUTED_VALUE"""),"Victims Targeted")</f>
        <v>Victims Targeted</v>
      </c>
      <c r="AE703" s="8" t="str">
        <f ca="1">IFERROR(__xludf.DUMMYFUNCTION("""COMPUTED_VALUE"""),"No")</f>
        <v>No</v>
      </c>
      <c r="AF703" s="8"/>
      <c r="AG703" s="8" t="str">
        <f ca="1">IFERROR(__xludf.DUMMYFUNCTION("""COMPUTED_VALUE"""),"No")</f>
        <v>No</v>
      </c>
      <c r="AH703" s="8" t="str">
        <f ca="1">IFERROR(__xludf.DUMMYFUNCTION("""COMPUTED_VALUE"""),"No")</f>
        <v>No</v>
      </c>
      <c r="AI703" s="8" t="str">
        <f ca="1">IFERROR(__xludf.DUMMYFUNCTION("""COMPUTED_VALUE"""),"No")</f>
        <v>No</v>
      </c>
      <c r="AJ703" s="8" t="str">
        <f ca="1">IFERROR(__xludf.DUMMYFUNCTION("""COMPUTED_VALUE"""),"No")</f>
        <v>No</v>
      </c>
      <c r="AK703" s="8" t="str">
        <f ca="1">IFERROR(__xludf.DUMMYFUNCTION("""COMPUTED_VALUE"""),"No")</f>
        <v>No</v>
      </c>
      <c r="AL703" s="8"/>
      <c r="AM703" s="8" t="str">
        <f ca="1">IFERROR(__xludf.DUMMYFUNCTION("""COMPUTED_VALUE"""),"No")</f>
        <v>No</v>
      </c>
      <c r="AN703" s="8" t="str">
        <f ca="1">IFERROR(__xludf.DUMMYFUNCTION("""COMPUTED_VALUE"""),"Outside")</f>
        <v>Outside</v>
      </c>
      <c r="AO703" s="8" t="str">
        <f ca="1">IFERROR(__xludf.DUMMYFUNCTION("""COMPUTED_VALUE"""),"No")</f>
        <v>No</v>
      </c>
      <c r="AP703" s="8"/>
      <c r="AQ703" s="8"/>
      <c r="AR703" s="8" t="str">
        <f ca="1">IFERROR(__xludf.DUMMYFUNCTION("""COMPUTED_VALUE"""),"Outside/Off-Property")</f>
        <v>Outside/Off-Property</v>
      </c>
      <c r="AS703" s="8">
        <f ca="1">IFERROR(__xludf.DUMMYFUNCTION("""COMPUTED_VALUE"""),99)</f>
        <v>99</v>
      </c>
      <c r="AT703" s="8" t="str">
        <f ca="1">IFERROR(__xludf.DUMMYFUNCTION("""COMPUTED_VALUE"""),"No")</f>
        <v>No</v>
      </c>
      <c r="AU703" s="8">
        <f ca="1">IFERROR(__xludf.DUMMYFUNCTION("""COMPUTED_VALUE"""),40.728743)</f>
        <v>40.728743000000001</v>
      </c>
      <c r="AV703" s="8">
        <f ca="1">IFERROR(__xludf.DUMMYFUNCTION("""COMPUTED_VALUE"""),-74.194383)</f>
        <v>-74.194383000000002</v>
      </c>
      <c r="AW703" s="8"/>
      <c r="AX703" s="8">
        <f ca="1">IFERROR(__xludf.DUMMYFUNCTION("""COMPUTED_VALUE"""),7108)</f>
        <v>7108</v>
      </c>
    </row>
    <row r="704" spans="1:50" ht="120" x14ac:dyDescent="0.2">
      <c r="A704" s="8" t="str">
        <f ca="1">IFERROR(__xludf.DUMMYFUNCTION("""COMPUTED_VALUE"""),"20230519NYPSS")</f>
        <v>20230519NYPSS</v>
      </c>
      <c r="B704" s="8">
        <f ca="1">IFERROR(__xludf.DUMMYFUNCTION("""COMPUTED_VALUE"""),5)</f>
        <v>5</v>
      </c>
      <c r="C704" s="8">
        <f ca="1">IFERROR(__xludf.DUMMYFUNCTION("""COMPUTED_VALUE"""),19)</f>
        <v>19</v>
      </c>
      <c r="D704" s="8">
        <f ca="1">IFERROR(__xludf.DUMMYFUNCTION("""COMPUTED_VALUE"""),2023)</f>
        <v>2023</v>
      </c>
      <c r="E704" s="9">
        <f ca="1">IFERROR(__xludf.DUMMYFUNCTION("""COMPUTED_VALUE"""),45065)</f>
        <v>45065</v>
      </c>
      <c r="F704" s="8" t="str">
        <f ca="1">IFERROR(__xludf.DUMMYFUNCTION("""COMPUTED_VALUE"""),"P.S. 78")</f>
        <v>P.S. 78</v>
      </c>
      <c r="G704" s="8">
        <f ca="1">IFERROR(__xludf.DUMMYFUNCTION("""COMPUTED_VALUE"""),0)</f>
        <v>0</v>
      </c>
      <c r="H704" s="8">
        <f ca="1">IFERROR(__xludf.DUMMYFUNCTION("""COMPUTED_VALUE"""),1)</f>
        <v>1</v>
      </c>
      <c r="I704" s="8">
        <f ca="1">IFERROR(__xludf.DUMMYFUNCTION("""COMPUTED_VALUE"""),1)</f>
        <v>1</v>
      </c>
      <c r="J704" s="8">
        <f ca="1">IFERROR(__xludf.DUMMYFUNCTION("""COMPUTED_VALUE"""),0)</f>
        <v>0</v>
      </c>
      <c r="K704" s="8" t="str">
        <f ca="1">IFERROR(__xludf.DUMMYFUNCTION("""COMPUTED_VALUE"""),"https://www.nbcnewyork.com/news/local/13-year-old-brain-dead-after-shot-near-staten-island-basketball-court-police/4353558/
https://www.nbcnewyork.com/news/local/15-year-old-shot-in-head-near-staten-island-basketball-court-police/4349669/")</f>
        <v>https://www.nbcnewyork.com/news/local/13-year-old-brain-dead-after-shot-near-staten-island-basketball-court-police/4353558/
https://www.nbcnewyork.com/news/local/15-year-old-shot-in-head-near-staten-island-basketball-court-police/4349669/</v>
      </c>
      <c r="L704" s="8">
        <f ca="1">IFERROR(__xludf.DUMMYFUNCTION("""COMPUTED_VALUE"""),10)</f>
        <v>10</v>
      </c>
      <c r="M704" s="8" t="str">
        <f ca="1">IFERROR(__xludf.DUMMYFUNCTION("""COMPUTED_VALUE"""),"Regional")</f>
        <v>Regional</v>
      </c>
      <c r="N704" s="8">
        <f ca="1">IFERROR(__xludf.DUMMYFUNCTION("""COMPUTED_VALUE"""),4)</f>
        <v>4</v>
      </c>
      <c r="O704" s="8" t="str">
        <f ca="1">IFERROR(__xludf.DUMMYFUNCTION("""COMPUTED_VALUE"""),"Spring")</f>
        <v>Spring</v>
      </c>
      <c r="P704" s="8" t="str">
        <f ca="1">IFERROR(__xludf.DUMMYFUNCTION("""COMPUTED_VALUE"""),"Staten Island")</f>
        <v>Staten Island</v>
      </c>
      <c r="Q704" s="8" t="str">
        <f ca="1">IFERROR(__xludf.DUMMYFUNCTION("""COMPUTED_VALUE"""),"NY")</f>
        <v>NY</v>
      </c>
      <c r="R704" s="8" t="str">
        <f ca="1">IFERROR(__xludf.DUMMYFUNCTION("""COMPUTED_VALUE"""),"Elementary")</f>
        <v>Elementary</v>
      </c>
      <c r="S704" s="8" t="str">
        <f ca="1">IFERROR(__xludf.DUMMYFUNCTION("""COMPUTED_VALUE"""),"Basketball Court")</f>
        <v>Basketball Court</v>
      </c>
      <c r="T704" s="8" t="str">
        <f ca="1">IFERROR(__xludf.DUMMYFUNCTION("""COMPUTED_VALUE"""),"Outside on School Property")</f>
        <v>Outside on School Property</v>
      </c>
      <c r="U704" s="8" t="str">
        <f ca="1">IFERROR(__xludf.DUMMYFUNCTION("""COMPUTED_VALUE"""),"Yes")</f>
        <v>Yes</v>
      </c>
      <c r="V704" s="8" t="str">
        <f ca="1">IFERROR(__xludf.DUMMYFUNCTION("""COMPUTED_VALUE"""),"Dismissal")</f>
        <v>Dismissal</v>
      </c>
      <c r="W704" s="11">
        <f ca="1">IFERROR(__xludf.DUMMYFUNCTION("""COMPUTED_VALUE"""),0.666666666666666)</f>
        <v>0.66666666666666596</v>
      </c>
      <c r="X704" s="8">
        <f ca="1">IFERROR(__xludf.DUMMYFUNCTION("""COMPUTED_VALUE"""),1)</f>
        <v>1</v>
      </c>
      <c r="Y704" s="12" t="str">
        <f ca="1">IFERROR(__xludf.DUMMYFUNCTION("""COMPUTED_VALUE"""),"Teen shot in head on basketball court, shot was fired at a group of students")</f>
        <v>Teen shot in head on basketball court, shot was fired at a group of students</v>
      </c>
      <c r="Z704" s="12" t="str">
        <f ca="1">IFERROR(__xludf.DUMMYFUNCTION("""COMPUTED_VALUE"""),"13-year-old was on the basketball court when two shots were fired. The shooting occurred about a block away from his school, I.S. 49, as the teen was hanging out with a group of friends, police said. That's when another teen a distance away fired two guns"&amp;"hots into the group, with one of the bullets striking the teen in the face, according to witnesses. Police said the shooter is believed to be between the ages of 15-18, and about 5'7.")</f>
        <v>13-year-old was on the basketball court when two shots were fired. The shooting occurred about a block away from his school, I.S. 49, as the teen was hanging out with a group of friends, police said. That's when another teen a distance away fired two gunshots into the group, with one of the bullets striking the teen in the face, according to witnesses. Police said the shooter is believed to be between the ages of 15-18, and about 5'7.</v>
      </c>
      <c r="AA704" s="8" t="str">
        <f ca="1">IFERROR(__xludf.DUMMYFUNCTION("""COMPUTED_VALUE"""),"Escalation of Dispute")</f>
        <v>Escalation of Dispute</v>
      </c>
      <c r="AB704" s="8"/>
      <c r="AC704" s="8" t="str">
        <f ca="1">IFERROR(__xludf.DUMMYFUNCTION("""COMPUTED_VALUE"""),"Yes")</f>
        <v>Yes</v>
      </c>
      <c r="AD704" s="8" t="str">
        <f ca="1">IFERROR(__xludf.DUMMYFUNCTION("""COMPUTED_VALUE"""),"Both")</f>
        <v>Both</v>
      </c>
      <c r="AE704" s="8" t="str">
        <f ca="1">IFERROR(__xludf.DUMMYFUNCTION("""COMPUTED_VALUE"""),"No")</f>
        <v>No</v>
      </c>
      <c r="AF704" s="8"/>
      <c r="AG704" s="8" t="str">
        <f ca="1">IFERROR(__xludf.DUMMYFUNCTION("""COMPUTED_VALUE"""),"No")</f>
        <v>No</v>
      </c>
      <c r="AH704" s="8" t="str">
        <f ca="1">IFERROR(__xludf.DUMMYFUNCTION("""COMPUTED_VALUE"""),"No")</f>
        <v>No</v>
      </c>
      <c r="AI704" s="8" t="str">
        <f ca="1">IFERROR(__xludf.DUMMYFUNCTION("""COMPUTED_VALUE"""),"No")</f>
        <v>No</v>
      </c>
      <c r="AJ704" s="8" t="str">
        <f ca="1">IFERROR(__xludf.DUMMYFUNCTION("""COMPUTED_VALUE"""),"No")</f>
        <v>No</v>
      </c>
      <c r="AK704" s="8" t="str">
        <f ca="1">IFERROR(__xludf.DUMMYFUNCTION("""COMPUTED_VALUE"""),"No")</f>
        <v>No</v>
      </c>
      <c r="AL704" s="8"/>
      <c r="AM704" s="8" t="str">
        <f ca="1">IFERROR(__xludf.DUMMYFUNCTION("""COMPUTED_VALUE"""),"No")</f>
        <v>No</v>
      </c>
      <c r="AN704" s="8" t="str">
        <f ca="1">IFERROR(__xludf.DUMMYFUNCTION("""COMPUTED_VALUE"""),"Outside")</f>
        <v>Outside</v>
      </c>
      <c r="AO704" s="8" t="str">
        <f ca="1">IFERROR(__xludf.DUMMYFUNCTION("""COMPUTED_VALUE"""),"No")</f>
        <v>No</v>
      </c>
      <c r="AP704" s="8"/>
      <c r="AQ704" s="8"/>
      <c r="AR704" s="8" t="str">
        <f ca="1">IFERROR(__xludf.DUMMYFUNCTION("""COMPUTED_VALUE"""),"Outside/Off-Property")</f>
        <v>Outside/Off-Property</v>
      </c>
      <c r="AS704" s="8">
        <f ca="1">IFERROR(__xludf.DUMMYFUNCTION("""COMPUTED_VALUE"""),2)</f>
        <v>2</v>
      </c>
      <c r="AT704" s="8"/>
      <c r="AU704" s="8">
        <f ca="1">IFERROR(__xludf.DUMMYFUNCTION("""COMPUTED_VALUE"""),40.62279)</f>
        <v>40.622790000000002</v>
      </c>
      <c r="AV704" s="8">
        <f ca="1">IFERROR(__xludf.DUMMYFUNCTION("""COMPUTED_VALUE"""),-74.078923)</f>
        <v>-74.078923000000003</v>
      </c>
      <c r="AW704" s="8"/>
      <c r="AX704" s="8">
        <f ca="1">IFERROR(__xludf.DUMMYFUNCTION("""COMPUTED_VALUE"""),10304)</f>
        <v>10304</v>
      </c>
    </row>
    <row r="705" spans="1:50" ht="285" x14ac:dyDescent="0.2">
      <c r="A705" s="8" t="str">
        <f ca="1">IFERROR(__xludf.DUMMYFUNCTION("""COMPUTED_VALUE"""),"20230519DEFAD")</f>
        <v>20230519DEFAD</v>
      </c>
      <c r="B705" s="8">
        <f ca="1">IFERROR(__xludf.DUMMYFUNCTION("""COMPUTED_VALUE"""),5)</f>
        <v>5</v>
      </c>
      <c r="C705" s="8">
        <f ca="1">IFERROR(__xludf.DUMMYFUNCTION("""COMPUTED_VALUE"""),19)</f>
        <v>19</v>
      </c>
      <c r="D705" s="8">
        <f ca="1">IFERROR(__xludf.DUMMYFUNCTION("""COMPUTED_VALUE"""),2023)</f>
        <v>2023</v>
      </c>
      <c r="E705" s="9">
        <f ca="1">IFERROR(__xludf.DUMMYFUNCTION("""COMPUTED_VALUE"""),45065)</f>
        <v>45065</v>
      </c>
      <c r="F705" s="8" t="str">
        <f ca="1">IFERROR(__xludf.DUMMYFUNCTION("""COMPUTED_VALUE"""),"Fair View Elementary School")</f>
        <v>Fair View Elementary School</v>
      </c>
      <c r="G705" s="8">
        <f ca="1">IFERROR(__xludf.DUMMYFUNCTION("""COMPUTED_VALUE"""),0)</f>
        <v>0</v>
      </c>
      <c r="H705" s="8">
        <f ca="1">IFERROR(__xludf.DUMMYFUNCTION("""COMPUTED_VALUE"""),0)</f>
        <v>0</v>
      </c>
      <c r="I705" s="8">
        <f ca="1">IFERROR(__xludf.DUMMYFUNCTION("""COMPUTED_VALUE"""),0)</f>
        <v>0</v>
      </c>
      <c r="J705" s="8">
        <f ca="1">IFERROR(__xludf.DUMMYFUNCTION("""COMPUTED_VALUE"""),0)</f>
        <v>0</v>
      </c>
      <c r="K705" s="10" t="str">
        <f ca="1">IFERROR(__xludf.DUMMYFUNCTION("""COMPUTED_VALUE"""),"https://doverpolice.org/2023/05/19/shots-fired-leaves-dover-home-and-fairview-elementary-school-damaged/")</f>
        <v>https://doverpolice.org/2023/05/19/shots-fired-leaves-dover-home-and-fairview-elementary-school-damaged/</v>
      </c>
      <c r="L705" s="8">
        <f ca="1">IFERROR(__xludf.DUMMYFUNCTION("""COMPUTED_VALUE"""),1)</f>
        <v>1</v>
      </c>
      <c r="M705" s="8" t="str">
        <f ca="1">IFERROR(__xludf.DUMMYFUNCTION("""COMPUTED_VALUE"""),"Local")</f>
        <v>Local</v>
      </c>
      <c r="N705" s="8">
        <f ca="1">IFERROR(__xludf.DUMMYFUNCTION("""COMPUTED_VALUE"""),5)</f>
        <v>5</v>
      </c>
      <c r="O705" s="8" t="str">
        <f ca="1">IFERROR(__xludf.DUMMYFUNCTION("""COMPUTED_VALUE"""),"Spring")</f>
        <v>Spring</v>
      </c>
      <c r="P705" s="8" t="str">
        <f ca="1">IFERROR(__xludf.DUMMYFUNCTION("""COMPUTED_VALUE"""),"Dover")</f>
        <v>Dover</v>
      </c>
      <c r="Q705" s="8" t="str">
        <f ca="1">IFERROR(__xludf.DUMMYFUNCTION("""COMPUTED_VALUE"""),"DE")</f>
        <v>DE</v>
      </c>
      <c r="R705" s="8" t="str">
        <f ca="1">IFERROR(__xludf.DUMMYFUNCTION("""COMPUTED_VALUE"""),"Elementary")</f>
        <v>Elementary</v>
      </c>
      <c r="S705" s="8" t="str">
        <f ca="1">IFERROR(__xludf.DUMMYFUNCTION("""COMPUTED_VALUE"""),"Beside Building")</f>
        <v>Beside Building</v>
      </c>
      <c r="T705" s="8" t="str">
        <f ca="1">IFERROR(__xludf.DUMMYFUNCTION("""COMPUTED_VALUE"""),"Outside on School Property")</f>
        <v>Outside on School Property</v>
      </c>
      <c r="U705" s="8" t="str">
        <f ca="1">IFERROR(__xludf.DUMMYFUNCTION("""COMPUTED_VALUE"""),"No")</f>
        <v>No</v>
      </c>
      <c r="V705" s="8" t="str">
        <f ca="1">IFERROR(__xludf.DUMMYFUNCTION("""COMPUTED_VALUE"""),"Before School")</f>
        <v>Before School</v>
      </c>
      <c r="W705" s="11">
        <f ca="1">IFERROR(__xludf.DUMMYFUNCTION("""COMPUTED_VALUE"""),0.326388888888888)</f>
        <v>0.32638888888888801</v>
      </c>
      <c r="X705" s="8">
        <f ca="1">IFERROR(__xludf.DUMMYFUNCTION("""COMPUTED_VALUE"""),1)</f>
        <v>1</v>
      </c>
      <c r="Y705" s="12" t="str">
        <f ca="1">IFERROR(__xludf.DUMMYFUNCTION("""COMPUTED_VALUE"""),"Window of school broken by bullet")</f>
        <v>Window of school broken by bullet</v>
      </c>
      <c r="Z705" s="12" t="str">
        <f ca="1">IFERROR(__xludf.DUMMYFUNCTION("""COMPUTED_VALUE"""),"The Dover Police Department is investigating a shooting incident that left a home and a window at Fairview Elementary School damaged. The investigation began at approximately 7:50 a.m. on May 19th, when Dover Police received a call that a home in the 700 "&amp;"block of North West Street had been damaged by gunfire. Officers responded and located evidence consistent with the damage being caused by gunfire. The home was occupied at the time of the shooting however no residents were injured as a result. It was det"&amp;"ermined that at 1:10 a.m. Dover Police received a call for shots fired near the Hamlett Shopping Center, however no victims or crime scene were located at this time. Through further investigation, it was also revealed that a window at Fairview Elementary "&amp;"School had been damaged by gunfire during this same incident. No students or staff were present at the school the time of this shooting. Based on the information revealed through the investigation at this time, the school is not believed to be the intende"&amp;"d target of this incident.")</f>
        <v>The Dover Police Department is investigating a shooting incident that left a home and a window at Fairview Elementary School damaged. The investigation began at approximately 7:50 a.m. on May 19th, when Dover Police received a call that a home in the 700 block of North West Street had been damaged by gunfire. Officers responded and located evidence consistent with the damage being caused by gunfire. The home was occupied at the time of the shooting however no residents were injured as a result. It was determined that at 1:10 a.m. Dover Police received a call for shots fired near the Hamlett Shopping Center, however no victims or crime scene were located at this time. Through further investigation, it was also revealed that a window at Fairview Elementary School had been damaged by gunfire during this same incident. No students or staff were present at the school the time of this shooting. Based on the information revealed through the investigation at this time, the school is not believed to be the intended target of this incident.</v>
      </c>
      <c r="AA705" s="8" t="str">
        <f ca="1">IFERROR(__xludf.DUMMYFUNCTION("""COMPUTED_VALUE"""),"Intentional Property Damage")</f>
        <v>Intentional Property Damage</v>
      </c>
      <c r="AB705" s="8"/>
      <c r="AC705" s="8" t="str">
        <f ca="1">IFERROR(__xludf.DUMMYFUNCTION("""COMPUTED_VALUE"""),"No")</f>
        <v>No</v>
      </c>
      <c r="AD705" s="8" t="str">
        <f ca="1">IFERROR(__xludf.DUMMYFUNCTION("""COMPUTED_VALUE"""),"Neither")</f>
        <v>Neither</v>
      </c>
      <c r="AE705" s="8" t="str">
        <f ca="1">IFERROR(__xludf.DUMMYFUNCTION("""COMPUTED_VALUE"""),"No")</f>
        <v>No</v>
      </c>
      <c r="AF705" s="8"/>
      <c r="AG705" s="8" t="str">
        <f ca="1">IFERROR(__xludf.DUMMYFUNCTION("""COMPUTED_VALUE"""),"No")</f>
        <v>No</v>
      </c>
      <c r="AH705" s="8" t="str">
        <f ca="1">IFERROR(__xludf.DUMMYFUNCTION("""COMPUTED_VALUE"""),"No")</f>
        <v>No</v>
      </c>
      <c r="AI705" s="8" t="str">
        <f ca="1">IFERROR(__xludf.DUMMYFUNCTION("""COMPUTED_VALUE"""),"No")</f>
        <v>No</v>
      </c>
      <c r="AJ705" s="8" t="str">
        <f ca="1">IFERROR(__xludf.DUMMYFUNCTION("""COMPUTED_VALUE"""),"No")</f>
        <v>No</v>
      </c>
      <c r="AK705" s="8" t="str">
        <f ca="1">IFERROR(__xludf.DUMMYFUNCTION("""COMPUTED_VALUE"""),"No")</f>
        <v>No</v>
      </c>
      <c r="AL705" s="8" t="str">
        <f ca="1">IFERROR(__xludf.DUMMYFUNCTION("""COMPUTED_VALUE"""),"No")</f>
        <v>No</v>
      </c>
      <c r="AM705" s="8" t="str">
        <f ca="1">IFERROR(__xludf.DUMMYFUNCTION("""COMPUTED_VALUE"""),"No")</f>
        <v>No</v>
      </c>
      <c r="AN705" s="8" t="str">
        <f ca="1">IFERROR(__xludf.DUMMYFUNCTION("""COMPUTED_VALUE"""),"Outside")</f>
        <v>Outside</v>
      </c>
      <c r="AO705" s="8" t="str">
        <f ca="1">IFERROR(__xludf.DUMMYFUNCTION("""COMPUTED_VALUE"""),"No")</f>
        <v>No</v>
      </c>
      <c r="AP705" s="8"/>
      <c r="AQ705" s="8"/>
      <c r="AR705" s="8" t="str">
        <f ca="1">IFERROR(__xludf.DUMMYFUNCTION("""COMPUTED_VALUE"""),"Outside/Off-Property")</f>
        <v>Outside/Off-Property</v>
      </c>
      <c r="AS705" s="8">
        <f ca="1">IFERROR(__xludf.DUMMYFUNCTION("""COMPUTED_VALUE"""),99)</f>
        <v>99</v>
      </c>
      <c r="AT705" s="8" t="str">
        <f ca="1">IFERROR(__xludf.DUMMYFUNCTION("""COMPUTED_VALUE"""),"No")</f>
        <v>No</v>
      </c>
      <c r="AU705" s="8">
        <f ca="1">IFERROR(__xludf.DUMMYFUNCTION("""COMPUTED_VALUE"""),39.17041)</f>
        <v>39.170409999999997</v>
      </c>
      <c r="AV705" s="8">
        <f ca="1">IFERROR(__xludf.DUMMYFUNCTION("""COMPUTED_VALUE"""),-75.539015)</f>
        <v>-75.539015000000006</v>
      </c>
      <c r="AW705" s="8"/>
      <c r="AX705" s="8">
        <f ca="1">IFERROR(__xludf.DUMMYFUNCTION("""COMPUTED_VALUE"""),19904)</f>
        <v>19904</v>
      </c>
    </row>
    <row r="706" spans="1:50" ht="375" x14ac:dyDescent="0.2">
      <c r="A706" s="8" t="str">
        <f ca="1">IFERROR(__xludf.DUMMYFUNCTION("""COMPUTED_VALUE"""),"20230519AZBOP")</f>
        <v>20230519AZBOP</v>
      </c>
      <c r="B706" s="8">
        <f ca="1">IFERROR(__xludf.DUMMYFUNCTION("""COMPUTED_VALUE"""),5)</f>
        <v>5</v>
      </c>
      <c r="C706" s="8">
        <f ca="1">IFERROR(__xludf.DUMMYFUNCTION("""COMPUTED_VALUE"""),19)</f>
        <v>19</v>
      </c>
      <c r="D706" s="8">
        <f ca="1">IFERROR(__xludf.DUMMYFUNCTION("""COMPUTED_VALUE"""),2023)</f>
        <v>2023</v>
      </c>
      <c r="E706" s="9">
        <f ca="1">IFERROR(__xludf.DUMMYFUNCTION("""COMPUTED_VALUE"""),45065)</f>
        <v>45065</v>
      </c>
      <c r="F706" s="8" t="str">
        <f ca="1">IFERROR(__xludf.DUMMYFUNCTION("""COMPUTED_VALUE"""),"Bostrom High School")</f>
        <v>Bostrom High School</v>
      </c>
      <c r="G706" s="8">
        <f ca="1">IFERROR(__xludf.DUMMYFUNCTION("""COMPUTED_VALUE"""),0)</f>
        <v>0</v>
      </c>
      <c r="H706" s="8">
        <f ca="1">IFERROR(__xludf.DUMMYFUNCTION("""COMPUTED_VALUE"""),0)</f>
        <v>0</v>
      </c>
      <c r="I706" s="8">
        <f ca="1">IFERROR(__xludf.DUMMYFUNCTION("""COMPUTED_VALUE"""),0)</f>
        <v>0</v>
      </c>
      <c r="J706" s="8">
        <f ca="1">IFERROR(__xludf.DUMMYFUNCTION("""COMPUTED_VALUE"""),0)</f>
        <v>0</v>
      </c>
      <c r="K706" s="8" t="str">
        <f ca="1">IFERROR(__xludf.DUMMYFUNCTION("""COMPUTED_VALUE"""),"https://www.nbcnews.com/news/us-news/arizona-high-schooler-ar-15-machine-gun-phoenix-rcna86283
https://www.abc15.com/news/crime/student-arrested-for-possession-of-an-ar-15-at-bostrom-high-school
https://www.nbcnews.com/news/us-news/student-arrested-bringi"&amp;"ng-ar-15-ammunition-phoenix-high-school-police-rcna85418")</f>
        <v>https://www.nbcnews.com/news/us-news/arizona-high-schooler-ar-15-machine-gun-phoenix-rcna86283
https://www.abc15.com/news/crime/student-arrested-for-possession-of-an-ar-15-at-bostrom-high-school
https://www.nbcnews.com/news/us-news/student-arrested-bringing-ar-15-ammunition-phoenix-high-school-police-rcna85418</v>
      </c>
      <c r="L706" s="8">
        <f ca="1">IFERROR(__xludf.DUMMYFUNCTION("""COMPUTED_VALUE"""),50)</f>
        <v>50</v>
      </c>
      <c r="M706" s="8" t="str">
        <f ca="1">IFERROR(__xludf.DUMMYFUNCTION("""COMPUTED_VALUE"""),"National")</f>
        <v>National</v>
      </c>
      <c r="N706" s="8">
        <f ca="1">IFERROR(__xludf.DUMMYFUNCTION("""COMPUTED_VALUE"""),4)</f>
        <v>4</v>
      </c>
      <c r="O706" s="8" t="str">
        <f ca="1">IFERROR(__xludf.DUMMYFUNCTION("""COMPUTED_VALUE"""),"Spring")</f>
        <v>Spring</v>
      </c>
      <c r="P706" s="8" t="str">
        <f ca="1">IFERROR(__xludf.DUMMYFUNCTION("""COMPUTED_VALUE"""),"Phoenix")</f>
        <v>Phoenix</v>
      </c>
      <c r="Q706" s="8" t="str">
        <f ca="1">IFERROR(__xludf.DUMMYFUNCTION("""COMPUTED_VALUE"""),"AZ")</f>
        <v>AZ</v>
      </c>
      <c r="R706" s="8" t="str">
        <f ca="1">IFERROR(__xludf.DUMMYFUNCTION("""COMPUTED_VALUE"""),"High")</f>
        <v>High</v>
      </c>
      <c r="S706" s="8" t="str">
        <f ca="1">IFERROR(__xludf.DUMMYFUNCTION("""COMPUTED_VALUE"""),"Office")</f>
        <v>Office</v>
      </c>
      <c r="T706" s="8" t="str">
        <f ca="1">IFERROR(__xludf.DUMMYFUNCTION("""COMPUTED_VALUE"""),"Inside School Building")</f>
        <v>Inside School Building</v>
      </c>
      <c r="U706" s="8" t="str">
        <f ca="1">IFERROR(__xludf.DUMMYFUNCTION("""COMPUTED_VALUE"""),"Yes")</f>
        <v>Yes</v>
      </c>
      <c r="V706" s="8" t="str">
        <f ca="1">IFERROR(__xludf.DUMMYFUNCTION("""COMPUTED_VALUE"""),"Lunch")</f>
        <v>Lunch</v>
      </c>
      <c r="W706" s="11">
        <f ca="1">IFERROR(__xludf.DUMMYFUNCTION("""COMPUTED_VALUE"""),0.506944444444444)</f>
        <v>0.50694444444444398</v>
      </c>
      <c r="X706" s="8">
        <f ca="1">IFERROR(__xludf.DUMMYFUNCTION("""COMPUTED_VALUE"""),1)</f>
        <v>1</v>
      </c>
      <c r="Y706" s="12" t="str">
        <f ca="1">IFERROR(__xludf.DUMMYFUNCTION("""COMPUTED_VALUE"""),"Student with AR-15 rifle and ammo arrested inside school office")</f>
        <v>Student with AR-15 rifle and ammo arrested inside school office</v>
      </c>
      <c r="Z706" s="12" t="str">
        <f ca="1">IFERROR(__xludf.DUMMYFUNCTION("""COMPUTED_VALUE"""),"The 15-year-old accused of bringing an AR-15 to his Phoenix high school last week also allegedly possessed a device that would allow the weapon to function as a fully automatic machine gun, according to court documents. The boy allegedly brought the devic"&amp;"e — known as a ""lightning link"" — along with a disassembled AR-15 and ammunition to Bostrom High School on Friday, according to the probable cause statement. The AR-15 was disassembled into an upper and lower receiver, the two main parts of the gun, acc"&amp;"ording to the probable cause statement. “When combining the upper, lower receiver and lightning link together they create a prohibited weapon,” it says. An AR-15 is normally a semi-automatic weapon, but the addition of the lightning link would make it ful"&amp;"ly automatic. Student had extra ammo in his backpack and lunchbox. Police allegedly found the lightning link in the boy’s backpack along with a lower receiver for the rifle with a fully loaded magazine, additional ammunition and firearm-related accessorie"&amp;"s, it states. The upper receiver was found concealed inside the boy’s sweatpants “with the barrel facing upwards towards the officers” and a live cartridge inside the chamber, according to the document. Following the boy’s arrest, police assembled the pie"&amp;"ces of the AR-15 and found it “successfully test fired as a functioning firearm,” the probable cause statement says.")</f>
        <v>The 15-year-old accused of bringing an AR-15 to his Phoenix high school last week also allegedly possessed a device that would allow the weapon to function as a fully automatic machine gun, according to court documents. The boy allegedly brought the device — known as a "lightning link" — along with a disassembled AR-15 and ammunition to Bostrom High School on Friday, according to the probable cause statement. The AR-15 was disassembled into an upper and lower receiver, the two main parts of the gun, according to the probable cause statement. “When combining the upper, lower receiver and lightning link together they create a prohibited weapon,” it says. An AR-15 is normally a semi-automatic weapon, but the addition of the lightning link would make it fully automatic. Student had extra ammo in his backpack and lunchbox. Police allegedly found the lightning link in the boy’s backpack along with a lower receiver for the rifle with a fully loaded magazine, additional ammunition and firearm-related accessories, it states. The upper receiver was found concealed inside the boy’s sweatpants “with the barrel facing upwards towards the officers” and a live cartridge inside the chamber, according to the document. Following the boy’s arrest, police assembled the pieces of the AR-15 and found it “successfully test fired as a functioning firearm,” the probable cause statement says.</v>
      </c>
      <c r="AA706" s="8" t="str">
        <f ca="1">IFERROR(__xludf.DUMMYFUNCTION("""COMPUTED_VALUE"""),"Indiscriminate Shooting")</f>
        <v>Indiscriminate Shooting</v>
      </c>
      <c r="AB706" s="8"/>
      <c r="AC706" s="8" t="str">
        <f ca="1">IFERROR(__xludf.DUMMYFUNCTION("""COMPUTED_VALUE"""),"Yes")</f>
        <v>Yes</v>
      </c>
      <c r="AD706" s="8"/>
      <c r="AE706" s="8" t="str">
        <f ca="1">IFERROR(__xludf.DUMMYFUNCTION("""COMPUTED_VALUE"""),"No")</f>
        <v>No</v>
      </c>
      <c r="AF706" s="8"/>
      <c r="AG706" s="8" t="str">
        <f ca="1">IFERROR(__xludf.DUMMYFUNCTION("""COMPUTED_VALUE"""),"No")</f>
        <v>No</v>
      </c>
      <c r="AH706" s="8" t="str">
        <f ca="1">IFERROR(__xludf.DUMMYFUNCTION("""COMPUTED_VALUE"""),"No")</f>
        <v>No</v>
      </c>
      <c r="AI706" s="8" t="str">
        <f ca="1">IFERROR(__xludf.DUMMYFUNCTION("""COMPUTED_VALUE"""),"No")</f>
        <v>No</v>
      </c>
      <c r="AJ706" s="8"/>
      <c r="AK706" s="8" t="str">
        <f ca="1">IFERROR(__xludf.DUMMYFUNCTION("""COMPUTED_VALUE"""),"No")</f>
        <v>No</v>
      </c>
      <c r="AL706" s="8" t="str">
        <f ca="1">IFERROR(__xludf.DUMMYFUNCTION("""COMPUTED_VALUE"""),"No")</f>
        <v>No</v>
      </c>
      <c r="AM706" s="8" t="str">
        <f ca="1">IFERROR(__xludf.DUMMYFUNCTION("""COMPUTED_VALUE"""),"Yes")</f>
        <v>Yes</v>
      </c>
      <c r="AN706" s="8" t="str">
        <f ca="1">IFERROR(__xludf.DUMMYFUNCTION("""COMPUTED_VALUE"""),"Single Room")</f>
        <v>Single Room</v>
      </c>
      <c r="AO706" s="8" t="str">
        <f ca="1">IFERROR(__xludf.DUMMYFUNCTION("""COMPUTED_VALUE"""),"Yes")</f>
        <v>Yes</v>
      </c>
      <c r="AP706" s="8" t="str">
        <f ca="1">IFERROR(__xludf.DUMMYFUNCTION("""COMPUTED_VALUE"""),"Yes")</f>
        <v>Yes</v>
      </c>
      <c r="AQ706" s="8"/>
      <c r="AR706" s="8" t="str">
        <f ca="1">IFERROR(__xludf.DUMMYFUNCTION("""COMPUTED_VALUE"""),"Failed")</f>
        <v>Failed</v>
      </c>
      <c r="AS706" s="8">
        <f ca="1">IFERROR(__xludf.DUMMYFUNCTION("""COMPUTED_VALUE"""),0)</f>
        <v>0</v>
      </c>
      <c r="AT706" s="8" t="str">
        <f ca="1">IFERROR(__xludf.DUMMYFUNCTION("""COMPUTED_VALUE"""),"Yes")</f>
        <v>Yes</v>
      </c>
      <c r="AU706" s="8">
        <f ca="1">IFERROR(__xludf.DUMMYFUNCTION("""COMPUTED_VALUE"""),33.488489)</f>
        <v>33.488489000000001</v>
      </c>
      <c r="AV706" s="8">
        <f ca="1">IFERROR(__xludf.DUMMYFUNCTION("""COMPUTED_VALUE"""),-112.116442)</f>
        <v>-112.11644200000001</v>
      </c>
      <c r="AW706" s="8"/>
      <c r="AX706" s="8">
        <f ca="1">IFERROR(__xludf.DUMMYFUNCTION("""COMPUTED_VALUE"""),85015)</f>
        <v>85015</v>
      </c>
    </row>
    <row r="707" spans="1:50" ht="150" x14ac:dyDescent="0.2">
      <c r="A707" s="8" t="str">
        <f ca="1">IFERROR(__xludf.DUMMYFUNCTION("""COMPUTED_VALUE"""),"20230518WAGAS")</f>
        <v>20230518WAGAS</v>
      </c>
      <c r="B707" s="8">
        <f ca="1">IFERROR(__xludf.DUMMYFUNCTION("""COMPUTED_VALUE"""),5)</f>
        <v>5</v>
      </c>
      <c r="C707" s="8">
        <f ca="1">IFERROR(__xludf.DUMMYFUNCTION("""COMPUTED_VALUE"""),18)</f>
        <v>18</v>
      </c>
      <c r="D707" s="8">
        <f ca="1">IFERROR(__xludf.DUMMYFUNCTION("""COMPUTED_VALUE"""),2023)</f>
        <v>2023</v>
      </c>
      <c r="E707" s="9">
        <f ca="1">IFERROR(__xludf.DUMMYFUNCTION("""COMPUTED_VALUE"""),45064)</f>
        <v>45064</v>
      </c>
      <c r="F707" s="8" t="str">
        <f ca="1">IFERROR(__xludf.DUMMYFUNCTION("""COMPUTED_VALUE"""),"Garfield High School")</f>
        <v>Garfield High School</v>
      </c>
      <c r="G707" s="8">
        <f ca="1">IFERROR(__xludf.DUMMYFUNCTION("""COMPUTED_VALUE"""),0)</f>
        <v>0</v>
      </c>
      <c r="H707" s="8">
        <f ca="1">IFERROR(__xludf.DUMMYFUNCTION("""COMPUTED_VALUE"""),1)</f>
        <v>1</v>
      </c>
      <c r="I707" s="8">
        <f ca="1">IFERROR(__xludf.DUMMYFUNCTION("""COMPUTED_VALUE"""),1)</f>
        <v>1</v>
      </c>
      <c r="J707" s="8">
        <f ca="1">IFERROR(__xludf.DUMMYFUNCTION("""COMPUTED_VALUE"""),0)</f>
        <v>0</v>
      </c>
      <c r="K707" s="10" t="str">
        <f ca="1">IFERROR(__xludf.DUMMYFUNCTION("""COMPUTED_VALUE"""),"https://www.capitolhillseattle.com/2023/05/one-reported-injured-in-garfield-high-school-parking-lot-shooting/")</f>
        <v>https://www.capitolhillseattle.com/2023/05/one-reported-injured-in-garfield-high-school-parking-lot-shooting/</v>
      </c>
      <c r="L707" s="8">
        <f ca="1">IFERROR(__xludf.DUMMYFUNCTION("""COMPUTED_VALUE"""),1)</f>
        <v>1</v>
      </c>
      <c r="M707" s="8" t="str">
        <f ca="1">IFERROR(__xludf.DUMMYFUNCTION("""COMPUTED_VALUE"""),"Local")</f>
        <v>Local</v>
      </c>
      <c r="N707" s="8">
        <f ca="1">IFERROR(__xludf.DUMMYFUNCTION("""COMPUTED_VALUE"""),3)</f>
        <v>3</v>
      </c>
      <c r="O707" s="8" t="str">
        <f ca="1">IFERROR(__xludf.DUMMYFUNCTION("""COMPUTED_VALUE"""),"Spring")</f>
        <v>Spring</v>
      </c>
      <c r="P707" s="8" t="str">
        <f ca="1">IFERROR(__xludf.DUMMYFUNCTION("""COMPUTED_VALUE"""),"Seattle")</f>
        <v>Seattle</v>
      </c>
      <c r="Q707" s="8" t="str">
        <f ca="1">IFERROR(__xludf.DUMMYFUNCTION("""COMPUTED_VALUE"""),"WA")</f>
        <v>WA</v>
      </c>
      <c r="R707" s="8" t="str">
        <f ca="1">IFERROR(__xludf.DUMMYFUNCTION("""COMPUTED_VALUE"""),"High")</f>
        <v>High</v>
      </c>
      <c r="S707" s="8" t="str">
        <f ca="1">IFERROR(__xludf.DUMMYFUNCTION("""COMPUTED_VALUE"""),"Parking Lot")</f>
        <v>Parking Lot</v>
      </c>
      <c r="T707" s="8" t="str">
        <f ca="1">IFERROR(__xludf.DUMMYFUNCTION("""COMPUTED_VALUE"""),"Outside on School Property")</f>
        <v>Outside on School Property</v>
      </c>
      <c r="U707" s="8" t="str">
        <f ca="1">IFERROR(__xludf.DUMMYFUNCTION("""COMPUTED_VALUE"""),"Yes")</f>
        <v>Yes</v>
      </c>
      <c r="V707" s="8" t="str">
        <f ca="1">IFERROR(__xludf.DUMMYFUNCTION("""COMPUTED_VALUE"""),"Dismissal")</f>
        <v>Dismissal</v>
      </c>
      <c r="W707" s="11">
        <f ca="1">IFERROR(__xludf.DUMMYFUNCTION("""COMPUTED_VALUE"""),0.694444444444444)</f>
        <v>0.69444444444444398</v>
      </c>
      <c r="X707" s="8">
        <f ca="1">IFERROR(__xludf.DUMMYFUNCTION("""COMPUTED_VALUE"""),1)</f>
        <v>1</v>
      </c>
      <c r="Y707" s="12" t="str">
        <f ca="1">IFERROR(__xludf.DUMMYFUNCTION("""COMPUTED_VALUE"""),"Teen shot in school parking lot at dismissal")</f>
        <v>Teen shot in school parking lot at dismissal</v>
      </c>
      <c r="Z707" s="12" t="str">
        <f ca="1">IFERROR(__xludf.DUMMYFUNCTION("""COMPUTED_VALUE"""),"Seattle Police and Seattle Fire were called to the parking lot at Garfield High School late Thursday afternoon after a shootout in front of the school. According to emergency radio updates and Seattle Fire, a 19-year-old was reported shot in the leg and p"&amp;"olice were looking for suspects seen in a vehicle leaving the area. The shooting was first reported around 4:40 PM about an hour after the final bell of the school day on the still busy 23rd Ave campus. Seattle Fire says the teen was transported by parame"&amp;"dics to Harborview in stable condition.")</f>
        <v>Seattle Police and Seattle Fire were called to the parking lot at Garfield High School late Thursday afternoon after a shootout in front of the school. According to emergency radio updates and Seattle Fire, a 19-year-old was reported shot in the leg and police were looking for suspects seen in a vehicle leaving the area. The shooting was first reported around 4:40 PM about an hour after the final bell of the school day on the still busy 23rd Ave campus. Seattle Fire says the teen was transported by paramedics to Harborview in stable condition.</v>
      </c>
      <c r="AA707" s="8" t="str">
        <f ca="1">IFERROR(__xludf.DUMMYFUNCTION("""COMPUTED_VALUE"""),"Drive-by Shooting")</f>
        <v>Drive-by Shooting</v>
      </c>
      <c r="AB707" s="8"/>
      <c r="AC707" s="8" t="str">
        <f ca="1">IFERROR(__xludf.DUMMYFUNCTION("""COMPUTED_VALUE"""),"Yes")</f>
        <v>Yes</v>
      </c>
      <c r="AD707" s="8" t="str">
        <f ca="1">IFERROR(__xludf.DUMMYFUNCTION("""COMPUTED_VALUE"""),"Victims Targeted")</f>
        <v>Victims Targeted</v>
      </c>
      <c r="AE707" s="8" t="str">
        <f ca="1">IFERROR(__xludf.DUMMYFUNCTION("""COMPUTED_VALUE"""),"Yes")</f>
        <v>Yes</v>
      </c>
      <c r="AF707" s="8"/>
      <c r="AG707" s="8" t="str">
        <f ca="1">IFERROR(__xludf.DUMMYFUNCTION("""COMPUTED_VALUE"""),"No")</f>
        <v>No</v>
      </c>
      <c r="AH707" s="8" t="str">
        <f ca="1">IFERROR(__xludf.DUMMYFUNCTION("""COMPUTED_VALUE"""),"No")</f>
        <v>No</v>
      </c>
      <c r="AI707" s="8" t="str">
        <f ca="1">IFERROR(__xludf.DUMMYFUNCTION("""COMPUTED_VALUE"""),"No")</f>
        <v>No</v>
      </c>
      <c r="AJ707" s="8" t="str">
        <f ca="1">IFERROR(__xludf.DUMMYFUNCTION("""COMPUTED_VALUE"""),"No")</f>
        <v>No</v>
      </c>
      <c r="AK707" s="8" t="str">
        <f ca="1">IFERROR(__xludf.DUMMYFUNCTION("""COMPUTED_VALUE"""),"No")</f>
        <v>No</v>
      </c>
      <c r="AL707" s="8"/>
      <c r="AM707" s="8" t="str">
        <f ca="1">IFERROR(__xludf.DUMMYFUNCTION("""COMPUTED_VALUE"""),"No")</f>
        <v>No</v>
      </c>
      <c r="AN707" s="8" t="str">
        <f ca="1">IFERROR(__xludf.DUMMYFUNCTION("""COMPUTED_VALUE"""),"Outside")</f>
        <v>Outside</v>
      </c>
      <c r="AO707" s="8" t="str">
        <f ca="1">IFERROR(__xludf.DUMMYFUNCTION("""COMPUTED_VALUE"""),"No")</f>
        <v>No</v>
      </c>
      <c r="AP707" s="8"/>
      <c r="AQ707" s="8"/>
      <c r="AR707" s="8" t="str">
        <f ca="1">IFERROR(__xludf.DUMMYFUNCTION("""COMPUTED_VALUE"""),"Outside/Off-Property")</f>
        <v>Outside/Off-Property</v>
      </c>
      <c r="AS707" s="8">
        <f ca="1">IFERROR(__xludf.DUMMYFUNCTION("""COMPUTED_VALUE"""),99)</f>
        <v>99</v>
      </c>
      <c r="AT707" s="8"/>
      <c r="AU707" s="8">
        <f ca="1">IFERROR(__xludf.DUMMYFUNCTION("""COMPUTED_VALUE"""),47.605059)</f>
        <v>47.605058999999997</v>
      </c>
      <c r="AV707" s="8">
        <f ca="1">IFERROR(__xludf.DUMMYFUNCTION("""COMPUTED_VALUE"""),-122.302413)</f>
        <v>-122.302413</v>
      </c>
      <c r="AW707" s="8"/>
      <c r="AX707" s="8">
        <f ca="1">IFERROR(__xludf.DUMMYFUNCTION("""COMPUTED_VALUE"""),98122)</f>
        <v>98122</v>
      </c>
    </row>
    <row r="708" spans="1:50" ht="255" x14ac:dyDescent="0.2">
      <c r="A708" s="8" t="str">
        <f ca="1">IFERROR(__xludf.DUMMYFUNCTION("""COMPUTED_VALUE"""),"20230518CACHW")</f>
        <v>20230518CACHW</v>
      </c>
      <c r="B708" s="8">
        <f ca="1">IFERROR(__xludf.DUMMYFUNCTION("""COMPUTED_VALUE"""),5)</f>
        <v>5</v>
      </c>
      <c r="C708" s="8">
        <f ca="1">IFERROR(__xludf.DUMMYFUNCTION("""COMPUTED_VALUE"""),18)</f>
        <v>18</v>
      </c>
      <c r="D708" s="8">
        <f ca="1">IFERROR(__xludf.DUMMYFUNCTION("""COMPUTED_VALUE"""),2023)</f>
        <v>2023</v>
      </c>
      <c r="E708" s="9">
        <f ca="1">IFERROR(__xludf.DUMMYFUNCTION("""COMPUTED_VALUE"""),45064)</f>
        <v>45064</v>
      </c>
      <c r="F708" s="8" t="str">
        <f ca="1">IFERROR(__xludf.DUMMYFUNCTION("""COMPUTED_VALUE"""),"Chaminade College Preparatory High School")</f>
        <v>Chaminade College Preparatory High School</v>
      </c>
      <c r="G708" s="8">
        <f ca="1">IFERROR(__xludf.DUMMYFUNCTION("""COMPUTED_VALUE"""),0)</f>
        <v>0</v>
      </c>
      <c r="H708" s="8">
        <f ca="1">IFERROR(__xludf.DUMMYFUNCTION("""COMPUTED_VALUE"""),0)</f>
        <v>0</v>
      </c>
      <c r="I708" s="8">
        <f ca="1">IFERROR(__xludf.DUMMYFUNCTION("""COMPUTED_VALUE"""),0)</f>
        <v>0</v>
      </c>
      <c r="J708" s="8">
        <f ca="1">IFERROR(__xludf.DUMMYFUNCTION("""COMPUTED_VALUE"""),0)</f>
        <v>0</v>
      </c>
      <c r="K708" s="10" t="str">
        <f ca="1">IFERROR(__xludf.DUMMYFUNCTION("""COMPUTED_VALUE"""),"https://www.cbsnews.com/losangeles/news/lapd-chase-armed-motorcyclist-accused-of-waving-a-gun-near-chaminade-high-school/")</f>
        <v>https://www.cbsnews.com/losangeles/news/lapd-chase-armed-motorcyclist-accused-of-waving-a-gun-near-chaminade-high-school/</v>
      </c>
      <c r="L708" s="8">
        <f ca="1">IFERROR(__xludf.DUMMYFUNCTION("""COMPUTED_VALUE"""),10)</f>
        <v>10</v>
      </c>
      <c r="M708" s="8" t="str">
        <f ca="1">IFERROR(__xludf.DUMMYFUNCTION("""COMPUTED_VALUE"""),"Regional")</f>
        <v>Regional</v>
      </c>
      <c r="N708" s="8">
        <f ca="1">IFERROR(__xludf.DUMMYFUNCTION("""COMPUTED_VALUE"""),4)</f>
        <v>4</v>
      </c>
      <c r="O708" s="8" t="str">
        <f ca="1">IFERROR(__xludf.DUMMYFUNCTION("""COMPUTED_VALUE"""),"Spring")</f>
        <v>Spring</v>
      </c>
      <c r="P708" s="8" t="str">
        <f ca="1">IFERROR(__xludf.DUMMYFUNCTION("""COMPUTED_VALUE"""),"West Hills")</f>
        <v>West Hills</v>
      </c>
      <c r="Q708" s="8" t="str">
        <f ca="1">IFERROR(__xludf.DUMMYFUNCTION("""COMPUTED_VALUE"""),"CA")</f>
        <v>CA</v>
      </c>
      <c r="R708" s="8" t="str">
        <f ca="1">IFERROR(__xludf.DUMMYFUNCTION("""COMPUTED_VALUE"""),"High")</f>
        <v>High</v>
      </c>
      <c r="S708" s="8" t="str">
        <f ca="1">IFERROR(__xludf.DUMMYFUNCTION("""COMPUTED_VALUE"""),"Beside Building")</f>
        <v>Beside Building</v>
      </c>
      <c r="T708" s="8" t="str">
        <f ca="1">IFERROR(__xludf.DUMMYFUNCTION("""COMPUTED_VALUE"""),"Outside on School Property")</f>
        <v>Outside on School Property</v>
      </c>
      <c r="U708" s="8" t="str">
        <f ca="1">IFERROR(__xludf.DUMMYFUNCTION("""COMPUTED_VALUE"""),"No")</f>
        <v>No</v>
      </c>
      <c r="V708" s="8" t="str">
        <f ca="1">IFERROR(__xludf.DUMMYFUNCTION("""COMPUTED_VALUE"""),"Sport Event")</f>
        <v>Sport Event</v>
      </c>
      <c r="W708" s="11">
        <f ca="1">IFERROR(__xludf.DUMMYFUNCTION("""COMPUTED_VALUE"""),0.708333333333333)</f>
        <v>0.70833333333333304</v>
      </c>
      <c r="X708" s="8">
        <f ca="1">IFERROR(__xludf.DUMMYFUNCTION("""COMPUTED_VALUE"""),1)</f>
        <v>1</v>
      </c>
      <c r="Y708" s="12" t="str">
        <f ca="1">IFERROR(__xludf.DUMMYFUNCTION("""COMPUTED_VALUE"""),"Man on motorcycle brandished gun around school causing lockdown")</f>
        <v>Man on motorcycle brandished gun around school causing lockdown</v>
      </c>
      <c r="Z708" s="12" t="str">
        <f ca="1">IFERROR(__xludf.DUMMYFUNCTION("""COMPUTED_VALUE"""),"The incident started at about 5 p.m. when police received calls about an armed man near Chaminade College Preparatory High School. The school was out of session but a baseball practice was occurring at the time. It was canceled and players were evacuated."&amp;" ""We were in the middle of practice, and all we hear were just these sirens blaring,"" said witness Harrison Lucas-Tinter. ""Cops come screeching in and they're like walking around. None of us had any clue of what was happening."" According to police, th"&amp;"e man suffers from a mental illness and has major depression. Officers were in the area trying to negotiate with him before he took off on a motorcycle. At some point, he pointed the firearm at police and was armed with two different firearms. The suspect"&amp;" drove around the San Fernando Valley for about an hour before returning to his home. Then, he pulled into his driveway before officers pounced upon him. ")</f>
        <v xml:space="preserve">The incident started at about 5 p.m. when police received calls about an armed man near Chaminade College Preparatory High School. The school was out of session but a baseball practice was occurring at the time. It was canceled and players were evacuated. "We were in the middle of practice, and all we hear were just these sirens blaring," said witness Harrison Lucas-Tinter. "Cops come screeching in and they're like walking around. None of us had any clue of what was happening." According to police, the man suffers from a mental illness and has major depression. Officers were in the area trying to negotiate with him before he took off on a motorcycle. At some point, he pointed the firearm at police and was armed with two different firearms. The suspect drove around the San Fernando Valley for about an hour before returning to his home. Then, he pulled into his driveway before officers pounced upon him. </v>
      </c>
      <c r="AA708" s="8" t="str">
        <f ca="1">IFERROR(__xludf.DUMMYFUNCTION("""COMPUTED_VALUE"""),"Psychosis")</f>
        <v>Psychosis</v>
      </c>
      <c r="AB708" s="8"/>
      <c r="AC708" s="8" t="str">
        <f ca="1">IFERROR(__xludf.DUMMYFUNCTION("""COMPUTED_VALUE"""),"Yes")</f>
        <v>Yes</v>
      </c>
      <c r="AD708" s="8" t="str">
        <f ca="1">IFERROR(__xludf.DUMMYFUNCTION("""COMPUTED_VALUE"""),"Neither")</f>
        <v>Neither</v>
      </c>
      <c r="AE708" s="8" t="str">
        <f ca="1">IFERROR(__xludf.DUMMYFUNCTION("""COMPUTED_VALUE"""),"No")</f>
        <v>No</v>
      </c>
      <c r="AF708" s="8"/>
      <c r="AG708" s="8" t="str">
        <f ca="1">IFERROR(__xludf.DUMMYFUNCTION("""COMPUTED_VALUE"""),"No")</f>
        <v>No</v>
      </c>
      <c r="AH708" s="8" t="str">
        <f ca="1">IFERROR(__xludf.DUMMYFUNCTION("""COMPUTED_VALUE"""),"No")</f>
        <v>No</v>
      </c>
      <c r="AI708" s="8" t="str">
        <f ca="1">IFERROR(__xludf.DUMMYFUNCTION("""COMPUTED_VALUE"""),"No")</f>
        <v>No</v>
      </c>
      <c r="AJ708" s="8" t="str">
        <f ca="1">IFERROR(__xludf.DUMMYFUNCTION("""COMPUTED_VALUE"""),"No")</f>
        <v>No</v>
      </c>
      <c r="AK708" s="8" t="str">
        <f ca="1">IFERROR(__xludf.DUMMYFUNCTION("""COMPUTED_VALUE"""),"No")</f>
        <v>No</v>
      </c>
      <c r="AL708" s="8" t="str">
        <f ca="1">IFERROR(__xludf.DUMMYFUNCTION("""COMPUTED_VALUE"""),"No")</f>
        <v>No</v>
      </c>
      <c r="AM708" s="8" t="str">
        <f ca="1">IFERROR(__xludf.DUMMYFUNCTION("""COMPUTED_VALUE"""),"No")</f>
        <v>No</v>
      </c>
      <c r="AN708" s="8" t="str">
        <f ca="1">IFERROR(__xludf.DUMMYFUNCTION("""COMPUTED_VALUE"""),"Outside")</f>
        <v>Outside</v>
      </c>
      <c r="AO708" s="8" t="str">
        <f ca="1">IFERROR(__xludf.DUMMYFUNCTION("""COMPUTED_VALUE"""),"No")</f>
        <v>No</v>
      </c>
      <c r="AP708" s="8"/>
      <c r="AQ708" s="8"/>
      <c r="AR708" s="8" t="str">
        <f ca="1">IFERROR(__xludf.DUMMYFUNCTION("""COMPUTED_VALUE"""),"Outside/Off-Property")</f>
        <v>Outside/Off-Property</v>
      </c>
      <c r="AS708" s="8">
        <f ca="1">IFERROR(__xludf.DUMMYFUNCTION("""COMPUTED_VALUE"""),0)</f>
        <v>0</v>
      </c>
      <c r="AT708" s="8" t="str">
        <f ca="1">IFERROR(__xludf.DUMMYFUNCTION("""COMPUTED_VALUE"""),"Yes")</f>
        <v>Yes</v>
      </c>
      <c r="AU708" s="8">
        <f ca="1">IFERROR(__xludf.DUMMYFUNCTION("""COMPUTED_VALUE"""),34.206985)</f>
        <v>34.206985000000003</v>
      </c>
      <c r="AV708" s="8">
        <f ca="1">IFERROR(__xludf.DUMMYFUNCTION("""COMPUTED_VALUE"""),-118.63569)</f>
        <v>-118.63569</v>
      </c>
      <c r="AW708" s="8"/>
      <c r="AX708" s="8">
        <f ca="1">IFERROR(__xludf.DUMMYFUNCTION("""COMPUTED_VALUE"""),91304)</f>
        <v>91304</v>
      </c>
    </row>
    <row r="709" spans="1:50" ht="120" x14ac:dyDescent="0.2">
      <c r="A709" s="8" t="str">
        <f ca="1">IFERROR(__xludf.DUMMYFUNCTION("""COMPUTED_VALUE"""),"20230517DCTHW")</f>
        <v>20230517DCTHW</v>
      </c>
      <c r="B709" s="8">
        <f ca="1">IFERROR(__xludf.DUMMYFUNCTION("""COMPUTED_VALUE"""),5)</f>
        <v>5</v>
      </c>
      <c r="C709" s="8">
        <f ca="1">IFERROR(__xludf.DUMMYFUNCTION("""COMPUTED_VALUE"""),17)</f>
        <v>17</v>
      </c>
      <c r="D709" s="8">
        <f ca="1">IFERROR(__xludf.DUMMYFUNCTION("""COMPUTED_VALUE"""),2023)</f>
        <v>2023</v>
      </c>
      <c r="E709" s="9">
        <f ca="1">IFERROR(__xludf.DUMMYFUNCTION("""COMPUTED_VALUE"""),45063)</f>
        <v>45063</v>
      </c>
      <c r="F709" s="8" t="str">
        <f ca="1">IFERROR(__xludf.DUMMYFUNCTION("""COMPUTED_VALUE"""),"Theodore Roosevelt High School")</f>
        <v>Theodore Roosevelt High School</v>
      </c>
      <c r="G709" s="8">
        <f ca="1">IFERROR(__xludf.DUMMYFUNCTION("""COMPUTED_VALUE"""),1)</f>
        <v>1</v>
      </c>
      <c r="H709" s="8">
        <f ca="1">IFERROR(__xludf.DUMMYFUNCTION("""COMPUTED_VALUE"""),0)</f>
        <v>0</v>
      </c>
      <c r="I709" s="8">
        <f ca="1">IFERROR(__xludf.DUMMYFUNCTION("""COMPUTED_VALUE"""),1)</f>
        <v>1</v>
      </c>
      <c r="J709" s="8">
        <f ca="1">IFERROR(__xludf.DUMMYFUNCTION("""COMPUTED_VALUE"""),0)</f>
        <v>0</v>
      </c>
      <c r="K709" s="10" t="str">
        <f ca="1">IFERROR(__xludf.DUMMYFUNCTION("""COMPUTED_VALUE"""),"https://www.nbcwashington.com/news/local/teen-shot-outside-roosevelt-high-school-in-dc-police/3350120/")</f>
        <v>https://www.nbcwashington.com/news/local/teen-shot-outside-roosevelt-high-school-in-dc-police/3350120/</v>
      </c>
      <c r="L709" s="8">
        <f ca="1">IFERROR(__xludf.DUMMYFUNCTION("""COMPUTED_VALUE"""),50)</f>
        <v>50</v>
      </c>
      <c r="M709" s="8" t="str">
        <f ca="1">IFERROR(__xludf.DUMMYFUNCTION("""COMPUTED_VALUE"""),"National")</f>
        <v>National</v>
      </c>
      <c r="N709" s="8">
        <f ca="1">IFERROR(__xludf.DUMMYFUNCTION("""COMPUTED_VALUE"""),4)</f>
        <v>4</v>
      </c>
      <c r="O709" s="8" t="str">
        <f ca="1">IFERROR(__xludf.DUMMYFUNCTION("""COMPUTED_VALUE"""),"Spring")</f>
        <v>Spring</v>
      </c>
      <c r="P709" s="8" t="str">
        <f ca="1">IFERROR(__xludf.DUMMYFUNCTION("""COMPUTED_VALUE"""),"Washington")</f>
        <v>Washington</v>
      </c>
      <c r="Q709" s="8" t="str">
        <f ca="1">IFERROR(__xludf.DUMMYFUNCTION("""COMPUTED_VALUE"""),"DC")</f>
        <v>DC</v>
      </c>
      <c r="R709" s="8" t="str">
        <f ca="1">IFERROR(__xludf.DUMMYFUNCTION("""COMPUTED_VALUE"""),"High")</f>
        <v>High</v>
      </c>
      <c r="S709" s="8" t="str">
        <f ca="1">IFERROR(__xludf.DUMMYFUNCTION("""COMPUTED_VALUE"""),"Parking Lot")</f>
        <v>Parking Lot</v>
      </c>
      <c r="T709" s="8" t="str">
        <f ca="1">IFERROR(__xludf.DUMMYFUNCTION("""COMPUTED_VALUE"""),"Outside on School Property")</f>
        <v>Outside on School Property</v>
      </c>
      <c r="U709" s="8" t="str">
        <f ca="1">IFERROR(__xludf.DUMMYFUNCTION("""COMPUTED_VALUE"""),"Yes")</f>
        <v>Yes</v>
      </c>
      <c r="V709" s="8" t="str">
        <f ca="1">IFERROR(__xludf.DUMMYFUNCTION("""COMPUTED_VALUE"""),"Afternoon Classes")</f>
        <v>Afternoon Classes</v>
      </c>
      <c r="W709" s="11">
        <f ca="1">IFERROR(__xludf.DUMMYFUNCTION("""COMPUTED_VALUE"""),0.604166666666666)</f>
        <v>0.60416666666666596</v>
      </c>
      <c r="X709" s="8">
        <f ca="1">IFERROR(__xludf.DUMMYFUNCTION("""COMPUTED_VALUE"""),1)</f>
        <v>1</v>
      </c>
      <c r="Y709" s="12" t="str">
        <f ca="1">IFERROR(__xludf.DUMMYFUNCTION("""COMPUTED_VALUE"""),"Student fatally shot in school parking lot during afternoon classes")</f>
        <v>Student fatally shot in school parking lot during afternoon classes</v>
      </c>
      <c r="Z709" s="12" t="str">
        <f ca="1">IFERROR(__xludf.DUMMYFUNCTION("""COMPUTED_VALUE"""),"Witnesses and police said the boy fell down in the parking lot of the school, where medics gave him CPR before taking him to a hospital in critical condition. He died at the hospital a short time later, police said. Authorities said at a news conference t"&amp;"here was a fight in the parking lot and they found a gun there, but they don't yet know if the gun was associated with the shooting. Teen had been threatened by gang members prior to shooting.")</f>
        <v>Witnesses and police said the boy fell down in the parking lot of the school, where medics gave him CPR before taking him to a hospital in critical condition. He died at the hospital a short time later, police said. Authorities said at a news conference there was a fight in the parking lot and they found a gun there, but they don't yet know if the gun was associated with the shooting. Teen had been threatened by gang members prior to shooting.</v>
      </c>
      <c r="AA709" s="8" t="str">
        <f ca="1">IFERROR(__xludf.DUMMYFUNCTION("""COMPUTED_VALUE"""),"Escalation of Dispute")</f>
        <v>Escalation of Dispute</v>
      </c>
      <c r="AB709" s="8"/>
      <c r="AC709" s="8" t="str">
        <f ca="1">IFERROR(__xludf.DUMMYFUNCTION("""COMPUTED_VALUE"""),"Yes")</f>
        <v>Yes</v>
      </c>
      <c r="AD709" s="8" t="str">
        <f ca="1">IFERROR(__xludf.DUMMYFUNCTION("""COMPUTED_VALUE"""),"Victims Targeted")</f>
        <v>Victims Targeted</v>
      </c>
      <c r="AE709" s="8" t="str">
        <f ca="1">IFERROR(__xludf.DUMMYFUNCTION("""COMPUTED_VALUE"""),"Yes")</f>
        <v>Yes</v>
      </c>
      <c r="AF709" s="8" t="str">
        <f ca="1">IFERROR(__xludf.DUMMYFUNCTION("""COMPUTED_VALUE"""),"Three teens ran from sene")</f>
        <v>Three teens ran from sene</v>
      </c>
      <c r="AG709" s="8" t="str">
        <f ca="1">IFERROR(__xludf.DUMMYFUNCTION("""COMPUTED_VALUE"""),"No")</f>
        <v>No</v>
      </c>
      <c r="AH709" s="8" t="str">
        <f ca="1">IFERROR(__xludf.DUMMYFUNCTION("""COMPUTED_VALUE"""),"No")</f>
        <v>No</v>
      </c>
      <c r="AI709" s="8" t="str">
        <f ca="1">IFERROR(__xludf.DUMMYFUNCTION("""COMPUTED_VALUE"""),"No")</f>
        <v>No</v>
      </c>
      <c r="AJ709" s="8" t="str">
        <f ca="1">IFERROR(__xludf.DUMMYFUNCTION("""COMPUTED_VALUE"""),"No")</f>
        <v>No</v>
      </c>
      <c r="AK709" s="8" t="str">
        <f ca="1">IFERROR(__xludf.DUMMYFUNCTION("""COMPUTED_VALUE"""),"No")</f>
        <v>No</v>
      </c>
      <c r="AL709" s="8" t="str">
        <f ca="1">IFERROR(__xludf.DUMMYFUNCTION("""COMPUTED_VALUE"""),"Yes")</f>
        <v>Yes</v>
      </c>
      <c r="AM709" s="8" t="str">
        <f ca="1">IFERROR(__xludf.DUMMYFUNCTION("""COMPUTED_VALUE"""),"No")</f>
        <v>No</v>
      </c>
      <c r="AN709" s="8" t="str">
        <f ca="1">IFERROR(__xludf.DUMMYFUNCTION("""COMPUTED_VALUE"""),"Outside")</f>
        <v>Outside</v>
      </c>
      <c r="AO709" s="8" t="str">
        <f ca="1">IFERROR(__xludf.DUMMYFUNCTION("""COMPUTED_VALUE"""),"No")</f>
        <v>No</v>
      </c>
      <c r="AP709" s="8"/>
      <c r="AQ709" s="8"/>
      <c r="AR709" s="8" t="str">
        <f ca="1">IFERROR(__xludf.DUMMYFUNCTION("""COMPUTED_VALUE"""),"Outside/Off-Property")</f>
        <v>Outside/Off-Property</v>
      </c>
      <c r="AS709" s="8">
        <f ca="1">IFERROR(__xludf.DUMMYFUNCTION("""COMPUTED_VALUE"""),5)</f>
        <v>5</v>
      </c>
      <c r="AT709" s="8" t="str">
        <f ca="1">IFERROR(__xludf.DUMMYFUNCTION("""COMPUTED_VALUE"""),"Yes")</f>
        <v>Yes</v>
      </c>
      <c r="AU709" s="8">
        <f ca="1">IFERROR(__xludf.DUMMYFUNCTION("""COMPUTED_VALUE"""),38.942626)</f>
        <v>38.942625999999997</v>
      </c>
      <c r="AV709" s="8">
        <f ca="1">IFERROR(__xludf.DUMMYFUNCTION("""COMPUTED_VALUE"""),-77.028203)</f>
        <v>-77.028203000000005</v>
      </c>
      <c r="AW709" s="8"/>
      <c r="AX709" s="8">
        <f ca="1">IFERROR(__xludf.DUMMYFUNCTION("""COMPUTED_VALUE"""),20012)</f>
        <v>20012</v>
      </c>
    </row>
    <row r="710" spans="1:50" ht="135" x14ac:dyDescent="0.2">
      <c r="A710" s="8" t="str">
        <f ca="1">IFERROR(__xludf.DUMMYFUNCTION("""COMPUTED_VALUE"""),"20230516OHEAC")</f>
        <v>20230516OHEAC</v>
      </c>
      <c r="B710" s="8">
        <f ca="1">IFERROR(__xludf.DUMMYFUNCTION("""COMPUTED_VALUE"""),5)</f>
        <v>5</v>
      </c>
      <c r="C710" s="8">
        <f ca="1">IFERROR(__xludf.DUMMYFUNCTION("""COMPUTED_VALUE"""),16)</f>
        <v>16</v>
      </c>
      <c r="D710" s="8">
        <f ca="1">IFERROR(__xludf.DUMMYFUNCTION("""COMPUTED_VALUE"""),2023)</f>
        <v>2023</v>
      </c>
      <c r="E710" s="9">
        <f ca="1">IFERROR(__xludf.DUMMYFUNCTION("""COMPUTED_VALUE"""),45062)</f>
        <v>45062</v>
      </c>
      <c r="F710" s="8" t="str">
        <f ca="1">IFERROR(__xludf.DUMMYFUNCTION("""COMPUTED_VALUE"""),"Eakin Elementary School")</f>
        <v>Eakin Elementary School</v>
      </c>
      <c r="G710" s="8">
        <f ca="1">IFERROR(__xludf.DUMMYFUNCTION("""COMPUTED_VALUE"""),0)</f>
        <v>0</v>
      </c>
      <c r="H710" s="8">
        <f ca="1">IFERROR(__xludf.DUMMYFUNCTION("""COMPUTED_VALUE"""),1)</f>
        <v>1</v>
      </c>
      <c r="I710" s="8">
        <f ca="1">IFERROR(__xludf.DUMMYFUNCTION("""COMPUTED_VALUE"""),1)</f>
        <v>1</v>
      </c>
      <c r="J710" s="8">
        <f ca="1">IFERROR(__xludf.DUMMYFUNCTION("""COMPUTED_VALUE"""),0)</f>
        <v>0</v>
      </c>
      <c r="K710" s="8" t="str">
        <f ca="1">IFERROR(__xludf.DUMMYFUNCTION("""COMPUTED_VALUE"""),"https://www.nbc4i.com/news/local-news/columbus/shots-fired-near-west-columbus-elementary-school/
https://myfox28columbus.com/news/local/1-shot-in-west-columbus-near-eakin-elementary-school-columbus-police-childrens-hospital-shooting-gun-violent-crime-hosp"&amp;"italized")</f>
        <v>https://www.nbc4i.com/news/local-news/columbus/shots-fired-near-west-columbus-elementary-school/
https://myfox28columbus.com/news/local/1-shot-in-west-columbus-near-eakin-elementary-school-columbus-police-childrens-hospital-shooting-gun-violent-crime-hospitalized</v>
      </c>
      <c r="L710" s="8">
        <f ca="1">IFERROR(__xludf.DUMMYFUNCTION("""COMPUTED_VALUE"""),3)</f>
        <v>3</v>
      </c>
      <c r="M710" s="8" t="str">
        <f ca="1">IFERROR(__xludf.DUMMYFUNCTION("""COMPUTED_VALUE"""),"Local")</f>
        <v>Local</v>
      </c>
      <c r="N710" s="8">
        <f ca="1">IFERROR(__xludf.DUMMYFUNCTION("""COMPUTED_VALUE"""),4)</f>
        <v>4</v>
      </c>
      <c r="O710" s="8" t="str">
        <f ca="1">IFERROR(__xludf.DUMMYFUNCTION("""COMPUTED_VALUE"""),"Spring")</f>
        <v>Spring</v>
      </c>
      <c r="P710" s="8" t="str">
        <f ca="1">IFERROR(__xludf.DUMMYFUNCTION("""COMPUTED_VALUE"""),"Columbus")</f>
        <v>Columbus</v>
      </c>
      <c r="Q710" s="8" t="str">
        <f ca="1">IFERROR(__xludf.DUMMYFUNCTION("""COMPUTED_VALUE"""),"OH")</f>
        <v>OH</v>
      </c>
      <c r="R710" s="8" t="str">
        <f ca="1">IFERROR(__xludf.DUMMYFUNCTION("""COMPUTED_VALUE"""),"Elementary")</f>
        <v>Elementary</v>
      </c>
      <c r="S710" s="8" t="str">
        <f ca="1">IFERROR(__xludf.DUMMYFUNCTION("""COMPUTED_VALUE"""),"Parking Lot")</f>
        <v>Parking Lot</v>
      </c>
      <c r="T710" s="8" t="str">
        <f ca="1">IFERROR(__xludf.DUMMYFUNCTION("""COMPUTED_VALUE"""),"Outside on School Property")</f>
        <v>Outside on School Property</v>
      </c>
      <c r="U710" s="8" t="str">
        <f ca="1">IFERROR(__xludf.DUMMYFUNCTION("""COMPUTED_VALUE"""),"Yes")</f>
        <v>Yes</v>
      </c>
      <c r="V710" s="8" t="str">
        <f ca="1">IFERROR(__xludf.DUMMYFUNCTION("""COMPUTED_VALUE"""),"Dismissal")</f>
        <v>Dismissal</v>
      </c>
      <c r="W710" s="11">
        <f ca="1">IFERROR(__xludf.DUMMYFUNCTION("""COMPUTED_VALUE"""),0.64375)</f>
        <v>0.64375000000000004</v>
      </c>
      <c r="X710" s="8">
        <f ca="1">IFERROR(__xludf.DUMMYFUNCTION("""COMPUTED_VALUE"""),1)</f>
        <v>1</v>
      </c>
      <c r="Y710" s="12" t="str">
        <f ca="1">IFERROR(__xludf.DUMMYFUNCTION("""COMPUTED_VALUE"""),"12-year-old boy shot in school parking lot during large fight")</f>
        <v>12-year-old boy shot in school parking lot during large fight</v>
      </c>
      <c r="Z710" s="12" t="str">
        <f ca="1">IFERROR(__xludf.DUMMYFUNCTION("""COMPUTED_VALUE"""),"12-year-old boy shot in school parking lot during large fight at dismissal. Unclear if he was involved or a bystander. Police said the shooting happened amid a fight on Eakin Elementary School's property. ""People were fighting, and somebody ran over and "&amp;"they pulled out a gun and started firing it in the air,"" a mom of two told WSYX about what she saw as she was picking up her kids. The school did a reverse evacuation, bringing students back into the building until police gave the all-clear around 4:15 p"&amp;".m.")</f>
        <v>12-year-old boy shot in school parking lot during large fight at dismissal. Unclear if he was involved or a bystander. Police said the shooting happened amid a fight on Eakin Elementary School's property. "People were fighting, and somebody ran over and they pulled out a gun and started firing it in the air," a mom of two told WSYX about what she saw as she was picking up her kids. The school did a reverse evacuation, bringing students back into the building until police gave the all-clear around 4:15 p.m.</v>
      </c>
      <c r="AA710" s="8" t="str">
        <f ca="1">IFERROR(__xludf.DUMMYFUNCTION("""COMPUTED_VALUE"""),"Escalation of Dispute")</f>
        <v>Escalation of Dispute</v>
      </c>
      <c r="AB710" s="8"/>
      <c r="AC710" s="8" t="str">
        <f ca="1">IFERROR(__xludf.DUMMYFUNCTION("""COMPUTED_VALUE"""),"Yes")</f>
        <v>Yes</v>
      </c>
      <c r="AD710" s="8"/>
      <c r="AE710" s="8" t="str">
        <f ca="1">IFERROR(__xludf.DUMMYFUNCTION("""COMPUTED_VALUE"""),"Yes")</f>
        <v>Yes</v>
      </c>
      <c r="AF710" s="8" t="str">
        <f ca="1">IFERROR(__xludf.DUMMYFUNCTION("""COMPUTED_VALUE"""),"Large fight")</f>
        <v>Large fight</v>
      </c>
      <c r="AG710" s="8" t="str">
        <f ca="1">IFERROR(__xludf.DUMMYFUNCTION("""COMPUTED_VALUE"""),"No")</f>
        <v>No</v>
      </c>
      <c r="AH710" s="8" t="str">
        <f ca="1">IFERROR(__xludf.DUMMYFUNCTION("""COMPUTED_VALUE"""),"No")</f>
        <v>No</v>
      </c>
      <c r="AI710" s="8" t="str">
        <f ca="1">IFERROR(__xludf.DUMMYFUNCTION("""COMPUTED_VALUE"""),"No")</f>
        <v>No</v>
      </c>
      <c r="AJ710" s="8" t="str">
        <f ca="1">IFERROR(__xludf.DUMMYFUNCTION("""COMPUTED_VALUE"""),"No")</f>
        <v>No</v>
      </c>
      <c r="AK710" s="8" t="str">
        <f ca="1">IFERROR(__xludf.DUMMYFUNCTION("""COMPUTED_VALUE"""),"No")</f>
        <v>No</v>
      </c>
      <c r="AL710" s="8"/>
      <c r="AM710" s="8" t="str">
        <f ca="1">IFERROR(__xludf.DUMMYFUNCTION("""COMPUTED_VALUE"""),"No")</f>
        <v>No</v>
      </c>
      <c r="AN710" s="8" t="str">
        <f ca="1">IFERROR(__xludf.DUMMYFUNCTION("""COMPUTED_VALUE"""),"Outside")</f>
        <v>Outside</v>
      </c>
      <c r="AO710" s="8" t="str">
        <f ca="1">IFERROR(__xludf.DUMMYFUNCTION("""COMPUTED_VALUE"""),"No")</f>
        <v>No</v>
      </c>
      <c r="AP710" s="8"/>
      <c r="AQ710" s="8"/>
      <c r="AR710" s="8" t="str">
        <f ca="1">IFERROR(__xludf.DUMMYFUNCTION("""COMPUTED_VALUE"""),"Outside/Off-Property")</f>
        <v>Outside/Off-Property</v>
      </c>
      <c r="AS710" s="8">
        <f ca="1">IFERROR(__xludf.DUMMYFUNCTION("""COMPUTED_VALUE"""),99)</f>
        <v>99</v>
      </c>
      <c r="AT710" s="8" t="str">
        <f ca="1">IFERROR(__xludf.DUMMYFUNCTION("""COMPUTED_VALUE"""),"Yes")</f>
        <v>Yes</v>
      </c>
      <c r="AU710" s="8">
        <f ca="1">IFERROR(__xludf.DUMMYFUNCTION("""COMPUTED_VALUE"""),39.939511)</f>
        <v>39.939511000000003</v>
      </c>
      <c r="AV710" s="8">
        <f ca="1">IFERROR(__xludf.DUMMYFUNCTION("""COMPUTED_VALUE"""),-83.099622)</f>
        <v>-83.099621999999997</v>
      </c>
      <c r="AW710" s="8"/>
      <c r="AX710" s="8">
        <f ca="1">IFERROR(__xludf.DUMMYFUNCTION("""COMPUTED_VALUE"""),43204)</f>
        <v>43204</v>
      </c>
    </row>
    <row r="711" spans="1:50" ht="135" x14ac:dyDescent="0.2">
      <c r="A711" s="8" t="str">
        <f ca="1">IFERROR(__xludf.DUMMYFUNCTION("""COMPUTED_VALUE"""),"20230516NJSCP")</f>
        <v>20230516NJSCP</v>
      </c>
      <c r="B711" s="8">
        <f ca="1">IFERROR(__xludf.DUMMYFUNCTION("""COMPUTED_VALUE"""),5)</f>
        <v>5</v>
      </c>
      <c r="C711" s="8">
        <f ca="1">IFERROR(__xludf.DUMMYFUNCTION("""COMPUTED_VALUE"""),16)</f>
        <v>16</v>
      </c>
      <c r="D711" s="8">
        <f ca="1">IFERROR(__xludf.DUMMYFUNCTION("""COMPUTED_VALUE"""),2023)</f>
        <v>2023</v>
      </c>
      <c r="E711" s="9">
        <f ca="1">IFERROR(__xludf.DUMMYFUNCTION("""COMPUTED_VALUE"""),45062)</f>
        <v>45062</v>
      </c>
      <c r="F711" s="8" t="str">
        <f ca="1">IFERROR(__xludf.DUMMYFUNCTION("""COMPUTED_VALUE"""),"School 21")</f>
        <v>School 21</v>
      </c>
      <c r="G711" s="8">
        <f ca="1">IFERROR(__xludf.DUMMYFUNCTION("""COMPUTED_VALUE"""),0)</f>
        <v>0</v>
      </c>
      <c r="H711" s="8">
        <f ca="1">IFERROR(__xludf.DUMMYFUNCTION("""COMPUTED_VALUE"""),0)</f>
        <v>0</v>
      </c>
      <c r="I711" s="8">
        <f ca="1">IFERROR(__xludf.DUMMYFUNCTION("""COMPUTED_VALUE"""),0)</f>
        <v>0</v>
      </c>
      <c r="J711" s="8">
        <f ca="1">IFERROR(__xludf.DUMMYFUNCTION("""COMPUTED_VALUE"""),0)</f>
        <v>0</v>
      </c>
      <c r="K711" s="8" t="str">
        <f ca="1">IFERROR(__xludf.DUMMYFUNCTION("""COMPUTED_VALUE"""),"https://www.northjersey.com/story/news/paterson-press/2023/05/17/motorist-and-security-guard-exchange-gunfire-outside-paterson-school/70230259007/
https://abc7ny.com/paterson-shootout-school-security-guard-new-jersey/13264022/")</f>
        <v>https://www.northjersey.com/story/news/paterson-press/2023/05/17/motorist-and-security-guard-exchange-gunfire-outside-paterson-school/70230259007/
https://abc7ny.com/paterson-shootout-school-security-guard-new-jersey/13264022/</v>
      </c>
      <c r="L711" s="8">
        <f ca="1">IFERROR(__xludf.DUMMYFUNCTION("""COMPUTED_VALUE"""),2)</f>
        <v>2</v>
      </c>
      <c r="M711" s="8" t="str">
        <f ca="1">IFERROR(__xludf.DUMMYFUNCTION("""COMPUTED_VALUE"""),"Local")</f>
        <v>Local</v>
      </c>
      <c r="N711" s="8">
        <f ca="1">IFERROR(__xludf.DUMMYFUNCTION("""COMPUTED_VALUE"""),4)</f>
        <v>4</v>
      </c>
      <c r="O711" s="8" t="str">
        <f ca="1">IFERROR(__xludf.DUMMYFUNCTION("""COMPUTED_VALUE"""),"Spring")</f>
        <v>Spring</v>
      </c>
      <c r="P711" s="8" t="str">
        <f ca="1">IFERROR(__xludf.DUMMYFUNCTION("""COMPUTED_VALUE"""),"Patterson")</f>
        <v>Patterson</v>
      </c>
      <c r="Q711" s="8" t="str">
        <f ca="1">IFERROR(__xludf.DUMMYFUNCTION("""COMPUTED_VALUE"""),"NJ")</f>
        <v>NJ</v>
      </c>
      <c r="R711" s="8" t="str">
        <f ca="1">IFERROR(__xludf.DUMMYFUNCTION("""COMPUTED_VALUE"""),"Elementary")</f>
        <v>Elementary</v>
      </c>
      <c r="S711" s="8" t="str">
        <f ca="1">IFERROR(__xludf.DUMMYFUNCTION("""COMPUTED_VALUE"""),"Front of School")</f>
        <v>Front of School</v>
      </c>
      <c r="T711" s="8" t="str">
        <f ca="1">IFERROR(__xludf.DUMMYFUNCTION("""COMPUTED_VALUE"""),"Outside on School Property")</f>
        <v>Outside on School Property</v>
      </c>
      <c r="U711" s="8" t="str">
        <f ca="1">IFERROR(__xludf.DUMMYFUNCTION("""COMPUTED_VALUE"""),"Yes")</f>
        <v>Yes</v>
      </c>
      <c r="V711" s="8" t="str">
        <f ca="1">IFERROR(__xludf.DUMMYFUNCTION("""COMPUTED_VALUE"""),"Morning Classes")</f>
        <v>Morning Classes</v>
      </c>
      <c r="W711" s="11">
        <f ca="1">IFERROR(__xludf.DUMMYFUNCTION("""COMPUTED_VALUE"""),0.375)</f>
        <v>0.375</v>
      </c>
      <c r="X711" s="8">
        <f ca="1">IFERROR(__xludf.DUMMYFUNCTION("""COMPUTED_VALUE"""),1)</f>
        <v>1</v>
      </c>
      <c r="Y711" s="12" t="str">
        <f ca="1">IFERROR(__xludf.DUMMYFUNCTION("""COMPUTED_VALUE"""),"Shooting between adult man and school security officer during dispute over illegal parking")</f>
        <v>Shooting between adult man and school security officer during dispute over illegal parking</v>
      </c>
      <c r="Z711" s="12" t="str">
        <f ca="1">IFERROR(__xludf.DUMMYFUNCTION("""COMPUTED_VALUE"""),"A motorist who was illegally parked outside a Paterson elementary school allegedly fired gunshots Tuesday morning at a school security guard who tried to get the vehicle to move on, according to multiple sources familiar with the investigation. The securi"&amp;"ty guard, who is a retired Paterson police officer, responded by firing back at the motorist, the sources said. Neither man was injured in the gunfire, which took place outside School 21 near the corner of Madison and 10th avenues at about 9 a.m., officia"&amp;"ls said.")</f>
        <v>A motorist who was illegally parked outside a Paterson elementary school allegedly fired gunshots Tuesday morning at a school security guard who tried to get the vehicle to move on, according to multiple sources familiar with the investigation. The security guard, who is a retired Paterson police officer, responded by firing back at the motorist, the sources said. Neither man was injured in the gunfire, which took place outside School 21 near the corner of Madison and 10th avenues at about 9 a.m., officials said.</v>
      </c>
      <c r="AA711" s="8" t="str">
        <f ca="1">IFERROR(__xludf.DUMMYFUNCTION("""COMPUTED_VALUE"""),"Escalation of Dispute")</f>
        <v>Escalation of Dispute</v>
      </c>
      <c r="AB711" s="8"/>
      <c r="AC711" s="8" t="str">
        <f ca="1">IFERROR(__xludf.DUMMYFUNCTION("""COMPUTED_VALUE"""),"Yes")</f>
        <v>Yes</v>
      </c>
      <c r="AD711" s="8" t="str">
        <f ca="1">IFERROR(__xludf.DUMMYFUNCTION("""COMPUTED_VALUE"""),"Victims Targeted")</f>
        <v>Victims Targeted</v>
      </c>
      <c r="AE711" s="8" t="str">
        <f ca="1">IFERROR(__xludf.DUMMYFUNCTION("""COMPUTED_VALUE"""),"No")</f>
        <v>No</v>
      </c>
      <c r="AF711" s="8"/>
      <c r="AG711" s="8" t="str">
        <f ca="1">IFERROR(__xludf.DUMMYFUNCTION("""COMPUTED_VALUE"""),"No")</f>
        <v>No</v>
      </c>
      <c r="AH711" s="8" t="str">
        <f ca="1">IFERROR(__xludf.DUMMYFUNCTION("""COMPUTED_VALUE"""),"No")</f>
        <v>No</v>
      </c>
      <c r="AI711" s="8" t="str">
        <f ca="1">IFERROR(__xludf.DUMMYFUNCTION("""COMPUTED_VALUE"""),"No")</f>
        <v>No</v>
      </c>
      <c r="AJ711" s="8" t="str">
        <f ca="1">IFERROR(__xludf.DUMMYFUNCTION("""COMPUTED_VALUE"""),"No")</f>
        <v>No</v>
      </c>
      <c r="AK711" s="8" t="str">
        <f ca="1">IFERROR(__xludf.DUMMYFUNCTION("""COMPUTED_VALUE"""),"No")</f>
        <v>No</v>
      </c>
      <c r="AL711" s="8" t="str">
        <f ca="1">IFERROR(__xludf.DUMMYFUNCTION("""COMPUTED_VALUE"""),"No")</f>
        <v>No</v>
      </c>
      <c r="AM711" s="8" t="str">
        <f ca="1">IFERROR(__xludf.DUMMYFUNCTION("""COMPUTED_VALUE"""),"No")</f>
        <v>No</v>
      </c>
      <c r="AN711" s="8" t="str">
        <f ca="1">IFERROR(__xludf.DUMMYFUNCTION("""COMPUTED_VALUE"""),"Outside")</f>
        <v>Outside</v>
      </c>
      <c r="AO711" s="8" t="str">
        <f ca="1">IFERROR(__xludf.DUMMYFUNCTION("""COMPUTED_VALUE"""),"No")</f>
        <v>No</v>
      </c>
      <c r="AP711" s="8" t="str">
        <f ca="1">IFERROR(__xludf.DUMMYFUNCTION("""COMPUTED_VALUE"""),"Yes")</f>
        <v>Yes</v>
      </c>
      <c r="AQ711" s="8" t="str">
        <f ca="1">IFERROR(__xludf.DUMMYFUNCTION("""COMPUTED_VALUE"""),"Armed Guards")</f>
        <v>Armed Guards</v>
      </c>
      <c r="AR711" s="8" t="str">
        <f ca="1">IFERROR(__xludf.DUMMYFUNCTION("""COMPUTED_VALUE"""),"Outside/Off-Property")</f>
        <v>Outside/Off-Property</v>
      </c>
      <c r="AS711" s="8">
        <f ca="1">IFERROR(__xludf.DUMMYFUNCTION("""COMPUTED_VALUE"""),99)</f>
        <v>99</v>
      </c>
      <c r="AT711" s="8"/>
      <c r="AU711" s="8">
        <f ca="1">IFERROR(__xludf.DUMMYFUNCTION("""COMPUTED_VALUE"""),40.924199)</f>
        <v>40.924199000000002</v>
      </c>
      <c r="AV711" s="8">
        <f ca="1">IFERROR(__xludf.DUMMYFUNCTION("""COMPUTED_VALUE"""),-74.151705)</f>
        <v>-74.151705000000007</v>
      </c>
      <c r="AW711" s="8"/>
      <c r="AX711" s="8">
        <f ca="1">IFERROR(__xludf.DUMMYFUNCTION("""COMPUTED_VALUE"""),7514)</f>
        <v>7514</v>
      </c>
    </row>
    <row r="712" spans="1:50" ht="195" x14ac:dyDescent="0.2">
      <c r="A712" s="8" t="str">
        <f ca="1">IFERROR(__xludf.DUMMYFUNCTION("""COMPUTED_VALUE"""),"20230516MNDAM")</f>
        <v>20230516MNDAM</v>
      </c>
      <c r="B712" s="8">
        <f ca="1">IFERROR(__xludf.DUMMYFUNCTION("""COMPUTED_VALUE"""),5)</f>
        <v>5</v>
      </c>
      <c r="C712" s="8">
        <f ca="1">IFERROR(__xludf.DUMMYFUNCTION("""COMPUTED_VALUE"""),16)</f>
        <v>16</v>
      </c>
      <c r="D712" s="8">
        <f ca="1">IFERROR(__xludf.DUMMYFUNCTION("""COMPUTED_VALUE"""),2023)</f>
        <v>2023</v>
      </c>
      <c r="E712" s="9">
        <f ca="1">IFERROR(__xludf.DUMMYFUNCTION("""COMPUTED_VALUE"""),45062)</f>
        <v>45062</v>
      </c>
      <c r="F712" s="8" t="str">
        <f ca="1">IFERROR(__xludf.DUMMYFUNCTION("""COMPUTED_VALUE"""),"Davis Center for Minneapolis Public Schools")</f>
        <v>Davis Center for Minneapolis Public Schools</v>
      </c>
      <c r="G712" s="8">
        <f ca="1">IFERROR(__xludf.DUMMYFUNCTION("""COMPUTED_VALUE"""),0)</f>
        <v>0</v>
      </c>
      <c r="H712" s="8">
        <f ca="1">IFERROR(__xludf.DUMMYFUNCTION("""COMPUTED_VALUE"""),0)</f>
        <v>0</v>
      </c>
      <c r="I712" s="8">
        <f ca="1">IFERROR(__xludf.DUMMYFUNCTION("""COMPUTED_VALUE"""),0)</f>
        <v>0</v>
      </c>
      <c r="J712" s="8">
        <f ca="1">IFERROR(__xludf.DUMMYFUNCTION("""COMPUTED_VALUE"""),0)</f>
        <v>0</v>
      </c>
      <c r="K712" s="10" t="str">
        <f ca="1">IFERROR(__xludf.DUMMYFUNCTION("""COMPUTED_VALUE"""),"https://www.kare11.com/article/news/crime/2-juveniles-charged-for-stolen-kia-weapons-shots-fired-at-davis-center/89-01623e39-2f89-46d9-90b8-4de86e347f2e")</f>
        <v>https://www.kare11.com/article/news/crime/2-juveniles-charged-for-stolen-kia-weapons-shots-fired-at-davis-center/89-01623e39-2f89-46d9-90b8-4de86e347f2e</v>
      </c>
      <c r="L712" s="8">
        <f ca="1">IFERROR(__xludf.DUMMYFUNCTION("""COMPUTED_VALUE"""),5)</f>
        <v>5</v>
      </c>
      <c r="M712" s="8" t="str">
        <f ca="1">IFERROR(__xludf.DUMMYFUNCTION("""COMPUTED_VALUE"""),"Local")</f>
        <v>Local</v>
      </c>
      <c r="N712" s="8">
        <f ca="1">IFERROR(__xludf.DUMMYFUNCTION("""COMPUTED_VALUE"""),4)</f>
        <v>4</v>
      </c>
      <c r="O712" s="8" t="str">
        <f ca="1">IFERROR(__xludf.DUMMYFUNCTION("""COMPUTED_VALUE"""),"Spring")</f>
        <v>Spring</v>
      </c>
      <c r="P712" s="8" t="str">
        <f ca="1">IFERROR(__xludf.DUMMYFUNCTION("""COMPUTED_VALUE"""),"Minneapolis")</f>
        <v>Minneapolis</v>
      </c>
      <c r="Q712" s="8" t="str">
        <f ca="1">IFERROR(__xludf.DUMMYFUNCTION("""COMPUTED_VALUE"""),"MN")</f>
        <v>MN</v>
      </c>
      <c r="R712" s="8" t="str">
        <f ca="1">IFERROR(__xludf.DUMMYFUNCTION("""COMPUTED_VALUE"""),"Other")</f>
        <v>Other</v>
      </c>
      <c r="S712" s="8" t="str">
        <f ca="1">IFERROR(__xludf.DUMMYFUNCTION("""COMPUTED_VALUE"""),"Outside on School Property")</f>
        <v>Outside on School Property</v>
      </c>
      <c r="T712" s="8" t="str">
        <f ca="1">IFERROR(__xludf.DUMMYFUNCTION("""COMPUTED_VALUE"""),"Outside on School Property")</f>
        <v>Outside on School Property</v>
      </c>
      <c r="U712" s="8" t="str">
        <f ca="1">IFERROR(__xludf.DUMMYFUNCTION("""COMPUTED_VALUE"""),"Yes")</f>
        <v>Yes</v>
      </c>
      <c r="V712" s="8" t="str">
        <f ca="1">IFERROR(__xludf.DUMMYFUNCTION("""COMPUTED_VALUE"""),"Afternoon Classes")</f>
        <v>Afternoon Classes</v>
      </c>
      <c r="W712" s="11">
        <f ca="1">IFERROR(__xludf.DUMMYFUNCTION("""COMPUTED_VALUE"""),0.590277777777777)</f>
        <v>0.59027777777777701</v>
      </c>
      <c r="X712" s="8">
        <f ca="1">IFERROR(__xludf.DUMMYFUNCTION("""COMPUTED_VALUE"""),1)</f>
        <v>1</v>
      </c>
      <c r="Y712" s="12" t="str">
        <f ca="1">IFERROR(__xludf.DUMMYFUNCTION("""COMPUTED_VALUE"""),"Three teens fired shots from vehicle at school district's administrative headquarters")</f>
        <v>Three teens fired shots from vehicle at school district's administrative headquarters</v>
      </c>
      <c r="Z712" s="12" t="str">
        <f ca="1">IFERROR(__xludf.DUMMYFUNCTION("""COMPUTED_VALUE"""),"Three teenage boys have been arrested in connection with a drive-by shooting that damaged the Minneapolis Public Schools administration headquarters. Officers responded around 2:10 p.m. Monday to 911 calls reporting about a dozen shots fired in the 2100 b"&amp;"lock of Girard Avenue N. More calls came from staff at the Davis Center for Minneapolis Public Schools (MPS), on the same block. The callers reported a café window was broken by gunfire in the shooting, according to a MPS statement released Monday. ""A dr"&amp;"ive-by shooting outside MPS headquarters shattered a café window, a shooting that occurred while a few staff members were in the courtyard,"" the statement read. ""Everyone is shaken but safe.""")</f>
        <v>Three teenage boys have been arrested in connection with a drive-by shooting that damaged the Minneapolis Public Schools administration headquarters. Officers responded around 2:10 p.m. Monday to 911 calls reporting about a dozen shots fired in the 2100 block of Girard Avenue N. More calls came from staff at the Davis Center for Minneapolis Public Schools (MPS), on the same block. The callers reported a café window was broken by gunfire in the shooting, according to a MPS statement released Monday. "A drive-by shooting outside MPS headquarters shattered a café window, a shooting that occurred while a few staff members were in the courtyard," the statement read. "Everyone is shaken but safe."</v>
      </c>
      <c r="AA712" s="8" t="str">
        <f ca="1">IFERROR(__xludf.DUMMYFUNCTION("""COMPUTED_VALUE"""),"Drive-by Shooting")</f>
        <v>Drive-by Shooting</v>
      </c>
      <c r="AB712" s="8"/>
      <c r="AC712" s="8" t="str">
        <f ca="1">IFERROR(__xludf.DUMMYFUNCTION("""COMPUTED_VALUE"""),"Yes")</f>
        <v>Yes</v>
      </c>
      <c r="AD712" s="8" t="str">
        <f ca="1">IFERROR(__xludf.DUMMYFUNCTION("""COMPUTED_VALUE"""),"Both")</f>
        <v>Both</v>
      </c>
      <c r="AE712" s="8" t="str">
        <f ca="1">IFERROR(__xludf.DUMMYFUNCTION("""COMPUTED_VALUE"""),"Yes")</f>
        <v>Yes</v>
      </c>
      <c r="AF712" s="8" t="str">
        <f ca="1">IFERROR(__xludf.DUMMYFUNCTION("""COMPUTED_VALUE"""),"Three teen shooters and driver")</f>
        <v>Three teen shooters and driver</v>
      </c>
      <c r="AG712" s="8" t="str">
        <f ca="1">IFERROR(__xludf.DUMMYFUNCTION("""COMPUTED_VALUE"""),"No")</f>
        <v>No</v>
      </c>
      <c r="AH712" s="8" t="str">
        <f ca="1">IFERROR(__xludf.DUMMYFUNCTION("""COMPUTED_VALUE"""),"No")</f>
        <v>No</v>
      </c>
      <c r="AI712" s="8" t="str">
        <f ca="1">IFERROR(__xludf.DUMMYFUNCTION("""COMPUTED_VALUE"""),"No")</f>
        <v>No</v>
      </c>
      <c r="AJ712" s="8" t="str">
        <f ca="1">IFERROR(__xludf.DUMMYFUNCTION("""COMPUTED_VALUE"""),"No")</f>
        <v>No</v>
      </c>
      <c r="AK712" s="8" t="str">
        <f ca="1">IFERROR(__xludf.DUMMYFUNCTION("""COMPUTED_VALUE"""),"No")</f>
        <v>No</v>
      </c>
      <c r="AL712" s="8" t="str">
        <f ca="1">IFERROR(__xludf.DUMMYFUNCTION("""COMPUTED_VALUE"""),"No")</f>
        <v>No</v>
      </c>
      <c r="AM712" s="8" t="str">
        <f ca="1">IFERROR(__xludf.DUMMYFUNCTION("""COMPUTED_VALUE"""),"No")</f>
        <v>No</v>
      </c>
      <c r="AN712" s="8" t="str">
        <f ca="1">IFERROR(__xludf.DUMMYFUNCTION("""COMPUTED_VALUE"""),"Outside")</f>
        <v>Outside</v>
      </c>
      <c r="AO712" s="8" t="str">
        <f ca="1">IFERROR(__xludf.DUMMYFUNCTION("""COMPUTED_VALUE"""),"No")</f>
        <v>No</v>
      </c>
      <c r="AP712" s="8"/>
      <c r="AQ712" s="8"/>
      <c r="AR712" s="8" t="str">
        <f ca="1">IFERROR(__xludf.DUMMYFUNCTION("""COMPUTED_VALUE"""),"Outside/Off-Property")</f>
        <v>Outside/Off-Property</v>
      </c>
      <c r="AS712" s="8">
        <f ca="1">IFERROR(__xludf.DUMMYFUNCTION("""COMPUTED_VALUE"""),12)</f>
        <v>12</v>
      </c>
      <c r="AT712" s="8"/>
      <c r="AU712" s="8">
        <f ca="1">IFERROR(__xludf.DUMMYFUNCTION("""COMPUTED_VALUE"""),44.999839)</f>
        <v>44.999839000000001</v>
      </c>
      <c r="AV712" s="8">
        <f ca="1">IFERROR(__xludf.DUMMYFUNCTION("""COMPUTED_VALUE"""),-93.297046)</f>
        <v>-93.297045999999995</v>
      </c>
      <c r="AW712" s="8"/>
      <c r="AX712" s="8">
        <f ca="1">IFERROR(__xludf.DUMMYFUNCTION("""COMPUTED_VALUE"""),55411)</f>
        <v>55411</v>
      </c>
    </row>
    <row r="713" spans="1:50" ht="135" x14ac:dyDescent="0.2">
      <c r="A713" s="8" t="str">
        <f ca="1">IFERROR(__xludf.DUMMYFUNCTION("""COMPUTED_VALUE"""),"20230515ORCRP")</f>
        <v>20230515ORCRP</v>
      </c>
      <c r="B713" s="8">
        <f ca="1">IFERROR(__xludf.DUMMYFUNCTION("""COMPUTED_VALUE"""),5)</f>
        <v>5</v>
      </c>
      <c r="C713" s="8">
        <f ca="1">IFERROR(__xludf.DUMMYFUNCTION("""COMPUTED_VALUE"""),15)</f>
        <v>15</v>
      </c>
      <c r="D713" s="8">
        <f ca="1">IFERROR(__xludf.DUMMYFUNCTION("""COMPUTED_VALUE"""),2023)</f>
        <v>2023</v>
      </c>
      <c r="E713" s="9">
        <f ca="1">IFERROR(__xludf.DUMMYFUNCTION("""COMPUTED_VALUE"""),45061)</f>
        <v>45061</v>
      </c>
      <c r="F713" s="8" t="str">
        <f ca="1">IFERROR(__xludf.DUMMYFUNCTION("""COMPUTED_VALUE"""),"Creative Science School")</f>
        <v>Creative Science School</v>
      </c>
      <c r="G713" s="8">
        <f ca="1">IFERROR(__xludf.DUMMYFUNCTION("""COMPUTED_VALUE"""),0)</f>
        <v>0</v>
      </c>
      <c r="H713" s="8">
        <f ca="1">IFERROR(__xludf.DUMMYFUNCTION("""COMPUTED_VALUE"""),0)</f>
        <v>0</v>
      </c>
      <c r="I713" s="8">
        <f ca="1">IFERROR(__xludf.DUMMYFUNCTION("""COMPUTED_VALUE"""),0)</f>
        <v>0</v>
      </c>
      <c r="J713" s="8">
        <f ca="1">IFERROR(__xludf.DUMMYFUNCTION("""COMPUTED_VALUE"""),0)</f>
        <v>0</v>
      </c>
      <c r="K713" s="10" t="str">
        <f ca="1">IFERROR(__xludf.DUMMYFUNCTION("""COMPUTED_VALUE"""),"https://www.kptv.com/2023/05/16/teen-tactical-gear-arrested-after-threatening-portland-school-shooting/
https://katu.com/news/local/police-determine-gun-a-fake-in-creative-science-school-lockdown")</f>
        <v>https://www.kptv.com/2023/05/16/teen-tactical-gear-arrested-after-threatening-portland-school-shooting/
https://katu.com/news/local/police-determine-gun-a-fake-in-creative-science-school-lockdown</v>
      </c>
      <c r="L713" s="8">
        <f ca="1">IFERROR(__xludf.DUMMYFUNCTION("""COMPUTED_VALUE"""),2)</f>
        <v>2</v>
      </c>
      <c r="M713" s="8" t="str">
        <f ca="1">IFERROR(__xludf.DUMMYFUNCTION("""COMPUTED_VALUE"""),"Local")</f>
        <v>Local</v>
      </c>
      <c r="N713" s="8">
        <f ca="1">IFERROR(__xludf.DUMMYFUNCTION("""COMPUTED_VALUE"""),4)</f>
        <v>4</v>
      </c>
      <c r="O713" s="8" t="str">
        <f ca="1">IFERROR(__xludf.DUMMYFUNCTION("""COMPUTED_VALUE"""),"Spring")</f>
        <v>Spring</v>
      </c>
      <c r="P713" s="8" t="str">
        <f ca="1">IFERROR(__xludf.DUMMYFUNCTION("""COMPUTED_VALUE"""),"Portland")</f>
        <v>Portland</v>
      </c>
      <c r="Q713" s="8" t="str">
        <f ca="1">IFERROR(__xludf.DUMMYFUNCTION("""COMPUTED_VALUE"""),"OR")</f>
        <v>OR</v>
      </c>
      <c r="R713" s="8" t="str">
        <f ca="1">IFERROR(__xludf.DUMMYFUNCTION("""COMPUTED_VALUE"""),"Middle")</f>
        <v>Middle</v>
      </c>
      <c r="S713" s="8" t="str">
        <f ca="1">IFERROR(__xludf.DUMMYFUNCTION("""COMPUTED_VALUE"""),"Inside School Building")</f>
        <v>Inside School Building</v>
      </c>
      <c r="T713" s="8" t="str">
        <f ca="1">IFERROR(__xludf.DUMMYFUNCTION("""COMPUTED_VALUE"""),"Inside School Building")</f>
        <v>Inside School Building</v>
      </c>
      <c r="U713" s="8" t="str">
        <f ca="1">IFERROR(__xludf.DUMMYFUNCTION("""COMPUTED_VALUE"""),"Yes")</f>
        <v>Yes</v>
      </c>
      <c r="V713" s="8" t="str">
        <f ca="1">IFERROR(__xludf.DUMMYFUNCTION("""COMPUTED_VALUE"""),"Dismissal")</f>
        <v>Dismissal</v>
      </c>
      <c r="W713" s="11">
        <f ca="1">IFERROR(__xludf.DUMMYFUNCTION("""COMPUTED_VALUE"""),0.666666666666666)</f>
        <v>0.66666666666666596</v>
      </c>
      <c r="X713" s="8">
        <f ca="1">IFERROR(__xludf.DUMMYFUNCTION("""COMPUTED_VALUE"""),1)</f>
        <v>1</v>
      </c>
      <c r="Y713" s="12" t="str">
        <f ca="1">IFERROR(__xludf.DUMMYFUNCTION("""COMPUTED_VALUE"""),"Former student banned from campus entered school with helmet, goggles, tactical vest, and replica handgun, threatened school shooting")</f>
        <v>Former student banned from campus entered school with helmet, goggles, tactical vest, and replica handgun, threatened school shooting</v>
      </c>
      <c r="Z713" s="12" t="str">
        <f ca="1">IFERROR(__xludf.DUMMYFUNCTION("""COMPUTED_VALUE"""),"Former student banned from campus entered school with helmet, goggles, tactical vest, and replica handgun, threatened school shooting. They took the 13-year-old boy into custody for trespassing, menacing and disorderly conduct. He was taken to the Donald "&amp;"E. Long Juvenile Detention Center.")</f>
        <v>Former student banned from campus entered school with helmet, goggles, tactical vest, and replica handgun, threatened school shooting. They took the 13-year-old boy into custody for trespassing, menacing and disorderly conduct. He was taken to the Donald E. Long Juvenile Detention Center.</v>
      </c>
      <c r="AA713" s="8" t="str">
        <f ca="1">IFERROR(__xludf.DUMMYFUNCTION("""COMPUTED_VALUE"""),"Indiscriminate Shooting")</f>
        <v>Indiscriminate Shooting</v>
      </c>
      <c r="AB713" s="8"/>
      <c r="AC713" s="8" t="str">
        <f ca="1">IFERROR(__xludf.DUMMYFUNCTION("""COMPUTED_VALUE"""),"Yes")</f>
        <v>Yes</v>
      </c>
      <c r="AD713" s="8" t="str">
        <f ca="1">IFERROR(__xludf.DUMMYFUNCTION("""COMPUTED_VALUE"""),"Neither")</f>
        <v>Neither</v>
      </c>
      <c r="AE713" s="8" t="str">
        <f ca="1">IFERROR(__xludf.DUMMYFUNCTION("""COMPUTED_VALUE"""),"No")</f>
        <v>No</v>
      </c>
      <c r="AF713" s="8"/>
      <c r="AG713" s="8" t="str">
        <f ca="1">IFERROR(__xludf.DUMMYFUNCTION("""COMPUTED_VALUE"""),"No")</f>
        <v>No</v>
      </c>
      <c r="AH713" s="8" t="str">
        <f ca="1">IFERROR(__xludf.DUMMYFUNCTION("""COMPUTED_VALUE"""),"No")</f>
        <v>No</v>
      </c>
      <c r="AI713" s="8" t="str">
        <f ca="1">IFERROR(__xludf.DUMMYFUNCTION("""COMPUTED_VALUE"""),"No")</f>
        <v>No</v>
      </c>
      <c r="AJ713" s="8" t="str">
        <f ca="1">IFERROR(__xludf.DUMMYFUNCTION("""COMPUTED_VALUE"""),"No")</f>
        <v>No</v>
      </c>
      <c r="AK713" s="8" t="str">
        <f ca="1">IFERROR(__xludf.DUMMYFUNCTION("""COMPUTED_VALUE"""),"No")</f>
        <v>No</v>
      </c>
      <c r="AL713" s="8" t="str">
        <f ca="1">IFERROR(__xludf.DUMMYFUNCTION("""COMPUTED_VALUE"""),"No")</f>
        <v>No</v>
      </c>
      <c r="AM713" s="8" t="str">
        <f ca="1">IFERROR(__xludf.DUMMYFUNCTION("""COMPUTED_VALUE"""),"Yes")</f>
        <v>Yes</v>
      </c>
      <c r="AN713" s="8" t="str">
        <f ca="1">IFERROR(__xludf.DUMMYFUNCTION("""COMPUTED_VALUE"""),"Hallway")</f>
        <v>Hallway</v>
      </c>
      <c r="AO713" s="8" t="str">
        <f ca="1">IFERROR(__xludf.DUMMYFUNCTION("""COMPUTED_VALUE"""),"Yes")</f>
        <v>Yes</v>
      </c>
      <c r="AP713" s="8"/>
      <c r="AQ713" s="8"/>
      <c r="AR713" s="8" t="str">
        <f ca="1">IFERROR(__xludf.DUMMYFUNCTION("""COMPUTED_VALUE"""),"Failed")</f>
        <v>Failed</v>
      </c>
      <c r="AS713" s="8">
        <f ca="1">IFERROR(__xludf.DUMMYFUNCTION("""COMPUTED_VALUE"""),0)</f>
        <v>0</v>
      </c>
      <c r="AT713" s="8" t="str">
        <f ca="1">IFERROR(__xludf.DUMMYFUNCTION("""COMPUTED_VALUE"""),"Yes")</f>
        <v>Yes</v>
      </c>
      <c r="AU713" s="8">
        <f ca="1">IFERROR(__xludf.DUMMYFUNCTION("""COMPUTED_VALUE"""),45.514065)</f>
        <v>45.514065000000002</v>
      </c>
      <c r="AV713" s="8">
        <f ca="1">IFERROR(__xludf.DUMMYFUNCTION("""COMPUTED_VALUE"""),-122.569368)</f>
        <v>-122.569368</v>
      </c>
      <c r="AW713" s="8"/>
      <c r="AX713" s="8">
        <f ca="1">IFERROR(__xludf.DUMMYFUNCTION("""COMPUTED_VALUE"""),97216)</f>
        <v>97216</v>
      </c>
    </row>
    <row r="714" spans="1:50" ht="255" x14ac:dyDescent="0.2">
      <c r="A714" s="8" t="str">
        <f ca="1">IFERROR(__xludf.DUMMYFUNCTION("""COMPUTED_VALUE"""),"20230515ININI")</f>
        <v>20230515ININI</v>
      </c>
      <c r="B714" s="8">
        <f ca="1">IFERROR(__xludf.DUMMYFUNCTION("""COMPUTED_VALUE"""),5)</f>
        <v>5</v>
      </c>
      <c r="C714" s="8">
        <f ca="1">IFERROR(__xludf.DUMMYFUNCTION("""COMPUTED_VALUE"""),15)</f>
        <v>15</v>
      </c>
      <c r="D714" s="8">
        <f ca="1">IFERROR(__xludf.DUMMYFUNCTION("""COMPUTED_VALUE"""),2023)</f>
        <v>2023</v>
      </c>
      <c r="E714" s="9">
        <f ca="1">IFERROR(__xludf.DUMMYFUNCTION("""COMPUTED_VALUE"""),45061)</f>
        <v>45061</v>
      </c>
      <c r="F714" s="8" t="str">
        <f ca="1">IFERROR(__xludf.DUMMYFUNCTION("""COMPUTED_VALUE"""),"Indianapolis Metropolitan High School")</f>
        <v>Indianapolis Metropolitan High School</v>
      </c>
      <c r="G714" s="8">
        <f ca="1">IFERROR(__xludf.DUMMYFUNCTION("""COMPUTED_VALUE"""),0)</f>
        <v>0</v>
      </c>
      <c r="H714" s="8">
        <f ca="1">IFERROR(__xludf.DUMMYFUNCTION("""COMPUTED_VALUE"""),0)</f>
        <v>0</v>
      </c>
      <c r="I714" s="8">
        <f ca="1">IFERROR(__xludf.DUMMYFUNCTION("""COMPUTED_VALUE"""),0)</f>
        <v>0</v>
      </c>
      <c r="J714" s="8">
        <f ca="1">IFERROR(__xludf.DUMMYFUNCTION("""COMPUTED_VALUE"""),0)</f>
        <v>0</v>
      </c>
      <c r="K714" s="10" t="str">
        <f ca="1">IFERROR(__xludf.DUMMYFUNCTION("""COMPUTED_VALUE"""),"https://fox59.com/news/indycrime/2-teens-arrested-after-guns-were-found-at-indianapolis-metropolitan-high-school/")</f>
        <v>https://fox59.com/news/indycrime/2-teens-arrested-after-guns-were-found-at-indianapolis-metropolitan-high-school/</v>
      </c>
      <c r="L714" s="8">
        <f ca="1">IFERROR(__xludf.DUMMYFUNCTION("""COMPUTED_VALUE"""),5)</f>
        <v>5</v>
      </c>
      <c r="M714" s="8" t="str">
        <f ca="1">IFERROR(__xludf.DUMMYFUNCTION("""COMPUTED_VALUE"""),"Local")</f>
        <v>Local</v>
      </c>
      <c r="N714" s="8">
        <f ca="1">IFERROR(__xludf.DUMMYFUNCTION("""COMPUTED_VALUE"""),4)</f>
        <v>4</v>
      </c>
      <c r="O714" s="8" t="str">
        <f ca="1">IFERROR(__xludf.DUMMYFUNCTION("""COMPUTED_VALUE"""),"Spring")</f>
        <v>Spring</v>
      </c>
      <c r="P714" s="8" t="str">
        <f ca="1">IFERROR(__xludf.DUMMYFUNCTION("""COMPUTED_VALUE"""),"Indianapolis")</f>
        <v>Indianapolis</v>
      </c>
      <c r="Q714" s="8" t="str">
        <f ca="1">IFERROR(__xludf.DUMMYFUNCTION("""COMPUTED_VALUE"""),"IN")</f>
        <v>IN</v>
      </c>
      <c r="R714" s="8" t="str">
        <f ca="1">IFERROR(__xludf.DUMMYFUNCTION("""COMPUTED_VALUE"""),"High")</f>
        <v>High</v>
      </c>
      <c r="S714" s="8" t="str">
        <f ca="1">IFERROR(__xludf.DUMMYFUNCTION("""COMPUTED_VALUE"""),"Bathroom")</f>
        <v>Bathroom</v>
      </c>
      <c r="T714" s="8" t="str">
        <f ca="1">IFERROR(__xludf.DUMMYFUNCTION("""COMPUTED_VALUE"""),"Inside School Building")</f>
        <v>Inside School Building</v>
      </c>
      <c r="U714" s="8" t="str">
        <f ca="1">IFERROR(__xludf.DUMMYFUNCTION("""COMPUTED_VALUE"""),"Yes")</f>
        <v>Yes</v>
      </c>
      <c r="V714" s="8" t="str">
        <f ca="1">IFERROR(__xludf.DUMMYFUNCTION("""COMPUTED_VALUE"""),"Afternoon Classes")</f>
        <v>Afternoon Classes</v>
      </c>
      <c r="W714" s="11">
        <f ca="1">IFERROR(__xludf.DUMMYFUNCTION("""COMPUTED_VALUE"""),0.625)</f>
        <v>0.625</v>
      </c>
      <c r="X714" s="8">
        <f ca="1">IFERROR(__xludf.DUMMYFUNCTION("""COMPUTED_VALUE"""),1)</f>
        <v>1</v>
      </c>
      <c r="Y714" s="12" t="str">
        <f ca="1">IFERROR(__xludf.DUMMYFUNCTION("""COMPUTED_VALUE"""),"Two students arrested with guns after posting photos with them in school bathroom")</f>
        <v>Two students arrested with guns after posting photos with them in school bathroom</v>
      </c>
      <c r="Z714" s="12" t="str">
        <f ca="1">IFERROR(__xludf.DUMMYFUNCTION("""COMPUTED_VALUE"""),"Police say just before 3 p.m. Monday they were called to conduct a weapons investigation at Indianapolis Metropolitan High School on the city’s near west side off West Michigan Street. Principal Christina Lear told officers that a student found a picture "&amp;"on social media showing two male juveniles posing for a picture and holding guns in the school’s bathroom. Lear stated there was an event earlier in the day where a student was shot at near 10th and Tremont Street. Officers then assisted school officials "&amp;"with a search of the students. After Principal Lear identified the students as 16-year-old Christopher Smith and Karamba Dioboy, officers were given permission to search of both. They found a black Glock 27 in Smith’s waistband. The firearm did not have a"&amp;"ny live rounds in the chamber but had 7 live rounds in the magazine. Officers also found a 5.7×28 mm in Dioboy’s backpack which didn’t have any live rounds in the chamber but had 8 rounds in the magazine.")</f>
        <v>Police say just before 3 p.m. Monday they were called to conduct a weapons investigation at Indianapolis Metropolitan High School on the city’s near west side off West Michigan Street. Principal Christina Lear told officers that a student found a picture on social media showing two male juveniles posing for a picture and holding guns in the school’s bathroom. Lear stated there was an event earlier in the day where a student was shot at near 10th and Tremont Street. Officers then assisted school officials with a search of the students. After Principal Lear identified the students as 16-year-old Christopher Smith and Karamba Dioboy, officers were given permission to search of both. They found a black Glock 27 in Smith’s waistband. The firearm did not have any live rounds in the chamber but had 7 live rounds in the magazine. Officers also found a 5.7×28 mm in Dioboy’s backpack which didn’t have any live rounds in the chamber but had 8 rounds in the magazine.</v>
      </c>
      <c r="AA714" s="8" t="str">
        <f ca="1">IFERROR(__xludf.DUMMYFUNCTION("""COMPUTED_VALUE"""),"Illegal Activity")</f>
        <v>Illegal Activity</v>
      </c>
      <c r="AB714" s="8"/>
      <c r="AC714" s="8" t="str">
        <f ca="1">IFERROR(__xludf.DUMMYFUNCTION("""COMPUTED_VALUE"""),"Yes")</f>
        <v>Yes</v>
      </c>
      <c r="AD714" s="8" t="str">
        <f ca="1">IFERROR(__xludf.DUMMYFUNCTION("""COMPUTED_VALUE"""),"Neither")</f>
        <v>Neither</v>
      </c>
      <c r="AE714" s="8" t="str">
        <f ca="1">IFERROR(__xludf.DUMMYFUNCTION("""COMPUTED_VALUE"""),"Yes")</f>
        <v>Yes</v>
      </c>
      <c r="AF714" s="8" t="str">
        <f ca="1">IFERROR(__xludf.DUMMYFUNCTION("""COMPUTED_VALUE"""),"Two students arrested")</f>
        <v>Two students arrested</v>
      </c>
      <c r="AG714" s="8" t="str">
        <f ca="1">IFERROR(__xludf.DUMMYFUNCTION("""COMPUTED_VALUE"""),"No")</f>
        <v>No</v>
      </c>
      <c r="AH714" s="8" t="str">
        <f ca="1">IFERROR(__xludf.DUMMYFUNCTION("""COMPUTED_VALUE"""),"No")</f>
        <v>No</v>
      </c>
      <c r="AI714" s="8" t="str">
        <f ca="1">IFERROR(__xludf.DUMMYFUNCTION("""COMPUTED_VALUE"""),"No")</f>
        <v>No</v>
      </c>
      <c r="AJ714" s="8" t="str">
        <f ca="1">IFERROR(__xludf.DUMMYFUNCTION("""COMPUTED_VALUE"""),"No")</f>
        <v>No</v>
      </c>
      <c r="AK714" s="8" t="str">
        <f ca="1">IFERROR(__xludf.DUMMYFUNCTION("""COMPUTED_VALUE"""),"No")</f>
        <v>No</v>
      </c>
      <c r="AL714" s="8"/>
      <c r="AM714" s="8" t="str">
        <f ca="1">IFERROR(__xludf.DUMMYFUNCTION("""COMPUTED_VALUE"""),"No")</f>
        <v>No</v>
      </c>
      <c r="AN714" s="8" t="str">
        <f ca="1">IFERROR(__xludf.DUMMYFUNCTION("""COMPUTED_VALUE"""),"Single Room")</f>
        <v>Single Room</v>
      </c>
      <c r="AO714" s="8" t="str">
        <f ca="1">IFERROR(__xludf.DUMMYFUNCTION("""COMPUTED_VALUE"""),"No")</f>
        <v>No</v>
      </c>
      <c r="AP714" s="8"/>
      <c r="AQ714" s="8"/>
      <c r="AR714" s="8" t="str">
        <f ca="1">IFERROR(__xludf.DUMMYFUNCTION("""COMPUTED_VALUE"""),"Failed")</f>
        <v>Failed</v>
      </c>
      <c r="AS714" s="8">
        <f ca="1">IFERROR(__xludf.DUMMYFUNCTION("""COMPUTED_VALUE"""),0)</f>
        <v>0</v>
      </c>
      <c r="AT714" s="8" t="str">
        <f ca="1">IFERROR(__xludf.DUMMYFUNCTION("""COMPUTED_VALUE"""),"Yes")</f>
        <v>Yes</v>
      </c>
      <c r="AU714" s="8">
        <f ca="1">IFERROR(__xludf.DUMMYFUNCTION("""COMPUTED_VALUE"""),39.77354)</f>
        <v>39.773539999999997</v>
      </c>
      <c r="AV714" s="8">
        <f ca="1">IFERROR(__xludf.DUMMYFUNCTION("""COMPUTED_VALUE"""),-86.190659)</f>
        <v>-86.190658999999997</v>
      </c>
      <c r="AW714" s="8"/>
      <c r="AX714" s="8">
        <f ca="1">IFERROR(__xludf.DUMMYFUNCTION("""COMPUTED_VALUE"""),46222)</f>
        <v>46222</v>
      </c>
    </row>
    <row r="715" spans="1:50" ht="409.5" x14ac:dyDescent="0.2">
      <c r="A715" s="8" t="str">
        <f ca="1">IFERROR(__xludf.DUMMYFUNCTION("""COMPUTED_VALUE"""),"20230515CAPIP")</f>
        <v>20230515CAPIP</v>
      </c>
      <c r="B715" s="8">
        <f ca="1">IFERROR(__xludf.DUMMYFUNCTION("""COMPUTED_VALUE"""),5)</f>
        <v>5</v>
      </c>
      <c r="C715" s="8">
        <f ca="1">IFERROR(__xludf.DUMMYFUNCTION("""COMPUTED_VALUE"""),15)</f>
        <v>15</v>
      </c>
      <c r="D715" s="8">
        <f ca="1">IFERROR(__xludf.DUMMYFUNCTION("""COMPUTED_VALUE"""),2023)</f>
        <v>2023</v>
      </c>
      <c r="E715" s="9">
        <f ca="1">IFERROR(__xludf.DUMMYFUNCTION("""COMPUTED_VALUE"""),45060)</f>
        <v>45060</v>
      </c>
      <c r="F715" s="8" t="str">
        <f ca="1">IFERROR(__xludf.DUMMYFUNCTION("""COMPUTED_VALUE"""),"Pinon Hills Elementary School")</f>
        <v>Pinon Hills Elementary School</v>
      </c>
      <c r="G715" s="8">
        <f ca="1">IFERROR(__xludf.DUMMYFUNCTION("""COMPUTED_VALUE"""),0)</f>
        <v>0</v>
      </c>
      <c r="H715" s="8">
        <f ca="1">IFERROR(__xludf.DUMMYFUNCTION("""COMPUTED_VALUE"""),0)</f>
        <v>0</v>
      </c>
      <c r="I715" s="8">
        <f ca="1">IFERROR(__xludf.DUMMYFUNCTION("""COMPUTED_VALUE"""),0)</f>
        <v>0</v>
      </c>
      <c r="J715" s="8">
        <f ca="1">IFERROR(__xludf.DUMMYFUNCTION("""COMPUTED_VALUE"""),0)</f>
        <v>0</v>
      </c>
      <c r="K715" s="10" t="str">
        <f ca="1">IFERROR(__xludf.DUMMYFUNCTION("""COMPUTED_VALUE"""),"https://www.vvdailypress.com/story/news/crime/2023/05/18/shots-fired-toward-pinon-hills-elementary-school-led-to-arrest-of-man/70230116007/")</f>
        <v>https://www.vvdailypress.com/story/news/crime/2023/05/18/shots-fired-toward-pinon-hills-elementary-school-led-to-arrest-of-man/70230116007/</v>
      </c>
      <c r="L715" s="8">
        <f ca="1">IFERROR(__xludf.DUMMYFUNCTION("""COMPUTED_VALUE"""),1)</f>
        <v>1</v>
      </c>
      <c r="M715" s="8" t="str">
        <f ca="1">IFERROR(__xludf.DUMMYFUNCTION("""COMPUTED_VALUE"""),"Local")</f>
        <v>Local</v>
      </c>
      <c r="N715" s="8">
        <f ca="1">IFERROR(__xludf.DUMMYFUNCTION("""COMPUTED_VALUE"""),4)</f>
        <v>4</v>
      </c>
      <c r="O715" s="8" t="str">
        <f ca="1">IFERROR(__xludf.DUMMYFUNCTION("""COMPUTED_VALUE"""),"Spring")</f>
        <v>Spring</v>
      </c>
      <c r="P715" s="8" t="str">
        <f ca="1">IFERROR(__xludf.DUMMYFUNCTION("""COMPUTED_VALUE"""),"Pinon Hills")</f>
        <v>Pinon Hills</v>
      </c>
      <c r="Q715" s="8" t="str">
        <f ca="1">IFERROR(__xludf.DUMMYFUNCTION("""COMPUTED_VALUE"""),"CA")</f>
        <v>CA</v>
      </c>
      <c r="R715" s="8" t="str">
        <f ca="1">IFERROR(__xludf.DUMMYFUNCTION("""COMPUTED_VALUE"""),"Elementary")</f>
        <v>Elementary</v>
      </c>
      <c r="S715" s="8" t="str">
        <f ca="1">IFERROR(__xludf.DUMMYFUNCTION("""COMPUTED_VALUE"""),"Playground")</f>
        <v>Playground</v>
      </c>
      <c r="T715" s="8" t="str">
        <f ca="1">IFERROR(__xludf.DUMMYFUNCTION("""COMPUTED_VALUE"""),"Outside on School Property")</f>
        <v>Outside on School Property</v>
      </c>
      <c r="U715" s="8" t="str">
        <f ca="1">IFERROR(__xludf.DUMMYFUNCTION("""COMPUTED_VALUE"""),"Yes")</f>
        <v>Yes</v>
      </c>
      <c r="V715" s="8" t="str">
        <f ca="1">IFERROR(__xludf.DUMMYFUNCTION("""COMPUTED_VALUE"""),"Morning Classes")</f>
        <v>Morning Classes</v>
      </c>
      <c r="W715" s="11">
        <f ca="1">IFERROR(__xludf.DUMMYFUNCTION("""COMPUTED_VALUE"""),0.375)</f>
        <v>0.375</v>
      </c>
      <c r="X715" s="8">
        <f ca="1">IFERROR(__xludf.DUMMYFUNCTION("""COMPUTED_VALUE"""),1)</f>
        <v>1</v>
      </c>
      <c r="Y715" s="12" t="str">
        <f ca="1">IFERROR(__xludf.DUMMYFUNCTION("""COMPUTED_VALUE"""),"Man fired three rounds in the direction of the riders and the school, with two rounds going over the deputy’s head. The school was immediately placed on lockdown, arrested with 40 firearms")</f>
        <v>Man fired three rounds in the direction of the riders and the school, with two rounds going over the deputy’s head. The school was immediately placed on lockdown, arrested with 40 firearms</v>
      </c>
      <c r="Z715" s="12" t="str">
        <f ca="1">IFERROR(__xludf.DUMMYFUNCTION("""COMPUTED_VALUE"""),"Gun shots fired toward Pinon Hills Elementary School and a bullet hole found on campus led to the arrest of a local man, who was found with nearly 40 firearms. Shooting suspect Sean Michael David Garcia of Pinon Hills was arrested on Monday and booked at "&amp;"the High Desert Detention Center in Adelanto, sheriff’s officials reported. Garcia was booked into jail on suspicion of discharging a firearm at an occupied vehicle, willful discharge of a firearm with gross negligence, illegal possession of an assault we"&amp;"apon, and manufacturing a short barrel rifle, sheriff’s officials said. At 12:36 p.m. on Sunday, deputies responded to a 911 call in Pinon Hills. According to the victims, they were riding their off-road side-by-side when someone began shooting at them. T"&amp;"he victims told deputies that they were riding when they found someone had placed large rocks and dug ditches on several of the dirt roads to make them impassable to off-road vehicles. During the investigation, two people not link to the incident, rode by"&amp;" on motorcycles and continued on a dirt road southwest of the school. Someone fired three rounds in the direction of the riders and the school, with two rounds going over the deputy’s head. The school was immediately placed on lockdown. Responding deputie"&amp;"s set a perimeter around the school to keep children and staff safe. The San Bernardino County Sheriff’s Department Aviation Division also responded to assist. Around 10 a.m., deputies located the suspect, Garcia, in the yard of his home in the 600 block "&amp;"of Rancho Road. He was found in possession of 38 guns, including assault rifles despite being prohibited from owning weapons, sheriff’s officials said. ")</f>
        <v xml:space="preserve">Gun shots fired toward Pinon Hills Elementary School and a bullet hole found on campus led to the arrest of a local man, who was found with nearly 40 firearms. Shooting suspect Sean Michael David Garcia of Pinon Hills was arrested on Monday and booked at the High Desert Detention Center in Adelanto, sheriff’s officials reported. Garcia was booked into jail on suspicion of discharging a firearm at an occupied vehicle, willful discharge of a firearm with gross negligence, illegal possession of an assault weapon, and manufacturing a short barrel rifle, sheriff’s officials said. At 12:36 p.m. on Sunday, deputies responded to a 911 call in Pinon Hills. According to the victims, they were riding their off-road side-by-side when someone began shooting at them. The victims told deputies that they were riding when they found someone had placed large rocks and dug ditches on several of the dirt roads to make them impassable to off-road vehicles. During the investigation, two people not link to the incident, rode by on motorcycles and continued on a dirt road southwest of the school. Someone fired three rounds in the direction of the riders and the school, with two rounds going over the deputy’s head. The school was immediately placed on lockdown. Responding deputies set a perimeter around the school to keep children and staff safe. The San Bernardino County Sheriff’s Department Aviation Division also responded to assist. Around 10 a.m., deputies located the suspect, Garcia, in the yard of his home in the 600 block of Rancho Road. He was found in possession of 38 guns, including assault rifles despite being prohibited from owning weapons, sheriff’s officials said. </v>
      </c>
      <c r="AA715" s="8" t="str">
        <f ca="1">IFERROR(__xludf.DUMMYFUNCTION("""COMPUTED_VALUE"""),"Indiscriminate Shooting")</f>
        <v>Indiscriminate Shooting</v>
      </c>
      <c r="AB715" s="8"/>
      <c r="AC715" s="8" t="str">
        <f ca="1">IFERROR(__xludf.DUMMYFUNCTION("""COMPUTED_VALUE"""),"Yes")</f>
        <v>Yes</v>
      </c>
      <c r="AD715" s="8" t="str">
        <f ca="1">IFERROR(__xludf.DUMMYFUNCTION("""COMPUTED_VALUE"""),"Random Shooting")</f>
        <v>Random Shooting</v>
      </c>
      <c r="AE715" s="8" t="str">
        <f ca="1">IFERROR(__xludf.DUMMYFUNCTION("""COMPUTED_VALUE"""),"No")</f>
        <v>No</v>
      </c>
      <c r="AF715" s="8"/>
      <c r="AG715" s="8" t="str">
        <f ca="1">IFERROR(__xludf.DUMMYFUNCTION("""COMPUTED_VALUE"""),"No")</f>
        <v>No</v>
      </c>
      <c r="AH715" s="8" t="str">
        <f ca="1">IFERROR(__xludf.DUMMYFUNCTION("""COMPUTED_VALUE"""),"No")</f>
        <v>No</v>
      </c>
      <c r="AI715" s="8" t="str">
        <f ca="1">IFERROR(__xludf.DUMMYFUNCTION("""COMPUTED_VALUE"""),"No")</f>
        <v>No</v>
      </c>
      <c r="AJ715" s="8" t="str">
        <f ca="1">IFERROR(__xludf.DUMMYFUNCTION("""COMPUTED_VALUE"""),"No")</f>
        <v>No</v>
      </c>
      <c r="AK715" s="8" t="str">
        <f ca="1">IFERROR(__xludf.DUMMYFUNCTION("""COMPUTED_VALUE"""),"No")</f>
        <v>No</v>
      </c>
      <c r="AL715" s="8" t="str">
        <f ca="1">IFERROR(__xludf.DUMMYFUNCTION("""COMPUTED_VALUE"""),"No")</f>
        <v>No</v>
      </c>
      <c r="AM715" s="8" t="str">
        <f ca="1">IFERROR(__xludf.DUMMYFUNCTION("""COMPUTED_VALUE"""),"Yes")</f>
        <v>Yes</v>
      </c>
      <c r="AN715" s="8" t="str">
        <f ca="1">IFERROR(__xludf.DUMMYFUNCTION("""COMPUTED_VALUE"""),"Outside")</f>
        <v>Outside</v>
      </c>
      <c r="AO715" s="8" t="str">
        <f ca="1">IFERROR(__xludf.DUMMYFUNCTION("""COMPUTED_VALUE"""),"Yes")</f>
        <v>Yes</v>
      </c>
      <c r="AP715" s="8"/>
      <c r="AQ715" s="8"/>
      <c r="AR715" s="8" t="str">
        <f ca="1">IFERROR(__xludf.DUMMYFUNCTION("""COMPUTED_VALUE"""),"Outside/Off-Property")</f>
        <v>Outside/Off-Property</v>
      </c>
      <c r="AS715" s="8">
        <f ca="1">IFERROR(__xludf.DUMMYFUNCTION("""COMPUTED_VALUE"""),5)</f>
        <v>5</v>
      </c>
      <c r="AT715" s="8" t="str">
        <f ca="1">IFERROR(__xludf.DUMMYFUNCTION("""COMPUTED_VALUE"""),"Yes")</f>
        <v>Yes</v>
      </c>
      <c r="AU715" s="8">
        <f ca="1">IFERROR(__xludf.DUMMYFUNCTION("""COMPUTED_VALUE"""),34.450297)</f>
        <v>34.450296999999999</v>
      </c>
      <c r="AV715" s="8">
        <f ca="1">IFERROR(__xludf.DUMMYFUNCTION("""COMPUTED_VALUE"""),-117.644951)</f>
        <v>-117.64495100000001</v>
      </c>
      <c r="AW715" s="8"/>
      <c r="AX715" s="8">
        <f ca="1">IFERROR(__xludf.DUMMYFUNCTION("""COMPUTED_VALUE"""),92372)</f>
        <v>92372</v>
      </c>
    </row>
    <row r="716" spans="1:50" ht="135" x14ac:dyDescent="0.2">
      <c r="A716" s="8" t="str">
        <f ca="1">IFERROR(__xludf.DUMMYFUNCTION("""COMPUTED_VALUE"""),"20230512TNLEL")</f>
        <v>20230512TNLEL</v>
      </c>
      <c r="B716" s="8">
        <f ca="1">IFERROR(__xludf.DUMMYFUNCTION("""COMPUTED_VALUE"""),5)</f>
        <v>5</v>
      </c>
      <c r="C716" s="8">
        <f ca="1">IFERROR(__xludf.DUMMYFUNCTION("""COMPUTED_VALUE"""),12)</f>
        <v>12</v>
      </c>
      <c r="D716" s="8">
        <f ca="1">IFERROR(__xludf.DUMMYFUNCTION("""COMPUTED_VALUE"""),2023)</f>
        <v>2023</v>
      </c>
      <c r="E716" s="9">
        <f ca="1">IFERROR(__xludf.DUMMYFUNCTION("""COMPUTED_VALUE"""),45058)</f>
        <v>45058</v>
      </c>
      <c r="F716" s="8" t="str">
        <f ca="1">IFERROR(__xludf.DUMMYFUNCTION("""COMPUTED_VALUE"""),"Lenoir City High School")</f>
        <v>Lenoir City High School</v>
      </c>
      <c r="G716" s="8">
        <f ca="1">IFERROR(__xludf.DUMMYFUNCTION("""COMPUTED_VALUE"""),0)</f>
        <v>0</v>
      </c>
      <c r="H716" s="8">
        <f ca="1">IFERROR(__xludf.DUMMYFUNCTION("""COMPUTED_VALUE"""),0)</f>
        <v>0</v>
      </c>
      <c r="I716" s="8">
        <f ca="1">IFERROR(__xludf.DUMMYFUNCTION("""COMPUTED_VALUE"""),0)</f>
        <v>0</v>
      </c>
      <c r="J716" s="8">
        <f ca="1">IFERROR(__xludf.DUMMYFUNCTION("""COMPUTED_VALUE"""),1)</f>
        <v>1</v>
      </c>
      <c r="K716" s="8" t="str">
        <f ca="1">IFERROR(__xludf.DUMMYFUNCTION("""COMPUTED_VALUE"""),"https://www.wbir.com/article/news/crime/lenoir-city-high-school-shooting/51-af827ac9-66c0-437d-bcaf-fc9ec1f82868
https://www.wvlt.tv/2023/05/13/gun-accidentally-discharges-east-tenn-high-school-graduation-officials-say/")</f>
        <v>https://www.wbir.com/article/news/crime/lenoir-city-high-school-shooting/51-af827ac9-66c0-437d-bcaf-fc9ec1f82868
https://www.wvlt.tv/2023/05/13/gun-accidentally-discharges-east-tenn-high-school-graduation-officials-say/</v>
      </c>
      <c r="L716" s="8">
        <f ca="1">IFERROR(__xludf.DUMMYFUNCTION("""COMPUTED_VALUE"""),2)</f>
        <v>2</v>
      </c>
      <c r="M716" s="8" t="str">
        <f ca="1">IFERROR(__xludf.DUMMYFUNCTION("""COMPUTED_VALUE"""),"Local")</f>
        <v>Local</v>
      </c>
      <c r="N716" s="8">
        <f ca="1">IFERROR(__xludf.DUMMYFUNCTION("""COMPUTED_VALUE"""),4)</f>
        <v>4</v>
      </c>
      <c r="O716" s="8" t="str">
        <f ca="1">IFERROR(__xludf.DUMMYFUNCTION("""COMPUTED_VALUE"""),"Spring")</f>
        <v>Spring</v>
      </c>
      <c r="P716" s="8" t="str">
        <f ca="1">IFERROR(__xludf.DUMMYFUNCTION("""COMPUTED_VALUE"""),"Lenoir City")</f>
        <v>Lenoir City</v>
      </c>
      <c r="Q716" s="8" t="str">
        <f ca="1">IFERROR(__xludf.DUMMYFUNCTION("""COMPUTED_VALUE"""),"TN")</f>
        <v>TN</v>
      </c>
      <c r="R716" s="8" t="str">
        <f ca="1">IFERROR(__xludf.DUMMYFUNCTION("""COMPUTED_VALUE"""),"High")</f>
        <v>High</v>
      </c>
      <c r="S716" s="8" t="str">
        <f ca="1">IFERROR(__xludf.DUMMYFUNCTION("""COMPUTED_VALUE"""),"Parking Lot")</f>
        <v>Parking Lot</v>
      </c>
      <c r="T716" s="8" t="str">
        <f ca="1">IFERROR(__xludf.DUMMYFUNCTION("""COMPUTED_VALUE"""),"Outside on School Property")</f>
        <v>Outside on School Property</v>
      </c>
      <c r="U716" s="8" t="str">
        <f ca="1">IFERROR(__xludf.DUMMYFUNCTION("""COMPUTED_VALUE"""),"No")</f>
        <v>No</v>
      </c>
      <c r="V716" s="8" t="str">
        <f ca="1">IFERROR(__xludf.DUMMYFUNCTION("""COMPUTED_VALUE"""),"School Event")</f>
        <v>School Event</v>
      </c>
      <c r="W716" s="11">
        <f ca="1">IFERROR(__xludf.DUMMYFUNCTION("""COMPUTED_VALUE"""),0.864583333333333)</f>
        <v>0.86458333333333304</v>
      </c>
      <c r="X716" s="8">
        <f ca="1">IFERROR(__xludf.DUMMYFUNCTION("""COMPUTED_VALUE"""),1)</f>
        <v>1</v>
      </c>
      <c r="Y716" s="12" t="str">
        <f ca="1">IFERROR(__xludf.DUMMYFUNCTION("""COMPUTED_VALUE"""),"Parent shot self while leaving high school graduation")</f>
        <v>Parent shot self while leaving high school graduation</v>
      </c>
      <c r="Z716" s="12" t="str">
        <f ca="1">IFERROR(__xludf.DUMMYFUNCTION("""COMPUTED_VALUE"""),"A gun accidentally discharged at the Lenoir City High School graduation Friday night, according to school officials. After the ceremony, a gun went off and hit the owner. “First Aid was immediately rendered by school SROs and local first responders,” Leno"&amp;"ir City High officials said. “No other attendees were injured, and we have no reason to believe that the incident was anything other than an accident.” It is illegal to have a firearm on school grounds. It is unclear if the person will be charged.")</f>
        <v>A gun accidentally discharged at the Lenoir City High School graduation Friday night, according to school officials. After the ceremony, a gun went off and hit the owner. “First Aid was immediately rendered by school SROs and local first responders,” Lenoir City High officials said. “No other attendees were injured, and we have no reason to believe that the incident was anything other than an accident.” It is illegal to have a firearm on school grounds. It is unclear if the person will be charged.</v>
      </c>
      <c r="AA716" s="8" t="str">
        <f ca="1">IFERROR(__xludf.DUMMYFUNCTION("""COMPUTED_VALUE"""),"Accidental")</f>
        <v>Accidental</v>
      </c>
      <c r="AB716" s="8"/>
      <c r="AC716" s="8" t="str">
        <f ca="1">IFERROR(__xludf.DUMMYFUNCTION("""COMPUTED_VALUE"""),"Yes")</f>
        <v>Yes</v>
      </c>
      <c r="AD716" s="8" t="str">
        <f ca="1">IFERROR(__xludf.DUMMYFUNCTION("""COMPUTED_VALUE"""),"Neither")</f>
        <v>Neither</v>
      </c>
      <c r="AE716" s="8" t="str">
        <f ca="1">IFERROR(__xludf.DUMMYFUNCTION("""COMPUTED_VALUE"""),"No")</f>
        <v>No</v>
      </c>
      <c r="AF716" s="8"/>
      <c r="AG716" s="8" t="str">
        <f ca="1">IFERROR(__xludf.DUMMYFUNCTION("""COMPUTED_VALUE"""),"No")</f>
        <v>No</v>
      </c>
      <c r="AH716" s="8" t="str">
        <f ca="1">IFERROR(__xludf.DUMMYFUNCTION("""COMPUTED_VALUE"""),"No")</f>
        <v>No</v>
      </c>
      <c r="AI716" s="8" t="str">
        <f ca="1">IFERROR(__xludf.DUMMYFUNCTION("""COMPUTED_VALUE"""),"No")</f>
        <v>No</v>
      </c>
      <c r="AJ716" s="8" t="str">
        <f ca="1">IFERROR(__xludf.DUMMYFUNCTION("""COMPUTED_VALUE"""),"No")</f>
        <v>No</v>
      </c>
      <c r="AK716" s="8" t="str">
        <f ca="1">IFERROR(__xludf.DUMMYFUNCTION("""COMPUTED_VALUE"""),"No")</f>
        <v>No</v>
      </c>
      <c r="AL716" s="8" t="str">
        <f ca="1">IFERROR(__xludf.DUMMYFUNCTION("""COMPUTED_VALUE"""),"No")</f>
        <v>No</v>
      </c>
      <c r="AM716" s="8" t="str">
        <f ca="1">IFERROR(__xludf.DUMMYFUNCTION("""COMPUTED_VALUE"""),"No")</f>
        <v>No</v>
      </c>
      <c r="AN716" s="8" t="str">
        <f ca="1">IFERROR(__xludf.DUMMYFUNCTION("""COMPUTED_VALUE"""),"Outside")</f>
        <v>Outside</v>
      </c>
      <c r="AO716" s="8" t="str">
        <f ca="1">IFERROR(__xludf.DUMMYFUNCTION("""COMPUTED_VALUE"""),"No")</f>
        <v>No</v>
      </c>
      <c r="AP716" s="8" t="str">
        <f ca="1">IFERROR(__xludf.DUMMYFUNCTION("""COMPUTED_VALUE"""),"Yes")</f>
        <v>Yes</v>
      </c>
      <c r="AQ716" s="8"/>
      <c r="AR716" s="8" t="str">
        <f ca="1">IFERROR(__xludf.DUMMYFUNCTION("""COMPUTED_VALUE"""),"Outside/Off-Property")</f>
        <v>Outside/Off-Property</v>
      </c>
      <c r="AS716" s="8">
        <f ca="1">IFERROR(__xludf.DUMMYFUNCTION("""COMPUTED_VALUE"""),1)</f>
        <v>1</v>
      </c>
      <c r="AT716" s="8" t="str">
        <f ca="1">IFERROR(__xludf.DUMMYFUNCTION("""COMPUTED_VALUE"""),"No")</f>
        <v>No</v>
      </c>
      <c r="AU716" s="8">
        <f ca="1">IFERROR(__xludf.DUMMYFUNCTION("""COMPUTED_VALUE"""),35.808454)</f>
        <v>35.808453999999998</v>
      </c>
      <c r="AV716" s="8">
        <f ca="1">IFERROR(__xludf.DUMMYFUNCTION("""COMPUTED_VALUE"""),-84.286311)</f>
        <v>-84.286310999999998</v>
      </c>
      <c r="AW716" s="8"/>
      <c r="AX716" s="8">
        <f ca="1">IFERROR(__xludf.DUMMYFUNCTION("""COMPUTED_VALUE"""),37771)</f>
        <v>37771</v>
      </c>
    </row>
    <row r="717" spans="1:50" ht="225" x14ac:dyDescent="0.2">
      <c r="A717" s="8" t="str">
        <f ca="1">IFERROR(__xludf.DUMMYFUNCTION("""COMPUTED_VALUE"""),"20230512OHEDD")</f>
        <v>20230512OHEDD</v>
      </c>
      <c r="B717" s="8">
        <f ca="1">IFERROR(__xludf.DUMMYFUNCTION("""COMPUTED_VALUE"""),5)</f>
        <v>5</v>
      </c>
      <c r="C717" s="8">
        <f ca="1">IFERROR(__xludf.DUMMYFUNCTION("""COMPUTED_VALUE"""),12)</f>
        <v>12</v>
      </c>
      <c r="D717" s="8">
        <f ca="1">IFERROR(__xludf.DUMMYFUNCTION("""COMPUTED_VALUE"""),2023)</f>
        <v>2023</v>
      </c>
      <c r="E717" s="9">
        <f ca="1">IFERROR(__xludf.DUMMYFUNCTION("""COMPUTED_VALUE"""),45058)</f>
        <v>45058</v>
      </c>
      <c r="F717" s="8" t="str">
        <f ca="1">IFERROR(__xludf.DUMMYFUNCTION("""COMPUTED_VALUE"""),"Edwin Joel Brown Middle School")</f>
        <v>Edwin Joel Brown Middle School</v>
      </c>
      <c r="G717" s="8">
        <f ca="1">IFERROR(__xludf.DUMMYFUNCTION("""COMPUTED_VALUE"""),0)</f>
        <v>0</v>
      </c>
      <c r="H717" s="8">
        <f ca="1">IFERROR(__xludf.DUMMYFUNCTION("""COMPUTED_VALUE"""),0)</f>
        <v>0</v>
      </c>
      <c r="I717" s="8">
        <f ca="1">IFERROR(__xludf.DUMMYFUNCTION("""COMPUTED_VALUE"""),0)</f>
        <v>0</v>
      </c>
      <c r="J717" s="8">
        <f ca="1">IFERROR(__xludf.DUMMYFUNCTION("""COMPUTED_VALUE"""),0)</f>
        <v>0</v>
      </c>
      <c r="K717" s="8" t="str">
        <f ca="1">IFERROR(__xludf.DUMMYFUNCTION("""COMPUTED_VALUE"""),"https://www.daytondailynews.com/local/19-year-old-arrested-for-firing-shot-on-dayton-middle-school-grounds/I2N263FFXJDW3D6CJWTTYV5VPE/
https://www.justice.gov/usao-sdoh/pr/19-year-old-pleads-guilty-possessing-firearm-local-middle-school-grounds")</f>
        <v>https://www.daytondailynews.com/local/19-year-old-arrested-for-firing-shot-on-dayton-middle-school-grounds/I2N263FFXJDW3D6CJWTTYV5VPE/
https://www.justice.gov/usao-sdoh/pr/19-year-old-pleads-guilty-possessing-firearm-local-middle-school-grounds</v>
      </c>
      <c r="L717" s="8">
        <f ca="1">IFERROR(__xludf.DUMMYFUNCTION("""COMPUTED_VALUE"""),2)</f>
        <v>2</v>
      </c>
      <c r="M717" s="8" t="str">
        <f ca="1">IFERROR(__xludf.DUMMYFUNCTION("""COMPUTED_VALUE"""),"Local")</f>
        <v>Local</v>
      </c>
      <c r="N717" s="8">
        <f ca="1">IFERROR(__xludf.DUMMYFUNCTION("""COMPUTED_VALUE"""),5)</f>
        <v>5</v>
      </c>
      <c r="O717" s="8" t="str">
        <f ca="1">IFERROR(__xludf.DUMMYFUNCTION("""COMPUTED_VALUE"""),"Spring")</f>
        <v>Spring</v>
      </c>
      <c r="P717" s="8" t="str">
        <f ca="1">IFERROR(__xludf.DUMMYFUNCTION("""COMPUTED_VALUE"""),"Dayton")</f>
        <v>Dayton</v>
      </c>
      <c r="Q717" s="8" t="str">
        <f ca="1">IFERROR(__xludf.DUMMYFUNCTION("""COMPUTED_VALUE"""),"OH")</f>
        <v>OH</v>
      </c>
      <c r="R717" s="8" t="str">
        <f ca="1">IFERROR(__xludf.DUMMYFUNCTION("""COMPUTED_VALUE"""),"Middle")</f>
        <v>Middle</v>
      </c>
      <c r="S717" s="8" t="str">
        <f ca="1">IFERROR(__xludf.DUMMYFUNCTION("""COMPUTED_VALUE"""),"Parking Lot")</f>
        <v>Parking Lot</v>
      </c>
      <c r="T717" s="8" t="str">
        <f ca="1">IFERROR(__xludf.DUMMYFUNCTION("""COMPUTED_VALUE"""),"Outside on School Property")</f>
        <v>Outside on School Property</v>
      </c>
      <c r="U717" s="8" t="str">
        <f ca="1">IFERROR(__xludf.DUMMYFUNCTION("""COMPUTED_VALUE"""),"No")</f>
        <v>No</v>
      </c>
      <c r="V717" s="8" t="str">
        <f ca="1">IFERROR(__xludf.DUMMYFUNCTION("""COMPUTED_VALUE"""),"Evening")</f>
        <v>Evening</v>
      </c>
      <c r="W717" s="11">
        <f ca="1">IFERROR(__xludf.DUMMYFUNCTION("""COMPUTED_VALUE"""),0.829861111111111)</f>
        <v>0.82986111111111105</v>
      </c>
      <c r="X717" s="8">
        <f ca="1">IFERROR(__xludf.DUMMYFUNCTION("""COMPUTED_VALUE"""),1)</f>
        <v>1</v>
      </c>
      <c r="Y717" s="12" t="str">
        <f ca="1">IFERROR(__xludf.DUMMYFUNCTION("""COMPUTED_VALUE"""),"Minor and 19-year-old man fired shots during fight in the school parking lot")</f>
        <v>Minor and 19-year-old man fired shots during fight in the school parking lot</v>
      </c>
      <c r="Z717" s="12" t="str">
        <f ca="1">IFERROR(__xludf.DUMMYFUNCTION("""COMPUTED_VALUE"""),"At about 7:55 p.m. May 12, Dayton police were dispatched to the school in north Dayton after receiving a report of gunshots being fired. A caller indicated that a male was firing a gun and four males got into an orange Cadillac and drove off, the affidavi"&amp;"t states. Officers said surveillance video footage showed that people were firing guns in the school parking lot toward the school playground. Police said the first shots were fired by a juvenile, but they allege Ruff then produced a firearm and fired gun"&amp;"shots toward the playground as well. Officers located five .40 caliber shell casings in the school parking lot. Special Agent Housum in his affidavit said there is sufficient probable cause to believe that Ruff possessed a pistol with ammunition and disch"&amp;"arged it with reckless disregard for the safety of others in a place that he knew was a school zone.")</f>
        <v>At about 7:55 p.m. May 12, Dayton police were dispatched to the school in north Dayton after receiving a report of gunshots being fired. A caller indicated that a male was firing a gun and four males got into an orange Cadillac and drove off, the affidavit states. Officers said surveillance video footage showed that people were firing guns in the school parking lot toward the school playground. Police said the first shots were fired by a juvenile, but they allege Ruff then produced a firearm and fired gunshots toward the playground as well. Officers located five .40 caliber shell casings in the school parking lot. Special Agent Housum in his affidavit said there is sufficient probable cause to believe that Ruff possessed a pistol with ammunition and discharged it with reckless disregard for the safety of others in a place that he knew was a school zone.</v>
      </c>
      <c r="AA717" s="8" t="str">
        <f ca="1">IFERROR(__xludf.DUMMYFUNCTION("""COMPUTED_VALUE"""),"Escalation of Dispute")</f>
        <v>Escalation of Dispute</v>
      </c>
      <c r="AB717" s="8"/>
      <c r="AC717" s="8" t="str">
        <f ca="1">IFERROR(__xludf.DUMMYFUNCTION("""COMPUTED_VALUE"""),"No")</f>
        <v>No</v>
      </c>
      <c r="AD717" s="8" t="str">
        <f ca="1">IFERROR(__xludf.DUMMYFUNCTION("""COMPUTED_VALUE"""),"Victims Targeted")</f>
        <v>Victims Targeted</v>
      </c>
      <c r="AE717" s="8" t="str">
        <f ca="1">IFERROR(__xludf.DUMMYFUNCTION("""COMPUTED_VALUE"""),"No")</f>
        <v>No</v>
      </c>
      <c r="AF717" s="8"/>
      <c r="AG717" s="8" t="str">
        <f ca="1">IFERROR(__xludf.DUMMYFUNCTION("""COMPUTED_VALUE"""),"No")</f>
        <v>No</v>
      </c>
      <c r="AH717" s="8" t="str">
        <f ca="1">IFERROR(__xludf.DUMMYFUNCTION("""COMPUTED_VALUE"""),"No")</f>
        <v>No</v>
      </c>
      <c r="AI717" s="8" t="str">
        <f ca="1">IFERROR(__xludf.DUMMYFUNCTION("""COMPUTED_VALUE"""),"No")</f>
        <v>No</v>
      </c>
      <c r="AJ717" s="8" t="str">
        <f ca="1">IFERROR(__xludf.DUMMYFUNCTION("""COMPUTED_VALUE"""),"No")</f>
        <v>No</v>
      </c>
      <c r="AK717" s="8" t="str">
        <f ca="1">IFERROR(__xludf.DUMMYFUNCTION("""COMPUTED_VALUE"""),"No")</f>
        <v>No</v>
      </c>
      <c r="AL717" s="8"/>
      <c r="AM717" s="8" t="str">
        <f ca="1">IFERROR(__xludf.DUMMYFUNCTION("""COMPUTED_VALUE"""),"No")</f>
        <v>No</v>
      </c>
      <c r="AN717" s="8" t="str">
        <f ca="1">IFERROR(__xludf.DUMMYFUNCTION("""COMPUTED_VALUE"""),"Outside")</f>
        <v>Outside</v>
      </c>
      <c r="AO717" s="8" t="str">
        <f ca="1">IFERROR(__xludf.DUMMYFUNCTION("""COMPUTED_VALUE"""),"No")</f>
        <v>No</v>
      </c>
      <c r="AP717" s="8"/>
      <c r="AQ717" s="8"/>
      <c r="AR717" s="8" t="str">
        <f ca="1">IFERROR(__xludf.DUMMYFUNCTION("""COMPUTED_VALUE"""),"Outside/Off-Property")</f>
        <v>Outside/Off-Property</v>
      </c>
      <c r="AS717" s="8">
        <f ca="1">IFERROR(__xludf.DUMMYFUNCTION("""COMPUTED_VALUE"""),99)</f>
        <v>99</v>
      </c>
      <c r="AT717" s="8" t="str">
        <f ca="1">IFERROR(__xludf.DUMMYFUNCTION("""COMPUTED_VALUE"""),"No")</f>
        <v>No</v>
      </c>
      <c r="AU717" s="8">
        <f ca="1">IFERROR(__xludf.DUMMYFUNCTION("""COMPUTED_VALUE"""),39.785444)</f>
        <v>39.785443999999998</v>
      </c>
      <c r="AV717" s="8">
        <f ca="1">IFERROR(__xludf.DUMMYFUNCTION("""COMPUTED_VALUE"""),-84.213292)</f>
        <v>-84.213291999999996</v>
      </c>
      <c r="AW717" s="8"/>
      <c r="AX717" s="8">
        <f ca="1">IFERROR(__xludf.DUMMYFUNCTION("""COMPUTED_VALUE"""),45405)</f>
        <v>45405</v>
      </c>
    </row>
    <row r="718" spans="1:50" ht="135" x14ac:dyDescent="0.2">
      <c r="A718" s="8" t="str">
        <f ca="1">IFERROR(__xludf.DUMMYFUNCTION("""COMPUTED_VALUE"""),"20230512DCKEW")</f>
        <v>20230512DCKEW</v>
      </c>
      <c r="B718" s="8">
        <f ca="1">IFERROR(__xludf.DUMMYFUNCTION("""COMPUTED_VALUE"""),5)</f>
        <v>5</v>
      </c>
      <c r="C718" s="8">
        <f ca="1">IFERROR(__xludf.DUMMYFUNCTION("""COMPUTED_VALUE"""),12)</f>
        <v>12</v>
      </c>
      <c r="D718" s="8">
        <f ca="1">IFERROR(__xludf.DUMMYFUNCTION("""COMPUTED_VALUE"""),2023)</f>
        <v>2023</v>
      </c>
      <c r="E718" s="9">
        <f ca="1">IFERROR(__xludf.DUMMYFUNCTION("""COMPUTED_VALUE"""),45058)</f>
        <v>45058</v>
      </c>
      <c r="F718" s="8" t="str">
        <f ca="1">IFERROR(__xludf.DUMMYFUNCTION("""COMPUTED_VALUE"""),"Ketcham Elementary School")</f>
        <v>Ketcham Elementary School</v>
      </c>
      <c r="G718" s="8">
        <f ca="1">IFERROR(__xludf.DUMMYFUNCTION("""COMPUTED_VALUE"""),0)</f>
        <v>0</v>
      </c>
      <c r="H718" s="8">
        <f ca="1">IFERROR(__xludf.DUMMYFUNCTION("""COMPUTED_VALUE"""),1)</f>
        <v>1</v>
      </c>
      <c r="I718" s="8">
        <f ca="1">IFERROR(__xludf.DUMMYFUNCTION("""COMPUTED_VALUE"""),1)</f>
        <v>1</v>
      </c>
      <c r="J718" s="8">
        <f ca="1">IFERROR(__xludf.DUMMYFUNCTION("""COMPUTED_VALUE"""),0)</f>
        <v>0</v>
      </c>
      <c r="K718" s="10" t="str">
        <f ca="1">IFERROR(__xludf.DUMMYFUNCTION("""COMPUTED_VALUE"""),"https://wjla.com/news/local/dc-shooting-crime-washington-man-shot-near-outside-ketcham-elementary-southeast-police-searching-for-suspects-vehicle-investigation-good-hope-road
https://www.wusa9.com/article/news/crime/four-shooting-investigations-in-dc/65-9"&amp;"9862e36-17c2-436e-8f56-c2bf33eb30f7")</f>
        <v>https://wjla.com/news/local/dc-shooting-crime-washington-man-shot-near-outside-ketcham-elementary-southeast-police-searching-for-suspects-vehicle-investigation-good-hope-road
https://www.wusa9.com/article/news/crime/four-shooting-investigations-in-dc/65-99862e36-17c2-436e-8f56-c2bf33eb30f7</v>
      </c>
      <c r="L718" s="8">
        <f ca="1">IFERROR(__xludf.DUMMYFUNCTION("""COMPUTED_VALUE"""),2)</f>
        <v>2</v>
      </c>
      <c r="M718" s="8" t="str">
        <f ca="1">IFERROR(__xludf.DUMMYFUNCTION("""COMPUTED_VALUE"""),"Local")</f>
        <v>Local</v>
      </c>
      <c r="N718" s="8">
        <f ca="1">IFERROR(__xludf.DUMMYFUNCTION("""COMPUTED_VALUE"""),4)</f>
        <v>4</v>
      </c>
      <c r="O718" s="8" t="str">
        <f ca="1">IFERROR(__xludf.DUMMYFUNCTION("""COMPUTED_VALUE"""),"Spring")</f>
        <v>Spring</v>
      </c>
      <c r="P718" s="8" t="str">
        <f ca="1">IFERROR(__xludf.DUMMYFUNCTION("""COMPUTED_VALUE"""),"Washington")</f>
        <v>Washington</v>
      </c>
      <c r="Q718" s="8" t="str">
        <f ca="1">IFERROR(__xludf.DUMMYFUNCTION("""COMPUTED_VALUE"""),"DC")</f>
        <v>DC</v>
      </c>
      <c r="R718" s="8" t="str">
        <f ca="1">IFERROR(__xludf.DUMMYFUNCTION("""COMPUTED_VALUE"""),"Elementary")</f>
        <v>Elementary</v>
      </c>
      <c r="S718" s="8" t="str">
        <f ca="1">IFERROR(__xludf.DUMMYFUNCTION("""COMPUTED_VALUE"""),"Front of School")</f>
        <v>Front of School</v>
      </c>
      <c r="T718" s="8" t="str">
        <f ca="1">IFERROR(__xludf.DUMMYFUNCTION("""COMPUTED_VALUE"""),"Outside on School Property")</f>
        <v>Outside on School Property</v>
      </c>
      <c r="U718" s="8" t="str">
        <f ca="1">IFERROR(__xludf.DUMMYFUNCTION("""COMPUTED_VALUE"""),"Yes")</f>
        <v>Yes</v>
      </c>
      <c r="V718" s="8" t="str">
        <f ca="1">IFERROR(__xludf.DUMMYFUNCTION("""COMPUTED_VALUE"""),"Lunch")</f>
        <v>Lunch</v>
      </c>
      <c r="W718" s="11">
        <f ca="1">IFERROR(__xludf.DUMMYFUNCTION("""COMPUTED_VALUE"""),0.506944444444444)</f>
        <v>0.50694444444444398</v>
      </c>
      <c r="X718" s="8">
        <f ca="1">IFERROR(__xludf.DUMMYFUNCTION("""COMPUTED_VALUE"""),1)</f>
        <v>1</v>
      </c>
      <c r="Y718" s="12" t="str">
        <f ca="1">IFERROR(__xludf.DUMMYFUNCTION("""COMPUTED_VALUE"""),"Man shot in front of school, students outside witnessed shooting")</f>
        <v>Man shot in front of school, students outside witnessed shooting</v>
      </c>
      <c r="Z718" s="12" t="str">
        <f ca="1">IFERROR(__xludf.DUMMYFUNCTION("""COMPUTED_VALUE"""),"Ketcham Elementary in Southeast D.C. was put on lockdown after a man was shot in front of the school around noon on Friday. According to a teacher at the school, some children were outside at the time. “We had kindergarteners coming inside, screaming, cry"&amp;"ing, one of the kindergarteners vomiting. This is not what we want our children subject to when they come to school,” said Erica Green, a Ketcham teacher. Shots fired from a vehicle and shooter fled.")</f>
        <v>Ketcham Elementary in Southeast D.C. was put on lockdown after a man was shot in front of the school around noon on Friday. According to a teacher at the school, some children were outside at the time. “We had kindergarteners coming inside, screaming, crying, one of the kindergarteners vomiting. This is not what we want our children subject to when they come to school,” said Erica Green, a Ketcham teacher. Shots fired from a vehicle and shooter fled.</v>
      </c>
      <c r="AA718" s="8" t="str">
        <f ca="1">IFERROR(__xludf.DUMMYFUNCTION("""COMPUTED_VALUE"""),"Drive-by Shooting")</f>
        <v>Drive-by Shooting</v>
      </c>
      <c r="AB718" s="8"/>
      <c r="AC718" s="8" t="str">
        <f ca="1">IFERROR(__xludf.DUMMYFUNCTION("""COMPUTED_VALUE"""),"Yes")</f>
        <v>Yes</v>
      </c>
      <c r="AD718" s="8" t="str">
        <f ca="1">IFERROR(__xludf.DUMMYFUNCTION("""COMPUTED_VALUE"""),"Victims Targeted")</f>
        <v>Victims Targeted</v>
      </c>
      <c r="AE718" s="8" t="str">
        <f ca="1">IFERROR(__xludf.DUMMYFUNCTION("""COMPUTED_VALUE"""),"Yes")</f>
        <v>Yes</v>
      </c>
      <c r="AF718" s="8" t="str">
        <f ca="1">IFERROR(__xludf.DUMMYFUNCTION("""COMPUTED_VALUE"""),"Shooter and driver")</f>
        <v>Shooter and driver</v>
      </c>
      <c r="AG718" s="8" t="str">
        <f ca="1">IFERROR(__xludf.DUMMYFUNCTION("""COMPUTED_VALUE"""),"No")</f>
        <v>No</v>
      </c>
      <c r="AH718" s="8" t="str">
        <f ca="1">IFERROR(__xludf.DUMMYFUNCTION("""COMPUTED_VALUE"""),"No")</f>
        <v>No</v>
      </c>
      <c r="AI718" s="8" t="str">
        <f ca="1">IFERROR(__xludf.DUMMYFUNCTION("""COMPUTED_VALUE"""),"No")</f>
        <v>No</v>
      </c>
      <c r="AJ718" s="8" t="str">
        <f ca="1">IFERROR(__xludf.DUMMYFUNCTION("""COMPUTED_VALUE"""),"No")</f>
        <v>No</v>
      </c>
      <c r="AK718" s="8" t="str">
        <f ca="1">IFERROR(__xludf.DUMMYFUNCTION("""COMPUTED_VALUE"""),"No")</f>
        <v>No</v>
      </c>
      <c r="AL718" s="8"/>
      <c r="AM718" s="8" t="str">
        <f ca="1">IFERROR(__xludf.DUMMYFUNCTION("""COMPUTED_VALUE"""),"No")</f>
        <v>No</v>
      </c>
      <c r="AN718" s="8" t="str">
        <f ca="1">IFERROR(__xludf.DUMMYFUNCTION("""COMPUTED_VALUE"""),"Outside")</f>
        <v>Outside</v>
      </c>
      <c r="AO718" s="8" t="str">
        <f ca="1">IFERROR(__xludf.DUMMYFUNCTION("""COMPUTED_VALUE"""),"No")</f>
        <v>No</v>
      </c>
      <c r="AP718" s="8"/>
      <c r="AQ718" s="8"/>
      <c r="AR718" s="8" t="str">
        <f ca="1">IFERROR(__xludf.DUMMYFUNCTION("""COMPUTED_VALUE"""),"Outside/Off-Property")</f>
        <v>Outside/Off-Property</v>
      </c>
      <c r="AS718" s="8">
        <f ca="1">IFERROR(__xludf.DUMMYFUNCTION("""COMPUTED_VALUE"""),99)</f>
        <v>99</v>
      </c>
      <c r="AT718" s="8" t="str">
        <f ca="1">IFERROR(__xludf.DUMMYFUNCTION("""COMPUTED_VALUE"""),"Yes")</f>
        <v>Yes</v>
      </c>
      <c r="AU718" s="8">
        <f ca="1">IFERROR(__xludf.DUMMYFUNCTION("""COMPUTED_VALUE"""),38.866291)</f>
        <v>38.866290999999997</v>
      </c>
      <c r="AV718" s="8">
        <f ca="1">IFERROR(__xludf.DUMMYFUNCTION("""COMPUTED_VALUE"""),-76.983406)</f>
        <v>-76.983406000000002</v>
      </c>
      <c r="AW718" s="8"/>
      <c r="AX718" s="8">
        <f ca="1">IFERROR(__xludf.DUMMYFUNCTION("""COMPUTED_VALUE"""),20020)</f>
        <v>20020</v>
      </c>
    </row>
    <row r="719" spans="1:50" ht="60" x14ac:dyDescent="0.2">
      <c r="A719" s="8" t="str">
        <f ca="1">IFERROR(__xludf.DUMMYFUNCTION("""COMPUTED_VALUE"""),"20230511MDNOF")</f>
        <v>20230511MDNOF</v>
      </c>
      <c r="B719" s="8">
        <f ca="1">IFERROR(__xludf.DUMMYFUNCTION("""COMPUTED_VALUE"""),5)</f>
        <v>5</v>
      </c>
      <c r="C719" s="8">
        <f ca="1">IFERROR(__xludf.DUMMYFUNCTION("""COMPUTED_VALUE"""),11)</f>
        <v>11</v>
      </c>
      <c r="D719" s="8">
        <f ca="1">IFERROR(__xludf.DUMMYFUNCTION("""COMPUTED_VALUE"""),2023)</f>
        <v>2023</v>
      </c>
      <c r="E719" s="9">
        <f ca="1">IFERROR(__xludf.DUMMYFUNCTION("""COMPUTED_VALUE"""),45057)</f>
        <v>45057</v>
      </c>
      <c r="F719" s="8" t="str">
        <f ca="1">IFERROR(__xludf.DUMMYFUNCTION("""COMPUTED_VALUE"""),"North Forestville Elementary School")</f>
        <v>North Forestville Elementary School</v>
      </c>
      <c r="G719" s="8">
        <f ca="1">IFERROR(__xludf.DUMMYFUNCTION("""COMPUTED_VALUE"""),1)</f>
        <v>1</v>
      </c>
      <c r="H719" s="8">
        <f ca="1">IFERROR(__xludf.DUMMYFUNCTION("""COMPUTED_VALUE"""),0)</f>
        <v>0</v>
      </c>
      <c r="I719" s="8">
        <f ca="1">IFERROR(__xludf.DUMMYFUNCTION("""COMPUTED_VALUE"""),1)</f>
        <v>1</v>
      </c>
      <c r="J719" s="8">
        <f ca="1">IFERROR(__xludf.DUMMYFUNCTION("""COMPUTED_VALUE"""),0)</f>
        <v>0</v>
      </c>
      <c r="K719" s="8" t="str">
        <f ca="1">IFERROR(__xludf.DUMMYFUNCTION("""COMPUTED_VALUE"""),"https://www.nbcwashington.com/news/local/prince-georges-county/2-teens-arrested-in-armed-carjacking-and-homicide-in-prince-georges/3369040/
https://www.fox5dc.com/news/fatal-shooting-near-north-forestville-elementary-school-and-community-center-under-inve"&amp;"stigation
https://wtop.com/prince-georges-county/2023/05/man-fatally-shot-near-prince-georges-co-elementary-school/ ")</f>
        <v xml:space="preserve">https://www.nbcwashington.com/news/local/prince-georges-county/2-teens-arrested-in-armed-carjacking-and-homicide-in-prince-georges/3369040/
https://www.fox5dc.com/news/fatal-shooting-near-north-forestville-elementary-school-and-community-center-under-investigation
https://wtop.com/prince-georges-county/2023/05/man-fatally-shot-near-prince-georges-co-elementary-school/ </v>
      </c>
      <c r="L719" s="8">
        <f ca="1">IFERROR(__xludf.DUMMYFUNCTION("""COMPUTED_VALUE"""),10)</f>
        <v>10</v>
      </c>
      <c r="M719" s="8" t="str">
        <f ca="1">IFERROR(__xludf.DUMMYFUNCTION("""COMPUTED_VALUE"""),"Regional")</f>
        <v>Regional</v>
      </c>
      <c r="N719" s="8">
        <f ca="1">IFERROR(__xludf.DUMMYFUNCTION("""COMPUTED_VALUE"""),4)</f>
        <v>4</v>
      </c>
      <c r="O719" s="8" t="str">
        <f ca="1">IFERROR(__xludf.DUMMYFUNCTION("""COMPUTED_VALUE"""),"Spring")</f>
        <v>Spring</v>
      </c>
      <c r="P719" s="8" t="str">
        <f ca="1">IFERROR(__xludf.DUMMYFUNCTION("""COMPUTED_VALUE"""),"Forestville")</f>
        <v>Forestville</v>
      </c>
      <c r="Q719" s="8" t="str">
        <f ca="1">IFERROR(__xludf.DUMMYFUNCTION("""COMPUTED_VALUE"""),"MD")</f>
        <v>MD</v>
      </c>
      <c r="R719" s="8" t="str">
        <f ca="1">IFERROR(__xludf.DUMMYFUNCTION("""COMPUTED_VALUE"""),"Elementary")</f>
        <v>Elementary</v>
      </c>
      <c r="S719" s="8" t="str">
        <f ca="1">IFERROR(__xludf.DUMMYFUNCTION("""COMPUTED_VALUE"""),"Parking Lot")</f>
        <v>Parking Lot</v>
      </c>
      <c r="T719" s="8" t="str">
        <f ca="1">IFERROR(__xludf.DUMMYFUNCTION("""COMPUTED_VALUE"""),"Outside on School Property")</f>
        <v>Outside on School Property</v>
      </c>
      <c r="U719" s="8" t="str">
        <f ca="1">IFERROR(__xludf.DUMMYFUNCTION("""COMPUTED_VALUE"""),"No")</f>
        <v>No</v>
      </c>
      <c r="V719" s="8" t="str">
        <f ca="1">IFERROR(__xludf.DUMMYFUNCTION("""COMPUTED_VALUE"""),"Evening")</f>
        <v>Evening</v>
      </c>
      <c r="W719" s="11">
        <f ca="1">IFERROR(__xludf.DUMMYFUNCTION("""COMPUTED_VALUE"""),0.770833333333333)</f>
        <v>0.77083333333333304</v>
      </c>
      <c r="X719" s="8">
        <f ca="1">IFERROR(__xludf.DUMMYFUNCTION("""COMPUTED_VALUE"""),1)</f>
        <v>1</v>
      </c>
      <c r="Y719" s="12" t="str">
        <f ca="1">IFERROR(__xludf.DUMMYFUNCTION("""COMPUTED_VALUE"""),"Man killed during attempted carjacking in school parking lot.")</f>
        <v>Man killed during attempted carjacking in school parking lot.</v>
      </c>
      <c r="Z719" s="12" t="str">
        <f ca="1">IFERROR(__xludf.DUMMYFUNCTION("""COMPUTED_VALUE"""),"High school senior killed during attempted carjacking in school parking lot. 18-year-old gunman with a rifle ")</f>
        <v xml:space="preserve">High school senior killed during attempted carjacking in school parking lot. 18-year-old gunman with a rifle </v>
      </c>
      <c r="AA719" s="8" t="str">
        <f ca="1">IFERROR(__xludf.DUMMYFUNCTION("""COMPUTED_VALUE"""),"Illegal Activity")</f>
        <v>Illegal Activity</v>
      </c>
      <c r="AB719" s="8"/>
      <c r="AC719" s="8"/>
      <c r="AD719" s="8" t="str">
        <f ca="1">IFERROR(__xludf.DUMMYFUNCTION("""COMPUTED_VALUE"""),"Victims Targeted")</f>
        <v>Victims Targeted</v>
      </c>
      <c r="AE719" s="8"/>
      <c r="AF719" s="8"/>
      <c r="AG719" s="8" t="str">
        <f ca="1">IFERROR(__xludf.DUMMYFUNCTION("""COMPUTED_VALUE"""),"No")</f>
        <v>No</v>
      </c>
      <c r="AH719" s="8" t="str">
        <f ca="1">IFERROR(__xludf.DUMMYFUNCTION("""COMPUTED_VALUE"""),"No")</f>
        <v>No</v>
      </c>
      <c r="AI719" s="8" t="str">
        <f ca="1">IFERROR(__xludf.DUMMYFUNCTION("""COMPUTED_VALUE"""),"No")</f>
        <v>No</v>
      </c>
      <c r="AJ719" s="8" t="str">
        <f ca="1">IFERROR(__xludf.DUMMYFUNCTION("""COMPUTED_VALUE"""),"No")</f>
        <v>No</v>
      </c>
      <c r="AK719" s="8" t="str">
        <f ca="1">IFERROR(__xludf.DUMMYFUNCTION("""COMPUTED_VALUE"""),"No")</f>
        <v>No</v>
      </c>
      <c r="AL719" s="8" t="str">
        <f ca="1">IFERROR(__xludf.DUMMYFUNCTION("""COMPUTED_VALUE"""),"No")</f>
        <v>No</v>
      </c>
      <c r="AM719" s="8" t="str">
        <f ca="1">IFERROR(__xludf.DUMMYFUNCTION("""COMPUTED_VALUE"""),"No")</f>
        <v>No</v>
      </c>
      <c r="AN719" s="8" t="str">
        <f ca="1">IFERROR(__xludf.DUMMYFUNCTION("""COMPUTED_VALUE"""),"Outside")</f>
        <v>Outside</v>
      </c>
      <c r="AO719" s="8" t="str">
        <f ca="1">IFERROR(__xludf.DUMMYFUNCTION("""COMPUTED_VALUE"""),"No")</f>
        <v>No</v>
      </c>
      <c r="AP719" s="8"/>
      <c r="AQ719" s="8"/>
      <c r="AR719" s="8" t="str">
        <f ca="1">IFERROR(__xludf.DUMMYFUNCTION("""COMPUTED_VALUE"""),"Outside/Off-Property")</f>
        <v>Outside/Off-Property</v>
      </c>
      <c r="AS719" s="8">
        <f ca="1">IFERROR(__xludf.DUMMYFUNCTION("""COMPUTED_VALUE"""),99)</f>
        <v>99</v>
      </c>
      <c r="AT719" s="8"/>
      <c r="AU719" s="8">
        <f ca="1">IFERROR(__xludf.DUMMYFUNCTION("""COMPUTED_VALUE"""),38.857638)</f>
        <v>38.857638000000001</v>
      </c>
      <c r="AV719" s="8">
        <f ca="1">IFERROR(__xludf.DUMMYFUNCTION("""COMPUTED_VALUE"""),-76.873859)</f>
        <v>-76.873858999999996</v>
      </c>
      <c r="AW719" s="8"/>
      <c r="AX719" s="8">
        <f ca="1">IFERROR(__xludf.DUMMYFUNCTION("""COMPUTED_VALUE"""),20747)</f>
        <v>20747</v>
      </c>
    </row>
    <row r="720" spans="1:50" ht="225" x14ac:dyDescent="0.2">
      <c r="A720" s="8" t="str">
        <f ca="1">IFERROR(__xludf.DUMMYFUNCTION("""COMPUTED_VALUE"""),"20230511ILNER")</f>
        <v>20230511ILNER</v>
      </c>
      <c r="B720" s="8">
        <f ca="1">IFERROR(__xludf.DUMMYFUNCTION("""COMPUTED_VALUE"""),5)</f>
        <v>5</v>
      </c>
      <c r="C720" s="8">
        <f ca="1">IFERROR(__xludf.DUMMYFUNCTION("""COMPUTED_VALUE"""),11)</f>
        <v>11</v>
      </c>
      <c r="D720" s="8">
        <f ca="1">IFERROR(__xludf.DUMMYFUNCTION("""COMPUTED_VALUE"""),2023)</f>
        <v>2023</v>
      </c>
      <c r="E720" s="9">
        <f ca="1">IFERROR(__xludf.DUMMYFUNCTION("""COMPUTED_VALUE"""),45057)</f>
        <v>45057</v>
      </c>
      <c r="F720" s="8" t="str">
        <f ca="1">IFERROR(__xludf.DUMMYFUNCTION("""COMPUTED_VALUE"""),"Neil Armstrong Elementary School")</f>
        <v>Neil Armstrong Elementary School</v>
      </c>
      <c r="G720" s="8">
        <f ca="1">IFERROR(__xludf.DUMMYFUNCTION("""COMPUTED_VALUE"""),0)</f>
        <v>0</v>
      </c>
      <c r="H720" s="8">
        <f ca="1">IFERROR(__xludf.DUMMYFUNCTION("""COMPUTED_VALUE"""),0)</f>
        <v>0</v>
      </c>
      <c r="I720" s="8">
        <f ca="1">IFERROR(__xludf.DUMMYFUNCTION("""COMPUTED_VALUE"""),0)</f>
        <v>0</v>
      </c>
      <c r="J720" s="8">
        <f ca="1">IFERROR(__xludf.DUMMYFUNCTION("""COMPUTED_VALUE"""),0)</f>
        <v>0</v>
      </c>
      <c r="K720" s="10" t="str">
        <f ca="1">IFERROR(__xludf.DUMMYFUNCTION("""COMPUTED_VALUE"""),"https://abc7chicago.com/gun-at-school-richton-park-il-police-neil-armstrong-elementary/13231590/")</f>
        <v>https://abc7chicago.com/gun-at-school-richton-park-il-police-neil-armstrong-elementary/13231590/</v>
      </c>
      <c r="L720" s="8">
        <f ca="1">IFERROR(__xludf.DUMMYFUNCTION("""COMPUTED_VALUE"""),5)</f>
        <v>5</v>
      </c>
      <c r="M720" s="8" t="str">
        <f ca="1">IFERROR(__xludf.DUMMYFUNCTION("""COMPUTED_VALUE"""),"Regional")</f>
        <v>Regional</v>
      </c>
      <c r="N720" s="8">
        <f ca="1">IFERROR(__xludf.DUMMYFUNCTION("""COMPUTED_VALUE"""),4)</f>
        <v>4</v>
      </c>
      <c r="O720" s="8" t="str">
        <f ca="1">IFERROR(__xludf.DUMMYFUNCTION("""COMPUTED_VALUE"""),"Spring")</f>
        <v>Spring</v>
      </c>
      <c r="P720" s="8" t="str">
        <f ca="1">IFERROR(__xludf.DUMMYFUNCTION("""COMPUTED_VALUE"""),"Richton Park")</f>
        <v>Richton Park</v>
      </c>
      <c r="Q720" s="8" t="str">
        <f ca="1">IFERROR(__xludf.DUMMYFUNCTION("""COMPUTED_VALUE"""),"IL")</f>
        <v>IL</v>
      </c>
      <c r="R720" s="8" t="str">
        <f ca="1">IFERROR(__xludf.DUMMYFUNCTION("""COMPUTED_VALUE"""),"Elementary")</f>
        <v>Elementary</v>
      </c>
      <c r="S720" s="8" t="str">
        <f ca="1">IFERROR(__xludf.DUMMYFUNCTION("""COMPUTED_VALUE"""),"Hallway")</f>
        <v>Hallway</v>
      </c>
      <c r="T720" s="8" t="str">
        <f ca="1">IFERROR(__xludf.DUMMYFUNCTION("""COMPUTED_VALUE"""),"Inside School Building")</f>
        <v>Inside School Building</v>
      </c>
      <c r="U720" s="8" t="str">
        <f ca="1">IFERROR(__xludf.DUMMYFUNCTION("""COMPUTED_VALUE"""),"Yes")</f>
        <v>Yes</v>
      </c>
      <c r="V720" s="8" t="str">
        <f ca="1">IFERROR(__xludf.DUMMYFUNCTION("""COMPUTED_VALUE"""),"Morning Classes")</f>
        <v>Morning Classes</v>
      </c>
      <c r="W720" s="11">
        <f ca="1">IFERROR(__xludf.DUMMYFUNCTION("""COMPUTED_VALUE"""),0.354166666666666)</f>
        <v>0.35416666666666602</v>
      </c>
      <c r="X720" s="8">
        <f ca="1">IFERROR(__xludf.DUMMYFUNCTION("""COMPUTED_VALUE"""),1)</f>
        <v>1</v>
      </c>
      <c r="Y720" s="12" t="str">
        <f ca="1">IFERROR(__xludf.DUMMYFUNCTION("""COMPUTED_VALUE"""),"Teacher wrestled loaded handgun away from 10-year-old girl in school hallway")</f>
        <v>Teacher wrestled loaded handgun away from 10-year-old girl in school hallway</v>
      </c>
      <c r="Z720" s="12" t="str">
        <f ca="1">IFERROR(__xludf.DUMMYFUNCTION("""COMPUTED_VALUE"""),"The fourth grader allegedly shows the fully loaded semiautomatic handgun to other children , who then told the teacher 8:30 a.m. The teacher then confronted the student in a hallway full of kids, wrestling the weapon away from the girl. ""She had students"&amp;" telling her that the student had a gun, and she found the student in the hallway and took the gun from her,"" Richton Park Police Chief Demitrious C. Cook. ""She cuffed the gun and she asked for help, and another teacher, without regard for his safety, c"&amp;"ame up and took the weapon,"" said Chief Cook. Police said the gun was owned by the girl's mother, who authorities said is a Cook County Sheriff's Department corrections officer. The mother has now been charged with endangering the health and safety of a "&amp;"minor. She has also been stripped of her police powers pending the results of an internal investigation.")</f>
        <v>The fourth grader allegedly shows the fully loaded semiautomatic handgun to other children , who then told the teacher 8:30 a.m. The teacher then confronted the student in a hallway full of kids, wrestling the weapon away from the girl. "She had students telling her that the student had a gun, and she found the student in the hallway and took the gun from her," Richton Park Police Chief Demitrious C. Cook. "She cuffed the gun and she asked for help, and another teacher, without regard for his safety, came up and took the weapon," said Chief Cook. Police said the gun was owned by the girl's mother, who authorities said is a Cook County Sheriff's Department corrections officer. The mother has now been charged with endangering the health and safety of a minor. She has also been stripped of her police powers pending the results of an internal investigation.</v>
      </c>
      <c r="AA720" s="8"/>
      <c r="AB720" s="8"/>
      <c r="AC720" s="8" t="str">
        <f ca="1">IFERROR(__xludf.DUMMYFUNCTION("""COMPUTED_VALUE"""),"Yes")</f>
        <v>Yes</v>
      </c>
      <c r="AD720" s="8"/>
      <c r="AE720" s="8" t="str">
        <f ca="1">IFERROR(__xludf.DUMMYFUNCTION("""COMPUTED_VALUE"""),"No")</f>
        <v>No</v>
      </c>
      <c r="AF720" s="8"/>
      <c r="AG720" s="8" t="str">
        <f ca="1">IFERROR(__xludf.DUMMYFUNCTION("""COMPUTED_VALUE"""),"No")</f>
        <v>No</v>
      </c>
      <c r="AH720" s="8" t="str">
        <f ca="1">IFERROR(__xludf.DUMMYFUNCTION("""COMPUTED_VALUE"""),"No")</f>
        <v>No</v>
      </c>
      <c r="AI720" s="8" t="str">
        <f ca="1">IFERROR(__xludf.DUMMYFUNCTION("""COMPUTED_VALUE"""),"No")</f>
        <v>No</v>
      </c>
      <c r="AJ720" s="8"/>
      <c r="AK720" s="8" t="str">
        <f ca="1">IFERROR(__xludf.DUMMYFUNCTION("""COMPUTED_VALUE"""),"No")</f>
        <v>No</v>
      </c>
      <c r="AL720" s="8" t="str">
        <f ca="1">IFERROR(__xludf.DUMMYFUNCTION("""COMPUTED_VALUE"""),"No")</f>
        <v>No</v>
      </c>
      <c r="AM720" s="8" t="str">
        <f ca="1">IFERROR(__xludf.DUMMYFUNCTION("""COMPUTED_VALUE"""),"No")</f>
        <v>No</v>
      </c>
      <c r="AN720" s="8" t="str">
        <f ca="1">IFERROR(__xludf.DUMMYFUNCTION("""COMPUTED_VALUE"""),"Hallway")</f>
        <v>Hallway</v>
      </c>
      <c r="AO720" s="8"/>
      <c r="AP720" s="8"/>
      <c r="AQ720" s="8"/>
      <c r="AR720" s="8" t="str">
        <f ca="1">IFERROR(__xludf.DUMMYFUNCTION("""COMPUTED_VALUE"""),"Failed")</f>
        <v>Failed</v>
      </c>
      <c r="AS720" s="8">
        <f ca="1">IFERROR(__xludf.DUMMYFUNCTION("""COMPUTED_VALUE"""),0)</f>
        <v>0</v>
      </c>
      <c r="AT720" s="8" t="str">
        <f ca="1">IFERROR(__xludf.DUMMYFUNCTION("""COMPUTED_VALUE"""),"Yes")</f>
        <v>Yes</v>
      </c>
      <c r="AU720" s="8">
        <f ca="1">IFERROR(__xludf.DUMMYFUNCTION("""COMPUTED_VALUE"""),41.477779)</f>
        <v>41.477778999999998</v>
      </c>
      <c r="AV720" s="8">
        <f ca="1">IFERROR(__xludf.DUMMYFUNCTION("""COMPUTED_VALUE"""),-87.7371)</f>
        <v>-87.737099999999998</v>
      </c>
      <c r="AW720" s="8"/>
      <c r="AX720" s="8">
        <f ca="1">IFERROR(__xludf.DUMMYFUNCTION("""COMPUTED_VALUE"""),60471)</f>
        <v>60471</v>
      </c>
    </row>
    <row r="721" spans="1:50" ht="60" x14ac:dyDescent="0.2">
      <c r="A721" s="8" t="str">
        <f ca="1">IFERROR(__xludf.DUMMYFUNCTION("""COMPUTED_VALUE"""),"20230510NYPSQ")</f>
        <v>20230510NYPSQ</v>
      </c>
      <c r="B721" s="8">
        <f ca="1">IFERROR(__xludf.DUMMYFUNCTION("""COMPUTED_VALUE"""),5)</f>
        <v>5</v>
      </c>
      <c r="C721" s="8">
        <f ca="1">IFERROR(__xludf.DUMMYFUNCTION("""COMPUTED_VALUE"""),10)</f>
        <v>10</v>
      </c>
      <c r="D721" s="8">
        <f ca="1">IFERROR(__xludf.DUMMYFUNCTION("""COMPUTED_VALUE"""),2023)</f>
        <v>2023</v>
      </c>
      <c r="E721" s="9">
        <f ca="1">IFERROR(__xludf.DUMMYFUNCTION("""COMPUTED_VALUE"""),45056)</f>
        <v>45056</v>
      </c>
      <c r="F721" s="8" t="str">
        <f ca="1">IFERROR(__xludf.DUMMYFUNCTION("""COMPUTED_VALUE"""),"P.S. 015 Jackie Robinson Elementary")</f>
        <v>P.S. 015 Jackie Robinson Elementary</v>
      </c>
      <c r="G721" s="8">
        <f ca="1">IFERROR(__xludf.DUMMYFUNCTION("""COMPUTED_VALUE"""),0)</f>
        <v>0</v>
      </c>
      <c r="H721" s="8">
        <f ca="1">IFERROR(__xludf.DUMMYFUNCTION("""COMPUTED_VALUE"""),1)</f>
        <v>1</v>
      </c>
      <c r="I721" s="8">
        <f ca="1">IFERROR(__xludf.DUMMYFUNCTION("""COMPUTED_VALUE"""),1)</f>
        <v>1</v>
      </c>
      <c r="J721" s="8">
        <f ca="1">IFERROR(__xludf.DUMMYFUNCTION("""COMPUTED_VALUE"""),0)</f>
        <v>0</v>
      </c>
      <c r="K721" s="10" t="str">
        <f ca="1">IFERROR(__xludf.DUMMYFUNCTION("""COMPUTED_VALUE"""),"https://www.cbsnews.com/newyork/news/16-year-old-girl-shot-lucas-street-queens/
https://nypost.com/2023/05/11/16-year-old-girl-shot-in-head-outside-nyc-school/")</f>
        <v>https://www.cbsnews.com/newyork/news/16-year-old-girl-shot-lucas-street-queens/
https://nypost.com/2023/05/11/16-year-old-girl-shot-in-head-outside-nyc-school/</v>
      </c>
      <c r="L721" s="8">
        <f ca="1">IFERROR(__xludf.DUMMYFUNCTION("""COMPUTED_VALUE"""),10)</f>
        <v>10</v>
      </c>
      <c r="M721" s="8" t="str">
        <f ca="1">IFERROR(__xludf.DUMMYFUNCTION("""COMPUTED_VALUE"""),"Regional")</f>
        <v>Regional</v>
      </c>
      <c r="N721" s="8">
        <f ca="1">IFERROR(__xludf.DUMMYFUNCTION("""COMPUTED_VALUE"""),4)</f>
        <v>4</v>
      </c>
      <c r="O721" s="8" t="str">
        <f ca="1">IFERROR(__xludf.DUMMYFUNCTION("""COMPUTED_VALUE"""),"Spring")</f>
        <v>Spring</v>
      </c>
      <c r="P721" s="8" t="str">
        <f ca="1">IFERROR(__xludf.DUMMYFUNCTION("""COMPUTED_VALUE"""),"Queens")</f>
        <v>Queens</v>
      </c>
      <c r="Q721" s="8" t="str">
        <f ca="1">IFERROR(__xludf.DUMMYFUNCTION("""COMPUTED_VALUE"""),"NY")</f>
        <v>NY</v>
      </c>
      <c r="R721" s="8" t="str">
        <f ca="1">IFERROR(__xludf.DUMMYFUNCTION("""COMPUTED_VALUE"""),"Elementary")</f>
        <v>Elementary</v>
      </c>
      <c r="S721" s="8" t="str">
        <f ca="1">IFERROR(__xludf.DUMMYFUNCTION("""COMPUTED_VALUE"""),"Playground")</f>
        <v>Playground</v>
      </c>
      <c r="T721" s="8" t="str">
        <f ca="1">IFERROR(__xludf.DUMMYFUNCTION("""COMPUTED_VALUE"""),"Outside on School Property")</f>
        <v>Outside on School Property</v>
      </c>
      <c r="U721" s="8" t="str">
        <f ca="1">IFERROR(__xludf.DUMMYFUNCTION("""COMPUTED_VALUE"""),"No")</f>
        <v>No</v>
      </c>
      <c r="V721" s="8" t="str">
        <f ca="1">IFERROR(__xludf.DUMMYFUNCTION("""COMPUTED_VALUE"""),"Evening")</f>
        <v>Evening</v>
      </c>
      <c r="W721" s="11">
        <f ca="1">IFERROR(__xludf.DUMMYFUNCTION("""COMPUTED_VALUE"""),0.770833333333333)</f>
        <v>0.77083333333333304</v>
      </c>
      <c r="X721" s="8">
        <f ca="1">IFERROR(__xludf.DUMMYFUNCTION("""COMPUTED_VALUE"""),1)</f>
        <v>1</v>
      </c>
      <c r="Y721" s="12" t="str">
        <f ca="1">IFERROR(__xludf.DUMMYFUNCTION("""COMPUTED_VALUE"""),"16-year-old girl shot in the head during argument between two groups")</f>
        <v>16-year-old girl shot in the head during argument between two groups</v>
      </c>
      <c r="Z721" s="12" t="str">
        <f ca="1">IFERROR(__xludf.DUMMYFUNCTION("""COMPUTED_VALUE"""),"16-year-old girl shot in the head during argument between two groups near the school playground. She was not the intended target. Shooter fled.")</f>
        <v>16-year-old girl shot in the head during argument between two groups near the school playground. She was not the intended target. Shooter fled.</v>
      </c>
      <c r="AA721" s="8" t="str">
        <f ca="1">IFERROR(__xludf.DUMMYFUNCTION("""COMPUTED_VALUE"""),"Escalation of Dispute")</f>
        <v>Escalation of Dispute</v>
      </c>
      <c r="AB721" s="8"/>
      <c r="AC721" s="8" t="str">
        <f ca="1">IFERROR(__xludf.DUMMYFUNCTION("""COMPUTED_VALUE"""),"No")</f>
        <v>No</v>
      </c>
      <c r="AD721" s="8" t="str">
        <f ca="1">IFERROR(__xludf.DUMMYFUNCTION("""COMPUTED_VALUE"""),"Both")</f>
        <v>Both</v>
      </c>
      <c r="AE721" s="8" t="str">
        <f ca="1">IFERROR(__xludf.DUMMYFUNCTION("""COMPUTED_VALUE"""),"Yes")</f>
        <v>Yes</v>
      </c>
      <c r="AF721" s="8" t="str">
        <f ca="1">IFERROR(__xludf.DUMMYFUNCTION("""COMPUTED_VALUE"""),"Fight between groups")</f>
        <v>Fight between groups</v>
      </c>
      <c r="AG721" s="8" t="str">
        <f ca="1">IFERROR(__xludf.DUMMYFUNCTION("""COMPUTED_VALUE"""),"No")</f>
        <v>No</v>
      </c>
      <c r="AH721" s="8" t="str">
        <f ca="1">IFERROR(__xludf.DUMMYFUNCTION("""COMPUTED_VALUE"""),"No")</f>
        <v>No</v>
      </c>
      <c r="AI721" s="8" t="str">
        <f ca="1">IFERROR(__xludf.DUMMYFUNCTION("""COMPUTED_VALUE"""),"No")</f>
        <v>No</v>
      </c>
      <c r="AJ721" s="8" t="str">
        <f ca="1">IFERROR(__xludf.DUMMYFUNCTION("""COMPUTED_VALUE"""),"No")</f>
        <v>No</v>
      </c>
      <c r="AK721" s="8" t="str">
        <f ca="1">IFERROR(__xludf.DUMMYFUNCTION("""COMPUTED_VALUE"""),"No")</f>
        <v>No</v>
      </c>
      <c r="AL721" s="8"/>
      <c r="AM721" s="8" t="str">
        <f ca="1">IFERROR(__xludf.DUMMYFUNCTION("""COMPUTED_VALUE"""),"No")</f>
        <v>No</v>
      </c>
      <c r="AN721" s="8" t="str">
        <f ca="1">IFERROR(__xludf.DUMMYFUNCTION("""COMPUTED_VALUE"""),"Outside")</f>
        <v>Outside</v>
      </c>
      <c r="AO721" s="8" t="str">
        <f ca="1">IFERROR(__xludf.DUMMYFUNCTION("""COMPUTED_VALUE"""),"No")</f>
        <v>No</v>
      </c>
      <c r="AP721" s="8"/>
      <c r="AQ721" s="8"/>
      <c r="AR721" s="8" t="str">
        <f ca="1">IFERROR(__xludf.DUMMYFUNCTION("""COMPUTED_VALUE"""),"Outside/Off-Property")</f>
        <v>Outside/Off-Property</v>
      </c>
      <c r="AS721" s="8">
        <f ca="1">IFERROR(__xludf.DUMMYFUNCTION("""COMPUTED_VALUE"""),99)</f>
        <v>99</v>
      </c>
      <c r="AT721" s="8"/>
      <c r="AU721" s="8">
        <f ca="1">IFERROR(__xludf.DUMMYFUNCTION("""COMPUTED_VALUE"""),40.685788)</f>
        <v>40.685788000000002</v>
      </c>
      <c r="AV721" s="8">
        <f ca="1">IFERROR(__xludf.DUMMYFUNCTION("""COMPUTED_VALUE"""),-73.75699)</f>
        <v>-73.756990000000002</v>
      </c>
      <c r="AW721" s="8"/>
      <c r="AX721" s="8">
        <f ca="1">IFERROR(__xludf.DUMMYFUNCTION("""COMPUTED_VALUE"""),11413)</f>
        <v>11413</v>
      </c>
    </row>
    <row r="722" spans="1:50" ht="45" x14ac:dyDescent="0.2">
      <c r="A722" s="8" t="str">
        <f ca="1">IFERROR(__xludf.DUMMYFUNCTION("""COMPUTED_VALUE"""),"20230509CACAO")</f>
        <v>20230509CACAO</v>
      </c>
      <c r="B722" s="8">
        <f ca="1">IFERROR(__xludf.DUMMYFUNCTION("""COMPUTED_VALUE"""),5)</f>
        <v>5</v>
      </c>
      <c r="C722" s="8">
        <f ca="1">IFERROR(__xludf.DUMMYFUNCTION("""COMPUTED_VALUE"""),9)</f>
        <v>9</v>
      </c>
      <c r="D722" s="8">
        <f ca="1">IFERROR(__xludf.DUMMYFUNCTION("""COMPUTED_VALUE"""),2023)</f>
        <v>2023</v>
      </c>
      <c r="E722" s="9">
        <f ca="1">IFERROR(__xludf.DUMMYFUNCTION("""COMPUTED_VALUE"""),45055)</f>
        <v>45055</v>
      </c>
      <c r="F722" s="8" t="str">
        <f ca="1">IFERROR(__xludf.DUMMYFUNCTION("""COMPUTED_VALUE"""),"Castlemont High School")</f>
        <v>Castlemont High School</v>
      </c>
      <c r="G722" s="8">
        <f ca="1">IFERROR(__xludf.DUMMYFUNCTION("""COMPUTED_VALUE"""),0)</f>
        <v>0</v>
      </c>
      <c r="H722" s="8">
        <f ca="1">IFERROR(__xludf.DUMMYFUNCTION("""COMPUTED_VALUE"""),2)</f>
        <v>2</v>
      </c>
      <c r="I722" s="8">
        <f ca="1">IFERROR(__xludf.DUMMYFUNCTION("""COMPUTED_VALUE"""),2)</f>
        <v>2</v>
      </c>
      <c r="J722" s="8">
        <f ca="1">IFERROR(__xludf.DUMMYFUNCTION("""COMPUTED_VALUE"""),0)</f>
        <v>0</v>
      </c>
      <c r="K722" s="10" t="str">
        <f ca="1">IFERROR(__xludf.DUMMYFUNCTION("""COMPUTED_VALUE"""),"https://www.mercurynews.com/2023/05/09/two-teens-injured-in-shooting-near-east-oakland-high-school-campus
https://www.nbcbayarea.com/news/local/east-bay/shooting-castlemont-high-school-oakland/3225716/")</f>
        <v>https://www.mercurynews.com/2023/05/09/two-teens-injured-in-shooting-near-east-oakland-high-school-campus
https://www.nbcbayarea.com/news/local/east-bay/shooting-castlemont-high-school-oakland/3225716/</v>
      </c>
      <c r="L722" s="8">
        <f ca="1">IFERROR(__xludf.DUMMYFUNCTION("""COMPUTED_VALUE"""),10)</f>
        <v>10</v>
      </c>
      <c r="M722" s="8" t="str">
        <f ca="1">IFERROR(__xludf.DUMMYFUNCTION("""COMPUTED_VALUE"""),"Regional")</f>
        <v>Regional</v>
      </c>
      <c r="N722" s="8">
        <f ca="1">IFERROR(__xludf.DUMMYFUNCTION("""COMPUTED_VALUE"""),4)</f>
        <v>4</v>
      </c>
      <c r="O722" s="8" t="str">
        <f ca="1">IFERROR(__xludf.DUMMYFUNCTION("""COMPUTED_VALUE"""),"Spring")</f>
        <v>Spring</v>
      </c>
      <c r="P722" s="8" t="str">
        <f ca="1">IFERROR(__xludf.DUMMYFUNCTION("""COMPUTED_VALUE"""),"Oakland")</f>
        <v>Oakland</v>
      </c>
      <c r="Q722" s="8" t="str">
        <f ca="1">IFERROR(__xludf.DUMMYFUNCTION("""COMPUTED_VALUE"""),"CA")</f>
        <v>CA</v>
      </c>
      <c r="R722" s="8" t="str">
        <f ca="1">IFERROR(__xludf.DUMMYFUNCTION("""COMPUTED_VALUE"""),"High")</f>
        <v>High</v>
      </c>
      <c r="S722" s="8" t="str">
        <f ca="1">IFERROR(__xludf.DUMMYFUNCTION("""COMPUTED_VALUE"""),"Beside Building")</f>
        <v>Beside Building</v>
      </c>
      <c r="T722" s="8" t="str">
        <f ca="1">IFERROR(__xludf.DUMMYFUNCTION("""COMPUTED_VALUE"""),"Outside on School Property")</f>
        <v>Outside on School Property</v>
      </c>
      <c r="U722" s="8" t="str">
        <f ca="1">IFERROR(__xludf.DUMMYFUNCTION("""COMPUTED_VALUE"""),"No")</f>
        <v>No</v>
      </c>
      <c r="V722" s="8" t="str">
        <f ca="1">IFERROR(__xludf.DUMMYFUNCTION("""COMPUTED_VALUE"""),"Evening")</f>
        <v>Evening</v>
      </c>
      <c r="W722" s="11">
        <f ca="1">IFERROR(__xludf.DUMMYFUNCTION("""COMPUTED_VALUE"""),0.729166666666666)</f>
        <v>0.72916666666666596</v>
      </c>
      <c r="X722" s="8">
        <f ca="1">IFERROR(__xludf.DUMMYFUNCTION("""COMPUTED_VALUE"""),1)</f>
        <v>1</v>
      </c>
      <c r="Y722" s="12" t="str">
        <f ca="1">IFERROR(__xludf.DUMMYFUNCTION("""COMPUTED_VALUE"""),"Teen and adult woman shot next to school")</f>
        <v>Teen and adult woman shot next to school</v>
      </c>
      <c r="Z722" s="12" t="str">
        <f ca="1">IFERROR(__xludf.DUMMYFUNCTION("""COMPUTED_VALUE"""),"A teenage male and adult female were shot next to the school. Shooter fled.")</f>
        <v>A teenage male and adult female were shot next to the school. Shooter fled.</v>
      </c>
      <c r="AA722" s="8"/>
      <c r="AB722" s="8"/>
      <c r="AC722" s="8" t="str">
        <f ca="1">IFERROR(__xludf.DUMMYFUNCTION("""COMPUTED_VALUE"""),"Yes")</f>
        <v>Yes</v>
      </c>
      <c r="AD722" s="8"/>
      <c r="AE722" s="8"/>
      <c r="AF722" s="8"/>
      <c r="AG722" s="8" t="str">
        <f ca="1">IFERROR(__xludf.DUMMYFUNCTION("""COMPUTED_VALUE"""),"No")</f>
        <v>No</v>
      </c>
      <c r="AH722" s="8" t="str">
        <f ca="1">IFERROR(__xludf.DUMMYFUNCTION("""COMPUTED_VALUE"""),"No")</f>
        <v>No</v>
      </c>
      <c r="AI722" s="8" t="str">
        <f ca="1">IFERROR(__xludf.DUMMYFUNCTION("""COMPUTED_VALUE"""),"No")</f>
        <v>No</v>
      </c>
      <c r="AJ722" s="8" t="str">
        <f ca="1">IFERROR(__xludf.DUMMYFUNCTION("""COMPUTED_VALUE"""),"No")</f>
        <v>No</v>
      </c>
      <c r="AK722" s="8"/>
      <c r="AL722" s="8"/>
      <c r="AM722" s="8" t="str">
        <f ca="1">IFERROR(__xludf.DUMMYFUNCTION("""COMPUTED_VALUE"""),"No")</f>
        <v>No</v>
      </c>
      <c r="AN722" s="8" t="str">
        <f ca="1">IFERROR(__xludf.DUMMYFUNCTION("""COMPUTED_VALUE"""),"Outside")</f>
        <v>Outside</v>
      </c>
      <c r="AO722" s="8" t="str">
        <f ca="1">IFERROR(__xludf.DUMMYFUNCTION("""COMPUTED_VALUE"""),"No")</f>
        <v>No</v>
      </c>
      <c r="AP722" s="8"/>
      <c r="AQ722" s="8"/>
      <c r="AR722" s="8" t="str">
        <f ca="1">IFERROR(__xludf.DUMMYFUNCTION("""COMPUTED_VALUE"""),"Outside/Off-Property")</f>
        <v>Outside/Off-Property</v>
      </c>
      <c r="AS722" s="8">
        <f ca="1">IFERROR(__xludf.DUMMYFUNCTION("""COMPUTED_VALUE"""),99)</f>
        <v>99</v>
      </c>
      <c r="AT722" s="8"/>
      <c r="AU722" s="8">
        <f ca="1">IFERROR(__xludf.DUMMYFUNCTION("""COMPUTED_VALUE"""),37.75913)</f>
        <v>37.759129999999999</v>
      </c>
      <c r="AV722" s="8">
        <f ca="1">IFERROR(__xludf.DUMMYFUNCTION("""COMPUTED_VALUE"""),-122.163018)</f>
        <v>-122.16301799999999</v>
      </c>
      <c r="AW722" s="8"/>
      <c r="AX722" s="8">
        <f ca="1">IFERROR(__xludf.DUMMYFUNCTION("""COMPUTED_VALUE"""),94613)</f>
        <v>94613</v>
      </c>
    </row>
    <row r="723" spans="1:50" ht="150" x14ac:dyDescent="0.2">
      <c r="A723" s="8" t="str">
        <f ca="1">IFERROR(__xludf.DUMMYFUNCTION("""COMPUTED_VALUE"""),"20230508SCSUS")</f>
        <v>20230508SCSUS</v>
      </c>
      <c r="B723" s="8">
        <f ca="1">IFERROR(__xludf.DUMMYFUNCTION("""COMPUTED_VALUE"""),5)</f>
        <v>5</v>
      </c>
      <c r="C723" s="8">
        <f ca="1">IFERROR(__xludf.DUMMYFUNCTION("""COMPUTED_VALUE"""),8)</f>
        <v>8</v>
      </c>
      <c r="D723" s="8">
        <f ca="1">IFERROR(__xludf.DUMMYFUNCTION("""COMPUTED_VALUE"""),2023)</f>
        <v>2023</v>
      </c>
      <c r="E723" s="9">
        <f ca="1">IFERROR(__xludf.DUMMYFUNCTION("""COMPUTED_VALUE"""),45054)</f>
        <v>45054</v>
      </c>
      <c r="F723" s="8" t="str">
        <f ca="1">IFERROR(__xludf.DUMMYFUNCTION("""COMPUTED_VALUE"""),"Summerville High School")</f>
        <v>Summerville High School</v>
      </c>
      <c r="G723" s="8">
        <f ca="1">IFERROR(__xludf.DUMMYFUNCTION("""COMPUTED_VALUE"""),0)</f>
        <v>0</v>
      </c>
      <c r="H723" s="8">
        <f ca="1">IFERROR(__xludf.DUMMYFUNCTION("""COMPUTED_VALUE"""),0)</f>
        <v>0</v>
      </c>
      <c r="I723" s="8">
        <f ca="1">IFERROR(__xludf.DUMMYFUNCTION("""COMPUTED_VALUE"""),0)</f>
        <v>0</v>
      </c>
      <c r="J723" s="8">
        <f ca="1">IFERROR(__xludf.DUMMYFUNCTION("""COMPUTED_VALUE"""),0)</f>
        <v>0</v>
      </c>
      <c r="K723" s="10" t="str">
        <f ca="1">IFERROR(__xludf.DUMMYFUNCTION("""COMPUTED_VALUE"""),"https://www.live5news.com/2023/05/12/middle-school-student-charged-with-pointing-gun-school-property/")</f>
        <v>https://www.live5news.com/2023/05/12/middle-school-student-charged-with-pointing-gun-school-property/</v>
      </c>
      <c r="L723" s="8">
        <f ca="1">IFERROR(__xludf.DUMMYFUNCTION("""COMPUTED_VALUE"""),1)</f>
        <v>1</v>
      </c>
      <c r="M723" s="8" t="str">
        <f ca="1">IFERROR(__xludf.DUMMYFUNCTION("""COMPUTED_VALUE"""),"Local")</f>
        <v>Local</v>
      </c>
      <c r="N723" s="8">
        <f ca="1">IFERROR(__xludf.DUMMYFUNCTION("""COMPUTED_VALUE"""),4)</f>
        <v>4</v>
      </c>
      <c r="O723" s="8" t="str">
        <f ca="1">IFERROR(__xludf.DUMMYFUNCTION("""COMPUTED_VALUE"""),"Spring")</f>
        <v>Spring</v>
      </c>
      <c r="P723" s="8" t="str">
        <f ca="1">IFERROR(__xludf.DUMMYFUNCTION("""COMPUTED_VALUE"""),"Summerville")</f>
        <v>Summerville</v>
      </c>
      <c r="Q723" s="8" t="str">
        <f ca="1">IFERROR(__xludf.DUMMYFUNCTION("""COMPUTED_VALUE"""),"SC")</f>
        <v>SC</v>
      </c>
      <c r="R723" s="8" t="str">
        <f ca="1">IFERROR(__xludf.DUMMYFUNCTION("""COMPUTED_VALUE"""),"High")</f>
        <v>High</v>
      </c>
      <c r="S723" s="8" t="str">
        <f ca="1">IFERROR(__xludf.DUMMYFUNCTION("""COMPUTED_VALUE"""),"Parking Lot")</f>
        <v>Parking Lot</v>
      </c>
      <c r="T723" s="8" t="str">
        <f ca="1">IFERROR(__xludf.DUMMYFUNCTION("""COMPUTED_VALUE"""),"Outside on School Property")</f>
        <v>Outside on School Property</v>
      </c>
      <c r="U723" s="8" t="str">
        <f ca="1">IFERROR(__xludf.DUMMYFUNCTION("""COMPUTED_VALUE"""),"Yes")</f>
        <v>Yes</v>
      </c>
      <c r="V723" s="8" t="str">
        <f ca="1">IFERROR(__xludf.DUMMYFUNCTION("""COMPUTED_VALUE"""),"Dismissal")</f>
        <v>Dismissal</v>
      </c>
      <c r="W723" s="11">
        <f ca="1">IFERROR(__xludf.DUMMYFUNCTION("""COMPUTED_VALUE"""),0.625)</f>
        <v>0.625</v>
      </c>
      <c r="X723" s="8">
        <f ca="1">IFERROR(__xludf.DUMMYFUNCTION("""COMPUTED_VALUE"""),1)</f>
        <v>1</v>
      </c>
      <c r="Y723" s="12" t="str">
        <f ca="1">IFERROR(__xludf.DUMMYFUNCTION("""COMPUTED_VALUE"""),"Middle school student pointed gun at high school girl when she refused to give him a ride")</f>
        <v>Middle school student pointed gun at high school girl when she refused to give him a ride</v>
      </c>
      <c r="Z723" s="12" t="str">
        <f ca="1">IFERROR(__xludf.DUMMYFUNCTION("""COMPUTED_VALUE"""),"A resource officer at Summerville High School says a student was in her car when she was approached by three middle school-aged boys who were asking for a ride on Monday. The girl told them no and rolled up her windows. One of the students pulled out a gu"&amp;"n and pointed it at her, the report states. After an investigation, officers identified the student accused of pointing the gun and took him into custody at Gregg Middle School. The student is charged with pointing and presenting a firearm and carrying a "&amp;"weapon on school grounds.")</f>
        <v>A resource officer at Summerville High School says a student was in her car when she was approached by three middle school-aged boys who were asking for a ride on Monday. The girl told them no and rolled up her windows. One of the students pulled out a gun and pointed it at her, the report states. After an investigation, officers identified the student accused of pointing the gun and took him into custody at Gregg Middle School. The student is charged with pointing and presenting a firearm and carrying a weapon on school grounds.</v>
      </c>
      <c r="AA723" s="8" t="str">
        <f ca="1">IFERROR(__xludf.DUMMYFUNCTION("""COMPUTED_VALUE"""),"Escalation of Dispute")</f>
        <v>Escalation of Dispute</v>
      </c>
      <c r="AB723" s="8"/>
      <c r="AC723" s="8" t="str">
        <f ca="1">IFERROR(__xludf.DUMMYFUNCTION("""COMPUTED_VALUE"""),"Yes")</f>
        <v>Yes</v>
      </c>
      <c r="AD723" s="8" t="str">
        <f ca="1">IFERROR(__xludf.DUMMYFUNCTION("""COMPUTED_VALUE"""),"Victims Targeted")</f>
        <v>Victims Targeted</v>
      </c>
      <c r="AE723" s="8" t="str">
        <f ca="1">IFERROR(__xludf.DUMMYFUNCTION("""COMPUTED_VALUE"""),"Yes")</f>
        <v>Yes</v>
      </c>
      <c r="AF723" s="8" t="str">
        <f ca="1">IFERROR(__xludf.DUMMYFUNCTION("""COMPUTED_VALUE"""),"3 middle school students")</f>
        <v>3 middle school students</v>
      </c>
      <c r="AG723" s="8" t="str">
        <f ca="1">IFERROR(__xludf.DUMMYFUNCTION("""COMPUTED_VALUE"""),"No")</f>
        <v>No</v>
      </c>
      <c r="AH723" s="8" t="str">
        <f ca="1">IFERROR(__xludf.DUMMYFUNCTION("""COMPUTED_VALUE"""),"No")</f>
        <v>No</v>
      </c>
      <c r="AI723" s="8" t="str">
        <f ca="1">IFERROR(__xludf.DUMMYFUNCTION("""COMPUTED_VALUE"""),"No")</f>
        <v>No</v>
      </c>
      <c r="AJ723" s="8" t="str">
        <f ca="1">IFERROR(__xludf.DUMMYFUNCTION("""COMPUTED_VALUE"""),"No")</f>
        <v>No</v>
      </c>
      <c r="AK723" s="8" t="str">
        <f ca="1">IFERROR(__xludf.DUMMYFUNCTION("""COMPUTED_VALUE"""),"No")</f>
        <v>No</v>
      </c>
      <c r="AL723" s="8" t="str">
        <f ca="1">IFERROR(__xludf.DUMMYFUNCTION("""COMPUTED_VALUE"""),"No")</f>
        <v>No</v>
      </c>
      <c r="AM723" s="8" t="str">
        <f ca="1">IFERROR(__xludf.DUMMYFUNCTION("""COMPUTED_VALUE"""),"No")</f>
        <v>No</v>
      </c>
      <c r="AN723" s="8" t="str">
        <f ca="1">IFERROR(__xludf.DUMMYFUNCTION("""COMPUTED_VALUE"""),"Outside")</f>
        <v>Outside</v>
      </c>
      <c r="AO723" s="8" t="str">
        <f ca="1">IFERROR(__xludf.DUMMYFUNCTION("""COMPUTED_VALUE"""),"No")</f>
        <v>No</v>
      </c>
      <c r="AP723" s="8" t="str">
        <f ca="1">IFERROR(__xludf.DUMMYFUNCTION("""COMPUTED_VALUE"""),"Yes")</f>
        <v>Yes</v>
      </c>
      <c r="AQ723" s="8"/>
      <c r="AR723" s="8" t="str">
        <f ca="1">IFERROR(__xludf.DUMMYFUNCTION("""COMPUTED_VALUE"""),"Outside/Off-Property")</f>
        <v>Outside/Off-Property</v>
      </c>
      <c r="AS723" s="8">
        <f ca="1">IFERROR(__xludf.DUMMYFUNCTION("""COMPUTED_VALUE"""),0)</f>
        <v>0</v>
      </c>
      <c r="AT723" s="8" t="str">
        <f ca="1">IFERROR(__xludf.DUMMYFUNCTION("""COMPUTED_VALUE"""),"No")</f>
        <v>No</v>
      </c>
      <c r="AU723" s="8">
        <f ca="1">IFERROR(__xludf.DUMMYFUNCTION("""COMPUTED_VALUE"""),32.993828)</f>
        <v>32.993828000000001</v>
      </c>
      <c r="AV723" s="8">
        <f ca="1">IFERROR(__xludf.DUMMYFUNCTION("""COMPUTED_VALUE"""),-80.218394)</f>
        <v>-80.218394000000004</v>
      </c>
      <c r="AW723" s="8"/>
      <c r="AX723" s="8">
        <f ca="1">IFERROR(__xludf.DUMMYFUNCTION("""COMPUTED_VALUE"""),29483)</f>
        <v>29483</v>
      </c>
    </row>
    <row r="724" spans="1:50" ht="135" x14ac:dyDescent="0.2">
      <c r="A724" s="8" t="str">
        <f ca="1">IFERROR(__xludf.DUMMYFUNCTION("""COMPUTED_VALUE"""),"20230508PAEWP")</f>
        <v>20230508PAEWP</v>
      </c>
      <c r="B724" s="8">
        <f ca="1">IFERROR(__xludf.DUMMYFUNCTION("""COMPUTED_VALUE"""),5)</f>
        <v>5</v>
      </c>
      <c r="C724" s="8">
        <f ca="1">IFERROR(__xludf.DUMMYFUNCTION("""COMPUTED_VALUE"""),8)</f>
        <v>8</v>
      </c>
      <c r="D724" s="8">
        <f ca="1">IFERROR(__xludf.DUMMYFUNCTION("""COMPUTED_VALUE"""),2023)</f>
        <v>2023</v>
      </c>
      <c r="E724" s="9">
        <f ca="1">IFERROR(__xludf.DUMMYFUNCTION("""COMPUTED_VALUE"""),45054)</f>
        <v>45054</v>
      </c>
      <c r="F724" s="8" t="str">
        <f ca="1">IFERROR(__xludf.DUMMYFUNCTION("""COMPUTED_VALUE"""),"E. Washington Rhodes Elementary")</f>
        <v>E. Washington Rhodes Elementary</v>
      </c>
      <c r="G724" s="8">
        <f ca="1">IFERROR(__xludf.DUMMYFUNCTION("""COMPUTED_VALUE"""),0)</f>
        <v>0</v>
      </c>
      <c r="H724" s="8">
        <f ca="1">IFERROR(__xludf.DUMMYFUNCTION("""COMPUTED_VALUE"""),0)</f>
        <v>0</v>
      </c>
      <c r="I724" s="8">
        <f ca="1">IFERROR(__xludf.DUMMYFUNCTION("""COMPUTED_VALUE"""),0)</f>
        <v>0</v>
      </c>
      <c r="J724" s="8">
        <f ca="1">IFERROR(__xludf.DUMMYFUNCTION("""COMPUTED_VALUE"""),0)</f>
        <v>0</v>
      </c>
      <c r="K724" s="10" t="str">
        <f ca="1">IFERROR(__xludf.DUMMYFUNCTION("""COMPUTED_VALUE"""),"https://www.nbcphiladelphia.com/news/local/north-philly-school-locked-down-after-gun-fired-in-bathroom/3561927/
https://whyy.org/articles/gun-fired-rhodes-elementary-school-north-philadelphia/")</f>
        <v>https://www.nbcphiladelphia.com/news/local/north-philly-school-locked-down-after-gun-fired-in-bathroom/3561927/
https://whyy.org/articles/gun-fired-rhodes-elementary-school-north-philadelphia/</v>
      </c>
      <c r="L724" s="8">
        <f ca="1">IFERROR(__xludf.DUMMYFUNCTION("""COMPUTED_VALUE"""),10)</f>
        <v>10</v>
      </c>
      <c r="M724" s="8" t="str">
        <f ca="1">IFERROR(__xludf.DUMMYFUNCTION("""COMPUTED_VALUE"""),"Regional")</f>
        <v>Regional</v>
      </c>
      <c r="N724" s="8">
        <f ca="1">IFERROR(__xludf.DUMMYFUNCTION("""COMPUTED_VALUE"""),4)</f>
        <v>4</v>
      </c>
      <c r="O724" s="8" t="str">
        <f ca="1">IFERROR(__xludf.DUMMYFUNCTION("""COMPUTED_VALUE"""),"Spring")</f>
        <v>Spring</v>
      </c>
      <c r="P724" s="8" t="str">
        <f ca="1">IFERROR(__xludf.DUMMYFUNCTION("""COMPUTED_VALUE"""),"Philadelphia")</f>
        <v>Philadelphia</v>
      </c>
      <c r="Q724" s="8" t="str">
        <f ca="1">IFERROR(__xludf.DUMMYFUNCTION("""COMPUTED_VALUE"""),"PA")</f>
        <v>PA</v>
      </c>
      <c r="R724" s="8" t="str">
        <f ca="1">IFERROR(__xludf.DUMMYFUNCTION("""COMPUTED_VALUE"""),"K-8")</f>
        <v>K-8</v>
      </c>
      <c r="S724" s="8" t="str">
        <f ca="1">IFERROR(__xludf.DUMMYFUNCTION("""COMPUTED_VALUE"""),"Bathroom")</f>
        <v>Bathroom</v>
      </c>
      <c r="T724" s="8" t="str">
        <f ca="1">IFERROR(__xludf.DUMMYFUNCTION("""COMPUTED_VALUE"""),"Inside School Building")</f>
        <v>Inside School Building</v>
      </c>
      <c r="U724" s="8" t="str">
        <f ca="1">IFERROR(__xludf.DUMMYFUNCTION("""COMPUTED_VALUE"""),"Yes")</f>
        <v>Yes</v>
      </c>
      <c r="V724" s="8" t="str">
        <f ca="1">IFERROR(__xludf.DUMMYFUNCTION("""COMPUTED_VALUE"""),"Morning Classes")</f>
        <v>Morning Classes</v>
      </c>
      <c r="W724" s="11">
        <f ca="1">IFERROR(__xludf.DUMMYFUNCTION("""COMPUTED_VALUE"""),0.46875)</f>
        <v>0.46875</v>
      </c>
      <c r="X724" s="8">
        <f ca="1">IFERROR(__xludf.DUMMYFUNCTION("""COMPUTED_VALUE"""),1)</f>
        <v>1</v>
      </c>
      <c r="Y724" s="12" t="str">
        <f ca="1">IFERROR(__xludf.DUMMYFUNCTION("""COMPUTED_VALUE"""),"Gun fired in bathroom, school went on lockdown")</f>
        <v>Gun fired in bathroom, school went on lockdown</v>
      </c>
      <c r="Z724" s="12" t="str">
        <f ca="1">IFERROR(__xludf.DUMMYFUNCTION("""COMPUTED_VALUE"""),"The Chief of School Safety, Kevin Bethel, said a 7th grader fired the gun in the second-floor bathroom. No one was hit by the gunfire, and the child ran from the school after the gun went off. Bethel said he wasn't sure if it was accidentally fired, or wh"&amp;"y the child brought the gun. He said they know who the child is and have talked to his parents. Police have not said if the child has been arrested. Parents gathered outside the school to get their kids after the building was swept by police and the lockd"&amp;"own lifted.")</f>
        <v>The Chief of School Safety, Kevin Bethel, said a 7th grader fired the gun in the second-floor bathroom. No one was hit by the gunfire, and the child ran from the school after the gun went off. Bethel said he wasn't sure if it was accidentally fired, or why the child brought the gun. He said they know who the child is and have talked to his parents. Police have not said if the child has been arrested. Parents gathered outside the school to get their kids after the building was swept by police and the lockdown lifted.</v>
      </c>
      <c r="AA724" s="8" t="str">
        <f ca="1">IFERROR(__xludf.DUMMYFUNCTION("""COMPUTED_VALUE"""),"Accidental")</f>
        <v>Accidental</v>
      </c>
      <c r="AB724" s="8"/>
      <c r="AC724" s="8" t="str">
        <f ca="1">IFERROR(__xludf.DUMMYFUNCTION("""COMPUTED_VALUE"""),"Yes")</f>
        <v>Yes</v>
      </c>
      <c r="AD724" s="8" t="str">
        <f ca="1">IFERROR(__xludf.DUMMYFUNCTION("""COMPUTED_VALUE"""),"Neither")</f>
        <v>Neither</v>
      </c>
      <c r="AE724" s="8" t="str">
        <f ca="1">IFERROR(__xludf.DUMMYFUNCTION("""COMPUTED_VALUE"""),"No")</f>
        <v>No</v>
      </c>
      <c r="AF724" s="8"/>
      <c r="AG724" s="8" t="str">
        <f ca="1">IFERROR(__xludf.DUMMYFUNCTION("""COMPUTED_VALUE"""),"No")</f>
        <v>No</v>
      </c>
      <c r="AH724" s="8" t="str">
        <f ca="1">IFERROR(__xludf.DUMMYFUNCTION("""COMPUTED_VALUE"""),"No")</f>
        <v>No</v>
      </c>
      <c r="AI724" s="8" t="str">
        <f ca="1">IFERROR(__xludf.DUMMYFUNCTION("""COMPUTED_VALUE"""),"No")</f>
        <v>No</v>
      </c>
      <c r="AJ724" s="8" t="str">
        <f ca="1">IFERROR(__xludf.DUMMYFUNCTION("""COMPUTED_VALUE"""),"No")</f>
        <v>No</v>
      </c>
      <c r="AK724" s="8" t="str">
        <f ca="1">IFERROR(__xludf.DUMMYFUNCTION("""COMPUTED_VALUE"""),"No")</f>
        <v>No</v>
      </c>
      <c r="AL724" s="8" t="str">
        <f ca="1">IFERROR(__xludf.DUMMYFUNCTION("""COMPUTED_VALUE"""),"No")</f>
        <v>No</v>
      </c>
      <c r="AM724" s="8" t="str">
        <f ca="1">IFERROR(__xludf.DUMMYFUNCTION("""COMPUTED_VALUE"""),"No")</f>
        <v>No</v>
      </c>
      <c r="AN724" s="8" t="str">
        <f ca="1">IFERROR(__xludf.DUMMYFUNCTION("""COMPUTED_VALUE"""),"Single Room")</f>
        <v>Single Room</v>
      </c>
      <c r="AO724" s="8" t="str">
        <f ca="1">IFERROR(__xludf.DUMMYFUNCTION("""COMPUTED_VALUE"""),"No")</f>
        <v>No</v>
      </c>
      <c r="AP724" s="8"/>
      <c r="AQ724" s="8"/>
      <c r="AR724" s="8" t="str">
        <f ca="1">IFERROR(__xludf.DUMMYFUNCTION("""COMPUTED_VALUE"""),"Failed")</f>
        <v>Failed</v>
      </c>
      <c r="AS724" s="8">
        <f ca="1">IFERROR(__xludf.DUMMYFUNCTION("""COMPUTED_VALUE"""),1)</f>
        <v>1</v>
      </c>
      <c r="AT724" s="8" t="str">
        <f ca="1">IFERROR(__xludf.DUMMYFUNCTION("""COMPUTED_VALUE"""),"Yes")</f>
        <v>Yes</v>
      </c>
      <c r="AU724" s="8">
        <f ca="1">IFERROR(__xludf.DUMMYFUNCTION("""COMPUTED_VALUE"""),40.00311)</f>
        <v>40.00311</v>
      </c>
      <c r="AV724" s="8">
        <f ca="1">IFERROR(__xludf.DUMMYFUNCTION("""COMPUTED_VALUE"""),-75.177545)</f>
        <v>-75.177544999999995</v>
      </c>
      <c r="AW724" s="8"/>
      <c r="AX724" s="8">
        <f ca="1">IFERROR(__xludf.DUMMYFUNCTION("""COMPUTED_VALUE"""),19129)</f>
        <v>19129</v>
      </c>
    </row>
    <row r="725" spans="1:50" ht="150" x14ac:dyDescent="0.2">
      <c r="A725" s="8" t="str">
        <f ca="1">IFERROR(__xludf.DUMMYFUNCTION("""COMPUTED_VALUE"""),"20230508NVVOL")</f>
        <v>20230508NVVOL</v>
      </c>
      <c r="B725" s="8">
        <f ca="1">IFERROR(__xludf.DUMMYFUNCTION("""COMPUTED_VALUE"""),5)</f>
        <v>5</v>
      </c>
      <c r="C725" s="8">
        <f ca="1">IFERROR(__xludf.DUMMYFUNCTION("""COMPUTED_VALUE"""),8)</f>
        <v>8</v>
      </c>
      <c r="D725" s="8">
        <f ca="1">IFERROR(__xludf.DUMMYFUNCTION("""COMPUTED_VALUE"""),2023)</f>
        <v>2023</v>
      </c>
      <c r="E725" s="9">
        <f ca="1">IFERROR(__xludf.DUMMYFUNCTION("""COMPUTED_VALUE"""),45054)</f>
        <v>45054</v>
      </c>
      <c r="F725" s="8" t="str">
        <f ca="1">IFERROR(__xludf.DUMMYFUNCTION("""COMPUTED_VALUE"""),"Von Tobel Middle School")</f>
        <v>Von Tobel Middle School</v>
      </c>
      <c r="G725" s="8">
        <f ca="1">IFERROR(__xludf.DUMMYFUNCTION("""COMPUTED_VALUE"""),0)</f>
        <v>0</v>
      </c>
      <c r="H725" s="8">
        <f ca="1">IFERROR(__xludf.DUMMYFUNCTION("""COMPUTED_VALUE"""),1)</f>
        <v>1</v>
      </c>
      <c r="I725" s="8">
        <f ca="1">IFERROR(__xludf.DUMMYFUNCTION("""COMPUTED_VALUE"""),1)</f>
        <v>1</v>
      </c>
      <c r="J725" s="8">
        <f ca="1">IFERROR(__xludf.DUMMYFUNCTION("""COMPUTED_VALUE"""),0)</f>
        <v>0</v>
      </c>
      <c r="K725" s="10" t="str">
        <f ca="1">IFERROR(__xludf.DUMMYFUNCTION("""COMPUTED_VALUE"""),"https://www.ktnv.com/news/brother-of-ccsd-security-monitor-shooting-suspect-now-facing-felony-conspiracy-charges
https://www.fox5vegas.com/video/2023/05/09/suspect-arrested-stray-bullet-shooting-las-vegas-middle-school/
https://www.reviewjournal.com/crime"&amp;"/shootings/security-monitor-shot-at-las-vegas-middle-school-2774188/
https://www.ktnv.com/news/las-vegas-police-responding-to-shooting-at-ed-von-tobel-middle-school")</f>
        <v>https://www.ktnv.com/news/brother-of-ccsd-security-monitor-shooting-suspect-now-facing-felony-conspiracy-charges
https://www.fox5vegas.com/video/2023/05/09/suspect-arrested-stray-bullet-shooting-las-vegas-middle-school/
https://www.reviewjournal.com/crime/shootings/security-monitor-shot-at-las-vegas-middle-school-2774188/
https://www.ktnv.com/news/las-vegas-police-responding-to-shooting-at-ed-von-tobel-middle-school</v>
      </c>
      <c r="L725" s="8">
        <f ca="1">IFERROR(__xludf.DUMMYFUNCTION("""COMPUTED_VALUE"""),30)</f>
        <v>30</v>
      </c>
      <c r="M725" s="8" t="str">
        <f ca="1">IFERROR(__xludf.DUMMYFUNCTION("""COMPUTED_VALUE"""),"National")</f>
        <v>National</v>
      </c>
      <c r="N725" s="8">
        <f ca="1">IFERROR(__xludf.DUMMYFUNCTION("""COMPUTED_VALUE"""),4)</f>
        <v>4</v>
      </c>
      <c r="O725" s="8" t="str">
        <f ca="1">IFERROR(__xludf.DUMMYFUNCTION("""COMPUTED_VALUE"""),"Spring")</f>
        <v>Spring</v>
      </c>
      <c r="P725" s="8" t="str">
        <f ca="1">IFERROR(__xludf.DUMMYFUNCTION("""COMPUTED_VALUE"""),"Las Vegas")</f>
        <v>Las Vegas</v>
      </c>
      <c r="Q725" s="8" t="str">
        <f ca="1">IFERROR(__xludf.DUMMYFUNCTION("""COMPUTED_VALUE"""),"NV")</f>
        <v>NV</v>
      </c>
      <c r="R725" s="8" t="str">
        <f ca="1">IFERROR(__xludf.DUMMYFUNCTION("""COMPUTED_VALUE"""),"Middle")</f>
        <v>Middle</v>
      </c>
      <c r="S725" s="8" t="str">
        <f ca="1">IFERROR(__xludf.DUMMYFUNCTION("""COMPUTED_VALUE"""),"Beside Building")</f>
        <v>Beside Building</v>
      </c>
      <c r="T725" s="8" t="str">
        <f ca="1">IFERROR(__xludf.DUMMYFUNCTION("""COMPUTED_VALUE"""),"Outside on School Property")</f>
        <v>Outside on School Property</v>
      </c>
      <c r="U725" s="8" t="str">
        <f ca="1">IFERROR(__xludf.DUMMYFUNCTION("""COMPUTED_VALUE"""),"Yes")</f>
        <v>Yes</v>
      </c>
      <c r="V725" s="8" t="str">
        <f ca="1">IFERROR(__xludf.DUMMYFUNCTION("""COMPUTED_VALUE"""),"Afternoon Classes")</f>
        <v>Afternoon Classes</v>
      </c>
      <c r="W725" s="11">
        <f ca="1">IFERROR(__xludf.DUMMYFUNCTION("""COMPUTED_VALUE"""),0.526388888888888)</f>
        <v>0.52638888888888802</v>
      </c>
      <c r="X725" s="8">
        <f ca="1">IFERROR(__xludf.DUMMYFUNCTION("""COMPUTED_VALUE"""),1)</f>
        <v>1</v>
      </c>
      <c r="Y725" s="12" t="str">
        <f ca="1">IFERROR(__xludf.DUMMYFUNCTION("""COMPUTED_VALUE"""),"Adult campus monitor shot outside of school, students inside a classroom heard shots and witnessed shooting")</f>
        <v>Adult campus monitor shot outside of school, students inside a classroom heard shots and witnessed shooting</v>
      </c>
      <c r="Z725" s="12" t="str">
        <f ca="1">IFERROR(__xludf.DUMMYFUNCTION("""COMPUTED_VALUE"""),"According to initial reports, LVMPD received word of the shooting around 12:38 p.m., and police believe there is no ""active threat."" One adult man, who worked for CCSD, was ""struck by gunfire"" and immediately transported to UMC where he is now in stab"&amp;"le condition. The Education Support Employees Association said that the adult man who was shot was a CCSD campus security monitor. School locked down for 1 hour, police searched the building, and the school dismissed. Shot was fired from 4 blocks away. 18"&amp;"-year-old male was arrested the following day.")</f>
        <v>According to initial reports, LVMPD received word of the shooting around 12:38 p.m., and police believe there is no "active threat." One adult man, who worked for CCSD, was "struck by gunfire" and immediately transported to UMC where he is now in stable condition. The Education Support Employees Association said that the adult man who was shot was a CCSD campus security monitor. School locked down for 1 hour, police searched the building, and the school dismissed. Shot was fired from 4 blocks away. 18-year-old male was arrested the following day.</v>
      </c>
      <c r="AA725" s="8" t="str">
        <f ca="1">IFERROR(__xludf.DUMMYFUNCTION("""COMPUTED_VALUE"""),"Escalation of Dispute")</f>
        <v>Escalation of Dispute</v>
      </c>
      <c r="AB725" s="8"/>
      <c r="AC725" s="8" t="str">
        <f ca="1">IFERROR(__xludf.DUMMYFUNCTION("""COMPUTED_VALUE"""),"Yes")</f>
        <v>Yes</v>
      </c>
      <c r="AD725" s="8" t="str">
        <f ca="1">IFERROR(__xludf.DUMMYFUNCTION("""COMPUTED_VALUE"""),"Both")</f>
        <v>Both</v>
      </c>
      <c r="AE725" s="8" t="str">
        <f ca="1">IFERROR(__xludf.DUMMYFUNCTION("""COMPUTED_VALUE"""),"Yes")</f>
        <v>Yes</v>
      </c>
      <c r="AF725" s="8" t="str">
        <f ca="1">IFERROR(__xludf.DUMMYFUNCTION("""COMPUTED_VALUE"""),"Brother charged with conspiracy")</f>
        <v>Brother charged with conspiracy</v>
      </c>
      <c r="AG725" s="8" t="str">
        <f ca="1">IFERROR(__xludf.DUMMYFUNCTION("""COMPUTED_VALUE"""),"No")</f>
        <v>No</v>
      </c>
      <c r="AH725" s="8" t="str">
        <f ca="1">IFERROR(__xludf.DUMMYFUNCTION("""COMPUTED_VALUE"""),"No")</f>
        <v>No</v>
      </c>
      <c r="AI725" s="8" t="str">
        <f ca="1">IFERROR(__xludf.DUMMYFUNCTION("""COMPUTED_VALUE"""),"No")</f>
        <v>No</v>
      </c>
      <c r="AJ725" s="8" t="str">
        <f ca="1">IFERROR(__xludf.DUMMYFUNCTION("""COMPUTED_VALUE"""),"No")</f>
        <v>No</v>
      </c>
      <c r="AK725" s="8" t="str">
        <f ca="1">IFERROR(__xludf.DUMMYFUNCTION("""COMPUTED_VALUE"""),"No")</f>
        <v>No</v>
      </c>
      <c r="AL725" s="8" t="str">
        <f ca="1">IFERROR(__xludf.DUMMYFUNCTION("""COMPUTED_VALUE"""),"Yes")</f>
        <v>Yes</v>
      </c>
      <c r="AM725" s="8" t="str">
        <f ca="1">IFERROR(__xludf.DUMMYFUNCTION("""COMPUTED_VALUE"""),"No")</f>
        <v>No</v>
      </c>
      <c r="AN725" s="8" t="str">
        <f ca="1">IFERROR(__xludf.DUMMYFUNCTION("""COMPUTED_VALUE"""),"Outside")</f>
        <v>Outside</v>
      </c>
      <c r="AO725" s="8" t="str">
        <f ca="1">IFERROR(__xludf.DUMMYFUNCTION("""COMPUTED_VALUE"""),"No")</f>
        <v>No</v>
      </c>
      <c r="AP725" s="8"/>
      <c r="AQ725" s="8"/>
      <c r="AR725" s="8" t="str">
        <f ca="1">IFERROR(__xludf.DUMMYFUNCTION("""COMPUTED_VALUE"""),"Outside/Off-Property")</f>
        <v>Outside/Off-Property</v>
      </c>
      <c r="AS725" s="8">
        <f ca="1">IFERROR(__xludf.DUMMYFUNCTION("""COMPUTED_VALUE"""),4)</f>
        <v>4</v>
      </c>
      <c r="AT725" s="8" t="str">
        <f ca="1">IFERROR(__xludf.DUMMYFUNCTION("""COMPUTED_VALUE"""),"Yes")</f>
        <v>Yes</v>
      </c>
      <c r="AU725" s="8">
        <f ca="1">IFERROR(__xludf.DUMMYFUNCTION("""COMPUTED_VALUE"""),36.203757)</f>
        <v>36.203757000000003</v>
      </c>
      <c r="AV725" s="8">
        <f ca="1">IFERROR(__xludf.DUMMYFUNCTION("""COMPUTED_VALUE"""),-115.097844)</f>
        <v>-115.09784399999999</v>
      </c>
      <c r="AW725" s="8"/>
      <c r="AX725" s="8">
        <f ca="1">IFERROR(__xludf.DUMMYFUNCTION("""COMPUTED_VALUE"""),89030)</f>
        <v>89030</v>
      </c>
    </row>
    <row r="726" spans="1:50" ht="105" x14ac:dyDescent="0.2">
      <c r="A726" s="8" t="str">
        <f ca="1">IFERROR(__xludf.DUMMYFUNCTION("""COMPUTED_VALUE"""),"20230506SCCOL")</f>
        <v>20230506SCCOL</v>
      </c>
      <c r="B726" s="8">
        <f ca="1">IFERROR(__xludf.DUMMYFUNCTION("""COMPUTED_VALUE"""),5)</f>
        <v>5</v>
      </c>
      <c r="C726" s="8">
        <f ca="1">IFERROR(__xludf.DUMMYFUNCTION("""COMPUTED_VALUE"""),6)</f>
        <v>6</v>
      </c>
      <c r="D726" s="8">
        <f ca="1">IFERROR(__xludf.DUMMYFUNCTION("""COMPUTED_VALUE"""),2023)</f>
        <v>2023</v>
      </c>
      <c r="E726" s="9">
        <f ca="1">IFERROR(__xludf.DUMMYFUNCTION("""COMPUTED_VALUE"""),45052)</f>
        <v>45052</v>
      </c>
      <c r="F726" s="8" t="str">
        <f ca="1">IFERROR(__xludf.DUMMYFUNCTION("""COMPUTED_VALUE"""),"College Park Middle School")</f>
        <v>College Park Middle School</v>
      </c>
      <c r="G726" s="8">
        <f ca="1">IFERROR(__xludf.DUMMYFUNCTION("""COMPUTED_VALUE"""),0)</f>
        <v>0</v>
      </c>
      <c r="H726" s="8">
        <f ca="1">IFERROR(__xludf.DUMMYFUNCTION("""COMPUTED_VALUE"""),1)</f>
        <v>1</v>
      </c>
      <c r="I726" s="8">
        <f ca="1">IFERROR(__xludf.DUMMYFUNCTION("""COMPUTED_VALUE"""),1)</f>
        <v>1</v>
      </c>
      <c r="J726" s="8">
        <f ca="1">IFERROR(__xludf.DUMMYFUNCTION("""COMPUTED_VALUE"""),0)</f>
        <v>0</v>
      </c>
      <c r="K726" s="8" t="str">
        <f ca="1">IFERROR(__xludf.DUMMYFUNCTION("""COMPUTED_VALUE"""),"https://www.live5news.com/2023/05/08/teenager-facing-charges-after-accidental-shooting-berkeley-co/
https://abcnews4.com/news/local/juvenile-injured-saturday-in-accidental-shooting-near-middle-school-in-ladson-berkeley-county-sheriffs-office-college-park-"&amp;"middle-school-wciv-abc-news-4")</f>
        <v>https://www.live5news.com/2023/05/08/teenager-facing-charges-after-accidental-shooting-berkeley-co/
https://abcnews4.com/news/local/juvenile-injured-saturday-in-accidental-shooting-near-middle-school-in-ladson-berkeley-county-sheriffs-office-college-park-middle-school-wciv-abc-news-4</v>
      </c>
      <c r="L726" s="8">
        <f ca="1">IFERROR(__xludf.DUMMYFUNCTION("""COMPUTED_VALUE"""),1)</f>
        <v>1</v>
      </c>
      <c r="M726" s="8" t="str">
        <f ca="1">IFERROR(__xludf.DUMMYFUNCTION("""COMPUTED_VALUE"""),"Local")</f>
        <v>Local</v>
      </c>
      <c r="N726" s="8">
        <f ca="1">IFERROR(__xludf.DUMMYFUNCTION("""COMPUTED_VALUE"""),4)</f>
        <v>4</v>
      </c>
      <c r="O726" s="8" t="str">
        <f ca="1">IFERROR(__xludf.DUMMYFUNCTION("""COMPUTED_VALUE"""),"Spring")</f>
        <v>Spring</v>
      </c>
      <c r="P726" s="8" t="str">
        <f ca="1">IFERROR(__xludf.DUMMYFUNCTION("""COMPUTED_VALUE"""),"Ladson")</f>
        <v>Ladson</v>
      </c>
      <c r="Q726" s="8" t="str">
        <f ca="1">IFERROR(__xludf.DUMMYFUNCTION("""COMPUTED_VALUE"""),"SC")</f>
        <v>SC</v>
      </c>
      <c r="R726" s="8" t="str">
        <f ca="1">IFERROR(__xludf.DUMMYFUNCTION("""COMPUTED_VALUE"""),"Middle")</f>
        <v>Middle</v>
      </c>
      <c r="S726" s="8" t="str">
        <f ca="1">IFERROR(__xludf.DUMMYFUNCTION("""COMPUTED_VALUE"""),"Outside on School Property")</f>
        <v>Outside on School Property</v>
      </c>
      <c r="T726" s="8" t="str">
        <f ca="1">IFERROR(__xludf.DUMMYFUNCTION("""COMPUTED_VALUE"""),"Outside on School Property")</f>
        <v>Outside on School Property</v>
      </c>
      <c r="U726" s="8" t="str">
        <f ca="1">IFERROR(__xludf.DUMMYFUNCTION("""COMPUTED_VALUE"""),"No")</f>
        <v>No</v>
      </c>
      <c r="V726" s="8" t="str">
        <f ca="1">IFERROR(__xludf.DUMMYFUNCTION("""COMPUTED_VALUE"""),"Not a School Day")</f>
        <v>Not a School Day</v>
      </c>
      <c r="W726" s="11">
        <f ca="1">IFERROR(__xludf.DUMMYFUNCTION("""COMPUTED_VALUE"""),0.625)</f>
        <v>0.625</v>
      </c>
      <c r="X726" s="8">
        <f ca="1">IFERROR(__xludf.DUMMYFUNCTION("""COMPUTED_VALUE"""),1)</f>
        <v>1</v>
      </c>
      <c r="Y726" s="12" t="str">
        <f ca="1">IFERROR(__xludf.DUMMYFUNCTION("""COMPUTED_VALUE"""),"Juvenile shot at the school")</f>
        <v>Juvenile shot at the school</v>
      </c>
      <c r="Z726" s="12" t="str">
        <f ca="1">IFERROR(__xludf.DUMMYFUNCTION("""COMPUTED_VALUE"""),"Deputies said they responded to College Park Middle School Saturday afternoon for report of a shooting. Preliminary investigations revealed it was accidental, deputies said. The victim was transported to an area hospital. Deputies did not say the extent o"&amp;"f their injuries.
")</f>
        <v xml:space="preserve">Deputies said they responded to College Park Middle School Saturday afternoon for report of a shooting. Preliminary investigations revealed it was accidental, deputies said. The victim was transported to an area hospital. Deputies did not say the extent of their injuries.
</v>
      </c>
      <c r="AA726" s="8" t="str">
        <f ca="1">IFERROR(__xludf.DUMMYFUNCTION("""COMPUTED_VALUE"""),"Accidental")</f>
        <v>Accidental</v>
      </c>
      <c r="AB726" s="8"/>
      <c r="AC726" s="8"/>
      <c r="AD726" s="8"/>
      <c r="AE726" s="8"/>
      <c r="AF726" s="8"/>
      <c r="AG726" s="8" t="str">
        <f ca="1">IFERROR(__xludf.DUMMYFUNCTION("""COMPUTED_VALUE"""),"No")</f>
        <v>No</v>
      </c>
      <c r="AH726" s="8" t="str">
        <f ca="1">IFERROR(__xludf.DUMMYFUNCTION("""COMPUTED_VALUE"""),"No")</f>
        <v>No</v>
      </c>
      <c r="AI726" s="8" t="str">
        <f ca="1">IFERROR(__xludf.DUMMYFUNCTION("""COMPUTED_VALUE"""),"No")</f>
        <v>No</v>
      </c>
      <c r="AJ726" s="8" t="str">
        <f ca="1">IFERROR(__xludf.DUMMYFUNCTION("""COMPUTED_VALUE"""),"No")</f>
        <v>No</v>
      </c>
      <c r="AK726" s="8" t="str">
        <f ca="1">IFERROR(__xludf.DUMMYFUNCTION("""COMPUTED_VALUE"""),"No")</f>
        <v>No</v>
      </c>
      <c r="AL726" s="8" t="str">
        <f ca="1">IFERROR(__xludf.DUMMYFUNCTION("""COMPUTED_VALUE"""),"No")</f>
        <v>No</v>
      </c>
      <c r="AM726" s="8" t="str">
        <f ca="1">IFERROR(__xludf.DUMMYFUNCTION("""COMPUTED_VALUE"""),"No")</f>
        <v>No</v>
      </c>
      <c r="AN726" s="8" t="str">
        <f ca="1">IFERROR(__xludf.DUMMYFUNCTION("""COMPUTED_VALUE"""),"Outside")</f>
        <v>Outside</v>
      </c>
      <c r="AO726" s="8" t="str">
        <f ca="1">IFERROR(__xludf.DUMMYFUNCTION("""COMPUTED_VALUE"""),"No")</f>
        <v>No</v>
      </c>
      <c r="AP726" s="8"/>
      <c r="AQ726" s="8"/>
      <c r="AR726" s="8" t="str">
        <f ca="1">IFERROR(__xludf.DUMMYFUNCTION("""COMPUTED_VALUE"""),"Outside/Off-Property")</f>
        <v>Outside/Off-Property</v>
      </c>
      <c r="AS726" s="8">
        <f ca="1">IFERROR(__xludf.DUMMYFUNCTION("""COMPUTED_VALUE"""),1)</f>
        <v>1</v>
      </c>
      <c r="AT726" s="8"/>
      <c r="AU726" s="8">
        <f ca="1">IFERROR(__xludf.DUMMYFUNCTION("""COMPUTED_VALUE"""),33.018579)</f>
        <v>33.018579000000003</v>
      </c>
      <c r="AV726" s="8">
        <f ca="1">IFERROR(__xludf.DUMMYFUNCTION("""COMPUTED_VALUE"""),-80.091102)</f>
        <v>-80.091102000000006</v>
      </c>
      <c r="AW726" s="8"/>
      <c r="AX726" s="8">
        <f ca="1">IFERROR(__xludf.DUMMYFUNCTION("""COMPUTED_VALUE"""),29456)</f>
        <v>29456</v>
      </c>
    </row>
    <row r="727" spans="1:50" ht="75" x14ac:dyDescent="0.2">
      <c r="A727" s="8" t="str">
        <f ca="1">IFERROR(__xludf.DUMMYFUNCTION("""COMPUTED_VALUE"""),"20230505INLIE")</f>
        <v>20230505INLIE</v>
      </c>
      <c r="B727" s="8">
        <f ca="1">IFERROR(__xludf.DUMMYFUNCTION("""COMPUTED_VALUE"""),5)</f>
        <v>5</v>
      </c>
      <c r="C727" s="8">
        <f ca="1">IFERROR(__xludf.DUMMYFUNCTION("""COMPUTED_VALUE"""),5)</f>
        <v>5</v>
      </c>
      <c r="D727" s="8">
        <f ca="1">IFERROR(__xludf.DUMMYFUNCTION("""COMPUTED_VALUE"""),2023)</f>
        <v>2023</v>
      </c>
      <c r="E727" s="9">
        <f ca="1">IFERROR(__xludf.DUMMYFUNCTION("""COMPUTED_VALUE"""),45051)</f>
        <v>45051</v>
      </c>
      <c r="F727" s="8" t="str">
        <f ca="1">IFERROR(__xludf.DUMMYFUNCTION("""COMPUTED_VALUE"""),"Lincoln School")</f>
        <v>Lincoln School</v>
      </c>
      <c r="G727" s="8">
        <f ca="1">IFERROR(__xludf.DUMMYFUNCTION("""COMPUTED_VALUE"""),0)</f>
        <v>0</v>
      </c>
      <c r="H727" s="8">
        <f ca="1">IFERROR(__xludf.DUMMYFUNCTION("""COMPUTED_VALUE"""),1)</f>
        <v>1</v>
      </c>
      <c r="I727" s="8">
        <f ca="1">IFERROR(__xludf.DUMMYFUNCTION("""COMPUTED_VALUE"""),1)</f>
        <v>1</v>
      </c>
      <c r="J727" s="8">
        <f ca="1">IFERROR(__xludf.DUMMYFUNCTION("""COMPUTED_VALUE"""),0)</f>
        <v>0</v>
      </c>
      <c r="K727" s="10" t="str">
        <f ca="1">IFERROR(__xludf.DUMMYFUNCTION("""COMPUTED_VALUE"""),"https://www.14news.com/2023/05/05/epd-investigating-early-friday-shooting-near-lincoln-school/")</f>
        <v>https://www.14news.com/2023/05/05/epd-investigating-early-friday-shooting-near-lincoln-school/</v>
      </c>
      <c r="L727" s="8">
        <f ca="1">IFERROR(__xludf.DUMMYFUNCTION("""COMPUTED_VALUE"""),1)</f>
        <v>1</v>
      </c>
      <c r="M727" s="8" t="str">
        <f ca="1">IFERROR(__xludf.DUMMYFUNCTION("""COMPUTED_VALUE"""),"Local")</f>
        <v>Local</v>
      </c>
      <c r="N727" s="8">
        <f ca="1">IFERROR(__xludf.DUMMYFUNCTION("""COMPUTED_VALUE"""),4)</f>
        <v>4</v>
      </c>
      <c r="O727" s="8" t="str">
        <f ca="1">IFERROR(__xludf.DUMMYFUNCTION("""COMPUTED_VALUE"""),"Spring")</f>
        <v>Spring</v>
      </c>
      <c r="P727" s="8" t="str">
        <f ca="1">IFERROR(__xludf.DUMMYFUNCTION("""COMPUTED_VALUE"""),"Evansville")</f>
        <v>Evansville</v>
      </c>
      <c r="Q727" s="8" t="str">
        <f ca="1">IFERROR(__xludf.DUMMYFUNCTION("""COMPUTED_VALUE"""),"IN")</f>
        <v>IN</v>
      </c>
      <c r="R727" s="8" t="str">
        <f ca="1">IFERROR(__xludf.DUMMYFUNCTION("""COMPUTED_VALUE"""),"K-8")</f>
        <v>K-8</v>
      </c>
      <c r="S727" s="8" t="str">
        <f ca="1">IFERROR(__xludf.DUMMYFUNCTION("""COMPUTED_VALUE"""),"Beside Building")</f>
        <v>Beside Building</v>
      </c>
      <c r="T727" s="8" t="str">
        <f ca="1">IFERROR(__xludf.DUMMYFUNCTION("""COMPUTED_VALUE"""),"Outside on School Property")</f>
        <v>Outside on School Property</v>
      </c>
      <c r="U727" s="8" t="str">
        <f ca="1">IFERROR(__xludf.DUMMYFUNCTION("""COMPUTED_VALUE"""),"No")</f>
        <v>No</v>
      </c>
      <c r="V727" s="8" t="str">
        <f ca="1">IFERROR(__xludf.DUMMYFUNCTION("""COMPUTED_VALUE"""),"Night")</f>
        <v>Night</v>
      </c>
      <c r="W727" s="11">
        <f ca="1">IFERROR(__xludf.DUMMYFUNCTION("""COMPUTED_VALUE"""),0.125)</f>
        <v>0.125</v>
      </c>
      <c r="X727" s="8">
        <f ca="1">IFERROR(__xludf.DUMMYFUNCTION("""COMPUTED_VALUE"""),1)</f>
        <v>1</v>
      </c>
      <c r="Y727" s="12" t="str">
        <f ca="1">IFERROR(__xludf.DUMMYFUNCTION("""COMPUTED_VALUE"""),"Man shot by two juveniles next to school building")</f>
        <v>Man shot by two juveniles next to school building</v>
      </c>
      <c r="Z727" s="12" t="str">
        <f ca="1">IFERROR(__xludf.DUMMYFUNCTION("""COMPUTED_VALUE"""),"Police now say the victim was walking near the school when the victim said a young male and female came up and shot him. Officials say the victim thinks the male was a juvenile. Authorities say the victim didn’t want to press charges, so police say they w"&amp;"eren’t able to get much from the victim.")</f>
        <v>Police now say the victim was walking near the school when the victim said a young male and female came up and shot him. Officials say the victim thinks the male was a juvenile. Authorities say the victim didn’t want to press charges, so police say they weren’t able to get much from the victim.</v>
      </c>
      <c r="AA727" s="8"/>
      <c r="AB727" s="8"/>
      <c r="AC727" s="8" t="str">
        <f ca="1">IFERROR(__xludf.DUMMYFUNCTION("""COMPUTED_VALUE"""),"No")</f>
        <v>No</v>
      </c>
      <c r="AD727" s="8" t="str">
        <f ca="1">IFERROR(__xludf.DUMMYFUNCTION("""COMPUTED_VALUE"""),"Victims Targeted")</f>
        <v>Victims Targeted</v>
      </c>
      <c r="AE727" s="8"/>
      <c r="AF727" s="8"/>
      <c r="AG727" s="8" t="str">
        <f ca="1">IFERROR(__xludf.DUMMYFUNCTION("""COMPUTED_VALUE"""),"No")</f>
        <v>No</v>
      </c>
      <c r="AH727" s="8" t="str">
        <f ca="1">IFERROR(__xludf.DUMMYFUNCTION("""COMPUTED_VALUE"""),"No")</f>
        <v>No</v>
      </c>
      <c r="AI727" s="8" t="str">
        <f ca="1">IFERROR(__xludf.DUMMYFUNCTION("""COMPUTED_VALUE"""),"No")</f>
        <v>No</v>
      </c>
      <c r="AJ727" s="8" t="str">
        <f ca="1">IFERROR(__xludf.DUMMYFUNCTION("""COMPUTED_VALUE"""),"No")</f>
        <v>No</v>
      </c>
      <c r="AK727" s="8" t="str">
        <f ca="1">IFERROR(__xludf.DUMMYFUNCTION("""COMPUTED_VALUE"""),"No")</f>
        <v>No</v>
      </c>
      <c r="AL727" s="8" t="str">
        <f ca="1">IFERROR(__xludf.DUMMYFUNCTION("""COMPUTED_VALUE"""),"No")</f>
        <v>No</v>
      </c>
      <c r="AM727" s="8" t="str">
        <f ca="1">IFERROR(__xludf.DUMMYFUNCTION("""COMPUTED_VALUE"""),"No")</f>
        <v>No</v>
      </c>
      <c r="AN727" s="8" t="str">
        <f ca="1">IFERROR(__xludf.DUMMYFUNCTION("""COMPUTED_VALUE"""),"Outside")</f>
        <v>Outside</v>
      </c>
      <c r="AO727" s="8" t="str">
        <f ca="1">IFERROR(__xludf.DUMMYFUNCTION("""COMPUTED_VALUE"""),"No")</f>
        <v>No</v>
      </c>
      <c r="AP727" s="8"/>
      <c r="AQ727" s="8"/>
      <c r="AR727" s="8" t="str">
        <f ca="1">IFERROR(__xludf.DUMMYFUNCTION("""COMPUTED_VALUE"""),"Outside/Off-Property")</f>
        <v>Outside/Off-Property</v>
      </c>
      <c r="AS727" s="8">
        <f ca="1">IFERROR(__xludf.DUMMYFUNCTION("""COMPUTED_VALUE"""),99)</f>
        <v>99</v>
      </c>
      <c r="AT727" s="8"/>
      <c r="AU727" s="8">
        <f ca="1">IFERROR(__xludf.DUMMYFUNCTION("""COMPUTED_VALUE"""),37.969809)</f>
        <v>37.969808999999998</v>
      </c>
      <c r="AV727" s="8">
        <f ca="1">IFERROR(__xludf.DUMMYFUNCTION("""COMPUTED_VALUE"""),-87.556393)</f>
        <v>-87.556393</v>
      </c>
      <c r="AW727" s="8"/>
      <c r="AX727" s="8">
        <f ca="1">IFERROR(__xludf.DUMMYFUNCTION("""COMPUTED_VALUE"""),47713)</f>
        <v>47713</v>
      </c>
    </row>
    <row r="728" spans="1:50" ht="45" x14ac:dyDescent="0.2">
      <c r="A728" s="8" t="str">
        <f ca="1">IFERROR(__xludf.DUMMYFUNCTION("""COMPUTED_VALUE"""),"20230503NCJOE")</f>
        <v>20230503NCJOE</v>
      </c>
      <c r="B728" s="8">
        <f ca="1">IFERROR(__xludf.DUMMYFUNCTION("""COMPUTED_VALUE"""),5)</f>
        <v>5</v>
      </c>
      <c r="C728" s="8">
        <f ca="1">IFERROR(__xludf.DUMMYFUNCTION("""COMPUTED_VALUE"""),3)</f>
        <v>3</v>
      </c>
      <c r="D728" s="8">
        <f ca="1">IFERROR(__xludf.DUMMYFUNCTION("""COMPUTED_VALUE"""),2023)</f>
        <v>2023</v>
      </c>
      <c r="E728" s="9">
        <f ca="1">IFERROR(__xludf.DUMMYFUNCTION("""COMPUTED_VALUE"""),45049)</f>
        <v>45049</v>
      </c>
      <c r="F728" s="8" t="str">
        <f ca="1">IFERROR(__xludf.DUMMYFUNCTION("""COMPUTED_VALUE"""),"John A. Holmes High School")</f>
        <v>John A. Holmes High School</v>
      </c>
      <c r="G728" s="8">
        <f ca="1">IFERROR(__xludf.DUMMYFUNCTION("""COMPUTED_VALUE"""),0)</f>
        <v>0</v>
      </c>
      <c r="H728" s="8">
        <f ca="1">IFERROR(__xludf.DUMMYFUNCTION("""COMPUTED_VALUE"""),0)</f>
        <v>0</v>
      </c>
      <c r="I728" s="8">
        <f ca="1">IFERROR(__xludf.DUMMYFUNCTION("""COMPUTED_VALUE"""),0)</f>
        <v>0</v>
      </c>
      <c r="J728" s="8">
        <f ca="1">IFERROR(__xludf.DUMMYFUNCTION("""COMPUTED_VALUE"""),0)</f>
        <v>0</v>
      </c>
      <c r="K728" s="10" t="str">
        <f ca="1">IFERROR(__xludf.DUMMYFUNCTION("""COMPUTED_VALUE"""),"https://www.wtkr.com/news/sporting-events-canceled-after-shooting-near-holmes-high-in-edenton-police
https://www.wavy.com/news/north-carolina/police-investigate-shots-fired-near-john-a-holmes-high-school-in-edenton/")</f>
        <v>https://www.wtkr.com/news/sporting-events-canceled-after-shooting-near-holmes-high-in-edenton-police
https://www.wavy.com/news/north-carolina/police-investigate-shots-fired-near-john-a-holmes-high-school-in-edenton/</v>
      </c>
      <c r="L728" s="8">
        <f ca="1">IFERROR(__xludf.DUMMYFUNCTION("""COMPUTED_VALUE"""),2)</f>
        <v>2</v>
      </c>
      <c r="M728" s="8" t="str">
        <f ca="1">IFERROR(__xludf.DUMMYFUNCTION("""COMPUTED_VALUE"""),"Local")</f>
        <v>Local</v>
      </c>
      <c r="N728" s="8">
        <f ca="1">IFERROR(__xludf.DUMMYFUNCTION("""COMPUTED_VALUE"""),4)</f>
        <v>4</v>
      </c>
      <c r="O728" s="8" t="str">
        <f ca="1">IFERROR(__xludf.DUMMYFUNCTION("""COMPUTED_VALUE"""),"Spring")</f>
        <v>Spring</v>
      </c>
      <c r="P728" s="8" t="str">
        <f ca="1">IFERROR(__xludf.DUMMYFUNCTION("""COMPUTED_VALUE"""),"Edenton")</f>
        <v>Edenton</v>
      </c>
      <c r="Q728" s="8" t="str">
        <f ca="1">IFERROR(__xludf.DUMMYFUNCTION("""COMPUTED_VALUE"""),"NC")</f>
        <v>NC</v>
      </c>
      <c r="R728" s="8" t="str">
        <f ca="1">IFERROR(__xludf.DUMMYFUNCTION("""COMPUTED_VALUE"""),"High")</f>
        <v>High</v>
      </c>
      <c r="S728" s="8" t="str">
        <f ca="1">IFERROR(__xludf.DUMMYFUNCTION("""COMPUTED_VALUE"""),"Parking Lot")</f>
        <v>Parking Lot</v>
      </c>
      <c r="T728" s="8" t="str">
        <f ca="1">IFERROR(__xludf.DUMMYFUNCTION("""COMPUTED_VALUE"""),"Outside on School Property")</f>
        <v>Outside on School Property</v>
      </c>
      <c r="U728" s="8" t="str">
        <f ca="1">IFERROR(__xludf.DUMMYFUNCTION("""COMPUTED_VALUE"""),"No")</f>
        <v>No</v>
      </c>
      <c r="V728" s="8" t="str">
        <f ca="1">IFERROR(__xludf.DUMMYFUNCTION("""COMPUTED_VALUE"""),"Sport Event")</f>
        <v>Sport Event</v>
      </c>
      <c r="W728" s="11">
        <f ca="1">IFERROR(__xludf.DUMMYFUNCTION("""COMPUTED_VALUE"""),0.791666666666666)</f>
        <v>0.79166666666666596</v>
      </c>
      <c r="X728" s="8">
        <f ca="1">IFERROR(__xludf.DUMMYFUNCTION("""COMPUTED_VALUE"""),1)</f>
        <v>1</v>
      </c>
      <c r="Y728" s="12" t="str">
        <f ca="1">IFERROR(__xludf.DUMMYFUNCTION("""COMPUTED_VALUE"""),"Shots fired between vehicles next to softball field")</f>
        <v>Shots fired between vehicles next to softball field</v>
      </c>
      <c r="Z728" s="12" t="str">
        <f ca="1">IFERROR(__xludf.DUMMYFUNCTION("""COMPUTED_VALUE"""),"Shots fired between two vehicles parked next to the softball field. School went into lockdown and cancelled games. Vehicles involved fled.")</f>
        <v>Shots fired between two vehicles parked next to the softball field. School went into lockdown and cancelled games. Vehicles involved fled.</v>
      </c>
      <c r="AA728" s="8" t="str">
        <f ca="1">IFERROR(__xludf.DUMMYFUNCTION("""COMPUTED_VALUE"""),"Drive-by Shooting")</f>
        <v>Drive-by Shooting</v>
      </c>
      <c r="AB728" s="8"/>
      <c r="AC728" s="8" t="str">
        <f ca="1">IFERROR(__xludf.DUMMYFUNCTION("""COMPUTED_VALUE"""),"Yes")</f>
        <v>Yes</v>
      </c>
      <c r="AD728" s="8" t="str">
        <f ca="1">IFERROR(__xludf.DUMMYFUNCTION("""COMPUTED_VALUE"""),"Victims Targeted")</f>
        <v>Victims Targeted</v>
      </c>
      <c r="AE728" s="8"/>
      <c r="AF728" s="8"/>
      <c r="AG728" s="8" t="str">
        <f ca="1">IFERROR(__xludf.DUMMYFUNCTION("""COMPUTED_VALUE"""),"No")</f>
        <v>No</v>
      </c>
      <c r="AH728" s="8" t="str">
        <f ca="1">IFERROR(__xludf.DUMMYFUNCTION("""COMPUTED_VALUE"""),"No")</f>
        <v>No</v>
      </c>
      <c r="AI728" s="8" t="str">
        <f ca="1">IFERROR(__xludf.DUMMYFUNCTION("""COMPUTED_VALUE"""),"No")</f>
        <v>No</v>
      </c>
      <c r="AJ728" s="8" t="str">
        <f ca="1">IFERROR(__xludf.DUMMYFUNCTION("""COMPUTED_VALUE"""),"No")</f>
        <v>No</v>
      </c>
      <c r="AK728" s="8" t="str">
        <f ca="1">IFERROR(__xludf.DUMMYFUNCTION("""COMPUTED_VALUE"""),"No")</f>
        <v>No</v>
      </c>
      <c r="AL728" s="8"/>
      <c r="AM728" s="8" t="str">
        <f ca="1">IFERROR(__xludf.DUMMYFUNCTION("""COMPUTED_VALUE"""),"No")</f>
        <v>No</v>
      </c>
      <c r="AN728" s="8" t="str">
        <f ca="1">IFERROR(__xludf.DUMMYFUNCTION("""COMPUTED_VALUE"""),"Outside")</f>
        <v>Outside</v>
      </c>
      <c r="AO728" s="8" t="str">
        <f ca="1">IFERROR(__xludf.DUMMYFUNCTION("""COMPUTED_VALUE"""),"No")</f>
        <v>No</v>
      </c>
      <c r="AP728" s="8"/>
      <c r="AQ728" s="8"/>
      <c r="AR728" s="8" t="str">
        <f ca="1">IFERROR(__xludf.DUMMYFUNCTION("""COMPUTED_VALUE"""),"Outside/Off-Property")</f>
        <v>Outside/Off-Property</v>
      </c>
      <c r="AS728" s="8">
        <f ca="1">IFERROR(__xludf.DUMMYFUNCTION("""COMPUTED_VALUE"""),99)</f>
        <v>99</v>
      </c>
      <c r="AT728" s="8" t="str">
        <f ca="1">IFERROR(__xludf.DUMMYFUNCTION("""COMPUTED_VALUE"""),"Yes")</f>
        <v>Yes</v>
      </c>
      <c r="AU728" s="8">
        <f ca="1">IFERROR(__xludf.DUMMYFUNCTION("""COMPUTED_VALUE"""),36.067481)</f>
        <v>36.067481000000001</v>
      </c>
      <c r="AV728" s="8">
        <f ca="1">IFERROR(__xludf.DUMMYFUNCTION("""COMPUTED_VALUE"""),-76.602945)</f>
        <v>-76.602945000000005</v>
      </c>
      <c r="AW728" s="8"/>
      <c r="AX728" s="8">
        <f ca="1">IFERROR(__xludf.DUMMYFUNCTION("""COMPUTED_VALUE"""),27932)</f>
        <v>27932</v>
      </c>
    </row>
    <row r="729" spans="1:50" ht="75" x14ac:dyDescent="0.2">
      <c r="A729" s="8" t="str">
        <f ca="1">IFERROR(__xludf.DUMMYFUNCTION("""COMPUTED_VALUE"""),"20230502AZRAM")</f>
        <v>20230502AZRAM</v>
      </c>
      <c r="B729" s="8">
        <f ca="1">IFERROR(__xludf.DUMMYFUNCTION("""COMPUTED_VALUE"""),5)</f>
        <v>5</v>
      </c>
      <c r="C729" s="8">
        <f ca="1">IFERROR(__xludf.DUMMYFUNCTION("""COMPUTED_VALUE"""),2)</f>
        <v>2</v>
      </c>
      <c r="D729" s="8">
        <f ca="1">IFERROR(__xludf.DUMMYFUNCTION("""COMPUTED_VALUE"""),2023)</f>
        <v>2023</v>
      </c>
      <c r="E729" s="9">
        <f ca="1">IFERROR(__xludf.DUMMYFUNCTION("""COMPUTED_VALUE"""),45048)</f>
        <v>45048</v>
      </c>
      <c r="F729" s="8" t="str">
        <f ca="1">IFERROR(__xludf.DUMMYFUNCTION("""COMPUTED_VALUE"""),"Ramon S. Mendoza Elementary School")</f>
        <v>Ramon S. Mendoza Elementary School</v>
      </c>
      <c r="G729" s="8">
        <f ca="1">IFERROR(__xludf.DUMMYFUNCTION("""COMPUTED_VALUE"""),0)</f>
        <v>0</v>
      </c>
      <c r="H729" s="8">
        <f ca="1">IFERROR(__xludf.DUMMYFUNCTION("""COMPUTED_VALUE"""),1)</f>
        <v>1</v>
      </c>
      <c r="I729" s="8">
        <f ca="1">IFERROR(__xludf.DUMMYFUNCTION("""COMPUTED_VALUE"""),1)</f>
        <v>1</v>
      </c>
      <c r="J729" s="8">
        <f ca="1">IFERROR(__xludf.DUMMYFUNCTION("""COMPUTED_VALUE"""),0)</f>
        <v>0</v>
      </c>
      <c r="K729" s="10" t="str">
        <f ca="1">IFERROR(__xludf.DUMMYFUNCTION("""COMPUTED_VALUE"""),"https://www.12news.com/article/news/crime/mesa-elementary-gunshot-wound-ramon-mendoza-school/75-86e00500-a98f-4f1c-b80b-7e8f0abd598d
https://www.azcentral.com/story/news/local/mesa-breaking/2023/05/02/man-injured-in-shooting-near-mesa-elementary-school/70"&amp;"174825007/")</f>
        <v>https://www.12news.com/article/news/crime/mesa-elementary-gunshot-wound-ramon-mendoza-school/75-86e00500-a98f-4f1c-b80b-7e8f0abd598d
https://www.azcentral.com/story/news/local/mesa-breaking/2023/05/02/man-injured-in-shooting-near-mesa-elementary-school/70174825007/</v>
      </c>
      <c r="L729" s="8">
        <f ca="1">IFERROR(__xludf.DUMMYFUNCTION("""COMPUTED_VALUE"""),5)</f>
        <v>5</v>
      </c>
      <c r="M729" s="8" t="str">
        <f ca="1">IFERROR(__xludf.DUMMYFUNCTION("""COMPUTED_VALUE"""),"Regional")</f>
        <v>Regional</v>
      </c>
      <c r="N729" s="8">
        <f ca="1">IFERROR(__xludf.DUMMYFUNCTION("""COMPUTED_VALUE"""),4)</f>
        <v>4</v>
      </c>
      <c r="O729" s="8" t="str">
        <f ca="1">IFERROR(__xludf.DUMMYFUNCTION("""COMPUTED_VALUE"""),"Spring")</f>
        <v>Spring</v>
      </c>
      <c r="P729" s="8" t="str">
        <f ca="1">IFERROR(__xludf.DUMMYFUNCTION("""COMPUTED_VALUE"""),"Mesa")</f>
        <v>Mesa</v>
      </c>
      <c r="Q729" s="8" t="str">
        <f ca="1">IFERROR(__xludf.DUMMYFUNCTION("""COMPUTED_VALUE"""),"AZ")</f>
        <v>AZ</v>
      </c>
      <c r="R729" s="8" t="str">
        <f ca="1">IFERROR(__xludf.DUMMYFUNCTION("""COMPUTED_VALUE"""),"Elementary")</f>
        <v>Elementary</v>
      </c>
      <c r="S729" s="8" t="str">
        <f ca="1">IFERROR(__xludf.DUMMYFUNCTION("""COMPUTED_VALUE"""),"Front of School")</f>
        <v>Front of School</v>
      </c>
      <c r="T729" s="8" t="str">
        <f ca="1">IFERROR(__xludf.DUMMYFUNCTION("""COMPUTED_VALUE"""),"Outside on School Property")</f>
        <v>Outside on School Property</v>
      </c>
      <c r="U729" s="8" t="str">
        <f ca="1">IFERROR(__xludf.DUMMYFUNCTION("""COMPUTED_VALUE"""),"No")</f>
        <v>No</v>
      </c>
      <c r="V729" s="8" t="str">
        <f ca="1">IFERROR(__xludf.DUMMYFUNCTION("""COMPUTED_VALUE"""),"Night")</f>
        <v>Night</v>
      </c>
      <c r="W729" s="11">
        <f ca="1">IFERROR(__xludf.DUMMYFUNCTION("""COMPUTED_VALUE"""),0.135416666666666)</f>
        <v>0.13541666666666599</v>
      </c>
      <c r="X729" s="8">
        <f ca="1">IFERROR(__xludf.DUMMYFUNCTION("""COMPUTED_VALUE"""),1)</f>
        <v>1</v>
      </c>
      <c r="Y729" s="12" t="str">
        <f ca="1">IFERROR(__xludf.DUMMYFUNCTION("""COMPUTED_VALUE"""),"School security guard heard gunshot and found wounded man in front of the school")</f>
        <v>School security guard heard gunshot and found wounded man in front of the school</v>
      </c>
      <c r="Z729" s="12" t="str">
        <f ca="1">IFERROR(__xludf.DUMMYFUNCTION("""COMPUTED_VALUE"""),"School security guard heard gunshot and found wounded man in front of the school. Shooter fled. School was able to open for normal classes.")</f>
        <v>School security guard heard gunshot and found wounded man in front of the school. Shooter fled. School was able to open for normal classes.</v>
      </c>
      <c r="AA729" s="8"/>
      <c r="AB729" s="8"/>
      <c r="AC729" s="8" t="str">
        <f ca="1">IFERROR(__xludf.DUMMYFUNCTION("""COMPUTED_VALUE"""),"No")</f>
        <v>No</v>
      </c>
      <c r="AD729" s="8" t="str">
        <f ca="1">IFERROR(__xludf.DUMMYFUNCTION("""COMPUTED_VALUE"""),"Victims Targeted")</f>
        <v>Victims Targeted</v>
      </c>
      <c r="AE729" s="8" t="str">
        <f ca="1">IFERROR(__xludf.DUMMYFUNCTION("""COMPUTED_VALUE"""),"No")</f>
        <v>No</v>
      </c>
      <c r="AF729" s="8"/>
      <c r="AG729" s="8" t="str">
        <f ca="1">IFERROR(__xludf.DUMMYFUNCTION("""COMPUTED_VALUE"""),"No")</f>
        <v>No</v>
      </c>
      <c r="AH729" s="8" t="str">
        <f ca="1">IFERROR(__xludf.DUMMYFUNCTION("""COMPUTED_VALUE"""),"No")</f>
        <v>No</v>
      </c>
      <c r="AI729" s="8" t="str">
        <f ca="1">IFERROR(__xludf.DUMMYFUNCTION("""COMPUTED_VALUE"""),"No")</f>
        <v>No</v>
      </c>
      <c r="AJ729" s="8" t="str">
        <f ca="1">IFERROR(__xludf.DUMMYFUNCTION("""COMPUTED_VALUE"""),"No")</f>
        <v>No</v>
      </c>
      <c r="AK729" s="8" t="str">
        <f ca="1">IFERROR(__xludf.DUMMYFUNCTION("""COMPUTED_VALUE"""),"No")</f>
        <v>No</v>
      </c>
      <c r="AL729" s="8"/>
      <c r="AM729" s="8" t="str">
        <f ca="1">IFERROR(__xludf.DUMMYFUNCTION("""COMPUTED_VALUE"""),"No")</f>
        <v>No</v>
      </c>
      <c r="AN729" s="8" t="str">
        <f ca="1">IFERROR(__xludf.DUMMYFUNCTION("""COMPUTED_VALUE"""),"Outside")</f>
        <v>Outside</v>
      </c>
      <c r="AO729" s="8" t="str">
        <f ca="1">IFERROR(__xludf.DUMMYFUNCTION("""COMPUTED_VALUE"""),"No")</f>
        <v>No</v>
      </c>
      <c r="AP729" s="8" t="str">
        <f ca="1">IFERROR(__xludf.DUMMYFUNCTION("""COMPUTED_VALUE"""),"Yes")</f>
        <v>Yes</v>
      </c>
      <c r="AQ729" s="8" t="str">
        <f ca="1">IFERROR(__xludf.DUMMYFUNCTION("""COMPUTED_VALUE"""),"Armed Guards")</f>
        <v>Armed Guards</v>
      </c>
      <c r="AR729" s="8" t="str">
        <f ca="1">IFERROR(__xludf.DUMMYFUNCTION("""COMPUTED_VALUE"""),"Outside/Off-Property")</f>
        <v>Outside/Off-Property</v>
      </c>
      <c r="AS729" s="8">
        <f ca="1">IFERROR(__xludf.DUMMYFUNCTION("""COMPUTED_VALUE"""),1)</f>
        <v>1</v>
      </c>
      <c r="AT729" s="8" t="str">
        <f ca="1">IFERROR(__xludf.DUMMYFUNCTION("""COMPUTED_VALUE"""),"No")</f>
        <v>No</v>
      </c>
      <c r="AU729" s="8">
        <f ca="1">IFERROR(__xludf.DUMMYFUNCTION("""COMPUTED_VALUE"""),33.444574)</f>
        <v>33.444574000000003</v>
      </c>
      <c r="AV729" s="8">
        <f ca="1">IFERROR(__xludf.DUMMYFUNCTION("""COMPUTED_VALUE"""),-111.704935)</f>
        <v>-111.70493500000001</v>
      </c>
      <c r="AW729" s="8"/>
      <c r="AX729" s="8">
        <f ca="1">IFERROR(__xludf.DUMMYFUNCTION("""COMPUTED_VALUE"""),85205)</f>
        <v>85205</v>
      </c>
    </row>
    <row r="730" spans="1:50" ht="45" x14ac:dyDescent="0.2">
      <c r="A730" s="8" t="str">
        <f ca="1">IFERROR(__xludf.DUMMYFUNCTION("""COMPUTED_VALUE"""),"20230501MIINF")</f>
        <v>20230501MIINF</v>
      </c>
      <c r="B730" s="8">
        <f ca="1">IFERROR(__xludf.DUMMYFUNCTION("""COMPUTED_VALUE"""),5)</f>
        <v>5</v>
      </c>
      <c r="C730" s="8">
        <f ca="1">IFERROR(__xludf.DUMMYFUNCTION("""COMPUTED_VALUE"""),1)</f>
        <v>1</v>
      </c>
      <c r="D730" s="8">
        <f ca="1">IFERROR(__xludf.DUMMYFUNCTION("""COMPUTED_VALUE"""),2023)</f>
        <v>2023</v>
      </c>
      <c r="E730" s="9">
        <f ca="1">IFERROR(__xludf.DUMMYFUNCTION("""COMPUTED_VALUE"""),45047)</f>
        <v>45047</v>
      </c>
      <c r="F730" s="8" t="str">
        <f ca="1">IFERROR(__xludf.DUMMYFUNCTION("""COMPUTED_VALUE"""),"International Academy of Flint")</f>
        <v>International Academy of Flint</v>
      </c>
      <c r="G730" s="8">
        <f ca="1">IFERROR(__xludf.DUMMYFUNCTION("""COMPUTED_VALUE"""),0)</f>
        <v>0</v>
      </c>
      <c r="H730" s="8">
        <f ca="1">IFERROR(__xludf.DUMMYFUNCTION("""COMPUTED_VALUE"""),1)</f>
        <v>1</v>
      </c>
      <c r="I730" s="8">
        <f ca="1">IFERROR(__xludf.DUMMYFUNCTION("""COMPUTED_VALUE"""),1)</f>
        <v>1</v>
      </c>
      <c r="J730" s="8">
        <f ca="1">IFERROR(__xludf.DUMMYFUNCTION("""COMPUTED_VALUE"""),0)</f>
        <v>0</v>
      </c>
      <c r="K730" s="10" t="str">
        <f ca="1">IFERROR(__xludf.DUMMYFUNCTION("""COMPUTED_VALUE"""),"https://www.abc12.com/news/crime/flint-police-investigate-shooting-at-international-academy-of-flint/article_299155c6-e897-11ed-9457-776df100d408.html
https://www.wnem.com/2023/05/01/1-injured-1-arrested-after-shooting-flint-school-parking-lot/
https://up"&amp;"northlive.com/news/local/michigan-woman-picking-up-child-is-charged-in-shooting-outside-school")</f>
        <v>https://www.abc12.com/news/crime/flint-police-investigate-shooting-at-international-academy-of-flint/article_299155c6-e897-11ed-9457-776df100d408.html
https://www.wnem.com/2023/05/01/1-injured-1-arrested-after-shooting-flint-school-parking-lot/
https://upnorthlive.com/news/local/michigan-woman-picking-up-child-is-charged-in-shooting-outside-school</v>
      </c>
      <c r="L730" s="8">
        <f ca="1">IFERROR(__xludf.DUMMYFUNCTION("""COMPUTED_VALUE"""),10)</f>
        <v>10</v>
      </c>
      <c r="M730" s="8" t="str">
        <f ca="1">IFERROR(__xludf.DUMMYFUNCTION("""COMPUTED_VALUE"""),"Regional")</f>
        <v>Regional</v>
      </c>
      <c r="N730" s="8">
        <f ca="1">IFERROR(__xludf.DUMMYFUNCTION("""COMPUTED_VALUE"""),4)</f>
        <v>4</v>
      </c>
      <c r="O730" s="8" t="str">
        <f ca="1">IFERROR(__xludf.DUMMYFUNCTION("""COMPUTED_VALUE"""),"Spring")</f>
        <v>Spring</v>
      </c>
      <c r="P730" s="8" t="str">
        <f ca="1">IFERROR(__xludf.DUMMYFUNCTION("""COMPUTED_VALUE"""),"Flint")</f>
        <v>Flint</v>
      </c>
      <c r="Q730" s="8" t="str">
        <f ca="1">IFERROR(__xludf.DUMMYFUNCTION("""COMPUTED_VALUE"""),"MI")</f>
        <v>MI</v>
      </c>
      <c r="R730" s="8" t="str">
        <f ca="1">IFERROR(__xludf.DUMMYFUNCTION("""COMPUTED_VALUE"""),"K-12")</f>
        <v>K-12</v>
      </c>
      <c r="S730" s="8" t="str">
        <f ca="1">IFERROR(__xludf.DUMMYFUNCTION("""COMPUTED_VALUE"""),"Parking Lot")</f>
        <v>Parking Lot</v>
      </c>
      <c r="T730" s="8" t="str">
        <f ca="1">IFERROR(__xludf.DUMMYFUNCTION("""COMPUTED_VALUE"""),"Outside on School Property")</f>
        <v>Outside on School Property</v>
      </c>
      <c r="U730" s="8" t="str">
        <f ca="1">IFERROR(__xludf.DUMMYFUNCTION("""COMPUTED_VALUE"""),"Yes")</f>
        <v>Yes</v>
      </c>
      <c r="V730" s="8" t="str">
        <f ca="1">IFERROR(__xludf.DUMMYFUNCTION("""COMPUTED_VALUE"""),"Dismissal")</f>
        <v>Dismissal</v>
      </c>
      <c r="W730" s="11">
        <f ca="1">IFERROR(__xludf.DUMMYFUNCTION("""COMPUTED_VALUE"""),0.645833333333333)</f>
        <v>0.64583333333333304</v>
      </c>
      <c r="X730" s="8">
        <f ca="1">IFERROR(__xludf.DUMMYFUNCTION("""COMPUTED_VALUE"""),1)</f>
        <v>1</v>
      </c>
      <c r="Y730" s="12" t="str">
        <f ca="1">IFERROR(__xludf.DUMMYFUNCTION("""COMPUTED_VALUE"""),"Parent shot another parent during fight at pickup")</f>
        <v>Parent shot another parent during fight at pickup</v>
      </c>
      <c r="Z730" s="12" t="str">
        <f ca="1">IFERROR(__xludf.DUMMYFUNCTION("""COMPUTED_VALUE"""),"Parent shot and critically wounded another parent during pickup at dismissal. Police reported an ongoing feud between the parents.")</f>
        <v>Parent shot and critically wounded another parent during pickup at dismissal. Police reported an ongoing feud between the parents.</v>
      </c>
      <c r="AA730" s="8" t="str">
        <f ca="1">IFERROR(__xludf.DUMMYFUNCTION("""COMPUTED_VALUE"""),"Escalation of Dispute")</f>
        <v>Escalation of Dispute</v>
      </c>
      <c r="AB730" s="8"/>
      <c r="AC730" s="8" t="str">
        <f ca="1">IFERROR(__xludf.DUMMYFUNCTION("""COMPUTED_VALUE"""),"Yes")</f>
        <v>Yes</v>
      </c>
      <c r="AD730" s="8" t="str">
        <f ca="1">IFERROR(__xludf.DUMMYFUNCTION("""COMPUTED_VALUE"""),"Victims Targeted")</f>
        <v>Victims Targeted</v>
      </c>
      <c r="AE730" s="8" t="str">
        <f ca="1">IFERROR(__xludf.DUMMYFUNCTION("""COMPUTED_VALUE"""),"No")</f>
        <v>No</v>
      </c>
      <c r="AF730" s="8"/>
      <c r="AG730" s="8" t="str">
        <f ca="1">IFERROR(__xludf.DUMMYFUNCTION("""COMPUTED_VALUE"""),"No")</f>
        <v>No</v>
      </c>
      <c r="AH730" s="8" t="str">
        <f ca="1">IFERROR(__xludf.DUMMYFUNCTION("""COMPUTED_VALUE"""),"No")</f>
        <v>No</v>
      </c>
      <c r="AI730" s="8" t="str">
        <f ca="1">IFERROR(__xludf.DUMMYFUNCTION("""COMPUTED_VALUE"""),"No")</f>
        <v>No</v>
      </c>
      <c r="AJ730" s="8" t="str">
        <f ca="1">IFERROR(__xludf.DUMMYFUNCTION("""COMPUTED_VALUE"""),"No")</f>
        <v>No</v>
      </c>
      <c r="AK730" s="8" t="str">
        <f ca="1">IFERROR(__xludf.DUMMYFUNCTION("""COMPUTED_VALUE"""),"No")</f>
        <v>No</v>
      </c>
      <c r="AL730" s="8" t="str">
        <f ca="1">IFERROR(__xludf.DUMMYFUNCTION("""COMPUTED_VALUE"""),"No")</f>
        <v>No</v>
      </c>
      <c r="AM730" s="8" t="str">
        <f ca="1">IFERROR(__xludf.DUMMYFUNCTION("""COMPUTED_VALUE"""),"No")</f>
        <v>No</v>
      </c>
      <c r="AN730" s="8" t="str">
        <f ca="1">IFERROR(__xludf.DUMMYFUNCTION("""COMPUTED_VALUE"""),"Outside")</f>
        <v>Outside</v>
      </c>
      <c r="AO730" s="8" t="str">
        <f ca="1">IFERROR(__xludf.DUMMYFUNCTION("""COMPUTED_VALUE"""),"No")</f>
        <v>No</v>
      </c>
      <c r="AP730" s="8"/>
      <c r="AQ730" s="8"/>
      <c r="AR730" s="8" t="str">
        <f ca="1">IFERROR(__xludf.DUMMYFUNCTION("""COMPUTED_VALUE"""),"Outside/Off-Property")</f>
        <v>Outside/Off-Property</v>
      </c>
      <c r="AS730" s="8">
        <f ca="1">IFERROR(__xludf.DUMMYFUNCTION("""COMPUTED_VALUE"""),99)</f>
        <v>99</v>
      </c>
      <c r="AT730" s="8" t="str">
        <f ca="1">IFERROR(__xludf.DUMMYFUNCTION("""COMPUTED_VALUE"""),"Yes")</f>
        <v>Yes</v>
      </c>
      <c r="AU730" s="8">
        <f ca="1">IFERROR(__xludf.DUMMYFUNCTION("""COMPUTED_VALUE"""),42.996118)</f>
        <v>42.996118000000003</v>
      </c>
      <c r="AV730" s="8">
        <f ca="1">IFERROR(__xludf.DUMMYFUNCTION("""COMPUTED_VALUE"""),-83.678617)</f>
        <v>-83.678617000000003</v>
      </c>
      <c r="AW730" s="8"/>
      <c r="AX730" s="8">
        <f ca="1">IFERROR(__xludf.DUMMYFUNCTION("""COMPUTED_VALUE"""),48503)</f>
        <v>48503</v>
      </c>
    </row>
    <row r="731" spans="1:50" ht="135" x14ac:dyDescent="0.2">
      <c r="A731" s="8" t="str">
        <f ca="1">IFERROR(__xludf.DUMMYFUNCTION("""COMPUTED_VALUE"""),"20230501MDPRS")</f>
        <v>20230501MDPRS</v>
      </c>
      <c r="B731" s="8">
        <f ca="1">IFERROR(__xludf.DUMMYFUNCTION("""COMPUTED_VALUE"""),5)</f>
        <v>5</v>
      </c>
      <c r="C731" s="8">
        <f ca="1">IFERROR(__xludf.DUMMYFUNCTION("""COMPUTED_VALUE"""),1)</f>
        <v>1</v>
      </c>
      <c r="D731" s="8">
        <f ca="1">IFERROR(__xludf.DUMMYFUNCTION("""COMPUTED_VALUE"""),2023)</f>
        <v>2023</v>
      </c>
      <c r="E731" s="9">
        <f ca="1">IFERROR(__xludf.DUMMYFUNCTION("""COMPUTED_VALUE"""),45047)</f>
        <v>45047</v>
      </c>
      <c r="F731" s="8" t="str">
        <f ca="1">IFERROR(__xludf.DUMMYFUNCTION("""COMPUTED_VALUE"""),"Prince George's County Alternative Middle School")</f>
        <v>Prince George's County Alternative Middle School</v>
      </c>
      <c r="G731" s="8">
        <f ca="1">IFERROR(__xludf.DUMMYFUNCTION("""COMPUTED_VALUE"""),0)</f>
        <v>0</v>
      </c>
      <c r="H731" s="8">
        <f ca="1">IFERROR(__xludf.DUMMYFUNCTION("""COMPUTED_VALUE"""),1)</f>
        <v>1</v>
      </c>
      <c r="I731" s="8">
        <f ca="1">IFERROR(__xludf.DUMMYFUNCTION("""COMPUTED_VALUE"""),1)</f>
        <v>1</v>
      </c>
      <c r="J731" s="8">
        <f ca="1">IFERROR(__xludf.DUMMYFUNCTION("""COMPUTED_VALUE"""),0)</f>
        <v>0</v>
      </c>
      <c r="K731" s="8" t="str">
        <f ca="1">IFERROR(__xludf.DUMMYFUNCTION("""COMPUTED_VALUE"""),"https://www.nbcwashington.com/news/local/15-year-old-arrested-in-school-bus-attack/3358092/
https://www.wusa9.com/article/news/crime/attempted-shooting-on-prince-georges-county-school-bus-investigation/65-ed5a6a92-1954-4337-ba06-89e6e0758404
https://www.f"&amp;"ox5dc.com/news/3-teens-attack-try-to-shoot-student-on-school-bus-in-prince-georges-county
https://www.washingtonpost.com/dc-md-va/2023/05/17/teens-arrested-prince-georges-school-bus/
https://www.youtube.com/watch?v=CMr_TkjOs9w")</f>
        <v>https://www.nbcwashington.com/news/local/15-year-old-arrested-in-school-bus-attack/3358092/
https://www.wusa9.com/article/news/crime/attempted-shooting-on-prince-georges-county-school-bus-investigation/65-ed5a6a92-1954-4337-ba06-89e6e0758404
https://www.fox5dc.com/news/3-teens-attack-try-to-shoot-student-on-school-bus-in-prince-georges-county
https://www.washingtonpost.com/dc-md-va/2023/05/17/teens-arrested-prince-georges-school-bus/
https://www.youtube.com/watch?v=CMr_TkjOs9w</v>
      </c>
      <c r="L731" s="8">
        <f ca="1">IFERROR(__xludf.DUMMYFUNCTION("""COMPUTED_VALUE"""),50)</f>
        <v>50</v>
      </c>
      <c r="M731" s="8" t="str">
        <f ca="1">IFERROR(__xludf.DUMMYFUNCTION("""COMPUTED_VALUE"""),"Regional")</f>
        <v>Regional</v>
      </c>
      <c r="N731" s="8">
        <f ca="1">IFERROR(__xludf.DUMMYFUNCTION("""COMPUTED_VALUE"""),4)</f>
        <v>4</v>
      </c>
      <c r="O731" s="8" t="str">
        <f ca="1">IFERROR(__xludf.DUMMYFUNCTION("""COMPUTED_VALUE"""),"Spring")</f>
        <v>Spring</v>
      </c>
      <c r="P731" s="8" t="str">
        <f ca="1">IFERROR(__xludf.DUMMYFUNCTION("""COMPUTED_VALUE"""),"Suitland")</f>
        <v>Suitland</v>
      </c>
      <c r="Q731" s="8" t="str">
        <f ca="1">IFERROR(__xludf.DUMMYFUNCTION("""COMPUTED_VALUE"""),"MD")</f>
        <v>MD</v>
      </c>
      <c r="R731" s="8" t="str">
        <f ca="1">IFERROR(__xludf.DUMMYFUNCTION("""COMPUTED_VALUE"""),"Middle")</f>
        <v>Middle</v>
      </c>
      <c r="S731" s="8" t="str">
        <f ca="1">IFERROR(__xludf.DUMMYFUNCTION("""COMPUTED_VALUE"""),"School Bus")</f>
        <v>School Bus</v>
      </c>
      <c r="T731" s="8" t="str">
        <f ca="1">IFERROR(__xludf.DUMMYFUNCTION("""COMPUTED_VALUE"""),"School Bus")</f>
        <v>School Bus</v>
      </c>
      <c r="U731" s="8" t="str">
        <f ca="1">IFERROR(__xludf.DUMMYFUNCTION("""COMPUTED_VALUE"""),"Yes")</f>
        <v>Yes</v>
      </c>
      <c r="V731" s="8" t="str">
        <f ca="1">IFERROR(__xludf.DUMMYFUNCTION("""COMPUTED_VALUE"""),"Dismissal")</f>
        <v>Dismissal</v>
      </c>
      <c r="W731" s="11">
        <f ca="1">IFERROR(__xludf.DUMMYFUNCTION("""COMPUTED_VALUE"""),0.625)</f>
        <v>0.625</v>
      </c>
      <c r="X731" s="8">
        <f ca="1">IFERROR(__xludf.DUMMYFUNCTION("""COMPUTED_VALUE"""),1)</f>
        <v>1</v>
      </c>
      <c r="Y731" s="12" t="str">
        <f ca="1">IFERROR(__xludf.DUMMYFUNCTION("""COMPUTED_VALUE"""),"Three teens attempted to execute student on school bus")</f>
        <v>Three teens attempted to execute student on school bus</v>
      </c>
      <c r="Z731" s="12" t="str">
        <f ca="1">IFERROR(__xludf.DUMMYFUNCTION("""COMPUTED_VALUE"""),"Maryland school bus stopped to let a student off at a stop when three teenage suspects wearing masks pushed their way past the bus aide. One suspect pointed a gun at the boy's chest and pulled the trigger 3 times, but the gun jammed. The bus aide said bul"&amp;"lets fell to the floor. Teen with the gun pistol whipped the student and then fled. Attack was directed and planned by 14-year-old girl who was arrested on 5/22/2023 and held without bond. Teen who pulled the trigger 3 times was arrested on May 30, 2023.")</f>
        <v>Maryland school bus stopped to let a student off at a stop when three teenage suspects wearing masks pushed their way past the bus aide. One suspect pointed a gun at the boy's chest and pulled the trigger 3 times, but the gun jammed. The bus aide said bullets fell to the floor. Teen with the gun pistol whipped the student and then fled. Attack was directed and planned by 14-year-old girl who was arrested on 5/22/2023 and held without bond. Teen who pulled the trigger 3 times was arrested on May 30, 2023.</v>
      </c>
      <c r="AA731" s="8" t="str">
        <f ca="1">IFERROR(__xludf.DUMMYFUNCTION("""COMPUTED_VALUE"""),"Murder/Assassination")</f>
        <v>Murder/Assassination</v>
      </c>
      <c r="AB731" s="8"/>
      <c r="AC731" s="8" t="str">
        <f ca="1">IFERROR(__xludf.DUMMYFUNCTION("""COMPUTED_VALUE"""),"Yes")</f>
        <v>Yes</v>
      </c>
      <c r="AD731" s="8" t="str">
        <f ca="1">IFERROR(__xludf.DUMMYFUNCTION("""COMPUTED_VALUE"""),"Victims Targeted")</f>
        <v>Victims Targeted</v>
      </c>
      <c r="AE731" s="8" t="str">
        <f ca="1">IFERROR(__xludf.DUMMYFUNCTION("""COMPUTED_VALUE"""),"Yes")</f>
        <v>Yes</v>
      </c>
      <c r="AF731" s="8" t="str">
        <f ca="1">IFERROR(__xludf.DUMMYFUNCTION("""COMPUTED_VALUE"""),"Three teens")</f>
        <v>Three teens</v>
      </c>
      <c r="AG731" s="8" t="str">
        <f ca="1">IFERROR(__xludf.DUMMYFUNCTION("""COMPUTED_VALUE"""),"No")</f>
        <v>No</v>
      </c>
      <c r="AH731" s="8" t="str">
        <f ca="1">IFERROR(__xludf.DUMMYFUNCTION("""COMPUTED_VALUE"""),"No")</f>
        <v>No</v>
      </c>
      <c r="AI731" s="8" t="str">
        <f ca="1">IFERROR(__xludf.DUMMYFUNCTION("""COMPUTED_VALUE"""),"No")</f>
        <v>No</v>
      </c>
      <c r="AJ731" s="8" t="str">
        <f ca="1">IFERROR(__xludf.DUMMYFUNCTION("""COMPUTED_VALUE"""),"No")</f>
        <v>No</v>
      </c>
      <c r="AK731" s="8" t="str">
        <f ca="1">IFERROR(__xludf.DUMMYFUNCTION("""COMPUTED_VALUE"""),"No")</f>
        <v>No</v>
      </c>
      <c r="AL731" s="8"/>
      <c r="AM731" s="8" t="str">
        <f ca="1">IFERROR(__xludf.DUMMYFUNCTION("""COMPUTED_VALUE"""),"No")</f>
        <v>No</v>
      </c>
      <c r="AN731" s="8" t="str">
        <f ca="1">IFERROR(__xludf.DUMMYFUNCTION("""COMPUTED_VALUE"""),"Outside")</f>
        <v>Outside</v>
      </c>
      <c r="AO731" s="8" t="str">
        <f ca="1">IFERROR(__xludf.DUMMYFUNCTION("""COMPUTED_VALUE"""),"Yes")</f>
        <v>Yes</v>
      </c>
      <c r="AP731" s="8"/>
      <c r="AQ731" s="8"/>
      <c r="AR731" s="8" t="str">
        <f ca="1">IFERROR(__xludf.DUMMYFUNCTION("""COMPUTED_VALUE"""),"Outside/Off-Property")</f>
        <v>Outside/Off-Property</v>
      </c>
      <c r="AS731" s="8">
        <f ca="1">IFERROR(__xludf.DUMMYFUNCTION("""COMPUTED_VALUE"""),0)</f>
        <v>0</v>
      </c>
      <c r="AT731" s="8" t="str">
        <f ca="1">IFERROR(__xludf.DUMMYFUNCTION("""COMPUTED_VALUE"""),"No")</f>
        <v>No</v>
      </c>
      <c r="AU731" s="8">
        <f ca="1">IFERROR(__xludf.DUMMYFUNCTION("""COMPUTED_VALUE"""),38.862963)</f>
        <v>38.862963000000001</v>
      </c>
      <c r="AV731" s="8">
        <f ca="1">IFERROR(__xludf.DUMMYFUNCTION("""COMPUTED_VALUE"""),-76.932497)</f>
        <v>-76.932496999999998</v>
      </c>
      <c r="AW731" s="8"/>
      <c r="AX731" s="8">
        <f ca="1">IFERROR(__xludf.DUMMYFUNCTION("""COMPUTED_VALUE"""),20746)</f>
        <v>20746</v>
      </c>
    </row>
    <row r="732" spans="1:50" ht="60" x14ac:dyDescent="0.2">
      <c r="A732" s="8" t="str">
        <f ca="1">IFERROR(__xludf.DUMMYFUNCTION("""COMPUTED_VALUE"""),"20230430KYPAP")</f>
        <v>20230430KYPAP</v>
      </c>
      <c r="B732" s="8">
        <f ca="1">IFERROR(__xludf.DUMMYFUNCTION("""COMPUTED_VALUE"""),4)</f>
        <v>4</v>
      </c>
      <c r="C732" s="8">
        <f ca="1">IFERROR(__xludf.DUMMYFUNCTION("""COMPUTED_VALUE"""),30)</f>
        <v>30</v>
      </c>
      <c r="D732" s="8">
        <f ca="1">IFERROR(__xludf.DUMMYFUNCTION("""COMPUTED_VALUE"""),2023)</f>
        <v>2023</v>
      </c>
      <c r="E732" s="9">
        <f ca="1">IFERROR(__xludf.DUMMYFUNCTION("""COMPUTED_VALUE"""),45046)</f>
        <v>45046</v>
      </c>
      <c r="F732" s="8" t="str">
        <f ca="1">IFERROR(__xludf.DUMMYFUNCTION("""COMPUTED_VALUE"""),"Paducah Tilghman High School")</f>
        <v>Paducah Tilghman High School</v>
      </c>
      <c r="G732" s="8">
        <f ca="1">IFERROR(__xludf.DUMMYFUNCTION("""COMPUTED_VALUE"""),0)</f>
        <v>0</v>
      </c>
      <c r="H732" s="8">
        <f ca="1">IFERROR(__xludf.DUMMYFUNCTION("""COMPUTED_VALUE"""),4)</f>
        <v>4</v>
      </c>
      <c r="I732" s="8">
        <f ca="1">IFERROR(__xludf.DUMMYFUNCTION("""COMPUTED_VALUE"""),4)</f>
        <v>4</v>
      </c>
      <c r="J732" s="8">
        <f ca="1">IFERROR(__xludf.DUMMYFUNCTION("""COMPUTED_VALUE"""),0)</f>
        <v>0</v>
      </c>
      <c r="K732" s="10" t="str">
        <f ca="1">IFERROR(__xludf.DUMMYFUNCTION("""COMPUTED_VALUE"""),"https://www.kfvs12.com/2023/04/30/4-injured-shooting-prom-after-party-paducah/")</f>
        <v>https://www.kfvs12.com/2023/04/30/4-injured-shooting-prom-after-party-paducah/</v>
      </c>
      <c r="L732" s="8">
        <f ca="1">IFERROR(__xludf.DUMMYFUNCTION("""COMPUTED_VALUE"""),5)</f>
        <v>5</v>
      </c>
      <c r="M732" s="8" t="str">
        <f ca="1">IFERROR(__xludf.DUMMYFUNCTION("""COMPUTED_VALUE"""),"Local")</f>
        <v>Local</v>
      </c>
      <c r="N732" s="8">
        <f ca="1">IFERROR(__xludf.DUMMYFUNCTION("""COMPUTED_VALUE"""),4)</f>
        <v>4</v>
      </c>
      <c r="O732" s="8" t="str">
        <f ca="1">IFERROR(__xludf.DUMMYFUNCTION("""COMPUTED_VALUE"""),"Spring")</f>
        <v>Spring</v>
      </c>
      <c r="P732" s="8" t="str">
        <f ca="1">IFERROR(__xludf.DUMMYFUNCTION("""COMPUTED_VALUE"""),"Paducah")</f>
        <v>Paducah</v>
      </c>
      <c r="Q732" s="8" t="str">
        <f ca="1">IFERROR(__xludf.DUMMYFUNCTION("""COMPUTED_VALUE"""),"KY")</f>
        <v>KY</v>
      </c>
      <c r="R732" s="8" t="str">
        <f ca="1">IFERROR(__xludf.DUMMYFUNCTION("""COMPUTED_VALUE"""),"High")</f>
        <v>High</v>
      </c>
      <c r="S732" s="8" t="str">
        <f ca="1">IFERROR(__xludf.DUMMYFUNCTION("""COMPUTED_VALUE"""),"Off School Property")</f>
        <v>Off School Property</v>
      </c>
      <c r="T732" s="8" t="str">
        <f ca="1">IFERROR(__xludf.DUMMYFUNCTION("""COMPUTED_VALUE"""),"Off School Property")</f>
        <v>Off School Property</v>
      </c>
      <c r="U732" s="8" t="str">
        <f ca="1">IFERROR(__xludf.DUMMYFUNCTION("""COMPUTED_VALUE"""),"No")</f>
        <v>No</v>
      </c>
      <c r="V732" s="8" t="str">
        <f ca="1">IFERROR(__xludf.DUMMYFUNCTION("""COMPUTED_VALUE"""),"School Event")</f>
        <v>School Event</v>
      </c>
      <c r="W732" s="11">
        <f ca="1">IFERROR(__xludf.DUMMYFUNCTION("""COMPUTED_VALUE"""),0.0486111111111111)</f>
        <v>4.8611111111111098E-2</v>
      </c>
      <c r="X732" s="8">
        <f ca="1">IFERROR(__xludf.DUMMYFUNCTION("""COMPUTED_VALUE"""),1)</f>
        <v>1</v>
      </c>
      <c r="Y732" s="12" t="str">
        <f ca="1">IFERROR(__xludf.DUMMYFUNCTION("""COMPUTED_VALUE"""),"Four teens shot during post-prom party at community center")</f>
        <v>Four teens shot during post-prom party at community center</v>
      </c>
      <c r="Z732" s="12" t="str">
        <f ca="1">IFERROR(__xludf.DUMMYFUNCTION("""COMPUTED_VALUE"""),"Four teens shot during post-prom party at community center. Two shooters fired at each other and then fled.")</f>
        <v>Four teens shot during post-prom party at community center. Two shooters fired at each other and then fled.</v>
      </c>
      <c r="AA732" s="8" t="str">
        <f ca="1">IFERROR(__xludf.DUMMYFUNCTION("""COMPUTED_VALUE"""),"Escalation of Dispute")</f>
        <v>Escalation of Dispute</v>
      </c>
      <c r="AB732" s="8"/>
      <c r="AC732" s="8" t="str">
        <f ca="1">IFERROR(__xludf.DUMMYFUNCTION("""COMPUTED_VALUE"""),"Yes")</f>
        <v>Yes</v>
      </c>
      <c r="AD732" s="8" t="str">
        <f ca="1">IFERROR(__xludf.DUMMYFUNCTION("""COMPUTED_VALUE"""),"Both")</f>
        <v>Both</v>
      </c>
      <c r="AE732" s="8" t="str">
        <f ca="1">IFERROR(__xludf.DUMMYFUNCTION("""COMPUTED_VALUE"""),"No")</f>
        <v>No</v>
      </c>
      <c r="AF732" s="8"/>
      <c r="AG732" s="8" t="str">
        <f ca="1">IFERROR(__xludf.DUMMYFUNCTION("""COMPUTED_VALUE"""),"No")</f>
        <v>No</v>
      </c>
      <c r="AH732" s="8" t="str">
        <f ca="1">IFERROR(__xludf.DUMMYFUNCTION("""COMPUTED_VALUE"""),"No")</f>
        <v>No</v>
      </c>
      <c r="AI732" s="8" t="str">
        <f ca="1">IFERROR(__xludf.DUMMYFUNCTION("""COMPUTED_VALUE"""),"No")</f>
        <v>No</v>
      </c>
      <c r="AJ732" s="8" t="str">
        <f ca="1">IFERROR(__xludf.DUMMYFUNCTION("""COMPUTED_VALUE"""),"No")</f>
        <v>No</v>
      </c>
      <c r="AK732" s="8" t="str">
        <f ca="1">IFERROR(__xludf.DUMMYFUNCTION("""COMPUTED_VALUE"""),"No")</f>
        <v>No</v>
      </c>
      <c r="AL732" s="8"/>
      <c r="AM732" s="8" t="str">
        <f ca="1">IFERROR(__xludf.DUMMYFUNCTION("""COMPUTED_VALUE"""),"No")</f>
        <v>No</v>
      </c>
      <c r="AN732" s="8" t="str">
        <f ca="1">IFERROR(__xludf.DUMMYFUNCTION("""COMPUTED_VALUE"""),"Outside")</f>
        <v>Outside</v>
      </c>
      <c r="AO732" s="8" t="str">
        <f ca="1">IFERROR(__xludf.DUMMYFUNCTION("""COMPUTED_VALUE"""),"No")</f>
        <v>No</v>
      </c>
      <c r="AP732" s="8"/>
      <c r="AQ732" s="8"/>
      <c r="AR732" s="8" t="str">
        <f ca="1">IFERROR(__xludf.DUMMYFUNCTION("""COMPUTED_VALUE"""),"Outside/Off-Property")</f>
        <v>Outside/Off-Property</v>
      </c>
      <c r="AS732" s="8">
        <f ca="1">IFERROR(__xludf.DUMMYFUNCTION("""COMPUTED_VALUE"""),99)</f>
        <v>99</v>
      </c>
      <c r="AT732" s="8"/>
      <c r="AU732" s="8">
        <f ca="1">IFERROR(__xludf.DUMMYFUNCTION("""COMPUTED_VALUE"""),37.072344)</f>
        <v>37.072344000000001</v>
      </c>
      <c r="AV732" s="8">
        <f ca="1">IFERROR(__xludf.DUMMYFUNCTION("""COMPUTED_VALUE"""),-88.624748)</f>
        <v>-88.624747999999997</v>
      </c>
      <c r="AW732" s="8"/>
      <c r="AX732" s="8">
        <f ca="1">IFERROR(__xludf.DUMMYFUNCTION("""COMPUTED_VALUE"""),42003)</f>
        <v>42003</v>
      </c>
    </row>
    <row r="733" spans="1:50" ht="180" x14ac:dyDescent="0.2">
      <c r="A733" s="8" t="str">
        <f ca="1">IFERROR(__xludf.DUMMYFUNCTION("""COMPUTED_VALUE"""),"20230430CAKNP")</f>
        <v>20230430CAKNP</v>
      </c>
      <c r="B733" s="8">
        <f ca="1">IFERROR(__xludf.DUMMYFUNCTION("""COMPUTED_VALUE"""),4)</f>
        <v>4</v>
      </c>
      <c r="C733" s="8">
        <f ca="1">IFERROR(__xludf.DUMMYFUNCTION("""COMPUTED_VALUE"""),30)</f>
        <v>30</v>
      </c>
      <c r="D733" s="8">
        <f ca="1">IFERROR(__xludf.DUMMYFUNCTION("""COMPUTED_VALUE"""),2023)</f>
        <v>2023</v>
      </c>
      <c r="E733" s="9">
        <f ca="1">IFERROR(__xludf.DUMMYFUNCTION("""COMPUTED_VALUE"""),45046)</f>
        <v>45046</v>
      </c>
      <c r="F733" s="8" t="str">
        <f ca="1">IFERROR(__xludf.DUMMYFUNCTION("""COMPUTED_VALUE"""),"Knight High School")</f>
        <v>Knight High School</v>
      </c>
      <c r="G733" s="8">
        <f ca="1">IFERROR(__xludf.DUMMYFUNCTION("""COMPUTED_VALUE"""),0)</f>
        <v>0</v>
      </c>
      <c r="H733" s="8">
        <f ca="1">IFERROR(__xludf.DUMMYFUNCTION("""COMPUTED_VALUE"""),0)</f>
        <v>0</v>
      </c>
      <c r="I733" s="8">
        <f ca="1">IFERROR(__xludf.DUMMYFUNCTION("""COMPUTED_VALUE"""),0)</f>
        <v>0</v>
      </c>
      <c r="J733" s="8">
        <f ca="1">IFERROR(__xludf.DUMMYFUNCTION("""COMPUTED_VALUE"""),0)</f>
        <v>0</v>
      </c>
      <c r="K733" s="10" t="str">
        <f ca="1">IFERROR(__xludf.DUMMYFUNCTION("""COMPUTED_VALUE"""),"https://mynewsla.com/crime/2023/04/30/post-prom-fight-in-palmdale-ends-in-gunfire-2/
https://www.nbclosangeles.com/news/local/shots-fired-after-high-school-prom/3144633/")</f>
        <v>https://mynewsla.com/crime/2023/04/30/post-prom-fight-in-palmdale-ends-in-gunfire-2/
https://www.nbclosangeles.com/news/local/shots-fired-after-high-school-prom/3144633/</v>
      </c>
      <c r="L733" s="8">
        <f ca="1">IFERROR(__xludf.DUMMYFUNCTION("""COMPUTED_VALUE"""),3)</f>
        <v>3</v>
      </c>
      <c r="M733" s="8" t="str">
        <f ca="1">IFERROR(__xludf.DUMMYFUNCTION("""COMPUTED_VALUE"""),"Local")</f>
        <v>Local</v>
      </c>
      <c r="N733" s="8">
        <f ca="1">IFERROR(__xludf.DUMMYFUNCTION("""COMPUTED_VALUE"""),4)</f>
        <v>4</v>
      </c>
      <c r="O733" s="8" t="str">
        <f ca="1">IFERROR(__xludf.DUMMYFUNCTION("""COMPUTED_VALUE"""),"Spring")</f>
        <v>Spring</v>
      </c>
      <c r="P733" s="8" t="str">
        <f ca="1">IFERROR(__xludf.DUMMYFUNCTION("""COMPUTED_VALUE"""),"Palmdale")</f>
        <v>Palmdale</v>
      </c>
      <c r="Q733" s="8" t="str">
        <f ca="1">IFERROR(__xludf.DUMMYFUNCTION("""COMPUTED_VALUE"""),"CA")</f>
        <v>CA</v>
      </c>
      <c r="R733" s="8" t="str">
        <f ca="1">IFERROR(__xludf.DUMMYFUNCTION("""COMPUTED_VALUE"""),"High")</f>
        <v>High</v>
      </c>
      <c r="S733" s="8" t="str">
        <f ca="1">IFERROR(__xludf.DUMMYFUNCTION("""COMPUTED_VALUE"""),"Parking Lot")</f>
        <v>Parking Lot</v>
      </c>
      <c r="T733" s="8" t="str">
        <f ca="1">IFERROR(__xludf.DUMMYFUNCTION("""COMPUTED_VALUE"""),"Outside on School Property")</f>
        <v>Outside on School Property</v>
      </c>
      <c r="U733" s="8" t="str">
        <f ca="1">IFERROR(__xludf.DUMMYFUNCTION("""COMPUTED_VALUE"""),"No")</f>
        <v>No</v>
      </c>
      <c r="V733" s="8" t="str">
        <f ca="1">IFERROR(__xludf.DUMMYFUNCTION("""COMPUTED_VALUE"""),"School Event")</f>
        <v>School Event</v>
      </c>
      <c r="W733" s="11">
        <f ca="1">IFERROR(__xludf.DUMMYFUNCTION("""COMPUTED_VALUE"""),0.0416666666666666)</f>
        <v>4.1666666666666602E-2</v>
      </c>
      <c r="X733" s="8">
        <f ca="1">IFERROR(__xludf.DUMMYFUNCTION("""COMPUTED_VALUE"""),1)</f>
        <v>1</v>
      </c>
      <c r="Y733" s="12" t="str">
        <f ca="1">IFERROR(__xludf.DUMMYFUNCTION("""COMPUTED_VALUE"""),"Parent fired shots during fight with other parents at post prom party")</f>
        <v>Parent fired shots during fight with other parents at post prom party</v>
      </c>
      <c r="Z733" s="12" t="str">
        <f ca="1">IFERROR(__xludf.DUMMYFUNCTION("""COMPUTED_VALUE"""),"A post-prom fight early Sunday in Palmdale between two young men from Pete Knight High School resulted in a shooting by one of their mothers. No one was hit in the gunfire outside the high school at 37423 70th St. East around 1 a.m. Sunday, according to a"&amp;" videographer at the scene. No one from the Palmdale Sheriff's Station was immediately available for comment. 
The parent who allegedly fired her gun tried to intervene but was punched several times for her efforts, the videographer said. There was no im"&amp;"mediate word regarding whether the woman was arrested, but two vehicles were reportedly hit by the gunfire.")</f>
        <v>A post-prom fight early Sunday in Palmdale between two young men from Pete Knight High School resulted in a shooting by one of their mothers. No one was hit in the gunfire outside the high school at 37423 70th St. East around 1 a.m. Sunday, according to a videographer at the scene. No one from the Palmdale Sheriff's Station was immediately available for comment. 
The parent who allegedly fired her gun tried to intervene but was punched several times for her efforts, the videographer said. There was no immediate word regarding whether the woman was arrested, but two vehicles were reportedly hit by the gunfire.</v>
      </c>
      <c r="AA733" s="8" t="str">
        <f ca="1">IFERROR(__xludf.DUMMYFUNCTION("""COMPUTED_VALUE"""),"Escalation of Dispute")</f>
        <v>Escalation of Dispute</v>
      </c>
      <c r="AB733" s="8"/>
      <c r="AC733" s="8" t="str">
        <f ca="1">IFERROR(__xludf.DUMMYFUNCTION("""COMPUTED_VALUE"""),"Yes")</f>
        <v>Yes</v>
      </c>
      <c r="AD733" s="8" t="str">
        <f ca="1">IFERROR(__xludf.DUMMYFUNCTION("""COMPUTED_VALUE"""),"Victims Targeted")</f>
        <v>Victims Targeted</v>
      </c>
      <c r="AE733" s="8" t="str">
        <f ca="1">IFERROR(__xludf.DUMMYFUNCTION("""COMPUTED_VALUE"""),"No")</f>
        <v>No</v>
      </c>
      <c r="AF733" s="8"/>
      <c r="AG733" s="8" t="str">
        <f ca="1">IFERROR(__xludf.DUMMYFUNCTION("""COMPUTED_VALUE"""),"No")</f>
        <v>No</v>
      </c>
      <c r="AH733" s="8" t="str">
        <f ca="1">IFERROR(__xludf.DUMMYFUNCTION("""COMPUTED_VALUE"""),"No")</f>
        <v>No</v>
      </c>
      <c r="AI733" s="8" t="str">
        <f ca="1">IFERROR(__xludf.DUMMYFUNCTION("""COMPUTED_VALUE"""),"No")</f>
        <v>No</v>
      </c>
      <c r="AJ733" s="8" t="str">
        <f ca="1">IFERROR(__xludf.DUMMYFUNCTION("""COMPUTED_VALUE"""),"No")</f>
        <v>No</v>
      </c>
      <c r="AK733" s="8" t="str">
        <f ca="1">IFERROR(__xludf.DUMMYFUNCTION("""COMPUTED_VALUE"""),"No")</f>
        <v>No</v>
      </c>
      <c r="AL733" s="8" t="str">
        <f ca="1">IFERROR(__xludf.DUMMYFUNCTION("""COMPUTED_VALUE"""),"No")</f>
        <v>No</v>
      </c>
      <c r="AM733" s="8" t="str">
        <f ca="1">IFERROR(__xludf.DUMMYFUNCTION("""COMPUTED_VALUE"""),"No")</f>
        <v>No</v>
      </c>
      <c r="AN733" s="8" t="str">
        <f ca="1">IFERROR(__xludf.DUMMYFUNCTION("""COMPUTED_VALUE"""),"Outside")</f>
        <v>Outside</v>
      </c>
      <c r="AO733" s="8" t="str">
        <f ca="1">IFERROR(__xludf.DUMMYFUNCTION("""COMPUTED_VALUE"""),"No")</f>
        <v>No</v>
      </c>
      <c r="AP733" s="8"/>
      <c r="AQ733" s="8"/>
      <c r="AR733" s="8" t="str">
        <f ca="1">IFERROR(__xludf.DUMMYFUNCTION("""COMPUTED_VALUE"""),"Outside/Off-Property")</f>
        <v>Outside/Off-Property</v>
      </c>
      <c r="AS733" s="8">
        <f ca="1">IFERROR(__xludf.DUMMYFUNCTION("""COMPUTED_VALUE"""),99)</f>
        <v>99</v>
      </c>
      <c r="AT733" s="8"/>
      <c r="AU733" s="8">
        <f ca="1">IFERROR(__xludf.DUMMYFUNCTION("""COMPUTED_VALUE"""),34.56419)</f>
        <v>34.564190000000004</v>
      </c>
      <c r="AV733" s="8">
        <f ca="1">IFERROR(__xludf.DUMMYFUNCTION("""COMPUTED_VALUE"""),-118.008084)</f>
        <v>-118.008084</v>
      </c>
      <c r="AW733" s="8"/>
      <c r="AX733" s="8">
        <f ca="1">IFERROR(__xludf.DUMMYFUNCTION("""COMPUTED_VALUE"""),93552)</f>
        <v>93552</v>
      </c>
    </row>
    <row r="734" spans="1:50" ht="150" x14ac:dyDescent="0.2">
      <c r="A734" s="8" t="str">
        <f ca="1">IFERROR(__xludf.DUMMYFUNCTION("""COMPUTED_VALUE"""),"20230428TNWEK")</f>
        <v>20230428TNWEK</v>
      </c>
      <c r="B734" s="8">
        <f ca="1">IFERROR(__xludf.DUMMYFUNCTION("""COMPUTED_VALUE"""),4)</f>
        <v>4</v>
      </c>
      <c r="C734" s="8">
        <f ca="1">IFERROR(__xludf.DUMMYFUNCTION("""COMPUTED_VALUE"""),28)</f>
        <v>28</v>
      </c>
      <c r="D734" s="8">
        <f ca="1">IFERROR(__xludf.DUMMYFUNCTION("""COMPUTED_VALUE"""),2023)</f>
        <v>2023</v>
      </c>
      <c r="E734" s="9">
        <f ca="1">IFERROR(__xludf.DUMMYFUNCTION("""COMPUTED_VALUE"""),45044)</f>
        <v>45044</v>
      </c>
      <c r="F734" s="8" t="str">
        <f ca="1">IFERROR(__xludf.DUMMYFUNCTION("""COMPUTED_VALUE"""),"West High School")</f>
        <v>West High School</v>
      </c>
      <c r="G734" s="8">
        <f ca="1">IFERROR(__xludf.DUMMYFUNCTION("""COMPUTED_VALUE"""),0)</f>
        <v>0</v>
      </c>
      <c r="H734" s="8">
        <f ca="1">IFERROR(__xludf.DUMMYFUNCTION("""COMPUTED_VALUE"""),1)</f>
        <v>1</v>
      </c>
      <c r="I734" s="8">
        <f ca="1">IFERROR(__xludf.DUMMYFUNCTION("""COMPUTED_VALUE"""),1)</f>
        <v>1</v>
      </c>
      <c r="J734" s="8">
        <f ca="1">IFERROR(__xludf.DUMMYFUNCTION("""COMPUTED_VALUE"""),0)</f>
        <v>0</v>
      </c>
      <c r="K734" s="10" t="str">
        <f ca="1">IFERROR(__xludf.DUMMYFUNCTION("""COMPUTED_VALUE"""),"https://www.wvlt.tv/2023/04/28/west-high-school-dismisses-after-lockdown/")</f>
        <v>https://www.wvlt.tv/2023/04/28/west-high-school-dismisses-after-lockdown/</v>
      </c>
      <c r="L734" s="8">
        <f ca="1">IFERROR(__xludf.DUMMYFUNCTION("""COMPUTED_VALUE"""),20)</f>
        <v>20</v>
      </c>
      <c r="M734" s="8" t="str">
        <f ca="1">IFERROR(__xludf.DUMMYFUNCTION("""COMPUTED_VALUE"""),"National")</f>
        <v>National</v>
      </c>
      <c r="N734" s="8">
        <f ca="1">IFERROR(__xludf.DUMMYFUNCTION("""COMPUTED_VALUE"""),4)</f>
        <v>4</v>
      </c>
      <c r="O734" s="8" t="str">
        <f ca="1">IFERROR(__xludf.DUMMYFUNCTION("""COMPUTED_VALUE"""),"Spring")</f>
        <v>Spring</v>
      </c>
      <c r="P734" s="8" t="str">
        <f ca="1">IFERROR(__xludf.DUMMYFUNCTION("""COMPUTED_VALUE"""),"Knoxville")</f>
        <v>Knoxville</v>
      </c>
      <c r="Q734" s="8" t="str">
        <f ca="1">IFERROR(__xludf.DUMMYFUNCTION("""COMPUTED_VALUE"""),"TN")</f>
        <v>TN</v>
      </c>
      <c r="R734" s="8" t="str">
        <f ca="1">IFERROR(__xludf.DUMMYFUNCTION("""COMPUTED_VALUE"""),"High")</f>
        <v>High</v>
      </c>
      <c r="S734" s="8" t="str">
        <f ca="1">IFERROR(__xludf.DUMMYFUNCTION("""COMPUTED_VALUE"""),"Classroom")</f>
        <v>Classroom</v>
      </c>
      <c r="T734" s="8" t="str">
        <f ca="1">IFERROR(__xludf.DUMMYFUNCTION("""COMPUTED_VALUE"""),"Inside School Building")</f>
        <v>Inside School Building</v>
      </c>
      <c r="U734" s="8" t="str">
        <f ca="1">IFERROR(__xludf.DUMMYFUNCTION("""COMPUTED_VALUE"""),"Yes")</f>
        <v>Yes</v>
      </c>
      <c r="V734" s="8" t="str">
        <f ca="1">IFERROR(__xludf.DUMMYFUNCTION("""COMPUTED_VALUE"""),"Morning Classes")</f>
        <v>Morning Classes</v>
      </c>
      <c r="W734" s="11">
        <f ca="1">IFERROR(__xludf.DUMMYFUNCTION("""COMPUTED_VALUE"""),0.4375)</f>
        <v>0.4375</v>
      </c>
      <c r="X734" s="8">
        <f ca="1">IFERROR(__xludf.DUMMYFUNCTION("""COMPUTED_VALUE"""),1)</f>
        <v>1</v>
      </c>
      <c r="Y734" s="12" t="str">
        <f ca="1">IFERROR(__xludf.DUMMYFUNCTION("""COMPUTED_VALUE"""),"Gun fired inside student's backpack, struck teacher")</f>
        <v>Gun fired inside student's backpack, struck teacher</v>
      </c>
      <c r="Z734" s="12" t="str">
        <f ca="1">IFERROR(__xludf.DUMMYFUNCTION("""COMPUTED_VALUE"""),"Authorities are investigating after a teacher was “grazed” when a firearm discharged in a classroom at West High School on Friday, according to the Knoxville Police Department. KPD later released that one student was charged. Knoxville Police say the stud"&amp;"ent charged was identified as a 14-year-old male, however, his identity was withheld because he is a juvenile. According to police, the gun was inside the backpack of a student at West High School when it discharged in a classroom, according to a Knoxvill"&amp;"e Police preliminary investigation.")</f>
        <v>Authorities are investigating after a teacher was “grazed” when a firearm discharged in a classroom at West High School on Friday, according to the Knoxville Police Department. KPD later released that one student was charged. Knoxville Police say the student charged was identified as a 14-year-old male, however, his identity was withheld because he is a juvenile. According to police, the gun was inside the backpack of a student at West High School when it discharged in a classroom, according to a Knoxville Police preliminary investigation.</v>
      </c>
      <c r="AA734" s="8" t="str">
        <f ca="1">IFERROR(__xludf.DUMMYFUNCTION("""COMPUTED_VALUE"""),"Accidental")</f>
        <v>Accidental</v>
      </c>
      <c r="AB734" s="8"/>
      <c r="AC734" s="8" t="str">
        <f ca="1">IFERROR(__xludf.DUMMYFUNCTION("""COMPUTED_VALUE"""),"Yes")</f>
        <v>Yes</v>
      </c>
      <c r="AD734" s="8" t="str">
        <f ca="1">IFERROR(__xludf.DUMMYFUNCTION("""COMPUTED_VALUE"""),"Random Shooting")</f>
        <v>Random Shooting</v>
      </c>
      <c r="AE734" s="8" t="str">
        <f ca="1">IFERROR(__xludf.DUMMYFUNCTION("""COMPUTED_VALUE"""),"No")</f>
        <v>No</v>
      </c>
      <c r="AF734" s="8"/>
      <c r="AG734" s="8" t="str">
        <f ca="1">IFERROR(__xludf.DUMMYFUNCTION("""COMPUTED_VALUE"""),"No")</f>
        <v>No</v>
      </c>
      <c r="AH734" s="8" t="str">
        <f ca="1">IFERROR(__xludf.DUMMYFUNCTION("""COMPUTED_VALUE"""),"No")</f>
        <v>No</v>
      </c>
      <c r="AI734" s="8" t="str">
        <f ca="1">IFERROR(__xludf.DUMMYFUNCTION("""COMPUTED_VALUE"""),"No")</f>
        <v>No</v>
      </c>
      <c r="AJ734" s="8"/>
      <c r="AK734" s="8" t="str">
        <f ca="1">IFERROR(__xludf.DUMMYFUNCTION("""COMPUTED_VALUE"""),"No")</f>
        <v>No</v>
      </c>
      <c r="AL734" s="8" t="str">
        <f ca="1">IFERROR(__xludf.DUMMYFUNCTION("""COMPUTED_VALUE"""),"No")</f>
        <v>No</v>
      </c>
      <c r="AM734" s="8" t="str">
        <f ca="1">IFERROR(__xludf.DUMMYFUNCTION("""COMPUTED_VALUE"""),"No")</f>
        <v>No</v>
      </c>
      <c r="AN734" s="8" t="str">
        <f ca="1">IFERROR(__xludf.DUMMYFUNCTION("""COMPUTED_VALUE"""),"Single Room")</f>
        <v>Single Room</v>
      </c>
      <c r="AO734" s="8" t="str">
        <f ca="1">IFERROR(__xludf.DUMMYFUNCTION("""COMPUTED_VALUE"""),"No")</f>
        <v>No</v>
      </c>
      <c r="AP734" s="8"/>
      <c r="AQ734" s="8"/>
      <c r="AR734" s="8" t="str">
        <f ca="1">IFERROR(__xludf.DUMMYFUNCTION("""COMPUTED_VALUE"""),"Failed")</f>
        <v>Failed</v>
      </c>
      <c r="AS734" s="8">
        <f ca="1">IFERROR(__xludf.DUMMYFUNCTION("""COMPUTED_VALUE"""),1)</f>
        <v>1</v>
      </c>
      <c r="AT734" s="8" t="str">
        <f ca="1">IFERROR(__xludf.DUMMYFUNCTION("""COMPUTED_VALUE"""),"Yes")</f>
        <v>Yes</v>
      </c>
      <c r="AU734" s="8">
        <f ca="1">IFERROR(__xludf.DUMMYFUNCTION("""COMPUTED_VALUE"""),35.948547)</f>
        <v>35.948546999999998</v>
      </c>
      <c r="AV734" s="8">
        <f ca="1">IFERROR(__xludf.DUMMYFUNCTION("""COMPUTED_VALUE"""),-83.972722)</f>
        <v>-83.972722000000005</v>
      </c>
      <c r="AW734" s="8"/>
      <c r="AX734" s="8">
        <f ca="1">IFERROR(__xludf.DUMMYFUNCTION("""COMPUTED_VALUE"""),37919)</f>
        <v>37919</v>
      </c>
    </row>
    <row r="735" spans="1:50" ht="60" x14ac:dyDescent="0.2">
      <c r="A735" s="8" t="str">
        <f ca="1">IFERROR(__xludf.DUMMYFUNCTION("""COMPUTED_VALUE"""),"20230427VAGER")</f>
        <v>20230427VAGER</v>
      </c>
      <c r="B735" s="8">
        <f ca="1">IFERROR(__xludf.DUMMYFUNCTION("""COMPUTED_VALUE"""),4)</f>
        <v>4</v>
      </c>
      <c r="C735" s="8">
        <f ca="1">IFERROR(__xludf.DUMMYFUNCTION("""COMPUTED_VALUE"""),27)</f>
        <v>27</v>
      </c>
      <c r="D735" s="8">
        <f ca="1">IFERROR(__xludf.DUMMYFUNCTION("""COMPUTED_VALUE"""),2023)</f>
        <v>2023</v>
      </c>
      <c r="E735" s="9">
        <f ca="1">IFERROR(__xludf.DUMMYFUNCTION("""COMPUTED_VALUE"""),45043)</f>
        <v>45043</v>
      </c>
      <c r="F735" s="8" t="str">
        <f ca="1">IFERROR(__xludf.DUMMYFUNCTION("""COMPUTED_VALUE"""),"George Wythe High School")</f>
        <v>George Wythe High School</v>
      </c>
      <c r="G735" s="8">
        <f ca="1">IFERROR(__xludf.DUMMYFUNCTION("""COMPUTED_VALUE"""),0)</f>
        <v>0</v>
      </c>
      <c r="H735" s="8">
        <f ca="1">IFERROR(__xludf.DUMMYFUNCTION("""COMPUTED_VALUE"""),2)</f>
        <v>2</v>
      </c>
      <c r="I735" s="8">
        <f ca="1">IFERROR(__xludf.DUMMYFUNCTION("""COMPUTED_VALUE"""),2)</f>
        <v>2</v>
      </c>
      <c r="J735" s="8">
        <f ca="1">IFERROR(__xludf.DUMMYFUNCTION("""COMPUTED_VALUE"""),0)</f>
        <v>0</v>
      </c>
      <c r="K735" s="8" t="str">
        <f ca="1">IFERROR(__xludf.DUMMYFUNCTION("""COMPUTED_VALUE"""),"https://www.wtvr.com/news/local-news/george-wythe-high-school-shooting-april-27-2023
https://www.nbc12.com/2023/04/30/police-arrest-student-attempted-murder-george-wythe-shooting/")</f>
        <v>https://www.wtvr.com/news/local-news/george-wythe-high-school-shooting-april-27-2023
https://www.nbc12.com/2023/04/30/police-arrest-student-attempted-murder-george-wythe-shooting/</v>
      </c>
      <c r="L735" s="8">
        <f ca="1">IFERROR(__xludf.DUMMYFUNCTION("""COMPUTED_VALUE"""),20)</f>
        <v>20</v>
      </c>
      <c r="M735" s="8" t="str">
        <f ca="1">IFERROR(__xludf.DUMMYFUNCTION("""COMPUTED_VALUE"""),"Regional")</f>
        <v>Regional</v>
      </c>
      <c r="N735" s="8">
        <f ca="1">IFERROR(__xludf.DUMMYFUNCTION("""COMPUTED_VALUE"""),4)</f>
        <v>4</v>
      </c>
      <c r="O735" s="8" t="str">
        <f ca="1">IFERROR(__xludf.DUMMYFUNCTION("""COMPUTED_VALUE"""),"Spring")</f>
        <v>Spring</v>
      </c>
      <c r="P735" s="8" t="str">
        <f ca="1">IFERROR(__xludf.DUMMYFUNCTION("""COMPUTED_VALUE"""),"Richmond")</f>
        <v>Richmond</v>
      </c>
      <c r="Q735" s="8" t="str">
        <f ca="1">IFERROR(__xludf.DUMMYFUNCTION("""COMPUTED_VALUE"""),"VA")</f>
        <v>VA</v>
      </c>
      <c r="R735" s="8" t="str">
        <f ca="1">IFERROR(__xludf.DUMMYFUNCTION("""COMPUTED_VALUE"""),"High")</f>
        <v>High</v>
      </c>
      <c r="S735" s="8" t="str">
        <f ca="1">IFERROR(__xludf.DUMMYFUNCTION("""COMPUTED_VALUE"""),"Parking Lot")</f>
        <v>Parking Lot</v>
      </c>
      <c r="T735" s="8" t="str">
        <f ca="1">IFERROR(__xludf.DUMMYFUNCTION("""COMPUTED_VALUE"""),"Outside on School Property")</f>
        <v>Outside on School Property</v>
      </c>
      <c r="U735" s="8" t="str">
        <f ca="1">IFERROR(__xludf.DUMMYFUNCTION("""COMPUTED_VALUE"""),"Yes")</f>
        <v>Yes</v>
      </c>
      <c r="V735" s="8" t="str">
        <f ca="1">IFERROR(__xludf.DUMMYFUNCTION("""COMPUTED_VALUE"""),"Lunch")</f>
        <v>Lunch</v>
      </c>
      <c r="W735" s="11">
        <f ca="1">IFERROR(__xludf.DUMMYFUNCTION("""COMPUTED_VALUE"""),0.501388888888888)</f>
        <v>0.501388888888888</v>
      </c>
      <c r="X735" s="8">
        <f ca="1">IFERROR(__xludf.DUMMYFUNCTION("""COMPUTED_VALUE"""),1)</f>
        <v>1</v>
      </c>
      <c r="Y735" s="12" t="str">
        <f ca="1">IFERROR(__xludf.DUMMYFUNCTION("""COMPUTED_VALUE"""),"Two students shot in school parking lot during lunch")</f>
        <v>Two students shot in school parking lot during lunch</v>
      </c>
      <c r="Z735" s="12" t="str">
        <f ca="1">IFERROR(__xludf.DUMMYFUNCTION("""COMPUTED_VALUE"""),"Two students were shot in the school parking lot during lunch. One student was transported in critical condition. Shooter fled before police arrived. School went on lockdown.")</f>
        <v>Two students were shot in the school parking lot during lunch. One student was transported in critical condition. Shooter fled before police arrived. School went on lockdown.</v>
      </c>
      <c r="AA735" s="8"/>
      <c r="AB735" s="8"/>
      <c r="AC735" s="8" t="str">
        <f ca="1">IFERROR(__xludf.DUMMYFUNCTION("""COMPUTED_VALUE"""),"Yes")</f>
        <v>Yes</v>
      </c>
      <c r="AD735" s="8"/>
      <c r="AE735" s="8"/>
      <c r="AF735" s="8"/>
      <c r="AG735" s="8" t="str">
        <f ca="1">IFERROR(__xludf.DUMMYFUNCTION("""COMPUTED_VALUE"""),"No")</f>
        <v>No</v>
      </c>
      <c r="AH735" s="8" t="str">
        <f ca="1">IFERROR(__xludf.DUMMYFUNCTION("""COMPUTED_VALUE"""),"No")</f>
        <v>No</v>
      </c>
      <c r="AI735" s="8" t="str">
        <f ca="1">IFERROR(__xludf.DUMMYFUNCTION("""COMPUTED_VALUE"""),"No")</f>
        <v>No</v>
      </c>
      <c r="AJ735" s="8"/>
      <c r="AK735" s="8" t="str">
        <f ca="1">IFERROR(__xludf.DUMMYFUNCTION("""COMPUTED_VALUE"""),"No")</f>
        <v>No</v>
      </c>
      <c r="AL735" s="8"/>
      <c r="AM735" s="8" t="str">
        <f ca="1">IFERROR(__xludf.DUMMYFUNCTION("""COMPUTED_VALUE"""),"No")</f>
        <v>No</v>
      </c>
      <c r="AN735" s="8" t="str">
        <f ca="1">IFERROR(__xludf.DUMMYFUNCTION("""COMPUTED_VALUE"""),"Outside")</f>
        <v>Outside</v>
      </c>
      <c r="AO735" s="8" t="str">
        <f ca="1">IFERROR(__xludf.DUMMYFUNCTION("""COMPUTED_VALUE"""),"No")</f>
        <v>No</v>
      </c>
      <c r="AP735" s="8"/>
      <c r="AQ735" s="8"/>
      <c r="AR735" s="8" t="str">
        <f ca="1">IFERROR(__xludf.DUMMYFUNCTION("""COMPUTED_VALUE"""),"Outside/Off-Property")</f>
        <v>Outside/Off-Property</v>
      </c>
      <c r="AS735" s="8">
        <f ca="1">IFERROR(__xludf.DUMMYFUNCTION("""COMPUTED_VALUE"""),99)</f>
        <v>99</v>
      </c>
      <c r="AT735" s="8" t="str">
        <f ca="1">IFERROR(__xludf.DUMMYFUNCTION("""COMPUTED_VALUE"""),"Yes")</f>
        <v>Yes</v>
      </c>
      <c r="AU735" s="8">
        <f ca="1">IFERROR(__xludf.DUMMYFUNCTION("""COMPUTED_VALUE"""),37.509751)</f>
        <v>37.509751000000001</v>
      </c>
      <c r="AV735" s="8">
        <f ca="1">IFERROR(__xludf.DUMMYFUNCTION("""COMPUTED_VALUE"""),-77.48296)</f>
        <v>-77.482960000000006</v>
      </c>
      <c r="AW735" s="8"/>
      <c r="AX735" s="8">
        <f ca="1">IFERROR(__xludf.DUMMYFUNCTION("""COMPUTED_VALUE"""),23224)</f>
        <v>23224</v>
      </c>
    </row>
    <row r="736" spans="1:50" ht="45" x14ac:dyDescent="0.2">
      <c r="A736" s="8" t="str">
        <f ca="1">IFERROR(__xludf.DUMMYFUNCTION("""COMPUTED_VALUE"""),"20230427GACHK")</f>
        <v>20230427GACHK</v>
      </c>
      <c r="B736" s="8">
        <f ca="1">IFERROR(__xludf.DUMMYFUNCTION("""COMPUTED_VALUE"""),4)</f>
        <v>4</v>
      </c>
      <c r="C736" s="8">
        <f ca="1">IFERROR(__xludf.DUMMYFUNCTION("""COMPUTED_VALUE"""),27)</f>
        <v>27</v>
      </c>
      <c r="D736" s="8">
        <f ca="1">IFERROR(__xludf.DUMMYFUNCTION("""COMPUTED_VALUE"""),2023)</f>
        <v>2023</v>
      </c>
      <c r="E736" s="9">
        <f ca="1">IFERROR(__xludf.DUMMYFUNCTION("""COMPUTED_VALUE"""),45043)</f>
        <v>45043</v>
      </c>
      <c r="F736" s="8" t="str">
        <f ca="1">IFERROR(__xludf.DUMMYFUNCTION("""COMPUTED_VALUE"""),"Chalker Elementary School")</f>
        <v>Chalker Elementary School</v>
      </c>
      <c r="G736" s="8">
        <f ca="1">IFERROR(__xludf.DUMMYFUNCTION("""COMPUTED_VALUE"""),0)</f>
        <v>0</v>
      </c>
      <c r="H736" s="8">
        <f ca="1">IFERROR(__xludf.DUMMYFUNCTION("""COMPUTED_VALUE"""),0)</f>
        <v>0</v>
      </c>
      <c r="I736" s="8">
        <f ca="1">IFERROR(__xludf.DUMMYFUNCTION("""COMPUTED_VALUE"""),0)</f>
        <v>0</v>
      </c>
      <c r="J736" s="8">
        <f ca="1">IFERROR(__xludf.DUMMYFUNCTION("""COMPUTED_VALUE"""),0)</f>
        <v>0</v>
      </c>
      <c r="K736" s="10" t="str">
        <f ca="1">IFERROR(__xludf.DUMMYFUNCTION("""COMPUTED_VALUE"""),"https://www.wsbtv.com/news/local/cobb-county/cobb-county-elementary-school-shot-up-twice-one-week/BSDU7XIKN5BOHFF6C5MIIPLLJQ/
https://www.ajc.com/education/bullet-damage-found-twice-at-cobb-county-elementary-school/KZVVQFK33VFVPK7AIBKELPI62A/")</f>
        <v>https://www.wsbtv.com/news/local/cobb-county/cobb-county-elementary-school-shot-up-twice-one-week/BSDU7XIKN5BOHFF6C5MIIPLLJQ/
https://www.ajc.com/education/bullet-damage-found-twice-at-cobb-county-elementary-school/KZVVQFK33VFVPK7AIBKELPI62A/</v>
      </c>
      <c r="L736" s="8">
        <f ca="1">IFERROR(__xludf.DUMMYFUNCTION("""COMPUTED_VALUE"""),20)</f>
        <v>20</v>
      </c>
      <c r="M736" s="8" t="str">
        <f ca="1">IFERROR(__xludf.DUMMYFUNCTION("""COMPUTED_VALUE"""),"Regional")</f>
        <v>Regional</v>
      </c>
      <c r="N736" s="8">
        <f ca="1">IFERROR(__xludf.DUMMYFUNCTION("""COMPUTED_VALUE"""),4)</f>
        <v>4</v>
      </c>
      <c r="O736" s="8" t="str">
        <f ca="1">IFERROR(__xludf.DUMMYFUNCTION("""COMPUTED_VALUE"""),"Spring")</f>
        <v>Spring</v>
      </c>
      <c r="P736" s="8" t="str">
        <f ca="1">IFERROR(__xludf.DUMMYFUNCTION("""COMPUTED_VALUE"""),"Kennesaw")</f>
        <v>Kennesaw</v>
      </c>
      <c r="Q736" s="8" t="str">
        <f ca="1">IFERROR(__xludf.DUMMYFUNCTION("""COMPUTED_VALUE"""),"GA")</f>
        <v>GA</v>
      </c>
      <c r="R736" s="8" t="str">
        <f ca="1">IFERROR(__xludf.DUMMYFUNCTION("""COMPUTED_VALUE"""),"Elementary")</f>
        <v>Elementary</v>
      </c>
      <c r="S736" s="8" t="str">
        <f ca="1">IFERROR(__xludf.DUMMYFUNCTION("""COMPUTED_VALUE"""),"Beside Building")</f>
        <v>Beside Building</v>
      </c>
      <c r="T736" s="8" t="str">
        <f ca="1">IFERROR(__xludf.DUMMYFUNCTION("""COMPUTED_VALUE"""),"Outside on School Property")</f>
        <v>Outside on School Property</v>
      </c>
      <c r="U736" s="8" t="str">
        <f ca="1">IFERROR(__xludf.DUMMYFUNCTION("""COMPUTED_VALUE"""),"No")</f>
        <v>No</v>
      </c>
      <c r="V736" s="8" t="str">
        <f ca="1">IFERROR(__xludf.DUMMYFUNCTION("""COMPUTED_VALUE"""),"Night")</f>
        <v>Night</v>
      </c>
      <c r="W736" s="8"/>
      <c r="X736" s="8">
        <f ca="1">IFERROR(__xludf.DUMMYFUNCTION("""COMPUTED_VALUE"""),1)</f>
        <v>1</v>
      </c>
      <c r="Y736" s="12" t="str">
        <f ca="1">IFERROR(__xludf.DUMMYFUNCTION("""COMPUTED_VALUE"""),"School building intentionally shot")</f>
        <v>School building intentionally shot</v>
      </c>
      <c r="Z736" s="12" t="str">
        <f ca="1">IFERROR(__xludf.DUMMYFUNCTION("""COMPUTED_VALUE"""),"School building was intentionally shot overnight. A door of the school was intentionally shot the prior week. Police describe the shooting as ""more than vandalism"". ")</f>
        <v xml:space="preserve">School building was intentionally shot overnight. A door of the school was intentionally shot the prior week. Police describe the shooting as "more than vandalism". </v>
      </c>
      <c r="AA736" s="8" t="str">
        <f ca="1">IFERROR(__xludf.DUMMYFUNCTION("""COMPUTED_VALUE"""),"Intentional Property Damage")</f>
        <v>Intentional Property Damage</v>
      </c>
      <c r="AB736" s="8"/>
      <c r="AC736" s="8" t="str">
        <f ca="1">IFERROR(__xludf.DUMMYFUNCTION("""COMPUTED_VALUE"""),"No")</f>
        <v>No</v>
      </c>
      <c r="AD736" s="8" t="str">
        <f ca="1">IFERROR(__xludf.DUMMYFUNCTION("""COMPUTED_VALUE"""),"Neither")</f>
        <v>Neither</v>
      </c>
      <c r="AE736" s="8"/>
      <c r="AF736" s="8"/>
      <c r="AG736" s="8" t="str">
        <f ca="1">IFERROR(__xludf.DUMMYFUNCTION("""COMPUTED_VALUE"""),"No")</f>
        <v>No</v>
      </c>
      <c r="AH736" s="8" t="str">
        <f ca="1">IFERROR(__xludf.DUMMYFUNCTION("""COMPUTED_VALUE"""),"No")</f>
        <v>No</v>
      </c>
      <c r="AI736" s="8" t="str">
        <f ca="1">IFERROR(__xludf.DUMMYFUNCTION("""COMPUTED_VALUE"""),"No")</f>
        <v>No</v>
      </c>
      <c r="AJ736" s="8"/>
      <c r="AK736" s="8" t="str">
        <f ca="1">IFERROR(__xludf.DUMMYFUNCTION("""COMPUTED_VALUE"""),"No")</f>
        <v>No</v>
      </c>
      <c r="AL736" s="8" t="str">
        <f ca="1">IFERROR(__xludf.DUMMYFUNCTION("""COMPUTED_VALUE"""),"No")</f>
        <v>No</v>
      </c>
      <c r="AM736" s="8" t="str">
        <f ca="1">IFERROR(__xludf.DUMMYFUNCTION("""COMPUTED_VALUE"""),"No")</f>
        <v>No</v>
      </c>
      <c r="AN736" s="8" t="str">
        <f ca="1">IFERROR(__xludf.DUMMYFUNCTION("""COMPUTED_VALUE"""),"Outside")</f>
        <v>Outside</v>
      </c>
      <c r="AO736" s="8" t="str">
        <f ca="1">IFERROR(__xludf.DUMMYFUNCTION("""COMPUTED_VALUE"""),"No")</f>
        <v>No</v>
      </c>
      <c r="AP736" s="8"/>
      <c r="AQ736" s="8"/>
      <c r="AR736" s="8" t="str">
        <f ca="1">IFERROR(__xludf.DUMMYFUNCTION("""COMPUTED_VALUE"""),"Outside/Off-Property")</f>
        <v>Outside/Off-Property</v>
      </c>
      <c r="AS736" s="8">
        <f ca="1">IFERROR(__xludf.DUMMYFUNCTION("""COMPUTED_VALUE"""),99)</f>
        <v>99</v>
      </c>
      <c r="AT736" s="8"/>
      <c r="AU736" s="8">
        <f ca="1">IFERROR(__xludf.DUMMYFUNCTION("""COMPUTED_VALUE"""),34.046375)</f>
        <v>34.046374999999998</v>
      </c>
      <c r="AV736" s="8">
        <f ca="1">IFERROR(__xludf.DUMMYFUNCTION("""COMPUTED_VALUE"""),-84.561071)</f>
        <v>-84.561070999999998</v>
      </c>
      <c r="AW736" s="8"/>
      <c r="AX736" s="8">
        <f ca="1">IFERROR(__xludf.DUMMYFUNCTION("""COMPUTED_VALUE"""),30144)</f>
        <v>30144</v>
      </c>
    </row>
    <row r="737" spans="1:50" ht="150" x14ac:dyDescent="0.2">
      <c r="A737" s="8" t="str">
        <f ca="1">IFERROR(__xludf.DUMMYFUNCTION("""COMPUTED_VALUE"""),"20230426MNLIH")</f>
        <v>20230426MNLIH</v>
      </c>
      <c r="B737" s="8">
        <f ca="1">IFERROR(__xludf.DUMMYFUNCTION("""COMPUTED_VALUE"""),4)</f>
        <v>4</v>
      </c>
      <c r="C737" s="8">
        <f ca="1">IFERROR(__xludf.DUMMYFUNCTION("""COMPUTED_VALUE"""),26)</f>
        <v>26</v>
      </c>
      <c r="D737" s="8">
        <f ca="1">IFERROR(__xludf.DUMMYFUNCTION("""COMPUTED_VALUE"""),2023)</f>
        <v>2023</v>
      </c>
      <c r="E737" s="9">
        <f ca="1">IFERROR(__xludf.DUMMYFUNCTION("""COMPUTED_VALUE"""),45042)</f>
        <v>45042</v>
      </c>
      <c r="F737" s="8" t="str">
        <f ca="1">IFERROR(__xludf.DUMMYFUNCTION("""COMPUTED_VALUE"""),"Lincoln Elementary School")</f>
        <v>Lincoln Elementary School</v>
      </c>
      <c r="G737" s="8">
        <f ca="1">IFERROR(__xludf.DUMMYFUNCTION("""COMPUTED_VALUE"""),0)</f>
        <v>0</v>
      </c>
      <c r="H737" s="8">
        <f ca="1">IFERROR(__xludf.DUMMYFUNCTION("""COMPUTED_VALUE"""),0)</f>
        <v>0</v>
      </c>
      <c r="I737" s="8">
        <f ca="1">IFERROR(__xludf.DUMMYFUNCTION("""COMPUTED_VALUE"""),0)</f>
        <v>0</v>
      </c>
      <c r="J737" s="8">
        <f ca="1">IFERROR(__xludf.DUMMYFUNCTION("""COMPUTED_VALUE"""),0)</f>
        <v>0</v>
      </c>
      <c r="K737" s="10" t="str">
        <f ca="1">IFERROR(__xludf.DUMMYFUNCTION("""COMPUTED_VALUE"""),"https://www.valleynewslive.com/2023/04/26/hibbing-students-shot-with-airsoft-gun-during-recess-drive-by-investigation-underway/
https://www.wdio.com/front-page/top-stories/10-students-struck-by-air-soft-gun-at-recess/")</f>
        <v>https://www.valleynewslive.com/2023/04/26/hibbing-students-shot-with-airsoft-gun-during-recess-drive-by-investigation-underway/
https://www.wdio.com/front-page/top-stories/10-students-struck-by-air-soft-gun-at-recess/</v>
      </c>
      <c r="L737" s="8">
        <f ca="1">IFERROR(__xludf.DUMMYFUNCTION("""COMPUTED_VALUE"""),5)</f>
        <v>5</v>
      </c>
      <c r="M737" s="8" t="str">
        <f ca="1">IFERROR(__xludf.DUMMYFUNCTION("""COMPUTED_VALUE"""),"Local")</f>
        <v>Local</v>
      </c>
      <c r="N737" s="8">
        <f ca="1">IFERROR(__xludf.DUMMYFUNCTION("""COMPUTED_VALUE"""),4)</f>
        <v>4</v>
      </c>
      <c r="O737" s="8" t="str">
        <f ca="1">IFERROR(__xludf.DUMMYFUNCTION("""COMPUTED_VALUE"""),"Spring")</f>
        <v>Spring</v>
      </c>
      <c r="P737" s="8" t="str">
        <f ca="1">IFERROR(__xludf.DUMMYFUNCTION("""COMPUTED_VALUE"""),"Hibbing")</f>
        <v>Hibbing</v>
      </c>
      <c r="Q737" s="8" t="str">
        <f ca="1">IFERROR(__xludf.DUMMYFUNCTION("""COMPUTED_VALUE"""),"MN")</f>
        <v>MN</v>
      </c>
      <c r="R737" s="8" t="str">
        <f ca="1">IFERROR(__xludf.DUMMYFUNCTION("""COMPUTED_VALUE"""),"Elementary")</f>
        <v>Elementary</v>
      </c>
      <c r="S737" s="8" t="str">
        <f ca="1">IFERROR(__xludf.DUMMYFUNCTION("""COMPUTED_VALUE"""),"Playground")</f>
        <v>Playground</v>
      </c>
      <c r="T737" s="8" t="str">
        <f ca="1">IFERROR(__xludf.DUMMYFUNCTION("""COMPUTED_VALUE"""),"Outside on School Property")</f>
        <v>Outside on School Property</v>
      </c>
      <c r="U737" s="8" t="str">
        <f ca="1">IFERROR(__xludf.DUMMYFUNCTION("""COMPUTED_VALUE"""),"Yes")</f>
        <v>Yes</v>
      </c>
      <c r="V737" s="8" t="str">
        <f ca="1">IFERROR(__xludf.DUMMYFUNCTION("""COMPUTED_VALUE"""),"Afternoon Classes")</f>
        <v>Afternoon Classes</v>
      </c>
      <c r="W737" s="11">
        <f ca="1">IFERROR(__xludf.DUMMYFUNCTION("""COMPUTED_VALUE"""),0.541666666666666)</f>
        <v>0.54166666666666596</v>
      </c>
      <c r="X737" s="8">
        <f ca="1">IFERROR(__xludf.DUMMYFUNCTION("""COMPUTED_VALUE"""),1)</f>
        <v>1</v>
      </c>
      <c r="Y737" s="12" t="str">
        <f ca="1">IFERROR(__xludf.DUMMYFUNCTION("""COMPUTED_VALUE"""),"10 elementary school students were shot by 3 teens with pellet guns during recess")</f>
        <v>10 elementary school students were shot by 3 teens with pellet guns during recess</v>
      </c>
      <c r="Z737" s="12" t="str">
        <f ca="1">IFERROR(__xludf.DUMMYFUNCTION("""COMPUTED_VALUE"""),"Around 1:00pm, Hibbing Police Officers were dispatched to Lincoln Elementary School to the report that a group of teens in a vehicle driving by shot at multiple kids on the playground. Security footage helped officers locate the three teens who are studen"&amp;"ts at Hibbing High School. HPD says possible charges will be sent to the St. Louis County Attorney’s Office once the investigation is complete. In a statement from Hibbing Police, Chief Steve Estey would like the public to know they “take incidents like t"&amp;"his very seriously.”")</f>
        <v>Around 1:00pm, Hibbing Police Officers were dispatched to Lincoln Elementary School to the report that a group of teens in a vehicle driving by shot at multiple kids on the playground. Security footage helped officers locate the three teens who are students at Hibbing High School. HPD says possible charges will be sent to the St. Louis County Attorney’s Office once the investigation is complete. In a statement from Hibbing Police, Chief Steve Estey would like the public to know they “take incidents like this very seriously.”</v>
      </c>
      <c r="AA737" s="8" t="str">
        <f ca="1">IFERROR(__xludf.DUMMYFUNCTION("""COMPUTED_VALUE"""),"Drive-by Shooting")</f>
        <v>Drive-by Shooting</v>
      </c>
      <c r="AB737" s="8"/>
      <c r="AC737" s="8" t="str">
        <f ca="1">IFERROR(__xludf.DUMMYFUNCTION("""COMPUTED_VALUE"""),"Yes")</f>
        <v>Yes</v>
      </c>
      <c r="AD737" s="8" t="str">
        <f ca="1">IFERROR(__xludf.DUMMYFUNCTION("""COMPUTED_VALUE"""),"Random Shooting")</f>
        <v>Random Shooting</v>
      </c>
      <c r="AE737" s="8" t="str">
        <f ca="1">IFERROR(__xludf.DUMMYFUNCTION("""COMPUTED_VALUE"""),"Yes")</f>
        <v>Yes</v>
      </c>
      <c r="AF737" s="8" t="str">
        <f ca="1">IFERROR(__xludf.DUMMYFUNCTION("""COMPUTED_VALUE"""),"Three teens in vehcile")</f>
        <v>Three teens in vehcile</v>
      </c>
      <c r="AG737" s="8" t="str">
        <f ca="1">IFERROR(__xludf.DUMMYFUNCTION("""COMPUTED_VALUE"""),"No")</f>
        <v>No</v>
      </c>
      <c r="AH737" s="8" t="str">
        <f ca="1">IFERROR(__xludf.DUMMYFUNCTION("""COMPUTED_VALUE"""),"No")</f>
        <v>No</v>
      </c>
      <c r="AI737" s="8" t="str">
        <f ca="1">IFERROR(__xludf.DUMMYFUNCTION("""COMPUTED_VALUE"""),"No")</f>
        <v>No</v>
      </c>
      <c r="AJ737" s="8" t="str">
        <f ca="1">IFERROR(__xludf.DUMMYFUNCTION("""COMPUTED_VALUE"""),"No")</f>
        <v>No</v>
      </c>
      <c r="AK737" s="8" t="str">
        <f ca="1">IFERROR(__xludf.DUMMYFUNCTION("""COMPUTED_VALUE"""),"No")</f>
        <v>No</v>
      </c>
      <c r="AL737" s="8" t="str">
        <f ca="1">IFERROR(__xludf.DUMMYFUNCTION("""COMPUTED_VALUE"""),"No")</f>
        <v>No</v>
      </c>
      <c r="AM737" s="8" t="str">
        <f ca="1">IFERROR(__xludf.DUMMYFUNCTION("""COMPUTED_VALUE"""),"No")</f>
        <v>No</v>
      </c>
      <c r="AN737" s="8" t="str">
        <f ca="1">IFERROR(__xludf.DUMMYFUNCTION("""COMPUTED_VALUE"""),"Outside")</f>
        <v>Outside</v>
      </c>
      <c r="AO737" s="8" t="str">
        <f ca="1">IFERROR(__xludf.DUMMYFUNCTION("""COMPUTED_VALUE"""),"No")</f>
        <v>No</v>
      </c>
      <c r="AP737" s="8"/>
      <c r="AQ737" s="8"/>
      <c r="AR737" s="8" t="str">
        <f ca="1">IFERROR(__xludf.DUMMYFUNCTION("""COMPUTED_VALUE"""),"Outside/Off-Property")</f>
        <v>Outside/Off-Property</v>
      </c>
      <c r="AS737" s="8">
        <f ca="1">IFERROR(__xludf.DUMMYFUNCTION("""COMPUTED_VALUE"""),99)</f>
        <v>99</v>
      </c>
      <c r="AT737" s="8" t="str">
        <f ca="1">IFERROR(__xludf.DUMMYFUNCTION("""COMPUTED_VALUE"""),"Yes")</f>
        <v>Yes</v>
      </c>
      <c r="AU737" s="8">
        <f ca="1">IFERROR(__xludf.DUMMYFUNCTION("""COMPUTED_VALUE"""),47.422758)</f>
        <v>47.422758000000002</v>
      </c>
      <c r="AV737" s="8">
        <f ca="1">IFERROR(__xludf.DUMMYFUNCTION("""COMPUTED_VALUE"""),-92.925697)</f>
        <v>-92.925697</v>
      </c>
      <c r="AW737" s="8"/>
      <c r="AX737" s="8">
        <f ca="1">IFERROR(__xludf.DUMMYFUNCTION("""COMPUTED_VALUE"""),55746)</f>
        <v>55746</v>
      </c>
    </row>
    <row r="738" spans="1:50" ht="45" x14ac:dyDescent="0.2">
      <c r="A738" s="8" t="str">
        <f ca="1">IFERROR(__xludf.DUMMYFUNCTION("""COMPUTED_VALUE"""),"20230426CTJON")</f>
        <v>20230426CTJON</v>
      </c>
      <c r="B738" s="8">
        <f ca="1">IFERROR(__xludf.DUMMYFUNCTION("""COMPUTED_VALUE"""),4)</f>
        <v>4</v>
      </c>
      <c r="C738" s="8">
        <f ca="1">IFERROR(__xludf.DUMMYFUNCTION("""COMPUTED_VALUE"""),26)</f>
        <v>26</v>
      </c>
      <c r="D738" s="8">
        <f ca="1">IFERROR(__xludf.DUMMYFUNCTION("""COMPUTED_VALUE"""),2023)</f>
        <v>2023</v>
      </c>
      <c r="E738" s="9">
        <f ca="1">IFERROR(__xludf.DUMMYFUNCTION("""COMPUTED_VALUE"""),45042)</f>
        <v>45042</v>
      </c>
      <c r="F738" s="8" t="str">
        <f ca="1">IFERROR(__xludf.DUMMYFUNCTION("""COMPUTED_VALUE"""),"John C. Daniels School")</f>
        <v>John C. Daniels School</v>
      </c>
      <c r="G738" s="8">
        <f ca="1">IFERROR(__xludf.DUMMYFUNCTION("""COMPUTED_VALUE"""),0)</f>
        <v>0</v>
      </c>
      <c r="H738" s="8">
        <f ca="1">IFERROR(__xludf.DUMMYFUNCTION("""COMPUTED_VALUE"""),0)</f>
        <v>0</v>
      </c>
      <c r="I738" s="8">
        <f ca="1">IFERROR(__xludf.DUMMYFUNCTION("""COMPUTED_VALUE"""),0)</f>
        <v>0</v>
      </c>
      <c r="J738" s="8">
        <f ca="1">IFERROR(__xludf.DUMMYFUNCTION("""COMPUTED_VALUE"""),0)</f>
        <v>0</v>
      </c>
      <c r="K738" s="10" t="str">
        <f ca="1">IFERROR(__xludf.DUMMYFUNCTION("""COMPUTED_VALUE"""),"https://www.wfsb.com/2023/04/26/police-investigating-shots-fired-near-school-new-haven/
https://www.wtnh.com/news/connecticut/new-haven/shots-fired-in-new-haven-school-parking-lot-officials/")</f>
        <v>https://www.wfsb.com/2023/04/26/police-investigating-shots-fired-near-school-new-haven/
https://www.wtnh.com/news/connecticut/new-haven/shots-fired-in-new-haven-school-parking-lot-officials/</v>
      </c>
      <c r="L738" s="8">
        <f ca="1">IFERROR(__xludf.DUMMYFUNCTION("""COMPUTED_VALUE"""),2)</f>
        <v>2</v>
      </c>
      <c r="M738" s="8" t="str">
        <f ca="1">IFERROR(__xludf.DUMMYFUNCTION("""COMPUTED_VALUE"""),"Local")</f>
        <v>Local</v>
      </c>
      <c r="N738" s="8">
        <f ca="1">IFERROR(__xludf.DUMMYFUNCTION("""COMPUTED_VALUE"""),4)</f>
        <v>4</v>
      </c>
      <c r="O738" s="8" t="str">
        <f ca="1">IFERROR(__xludf.DUMMYFUNCTION("""COMPUTED_VALUE"""),"Spring")</f>
        <v>Spring</v>
      </c>
      <c r="P738" s="8" t="str">
        <f ca="1">IFERROR(__xludf.DUMMYFUNCTION("""COMPUTED_VALUE"""),"New Haven")</f>
        <v>New Haven</v>
      </c>
      <c r="Q738" s="8" t="str">
        <f ca="1">IFERROR(__xludf.DUMMYFUNCTION("""COMPUTED_VALUE"""),"CT")</f>
        <v>CT</v>
      </c>
      <c r="R738" s="8" t="str">
        <f ca="1">IFERROR(__xludf.DUMMYFUNCTION("""COMPUTED_VALUE"""),"K-8")</f>
        <v>K-8</v>
      </c>
      <c r="S738" s="8" t="str">
        <f ca="1">IFERROR(__xludf.DUMMYFUNCTION("""COMPUTED_VALUE"""),"Parking Lot")</f>
        <v>Parking Lot</v>
      </c>
      <c r="T738" s="8" t="str">
        <f ca="1">IFERROR(__xludf.DUMMYFUNCTION("""COMPUTED_VALUE"""),"Outside on School Property")</f>
        <v>Outside on School Property</v>
      </c>
      <c r="U738" s="8" t="str">
        <f ca="1">IFERROR(__xludf.DUMMYFUNCTION("""COMPUTED_VALUE"""),"Yes")</f>
        <v>Yes</v>
      </c>
      <c r="V738" s="8" t="str">
        <f ca="1">IFERROR(__xludf.DUMMYFUNCTION("""COMPUTED_VALUE"""),"Dismissal")</f>
        <v>Dismissal</v>
      </c>
      <c r="W738" s="11">
        <f ca="1">IFERROR(__xludf.DUMMYFUNCTION("""COMPUTED_VALUE"""),0.666666666666666)</f>
        <v>0.66666666666666596</v>
      </c>
      <c r="X738" s="8">
        <f ca="1">IFERROR(__xludf.DUMMYFUNCTION("""COMPUTED_VALUE"""),1)</f>
        <v>1</v>
      </c>
      <c r="Y738" s="12" t="str">
        <f ca="1">IFERROR(__xludf.DUMMYFUNCTION("""COMPUTED_VALUE"""),"Shots fired in pickup lane of school")</f>
        <v>Shots fired in pickup lane of school</v>
      </c>
      <c r="Z738" s="12" t="str">
        <f ca="1">IFERROR(__xludf.DUMMYFUNCTION("""COMPUTED_VALUE"""),"17 shots were fired in and around the pickup lane of the school after dismissal. Students and staff still in the building locked down. No injuries. Shooter fled.")</f>
        <v>17 shots were fired in and around the pickup lane of the school after dismissal. Students and staff still in the building locked down. No injuries. Shooter fled.</v>
      </c>
      <c r="AA738" s="8" t="str">
        <f ca="1">IFERROR(__xludf.DUMMYFUNCTION("""COMPUTED_VALUE"""),"Drive-by Shooting")</f>
        <v>Drive-by Shooting</v>
      </c>
      <c r="AB738" s="8"/>
      <c r="AC738" s="8" t="str">
        <f ca="1">IFERROR(__xludf.DUMMYFUNCTION("""COMPUTED_VALUE"""),"Yes")</f>
        <v>Yes</v>
      </c>
      <c r="AD738" s="8"/>
      <c r="AE738" s="8"/>
      <c r="AF738" s="8"/>
      <c r="AG738" s="8" t="str">
        <f ca="1">IFERROR(__xludf.DUMMYFUNCTION("""COMPUTED_VALUE"""),"No")</f>
        <v>No</v>
      </c>
      <c r="AH738" s="8" t="str">
        <f ca="1">IFERROR(__xludf.DUMMYFUNCTION("""COMPUTED_VALUE"""),"No")</f>
        <v>No</v>
      </c>
      <c r="AI738" s="8" t="str">
        <f ca="1">IFERROR(__xludf.DUMMYFUNCTION("""COMPUTED_VALUE"""),"No")</f>
        <v>No</v>
      </c>
      <c r="AJ738" s="8" t="str">
        <f ca="1">IFERROR(__xludf.DUMMYFUNCTION("""COMPUTED_VALUE"""),"No")</f>
        <v>No</v>
      </c>
      <c r="AK738" s="8" t="str">
        <f ca="1">IFERROR(__xludf.DUMMYFUNCTION("""COMPUTED_VALUE"""),"No")</f>
        <v>No</v>
      </c>
      <c r="AL738" s="8"/>
      <c r="AM738" s="8" t="str">
        <f ca="1">IFERROR(__xludf.DUMMYFUNCTION("""COMPUTED_VALUE"""),"No")</f>
        <v>No</v>
      </c>
      <c r="AN738" s="8" t="str">
        <f ca="1">IFERROR(__xludf.DUMMYFUNCTION("""COMPUTED_VALUE"""),"Outside")</f>
        <v>Outside</v>
      </c>
      <c r="AO738" s="8" t="str">
        <f ca="1">IFERROR(__xludf.DUMMYFUNCTION("""COMPUTED_VALUE"""),"No")</f>
        <v>No</v>
      </c>
      <c r="AP738" s="8"/>
      <c r="AQ738" s="8"/>
      <c r="AR738" s="8" t="str">
        <f ca="1">IFERROR(__xludf.DUMMYFUNCTION("""COMPUTED_VALUE"""),"Outside/Off-Property")</f>
        <v>Outside/Off-Property</v>
      </c>
      <c r="AS738" s="8">
        <f ca="1">IFERROR(__xludf.DUMMYFUNCTION("""COMPUTED_VALUE"""),17)</f>
        <v>17</v>
      </c>
      <c r="AT738" s="8" t="str">
        <f ca="1">IFERROR(__xludf.DUMMYFUNCTION("""COMPUTED_VALUE"""),"Yes")</f>
        <v>Yes</v>
      </c>
      <c r="AU738" s="8">
        <f ca="1">IFERROR(__xludf.DUMMYFUNCTION("""COMPUTED_VALUE"""),41.300498)</f>
        <v>41.300497999999997</v>
      </c>
      <c r="AV738" s="8">
        <f ca="1">IFERROR(__xludf.DUMMYFUNCTION("""COMPUTED_VALUE"""),-72.939095)</f>
        <v>-72.939094999999995</v>
      </c>
      <c r="AW738" s="8"/>
      <c r="AX738" s="8">
        <f ca="1">IFERROR(__xludf.DUMMYFUNCTION("""COMPUTED_VALUE"""),6519)</f>
        <v>6519</v>
      </c>
    </row>
    <row r="739" spans="1:50" ht="45" x14ac:dyDescent="0.2">
      <c r="A739" s="8" t="str">
        <f ca="1">IFERROR(__xludf.DUMMYFUNCTION("""COMPUTED_VALUE"""),"20230425NVCOH")</f>
        <v>20230425NVCOH</v>
      </c>
      <c r="B739" s="8">
        <f ca="1">IFERROR(__xludf.DUMMYFUNCTION("""COMPUTED_VALUE"""),4)</f>
        <v>4</v>
      </c>
      <c r="C739" s="8">
        <f ca="1">IFERROR(__xludf.DUMMYFUNCTION("""COMPUTED_VALUE"""),25)</f>
        <v>25</v>
      </c>
      <c r="D739" s="8">
        <f ca="1">IFERROR(__xludf.DUMMYFUNCTION("""COMPUTED_VALUE"""),2023)</f>
        <v>2023</v>
      </c>
      <c r="E739" s="9">
        <f ca="1">IFERROR(__xludf.DUMMYFUNCTION("""COMPUTED_VALUE"""),45041)</f>
        <v>45041</v>
      </c>
      <c r="F739" s="8" t="str">
        <f ca="1">IFERROR(__xludf.DUMMYFUNCTION("""COMPUTED_VALUE"""),"Coral Academy Cadence Campus")</f>
        <v>Coral Academy Cadence Campus</v>
      </c>
      <c r="G739" s="8">
        <f ca="1">IFERROR(__xludf.DUMMYFUNCTION("""COMPUTED_VALUE"""),0)</f>
        <v>0</v>
      </c>
      <c r="H739" s="8">
        <f ca="1">IFERROR(__xludf.DUMMYFUNCTION("""COMPUTED_VALUE"""),0)</f>
        <v>0</v>
      </c>
      <c r="I739" s="8">
        <f ca="1">IFERROR(__xludf.DUMMYFUNCTION("""COMPUTED_VALUE"""),0)</f>
        <v>0</v>
      </c>
      <c r="J739" s="8">
        <f ca="1">IFERROR(__xludf.DUMMYFUNCTION("""COMPUTED_VALUE"""),0)</f>
        <v>0</v>
      </c>
      <c r="K739" s="10" t="str">
        <f ca="1">IFERROR(__xludf.DUMMYFUNCTION("""COMPUTED_VALUE"""),"https://www.fox5vegas.com/2023/04/25/police-investigating-after-henderson-school-allegedly-shot-monday-night/")</f>
        <v>https://www.fox5vegas.com/2023/04/25/police-investigating-after-henderson-school-allegedly-shot-monday-night/</v>
      </c>
      <c r="L739" s="8">
        <f ca="1">IFERROR(__xludf.DUMMYFUNCTION("""COMPUTED_VALUE"""),1)</f>
        <v>1</v>
      </c>
      <c r="M739" s="8" t="str">
        <f ca="1">IFERROR(__xludf.DUMMYFUNCTION("""COMPUTED_VALUE"""),"Local")</f>
        <v>Local</v>
      </c>
      <c r="N739" s="8">
        <f ca="1">IFERROR(__xludf.DUMMYFUNCTION("""COMPUTED_VALUE"""),4)</f>
        <v>4</v>
      </c>
      <c r="O739" s="8" t="str">
        <f ca="1">IFERROR(__xludf.DUMMYFUNCTION("""COMPUTED_VALUE"""),"Spring")</f>
        <v>Spring</v>
      </c>
      <c r="P739" s="8" t="str">
        <f ca="1">IFERROR(__xludf.DUMMYFUNCTION("""COMPUTED_VALUE"""),"Henderson")</f>
        <v>Henderson</v>
      </c>
      <c r="Q739" s="8" t="str">
        <f ca="1">IFERROR(__xludf.DUMMYFUNCTION("""COMPUTED_VALUE"""),"NV")</f>
        <v>NV</v>
      </c>
      <c r="R739" s="8" t="str">
        <f ca="1">IFERROR(__xludf.DUMMYFUNCTION("""COMPUTED_VALUE"""),"K-8")</f>
        <v>K-8</v>
      </c>
      <c r="S739" s="8" t="str">
        <f ca="1">IFERROR(__xludf.DUMMYFUNCTION("""COMPUTED_VALUE"""),"Front of School")</f>
        <v>Front of School</v>
      </c>
      <c r="T739" s="8" t="str">
        <f ca="1">IFERROR(__xludf.DUMMYFUNCTION("""COMPUTED_VALUE"""),"Outside on School Property")</f>
        <v>Outside on School Property</v>
      </c>
      <c r="U739" s="8" t="str">
        <f ca="1">IFERROR(__xludf.DUMMYFUNCTION("""COMPUTED_VALUE"""),"No")</f>
        <v>No</v>
      </c>
      <c r="V739" s="8" t="str">
        <f ca="1">IFERROR(__xludf.DUMMYFUNCTION("""COMPUTED_VALUE"""),"Night")</f>
        <v>Night</v>
      </c>
      <c r="W739" s="11">
        <f ca="1">IFERROR(__xludf.DUMMYFUNCTION("""COMPUTED_VALUE"""),0.152777777777777)</f>
        <v>0.15277777777777701</v>
      </c>
      <c r="X739" s="8">
        <f ca="1">IFERROR(__xludf.DUMMYFUNCTION("""COMPUTED_VALUE"""),1)</f>
        <v>1</v>
      </c>
      <c r="Y739" s="12" t="str">
        <f ca="1">IFERROR(__xludf.DUMMYFUNCTION("""COMPUTED_VALUE"""),"Multiple doors and windows of the school were shot")</f>
        <v>Multiple doors and windows of the school were shot</v>
      </c>
      <c r="Z739" s="12" t="str">
        <f ca="1">IFERROR(__xludf.DUMMYFUNCTION("""COMPUTED_VALUE"""),"Multiple doors and windows of the school were shot. Police say the school was specifically targeted. No injuries.")</f>
        <v>Multiple doors and windows of the school were shot. Police say the school was specifically targeted. No injuries.</v>
      </c>
      <c r="AA739" s="8" t="str">
        <f ca="1">IFERROR(__xludf.DUMMYFUNCTION("""COMPUTED_VALUE"""),"Intentional Property Damage")</f>
        <v>Intentional Property Damage</v>
      </c>
      <c r="AB739" s="8"/>
      <c r="AC739" s="8" t="str">
        <f ca="1">IFERROR(__xludf.DUMMYFUNCTION("""COMPUTED_VALUE"""),"Yes")</f>
        <v>Yes</v>
      </c>
      <c r="AD739" s="8" t="str">
        <f ca="1">IFERROR(__xludf.DUMMYFUNCTION("""COMPUTED_VALUE"""),"Neither")</f>
        <v>Neither</v>
      </c>
      <c r="AE739" s="8"/>
      <c r="AF739" s="8"/>
      <c r="AG739" s="8" t="str">
        <f ca="1">IFERROR(__xludf.DUMMYFUNCTION("""COMPUTED_VALUE"""),"No")</f>
        <v>No</v>
      </c>
      <c r="AH739" s="8" t="str">
        <f ca="1">IFERROR(__xludf.DUMMYFUNCTION("""COMPUTED_VALUE"""),"No")</f>
        <v>No</v>
      </c>
      <c r="AI739" s="8" t="str">
        <f ca="1">IFERROR(__xludf.DUMMYFUNCTION("""COMPUTED_VALUE"""),"No")</f>
        <v>No</v>
      </c>
      <c r="AJ739" s="8" t="str">
        <f ca="1">IFERROR(__xludf.DUMMYFUNCTION("""COMPUTED_VALUE"""),"No")</f>
        <v>No</v>
      </c>
      <c r="AK739" s="8" t="str">
        <f ca="1">IFERROR(__xludf.DUMMYFUNCTION("""COMPUTED_VALUE"""),"No")</f>
        <v>No</v>
      </c>
      <c r="AL739" s="8"/>
      <c r="AM739" s="8" t="str">
        <f ca="1">IFERROR(__xludf.DUMMYFUNCTION("""COMPUTED_VALUE"""),"No")</f>
        <v>No</v>
      </c>
      <c r="AN739" s="8" t="str">
        <f ca="1">IFERROR(__xludf.DUMMYFUNCTION("""COMPUTED_VALUE"""),"Outside")</f>
        <v>Outside</v>
      </c>
      <c r="AO739" s="8" t="str">
        <f ca="1">IFERROR(__xludf.DUMMYFUNCTION("""COMPUTED_VALUE"""),"No")</f>
        <v>No</v>
      </c>
      <c r="AP739" s="8"/>
      <c r="AQ739" s="8"/>
      <c r="AR739" s="8" t="str">
        <f ca="1">IFERROR(__xludf.DUMMYFUNCTION("""COMPUTED_VALUE"""),"Outside/Off-Property")</f>
        <v>Outside/Off-Property</v>
      </c>
      <c r="AS739" s="8">
        <f ca="1">IFERROR(__xludf.DUMMYFUNCTION("""COMPUTED_VALUE"""),99)</f>
        <v>99</v>
      </c>
      <c r="AT739" s="8" t="str">
        <f ca="1">IFERROR(__xludf.DUMMYFUNCTION("""COMPUTED_VALUE"""),"Yes")</f>
        <v>Yes</v>
      </c>
      <c r="AU739" s="8">
        <f ca="1">IFERROR(__xludf.DUMMYFUNCTION("""COMPUTED_VALUE"""),36.062065)</f>
        <v>36.062064999999997</v>
      </c>
      <c r="AV739" s="8">
        <f ca="1">IFERROR(__xludf.DUMMYFUNCTION("""COMPUTED_VALUE"""),-114.990981)</f>
        <v>-114.990981</v>
      </c>
      <c r="AW739" s="8"/>
      <c r="AX739" s="8">
        <f ca="1">IFERROR(__xludf.DUMMYFUNCTION("""COMPUTED_VALUE"""),89011)</f>
        <v>89011</v>
      </c>
    </row>
    <row r="740" spans="1:50" ht="120" x14ac:dyDescent="0.2">
      <c r="A740" s="8" t="str">
        <f ca="1">IFERROR(__xludf.DUMMYFUNCTION("""COMPUTED_VALUE"""),"20230425CAKIL")</f>
        <v>20230425CAKIL</v>
      </c>
      <c r="B740" s="8">
        <f ca="1">IFERROR(__xludf.DUMMYFUNCTION("""COMPUTED_VALUE"""),4)</f>
        <v>4</v>
      </c>
      <c r="C740" s="8">
        <f ca="1">IFERROR(__xludf.DUMMYFUNCTION("""COMPUTED_VALUE"""),25)</f>
        <v>25</v>
      </c>
      <c r="D740" s="8">
        <f ca="1">IFERROR(__xludf.DUMMYFUNCTION("""COMPUTED_VALUE"""),2023)</f>
        <v>2023</v>
      </c>
      <c r="E740" s="9">
        <f ca="1">IFERROR(__xludf.DUMMYFUNCTION("""COMPUTED_VALUE"""),45041)</f>
        <v>45041</v>
      </c>
      <c r="F740" s="8" t="str">
        <f ca="1">IFERROR(__xludf.DUMMYFUNCTION("""COMPUTED_VALUE"""),"King Drew Magnet High School")</f>
        <v>King Drew Magnet High School</v>
      </c>
      <c r="G740" s="8">
        <f ca="1">IFERROR(__xludf.DUMMYFUNCTION("""COMPUTED_VALUE"""),1)</f>
        <v>1</v>
      </c>
      <c r="H740" s="8">
        <f ca="1">IFERROR(__xludf.DUMMYFUNCTION("""COMPUTED_VALUE"""),0)</f>
        <v>0</v>
      </c>
      <c r="I740" s="8">
        <f ca="1">IFERROR(__xludf.DUMMYFUNCTION("""COMPUTED_VALUE"""),1)</f>
        <v>1</v>
      </c>
      <c r="J740" s="8">
        <f ca="1">IFERROR(__xludf.DUMMYFUNCTION("""COMPUTED_VALUE"""),0)</f>
        <v>0</v>
      </c>
      <c r="K740" s="10" t="str">
        <f ca="1">IFERROR(__xludf.DUMMYFUNCTION("""COMPUTED_VALUE"""),"https://ktla.com/news/local-news/man-shot-to-death-outside-high-school-in-willowbook/")</f>
        <v>https://ktla.com/news/local-news/man-shot-to-death-outside-high-school-in-willowbook/</v>
      </c>
      <c r="L740" s="8">
        <f ca="1">IFERROR(__xludf.DUMMYFUNCTION("""COMPUTED_VALUE"""),1)</f>
        <v>1</v>
      </c>
      <c r="M740" s="8" t="str">
        <f ca="1">IFERROR(__xludf.DUMMYFUNCTION("""COMPUTED_VALUE"""),"Local")</f>
        <v>Local</v>
      </c>
      <c r="N740" s="8">
        <f ca="1">IFERROR(__xludf.DUMMYFUNCTION("""COMPUTED_VALUE"""),4)</f>
        <v>4</v>
      </c>
      <c r="O740" s="8" t="str">
        <f ca="1">IFERROR(__xludf.DUMMYFUNCTION("""COMPUTED_VALUE"""),"Spring")</f>
        <v>Spring</v>
      </c>
      <c r="P740" s="8" t="str">
        <f ca="1">IFERROR(__xludf.DUMMYFUNCTION("""COMPUTED_VALUE"""),"Los Angles")</f>
        <v>Los Angles</v>
      </c>
      <c r="Q740" s="8" t="str">
        <f ca="1">IFERROR(__xludf.DUMMYFUNCTION("""COMPUTED_VALUE"""),"CA")</f>
        <v>CA</v>
      </c>
      <c r="R740" s="8" t="str">
        <f ca="1">IFERROR(__xludf.DUMMYFUNCTION("""COMPUTED_VALUE"""),"High")</f>
        <v>High</v>
      </c>
      <c r="S740" s="8" t="str">
        <f ca="1">IFERROR(__xludf.DUMMYFUNCTION("""COMPUTED_VALUE"""),"Front of School")</f>
        <v>Front of School</v>
      </c>
      <c r="T740" s="8" t="str">
        <f ca="1">IFERROR(__xludf.DUMMYFUNCTION("""COMPUTED_VALUE"""),"Outside on School Property")</f>
        <v>Outside on School Property</v>
      </c>
      <c r="U740" s="8" t="str">
        <f ca="1">IFERROR(__xludf.DUMMYFUNCTION("""COMPUTED_VALUE"""),"Yes")</f>
        <v>Yes</v>
      </c>
      <c r="V740" s="8" t="str">
        <f ca="1">IFERROR(__xludf.DUMMYFUNCTION("""COMPUTED_VALUE"""),"Morning Classes")</f>
        <v>Morning Classes</v>
      </c>
      <c r="W740" s="11">
        <f ca="1">IFERROR(__xludf.DUMMYFUNCTION("""COMPUTED_VALUE"""),0.354166666666666)</f>
        <v>0.35416666666666602</v>
      </c>
      <c r="X740" s="8">
        <f ca="1">IFERROR(__xludf.DUMMYFUNCTION("""COMPUTED_VALUE"""),1)</f>
        <v>1</v>
      </c>
      <c r="Y740" s="12" t="str">
        <f ca="1">IFERROR(__xludf.DUMMYFUNCTION("""COMPUTED_VALUE"""),"Body of man who was shot in the head was found in the planters under the school's front sign")</f>
        <v>Body of man who was shot in the head was found in the planters under the school's front sign</v>
      </c>
      <c r="Z740" s="12" t="str">
        <f ca="1">IFERROR(__xludf.DUMMYFUNCTION("""COMPUTED_VALUE"""),"When deputies arrived around 8:30 a.m., they found the Black male victim suffering from an apparent gunshot wound to his head, according to the Los Angeles County Sheriff’s Department. He was pronounced dead at the scene. Sky5 footage showed the victim wa"&amp;"s found in a planter on campus, directly below a sign for the magnet school, which is part of the Los Angeles Unified School District.")</f>
        <v>When deputies arrived around 8:30 a.m., they found the Black male victim suffering from an apparent gunshot wound to his head, according to the Los Angeles County Sheriff’s Department. He was pronounced dead at the scene. Sky5 footage showed the victim was found in a planter on campus, directly below a sign for the magnet school, which is part of the Los Angeles Unified School District.</v>
      </c>
      <c r="AA740" s="8"/>
      <c r="AB740" s="8"/>
      <c r="AC740" s="8" t="str">
        <f ca="1">IFERROR(__xludf.DUMMYFUNCTION("""COMPUTED_VALUE"""),"Yes")</f>
        <v>Yes</v>
      </c>
      <c r="AD740" s="8" t="str">
        <f ca="1">IFERROR(__xludf.DUMMYFUNCTION("""COMPUTED_VALUE"""),"Victims Targeted")</f>
        <v>Victims Targeted</v>
      </c>
      <c r="AE740" s="8"/>
      <c r="AF740" s="8"/>
      <c r="AG740" s="8" t="str">
        <f ca="1">IFERROR(__xludf.DUMMYFUNCTION("""COMPUTED_VALUE"""),"No")</f>
        <v>No</v>
      </c>
      <c r="AH740" s="8" t="str">
        <f ca="1">IFERROR(__xludf.DUMMYFUNCTION("""COMPUTED_VALUE"""),"No")</f>
        <v>No</v>
      </c>
      <c r="AI740" s="8" t="str">
        <f ca="1">IFERROR(__xludf.DUMMYFUNCTION("""COMPUTED_VALUE"""),"No")</f>
        <v>No</v>
      </c>
      <c r="AJ740" s="8" t="str">
        <f ca="1">IFERROR(__xludf.DUMMYFUNCTION("""COMPUTED_VALUE"""),"No")</f>
        <v>No</v>
      </c>
      <c r="AK740" s="8" t="str">
        <f ca="1">IFERROR(__xludf.DUMMYFUNCTION("""COMPUTED_VALUE"""),"No")</f>
        <v>No</v>
      </c>
      <c r="AL740" s="8"/>
      <c r="AM740" s="8" t="str">
        <f ca="1">IFERROR(__xludf.DUMMYFUNCTION("""COMPUTED_VALUE"""),"No")</f>
        <v>No</v>
      </c>
      <c r="AN740" s="8" t="str">
        <f ca="1">IFERROR(__xludf.DUMMYFUNCTION("""COMPUTED_VALUE"""),"Outside")</f>
        <v>Outside</v>
      </c>
      <c r="AO740" s="8" t="str">
        <f ca="1">IFERROR(__xludf.DUMMYFUNCTION("""COMPUTED_VALUE"""),"No")</f>
        <v>No</v>
      </c>
      <c r="AP740" s="8" t="str">
        <f ca="1">IFERROR(__xludf.DUMMYFUNCTION("""COMPUTED_VALUE"""),"Yes")</f>
        <v>Yes</v>
      </c>
      <c r="AQ740" s="8"/>
      <c r="AR740" s="8" t="str">
        <f ca="1">IFERROR(__xludf.DUMMYFUNCTION("""COMPUTED_VALUE"""),"Outside/Off-Property")</f>
        <v>Outside/Off-Property</v>
      </c>
      <c r="AS740" s="8">
        <f ca="1">IFERROR(__xludf.DUMMYFUNCTION("""COMPUTED_VALUE"""),99)</f>
        <v>99</v>
      </c>
      <c r="AT740" s="8"/>
      <c r="AU740" s="8">
        <f ca="1">IFERROR(__xludf.DUMMYFUNCTION("""COMPUTED_VALUE"""),33.923977)</f>
        <v>33.923977000000001</v>
      </c>
      <c r="AV740" s="8">
        <f ca="1">IFERROR(__xludf.DUMMYFUNCTION("""COMPUTED_VALUE"""),-118.246108)</f>
        <v>-118.24610800000001</v>
      </c>
      <c r="AW740" s="8"/>
      <c r="AX740" s="8">
        <f ca="1">IFERROR(__xludf.DUMMYFUNCTION("""COMPUTED_VALUE"""),90059)</f>
        <v>90059</v>
      </c>
    </row>
    <row r="741" spans="1:50" ht="30" x14ac:dyDescent="0.2">
      <c r="A741" s="8" t="str">
        <f ca="1">IFERROR(__xludf.DUMMYFUNCTION("""COMPUTED_VALUE"""),"20230423VAJOD")</f>
        <v>20230423VAJOD</v>
      </c>
      <c r="B741" s="8">
        <f ca="1">IFERROR(__xludf.DUMMYFUNCTION("""COMPUTED_VALUE"""),4)</f>
        <v>4</v>
      </c>
      <c r="C741" s="8">
        <f ca="1">IFERROR(__xludf.DUMMYFUNCTION("""COMPUTED_VALUE"""),23)</f>
        <v>23</v>
      </c>
      <c r="D741" s="8">
        <f ca="1">IFERROR(__xludf.DUMMYFUNCTION("""COMPUTED_VALUE"""),2023)</f>
        <v>2023</v>
      </c>
      <c r="E741" s="9">
        <f ca="1">IFERROR(__xludf.DUMMYFUNCTION("""COMPUTED_VALUE"""),45039)</f>
        <v>45039</v>
      </c>
      <c r="F741" s="8" t="str">
        <f ca="1">IFERROR(__xludf.DUMMYFUNCTION("""COMPUTED_VALUE"""),"Johnson Elementary School")</f>
        <v>Johnson Elementary School</v>
      </c>
      <c r="G741" s="8">
        <f ca="1">IFERROR(__xludf.DUMMYFUNCTION("""COMPUTED_VALUE"""),0)</f>
        <v>0</v>
      </c>
      <c r="H741" s="8">
        <f ca="1">IFERROR(__xludf.DUMMYFUNCTION("""COMPUTED_VALUE"""),0)</f>
        <v>0</v>
      </c>
      <c r="I741" s="8">
        <f ca="1">IFERROR(__xludf.DUMMYFUNCTION("""COMPUTED_VALUE"""),0)</f>
        <v>0</v>
      </c>
      <c r="J741" s="8">
        <f ca="1">IFERROR(__xludf.DUMMYFUNCTION("""COMPUTED_VALUE"""),0)</f>
        <v>0</v>
      </c>
      <c r="K741" s="10" t="str">
        <f ca="1">IFERROR(__xludf.DUMMYFUNCTION("""COMPUTED_VALUE"""),"https://godanriver.com/shots-fired-near-danville-school-no-injuries-reported/article_3cdf154e-e236-11ed-8f4b-9388d96c6ba2.html")</f>
        <v>https://godanriver.com/shots-fired-near-danville-school-no-injuries-reported/article_3cdf154e-e236-11ed-8f4b-9388d96c6ba2.html</v>
      </c>
      <c r="L741" s="8">
        <f ca="1">IFERROR(__xludf.DUMMYFUNCTION("""COMPUTED_VALUE"""),1)</f>
        <v>1</v>
      </c>
      <c r="M741" s="8" t="str">
        <f ca="1">IFERROR(__xludf.DUMMYFUNCTION("""COMPUTED_VALUE"""),"Local")</f>
        <v>Local</v>
      </c>
      <c r="N741" s="8">
        <f ca="1">IFERROR(__xludf.DUMMYFUNCTION("""COMPUTED_VALUE"""),3)</f>
        <v>3</v>
      </c>
      <c r="O741" s="8" t="str">
        <f ca="1">IFERROR(__xludf.DUMMYFUNCTION("""COMPUTED_VALUE"""),"Spring")</f>
        <v>Spring</v>
      </c>
      <c r="P741" s="8" t="str">
        <f ca="1">IFERROR(__xludf.DUMMYFUNCTION("""COMPUTED_VALUE"""),"Danville")</f>
        <v>Danville</v>
      </c>
      <c r="Q741" s="8" t="str">
        <f ca="1">IFERROR(__xludf.DUMMYFUNCTION("""COMPUTED_VALUE"""),"VA")</f>
        <v>VA</v>
      </c>
      <c r="R741" s="8" t="str">
        <f ca="1">IFERROR(__xludf.DUMMYFUNCTION("""COMPUTED_VALUE"""),"Elementary")</f>
        <v>Elementary</v>
      </c>
      <c r="S741" s="8" t="str">
        <f ca="1">IFERROR(__xludf.DUMMYFUNCTION("""COMPUTED_VALUE"""),"Basketball Court")</f>
        <v>Basketball Court</v>
      </c>
      <c r="T741" s="8" t="str">
        <f ca="1">IFERROR(__xludf.DUMMYFUNCTION("""COMPUTED_VALUE"""),"Outside on School Property")</f>
        <v>Outside on School Property</v>
      </c>
      <c r="U741" s="8" t="str">
        <f ca="1">IFERROR(__xludf.DUMMYFUNCTION("""COMPUTED_VALUE"""),"No")</f>
        <v>No</v>
      </c>
      <c r="V741" s="8" t="str">
        <f ca="1">IFERROR(__xludf.DUMMYFUNCTION("""COMPUTED_VALUE"""),"Not a School Day")</f>
        <v>Not a School Day</v>
      </c>
      <c r="W741" s="11">
        <f ca="1">IFERROR(__xludf.DUMMYFUNCTION("""COMPUTED_VALUE"""),0.763888888888888)</f>
        <v>0.76388888888888795</v>
      </c>
      <c r="X741" s="8">
        <f ca="1">IFERROR(__xludf.DUMMYFUNCTION("""COMPUTED_VALUE"""),1)</f>
        <v>1</v>
      </c>
      <c r="Y741" s="12" t="str">
        <f ca="1">IFERROR(__xludf.DUMMYFUNCTION("""COMPUTED_VALUE"""),"Shots fired on basketball court")</f>
        <v>Shots fired on basketball court</v>
      </c>
      <c r="Z741" s="12" t="str">
        <f ca="1">IFERROR(__xludf.DUMMYFUNCTION("""COMPUTED_VALUE"""),"Shots fired during altercation on the basketball court. Shooter fled before police arrived.")</f>
        <v>Shots fired during altercation on the basketball court. Shooter fled before police arrived.</v>
      </c>
      <c r="AA741" s="8" t="str">
        <f ca="1">IFERROR(__xludf.DUMMYFUNCTION("""COMPUTED_VALUE"""),"Escalation of Dispute")</f>
        <v>Escalation of Dispute</v>
      </c>
      <c r="AB741" s="8"/>
      <c r="AC741" s="8" t="str">
        <f ca="1">IFERROR(__xludf.DUMMYFUNCTION("""COMPUTED_VALUE"""),"No")</f>
        <v>No</v>
      </c>
      <c r="AD741" s="8" t="str">
        <f ca="1">IFERROR(__xludf.DUMMYFUNCTION("""COMPUTED_VALUE"""),"Victims Targeted")</f>
        <v>Victims Targeted</v>
      </c>
      <c r="AE741" s="8" t="str">
        <f ca="1">IFERROR(__xludf.DUMMYFUNCTION("""COMPUTED_VALUE"""),"No")</f>
        <v>No</v>
      </c>
      <c r="AF741" s="8"/>
      <c r="AG741" s="8" t="str">
        <f ca="1">IFERROR(__xludf.DUMMYFUNCTION("""COMPUTED_VALUE"""),"No")</f>
        <v>No</v>
      </c>
      <c r="AH741" s="8" t="str">
        <f ca="1">IFERROR(__xludf.DUMMYFUNCTION("""COMPUTED_VALUE"""),"No")</f>
        <v>No</v>
      </c>
      <c r="AI741" s="8" t="str">
        <f ca="1">IFERROR(__xludf.DUMMYFUNCTION("""COMPUTED_VALUE"""),"No")</f>
        <v>No</v>
      </c>
      <c r="AJ741" s="8" t="str">
        <f ca="1">IFERROR(__xludf.DUMMYFUNCTION("""COMPUTED_VALUE"""),"No")</f>
        <v>No</v>
      </c>
      <c r="AK741" s="8" t="str">
        <f ca="1">IFERROR(__xludf.DUMMYFUNCTION("""COMPUTED_VALUE"""),"No")</f>
        <v>No</v>
      </c>
      <c r="AL741" s="8"/>
      <c r="AM741" s="8" t="str">
        <f ca="1">IFERROR(__xludf.DUMMYFUNCTION("""COMPUTED_VALUE"""),"No")</f>
        <v>No</v>
      </c>
      <c r="AN741" s="8" t="str">
        <f ca="1">IFERROR(__xludf.DUMMYFUNCTION("""COMPUTED_VALUE"""),"Outside")</f>
        <v>Outside</v>
      </c>
      <c r="AO741" s="8" t="str">
        <f ca="1">IFERROR(__xludf.DUMMYFUNCTION("""COMPUTED_VALUE"""),"No")</f>
        <v>No</v>
      </c>
      <c r="AP741" s="8"/>
      <c r="AQ741" s="8"/>
      <c r="AR741" s="8" t="str">
        <f ca="1">IFERROR(__xludf.DUMMYFUNCTION("""COMPUTED_VALUE"""),"Outside/Off-Property")</f>
        <v>Outside/Off-Property</v>
      </c>
      <c r="AS741" s="8">
        <f ca="1">IFERROR(__xludf.DUMMYFUNCTION("""COMPUTED_VALUE"""),99)</f>
        <v>99</v>
      </c>
      <c r="AT741" s="8" t="str">
        <f ca="1">IFERROR(__xludf.DUMMYFUNCTION("""COMPUTED_VALUE"""),"No")</f>
        <v>No</v>
      </c>
      <c r="AU741" s="8">
        <f ca="1">IFERROR(__xludf.DUMMYFUNCTION("""COMPUTED_VALUE"""),36.617195)</f>
        <v>36.617195000000002</v>
      </c>
      <c r="AV741" s="8">
        <f ca="1">IFERROR(__xludf.DUMMYFUNCTION("""COMPUTED_VALUE"""),-79.397651)</f>
        <v>-79.397650999999996</v>
      </c>
      <c r="AW741" s="8"/>
      <c r="AX741" s="8">
        <f ca="1">IFERROR(__xludf.DUMMYFUNCTION("""COMPUTED_VALUE"""),24540)</f>
        <v>24540</v>
      </c>
    </row>
    <row r="742" spans="1:50" ht="30" x14ac:dyDescent="0.2">
      <c r="A742" s="8" t="str">
        <f ca="1">IFERROR(__xludf.DUMMYFUNCTION("""COMPUTED_VALUE"""),"20230420ARLIL")</f>
        <v>20230420ARLIL</v>
      </c>
      <c r="B742" s="8">
        <f ca="1">IFERROR(__xludf.DUMMYFUNCTION("""COMPUTED_VALUE"""),4)</f>
        <v>4</v>
      </c>
      <c r="C742" s="8">
        <f ca="1">IFERROR(__xludf.DUMMYFUNCTION("""COMPUTED_VALUE"""),20)</f>
        <v>20</v>
      </c>
      <c r="D742" s="8">
        <f ca="1">IFERROR(__xludf.DUMMYFUNCTION("""COMPUTED_VALUE"""),2023)</f>
        <v>2023</v>
      </c>
      <c r="E742" s="9">
        <f ca="1">IFERROR(__xludf.DUMMYFUNCTION("""COMPUTED_VALUE"""),45036)</f>
        <v>45036</v>
      </c>
      <c r="F742" s="8" t="str">
        <f ca="1">IFERROR(__xludf.DUMMYFUNCTION("""COMPUTED_VALUE"""),"Little Rock Central High")</f>
        <v>Little Rock Central High</v>
      </c>
      <c r="G742" s="8">
        <f ca="1">IFERROR(__xludf.DUMMYFUNCTION("""COMPUTED_VALUE"""),0)</f>
        <v>0</v>
      </c>
      <c r="H742" s="8">
        <f ca="1">IFERROR(__xludf.DUMMYFUNCTION("""COMPUTED_VALUE"""),0)</f>
        <v>0</v>
      </c>
      <c r="I742" s="8">
        <f ca="1">IFERROR(__xludf.DUMMYFUNCTION("""COMPUTED_VALUE"""),0)</f>
        <v>0</v>
      </c>
      <c r="J742" s="8">
        <f ca="1">IFERROR(__xludf.DUMMYFUNCTION("""COMPUTED_VALUE"""),0)</f>
        <v>0</v>
      </c>
      <c r="K742" s="10" t="str">
        <f ca="1">IFERROR(__xludf.DUMMYFUNCTION("""COMPUTED_VALUE"""),"https://katv.com/news/local/shooting-near-central-high-school-causes-brief-lockdown-15th-and-jones-street")</f>
        <v>https://katv.com/news/local/shooting-near-central-high-school-causes-brief-lockdown-15th-and-jones-street</v>
      </c>
      <c r="L742" s="8">
        <f ca="1">IFERROR(__xludf.DUMMYFUNCTION("""COMPUTED_VALUE"""),1)</f>
        <v>1</v>
      </c>
      <c r="M742" s="8" t="str">
        <f ca="1">IFERROR(__xludf.DUMMYFUNCTION("""COMPUTED_VALUE"""),"Local")</f>
        <v>Local</v>
      </c>
      <c r="N742" s="8">
        <f ca="1">IFERROR(__xludf.DUMMYFUNCTION("""COMPUTED_VALUE"""),4)</f>
        <v>4</v>
      </c>
      <c r="O742" s="8" t="str">
        <f ca="1">IFERROR(__xludf.DUMMYFUNCTION("""COMPUTED_VALUE"""),"Spring")</f>
        <v>Spring</v>
      </c>
      <c r="P742" s="8" t="str">
        <f ca="1">IFERROR(__xludf.DUMMYFUNCTION("""COMPUTED_VALUE"""),"Little Rock")</f>
        <v>Little Rock</v>
      </c>
      <c r="Q742" s="8" t="str">
        <f ca="1">IFERROR(__xludf.DUMMYFUNCTION("""COMPUTED_VALUE"""),"AR")</f>
        <v>AR</v>
      </c>
      <c r="R742" s="8" t="str">
        <f ca="1">IFERROR(__xludf.DUMMYFUNCTION("""COMPUTED_VALUE"""),"High")</f>
        <v>High</v>
      </c>
      <c r="S742" s="8" t="str">
        <f ca="1">IFERROR(__xludf.DUMMYFUNCTION("""COMPUTED_VALUE"""),"Beside Building")</f>
        <v>Beside Building</v>
      </c>
      <c r="T742" s="8" t="str">
        <f ca="1">IFERROR(__xludf.DUMMYFUNCTION("""COMPUTED_VALUE"""),"Outside on School Property")</f>
        <v>Outside on School Property</v>
      </c>
      <c r="U742" s="8" t="str">
        <f ca="1">IFERROR(__xludf.DUMMYFUNCTION("""COMPUTED_VALUE"""),"Yes")</f>
        <v>Yes</v>
      </c>
      <c r="V742" s="8" t="str">
        <f ca="1">IFERROR(__xludf.DUMMYFUNCTION("""COMPUTED_VALUE"""),"Morning Classes")</f>
        <v>Morning Classes</v>
      </c>
      <c r="W742" s="11">
        <f ca="1">IFERROR(__xludf.DUMMYFUNCTION("""COMPUTED_VALUE"""),0.479166666666666)</f>
        <v>0.47916666666666602</v>
      </c>
      <c r="X742" s="8">
        <f ca="1">IFERROR(__xludf.DUMMYFUNCTION("""COMPUTED_VALUE"""),1)</f>
        <v>1</v>
      </c>
      <c r="Y742" s="12" t="str">
        <f ca="1">IFERROR(__xludf.DUMMYFUNCTION("""COMPUTED_VALUE"""),"Shots fired beside school building")</f>
        <v>Shots fired beside school building</v>
      </c>
      <c r="Z742" s="12" t="str">
        <f ca="1">IFERROR(__xludf.DUMMYFUNCTION("""COMPUTED_VALUE"""),"Shots fired beside the school building. School went on lockdown. Shooter fled and was not arrested.")</f>
        <v>Shots fired beside the school building. School went on lockdown. Shooter fled and was not arrested.</v>
      </c>
      <c r="AA742" s="8"/>
      <c r="AB742" s="8"/>
      <c r="AC742" s="8" t="str">
        <f ca="1">IFERROR(__xludf.DUMMYFUNCTION("""COMPUTED_VALUE"""),"Yes")</f>
        <v>Yes</v>
      </c>
      <c r="AD742" s="8"/>
      <c r="AE742" s="8" t="str">
        <f ca="1">IFERROR(__xludf.DUMMYFUNCTION("""COMPUTED_VALUE"""),"No")</f>
        <v>No</v>
      </c>
      <c r="AF742" s="8"/>
      <c r="AG742" s="8" t="str">
        <f ca="1">IFERROR(__xludf.DUMMYFUNCTION("""COMPUTED_VALUE"""),"No")</f>
        <v>No</v>
      </c>
      <c r="AH742" s="8" t="str">
        <f ca="1">IFERROR(__xludf.DUMMYFUNCTION("""COMPUTED_VALUE"""),"No")</f>
        <v>No</v>
      </c>
      <c r="AI742" s="8" t="str">
        <f ca="1">IFERROR(__xludf.DUMMYFUNCTION("""COMPUTED_VALUE"""),"No")</f>
        <v>No</v>
      </c>
      <c r="AJ742" s="8" t="str">
        <f ca="1">IFERROR(__xludf.DUMMYFUNCTION("""COMPUTED_VALUE"""),"No")</f>
        <v>No</v>
      </c>
      <c r="AK742" s="8" t="str">
        <f ca="1">IFERROR(__xludf.DUMMYFUNCTION("""COMPUTED_VALUE"""),"No")</f>
        <v>No</v>
      </c>
      <c r="AL742" s="8"/>
      <c r="AM742" s="8" t="str">
        <f ca="1">IFERROR(__xludf.DUMMYFUNCTION("""COMPUTED_VALUE"""),"No")</f>
        <v>No</v>
      </c>
      <c r="AN742" s="8" t="str">
        <f ca="1">IFERROR(__xludf.DUMMYFUNCTION("""COMPUTED_VALUE"""),"Outside")</f>
        <v>Outside</v>
      </c>
      <c r="AO742" s="8" t="str">
        <f ca="1">IFERROR(__xludf.DUMMYFUNCTION("""COMPUTED_VALUE"""),"No")</f>
        <v>No</v>
      </c>
      <c r="AP742" s="8"/>
      <c r="AQ742" s="8"/>
      <c r="AR742" s="8" t="str">
        <f ca="1">IFERROR(__xludf.DUMMYFUNCTION("""COMPUTED_VALUE"""),"Outside/Off-Property")</f>
        <v>Outside/Off-Property</v>
      </c>
      <c r="AS742" s="8">
        <f ca="1">IFERROR(__xludf.DUMMYFUNCTION("""COMPUTED_VALUE"""),99)</f>
        <v>99</v>
      </c>
      <c r="AT742" s="8" t="str">
        <f ca="1">IFERROR(__xludf.DUMMYFUNCTION("""COMPUTED_VALUE"""),"Yes")</f>
        <v>Yes</v>
      </c>
      <c r="AU742" s="8">
        <f ca="1">IFERROR(__xludf.DUMMYFUNCTION("""COMPUTED_VALUE"""),34.735785)</f>
        <v>34.735785</v>
      </c>
      <c r="AV742" s="8">
        <f ca="1">IFERROR(__xludf.DUMMYFUNCTION("""COMPUTED_VALUE"""),-92.298362)</f>
        <v>-92.298361999999997</v>
      </c>
      <c r="AW742" s="8"/>
      <c r="AX742" s="8">
        <f ca="1">IFERROR(__xludf.DUMMYFUNCTION("""COMPUTED_VALUE"""),72202)</f>
        <v>72202</v>
      </c>
    </row>
    <row r="743" spans="1:50" ht="300" x14ac:dyDescent="0.2">
      <c r="A743" s="8" t="str">
        <f ca="1">IFERROR(__xludf.DUMMYFUNCTION("""COMPUTED_VALUE"""),"20230419FLFOA")</f>
        <v>20230419FLFOA</v>
      </c>
      <c r="B743" s="8">
        <f ca="1">IFERROR(__xludf.DUMMYFUNCTION("""COMPUTED_VALUE"""),4)</f>
        <v>4</v>
      </c>
      <c r="C743" s="8">
        <f ca="1">IFERROR(__xludf.DUMMYFUNCTION("""COMPUTED_VALUE"""),19)</f>
        <v>19</v>
      </c>
      <c r="D743" s="8">
        <f ca="1">IFERROR(__xludf.DUMMYFUNCTION("""COMPUTED_VALUE"""),2023)</f>
        <v>2023</v>
      </c>
      <c r="E743" s="9">
        <f ca="1">IFERROR(__xludf.DUMMYFUNCTION("""COMPUTED_VALUE"""),45035)</f>
        <v>45035</v>
      </c>
      <c r="F743" s="8" t="str">
        <f ca="1">IFERROR(__xludf.DUMMYFUNCTION("""COMPUTED_VALUE"""),"Forest City Elementary School")</f>
        <v>Forest City Elementary School</v>
      </c>
      <c r="G743" s="8">
        <f ca="1">IFERROR(__xludf.DUMMYFUNCTION("""COMPUTED_VALUE"""),0)</f>
        <v>0</v>
      </c>
      <c r="H743" s="8">
        <f ca="1">IFERROR(__xludf.DUMMYFUNCTION("""COMPUTED_VALUE"""),0)</f>
        <v>0</v>
      </c>
      <c r="I743" s="8">
        <f ca="1">IFERROR(__xludf.DUMMYFUNCTION("""COMPUTED_VALUE"""),0)</f>
        <v>0</v>
      </c>
      <c r="J743" s="8">
        <f ca="1">IFERROR(__xludf.DUMMYFUNCTION("""COMPUTED_VALUE"""),0)</f>
        <v>0</v>
      </c>
      <c r="K743" s="10" t="str">
        <f ca="1">IFERROR(__xludf.DUMMYFUNCTION("""COMPUTED_VALUE"""),"https://www.fox35orlando.com/news/i-wouldve-shot-him-twice-florida-parent-arrested-for-road-rage-incident-near-childs-elementary-school")</f>
        <v>https://www.fox35orlando.com/news/i-wouldve-shot-him-twice-florida-parent-arrested-for-road-rage-incident-near-childs-elementary-school</v>
      </c>
      <c r="L743" s="8">
        <f ca="1">IFERROR(__xludf.DUMMYFUNCTION("""COMPUTED_VALUE"""),2)</f>
        <v>2</v>
      </c>
      <c r="M743" s="8" t="str">
        <f ca="1">IFERROR(__xludf.DUMMYFUNCTION("""COMPUTED_VALUE"""),"Local")</f>
        <v>Local</v>
      </c>
      <c r="N743" s="8">
        <f ca="1">IFERROR(__xludf.DUMMYFUNCTION("""COMPUTED_VALUE"""),4)</f>
        <v>4</v>
      </c>
      <c r="O743" s="8" t="str">
        <f ca="1">IFERROR(__xludf.DUMMYFUNCTION("""COMPUTED_VALUE"""),"Spring")</f>
        <v>Spring</v>
      </c>
      <c r="P743" s="8" t="str">
        <f ca="1">IFERROR(__xludf.DUMMYFUNCTION("""COMPUTED_VALUE"""),"Altamonte Springs")</f>
        <v>Altamonte Springs</v>
      </c>
      <c r="Q743" s="8" t="str">
        <f ca="1">IFERROR(__xludf.DUMMYFUNCTION("""COMPUTED_VALUE"""),"FL")</f>
        <v>FL</v>
      </c>
      <c r="R743" s="8" t="str">
        <f ca="1">IFERROR(__xludf.DUMMYFUNCTION("""COMPUTED_VALUE"""),"Elementary")</f>
        <v>Elementary</v>
      </c>
      <c r="S743" s="8" t="str">
        <f ca="1">IFERROR(__xludf.DUMMYFUNCTION("""COMPUTED_VALUE"""),"Parking Lot")</f>
        <v>Parking Lot</v>
      </c>
      <c r="T743" s="8" t="str">
        <f ca="1">IFERROR(__xludf.DUMMYFUNCTION("""COMPUTED_VALUE"""),"Outside on School Property")</f>
        <v>Outside on School Property</v>
      </c>
      <c r="U743" s="8" t="str">
        <f ca="1">IFERROR(__xludf.DUMMYFUNCTION("""COMPUTED_VALUE"""),"Yes")</f>
        <v>Yes</v>
      </c>
      <c r="V743" s="8" t="str">
        <f ca="1">IFERROR(__xludf.DUMMYFUNCTION("""COMPUTED_VALUE"""),"Dismissal")</f>
        <v>Dismissal</v>
      </c>
      <c r="W743" s="11">
        <f ca="1">IFERROR(__xludf.DUMMYFUNCTION("""COMPUTED_VALUE"""),0.625)</f>
        <v>0.625</v>
      </c>
      <c r="X743" s="8">
        <f ca="1">IFERROR(__xludf.DUMMYFUNCTION("""COMPUTED_VALUE"""),1)</f>
        <v>1</v>
      </c>
      <c r="Y743" s="12" t="str">
        <f ca="1">IFERROR(__xludf.DUMMYFUNCTION("""COMPUTED_VALUE"""),"Parent pulled gun and threatened to kill another parent during pickup line dispute")</f>
        <v>Parent pulled gun and threatened to kill another parent during pickup line dispute</v>
      </c>
      <c r="Z743" s="12" t="str">
        <f ca="1">IFERROR(__xludf.DUMMYFUNCTION("""COMPUTED_VALUE"""),"Police arrested Vincent Rosa at Forest City Elementary School in Altamonte Springs after he allegedly waved a gun at another person and threatened to kill him during a road rage incident near the school. The school's assistant principal told officers that"&amp;" the driver of a minivan approached her near the end of the bus loop used for school dismal alleging that a man in a Ford Flex pulled a gun on him shortly after 3 p.m., according to an arrest affidavit. The driver of the minivan said he had stopped at an "&amp;"intersection with a ""No turn on red"" signage when he noticed Rosa behind him ""appearing to be upset and yelling inside their vehicle."" As the driver began to turn into the school, he reportedly saw Rosa holding a black bulky object in his hand that ap"&amp;"peared to be a gun. He also heard Rosa yelling that he was ""going to kill him,"" arrest records show. When interviewed by police, Vincent said the minivan driver angered him, and he told the driver he was going to shoot him. Rosa was placed under arrest "&amp;"for exhibiting a weapon within 1,000 feet of a school and aggravated assault with intent to commit a felony. ")</f>
        <v xml:space="preserve">Police arrested Vincent Rosa at Forest City Elementary School in Altamonte Springs after he allegedly waved a gun at another person and threatened to kill him during a road rage incident near the school. The school's assistant principal told officers that the driver of a minivan approached her near the end of the bus loop used for school dismal alleging that a man in a Ford Flex pulled a gun on him shortly after 3 p.m., according to an arrest affidavit. The driver of the minivan said he had stopped at an intersection with a "No turn on red" signage when he noticed Rosa behind him "appearing to be upset and yelling inside their vehicle." As the driver began to turn into the school, he reportedly saw Rosa holding a black bulky object in his hand that appeared to be a gun. He also heard Rosa yelling that he was "going to kill him," arrest records show. When interviewed by police, Vincent said the minivan driver angered him, and he told the driver he was going to shoot him. Rosa was placed under arrest for exhibiting a weapon within 1,000 feet of a school and aggravated assault with intent to commit a felony. </v>
      </c>
      <c r="AA743" s="8" t="str">
        <f ca="1">IFERROR(__xludf.DUMMYFUNCTION("""COMPUTED_VALUE"""),"Escalation of Dispute")</f>
        <v>Escalation of Dispute</v>
      </c>
      <c r="AB743" s="8"/>
      <c r="AC743" s="8" t="str">
        <f ca="1">IFERROR(__xludf.DUMMYFUNCTION("""COMPUTED_VALUE"""),"Yes")</f>
        <v>Yes</v>
      </c>
      <c r="AD743" s="8" t="str">
        <f ca="1">IFERROR(__xludf.DUMMYFUNCTION("""COMPUTED_VALUE"""),"Victims Targeted")</f>
        <v>Victims Targeted</v>
      </c>
      <c r="AE743" s="8" t="str">
        <f ca="1">IFERROR(__xludf.DUMMYFUNCTION("""COMPUTED_VALUE"""),"No")</f>
        <v>No</v>
      </c>
      <c r="AF743" s="8"/>
      <c r="AG743" s="8" t="str">
        <f ca="1">IFERROR(__xludf.DUMMYFUNCTION("""COMPUTED_VALUE"""),"No")</f>
        <v>No</v>
      </c>
      <c r="AH743" s="8" t="str">
        <f ca="1">IFERROR(__xludf.DUMMYFUNCTION("""COMPUTED_VALUE"""),"No")</f>
        <v>No</v>
      </c>
      <c r="AI743" s="8" t="str">
        <f ca="1">IFERROR(__xludf.DUMMYFUNCTION("""COMPUTED_VALUE"""),"No")</f>
        <v>No</v>
      </c>
      <c r="AJ743" s="8" t="str">
        <f ca="1">IFERROR(__xludf.DUMMYFUNCTION("""COMPUTED_VALUE"""),"No")</f>
        <v>No</v>
      </c>
      <c r="AK743" s="8" t="str">
        <f ca="1">IFERROR(__xludf.DUMMYFUNCTION("""COMPUTED_VALUE"""),"No")</f>
        <v>No</v>
      </c>
      <c r="AL743" s="8" t="str">
        <f ca="1">IFERROR(__xludf.DUMMYFUNCTION("""COMPUTED_VALUE"""),"No")</f>
        <v>No</v>
      </c>
      <c r="AM743" s="8" t="str">
        <f ca="1">IFERROR(__xludf.DUMMYFUNCTION("""COMPUTED_VALUE"""),"No")</f>
        <v>No</v>
      </c>
      <c r="AN743" s="8" t="str">
        <f ca="1">IFERROR(__xludf.DUMMYFUNCTION("""COMPUTED_VALUE"""),"Outside")</f>
        <v>Outside</v>
      </c>
      <c r="AO743" s="8" t="str">
        <f ca="1">IFERROR(__xludf.DUMMYFUNCTION("""COMPUTED_VALUE"""),"No")</f>
        <v>No</v>
      </c>
      <c r="AP743" s="8"/>
      <c r="AQ743" s="8"/>
      <c r="AR743" s="8" t="str">
        <f ca="1">IFERROR(__xludf.DUMMYFUNCTION("""COMPUTED_VALUE"""),"Outside/Off-Property")</f>
        <v>Outside/Off-Property</v>
      </c>
      <c r="AS743" s="8">
        <f ca="1">IFERROR(__xludf.DUMMYFUNCTION("""COMPUTED_VALUE"""),0)</f>
        <v>0</v>
      </c>
      <c r="AT743" s="8" t="str">
        <f ca="1">IFERROR(__xludf.DUMMYFUNCTION("""COMPUTED_VALUE"""),"Yes")</f>
        <v>Yes</v>
      </c>
      <c r="AU743" s="8">
        <f ca="1">IFERROR(__xludf.DUMMYFUNCTION("""COMPUTED_VALUE"""),28.67895)</f>
        <v>28.67895</v>
      </c>
      <c r="AV743" s="8">
        <f ca="1">IFERROR(__xludf.DUMMYFUNCTION("""COMPUTED_VALUE"""),-81.424136)</f>
        <v>-81.424136000000004</v>
      </c>
      <c r="AW743" s="8"/>
      <c r="AX743" s="8">
        <f ca="1">IFERROR(__xludf.DUMMYFUNCTION("""COMPUTED_VALUE"""),32714)</f>
        <v>32714</v>
      </c>
    </row>
    <row r="744" spans="1:50" ht="165" x14ac:dyDescent="0.2">
      <c r="A744" s="8" t="str">
        <f ca="1">IFERROR(__xludf.DUMMYFUNCTION("""COMPUTED_VALUE"""),"20230418TXRIH")</f>
        <v>20230418TXRIH</v>
      </c>
      <c r="B744" s="8">
        <f ca="1">IFERROR(__xludf.DUMMYFUNCTION("""COMPUTED_VALUE"""),4)</f>
        <v>4</v>
      </c>
      <c r="C744" s="8">
        <f ca="1">IFERROR(__xludf.DUMMYFUNCTION("""COMPUTED_VALUE"""),18)</f>
        <v>18</v>
      </c>
      <c r="D744" s="8">
        <f ca="1">IFERROR(__xludf.DUMMYFUNCTION("""COMPUTED_VALUE"""),2023)</f>
        <v>2023</v>
      </c>
      <c r="E744" s="9">
        <f ca="1">IFERROR(__xludf.DUMMYFUNCTION("""COMPUTED_VALUE"""),45034)</f>
        <v>45034</v>
      </c>
      <c r="F744" s="8" t="str">
        <f ca="1">IFERROR(__xludf.DUMMYFUNCTION("""COMPUTED_VALUE"""),"Ridgemont Elementary School")</f>
        <v>Ridgemont Elementary School</v>
      </c>
      <c r="G744" s="8">
        <f ca="1">IFERROR(__xludf.DUMMYFUNCTION("""COMPUTED_VALUE"""),1)</f>
        <v>1</v>
      </c>
      <c r="H744" s="8">
        <f ca="1">IFERROR(__xludf.DUMMYFUNCTION("""COMPUTED_VALUE"""),1)</f>
        <v>1</v>
      </c>
      <c r="I744" s="8">
        <f ca="1">IFERROR(__xludf.DUMMYFUNCTION("""COMPUTED_VALUE"""),2)</f>
        <v>2</v>
      </c>
      <c r="J744" s="8">
        <f ca="1">IFERROR(__xludf.DUMMYFUNCTION("""COMPUTED_VALUE"""),0)</f>
        <v>0</v>
      </c>
      <c r="K744" s="8" t="str">
        <f ca="1">IFERROR(__xludf.DUMMYFUNCTION("""COMPUTED_VALUE"""),"https://abc13.com/shooting-outside-school-ridgemont-elementary-fort-bend-isd-woman-shot-in-parking-lot/13153562/
https://www.khou.com/article/news/crime/raven-ridge-shooting-houston-crime/285-32bae9ba-d025-46fb-aaa0-01fa939dc4e9
https://abc13.com/shooting"&amp;"-outside-school-ridgemont-elementary-fort-bend-isd-woman-shot-in-parking-lot/13153562/")</f>
        <v>https://abc13.com/shooting-outside-school-ridgemont-elementary-fort-bend-isd-woman-shot-in-parking-lot/13153562/
https://www.khou.com/article/news/crime/raven-ridge-shooting-houston-crime/285-32bae9ba-d025-46fb-aaa0-01fa939dc4e9
https://abc13.com/shooting-outside-school-ridgemont-elementary-fort-bend-isd-woman-shot-in-parking-lot/13153562/</v>
      </c>
      <c r="L744" s="8">
        <f ca="1">IFERROR(__xludf.DUMMYFUNCTION("""COMPUTED_VALUE"""),5)</f>
        <v>5</v>
      </c>
      <c r="M744" s="8" t="str">
        <f ca="1">IFERROR(__xludf.DUMMYFUNCTION("""COMPUTED_VALUE"""),"Local")</f>
        <v>Local</v>
      </c>
      <c r="N744" s="8">
        <f ca="1">IFERROR(__xludf.DUMMYFUNCTION("""COMPUTED_VALUE"""),4)</f>
        <v>4</v>
      </c>
      <c r="O744" s="8" t="str">
        <f ca="1">IFERROR(__xludf.DUMMYFUNCTION("""COMPUTED_VALUE"""),"Spring")</f>
        <v>Spring</v>
      </c>
      <c r="P744" s="8" t="str">
        <f ca="1">IFERROR(__xludf.DUMMYFUNCTION("""COMPUTED_VALUE"""),"Houston")</f>
        <v>Houston</v>
      </c>
      <c r="Q744" s="8" t="str">
        <f ca="1">IFERROR(__xludf.DUMMYFUNCTION("""COMPUTED_VALUE"""),"TX")</f>
        <v>TX</v>
      </c>
      <c r="R744" s="8" t="str">
        <f ca="1">IFERROR(__xludf.DUMMYFUNCTION("""COMPUTED_VALUE"""),"Elementary")</f>
        <v>Elementary</v>
      </c>
      <c r="S744" s="8" t="str">
        <f ca="1">IFERROR(__xludf.DUMMYFUNCTION("""COMPUTED_VALUE"""),"Parking Lot")</f>
        <v>Parking Lot</v>
      </c>
      <c r="T744" s="8" t="str">
        <f ca="1">IFERROR(__xludf.DUMMYFUNCTION("""COMPUTED_VALUE"""),"Outside on School Property")</f>
        <v>Outside on School Property</v>
      </c>
      <c r="U744" s="8" t="str">
        <f ca="1">IFERROR(__xludf.DUMMYFUNCTION("""COMPUTED_VALUE"""),"No")</f>
        <v>No</v>
      </c>
      <c r="V744" s="8" t="str">
        <f ca="1">IFERROR(__xludf.DUMMYFUNCTION("""COMPUTED_VALUE"""),"Evening")</f>
        <v>Evening</v>
      </c>
      <c r="W744" s="11">
        <f ca="1">IFERROR(__xludf.DUMMYFUNCTION("""COMPUTED_VALUE"""),0.854166666666666)</f>
        <v>0.85416666666666596</v>
      </c>
      <c r="X744" s="8">
        <f ca="1">IFERROR(__xludf.DUMMYFUNCTION("""COMPUTED_VALUE"""),1)</f>
        <v>1</v>
      </c>
      <c r="Y744" s="12" t="str">
        <f ca="1">IFERROR(__xludf.DUMMYFUNCTION("""COMPUTED_VALUE"""),"Man fatally shot and woman wounded in front of school")</f>
        <v>Man fatally shot and woman wounded in front of school</v>
      </c>
      <c r="Z744" s="12" t="str">
        <f ca="1">IFERROR(__xludf.DUMMYFUNCTION("""COMPUTED_VALUE"""),"A man is dead and a woman is hurt after a shooting in the parking lot of an elementary school in southwest Houston Tuesday night. On Wednesday, parents at Fort Bend ISD's Ridgemont Elementary School will drop off students just feet from where a man was ki"&amp;"lled. Officials said Houston police and Fort Bend ISD police responded to the scene shortly after 8:30 p.m. ""We don't believe it was related to the school, other than it just took place in their parking lot after it was closed,"" Lt. Larry Crowson said. "&amp;"""We just believe there were several people in the parking lot of the school, which was closed, and that's when the shooting took place.""")</f>
        <v>A man is dead and a woman is hurt after a shooting in the parking lot of an elementary school in southwest Houston Tuesday night. On Wednesday, parents at Fort Bend ISD's Ridgemont Elementary School will drop off students just feet from where a man was killed. Officials said Houston police and Fort Bend ISD police responded to the scene shortly after 8:30 p.m. "We don't believe it was related to the school, other than it just took place in their parking lot after it was closed," Lt. Larry Crowson said. "We just believe there were several people in the parking lot of the school, which was closed, and that's when the shooting took place."</v>
      </c>
      <c r="AA744" s="8"/>
      <c r="AB744" s="8"/>
      <c r="AC744" s="8" t="str">
        <f ca="1">IFERROR(__xludf.DUMMYFUNCTION("""COMPUTED_VALUE"""),"No")</f>
        <v>No</v>
      </c>
      <c r="AD744" s="8" t="str">
        <f ca="1">IFERROR(__xludf.DUMMYFUNCTION("""COMPUTED_VALUE"""),"Victims Targeted")</f>
        <v>Victims Targeted</v>
      </c>
      <c r="AE744" s="8"/>
      <c r="AF744" s="8"/>
      <c r="AG744" s="8" t="str">
        <f ca="1">IFERROR(__xludf.DUMMYFUNCTION("""COMPUTED_VALUE"""),"No")</f>
        <v>No</v>
      </c>
      <c r="AH744" s="8" t="str">
        <f ca="1">IFERROR(__xludf.DUMMYFUNCTION("""COMPUTED_VALUE"""),"No")</f>
        <v>No</v>
      </c>
      <c r="AI744" s="8" t="str">
        <f ca="1">IFERROR(__xludf.DUMMYFUNCTION("""COMPUTED_VALUE"""),"No")</f>
        <v>No</v>
      </c>
      <c r="AJ744" s="8" t="str">
        <f ca="1">IFERROR(__xludf.DUMMYFUNCTION("""COMPUTED_VALUE"""),"No")</f>
        <v>No</v>
      </c>
      <c r="AK744" s="8"/>
      <c r="AL744" s="8"/>
      <c r="AM744" s="8" t="str">
        <f ca="1">IFERROR(__xludf.DUMMYFUNCTION("""COMPUTED_VALUE"""),"No")</f>
        <v>No</v>
      </c>
      <c r="AN744" s="8" t="str">
        <f ca="1">IFERROR(__xludf.DUMMYFUNCTION("""COMPUTED_VALUE"""),"Outside")</f>
        <v>Outside</v>
      </c>
      <c r="AO744" s="8" t="str">
        <f ca="1">IFERROR(__xludf.DUMMYFUNCTION("""COMPUTED_VALUE"""),"No")</f>
        <v>No</v>
      </c>
      <c r="AP744" s="8" t="str">
        <f ca="1">IFERROR(__xludf.DUMMYFUNCTION("""COMPUTED_VALUE"""),"Yes")</f>
        <v>Yes</v>
      </c>
      <c r="AQ744" s="8"/>
      <c r="AR744" s="8" t="str">
        <f ca="1">IFERROR(__xludf.DUMMYFUNCTION("""COMPUTED_VALUE"""),"Outside/Off-Property")</f>
        <v>Outside/Off-Property</v>
      </c>
      <c r="AS744" s="8">
        <f ca="1">IFERROR(__xludf.DUMMYFUNCTION("""COMPUTED_VALUE"""),99)</f>
        <v>99</v>
      </c>
      <c r="AT744" s="8"/>
      <c r="AU744" s="8">
        <f ca="1">IFERROR(__xludf.DUMMYFUNCTION("""COMPUTED_VALUE"""),29.588659)</f>
        <v>29.588659</v>
      </c>
      <c r="AV744" s="8">
        <f ca="1">IFERROR(__xludf.DUMMYFUNCTION("""COMPUTED_VALUE"""),-95.459468)</f>
        <v>-95.459468000000001</v>
      </c>
      <c r="AW744" s="8"/>
      <c r="AX744" s="8">
        <f ca="1">IFERROR(__xludf.DUMMYFUNCTION("""COMPUTED_VALUE"""),77053)</f>
        <v>77053</v>
      </c>
    </row>
    <row r="745" spans="1:50" ht="150" x14ac:dyDescent="0.2">
      <c r="A745" s="8" t="str">
        <f ca="1">IFERROR(__xludf.DUMMYFUNCTION("""COMPUTED_VALUE"""),"20230417LASON")</f>
        <v>20230417LASON</v>
      </c>
      <c r="B745" s="8">
        <f ca="1">IFERROR(__xludf.DUMMYFUNCTION("""COMPUTED_VALUE"""),4)</f>
        <v>4</v>
      </c>
      <c r="C745" s="8">
        <f ca="1">IFERROR(__xludf.DUMMYFUNCTION("""COMPUTED_VALUE"""),17)</f>
        <v>17</v>
      </c>
      <c r="D745" s="8">
        <f ca="1">IFERROR(__xludf.DUMMYFUNCTION("""COMPUTED_VALUE"""),2023)</f>
        <v>2023</v>
      </c>
      <c r="E745" s="9">
        <f ca="1">IFERROR(__xludf.DUMMYFUNCTION("""COMPUTED_VALUE"""),45033)</f>
        <v>45033</v>
      </c>
      <c r="F745" s="8" t="str">
        <f ca="1">IFERROR(__xludf.DUMMYFUNCTION("""COMPUTED_VALUE"""),"Sophie B. Wright Charter School")</f>
        <v>Sophie B. Wright Charter School</v>
      </c>
      <c r="G745" s="8">
        <f ca="1">IFERROR(__xludf.DUMMYFUNCTION("""COMPUTED_VALUE"""),0)</f>
        <v>0</v>
      </c>
      <c r="H745" s="8">
        <f ca="1">IFERROR(__xludf.DUMMYFUNCTION("""COMPUTED_VALUE"""),0)</f>
        <v>0</v>
      </c>
      <c r="I745" s="8">
        <f ca="1">IFERROR(__xludf.DUMMYFUNCTION("""COMPUTED_VALUE"""),0)</f>
        <v>0</v>
      </c>
      <c r="J745" s="8">
        <f ca="1">IFERROR(__xludf.DUMMYFUNCTION("""COMPUTED_VALUE"""),0)</f>
        <v>0</v>
      </c>
      <c r="K745" s="10" t="str">
        <f ca="1">IFERROR(__xludf.DUMMYFUNCTION("""COMPUTED_VALUE"""),"https://www.fox8live.com/2023/04/19/new-orleans-school-bus-carrying-students-struck-by-bullets-central-city-police-say/
https://www.nola.com/news/crime_police/school-bus-hit-in-monday-afternoon-shooting-police-say/article_e07e8304-de28-11ed-91f8-1ba20fd94"&amp;"b64.html")</f>
        <v>https://www.fox8live.com/2023/04/19/new-orleans-school-bus-carrying-students-struck-by-bullets-central-city-police-say/
https://www.nola.com/news/crime_police/school-bus-hit-in-monday-afternoon-shooting-police-say/article_e07e8304-de28-11ed-91f8-1ba20fd94b64.html</v>
      </c>
      <c r="L745" s="8">
        <f ca="1">IFERROR(__xludf.DUMMYFUNCTION("""COMPUTED_VALUE"""),3)</f>
        <v>3</v>
      </c>
      <c r="M745" s="8" t="str">
        <f ca="1">IFERROR(__xludf.DUMMYFUNCTION("""COMPUTED_VALUE"""),"Local")</f>
        <v>Local</v>
      </c>
      <c r="N745" s="8">
        <f ca="1">IFERROR(__xludf.DUMMYFUNCTION("""COMPUTED_VALUE"""),4)</f>
        <v>4</v>
      </c>
      <c r="O745" s="8" t="str">
        <f ca="1">IFERROR(__xludf.DUMMYFUNCTION("""COMPUTED_VALUE"""),"Spring")</f>
        <v>Spring</v>
      </c>
      <c r="P745" s="8" t="str">
        <f ca="1">IFERROR(__xludf.DUMMYFUNCTION("""COMPUTED_VALUE"""),"New Orleans")</f>
        <v>New Orleans</v>
      </c>
      <c r="Q745" s="8" t="str">
        <f ca="1">IFERROR(__xludf.DUMMYFUNCTION("""COMPUTED_VALUE"""),"LA")</f>
        <v>LA</v>
      </c>
      <c r="R745" s="8" t="str">
        <f ca="1">IFERROR(__xludf.DUMMYFUNCTION("""COMPUTED_VALUE"""),"High")</f>
        <v>High</v>
      </c>
      <c r="S745" s="8" t="str">
        <f ca="1">IFERROR(__xludf.DUMMYFUNCTION("""COMPUTED_VALUE"""),"School Bus")</f>
        <v>School Bus</v>
      </c>
      <c r="T745" s="8" t="str">
        <f ca="1">IFERROR(__xludf.DUMMYFUNCTION("""COMPUTED_VALUE"""),"School Bus")</f>
        <v>School Bus</v>
      </c>
      <c r="U745" s="8" t="str">
        <f ca="1">IFERROR(__xludf.DUMMYFUNCTION("""COMPUTED_VALUE"""),"Yes")</f>
        <v>Yes</v>
      </c>
      <c r="V745" s="8" t="str">
        <f ca="1">IFERROR(__xludf.DUMMYFUNCTION("""COMPUTED_VALUE"""),"Dismissal")</f>
        <v>Dismissal</v>
      </c>
      <c r="W745" s="11">
        <f ca="1">IFERROR(__xludf.DUMMYFUNCTION("""COMPUTED_VALUE"""),0.652777777777777)</f>
        <v>0.65277777777777701</v>
      </c>
      <c r="X745" s="8">
        <f ca="1">IFERROR(__xludf.DUMMYFUNCTION("""COMPUTED_VALUE"""),1)</f>
        <v>1</v>
      </c>
      <c r="Y745" s="12" t="str">
        <f ca="1">IFERROR(__xludf.DUMMYFUNCTION("""COMPUTED_VALUE"""),"School bus shot multiple times while dropping off students")</f>
        <v>School bus shot multiple times while dropping off students</v>
      </c>
      <c r="Z745" s="12" t="str">
        <f ca="1">IFERROR(__xludf.DUMMYFUNCTION("""COMPUTED_VALUE"""),"dropped eight students off from his school bus in Central City Monday afternoon when he heard gunshots. He yelled for his remaining passengers to get down, just as he saw through his rearview mirror that the vehicle’s back glass window had been shattered "&amp;"by a bullet. The bus, which had another 15 Sophie B. Wright High School students inside, had been shot at least twice. No one was injured, and Stewart returned to the school's Napoleon Avenue campus where parents picked up their children, the New Orleans "&amp;"Police Department confirmed Tuesday.")</f>
        <v>dropped eight students off from his school bus in Central City Monday afternoon when he heard gunshots. He yelled for his remaining passengers to get down, just as he saw through his rearview mirror that the vehicle’s back glass window had been shattered by a bullet. The bus, which had another 15 Sophie B. Wright High School students inside, had been shot at least twice. No one was injured, and Stewart returned to the school's Napoleon Avenue campus where parents picked up their children, the New Orleans Police Department confirmed Tuesday.</v>
      </c>
      <c r="AA745" s="8" t="str">
        <f ca="1">IFERROR(__xludf.DUMMYFUNCTION("""COMPUTED_VALUE"""),"Drive-by Shooting")</f>
        <v>Drive-by Shooting</v>
      </c>
      <c r="AB745" s="8"/>
      <c r="AC745" s="8" t="str">
        <f ca="1">IFERROR(__xludf.DUMMYFUNCTION("""COMPUTED_VALUE"""),"Yes")</f>
        <v>Yes</v>
      </c>
      <c r="AD745" s="8" t="str">
        <f ca="1">IFERROR(__xludf.DUMMYFUNCTION("""COMPUTED_VALUE"""),"Both")</f>
        <v>Both</v>
      </c>
      <c r="AE745" s="8"/>
      <c r="AF745" s="8"/>
      <c r="AG745" s="8" t="str">
        <f ca="1">IFERROR(__xludf.DUMMYFUNCTION("""COMPUTED_VALUE"""),"No")</f>
        <v>No</v>
      </c>
      <c r="AH745" s="8" t="str">
        <f ca="1">IFERROR(__xludf.DUMMYFUNCTION("""COMPUTED_VALUE"""),"No")</f>
        <v>No</v>
      </c>
      <c r="AI745" s="8" t="str">
        <f ca="1">IFERROR(__xludf.DUMMYFUNCTION("""COMPUTED_VALUE"""),"No")</f>
        <v>No</v>
      </c>
      <c r="AJ745" s="8" t="str">
        <f ca="1">IFERROR(__xludf.DUMMYFUNCTION("""COMPUTED_VALUE"""),"No")</f>
        <v>No</v>
      </c>
      <c r="AK745" s="8" t="str">
        <f ca="1">IFERROR(__xludf.DUMMYFUNCTION("""COMPUTED_VALUE"""),"No")</f>
        <v>No</v>
      </c>
      <c r="AL745" s="8"/>
      <c r="AM745" s="8" t="str">
        <f ca="1">IFERROR(__xludf.DUMMYFUNCTION("""COMPUTED_VALUE"""),"No")</f>
        <v>No</v>
      </c>
      <c r="AN745" s="8" t="str">
        <f ca="1">IFERROR(__xludf.DUMMYFUNCTION("""COMPUTED_VALUE"""),"Outside")</f>
        <v>Outside</v>
      </c>
      <c r="AO745" s="8" t="str">
        <f ca="1">IFERROR(__xludf.DUMMYFUNCTION("""COMPUTED_VALUE"""),"No")</f>
        <v>No</v>
      </c>
      <c r="AP745" s="8"/>
      <c r="AQ745" s="8"/>
      <c r="AR745" s="8" t="str">
        <f ca="1">IFERROR(__xludf.DUMMYFUNCTION("""COMPUTED_VALUE"""),"Outside/Off-Property")</f>
        <v>Outside/Off-Property</v>
      </c>
      <c r="AS745" s="8">
        <f ca="1">IFERROR(__xludf.DUMMYFUNCTION("""COMPUTED_VALUE"""),99)</f>
        <v>99</v>
      </c>
      <c r="AT745" s="8"/>
      <c r="AU745" s="8">
        <f ca="1">IFERROR(__xludf.DUMMYFUNCTION("""COMPUTED_VALUE"""),29.925236)</f>
        <v>29.925236000000002</v>
      </c>
      <c r="AV745" s="8">
        <f ca="1">IFERROR(__xludf.DUMMYFUNCTION("""COMPUTED_VALUE"""),-90.102151)</f>
        <v>-90.102151000000006</v>
      </c>
      <c r="AW745" s="8"/>
      <c r="AX745" s="8">
        <f ca="1">IFERROR(__xludf.DUMMYFUNCTION("""COMPUTED_VALUE"""),70115)</f>
        <v>70115</v>
      </c>
    </row>
    <row r="746" spans="1:50" ht="240" x14ac:dyDescent="0.2">
      <c r="A746" s="8" t="str">
        <f ca="1">IFERROR(__xludf.DUMMYFUNCTION("""COMPUTED_VALUE"""),"20230414WIWAW")</f>
        <v>20230414WIWAW</v>
      </c>
      <c r="B746" s="8">
        <f ca="1">IFERROR(__xludf.DUMMYFUNCTION("""COMPUTED_VALUE"""),4)</f>
        <v>4</v>
      </c>
      <c r="C746" s="8">
        <f ca="1">IFERROR(__xludf.DUMMYFUNCTION("""COMPUTED_VALUE"""),14)</f>
        <v>14</v>
      </c>
      <c r="D746" s="8">
        <f ca="1">IFERROR(__xludf.DUMMYFUNCTION("""COMPUTED_VALUE"""),2023)</f>
        <v>2023</v>
      </c>
      <c r="E746" s="9">
        <f ca="1">IFERROR(__xludf.DUMMYFUNCTION("""COMPUTED_VALUE"""),45030)</f>
        <v>45030</v>
      </c>
      <c r="F746" s="8" t="str">
        <f ca="1">IFERROR(__xludf.DUMMYFUNCTION("""COMPUTED_VALUE"""),"Waukesha North High School")</f>
        <v>Waukesha North High School</v>
      </c>
      <c r="G746" s="8">
        <f ca="1">IFERROR(__xludf.DUMMYFUNCTION("""COMPUTED_VALUE"""),0)</f>
        <v>0</v>
      </c>
      <c r="H746" s="8">
        <f ca="1">IFERROR(__xludf.DUMMYFUNCTION("""COMPUTED_VALUE"""),0)</f>
        <v>0</v>
      </c>
      <c r="I746" s="8">
        <f ca="1">IFERROR(__xludf.DUMMYFUNCTION("""COMPUTED_VALUE"""),0)</f>
        <v>0</v>
      </c>
      <c r="J746" s="8">
        <f ca="1">IFERROR(__xludf.DUMMYFUNCTION("""COMPUTED_VALUE"""),0)</f>
        <v>0</v>
      </c>
      <c r="K746" s="10" t="str">
        <f ca="1">IFERROR(__xludf.DUMMYFUNCTION("""COMPUTED_VALUE"""),"https://www.jsonline.com/story/communities/west/news/waukesha/2023/04/14/teen-carrying-rifle-arrested-near-waukesha-north-high-school/70116222007/
https://www.fox6now.com/news/waukesha-north-school-gun")</f>
        <v>https://www.jsonline.com/story/communities/west/news/waukesha/2023/04/14/teen-carrying-rifle-arrested-near-waukesha-north-high-school/70116222007/
https://www.fox6now.com/news/waukesha-north-school-gun</v>
      </c>
      <c r="L746" s="8">
        <f ca="1">IFERROR(__xludf.DUMMYFUNCTION("""COMPUTED_VALUE"""),10)</f>
        <v>10</v>
      </c>
      <c r="M746" s="8" t="str">
        <f ca="1">IFERROR(__xludf.DUMMYFUNCTION("""COMPUTED_VALUE"""),"Local")</f>
        <v>Local</v>
      </c>
      <c r="N746" s="8">
        <f ca="1">IFERROR(__xludf.DUMMYFUNCTION("""COMPUTED_VALUE"""),4)</f>
        <v>4</v>
      </c>
      <c r="O746" s="8" t="str">
        <f ca="1">IFERROR(__xludf.DUMMYFUNCTION("""COMPUTED_VALUE"""),"Spring")</f>
        <v>Spring</v>
      </c>
      <c r="P746" s="8" t="str">
        <f ca="1">IFERROR(__xludf.DUMMYFUNCTION("""COMPUTED_VALUE"""),"Waukesha")</f>
        <v>Waukesha</v>
      </c>
      <c r="Q746" s="8" t="str">
        <f ca="1">IFERROR(__xludf.DUMMYFUNCTION("""COMPUTED_VALUE"""),"WI")</f>
        <v>WI</v>
      </c>
      <c r="R746" s="8" t="str">
        <f ca="1">IFERROR(__xludf.DUMMYFUNCTION("""COMPUTED_VALUE"""),"High")</f>
        <v>High</v>
      </c>
      <c r="S746" s="8" t="str">
        <f ca="1">IFERROR(__xludf.DUMMYFUNCTION("""COMPUTED_VALUE"""),"Off School Property")</f>
        <v>Off School Property</v>
      </c>
      <c r="T746" s="8" t="str">
        <f ca="1">IFERROR(__xludf.DUMMYFUNCTION("""COMPUTED_VALUE"""),"Off School Property")</f>
        <v>Off School Property</v>
      </c>
      <c r="U746" s="8" t="str">
        <f ca="1">IFERROR(__xludf.DUMMYFUNCTION("""COMPUTED_VALUE"""),"Yes")</f>
        <v>Yes</v>
      </c>
      <c r="V746" s="8" t="str">
        <f ca="1">IFERROR(__xludf.DUMMYFUNCTION("""COMPUTED_VALUE"""),"Afternoon Classes")</f>
        <v>Afternoon Classes</v>
      </c>
      <c r="W746" s="11">
        <f ca="1">IFERROR(__xludf.DUMMYFUNCTION("""COMPUTED_VALUE"""),0.540277777777777)</f>
        <v>0.54027777777777697</v>
      </c>
      <c r="X746" s="8">
        <f ca="1">IFERROR(__xludf.DUMMYFUNCTION("""COMPUTED_VALUE"""),1)</f>
        <v>1</v>
      </c>
      <c r="Y746" s="12" t="str">
        <f ca="1">IFERROR(__xludf.DUMMYFUNCTION("""COMPUTED_VALUE"""),"Students saw teen with an AR-15 rifle at the edge of campus, called SRO, school went on lockdown, teen surrendered to police")</f>
        <v>Students saw teen with an AR-15 rifle at the edge of campus, called SRO, school went on lockdown, teen surrendered to police</v>
      </c>
      <c r="Z746" s="12" t="str">
        <f ca="1">IFERROR(__xludf.DUMMYFUNCTION("""COMPUTED_VALUE"""),"Police on Friday afternoon arrested a 17-year-old boy who was found with a rifle near Waukesha North High School. No shots were fired and no one was injured, but the threat, reported shortly before 1 p.m., was serious enough to prompt school administrativ"&amp;"e officials to enact a safety measure to ensure students remained in the building while police searched for the suspect. It was North students who first alerted a school resource officer about the suspected gunman, which officials said contributed to the "&amp;"safe outcome and may have averted yet another mass shooting inside a U.S. school. ""It goes without saying that the training and preparation we have with the school district paid off,"" said Waukesha Police Capt. Dan Baumann, who also complimented departm"&amp;"ent personnel. ""To the officers who tenaciously investigated and kept those children safe, we sincerely thank you.""")</f>
        <v>Police on Friday afternoon arrested a 17-year-old boy who was found with a rifle near Waukesha North High School. No shots were fired and no one was injured, but the threat, reported shortly before 1 p.m., was serious enough to prompt school administrative officials to enact a safety measure to ensure students remained in the building while police searched for the suspect. It was North students who first alerted a school resource officer about the suspected gunman, which officials said contributed to the safe outcome and may have averted yet another mass shooting inside a U.S. school. "It goes without saying that the training and preparation we have with the school district paid off," said Waukesha Police Capt. Dan Baumann, who also complimented department personnel. "To the officers who tenaciously investigated and kept those children safe, we sincerely thank you."</v>
      </c>
      <c r="AA746" s="8"/>
      <c r="AB746" s="8"/>
      <c r="AC746" s="8" t="str">
        <f ca="1">IFERROR(__xludf.DUMMYFUNCTION("""COMPUTED_VALUE"""),"Yes")</f>
        <v>Yes</v>
      </c>
      <c r="AD746" s="8"/>
      <c r="AE746" s="8" t="str">
        <f ca="1">IFERROR(__xludf.DUMMYFUNCTION("""COMPUTED_VALUE"""),"No")</f>
        <v>No</v>
      </c>
      <c r="AF746" s="8"/>
      <c r="AG746" s="8" t="str">
        <f ca="1">IFERROR(__xludf.DUMMYFUNCTION("""COMPUTED_VALUE"""),"No")</f>
        <v>No</v>
      </c>
      <c r="AH746" s="8" t="str">
        <f ca="1">IFERROR(__xludf.DUMMYFUNCTION("""COMPUTED_VALUE"""),"No")</f>
        <v>No</v>
      </c>
      <c r="AI746" s="8" t="str">
        <f ca="1">IFERROR(__xludf.DUMMYFUNCTION("""COMPUTED_VALUE"""),"No")</f>
        <v>No</v>
      </c>
      <c r="AJ746" s="8"/>
      <c r="AK746" s="8" t="str">
        <f ca="1">IFERROR(__xludf.DUMMYFUNCTION("""COMPUTED_VALUE"""),"No")</f>
        <v>No</v>
      </c>
      <c r="AL746" s="8"/>
      <c r="AM746" s="8"/>
      <c r="AN746" s="8" t="str">
        <f ca="1">IFERROR(__xludf.DUMMYFUNCTION("""COMPUTED_VALUE"""),"Outside")</f>
        <v>Outside</v>
      </c>
      <c r="AO746" s="8"/>
      <c r="AP746" s="8" t="str">
        <f ca="1">IFERROR(__xludf.DUMMYFUNCTION("""COMPUTED_VALUE"""),"Yes")</f>
        <v>Yes</v>
      </c>
      <c r="AQ746" s="8"/>
      <c r="AR746" s="8" t="str">
        <f ca="1">IFERROR(__xludf.DUMMYFUNCTION("""COMPUTED_VALUE"""),"Outside/Off-Property")</f>
        <v>Outside/Off-Property</v>
      </c>
      <c r="AS746" s="8">
        <f ca="1">IFERROR(__xludf.DUMMYFUNCTION("""COMPUTED_VALUE"""),0)</f>
        <v>0</v>
      </c>
      <c r="AT746" s="8" t="str">
        <f ca="1">IFERROR(__xludf.DUMMYFUNCTION("""COMPUTED_VALUE"""),"Yes")</f>
        <v>Yes</v>
      </c>
      <c r="AU746" s="8">
        <f ca="1">IFERROR(__xludf.DUMMYFUNCTION("""COMPUTED_VALUE"""),43.018465)</f>
        <v>43.018464999999999</v>
      </c>
      <c r="AV746" s="8">
        <f ca="1">IFERROR(__xludf.DUMMYFUNCTION("""COMPUTED_VALUE"""),-88.263714)</f>
        <v>-88.263713999999993</v>
      </c>
      <c r="AW746" s="8"/>
      <c r="AX746" s="8">
        <f ca="1">IFERROR(__xludf.DUMMYFUNCTION("""COMPUTED_VALUE"""),53188)</f>
        <v>53188</v>
      </c>
    </row>
    <row r="747" spans="1:50" ht="135" x14ac:dyDescent="0.2">
      <c r="A747" s="8" t="str">
        <f ca="1">IFERROR(__xludf.DUMMYFUNCTION("""COMPUTED_VALUE"""),"20230414PAWOP")</f>
        <v>20230414PAWOP</v>
      </c>
      <c r="B747" s="8">
        <f ca="1">IFERROR(__xludf.DUMMYFUNCTION("""COMPUTED_VALUE"""),4)</f>
        <v>4</v>
      </c>
      <c r="C747" s="8">
        <f ca="1">IFERROR(__xludf.DUMMYFUNCTION("""COMPUTED_VALUE"""),14)</f>
        <v>14</v>
      </c>
      <c r="D747" s="8">
        <f ca="1">IFERROR(__xludf.DUMMYFUNCTION("""COMPUTED_VALUE"""),2023)</f>
        <v>2023</v>
      </c>
      <c r="E747" s="9">
        <f ca="1">IFERROR(__xludf.DUMMYFUNCTION("""COMPUTED_VALUE"""),45030)</f>
        <v>45030</v>
      </c>
      <c r="F747" s="8" t="str">
        <f ca="1">IFERROR(__xludf.DUMMYFUNCTION("""COMPUTED_VALUE"""),"Swissvale School Bus")</f>
        <v>Swissvale School Bus</v>
      </c>
      <c r="G747" s="8">
        <f ca="1">IFERROR(__xludf.DUMMYFUNCTION("""COMPUTED_VALUE"""),0)</f>
        <v>0</v>
      </c>
      <c r="H747" s="8">
        <f ca="1">IFERROR(__xludf.DUMMYFUNCTION("""COMPUTED_VALUE"""),0)</f>
        <v>0</v>
      </c>
      <c r="I747" s="8">
        <f ca="1">IFERROR(__xludf.DUMMYFUNCTION("""COMPUTED_VALUE"""),0)</f>
        <v>0</v>
      </c>
      <c r="J747" s="8">
        <f ca="1">IFERROR(__xludf.DUMMYFUNCTION("""COMPUTED_VALUE"""),0)</f>
        <v>0</v>
      </c>
      <c r="K747" s="10" t="str">
        <f ca="1">IFERROR(__xludf.DUMMYFUNCTION("""COMPUTED_VALUE"""),"https://www.cbsnews.com/pittsburgh/news/school-bus-hit-by-bullet-in-swissvale-stemming-from-incident-in-edgewood-town-center/")</f>
        <v>https://www.cbsnews.com/pittsburgh/news/school-bus-hit-by-bullet-in-swissvale-stemming-from-incident-in-edgewood-town-center/</v>
      </c>
      <c r="L747" s="8">
        <f ca="1">IFERROR(__xludf.DUMMYFUNCTION("""COMPUTED_VALUE"""),4)</f>
        <v>4</v>
      </c>
      <c r="M747" s="8" t="str">
        <f ca="1">IFERROR(__xludf.DUMMYFUNCTION("""COMPUTED_VALUE"""),"Local")</f>
        <v>Local</v>
      </c>
      <c r="N747" s="8">
        <f ca="1">IFERROR(__xludf.DUMMYFUNCTION("""COMPUTED_VALUE"""),4)</f>
        <v>4</v>
      </c>
      <c r="O747" s="8" t="str">
        <f ca="1">IFERROR(__xludf.DUMMYFUNCTION("""COMPUTED_VALUE"""),"Spring")</f>
        <v>Spring</v>
      </c>
      <c r="P747" s="8" t="str">
        <f ca="1">IFERROR(__xludf.DUMMYFUNCTION("""COMPUTED_VALUE"""),"Pittsburgh")</f>
        <v>Pittsburgh</v>
      </c>
      <c r="Q747" s="8" t="str">
        <f ca="1">IFERROR(__xludf.DUMMYFUNCTION("""COMPUTED_VALUE"""),"PA")</f>
        <v>PA</v>
      </c>
      <c r="R747" s="8" t="str">
        <f ca="1">IFERROR(__xludf.DUMMYFUNCTION("""COMPUTED_VALUE"""),"K-12")</f>
        <v>K-12</v>
      </c>
      <c r="S747" s="8" t="str">
        <f ca="1">IFERROR(__xludf.DUMMYFUNCTION("""COMPUTED_VALUE"""),"School Bus")</f>
        <v>School Bus</v>
      </c>
      <c r="T747" s="8" t="str">
        <f ca="1">IFERROR(__xludf.DUMMYFUNCTION("""COMPUTED_VALUE"""),"School Bus")</f>
        <v>School Bus</v>
      </c>
      <c r="U747" s="8" t="str">
        <f ca="1">IFERROR(__xludf.DUMMYFUNCTION("""COMPUTED_VALUE"""),"Yes")</f>
        <v>Yes</v>
      </c>
      <c r="V747" s="8" t="str">
        <f ca="1">IFERROR(__xludf.DUMMYFUNCTION("""COMPUTED_VALUE"""),"Afternoon Classes")</f>
        <v>Afternoon Classes</v>
      </c>
      <c r="W747" s="11">
        <f ca="1">IFERROR(__xludf.DUMMYFUNCTION("""COMPUTED_VALUE"""),0.625)</f>
        <v>0.625</v>
      </c>
      <c r="X747" s="8">
        <f ca="1">IFERROR(__xludf.DUMMYFUNCTION("""COMPUTED_VALUE"""),1)</f>
        <v>1</v>
      </c>
      <c r="Y747" s="12" t="str">
        <f ca="1">IFERROR(__xludf.DUMMYFUNCTION("""COMPUTED_VALUE"""),"School bus shot, school went on lockdown")</f>
        <v>School bus shot, school went on lockdown</v>
      </c>
      <c r="Z747" s="12" t="str">
        <f ca="1">IFERROR(__xludf.DUMMYFUNCTION("""COMPUTED_VALUE"""),"Schools in the Swissvale area were put on a brief lockdown Friday afternoon after a bullet went through a school bus, according to Swissvale police. This stemmed from an incident that began in Edgewood Town Center at approximately 3 p.m. when people in tw"&amp;"o vehicles exchanged gunfire. The situation spread into Swissvale, where a school bus was shot. Allegheny County police said a storefront and several parked vehicles were hit by the gunfire.")</f>
        <v>Schools in the Swissvale area were put on a brief lockdown Friday afternoon after a bullet went through a school bus, according to Swissvale police. This stemmed from an incident that began in Edgewood Town Center at approximately 3 p.m. when people in two vehicles exchanged gunfire. The situation spread into Swissvale, where a school bus was shot. Allegheny County police said a storefront and several parked vehicles were hit by the gunfire.</v>
      </c>
      <c r="AA747" s="8" t="str">
        <f ca="1">IFERROR(__xludf.DUMMYFUNCTION("""COMPUTED_VALUE"""),"Drive-by Shooting")</f>
        <v>Drive-by Shooting</v>
      </c>
      <c r="AB747" s="8"/>
      <c r="AC747" s="8" t="str">
        <f ca="1">IFERROR(__xludf.DUMMYFUNCTION("""COMPUTED_VALUE"""),"Yes")</f>
        <v>Yes</v>
      </c>
      <c r="AD747" s="8" t="str">
        <f ca="1">IFERROR(__xludf.DUMMYFUNCTION("""COMPUTED_VALUE"""),"Both")</f>
        <v>Both</v>
      </c>
      <c r="AE747" s="8" t="str">
        <f ca="1">IFERROR(__xludf.DUMMYFUNCTION("""COMPUTED_VALUE"""),"No")</f>
        <v>No</v>
      </c>
      <c r="AF747" s="8"/>
      <c r="AG747" s="8" t="str">
        <f ca="1">IFERROR(__xludf.DUMMYFUNCTION("""COMPUTED_VALUE"""),"No")</f>
        <v>No</v>
      </c>
      <c r="AH747" s="8" t="str">
        <f ca="1">IFERROR(__xludf.DUMMYFUNCTION("""COMPUTED_VALUE"""),"No")</f>
        <v>No</v>
      </c>
      <c r="AI747" s="8" t="str">
        <f ca="1">IFERROR(__xludf.DUMMYFUNCTION("""COMPUTED_VALUE"""),"No")</f>
        <v>No</v>
      </c>
      <c r="AJ747" s="8" t="str">
        <f ca="1">IFERROR(__xludf.DUMMYFUNCTION("""COMPUTED_VALUE"""),"No")</f>
        <v>No</v>
      </c>
      <c r="AK747" s="8" t="str">
        <f ca="1">IFERROR(__xludf.DUMMYFUNCTION("""COMPUTED_VALUE"""),"No")</f>
        <v>No</v>
      </c>
      <c r="AL747" s="8"/>
      <c r="AM747" s="8" t="str">
        <f ca="1">IFERROR(__xludf.DUMMYFUNCTION("""COMPUTED_VALUE"""),"No")</f>
        <v>No</v>
      </c>
      <c r="AN747" s="8" t="str">
        <f ca="1">IFERROR(__xludf.DUMMYFUNCTION("""COMPUTED_VALUE"""),"Outside")</f>
        <v>Outside</v>
      </c>
      <c r="AO747" s="8"/>
      <c r="AP747" s="8"/>
      <c r="AQ747" s="8"/>
      <c r="AR747" s="8" t="str">
        <f ca="1">IFERROR(__xludf.DUMMYFUNCTION("""COMPUTED_VALUE"""),"Outside/Off-Property")</f>
        <v>Outside/Off-Property</v>
      </c>
      <c r="AS747" s="8">
        <f ca="1">IFERROR(__xludf.DUMMYFUNCTION("""COMPUTED_VALUE"""),99)</f>
        <v>99</v>
      </c>
      <c r="AT747" s="8" t="str">
        <f ca="1">IFERROR(__xludf.DUMMYFUNCTION("""COMPUTED_VALUE"""),"Yes")</f>
        <v>Yes</v>
      </c>
      <c r="AU747" s="8">
        <f ca="1">IFERROR(__xludf.DUMMYFUNCTION("""COMPUTED_VALUE"""),40.419884)</f>
        <v>40.419884000000003</v>
      </c>
      <c r="AV747" s="8">
        <f ca="1">IFERROR(__xludf.DUMMYFUNCTION("""COMPUTED_VALUE"""),-79.878248)</f>
        <v>-79.878247999999999</v>
      </c>
      <c r="AW747" s="8"/>
      <c r="AX747" s="8">
        <f ca="1">IFERROR(__xludf.DUMMYFUNCTION("""COMPUTED_VALUE"""),15218)</f>
        <v>15218</v>
      </c>
    </row>
    <row r="748" spans="1:50" ht="135" x14ac:dyDescent="0.2">
      <c r="A748" s="8" t="str">
        <f ca="1">IFERROR(__xludf.DUMMYFUNCTION("""COMPUTED_VALUE"""),"20230414AZDEP")</f>
        <v>20230414AZDEP</v>
      </c>
      <c r="B748" s="8">
        <f ca="1">IFERROR(__xludf.DUMMYFUNCTION("""COMPUTED_VALUE"""),4)</f>
        <v>4</v>
      </c>
      <c r="C748" s="8">
        <f ca="1">IFERROR(__xludf.DUMMYFUNCTION("""COMPUTED_VALUE"""),14)</f>
        <v>14</v>
      </c>
      <c r="D748" s="8">
        <f ca="1">IFERROR(__xludf.DUMMYFUNCTION("""COMPUTED_VALUE"""),2023)</f>
        <v>2023</v>
      </c>
      <c r="E748" s="9">
        <f ca="1">IFERROR(__xludf.DUMMYFUNCTION("""COMPUTED_VALUE"""),45030)</f>
        <v>45030</v>
      </c>
      <c r="F748" s="8" t="str">
        <f ca="1">IFERROR(__xludf.DUMMYFUNCTION("""COMPUTED_VALUE"""),"Desert Sands Middle School")</f>
        <v>Desert Sands Middle School</v>
      </c>
      <c r="G748" s="8">
        <f ca="1">IFERROR(__xludf.DUMMYFUNCTION("""COMPUTED_VALUE"""),1)</f>
        <v>1</v>
      </c>
      <c r="H748" s="8">
        <f ca="1">IFERROR(__xludf.DUMMYFUNCTION("""COMPUTED_VALUE"""),0)</f>
        <v>0</v>
      </c>
      <c r="I748" s="8">
        <f ca="1">IFERROR(__xludf.DUMMYFUNCTION("""COMPUTED_VALUE"""),1)</f>
        <v>1</v>
      </c>
      <c r="J748" s="8">
        <f ca="1">IFERROR(__xludf.DUMMYFUNCTION("""COMPUTED_VALUE"""),0)</f>
        <v>0</v>
      </c>
      <c r="K748" s="8" t="str">
        <f ca="1">IFERROR(__xludf.DUMMYFUNCTION("""COMPUTED_VALUE"""),"https://www.azfamily.com/2023/07/04/police-arrest-suspect-death-man-found-near-phoenix-middle-school/
https://www.abc15.com/news/crime/man-dead-after-early-morning-shooting-near-west-phoenix-school
https://www.azfamily.com/2023/04/14/phoenix-police-severa"&amp;"l-detained-deadly-shooting-investigation-near-middle-school/")</f>
        <v>https://www.azfamily.com/2023/07/04/police-arrest-suspect-death-man-found-near-phoenix-middle-school/
https://www.abc15.com/news/crime/man-dead-after-early-morning-shooting-near-west-phoenix-school
https://www.azfamily.com/2023/04/14/phoenix-police-several-detained-deadly-shooting-investigation-near-middle-school/</v>
      </c>
      <c r="L748" s="8">
        <f ca="1">IFERROR(__xludf.DUMMYFUNCTION("""COMPUTED_VALUE"""),10)</f>
        <v>10</v>
      </c>
      <c r="M748" s="8" t="str">
        <f ca="1">IFERROR(__xludf.DUMMYFUNCTION("""COMPUTED_VALUE"""),"Local")</f>
        <v>Local</v>
      </c>
      <c r="N748" s="8">
        <f ca="1">IFERROR(__xludf.DUMMYFUNCTION("""COMPUTED_VALUE"""),4)</f>
        <v>4</v>
      </c>
      <c r="O748" s="8" t="str">
        <f ca="1">IFERROR(__xludf.DUMMYFUNCTION("""COMPUTED_VALUE"""),"Spring")</f>
        <v>Spring</v>
      </c>
      <c r="P748" s="8" t="str">
        <f ca="1">IFERROR(__xludf.DUMMYFUNCTION("""COMPUTED_VALUE"""),"Phoenix")</f>
        <v>Phoenix</v>
      </c>
      <c r="Q748" s="8" t="str">
        <f ca="1">IFERROR(__xludf.DUMMYFUNCTION("""COMPUTED_VALUE"""),"AZ")</f>
        <v>AZ</v>
      </c>
      <c r="R748" s="8" t="str">
        <f ca="1">IFERROR(__xludf.DUMMYFUNCTION("""COMPUTED_VALUE"""),"Middle")</f>
        <v>Middle</v>
      </c>
      <c r="S748" s="8" t="str">
        <f ca="1">IFERROR(__xludf.DUMMYFUNCTION("""COMPUTED_VALUE"""),"Front of School")</f>
        <v>Front of School</v>
      </c>
      <c r="T748" s="8" t="str">
        <f ca="1">IFERROR(__xludf.DUMMYFUNCTION("""COMPUTED_VALUE"""),"Outside on School Property")</f>
        <v>Outside on School Property</v>
      </c>
      <c r="U748" s="8" t="str">
        <f ca="1">IFERROR(__xludf.DUMMYFUNCTION("""COMPUTED_VALUE"""),"No")</f>
        <v>No</v>
      </c>
      <c r="V748" s="8" t="str">
        <f ca="1">IFERROR(__xludf.DUMMYFUNCTION("""COMPUTED_VALUE"""),"Night")</f>
        <v>Night</v>
      </c>
      <c r="W748" s="11">
        <f ca="1">IFERROR(__xludf.DUMMYFUNCTION("""COMPUTED_VALUE"""),0.197916666666666)</f>
        <v>0.19791666666666599</v>
      </c>
      <c r="X748" s="8">
        <f ca="1">IFERROR(__xludf.DUMMYFUNCTION("""COMPUTED_VALUE"""),1)</f>
        <v>1</v>
      </c>
      <c r="Y748" s="12" t="str">
        <f ca="1">IFERROR(__xludf.DUMMYFUNCTION("""COMPUTED_VALUE"""),"Man fatally shot in front of school")</f>
        <v>Man fatally shot in front of school</v>
      </c>
      <c r="Z748" s="12" t="str">
        <f ca="1">IFERROR(__xludf.DUMMYFUNCTION("""COMPUTED_VALUE"""),"A man is dead after a shooting early Friday morning near a school in west Phoenix. Phoenix police say it happened just before 4:45 a.m. near 63rd and Campbell avenues. When officers arrived, they found the man suffering from a gunshot wound. He was pronou"&amp;"nced dead at the scene. Police add that while investigating, they surrounded a nearby home believed to be connected to the shooting. Shooter arrested in July 2023. Shooter and victim had dispute over a stolen vehicle.")</f>
        <v>A man is dead after a shooting early Friday morning near a school in west Phoenix. Phoenix police say it happened just before 4:45 a.m. near 63rd and Campbell avenues. When officers arrived, they found the man suffering from a gunshot wound. He was pronounced dead at the scene. Police add that while investigating, they surrounded a nearby home believed to be connected to the shooting. Shooter arrested in July 2023. Shooter and victim had dispute over a stolen vehicle.</v>
      </c>
      <c r="AA748" s="8" t="str">
        <f ca="1">IFERROR(__xludf.DUMMYFUNCTION("""COMPUTED_VALUE"""),"Illegal Activity")</f>
        <v>Illegal Activity</v>
      </c>
      <c r="AB748" s="8"/>
      <c r="AC748" s="8" t="str">
        <f ca="1">IFERROR(__xludf.DUMMYFUNCTION("""COMPUTED_VALUE"""),"No")</f>
        <v>No</v>
      </c>
      <c r="AD748" s="8" t="str">
        <f ca="1">IFERROR(__xludf.DUMMYFUNCTION("""COMPUTED_VALUE"""),"Victims Targeted")</f>
        <v>Victims Targeted</v>
      </c>
      <c r="AE748" s="8" t="str">
        <f ca="1">IFERROR(__xludf.DUMMYFUNCTION("""COMPUTED_VALUE"""),"Yes")</f>
        <v>Yes</v>
      </c>
      <c r="AF748" s="8"/>
      <c r="AG748" s="8" t="str">
        <f ca="1">IFERROR(__xludf.DUMMYFUNCTION("""COMPUTED_VALUE"""),"No")</f>
        <v>No</v>
      </c>
      <c r="AH748" s="8" t="str">
        <f ca="1">IFERROR(__xludf.DUMMYFUNCTION("""COMPUTED_VALUE"""),"No")</f>
        <v>No</v>
      </c>
      <c r="AI748" s="8" t="str">
        <f ca="1">IFERROR(__xludf.DUMMYFUNCTION("""COMPUTED_VALUE"""),"No")</f>
        <v>No</v>
      </c>
      <c r="AJ748" s="8" t="str">
        <f ca="1">IFERROR(__xludf.DUMMYFUNCTION("""COMPUTED_VALUE"""),"No")</f>
        <v>No</v>
      </c>
      <c r="AK748" s="8" t="str">
        <f ca="1">IFERROR(__xludf.DUMMYFUNCTION("""COMPUTED_VALUE"""),"No")</f>
        <v>No</v>
      </c>
      <c r="AL748" s="8" t="str">
        <f ca="1">IFERROR(__xludf.DUMMYFUNCTION("""COMPUTED_VALUE"""),"No")</f>
        <v>No</v>
      </c>
      <c r="AM748" s="8" t="str">
        <f ca="1">IFERROR(__xludf.DUMMYFUNCTION("""COMPUTED_VALUE"""),"No")</f>
        <v>No</v>
      </c>
      <c r="AN748" s="8" t="str">
        <f ca="1">IFERROR(__xludf.DUMMYFUNCTION("""COMPUTED_VALUE"""),"Outside")</f>
        <v>Outside</v>
      </c>
      <c r="AO748" s="8" t="str">
        <f ca="1">IFERROR(__xludf.DUMMYFUNCTION("""COMPUTED_VALUE"""),"No")</f>
        <v>No</v>
      </c>
      <c r="AP748" s="8"/>
      <c r="AQ748" s="8"/>
      <c r="AR748" s="8" t="str">
        <f ca="1">IFERROR(__xludf.DUMMYFUNCTION("""COMPUTED_VALUE"""),"Outside/Off-Property")</f>
        <v>Outside/Off-Property</v>
      </c>
      <c r="AS748" s="8">
        <f ca="1">IFERROR(__xludf.DUMMYFUNCTION("""COMPUTED_VALUE"""),99)</f>
        <v>99</v>
      </c>
      <c r="AT748" s="8"/>
      <c r="AU748" s="8">
        <f ca="1">IFERROR(__xludf.DUMMYFUNCTION("""COMPUTED_VALUE"""),33.502159)</f>
        <v>33.502158999999999</v>
      </c>
      <c r="AV748" s="8">
        <f ca="1">IFERROR(__xludf.DUMMYFUNCTION("""COMPUTED_VALUE"""),-112.195755)</f>
        <v>-112.19575500000001</v>
      </c>
      <c r="AW748" s="8"/>
      <c r="AX748" s="8">
        <f ca="1">IFERROR(__xludf.DUMMYFUNCTION("""COMPUTED_VALUE"""),85033)</f>
        <v>85033</v>
      </c>
    </row>
    <row r="749" spans="1:50" ht="135" x14ac:dyDescent="0.2">
      <c r="A749" s="8" t="str">
        <f ca="1">IFERROR(__xludf.DUMMYFUNCTION("""COMPUTED_VALUE"""),"20230413ILCHC")</f>
        <v>20230413ILCHC</v>
      </c>
      <c r="B749" s="8">
        <f ca="1">IFERROR(__xludf.DUMMYFUNCTION("""COMPUTED_VALUE"""),4)</f>
        <v>4</v>
      </c>
      <c r="C749" s="8">
        <f ca="1">IFERROR(__xludf.DUMMYFUNCTION("""COMPUTED_VALUE"""),13)</f>
        <v>13</v>
      </c>
      <c r="D749" s="8">
        <f ca="1">IFERROR(__xludf.DUMMYFUNCTION("""COMPUTED_VALUE"""),2023)</f>
        <v>2023</v>
      </c>
      <c r="E749" s="9">
        <f ca="1">IFERROR(__xludf.DUMMYFUNCTION("""COMPUTED_VALUE"""),45029)</f>
        <v>45029</v>
      </c>
      <c r="F749" s="8" t="str">
        <f ca="1">IFERROR(__xludf.DUMMYFUNCTION("""COMPUTED_VALUE"""),"Chicago School Bus")</f>
        <v>Chicago School Bus</v>
      </c>
      <c r="G749" s="8">
        <f ca="1">IFERROR(__xludf.DUMMYFUNCTION("""COMPUTED_VALUE"""),0)</f>
        <v>0</v>
      </c>
      <c r="H749" s="8">
        <f ca="1">IFERROR(__xludf.DUMMYFUNCTION("""COMPUTED_VALUE"""),0)</f>
        <v>0</v>
      </c>
      <c r="I749" s="8">
        <f ca="1">IFERROR(__xludf.DUMMYFUNCTION("""COMPUTED_VALUE"""),0)</f>
        <v>0</v>
      </c>
      <c r="J749" s="8">
        <f ca="1">IFERROR(__xludf.DUMMYFUNCTION("""COMPUTED_VALUE"""),0)</f>
        <v>0</v>
      </c>
      <c r="K749" s="10" t="str">
        <f ca="1">IFERROR(__xludf.DUMMYFUNCTION("""COMPUTED_VALUE"""),"https://abc7chicago.com/chicago-shooting-school-bus-struck-by-gunfire-attempted-carjacking-taylor-western/13123521/
https://wgntv.com/news/chicagocrime/school-bus-damaged-by-gunfire-during-attempted-carjacking-on-west-side/")</f>
        <v>https://abc7chicago.com/chicago-shooting-school-bus-struck-by-gunfire-attempted-carjacking-taylor-western/13123521/
https://wgntv.com/news/chicagocrime/school-bus-damaged-by-gunfire-during-attempted-carjacking-on-west-side/</v>
      </c>
      <c r="L749" s="8">
        <f ca="1">IFERROR(__xludf.DUMMYFUNCTION("""COMPUTED_VALUE"""),5)</f>
        <v>5</v>
      </c>
      <c r="M749" s="8" t="str">
        <f ca="1">IFERROR(__xludf.DUMMYFUNCTION("""COMPUTED_VALUE"""),"Local")</f>
        <v>Local</v>
      </c>
      <c r="N749" s="8">
        <f ca="1">IFERROR(__xludf.DUMMYFUNCTION("""COMPUTED_VALUE"""),4)</f>
        <v>4</v>
      </c>
      <c r="O749" s="8" t="str">
        <f ca="1">IFERROR(__xludf.DUMMYFUNCTION("""COMPUTED_VALUE"""),"Spring")</f>
        <v>Spring</v>
      </c>
      <c r="P749" s="8" t="str">
        <f ca="1">IFERROR(__xludf.DUMMYFUNCTION("""COMPUTED_VALUE"""),"Chicago")</f>
        <v>Chicago</v>
      </c>
      <c r="Q749" s="8" t="str">
        <f ca="1">IFERROR(__xludf.DUMMYFUNCTION("""COMPUTED_VALUE"""),"IL")</f>
        <v>IL</v>
      </c>
      <c r="R749" s="8" t="str">
        <f ca="1">IFERROR(__xludf.DUMMYFUNCTION("""COMPUTED_VALUE"""),"K-12")</f>
        <v>K-12</v>
      </c>
      <c r="S749" s="8" t="str">
        <f ca="1">IFERROR(__xludf.DUMMYFUNCTION("""COMPUTED_VALUE"""),"School Bus")</f>
        <v>School Bus</v>
      </c>
      <c r="T749" s="8" t="str">
        <f ca="1">IFERROR(__xludf.DUMMYFUNCTION("""COMPUTED_VALUE"""),"School Bus")</f>
        <v>School Bus</v>
      </c>
      <c r="U749" s="8" t="str">
        <f ca="1">IFERROR(__xludf.DUMMYFUNCTION("""COMPUTED_VALUE"""),"Yes")</f>
        <v>Yes</v>
      </c>
      <c r="V749" s="8" t="str">
        <f ca="1">IFERROR(__xludf.DUMMYFUNCTION("""COMPUTED_VALUE"""),"Afternoon Classes")</f>
        <v>Afternoon Classes</v>
      </c>
      <c r="W749" s="11">
        <f ca="1">IFERROR(__xludf.DUMMYFUNCTION("""COMPUTED_VALUE"""),0.572916666666666)</f>
        <v>0.57291666666666596</v>
      </c>
      <c r="X749" s="8">
        <f ca="1">IFERROR(__xludf.DUMMYFUNCTION("""COMPUTED_VALUE"""),1)</f>
        <v>1</v>
      </c>
      <c r="Y749" s="12" t="str">
        <f ca="1">IFERROR(__xludf.DUMMYFUNCTION("""COMPUTED_VALUE"""),"School bus shot during shootout following carjacking.")</f>
        <v>School bus shot during shootout following carjacking.</v>
      </c>
      <c r="Z749" s="12" t="str">
        <f ca="1">IFERROR(__xludf.DUMMYFUNCTION("""COMPUTED_VALUE"""),"A school bus was damaged Thursday afternoon after shots were fired during an attempted carjacking on the West Side of Chicago, according to police. Around 1:45 p.m., a man was approached by someone with a firearm who was demanding his vehicle in the 2400 "&amp;"block of West Taylor Street, according to information from the Chicago Police Department. The driver pulled out his own firearm and the two exchanged gunshots, police said. A nearby school bus was damaged and no injuries were reported.")</f>
        <v>A school bus was damaged Thursday afternoon after shots were fired during an attempted carjacking on the West Side of Chicago, according to police. Around 1:45 p.m., a man was approached by someone with a firearm who was demanding his vehicle in the 2400 block of West Taylor Street, according to information from the Chicago Police Department. The driver pulled out his own firearm and the two exchanged gunshots, police said. A nearby school bus was damaged and no injuries were reported.</v>
      </c>
      <c r="AA749" s="8" t="str">
        <f ca="1">IFERROR(__xludf.DUMMYFUNCTION("""COMPUTED_VALUE"""),"Illegal Activity")</f>
        <v>Illegal Activity</v>
      </c>
      <c r="AB749" s="8"/>
      <c r="AC749" s="8" t="str">
        <f ca="1">IFERROR(__xludf.DUMMYFUNCTION("""COMPUTED_VALUE"""),"No")</f>
        <v>No</v>
      </c>
      <c r="AD749" s="8" t="str">
        <f ca="1">IFERROR(__xludf.DUMMYFUNCTION("""COMPUTED_VALUE"""),"Both")</f>
        <v>Both</v>
      </c>
      <c r="AE749" s="8" t="str">
        <f ca="1">IFERROR(__xludf.DUMMYFUNCTION("""COMPUTED_VALUE"""),"No")</f>
        <v>No</v>
      </c>
      <c r="AF749" s="8"/>
      <c r="AG749" s="8" t="str">
        <f ca="1">IFERROR(__xludf.DUMMYFUNCTION("""COMPUTED_VALUE"""),"No")</f>
        <v>No</v>
      </c>
      <c r="AH749" s="8" t="str">
        <f ca="1">IFERROR(__xludf.DUMMYFUNCTION("""COMPUTED_VALUE"""),"No")</f>
        <v>No</v>
      </c>
      <c r="AI749" s="8" t="str">
        <f ca="1">IFERROR(__xludf.DUMMYFUNCTION("""COMPUTED_VALUE"""),"No")</f>
        <v>No</v>
      </c>
      <c r="AJ749" s="8" t="str">
        <f ca="1">IFERROR(__xludf.DUMMYFUNCTION("""COMPUTED_VALUE"""),"No")</f>
        <v>No</v>
      </c>
      <c r="AK749" s="8" t="str">
        <f ca="1">IFERROR(__xludf.DUMMYFUNCTION("""COMPUTED_VALUE"""),"No")</f>
        <v>No</v>
      </c>
      <c r="AL749" s="8" t="str">
        <f ca="1">IFERROR(__xludf.DUMMYFUNCTION("""COMPUTED_VALUE"""),"No")</f>
        <v>No</v>
      </c>
      <c r="AM749" s="8" t="str">
        <f ca="1">IFERROR(__xludf.DUMMYFUNCTION("""COMPUTED_VALUE"""),"No")</f>
        <v>No</v>
      </c>
      <c r="AN749" s="8" t="str">
        <f ca="1">IFERROR(__xludf.DUMMYFUNCTION("""COMPUTED_VALUE"""),"Outside")</f>
        <v>Outside</v>
      </c>
      <c r="AO749" s="8"/>
      <c r="AP749" s="8"/>
      <c r="AQ749" s="8"/>
      <c r="AR749" s="8" t="str">
        <f ca="1">IFERROR(__xludf.DUMMYFUNCTION("""COMPUTED_VALUE"""),"Outside/Off-Property")</f>
        <v>Outside/Off-Property</v>
      </c>
      <c r="AS749" s="8">
        <f ca="1">IFERROR(__xludf.DUMMYFUNCTION("""COMPUTED_VALUE"""),99)</f>
        <v>99</v>
      </c>
      <c r="AT749" s="8"/>
      <c r="AU749" s="8">
        <f ca="1">IFERROR(__xludf.DUMMYFUNCTION("""COMPUTED_VALUE"""),41.869329)</f>
        <v>41.869329</v>
      </c>
      <c r="AV749" s="8">
        <f ca="1">IFERROR(__xludf.DUMMYFUNCTION("""COMPUTED_VALUE"""),-87.686209)</f>
        <v>-87.686209000000005</v>
      </c>
      <c r="AW749" s="8"/>
      <c r="AX749" s="8">
        <f ca="1">IFERROR(__xludf.DUMMYFUNCTION("""COMPUTED_VALUE"""),60612)</f>
        <v>60612</v>
      </c>
    </row>
    <row r="750" spans="1:50" ht="90" x14ac:dyDescent="0.2">
      <c r="A750" s="8" t="str">
        <f ca="1">IFERROR(__xludf.DUMMYFUNCTION("""COMPUTED_VALUE"""),"20230412TXLOH")</f>
        <v>20230412TXLOH</v>
      </c>
      <c r="B750" s="8">
        <f ca="1">IFERROR(__xludf.DUMMYFUNCTION("""COMPUTED_VALUE"""),4)</f>
        <v>4</v>
      </c>
      <c r="C750" s="8">
        <f ca="1">IFERROR(__xludf.DUMMYFUNCTION("""COMPUTED_VALUE"""),12)</f>
        <v>12</v>
      </c>
      <c r="D750" s="8">
        <f ca="1">IFERROR(__xludf.DUMMYFUNCTION("""COMPUTED_VALUE"""),2023)</f>
        <v>2023</v>
      </c>
      <c r="E750" s="9">
        <f ca="1">IFERROR(__xludf.DUMMYFUNCTION("""COMPUTED_VALUE"""),45028)</f>
        <v>45028</v>
      </c>
      <c r="F750" s="8" t="str">
        <f ca="1">IFERROR(__xludf.DUMMYFUNCTION("""COMPUTED_VALUE"""),"Louie Welch Middle School")</f>
        <v>Louie Welch Middle School</v>
      </c>
      <c r="G750" s="8">
        <f ca="1">IFERROR(__xludf.DUMMYFUNCTION("""COMPUTED_VALUE"""),0)</f>
        <v>0</v>
      </c>
      <c r="H750" s="8">
        <f ca="1">IFERROR(__xludf.DUMMYFUNCTION("""COMPUTED_VALUE"""),1)</f>
        <v>1</v>
      </c>
      <c r="I750" s="8">
        <f ca="1">IFERROR(__xludf.DUMMYFUNCTION("""COMPUTED_VALUE"""),1)</f>
        <v>1</v>
      </c>
      <c r="J750" s="8">
        <f ca="1">IFERROR(__xludf.DUMMYFUNCTION("""COMPUTED_VALUE"""),0)</f>
        <v>0</v>
      </c>
      <c r="K750" s="10" t="str">
        <f ca="1">IFERROR(__xludf.DUMMYFUNCTION("""COMPUTED_VALUE"""),"https://abc13.com/teenager-shot-south-gessner-shots-fired-west-bellfort-shooting-teen-hurt-in/13117314/")</f>
        <v>https://abc13.com/teenager-shot-south-gessner-shots-fired-west-bellfort-shooting-teen-hurt-in/13117314/</v>
      </c>
      <c r="L750" s="8">
        <f ca="1">IFERROR(__xludf.DUMMYFUNCTION("""COMPUTED_VALUE"""),10)</f>
        <v>10</v>
      </c>
      <c r="M750" s="8" t="str">
        <f ca="1">IFERROR(__xludf.DUMMYFUNCTION("""COMPUTED_VALUE"""),"Regional")</f>
        <v>Regional</v>
      </c>
      <c r="N750" s="8">
        <f ca="1">IFERROR(__xludf.DUMMYFUNCTION("""COMPUTED_VALUE"""),4)</f>
        <v>4</v>
      </c>
      <c r="O750" s="8" t="str">
        <f ca="1">IFERROR(__xludf.DUMMYFUNCTION("""COMPUTED_VALUE"""),"Spring")</f>
        <v>Spring</v>
      </c>
      <c r="P750" s="8" t="str">
        <f ca="1">IFERROR(__xludf.DUMMYFUNCTION("""COMPUTED_VALUE"""),"Houston")</f>
        <v>Houston</v>
      </c>
      <c r="Q750" s="8" t="str">
        <f ca="1">IFERROR(__xludf.DUMMYFUNCTION("""COMPUTED_VALUE"""),"TX")</f>
        <v>TX</v>
      </c>
      <c r="R750" s="8" t="str">
        <f ca="1">IFERROR(__xludf.DUMMYFUNCTION("""COMPUTED_VALUE"""),"Middle")</f>
        <v>Middle</v>
      </c>
      <c r="S750" s="8" t="str">
        <f ca="1">IFERROR(__xludf.DUMMYFUNCTION("""COMPUTED_VALUE"""),"Front of School")</f>
        <v>Front of School</v>
      </c>
      <c r="T750" s="8" t="str">
        <f ca="1">IFERROR(__xludf.DUMMYFUNCTION("""COMPUTED_VALUE"""),"Outside on School Property")</f>
        <v>Outside on School Property</v>
      </c>
      <c r="U750" s="8" t="str">
        <f ca="1">IFERROR(__xludf.DUMMYFUNCTION("""COMPUTED_VALUE"""),"Yes")</f>
        <v>Yes</v>
      </c>
      <c r="V750" s="8" t="str">
        <f ca="1">IFERROR(__xludf.DUMMYFUNCTION("""COMPUTED_VALUE"""),"School Start")</f>
        <v>School Start</v>
      </c>
      <c r="W750" s="11">
        <f ca="1">IFERROR(__xludf.DUMMYFUNCTION("""COMPUTED_VALUE"""),0.327083333333333)</f>
        <v>0.327083333333333</v>
      </c>
      <c r="X750" s="8">
        <f ca="1">IFERROR(__xludf.DUMMYFUNCTION("""COMPUTED_VALUE"""),1)</f>
        <v>1</v>
      </c>
      <c r="Y750" s="12" t="str">
        <f ca="1">IFERROR(__xludf.DUMMYFUNCTION("""COMPUTED_VALUE"""),"Bystander student shot while being dropped off, shooter targeted another student then fled")</f>
        <v>Bystander student shot while being dropped off, shooter targeted another student then fled</v>
      </c>
      <c r="Z750" s="12" t="str">
        <f ca="1">IFERROR(__xludf.DUMMYFUNCTION("""COMPUTED_VALUE"""),"Teen (12-14) suspect fired 14 shots at a student walking towards the middle school before classes started. Shots missed target and struck a bystander student in a vehicle who was being dropped off. Shooter fled in a stolen vehicle.")</f>
        <v>Teen (12-14) suspect fired 14 shots at a student walking towards the middle school before classes started. Shots missed target and struck a bystander student in a vehicle who was being dropped off. Shooter fled in a stolen vehicle.</v>
      </c>
      <c r="AA750" s="8" t="str">
        <f ca="1">IFERROR(__xludf.DUMMYFUNCTION("""COMPUTED_VALUE"""),"Escalation of Dispute")</f>
        <v>Escalation of Dispute</v>
      </c>
      <c r="AB750" s="8"/>
      <c r="AC750" s="8" t="str">
        <f ca="1">IFERROR(__xludf.DUMMYFUNCTION("""COMPUTED_VALUE"""),"Yes")</f>
        <v>Yes</v>
      </c>
      <c r="AD750" s="8" t="str">
        <f ca="1">IFERROR(__xludf.DUMMYFUNCTION("""COMPUTED_VALUE"""),"Both")</f>
        <v>Both</v>
      </c>
      <c r="AE750" s="8"/>
      <c r="AF750" s="8"/>
      <c r="AG750" s="8" t="str">
        <f ca="1">IFERROR(__xludf.DUMMYFUNCTION("""COMPUTED_VALUE"""),"No")</f>
        <v>No</v>
      </c>
      <c r="AH750" s="8" t="str">
        <f ca="1">IFERROR(__xludf.DUMMYFUNCTION("""COMPUTED_VALUE"""),"No")</f>
        <v>No</v>
      </c>
      <c r="AI750" s="8" t="str">
        <f ca="1">IFERROR(__xludf.DUMMYFUNCTION("""COMPUTED_VALUE"""),"No")</f>
        <v>No</v>
      </c>
      <c r="AJ750" s="8" t="str">
        <f ca="1">IFERROR(__xludf.DUMMYFUNCTION("""COMPUTED_VALUE"""),"No")</f>
        <v>No</v>
      </c>
      <c r="AK750" s="8" t="str">
        <f ca="1">IFERROR(__xludf.DUMMYFUNCTION("""COMPUTED_VALUE"""),"No")</f>
        <v>No</v>
      </c>
      <c r="AL750" s="8"/>
      <c r="AM750" s="8" t="str">
        <f ca="1">IFERROR(__xludf.DUMMYFUNCTION("""COMPUTED_VALUE"""),"No")</f>
        <v>No</v>
      </c>
      <c r="AN750" s="8" t="str">
        <f ca="1">IFERROR(__xludf.DUMMYFUNCTION("""COMPUTED_VALUE"""),"Outside")</f>
        <v>Outside</v>
      </c>
      <c r="AO750" s="8"/>
      <c r="AP750" s="8"/>
      <c r="AQ750" s="8"/>
      <c r="AR750" s="8" t="str">
        <f ca="1">IFERROR(__xludf.DUMMYFUNCTION("""COMPUTED_VALUE"""),"Outside/Off-Property")</f>
        <v>Outside/Off-Property</v>
      </c>
      <c r="AS750" s="8">
        <f ca="1">IFERROR(__xludf.DUMMYFUNCTION("""COMPUTED_VALUE"""),14)</f>
        <v>14</v>
      </c>
      <c r="AT750" s="8" t="str">
        <f ca="1">IFERROR(__xludf.DUMMYFUNCTION("""COMPUTED_VALUE"""),"Yes")</f>
        <v>Yes</v>
      </c>
      <c r="AU750" s="8">
        <f ca="1">IFERROR(__xludf.DUMMYFUNCTION("""COMPUTED_VALUE"""),29.65435)</f>
        <v>29.654350000000001</v>
      </c>
      <c r="AV750" s="8">
        <f ca="1">IFERROR(__xludf.DUMMYFUNCTION("""COMPUTED_VALUE"""),-95.528578)</f>
        <v>-95.528577999999996</v>
      </c>
      <c r="AW750" s="8"/>
      <c r="AX750" s="8">
        <f ca="1">IFERROR(__xludf.DUMMYFUNCTION("""COMPUTED_VALUE"""),77071)</f>
        <v>77071</v>
      </c>
    </row>
    <row r="751" spans="1:50" ht="240" x14ac:dyDescent="0.2">
      <c r="A751" s="8" t="str">
        <f ca="1">IFERROR(__xludf.DUMMYFUNCTION("""COMPUTED_VALUE"""),"20230412CACES")</f>
        <v>20230412CACES</v>
      </c>
      <c r="B751" s="8">
        <f ca="1">IFERROR(__xludf.DUMMYFUNCTION("""COMPUTED_VALUE"""),4)</f>
        <v>4</v>
      </c>
      <c r="C751" s="8">
        <f ca="1">IFERROR(__xludf.DUMMYFUNCTION("""COMPUTED_VALUE"""),12)</f>
        <v>12</v>
      </c>
      <c r="D751" s="8">
        <f ca="1">IFERROR(__xludf.DUMMYFUNCTION("""COMPUTED_VALUE"""),2023)</f>
        <v>2023</v>
      </c>
      <c r="E751" s="9">
        <f ca="1">IFERROR(__xludf.DUMMYFUNCTION("""COMPUTED_VALUE"""),45028)</f>
        <v>45028</v>
      </c>
      <c r="F751" s="8" t="str">
        <f ca="1">IFERROR(__xludf.DUMMYFUNCTION("""COMPUTED_VALUE"""),"Cesar Chavez High School")</f>
        <v>Cesar Chavez High School</v>
      </c>
      <c r="G751" s="8">
        <f ca="1">IFERROR(__xludf.DUMMYFUNCTION("""COMPUTED_VALUE"""),1)</f>
        <v>1</v>
      </c>
      <c r="H751" s="8">
        <f ca="1">IFERROR(__xludf.DUMMYFUNCTION("""COMPUTED_VALUE"""),1)</f>
        <v>1</v>
      </c>
      <c r="I751" s="8">
        <f ca="1">IFERROR(__xludf.DUMMYFUNCTION("""COMPUTED_VALUE"""),2)</f>
        <v>2</v>
      </c>
      <c r="J751" s="8">
        <f ca="1">IFERROR(__xludf.DUMMYFUNCTION("""COMPUTED_VALUE"""),0)</f>
        <v>0</v>
      </c>
      <c r="K751" s="10" t="str">
        <f ca="1">IFERROR(__xludf.DUMMYFUNCTION("""COMPUTED_VALUE"""),"https://www.cbsnews.com/sacramento/news/stockton-mourns-thai-khin-chavez-high-teen-killed-in-shooting-at-park-near-school/
https://www.abc10.com/article/news/local/teen-hurt-shooting-cesar-chavez-hs/103-9bc86ded-32f5-4f74-825b-b8390e4d54d2
https://www.kcr"&amp;"a.com/article/stockton-shooting-student-hurt/43582754")</f>
        <v>https://www.cbsnews.com/sacramento/news/stockton-mourns-thai-khin-chavez-high-teen-killed-in-shooting-at-park-near-school/
https://www.abc10.com/article/news/local/teen-hurt-shooting-cesar-chavez-hs/103-9bc86ded-32f5-4f74-825b-b8390e4d54d2
https://www.kcra.com/article/stockton-shooting-student-hurt/43582754</v>
      </c>
      <c r="L751" s="8">
        <f ca="1">IFERROR(__xludf.DUMMYFUNCTION("""COMPUTED_VALUE"""),10)</f>
        <v>10</v>
      </c>
      <c r="M751" s="8" t="str">
        <f ca="1">IFERROR(__xludf.DUMMYFUNCTION("""COMPUTED_VALUE"""),"Regional")</f>
        <v>Regional</v>
      </c>
      <c r="N751" s="8">
        <f ca="1">IFERROR(__xludf.DUMMYFUNCTION("""COMPUTED_VALUE"""),4)</f>
        <v>4</v>
      </c>
      <c r="O751" s="8" t="str">
        <f ca="1">IFERROR(__xludf.DUMMYFUNCTION("""COMPUTED_VALUE"""),"Spring")</f>
        <v>Spring</v>
      </c>
      <c r="P751" s="8" t="str">
        <f ca="1">IFERROR(__xludf.DUMMYFUNCTION("""COMPUTED_VALUE"""),"Stockton")</f>
        <v>Stockton</v>
      </c>
      <c r="Q751" s="8" t="str">
        <f ca="1">IFERROR(__xludf.DUMMYFUNCTION("""COMPUTED_VALUE"""),"CA")</f>
        <v>CA</v>
      </c>
      <c r="R751" s="8" t="str">
        <f ca="1">IFERROR(__xludf.DUMMYFUNCTION("""COMPUTED_VALUE"""),"High")</f>
        <v>High</v>
      </c>
      <c r="S751" s="8" t="str">
        <f ca="1">IFERROR(__xludf.DUMMYFUNCTION("""COMPUTED_VALUE"""),"Basketball Court")</f>
        <v>Basketball Court</v>
      </c>
      <c r="T751" s="8" t="str">
        <f ca="1">IFERROR(__xludf.DUMMYFUNCTION("""COMPUTED_VALUE"""),"Off School Property")</f>
        <v>Off School Property</v>
      </c>
      <c r="U751" s="8" t="str">
        <f ca="1">IFERROR(__xludf.DUMMYFUNCTION("""COMPUTED_VALUE"""),"Yes")</f>
        <v>Yes</v>
      </c>
      <c r="V751" s="8" t="str">
        <f ca="1">IFERROR(__xludf.DUMMYFUNCTION("""COMPUTED_VALUE"""),"Afternoon Classes")</f>
        <v>Afternoon Classes</v>
      </c>
      <c r="W751" s="11">
        <f ca="1">IFERROR(__xludf.DUMMYFUNCTION("""COMPUTED_VALUE"""),0.629861111111111)</f>
        <v>0.62986111111111098</v>
      </c>
      <c r="X751" s="8">
        <f ca="1">IFERROR(__xludf.DUMMYFUNCTION("""COMPUTED_VALUE"""),1)</f>
        <v>1</v>
      </c>
      <c r="Y751" s="12" t="str">
        <f ca="1">IFERROR(__xludf.DUMMYFUNCTION("""COMPUTED_VALUE"""),"Student fatally shot in the park next to the school during afternoon classes")</f>
        <v>Student fatally shot in the park next to the school during afternoon classes</v>
      </c>
      <c r="Z751" s="12" t="str">
        <f ca="1">IFERROR(__xludf.DUMMYFUNCTION("""COMPUTED_VALUE"""),"Two students were playing basketball on the outdoor court when they were robbed at gunpoint, feet away from the campus of Cesar Chavez High School, the Stockton Police Department says. The shooting was reported around 3:07 p.m. Wednesday at Unity Park (be"&amp;"tween high school and elementary school. ""That is very concerning, the timeframe and it being in broad daylight, near schools,"" said Stockton police officer David Scott. Nearby Cesar Chavez High School went on a lockdown as police investigated the off-c"&amp;"ampus shooting. ""It was off campus at this park, but we immediately put the school on lockdown and that is for the safety of students and teachers and staff,"" said Melinda Meza director of communications for Stockton Unified School District. The lockdow"&amp;"n was lifted and students were released just before 3:50 p.m. Second injured student was pistol whipped during the shooting.")</f>
        <v>Two students were playing basketball on the outdoor court when they were robbed at gunpoint, feet away from the campus of Cesar Chavez High School, the Stockton Police Department says. The shooting was reported around 3:07 p.m. Wednesday at Unity Park (between high school and elementary school. "That is very concerning, the timeframe and it being in broad daylight, near schools," said Stockton police officer David Scott. Nearby Cesar Chavez High School went on a lockdown as police investigated the off-campus shooting. "It was off campus at this park, but we immediately put the school on lockdown and that is for the safety of students and teachers and staff," said Melinda Meza director of communications for Stockton Unified School District. The lockdown was lifted and students were released just before 3:50 p.m. Second injured student was pistol whipped during the shooting.</v>
      </c>
      <c r="AA751" s="8" t="str">
        <f ca="1">IFERROR(__xludf.DUMMYFUNCTION("""COMPUTED_VALUE"""),"Escalation of Dispute")</f>
        <v>Escalation of Dispute</v>
      </c>
      <c r="AB751" s="8"/>
      <c r="AC751" s="8" t="str">
        <f ca="1">IFERROR(__xludf.DUMMYFUNCTION("""COMPUTED_VALUE"""),"Yes")</f>
        <v>Yes</v>
      </c>
      <c r="AD751" s="8" t="str">
        <f ca="1">IFERROR(__xludf.DUMMYFUNCTION("""COMPUTED_VALUE"""),"Victims Targeted")</f>
        <v>Victims Targeted</v>
      </c>
      <c r="AE751" s="8"/>
      <c r="AF751" s="8"/>
      <c r="AG751" s="8" t="str">
        <f ca="1">IFERROR(__xludf.DUMMYFUNCTION("""COMPUTED_VALUE"""),"No")</f>
        <v>No</v>
      </c>
      <c r="AH751" s="8" t="str">
        <f ca="1">IFERROR(__xludf.DUMMYFUNCTION("""COMPUTED_VALUE"""),"No")</f>
        <v>No</v>
      </c>
      <c r="AI751" s="8" t="str">
        <f ca="1">IFERROR(__xludf.DUMMYFUNCTION("""COMPUTED_VALUE"""),"No")</f>
        <v>No</v>
      </c>
      <c r="AJ751" s="8" t="str">
        <f ca="1">IFERROR(__xludf.DUMMYFUNCTION("""COMPUTED_VALUE"""),"No")</f>
        <v>No</v>
      </c>
      <c r="AK751" s="8" t="str">
        <f ca="1">IFERROR(__xludf.DUMMYFUNCTION("""COMPUTED_VALUE"""),"No")</f>
        <v>No</v>
      </c>
      <c r="AL751" s="8"/>
      <c r="AM751" s="8" t="str">
        <f ca="1">IFERROR(__xludf.DUMMYFUNCTION("""COMPUTED_VALUE"""),"No")</f>
        <v>No</v>
      </c>
      <c r="AN751" s="8" t="str">
        <f ca="1">IFERROR(__xludf.DUMMYFUNCTION("""COMPUTED_VALUE"""),"Outside")</f>
        <v>Outside</v>
      </c>
      <c r="AO751" s="8"/>
      <c r="AP751" s="8"/>
      <c r="AQ751" s="8"/>
      <c r="AR751" s="8" t="str">
        <f ca="1">IFERROR(__xludf.DUMMYFUNCTION("""COMPUTED_VALUE"""),"Outside/Off-Property")</f>
        <v>Outside/Off-Property</v>
      </c>
      <c r="AS751" s="8">
        <f ca="1">IFERROR(__xludf.DUMMYFUNCTION("""COMPUTED_VALUE"""),99)</f>
        <v>99</v>
      </c>
      <c r="AT751" s="8" t="str">
        <f ca="1">IFERROR(__xludf.DUMMYFUNCTION("""COMPUTED_VALUE"""),"Yes")</f>
        <v>Yes</v>
      </c>
      <c r="AU751" s="8">
        <f ca="1">IFERROR(__xludf.DUMMYFUNCTION("""COMPUTED_VALUE"""),38.010363)</f>
        <v>38.010362999999998</v>
      </c>
      <c r="AV751" s="8">
        <f ca="1">IFERROR(__xludf.DUMMYFUNCTION("""COMPUTED_VALUE"""),-121.274625)</f>
        <v>-121.274625</v>
      </c>
      <c r="AW751" s="8"/>
      <c r="AX751" s="8">
        <f ca="1">IFERROR(__xludf.DUMMYFUNCTION("""COMPUTED_VALUE"""),95210)</f>
        <v>95210</v>
      </c>
    </row>
    <row r="752" spans="1:50" ht="180" x14ac:dyDescent="0.2">
      <c r="A752" s="8" t="str">
        <f ca="1">IFERROR(__xludf.DUMMYFUNCTION("""COMPUTED_VALUE"""),"20230407WACHS")</f>
        <v>20230407WACHS</v>
      </c>
      <c r="B752" s="8">
        <f ca="1">IFERROR(__xludf.DUMMYFUNCTION("""COMPUTED_VALUE"""),4)</f>
        <v>4</v>
      </c>
      <c r="C752" s="8">
        <f ca="1">IFERROR(__xludf.DUMMYFUNCTION("""COMPUTED_VALUE"""),7)</f>
        <v>7</v>
      </c>
      <c r="D752" s="8">
        <f ca="1">IFERROR(__xludf.DUMMYFUNCTION("""COMPUTED_VALUE"""),2023)</f>
        <v>2023</v>
      </c>
      <c r="E752" s="9">
        <f ca="1">IFERROR(__xludf.DUMMYFUNCTION("""COMPUTED_VALUE"""),45023)</f>
        <v>45023</v>
      </c>
      <c r="F752" s="8" t="str">
        <f ca="1">IFERROR(__xludf.DUMMYFUNCTION("""COMPUTED_VALUE"""),"Chief Sealth International High School")</f>
        <v>Chief Sealth International High School</v>
      </c>
      <c r="G752" s="8">
        <f ca="1">IFERROR(__xludf.DUMMYFUNCTION("""COMPUTED_VALUE"""),1)</f>
        <v>1</v>
      </c>
      <c r="H752" s="8">
        <f ca="1">IFERROR(__xludf.DUMMYFUNCTION("""COMPUTED_VALUE"""),0)</f>
        <v>0</v>
      </c>
      <c r="I752" s="8">
        <f ca="1">IFERROR(__xludf.DUMMYFUNCTION("""COMPUTED_VALUE"""),1)</f>
        <v>1</v>
      </c>
      <c r="J752" s="8">
        <f ca="1">IFERROR(__xludf.DUMMYFUNCTION("""COMPUTED_VALUE"""),0)</f>
        <v>0</v>
      </c>
      <c r="K752" s="10" t="str">
        <f ca="1">IFERROR(__xludf.DUMMYFUNCTION("""COMPUTED_VALUE"""),"https://www.seattletimes.com/seattle-news/law-justice/seattle-police-investigating-homicide-near-chief-sealth-high-school/")</f>
        <v>https://www.seattletimes.com/seattle-news/law-justice/seattle-police-investigating-homicide-near-chief-sealth-high-school/</v>
      </c>
      <c r="L752" s="8">
        <f ca="1">IFERROR(__xludf.DUMMYFUNCTION("""COMPUTED_VALUE"""),5)</f>
        <v>5</v>
      </c>
      <c r="M752" s="8" t="str">
        <f ca="1">IFERROR(__xludf.DUMMYFUNCTION("""COMPUTED_VALUE"""),"Local")</f>
        <v>Local</v>
      </c>
      <c r="N752" s="8">
        <f ca="1">IFERROR(__xludf.DUMMYFUNCTION("""COMPUTED_VALUE"""),4)</f>
        <v>4</v>
      </c>
      <c r="O752" s="8" t="str">
        <f ca="1">IFERROR(__xludf.DUMMYFUNCTION("""COMPUTED_VALUE"""),"Spring")</f>
        <v>Spring</v>
      </c>
      <c r="P752" s="8" t="str">
        <f ca="1">IFERROR(__xludf.DUMMYFUNCTION("""COMPUTED_VALUE"""),"Seattle")</f>
        <v>Seattle</v>
      </c>
      <c r="Q752" s="8" t="str">
        <f ca="1">IFERROR(__xludf.DUMMYFUNCTION("""COMPUTED_VALUE"""),"WA")</f>
        <v>WA</v>
      </c>
      <c r="R752" s="8" t="str">
        <f ca="1">IFERROR(__xludf.DUMMYFUNCTION("""COMPUTED_VALUE"""),"High")</f>
        <v>High</v>
      </c>
      <c r="S752" s="8" t="str">
        <f ca="1">IFERROR(__xludf.DUMMYFUNCTION("""COMPUTED_VALUE"""),"Front of School")</f>
        <v>Front of School</v>
      </c>
      <c r="T752" s="8" t="str">
        <f ca="1">IFERROR(__xludf.DUMMYFUNCTION("""COMPUTED_VALUE"""),"Outside on School Property")</f>
        <v>Outside on School Property</v>
      </c>
      <c r="U752" s="8" t="str">
        <f ca="1">IFERROR(__xludf.DUMMYFUNCTION("""COMPUTED_VALUE"""),"No")</f>
        <v>No</v>
      </c>
      <c r="V752" s="8" t="str">
        <f ca="1">IFERROR(__xludf.DUMMYFUNCTION("""COMPUTED_VALUE"""),"Night")</f>
        <v>Night</v>
      </c>
      <c r="W752" s="11">
        <f ca="1">IFERROR(__xludf.DUMMYFUNCTION("""COMPUTED_VALUE"""),0.9375)</f>
        <v>0.9375</v>
      </c>
      <c r="X752" s="8">
        <f ca="1">IFERROR(__xludf.DUMMYFUNCTION("""COMPUTED_VALUE"""),1)</f>
        <v>1</v>
      </c>
      <c r="Y752" s="12" t="str">
        <f ca="1">IFERROR(__xludf.DUMMYFUNCTION("""COMPUTED_VALUE"""),"Man found fatally shot in front of school")</f>
        <v>Man found fatally shot in front of school</v>
      </c>
      <c r="Z752" s="12" t="str">
        <f ca="1">IFERROR(__xludf.DUMMYFUNCTION("""COMPUTED_VALUE"""),"Seattle police are investigating a homicide near Chief Sealth International High School in West Seattle. Seattle police spokesperson Officer Shawn Weismiller said Saturday morning that the victim, a man in his 20s, was found shortly before 8:30 a.m. Satur"&amp;"day on a driveway on school grounds by a person walking a dog. The man was apparently shot, Weismiller said, pointing out shell casings marked with evidence tags on 27th Avenue Southwest, by the school. The school is at the corner of Thistle Street Southw"&amp;"est and 27th Avenue Southwest. Weismiller said officers were investigating reports from nearby residents who heard gunshots between 10:30 and 11 p.m. Friday.")</f>
        <v>Seattle police are investigating a homicide near Chief Sealth International High School in West Seattle. Seattle police spokesperson Officer Shawn Weismiller said Saturday morning that the victim, a man in his 20s, was found shortly before 8:30 a.m. Saturday on a driveway on school grounds by a person walking a dog. The man was apparently shot, Weismiller said, pointing out shell casings marked with evidence tags on 27th Avenue Southwest, by the school. The school is at the corner of Thistle Street Southwest and 27th Avenue Southwest. Weismiller said officers were investigating reports from nearby residents who heard gunshots between 10:30 and 11 p.m. Friday.</v>
      </c>
      <c r="AA752" s="8"/>
      <c r="AB752" s="8"/>
      <c r="AC752" s="8" t="str">
        <f ca="1">IFERROR(__xludf.DUMMYFUNCTION("""COMPUTED_VALUE"""),"No")</f>
        <v>No</v>
      </c>
      <c r="AD752" s="8" t="str">
        <f ca="1">IFERROR(__xludf.DUMMYFUNCTION("""COMPUTED_VALUE"""),"Victims Targeted")</f>
        <v>Victims Targeted</v>
      </c>
      <c r="AE752" s="8"/>
      <c r="AF752" s="8"/>
      <c r="AG752" s="8" t="str">
        <f ca="1">IFERROR(__xludf.DUMMYFUNCTION("""COMPUTED_VALUE"""),"No")</f>
        <v>No</v>
      </c>
      <c r="AH752" s="8" t="str">
        <f ca="1">IFERROR(__xludf.DUMMYFUNCTION("""COMPUTED_VALUE"""),"No")</f>
        <v>No</v>
      </c>
      <c r="AI752" s="8" t="str">
        <f ca="1">IFERROR(__xludf.DUMMYFUNCTION("""COMPUTED_VALUE"""),"No")</f>
        <v>No</v>
      </c>
      <c r="AJ752" s="8" t="str">
        <f ca="1">IFERROR(__xludf.DUMMYFUNCTION("""COMPUTED_VALUE"""),"No")</f>
        <v>No</v>
      </c>
      <c r="AK752" s="8" t="str">
        <f ca="1">IFERROR(__xludf.DUMMYFUNCTION("""COMPUTED_VALUE"""),"No")</f>
        <v>No</v>
      </c>
      <c r="AL752" s="8"/>
      <c r="AM752" s="8" t="str">
        <f ca="1">IFERROR(__xludf.DUMMYFUNCTION("""COMPUTED_VALUE"""),"No")</f>
        <v>No</v>
      </c>
      <c r="AN752" s="8" t="str">
        <f ca="1">IFERROR(__xludf.DUMMYFUNCTION("""COMPUTED_VALUE"""),"Outside")</f>
        <v>Outside</v>
      </c>
      <c r="AO752" s="8"/>
      <c r="AP752" s="8"/>
      <c r="AQ752" s="8"/>
      <c r="AR752" s="8" t="str">
        <f ca="1">IFERROR(__xludf.DUMMYFUNCTION("""COMPUTED_VALUE"""),"Outside/Off-Property")</f>
        <v>Outside/Off-Property</v>
      </c>
      <c r="AS752" s="8">
        <f ca="1">IFERROR(__xludf.DUMMYFUNCTION("""COMPUTED_VALUE"""),99)</f>
        <v>99</v>
      </c>
      <c r="AT752" s="8"/>
      <c r="AU752" s="8">
        <f ca="1">IFERROR(__xludf.DUMMYFUNCTION("""COMPUTED_VALUE"""),47.529172)</f>
        <v>47.529172000000003</v>
      </c>
      <c r="AV752" s="8">
        <f ca="1">IFERROR(__xludf.DUMMYFUNCTION("""COMPUTED_VALUE"""),-122.365599)</f>
        <v>-122.365599</v>
      </c>
      <c r="AW752" s="8"/>
      <c r="AX752" s="8">
        <f ca="1">IFERROR(__xludf.DUMMYFUNCTION("""COMPUTED_VALUE"""),98126)</f>
        <v>98126</v>
      </c>
    </row>
    <row r="753" spans="1:50" ht="90" x14ac:dyDescent="0.2">
      <c r="A753" s="8" t="str">
        <f ca="1">IFERROR(__xludf.DUMMYFUNCTION("""COMPUTED_VALUE"""),"20230406NCSOW")</f>
        <v>20230406NCSOW</v>
      </c>
      <c r="B753" s="8">
        <f ca="1">IFERROR(__xludf.DUMMYFUNCTION("""COMPUTED_VALUE"""),4)</f>
        <v>4</v>
      </c>
      <c r="C753" s="8">
        <f ca="1">IFERROR(__xludf.DUMMYFUNCTION("""COMPUTED_VALUE"""),6)</f>
        <v>6</v>
      </c>
      <c r="D753" s="8">
        <f ca="1">IFERROR(__xludf.DUMMYFUNCTION("""COMPUTED_VALUE"""),2023)</f>
        <v>2023</v>
      </c>
      <c r="E753" s="9">
        <f ca="1">IFERROR(__xludf.DUMMYFUNCTION("""COMPUTED_VALUE"""),45022)</f>
        <v>45022</v>
      </c>
      <c r="F753" s="8" t="str">
        <f ca="1">IFERROR(__xludf.DUMMYFUNCTION("""COMPUTED_VALUE"""),"South Central High School")</f>
        <v>South Central High School</v>
      </c>
      <c r="G753" s="8">
        <f ca="1">IFERROR(__xludf.DUMMYFUNCTION("""COMPUTED_VALUE"""),0)</f>
        <v>0</v>
      </c>
      <c r="H753" s="8">
        <f ca="1">IFERROR(__xludf.DUMMYFUNCTION("""COMPUTED_VALUE"""),1)</f>
        <v>1</v>
      </c>
      <c r="I753" s="8">
        <f ca="1">IFERROR(__xludf.DUMMYFUNCTION("""COMPUTED_VALUE"""),1)</f>
        <v>1</v>
      </c>
      <c r="J753" s="8">
        <f ca="1">IFERROR(__xludf.DUMMYFUNCTION("""COMPUTED_VALUE"""),0)</f>
        <v>0</v>
      </c>
      <c r="K753" s="10" t="str">
        <f ca="1">IFERROR(__xludf.DUMMYFUNCTION("""COMPUTED_VALUE"""),"https://www.witn.com/2023/04/07/greenville-police-investigating-apparent-accidental-shooting-school-bus/")</f>
        <v>https://www.witn.com/2023/04/07/greenville-police-investigating-apparent-accidental-shooting-school-bus/</v>
      </c>
      <c r="L753" s="8">
        <f ca="1">IFERROR(__xludf.DUMMYFUNCTION("""COMPUTED_VALUE"""),5)</f>
        <v>5</v>
      </c>
      <c r="M753" s="8" t="str">
        <f ca="1">IFERROR(__xludf.DUMMYFUNCTION("""COMPUTED_VALUE"""),"Local")</f>
        <v>Local</v>
      </c>
      <c r="N753" s="8">
        <f ca="1">IFERROR(__xludf.DUMMYFUNCTION("""COMPUTED_VALUE"""),4)</f>
        <v>4</v>
      </c>
      <c r="O753" s="8" t="str">
        <f ca="1">IFERROR(__xludf.DUMMYFUNCTION("""COMPUTED_VALUE"""),"Spring")</f>
        <v>Spring</v>
      </c>
      <c r="P753" s="8" t="str">
        <f ca="1">IFERROR(__xludf.DUMMYFUNCTION("""COMPUTED_VALUE"""),"Winterville")</f>
        <v>Winterville</v>
      </c>
      <c r="Q753" s="8" t="str">
        <f ca="1">IFERROR(__xludf.DUMMYFUNCTION("""COMPUTED_VALUE"""),"NC")</f>
        <v>NC</v>
      </c>
      <c r="R753" s="8" t="str">
        <f ca="1">IFERROR(__xludf.DUMMYFUNCTION("""COMPUTED_VALUE"""),"High")</f>
        <v>High</v>
      </c>
      <c r="S753" s="8" t="str">
        <f ca="1">IFERROR(__xludf.DUMMYFUNCTION("""COMPUTED_VALUE"""),"School Bus")</f>
        <v>School Bus</v>
      </c>
      <c r="T753" s="8" t="str">
        <f ca="1">IFERROR(__xludf.DUMMYFUNCTION("""COMPUTED_VALUE"""),"School Bus")</f>
        <v>School Bus</v>
      </c>
      <c r="U753" s="8" t="str">
        <f ca="1">IFERROR(__xludf.DUMMYFUNCTION("""COMPUTED_VALUE"""),"Yes")</f>
        <v>Yes</v>
      </c>
      <c r="V753" s="8" t="str">
        <f ca="1">IFERROR(__xludf.DUMMYFUNCTION("""COMPUTED_VALUE"""),"Dismissal")</f>
        <v>Dismissal</v>
      </c>
      <c r="W753" s="11">
        <f ca="1">IFERROR(__xludf.DUMMYFUNCTION("""COMPUTED_VALUE"""),0.65625)</f>
        <v>0.65625</v>
      </c>
      <c r="X753" s="8">
        <f ca="1">IFERROR(__xludf.DUMMYFUNCTION("""COMPUTED_VALUE"""),1)</f>
        <v>1</v>
      </c>
      <c r="Y753" s="12" t="str">
        <f ca="1">IFERROR(__xludf.DUMMYFUNCTION("""COMPUTED_VALUE"""),"Teen shot on school bus leaving campus")</f>
        <v>Teen shot on school bus leaving campus</v>
      </c>
      <c r="Z753" s="12" t="str">
        <f ca="1">IFERROR(__xludf.DUMMYFUNCTION("""COMPUTED_VALUE"""),"A preliminary investigation has revealed it happened at approximately 3:45 in the afternoon on a Pitt County school bus leaving South Central High School. At this point in time, it appears the teen was injured as a result of an accidental discharge and it"&amp;" was not a targeted incident. No other injuries were reported.")</f>
        <v>A preliminary investigation has revealed it happened at approximately 3:45 in the afternoon on a Pitt County school bus leaving South Central High School. At this point in time, it appears the teen was injured as a result of an accidental discharge and it was not a targeted incident. No other injuries were reported.</v>
      </c>
      <c r="AA753" s="8" t="str">
        <f ca="1">IFERROR(__xludf.DUMMYFUNCTION("""COMPUTED_VALUE"""),"Accidental")</f>
        <v>Accidental</v>
      </c>
      <c r="AB753" s="8"/>
      <c r="AC753" s="8" t="str">
        <f ca="1">IFERROR(__xludf.DUMMYFUNCTION("""COMPUTED_VALUE"""),"Yes")</f>
        <v>Yes</v>
      </c>
      <c r="AD753" s="8" t="str">
        <f ca="1">IFERROR(__xludf.DUMMYFUNCTION("""COMPUTED_VALUE"""),"Neither")</f>
        <v>Neither</v>
      </c>
      <c r="AE753" s="8" t="str">
        <f ca="1">IFERROR(__xludf.DUMMYFUNCTION("""COMPUTED_VALUE"""),"No")</f>
        <v>No</v>
      </c>
      <c r="AF753" s="8"/>
      <c r="AG753" s="8" t="str">
        <f ca="1">IFERROR(__xludf.DUMMYFUNCTION("""COMPUTED_VALUE"""),"No")</f>
        <v>No</v>
      </c>
      <c r="AH753" s="8" t="str">
        <f ca="1">IFERROR(__xludf.DUMMYFUNCTION("""COMPUTED_VALUE"""),"No")</f>
        <v>No</v>
      </c>
      <c r="AI753" s="8" t="str">
        <f ca="1">IFERROR(__xludf.DUMMYFUNCTION("""COMPUTED_VALUE"""),"No")</f>
        <v>No</v>
      </c>
      <c r="AJ753" s="8" t="str">
        <f ca="1">IFERROR(__xludf.DUMMYFUNCTION("""COMPUTED_VALUE"""),"No")</f>
        <v>No</v>
      </c>
      <c r="AK753" s="8" t="str">
        <f ca="1">IFERROR(__xludf.DUMMYFUNCTION("""COMPUTED_VALUE"""),"No")</f>
        <v>No</v>
      </c>
      <c r="AL753" s="8" t="str">
        <f ca="1">IFERROR(__xludf.DUMMYFUNCTION("""COMPUTED_VALUE"""),"No")</f>
        <v>No</v>
      </c>
      <c r="AM753" s="8" t="str">
        <f ca="1">IFERROR(__xludf.DUMMYFUNCTION("""COMPUTED_VALUE"""),"No")</f>
        <v>No</v>
      </c>
      <c r="AN753" s="8" t="str">
        <f ca="1">IFERROR(__xludf.DUMMYFUNCTION("""COMPUTED_VALUE"""),"Outside")</f>
        <v>Outside</v>
      </c>
      <c r="AO753" s="8"/>
      <c r="AP753" s="8"/>
      <c r="AQ753" s="8"/>
      <c r="AR753" s="8" t="str">
        <f ca="1">IFERROR(__xludf.DUMMYFUNCTION("""COMPUTED_VALUE"""),"Failed")</f>
        <v>Failed</v>
      </c>
      <c r="AS753" s="8">
        <f ca="1">IFERROR(__xludf.DUMMYFUNCTION("""COMPUTED_VALUE"""),1)</f>
        <v>1</v>
      </c>
      <c r="AT753" s="8"/>
      <c r="AU753" s="8">
        <f ca="1">IFERROR(__xludf.DUMMYFUNCTION("""COMPUTED_VALUE"""),35.541096)</f>
        <v>35.541096000000003</v>
      </c>
      <c r="AV753" s="8">
        <f ca="1">IFERROR(__xludf.DUMMYFUNCTION("""COMPUTED_VALUE"""),-77.428883)</f>
        <v>-77.428882999999999</v>
      </c>
      <c r="AW753" s="8"/>
      <c r="AX753" s="8">
        <f ca="1">IFERROR(__xludf.DUMMYFUNCTION("""COMPUTED_VALUE"""),28590)</f>
        <v>28590</v>
      </c>
    </row>
    <row r="754" spans="1:50" ht="285" x14ac:dyDescent="0.2">
      <c r="A754" s="8" t="str">
        <f ca="1">IFERROR(__xludf.DUMMYFUNCTION("""COMPUTED_VALUE"""),"20230405WANAS")</f>
        <v>20230405WANAS</v>
      </c>
      <c r="B754" s="8">
        <f ca="1">IFERROR(__xludf.DUMMYFUNCTION("""COMPUTED_VALUE"""),4)</f>
        <v>4</v>
      </c>
      <c r="C754" s="8">
        <f ca="1">IFERROR(__xludf.DUMMYFUNCTION("""COMPUTED_VALUE"""),5)</f>
        <v>5</v>
      </c>
      <c r="D754" s="8">
        <f ca="1">IFERROR(__xludf.DUMMYFUNCTION("""COMPUTED_VALUE"""),2023)</f>
        <v>2023</v>
      </c>
      <c r="E754" s="9">
        <f ca="1">IFERROR(__xludf.DUMMYFUNCTION("""COMPUTED_VALUE"""),45021)</f>
        <v>45021</v>
      </c>
      <c r="F754" s="8" t="str">
        <f ca="1">IFERROR(__xludf.DUMMYFUNCTION("""COMPUTED_VALUE"""),"Nathan Hale High School")</f>
        <v>Nathan Hale High School</v>
      </c>
      <c r="G754" s="8">
        <f ca="1">IFERROR(__xludf.DUMMYFUNCTION("""COMPUTED_VALUE"""),1)</f>
        <v>1</v>
      </c>
      <c r="H754" s="8">
        <f ca="1">IFERROR(__xludf.DUMMYFUNCTION("""COMPUTED_VALUE"""),0)</f>
        <v>0</v>
      </c>
      <c r="I754" s="8">
        <f ca="1">IFERROR(__xludf.DUMMYFUNCTION("""COMPUTED_VALUE"""),1)</f>
        <v>1</v>
      </c>
      <c r="J754" s="8">
        <f ca="1">IFERROR(__xludf.DUMMYFUNCTION("""COMPUTED_VALUE"""),0)</f>
        <v>0</v>
      </c>
      <c r="K754" s="10" t="str">
        <f ca="1">IFERROR(__xludf.DUMMYFUNCTION("""COMPUTED_VALUE"""),"https://komonews.com/news/local/nathan-hale-high-school-shooting-seattle-north-east-meadowbrook-gun-violence-crime-arrest-injury-jane-addams-police-fire-aid-investigate-principal-education-students-parents-families
https://komonews.com/news/local/nathan-h"&amp;"ale-high-school-seattle-shooting-gun-violence-crime-anthoni-aj-orozco-mother-amy-morris-ehlo-victim-deadly-fatal-killed-intervene-argument-semiautomatic-pistol-firearm-campus
https://www.king5.com/article/news/local/man-sentenced-fatal-shooting-nathan-hal"&amp;"e-high-school/281-205d3c67-0000-4d03-a144-06a8194250e1")</f>
        <v>https://komonews.com/news/local/nathan-hale-high-school-shooting-seattle-north-east-meadowbrook-gun-violence-crime-arrest-injury-jane-addams-police-fire-aid-investigate-principal-education-students-parents-families
https://komonews.com/news/local/nathan-hale-high-school-seattle-shooting-gun-violence-crime-anthoni-aj-orozco-mother-amy-morris-ehlo-victim-deadly-fatal-killed-intervene-argument-semiautomatic-pistol-firearm-campus
https://www.king5.com/article/news/local/man-sentenced-fatal-shooting-nathan-hale-high-school/281-205d3c67-0000-4d03-a144-06a8194250e1</v>
      </c>
      <c r="L754" s="8">
        <f ca="1">IFERROR(__xludf.DUMMYFUNCTION("""COMPUTED_VALUE"""),3)</f>
        <v>3</v>
      </c>
      <c r="M754" s="8" t="str">
        <f ca="1">IFERROR(__xludf.DUMMYFUNCTION("""COMPUTED_VALUE"""),"Local")</f>
        <v>Local</v>
      </c>
      <c r="N754" s="8">
        <f ca="1">IFERROR(__xludf.DUMMYFUNCTION("""COMPUTED_VALUE"""),4)</f>
        <v>4</v>
      </c>
      <c r="O754" s="8" t="str">
        <f ca="1">IFERROR(__xludf.DUMMYFUNCTION("""COMPUTED_VALUE"""),"Spring")</f>
        <v>Spring</v>
      </c>
      <c r="P754" s="8" t="str">
        <f ca="1">IFERROR(__xludf.DUMMYFUNCTION("""COMPUTED_VALUE"""),"Seattle")</f>
        <v>Seattle</v>
      </c>
      <c r="Q754" s="8" t="str">
        <f ca="1">IFERROR(__xludf.DUMMYFUNCTION("""COMPUTED_VALUE"""),"WA")</f>
        <v>WA</v>
      </c>
      <c r="R754" s="8" t="str">
        <f ca="1">IFERROR(__xludf.DUMMYFUNCTION("""COMPUTED_VALUE"""),"High")</f>
        <v>High</v>
      </c>
      <c r="S754" s="8" t="str">
        <f ca="1">IFERROR(__xludf.DUMMYFUNCTION("""COMPUTED_VALUE"""),"Parking Lot")</f>
        <v>Parking Lot</v>
      </c>
      <c r="T754" s="8" t="str">
        <f ca="1">IFERROR(__xludf.DUMMYFUNCTION("""COMPUTED_VALUE"""),"Outside on School Property")</f>
        <v>Outside on School Property</v>
      </c>
      <c r="U754" s="8" t="str">
        <f ca="1">IFERROR(__xludf.DUMMYFUNCTION("""COMPUTED_VALUE"""),"No")</f>
        <v>No</v>
      </c>
      <c r="V754" s="8" t="str">
        <f ca="1">IFERROR(__xludf.DUMMYFUNCTION("""COMPUTED_VALUE"""),"Night")</f>
        <v>Night</v>
      </c>
      <c r="W754" s="11">
        <f ca="1">IFERROR(__xludf.DUMMYFUNCTION("""COMPUTED_VALUE"""),0.875)</f>
        <v>0.875</v>
      </c>
      <c r="X754" s="8">
        <f ca="1">IFERROR(__xludf.DUMMYFUNCTION("""COMPUTED_VALUE"""),1)</f>
        <v>1</v>
      </c>
      <c r="Y754" s="12" t="str">
        <f ca="1">IFERROR(__xludf.DUMMYFUNCTION("""COMPUTED_VALUE"""),"Man fatally shot during domestic argument in the parking lot")</f>
        <v>Man fatally shot during domestic argument in the parking lot</v>
      </c>
      <c r="Z754" s="12" t="str">
        <f ca="1">IFERROR(__xludf.DUMMYFUNCTION("""COMPUTED_VALUE"""),"The shooting happened around 9 p.m. and the victim later died at the hospital, police said. The victim, identified as Anthoni ""AJ"" Orozco by his mother, Amy Morris-Ehlo, was shot when he tried to intervene during an argument, officials said. Police said"&amp;" the suspect then ran away and was located a couple of days later. The shooter was identified as 20-year-old Kajali Alijah Camara, according to court documents. In King County court on Monday, the prosecution stated Camara “arrived at a high school parkin"&amp;"g lot with a loaded semi-automatic pistol with an extended magazine which he was subsequently arrested with on his person. The probable cause affidavit suggested that the victim in this case attempted to deescalate the situation when he was shot, and “the"&amp;"re are three eyewitnesses, those are juvenile witnesses.” Court documents revealed that the altercation started over a PlayStation that Camara stole from an ex-girlfriend of his, along with his posting of intimate videos of the couple online.")</f>
        <v>The shooting happened around 9 p.m. and the victim later died at the hospital, police said. The victim, identified as Anthoni "AJ" Orozco by his mother, Amy Morris-Ehlo, was shot when he tried to intervene during an argument, officials said. Police said the suspect then ran away and was located a couple of days later. The shooter was identified as 20-year-old Kajali Alijah Camara, according to court documents. In King County court on Monday, the prosecution stated Camara “arrived at a high school parking lot with a loaded semi-automatic pistol with an extended magazine which he was subsequently arrested with on his person. The probable cause affidavit suggested that the victim in this case attempted to deescalate the situation when he was shot, and “there are three eyewitnesses, those are juvenile witnesses.” Court documents revealed that the altercation started over a PlayStation that Camara stole from an ex-girlfriend of his, along with his posting of intimate videos of the couple online.</v>
      </c>
      <c r="AA754" s="8" t="str">
        <f ca="1">IFERROR(__xludf.DUMMYFUNCTION("""COMPUTED_VALUE"""),"Domestic w/ Targeted Victim")</f>
        <v>Domestic w/ Targeted Victim</v>
      </c>
      <c r="AB754" s="8" t="str">
        <f ca="1">IFERROR(__xludf.DUMMYFUNCTION("""COMPUTED_VALUE"""),"Targeted")</f>
        <v>Targeted</v>
      </c>
      <c r="AC754" s="8" t="str">
        <f ca="1">IFERROR(__xludf.DUMMYFUNCTION("""COMPUTED_VALUE"""),"No")</f>
        <v>No</v>
      </c>
      <c r="AD754" s="8" t="str">
        <f ca="1">IFERROR(__xludf.DUMMYFUNCTION("""COMPUTED_VALUE"""),"Victims Targeted")</f>
        <v>Victims Targeted</v>
      </c>
      <c r="AE754" s="8" t="str">
        <f ca="1">IFERROR(__xludf.DUMMYFUNCTION("""COMPUTED_VALUE"""),"No")</f>
        <v>No</v>
      </c>
      <c r="AF754" s="8"/>
      <c r="AG754" s="8" t="str">
        <f ca="1">IFERROR(__xludf.DUMMYFUNCTION("""COMPUTED_VALUE"""),"No")</f>
        <v>No</v>
      </c>
      <c r="AH754" s="8" t="str">
        <f ca="1">IFERROR(__xludf.DUMMYFUNCTION("""COMPUTED_VALUE"""),"No")</f>
        <v>No</v>
      </c>
      <c r="AI754" s="8" t="str">
        <f ca="1">IFERROR(__xludf.DUMMYFUNCTION("""COMPUTED_VALUE"""),"No")</f>
        <v>No</v>
      </c>
      <c r="AJ754" s="8" t="str">
        <f ca="1">IFERROR(__xludf.DUMMYFUNCTION("""COMPUTED_VALUE"""),"No")</f>
        <v>No</v>
      </c>
      <c r="AK754" s="8" t="str">
        <f ca="1">IFERROR(__xludf.DUMMYFUNCTION("""COMPUTED_VALUE"""),"Yes")</f>
        <v>Yes</v>
      </c>
      <c r="AL754" s="8" t="str">
        <f ca="1">IFERROR(__xludf.DUMMYFUNCTION("""COMPUTED_VALUE"""),"No")</f>
        <v>No</v>
      </c>
      <c r="AM754" s="8" t="str">
        <f ca="1">IFERROR(__xludf.DUMMYFUNCTION("""COMPUTED_VALUE"""),"No")</f>
        <v>No</v>
      </c>
      <c r="AN754" s="8" t="str">
        <f ca="1">IFERROR(__xludf.DUMMYFUNCTION("""COMPUTED_VALUE"""),"Outside")</f>
        <v>Outside</v>
      </c>
      <c r="AO754" s="8" t="str">
        <f ca="1">IFERROR(__xludf.DUMMYFUNCTION("""COMPUTED_VALUE"""),"No")</f>
        <v>No</v>
      </c>
      <c r="AP754" s="8"/>
      <c r="AQ754" s="8"/>
      <c r="AR754" s="8" t="str">
        <f ca="1">IFERROR(__xludf.DUMMYFUNCTION("""COMPUTED_VALUE"""),"Outside/Off-Property")</f>
        <v>Outside/Off-Property</v>
      </c>
      <c r="AS754" s="8">
        <f ca="1">IFERROR(__xludf.DUMMYFUNCTION("""COMPUTED_VALUE"""),99)</f>
        <v>99</v>
      </c>
      <c r="AT754" s="8" t="str">
        <f ca="1">IFERROR(__xludf.DUMMYFUNCTION("""COMPUTED_VALUE"""),"No")</f>
        <v>No</v>
      </c>
      <c r="AU754" s="8">
        <f ca="1">IFERROR(__xludf.DUMMYFUNCTION("""COMPUTED_VALUE"""),47.707343)</f>
        <v>47.707343000000002</v>
      </c>
      <c r="AV754" s="8">
        <f ca="1">IFERROR(__xludf.DUMMYFUNCTION("""COMPUTED_VALUE"""),-122.293303)</f>
        <v>-122.29330299999999</v>
      </c>
      <c r="AW754" s="8" t="str">
        <f ca="1">IFERROR(__xludf.DUMMYFUNCTION("""COMPUTED_VALUE"""),"Multiple attached buildings")</f>
        <v>Multiple attached buildings</v>
      </c>
      <c r="AX754" s="8">
        <f ca="1">IFERROR(__xludf.DUMMYFUNCTION("""COMPUTED_VALUE"""),98125)</f>
        <v>98125</v>
      </c>
    </row>
    <row r="755" spans="1:50" ht="90" x14ac:dyDescent="0.2">
      <c r="A755" s="8" t="str">
        <f ca="1">IFERROR(__xludf.DUMMYFUNCTION("""COMPUTED_VALUE"""),"20230405SCHOG")</f>
        <v>20230405SCHOG</v>
      </c>
      <c r="B755" s="8">
        <f ca="1">IFERROR(__xludf.DUMMYFUNCTION("""COMPUTED_VALUE"""),4)</f>
        <v>4</v>
      </c>
      <c r="C755" s="8">
        <f ca="1">IFERROR(__xludf.DUMMYFUNCTION("""COMPUTED_VALUE"""),5)</f>
        <v>5</v>
      </c>
      <c r="D755" s="8">
        <f ca="1">IFERROR(__xludf.DUMMYFUNCTION("""COMPUTED_VALUE"""),2023)</f>
        <v>2023</v>
      </c>
      <c r="E755" s="9">
        <f ca="1">IFERROR(__xludf.DUMMYFUNCTION("""COMPUTED_VALUE"""),45021)</f>
        <v>45021</v>
      </c>
      <c r="F755" s="8" t="str">
        <f ca="1">IFERROR(__xludf.DUMMYFUNCTION("""COMPUTED_VALUE"""),"Hollis Elementary School")</f>
        <v>Hollis Elementary School</v>
      </c>
      <c r="G755" s="8">
        <f ca="1">IFERROR(__xludf.DUMMYFUNCTION("""COMPUTED_VALUE"""),0)</f>
        <v>0</v>
      </c>
      <c r="H755" s="8">
        <f ca="1">IFERROR(__xludf.DUMMYFUNCTION("""COMPUTED_VALUE"""),0)</f>
        <v>0</v>
      </c>
      <c r="I755" s="8">
        <f ca="1">IFERROR(__xludf.DUMMYFUNCTION("""COMPUTED_VALUE"""),0)</f>
        <v>0</v>
      </c>
      <c r="J755" s="8">
        <f ca="1">IFERROR(__xludf.DUMMYFUNCTION("""COMPUTED_VALUE"""),0)</f>
        <v>0</v>
      </c>
      <c r="K755" s="10" t="str">
        <f ca="1">IFERROR(__xludf.DUMMYFUNCTION("""COMPUTED_VALUE"""),"https://www.wyff4.com/article/neighbors-frightened-drive-by-shooting-elementary-school-playground/43522483")</f>
        <v>https://www.wyff4.com/article/neighbors-frightened-drive-by-shooting-elementary-school-playground/43522483</v>
      </c>
      <c r="L755" s="8">
        <f ca="1">IFERROR(__xludf.DUMMYFUNCTION("""COMPUTED_VALUE"""),1)</f>
        <v>1</v>
      </c>
      <c r="M755" s="8" t="str">
        <f ca="1">IFERROR(__xludf.DUMMYFUNCTION("""COMPUTED_VALUE"""),"Local")</f>
        <v>Local</v>
      </c>
      <c r="N755" s="8">
        <f ca="1">IFERROR(__xludf.DUMMYFUNCTION("""COMPUTED_VALUE"""),4)</f>
        <v>4</v>
      </c>
      <c r="O755" s="8" t="str">
        <f ca="1">IFERROR(__xludf.DUMMYFUNCTION("""COMPUTED_VALUE"""),"Spring")</f>
        <v>Spring</v>
      </c>
      <c r="P755" s="8" t="str">
        <f ca="1">IFERROR(__xludf.DUMMYFUNCTION("""COMPUTED_VALUE"""),"Greenville")</f>
        <v>Greenville</v>
      </c>
      <c r="Q755" s="8" t="str">
        <f ca="1">IFERROR(__xludf.DUMMYFUNCTION("""COMPUTED_VALUE"""),"SC")</f>
        <v>SC</v>
      </c>
      <c r="R755" s="8" t="str">
        <f ca="1">IFERROR(__xludf.DUMMYFUNCTION("""COMPUTED_VALUE"""),"Elementary")</f>
        <v>Elementary</v>
      </c>
      <c r="S755" s="8" t="str">
        <f ca="1">IFERROR(__xludf.DUMMYFUNCTION("""COMPUTED_VALUE"""),"Playground")</f>
        <v>Playground</v>
      </c>
      <c r="T755" s="8" t="str">
        <f ca="1">IFERROR(__xludf.DUMMYFUNCTION("""COMPUTED_VALUE"""),"Outside on School Property")</f>
        <v>Outside on School Property</v>
      </c>
      <c r="U755" s="8" t="str">
        <f ca="1">IFERROR(__xludf.DUMMYFUNCTION("""COMPUTED_VALUE"""),"No")</f>
        <v>No</v>
      </c>
      <c r="V755" s="8" t="str">
        <f ca="1">IFERROR(__xludf.DUMMYFUNCTION("""COMPUTED_VALUE"""),"After School")</f>
        <v>After School</v>
      </c>
      <c r="W755" s="11">
        <f ca="1">IFERROR(__xludf.DUMMYFUNCTION("""COMPUTED_VALUE"""),0.6875)</f>
        <v>0.6875</v>
      </c>
      <c r="X755" s="8">
        <f ca="1">IFERROR(__xludf.DUMMYFUNCTION("""COMPUTED_VALUE"""),1)</f>
        <v>1</v>
      </c>
      <c r="Y755" s="12" t="str">
        <f ca="1">IFERROR(__xludf.DUMMYFUNCTION("""COMPUTED_VALUE"""),"Teen in vehicle fired shots at teens on school playground, kids and parents were present")</f>
        <v>Teen in vehicle fired shots at teens on school playground, kids and parents were present</v>
      </c>
      <c r="Z755" s="12" t="str">
        <f ca="1">IFERROR(__xludf.DUMMYFUNCTION("""COMPUTED_VALUE"""),"The Greenville County Sheriff's Office responded around 4:30 p.m. on Tuesday and said a vehicle involved was driving down Eighth Street when a passenger shot at group of teens on the Hollis Elementary School Playground. Children and parents were on the pl"&amp;"ayground when the shots were fired.")</f>
        <v>The Greenville County Sheriff's Office responded around 4:30 p.m. on Tuesday and said a vehicle involved was driving down Eighth Street when a passenger shot at group of teens on the Hollis Elementary School Playground. Children and parents were on the playground when the shots were fired.</v>
      </c>
      <c r="AA755" s="8" t="str">
        <f ca="1">IFERROR(__xludf.DUMMYFUNCTION("""COMPUTED_VALUE"""),"Drive-by Shooting")</f>
        <v>Drive-by Shooting</v>
      </c>
      <c r="AB755" s="8"/>
      <c r="AC755" s="8" t="str">
        <f ca="1">IFERROR(__xludf.DUMMYFUNCTION("""COMPUTED_VALUE"""),"Yes")</f>
        <v>Yes</v>
      </c>
      <c r="AD755" s="8" t="str">
        <f ca="1">IFERROR(__xludf.DUMMYFUNCTION("""COMPUTED_VALUE"""),"Victims Targeted")</f>
        <v>Victims Targeted</v>
      </c>
      <c r="AE755" s="8" t="str">
        <f ca="1">IFERROR(__xludf.DUMMYFUNCTION("""COMPUTED_VALUE"""),"Yes")</f>
        <v>Yes</v>
      </c>
      <c r="AF755" s="8" t="str">
        <f ca="1">IFERROR(__xludf.DUMMYFUNCTION("""COMPUTED_VALUE"""),"Driver and shooter")</f>
        <v>Driver and shooter</v>
      </c>
      <c r="AG755" s="8" t="str">
        <f ca="1">IFERROR(__xludf.DUMMYFUNCTION("""COMPUTED_VALUE"""),"No")</f>
        <v>No</v>
      </c>
      <c r="AH755" s="8" t="str">
        <f ca="1">IFERROR(__xludf.DUMMYFUNCTION("""COMPUTED_VALUE"""),"No")</f>
        <v>No</v>
      </c>
      <c r="AI755" s="8" t="str">
        <f ca="1">IFERROR(__xludf.DUMMYFUNCTION("""COMPUTED_VALUE"""),"No")</f>
        <v>No</v>
      </c>
      <c r="AJ755" s="8" t="str">
        <f ca="1">IFERROR(__xludf.DUMMYFUNCTION("""COMPUTED_VALUE"""),"No")</f>
        <v>No</v>
      </c>
      <c r="AK755" s="8" t="str">
        <f ca="1">IFERROR(__xludf.DUMMYFUNCTION("""COMPUTED_VALUE"""),"No")</f>
        <v>No</v>
      </c>
      <c r="AL755" s="8"/>
      <c r="AM755" s="8" t="str">
        <f ca="1">IFERROR(__xludf.DUMMYFUNCTION("""COMPUTED_VALUE"""),"No")</f>
        <v>No</v>
      </c>
      <c r="AN755" s="8" t="str">
        <f ca="1">IFERROR(__xludf.DUMMYFUNCTION("""COMPUTED_VALUE"""),"Outside")</f>
        <v>Outside</v>
      </c>
      <c r="AO755" s="8"/>
      <c r="AP755" s="8"/>
      <c r="AQ755" s="8"/>
      <c r="AR755" s="8" t="str">
        <f ca="1">IFERROR(__xludf.DUMMYFUNCTION("""COMPUTED_VALUE"""),"Outside/Off-Property")</f>
        <v>Outside/Off-Property</v>
      </c>
      <c r="AS755" s="8">
        <f ca="1">IFERROR(__xludf.DUMMYFUNCTION("""COMPUTED_VALUE"""),99)</f>
        <v>99</v>
      </c>
      <c r="AT755" s="8"/>
      <c r="AU755" s="8">
        <f ca="1">IFERROR(__xludf.DUMMYFUNCTION("""COMPUTED_VALUE"""),34.832056)</f>
        <v>34.832056000000001</v>
      </c>
      <c r="AV755" s="8">
        <f ca="1">IFERROR(__xludf.DUMMYFUNCTION("""COMPUTED_VALUE"""),-82.428973)</f>
        <v>-82.428972999999999</v>
      </c>
      <c r="AW755" s="8"/>
      <c r="AX755" s="8">
        <f ca="1">IFERROR(__xludf.DUMMYFUNCTION("""COMPUTED_VALUE"""),29611)</f>
        <v>29611</v>
      </c>
    </row>
    <row r="756" spans="1:50" ht="255" x14ac:dyDescent="0.2">
      <c r="A756" s="8" t="str">
        <f ca="1">IFERROR(__xludf.DUMMYFUNCTION("""COMPUTED_VALUE"""),"20230405OHROC")</f>
        <v>20230405OHROC</v>
      </c>
      <c r="B756" s="8">
        <f ca="1">IFERROR(__xludf.DUMMYFUNCTION("""COMPUTED_VALUE"""),4)</f>
        <v>4</v>
      </c>
      <c r="C756" s="8">
        <f ca="1">IFERROR(__xludf.DUMMYFUNCTION("""COMPUTED_VALUE"""),5)</f>
        <v>5</v>
      </c>
      <c r="D756" s="8">
        <f ca="1">IFERROR(__xludf.DUMMYFUNCTION("""COMPUTED_VALUE"""),2023)</f>
        <v>2023</v>
      </c>
      <c r="E756" s="9">
        <f ca="1">IFERROR(__xludf.DUMMYFUNCTION("""COMPUTED_VALUE"""),45021)</f>
        <v>45021</v>
      </c>
      <c r="F756" s="8" t="str">
        <f ca="1">IFERROR(__xludf.DUMMYFUNCTION("""COMPUTED_VALUE"""),"Rothenberg Preparatory Academy")</f>
        <v>Rothenberg Preparatory Academy</v>
      </c>
      <c r="G756" s="8">
        <f ca="1">IFERROR(__xludf.DUMMYFUNCTION("""COMPUTED_VALUE"""),0)</f>
        <v>0</v>
      </c>
      <c r="H756" s="8">
        <f ca="1">IFERROR(__xludf.DUMMYFUNCTION("""COMPUTED_VALUE"""),0)</f>
        <v>0</v>
      </c>
      <c r="I756" s="8">
        <f ca="1">IFERROR(__xludf.DUMMYFUNCTION("""COMPUTED_VALUE"""),0)</f>
        <v>0</v>
      </c>
      <c r="J756" s="8">
        <f ca="1">IFERROR(__xludf.DUMMYFUNCTION("""COMPUTED_VALUE"""),0)</f>
        <v>0</v>
      </c>
      <c r="K756" s="8" t="str">
        <f ca="1">IFERROR(__xludf.DUMMYFUNCTION("""COMPUTED_VALUE"""),"https://www.wlwt.com/article/shots-fired-over-the-rhine-st-francis-seraph-school-suspect/43518848
https://www.fox19.com/2023/04/05/suspect-pursued-by-police-gets-inside-cincinnati-catholic-school/")</f>
        <v>https://www.wlwt.com/article/shots-fired-over-the-rhine-st-francis-seraph-school-suspect/43518848
https://www.fox19.com/2023/04/05/suspect-pursued-by-police-gets-inside-cincinnati-catholic-school/</v>
      </c>
      <c r="L756" s="8">
        <f ca="1">IFERROR(__xludf.DUMMYFUNCTION("""COMPUTED_VALUE"""),10)</f>
        <v>10</v>
      </c>
      <c r="M756" s="8" t="str">
        <f ca="1">IFERROR(__xludf.DUMMYFUNCTION("""COMPUTED_VALUE"""),"Regional")</f>
        <v>Regional</v>
      </c>
      <c r="N756" s="8">
        <f ca="1">IFERROR(__xludf.DUMMYFUNCTION("""COMPUTED_VALUE"""),4)</f>
        <v>4</v>
      </c>
      <c r="O756" s="8" t="str">
        <f ca="1">IFERROR(__xludf.DUMMYFUNCTION("""COMPUTED_VALUE"""),"Spring")</f>
        <v>Spring</v>
      </c>
      <c r="P756" s="8" t="str">
        <f ca="1">IFERROR(__xludf.DUMMYFUNCTION("""COMPUTED_VALUE"""),"Cincinnati")</f>
        <v>Cincinnati</v>
      </c>
      <c r="Q756" s="8" t="str">
        <f ca="1">IFERROR(__xludf.DUMMYFUNCTION("""COMPUTED_VALUE"""),"OH")</f>
        <v>OH</v>
      </c>
      <c r="R756" s="8" t="str">
        <f ca="1">IFERROR(__xludf.DUMMYFUNCTION("""COMPUTED_VALUE"""),"K-12")</f>
        <v>K-12</v>
      </c>
      <c r="S756" s="8" t="str">
        <f ca="1">IFERROR(__xludf.DUMMYFUNCTION("""COMPUTED_VALUE"""),"Front of School")</f>
        <v>Front of School</v>
      </c>
      <c r="T756" s="8" t="str">
        <f ca="1">IFERROR(__xludf.DUMMYFUNCTION("""COMPUTED_VALUE"""),"Outside on School Property")</f>
        <v>Outside on School Property</v>
      </c>
      <c r="U756" s="8" t="str">
        <f ca="1">IFERROR(__xludf.DUMMYFUNCTION("""COMPUTED_VALUE"""),"Yes")</f>
        <v>Yes</v>
      </c>
      <c r="V756" s="8" t="str">
        <f ca="1">IFERROR(__xludf.DUMMYFUNCTION("""COMPUTED_VALUE"""),"School Start")</f>
        <v>School Start</v>
      </c>
      <c r="W756" s="11">
        <f ca="1">IFERROR(__xludf.DUMMYFUNCTION("""COMPUTED_VALUE"""),0.333333333333333)</f>
        <v>0.33333333333333298</v>
      </c>
      <c r="X756" s="8">
        <f ca="1">IFERROR(__xludf.DUMMYFUNCTION("""COMPUTED_VALUE"""),1)</f>
        <v>1</v>
      </c>
      <c r="Y756" s="12" t="str">
        <f ca="1">IFERROR(__xludf.DUMMYFUNCTION("""COMPUTED_VALUE"""),"Teen fired shot in front of school, fled and climbed through window of nearby elementary")</f>
        <v>Teen fired shot in front of school, fled and climbed through window of nearby elementary</v>
      </c>
      <c r="Z756" s="12" t="str">
        <f ca="1">IFERROR(__xludf.DUMMYFUNCTION("""COMPUTED_VALUE"""),"An elementary school in Over-the-Rhine was placed on lockdown Wednesday morning due to a police pursuit when the suspect involved entered the school through a window. Police said it all started when officers responded to a shots-fired call that came in ju"&amp;"st after 8 a.m. on Antique Street. Police said it appears it was an incident where shots were fired into the air. There were no reports of injuries or property damage. Rothenberg Preparatory Academy was placed on a lock in due to the police activity. Offi"&amp;"cials said during the pursuit, the suspect climbed over the fences around the school and entered the school through a staff bathroom window on the first floor. School officials said the suspect was found in the basement of the building by cafeteria staff "&amp;"and was taken out of the building where he was taken into custody by police. The school remained on lockdown during the entire incident and was lifted after the suspect was taken into custody.")</f>
        <v>An elementary school in Over-the-Rhine was placed on lockdown Wednesday morning due to a police pursuit when the suspect involved entered the school through a window. Police said it all started when officers responded to a shots-fired call that came in just after 8 a.m. on Antique Street. Police said it appears it was an incident where shots were fired into the air. There were no reports of injuries or property damage. Rothenberg Preparatory Academy was placed on a lock in due to the police activity. Officials said during the pursuit, the suspect climbed over the fences around the school and entered the school through a staff bathroom window on the first floor. School officials said the suspect was found in the basement of the building by cafeteria staff and was taken out of the building where he was taken into custody by police. The school remained on lockdown during the entire incident and was lifted after the suspect was taken into custody.</v>
      </c>
      <c r="AA756" s="8" t="str">
        <f ca="1">IFERROR(__xludf.DUMMYFUNCTION("""COMPUTED_VALUE"""),"Escalation of Dispute")</f>
        <v>Escalation of Dispute</v>
      </c>
      <c r="AB756" s="8"/>
      <c r="AC756" s="8" t="str">
        <f ca="1">IFERROR(__xludf.DUMMYFUNCTION("""COMPUTED_VALUE"""),"Yes")</f>
        <v>Yes</v>
      </c>
      <c r="AD756" s="8" t="str">
        <f ca="1">IFERROR(__xludf.DUMMYFUNCTION("""COMPUTED_VALUE"""),"Neither")</f>
        <v>Neither</v>
      </c>
      <c r="AE756" s="8" t="str">
        <f ca="1">IFERROR(__xludf.DUMMYFUNCTION("""COMPUTED_VALUE"""),"Yes")</f>
        <v>Yes</v>
      </c>
      <c r="AF756" s="8" t="str">
        <f ca="1">IFERROR(__xludf.DUMMYFUNCTION("""COMPUTED_VALUE"""),"Two teens fled")</f>
        <v>Two teens fled</v>
      </c>
      <c r="AG756" s="8" t="str">
        <f ca="1">IFERROR(__xludf.DUMMYFUNCTION("""COMPUTED_VALUE"""),"No")</f>
        <v>No</v>
      </c>
      <c r="AH756" s="8" t="str">
        <f ca="1">IFERROR(__xludf.DUMMYFUNCTION("""COMPUTED_VALUE"""),"No")</f>
        <v>No</v>
      </c>
      <c r="AI756" s="8" t="str">
        <f ca="1">IFERROR(__xludf.DUMMYFUNCTION("""COMPUTED_VALUE"""),"No")</f>
        <v>No</v>
      </c>
      <c r="AJ756" s="8" t="str">
        <f ca="1">IFERROR(__xludf.DUMMYFUNCTION("""COMPUTED_VALUE"""),"No")</f>
        <v>No</v>
      </c>
      <c r="AK756" s="8" t="str">
        <f ca="1">IFERROR(__xludf.DUMMYFUNCTION("""COMPUTED_VALUE"""),"No")</f>
        <v>No</v>
      </c>
      <c r="AL756" s="8"/>
      <c r="AM756" s="8" t="str">
        <f ca="1">IFERROR(__xludf.DUMMYFUNCTION("""COMPUTED_VALUE"""),"No")</f>
        <v>No</v>
      </c>
      <c r="AN756" s="8" t="str">
        <f ca="1">IFERROR(__xludf.DUMMYFUNCTION("""COMPUTED_VALUE"""),"Outside")</f>
        <v>Outside</v>
      </c>
      <c r="AO756" s="8"/>
      <c r="AP756" s="8"/>
      <c r="AQ756" s="8"/>
      <c r="AR756" s="8" t="str">
        <f ca="1">IFERROR(__xludf.DUMMYFUNCTION("""COMPUTED_VALUE"""),"Outside/Off-Property")</f>
        <v>Outside/Off-Property</v>
      </c>
      <c r="AS756" s="8">
        <f ca="1">IFERROR(__xludf.DUMMYFUNCTION("""COMPUTED_VALUE"""),99)</f>
        <v>99</v>
      </c>
      <c r="AT756" s="8" t="str">
        <f ca="1">IFERROR(__xludf.DUMMYFUNCTION("""COMPUTED_VALUE"""),"Yes")</f>
        <v>Yes</v>
      </c>
      <c r="AU756" s="8">
        <f ca="1">IFERROR(__xludf.DUMMYFUNCTION("""COMPUTED_VALUE"""),39.1142)</f>
        <v>39.114199999999997</v>
      </c>
      <c r="AV756" s="8">
        <f ca="1">IFERROR(__xludf.DUMMYFUNCTION("""COMPUTED_VALUE"""),-84.512559)</f>
        <v>-84.512558999999996</v>
      </c>
      <c r="AW756" s="8"/>
      <c r="AX756" s="8">
        <f ca="1">IFERROR(__xludf.DUMMYFUNCTION("""COMPUTED_VALUE"""),45210)</f>
        <v>45210</v>
      </c>
    </row>
    <row r="757" spans="1:50" ht="90" x14ac:dyDescent="0.2">
      <c r="A757" s="8" t="str">
        <f ca="1">IFERROR(__xludf.DUMMYFUNCTION("""COMPUTED_VALUE"""),"20230404TXCHH")</f>
        <v>20230404TXCHH</v>
      </c>
      <c r="B757" s="8">
        <f ca="1">IFERROR(__xludf.DUMMYFUNCTION("""COMPUTED_VALUE"""),4)</f>
        <v>4</v>
      </c>
      <c r="C757" s="8">
        <f ca="1">IFERROR(__xludf.DUMMYFUNCTION("""COMPUTED_VALUE"""),4)</f>
        <v>4</v>
      </c>
      <c r="D757" s="8">
        <f ca="1">IFERROR(__xludf.DUMMYFUNCTION("""COMPUTED_VALUE"""),2023)</f>
        <v>2023</v>
      </c>
      <c r="E757" s="9">
        <f ca="1">IFERROR(__xludf.DUMMYFUNCTION("""COMPUTED_VALUE"""),45020)</f>
        <v>45020</v>
      </c>
      <c r="F757" s="8" t="str">
        <f ca="1">IFERROR(__xludf.DUMMYFUNCTION("""COMPUTED_VALUE"""),"Chavez High School")</f>
        <v>Chavez High School</v>
      </c>
      <c r="G757" s="8">
        <f ca="1">IFERROR(__xludf.DUMMYFUNCTION("""COMPUTED_VALUE"""),0)</f>
        <v>0</v>
      </c>
      <c r="H757" s="8">
        <f ca="1">IFERROR(__xludf.DUMMYFUNCTION("""COMPUTED_VALUE"""),0)</f>
        <v>0</v>
      </c>
      <c r="I757" s="8">
        <f ca="1">IFERROR(__xludf.DUMMYFUNCTION("""COMPUTED_VALUE"""),0)</f>
        <v>0</v>
      </c>
      <c r="J757" s="8">
        <f ca="1">IFERROR(__xludf.DUMMYFUNCTION("""COMPUTED_VALUE"""),0)</f>
        <v>0</v>
      </c>
      <c r="K757" s="10" t="str">
        <f ca="1">IFERROR(__xludf.DUMMYFUNCTION("""COMPUTED_VALUE"""),"https://www.houstonpublicmedia.org/articles/news/education-news/hisd/2023/04/07/448642/bond-raised-to-1-million-for-chavez-high-school-student-accused-of-flashing-3d-printed-gun-at-houston-isd-campus/
https://www.houstonchronicle.com/news/houston-texas/cr"&amp;"ime/article/houston-chavez-high-school-3d-printed-gun-18086071.php")</f>
        <v>https://www.houstonpublicmedia.org/articles/news/education-news/hisd/2023/04/07/448642/bond-raised-to-1-million-for-chavez-high-school-student-accused-of-flashing-3d-printed-gun-at-houston-isd-campus/
https://www.houstonchronicle.com/news/houston-texas/crime/article/houston-chavez-high-school-3d-printed-gun-18086071.php</v>
      </c>
      <c r="L757" s="8">
        <f ca="1">IFERROR(__xludf.DUMMYFUNCTION("""COMPUTED_VALUE"""),5)</f>
        <v>5</v>
      </c>
      <c r="M757" s="8" t="str">
        <f ca="1">IFERROR(__xludf.DUMMYFUNCTION("""COMPUTED_VALUE"""),"Local")</f>
        <v>Local</v>
      </c>
      <c r="N757" s="8">
        <f ca="1">IFERROR(__xludf.DUMMYFUNCTION("""COMPUTED_VALUE"""),4)</f>
        <v>4</v>
      </c>
      <c r="O757" s="8" t="str">
        <f ca="1">IFERROR(__xludf.DUMMYFUNCTION("""COMPUTED_VALUE"""),"Spring")</f>
        <v>Spring</v>
      </c>
      <c r="P757" s="8" t="str">
        <f ca="1">IFERROR(__xludf.DUMMYFUNCTION("""COMPUTED_VALUE"""),"Houston")</f>
        <v>Houston</v>
      </c>
      <c r="Q757" s="8" t="str">
        <f ca="1">IFERROR(__xludf.DUMMYFUNCTION("""COMPUTED_VALUE"""),"TX")</f>
        <v>TX</v>
      </c>
      <c r="R757" s="8" t="str">
        <f ca="1">IFERROR(__xludf.DUMMYFUNCTION("""COMPUTED_VALUE"""),"High")</f>
        <v>High</v>
      </c>
      <c r="S757" s="8" t="str">
        <f ca="1">IFERROR(__xludf.DUMMYFUNCTION("""COMPUTED_VALUE"""),"Office")</f>
        <v>Office</v>
      </c>
      <c r="T757" s="8" t="str">
        <f ca="1">IFERROR(__xludf.DUMMYFUNCTION("""COMPUTED_VALUE"""),"Inside School Building")</f>
        <v>Inside School Building</v>
      </c>
      <c r="U757" s="8" t="str">
        <f ca="1">IFERROR(__xludf.DUMMYFUNCTION("""COMPUTED_VALUE"""),"Yes")</f>
        <v>Yes</v>
      </c>
      <c r="V757" s="8" t="str">
        <f ca="1">IFERROR(__xludf.DUMMYFUNCTION("""COMPUTED_VALUE"""),"Morning Classes")</f>
        <v>Morning Classes</v>
      </c>
      <c r="W757" s="11">
        <f ca="1">IFERROR(__xludf.DUMMYFUNCTION("""COMPUTED_VALUE"""),0.416666666666666)</f>
        <v>0.41666666666666602</v>
      </c>
      <c r="X757" s="8">
        <f ca="1">IFERROR(__xludf.DUMMYFUNCTION("""COMPUTED_VALUE"""),1)</f>
        <v>1</v>
      </c>
      <c r="Y757" s="12" t="str">
        <f ca="1">IFERROR(__xludf.DUMMYFUNCTION("""COMPUTED_VALUE"""),"Student having mental crisis showed handgun to staff member and said he wanted to commit suicide")</f>
        <v>Student having mental crisis showed handgun to staff member and said he wanted to commit suicide</v>
      </c>
      <c r="Z757" s="12" t="str">
        <f ca="1">IFERROR(__xludf.DUMMYFUNCTION("""COMPUTED_VALUE"""),"A Houston high school student is being held in jail on a $1 million bond and was ordered to undergo a mental health evaluation after allegedly bringing a 3D-printed gun to campus and threatening to kill himself.")</f>
        <v>A Houston high school student is being held in jail on a $1 million bond and was ordered to undergo a mental health evaluation after allegedly bringing a 3D-printed gun to campus and threatening to kill himself.</v>
      </c>
      <c r="AA757" s="8" t="str">
        <f ca="1">IFERROR(__xludf.DUMMYFUNCTION("""COMPUTED_VALUE"""),"Suicide/Attempted")</f>
        <v>Suicide/Attempted</v>
      </c>
      <c r="AB757" s="8"/>
      <c r="AC757" s="8" t="str">
        <f ca="1">IFERROR(__xludf.DUMMYFUNCTION("""COMPUTED_VALUE"""),"Yes")</f>
        <v>Yes</v>
      </c>
      <c r="AD757" s="8" t="str">
        <f ca="1">IFERROR(__xludf.DUMMYFUNCTION("""COMPUTED_VALUE"""),"Victims Targeted")</f>
        <v>Victims Targeted</v>
      </c>
      <c r="AE757" s="8" t="str">
        <f ca="1">IFERROR(__xludf.DUMMYFUNCTION("""COMPUTED_VALUE"""),"No")</f>
        <v>No</v>
      </c>
      <c r="AF757" s="8"/>
      <c r="AG757" s="8" t="str">
        <f ca="1">IFERROR(__xludf.DUMMYFUNCTION("""COMPUTED_VALUE"""),"No")</f>
        <v>No</v>
      </c>
      <c r="AH757" s="8" t="str">
        <f ca="1">IFERROR(__xludf.DUMMYFUNCTION("""COMPUTED_VALUE"""),"No")</f>
        <v>No</v>
      </c>
      <c r="AI757" s="8" t="str">
        <f ca="1">IFERROR(__xludf.DUMMYFUNCTION("""COMPUTED_VALUE"""),"No")</f>
        <v>No</v>
      </c>
      <c r="AJ757" s="8"/>
      <c r="AK757" s="8" t="str">
        <f ca="1">IFERROR(__xludf.DUMMYFUNCTION("""COMPUTED_VALUE"""),"No")</f>
        <v>No</v>
      </c>
      <c r="AL757" s="8" t="str">
        <f ca="1">IFERROR(__xludf.DUMMYFUNCTION("""COMPUTED_VALUE"""),"No")</f>
        <v>No</v>
      </c>
      <c r="AM757" s="8" t="str">
        <f ca="1">IFERROR(__xludf.DUMMYFUNCTION("""COMPUTED_VALUE"""),"No")</f>
        <v>No</v>
      </c>
      <c r="AN757" s="8" t="str">
        <f ca="1">IFERROR(__xludf.DUMMYFUNCTION("""COMPUTED_VALUE"""),"Single Room")</f>
        <v>Single Room</v>
      </c>
      <c r="AO757" s="8"/>
      <c r="AP757" s="8"/>
      <c r="AQ757" s="8"/>
      <c r="AR757" s="8" t="str">
        <f ca="1">IFERROR(__xludf.DUMMYFUNCTION("""COMPUTED_VALUE"""),"Failed")</f>
        <v>Failed</v>
      </c>
      <c r="AS757" s="8">
        <f ca="1">IFERROR(__xludf.DUMMYFUNCTION("""COMPUTED_VALUE"""),0)</f>
        <v>0</v>
      </c>
      <c r="AT757" s="8" t="str">
        <f ca="1">IFERROR(__xludf.DUMMYFUNCTION("""COMPUTED_VALUE"""),"No")</f>
        <v>No</v>
      </c>
      <c r="AU757" s="8">
        <f ca="1">IFERROR(__xludf.DUMMYFUNCTION("""COMPUTED_VALUE"""),29.685557)</f>
        <v>29.685556999999999</v>
      </c>
      <c r="AV757" s="8">
        <f ca="1">IFERROR(__xludf.DUMMYFUNCTION("""COMPUTED_VALUE"""),-95.255138)</f>
        <v>-95.255138000000002</v>
      </c>
      <c r="AW757" s="8"/>
      <c r="AX757" s="8">
        <f ca="1">IFERROR(__xludf.DUMMYFUNCTION("""COMPUTED_VALUE"""),77017)</f>
        <v>77017</v>
      </c>
    </row>
    <row r="758" spans="1:50" ht="165" x14ac:dyDescent="0.2">
      <c r="A758" s="8" t="str">
        <f ca="1">IFERROR(__xludf.DUMMYFUNCTION("""COMPUTED_VALUE"""),"20230404OHWOC")</f>
        <v>20230404OHWOC</v>
      </c>
      <c r="B758" s="8">
        <f ca="1">IFERROR(__xludf.DUMMYFUNCTION("""COMPUTED_VALUE"""),4)</f>
        <v>4</v>
      </c>
      <c r="C758" s="8">
        <f ca="1">IFERROR(__xludf.DUMMYFUNCTION("""COMPUTED_VALUE"""),4)</f>
        <v>4</v>
      </c>
      <c r="D758" s="8">
        <f ca="1">IFERROR(__xludf.DUMMYFUNCTION("""COMPUTED_VALUE"""),2023)</f>
        <v>2023</v>
      </c>
      <c r="E758" s="9">
        <f ca="1">IFERROR(__xludf.DUMMYFUNCTION("""COMPUTED_VALUE"""),45020)</f>
        <v>45020</v>
      </c>
      <c r="F758" s="8" t="str">
        <f ca="1">IFERROR(__xludf.DUMMYFUNCTION("""COMPUTED_VALUE"""),"Woodward Career Technical School")</f>
        <v>Woodward Career Technical School</v>
      </c>
      <c r="G758" s="8">
        <f ca="1">IFERROR(__xludf.DUMMYFUNCTION("""COMPUTED_VALUE"""),0)</f>
        <v>0</v>
      </c>
      <c r="H758" s="8">
        <f ca="1">IFERROR(__xludf.DUMMYFUNCTION("""COMPUTED_VALUE"""),2)</f>
        <v>2</v>
      </c>
      <c r="I758" s="8">
        <f ca="1">IFERROR(__xludf.DUMMYFUNCTION("""COMPUTED_VALUE"""),2)</f>
        <v>2</v>
      </c>
      <c r="J758" s="8">
        <f ca="1">IFERROR(__xludf.DUMMYFUNCTION("""COMPUTED_VALUE"""),0)</f>
        <v>0</v>
      </c>
      <c r="K758" s="10" t="str">
        <f ca="1">IFERROR(__xludf.DUMMYFUNCTION("""COMPUTED_VALUE"""),"https://www.wcpo.com/news/local-news/hamilton-county/cincinnati/bond-hill/emergency-community-meeting-called-after-students-shot-outside-woodward-high-school
https://www.fox19.com/2023/04/04/police-2-students-near-woodward-high-school/
https://www.cincinn"&amp;"ati.com/story/news/crime/2023/04/04/two-teens-taken-to-hospital-in-bond-hill-shooting/70082002007/
https://www.wlwt.com/article/cincinnati-juveniles-charged-felonious-assault-after-shooting-near-woodward-high-school/43594486#")</f>
        <v>https://www.wcpo.com/news/local-news/hamilton-county/cincinnati/bond-hill/emergency-community-meeting-called-after-students-shot-outside-woodward-high-school
https://www.fox19.com/2023/04/04/police-2-students-near-woodward-high-school/
https://www.cincinnati.com/story/news/crime/2023/04/04/two-teens-taken-to-hospital-in-bond-hill-shooting/70082002007/
https://www.wlwt.com/article/cincinnati-juveniles-charged-felonious-assault-after-shooting-near-woodward-high-school/43594486#</v>
      </c>
      <c r="L758" s="8">
        <f ca="1">IFERROR(__xludf.DUMMYFUNCTION("""COMPUTED_VALUE"""),5)</f>
        <v>5</v>
      </c>
      <c r="M758" s="8" t="str">
        <f ca="1">IFERROR(__xludf.DUMMYFUNCTION("""COMPUTED_VALUE"""),"Local")</f>
        <v>Local</v>
      </c>
      <c r="N758" s="8">
        <f ca="1">IFERROR(__xludf.DUMMYFUNCTION("""COMPUTED_VALUE"""),4)</f>
        <v>4</v>
      </c>
      <c r="O758" s="8" t="str">
        <f ca="1">IFERROR(__xludf.DUMMYFUNCTION("""COMPUTED_VALUE"""),"Spring")</f>
        <v>Spring</v>
      </c>
      <c r="P758" s="8" t="str">
        <f ca="1">IFERROR(__xludf.DUMMYFUNCTION("""COMPUTED_VALUE"""),"Cincinnati")</f>
        <v>Cincinnati</v>
      </c>
      <c r="Q758" s="8" t="str">
        <f ca="1">IFERROR(__xludf.DUMMYFUNCTION("""COMPUTED_VALUE"""),"OH")</f>
        <v>OH</v>
      </c>
      <c r="R758" s="8" t="str">
        <f ca="1">IFERROR(__xludf.DUMMYFUNCTION("""COMPUTED_VALUE"""),"High")</f>
        <v>High</v>
      </c>
      <c r="S758" s="8" t="str">
        <f ca="1">IFERROR(__xludf.DUMMYFUNCTION("""COMPUTED_VALUE"""),"Front of School")</f>
        <v>Front of School</v>
      </c>
      <c r="T758" s="8" t="str">
        <f ca="1">IFERROR(__xludf.DUMMYFUNCTION("""COMPUTED_VALUE"""),"Outside on School Property")</f>
        <v>Outside on School Property</v>
      </c>
      <c r="U758" s="8" t="str">
        <f ca="1">IFERROR(__xludf.DUMMYFUNCTION("""COMPUTED_VALUE"""),"Yes")</f>
        <v>Yes</v>
      </c>
      <c r="V758" s="8" t="str">
        <f ca="1">IFERROR(__xludf.DUMMYFUNCTION("""COMPUTED_VALUE"""),"Dismissal")</f>
        <v>Dismissal</v>
      </c>
      <c r="W758" s="11">
        <f ca="1">IFERROR(__xludf.DUMMYFUNCTION("""COMPUTED_VALUE"""),0.666666666666666)</f>
        <v>0.66666666666666596</v>
      </c>
      <c r="X758" s="8">
        <f ca="1">IFERROR(__xludf.DUMMYFUNCTION("""COMPUTED_VALUE"""),1)</f>
        <v>1</v>
      </c>
      <c r="Y758" s="12" t="str">
        <f ca="1">IFERROR(__xludf.DUMMYFUNCTION("""COMPUTED_VALUE"""),"Two students shot in drive-by waiting for bus in front of school at dismissal")</f>
        <v>Two students shot in drive-by waiting for bus in front of school at dismissal</v>
      </c>
      <c r="Z758" s="12" t="str">
        <f ca="1">IFERROR(__xludf.DUMMYFUNCTION("""COMPUTED_VALUE"""),"School district: “This afternoon, two Woodward Career Technical High School students were shot at a bus stop near the school by what appears to be a drive-by shooter shortly after dismissal. CPS’ security team immediately responded to safely move students"&amp;" back into the school building. EMS responded and transported the students to the hospital. CPS will support CPD in its investigation. All after-school activities have been canceled. As a precaution, there will be additional security and counselors at Woo"&amp;"dward Wednesday, April 5, 2023 to provide continued support for families.”")</f>
        <v>School district: “This afternoon, two Woodward Career Technical High School students were shot at a bus stop near the school by what appears to be a drive-by shooter shortly after dismissal. CPS’ security team immediately responded to safely move students back into the school building. EMS responded and transported the students to the hospital. CPS will support CPD in its investigation. All after-school activities have been canceled. As a precaution, there will be additional security and counselors at Woodward Wednesday, April 5, 2023 to provide continued support for families.”</v>
      </c>
      <c r="AA758" s="8" t="str">
        <f ca="1">IFERROR(__xludf.DUMMYFUNCTION("""COMPUTED_VALUE"""),"Drive-by Shooting")</f>
        <v>Drive-by Shooting</v>
      </c>
      <c r="AB758" s="8"/>
      <c r="AC758" s="8" t="str">
        <f ca="1">IFERROR(__xludf.DUMMYFUNCTION("""COMPUTED_VALUE"""),"Yes")</f>
        <v>Yes</v>
      </c>
      <c r="AD758" s="8" t="str">
        <f ca="1">IFERROR(__xludf.DUMMYFUNCTION("""COMPUTED_VALUE"""),"Victims Targeted")</f>
        <v>Victims Targeted</v>
      </c>
      <c r="AE758" s="8"/>
      <c r="AF758" s="8"/>
      <c r="AG758" s="8" t="str">
        <f ca="1">IFERROR(__xludf.DUMMYFUNCTION("""COMPUTED_VALUE"""),"No")</f>
        <v>No</v>
      </c>
      <c r="AH758" s="8" t="str">
        <f ca="1">IFERROR(__xludf.DUMMYFUNCTION("""COMPUTED_VALUE"""),"No")</f>
        <v>No</v>
      </c>
      <c r="AI758" s="8" t="str">
        <f ca="1">IFERROR(__xludf.DUMMYFUNCTION("""COMPUTED_VALUE"""),"No")</f>
        <v>No</v>
      </c>
      <c r="AJ758" s="8" t="str">
        <f ca="1">IFERROR(__xludf.DUMMYFUNCTION("""COMPUTED_VALUE"""),"No")</f>
        <v>No</v>
      </c>
      <c r="AK758" s="8" t="str">
        <f ca="1">IFERROR(__xludf.DUMMYFUNCTION("""COMPUTED_VALUE"""),"No")</f>
        <v>No</v>
      </c>
      <c r="AL758" s="8"/>
      <c r="AM758" s="8" t="str">
        <f ca="1">IFERROR(__xludf.DUMMYFUNCTION("""COMPUTED_VALUE"""),"No")</f>
        <v>No</v>
      </c>
      <c r="AN758" s="8" t="str">
        <f ca="1">IFERROR(__xludf.DUMMYFUNCTION("""COMPUTED_VALUE"""),"Outside")</f>
        <v>Outside</v>
      </c>
      <c r="AO758" s="8"/>
      <c r="AP758" s="8"/>
      <c r="AQ758" s="8"/>
      <c r="AR758" s="8" t="str">
        <f ca="1">IFERROR(__xludf.DUMMYFUNCTION("""COMPUTED_VALUE"""),"Outside/Off-Property")</f>
        <v>Outside/Off-Property</v>
      </c>
      <c r="AS758" s="8">
        <f ca="1">IFERROR(__xludf.DUMMYFUNCTION("""COMPUTED_VALUE"""),99)</f>
        <v>99</v>
      </c>
      <c r="AT758" s="8"/>
      <c r="AU758" s="8">
        <f ca="1">IFERROR(__xludf.DUMMYFUNCTION("""COMPUTED_VALUE"""),39.189155)</f>
        <v>39.189155</v>
      </c>
      <c r="AV758" s="8">
        <f ca="1">IFERROR(__xludf.DUMMYFUNCTION("""COMPUTED_VALUE"""),-84.4645)</f>
        <v>-84.464500000000001</v>
      </c>
      <c r="AW758" s="8"/>
      <c r="AX758" s="8">
        <f ca="1">IFERROR(__xludf.DUMMYFUNCTION("""COMPUTED_VALUE"""),45241)</f>
        <v>45241</v>
      </c>
    </row>
    <row r="759" spans="1:50" ht="30" x14ac:dyDescent="0.2">
      <c r="A759" s="8" t="str">
        <f ca="1">IFERROR(__xludf.DUMMYFUNCTION("""COMPUTED_VALUE"""),"20230403PAFAP")</f>
        <v>20230403PAFAP</v>
      </c>
      <c r="B759" s="8">
        <f ca="1">IFERROR(__xludf.DUMMYFUNCTION("""COMPUTED_VALUE"""),4)</f>
        <v>4</v>
      </c>
      <c r="C759" s="8">
        <f ca="1">IFERROR(__xludf.DUMMYFUNCTION("""COMPUTED_VALUE"""),3)</f>
        <v>3</v>
      </c>
      <c r="D759" s="8">
        <f ca="1">IFERROR(__xludf.DUMMYFUNCTION("""COMPUTED_VALUE"""),2023)</f>
        <v>2023</v>
      </c>
      <c r="E759" s="9">
        <f ca="1">IFERROR(__xludf.DUMMYFUNCTION("""COMPUTED_VALUE"""),45019)</f>
        <v>45019</v>
      </c>
      <c r="F759" s="8" t="str">
        <f ca="1">IFERROR(__xludf.DUMMYFUNCTION("""COMPUTED_VALUE"""),"Father Judge High School")</f>
        <v>Father Judge High School</v>
      </c>
      <c r="G759" s="8">
        <f ca="1">IFERROR(__xludf.DUMMYFUNCTION("""COMPUTED_VALUE"""),0)</f>
        <v>0</v>
      </c>
      <c r="H759" s="8">
        <f ca="1">IFERROR(__xludf.DUMMYFUNCTION("""COMPUTED_VALUE"""),2)</f>
        <v>2</v>
      </c>
      <c r="I759" s="8">
        <f ca="1">IFERROR(__xludf.DUMMYFUNCTION("""COMPUTED_VALUE"""),2)</f>
        <v>2</v>
      </c>
      <c r="J759" s="8">
        <f ca="1">IFERROR(__xludf.DUMMYFUNCTION("""COMPUTED_VALUE"""),0)</f>
        <v>0</v>
      </c>
      <c r="K759" s="10" t="str">
        <f ca="1">IFERROR(__xludf.DUMMYFUNCTION("""COMPUTED_VALUE"""),"https://www.cbsnews.com/philadelphia/news/northeast-philadelphia-holmesburg-father-judge-high-school-shooting/
https://6abc.com/philadelphia-shooting-2-teens-shot-father-judge-high-school-shots-fired/13082808/")</f>
        <v>https://www.cbsnews.com/philadelphia/news/northeast-philadelphia-holmesburg-father-judge-high-school-shooting/
https://6abc.com/philadelphia-shooting-2-teens-shot-father-judge-high-school-shots-fired/13082808/</v>
      </c>
      <c r="L759" s="8">
        <f ca="1">IFERROR(__xludf.DUMMYFUNCTION("""COMPUTED_VALUE"""),2)</f>
        <v>2</v>
      </c>
      <c r="M759" s="8" t="str">
        <f ca="1">IFERROR(__xludf.DUMMYFUNCTION("""COMPUTED_VALUE"""),"Local")</f>
        <v>Local</v>
      </c>
      <c r="N759" s="8">
        <f ca="1">IFERROR(__xludf.DUMMYFUNCTION("""COMPUTED_VALUE"""),4)</f>
        <v>4</v>
      </c>
      <c r="O759" s="8" t="str">
        <f ca="1">IFERROR(__xludf.DUMMYFUNCTION("""COMPUTED_VALUE"""),"Spring")</f>
        <v>Spring</v>
      </c>
      <c r="P759" s="8" t="str">
        <f ca="1">IFERROR(__xludf.DUMMYFUNCTION("""COMPUTED_VALUE"""),"Philadelphia")</f>
        <v>Philadelphia</v>
      </c>
      <c r="Q759" s="8" t="str">
        <f ca="1">IFERROR(__xludf.DUMMYFUNCTION("""COMPUTED_VALUE"""),"PA")</f>
        <v>PA</v>
      </c>
      <c r="R759" s="8" t="str">
        <f ca="1">IFERROR(__xludf.DUMMYFUNCTION("""COMPUTED_VALUE"""),"High")</f>
        <v>High</v>
      </c>
      <c r="S759" s="8" t="str">
        <f ca="1">IFERROR(__xludf.DUMMYFUNCTION("""COMPUTED_VALUE"""),"Front of School")</f>
        <v>Front of School</v>
      </c>
      <c r="T759" s="8" t="str">
        <f ca="1">IFERROR(__xludf.DUMMYFUNCTION("""COMPUTED_VALUE"""),"Outside on School Property")</f>
        <v>Outside on School Property</v>
      </c>
      <c r="U759" s="8" t="str">
        <f ca="1">IFERROR(__xludf.DUMMYFUNCTION("""COMPUTED_VALUE"""),"No")</f>
        <v>No</v>
      </c>
      <c r="V759" s="8" t="str">
        <f ca="1">IFERROR(__xludf.DUMMYFUNCTION("""COMPUTED_VALUE"""),"Night")</f>
        <v>Night</v>
      </c>
      <c r="W759" s="11">
        <f ca="1">IFERROR(__xludf.DUMMYFUNCTION("""COMPUTED_VALUE"""),0.875)</f>
        <v>0.875</v>
      </c>
      <c r="X759" s="8">
        <f ca="1">IFERROR(__xludf.DUMMYFUNCTION("""COMPUTED_VALUE"""),1)</f>
        <v>1</v>
      </c>
      <c r="Y759" s="12" t="str">
        <f ca="1">IFERROR(__xludf.DUMMYFUNCTION("""COMPUTED_VALUE"""),"Two teens shot in front of school")</f>
        <v>Two teens shot in front of school</v>
      </c>
      <c r="Z759" s="12" t="str">
        <f ca="1">IFERROR(__xludf.DUMMYFUNCTION("""COMPUTED_VALUE"""),"Two teens shot in front of school. Shooter fled. School had extra police the following school day.")</f>
        <v>Two teens shot in front of school. Shooter fled. School had extra police the following school day.</v>
      </c>
      <c r="AA759" s="8"/>
      <c r="AB759" s="8"/>
      <c r="AC759" s="8" t="str">
        <f ca="1">IFERROR(__xludf.DUMMYFUNCTION("""COMPUTED_VALUE"""),"No")</f>
        <v>No</v>
      </c>
      <c r="AD759" s="8" t="str">
        <f ca="1">IFERROR(__xludf.DUMMYFUNCTION("""COMPUTED_VALUE"""),"Victims Targeted")</f>
        <v>Victims Targeted</v>
      </c>
      <c r="AE759" s="8" t="str">
        <f ca="1">IFERROR(__xludf.DUMMYFUNCTION("""COMPUTED_VALUE"""),"No")</f>
        <v>No</v>
      </c>
      <c r="AF759" s="8"/>
      <c r="AG759" s="8" t="str">
        <f ca="1">IFERROR(__xludf.DUMMYFUNCTION("""COMPUTED_VALUE"""),"No")</f>
        <v>No</v>
      </c>
      <c r="AH759" s="8" t="str">
        <f ca="1">IFERROR(__xludf.DUMMYFUNCTION("""COMPUTED_VALUE"""),"No")</f>
        <v>No</v>
      </c>
      <c r="AI759" s="8" t="str">
        <f ca="1">IFERROR(__xludf.DUMMYFUNCTION("""COMPUTED_VALUE"""),"No")</f>
        <v>No</v>
      </c>
      <c r="AJ759" s="8" t="str">
        <f ca="1">IFERROR(__xludf.DUMMYFUNCTION("""COMPUTED_VALUE"""),"No")</f>
        <v>No</v>
      </c>
      <c r="AK759" s="8" t="str">
        <f ca="1">IFERROR(__xludf.DUMMYFUNCTION("""COMPUTED_VALUE"""),"No")</f>
        <v>No</v>
      </c>
      <c r="AL759" s="8"/>
      <c r="AM759" s="8" t="str">
        <f ca="1">IFERROR(__xludf.DUMMYFUNCTION("""COMPUTED_VALUE"""),"No")</f>
        <v>No</v>
      </c>
      <c r="AN759" s="8" t="str">
        <f ca="1">IFERROR(__xludf.DUMMYFUNCTION("""COMPUTED_VALUE"""),"Outside")</f>
        <v>Outside</v>
      </c>
      <c r="AO759" s="8"/>
      <c r="AP759" s="8"/>
      <c r="AQ759" s="8"/>
      <c r="AR759" s="8" t="str">
        <f ca="1">IFERROR(__xludf.DUMMYFUNCTION("""COMPUTED_VALUE"""),"Outside/Off-Property")</f>
        <v>Outside/Off-Property</v>
      </c>
      <c r="AS759" s="8">
        <f ca="1">IFERROR(__xludf.DUMMYFUNCTION("""COMPUTED_VALUE"""),6)</f>
        <v>6</v>
      </c>
      <c r="AT759" s="8"/>
      <c r="AU759" s="8">
        <f ca="1">IFERROR(__xludf.DUMMYFUNCTION("""COMPUTED_VALUE"""),40.048093)</f>
        <v>40.048093000000001</v>
      </c>
      <c r="AV759" s="8">
        <f ca="1">IFERROR(__xludf.DUMMYFUNCTION("""COMPUTED_VALUE"""),-75.023874)</f>
        <v>-75.023874000000006</v>
      </c>
      <c r="AW759" s="8"/>
      <c r="AX759" s="8" t="str">
        <f ca="1">IFERROR(__xludf.DUMMYFUNCTION("""COMPUTED_VALUE"""),"19136-2301")</f>
        <v>19136-2301</v>
      </c>
    </row>
    <row r="760" spans="1:50" ht="90" x14ac:dyDescent="0.2">
      <c r="A760" s="8" t="str">
        <f ca="1">IFERROR(__xludf.DUMMYFUNCTION("""COMPUTED_VALUE"""),"20230331NCLIR")</f>
        <v>20230331NCLIR</v>
      </c>
      <c r="B760" s="8">
        <f ca="1">IFERROR(__xludf.DUMMYFUNCTION("""COMPUTED_VALUE"""),3)</f>
        <v>3</v>
      </c>
      <c r="C760" s="8">
        <f ca="1">IFERROR(__xludf.DUMMYFUNCTION("""COMPUTED_VALUE"""),27)</f>
        <v>27</v>
      </c>
      <c r="D760" s="8">
        <f ca="1">IFERROR(__xludf.DUMMYFUNCTION("""COMPUTED_VALUE"""),2023)</f>
        <v>2023</v>
      </c>
      <c r="E760" s="9">
        <f ca="1">IFERROR(__xludf.DUMMYFUNCTION("""COMPUTED_VALUE"""),45012)</f>
        <v>45012</v>
      </c>
      <c r="F760" s="8" t="str">
        <f ca="1">IFERROR(__xludf.DUMMYFUNCTION("""COMPUTED_VALUE"""),"Ligon Magnet Middle School")</f>
        <v>Ligon Magnet Middle School</v>
      </c>
      <c r="G760" s="8">
        <f ca="1">IFERROR(__xludf.DUMMYFUNCTION("""COMPUTED_VALUE"""),0)</f>
        <v>0</v>
      </c>
      <c r="H760" s="8">
        <f ca="1">IFERROR(__xludf.DUMMYFUNCTION("""COMPUTED_VALUE"""),0)</f>
        <v>0</v>
      </c>
      <c r="I760" s="8">
        <f ca="1">IFERROR(__xludf.DUMMYFUNCTION("""COMPUTED_VALUE"""),0)</f>
        <v>0</v>
      </c>
      <c r="J760" s="8">
        <f ca="1">IFERROR(__xludf.DUMMYFUNCTION("""COMPUTED_VALUE"""),1)</f>
        <v>1</v>
      </c>
      <c r="K760" s="8" t="str">
        <f ca="1">IFERROR(__xludf.DUMMYFUNCTION("""COMPUTED_VALUE"""),"https://www.wral.com/teacher-school-employee-neighbors-describe-fear-as-shots-were-fired-outside-raleigh-middle-school-monday/20786952/
https://abc11.com/crime-raleigh-officers-kill-suspect-ligon-middle-school-man-shooting-at-cars-nc/13077015/")</f>
        <v>https://www.wral.com/teacher-school-employee-neighbors-describe-fear-as-shots-were-fired-outside-raleigh-middle-school-monday/20786952/
https://abc11.com/crime-raleigh-officers-kill-suspect-ligon-middle-school-man-shooting-at-cars-nc/13077015/</v>
      </c>
      <c r="L760" s="8">
        <f ca="1">IFERROR(__xludf.DUMMYFUNCTION("""COMPUTED_VALUE"""),10)</f>
        <v>10</v>
      </c>
      <c r="M760" s="8" t="str">
        <f ca="1">IFERROR(__xludf.DUMMYFUNCTION("""COMPUTED_VALUE"""),"Regional")</f>
        <v>Regional</v>
      </c>
      <c r="N760" s="8">
        <f ca="1">IFERROR(__xludf.DUMMYFUNCTION("""COMPUTED_VALUE"""),4)</f>
        <v>4</v>
      </c>
      <c r="O760" s="8" t="str">
        <f ca="1">IFERROR(__xludf.DUMMYFUNCTION("""COMPUTED_VALUE"""),"Spring")</f>
        <v>Spring</v>
      </c>
      <c r="P760" s="8" t="str">
        <f ca="1">IFERROR(__xludf.DUMMYFUNCTION("""COMPUTED_VALUE"""),"Raleigh")</f>
        <v>Raleigh</v>
      </c>
      <c r="Q760" s="8" t="str">
        <f ca="1">IFERROR(__xludf.DUMMYFUNCTION("""COMPUTED_VALUE"""),"NC")</f>
        <v>NC</v>
      </c>
      <c r="R760" s="8" t="str">
        <f ca="1">IFERROR(__xludf.DUMMYFUNCTION("""COMPUTED_VALUE"""),"Middle")</f>
        <v>Middle</v>
      </c>
      <c r="S760" s="8" t="str">
        <f ca="1">IFERROR(__xludf.DUMMYFUNCTION("""COMPUTED_VALUE"""),"Parking Lot")</f>
        <v>Parking Lot</v>
      </c>
      <c r="T760" s="8" t="str">
        <f ca="1">IFERROR(__xludf.DUMMYFUNCTION("""COMPUTED_VALUE"""),"Outside on School Property")</f>
        <v>Outside on School Property</v>
      </c>
      <c r="U760" s="8" t="str">
        <f ca="1">IFERROR(__xludf.DUMMYFUNCTION("""COMPUTED_VALUE"""),"Yes")</f>
        <v>Yes</v>
      </c>
      <c r="V760" s="8" t="str">
        <f ca="1">IFERROR(__xludf.DUMMYFUNCTION("""COMPUTED_VALUE"""),"School Start")</f>
        <v>School Start</v>
      </c>
      <c r="W760" s="11">
        <f ca="1">IFERROR(__xludf.DUMMYFUNCTION("""COMPUTED_VALUE"""),0.286805555555555)</f>
        <v>0.28680555555555498</v>
      </c>
      <c r="X760" s="8">
        <f ca="1">IFERROR(__xludf.DUMMYFUNCTION("""COMPUTED_VALUE"""),1)</f>
        <v>1</v>
      </c>
      <c r="Y760" s="12" t="str">
        <f ca="1">IFERROR(__xludf.DUMMYFUNCTION("""COMPUTED_VALUE"""),"Man fired shots at teachers cars and police cars, killed by police 3 blocks from school")</f>
        <v>Man fired shots at teachers cars and police cars, killed by police 3 blocks from school</v>
      </c>
      <c r="Z760" s="12" t="str">
        <f ca="1">IFERROR(__xludf.DUMMYFUNCTION("""COMPUTED_VALUE"""),"Man was walking down the street with a firearm shooting at cars. Fired at teachers in their cars arriving at middle school near the drop off area. School was placed on lockdown while students continued to arrive. Man fired a two police cars and was killed"&amp;" 3 blocks from the school in a residental area.")</f>
        <v>Man was walking down the street with a firearm shooting at cars. Fired at teachers in their cars arriving at middle school near the drop off area. School was placed on lockdown while students continued to arrive. Man fired a two police cars and was killed 3 blocks from the school in a residental area.</v>
      </c>
      <c r="AA760" s="8" t="str">
        <f ca="1">IFERROR(__xludf.DUMMYFUNCTION("""COMPUTED_VALUE"""),"Indiscriminate Shooting")</f>
        <v>Indiscriminate Shooting</v>
      </c>
      <c r="AB760" s="8"/>
      <c r="AC760" s="8" t="str">
        <f ca="1">IFERROR(__xludf.DUMMYFUNCTION("""COMPUTED_VALUE"""),"Yes")</f>
        <v>Yes</v>
      </c>
      <c r="AD760" s="8" t="str">
        <f ca="1">IFERROR(__xludf.DUMMYFUNCTION("""COMPUTED_VALUE"""),"Random Shooting")</f>
        <v>Random Shooting</v>
      </c>
      <c r="AE760" s="8" t="str">
        <f ca="1">IFERROR(__xludf.DUMMYFUNCTION("""COMPUTED_VALUE"""),"No")</f>
        <v>No</v>
      </c>
      <c r="AF760" s="8"/>
      <c r="AG760" s="8" t="str">
        <f ca="1">IFERROR(__xludf.DUMMYFUNCTION("""COMPUTED_VALUE"""),"No")</f>
        <v>No</v>
      </c>
      <c r="AH760" s="8" t="str">
        <f ca="1">IFERROR(__xludf.DUMMYFUNCTION("""COMPUTED_VALUE"""),"No")</f>
        <v>No</v>
      </c>
      <c r="AI760" s="8" t="str">
        <f ca="1">IFERROR(__xludf.DUMMYFUNCTION("""COMPUTED_VALUE"""),"No")</f>
        <v>No</v>
      </c>
      <c r="AJ760" s="8" t="str">
        <f ca="1">IFERROR(__xludf.DUMMYFUNCTION("""COMPUTED_VALUE"""),"No")</f>
        <v>No</v>
      </c>
      <c r="AK760" s="8" t="str">
        <f ca="1">IFERROR(__xludf.DUMMYFUNCTION("""COMPUTED_VALUE"""),"No")</f>
        <v>No</v>
      </c>
      <c r="AL760" s="8" t="str">
        <f ca="1">IFERROR(__xludf.DUMMYFUNCTION("""COMPUTED_VALUE"""),"No")</f>
        <v>No</v>
      </c>
      <c r="AM760" s="8" t="str">
        <f ca="1">IFERROR(__xludf.DUMMYFUNCTION("""COMPUTED_VALUE"""),"Yes")</f>
        <v>Yes</v>
      </c>
      <c r="AN760" s="8" t="str">
        <f ca="1">IFERROR(__xludf.DUMMYFUNCTION("""COMPUTED_VALUE"""),"Outside")</f>
        <v>Outside</v>
      </c>
      <c r="AO760" s="8"/>
      <c r="AP760" s="8"/>
      <c r="AQ760" s="8"/>
      <c r="AR760" s="8" t="str">
        <f ca="1">IFERROR(__xludf.DUMMYFUNCTION("""COMPUTED_VALUE"""),"Outside/Off-Property")</f>
        <v>Outside/Off-Property</v>
      </c>
      <c r="AS760" s="8">
        <f ca="1">IFERROR(__xludf.DUMMYFUNCTION("""COMPUTED_VALUE"""),99)</f>
        <v>99</v>
      </c>
      <c r="AT760" s="8" t="str">
        <f ca="1">IFERROR(__xludf.DUMMYFUNCTION("""COMPUTED_VALUE"""),"Yes")</f>
        <v>Yes</v>
      </c>
      <c r="AU760" s="8">
        <f ca="1">IFERROR(__xludf.DUMMYFUNCTION("""COMPUTED_VALUE"""),35.772057)</f>
        <v>35.772056999999997</v>
      </c>
      <c r="AV760" s="8">
        <f ca="1">IFERROR(__xludf.DUMMYFUNCTION("""COMPUTED_VALUE"""),-78.627473)</f>
        <v>-78.627472999999995</v>
      </c>
      <c r="AW760" s="8"/>
      <c r="AX760" s="8">
        <f ca="1">IFERROR(__xludf.DUMMYFUNCTION("""COMPUTED_VALUE"""),27601)</f>
        <v>27601</v>
      </c>
    </row>
    <row r="761" spans="1:50" ht="45" x14ac:dyDescent="0.2">
      <c r="A761" s="8" t="str">
        <f ca="1">IFERROR(__xludf.DUMMYFUNCTION("""COMPUTED_VALUE"""),"20230331MSGNJ")</f>
        <v>20230331MSGNJ</v>
      </c>
      <c r="B761" s="8">
        <f ca="1">IFERROR(__xludf.DUMMYFUNCTION("""COMPUTED_VALUE"""),3)</f>
        <v>3</v>
      </c>
      <c r="C761" s="8">
        <f ca="1">IFERROR(__xludf.DUMMYFUNCTION("""COMPUTED_VALUE"""),31)</f>
        <v>31</v>
      </c>
      <c r="D761" s="8">
        <f ca="1">IFERROR(__xludf.DUMMYFUNCTION("""COMPUTED_VALUE"""),2023)</f>
        <v>2023</v>
      </c>
      <c r="E761" s="9">
        <f ca="1">IFERROR(__xludf.DUMMYFUNCTION("""COMPUTED_VALUE"""),45016)</f>
        <v>45016</v>
      </c>
      <c r="F761" s="8" t="str">
        <f ca="1">IFERROR(__xludf.DUMMYFUNCTION("""COMPUTED_VALUE"""),"G.N. Smith Elementary School")</f>
        <v>G.N. Smith Elementary School</v>
      </c>
      <c r="G761" s="8">
        <f ca="1">IFERROR(__xludf.DUMMYFUNCTION("""COMPUTED_VALUE"""),0)</f>
        <v>0</v>
      </c>
      <c r="H761" s="8">
        <f ca="1">IFERROR(__xludf.DUMMYFUNCTION("""COMPUTED_VALUE"""),2)</f>
        <v>2</v>
      </c>
      <c r="I761" s="8">
        <f ca="1">IFERROR(__xludf.DUMMYFUNCTION("""COMPUTED_VALUE"""),2)</f>
        <v>2</v>
      </c>
      <c r="J761" s="8">
        <f ca="1">IFERROR(__xludf.DUMMYFUNCTION("""COMPUTED_VALUE"""),0)</f>
        <v>0</v>
      </c>
      <c r="K761" s="10" t="str">
        <f ca="1">IFERROR(__xludf.DUMMYFUNCTION("""COMPUTED_VALUE"""),"https://www.wlbt.com/2023/03/31/vehicle-riddled-with-bullets-near-elementary-school-jackson/")</f>
        <v>https://www.wlbt.com/2023/03/31/vehicle-riddled-with-bullets-near-elementary-school-jackson/</v>
      </c>
      <c r="L761" s="8">
        <f ca="1">IFERROR(__xludf.DUMMYFUNCTION("""COMPUTED_VALUE"""),1)</f>
        <v>1</v>
      </c>
      <c r="M761" s="8" t="str">
        <f ca="1">IFERROR(__xludf.DUMMYFUNCTION("""COMPUTED_VALUE"""),"Local")</f>
        <v>Local</v>
      </c>
      <c r="N761" s="8">
        <f ca="1">IFERROR(__xludf.DUMMYFUNCTION("""COMPUTED_VALUE"""),3)</f>
        <v>3</v>
      </c>
      <c r="O761" s="8" t="str">
        <f ca="1">IFERROR(__xludf.DUMMYFUNCTION("""COMPUTED_VALUE"""),"Spring")</f>
        <v>Spring</v>
      </c>
      <c r="P761" s="8" t="str">
        <f ca="1">IFERROR(__xludf.DUMMYFUNCTION("""COMPUTED_VALUE"""),"Jackson")</f>
        <v>Jackson</v>
      </c>
      <c r="Q761" s="8" t="str">
        <f ca="1">IFERROR(__xludf.DUMMYFUNCTION("""COMPUTED_VALUE"""),"MS")</f>
        <v>MS</v>
      </c>
      <c r="R761" s="8" t="str">
        <f ca="1">IFERROR(__xludf.DUMMYFUNCTION("""COMPUTED_VALUE"""),"Elementary")</f>
        <v>Elementary</v>
      </c>
      <c r="S761" s="8" t="str">
        <f ca="1">IFERROR(__xludf.DUMMYFUNCTION("""COMPUTED_VALUE"""),"Front of School")</f>
        <v>Front of School</v>
      </c>
      <c r="T761" s="8" t="str">
        <f ca="1">IFERROR(__xludf.DUMMYFUNCTION("""COMPUTED_VALUE"""),"Outside on School Property")</f>
        <v>Outside on School Property</v>
      </c>
      <c r="U761" s="8" t="str">
        <f ca="1">IFERROR(__xludf.DUMMYFUNCTION("""COMPUTED_VALUE"""),"Yes")</f>
        <v>Yes</v>
      </c>
      <c r="V761" s="8" t="str">
        <f ca="1">IFERROR(__xludf.DUMMYFUNCTION("""COMPUTED_VALUE"""),"Afternoon Classes")</f>
        <v>Afternoon Classes</v>
      </c>
      <c r="W761" s="11">
        <f ca="1">IFERROR(__xludf.DUMMYFUNCTION("""COMPUTED_VALUE"""),0.625)</f>
        <v>0.625</v>
      </c>
      <c r="X761" s="8">
        <f ca="1">IFERROR(__xludf.DUMMYFUNCTION("""COMPUTED_VALUE"""),1)</f>
        <v>1</v>
      </c>
      <c r="Y761" s="12" t="str">
        <f ca="1">IFERROR(__xludf.DUMMYFUNCTION("""COMPUTED_VALUE"""),"Two people wounded in vehicle in front of school")</f>
        <v>Two people wounded in vehicle in front of school</v>
      </c>
      <c r="Z761" s="12" t="str">
        <f ca="1">IFERROR(__xludf.DUMMYFUNCTION("""COMPUTED_VALUE"""),"Two people wounded inside vehicle in front of school. At least 9 shots fired at the front and side of vehicle.")</f>
        <v>Two people wounded inside vehicle in front of school. At least 9 shots fired at the front and side of vehicle.</v>
      </c>
      <c r="AA761" s="8" t="str">
        <f ca="1">IFERROR(__xludf.DUMMYFUNCTION("""COMPUTED_VALUE"""),"Drive-by Shooting")</f>
        <v>Drive-by Shooting</v>
      </c>
      <c r="AB761" s="8"/>
      <c r="AC761" s="8" t="str">
        <f ca="1">IFERROR(__xludf.DUMMYFUNCTION("""COMPUTED_VALUE"""),"Yes")</f>
        <v>Yes</v>
      </c>
      <c r="AD761" s="8" t="str">
        <f ca="1">IFERROR(__xludf.DUMMYFUNCTION("""COMPUTED_VALUE"""),"Victims Targeted")</f>
        <v>Victims Targeted</v>
      </c>
      <c r="AE761" s="8"/>
      <c r="AF761" s="8"/>
      <c r="AG761" s="8" t="str">
        <f ca="1">IFERROR(__xludf.DUMMYFUNCTION("""COMPUTED_VALUE"""),"No")</f>
        <v>No</v>
      </c>
      <c r="AH761" s="8" t="str">
        <f ca="1">IFERROR(__xludf.DUMMYFUNCTION("""COMPUTED_VALUE"""),"No")</f>
        <v>No</v>
      </c>
      <c r="AI761" s="8" t="str">
        <f ca="1">IFERROR(__xludf.DUMMYFUNCTION("""COMPUTED_VALUE"""),"No")</f>
        <v>No</v>
      </c>
      <c r="AJ761" s="8" t="str">
        <f ca="1">IFERROR(__xludf.DUMMYFUNCTION("""COMPUTED_VALUE"""),"No")</f>
        <v>No</v>
      </c>
      <c r="AK761" s="8" t="str">
        <f ca="1">IFERROR(__xludf.DUMMYFUNCTION("""COMPUTED_VALUE"""),"No")</f>
        <v>No</v>
      </c>
      <c r="AL761" s="8"/>
      <c r="AM761" s="8" t="str">
        <f ca="1">IFERROR(__xludf.DUMMYFUNCTION("""COMPUTED_VALUE"""),"No")</f>
        <v>No</v>
      </c>
      <c r="AN761" s="8" t="str">
        <f ca="1">IFERROR(__xludf.DUMMYFUNCTION("""COMPUTED_VALUE"""),"Outside")</f>
        <v>Outside</v>
      </c>
      <c r="AO761" s="8"/>
      <c r="AP761" s="8"/>
      <c r="AQ761" s="8"/>
      <c r="AR761" s="8" t="str">
        <f ca="1">IFERROR(__xludf.DUMMYFUNCTION("""COMPUTED_VALUE"""),"Outside/Off-Property")</f>
        <v>Outside/Off-Property</v>
      </c>
      <c r="AS761" s="8">
        <f ca="1">IFERROR(__xludf.DUMMYFUNCTION("""COMPUTED_VALUE"""),99)</f>
        <v>99</v>
      </c>
      <c r="AT761" s="8"/>
      <c r="AU761" s="8">
        <f ca="1">IFERROR(__xludf.DUMMYFUNCTION("""COMPUTED_VALUE"""),32.346456)</f>
        <v>32.346456000000003</v>
      </c>
      <c r="AV761" s="8">
        <f ca="1">IFERROR(__xludf.DUMMYFUNCTION("""COMPUTED_VALUE"""),-90.207584)</f>
        <v>-90.207583999999997</v>
      </c>
      <c r="AW761" s="8"/>
      <c r="AX761" s="8">
        <f ca="1">IFERROR(__xludf.DUMMYFUNCTION("""COMPUTED_VALUE"""),39213)</f>
        <v>39213</v>
      </c>
    </row>
    <row r="762" spans="1:50" ht="75" x14ac:dyDescent="0.2">
      <c r="A762" s="8" t="str">
        <f ca="1">IFERROR(__xludf.DUMMYFUNCTION("""COMPUTED_VALUE"""),"20230331DCCAD")</f>
        <v>20230331DCCAD</v>
      </c>
      <c r="B762" s="8">
        <f ca="1">IFERROR(__xludf.DUMMYFUNCTION("""COMPUTED_VALUE"""),3)</f>
        <v>3</v>
      </c>
      <c r="C762" s="8">
        <f ca="1">IFERROR(__xludf.DUMMYFUNCTION("""COMPUTED_VALUE"""),31)</f>
        <v>31</v>
      </c>
      <c r="D762" s="8">
        <f ca="1">IFERROR(__xludf.DUMMYFUNCTION("""COMPUTED_VALUE"""),2023)</f>
        <v>2023</v>
      </c>
      <c r="E762" s="9">
        <f ca="1">IFERROR(__xludf.DUMMYFUNCTION("""COMPUTED_VALUE"""),45016)</f>
        <v>45016</v>
      </c>
      <c r="F762" s="8" t="str">
        <f ca="1">IFERROR(__xludf.DUMMYFUNCTION("""COMPUTED_VALUE"""),"Cardozo Education Campus")</f>
        <v>Cardozo Education Campus</v>
      </c>
      <c r="G762" s="8">
        <f ca="1">IFERROR(__xludf.DUMMYFUNCTION("""COMPUTED_VALUE"""),0)</f>
        <v>0</v>
      </c>
      <c r="H762" s="8">
        <f ca="1">IFERROR(__xludf.DUMMYFUNCTION("""COMPUTED_VALUE"""),1)</f>
        <v>1</v>
      </c>
      <c r="I762" s="8">
        <f ca="1">IFERROR(__xludf.DUMMYFUNCTION("""COMPUTED_VALUE"""),1)</f>
        <v>1</v>
      </c>
      <c r="J762" s="8">
        <f ca="1">IFERROR(__xludf.DUMMYFUNCTION("""COMPUTED_VALUE"""),0)</f>
        <v>0</v>
      </c>
      <c r="K762" s="10" t="str">
        <f ca="1">IFERROR(__xludf.DUMMYFUNCTION("""COMPUTED_VALUE"""),"https://www.wusa9.com/article/news/local/dc/teen-shot-cardozo-education-campus/65-38ad044a-189d-40e8-bf39-30ff4c855188")</f>
        <v>https://www.wusa9.com/article/news/local/dc/teen-shot-cardozo-education-campus/65-38ad044a-189d-40e8-bf39-30ff4c855188</v>
      </c>
      <c r="L762" s="8">
        <f ca="1">IFERROR(__xludf.DUMMYFUNCTION("""COMPUTED_VALUE"""),1)</f>
        <v>1</v>
      </c>
      <c r="M762" s="8" t="str">
        <f ca="1">IFERROR(__xludf.DUMMYFUNCTION("""COMPUTED_VALUE"""),"Local")</f>
        <v>Local</v>
      </c>
      <c r="N762" s="8">
        <f ca="1">IFERROR(__xludf.DUMMYFUNCTION("""COMPUTED_VALUE"""),3)</f>
        <v>3</v>
      </c>
      <c r="O762" s="8" t="str">
        <f ca="1">IFERROR(__xludf.DUMMYFUNCTION("""COMPUTED_VALUE"""),"Spring")</f>
        <v>Spring</v>
      </c>
      <c r="P762" s="8" t="str">
        <f ca="1">IFERROR(__xludf.DUMMYFUNCTION("""COMPUTED_VALUE"""),"Washington")</f>
        <v>Washington</v>
      </c>
      <c r="Q762" s="8" t="str">
        <f ca="1">IFERROR(__xludf.DUMMYFUNCTION("""COMPUTED_VALUE"""),"DC")</f>
        <v>DC</v>
      </c>
      <c r="R762" s="8" t="str">
        <f ca="1">IFERROR(__xludf.DUMMYFUNCTION("""COMPUTED_VALUE"""),"High")</f>
        <v>High</v>
      </c>
      <c r="S762" s="8" t="str">
        <f ca="1">IFERROR(__xludf.DUMMYFUNCTION("""COMPUTED_VALUE"""),"Front of School")</f>
        <v>Front of School</v>
      </c>
      <c r="T762" s="8" t="str">
        <f ca="1">IFERROR(__xludf.DUMMYFUNCTION("""COMPUTED_VALUE"""),"Outside on School Property")</f>
        <v>Outside on School Property</v>
      </c>
      <c r="U762" s="8" t="str">
        <f ca="1">IFERROR(__xludf.DUMMYFUNCTION("""COMPUTED_VALUE"""),"Yes")</f>
        <v>Yes</v>
      </c>
      <c r="V762" s="8" t="str">
        <f ca="1">IFERROR(__xludf.DUMMYFUNCTION("""COMPUTED_VALUE"""),"Dismissal")</f>
        <v>Dismissal</v>
      </c>
      <c r="W762" s="11">
        <f ca="1">IFERROR(__xludf.DUMMYFUNCTION("""COMPUTED_VALUE"""),0.65625)</f>
        <v>0.65625</v>
      </c>
      <c r="X762" s="8">
        <f ca="1">IFERROR(__xludf.DUMMYFUNCTION("""COMPUTED_VALUE"""),1)</f>
        <v>1</v>
      </c>
      <c r="Y762" s="12" t="str">
        <f ca="1">IFERROR(__xludf.DUMMYFUNCTION("""COMPUTED_VALUE"""),"Teen shot outside of the school at dismissal")</f>
        <v>Teen shot outside of the school at dismissal</v>
      </c>
      <c r="Z762" s="12" t="str">
        <f ca="1">IFERROR(__xludf.DUMMYFUNCTION("""COMPUTED_VALUE"""),"According to the Metropolitan Police Department, officers learned the teen had been shot and walked into an area hospital for help. Investigators say the shooting happened outside the Cardozo Education Campus in the 1200 block of Clifton Street just befor"&amp;"e 3:45 p.m.")</f>
        <v>According to the Metropolitan Police Department, officers learned the teen had been shot and walked into an area hospital for help. Investigators say the shooting happened outside the Cardozo Education Campus in the 1200 block of Clifton Street just before 3:45 p.m.</v>
      </c>
      <c r="AA762" s="8"/>
      <c r="AB762" s="8"/>
      <c r="AC762" s="8" t="str">
        <f ca="1">IFERROR(__xludf.DUMMYFUNCTION("""COMPUTED_VALUE"""),"Yes")</f>
        <v>Yes</v>
      </c>
      <c r="AD762" s="8"/>
      <c r="AE762" s="8" t="str">
        <f ca="1">IFERROR(__xludf.DUMMYFUNCTION("""COMPUTED_VALUE"""),"No")</f>
        <v>No</v>
      </c>
      <c r="AF762" s="8"/>
      <c r="AG762" s="8" t="str">
        <f ca="1">IFERROR(__xludf.DUMMYFUNCTION("""COMPUTED_VALUE"""),"No")</f>
        <v>No</v>
      </c>
      <c r="AH762" s="8" t="str">
        <f ca="1">IFERROR(__xludf.DUMMYFUNCTION("""COMPUTED_VALUE"""),"No")</f>
        <v>No</v>
      </c>
      <c r="AI762" s="8" t="str">
        <f ca="1">IFERROR(__xludf.DUMMYFUNCTION("""COMPUTED_VALUE"""),"No")</f>
        <v>No</v>
      </c>
      <c r="AJ762" s="8"/>
      <c r="AK762" s="8" t="str">
        <f ca="1">IFERROR(__xludf.DUMMYFUNCTION("""COMPUTED_VALUE"""),"No")</f>
        <v>No</v>
      </c>
      <c r="AL762" s="8"/>
      <c r="AM762" s="8" t="str">
        <f ca="1">IFERROR(__xludf.DUMMYFUNCTION("""COMPUTED_VALUE"""),"No")</f>
        <v>No</v>
      </c>
      <c r="AN762" s="8" t="str">
        <f ca="1">IFERROR(__xludf.DUMMYFUNCTION("""COMPUTED_VALUE"""),"Outside")</f>
        <v>Outside</v>
      </c>
      <c r="AO762" s="8"/>
      <c r="AP762" s="8"/>
      <c r="AQ762" s="8"/>
      <c r="AR762" s="8" t="str">
        <f ca="1">IFERROR(__xludf.DUMMYFUNCTION("""COMPUTED_VALUE"""),"Outside/Off-Property")</f>
        <v>Outside/Off-Property</v>
      </c>
      <c r="AS762" s="8">
        <f ca="1">IFERROR(__xludf.DUMMYFUNCTION("""COMPUTED_VALUE"""),99)</f>
        <v>99</v>
      </c>
      <c r="AT762" s="8"/>
      <c r="AU762" s="8">
        <f ca="1">IFERROR(__xludf.DUMMYFUNCTION("""COMPUTED_VALUE"""),38.921502)</f>
        <v>38.921501999999997</v>
      </c>
      <c r="AV762" s="8">
        <f ca="1">IFERROR(__xludf.DUMMYFUNCTION("""COMPUTED_VALUE"""),-77.029289)</f>
        <v>-77.029289000000006</v>
      </c>
      <c r="AW762" s="8"/>
      <c r="AX762" s="8">
        <f ca="1">IFERROR(__xludf.DUMMYFUNCTION("""COMPUTED_VALUE"""),20009)</f>
        <v>20009</v>
      </c>
    </row>
    <row r="763" spans="1:50" ht="30" x14ac:dyDescent="0.2">
      <c r="A763" s="8" t="str">
        <f ca="1">IFERROR(__xludf.DUMMYFUNCTION("""COMPUTED_VALUE"""),"20230331CAWOC")</f>
        <v>20230331CAWOC</v>
      </c>
      <c r="B763" s="8">
        <f ca="1">IFERROR(__xludf.DUMMYFUNCTION("""COMPUTED_VALUE"""),3)</f>
        <v>3</v>
      </c>
      <c r="C763" s="8">
        <f ca="1">IFERROR(__xludf.DUMMYFUNCTION("""COMPUTED_VALUE"""),31)</f>
        <v>31</v>
      </c>
      <c r="D763" s="8">
        <f ca="1">IFERROR(__xludf.DUMMYFUNCTION("""COMPUTED_VALUE"""),2023)</f>
        <v>2023</v>
      </c>
      <c r="E763" s="9">
        <f ca="1">IFERROR(__xludf.DUMMYFUNCTION("""COMPUTED_VALUE"""),45016)</f>
        <v>45016</v>
      </c>
      <c r="F763" s="8" t="str">
        <f ca="1">IFERROR(__xludf.DUMMYFUNCTION("""COMPUTED_VALUE"""),"Woodson Elementary School")</f>
        <v>Woodson Elementary School</v>
      </c>
      <c r="G763" s="8">
        <f ca="1">IFERROR(__xludf.DUMMYFUNCTION("""COMPUTED_VALUE"""),0)</f>
        <v>0</v>
      </c>
      <c r="H763" s="8">
        <f ca="1">IFERROR(__xludf.DUMMYFUNCTION("""COMPUTED_VALUE"""),1)</f>
        <v>1</v>
      </c>
      <c r="I763" s="8">
        <f ca="1">IFERROR(__xludf.DUMMYFUNCTION("""COMPUTED_VALUE"""),1)</f>
        <v>1</v>
      </c>
      <c r="J763" s="8">
        <f ca="1">IFERROR(__xludf.DUMMYFUNCTION("""COMPUTED_VALUE"""),0)</f>
        <v>0</v>
      </c>
      <c r="K763" s="10" t="str">
        <f ca="1">IFERROR(__xludf.DUMMYFUNCTION("""COMPUTED_VALUE"""),"https://www.actionnewsnow.com/news/police-officers-respond-to-report-of-shot-child-in-elementary-school-parking-lot-friday/article_2bd6f258-d0ac-11ed-9ceb-d7abf9d9f12c.html")</f>
        <v>https://www.actionnewsnow.com/news/police-officers-respond-to-report-of-shot-child-in-elementary-school-parking-lot-friday/article_2bd6f258-d0ac-11ed-9ceb-d7abf9d9f12c.html</v>
      </c>
      <c r="L763" s="8">
        <f ca="1">IFERROR(__xludf.DUMMYFUNCTION("""COMPUTED_VALUE"""),2)</f>
        <v>2</v>
      </c>
      <c r="M763" s="8" t="str">
        <f ca="1">IFERROR(__xludf.DUMMYFUNCTION("""COMPUTED_VALUE"""),"Local")</f>
        <v>Local</v>
      </c>
      <c r="N763" s="8">
        <f ca="1">IFERROR(__xludf.DUMMYFUNCTION("""COMPUTED_VALUE"""),4)</f>
        <v>4</v>
      </c>
      <c r="O763" s="8" t="str">
        <f ca="1">IFERROR(__xludf.DUMMYFUNCTION("""COMPUTED_VALUE"""),"Spring")</f>
        <v>Spring</v>
      </c>
      <c r="P763" s="8" t="str">
        <f ca="1">IFERROR(__xludf.DUMMYFUNCTION("""COMPUTED_VALUE"""),"Corning")</f>
        <v>Corning</v>
      </c>
      <c r="Q763" s="8" t="str">
        <f ca="1">IFERROR(__xludf.DUMMYFUNCTION("""COMPUTED_VALUE"""),"CA")</f>
        <v>CA</v>
      </c>
      <c r="R763" s="8" t="str">
        <f ca="1">IFERROR(__xludf.DUMMYFUNCTION("""COMPUTED_VALUE"""),"Elementary")</f>
        <v>Elementary</v>
      </c>
      <c r="S763" s="8" t="str">
        <f ca="1">IFERROR(__xludf.DUMMYFUNCTION("""COMPUTED_VALUE"""),"Parking Lot")</f>
        <v>Parking Lot</v>
      </c>
      <c r="T763" s="8" t="str">
        <f ca="1">IFERROR(__xludf.DUMMYFUNCTION("""COMPUTED_VALUE"""),"Outside on School Property")</f>
        <v>Outside on School Property</v>
      </c>
      <c r="U763" s="8" t="str">
        <f ca="1">IFERROR(__xludf.DUMMYFUNCTION("""COMPUTED_VALUE"""),"No")</f>
        <v>No</v>
      </c>
      <c r="V763" s="8" t="str">
        <f ca="1">IFERROR(__xludf.DUMMYFUNCTION("""COMPUTED_VALUE"""),"Evening")</f>
        <v>Evening</v>
      </c>
      <c r="W763" s="11">
        <f ca="1">IFERROR(__xludf.DUMMYFUNCTION("""COMPUTED_VALUE"""),0.854166666666666)</f>
        <v>0.85416666666666596</v>
      </c>
      <c r="X763" s="8">
        <f ca="1">IFERROR(__xludf.DUMMYFUNCTION("""COMPUTED_VALUE"""),1)</f>
        <v>1</v>
      </c>
      <c r="Y763" s="12" t="str">
        <f ca="1">IFERROR(__xludf.DUMMYFUNCTION("""COMPUTED_VALUE"""),"Child shot in parking lot")</f>
        <v>Child shot in parking lot</v>
      </c>
      <c r="Z763" s="12" t="str">
        <f ca="1">IFERROR(__xludf.DUMMYFUNCTION("""COMPUTED_VALUE"""),"Child was shot in the school parking lot and taken to hospital in stable conidition. Shooter fled.")</f>
        <v>Child was shot in the school parking lot and taken to hospital in stable conidition. Shooter fled.</v>
      </c>
      <c r="AA763" s="8"/>
      <c r="AB763" s="8"/>
      <c r="AC763" s="8" t="str">
        <f ca="1">IFERROR(__xludf.DUMMYFUNCTION("""COMPUTED_VALUE"""),"Yes")</f>
        <v>Yes</v>
      </c>
      <c r="AD763" s="8"/>
      <c r="AE763" s="8"/>
      <c r="AF763" s="8"/>
      <c r="AG763" s="8" t="str">
        <f ca="1">IFERROR(__xludf.DUMMYFUNCTION("""COMPUTED_VALUE"""),"No")</f>
        <v>No</v>
      </c>
      <c r="AH763" s="8" t="str">
        <f ca="1">IFERROR(__xludf.DUMMYFUNCTION("""COMPUTED_VALUE"""),"No")</f>
        <v>No</v>
      </c>
      <c r="AI763" s="8" t="str">
        <f ca="1">IFERROR(__xludf.DUMMYFUNCTION("""COMPUTED_VALUE"""),"No")</f>
        <v>No</v>
      </c>
      <c r="AJ763" s="8" t="str">
        <f ca="1">IFERROR(__xludf.DUMMYFUNCTION("""COMPUTED_VALUE"""),"No")</f>
        <v>No</v>
      </c>
      <c r="AK763" s="8"/>
      <c r="AL763" s="8" t="str">
        <f ca="1">IFERROR(__xludf.DUMMYFUNCTION("""COMPUTED_VALUE"""),"No")</f>
        <v>No</v>
      </c>
      <c r="AM763" s="8" t="str">
        <f ca="1">IFERROR(__xludf.DUMMYFUNCTION("""COMPUTED_VALUE"""),"No")</f>
        <v>No</v>
      </c>
      <c r="AN763" s="8" t="str">
        <f ca="1">IFERROR(__xludf.DUMMYFUNCTION("""COMPUTED_VALUE"""),"Outside")</f>
        <v>Outside</v>
      </c>
      <c r="AO763" s="8"/>
      <c r="AP763" s="8"/>
      <c r="AQ763" s="8"/>
      <c r="AR763" s="8" t="str">
        <f ca="1">IFERROR(__xludf.DUMMYFUNCTION("""COMPUTED_VALUE"""),"Outside/Off-Property")</f>
        <v>Outside/Off-Property</v>
      </c>
      <c r="AS763" s="8"/>
      <c r="AT763" s="8"/>
      <c r="AU763" s="8">
        <f ca="1">IFERROR(__xludf.DUMMYFUNCTION("""COMPUTED_VALUE"""),39.935579)</f>
        <v>39.935578999999997</v>
      </c>
      <c r="AV763" s="8">
        <f ca="1">IFERROR(__xludf.DUMMYFUNCTION("""COMPUTED_VALUE"""),-122.193234)</f>
        <v>-122.193234</v>
      </c>
      <c r="AW763" s="8"/>
      <c r="AX763" s="8">
        <f ca="1">IFERROR(__xludf.DUMMYFUNCTION("""COMPUTED_VALUE"""),96021)</f>
        <v>96021</v>
      </c>
    </row>
    <row r="764" spans="1:50" ht="105" x14ac:dyDescent="0.2">
      <c r="A764" s="8" t="str">
        <f ca="1">IFERROR(__xludf.DUMMYFUNCTION("""COMPUTED_VALUE"""),"20230331CAJAR")</f>
        <v>20230331CAJAR</v>
      </c>
      <c r="B764" s="8">
        <f ca="1">IFERROR(__xludf.DUMMYFUNCTION("""COMPUTED_VALUE"""),3)</f>
        <v>3</v>
      </c>
      <c r="C764" s="8">
        <f ca="1">IFERROR(__xludf.DUMMYFUNCTION("""COMPUTED_VALUE"""),31)</f>
        <v>31</v>
      </c>
      <c r="D764" s="8">
        <f ca="1">IFERROR(__xludf.DUMMYFUNCTION("""COMPUTED_VALUE"""),2023)</f>
        <v>2023</v>
      </c>
      <c r="E764" s="9">
        <f ca="1">IFERROR(__xludf.DUMMYFUNCTION("""COMPUTED_VALUE"""),45016)</f>
        <v>45016</v>
      </c>
      <c r="F764" s="8" t="str">
        <f ca="1">IFERROR(__xludf.DUMMYFUNCTION("""COMPUTED_VALUE"""),"Jackson Heights Elementary School")</f>
        <v>Jackson Heights Elementary School</v>
      </c>
      <c r="G764" s="8">
        <f ca="1">IFERROR(__xludf.DUMMYFUNCTION("""COMPUTED_VALUE"""),0)</f>
        <v>0</v>
      </c>
      <c r="H764" s="8">
        <f ca="1">IFERROR(__xludf.DUMMYFUNCTION("""COMPUTED_VALUE"""),0)</f>
        <v>0</v>
      </c>
      <c r="I764" s="8">
        <f ca="1">IFERROR(__xludf.DUMMYFUNCTION("""COMPUTED_VALUE"""),0)</f>
        <v>0</v>
      </c>
      <c r="J764" s="8">
        <f ca="1">IFERROR(__xludf.DUMMYFUNCTION("""COMPUTED_VALUE"""),1)</f>
        <v>1</v>
      </c>
      <c r="K764" s="10" t="str">
        <f ca="1">IFERROR(__xludf.DUMMYFUNCTION("""COMPUTED_VALUE"""),"https://www.actionnewsnow.com/news/crime/police-red-bluff-school-lockdowns-lifted-after-report-of-shots-fired-nearby/article_466eeb1e-cfeb-11ed-bca6-af370e9123eb.html
https://www.facebook.com/rbpd.org?fref=mentions")</f>
        <v>https://www.actionnewsnow.com/news/crime/police-red-bluff-school-lockdowns-lifted-after-report-of-shots-fired-nearby/article_466eeb1e-cfeb-11ed-bca6-af370e9123eb.html
https://www.facebook.com/rbpd.org?fref=mentions</v>
      </c>
      <c r="L764" s="8">
        <f ca="1">IFERROR(__xludf.DUMMYFUNCTION("""COMPUTED_VALUE"""),5)</f>
        <v>5</v>
      </c>
      <c r="M764" s="8" t="str">
        <f ca="1">IFERROR(__xludf.DUMMYFUNCTION("""COMPUTED_VALUE"""),"Local")</f>
        <v>Local</v>
      </c>
      <c r="N764" s="8">
        <f ca="1">IFERROR(__xludf.DUMMYFUNCTION("""COMPUTED_VALUE"""),4)</f>
        <v>4</v>
      </c>
      <c r="O764" s="8" t="str">
        <f ca="1">IFERROR(__xludf.DUMMYFUNCTION("""COMPUTED_VALUE"""),"Spring")</f>
        <v>Spring</v>
      </c>
      <c r="P764" s="8" t="str">
        <f ca="1">IFERROR(__xludf.DUMMYFUNCTION("""COMPUTED_VALUE"""),"Red Bluff")</f>
        <v>Red Bluff</v>
      </c>
      <c r="Q764" s="8" t="str">
        <f ca="1">IFERROR(__xludf.DUMMYFUNCTION("""COMPUTED_VALUE"""),"CA")</f>
        <v>CA</v>
      </c>
      <c r="R764" s="8" t="str">
        <f ca="1">IFERROR(__xludf.DUMMYFUNCTION("""COMPUTED_VALUE"""),"Elementary")</f>
        <v>Elementary</v>
      </c>
      <c r="S764" s="8" t="str">
        <f ca="1">IFERROR(__xludf.DUMMYFUNCTION("""COMPUTED_VALUE"""),"Outside on School Property")</f>
        <v>Outside on School Property</v>
      </c>
      <c r="T764" s="8" t="str">
        <f ca="1">IFERROR(__xludf.DUMMYFUNCTION("""COMPUTED_VALUE"""),"Outside on School Property")</f>
        <v>Outside on School Property</v>
      </c>
      <c r="U764" s="8" t="str">
        <f ca="1">IFERROR(__xludf.DUMMYFUNCTION("""COMPUTED_VALUE"""),"Yes")</f>
        <v>Yes</v>
      </c>
      <c r="V764" s="8" t="str">
        <f ca="1">IFERROR(__xludf.DUMMYFUNCTION("""COMPUTED_VALUE"""),"Morning Classes")</f>
        <v>Morning Classes</v>
      </c>
      <c r="W764" s="11">
        <f ca="1">IFERROR(__xludf.DUMMYFUNCTION("""COMPUTED_VALUE"""),0.4)</f>
        <v>0.4</v>
      </c>
      <c r="X764" s="8">
        <f ca="1">IFERROR(__xludf.DUMMYFUNCTION("""COMPUTED_VALUE"""),1)</f>
        <v>1</v>
      </c>
      <c r="Y764" s="12" t="str">
        <f ca="1">IFERROR(__xludf.DUMMYFUNCTION("""COMPUTED_VALUE"""),"Man with gun was seen walking toward elementary school, fired shots near school, commit suicide nearby")</f>
        <v>Man with gun was seen walking toward elementary school, fired shots near school, commit suicide nearby</v>
      </c>
      <c r="Z764" s="12" t="str">
        <f ca="1">IFERROR(__xludf.DUMMYFUNCTION("""COMPUTED_VALUE"""),"33-year-old man was seen walking down street with gun toward elementary school. School went on lockdown. He fired shots near the school then commit suicide in the cemetery next to the school.")</f>
        <v>33-year-old man was seen walking down street with gun toward elementary school. School went on lockdown. He fired shots near the school then commit suicide in the cemetery next to the school.</v>
      </c>
      <c r="AA764" s="8" t="str">
        <f ca="1">IFERROR(__xludf.DUMMYFUNCTION("""COMPUTED_VALUE"""),"Suicide/Attempted")</f>
        <v>Suicide/Attempted</v>
      </c>
      <c r="AB764" s="8"/>
      <c r="AC764" s="8" t="str">
        <f ca="1">IFERROR(__xludf.DUMMYFUNCTION("""COMPUTED_VALUE"""),"Yes")</f>
        <v>Yes</v>
      </c>
      <c r="AD764" s="8" t="str">
        <f ca="1">IFERROR(__xludf.DUMMYFUNCTION("""COMPUTED_VALUE"""),"Neither")</f>
        <v>Neither</v>
      </c>
      <c r="AE764" s="8" t="str">
        <f ca="1">IFERROR(__xludf.DUMMYFUNCTION("""COMPUTED_VALUE"""),"No")</f>
        <v>No</v>
      </c>
      <c r="AF764" s="8"/>
      <c r="AG764" s="8" t="str">
        <f ca="1">IFERROR(__xludf.DUMMYFUNCTION("""COMPUTED_VALUE"""),"No")</f>
        <v>No</v>
      </c>
      <c r="AH764" s="8" t="str">
        <f ca="1">IFERROR(__xludf.DUMMYFUNCTION("""COMPUTED_VALUE"""),"No")</f>
        <v>No</v>
      </c>
      <c r="AI764" s="8" t="str">
        <f ca="1">IFERROR(__xludf.DUMMYFUNCTION("""COMPUTED_VALUE"""),"No")</f>
        <v>No</v>
      </c>
      <c r="AJ764" s="8" t="str">
        <f ca="1">IFERROR(__xludf.DUMMYFUNCTION("""COMPUTED_VALUE"""),"No")</f>
        <v>No</v>
      </c>
      <c r="AK764" s="8" t="str">
        <f ca="1">IFERROR(__xludf.DUMMYFUNCTION("""COMPUTED_VALUE"""),"No")</f>
        <v>No</v>
      </c>
      <c r="AL764" s="8" t="str">
        <f ca="1">IFERROR(__xludf.DUMMYFUNCTION("""COMPUTED_VALUE"""),"No")</f>
        <v>No</v>
      </c>
      <c r="AM764" s="8"/>
      <c r="AN764" s="8" t="str">
        <f ca="1">IFERROR(__xludf.DUMMYFUNCTION("""COMPUTED_VALUE"""),"Outside")</f>
        <v>Outside</v>
      </c>
      <c r="AO764" s="8"/>
      <c r="AP764" s="8"/>
      <c r="AQ764" s="8"/>
      <c r="AR764" s="8" t="str">
        <f ca="1">IFERROR(__xludf.DUMMYFUNCTION("""COMPUTED_VALUE"""),"Outside/Off-Property")</f>
        <v>Outside/Off-Property</v>
      </c>
      <c r="AS764" s="8">
        <f ca="1">IFERROR(__xludf.DUMMYFUNCTION("""COMPUTED_VALUE"""),99)</f>
        <v>99</v>
      </c>
      <c r="AT764" s="8" t="str">
        <f ca="1">IFERROR(__xludf.DUMMYFUNCTION("""COMPUTED_VALUE"""),"Yes")</f>
        <v>Yes</v>
      </c>
      <c r="AU764" s="8">
        <f ca="1">IFERROR(__xludf.DUMMYFUNCTION("""COMPUTED_VALUE"""),40.170217)</f>
        <v>40.170217000000001</v>
      </c>
      <c r="AV764" s="8">
        <f ca="1">IFERROR(__xludf.DUMMYFUNCTION("""COMPUTED_VALUE"""),-122.238664)</f>
        <v>-122.238664</v>
      </c>
      <c r="AW764" s="8"/>
      <c r="AX764" s="8">
        <f ca="1">IFERROR(__xludf.DUMMYFUNCTION("""COMPUTED_VALUE"""),96080)</f>
        <v>96080</v>
      </c>
    </row>
    <row r="765" spans="1:50" ht="75" x14ac:dyDescent="0.2">
      <c r="A765" s="8" t="str">
        <f ca="1">IFERROR(__xludf.DUMMYFUNCTION("""COMPUTED_VALUE"""),"20230330NCFOW")</f>
        <v>20230330NCFOW</v>
      </c>
      <c r="B765" s="8">
        <f ca="1">IFERROR(__xludf.DUMMYFUNCTION("""COMPUTED_VALUE"""),3)</f>
        <v>3</v>
      </c>
      <c r="C765" s="8">
        <f ca="1">IFERROR(__xludf.DUMMYFUNCTION("""COMPUTED_VALUE"""),30)</f>
        <v>30</v>
      </c>
      <c r="D765" s="8">
        <f ca="1">IFERROR(__xludf.DUMMYFUNCTION("""COMPUTED_VALUE"""),2023)</f>
        <v>2023</v>
      </c>
      <c r="E765" s="9">
        <f ca="1">IFERROR(__xludf.DUMMYFUNCTION("""COMPUTED_VALUE"""),45015)</f>
        <v>45015</v>
      </c>
      <c r="F765" s="8" t="str">
        <f ca="1">IFERROR(__xludf.DUMMYFUNCTION("""COMPUTED_VALUE"""),"Forsyth Technical Community College (high school enrollment day)")</f>
        <v>Forsyth Technical Community College (high school enrollment day)</v>
      </c>
      <c r="G765" s="8">
        <f ca="1">IFERROR(__xludf.DUMMYFUNCTION("""COMPUTED_VALUE"""),0)</f>
        <v>0</v>
      </c>
      <c r="H765" s="8">
        <f ca="1">IFERROR(__xludf.DUMMYFUNCTION("""COMPUTED_VALUE"""),1)</f>
        <v>1</v>
      </c>
      <c r="I765" s="8">
        <f ca="1">IFERROR(__xludf.DUMMYFUNCTION("""COMPUTED_VALUE"""),1)</f>
        <v>1</v>
      </c>
      <c r="J765" s="8">
        <f ca="1">IFERROR(__xludf.DUMMYFUNCTION("""COMPUTED_VALUE"""),0)</f>
        <v>0</v>
      </c>
      <c r="K765" s="8" t="str">
        <f ca="1">IFERROR(__xludf.DUMMYFUNCTION("""COMPUTED_VALUE"""),"https://www.wfmynews2.com/article/news/crime/winston-salem-prep-student-charged-in-forsyth-tech-shooting-investigation/83-2a60320d-7399-4eb5-9097-76766abd81f4
https://www.wsoctv.com/news/local/shooting-reported-forsyth-tech-community-college/5UPFMUZWHVGVH"&amp;"KTTNI5BUNKZTA/
https://journalnow.com/news/local/forsyth-tech-campus-shooting-one-injured-classes-cancelled/article_7395551c-cf08-11ed-bf27-9fd9483a1f8b.html")</f>
        <v>https://www.wfmynews2.com/article/news/crime/winston-salem-prep-student-charged-in-forsyth-tech-shooting-investigation/83-2a60320d-7399-4eb5-9097-76766abd81f4
https://www.wsoctv.com/news/local/shooting-reported-forsyth-tech-community-college/5UPFMUZWHVGVHKTTNI5BUNKZTA/
https://journalnow.com/news/local/forsyth-tech-campus-shooting-one-injured-classes-cancelled/article_7395551c-cf08-11ed-bf27-9fd9483a1f8b.html</v>
      </c>
      <c r="L765" s="8">
        <f ca="1">IFERROR(__xludf.DUMMYFUNCTION("""COMPUTED_VALUE"""),20)</f>
        <v>20</v>
      </c>
      <c r="M765" s="8" t="str">
        <f ca="1">IFERROR(__xludf.DUMMYFUNCTION("""COMPUTED_VALUE"""),"Regional")</f>
        <v>Regional</v>
      </c>
      <c r="N765" s="8">
        <f ca="1">IFERROR(__xludf.DUMMYFUNCTION("""COMPUTED_VALUE"""),4)</f>
        <v>4</v>
      </c>
      <c r="O765" s="8" t="str">
        <f ca="1">IFERROR(__xludf.DUMMYFUNCTION("""COMPUTED_VALUE"""),"Spring")</f>
        <v>Spring</v>
      </c>
      <c r="P765" s="8" t="str">
        <f ca="1">IFERROR(__xludf.DUMMYFUNCTION("""COMPUTED_VALUE"""),"Winston-Salem")</f>
        <v>Winston-Salem</v>
      </c>
      <c r="Q765" s="8" t="str">
        <f ca="1">IFERROR(__xludf.DUMMYFUNCTION("""COMPUTED_VALUE"""),"NC")</f>
        <v>NC</v>
      </c>
      <c r="R765" s="8" t="str">
        <f ca="1">IFERROR(__xludf.DUMMYFUNCTION("""COMPUTED_VALUE"""),"High")</f>
        <v>High</v>
      </c>
      <c r="S765" s="8" t="str">
        <f ca="1">IFERROR(__xludf.DUMMYFUNCTION("""COMPUTED_VALUE"""),"Bathroom")</f>
        <v>Bathroom</v>
      </c>
      <c r="T765" s="8" t="str">
        <f ca="1">IFERROR(__xludf.DUMMYFUNCTION("""COMPUTED_VALUE"""),"Off School Property")</f>
        <v>Off School Property</v>
      </c>
      <c r="U765" s="8" t="str">
        <f ca="1">IFERROR(__xludf.DUMMYFUNCTION("""COMPUTED_VALUE"""),"Yes")</f>
        <v>Yes</v>
      </c>
      <c r="V765" s="8" t="str">
        <f ca="1">IFERROR(__xludf.DUMMYFUNCTION("""COMPUTED_VALUE"""),"Morning Classes")</f>
        <v>Morning Classes</v>
      </c>
      <c r="W765" s="11">
        <f ca="1">IFERROR(__xludf.DUMMYFUNCTION("""COMPUTED_VALUE"""),0.416666666666666)</f>
        <v>0.41666666666666602</v>
      </c>
      <c r="X765" s="8">
        <f ca="1">IFERROR(__xludf.DUMMYFUNCTION("""COMPUTED_VALUE"""),1)</f>
        <v>1</v>
      </c>
      <c r="Y765" s="12" t="str">
        <f ca="1">IFERROR(__xludf.DUMMYFUNCTION("""COMPUTED_VALUE"""),"High school senior shot self in the hand during high school enrollment day at community college")</f>
        <v>High school senior shot self in the hand during high school enrollment day at community college</v>
      </c>
      <c r="Z765" s="12" t="str">
        <f ca="1">IFERROR(__xludf.DUMMYFUNCTION("""COMPUTED_VALUE"""),"High school senior shot self in the hand inside a bathroom during high school enrollment day at community college. Hundreds of seniors from area high schools were on the campus for the event. Gunshot causes active shooter response.")</f>
        <v>High school senior shot self in the hand inside a bathroom during high school enrollment day at community college. Hundreds of seniors from area high schools were on the campus for the event. Gunshot causes active shooter response.</v>
      </c>
      <c r="AA765" s="8" t="str">
        <f ca="1">IFERROR(__xludf.DUMMYFUNCTION("""COMPUTED_VALUE"""),"Accidental")</f>
        <v>Accidental</v>
      </c>
      <c r="AB765" s="8"/>
      <c r="AC765" s="8" t="str">
        <f ca="1">IFERROR(__xludf.DUMMYFUNCTION("""COMPUTED_VALUE"""),"Yes")</f>
        <v>Yes</v>
      </c>
      <c r="AD765" s="8" t="str">
        <f ca="1">IFERROR(__xludf.DUMMYFUNCTION("""COMPUTED_VALUE"""),"Neither")</f>
        <v>Neither</v>
      </c>
      <c r="AE765" s="8" t="str">
        <f ca="1">IFERROR(__xludf.DUMMYFUNCTION("""COMPUTED_VALUE"""),"No")</f>
        <v>No</v>
      </c>
      <c r="AF765" s="8"/>
      <c r="AG765" s="8" t="str">
        <f ca="1">IFERROR(__xludf.DUMMYFUNCTION("""COMPUTED_VALUE"""),"No")</f>
        <v>No</v>
      </c>
      <c r="AH765" s="8" t="str">
        <f ca="1">IFERROR(__xludf.DUMMYFUNCTION("""COMPUTED_VALUE"""),"No")</f>
        <v>No</v>
      </c>
      <c r="AI765" s="8" t="str">
        <f ca="1">IFERROR(__xludf.DUMMYFUNCTION("""COMPUTED_VALUE"""),"No")</f>
        <v>No</v>
      </c>
      <c r="AJ765" s="8" t="str">
        <f ca="1">IFERROR(__xludf.DUMMYFUNCTION("""COMPUTED_VALUE"""),"No")</f>
        <v>No</v>
      </c>
      <c r="AK765" s="8" t="str">
        <f ca="1">IFERROR(__xludf.DUMMYFUNCTION("""COMPUTED_VALUE"""),"No")</f>
        <v>No</v>
      </c>
      <c r="AL765" s="8" t="str">
        <f ca="1">IFERROR(__xludf.DUMMYFUNCTION("""COMPUTED_VALUE"""),"No")</f>
        <v>No</v>
      </c>
      <c r="AM765" s="8" t="str">
        <f ca="1">IFERROR(__xludf.DUMMYFUNCTION("""COMPUTED_VALUE"""),"No")</f>
        <v>No</v>
      </c>
      <c r="AN765" s="8" t="str">
        <f ca="1">IFERROR(__xludf.DUMMYFUNCTION("""COMPUTED_VALUE"""),"Single Room")</f>
        <v>Single Room</v>
      </c>
      <c r="AO765" s="8"/>
      <c r="AP765" s="8"/>
      <c r="AQ765" s="8"/>
      <c r="AR765" s="8" t="str">
        <f ca="1">IFERROR(__xludf.DUMMYFUNCTION("""COMPUTED_VALUE"""),"Outside/Off-Property")</f>
        <v>Outside/Off-Property</v>
      </c>
      <c r="AS765" s="8">
        <f ca="1">IFERROR(__xludf.DUMMYFUNCTION("""COMPUTED_VALUE"""),1)</f>
        <v>1</v>
      </c>
      <c r="AT765" s="8" t="str">
        <f ca="1">IFERROR(__xludf.DUMMYFUNCTION("""COMPUTED_VALUE"""),"Yes")</f>
        <v>Yes</v>
      </c>
      <c r="AU765" s="8">
        <f ca="1">IFERROR(__xludf.DUMMYFUNCTION("""COMPUTED_VALUE"""),36.069158)</f>
        <v>36.069158000000002</v>
      </c>
      <c r="AV765" s="8">
        <f ca="1">IFERROR(__xludf.DUMMYFUNCTION("""COMPUTED_VALUE"""),-80.27129)</f>
        <v>-80.271289999999993</v>
      </c>
      <c r="AW765" s="8"/>
      <c r="AX765" s="8">
        <f ca="1">IFERROR(__xludf.DUMMYFUNCTION("""COMPUTED_VALUE"""),27157)</f>
        <v>27157</v>
      </c>
    </row>
    <row r="766" spans="1:50" ht="75" x14ac:dyDescent="0.2">
      <c r="A766" s="8" t="str">
        <f ca="1">IFERROR(__xludf.DUMMYFUNCTION("""COMPUTED_VALUE"""),"20230329MDBRO")</f>
        <v>20230329MDBRO</v>
      </c>
      <c r="B766" s="8">
        <f ca="1">IFERROR(__xludf.DUMMYFUNCTION("""COMPUTED_VALUE"""),3)</f>
        <v>3</v>
      </c>
      <c r="C766" s="8">
        <f ca="1">IFERROR(__xludf.DUMMYFUNCTION("""COMPUTED_VALUE"""),29)</f>
        <v>29</v>
      </c>
      <c r="D766" s="8">
        <f ca="1">IFERROR(__xludf.DUMMYFUNCTION("""COMPUTED_VALUE"""),2023)</f>
        <v>2023</v>
      </c>
      <c r="E766" s="9">
        <f ca="1">IFERROR(__xludf.DUMMYFUNCTION("""COMPUTED_VALUE"""),45014)</f>
        <v>45014</v>
      </c>
      <c r="F766" s="8" t="str">
        <f ca="1">IFERROR(__xludf.DUMMYFUNCTION("""COMPUTED_VALUE"""),"Brooke Grove Elementary School")</f>
        <v>Brooke Grove Elementary School</v>
      </c>
      <c r="G766" s="8">
        <f ca="1">IFERROR(__xludf.DUMMYFUNCTION("""COMPUTED_VALUE"""),0)</f>
        <v>0</v>
      </c>
      <c r="H766" s="8">
        <f ca="1">IFERROR(__xludf.DUMMYFUNCTION("""COMPUTED_VALUE"""),0)</f>
        <v>0</v>
      </c>
      <c r="I766" s="8">
        <f ca="1">IFERROR(__xludf.DUMMYFUNCTION("""COMPUTED_VALUE"""),0)</f>
        <v>0</v>
      </c>
      <c r="J766" s="8">
        <f ca="1">IFERROR(__xludf.DUMMYFUNCTION("""COMPUTED_VALUE"""),0)</f>
        <v>0</v>
      </c>
      <c r="K766" s="10" t="str">
        <f ca="1">IFERROR(__xludf.DUMMYFUNCTION("""COMPUTED_VALUE"""),"https://moco360.media/2023/03/30/shooting-occurs-outside-elementary-school-in-olney/")</f>
        <v>https://moco360.media/2023/03/30/shooting-occurs-outside-elementary-school-in-olney/</v>
      </c>
      <c r="L766" s="8">
        <f ca="1">IFERROR(__xludf.DUMMYFUNCTION("""COMPUTED_VALUE"""),1)</f>
        <v>1</v>
      </c>
      <c r="M766" s="8" t="str">
        <f ca="1">IFERROR(__xludf.DUMMYFUNCTION("""COMPUTED_VALUE"""),"Local")</f>
        <v>Local</v>
      </c>
      <c r="N766" s="8">
        <f ca="1">IFERROR(__xludf.DUMMYFUNCTION("""COMPUTED_VALUE"""),3)</f>
        <v>3</v>
      </c>
      <c r="O766" s="8" t="str">
        <f ca="1">IFERROR(__xludf.DUMMYFUNCTION("""COMPUTED_VALUE"""),"Spring")</f>
        <v>Spring</v>
      </c>
      <c r="P766" s="8" t="str">
        <f ca="1">IFERROR(__xludf.DUMMYFUNCTION("""COMPUTED_VALUE"""),"Olney")</f>
        <v>Olney</v>
      </c>
      <c r="Q766" s="8" t="str">
        <f ca="1">IFERROR(__xludf.DUMMYFUNCTION("""COMPUTED_VALUE"""),"MD")</f>
        <v>MD</v>
      </c>
      <c r="R766" s="8" t="str">
        <f ca="1">IFERROR(__xludf.DUMMYFUNCTION("""COMPUTED_VALUE"""),"Middle")</f>
        <v>Middle</v>
      </c>
      <c r="S766" s="8" t="str">
        <f ca="1">IFERROR(__xludf.DUMMYFUNCTION("""COMPUTED_VALUE"""),"Parking Lot")</f>
        <v>Parking Lot</v>
      </c>
      <c r="T766" s="8" t="str">
        <f ca="1">IFERROR(__xludf.DUMMYFUNCTION("""COMPUTED_VALUE"""),"Outside on School Property")</f>
        <v>Outside on School Property</v>
      </c>
      <c r="U766" s="8" t="str">
        <f ca="1">IFERROR(__xludf.DUMMYFUNCTION("""COMPUTED_VALUE"""),"No")</f>
        <v>No</v>
      </c>
      <c r="V766" s="8" t="str">
        <f ca="1">IFERROR(__xludf.DUMMYFUNCTION("""COMPUTED_VALUE"""),"Evening")</f>
        <v>Evening</v>
      </c>
      <c r="W766" s="11">
        <f ca="1">IFERROR(__xludf.DUMMYFUNCTION("""COMPUTED_VALUE"""),0.782638888888888)</f>
        <v>0.782638888888888</v>
      </c>
      <c r="X766" s="8">
        <f ca="1">IFERROR(__xludf.DUMMYFUNCTION("""COMPUTED_VALUE"""),1)</f>
        <v>1</v>
      </c>
      <c r="Y766" s="12" t="str">
        <f ca="1">IFERROR(__xludf.DUMMYFUNCTION("""COMPUTED_VALUE"""),"Shots fired during fight in school parking lot")</f>
        <v>Shots fired during fight in school parking lot</v>
      </c>
      <c r="Z766" s="12" t="str">
        <f ca="1">IFERROR(__xludf.DUMMYFUNCTION("""COMPUTED_VALUE"""),"According to the police, at 6:47 p.m., MCPD officers responded to 2700 Spartan Road to reports of a shooting that took place. Police stated their investigation determined that an altercation in the parking lot led to the shooting. Shooter fled. No injurie"&amp;"s.")</f>
        <v>According to the police, at 6:47 p.m., MCPD officers responded to 2700 Spartan Road to reports of a shooting that took place. Police stated their investigation determined that an altercation in the parking lot led to the shooting. Shooter fled. No injuries.</v>
      </c>
      <c r="AA766" s="8" t="str">
        <f ca="1">IFERROR(__xludf.DUMMYFUNCTION("""COMPUTED_VALUE"""),"Escalation of Dispute")</f>
        <v>Escalation of Dispute</v>
      </c>
      <c r="AB766" s="8"/>
      <c r="AC766" s="8" t="str">
        <f ca="1">IFERROR(__xludf.DUMMYFUNCTION("""COMPUTED_VALUE"""),"No")</f>
        <v>No</v>
      </c>
      <c r="AD766" s="8" t="str">
        <f ca="1">IFERROR(__xludf.DUMMYFUNCTION("""COMPUTED_VALUE"""),"Victims Targeted")</f>
        <v>Victims Targeted</v>
      </c>
      <c r="AE766" s="8" t="str">
        <f ca="1">IFERROR(__xludf.DUMMYFUNCTION("""COMPUTED_VALUE"""),"No")</f>
        <v>No</v>
      </c>
      <c r="AF766" s="8"/>
      <c r="AG766" s="8" t="str">
        <f ca="1">IFERROR(__xludf.DUMMYFUNCTION("""COMPUTED_VALUE"""),"No")</f>
        <v>No</v>
      </c>
      <c r="AH766" s="8" t="str">
        <f ca="1">IFERROR(__xludf.DUMMYFUNCTION("""COMPUTED_VALUE"""),"No")</f>
        <v>No</v>
      </c>
      <c r="AI766" s="8" t="str">
        <f ca="1">IFERROR(__xludf.DUMMYFUNCTION("""COMPUTED_VALUE"""),"No")</f>
        <v>No</v>
      </c>
      <c r="AJ766" s="8" t="str">
        <f ca="1">IFERROR(__xludf.DUMMYFUNCTION("""COMPUTED_VALUE"""),"No")</f>
        <v>No</v>
      </c>
      <c r="AK766" s="8" t="str">
        <f ca="1">IFERROR(__xludf.DUMMYFUNCTION("""COMPUTED_VALUE"""),"No")</f>
        <v>No</v>
      </c>
      <c r="AL766" s="8"/>
      <c r="AM766" s="8" t="str">
        <f ca="1">IFERROR(__xludf.DUMMYFUNCTION("""COMPUTED_VALUE"""),"No")</f>
        <v>No</v>
      </c>
      <c r="AN766" s="8" t="str">
        <f ca="1">IFERROR(__xludf.DUMMYFUNCTION("""COMPUTED_VALUE"""),"Outside")</f>
        <v>Outside</v>
      </c>
      <c r="AO766" s="8"/>
      <c r="AP766" s="8"/>
      <c r="AQ766" s="8"/>
      <c r="AR766" s="8" t="str">
        <f ca="1">IFERROR(__xludf.DUMMYFUNCTION("""COMPUTED_VALUE"""),"Outside/Off-Property")</f>
        <v>Outside/Off-Property</v>
      </c>
      <c r="AS766" s="8">
        <f ca="1">IFERROR(__xludf.DUMMYFUNCTION("""COMPUTED_VALUE"""),99)</f>
        <v>99</v>
      </c>
      <c r="AT766" s="8"/>
      <c r="AU766" s="8">
        <f ca="1">IFERROR(__xludf.DUMMYFUNCTION("""COMPUTED_VALUE"""),39.157222)</f>
        <v>39.157221999999997</v>
      </c>
      <c r="AV766" s="8">
        <f ca="1">IFERROR(__xludf.DUMMYFUNCTION("""COMPUTED_VALUE"""),-77.050814)</f>
        <v>-77.050814000000003</v>
      </c>
      <c r="AW766" s="8"/>
      <c r="AX766" s="8">
        <f ca="1">IFERROR(__xludf.DUMMYFUNCTION("""COMPUTED_VALUE"""),20832)</f>
        <v>20832</v>
      </c>
    </row>
    <row r="767" spans="1:50" ht="120" x14ac:dyDescent="0.2">
      <c r="A767" s="8" t="str">
        <f ca="1">IFERROR(__xludf.DUMMYFUNCTION("""COMPUTED_VALUE"""),"20230329GANED")</f>
        <v>20230329GANED</v>
      </c>
      <c r="B767" s="8">
        <f ca="1">IFERROR(__xludf.DUMMYFUNCTION("""COMPUTED_VALUE"""),3)</f>
        <v>3</v>
      </c>
      <c r="C767" s="8">
        <f ca="1">IFERROR(__xludf.DUMMYFUNCTION("""COMPUTED_VALUE"""),29)</f>
        <v>29</v>
      </c>
      <c r="D767" s="8">
        <f ca="1">IFERROR(__xludf.DUMMYFUNCTION("""COMPUTED_VALUE"""),2023)</f>
        <v>2023</v>
      </c>
      <c r="E767" s="9">
        <f ca="1">IFERROR(__xludf.DUMMYFUNCTION("""COMPUTED_VALUE"""),45014)</f>
        <v>45014</v>
      </c>
      <c r="F767" s="8" t="str">
        <f ca="1">IFERROR(__xludf.DUMMYFUNCTION("""COMPUTED_VALUE"""),"New Manchester High School")</f>
        <v>New Manchester High School</v>
      </c>
      <c r="G767" s="8">
        <f ca="1">IFERROR(__xludf.DUMMYFUNCTION("""COMPUTED_VALUE"""),0)</f>
        <v>0</v>
      </c>
      <c r="H767" s="8">
        <f ca="1">IFERROR(__xludf.DUMMYFUNCTION("""COMPUTED_VALUE"""),0)</f>
        <v>0</v>
      </c>
      <c r="I767" s="8">
        <f ca="1">IFERROR(__xludf.DUMMYFUNCTION("""COMPUTED_VALUE"""),0)</f>
        <v>0</v>
      </c>
      <c r="J767" s="8">
        <f ca="1">IFERROR(__xludf.DUMMYFUNCTION("""COMPUTED_VALUE"""),1)</f>
        <v>1</v>
      </c>
      <c r="K767" s="10" t="str">
        <f ca="1">IFERROR(__xludf.DUMMYFUNCTION("""COMPUTED_VALUE"""),"https://www.wsbtv.com/news/local/douglas-county/29-year-old-man-shot-killed-by-douglas-deputies-after-search-man-with-gun-special-olympics/6YN333WOTRG4VCEKRFD6QGI5EA/
https://www.11alive.com/article/news/crime/witness-describes-what-prompted-school-lockdo"&amp;"wn-ahead-of-douglas-co-shooting/85-6e07b403-2bbc-4cdc-8ff0-e00ed53d1d81
https://www.atlantanewsfirst.com/2023/03/29/douglas-county-sheriff-looking-man-involved-shooting-near-high-school/")</f>
        <v>https://www.wsbtv.com/news/local/douglas-county/29-year-old-man-shot-killed-by-douglas-deputies-after-search-man-with-gun-special-olympics/6YN333WOTRG4VCEKRFD6QGI5EA/
https://www.11alive.com/article/news/crime/witness-describes-what-prompted-school-lockdown-ahead-of-douglas-co-shooting/85-6e07b403-2bbc-4cdc-8ff0-e00ed53d1d81
https://www.atlantanewsfirst.com/2023/03/29/douglas-county-sheriff-looking-man-involved-shooting-near-high-school/</v>
      </c>
      <c r="L767" s="8">
        <f ca="1">IFERROR(__xludf.DUMMYFUNCTION("""COMPUTED_VALUE"""),10)</f>
        <v>10</v>
      </c>
      <c r="M767" s="8" t="str">
        <f ca="1">IFERROR(__xludf.DUMMYFUNCTION("""COMPUTED_VALUE"""),"Regional")</f>
        <v>Regional</v>
      </c>
      <c r="N767" s="8">
        <f ca="1">IFERROR(__xludf.DUMMYFUNCTION("""COMPUTED_VALUE"""),4)</f>
        <v>4</v>
      </c>
      <c r="O767" s="8" t="str">
        <f ca="1">IFERROR(__xludf.DUMMYFUNCTION("""COMPUTED_VALUE"""),"Spring")</f>
        <v>Spring</v>
      </c>
      <c r="P767" s="8" t="str">
        <f ca="1">IFERROR(__xludf.DUMMYFUNCTION("""COMPUTED_VALUE"""),"Douglasville")</f>
        <v>Douglasville</v>
      </c>
      <c r="Q767" s="8" t="str">
        <f ca="1">IFERROR(__xludf.DUMMYFUNCTION("""COMPUTED_VALUE"""),"GA")</f>
        <v>GA</v>
      </c>
      <c r="R767" s="8" t="str">
        <f ca="1">IFERROR(__xludf.DUMMYFUNCTION("""COMPUTED_VALUE"""),"High")</f>
        <v>High</v>
      </c>
      <c r="S767" s="8" t="str">
        <f ca="1">IFERROR(__xludf.DUMMYFUNCTION("""COMPUTED_VALUE"""),"Football Field/Track")</f>
        <v>Football Field/Track</v>
      </c>
      <c r="T767" s="8" t="str">
        <f ca="1">IFERROR(__xludf.DUMMYFUNCTION("""COMPUTED_VALUE"""),"Outside on School Property")</f>
        <v>Outside on School Property</v>
      </c>
      <c r="U767" s="8" t="str">
        <f ca="1">IFERROR(__xludf.DUMMYFUNCTION("""COMPUTED_VALUE"""),"Yes")</f>
        <v>Yes</v>
      </c>
      <c r="V767" s="8" t="str">
        <f ca="1">IFERROR(__xludf.DUMMYFUNCTION("""COMPUTED_VALUE"""),"Morning Classes")</f>
        <v>Morning Classes</v>
      </c>
      <c r="W767" s="11">
        <f ca="1">IFERROR(__xludf.DUMMYFUNCTION("""COMPUTED_VALUE"""),0.470833333333333)</f>
        <v>0.47083333333333299</v>
      </c>
      <c r="X767" s="8">
        <f ca="1">IFERROR(__xludf.DUMMYFUNCTION("""COMPUTED_VALUE"""),5)</f>
        <v>5</v>
      </c>
      <c r="Y767" s="12" t="str">
        <f ca="1">IFERROR(__xludf.DUMMYFUNCTION("""COMPUTED_VALUE"""),"Man was see holding gun at school event, chased from school by SRO, killed at nearby residence after shooting at police")</f>
        <v>Man was see holding gun at school event, chased from school by SRO, killed at nearby residence after shooting at police</v>
      </c>
      <c r="Z767" s="12" t="str">
        <f ca="1">IFERROR(__xludf.DUMMYFUNCTION("""COMPUTED_VALUE"""),"Man holding a gun was seen at the New Manchester High School Special Olympics event being held in the football stadium. When SRO approached man, he ran from the stadium to a nearby residence. When police confronted him at the residence, he fired shots at "&amp;"officers and was killed.")</f>
        <v>Man holding a gun was seen at the New Manchester High School Special Olympics event being held in the football stadium. When SRO approached man, he ran from the stadium to a nearby residence. When police confronted him at the residence, he fired shots at officers and was killed.</v>
      </c>
      <c r="AA767" s="8"/>
      <c r="AB767" s="8"/>
      <c r="AC767" s="8" t="str">
        <f ca="1">IFERROR(__xludf.DUMMYFUNCTION("""COMPUTED_VALUE"""),"Yes")</f>
        <v>Yes</v>
      </c>
      <c r="AD767" s="8" t="str">
        <f ca="1">IFERROR(__xludf.DUMMYFUNCTION("""COMPUTED_VALUE"""),"Neither")</f>
        <v>Neither</v>
      </c>
      <c r="AE767" s="8" t="str">
        <f ca="1">IFERROR(__xludf.DUMMYFUNCTION("""COMPUTED_VALUE"""),"No")</f>
        <v>No</v>
      </c>
      <c r="AF767" s="8"/>
      <c r="AG767" s="8" t="str">
        <f ca="1">IFERROR(__xludf.DUMMYFUNCTION("""COMPUTED_VALUE"""),"No")</f>
        <v>No</v>
      </c>
      <c r="AH767" s="8" t="str">
        <f ca="1">IFERROR(__xludf.DUMMYFUNCTION("""COMPUTED_VALUE"""),"No")</f>
        <v>No</v>
      </c>
      <c r="AI767" s="8" t="str">
        <f ca="1">IFERROR(__xludf.DUMMYFUNCTION("""COMPUTED_VALUE"""),"No")</f>
        <v>No</v>
      </c>
      <c r="AJ767" s="8" t="str">
        <f ca="1">IFERROR(__xludf.DUMMYFUNCTION("""COMPUTED_VALUE"""),"No")</f>
        <v>No</v>
      </c>
      <c r="AK767" s="8" t="str">
        <f ca="1">IFERROR(__xludf.DUMMYFUNCTION("""COMPUTED_VALUE"""),"No")</f>
        <v>No</v>
      </c>
      <c r="AL767" s="8" t="str">
        <f ca="1">IFERROR(__xludf.DUMMYFUNCTION("""COMPUTED_VALUE"""),"No")</f>
        <v>No</v>
      </c>
      <c r="AM767" s="8" t="str">
        <f ca="1">IFERROR(__xludf.DUMMYFUNCTION("""COMPUTED_VALUE"""),"No")</f>
        <v>No</v>
      </c>
      <c r="AN767" s="8" t="str">
        <f ca="1">IFERROR(__xludf.DUMMYFUNCTION("""COMPUTED_VALUE"""),"Outside")</f>
        <v>Outside</v>
      </c>
      <c r="AO767" s="8"/>
      <c r="AP767" s="8" t="str">
        <f ca="1">IFERROR(__xludf.DUMMYFUNCTION("""COMPUTED_VALUE"""),"Yes")</f>
        <v>Yes</v>
      </c>
      <c r="AQ767" s="8" t="str">
        <f ca="1">IFERROR(__xludf.DUMMYFUNCTION("""COMPUTED_VALUE"""),"Armed Guards")</f>
        <v>Armed Guards</v>
      </c>
      <c r="AR767" s="8" t="str">
        <f ca="1">IFERROR(__xludf.DUMMYFUNCTION("""COMPUTED_VALUE"""),"Outside/Off-Property")</f>
        <v>Outside/Off-Property</v>
      </c>
      <c r="AS767" s="8">
        <f ca="1">IFERROR(__xludf.DUMMYFUNCTION("""COMPUTED_VALUE"""),0)</f>
        <v>0</v>
      </c>
      <c r="AT767" s="8" t="str">
        <f ca="1">IFERROR(__xludf.DUMMYFUNCTION("""COMPUTED_VALUE"""),"No")</f>
        <v>No</v>
      </c>
      <c r="AU767" s="8">
        <f ca="1">IFERROR(__xludf.DUMMYFUNCTION("""COMPUTED_VALUE"""),33.676588)</f>
        <v>33.676588000000002</v>
      </c>
      <c r="AV767" s="8">
        <f ca="1">IFERROR(__xludf.DUMMYFUNCTION("""COMPUTED_VALUE"""),-84.664861)</f>
        <v>-84.664861000000002</v>
      </c>
      <c r="AW767" s="8"/>
      <c r="AX767" s="8">
        <f ca="1">IFERROR(__xludf.DUMMYFUNCTION("""COMPUTED_VALUE"""),30135)</f>
        <v>30135</v>
      </c>
    </row>
    <row r="768" spans="1:50" ht="195" x14ac:dyDescent="0.2">
      <c r="A768" s="8" t="str">
        <f ca="1">IFERROR(__xludf.DUMMYFUNCTION("""COMPUTED_VALUE"""),"20230327TNCON")</f>
        <v>20230327TNCON</v>
      </c>
      <c r="B768" s="8">
        <f ca="1">IFERROR(__xludf.DUMMYFUNCTION("""COMPUTED_VALUE"""),3)</f>
        <v>3</v>
      </c>
      <c r="C768" s="8">
        <f ca="1">IFERROR(__xludf.DUMMYFUNCTION("""COMPUTED_VALUE"""),27)</f>
        <v>27</v>
      </c>
      <c r="D768" s="8">
        <f ca="1">IFERROR(__xludf.DUMMYFUNCTION("""COMPUTED_VALUE"""),2023)</f>
        <v>2023</v>
      </c>
      <c r="E768" s="9">
        <f ca="1">IFERROR(__xludf.DUMMYFUNCTION("""COMPUTED_VALUE"""),45012)</f>
        <v>45012</v>
      </c>
      <c r="F768" s="8" t="str">
        <f ca="1">IFERROR(__xludf.DUMMYFUNCTION("""COMPUTED_VALUE"""),"Covenant School")</f>
        <v>Covenant School</v>
      </c>
      <c r="G768" s="8">
        <f ca="1">IFERROR(__xludf.DUMMYFUNCTION("""COMPUTED_VALUE"""),6)</f>
        <v>6</v>
      </c>
      <c r="H768" s="8">
        <f ca="1">IFERROR(__xludf.DUMMYFUNCTION("""COMPUTED_VALUE"""),1)</f>
        <v>1</v>
      </c>
      <c r="I768" s="8">
        <f ca="1">IFERROR(__xludf.DUMMYFUNCTION("""COMPUTED_VALUE"""),7)</f>
        <v>7</v>
      </c>
      <c r="J768" s="8">
        <f ca="1">IFERROR(__xludf.DUMMYFUNCTION("""COMPUTED_VALUE"""),1)</f>
        <v>1</v>
      </c>
      <c r="K768" s="8" t="str">
        <f ca="1">IFERROR(__xludf.DUMMYFUNCTION("""COMPUTED_VALUE"""),"https://www.wkrn.com/news/local-news/nashville/covenant-school-mass-shooting/nashville-school-shooting-timeline/
https://www.cnn.com/2023/04/03/us/covenant-school-shooting-nashville-tennessee-monday/index.html")</f>
        <v>https://www.wkrn.com/news/local-news/nashville/covenant-school-mass-shooting/nashville-school-shooting-timeline/
https://www.cnn.com/2023/04/03/us/covenant-school-shooting-nashville-tennessee-monday/index.html</v>
      </c>
      <c r="L768" s="8">
        <f ca="1">IFERROR(__xludf.DUMMYFUNCTION("""COMPUTED_VALUE"""),999)</f>
        <v>999</v>
      </c>
      <c r="M768" s="8" t="str">
        <f ca="1">IFERROR(__xludf.DUMMYFUNCTION("""COMPUTED_VALUE"""),"International")</f>
        <v>International</v>
      </c>
      <c r="N768" s="8">
        <f ca="1">IFERROR(__xludf.DUMMYFUNCTION("""COMPUTED_VALUE"""),4)</f>
        <v>4</v>
      </c>
      <c r="O768" s="8" t="str">
        <f ca="1">IFERROR(__xludf.DUMMYFUNCTION("""COMPUTED_VALUE"""),"Spring")</f>
        <v>Spring</v>
      </c>
      <c r="P768" s="8" t="str">
        <f ca="1">IFERROR(__xludf.DUMMYFUNCTION("""COMPUTED_VALUE"""),"Nashville")</f>
        <v>Nashville</v>
      </c>
      <c r="Q768" s="8" t="str">
        <f ca="1">IFERROR(__xludf.DUMMYFUNCTION("""COMPUTED_VALUE"""),"TN")</f>
        <v>TN</v>
      </c>
      <c r="R768" s="8" t="str">
        <f ca="1">IFERROR(__xludf.DUMMYFUNCTION("""COMPUTED_VALUE"""),"Elementary")</f>
        <v>Elementary</v>
      </c>
      <c r="S768" s="8" t="str">
        <f ca="1">IFERROR(__xludf.DUMMYFUNCTION("""COMPUTED_VALUE"""),"Inside School Building")</f>
        <v>Inside School Building</v>
      </c>
      <c r="T768" s="8" t="str">
        <f ca="1">IFERROR(__xludf.DUMMYFUNCTION("""COMPUTED_VALUE"""),"Inside School Building")</f>
        <v>Inside School Building</v>
      </c>
      <c r="U768" s="8" t="str">
        <f ca="1">IFERROR(__xludf.DUMMYFUNCTION("""COMPUTED_VALUE"""),"Yes")</f>
        <v>Yes</v>
      </c>
      <c r="V768" s="8" t="str">
        <f ca="1">IFERROR(__xludf.DUMMYFUNCTION("""COMPUTED_VALUE"""),"Morning Classes")</f>
        <v>Morning Classes</v>
      </c>
      <c r="W768" s="11">
        <f ca="1">IFERROR(__xludf.DUMMYFUNCTION("""COMPUTED_VALUE"""),0.423611111111111)</f>
        <v>0.42361111111111099</v>
      </c>
      <c r="X768" s="8">
        <f ca="1">IFERROR(__xludf.DUMMYFUNCTION("""COMPUTED_VALUE"""),17)</f>
        <v>17</v>
      </c>
      <c r="Y768" s="12" t="str">
        <f ca="1">IFERROR(__xludf.DUMMYFUNCTION("""COMPUTED_VALUE"""),"Planned by former student with 3 firearms")</f>
        <v>Planned by former student with 3 firearms</v>
      </c>
      <c r="Z768" s="12" t="str">
        <f ca="1">IFERROR(__xludf.DUMMYFUNCTION("""COMPUTED_VALUE"""),"10:10 a.m. | The timestamp on the footage shows Hale breaking the glass doors with gunfire at around 10:10 a.m. 
10:13 a.m. | Police said the first call came into 911 at 10:13 a.m., at which time officers were dispatched to the school.
Surveillance video "&amp;"from the school shows Hale, holding an assault-style rifle, traversing through the school and looking into multiple rooms around 10:20 a.m.
10:24 a.m. | According to Metro Police Chief John Drake, by 10:24 a.m., officers were on the scene engaged with Hal"&amp;"e.
10:27 a.m. | Hale was shot and killed by two of the five-member team that arrived on scene first.
Shots fired: 126 5.56 rifle rounds, and 26 9 mm rounds")</f>
        <v>10:10 a.m. | The timestamp on the footage shows Hale breaking the glass doors with gunfire at around 10:10 a.m. 
10:13 a.m. | Police said the first call came into 911 at 10:13 a.m., at which time officers were dispatched to the school.
Surveillance video from the school shows Hale, holding an assault-style rifle, traversing through the school and looking into multiple rooms around 10:20 a.m.
10:24 a.m. | According to Metro Police Chief John Drake, by 10:24 a.m., officers were on the scene engaged with Hale.
10:27 a.m. | Hale was shot and killed by two of the five-member team that arrived on scene first.
Shots fired: 126 5.56 rifle rounds, and 26 9 mm rounds</v>
      </c>
      <c r="AA768" s="8" t="str">
        <f ca="1">IFERROR(__xludf.DUMMYFUNCTION("""COMPUTED_VALUE"""),"Indiscriminate Shooting")</f>
        <v>Indiscriminate Shooting</v>
      </c>
      <c r="AB768" s="8"/>
      <c r="AC768" s="8" t="str">
        <f ca="1">IFERROR(__xludf.DUMMYFUNCTION("""COMPUTED_VALUE"""),"Yes")</f>
        <v>Yes</v>
      </c>
      <c r="AD768" s="8" t="str">
        <f ca="1">IFERROR(__xludf.DUMMYFUNCTION("""COMPUTED_VALUE"""),"Random Shooting")</f>
        <v>Random Shooting</v>
      </c>
      <c r="AE768" s="8" t="str">
        <f ca="1">IFERROR(__xludf.DUMMYFUNCTION("""COMPUTED_VALUE"""),"No")</f>
        <v>No</v>
      </c>
      <c r="AF768" s="8"/>
      <c r="AG768" s="8" t="str">
        <f ca="1">IFERROR(__xludf.DUMMYFUNCTION("""COMPUTED_VALUE"""),"No")</f>
        <v>No</v>
      </c>
      <c r="AH768" s="8" t="str">
        <f ca="1">IFERROR(__xludf.DUMMYFUNCTION("""COMPUTED_VALUE"""),"No")</f>
        <v>No</v>
      </c>
      <c r="AI768" s="8" t="str">
        <f ca="1">IFERROR(__xludf.DUMMYFUNCTION("""COMPUTED_VALUE"""),"No")</f>
        <v>No</v>
      </c>
      <c r="AJ768" s="8"/>
      <c r="AK768" s="8" t="str">
        <f ca="1">IFERROR(__xludf.DUMMYFUNCTION("""COMPUTED_VALUE"""),"No")</f>
        <v>No</v>
      </c>
      <c r="AL768" s="8" t="str">
        <f ca="1">IFERROR(__xludf.DUMMYFUNCTION("""COMPUTED_VALUE"""),"No")</f>
        <v>No</v>
      </c>
      <c r="AM768" s="8" t="str">
        <f ca="1">IFERROR(__xludf.DUMMYFUNCTION("""COMPUTED_VALUE"""),"Yes")</f>
        <v>Yes</v>
      </c>
      <c r="AN768" s="8" t="str">
        <f ca="1">IFERROR(__xludf.DUMMYFUNCTION("""COMPUTED_VALUE"""),"Multiple Rooms")</f>
        <v>Multiple Rooms</v>
      </c>
      <c r="AO768" s="8" t="str">
        <f ca="1">IFERROR(__xludf.DUMMYFUNCTION("""COMPUTED_VALUE"""),"Yes")</f>
        <v>Yes</v>
      </c>
      <c r="AP768" s="8" t="str">
        <f ca="1">IFERROR(__xludf.DUMMYFUNCTION("""COMPUTED_VALUE"""),"No")</f>
        <v>No</v>
      </c>
      <c r="AQ768" s="8" t="str">
        <f ca="1">IFERROR(__xludf.DUMMYFUNCTION("""COMPUTED_VALUE"""),"None")</f>
        <v>None</v>
      </c>
      <c r="AR768" s="8" t="str">
        <f ca="1">IFERROR(__xludf.DUMMYFUNCTION("""COMPUTED_VALUE"""),"NA")</f>
        <v>NA</v>
      </c>
      <c r="AS768" s="8">
        <f ca="1">IFERROR(__xludf.DUMMYFUNCTION("""COMPUTED_VALUE"""),152)</f>
        <v>152</v>
      </c>
      <c r="AT768" s="8" t="str">
        <f ca="1">IFERROR(__xludf.DUMMYFUNCTION("""COMPUTED_VALUE"""),"Yes")</f>
        <v>Yes</v>
      </c>
      <c r="AU768" s="8">
        <f ca="1">IFERROR(__xludf.DUMMYFUNCTION("""COMPUTED_VALUE"""),36.0933610124735)</f>
        <v>36.093361012473501</v>
      </c>
      <c r="AV768" s="8">
        <f ca="1">IFERROR(__xludf.DUMMYFUNCTION("""COMPUTED_VALUE"""),-86.8258670890658)</f>
        <v>-86.825867089065795</v>
      </c>
      <c r="AW768" s="8"/>
      <c r="AX768" s="8">
        <f ca="1">IFERROR(__xludf.DUMMYFUNCTION("""COMPUTED_VALUE"""),37215)</f>
        <v>37215</v>
      </c>
    </row>
    <row r="769" spans="1:50" ht="60" x14ac:dyDescent="0.2">
      <c r="A769" s="8" t="str">
        <f ca="1">IFERROR(__xludf.DUMMYFUNCTION("""COMPUTED_VALUE"""),"20230324NJTHM")</f>
        <v>20230324NJTHM</v>
      </c>
      <c r="B769" s="8">
        <f ca="1">IFERROR(__xludf.DUMMYFUNCTION("""COMPUTED_VALUE"""),3)</f>
        <v>3</v>
      </c>
      <c r="C769" s="8">
        <f ca="1">IFERROR(__xludf.DUMMYFUNCTION("""COMPUTED_VALUE"""),24)</f>
        <v>24</v>
      </c>
      <c r="D769" s="8">
        <f ca="1">IFERROR(__xludf.DUMMYFUNCTION("""COMPUTED_VALUE"""),2023)</f>
        <v>2023</v>
      </c>
      <c r="E769" s="9">
        <f ca="1">IFERROR(__xludf.DUMMYFUNCTION("""COMPUTED_VALUE"""),45009)</f>
        <v>45009</v>
      </c>
      <c r="F769" s="8" t="str">
        <f ca="1">IFERROR(__xludf.DUMMYFUNCTION("""COMPUTED_VALUE"""),"Thunderbolt Academy")</f>
        <v>Thunderbolt Academy</v>
      </c>
      <c r="G769" s="8">
        <f ca="1">IFERROR(__xludf.DUMMYFUNCTION("""COMPUTED_VALUE"""),0)</f>
        <v>0</v>
      </c>
      <c r="H769" s="8">
        <f ca="1">IFERROR(__xludf.DUMMYFUNCTION("""COMPUTED_VALUE"""),0)</f>
        <v>0</v>
      </c>
      <c r="I769" s="8">
        <f ca="1">IFERROR(__xludf.DUMMYFUNCTION("""COMPUTED_VALUE"""),0)</f>
        <v>0</v>
      </c>
      <c r="J769" s="8">
        <f ca="1">IFERROR(__xludf.DUMMYFUNCTION("""COMPUTED_VALUE"""),0)</f>
        <v>0</v>
      </c>
      <c r="K769" s="10" t="str">
        <f ca="1">IFERROR(__xludf.DUMMYFUNCTION("""COMPUTED_VALUE"""),"https://6abc.com/shots-fired-millville-public-schools-thunderbolt-academy-fire/13006988/
https://www.courierpostonline.com/story/news/local/2023/03/24/millville-nj-thunderbolt-academy-shelter-in-place-after-gun-shots/70045194007/")</f>
        <v>https://6abc.com/shots-fired-millville-public-schools-thunderbolt-academy-fire/13006988/
https://www.courierpostonline.com/story/news/local/2023/03/24/millville-nj-thunderbolt-academy-shelter-in-place-after-gun-shots/70045194007/</v>
      </c>
      <c r="L769" s="8">
        <f ca="1">IFERROR(__xludf.DUMMYFUNCTION("""COMPUTED_VALUE"""),5)</f>
        <v>5</v>
      </c>
      <c r="M769" s="8" t="str">
        <f ca="1">IFERROR(__xludf.DUMMYFUNCTION("""COMPUTED_VALUE"""),"Local")</f>
        <v>Local</v>
      </c>
      <c r="N769" s="8">
        <f ca="1">IFERROR(__xludf.DUMMYFUNCTION("""COMPUTED_VALUE"""),4)</f>
        <v>4</v>
      </c>
      <c r="O769" s="8" t="str">
        <f ca="1">IFERROR(__xludf.DUMMYFUNCTION("""COMPUTED_VALUE"""),"Spring")</f>
        <v>Spring</v>
      </c>
      <c r="P769" s="8" t="str">
        <f ca="1">IFERROR(__xludf.DUMMYFUNCTION("""COMPUTED_VALUE"""),"Millville")</f>
        <v>Millville</v>
      </c>
      <c r="Q769" s="8" t="str">
        <f ca="1">IFERROR(__xludf.DUMMYFUNCTION("""COMPUTED_VALUE"""),"NJ")</f>
        <v>NJ</v>
      </c>
      <c r="R769" s="8" t="str">
        <f ca="1">IFERROR(__xludf.DUMMYFUNCTION("""COMPUTED_VALUE"""),"High")</f>
        <v>High</v>
      </c>
      <c r="S769" s="8" t="str">
        <f ca="1">IFERROR(__xludf.DUMMYFUNCTION("""COMPUTED_VALUE"""),"Front of School")</f>
        <v>Front of School</v>
      </c>
      <c r="T769" s="8" t="str">
        <f ca="1">IFERROR(__xludf.DUMMYFUNCTION("""COMPUTED_VALUE"""),"Outside on School Property")</f>
        <v>Outside on School Property</v>
      </c>
      <c r="U769" s="8" t="str">
        <f ca="1">IFERROR(__xludf.DUMMYFUNCTION("""COMPUTED_VALUE"""),"Yes")</f>
        <v>Yes</v>
      </c>
      <c r="V769" s="8" t="str">
        <f ca="1">IFERROR(__xludf.DUMMYFUNCTION("""COMPUTED_VALUE"""),"School Start")</f>
        <v>School Start</v>
      </c>
      <c r="W769" s="11">
        <f ca="1">IFERROR(__xludf.DUMMYFUNCTION("""COMPUTED_VALUE"""),0.375)</f>
        <v>0.375</v>
      </c>
      <c r="X769" s="8">
        <f ca="1">IFERROR(__xludf.DUMMYFUNCTION("""COMPUTED_VALUE"""),1)</f>
        <v>1</v>
      </c>
      <c r="Y769" s="12" t="str">
        <f ca="1">IFERROR(__xludf.DUMMYFUNCTION("""COMPUTED_VALUE"""),"Shots fired while school bus was unloaded in front of school")</f>
        <v>Shots fired while school bus was unloaded in front of school</v>
      </c>
      <c r="Z769" s="12" t="str">
        <f ca="1">IFERROR(__xludf.DUMMYFUNCTION("""COMPUTED_VALUE"""),"Shots were fired while school bus was unloading in front of the school. School went on lockdown and dismissed early. Shooter fled.")</f>
        <v>Shots were fired while school bus was unloading in front of the school. School went on lockdown and dismissed early. Shooter fled.</v>
      </c>
      <c r="AA769" s="8"/>
      <c r="AB769" s="8"/>
      <c r="AC769" s="8" t="str">
        <f ca="1">IFERROR(__xludf.DUMMYFUNCTION("""COMPUTED_VALUE"""),"Yes")</f>
        <v>Yes</v>
      </c>
      <c r="AD769" s="8" t="str">
        <f ca="1">IFERROR(__xludf.DUMMYFUNCTION("""COMPUTED_VALUE"""),"Victims Targeted")</f>
        <v>Victims Targeted</v>
      </c>
      <c r="AE769" s="8" t="str">
        <f ca="1">IFERROR(__xludf.DUMMYFUNCTION("""COMPUTED_VALUE"""),"No")</f>
        <v>No</v>
      </c>
      <c r="AF769" s="8"/>
      <c r="AG769" s="8" t="str">
        <f ca="1">IFERROR(__xludf.DUMMYFUNCTION("""COMPUTED_VALUE"""),"No")</f>
        <v>No</v>
      </c>
      <c r="AH769" s="8" t="str">
        <f ca="1">IFERROR(__xludf.DUMMYFUNCTION("""COMPUTED_VALUE"""),"No")</f>
        <v>No</v>
      </c>
      <c r="AI769" s="8" t="str">
        <f ca="1">IFERROR(__xludf.DUMMYFUNCTION("""COMPUTED_VALUE"""),"No")</f>
        <v>No</v>
      </c>
      <c r="AJ769" s="8" t="str">
        <f ca="1">IFERROR(__xludf.DUMMYFUNCTION("""COMPUTED_VALUE"""),"No")</f>
        <v>No</v>
      </c>
      <c r="AK769" s="8" t="str">
        <f ca="1">IFERROR(__xludf.DUMMYFUNCTION("""COMPUTED_VALUE"""),"No")</f>
        <v>No</v>
      </c>
      <c r="AL769" s="8"/>
      <c r="AM769" s="8" t="str">
        <f ca="1">IFERROR(__xludf.DUMMYFUNCTION("""COMPUTED_VALUE"""),"No")</f>
        <v>No</v>
      </c>
      <c r="AN769" s="8" t="str">
        <f ca="1">IFERROR(__xludf.DUMMYFUNCTION("""COMPUTED_VALUE"""),"Outside")</f>
        <v>Outside</v>
      </c>
      <c r="AO769" s="8" t="str">
        <f ca="1">IFERROR(__xludf.DUMMYFUNCTION("""COMPUTED_VALUE"""),"No")</f>
        <v>No</v>
      </c>
      <c r="AP769" s="8"/>
      <c r="AQ769" s="8"/>
      <c r="AR769" s="8" t="str">
        <f ca="1">IFERROR(__xludf.DUMMYFUNCTION("""COMPUTED_VALUE"""),"Outside/Off-Property")</f>
        <v>Outside/Off-Property</v>
      </c>
      <c r="AS769" s="8">
        <f ca="1">IFERROR(__xludf.DUMMYFUNCTION("""COMPUTED_VALUE"""),99)</f>
        <v>99</v>
      </c>
      <c r="AT769" s="8" t="str">
        <f ca="1">IFERROR(__xludf.DUMMYFUNCTION("""COMPUTED_VALUE"""),"Yes")</f>
        <v>Yes</v>
      </c>
      <c r="AU769" s="8">
        <f ca="1">IFERROR(__xludf.DUMMYFUNCTION("""COMPUTED_VALUE"""),39.39946)</f>
        <v>39.399459999999998</v>
      </c>
      <c r="AV769" s="8">
        <f ca="1">IFERROR(__xludf.DUMMYFUNCTION("""COMPUTED_VALUE"""),-75.03483)</f>
        <v>-75.034829999999999</v>
      </c>
      <c r="AW769" s="8"/>
      <c r="AX769" s="8">
        <f ca="1">IFERROR(__xludf.DUMMYFUNCTION("""COMPUTED_VALUE"""),8332)</f>
        <v>8332</v>
      </c>
    </row>
    <row r="770" spans="1:50" ht="60" x14ac:dyDescent="0.2">
      <c r="A770" s="8" t="str">
        <f ca="1">IFERROR(__xludf.DUMMYFUNCTION("""COMPUTED_VALUE"""),"20230324INNOM")</f>
        <v>20230324INNOM</v>
      </c>
      <c r="B770" s="8">
        <f ca="1">IFERROR(__xludf.DUMMYFUNCTION("""COMPUTED_VALUE"""),3)</f>
        <v>3</v>
      </c>
      <c r="C770" s="8">
        <f ca="1">IFERROR(__xludf.DUMMYFUNCTION("""COMPUTED_VALUE"""),24)</f>
        <v>24</v>
      </c>
      <c r="D770" s="8">
        <f ca="1">IFERROR(__xludf.DUMMYFUNCTION("""COMPUTED_VALUE"""),2023)</f>
        <v>2023</v>
      </c>
      <c r="E770" s="9">
        <f ca="1">IFERROR(__xludf.DUMMYFUNCTION("""COMPUTED_VALUE"""),45009)</f>
        <v>45009</v>
      </c>
      <c r="F770" s="8" t="str">
        <f ca="1">IFERROR(__xludf.DUMMYFUNCTION("""COMPUTED_VALUE"""),"Northridge Middle School")</f>
        <v>Northridge Middle School</v>
      </c>
      <c r="G770" s="8">
        <f ca="1">IFERROR(__xludf.DUMMYFUNCTION("""COMPUTED_VALUE"""),0)</f>
        <v>0</v>
      </c>
      <c r="H770" s="8">
        <f ca="1">IFERROR(__xludf.DUMMYFUNCTION("""COMPUTED_VALUE"""),0)</f>
        <v>0</v>
      </c>
      <c r="I770" s="8">
        <f ca="1">IFERROR(__xludf.DUMMYFUNCTION("""COMPUTED_VALUE"""),0)</f>
        <v>0</v>
      </c>
      <c r="J770" s="8">
        <f ca="1">IFERROR(__xludf.DUMMYFUNCTION("""COMPUTED_VALUE"""),1)</f>
        <v>1</v>
      </c>
      <c r="K770" s="10" t="str">
        <f ca="1">IFERROR(__xludf.DUMMYFUNCTION("""COMPUTED_VALUE"""),"https://www.goshennews.com/news/death-being-investigated-at-northridge-middle-school/article_5cd42e8e-ca71-11ed-8dec-f39c178120ca.html?utm_campaign=blox&amp;utm_source=twitter&amp;utm_medium=social
https://wsbt.com/news/local/lockdown-lifted-following-emergency-a"&amp;"t-northridge-middle-school-elkhart-county-developing-dismissal")</f>
        <v>https://www.goshennews.com/news/death-being-investigated-at-northridge-middle-school/article_5cd42e8e-ca71-11ed-8dec-f39c178120ca.html?utm_campaign=blox&amp;utm_source=twitter&amp;utm_medium=social
https://wsbt.com/news/local/lockdown-lifted-following-emergency-at-northridge-middle-school-elkhart-county-developing-dismissal</v>
      </c>
      <c r="L770" s="8">
        <f ca="1">IFERROR(__xludf.DUMMYFUNCTION("""COMPUTED_VALUE"""),3)</f>
        <v>3</v>
      </c>
      <c r="M770" s="8" t="str">
        <f ca="1">IFERROR(__xludf.DUMMYFUNCTION("""COMPUTED_VALUE"""),"Local")</f>
        <v>Local</v>
      </c>
      <c r="N770" s="8">
        <f ca="1">IFERROR(__xludf.DUMMYFUNCTION("""COMPUTED_VALUE"""),4)</f>
        <v>4</v>
      </c>
      <c r="O770" s="8" t="str">
        <f ca="1">IFERROR(__xludf.DUMMYFUNCTION("""COMPUTED_VALUE"""),"Spring")</f>
        <v>Spring</v>
      </c>
      <c r="P770" s="8" t="str">
        <f ca="1">IFERROR(__xludf.DUMMYFUNCTION("""COMPUTED_VALUE"""),"Middlebury")</f>
        <v>Middlebury</v>
      </c>
      <c r="Q770" s="8" t="str">
        <f ca="1">IFERROR(__xludf.DUMMYFUNCTION("""COMPUTED_VALUE"""),"IN")</f>
        <v>IN</v>
      </c>
      <c r="R770" s="8" t="str">
        <f ca="1">IFERROR(__xludf.DUMMYFUNCTION("""COMPUTED_VALUE"""),"Middle")</f>
        <v>Middle</v>
      </c>
      <c r="S770" s="8" t="str">
        <f ca="1">IFERROR(__xludf.DUMMYFUNCTION("""COMPUTED_VALUE"""),"Parking Lot")</f>
        <v>Parking Lot</v>
      </c>
      <c r="T770" s="8" t="str">
        <f ca="1">IFERROR(__xludf.DUMMYFUNCTION("""COMPUTED_VALUE"""),"Outside on School Property")</f>
        <v>Outside on School Property</v>
      </c>
      <c r="U770" s="8" t="str">
        <f ca="1">IFERROR(__xludf.DUMMYFUNCTION("""COMPUTED_VALUE"""),"Yes")</f>
        <v>Yes</v>
      </c>
      <c r="V770" s="8" t="str">
        <f ca="1">IFERROR(__xludf.DUMMYFUNCTION("""COMPUTED_VALUE"""),"Afternoon Classes")</f>
        <v>Afternoon Classes</v>
      </c>
      <c r="W770" s="11">
        <f ca="1">IFERROR(__xludf.DUMMYFUNCTION("""COMPUTED_VALUE"""),0.541666666666666)</f>
        <v>0.54166666666666596</v>
      </c>
      <c r="X770" s="8">
        <f ca="1">IFERROR(__xludf.DUMMYFUNCTION("""COMPUTED_VALUE"""),1)</f>
        <v>1</v>
      </c>
      <c r="Y770" s="12" t="str">
        <f ca="1">IFERROR(__xludf.DUMMYFUNCTION("""COMPUTED_VALUE"""),"Teacher commit suicide in school parking lot during classes")</f>
        <v>Teacher commit suicide in school parking lot during classes</v>
      </c>
      <c r="Z770" s="12" t="str">
        <f ca="1">IFERROR(__xludf.DUMMYFUNCTION("""COMPUTED_VALUE"""),"Teacher commit suicide in the school parking lot during afternoon classes. School went on lockdown.")</f>
        <v>Teacher commit suicide in the school parking lot during afternoon classes. School went on lockdown.</v>
      </c>
      <c r="AA770" s="8" t="str">
        <f ca="1">IFERROR(__xludf.DUMMYFUNCTION("""COMPUTED_VALUE"""),"Suicide/Attempted")</f>
        <v>Suicide/Attempted</v>
      </c>
      <c r="AB770" s="8"/>
      <c r="AC770" s="8" t="str">
        <f ca="1">IFERROR(__xludf.DUMMYFUNCTION("""COMPUTED_VALUE"""),"Yes")</f>
        <v>Yes</v>
      </c>
      <c r="AD770" s="8" t="str">
        <f ca="1">IFERROR(__xludf.DUMMYFUNCTION("""COMPUTED_VALUE"""),"Victims Targeted")</f>
        <v>Victims Targeted</v>
      </c>
      <c r="AE770" s="8" t="str">
        <f ca="1">IFERROR(__xludf.DUMMYFUNCTION("""COMPUTED_VALUE"""),"No")</f>
        <v>No</v>
      </c>
      <c r="AF770" s="8"/>
      <c r="AG770" s="8" t="str">
        <f ca="1">IFERROR(__xludf.DUMMYFUNCTION("""COMPUTED_VALUE"""),"No")</f>
        <v>No</v>
      </c>
      <c r="AH770" s="8" t="str">
        <f ca="1">IFERROR(__xludf.DUMMYFUNCTION("""COMPUTED_VALUE"""),"No")</f>
        <v>No</v>
      </c>
      <c r="AI770" s="8" t="str">
        <f ca="1">IFERROR(__xludf.DUMMYFUNCTION("""COMPUTED_VALUE"""),"No")</f>
        <v>No</v>
      </c>
      <c r="AJ770" s="8" t="str">
        <f ca="1">IFERROR(__xludf.DUMMYFUNCTION("""COMPUTED_VALUE"""),"No")</f>
        <v>No</v>
      </c>
      <c r="AK770" s="8" t="str">
        <f ca="1">IFERROR(__xludf.DUMMYFUNCTION("""COMPUTED_VALUE"""),"No")</f>
        <v>No</v>
      </c>
      <c r="AL770" s="8" t="str">
        <f ca="1">IFERROR(__xludf.DUMMYFUNCTION("""COMPUTED_VALUE"""),"No")</f>
        <v>No</v>
      </c>
      <c r="AM770" s="8" t="str">
        <f ca="1">IFERROR(__xludf.DUMMYFUNCTION("""COMPUTED_VALUE"""),"No")</f>
        <v>No</v>
      </c>
      <c r="AN770" s="8" t="str">
        <f ca="1">IFERROR(__xludf.DUMMYFUNCTION("""COMPUTED_VALUE"""),"Outside")</f>
        <v>Outside</v>
      </c>
      <c r="AO770" s="8" t="str">
        <f ca="1">IFERROR(__xludf.DUMMYFUNCTION("""COMPUTED_VALUE"""),"No")</f>
        <v>No</v>
      </c>
      <c r="AP770" s="8" t="str">
        <f ca="1">IFERROR(__xludf.DUMMYFUNCTION("""COMPUTED_VALUE"""),"Yes")</f>
        <v>Yes</v>
      </c>
      <c r="AQ770" s="8"/>
      <c r="AR770" s="8" t="str">
        <f ca="1">IFERROR(__xludf.DUMMYFUNCTION("""COMPUTED_VALUE"""),"Outside/Off-Property")</f>
        <v>Outside/Off-Property</v>
      </c>
      <c r="AS770" s="8">
        <f ca="1">IFERROR(__xludf.DUMMYFUNCTION("""COMPUTED_VALUE"""),1)</f>
        <v>1</v>
      </c>
      <c r="AT770" s="8" t="str">
        <f ca="1">IFERROR(__xludf.DUMMYFUNCTION("""COMPUTED_VALUE"""),"Yes")</f>
        <v>Yes</v>
      </c>
      <c r="AU770" s="8">
        <f ca="1">IFERROR(__xludf.DUMMYFUNCTION("""COMPUTED_VALUE"""),41.673562)</f>
        <v>41.673561999999997</v>
      </c>
      <c r="AV770" s="8">
        <f ca="1">IFERROR(__xludf.DUMMYFUNCTION("""COMPUTED_VALUE"""),-85.726074)</f>
        <v>-85.726073999999997</v>
      </c>
      <c r="AW770" s="8"/>
      <c r="AX770" s="8">
        <f ca="1">IFERROR(__xludf.DUMMYFUNCTION("""COMPUTED_VALUE"""),46540)</f>
        <v>46540</v>
      </c>
    </row>
    <row r="771" spans="1:50" ht="90" x14ac:dyDescent="0.2">
      <c r="A771" s="8" t="str">
        <f ca="1">IFERROR(__xludf.DUMMYFUNCTION("""COMPUTED_VALUE"""),"20230323TNHAM")</f>
        <v>20230323TNHAM</v>
      </c>
      <c r="B771" s="8">
        <f ca="1">IFERROR(__xludf.DUMMYFUNCTION("""COMPUTED_VALUE"""),3)</f>
        <v>3</v>
      </c>
      <c r="C771" s="8">
        <f ca="1">IFERROR(__xludf.DUMMYFUNCTION("""COMPUTED_VALUE"""),23)</f>
        <v>23</v>
      </c>
      <c r="D771" s="8">
        <f ca="1">IFERROR(__xludf.DUMMYFUNCTION("""COMPUTED_VALUE"""),2023)</f>
        <v>2023</v>
      </c>
      <c r="E771" s="9">
        <f ca="1">IFERROR(__xludf.DUMMYFUNCTION("""COMPUTED_VALUE"""),45008)</f>
        <v>45008</v>
      </c>
      <c r="F771" s="8" t="str">
        <f ca="1">IFERROR(__xludf.DUMMYFUNCTION("""COMPUTED_VALUE"""),"Hamilton High Schol")</f>
        <v>Hamilton High Schol</v>
      </c>
      <c r="G771" s="8">
        <f ca="1">IFERROR(__xludf.DUMMYFUNCTION("""COMPUTED_VALUE"""),0)</f>
        <v>0</v>
      </c>
      <c r="H771" s="8">
        <f ca="1">IFERROR(__xludf.DUMMYFUNCTION("""COMPUTED_VALUE"""),0)</f>
        <v>0</v>
      </c>
      <c r="I771" s="8">
        <f ca="1">IFERROR(__xludf.DUMMYFUNCTION("""COMPUTED_VALUE"""),0)</f>
        <v>0</v>
      </c>
      <c r="J771" s="8">
        <f ca="1">IFERROR(__xludf.DUMMYFUNCTION("""COMPUTED_VALUE"""),0)</f>
        <v>0</v>
      </c>
      <c r="K771" s="10" t="str">
        <f ca="1">IFERROR(__xludf.DUMMYFUNCTION("""COMPUTED_VALUE"""),"https://www.facebook.com/mpd1827/
https://www.fox13memphis.com/news/police-looking-for-child-who-opened-fire-near-memphis-high-school-mpd-says/article_0dc7e62c-cfd6-11ed-83d7-c3a92d0c1c61.html")</f>
        <v>https://www.facebook.com/mpd1827/
https://www.fox13memphis.com/news/police-looking-for-child-who-opened-fire-near-memphis-high-school-mpd-says/article_0dc7e62c-cfd6-11ed-83d7-c3a92d0c1c61.html</v>
      </c>
      <c r="L771" s="8">
        <f ca="1">IFERROR(__xludf.DUMMYFUNCTION("""COMPUTED_VALUE"""),2)</f>
        <v>2</v>
      </c>
      <c r="M771" s="8" t="str">
        <f ca="1">IFERROR(__xludf.DUMMYFUNCTION("""COMPUTED_VALUE"""),"Local")</f>
        <v>Local</v>
      </c>
      <c r="N771" s="8">
        <f ca="1">IFERROR(__xludf.DUMMYFUNCTION("""COMPUTED_VALUE"""),4)</f>
        <v>4</v>
      </c>
      <c r="O771" s="8" t="str">
        <f ca="1">IFERROR(__xludf.DUMMYFUNCTION("""COMPUTED_VALUE"""),"Spring")</f>
        <v>Spring</v>
      </c>
      <c r="P771" s="8" t="str">
        <f ca="1">IFERROR(__xludf.DUMMYFUNCTION("""COMPUTED_VALUE"""),"Memphis")</f>
        <v>Memphis</v>
      </c>
      <c r="Q771" s="8" t="str">
        <f ca="1">IFERROR(__xludf.DUMMYFUNCTION("""COMPUTED_VALUE"""),"TN")</f>
        <v>TN</v>
      </c>
      <c r="R771" s="8" t="str">
        <f ca="1">IFERROR(__xludf.DUMMYFUNCTION("""COMPUTED_VALUE"""),"High")</f>
        <v>High</v>
      </c>
      <c r="S771" s="8" t="str">
        <f ca="1">IFERROR(__xludf.DUMMYFUNCTION("""COMPUTED_VALUE"""),"Outside on School Property")</f>
        <v>Outside on School Property</v>
      </c>
      <c r="T771" s="8" t="str">
        <f ca="1">IFERROR(__xludf.DUMMYFUNCTION("""COMPUTED_VALUE"""),"Outside on School Property")</f>
        <v>Outside on School Property</v>
      </c>
      <c r="U771" s="8" t="str">
        <f ca="1">IFERROR(__xludf.DUMMYFUNCTION("""COMPUTED_VALUE"""),"Yes")</f>
        <v>Yes</v>
      </c>
      <c r="V771" s="8" t="str">
        <f ca="1">IFERROR(__xludf.DUMMYFUNCTION("""COMPUTED_VALUE"""),"Dismissal")</f>
        <v>Dismissal</v>
      </c>
      <c r="W771" s="11">
        <f ca="1">IFERROR(__xludf.DUMMYFUNCTION("""COMPUTED_VALUE"""),0.635416666666666)</f>
        <v>0.63541666666666596</v>
      </c>
      <c r="X771" s="8">
        <f ca="1">IFERROR(__xludf.DUMMYFUNCTION("""COMPUTED_VALUE"""),1)</f>
        <v>1</v>
      </c>
      <c r="Y771" s="12" t="str">
        <f ca="1">IFERROR(__xludf.DUMMYFUNCTION("""COMPUTED_VALUE"""),"Shots fired during fight between teens")</f>
        <v>Shots fired during fight between teens</v>
      </c>
      <c r="Z771" s="12" t="str">
        <f ca="1">IFERROR(__xludf.DUMMYFUNCTION("""COMPUTED_VALUE"""),"On March 23, 2023, at 3:15 pm, Officers responded to a shooting near a school in the 1300 Block of Person Ave. When officers arrived on the scene they found several victims who had not been struck. Witness video showed a juvenile suspect fighting with a w"&amp;"eapon in his hand and then firing a shot. the suspect is approximately 12-14 years old. ")</f>
        <v xml:space="preserve">On March 23, 2023, at 3:15 pm, Officers responded to a shooting near a school in the 1300 Block of Person Ave. When officers arrived on the scene they found several victims who had not been struck. Witness video showed a juvenile suspect fighting with a weapon in his hand and then firing a shot. the suspect is approximately 12-14 years old. </v>
      </c>
      <c r="AA771" s="8" t="str">
        <f ca="1">IFERROR(__xludf.DUMMYFUNCTION("""COMPUTED_VALUE"""),"Escalation of Dispute")</f>
        <v>Escalation of Dispute</v>
      </c>
      <c r="AB771" s="8"/>
      <c r="AC771" s="8" t="str">
        <f ca="1">IFERROR(__xludf.DUMMYFUNCTION("""COMPUTED_VALUE"""),"Yes")</f>
        <v>Yes</v>
      </c>
      <c r="AD771" s="8" t="str">
        <f ca="1">IFERROR(__xludf.DUMMYFUNCTION("""COMPUTED_VALUE"""),"Victims Targeted")</f>
        <v>Victims Targeted</v>
      </c>
      <c r="AE771" s="8" t="str">
        <f ca="1">IFERROR(__xludf.DUMMYFUNCTION("""COMPUTED_VALUE"""),"No")</f>
        <v>No</v>
      </c>
      <c r="AF771" s="8"/>
      <c r="AG771" s="8" t="str">
        <f ca="1">IFERROR(__xludf.DUMMYFUNCTION("""COMPUTED_VALUE"""),"No")</f>
        <v>No</v>
      </c>
      <c r="AH771" s="8" t="str">
        <f ca="1">IFERROR(__xludf.DUMMYFUNCTION("""COMPUTED_VALUE"""),"No")</f>
        <v>No</v>
      </c>
      <c r="AI771" s="8" t="str">
        <f ca="1">IFERROR(__xludf.DUMMYFUNCTION("""COMPUTED_VALUE"""),"No")</f>
        <v>No</v>
      </c>
      <c r="AJ771" s="8"/>
      <c r="AK771" s="8" t="str">
        <f ca="1">IFERROR(__xludf.DUMMYFUNCTION("""COMPUTED_VALUE"""),"No")</f>
        <v>No</v>
      </c>
      <c r="AL771" s="8"/>
      <c r="AM771" s="8" t="str">
        <f ca="1">IFERROR(__xludf.DUMMYFUNCTION("""COMPUTED_VALUE"""),"No")</f>
        <v>No</v>
      </c>
      <c r="AN771" s="8" t="str">
        <f ca="1">IFERROR(__xludf.DUMMYFUNCTION("""COMPUTED_VALUE"""),"Outside")</f>
        <v>Outside</v>
      </c>
      <c r="AO771" s="8" t="str">
        <f ca="1">IFERROR(__xludf.DUMMYFUNCTION("""COMPUTED_VALUE"""),"No")</f>
        <v>No</v>
      </c>
      <c r="AP771" s="8"/>
      <c r="AQ771" s="8"/>
      <c r="AR771" s="8" t="str">
        <f ca="1">IFERROR(__xludf.DUMMYFUNCTION("""COMPUTED_VALUE"""),"Outside/Off-Property")</f>
        <v>Outside/Off-Property</v>
      </c>
      <c r="AS771" s="8">
        <f ca="1">IFERROR(__xludf.DUMMYFUNCTION("""COMPUTED_VALUE"""),99)</f>
        <v>99</v>
      </c>
      <c r="AT771" s="8"/>
      <c r="AU771" s="8">
        <f ca="1">IFERROR(__xludf.DUMMYFUNCTION("""COMPUTED_VALUE"""),35.10056)</f>
        <v>35.100560000000002</v>
      </c>
      <c r="AV771" s="8">
        <f ca="1">IFERROR(__xludf.DUMMYFUNCTION("""COMPUTED_VALUE"""),-90.017481)</f>
        <v>-90.017481000000004</v>
      </c>
      <c r="AW771" s="8"/>
      <c r="AX771" s="8">
        <f ca="1">IFERROR(__xludf.DUMMYFUNCTION("""COMPUTED_VALUE"""),38114)</f>
        <v>38114</v>
      </c>
    </row>
    <row r="772" spans="1:50" ht="60" x14ac:dyDescent="0.2">
      <c r="A772" s="8" t="str">
        <f ca="1">IFERROR(__xludf.DUMMYFUNCTION("""COMPUTED_VALUE"""),"20230322PAHAP")</f>
        <v>20230322PAHAP</v>
      </c>
      <c r="B772" s="8">
        <f ca="1">IFERROR(__xludf.DUMMYFUNCTION("""COMPUTED_VALUE"""),3)</f>
        <v>3</v>
      </c>
      <c r="C772" s="8">
        <f ca="1">IFERROR(__xludf.DUMMYFUNCTION("""COMPUTED_VALUE"""),22)</f>
        <v>22</v>
      </c>
      <c r="D772" s="8">
        <f ca="1">IFERROR(__xludf.DUMMYFUNCTION("""COMPUTED_VALUE"""),2023)</f>
        <v>2023</v>
      </c>
      <c r="E772" s="9">
        <f ca="1">IFERROR(__xludf.DUMMYFUNCTION("""COMPUTED_VALUE"""),45007)</f>
        <v>45007</v>
      </c>
      <c r="F772" s="8" t="str">
        <f ca="1">IFERROR(__xludf.DUMMYFUNCTION("""COMPUTED_VALUE"""),"Hardy Williams Mastery Charter School")</f>
        <v>Hardy Williams Mastery Charter School</v>
      </c>
      <c r="G772" s="8">
        <f ca="1">IFERROR(__xludf.DUMMYFUNCTION("""COMPUTED_VALUE"""),0)</f>
        <v>0</v>
      </c>
      <c r="H772" s="8">
        <f ca="1">IFERROR(__xludf.DUMMYFUNCTION("""COMPUTED_VALUE"""),0)</f>
        <v>0</v>
      </c>
      <c r="I772" s="8">
        <f ca="1">IFERROR(__xludf.DUMMYFUNCTION("""COMPUTED_VALUE"""),0)</f>
        <v>0</v>
      </c>
      <c r="J772" s="8">
        <f ca="1">IFERROR(__xludf.DUMMYFUNCTION("""COMPUTED_VALUE"""),0)</f>
        <v>0</v>
      </c>
      <c r="K772" s="10" t="str">
        <f ca="1">IFERROR(__xludf.DUMMYFUNCTION("""COMPUTED_VALUE"""),"https://6abc.com/kingsessing-school-lockdown-hardy-williams-charter-warrington-avenue-shooting-philadelphia/12991741/")</f>
        <v>https://6abc.com/kingsessing-school-lockdown-hardy-williams-charter-warrington-avenue-shooting-philadelphia/12991741/</v>
      </c>
      <c r="L772" s="8">
        <f ca="1">IFERROR(__xludf.DUMMYFUNCTION("""COMPUTED_VALUE"""),1)</f>
        <v>1</v>
      </c>
      <c r="M772" s="8" t="str">
        <f ca="1">IFERROR(__xludf.DUMMYFUNCTION("""COMPUTED_VALUE"""),"Local")</f>
        <v>Local</v>
      </c>
      <c r="N772" s="8">
        <f ca="1">IFERROR(__xludf.DUMMYFUNCTION("""COMPUTED_VALUE"""),4)</f>
        <v>4</v>
      </c>
      <c r="O772" s="8" t="str">
        <f ca="1">IFERROR(__xludf.DUMMYFUNCTION("""COMPUTED_VALUE"""),"Spring")</f>
        <v>Spring</v>
      </c>
      <c r="P772" s="8" t="str">
        <f ca="1">IFERROR(__xludf.DUMMYFUNCTION("""COMPUTED_VALUE"""),"Philadelphia")</f>
        <v>Philadelphia</v>
      </c>
      <c r="Q772" s="8" t="str">
        <f ca="1">IFERROR(__xludf.DUMMYFUNCTION("""COMPUTED_VALUE"""),"PA")</f>
        <v>PA</v>
      </c>
      <c r="R772" s="8" t="str">
        <f ca="1">IFERROR(__xludf.DUMMYFUNCTION("""COMPUTED_VALUE"""),"K-12")</f>
        <v>K-12</v>
      </c>
      <c r="S772" s="8" t="str">
        <f ca="1">IFERROR(__xludf.DUMMYFUNCTION("""COMPUTED_VALUE"""),"Beside Building")</f>
        <v>Beside Building</v>
      </c>
      <c r="T772" s="8" t="str">
        <f ca="1">IFERROR(__xludf.DUMMYFUNCTION("""COMPUTED_VALUE"""),"Outside on School Property")</f>
        <v>Outside on School Property</v>
      </c>
      <c r="U772" s="8" t="str">
        <f ca="1">IFERROR(__xludf.DUMMYFUNCTION("""COMPUTED_VALUE"""),"Yes")</f>
        <v>Yes</v>
      </c>
      <c r="V772" s="8" t="str">
        <f ca="1">IFERROR(__xludf.DUMMYFUNCTION("""COMPUTED_VALUE"""),"Afternoon Classes")</f>
        <v>Afternoon Classes</v>
      </c>
      <c r="W772" s="11">
        <f ca="1">IFERROR(__xludf.DUMMYFUNCTION("""COMPUTED_VALUE"""),0.604166666666666)</f>
        <v>0.60416666666666596</v>
      </c>
      <c r="X772" s="8">
        <f ca="1">IFERROR(__xludf.DUMMYFUNCTION("""COMPUTED_VALUE"""),1)</f>
        <v>1</v>
      </c>
      <c r="Y772" s="12" t="str">
        <f ca="1">IFERROR(__xludf.DUMMYFUNCTION("""COMPUTED_VALUE"""),"School went on lockdown when multiple shots were fired outside")</f>
        <v>School went on lockdown when multiple shots were fired outside</v>
      </c>
      <c r="Z772" s="12" t="str">
        <f ca="1">IFERROR(__xludf.DUMMYFUNCTION("""COMPUTED_VALUE"""),"School went on lockdown when multiple shots were fired outside. Shooter fled. No students were injured.")</f>
        <v>School went on lockdown when multiple shots were fired outside. Shooter fled. No students were injured.</v>
      </c>
      <c r="AA772" s="8"/>
      <c r="AB772" s="8"/>
      <c r="AC772" s="8" t="str">
        <f ca="1">IFERROR(__xludf.DUMMYFUNCTION("""COMPUTED_VALUE"""),"Yes")</f>
        <v>Yes</v>
      </c>
      <c r="AD772" s="8" t="str">
        <f ca="1">IFERROR(__xludf.DUMMYFUNCTION("""COMPUTED_VALUE"""),"Victims Targeted")</f>
        <v>Victims Targeted</v>
      </c>
      <c r="AE772" s="8" t="str">
        <f ca="1">IFERROR(__xludf.DUMMYFUNCTION("""COMPUTED_VALUE"""),"No")</f>
        <v>No</v>
      </c>
      <c r="AF772" s="8"/>
      <c r="AG772" s="8" t="str">
        <f ca="1">IFERROR(__xludf.DUMMYFUNCTION("""COMPUTED_VALUE"""),"No")</f>
        <v>No</v>
      </c>
      <c r="AH772" s="8" t="str">
        <f ca="1">IFERROR(__xludf.DUMMYFUNCTION("""COMPUTED_VALUE"""),"No")</f>
        <v>No</v>
      </c>
      <c r="AI772" s="8" t="str">
        <f ca="1">IFERROR(__xludf.DUMMYFUNCTION("""COMPUTED_VALUE"""),"No")</f>
        <v>No</v>
      </c>
      <c r="AJ772" s="8" t="str">
        <f ca="1">IFERROR(__xludf.DUMMYFUNCTION("""COMPUTED_VALUE"""),"No")</f>
        <v>No</v>
      </c>
      <c r="AK772" s="8" t="str">
        <f ca="1">IFERROR(__xludf.DUMMYFUNCTION("""COMPUTED_VALUE"""),"No")</f>
        <v>No</v>
      </c>
      <c r="AL772" s="8"/>
      <c r="AM772" s="8" t="str">
        <f ca="1">IFERROR(__xludf.DUMMYFUNCTION("""COMPUTED_VALUE"""),"No")</f>
        <v>No</v>
      </c>
      <c r="AN772" s="8" t="str">
        <f ca="1">IFERROR(__xludf.DUMMYFUNCTION("""COMPUTED_VALUE"""),"Outside")</f>
        <v>Outside</v>
      </c>
      <c r="AO772" s="8" t="str">
        <f ca="1">IFERROR(__xludf.DUMMYFUNCTION("""COMPUTED_VALUE"""),"No")</f>
        <v>No</v>
      </c>
      <c r="AP772" s="8"/>
      <c r="AQ772" s="8"/>
      <c r="AR772" s="8" t="str">
        <f ca="1">IFERROR(__xludf.DUMMYFUNCTION("""COMPUTED_VALUE"""),"Outside/Off-Property")</f>
        <v>Outside/Off-Property</v>
      </c>
      <c r="AS772" s="8">
        <f ca="1">IFERROR(__xludf.DUMMYFUNCTION("""COMPUTED_VALUE"""),15)</f>
        <v>15</v>
      </c>
      <c r="AT772" s="8" t="str">
        <f ca="1">IFERROR(__xludf.DUMMYFUNCTION("""COMPUTED_VALUE"""),"Yes")</f>
        <v>Yes</v>
      </c>
      <c r="AU772" s="8">
        <f ca="1">IFERROR(__xludf.DUMMYFUNCTION("""COMPUTED_VALUE"""),39.94145)</f>
        <v>39.941450000000003</v>
      </c>
      <c r="AV772" s="8">
        <f ca="1">IFERROR(__xludf.DUMMYFUNCTION("""COMPUTED_VALUE"""),-75.226334)</f>
        <v>-75.226333999999994</v>
      </c>
      <c r="AW772" s="8"/>
      <c r="AX772" s="8">
        <f ca="1">IFERROR(__xludf.DUMMYFUNCTION("""COMPUTED_VALUE"""),19143)</f>
        <v>19143</v>
      </c>
    </row>
    <row r="773" spans="1:50" ht="90" x14ac:dyDescent="0.2">
      <c r="A773" s="8" t="str">
        <f ca="1">IFERROR(__xludf.DUMMYFUNCTION("""COMPUTED_VALUE"""),"20230322COEAD")</f>
        <v>20230322COEAD</v>
      </c>
      <c r="B773" s="8">
        <f ca="1">IFERROR(__xludf.DUMMYFUNCTION("""COMPUTED_VALUE"""),3)</f>
        <v>3</v>
      </c>
      <c r="C773" s="8">
        <f ca="1">IFERROR(__xludf.DUMMYFUNCTION("""COMPUTED_VALUE"""),22)</f>
        <v>22</v>
      </c>
      <c r="D773" s="8">
        <f ca="1">IFERROR(__xludf.DUMMYFUNCTION("""COMPUTED_VALUE"""),2023)</f>
        <v>2023</v>
      </c>
      <c r="E773" s="9">
        <f ca="1">IFERROR(__xludf.DUMMYFUNCTION("""COMPUTED_VALUE"""),45007)</f>
        <v>45007</v>
      </c>
      <c r="F773" s="8" t="str">
        <f ca="1">IFERROR(__xludf.DUMMYFUNCTION("""COMPUTED_VALUE"""),"East High School")</f>
        <v>East High School</v>
      </c>
      <c r="G773" s="8">
        <f ca="1">IFERROR(__xludf.DUMMYFUNCTION("""COMPUTED_VALUE"""),0)</f>
        <v>0</v>
      </c>
      <c r="H773" s="8">
        <f ca="1">IFERROR(__xludf.DUMMYFUNCTION("""COMPUTED_VALUE"""),2)</f>
        <v>2</v>
      </c>
      <c r="I773" s="8">
        <f ca="1">IFERROR(__xludf.DUMMYFUNCTION("""COMPUTED_VALUE"""),2)</f>
        <v>2</v>
      </c>
      <c r="J773" s="8">
        <f ca="1">IFERROR(__xludf.DUMMYFUNCTION("""COMPUTED_VALUE"""),1)</f>
        <v>1</v>
      </c>
      <c r="K773" s="10" t="str">
        <f ca="1">IFERROR(__xludf.DUMMYFUNCTION("""COMPUTED_VALUE"""),"https://www.9news.com/article/news/crime/police-report-new-details-east-high-school-shooting-safety-plan/73-cda6ee08-cbff-4389-a471-dcea88bb078e
https://apnews.com/article/school-shooting-denver-student-dean-b97be5e940e4dc7e1dbb37b865485c92
https://www.nb"&amp;"cnews.com/news/colorado-student-shot-two-school-administrators-probation-weapons-char-rcna76383
https://www.wmur.com/article/shooting-denver-school/43389948#")</f>
        <v>https://www.9news.com/article/news/crime/police-report-new-details-east-high-school-shooting-safety-plan/73-cda6ee08-cbff-4389-a471-dcea88bb078e
https://apnews.com/article/school-shooting-denver-student-dean-b97be5e940e4dc7e1dbb37b865485c92
https://www.nbcnews.com/news/colorado-student-shot-two-school-administrators-probation-weapons-char-rcna76383
https://www.wmur.com/article/shooting-denver-school/43389948#</v>
      </c>
      <c r="L773" s="8">
        <f ca="1">IFERROR(__xludf.DUMMYFUNCTION("""COMPUTED_VALUE"""),500)</f>
        <v>500</v>
      </c>
      <c r="M773" s="8" t="str">
        <f ca="1">IFERROR(__xludf.DUMMYFUNCTION("""COMPUTED_VALUE"""),"National")</f>
        <v>National</v>
      </c>
      <c r="N773" s="8">
        <f ca="1">IFERROR(__xludf.DUMMYFUNCTION("""COMPUTED_VALUE"""),4)</f>
        <v>4</v>
      </c>
      <c r="O773" s="8" t="str">
        <f ca="1">IFERROR(__xludf.DUMMYFUNCTION("""COMPUTED_VALUE"""),"Spring")</f>
        <v>Spring</v>
      </c>
      <c r="P773" s="8" t="str">
        <f ca="1">IFERROR(__xludf.DUMMYFUNCTION("""COMPUTED_VALUE"""),"Denver")</f>
        <v>Denver</v>
      </c>
      <c r="Q773" s="8" t="str">
        <f ca="1">IFERROR(__xludf.DUMMYFUNCTION("""COMPUTED_VALUE"""),"CO")</f>
        <v>CO</v>
      </c>
      <c r="R773" s="8" t="str">
        <f ca="1">IFERROR(__xludf.DUMMYFUNCTION("""COMPUTED_VALUE"""),"High")</f>
        <v>High</v>
      </c>
      <c r="S773" s="8" t="str">
        <f ca="1">IFERROR(__xludf.DUMMYFUNCTION("""COMPUTED_VALUE"""),"Office")</f>
        <v>Office</v>
      </c>
      <c r="T773" s="8" t="str">
        <f ca="1">IFERROR(__xludf.DUMMYFUNCTION("""COMPUTED_VALUE"""),"Inside School Building")</f>
        <v>Inside School Building</v>
      </c>
      <c r="U773" s="8" t="str">
        <f ca="1">IFERROR(__xludf.DUMMYFUNCTION("""COMPUTED_VALUE"""),"Yes")</f>
        <v>Yes</v>
      </c>
      <c r="V773" s="8" t="str">
        <f ca="1">IFERROR(__xludf.DUMMYFUNCTION("""COMPUTED_VALUE"""),"Morning Classes")</f>
        <v>Morning Classes</v>
      </c>
      <c r="W773" s="11">
        <f ca="1">IFERROR(__xludf.DUMMYFUNCTION("""COMPUTED_VALUE"""),0.416666666666666)</f>
        <v>0.41666666666666602</v>
      </c>
      <c r="X773" s="8">
        <f ca="1">IFERROR(__xludf.DUMMYFUNCTION("""COMPUTED_VALUE"""),1)</f>
        <v>1</v>
      </c>
      <c r="Y773" s="12" t="str">
        <f ca="1">IFERROR(__xludf.DUMMYFUNCTION("""COMPUTED_VALUE"""),"Student shot two administrators during daily search for weapon, fled")</f>
        <v>Student shot two administrators during daily search for weapon, fled</v>
      </c>
      <c r="Z773" s="12" t="str">
        <f ca="1">IFERROR(__xludf.DUMMYFUNCTION("""COMPUTED_VALUE"""),"17-year-old student shot two administrators during a daily pat down for a weapon in a school office. Student was on a safety plan due to behavior issues. Per administrator, he had been seen on campus witha gun prior to the shooting. Shooter immediately fl"&amp;"ed. His vehicle was found in the mountains 60 miles from the school and he commit suicide.")</f>
        <v>17-year-old student shot two administrators during a daily pat down for a weapon in a school office. Student was on a safety plan due to behavior issues. Per administrator, he had been seen on campus witha gun prior to the shooting. Shooter immediately fled. His vehicle was found in the mountains 60 miles from the school and he commit suicide.</v>
      </c>
      <c r="AA773" s="8" t="str">
        <f ca="1">IFERROR(__xludf.DUMMYFUNCTION("""COMPUTED_VALUE"""),"Anger Over Grade/Suspension/Discipline")</f>
        <v>Anger Over Grade/Suspension/Discipline</v>
      </c>
      <c r="AB773" s="8"/>
      <c r="AC773" s="8" t="str">
        <f ca="1">IFERROR(__xludf.DUMMYFUNCTION("""COMPUTED_VALUE"""),"Yes")</f>
        <v>Yes</v>
      </c>
      <c r="AD773" s="8" t="str">
        <f ca="1">IFERROR(__xludf.DUMMYFUNCTION("""COMPUTED_VALUE"""),"Victims Targeted")</f>
        <v>Victims Targeted</v>
      </c>
      <c r="AE773" s="8" t="str">
        <f ca="1">IFERROR(__xludf.DUMMYFUNCTION("""COMPUTED_VALUE"""),"No")</f>
        <v>No</v>
      </c>
      <c r="AF773" s="8"/>
      <c r="AG773" s="8" t="str">
        <f ca="1">IFERROR(__xludf.DUMMYFUNCTION("""COMPUTED_VALUE"""),"No")</f>
        <v>No</v>
      </c>
      <c r="AH773" s="8" t="str">
        <f ca="1">IFERROR(__xludf.DUMMYFUNCTION("""COMPUTED_VALUE"""),"No")</f>
        <v>No</v>
      </c>
      <c r="AI773" s="8" t="str">
        <f ca="1">IFERROR(__xludf.DUMMYFUNCTION("""COMPUTED_VALUE"""),"No")</f>
        <v>No</v>
      </c>
      <c r="AJ773" s="8" t="str">
        <f ca="1">IFERROR(__xludf.DUMMYFUNCTION("""COMPUTED_VALUE"""),"No")</f>
        <v>No</v>
      </c>
      <c r="AK773" s="8" t="str">
        <f ca="1">IFERROR(__xludf.DUMMYFUNCTION("""COMPUTED_VALUE"""),"No")</f>
        <v>No</v>
      </c>
      <c r="AL773" s="8" t="str">
        <f ca="1">IFERROR(__xludf.DUMMYFUNCTION("""COMPUTED_VALUE"""),"No")</f>
        <v>No</v>
      </c>
      <c r="AM773" s="8" t="str">
        <f ca="1">IFERROR(__xludf.DUMMYFUNCTION("""COMPUTED_VALUE"""),"No")</f>
        <v>No</v>
      </c>
      <c r="AN773" s="8" t="str">
        <f ca="1">IFERROR(__xludf.DUMMYFUNCTION("""COMPUTED_VALUE"""),"Single Room")</f>
        <v>Single Room</v>
      </c>
      <c r="AO773" s="8" t="str">
        <f ca="1">IFERROR(__xludf.DUMMYFUNCTION("""COMPUTED_VALUE"""),"Yes")</f>
        <v>Yes</v>
      </c>
      <c r="AP773" s="8" t="str">
        <f ca="1">IFERROR(__xludf.DUMMYFUNCTION("""COMPUTED_VALUE"""),"No")</f>
        <v>No</v>
      </c>
      <c r="AQ773" s="8" t="str">
        <f ca="1">IFERROR(__xludf.DUMMYFUNCTION("""COMPUTED_VALUE"""),"Manual Search")</f>
        <v>Manual Search</v>
      </c>
      <c r="AR773" s="8" t="str">
        <f ca="1">IFERROR(__xludf.DUMMYFUNCTION("""COMPUTED_VALUE"""),"Failed")</f>
        <v>Failed</v>
      </c>
      <c r="AS773" s="8">
        <f ca="1">IFERROR(__xludf.DUMMYFUNCTION("""COMPUTED_VALUE"""),99)</f>
        <v>99</v>
      </c>
      <c r="AT773" s="8" t="str">
        <f ca="1">IFERROR(__xludf.DUMMYFUNCTION("""COMPUTED_VALUE"""),"Yes")</f>
        <v>Yes</v>
      </c>
      <c r="AU773" s="8">
        <f ca="1">IFERROR(__xludf.DUMMYFUNCTION("""COMPUTED_VALUE"""),39.741651)</f>
        <v>39.741650999999997</v>
      </c>
      <c r="AV773" s="8">
        <f ca="1">IFERROR(__xludf.DUMMYFUNCTION("""COMPUTED_VALUE"""),-104.956498)</f>
        <v>-104.956498</v>
      </c>
      <c r="AW773" s="8"/>
      <c r="AX773" s="8">
        <f ca="1">IFERROR(__xludf.DUMMYFUNCTION("""COMPUTED_VALUE"""),80206)</f>
        <v>80206</v>
      </c>
    </row>
    <row r="774" spans="1:50" ht="60" x14ac:dyDescent="0.2">
      <c r="A774" s="8" t="str">
        <f ca="1">IFERROR(__xludf.DUMMYFUNCTION("""COMPUTED_VALUE"""),"20230322ALANA")</f>
        <v>20230322ALANA</v>
      </c>
      <c r="B774" s="8">
        <f ca="1">IFERROR(__xludf.DUMMYFUNCTION("""COMPUTED_VALUE"""),3)</f>
        <v>3</v>
      </c>
      <c r="C774" s="8">
        <f ca="1">IFERROR(__xludf.DUMMYFUNCTION("""COMPUTED_VALUE"""),22)</f>
        <v>22</v>
      </c>
      <c r="D774" s="8">
        <f ca="1">IFERROR(__xludf.DUMMYFUNCTION("""COMPUTED_VALUE"""),2023)</f>
        <v>2023</v>
      </c>
      <c r="E774" s="9">
        <f ca="1">IFERROR(__xludf.DUMMYFUNCTION("""COMPUTED_VALUE"""),45007)</f>
        <v>45007</v>
      </c>
      <c r="F774" s="8" t="str">
        <f ca="1">IFERROR(__xludf.DUMMYFUNCTION("""COMPUTED_VALUE"""),"Anniston High School")</f>
        <v>Anniston High School</v>
      </c>
      <c r="G774" s="8">
        <f ca="1">IFERROR(__xludf.DUMMYFUNCTION("""COMPUTED_VALUE"""),0)</f>
        <v>0</v>
      </c>
      <c r="H774" s="8">
        <f ca="1">IFERROR(__xludf.DUMMYFUNCTION("""COMPUTED_VALUE"""),1)</f>
        <v>1</v>
      </c>
      <c r="I774" s="8">
        <f ca="1">IFERROR(__xludf.DUMMYFUNCTION("""COMPUTED_VALUE"""),1)</f>
        <v>1</v>
      </c>
      <c r="J774" s="8">
        <f ca="1">IFERROR(__xludf.DUMMYFUNCTION("""COMPUTED_VALUE"""),0)</f>
        <v>0</v>
      </c>
      <c r="K774" s="10" t="str">
        <f ca="1">IFERROR(__xludf.DUMMYFUNCTION("""COMPUTED_VALUE"""),"https://abc3340.com/news/local/student-shot-at-anniston-high-school-school-evacuated-fake-bomb-threat-shooting-injured-tile-floor-grazed-injuries-police-department-investigating")</f>
        <v>https://abc3340.com/news/local/student-shot-at-anniston-high-school-school-evacuated-fake-bomb-threat-shooting-injured-tile-floor-grazed-injuries-police-department-investigating</v>
      </c>
      <c r="L774" s="8">
        <f ca="1">IFERROR(__xludf.DUMMYFUNCTION("""COMPUTED_VALUE"""),1)</f>
        <v>1</v>
      </c>
      <c r="M774" s="8" t="str">
        <f ca="1">IFERROR(__xludf.DUMMYFUNCTION("""COMPUTED_VALUE"""),"Local")</f>
        <v>Local</v>
      </c>
      <c r="N774" s="8">
        <f ca="1">IFERROR(__xludf.DUMMYFUNCTION("""COMPUTED_VALUE"""),4)</f>
        <v>4</v>
      </c>
      <c r="O774" s="8" t="str">
        <f ca="1">IFERROR(__xludf.DUMMYFUNCTION("""COMPUTED_VALUE"""),"Spring")</f>
        <v>Spring</v>
      </c>
      <c r="P774" s="8" t="str">
        <f ca="1">IFERROR(__xludf.DUMMYFUNCTION("""COMPUTED_VALUE"""),"Anniston")</f>
        <v>Anniston</v>
      </c>
      <c r="Q774" s="8" t="str">
        <f ca="1">IFERROR(__xludf.DUMMYFUNCTION("""COMPUTED_VALUE"""),"AL")</f>
        <v>AL</v>
      </c>
      <c r="R774" s="8" t="str">
        <f ca="1">IFERROR(__xludf.DUMMYFUNCTION("""COMPUTED_VALUE"""),"High")</f>
        <v>High</v>
      </c>
      <c r="S774" s="8" t="str">
        <f ca="1">IFERROR(__xludf.DUMMYFUNCTION("""COMPUTED_VALUE"""),"Inside School Building")</f>
        <v>Inside School Building</v>
      </c>
      <c r="T774" s="8" t="str">
        <f ca="1">IFERROR(__xludf.DUMMYFUNCTION("""COMPUTED_VALUE"""),"Inside School Building")</f>
        <v>Inside School Building</v>
      </c>
      <c r="U774" s="8" t="str">
        <f ca="1">IFERROR(__xludf.DUMMYFUNCTION("""COMPUTED_VALUE"""),"Yes")</f>
        <v>Yes</v>
      </c>
      <c r="V774" s="8" t="str">
        <f ca="1">IFERROR(__xludf.DUMMYFUNCTION("""COMPUTED_VALUE"""),"Afternoon Classes")</f>
        <v>Afternoon Classes</v>
      </c>
      <c r="W774" s="11">
        <f ca="1">IFERROR(__xludf.DUMMYFUNCTION("""COMPUTED_VALUE"""),0.5625)</f>
        <v>0.5625</v>
      </c>
      <c r="X774" s="8">
        <f ca="1">IFERROR(__xludf.DUMMYFUNCTION("""COMPUTED_VALUE"""),1)</f>
        <v>1</v>
      </c>
      <c r="Y774" s="12" t="str">
        <f ca="1">IFERROR(__xludf.DUMMYFUNCTION("""COMPUTED_VALUE"""),"Student fired gun inside backpack, bullet struck another student in the leg")</f>
        <v>Student fired gun inside backpack, bullet struck another student in the leg</v>
      </c>
      <c r="Z774" s="12" t="str">
        <f ca="1">IFERROR(__xludf.DUMMYFUNCTION("""COMPUTED_VALUE"""),"A student was handling a handgun in his backpack when it fired and struck another student in the leg. When the gunshot was heard, the school was evacuated for a reported bomb threat.")</f>
        <v>A student was handling a handgun in his backpack when it fired and struck another student in the leg. When the gunshot was heard, the school was evacuated for a reported bomb threat.</v>
      </c>
      <c r="AA774" s="8" t="str">
        <f ca="1">IFERROR(__xludf.DUMMYFUNCTION("""COMPUTED_VALUE"""),"Accidental")</f>
        <v>Accidental</v>
      </c>
      <c r="AB774" s="8"/>
      <c r="AC774" s="8" t="str">
        <f ca="1">IFERROR(__xludf.DUMMYFUNCTION("""COMPUTED_VALUE"""),"Yes")</f>
        <v>Yes</v>
      </c>
      <c r="AD774" s="8" t="str">
        <f ca="1">IFERROR(__xludf.DUMMYFUNCTION("""COMPUTED_VALUE"""),"Neither")</f>
        <v>Neither</v>
      </c>
      <c r="AE774" s="8" t="str">
        <f ca="1">IFERROR(__xludf.DUMMYFUNCTION("""COMPUTED_VALUE"""),"No")</f>
        <v>No</v>
      </c>
      <c r="AF774" s="8"/>
      <c r="AG774" s="8" t="str">
        <f ca="1">IFERROR(__xludf.DUMMYFUNCTION("""COMPUTED_VALUE"""),"No")</f>
        <v>No</v>
      </c>
      <c r="AH774" s="8" t="str">
        <f ca="1">IFERROR(__xludf.DUMMYFUNCTION("""COMPUTED_VALUE"""),"No")</f>
        <v>No</v>
      </c>
      <c r="AI774" s="8" t="str">
        <f ca="1">IFERROR(__xludf.DUMMYFUNCTION("""COMPUTED_VALUE"""),"No")</f>
        <v>No</v>
      </c>
      <c r="AJ774" s="8" t="str">
        <f ca="1">IFERROR(__xludf.DUMMYFUNCTION("""COMPUTED_VALUE"""),"No")</f>
        <v>No</v>
      </c>
      <c r="AK774" s="8" t="str">
        <f ca="1">IFERROR(__xludf.DUMMYFUNCTION("""COMPUTED_VALUE"""),"No")</f>
        <v>No</v>
      </c>
      <c r="AL774" s="8" t="str">
        <f ca="1">IFERROR(__xludf.DUMMYFUNCTION("""COMPUTED_VALUE"""),"No")</f>
        <v>No</v>
      </c>
      <c r="AM774" s="8" t="str">
        <f ca="1">IFERROR(__xludf.DUMMYFUNCTION("""COMPUTED_VALUE"""),"No")</f>
        <v>No</v>
      </c>
      <c r="AN774" s="8" t="str">
        <f ca="1">IFERROR(__xludf.DUMMYFUNCTION("""COMPUTED_VALUE"""),"Single Room")</f>
        <v>Single Room</v>
      </c>
      <c r="AO774" s="8" t="str">
        <f ca="1">IFERROR(__xludf.DUMMYFUNCTION("""COMPUTED_VALUE"""),"No")</f>
        <v>No</v>
      </c>
      <c r="AP774" s="8"/>
      <c r="AQ774" s="8"/>
      <c r="AR774" s="8" t="str">
        <f ca="1">IFERROR(__xludf.DUMMYFUNCTION("""COMPUTED_VALUE"""),"Failed")</f>
        <v>Failed</v>
      </c>
      <c r="AS774" s="8">
        <f ca="1">IFERROR(__xludf.DUMMYFUNCTION("""COMPUTED_VALUE"""),1)</f>
        <v>1</v>
      </c>
      <c r="AT774" s="8" t="str">
        <f ca="1">IFERROR(__xludf.DUMMYFUNCTION("""COMPUTED_VALUE"""),"No")</f>
        <v>No</v>
      </c>
      <c r="AU774" s="8">
        <f ca="1">IFERROR(__xludf.DUMMYFUNCTION("""COMPUTED_VALUE"""),33.661273)</f>
        <v>33.661273000000001</v>
      </c>
      <c r="AV774" s="8">
        <f ca="1">IFERROR(__xludf.DUMMYFUNCTION("""COMPUTED_VALUE"""),-85.821059)</f>
        <v>-85.821059000000005</v>
      </c>
      <c r="AW774" s="8"/>
      <c r="AX774" s="8">
        <f ca="1">IFERROR(__xludf.DUMMYFUNCTION("""COMPUTED_VALUE"""),36207)</f>
        <v>36207</v>
      </c>
    </row>
    <row r="775" spans="1:50" ht="180" x14ac:dyDescent="0.2">
      <c r="A775" s="8" t="str">
        <f ca="1">IFERROR(__xludf.DUMMYFUNCTION("""COMPUTED_VALUE"""),"20230321TXTHD")</f>
        <v>20230321TXTHD</v>
      </c>
      <c r="B775" s="8">
        <f ca="1">IFERROR(__xludf.DUMMYFUNCTION("""COMPUTED_VALUE"""),3)</f>
        <v>3</v>
      </c>
      <c r="C775" s="8">
        <f ca="1">IFERROR(__xludf.DUMMYFUNCTION("""COMPUTED_VALUE"""),21)</f>
        <v>21</v>
      </c>
      <c r="D775" s="8">
        <f ca="1">IFERROR(__xludf.DUMMYFUNCTION("""COMPUTED_VALUE"""),2023)</f>
        <v>2023</v>
      </c>
      <c r="E775" s="9">
        <f ca="1">IFERROR(__xludf.DUMMYFUNCTION("""COMPUTED_VALUE"""),45006)</f>
        <v>45006</v>
      </c>
      <c r="F775" s="8" t="str">
        <f ca="1">IFERROR(__xludf.DUMMYFUNCTION("""COMPUTED_VALUE"""),"Thomas Jefferson High School")</f>
        <v>Thomas Jefferson High School</v>
      </c>
      <c r="G775" s="8">
        <f ca="1">IFERROR(__xludf.DUMMYFUNCTION("""COMPUTED_VALUE"""),0)</f>
        <v>0</v>
      </c>
      <c r="H775" s="8">
        <f ca="1">IFERROR(__xludf.DUMMYFUNCTION("""COMPUTED_VALUE"""),1)</f>
        <v>1</v>
      </c>
      <c r="I775" s="8">
        <f ca="1">IFERROR(__xludf.DUMMYFUNCTION("""COMPUTED_VALUE"""),1)</f>
        <v>1</v>
      </c>
      <c r="J775" s="8">
        <f ca="1">IFERROR(__xludf.DUMMYFUNCTION("""COMPUTED_VALUE"""),0)</f>
        <v>0</v>
      </c>
      <c r="K775" s="8" t="str">
        <f ca="1">IFERROR(__xludf.DUMMYFUNCTION("""COMPUTED_VALUE"""),"https://www.youtube.com/watch?v=GYRcSqXxol0
https://www.nbcdfw.com/news/local/arrest-made-in-thomas-jefferson-high-school-shooting/3219741/
https://www.fox4news.com/news/thomas-jefferson-hs-shooting-dallas-staff-help-victim
https://www.nbcdfw.com/news/loc"&amp;"al/student-wounded-in-shooting-outside-dallas-isd-school-tuesday/3219741/")</f>
        <v>https://www.youtube.com/watch?v=GYRcSqXxol0
https://www.nbcdfw.com/news/local/arrest-made-in-thomas-jefferson-high-school-shooting/3219741/
https://www.fox4news.com/news/thomas-jefferson-hs-shooting-dallas-staff-help-victim
https://www.nbcdfw.com/news/local/student-wounded-in-shooting-outside-dallas-isd-school-tuesday/3219741/</v>
      </c>
      <c r="L775" s="8">
        <f ca="1">IFERROR(__xludf.DUMMYFUNCTION("""COMPUTED_VALUE"""),30)</f>
        <v>30</v>
      </c>
      <c r="M775" s="8" t="str">
        <f ca="1">IFERROR(__xludf.DUMMYFUNCTION("""COMPUTED_VALUE"""),"Regional")</f>
        <v>Regional</v>
      </c>
      <c r="N775" s="8">
        <f ca="1">IFERROR(__xludf.DUMMYFUNCTION("""COMPUTED_VALUE"""),4)</f>
        <v>4</v>
      </c>
      <c r="O775" s="8" t="str">
        <f ca="1">IFERROR(__xludf.DUMMYFUNCTION("""COMPUTED_VALUE"""),"Spring")</f>
        <v>Spring</v>
      </c>
      <c r="P775" s="8" t="str">
        <f ca="1">IFERROR(__xludf.DUMMYFUNCTION("""COMPUTED_VALUE"""),"Dallas")</f>
        <v>Dallas</v>
      </c>
      <c r="Q775" s="8" t="str">
        <f ca="1">IFERROR(__xludf.DUMMYFUNCTION("""COMPUTED_VALUE"""),"TX")</f>
        <v>TX</v>
      </c>
      <c r="R775" s="8" t="str">
        <f ca="1">IFERROR(__xludf.DUMMYFUNCTION("""COMPUTED_VALUE"""),"High")</f>
        <v>High</v>
      </c>
      <c r="S775" s="8" t="str">
        <f ca="1">IFERROR(__xludf.DUMMYFUNCTION("""COMPUTED_VALUE"""),"Parking Lot")</f>
        <v>Parking Lot</v>
      </c>
      <c r="T775" s="8" t="str">
        <f ca="1">IFERROR(__xludf.DUMMYFUNCTION("""COMPUTED_VALUE"""),"Outside on School Property")</f>
        <v>Outside on School Property</v>
      </c>
      <c r="U775" s="8" t="str">
        <f ca="1">IFERROR(__xludf.DUMMYFUNCTION("""COMPUTED_VALUE"""),"Yes")</f>
        <v>Yes</v>
      </c>
      <c r="V775" s="8" t="str">
        <f ca="1">IFERROR(__xludf.DUMMYFUNCTION("""COMPUTED_VALUE"""),"Dismissal")</f>
        <v>Dismissal</v>
      </c>
      <c r="W775" s="11">
        <f ca="1">IFERROR(__xludf.DUMMYFUNCTION("""COMPUTED_VALUE"""),0.694444444444444)</f>
        <v>0.69444444444444398</v>
      </c>
      <c r="X775" s="8">
        <f ca="1">IFERROR(__xludf.DUMMYFUNCTION("""COMPUTED_VALUE"""),1)</f>
        <v>1</v>
      </c>
      <c r="Y775" s="12" t="str">
        <f ca="1">IFERROR(__xludf.DUMMYFUNCTION("""COMPUTED_VALUE"""),"Student shot in parking lot at dismissal")</f>
        <v>Student shot in parking lot at dismissal</v>
      </c>
      <c r="Z775" s="12" t="str">
        <f ca="1">IFERROR(__xludf.DUMMYFUNCTION("""COMPUTED_VALUE"""),"A Dallas ISD student was wounded in a shooting Tuesday afternoon at Thomas Jefferson High School in the Dallas Independent School District, authorities say. Shooting happened during a fight between 3 students. Dallas Police confirmed officers were called "&amp;"to a report of a shooting at 4:40 p.m. at the campus, located along the 4000 block of Walnut Hill Lane in Northwest Dallas. Dallas ISD spokeswoman Robyn Harris said a student was shot in the arm and was hospitalized with injuries that were not life-threat"&amp;"ening. The shooting took place about 10 minutes after students had been dismissed for the day. Shooter is also a student who fled.")</f>
        <v>A Dallas ISD student was wounded in a shooting Tuesday afternoon at Thomas Jefferson High School in the Dallas Independent School District, authorities say. Shooting happened during a fight between 3 students. Dallas Police confirmed officers were called to a report of a shooting at 4:40 p.m. at the campus, located along the 4000 block of Walnut Hill Lane in Northwest Dallas. Dallas ISD spokeswoman Robyn Harris said a student was shot in the arm and was hospitalized with injuries that were not life-threatening. The shooting took place about 10 minutes after students had been dismissed for the day. Shooter is also a student who fled.</v>
      </c>
      <c r="AA775" s="8" t="str">
        <f ca="1">IFERROR(__xludf.DUMMYFUNCTION("""COMPUTED_VALUE"""),"Escalation of Dispute")</f>
        <v>Escalation of Dispute</v>
      </c>
      <c r="AB775" s="8"/>
      <c r="AC775" s="8" t="str">
        <f ca="1">IFERROR(__xludf.DUMMYFUNCTION("""COMPUTED_VALUE"""),"Yes")</f>
        <v>Yes</v>
      </c>
      <c r="AD775" s="8" t="str">
        <f ca="1">IFERROR(__xludf.DUMMYFUNCTION("""COMPUTED_VALUE"""),"Victims Targeted")</f>
        <v>Victims Targeted</v>
      </c>
      <c r="AE775" s="8" t="str">
        <f ca="1">IFERROR(__xludf.DUMMYFUNCTION("""COMPUTED_VALUE"""),"No")</f>
        <v>No</v>
      </c>
      <c r="AF775" s="8"/>
      <c r="AG775" s="8" t="str">
        <f ca="1">IFERROR(__xludf.DUMMYFUNCTION("""COMPUTED_VALUE"""),"No")</f>
        <v>No</v>
      </c>
      <c r="AH775" s="8" t="str">
        <f ca="1">IFERROR(__xludf.DUMMYFUNCTION("""COMPUTED_VALUE"""),"No")</f>
        <v>No</v>
      </c>
      <c r="AI775" s="8" t="str">
        <f ca="1">IFERROR(__xludf.DUMMYFUNCTION("""COMPUTED_VALUE"""),"No")</f>
        <v>No</v>
      </c>
      <c r="AJ775" s="8"/>
      <c r="AK775" s="8" t="str">
        <f ca="1">IFERROR(__xludf.DUMMYFUNCTION("""COMPUTED_VALUE"""),"No")</f>
        <v>No</v>
      </c>
      <c r="AL775" s="8"/>
      <c r="AM775" s="8" t="str">
        <f ca="1">IFERROR(__xludf.DUMMYFUNCTION("""COMPUTED_VALUE"""),"No")</f>
        <v>No</v>
      </c>
      <c r="AN775" s="8" t="str">
        <f ca="1">IFERROR(__xludf.DUMMYFUNCTION("""COMPUTED_VALUE"""),"Outside")</f>
        <v>Outside</v>
      </c>
      <c r="AO775" s="8" t="str">
        <f ca="1">IFERROR(__xludf.DUMMYFUNCTION("""COMPUTED_VALUE"""),"No")</f>
        <v>No</v>
      </c>
      <c r="AP775" s="8"/>
      <c r="AQ775" s="8"/>
      <c r="AR775" s="8" t="str">
        <f ca="1">IFERROR(__xludf.DUMMYFUNCTION("""COMPUTED_VALUE"""),"Outside/Off-Property")</f>
        <v>Outside/Off-Property</v>
      </c>
      <c r="AS775" s="8">
        <f ca="1">IFERROR(__xludf.DUMMYFUNCTION("""COMPUTED_VALUE"""),99)</f>
        <v>99</v>
      </c>
      <c r="AT775" s="8" t="str">
        <f ca="1">IFERROR(__xludf.DUMMYFUNCTION("""COMPUTED_VALUE"""),"Yes")</f>
        <v>Yes</v>
      </c>
      <c r="AU775" s="8">
        <f ca="1">IFERROR(__xludf.DUMMYFUNCTION("""COMPUTED_VALUE"""),32.880649)</f>
        <v>32.880648999999998</v>
      </c>
      <c r="AV775" s="8">
        <f ca="1">IFERROR(__xludf.DUMMYFUNCTION("""COMPUTED_VALUE"""),-96.844746)</f>
        <v>-96.844746000000001</v>
      </c>
      <c r="AW775" s="8"/>
      <c r="AX775" s="8">
        <f ca="1">IFERROR(__xludf.DUMMYFUNCTION("""COMPUTED_VALUE"""),75229)</f>
        <v>75229</v>
      </c>
    </row>
    <row r="776" spans="1:50" ht="90" x14ac:dyDescent="0.2">
      <c r="A776" s="8" t="str">
        <f ca="1">IFERROR(__xludf.DUMMYFUNCTION("""COMPUTED_VALUE"""),"20230320TXLAA")</f>
        <v>20230320TXLAA</v>
      </c>
      <c r="B776" s="8">
        <f ca="1">IFERROR(__xludf.DUMMYFUNCTION("""COMPUTED_VALUE"""),3)</f>
        <v>3</v>
      </c>
      <c r="C776" s="8">
        <f ca="1">IFERROR(__xludf.DUMMYFUNCTION("""COMPUTED_VALUE"""),20)</f>
        <v>20</v>
      </c>
      <c r="D776" s="8">
        <f ca="1">IFERROR(__xludf.DUMMYFUNCTION("""COMPUTED_VALUE"""),2023)</f>
        <v>2023</v>
      </c>
      <c r="E776" s="9">
        <f ca="1">IFERROR(__xludf.DUMMYFUNCTION("""COMPUTED_VALUE"""),45005)</f>
        <v>45005</v>
      </c>
      <c r="F776" s="8" t="str">
        <f ca="1">IFERROR(__xludf.DUMMYFUNCTION("""COMPUTED_VALUE"""),"Lamar High School")</f>
        <v>Lamar High School</v>
      </c>
      <c r="G776" s="8">
        <f ca="1">IFERROR(__xludf.DUMMYFUNCTION("""COMPUTED_VALUE"""),1)</f>
        <v>1</v>
      </c>
      <c r="H776" s="8">
        <f ca="1">IFERROR(__xludf.DUMMYFUNCTION("""COMPUTED_VALUE"""),1)</f>
        <v>1</v>
      </c>
      <c r="I776" s="8">
        <f ca="1">IFERROR(__xludf.DUMMYFUNCTION("""COMPUTED_VALUE"""),2)</f>
        <v>2</v>
      </c>
      <c r="J776" s="8">
        <f ca="1">IFERROR(__xludf.DUMMYFUNCTION("""COMPUTED_VALUE"""),0)</f>
        <v>0</v>
      </c>
      <c r="K776" s="8" t="str">
        <f ca="1">IFERROR(__xludf.DUMMYFUNCTION("""COMPUTED_VALUE"""),"https://www.youtube.com/watch?v=j5q7gFwdPXg
https://www.fox4news.com/news/lamar-high-school-shooting-suspect
https://www.arlingtontx.gov/news/my_arlington_t_x/news_stories/lamar_high_school
https://www.wfaa.com/article/news/local/16-year-old-killed-shooti"&amp;"ng-lamar-high-school-arlington-identified-suspect-attends-hearing/287-9dc605e0-64c3-42ec-836d-792b7d04fdfd
https://www.nbcdfw.com/news/local/lamar-high-school-on-lockdown-due-to-on-campus-shooting/3218267/
https://www.cnn.com/2023/03/20/us/lamar-high-scho"&amp;"ol-shooting-arlington-texas/index.html")</f>
        <v>https://www.youtube.com/watch?v=j5q7gFwdPXg
https://www.fox4news.com/news/lamar-high-school-shooting-suspect
https://www.arlingtontx.gov/news/my_arlington_t_x/news_stories/lamar_high_school
https://www.wfaa.com/article/news/local/16-year-old-killed-shooting-lamar-high-school-arlington-identified-suspect-attends-hearing/287-9dc605e0-64c3-42ec-836d-792b7d04fdfd
https://www.nbcdfw.com/news/local/lamar-high-school-on-lockdown-due-to-on-campus-shooting/3218267/
https://www.cnn.com/2023/03/20/us/lamar-high-school-shooting-arlington-texas/index.html</v>
      </c>
      <c r="L776" s="8">
        <f ca="1">IFERROR(__xludf.DUMMYFUNCTION("""COMPUTED_VALUE"""),100)</f>
        <v>100</v>
      </c>
      <c r="M776" s="8" t="str">
        <f ca="1">IFERROR(__xludf.DUMMYFUNCTION("""COMPUTED_VALUE"""),"National")</f>
        <v>National</v>
      </c>
      <c r="N776" s="8">
        <f ca="1">IFERROR(__xludf.DUMMYFUNCTION("""COMPUTED_VALUE"""),4)</f>
        <v>4</v>
      </c>
      <c r="O776" s="8" t="str">
        <f ca="1">IFERROR(__xludf.DUMMYFUNCTION("""COMPUTED_VALUE"""),"Spring")</f>
        <v>Spring</v>
      </c>
      <c r="P776" s="8" t="str">
        <f ca="1">IFERROR(__xludf.DUMMYFUNCTION("""COMPUTED_VALUE"""),"Arlington")</f>
        <v>Arlington</v>
      </c>
      <c r="Q776" s="8" t="str">
        <f ca="1">IFERROR(__xludf.DUMMYFUNCTION("""COMPUTED_VALUE"""),"TX")</f>
        <v>TX</v>
      </c>
      <c r="R776" s="8" t="str">
        <f ca="1">IFERROR(__xludf.DUMMYFUNCTION("""COMPUTED_VALUE"""),"High")</f>
        <v>High</v>
      </c>
      <c r="S776" s="8" t="str">
        <f ca="1">IFERROR(__xludf.DUMMYFUNCTION("""COMPUTED_VALUE"""),"Front of School")</f>
        <v>Front of School</v>
      </c>
      <c r="T776" s="8" t="str">
        <f ca="1">IFERROR(__xludf.DUMMYFUNCTION("""COMPUTED_VALUE"""),"Outside on School Property")</f>
        <v>Outside on School Property</v>
      </c>
      <c r="U776" s="8" t="str">
        <f ca="1">IFERROR(__xludf.DUMMYFUNCTION("""COMPUTED_VALUE"""),"Yes")</f>
        <v>Yes</v>
      </c>
      <c r="V776" s="8" t="str">
        <f ca="1">IFERROR(__xludf.DUMMYFUNCTION("""COMPUTED_VALUE"""),"School Start")</f>
        <v>School Start</v>
      </c>
      <c r="W776" s="11">
        <f ca="1">IFERROR(__xludf.DUMMYFUNCTION("""COMPUTED_VALUE"""),0.288888888888888)</f>
        <v>0.28888888888888797</v>
      </c>
      <c r="X776" s="8">
        <f ca="1">IFERROR(__xludf.DUMMYFUNCTION("""COMPUTED_VALUE"""),1)</f>
        <v>1</v>
      </c>
      <c r="Y776" s="12" t="str">
        <f ca="1">IFERROR(__xludf.DUMMYFUNCTION("""COMPUTED_VALUE"""),"Two students shot outside of school before morning classes")</f>
        <v>Two students shot outside of school before morning classes</v>
      </c>
      <c r="Z776" s="12" t="str">
        <f ca="1">IFERROR(__xludf.DUMMYFUNCTION("""COMPUTED_VALUE"""),"Two students were injured after a shooting on the Lamar High School campus in Arlington Monday morning, and a suspect is in custody, according to police and district officials. The shooting happened on campus outside a school building, the district said. "&amp;"Shooter had 2 unused shotgun shells in his backpack when he fled.")</f>
        <v>Two students were injured after a shooting on the Lamar High School campus in Arlington Monday morning, and a suspect is in custody, according to police and district officials. The shooting happened on campus outside a school building, the district said. Shooter had 2 unused shotgun shells in his backpack when he fled.</v>
      </c>
      <c r="AA776" s="8"/>
      <c r="AB776" s="8"/>
      <c r="AC776" s="8" t="str">
        <f ca="1">IFERROR(__xludf.DUMMYFUNCTION("""COMPUTED_VALUE"""),"Yes")</f>
        <v>Yes</v>
      </c>
      <c r="AD776" s="8" t="str">
        <f ca="1">IFERROR(__xludf.DUMMYFUNCTION("""COMPUTED_VALUE"""),"Victims Targeted")</f>
        <v>Victims Targeted</v>
      </c>
      <c r="AE776" s="8" t="str">
        <f ca="1">IFERROR(__xludf.DUMMYFUNCTION("""COMPUTED_VALUE"""),"No")</f>
        <v>No</v>
      </c>
      <c r="AF776" s="8"/>
      <c r="AG776" s="8" t="str">
        <f ca="1">IFERROR(__xludf.DUMMYFUNCTION("""COMPUTED_VALUE"""),"No")</f>
        <v>No</v>
      </c>
      <c r="AH776" s="8" t="str">
        <f ca="1">IFERROR(__xludf.DUMMYFUNCTION("""COMPUTED_VALUE"""),"No")</f>
        <v>No</v>
      </c>
      <c r="AI776" s="8" t="str">
        <f ca="1">IFERROR(__xludf.DUMMYFUNCTION("""COMPUTED_VALUE"""),"No")</f>
        <v>No</v>
      </c>
      <c r="AJ776" s="8"/>
      <c r="AK776" s="8" t="str">
        <f ca="1">IFERROR(__xludf.DUMMYFUNCTION("""COMPUTED_VALUE"""),"No")</f>
        <v>No</v>
      </c>
      <c r="AL776" s="8" t="str">
        <f ca="1">IFERROR(__xludf.DUMMYFUNCTION("""COMPUTED_VALUE"""),"No")</f>
        <v>No</v>
      </c>
      <c r="AM776" s="8" t="str">
        <f ca="1">IFERROR(__xludf.DUMMYFUNCTION("""COMPUTED_VALUE"""),"No")</f>
        <v>No</v>
      </c>
      <c r="AN776" s="8" t="str">
        <f ca="1">IFERROR(__xludf.DUMMYFUNCTION("""COMPUTED_VALUE"""),"Outside")</f>
        <v>Outside</v>
      </c>
      <c r="AO776" s="8" t="str">
        <f ca="1">IFERROR(__xludf.DUMMYFUNCTION("""COMPUTED_VALUE"""),"No")</f>
        <v>No</v>
      </c>
      <c r="AP776" s="8"/>
      <c r="AQ776" s="8"/>
      <c r="AR776" s="8" t="str">
        <f ca="1">IFERROR(__xludf.DUMMYFUNCTION("""COMPUTED_VALUE"""),"Outside/Off-Property")</f>
        <v>Outside/Off-Property</v>
      </c>
      <c r="AS776" s="8">
        <f ca="1">IFERROR(__xludf.DUMMYFUNCTION("""COMPUTED_VALUE"""),2)</f>
        <v>2</v>
      </c>
      <c r="AT776" s="8" t="str">
        <f ca="1">IFERROR(__xludf.DUMMYFUNCTION("""COMPUTED_VALUE"""),"Yes")</f>
        <v>Yes</v>
      </c>
      <c r="AU776" s="8">
        <f ca="1">IFERROR(__xludf.DUMMYFUNCTION("""COMPUTED_VALUE"""),32.762637)</f>
        <v>32.762636999999998</v>
      </c>
      <c r="AV776" s="8">
        <f ca="1">IFERROR(__xludf.DUMMYFUNCTION("""COMPUTED_VALUE"""),-97.12519)</f>
        <v>-97.125190000000003</v>
      </c>
      <c r="AW776" s="8"/>
      <c r="AX776" s="8">
        <f ca="1">IFERROR(__xludf.DUMMYFUNCTION("""COMPUTED_VALUE"""),76012)</f>
        <v>76012</v>
      </c>
    </row>
    <row r="777" spans="1:50" ht="210" x14ac:dyDescent="0.2">
      <c r="A777" s="8" t="str">
        <f ca="1">IFERROR(__xludf.DUMMYFUNCTION("""COMPUTED_VALUE"""),"20230319ORFOS")</f>
        <v>20230319ORFOS</v>
      </c>
      <c r="B777" s="8">
        <f ca="1">IFERROR(__xludf.DUMMYFUNCTION("""COMPUTED_VALUE"""),3)</f>
        <v>3</v>
      </c>
      <c r="C777" s="8">
        <f ca="1">IFERROR(__xludf.DUMMYFUNCTION("""COMPUTED_VALUE"""),19)</f>
        <v>19</v>
      </c>
      <c r="D777" s="8">
        <f ca="1">IFERROR(__xludf.DUMMYFUNCTION("""COMPUTED_VALUE"""),2023)</f>
        <v>2023</v>
      </c>
      <c r="E777" s="9">
        <f ca="1">IFERROR(__xludf.DUMMYFUNCTION("""COMPUTED_VALUE"""),45004)</f>
        <v>45004</v>
      </c>
      <c r="F777" s="8" t="str">
        <f ca="1">IFERROR(__xludf.DUMMYFUNCTION("""COMPUTED_VALUE"""),"Foster Elementary School")</f>
        <v>Foster Elementary School</v>
      </c>
      <c r="G777" s="8">
        <f ca="1">IFERROR(__xludf.DUMMYFUNCTION("""COMPUTED_VALUE"""),0)</f>
        <v>0</v>
      </c>
      <c r="H777" s="8">
        <f ca="1">IFERROR(__xludf.DUMMYFUNCTION("""COMPUTED_VALUE"""),0)</f>
        <v>0</v>
      </c>
      <c r="I777" s="8">
        <f ca="1">IFERROR(__xludf.DUMMYFUNCTION("""COMPUTED_VALUE"""),0)</f>
        <v>0</v>
      </c>
      <c r="J777" s="8">
        <f ca="1">IFERROR(__xludf.DUMMYFUNCTION("""COMPUTED_VALUE"""),0)</f>
        <v>0</v>
      </c>
      <c r="K777" s="10" t="str">
        <f ca="1">IFERROR(__xludf.DUMMYFUNCTION("""COMPUTED_VALUE"""),"https://www.kezi.com/news/bullets-hit-sweet-home-elementary-school-neighbors-and-parents-outraged/article_a091589e-e3a9-11ed-91c8-8375068bd128.html")</f>
        <v>https://www.kezi.com/news/bullets-hit-sweet-home-elementary-school-neighbors-and-parents-outraged/article_a091589e-e3a9-11ed-91c8-8375068bd128.html</v>
      </c>
      <c r="L777" s="8">
        <f ca="1">IFERROR(__xludf.DUMMYFUNCTION("""COMPUTED_VALUE"""),1)</f>
        <v>1</v>
      </c>
      <c r="M777" s="8" t="str">
        <f ca="1">IFERROR(__xludf.DUMMYFUNCTION("""COMPUTED_VALUE"""),"Local")</f>
        <v>Local</v>
      </c>
      <c r="N777" s="8">
        <f ca="1">IFERROR(__xludf.DUMMYFUNCTION("""COMPUTED_VALUE"""),4)</f>
        <v>4</v>
      </c>
      <c r="O777" s="8" t="str">
        <f ca="1">IFERROR(__xludf.DUMMYFUNCTION("""COMPUTED_VALUE"""),"Spring")</f>
        <v>Spring</v>
      </c>
      <c r="P777" s="8" t="str">
        <f ca="1">IFERROR(__xludf.DUMMYFUNCTION("""COMPUTED_VALUE"""),"Sweet Home")</f>
        <v>Sweet Home</v>
      </c>
      <c r="Q777" s="8" t="str">
        <f ca="1">IFERROR(__xludf.DUMMYFUNCTION("""COMPUTED_VALUE"""),"OR")</f>
        <v>OR</v>
      </c>
      <c r="R777" s="8" t="str">
        <f ca="1">IFERROR(__xludf.DUMMYFUNCTION("""COMPUTED_VALUE"""),"Elementary")</f>
        <v>Elementary</v>
      </c>
      <c r="S777" s="8" t="str">
        <f ca="1">IFERROR(__xludf.DUMMYFUNCTION("""COMPUTED_VALUE"""),"Beside Building")</f>
        <v>Beside Building</v>
      </c>
      <c r="T777" s="8" t="str">
        <f ca="1">IFERROR(__xludf.DUMMYFUNCTION("""COMPUTED_VALUE"""),"Outside on School Property")</f>
        <v>Outside on School Property</v>
      </c>
      <c r="U777" s="8" t="str">
        <f ca="1">IFERROR(__xludf.DUMMYFUNCTION("""COMPUTED_VALUE"""),"No")</f>
        <v>No</v>
      </c>
      <c r="V777" s="8" t="str">
        <f ca="1">IFERROR(__xludf.DUMMYFUNCTION("""COMPUTED_VALUE"""),"Not a School Day")</f>
        <v>Not a School Day</v>
      </c>
      <c r="W777" s="11">
        <f ca="1">IFERROR(__xludf.DUMMYFUNCTION("""COMPUTED_VALUE"""),0.321527777777777)</f>
        <v>0.32152777777777702</v>
      </c>
      <c r="X777" s="8">
        <f ca="1">IFERROR(__xludf.DUMMYFUNCTION("""COMPUTED_VALUE"""),1)</f>
        <v>1</v>
      </c>
      <c r="Y777" s="12" t="str">
        <f ca="1">IFERROR(__xludf.DUMMYFUNCTION("""COMPUTED_VALUE"""),"Man fired 6 shots from his living room at the school across the street during mental health crisis")</f>
        <v>Man fired 6 shots from his living room at the school across the street during mental health crisis</v>
      </c>
      <c r="Z777" s="12" t="str">
        <f ca="1">IFERROR(__xludf.DUMMYFUNCTION("""COMPUTED_VALUE"""),"Sweet Home police said they issued an extreme protection order for the man, which is a rarely-used method that gives the court authority to prevent a person from possessing firearms if they pose a threat to themselves or others. After a lengthy process, t"&amp;"hat order was granted by the court, SHPD officials said. Sweet Home police said they applied for and were granted a search warrant of the man’s home, which is across the street from Foster Elementary School. They carried out the search on March 24. Police"&amp;" said they found and seized seven guns in the man’s home. In addition, police said they found six bullet holes in a window of the house, and further investigation revealed holes in the upper part of Foster Elementary School’s structure. Police said they n"&amp;"otified the school of the damage.")</f>
        <v>Sweet Home police said they issued an extreme protection order for the man, which is a rarely-used method that gives the court authority to prevent a person from possessing firearms if they pose a threat to themselves or others. After a lengthy process, that order was granted by the court, SHPD officials said. Sweet Home police said they applied for and were granted a search warrant of the man’s home, which is across the street from Foster Elementary School. They carried out the search on March 24. Police said they found and seized seven guns in the man’s home. In addition, police said they found six bullet holes in a window of the house, and further investigation revealed holes in the upper part of Foster Elementary School’s structure. Police said they notified the school of the damage.</v>
      </c>
      <c r="AA777" s="8" t="str">
        <f ca="1">IFERROR(__xludf.DUMMYFUNCTION("""COMPUTED_VALUE"""),"Psychosis")</f>
        <v>Psychosis</v>
      </c>
      <c r="AB777" s="8"/>
      <c r="AC777" s="8" t="str">
        <f ca="1">IFERROR(__xludf.DUMMYFUNCTION("""COMPUTED_VALUE"""),"No")</f>
        <v>No</v>
      </c>
      <c r="AD777" s="8" t="str">
        <f ca="1">IFERROR(__xludf.DUMMYFUNCTION("""COMPUTED_VALUE"""),"Neither")</f>
        <v>Neither</v>
      </c>
      <c r="AE777" s="8" t="str">
        <f ca="1">IFERROR(__xludf.DUMMYFUNCTION("""COMPUTED_VALUE"""),"No")</f>
        <v>No</v>
      </c>
      <c r="AF777" s="8"/>
      <c r="AG777" s="8" t="str">
        <f ca="1">IFERROR(__xludf.DUMMYFUNCTION("""COMPUTED_VALUE"""),"No")</f>
        <v>No</v>
      </c>
      <c r="AH777" s="8" t="str">
        <f ca="1">IFERROR(__xludf.DUMMYFUNCTION("""COMPUTED_VALUE"""),"No")</f>
        <v>No</v>
      </c>
      <c r="AI777" s="8" t="str">
        <f ca="1">IFERROR(__xludf.DUMMYFUNCTION("""COMPUTED_VALUE"""),"No")</f>
        <v>No</v>
      </c>
      <c r="AJ777" s="8" t="str">
        <f ca="1">IFERROR(__xludf.DUMMYFUNCTION("""COMPUTED_VALUE"""),"No")</f>
        <v>No</v>
      </c>
      <c r="AK777" s="8" t="str">
        <f ca="1">IFERROR(__xludf.DUMMYFUNCTION("""COMPUTED_VALUE"""),"No")</f>
        <v>No</v>
      </c>
      <c r="AL777" s="8" t="str">
        <f ca="1">IFERROR(__xludf.DUMMYFUNCTION("""COMPUTED_VALUE"""),"No")</f>
        <v>No</v>
      </c>
      <c r="AM777" s="8" t="str">
        <f ca="1">IFERROR(__xludf.DUMMYFUNCTION("""COMPUTED_VALUE"""),"No")</f>
        <v>No</v>
      </c>
      <c r="AN777" s="8" t="str">
        <f ca="1">IFERROR(__xludf.DUMMYFUNCTION("""COMPUTED_VALUE"""),"Outside")</f>
        <v>Outside</v>
      </c>
      <c r="AO777" s="8" t="str">
        <f ca="1">IFERROR(__xludf.DUMMYFUNCTION("""COMPUTED_VALUE"""),"No")</f>
        <v>No</v>
      </c>
      <c r="AP777" s="8"/>
      <c r="AQ777" s="8"/>
      <c r="AR777" s="8" t="str">
        <f ca="1">IFERROR(__xludf.DUMMYFUNCTION("""COMPUTED_VALUE"""),"Outside/Off-Property")</f>
        <v>Outside/Off-Property</v>
      </c>
      <c r="AS777" s="8">
        <f ca="1">IFERROR(__xludf.DUMMYFUNCTION("""COMPUTED_VALUE"""),6)</f>
        <v>6</v>
      </c>
      <c r="AT777" s="8"/>
      <c r="AU777" s="8">
        <f ca="1">IFERROR(__xludf.DUMMYFUNCTION("""COMPUTED_VALUE"""),44.41021)</f>
        <v>44.410209999999999</v>
      </c>
      <c r="AV777" s="8">
        <f ca="1">IFERROR(__xludf.DUMMYFUNCTION("""COMPUTED_VALUE"""),-122.670486)</f>
        <v>-122.670486</v>
      </c>
      <c r="AW777" s="8"/>
      <c r="AX777" s="8">
        <f ca="1">IFERROR(__xludf.DUMMYFUNCTION("""COMPUTED_VALUE"""),97386)</f>
        <v>97386</v>
      </c>
    </row>
    <row r="778" spans="1:50" ht="60" x14ac:dyDescent="0.2">
      <c r="A778" s="8" t="str">
        <f ca="1">IFERROR(__xludf.DUMMYFUNCTION("""COMPUTED_VALUE"""),"20230316NYPSB")</f>
        <v>20230316NYPSB</v>
      </c>
      <c r="B778" s="8">
        <f ca="1">IFERROR(__xludf.DUMMYFUNCTION("""COMPUTED_VALUE"""),3)</f>
        <v>3</v>
      </c>
      <c r="C778" s="8">
        <f ca="1">IFERROR(__xludf.DUMMYFUNCTION("""COMPUTED_VALUE"""),16)</f>
        <v>16</v>
      </c>
      <c r="D778" s="8">
        <f ca="1">IFERROR(__xludf.DUMMYFUNCTION("""COMPUTED_VALUE"""),2023)</f>
        <v>2023</v>
      </c>
      <c r="E778" s="9">
        <f ca="1">IFERROR(__xludf.DUMMYFUNCTION("""COMPUTED_VALUE"""),45001)</f>
        <v>45001</v>
      </c>
      <c r="F778" s="8" t="str">
        <f ca="1">IFERROR(__xludf.DUMMYFUNCTION("""COMPUTED_VALUE"""),"PS 49 Willis Avenue School")</f>
        <v>PS 49 Willis Avenue School</v>
      </c>
      <c r="G778" s="8">
        <f ca="1">IFERROR(__xludf.DUMMYFUNCTION("""COMPUTED_VALUE"""),0)</f>
        <v>0</v>
      </c>
      <c r="H778" s="8">
        <f ca="1">IFERROR(__xludf.DUMMYFUNCTION("""COMPUTED_VALUE"""),1)</f>
        <v>1</v>
      </c>
      <c r="I778" s="8">
        <f ca="1">IFERROR(__xludf.DUMMYFUNCTION("""COMPUTED_VALUE"""),1)</f>
        <v>1</v>
      </c>
      <c r="J778" s="8">
        <f ca="1">IFERROR(__xludf.DUMMYFUNCTION("""COMPUTED_VALUE"""),0)</f>
        <v>0</v>
      </c>
      <c r="K778" s="10" t="str">
        <f ca="1">IFERROR(__xludf.DUMMYFUNCTION("""COMPUTED_VALUE"""),"https://abc7ny.com/nyc-crime-bronx-16-year-old-shot-mott-haven/12964197/")</f>
        <v>https://abc7ny.com/nyc-crime-bronx-16-year-old-shot-mott-haven/12964197/</v>
      </c>
      <c r="L778" s="8">
        <f ca="1">IFERROR(__xludf.DUMMYFUNCTION("""COMPUTED_VALUE"""),4)</f>
        <v>4</v>
      </c>
      <c r="M778" s="8" t="str">
        <f ca="1">IFERROR(__xludf.DUMMYFUNCTION("""COMPUTED_VALUE"""),"Local")</f>
        <v>Local</v>
      </c>
      <c r="N778" s="8">
        <f ca="1">IFERROR(__xludf.DUMMYFUNCTION("""COMPUTED_VALUE"""),4)</f>
        <v>4</v>
      </c>
      <c r="O778" s="8" t="str">
        <f ca="1">IFERROR(__xludf.DUMMYFUNCTION("""COMPUTED_VALUE"""),"Spring")</f>
        <v>Spring</v>
      </c>
      <c r="P778" s="8" t="str">
        <f ca="1">IFERROR(__xludf.DUMMYFUNCTION("""COMPUTED_VALUE"""),"Bronx")</f>
        <v>Bronx</v>
      </c>
      <c r="Q778" s="8" t="str">
        <f ca="1">IFERROR(__xludf.DUMMYFUNCTION("""COMPUTED_VALUE"""),"NY")</f>
        <v>NY</v>
      </c>
      <c r="R778" s="8" t="str">
        <f ca="1">IFERROR(__xludf.DUMMYFUNCTION("""COMPUTED_VALUE"""),"Elementary")</f>
        <v>Elementary</v>
      </c>
      <c r="S778" s="8" t="str">
        <f ca="1">IFERROR(__xludf.DUMMYFUNCTION("""COMPUTED_VALUE"""),"Basketball Court")</f>
        <v>Basketball Court</v>
      </c>
      <c r="T778" s="8" t="str">
        <f ca="1">IFERROR(__xludf.DUMMYFUNCTION("""COMPUTED_VALUE"""),"Outside on School Property")</f>
        <v>Outside on School Property</v>
      </c>
      <c r="U778" s="8" t="str">
        <f ca="1">IFERROR(__xludf.DUMMYFUNCTION("""COMPUTED_VALUE"""),"No")</f>
        <v>No</v>
      </c>
      <c r="V778" s="8" t="str">
        <f ca="1">IFERROR(__xludf.DUMMYFUNCTION("""COMPUTED_VALUE"""),"After School")</f>
        <v>After School</v>
      </c>
      <c r="W778" s="11">
        <f ca="1">IFERROR(__xludf.DUMMYFUNCTION("""COMPUTED_VALUE"""),0.6875)</f>
        <v>0.6875</v>
      </c>
      <c r="X778" s="8">
        <f ca="1">IFERROR(__xludf.DUMMYFUNCTION("""COMPUTED_VALUE"""),1)</f>
        <v>1</v>
      </c>
      <c r="Y778" s="12" t="str">
        <f ca="1">IFERROR(__xludf.DUMMYFUNCTION("""COMPUTED_VALUE"""),"Teen shot in parking lot behind school near the playground")</f>
        <v>Teen shot in parking lot behind school near the playground</v>
      </c>
      <c r="Z778" s="12" t="str">
        <f ca="1">IFERROR(__xludf.DUMMYFUNCTION("""COMPUTED_VALUE"""),"Two male teens shot a teen victim in the parking lot behind the school. Children were on the playground near the scene.")</f>
        <v>Two male teens shot a teen victim in the parking lot behind the school. Children were on the playground near the scene.</v>
      </c>
      <c r="AA778" s="8" t="str">
        <f ca="1">IFERROR(__xludf.DUMMYFUNCTION("""COMPUTED_VALUE"""),"Escalation of Dispute")</f>
        <v>Escalation of Dispute</v>
      </c>
      <c r="AB778" s="8"/>
      <c r="AC778" s="8" t="str">
        <f ca="1">IFERROR(__xludf.DUMMYFUNCTION("""COMPUTED_VALUE"""),"Yes")</f>
        <v>Yes</v>
      </c>
      <c r="AD778" s="8" t="str">
        <f ca="1">IFERROR(__xludf.DUMMYFUNCTION("""COMPUTED_VALUE"""),"Victims Targeted")</f>
        <v>Victims Targeted</v>
      </c>
      <c r="AE778" s="8" t="str">
        <f ca="1">IFERROR(__xludf.DUMMYFUNCTION("""COMPUTED_VALUE"""),"Yes")</f>
        <v>Yes</v>
      </c>
      <c r="AF778" s="8" t="str">
        <f ca="1">IFERROR(__xludf.DUMMYFUNCTION("""COMPUTED_VALUE"""),"Two shooters")</f>
        <v>Two shooters</v>
      </c>
      <c r="AG778" s="8" t="str">
        <f ca="1">IFERROR(__xludf.DUMMYFUNCTION("""COMPUTED_VALUE"""),"No")</f>
        <v>No</v>
      </c>
      <c r="AH778" s="8" t="str">
        <f ca="1">IFERROR(__xludf.DUMMYFUNCTION("""COMPUTED_VALUE"""),"No")</f>
        <v>No</v>
      </c>
      <c r="AI778" s="8" t="str">
        <f ca="1">IFERROR(__xludf.DUMMYFUNCTION("""COMPUTED_VALUE"""),"No")</f>
        <v>No</v>
      </c>
      <c r="AJ778" s="8" t="str">
        <f ca="1">IFERROR(__xludf.DUMMYFUNCTION("""COMPUTED_VALUE"""),"No")</f>
        <v>No</v>
      </c>
      <c r="AK778" s="8" t="str">
        <f ca="1">IFERROR(__xludf.DUMMYFUNCTION("""COMPUTED_VALUE"""),"No")</f>
        <v>No</v>
      </c>
      <c r="AL778" s="8"/>
      <c r="AM778" s="8" t="str">
        <f ca="1">IFERROR(__xludf.DUMMYFUNCTION("""COMPUTED_VALUE"""),"No")</f>
        <v>No</v>
      </c>
      <c r="AN778" s="8" t="str">
        <f ca="1">IFERROR(__xludf.DUMMYFUNCTION("""COMPUTED_VALUE"""),"Outside")</f>
        <v>Outside</v>
      </c>
      <c r="AO778" s="8" t="str">
        <f ca="1">IFERROR(__xludf.DUMMYFUNCTION("""COMPUTED_VALUE"""),"No")</f>
        <v>No</v>
      </c>
      <c r="AP778" s="8"/>
      <c r="AQ778" s="8"/>
      <c r="AR778" s="8" t="str">
        <f ca="1">IFERROR(__xludf.DUMMYFUNCTION("""COMPUTED_VALUE"""),"Outside/Off-Property")</f>
        <v>Outside/Off-Property</v>
      </c>
      <c r="AS778" s="8">
        <f ca="1">IFERROR(__xludf.DUMMYFUNCTION("""COMPUTED_VALUE"""),10)</f>
        <v>10</v>
      </c>
      <c r="AT778" s="8"/>
      <c r="AU778" s="8">
        <f ca="1">IFERROR(__xludf.DUMMYFUNCTION("""COMPUTED_VALUE"""),40.810846)</f>
        <v>40.810845999999998</v>
      </c>
      <c r="AV778" s="8">
        <f ca="1">IFERROR(__xludf.DUMMYFUNCTION("""COMPUTED_VALUE"""),-73.92258)</f>
        <v>-73.922579999999996</v>
      </c>
      <c r="AW778" s="8"/>
      <c r="AX778" s="8">
        <f ca="1">IFERROR(__xludf.DUMMYFUNCTION("""COMPUTED_VALUE"""),10454)</f>
        <v>10454</v>
      </c>
    </row>
    <row r="779" spans="1:50" ht="120" x14ac:dyDescent="0.2">
      <c r="A779" s="8" t="str">
        <f ca="1">IFERROR(__xludf.DUMMYFUNCTION("""COMPUTED_VALUE"""),"20230316NCLOD")</f>
        <v>20230316NCLOD</v>
      </c>
      <c r="B779" s="8">
        <f ca="1">IFERROR(__xludf.DUMMYFUNCTION("""COMPUTED_VALUE"""),3)</f>
        <v>3</v>
      </c>
      <c r="C779" s="8">
        <f ca="1">IFERROR(__xludf.DUMMYFUNCTION("""COMPUTED_VALUE"""),16)</f>
        <v>16</v>
      </c>
      <c r="D779" s="8">
        <f ca="1">IFERROR(__xludf.DUMMYFUNCTION("""COMPUTED_VALUE"""),2023)</f>
        <v>2023</v>
      </c>
      <c r="E779" s="9">
        <f ca="1">IFERROR(__xludf.DUMMYFUNCTION("""COMPUTED_VALUE"""),45001)</f>
        <v>45001</v>
      </c>
      <c r="F779" s="8" t="str">
        <f ca="1">IFERROR(__xludf.DUMMYFUNCTION("""COMPUTED_VALUE"""),"Lowe's Grove Middle School")</f>
        <v>Lowe's Grove Middle School</v>
      </c>
      <c r="G779" s="8">
        <f ca="1">IFERROR(__xludf.DUMMYFUNCTION("""COMPUTED_VALUE"""),0)</f>
        <v>0</v>
      </c>
      <c r="H779" s="8">
        <f ca="1">IFERROR(__xludf.DUMMYFUNCTION("""COMPUTED_VALUE"""),0)</f>
        <v>0</v>
      </c>
      <c r="I779" s="8">
        <f ca="1">IFERROR(__xludf.DUMMYFUNCTION("""COMPUTED_VALUE"""),0)</f>
        <v>0</v>
      </c>
      <c r="J779" s="8">
        <f ca="1">IFERROR(__xludf.DUMMYFUNCTION("""COMPUTED_VALUE"""),0)</f>
        <v>0</v>
      </c>
      <c r="K779" s="8" t="str">
        <f ca="1">IFERROR(__xludf.DUMMYFUNCTION("""COMPUTED_VALUE"""),"https://abc11.com/crime-gun-durham-school-campuses-lowes-grove-middle-hillside-high/12964542/
https://www.wral.com/students-arrested-after-gun-incidents-at-2-durham-schools/20767484/")</f>
        <v>https://abc11.com/crime-gun-durham-school-campuses-lowes-grove-middle-hillside-high/12964542/
https://www.wral.com/students-arrested-after-gun-incidents-at-2-durham-schools/20767484/</v>
      </c>
      <c r="L779" s="8">
        <f ca="1">IFERROR(__xludf.DUMMYFUNCTION("""COMPUTED_VALUE"""),2)</f>
        <v>2</v>
      </c>
      <c r="M779" s="8" t="str">
        <f ca="1">IFERROR(__xludf.DUMMYFUNCTION("""COMPUTED_VALUE"""),"Local")</f>
        <v>Local</v>
      </c>
      <c r="N779" s="8">
        <f ca="1">IFERROR(__xludf.DUMMYFUNCTION("""COMPUTED_VALUE"""),4)</f>
        <v>4</v>
      </c>
      <c r="O779" s="8" t="str">
        <f ca="1">IFERROR(__xludf.DUMMYFUNCTION("""COMPUTED_VALUE"""),"Spring")</f>
        <v>Spring</v>
      </c>
      <c r="P779" s="8" t="str">
        <f ca="1">IFERROR(__xludf.DUMMYFUNCTION("""COMPUTED_VALUE"""),"Durham")</f>
        <v>Durham</v>
      </c>
      <c r="Q779" s="8" t="str">
        <f ca="1">IFERROR(__xludf.DUMMYFUNCTION("""COMPUTED_VALUE"""),"NC")</f>
        <v>NC</v>
      </c>
      <c r="R779" s="8" t="str">
        <f ca="1">IFERROR(__xludf.DUMMYFUNCTION("""COMPUTED_VALUE"""),"Middle")</f>
        <v>Middle</v>
      </c>
      <c r="S779" s="8" t="str">
        <f ca="1">IFERROR(__xludf.DUMMYFUNCTION("""COMPUTED_VALUE"""),"Inside School Building")</f>
        <v>Inside School Building</v>
      </c>
      <c r="T779" s="8" t="str">
        <f ca="1">IFERROR(__xludf.DUMMYFUNCTION("""COMPUTED_VALUE"""),"Inside School Building")</f>
        <v>Inside School Building</v>
      </c>
      <c r="U779" s="8" t="str">
        <f ca="1">IFERROR(__xludf.DUMMYFUNCTION("""COMPUTED_VALUE"""),"Yes")</f>
        <v>Yes</v>
      </c>
      <c r="V779" s="8" t="str">
        <f ca="1">IFERROR(__xludf.DUMMYFUNCTION("""COMPUTED_VALUE"""),"Afternoon Classes")</f>
        <v>Afternoon Classes</v>
      </c>
      <c r="W779" s="11">
        <f ca="1">IFERROR(__xludf.DUMMYFUNCTION("""COMPUTED_VALUE"""),0.583333333333333)</f>
        <v>0.58333333333333304</v>
      </c>
      <c r="X779" s="8">
        <f ca="1">IFERROR(__xludf.DUMMYFUNCTION("""COMPUTED_VALUE"""),1)</f>
        <v>1</v>
      </c>
      <c r="Y779" s="12" t="str">
        <f ca="1">IFERROR(__xludf.DUMMYFUNCTION("""COMPUTED_VALUE"""),"Student robbed classmate at gunpoint, arrested by SRO")</f>
        <v>Student robbed classmate at gunpoint, arrested by SRO</v>
      </c>
      <c r="Z779" s="12" t="str">
        <f ca="1">IFERROR(__xludf.DUMMYFUNCTION("""COMPUTED_VALUE"""),"According to the Durham County Sheriff's Office, a gun was found on a 14-year-old who allegedly used it to rob another student. The investigation started just before 2:00 p.m. after the school resource officer received a tip about a possible armed robbery"&amp;" of another student on campus. The SRO found the student who still had the handgun with an extended magazine and items taken from the student who was robbed.")</f>
        <v>According to the Durham County Sheriff's Office, a gun was found on a 14-year-old who allegedly used it to rob another student. The investigation started just before 2:00 p.m. after the school resource officer received a tip about a possible armed robbery of another student on campus. The SRO found the student who still had the handgun with an extended magazine and items taken from the student who was robbed.</v>
      </c>
      <c r="AA779" s="8" t="str">
        <f ca="1">IFERROR(__xludf.DUMMYFUNCTION("""COMPUTED_VALUE"""),"Illegal Activity")</f>
        <v>Illegal Activity</v>
      </c>
      <c r="AB779" s="8"/>
      <c r="AC779" s="8" t="str">
        <f ca="1">IFERROR(__xludf.DUMMYFUNCTION("""COMPUTED_VALUE"""),"Yes")</f>
        <v>Yes</v>
      </c>
      <c r="AD779" s="8" t="str">
        <f ca="1">IFERROR(__xludf.DUMMYFUNCTION("""COMPUTED_VALUE"""),"Victims Targeted")</f>
        <v>Victims Targeted</v>
      </c>
      <c r="AE779" s="8" t="str">
        <f ca="1">IFERROR(__xludf.DUMMYFUNCTION("""COMPUTED_VALUE"""),"No")</f>
        <v>No</v>
      </c>
      <c r="AF779" s="8"/>
      <c r="AG779" s="8" t="str">
        <f ca="1">IFERROR(__xludf.DUMMYFUNCTION("""COMPUTED_VALUE"""),"No")</f>
        <v>No</v>
      </c>
      <c r="AH779" s="8" t="str">
        <f ca="1">IFERROR(__xludf.DUMMYFUNCTION("""COMPUTED_VALUE"""),"No")</f>
        <v>No</v>
      </c>
      <c r="AI779" s="8" t="str">
        <f ca="1">IFERROR(__xludf.DUMMYFUNCTION("""COMPUTED_VALUE"""),"No")</f>
        <v>No</v>
      </c>
      <c r="AJ779" s="8" t="str">
        <f ca="1">IFERROR(__xludf.DUMMYFUNCTION("""COMPUTED_VALUE"""),"No")</f>
        <v>No</v>
      </c>
      <c r="AK779" s="8" t="str">
        <f ca="1">IFERROR(__xludf.DUMMYFUNCTION("""COMPUTED_VALUE"""),"No")</f>
        <v>No</v>
      </c>
      <c r="AL779" s="8" t="str">
        <f ca="1">IFERROR(__xludf.DUMMYFUNCTION("""COMPUTED_VALUE"""),"No")</f>
        <v>No</v>
      </c>
      <c r="AM779" s="8" t="str">
        <f ca="1">IFERROR(__xludf.DUMMYFUNCTION("""COMPUTED_VALUE"""),"No")</f>
        <v>No</v>
      </c>
      <c r="AN779" s="8" t="str">
        <f ca="1">IFERROR(__xludf.DUMMYFUNCTION("""COMPUTED_VALUE"""),"Outside")</f>
        <v>Outside</v>
      </c>
      <c r="AO779" s="8" t="str">
        <f ca="1">IFERROR(__xludf.DUMMYFUNCTION("""COMPUTED_VALUE"""),"No")</f>
        <v>No</v>
      </c>
      <c r="AP779" s="8" t="str">
        <f ca="1">IFERROR(__xludf.DUMMYFUNCTION("""COMPUTED_VALUE"""),"Yes")</f>
        <v>Yes</v>
      </c>
      <c r="AQ779" s="8" t="str">
        <f ca="1">IFERROR(__xludf.DUMMYFUNCTION("""COMPUTED_VALUE"""),"Armed Guards")</f>
        <v>Armed Guards</v>
      </c>
      <c r="AR779" s="8" t="str">
        <f ca="1">IFERROR(__xludf.DUMMYFUNCTION("""COMPUTED_VALUE"""),"Failed")</f>
        <v>Failed</v>
      </c>
      <c r="AS779" s="8">
        <f ca="1">IFERROR(__xludf.DUMMYFUNCTION("""COMPUTED_VALUE"""),0)</f>
        <v>0</v>
      </c>
      <c r="AT779" s="8" t="str">
        <f ca="1">IFERROR(__xludf.DUMMYFUNCTION("""COMPUTED_VALUE"""),"No")</f>
        <v>No</v>
      </c>
      <c r="AU779" s="8">
        <f ca="1">IFERROR(__xludf.DUMMYFUNCTION("""COMPUTED_VALUE"""),35.904293)</f>
        <v>35.904293000000003</v>
      </c>
      <c r="AV779" s="8">
        <f ca="1">IFERROR(__xludf.DUMMYFUNCTION("""COMPUTED_VALUE"""),-78.890991)</f>
        <v>-78.890991</v>
      </c>
      <c r="AW779" s="8"/>
      <c r="AX779" s="8">
        <f ca="1">IFERROR(__xludf.DUMMYFUNCTION("""COMPUTED_VALUE"""),27709)</f>
        <v>27709</v>
      </c>
    </row>
    <row r="780" spans="1:50" ht="120" x14ac:dyDescent="0.2">
      <c r="A780" s="8" t="str">
        <f ca="1">IFERROR(__xludf.DUMMYFUNCTION("""COMPUTED_VALUE"""),"20230316DCCOW")</f>
        <v>20230316DCCOW</v>
      </c>
      <c r="B780" s="8">
        <f ca="1">IFERROR(__xludf.DUMMYFUNCTION("""COMPUTED_VALUE"""),3)</f>
        <v>3</v>
      </c>
      <c r="C780" s="8">
        <f ca="1">IFERROR(__xludf.DUMMYFUNCTION("""COMPUTED_VALUE"""),16)</f>
        <v>16</v>
      </c>
      <c r="D780" s="8">
        <f ca="1">IFERROR(__xludf.DUMMYFUNCTION("""COMPUTED_VALUE"""),2023)</f>
        <v>2023</v>
      </c>
      <c r="E780" s="9">
        <f ca="1">IFERROR(__xludf.DUMMYFUNCTION("""COMPUTED_VALUE"""),45001)</f>
        <v>45001</v>
      </c>
      <c r="F780" s="8" t="str">
        <f ca="1">IFERROR(__xludf.DUMMYFUNCTION("""COMPUTED_VALUE"""),"Coolidge High School")</f>
        <v>Coolidge High School</v>
      </c>
      <c r="G780" s="8">
        <f ca="1">IFERROR(__xludf.DUMMYFUNCTION("""COMPUTED_VALUE"""),0)</f>
        <v>0</v>
      </c>
      <c r="H780" s="8">
        <f ca="1">IFERROR(__xludf.DUMMYFUNCTION("""COMPUTED_VALUE"""),0)</f>
        <v>0</v>
      </c>
      <c r="I780" s="8">
        <f ca="1">IFERROR(__xludf.DUMMYFUNCTION("""COMPUTED_VALUE"""),0)</f>
        <v>0</v>
      </c>
      <c r="J780" s="8">
        <f ca="1">IFERROR(__xludf.DUMMYFUNCTION("""COMPUTED_VALUE"""),0)</f>
        <v>0</v>
      </c>
      <c r="K780" s="8" t="str">
        <f ca="1">IFERROR(__xludf.DUMMYFUNCTION("""COMPUTED_VALUE"""),"https://www.fox5dc.com/news/shell-casings-damage-to-the-building-after-reports-of-shots-fired-near-coolidge-high-school-in-dc
https://www.wusa9.com/article/news/crime/shots-fired-near-coolidge-high-school-investigation/65-2c7dfb85-bc83-433b-9703-dd854795b"&amp;"757")</f>
        <v>https://www.fox5dc.com/news/shell-casings-damage-to-the-building-after-reports-of-shots-fired-near-coolidge-high-school-in-dc
https://www.wusa9.com/article/news/crime/shots-fired-near-coolidge-high-school-investigation/65-2c7dfb85-bc83-433b-9703-dd854795b757</v>
      </c>
      <c r="L780" s="8">
        <f ca="1">IFERROR(__xludf.DUMMYFUNCTION("""COMPUTED_VALUE"""),5)</f>
        <v>5</v>
      </c>
      <c r="M780" s="8" t="str">
        <f ca="1">IFERROR(__xludf.DUMMYFUNCTION("""COMPUTED_VALUE"""),"Local")</f>
        <v>Local</v>
      </c>
      <c r="N780" s="8">
        <f ca="1">IFERROR(__xludf.DUMMYFUNCTION("""COMPUTED_VALUE"""),4)</f>
        <v>4</v>
      </c>
      <c r="O780" s="8" t="str">
        <f ca="1">IFERROR(__xludf.DUMMYFUNCTION("""COMPUTED_VALUE"""),"Spring")</f>
        <v>Spring</v>
      </c>
      <c r="P780" s="8" t="str">
        <f ca="1">IFERROR(__xludf.DUMMYFUNCTION("""COMPUTED_VALUE"""),"Washington")</f>
        <v>Washington</v>
      </c>
      <c r="Q780" s="8" t="str">
        <f ca="1">IFERROR(__xludf.DUMMYFUNCTION("""COMPUTED_VALUE"""),"DC")</f>
        <v>DC</v>
      </c>
      <c r="R780" s="8" t="str">
        <f ca="1">IFERROR(__xludf.DUMMYFUNCTION("""COMPUTED_VALUE"""),"High")</f>
        <v>High</v>
      </c>
      <c r="S780" s="8" t="str">
        <f ca="1">IFERROR(__xludf.DUMMYFUNCTION("""COMPUTED_VALUE"""),"Front of School")</f>
        <v>Front of School</v>
      </c>
      <c r="T780" s="8" t="str">
        <f ca="1">IFERROR(__xludf.DUMMYFUNCTION("""COMPUTED_VALUE"""),"Outside on School Property")</f>
        <v>Outside on School Property</v>
      </c>
      <c r="U780" s="8" t="str">
        <f ca="1">IFERROR(__xludf.DUMMYFUNCTION("""COMPUTED_VALUE"""),"Yes")</f>
        <v>Yes</v>
      </c>
      <c r="V780" s="8" t="str">
        <f ca="1">IFERROR(__xludf.DUMMYFUNCTION("""COMPUTED_VALUE"""),"Morning Classes")</f>
        <v>Morning Classes</v>
      </c>
      <c r="W780" s="11">
        <f ca="1">IFERROR(__xludf.DUMMYFUNCTION("""COMPUTED_VALUE"""),0.416666666666666)</f>
        <v>0.41666666666666602</v>
      </c>
      <c r="X780" s="8">
        <f ca="1">IFERROR(__xludf.DUMMYFUNCTION("""COMPUTED_VALUE"""),1)</f>
        <v>1</v>
      </c>
      <c r="Y780" s="12" t="str">
        <f ca="1">IFERROR(__xludf.DUMMYFUNCTION("""COMPUTED_VALUE"""),"Multiple shots fired during robbery at front door of school during morning classes, bullet struck the school")</f>
        <v>Multiple shots fired during robbery at front door of school during morning classes, bullet struck the school</v>
      </c>
      <c r="Z780" s="12" t="str">
        <f ca="1">IFERROR(__xludf.DUMMYFUNCTION("""COMPUTED_VALUE"""),"Student was robbed at gunpoint near the front door of the school. The gun went off during the robbery and struck the school building. ""The [gunshot] was not directed at the school or the victim,” Heraud said. “The suspect may have negligently discharged "&amp;"the firearm as he was returning back to the vehicle."" School went on lockdown and shooter fled. Police recovered multiple shell casings and building was damaged.")</f>
        <v>Student was robbed at gunpoint near the front door of the school. The gun went off during the robbery and struck the school building. "The [gunshot] was not directed at the school or the victim,” Heraud said. “The suspect may have negligently discharged the firearm as he was returning back to the vehicle." School went on lockdown and shooter fled. Police recovered multiple shell casings and building was damaged.</v>
      </c>
      <c r="AA780" s="8" t="str">
        <f ca="1">IFERROR(__xludf.DUMMYFUNCTION("""COMPUTED_VALUE"""),"Illegal Activity")</f>
        <v>Illegal Activity</v>
      </c>
      <c r="AB780" s="8"/>
      <c r="AC780" s="8" t="str">
        <f ca="1">IFERROR(__xludf.DUMMYFUNCTION("""COMPUTED_VALUE"""),"Yes")</f>
        <v>Yes</v>
      </c>
      <c r="AD780" s="8" t="str">
        <f ca="1">IFERROR(__xludf.DUMMYFUNCTION("""COMPUTED_VALUE"""),"Victims Targeted")</f>
        <v>Victims Targeted</v>
      </c>
      <c r="AE780" s="8" t="str">
        <f ca="1">IFERROR(__xludf.DUMMYFUNCTION("""COMPUTED_VALUE"""),"Yes")</f>
        <v>Yes</v>
      </c>
      <c r="AF780" s="8" t="str">
        <f ca="1">IFERROR(__xludf.DUMMYFUNCTION("""COMPUTED_VALUE"""),"Two teens")</f>
        <v>Two teens</v>
      </c>
      <c r="AG780" s="8" t="str">
        <f ca="1">IFERROR(__xludf.DUMMYFUNCTION("""COMPUTED_VALUE"""),"No")</f>
        <v>No</v>
      </c>
      <c r="AH780" s="8" t="str">
        <f ca="1">IFERROR(__xludf.DUMMYFUNCTION("""COMPUTED_VALUE"""),"No")</f>
        <v>No</v>
      </c>
      <c r="AI780" s="8" t="str">
        <f ca="1">IFERROR(__xludf.DUMMYFUNCTION("""COMPUTED_VALUE"""),"No")</f>
        <v>No</v>
      </c>
      <c r="AJ780" s="8" t="str">
        <f ca="1">IFERROR(__xludf.DUMMYFUNCTION("""COMPUTED_VALUE"""),"No")</f>
        <v>No</v>
      </c>
      <c r="AK780" s="8" t="str">
        <f ca="1">IFERROR(__xludf.DUMMYFUNCTION("""COMPUTED_VALUE"""),"No")</f>
        <v>No</v>
      </c>
      <c r="AL780" s="8" t="str">
        <f ca="1">IFERROR(__xludf.DUMMYFUNCTION("""COMPUTED_VALUE"""),"No")</f>
        <v>No</v>
      </c>
      <c r="AM780" s="8" t="str">
        <f ca="1">IFERROR(__xludf.DUMMYFUNCTION("""COMPUTED_VALUE"""),"No")</f>
        <v>No</v>
      </c>
      <c r="AN780" s="8" t="str">
        <f ca="1">IFERROR(__xludf.DUMMYFUNCTION("""COMPUTED_VALUE"""),"Outside")</f>
        <v>Outside</v>
      </c>
      <c r="AO780" s="8" t="str">
        <f ca="1">IFERROR(__xludf.DUMMYFUNCTION("""COMPUTED_VALUE"""),"No")</f>
        <v>No</v>
      </c>
      <c r="AP780" s="8"/>
      <c r="AQ780" s="8"/>
      <c r="AR780" s="8" t="str">
        <f ca="1">IFERROR(__xludf.DUMMYFUNCTION("""COMPUTED_VALUE"""),"Outside/Off-Property")</f>
        <v>Outside/Off-Property</v>
      </c>
      <c r="AS780" s="8">
        <f ca="1">IFERROR(__xludf.DUMMYFUNCTION("""COMPUTED_VALUE"""),5)</f>
        <v>5</v>
      </c>
      <c r="AT780" s="8" t="str">
        <f ca="1">IFERROR(__xludf.DUMMYFUNCTION("""COMPUTED_VALUE"""),"Yes")</f>
        <v>Yes</v>
      </c>
      <c r="AU780" s="8">
        <f ca="1">IFERROR(__xludf.DUMMYFUNCTION("""COMPUTED_VALUE"""),38.967254)</f>
        <v>38.967253999999997</v>
      </c>
      <c r="AV780" s="8">
        <f ca="1">IFERROR(__xludf.DUMMYFUNCTION("""COMPUTED_VALUE"""),-77.019802)</f>
        <v>-77.019801999999999</v>
      </c>
      <c r="AW780" s="8"/>
      <c r="AX780" s="8">
        <f ca="1">IFERROR(__xludf.DUMMYFUNCTION("""COMPUTED_VALUE"""),20011)</f>
        <v>20011</v>
      </c>
    </row>
    <row r="781" spans="1:50" ht="60" x14ac:dyDescent="0.2">
      <c r="A781" s="8" t="str">
        <f ca="1">IFERROR(__xludf.DUMMYFUNCTION("""COMPUTED_VALUE"""),"20230315MICEW")</f>
        <v>20230315MICEW</v>
      </c>
      <c r="B781" s="8">
        <f ca="1">IFERROR(__xludf.DUMMYFUNCTION("""COMPUTED_VALUE"""),3)</f>
        <v>3</v>
      </c>
      <c r="C781" s="8">
        <f ca="1">IFERROR(__xludf.DUMMYFUNCTION("""COMPUTED_VALUE"""),15)</f>
        <v>15</v>
      </c>
      <c r="D781" s="8">
        <f ca="1">IFERROR(__xludf.DUMMYFUNCTION("""COMPUTED_VALUE"""),2023)</f>
        <v>2023</v>
      </c>
      <c r="E781" s="9">
        <f ca="1">IFERROR(__xludf.DUMMYFUNCTION("""COMPUTED_VALUE"""),45000)</f>
        <v>45000</v>
      </c>
      <c r="F781" s="8" t="str">
        <f ca="1">IFERROR(__xludf.DUMMYFUNCTION("""COMPUTED_VALUE"""),"Century Park Learning Center")</f>
        <v>Century Park Learning Center</v>
      </c>
      <c r="G781" s="8">
        <f ca="1">IFERROR(__xludf.DUMMYFUNCTION("""COMPUTED_VALUE"""),0)</f>
        <v>0</v>
      </c>
      <c r="H781" s="8">
        <f ca="1">IFERROR(__xludf.DUMMYFUNCTION("""COMPUTED_VALUE"""),0)</f>
        <v>0</v>
      </c>
      <c r="I781" s="8">
        <f ca="1">IFERROR(__xludf.DUMMYFUNCTION("""COMPUTED_VALUE"""),0)</f>
        <v>0</v>
      </c>
      <c r="J781" s="8">
        <f ca="1">IFERROR(__xludf.DUMMYFUNCTION("""COMPUTED_VALUE"""),0)</f>
        <v>0</v>
      </c>
      <c r="K781" s="10" t="str">
        <f ca="1">IFERROR(__xludf.DUMMYFUNCTION("""COMPUTED_VALUE"""),"https://www.mlive.com/news/2023/03/west-michigan-school-closes-day-after-shots-fired-near-campus.html
https://www.fox17online.com/news/local-news/kent/wyoming-dps-grandville-pd-respond-to-shots-fired-near-school")</f>
        <v>https://www.mlive.com/news/2023/03/west-michigan-school-closes-day-after-shots-fired-near-campus.html
https://www.fox17online.com/news/local-news/kent/wyoming-dps-grandville-pd-respond-to-shots-fired-near-school</v>
      </c>
      <c r="L781" s="8">
        <f ca="1">IFERROR(__xludf.DUMMYFUNCTION("""COMPUTED_VALUE"""),5)</f>
        <v>5</v>
      </c>
      <c r="M781" s="8" t="str">
        <f ca="1">IFERROR(__xludf.DUMMYFUNCTION("""COMPUTED_VALUE"""),"Local")</f>
        <v>Local</v>
      </c>
      <c r="N781" s="8">
        <f ca="1">IFERROR(__xludf.DUMMYFUNCTION("""COMPUTED_VALUE"""),4)</f>
        <v>4</v>
      </c>
      <c r="O781" s="8" t="str">
        <f ca="1">IFERROR(__xludf.DUMMYFUNCTION("""COMPUTED_VALUE"""),"Spring")</f>
        <v>Spring</v>
      </c>
      <c r="P781" s="8" t="str">
        <f ca="1">IFERROR(__xludf.DUMMYFUNCTION("""COMPUTED_VALUE"""),"Wyoming")</f>
        <v>Wyoming</v>
      </c>
      <c r="Q781" s="8" t="str">
        <f ca="1">IFERROR(__xludf.DUMMYFUNCTION("""COMPUTED_VALUE"""),"MI")</f>
        <v>MI</v>
      </c>
      <c r="R781" s="8" t="str">
        <f ca="1">IFERROR(__xludf.DUMMYFUNCTION("""COMPUTED_VALUE"""),"Elementary")</f>
        <v>Elementary</v>
      </c>
      <c r="S781" s="8" t="str">
        <f ca="1">IFERROR(__xludf.DUMMYFUNCTION("""COMPUTED_VALUE"""),"Outside on School Property")</f>
        <v>Outside on School Property</v>
      </c>
      <c r="T781" s="8" t="str">
        <f ca="1">IFERROR(__xludf.DUMMYFUNCTION("""COMPUTED_VALUE"""),"Outside on School Property")</f>
        <v>Outside on School Property</v>
      </c>
      <c r="U781" s="8" t="str">
        <f ca="1">IFERROR(__xludf.DUMMYFUNCTION("""COMPUTED_VALUE"""),"Yes")</f>
        <v>Yes</v>
      </c>
      <c r="V781" s="8" t="str">
        <f ca="1">IFERROR(__xludf.DUMMYFUNCTION("""COMPUTED_VALUE"""),"Dismissal")</f>
        <v>Dismissal</v>
      </c>
      <c r="W781" s="11">
        <f ca="1">IFERROR(__xludf.DUMMYFUNCTION("""COMPUTED_VALUE"""),0.652777777777777)</f>
        <v>0.65277777777777701</v>
      </c>
      <c r="X781" s="8">
        <f ca="1">IFERROR(__xludf.DUMMYFUNCTION("""COMPUTED_VALUE"""),1)</f>
        <v>1</v>
      </c>
      <c r="Y781" s="12" t="str">
        <f ca="1">IFERROR(__xludf.DUMMYFUNCTION("""COMPUTED_VALUE"""),"Shots fired at dismissal")</f>
        <v>Shots fired at dismissal</v>
      </c>
      <c r="Z781" s="12" t="str">
        <f ca="1">IFERROR(__xludf.DUMMYFUNCTION("""COMPUTED_VALUE"""),"Shots fired during dismissal. No injuries and shooter fled. Staff rushed students back inside and buses held in the parking lot. School closed the next day so staff could seek mental health resources.")</f>
        <v>Shots fired during dismissal. No injuries and shooter fled. Staff rushed students back inside and buses held in the parking lot. School closed the next day so staff could seek mental health resources.</v>
      </c>
      <c r="AA781" s="8"/>
      <c r="AB781" s="8"/>
      <c r="AC781" s="8" t="str">
        <f ca="1">IFERROR(__xludf.DUMMYFUNCTION("""COMPUTED_VALUE"""),"Yes")</f>
        <v>Yes</v>
      </c>
      <c r="AD781" s="8"/>
      <c r="AE781" s="8" t="str">
        <f ca="1">IFERROR(__xludf.DUMMYFUNCTION("""COMPUTED_VALUE"""),"No")</f>
        <v>No</v>
      </c>
      <c r="AF781" s="8"/>
      <c r="AG781" s="8" t="str">
        <f ca="1">IFERROR(__xludf.DUMMYFUNCTION("""COMPUTED_VALUE"""),"No")</f>
        <v>No</v>
      </c>
      <c r="AH781" s="8" t="str">
        <f ca="1">IFERROR(__xludf.DUMMYFUNCTION("""COMPUTED_VALUE"""),"No")</f>
        <v>No</v>
      </c>
      <c r="AI781" s="8" t="str">
        <f ca="1">IFERROR(__xludf.DUMMYFUNCTION("""COMPUTED_VALUE"""),"No")</f>
        <v>No</v>
      </c>
      <c r="AJ781" s="8" t="str">
        <f ca="1">IFERROR(__xludf.DUMMYFUNCTION("""COMPUTED_VALUE"""),"No")</f>
        <v>No</v>
      </c>
      <c r="AK781" s="8" t="str">
        <f ca="1">IFERROR(__xludf.DUMMYFUNCTION("""COMPUTED_VALUE"""),"No")</f>
        <v>No</v>
      </c>
      <c r="AL781" s="8" t="str">
        <f ca="1">IFERROR(__xludf.DUMMYFUNCTION("""COMPUTED_VALUE"""),"No")</f>
        <v>No</v>
      </c>
      <c r="AM781" s="8" t="str">
        <f ca="1">IFERROR(__xludf.DUMMYFUNCTION("""COMPUTED_VALUE"""),"No")</f>
        <v>No</v>
      </c>
      <c r="AN781" s="8" t="str">
        <f ca="1">IFERROR(__xludf.DUMMYFUNCTION("""COMPUTED_VALUE"""),"Outside")</f>
        <v>Outside</v>
      </c>
      <c r="AO781" s="8" t="str">
        <f ca="1">IFERROR(__xludf.DUMMYFUNCTION("""COMPUTED_VALUE"""),"No")</f>
        <v>No</v>
      </c>
      <c r="AP781" s="8"/>
      <c r="AQ781" s="8"/>
      <c r="AR781" s="8" t="str">
        <f ca="1">IFERROR(__xludf.DUMMYFUNCTION("""COMPUTED_VALUE"""),"Outside/Off-Property")</f>
        <v>Outside/Off-Property</v>
      </c>
      <c r="AS781" s="8">
        <f ca="1">IFERROR(__xludf.DUMMYFUNCTION("""COMPUTED_VALUE"""),10)</f>
        <v>10</v>
      </c>
      <c r="AT781" s="8" t="str">
        <f ca="1">IFERROR(__xludf.DUMMYFUNCTION("""COMPUTED_VALUE"""),"Yes")</f>
        <v>Yes</v>
      </c>
      <c r="AU781" s="8">
        <f ca="1">IFERROR(__xludf.DUMMYFUNCTION("""COMPUTED_VALUE"""),42.861407)</f>
        <v>42.861407</v>
      </c>
      <c r="AV781" s="8">
        <f ca="1">IFERROR(__xludf.DUMMYFUNCTION("""COMPUTED_VALUE"""),-85.781063)</f>
        <v>-85.781063000000003</v>
      </c>
      <c r="AW781" s="8"/>
      <c r="AX781" s="8">
        <f ca="1">IFERROR(__xludf.DUMMYFUNCTION("""COMPUTED_VALUE"""),49418)</f>
        <v>49418</v>
      </c>
    </row>
    <row r="782" spans="1:50" ht="90" x14ac:dyDescent="0.2">
      <c r="A782" s="8" t="str">
        <f ca="1">IFERROR(__xludf.DUMMYFUNCTION("""COMPUTED_VALUE"""),"20230315COINB")</f>
        <v>20230315COINB</v>
      </c>
      <c r="B782" s="8">
        <f ca="1">IFERROR(__xludf.DUMMYFUNCTION("""COMPUTED_VALUE"""),3)</f>
        <v>3</v>
      </c>
      <c r="C782" s="8">
        <f ca="1">IFERROR(__xludf.DUMMYFUNCTION("""COMPUTED_VALUE"""),15)</f>
        <v>15</v>
      </c>
      <c r="D782" s="8">
        <f ca="1">IFERROR(__xludf.DUMMYFUNCTION("""COMPUTED_VALUE"""),2023)</f>
        <v>2023</v>
      </c>
      <c r="E782" s="9">
        <f ca="1">IFERROR(__xludf.DUMMYFUNCTION("""COMPUTED_VALUE"""),45000)</f>
        <v>45000</v>
      </c>
      <c r="F782" s="8" t="str">
        <f ca="1">IFERROR(__xludf.DUMMYFUNCTION("""COMPUTED_VALUE"""),"Innovation and Options Charter School")</f>
        <v>Innovation and Options Charter School</v>
      </c>
      <c r="G782" s="8">
        <f ca="1">IFERROR(__xludf.DUMMYFUNCTION("""COMPUTED_VALUE"""),0)</f>
        <v>0</v>
      </c>
      <c r="H782" s="8">
        <f ca="1">IFERROR(__xludf.DUMMYFUNCTION("""COMPUTED_VALUE"""),1)</f>
        <v>1</v>
      </c>
      <c r="I782" s="8">
        <f ca="1">IFERROR(__xludf.DUMMYFUNCTION("""COMPUTED_VALUE"""),1)</f>
        <v>1</v>
      </c>
      <c r="J782" s="8">
        <f ca="1">IFERROR(__xludf.DUMMYFUNCTION("""COMPUTED_VALUE"""),0)</f>
        <v>0</v>
      </c>
      <c r="K782" s="10" t="str">
        <f ca="1">IFERROR(__xludf.DUMMYFUNCTION("""COMPUTED_VALUE"""),"https://www.9news.com/article/news/crime/teens-charged-brighton-shooting/73-49712006-34c3-4896-a240-9327701d6ba1")</f>
        <v>https://www.9news.com/article/news/crime/teens-charged-brighton-shooting/73-49712006-34c3-4896-a240-9327701d6ba1</v>
      </c>
      <c r="L782" s="8">
        <f ca="1">IFERROR(__xludf.DUMMYFUNCTION("""COMPUTED_VALUE"""),20)</f>
        <v>20</v>
      </c>
      <c r="M782" s="8" t="str">
        <f ca="1">IFERROR(__xludf.DUMMYFUNCTION("""COMPUTED_VALUE"""),"Regional")</f>
        <v>Regional</v>
      </c>
      <c r="N782" s="8">
        <f ca="1">IFERROR(__xludf.DUMMYFUNCTION("""COMPUTED_VALUE"""),4)</f>
        <v>4</v>
      </c>
      <c r="O782" s="8" t="str">
        <f ca="1">IFERROR(__xludf.DUMMYFUNCTION("""COMPUTED_VALUE"""),"Spring")</f>
        <v>Spring</v>
      </c>
      <c r="P782" s="8" t="str">
        <f ca="1">IFERROR(__xludf.DUMMYFUNCTION("""COMPUTED_VALUE"""),"Brighton")</f>
        <v>Brighton</v>
      </c>
      <c r="Q782" s="8" t="str">
        <f ca="1">IFERROR(__xludf.DUMMYFUNCTION("""COMPUTED_VALUE"""),"CO")</f>
        <v>CO</v>
      </c>
      <c r="R782" s="8" t="str">
        <f ca="1">IFERROR(__xludf.DUMMYFUNCTION("""COMPUTED_VALUE"""),"High")</f>
        <v>High</v>
      </c>
      <c r="S782" s="8" t="str">
        <f ca="1">IFERROR(__xludf.DUMMYFUNCTION("""COMPUTED_VALUE"""),"Outside on School Property")</f>
        <v>Outside on School Property</v>
      </c>
      <c r="T782" s="8" t="str">
        <f ca="1">IFERROR(__xludf.DUMMYFUNCTION("""COMPUTED_VALUE"""),"Outside on School Property")</f>
        <v>Outside on School Property</v>
      </c>
      <c r="U782" s="8" t="str">
        <f ca="1">IFERROR(__xludf.DUMMYFUNCTION("""COMPUTED_VALUE"""),"Yes")</f>
        <v>Yes</v>
      </c>
      <c r="V782" s="8" t="str">
        <f ca="1">IFERROR(__xludf.DUMMYFUNCTION("""COMPUTED_VALUE"""),"Lunch")</f>
        <v>Lunch</v>
      </c>
      <c r="W782" s="11">
        <f ca="1">IFERROR(__xludf.DUMMYFUNCTION("""COMPUTED_VALUE"""),0.520833333333333)</f>
        <v>0.52083333333333304</v>
      </c>
      <c r="X782" s="8">
        <f ca="1">IFERROR(__xludf.DUMMYFUNCTION("""COMPUTED_VALUE"""),1)</f>
        <v>1</v>
      </c>
      <c r="Y782" s="12" t="str">
        <f ca="1">IFERROR(__xludf.DUMMYFUNCTION("""COMPUTED_VALUE"""),"Shots fired and one student wounded during planned fight between students from multiple schools")</f>
        <v>Shots fired and one student wounded during planned fight between students from multiple schools</v>
      </c>
      <c r="Z782" s="12" t="str">
        <f ca="1">IFERROR(__xludf.DUMMYFUNCTION("""COMPUTED_VALUE"""),"Teen was wounded during lunchtime fight between students from four different high schools. 10 schools went on lockdown. Police believed teen with gun had returned to Prairie View High. Shooting occured at the edge of the campus.")</f>
        <v>Teen was wounded during lunchtime fight between students from four different high schools. 10 schools went on lockdown. Police believed teen with gun had returned to Prairie View High. Shooting occured at the edge of the campus.</v>
      </c>
      <c r="AA782" s="8" t="str">
        <f ca="1">IFERROR(__xludf.DUMMYFUNCTION("""COMPUTED_VALUE"""),"Escalation of Dispute")</f>
        <v>Escalation of Dispute</v>
      </c>
      <c r="AB782" s="8"/>
      <c r="AC782" s="8" t="str">
        <f ca="1">IFERROR(__xludf.DUMMYFUNCTION("""COMPUTED_VALUE"""),"Yes")</f>
        <v>Yes</v>
      </c>
      <c r="AD782" s="8" t="str">
        <f ca="1">IFERROR(__xludf.DUMMYFUNCTION("""COMPUTED_VALUE"""),"Victims Targeted")</f>
        <v>Victims Targeted</v>
      </c>
      <c r="AE782" s="8" t="str">
        <f ca="1">IFERROR(__xludf.DUMMYFUNCTION("""COMPUTED_VALUE"""),"Yes")</f>
        <v>Yes</v>
      </c>
      <c r="AF782" s="8" t="str">
        <f ca="1">IFERROR(__xludf.DUMMYFUNCTION("""COMPUTED_VALUE"""),"Large planned fight")</f>
        <v>Large planned fight</v>
      </c>
      <c r="AG782" s="8" t="str">
        <f ca="1">IFERROR(__xludf.DUMMYFUNCTION("""COMPUTED_VALUE"""),"No")</f>
        <v>No</v>
      </c>
      <c r="AH782" s="8" t="str">
        <f ca="1">IFERROR(__xludf.DUMMYFUNCTION("""COMPUTED_VALUE"""),"No")</f>
        <v>No</v>
      </c>
      <c r="AI782" s="8" t="str">
        <f ca="1">IFERROR(__xludf.DUMMYFUNCTION("""COMPUTED_VALUE"""),"No")</f>
        <v>No</v>
      </c>
      <c r="AJ782" s="8" t="str">
        <f ca="1">IFERROR(__xludf.DUMMYFUNCTION("""COMPUTED_VALUE"""),"No")</f>
        <v>No</v>
      </c>
      <c r="AK782" s="8" t="str">
        <f ca="1">IFERROR(__xludf.DUMMYFUNCTION("""COMPUTED_VALUE"""),"No")</f>
        <v>No</v>
      </c>
      <c r="AL782" s="8"/>
      <c r="AM782" s="8" t="str">
        <f ca="1">IFERROR(__xludf.DUMMYFUNCTION("""COMPUTED_VALUE"""),"No")</f>
        <v>No</v>
      </c>
      <c r="AN782" s="8" t="str">
        <f ca="1">IFERROR(__xludf.DUMMYFUNCTION("""COMPUTED_VALUE"""),"Outside")</f>
        <v>Outside</v>
      </c>
      <c r="AO782" s="8" t="str">
        <f ca="1">IFERROR(__xludf.DUMMYFUNCTION("""COMPUTED_VALUE"""),"No")</f>
        <v>No</v>
      </c>
      <c r="AP782" s="8"/>
      <c r="AQ782" s="8"/>
      <c r="AR782" s="8" t="str">
        <f ca="1">IFERROR(__xludf.DUMMYFUNCTION("""COMPUTED_VALUE"""),"Outside/Off-Property")</f>
        <v>Outside/Off-Property</v>
      </c>
      <c r="AS782" s="8">
        <f ca="1">IFERROR(__xludf.DUMMYFUNCTION("""COMPUTED_VALUE"""),15)</f>
        <v>15</v>
      </c>
      <c r="AT782" s="8" t="str">
        <f ca="1">IFERROR(__xludf.DUMMYFUNCTION("""COMPUTED_VALUE"""),"Yes")</f>
        <v>Yes</v>
      </c>
      <c r="AU782" s="8">
        <f ca="1">IFERROR(__xludf.DUMMYFUNCTION("""COMPUTED_VALUE"""),39.985323)</f>
        <v>39.985323000000001</v>
      </c>
      <c r="AV782" s="8">
        <f ca="1">IFERROR(__xludf.DUMMYFUNCTION("""COMPUTED_VALUE"""),-104.811331)</f>
        <v>-104.811331</v>
      </c>
      <c r="AW782" s="8"/>
      <c r="AX782" s="8">
        <f ca="1">IFERROR(__xludf.DUMMYFUNCTION("""COMPUTED_VALUE"""),80601)</f>
        <v>80601</v>
      </c>
    </row>
    <row r="783" spans="1:50" ht="90" x14ac:dyDescent="0.2">
      <c r="A783" s="8" t="str">
        <f ca="1">IFERROR(__xludf.DUMMYFUNCTION("""COMPUTED_VALUE"""),"20230315CALIG")</f>
        <v>20230315CALIG</v>
      </c>
      <c r="B783" s="8">
        <f ca="1">IFERROR(__xludf.DUMMYFUNCTION("""COMPUTED_VALUE"""),3)</f>
        <v>3</v>
      </c>
      <c r="C783" s="8">
        <f ca="1">IFERROR(__xludf.DUMMYFUNCTION("""COMPUTED_VALUE"""),15)</f>
        <v>15</v>
      </c>
      <c r="D783" s="8">
        <f ca="1">IFERROR(__xludf.DUMMYFUNCTION("""COMPUTED_VALUE"""),2023)</f>
        <v>2023</v>
      </c>
      <c r="E783" s="9">
        <f ca="1">IFERROR(__xludf.DUMMYFUNCTION("""COMPUTED_VALUE"""),45000)</f>
        <v>45000</v>
      </c>
      <c r="F783" s="8" t="str">
        <f ca="1">IFERROR(__xludf.DUMMYFUNCTION("""COMPUTED_VALUE"""),"Liberty Ranch High School")</f>
        <v>Liberty Ranch High School</v>
      </c>
      <c r="G783" s="8">
        <f ca="1">IFERROR(__xludf.DUMMYFUNCTION("""COMPUTED_VALUE"""),0)</f>
        <v>0</v>
      </c>
      <c r="H783" s="8">
        <f ca="1">IFERROR(__xludf.DUMMYFUNCTION("""COMPUTED_VALUE"""),2)</f>
        <v>2</v>
      </c>
      <c r="I783" s="8">
        <f ca="1">IFERROR(__xludf.DUMMYFUNCTION("""COMPUTED_VALUE"""),2)</f>
        <v>2</v>
      </c>
      <c r="J783" s="8">
        <f ca="1">IFERROR(__xludf.DUMMYFUNCTION("""COMPUTED_VALUE"""),0)</f>
        <v>0</v>
      </c>
      <c r="K783" s="10" t="str">
        <f ca="1">IFERROR(__xludf.DUMMYFUNCTION("""COMPUTED_VALUE"""),"https://www.lodinews.com/news/article_0ca87658-c41e-11ed-b153-b764e5baf4f5.html")</f>
        <v>https://www.lodinews.com/news/article_0ca87658-c41e-11ed-b153-b764e5baf4f5.html</v>
      </c>
      <c r="L783" s="8">
        <f ca="1">IFERROR(__xludf.DUMMYFUNCTION("""COMPUTED_VALUE"""),1)</f>
        <v>1</v>
      </c>
      <c r="M783" s="8" t="str">
        <f ca="1">IFERROR(__xludf.DUMMYFUNCTION("""COMPUTED_VALUE"""),"Local")</f>
        <v>Local</v>
      </c>
      <c r="N783" s="8">
        <f ca="1">IFERROR(__xludf.DUMMYFUNCTION("""COMPUTED_VALUE"""),2)</f>
        <v>2</v>
      </c>
      <c r="O783" s="8" t="str">
        <f ca="1">IFERROR(__xludf.DUMMYFUNCTION("""COMPUTED_VALUE"""),"Spring")</f>
        <v>Spring</v>
      </c>
      <c r="P783" s="8" t="str">
        <f ca="1">IFERROR(__xludf.DUMMYFUNCTION("""COMPUTED_VALUE"""),"Galt")</f>
        <v>Galt</v>
      </c>
      <c r="Q783" s="8" t="str">
        <f ca="1">IFERROR(__xludf.DUMMYFUNCTION("""COMPUTED_VALUE"""),"CA")</f>
        <v>CA</v>
      </c>
      <c r="R783" s="8" t="str">
        <f ca="1">IFERROR(__xludf.DUMMYFUNCTION("""COMPUTED_VALUE"""),"High")</f>
        <v>High</v>
      </c>
      <c r="S783" s="8" t="str">
        <f ca="1">IFERROR(__xludf.DUMMYFUNCTION("""COMPUTED_VALUE"""),"Front of School")</f>
        <v>Front of School</v>
      </c>
      <c r="T783" s="8" t="str">
        <f ca="1">IFERROR(__xludf.DUMMYFUNCTION("""COMPUTED_VALUE"""),"Outside on School Property")</f>
        <v>Outside on School Property</v>
      </c>
      <c r="U783" s="8" t="str">
        <f ca="1">IFERROR(__xludf.DUMMYFUNCTION("""COMPUTED_VALUE"""),"No")</f>
        <v>No</v>
      </c>
      <c r="V783" s="8" t="str">
        <f ca="1">IFERROR(__xludf.DUMMYFUNCTION("""COMPUTED_VALUE"""),"After School")</f>
        <v>After School</v>
      </c>
      <c r="W783" s="11">
        <f ca="1">IFERROR(__xludf.DUMMYFUNCTION("""COMPUTED_VALUE"""),0.729166666666666)</f>
        <v>0.72916666666666596</v>
      </c>
      <c r="X783" s="8">
        <f ca="1">IFERROR(__xludf.DUMMYFUNCTION("""COMPUTED_VALUE"""),1)</f>
        <v>1</v>
      </c>
      <c r="Y783" s="12" t="str">
        <f ca="1">IFERROR(__xludf.DUMMYFUNCTION("""COMPUTED_VALUE"""),"Two teens shot in front of school")</f>
        <v>Two teens shot in front of school</v>
      </c>
      <c r="Z783" s="12" t="str">
        <f ca="1">IFERROR(__xludf.DUMMYFUNCTION("""COMPUTED_VALUE"""),"Two teens shot during drive-by in front of the school, shots missed a third teen.  Liberty Ranch's stunt cheer practice, adult school, and several athletic teams returning to campus from out-of-town contests. Students and staff at all six of the district'"&amp;"s campuses were sent home when the incident happened.")</f>
        <v>Two teens shot during drive-by in front of the school, shots missed a third teen.  Liberty Ranch's stunt cheer practice, adult school, and several athletic teams returning to campus from out-of-town contests. Students and staff at all six of the district's campuses were sent home when the incident happened.</v>
      </c>
      <c r="AA783" s="8" t="str">
        <f ca="1">IFERROR(__xludf.DUMMYFUNCTION("""COMPUTED_VALUE"""),"Drive-by Shooting")</f>
        <v>Drive-by Shooting</v>
      </c>
      <c r="AB783" s="8"/>
      <c r="AC783" s="8" t="str">
        <f ca="1">IFERROR(__xludf.DUMMYFUNCTION("""COMPUTED_VALUE"""),"Yes")</f>
        <v>Yes</v>
      </c>
      <c r="AD783" s="8" t="str">
        <f ca="1">IFERROR(__xludf.DUMMYFUNCTION("""COMPUTED_VALUE"""),"Victims Targeted")</f>
        <v>Victims Targeted</v>
      </c>
      <c r="AE783" s="8"/>
      <c r="AF783" s="8"/>
      <c r="AG783" s="8" t="str">
        <f ca="1">IFERROR(__xludf.DUMMYFUNCTION("""COMPUTED_VALUE"""),"No")</f>
        <v>No</v>
      </c>
      <c r="AH783" s="8" t="str">
        <f ca="1">IFERROR(__xludf.DUMMYFUNCTION("""COMPUTED_VALUE"""),"No")</f>
        <v>No</v>
      </c>
      <c r="AI783" s="8" t="str">
        <f ca="1">IFERROR(__xludf.DUMMYFUNCTION("""COMPUTED_VALUE"""),"No")</f>
        <v>No</v>
      </c>
      <c r="AJ783" s="8" t="str">
        <f ca="1">IFERROR(__xludf.DUMMYFUNCTION("""COMPUTED_VALUE"""),"No")</f>
        <v>No</v>
      </c>
      <c r="AK783" s="8" t="str">
        <f ca="1">IFERROR(__xludf.DUMMYFUNCTION("""COMPUTED_VALUE"""),"No")</f>
        <v>No</v>
      </c>
      <c r="AL783" s="8"/>
      <c r="AM783" s="8" t="str">
        <f ca="1">IFERROR(__xludf.DUMMYFUNCTION("""COMPUTED_VALUE"""),"No")</f>
        <v>No</v>
      </c>
      <c r="AN783" s="8" t="str">
        <f ca="1">IFERROR(__xludf.DUMMYFUNCTION("""COMPUTED_VALUE"""),"Outside")</f>
        <v>Outside</v>
      </c>
      <c r="AO783" s="8" t="str">
        <f ca="1">IFERROR(__xludf.DUMMYFUNCTION("""COMPUTED_VALUE"""),"No")</f>
        <v>No</v>
      </c>
      <c r="AP783" s="8"/>
      <c r="AQ783" s="8"/>
      <c r="AR783" s="8" t="str">
        <f ca="1">IFERROR(__xludf.DUMMYFUNCTION("""COMPUTED_VALUE"""),"Outside/Off-Property")</f>
        <v>Outside/Off-Property</v>
      </c>
      <c r="AS783" s="8">
        <f ca="1">IFERROR(__xludf.DUMMYFUNCTION("""COMPUTED_VALUE"""),99)</f>
        <v>99</v>
      </c>
      <c r="AT783" s="8"/>
      <c r="AU783" s="8">
        <f ca="1">IFERROR(__xludf.DUMMYFUNCTION("""COMPUTED_VALUE"""),38.286604)</f>
        <v>38.286603999999997</v>
      </c>
      <c r="AV783" s="8">
        <f ca="1">IFERROR(__xludf.DUMMYFUNCTION("""COMPUTED_VALUE"""),-121.282142)</f>
        <v>-121.28214199999999</v>
      </c>
      <c r="AW783" s="8"/>
      <c r="AX783" s="8">
        <f ca="1">IFERROR(__xludf.DUMMYFUNCTION("""COMPUTED_VALUE"""),95632)</f>
        <v>95632</v>
      </c>
    </row>
    <row r="784" spans="1:50" ht="120" x14ac:dyDescent="0.2">
      <c r="A784" s="8" t="str">
        <f ca="1">IFERROR(__xludf.DUMMYFUNCTION("""COMPUTED_VALUE"""),"20230314NYMAM")</f>
        <v>20230314NYMAM</v>
      </c>
      <c r="B784" s="8">
        <f ca="1">IFERROR(__xludf.DUMMYFUNCTION("""COMPUTED_VALUE"""),3)</f>
        <v>3</v>
      </c>
      <c r="C784" s="8">
        <f ca="1">IFERROR(__xludf.DUMMYFUNCTION("""COMPUTED_VALUE"""),14)</f>
        <v>14</v>
      </c>
      <c r="D784" s="8">
        <f ca="1">IFERROR(__xludf.DUMMYFUNCTION("""COMPUTED_VALUE"""),2023)</f>
        <v>2023</v>
      </c>
      <c r="E784" s="9">
        <f ca="1">IFERROR(__xludf.DUMMYFUNCTION("""COMPUTED_VALUE"""),44999)</f>
        <v>44999</v>
      </c>
      <c r="F784" s="8" t="str">
        <f ca="1">IFERROR(__xludf.DUMMYFUNCTION("""COMPUTED_VALUE"""),"Martin Luther King Jr. Educational Campus")</f>
        <v>Martin Luther King Jr. Educational Campus</v>
      </c>
      <c r="G784" s="8">
        <f ca="1">IFERROR(__xludf.DUMMYFUNCTION("""COMPUTED_VALUE"""),0)</f>
        <v>0</v>
      </c>
      <c r="H784" s="8">
        <f ca="1">IFERROR(__xludf.DUMMYFUNCTION("""COMPUTED_VALUE"""),1)</f>
        <v>1</v>
      </c>
      <c r="I784" s="8">
        <f ca="1">IFERROR(__xludf.DUMMYFUNCTION("""COMPUTED_VALUE"""),1)</f>
        <v>1</v>
      </c>
      <c r="J784" s="8">
        <f ca="1">IFERROR(__xludf.DUMMYFUNCTION("""COMPUTED_VALUE"""),0)</f>
        <v>0</v>
      </c>
      <c r="K784" s="8" t="str">
        <f ca="1">IFERROR(__xludf.DUMMYFUNCTION("""COMPUTED_VALUE"""),"https://abc7ny.com/nyc-shooting-upper-west-side-student-shot-mlk-high-school/12955880/
https://abc7ny.com/upper-west-side-shooting-student-shot-mlk-high-school-amsterdam-avenue/12952533/
https://pix11.com/news/teen-shot-outside-manhattan-high-school-sourc"&amp;"es/")</f>
        <v>https://abc7ny.com/nyc-shooting-upper-west-side-student-shot-mlk-high-school/12955880/
https://abc7ny.com/upper-west-side-shooting-student-shot-mlk-high-school-amsterdam-avenue/12952533/
https://pix11.com/news/teen-shot-outside-manhattan-high-school-sources/</v>
      </c>
      <c r="L784" s="8">
        <f ca="1">IFERROR(__xludf.DUMMYFUNCTION("""COMPUTED_VALUE"""),30)</f>
        <v>30</v>
      </c>
      <c r="M784" s="8" t="str">
        <f ca="1">IFERROR(__xludf.DUMMYFUNCTION("""COMPUTED_VALUE"""),"Regional")</f>
        <v>Regional</v>
      </c>
      <c r="N784" s="8">
        <f ca="1">IFERROR(__xludf.DUMMYFUNCTION("""COMPUTED_VALUE"""),4)</f>
        <v>4</v>
      </c>
      <c r="O784" s="8" t="str">
        <f ca="1">IFERROR(__xludf.DUMMYFUNCTION("""COMPUTED_VALUE"""),"Spring")</f>
        <v>Spring</v>
      </c>
      <c r="P784" s="8" t="str">
        <f ca="1">IFERROR(__xludf.DUMMYFUNCTION("""COMPUTED_VALUE"""),"New York")</f>
        <v>New York</v>
      </c>
      <c r="Q784" s="8" t="str">
        <f ca="1">IFERROR(__xludf.DUMMYFUNCTION("""COMPUTED_VALUE"""),"NY")</f>
        <v>NY</v>
      </c>
      <c r="R784" s="8" t="str">
        <f ca="1">IFERROR(__xludf.DUMMYFUNCTION("""COMPUTED_VALUE"""),"High")</f>
        <v>High</v>
      </c>
      <c r="S784" s="8" t="str">
        <f ca="1">IFERROR(__xludf.DUMMYFUNCTION("""COMPUTED_VALUE"""),"Front of School")</f>
        <v>Front of School</v>
      </c>
      <c r="T784" s="8" t="str">
        <f ca="1">IFERROR(__xludf.DUMMYFUNCTION("""COMPUTED_VALUE"""),"Outside on School Property")</f>
        <v>Outside on School Property</v>
      </c>
      <c r="U784" s="8" t="str">
        <f ca="1">IFERROR(__xludf.DUMMYFUNCTION("""COMPUTED_VALUE"""),"Yes")</f>
        <v>Yes</v>
      </c>
      <c r="V784" s="8" t="str">
        <f ca="1">IFERROR(__xludf.DUMMYFUNCTION("""COMPUTED_VALUE"""),"Morning Classes")</f>
        <v>Morning Classes</v>
      </c>
      <c r="W784" s="11">
        <f ca="1">IFERROR(__xludf.DUMMYFUNCTION("""COMPUTED_VALUE"""),0.409722222222222)</f>
        <v>0.40972222222222199</v>
      </c>
      <c r="X784" s="8">
        <f ca="1">IFERROR(__xludf.DUMMYFUNCTION("""COMPUTED_VALUE"""),1)</f>
        <v>1</v>
      </c>
      <c r="Y784" s="12" t="str">
        <f ca="1">IFERROR(__xludf.DUMMYFUNCTION("""COMPUTED_VALUE"""),"Teen shot in front of school during morning classes")</f>
        <v>Teen shot in front of school during morning classes</v>
      </c>
      <c r="Z784" s="12" t="str">
        <f ca="1">IFERROR(__xludf.DUMMYFUNCTION("""COMPUTED_VALUE"""),"A teenager was shot and injured outside a high school on the Upper West Side. The shooting happened on Tuesday at 9:50 a.m. in front of the Martin Luther King Jr. Educational Campus on Amsterdam Avenue at 66th Street. The victim was shot in the torso and "&amp;"taken into the school for treatment before he was rushed to a nearby hospital. The gunman was arrested a short distance away. He's refusing to talk to police, so the NYPD is working to figure out his background.")</f>
        <v>A teenager was shot and injured outside a high school on the Upper West Side. The shooting happened on Tuesday at 9:50 a.m. in front of the Martin Luther King Jr. Educational Campus on Amsterdam Avenue at 66th Street. The victim was shot in the torso and taken into the school for treatment before he was rushed to a nearby hospital. The gunman was arrested a short distance away. He's refusing to talk to police, so the NYPD is working to figure out his background.</v>
      </c>
      <c r="AA784" s="8" t="str">
        <f ca="1">IFERROR(__xludf.DUMMYFUNCTION("""COMPUTED_VALUE"""),"Escalation of Dispute")</f>
        <v>Escalation of Dispute</v>
      </c>
      <c r="AB784" s="8"/>
      <c r="AC784" s="8" t="str">
        <f ca="1">IFERROR(__xludf.DUMMYFUNCTION("""COMPUTED_VALUE"""),"Yes")</f>
        <v>Yes</v>
      </c>
      <c r="AD784" s="8" t="str">
        <f ca="1">IFERROR(__xludf.DUMMYFUNCTION("""COMPUTED_VALUE"""),"Victims Targeted")</f>
        <v>Victims Targeted</v>
      </c>
      <c r="AE784" s="8" t="str">
        <f ca="1">IFERROR(__xludf.DUMMYFUNCTION("""COMPUTED_VALUE"""),"No")</f>
        <v>No</v>
      </c>
      <c r="AF784" s="8"/>
      <c r="AG784" s="8" t="str">
        <f ca="1">IFERROR(__xludf.DUMMYFUNCTION("""COMPUTED_VALUE"""),"No")</f>
        <v>No</v>
      </c>
      <c r="AH784" s="8" t="str">
        <f ca="1">IFERROR(__xludf.DUMMYFUNCTION("""COMPUTED_VALUE"""),"No")</f>
        <v>No</v>
      </c>
      <c r="AI784" s="8" t="str">
        <f ca="1">IFERROR(__xludf.DUMMYFUNCTION("""COMPUTED_VALUE"""),"No")</f>
        <v>No</v>
      </c>
      <c r="AJ784" s="8" t="str">
        <f ca="1">IFERROR(__xludf.DUMMYFUNCTION("""COMPUTED_VALUE"""),"No")</f>
        <v>No</v>
      </c>
      <c r="AK784" s="8" t="str">
        <f ca="1">IFERROR(__xludf.DUMMYFUNCTION("""COMPUTED_VALUE"""),"No")</f>
        <v>No</v>
      </c>
      <c r="AL784" s="8" t="str">
        <f ca="1">IFERROR(__xludf.DUMMYFUNCTION("""COMPUTED_VALUE"""),"Yes")</f>
        <v>Yes</v>
      </c>
      <c r="AM784" s="8" t="str">
        <f ca="1">IFERROR(__xludf.DUMMYFUNCTION("""COMPUTED_VALUE"""),"No")</f>
        <v>No</v>
      </c>
      <c r="AN784" s="8" t="str">
        <f ca="1">IFERROR(__xludf.DUMMYFUNCTION("""COMPUTED_VALUE"""),"Outside")</f>
        <v>Outside</v>
      </c>
      <c r="AO784" s="8" t="str">
        <f ca="1">IFERROR(__xludf.DUMMYFUNCTION("""COMPUTED_VALUE"""),"No")</f>
        <v>No</v>
      </c>
      <c r="AP784" s="8"/>
      <c r="AQ784" s="8"/>
      <c r="AR784" s="8" t="str">
        <f ca="1">IFERROR(__xludf.DUMMYFUNCTION("""COMPUTED_VALUE"""),"Outside/Off-Property")</f>
        <v>Outside/Off-Property</v>
      </c>
      <c r="AS784" s="8">
        <f ca="1">IFERROR(__xludf.DUMMYFUNCTION("""COMPUTED_VALUE"""),3)</f>
        <v>3</v>
      </c>
      <c r="AT784" s="8" t="str">
        <f ca="1">IFERROR(__xludf.DUMMYFUNCTION("""COMPUTED_VALUE"""),"Yes")</f>
        <v>Yes</v>
      </c>
      <c r="AU784" s="8">
        <f ca="1">IFERROR(__xludf.DUMMYFUNCTION("""COMPUTED_VALUE"""),40.774611)</f>
        <v>40.774611</v>
      </c>
      <c r="AV784" s="8">
        <f ca="1">IFERROR(__xludf.DUMMYFUNCTION("""COMPUTED_VALUE"""),-73.984651)</f>
        <v>-73.984650999999999</v>
      </c>
      <c r="AW784" s="8"/>
      <c r="AX784" s="8">
        <f ca="1">IFERROR(__xludf.DUMMYFUNCTION("""COMPUTED_VALUE"""),10023)</f>
        <v>10023</v>
      </c>
    </row>
    <row r="785" spans="1:50" ht="90" x14ac:dyDescent="0.2">
      <c r="A785" s="8" t="str">
        <f ca="1">IFERROR(__xludf.DUMMYFUNCTION("""COMPUTED_VALUE"""),"20230314NYHAN")</f>
        <v>20230314NYHAN</v>
      </c>
      <c r="B785" s="8">
        <f ca="1">IFERROR(__xludf.DUMMYFUNCTION("""COMPUTED_VALUE"""),3)</f>
        <v>3</v>
      </c>
      <c r="C785" s="8">
        <f ca="1">IFERROR(__xludf.DUMMYFUNCTION("""COMPUTED_VALUE"""),14)</f>
        <v>14</v>
      </c>
      <c r="D785" s="8">
        <f ca="1">IFERROR(__xludf.DUMMYFUNCTION("""COMPUTED_VALUE"""),2023)</f>
        <v>2023</v>
      </c>
      <c r="E785" s="9">
        <f ca="1">IFERROR(__xludf.DUMMYFUNCTION("""COMPUTED_VALUE"""),44999)</f>
        <v>44999</v>
      </c>
      <c r="F785" s="8" t="str">
        <f ca="1">IFERROR(__xludf.DUMMYFUNCTION("""COMPUTED_VALUE"""),"Harlem Renaissance High School")</f>
        <v>Harlem Renaissance High School</v>
      </c>
      <c r="G785" s="8">
        <f ca="1">IFERROR(__xludf.DUMMYFUNCTION("""COMPUTED_VALUE"""),0)</f>
        <v>0</v>
      </c>
      <c r="H785" s="8">
        <f ca="1">IFERROR(__xludf.DUMMYFUNCTION("""COMPUTED_VALUE"""),2)</f>
        <v>2</v>
      </c>
      <c r="I785" s="8">
        <f ca="1">IFERROR(__xludf.DUMMYFUNCTION("""COMPUTED_VALUE"""),2)</f>
        <v>2</v>
      </c>
      <c r="J785" s="8">
        <f ca="1">IFERROR(__xludf.DUMMYFUNCTION("""COMPUTED_VALUE"""),0)</f>
        <v>0</v>
      </c>
      <c r="K785" s="10" t="str">
        <f ca="1">IFERROR(__xludf.DUMMYFUNCTION("""COMPUTED_VALUE"""),"https://www.cbsnews.com/newyork/live-updates/nypd-says-three-manhattan-shootings-may-be-connected/")</f>
        <v>https://www.cbsnews.com/newyork/live-updates/nypd-says-three-manhattan-shootings-may-be-connected/</v>
      </c>
      <c r="L785" s="8">
        <f ca="1">IFERROR(__xludf.DUMMYFUNCTION("""COMPUTED_VALUE"""),30)</f>
        <v>30</v>
      </c>
      <c r="M785" s="8" t="str">
        <f ca="1">IFERROR(__xludf.DUMMYFUNCTION("""COMPUTED_VALUE"""),"Regional")</f>
        <v>Regional</v>
      </c>
      <c r="N785" s="8">
        <f ca="1">IFERROR(__xludf.DUMMYFUNCTION("""COMPUTED_VALUE"""),4)</f>
        <v>4</v>
      </c>
      <c r="O785" s="8" t="str">
        <f ca="1">IFERROR(__xludf.DUMMYFUNCTION("""COMPUTED_VALUE"""),"Spring")</f>
        <v>Spring</v>
      </c>
      <c r="P785" s="8" t="str">
        <f ca="1">IFERROR(__xludf.DUMMYFUNCTION("""COMPUTED_VALUE"""),"New York")</f>
        <v>New York</v>
      </c>
      <c r="Q785" s="8" t="str">
        <f ca="1">IFERROR(__xludf.DUMMYFUNCTION("""COMPUTED_VALUE"""),"NY")</f>
        <v>NY</v>
      </c>
      <c r="R785" s="8" t="str">
        <f ca="1">IFERROR(__xludf.DUMMYFUNCTION("""COMPUTED_VALUE"""),"High")</f>
        <v>High</v>
      </c>
      <c r="S785" s="8" t="str">
        <f ca="1">IFERROR(__xludf.DUMMYFUNCTION("""COMPUTED_VALUE"""),"Front of School")</f>
        <v>Front of School</v>
      </c>
      <c r="T785" s="8" t="str">
        <f ca="1">IFERROR(__xludf.DUMMYFUNCTION("""COMPUTED_VALUE"""),"Outside on School Property")</f>
        <v>Outside on School Property</v>
      </c>
      <c r="U785" s="8" t="str">
        <f ca="1">IFERROR(__xludf.DUMMYFUNCTION("""COMPUTED_VALUE"""),"Yes")</f>
        <v>Yes</v>
      </c>
      <c r="V785" s="8" t="str">
        <f ca="1">IFERROR(__xludf.DUMMYFUNCTION("""COMPUTED_VALUE"""),"Afternoon Classes")</f>
        <v>Afternoon Classes</v>
      </c>
      <c r="W785" s="11">
        <f ca="1">IFERROR(__xludf.DUMMYFUNCTION("""COMPUTED_VALUE"""),0.541666666666666)</f>
        <v>0.54166666666666596</v>
      </c>
      <c r="X785" s="8">
        <f ca="1">IFERROR(__xludf.DUMMYFUNCTION("""COMPUTED_VALUE"""),1)</f>
        <v>1</v>
      </c>
      <c r="Y785" s="12" t="str">
        <f ca="1">IFERROR(__xludf.DUMMYFUNCTION("""COMPUTED_VALUE"""),"4 students were approached by group of teens when they left the school, shots fired during fight")</f>
        <v>4 students were approached by group of teens when they left the school, shots fired during fight</v>
      </c>
      <c r="Z785" s="12" t="str">
        <f ca="1">IFERROR(__xludf.DUMMYFUNCTION("""COMPUTED_VALUE"""),"At around 1 p.m., four students leaving Renaissance High School got into a physical altercation with three men, police said. Shots rang out and a 16-year-old was hit once, so was a 27-year-old, who was an unintended target.")</f>
        <v>At around 1 p.m., four students leaving Renaissance High School got into a physical altercation with three men, police said. Shots rang out and a 16-year-old was hit once, so was a 27-year-old, who was an unintended target.</v>
      </c>
      <c r="AA785" s="8" t="str">
        <f ca="1">IFERROR(__xludf.DUMMYFUNCTION("""COMPUTED_VALUE"""),"Escalation of Dispute")</f>
        <v>Escalation of Dispute</v>
      </c>
      <c r="AB785" s="8"/>
      <c r="AC785" s="8" t="str">
        <f ca="1">IFERROR(__xludf.DUMMYFUNCTION("""COMPUTED_VALUE"""),"Yes")</f>
        <v>Yes</v>
      </c>
      <c r="AD785" s="8" t="str">
        <f ca="1">IFERROR(__xludf.DUMMYFUNCTION("""COMPUTED_VALUE"""),"Both")</f>
        <v>Both</v>
      </c>
      <c r="AE785" s="8" t="str">
        <f ca="1">IFERROR(__xludf.DUMMYFUNCTION("""COMPUTED_VALUE"""),"Yes")</f>
        <v>Yes</v>
      </c>
      <c r="AF785" s="8" t="str">
        <f ca="1">IFERROR(__xludf.DUMMYFUNCTION("""COMPUTED_VALUE"""),"Group of teens")</f>
        <v>Group of teens</v>
      </c>
      <c r="AG785" s="8" t="str">
        <f ca="1">IFERROR(__xludf.DUMMYFUNCTION("""COMPUTED_VALUE"""),"No")</f>
        <v>No</v>
      </c>
      <c r="AH785" s="8" t="str">
        <f ca="1">IFERROR(__xludf.DUMMYFUNCTION("""COMPUTED_VALUE"""),"No")</f>
        <v>No</v>
      </c>
      <c r="AI785" s="8" t="str">
        <f ca="1">IFERROR(__xludf.DUMMYFUNCTION("""COMPUTED_VALUE"""),"No")</f>
        <v>No</v>
      </c>
      <c r="AJ785" s="8" t="str">
        <f ca="1">IFERROR(__xludf.DUMMYFUNCTION("""COMPUTED_VALUE"""),"No")</f>
        <v>No</v>
      </c>
      <c r="AK785" s="8" t="str">
        <f ca="1">IFERROR(__xludf.DUMMYFUNCTION("""COMPUTED_VALUE"""),"No")</f>
        <v>No</v>
      </c>
      <c r="AL785" s="8" t="str">
        <f ca="1">IFERROR(__xludf.DUMMYFUNCTION("""COMPUTED_VALUE"""),"Yes")</f>
        <v>Yes</v>
      </c>
      <c r="AM785" s="8" t="str">
        <f ca="1">IFERROR(__xludf.DUMMYFUNCTION("""COMPUTED_VALUE"""),"No")</f>
        <v>No</v>
      </c>
      <c r="AN785" s="8" t="str">
        <f ca="1">IFERROR(__xludf.DUMMYFUNCTION("""COMPUTED_VALUE"""),"Outside")</f>
        <v>Outside</v>
      </c>
      <c r="AO785" s="8" t="str">
        <f ca="1">IFERROR(__xludf.DUMMYFUNCTION("""COMPUTED_VALUE"""),"No")</f>
        <v>No</v>
      </c>
      <c r="AP785" s="8"/>
      <c r="AQ785" s="8"/>
      <c r="AR785" s="8" t="str">
        <f ca="1">IFERROR(__xludf.DUMMYFUNCTION("""COMPUTED_VALUE"""),"Outside/Off-Property")</f>
        <v>Outside/Off-Property</v>
      </c>
      <c r="AS785" s="8">
        <f ca="1">IFERROR(__xludf.DUMMYFUNCTION("""COMPUTED_VALUE"""),99)</f>
        <v>99</v>
      </c>
      <c r="AT785" s="8"/>
      <c r="AU785" s="8">
        <f ca="1">IFERROR(__xludf.DUMMYFUNCTION("""COMPUTED_VALUE"""),40.807635)</f>
        <v>40.807634999999998</v>
      </c>
      <c r="AV785" s="8">
        <f ca="1">IFERROR(__xludf.DUMMYFUNCTION("""COMPUTED_VALUE"""),-73.939252)</f>
        <v>-73.939251999999996</v>
      </c>
      <c r="AW785" s="8"/>
      <c r="AX785" s="8">
        <f ca="1">IFERROR(__xludf.DUMMYFUNCTION("""COMPUTED_VALUE"""),10035)</f>
        <v>10035</v>
      </c>
    </row>
    <row r="786" spans="1:50" ht="60" x14ac:dyDescent="0.2">
      <c r="A786" s="8" t="str">
        <f ca="1">IFERROR(__xludf.DUMMYFUNCTION("""COMPUTED_VALUE"""),"20230313NYPSN")</f>
        <v>20230313NYPSN</v>
      </c>
      <c r="B786" s="8">
        <f ca="1">IFERROR(__xludf.DUMMYFUNCTION("""COMPUTED_VALUE"""),3)</f>
        <v>3</v>
      </c>
      <c r="C786" s="8">
        <f ca="1">IFERROR(__xludf.DUMMYFUNCTION("""COMPUTED_VALUE"""),14)</f>
        <v>14</v>
      </c>
      <c r="D786" s="8">
        <f ca="1">IFERROR(__xludf.DUMMYFUNCTION("""COMPUTED_VALUE"""),2023)</f>
        <v>2023</v>
      </c>
      <c r="E786" s="9">
        <f ca="1">IFERROR(__xludf.DUMMYFUNCTION("""COMPUTED_VALUE"""),44999)</f>
        <v>44999</v>
      </c>
      <c r="F786" s="8" t="str">
        <f ca="1">IFERROR(__xludf.DUMMYFUNCTION("""COMPUTED_VALUE"""),"PS 57 James Weldon Johnson")</f>
        <v>PS 57 James Weldon Johnson</v>
      </c>
      <c r="G786" s="8">
        <f ca="1">IFERROR(__xludf.DUMMYFUNCTION("""COMPUTED_VALUE"""),0)</f>
        <v>0</v>
      </c>
      <c r="H786" s="8">
        <f ca="1">IFERROR(__xludf.DUMMYFUNCTION("""COMPUTED_VALUE"""),0)</f>
        <v>0</v>
      </c>
      <c r="I786" s="8">
        <f ca="1">IFERROR(__xludf.DUMMYFUNCTION("""COMPUTED_VALUE"""),0)</f>
        <v>0</v>
      </c>
      <c r="J786" s="8">
        <f ca="1">IFERROR(__xludf.DUMMYFUNCTION("""COMPUTED_VALUE"""),0)</f>
        <v>0</v>
      </c>
      <c r="K786" s="8" t="str">
        <f ca="1">IFERROR(__xludf.DUMMYFUNCTION("""COMPUTED_VALUE"""),"https://abc7ny.com/nyc-shooting-upper-west-side-student-shot-mlk-high-school/12955880/
https://www.cbsnews.com/newyork/live-updates/nypd-says-three-manhattan-shootings-may-be-connected//")</f>
        <v>https://abc7ny.com/nyc-shooting-upper-west-side-student-shot-mlk-high-school/12955880/
https://www.cbsnews.com/newyork/live-updates/nypd-says-three-manhattan-shootings-may-be-connected//</v>
      </c>
      <c r="L786" s="8">
        <f ca="1">IFERROR(__xludf.DUMMYFUNCTION("""COMPUTED_VALUE"""),30)</f>
        <v>30</v>
      </c>
      <c r="M786" s="8" t="str">
        <f ca="1">IFERROR(__xludf.DUMMYFUNCTION("""COMPUTED_VALUE"""),"Regional")</f>
        <v>Regional</v>
      </c>
      <c r="N786" s="8">
        <f ca="1">IFERROR(__xludf.DUMMYFUNCTION("""COMPUTED_VALUE"""),3)</f>
        <v>3</v>
      </c>
      <c r="O786" s="8" t="str">
        <f ca="1">IFERROR(__xludf.DUMMYFUNCTION("""COMPUTED_VALUE"""),"Spring")</f>
        <v>Spring</v>
      </c>
      <c r="P786" s="8" t="str">
        <f ca="1">IFERROR(__xludf.DUMMYFUNCTION("""COMPUTED_VALUE"""),"New York")</f>
        <v>New York</v>
      </c>
      <c r="Q786" s="8" t="str">
        <f ca="1">IFERROR(__xludf.DUMMYFUNCTION("""COMPUTED_VALUE"""),"NY")</f>
        <v>NY</v>
      </c>
      <c r="R786" s="8" t="str">
        <f ca="1">IFERROR(__xludf.DUMMYFUNCTION("""COMPUTED_VALUE"""),"Middle")</f>
        <v>Middle</v>
      </c>
      <c r="S786" s="8" t="str">
        <f ca="1">IFERROR(__xludf.DUMMYFUNCTION("""COMPUTED_VALUE"""),"Front of School")</f>
        <v>Front of School</v>
      </c>
      <c r="T786" s="8" t="str">
        <f ca="1">IFERROR(__xludf.DUMMYFUNCTION("""COMPUTED_VALUE"""),"Outside on School Property")</f>
        <v>Outside on School Property</v>
      </c>
      <c r="U786" s="8" t="str">
        <f ca="1">IFERROR(__xludf.DUMMYFUNCTION("""COMPUTED_VALUE"""),"Yes")</f>
        <v>Yes</v>
      </c>
      <c r="V786" s="8" t="str">
        <f ca="1">IFERROR(__xludf.DUMMYFUNCTION("""COMPUTED_VALUE"""),"Dismissal")</f>
        <v>Dismissal</v>
      </c>
      <c r="W786" s="11">
        <f ca="1">IFERROR(__xludf.DUMMYFUNCTION("""COMPUTED_VALUE"""),0.625)</f>
        <v>0.625</v>
      </c>
      <c r="X786" s="8">
        <f ca="1">IFERROR(__xludf.DUMMYFUNCTION("""COMPUTED_VALUE"""),1)</f>
        <v>1</v>
      </c>
      <c r="Y786" s="12" t="str">
        <f ca="1">IFERROR(__xludf.DUMMYFUNCTION("""COMPUTED_VALUE"""),"Shots fired by group of teens")</f>
        <v>Shots fired by group of teens</v>
      </c>
      <c r="Z786" s="12" t="str">
        <f ca="1">IFERROR(__xludf.DUMMYFUNCTION("""COMPUTED_VALUE"""),"4-5 shots fired by group of teens in front of school. Connected to two prior shootings at NYC schools earlier in the day related to a dispute between teens from rival housing projects.")</f>
        <v>4-5 shots fired by group of teens in front of school. Connected to two prior shootings at NYC schools earlier in the day related to a dispute between teens from rival housing projects.</v>
      </c>
      <c r="AA786" s="8" t="str">
        <f ca="1">IFERROR(__xludf.DUMMYFUNCTION("""COMPUTED_VALUE"""),"Escalation of Dispute")</f>
        <v>Escalation of Dispute</v>
      </c>
      <c r="AB786" s="8"/>
      <c r="AC786" s="8" t="str">
        <f ca="1">IFERROR(__xludf.DUMMYFUNCTION("""COMPUTED_VALUE"""),"Yes")</f>
        <v>Yes</v>
      </c>
      <c r="AD786" s="8" t="str">
        <f ca="1">IFERROR(__xludf.DUMMYFUNCTION("""COMPUTED_VALUE"""),"Victims Targeted")</f>
        <v>Victims Targeted</v>
      </c>
      <c r="AE786" s="8" t="str">
        <f ca="1">IFERROR(__xludf.DUMMYFUNCTION("""COMPUTED_VALUE"""),"Yes")</f>
        <v>Yes</v>
      </c>
      <c r="AF786" s="8" t="str">
        <f ca="1">IFERROR(__xludf.DUMMYFUNCTION("""COMPUTED_VALUE"""),"Group of teens")</f>
        <v>Group of teens</v>
      </c>
      <c r="AG786" s="8" t="str">
        <f ca="1">IFERROR(__xludf.DUMMYFUNCTION("""COMPUTED_VALUE"""),"No")</f>
        <v>No</v>
      </c>
      <c r="AH786" s="8" t="str">
        <f ca="1">IFERROR(__xludf.DUMMYFUNCTION("""COMPUTED_VALUE"""),"No")</f>
        <v>No</v>
      </c>
      <c r="AI786" s="8" t="str">
        <f ca="1">IFERROR(__xludf.DUMMYFUNCTION("""COMPUTED_VALUE"""),"No")</f>
        <v>No</v>
      </c>
      <c r="AJ786" s="8" t="str">
        <f ca="1">IFERROR(__xludf.DUMMYFUNCTION("""COMPUTED_VALUE"""),"No")</f>
        <v>No</v>
      </c>
      <c r="AK786" s="8" t="str">
        <f ca="1">IFERROR(__xludf.DUMMYFUNCTION("""COMPUTED_VALUE"""),"No")</f>
        <v>No</v>
      </c>
      <c r="AL786" s="8" t="str">
        <f ca="1">IFERROR(__xludf.DUMMYFUNCTION("""COMPUTED_VALUE"""),"Yes")</f>
        <v>Yes</v>
      </c>
      <c r="AM786" s="8" t="str">
        <f ca="1">IFERROR(__xludf.DUMMYFUNCTION("""COMPUTED_VALUE"""),"No")</f>
        <v>No</v>
      </c>
      <c r="AN786" s="8" t="str">
        <f ca="1">IFERROR(__xludf.DUMMYFUNCTION("""COMPUTED_VALUE"""),"Outside")</f>
        <v>Outside</v>
      </c>
      <c r="AO786" s="8" t="str">
        <f ca="1">IFERROR(__xludf.DUMMYFUNCTION("""COMPUTED_VALUE"""),"No")</f>
        <v>No</v>
      </c>
      <c r="AP786" s="8"/>
      <c r="AQ786" s="8"/>
      <c r="AR786" s="8" t="str">
        <f ca="1">IFERROR(__xludf.DUMMYFUNCTION("""COMPUTED_VALUE"""),"Outside/Off-Property")</f>
        <v>Outside/Off-Property</v>
      </c>
      <c r="AS786" s="8">
        <f ca="1">IFERROR(__xludf.DUMMYFUNCTION("""COMPUTED_VALUE"""),4)</f>
        <v>4</v>
      </c>
      <c r="AT786" s="8"/>
      <c r="AU786" s="8">
        <f ca="1">IFERROR(__xludf.DUMMYFUNCTION("""COMPUTED_VALUE"""),40.797299)</f>
        <v>40.797299000000002</v>
      </c>
      <c r="AV786" s="8">
        <f ca="1">IFERROR(__xludf.DUMMYFUNCTION("""COMPUTED_VALUE"""),-73.940644)</f>
        <v>-73.940644000000006</v>
      </c>
      <c r="AW786" s="8"/>
      <c r="AX786" s="8">
        <f ca="1">IFERROR(__xludf.DUMMYFUNCTION("""COMPUTED_VALUE"""),10029)</f>
        <v>10029</v>
      </c>
    </row>
    <row r="787" spans="1:50" ht="270" x14ac:dyDescent="0.2">
      <c r="A787" s="8" t="str">
        <f ca="1">IFERROR(__xludf.DUMMYFUNCTION("""COMPUTED_VALUE"""),"20230309WIBAM")</f>
        <v>20230309WIBAM</v>
      </c>
      <c r="B787" s="8">
        <f ca="1">IFERROR(__xludf.DUMMYFUNCTION("""COMPUTED_VALUE"""),3)</f>
        <v>3</v>
      </c>
      <c r="C787" s="8">
        <f ca="1">IFERROR(__xludf.DUMMYFUNCTION("""COMPUTED_VALUE"""),9)</f>
        <v>9</v>
      </c>
      <c r="D787" s="8">
        <f ca="1">IFERROR(__xludf.DUMMYFUNCTION("""COMPUTED_VALUE"""),2023)</f>
        <v>2023</v>
      </c>
      <c r="E787" s="9">
        <f ca="1">IFERROR(__xludf.DUMMYFUNCTION("""COMPUTED_VALUE"""),44994)</f>
        <v>44994</v>
      </c>
      <c r="F787" s="8" t="str">
        <f ca="1">IFERROR(__xludf.DUMMYFUNCTION("""COMPUTED_VALUE"""),"Barack Obama School")</f>
        <v>Barack Obama School</v>
      </c>
      <c r="G787" s="8">
        <f ca="1">IFERROR(__xludf.DUMMYFUNCTION("""COMPUTED_VALUE"""),0)</f>
        <v>0</v>
      </c>
      <c r="H787" s="8">
        <f ca="1">IFERROR(__xludf.DUMMYFUNCTION("""COMPUTED_VALUE"""),0)</f>
        <v>0</v>
      </c>
      <c r="I787" s="8">
        <f ca="1">IFERROR(__xludf.DUMMYFUNCTION("""COMPUTED_VALUE"""),0)</f>
        <v>0</v>
      </c>
      <c r="J787" s="8">
        <f ca="1">IFERROR(__xludf.DUMMYFUNCTION("""COMPUTED_VALUE"""),0)</f>
        <v>0</v>
      </c>
      <c r="K787" s="10" t="str">
        <f ca="1">IFERROR(__xludf.DUMMYFUNCTION("""COMPUTED_VALUE"""),"https://www.fox6now.com/news/shots-fired-barack-obama-school-man-charged")</f>
        <v>https://www.fox6now.com/news/shots-fired-barack-obama-school-man-charged</v>
      </c>
      <c r="L787" s="8">
        <f ca="1">IFERROR(__xludf.DUMMYFUNCTION("""COMPUTED_VALUE"""),1)</f>
        <v>1</v>
      </c>
      <c r="M787" s="8" t="str">
        <f ca="1">IFERROR(__xludf.DUMMYFUNCTION("""COMPUTED_VALUE"""),"Local")</f>
        <v>Local</v>
      </c>
      <c r="N787" s="8">
        <f ca="1">IFERROR(__xludf.DUMMYFUNCTION("""COMPUTED_VALUE"""),4)</f>
        <v>4</v>
      </c>
      <c r="O787" s="8" t="str">
        <f ca="1">IFERROR(__xludf.DUMMYFUNCTION("""COMPUTED_VALUE"""),"Spring")</f>
        <v>Spring</v>
      </c>
      <c r="P787" s="8" t="str">
        <f ca="1">IFERROR(__xludf.DUMMYFUNCTION("""COMPUTED_VALUE"""),"Milwaukee")</f>
        <v>Milwaukee</v>
      </c>
      <c r="Q787" s="8" t="str">
        <f ca="1">IFERROR(__xludf.DUMMYFUNCTION("""COMPUTED_VALUE"""),"WI")</f>
        <v>WI</v>
      </c>
      <c r="R787" s="8" t="str">
        <f ca="1">IFERROR(__xludf.DUMMYFUNCTION("""COMPUTED_VALUE"""),"High")</f>
        <v>High</v>
      </c>
      <c r="S787" s="8" t="str">
        <f ca="1">IFERROR(__xludf.DUMMYFUNCTION("""COMPUTED_VALUE"""),"Front of School (Bus)")</f>
        <v>Front of School (Bus)</v>
      </c>
      <c r="T787" s="8" t="str">
        <f ca="1">IFERROR(__xludf.DUMMYFUNCTION("""COMPUTED_VALUE"""),"Outside on School Property")</f>
        <v>Outside on School Property</v>
      </c>
      <c r="U787" s="8" t="str">
        <f ca="1">IFERROR(__xludf.DUMMYFUNCTION("""COMPUTED_VALUE"""),"Yes")</f>
        <v>Yes</v>
      </c>
      <c r="V787" s="8" t="str">
        <f ca="1">IFERROR(__xludf.DUMMYFUNCTION("""COMPUTED_VALUE"""),"School Start")</f>
        <v>School Start</v>
      </c>
      <c r="W787" s="11">
        <f ca="1">IFERROR(__xludf.DUMMYFUNCTION("""COMPUTED_VALUE"""),0.333333333333333)</f>
        <v>0.33333333333333298</v>
      </c>
      <c r="X787" s="8">
        <f ca="1">IFERROR(__xludf.DUMMYFUNCTION("""COMPUTED_VALUE"""),1)</f>
        <v>1</v>
      </c>
      <c r="Y787" s="12" t="str">
        <f ca="1">IFERROR(__xludf.DUMMYFUNCTION("""COMPUTED_VALUE"""),"Student pointed gun at other student then fired round into air during dispute")</f>
        <v>Student pointed gun at other student then fired round into air during dispute</v>
      </c>
      <c r="Z787" s="12" t="str">
        <f ca="1">IFERROR(__xludf.DUMMYFUNCTION("""COMPUTED_VALUE"""),"According to the criminal complaint, police were dispatched to the grounds of Barack Obama School around 8 a.m on March 9 for the report of shots fired. Upon arrival, police learned that a student, later identified as Elijah McGhee, pointed a gun at other"&amp;" students while on the school bus and then discharged one round into the air after exiting the bus. A victim on scene told authorities that she had been riding the school bus when McGhee began to make fun of her friend. The victim stated that she confront"&amp;"ed McGhee, and they began to argue. At that time, the victim claims McGhee produced a firearm and pointed it at her and threatened to shoot her before pointing the gun at other students on the bus. The victim claims McGhee then slapped her in the face and"&amp;" pushed her down into her seat. When the bus arrived at school, McGhee allegedly fired one round into the air after exiting the bus. Surveillance footage showed McGhee discharged one round into the air while standing outside the bus. Multiple children wer"&amp;"e in the vicinity at the time. ")</f>
        <v xml:space="preserve">According to the criminal complaint, police were dispatched to the grounds of Barack Obama School around 8 a.m on March 9 for the report of shots fired. Upon arrival, police learned that a student, later identified as Elijah McGhee, pointed a gun at other students while on the school bus and then discharged one round into the air after exiting the bus. A victim on scene told authorities that she had been riding the school bus when McGhee began to make fun of her friend. The victim stated that she confronted McGhee, and they began to argue. At that time, the victim claims McGhee produced a firearm and pointed it at her and threatened to shoot her before pointing the gun at other students on the bus. The victim claims McGhee then slapped her in the face and pushed her down into her seat. When the bus arrived at school, McGhee allegedly fired one round into the air after exiting the bus. Surveillance footage showed McGhee discharged one round into the air while standing outside the bus. Multiple children were in the vicinity at the time. </v>
      </c>
      <c r="AA787" s="8" t="str">
        <f ca="1">IFERROR(__xludf.DUMMYFUNCTION("""COMPUTED_VALUE"""),"Escalation of Dispute")</f>
        <v>Escalation of Dispute</v>
      </c>
      <c r="AB787" s="8"/>
      <c r="AC787" s="8" t="str">
        <f ca="1">IFERROR(__xludf.DUMMYFUNCTION("""COMPUTED_VALUE"""),"Yes")</f>
        <v>Yes</v>
      </c>
      <c r="AD787" s="8" t="str">
        <f ca="1">IFERROR(__xludf.DUMMYFUNCTION("""COMPUTED_VALUE"""),"Neither")</f>
        <v>Neither</v>
      </c>
      <c r="AE787" s="8" t="str">
        <f ca="1">IFERROR(__xludf.DUMMYFUNCTION("""COMPUTED_VALUE"""),"No")</f>
        <v>No</v>
      </c>
      <c r="AF787" s="8"/>
      <c r="AG787" s="8" t="str">
        <f ca="1">IFERROR(__xludf.DUMMYFUNCTION("""COMPUTED_VALUE"""),"No")</f>
        <v>No</v>
      </c>
      <c r="AH787" s="8" t="str">
        <f ca="1">IFERROR(__xludf.DUMMYFUNCTION("""COMPUTED_VALUE"""),"No")</f>
        <v>No</v>
      </c>
      <c r="AI787" s="8" t="str">
        <f ca="1">IFERROR(__xludf.DUMMYFUNCTION("""COMPUTED_VALUE"""),"No")</f>
        <v>No</v>
      </c>
      <c r="AJ787" s="8" t="str">
        <f ca="1">IFERROR(__xludf.DUMMYFUNCTION("""COMPUTED_VALUE"""),"No")</f>
        <v>No</v>
      </c>
      <c r="AK787" s="8" t="str">
        <f ca="1">IFERROR(__xludf.DUMMYFUNCTION("""COMPUTED_VALUE"""),"No")</f>
        <v>No</v>
      </c>
      <c r="AL787" s="8" t="str">
        <f ca="1">IFERROR(__xludf.DUMMYFUNCTION("""COMPUTED_VALUE"""),"No")</f>
        <v>No</v>
      </c>
      <c r="AM787" s="8" t="str">
        <f ca="1">IFERROR(__xludf.DUMMYFUNCTION("""COMPUTED_VALUE"""),"No")</f>
        <v>No</v>
      </c>
      <c r="AN787" s="8" t="str">
        <f ca="1">IFERROR(__xludf.DUMMYFUNCTION("""COMPUTED_VALUE"""),"Outside")</f>
        <v>Outside</v>
      </c>
      <c r="AO787" s="8" t="str">
        <f ca="1">IFERROR(__xludf.DUMMYFUNCTION("""COMPUTED_VALUE"""),"No")</f>
        <v>No</v>
      </c>
      <c r="AP787" s="8"/>
      <c r="AQ787" s="8"/>
      <c r="AR787" s="8" t="str">
        <f ca="1">IFERROR(__xludf.DUMMYFUNCTION("""COMPUTED_VALUE"""),"Outside/Off-Property")</f>
        <v>Outside/Off-Property</v>
      </c>
      <c r="AS787" s="8">
        <f ca="1">IFERROR(__xludf.DUMMYFUNCTION("""COMPUTED_VALUE"""),1)</f>
        <v>1</v>
      </c>
      <c r="AT787" s="8"/>
      <c r="AU787" s="8">
        <f ca="1">IFERROR(__xludf.DUMMYFUNCTION("""COMPUTED_VALUE"""),43.109682)</f>
        <v>43.109681999999999</v>
      </c>
      <c r="AV787" s="8">
        <f ca="1">IFERROR(__xludf.DUMMYFUNCTION("""COMPUTED_VALUE"""),-87.966669)</f>
        <v>-87.966668999999996</v>
      </c>
      <c r="AW787" s="8"/>
      <c r="AX787" s="8">
        <f ca="1">IFERROR(__xludf.DUMMYFUNCTION("""COMPUTED_VALUE"""),53209)</f>
        <v>53209</v>
      </c>
    </row>
    <row r="788" spans="1:50" ht="60" x14ac:dyDescent="0.2">
      <c r="A788" s="8" t="str">
        <f ca="1">IFERROR(__xludf.DUMMYFUNCTION("""COMPUTED_VALUE"""),"20230309OHMAM")</f>
        <v>20230309OHMAM</v>
      </c>
      <c r="B788" s="8">
        <f ca="1">IFERROR(__xludf.DUMMYFUNCTION("""COMPUTED_VALUE"""),3)</f>
        <v>3</v>
      </c>
      <c r="C788" s="8">
        <f ca="1">IFERROR(__xludf.DUMMYFUNCTION("""COMPUTED_VALUE"""),9)</f>
        <v>9</v>
      </c>
      <c r="D788" s="8">
        <f ca="1">IFERROR(__xludf.DUMMYFUNCTION("""COMPUTED_VALUE"""),2023)</f>
        <v>2023</v>
      </c>
      <c r="E788" s="9">
        <f ca="1">IFERROR(__xludf.DUMMYFUNCTION("""COMPUTED_VALUE"""),44994)</f>
        <v>44994</v>
      </c>
      <c r="F788" s="8" t="str">
        <f ca="1">IFERROR(__xludf.DUMMYFUNCTION("""COMPUTED_VALUE"""),"Maple Heights High School")</f>
        <v>Maple Heights High School</v>
      </c>
      <c r="G788" s="8">
        <f ca="1">IFERROR(__xludf.DUMMYFUNCTION("""COMPUTED_VALUE"""),0)</f>
        <v>0</v>
      </c>
      <c r="H788" s="8">
        <f ca="1">IFERROR(__xludf.DUMMYFUNCTION("""COMPUTED_VALUE"""),1)</f>
        <v>1</v>
      </c>
      <c r="I788" s="8">
        <f ca="1">IFERROR(__xludf.DUMMYFUNCTION("""COMPUTED_VALUE"""),1)</f>
        <v>1</v>
      </c>
      <c r="J788" s="8">
        <f ca="1">IFERROR(__xludf.DUMMYFUNCTION("""COMPUTED_VALUE"""),0)</f>
        <v>0</v>
      </c>
      <c r="K788" s="10" t="str">
        <f ca="1">IFERROR(__xludf.DUMMYFUNCTION("""COMPUTED_VALUE"""),"https://www.cleveland19.com/2023/03/08/maple-height-teen-shot-near-high-school/
https://www.news5cleveland.com/news/local-news/1-injured-after-shooting-near-maple-heights-high-school-police-ask-for-publics-help")</f>
        <v>https://www.cleveland19.com/2023/03/08/maple-height-teen-shot-near-high-school/
https://www.news5cleveland.com/news/local-news/1-injured-after-shooting-near-maple-heights-high-school-police-ask-for-publics-help</v>
      </c>
      <c r="L788" s="8">
        <f ca="1">IFERROR(__xludf.DUMMYFUNCTION("""COMPUTED_VALUE"""),2)</f>
        <v>2</v>
      </c>
      <c r="M788" s="8" t="str">
        <f ca="1">IFERROR(__xludf.DUMMYFUNCTION("""COMPUTED_VALUE"""),"Local")</f>
        <v>Local</v>
      </c>
      <c r="N788" s="8">
        <f ca="1">IFERROR(__xludf.DUMMYFUNCTION("""COMPUTED_VALUE"""),2)</f>
        <v>2</v>
      </c>
      <c r="O788" s="8" t="str">
        <f ca="1">IFERROR(__xludf.DUMMYFUNCTION("""COMPUTED_VALUE"""),"Spring")</f>
        <v>Spring</v>
      </c>
      <c r="P788" s="8" t="str">
        <f ca="1">IFERROR(__xludf.DUMMYFUNCTION("""COMPUTED_VALUE"""),"Maple Heights")</f>
        <v>Maple Heights</v>
      </c>
      <c r="Q788" s="8" t="str">
        <f ca="1">IFERROR(__xludf.DUMMYFUNCTION("""COMPUTED_VALUE"""),"OH")</f>
        <v>OH</v>
      </c>
      <c r="R788" s="8" t="str">
        <f ca="1">IFERROR(__xludf.DUMMYFUNCTION("""COMPUTED_VALUE"""),"High")</f>
        <v>High</v>
      </c>
      <c r="S788" s="8" t="str">
        <f ca="1">IFERROR(__xludf.DUMMYFUNCTION("""COMPUTED_VALUE"""),"Parking Lot")</f>
        <v>Parking Lot</v>
      </c>
      <c r="T788" s="8" t="str">
        <f ca="1">IFERROR(__xludf.DUMMYFUNCTION("""COMPUTED_VALUE"""),"Outside on School Property")</f>
        <v>Outside on School Property</v>
      </c>
      <c r="U788" s="8" t="str">
        <f ca="1">IFERROR(__xludf.DUMMYFUNCTION("""COMPUTED_VALUE"""),"Yes")</f>
        <v>Yes</v>
      </c>
      <c r="V788" s="8" t="str">
        <f ca="1">IFERROR(__xludf.DUMMYFUNCTION("""COMPUTED_VALUE"""),"Afternoon Classes")</f>
        <v>Afternoon Classes</v>
      </c>
      <c r="W788" s="11">
        <f ca="1">IFERROR(__xludf.DUMMYFUNCTION("""COMPUTED_VALUE"""),0.645833333333333)</f>
        <v>0.64583333333333304</v>
      </c>
      <c r="X788" s="8">
        <f ca="1">IFERROR(__xludf.DUMMYFUNCTION("""COMPUTED_VALUE"""),1)</f>
        <v>1</v>
      </c>
      <c r="Y788" s="12" t="str">
        <f ca="1">IFERROR(__xludf.DUMMYFUNCTION("""COMPUTED_VALUE"""),"17-year-old shot near the school parking lot, school went on lockdown")</f>
        <v>17-year-old shot near the school parking lot, school went on lockdown</v>
      </c>
      <c r="Z788" s="12" t="str">
        <f ca="1">IFERROR(__xludf.DUMMYFUNCTION("""COMPUTED_VALUE"""),"Multiple shots fired and 17-year-old wounded in or near the parking lot of the school. School went on lockdown for 50 minutes. Per school statement, the shooter and victim were not students.")</f>
        <v>Multiple shots fired and 17-year-old wounded in or near the parking lot of the school. School went on lockdown for 50 minutes. Per school statement, the shooter and victim were not students.</v>
      </c>
      <c r="AA788" s="8"/>
      <c r="AB788" s="8"/>
      <c r="AC788" s="8" t="str">
        <f ca="1">IFERROR(__xludf.DUMMYFUNCTION("""COMPUTED_VALUE"""),"Yes")</f>
        <v>Yes</v>
      </c>
      <c r="AD788" s="8" t="str">
        <f ca="1">IFERROR(__xludf.DUMMYFUNCTION("""COMPUTED_VALUE"""),"Victims Targeted")</f>
        <v>Victims Targeted</v>
      </c>
      <c r="AE788" s="8" t="str">
        <f ca="1">IFERROR(__xludf.DUMMYFUNCTION("""COMPUTED_VALUE"""),"No")</f>
        <v>No</v>
      </c>
      <c r="AF788" s="8"/>
      <c r="AG788" s="8" t="str">
        <f ca="1">IFERROR(__xludf.DUMMYFUNCTION("""COMPUTED_VALUE"""),"No")</f>
        <v>No</v>
      </c>
      <c r="AH788" s="8" t="str">
        <f ca="1">IFERROR(__xludf.DUMMYFUNCTION("""COMPUTED_VALUE"""),"No")</f>
        <v>No</v>
      </c>
      <c r="AI788" s="8" t="str">
        <f ca="1">IFERROR(__xludf.DUMMYFUNCTION("""COMPUTED_VALUE"""),"No")</f>
        <v>No</v>
      </c>
      <c r="AJ788" s="8" t="str">
        <f ca="1">IFERROR(__xludf.DUMMYFUNCTION("""COMPUTED_VALUE"""),"No")</f>
        <v>No</v>
      </c>
      <c r="AK788" s="8" t="str">
        <f ca="1">IFERROR(__xludf.DUMMYFUNCTION("""COMPUTED_VALUE"""),"No")</f>
        <v>No</v>
      </c>
      <c r="AL788" s="8"/>
      <c r="AM788" s="8" t="str">
        <f ca="1">IFERROR(__xludf.DUMMYFUNCTION("""COMPUTED_VALUE"""),"No")</f>
        <v>No</v>
      </c>
      <c r="AN788" s="8" t="str">
        <f ca="1">IFERROR(__xludf.DUMMYFUNCTION("""COMPUTED_VALUE"""),"Outside")</f>
        <v>Outside</v>
      </c>
      <c r="AO788" s="8" t="str">
        <f ca="1">IFERROR(__xludf.DUMMYFUNCTION("""COMPUTED_VALUE"""),"No")</f>
        <v>No</v>
      </c>
      <c r="AP788" s="8"/>
      <c r="AQ788" s="8"/>
      <c r="AR788" s="8" t="str">
        <f ca="1">IFERROR(__xludf.DUMMYFUNCTION("""COMPUTED_VALUE"""),"Outside/Off-Property")</f>
        <v>Outside/Off-Property</v>
      </c>
      <c r="AS788" s="8">
        <f ca="1">IFERROR(__xludf.DUMMYFUNCTION("""COMPUTED_VALUE"""),99)</f>
        <v>99</v>
      </c>
      <c r="AT788" s="8" t="str">
        <f ca="1">IFERROR(__xludf.DUMMYFUNCTION("""COMPUTED_VALUE"""),"Yes")</f>
        <v>Yes</v>
      </c>
      <c r="AU788" s="8">
        <f ca="1">IFERROR(__xludf.DUMMYFUNCTION("""COMPUTED_VALUE"""),41.413739)</f>
        <v>41.413739</v>
      </c>
      <c r="AV788" s="8">
        <f ca="1">IFERROR(__xludf.DUMMYFUNCTION("""COMPUTED_VALUE"""),-81.560734)</f>
        <v>-81.560733999999997</v>
      </c>
      <c r="AW788" s="8"/>
      <c r="AX788" s="8">
        <f ca="1">IFERROR(__xludf.DUMMYFUNCTION("""COMPUTED_VALUE"""),44137)</f>
        <v>44137</v>
      </c>
    </row>
    <row r="789" spans="1:50" ht="45" x14ac:dyDescent="0.2">
      <c r="A789" s="8" t="str">
        <f ca="1">IFERROR(__xludf.DUMMYFUNCTION("""COMPUTED_VALUE"""),"20230308WVHIH")</f>
        <v>20230308WVHIH</v>
      </c>
      <c r="B789" s="8">
        <f ca="1">IFERROR(__xludf.DUMMYFUNCTION("""COMPUTED_VALUE"""),3)</f>
        <v>3</v>
      </c>
      <c r="C789" s="8">
        <f ca="1">IFERROR(__xludf.DUMMYFUNCTION("""COMPUTED_VALUE"""),8)</f>
        <v>8</v>
      </c>
      <c r="D789" s="8">
        <f ca="1">IFERROR(__xludf.DUMMYFUNCTION("""COMPUTED_VALUE"""),2023)</f>
        <v>2023</v>
      </c>
      <c r="E789" s="9">
        <f ca="1">IFERROR(__xludf.DUMMYFUNCTION("""COMPUTED_VALUE"""),44993)</f>
        <v>44993</v>
      </c>
      <c r="F789" s="8" t="str">
        <f ca="1">IFERROR(__xludf.DUMMYFUNCTION("""COMPUTED_VALUE"""),"Hinton Area Elementary School")</f>
        <v>Hinton Area Elementary School</v>
      </c>
      <c r="G789" s="8">
        <f ca="1">IFERROR(__xludf.DUMMYFUNCTION("""COMPUTED_VALUE"""),0)</f>
        <v>0</v>
      </c>
      <c r="H789" s="8">
        <f ca="1">IFERROR(__xludf.DUMMYFUNCTION("""COMPUTED_VALUE"""),0)</f>
        <v>0</v>
      </c>
      <c r="I789" s="8">
        <f ca="1">IFERROR(__xludf.DUMMYFUNCTION("""COMPUTED_VALUE"""),0)</f>
        <v>0</v>
      </c>
      <c r="J789" s="8">
        <f ca="1">IFERROR(__xludf.DUMMYFUNCTION("""COMPUTED_VALUE"""),0)</f>
        <v>0</v>
      </c>
      <c r="K789" s="10" t="str">
        <f ca="1">IFERROR(__xludf.DUMMYFUNCTION("""COMPUTED_VALUE"""),"https://www.wvnstv.com/news/crime/summers-county-crime/man-arrested-after-shots-fired-near-elementary-school-in-summers-county/")</f>
        <v>https://www.wvnstv.com/news/crime/summers-county-crime/man-arrested-after-shots-fired-near-elementary-school-in-summers-county/</v>
      </c>
      <c r="L789" s="8">
        <f ca="1">IFERROR(__xludf.DUMMYFUNCTION("""COMPUTED_VALUE"""),1)</f>
        <v>1</v>
      </c>
      <c r="M789" s="8" t="str">
        <f ca="1">IFERROR(__xludf.DUMMYFUNCTION("""COMPUTED_VALUE"""),"Local")</f>
        <v>Local</v>
      </c>
      <c r="N789" s="8">
        <f ca="1">IFERROR(__xludf.DUMMYFUNCTION("""COMPUTED_VALUE"""),3)</f>
        <v>3</v>
      </c>
      <c r="O789" s="8" t="str">
        <f ca="1">IFERROR(__xludf.DUMMYFUNCTION("""COMPUTED_VALUE"""),"Spring")</f>
        <v>Spring</v>
      </c>
      <c r="P789" s="8" t="str">
        <f ca="1">IFERROR(__xludf.DUMMYFUNCTION("""COMPUTED_VALUE"""),"Hinton")</f>
        <v>Hinton</v>
      </c>
      <c r="Q789" s="8" t="str">
        <f ca="1">IFERROR(__xludf.DUMMYFUNCTION("""COMPUTED_VALUE"""),"WV")</f>
        <v>WV</v>
      </c>
      <c r="R789" s="8" t="str">
        <f ca="1">IFERROR(__xludf.DUMMYFUNCTION("""COMPUTED_VALUE"""),"Elementary")</f>
        <v>Elementary</v>
      </c>
      <c r="S789" s="8" t="str">
        <f ca="1">IFERROR(__xludf.DUMMYFUNCTION("""COMPUTED_VALUE"""),"Outside on School Property")</f>
        <v>Outside on School Property</v>
      </c>
      <c r="T789" s="8" t="str">
        <f ca="1">IFERROR(__xludf.DUMMYFUNCTION("""COMPUTED_VALUE"""),"Outside on School Property")</f>
        <v>Outside on School Property</v>
      </c>
      <c r="U789" s="8" t="str">
        <f ca="1">IFERROR(__xludf.DUMMYFUNCTION("""COMPUTED_VALUE"""),"No")</f>
        <v>No</v>
      </c>
      <c r="V789" s="8" t="str">
        <f ca="1">IFERROR(__xludf.DUMMYFUNCTION("""COMPUTED_VALUE"""),"After School")</f>
        <v>After School</v>
      </c>
      <c r="W789" s="11">
        <f ca="1">IFERROR(__xludf.DUMMYFUNCTION("""COMPUTED_VALUE"""),0.683333333333333)</f>
        <v>0.68333333333333302</v>
      </c>
      <c r="X789" s="8">
        <f ca="1">IFERROR(__xludf.DUMMYFUNCTION("""COMPUTED_VALUE"""),1)</f>
        <v>1</v>
      </c>
      <c r="Y789" s="12" t="str">
        <f ca="1">IFERROR(__xludf.DUMMYFUNCTION("""COMPUTED_VALUE"""),"23-year-old man fired shots outside school")</f>
        <v>23-year-old man fired shots outside school</v>
      </c>
      <c r="Z789" s="12" t="str">
        <f ca="1">IFERROR(__xludf.DUMMYFUNCTION("""COMPUTED_VALUE"""),"23-year-old man fired shots outside school. Arrested by police. School was not targeted, shooting was related to illegal drugs.")</f>
        <v>23-year-old man fired shots outside school. Arrested by police. School was not targeted, shooting was related to illegal drugs.</v>
      </c>
      <c r="AA789" s="8" t="str">
        <f ca="1">IFERROR(__xludf.DUMMYFUNCTION("""COMPUTED_VALUE"""),"Illegal Activity")</f>
        <v>Illegal Activity</v>
      </c>
      <c r="AB789" s="8"/>
      <c r="AC789" s="8" t="str">
        <f ca="1">IFERROR(__xludf.DUMMYFUNCTION("""COMPUTED_VALUE"""),"No")</f>
        <v>No</v>
      </c>
      <c r="AD789" s="8" t="str">
        <f ca="1">IFERROR(__xludf.DUMMYFUNCTION("""COMPUTED_VALUE"""),"Neither")</f>
        <v>Neither</v>
      </c>
      <c r="AE789" s="8" t="str">
        <f ca="1">IFERROR(__xludf.DUMMYFUNCTION("""COMPUTED_VALUE"""),"No")</f>
        <v>No</v>
      </c>
      <c r="AF789" s="8"/>
      <c r="AG789" s="8" t="str">
        <f ca="1">IFERROR(__xludf.DUMMYFUNCTION("""COMPUTED_VALUE"""),"No")</f>
        <v>No</v>
      </c>
      <c r="AH789" s="8" t="str">
        <f ca="1">IFERROR(__xludf.DUMMYFUNCTION("""COMPUTED_VALUE"""),"No")</f>
        <v>No</v>
      </c>
      <c r="AI789" s="8" t="str">
        <f ca="1">IFERROR(__xludf.DUMMYFUNCTION("""COMPUTED_VALUE"""),"No")</f>
        <v>No</v>
      </c>
      <c r="AJ789" s="8" t="str">
        <f ca="1">IFERROR(__xludf.DUMMYFUNCTION("""COMPUTED_VALUE"""),"No")</f>
        <v>No</v>
      </c>
      <c r="AK789" s="8" t="str">
        <f ca="1">IFERROR(__xludf.DUMMYFUNCTION("""COMPUTED_VALUE"""),"No")</f>
        <v>No</v>
      </c>
      <c r="AL789" s="8" t="str">
        <f ca="1">IFERROR(__xludf.DUMMYFUNCTION("""COMPUTED_VALUE"""),"No")</f>
        <v>No</v>
      </c>
      <c r="AM789" s="8" t="str">
        <f ca="1">IFERROR(__xludf.DUMMYFUNCTION("""COMPUTED_VALUE"""),"No")</f>
        <v>No</v>
      </c>
      <c r="AN789" s="8" t="str">
        <f ca="1">IFERROR(__xludf.DUMMYFUNCTION("""COMPUTED_VALUE"""),"Outside")</f>
        <v>Outside</v>
      </c>
      <c r="AO789" s="8" t="str">
        <f ca="1">IFERROR(__xludf.DUMMYFUNCTION("""COMPUTED_VALUE"""),"No")</f>
        <v>No</v>
      </c>
      <c r="AP789" s="8"/>
      <c r="AQ789" s="8"/>
      <c r="AR789" s="8" t="str">
        <f ca="1">IFERROR(__xludf.DUMMYFUNCTION("""COMPUTED_VALUE"""),"Outside/Off-Property")</f>
        <v>Outside/Off-Property</v>
      </c>
      <c r="AS789" s="8">
        <f ca="1">IFERROR(__xludf.DUMMYFUNCTION("""COMPUTED_VALUE"""),99)</f>
        <v>99</v>
      </c>
      <c r="AT789" s="8"/>
      <c r="AU789" s="8">
        <f ca="1">IFERROR(__xludf.DUMMYFUNCTION("""COMPUTED_VALUE"""),37.67031)</f>
        <v>37.670310000000001</v>
      </c>
      <c r="AV789" s="8">
        <f ca="1">IFERROR(__xludf.DUMMYFUNCTION("""COMPUTED_VALUE"""),-80.891813)</f>
        <v>-80.891812999999999</v>
      </c>
      <c r="AW789" s="8"/>
      <c r="AX789" s="8">
        <f ca="1">IFERROR(__xludf.DUMMYFUNCTION("""COMPUTED_VALUE"""),25951)</f>
        <v>25951</v>
      </c>
    </row>
    <row r="790" spans="1:50" ht="270" x14ac:dyDescent="0.2">
      <c r="A790" s="8" t="str">
        <f ca="1">IFERROR(__xludf.DUMMYFUNCTION("""COMPUTED_VALUE"""),"20230308PAHEP")</f>
        <v>20230308PAHEP</v>
      </c>
      <c r="B790" s="8">
        <f ca="1">IFERROR(__xludf.DUMMYFUNCTION("""COMPUTED_VALUE"""),3)</f>
        <v>3</v>
      </c>
      <c r="C790" s="8">
        <f ca="1">IFERROR(__xludf.DUMMYFUNCTION("""COMPUTED_VALUE"""),8)</f>
        <v>8</v>
      </c>
      <c r="D790" s="8">
        <f ca="1">IFERROR(__xludf.DUMMYFUNCTION("""COMPUTED_VALUE"""),2023)</f>
        <v>2023</v>
      </c>
      <c r="E790" s="9">
        <f ca="1">IFERROR(__xludf.DUMMYFUNCTION("""COMPUTED_VALUE"""),44993)</f>
        <v>44993</v>
      </c>
      <c r="F790" s="8" t="str">
        <f ca="1">IFERROR(__xludf.DUMMYFUNCTION("""COMPUTED_VALUE"""),"Heston Elementary School")</f>
        <v>Heston Elementary School</v>
      </c>
      <c r="G790" s="8">
        <f ca="1">IFERROR(__xludf.DUMMYFUNCTION("""COMPUTED_VALUE"""),0)</f>
        <v>0</v>
      </c>
      <c r="H790" s="8">
        <f ca="1">IFERROR(__xludf.DUMMYFUNCTION("""COMPUTED_VALUE"""),1)</f>
        <v>1</v>
      </c>
      <c r="I790" s="8">
        <f ca="1">IFERROR(__xludf.DUMMYFUNCTION("""COMPUTED_VALUE"""),1)</f>
        <v>1</v>
      </c>
      <c r="J790" s="8">
        <f ca="1">IFERROR(__xludf.DUMMYFUNCTION("""COMPUTED_VALUE"""),0)</f>
        <v>0</v>
      </c>
      <c r="K790" s="10" t="str">
        <f ca="1">IFERROR(__xludf.DUMMYFUNCTION("""COMPUTED_VALUE"""),"https://whyy.org/articles/west-philadelphia-shooting-heston-school-54th-street-lansdowne-avenue/
https://www.nbcphiladelphia.com/news/local/person-shot-near-school-in-west-philadelphia-police-say/3517052/")</f>
        <v>https://whyy.org/articles/west-philadelphia-shooting-heston-school-54th-street-lansdowne-avenue/
https://www.nbcphiladelphia.com/news/local/person-shot-near-school-in-west-philadelphia-police-say/3517052/</v>
      </c>
      <c r="L790" s="8">
        <f ca="1">IFERROR(__xludf.DUMMYFUNCTION("""COMPUTED_VALUE"""),10)</f>
        <v>10</v>
      </c>
      <c r="M790" s="8" t="str">
        <f ca="1">IFERROR(__xludf.DUMMYFUNCTION("""COMPUTED_VALUE"""),"Regional")</f>
        <v>Regional</v>
      </c>
      <c r="N790" s="8">
        <f ca="1">IFERROR(__xludf.DUMMYFUNCTION("""COMPUTED_VALUE"""),4)</f>
        <v>4</v>
      </c>
      <c r="O790" s="8" t="str">
        <f ca="1">IFERROR(__xludf.DUMMYFUNCTION("""COMPUTED_VALUE"""),"Spring")</f>
        <v>Spring</v>
      </c>
      <c r="P790" s="8" t="str">
        <f ca="1">IFERROR(__xludf.DUMMYFUNCTION("""COMPUTED_VALUE"""),"Philadelphia")</f>
        <v>Philadelphia</v>
      </c>
      <c r="Q790" s="8" t="str">
        <f ca="1">IFERROR(__xludf.DUMMYFUNCTION("""COMPUTED_VALUE"""),"PA")</f>
        <v>PA</v>
      </c>
      <c r="R790" s="8" t="str">
        <f ca="1">IFERROR(__xludf.DUMMYFUNCTION("""COMPUTED_VALUE"""),"Elementary")</f>
        <v>Elementary</v>
      </c>
      <c r="S790" s="8" t="str">
        <f ca="1">IFERROR(__xludf.DUMMYFUNCTION("""COMPUTED_VALUE"""),"Front of School")</f>
        <v>Front of School</v>
      </c>
      <c r="T790" s="8" t="str">
        <f ca="1">IFERROR(__xludf.DUMMYFUNCTION("""COMPUTED_VALUE"""),"Outside on School Property")</f>
        <v>Outside on School Property</v>
      </c>
      <c r="U790" s="8" t="str">
        <f ca="1">IFERROR(__xludf.DUMMYFUNCTION("""COMPUTED_VALUE"""),"Yes")</f>
        <v>Yes</v>
      </c>
      <c r="V790" s="8" t="str">
        <f ca="1">IFERROR(__xludf.DUMMYFUNCTION("""COMPUTED_VALUE"""),"Dismissal")</f>
        <v>Dismissal</v>
      </c>
      <c r="W790" s="11">
        <f ca="1">IFERROR(__xludf.DUMMYFUNCTION("""COMPUTED_VALUE"""),0.65625)</f>
        <v>0.65625</v>
      </c>
      <c r="X790" s="8">
        <f ca="1">IFERROR(__xludf.DUMMYFUNCTION("""COMPUTED_VALUE"""),1)</f>
        <v>1</v>
      </c>
      <c r="Y790" s="12" t="str">
        <f ca="1">IFERROR(__xludf.DUMMYFUNCTION("""COMPUTED_VALUE"""),"10 shots fired outside, bullet went through office window with 3 staff members standing nearby")</f>
        <v>10 shots fired outside, bullet went through office window with 3 staff members standing nearby</v>
      </c>
      <c r="Z790" s="12" t="str">
        <f ca="1">IFERROR(__xludf.DUMMYFUNCTION("""COMPUTED_VALUE"""),"A 21-year-old man was outside the Heston Elementary School along the 1600 block of North 54th Street around 3:45 p.m. when at least one gunman fired at least 10 shots, according to investigators. ""This is totally unacceptable to fire shots anywhere in th"&amp;"e city, especially so close to where school children are,"" Philadelphia School District spokesperson Monique Braxton said. The 21-year-old man was shot once in the thigh. He was taken to the hospital in stable condition. Bullets also went through the win"&amp;"dow of the school's main office, nearly striking the school secretary and two other employees who were inside. “She heard the bullets whiz by,"" Braxton said. ""That’s how close it was to her. And two other people were also standing in the office at that "&amp;"time.” 
The shooting occurred 45 minutes after dismissal, according to Braxton, though there were still children inside the building at the time. The school was placed on lockdown before it was later lifted as parents picked up their kids.")</f>
        <v>A 21-year-old man was outside the Heston Elementary School along the 1600 block of North 54th Street around 3:45 p.m. when at least one gunman fired at least 10 shots, according to investigators. "This is totally unacceptable to fire shots anywhere in the city, especially so close to where school children are," Philadelphia School District spokesperson Monique Braxton said. The 21-year-old man was shot once in the thigh. He was taken to the hospital in stable condition. Bullets also went through the window of the school's main office, nearly striking the school secretary and two other employees who were inside. “She heard the bullets whiz by," Braxton said. "That’s how close it was to her. And two other people were also standing in the office at that time.” 
The shooting occurred 45 minutes after dismissal, according to Braxton, though there were still children inside the building at the time. The school was placed on lockdown before it was later lifted as parents picked up their kids.</v>
      </c>
      <c r="AA790" s="8"/>
      <c r="AB790" s="8"/>
      <c r="AC790" s="8" t="str">
        <f ca="1">IFERROR(__xludf.DUMMYFUNCTION("""COMPUTED_VALUE"""),"Yes")</f>
        <v>Yes</v>
      </c>
      <c r="AD790" s="8" t="str">
        <f ca="1">IFERROR(__xludf.DUMMYFUNCTION("""COMPUTED_VALUE"""),"Victims Targeted")</f>
        <v>Victims Targeted</v>
      </c>
      <c r="AE790" s="8" t="str">
        <f ca="1">IFERROR(__xludf.DUMMYFUNCTION("""COMPUTED_VALUE"""),"No")</f>
        <v>No</v>
      </c>
      <c r="AF790" s="8"/>
      <c r="AG790" s="8" t="str">
        <f ca="1">IFERROR(__xludf.DUMMYFUNCTION("""COMPUTED_VALUE"""),"No")</f>
        <v>No</v>
      </c>
      <c r="AH790" s="8" t="str">
        <f ca="1">IFERROR(__xludf.DUMMYFUNCTION("""COMPUTED_VALUE"""),"No")</f>
        <v>No</v>
      </c>
      <c r="AI790" s="8" t="str">
        <f ca="1">IFERROR(__xludf.DUMMYFUNCTION("""COMPUTED_VALUE"""),"No")</f>
        <v>No</v>
      </c>
      <c r="AJ790" s="8" t="str">
        <f ca="1">IFERROR(__xludf.DUMMYFUNCTION("""COMPUTED_VALUE"""),"No")</f>
        <v>No</v>
      </c>
      <c r="AK790" s="8" t="str">
        <f ca="1">IFERROR(__xludf.DUMMYFUNCTION("""COMPUTED_VALUE"""),"No")</f>
        <v>No</v>
      </c>
      <c r="AL790" s="8"/>
      <c r="AM790" s="8" t="str">
        <f ca="1">IFERROR(__xludf.DUMMYFUNCTION("""COMPUTED_VALUE"""),"No")</f>
        <v>No</v>
      </c>
      <c r="AN790" s="8" t="str">
        <f ca="1">IFERROR(__xludf.DUMMYFUNCTION("""COMPUTED_VALUE"""),"Outside")</f>
        <v>Outside</v>
      </c>
      <c r="AO790" s="8" t="str">
        <f ca="1">IFERROR(__xludf.DUMMYFUNCTION("""COMPUTED_VALUE"""),"No")</f>
        <v>No</v>
      </c>
      <c r="AP790" s="8"/>
      <c r="AQ790" s="8"/>
      <c r="AR790" s="8" t="str">
        <f ca="1">IFERROR(__xludf.DUMMYFUNCTION("""COMPUTED_VALUE"""),"Outside/Off-Property")</f>
        <v>Outside/Off-Property</v>
      </c>
      <c r="AS790" s="8">
        <f ca="1">IFERROR(__xludf.DUMMYFUNCTION("""COMPUTED_VALUE"""),14)</f>
        <v>14</v>
      </c>
      <c r="AT790" s="8" t="str">
        <f ca="1">IFERROR(__xludf.DUMMYFUNCTION("""COMPUTED_VALUE"""),"Yes")</f>
        <v>Yes</v>
      </c>
      <c r="AU790" s="8">
        <f ca="1">IFERROR(__xludf.DUMMYFUNCTION("""COMPUTED_VALUE"""),39.977723)</f>
        <v>39.977722999999997</v>
      </c>
      <c r="AV790" s="8">
        <f ca="1">IFERROR(__xludf.DUMMYFUNCTION("""COMPUTED_VALUE"""),-75.229961)</f>
        <v>-75.229961000000003</v>
      </c>
      <c r="AW790" s="8"/>
      <c r="AX790" s="8">
        <f ca="1">IFERROR(__xludf.DUMMYFUNCTION("""COMPUTED_VALUE"""),19131)</f>
        <v>19131</v>
      </c>
    </row>
    <row r="791" spans="1:50" ht="195" x14ac:dyDescent="0.2">
      <c r="A791" s="8" t="str">
        <f ca="1">IFERROR(__xludf.DUMMYFUNCTION("""COMPUTED_VALUE"""),"20230307INTHI")</f>
        <v>20230307INTHI</v>
      </c>
      <c r="B791" s="8">
        <f ca="1">IFERROR(__xludf.DUMMYFUNCTION("""COMPUTED_VALUE"""),3)</f>
        <v>3</v>
      </c>
      <c r="C791" s="8">
        <f ca="1">IFERROR(__xludf.DUMMYFUNCTION("""COMPUTED_VALUE"""),7)</f>
        <v>7</v>
      </c>
      <c r="D791" s="8">
        <f ca="1">IFERROR(__xludf.DUMMYFUNCTION("""COMPUTED_VALUE"""),2023)</f>
        <v>2023</v>
      </c>
      <c r="E791" s="9">
        <f ca="1">IFERROR(__xludf.DUMMYFUNCTION("""COMPUTED_VALUE"""),44992)</f>
        <v>44992</v>
      </c>
      <c r="F791" s="8" t="str">
        <f ca="1">IFERROR(__xludf.DUMMYFUNCTION("""COMPUTED_VALUE"""),"Thomas Carr Howe High School")</f>
        <v>Thomas Carr Howe High School</v>
      </c>
      <c r="G791" s="8">
        <f ca="1">IFERROR(__xludf.DUMMYFUNCTION("""COMPUTED_VALUE"""),1)</f>
        <v>1</v>
      </c>
      <c r="H791" s="8">
        <f ca="1">IFERROR(__xludf.DUMMYFUNCTION("""COMPUTED_VALUE"""),0)</f>
        <v>0</v>
      </c>
      <c r="I791" s="8">
        <f ca="1">IFERROR(__xludf.DUMMYFUNCTION("""COMPUTED_VALUE"""),1)</f>
        <v>1</v>
      </c>
      <c r="J791" s="8">
        <f ca="1">IFERROR(__xludf.DUMMYFUNCTION("""COMPUTED_VALUE"""),0)</f>
        <v>0</v>
      </c>
      <c r="K791" s="10" t="str">
        <f ca="1">IFERROR(__xludf.DUMMYFUNCTION("""COMPUTED_VALUE"""),"https://www.wthr.com/article/news/local/shooting-near-thomas-carr-howe-high-school-east-side-indianapolis-indiana/531-34c5ff21-1515-4fa6-853e-c1434bc2aaac
https://fox59.com/news/indycrime/person-shot-near-east-side-indy-high-school/")</f>
        <v>https://www.wthr.com/article/news/local/shooting-near-thomas-carr-howe-high-school-east-side-indianapolis-indiana/531-34c5ff21-1515-4fa6-853e-c1434bc2aaac
https://fox59.com/news/indycrime/person-shot-near-east-side-indy-high-school/</v>
      </c>
      <c r="L791" s="8">
        <f ca="1">IFERROR(__xludf.DUMMYFUNCTION("""COMPUTED_VALUE"""),10)</f>
        <v>10</v>
      </c>
      <c r="M791" s="8" t="str">
        <f ca="1">IFERROR(__xludf.DUMMYFUNCTION("""COMPUTED_VALUE"""),"Regional")</f>
        <v>Regional</v>
      </c>
      <c r="N791" s="8">
        <f ca="1">IFERROR(__xludf.DUMMYFUNCTION("""COMPUTED_VALUE"""),4)</f>
        <v>4</v>
      </c>
      <c r="O791" s="8" t="str">
        <f ca="1">IFERROR(__xludf.DUMMYFUNCTION("""COMPUTED_VALUE"""),"Spring")</f>
        <v>Spring</v>
      </c>
      <c r="P791" s="8" t="str">
        <f ca="1">IFERROR(__xludf.DUMMYFUNCTION("""COMPUTED_VALUE"""),"Indianapolis")</f>
        <v>Indianapolis</v>
      </c>
      <c r="Q791" s="8" t="str">
        <f ca="1">IFERROR(__xludf.DUMMYFUNCTION("""COMPUTED_VALUE"""),"IN")</f>
        <v>IN</v>
      </c>
      <c r="R791" s="8" t="str">
        <f ca="1">IFERROR(__xludf.DUMMYFUNCTION("""COMPUTED_VALUE"""),"High")</f>
        <v>High</v>
      </c>
      <c r="S791" s="8" t="str">
        <f ca="1">IFERROR(__xludf.DUMMYFUNCTION("""COMPUTED_VALUE"""),"Parking Lot")</f>
        <v>Parking Lot</v>
      </c>
      <c r="T791" s="8" t="str">
        <f ca="1">IFERROR(__xludf.DUMMYFUNCTION("""COMPUTED_VALUE"""),"Outside on School Property")</f>
        <v>Outside on School Property</v>
      </c>
      <c r="U791" s="8" t="str">
        <f ca="1">IFERROR(__xludf.DUMMYFUNCTION("""COMPUTED_VALUE"""),"No")</f>
        <v>No</v>
      </c>
      <c r="V791" s="8" t="str">
        <f ca="1">IFERROR(__xludf.DUMMYFUNCTION("""COMPUTED_VALUE"""),"Sport Event")</f>
        <v>Sport Event</v>
      </c>
      <c r="W791" s="11">
        <f ca="1">IFERROR(__xludf.DUMMYFUNCTION("""COMPUTED_VALUE"""),0.840277777777777)</f>
        <v>0.84027777777777701</v>
      </c>
      <c r="X791" s="8">
        <f ca="1">IFERROR(__xludf.DUMMYFUNCTION("""COMPUTED_VALUE"""),1)</f>
        <v>1</v>
      </c>
      <c r="Y791" s="12" t="str">
        <f ca="1">IFERROR(__xludf.DUMMYFUNCTION("""COMPUTED_VALUE"""),"19-year-old male fatally shot near door to gym during high school basketball game")</f>
        <v>19-year-old male fatally shot near door to gym during high school basketball game</v>
      </c>
      <c r="Z791" s="12" t="str">
        <f ca="1">IFERROR(__xludf.DUMMYFUNCTION("""COMPUTED_VALUE"""),"Indianapolis Metropolitan Police Department crews were called around 8:10 p.m. to 4900 Julian Avenue, the address listed for Thomas Carr Howe High School, for a person shot. Upon arrival at the building, which is near the intersection of E. Washington Str"&amp;"eet and Emerson Avenue, IMPD crews found one person in the parking lot with a gunshot wound. That victim, who IMPD identified as a male, was taken to a local hospital where he later died from his injuries. Police did not release the age of the male victim"&amp;". IMPD PIO William Young said on scene that detectives have identified and are speaking with a person of interest regarding the shooting. Several bullet casings were found near the male victim in the school’s parking lot, IMPD said.")</f>
        <v>Indianapolis Metropolitan Police Department crews were called around 8:10 p.m. to 4900 Julian Avenue, the address listed for Thomas Carr Howe High School, for a person shot. Upon arrival at the building, which is near the intersection of E. Washington Street and Emerson Avenue, IMPD crews found one person in the parking lot with a gunshot wound. That victim, who IMPD identified as a male, was taken to a local hospital where he later died from his injuries. Police did not release the age of the male victim. IMPD PIO William Young said on scene that detectives have identified and are speaking with a person of interest regarding the shooting. Several bullet casings were found near the male victim in the school’s parking lot, IMPD said.</v>
      </c>
      <c r="AA791" s="8"/>
      <c r="AB791" s="8"/>
      <c r="AC791" s="8" t="str">
        <f ca="1">IFERROR(__xludf.DUMMYFUNCTION("""COMPUTED_VALUE"""),"Yes")</f>
        <v>Yes</v>
      </c>
      <c r="AD791" s="8" t="str">
        <f ca="1">IFERROR(__xludf.DUMMYFUNCTION("""COMPUTED_VALUE"""),"Victims Targeted")</f>
        <v>Victims Targeted</v>
      </c>
      <c r="AE791" s="8"/>
      <c r="AF791" s="8"/>
      <c r="AG791" s="8" t="str">
        <f ca="1">IFERROR(__xludf.DUMMYFUNCTION("""COMPUTED_VALUE"""),"No")</f>
        <v>No</v>
      </c>
      <c r="AH791" s="8" t="str">
        <f ca="1">IFERROR(__xludf.DUMMYFUNCTION("""COMPUTED_VALUE"""),"No")</f>
        <v>No</v>
      </c>
      <c r="AI791" s="8" t="str">
        <f ca="1">IFERROR(__xludf.DUMMYFUNCTION("""COMPUTED_VALUE"""),"No")</f>
        <v>No</v>
      </c>
      <c r="AJ791" s="8" t="str">
        <f ca="1">IFERROR(__xludf.DUMMYFUNCTION("""COMPUTED_VALUE"""),"No")</f>
        <v>No</v>
      </c>
      <c r="AK791" s="8" t="str">
        <f ca="1">IFERROR(__xludf.DUMMYFUNCTION("""COMPUTED_VALUE"""),"No")</f>
        <v>No</v>
      </c>
      <c r="AL791" s="8"/>
      <c r="AM791" s="8" t="str">
        <f ca="1">IFERROR(__xludf.DUMMYFUNCTION("""COMPUTED_VALUE"""),"No")</f>
        <v>No</v>
      </c>
      <c r="AN791" s="8" t="str">
        <f ca="1">IFERROR(__xludf.DUMMYFUNCTION("""COMPUTED_VALUE"""),"Outside")</f>
        <v>Outside</v>
      </c>
      <c r="AO791" s="8" t="str">
        <f ca="1">IFERROR(__xludf.DUMMYFUNCTION("""COMPUTED_VALUE"""),"No")</f>
        <v>No</v>
      </c>
      <c r="AP791" s="8"/>
      <c r="AQ791" s="8"/>
      <c r="AR791" s="8" t="str">
        <f ca="1">IFERROR(__xludf.DUMMYFUNCTION("""COMPUTED_VALUE"""),"Outside/Off-Property")</f>
        <v>Outside/Off-Property</v>
      </c>
      <c r="AS791" s="8">
        <f ca="1">IFERROR(__xludf.DUMMYFUNCTION("""COMPUTED_VALUE"""),99)</f>
        <v>99</v>
      </c>
      <c r="AT791" s="8"/>
      <c r="AU791" s="8">
        <f ca="1">IFERROR(__xludf.DUMMYFUNCTION("""COMPUTED_VALUE"""),39.767696)</f>
        <v>39.767696000000001</v>
      </c>
      <c r="AV791" s="8">
        <f ca="1">IFERROR(__xludf.DUMMYFUNCTION("""COMPUTED_VALUE"""),-86.085286)</f>
        <v>-86.085285999999996</v>
      </c>
      <c r="AW791" s="8"/>
      <c r="AX791" s="8">
        <f ca="1">IFERROR(__xludf.DUMMYFUNCTION("""COMPUTED_VALUE"""),46201)</f>
        <v>46201</v>
      </c>
    </row>
    <row r="792" spans="1:50" ht="120" x14ac:dyDescent="0.2">
      <c r="A792" s="8" t="str">
        <f ca="1">IFERROR(__xludf.DUMMYFUNCTION("""COMPUTED_VALUE"""),"20230306TXPAA")</f>
        <v>20230306TXPAA</v>
      </c>
      <c r="B792" s="8">
        <f ca="1">IFERROR(__xludf.DUMMYFUNCTION("""COMPUTED_VALUE"""),3)</f>
        <v>3</v>
      </c>
      <c r="C792" s="8">
        <f ca="1">IFERROR(__xludf.DUMMYFUNCTION("""COMPUTED_VALUE"""),6)</f>
        <v>6</v>
      </c>
      <c r="D792" s="8">
        <f ca="1">IFERROR(__xludf.DUMMYFUNCTION("""COMPUTED_VALUE"""),2023)</f>
        <v>2023</v>
      </c>
      <c r="E792" s="9">
        <f ca="1">IFERROR(__xludf.DUMMYFUNCTION("""COMPUTED_VALUE"""),44991)</f>
        <v>44991</v>
      </c>
      <c r="F792" s="8" t="str">
        <f ca="1">IFERROR(__xludf.DUMMYFUNCTION("""COMPUTED_VALUE"""),"Palo Duro High School")</f>
        <v>Palo Duro High School</v>
      </c>
      <c r="G792" s="8">
        <f ca="1">IFERROR(__xludf.DUMMYFUNCTION("""COMPUTED_VALUE"""),0)</f>
        <v>0</v>
      </c>
      <c r="H792" s="8">
        <f ca="1">IFERROR(__xludf.DUMMYFUNCTION("""COMPUTED_VALUE"""),1)</f>
        <v>1</v>
      </c>
      <c r="I792" s="8">
        <f ca="1">IFERROR(__xludf.DUMMYFUNCTION("""COMPUTED_VALUE"""),1)</f>
        <v>1</v>
      </c>
      <c r="J792" s="8">
        <f ca="1">IFERROR(__xludf.DUMMYFUNCTION("""COMPUTED_VALUE"""),0)</f>
        <v>0</v>
      </c>
      <c r="K792" s="8" t="str">
        <f ca="1">IFERROR(__xludf.DUMMYFUNCTION("""COMPUTED_VALUE"""),"https://www.newschannel10.com/2023/04/24/amarillo-police-arrest-2-shooting-that-left-palo-duro-student-wounded/
https://abc7amarillo.com/news/local/multiple-shots-fired-stray-bullet-hits-palo-duro-high-school-student-on-tennis-court-lockdown-whittier-elem"&amp;"entary-school-amarillo-texas-amarillo-police-department-crime-stoppers-gun-crime-palo-duro-dons")</f>
        <v>https://www.newschannel10.com/2023/04/24/amarillo-police-arrest-2-shooting-that-left-palo-duro-student-wounded/
https://abc7amarillo.com/news/local/multiple-shots-fired-stray-bullet-hits-palo-duro-high-school-student-on-tennis-court-lockdown-whittier-elementary-school-amarillo-texas-amarillo-police-department-crime-stoppers-gun-crime-palo-duro-dons</v>
      </c>
      <c r="L792" s="8">
        <f ca="1">IFERROR(__xludf.DUMMYFUNCTION("""COMPUTED_VALUE"""),10)</f>
        <v>10</v>
      </c>
      <c r="M792" s="8" t="str">
        <f ca="1">IFERROR(__xludf.DUMMYFUNCTION("""COMPUTED_VALUE"""),"Regional")</f>
        <v>Regional</v>
      </c>
      <c r="N792" s="8">
        <f ca="1">IFERROR(__xludf.DUMMYFUNCTION("""COMPUTED_VALUE"""),4)</f>
        <v>4</v>
      </c>
      <c r="O792" s="8" t="str">
        <f ca="1">IFERROR(__xludf.DUMMYFUNCTION("""COMPUTED_VALUE"""),"Spring")</f>
        <v>Spring</v>
      </c>
      <c r="P792" s="8" t="str">
        <f ca="1">IFERROR(__xludf.DUMMYFUNCTION("""COMPUTED_VALUE"""),"Amarillo")</f>
        <v>Amarillo</v>
      </c>
      <c r="Q792" s="8" t="str">
        <f ca="1">IFERROR(__xludf.DUMMYFUNCTION("""COMPUTED_VALUE"""),"TX")</f>
        <v>TX</v>
      </c>
      <c r="R792" s="8" t="str">
        <f ca="1">IFERROR(__xludf.DUMMYFUNCTION("""COMPUTED_VALUE"""),"High")</f>
        <v>High</v>
      </c>
      <c r="S792" s="8" t="str">
        <f ca="1">IFERROR(__xludf.DUMMYFUNCTION("""COMPUTED_VALUE"""),"Basketball Court")</f>
        <v>Basketball Court</v>
      </c>
      <c r="T792" s="8" t="str">
        <f ca="1">IFERROR(__xludf.DUMMYFUNCTION("""COMPUTED_VALUE"""),"Outside on School Property")</f>
        <v>Outside on School Property</v>
      </c>
      <c r="U792" s="8" t="str">
        <f ca="1">IFERROR(__xludf.DUMMYFUNCTION("""COMPUTED_VALUE"""),"Yes")</f>
        <v>Yes</v>
      </c>
      <c r="V792" s="8" t="str">
        <f ca="1">IFERROR(__xludf.DUMMYFUNCTION("""COMPUTED_VALUE"""),"Afternoon Classes")</f>
        <v>Afternoon Classes</v>
      </c>
      <c r="W792" s="11">
        <f ca="1">IFERROR(__xludf.DUMMYFUNCTION("""COMPUTED_VALUE"""),0.583333333333333)</f>
        <v>0.58333333333333304</v>
      </c>
      <c r="X792" s="8">
        <f ca="1">IFERROR(__xludf.DUMMYFUNCTION("""COMPUTED_VALUE"""),1)</f>
        <v>1</v>
      </c>
      <c r="Y792" s="12" t="str">
        <f ca="1">IFERROR(__xludf.DUMMYFUNCTION("""COMPUTED_VALUE"""),"Student hit by stray bullet while on tennis court during afternoon classes")</f>
        <v>Student hit by stray bullet while on tennis court during afternoon classes</v>
      </c>
      <c r="Z792" s="12" t="str">
        <f ca="1">IFERROR(__xludf.DUMMYFUNCTION("""COMPUTED_VALUE"""),"A Palo Duro High School student was hit by a stray bullet Monday afternoon. Amarillo police responded to the area of NE 24th Ave and N. Arthur Street around 2 p.m. after getting several 911 calls. ""We received several calls from different callers, all st"&amp;"ating there were numerous shots fired,"" said police. Police were also told a student on the tennis courts at Palo Duro High School had been shot in the hand. He was treated at the hospital for a non-life threatening injury.")</f>
        <v>A Palo Duro High School student was hit by a stray bullet Monday afternoon. Amarillo police responded to the area of NE 24th Ave and N. Arthur Street around 2 p.m. after getting several 911 calls. "We received several calls from different callers, all stating there were numerous shots fired," said police. Police were also told a student on the tennis courts at Palo Duro High School had been shot in the hand. He was treated at the hospital for a non-life threatening injury.</v>
      </c>
      <c r="AA792" s="8" t="str">
        <f ca="1">IFERROR(__xludf.DUMMYFUNCTION("""COMPUTED_VALUE"""),"Drive-by Shooting")</f>
        <v>Drive-by Shooting</v>
      </c>
      <c r="AB792" s="8"/>
      <c r="AC792" s="8" t="str">
        <f ca="1">IFERROR(__xludf.DUMMYFUNCTION("""COMPUTED_VALUE"""),"Yes")</f>
        <v>Yes</v>
      </c>
      <c r="AD792" s="8" t="str">
        <f ca="1">IFERROR(__xludf.DUMMYFUNCTION("""COMPUTED_VALUE"""),"Random Shooting")</f>
        <v>Random Shooting</v>
      </c>
      <c r="AE792" s="8" t="str">
        <f ca="1">IFERROR(__xludf.DUMMYFUNCTION("""COMPUTED_VALUE"""),"No")</f>
        <v>No</v>
      </c>
      <c r="AF792" s="8"/>
      <c r="AG792" s="8" t="str">
        <f ca="1">IFERROR(__xludf.DUMMYFUNCTION("""COMPUTED_VALUE"""),"No")</f>
        <v>No</v>
      </c>
      <c r="AH792" s="8" t="str">
        <f ca="1">IFERROR(__xludf.DUMMYFUNCTION("""COMPUTED_VALUE"""),"No")</f>
        <v>No</v>
      </c>
      <c r="AI792" s="8" t="str">
        <f ca="1">IFERROR(__xludf.DUMMYFUNCTION("""COMPUTED_VALUE"""),"No")</f>
        <v>No</v>
      </c>
      <c r="AJ792" s="8" t="str">
        <f ca="1">IFERROR(__xludf.DUMMYFUNCTION("""COMPUTED_VALUE"""),"No")</f>
        <v>No</v>
      </c>
      <c r="AK792" s="8" t="str">
        <f ca="1">IFERROR(__xludf.DUMMYFUNCTION("""COMPUTED_VALUE"""),"No")</f>
        <v>No</v>
      </c>
      <c r="AL792" s="8" t="str">
        <f ca="1">IFERROR(__xludf.DUMMYFUNCTION("""COMPUTED_VALUE"""),"No")</f>
        <v>No</v>
      </c>
      <c r="AM792" s="8" t="str">
        <f ca="1">IFERROR(__xludf.DUMMYFUNCTION("""COMPUTED_VALUE"""),"No")</f>
        <v>No</v>
      </c>
      <c r="AN792" s="8" t="str">
        <f ca="1">IFERROR(__xludf.DUMMYFUNCTION("""COMPUTED_VALUE"""),"Outside")</f>
        <v>Outside</v>
      </c>
      <c r="AO792" s="8" t="str">
        <f ca="1">IFERROR(__xludf.DUMMYFUNCTION("""COMPUTED_VALUE"""),"No")</f>
        <v>No</v>
      </c>
      <c r="AP792" s="8"/>
      <c r="AQ792" s="8"/>
      <c r="AR792" s="8" t="str">
        <f ca="1">IFERROR(__xludf.DUMMYFUNCTION("""COMPUTED_VALUE"""),"Outside/Off-Property")</f>
        <v>Outside/Off-Property</v>
      </c>
      <c r="AS792" s="8">
        <f ca="1">IFERROR(__xludf.DUMMYFUNCTION("""COMPUTED_VALUE"""),99)</f>
        <v>99</v>
      </c>
      <c r="AT792" s="8" t="str">
        <f ca="1">IFERROR(__xludf.DUMMYFUNCTION("""COMPUTED_VALUE"""),"Yes")</f>
        <v>Yes</v>
      </c>
      <c r="AU792" s="8">
        <f ca="1">IFERROR(__xludf.DUMMYFUNCTION("""COMPUTED_VALUE"""),35.226615)</f>
        <v>35.226615000000002</v>
      </c>
      <c r="AV792" s="8">
        <f ca="1">IFERROR(__xludf.DUMMYFUNCTION("""COMPUTED_VALUE"""),-101.823084)</f>
        <v>-101.82308399999999</v>
      </c>
      <c r="AW792" s="8"/>
      <c r="AX792" s="8">
        <f ca="1">IFERROR(__xludf.DUMMYFUNCTION("""COMPUTED_VALUE"""),79107)</f>
        <v>79107</v>
      </c>
    </row>
    <row r="793" spans="1:50" ht="105" x14ac:dyDescent="0.2">
      <c r="A793" s="8" t="str">
        <f ca="1">IFERROR(__xludf.DUMMYFUNCTION("""COMPUTED_VALUE"""),"20230306NYPAN")</f>
        <v>20230306NYPAN</v>
      </c>
      <c r="B793" s="8">
        <f ca="1">IFERROR(__xludf.DUMMYFUNCTION("""COMPUTED_VALUE"""),3)</f>
        <v>3</v>
      </c>
      <c r="C793" s="8">
        <f ca="1">IFERROR(__xludf.DUMMYFUNCTION("""COMPUTED_VALUE"""),6)</f>
        <v>6</v>
      </c>
      <c r="D793" s="8">
        <f ca="1">IFERROR(__xludf.DUMMYFUNCTION("""COMPUTED_VALUE"""),2023)</f>
        <v>2023</v>
      </c>
      <c r="E793" s="9">
        <f ca="1">IFERROR(__xludf.DUMMYFUNCTION("""COMPUTED_VALUE"""),44991)</f>
        <v>44991</v>
      </c>
      <c r="F793" s="8" t="str">
        <f ca="1">IFERROR(__xludf.DUMMYFUNCTION("""COMPUTED_VALUE"""),"Park West High School")</f>
        <v>Park West High School</v>
      </c>
      <c r="G793" s="8">
        <f ca="1">IFERROR(__xludf.DUMMYFUNCTION("""COMPUTED_VALUE"""),0)</f>
        <v>0</v>
      </c>
      <c r="H793" s="8">
        <f ca="1">IFERROR(__xludf.DUMMYFUNCTION("""COMPUTED_VALUE"""),1)</f>
        <v>1</v>
      </c>
      <c r="I793" s="8">
        <f ca="1">IFERROR(__xludf.DUMMYFUNCTION("""COMPUTED_VALUE"""),1)</f>
        <v>1</v>
      </c>
      <c r="J793" s="8">
        <f ca="1">IFERROR(__xludf.DUMMYFUNCTION("""COMPUTED_VALUE"""),0)</f>
        <v>0</v>
      </c>
      <c r="K793" s="10" t="str">
        <f ca="1">IFERROR(__xludf.DUMMYFUNCTION("""COMPUTED_VALUE"""),"https://nypost.com/2023/03/07/15-year-old-shot-outside-nycs-park-west-high-school/")</f>
        <v>https://nypost.com/2023/03/07/15-year-old-shot-outside-nycs-park-west-high-school/</v>
      </c>
      <c r="L793" s="8">
        <f ca="1">IFERROR(__xludf.DUMMYFUNCTION("""COMPUTED_VALUE"""),1)</f>
        <v>1</v>
      </c>
      <c r="M793" s="8" t="str">
        <f ca="1">IFERROR(__xludf.DUMMYFUNCTION("""COMPUTED_VALUE"""),"Local")</f>
        <v>Local</v>
      </c>
      <c r="N793" s="8">
        <f ca="1">IFERROR(__xludf.DUMMYFUNCTION("""COMPUTED_VALUE"""),3)</f>
        <v>3</v>
      </c>
      <c r="O793" s="8" t="str">
        <f ca="1">IFERROR(__xludf.DUMMYFUNCTION("""COMPUTED_VALUE"""),"Spring")</f>
        <v>Spring</v>
      </c>
      <c r="P793" s="8" t="str">
        <f ca="1">IFERROR(__xludf.DUMMYFUNCTION("""COMPUTED_VALUE"""),"New York")</f>
        <v>New York</v>
      </c>
      <c r="Q793" s="8" t="str">
        <f ca="1">IFERROR(__xludf.DUMMYFUNCTION("""COMPUTED_VALUE"""),"NY")</f>
        <v>NY</v>
      </c>
      <c r="R793" s="8" t="str">
        <f ca="1">IFERROR(__xludf.DUMMYFUNCTION("""COMPUTED_VALUE"""),"High")</f>
        <v>High</v>
      </c>
      <c r="S793" s="8" t="str">
        <f ca="1">IFERROR(__xludf.DUMMYFUNCTION("""COMPUTED_VALUE"""),"Front of School")</f>
        <v>Front of School</v>
      </c>
      <c r="T793" s="8" t="str">
        <f ca="1">IFERROR(__xludf.DUMMYFUNCTION("""COMPUTED_VALUE"""),"Outside on School Property")</f>
        <v>Outside on School Property</v>
      </c>
      <c r="U793" s="8" t="str">
        <f ca="1">IFERROR(__xludf.DUMMYFUNCTION("""COMPUTED_VALUE"""),"Yes")</f>
        <v>Yes</v>
      </c>
      <c r="V793" s="8" t="str">
        <f ca="1">IFERROR(__xludf.DUMMYFUNCTION("""COMPUTED_VALUE"""),"Dismissal")</f>
        <v>Dismissal</v>
      </c>
      <c r="W793" s="11">
        <f ca="1">IFERROR(__xludf.DUMMYFUNCTION("""COMPUTED_VALUE"""),0.625)</f>
        <v>0.625</v>
      </c>
      <c r="X793" s="8">
        <f ca="1">IFERROR(__xludf.DUMMYFUNCTION("""COMPUTED_VALUE"""),1)</f>
        <v>1</v>
      </c>
      <c r="Y793" s="12" t="str">
        <f ca="1">IFERROR(__xludf.DUMMYFUNCTION("""COMPUTED_VALUE"""),"Student shot in the back at dismissal")</f>
        <v>Student shot in the back at dismissal</v>
      </c>
      <c r="Z793" s="12" t="str">
        <f ca="1">IFERROR(__xludf.DUMMYFUNCTION("""COMPUTED_VALUE"""),"A 15-year-old boy was shot in the back near a Hell’s Kitchen high school Monday right after dismissal, although he didn’t go to a hospital for treatment until 10 hours later, cops said Tuesday. The teen — who has been “highly uncooperative” with cops — wa"&amp;"s shot near Park West High School at 534 W. 50th St. in Manhattan just after 3 p.m., police said.")</f>
        <v>A 15-year-old boy was shot in the back near a Hell’s Kitchen high school Monday right after dismissal, although he didn’t go to a hospital for treatment until 10 hours later, cops said Tuesday. The teen — who has been “highly uncooperative” with cops — was shot near Park West High School at 534 W. 50th St. in Manhattan just after 3 p.m., police said.</v>
      </c>
      <c r="AA793" s="8"/>
      <c r="AB793" s="8"/>
      <c r="AC793" s="8" t="str">
        <f ca="1">IFERROR(__xludf.DUMMYFUNCTION("""COMPUTED_VALUE"""),"Yes")</f>
        <v>Yes</v>
      </c>
      <c r="AD793" s="8" t="str">
        <f ca="1">IFERROR(__xludf.DUMMYFUNCTION("""COMPUTED_VALUE"""),"Victims Targeted")</f>
        <v>Victims Targeted</v>
      </c>
      <c r="AE793" s="8"/>
      <c r="AF793" s="8"/>
      <c r="AG793" s="8" t="str">
        <f ca="1">IFERROR(__xludf.DUMMYFUNCTION("""COMPUTED_VALUE"""),"No")</f>
        <v>No</v>
      </c>
      <c r="AH793" s="8" t="str">
        <f ca="1">IFERROR(__xludf.DUMMYFUNCTION("""COMPUTED_VALUE"""),"No")</f>
        <v>No</v>
      </c>
      <c r="AI793" s="8" t="str">
        <f ca="1">IFERROR(__xludf.DUMMYFUNCTION("""COMPUTED_VALUE"""),"No")</f>
        <v>No</v>
      </c>
      <c r="AJ793" s="8" t="str">
        <f ca="1">IFERROR(__xludf.DUMMYFUNCTION("""COMPUTED_VALUE"""),"No")</f>
        <v>No</v>
      </c>
      <c r="AK793" s="8" t="str">
        <f ca="1">IFERROR(__xludf.DUMMYFUNCTION("""COMPUTED_VALUE"""),"No")</f>
        <v>No</v>
      </c>
      <c r="AL793" s="8"/>
      <c r="AM793" s="8" t="str">
        <f ca="1">IFERROR(__xludf.DUMMYFUNCTION("""COMPUTED_VALUE"""),"No")</f>
        <v>No</v>
      </c>
      <c r="AN793" s="8" t="str">
        <f ca="1">IFERROR(__xludf.DUMMYFUNCTION("""COMPUTED_VALUE"""),"Outside")</f>
        <v>Outside</v>
      </c>
      <c r="AO793" s="8" t="str">
        <f ca="1">IFERROR(__xludf.DUMMYFUNCTION("""COMPUTED_VALUE"""),"No")</f>
        <v>No</v>
      </c>
      <c r="AP793" s="8"/>
      <c r="AQ793" s="8"/>
      <c r="AR793" s="8" t="str">
        <f ca="1">IFERROR(__xludf.DUMMYFUNCTION("""COMPUTED_VALUE"""),"Outside/Off-Property")</f>
        <v>Outside/Off-Property</v>
      </c>
      <c r="AS793" s="8">
        <f ca="1">IFERROR(__xludf.DUMMYFUNCTION("""COMPUTED_VALUE"""),1)</f>
        <v>1</v>
      </c>
      <c r="AT793" s="8"/>
      <c r="AU793" s="8">
        <f ca="1">IFERROR(__xludf.DUMMYFUNCTION("""COMPUTED_VALUE"""),40.76518)</f>
        <v>40.765180000000001</v>
      </c>
      <c r="AV793" s="8">
        <f ca="1">IFERROR(__xludf.DUMMYFUNCTION("""COMPUTED_VALUE"""),-73.992965)</f>
        <v>-73.992964999999998</v>
      </c>
      <c r="AW793" s="8"/>
      <c r="AX793" s="8">
        <f ca="1">IFERROR(__xludf.DUMMYFUNCTION("""COMPUTED_VALUE"""),10019)</f>
        <v>10019</v>
      </c>
    </row>
    <row r="794" spans="1:50" ht="120" x14ac:dyDescent="0.2">
      <c r="A794" s="8" t="str">
        <f ca="1">IFERROR(__xludf.DUMMYFUNCTION("""COMPUTED_VALUE"""),"20230306MISTR")</f>
        <v>20230306MISTR</v>
      </c>
      <c r="B794" s="8">
        <f ca="1">IFERROR(__xludf.DUMMYFUNCTION("""COMPUTED_VALUE"""),3)</f>
        <v>3</v>
      </c>
      <c r="C794" s="8">
        <f ca="1">IFERROR(__xludf.DUMMYFUNCTION("""COMPUTED_VALUE"""),6)</f>
        <v>6</v>
      </c>
      <c r="D794" s="8">
        <f ca="1">IFERROR(__xludf.DUMMYFUNCTION("""COMPUTED_VALUE"""),2023)</f>
        <v>2023</v>
      </c>
      <c r="E794" s="9">
        <f ca="1">IFERROR(__xludf.DUMMYFUNCTION("""COMPUTED_VALUE"""),44991)</f>
        <v>44991</v>
      </c>
      <c r="F794" s="8" t="str">
        <f ca="1">IFERROR(__xludf.DUMMYFUNCTION("""COMPUTED_VALUE"""),"Steeland Elementary School")</f>
        <v>Steeland Elementary School</v>
      </c>
      <c r="G794" s="8">
        <f ca="1">IFERROR(__xludf.DUMMYFUNCTION("""COMPUTED_VALUE"""),0)</f>
        <v>0</v>
      </c>
      <c r="H794" s="8">
        <f ca="1">IFERROR(__xludf.DUMMYFUNCTION("""COMPUTED_VALUE"""),1)</f>
        <v>1</v>
      </c>
      <c r="I794" s="8">
        <f ca="1">IFERROR(__xludf.DUMMYFUNCTION("""COMPUTED_VALUE"""),1)</f>
        <v>1</v>
      </c>
      <c r="J794" s="8">
        <f ca="1">IFERROR(__xludf.DUMMYFUNCTION("""COMPUTED_VALUE"""),0)</f>
        <v>0</v>
      </c>
      <c r="K794" s="8" t="str">
        <f ca="1">IFERROR(__xludf.DUMMYFUNCTION("""COMPUTED_VALUE"""),"https://www.wxyz.com/news/rosevilles-steenland-elementary-locked-down-due-to-shooting-outside-school
https://www.macombdaily.com/2023/03/06/one-injured-in-shooting-outside-roseville-elementary-school/")</f>
        <v>https://www.wxyz.com/news/rosevilles-steenland-elementary-locked-down-due-to-shooting-outside-school
https://www.macombdaily.com/2023/03/06/one-injured-in-shooting-outside-roseville-elementary-school/</v>
      </c>
      <c r="L794" s="8">
        <f ca="1">IFERROR(__xludf.DUMMYFUNCTION("""COMPUTED_VALUE"""),10)</f>
        <v>10</v>
      </c>
      <c r="M794" s="8" t="str">
        <f ca="1">IFERROR(__xludf.DUMMYFUNCTION("""COMPUTED_VALUE"""),"Regional")</f>
        <v>Regional</v>
      </c>
      <c r="N794" s="8">
        <f ca="1">IFERROR(__xludf.DUMMYFUNCTION("""COMPUTED_VALUE"""),4)</f>
        <v>4</v>
      </c>
      <c r="O794" s="8" t="str">
        <f ca="1">IFERROR(__xludf.DUMMYFUNCTION("""COMPUTED_VALUE"""),"Spring")</f>
        <v>Spring</v>
      </c>
      <c r="P794" s="8" t="str">
        <f ca="1">IFERROR(__xludf.DUMMYFUNCTION("""COMPUTED_VALUE"""),"Roseville")</f>
        <v>Roseville</v>
      </c>
      <c r="Q794" s="8" t="str">
        <f ca="1">IFERROR(__xludf.DUMMYFUNCTION("""COMPUTED_VALUE"""),"MI")</f>
        <v>MI</v>
      </c>
      <c r="R794" s="8" t="str">
        <f ca="1">IFERROR(__xludf.DUMMYFUNCTION("""COMPUTED_VALUE"""),"Elementary")</f>
        <v>Elementary</v>
      </c>
      <c r="S794" s="8" t="str">
        <f ca="1">IFERROR(__xludf.DUMMYFUNCTION("""COMPUTED_VALUE"""),"Front of School")</f>
        <v>Front of School</v>
      </c>
      <c r="T794" s="8" t="str">
        <f ca="1">IFERROR(__xludf.DUMMYFUNCTION("""COMPUTED_VALUE"""),"Outside on School Property")</f>
        <v>Outside on School Property</v>
      </c>
      <c r="U794" s="8" t="str">
        <f ca="1">IFERROR(__xludf.DUMMYFUNCTION("""COMPUTED_VALUE"""),"Yes")</f>
        <v>Yes</v>
      </c>
      <c r="V794" s="8" t="str">
        <f ca="1">IFERROR(__xludf.DUMMYFUNCTION("""COMPUTED_VALUE"""),"Afternoon Classes")</f>
        <v>Afternoon Classes</v>
      </c>
      <c r="W794" s="11">
        <f ca="1">IFERROR(__xludf.DUMMYFUNCTION("""COMPUTED_VALUE"""),0.631944444444444)</f>
        <v>0.63194444444444398</v>
      </c>
      <c r="X794" s="8">
        <f ca="1">IFERROR(__xludf.DUMMYFUNCTION("""COMPUTED_VALUE"""),1)</f>
        <v>1</v>
      </c>
      <c r="Y794" s="12" t="str">
        <f ca="1">IFERROR(__xludf.DUMMYFUNCTION("""COMPUTED_VALUE"""),"Expelled 13-year-old student was on campus, parent tried to stop teen from engaging students in altercations and was shot twice")</f>
        <v>Expelled 13-year-old student was on campus, parent tried to stop teen from engaging students in altercations and was shot twice</v>
      </c>
      <c r="Z794" s="12" t="str">
        <f ca="1">IFERROR(__xludf.DUMMYFUNCTION("""COMPUTED_VALUE"""),"Suspended student was on campus, parent tried to stop teen from engaging students in altercations and was shot twice. Neighborning middle and elementary schools were both locked down. Shooter fled and was arrested. 13-year-old was given the gun by a 19-ye"&amp;"ar-old with two prior weapons charges.")</f>
        <v>Suspended student was on campus, parent tried to stop teen from engaging students in altercations and was shot twice. Neighborning middle and elementary schools were both locked down. Shooter fled and was arrested. 13-year-old was given the gun by a 19-year-old with two prior weapons charges.</v>
      </c>
      <c r="AA794" s="8"/>
      <c r="AB794" s="8"/>
      <c r="AC794" s="8" t="str">
        <f ca="1">IFERROR(__xludf.DUMMYFUNCTION("""COMPUTED_VALUE"""),"Yes")</f>
        <v>Yes</v>
      </c>
      <c r="AD794" s="8" t="str">
        <f ca="1">IFERROR(__xludf.DUMMYFUNCTION("""COMPUTED_VALUE"""),"Victims Targeted")</f>
        <v>Victims Targeted</v>
      </c>
      <c r="AE794" s="8" t="str">
        <f ca="1">IFERROR(__xludf.DUMMYFUNCTION("""COMPUTED_VALUE"""),"No")</f>
        <v>No</v>
      </c>
      <c r="AF794" s="8"/>
      <c r="AG794" s="8" t="str">
        <f ca="1">IFERROR(__xludf.DUMMYFUNCTION("""COMPUTED_VALUE"""),"No")</f>
        <v>No</v>
      </c>
      <c r="AH794" s="8" t="str">
        <f ca="1">IFERROR(__xludf.DUMMYFUNCTION("""COMPUTED_VALUE"""),"No")</f>
        <v>No</v>
      </c>
      <c r="AI794" s="8" t="str">
        <f ca="1">IFERROR(__xludf.DUMMYFUNCTION("""COMPUTED_VALUE"""),"No")</f>
        <v>No</v>
      </c>
      <c r="AJ794" s="8" t="str">
        <f ca="1">IFERROR(__xludf.DUMMYFUNCTION("""COMPUTED_VALUE"""),"No")</f>
        <v>No</v>
      </c>
      <c r="AK794" s="8" t="str">
        <f ca="1">IFERROR(__xludf.DUMMYFUNCTION("""COMPUTED_VALUE"""),"No")</f>
        <v>No</v>
      </c>
      <c r="AL794" s="8"/>
      <c r="AM794" s="8" t="str">
        <f ca="1">IFERROR(__xludf.DUMMYFUNCTION("""COMPUTED_VALUE"""),"No")</f>
        <v>No</v>
      </c>
      <c r="AN794" s="8" t="str">
        <f ca="1">IFERROR(__xludf.DUMMYFUNCTION("""COMPUTED_VALUE"""),"Outside")</f>
        <v>Outside</v>
      </c>
      <c r="AO794" s="8" t="str">
        <f ca="1">IFERROR(__xludf.DUMMYFUNCTION("""COMPUTED_VALUE"""),"No")</f>
        <v>No</v>
      </c>
      <c r="AP794" s="8"/>
      <c r="AQ794" s="8"/>
      <c r="AR794" s="8" t="str">
        <f ca="1">IFERROR(__xludf.DUMMYFUNCTION("""COMPUTED_VALUE"""),"Outside/Off-Property")</f>
        <v>Outside/Off-Property</v>
      </c>
      <c r="AS794" s="8">
        <f ca="1">IFERROR(__xludf.DUMMYFUNCTION("""COMPUTED_VALUE"""),99)</f>
        <v>99</v>
      </c>
      <c r="AT794" s="8" t="str">
        <f ca="1">IFERROR(__xludf.DUMMYFUNCTION("""COMPUTED_VALUE"""),"Yes")</f>
        <v>Yes</v>
      </c>
      <c r="AU794" s="8">
        <f ca="1">IFERROR(__xludf.DUMMYFUNCTION("""COMPUTED_VALUE"""),42.498345)</f>
        <v>42.498345</v>
      </c>
      <c r="AV794" s="8">
        <f ca="1">IFERROR(__xludf.DUMMYFUNCTION("""COMPUTED_VALUE"""),-82.953091)</f>
        <v>-82.953091000000001</v>
      </c>
      <c r="AW794" s="8"/>
      <c r="AX794" s="8">
        <f ca="1">IFERROR(__xludf.DUMMYFUNCTION("""COMPUTED_VALUE"""),48066)</f>
        <v>48066</v>
      </c>
    </row>
    <row r="795" spans="1:50" ht="60" x14ac:dyDescent="0.2">
      <c r="A795" s="8" t="str">
        <f ca="1">IFERROR(__xludf.DUMMYFUNCTION("""COMPUTED_VALUE"""),"20230306MDPAB")</f>
        <v>20230306MDPAB</v>
      </c>
      <c r="B795" s="8">
        <f ca="1">IFERROR(__xludf.DUMMYFUNCTION("""COMPUTED_VALUE"""),3)</f>
        <v>3</v>
      </c>
      <c r="C795" s="8">
        <f ca="1">IFERROR(__xludf.DUMMYFUNCTION("""COMPUTED_VALUE"""),6)</f>
        <v>6</v>
      </c>
      <c r="D795" s="8">
        <f ca="1">IFERROR(__xludf.DUMMYFUNCTION("""COMPUTED_VALUE"""),2023)</f>
        <v>2023</v>
      </c>
      <c r="E795" s="9">
        <f ca="1">IFERROR(__xludf.DUMMYFUNCTION("""COMPUTED_VALUE"""),44991)</f>
        <v>44991</v>
      </c>
      <c r="F795" s="8" t="str">
        <f ca="1">IFERROR(__xludf.DUMMYFUNCTION("""COMPUTED_VALUE"""),"Patterson High School")</f>
        <v>Patterson High School</v>
      </c>
      <c r="G795" s="8">
        <f ca="1">IFERROR(__xludf.DUMMYFUNCTION("""COMPUTED_VALUE"""),1)</f>
        <v>1</v>
      </c>
      <c r="H795" s="8">
        <f ca="1">IFERROR(__xludf.DUMMYFUNCTION("""COMPUTED_VALUE"""),0)</f>
        <v>0</v>
      </c>
      <c r="I795" s="8">
        <f ca="1">IFERROR(__xludf.DUMMYFUNCTION("""COMPUTED_VALUE"""),1)</f>
        <v>1</v>
      </c>
      <c r="J795" s="8">
        <f ca="1">IFERROR(__xludf.DUMMYFUNCTION("""COMPUTED_VALUE"""),0)</f>
        <v>0</v>
      </c>
      <c r="K795" s="8" t="str">
        <f ca="1">IFERROR(__xludf.DUMMYFUNCTION("""COMPUTED_VALUE"""),"https://www.thebaltimorebanner.com/community/criminal-justice/teenager-shot-east-baltimore-park-VDR7SEYHGRHFTGNB4WNWBXAF2I/
https://www.wbaltv.com/article/patterson-high-school-student-killed-izaiah-carter-friend/43248899#")</f>
        <v>https://www.thebaltimorebanner.com/community/criminal-justice/teenager-shot-east-baltimore-park-VDR7SEYHGRHFTGNB4WNWBXAF2I/
https://www.wbaltv.com/article/patterson-high-school-student-killed-izaiah-carter-friend/43248899#</v>
      </c>
      <c r="L795" s="8">
        <f ca="1">IFERROR(__xludf.DUMMYFUNCTION("""COMPUTED_VALUE"""),20)</f>
        <v>20</v>
      </c>
      <c r="M795" s="8" t="str">
        <f ca="1">IFERROR(__xludf.DUMMYFUNCTION("""COMPUTED_VALUE"""),"Regional")</f>
        <v>Regional</v>
      </c>
      <c r="N795" s="8">
        <f ca="1">IFERROR(__xludf.DUMMYFUNCTION("""COMPUTED_VALUE"""),4)</f>
        <v>4</v>
      </c>
      <c r="O795" s="8" t="str">
        <f ca="1">IFERROR(__xludf.DUMMYFUNCTION("""COMPUTED_VALUE"""),"Spring")</f>
        <v>Spring</v>
      </c>
      <c r="P795" s="8" t="str">
        <f ca="1">IFERROR(__xludf.DUMMYFUNCTION("""COMPUTED_VALUE"""),"Baltimore")</f>
        <v>Baltimore</v>
      </c>
      <c r="Q795" s="8" t="str">
        <f ca="1">IFERROR(__xludf.DUMMYFUNCTION("""COMPUTED_VALUE"""),"MD")</f>
        <v>MD</v>
      </c>
      <c r="R795" s="8" t="str">
        <f ca="1">IFERROR(__xludf.DUMMYFUNCTION("""COMPUTED_VALUE"""),"High")</f>
        <v>High</v>
      </c>
      <c r="S795" s="8" t="str">
        <f ca="1">IFERROR(__xludf.DUMMYFUNCTION("""COMPUTED_VALUE"""),"Parking Lot")</f>
        <v>Parking Lot</v>
      </c>
      <c r="T795" s="8" t="str">
        <f ca="1">IFERROR(__xludf.DUMMYFUNCTION("""COMPUTED_VALUE"""),"Outside on School Property")</f>
        <v>Outside on School Property</v>
      </c>
      <c r="U795" s="8" t="str">
        <f ca="1">IFERROR(__xludf.DUMMYFUNCTION("""COMPUTED_VALUE"""),"Yes")</f>
        <v>Yes</v>
      </c>
      <c r="V795" s="8" t="str">
        <f ca="1">IFERROR(__xludf.DUMMYFUNCTION("""COMPUTED_VALUE"""),"Afternoon Classes")</f>
        <v>Afternoon Classes</v>
      </c>
      <c r="W795" s="11">
        <f ca="1">IFERROR(__xludf.DUMMYFUNCTION("""COMPUTED_VALUE"""),0.583333333333333)</f>
        <v>0.58333333333333304</v>
      </c>
      <c r="X795" s="8">
        <f ca="1">IFERROR(__xludf.DUMMYFUNCTION("""COMPUTED_VALUE"""),1)</f>
        <v>1</v>
      </c>
      <c r="Y795" s="12" t="str">
        <f ca="1">IFERROR(__xludf.DUMMYFUNCTION("""COMPUTED_VALUE"""),"Student shot in the head during afternoon classes outside the building")</f>
        <v>Student shot in the head during afternoon classes outside the building</v>
      </c>
      <c r="Z795" s="12" t="str">
        <f ca="1">IFERROR(__xludf.DUMMYFUNCTION("""COMPUTED_VALUE"""),"Student was fatally shot in the head near the track and baseball fields during afternoon classes. School went on lockdown and dismissal was delayed. Group of teens ran from the scene. Shooter fled and has not been identified.")</f>
        <v>Student was fatally shot in the head near the track and baseball fields during afternoon classes. School went on lockdown and dismissal was delayed. Group of teens ran from the scene. Shooter fled and has not been identified.</v>
      </c>
      <c r="AA795" s="8" t="str">
        <f ca="1">IFERROR(__xludf.DUMMYFUNCTION("""COMPUTED_VALUE"""),"Escalation of Dispute")</f>
        <v>Escalation of Dispute</v>
      </c>
      <c r="AB795" s="8"/>
      <c r="AC795" s="8" t="str">
        <f ca="1">IFERROR(__xludf.DUMMYFUNCTION("""COMPUTED_VALUE"""),"Yes")</f>
        <v>Yes</v>
      </c>
      <c r="AD795" s="8" t="str">
        <f ca="1">IFERROR(__xludf.DUMMYFUNCTION("""COMPUTED_VALUE"""),"Victims Targeted")</f>
        <v>Victims Targeted</v>
      </c>
      <c r="AE795" s="8"/>
      <c r="AF795" s="8"/>
      <c r="AG795" s="8" t="str">
        <f ca="1">IFERROR(__xludf.DUMMYFUNCTION("""COMPUTED_VALUE"""),"No")</f>
        <v>No</v>
      </c>
      <c r="AH795" s="8" t="str">
        <f ca="1">IFERROR(__xludf.DUMMYFUNCTION("""COMPUTED_VALUE"""),"No")</f>
        <v>No</v>
      </c>
      <c r="AI795" s="8" t="str">
        <f ca="1">IFERROR(__xludf.DUMMYFUNCTION("""COMPUTED_VALUE"""),"No")</f>
        <v>No</v>
      </c>
      <c r="AJ795" s="8" t="str">
        <f ca="1">IFERROR(__xludf.DUMMYFUNCTION("""COMPUTED_VALUE"""),"Yes")</f>
        <v>Yes</v>
      </c>
      <c r="AK795" s="8" t="str">
        <f ca="1">IFERROR(__xludf.DUMMYFUNCTION("""COMPUTED_VALUE"""),"No")</f>
        <v>No</v>
      </c>
      <c r="AL795" s="8"/>
      <c r="AM795" s="8" t="str">
        <f ca="1">IFERROR(__xludf.DUMMYFUNCTION("""COMPUTED_VALUE"""),"No")</f>
        <v>No</v>
      </c>
      <c r="AN795" s="8" t="str">
        <f ca="1">IFERROR(__xludf.DUMMYFUNCTION("""COMPUTED_VALUE"""),"Outside")</f>
        <v>Outside</v>
      </c>
      <c r="AO795" s="8" t="str">
        <f ca="1">IFERROR(__xludf.DUMMYFUNCTION("""COMPUTED_VALUE"""),"No")</f>
        <v>No</v>
      </c>
      <c r="AP795" s="8"/>
      <c r="AQ795" s="8"/>
      <c r="AR795" s="8" t="str">
        <f ca="1">IFERROR(__xludf.DUMMYFUNCTION("""COMPUTED_VALUE"""),"Outside/Off-Property")</f>
        <v>Outside/Off-Property</v>
      </c>
      <c r="AS795" s="8">
        <f ca="1">IFERROR(__xludf.DUMMYFUNCTION("""COMPUTED_VALUE"""),99)</f>
        <v>99</v>
      </c>
      <c r="AT795" s="8" t="str">
        <f ca="1">IFERROR(__xludf.DUMMYFUNCTION("""COMPUTED_VALUE"""),"Yes")</f>
        <v>Yes</v>
      </c>
      <c r="AU795" s="8">
        <f ca="1">IFERROR(__xludf.DUMMYFUNCTION("""COMPUTED_VALUE"""),39.292601)</f>
        <v>39.292600999999998</v>
      </c>
      <c r="AV795" s="8">
        <f ca="1">IFERROR(__xludf.DUMMYFUNCTION("""COMPUTED_VALUE"""),-76.540269)</f>
        <v>-76.540268999999995</v>
      </c>
      <c r="AW795" s="8"/>
      <c r="AX795" s="8">
        <f ca="1">IFERROR(__xludf.DUMMYFUNCTION("""COMPUTED_VALUE"""),21224)</f>
        <v>21224</v>
      </c>
    </row>
    <row r="796" spans="1:50" ht="75" x14ac:dyDescent="0.2">
      <c r="A796" s="8" t="str">
        <f ca="1">IFERROR(__xludf.DUMMYFUNCTION("""COMPUTED_VALUE"""),"20230306MDLEB")</f>
        <v>20230306MDLEB</v>
      </c>
      <c r="B796" s="8">
        <f ca="1">IFERROR(__xludf.DUMMYFUNCTION("""COMPUTED_VALUE"""),3)</f>
        <v>3</v>
      </c>
      <c r="C796" s="8">
        <f ca="1">IFERROR(__xludf.DUMMYFUNCTION("""COMPUTED_VALUE"""),6)</f>
        <v>6</v>
      </c>
      <c r="D796" s="8">
        <f ca="1">IFERROR(__xludf.DUMMYFUNCTION("""COMPUTED_VALUE"""),2023)</f>
        <v>2023</v>
      </c>
      <c r="E796" s="9">
        <f ca="1">IFERROR(__xludf.DUMMYFUNCTION("""COMPUTED_VALUE"""),44991)</f>
        <v>44991</v>
      </c>
      <c r="F796" s="8" t="str">
        <f ca="1">IFERROR(__xludf.DUMMYFUNCTION("""COMPUTED_VALUE"""),"Leith Walk Elementary\Middle School")</f>
        <v>Leith Walk Elementary\Middle School</v>
      </c>
      <c r="G796" s="8">
        <f ca="1">IFERROR(__xludf.DUMMYFUNCTION("""COMPUTED_VALUE"""),0)</f>
        <v>0</v>
      </c>
      <c r="H796" s="8">
        <f ca="1">IFERROR(__xludf.DUMMYFUNCTION("""COMPUTED_VALUE"""),0)</f>
        <v>0</v>
      </c>
      <c r="I796" s="8">
        <f ca="1">IFERROR(__xludf.DUMMYFUNCTION("""COMPUTED_VALUE"""),0)</f>
        <v>0</v>
      </c>
      <c r="J796" s="8">
        <f ca="1">IFERROR(__xludf.DUMMYFUNCTION("""COMPUTED_VALUE"""),0)</f>
        <v>0</v>
      </c>
      <c r="K796" s="8" t="str">
        <f ca="1">IFERROR(__xludf.DUMMYFUNCTION("""COMPUTED_VALUE"""),"https://www.wbaltv.com/article/shots-fired-basketball-court-leith-walk-school-baltimore/43221906
https://archive.is/un0WT")</f>
        <v>https://www.wbaltv.com/article/shots-fired-basketball-court-leith-walk-school-baltimore/43221906
https://archive.is/un0WT</v>
      </c>
      <c r="L796" s="8">
        <f ca="1">IFERROR(__xludf.DUMMYFUNCTION("""COMPUTED_VALUE"""),5)</f>
        <v>5</v>
      </c>
      <c r="M796" s="8" t="str">
        <f ca="1">IFERROR(__xludf.DUMMYFUNCTION("""COMPUTED_VALUE"""),"Local")</f>
        <v>Local</v>
      </c>
      <c r="N796" s="8">
        <f ca="1">IFERROR(__xludf.DUMMYFUNCTION("""COMPUTED_VALUE"""),4)</f>
        <v>4</v>
      </c>
      <c r="O796" s="8" t="str">
        <f ca="1">IFERROR(__xludf.DUMMYFUNCTION("""COMPUTED_VALUE"""),"Spring")</f>
        <v>Spring</v>
      </c>
      <c r="P796" s="8" t="str">
        <f ca="1">IFERROR(__xludf.DUMMYFUNCTION("""COMPUTED_VALUE"""),"Baltimore")</f>
        <v>Baltimore</v>
      </c>
      <c r="Q796" s="8" t="str">
        <f ca="1">IFERROR(__xludf.DUMMYFUNCTION("""COMPUTED_VALUE"""),"MD")</f>
        <v>MD</v>
      </c>
      <c r="R796" s="8" t="str">
        <f ca="1">IFERROR(__xludf.DUMMYFUNCTION("""COMPUTED_VALUE"""),"K-8")</f>
        <v>K-8</v>
      </c>
      <c r="S796" s="8" t="str">
        <f ca="1">IFERROR(__xludf.DUMMYFUNCTION("""COMPUTED_VALUE"""),"Basketball Court")</f>
        <v>Basketball Court</v>
      </c>
      <c r="T796" s="8" t="str">
        <f ca="1">IFERROR(__xludf.DUMMYFUNCTION("""COMPUTED_VALUE"""),"Outside on School Property")</f>
        <v>Outside on School Property</v>
      </c>
      <c r="U796" s="8" t="str">
        <f ca="1">IFERROR(__xludf.DUMMYFUNCTION("""COMPUTED_VALUE"""),"No")</f>
        <v>No</v>
      </c>
      <c r="V796" s="8" t="str">
        <f ca="1">IFERROR(__xludf.DUMMYFUNCTION("""COMPUTED_VALUE"""),"Sport Event")</f>
        <v>Sport Event</v>
      </c>
      <c r="W796" s="11">
        <f ca="1">IFERROR(__xludf.DUMMYFUNCTION("""COMPUTED_VALUE"""),0.701388888888888)</f>
        <v>0.70138888888888795</v>
      </c>
      <c r="X796" s="8">
        <f ca="1">IFERROR(__xludf.DUMMYFUNCTION("""COMPUTED_VALUE"""),1)</f>
        <v>1</v>
      </c>
      <c r="Y796" s="12" t="str">
        <f ca="1">IFERROR(__xludf.DUMMYFUNCTION("""COMPUTED_VALUE"""),"Parent pointed gun at another parent during argument at youth basketball game")</f>
        <v>Parent pointed gun at another parent during argument at youth basketball game</v>
      </c>
      <c r="Z796" s="12" t="str">
        <f ca="1">IFERROR(__xludf.DUMMYFUNCTION("""COMPUTED_VALUE"""),"Parent pointed gun at another parent during argument at youth basketball game. Police responded for reported shots fired but determine that no shots were fired.")</f>
        <v>Parent pointed gun at another parent during argument at youth basketball game. Police responded for reported shots fired but determine that no shots were fired.</v>
      </c>
      <c r="AA796" s="8" t="str">
        <f ca="1">IFERROR(__xludf.DUMMYFUNCTION("""COMPUTED_VALUE"""),"Escalation of Dispute")</f>
        <v>Escalation of Dispute</v>
      </c>
      <c r="AB796" s="8"/>
      <c r="AC796" s="8" t="str">
        <f ca="1">IFERROR(__xludf.DUMMYFUNCTION("""COMPUTED_VALUE"""),"Yes")</f>
        <v>Yes</v>
      </c>
      <c r="AD796" s="8" t="str">
        <f ca="1">IFERROR(__xludf.DUMMYFUNCTION("""COMPUTED_VALUE"""),"Victims Targeted")</f>
        <v>Victims Targeted</v>
      </c>
      <c r="AE796" s="8" t="str">
        <f ca="1">IFERROR(__xludf.DUMMYFUNCTION("""COMPUTED_VALUE"""),"No")</f>
        <v>No</v>
      </c>
      <c r="AF796" s="8"/>
      <c r="AG796" s="8" t="str">
        <f ca="1">IFERROR(__xludf.DUMMYFUNCTION("""COMPUTED_VALUE"""),"No")</f>
        <v>No</v>
      </c>
      <c r="AH796" s="8" t="str">
        <f ca="1">IFERROR(__xludf.DUMMYFUNCTION("""COMPUTED_VALUE"""),"No")</f>
        <v>No</v>
      </c>
      <c r="AI796" s="8" t="str">
        <f ca="1">IFERROR(__xludf.DUMMYFUNCTION("""COMPUTED_VALUE"""),"No")</f>
        <v>No</v>
      </c>
      <c r="AJ796" s="8" t="str">
        <f ca="1">IFERROR(__xludf.DUMMYFUNCTION("""COMPUTED_VALUE"""),"No")</f>
        <v>No</v>
      </c>
      <c r="AK796" s="8" t="str">
        <f ca="1">IFERROR(__xludf.DUMMYFUNCTION("""COMPUTED_VALUE"""),"No")</f>
        <v>No</v>
      </c>
      <c r="AL796" s="8" t="str">
        <f ca="1">IFERROR(__xludf.DUMMYFUNCTION("""COMPUTED_VALUE"""),"No")</f>
        <v>No</v>
      </c>
      <c r="AM796" s="8" t="str">
        <f ca="1">IFERROR(__xludf.DUMMYFUNCTION("""COMPUTED_VALUE"""),"No")</f>
        <v>No</v>
      </c>
      <c r="AN796" s="8" t="str">
        <f ca="1">IFERROR(__xludf.DUMMYFUNCTION("""COMPUTED_VALUE"""),"Outside")</f>
        <v>Outside</v>
      </c>
      <c r="AO796" s="8" t="str">
        <f ca="1">IFERROR(__xludf.DUMMYFUNCTION("""COMPUTED_VALUE"""),"No")</f>
        <v>No</v>
      </c>
      <c r="AP796" s="8"/>
      <c r="AQ796" s="8"/>
      <c r="AR796" s="8" t="str">
        <f ca="1">IFERROR(__xludf.DUMMYFUNCTION("""COMPUTED_VALUE"""),"Outside/Off-Property")</f>
        <v>Outside/Off-Property</v>
      </c>
      <c r="AS796" s="8">
        <f ca="1">IFERROR(__xludf.DUMMYFUNCTION("""COMPUTED_VALUE"""),0)</f>
        <v>0</v>
      </c>
      <c r="AT796" s="8"/>
      <c r="AU796" s="8">
        <f ca="1">IFERROR(__xludf.DUMMYFUNCTION("""COMPUTED_VALUE"""),39.364959)</f>
        <v>39.364958999999999</v>
      </c>
      <c r="AV796" s="8">
        <f ca="1">IFERROR(__xludf.DUMMYFUNCTION("""COMPUTED_VALUE"""),-76.591131)</f>
        <v>-76.591131000000004</v>
      </c>
      <c r="AW796" s="8"/>
      <c r="AX796" s="8">
        <f ca="1">IFERROR(__xludf.DUMMYFUNCTION("""COMPUTED_VALUE"""),21239)</f>
        <v>21239</v>
      </c>
    </row>
    <row r="797" spans="1:50" ht="45" x14ac:dyDescent="0.2">
      <c r="A797" s="8" t="str">
        <f ca="1">IFERROR(__xludf.DUMMYFUNCTION("""COMPUTED_VALUE"""),"20230303MTGAL")</f>
        <v>20230303MTGAL</v>
      </c>
      <c r="B797" s="8">
        <f ca="1">IFERROR(__xludf.DUMMYFUNCTION("""COMPUTED_VALUE"""),3)</f>
        <v>3</v>
      </c>
      <c r="C797" s="8">
        <f ca="1">IFERROR(__xludf.DUMMYFUNCTION("""COMPUTED_VALUE"""),3)</f>
        <v>3</v>
      </c>
      <c r="D797" s="8">
        <f ca="1">IFERROR(__xludf.DUMMYFUNCTION("""COMPUTED_VALUE"""),2023)</f>
        <v>2023</v>
      </c>
      <c r="E797" s="9">
        <f ca="1">IFERROR(__xludf.DUMMYFUNCTION("""COMPUTED_VALUE"""),44988)</f>
        <v>44988</v>
      </c>
      <c r="F797" s="8" t="str">
        <f ca="1">IFERROR(__xludf.DUMMYFUNCTION("""COMPUTED_VALUE"""),"Garfield Elementary School")</f>
        <v>Garfield Elementary School</v>
      </c>
      <c r="G797" s="8">
        <f ca="1">IFERROR(__xludf.DUMMYFUNCTION("""COMPUTED_VALUE"""),0)</f>
        <v>0</v>
      </c>
      <c r="H797" s="8">
        <f ca="1">IFERROR(__xludf.DUMMYFUNCTION("""COMPUTED_VALUE"""),1)</f>
        <v>1</v>
      </c>
      <c r="I797" s="8">
        <f ca="1">IFERROR(__xludf.DUMMYFUNCTION("""COMPUTED_VALUE"""),1)</f>
        <v>1</v>
      </c>
      <c r="J797" s="8">
        <f ca="1">IFERROR(__xludf.DUMMYFUNCTION("""COMPUTED_VALUE"""),0)</f>
        <v>0</v>
      </c>
      <c r="K797" s="10" t="str">
        <f ca="1">IFERROR(__xludf.DUMMYFUNCTION("""COMPUTED_VALUE"""),"https://www.krtv.com/news/montana-and-regional-news/bb-gun-shots-result-in-brief-lock-down-at-lewistown-school
https://www.montanarightnow.com/great-falls/two-boys-detained-for-shooting-a-bb-gun-towards-a-lewistown-elementary-school/article_edf116c8-b9fc-"&amp;"11ed-b140-ebb2cc17b0c6.html")</f>
        <v>https://www.krtv.com/news/montana-and-regional-news/bb-gun-shots-result-in-brief-lock-down-at-lewistown-school
https://www.montanarightnow.com/great-falls/two-boys-detained-for-shooting-a-bb-gun-towards-a-lewistown-elementary-school/article_edf116c8-b9fc-11ed-b140-ebb2cc17b0c6.html</v>
      </c>
      <c r="L797" s="8">
        <f ca="1">IFERROR(__xludf.DUMMYFUNCTION("""COMPUTED_VALUE"""),5)</f>
        <v>5</v>
      </c>
      <c r="M797" s="8" t="str">
        <f ca="1">IFERROR(__xludf.DUMMYFUNCTION("""COMPUTED_VALUE"""),"Local")</f>
        <v>Local</v>
      </c>
      <c r="N797" s="8">
        <f ca="1">IFERROR(__xludf.DUMMYFUNCTION("""COMPUTED_VALUE"""),4)</f>
        <v>4</v>
      </c>
      <c r="O797" s="8" t="str">
        <f ca="1">IFERROR(__xludf.DUMMYFUNCTION("""COMPUTED_VALUE"""),"Spring")</f>
        <v>Spring</v>
      </c>
      <c r="P797" s="8" t="str">
        <f ca="1">IFERROR(__xludf.DUMMYFUNCTION("""COMPUTED_VALUE"""),"Lewistown")</f>
        <v>Lewistown</v>
      </c>
      <c r="Q797" s="8" t="str">
        <f ca="1">IFERROR(__xludf.DUMMYFUNCTION("""COMPUTED_VALUE"""),"MT")</f>
        <v>MT</v>
      </c>
      <c r="R797" s="8" t="str">
        <f ca="1">IFERROR(__xludf.DUMMYFUNCTION("""COMPUTED_VALUE"""),"Elementary")</f>
        <v>Elementary</v>
      </c>
      <c r="S797" s="8" t="str">
        <f ca="1">IFERROR(__xludf.DUMMYFUNCTION("""COMPUTED_VALUE"""),"Playground")</f>
        <v>Playground</v>
      </c>
      <c r="T797" s="8" t="str">
        <f ca="1">IFERROR(__xludf.DUMMYFUNCTION("""COMPUTED_VALUE"""),"Outside on School Property")</f>
        <v>Outside on School Property</v>
      </c>
      <c r="U797" s="8" t="str">
        <f ca="1">IFERROR(__xludf.DUMMYFUNCTION("""COMPUTED_VALUE"""),"Yes")</f>
        <v>Yes</v>
      </c>
      <c r="V797" s="8" t="str">
        <f ca="1">IFERROR(__xludf.DUMMYFUNCTION("""COMPUTED_VALUE"""),"Morning Classes")</f>
        <v>Morning Classes</v>
      </c>
      <c r="W797" s="11">
        <f ca="1">IFERROR(__xludf.DUMMYFUNCTION("""COMPUTED_VALUE"""),0.416666666666666)</f>
        <v>0.41666666666666602</v>
      </c>
      <c r="X797" s="8">
        <f ca="1">IFERROR(__xludf.DUMMYFUNCTION("""COMPUTED_VALUE"""),1)</f>
        <v>1</v>
      </c>
      <c r="Y797" s="12" t="str">
        <f ca="1">IFERROR(__xludf.DUMMYFUNCTION("""COMPUTED_VALUE"""),"Two minors fired BB guns at students on the playground")</f>
        <v>Two minors fired BB guns at students on the playground</v>
      </c>
      <c r="Z797" s="12" t="str">
        <f ca="1">IFERROR(__xludf.DUMMYFUNCTION("""COMPUTED_VALUE"""),"Two minors fired BB guns at students on the playground. Students ran inside and school went on lockdown. One staff member was injured. Both minors were arrested.")</f>
        <v>Two minors fired BB guns at students on the playground. Students ran inside and school went on lockdown. One staff member was injured. Both minors were arrested.</v>
      </c>
      <c r="AA797" s="8"/>
      <c r="AB797" s="8"/>
      <c r="AC797" s="8" t="str">
        <f ca="1">IFERROR(__xludf.DUMMYFUNCTION("""COMPUTED_VALUE"""),"Yes")</f>
        <v>Yes</v>
      </c>
      <c r="AD797" s="8" t="str">
        <f ca="1">IFERROR(__xludf.DUMMYFUNCTION("""COMPUTED_VALUE"""),"Random Shooting")</f>
        <v>Random Shooting</v>
      </c>
      <c r="AE797" s="8" t="str">
        <f ca="1">IFERROR(__xludf.DUMMYFUNCTION("""COMPUTED_VALUE"""),"Yes")</f>
        <v>Yes</v>
      </c>
      <c r="AF797" s="8" t="str">
        <f ca="1">IFERROR(__xludf.DUMMYFUNCTION("""COMPUTED_VALUE"""),"2 minors")</f>
        <v>2 minors</v>
      </c>
      <c r="AG797" s="8" t="str">
        <f ca="1">IFERROR(__xludf.DUMMYFUNCTION("""COMPUTED_VALUE"""),"No")</f>
        <v>No</v>
      </c>
      <c r="AH797" s="8" t="str">
        <f ca="1">IFERROR(__xludf.DUMMYFUNCTION("""COMPUTED_VALUE"""),"No")</f>
        <v>No</v>
      </c>
      <c r="AI797" s="8" t="str">
        <f ca="1">IFERROR(__xludf.DUMMYFUNCTION("""COMPUTED_VALUE"""),"No")</f>
        <v>No</v>
      </c>
      <c r="AJ797" s="8" t="str">
        <f ca="1">IFERROR(__xludf.DUMMYFUNCTION("""COMPUTED_VALUE"""),"No")</f>
        <v>No</v>
      </c>
      <c r="AK797" s="8" t="str">
        <f ca="1">IFERROR(__xludf.DUMMYFUNCTION("""COMPUTED_VALUE"""),"No")</f>
        <v>No</v>
      </c>
      <c r="AL797" s="8" t="str">
        <f ca="1">IFERROR(__xludf.DUMMYFUNCTION("""COMPUTED_VALUE"""),"No")</f>
        <v>No</v>
      </c>
      <c r="AM797" s="8" t="str">
        <f ca="1">IFERROR(__xludf.DUMMYFUNCTION("""COMPUTED_VALUE"""),"No")</f>
        <v>No</v>
      </c>
      <c r="AN797" s="8" t="str">
        <f ca="1">IFERROR(__xludf.DUMMYFUNCTION("""COMPUTED_VALUE"""),"Outside")</f>
        <v>Outside</v>
      </c>
      <c r="AO797" s="8" t="str">
        <f ca="1">IFERROR(__xludf.DUMMYFUNCTION("""COMPUTED_VALUE"""),"No")</f>
        <v>No</v>
      </c>
      <c r="AP797" s="8"/>
      <c r="AQ797" s="8"/>
      <c r="AR797" s="8" t="str">
        <f ca="1">IFERROR(__xludf.DUMMYFUNCTION("""COMPUTED_VALUE"""),"Outside/Off-Property")</f>
        <v>Outside/Off-Property</v>
      </c>
      <c r="AS797" s="8">
        <f ca="1">IFERROR(__xludf.DUMMYFUNCTION("""COMPUTED_VALUE"""),99)</f>
        <v>99</v>
      </c>
      <c r="AT797" s="8" t="str">
        <f ca="1">IFERROR(__xludf.DUMMYFUNCTION("""COMPUTED_VALUE"""),"Yes")</f>
        <v>Yes</v>
      </c>
      <c r="AU797" s="8">
        <f ca="1">IFERROR(__xludf.DUMMYFUNCTION("""COMPUTED_VALUE"""),47.070805)</f>
        <v>47.070805</v>
      </c>
      <c r="AV797" s="8">
        <f ca="1">IFERROR(__xludf.DUMMYFUNCTION("""COMPUTED_VALUE"""),-109.422303)</f>
        <v>-109.422303</v>
      </c>
      <c r="AW797" s="8"/>
      <c r="AX797" s="8">
        <f ca="1">IFERROR(__xludf.DUMMYFUNCTION("""COMPUTED_VALUE"""),59457)</f>
        <v>59457</v>
      </c>
    </row>
    <row r="798" spans="1:50" ht="90" x14ac:dyDescent="0.2">
      <c r="A798" s="8" t="str">
        <f ca="1">IFERROR(__xludf.DUMMYFUNCTION("""COMPUTED_VALUE"""),"20230301ILSAC")</f>
        <v>20230301ILSAC</v>
      </c>
      <c r="B798" s="8">
        <f ca="1">IFERROR(__xludf.DUMMYFUNCTION("""COMPUTED_VALUE"""),3)</f>
        <v>3</v>
      </c>
      <c r="C798" s="8">
        <f ca="1">IFERROR(__xludf.DUMMYFUNCTION("""COMPUTED_VALUE"""),1)</f>
        <v>1</v>
      </c>
      <c r="D798" s="8">
        <f ca="1">IFERROR(__xludf.DUMMYFUNCTION("""COMPUTED_VALUE"""),2023)</f>
        <v>2023</v>
      </c>
      <c r="E798" s="9">
        <f ca="1">IFERROR(__xludf.DUMMYFUNCTION("""COMPUTED_VALUE"""),44986)</f>
        <v>44986</v>
      </c>
      <c r="F798" s="8" t="str">
        <f ca="1">IFERROR(__xludf.DUMMYFUNCTION("""COMPUTED_VALUE"""),"Sawyer Elementary School")</f>
        <v>Sawyer Elementary School</v>
      </c>
      <c r="G798" s="8">
        <f ca="1">IFERROR(__xludf.DUMMYFUNCTION("""COMPUTED_VALUE"""),1)</f>
        <v>1</v>
      </c>
      <c r="H798" s="8">
        <f ca="1">IFERROR(__xludf.DUMMYFUNCTION("""COMPUTED_VALUE"""),0)</f>
        <v>0</v>
      </c>
      <c r="I798" s="8">
        <f ca="1">IFERROR(__xludf.DUMMYFUNCTION("""COMPUTED_VALUE"""),1)</f>
        <v>1</v>
      </c>
      <c r="J798" s="8">
        <f ca="1">IFERROR(__xludf.DUMMYFUNCTION("""COMPUTED_VALUE"""),0)</f>
        <v>0</v>
      </c>
      <c r="K798" s="10" t="str">
        <f ca="1">IFERROR(__xludf.DUMMYFUNCTION("""COMPUTED_VALUE"""),"https://chicago.suntimes.com/crime/2023/3/2/23622163/andres-vasquez-lasso-chicago-police-officer-slain-kids-sawyer-elementary-gage-park")</f>
        <v>https://chicago.suntimes.com/crime/2023/3/2/23622163/andres-vasquez-lasso-chicago-police-officer-slain-kids-sawyer-elementary-gage-park</v>
      </c>
      <c r="L798" s="8">
        <f ca="1">IFERROR(__xludf.DUMMYFUNCTION("""COMPUTED_VALUE"""),50)</f>
        <v>50</v>
      </c>
      <c r="M798" s="8" t="str">
        <f ca="1">IFERROR(__xludf.DUMMYFUNCTION("""COMPUTED_VALUE"""),"Regional")</f>
        <v>Regional</v>
      </c>
      <c r="N798" s="8">
        <f ca="1">IFERROR(__xludf.DUMMYFUNCTION("""COMPUTED_VALUE"""),4)</f>
        <v>4</v>
      </c>
      <c r="O798" s="8" t="str">
        <f ca="1">IFERROR(__xludf.DUMMYFUNCTION("""COMPUTED_VALUE"""),"Spring")</f>
        <v>Spring</v>
      </c>
      <c r="P798" s="8" t="str">
        <f ca="1">IFERROR(__xludf.DUMMYFUNCTION("""COMPUTED_VALUE"""),"Chicago")</f>
        <v>Chicago</v>
      </c>
      <c r="Q798" s="8" t="str">
        <f ca="1">IFERROR(__xludf.DUMMYFUNCTION("""COMPUTED_VALUE"""),"IL")</f>
        <v>IL</v>
      </c>
      <c r="R798" s="8" t="str">
        <f ca="1">IFERROR(__xludf.DUMMYFUNCTION("""COMPUTED_VALUE"""),"Elementary")</f>
        <v>Elementary</v>
      </c>
      <c r="S798" s="8" t="str">
        <f ca="1">IFERROR(__xludf.DUMMYFUNCTION("""COMPUTED_VALUE"""),"Playground")</f>
        <v>Playground</v>
      </c>
      <c r="T798" s="8" t="str">
        <f ca="1">IFERROR(__xludf.DUMMYFUNCTION("""COMPUTED_VALUE"""),"Outside on School Property")</f>
        <v>Outside on School Property</v>
      </c>
      <c r="U798" s="8" t="str">
        <f ca="1">IFERROR(__xludf.DUMMYFUNCTION("""COMPUTED_VALUE"""),"No")</f>
        <v>No</v>
      </c>
      <c r="V798" s="8" t="str">
        <f ca="1">IFERROR(__xludf.DUMMYFUNCTION("""COMPUTED_VALUE"""),"After School")</f>
        <v>After School</v>
      </c>
      <c r="W798" s="11">
        <f ca="1">IFERROR(__xludf.DUMMYFUNCTION("""COMPUTED_VALUE"""),0.697916666666666)</f>
        <v>0.69791666666666596</v>
      </c>
      <c r="X798" s="8">
        <f ca="1">IFERROR(__xludf.DUMMYFUNCTION("""COMPUTED_VALUE"""),1)</f>
        <v>1</v>
      </c>
      <c r="Y798" s="12" t="str">
        <f ca="1">IFERROR(__xludf.DUMMYFUNCTION("""COMPUTED_VALUE"""),"Police officer and suspect shot next to school playground while kids were playing")</f>
        <v>Police officer and suspect shot next to school playground while kids were playing</v>
      </c>
      <c r="Z798" s="12" t="str">
        <f ca="1">IFERROR(__xludf.DUMMYFUNCTION("""COMPUTED_VALUE"""),"Suspect fired shots at Chicago police officer who was chasing him down the street. Officer was struck and collapsed next to playground, suspect was also struck in collapsed in school parking lot next to playground. Children were using the playground when "&amp;"shots were fired and took cover behind the slides.")</f>
        <v>Suspect fired shots at Chicago police officer who was chasing him down the street. Officer was struck and collapsed next to playground, suspect was also struck in collapsed in school parking lot next to playground. Children were using the playground when shots were fired and took cover behind the slides.</v>
      </c>
      <c r="AA798" s="8" t="str">
        <f ca="1">IFERROR(__xludf.DUMMYFUNCTION("""COMPUTED_VALUE"""),"Illegal Activity")</f>
        <v>Illegal Activity</v>
      </c>
      <c r="AB798" s="8"/>
      <c r="AC798" s="8" t="str">
        <f ca="1">IFERROR(__xludf.DUMMYFUNCTION("""COMPUTED_VALUE"""),"Yes")</f>
        <v>Yes</v>
      </c>
      <c r="AD798" s="8" t="str">
        <f ca="1">IFERROR(__xludf.DUMMYFUNCTION("""COMPUTED_VALUE"""),"Random Shooting")</f>
        <v>Random Shooting</v>
      </c>
      <c r="AE798" s="8" t="str">
        <f ca="1">IFERROR(__xludf.DUMMYFUNCTION("""COMPUTED_VALUE"""),"No")</f>
        <v>No</v>
      </c>
      <c r="AF798" s="8"/>
      <c r="AG798" s="8" t="str">
        <f ca="1">IFERROR(__xludf.DUMMYFUNCTION("""COMPUTED_VALUE"""),"No")</f>
        <v>No</v>
      </c>
      <c r="AH798" s="8" t="str">
        <f ca="1">IFERROR(__xludf.DUMMYFUNCTION("""COMPUTED_VALUE"""),"No")</f>
        <v>No</v>
      </c>
      <c r="AI798" s="8" t="str">
        <f ca="1">IFERROR(__xludf.DUMMYFUNCTION("""COMPUTED_VALUE"""),"Yes")</f>
        <v>Yes</v>
      </c>
      <c r="AJ798" s="8" t="str">
        <f ca="1">IFERROR(__xludf.DUMMYFUNCTION("""COMPUTED_VALUE"""),"No")</f>
        <v>No</v>
      </c>
      <c r="AK798" s="8" t="str">
        <f ca="1">IFERROR(__xludf.DUMMYFUNCTION("""COMPUTED_VALUE"""),"No")</f>
        <v>No</v>
      </c>
      <c r="AL798" s="8" t="str">
        <f ca="1">IFERROR(__xludf.DUMMYFUNCTION("""COMPUTED_VALUE"""),"No")</f>
        <v>No</v>
      </c>
      <c r="AM798" s="8" t="str">
        <f ca="1">IFERROR(__xludf.DUMMYFUNCTION("""COMPUTED_VALUE"""),"No")</f>
        <v>No</v>
      </c>
      <c r="AN798" s="8" t="str">
        <f ca="1">IFERROR(__xludf.DUMMYFUNCTION("""COMPUTED_VALUE"""),"Outside")</f>
        <v>Outside</v>
      </c>
      <c r="AO798" s="8" t="str">
        <f ca="1">IFERROR(__xludf.DUMMYFUNCTION("""COMPUTED_VALUE"""),"No")</f>
        <v>No</v>
      </c>
      <c r="AP798" s="8"/>
      <c r="AQ798" s="8"/>
      <c r="AR798" s="8" t="str">
        <f ca="1">IFERROR(__xludf.DUMMYFUNCTION("""COMPUTED_VALUE"""),"Outside/Off-Property")</f>
        <v>Outside/Off-Property</v>
      </c>
      <c r="AS798" s="8">
        <f ca="1">IFERROR(__xludf.DUMMYFUNCTION("""COMPUTED_VALUE"""),99)</f>
        <v>99</v>
      </c>
      <c r="AT798" s="8"/>
      <c r="AU798" s="8">
        <f ca="1">IFERROR(__xludf.DUMMYFUNCTION("""COMPUTED_VALUE"""),41.798502)</f>
        <v>41.798501999999999</v>
      </c>
      <c r="AV798" s="8">
        <f ca="1">IFERROR(__xludf.DUMMYFUNCTION("""COMPUTED_VALUE"""),-87.705906)</f>
        <v>-87.705905999999999</v>
      </c>
      <c r="AW798" s="8"/>
      <c r="AX798" s="8">
        <f ca="1">IFERROR(__xludf.DUMMYFUNCTION("""COMPUTED_VALUE"""),60632)</f>
        <v>60632</v>
      </c>
    </row>
    <row r="799" spans="1:50" ht="75" x14ac:dyDescent="0.2">
      <c r="A799" s="8" t="str">
        <f ca="1">IFERROR(__xludf.DUMMYFUNCTION("""COMPUTED_VALUE"""),"20230301ILMAM")</f>
        <v>20230301ILMAM</v>
      </c>
      <c r="B799" s="8">
        <f ca="1">IFERROR(__xludf.DUMMYFUNCTION("""COMPUTED_VALUE"""),3)</f>
        <v>3</v>
      </c>
      <c r="C799" s="8">
        <f ca="1">IFERROR(__xludf.DUMMYFUNCTION("""COMPUTED_VALUE"""),1)</f>
        <v>1</v>
      </c>
      <c r="D799" s="8">
        <f ca="1">IFERROR(__xludf.DUMMYFUNCTION("""COMPUTED_VALUE"""),2023)</f>
        <v>2023</v>
      </c>
      <c r="E799" s="9">
        <f ca="1">IFERROR(__xludf.DUMMYFUNCTION("""COMPUTED_VALUE"""),44986)</f>
        <v>44986</v>
      </c>
      <c r="F799" s="8" t="str">
        <f ca="1">IFERROR(__xludf.DUMMYFUNCTION("""COMPUTED_VALUE"""),"Marion Junior High School")</f>
        <v>Marion Junior High School</v>
      </c>
      <c r="G799" s="8">
        <f ca="1">IFERROR(__xludf.DUMMYFUNCTION("""COMPUTED_VALUE"""),0)</f>
        <v>0</v>
      </c>
      <c r="H799" s="8">
        <f ca="1">IFERROR(__xludf.DUMMYFUNCTION("""COMPUTED_VALUE"""),0)</f>
        <v>0</v>
      </c>
      <c r="I799" s="8">
        <f ca="1">IFERROR(__xludf.DUMMYFUNCTION("""COMPUTED_VALUE"""),0)</f>
        <v>0</v>
      </c>
      <c r="J799" s="8">
        <f ca="1">IFERROR(__xludf.DUMMYFUNCTION("""COMPUTED_VALUE"""),0)</f>
        <v>0</v>
      </c>
      <c r="K799" s="10" t="str">
        <f ca="1">IFERROR(__xludf.DUMMYFUNCTION("""COMPUTED_VALUE"""),"https://www.kfvs12.com/2023/03/01/marion-ill-police-investigating-after-students-believed-be-shot-with-airsoft-pellets/")</f>
        <v>https://www.kfvs12.com/2023/03/01/marion-ill-police-investigating-after-students-believed-be-shot-with-airsoft-pellets/</v>
      </c>
      <c r="L799" s="8">
        <f ca="1">IFERROR(__xludf.DUMMYFUNCTION("""COMPUTED_VALUE"""),3)</f>
        <v>3</v>
      </c>
      <c r="M799" s="8" t="str">
        <f ca="1">IFERROR(__xludf.DUMMYFUNCTION("""COMPUTED_VALUE"""),"Local")</f>
        <v>Local</v>
      </c>
      <c r="N799" s="8">
        <f ca="1">IFERROR(__xludf.DUMMYFUNCTION("""COMPUTED_VALUE"""),4)</f>
        <v>4</v>
      </c>
      <c r="O799" s="8" t="str">
        <f ca="1">IFERROR(__xludf.DUMMYFUNCTION("""COMPUTED_VALUE"""),"Spring")</f>
        <v>Spring</v>
      </c>
      <c r="P799" s="8" t="str">
        <f ca="1">IFERROR(__xludf.DUMMYFUNCTION("""COMPUTED_VALUE"""),"Marion")</f>
        <v>Marion</v>
      </c>
      <c r="Q799" s="8" t="str">
        <f ca="1">IFERROR(__xludf.DUMMYFUNCTION("""COMPUTED_VALUE"""),"IL")</f>
        <v>IL</v>
      </c>
      <c r="R799" s="8" t="str">
        <f ca="1">IFERROR(__xludf.DUMMYFUNCTION("""COMPUTED_VALUE"""),"Middle")</f>
        <v>Middle</v>
      </c>
      <c r="S799" s="8" t="str">
        <f ca="1">IFERROR(__xludf.DUMMYFUNCTION("""COMPUTED_VALUE"""),"Football Field/Track")</f>
        <v>Football Field/Track</v>
      </c>
      <c r="T799" s="8" t="str">
        <f ca="1">IFERROR(__xludf.DUMMYFUNCTION("""COMPUTED_VALUE"""),"Outside on School Property")</f>
        <v>Outside on School Property</v>
      </c>
      <c r="U799" s="8" t="str">
        <f ca="1">IFERROR(__xludf.DUMMYFUNCTION("""COMPUTED_VALUE"""),"Yes")</f>
        <v>Yes</v>
      </c>
      <c r="V799" s="8" t="str">
        <f ca="1">IFERROR(__xludf.DUMMYFUNCTION("""COMPUTED_VALUE"""),"Morning Classes")</f>
        <v>Morning Classes</v>
      </c>
      <c r="W799" s="11">
        <f ca="1">IFERROR(__xludf.DUMMYFUNCTION("""COMPUTED_VALUE"""),0.447916666666666)</f>
        <v>0.44791666666666602</v>
      </c>
      <c r="X799" s="8">
        <f ca="1">IFERROR(__xludf.DUMMYFUNCTION("""COMPUTED_VALUE"""),1)</f>
        <v>1</v>
      </c>
      <c r="Y799" s="12" t="str">
        <f ca="1">IFERROR(__xludf.DUMMYFUNCTION("""COMPUTED_VALUE"""),"37 students were shot by 3 men with pellet guns while running on the track during gym class")</f>
        <v>37 students were shot by 3 men with pellet guns while running on the track during gym class</v>
      </c>
      <c r="Z799" s="12" t="str">
        <f ca="1">IFERROR(__xludf.DUMMYFUNCTION("""COMPUTED_VALUE"""),"37 students were shot by 3 men with pellet guns while running on the track during gym class. All of the students were evaluated by the school nurse and did not have injuries. Three men detained at a nearby gas station and charged with 38 counts of aggrava"&amp;"ted battery. ")</f>
        <v xml:space="preserve">37 students were shot by 3 men with pellet guns while running on the track during gym class. All of the students were evaluated by the school nurse and did not have injuries. Three men detained at a nearby gas station and charged with 38 counts of aggravated battery. </v>
      </c>
      <c r="AA799" s="8" t="str">
        <f ca="1">IFERROR(__xludf.DUMMYFUNCTION("""COMPUTED_VALUE"""),"Drive-by Shooting")</f>
        <v>Drive-by Shooting</v>
      </c>
      <c r="AB799" s="8"/>
      <c r="AC799" s="8" t="str">
        <f ca="1">IFERROR(__xludf.DUMMYFUNCTION("""COMPUTED_VALUE"""),"Yes")</f>
        <v>Yes</v>
      </c>
      <c r="AD799" s="8" t="str">
        <f ca="1">IFERROR(__xludf.DUMMYFUNCTION("""COMPUTED_VALUE"""),"Random Shooting")</f>
        <v>Random Shooting</v>
      </c>
      <c r="AE799" s="8" t="str">
        <f ca="1">IFERROR(__xludf.DUMMYFUNCTION("""COMPUTED_VALUE"""),"Yes")</f>
        <v>Yes</v>
      </c>
      <c r="AF799" s="8" t="str">
        <f ca="1">IFERROR(__xludf.DUMMYFUNCTION("""COMPUTED_VALUE"""),"3 men")</f>
        <v>3 men</v>
      </c>
      <c r="AG799" s="8" t="str">
        <f ca="1">IFERROR(__xludf.DUMMYFUNCTION("""COMPUTED_VALUE"""),"No")</f>
        <v>No</v>
      </c>
      <c r="AH799" s="8" t="str">
        <f ca="1">IFERROR(__xludf.DUMMYFUNCTION("""COMPUTED_VALUE"""),"No")</f>
        <v>No</v>
      </c>
      <c r="AI799" s="8" t="str">
        <f ca="1">IFERROR(__xludf.DUMMYFUNCTION("""COMPUTED_VALUE"""),"No")</f>
        <v>No</v>
      </c>
      <c r="AJ799" s="8" t="str">
        <f ca="1">IFERROR(__xludf.DUMMYFUNCTION("""COMPUTED_VALUE"""),"No")</f>
        <v>No</v>
      </c>
      <c r="AK799" s="8" t="str">
        <f ca="1">IFERROR(__xludf.DUMMYFUNCTION("""COMPUTED_VALUE"""),"No")</f>
        <v>No</v>
      </c>
      <c r="AL799" s="8" t="str">
        <f ca="1">IFERROR(__xludf.DUMMYFUNCTION("""COMPUTED_VALUE"""),"No")</f>
        <v>No</v>
      </c>
      <c r="AM799" s="8" t="str">
        <f ca="1">IFERROR(__xludf.DUMMYFUNCTION("""COMPUTED_VALUE"""),"No")</f>
        <v>No</v>
      </c>
      <c r="AN799" s="8" t="str">
        <f ca="1">IFERROR(__xludf.DUMMYFUNCTION("""COMPUTED_VALUE"""),"Outside")</f>
        <v>Outside</v>
      </c>
      <c r="AO799" s="8" t="str">
        <f ca="1">IFERROR(__xludf.DUMMYFUNCTION("""COMPUTED_VALUE"""),"No")</f>
        <v>No</v>
      </c>
      <c r="AP799" s="8"/>
      <c r="AQ799" s="8"/>
      <c r="AR799" s="8" t="str">
        <f ca="1">IFERROR(__xludf.DUMMYFUNCTION("""COMPUTED_VALUE"""),"Outside/Off-Property")</f>
        <v>Outside/Off-Property</v>
      </c>
      <c r="AS799" s="8">
        <f ca="1">IFERROR(__xludf.DUMMYFUNCTION("""COMPUTED_VALUE"""),99)</f>
        <v>99</v>
      </c>
      <c r="AT799" s="8"/>
      <c r="AU799" s="8">
        <f ca="1">IFERROR(__xludf.DUMMYFUNCTION("""COMPUTED_VALUE"""),37.730533)</f>
        <v>37.730533000000001</v>
      </c>
      <c r="AV799" s="8">
        <f ca="1">IFERROR(__xludf.DUMMYFUNCTION("""COMPUTED_VALUE"""),-88.942659)</f>
        <v>-88.942659000000006</v>
      </c>
      <c r="AW799" s="8"/>
      <c r="AX799" s="8">
        <f ca="1">IFERROR(__xludf.DUMMYFUNCTION("""COMPUTED_VALUE"""),62959)</f>
        <v>62959</v>
      </c>
    </row>
    <row r="800" spans="1:50" ht="60" x14ac:dyDescent="0.2">
      <c r="A800" s="8" t="str">
        <f ca="1">IFERROR(__xludf.DUMMYFUNCTION("""COMPUTED_VALUE"""),"20230301GASAS")</f>
        <v>20230301GASAS</v>
      </c>
      <c r="B800" s="8">
        <f ca="1">IFERROR(__xludf.DUMMYFUNCTION("""COMPUTED_VALUE"""),3)</f>
        <v>3</v>
      </c>
      <c r="C800" s="8">
        <f ca="1">IFERROR(__xludf.DUMMYFUNCTION("""COMPUTED_VALUE"""),1)</f>
        <v>1</v>
      </c>
      <c r="D800" s="8">
        <f ca="1">IFERROR(__xludf.DUMMYFUNCTION("""COMPUTED_VALUE"""),2023)</f>
        <v>2023</v>
      </c>
      <c r="E800" s="9">
        <f ca="1">IFERROR(__xludf.DUMMYFUNCTION("""COMPUTED_VALUE"""),44986)</f>
        <v>44986</v>
      </c>
      <c r="F800" s="8" t="str">
        <f ca="1">IFERROR(__xludf.DUMMYFUNCTION("""COMPUTED_VALUE"""),"Savannah High School")</f>
        <v>Savannah High School</v>
      </c>
      <c r="G800" s="8">
        <f ca="1">IFERROR(__xludf.DUMMYFUNCTION("""COMPUTED_VALUE"""),0)</f>
        <v>0</v>
      </c>
      <c r="H800" s="8">
        <f ca="1">IFERROR(__xludf.DUMMYFUNCTION("""COMPUTED_VALUE"""),1)</f>
        <v>1</v>
      </c>
      <c r="I800" s="8">
        <f ca="1">IFERROR(__xludf.DUMMYFUNCTION("""COMPUTED_VALUE"""),1)</f>
        <v>1</v>
      </c>
      <c r="J800" s="8">
        <f ca="1">IFERROR(__xludf.DUMMYFUNCTION("""COMPUTED_VALUE"""),0)</f>
        <v>0</v>
      </c>
      <c r="K800" s="10" t="str">
        <f ca="1">IFERROR(__xludf.DUMMYFUNCTION("""COMPUTED_VALUE"""),"https://www.wjcl.com/article/savannah-high-school-shooting-arrest/43166741#")</f>
        <v>https://www.wjcl.com/article/savannah-high-school-shooting-arrest/43166741#</v>
      </c>
      <c r="L800" s="8">
        <f ca="1">IFERROR(__xludf.DUMMYFUNCTION("""COMPUTED_VALUE"""),10)</f>
        <v>10</v>
      </c>
      <c r="M800" s="8" t="str">
        <f ca="1">IFERROR(__xludf.DUMMYFUNCTION("""COMPUTED_VALUE"""),"Regional")</f>
        <v>Regional</v>
      </c>
      <c r="N800" s="8">
        <f ca="1">IFERROR(__xludf.DUMMYFUNCTION("""COMPUTED_VALUE"""),4)</f>
        <v>4</v>
      </c>
      <c r="O800" s="8" t="str">
        <f ca="1">IFERROR(__xludf.DUMMYFUNCTION("""COMPUTED_VALUE"""),"Spring")</f>
        <v>Spring</v>
      </c>
      <c r="P800" s="8" t="str">
        <f ca="1">IFERROR(__xludf.DUMMYFUNCTION("""COMPUTED_VALUE"""),"Savannah")</f>
        <v>Savannah</v>
      </c>
      <c r="Q800" s="8" t="str">
        <f ca="1">IFERROR(__xludf.DUMMYFUNCTION("""COMPUTED_VALUE"""),"GA")</f>
        <v>GA</v>
      </c>
      <c r="R800" s="8" t="str">
        <f ca="1">IFERROR(__xludf.DUMMYFUNCTION("""COMPUTED_VALUE"""),"High")</f>
        <v>High</v>
      </c>
      <c r="S800" s="8" t="str">
        <f ca="1">IFERROR(__xludf.DUMMYFUNCTION("""COMPUTED_VALUE"""),"Front of School")</f>
        <v>Front of School</v>
      </c>
      <c r="T800" s="8" t="str">
        <f ca="1">IFERROR(__xludf.DUMMYFUNCTION("""COMPUTED_VALUE"""),"Outside on School Property")</f>
        <v>Outside on School Property</v>
      </c>
      <c r="U800" s="8" t="str">
        <f ca="1">IFERROR(__xludf.DUMMYFUNCTION("""COMPUTED_VALUE"""),"Yes")</f>
        <v>Yes</v>
      </c>
      <c r="V800" s="8" t="str">
        <f ca="1">IFERROR(__xludf.DUMMYFUNCTION("""COMPUTED_VALUE"""),"Dismissal")</f>
        <v>Dismissal</v>
      </c>
      <c r="W800" s="11">
        <f ca="1">IFERROR(__xludf.DUMMYFUNCTION("""COMPUTED_VALUE"""),0.611111111111111)</f>
        <v>0.61111111111111105</v>
      </c>
      <c r="X800" s="8">
        <f ca="1">IFERROR(__xludf.DUMMYFUNCTION("""COMPUTED_VALUE"""),1)</f>
        <v>1</v>
      </c>
      <c r="Y800" s="12" t="str">
        <f ca="1">IFERROR(__xludf.DUMMYFUNCTION("""COMPUTED_VALUE"""),"Teen shot in front of school by another teen")</f>
        <v>Teen shot in front of school by another teen</v>
      </c>
      <c r="Z800" s="12" t="str">
        <f ca="1">IFERROR(__xludf.DUMMYFUNCTION("""COMPUTED_VALUE"""),"15-year-old was shot in the leg in front of the school following a dispute with a non-student teen. 16-year-old fled and was arrested after a foot chase. Shot was fired from the apartments across the street from the school.")</f>
        <v>15-year-old was shot in the leg in front of the school following a dispute with a non-student teen. 16-year-old fled and was arrested after a foot chase. Shot was fired from the apartments across the street from the school.</v>
      </c>
      <c r="AA800" s="8" t="str">
        <f ca="1">IFERROR(__xludf.DUMMYFUNCTION("""COMPUTED_VALUE"""),"Escalation of Dispute")</f>
        <v>Escalation of Dispute</v>
      </c>
      <c r="AB800" s="8"/>
      <c r="AC800" s="8" t="str">
        <f ca="1">IFERROR(__xludf.DUMMYFUNCTION("""COMPUTED_VALUE"""),"Yes")</f>
        <v>Yes</v>
      </c>
      <c r="AD800" s="8" t="str">
        <f ca="1">IFERROR(__xludf.DUMMYFUNCTION("""COMPUTED_VALUE"""),"Victims Targeted")</f>
        <v>Victims Targeted</v>
      </c>
      <c r="AE800" s="8" t="str">
        <f ca="1">IFERROR(__xludf.DUMMYFUNCTION("""COMPUTED_VALUE"""),"No")</f>
        <v>No</v>
      </c>
      <c r="AF800" s="8"/>
      <c r="AG800" s="8" t="str">
        <f ca="1">IFERROR(__xludf.DUMMYFUNCTION("""COMPUTED_VALUE"""),"No")</f>
        <v>No</v>
      </c>
      <c r="AH800" s="8" t="str">
        <f ca="1">IFERROR(__xludf.DUMMYFUNCTION("""COMPUTED_VALUE"""),"No")</f>
        <v>No</v>
      </c>
      <c r="AI800" s="8" t="str">
        <f ca="1">IFERROR(__xludf.DUMMYFUNCTION("""COMPUTED_VALUE"""),"No")</f>
        <v>No</v>
      </c>
      <c r="AJ800" s="8" t="str">
        <f ca="1">IFERROR(__xludf.DUMMYFUNCTION("""COMPUTED_VALUE"""),"No")</f>
        <v>No</v>
      </c>
      <c r="AK800" s="8" t="str">
        <f ca="1">IFERROR(__xludf.DUMMYFUNCTION("""COMPUTED_VALUE"""),"No")</f>
        <v>No</v>
      </c>
      <c r="AL800" s="8"/>
      <c r="AM800" s="8" t="str">
        <f ca="1">IFERROR(__xludf.DUMMYFUNCTION("""COMPUTED_VALUE"""),"No")</f>
        <v>No</v>
      </c>
      <c r="AN800" s="8" t="str">
        <f ca="1">IFERROR(__xludf.DUMMYFUNCTION("""COMPUTED_VALUE"""),"Outside")</f>
        <v>Outside</v>
      </c>
      <c r="AO800" s="8" t="str">
        <f ca="1">IFERROR(__xludf.DUMMYFUNCTION("""COMPUTED_VALUE"""),"No")</f>
        <v>No</v>
      </c>
      <c r="AP800" s="8"/>
      <c r="AQ800" s="8"/>
      <c r="AR800" s="8" t="str">
        <f ca="1">IFERROR(__xludf.DUMMYFUNCTION("""COMPUTED_VALUE"""),"Outside/Off-Property")</f>
        <v>Outside/Off-Property</v>
      </c>
      <c r="AS800" s="8">
        <f ca="1">IFERROR(__xludf.DUMMYFUNCTION("""COMPUTED_VALUE"""),99)</f>
        <v>99</v>
      </c>
      <c r="AT800" s="8"/>
      <c r="AU800" s="8">
        <f ca="1">IFERROR(__xludf.DUMMYFUNCTION("""COMPUTED_VALUE"""),32.063519)</f>
        <v>32.063518999999999</v>
      </c>
      <c r="AV800" s="8">
        <f ca="1">IFERROR(__xludf.DUMMYFUNCTION("""COMPUTED_VALUE"""),-81.059159)</f>
        <v>-81.059158999999994</v>
      </c>
      <c r="AW800" s="8"/>
      <c r="AX800" s="8">
        <f ca="1">IFERROR(__xludf.DUMMYFUNCTION("""COMPUTED_VALUE"""),31404)</f>
        <v>31404</v>
      </c>
    </row>
    <row r="801" spans="1:50" ht="90" x14ac:dyDescent="0.2">
      <c r="A801" s="8" t="str">
        <f ca="1">IFERROR(__xludf.DUMMYFUNCTION("""COMPUTED_VALUE"""),"20230301CONOP")</f>
        <v>20230301CONOP</v>
      </c>
      <c r="B801" s="8">
        <f ca="1">IFERROR(__xludf.DUMMYFUNCTION("""COMPUTED_VALUE"""),3)</f>
        <v>3</v>
      </c>
      <c r="C801" s="8">
        <f ca="1">IFERROR(__xludf.DUMMYFUNCTION("""COMPUTED_VALUE"""),1)</f>
        <v>1</v>
      </c>
      <c r="D801" s="8">
        <f ca="1">IFERROR(__xludf.DUMMYFUNCTION("""COMPUTED_VALUE"""),2023)</f>
        <v>2023</v>
      </c>
      <c r="E801" s="9">
        <f ca="1">IFERROR(__xludf.DUMMYFUNCTION("""COMPUTED_VALUE"""),44986)</f>
        <v>44986</v>
      </c>
      <c r="F801" s="8" t="str">
        <f ca="1">IFERROR(__xludf.DUMMYFUNCTION("""COMPUTED_VALUE"""),"North Mesa Elementary School")</f>
        <v>North Mesa Elementary School</v>
      </c>
      <c r="G801" s="8">
        <f ca="1">IFERROR(__xludf.DUMMYFUNCTION("""COMPUTED_VALUE"""),0)</f>
        <v>0</v>
      </c>
      <c r="H801" s="8">
        <f ca="1">IFERROR(__xludf.DUMMYFUNCTION("""COMPUTED_VALUE"""),0)</f>
        <v>0</v>
      </c>
      <c r="I801" s="8">
        <f ca="1">IFERROR(__xludf.DUMMYFUNCTION("""COMPUTED_VALUE"""),0)</f>
        <v>0</v>
      </c>
      <c r="J801" s="8">
        <f ca="1">IFERROR(__xludf.DUMMYFUNCTION("""COMPUTED_VALUE"""),1)</f>
        <v>1</v>
      </c>
      <c r="K801" s="10" t="str">
        <f ca="1">IFERROR(__xludf.DUMMYFUNCTION("""COMPUTED_VALUE"""),"https://www.denverpost.com/2023/03/01/pueblo-county-deputy-shooting-elementar-school/
https://www.kktv.com/2023/03/01/standoff-near-pueblo-county-elementary-school-ends-with-suspect-shot/")</f>
        <v>https://www.denverpost.com/2023/03/01/pueblo-county-deputy-shooting-elementar-school/
https://www.kktv.com/2023/03/01/standoff-near-pueblo-county-elementary-school-ends-with-suspect-shot/</v>
      </c>
      <c r="L801" s="8">
        <f ca="1">IFERROR(__xludf.DUMMYFUNCTION("""COMPUTED_VALUE"""),3)</f>
        <v>3</v>
      </c>
      <c r="M801" s="8" t="str">
        <f ca="1">IFERROR(__xludf.DUMMYFUNCTION("""COMPUTED_VALUE"""),"Regional")</f>
        <v>Regional</v>
      </c>
      <c r="N801" s="8">
        <f ca="1">IFERROR(__xludf.DUMMYFUNCTION("""COMPUTED_VALUE"""),4)</f>
        <v>4</v>
      </c>
      <c r="O801" s="8" t="str">
        <f ca="1">IFERROR(__xludf.DUMMYFUNCTION("""COMPUTED_VALUE"""),"Spring")</f>
        <v>Spring</v>
      </c>
      <c r="P801" s="8" t="str">
        <f ca="1">IFERROR(__xludf.DUMMYFUNCTION("""COMPUTED_VALUE"""),"Pueblo")</f>
        <v>Pueblo</v>
      </c>
      <c r="Q801" s="8" t="str">
        <f ca="1">IFERROR(__xludf.DUMMYFUNCTION("""COMPUTED_VALUE"""),"CO")</f>
        <v>CO</v>
      </c>
      <c r="R801" s="8" t="str">
        <f ca="1">IFERROR(__xludf.DUMMYFUNCTION("""COMPUTED_VALUE"""),"Elementary")</f>
        <v>Elementary</v>
      </c>
      <c r="S801" s="8" t="str">
        <f ca="1">IFERROR(__xludf.DUMMYFUNCTION("""COMPUTED_VALUE"""),"Playground")</f>
        <v>Playground</v>
      </c>
      <c r="T801" s="8" t="str">
        <f ca="1">IFERROR(__xludf.DUMMYFUNCTION("""COMPUTED_VALUE"""),"Outside on School Property")</f>
        <v>Outside on School Property</v>
      </c>
      <c r="U801" s="8" t="str">
        <f ca="1">IFERROR(__xludf.DUMMYFUNCTION("""COMPUTED_VALUE"""),"Yes")</f>
        <v>Yes</v>
      </c>
      <c r="V801" s="8" t="str">
        <f ca="1">IFERROR(__xludf.DUMMYFUNCTION("""COMPUTED_VALUE"""),"Dismissal")</f>
        <v>Dismissal</v>
      </c>
      <c r="W801" s="11">
        <f ca="1">IFERROR(__xludf.DUMMYFUNCTION("""COMPUTED_VALUE"""),0.645833333333333)</f>
        <v>0.64583333333333304</v>
      </c>
      <c r="X801" s="8">
        <f ca="1">IFERROR(__xludf.DUMMYFUNCTION("""COMPUTED_VALUE"""),1)</f>
        <v>1</v>
      </c>
      <c r="Y801" s="12" t="str">
        <f ca="1">IFERROR(__xludf.DUMMYFUNCTION("""COMPUTED_VALUE"""),"Man fired shots at school playground from his backyard near the school, killed during standoff with police")</f>
        <v>Man fired shots at school playground from his backyard near the school, killed during standoff with police</v>
      </c>
      <c r="Z801" s="12" t="str">
        <f ca="1">IFERROR(__xludf.DUMMYFUNCTION("""COMPUTED_VALUE"""),"Adult man fired shots at students on the school playground during dismissal. Student ran into the school and the building went on lockdown. Shooting resulted in a police standoff. Man was killed after firing shots at officers. Man was known to law enforce"&amp;"ment and frequently fired shots in his backyard.")</f>
        <v>Adult man fired shots at students on the school playground during dismissal. Student ran into the school and the building went on lockdown. Shooting resulted in a police standoff. Man was killed after firing shots at officers. Man was known to law enforcement and frequently fired shots in his backyard.</v>
      </c>
      <c r="AA801" s="8" t="str">
        <f ca="1">IFERROR(__xludf.DUMMYFUNCTION("""COMPUTED_VALUE"""),"Hostage/Standoff")</f>
        <v>Hostage/Standoff</v>
      </c>
      <c r="AB801" s="8"/>
      <c r="AC801" s="8" t="str">
        <f ca="1">IFERROR(__xludf.DUMMYFUNCTION("""COMPUTED_VALUE"""),"Yes")</f>
        <v>Yes</v>
      </c>
      <c r="AD801" s="8" t="str">
        <f ca="1">IFERROR(__xludf.DUMMYFUNCTION("""COMPUTED_VALUE"""),"Random Shooting")</f>
        <v>Random Shooting</v>
      </c>
      <c r="AE801" s="8" t="str">
        <f ca="1">IFERROR(__xludf.DUMMYFUNCTION("""COMPUTED_VALUE"""),"No")</f>
        <v>No</v>
      </c>
      <c r="AF801" s="8"/>
      <c r="AG801" s="8" t="str">
        <f ca="1">IFERROR(__xludf.DUMMYFUNCTION("""COMPUTED_VALUE"""),"No")</f>
        <v>No</v>
      </c>
      <c r="AH801" s="8" t="str">
        <f ca="1">IFERROR(__xludf.DUMMYFUNCTION("""COMPUTED_VALUE"""),"Yes")</f>
        <v>Yes</v>
      </c>
      <c r="AI801" s="8" t="str">
        <f ca="1">IFERROR(__xludf.DUMMYFUNCTION("""COMPUTED_VALUE"""),"No")</f>
        <v>No</v>
      </c>
      <c r="AJ801" s="8" t="str">
        <f ca="1">IFERROR(__xludf.DUMMYFUNCTION("""COMPUTED_VALUE"""),"No")</f>
        <v>No</v>
      </c>
      <c r="AK801" s="8" t="str">
        <f ca="1">IFERROR(__xludf.DUMMYFUNCTION("""COMPUTED_VALUE"""),"No")</f>
        <v>No</v>
      </c>
      <c r="AL801" s="8" t="str">
        <f ca="1">IFERROR(__xludf.DUMMYFUNCTION("""COMPUTED_VALUE"""),"No")</f>
        <v>No</v>
      </c>
      <c r="AM801" s="8" t="str">
        <f ca="1">IFERROR(__xludf.DUMMYFUNCTION("""COMPUTED_VALUE"""),"No")</f>
        <v>No</v>
      </c>
      <c r="AN801" s="8" t="str">
        <f ca="1">IFERROR(__xludf.DUMMYFUNCTION("""COMPUTED_VALUE"""),"Outside")</f>
        <v>Outside</v>
      </c>
      <c r="AO801" s="8" t="str">
        <f ca="1">IFERROR(__xludf.DUMMYFUNCTION("""COMPUTED_VALUE"""),"No")</f>
        <v>No</v>
      </c>
      <c r="AP801" s="8"/>
      <c r="AQ801" s="8"/>
      <c r="AR801" s="8" t="str">
        <f ca="1">IFERROR(__xludf.DUMMYFUNCTION("""COMPUTED_VALUE"""),"Outside/Off-Property")</f>
        <v>Outside/Off-Property</v>
      </c>
      <c r="AS801" s="8">
        <f ca="1">IFERROR(__xludf.DUMMYFUNCTION("""COMPUTED_VALUE"""),99)</f>
        <v>99</v>
      </c>
      <c r="AT801" s="8" t="str">
        <f ca="1">IFERROR(__xludf.DUMMYFUNCTION("""COMPUTED_VALUE"""),"Yes")</f>
        <v>Yes</v>
      </c>
      <c r="AU801" s="8">
        <f ca="1">IFERROR(__xludf.DUMMYFUNCTION("""COMPUTED_VALUE"""),38.250007)</f>
        <v>38.250006999999997</v>
      </c>
      <c r="AV801" s="8">
        <f ca="1">IFERROR(__xludf.DUMMYFUNCTION("""COMPUTED_VALUE"""),-104.515919)</f>
        <v>-104.515919</v>
      </c>
      <c r="AW801" s="8"/>
      <c r="AX801" s="8">
        <f ca="1">IFERROR(__xludf.DUMMYFUNCTION("""COMPUTED_VALUE"""),81006)</f>
        <v>81006</v>
      </c>
    </row>
    <row r="802" spans="1:50" ht="45" x14ac:dyDescent="0.2">
      <c r="A802" s="8" t="str">
        <f ca="1">IFERROR(__xludf.DUMMYFUNCTION("""COMPUTED_VALUE"""),"20230227CAGAC")</f>
        <v>20230227CAGAC</v>
      </c>
      <c r="B802" s="8">
        <f ca="1">IFERROR(__xludf.DUMMYFUNCTION("""COMPUTED_VALUE"""),2)</f>
        <v>2</v>
      </c>
      <c r="C802" s="8">
        <f ca="1">IFERROR(__xludf.DUMMYFUNCTION("""COMPUTED_VALUE"""),27)</f>
        <v>27</v>
      </c>
      <c r="D802" s="8">
        <f ca="1">IFERROR(__xludf.DUMMYFUNCTION("""COMPUTED_VALUE"""),2023)</f>
        <v>2023</v>
      </c>
      <c r="E802" s="9">
        <f ca="1">IFERROR(__xludf.DUMMYFUNCTION("""COMPUTED_VALUE"""),44984)</f>
        <v>44984</v>
      </c>
      <c r="F802" s="8" t="str">
        <f ca="1">IFERROR(__xludf.DUMMYFUNCTION("""COMPUTED_VALUE"""),"Gahr High School")</f>
        <v>Gahr High School</v>
      </c>
      <c r="G802" s="8">
        <f ca="1">IFERROR(__xludf.DUMMYFUNCTION("""COMPUTED_VALUE"""),1)</f>
        <v>1</v>
      </c>
      <c r="H802" s="8">
        <f ca="1">IFERROR(__xludf.DUMMYFUNCTION("""COMPUTED_VALUE"""),0)</f>
        <v>0</v>
      </c>
      <c r="I802" s="8">
        <f ca="1">IFERROR(__xludf.DUMMYFUNCTION("""COMPUTED_VALUE"""),1)</f>
        <v>1</v>
      </c>
      <c r="J802" s="8">
        <f ca="1">IFERROR(__xludf.DUMMYFUNCTION("""COMPUTED_VALUE"""),0)</f>
        <v>0</v>
      </c>
      <c r="K802" s="10" t="str">
        <f ca="1">IFERROR(__xludf.DUMMYFUNCTION("""COMPUTED_VALUE"""),"https://www.cbsnews.com/losangeles/news/cerritos-shooting-investigation-shuts-down-gahr-high-school/")</f>
        <v>https://www.cbsnews.com/losangeles/news/cerritos-shooting-investigation-shuts-down-gahr-high-school/</v>
      </c>
      <c r="L802" s="8">
        <f ca="1">IFERROR(__xludf.DUMMYFUNCTION("""COMPUTED_VALUE"""),10)</f>
        <v>10</v>
      </c>
      <c r="M802" s="8" t="str">
        <f ca="1">IFERROR(__xludf.DUMMYFUNCTION("""COMPUTED_VALUE"""),"Regional")</f>
        <v>Regional</v>
      </c>
      <c r="N802" s="8">
        <f ca="1">IFERROR(__xludf.DUMMYFUNCTION("""COMPUTED_VALUE"""),4)</f>
        <v>4</v>
      </c>
      <c r="O802" s="8" t="str">
        <f ca="1">IFERROR(__xludf.DUMMYFUNCTION("""COMPUTED_VALUE"""),"Winter")</f>
        <v>Winter</v>
      </c>
      <c r="P802" s="8" t="str">
        <f ca="1">IFERROR(__xludf.DUMMYFUNCTION("""COMPUTED_VALUE"""),"Cerritos")</f>
        <v>Cerritos</v>
      </c>
      <c r="Q802" s="8" t="str">
        <f ca="1">IFERROR(__xludf.DUMMYFUNCTION("""COMPUTED_VALUE"""),"CA")</f>
        <v>CA</v>
      </c>
      <c r="R802" s="8" t="str">
        <f ca="1">IFERROR(__xludf.DUMMYFUNCTION("""COMPUTED_VALUE"""),"High")</f>
        <v>High</v>
      </c>
      <c r="S802" s="8" t="str">
        <f ca="1">IFERROR(__xludf.DUMMYFUNCTION("""COMPUTED_VALUE"""),"Parking Lot")</f>
        <v>Parking Lot</v>
      </c>
      <c r="T802" s="8" t="str">
        <f ca="1">IFERROR(__xludf.DUMMYFUNCTION("""COMPUTED_VALUE"""),"Outside on School Property")</f>
        <v>Outside on School Property</v>
      </c>
      <c r="U802" s="8" t="str">
        <f ca="1">IFERROR(__xludf.DUMMYFUNCTION("""COMPUTED_VALUE"""),"No")</f>
        <v>No</v>
      </c>
      <c r="V802" s="8" t="str">
        <f ca="1">IFERROR(__xludf.DUMMYFUNCTION("""COMPUTED_VALUE"""),"Night")</f>
        <v>Night</v>
      </c>
      <c r="W802" s="11">
        <f ca="1">IFERROR(__xludf.DUMMYFUNCTION("""COMPUTED_VALUE"""),0.0833333333333333)</f>
        <v>8.3333333333333301E-2</v>
      </c>
      <c r="X802" s="8">
        <f ca="1">IFERROR(__xludf.DUMMYFUNCTION("""COMPUTED_VALUE"""),1)</f>
        <v>1</v>
      </c>
      <c r="Y802" s="12" t="str">
        <f ca="1">IFERROR(__xludf.DUMMYFUNCTION("""COMPUTED_VALUE"""),"Man fatally shot and died in school parking lot")</f>
        <v>Man fatally shot and died in school parking lot</v>
      </c>
      <c r="Z802" s="12" t="str">
        <f ca="1">IFERROR(__xludf.DUMMYFUNCTION("""COMPUTED_VALUE"""),"Man was shot inside a vehicle and died in the school parking lot. Classes were cancelled due to the crime scene near the front of the school. Shooter fled.")</f>
        <v>Man was shot inside a vehicle and died in the school parking lot. Classes were cancelled due to the crime scene near the front of the school. Shooter fled.</v>
      </c>
      <c r="AA802" s="8" t="str">
        <f ca="1">IFERROR(__xludf.DUMMYFUNCTION("""COMPUTED_VALUE"""),"Drive-by Shooting")</f>
        <v>Drive-by Shooting</v>
      </c>
      <c r="AB802" s="8"/>
      <c r="AC802" s="8" t="str">
        <f ca="1">IFERROR(__xludf.DUMMYFUNCTION("""COMPUTED_VALUE"""),"No")</f>
        <v>No</v>
      </c>
      <c r="AD802" s="8" t="str">
        <f ca="1">IFERROR(__xludf.DUMMYFUNCTION("""COMPUTED_VALUE"""),"Victims Targeted")</f>
        <v>Victims Targeted</v>
      </c>
      <c r="AE802" s="8"/>
      <c r="AF802" s="8"/>
      <c r="AG802" s="8" t="str">
        <f ca="1">IFERROR(__xludf.DUMMYFUNCTION("""COMPUTED_VALUE"""),"No")</f>
        <v>No</v>
      </c>
      <c r="AH802" s="8" t="str">
        <f ca="1">IFERROR(__xludf.DUMMYFUNCTION("""COMPUTED_VALUE"""),"No")</f>
        <v>No</v>
      </c>
      <c r="AI802" s="8" t="str">
        <f ca="1">IFERROR(__xludf.DUMMYFUNCTION("""COMPUTED_VALUE"""),"No")</f>
        <v>No</v>
      </c>
      <c r="AJ802" s="8" t="str">
        <f ca="1">IFERROR(__xludf.DUMMYFUNCTION("""COMPUTED_VALUE"""),"No")</f>
        <v>No</v>
      </c>
      <c r="AK802" s="8" t="str">
        <f ca="1">IFERROR(__xludf.DUMMYFUNCTION("""COMPUTED_VALUE"""),"No")</f>
        <v>No</v>
      </c>
      <c r="AL802" s="8"/>
      <c r="AM802" s="8" t="str">
        <f ca="1">IFERROR(__xludf.DUMMYFUNCTION("""COMPUTED_VALUE"""),"No")</f>
        <v>No</v>
      </c>
      <c r="AN802" s="8" t="str">
        <f ca="1">IFERROR(__xludf.DUMMYFUNCTION("""COMPUTED_VALUE"""),"Outside")</f>
        <v>Outside</v>
      </c>
      <c r="AO802" s="8" t="str">
        <f ca="1">IFERROR(__xludf.DUMMYFUNCTION("""COMPUTED_VALUE"""),"No")</f>
        <v>No</v>
      </c>
      <c r="AP802" s="8"/>
      <c r="AQ802" s="8"/>
      <c r="AR802" s="8" t="str">
        <f ca="1">IFERROR(__xludf.DUMMYFUNCTION("""COMPUTED_VALUE"""),"Outside/Off-Property")</f>
        <v>Outside/Off-Property</v>
      </c>
      <c r="AS802" s="8">
        <f ca="1">IFERROR(__xludf.DUMMYFUNCTION("""COMPUTED_VALUE"""),99)</f>
        <v>99</v>
      </c>
      <c r="AT802" s="8"/>
      <c r="AU802" s="8">
        <f ca="1">IFERROR(__xludf.DUMMYFUNCTION("""COMPUTED_VALUE"""),33.873616)</f>
        <v>33.873615999999998</v>
      </c>
      <c r="AV802" s="8">
        <f ca="1">IFERROR(__xludf.DUMMYFUNCTION("""COMPUTED_VALUE"""),-118.094666)</f>
        <v>-118.094666</v>
      </c>
      <c r="AW802" s="8"/>
      <c r="AX802" s="8">
        <f ca="1">IFERROR(__xludf.DUMMYFUNCTION("""COMPUTED_VALUE"""),90703)</f>
        <v>90703</v>
      </c>
    </row>
    <row r="803" spans="1:50" ht="90" x14ac:dyDescent="0.2">
      <c r="A803" s="8" t="str">
        <f ca="1">IFERROR(__xludf.DUMMYFUNCTION("""COMPUTED_VALUE"""),"20230223OHWOC")</f>
        <v>20230223OHWOC</v>
      </c>
      <c r="B803" s="8">
        <f ca="1">IFERROR(__xludf.DUMMYFUNCTION("""COMPUTED_VALUE"""),2)</f>
        <v>2</v>
      </c>
      <c r="C803" s="8">
        <f ca="1">IFERROR(__xludf.DUMMYFUNCTION("""COMPUTED_VALUE"""),23)</f>
        <v>23</v>
      </c>
      <c r="D803" s="8">
        <f ca="1">IFERROR(__xludf.DUMMYFUNCTION("""COMPUTED_VALUE"""),2023)</f>
        <v>2023</v>
      </c>
      <c r="E803" s="9">
        <f ca="1">IFERROR(__xludf.DUMMYFUNCTION("""COMPUTED_VALUE"""),44980)</f>
        <v>44980</v>
      </c>
      <c r="F803" s="8" t="str">
        <f ca="1">IFERROR(__xludf.DUMMYFUNCTION("""COMPUTED_VALUE"""),"Woodward Career Technical High School")</f>
        <v>Woodward Career Technical High School</v>
      </c>
      <c r="G803" s="8">
        <f ca="1">IFERROR(__xludf.DUMMYFUNCTION("""COMPUTED_VALUE"""),0)</f>
        <v>0</v>
      </c>
      <c r="H803" s="8">
        <f ca="1">IFERROR(__xludf.DUMMYFUNCTION("""COMPUTED_VALUE"""),1)</f>
        <v>1</v>
      </c>
      <c r="I803" s="8">
        <f ca="1">IFERROR(__xludf.DUMMYFUNCTION("""COMPUTED_VALUE"""),1)</f>
        <v>1</v>
      </c>
      <c r="J803" s="8">
        <f ca="1">IFERROR(__xludf.DUMMYFUNCTION("""COMPUTED_VALUE"""),0)</f>
        <v>0</v>
      </c>
      <c r="K803" s="10" t="str">
        <f ca="1">IFERROR(__xludf.DUMMYFUNCTION("""COMPUTED_VALUE"""),"https://www.wcpo.com/news/local-news/hamilton-county/cincinnati/bond-hill/woodward-high-school-briefly-put-on-lockdown-after-person-shot-nearby")</f>
        <v>https://www.wcpo.com/news/local-news/hamilton-county/cincinnati/bond-hill/woodward-high-school-briefly-put-on-lockdown-after-person-shot-nearby</v>
      </c>
      <c r="L803" s="8">
        <f ca="1">IFERROR(__xludf.DUMMYFUNCTION("""COMPUTED_VALUE"""),10)</f>
        <v>10</v>
      </c>
      <c r="M803" s="8" t="str">
        <f ca="1">IFERROR(__xludf.DUMMYFUNCTION("""COMPUTED_VALUE"""),"Regional")</f>
        <v>Regional</v>
      </c>
      <c r="N803" s="8">
        <f ca="1">IFERROR(__xludf.DUMMYFUNCTION("""COMPUTED_VALUE"""),4)</f>
        <v>4</v>
      </c>
      <c r="O803" s="8" t="str">
        <f ca="1">IFERROR(__xludf.DUMMYFUNCTION("""COMPUTED_VALUE"""),"Winter")</f>
        <v>Winter</v>
      </c>
      <c r="P803" s="8" t="str">
        <f ca="1">IFERROR(__xludf.DUMMYFUNCTION("""COMPUTED_VALUE"""),"Cincinnati")</f>
        <v>Cincinnati</v>
      </c>
      <c r="Q803" s="8" t="str">
        <f ca="1">IFERROR(__xludf.DUMMYFUNCTION("""COMPUTED_VALUE"""),"OH")</f>
        <v>OH</v>
      </c>
      <c r="R803" s="8" t="str">
        <f ca="1">IFERROR(__xludf.DUMMYFUNCTION("""COMPUTED_VALUE"""),"High")</f>
        <v>High</v>
      </c>
      <c r="S803" s="8" t="str">
        <f ca="1">IFERROR(__xludf.DUMMYFUNCTION("""COMPUTED_VALUE"""),"Inside School Building")</f>
        <v>Inside School Building</v>
      </c>
      <c r="T803" s="8" t="str">
        <f ca="1">IFERROR(__xludf.DUMMYFUNCTION("""COMPUTED_VALUE"""),"Inside School Building")</f>
        <v>Inside School Building</v>
      </c>
      <c r="U803" s="8" t="str">
        <f ca="1">IFERROR(__xludf.DUMMYFUNCTION("""COMPUTED_VALUE"""),"Yes")</f>
        <v>Yes</v>
      </c>
      <c r="V803" s="8" t="str">
        <f ca="1">IFERROR(__xludf.DUMMYFUNCTION("""COMPUTED_VALUE"""),"After School")</f>
        <v>After School</v>
      </c>
      <c r="W803" s="11">
        <f ca="1">IFERROR(__xludf.DUMMYFUNCTION("""COMPUTED_VALUE"""),0.625)</f>
        <v>0.625</v>
      </c>
      <c r="X803" s="8">
        <f ca="1">IFERROR(__xludf.DUMMYFUNCTION("""COMPUTED_VALUE"""),1)</f>
        <v>1</v>
      </c>
      <c r="Y803" s="12" t="str">
        <f ca="1">IFERROR(__xludf.DUMMYFUNCTION("""COMPUTED_VALUE"""),"Student was shot next to campus and ran into the school for help, transported in serious condition")</f>
        <v>Student was shot next to campus and ran into the school for help, transported in serious condition</v>
      </c>
      <c r="Z803" s="12" t="str">
        <f ca="1">IFERROR(__xludf.DUMMYFUNCTION("""COMPUTED_VALUE"""),"Student was shot near the campus and ran back to the school for help. School was placed on lockdown, after school and evening activities were cancelled, and large police response to search the entire building for a shooter or weapon. Student transported i"&amp;"n serious condition. Extra police will patrol campus for the remainder of the week.")</f>
        <v>Student was shot near the campus and ran back to the school for help. School was placed on lockdown, after school and evening activities were cancelled, and large police response to search the entire building for a shooter or weapon. Student transported in serious condition. Extra police will patrol campus for the remainder of the week.</v>
      </c>
      <c r="AA803" s="8"/>
      <c r="AB803" s="8"/>
      <c r="AC803" s="8" t="str">
        <f ca="1">IFERROR(__xludf.DUMMYFUNCTION("""COMPUTED_VALUE"""),"Yes")</f>
        <v>Yes</v>
      </c>
      <c r="AD803" s="8" t="str">
        <f ca="1">IFERROR(__xludf.DUMMYFUNCTION("""COMPUTED_VALUE"""),"Victims Targeted")</f>
        <v>Victims Targeted</v>
      </c>
      <c r="AE803" s="8"/>
      <c r="AF803" s="8"/>
      <c r="AG803" s="8" t="str">
        <f ca="1">IFERROR(__xludf.DUMMYFUNCTION("""COMPUTED_VALUE"""),"No")</f>
        <v>No</v>
      </c>
      <c r="AH803" s="8" t="str">
        <f ca="1">IFERROR(__xludf.DUMMYFUNCTION("""COMPUTED_VALUE"""),"No")</f>
        <v>No</v>
      </c>
      <c r="AI803" s="8" t="str">
        <f ca="1">IFERROR(__xludf.DUMMYFUNCTION("""COMPUTED_VALUE"""),"No")</f>
        <v>No</v>
      </c>
      <c r="AJ803" s="8"/>
      <c r="AK803" s="8" t="str">
        <f ca="1">IFERROR(__xludf.DUMMYFUNCTION("""COMPUTED_VALUE"""),"No")</f>
        <v>No</v>
      </c>
      <c r="AL803" s="8"/>
      <c r="AM803" s="8" t="str">
        <f ca="1">IFERROR(__xludf.DUMMYFUNCTION("""COMPUTED_VALUE"""),"No")</f>
        <v>No</v>
      </c>
      <c r="AN803" s="8" t="str">
        <f ca="1">IFERROR(__xludf.DUMMYFUNCTION("""COMPUTED_VALUE"""),"Outside")</f>
        <v>Outside</v>
      </c>
      <c r="AO803" s="8" t="str">
        <f ca="1">IFERROR(__xludf.DUMMYFUNCTION("""COMPUTED_VALUE"""),"No")</f>
        <v>No</v>
      </c>
      <c r="AP803" s="8"/>
      <c r="AQ803" s="8"/>
      <c r="AR803" s="8" t="str">
        <f ca="1">IFERROR(__xludf.DUMMYFUNCTION("""COMPUTED_VALUE"""),"Outside/Off-Property")</f>
        <v>Outside/Off-Property</v>
      </c>
      <c r="AS803" s="8">
        <f ca="1">IFERROR(__xludf.DUMMYFUNCTION("""COMPUTED_VALUE"""),99)</f>
        <v>99</v>
      </c>
      <c r="AT803" s="8" t="str">
        <f ca="1">IFERROR(__xludf.DUMMYFUNCTION("""COMPUTED_VALUE"""),"Yes")</f>
        <v>Yes</v>
      </c>
      <c r="AU803" s="8">
        <f ca="1">IFERROR(__xludf.DUMMYFUNCTION("""COMPUTED_VALUE"""),39.189778)</f>
        <v>39.189777999999997</v>
      </c>
      <c r="AV803" s="8">
        <f ca="1">IFERROR(__xludf.DUMMYFUNCTION("""COMPUTED_VALUE"""),-84.465894)</f>
        <v>-84.465894000000006</v>
      </c>
      <c r="AW803" s="8"/>
      <c r="AX803" s="8">
        <f ca="1">IFERROR(__xludf.DUMMYFUNCTION("""COMPUTED_VALUE"""),45241)</f>
        <v>45241</v>
      </c>
    </row>
    <row r="804" spans="1:50" ht="375" x14ac:dyDescent="0.2">
      <c r="A804" s="8" t="str">
        <f ca="1">IFERROR(__xludf.DUMMYFUNCTION("""COMPUTED_VALUE"""),"20230222NCROL")</f>
        <v>20230222NCROL</v>
      </c>
      <c r="B804" s="8">
        <f ca="1">IFERROR(__xludf.DUMMYFUNCTION("""COMPUTED_VALUE"""),2)</f>
        <v>2</v>
      </c>
      <c r="C804" s="8">
        <f ca="1">IFERROR(__xludf.DUMMYFUNCTION("""COMPUTED_VALUE"""),22)</f>
        <v>22</v>
      </c>
      <c r="D804" s="8">
        <f ca="1">IFERROR(__xludf.DUMMYFUNCTION("""COMPUTED_VALUE"""),2023)</f>
        <v>2023</v>
      </c>
      <c r="E804" s="9">
        <f ca="1">IFERROR(__xludf.DUMMYFUNCTION("""COMPUTED_VALUE"""),44979)</f>
        <v>44979</v>
      </c>
      <c r="F804" s="8" t="str">
        <f ca="1">IFERROR(__xludf.DUMMYFUNCTION("""COMPUTED_VALUE"""),"Roger Bacon Douglas Academy")</f>
        <v>Roger Bacon Douglas Academy</v>
      </c>
      <c r="G804" s="8">
        <f ca="1">IFERROR(__xludf.DUMMYFUNCTION("""COMPUTED_VALUE"""),0)</f>
        <v>0</v>
      </c>
      <c r="H804" s="8">
        <f ca="1">IFERROR(__xludf.DUMMYFUNCTION("""COMPUTED_VALUE"""),0)</f>
        <v>0</v>
      </c>
      <c r="I804" s="8">
        <f ca="1">IFERROR(__xludf.DUMMYFUNCTION("""COMPUTED_VALUE"""),0)</f>
        <v>0</v>
      </c>
      <c r="J804" s="8">
        <f ca="1">IFERROR(__xludf.DUMMYFUNCTION("""COMPUTED_VALUE"""),0)</f>
        <v>0</v>
      </c>
      <c r="K804" s="10" t="str">
        <f ca="1">IFERROR(__xludf.DUMMYFUNCTION("""COMPUTED_VALUE"""),"https://www.justice.gov/usao-ednc/pr/wilmington-crips-gang-member-who-fired-sawed-rifle-near-school-sentenced-15-years")</f>
        <v>https://www.justice.gov/usao-ednc/pr/wilmington-crips-gang-member-who-fired-sawed-rifle-near-school-sentenced-15-years</v>
      </c>
      <c r="L804" s="8">
        <f ca="1">IFERROR(__xludf.DUMMYFUNCTION("""COMPUTED_VALUE"""),1)</f>
        <v>1</v>
      </c>
      <c r="M804" s="8" t="str">
        <f ca="1">IFERROR(__xludf.DUMMYFUNCTION("""COMPUTED_VALUE"""),"National")</f>
        <v>National</v>
      </c>
      <c r="N804" s="8">
        <f ca="1">IFERROR(__xludf.DUMMYFUNCTION("""COMPUTED_VALUE"""),5)</f>
        <v>5</v>
      </c>
      <c r="O804" s="8" t="str">
        <f ca="1">IFERROR(__xludf.DUMMYFUNCTION("""COMPUTED_VALUE"""),"Spring")</f>
        <v>Spring</v>
      </c>
      <c r="P804" s="8" t="str">
        <f ca="1">IFERROR(__xludf.DUMMYFUNCTION("""COMPUTED_VALUE"""),"Leland")</f>
        <v>Leland</v>
      </c>
      <c r="Q804" s="8" t="str">
        <f ca="1">IFERROR(__xludf.DUMMYFUNCTION("""COMPUTED_VALUE"""),"NC")</f>
        <v>NC</v>
      </c>
      <c r="R804" s="8" t="str">
        <f ca="1">IFERROR(__xludf.DUMMYFUNCTION("""COMPUTED_VALUE"""),"Elementary")</f>
        <v>Elementary</v>
      </c>
      <c r="S804" s="8" t="str">
        <f ca="1">IFERROR(__xludf.DUMMYFUNCTION("""COMPUTED_VALUE"""),"Parking Lot")</f>
        <v>Parking Lot</v>
      </c>
      <c r="T804" s="8" t="str">
        <f ca="1">IFERROR(__xludf.DUMMYFUNCTION("""COMPUTED_VALUE"""),"Outside on School Property")</f>
        <v>Outside on School Property</v>
      </c>
      <c r="U804" s="8" t="str">
        <f ca="1">IFERROR(__xludf.DUMMYFUNCTION("""COMPUTED_VALUE"""),"Yes")</f>
        <v>Yes</v>
      </c>
      <c r="V804" s="8" t="str">
        <f ca="1">IFERROR(__xludf.DUMMYFUNCTION("""COMPUTED_VALUE"""),"Afternoon Classes")</f>
        <v>Afternoon Classes</v>
      </c>
      <c r="W804" s="8"/>
      <c r="X804" s="8">
        <f ca="1">IFERROR(__xludf.DUMMYFUNCTION("""COMPUTED_VALUE"""),1)</f>
        <v>1</v>
      </c>
      <c r="Y804" s="12" t="str">
        <f ca="1">IFERROR(__xludf.DUMMYFUNCTION("""COMPUTED_VALUE"""),"Man fired shot striking vehicle in school parking lot while kids were outside")</f>
        <v>Man fired shot striking vehicle in school parking lot while kids were outside</v>
      </c>
      <c r="Z804" s="12" t="str">
        <f ca="1">IFERROR(__xludf.DUMMYFUNCTION("""COMPUTED_VALUE"""),"According to court documents and other information presented in court, Jackson, 24, fired a 9mm sawed-off rifle multiple times at another individual. The shooting occurred during the day on February 22, 2023, at the intersection of 6th Street and Campbell"&amp;" Street in Wilmington, just over 200 feet away from the Roger Bacon Douglas Academy, a K-5 charter school, where children were present. No one was injured during the shooting, though a vehicle parked at the school was struck by one of the bullets. Four ad"&amp;"ditional shell casings were found on scene. Officers located Jackson driving a vehicle in Pender County shortly thereafter and attempted a traffic stop. Jackson fled from law enforcement officers at high rates of speed—as fast as 118 mph—and tossed the gu"&amp;"n out of the car window. Eventually, Jackson lost control and crashed the vehicle into a median. A search of the vehicle yielded marijuana and oxycodone along with drug paraphernalia. Jackson’s phone contained evidence of his involvement in the drug trade"&amp;" along with photos in which he posed with firearms, including the sawed-off rifle used in the shooting. Jackson has been convicted of several felony offenses in the past, including assault with a deadly weapon inflicting serious injury, felon in possessio"&amp;"n of a firearm, attempted first degree burglary and attempted second degree kidnapping. He was on state probation and wearing an ankle monitor at the time of the federal offense.")</f>
        <v>According to court documents and other information presented in court, Jackson, 24, fired a 9mm sawed-off rifle multiple times at another individual. The shooting occurred during the day on February 22, 2023, at the intersection of 6th Street and Campbell Street in Wilmington, just over 200 feet away from the Roger Bacon Douglas Academy, a K-5 charter school, where children were present. No one was injured during the shooting, though a vehicle parked at the school was struck by one of the bullets. Four additional shell casings were found on scene. Officers located Jackson driving a vehicle in Pender County shortly thereafter and attempted a traffic stop. Jackson fled from law enforcement officers at high rates of speed—as fast as 118 mph—and tossed the gun out of the car window. Eventually, Jackson lost control and crashed the vehicle into a median. A search of the vehicle yielded marijuana and oxycodone along with drug paraphernalia. Jackson’s phone contained evidence of his involvement in the drug trade along with photos in which he posed with firearms, including the sawed-off rifle used in the shooting. Jackson has been convicted of several felony offenses in the past, including assault with a deadly weapon inflicting serious injury, felon in possession of a firearm, attempted first degree burglary and attempted second degree kidnapping. He was on state probation and wearing an ankle monitor at the time of the federal offense.</v>
      </c>
      <c r="AA804" s="8"/>
      <c r="AB804" s="8" t="str">
        <f ca="1">IFERROR(__xludf.DUMMYFUNCTION("""COMPUTED_VALUE"""),"Targeted")</f>
        <v>Targeted</v>
      </c>
      <c r="AC804" s="8" t="str">
        <f ca="1">IFERROR(__xludf.DUMMYFUNCTION("""COMPUTED_VALUE"""),"Yes")</f>
        <v>Yes</v>
      </c>
      <c r="AD804" s="8" t="str">
        <f ca="1">IFERROR(__xludf.DUMMYFUNCTION("""COMPUTED_VALUE"""),"Victims Targeted")</f>
        <v>Victims Targeted</v>
      </c>
      <c r="AE804" s="8" t="str">
        <f ca="1">IFERROR(__xludf.DUMMYFUNCTION("""COMPUTED_VALUE"""),"No")</f>
        <v>No</v>
      </c>
      <c r="AF804" s="8"/>
      <c r="AG804" s="8" t="str">
        <f ca="1">IFERROR(__xludf.DUMMYFUNCTION("""COMPUTED_VALUE"""),"No")</f>
        <v>No</v>
      </c>
      <c r="AH804" s="8" t="str">
        <f ca="1">IFERROR(__xludf.DUMMYFUNCTION("""COMPUTED_VALUE"""),"No")</f>
        <v>No</v>
      </c>
      <c r="AI804" s="8" t="str">
        <f ca="1">IFERROR(__xludf.DUMMYFUNCTION("""COMPUTED_VALUE"""),"No")</f>
        <v>No</v>
      </c>
      <c r="AJ804" s="8" t="str">
        <f ca="1">IFERROR(__xludf.DUMMYFUNCTION("""COMPUTED_VALUE"""),"No")</f>
        <v>No</v>
      </c>
      <c r="AK804" s="8" t="str">
        <f ca="1">IFERROR(__xludf.DUMMYFUNCTION("""COMPUTED_VALUE"""),"No")</f>
        <v>No</v>
      </c>
      <c r="AL804" s="8" t="str">
        <f ca="1">IFERROR(__xludf.DUMMYFUNCTION("""COMPUTED_VALUE"""),"Yes")</f>
        <v>Yes</v>
      </c>
      <c r="AM804" s="8" t="str">
        <f ca="1">IFERROR(__xludf.DUMMYFUNCTION("""COMPUTED_VALUE"""),"No")</f>
        <v>No</v>
      </c>
      <c r="AN804" s="8" t="str">
        <f ca="1">IFERROR(__xludf.DUMMYFUNCTION("""COMPUTED_VALUE"""),"Outside")</f>
        <v>Outside</v>
      </c>
      <c r="AO804" s="8" t="str">
        <f ca="1">IFERROR(__xludf.DUMMYFUNCTION("""COMPUTED_VALUE"""),"No")</f>
        <v>No</v>
      </c>
      <c r="AP804" s="8"/>
      <c r="AQ804" s="8"/>
      <c r="AR804" s="8" t="str">
        <f ca="1">IFERROR(__xludf.DUMMYFUNCTION("""COMPUTED_VALUE"""),"Outside/Off-Property")</f>
        <v>Outside/Off-Property</v>
      </c>
      <c r="AS804" s="8">
        <f ca="1">IFERROR(__xludf.DUMMYFUNCTION("""COMPUTED_VALUE"""),99)</f>
        <v>99</v>
      </c>
      <c r="AT804" s="8" t="str">
        <f ca="1">IFERROR(__xludf.DUMMYFUNCTION("""COMPUTED_VALUE"""),"Yes")</f>
        <v>Yes</v>
      </c>
      <c r="AU804" s="8">
        <f ca="1">IFERROR(__xludf.DUMMYFUNCTION("""COMPUTED_VALUE"""),34.283066)</f>
        <v>34.283065999999998</v>
      </c>
      <c r="AV804" s="8">
        <f ca="1">IFERROR(__xludf.DUMMYFUNCTION("""COMPUTED_VALUE"""),-78.136522)</f>
        <v>-78.136521999999999</v>
      </c>
      <c r="AW804" s="8" t="str">
        <f ca="1">IFERROR(__xludf.DUMMYFUNCTION("""COMPUTED_VALUE"""),"Multiple detached buildings")</f>
        <v>Multiple detached buildings</v>
      </c>
      <c r="AX804" s="8">
        <f ca="1">IFERROR(__xludf.DUMMYFUNCTION("""COMPUTED_VALUE"""),28451)</f>
        <v>28451</v>
      </c>
    </row>
    <row r="805" spans="1:50" ht="135" x14ac:dyDescent="0.2">
      <c r="A805" s="8" t="str">
        <f ca="1">IFERROR(__xludf.DUMMYFUNCTION("""COMPUTED_VALUE"""),"20230222COESE")</f>
        <v>20230222COESE</v>
      </c>
      <c r="B805" s="8">
        <f ca="1">IFERROR(__xludf.DUMMYFUNCTION("""COMPUTED_VALUE"""),2)</f>
        <v>2</v>
      </c>
      <c r="C805" s="8">
        <f ca="1">IFERROR(__xludf.DUMMYFUNCTION("""COMPUTED_VALUE"""),22)</f>
        <v>22</v>
      </c>
      <c r="D805" s="8">
        <f ca="1">IFERROR(__xludf.DUMMYFUNCTION("""COMPUTED_VALUE"""),2023)</f>
        <v>2023</v>
      </c>
      <c r="E805" s="9">
        <f ca="1">IFERROR(__xludf.DUMMYFUNCTION("""COMPUTED_VALUE"""),44979)</f>
        <v>44979</v>
      </c>
      <c r="F805" s="8" t="str">
        <f ca="1">IFERROR(__xludf.DUMMYFUNCTION("""COMPUTED_VALUE"""),"Estes Park Elementary School")</f>
        <v>Estes Park Elementary School</v>
      </c>
      <c r="G805" s="8">
        <f ca="1">IFERROR(__xludf.DUMMYFUNCTION("""COMPUTED_VALUE"""),0)</f>
        <v>0</v>
      </c>
      <c r="H805" s="8">
        <f ca="1">IFERROR(__xludf.DUMMYFUNCTION("""COMPUTED_VALUE"""),0)</f>
        <v>0</v>
      </c>
      <c r="I805" s="8">
        <f ca="1">IFERROR(__xludf.DUMMYFUNCTION("""COMPUTED_VALUE"""),0)</f>
        <v>0</v>
      </c>
      <c r="J805" s="8">
        <f ca="1">IFERROR(__xludf.DUMMYFUNCTION("""COMPUTED_VALUE"""),0)</f>
        <v>0</v>
      </c>
      <c r="K805" s="10" t="str">
        <f ca="1">IFERROR(__xludf.DUMMYFUNCTION("""COMPUTED_VALUE"""),"https://www.facebook.com/estesparkpolicedepartment/posts/pfbid031Cu6RiiwnDb4YLSr8zLv61wY9ehmfdKubMgEjw4yHRJeTq5BFzS5G8uiEYJ164fgl
https://www.sacbee.com/news/nation-world/national/article272581192.html")</f>
        <v>https://www.facebook.com/estesparkpolicedepartment/posts/pfbid031Cu6RiiwnDb4YLSr8zLv61wY9ehmfdKubMgEjw4yHRJeTq5BFzS5G8uiEYJ164fgl
https://www.sacbee.com/news/nation-world/national/article272581192.html</v>
      </c>
      <c r="L805" s="8">
        <f ca="1">IFERROR(__xludf.DUMMYFUNCTION("""COMPUTED_VALUE"""),3)</f>
        <v>3</v>
      </c>
      <c r="M805" s="8" t="str">
        <f ca="1">IFERROR(__xludf.DUMMYFUNCTION("""COMPUTED_VALUE"""),"Regional")</f>
        <v>Regional</v>
      </c>
      <c r="N805" s="8">
        <f ca="1">IFERROR(__xludf.DUMMYFUNCTION("""COMPUTED_VALUE"""),4)</f>
        <v>4</v>
      </c>
      <c r="O805" s="8" t="str">
        <f ca="1">IFERROR(__xludf.DUMMYFUNCTION("""COMPUTED_VALUE"""),"Winter")</f>
        <v>Winter</v>
      </c>
      <c r="P805" s="8" t="str">
        <f ca="1">IFERROR(__xludf.DUMMYFUNCTION("""COMPUTED_VALUE"""),"Estes Park")</f>
        <v>Estes Park</v>
      </c>
      <c r="Q805" s="8" t="str">
        <f ca="1">IFERROR(__xludf.DUMMYFUNCTION("""COMPUTED_VALUE"""),"CO")</f>
        <v>CO</v>
      </c>
      <c r="R805" s="8" t="str">
        <f ca="1">IFERROR(__xludf.DUMMYFUNCTION("""COMPUTED_VALUE"""),"Elementary")</f>
        <v>Elementary</v>
      </c>
      <c r="S805" s="8" t="str">
        <f ca="1">IFERROR(__xludf.DUMMYFUNCTION("""COMPUTED_VALUE"""),"Inside School Building")</f>
        <v>Inside School Building</v>
      </c>
      <c r="T805" s="8" t="str">
        <f ca="1">IFERROR(__xludf.DUMMYFUNCTION("""COMPUTED_VALUE"""),"Inside School Building")</f>
        <v>Inside School Building</v>
      </c>
      <c r="U805" s="8" t="str">
        <f ca="1">IFERROR(__xludf.DUMMYFUNCTION("""COMPUTED_VALUE"""),"Yes")</f>
        <v>Yes</v>
      </c>
      <c r="V805" s="8" t="str">
        <f ca="1">IFERROR(__xludf.DUMMYFUNCTION("""COMPUTED_VALUE"""),"Morning Classes")</f>
        <v>Morning Classes</v>
      </c>
      <c r="W805" s="11">
        <f ca="1">IFERROR(__xludf.DUMMYFUNCTION("""COMPUTED_VALUE"""),0.390972222222222)</f>
        <v>0.390972222222222</v>
      </c>
      <c r="X805" s="8">
        <f ca="1">IFERROR(__xludf.DUMMYFUNCTION("""COMPUTED_VALUE"""),1)</f>
        <v>1</v>
      </c>
      <c r="Y805" s="12" t="str">
        <f ca="1">IFERROR(__xludf.DUMMYFUNCTION("""COMPUTED_VALUE"""),"Officer fired round into floor during swatting response")</f>
        <v>Officer fired round into floor during swatting response</v>
      </c>
      <c r="Z805" s="12" t="str">
        <f ca="1">IFERROR(__xludf.DUMMYFUNCTION("""COMPUTED_VALUE"""),"During its investigation at the Estes Park Schools, an Estes Park Police officer accidentally discharged one round into the floor at the Elementary School. No one was injured. Other officers were in the building to assist, including officers from the Nati"&amp;"onal Park Service and Larimer County Sheriff’s Office. There were no students or School District personnel present in the school at the time of the discharge. The Police Department is reviewing its response to this call and the subsequent accidental disch"&amp;"arge.")</f>
        <v>During its investigation at the Estes Park Schools, an Estes Park Police officer accidentally discharged one round into the floor at the Elementary School. No one was injured. Other officers were in the building to assist, including officers from the National Park Service and Larimer County Sheriff’s Office. There were no students or School District personnel present in the school at the time of the discharge. The Police Department is reviewing its response to this call and the subsequent accidental discharge.</v>
      </c>
      <c r="AA805" s="8" t="str">
        <f ca="1">IFERROR(__xludf.DUMMYFUNCTION("""COMPUTED_VALUE"""),"Accidental")</f>
        <v>Accidental</v>
      </c>
      <c r="AB805" s="8"/>
      <c r="AC805" s="8" t="str">
        <f ca="1">IFERROR(__xludf.DUMMYFUNCTION("""COMPUTED_VALUE"""),"Yes")</f>
        <v>Yes</v>
      </c>
      <c r="AD805" s="8" t="str">
        <f ca="1">IFERROR(__xludf.DUMMYFUNCTION("""COMPUTED_VALUE"""),"Neither")</f>
        <v>Neither</v>
      </c>
      <c r="AE805" s="8" t="str">
        <f ca="1">IFERROR(__xludf.DUMMYFUNCTION("""COMPUTED_VALUE"""),"No")</f>
        <v>No</v>
      </c>
      <c r="AF805" s="8"/>
      <c r="AG805" s="8" t="str">
        <f ca="1">IFERROR(__xludf.DUMMYFUNCTION("""COMPUTED_VALUE"""),"No")</f>
        <v>No</v>
      </c>
      <c r="AH805" s="8" t="str">
        <f ca="1">IFERROR(__xludf.DUMMYFUNCTION("""COMPUTED_VALUE"""),"No")</f>
        <v>No</v>
      </c>
      <c r="AI805" s="8" t="str">
        <f ca="1">IFERROR(__xludf.DUMMYFUNCTION("""COMPUTED_VALUE"""),"Yes")</f>
        <v>Yes</v>
      </c>
      <c r="AJ805" s="8" t="str">
        <f ca="1">IFERROR(__xludf.DUMMYFUNCTION("""COMPUTED_VALUE"""),"No")</f>
        <v>No</v>
      </c>
      <c r="AK805" s="8" t="str">
        <f ca="1">IFERROR(__xludf.DUMMYFUNCTION("""COMPUTED_VALUE"""),"No")</f>
        <v>No</v>
      </c>
      <c r="AL805" s="8" t="str">
        <f ca="1">IFERROR(__xludf.DUMMYFUNCTION("""COMPUTED_VALUE"""),"No")</f>
        <v>No</v>
      </c>
      <c r="AM805" s="8" t="str">
        <f ca="1">IFERROR(__xludf.DUMMYFUNCTION("""COMPUTED_VALUE"""),"No")</f>
        <v>No</v>
      </c>
      <c r="AN805" s="8" t="str">
        <f ca="1">IFERROR(__xludf.DUMMYFUNCTION("""COMPUTED_VALUE"""),"Single Room")</f>
        <v>Single Room</v>
      </c>
      <c r="AO805" s="8" t="str">
        <f ca="1">IFERROR(__xludf.DUMMYFUNCTION("""COMPUTED_VALUE"""),"No")</f>
        <v>No</v>
      </c>
      <c r="AP805" s="8"/>
      <c r="AQ805" s="8"/>
      <c r="AR805" s="8"/>
      <c r="AS805" s="8">
        <f ca="1">IFERROR(__xludf.DUMMYFUNCTION("""COMPUTED_VALUE"""),1)</f>
        <v>1</v>
      </c>
      <c r="AT805" s="8" t="str">
        <f ca="1">IFERROR(__xludf.DUMMYFUNCTION("""COMPUTED_VALUE"""),"Yes")</f>
        <v>Yes</v>
      </c>
      <c r="AU805" s="8">
        <f ca="1">IFERROR(__xludf.DUMMYFUNCTION("""COMPUTED_VALUE"""),40.368443)</f>
        <v>40.368442999999999</v>
      </c>
      <c r="AV805" s="8">
        <f ca="1">IFERROR(__xludf.DUMMYFUNCTION("""COMPUTED_VALUE"""),-105.498572)</f>
        <v>-105.498572</v>
      </c>
      <c r="AW805" s="8"/>
      <c r="AX805" s="8">
        <f ca="1">IFERROR(__xludf.DUMMYFUNCTION("""COMPUTED_VALUE"""),80517)</f>
        <v>80517</v>
      </c>
    </row>
    <row r="806" spans="1:50" ht="90" x14ac:dyDescent="0.2">
      <c r="A806" s="8" t="str">
        <f ca="1">IFERROR(__xludf.DUMMYFUNCTION("""COMPUTED_VALUE"""),"20230221LARUR")</f>
        <v>20230221LARUR</v>
      </c>
      <c r="B806" s="8">
        <f ca="1">IFERROR(__xludf.DUMMYFUNCTION("""COMPUTED_VALUE"""),2)</f>
        <v>2</v>
      </c>
      <c r="C806" s="8">
        <f ca="1">IFERROR(__xludf.DUMMYFUNCTION("""COMPUTED_VALUE"""),21)</f>
        <v>21</v>
      </c>
      <c r="D806" s="8">
        <f ca="1">IFERROR(__xludf.DUMMYFUNCTION("""COMPUTED_VALUE"""),2023)</f>
        <v>2023</v>
      </c>
      <c r="E806" s="9">
        <f ca="1">IFERROR(__xludf.DUMMYFUNCTION("""COMPUTED_VALUE"""),44978)</f>
        <v>44978</v>
      </c>
      <c r="F806" s="8" t="str">
        <f ca="1">IFERROR(__xludf.DUMMYFUNCTION("""COMPUTED_VALUE"""),"Ruston High School")</f>
        <v>Ruston High School</v>
      </c>
      <c r="G806" s="8">
        <f ca="1">IFERROR(__xludf.DUMMYFUNCTION("""COMPUTED_VALUE"""),0)</f>
        <v>0</v>
      </c>
      <c r="H806" s="8">
        <f ca="1">IFERROR(__xludf.DUMMYFUNCTION("""COMPUTED_VALUE"""),0)</f>
        <v>0</v>
      </c>
      <c r="I806" s="8">
        <f ca="1">IFERROR(__xludf.DUMMYFUNCTION("""COMPUTED_VALUE"""),0)</f>
        <v>0</v>
      </c>
      <c r="J806" s="8">
        <f ca="1">IFERROR(__xludf.DUMMYFUNCTION("""COMPUTED_VALUE"""),0)</f>
        <v>0</v>
      </c>
      <c r="K806" s="10" t="str">
        <f ca="1">IFERROR(__xludf.DUMMYFUNCTION("""COMPUTED_VALUE"""),"https://www.ktbs.com/news/shots-fired-at-high-school-softball-game-in-ruston/article_e06bf462-b265-11ed-9c2f-539d51dd1262.html
https://www.ksla.com/2023/02/21/bullet-interrupts-high-school-softball-game/")</f>
        <v>https://www.ktbs.com/news/shots-fired-at-high-school-softball-game-in-ruston/article_e06bf462-b265-11ed-9c2f-539d51dd1262.html
https://www.ksla.com/2023/02/21/bullet-interrupts-high-school-softball-game/</v>
      </c>
      <c r="L806" s="8">
        <f ca="1">IFERROR(__xludf.DUMMYFUNCTION("""COMPUTED_VALUE"""),2)</f>
        <v>2</v>
      </c>
      <c r="M806" s="8" t="str">
        <f ca="1">IFERROR(__xludf.DUMMYFUNCTION("""COMPUTED_VALUE"""),"Local")</f>
        <v>Local</v>
      </c>
      <c r="N806" s="8">
        <f ca="1">IFERROR(__xludf.DUMMYFUNCTION("""COMPUTED_VALUE"""),4)</f>
        <v>4</v>
      </c>
      <c r="O806" s="8" t="str">
        <f ca="1">IFERROR(__xludf.DUMMYFUNCTION("""COMPUTED_VALUE"""),"Winter")</f>
        <v>Winter</v>
      </c>
      <c r="P806" s="8" t="str">
        <f ca="1">IFERROR(__xludf.DUMMYFUNCTION("""COMPUTED_VALUE"""),"Ruston")</f>
        <v>Ruston</v>
      </c>
      <c r="Q806" s="8" t="str">
        <f ca="1">IFERROR(__xludf.DUMMYFUNCTION("""COMPUTED_VALUE"""),"LA")</f>
        <v>LA</v>
      </c>
      <c r="R806" s="8" t="str">
        <f ca="1">IFERROR(__xludf.DUMMYFUNCTION("""COMPUTED_VALUE"""),"High")</f>
        <v>High</v>
      </c>
      <c r="S806" s="8" t="str">
        <f ca="1">IFERROR(__xludf.DUMMYFUNCTION("""COMPUTED_VALUE"""),"Field (General)")</f>
        <v>Field (General)</v>
      </c>
      <c r="T806" s="8" t="str">
        <f ca="1">IFERROR(__xludf.DUMMYFUNCTION("""COMPUTED_VALUE"""),"Outside on School Property")</f>
        <v>Outside on School Property</v>
      </c>
      <c r="U806" s="8" t="str">
        <f ca="1">IFERROR(__xludf.DUMMYFUNCTION("""COMPUTED_VALUE"""),"No")</f>
        <v>No</v>
      </c>
      <c r="V806" s="8" t="str">
        <f ca="1">IFERROR(__xludf.DUMMYFUNCTION("""COMPUTED_VALUE"""),"Sport Event")</f>
        <v>Sport Event</v>
      </c>
      <c r="W806" s="11">
        <f ca="1">IFERROR(__xludf.DUMMYFUNCTION("""COMPUTED_VALUE"""),0.708333333333333)</f>
        <v>0.70833333333333304</v>
      </c>
      <c r="X806" s="8">
        <f ca="1">IFERROR(__xludf.DUMMYFUNCTION("""COMPUTED_VALUE"""),1)</f>
        <v>1</v>
      </c>
      <c r="Y806" s="12" t="str">
        <f ca="1">IFERROR(__xludf.DUMMYFUNCTION("""COMPUTED_VALUE"""),"Bullet struck dugout during girls softball game")</f>
        <v>Bullet struck dugout during girls softball game</v>
      </c>
      <c r="Z806" s="12" t="str">
        <f ca="1">IFERROR(__xludf.DUMMYFUNCTION("""COMPUTED_VALUE"""),"Bullet struck the dugout where high school softball players were sitting. Witnesses reported hearing gunshots off in the distance, then a bullet hit a dugout, authorities said. You can see where it cut through the plastic dugout barrier and struck a metal"&amp;" pole, stopping it from hitting any of the players.")</f>
        <v>Bullet struck the dugout where high school softball players were sitting. Witnesses reported hearing gunshots off in the distance, then a bullet hit a dugout, authorities said. You can see where it cut through the plastic dugout barrier and struck a metal pole, stopping it from hitting any of the players.</v>
      </c>
      <c r="AA806" s="8" t="str">
        <f ca="1">IFERROR(__xludf.DUMMYFUNCTION("""COMPUTED_VALUE"""),"Accidental")</f>
        <v>Accidental</v>
      </c>
      <c r="AB806" s="8"/>
      <c r="AC806" s="8" t="str">
        <f ca="1">IFERROR(__xludf.DUMMYFUNCTION("""COMPUTED_VALUE"""),"Yes")</f>
        <v>Yes</v>
      </c>
      <c r="AD806" s="8" t="str">
        <f ca="1">IFERROR(__xludf.DUMMYFUNCTION("""COMPUTED_VALUE"""),"Neither")</f>
        <v>Neither</v>
      </c>
      <c r="AE806" s="8"/>
      <c r="AF806" s="8"/>
      <c r="AG806" s="8" t="str">
        <f ca="1">IFERROR(__xludf.DUMMYFUNCTION("""COMPUTED_VALUE"""),"No")</f>
        <v>No</v>
      </c>
      <c r="AH806" s="8" t="str">
        <f ca="1">IFERROR(__xludf.DUMMYFUNCTION("""COMPUTED_VALUE"""),"No")</f>
        <v>No</v>
      </c>
      <c r="AI806" s="8" t="str">
        <f ca="1">IFERROR(__xludf.DUMMYFUNCTION("""COMPUTED_VALUE"""),"No")</f>
        <v>No</v>
      </c>
      <c r="AJ806" s="8" t="str">
        <f ca="1">IFERROR(__xludf.DUMMYFUNCTION("""COMPUTED_VALUE"""),"No")</f>
        <v>No</v>
      </c>
      <c r="AK806" s="8" t="str">
        <f ca="1">IFERROR(__xludf.DUMMYFUNCTION("""COMPUTED_VALUE"""),"No")</f>
        <v>No</v>
      </c>
      <c r="AL806" s="8" t="str">
        <f ca="1">IFERROR(__xludf.DUMMYFUNCTION("""COMPUTED_VALUE"""),"No")</f>
        <v>No</v>
      </c>
      <c r="AM806" s="8" t="str">
        <f ca="1">IFERROR(__xludf.DUMMYFUNCTION("""COMPUTED_VALUE"""),"No")</f>
        <v>No</v>
      </c>
      <c r="AN806" s="8" t="str">
        <f ca="1">IFERROR(__xludf.DUMMYFUNCTION("""COMPUTED_VALUE"""),"Outside")</f>
        <v>Outside</v>
      </c>
      <c r="AO806" s="8" t="str">
        <f ca="1">IFERROR(__xludf.DUMMYFUNCTION("""COMPUTED_VALUE"""),"No")</f>
        <v>No</v>
      </c>
      <c r="AP806" s="8"/>
      <c r="AQ806" s="8"/>
      <c r="AR806" s="8" t="str">
        <f ca="1">IFERROR(__xludf.DUMMYFUNCTION("""COMPUTED_VALUE"""),"Outside/Off-Property")</f>
        <v>Outside/Off-Property</v>
      </c>
      <c r="AS806" s="8">
        <f ca="1">IFERROR(__xludf.DUMMYFUNCTION("""COMPUTED_VALUE"""),99)</f>
        <v>99</v>
      </c>
      <c r="AT806" s="8"/>
      <c r="AU806" s="8">
        <f ca="1">IFERROR(__xludf.DUMMYFUNCTION("""COMPUTED_VALUE"""),32.507175)</f>
        <v>32.507174999999997</v>
      </c>
      <c r="AV806" s="8">
        <f ca="1">IFERROR(__xludf.DUMMYFUNCTION("""COMPUTED_VALUE"""),-92.635044)</f>
        <v>-92.635043999999994</v>
      </c>
      <c r="AW806" s="8"/>
      <c r="AX806" s="8">
        <f ca="1">IFERROR(__xludf.DUMMYFUNCTION("""COMPUTED_VALUE"""),71272)</f>
        <v>71272</v>
      </c>
    </row>
    <row r="807" spans="1:50" ht="135" x14ac:dyDescent="0.2">
      <c r="A807" s="8" t="str">
        <f ca="1">IFERROR(__xludf.DUMMYFUNCTION("""COMPUTED_VALUE"""),"20230217NCERE")</f>
        <v>20230217NCERE</v>
      </c>
      <c r="B807" s="8">
        <f ca="1">IFERROR(__xludf.DUMMYFUNCTION("""COMPUTED_VALUE"""),2)</f>
        <v>2</v>
      </c>
      <c r="C807" s="8">
        <f ca="1">IFERROR(__xludf.DUMMYFUNCTION("""COMPUTED_VALUE"""),17)</f>
        <v>17</v>
      </c>
      <c r="D807" s="8">
        <f ca="1">IFERROR(__xludf.DUMMYFUNCTION("""COMPUTED_VALUE"""),2023)</f>
        <v>2023</v>
      </c>
      <c r="E807" s="9">
        <f ca="1">IFERROR(__xludf.DUMMYFUNCTION("""COMPUTED_VALUE"""),44974)</f>
        <v>44974</v>
      </c>
      <c r="F807" s="8" t="str">
        <f ca="1">IFERROR(__xludf.DUMMYFUNCTION("""COMPUTED_VALUE"""),"Erwin Elementary School")</f>
        <v>Erwin Elementary School</v>
      </c>
      <c r="G807" s="8">
        <f ca="1">IFERROR(__xludf.DUMMYFUNCTION("""COMPUTED_VALUE"""),0)</f>
        <v>0</v>
      </c>
      <c r="H807" s="8">
        <f ca="1">IFERROR(__xludf.DUMMYFUNCTION("""COMPUTED_VALUE"""),0)</f>
        <v>0</v>
      </c>
      <c r="I807" s="8">
        <f ca="1">IFERROR(__xludf.DUMMYFUNCTION("""COMPUTED_VALUE"""),0)</f>
        <v>0</v>
      </c>
      <c r="J807" s="8">
        <f ca="1">IFERROR(__xludf.DUMMYFUNCTION("""COMPUTED_VALUE"""),0)</f>
        <v>0</v>
      </c>
      <c r="K807" s="8" t="str">
        <f ca="1">IFERROR(__xludf.DUMMYFUNCTION("""COMPUTED_VALUE"""),"https://abc11.com/erwin-elementary-school-harnett-county-gun-on-campus-in-backpack/12831894/
https://www.cbs17.com/news/local-news/loaded-gun-found-in-students-backpack-at-erwin-elementary-school-police-chief-says/")</f>
        <v>https://abc11.com/erwin-elementary-school-harnett-county-gun-on-campus-in-backpack/12831894/
https://www.cbs17.com/news/local-news/loaded-gun-found-in-students-backpack-at-erwin-elementary-school-police-chief-says/</v>
      </c>
      <c r="L807" s="8">
        <f ca="1">IFERROR(__xludf.DUMMYFUNCTION("""COMPUTED_VALUE"""),5)</f>
        <v>5</v>
      </c>
      <c r="M807" s="8" t="str">
        <f ca="1">IFERROR(__xludf.DUMMYFUNCTION("""COMPUTED_VALUE"""),"Local")</f>
        <v>Local</v>
      </c>
      <c r="N807" s="8">
        <f ca="1">IFERROR(__xludf.DUMMYFUNCTION("""COMPUTED_VALUE"""),4)</f>
        <v>4</v>
      </c>
      <c r="O807" s="8" t="str">
        <f ca="1">IFERROR(__xludf.DUMMYFUNCTION("""COMPUTED_VALUE"""),"Winter")</f>
        <v>Winter</v>
      </c>
      <c r="P807" s="8" t="str">
        <f ca="1">IFERROR(__xludf.DUMMYFUNCTION("""COMPUTED_VALUE"""),"Erwin")</f>
        <v>Erwin</v>
      </c>
      <c r="Q807" s="8" t="str">
        <f ca="1">IFERROR(__xludf.DUMMYFUNCTION("""COMPUTED_VALUE"""),"NC")</f>
        <v>NC</v>
      </c>
      <c r="R807" s="8" t="str">
        <f ca="1">IFERROR(__xludf.DUMMYFUNCTION("""COMPUTED_VALUE"""),"Elementary")</f>
        <v>Elementary</v>
      </c>
      <c r="S807" s="8" t="str">
        <f ca="1">IFERROR(__xludf.DUMMYFUNCTION("""COMPUTED_VALUE"""),"Bathroom")</f>
        <v>Bathroom</v>
      </c>
      <c r="T807" s="8" t="str">
        <f ca="1">IFERROR(__xludf.DUMMYFUNCTION("""COMPUTED_VALUE"""),"Outside on School Property")</f>
        <v>Outside on School Property</v>
      </c>
      <c r="U807" s="8" t="str">
        <f ca="1">IFERROR(__xludf.DUMMYFUNCTION("""COMPUTED_VALUE"""),"Yes")</f>
        <v>Yes</v>
      </c>
      <c r="V807" s="8" t="str">
        <f ca="1">IFERROR(__xludf.DUMMYFUNCTION("""COMPUTED_VALUE"""),"Morning Classes")</f>
        <v>Morning Classes</v>
      </c>
      <c r="W807" s="11">
        <f ca="1">IFERROR(__xludf.DUMMYFUNCTION("""COMPUTED_VALUE"""),0.486111111111111)</f>
        <v>0.48611111111111099</v>
      </c>
      <c r="X807" s="8">
        <f ca="1">IFERROR(__xludf.DUMMYFUNCTION("""COMPUTED_VALUE"""),1)</f>
        <v>1</v>
      </c>
      <c r="Y807" s="12" t="str">
        <f ca="1">IFERROR(__xludf.DUMMYFUNCTION("""COMPUTED_VALUE"""),"4th grade student pointed a loaded gun at another student in the bathroom, detained by SRO")</f>
        <v>4th grade student pointed a loaded gun at another student in the bathroom, detained by SRO</v>
      </c>
      <c r="Z807" s="12" t="str">
        <f ca="1">IFERROR(__xludf.DUMMYFUNCTION("""COMPUTED_VALUE"""),"A loaded handgun was found on campus at Erwin Elementary School on Friday morning, according to the police chief. A school resource officer inside of Erwin Elementary School and other staff were told a fourth grader had a gun in their bag. The weapon was "&amp;"reported by other students after the student pointed it at another student in the bathroom. A loaded handgun was found in a fourth grade student’s backpack around 11:40 a.m. Friday morning, according to Police Chief Johnathan Johnson.")</f>
        <v>A loaded handgun was found on campus at Erwin Elementary School on Friday morning, according to the police chief. A school resource officer inside of Erwin Elementary School and other staff were told a fourth grader had a gun in their bag. The weapon was reported by other students after the student pointed it at another student in the bathroom. A loaded handgun was found in a fourth grade student’s backpack around 11:40 a.m. Friday morning, according to Police Chief Johnathan Johnson.</v>
      </c>
      <c r="AA807" s="8"/>
      <c r="AB807" s="8"/>
      <c r="AC807" s="8" t="str">
        <f ca="1">IFERROR(__xludf.DUMMYFUNCTION("""COMPUTED_VALUE"""),"Yes")</f>
        <v>Yes</v>
      </c>
      <c r="AD807" s="8" t="str">
        <f ca="1">IFERROR(__xludf.DUMMYFUNCTION("""COMPUTED_VALUE"""),"Victims Targeted")</f>
        <v>Victims Targeted</v>
      </c>
      <c r="AE807" s="8" t="str">
        <f ca="1">IFERROR(__xludf.DUMMYFUNCTION("""COMPUTED_VALUE"""),"No")</f>
        <v>No</v>
      </c>
      <c r="AF807" s="8"/>
      <c r="AG807" s="8" t="str">
        <f ca="1">IFERROR(__xludf.DUMMYFUNCTION("""COMPUTED_VALUE"""),"No")</f>
        <v>No</v>
      </c>
      <c r="AH807" s="8" t="str">
        <f ca="1">IFERROR(__xludf.DUMMYFUNCTION("""COMPUTED_VALUE"""),"No")</f>
        <v>No</v>
      </c>
      <c r="AI807" s="8" t="str">
        <f ca="1">IFERROR(__xludf.DUMMYFUNCTION("""COMPUTED_VALUE"""),"No")</f>
        <v>No</v>
      </c>
      <c r="AJ807" s="8"/>
      <c r="AK807" s="8" t="str">
        <f ca="1">IFERROR(__xludf.DUMMYFUNCTION("""COMPUTED_VALUE"""),"No")</f>
        <v>No</v>
      </c>
      <c r="AL807" s="8" t="str">
        <f ca="1">IFERROR(__xludf.DUMMYFUNCTION("""COMPUTED_VALUE"""),"No")</f>
        <v>No</v>
      </c>
      <c r="AM807" s="8" t="str">
        <f ca="1">IFERROR(__xludf.DUMMYFUNCTION("""COMPUTED_VALUE"""),"No")</f>
        <v>No</v>
      </c>
      <c r="AN807" s="8" t="str">
        <f ca="1">IFERROR(__xludf.DUMMYFUNCTION("""COMPUTED_VALUE"""),"Single Room")</f>
        <v>Single Room</v>
      </c>
      <c r="AO807" s="8" t="str">
        <f ca="1">IFERROR(__xludf.DUMMYFUNCTION("""COMPUTED_VALUE"""),"No")</f>
        <v>No</v>
      </c>
      <c r="AP807" s="8" t="str">
        <f ca="1">IFERROR(__xludf.DUMMYFUNCTION("""COMPUTED_VALUE"""),"Yes")</f>
        <v>Yes</v>
      </c>
      <c r="AQ807" s="8" t="str">
        <f ca="1">IFERROR(__xludf.DUMMYFUNCTION("""COMPUTED_VALUE"""),"Armed Guards")</f>
        <v>Armed Guards</v>
      </c>
      <c r="AR807" s="8" t="str">
        <f ca="1">IFERROR(__xludf.DUMMYFUNCTION("""COMPUTED_VALUE"""),"Failed")</f>
        <v>Failed</v>
      </c>
      <c r="AS807" s="8">
        <f ca="1">IFERROR(__xludf.DUMMYFUNCTION("""COMPUTED_VALUE"""),0)</f>
        <v>0</v>
      </c>
      <c r="AT807" s="8" t="str">
        <f ca="1">IFERROR(__xludf.DUMMYFUNCTION("""COMPUTED_VALUE"""),"No")</f>
        <v>No</v>
      </c>
      <c r="AU807" s="8">
        <f ca="1">IFERROR(__xludf.DUMMYFUNCTION("""COMPUTED_VALUE"""),35.326501)</f>
        <v>35.326501</v>
      </c>
      <c r="AV807" s="8">
        <f ca="1">IFERROR(__xludf.DUMMYFUNCTION("""COMPUTED_VALUE"""),-78.671002)</f>
        <v>-78.671002000000001</v>
      </c>
      <c r="AW807" s="8"/>
      <c r="AX807" s="8">
        <f ca="1">IFERROR(__xludf.DUMMYFUNCTION("""COMPUTED_VALUE"""),28339)</f>
        <v>28339</v>
      </c>
    </row>
    <row r="808" spans="1:50" ht="105" x14ac:dyDescent="0.2">
      <c r="A808" s="8" t="str">
        <f ca="1">IFERROR(__xludf.DUMMYFUNCTION("""COMPUTED_VALUE"""),"20230217ILCAC")</f>
        <v>20230217ILCAC</v>
      </c>
      <c r="B808" s="8">
        <f ca="1">IFERROR(__xludf.DUMMYFUNCTION("""COMPUTED_VALUE"""),2)</f>
        <v>2</v>
      </c>
      <c r="C808" s="8">
        <f ca="1">IFERROR(__xludf.DUMMYFUNCTION("""COMPUTED_VALUE"""),17)</f>
        <v>17</v>
      </c>
      <c r="D808" s="8">
        <f ca="1">IFERROR(__xludf.DUMMYFUNCTION("""COMPUTED_VALUE"""),2023)</f>
        <v>2023</v>
      </c>
      <c r="E808" s="9">
        <f ca="1">IFERROR(__xludf.DUMMYFUNCTION("""COMPUTED_VALUE"""),44974)</f>
        <v>44974</v>
      </c>
      <c r="F808" s="8" t="str">
        <f ca="1">IFERROR(__xludf.DUMMYFUNCTION("""COMPUTED_VALUE"""),"Catalyst Circle Rock Charter School")</f>
        <v>Catalyst Circle Rock Charter School</v>
      </c>
      <c r="G808" s="8">
        <f ca="1">IFERROR(__xludf.DUMMYFUNCTION("""COMPUTED_VALUE"""),0)</f>
        <v>0</v>
      </c>
      <c r="H808" s="8">
        <f ca="1">IFERROR(__xludf.DUMMYFUNCTION("""COMPUTED_VALUE"""),1)</f>
        <v>1</v>
      </c>
      <c r="I808" s="8">
        <f ca="1">IFERROR(__xludf.DUMMYFUNCTION("""COMPUTED_VALUE"""),1)</f>
        <v>1</v>
      </c>
      <c r="J808" s="8">
        <f ca="1">IFERROR(__xludf.DUMMYFUNCTION("""COMPUTED_VALUE"""),0)</f>
        <v>0</v>
      </c>
      <c r="K808" s="10" t="str">
        <f ca="1">IFERROR(__xludf.DUMMYFUNCTION("""COMPUTED_VALUE"""),"https://abc7chicago.com/chicago-shooting-today-catalyst-circle-rock-charter-school-south-austin/12833547/")</f>
        <v>https://abc7chicago.com/chicago-shooting-today-catalyst-circle-rock-charter-school-south-austin/12833547/</v>
      </c>
      <c r="L808" s="8">
        <f ca="1">IFERROR(__xludf.DUMMYFUNCTION("""COMPUTED_VALUE"""),1)</f>
        <v>1</v>
      </c>
      <c r="M808" s="8" t="str">
        <f ca="1">IFERROR(__xludf.DUMMYFUNCTION("""COMPUTED_VALUE"""),"Local")</f>
        <v>Local</v>
      </c>
      <c r="N808" s="8">
        <f ca="1">IFERROR(__xludf.DUMMYFUNCTION("""COMPUTED_VALUE"""),4)</f>
        <v>4</v>
      </c>
      <c r="O808" s="8" t="str">
        <f ca="1">IFERROR(__xludf.DUMMYFUNCTION("""COMPUTED_VALUE"""),"Winter")</f>
        <v>Winter</v>
      </c>
      <c r="P808" s="8" t="str">
        <f ca="1">IFERROR(__xludf.DUMMYFUNCTION("""COMPUTED_VALUE"""),"Chicago")</f>
        <v>Chicago</v>
      </c>
      <c r="Q808" s="8" t="str">
        <f ca="1">IFERROR(__xludf.DUMMYFUNCTION("""COMPUTED_VALUE"""),"IL")</f>
        <v>IL</v>
      </c>
      <c r="R808" s="8" t="str">
        <f ca="1">IFERROR(__xludf.DUMMYFUNCTION("""COMPUTED_VALUE"""),"K-12")</f>
        <v>K-12</v>
      </c>
      <c r="S808" s="8" t="str">
        <f ca="1">IFERROR(__xludf.DUMMYFUNCTION("""COMPUTED_VALUE"""),"Beside Building")</f>
        <v>Beside Building</v>
      </c>
      <c r="T808" s="8" t="str">
        <f ca="1">IFERROR(__xludf.DUMMYFUNCTION("""COMPUTED_VALUE"""),"Outside on School Property")</f>
        <v>Outside on School Property</v>
      </c>
      <c r="U808" s="8" t="str">
        <f ca="1">IFERROR(__xludf.DUMMYFUNCTION("""COMPUTED_VALUE"""),"Yes")</f>
        <v>Yes</v>
      </c>
      <c r="V808" s="8" t="str">
        <f ca="1">IFERROR(__xludf.DUMMYFUNCTION("""COMPUTED_VALUE"""),"Dismissal")</f>
        <v>Dismissal</v>
      </c>
      <c r="W808" s="11">
        <f ca="1">IFERROR(__xludf.DUMMYFUNCTION("""COMPUTED_VALUE"""),0.679861111111111)</f>
        <v>0.67986111111111103</v>
      </c>
      <c r="X808" s="8">
        <f ca="1">IFERROR(__xludf.DUMMYFUNCTION("""COMPUTED_VALUE"""),1)</f>
        <v>1</v>
      </c>
      <c r="Y808" s="12" t="str">
        <f ca="1">IFERROR(__xludf.DUMMYFUNCTION("""COMPUTED_VALUE"""),"Teenage girl shot beside school")</f>
        <v>Teenage girl shot beside school</v>
      </c>
      <c r="Z808" s="12" t="str">
        <f ca="1">IFERROR(__xludf.DUMMYFUNCTION("""COMPUTED_VALUE""")," A 17-year-old girl was shot Friday afternoon outside of a charter school on Chicago's West Side, police said. The teen was shot in the leg when someone in a vehicle pulled up and fired shots at her as she walked along a sidewalk in the 5600-block of W. W"&amp;"ashington around 4:19 p.m., Chicago police said. The teen was taken to a local hospital in good condition, police said.")</f>
        <v xml:space="preserve"> A 17-year-old girl was shot Friday afternoon outside of a charter school on Chicago's West Side, police said. The teen was shot in the leg when someone in a vehicle pulled up and fired shots at her as she walked along a sidewalk in the 5600-block of W. Washington around 4:19 p.m., Chicago police said. The teen was taken to a local hospital in good condition, police said.</v>
      </c>
      <c r="AA808" s="8" t="str">
        <f ca="1">IFERROR(__xludf.DUMMYFUNCTION("""COMPUTED_VALUE"""),"Drive-by Shooting")</f>
        <v>Drive-by Shooting</v>
      </c>
      <c r="AB808" s="8"/>
      <c r="AC808" s="8" t="str">
        <f ca="1">IFERROR(__xludf.DUMMYFUNCTION("""COMPUTED_VALUE"""),"Yes")</f>
        <v>Yes</v>
      </c>
      <c r="AD808" s="8" t="str">
        <f ca="1">IFERROR(__xludf.DUMMYFUNCTION("""COMPUTED_VALUE"""),"Victims Targeted")</f>
        <v>Victims Targeted</v>
      </c>
      <c r="AE808" s="8"/>
      <c r="AF808" s="8"/>
      <c r="AG808" s="8" t="str">
        <f ca="1">IFERROR(__xludf.DUMMYFUNCTION("""COMPUTED_VALUE"""),"No")</f>
        <v>No</v>
      </c>
      <c r="AH808" s="8" t="str">
        <f ca="1">IFERROR(__xludf.DUMMYFUNCTION("""COMPUTED_VALUE"""),"No")</f>
        <v>No</v>
      </c>
      <c r="AI808" s="8" t="str">
        <f ca="1">IFERROR(__xludf.DUMMYFUNCTION("""COMPUTED_VALUE"""),"No")</f>
        <v>No</v>
      </c>
      <c r="AJ808" s="8" t="str">
        <f ca="1">IFERROR(__xludf.DUMMYFUNCTION("""COMPUTED_VALUE"""),"No")</f>
        <v>No</v>
      </c>
      <c r="AK808" s="8"/>
      <c r="AL808" s="8"/>
      <c r="AM808" s="8" t="str">
        <f ca="1">IFERROR(__xludf.DUMMYFUNCTION("""COMPUTED_VALUE"""),"No")</f>
        <v>No</v>
      </c>
      <c r="AN808" s="8" t="str">
        <f ca="1">IFERROR(__xludf.DUMMYFUNCTION("""COMPUTED_VALUE"""),"Outside")</f>
        <v>Outside</v>
      </c>
      <c r="AO808" s="8" t="str">
        <f ca="1">IFERROR(__xludf.DUMMYFUNCTION("""COMPUTED_VALUE"""),"No")</f>
        <v>No</v>
      </c>
      <c r="AP808" s="8"/>
      <c r="AQ808" s="8"/>
      <c r="AR808" s="8" t="str">
        <f ca="1">IFERROR(__xludf.DUMMYFUNCTION("""COMPUTED_VALUE"""),"Outside/Off-Property")</f>
        <v>Outside/Off-Property</v>
      </c>
      <c r="AS808" s="8">
        <f ca="1">IFERROR(__xludf.DUMMYFUNCTION("""COMPUTED_VALUE"""),99)</f>
        <v>99</v>
      </c>
      <c r="AT808" s="8"/>
      <c r="AU808" s="8">
        <f ca="1">IFERROR(__xludf.DUMMYFUNCTION("""COMPUTED_VALUE"""),41.882419)</f>
        <v>41.882418999999999</v>
      </c>
      <c r="AV808" s="8">
        <f ca="1">IFERROR(__xludf.DUMMYFUNCTION("""COMPUTED_VALUE"""),-87.765794)</f>
        <v>-87.765794</v>
      </c>
      <c r="AW808" s="8"/>
      <c r="AX808" s="8">
        <f ca="1">IFERROR(__xludf.DUMMYFUNCTION("""COMPUTED_VALUE"""),60644)</f>
        <v>60644</v>
      </c>
    </row>
    <row r="809" spans="1:50" ht="60" x14ac:dyDescent="0.2">
      <c r="A809" s="8" t="str">
        <f ca="1">IFERROR(__xludf.DUMMYFUNCTION("""COMPUTED_VALUE"""),"20230216TXGAG")</f>
        <v>20230216TXGAG</v>
      </c>
      <c r="B809" s="8">
        <f ca="1">IFERROR(__xludf.DUMMYFUNCTION("""COMPUTED_VALUE"""),2)</f>
        <v>2</v>
      </c>
      <c r="C809" s="8">
        <f ca="1">IFERROR(__xludf.DUMMYFUNCTION("""COMPUTED_VALUE"""),16)</f>
        <v>16</v>
      </c>
      <c r="D809" s="8">
        <f ca="1">IFERROR(__xludf.DUMMYFUNCTION("""COMPUTED_VALUE"""),2023)</f>
        <v>2023</v>
      </c>
      <c r="E809" s="9">
        <f ca="1">IFERROR(__xludf.DUMMYFUNCTION("""COMPUTED_VALUE"""),44973)</f>
        <v>44973</v>
      </c>
      <c r="F809" s="8" t="str">
        <f ca="1">IFERROR(__xludf.DUMMYFUNCTION("""COMPUTED_VALUE"""),"Galena Park High School")</f>
        <v>Galena Park High School</v>
      </c>
      <c r="G809" s="8">
        <f ca="1">IFERROR(__xludf.DUMMYFUNCTION("""COMPUTED_VALUE"""),1)</f>
        <v>1</v>
      </c>
      <c r="H809" s="8">
        <f ca="1">IFERROR(__xludf.DUMMYFUNCTION("""COMPUTED_VALUE"""),0)</f>
        <v>0</v>
      </c>
      <c r="I809" s="8">
        <f ca="1">IFERROR(__xludf.DUMMYFUNCTION("""COMPUTED_VALUE"""),1)</f>
        <v>1</v>
      </c>
      <c r="J809" s="8">
        <f ca="1">IFERROR(__xludf.DUMMYFUNCTION("""COMPUTED_VALUE"""),0)</f>
        <v>0</v>
      </c>
      <c r="K809" s="10" t="str">
        <f ca="1">IFERROR(__xludf.DUMMYFUNCTION("""COMPUTED_VALUE"""),"https://www.click2houston.com/news/local/2023/02/17/17-year-old-shot-killed-in-galena-park-hcso-says/
https://abc13.com/galena-park-hs-student-killed-community-center-maros-orta-harris-county-crime/12830479/
https://www.fox26houston.com/news/friends-and-f"&amp;"amily-are-grieving-after-a-17-year-old-high-school-senior-is-shot-to-death-near-his-school")</f>
        <v>https://www.click2houston.com/news/local/2023/02/17/17-year-old-shot-killed-in-galena-park-hcso-says/
https://abc13.com/galena-park-hs-student-killed-community-center-maros-orta-harris-county-crime/12830479/
https://www.fox26houston.com/news/friends-and-family-are-grieving-after-a-17-year-old-high-school-senior-is-shot-to-death-near-his-school</v>
      </c>
      <c r="L809" s="8">
        <f ca="1">IFERROR(__xludf.DUMMYFUNCTION("""COMPUTED_VALUE"""),5)</f>
        <v>5</v>
      </c>
      <c r="M809" s="8" t="str">
        <f ca="1">IFERROR(__xludf.DUMMYFUNCTION("""COMPUTED_VALUE"""),"Local")</f>
        <v>Local</v>
      </c>
      <c r="N809" s="8">
        <f ca="1">IFERROR(__xludf.DUMMYFUNCTION("""COMPUTED_VALUE"""),4)</f>
        <v>4</v>
      </c>
      <c r="O809" s="8" t="str">
        <f ca="1">IFERROR(__xludf.DUMMYFUNCTION("""COMPUTED_VALUE"""),"Winter")</f>
        <v>Winter</v>
      </c>
      <c r="P809" s="8" t="str">
        <f ca="1">IFERROR(__xludf.DUMMYFUNCTION("""COMPUTED_VALUE"""),"Galena Park")</f>
        <v>Galena Park</v>
      </c>
      <c r="Q809" s="8" t="str">
        <f ca="1">IFERROR(__xludf.DUMMYFUNCTION("""COMPUTED_VALUE"""),"TX")</f>
        <v>TX</v>
      </c>
      <c r="R809" s="8" t="str">
        <f ca="1">IFERROR(__xludf.DUMMYFUNCTION("""COMPUTED_VALUE"""),"High")</f>
        <v>High</v>
      </c>
      <c r="S809" s="8" t="str">
        <f ca="1">IFERROR(__xludf.DUMMYFUNCTION("""COMPUTED_VALUE"""),"Parking Lot")</f>
        <v>Parking Lot</v>
      </c>
      <c r="T809" s="8" t="str">
        <f ca="1">IFERROR(__xludf.DUMMYFUNCTION("""COMPUTED_VALUE"""),"Outside on School Property")</f>
        <v>Outside on School Property</v>
      </c>
      <c r="U809" s="8" t="str">
        <f ca="1">IFERROR(__xludf.DUMMYFUNCTION("""COMPUTED_VALUE"""),"No")</f>
        <v>No</v>
      </c>
      <c r="V809" s="8" t="str">
        <f ca="1">IFERROR(__xludf.DUMMYFUNCTION("""COMPUTED_VALUE"""),"Afternoon Classes")</f>
        <v>Afternoon Classes</v>
      </c>
      <c r="W809" s="11">
        <f ca="1">IFERROR(__xludf.DUMMYFUNCTION("""COMPUTED_VALUE"""),0.6875)</f>
        <v>0.6875</v>
      </c>
      <c r="X809" s="8">
        <f ca="1">IFERROR(__xludf.DUMMYFUNCTION("""COMPUTED_VALUE"""),1)</f>
        <v>1</v>
      </c>
      <c r="Y809" s="12" t="str">
        <f ca="1">IFERROR(__xludf.DUMMYFUNCTION("""COMPUTED_VALUE"""),"Student fatally shot in school parking lot")</f>
        <v>Student fatally shot in school parking lot</v>
      </c>
      <c r="Z809" s="12" t="str">
        <f ca="1">IFERROR(__xludf.DUMMYFUNCTION("""COMPUTED_VALUE"""),"17-year-old was shot multiple times in the school parking lot and died at the hospital. Police believe the shooting was drug related. 17-year-old arrested. Victim was a student at the school.")</f>
        <v>17-year-old was shot multiple times in the school parking lot and died at the hospital. Police believe the shooting was drug related. 17-year-old arrested. Victim was a student at the school.</v>
      </c>
      <c r="AA809" s="8" t="str">
        <f ca="1">IFERROR(__xludf.DUMMYFUNCTION("""COMPUTED_VALUE"""),"Illegal Activity")</f>
        <v>Illegal Activity</v>
      </c>
      <c r="AB809" s="8"/>
      <c r="AC809" s="8" t="str">
        <f ca="1">IFERROR(__xludf.DUMMYFUNCTION("""COMPUTED_VALUE"""),"Yes")</f>
        <v>Yes</v>
      </c>
      <c r="AD809" s="8" t="str">
        <f ca="1">IFERROR(__xludf.DUMMYFUNCTION("""COMPUTED_VALUE"""),"Victims Targeted")</f>
        <v>Victims Targeted</v>
      </c>
      <c r="AE809" s="8" t="str">
        <f ca="1">IFERROR(__xludf.DUMMYFUNCTION("""COMPUTED_VALUE"""),"Yes")</f>
        <v>Yes</v>
      </c>
      <c r="AF809" s="8" t="str">
        <f ca="1">IFERROR(__xludf.DUMMYFUNCTION("""COMPUTED_VALUE"""),"Two teens fled")</f>
        <v>Two teens fled</v>
      </c>
      <c r="AG809" s="8" t="str">
        <f ca="1">IFERROR(__xludf.DUMMYFUNCTION("""COMPUTED_VALUE"""),"No")</f>
        <v>No</v>
      </c>
      <c r="AH809" s="8" t="str">
        <f ca="1">IFERROR(__xludf.DUMMYFUNCTION("""COMPUTED_VALUE"""),"No")</f>
        <v>No</v>
      </c>
      <c r="AI809" s="8" t="str">
        <f ca="1">IFERROR(__xludf.DUMMYFUNCTION("""COMPUTED_VALUE"""),"No")</f>
        <v>No</v>
      </c>
      <c r="AJ809" s="8" t="str">
        <f ca="1">IFERROR(__xludf.DUMMYFUNCTION("""COMPUTED_VALUE"""),"No")</f>
        <v>No</v>
      </c>
      <c r="AK809" s="8" t="str">
        <f ca="1">IFERROR(__xludf.DUMMYFUNCTION("""COMPUTED_VALUE"""),"No")</f>
        <v>No</v>
      </c>
      <c r="AL809" s="8" t="str">
        <f ca="1">IFERROR(__xludf.DUMMYFUNCTION("""COMPUTED_VALUE"""),"No")</f>
        <v>No</v>
      </c>
      <c r="AM809" s="8" t="str">
        <f ca="1">IFERROR(__xludf.DUMMYFUNCTION("""COMPUTED_VALUE"""),"No")</f>
        <v>No</v>
      </c>
      <c r="AN809" s="8" t="str">
        <f ca="1">IFERROR(__xludf.DUMMYFUNCTION("""COMPUTED_VALUE"""),"Outside")</f>
        <v>Outside</v>
      </c>
      <c r="AO809" s="8" t="str">
        <f ca="1">IFERROR(__xludf.DUMMYFUNCTION("""COMPUTED_VALUE"""),"No")</f>
        <v>No</v>
      </c>
      <c r="AP809" s="8"/>
      <c r="AQ809" s="8"/>
      <c r="AR809" s="8" t="str">
        <f ca="1">IFERROR(__xludf.DUMMYFUNCTION("""COMPUTED_VALUE"""),"Outside/Off-Property")</f>
        <v>Outside/Off-Property</v>
      </c>
      <c r="AS809" s="8">
        <f ca="1">IFERROR(__xludf.DUMMYFUNCTION("""COMPUTED_VALUE"""),3)</f>
        <v>3</v>
      </c>
      <c r="AT809" s="8"/>
      <c r="AU809" s="8">
        <f ca="1">IFERROR(__xludf.DUMMYFUNCTION("""COMPUTED_VALUE"""),29.738289)</f>
        <v>29.738289000000002</v>
      </c>
      <c r="AV809" s="8">
        <f ca="1">IFERROR(__xludf.DUMMYFUNCTION("""COMPUTED_VALUE"""),-95.237235)</f>
        <v>-95.237234999999998</v>
      </c>
      <c r="AW809" s="8"/>
      <c r="AX809" s="8">
        <f ca="1">IFERROR(__xludf.DUMMYFUNCTION("""COMPUTED_VALUE"""),77547)</f>
        <v>77547</v>
      </c>
    </row>
    <row r="810" spans="1:50" ht="135" x14ac:dyDescent="0.2">
      <c r="A810" s="8" t="str">
        <f ca="1">IFERROR(__xludf.DUMMYFUNCTION("""COMPUTED_VALUE"""),"20230215TXDAH")</f>
        <v>20230215TXDAH</v>
      </c>
      <c r="B810" s="8">
        <f ca="1">IFERROR(__xludf.DUMMYFUNCTION("""COMPUTED_VALUE"""),2)</f>
        <v>2</v>
      </c>
      <c r="C810" s="8">
        <f ca="1">IFERROR(__xludf.DUMMYFUNCTION("""COMPUTED_VALUE"""),15)</f>
        <v>15</v>
      </c>
      <c r="D810" s="8">
        <f ca="1">IFERROR(__xludf.DUMMYFUNCTION("""COMPUTED_VALUE"""),2023)</f>
        <v>2023</v>
      </c>
      <c r="E810" s="9">
        <f ca="1">IFERROR(__xludf.DUMMYFUNCTION("""COMPUTED_VALUE"""),44972)</f>
        <v>44972</v>
      </c>
      <c r="F810" s="8" t="str">
        <f ca="1">IFERROR(__xludf.DUMMYFUNCTION("""COMPUTED_VALUE"""),"Davis High School")</f>
        <v>Davis High School</v>
      </c>
      <c r="G810" s="8">
        <f ca="1">IFERROR(__xludf.DUMMYFUNCTION("""COMPUTED_VALUE"""),0)</f>
        <v>0</v>
      </c>
      <c r="H810" s="8">
        <f ca="1">IFERROR(__xludf.DUMMYFUNCTION("""COMPUTED_VALUE"""),0)</f>
        <v>0</v>
      </c>
      <c r="I810" s="8">
        <f ca="1">IFERROR(__xludf.DUMMYFUNCTION("""COMPUTED_VALUE"""),0)</f>
        <v>0</v>
      </c>
      <c r="J810" s="8">
        <f ca="1">IFERROR(__xludf.DUMMYFUNCTION("""COMPUTED_VALUE"""),0)</f>
        <v>0</v>
      </c>
      <c r="K810" s="10" t="str">
        <f ca="1">IFERROR(__xludf.DUMMYFUNCTION("""COMPUTED_VALUE"""),"https://abc13.com/aldine-isd-high-school-david-police-at-davis-hs-12525-ella-boulevard/12824999/
https://cw39.com/news/local/aldine-isd-police-officer-fires-gun-during-fight-outside-davis-high-school-authorities-said/")</f>
        <v>https://abc13.com/aldine-isd-high-school-david-police-at-davis-hs-12525-ella-boulevard/12824999/
https://cw39.com/news/local/aldine-isd-police-officer-fires-gun-during-fight-outside-davis-high-school-authorities-said/</v>
      </c>
      <c r="L810" s="8">
        <f ca="1">IFERROR(__xludf.DUMMYFUNCTION("""COMPUTED_VALUE"""),5)</f>
        <v>5</v>
      </c>
      <c r="M810" s="8" t="str">
        <f ca="1">IFERROR(__xludf.DUMMYFUNCTION("""COMPUTED_VALUE"""),"Local")</f>
        <v>Local</v>
      </c>
      <c r="N810" s="8">
        <f ca="1">IFERROR(__xludf.DUMMYFUNCTION("""COMPUTED_VALUE"""),4)</f>
        <v>4</v>
      </c>
      <c r="O810" s="8" t="str">
        <f ca="1">IFERROR(__xludf.DUMMYFUNCTION("""COMPUTED_VALUE"""),"Winter")</f>
        <v>Winter</v>
      </c>
      <c r="P810" s="8" t="str">
        <f ca="1">IFERROR(__xludf.DUMMYFUNCTION("""COMPUTED_VALUE"""),"Houston")</f>
        <v>Houston</v>
      </c>
      <c r="Q810" s="8" t="str">
        <f ca="1">IFERROR(__xludf.DUMMYFUNCTION("""COMPUTED_VALUE"""),"TX")</f>
        <v>TX</v>
      </c>
      <c r="R810" s="8" t="str">
        <f ca="1">IFERROR(__xludf.DUMMYFUNCTION("""COMPUTED_VALUE"""),"High")</f>
        <v>High</v>
      </c>
      <c r="S810" s="8" t="str">
        <f ca="1">IFERROR(__xludf.DUMMYFUNCTION("""COMPUTED_VALUE"""),"Parking Lot")</f>
        <v>Parking Lot</v>
      </c>
      <c r="T810" s="8" t="str">
        <f ca="1">IFERROR(__xludf.DUMMYFUNCTION("""COMPUTED_VALUE"""),"Outside on School Property")</f>
        <v>Outside on School Property</v>
      </c>
      <c r="U810" s="8" t="str">
        <f ca="1">IFERROR(__xludf.DUMMYFUNCTION("""COMPUTED_VALUE"""),"No")</f>
        <v>No</v>
      </c>
      <c r="V810" s="8" t="str">
        <f ca="1">IFERROR(__xludf.DUMMYFUNCTION("""COMPUTED_VALUE"""),"Sport Event")</f>
        <v>Sport Event</v>
      </c>
      <c r="W810" s="11">
        <f ca="1">IFERROR(__xludf.DUMMYFUNCTION("""COMPUTED_VALUE"""),0.864583333333333)</f>
        <v>0.86458333333333304</v>
      </c>
      <c r="X810" s="8">
        <f ca="1">IFERROR(__xludf.DUMMYFUNCTION("""COMPUTED_VALUE"""),1)</f>
        <v>1</v>
      </c>
      <c r="Y810" s="12" t="str">
        <f ca="1">IFERROR(__xludf.DUMMYFUNCTION("""COMPUTED_VALUE"""),"Officer fired shots after someone pointed a gun at him during fight in the school parking lot after basketball game")</f>
        <v>Officer fired shots after someone pointed a gun at him during fight in the school parking lot after basketball game</v>
      </c>
      <c r="Z810" s="12" t="str">
        <f ca="1">IFERROR(__xludf.DUMMYFUNCTION("""COMPUTED_VALUE"""),"An Aldine ISD police officer fired his gun after a suspect pointed a handgun at him in north Harris County. The incident happened around 8:45 p.m. Wednesday night at Davis High School, located on 12525 Ella Boulevard. According to the report, a fight brok"&amp;"e out in the parking lot. The AISD police officer fired one shot after a passenger in a black four-door sedan pointed a gun at him. The vehicle then fled the scene. It is unknown if anyone in the sedan was hit.")</f>
        <v>An Aldine ISD police officer fired his gun after a suspect pointed a handgun at him in north Harris County. The incident happened around 8:45 p.m. Wednesday night at Davis High School, located on 12525 Ella Boulevard. According to the report, a fight broke out in the parking lot. The AISD police officer fired one shot after a passenger in a black four-door sedan pointed a gun at him. The vehicle then fled the scene. It is unknown if anyone in the sedan was hit.</v>
      </c>
      <c r="AA810" s="8" t="str">
        <f ca="1">IFERROR(__xludf.DUMMYFUNCTION("""COMPUTED_VALUE"""),"Escalation of Dispute")</f>
        <v>Escalation of Dispute</v>
      </c>
      <c r="AB810" s="8"/>
      <c r="AC810" s="8" t="str">
        <f ca="1">IFERROR(__xludf.DUMMYFUNCTION("""COMPUTED_VALUE"""),"Yes")</f>
        <v>Yes</v>
      </c>
      <c r="AD810" s="8" t="str">
        <f ca="1">IFERROR(__xludf.DUMMYFUNCTION("""COMPUTED_VALUE"""),"Both")</f>
        <v>Both</v>
      </c>
      <c r="AE810" s="8"/>
      <c r="AF810" s="8"/>
      <c r="AG810" s="8" t="str">
        <f ca="1">IFERROR(__xludf.DUMMYFUNCTION("""COMPUTED_VALUE"""),"No")</f>
        <v>No</v>
      </c>
      <c r="AH810" s="8" t="str">
        <f ca="1">IFERROR(__xludf.DUMMYFUNCTION("""COMPUTED_VALUE"""),"No")</f>
        <v>No</v>
      </c>
      <c r="AI810" s="8" t="str">
        <f ca="1">IFERROR(__xludf.DUMMYFUNCTION("""COMPUTED_VALUE"""),"No")</f>
        <v>No</v>
      </c>
      <c r="AJ810" s="8"/>
      <c r="AK810" s="8" t="str">
        <f ca="1">IFERROR(__xludf.DUMMYFUNCTION("""COMPUTED_VALUE"""),"No")</f>
        <v>No</v>
      </c>
      <c r="AL810" s="8" t="str">
        <f ca="1">IFERROR(__xludf.DUMMYFUNCTION("""COMPUTED_VALUE"""),"No")</f>
        <v>No</v>
      </c>
      <c r="AM810" s="8" t="str">
        <f ca="1">IFERROR(__xludf.DUMMYFUNCTION("""COMPUTED_VALUE"""),"No")</f>
        <v>No</v>
      </c>
      <c r="AN810" s="8" t="str">
        <f ca="1">IFERROR(__xludf.DUMMYFUNCTION("""COMPUTED_VALUE"""),"Outside")</f>
        <v>Outside</v>
      </c>
      <c r="AO810" s="8" t="str">
        <f ca="1">IFERROR(__xludf.DUMMYFUNCTION("""COMPUTED_VALUE"""),"No")</f>
        <v>No</v>
      </c>
      <c r="AP810" s="8" t="str">
        <f ca="1">IFERROR(__xludf.DUMMYFUNCTION("""COMPUTED_VALUE"""),"Yes")</f>
        <v>Yes</v>
      </c>
      <c r="AQ810" s="8"/>
      <c r="AR810" s="8" t="str">
        <f ca="1">IFERROR(__xludf.DUMMYFUNCTION("""COMPUTED_VALUE"""),"Outside/Off-Property")</f>
        <v>Outside/Off-Property</v>
      </c>
      <c r="AS810" s="8">
        <f ca="1">IFERROR(__xludf.DUMMYFUNCTION("""COMPUTED_VALUE"""),99)</f>
        <v>99</v>
      </c>
      <c r="AT810" s="8"/>
      <c r="AU810" s="8">
        <f ca="1">IFERROR(__xludf.DUMMYFUNCTION("""COMPUTED_VALUE"""),29.954493)</f>
        <v>29.954492999999999</v>
      </c>
      <c r="AV810" s="8">
        <f ca="1">IFERROR(__xludf.DUMMYFUNCTION("""COMPUTED_VALUE"""),-95.433593)</f>
        <v>-95.433593000000002</v>
      </c>
      <c r="AW810" s="8"/>
      <c r="AX810" s="8">
        <f ca="1">IFERROR(__xludf.DUMMYFUNCTION("""COMPUTED_VALUE"""),77067)</f>
        <v>77067</v>
      </c>
    </row>
    <row r="811" spans="1:50" ht="90" x14ac:dyDescent="0.2">
      <c r="A811" s="8" t="str">
        <f ca="1">IFERROR(__xludf.DUMMYFUNCTION("""COMPUTED_VALUE"""),"20230215OHCOC")</f>
        <v>20230215OHCOC</v>
      </c>
      <c r="B811" s="8">
        <f ca="1">IFERROR(__xludf.DUMMYFUNCTION("""COMPUTED_VALUE"""),2)</f>
        <v>2</v>
      </c>
      <c r="C811" s="8">
        <f ca="1">IFERROR(__xludf.DUMMYFUNCTION("""COMPUTED_VALUE"""),15)</f>
        <v>15</v>
      </c>
      <c r="D811" s="8">
        <f ca="1">IFERROR(__xludf.DUMMYFUNCTION("""COMPUTED_VALUE"""),2023)</f>
        <v>2023</v>
      </c>
      <c r="E811" s="9">
        <f ca="1">IFERROR(__xludf.DUMMYFUNCTION("""COMPUTED_VALUE"""),44972)</f>
        <v>44972</v>
      </c>
      <c r="F811" s="8" t="str">
        <f ca="1">IFERROR(__xludf.DUMMYFUNCTION("""COMPUTED_VALUE"""),"Collinwood High School")</f>
        <v>Collinwood High School</v>
      </c>
      <c r="G811" s="8">
        <f ca="1">IFERROR(__xludf.DUMMYFUNCTION("""COMPUTED_VALUE"""),0)</f>
        <v>0</v>
      </c>
      <c r="H811" s="8">
        <f ca="1">IFERROR(__xludf.DUMMYFUNCTION("""COMPUTED_VALUE"""),0)</f>
        <v>0</v>
      </c>
      <c r="I811" s="8">
        <f ca="1">IFERROR(__xludf.DUMMYFUNCTION("""COMPUTED_VALUE"""),0)</f>
        <v>0</v>
      </c>
      <c r="J811" s="8">
        <f ca="1">IFERROR(__xludf.DUMMYFUNCTION("""COMPUTED_VALUE"""),0)</f>
        <v>0</v>
      </c>
      <c r="K811" s="8" t="str">
        <f ca="1">IFERROR(__xludf.DUMMYFUNCTION("""COMPUTED_VALUE"""),"https://www.news5cleveland.com/news/local-news/student-may-have-been-target-of-shots-fired-outside-collinwood-high-school-wednesday-morning
https://www.cleveland.com/crime/2023/02/18-year-old-charged-in-collinwood-high-school-shooting-shots-directed-at-st"&amp;"udents-police-say.html")</f>
        <v>https://www.news5cleveland.com/news/local-news/student-may-have-been-target-of-shots-fired-outside-collinwood-high-school-wednesday-morning
https://www.cleveland.com/crime/2023/02/18-year-old-charged-in-collinwood-high-school-shooting-shots-directed-at-students-police-say.html</v>
      </c>
      <c r="L811" s="8">
        <f ca="1">IFERROR(__xludf.DUMMYFUNCTION("""COMPUTED_VALUE"""),5)</f>
        <v>5</v>
      </c>
      <c r="M811" s="8" t="str">
        <f ca="1">IFERROR(__xludf.DUMMYFUNCTION("""COMPUTED_VALUE"""),"Local")</f>
        <v>Local</v>
      </c>
      <c r="N811" s="8">
        <f ca="1">IFERROR(__xludf.DUMMYFUNCTION("""COMPUTED_VALUE"""),4)</f>
        <v>4</v>
      </c>
      <c r="O811" s="8" t="str">
        <f ca="1">IFERROR(__xludf.DUMMYFUNCTION("""COMPUTED_VALUE"""),"Winter")</f>
        <v>Winter</v>
      </c>
      <c r="P811" s="8" t="str">
        <f ca="1">IFERROR(__xludf.DUMMYFUNCTION("""COMPUTED_VALUE"""),"Cleveland")</f>
        <v>Cleveland</v>
      </c>
      <c r="Q811" s="8" t="str">
        <f ca="1">IFERROR(__xludf.DUMMYFUNCTION("""COMPUTED_VALUE"""),"OH")</f>
        <v>OH</v>
      </c>
      <c r="R811" s="8" t="str">
        <f ca="1">IFERROR(__xludf.DUMMYFUNCTION("""COMPUTED_VALUE"""),"High")</f>
        <v>High</v>
      </c>
      <c r="S811" s="8" t="str">
        <f ca="1">IFERROR(__xludf.DUMMYFUNCTION("""COMPUTED_VALUE"""),"Front of School")</f>
        <v>Front of School</v>
      </c>
      <c r="T811" s="8" t="str">
        <f ca="1">IFERROR(__xludf.DUMMYFUNCTION("""COMPUTED_VALUE"""),"Outside on School Property")</f>
        <v>Outside on School Property</v>
      </c>
      <c r="U811" s="8" t="str">
        <f ca="1">IFERROR(__xludf.DUMMYFUNCTION("""COMPUTED_VALUE"""),"Yes")</f>
        <v>Yes</v>
      </c>
      <c r="V811" s="8" t="str">
        <f ca="1">IFERROR(__xludf.DUMMYFUNCTION("""COMPUTED_VALUE"""),"Morning Classes")</f>
        <v>Morning Classes</v>
      </c>
      <c r="W811" s="11">
        <f ca="1">IFERROR(__xludf.DUMMYFUNCTION("""COMPUTED_VALUE"""),0.416666666666666)</f>
        <v>0.41666666666666602</v>
      </c>
      <c r="X811" s="8">
        <f ca="1">IFERROR(__xludf.DUMMYFUNCTION("""COMPUTED_VALUE"""),1)</f>
        <v>1</v>
      </c>
      <c r="Y811" s="12" t="str">
        <f ca="1">IFERROR(__xludf.DUMMYFUNCTION("""COMPUTED_VALUE"""),"Shots fired a student, student ran into school then building locked down")</f>
        <v>Shots fired a student, student ran into school then building locked down</v>
      </c>
      <c r="Z811" s="12" t="str">
        <f ca="1">IFERROR(__xludf.DUMMYFUNCTION("""COMPUTED_VALUE"""),"A student may have been the target of shots fired outside of Collinwood High School in Cleveland Wednesday morning, the district confirmed. The student made it safely into the school, which was placed on lockdown while Cleveland Metropolitan School Distri"&amp;"ct Safety and Security officials and Cleveland Police officers responded, the district said.")</f>
        <v>A student may have been the target of shots fired outside of Collinwood High School in Cleveland Wednesday morning, the district confirmed. The student made it safely into the school, which was placed on lockdown while Cleveland Metropolitan School District Safety and Security officials and Cleveland Police officers responded, the district said.</v>
      </c>
      <c r="AA811" s="8"/>
      <c r="AB811" s="8"/>
      <c r="AC811" s="8" t="str">
        <f ca="1">IFERROR(__xludf.DUMMYFUNCTION("""COMPUTED_VALUE"""),"Yes")</f>
        <v>Yes</v>
      </c>
      <c r="AD811" s="8" t="str">
        <f ca="1">IFERROR(__xludf.DUMMYFUNCTION("""COMPUTED_VALUE"""),"Victims Targeted")</f>
        <v>Victims Targeted</v>
      </c>
      <c r="AE811" s="8"/>
      <c r="AF811" s="8"/>
      <c r="AG811" s="8" t="str">
        <f ca="1">IFERROR(__xludf.DUMMYFUNCTION("""COMPUTED_VALUE"""),"No")</f>
        <v>No</v>
      </c>
      <c r="AH811" s="8" t="str">
        <f ca="1">IFERROR(__xludf.DUMMYFUNCTION("""COMPUTED_VALUE"""),"No")</f>
        <v>No</v>
      </c>
      <c r="AI811" s="8" t="str">
        <f ca="1">IFERROR(__xludf.DUMMYFUNCTION("""COMPUTED_VALUE"""),"No")</f>
        <v>No</v>
      </c>
      <c r="AJ811" s="8"/>
      <c r="AK811" s="8" t="str">
        <f ca="1">IFERROR(__xludf.DUMMYFUNCTION("""COMPUTED_VALUE"""),"No")</f>
        <v>No</v>
      </c>
      <c r="AL811" s="8"/>
      <c r="AM811" s="8" t="str">
        <f ca="1">IFERROR(__xludf.DUMMYFUNCTION("""COMPUTED_VALUE"""),"No")</f>
        <v>No</v>
      </c>
      <c r="AN811" s="8" t="str">
        <f ca="1">IFERROR(__xludf.DUMMYFUNCTION("""COMPUTED_VALUE"""),"Outside")</f>
        <v>Outside</v>
      </c>
      <c r="AO811" s="8" t="str">
        <f ca="1">IFERROR(__xludf.DUMMYFUNCTION("""COMPUTED_VALUE"""),"No")</f>
        <v>No</v>
      </c>
      <c r="AP811" s="8"/>
      <c r="AQ811" s="8"/>
      <c r="AR811" s="8" t="str">
        <f ca="1">IFERROR(__xludf.DUMMYFUNCTION("""COMPUTED_VALUE"""),"Outside/Off-Property")</f>
        <v>Outside/Off-Property</v>
      </c>
      <c r="AS811" s="8">
        <f ca="1">IFERROR(__xludf.DUMMYFUNCTION("""COMPUTED_VALUE"""),99)</f>
        <v>99</v>
      </c>
      <c r="AT811" s="8" t="str">
        <f ca="1">IFERROR(__xludf.DUMMYFUNCTION("""COMPUTED_VALUE"""),"Yes")</f>
        <v>Yes</v>
      </c>
      <c r="AU811" s="8">
        <f ca="1">IFERROR(__xludf.DUMMYFUNCTION("""COMPUTED_VALUE"""),41.553344)</f>
        <v>41.553344000000003</v>
      </c>
      <c r="AV811" s="8">
        <f ca="1">IFERROR(__xludf.DUMMYFUNCTION("""COMPUTED_VALUE"""),-81.574704)</f>
        <v>-81.574703999999997</v>
      </c>
      <c r="AW811" s="8"/>
      <c r="AX811" s="8">
        <f ca="1">IFERROR(__xludf.DUMMYFUNCTION("""COMPUTED_VALUE"""),44110)</f>
        <v>44110</v>
      </c>
    </row>
    <row r="812" spans="1:50" ht="165" x14ac:dyDescent="0.2">
      <c r="A812" s="8" t="str">
        <f ca="1">IFERROR(__xludf.DUMMYFUNCTION("""COMPUTED_VALUE"""),"20230215MDWAB")</f>
        <v>20230215MDWAB</v>
      </c>
      <c r="B812" s="8">
        <f ca="1">IFERROR(__xludf.DUMMYFUNCTION("""COMPUTED_VALUE"""),2)</f>
        <v>2</v>
      </c>
      <c r="C812" s="8">
        <f ca="1">IFERROR(__xludf.DUMMYFUNCTION("""COMPUTED_VALUE"""),15)</f>
        <v>15</v>
      </c>
      <c r="D812" s="8">
        <f ca="1">IFERROR(__xludf.DUMMYFUNCTION("""COMPUTED_VALUE"""),2023)</f>
        <v>2023</v>
      </c>
      <c r="E812" s="9">
        <f ca="1">IFERROR(__xludf.DUMMYFUNCTION("""COMPUTED_VALUE"""),44972)</f>
        <v>44972</v>
      </c>
      <c r="F812" s="8" t="str">
        <f ca="1">IFERROR(__xludf.DUMMYFUNCTION("""COMPUTED_VALUE"""),"Walter P. Carter Elementary/Middle School")</f>
        <v>Walter P. Carter Elementary/Middle School</v>
      </c>
      <c r="G812" s="8">
        <f ca="1">IFERROR(__xludf.DUMMYFUNCTION("""COMPUTED_VALUE"""),0)</f>
        <v>0</v>
      </c>
      <c r="H812" s="8">
        <f ca="1">IFERROR(__xludf.DUMMYFUNCTION("""COMPUTED_VALUE"""),1)</f>
        <v>1</v>
      </c>
      <c r="I812" s="8">
        <f ca="1">IFERROR(__xludf.DUMMYFUNCTION("""COMPUTED_VALUE"""),1)</f>
        <v>1</v>
      </c>
      <c r="J812" s="8">
        <f ca="1">IFERROR(__xludf.DUMMYFUNCTION("""COMPUTED_VALUE"""),0)</f>
        <v>0</v>
      </c>
      <c r="K812" s="8" t="str">
        <f ca="1">IFERROR(__xludf.DUMMYFUNCTION("""COMPUTED_VALUE"""),"https://www.wbaltv.com/article/teenage-girl-shot-43rd-street-baltimore/42929411
https://foxbaltimore.com/news/local/teenage-girl-shot-near-walter-p-carter-elementarymiddle-school-police-say")</f>
        <v>https://www.wbaltv.com/article/teenage-girl-shot-43rd-street-baltimore/42929411
https://foxbaltimore.com/news/local/teenage-girl-shot-near-walter-p-carter-elementarymiddle-school-police-say</v>
      </c>
      <c r="L812" s="8">
        <f ca="1">IFERROR(__xludf.DUMMYFUNCTION("""COMPUTED_VALUE"""),10)</f>
        <v>10</v>
      </c>
      <c r="M812" s="8" t="str">
        <f ca="1">IFERROR(__xludf.DUMMYFUNCTION("""COMPUTED_VALUE"""),"Regional")</f>
        <v>Regional</v>
      </c>
      <c r="N812" s="8">
        <f ca="1">IFERROR(__xludf.DUMMYFUNCTION("""COMPUTED_VALUE"""),4)</f>
        <v>4</v>
      </c>
      <c r="O812" s="8" t="str">
        <f ca="1">IFERROR(__xludf.DUMMYFUNCTION("""COMPUTED_VALUE"""),"Winter")</f>
        <v>Winter</v>
      </c>
      <c r="P812" s="8" t="str">
        <f ca="1">IFERROR(__xludf.DUMMYFUNCTION("""COMPUTED_VALUE"""),"Baltimore")</f>
        <v>Baltimore</v>
      </c>
      <c r="Q812" s="8" t="str">
        <f ca="1">IFERROR(__xludf.DUMMYFUNCTION("""COMPUTED_VALUE"""),"MD")</f>
        <v>MD</v>
      </c>
      <c r="R812" s="8" t="str">
        <f ca="1">IFERROR(__xludf.DUMMYFUNCTION("""COMPUTED_VALUE"""),"K-8")</f>
        <v>K-8</v>
      </c>
      <c r="S812" s="8" t="str">
        <f ca="1">IFERROR(__xludf.DUMMYFUNCTION("""COMPUTED_VALUE"""),"Front of School")</f>
        <v>Front of School</v>
      </c>
      <c r="T812" s="8" t="str">
        <f ca="1">IFERROR(__xludf.DUMMYFUNCTION("""COMPUTED_VALUE"""),"Outside on School Property")</f>
        <v>Outside on School Property</v>
      </c>
      <c r="U812" s="8" t="str">
        <f ca="1">IFERROR(__xludf.DUMMYFUNCTION("""COMPUTED_VALUE"""),"Yes")</f>
        <v>Yes</v>
      </c>
      <c r="V812" s="8" t="str">
        <f ca="1">IFERROR(__xludf.DUMMYFUNCTION("""COMPUTED_VALUE"""),"Evening")</f>
        <v>Evening</v>
      </c>
      <c r="W812" s="11">
        <f ca="1">IFERROR(__xludf.DUMMYFUNCTION("""COMPUTED_VALUE"""),0.759027777777777)</f>
        <v>0.75902777777777697</v>
      </c>
      <c r="X812" s="8">
        <f ca="1">IFERROR(__xludf.DUMMYFUNCTION("""COMPUTED_VALUE"""),1)</f>
        <v>1</v>
      </c>
      <c r="Y812" s="12" t="str">
        <f ca="1">IFERROR(__xludf.DUMMYFUNCTION("""COMPUTED_VALUE"""),"Teen shot in front of school during evening classes")</f>
        <v>Teen shot in front of school during evening classes</v>
      </c>
      <c r="Z812" s="12" t="str">
        <f ca="1">IFERROR(__xludf.DUMMYFUNCTION("""COMPUTED_VALUE"""),"A 15-year-old Mervo student is in critical condition after being shot near Walter P. Carter Elementary/Middle School, according to officials during a press conference on Wednesday night. At around 6:13 p.m., a officer was flagged down by a citizen in the "&amp;"Govans area of North Baltimore. The person told the officer that there was an armed person at a nearby school, according to the department. Deputy Police commissioner Rich William says that a student was shot and aid was rendered to her on the scene by me"&amp;"dics. William says the teen girl has undergone surgery and is in critical condition.")</f>
        <v>A 15-year-old Mervo student is in critical condition after being shot near Walter P. Carter Elementary/Middle School, according to officials during a press conference on Wednesday night. At around 6:13 p.m., a officer was flagged down by a citizen in the Govans area of North Baltimore. The person told the officer that there was an armed person at a nearby school, according to the department. Deputy Police commissioner Rich William says that a student was shot and aid was rendered to her on the scene by medics. William says the teen girl has undergone surgery and is in critical condition.</v>
      </c>
      <c r="AA812" s="8"/>
      <c r="AB812" s="8"/>
      <c r="AC812" s="8" t="str">
        <f ca="1">IFERROR(__xludf.DUMMYFUNCTION("""COMPUTED_VALUE"""),"Yes")</f>
        <v>Yes</v>
      </c>
      <c r="AD812" s="8"/>
      <c r="AE812" s="8"/>
      <c r="AF812" s="8"/>
      <c r="AG812" s="8" t="str">
        <f ca="1">IFERROR(__xludf.DUMMYFUNCTION("""COMPUTED_VALUE"""),"No")</f>
        <v>No</v>
      </c>
      <c r="AH812" s="8" t="str">
        <f ca="1">IFERROR(__xludf.DUMMYFUNCTION("""COMPUTED_VALUE"""),"No")</f>
        <v>No</v>
      </c>
      <c r="AI812" s="8" t="str">
        <f ca="1">IFERROR(__xludf.DUMMYFUNCTION("""COMPUTED_VALUE"""),"No")</f>
        <v>No</v>
      </c>
      <c r="AJ812" s="8"/>
      <c r="AK812" s="8" t="str">
        <f ca="1">IFERROR(__xludf.DUMMYFUNCTION("""COMPUTED_VALUE"""),"No")</f>
        <v>No</v>
      </c>
      <c r="AL812" s="8"/>
      <c r="AM812" s="8" t="str">
        <f ca="1">IFERROR(__xludf.DUMMYFUNCTION("""COMPUTED_VALUE"""),"No")</f>
        <v>No</v>
      </c>
      <c r="AN812" s="8" t="str">
        <f ca="1">IFERROR(__xludf.DUMMYFUNCTION("""COMPUTED_VALUE"""),"Outside")</f>
        <v>Outside</v>
      </c>
      <c r="AO812" s="8" t="str">
        <f ca="1">IFERROR(__xludf.DUMMYFUNCTION("""COMPUTED_VALUE"""),"No")</f>
        <v>No</v>
      </c>
      <c r="AP812" s="8"/>
      <c r="AQ812" s="8"/>
      <c r="AR812" s="8" t="str">
        <f ca="1">IFERROR(__xludf.DUMMYFUNCTION("""COMPUTED_VALUE"""),"Outside/Off-Property")</f>
        <v>Outside/Off-Property</v>
      </c>
      <c r="AS812" s="8">
        <f ca="1">IFERROR(__xludf.DUMMYFUNCTION("""COMPUTED_VALUE"""),99)</f>
        <v>99</v>
      </c>
      <c r="AT812" s="8"/>
      <c r="AU812" s="8">
        <f ca="1">IFERROR(__xludf.DUMMYFUNCTION("""COMPUTED_VALUE"""),39.342577)</f>
        <v>39.342576999999999</v>
      </c>
      <c r="AV812" s="8">
        <f ca="1">IFERROR(__xludf.DUMMYFUNCTION("""COMPUTED_VALUE"""),-76.604301)</f>
        <v>-76.604301000000007</v>
      </c>
      <c r="AW812" s="8"/>
      <c r="AX812" s="8">
        <f ca="1">IFERROR(__xludf.DUMMYFUNCTION("""COMPUTED_VALUE"""),21212)</f>
        <v>21212</v>
      </c>
    </row>
    <row r="813" spans="1:50" ht="210" x14ac:dyDescent="0.2">
      <c r="A813" s="8" t="str">
        <f ca="1">IFERROR(__xludf.DUMMYFUNCTION("""COMPUTED_VALUE"""),"20230214PAWEP")</f>
        <v>20230214PAWEP</v>
      </c>
      <c r="B813" s="8">
        <f ca="1">IFERROR(__xludf.DUMMYFUNCTION("""COMPUTED_VALUE"""),2)</f>
        <v>2</v>
      </c>
      <c r="C813" s="8">
        <f ca="1">IFERROR(__xludf.DUMMYFUNCTION("""COMPUTED_VALUE"""),14)</f>
        <v>14</v>
      </c>
      <c r="D813" s="8">
        <f ca="1">IFERROR(__xludf.DUMMYFUNCTION("""COMPUTED_VALUE"""),2023)</f>
        <v>2023</v>
      </c>
      <c r="E813" s="9">
        <f ca="1">IFERROR(__xludf.DUMMYFUNCTION("""COMPUTED_VALUE"""),44971)</f>
        <v>44971</v>
      </c>
      <c r="F813" s="8" t="str">
        <f ca="1">IFERROR(__xludf.DUMMYFUNCTION("""COMPUTED_VALUE"""),"Westinghouse Academy")</f>
        <v>Westinghouse Academy</v>
      </c>
      <c r="G813" s="8">
        <f ca="1">IFERROR(__xludf.DUMMYFUNCTION("""COMPUTED_VALUE"""),0)</f>
        <v>0</v>
      </c>
      <c r="H813" s="8">
        <f ca="1">IFERROR(__xludf.DUMMYFUNCTION("""COMPUTED_VALUE"""),4)</f>
        <v>4</v>
      </c>
      <c r="I813" s="8">
        <f ca="1">IFERROR(__xludf.DUMMYFUNCTION("""COMPUTED_VALUE"""),4)</f>
        <v>4</v>
      </c>
      <c r="J813" s="8">
        <f ca="1">IFERROR(__xludf.DUMMYFUNCTION("""COMPUTED_VALUE"""),0)</f>
        <v>0</v>
      </c>
      <c r="K813" s="8" t="str">
        <f ca="1">IFERROR(__xludf.DUMMYFUNCTION("""COMPUTED_VALUE"""),"https://www.wtae.com/article/pittsburgh-westinghouse-academy-homewood-shooting/45583599#
https://www.wtae.com/article/pittsburgh-shooting-westinghouse-academy-homewood/42891145#
https://www.cbsnews.com/pittsburgh/live-updates/westinghouse-high-school-shoo"&amp;"ting/ ")</f>
        <v xml:space="preserve">https://www.wtae.com/article/pittsburgh-westinghouse-academy-homewood-shooting/45583599#
https://www.wtae.com/article/pittsburgh-shooting-westinghouse-academy-homewood/42891145#
https://www.cbsnews.com/pittsburgh/live-updates/westinghouse-high-school-shooting/ </v>
      </c>
      <c r="L813" s="8">
        <f ca="1">IFERROR(__xludf.DUMMYFUNCTION("""COMPUTED_VALUE"""),50)</f>
        <v>50</v>
      </c>
      <c r="M813" s="8" t="str">
        <f ca="1">IFERROR(__xludf.DUMMYFUNCTION("""COMPUTED_VALUE"""),"National")</f>
        <v>National</v>
      </c>
      <c r="N813" s="8">
        <f ca="1">IFERROR(__xludf.DUMMYFUNCTION("""COMPUTED_VALUE"""),4)</f>
        <v>4</v>
      </c>
      <c r="O813" s="8" t="str">
        <f ca="1">IFERROR(__xludf.DUMMYFUNCTION("""COMPUTED_VALUE"""),"Winter")</f>
        <v>Winter</v>
      </c>
      <c r="P813" s="8" t="str">
        <f ca="1">IFERROR(__xludf.DUMMYFUNCTION("""COMPUTED_VALUE"""),"Pittsburgh")</f>
        <v>Pittsburgh</v>
      </c>
      <c r="Q813" s="8" t="str">
        <f ca="1">IFERROR(__xludf.DUMMYFUNCTION("""COMPUTED_VALUE"""),"PA")</f>
        <v>PA</v>
      </c>
      <c r="R813" s="8" t="str">
        <f ca="1">IFERROR(__xludf.DUMMYFUNCTION("""COMPUTED_VALUE"""),"6-12")</f>
        <v>6-12</v>
      </c>
      <c r="S813" s="8" t="str">
        <f ca="1">IFERROR(__xludf.DUMMYFUNCTION("""COMPUTED_VALUE"""),"Front of School")</f>
        <v>Front of School</v>
      </c>
      <c r="T813" s="8" t="str">
        <f ca="1">IFERROR(__xludf.DUMMYFUNCTION("""COMPUTED_VALUE"""),"Outside on School Property")</f>
        <v>Outside on School Property</v>
      </c>
      <c r="U813" s="8" t="str">
        <f ca="1">IFERROR(__xludf.DUMMYFUNCTION("""COMPUTED_VALUE"""),"Yes")</f>
        <v>Yes</v>
      </c>
      <c r="V813" s="8" t="str">
        <f ca="1">IFERROR(__xludf.DUMMYFUNCTION("""COMPUTED_VALUE"""),"Dismissal")</f>
        <v>Dismissal</v>
      </c>
      <c r="W813" s="11">
        <f ca="1">IFERROR(__xludf.DUMMYFUNCTION("""COMPUTED_VALUE"""),0.59375)</f>
        <v>0.59375</v>
      </c>
      <c r="X813" s="8">
        <f ca="1">IFERROR(__xludf.DUMMYFUNCTION("""COMPUTED_VALUE"""),1)</f>
        <v>1</v>
      </c>
      <c r="Y813" s="12" t="str">
        <f ca="1">IFERROR(__xludf.DUMMYFUNCTION("""COMPUTED_VALUE"""),"Four students shot in front of school at dismissal")</f>
        <v>Four students shot in front of school at dismissal</v>
      </c>
      <c r="Z813" s="12" t="str">
        <f ca="1">IFERROR(__xludf.DUMMYFUNCTION("""COMPUTED_VALUE"""),"Four students were shot outside Westinghouse Academy 6-12 in Pittsburgh's Homewood neighborhood on Tuesday afternoon, police said. The shooting happened shortly after the 2:15 p.m. dismissal time for the school day. Three boys and a girl were taken to the"&amp;" hospital. ""All the students are stable, no life-threatening conditions,"" Cmdr. Stephen Vinansky said. ""All the students are accounted for."" Vinansky said police arrived just over a minute after receiving the alert and found three students inside the "&amp;"school with gunshot wounds. The fourth victim arrived at the hospital with a family member. Authorities said two of the male victims are 15 years old, one is 17 years old, and the female victim is 15 years old. The school was placed on lockdown as law enf"&amp;"orcement investigated.")</f>
        <v>Four students were shot outside Westinghouse Academy 6-12 in Pittsburgh's Homewood neighborhood on Tuesday afternoon, police said. The shooting happened shortly after the 2:15 p.m. dismissal time for the school day. Three boys and a girl were taken to the hospital. "All the students are stable, no life-threatening conditions," Cmdr. Stephen Vinansky said. "All the students are accounted for." Vinansky said police arrived just over a minute after receiving the alert and found three students inside the school with gunshot wounds. The fourth victim arrived at the hospital with a family member. Authorities said two of the male victims are 15 years old, one is 17 years old, and the female victim is 15 years old. The school was placed on lockdown as law enforcement investigated.</v>
      </c>
      <c r="AA813" s="8"/>
      <c r="AB813" s="8"/>
      <c r="AC813" s="8" t="str">
        <f ca="1">IFERROR(__xludf.DUMMYFUNCTION("""COMPUTED_VALUE"""),"Yes")</f>
        <v>Yes</v>
      </c>
      <c r="AD813" s="8" t="str">
        <f ca="1">IFERROR(__xludf.DUMMYFUNCTION("""COMPUTED_VALUE"""),"Both")</f>
        <v>Both</v>
      </c>
      <c r="AE813" s="8"/>
      <c r="AF813" s="8"/>
      <c r="AG813" s="8" t="str">
        <f ca="1">IFERROR(__xludf.DUMMYFUNCTION("""COMPUTED_VALUE"""),"No")</f>
        <v>No</v>
      </c>
      <c r="AH813" s="8" t="str">
        <f ca="1">IFERROR(__xludf.DUMMYFUNCTION("""COMPUTED_VALUE"""),"No")</f>
        <v>No</v>
      </c>
      <c r="AI813" s="8" t="str">
        <f ca="1">IFERROR(__xludf.DUMMYFUNCTION("""COMPUTED_VALUE"""),"No")</f>
        <v>No</v>
      </c>
      <c r="AJ813" s="8" t="str">
        <f ca="1">IFERROR(__xludf.DUMMYFUNCTION("""COMPUTED_VALUE"""),"No")</f>
        <v>No</v>
      </c>
      <c r="AK813" s="8" t="str">
        <f ca="1">IFERROR(__xludf.DUMMYFUNCTION("""COMPUTED_VALUE"""),"No")</f>
        <v>No</v>
      </c>
      <c r="AL813" s="8"/>
      <c r="AM813" s="8" t="str">
        <f ca="1">IFERROR(__xludf.DUMMYFUNCTION("""COMPUTED_VALUE"""),"No")</f>
        <v>No</v>
      </c>
      <c r="AN813" s="8" t="str">
        <f ca="1">IFERROR(__xludf.DUMMYFUNCTION("""COMPUTED_VALUE"""),"Outside")</f>
        <v>Outside</v>
      </c>
      <c r="AO813" s="8" t="str">
        <f ca="1">IFERROR(__xludf.DUMMYFUNCTION("""COMPUTED_VALUE"""),"No")</f>
        <v>No</v>
      </c>
      <c r="AP813" s="8"/>
      <c r="AQ813" s="8"/>
      <c r="AR813" s="8" t="str">
        <f ca="1">IFERROR(__xludf.DUMMYFUNCTION("""COMPUTED_VALUE"""),"Outside/Off-Property")</f>
        <v>Outside/Off-Property</v>
      </c>
      <c r="AS813" s="8">
        <f ca="1">IFERROR(__xludf.DUMMYFUNCTION("""COMPUTED_VALUE"""),10)</f>
        <v>10</v>
      </c>
      <c r="AT813" s="8" t="str">
        <f ca="1">IFERROR(__xludf.DUMMYFUNCTION("""COMPUTED_VALUE"""),"Yes")</f>
        <v>Yes</v>
      </c>
      <c r="AU813" s="8">
        <f ca="1">IFERROR(__xludf.DUMMYFUNCTION("""COMPUTED_VALUE"""),40.461063)</f>
        <v>40.461063000000003</v>
      </c>
      <c r="AV813" s="8">
        <f ca="1">IFERROR(__xludf.DUMMYFUNCTION("""COMPUTED_VALUE"""),-79.901398)</f>
        <v>-79.901398</v>
      </c>
      <c r="AW813" s="8"/>
      <c r="AX813" s="8">
        <f ca="1">IFERROR(__xludf.DUMMYFUNCTION("""COMPUTED_VALUE"""),15208)</f>
        <v>15208</v>
      </c>
    </row>
    <row r="814" spans="1:50" ht="75" x14ac:dyDescent="0.2">
      <c r="A814" s="8" t="str">
        <f ca="1">IFERROR(__xludf.DUMMYFUNCTION("""COMPUTED_VALUE"""),"20230214GAMID")</f>
        <v>20230214GAMID</v>
      </c>
      <c r="B814" s="8">
        <f ca="1">IFERROR(__xludf.DUMMYFUNCTION("""COMPUTED_VALUE"""),2)</f>
        <v>2</v>
      </c>
      <c r="C814" s="8">
        <f ca="1">IFERROR(__xludf.DUMMYFUNCTION("""COMPUTED_VALUE"""),14)</f>
        <v>14</v>
      </c>
      <c r="D814" s="8">
        <f ca="1">IFERROR(__xludf.DUMMYFUNCTION("""COMPUTED_VALUE"""),2023)</f>
        <v>2023</v>
      </c>
      <c r="E814" s="9">
        <f ca="1">IFERROR(__xludf.DUMMYFUNCTION("""COMPUTED_VALUE"""),44971)</f>
        <v>44971</v>
      </c>
      <c r="F814" s="8" t="str">
        <f ca="1">IFERROR(__xludf.DUMMYFUNCTION("""COMPUTED_VALUE"""),"Miller Grove Middle School")</f>
        <v>Miller Grove Middle School</v>
      </c>
      <c r="G814" s="8">
        <f ca="1">IFERROR(__xludf.DUMMYFUNCTION("""COMPUTED_VALUE"""),0)</f>
        <v>0</v>
      </c>
      <c r="H814" s="8">
        <f ca="1">IFERROR(__xludf.DUMMYFUNCTION("""COMPUTED_VALUE"""),0)</f>
        <v>0</v>
      </c>
      <c r="I814" s="8">
        <f ca="1">IFERROR(__xludf.DUMMYFUNCTION("""COMPUTED_VALUE"""),0)</f>
        <v>0</v>
      </c>
      <c r="J814" s="8">
        <f ca="1">IFERROR(__xludf.DUMMYFUNCTION("""COMPUTED_VALUE"""),0)</f>
        <v>0</v>
      </c>
      <c r="K814" s="10" t="str">
        <f ca="1">IFERROR(__xludf.DUMMYFUNCTION("""COMPUTED_VALUE"""),"https://www.wsbtv.com/news/local/dekalb-county/gun-goes-off-classroom-dekalb-county-middle-school-officials-say/GO3VO473NZDPTNJJNEQKN7W6LU/
https://www.fox5atlanta.com/news/gun-fired-inside-dekalb-county-middle-school-classroom-officials-say")</f>
        <v>https://www.wsbtv.com/news/local/dekalb-county/gun-goes-off-classroom-dekalb-county-middle-school-officials-say/GO3VO473NZDPTNJJNEQKN7W6LU/
https://www.fox5atlanta.com/news/gun-fired-inside-dekalb-county-middle-school-classroom-officials-say</v>
      </c>
      <c r="L814" s="8">
        <f ca="1">IFERROR(__xludf.DUMMYFUNCTION("""COMPUTED_VALUE"""),5)</f>
        <v>5</v>
      </c>
      <c r="M814" s="8" t="str">
        <f ca="1">IFERROR(__xludf.DUMMYFUNCTION("""COMPUTED_VALUE"""),"Local")</f>
        <v>Local</v>
      </c>
      <c r="N814" s="8">
        <f ca="1">IFERROR(__xludf.DUMMYFUNCTION("""COMPUTED_VALUE"""),4)</f>
        <v>4</v>
      </c>
      <c r="O814" s="8" t="str">
        <f ca="1">IFERROR(__xludf.DUMMYFUNCTION("""COMPUTED_VALUE"""),"Winter")</f>
        <v>Winter</v>
      </c>
      <c r="P814" s="8" t="str">
        <f ca="1">IFERROR(__xludf.DUMMYFUNCTION("""COMPUTED_VALUE"""),"Decatur")</f>
        <v>Decatur</v>
      </c>
      <c r="Q814" s="8" t="str">
        <f ca="1">IFERROR(__xludf.DUMMYFUNCTION("""COMPUTED_VALUE"""),"GA")</f>
        <v>GA</v>
      </c>
      <c r="R814" s="8" t="str">
        <f ca="1">IFERROR(__xludf.DUMMYFUNCTION("""COMPUTED_VALUE"""),"Middle")</f>
        <v>Middle</v>
      </c>
      <c r="S814" s="8" t="str">
        <f ca="1">IFERROR(__xludf.DUMMYFUNCTION("""COMPUTED_VALUE"""),"Classroom")</f>
        <v>Classroom</v>
      </c>
      <c r="T814" s="8" t="str">
        <f ca="1">IFERROR(__xludf.DUMMYFUNCTION("""COMPUTED_VALUE"""),"Inside School Building")</f>
        <v>Inside School Building</v>
      </c>
      <c r="U814" s="8" t="str">
        <f ca="1">IFERROR(__xludf.DUMMYFUNCTION("""COMPUTED_VALUE"""),"Yes")</f>
        <v>Yes</v>
      </c>
      <c r="V814" s="8" t="str">
        <f ca="1">IFERROR(__xludf.DUMMYFUNCTION("""COMPUTED_VALUE"""),"Afternoon Classes")</f>
        <v>Afternoon Classes</v>
      </c>
      <c r="W814" s="11">
        <f ca="1">IFERROR(__xludf.DUMMYFUNCTION("""COMPUTED_VALUE"""),0.5625)</f>
        <v>0.5625</v>
      </c>
      <c r="X814" s="8">
        <f ca="1">IFERROR(__xludf.DUMMYFUNCTION("""COMPUTED_VALUE"""),1)</f>
        <v>1</v>
      </c>
      <c r="Y814" s="12" t="str">
        <f ca="1">IFERROR(__xludf.DUMMYFUNCTION("""COMPUTED_VALUE"""),"Student fired shot inside a classroom")</f>
        <v>Student fired shot inside a classroom</v>
      </c>
      <c r="Z814" s="12" t="str">
        <f ca="1">IFERROR(__xludf.DUMMYFUNCTION("""COMPUTED_VALUE"""),"Student fired a gun inside a classroom during bathroom break. Security guards quickly confiscated and secured the gun. No one was hurt. The student, who hasn’t been identified, now faces “district consequences” and possible criminal charges.")</f>
        <v>Student fired a gun inside a classroom during bathroom break. Security guards quickly confiscated and secured the gun. No one was hurt. The student, who hasn’t been identified, now faces “district consequences” and possible criminal charges.</v>
      </c>
      <c r="AA814" s="8"/>
      <c r="AB814" s="8"/>
      <c r="AC814" s="8" t="str">
        <f ca="1">IFERROR(__xludf.DUMMYFUNCTION("""COMPUTED_VALUE"""),"Yes")</f>
        <v>Yes</v>
      </c>
      <c r="AD814" s="8"/>
      <c r="AE814" s="8"/>
      <c r="AF814" s="8"/>
      <c r="AG814" s="8" t="str">
        <f ca="1">IFERROR(__xludf.DUMMYFUNCTION("""COMPUTED_VALUE"""),"No")</f>
        <v>No</v>
      </c>
      <c r="AH814" s="8" t="str">
        <f ca="1">IFERROR(__xludf.DUMMYFUNCTION("""COMPUTED_VALUE"""),"No")</f>
        <v>No</v>
      </c>
      <c r="AI814" s="8" t="str">
        <f ca="1">IFERROR(__xludf.DUMMYFUNCTION("""COMPUTED_VALUE"""),"No")</f>
        <v>No</v>
      </c>
      <c r="AJ814" s="8"/>
      <c r="AK814" s="8" t="str">
        <f ca="1">IFERROR(__xludf.DUMMYFUNCTION("""COMPUTED_VALUE"""),"No")</f>
        <v>No</v>
      </c>
      <c r="AL814" s="8" t="str">
        <f ca="1">IFERROR(__xludf.DUMMYFUNCTION("""COMPUTED_VALUE"""),"No")</f>
        <v>No</v>
      </c>
      <c r="AM814" s="8" t="str">
        <f ca="1">IFERROR(__xludf.DUMMYFUNCTION("""COMPUTED_VALUE"""),"No")</f>
        <v>No</v>
      </c>
      <c r="AN814" s="8" t="str">
        <f ca="1">IFERROR(__xludf.DUMMYFUNCTION("""COMPUTED_VALUE"""),"Single Room")</f>
        <v>Single Room</v>
      </c>
      <c r="AO814" s="8" t="str">
        <f ca="1">IFERROR(__xludf.DUMMYFUNCTION("""COMPUTED_VALUE"""),"No")</f>
        <v>No</v>
      </c>
      <c r="AP814" s="8" t="str">
        <f ca="1">IFERROR(__xludf.DUMMYFUNCTION("""COMPUTED_VALUE"""),"Yes")</f>
        <v>Yes</v>
      </c>
      <c r="AQ814" s="8" t="str">
        <f ca="1">IFERROR(__xludf.DUMMYFUNCTION("""COMPUTED_VALUE"""),"Armed Guards")</f>
        <v>Armed Guards</v>
      </c>
      <c r="AR814" s="8" t="str">
        <f ca="1">IFERROR(__xludf.DUMMYFUNCTION("""COMPUTED_VALUE"""),"Failed")</f>
        <v>Failed</v>
      </c>
      <c r="AS814" s="8">
        <f ca="1">IFERROR(__xludf.DUMMYFUNCTION("""COMPUTED_VALUE"""),1)</f>
        <v>1</v>
      </c>
      <c r="AT814" s="8" t="str">
        <f ca="1">IFERROR(__xludf.DUMMYFUNCTION("""COMPUTED_VALUE"""),"Yes")</f>
        <v>Yes</v>
      </c>
      <c r="AU814" s="8">
        <f ca="1">IFERROR(__xludf.DUMMYFUNCTION("""COMPUTED_VALUE"""),33.72357)</f>
        <v>33.723570000000002</v>
      </c>
      <c r="AV814" s="8">
        <f ca="1">IFERROR(__xludf.DUMMYFUNCTION("""COMPUTED_VALUE"""),-84.183816)</f>
        <v>-84.183815999999993</v>
      </c>
      <c r="AW814" s="8"/>
      <c r="AX814" s="8">
        <f ca="1">IFERROR(__xludf.DUMMYFUNCTION("""COMPUTED_VALUE"""),30035)</f>
        <v>30035</v>
      </c>
    </row>
    <row r="815" spans="1:50" ht="120" x14ac:dyDescent="0.2">
      <c r="A815" s="8" t="str">
        <f ca="1">IFERROR(__xludf.DUMMYFUNCTION("""COMPUTED_VALUE"""),"20230213TXDAD")</f>
        <v>20230213TXDAD</v>
      </c>
      <c r="B815" s="8">
        <f ca="1">IFERROR(__xludf.DUMMYFUNCTION("""COMPUTED_VALUE"""),2)</f>
        <v>2</v>
      </c>
      <c r="C815" s="8">
        <f ca="1">IFERROR(__xludf.DUMMYFUNCTION("""COMPUTED_VALUE"""),13)</f>
        <v>13</v>
      </c>
      <c r="D815" s="8">
        <f ca="1">IFERROR(__xludf.DUMMYFUNCTION("""COMPUTED_VALUE"""),2023)</f>
        <v>2023</v>
      </c>
      <c r="E815" s="9">
        <f ca="1">IFERROR(__xludf.DUMMYFUNCTION("""COMPUTED_VALUE"""),44970)</f>
        <v>44970</v>
      </c>
      <c r="F815" s="8" t="str">
        <f ca="1">IFERROR(__xludf.DUMMYFUNCTION("""COMPUTED_VALUE"""),"Dalhart Senior High School")</f>
        <v>Dalhart Senior High School</v>
      </c>
      <c r="G815" s="8">
        <f ca="1">IFERROR(__xludf.DUMMYFUNCTION("""COMPUTED_VALUE"""),1)</f>
        <v>1</v>
      </c>
      <c r="H815" s="8">
        <f ca="1">IFERROR(__xludf.DUMMYFUNCTION("""COMPUTED_VALUE"""),0)</f>
        <v>0</v>
      </c>
      <c r="I815" s="8">
        <f ca="1">IFERROR(__xludf.DUMMYFUNCTION("""COMPUTED_VALUE"""),1)</f>
        <v>1</v>
      </c>
      <c r="J815" s="8">
        <f ca="1">IFERROR(__xludf.DUMMYFUNCTION("""COMPUTED_VALUE"""),0)</f>
        <v>0</v>
      </c>
      <c r="K815" s="10" t="str">
        <f ca="1">IFERROR(__xludf.DUMMYFUNCTION("""COMPUTED_VALUE"""),"https://www.newschannel10.com/2023/02/13/student-dead-after-firearm-discharges-vehicle-dalhart-isd-parking-lot/
https://abc7amarillo.com/news/local/dalhart-isd-police-identify-student-killed-in-accidental-shooting-in-school-parking-lot-preston-ralston-dal"&amp;"hart-texas-gun-crime-accidental-discharge")</f>
        <v>https://www.newschannel10.com/2023/02/13/student-dead-after-firearm-discharges-vehicle-dalhart-isd-parking-lot/
https://abc7amarillo.com/news/local/dalhart-isd-police-identify-student-killed-in-accidental-shooting-in-school-parking-lot-preston-ralston-dalhart-texas-gun-crime-accidental-discharge</v>
      </c>
      <c r="L815" s="8">
        <f ca="1">IFERROR(__xludf.DUMMYFUNCTION("""COMPUTED_VALUE"""),3)</f>
        <v>3</v>
      </c>
      <c r="M815" s="8" t="str">
        <f ca="1">IFERROR(__xludf.DUMMYFUNCTION("""COMPUTED_VALUE"""),"Local")</f>
        <v>Local</v>
      </c>
      <c r="N815" s="8">
        <f ca="1">IFERROR(__xludf.DUMMYFUNCTION("""COMPUTED_VALUE"""),4)</f>
        <v>4</v>
      </c>
      <c r="O815" s="8" t="str">
        <f ca="1">IFERROR(__xludf.DUMMYFUNCTION("""COMPUTED_VALUE"""),"Winter")</f>
        <v>Winter</v>
      </c>
      <c r="P815" s="8" t="str">
        <f ca="1">IFERROR(__xludf.DUMMYFUNCTION("""COMPUTED_VALUE"""),"Dalhart")</f>
        <v>Dalhart</v>
      </c>
      <c r="Q815" s="8" t="str">
        <f ca="1">IFERROR(__xludf.DUMMYFUNCTION("""COMPUTED_VALUE"""),"TX")</f>
        <v>TX</v>
      </c>
      <c r="R815" s="8" t="str">
        <f ca="1">IFERROR(__xludf.DUMMYFUNCTION("""COMPUTED_VALUE"""),"High")</f>
        <v>High</v>
      </c>
      <c r="S815" s="8" t="str">
        <f ca="1">IFERROR(__xludf.DUMMYFUNCTION("""COMPUTED_VALUE"""),"Parking Lot")</f>
        <v>Parking Lot</v>
      </c>
      <c r="T815" s="8" t="str">
        <f ca="1">IFERROR(__xludf.DUMMYFUNCTION("""COMPUTED_VALUE"""),"Outside on School Property")</f>
        <v>Outside on School Property</v>
      </c>
      <c r="U815" s="8" t="str">
        <f ca="1">IFERROR(__xludf.DUMMYFUNCTION("""COMPUTED_VALUE"""),"Yes")</f>
        <v>Yes</v>
      </c>
      <c r="V815" s="8" t="str">
        <f ca="1">IFERROR(__xludf.DUMMYFUNCTION("""COMPUTED_VALUE"""),"Lunch")</f>
        <v>Lunch</v>
      </c>
      <c r="W815" s="11">
        <f ca="1">IFERROR(__xludf.DUMMYFUNCTION("""COMPUTED_VALUE"""),0.5)</f>
        <v>0.5</v>
      </c>
      <c r="X815" s="8">
        <f ca="1">IFERROR(__xludf.DUMMYFUNCTION("""COMPUTED_VALUE"""),1)</f>
        <v>1</v>
      </c>
      <c r="Y815" s="12" t="str">
        <f ca="1">IFERROR(__xludf.DUMMYFUNCTION("""COMPUTED_VALUE"""),"Student killed during accidental shooting inside vehicle")</f>
        <v>Student killed during accidental shooting inside vehicle</v>
      </c>
      <c r="Z815" s="12" t="str">
        <f ca="1">IFERROR(__xludf.DUMMYFUNCTION("""COMPUTED_VALUE"""),"On Feb. 13 at around noon, one student was injured after a firearm accidently discharged in a vehicle on a Dalhart ISD parking lot. A spokesperson for the Dalhart Independent School District said a child not enrolled at the district went to Dalhart High S"&amp;"chool to pick up three students for lunch. That’s when the gun went off. The school was placed on a brief lockdown again today, due to law enforcement activity in the area.")</f>
        <v>On Feb. 13 at around noon, one student was injured after a firearm accidently discharged in a vehicle on a Dalhart ISD parking lot. A spokesperson for the Dalhart Independent School District said a child not enrolled at the district went to Dalhart High School to pick up three students for lunch. That’s when the gun went off. The school was placed on a brief lockdown again today, due to law enforcement activity in the area.</v>
      </c>
      <c r="AA815" s="8" t="str">
        <f ca="1">IFERROR(__xludf.DUMMYFUNCTION("""COMPUTED_VALUE"""),"Accidental")</f>
        <v>Accidental</v>
      </c>
      <c r="AB815" s="8"/>
      <c r="AC815" s="8" t="str">
        <f ca="1">IFERROR(__xludf.DUMMYFUNCTION("""COMPUTED_VALUE"""),"Yes")</f>
        <v>Yes</v>
      </c>
      <c r="AD815" s="8" t="str">
        <f ca="1">IFERROR(__xludf.DUMMYFUNCTION("""COMPUTED_VALUE"""),"Neither")</f>
        <v>Neither</v>
      </c>
      <c r="AE815" s="8"/>
      <c r="AF815" s="8"/>
      <c r="AG815" s="8" t="str">
        <f ca="1">IFERROR(__xludf.DUMMYFUNCTION("""COMPUTED_VALUE"""),"No")</f>
        <v>No</v>
      </c>
      <c r="AH815" s="8" t="str">
        <f ca="1">IFERROR(__xludf.DUMMYFUNCTION("""COMPUTED_VALUE"""),"No")</f>
        <v>No</v>
      </c>
      <c r="AI815" s="8" t="str">
        <f ca="1">IFERROR(__xludf.DUMMYFUNCTION("""COMPUTED_VALUE"""),"No")</f>
        <v>No</v>
      </c>
      <c r="AJ815" s="8"/>
      <c r="AK815" s="8" t="str">
        <f ca="1">IFERROR(__xludf.DUMMYFUNCTION("""COMPUTED_VALUE"""),"No")</f>
        <v>No</v>
      </c>
      <c r="AL815" s="8" t="str">
        <f ca="1">IFERROR(__xludf.DUMMYFUNCTION("""COMPUTED_VALUE"""),"No")</f>
        <v>No</v>
      </c>
      <c r="AM815" s="8" t="str">
        <f ca="1">IFERROR(__xludf.DUMMYFUNCTION("""COMPUTED_VALUE"""),"No")</f>
        <v>No</v>
      </c>
      <c r="AN815" s="8" t="str">
        <f ca="1">IFERROR(__xludf.DUMMYFUNCTION("""COMPUTED_VALUE"""),"Outside")</f>
        <v>Outside</v>
      </c>
      <c r="AO815" s="8" t="str">
        <f ca="1">IFERROR(__xludf.DUMMYFUNCTION("""COMPUTED_VALUE"""),"No")</f>
        <v>No</v>
      </c>
      <c r="AP815" s="8"/>
      <c r="AQ815" s="8"/>
      <c r="AR815" s="8" t="str">
        <f ca="1">IFERROR(__xludf.DUMMYFUNCTION("""COMPUTED_VALUE"""),"Outside/Off-Property")</f>
        <v>Outside/Off-Property</v>
      </c>
      <c r="AS815" s="8">
        <f ca="1">IFERROR(__xludf.DUMMYFUNCTION("""COMPUTED_VALUE"""),1)</f>
        <v>1</v>
      </c>
      <c r="AT815" s="8" t="str">
        <f ca="1">IFERROR(__xludf.DUMMYFUNCTION("""COMPUTED_VALUE"""),"Yes")</f>
        <v>Yes</v>
      </c>
      <c r="AU815" s="8">
        <f ca="1">IFERROR(__xludf.DUMMYFUNCTION("""COMPUTED_VALUE"""),36.046822)</f>
        <v>36.046821999999999</v>
      </c>
      <c r="AV815" s="8">
        <f ca="1">IFERROR(__xludf.DUMMYFUNCTION("""COMPUTED_VALUE"""),-102.499639)</f>
        <v>-102.499639</v>
      </c>
      <c r="AW815" s="8"/>
      <c r="AX815" s="8">
        <f ca="1">IFERROR(__xludf.DUMMYFUNCTION("""COMPUTED_VALUE"""),79022)</f>
        <v>79022</v>
      </c>
    </row>
    <row r="816" spans="1:50" ht="75" x14ac:dyDescent="0.2">
      <c r="A816" s="8" t="str">
        <f ca="1">IFERROR(__xludf.DUMMYFUNCTION("""COMPUTED_VALUE"""),"20230213COEMD")</f>
        <v>20230213COEMD</v>
      </c>
      <c r="B816" s="8">
        <f ca="1">IFERROR(__xludf.DUMMYFUNCTION("""COMPUTED_VALUE"""),2)</f>
        <v>2</v>
      </c>
      <c r="C816" s="8">
        <f ca="1">IFERROR(__xludf.DUMMYFUNCTION("""COMPUTED_VALUE"""),13)</f>
        <v>13</v>
      </c>
      <c r="D816" s="8">
        <f ca="1">IFERROR(__xludf.DUMMYFUNCTION("""COMPUTED_VALUE"""),2023)</f>
        <v>2023</v>
      </c>
      <c r="E816" s="9">
        <f ca="1">IFERROR(__xludf.DUMMYFUNCTION("""COMPUTED_VALUE"""),44970)</f>
        <v>44970</v>
      </c>
      <c r="F816" s="8" t="str">
        <f ca="1">IFERROR(__xludf.DUMMYFUNCTION("""COMPUTED_VALUE"""),"Emily Griffith High School")</f>
        <v>Emily Griffith High School</v>
      </c>
      <c r="G816" s="8">
        <f ca="1">IFERROR(__xludf.DUMMYFUNCTION("""COMPUTED_VALUE"""),0)</f>
        <v>0</v>
      </c>
      <c r="H816" s="8">
        <f ca="1">IFERROR(__xludf.DUMMYFUNCTION("""COMPUTED_VALUE"""),2)</f>
        <v>2</v>
      </c>
      <c r="I816" s="8">
        <f ca="1">IFERROR(__xludf.DUMMYFUNCTION("""COMPUTED_VALUE"""),2)</f>
        <v>2</v>
      </c>
      <c r="J816" s="8">
        <f ca="1">IFERROR(__xludf.DUMMYFUNCTION("""COMPUTED_VALUE"""),0)</f>
        <v>0</v>
      </c>
      <c r="K816" s="10" t="str">
        <f ca="1">IFERROR(__xludf.DUMMYFUNCTION("""COMPUTED_VALUE"""),"https://www.9news.com/article/news/crime/downtown-denver-shooting/73-3ca39d22-248c-4bb5-8fc5-d79efdb59ec3")</f>
        <v>https://www.9news.com/article/news/crime/downtown-denver-shooting/73-3ca39d22-248c-4bb5-8fc5-d79efdb59ec3</v>
      </c>
      <c r="L816" s="8">
        <f ca="1">IFERROR(__xludf.DUMMYFUNCTION("""COMPUTED_VALUE"""),10)</f>
        <v>10</v>
      </c>
      <c r="M816" s="8" t="str">
        <f ca="1">IFERROR(__xludf.DUMMYFUNCTION("""COMPUTED_VALUE"""),"Local")</f>
        <v>Local</v>
      </c>
      <c r="N816" s="8">
        <f ca="1">IFERROR(__xludf.DUMMYFUNCTION("""COMPUTED_VALUE"""),4)</f>
        <v>4</v>
      </c>
      <c r="O816" s="8" t="str">
        <f ca="1">IFERROR(__xludf.DUMMYFUNCTION("""COMPUTED_VALUE"""),"Winter")</f>
        <v>Winter</v>
      </c>
      <c r="P816" s="8" t="str">
        <f ca="1">IFERROR(__xludf.DUMMYFUNCTION("""COMPUTED_VALUE"""),"Denver")</f>
        <v>Denver</v>
      </c>
      <c r="Q816" s="8" t="str">
        <f ca="1">IFERROR(__xludf.DUMMYFUNCTION("""COMPUTED_VALUE"""),"CO")</f>
        <v>CO</v>
      </c>
      <c r="R816" s="8" t="str">
        <f ca="1">IFERROR(__xludf.DUMMYFUNCTION("""COMPUTED_VALUE"""),"High")</f>
        <v>High</v>
      </c>
      <c r="S816" s="8" t="str">
        <f ca="1">IFERROR(__xludf.DUMMYFUNCTION("""COMPUTED_VALUE"""),"Parking Lot")</f>
        <v>Parking Lot</v>
      </c>
      <c r="T816" s="8" t="str">
        <f ca="1">IFERROR(__xludf.DUMMYFUNCTION("""COMPUTED_VALUE"""),"Outside on School Property")</f>
        <v>Outside on School Property</v>
      </c>
      <c r="U816" s="8" t="str">
        <f ca="1">IFERROR(__xludf.DUMMYFUNCTION("""COMPUTED_VALUE"""),"Yes")</f>
        <v>Yes</v>
      </c>
      <c r="V816" s="8" t="str">
        <f ca="1">IFERROR(__xludf.DUMMYFUNCTION("""COMPUTED_VALUE"""),"Dismissal")</f>
        <v>Dismissal</v>
      </c>
      <c r="W816" s="11">
        <f ca="1">IFERROR(__xludf.DUMMYFUNCTION("""COMPUTED_VALUE"""),0.618055555555555)</f>
        <v>0.61805555555555503</v>
      </c>
      <c r="X816" s="8">
        <f ca="1">IFERROR(__xludf.DUMMYFUNCTION("""COMPUTED_VALUE"""),1)</f>
        <v>1</v>
      </c>
      <c r="Y816" s="12" t="str">
        <f ca="1">IFERROR(__xludf.DUMMYFUNCTION("""COMPUTED_VALUE"""),"Student and adult man shot during confrontation outside of school")</f>
        <v>Student and adult man shot during confrontation outside of school</v>
      </c>
      <c r="Z816" s="12" t="str">
        <f ca="1">IFERROR(__xludf.DUMMYFUNCTION("""COMPUTED_VALUE"""),"A group of students left the school and got into an argument outside near the parking lot. An 18-year-old student who had been carrying a gun all day at school fired multiple shots wounded a 17-year-old student and an adult man. The shooter fled and was l"&amp;"ater arrested.")</f>
        <v>A group of students left the school and got into an argument outside near the parking lot. An 18-year-old student who had been carrying a gun all day at school fired multiple shots wounded a 17-year-old student and an adult man. The shooter fled and was later arrested.</v>
      </c>
      <c r="AA816" s="8" t="str">
        <f ca="1">IFERROR(__xludf.DUMMYFUNCTION("""COMPUTED_VALUE"""),"Escalation of Dispute")</f>
        <v>Escalation of Dispute</v>
      </c>
      <c r="AB816" s="8"/>
      <c r="AC816" s="8" t="str">
        <f ca="1">IFERROR(__xludf.DUMMYFUNCTION("""COMPUTED_VALUE"""),"Yes")</f>
        <v>Yes</v>
      </c>
      <c r="AD816" s="8" t="str">
        <f ca="1">IFERROR(__xludf.DUMMYFUNCTION("""COMPUTED_VALUE"""),"Both")</f>
        <v>Both</v>
      </c>
      <c r="AE816" s="8" t="str">
        <f ca="1">IFERROR(__xludf.DUMMYFUNCTION("""COMPUTED_VALUE"""),"No")</f>
        <v>No</v>
      </c>
      <c r="AF816" s="8"/>
      <c r="AG816" s="8" t="str">
        <f ca="1">IFERROR(__xludf.DUMMYFUNCTION("""COMPUTED_VALUE"""),"No")</f>
        <v>No</v>
      </c>
      <c r="AH816" s="8" t="str">
        <f ca="1">IFERROR(__xludf.DUMMYFUNCTION("""COMPUTED_VALUE"""),"No")</f>
        <v>No</v>
      </c>
      <c r="AI816" s="8" t="str">
        <f ca="1">IFERROR(__xludf.DUMMYFUNCTION("""COMPUTED_VALUE"""),"No")</f>
        <v>No</v>
      </c>
      <c r="AJ816" s="8" t="str">
        <f ca="1">IFERROR(__xludf.DUMMYFUNCTION("""COMPUTED_VALUE"""),"No")</f>
        <v>No</v>
      </c>
      <c r="AK816" s="8" t="str">
        <f ca="1">IFERROR(__xludf.DUMMYFUNCTION("""COMPUTED_VALUE"""),"No")</f>
        <v>No</v>
      </c>
      <c r="AL816" s="8" t="str">
        <f ca="1">IFERROR(__xludf.DUMMYFUNCTION("""COMPUTED_VALUE"""),"No")</f>
        <v>No</v>
      </c>
      <c r="AM816" s="8" t="str">
        <f ca="1">IFERROR(__xludf.DUMMYFUNCTION("""COMPUTED_VALUE"""),"No")</f>
        <v>No</v>
      </c>
      <c r="AN816" s="8" t="str">
        <f ca="1">IFERROR(__xludf.DUMMYFUNCTION("""COMPUTED_VALUE"""),"Outside")</f>
        <v>Outside</v>
      </c>
      <c r="AO816" s="8" t="str">
        <f ca="1">IFERROR(__xludf.DUMMYFUNCTION("""COMPUTED_VALUE"""),"No")</f>
        <v>No</v>
      </c>
      <c r="AP816" s="8"/>
      <c r="AQ816" s="8"/>
      <c r="AR816" s="8" t="str">
        <f ca="1">IFERROR(__xludf.DUMMYFUNCTION("""COMPUTED_VALUE"""),"Outside/Off-Property")</f>
        <v>Outside/Off-Property</v>
      </c>
      <c r="AS816" s="8">
        <f ca="1">IFERROR(__xludf.DUMMYFUNCTION("""COMPUTED_VALUE"""),99)</f>
        <v>99</v>
      </c>
      <c r="AT816" s="8" t="str">
        <f ca="1">IFERROR(__xludf.DUMMYFUNCTION("""COMPUTED_VALUE"""),"Yes")</f>
        <v>Yes</v>
      </c>
      <c r="AU816" s="8">
        <f ca="1">IFERROR(__xludf.DUMMYFUNCTION("""COMPUTED_VALUE"""),39.746037)</f>
        <v>39.746037000000001</v>
      </c>
      <c r="AV816" s="8">
        <f ca="1">IFERROR(__xludf.DUMMYFUNCTION("""COMPUTED_VALUE"""),-104.986063)</f>
        <v>-104.986063</v>
      </c>
      <c r="AW816" s="8"/>
      <c r="AX816" s="8">
        <f ca="1">IFERROR(__xludf.DUMMYFUNCTION("""COMPUTED_VALUE"""),80203)</f>
        <v>80203</v>
      </c>
    </row>
    <row r="817" spans="1:50" ht="105" x14ac:dyDescent="0.2">
      <c r="A817" s="8" t="str">
        <f ca="1">IFERROR(__xludf.DUMMYFUNCTION("""COMPUTED_VALUE"""),"20230213NYPSS")</f>
        <v>20230213NYPSS</v>
      </c>
      <c r="B817" s="8">
        <f ca="1">IFERROR(__xludf.DUMMYFUNCTION("""COMPUTED_VALUE"""),2)</f>
        <v>2</v>
      </c>
      <c r="C817" s="8">
        <f ca="1">IFERROR(__xludf.DUMMYFUNCTION("""COMPUTED_VALUE"""),13)</f>
        <v>13</v>
      </c>
      <c r="D817" s="8">
        <f ca="1">IFERROR(__xludf.DUMMYFUNCTION("""COMPUTED_VALUE"""),2023)</f>
        <v>2023</v>
      </c>
      <c r="E817" s="9">
        <f ca="1">IFERROR(__xludf.DUMMYFUNCTION("""COMPUTED_VALUE"""),44970)</f>
        <v>44970</v>
      </c>
      <c r="F817" s="8" t="str">
        <f ca="1">IFERROR(__xludf.DUMMYFUNCTION("""COMPUTED_VALUE"""),"PS 78")</f>
        <v>PS 78</v>
      </c>
      <c r="G817" s="8">
        <f ca="1">IFERROR(__xludf.DUMMYFUNCTION("""COMPUTED_VALUE"""),0)</f>
        <v>0</v>
      </c>
      <c r="H817" s="8">
        <f ca="1">IFERROR(__xludf.DUMMYFUNCTION("""COMPUTED_VALUE"""),0)</f>
        <v>0</v>
      </c>
      <c r="I817" s="8">
        <f ca="1">IFERROR(__xludf.DUMMYFUNCTION("""COMPUTED_VALUE"""),0)</f>
        <v>0</v>
      </c>
      <c r="J817" s="8">
        <f ca="1">IFERROR(__xludf.DUMMYFUNCTION("""COMPUTED_VALUE"""),0)</f>
        <v>0</v>
      </c>
      <c r="K817" s="10" t="str">
        <f ca="1">IFERROR(__xludf.DUMMYFUNCTION("""COMPUTED_VALUE"""),"https://www.cbsnews.com/newyork/news/staten-island-elementary-school-shots-fired-stapleton-ps-78/")</f>
        <v>https://www.cbsnews.com/newyork/news/staten-island-elementary-school-shots-fired-stapleton-ps-78/</v>
      </c>
      <c r="L817" s="8">
        <f ca="1">IFERROR(__xludf.DUMMYFUNCTION("""COMPUTED_VALUE"""),2)</f>
        <v>2</v>
      </c>
      <c r="M817" s="8" t="str">
        <f ca="1">IFERROR(__xludf.DUMMYFUNCTION("""COMPUTED_VALUE"""),"Regional")</f>
        <v>Regional</v>
      </c>
      <c r="N817" s="8">
        <f ca="1">IFERROR(__xludf.DUMMYFUNCTION("""COMPUTED_VALUE"""),4)</f>
        <v>4</v>
      </c>
      <c r="O817" s="8" t="str">
        <f ca="1">IFERROR(__xludf.DUMMYFUNCTION("""COMPUTED_VALUE"""),"Winter")</f>
        <v>Winter</v>
      </c>
      <c r="P817" s="8" t="str">
        <f ca="1">IFERROR(__xludf.DUMMYFUNCTION("""COMPUTED_VALUE"""),"Staten Island")</f>
        <v>Staten Island</v>
      </c>
      <c r="Q817" s="8" t="str">
        <f ca="1">IFERROR(__xludf.DUMMYFUNCTION("""COMPUTED_VALUE"""),"NY")</f>
        <v>NY</v>
      </c>
      <c r="R817" s="8" t="str">
        <f ca="1">IFERROR(__xludf.DUMMYFUNCTION("""COMPUTED_VALUE"""),"Elementary")</f>
        <v>Elementary</v>
      </c>
      <c r="S817" s="8" t="str">
        <f ca="1">IFERROR(__xludf.DUMMYFUNCTION("""COMPUTED_VALUE"""),"Beside Building")</f>
        <v>Beside Building</v>
      </c>
      <c r="T817" s="8" t="str">
        <f ca="1">IFERROR(__xludf.DUMMYFUNCTION("""COMPUTED_VALUE"""),"Outside on School Property")</f>
        <v>Outside on School Property</v>
      </c>
      <c r="U817" s="8" t="str">
        <f ca="1">IFERROR(__xludf.DUMMYFUNCTION("""COMPUTED_VALUE"""),"Yes")</f>
        <v>Yes</v>
      </c>
      <c r="V817" s="8" t="str">
        <f ca="1">IFERROR(__xludf.DUMMYFUNCTION("""COMPUTED_VALUE"""),"Lunch")</f>
        <v>Lunch</v>
      </c>
      <c r="W817" s="11">
        <f ca="1">IFERROR(__xludf.DUMMYFUNCTION("""COMPUTED_VALUE"""),0.524305555555555)</f>
        <v>0.52430555555555503</v>
      </c>
      <c r="X817" s="8">
        <f ca="1">IFERROR(__xludf.DUMMYFUNCTION("""COMPUTED_VALUE"""),1)</f>
        <v>1</v>
      </c>
      <c r="Y817" s="12" t="str">
        <f ca="1">IFERROR(__xludf.DUMMYFUNCTION("""COMPUTED_VALUE"""),"Shots fired next to school during lunch, bullets broke windows of 2 school window in seperate classrooms")</f>
        <v>Shots fired next to school during lunch, bullets broke windows of 2 school window in seperate classrooms</v>
      </c>
      <c r="Z817" s="12" t="str">
        <f ca="1">IFERROR(__xludf.DUMMYFUNCTION("""COMPUTED_VALUE"""),"Someone shot out the windows of two classrooms at a Staten Island elementary school. One of the targeted classrooms at PS 78 in Staten Island’s Clifton section had 10 adult students inside at the time, police said. No one was injured. The other classroom "&amp;"was unoccupied. ")</f>
        <v xml:space="preserve">Someone shot out the windows of two classrooms at a Staten Island elementary school. One of the targeted classrooms at PS 78 in Staten Island’s Clifton section had 10 adult students inside at the time, police said. No one was injured. The other classroom was unoccupied. </v>
      </c>
      <c r="AA817" s="8"/>
      <c r="AB817" s="8"/>
      <c r="AC817" s="8" t="str">
        <f ca="1">IFERROR(__xludf.DUMMYFUNCTION("""COMPUTED_VALUE"""),"Yes")</f>
        <v>Yes</v>
      </c>
      <c r="AD817" s="8" t="str">
        <f ca="1">IFERROR(__xludf.DUMMYFUNCTION("""COMPUTED_VALUE"""),"Random Shooting")</f>
        <v>Random Shooting</v>
      </c>
      <c r="AE817" s="8"/>
      <c r="AF817" s="8"/>
      <c r="AG817" s="8" t="str">
        <f ca="1">IFERROR(__xludf.DUMMYFUNCTION("""COMPUTED_VALUE"""),"No")</f>
        <v>No</v>
      </c>
      <c r="AH817" s="8" t="str">
        <f ca="1">IFERROR(__xludf.DUMMYFUNCTION("""COMPUTED_VALUE"""),"No")</f>
        <v>No</v>
      </c>
      <c r="AI817" s="8" t="str">
        <f ca="1">IFERROR(__xludf.DUMMYFUNCTION("""COMPUTED_VALUE"""),"No")</f>
        <v>No</v>
      </c>
      <c r="AJ817" s="8" t="str">
        <f ca="1">IFERROR(__xludf.DUMMYFUNCTION("""COMPUTED_VALUE"""),"No")</f>
        <v>No</v>
      </c>
      <c r="AK817" s="8" t="str">
        <f ca="1">IFERROR(__xludf.DUMMYFUNCTION("""COMPUTED_VALUE"""),"No")</f>
        <v>No</v>
      </c>
      <c r="AL817" s="8"/>
      <c r="AM817" s="8" t="str">
        <f ca="1">IFERROR(__xludf.DUMMYFUNCTION("""COMPUTED_VALUE"""),"No")</f>
        <v>No</v>
      </c>
      <c r="AN817" s="8" t="str">
        <f ca="1">IFERROR(__xludf.DUMMYFUNCTION("""COMPUTED_VALUE"""),"Outside")</f>
        <v>Outside</v>
      </c>
      <c r="AO817" s="8"/>
      <c r="AP817" s="8"/>
      <c r="AQ817" s="8"/>
      <c r="AR817" s="8" t="str">
        <f ca="1">IFERROR(__xludf.DUMMYFUNCTION("""COMPUTED_VALUE"""),"Outside/Off-Property")</f>
        <v>Outside/Off-Property</v>
      </c>
      <c r="AS817" s="8">
        <f ca="1">IFERROR(__xludf.DUMMYFUNCTION("""COMPUTED_VALUE"""),99)</f>
        <v>99</v>
      </c>
      <c r="AT817" s="8" t="str">
        <f ca="1">IFERROR(__xludf.DUMMYFUNCTION("""COMPUTED_VALUE"""),"Yes")</f>
        <v>Yes</v>
      </c>
      <c r="AU817" s="8">
        <f ca="1">IFERROR(__xludf.DUMMYFUNCTION("""COMPUTED_VALUE"""),40.621891)</f>
        <v>40.621890999999998</v>
      </c>
      <c r="AV817" s="8">
        <f ca="1">IFERROR(__xludf.DUMMYFUNCTION("""COMPUTED_VALUE"""),-74.078703)</f>
        <v>-74.078703000000004</v>
      </c>
      <c r="AW817" s="8"/>
      <c r="AX817" s="8">
        <f ca="1">IFERROR(__xludf.DUMMYFUNCTION("""COMPUTED_VALUE"""),10304)</f>
        <v>10304</v>
      </c>
    </row>
    <row r="818" spans="1:50" ht="60" x14ac:dyDescent="0.2">
      <c r="A818" s="8" t="str">
        <f ca="1">IFERROR(__xludf.DUMMYFUNCTION("""COMPUTED_VALUE"""),"20230213COEAD")</f>
        <v>20230213COEAD</v>
      </c>
      <c r="B818" s="8">
        <f ca="1">IFERROR(__xludf.DUMMYFUNCTION("""COMPUTED_VALUE"""),2)</f>
        <v>2</v>
      </c>
      <c r="C818" s="8">
        <f ca="1">IFERROR(__xludf.DUMMYFUNCTION("""COMPUTED_VALUE"""),13)</f>
        <v>13</v>
      </c>
      <c r="D818" s="8">
        <f ca="1">IFERROR(__xludf.DUMMYFUNCTION("""COMPUTED_VALUE"""),2023)</f>
        <v>2023</v>
      </c>
      <c r="E818" s="9">
        <f ca="1">IFERROR(__xludf.DUMMYFUNCTION("""COMPUTED_VALUE"""),44970)</f>
        <v>44970</v>
      </c>
      <c r="F818" s="8" t="str">
        <f ca="1">IFERROR(__xludf.DUMMYFUNCTION("""COMPUTED_VALUE"""),"East High School")</f>
        <v>East High School</v>
      </c>
      <c r="G818" s="8">
        <f ca="1">IFERROR(__xludf.DUMMYFUNCTION("""COMPUTED_VALUE"""),0)</f>
        <v>0</v>
      </c>
      <c r="H818" s="8">
        <f ca="1">IFERROR(__xludf.DUMMYFUNCTION("""COMPUTED_VALUE"""),1)</f>
        <v>1</v>
      </c>
      <c r="I818" s="8">
        <f ca="1">IFERROR(__xludf.DUMMYFUNCTION("""COMPUTED_VALUE"""),1)</f>
        <v>1</v>
      </c>
      <c r="J818" s="8">
        <f ca="1">IFERROR(__xludf.DUMMYFUNCTION("""COMPUTED_VALUE"""),0)</f>
        <v>0</v>
      </c>
      <c r="K818" s="8" t="str">
        <f ca="1">IFERROR(__xludf.DUMMYFUNCTION("""COMPUTED_VALUE"""),"https://co.chalkbeat.org/2023/2/13/23598844/denver-east-high-school-shooting-gun-violence-classes-canceled
https://denvergazette.com/news/crime/luis-garcia-parents-file-wrongful-death-claim-against-denver-public-schools/article_2c3c3008-f052-11ed-bcde-fb6"&amp;"2d18155da.html")</f>
        <v>https://co.chalkbeat.org/2023/2/13/23598844/denver-east-high-school-shooting-gun-violence-classes-canceled
https://denvergazette.com/news/crime/luis-garcia-parents-file-wrongful-death-claim-against-denver-public-schools/article_2c3c3008-f052-11ed-bcde-fb62d18155da.html</v>
      </c>
      <c r="L818" s="8">
        <f ca="1">IFERROR(__xludf.DUMMYFUNCTION("""COMPUTED_VALUE"""),50)</f>
        <v>50</v>
      </c>
      <c r="M818" s="8" t="str">
        <f ca="1">IFERROR(__xludf.DUMMYFUNCTION("""COMPUTED_VALUE"""),"National")</f>
        <v>National</v>
      </c>
      <c r="N818" s="8">
        <f ca="1">IFERROR(__xludf.DUMMYFUNCTION("""COMPUTED_VALUE"""),4)</f>
        <v>4</v>
      </c>
      <c r="O818" s="8" t="str">
        <f ca="1">IFERROR(__xludf.DUMMYFUNCTION("""COMPUTED_VALUE"""),"Winter")</f>
        <v>Winter</v>
      </c>
      <c r="P818" s="8" t="str">
        <f ca="1">IFERROR(__xludf.DUMMYFUNCTION("""COMPUTED_VALUE"""),"Denver")</f>
        <v>Denver</v>
      </c>
      <c r="Q818" s="8" t="str">
        <f ca="1">IFERROR(__xludf.DUMMYFUNCTION("""COMPUTED_VALUE"""),"CO")</f>
        <v>CO</v>
      </c>
      <c r="R818" s="8" t="str">
        <f ca="1">IFERROR(__xludf.DUMMYFUNCTION("""COMPUTED_VALUE"""),"High")</f>
        <v>High</v>
      </c>
      <c r="S818" s="8" t="str">
        <f ca="1">IFERROR(__xludf.DUMMYFUNCTION("""COMPUTED_VALUE"""),"Parking Lot")</f>
        <v>Parking Lot</v>
      </c>
      <c r="T818" s="8" t="str">
        <f ca="1">IFERROR(__xludf.DUMMYFUNCTION("""COMPUTED_VALUE"""),"Outside on School Property")</f>
        <v>Outside on School Property</v>
      </c>
      <c r="U818" s="8" t="str">
        <f ca="1">IFERROR(__xludf.DUMMYFUNCTION("""COMPUTED_VALUE"""),"Yes")</f>
        <v>Yes</v>
      </c>
      <c r="V818" s="8" t="str">
        <f ca="1">IFERROR(__xludf.DUMMYFUNCTION("""COMPUTED_VALUE"""),"Afternoon Classes")</f>
        <v>Afternoon Classes</v>
      </c>
      <c r="W818" s="11">
        <f ca="1">IFERROR(__xludf.DUMMYFUNCTION("""COMPUTED_VALUE"""),0.604166666666666)</f>
        <v>0.60416666666666596</v>
      </c>
      <c r="X818" s="8">
        <f ca="1">IFERROR(__xludf.DUMMYFUNCTION("""COMPUTED_VALUE"""),1)</f>
        <v>1</v>
      </c>
      <c r="Y818" s="12" t="str">
        <f ca="1">IFERROR(__xludf.DUMMYFUNCTION("""COMPUTED_VALUE"""),"Student shot in front of school, school locked down")</f>
        <v>Student shot in front of school, school locked down</v>
      </c>
      <c r="Z818" s="12" t="str">
        <f ca="1">IFERROR(__xludf.DUMMYFUNCTION("""COMPUTED_VALUE"""),"16-year-old student was shot outside of the school. Two teens from another Denver school were arrested. School went on lockdown, dismissed late, and classes were cancelled the following day.")</f>
        <v>16-year-old student was shot outside of the school. Two teens from another Denver school were arrested. School went on lockdown, dismissed late, and classes were cancelled the following day.</v>
      </c>
      <c r="AA818" s="8"/>
      <c r="AB818" s="8"/>
      <c r="AC818" s="8" t="str">
        <f ca="1">IFERROR(__xludf.DUMMYFUNCTION("""COMPUTED_VALUE"""),"Yes")</f>
        <v>Yes</v>
      </c>
      <c r="AD818" s="8" t="str">
        <f ca="1">IFERROR(__xludf.DUMMYFUNCTION("""COMPUTED_VALUE"""),"Victims Targeted")</f>
        <v>Victims Targeted</v>
      </c>
      <c r="AE818" s="8" t="str">
        <f ca="1">IFERROR(__xludf.DUMMYFUNCTION("""COMPUTED_VALUE"""),"Yes")</f>
        <v>Yes</v>
      </c>
      <c r="AF818" s="8" t="str">
        <f ca="1">IFERROR(__xludf.DUMMYFUNCTION("""COMPUTED_VALUE"""),"Two teens arrested")</f>
        <v>Two teens arrested</v>
      </c>
      <c r="AG818" s="8" t="str">
        <f ca="1">IFERROR(__xludf.DUMMYFUNCTION("""COMPUTED_VALUE"""),"No")</f>
        <v>No</v>
      </c>
      <c r="AH818" s="8" t="str">
        <f ca="1">IFERROR(__xludf.DUMMYFUNCTION("""COMPUTED_VALUE"""),"No")</f>
        <v>No</v>
      </c>
      <c r="AI818" s="8" t="str">
        <f ca="1">IFERROR(__xludf.DUMMYFUNCTION("""COMPUTED_VALUE"""),"No")</f>
        <v>No</v>
      </c>
      <c r="AJ818" s="8" t="str">
        <f ca="1">IFERROR(__xludf.DUMMYFUNCTION("""COMPUTED_VALUE"""),"No")</f>
        <v>No</v>
      </c>
      <c r="AK818" s="8" t="str">
        <f ca="1">IFERROR(__xludf.DUMMYFUNCTION("""COMPUTED_VALUE"""),"No")</f>
        <v>No</v>
      </c>
      <c r="AL818" s="8"/>
      <c r="AM818" s="8" t="str">
        <f ca="1">IFERROR(__xludf.DUMMYFUNCTION("""COMPUTED_VALUE"""),"No")</f>
        <v>No</v>
      </c>
      <c r="AN818" s="8" t="str">
        <f ca="1">IFERROR(__xludf.DUMMYFUNCTION("""COMPUTED_VALUE"""),"Outside")</f>
        <v>Outside</v>
      </c>
      <c r="AO818" s="8" t="str">
        <f ca="1">IFERROR(__xludf.DUMMYFUNCTION("""COMPUTED_VALUE"""),"No")</f>
        <v>No</v>
      </c>
      <c r="AP818" s="8"/>
      <c r="AQ818" s="8"/>
      <c r="AR818" s="8" t="str">
        <f ca="1">IFERROR(__xludf.DUMMYFUNCTION("""COMPUTED_VALUE"""),"Outside/Off-Property")</f>
        <v>Outside/Off-Property</v>
      </c>
      <c r="AS818" s="8">
        <f ca="1">IFERROR(__xludf.DUMMYFUNCTION("""COMPUTED_VALUE"""),99)</f>
        <v>99</v>
      </c>
      <c r="AT818" s="8" t="str">
        <f ca="1">IFERROR(__xludf.DUMMYFUNCTION("""COMPUTED_VALUE"""),"Yes")</f>
        <v>Yes</v>
      </c>
      <c r="AU818" s="8">
        <f ca="1">IFERROR(__xludf.DUMMYFUNCTION("""COMPUTED_VALUE"""),39.742411)</f>
        <v>39.742410999999997</v>
      </c>
      <c r="AV818" s="8">
        <f ca="1">IFERROR(__xludf.DUMMYFUNCTION("""COMPUTED_VALUE"""),-104.956573)</f>
        <v>-104.95657300000001</v>
      </c>
      <c r="AW818" s="8"/>
      <c r="AX818" s="8">
        <f ca="1">IFERROR(__xludf.DUMMYFUNCTION("""COMPUTED_VALUE"""),80206)</f>
        <v>80206</v>
      </c>
    </row>
    <row r="819" spans="1:50" ht="105" x14ac:dyDescent="0.2">
      <c r="A819" s="8" t="str">
        <f ca="1">IFERROR(__xludf.DUMMYFUNCTION("""COMPUTED_VALUE"""),"20230210CAHEF")</f>
        <v>20230210CAHEF</v>
      </c>
      <c r="B819" s="8">
        <f ca="1">IFERROR(__xludf.DUMMYFUNCTION("""COMPUTED_VALUE"""),2)</f>
        <v>2</v>
      </c>
      <c r="C819" s="8">
        <f ca="1">IFERROR(__xludf.DUMMYFUNCTION("""COMPUTED_VALUE"""),10)</f>
        <v>10</v>
      </c>
      <c r="D819" s="8">
        <f ca="1">IFERROR(__xludf.DUMMYFUNCTION("""COMPUTED_VALUE"""),2023)</f>
        <v>2023</v>
      </c>
      <c r="E819" s="9">
        <f ca="1">IFERROR(__xludf.DUMMYFUNCTION("""COMPUTED_VALUE"""),44967)</f>
        <v>44967</v>
      </c>
      <c r="F819" s="8" t="str">
        <f ca="1">IFERROR(__xludf.DUMMYFUNCTION("""COMPUTED_VALUE"""),"Heaton Elementary School")</f>
        <v>Heaton Elementary School</v>
      </c>
      <c r="G819" s="8">
        <f ca="1">IFERROR(__xludf.DUMMYFUNCTION("""COMPUTED_VALUE"""),0)</f>
        <v>0</v>
      </c>
      <c r="H819" s="8">
        <f ca="1">IFERROR(__xludf.DUMMYFUNCTION("""COMPUTED_VALUE"""),1)</f>
        <v>1</v>
      </c>
      <c r="I819" s="8">
        <f ca="1">IFERROR(__xludf.DUMMYFUNCTION("""COMPUTED_VALUE"""),1)</f>
        <v>1</v>
      </c>
      <c r="J819" s="8">
        <f ca="1">IFERROR(__xludf.DUMMYFUNCTION("""COMPUTED_VALUE"""),0)</f>
        <v>0</v>
      </c>
      <c r="K819" s="10" t="str">
        <f ca="1">IFERROR(__xludf.DUMMYFUNCTION("""COMPUTED_VALUE"""),"https://www.fresnobee.com/news/local/crime/article272400143.html")</f>
        <v>https://www.fresnobee.com/news/local/crime/article272400143.html</v>
      </c>
      <c r="L819" s="8">
        <f ca="1">IFERROR(__xludf.DUMMYFUNCTION("""COMPUTED_VALUE"""),1)</f>
        <v>1</v>
      </c>
      <c r="M819" s="8" t="str">
        <f ca="1">IFERROR(__xludf.DUMMYFUNCTION("""COMPUTED_VALUE"""),"Local")</f>
        <v>Local</v>
      </c>
      <c r="N819" s="8">
        <f ca="1">IFERROR(__xludf.DUMMYFUNCTION("""COMPUTED_VALUE"""),3)</f>
        <v>3</v>
      </c>
      <c r="O819" s="8" t="str">
        <f ca="1">IFERROR(__xludf.DUMMYFUNCTION("""COMPUTED_VALUE"""),"Winter")</f>
        <v>Winter</v>
      </c>
      <c r="P819" s="8" t="str">
        <f ca="1">IFERROR(__xludf.DUMMYFUNCTION("""COMPUTED_VALUE"""),"Fresno")</f>
        <v>Fresno</v>
      </c>
      <c r="Q819" s="8" t="str">
        <f ca="1">IFERROR(__xludf.DUMMYFUNCTION("""COMPUTED_VALUE"""),"CA")</f>
        <v>CA</v>
      </c>
      <c r="R819" s="8" t="str">
        <f ca="1">IFERROR(__xludf.DUMMYFUNCTION("""COMPUTED_VALUE"""),"Elementary")</f>
        <v>Elementary</v>
      </c>
      <c r="S819" s="8" t="str">
        <f ca="1">IFERROR(__xludf.DUMMYFUNCTION("""COMPUTED_VALUE"""),"School Bus")</f>
        <v>School Bus</v>
      </c>
      <c r="T819" s="8" t="str">
        <f ca="1">IFERROR(__xludf.DUMMYFUNCTION("""COMPUTED_VALUE"""),"School Bus")</f>
        <v>School Bus</v>
      </c>
      <c r="U819" s="8" t="str">
        <f ca="1">IFERROR(__xludf.DUMMYFUNCTION("""COMPUTED_VALUE"""),"Yes")</f>
        <v>Yes</v>
      </c>
      <c r="V819" s="8" t="str">
        <f ca="1">IFERROR(__xludf.DUMMYFUNCTION("""COMPUTED_VALUE"""),"Dismissal")</f>
        <v>Dismissal</v>
      </c>
      <c r="W819" s="11">
        <f ca="1">IFERROR(__xludf.DUMMYFUNCTION("""COMPUTED_VALUE"""),0.635416666666666)</f>
        <v>0.63541666666666596</v>
      </c>
      <c r="X819" s="8">
        <f ca="1">IFERROR(__xludf.DUMMYFUNCTION("""COMPUTED_VALUE"""),1)</f>
        <v>1</v>
      </c>
      <c r="Y819" s="12" t="str">
        <f ca="1">IFERROR(__xludf.DUMMYFUNCTION("""COMPUTED_VALUE"""),"Student shot school bus driver when bus stopped to drop off students")</f>
        <v>Student shot school bus driver when bus stopped to drop off students</v>
      </c>
      <c r="Z819" s="12" t="str">
        <f ca="1">IFERROR(__xludf.DUMMYFUNCTION("""COMPUTED_VALUE"""),"The incident happened at 3:15 p.m. at Vassar and Glenn avenues, just west of the major intersection of Clinton and Blackstone avenues, Fresno Police Sgt. Diana Trueba Vega said. She said when the bus driver opened the door to let students out, a juvenile "&amp;"who normally rides her bus and was waiting at the stop shot her with an airsoft gun. The driver was struck in the leg.")</f>
        <v>The incident happened at 3:15 p.m. at Vassar and Glenn avenues, just west of the major intersection of Clinton and Blackstone avenues, Fresno Police Sgt. Diana Trueba Vega said. She said when the bus driver opened the door to let students out, a juvenile who normally rides her bus and was waiting at the stop shot her with an airsoft gun. The driver was struck in the leg.</v>
      </c>
      <c r="AA819" s="8"/>
      <c r="AB819" s="8"/>
      <c r="AC819" s="8" t="str">
        <f ca="1">IFERROR(__xludf.DUMMYFUNCTION("""COMPUTED_VALUE"""),"Yes")</f>
        <v>Yes</v>
      </c>
      <c r="AD819" s="8" t="str">
        <f ca="1">IFERROR(__xludf.DUMMYFUNCTION("""COMPUTED_VALUE"""),"Victims Targeted")</f>
        <v>Victims Targeted</v>
      </c>
      <c r="AE819" s="8" t="str">
        <f ca="1">IFERROR(__xludf.DUMMYFUNCTION("""COMPUTED_VALUE"""),"No")</f>
        <v>No</v>
      </c>
      <c r="AF819" s="8"/>
      <c r="AG819" s="8" t="str">
        <f ca="1">IFERROR(__xludf.DUMMYFUNCTION("""COMPUTED_VALUE"""),"No")</f>
        <v>No</v>
      </c>
      <c r="AH819" s="8" t="str">
        <f ca="1">IFERROR(__xludf.DUMMYFUNCTION("""COMPUTED_VALUE"""),"No")</f>
        <v>No</v>
      </c>
      <c r="AI819" s="8" t="str">
        <f ca="1">IFERROR(__xludf.DUMMYFUNCTION("""COMPUTED_VALUE"""),"No")</f>
        <v>No</v>
      </c>
      <c r="AJ819" s="8"/>
      <c r="AK819" s="8" t="str">
        <f ca="1">IFERROR(__xludf.DUMMYFUNCTION("""COMPUTED_VALUE"""),"No")</f>
        <v>No</v>
      </c>
      <c r="AL819" s="8"/>
      <c r="AM819" s="8" t="str">
        <f ca="1">IFERROR(__xludf.DUMMYFUNCTION("""COMPUTED_VALUE"""),"No")</f>
        <v>No</v>
      </c>
      <c r="AN819" s="8" t="str">
        <f ca="1">IFERROR(__xludf.DUMMYFUNCTION("""COMPUTED_VALUE"""),"Outside")</f>
        <v>Outside</v>
      </c>
      <c r="AO819" s="8" t="str">
        <f ca="1">IFERROR(__xludf.DUMMYFUNCTION("""COMPUTED_VALUE"""),"No")</f>
        <v>No</v>
      </c>
      <c r="AP819" s="8"/>
      <c r="AQ819" s="8"/>
      <c r="AR819" s="8" t="str">
        <f ca="1">IFERROR(__xludf.DUMMYFUNCTION("""COMPUTED_VALUE"""),"Outside/Off-Property")</f>
        <v>Outside/Off-Property</v>
      </c>
      <c r="AS819" s="8">
        <f ca="1">IFERROR(__xludf.DUMMYFUNCTION("""COMPUTED_VALUE"""),1)</f>
        <v>1</v>
      </c>
      <c r="AT819" s="8"/>
      <c r="AU819" s="8">
        <f ca="1">IFERROR(__xludf.DUMMYFUNCTION("""COMPUTED_VALUE"""),36.76489)</f>
        <v>36.764890000000001</v>
      </c>
      <c r="AV819" s="8">
        <f ca="1">IFERROR(__xludf.DUMMYFUNCTION("""COMPUTED_VALUE"""),-119.794838)</f>
        <v>-119.794838</v>
      </c>
      <c r="AW819" s="8"/>
      <c r="AX819" s="8">
        <f ca="1">IFERROR(__xludf.DUMMYFUNCTION("""COMPUTED_VALUE"""),93741)</f>
        <v>93741</v>
      </c>
    </row>
    <row r="820" spans="1:50" ht="75" x14ac:dyDescent="0.2">
      <c r="A820" s="8" t="str">
        <f ca="1">IFERROR(__xludf.DUMMYFUNCTION("""COMPUTED_VALUE"""),"20230208NYWIB")</f>
        <v>20230208NYWIB</v>
      </c>
      <c r="B820" s="8">
        <f ca="1">IFERROR(__xludf.DUMMYFUNCTION("""COMPUTED_VALUE"""),2)</f>
        <v>2</v>
      </c>
      <c r="C820" s="8">
        <f ca="1">IFERROR(__xludf.DUMMYFUNCTION("""COMPUTED_VALUE"""),8)</f>
        <v>8</v>
      </c>
      <c r="D820" s="8">
        <f ca="1">IFERROR(__xludf.DUMMYFUNCTION("""COMPUTED_VALUE"""),2023)</f>
        <v>2023</v>
      </c>
      <c r="E820" s="9">
        <f ca="1">IFERROR(__xludf.DUMMYFUNCTION("""COMPUTED_VALUE"""),44965)</f>
        <v>44965</v>
      </c>
      <c r="F820" s="8" t="str">
        <f ca="1">IFERROR(__xludf.DUMMYFUNCTION("""COMPUTED_VALUE"""),"Williamsburg Charter High School")</f>
        <v>Williamsburg Charter High School</v>
      </c>
      <c r="G820" s="8">
        <f ca="1">IFERROR(__xludf.DUMMYFUNCTION("""COMPUTED_VALUE"""),0)</f>
        <v>0</v>
      </c>
      <c r="H820" s="8">
        <f ca="1">IFERROR(__xludf.DUMMYFUNCTION("""COMPUTED_VALUE"""),3)</f>
        <v>3</v>
      </c>
      <c r="I820" s="8">
        <f ca="1">IFERROR(__xludf.DUMMYFUNCTION("""COMPUTED_VALUE"""),3)</f>
        <v>3</v>
      </c>
      <c r="J820" s="8">
        <f ca="1">IFERROR(__xludf.DUMMYFUNCTION("""COMPUTED_VALUE"""),0)</f>
        <v>0</v>
      </c>
      <c r="K820" s="10" t="str">
        <f ca="1">IFERROR(__xludf.DUMMYFUNCTION("""COMPUTED_VALUE"""),"https://bronx.news12.com/nypd-3-people-shot-near-williamsburg-charter-school")</f>
        <v>https://bronx.news12.com/nypd-3-people-shot-near-williamsburg-charter-school</v>
      </c>
      <c r="L820" s="8">
        <f ca="1">IFERROR(__xludf.DUMMYFUNCTION("""COMPUTED_VALUE"""),20)</f>
        <v>20</v>
      </c>
      <c r="M820" s="8" t="str">
        <f ca="1">IFERROR(__xludf.DUMMYFUNCTION("""COMPUTED_VALUE"""),"Regional")</f>
        <v>Regional</v>
      </c>
      <c r="N820" s="8">
        <f ca="1">IFERROR(__xludf.DUMMYFUNCTION("""COMPUTED_VALUE"""),4)</f>
        <v>4</v>
      </c>
      <c r="O820" s="8" t="str">
        <f ca="1">IFERROR(__xludf.DUMMYFUNCTION("""COMPUTED_VALUE"""),"Winter")</f>
        <v>Winter</v>
      </c>
      <c r="P820" s="8" t="str">
        <f ca="1">IFERROR(__xludf.DUMMYFUNCTION("""COMPUTED_VALUE"""),"Brooklyn")</f>
        <v>Brooklyn</v>
      </c>
      <c r="Q820" s="8" t="str">
        <f ca="1">IFERROR(__xludf.DUMMYFUNCTION("""COMPUTED_VALUE"""),"NY")</f>
        <v>NY</v>
      </c>
      <c r="R820" s="8" t="str">
        <f ca="1">IFERROR(__xludf.DUMMYFUNCTION("""COMPUTED_VALUE"""),"High")</f>
        <v>High</v>
      </c>
      <c r="S820" s="8" t="str">
        <f ca="1">IFERROR(__xludf.DUMMYFUNCTION("""COMPUTED_VALUE"""),"Front of School")</f>
        <v>Front of School</v>
      </c>
      <c r="T820" s="8" t="str">
        <f ca="1">IFERROR(__xludf.DUMMYFUNCTION("""COMPUTED_VALUE"""),"Outside on School Property")</f>
        <v>Outside on School Property</v>
      </c>
      <c r="U820" s="8" t="str">
        <f ca="1">IFERROR(__xludf.DUMMYFUNCTION("""COMPUTED_VALUE"""),"Yes")</f>
        <v>Yes</v>
      </c>
      <c r="V820" s="8" t="str">
        <f ca="1">IFERROR(__xludf.DUMMYFUNCTION("""COMPUTED_VALUE"""),"Dismissal")</f>
        <v>Dismissal</v>
      </c>
      <c r="W820" s="11">
        <f ca="1">IFERROR(__xludf.DUMMYFUNCTION("""COMPUTED_VALUE"""),0.59375)</f>
        <v>0.59375</v>
      </c>
      <c r="X820" s="8">
        <f ca="1">IFERROR(__xludf.DUMMYFUNCTION("""COMPUTED_VALUE"""),1)</f>
        <v>1</v>
      </c>
      <c r="Y820" s="12" t="str">
        <f ca="1">IFERROR(__xludf.DUMMYFUNCTION("""COMPUTED_VALUE"""),"Three wounded when shots were fired near the front door at dismissal.")</f>
        <v>Three wounded when shots were fired near the front door at dismissal.</v>
      </c>
      <c r="Z820" s="12" t="str">
        <f ca="1">IFERROR(__xludf.DUMMYFUNCTION("""COMPUTED_VALUE"""),"Police say a 15-year-old girl was shot in the back, a 17-year-old boy was shot in the thigh, and a 37-year-old man was grazed in the neck by a gunshot. All three victims were conscious at the time they were taken to the hospital. Police are looking for a "&amp;"school-age black male")</f>
        <v>Police say a 15-year-old girl was shot in the back, a 17-year-old boy was shot in the thigh, and a 37-year-old man was grazed in the neck by a gunshot. All three victims were conscious at the time they were taken to the hospital. Police are looking for a school-age black male</v>
      </c>
      <c r="AA820" s="8" t="str">
        <f ca="1">IFERROR(__xludf.DUMMYFUNCTION("""COMPUTED_VALUE"""),"Escalation of Dispute")</f>
        <v>Escalation of Dispute</v>
      </c>
      <c r="AB820" s="8"/>
      <c r="AC820" s="8" t="str">
        <f ca="1">IFERROR(__xludf.DUMMYFUNCTION("""COMPUTED_VALUE"""),"Yes")</f>
        <v>Yes</v>
      </c>
      <c r="AD820" s="8" t="str">
        <f ca="1">IFERROR(__xludf.DUMMYFUNCTION("""COMPUTED_VALUE"""),"Both")</f>
        <v>Both</v>
      </c>
      <c r="AE820" s="8"/>
      <c r="AF820" s="8"/>
      <c r="AG820" s="8" t="str">
        <f ca="1">IFERROR(__xludf.DUMMYFUNCTION("""COMPUTED_VALUE"""),"No")</f>
        <v>No</v>
      </c>
      <c r="AH820" s="8" t="str">
        <f ca="1">IFERROR(__xludf.DUMMYFUNCTION("""COMPUTED_VALUE"""),"No")</f>
        <v>No</v>
      </c>
      <c r="AI820" s="8" t="str">
        <f ca="1">IFERROR(__xludf.DUMMYFUNCTION("""COMPUTED_VALUE"""),"No")</f>
        <v>No</v>
      </c>
      <c r="AJ820" s="8" t="str">
        <f ca="1">IFERROR(__xludf.DUMMYFUNCTION("""COMPUTED_VALUE"""),"No")</f>
        <v>No</v>
      </c>
      <c r="AK820" s="8" t="str">
        <f ca="1">IFERROR(__xludf.DUMMYFUNCTION("""COMPUTED_VALUE"""),"No")</f>
        <v>No</v>
      </c>
      <c r="AL820" s="8"/>
      <c r="AM820" s="8" t="str">
        <f ca="1">IFERROR(__xludf.DUMMYFUNCTION("""COMPUTED_VALUE"""),"No")</f>
        <v>No</v>
      </c>
      <c r="AN820" s="8" t="str">
        <f ca="1">IFERROR(__xludf.DUMMYFUNCTION("""COMPUTED_VALUE"""),"Outside")</f>
        <v>Outside</v>
      </c>
      <c r="AO820" s="8" t="str">
        <f ca="1">IFERROR(__xludf.DUMMYFUNCTION("""COMPUTED_VALUE"""),"No")</f>
        <v>No</v>
      </c>
      <c r="AP820" s="8"/>
      <c r="AQ820" s="8"/>
      <c r="AR820" s="8" t="str">
        <f ca="1">IFERROR(__xludf.DUMMYFUNCTION("""COMPUTED_VALUE"""),"Outside/Off-Property")</f>
        <v>Outside/Off-Property</v>
      </c>
      <c r="AS820" s="8">
        <f ca="1">IFERROR(__xludf.DUMMYFUNCTION("""COMPUTED_VALUE"""),99)</f>
        <v>99</v>
      </c>
      <c r="AT820" s="8" t="str">
        <f ca="1">IFERROR(__xludf.DUMMYFUNCTION("""COMPUTED_VALUE"""),"Yes")</f>
        <v>Yes</v>
      </c>
      <c r="AU820" s="8">
        <f ca="1">IFERROR(__xludf.DUMMYFUNCTION("""COMPUTED_VALUE"""),40.703725)</f>
        <v>40.703724999999999</v>
      </c>
      <c r="AV820" s="8">
        <f ca="1">IFERROR(__xludf.DUMMYFUNCTION("""COMPUTED_VALUE"""),-73.935978)</f>
        <v>-73.935978000000006</v>
      </c>
      <c r="AW820" s="8"/>
      <c r="AX820" s="8">
        <f ca="1">IFERROR(__xludf.DUMMYFUNCTION("""COMPUTED_VALUE"""),11206)</f>
        <v>11206</v>
      </c>
    </row>
    <row r="821" spans="1:50" ht="409.5" x14ac:dyDescent="0.2">
      <c r="A821" s="8" t="str">
        <f ca="1">IFERROR(__xludf.DUMMYFUNCTION("""COMPUTED_VALUE"""),"20230208PASPR")</f>
        <v>20230208PASPR</v>
      </c>
      <c r="B821" s="8">
        <f ca="1">IFERROR(__xludf.DUMMYFUNCTION("""COMPUTED_VALUE"""),2)</f>
        <v>2</v>
      </c>
      <c r="C821" s="8">
        <f ca="1">IFERROR(__xludf.DUMMYFUNCTION("""COMPUTED_VALUE"""),8)</f>
        <v>8</v>
      </c>
      <c r="D821" s="8">
        <f ca="1">IFERROR(__xludf.DUMMYFUNCTION("""COMPUTED_VALUE"""),2023)</f>
        <v>2023</v>
      </c>
      <c r="E821" s="9">
        <f ca="1">IFERROR(__xludf.DUMMYFUNCTION("""COMPUTED_VALUE"""),44965)</f>
        <v>44965</v>
      </c>
      <c r="F821" s="8" t="str">
        <f ca="1">IFERROR(__xludf.DUMMYFUNCTION("""COMPUTED_VALUE"""),"Spring-Ford Area High School")</f>
        <v>Spring-Ford Area High School</v>
      </c>
      <c r="G821" s="8">
        <f ca="1">IFERROR(__xludf.DUMMYFUNCTION("""COMPUTED_VALUE"""),0)</f>
        <v>0</v>
      </c>
      <c r="H821" s="8">
        <f ca="1">IFERROR(__xludf.DUMMYFUNCTION("""COMPUTED_VALUE"""),0)</f>
        <v>0</v>
      </c>
      <c r="I821" s="8">
        <f ca="1">IFERROR(__xludf.DUMMYFUNCTION("""COMPUTED_VALUE"""),0)</f>
        <v>0</v>
      </c>
      <c r="J821" s="8">
        <f ca="1">IFERROR(__xludf.DUMMYFUNCTION("""COMPUTED_VALUE"""),0)</f>
        <v>0</v>
      </c>
      <c r="K821" s="10" t="str">
        <f ca="1">IFERROR(__xludf.DUMMYFUNCTION("""COMPUTED_VALUE"""),"https://www.mainlinemedianews.com/2024/07/15/pottstown-woman-admits-possessing-gun-on-spring-ford-area-high-school-campus/")</f>
        <v>https://www.mainlinemedianews.com/2024/07/15/pottstown-woman-admits-possessing-gun-on-spring-ford-area-high-school-campus/</v>
      </c>
      <c r="L821" s="8">
        <f ca="1">IFERROR(__xludf.DUMMYFUNCTION("""COMPUTED_VALUE"""),1)</f>
        <v>1</v>
      </c>
      <c r="M821" s="8" t="str">
        <f ca="1">IFERROR(__xludf.DUMMYFUNCTION("""COMPUTED_VALUE"""),"Local")</f>
        <v>Local</v>
      </c>
      <c r="N821" s="8">
        <f ca="1">IFERROR(__xludf.DUMMYFUNCTION("""COMPUTED_VALUE"""),5)</f>
        <v>5</v>
      </c>
      <c r="O821" s="8" t="str">
        <f ca="1">IFERROR(__xludf.DUMMYFUNCTION("""COMPUTED_VALUE"""),"Winter")</f>
        <v>Winter</v>
      </c>
      <c r="P821" s="8" t="str">
        <f ca="1">IFERROR(__xludf.DUMMYFUNCTION("""COMPUTED_VALUE"""),"Royersford")</f>
        <v>Royersford</v>
      </c>
      <c r="Q821" s="8" t="str">
        <f ca="1">IFERROR(__xludf.DUMMYFUNCTION("""COMPUTED_VALUE"""),"PA")</f>
        <v>PA</v>
      </c>
      <c r="R821" s="8" t="str">
        <f ca="1">IFERROR(__xludf.DUMMYFUNCTION("""COMPUTED_VALUE"""),"High")</f>
        <v>High</v>
      </c>
      <c r="S821" s="8" t="str">
        <f ca="1">IFERROR(__xludf.DUMMYFUNCTION("""COMPUTED_VALUE"""),"Beside Building")</f>
        <v>Beside Building</v>
      </c>
      <c r="T821" s="8" t="str">
        <f ca="1">IFERROR(__xludf.DUMMYFUNCTION("""COMPUTED_VALUE"""),"Outside on School Property")</f>
        <v>Outside on School Property</v>
      </c>
      <c r="U821" s="8" t="str">
        <f ca="1">IFERROR(__xludf.DUMMYFUNCTION("""COMPUTED_VALUE"""),"No")</f>
        <v>No</v>
      </c>
      <c r="V821" s="8" t="str">
        <f ca="1">IFERROR(__xludf.DUMMYFUNCTION("""COMPUTED_VALUE"""),"Sport Event")</f>
        <v>Sport Event</v>
      </c>
      <c r="W821" s="11">
        <f ca="1">IFERROR(__xludf.DUMMYFUNCTION("""COMPUTED_VALUE"""),0.904166666666666)</f>
        <v>0.90416666666666601</v>
      </c>
      <c r="X821" s="8">
        <f ca="1">IFERROR(__xludf.DUMMYFUNCTION("""COMPUTED_VALUE"""),1)</f>
        <v>1</v>
      </c>
      <c r="Y821" s="12" t="str">
        <f ca="1">IFERROR(__xludf.DUMMYFUNCTION("""COMPUTED_VALUE"""),"Teen brandished handgun during fight outside basketball game")</f>
        <v>Teen brandished handgun during fight outside basketball game</v>
      </c>
      <c r="Z821" s="12" t="str">
        <f ca="1">IFERROR(__xludf.DUMMYFUNCTION("""COMPUTED_VALUE"""),"Jayana Niyae Moses, 23, of the 500 block of May Street, was sentenced in Montgomery County Court to three years of probation after she pleaded guilty to a misdemeanor charge of possessing a weapon on school property in connection with the Feb. 8, 2023, in"&amp;"cident outside Spring-Ford Area High School in Upper Providence  Township. Judge Thomas C. Branca imposed the sentence as part of a plea agreement. The judge ordered Moses to forfeit the handgun to the county district attorney’s office for destruction. Th"&amp;"e investigation began at 9:42 p.m. Feb. 8 when Upper Providence police responded to the high school campus at 350 S. Lewis Rd. for a report of an armed subject and altercation outside the school gymnasium during a basketball game between Pottstown and Nor"&amp;"ristown high schools, according to a criminal complaint. Witnesses reported they observed a verbal altercation between juvenile males in the parking lot outside the gymnasium. An employee of the Pottstown School District reported that during the altercati"&amp;"on, she observed a 15-year-old Pottstown boy brandish a firearm from his front sweatshirt pocket, “making it visible for anyone in the vicinity,” according to the criminal complaint filed by Upper Providence Police Officer Jacob Richard Allen. The witness"&amp;" said the teenager “was shouting and during the commotion he continued to pull the firearm from his pocket.” The witness added “a large crowd was exiting the gymnasium and the fact that someone had pulled a gun created a sense of panic in the crowd and th"&amp;"ey fled, running away from the altercation,” Allen alleged. A second adult witness said that when she went to separate the teenagers she heard Moses tell the 15-year-old boy, “Give me back the gun.” The witness reported seeing the 15-year-old boy remove a"&amp;" firearm from the front of his sweatshirt pocket and hand it to Moses, police said. The investigation determined Moses possessed a Glock semiautomatic 9mm handgun on the high school campus. Additionally, Moses gave her firearm to the 15-year-old boy, who "&amp;"was a minor and not permitted to possess a firearm, during the altercation with other juveniles, police alleged.")</f>
        <v>Jayana Niyae Moses, 23, of the 500 block of May Street, was sentenced in Montgomery County Court to three years of probation after she pleaded guilty to a misdemeanor charge of possessing a weapon on school property in connection with the Feb. 8, 2023, incident outside Spring-Ford Area High School in Upper Providence  Township. Judge Thomas C. Branca imposed the sentence as part of a plea agreement. The judge ordered Moses to forfeit the handgun to the county district attorney’s office for destruction. The investigation began at 9:42 p.m. Feb. 8 when Upper Providence police responded to the high school campus at 350 S. Lewis Rd. for a report of an armed subject and altercation outside the school gymnasium during a basketball game between Pottstown and Norristown high schools, according to a criminal complaint. Witnesses reported they observed a verbal altercation between juvenile males in the parking lot outside the gymnasium. An employee of the Pottstown School District reported that during the altercation, she observed a 15-year-old Pottstown boy brandish a firearm from his front sweatshirt pocket, “making it visible for anyone in the vicinity,” according to the criminal complaint filed by Upper Providence Police Officer Jacob Richard Allen. The witness said the teenager “was shouting and during the commotion he continued to pull the firearm from his pocket.” The witness added “a large crowd was exiting the gymnasium and the fact that someone had pulled a gun created a sense of panic in the crowd and they fled, running away from the altercation,” Allen alleged. A second adult witness said that when she went to separate the teenagers she heard Moses tell the 15-year-old boy, “Give me back the gun.” The witness reported seeing the 15-year-old boy remove a firearm from the front of his sweatshirt pocket and hand it to Moses, police said. The investigation determined Moses possessed a Glock semiautomatic 9mm handgun on the high school campus. Additionally, Moses gave her firearm to the 15-year-old boy, who was a minor and not permitted to possess a firearm, during the altercation with other juveniles, police alleged.</v>
      </c>
      <c r="AA821" s="8" t="str">
        <f ca="1">IFERROR(__xludf.DUMMYFUNCTION("""COMPUTED_VALUE"""),"Escalation of Dispute")</f>
        <v>Escalation of Dispute</v>
      </c>
      <c r="AB821" s="8" t="str">
        <f ca="1">IFERROR(__xludf.DUMMYFUNCTION("""COMPUTED_VALUE"""),"Spontaneous")</f>
        <v>Spontaneous</v>
      </c>
      <c r="AC821" s="8" t="str">
        <f ca="1">IFERROR(__xludf.DUMMYFUNCTION("""COMPUTED_VALUE"""),"Yes")</f>
        <v>Yes</v>
      </c>
      <c r="AD821" s="8" t="str">
        <f ca="1">IFERROR(__xludf.DUMMYFUNCTION("""COMPUTED_VALUE"""),"Both")</f>
        <v>Both</v>
      </c>
      <c r="AE821" s="8" t="str">
        <f ca="1">IFERROR(__xludf.DUMMYFUNCTION("""COMPUTED_VALUE"""),"Yes")</f>
        <v>Yes</v>
      </c>
      <c r="AF821" s="8" t="str">
        <f ca="1">IFERROR(__xludf.DUMMYFUNCTION("""COMPUTED_VALUE"""),"Woman gave teen the gun")</f>
        <v>Woman gave teen the gun</v>
      </c>
      <c r="AG821" s="8" t="str">
        <f ca="1">IFERROR(__xludf.DUMMYFUNCTION("""COMPUTED_VALUE"""),"No")</f>
        <v>No</v>
      </c>
      <c r="AH821" s="8" t="str">
        <f ca="1">IFERROR(__xludf.DUMMYFUNCTION("""COMPUTED_VALUE"""),"No")</f>
        <v>No</v>
      </c>
      <c r="AI821" s="8" t="str">
        <f ca="1">IFERROR(__xludf.DUMMYFUNCTION("""COMPUTED_VALUE"""),"No")</f>
        <v>No</v>
      </c>
      <c r="AJ821" s="8" t="str">
        <f ca="1">IFERROR(__xludf.DUMMYFUNCTION("""COMPUTED_VALUE"""),"No")</f>
        <v>No</v>
      </c>
      <c r="AK821" s="8" t="str">
        <f ca="1">IFERROR(__xludf.DUMMYFUNCTION("""COMPUTED_VALUE"""),"No")</f>
        <v>No</v>
      </c>
      <c r="AL821" s="8" t="str">
        <f ca="1">IFERROR(__xludf.DUMMYFUNCTION("""COMPUTED_VALUE"""),"No")</f>
        <v>No</v>
      </c>
      <c r="AM821" s="8" t="str">
        <f ca="1">IFERROR(__xludf.DUMMYFUNCTION("""COMPUTED_VALUE"""),"No")</f>
        <v>No</v>
      </c>
      <c r="AN821" s="8" t="str">
        <f ca="1">IFERROR(__xludf.DUMMYFUNCTION("""COMPUTED_VALUE"""),"Outside")</f>
        <v>Outside</v>
      </c>
      <c r="AO821" s="8" t="str">
        <f ca="1">IFERROR(__xludf.DUMMYFUNCTION("""COMPUTED_VALUE"""),"No")</f>
        <v>No</v>
      </c>
      <c r="AP821" s="8"/>
      <c r="AQ821" s="8"/>
      <c r="AR821" s="8" t="str">
        <f ca="1">IFERROR(__xludf.DUMMYFUNCTION("""COMPUTED_VALUE"""),"Failed")</f>
        <v>Failed</v>
      </c>
      <c r="AS821" s="8">
        <f ca="1">IFERROR(__xludf.DUMMYFUNCTION("""COMPUTED_VALUE"""),0)</f>
        <v>0</v>
      </c>
      <c r="AT821" s="8" t="str">
        <f ca="1">IFERROR(__xludf.DUMMYFUNCTION("""COMPUTED_VALUE"""),"No")</f>
        <v>No</v>
      </c>
      <c r="AU821" s="8">
        <f ca="1">IFERROR(__xludf.DUMMYFUNCTION("""COMPUTED_VALUE"""),40.189396)</f>
        <v>40.189396000000002</v>
      </c>
      <c r="AV821" s="8">
        <f ca="1">IFERROR(__xludf.DUMMYFUNCTION("""COMPUTED_VALUE"""),-75.525025)</f>
        <v>-75.525024999999999</v>
      </c>
      <c r="AW821" s="8" t="str">
        <f ca="1">IFERROR(__xludf.DUMMYFUNCTION("""COMPUTED_VALUE"""),"Single building indoor hallway")</f>
        <v>Single building indoor hallway</v>
      </c>
      <c r="AX821" s="8">
        <f ca="1">IFERROR(__xludf.DUMMYFUNCTION("""COMPUTED_VALUE"""),19468)</f>
        <v>19468</v>
      </c>
    </row>
    <row r="822" spans="1:50" ht="60" x14ac:dyDescent="0.2">
      <c r="A822" s="8" t="str">
        <f ca="1">IFERROR(__xludf.DUMMYFUNCTION("""COMPUTED_VALUE"""),"20230206FLMIM")</f>
        <v>20230206FLMIM</v>
      </c>
      <c r="B822" s="8">
        <f ca="1">IFERROR(__xludf.DUMMYFUNCTION("""COMPUTED_VALUE"""),2)</f>
        <v>2</v>
      </c>
      <c r="C822" s="8">
        <f ca="1">IFERROR(__xludf.DUMMYFUNCTION("""COMPUTED_VALUE"""),6)</f>
        <v>6</v>
      </c>
      <c r="D822" s="8">
        <f ca="1">IFERROR(__xludf.DUMMYFUNCTION("""COMPUTED_VALUE"""),2023)</f>
        <v>2023</v>
      </c>
      <c r="E822" s="9">
        <f ca="1">IFERROR(__xludf.DUMMYFUNCTION("""COMPUTED_VALUE"""),44963)</f>
        <v>44963</v>
      </c>
      <c r="F822" s="8" t="str">
        <f ca="1">IFERROR(__xludf.DUMMYFUNCTION("""COMPUTED_VALUE"""),"Miami Norland Senior High School")</f>
        <v>Miami Norland Senior High School</v>
      </c>
      <c r="G822" s="8">
        <f ca="1">IFERROR(__xludf.DUMMYFUNCTION("""COMPUTED_VALUE"""),0)</f>
        <v>0</v>
      </c>
      <c r="H822" s="8">
        <f ca="1">IFERROR(__xludf.DUMMYFUNCTION("""COMPUTED_VALUE"""),1)</f>
        <v>1</v>
      </c>
      <c r="I822" s="8">
        <f ca="1">IFERROR(__xludf.DUMMYFUNCTION("""COMPUTED_VALUE"""),1)</f>
        <v>1</v>
      </c>
      <c r="J822" s="8">
        <f ca="1">IFERROR(__xludf.DUMMYFUNCTION("""COMPUTED_VALUE"""),0)</f>
        <v>0</v>
      </c>
      <c r="K822" s="10" t="str">
        <f ca="1">IFERROR(__xludf.DUMMYFUNCTION("""COMPUTED_VALUE"""),"https://www.cbsnews.com/miami/news/possible-shooting-at-miami-norland-senior-high-school-under-investigation/")</f>
        <v>https://www.cbsnews.com/miami/news/possible-shooting-at-miami-norland-senior-high-school-under-investigation/</v>
      </c>
      <c r="L822" s="8">
        <f ca="1">IFERROR(__xludf.DUMMYFUNCTION("""COMPUTED_VALUE"""),20)</f>
        <v>20</v>
      </c>
      <c r="M822" s="8" t="str">
        <f ca="1">IFERROR(__xludf.DUMMYFUNCTION("""COMPUTED_VALUE"""),"Regional")</f>
        <v>Regional</v>
      </c>
      <c r="N822" s="8">
        <f ca="1">IFERROR(__xludf.DUMMYFUNCTION("""COMPUTED_VALUE"""),4)</f>
        <v>4</v>
      </c>
      <c r="O822" s="8" t="str">
        <f ca="1">IFERROR(__xludf.DUMMYFUNCTION("""COMPUTED_VALUE"""),"Winter")</f>
        <v>Winter</v>
      </c>
      <c r="P822" s="8" t="str">
        <f ca="1">IFERROR(__xludf.DUMMYFUNCTION("""COMPUTED_VALUE"""),"Miami Gardens")</f>
        <v>Miami Gardens</v>
      </c>
      <c r="Q822" s="8" t="str">
        <f ca="1">IFERROR(__xludf.DUMMYFUNCTION("""COMPUTED_VALUE"""),"FL")</f>
        <v>FL</v>
      </c>
      <c r="R822" s="8" t="str">
        <f ca="1">IFERROR(__xludf.DUMMYFUNCTION("""COMPUTED_VALUE"""),"High")</f>
        <v>High</v>
      </c>
      <c r="S822" s="8" t="str">
        <f ca="1">IFERROR(__xludf.DUMMYFUNCTION("""COMPUTED_VALUE"""),"Parking Lot")</f>
        <v>Parking Lot</v>
      </c>
      <c r="T822" s="8" t="str">
        <f ca="1">IFERROR(__xludf.DUMMYFUNCTION("""COMPUTED_VALUE"""),"Outside on School Property")</f>
        <v>Outside on School Property</v>
      </c>
      <c r="U822" s="8" t="str">
        <f ca="1">IFERROR(__xludf.DUMMYFUNCTION("""COMPUTED_VALUE"""),"Yes")</f>
        <v>Yes</v>
      </c>
      <c r="V822" s="8" t="str">
        <f ca="1">IFERROR(__xludf.DUMMYFUNCTION("""COMPUTED_VALUE"""),"Dismissal")</f>
        <v>Dismissal</v>
      </c>
      <c r="W822" s="11">
        <f ca="1">IFERROR(__xludf.DUMMYFUNCTION("""COMPUTED_VALUE"""),0.666666666666666)</f>
        <v>0.66666666666666596</v>
      </c>
      <c r="X822" s="8">
        <f ca="1">IFERROR(__xludf.DUMMYFUNCTION("""COMPUTED_VALUE"""),1)</f>
        <v>1</v>
      </c>
      <c r="Y822" s="12" t="str">
        <f ca="1">IFERROR(__xludf.DUMMYFUNCTION("""COMPUTED_VALUE"""),"Student shot following fight outside school")</f>
        <v>Student shot following fight outside school</v>
      </c>
      <c r="Z822" s="12" t="str">
        <f ca="1">IFERROR(__xludf.DUMMYFUNCTION("""COMPUTED_VALUE"""),"18-year-old student shot following a fight next to the school building. Student walked away from the argument and then was shot in the arm and leg, airlifted to hospital. School went on lockdown for 1 hour. Shooter fled.")</f>
        <v>18-year-old student shot following a fight next to the school building. Student walked away from the argument and then was shot in the arm and leg, airlifted to hospital. School went on lockdown for 1 hour. Shooter fled.</v>
      </c>
      <c r="AA822" s="8" t="str">
        <f ca="1">IFERROR(__xludf.DUMMYFUNCTION("""COMPUTED_VALUE"""),"Escalation of Dispute")</f>
        <v>Escalation of Dispute</v>
      </c>
      <c r="AB822" s="8"/>
      <c r="AC822" s="8" t="str">
        <f ca="1">IFERROR(__xludf.DUMMYFUNCTION("""COMPUTED_VALUE"""),"Yes")</f>
        <v>Yes</v>
      </c>
      <c r="AD822" s="8" t="str">
        <f ca="1">IFERROR(__xludf.DUMMYFUNCTION("""COMPUTED_VALUE"""),"Victims Targeted")</f>
        <v>Victims Targeted</v>
      </c>
      <c r="AE822" s="8"/>
      <c r="AF822" s="8"/>
      <c r="AG822" s="8" t="str">
        <f ca="1">IFERROR(__xludf.DUMMYFUNCTION("""COMPUTED_VALUE"""),"No")</f>
        <v>No</v>
      </c>
      <c r="AH822" s="8" t="str">
        <f ca="1">IFERROR(__xludf.DUMMYFUNCTION("""COMPUTED_VALUE"""),"No")</f>
        <v>No</v>
      </c>
      <c r="AI822" s="8" t="str">
        <f ca="1">IFERROR(__xludf.DUMMYFUNCTION("""COMPUTED_VALUE"""),"No")</f>
        <v>No</v>
      </c>
      <c r="AJ822" s="8"/>
      <c r="AK822" s="8" t="str">
        <f ca="1">IFERROR(__xludf.DUMMYFUNCTION("""COMPUTED_VALUE"""),"No")</f>
        <v>No</v>
      </c>
      <c r="AL822" s="8"/>
      <c r="AM822" s="8" t="str">
        <f ca="1">IFERROR(__xludf.DUMMYFUNCTION("""COMPUTED_VALUE"""),"No")</f>
        <v>No</v>
      </c>
      <c r="AN822" s="8" t="str">
        <f ca="1">IFERROR(__xludf.DUMMYFUNCTION("""COMPUTED_VALUE"""),"Outside")</f>
        <v>Outside</v>
      </c>
      <c r="AO822" s="8"/>
      <c r="AP822" s="8"/>
      <c r="AQ822" s="8"/>
      <c r="AR822" s="8" t="str">
        <f ca="1">IFERROR(__xludf.DUMMYFUNCTION("""COMPUTED_VALUE"""),"Outside/Off-Property")</f>
        <v>Outside/Off-Property</v>
      </c>
      <c r="AS822" s="8">
        <f ca="1">IFERROR(__xludf.DUMMYFUNCTION("""COMPUTED_VALUE"""),3)</f>
        <v>3</v>
      </c>
      <c r="AT822" s="8" t="str">
        <f ca="1">IFERROR(__xludf.DUMMYFUNCTION("""COMPUTED_VALUE"""),"Yes")</f>
        <v>Yes</v>
      </c>
      <c r="AU822" s="8">
        <f ca="1">IFERROR(__xludf.DUMMYFUNCTION("""COMPUTED_VALUE"""),25.951366)</f>
        <v>25.951366</v>
      </c>
      <c r="AV822" s="8">
        <f ca="1">IFERROR(__xludf.DUMMYFUNCTION("""COMPUTED_VALUE"""),-80.220941)</f>
        <v>-80.220940999999996</v>
      </c>
      <c r="AW822" s="8"/>
      <c r="AX822" s="8">
        <f ca="1">IFERROR(__xludf.DUMMYFUNCTION("""COMPUTED_VALUE"""),33169)</f>
        <v>33169</v>
      </c>
    </row>
    <row r="823" spans="1:50" ht="270" x14ac:dyDescent="0.2">
      <c r="A823" s="8" t="str">
        <f ca="1">IFERROR(__xludf.DUMMYFUNCTION("""COMPUTED_VALUE"""),"20230206DEAPM")</f>
        <v>20230206DEAPM</v>
      </c>
      <c r="B823" s="8">
        <f ca="1">IFERROR(__xludf.DUMMYFUNCTION("""COMPUTED_VALUE"""),2)</f>
        <v>2</v>
      </c>
      <c r="C823" s="8">
        <f ca="1">IFERROR(__xludf.DUMMYFUNCTION("""COMPUTED_VALUE"""),6)</f>
        <v>6</v>
      </c>
      <c r="D823" s="8">
        <f ca="1">IFERROR(__xludf.DUMMYFUNCTION("""COMPUTED_VALUE"""),2023)</f>
        <v>2023</v>
      </c>
      <c r="E823" s="9">
        <f ca="1">IFERROR(__xludf.DUMMYFUNCTION("""COMPUTED_VALUE"""),44963)</f>
        <v>44963</v>
      </c>
      <c r="F823" s="8" t="str">
        <f ca="1">IFERROR(__xludf.DUMMYFUNCTION("""COMPUTED_VALUE"""),"Appoquinimink High School")</f>
        <v>Appoquinimink High School</v>
      </c>
      <c r="G823" s="8">
        <f ca="1">IFERROR(__xludf.DUMMYFUNCTION("""COMPUTED_VALUE"""),0)</f>
        <v>0</v>
      </c>
      <c r="H823" s="8">
        <f ca="1">IFERROR(__xludf.DUMMYFUNCTION("""COMPUTED_VALUE"""),0)</f>
        <v>0</v>
      </c>
      <c r="I823" s="8">
        <f ca="1">IFERROR(__xludf.DUMMYFUNCTION("""COMPUTED_VALUE"""),0)</f>
        <v>0</v>
      </c>
      <c r="J823" s="8">
        <f ca="1">IFERROR(__xludf.DUMMYFUNCTION("""COMPUTED_VALUE"""),0)</f>
        <v>0</v>
      </c>
      <c r="K823" s="8" t="str">
        <f ca="1">IFERROR(__xludf.DUMMYFUNCTION("""COMPUTED_VALUE"""),"https://dsp.delaware.gov/2023/02/12/update-fourth-suspect-arrested-delaware-state-police-investigate-the-discharge-of-a-gun-during-high-school-basketball-game/
https://6abc.com/delaware-shooting-appoquinimink-high-school-basketball-game-middletown/1277914"&amp;"3/
https://www.wdel.com/news/police-investigating-shooting-at-appoquinimink-basketball-game/article_70647ef6-a689-11ed-a2ba-076d22e3cf0c.html")</f>
        <v>https://dsp.delaware.gov/2023/02/12/update-fourth-suspect-arrested-delaware-state-police-investigate-the-discharge-of-a-gun-during-high-school-basketball-game/
https://6abc.com/delaware-shooting-appoquinimink-high-school-basketball-game-middletown/12779143/
https://www.wdel.com/news/police-investigating-shooting-at-appoquinimink-basketball-game/article_70647ef6-a689-11ed-a2ba-076d22e3cf0c.html</v>
      </c>
      <c r="L823" s="8">
        <f ca="1">IFERROR(__xludf.DUMMYFUNCTION("""COMPUTED_VALUE"""),10)</f>
        <v>10</v>
      </c>
      <c r="M823" s="8" t="str">
        <f ca="1">IFERROR(__xludf.DUMMYFUNCTION("""COMPUTED_VALUE"""),"Regional")</f>
        <v>Regional</v>
      </c>
      <c r="N823" s="8">
        <f ca="1">IFERROR(__xludf.DUMMYFUNCTION("""COMPUTED_VALUE"""),4)</f>
        <v>4</v>
      </c>
      <c r="O823" s="8" t="str">
        <f ca="1">IFERROR(__xludf.DUMMYFUNCTION("""COMPUTED_VALUE"""),"Winter")</f>
        <v>Winter</v>
      </c>
      <c r="P823" s="8" t="str">
        <f ca="1">IFERROR(__xludf.DUMMYFUNCTION("""COMPUTED_VALUE"""),"Middletown")</f>
        <v>Middletown</v>
      </c>
      <c r="Q823" s="8" t="str">
        <f ca="1">IFERROR(__xludf.DUMMYFUNCTION("""COMPUTED_VALUE"""),"DE")</f>
        <v>DE</v>
      </c>
      <c r="R823" s="8" t="str">
        <f ca="1">IFERROR(__xludf.DUMMYFUNCTION("""COMPUTED_VALUE"""),"High")</f>
        <v>High</v>
      </c>
      <c r="S823" s="8" t="str">
        <f ca="1">IFERROR(__xludf.DUMMYFUNCTION("""COMPUTED_VALUE"""),"Hallway")</f>
        <v>Hallway</v>
      </c>
      <c r="T823" s="8" t="str">
        <f ca="1">IFERROR(__xludf.DUMMYFUNCTION("""COMPUTED_VALUE"""),"Inside School Building")</f>
        <v>Inside School Building</v>
      </c>
      <c r="U823" s="8" t="str">
        <f ca="1">IFERROR(__xludf.DUMMYFUNCTION("""COMPUTED_VALUE"""),"No")</f>
        <v>No</v>
      </c>
      <c r="V823" s="8" t="str">
        <f ca="1">IFERROR(__xludf.DUMMYFUNCTION("""COMPUTED_VALUE"""),"Sport Event")</f>
        <v>Sport Event</v>
      </c>
      <c r="W823" s="11">
        <f ca="1">IFERROR(__xludf.DUMMYFUNCTION("""COMPUTED_VALUE"""),0.802083333333333)</f>
        <v>0.80208333333333304</v>
      </c>
      <c r="X823" s="8">
        <f ca="1">IFERROR(__xludf.DUMMYFUNCTION("""COMPUTED_VALUE"""),1)</f>
        <v>1</v>
      </c>
      <c r="Y823" s="12" t="str">
        <f ca="1">IFERROR(__xludf.DUMMYFUNCTION("""COMPUTED_VALUE"""),"Shots fired during fight in hallway near gym during basketball game")</f>
        <v>Shots fired during fight in hallway near gym during basketball game</v>
      </c>
      <c r="Z823" s="12" t="str">
        <f ca="1">IFERROR(__xludf.DUMMYFUNCTION("""COMPUTED_VALUE"""),"Delaware State Police said they are investigating a shooting during Monday night's Appoquinimink High School Boys Basketball game. The game was stopped at 4:01 to go in the fourth quarter when the livestream video showed officials walking onto the west en"&amp;"d of the court, with players from Tri-State Christian swiftly moving in the opposite direction away from the court and their benches in the direction of the main parking lot. The video, which did not include audio, was quickly made private on the school's"&amp;" YouTube channel. In a statement sent to Appoquinimink families late Monday night, Superintendent Matt Burrows said there was a fight in the hallway outside the the gym near the boys bathroom. Burrows said the incident ended, when a gun was discovered on "&amp;"the floor, with his characterization saying ""police are investigating reports that the gun may have discharged."" Delaware State Police said there are no known gunshot victims or injuries, but no suspect was taken into custody.")</f>
        <v>Delaware State Police said they are investigating a shooting during Monday night's Appoquinimink High School Boys Basketball game. The game was stopped at 4:01 to go in the fourth quarter when the livestream video showed officials walking onto the west end of the court, with players from Tri-State Christian swiftly moving in the opposite direction away from the court and their benches in the direction of the main parking lot. The video, which did not include audio, was quickly made private on the school's YouTube channel. In a statement sent to Appoquinimink families late Monday night, Superintendent Matt Burrows said there was a fight in the hallway outside the the gym near the boys bathroom. Burrows said the incident ended, when a gun was discovered on the floor, with his characterization saying "police are investigating reports that the gun may have discharged." Delaware State Police said there are no known gunshot victims or injuries, but no suspect was taken into custody.</v>
      </c>
      <c r="AA823" s="8" t="str">
        <f ca="1">IFERROR(__xludf.DUMMYFUNCTION("""COMPUTED_VALUE"""),"Escalation of Dispute")</f>
        <v>Escalation of Dispute</v>
      </c>
      <c r="AB823" s="8"/>
      <c r="AC823" s="8" t="str">
        <f ca="1">IFERROR(__xludf.DUMMYFUNCTION("""COMPUTED_VALUE"""),"Yes")</f>
        <v>Yes</v>
      </c>
      <c r="AD823" s="8" t="str">
        <f ca="1">IFERROR(__xludf.DUMMYFUNCTION("""COMPUTED_VALUE"""),"Victims Targeted")</f>
        <v>Victims Targeted</v>
      </c>
      <c r="AE823" s="8"/>
      <c r="AF823" s="8"/>
      <c r="AG823" s="8" t="str">
        <f ca="1">IFERROR(__xludf.DUMMYFUNCTION("""COMPUTED_VALUE"""),"No")</f>
        <v>No</v>
      </c>
      <c r="AH823" s="8" t="str">
        <f ca="1">IFERROR(__xludf.DUMMYFUNCTION("""COMPUTED_VALUE"""),"No")</f>
        <v>No</v>
      </c>
      <c r="AI823" s="8" t="str">
        <f ca="1">IFERROR(__xludf.DUMMYFUNCTION("""COMPUTED_VALUE"""),"No")</f>
        <v>No</v>
      </c>
      <c r="AJ823" s="8"/>
      <c r="AK823" s="8" t="str">
        <f ca="1">IFERROR(__xludf.DUMMYFUNCTION("""COMPUTED_VALUE"""),"No")</f>
        <v>No</v>
      </c>
      <c r="AL823" s="8"/>
      <c r="AM823" s="8" t="str">
        <f ca="1">IFERROR(__xludf.DUMMYFUNCTION("""COMPUTED_VALUE"""),"No")</f>
        <v>No</v>
      </c>
      <c r="AN823" s="8" t="str">
        <f ca="1">IFERROR(__xludf.DUMMYFUNCTION("""COMPUTED_VALUE"""),"Hallway")</f>
        <v>Hallway</v>
      </c>
      <c r="AO823" s="8"/>
      <c r="AP823" s="8"/>
      <c r="AQ823" s="8"/>
      <c r="AR823" s="8" t="str">
        <f ca="1">IFERROR(__xludf.DUMMYFUNCTION("""COMPUTED_VALUE"""),"Failed")</f>
        <v>Failed</v>
      </c>
      <c r="AS823" s="8">
        <f ca="1">IFERROR(__xludf.DUMMYFUNCTION("""COMPUTED_VALUE"""),1)</f>
        <v>1</v>
      </c>
      <c r="AT823" s="8"/>
      <c r="AU823" s="8">
        <f ca="1">IFERROR(__xludf.DUMMYFUNCTION("""COMPUTED_VALUE"""),39.453483)</f>
        <v>39.453482999999999</v>
      </c>
      <c r="AV823" s="8">
        <f ca="1">IFERROR(__xludf.DUMMYFUNCTION("""COMPUTED_VALUE"""),-75.747931)</f>
        <v>-75.747930999999994</v>
      </c>
      <c r="AW823" s="8"/>
      <c r="AX823" s="8">
        <f ca="1">IFERROR(__xludf.DUMMYFUNCTION("""COMPUTED_VALUE"""),19709)</f>
        <v>19709</v>
      </c>
    </row>
    <row r="824" spans="1:50" ht="105" x14ac:dyDescent="0.2">
      <c r="A824" s="8" t="str">
        <f ca="1">IFERROR(__xludf.DUMMYFUNCTION("""COMPUTED_VALUE"""),"20230206ARKIF")</f>
        <v>20230206ARKIF</v>
      </c>
      <c r="B824" s="8">
        <f ca="1">IFERROR(__xludf.DUMMYFUNCTION("""COMPUTED_VALUE"""),2)</f>
        <v>2</v>
      </c>
      <c r="C824" s="8">
        <f ca="1">IFERROR(__xludf.DUMMYFUNCTION("""COMPUTED_VALUE"""),6)</f>
        <v>6</v>
      </c>
      <c r="D824" s="8">
        <f ca="1">IFERROR(__xludf.DUMMYFUNCTION("""COMPUTED_VALUE"""),2023)</f>
        <v>2023</v>
      </c>
      <c r="E824" s="9">
        <f ca="1">IFERROR(__xludf.DUMMYFUNCTION("""COMPUTED_VALUE"""),44963)</f>
        <v>44963</v>
      </c>
      <c r="F824" s="8" t="str">
        <f ca="1">IFERROR(__xludf.DUMMYFUNCTION("""COMPUTED_VALUE"""),"Kimmons Middle School")</f>
        <v>Kimmons Middle School</v>
      </c>
      <c r="G824" s="8">
        <f ca="1">IFERROR(__xludf.DUMMYFUNCTION("""COMPUTED_VALUE"""),0)</f>
        <v>0</v>
      </c>
      <c r="H824" s="8">
        <f ca="1">IFERROR(__xludf.DUMMYFUNCTION("""COMPUTED_VALUE"""),0)</f>
        <v>0</v>
      </c>
      <c r="I824" s="8">
        <f ca="1">IFERROR(__xludf.DUMMYFUNCTION("""COMPUTED_VALUE"""),0)</f>
        <v>0</v>
      </c>
      <c r="J824" s="8">
        <f ca="1">IFERROR(__xludf.DUMMYFUNCTION("""COMPUTED_VALUE"""),0)</f>
        <v>0</v>
      </c>
      <c r="K824" s="10" t="str">
        <f ca="1">IFERROR(__xludf.DUMMYFUNCTION("""COMPUTED_VALUE"""),"https://katv.com/news/local/arkansas-teenager-arrested-after-bringing-a-gun-to-a-basketball-game-police-say-fort-smith-kimmons-middle-school-14-year-old-boy-charged-aggravated-assault-and-terroristic-threatening-arkansas-teen-violence-mental-health-juveni"&amp;"le-crime")</f>
        <v>https://katv.com/news/local/arkansas-teenager-arrested-after-bringing-a-gun-to-a-basketball-game-police-say-fort-smith-kimmons-middle-school-14-year-old-boy-charged-aggravated-assault-and-terroristic-threatening-arkansas-teen-violence-mental-health-juvenile-crime</v>
      </c>
      <c r="L824" s="8">
        <f ca="1">IFERROR(__xludf.DUMMYFUNCTION("""COMPUTED_VALUE"""),2)</f>
        <v>2</v>
      </c>
      <c r="M824" s="8" t="str">
        <f ca="1">IFERROR(__xludf.DUMMYFUNCTION("""COMPUTED_VALUE"""),"Local")</f>
        <v>Local</v>
      </c>
      <c r="N824" s="8">
        <f ca="1">IFERROR(__xludf.DUMMYFUNCTION("""COMPUTED_VALUE"""),4)</f>
        <v>4</v>
      </c>
      <c r="O824" s="8" t="str">
        <f ca="1">IFERROR(__xludf.DUMMYFUNCTION("""COMPUTED_VALUE"""),"Winter")</f>
        <v>Winter</v>
      </c>
      <c r="P824" s="8" t="str">
        <f ca="1">IFERROR(__xludf.DUMMYFUNCTION("""COMPUTED_VALUE"""),"Fort Smith")</f>
        <v>Fort Smith</v>
      </c>
      <c r="Q824" s="8" t="str">
        <f ca="1">IFERROR(__xludf.DUMMYFUNCTION("""COMPUTED_VALUE"""),"AR")</f>
        <v>AR</v>
      </c>
      <c r="R824" s="8" t="str">
        <f ca="1">IFERROR(__xludf.DUMMYFUNCTION("""COMPUTED_VALUE"""),"Middle")</f>
        <v>Middle</v>
      </c>
      <c r="S824" s="8" t="str">
        <f ca="1">IFERROR(__xludf.DUMMYFUNCTION("""COMPUTED_VALUE"""),"Gym")</f>
        <v>Gym</v>
      </c>
      <c r="T824" s="8" t="str">
        <f ca="1">IFERROR(__xludf.DUMMYFUNCTION("""COMPUTED_VALUE"""),"Inside School Building")</f>
        <v>Inside School Building</v>
      </c>
      <c r="U824" s="8" t="str">
        <f ca="1">IFERROR(__xludf.DUMMYFUNCTION("""COMPUTED_VALUE"""),"No")</f>
        <v>No</v>
      </c>
      <c r="V824" s="8" t="str">
        <f ca="1">IFERROR(__xludf.DUMMYFUNCTION("""COMPUTED_VALUE"""),"Sport Event")</f>
        <v>Sport Event</v>
      </c>
      <c r="W824" s="11">
        <f ca="1">IFERROR(__xludf.DUMMYFUNCTION("""COMPUTED_VALUE"""),0.791666666666666)</f>
        <v>0.79166666666666596</v>
      </c>
      <c r="X824" s="8">
        <f ca="1">IFERROR(__xludf.DUMMYFUNCTION("""COMPUTED_VALUE"""),1)</f>
        <v>1</v>
      </c>
      <c r="Y824" s="12" t="str">
        <f ca="1">IFERROR(__xludf.DUMMYFUNCTION("""COMPUTED_VALUE"""),"Teen pointed gun at two students during basketball game, school locked down")</f>
        <v>Teen pointed gun at two students during basketball game, school locked down</v>
      </c>
      <c r="Z824" s="12" t="str">
        <f ca="1">IFERROR(__xludf.DUMMYFUNCTION("""COMPUTED_VALUE"""),"14-year-old boy pointed a gun at two people and spoke a threat before running away. Officials said no shots were fired, and no one was hurt, according to the release. The boy was taken into custody on a warrant for aggravated assault and terroristic threa"&amp;"tening, the release stated. School resource officer locked down the gym and the game was canceled as a result.")</f>
        <v>14-year-old boy pointed a gun at two people and spoke a threat before running away. Officials said no shots were fired, and no one was hurt, according to the release. The boy was taken into custody on a warrant for aggravated assault and terroristic threatening, the release stated. School resource officer locked down the gym and the game was canceled as a result.</v>
      </c>
      <c r="AA824" s="8" t="str">
        <f ca="1">IFERROR(__xludf.DUMMYFUNCTION("""COMPUTED_VALUE"""),"Escalation of Dispute")</f>
        <v>Escalation of Dispute</v>
      </c>
      <c r="AB824" s="8"/>
      <c r="AC824" s="8" t="str">
        <f ca="1">IFERROR(__xludf.DUMMYFUNCTION("""COMPUTED_VALUE"""),"Yes")</f>
        <v>Yes</v>
      </c>
      <c r="AD824" s="8" t="str">
        <f ca="1">IFERROR(__xludf.DUMMYFUNCTION("""COMPUTED_VALUE"""),"Victims Targeted")</f>
        <v>Victims Targeted</v>
      </c>
      <c r="AE824" s="8" t="str">
        <f ca="1">IFERROR(__xludf.DUMMYFUNCTION("""COMPUTED_VALUE"""),"No")</f>
        <v>No</v>
      </c>
      <c r="AF824" s="8"/>
      <c r="AG824" s="8" t="str">
        <f ca="1">IFERROR(__xludf.DUMMYFUNCTION("""COMPUTED_VALUE"""),"No")</f>
        <v>No</v>
      </c>
      <c r="AH824" s="8" t="str">
        <f ca="1">IFERROR(__xludf.DUMMYFUNCTION("""COMPUTED_VALUE"""),"No")</f>
        <v>No</v>
      </c>
      <c r="AI824" s="8" t="str">
        <f ca="1">IFERROR(__xludf.DUMMYFUNCTION("""COMPUTED_VALUE"""),"No")</f>
        <v>No</v>
      </c>
      <c r="AJ824" s="8"/>
      <c r="AK824" s="8" t="str">
        <f ca="1">IFERROR(__xludf.DUMMYFUNCTION("""COMPUTED_VALUE"""),"No")</f>
        <v>No</v>
      </c>
      <c r="AL824" s="8"/>
      <c r="AM824" s="8" t="str">
        <f ca="1">IFERROR(__xludf.DUMMYFUNCTION("""COMPUTED_VALUE"""),"No")</f>
        <v>No</v>
      </c>
      <c r="AN824" s="8" t="str">
        <f ca="1">IFERROR(__xludf.DUMMYFUNCTION("""COMPUTED_VALUE"""),"Single Room")</f>
        <v>Single Room</v>
      </c>
      <c r="AO824" s="8" t="str">
        <f ca="1">IFERROR(__xludf.DUMMYFUNCTION("""COMPUTED_VALUE"""),"No")</f>
        <v>No</v>
      </c>
      <c r="AP824" s="8" t="str">
        <f ca="1">IFERROR(__xludf.DUMMYFUNCTION("""COMPUTED_VALUE"""),"Yes")</f>
        <v>Yes</v>
      </c>
      <c r="AQ824" s="8" t="str">
        <f ca="1">IFERROR(__xludf.DUMMYFUNCTION("""COMPUTED_VALUE"""),"Armed Guards")</f>
        <v>Armed Guards</v>
      </c>
      <c r="AR824" s="8" t="str">
        <f ca="1">IFERROR(__xludf.DUMMYFUNCTION("""COMPUTED_VALUE"""),"Failed")</f>
        <v>Failed</v>
      </c>
      <c r="AS824" s="8">
        <f ca="1">IFERROR(__xludf.DUMMYFUNCTION("""COMPUTED_VALUE"""),0)</f>
        <v>0</v>
      </c>
      <c r="AT824" s="8" t="str">
        <f ca="1">IFERROR(__xludf.DUMMYFUNCTION("""COMPUTED_VALUE"""),"Yes")</f>
        <v>Yes</v>
      </c>
      <c r="AU824" s="8">
        <f ca="1">IFERROR(__xludf.DUMMYFUNCTION("""COMPUTED_VALUE"""),35.399746)</f>
        <v>35.399746</v>
      </c>
      <c r="AV824" s="8">
        <f ca="1">IFERROR(__xludf.DUMMYFUNCTION("""COMPUTED_VALUE"""),-94.377718)</f>
        <v>-94.377718000000002</v>
      </c>
      <c r="AW824" s="8"/>
      <c r="AX824" s="8">
        <f ca="1">IFERROR(__xludf.DUMMYFUNCTION("""COMPUTED_VALUE"""),72904)</f>
        <v>72904</v>
      </c>
    </row>
    <row r="825" spans="1:50" ht="165" x14ac:dyDescent="0.2">
      <c r="A825" s="8" t="str">
        <f ca="1">IFERROR(__xludf.DUMMYFUNCTION("""COMPUTED_VALUE"""),"20230202UTPAS")</f>
        <v>20230202UTPAS</v>
      </c>
      <c r="B825" s="8">
        <f ca="1">IFERROR(__xludf.DUMMYFUNCTION("""COMPUTED_VALUE"""),2)</f>
        <v>2</v>
      </c>
      <c r="C825" s="8">
        <f ca="1">IFERROR(__xludf.DUMMYFUNCTION("""COMPUTED_VALUE"""),2)</f>
        <v>2</v>
      </c>
      <c r="D825" s="8">
        <f ca="1">IFERROR(__xludf.DUMMYFUNCTION("""COMPUTED_VALUE"""),2023)</f>
        <v>2023</v>
      </c>
      <c r="E825" s="9">
        <f ca="1">IFERROR(__xludf.DUMMYFUNCTION("""COMPUTED_VALUE"""),44959)</f>
        <v>44959</v>
      </c>
      <c r="F825" s="8" t="str">
        <f ca="1">IFERROR(__xludf.DUMMYFUNCTION("""COMPUTED_VALUE"""),"Paradise Canyon Elementary")</f>
        <v>Paradise Canyon Elementary</v>
      </c>
      <c r="G825" s="8">
        <f ca="1">IFERROR(__xludf.DUMMYFUNCTION("""COMPUTED_VALUE"""),0)</f>
        <v>0</v>
      </c>
      <c r="H825" s="8">
        <f ca="1">IFERROR(__xludf.DUMMYFUNCTION("""COMPUTED_VALUE"""),0)</f>
        <v>0</v>
      </c>
      <c r="I825" s="8">
        <f ca="1">IFERROR(__xludf.DUMMYFUNCTION("""COMPUTED_VALUE"""),0)</f>
        <v>0</v>
      </c>
      <c r="J825" s="8">
        <f ca="1">IFERROR(__xludf.DUMMYFUNCTION("""COMPUTED_VALUE"""),0)</f>
        <v>0</v>
      </c>
      <c r="K825" s="10" t="str">
        <f ca="1">IFERROR(__xludf.DUMMYFUNCTION("""COMPUTED_VALUE"""),"https://gephardtdaily.com/local/man-18-jailed-after-allegedly-firing-gun-during-fight-outside-st-george-elementary-school/")</f>
        <v>https://gephardtdaily.com/local/man-18-jailed-after-allegedly-firing-gun-during-fight-outside-st-george-elementary-school/</v>
      </c>
      <c r="L825" s="8">
        <f ca="1">IFERROR(__xludf.DUMMYFUNCTION("""COMPUTED_VALUE"""),1)</f>
        <v>1</v>
      </c>
      <c r="M825" s="8" t="str">
        <f ca="1">IFERROR(__xludf.DUMMYFUNCTION("""COMPUTED_VALUE"""),"Local")</f>
        <v>Local</v>
      </c>
      <c r="N825" s="8">
        <f ca="1">IFERROR(__xludf.DUMMYFUNCTION("""COMPUTED_VALUE"""),4)</f>
        <v>4</v>
      </c>
      <c r="O825" s="8" t="str">
        <f ca="1">IFERROR(__xludf.DUMMYFUNCTION("""COMPUTED_VALUE"""),"Winter")</f>
        <v>Winter</v>
      </c>
      <c r="P825" s="8" t="str">
        <f ca="1">IFERROR(__xludf.DUMMYFUNCTION("""COMPUTED_VALUE"""),"St. George")</f>
        <v>St. George</v>
      </c>
      <c r="Q825" s="8" t="str">
        <f ca="1">IFERROR(__xludf.DUMMYFUNCTION("""COMPUTED_VALUE"""),"UT")</f>
        <v>UT</v>
      </c>
      <c r="R825" s="8" t="str">
        <f ca="1">IFERROR(__xludf.DUMMYFUNCTION("""COMPUTED_VALUE"""),"Elementary")</f>
        <v>Elementary</v>
      </c>
      <c r="S825" s="8" t="str">
        <f ca="1">IFERROR(__xludf.DUMMYFUNCTION("""COMPUTED_VALUE"""),"Basketball Court")</f>
        <v>Basketball Court</v>
      </c>
      <c r="T825" s="8" t="str">
        <f ca="1">IFERROR(__xludf.DUMMYFUNCTION("""COMPUTED_VALUE"""),"Outside on School Property")</f>
        <v>Outside on School Property</v>
      </c>
      <c r="U825" s="8" t="str">
        <f ca="1">IFERROR(__xludf.DUMMYFUNCTION("""COMPUTED_VALUE"""),"No")</f>
        <v>No</v>
      </c>
      <c r="V825" s="8" t="str">
        <f ca="1">IFERROR(__xludf.DUMMYFUNCTION("""COMPUTED_VALUE"""),"Evening")</f>
        <v>Evening</v>
      </c>
      <c r="W825" s="11">
        <f ca="1">IFERROR(__xludf.DUMMYFUNCTION("""COMPUTED_VALUE"""),0.770833333333333)</f>
        <v>0.77083333333333304</v>
      </c>
      <c r="X825" s="8">
        <f ca="1">IFERROR(__xludf.DUMMYFUNCTION("""COMPUTED_VALUE"""),1)</f>
        <v>1</v>
      </c>
      <c r="Y825" s="12" t="str">
        <f ca="1">IFERROR(__xludf.DUMMYFUNCTION("""COMPUTED_VALUE"""),"Teen fired shot during fight at basketball game")</f>
        <v>Teen fired shot during fight at basketball game</v>
      </c>
      <c r="Z825" s="12" t="str">
        <f ca="1">IFERROR(__xludf.DUMMYFUNCTION("""COMPUTED_VALUE"""),"“An officer reviewed video surveillance from the school and observed a group playing basketball at the basketball court,” Toledo’s charging documents say. “Another group is seen entering school property and approaching the group playing basketball. A figh"&amp;"t between the two groups takes place, however no one firing a gun could be seen in this video. “As officers followed up with witnesses they learned a cell phone video had been taken of the fight which shows a male producing a handgun and shooting it in th"&amp;"e air during the fight. This case was then forwarded to the gang unit for follow up.”")</f>
        <v>“An officer reviewed video surveillance from the school and observed a group playing basketball at the basketball court,” Toledo’s charging documents say. “Another group is seen entering school property and approaching the group playing basketball. A fight between the two groups takes place, however no one firing a gun could be seen in this video. “As officers followed up with witnesses they learned a cell phone video had been taken of the fight which shows a male producing a handgun and shooting it in the air during the fight. This case was then forwarded to the gang unit for follow up.”</v>
      </c>
      <c r="AA825" s="8" t="str">
        <f ca="1">IFERROR(__xludf.DUMMYFUNCTION("""COMPUTED_VALUE"""),"Escalation of Dispute")</f>
        <v>Escalation of Dispute</v>
      </c>
      <c r="AB825" s="8"/>
      <c r="AC825" s="8" t="str">
        <f ca="1">IFERROR(__xludf.DUMMYFUNCTION("""COMPUTED_VALUE"""),"No")</f>
        <v>No</v>
      </c>
      <c r="AD825" s="8" t="str">
        <f ca="1">IFERROR(__xludf.DUMMYFUNCTION("""COMPUTED_VALUE"""),"Neither")</f>
        <v>Neither</v>
      </c>
      <c r="AE825" s="8" t="str">
        <f ca="1">IFERROR(__xludf.DUMMYFUNCTION("""COMPUTED_VALUE"""),"No")</f>
        <v>No</v>
      </c>
      <c r="AF825" s="8"/>
      <c r="AG825" s="8" t="str">
        <f ca="1">IFERROR(__xludf.DUMMYFUNCTION("""COMPUTED_VALUE"""),"No")</f>
        <v>No</v>
      </c>
      <c r="AH825" s="8" t="str">
        <f ca="1">IFERROR(__xludf.DUMMYFUNCTION("""COMPUTED_VALUE"""),"No")</f>
        <v>No</v>
      </c>
      <c r="AI825" s="8" t="str">
        <f ca="1">IFERROR(__xludf.DUMMYFUNCTION("""COMPUTED_VALUE"""),"No")</f>
        <v>No</v>
      </c>
      <c r="AJ825" s="8" t="str">
        <f ca="1">IFERROR(__xludf.DUMMYFUNCTION("""COMPUTED_VALUE"""),"No")</f>
        <v>No</v>
      </c>
      <c r="AK825" s="8" t="str">
        <f ca="1">IFERROR(__xludf.DUMMYFUNCTION("""COMPUTED_VALUE"""),"No")</f>
        <v>No</v>
      </c>
      <c r="AL825" s="8" t="str">
        <f ca="1">IFERROR(__xludf.DUMMYFUNCTION("""COMPUTED_VALUE"""),"Yes")</f>
        <v>Yes</v>
      </c>
      <c r="AM825" s="8" t="str">
        <f ca="1">IFERROR(__xludf.DUMMYFUNCTION("""COMPUTED_VALUE"""),"No")</f>
        <v>No</v>
      </c>
      <c r="AN825" s="8" t="str">
        <f ca="1">IFERROR(__xludf.DUMMYFUNCTION("""COMPUTED_VALUE"""),"Outside")</f>
        <v>Outside</v>
      </c>
      <c r="AO825" s="8"/>
      <c r="AP825" s="8"/>
      <c r="AQ825" s="8"/>
      <c r="AR825" s="8" t="str">
        <f ca="1">IFERROR(__xludf.DUMMYFUNCTION("""COMPUTED_VALUE"""),"Outside/Off-Property")</f>
        <v>Outside/Off-Property</v>
      </c>
      <c r="AS825" s="8">
        <f ca="1">IFERROR(__xludf.DUMMYFUNCTION("""COMPUTED_VALUE"""),99)</f>
        <v>99</v>
      </c>
      <c r="AT825" s="8" t="str">
        <f ca="1">IFERROR(__xludf.DUMMYFUNCTION("""COMPUTED_VALUE"""),"No")</f>
        <v>No</v>
      </c>
      <c r="AU825" s="8">
        <f ca="1">IFERROR(__xludf.DUMMYFUNCTION("""COMPUTED_VALUE"""),37.129083)</f>
        <v>37.129083000000001</v>
      </c>
      <c r="AV825" s="8">
        <f ca="1">IFERROR(__xludf.DUMMYFUNCTION("""COMPUTED_VALUE"""),-113.621835)</f>
        <v>-113.621835</v>
      </c>
      <c r="AW825" s="8"/>
      <c r="AX825" s="8">
        <f ca="1">IFERROR(__xludf.DUMMYFUNCTION("""COMPUTED_VALUE"""),84765)</f>
        <v>84765</v>
      </c>
    </row>
    <row r="826" spans="1:50" ht="150" x14ac:dyDescent="0.2">
      <c r="A826" s="8" t="str">
        <f ca="1">IFERROR(__xludf.DUMMYFUNCTION("""COMPUTED_VALUE"""),"20230202OHRIP")</f>
        <v>20230202OHRIP</v>
      </c>
      <c r="B826" s="8">
        <f ca="1">IFERROR(__xludf.DUMMYFUNCTION("""COMPUTED_VALUE"""),2)</f>
        <v>2</v>
      </c>
      <c r="C826" s="8">
        <f ca="1">IFERROR(__xludf.DUMMYFUNCTION("""COMPUTED_VALUE"""),2)</f>
        <v>2</v>
      </c>
      <c r="D826" s="8">
        <f ca="1">IFERROR(__xludf.DUMMYFUNCTION("""COMPUTED_VALUE"""),2023)</f>
        <v>2023</v>
      </c>
      <c r="E826" s="9">
        <f ca="1">IFERROR(__xludf.DUMMYFUNCTION("""COMPUTED_VALUE"""),44959)</f>
        <v>44959</v>
      </c>
      <c r="F826" s="8" t="str">
        <f ca="1">IFERROR(__xludf.DUMMYFUNCTION("""COMPUTED_VALUE"""),"Ridgeview Junior High School ")</f>
        <v xml:space="preserve">Ridgeview Junior High School </v>
      </c>
      <c r="G826" s="8">
        <f ca="1">IFERROR(__xludf.DUMMYFUNCTION("""COMPUTED_VALUE"""),0)</f>
        <v>0</v>
      </c>
      <c r="H826" s="8">
        <f ca="1">IFERROR(__xludf.DUMMYFUNCTION("""COMPUTED_VALUE"""),0)</f>
        <v>0</v>
      </c>
      <c r="I826" s="8">
        <f ca="1">IFERROR(__xludf.DUMMYFUNCTION("""COMPUTED_VALUE"""),0)</f>
        <v>0</v>
      </c>
      <c r="J826" s="8">
        <f ca="1">IFERROR(__xludf.DUMMYFUNCTION("""COMPUTED_VALUE"""),1)</f>
        <v>1</v>
      </c>
      <c r="K826" s="8" t="str">
        <f ca="1">IFERROR(__xludf.DUMMYFUNCTION("""COMPUTED_VALUE"""),"https://www.10tv.com/article/news/local/pickerington-police-respond-to-adult-suicide-at-ridgeview-junior-high-school/530-d5d45c96-45cc-4a4a-b52f-0facd5be0f3a
https://abc6onyourside.com/news/local/ridgeview-junior-high-school-pickerington-central-ohio-poli"&amp;"ce-presence-adult-suicide-all-students-safe")</f>
        <v>https://www.10tv.com/article/news/local/pickerington-police-respond-to-adult-suicide-at-ridgeview-junior-high-school/530-d5d45c96-45cc-4a4a-b52f-0facd5be0f3a
https://abc6onyourside.com/news/local/ridgeview-junior-high-school-pickerington-central-ohio-police-presence-adult-suicide-all-students-safe</v>
      </c>
      <c r="L826" s="8">
        <f ca="1">IFERROR(__xludf.DUMMYFUNCTION("""COMPUTED_VALUE"""),10)</f>
        <v>10</v>
      </c>
      <c r="M826" s="8" t="str">
        <f ca="1">IFERROR(__xludf.DUMMYFUNCTION("""COMPUTED_VALUE"""),"Regional")</f>
        <v>Regional</v>
      </c>
      <c r="N826" s="8">
        <f ca="1">IFERROR(__xludf.DUMMYFUNCTION("""COMPUTED_VALUE"""),4)</f>
        <v>4</v>
      </c>
      <c r="O826" s="8" t="str">
        <f ca="1">IFERROR(__xludf.DUMMYFUNCTION("""COMPUTED_VALUE"""),"Winter")</f>
        <v>Winter</v>
      </c>
      <c r="P826" s="8" t="str">
        <f ca="1">IFERROR(__xludf.DUMMYFUNCTION("""COMPUTED_VALUE"""),"Pickerington")</f>
        <v>Pickerington</v>
      </c>
      <c r="Q826" s="8" t="str">
        <f ca="1">IFERROR(__xludf.DUMMYFUNCTION("""COMPUTED_VALUE"""),"OH")</f>
        <v>OH</v>
      </c>
      <c r="R826" s="8" t="str">
        <f ca="1">IFERROR(__xludf.DUMMYFUNCTION("""COMPUTED_VALUE"""),"Middle")</f>
        <v>Middle</v>
      </c>
      <c r="S826" s="8" t="str">
        <f ca="1">IFERROR(__xludf.DUMMYFUNCTION("""COMPUTED_VALUE"""),"Office")</f>
        <v>Office</v>
      </c>
      <c r="T826" s="8" t="str">
        <f ca="1">IFERROR(__xludf.DUMMYFUNCTION("""COMPUTED_VALUE"""),"Inside School Building")</f>
        <v>Inside School Building</v>
      </c>
      <c r="U826" s="8" t="str">
        <f ca="1">IFERROR(__xludf.DUMMYFUNCTION("""COMPUTED_VALUE"""),"Yes")</f>
        <v>Yes</v>
      </c>
      <c r="V826" s="8" t="str">
        <f ca="1">IFERROR(__xludf.DUMMYFUNCTION("""COMPUTED_VALUE"""),"Morning Classes")</f>
        <v>Morning Classes</v>
      </c>
      <c r="W826" s="11">
        <f ca="1">IFERROR(__xludf.DUMMYFUNCTION("""COMPUTED_VALUE"""),0.416666666666666)</f>
        <v>0.41666666666666602</v>
      </c>
      <c r="X826" s="8">
        <f ca="1">IFERROR(__xludf.DUMMYFUNCTION("""COMPUTED_VALUE"""),1)</f>
        <v>1</v>
      </c>
      <c r="Y826" s="12" t="str">
        <f ca="1">IFERROR(__xludf.DUMMYFUNCTION("""COMPUTED_VALUE"""),"Parent fatally shot self in school office")</f>
        <v>Parent fatally shot self in school office</v>
      </c>
      <c r="Z826" s="12" t="str">
        <f ca="1">IFERROR(__xludf.DUMMYFUNCTION("""COMPUTED_VALUE"""),"A school resource officer and detective were quickly dispatched to the school for a student’s mother and stepfather having a prior incident off campus. The responding detective went into the office to speak with the stepfather and the two had a brief conv"&amp;"ersation before the man produced a handgun and took his own life. The child and mother were not in the room, but were in the vicinity. No one else was injured in the incident. School went on lockdown, evacuated to the nearby high school, and classes were "&amp;"cancelled the next day.")</f>
        <v>A school resource officer and detective were quickly dispatched to the school for a student’s mother and stepfather having a prior incident off campus. The responding detective went into the office to speak with the stepfather and the two had a brief conversation before the man produced a handgun and took his own life. The child and mother were not in the room, but were in the vicinity. No one else was injured in the incident. School went on lockdown, evacuated to the nearby high school, and classes were cancelled the next day.</v>
      </c>
      <c r="AA826" s="8" t="str">
        <f ca="1">IFERROR(__xludf.DUMMYFUNCTION("""COMPUTED_VALUE"""),"Suicide/Attempted")</f>
        <v>Suicide/Attempted</v>
      </c>
      <c r="AB826" s="8"/>
      <c r="AC826" s="8" t="str">
        <f ca="1">IFERROR(__xludf.DUMMYFUNCTION("""COMPUTED_VALUE"""),"Yes")</f>
        <v>Yes</v>
      </c>
      <c r="AD826" s="8" t="str">
        <f ca="1">IFERROR(__xludf.DUMMYFUNCTION("""COMPUTED_VALUE"""),"Victims Targeted")</f>
        <v>Victims Targeted</v>
      </c>
      <c r="AE826" s="8" t="str">
        <f ca="1">IFERROR(__xludf.DUMMYFUNCTION("""COMPUTED_VALUE"""),"No")</f>
        <v>No</v>
      </c>
      <c r="AF826" s="8"/>
      <c r="AG826" s="8" t="str">
        <f ca="1">IFERROR(__xludf.DUMMYFUNCTION("""COMPUTED_VALUE"""),"No")</f>
        <v>No</v>
      </c>
      <c r="AH826" s="8" t="str">
        <f ca="1">IFERROR(__xludf.DUMMYFUNCTION("""COMPUTED_VALUE"""),"No")</f>
        <v>No</v>
      </c>
      <c r="AI826" s="8" t="str">
        <f ca="1">IFERROR(__xludf.DUMMYFUNCTION("""COMPUTED_VALUE"""),"No")</f>
        <v>No</v>
      </c>
      <c r="AJ826" s="8" t="str">
        <f ca="1">IFERROR(__xludf.DUMMYFUNCTION("""COMPUTED_VALUE"""),"No")</f>
        <v>No</v>
      </c>
      <c r="AK826" s="8"/>
      <c r="AL826" s="8" t="str">
        <f ca="1">IFERROR(__xludf.DUMMYFUNCTION("""COMPUTED_VALUE"""),"No")</f>
        <v>No</v>
      </c>
      <c r="AM826" s="8" t="str">
        <f ca="1">IFERROR(__xludf.DUMMYFUNCTION("""COMPUTED_VALUE"""),"No")</f>
        <v>No</v>
      </c>
      <c r="AN826" s="8" t="str">
        <f ca="1">IFERROR(__xludf.DUMMYFUNCTION("""COMPUTED_VALUE"""),"Single Room")</f>
        <v>Single Room</v>
      </c>
      <c r="AO826" s="8"/>
      <c r="AP826" s="8" t="str">
        <f ca="1">IFERROR(__xludf.DUMMYFUNCTION("""COMPUTED_VALUE"""),"Yes")</f>
        <v>Yes</v>
      </c>
      <c r="AQ826" s="8"/>
      <c r="AR826" s="8" t="str">
        <f ca="1">IFERROR(__xludf.DUMMYFUNCTION("""COMPUTED_VALUE"""),"Failed")</f>
        <v>Failed</v>
      </c>
      <c r="AS826" s="8">
        <f ca="1">IFERROR(__xludf.DUMMYFUNCTION("""COMPUTED_VALUE"""),1)</f>
        <v>1</v>
      </c>
      <c r="AT826" s="8" t="str">
        <f ca="1">IFERROR(__xludf.DUMMYFUNCTION("""COMPUTED_VALUE"""),"Yes")</f>
        <v>Yes</v>
      </c>
      <c r="AU826" s="8">
        <f ca="1">IFERROR(__xludf.DUMMYFUNCTION("""COMPUTED_VALUE"""),28.245954)</f>
        <v>28.245954000000001</v>
      </c>
      <c r="AV826" s="8">
        <f ca="1">IFERROR(__xludf.DUMMYFUNCTION("""COMPUTED_VALUE"""),-81.646516)</f>
        <v>-81.646516000000005</v>
      </c>
      <c r="AW826" s="8"/>
      <c r="AX826" s="8">
        <f ca="1">IFERROR(__xludf.DUMMYFUNCTION("""COMPUTED_VALUE"""),33896)</f>
        <v>33896</v>
      </c>
    </row>
    <row r="827" spans="1:50" ht="90" x14ac:dyDescent="0.2">
      <c r="A827" s="8" t="str">
        <f ca="1">IFERROR(__xludf.DUMMYFUNCTION("""COMPUTED_VALUE"""),"20230131OKGEG")</f>
        <v>20230131OKGEG</v>
      </c>
      <c r="B827" s="8">
        <f ca="1">IFERROR(__xludf.DUMMYFUNCTION("""COMPUTED_VALUE"""),1)</f>
        <v>1</v>
      </c>
      <c r="C827" s="8">
        <f ca="1">IFERROR(__xludf.DUMMYFUNCTION("""COMPUTED_VALUE"""),31)</f>
        <v>31</v>
      </c>
      <c r="D827" s="8">
        <f ca="1">IFERROR(__xludf.DUMMYFUNCTION("""COMPUTED_VALUE"""),2023)</f>
        <v>2023</v>
      </c>
      <c r="E827" s="9">
        <f ca="1">IFERROR(__xludf.DUMMYFUNCTION("""COMPUTED_VALUE"""),44957)</f>
        <v>44957</v>
      </c>
      <c r="F827" s="8" t="str">
        <f ca="1">IFERROR(__xludf.DUMMYFUNCTION("""COMPUTED_VALUE"""),"Geary Elementary School")</f>
        <v>Geary Elementary School</v>
      </c>
      <c r="G827" s="8">
        <f ca="1">IFERROR(__xludf.DUMMYFUNCTION("""COMPUTED_VALUE"""),0)</f>
        <v>0</v>
      </c>
      <c r="H827" s="8">
        <f ca="1">IFERROR(__xludf.DUMMYFUNCTION("""COMPUTED_VALUE"""),0)</f>
        <v>0</v>
      </c>
      <c r="I827" s="8">
        <f ca="1">IFERROR(__xludf.DUMMYFUNCTION("""COMPUTED_VALUE"""),0)</f>
        <v>0</v>
      </c>
      <c r="J827" s="8">
        <f ca="1">IFERROR(__xludf.DUMMYFUNCTION("""COMPUTED_VALUE"""),0)</f>
        <v>0</v>
      </c>
      <c r="K827" s="10" t="str">
        <f ca="1">IFERROR(__xludf.DUMMYFUNCTION("""COMPUTED_VALUE"""),"https://kfor.com/news/local/could-have-been-very-tragic-gun-accidentally-fired-near-elementary-school-strikes-teachers-car/")</f>
        <v>https://kfor.com/news/local/could-have-been-very-tragic-gun-accidentally-fired-near-elementary-school-strikes-teachers-car/</v>
      </c>
      <c r="L827" s="8">
        <f ca="1">IFERROR(__xludf.DUMMYFUNCTION("""COMPUTED_VALUE"""),1)</f>
        <v>1</v>
      </c>
      <c r="M827" s="8" t="str">
        <f ca="1">IFERROR(__xludf.DUMMYFUNCTION("""COMPUTED_VALUE"""),"Local")</f>
        <v>Local</v>
      </c>
      <c r="N827" s="8">
        <f ca="1">IFERROR(__xludf.DUMMYFUNCTION("""COMPUTED_VALUE"""),4)</f>
        <v>4</v>
      </c>
      <c r="O827" s="8" t="str">
        <f ca="1">IFERROR(__xludf.DUMMYFUNCTION("""COMPUTED_VALUE"""),"Winter")</f>
        <v>Winter</v>
      </c>
      <c r="P827" s="8" t="str">
        <f ca="1">IFERROR(__xludf.DUMMYFUNCTION("""COMPUTED_VALUE"""),"Geary")</f>
        <v>Geary</v>
      </c>
      <c r="Q827" s="8" t="str">
        <f ca="1">IFERROR(__xludf.DUMMYFUNCTION("""COMPUTED_VALUE"""),"OK")</f>
        <v>OK</v>
      </c>
      <c r="R827" s="8" t="str">
        <f ca="1">IFERROR(__xludf.DUMMYFUNCTION("""COMPUTED_VALUE"""),"Elementary")</f>
        <v>Elementary</v>
      </c>
      <c r="S827" s="8" t="str">
        <f ca="1">IFERROR(__xludf.DUMMYFUNCTION("""COMPUTED_VALUE"""),"Parking Lot")</f>
        <v>Parking Lot</v>
      </c>
      <c r="T827" s="8" t="str">
        <f ca="1">IFERROR(__xludf.DUMMYFUNCTION("""COMPUTED_VALUE"""),"Outside on School Property")</f>
        <v>Outside on School Property</v>
      </c>
      <c r="U827" s="8" t="str">
        <f ca="1">IFERROR(__xludf.DUMMYFUNCTION("""COMPUTED_VALUE"""),"Yes")</f>
        <v>Yes</v>
      </c>
      <c r="V827" s="8" t="str">
        <f ca="1">IFERROR(__xludf.DUMMYFUNCTION("""COMPUTED_VALUE"""),"Dismissal")</f>
        <v>Dismissal</v>
      </c>
      <c r="W827" s="11">
        <f ca="1">IFERROR(__xludf.DUMMYFUNCTION("""COMPUTED_VALUE"""),0.625)</f>
        <v>0.625</v>
      </c>
      <c r="X827" s="8">
        <f ca="1">IFERROR(__xludf.DUMMYFUNCTION("""COMPUTED_VALUE"""),1)</f>
        <v>1</v>
      </c>
      <c r="Y827" s="12" t="str">
        <f ca="1">IFERROR(__xludf.DUMMYFUNCTION("""COMPUTED_VALUE"""),"Parent fired shot while moving rifle in back seat of car, bullet struck teacher's car in school parking lot")</f>
        <v>Parent fired shot while moving rifle in back seat of car, bullet struck teacher's car in school parking lot</v>
      </c>
      <c r="Z827" s="12" t="str">
        <f ca="1">IFERROR(__xludf.DUMMYFUNCTION("""COMPUTED_VALUE"""),"Parent fired shot while moving loaded rifle in back seat of car, bullet struck teacher's car in school parking lot. No injuries. Parent may face charges for reckless conduct with a firearm. ")</f>
        <v xml:space="preserve">Parent fired shot while moving loaded rifle in back seat of car, bullet struck teacher's car in school parking lot. No injuries. Parent may face charges for reckless conduct with a firearm. </v>
      </c>
      <c r="AA827" s="8" t="str">
        <f ca="1">IFERROR(__xludf.DUMMYFUNCTION("""COMPUTED_VALUE"""),"Accidental")</f>
        <v>Accidental</v>
      </c>
      <c r="AB827" s="8"/>
      <c r="AC827" s="8" t="str">
        <f ca="1">IFERROR(__xludf.DUMMYFUNCTION("""COMPUTED_VALUE"""),"Yes")</f>
        <v>Yes</v>
      </c>
      <c r="AD827" s="8" t="str">
        <f ca="1">IFERROR(__xludf.DUMMYFUNCTION("""COMPUTED_VALUE"""),"Neither")</f>
        <v>Neither</v>
      </c>
      <c r="AE827" s="8" t="str">
        <f ca="1">IFERROR(__xludf.DUMMYFUNCTION("""COMPUTED_VALUE"""),"No")</f>
        <v>No</v>
      </c>
      <c r="AF827" s="8"/>
      <c r="AG827" s="8" t="str">
        <f ca="1">IFERROR(__xludf.DUMMYFUNCTION("""COMPUTED_VALUE"""),"No")</f>
        <v>No</v>
      </c>
      <c r="AH827" s="8" t="str">
        <f ca="1">IFERROR(__xludf.DUMMYFUNCTION("""COMPUTED_VALUE"""),"No")</f>
        <v>No</v>
      </c>
      <c r="AI827" s="8" t="str">
        <f ca="1">IFERROR(__xludf.DUMMYFUNCTION("""COMPUTED_VALUE"""),"No")</f>
        <v>No</v>
      </c>
      <c r="AJ827" s="8" t="str">
        <f ca="1">IFERROR(__xludf.DUMMYFUNCTION("""COMPUTED_VALUE"""),"No")</f>
        <v>No</v>
      </c>
      <c r="AK827" s="8" t="str">
        <f ca="1">IFERROR(__xludf.DUMMYFUNCTION("""COMPUTED_VALUE"""),"No")</f>
        <v>No</v>
      </c>
      <c r="AL827" s="8" t="str">
        <f ca="1">IFERROR(__xludf.DUMMYFUNCTION("""COMPUTED_VALUE"""),"No")</f>
        <v>No</v>
      </c>
      <c r="AM827" s="8" t="str">
        <f ca="1">IFERROR(__xludf.DUMMYFUNCTION("""COMPUTED_VALUE"""),"No")</f>
        <v>No</v>
      </c>
      <c r="AN827" s="8" t="str">
        <f ca="1">IFERROR(__xludf.DUMMYFUNCTION("""COMPUTED_VALUE"""),"Outside")</f>
        <v>Outside</v>
      </c>
      <c r="AO827" s="8"/>
      <c r="AP827" s="8"/>
      <c r="AQ827" s="8"/>
      <c r="AR827" s="8" t="str">
        <f ca="1">IFERROR(__xludf.DUMMYFUNCTION("""COMPUTED_VALUE"""),"Outside/Off-Property")</f>
        <v>Outside/Off-Property</v>
      </c>
      <c r="AS827" s="8">
        <f ca="1">IFERROR(__xludf.DUMMYFUNCTION("""COMPUTED_VALUE"""),2)</f>
        <v>2</v>
      </c>
      <c r="AT827" s="8"/>
      <c r="AU827" s="8">
        <f ca="1">IFERROR(__xludf.DUMMYFUNCTION("""COMPUTED_VALUE"""),35.629751)</f>
        <v>35.629750999999999</v>
      </c>
      <c r="AV827" s="8">
        <f ca="1">IFERROR(__xludf.DUMMYFUNCTION("""COMPUTED_VALUE"""),-98.324202)</f>
        <v>-98.324202</v>
      </c>
      <c r="AW827" s="8"/>
      <c r="AX827" s="8">
        <f ca="1">IFERROR(__xludf.DUMMYFUNCTION("""COMPUTED_VALUE"""),73040)</f>
        <v>73040</v>
      </c>
    </row>
    <row r="828" spans="1:50" ht="195" x14ac:dyDescent="0.2">
      <c r="A828" s="8" t="str">
        <f ca="1">IFERROR(__xludf.DUMMYFUNCTION("""COMPUTED_VALUE"""),"20230131ILZIZ")</f>
        <v>20230131ILZIZ</v>
      </c>
      <c r="B828" s="8">
        <f ca="1">IFERROR(__xludf.DUMMYFUNCTION("""COMPUTED_VALUE"""),1)</f>
        <v>1</v>
      </c>
      <c r="C828" s="8">
        <f ca="1">IFERROR(__xludf.DUMMYFUNCTION("""COMPUTED_VALUE"""),31)</f>
        <v>31</v>
      </c>
      <c r="D828" s="8">
        <f ca="1">IFERROR(__xludf.DUMMYFUNCTION("""COMPUTED_VALUE"""),2023)</f>
        <v>2023</v>
      </c>
      <c r="E828" s="9">
        <f ca="1">IFERROR(__xludf.DUMMYFUNCTION("""COMPUTED_VALUE"""),44957)</f>
        <v>44957</v>
      </c>
      <c r="F828" s="8" t="str">
        <f ca="1">IFERROR(__xludf.DUMMYFUNCTION("""COMPUTED_VALUE"""),"Zion-Benton Township High School")</f>
        <v>Zion-Benton Township High School</v>
      </c>
      <c r="G828" s="8">
        <f ca="1">IFERROR(__xludf.DUMMYFUNCTION("""COMPUTED_VALUE"""),0)</f>
        <v>0</v>
      </c>
      <c r="H828" s="8">
        <f ca="1">IFERROR(__xludf.DUMMYFUNCTION("""COMPUTED_VALUE"""),0)</f>
        <v>0</v>
      </c>
      <c r="I828" s="8">
        <f ca="1">IFERROR(__xludf.DUMMYFUNCTION("""COMPUTED_VALUE"""),0)</f>
        <v>0</v>
      </c>
      <c r="J828" s="8">
        <f ca="1">IFERROR(__xludf.DUMMYFUNCTION("""COMPUTED_VALUE"""),0)</f>
        <v>0</v>
      </c>
      <c r="K828" s="8" t="str">
        <f ca="1">IFERROR(__xludf.DUMMYFUNCTION("""COMPUTED_VALUE"""),"https://www.fox32chicago.com/news/zion-benton-high-school-shooting
https://abc7chicago.com/zion-high-school-shooting-illinois-il/12757452/
https://www.cbsnews.com/chicago/news/shots-fired-near-zion-benton-township-high/")</f>
        <v>https://www.fox32chicago.com/news/zion-benton-high-school-shooting
https://abc7chicago.com/zion-high-school-shooting-illinois-il/12757452/
https://www.cbsnews.com/chicago/news/shots-fired-near-zion-benton-township-high/</v>
      </c>
      <c r="L828" s="8">
        <f ca="1">IFERROR(__xludf.DUMMYFUNCTION("""COMPUTED_VALUE"""),2)</f>
        <v>2</v>
      </c>
      <c r="M828" s="8" t="str">
        <f ca="1">IFERROR(__xludf.DUMMYFUNCTION("""COMPUTED_VALUE"""),"Regional")</f>
        <v>Regional</v>
      </c>
      <c r="N828" s="8">
        <f ca="1">IFERROR(__xludf.DUMMYFUNCTION("""COMPUTED_VALUE"""),4)</f>
        <v>4</v>
      </c>
      <c r="O828" s="8" t="str">
        <f ca="1">IFERROR(__xludf.DUMMYFUNCTION("""COMPUTED_VALUE"""),"Winter")</f>
        <v>Winter</v>
      </c>
      <c r="P828" s="8" t="str">
        <f ca="1">IFERROR(__xludf.DUMMYFUNCTION("""COMPUTED_VALUE"""),"Zion")</f>
        <v>Zion</v>
      </c>
      <c r="Q828" s="8" t="str">
        <f ca="1">IFERROR(__xludf.DUMMYFUNCTION("""COMPUTED_VALUE"""),"IL")</f>
        <v>IL</v>
      </c>
      <c r="R828" s="8" t="str">
        <f ca="1">IFERROR(__xludf.DUMMYFUNCTION("""COMPUTED_VALUE"""),"High")</f>
        <v>High</v>
      </c>
      <c r="S828" s="8" t="str">
        <f ca="1">IFERROR(__xludf.DUMMYFUNCTION("""COMPUTED_VALUE"""),"Parking Lot")</f>
        <v>Parking Lot</v>
      </c>
      <c r="T828" s="8" t="str">
        <f ca="1">IFERROR(__xludf.DUMMYFUNCTION("""COMPUTED_VALUE"""),"Outside on School Property")</f>
        <v>Outside on School Property</v>
      </c>
      <c r="U828" s="8" t="str">
        <f ca="1">IFERROR(__xludf.DUMMYFUNCTION("""COMPUTED_VALUE"""),"No")</f>
        <v>No</v>
      </c>
      <c r="V828" s="8" t="str">
        <f ca="1">IFERROR(__xludf.DUMMYFUNCTION("""COMPUTED_VALUE"""),"Sport Event")</f>
        <v>Sport Event</v>
      </c>
      <c r="W828" s="11">
        <f ca="1">IFERROR(__xludf.DUMMYFUNCTION("""COMPUTED_VALUE"""),0.854166666666666)</f>
        <v>0.85416666666666596</v>
      </c>
      <c r="X828" s="8">
        <f ca="1">IFERROR(__xludf.DUMMYFUNCTION("""COMPUTED_VALUE"""),1)</f>
        <v>1</v>
      </c>
      <c r="Y828" s="12" t="str">
        <f ca="1">IFERROR(__xludf.DUMMYFUNCTION("""COMPUTED_VALUE"""),"Shots fired in parking lot during basketball game")</f>
        <v>Shots fired in parking lot during basketball game</v>
      </c>
      <c r="Z828" s="12" t="str">
        <f ca="1">IFERROR(__xludf.DUMMYFUNCTION("""COMPUTED_VALUE"""),"Zion police detectives said three people arrived in a silver vehicle at Zion-Benton Township High School to attend a basketball game on Jan. 31. They attended the game until halftime when they returned to their car but did not leave the parking lot. As th"&amp;"e game ended and spectators were leaving the gym, the front passenger of the silver vehicle, a 17-year-old boy, got out and started shooting, police said. The teen appeared to be targeting specific people in a group with surveillance video showing him ope"&amp;"n fire at someone less than 10 feet away, police said. No one was struck by the gunfire and the shooter returned to the silver car and they sped away. Shooter had escaped from juvenile detention facility in December.")</f>
        <v>Zion police detectives said three people arrived in a silver vehicle at Zion-Benton Township High School to attend a basketball game on Jan. 31. They attended the game until halftime when they returned to their car but did not leave the parking lot. As the game ended and spectators were leaving the gym, the front passenger of the silver vehicle, a 17-year-old boy, got out and started shooting, police said. The teen appeared to be targeting specific people in a group with surveillance video showing him open fire at someone less than 10 feet away, police said. No one was struck by the gunfire and the shooter returned to the silver car and they sped away. Shooter had escaped from juvenile detention facility in December.</v>
      </c>
      <c r="AA828" s="8" t="str">
        <f ca="1">IFERROR(__xludf.DUMMYFUNCTION("""COMPUTED_VALUE"""),"Escalation of Dispute")</f>
        <v>Escalation of Dispute</v>
      </c>
      <c r="AB828" s="8"/>
      <c r="AC828" s="8" t="str">
        <f ca="1">IFERROR(__xludf.DUMMYFUNCTION("""COMPUTED_VALUE"""),"Yes")</f>
        <v>Yes</v>
      </c>
      <c r="AD828" s="8" t="str">
        <f ca="1">IFERROR(__xludf.DUMMYFUNCTION("""COMPUTED_VALUE"""),"Victims Targeted")</f>
        <v>Victims Targeted</v>
      </c>
      <c r="AE828" s="8" t="str">
        <f ca="1">IFERROR(__xludf.DUMMYFUNCTION("""COMPUTED_VALUE"""),"No")</f>
        <v>No</v>
      </c>
      <c r="AF828" s="8"/>
      <c r="AG828" s="8" t="str">
        <f ca="1">IFERROR(__xludf.DUMMYFUNCTION("""COMPUTED_VALUE"""),"No")</f>
        <v>No</v>
      </c>
      <c r="AH828" s="8" t="str">
        <f ca="1">IFERROR(__xludf.DUMMYFUNCTION("""COMPUTED_VALUE"""),"No")</f>
        <v>No</v>
      </c>
      <c r="AI828" s="8" t="str">
        <f ca="1">IFERROR(__xludf.DUMMYFUNCTION("""COMPUTED_VALUE"""),"No")</f>
        <v>No</v>
      </c>
      <c r="AJ828" s="8" t="str">
        <f ca="1">IFERROR(__xludf.DUMMYFUNCTION("""COMPUTED_VALUE"""),"No")</f>
        <v>No</v>
      </c>
      <c r="AK828" s="8" t="str">
        <f ca="1">IFERROR(__xludf.DUMMYFUNCTION("""COMPUTED_VALUE"""),"No")</f>
        <v>No</v>
      </c>
      <c r="AL828" s="8"/>
      <c r="AM828" s="8" t="str">
        <f ca="1">IFERROR(__xludf.DUMMYFUNCTION("""COMPUTED_VALUE"""),"No")</f>
        <v>No</v>
      </c>
      <c r="AN828" s="8" t="str">
        <f ca="1">IFERROR(__xludf.DUMMYFUNCTION("""COMPUTED_VALUE"""),"Outside")</f>
        <v>Outside</v>
      </c>
      <c r="AO828" s="8"/>
      <c r="AP828" s="8"/>
      <c r="AQ828" s="8"/>
      <c r="AR828" s="8" t="str">
        <f ca="1">IFERROR(__xludf.DUMMYFUNCTION("""COMPUTED_VALUE"""),"Outside/Off-Property")</f>
        <v>Outside/Off-Property</v>
      </c>
      <c r="AS828" s="8">
        <f ca="1">IFERROR(__xludf.DUMMYFUNCTION("""COMPUTED_VALUE"""),99)</f>
        <v>99</v>
      </c>
      <c r="AT828" s="8"/>
      <c r="AU828" s="8">
        <f ca="1">IFERROR(__xludf.DUMMYFUNCTION("""COMPUTED_VALUE"""),42.455566)</f>
        <v>42.455565999999997</v>
      </c>
      <c r="AV828" s="8">
        <f ca="1">IFERROR(__xludf.DUMMYFUNCTION("""COMPUTED_VALUE"""),-87.867063)</f>
        <v>-87.867063000000002</v>
      </c>
      <c r="AW828" s="8"/>
      <c r="AX828" s="8">
        <f ca="1">IFERROR(__xludf.DUMMYFUNCTION("""COMPUTED_VALUE"""),60099)</f>
        <v>60099</v>
      </c>
    </row>
    <row r="829" spans="1:50" ht="60" x14ac:dyDescent="0.2">
      <c r="A829" s="8" t="str">
        <f ca="1">IFERROR(__xludf.DUMMYFUNCTION("""COMPUTED_VALUE"""),"20230130DCCOW")</f>
        <v>20230130DCCOW</v>
      </c>
      <c r="B829" s="8">
        <f ca="1">IFERROR(__xludf.DUMMYFUNCTION("""COMPUTED_VALUE"""),1)</f>
        <v>1</v>
      </c>
      <c r="C829" s="8">
        <f ca="1">IFERROR(__xludf.DUMMYFUNCTION("""COMPUTED_VALUE"""),30)</f>
        <v>30</v>
      </c>
      <c r="D829" s="8">
        <f ca="1">IFERROR(__xludf.DUMMYFUNCTION("""COMPUTED_VALUE"""),2023)</f>
        <v>2023</v>
      </c>
      <c r="E829" s="9">
        <f ca="1">IFERROR(__xludf.DUMMYFUNCTION("""COMPUTED_VALUE"""),44956)</f>
        <v>44956</v>
      </c>
      <c r="F829" s="8" t="str">
        <f ca="1">IFERROR(__xludf.DUMMYFUNCTION("""COMPUTED_VALUE"""),"Coolidge High School")</f>
        <v>Coolidge High School</v>
      </c>
      <c r="G829" s="8">
        <f ca="1">IFERROR(__xludf.DUMMYFUNCTION("""COMPUTED_VALUE"""),1)</f>
        <v>1</v>
      </c>
      <c r="H829" s="8">
        <f ca="1">IFERROR(__xludf.DUMMYFUNCTION("""COMPUTED_VALUE"""),0)</f>
        <v>0</v>
      </c>
      <c r="I829" s="8">
        <f ca="1">IFERROR(__xludf.DUMMYFUNCTION("""COMPUTED_VALUE"""),1)</f>
        <v>1</v>
      </c>
      <c r="J829" s="8">
        <f ca="1">IFERROR(__xludf.DUMMYFUNCTION("""COMPUTED_VALUE"""),0)</f>
        <v>0</v>
      </c>
      <c r="K829" s="10" t="str">
        <f ca="1">IFERROR(__xludf.DUMMYFUNCTION("""COMPUTED_VALUE"""),"https://www.wusa9.com/article/news/crime/shooting-causes-school-lockdowns-dc/65-cc671c95-fcfc-4932-bcc1-5cf1a27b3033")</f>
        <v>https://www.wusa9.com/article/news/crime/shooting-causes-school-lockdowns-dc/65-cc671c95-fcfc-4932-bcc1-5cf1a27b3033</v>
      </c>
      <c r="L829" s="8">
        <f ca="1">IFERROR(__xludf.DUMMYFUNCTION("""COMPUTED_VALUE"""),10)</f>
        <v>10</v>
      </c>
      <c r="M829" s="8" t="str">
        <f ca="1">IFERROR(__xludf.DUMMYFUNCTION("""COMPUTED_VALUE"""),"Regional")</f>
        <v>Regional</v>
      </c>
      <c r="N829" s="8">
        <f ca="1">IFERROR(__xludf.DUMMYFUNCTION("""COMPUTED_VALUE"""),4)</f>
        <v>4</v>
      </c>
      <c r="O829" s="8" t="str">
        <f ca="1">IFERROR(__xludf.DUMMYFUNCTION("""COMPUTED_VALUE"""),"Winter")</f>
        <v>Winter</v>
      </c>
      <c r="P829" s="8" t="str">
        <f ca="1">IFERROR(__xludf.DUMMYFUNCTION("""COMPUTED_VALUE"""),"Washington")</f>
        <v>Washington</v>
      </c>
      <c r="Q829" s="8" t="str">
        <f ca="1">IFERROR(__xludf.DUMMYFUNCTION("""COMPUTED_VALUE"""),"DC")</f>
        <v>DC</v>
      </c>
      <c r="R829" s="8" t="str">
        <f ca="1">IFERROR(__xludf.DUMMYFUNCTION("""COMPUTED_VALUE"""),"High")</f>
        <v>High</v>
      </c>
      <c r="S829" s="8" t="str">
        <f ca="1">IFERROR(__xludf.DUMMYFUNCTION("""COMPUTED_VALUE"""),"Front of School")</f>
        <v>Front of School</v>
      </c>
      <c r="T829" s="8" t="str">
        <f ca="1">IFERROR(__xludf.DUMMYFUNCTION("""COMPUTED_VALUE"""),"Outside on School Property")</f>
        <v>Outside on School Property</v>
      </c>
      <c r="U829" s="8" t="str">
        <f ca="1">IFERROR(__xludf.DUMMYFUNCTION("""COMPUTED_VALUE"""),"Yes")</f>
        <v>Yes</v>
      </c>
      <c r="V829" s="8" t="str">
        <f ca="1">IFERROR(__xludf.DUMMYFUNCTION("""COMPUTED_VALUE"""),"Afternoon Classes")</f>
        <v>Afternoon Classes</v>
      </c>
      <c r="W829" s="11">
        <f ca="1">IFERROR(__xludf.DUMMYFUNCTION("""COMPUTED_VALUE"""),0.625)</f>
        <v>0.625</v>
      </c>
      <c r="X829" s="8">
        <f ca="1">IFERROR(__xludf.DUMMYFUNCTION("""COMPUTED_VALUE"""),1)</f>
        <v>1</v>
      </c>
      <c r="Y829" s="12" t="str">
        <f ca="1">IFERROR(__xludf.DUMMYFUNCTION("""COMPUTED_VALUE"""),"Safe Passage worker shot in front of school at dismissal")</f>
        <v>Safe Passage worker shot in front of school at dismissal</v>
      </c>
      <c r="Z829" s="12" t="str">
        <f ca="1">IFERROR(__xludf.DUMMYFUNCTION("""COMPUTED_VALUE"""),"Adult Safe Passage worker shot in the head during dismissal in front of the school. Transported to hospital in critical condition. High school and two nearby schools went on lockdown.")</f>
        <v>Adult Safe Passage worker shot in the head during dismissal in front of the school. Transported to hospital in critical condition. High school and two nearby schools went on lockdown.</v>
      </c>
      <c r="AA829" s="8" t="str">
        <f ca="1">IFERROR(__xludf.DUMMYFUNCTION("""COMPUTED_VALUE"""),"Escalation of Dispute")</f>
        <v>Escalation of Dispute</v>
      </c>
      <c r="AB829" s="8"/>
      <c r="AC829" s="8" t="str">
        <f ca="1">IFERROR(__xludf.DUMMYFUNCTION("""COMPUTED_VALUE"""),"Yes")</f>
        <v>Yes</v>
      </c>
      <c r="AD829" s="8"/>
      <c r="AE829" s="8"/>
      <c r="AF829" s="8"/>
      <c r="AG829" s="8" t="str">
        <f ca="1">IFERROR(__xludf.DUMMYFUNCTION("""COMPUTED_VALUE"""),"No")</f>
        <v>No</v>
      </c>
      <c r="AH829" s="8" t="str">
        <f ca="1">IFERROR(__xludf.DUMMYFUNCTION("""COMPUTED_VALUE"""),"No")</f>
        <v>No</v>
      </c>
      <c r="AI829" s="8" t="str">
        <f ca="1">IFERROR(__xludf.DUMMYFUNCTION("""COMPUTED_VALUE"""),"No")</f>
        <v>No</v>
      </c>
      <c r="AJ829" s="8" t="str">
        <f ca="1">IFERROR(__xludf.DUMMYFUNCTION("""COMPUTED_VALUE"""),"No")</f>
        <v>No</v>
      </c>
      <c r="AK829" s="8" t="str">
        <f ca="1">IFERROR(__xludf.DUMMYFUNCTION("""COMPUTED_VALUE"""),"No")</f>
        <v>No</v>
      </c>
      <c r="AL829" s="8"/>
      <c r="AM829" s="8" t="str">
        <f ca="1">IFERROR(__xludf.DUMMYFUNCTION("""COMPUTED_VALUE"""),"No")</f>
        <v>No</v>
      </c>
      <c r="AN829" s="8" t="str">
        <f ca="1">IFERROR(__xludf.DUMMYFUNCTION("""COMPUTED_VALUE"""),"Outside")</f>
        <v>Outside</v>
      </c>
      <c r="AO829" s="8"/>
      <c r="AP829" s="8"/>
      <c r="AQ829" s="8"/>
      <c r="AR829" s="8" t="str">
        <f ca="1">IFERROR(__xludf.DUMMYFUNCTION("""COMPUTED_VALUE"""),"Outside/Off-Property")</f>
        <v>Outside/Off-Property</v>
      </c>
      <c r="AS829" s="8">
        <f ca="1">IFERROR(__xludf.DUMMYFUNCTION("""COMPUTED_VALUE"""),99)</f>
        <v>99</v>
      </c>
      <c r="AT829" s="8" t="str">
        <f ca="1">IFERROR(__xludf.DUMMYFUNCTION("""COMPUTED_VALUE"""),"Yes")</f>
        <v>Yes</v>
      </c>
      <c r="AU829" s="8">
        <f ca="1">IFERROR(__xludf.DUMMYFUNCTION("""COMPUTED_VALUE"""),38.967342)</f>
        <v>38.967342000000002</v>
      </c>
      <c r="AV829" s="8">
        <f ca="1">IFERROR(__xludf.DUMMYFUNCTION("""COMPUTED_VALUE"""),-77.01978)</f>
        <v>-77.019779999999997</v>
      </c>
      <c r="AW829" s="8"/>
      <c r="AX829" s="8">
        <f ca="1">IFERROR(__xludf.DUMMYFUNCTION("""COMPUTED_VALUE"""),20011)</f>
        <v>20011</v>
      </c>
    </row>
    <row r="830" spans="1:50" ht="105" x14ac:dyDescent="0.2">
      <c r="A830" s="8" t="str">
        <f ca="1">IFERROR(__xludf.DUMMYFUNCTION("""COMPUTED_VALUE"""),"20230130AZGIY")</f>
        <v>20230130AZGIY</v>
      </c>
      <c r="B830" s="8">
        <f ca="1">IFERROR(__xludf.DUMMYFUNCTION("""COMPUTED_VALUE"""),1)</f>
        <v>1</v>
      </c>
      <c r="C830" s="8">
        <f ca="1">IFERROR(__xludf.DUMMYFUNCTION("""COMPUTED_VALUE"""),30)</f>
        <v>30</v>
      </c>
      <c r="D830" s="8">
        <f ca="1">IFERROR(__xludf.DUMMYFUNCTION("""COMPUTED_VALUE"""),2023)</f>
        <v>2023</v>
      </c>
      <c r="E830" s="9">
        <f ca="1">IFERROR(__xludf.DUMMYFUNCTION("""COMPUTED_VALUE"""),44956)</f>
        <v>44956</v>
      </c>
      <c r="F830" s="8" t="str">
        <f ca="1">IFERROR(__xludf.DUMMYFUNCTION("""COMPUTED_VALUE"""),"Gila Ridge High School")</f>
        <v>Gila Ridge High School</v>
      </c>
      <c r="G830" s="8">
        <f ca="1">IFERROR(__xludf.DUMMYFUNCTION("""COMPUTED_VALUE"""),0)</f>
        <v>0</v>
      </c>
      <c r="H830" s="8">
        <f ca="1">IFERROR(__xludf.DUMMYFUNCTION("""COMPUTED_VALUE"""),2)</f>
        <v>2</v>
      </c>
      <c r="I830" s="8">
        <f ca="1">IFERROR(__xludf.DUMMYFUNCTION("""COMPUTED_VALUE"""),2)</f>
        <v>2</v>
      </c>
      <c r="J830" s="8">
        <f ca="1">IFERROR(__xludf.DUMMYFUNCTION("""COMPUTED_VALUE"""),0)</f>
        <v>0</v>
      </c>
      <c r="K830" s="10" t="str">
        <f ca="1">IFERROR(__xludf.DUMMYFUNCTION("""COMPUTED_VALUE"""),"https://www.azcentral.com/story/news/local/arizona-breaking/2023/01/30/shots-fired-at-gila-ridge-high-school-in-yuma/69854504007/
https://www.12news.com/article/news/local/arizona/police-shots-fired-outside-high-school-yuma/75-28dcccc7-6502-4841-bf91-5252"&amp;"b4ab02ec")</f>
        <v>https://www.azcentral.com/story/news/local/arizona-breaking/2023/01/30/shots-fired-at-gila-ridge-high-school-in-yuma/69854504007/
https://www.12news.com/article/news/local/arizona/police-shots-fired-outside-high-school-yuma/75-28dcccc7-6502-4841-bf91-5252b4ab02ec</v>
      </c>
      <c r="L830" s="8">
        <f ca="1">IFERROR(__xludf.DUMMYFUNCTION("""COMPUTED_VALUE"""),10)</f>
        <v>10</v>
      </c>
      <c r="M830" s="8" t="str">
        <f ca="1">IFERROR(__xludf.DUMMYFUNCTION("""COMPUTED_VALUE"""),"Regional")</f>
        <v>Regional</v>
      </c>
      <c r="N830" s="8">
        <f ca="1">IFERROR(__xludf.DUMMYFUNCTION("""COMPUTED_VALUE"""),4)</f>
        <v>4</v>
      </c>
      <c r="O830" s="8" t="str">
        <f ca="1">IFERROR(__xludf.DUMMYFUNCTION("""COMPUTED_VALUE"""),"Winter")</f>
        <v>Winter</v>
      </c>
      <c r="P830" s="8" t="str">
        <f ca="1">IFERROR(__xludf.DUMMYFUNCTION("""COMPUTED_VALUE"""),"Yuma")</f>
        <v>Yuma</v>
      </c>
      <c r="Q830" s="8" t="str">
        <f ca="1">IFERROR(__xludf.DUMMYFUNCTION("""COMPUTED_VALUE"""),"AZ")</f>
        <v>AZ</v>
      </c>
      <c r="R830" s="8" t="str">
        <f ca="1">IFERROR(__xludf.DUMMYFUNCTION("""COMPUTED_VALUE"""),"High")</f>
        <v>High</v>
      </c>
      <c r="S830" s="8" t="str">
        <f ca="1">IFERROR(__xludf.DUMMYFUNCTION("""COMPUTED_VALUE"""),"Parking Lot")</f>
        <v>Parking Lot</v>
      </c>
      <c r="T830" s="8" t="str">
        <f ca="1">IFERROR(__xludf.DUMMYFUNCTION("""COMPUTED_VALUE"""),"Outside on School Property")</f>
        <v>Outside on School Property</v>
      </c>
      <c r="U830" s="8" t="str">
        <f ca="1">IFERROR(__xludf.DUMMYFUNCTION("""COMPUTED_VALUE"""),"Yes")</f>
        <v>Yes</v>
      </c>
      <c r="V830" s="8" t="str">
        <f ca="1">IFERROR(__xludf.DUMMYFUNCTION("""COMPUTED_VALUE"""),"Morning Classes")</f>
        <v>Morning Classes</v>
      </c>
      <c r="W830" s="11">
        <f ca="1">IFERROR(__xludf.DUMMYFUNCTION("""COMPUTED_VALUE"""),0.354166666666666)</f>
        <v>0.35416666666666602</v>
      </c>
      <c r="X830" s="8">
        <f ca="1">IFERROR(__xludf.DUMMYFUNCTION("""COMPUTED_VALUE"""),1)</f>
        <v>1</v>
      </c>
      <c r="Y830" s="12" t="str">
        <f ca="1">IFERROR(__xludf.DUMMYFUNCTION("""COMPUTED_VALUE"""),"Shots fired during fight in parking lot")</f>
        <v>Shots fired during fight in parking lot</v>
      </c>
      <c r="Z830" s="12" t="str">
        <f ca="1">IFERROR(__xludf.DUMMYFUNCTION("""COMPUTED_VALUE"""),"Police say a teen boy is in custody after shots were fired in the parking lot of a high school in Yuma Monday morning. Yuma officers were called to the reports of shots being fired outside Gila Ridge High School on 24th Street near Araby Road just before "&amp;"8:30 a.m. When they arrived, the 16-year-old suspect had already ran away and left. Police say two students were hurt from a fight, and they weren’t shot.")</f>
        <v>Police say a teen boy is in custody after shots were fired in the parking lot of a high school in Yuma Monday morning. Yuma officers were called to the reports of shots being fired outside Gila Ridge High School on 24th Street near Araby Road just before 8:30 a.m. When they arrived, the 16-year-old suspect had already ran away and left. Police say two students were hurt from a fight, and they weren’t shot.</v>
      </c>
      <c r="AA830" s="8" t="str">
        <f ca="1">IFERROR(__xludf.DUMMYFUNCTION("""COMPUTED_VALUE"""),"Escalation of Dispute")</f>
        <v>Escalation of Dispute</v>
      </c>
      <c r="AB830" s="8"/>
      <c r="AC830" s="8" t="str">
        <f ca="1">IFERROR(__xludf.DUMMYFUNCTION("""COMPUTED_VALUE"""),"Yes")</f>
        <v>Yes</v>
      </c>
      <c r="AD830" s="8" t="str">
        <f ca="1">IFERROR(__xludf.DUMMYFUNCTION("""COMPUTED_VALUE"""),"Victims Targeted")</f>
        <v>Victims Targeted</v>
      </c>
      <c r="AE830" s="8"/>
      <c r="AF830" s="8"/>
      <c r="AG830" s="8" t="str">
        <f ca="1">IFERROR(__xludf.DUMMYFUNCTION("""COMPUTED_VALUE"""),"No")</f>
        <v>No</v>
      </c>
      <c r="AH830" s="8" t="str">
        <f ca="1">IFERROR(__xludf.DUMMYFUNCTION("""COMPUTED_VALUE"""),"No")</f>
        <v>No</v>
      </c>
      <c r="AI830" s="8" t="str">
        <f ca="1">IFERROR(__xludf.DUMMYFUNCTION("""COMPUTED_VALUE"""),"No")</f>
        <v>No</v>
      </c>
      <c r="AJ830" s="8"/>
      <c r="AK830" s="8" t="str">
        <f ca="1">IFERROR(__xludf.DUMMYFUNCTION("""COMPUTED_VALUE"""),"No")</f>
        <v>No</v>
      </c>
      <c r="AL830" s="8"/>
      <c r="AM830" s="8" t="str">
        <f ca="1">IFERROR(__xludf.DUMMYFUNCTION("""COMPUTED_VALUE"""),"No")</f>
        <v>No</v>
      </c>
      <c r="AN830" s="8" t="str">
        <f ca="1">IFERROR(__xludf.DUMMYFUNCTION("""COMPUTED_VALUE"""),"Outside")</f>
        <v>Outside</v>
      </c>
      <c r="AO830" s="8"/>
      <c r="AP830" s="8"/>
      <c r="AQ830" s="8"/>
      <c r="AR830" s="8" t="str">
        <f ca="1">IFERROR(__xludf.DUMMYFUNCTION("""COMPUTED_VALUE"""),"Outside/Off-Property")</f>
        <v>Outside/Off-Property</v>
      </c>
      <c r="AS830" s="8">
        <f ca="1">IFERROR(__xludf.DUMMYFUNCTION("""COMPUTED_VALUE"""),99)</f>
        <v>99</v>
      </c>
      <c r="AT830" s="8" t="str">
        <f ca="1">IFERROR(__xludf.DUMMYFUNCTION("""COMPUTED_VALUE"""),"Yes")</f>
        <v>Yes</v>
      </c>
      <c r="AU830" s="8">
        <f ca="1">IFERROR(__xludf.DUMMYFUNCTION("""COMPUTED_VALUE"""),32.685171)</f>
        <v>32.685170999999997</v>
      </c>
      <c r="AV830" s="8">
        <f ca="1">IFERROR(__xludf.DUMMYFUNCTION("""COMPUTED_VALUE"""),-114.511545)</f>
        <v>-114.511545</v>
      </c>
      <c r="AW830" s="8"/>
      <c r="AX830" s="8">
        <f ca="1">IFERROR(__xludf.DUMMYFUNCTION("""COMPUTED_VALUE"""),85365)</f>
        <v>85365</v>
      </c>
    </row>
    <row r="831" spans="1:50" ht="60" x14ac:dyDescent="0.2">
      <c r="A831" s="8" t="str">
        <f ca="1">IFERROR(__xludf.DUMMYFUNCTION("""COMPUTED_VALUE"""),"20230130ALHOM")</f>
        <v>20230130ALHOM</v>
      </c>
      <c r="B831" s="8">
        <f ca="1">IFERROR(__xludf.DUMMYFUNCTION("""COMPUTED_VALUE"""),1)</f>
        <v>1</v>
      </c>
      <c r="C831" s="8">
        <f ca="1">IFERROR(__xludf.DUMMYFUNCTION("""COMPUTED_VALUE"""),30)</f>
        <v>30</v>
      </c>
      <c r="D831" s="8">
        <f ca="1">IFERROR(__xludf.DUMMYFUNCTION("""COMPUTED_VALUE"""),2023)</f>
        <v>2023</v>
      </c>
      <c r="E831" s="9">
        <f ca="1">IFERROR(__xludf.DUMMYFUNCTION("""COMPUTED_VALUE"""),44956)</f>
        <v>44956</v>
      </c>
      <c r="F831" s="8" t="str">
        <f ca="1">IFERROR(__xludf.DUMMYFUNCTION("""COMPUTED_VALUE"""),"Holloway Elementary School")</f>
        <v>Holloway Elementary School</v>
      </c>
      <c r="G831" s="8">
        <f ca="1">IFERROR(__xludf.DUMMYFUNCTION("""COMPUTED_VALUE"""),0)</f>
        <v>0</v>
      </c>
      <c r="H831" s="8">
        <f ca="1">IFERROR(__xludf.DUMMYFUNCTION("""COMPUTED_VALUE"""),0)</f>
        <v>0</v>
      </c>
      <c r="I831" s="8">
        <f ca="1">IFERROR(__xludf.DUMMYFUNCTION("""COMPUTED_VALUE"""),0)</f>
        <v>0</v>
      </c>
      <c r="J831" s="8">
        <f ca="1">IFERROR(__xludf.DUMMYFUNCTION("""COMPUTED_VALUE"""),0)</f>
        <v>0</v>
      </c>
      <c r="K831" s="10" t="str">
        <f ca="1">IFERROR(__xludf.DUMMYFUNCTION("""COMPUTED_VALUE"""),"https://www.fox10tv.com/2023/02/01/one-vehicle-elementary-school-hit-by-bullets-after-shots-fired-nearby/")</f>
        <v>https://www.fox10tv.com/2023/02/01/one-vehicle-elementary-school-hit-by-bullets-after-shots-fired-nearby/</v>
      </c>
      <c r="L831" s="8">
        <f ca="1">IFERROR(__xludf.DUMMYFUNCTION("""COMPUTED_VALUE"""),1)</f>
        <v>1</v>
      </c>
      <c r="M831" s="8" t="str">
        <f ca="1">IFERROR(__xludf.DUMMYFUNCTION("""COMPUTED_VALUE"""),"Local")</f>
        <v>Local</v>
      </c>
      <c r="N831" s="8">
        <f ca="1">IFERROR(__xludf.DUMMYFUNCTION("""COMPUTED_VALUE"""),4)</f>
        <v>4</v>
      </c>
      <c r="O831" s="8" t="str">
        <f ca="1">IFERROR(__xludf.DUMMYFUNCTION("""COMPUTED_VALUE"""),"Winter")</f>
        <v>Winter</v>
      </c>
      <c r="P831" s="8" t="str">
        <f ca="1">IFERROR(__xludf.DUMMYFUNCTION("""COMPUTED_VALUE"""),"Mobile")</f>
        <v>Mobile</v>
      </c>
      <c r="Q831" s="8" t="str">
        <f ca="1">IFERROR(__xludf.DUMMYFUNCTION("""COMPUTED_VALUE"""),"AL")</f>
        <v>AL</v>
      </c>
      <c r="R831" s="8" t="str">
        <f ca="1">IFERROR(__xludf.DUMMYFUNCTION("""COMPUTED_VALUE"""),"Elementary")</f>
        <v>Elementary</v>
      </c>
      <c r="S831" s="8" t="str">
        <f ca="1">IFERROR(__xludf.DUMMYFUNCTION("""COMPUTED_VALUE"""),"Parking Lot")</f>
        <v>Parking Lot</v>
      </c>
      <c r="T831" s="8" t="str">
        <f ca="1">IFERROR(__xludf.DUMMYFUNCTION("""COMPUTED_VALUE"""),"Outside on School Property")</f>
        <v>Outside on School Property</v>
      </c>
      <c r="U831" s="8" t="str">
        <f ca="1">IFERROR(__xludf.DUMMYFUNCTION("""COMPUTED_VALUE"""),"Yes")</f>
        <v>Yes</v>
      </c>
      <c r="V831" s="8" t="str">
        <f ca="1">IFERROR(__xludf.DUMMYFUNCTION("""COMPUTED_VALUE"""),"Afternoon Classes")</f>
        <v>Afternoon Classes</v>
      </c>
      <c r="W831" s="11">
        <f ca="1">IFERROR(__xludf.DUMMYFUNCTION("""COMPUTED_VALUE"""),0.5625)</f>
        <v>0.5625</v>
      </c>
      <c r="X831" s="8">
        <f ca="1">IFERROR(__xludf.DUMMYFUNCTION("""COMPUTED_VALUE"""),1)</f>
        <v>1</v>
      </c>
      <c r="Y831" s="12" t="str">
        <f ca="1">IFERROR(__xludf.DUMMYFUNCTION("""COMPUTED_VALUE"""),"Vehicle in school parking lot struck by bullet, school went on lockdown")</f>
        <v>Vehicle in school parking lot struck by bullet, school went on lockdown</v>
      </c>
      <c r="Z831" s="12" t="str">
        <f ca="1">IFERROR(__xludf.DUMMYFUNCTION("""COMPUTED_VALUE"""),"Shots fired 100 yards from the school struck vehicle in the parking lot. Staff heard shots and put the school on lockdown for 90 minutes while police investigated. Five other vehicles near the school were also struck by bullets.")</f>
        <v>Shots fired 100 yards from the school struck vehicle in the parking lot. Staff heard shots and put the school on lockdown for 90 minutes while police investigated. Five other vehicles near the school were also struck by bullets.</v>
      </c>
      <c r="AA831" s="8" t="str">
        <f ca="1">IFERROR(__xludf.DUMMYFUNCTION("""COMPUTED_VALUE"""),"Drive-by Shooting")</f>
        <v>Drive-by Shooting</v>
      </c>
      <c r="AB831" s="8"/>
      <c r="AC831" s="8" t="str">
        <f ca="1">IFERROR(__xludf.DUMMYFUNCTION("""COMPUTED_VALUE"""),"Yes")</f>
        <v>Yes</v>
      </c>
      <c r="AD831" s="8"/>
      <c r="AE831" s="8"/>
      <c r="AF831" s="8"/>
      <c r="AG831" s="8" t="str">
        <f ca="1">IFERROR(__xludf.DUMMYFUNCTION("""COMPUTED_VALUE"""),"No")</f>
        <v>No</v>
      </c>
      <c r="AH831" s="8" t="str">
        <f ca="1">IFERROR(__xludf.DUMMYFUNCTION("""COMPUTED_VALUE"""),"No")</f>
        <v>No</v>
      </c>
      <c r="AI831" s="8" t="str">
        <f ca="1">IFERROR(__xludf.DUMMYFUNCTION("""COMPUTED_VALUE"""),"No")</f>
        <v>No</v>
      </c>
      <c r="AJ831" s="8" t="str">
        <f ca="1">IFERROR(__xludf.DUMMYFUNCTION("""COMPUTED_VALUE"""),"No")</f>
        <v>No</v>
      </c>
      <c r="AK831" s="8" t="str">
        <f ca="1">IFERROR(__xludf.DUMMYFUNCTION("""COMPUTED_VALUE"""),"No")</f>
        <v>No</v>
      </c>
      <c r="AL831" s="8"/>
      <c r="AM831" s="8" t="str">
        <f ca="1">IFERROR(__xludf.DUMMYFUNCTION("""COMPUTED_VALUE"""),"No")</f>
        <v>No</v>
      </c>
      <c r="AN831" s="8" t="str">
        <f ca="1">IFERROR(__xludf.DUMMYFUNCTION("""COMPUTED_VALUE"""),"Outside")</f>
        <v>Outside</v>
      </c>
      <c r="AO831" s="8"/>
      <c r="AP831" s="8"/>
      <c r="AQ831" s="8"/>
      <c r="AR831" s="8" t="str">
        <f ca="1">IFERROR(__xludf.DUMMYFUNCTION("""COMPUTED_VALUE"""),"Outside/Off-Property")</f>
        <v>Outside/Off-Property</v>
      </c>
      <c r="AS831" s="8">
        <f ca="1">IFERROR(__xludf.DUMMYFUNCTION("""COMPUTED_VALUE"""),99)</f>
        <v>99</v>
      </c>
      <c r="AT831" s="8" t="str">
        <f ca="1">IFERROR(__xludf.DUMMYFUNCTION("""COMPUTED_VALUE"""),"Yes")</f>
        <v>Yes</v>
      </c>
      <c r="AU831" s="8">
        <f ca="1">IFERROR(__xludf.DUMMYFUNCTION("""COMPUTED_VALUE"""),30.710332)</f>
        <v>30.710332000000001</v>
      </c>
      <c r="AV831" s="8">
        <f ca="1">IFERROR(__xludf.DUMMYFUNCTION("""COMPUTED_VALUE"""),-88.09775)</f>
        <v>-88.097750000000005</v>
      </c>
      <c r="AW831" s="8"/>
      <c r="AX831" s="8">
        <f ca="1">IFERROR(__xludf.DUMMYFUNCTION("""COMPUTED_VALUE"""),36617)</f>
        <v>36617</v>
      </c>
    </row>
    <row r="832" spans="1:50" ht="75" x14ac:dyDescent="0.2">
      <c r="A832" s="8" t="str">
        <f ca="1">IFERROR(__xludf.DUMMYFUNCTION("""COMPUTED_VALUE"""),"20230128MOGLS")</f>
        <v>20230128MOGLS</v>
      </c>
      <c r="B832" s="8">
        <f ca="1">IFERROR(__xludf.DUMMYFUNCTION("""COMPUTED_VALUE"""),1)</f>
        <v>1</v>
      </c>
      <c r="C832" s="8">
        <f ca="1">IFERROR(__xludf.DUMMYFUNCTION("""COMPUTED_VALUE"""),28)</f>
        <v>28</v>
      </c>
      <c r="D832" s="8">
        <f ca="1">IFERROR(__xludf.DUMMYFUNCTION("""COMPUTED_VALUE"""),2023)</f>
        <v>2023</v>
      </c>
      <c r="E832" s="9">
        <f ca="1">IFERROR(__xludf.DUMMYFUNCTION("""COMPUTED_VALUE"""),44954)</f>
        <v>44954</v>
      </c>
      <c r="F832" s="8" t="str">
        <f ca="1">IFERROR(__xludf.DUMMYFUNCTION("""COMPUTED_VALUE"""),"Glendale High School")</f>
        <v>Glendale High School</v>
      </c>
      <c r="G832" s="8">
        <f ca="1">IFERROR(__xludf.DUMMYFUNCTION("""COMPUTED_VALUE"""),0)</f>
        <v>0</v>
      </c>
      <c r="H832" s="8">
        <f ca="1">IFERROR(__xludf.DUMMYFUNCTION("""COMPUTED_VALUE"""),1)</f>
        <v>1</v>
      </c>
      <c r="I832" s="8">
        <f ca="1">IFERROR(__xludf.DUMMYFUNCTION("""COMPUTED_VALUE"""),1)</f>
        <v>1</v>
      </c>
      <c r="J832" s="8">
        <f ca="1">IFERROR(__xludf.DUMMYFUNCTION("""COMPUTED_VALUE"""),0)</f>
        <v>0</v>
      </c>
      <c r="K832" s="10" t="str">
        <f ca="1">IFERROR(__xludf.DUMMYFUNCTION("""COMPUTED_VALUE"""),"https://www.ky3.com/2023/02/03/neighbors-want-answers-police-still-investigating-shooting-near-springfields-glendale-high-school/
https://www.ky3.com/2023/01/29/spd-officers-investigating-shots-fired-near-glendale-high-school/")</f>
        <v>https://www.ky3.com/2023/02/03/neighbors-want-answers-police-still-investigating-shooting-near-springfields-glendale-high-school/
https://www.ky3.com/2023/01/29/spd-officers-investigating-shots-fired-near-glendale-high-school/</v>
      </c>
      <c r="L832" s="8">
        <f ca="1">IFERROR(__xludf.DUMMYFUNCTION("""COMPUTED_VALUE"""),2)</f>
        <v>2</v>
      </c>
      <c r="M832" s="8" t="str">
        <f ca="1">IFERROR(__xludf.DUMMYFUNCTION("""COMPUTED_VALUE"""),"Local")</f>
        <v>Local</v>
      </c>
      <c r="N832" s="8">
        <f ca="1">IFERROR(__xludf.DUMMYFUNCTION("""COMPUTED_VALUE"""),4)</f>
        <v>4</v>
      </c>
      <c r="O832" s="8" t="str">
        <f ca="1">IFERROR(__xludf.DUMMYFUNCTION("""COMPUTED_VALUE"""),"Winter")</f>
        <v>Winter</v>
      </c>
      <c r="P832" s="8" t="str">
        <f ca="1">IFERROR(__xludf.DUMMYFUNCTION("""COMPUTED_VALUE"""),"Springfield")</f>
        <v>Springfield</v>
      </c>
      <c r="Q832" s="8" t="str">
        <f ca="1">IFERROR(__xludf.DUMMYFUNCTION("""COMPUTED_VALUE"""),"MO")</f>
        <v>MO</v>
      </c>
      <c r="R832" s="8" t="str">
        <f ca="1">IFERROR(__xludf.DUMMYFUNCTION("""COMPUTED_VALUE"""),"High")</f>
        <v>High</v>
      </c>
      <c r="S832" s="8" t="str">
        <f ca="1">IFERROR(__xludf.DUMMYFUNCTION("""COMPUTED_VALUE"""),"Parking Lot")</f>
        <v>Parking Lot</v>
      </c>
      <c r="T832" s="8" t="str">
        <f ca="1">IFERROR(__xludf.DUMMYFUNCTION("""COMPUTED_VALUE"""),"Outside on School Property")</f>
        <v>Outside on School Property</v>
      </c>
      <c r="U832" s="8" t="str">
        <f ca="1">IFERROR(__xludf.DUMMYFUNCTION("""COMPUTED_VALUE"""),"No")</f>
        <v>No</v>
      </c>
      <c r="V832" s="8" t="str">
        <f ca="1">IFERROR(__xludf.DUMMYFUNCTION("""COMPUTED_VALUE"""),"Sport Event")</f>
        <v>Sport Event</v>
      </c>
      <c r="W832" s="11">
        <f ca="1">IFERROR(__xludf.DUMMYFUNCTION("""COMPUTED_VALUE"""),0.791666666666666)</f>
        <v>0.79166666666666596</v>
      </c>
      <c r="X832" s="8">
        <f ca="1">IFERROR(__xludf.DUMMYFUNCTION("""COMPUTED_VALUE"""),1)</f>
        <v>1</v>
      </c>
      <c r="Y832" s="12" t="str">
        <f ca="1">IFERROR(__xludf.DUMMYFUNCTION("""COMPUTED_VALUE"""),"Shots fired in parking lot during debate team event")</f>
        <v>Shots fired in parking lot during debate team event</v>
      </c>
      <c r="Z832" s="12" t="str">
        <f ca="1">IFERROR(__xludf.DUMMYFUNCTION("""COMPUTED_VALUE"""),"Adult man was wounded when 15 shots were fired in the school parking lot during debate team event. School went on lockdown. Police discovered vehicle with multiple bullet holes and more than six thousand dollars in counterfeit bills inside.")</f>
        <v>Adult man was wounded when 15 shots were fired in the school parking lot during debate team event. School went on lockdown. Police discovered vehicle with multiple bullet holes and more than six thousand dollars in counterfeit bills inside.</v>
      </c>
      <c r="AA832" s="8" t="str">
        <f ca="1">IFERROR(__xludf.DUMMYFUNCTION("""COMPUTED_VALUE"""),"Illegal Activity")</f>
        <v>Illegal Activity</v>
      </c>
      <c r="AB832" s="8"/>
      <c r="AC832" s="8" t="str">
        <f ca="1">IFERROR(__xludf.DUMMYFUNCTION("""COMPUTED_VALUE"""),"Yes")</f>
        <v>Yes</v>
      </c>
      <c r="AD832" s="8" t="str">
        <f ca="1">IFERROR(__xludf.DUMMYFUNCTION("""COMPUTED_VALUE"""),"Victims Targeted")</f>
        <v>Victims Targeted</v>
      </c>
      <c r="AE832" s="8"/>
      <c r="AF832" s="8"/>
      <c r="AG832" s="8" t="str">
        <f ca="1">IFERROR(__xludf.DUMMYFUNCTION("""COMPUTED_VALUE"""),"No")</f>
        <v>No</v>
      </c>
      <c r="AH832" s="8" t="str">
        <f ca="1">IFERROR(__xludf.DUMMYFUNCTION("""COMPUTED_VALUE"""),"No")</f>
        <v>No</v>
      </c>
      <c r="AI832" s="8" t="str">
        <f ca="1">IFERROR(__xludf.DUMMYFUNCTION("""COMPUTED_VALUE"""),"No")</f>
        <v>No</v>
      </c>
      <c r="AJ832" s="8" t="str">
        <f ca="1">IFERROR(__xludf.DUMMYFUNCTION("""COMPUTED_VALUE"""),"No")</f>
        <v>No</v>
      </c>
      <c r="AK832" s="8" t="str">
        <f ca="1">IFERROR(__xludf.DUMMYFUNCTION("""COMPUTED_VALUE"""),"No")</f>
        <v>No</v>
      </c>
      <c r="AL832" s="8"/>
      <c r="AM832" s="8" t="str">
        <f ca="1">IFERROR(__xludf.DUMMYFUNCTION("""COMPUTED_VALUE"""),"No")</f>
        <v>No</v>
      </c>
      <c r="AN832" s="8" t="str">
        <f ca="1">IFERROR(__xludf.DUMMYFUNCTION("""COMPUTED_VALUE"""),"Outside")</f>
        <v>Outside</v>
      </c>
      <c r="AO832" s="8"/>
      <c r="AP832" s="8"/>
      <c r="AQ832" s="8"/>
      <c r="AR832" s="8" t="str">
        <f ca="1">IFERROR(__xludf.DUMMYFUNCTION("""COMPUTED_VALUE"""),"Outside/Off-Property")</f>
        <v>Outside/Off-Property</v>
      </c>
      <c r="AS832" s="8">
        <f ca="1">IFERROR(__xludf.DUMMYFUNCTION("""COMPUTED_VALUE"""),15)</f>
        <v>15</v>
      </c>
      <c r="AT832" s="8"/>
      <c r="AU832" s="8">
        <f ca="1">IFERROR(__xludf.DUMMYFUNCTION("""COMPUTED_VALUE"""),37.162919)</f>
        <v>37.162919000000002</v>
      </c>
      <c r="AV832" s="8">
        <f ca="1">IFERROR(__xludf.DUMMYFUNCTION("""COMPUTED_VALUE"""),-93.227194)</f>
        <v>-93.227193999999997</v>
      </c>
      <c r="AW832" s="8"/>
      <c r="AX832" s="8">
        <f ca="1">IFERROR(__xludf.DUMMYFUNCTION("""COMPUTED_VALUE"""),65804)</f>
        <v>65804</v>
      </c>
    </row>
    <row r="833" spans="1:50" ht="150" x14ac:dyDescent="0.2">
      <c r="A833" s="8" t="str">
        <f ca="1">IFERROR(__xludf.DUMMYFUNCTION("""COMPUTED_VALUE"""),"20230127NJHOW")</f>
        <v>20230127NJHOW</v>
      </c>
      <c r="B833" s="8">
        <f ca="1">IFERROR(__xludf.DUMMYFUNCTION("""COMPUTED_VALUE"""),1)</f>
        <v>1</v>
      </c>
      <c r="C833" s="8">
        <f ca="1">IFERROR(__xludf.DUMMYFUNCTION("""COMPUTED_VALUE"""),27)</f>
        <v>27</v>
      </c>
      <c r="D833" s="8">
        <f ca="1">IFERROR(__xludf.DUMMYFUNCTION("""COMPUTED_VALUE"""),2023)</f>
        <v>2023</v>
      </c>
      <c r="E833" s="9">
        <f ca="1">IFERROR(__xludf.DUMMYFUNCTION("""COMPUTED_VALUE"""),44953)</f>
        <v>44953</v>
      </c>
      <c r="F833" s="8" t="str">
        <f ca="1">IFERROR(__xludf.DUMMYFUNCTION("""COMPUTED_VALUE"""),"Holly Glen Elementary School")</f>
        <v>Holly Glen Elementary School</v>
      </c>
      <c r="G833" s="8">
        <f ca="1">IFERROR(__xludf.DUMMYFUNCTION("""COMPUTED_VALUE"""),0)</f>
        <v>0</v>
      </c>
      <c r="H833" s="8">
        <f ca="1">IFERROR(__xludf.DUMMYFUNCTION("""COMPUTED_VALUE"""),0)</f>
        <v>0</v>
      </c>
      <c r="I833" s="8">
        <f ca="1">IFERROR(__xludf.DUMMYFUNCTION("""COMPUTED_VALUE"""),0)</f>
        <v>0</v>
      </c>
      <c r="J833" s="8">
        <f ca="1">IFERROR(__xludf.DUMMYFUNCTION("""COMPUTED_VALUE"""),0)</f>
        <v>0</v>
      </c>
      <c r="K833" s="10" t="str">
        <f ca="1">IFERROR(__xludf.DUMMYFUNCTION("""COMPUTED_VALUE"""),"https://wpgtalkradio.com/monroe-twp-nj-police-teen-fired-flare-gun-at-another-teen-inside-elementary-school/")</f>
        <v>https://wpgtalkradio.com/monroe-twp-nj-police-teen-fired-flare-gun-at-another-teen-inside-elementary-school/</v>
      </c>
      <c r="L833" s="8">
        <f ca="1">IFERROR(__xludf.DUMMYFUNCTION("""COMPUTED_VALUE"""),1)</f>
        <v>1</v>
      </c>
      <c r="M833" s="8" t="str">
        <f ca="1">IFERROR(__xludf.DUMMYFUNCTION("""COMPUTED_VALUE"""),"Local")</f>
        <v>Local</v>
      </c>
      <c r="N833" s="8">
        <f ca="1">IFERROR(__xludf.DUMMYFUNCTION("""COMPUTED_VALUE"""),4)</f>
        <v>4</v>
      </c>
      <c r="O833" s="8" t="str">
        <f ca="1">IFERROR(__xludf.DUMMYFUNCTION("""COMPUTED_VALUE"""),"Winter")</f>
        <v>Winter</v>
      </c>
      <c r="P833" s="8" t="str">
        <f ca="1">IFERROR(__xludf.DUMMYFUNCTION("""COMPUTED_VALUE"""),"Williamstown")</f>
        <v>Williamstown</v>
      </c>
      <c r="Q833" s="8" t="str">
        <f ca="1">IFERROR(__xludf.DUMMYFUNCTION("""COMPUTED_VALUE"""),"NJ")</f>
        <v>NJ</v>
      </c>
      <c r="R833" s="8" t="str">
        <f ca="1">IFERROR(__xludf.DUMMYFUNCTION("""COMPUTED_VALUE"""),"Elementary")</f>
        <v>Elementary</v>
      </c>
      <c r="S833" s="8" t="str">
        <f ca="1">IFERROR(__xludf.DUMMYFUNCTION("""COMPUTED_VALUE"""),"Outside on School Property")</f>
        <v>Outside on School Property</v>
      </c>
      <c r="T833" s="8" t="str">
        <f ca="1">IFERROR(__xludf.DUMMYFUNCTION("""COMPUTED_VALUE"""),"Outside on School Property")</f>
        <v>Outside on School Property</v>
      </c>
      <c r="U833" s="8" t="str">
        <f ca="1">IFERROR(__xludf.DUMMYFUNCTION("""COMPUTED_VALUE"""),"No")</f>
        <v>No</v>
      </c>
      <c r="V833" s="8" t="str">
        <f ca="1">IFERROR(__xludf.DUMMYFUNCTION("""COMPUTED_VALUE"""),"After School")</f>
        <v>After School</v>
      </c>
      <c r="W833" s="11">
        <f ca="1">IFERROR(__xludf.DUMMYFUNCTION("""COMPUTED_VALUE"""),0.666666666666666)</f>
        <v>0.66666666666666596</v>
      </c>
      <c r="X833" s="8">
        <f ca="1">IFERROR(__xludf.DUMMYFUNCTION("""COMPUTED_VALUE"""),1)</f>
        <v>1</v>
      </c>
      <c r="Y833" s="12" t="str">
        <f ca="1">IFERROR(__xludf.DUMMYFUNCTION("""COMPUTED_VALUE"""),"Teen fired flare gun at teen during fight")</f>
        <v>Teen fired flare gun at teen during fight</v>
      </c>
      <c r="Z833" s="12" t="str">
        <f ca="1">IFERROR(__xludf.DUMMYFUNCTION("""COMPUTED_VALUE"""),"Officers responded to the school for a report of two juveniles that were fighting. During the altercation, one juvenile brandished a flare gun and fired the gun at the other juvenile, then fled. The flare did not hit the other teen. The juvenile who fired"&amp;" the flare gun was located and taken into custody. He has been charged with aggravated assault, possession of a weapon on school grounds, and other weapon-related offenses. Police say at no time were any students in danger and the two teens are not studen"&amp;"ts at Holly Glen Elementary School.")</f>
        <v>Officers responded to the school for a report of two juveniles that were fighting. During the altercation, one juvenile brandished a flare gun and fired the gun at the other juvenile, then fled. The flare did not hit the other teen. The juvenile who fired the flare gun was located and taken into custody. He has been charged with aggravated assault, possession of a weapon on school grounds, and other weapon-related offenses. Police say at no time were any students in danger and the two teens are not students at Holly Glen Elementary School.</v>
      </c>
      <c r="AA833" s="8" t="str">
        <f ca="1">IFERROR(__xludf.DUMMYFUNCTION("""COMPUTED_VALUE"""),"Escalation of Dispute")</f>
        <v>Escalation of Dispute</v>
      </c>
      <c r="AB833" s="8"/>
      <c r="AC833" s="8" t="str">
        <f ca="1">IFERROR(__xludf.DUMMYFUNCTION("""COMPUTED_VALUE"""),"No")</f>
        <v>No</v>
      </c>
      <c r="AD833" s="8" t="str">
        <f ca="1">IFERROR(__xludf.DUMMYFUNCTION("""COMPUTED_VALUE"""),"Victims Targeted")</f>
        <v>Victims Targeted</v>
      </c>
      <c r="AE833" s="8" t="str">
        <f ca="1">IFERROR(__xludf.DUMMYFUNCTION("""COMPUTED_VALUE"""),"No")</f>
        <v>No</v>
      </c>
      <c r="AF833" s="8"/>
      <c r="AG833" s="8" t="str">
        <f ca="1">IFERROR(__xludf.DUMMYFUNCTION("""COMPUTED_VALUE"""),"No")</f>
        <v>No</v>
      </c>
      <c r="AH833" s="8" t="str">
        <f ca="1">IFERROR(__xludf.DUMMYFUNCTION("""COMPUTED_VALUE"""),"No")</f>
        <v>No</v>
      </c>
      <c r="AI833" s="8" t="str">
        <f ca="1">IFERROR(__xludf.DUMMYFUNCTION("""COMPUTED_VALUE"""),"No")</f>
        <v>No</v>
      </c>
      <c r="AJ833" s="8"/>
      <c r="AK833" s="8" t="str">
        <f ca="1">IFERROR(__xludf.DUMMYFUNCTION("""COMPUTED_VALUE"""),"No")</f>
        <v>No</v>
      </c>
      <c r="AL833" s="8" t="str">
        <f ca="1">IFERROR(__xludf.DUMMYFUNCTION("""COMPUTED_VALUE"""),"No")</f>
        <v>No</v>
      </c>
      <c r="AM833" s="8" t="str">
        <f ca="1">IFERROR(__xludf.DUMMYFUNCTION("""COMPUTED_VALUE"""),"No")</f>
        <v>No</v>
      </c>
      <c r="AN833" s="8" t="str">
        <f ca="1">IFERROR(__xludf.DUMMYFUNCTION("""COMPUTED_VALUE"""),"Outside")</f>
        <v>Outside</v>
      </c>
      <c r="AO833" s="8"/>
      <c r="AP833" s="8"/>
      <c r="AQ833" s="8"/>
      <c r="AR833" s="8" t="str">
        <f ca="1">IFERROR(__xludf.DUMMYFUNCTION("""COMPUTED_VALUE"""),"Outside/Off-Property")</f>
        <v>Outside/Off-Property</v>
      </c>
      <c r="AS833" s="8">
        <f ca="1">IFERROR(__xludf.DUMMYFUNCTION("""COMPUTED_VALUE"""),1)</f>
        <v>1</v>
      </c>
      <c r="AT833" s="8"/>
      <c r="AU833" s="8">
        <f ca="1">IFERROR(__xludf.DUMMYFUNCTION("""COMPUTED_VALUE"""),39.694397)</f>
        <v>39.694397000000002</v>
      </c>
      <c r="AV833" s="8">
        <f ca="1">IFERROR(__xludf.DUMMYFUNCTION("""COMPUTED_VALUE"""),-75.004988)</f>
        <v>-75.004987999999997</v>
      </c>
      <c r="AW833" s="8"/>
      <c r="AX833" s="8">
        <f ca="1">IFERROR(__xludf.DUMMYFUNCTION("""COMPUTED_VALUE"""),8094)</f>
        <v>8094</v>
      </c>
    </row>
    <row r="834" spans="1:50" ht="45" x14ac:dyDescent="0.2">
      <c r="A834" s="8" t="str">
        <f ca="1">IFERROR(__xludf.DUMMYFUNCTION("""COMPUTED_VALUE"""),"20230126UTTAT")</f>
        <v>20230126UTTAT</v>
      </c>
      <c r="B834" s="8">
        <f ca="1">IFERROR(__xludf.DUMMYFUNCTION("""COMPUTED_VALUE"""),1)</f>
        <v>1</v>
      </c>
      <c r="C834" s="8">
        <f ca="1">IFERROR(__xludf.DUMMYFUNCTION("""COMPUTED_VALUE"""),26)</f>
        <v>26</v>
      </c>
      <c r="D834" s="8">
        <f ca="1">IFERROR(__xludf.DUMMYFUNCTION("""COMPUTED_VALUE"""),2023)</f>
        <v>2023</v>
      </c>
      <c r="E834" s="9">
        <f ca="1">IFERROR(__xludf.DUMMYFUNCTION("""COMPUTED_VALUE"""),44952)</f>
        <v>44952</v>
      </c>
      <c r="F834" s="8" t="str">
        <f ca="1">IFERROR(__xludf.DUMMYFUNCTION("""COMPUTED_VALUE"""),"Taylorsville High School")</f>
        <v>Taylorsville High School</v>
      </c>
      <c r="G834" s="8">
        <f ca="1">IFERROR(__xludf.DUMMYFUNCTION("""COMPUTED_VALUE"""),0)</f>
        <v>0</v>
      </c>
      <c r="H834" s="8">
        <f ca="1">IFERROR(__xludf.DUMMYFUNCTION("""COMPUTED_VALUE"""),0)</f>
        <v>0</v>
      </c>
      <c r="I834" s="8">
        <f ca="1">IFERROR(__xludf.DUMMYFUNCTION("""COMPUTED_VALUE"""),0)</f>
        <v>0</v>
      </c>
      <c r="J834" s="8">
        <f ca="1">IFERROR(__xludf.DUMMYFUNCTION("""COMPUTED_VALUE"""),0)</f>
        <v>0</v>
      </c>
      <c r="K834" s="10" t="str">
        <f ca="1">IFERROR(__xludf.DUMMYFUNCTION("""COMPUTED_VALUE"""),"https://www.abc4.com/news/wasatch-front/shots-fired-taylorsville-high-school/")</f>
        <v>https://www.abc4.com/news/wasatch-front/shots-fired-taylorsville-high-school/</v>
      </c>
      <c r="L834" s="8">
        <f ca="1">IFERROR(__xludf.DUMMYFUNCTION("""COMPUTED_VALUE"""),10)</f>
        <v>10</v>
      </c>
      <c r="M834" s="8" t="str">
        <f ca="1">IFERROR(__xludf.DUMMYFUNCTION("""COMPUTED_VALUE"""),"Regional")</f>
        <v>Regional</v>
      </c>
      <c r="N834" s="8">
        <f ca="1">IFERROR(__xludf.DUMMYFUNCTION("""COMPUTED_VALUE"""),4)</f>
        <v>4</v>
      </c>
      <c r="O834" s="8" t="str">
        <f ca="1">IFERROR(__xludf.DUMMYFUNCTION("""COMPUTED_VALUE"""),"Winter")</f>
        <v>Winter</v>
      </c>
      <c r="P834" s="8" t="str">
        <f ca="1">IFERROR(__xludf.DUMMYFUNCTION("""COMPUTED_VALUE"""),"Taylorsville")</f>
        <v>Taylorsville</v>
      </c>
      <c r="Q834" s="8" t="str">
        <f ca="1">IFERROR(__xludf.DUMMYFUNCTION("""COMPUTED_VALUE"""),"UT")</f>
        <v>UT</v>
      </c>
      <c r="R834" s="8" t="str">
        <f ca="1">IFERROR(__xludf.DUMMYFUNCTION("""COMPUTED_VALUE"""),"High")</f>
        <v>High</v>
      </c>
      <c r="S834" s="8" t="str">
        <f ca="1">IFERROR(__xludf.DUMMYFUNCTION("""COMPUTED_VALUE"""),"Parking Lot")</f>
        <v>Parking Lot</v>
      </c>
      <c r="T834" s="8" t="str">
        <f ca="1">IFERROR(__xludf.DUMMYFUNCTION("""COMPUTED_VALUE"""),"Outside on School Property")</f>
        <v>Outside on School Property</v>
      </c>
      <c r="U834" s="8" t="str">
        <f ca="1">IFERROR(__xludf.DUMMYFUNCTION("""COMPUTED_VALUE"""),"Yes")</f>
        <v>Yes</v>
      </c>
      <c r="V834" s="8" t="str">
        <f ca="1">IFERROR(__xludf.DUMMYFUNCTION("""COMPUTED_VALUE"""),"Lunch")</f>
        <v>Lunch</v>
      </c>
      <c r="W834" s="11">
        <f ca="1">IFERROR(__xludf.DUMMYFUNCTION("""COMPUTED_VALUE"""),0.520833333333333)</f>
        <v>0.52083333333333304</v>
      </c>
      <c r="X834" s="8">
        <f ca="1">IFERROR(__xludf.DUMMYFUNCTION("""COMPUTED_VALUE"""),1)</f>
        <v>1</v>
      </c>
      <c r="Y834" s="12" t="str">
        <f ca="1">IFERROR(__xludf.DUMMYFUNCTION("""COMPUTED_VALUE"""),"Shot fired during fight between 6 students")</f>
        <v>Shot fired during fight between 6 students</v>
      </c>
      <c r="Z834" s="12" t="str">
        <f ca="1">IFERROR(__xludf.DUMMYFUNCTION("""COMPUTED_VALUE"""),"Shot fired in parking lot during fight between 6 students. Shooter fled and other students involved ran back into the school. 2 hour lockdown.")</f>
        <v>Shot fired in parking lot during fight between 6 students. Shooter fled and other students involved ran back into the school. 2 hour lockdown.</v>
      </c>
      <c r="AA834" s="8" t="str">
        <f ca="1">IFERROR(__xludf.DUMMYFUNCTION("""COMPUTED_VALUE"""),"Escalation of Dispute")</f>
        <v>Escalation of Dispute</v>
      </c>
      <c r="AB834" s="8"/>
      <c r="AC834" s="8" t="str">
        <f ca="1">IFERROR(__xludf.DUMMYFUNCTION("""COMPUTED_VALUE"""),"Yes")</f>
        <v>Yes</v>
      </c>
      <c r="AD834" s="8" t="str">
        <f ca="1">IFERROR(__xludf.DUMMYFUNCTION("""COMPUTED_VALUE"""),"Victims Targeted")</f>
        <v>Victims Targeted</v>
      </c>
      <c r="AE834" s="8"/>
      <c r="AF834" s="8"/>
      <c r="AG834" s="8" t="str">
        <f ca="1">IFERROR(__xludf.DUMMYFUNCTION("""COMPUTED_VALUE"""),"No")</f>
        <v>No</v>
      </c>
      <c r="AH834" s="8" t="str">
        <f ca="1">IFERROR(__xludf.DUMMYFUNCTION("""COMPUTED_VALUE"""),"No")</f>
        <v>No</v>
      </c>
      <c r="AI834" s="8" t="str">
        <f ca="1">IFERROR(__xludf.DUMMYFUNCTION("""COMPUTED_VALUE"""),"No")</f>
        <v>No</v>
      </c>
      <c r="AJ834" s="8"/>
      <c r="AK834" s="8" t="str">
        <f ca="1">IFERROR(__xludf.DUMMYFUNCTION("""COMPUTED_VALUE"""),"No")</f>
        <v>No</v>
      </c>
      <c r="AL834" s="8"/>
      <c r="AM834" s="8" t="str">
        <f ca="1">IFERROR(__xludf.DUMMYFUNCTION("""COMPUTED_VALUE"""),"No")</f>
        <v>No</v>
      </c>
      <c r="AN834" s="8" t="str">
        <f ca="1">IFERROR(__xludf.DUMMYFUNCTION("""COMPUTED_VALUE"""),"Outside")</f>
        <v>Outside</v>
      </c>
      <c r="AO834" s="8"/>
      <c r="AP834" s="8"/>
      <c r="AQ834" s="8"/>
      <c r="AR834" s="8" t="str">
        <f ca="1">IFERROR(__xludf.DUMMYFUNCTION("""COMPUTED_VALUE"""),"Outside/Off-Property")</f>
        <v>Outside/Off-Property</v>
      </c>
      <c r="AS834" s="8">
        <f ca="1">IFERROR(__xludf.DUMMYFUNCTION("""COMPUTED_VALUE"""),1)</f>
        <v>1</v>
      </c>
      <c r="AT834" s="8" t="str">
        <f ca="1">IFERROR(__xludf.DUMMYFUNCTION("""COMPUTED_VALUE"""),"Yes")</f>
        <v>Yes</v>
      </c>
      <c r="AU834" s="8">
        <f ca="1">IFERROR(__xludf.DUMMYFUNCTION("""COMPUTED_VALUE"""),40.654809)</f>
        <v>40.654809</v>
      </c>
      <c r="AV834" s="8">
        <f ca="1">IFERROR(__xludf.DUMMYFUNCTION("""COMPUTED_VALUE"""),-111.936972)</f>
        <v>-111.936972</v>
      </c>
      <c r="AW834" s="8"/>
      <c r="AX834" s="8">
        <f ca="1">IFERROR(__xludf.DUMMYFUNCTION("""COMPUTED_VALUE"""),84123)</f>
        <v>84123</v>
      </c>
    </row>
    <row r="835" spans="1:50" ht="45" x14ac:dyDescent="0.2">
      <c r="A835" s="8" t="str">
        <f ca="1">IFERROR(__xludf.DUMMYFUNCTION("""COMPUTED_VALUE"""),"20230125OHTOT")</f>
        <v>20230125OHTOT</v>
      </c>
      <c r="B835" s="8">
        <f ca="1">IFERROR(__xludf.DUMMYFUNCTION("""COMPUTED_VALUE"""),1)</f>
        <v>1</v>
      </c>
      <c r="C835" s="8">
        <f ca="1">IFERROR(__xludf.DUMMYFUNCTION("""COMPUTED_VALUE"""),25)</f>
        <v>25</v>
      </c>
      <c r="D835" s="8">
        <f ca="1">IFERROR(__xludf.DUMMYFUNCTION("""COMPUTED_VALUE"""),2023)</f>
        <v>2023</v>
      </c>
      <c r="E835" s="9">
        <f ca="1">IFERROR(__xludf.DUMMYFUNCTION("""COMPUTED_VALUE"""),44951)</f>
        <v>44951</v>
      </c>
      <c r="F835" s="8" t="str">
        <f ca="1">IFERROR(__xludf.DUMMYFUNCTION("""COMPUTED_VALUE"""),"Toledo Public Schools Bus")</f>
        <v>Toledo Public Schools Bus</v>
      </c>
      <c r="G835" s="8">
        <f ca="1">IFERROR(__xludf.DUMMYFUNCTION("""COMPUTED_VALUE"""),0)</f>
        <v>0</v>
      </c>
      <c r="H835" s="8">
        <f ca="1">IFERROR(__xludf.DUMMYFUNCTION("""COMPUTED_VALUE"""),0)</f>
        <v>0</v>
      </c>
      <c r="I835" s="8">
        <f ca="1">IFERROR(__xludf.DUMMYFUNCTION("""COMPUTED_VALUE"""),0)</f>
        <v>0</v>
      </c>
      <c r="J835" s="8">
        <f ca="1">IFERROR(__xludf.DUMMYFUNCTION("""COMPUTED_VALUE"""),0)</f>
        <v>0</v>
      </c>
      <c r="K835" s="10" t="str">
        <f ca="1">IFERROR(__xludf.DUMMYFUNCTION("""COMPUTED_VALUE"""),"https://www.13abc.com/2023/01/25/police-tps-school-bus-hit-by-gunfire-with-students-board/")</f>
        <v>https://www.13abc.com/2023/01/25/police-tps-school-bus-hit-by-gunfire-with-students-board/</v>
      </c>
      <c r="L835" s="8">
        <f ca="1">IFERROR(__xludf.DUMMYFUNCTION("""COMPUTED_VALUE"""),4)</f>
        <v>4</v>
      </c>
      <c r="M835" s="8" t="str">
        <f ca="1">IFERROR(__xludf.DUMMYFUNCTION("""COMPUTED_VALUE"""),"Local")</f>
        <v>Local</v>
      </c>
      <c r="N835" s="8">
        <f ca="1">IFERROR(__xludf.DUMMYFUNCTION("""COMPUTED_VALUE"""),4)</f>
        <v>4</v>
      </c>
      <c r="O835" s="8" t="str">
        <f ca="1">IFERROR(__xludf.DUMMYFUNCTION("""COMPUTED_VALUE"""),"Winter")</f>
        <v>Winter</v>
      </c>
      <c r="P835" s="8" t="str">
        <f ca="1">IFERROR(__xludf.DUMMYFUNCTION("""COMPUTED_VALUE"""),"Toledo")</f>
        <v>Toledo</v>
      </c>
      <c r="Q835" s="8" t="str">
        <f ca="1">IFERROR(__xludf.DUMMYFUNCTION("""COMPUTED_VALUE"""),"OH")</f>
        <v>OH</v>
      </c>
      <c r="R835" s="8" t="str">
        <f ca="1">IFERROR(__xludf.DUMMYFUNCTION("""COMPUTED_VALUE"""),"Other")</f>
        <v>Other</v>
      </c>
      <c r="S835" s="8" t="str">
        <f ca="1">IFERROR(__xludf.DUMMYFUNCTION("""COMPUTED_VALUE"""),"School Bus")</f>
        <v>School Bus</v>
      </c>
      <c r="T835" s="8" t="str">
        <f ca="1">IFERROR(__xludf.DUMMYFUNCTION("""COMPUTED_VALUE"""),"School Bus")</f>
        <v>School Bus</v>
      </c>
      <c r="U835" s="8" t="str">
        <f ca="1">IFERROR(__xludf.DUMMYFUNCTION("""COMPUTED_VALUE"""),"Yes")</f>
        <v>Yes</v>
      </c>
      <c r="V835" s="8" t="str">
        <f ca="1">IFERROR(__xludf.DUMMYFUNCTION("""COMPUTED_VALUE"""),"Dismissal")</f>
        <v>Dismissal</v>
      </c>
      <c r="W835" s="11">
        <f ca="1">IFERROR(__xludf.DUMMYFUNCTION("""COMPUTED_VALUE"""),0.666666666666666)</f>
        <v>0.66666666666666596</v>
      </c>
      <c r="X835" s="8">
        <f ca="1">IFERROR(__xludf.DUMMYFUNCTION("""COMPUTED_VALUE"""),1)</f>
        <v>1</v>
      </c>
      <c r="Y835" s="12" t="str">
        <f ca="1">IFERROR(__xludf.DUMMYFUNCTION("""COMPUTED_VALUE"""),"School bus struck by bullets taking students home")</f>
        <v>School bus struck by bullets taking students home</v>
      </c>
      <c r="Z835" s="12" t="str">
        <f ca="1">IFERROR(__xludf.DUMMYFUNCTION("""COMPUTED_VALUE"""),"46 shots were fired in the area of a school bus taking students home. Bullets stuck the bus. Students and driver were not injured.")</f>
        <v>46 shots were fired in the area of a school bus taking students home. Bullets stuck the bus. Students and driver were not injured.</v>
      </c>
      <c r="AA835" s="8" t="str">
        <f ca="1">IFERROR(__xludf.DUMMYFUNCTION("""COMPUTED_VALUE"""),"Drive-by Shooting")</f>
        <v>Drive-by Shooting</v>
      </c>
      <c r="AB835" s="8"/>
      <c r="AC835" s="8" t="str">
        <f ca="1">IFERROR(__xludf.DUMMYFUNCTION("""COMPUTED_VALUE"""),"Yes")</f>
        <v>Yes</v>
      </c>
      <c r="AD835" s="8" t="str">
        <f ca="1">IFERROR(__xludf.DUMMYFUNCTION("""COMPUTED_VALUE"""),"Both")</f>
        <v>Both</v>
      </c>
      <c r="AE835" s="8"/>
      <c r="AF835" s="8"/>
      <c r="AG835" s="8" t="str">
        <f ca="1">IFERROR(__xludf.DUMMYFUNCTION("""COMPUTED_VALUE"""),"No")</f>
        <v>No</v>
      </c>
      <c r="AH835" s="8" t="str">
        <f ca="1">IFERROR(__xludf.DUMMYFUNCTION("""COMPUTED_VALUE"""),"No")</f>
        <v>No</v>
      </c>
      <c r="AI835" s="8" t="str">
        <f ca="1">IFERROR(__xludf.DUMMYFUNCTION("""COMPUTED_VALUE"""),"No")</f>
        <v>No</v>
      </c>
      <c r="AJ835" s="8" t="str">
        <f ca="1">IFERROR(__xludf.DUMMYFUNCTION("""COMPUTED_VALUE"""),"No")</f>
        <v>No</v>
      </c>
      <c r="AK835" s="8" t="str">
        <f ca="1">IFERROR(__xludf.DUMMYFUNCTION("""COMPUTED_VALUE"""),"No")</f>
        <v>No</v>
      </c>
      <c r="AL835" s="8"/>
      <c r="AM835" s="8" t="str">
        <f ca="1">IFERROR(__xludf.DUMMYFUNCTION("""COMPUTED_VALUE"""),"No")</f>
        <v>No</v>
      </c>
      <c r="AN835" s="8" t="str">
        <f ca="1">IFERROR(__xludf.DUMMYFUNCTION("""COMPUTED_VALUE"""),"Outside")</f>
        <v>Outside</v>
      </c>
      <c r="AO835" s="8"/>
      <c r="AP835" s="8"/>
      <c r="AQ835" s="8"/>
      <c r="AR835" s="8" t="str">
        <f ca="1">IFERROR(__xludf.DUMMYFUNCTION("""COMPUTED_VALUE"""),"Outside/Off-Property")</f>
        <v>Outside/Off-Property</v>
      </c>
      <c r="AS835" s="8">
        <f ca="1">IFERROR(__xludf.DUMMYFUNCTION("""COMPUTED_VALUE"""),46)</f>
        <v>46</v>
      </c>
      <c r="AT835" s="8"/>
      <c r="AU835" s="8">
        <f ca="1">IFERROR(__xludf.DUMMYFUNCTION("""COMPUTED_VALUE"""),41.649244)</f>
        <v>41.649244000000003</v>
      </c>
      <c r="AV835" s="8">
        <f ca="1">IFERROR(__xludf.DUMMYFUNCTION("""COMPUTED_VALUE"""),-83.590168)</f>
        <v>-83.590168000000006</v>
      </c>
      <c r="AW835" s="8"/>
      <c r="AX835" s="8">
        <f ca="1">IFERROR(__xludf.DUMMYFUNCTION("""COMPUTED_VALUE"""),43607)</f>
        <v>43607</v>
      </c>
    </row>
    <row r="836" spans="1:50" ht="165" x14ac:dyDescent="0.2">
      <c r="A836" s="8" t="str">
        <f ca="1">IFERROR(__xludf.DUMMYFUNCTION("""COMPUTED_VALUE"""),"20230124MOTHK")</f>
        <v>20230124MOTHK</v>
      </c>
      <c r="B836" s="8">
        <f ca="1">IFERROR(__xludf.DUMMYFUNCTION("""COMPUTED_VALUE"""),1)</f>
        <v>1</v>
      </c>
      <c r="C836" s="8">
        <f ca="1">IFERROR(__xludf.DUMMYFUNCTION("""COMPUTED_VALUE"""),24)</f>
        <v>24</v>
      </c>
      <c r="D836" s="8">
        <f ca="1">IFERROR(__xludf.DUMMYFUNCTION("""COMPUTED_VALUE"""),2023)</f>
        <v>2023</v>
      </c>
      <c r="E836" s="9">
        <f ca="1">IFERROR(__xludf.DUMMYFUNCTION("""COMPUTED_VALUE"""),44950)</f>
        <v>44950</v>
      </c>
      <c r="F836" s="8" t="str">
        <f ca="1">IFERROR(__xludf.DUMMYFUNCTION("""COMPUTED_VALUE"""),"The Plaza Academy")</f>
        <v>The Plaza Academy</v>
      </c>
      <c r="G836" s="8">
        <f ca="1">IFERROR(__xludf.DUMMYFUNCTION("""COMPUTED_VALUE"""),0)</f>
        <v>0</v>
      </c>
      <c r="H836" s="8">
        <f ca="1">IFERROR(__xludf.DUMMYFUNCTION("""COMPUTED_VALUE"""),1)</f>
        <v>1</v>
      </c>
      <c r="I836" s="8">
        <f ca="1">IFERROR(__xludf.DUMMYFUNCTION("""COMPUTED_VALUE"""),1)</f>
        <v>1</v>
      </c>
      <c r="J836" s="8">
        <f ca="1">IFERROR(__xludf.DUMMYFUNCTION("""COMPUTED_VALUE"""),0)</f>
        <v>0</v>
      </c>
      <c r="K836" s="10" t="str">
        <f ca="1">IFERROR(__xludf.DUMMYFUNCTION("""COMPUTED_VALUE"""),"https://fox4kc.com/news/kansas-city-police-find-shooting-victim-near-high-school/")</f>
        <v>https://fox4kc.com/news/kansas-city-police-find-shooting-victim-near-high-school/</v>
      </c>
      <c r="L836" s="8">
        <f ca="1">IFERROR(__xludf.DUMMYFUNCTION("""COMPUTED_VALUE"""),3)</f>
        <v>3</v>
      </c>
      <c r="M836" s="8" t="str">
        <f ca="1">IFERROR(__xludf.DUMMYFUNCTION("""COMPUTED_VALUE"""),"Local")</f>
        <v>Local</v>
      </c>
      <c r="N836" s="8">
        <f ca="1">IFERROR(__xludf.DUMMYFUNCTION("""COMPUTED_VALUE"""),4)</f>
        <v>4</v>
      </c>
      <c r="O836" s="8" t="str">
        <f ca="1">IFERROR(__xludf.DUMMYFUNCTION("""COMPUTED_VALUE"""),"Winter")</f>
        <v>Winter</v>
      </c>
      <c r="P836" s="8" t="str">
        <f ca="1">IFERROR(__xludf.DUMMYFUNCTION("""COMPUTED_VALUE"""),"Kansas City")</f>
        <v>Kansas City</v>
      </c>
      <c r="Q836" s="8" t="str">
        <f ca="1">IFERROR(__xludf.DUMMYFUNCTION("""COMPUTED_VALUE"""),"MO")</f>
        <v>MO</v>
      </c>
      <c r="R836" s="8" t="str">
        <f ca="1">IFERROR(__xludf.DUMMYFUNCTION("""COMPUTED_VALUE"""),"High")</f>
        <v>High</v>
      </c>
      <c r="S836" s="8" t="str">
        <f ca="1">IFERROR(__xludf.DUMMYFUNCTION("""COMPUTED_VALUE"""),"Beside Building")</f>
        <v>Beside Building</v>
      </c>
      <c r="T836" s="8" t="str">
        <f ca="1">IFERROR(__xludf.DUMMYFUNCTION("""COMPUTED_VALUE"""),"Outside on School Property")</f>
        <v>Outside on School Property</v>
      </c>
      <c r="U836" s="8" t="str">
        <f ca="1">IFERROR(__xludf.DUMMYFUNCTION("""COMPUTED_VALUE"""),"Yes")</f>
        <v>Yes</v>
      </c>
      <c r="V836" s="8" t="str">
        <f ca="1">IFERROR(__xludf.DUMMYFUNCTION("""COMPUTED_VALUE"""),"Afternoon Classes")</f>
        <v>Afternoon Classes</v>
      </c>
      <c r="W836" s="11">
        <f ca="1">IFERROR(__xludf.DUMMYFUNCTION("""COMPUTED_VALUE"""),0.520833333333333)</f>
        <v>0.52083333333333304</v>
      </c>
      <c r="X836" s="8">
        <f ca="1">IFERROR(__xludf.DUMMYFUNCTION("""COMPUTED_VALUE"""),1)</f>
        <v>1</v>
      </c>
      <c r="Y836" s="12" t="str">
        <f ca="1">IFERROR(__xludf.DUMMYFUNCTION("""COMPUTED_VALUE"""),"School employee shot by backdoor")</f>
        <v>School employee shot by backdoor</v>
      </c>
      <c r="Z836" s="12" t="str">
        <f ca="1">IFERROR(__xludf.DUMMYFUNCTION("""COMPUTED_VALUE"""),"Kansas City police say officers found a paraprofessional with gunshot injuries near an alternative high school. Officers responded to The Plaza Academy near West 39th Terrace and Broadway Boulevard in Kansas City’s Midtown area. The shooting happened arou"&amp;"nd 12:30 p.m. Tuesday. The school’s executive director Ward Worley said someone drove by on Washington Street and shot the employee near the back entrance to the building. Worley said he doesn’t know if the shooting was random or if the gunman targeted th"&amp;"e victim. School went on lockdown and classes were cancelled for remainder of the day.")</f>
        <v>Kansas City police say officers found a paraprofessional with gunshot injuries near an alternative high school. Officers responded to The Plaza Academy near West 39th Terrace and Broadway Boulevard in Kansas City’s Midtown area. The shooting happened around 12:30 p.m. Tuesday. The school’s executive director Ward Worley said someone drove by on Washington Street and shot the employee near the back entrance to the building. Worley said he doesn’t know if the shooting was random or if the gunman targeted the victim. School went on lockdown and classes were cancelled for remainder of the day.</v>
      </c>
      <c r="AA836" s="8" t="str">
        <f ca="1">IFERROR(__xludf.DUMMYFUNCTION("""COMPUTED_VALUE"""),"Drive-by Shooting")</f>
        <v>Drive-by Shooting</v>
      </c>
      <c r="AB836" s="8"/>
      <c r="AC836" s="8" t="str">
        <f ca="1">IFERROR(__xludf.DUMMYFUNCTION("""COMPUTED_VALUE"""),"Yes")</f>
        <v>Yes</v>
      </c>
      <c r="AD836" s="8"/>
      <c r="AE836" s="8"/>
      <c r="AF836" s="8"/>
      <c r="AG836" s="8" t="str">
        <f ca="1">IFERROR(__xludf.DUMMYFUNCTION("""COMPUTED_VALUE"""),"No")</f>
        <v>No</v>
      </c>
      <c r="AH836" s="8" t="str">
        <f ca="1">IFERROR(__xludf.DUMMYFUNCTION("""COMPUTED_VALUE"""),"No")</f>
        <v>No</v>
      </c>
      <c r="AI836" s="8" t="str">
        <f ca="1">IFERROR(__xludf.DUMMYFUNCTION("""COMPUTED_VALUE"""),"No")</f>
        <v>No</v>
      </c>
      <c r="AJ836" s="8" t="str">
        <f ca="1">IFERROR(__xludf.DUMMYFUNCTION("""COMPUTED_VALUE"""),"No")</f>
        <v>No</v>
      </c>
      <c r="AK836" s="8" t="str">
        <f ca="1">IFERROR(__xludf.DUMMYFUNCTION("""COMPUTED_VALUE"""),"No")</f>
        <v>No</v>
      </c>
      <c r="AL836" s="8"/>
      <c r="AM836" s="8" t="str">
        <f ca="1">IFERROR(__xludf.DUMMYFUNCTION("""COMPUTED_VALUE"""),"No")</f>
        <v>No</v>
      </c>
      <c r="AN836" s="8" t="str">
        <f ca="1">IFERROR(__xludf.DUMMYFUNCTION("""COMPUTED_VALUE"""),"Outside")</f>
        <v>Outside</v>
      </c>
      <c r="AO836" s="8"/>
      <c r="AP836" s="8"/>
      <c r="AQ836" s="8"/>
      <c r="AR836" s="8" t="str">
        <f ca="1">IFERROR(__xludf.DUMMYFUNCTION("""COMPUTED_VALUE"""),"Outside/Off-Property")</f>
        <v>Outside/Off-Property</v>
      </c>
      <c r="AS836" s="8"/>
      <c r="AT836" s="8" t="str">
        <f ca="1">IFERROR(__xludf.DUMMYFUNCTION("""COMPUTED_VALUE"""),"Yes")</f>
        <v>Yes</v>
      </c>
      <c r="AU836" s="8">
        <f ca="1">IFERROR(__xludf.DUMMYFUNCTION("""COMPUTED_VALUE"""),39.055241)</f>
        <v>39.055241000000002</v>
      </c>
      <c r="AV836" s="8">
        <f ca="1">IFERROR(__xludf.DUMMYFUNCTION("""COMPUTED_VALUE"""),-94.591372)</f>
        <v>-94.591372000000007</v>
      </c>
      <c r="AW836" s="8"/>
      <c r="AX836" s="8">
        <f ca="1">IFERROR(__xludf.DUMMYFUNCTION("""COMPUTED_VALUE"""),64111)</f>
        <v>64111</v>
      </c>
    </row>
    <row r="837" spans="1:50" ht="135" x14ac:dyDescent="0.2">
      <c r="A837" s="8" t="str">
        <f ca="1">IFERROR(__xludf.DUMMYFUNCTION("""COMPUTED_VALUE"""),"20230123TXABA")</f>
        <v>20230123TXABA</v>
      </c>
      <c r="B837" s="8">
        <f ca="1">IFERROR(__xludf.DUMMYFUNCTION("""COMPUTED_VALUE"""),1)</f>
        <v>1</v>
      </c>
      <c r="C837" s="8">
        <f ca="1">IFERROR(__xludf.DUMMYFUNCTION("""COMPUTED_VALUE"""),23)</f>
        <v>23</v>
      </c>
      <c r="D837" s="8">
        <f ca="1">IFERROR(__xludf.DUMMYFUNCTION("""COMPUTED_VALUE"""),2023)</f>
        <v>2023</v>
      </c>
      <c r="E837" s="9">
        <f ca="1">IFERROR(__xludf.DUMMYFUNCTION("""COMPUTED_VALUE"""),44949)</f>
        <v>44949</v>
      </c>
      <c r="F837" s="8" t="str">
        <f ca="1">IFERROR(__xludf.DUMMYFUNCTION("""COMPUTED_VALUE"""),"Abilene Independent School District Bus")</f>
        <v>Abilene Independent School District Bus</v>
      </c>
      <c r="G837" s="8">
        <f ca="1">IFERROR(__xludf.DUMMYFUNCTION("""COMPUTED_VALUE"""),0)</f>
        <v>0</v>
      </c>
      <c r="H837" s="8">
        <f ca="1">IFERROR(__xludf.DUMMYFUNCTION("""COMPUTED_VALUE"""),2)</f>
        <v>2</v>
      </c>
      <c r="I837" s="8">
        <f ca="1">IFERROR(__xludf.DUMMYFUNCTION("""COMPUTED_VALUE"""),2)</f>
        <v>2</v>
      </c>
      <c r="J837" s="8">
        <f ca="1">IFERROR(__xludf.DUMMYFUNCTION("""COMPUTED_VALUE"""),0)</f>
        <v>0</v>
      </c>
      <c r="K837" s="8" t="str">
        <f ca="1">IFERROR(__xludf.DUMMYFUNCTION("""COMPUTED_VALUE"""),"https://ktxs.com/news/local/suspect-shoots-at-school-bus-while-kids-are-getting-off-injuring-child-in-abilene-
https://www.bigcountryhomepage.com/news/abilene-isd-school-bus-shot-with-an-air-rifle-one-injured/")</f>
        <v>https://ktxs.com/news/local/suspect-shoots-at-school-bus-while-kids-are-getting-off-injuring-child-in-abilene-
https://www.bigcountryhomepage.com/news/abilene-isd-school-bus-shot-with-an-air-rifle-one-injured/</v>
      </c>
      <c r="L837" s="8">
        <f ca="1">IFERROR(__xludf.DUMMYFUNCTION("""COMPUTED_VALUE"""),5)</f>
        <v>5</v>
      </c>
      <c r="M837" s="8" t="str">
        <f ca="1">IFERROR(__xludf.DUMMYFUNCTION("""COMPUTED_VALUE"""),"Regional")</f>
        <v>Regional</v>
      </c>
      <c r="N837" s="8">
        <f ca="1">IFERROR(__xludf.DUMMYFUNCTION("""COMPUTED_VALUE"""),4)</f>
        <v>4</v>
      </c>
      <c r="O837" s="8" t="str">
        <f ca="1">IFERROR(__xludf.DUMMYFUNCTION("""COMPUTED_VALUE"""),"Winter")</f>
        <v>Winter</v>
      </c>
      <c r="P837" s="8" t="str">
        <f ca="1">IFERROR(__xludf.DUMMYFUNCTION("""COMPUTED_VALUE"""),"Abilene")</f>
        <v>Abilene</v>
      </c>
      <c r="Q837" s="8" t="str">
        <f ca="1">IFERROR(__xludf.DUMMYFUNCTION("""COMPUTED_VALUE"""),"TX")</f>
        <v>TX</v>
      </c>
      <c r="R837" s="8" t="str">
        <f ca="1">IFERROR(__xludf.DUMMYFUNCTION("""COMPUTED_VALUE"""),"Other")</f>
        <v>Other</v>
      </c>
      <c r="S837" s="8" t="str">
        <f ca="1">IFERROR(__xludf.DUMMYFUNCTION("""COMPUTED_VALUE"""),"School Bus")</f>
        <v>School Bus</v>
      </c>
      <c r="T837" s="8" t="str">
        <f ca="1">IFERROR(__xludf.DUMMYFUNCTION("""COMPUTED_VALUE"""),"School Bus")</f>
        <v>School Bus</v>
      </c>
      <c r="U837" s="8" t="str">
        <f ca="1">IFERROR(__xludf.DUMMYFUNCTION("""COMPUTED_VALUE"""),"Yes")</f>
        <v>Yes</v>
      </c>
      <c r="V837" s="8" t="str">
        <f ca="1">IFERROR(__xludf.DUMMYFUNCTION("""COMPUTED_VALUE"""),"Dismissal")</f>
        <v>Dismissal</v>
      </c>
      <c r="W837" s="11">
        <f ca="1">IFERROR(__xludf.DUMMYFUNCTION("""COMPUTED_VALUE"""),0.666666666666666)</f>
        <v>0.66666666666666596</v>
      </c>
      <c r="X837" s="8">
        <f ca="1">IFERROR(__xludf.DUMMYFUNCTION("""COMPUTED_VALUE"""),1)</f>
        <v>1</v>
      </c>
      <c r="Y837" s="12" t="str">
        <f ca="1">IFERROR(__xludf.DUMMYFUNCTION("""COMPUTED_VALUE"""),"Abilene school bus was shot with a pellet or BB gun resulting in one student on board being hit by some type of projectile and one student cut by glass")</f>
        <v>Abilene school bus was shot with a pellet or BB gun resulting in one student on board being hit by some type of projectile and one student cut by glass</v>
      </c>
      <c r="Z837" s="12" t="str">
        <f ca="1">IFERROR(__xludf.DUMMYFUNCTION("""COMPUTED_VALUE"""),"Abilene school bus was shot with a pellet or BB gun resulting in one student on board being hit by some type of projectile and one student cut by glass")</f>
        <v>Abilene school bus was shot with a pellet or BB gun resulting in one student on board being hit by some type of projectile and one student cut by glass</v>
      </c>
      <c r="AA837" s="8"/>
      <c r="AB837" s="8"/>
      <c r="AC837" s="8" t="str">
        <f ca="1">IFERROR(__xludf.DUMMYFUNCTION("""COMPUTED_VALUE"""),"Yes")</f>
        <v>Yes</v>
      </c>
      <c r="AD837" s="8" t="str">
        <f ca="1">IFERROR(__xludf.DUMMYFUNCTION("""COMPUTED_VALUE"""),"Random Shooting")</f>
        <v>Random Shooting</v>
      </c>
      <c r="AE837" s="8"/>
      <c r="AF837" s="8"/>
      <c r="AG837" s="8" t="str">
        <f ca="1">IFERROR(__xludf.DUMMYFUNCTION("""COMPUTED_VALUE"""),"No")</f>
        <v>No</v>
      </c>
      <c r="AH837" s="8" t="str">
        <f ca="1">IFERROR(__xludf.DUMMYFUNCTION("""COMPUTED_VALUE"""),"No")</f>
        <v>No</v>
      </c>
      <c r="AI837" s="8" t="str">
        <f ca="1">IFERROR(__xludf.DUMMYFUNCTION("""COMPUTED_VALUE"""),"No")</f>
        <v>No</v>
      </c>
      <c r="AJ837" s="8"/>
      <c r="AK837" s="8" t="str">
        <f ca="1">IFERROR(__xludf.DUMMYFUNCTION("""COMPUTED_VALUE"""),"No")</f>
        <v>No</v>
      </c>
      <c r="AL837" s="8" t="str">
        <f ca="1">IFERROR(__xludf.DUMMYFUNCTION("""COMPUTED_VALUE"""),"No")</f>
        <v>No</v>
      </c>
      <c r="AM837" s="8" t="str">
        <f ca="1">IFERROR(__xludf.DUMMYFUNCTION("""COMPUTED_VALUE"""),"No")</f>
        <v>No</v>
      </c>
      <c r="AN837" s="8" t="str">
        <f ca="1">IFERROR(__xludf.DUMMYFUNCTION("""COMPUTED_VALUE"""),"Outside")</f>
        <v>Outside</v>
      </c>
      <c r="AO837" s="8"/>
      <c r="AP837" s="8"/>
      <c r="AQ837" s="8"/>
      <c r="AR837" s="8" t="str">
        <f ca="1">IFERROR(__xludf.DUMMYFUNCTION("""COMPUTED_VALUE"""),"Outside/Off-Property")</f>
        <v>Outside/Off-Property</v>
      </c>
      <c r="AS837" s="8">
        <f ca="1">IFERROR(__xludf.DUMMYFUNCTION("""COMPUTED_VALUE"""),99)</f>
        <v>99</v>
      </c>
      <c r="AT837" s="8"/>
      <c r="AU837" s="8">
        <f ca="1">IFERROR(__xludf.DUMMYFUNCTION("""COMPUTED_VALUE"""),32.44565)</f>
        <v>32.445650000000001</v>
      </c>
      <c r="AV837" s="8">
        <f ca="1">IFERROR(__xludf.DUMMYFUNCTION("""COMPUTED_VALUE"""),-99.728138)</f>
        <v>-99.728138000000001</v>
      </c>
      <c r="AW837" s="8"/>
      <c r="AX837" s="8">
        <f ca="1">IFERROR(__xludf.DUMMYFUNCTION("""COMPUTED_VALUE"""),79602)</f>
        <v>79602</v>
      </c>
    </row>
    <row r="838" spans="1:50" ht="195" x14ac:dyDescent="0.2">
      <c r="A838" s="8" t="str">
        <f ca="1">IFERROR(__xludf.DUMMYFUNCTION("""COMPUTED_VALUE"""),"20230123IASTD")</f>
        <v>20230123IASTD</v>
      </c>
      <c r="B838" s="8">
        <f ca="1">IFERROR(__xludf.DUMMYFUNCTION("""COMPUTED_VALUE"""),1)</f>
        <v>1</v>
      </c>
      <c r="C838" s="8">
        <f ca="1">IFERROR(__xludf.DUMMYFUNCTION("""COMPUTED_VALUE"""),23)</f>
        <v>23</v>
      </c>
      <c r="D838" s="8">
        <f ca="1">IFERROR(__xludf.DUMMYFUNCTION("""COMPUTED_VALUE"""),2023)</f>
        <v>2023</v>
      </c>
      <c r="E838" s="9">
        <f ca="1">IFERROR(__xludf.DUMMYFUNCTION("""COMPUTED_VALUE"""),44949)</f>
        <v>44949</v>
      </c>
      <c r="F838" s="8" t="str">
        <f ca="1">IFERROR(__xludf.DUMMYFUNCTION("""COMPUTED_VALUE"""),"Starts Right Here Charter School")</f>
        <v>Starts Right Here Charter School</v>
      </c>
      <c r="G838" s="8">
        <f ca="1">IFERROR(__xludf.DUMMYFUNCTION("""COMPUTED_VALUE"""),2)</f>
        <v>2</v>
      </c>
      <c r="H838" s="8">
        <f ca="1">IFERROR(__xludf.DUMMYFUNCTION("""COMPUTED_VALUE"""),1)</f>
        <v>1</v>
      </c>
      <c r="I838" s="8">
        <f ca="1">IFERROR(__xludf.DUMMYFUNCTION("""COMPUTED_VALUE"""),3)</f>
        <v>3</v>
      </c>
      <c r="J838" s="8">
        <f ca="1">IFERROR(__xludf.DUMMYFUNCTION("""COMPUTED_VALUE"""),0)</f>
        <v>0</v>
      </c>
      <c r="K838" s="8" t="str">
        <f ca="1">IFERROR(__xludf.DUMMYFUNCTION("""COMPUTED_VALUE"""),"https://www.nbcnews.com/news/crime-courts/man-gets-65-years-prison-des-moines-school-shooting-killed-2-students-rcna134692
https://www.cnn.com/2023/01/23/us/des-moines-shooting/index.html
https://sports.yahoo.com/second-suspect-charged-deadly-shooting-195"&amp;"000469.html")</f>
        <v>https://www.nbcnews.com/news/crime-courts/man-gets-65-years-prison-des-moines-school-shooting-killed-2-students-rcna134692
https://www.cnn.com/2023/01/23/us/des-moines-shooting/index.html
https://sports.yahoo.com/second-suspect-charged-deadly-shooting-195000469.html</v>
      </c>
      <c r="L838" s="8">
        <f ca="1">IFERROR(__xludf.DUMMYFUNCTION("""COMPUTED_VALUE"""),500)</f>
        <v>500</v>
      </c>
      <c r="M838" s="8" t="str">
        <f ca="1">IFERROR(__xludf.DUMMYFUNCTION("""COMPUTED_VALUE"""),"National")</f>
        <v>National</v>
      </c>
      <c r="N838" s="8">
        <f ca="1">IFERROR(__xludf.DUMMYFUNCTION("""COMPUTED_VALUE"""),4)</f>
        <v>4</v>
      </c>
      <c r="O838" s="8" t="str">
        <f ca="1">IFERROR(__xludf.DUMMYFUNCTION("""COMPUTED_VALUE"""),"Winter")</f>
        <v>Winter</v>
      </c>
      <c r="P838" s="8" t="str">
        <f ca="1">IFERROR(__xludf.DUMMYFUNCTION("""COMPUTED_VALUE"""),"Des Moines")</f>
        <v>Des Moines</v>
      </c>
      <c r="Q838" s="8" t="str">
        <f ca="1">IFERROR(__xludf.DUMMYFUNCTION("""COMPUTED_VALUE"""),"IA")</f>
        <v>IA</v>
      </c>
      <c r="R838" s="8" t="str">
        <f ca="1">IFERROR(__xludf.DUMMYFUNCTION("""COMPUTED_VALUE"""),"High")</f>
        <v>High</v>
      </c>
      <c r="S838" s="8" t="str">
        <f ca="1">IFERROR(__xludf.DUMMYFUNCTION("""COMPUTED_VALUE"""),"Hallway")</f>
        <v>Hallway</v>
      </c>
      <c r="T838" s="8" t="str">
        <f ca="1">IFERROR(__xludf.DUMMYFUNCTION("""COMPUTED_VALUE"""),"Inside School Building")</f>
        <v>Inside School Building</v>
      </c>
      <c r="U838" s="8" t="str">
        <f ca="1">IFERROR(__xludf.DUMMYFUNCTION("""COMPUTED_VALUE"""),"Yes")</f>
        <v>Yes</v>
      </c>
      <c r="V838" s="8" t="str">
        <f ca="1">IFERROR(__xludf.DUMMYFUNCTION("""COMPUTED_VALUE"""),"Afternoon Classes")</f>
        <v>Afternoon Classes</v>
      </c>
      <c r="W838" s="11">
        <f ca="1">IFERROR(__xludf.DUMMYFUNCTION("""COMPUTED_VALUE"""),0.536805555555555)</f>
        <v>0.53680555555555498</v>
      </c>
      <c r="X838" s="8">
        <f ca="1">IFERROR(__xludf.DUMMYFUNCTION("""COMPUTED_VALUE"""),1)</f>
        <v>1</v>
      </c>
      <c r="Y838" s="12" t="str">
        <f ca="1">IFERROR(__xludf.DUMMYFUNCTION("""COMPUTED_VALUE"""),"Two students fatally shot and staff member wounded")</f>
        <v>Two students fatally shot and staff member wounded</v>
      </c>
      <c r="Z838" s="12" t="str">
        <f ca="1">IFERROR(__xludf.DUMMYFUNCTION("""COMPUTED_VALUE"""),"Police charged 18-year-old Des Moines resident Preston Walls with two counts of first-degree murder, attempted murder and criminal gang participation. Parizek said in a news release that Walls was allegedly armed with a 9mm handgun with an extended ammuni"&amp;"tion magazine at Starts Right Here. Holmes attempted to escort him out of the building when Walls allegedly started shooting at the teenagers. ""Walls, and both deceased victims, are known gang members, belonging to opposing gangs, and evidence indicates "&amp;"that that these crimes were committed as a result of an ongoing gang dispute,"" Parizek said in the release. He did not elaborate on the evidence that links the shootings to rival gangs.")</f>
        <v>Police charged 18-year-old Des Moines resident Preston Walls with two counts of first-degree murder, attempted murder and criminal gang participation. Parizek said in a news release that Walls was allegedly armed with a 9mm handgun with an extended ammunition magazine at Starts Right Here. Holmes attempted to escort him out of the building when Walls allegedly started shooting at the teenagers. "Walls, and both deceased victims, are known gang members, belonging to opposing gangs, and evidence indicates that that these crimes were committed as a result of an ongoing gang dispute," Parizek said in the release. He did not elaborate on the evidence that links the shootings to rival gangs.</v>
      </c>
      <c r="AA838" s="8" t="str">
        <f ca="1">IFERROR(__xludf.DUMMYFUNCTION("""COMPUTED_VALUE"""),"Escalation of Dispute")</f>
        <v>Escalation of Dispute</v>
      </c>
      <c r="AB838" s="8"/>
      <c r="AC838" s="8" t="str">
        <f ca="1">IFERROR(__xludf.DUMMYFUNCTION("""COMPUTED_VALUE"""),"Yes")</f>
        <v>Yes</v>
      </c>
      <c r="AD838" s="8" t="str">
        <f ca="1">IFERROR(__xludf.DUMMYFUNCTION("""COMPUTED_VALUE"""),"Both")</f>
        <v>Both</v>
      </c>
      <c r="AE838" s="8" t="str">
        <f ca="1">IFERROR(__xludf.DUMMYFUNCTION("""COMPUTED_VALUE"""),"Yes")</f>
        <v>Yes</v>
      </c>
      <c r="AF838" s="8" t="str">
        <f ca="1">IFERROR(__xludf.DUMMYFUNCTION("""COMPUTED_VALUE"""),"Three arrested after police chase")</f>
        <v>Three arrested after police chase</v>
      </c>
      <c r="AG838" s="8" t="str">
        <f ca="1">IFERROR(__xludf.DUMMYFUNCTION("""COMPUTED_VALUE"""),"No")</f>
        <v>No</v>
      </c>
      <c r="AH838" s="8" t="str">
        <f ca="1">IFERROR(__xludf.DUMMYFUNCTION("""COMPUTED_VALUE"""),"No")</f>
        <v>No</v>
      </c>
      <c r="AI838" s="8" t="str">
        <f ca="1">IFERROR(__xludf.DUMMYFUNCTION("""COMPUTED_VALUE"""),"No")</f>
        <v>No</v>
      </c>
      <c r="AJ838" s="8" t="str">
        <f ca="1">IFERROR(__xludf.DUMMYFUNCTION("""COMPUTED_VALUE"""),"No")</f>
        <v>No</v>
      </c>
      <c r="AK838" s="8" t="str">
        <f ca="1">IFERROR(__xludf.DUMMYFUNCTION("""COMPUTED_VALUE"""),"No")</f>
        <v>No</v>
      </c>
      <c r="AL838" s="8" t="str">
        <f ca="1">IFERROR(__xludf.DUMMYFUNCTION("""COMPUTED_VALUE"""),"Yes")</f>
        <v>Yes</v>
      </c>
      <c r="AM838" s="8" t="str">
        <f ca="1">IFERROR(__xludf.DUMMYFUNCTION("""COMPUTED_VALUE"""),"No")</f>
        <v>No</v>
      </c>
      <c r="AN838" s="8" t="str">
        <f ca="1">IFERROR(__xludf.DUMMYFUNCTION("""COMPUTED_VALUE"""),"Hallway")</f>
        <v>Hallway</v>
      </c>
      <c r="AO838" s="8"/>
      <c r="AP838" s="8"/>
      <c r="AQ838" s="8"/>
      <c r="AR838" s="8"/>
      <c r="AS838" s="8">
        <f ca="1">IFERROR(__xludf.DUMMYFUNCTION("""COMPUTED_VALUE"""),99)</f>
        <v>99</v>
      </c>
      <c r="AT838" s="8" t="str">
        <f ca="1">IFERROR(__xludf.DUMMYFUNCTION("""COMPUTED_VALUE"""),"Yes")</f>
        <v>Yes</v>
      </c>
      <c r="AU838" s="8">
        <f ca="1">IFERROR(__xludf.DUMMYFUNCTION("""COMPUTED_VALUE"""),41.58003)</f>
        <v>41.580030000000001</v>
      </c>
      <c r="AV838" s="8">
        <f ca="1">IFERROR(__xludf.DUMMYFUNCTION("""COMPUTED_VALUE"""),-93.619413)</f>
        <v>-93.619412999999994</v>
      </c>
      <c r="AW838" s="8"/>
      <c r="AX838" s="8">
        <f ca="1">IFERROR(__xludf.DUMMYFUNCTION("""COMPUTED_VALUE"""),50309)</f>
        <v>50309</v>
      </c>
    </row>
    <row r="839" spans="1:50" ht="120" x14ac:dyDescent="0.2">
      <c r="A839" s="8" t="str">
        <f ca="1">IFERROR(__xludf.DUMMYFUNCTION("""COMPUTED_VALUE"""),"20230122WAMOT")</f>
        <v>20230122WAMOT</v>
      </c>
      <c r="B839" s="8">
        <f ca="1">IFERROR(__xludf.DUMMYFUNCTION("""COMPUTED_VALUE"""),1)</f>
        <v>1</v>
      </c>
      <c r="C839" s="8">
        <f ca="1">IFERROR(__xludf.DUMMYFUNCTION("""COMPUTED_VALUE"""),22)</f>
        <v>22</v>
      </c>
      <c r="D839" s="8">
        <f ca="1">IFERROR(__xludf.DUMMYFUNCTION("""COMPUTED_VALUE"""),2023)</f>
        <v>2023</v>
      </c>
      <c r="E839" s="9">
        <f ca="1">IFERROR(__xludf.DUMMYFUNCTION("""COMPUTED_VALUE"""),44948)</f>
        <v>44948</v>
      </c>
      <c r="F839" s="8" t="str">
        <f ca="1">IFERROR(__xludf.DUMMYFUNCTION("""COMPUTED_VALUE"""),"Mount Tahoma High School")</f>
        <v>Mount Tahoma High School</v>
      </c>
      <c r="G839" s="8">
        <f ca="1">IFERROR(__xludf.DUMMYFUNCTION("""COMPUTED_VALUE"""),0)</f>
        <v>0</v>
      </c>
      <c r="H839" s="8">
        <f ca="1">IFERROR(__xludf.DUMMYFUNCTION("""COMPUTED_VALUE"""),2)</f>
        <v>2</v>
      </c>
      <c r="I839" s="8">
        <f ca="1">IFERROR(__xludf.DUMMYFUNCTION("""COMPUTED_VALUE"""),2)</f>
        <v>2</v>
      </c>
      <c r="J839" s="8">
        <f ca="1">IFERROR(__xludf.DUMMYFUNCTION("""COMPUTED_VALUE"""),0)</f>
        <v>0</v>
      </c>
      <c r="K839" s="8" t="str">
        <f ca="1">IFERROR(__xludf.DUMMYFUNCTION("""COMPUTED_VALUE"""),"https://komonews.com/news/local/2-injured-following-tacoma-shooting-at-mt-tahoma-high-school-police-investigate
https://sports.yahoo.com/2-men-hurt-shooting-parking-163444510.html?guccounter=1&amp;guce_referrer=aHR0cHM6Ly93d3cuZ29vZ2xlLmNvbS8&amp;guce_referrer_si"&amp;"g=AQAAABJIcvttMv8xsAuRvsDxvk35jWdjY6pydSEBlBolFEbIzh1dkmrLAxX9HfNybnJR3OW0lC-1BPWz6WzO3b_mG1CxdvT7iB5WrdNqIpVp3sfAUnLgQuIZJ28DaLsqlZr_MlZ7YEXAaBSoCykD4i9KuC0sPwZD4jlwrSXELIDqY4fX")</f>
        <v>https://komonews.com/news/local/2-injured-following-tacoma-shooting-at-mt-tahoma-high-school-police-investigate
https://sports.yahoo.com/2-men-hurt-shooting-parking-163444510.html?guccounter=1&amp;guce_referrer=aHR0cHM6Ly93d3cuZ29vZ2xlLmNvbS8&amp;guce_referrer_sig=AQAAABJIcvttMv8xsAuRvsDxvk35jWdjY6pydSEBlBolFEbIzh1dkmrLAxX9HfNybnJR3OW0lC-1BPWz6WzO3b_mG1CxdvT7iB5WrdNqIpVp3sfAUnLgQuIZJ28DaLsqlZr_MlZ7YEXAaBSoCykD4i9KuC0sPwZD4jlwrSXELIDqY4fX</v>
      </c>
      <c r="L839" s="8">
        <f ca="1">IFERROR(__xludf.DUMMYFUNCTION("""COMPUTED_VALUE"""),5)</f>
        <v>5</v>
      </c>
      <c r="M839" s="8" t="str">
        <f ca="1">IFERROR(__xludf.DUMMYFUNCTION("""COMPUTED_VALUE"""),"National")</f>
        <v>National</v>
      </c>
      <c r="N839" s="8">
        <f ca="1">IFERROR(__xludf.DUMMYFUNCTION("""COMPUTED_VALUE"""),4)</f>
        <v>4</v>
      </c>
      <c r="O839" s="8" t="str">
        <f ca="1">IFERROR(__xludf.DUMMYFUNCTION("""COMPUTED_VALUE"""),"Winter")</f>
        <v>Winter</v>
      </c>
      <c r="P839" s="8" t="str">
        <f ca="1">IFERROR(__xludf.DUMMYFUNCTION("""COMPUTED_VALUE"""),"Tacoma")</f>
        <v>Tacoma</v>
      </c>
      <c r="Q839" s="8" t="str">
        <f ca="1">IFERROR(__xludf.DUMMYFUNCTION("""COMPUTED_VALUE"""),"WA")</f>
        <v>WA</v>
      </c>
      <c r="R839" s="8" t="str">
        <f ca="1">IFERROR(__xludf.DUMMYFUNCTION("""COMPUTED_VALUE"""),"High")</f>
        <v>High</v>
      </c>
      <c r="S839" s="8" t="str">
        <f ca="1">IFERROR(__xludf.DUMMYFUNCTION("""COMPUTED_VALUE"""),"Parking Lot")</f>
        <v>Parking Lot</v>
      </c>
      <c r="T839" s="8" t="str">
        <f ca="1">IFERROR(__xludf.DUMMYFUNCTION("""COMPUTED_VALUE"""),"Outside on School Property")</f>
        <v>Outside on School Property</v>
      </c>
      <c r="U839" s="8" t="str">
        <f ca="1">IFERROR(__xludf.DUMMYFUNCTION("""COMPUTED_VALUE"""),"No")</f>
        <v>No</v>
      </c>
      <c r="V839" s="8" t="str">
        <f ca="1">IFERROR(__xludf.DUMMYFUNCTION("""COMPUTED_VALUE"""),"Night")</f>
        <v>Night</v>
      </c>
      <c r="W839" s="11">
        <f ca="1">IFERROR(__xludf.DUMMYFUNCTION("""COMPUTED_VALUE"""),0.895833333333333)</f>
        <v>0.89583333333333304</v>
      </c>
      <c r="X839" s="8">
        <f ca="1">IFERROR(__xludf.DUMMYFUNCTION("""COMPUTED_VALUE"""),1)</f>
        <v>1</v>
      </c>
      <c r="Y839" s="12" t="str">
        <f ca="1">IFERROR(__xludf.DUMMYFUNCTION("""COMPUTED_VALUE"""),"Two men shot during argument in school parking lot")</f>
        <v>Two men shot during argument in school parking lot</v>
      </c>
      <c r="Z839" s="12" t="str">
        <f ca="1">IFERROR(__xludf.DUMMYFUNCTION("""COMPUTED_VALUE"""),"Two men are being treated for injuries after they were shot in the parking lot of Mount Tahoma High School in Tacoma Sunday night. According to the Lakewood Police Department (LPD), two men with gunshot wounds showed up at St. Clare Hospital in Lakewood a"&amp;"round 9:30 p.m. Sunday. The men told Lakewood police they were in the parking lot of Mount Tahoma High School when they were confronted by two people and shot.")</f>
        <v>Two men are being treated for injuries after they were shot in the parking lot of Mount Tahoma High School in Tacoma Sunday night. According to the Lakewood Police Department (LPD), two men with gunshot wounds showed up at St. Clare Hospital in Lakewood around 9:30 p.m. Sunday. The men told Lakewood police they were in the parking lot of Mount Tahoma High School when they were confronted by two people and shot.</v>
      </c>
      <c r="AA839" s="8" t="str">
        <f ca="1">IFERROR(__xludf.DUMMYFUNCTION("""COMPUTED_VALUE"""),"Escalation of Dispute")</f>
        <v>Escalation of Dispute</v>
      </c>
      <c r="AB839" s="8"/>
      <c r="AC839" s="8" t="str">
        <f ca="1">IFERROR(__xludf.DUMMYFUNCTION("""COMPUTED_VALUE"""),"No")</f>
        <v>No</v>
      </c>
      <c r="AD839" s="8" t="str">
        <f ca="1">IFERROR(__xludf.DUMMYFUNCTION("""COMPUTED_VALUE"""),"Victims Targeted")</f>
        <v>Victims Targeted</v>
      </c>
      <c r="AE839" s="8"/>
      <c r="AF839" s="8"/>
      <c r="AG839" s="8" t="str">
        <f ca="1">IFERROR(__xludf.DUMMYFUNCTION("""COMPUTED_VALUE"""),"No")</f>
        <v>No</v>
      </c>
      <c r="AH839" s="8" t="str">
        <f ca="1">IFERROR(__xludf.DUMMYFUNCTION("""COMPUTED_VALUE"""),"No")</f>
        <v>No</v>
      </c>
      <c r="AI839" s="8" t="str">
        <f ca="1">IFERROR(__xludf.DUMMYFUNCTION("""COMPUTED_VALUE"""),"No")</f>
        <v>No</v>
      </c>
      <c r="AJ839" s="8" t="str">
        <f ca="1">IFERROR(__xludf.DUMMYFUNCTION("""COMPUTED_VALUE"""),"No")</f>
        <v>No</v>
      </c>
      <c r="AK839" s="8" t="str">
        <f ca="1">IFERROR(__xludf.DUMMYFUNCTION("""COMPUTED_VALUE"""),"No")</f>
        <v>No</v>
      </c>
      <c r="AL839" s="8"/>
      <c r="AM839" s="8" t="str">
        <f ca="1">IFERROR(__xludf.DUMMYFUNCTION("""COMPUTED_VALUE"""),"No")</f>
        <v>No</v>
      </c>
      <c r="AN839" s="8" t="str">
        <f ca="1">IFERROR(__xludf.DUMMYFUNCTION("""COMPUTED_VALUE"""),"Outside")</f>
        <v>Outside</v>
      </c>
      <c r="AO839" s="8"/>
      <c r="AP839" s="8"/>
      <c r="AQ839" s="8"/>
      <c r="AR839" s="8" t="str">
        <f ca="1">IFERROR(__xludf.DUMMYFUNCTION("""COMPUTED_VALUE"""),"Outside/Off-Property")</f>
        <v>Outside/Off-Property</v>
      </c>
      <c r="AS839" s="8">
        <f ca="1">IFERROR(__xludf.DUMMYFUNCTION("""COMPUTED_VALUE"""),99)</f>
        <v>99</v>
      </c>
      <c r="AT839" s="8"/>
      <c r="AU839" s="8">
        <f ca="1">IFERROR(__xludf.DUMMYFUNCTION("""COMPUTED_VALUE"""),47.188995)</f>
        <v>47.188994999999998</v>
      </c>
      <c r="AV839" s="8">
        <f ca="1">IFERROR(__xludf.DUMMYFUNCTION("""COMPUTED_VALUE"""),-122.502844)</f>
        <v>-122.502844</v>
      </c>
      <c r="AW839" s="8"/>
      <c r="AX839" s="8">
        <f ca="1">IFERROR(__xludf.DUMMYFUNCTION("""COMPUTED_VALUE"""),98409)</f>
        <v>98409</v>
      </c>
    </row>
    <row r="840" spans="1:50" ht="90" x14ac:dyDescent="0.2">
      <c r="A840" s="8" t="str">
        <f ca="1">IFERROR(__xludf.DUMMYFUNCTION("""COMPUTED_VALUE"""),"20230121FLGLB")</f>
        <v>20230121FLGLB</v>
      </c>
      <c r="B840" s="8">
        <f ca="1">IFERROR(__xludf.DUMMYFUNCTION("""COMPUTED_VALUE"""),1)</f>
        <v>1</v>
      </c>
      <c r="C840" s="8">
        <f ca="1">IFERROR(__xludf.DUMMYFUNCTION("""COMPUTED_VALUE"""),21)</f>
        <v>21</v>
      </c>
      <c r="D840" s="8">
        <f ca="1">IFERROR(__xludf.DUMMYFUNCTION("""COMPUTED_VALUE"""),2023)</f>
        <v>2023</v>
      </c>
      <c r="E840" s="9">
        <f ca="1">IFERROR(__xludf.DUMMYFUNCTION("""COMPUTED_VALUE"""),44947)</f>
        <v>44947</v>
      </c>
      <c r="F840" s="8" t="str">
        <f ca="1">IFERROR(__xludf.DUMMYFUNCTION("""COMPUTED_VALUE"""),"Glades Central High School")</f>
        <v>Glades Central High School</v>
      </c>
      <c r="G840" s="8">
        <f ca="1">IFERROR(__xludf.DUMMYFUNCTION("""COMPUTED_VALUE"""),0)</f>
        <v>0</v>
      </c>
      <c r="H840" s="8">
        <f ca="1">IFERROR(__xludf.DUMMYFUNCTION("""COMPUTED_VALUE"""),0)</f>
        <v>0</v>
      </c>
      <c r="I840" s="8">
        <f ca="1">IFERROR(__xludf.DUMMYFUNCTION("""COMPUTED_VALUE"""),0)</f>
        <v>0</v>
      </c>
      <c r="J840" s="8">
        <f ca="1">IFERROR(__xludf.DUMMYFUNCTION("""COMPUTED_VALUE"""),0)</f>
        <v>0</v>
      </c>
      <c r="K840" s="10" t="str">
        <f ca="1">IFERROR(__xludf.DUMMYFUNCTION("""COMPUTED_VALUE"""),"https://cbs12.com/news/local/henry-williams-arrested-bringing-firearm-to-glades-central-high-school-january-21")</f>
        <v>https://cbs12.com/news/local/henry-williams-arrested-bringing-firearm-to-glades-central-high-school-january-21</v>
      </c>
      <c r="L840" s="8">
        <f ca="1">IFERROR(__xludf.DUMMYFUNCTION("""COMPUTED_VALUE"""),1)</f>
        <v>1</v>
      </c>
      <c r="M840" s="8" t="str">
        <f ca="1">IFERROR(__xludf.DUMMYFUNCTION("""COMPUTED_VALUE"""),"Local")</f>
        <v>Local</v>
      </c>
      <c r="N840" s="8">
        <f ca="1">IFERROR(__xludf.DUMMYFUNCTION("""COMPUTED_VALUE"""),2)</f>
        <v>2</v>
      </c>
      <c r="O840" s="8" t="str">
        <f ca="1">IFERROR(__xludf.DUMMYFUNCTION("""COMPUTED_VALUE"""),"Winter")</f>
        <v>Winter</v>
      </c>
      <c r="P840" s="8" t="str">
        <f ca="1">IFERROR(__xludf.DUMMYFUNCTION("""COMPUTED_VALUE"""),"Belle Glade")</f>
        <v>Belle Glade</v>
      </c>
      <c r="Q840" s="8" t="str">
        <f ca="1">IFERROR(__xludf.DUMMYFUNCTION("""COMPUTED_VALUE"""),"FL")</f>
        <v>FL</v>
      </c>
      <c r="R840" s="8" t="str">
        <f ca="1">IFERROR(__xludf.DUMMYFUNCTION("""COMPUTED_VALUE"""),"High")</f>
        <v>High</v>
      </c>
      <c r="S840" s="8" t="str">
        <f ca="1">IFERROR(__xludf.DUMMYFUNCTION("""COMPUTED_VALUE"""),"Outside on School Property")</f>
        <v>Outside on School Property</v>
      </c>
      <c r="T840" s="8" t="str">
        <f ca="1">IFERROR(__xludf.DUMMYFUNCTION("""COMPUTED_VALUE"""),"Outside on School Property")</f>
        <v>Outside on School Property</v>
      </c>
      <c r="U840" s="8"/>
      <c r="V840" s="8"/>
      <c r="W840" s="8"/>
      <c r="X840" s="8">
        <f ca="1">IFERROR(__xludf.DUMMYFUNCTION("""COMPUTED_VALUE"""),1)</f>
        <v>1</v>
      </c>
      <c r="Y840" s="12" t="str">
        <f ca="1">IFERROR(__xludf.DUMMYFUNCTION("""COMPUTED_VALUE"""),"Shots fired outside, man with gun ran into school")</f>
        <v>Shots fired outside, man with gun ran into school</v>
      </c>
      <c r="Z840" s="12" t="str">
        <f ca="1">IFERROR(__xludf.DUMMYFUNCTION("""COMPUTED_VALUE"""),"According to the Palm Beach County Sheriff's Office, on Jan. 21, they received reports of shots fired near Glades Central High School. A PBSO Aviation Unit saw a man running, jump the fence, and enter the high school. Arrested and charged with trespassing"&amp;" on school property with a firearm.")</f>
        <v>According to the Palm Beach County Sheriff's Office, on Jan. 21, they received reports of shots fired near Glades Central High School. A PBSO Aviation Unit saw a man running, jump the fence, and enter the high school. Arrested and charged with trespassing on school property with a firearm.</v>
      </c>
      <c r="AA840" s="8"/>
      <c r="AB840" s="8"/>
      <c r="AC840" s="8"/>
      <c r="AD840" s="8"/>
      <c r="AE840" s="8" t="str">
        <f ca="1">IFERROR(__xludf.DUMMYFUNCTION("""COMPUTED_VALUE"""),"No")</f>
        <v>No</v>
      </c>
      <c r="AF840" s="8"/>
      <c r="AG840" s="8" t="str">
        <f ca="1">IFERROR(__xludf.DUMMYFUNCTION("""COMPUTED_VALUE"""),"No")</f>
        <v>No</v>
      </c>
      <c r="AH840" s="8" t="str">
        <f ca="1">IFERROR(__xludf.DUMMYFUNCTION("""COMPUTED_VALUE"""),"No")</f>
        <v>No</v>
      </c>
      <c r="AI840" s="8" t="str">
        <f ca="1">IFERROR(__xludf.DUMMYFUNCTION("""COMPUTED_VALUE"""),"No")</f>
        <v>No</v>
      </c>
      <c r="AJ840" s="8" t="str">
        <f ca="1">IFERROR(__xludf.DUMMYFUNCTION("""COMPUTED_VALUE"""),"No")</f>
        <v>No</v>
      </c>
      <c r="AK840" s="8" t="str">
        <f ca="1">IFERROR(__xludf.DUMMYFUNCTION("""COMPUTED_VALUE"""),"No")</f>
        <v>No</v>
      </c>
      <c r="AL840" s="8"/>
      <c r="AM840" s="8" t="str">
        <f ca="1">IFERROR(__xludf.DUMMYFUNCTION("""COMPUTED_VALUE"""),"No")</f>
        <v>No</v>
      </c>
      <c r="AN840" s="8" t="str">
        <f ca="1">IFERROR(__xludf.DUMMYFUNCTION("""COMPUTED_VALUE"""),"Outside")</f>
        <v>Outside</v>
      </c>
      <c r="AO840" s="8"/>
      <c r="AP840" s="8"/>
      <c r="AQ840" s="8"/>
      <c r="AR840" s="8"/>
      <c r="AS840" s="8">
        <f ca="1">IFERROR(__xludf.DUMMYFUNCTION("""COMPUTED_VALUE"""),99)</f>
        <v>99</v>
      </c>
      <c r="AT840" s="8"/>
      <c r="AU840" s="8">
        <f ca="1">IFERROR(__xludf.DUMMYFUNCTION("""COMPUTED_VALUE"""),26.668413)</f>
        <v>26.668413000000001</v>
      </c>
      <c r="AV840" s="8">
        <f ca="1">IFERROR(__xludf.DUMMYFUNCTION("""COMPUTED_VALUE"""),-80.680202)</f>
        <v>-80.680201999999994</v>
      </c>
      <c r="AW840" s="8"/>
      <c r="AX840" s="8">
        <f ca="1">IFERROR(__xludf.DUMMYFUNCTION("""COMPUTED_VALUE"""),33430)</f>
        <v>33430</v>
      </c>
    </row>
    <row r="841" spans="1:50" ht="330" x14ac:dyDescent="0.2">
      <c r="A841" s="8" t="str">
        <f ca="1">IFERROR(__xludf.DUMMYFUNCTION("""COMPUTED_VALUE"""),"20230120MNWAS")</f>
        <v>20230120MNWAS</v>
      </c>
      <c r="B841" s="8">
        <f ca="1">IFERROR(__xludf.DUMMYFUNCTION("""COMPUTED_VALUE"""),1)</f>
        <v>1</v>
      </c>
      <c r="C841" s="8">
        <f ca="1">IFERROR(__xludf.DUMMYFUNCTION("""COMPUTED_VALUE"""),20)</f>
        <v>20</v>
      </c>
      <c r="D841" s="8">
        <f ca="1">IFERROR(__xludf.DUMMYFUNCTION("""COMPUTED_VALUE"""),2023)</f>
        <v>2023</v>
      </c>
      <c r="E841" s="9">
        <f ca="1">IFERROR(__xludf.DUMMYFUNCTION("""COMPUTED_VALUE"""),44946)</f>
        <v>44946</v>
      </c>
      <c r="F841" s="8" t="str">
        <f ca="1">IFERROR(__xludf.DUMMYFUNCTION("""COMPUTED_VALUE"""),"Washington Technology Magnet School")</f>
        <v>Washington Technology Magnet School</v>
      </c>
      <c r="G841" s="8">
        <f ca="1">IFERROR(__xludf.DUMMYFUNCTION("""COMPUTED_VALUE"""),0)</f>
        <v>0</v>
      </c>
      <c r="H841" s="8">
        <f ca="1">IFERROR(__xludf.DUMMYFUNCTION("""COMPUTED_VALUE"""),1)</f>
        <v>1</v>
      </c>
      <c r="I841" s="8">
        <f ca="1">IFERROR(__xludf.DUMMYFUNCTION("""COMPUTED_VALUE"""),1)</f>
        <v>1</v>
      </c>
      <c r="J841" s="8">
        <f ca="1">IFERROR(__xludf.DUMMYFUNCTION("""COMPUTED_VALUE"""),0)</f>
        <v>0</v>
      </c>
      <c r="K841" s="8" t="str">
        <f ca="1">IFERROR(__xludf.DUMMYFUNCTION("""COMPUTED_VALUE"""),"https://www.cbsnews.com/minnesota/news/st-paul-police-arrest-como-park-senior-high-school-student/
https://www.twincities.com/2023/07/24/suspect-charged-in-connection-with-shooting-of-washington-technology-magnet-school-staff-member/
https://www.cbsnews.c"&amp;"om/minnesota/news/shots-fired-near-st-paul-school-for-second-time-this-week/
https://www.fox9.com/news/shots-fired-near-st-paul-school-sends-building-into-lockdown-friday
https://www.kare11.com/article/news/local/st-paul-magnet-school-lockout-after-report"&amp;"s-of-shots-fired/89-28d54fab-814b-491d-8c08-66591919a62f")</f>
        <v>https://www.cbsnews.com/minnesota/news/st-paul-police-arrest-como-park-senior-high-school-student/
https://www.twincities.com/2023/07/24/suspect-charged-in-connection-with-shooting-of-washington-technology-magnet-school-staff-member/
https://www.cbsnews.com/minnesota/news/shots-fired-near-st-paul-school-for-second-time-this-week/
https://www.fox9.com/news/shots-fired-near-st-paul-school-sends-building-into-lockdown-friday
https://www.kare11.com/article/news/local/st-paul-magnet-school-lockout-after-reports-of-shots-fired/89-28d54fab-814b-491d-8c08-66591919a62f</v>
      </c>
      <c r="L841" s="8">
        <f ca="1">IFERROR(__xludf.DUMMYFUNCTION("""COMPUTED_VALUE"""),3)</f>
        <v>3</v>
      </c>
      <c r="M841" s="8" t="str">
        <f ca="1">IFERROR(__xludf.DUMMYFUNCTION("""COMPUTED_VALUE"""),"Local")</f>
        <v>Local</v>
      </c>
      <c r="N841" s="8">
        <f ca="1">IFERROR(__xludf.DUMMYFUNCTION("""COMPUTED_VALUE"""),4)</f>
        <v>4</v>
      </c>
      <c r="O841" s="8" t="str">
        <f ca="1">IFERROR(__xludf.DUMMYFUNCTION("""COMPUTED_VALUE"""),"Winter")</f>
        <v>Winter</v>
      </c>
      <c r="P841" s="8" t="str">
        <f ca="1">IFERROR(__xludf.DUMMYFUNCTION("""COMPUTED_VALUE"""),"Saint Paul")</f>
        <v>Saint Paul</v>
      </c>
      <c r="Q841" s="8" t="str">
        <f ca="1">IFERROR(__xludf.DUMMYFUNCTION("""COMPUTED_VALUE"""),"MN")</f>
        <v>MN</v>
      </c>
      <c r="R841" s="8" t="str">
        <f ca="1">IFERROR(__xludf.DUMMYFUNCTION("""COMPUTED_VALUE"""),"6-12")</f>
        <v>6-12</v>
      </c>
      <c r="S841" s="8" t="str">
        <f ca="1">IFERROR(__xludf.DUMMYFUNCTION("""COMPUTED_VALUE"""),"Front of School")</f>
        <v>Front of School</v>
      </c>
      <c r="T841" s="8" t="str">
        <f ca="1">IFERROR(__xludf.DUMMYFUNCTION("""COMPUTED_VALUE"""),"Outside on School Property")</f>
        <v>Outside on School Property</v>
      </c>
      <c r="U841" s="8" t="str">
        <f ca="1">IFERROR(__xludf.DUMMYFUNCTION("""COMPUTED_VALUE"""),"Yes")</f>
        <v>Yes</v>
      </c>
      <c r="V841" s="8" t="str">
        <f ca="1">IFERROR(__xludf.DUMMYFUNCTION("""COMPUTED_VALUE"""),"Dismissal")</f>
        <v>Dismissal</v>
      </c>
      <c r="W841" s="11">
        <f ca="1">IFERROR(__xludf.DUMMYFUNCTION("""COMPUTED_VALUE"""),0.638888888888888)</f>
        <v>0.63888888888888795</v>
      </c>
      <c r="X841" s="8">
        <f ca="1">IFERROR(__xludf.DUMMYFUNCTION("""COMPUTED_VALUE"""),1)</f>
        <v>1</v>
      </c>
      <c r="Y841" s="12" t="str">
        <f ca="1">IFERROR(__xludf.DUMMYFUNCTION("""COMPUTED_VALUE"""),"Female staff member shot during fight at dismissal. On July 25, Eh Doh Soe, 19, who was charged in connection with the January drive-by shooting outside the Washington Technology Magnet School on Rice Street in St. Paul and with another drive-by shooting "&amp;"less than a week later, allegedly told authorities that he was involved in a string of shootings following the one at the school.")</f>
        <v>Female staff member shot during fight at dismissal. On July 25, Eh Doh Soe, 19, who was charged in connection with the January drive-by shooting outside the Washington Technology Magnet School on Rice Street in St. Paul and with another drive-by shooting less than a week later, allegedly told authorities that he was involved in a string of shootings following the one at the school.</v>
      </c>
      <c r="Z841" s="12" t="str">
        <f ca="1">IFERROR(__xludf.DUMMYFUNCTION("""COMPUTED_VALUE"""),"A staff member at a St. Paul magnet school was grazed in the ear by a shot fired near school grounds Friday following a dispute between two groups of teens. The St. Paul Police Department says the shots were fired near Washington Technology Magnet School "&amp;"just before 3:30 p.m. following a fight between two groups of teens. Officials say school staff stepped in and made one of the groups leave the property. As the group was leaving the area, shots were fired from the vehicle, grazing one staff member in the"&amp;" ear. The staff member was treated at the scene and released. Police say no arrests have been made. Shooter was arrested in October 2023.")</f>
        <v>A staff member at a St. Paul magnet school was grazed in the ear by a shot fired near school grounds Friday following a dispute between two groups of teens. The St. Paul Police Department says the shots were fired near Washington Technology Magnet School just before 3:30 p.m. following a fight between two groups of teens. Officials say school staff stepped in and made one of the groups leave the property. As the group was leaving the area, shots were fired from the vehicle, grazing one staff member in the ear. The staff member was treated at the scene and released. Police say no arrests have been made. Shooter was arrested in October 2023.</v>
      </c>
      <c r="AA841" s="8" t="str">
        <f ca="1">IFERROR(__xludf.DUMMYFUNCTION("""COMPUTED_VALUE"""),"Escalation of Dispute")</f>
        <v>Escalation of Dispute</v>
      </c>
      <c r="AB841" s="8" t="str">
        <f ca="1">IFERROR(__xludf.DUMMYFUNCTION("""COMPUTED_VALUE"""),"Spontaneous")</f>
        <v>Spontaneous</v>
      </c>
      <c r="AC841" s="8" t="str">
        <f ca="1">IFERROR(__xludf.DUMMYFUNCTION("""COMPUTED_VALUE"""),"Yes")</f>
        <v>Yes</v>
      </c>
      <c r="AD841" s="8" t="str">
        <f ca="1">IFERROR(__xludf.DUMMYFUNCTION("""COMPUTED_VALUE"""),"Both")</f>
        <v>Both</v>
      </c>
      <c r="AE841" s="8" t="str">
        <f ca="1">IFERROR(__xludf.DUMMYFUNCTION("""COMPUTED_VALUE"""),"Yes")</f>
        <v>Yes</v>
      </c>
      <c r="AF841" s="8"/>
      <c r="AG841" s="8" t="str">
        <f ca="1">IFERROR(__xludf.DUMMYFUNCTION("""COMPUTED_VALUE"""),"No")</f>
        <v>No</v>
      </c>
      <c r="AH841" s="8" t="str">
        <f ca="1">IFERROR(__xludf.DUMMYFUNCTION("""COMPUTED_VALUE"""),"No")</f>
        <v>No</v>
      </c>
      <c r="AI841" s="8" t="str">
        <f ca="1">IFERROR(__xludf.DUMMYFUNCTION("""COMPUTED_VALUE"""),"No")</f>
        <v>No</v>
      </c>
      <c r="AJ841" s="8"/>
      <c r="AK841" s="8" t="str">
        <f ca="1">IFERROR(__xludf.DUMMYFUNCTION("""COMPUTED_VALUE"""),"No")</f>
        <v>No</v>
      </c>
      <c r="AL841" s="8"/>
      <c r="AM841" s="8" t="str">
        <f ca="1">IFERROR(__xludf.DUMMYFUNCTION("""COMPUTED_VALUE"""),"No")</f>
        <v>No</v>
      </c>
      <c r="AN841" s="8" t="str">
        <f ca="1">IFERROR(__xludf.DUMMYFUNCTION("""COMPUTED_VALUE"""),"Outside")</f>
        <v>Outside</v>
      </c>
      <c r="AO841" s="8"/>
      <c r="AP841" s="8"/>
      <c r="AQ841" s="8"/>
      <c r="AR841" s="8" t="str">
        <f ca="1">IFERROR(__xludf.DUMMYFUNCTION("""COMPUTED_VALUE"""),"Outside/Off-Property")</f>
        <v>Outside/Off-Property</v>
      </c>
      <c r="AS841" s="8">
        <f ca="1">IFERROR(__xludf.DUMMYFUNCTION("""COMPUTED_VALUE"""),99)</f>
        <v>99</v>
      </c>
      <c r="AT841" s="8" t="str">
        <f ca="1">IFERROR(__xludf.DUMMYFUNCTION("""COMPUTED_VALUE"""),"Yes")</f>
        <v>Yes</v>
      </c>
      <c r="AU841" s="8">
        <f ca="1">IFERROR(__xludf.DUMMYFUNCTION("""COMPUTED_VALUE"""),44.985684)</f>
        <v>44.985683999999999</v>
      </c>
      <c r="AV841" s="8">
        <f ca="1">IFERROR(__xludf.DUMMYFUNCTION("""COMPUTED_VALUE"""),-93.110674)</f>
        <v>-93.110674000000003</v>
      </c>
      <c r="AW841" s="8"/>
      <c r="AX841" s="8">
        <f ca="1">IFERROR(__xludf.DUMMYFUNCTION("""COMPUTED_VALUE"""),55117)</f>
        <v>55117</v>
      </c>
    </row>
    <row r="842" spans="1:50" ht="45" x14ac:dyDescent="0.2">
      <c r="A842" s="8" t="str">
        <f ca="1">IFERROR(__xludf.DUMMYFUNCTION("""COMPUTED_VALUE"""),"20230119NYEAB")</f>
        <v>20230119NYEAB</v>
      </c>
      <c r="B842" s="8">
        <f ca="1">IFERROR(__xludf.DUMMYFUNCTION("""COMPUTED_VALUE"""),1)</f>
        <v>1</v>
      </c>
      <c r="C842" s="8">
        <f ca="1">IFERROR(__xludf.DUMMYFUNCTION("""COMPUTED_VALUE"""),19)</f>
        <v>19</v>
      </c>
      <c r="D842" s="8">
        <f ca="1">IFERROR(__xludf.DUMMYFUNCTION("""COMPUTED_VALUE"""),2023)</f>
        <v>2023</v>
      </c>
      <c r="E842" s="9">
        <f ca="1">IFERROR(__xludf.DUMMYFUNCTION("""COMPUTED_VALUE"""),44945)</f>
        <v>44945</v>
      </c>
      <c r="F842" s="8" t="str">
        <f ca="1">IFERROR(__xludf.DUMMYFUNCTION("""COMPUTED_VALUE"""),"Eagle Academy Charter")</f>
        <v>Eagle Academy Charter</v>
      </c>
      <c r="G842" s="8">
        <f ca="1">IFERROR(__xludf.DUMMYFUNCTION("""COMPUTED_VALUE"""),0)</f>
        <v>0</v>
      </c>
      <c r="H842" s="8">
        <f ca="1">IFERROR(__xludf.DUMMYFUNCTION("""COMPUTED_VALUE"""),1)</f>
        <v>1</v>
      </c>
      <c r="I842" s="8">
        <f ca="1">IFERROR(__xludf.DUMMYFUNCTION("""COMPUTED_VALUE"""),1)</f>
        <v>1</v>
      </c>
      <c r="J842" s="8">
        <f ca="1">IFERROR(__xludf.DUMMYFUNCTION("""COMPUTED_VALUE"""),0)</f>
        <v>0</v>
      </c>
      <c r="K842" s="10" t="str">
        <f ca="1">IFERROR(__xludf.DUMMYFUNCTION("""COMPUTED_VALUE"""),"https://bronx.news12.com/teen-shot-another-arrested-in-shooting-outside-eagle-academy
https://pix11.com/news/local-news/brooklyn/teen-shot-after-leaving-basketball-game-at-brooklyn-school-police-say/")</f>
        <v>https://bronx.news12.com/teen-shot-another-arrested-in-shooting-outside-eagle-academy
https://pix11.com/news/local-news/brooklyn/teen-shot-after-leaving-basketball-game-at-brooklyn-school-police-say/</v>
      </c>
      <c r="L842" s="8">
        <f ca="1">IFERROR(__xludf.DUMMYFUNCTION("""COMPUTED_VALUE"""),3)</f>
        <v>3</v>
      </c>
      <c r="M842" s="8" t="str">
        <f ca="1">IFERROR(__xludf.DUMMYFUNCTION("""COMPUTED_VALUE"""),"Local")</f>
        <v>Local</v>
      </c>
      <c r="N842" s="8">
        <f ca="1">IFERROR(__xludf.DUMMYFUNCTION("""COMPUTED_VALUE"""),4)</f>
        <v>4</v>
      </c>
      <c r="O842" s="8" t="str">
        <f ca="1">IFERROR(__xludf.DUMMYFUNCTION("""COMPUTED_VALUE"""),"Winter")</f>
        <v>Winter</v>
      </c>
      <c r="P842" s="8" t="str">
        <f ca="1">IFERROR(__xludf.DUMMYFUNCTION("""COMPUTED_VALUE"""),"Brooklyn")</f>
        <v>Brooklyn</v>
      </c>
      <c r="Q842" s="8" t="str">
        <f ca="1">IFERROR(__xludf.DUMMYFUNCTION("""COMPUTED_VALUE"""),"NY")</f>
        <v>NY</v>
      </c>
      <c r="R842" s="8" t="str">
        <f ca="1">IFERROR(__xludf.DUMMYFUNCTION("""COMPUTED_VALUE"""),"High")</f>
        <v>High</v>
      </c>
      <c r="S842" s="8" t="str">
        <f ca="1">IFERROR(__xludf.DUMMYFUNCTION("""COMPUTED_VALUE"""),"Front of School")</f>
        <v>Front of School</v>
      </c>
      <c r="T842" s="8" t="str">
        <f ca="1">IFERROR(__xludf.DUMMYFUNCTION("""COMPUTED_VALUE"""),"Outside on School Property")</f>
        <v>Outside on School Property</v>
      </c>
      <c r="U842" s="8" t="str">
        <f ca="1">IFERROR(__xludf.DUMMYFUNCTION("""COMPUTED_VALUE"""),"No")</f>
        <v>No</v>
      </c>
      <c r="V842" s="8" t="str">
        <f ca="1">IFERROR(__xludf.DUMMYFUNCTION("""COMPUTED_VALUE"""),"Sport Event")</f>
        <v>Sport Event</v>
      </c>
      <c r="W842" s="11">
        <f ca="1">IFERROR(__xludf.DUMMYFUNCTION("""COMPUTED_VALUE"""),0.868055555555555)</f>
        <v>0.86805555555555503</v>
      </c>
      <c r="X842" s="8">
        <f ca="1">IFERROR(__xludf.DUMMYFUNCTION("""COMPUTED_VALUE"""),1)</f>
        <v>1</v>
      </c>
      <c r="Y842" s="12" t="str">
        <f ca="1">IFERROR(__xludf.DUMMYFUNCTION("""COMPUTED_VALUE"""),"Student shot leaving basketball game")</f>
        <v>Student shot leaving basketball game</v>
      </c>
      <c r="Z842" s="12" t="str">
        <f ca="1">IFERROR(__xludf.DUMMYFUNCTION("""COMPUTED_VALUE"""),"15-year-old student was shot by a 17-year-old during a dispute leaving the high school basketball game. Shooter was taken into custody at the scene.")</f>
        <v>15-year-old student was shot by a 17-year-old during a dispute leaving the high school basketball game. Shooter was taken into custody at the scene.</v>
      </c>
      <c r="AA842" s="8" t="str">
        <f ca="1">IFERROR(__xludf.DUMMYFUNCTION("""COMPUTED_VALUE"""),"Escalation of Dispute")</f>
        <v>Escalation of Dispute</v>
      </c>
      <c r="AB842" s="8"/>
      <c r="AC842" s="8" t="str">
        <f ca="1">IFERROR(__xludf.DUMMYFUNCTION("""COMPUTED_VALUE"""),"Yes")</f>
        <v>Yes</v>
      </c>
      <c r="AD842" s="8" t="str">
        <f ca="1">IFERROR(__xludf.DUMMYFUNCTION("""COMPUTED_VALUE"""),"Victims Targeted")</f>
        <v>Victims Targeted</v>
      </c>
      <c r="AE842" s="8" t="str">
        <f ca="1">IFERROR(__xludf.DUMMYFUNCTION("""COMPUTED_VALUE"""),"No")</f>
        <v>No</v>
      </c>
      <c r="AF842" s="8"/>
      <c r="AG842" s="8" t="str">
        <f ca="1">IFERROR(__xludf.DUMMYFUNCTION("""COMPUTED_VALUE"""),"No")</f>
        <v>No</v>
      </c>
      <c r="AH842" s="8" t="str">
        <f ca="1">IFERROR(__xludf.DUMMYFUNCTION("""COMPUTED_VALUE"""),"No")</f>
        <v>No</v>
      </c>
      <c r="AI842" s="8" t="str">
        <f ca="1">IFERROR(__xludf.DUMMYFUNCTION("""COMPUTED_VALUE"""),"No")</f>
        <v>No</v>
      </c>
      <c r="AJ842" s="8"/>
      <c r="AK842" s="8" t="str">
        <f ca="1">IFERROR(__xludf.DUMMYFUNCTION("""COMPUTED_VALUE"""),"No")</f>
        <v>No</v>
      </c>
      <c r="AL842" s="8"/>
      <c r="AM842" s="8" t="str">
        <f ca="1">IFERROR(__xludf.DUMMYFUNCTION("""COMPUTED_VALUE"""),"No")</f>
        <v>No</v>
      </c>
      <c r="AN842" s="8" t="str">
        <f ca="1">IFERROR(__xludf.DUMMYFUNCTION("""COMPUTED_VALUE"""),"Outside")</f>
        <v>Outside</v>
      </c>
      <c r="AO842" s="8"/>
      <c r="AP842" s="8"/>
      <c r="AQ842" s="8"/>
      <c r="AR842" s="8" t="str">
        <f ca="1">IFERROR(__xludf.DUMMYFUNCTION("""COMPUTED_VALUE"""),"Outside/Off-Property")</f>
        <v>Outside/Off-Property</v>
      </c>
      <c r="AS842" s="8">
        <f ca="1">IFERROR(__xludf.DUMMYFUNCTION("""COMPUTED_VALUE"""),99)</f>
        <v>99</v>
      </c>
      <c r="AT842" s="8"/>
      <c r="AU842" s="8">
        <f ca="1">IFERROR(__xludf.DUMMYFUNCTION("""COMPUTED_VALUE"""),40.677797)</f>
        <v>40.677796999999998</v>
      </c>
      <c r="AV842" s="8">
        <f ca="1">IFERROR(__xludf.DUMMYFUNCTION("""COMPUTED_VALUE"""),-73.915727)</f>
        <v>-73.915727000000004</v>
      </c>
      <c r="AW842" s="8"/>
      <c r="AX842" s="8">
        <f ca="1">IFERROR(__xludf.DUMMYFUNCTION("""COMPUTED_VALUE"""),11233)</f>
        <v>11233</v>
      </c>
    </row>
    <row r="843" spans="1:50" ht="60" x14ac:dyDescent="0.2">
      <c r="A843" s="8" t="str">
        <f ca="1">IFERROR(__xludf.DUMMYFUNCTION("""COMPUTED_VALUE"""),"20230118OKDED")</f>
        <v>20230118OKDED</v>
      </c>
      <c r="B843" s="8">
        <f ca="1">IFERROR(__xludf.DUMMYFUNCTION("""COMPUTED_VALUE"""),1)</f>
        <v>1</v>
      </c>
      <c r="C843" s="8">
        <f ca="1">IFERROR(__xludf.DUMMYFUNCTION("""COMPUTED_VALUE"""),18)</f>
        <v>18</v>
      </c>
      <c r="D843" s="8">
        <f ca="1">IFERROR(__xludf.DUMMYFUNCTION("""COMPUTED_VALUE"""),2023)</f>
        <v>2023</v>
      </c>
      <c r="E843" s="9">
        <f ca="1">IFERROR(__xludf.DUMMYFUNCTION("""COMPUTED_VALUE"""),44944)</f>
        <v>44944</v>
      </c>
      <c r="F843" s="8" t="str">
        <f ca="1">IFERROR(__xludf.DUMMYFUNCTION("""COMPUTED_VALUE"""),"Del City High School")</f>
        <v>Del City High School</v>
      </c>
      <c r="G843" s="8">
        <f ca="1">IFERROR(__xludf.DUMMYFUNCTION("""COMPUTED_VALUE"""),0)</f>
        <v>0</v>
      </c>
      <c r="H843" s="8">
        <f ca="1">IFERROR(__xludf.DUMMYFUNCTION("""COMPUTED_VALUE"""),1)</f>
        <v>1</v>
      </c>
      <c r="I843" s="8">
        <f ca="1">IFERROR(__xludf.DUMMYFUNCTION("""COMPUTED_VALUE"""),1)</f>
        <v>1</v>
      </c>
      <c r="J843" s="8">
        <f ca="1">IFERROR(__xludf.DUMMYFUNCTION("""COMPUTED_VALUE"""),0)</f>
        <v>0</v>
      </c>
      <c r="K843" s="10" t="str">
        <f ca="1">IFERROR(__xludf.DUMMYFUNCTION("""COMPUTED_VALUE"""),"https://okcfox.com/news/local/arrest-made-in-del-city-high-school-basketball-game-shooting-mid-del-schools-del-city-police-oklahoma-city-oklahoma-county-detention-center-gunshots-fired-at-high-school-basketball-game")</f>
        <v>https://okcfox.com/news/local/arrest-made-in-del-city-high-school-basketball-game-shooting-mid-del-schools-del-city-police-oklahoma-city-oklahoma-county-detention-center-gunshots-fired-at-high-school-basketball-game</v>
      </c>
      <c r="L843" s="8">
        <f ca="1">IFERROR(__xludf.DUMMYFUNCTION("""COMPUTED_VALUE"""),10)</f>
        <v>10</v>
      </c>
      <c r="M843" s="8" t="str">
        <f ca="1">IFERROR(__xludf.DUMMYFUNCTION("""COMPUTED_VALUE"""),"National")</f>
        <v>National</v>
      </c>
      <c r="N843" s="8">
        <f ca="1">IFERROR(__xludf.DUMMYFUNCTION("""COMPUTED_VALUE"""),4)</f>
        <v>4</v>
      </c>
      <c r="O843" s="8" t="str">
        <f ca="1">IFERROR(__xludf.DUMMYFUNCTION("""COMPUTED_VALUE"""),"Winter")</f>
        <v>Winter</v>
      </c>
      <c r="P843" s="8" t="str">
        <f ca="1">IFERROR(__xludf.DUMMYFUNCTION("""COMPUTED_VALUE"""),"Del City")</f>
        <v>Del City</v>
      </c>
      <c r="Q843" s="8" t="str">
        <f ca="1">IFERROR(__xludf.DUMMYFUNCTION("""COMPUTED_VALUE"""),"OK")</f>
        <v>OK</v>
      </c>
      <c r="R843" s="8" t="str">
        <f ca="1">IFERROR(__xludf.DUMMYFUNCTION("""COMPUTED_VALUE"""),"High")</f>
        <v>High</v>
      </c>
      <c r="S843" s="8" t="str">
        <f ca="1">IFERROR(__xludf.DUMMYFUNCTION("""COMPUTED_VALUE"""),"Gym")</f>
        <v>Gym</v>
      </c>
      <c r="T843" s="8" t="str">
        <f ca="1">IFERROR(__xludf.DUMMYFUNCTION("""COMPUTED_VALUE"""),"Inside School Building")</f>
        <v>Inside School Building</v>
      </c>
      <c r="U843" s="8" t="str">
        <f ca="1">IFERROR(__xludf.DUMMYFUNCTION("""COMPUTED_VALUE"""),"No")</f>
        <v>No</v>
      </c>
      <c r="V843" s="8" t="str">
        <f ca="1">IFERROR(__xludf.DUMMYFUNCTION("""COMPUTED_VALUE"""),"Sport Event")</f>
        <v>Sport Event</v>
      </c>
      <c r="W843" s="11">
        <f ca="1">IFERROR(__xludf.DUMMYFUNCTION("""COMPUTED_VALUE"""),0.8125)</f>
        <v>0.8125</v>
      </c>
      <c r="X843" s="8">
        <f ca="1">IFERROR(__xludf.DUMMYFUNCTION("""COMPUTED_VALUE"""),1)</f>
        <v>1</v>
      </c>
      <c r="Y843" s="12" t="str">
        <f ca="1">IFERROR(__xludf.DUMMYFUNCTION("""COMPUTED_VALUE"""),"Shots fired in gym during basketball game")</f>
        <v>Shots fired in gym during basketball game</v>
      </c>
      <c r="Z843" s="12" t="str">
        <f ca="1">IFERROR(__xludf.DUMMYFUNCTION("""COMPUTED_VALUE"""),"Multiple shots fired inside the gym at the end of a varsity basketball game. One injured. Shooter fled and was arrested. Hundreds of people were inside the gym when shots were fired.")</f>
        <v>Multiple shots fired inside the gym at the end of a varsity basketball game. One injured. Shooter fled and was arrested. Hundreds of people were inside the gym when shots were fired.</v>
      </c>
      <c r="AA843" s="8"/>
      <c r="AB843" s="8"/>
      <c r="AC843" s="8" t="str">
        <f ca="1">IFERROR(__xludf.DUMMYFUNCTION("""COMPUTED_VALUE"""),"Yes")</f>
        <v>Yes</v>
      </c>
      <c r="AD843" s="8"/>
      <c r="AE843" s="8"/>
      <c r="AF843" s="8"/>
      <c r="AG843" s="8" t="str">
        <f ca="1">IFERROR(__xludf.DUMMYFUNCTION("""COMPUTED_VALUE"""),"No")</f>
        <v>No</v>
      </c>
      <c r="AH843" s="8" t="str">
        <f ca="1">IFERROR(__xludf.DUMMYFUNCTION("""COMPUTED_VALUE"""),"No")</f>
        <v>No</v>
      </c>
      <c r="AI843" s="8" t="str">
        <f ca="1">IFERROR(__xludf.DUMMYFUNCTION("""COMPUTED_VALUE"""),"No")</f>
        <v>No</v>
      </c>
      <c r="AJ843" s="8" t="str">
        <f ca="1">IFERROR(__xludf.DUMMYFUNCTION("""COMPUTED_VALUE"""),"No")</f>
        <v>No</v>
      </c>
      <c r="AK843" s="8" t="str">
        <f ca="1">IFERROR(__xludf.DUMMYFUNCTION("""COMPUTED_VALUE"""),"No")</f>
        <v>No</v>
      </c>
      <c r="AL843" s="8"/>
      <c r="AM843" s="8" t="str">
        <f ca="1">IFERROR(__xludf.DUMMYFUNCTION("""COMPUTED_VALUE"""),"No")</f>
        <v>No</v>
      </c>
      <c r="AN843" s="8" t="str">
        <f ca="1">IFERROR(__xludf.DUMMYFUNCTION("""COMPUTED_VALUE"""),"Outside")</f>
        <v>Outside</v>
      </c>
      <c r="AO843" s="8"/>
      <c r="AP843" s="8"/>
      <c r="AQ843" s="8"/>
      <c r="AR843" s="8" t="str">
        <f ca="1">IFERROR(__xludf.DUMMYFUNCTION("""COMPUTED_VALUE"""),"Outside/Off-Property")</f>
        <v>Outside/Off-Property</v>
      </c>
      <c r="AS843" s="8">
        <f ca="1">IFERROR(__xludf.DUMMYFUNCTION("""COMPUTED_VALUE"""),4)</f>
        <v>4</v>
      </c>
      <c r="AT843" s="8"/>
      <c r="AU843" s="8">
        <f ca="1">IFERROR(__xludf.DUMMYFUNCTION("""COMPUTED_VALUE"""),35.44504)</f>
        <v>35.445039999999999</v>
      </c>
      <c r="AV843" s="8">
        <f ca="1">IFERROR(__xludf.DUMMYFUNCTION("""COMPUTED_VALUE"""),-97.440288)</f>
        <v>-97.440287999999995</v>
      </c>
      <c r="AW843" s="8"/>
      <c r="AX843" s="8">
        <f ca="1">IFERROR(__xludf.DUMMYFUNCTION("""COMPUTED_VALUE"""),73115)</f>
        <v>73115</v>
      </c>
    </row>
    <row r="844" spans="1:50" ht="165" x14ac:dyDescent="0.2">
      <c r="A844" s="8" t="str">
        <f ca="1">IFERROR(__xludf.DUMMYFUNCTION("""COMPUTED_VALUE"""),"20230118NYCAQ")</f>
        <v>20230118NYCAQ</v>
      </c>
      <c r="B844" s="8">
        <f ca="1">IFERROR(__xludf.DUMMYFUNCTION("""COMPUTED_VALUE"""),1)</f>
        <v>1</v>
      </c>
      <c r="C844" s="8">
        <f ca="1">IFERROR(__xludf.DUMMYFUNCTION("""COMPUTED_VALUE"""),18)</f>
        <v>18</v>
      </c>
      <c r="D844" s="8">
        <f ca="1">IFERROR(__xludf.DUMMYFUNCTION("""COMPUTED_VALUE"""),2023)</f>
        <v>2023</v>
      </c>
      <c r="E844" s="9">
        <f ca="1">IFERROR(__xludf.DUMMYFUNCTION("""COMPUTED_VALUE"""),44944)</f>
        <v>44944</v>
      </c>
      <c r="F844" s="8" t="str">
        <f ca="1">IFERROR(__xludf.DUMMYFUNCTION("""COMPUTED_VALUE"""),"Q492 Campus Magnet High School")</f>
        <v>Q492 Campus Magnet High School</v>
      </c>
      <c r="G844" s="8">
        <f ca="1">IFERROR(__xludf.DUMMYFUNCTION("""COMPUTED_VALUE"""),0)</f>
        <v>0</v>
      </c>
      <c r="H844" s="8">
        <f ca="1">IFERROR(__xludf.DUMMYFUNCTION("""COMPUTED_VALUE"""),2)</f>
        <v>2</v>
      </c>
      <c r="I844" s="8">
        <f ca="1">IFERROR(__xludf.DUMMYFUNCTION("""COMPUTED_VALUE"""),2)</f>
        <v>2</v>
      </c>
      <c r="J844" s="8">
        <f ca="1">IFERROR(__xludf.DUMMYFUNCTION("""COMPUTED_VALUE"""),0)</f>
        <v>0</v>
      </c>
      <c r="K844" s="10" t="str">
        <f ca="1">IFERROR(__xludf.DUMMYFUNCTION("""COMPUTED_VALUE"""),"https://pix11.com/news/local-news/queens/boy-13-arrested-in-shooting-of-2-other-teens-outside-queens-school-police/")</f>
        <v>https://pix11.com/news/local-news/queens/boy-13-arrested-in-shooting-of-2-other-teens-outside-queens-school-police/</v>
      </c>
      <c r="L844" s="8">
        <f ca="1">IFERROR(__xludf.DUMMYFUNCTION("""COMPUTED_VALUE"""),10)</f>
        <v>10</v>
      </c>
      <c r="M844" s="8" t="str">
        <f ca="1">IFERROR(__xludf.DUMMYFUNCTION("""COMPUTED_VALUE"""),"Regional")</f>
        <v>Regional</v>
      </c>
      <c r="N844" s="8">
        <f ca="1">IFERROR(__xludf.DUMMYFUNCTION("""COMPUTED_VALUE"""),4)</f>
        <v>4</v>
      </c>
      <c r="O844" s="8" t="str">
        <f ca="1">IFERROR(__xludf.DUMMYFUNCTION("""COMPUTED_VALUE"""),"Winter")</f>
        <v>Winter</v>
      </c>
      <c r="P844" s="8" t="str">
        <f ca="1">IFERROR(__xludf.DUMMYFUNCTION("""COMPUTED_VALUE"""),"Queens")</f>
        <v>Queens</v>
      </c>
      <c r="Q844" s="8" t="str">
        <f ca="1">IFERROR(__xludf.DUMMYFUNCTION("""COMPUTED_VALUE"""),"NY")</f>
        <v>NY</v>
      </c>
      <c r="R844" s="8" t="str">
        <f ca="1">IFERROR(__xludf.DUMMYFUNCTION("""COMPUTED_VALUE"""),"High")</f>
        <v>High</v>
      </c>
      <c r="S844" s="8" t="str">
        <f ca="1">IFERROR(__xludf.DUMMYFUNCTION("""COMPUTED_VALUE"""),"Front of School")</f>
        <v>Front of School</v>
      </c>
      <c r="T844" s="8" t="str">
        <f ca="1">IFERROR(__xludf.DUMMYFUNCTION("""COMPUTED_VALUE"""),"Outside on School Property")</f>
        <v>Outside on School Property</v>
      </c>
      <c r="U844" s="8" t="str">
        <f ca="1">IFERROR(__xludf.DUMMYFUNCTION("""COMPUTED_VALUE"""),"Yes")</f>
        <v>Yes</v>
      </c>
      <c r="V844" s="8" t="str">
        <f ca="1">IFERROR(__xludf.DUMMYFUNCTION("""COMPUTED_VALUE"""),"Dismissal")</f>
        <v>Dismissal</v>
      </c>
      <c r="W844" s="11">
        <f ca="1">IFERROR(__xludf.DUMMYFUNCTION("""COMPUTED_VALUE"""),0.701388888888888)</f>
        <v>0.70138888888888795</v>
      </c>
      <c r="X844" s="8">
        <f ca="1">IFERROR(__xludf.DUMMYFUNCTION("""COMPUTED_VALUE"""),1)</f>
        <v>1</v>
      </c>
      <c r="Y844" s="12" t="str">
        <f ca="1">IFERROR(__xludf.DUMMYFUNCTION("""COMPUTED_VALUE"""),"Teen shot two students during fight at dismissal")</f>
        <v>Teen shot two students during fight at dismissal</v>
      </c>
      <c r="Z844" s="12" t="str">
        <f ca="1">IFERROR(__xludf.DUMMYFUNCTION("""COMPUTED_VALUE"""),"Two teenagers were shot during a large fight near a Queens high school Wednesday — and a 13-year-old boy was taken into custody after the mayhem, police and sources said. A 16-year-old girl was shot in the ankle and a 14-year-old boy suffered a gunshot wo"&amp;"und to the leg around 4:50 p.m. outside of Campus Magnet High School in Cambria Heights, where they are both students , according to police and sources. Sources said police saw the 13-year-old drop a gun as he tried to run away from the scene. The weapon "&amp;"was recovered by cops and the boy was taken into custody for questioning, police and sources said.")</f>
        <v>Two teenagers were shot during a large fight near a Queens high school Wednesday — and a 13-year-old boy was taken into custody after the mayhem, police and sources said. A 16-year-old girl was shot in the ankle and a 14-year-old boy suffered a gunshot wound to the leg around 4:50 p.m. outside of Campus Magnet High School in Cambria Heights, where they are both students , according to police and sources. Sources said police saw the 13-year-old drop a gun as he tried to run away from the scene. The weapon was recovered by cops and the boy was taken into custody for questioning, police and sources said.</v>
      </c>
      <c r="AA844" s="8" t="str">
        <f ca="1">IFERROR(__xludf.DUMMYFUNCTION("""COMPUTED_VALUE"""),"Escalation of Dispute")</f>
        <v>Escalation of Dispute</v>
      </c>
      <c r="AB844" s="8"/>
      <c r="AC844" s="8" t="str">
        <f ca="1">IFERROR(__xludf.DUMMYFUNCTION("""COMPUTED_VALUE"""),"Yes")</f>
        <v>Yes</v>
      </c>
      <c r="AD844" s="8" t="str">
        <f ca="1">IFERROR(__xludf.DUMMYFUNCTION("""COMPUTED_VALUE"""),"Both")</f>
        <v>Both</v>
      </c>
      <c r="AE844" s="8"/>
      <c r="AF844" s="8"/>
      <c r="AG844" s="8" t="str">
        <f ca="1">IFERROR(__xludf.DUMMYFUNCTION("""COMPUTED_VALUE"""),"No")</f>
        <v>No</v>
      </c>
      <c r="AH844" s="8" t="str">
        <f ca="1">IFERROR(__xludf.DUMMYFUNCTION("""COMPUTED_VALUE"""),"No")</f>
        <v>No</v>
      </c>
      <c r="AI844" s="8" t="str">
        <f ca="1">IFERROR(__xludf.DUMMYFUNCTION("""COMPUTED_VALUE"""),"No")</f>
        <v>No</v>
      </c>
      <c r="AJ844" s="8" t="str">
        <f ca="1">IFERROR(__xludf.DUMMYFUNCTION("""COMPUTED_VALUE"""),"No")</f>
        <v>No</v>
      </c>
      <c r="AK844" s="8" t="str">
        <f ca="1">IFERROR(__xludf.DUMMYFUNCTION("""COMPUTED_VALUE"""),"No")</f>
        <v>No</v>
      </c>
      <c r="AL844" s="8"/>
      <c r="AM844" s="8" t="str">
        <f ca="1">IFERROR(__xludf.DUMMYFUNCTION("""COMPUTED_VALUE"""),"No")</f>
        <v>No</v>
      </c>
      <c r="AN844" s="8" t="str">
        <f ca="1">IFERROR(__xludf.DUMMYFUNCTION("""COMPUTED_VALUE"""),"Outside")</f>
        <v>Outside</v>
      </c>
      <c r="AO844" s="8"/>
      <c r="AP844" s="8"/>
      <c r="AQ844" s="8"/>
      <c r="AR844" s="8" t="str">
        <f ca="1">IFERROR(__xludf.DUMMYFUNCTION("""COMPUTED_VALUE"""),"Outside/Off-Property")</f>
        <v>Outside/Off-Property</v>
      </c>
      <c r="AS844" s="8">
        <f ca="1">IFERROR(__xludf.DUMMYFUNCTION("""COMPUTED_VALUE"""),99)</f>
        <v>99</v>
      </c>
      <c r="AT844" s="8"/>
      <c r="AU844" s="8">
        <f ca="1">IFERROR(__xludf.DUMMYFUNCTION("""COMPUTED_VALUE"""),40.697784)</f>
        <v>40.697783999999999</v>
      </c>
      <c r="AV844" s="8">
        <f ca="1">IFERROR(__xludf.DUMMYFUNCTION("""COMPUTED_VALUE"""),-73.745875)</f>
        <v>-73.745874999999998</v>
      </c>
      <c r="AW844" s="8"/>
      <c r="AX844" s="8">
        <f ca="1">IFERROR(__xludf.DUMMYFUNCTION("""COMPUTED_VALUE"""),11411)</f>
        <v>11411</v>
      </c>
    </row>
    <row r="845" spans="1:50" ht="225" x14ac:dyDescent="0.2">
      <c r="A845" s="8" t="str">
        <f ca="1">IFERROR(__xludf.DUMMYFUNCTION("""COMPUTED_VALUE"""),"20230117FLMAB")</f>
        <v>20230117FLMAB</v>
      </c>
      <c r="B845" s="8">
        <f ca="1">IFERROR(__xludf.DUMMYFUNCTION("""COMPUTED_VALUE"""),1)</f>
        <v>1</v>
      </c>
      <c r="C845" s="8">
        <f ca="1">IFERROR(__xludf.DUMMYFUNCTION("""COMPUTED_VALUE"""),17)</f>
        <v>17</v>
      </c>
      <c r="D845" s="8">
        <f ca="1">IFERROR(__xludf.DUMMYFUNCTION("""COMPUTED_VALUE"""),2023)</f>
        <v>2023</v>
      </c>
      <c r="E845" s="9">
        <f ca="1">IFERROR(__xludf.DUMMYFUNCTION("""COMPUTED_VALUE"""),44943)</f>
        <v>44943</v>
      </c>
      <c r="F845" s="8" t="str">
        <f ca="1">IFERROR(__xludf.DUMMYFUNCTION("""COMPUTED_VALUE"""),"Mantatee County School Bus")</f>
        <v>Mantatee County School Bus</v>
      </c>
      <c r="G845" s="8">
        <f ca="1">IFERROR(__xludf.DUMMYFUNCTION("""COMPUTED_VALUE"""),0)</f>
        <v>0</v>
      </c>
      <c r="H845" s="8">
        <f ca="1">IFERROR(__xludf.DUMMYFUNCTION("""COMPUTED_VALUE"""),0)</f>
        <v>0</v>
      </c>
      <c r="I845" s="8">
        <f ca="1">IFERROR(__xludf.DUMMYFUNCTION("""COMPUTED_VALUE"""),0)</f>
        <v>0</v>
      </c>
      <c r="J845" s="8">
        <f ca="1">IFERROR(__xludf.DUMMYFUNCTION("""COMPUTED_VALUE"""),0)</f>
        <v>0</v>
      </c>
      <c r="K845" s="10" t="str">
        <f ca="1">IFERROR(__xludf.DUMMYFUNCTION("""COMPUTED_VALUE"""),"https://www.wtsp.com/article/news/local/manateecounty/manatee-county-school-buses-shot-bb-guns/67-a515a957-59ce-4552-9cb7-3897ddd4f919")</f>
        <v>https://www.wtsp.com/article/news/local/manateecounty/manatee-county-school-buses-shot-bb-guns/67-a515a957-59ce-4552-9cb7-3897ddd4f919</v>
      </c>
      <c r="L845" s="8">
        <f ca="1">IFERROR(__xludf.DUMMYFUNCTION("""COMPUTED_VALUE"""),10)</f>
        <v>10</v>
      </c>
      <c r="M845" s="8" t="str">
        <f ca="1">IFERROR(__xludf.DUMMYFUNCTION("""COMPUTED_VALUE"""),"Regional")</f>
        <v>Regional</v>
      </c>
      <c r="N845" s="8">
        <f ca="1">IFERROR(__xludf.DUMMYFUNCTION("""COMPUTED_VALUE"""),4)</f>
        <v>4</v>
      </c>
      <c r="O845" s="8" t="str">
        <f ca="1">IFERROR(__xludf.DUMMYFUNCTION("""COMPUTED_VALUE"""),"Winter")</f>
        <v>Winter</v>
      </c>
      <c r="P845" s="8" t="str">
        <f ca="1">IFERROR(__xludf.DUMMYFUNCTION("""COMPUTED_VALUE"""),"Bradenton")</f>
        <v>Bradenton</v>
      </c>
      <c r="Q845" s="8" t="str">
        <f ca="1">IFERROR(__xludf.DUMMYFUNCTION("""COMPUTED_VALUE"""),"FL")</f>
        <v>FL</v>
      </c>
      <c r="R845" s="8" t="str">
        <f ca="1">IFERROR(__xludf.DUMMYFUNCTION("""COMPUTED_VALUE"""),"Other")</f>
        <v>Other</v>
      </c>
      <c r="S845" s="8" t="str">
        <f ca="1">IFERROR(__xludf.DUMMYFUNCTION("""COMPUTED_VALUE"""),"School Bus")</f>
        <v>School Bus</v>
      </c>
      <c r="T845" s="8" t="str">
        <f ca="1">IFERROR(__xludf.DUMMYFUNCTION("""COMPUTED_VALUE"""),"School Bus")</f>
        <v>School Bus</v>
      </c>
      <c r="U845" s="8" t="str">
        <f ca="1">IFERROR(__xludf.DUMMYFUNCTION("""COMPUTED_VALUE"""),"Yes")</f>
        <v>Yes</v>
      </c>
      <c r="V845" s="8" t="str">
        <f ca="1">IFERROR(__xludf.DUMMYFUNCTION("""COMPUTED_VALUE"""),"Afternoon Classes")</f>
        <v>Afternoon Classes</v>
      </c>
      <c r="W845" s="11">
        <f ca="1">IFERROR(__xludf.DUMMYFUNCTION("""COMPUTED_VALUE"""),0.552083333333333)</f>
        <v>0.55208333333333304</v>
      </c>
      <c r="X845" s="8">
        <f ca="1">IFERROR(__xludf.DUMMYFUNCTION("""COMPUTED_VALUE"""),1)</f>
        <v>1</v>
      </c>
      <c r="Y845" s="12" t="str">
        <f ca="1">IFERROR(__xludf.DUMMYFUNCTION("""COMPUTED_VALUE"""),"Two minors shot moving school buses with BB guns")</f>
        <v>Two minors shot moving school buses with BB guns</v>
      </c>
      <c r="Z845" s="12" t="str">
        <f ca="1">IFERROR(__xludf.DUMMYFUNCTION("""COMPUTED_VALUE"""),"Two minors are in custody after Bradenton police said two school buses in Manatee County were shot at with what appeared to be BB gun pellets on Tuesday. In an update Wednesday, police said an 11-year-old and 17-year-old would be charged with second-degre"&amp;"e felonies in connection to the shooting. The shooting happened Tuesday as a bus traveling on 9th Avenue East near 27th Street East was hit twice on its right side at around 1:15 p.m. Both shots penetrated the bus's windows, the Bradenton Police Departmen"&amp;"t said in a news release. A separate BB gun shooting happened just before 4:40 p.m. near the same area but to a second bus. Police were also able to recover two rifle-style BB guns and a pistol-style BB gun used in the shooting after locating the two mino"&amp;"rs, the department said.")</f>
        <v>Two minors are in custody after Bradenton police said two school buses in Manatee County were shot at with what appeared to be BB gun pellets on Tuesday. In an update Wednesday, police said an 11-year-old and 17-year-old would be charged with second-degree felonies in connection to the shooting. The shooting happened Tuesday as a bus traveling on 9th Avenue East near 27th Street East was hit twice on its right side at around 1:15 p.m. Both shots penetrated the bus's windows, the Bradenton Police Department said in a news release. A separate BB gun shooting happened just before 4:40 p.m. near the same area but to a second bus. Police were also able to recover two rifle-style BB guns and a pistol-style BB gun used in the shooting after locating the two minors, the department said.</v>
      </c>
      <c r="AA845" s="8" t="str">
        <f ca="1">IFERROR(__xludf.DUMMYFUNCTION("""COMPUTED_VALUE"""),"Intentional Property Damage")</f>
        <v>Intentional Property Damage</v>
      </c>
      <c r="AB845" s="8"/>
      <c r="AC845" s="8" t="str">
        <f ca="1">IFERROR(__xludf.DUMMYFUNCTION("""COMPUTED_VALUE"""),"Yes")</f>
        <v>Yes</v>
      </c>
      <c r="AD845" s="8" t="str">
        <f ca="1">IFERROR(__xludf.DUMMYFUNCTION("""COMPUTED_VALUE"""),"Neither")</f>
        <v>Neither</v>
      </c>
      <c r="AE845" s="8" t="str">
        <f ca="1">IFERROR(__xludf.DUMMYFUNCTION("""COMPUTED_VALUE"""),"Yes")</f>
        <v>Yes</v>
      </c>
      <c r="AF845" s="8" t="str">
        <f ca="1">IFERROR(__xludf.DUMMYFUNCTION("""COMPUTED_VALUE"""),"Two minors")</f>
        <v>Two minors</v>
      </c>
      <c r="AG845" s="8" t="str">
        <f ca="1">IFERROR(__xludf.DUMMYFUNCTION("""COMPUTED_VALUE"""),"No")</f>
        <v>No</v>
      </c>
      <c r="AH845" s="8" t="str">
        <f ca="1">IFERROR(__xludf.DUMMYFUNCTION("""COMPUTED_VALUE"""),"No")</f>
        <v>No</v>
      </c>
      <c r="AI845" s="8" t="str">
        <f ca="1">IFERROR(__xludf.DUMMYFUNCTION("""COMPUTED_VALUE"""),"No")</f>
        <v>No</v>
      </c>
      <c r="AJ845" s="8" t="str">
        <f ca="1">IFERROR(__xludf.DUMMYFUNCTION("""COMPUTED_VALUE"""),"No")</f>
        <v>No</v>
      </c>
      <c r="AK845" s="8" t="str">
        <f ca="1">IFERROR(__xludf.DUMMYFUNCTION("""COMPUTED_VALUE"""),"No")</f>
        <v>No</v>
      </c>
      <c r="AL845" s="8" t="str">
        <f ca="1">IFERROR(__xludf.DUMMYFUNCTION("""COMPUTED_VALUE"""),"No")</f>
        <v>No</v>
      </c>
      <c r="AM845" s="8" t="str">
        <f ca="1">IFERROR(__xludf.DUMMYFUNCTION("""COMPUTED_VALUE"""),"No")</f>
        <v>No</v>
      </c>
      <c r="AN845" s="8" t="str">
        <f ca="1">IFERROR(__xludf.DUMMYFUNCTION("""COMPUTED_VALUE"""),"Outside")</f>
        <v>Outside</v>
      </c>
      <c r="AO845" s="8"/>
      <c r="AP845" s="8"/>
      <c r="AQ845" s="8"/>
      <c r="AR845" s="8" t="str">
        <f ca="1">IFERROR(__xludf.DUMMYFUNCTION("""COMPUTED_VALUE"""),"Outside/Off-Property")</f>
        <v>Outside/Off-Property</v>
      </c>
      <c r="AS845" s="8">
        <f ca="1">IFERROR(__xludf.DUMMYFUNCTION("""COMPUTED_VALUE"""),99)</f>
        <v>99</v>
      </c>
      <c r="AT845" s="8"/>
      <c r="AU845" s="8">
        <f ca="1">IFERROR(__xludf.DUMMYFUNCTION("""COMPUTED_VALUE"""),27.484499)</f>
        <v>27.484499</v>
      </c>
      <c r="AV845" s="8">
        <f ca="1">IFERROR(__xludf.DUMMYFUNCTION("""COMPUTED_VALUE"""),-82.571195)</f>
        <v>-82.571195000000003</v>
      </c>
      <c r="AW845" s="8"/>
      <c r="AX845" s="8">
        <f ca="1">IFERROR(__xludf.DUMMYFUNCTION("""COMPUTED_VALUE"""),34205)</f>
        <v>34205</v>
      </c>
    </row>
    <row r="846" spans="1:50" ht="45" x14ac:dyDescent="0.2">
      <c r="A846" s="8" t="str">
        <f ca="1">IFERROR(__xludf.DUMMYFUNCTION("""COMPUTED_VALUE"""),"20230111VTSPV")</f>
        <v>20230111VTSPV</v>
      </c>
      <c r="B846" s="8">
        <f ca="1">IFERROR(__xludf.DUMMYFUNCTION("""COMPUTED_VALUE"""),1)</f>
        <v>1</v>
      </c>
      <c r="C846" s="8">
        <f ca="1">IFERROR(__xludf.DUMMYFUNCTION("""COMPUTED_VALUE"""),11)</f>
        <v>11</v>
      </c>
      <c r="D846" s="8">
        <f ca="1">IFERROR(__xludf.DUMMYFUNCTION("""COMPUTED_VALUE"""),2023)</f>
        <v>2023</v>
      </c>
      <c r="E846" s="9">
        <f ca="1">IFERROR(__xludf.DUMMYFUNCTION("""COMPUTED_VALUE"""),44937)</f>
        <v>44937</v>
      </c>
      <c r="F846" s="8" t="str">
        <f ca="1">IFERROR(__xludf.DUMMYFUNCTION("""COMPUTED_VALUE"""),"Spaulding High School")</f>
        <v>Spaulding High School</v>
      </c>
      <c r="G846" s="8">
        <f ca="1">IFERROR(__xludf.DUMMYFUNCTION("""COMPUTED_VALUE"""),0)</f>
        <v>0</v>
      </c>
      <c r="H846" s="8">
        <f ca="1">IFERROR(__xludf.DUMMYFUNCTION("""COMPUTED_VALUE"""),1)</f>
        <v>1</v>
      </c>
      <c r="I846" s="8">
        <f ca="1">IFERROR(__xludf.DUMMYFUNCTION("""COMPUTED_VALUE"""),1)</f>
        <v>1</v>
      </c>
      <c r="J846" s="8">
        <f ca="1">IFERROR(__xludf.DUMMYFUNCTION("""COMPUTED_VALUE"""),0)</f>
        <v>0</v>
      </c>
      <c r="K846" s="10" t="str">
        <f ca="1">IFERROR(__xludf.DUMMYFUNCTION("""COMPUTED_VALUE"""),"https://www.wcax.com/2023/01/10/police-investigating-pellet-gun-shooting-vermont-high-school/
https://www.usnews.com/news/best-states/vermont/articles/2023-01-11/police-teacher-shot-with-pellet-gun-injury-superficial")</f>
        <v>https://www.wcax.com/2023/01/10/police-investigating-pellet-gun-shooting-vermont-high-school/
https://www.usnews.com/news/best-states/vermont/articles/2023-01-11/police-teacher-shot-with-pellet-gun-injury-superficial</v>
      </c>
      <c r="L846" s="8">
        <f ca="1">IFERROR(__xludf.DUMMYFUNCTION("""COMPUTED_VALUE"""),2)</f>
        <v>2</v>
      </c>
      <c r="M846" s="8" t="str">
        <f ca="1">IFERROR(__xludf.DUMMYFUNCTION("""COMPUTED_VALUE"""),"National")</f>
        <v>National</v>
      </c>
      <c r="N846" s="8">
        <f ca="1">IFERROR(__xludf.DUMMYFUNCTION("""COMPUTED_VALUE"""),4)</f>
        <v>4</v>
      </c>
      <c r="O846" s="8" t="str">
        <f ca="1">IFERROR(__xludf.DUMMYFUNCTION("""COMPUTED_VALUE"""),"Winter")</f>
        <v>Winter</v>
      </c>
      <c r="P846" s="8" t="str">
        <f ca="1">IFERROR(__xludf.DUMMYFUNCTION("""COMPUTED_VALUE"""),"Barre")</f>
        <v>Barre</v>
      </c>
      <c r="Q846" s="8" t="str">
        <f ca="1">IFERROR(__xludf.DUMMYFUNCTION("""COMPUTED_VALUE"""),"VT")</f>
        <v>VT</v>
      </c>
      <c r="R846" s="8" t="str">
        <f ca="1">IFERROR(__xludf.DUMMYFUNCTION("""COMPUTED_VALUE"""),"High")</f>
        <v>High</v>
      </c>
      <c r="S846" s="8" t="str">
        <f ca="1">IFERROR(__xludf.DUMMYFUNCTION("""COMPUTED_VALUE"""),"Outside on School Property")</f>
        <v>Outside on School Property</v>
      </c>
      <c r="T846" s="8" t="str">
        <f ca="1">IFERROR(__xludf.DUMMYFUNCTION("""COMPUTED_VALUE"""),"Outside on School Property")</f>
        <v>Outside on School Property</v>
      </c>
      <c r="U846" s="8" t="str">
        <f ca="1">IFERROR(__xludf.DUMMYFUNCTION("""COMPUTED_VALUE"""),"Yes")</f>
        <v>Yes</v>
      </c>
      <c r="V846" s="8" t="str">
        <f ca="1">IFERROR(__xludf.DUMMYFUNCTION("""COMPUTED_VALUE"""),"Dismissal")</f>
        <v>Dismissal</v>
      </c>
      <c r="W846" s="11">
        <f ca="1">IFERROR(__xludf.DUMMYFUNCTION("""COMPUTED_VALUE"""),0.611111111111111)</f>
        <v>0.61111111111111105</v>
      </c>
      <c r="X846" s="8">
        <f ca="1">IFERROR(__xludf.DUMMYFUNCTION("""COMPUTED_VALUE"""),1)</f>
        <v>1</v>
      </c>
      <c r="Y846" s="12" t="str">
        <f ca="1">IFERROR(__xludf.DUMMYFUNCTION("""COMPUTED_VALUE"""),"Teacher shot with pellet gun at dismissal")</f>
        <v>Teacher shot with pellet gun at dismissal</v>
      </c>
      <c r="Z846" s="12" t="str">
        <f ca="1">IFERROR(__xludf.DUMMYFUNCTION("""COMPUTED_VALUE"""),"Teacher shot with pellet gun at dismissal causing minor injuries. Two freshmen students arrested.")</f>
        <v>Teacher shot with pellet gun at dismissal causing minor injuries. Two freshmen students arrested.</v>
      </c>
      <c r="AA846" s="8"/>
      <c r="AB846" s="8"/>
      <c r="AC846" s="8" t="str">
        <f ca="1">IFERROR(__xludf.DUMMYFUNCTION("""COMPUTED_VALUE"""),"Yes")</f>
        <v>Yes</v>
      </c>
      <c r="AD846" s="8" t="str">
        <f ca="1">IFERROR(__xludf.DUMMYFUNCTION("""COMPUTED_VALUE"""),"Victims Targeted")</f>
        <v>Victims Targeted</v>
      </c>
      <c r="AE846" s="8" t="str">
        <f ca="1">IFERROR(__xludf.DUMMYFUNCTION("""COMPUTED_VALUE"""),"Yes")</f>
        <v>Yes</v>
      </c>
      <c r="AF846" s="8"/>
      <c r="AG846" s="8" t="str">
        <f ca="1">IFERROR(__xludf.DUMMYFUNCTION("""COMPUTED_VALUE"""),"No")</f>
        <v>No</v>
      </c>
      <c r="AH846" s="8" t="str">
        <f ca="1">IFERROR(__xludf.DUMMYFUNCTION("""COMPUTED_VALUE"""),"No")</f>
        <v>No</v>
      </c>
      <c r="AI846" s="8" t="str">
        <f ca="1">IFERROR(__xludf.DUMMYFUNCTION("""COMPUTED_VALUE"""),"No")</f>
        <v>No</v>
      </c>
      <c r="AJ846" s="8" t="str">
        <f ca="1">IFERROR(__xludf.DUMMYFUNCTION("""COMPUTED_VALUE"""),"No")</f>
        <v>No</v>
      </c>
      <c r="AK846" s="8" t="str">
        <f ca="1">IFERROR(__xludf.DUMMYFUNCTION("""COMPUTED_VALUE"""),"No")</f>
        <v>No</v>
      </c>
      <c r="AL846" s="8" t="str">
        <f ca="1">IFERROR(__xludf.DUMMYFUNCTION("""COMPUTED_VALUE"""),"No")</f>
        <v>No</v>
      </c>
      <c r="AM846" s="8" t="str">
        <f ca="1">IFERROR(__xludf.DUMMYFUNCTION("""COMPUTED_VALUE"""),"No")</f>
        <v>No</v>
      </c>
      <c r="AN846" s="8" t="str">
        <f ca="1">IFERROR(__xludf.DUMMYFUNCTION("""COMPUTED_VALUE"""),"Outside")</f>
        <v>Outside</v>
      </c>
      <c r="AO846" s="8"/>
      <c r="AP846" s="8"/>
      <c r="AQ846" s="8"/>
      <c r="AR846" s="8" t="str">
        <f ca="1">IFERROR(__xludf.DUMMYFUNCTION("""COMPUTED_VALUE"""),"Outside/Off-Property")</f>
        <v>Outside/Off-Property</v>
      </c>
      <c r="AS846" s="8">
        <f ca="1">IFERROR(__xludf.DUMMYFUNCTION("""COMPUTED_VALUE"""),1)</f>
        <v>1</v>
      </c>
      <c r="AT846" s="8"/>
      <c r="AU846" s="8">
        <f ca="1">IFERROR(__xludf.DUMMYFUNCTION("""COMPUTED_VALUE"""),44.189707)</f>
        <v>44.189706999999999</v>
      </c>
      <c r="AV846" s="8">
        <f ca="1">IFERROR(__xludf.DUMMYFUNCTION("""COMPUTED_VALUE"""),-72.493819)</f>
        <v>-72.493819000000002</v>
      </c>
      <c r="AW846" s="8"/>
      <c r="AX846" s="8">
        <f ca="1">IFERROR(__xludf.DUMMYFUNCTION("""COMPUTED_VALUE"""),5641)</f>
        <v>5641</v>
      </c>
    </row>
    <row r="847" spans="1:50" ht="60" x14ac:dyDescent="0.2">
      <c r="A847" s="8" t="str">
        <f ca="1">IFERROR(__xludf.DUMMYFUNCTION("""COMPUTED_VALUE"""),"20230111VALAP")</f>
        <v>20230111VALAP</v>
      </c>
      <c r="B847" s="8">
        <f ca="1">IFERROR(__xludf.DUMMYFUNCTION("""COMPUTED_VALUE"""),1)</f>
        <v>1</v>
      </c>
      <c r="C847" s="8">
        <f ca="1">IFERROR(__xludf.DUMMYFUNCTION("""COMPUTED_VALUE"""),11)</f>
        <v>11</v>
      </c>
      <c r="D847" s="8">
        <f ca="1">IFERROR(__xludf.DUMMYFUNCTION("""COMPUTED_VALUE"""),2023)</f>
        <v>2023</v>
      </c>
      <c r="E847" s="9">
        <f ca="1">IFERROR(__xludf.DUMMYFUNCTION("""COMPUTED_VALUE"""),44937)</f>
        <v>44937</v>
      </c>
      <c r="F847" s="8" t="str">
        <f ca="1">IFERROR(__xludf.DUMMYFUNCTION("""COMPUTED_VALUE"""),"Lakeview Elementary School")</f>
        <v>Lakeview Elementary School</v>
      </c>
      <c r="G847" s="8">
        <f ca="1">IFERROR(__xludf.DUMMYFUNCTION("""COMPUTED_VALUE"""),0)</f>
        <v>0</v>
      </c>
      <c r="H847" s="8">
        <f ca="1">IFERROR(__xludf.DUMMYFUNCTION("""COMPUTED_VALUE"""),0)</f>
        <v>0</v>
      </c>
      <c r="I847" s="8">
        <f ca="1">IFERROR(__xludf.DUMMYFUNCTION("""COMPUTED_VALUE"""),0)</f>
        <v>0</v>
      </c>
      <c r="J847" s="8">
        <f ca="1">IFERROR(__xludf.DUMMYFUNCTION("""COMPUTED_VALUE"""),0)</f>
        <v>0</v>
      </c>
      <c r="K847" s="8" t="str">
        <f ca="1">IFERROR(__xludf.DUMMYFUNCTION("""COMPUTED_VALUE"""),"https://www.13newsnow.com/article/news/local/lakeview-elementary-goes-on-brief-lockdown-due-to-nearby-shooting/291-280cbf3c-a259-413c-914b-035761e6652f
https://www.wavy.com/news/local-news/portsmouth/lakeview-elementary-in-portsmouth-placed-on-lockdown-af"&amp;"ter-shots-fired-nearby/")</f>
        <v>https://www.13newsnow.com/article/news/local/lakeview-elementary-goes-on-brief-lockdown-due-to-nearby-shooting/291-280cbf3c-a259-413c-914b-035761e6652f
https://www.wavy.com/news/local-news/portsmouth/lakeview-elementary-in-portsmouth-placed-on-lockdown-after-shots-fired-nearby/</v>
      </c>
      <c r="L847" s="8">
        <f ca="1">IFERROR(__xludf.DUMMYFUNCTION("""COMPUTED_VALUE"""),2)</f>
        <v>2</v>
      </c>
      <c r="M847" s="8" t="str">
        <f ca="1">IFERROR(__xludf.DUMMYFUNCTION("""COMPUTED_VALUE"""),"Local")</f>
        <v>Local</v>
      </c>
      <c r="N847" s="8">
        <f ca="1">IFERROR(__xludf.DUMMYFUNCTION("""COMPUTED_VALUE"""),2)</f>
        <v>2</v>
      </c>
      <c r="O847" s="8" t="str">
        <f ca="1">IFERROR(__xludf.DUMMYFUNCTION("""COMPUTED_VALUE"""),"Winter")</f>
        <v>Winter</v>
      </c>
      <c r="P847" s="8" t="str">
        <f ca="1">IFERROR(__xludf.DUMMYFUNCTION("""COMPUTED_VALUE"""),"Portsmouth")</f>
        <v>Portsmouth</v>
      </c>
      <c r="Q847" s="8" t="str">
        <f ca="1">IFERROR(__xludf.DUMMYFUNCTION("""COMPUTED_VALUE"""),"VA")</f>
        <v>VA</v>
      </c>
      <c r="R847" s="8" t="str">
        <f ca="1">IFERROR(__xludf.DUMMYFUNCTION("""COMPUTED_VALUE"""),"Elementary")</f>
        <v>Elementary</v>
      </c>
      <c r="S847" s="8" t="str">
        <f ca="1">IFERROR(__xludf.DUMMYFUNCTION("""COMPUTED_VALUE"""),"Outside on School Property")</f>
        <v>Outside on School Property</v>
      </c>
      <c r="T847" s="8" t="str">
        <f ca="1">IFERROR(__xludf.DUMMYFUNCTION("""COMPUTED_VALUE"""),"Outside on School Property")</f>
        <v>Outside on School Property</v>
      </c>
      <c r="U847" s="8" t="str">
        <f ca="1">IFERROR(__xludf.DUMMYFUNCTION("""COMPUTED_VALUE"""),"Yes")</f>
        <v>Yes</v>
      </c>
      <c r="V847" s="8" t="str">
        <f ca="1">IFERROR(__xludf.DUMMYFUNCTION("""COMPUTED_VALUE"""),"Morning Classes")</f>
        <v>Morning Classes</v>
      </c>
      <c r="W847" s="11">
        <f ca="1">IFERROR(__xludf.DUMMYFUNCTION("""COMPUTED_VALUE"""),0.444444444444444)</f>
        <v>0.44444444444444398</v>
      </c>
      <c r="X847" s="8">
        <f ca="1">IFERROR(__xludf.DUMMYFUNCTION("""COMPUTED_VALUE"""),1)</f>
        <v>1</v>
      </c>
      <c r="Y847" s="12" t="str">
        <f ca="1">IFERROR(__xludf.DUMMYFUNCTION("""COMPUTED_VALUE"""),"Shots fired behind school building, school went on lockdown")</f>
        <v>Shots fired behind school building, school went on lockdown</v>
      </c>
      <c r="Z847" s="12" t="str">
        <f ca="1">IFERROR(__xludf.DUMMYFUNCTION("""COMPUTED_VALUE"""),"Shots fired behind school building, school went on lockdown")</f>
        <v>Shots fired behind school building, school went on lockdown</v>
      </c>
      <c r="AA847" s="8"/>
      <c r="AB847" s="8"/>
      <c r="AC847" s="8" t="str">
        <f ca="1">IFERROR(__xludf.DUMMYFUNCTION("""COMPUTED_VALUE"""),"Yes")</f>
        <v>Yes</v>
      </c>
      <c r="AD847" s="8"/>
      <c r="AE847" s="8"/>
      <c r="AF847" s="8"/>
      <c r="AG847" s="8" t="str">
        <f ca="1">IFERROR(__xludf.DUMMYFUNCTION("""COMPUTED_VALUE"""),"No")</f>
        <v>No</v>
      </c>
      <c r="AH847" s="8" t="str">
        <f ca="1">IFERROR(__xludf.DUMMYFUNCTION("""COMPUTED_VALUE"""),"No")</f>
        <v>No</v>
      </c>
      <c r="AI847" s="8" t="str">
        <f ca="1">IFERROR(__xludf.DUMMYFUNCTION("""COMPUTED_VALUE"""),"No")</f>
        <v>No</v>
      </c>
      <c r="AJ847" s="8" t="str">
        <f ca="1">IFERROR(__xludf.DUMMYFUNCTION("""COMPUTED_VALUE"""),"No")</f>
        <v>No</v>
      </c>
      <c r="AK847" s="8" t="str">
        <f ca="1">IFERROR(__xludf.DUMMYFUNCTION("""COMPUTED_VALUE"""),"No")</f>
        <v>No</v>
      </c>
      <c r="AL847" s="8"/>
      <c r="AM847" s="8" t="str">
        <f ca="1">IFERROR(__xludf.DUMMYFUNCTION("""COMPUTED_VALUE"""),"No")</f>
        <v>No</v>
      </c>
      <c r="AN847" s="8" t="str">
        <f ca="1">IFERROR(__xludf.DUMMYFUNCTION("""COMPUTED_VALUE"""),"Outside")</f>
        <v>Outside</v>
      </c>
      <c r="AO847" s="8" t="str">
        <f ca="1">IFERROR(__xludf.DUMMYFUNCTION("""COMPUTED_VALUE"""),"No")</f>
        <v>No</v>
      </c>
      <c r="AP847" s="8"/>
      <c r="AQ847" s="8"/>
      <c r="AR847" s="8" t="str">
        <f ca="1">IFERROR(__xludf.DUMMYFUNCTION("""COMPUTED_VALUE"""),"Outside/Off-Property")</f>
        <v>Outside/Off-Property</v>
      </c>
      <c r="AS847" s="8">
        <f ca="1">IFERROR(__xludf.DUMMYFUNCTION("""COMPUTED_VALUE"""),99)</f>
        <v>99</v>
      </c>
      <c r="AT847" s="8" t="str">
        <f ca="1">IFERROR(__xludf.DUMMYFUNCTION("""COMPUTED_VALUE"""),"Yes")</f>
        <v>Yes</v>
      </c>
      <c r="AU847" s="8">
        <f ca="1">IFERROR(__xludf.DUMMYFUNCTION("""COMPUTED_VALUE"""),36.797689)</f>
        <v>36.797688999999998</v>
      </c>
      <c r="AV847" s="8">
        <f ca="1">IFERROR(__xludf.DUMMYFUNCTION("""COMPUTED_VALUE"""),-76.372049)</f>
        <v>-76.372049000000004</v>
      </c>
      <c r="AW847" s="8"/>
      <c r="AX847" s="8">
        <f ca="1">IFERROR(__xludf.DUMMYFUNCTION("""COMPUTED_VALUE"""),23701)</f>
        <v>23701</v>
      </c>
    </row>
    <row r="848" spans="1:50" ht="105" x14ac:dyDescent="0.2">
      <c r="A848" s="8" t="str">
        <f ca="1">IFERROR(__xludf.DUMMYFUNCTION("""COMPUTED_VALUE"""),"20230110UTWES")</f>
        <v>20230110UTWES</v>
      </c>
      <c r="B848" s="8">
        <f ca="1">IFERROR(__xludf.DUMMYFUNCTION("""COMPUTED_VALUE"""),1)</f>
        <v>1</v>
      </c>
      <c r="C848" s="8">
        <f ca="1">IFERROR(__xludf.DUMMYFUNCTION("""COMPUTED_VALUE"""),10)</f>
        <v>10</v>
      </c>
      <c r="D848" s="8">
        <f ca="1">IFERROR(__xludf.DUMMYFUNCTION("""COMPUTED_VALUE"""),2023)</f>
        <v>2023</v>
      </c>
      <c r="E848" s="9">
        <f ca="1">IFERROR(__xludf.DUMMYFUNCTION("""COMPUTED_VALUE"""),44936)</f>
        <v>44936</v>
      </c>
      <c r="F848" s="8" t="str">
        <f ca="1">IFERROR(__xludf.DUMMYFUNCTION("""COMPUTED_VALUE"""),"Westlake High School (bus)")</f>
        <v>Westlake High School (bus)</v>
      </c>
      <c r="G848" s="8">
        <f ca="1">IFERROR(__xludf.DUMMYFUNCTION("""COMPUTED_VALUE"""),0)</f>
        <v>0</v>
      </c>
      <c r="H848" s="8">
        <f ca="1">IFERROR(__xludf.DUMMYFUNCTION("""COMPUTED_VALUE"""),1)</f>
        <v>1</v>
      </c>
      <c r="I848" s="8">
        <f ca="1">IFERROR(__xludf.DUMMYFUNCTION("""COMPUTED_VALUE"""),1)</f>
        <v>1</v>
      </c>
      <c r="J848" s="8">
        <f ca="1">IFERROR(__xludf.DUMMYFUNCTION("""COMPUTED_VALUE"""),0)</f>
        <v>0</v>
      </c>
      <c r="K848" s="10" t="str">
        <f ca="1">IFERROR(__xludf.DUMMYFUNCTION("""COMPUTED_VALUE"""),"https://www.abc4.com/news/central-utah/student-injured-after-shots-fired-at-saratoga-springs-high-school-wrestling-team-bus/")</f>
        <v>https://www.abc4.com/news/central-utah/student-injured-after-shots-fired-at-saratoga-springs-high-school-wrestling-team-bus/</v>
      </c>
      <c r="L848" s="8">
        <f ca="1">IFERROR(__xludf.DUMMYFUNCTION("""COMPUTED_VALUE"""),4)</f>
        <v>4</v>
      </c>
      <c r="M848" s="8" t="str">
        <f ca="1">IFERROR(__xludf.DUMMYFUNCTION("""COMPUTED_VALUE"""),"Local")</f>
        <v>Local</v>
      </c>
      <c r="N848" s="8">
        <f ca="1">IFERROR(__xludf.DUMMYFUNCTION("""COMPUTED_VALUE"""),4)</f>
        <v>4</v>
      </c>
      <c r="O848" s="8" t="str">
        <f ca="1">IFERROR(__xludf.DUMMYFUNCTION("""COMPUTED_VALUE"""),"Winter")</f>
        <v>Winter</v>
      </c>
      <c r="P848" s="8" t="str">
        <f ca="1">IFERROR(__xludf.DUMMYFUNCTION("""COMPUTED_VALUE"""),"Saratoga Springs")</f>
        <v>Saratoga Springs</v>
      </c>
      <c r="Q848" s="8" t="str">
        <f ca="1">IFERROR(__xludf.DUMMYFUNCTION("""COMPUTED_VALUE"""),"UT")</f>
        <v>UT</v>
      </c>
      <c r="R848" s="8" t="str">
        <f ca="1">IFERROR(__xludf.DUMMYFUNCTION("""COMPUTED_VALUE"""),"High")</f>
        <v>High</v>
      </c>
      <c r="S848" s="8" t="str">
        <f ca="1">IFERROR(__xludf.DUMMYFUNCTION("""COMPUTED_VALUE"""),"School Bus")</f>
        <v>School Bus</v>
      </c>
      <c r="T848" s="8" t="str">
        <f ca="1">IFERROR(__xludf.DUMMYFUNCTION("""COMPUTED_VALUE"""),"School Bus")</f>
        <v>School Bus</v>
      </c>
      <c r="U848" s="8" t="str">
        <f ca="1">IFERROR(__xludf.DUMMYFUNCTION("""COMPUTED_VALUE"""),"No")</f>
        <v>No</v>
      </c>
      <c r="V848" s="8" t="str">
        <f ca="1">IFERROR(__xludf.DUMMYFUNCTION("""COMPUTED_VALUE"""),"Sport Event")</f>
        <v>Sport Event</v>
      </c>
      <c r="W848" s="11">
        <f ca="1">IFERROR(__xludf.DUMMYFUNCTION("""COMPUTED_VALUE"""),0.875)</f>
        <v>0.875</v>
      </c>
      <c r="X848" s="8">
        <f ca="1">IFERROR(__xludf.DUMMYFUNCTION("""COMPUTED_VALUE"""),1)</f>
        <v>1</v>
      </c>
      <c r="Y848" s="12" t="str">
        <f ca="1">IFERROR(__xludf.DUMMYFUNCTION("""COMPUTED_VALUE"""),"Shots fired at wrestling team on school bus, one student injured")</f>
        <v>Shots fired at wrestling team on school bus, one student injured</v>
      </c>
      <c r="Z848" s="12" t="str">
        <f ca="1">IFERROR(__xludf.DUMMYFUNCTION("""COMPUTED_VALUE"""),"The Westlake High School girls wrestling team was on Interstate 15 between American Fork and Lindon around 9 p.m. Tuesday when a white pickup truck pulled alongside and fired several rounds of a pellet or airsoft gun at the bus. The rounds damaged multipl"&amp;"e windows in the bus and one student received minor injuries, according to a statement from the Alpine School District.")</f>
        <v>The Westlake High School girls wrestling team was on Interstate 15 between American Fork and Lindon around 9 p.m. Tuesday when a white pickup truck pulled alongside and fired several rounds of a pellet or airsoft gun at the bus. The rounds damaged multiple windows in the bus and one student received minor injuries, according to a statement from the Alpine School District.</v>
      </c>
      <c r="AA848" s="8" t="str">
        <f ca="1">IFERROR(__xludf.DUMMYFUNCTION("""COMPUTED_VALUE"""),"Drive-by Shooting")</f>
        <v>Drive-by Shooting</v>
      </c>
      <c r="AB848" s="8"/>
      <c r="AC848" s="8" t="str">
        <f ca="1">IFERROR(__xludf.DUMMYFUNCTION("""COMPUTED_VALUE"""),"Yes")</f>
        <v>Yes</v>
      </c>
      <c r="AD848" s="8" t="str">
        <f ca="1">IFERROR(__xludf.DUMMYFUNCTION("""COMPUTED_VALUE"""),"Random Shooting")</f>
        <v>Random Shooting</v>
      </c>
      <c r="AE848" s="8"/>
      <c r="AF848" s="8"/>
      <c r="AG848" s="8" t="str">
        <f ca="1">IFERROR(__xludf.DUMMYFUNCTION("""COMPUTED_VALUE"""),"No")</f>
        <v>No</v>
      </c>
      <c r="AH848" s="8" t="str">
        <f ca="1">IFERROR(__xludf.DUMMYFUNCTION("""COMPUTED_VALUE"""),"No")</f>
        <v>No</v>
      </c>
      <c r="AI848" s="8" t="str">
        <f ca="1">IFERROR(__xludf.DUMMYFUNCTION("""COMPUTED_VALUE"""),"No")</f>
        <v>No</v>
      </c>
      <c r="AJ848" s="8" t="str">
        <f ca="1">IFERROR(__xludf.DUMMYFUNCTION("""COMPUTED_VALUE"""),"No")</f>
        <v>No</v>
      </c>
      <c r="AK848" s="8" t="str">
        <f ca="1">IFERROR(__xludf.DUMMYFUNCTION("""COMPUTED_VALUE"""),"No")</f>
        <v>No</v>
      </c>
      <c r="AL848" s="8" t="str">
        <f ca="1">IFERROR(__xludf.DUMMYFUNCTION("""COMPUTED_VALUE"""),"No")</f>
        <v>No</v>
      </c>
      <c r="AM848" s="8" t="str">
        <f ca="1">IFERROR(__xludf.DUMMYFUNCTION("""COMPUTED_VALUE"""),"No")</f>
        <v>No</v>
      </c>
      <c r="AN848" s="8" t="str">
        <f ca="1">IFERROR(__xludf.DUMMYFUNCTION("""COMPUTED_VALUE"""),"Outside")</f>
        <v>Outside</v>
      </c>
      <c r="AO848" s="8" t="str">
        <f ca="1">IFERROR(__xludf.DUMMYFUNCTION("""COMPUTED_VALUE"""),"No")</f>
        <v>No</v>
      </c>
      <c r="AP848" s="8"/>
      <c r="AQ848" s="8"/>
      <c r="AR848" s="8" t="str">
        <f ca="1">IFERROR(__xludf.DUMMYFUNCTION("""COMPUTED_VALUE"""),"Outside/Off-Property")</f>
        <v>Outside/Off-Property</v>
      </c>
      <c r="AS848" s="8">
        <f ca="1">IFERROR(__xludf.DUMMYFUNCTION("""COMPUTED_VALUE"""),99)</f>
        <v>99</v>
      </c>
      <c r="AT848" s="8"/>
      <c r="AU848" s="8">
        <f ca="1">IFERROR(__xludf.DUMMYFUNCTION("""COMPUTED_VALUE"""),40.363843)</f>
        <v>40.363843000000003</v>
      </c>
      <c r="AV848" s="8">
        <f ca="1">IFERROR(__xludf.DUMMYFUNCTION("""COMPUTED_VALUE"""),-111.922381)</f>
        <v>-111.922381</v>
      </c>
      <c r="AW848" s="8"/>
      <c r="AX848" s="8">
        <f ca="1">IFERROR(__xludf.DUMMYFUNCTION("""COMPUTED_VALUE"""),84045)</f>
        <v>84045</v>
      </c>
    </row>
    <row r="849" spans="1:50" ht="45" x14ac:dyDescent="0.2">
      <c r="A849" s="8" t="str">
        <f ca="1">IFERROR(__xludf.DUMMYFUNCTION("""COMPUTED_VALUE"""),"20230110OHJOC")</f>
        <v>20230110OHJOC</v>
      </c>
      <c r="B849" s="8">
        <f ca="1">IFERROR(__xludf.DUMMYFUNCTION("""COMPUTED_VALUE"""),1)</f>
        <v>1</v>
      </c>
      <c r="C849" s="8">
        <f ca="1">IFERROR(__xludf.DUMMYFUNCTION("""COMPUTED_VALUE"""),10)</f>
        <v>10</v>
      </c>
      <c r="D849" s="8">
        <f ca="1">IFERROR(__xludf.DUMMYFUNCTION("""COMPUTED_VALUE"""),2023)</f>
        <v>2023</v>
      </c>
      <c r="E849" s="9">
        <f ca="1">IFERROR(__xludf.DUMMYFUNCTION("""COMPUTED_VALUE"""),44936)</f>
        <v>44936</v>
      </c>
      <c r="F849" s="8" t="str">
        <f ca="1">IFERROR(__xludf.DUMMYFUNCTION("""COMPUTED_VALUE"""),"John Adams High School")</f>
        <v>John Adams High School</v>
      </c>
      <c r="G849" s="8">
        <f ca="1">IFERROR(__xludf.DUMMYFUNCTION("""COMPUTED_VALUE"""),1)</f>
        <v>1</v>
      </c>
      <c r="H849" s="8">
        <f ca="1">IFERROR(__xludf.DUMMYFUNCTION("""COMPUTED_VALUE"""),0)</f>
        <v>0</v>
      </c>
      <c r="I849" s="8">
        <f ca="1">IFERROR(__xludf.DUMMYFUNCTION("""COMPUTED_VALUE"""),1)</f>
        <v>1</v>
      </c>
      <c r="J849" s="8">
        <f ca="1">IFERROR(__xludf.DUMMYFUNCTION("""COMPUTED_VALUE"""),0)</f>
        <v>0</v>
      </c>
      <c r="K849" s="10" t="str">
        <f ca="1">IFERROR(__xludf.DUMMYFUNCTION("""COMPUTED_VALUE"""),"https://www.news5cleveland.com/news/local-news/cleveland-metro/john-adams-high-school-closes-wednesday-after-student-shot-killed-at-bus-stop-tuesday")</f>
        <v>https://www.news5cleveland.com/news/local-news/cleveland-metro/john-adams-high-school-closes-wednesday-after-student-shot-killed-at-bus-stop-tuesday</v>
      </c>
      <c r="L849" s="8">
        <f ca="1">IFERROR(__xludf.DUMMYFUNCTION("""COMPUTED_VALUE"""),10)</f>
        <v>10</v>
      </c>
      <c r="M849" s="8" t="str">
        <f ca="1">IFERROR(__xludf.DUMMYFUNCTION("""COMPUTED_VALUE"""),"Local")</f>
        <v>Local</v>
      </c>
      <c r="N849" s="8">
        <f ca="1">IFERROR(__xludf.DUMMYFUNCTION("""COMPUTED_VALUE"""),4)</f>
        <v>4</v>
      </c>
      <c r="O849" s="8" t="str">
        <f ca="1">IFERROR(__xludf.DUMMYFUNCTION("""COMPUTED_VALUE"""),"Winter")</f>
        <v>Winter</v>
      </c>
      <c r="P849" s="8" t="str">
        <f ca="1">IFERROR(__xludf.DUMMYFUNCTION("""COMPUTED_VALUE"""),"Cleveland")</f>
        <v>Cleveland</v>
      </c>
      <c r="Q849" s="8" t="str">
        <f ca="1">IFERROR(__xludf.DUMMYFUNCTION("""COMPUTED_VALUE"""),"OH")</f>
        <v>OH</v>
      </c>
      <c r="R849" s="8" t="str">
        <f ca="1">IFERROR(__xludf.DUMMYFUNCTION("""COMPUTED_VALUE"""),"High")</f>
        <v>High</v>
      </c>
      <c r="S849" s="8" t="str">
        <f ca="1">IFERROR(__xludf.DUMMYFUNCTION("""COMPUTED_VALUE"""),"Front of School")</f>
        <v>Front of School</v>
      </c>
      <c r="T849" s="8" t="str">
        <f ca="1">IFERROR(__xludf.DUMMYFUNCTION("""COMPUTED_VALUE"""),"Outside on School Property")</f>
        <v>Outside on School Property</v>
      </c>
      <c r="U849" s="8" t="str">
        <f ca="1">IFERROR(__xludf.DUMMYFUNCTION("""COMPUTED_VALUE"""),"Yes")</f>
        <v>Yes</v>
      </c>
      <c r="V849" s="8" t="str">
        <f ca="1">IFERROR(__xludf.DUMMYFUNCTION("""COMPUTED_VALUE"""),"Dismissal")</f>
        <v>Dismissal</v>
      </c>
      <c r="W849" s="11">
        <f ca="1">IFERROR(__xludf.DUMMYFUNCTION("""COMPUTED_VALUE"""),0.625)</f>
        <v>0.625</v>
      </c>
      <c r="X849" s="8">
        <f ca="1">IFERROR(__xludf.DUMMYFUNCTION("""COMPUTED_VALUE"""),1)</f>
        <v>1</v>
      </c>
      <c r="Y849" s="12" t="str">
        <f ca="1">IFERROR(__xludf.DUMMYFUNCTION("""COMPUTED_VALUE"""),"Student fatally shot at dismissal waiting for bus")</f>
        <v>Student fatally shot at dismissal waiting for bus</v>
      </c>
      <c r="Z849" s="12" t="str">
        <f ca="1">IFERROR(__xludf.DUMMYFUNCTION("""COMPUTED_VALUE"""),"18-year-old student was fatally shot at the bus stop in front of the school at dismissal. ")</f>
        <v xml:space="preserve">18-year-old student was fatally shot at the bus stop in front of the school at dismissal. </v>
      </c>
      <c r="AA849" s="8"/>
      <c r="AB849" s="8"/>
      <c r="AC849" s="8" t="str">
        <f ca="1">IFERROR(__xludf.DUMMYFUNCTION("""COMPUTED_VALUE"""),"Yes")</f>
        <v>Yes</v>
      </c>
      <c r="AD849" s="8"/>
      <c r="AE849" s="8"/>
      <c r="AF849" s="8"/>
      <c r="AG849" s="8" t="str">
        <f ca="1">IFERROR(__xludf.DUMMYFUNCTION("""COMPUTED_VALUE"""),"No")</f>
        <v>No</v>
      </c>
      <c r="AH849" s="8" t="str">
        <f ca="1">IFERROR(__xludf.DUMMYFUNCTION("""COMPUTED_VALUE"""),"No")</f>
        <v>No</v>
      </c>
      <c r="AI849" s="8" t="str">
        <f ca="1">IFERROR(__xludf.DUMMYFUNCTION("""COMPUTED_VALUE"""),"No")</f>
        <v>No</v>
      </c>
      <c r="AJ849" s="8"/>
      <c r="AK849" s="8" t="str">
        <f ca="1">IFERROR(__xludf.DUMMYFUNCTION("""COMPUTED_VALUE"""),"No")</f>
        <v>No</v>
      </c>
      <c r="AL849" s="8"/>
      <c r="AM849" s="8" t="str">
        <f ca="1">IFERROR(__xludf.DUMMYFUNCTION("""COMPUTED_VALUE"""),"No")</f>
        <v>No</v>
      </c>
      <c r="AN849" s="8" t="str">
        <f ca="1">IFERROR(__xludf.DUMMYFUNCTION("""COMPUTED_VALUE"""),"Outside")</f>
        <v>Outside</v>
      </c>
      <c r="AO849" s="8" t="str">
        <f ca="1">IFERROR(__xludf.DUMMYFUNCTION("""COMPUTED_VALUE"""),"No")</f>
        <v>No</v>
      </c>
      <c r="AP849" s="8"/>
      <c r="AQ849" s="8"/>
      <c r="AR849" s="8" t="str">
        <f ca="1">IFERROR(__xludf.DUMMYFUNCTION("""COMPUTED_VALUE"""),"Outside/Off-Property")</f>
        <v>Outside/Off-Property</v>
      </c>
      <c r="AS849" s="8">
        <f ca="1">IFERROR(__xludf.DUMMYFUNCTION("""COMPUTED_VALUE"""),99)</f>
        <v>99</v>
      </c>
      <c r="AT849" s="8"/>
      <c r="AU849" s="8">
        <f ca="1">IFERROR(__xludf.DUMMYFUNCTION("""COMPUTED_VALUE"""),41.453926)</f>
        <v>41.453926000000003</v>
      </c>
      <c r="AV849" s="8">
        <f ca="1">IFERROR(__xludf.DUMMYFUNCTION("""COMPUTED_VALUE"""),-81.602571)</f>
        <v>-81.602570999999998</v>
      </c>
      <c r="AW849" s="8"/>
      <c r="AX849" s="8">
        <f ca="1">IFERROR(__xludf.DUMMYFUNCTION("""COMPUTED_VALUE"""),44105)</f>
        <v>44105</v>
      </c>
    </row>
    <row r="850" spans="1:50" ht="90" x14ac:dyDescent="0.2">
      <c r="A850" s="8" t="str">
        <f ca="1">IFERROR(__xludf.DUMMYFUNCTION("""COMPUTED_VALUE"""),"20230110LABON")</f>
        <v>20230110LABON</v>
      </c>
      <c r="B850" s="8">
        <f ca="1">IFERROR(__xludf.DUMMYFUNCTION("""COMPUTED_VALUE"""),1)</f>
        <v>1</v>
      </c>
      <c r="C850" s="8">
        <f ca="1">IFERROR(__xludf.DUMMYFUNCTION("""COMPUTED_VALUE"""),10)</f>
        <v>10</v>
      </c>
      <c r="D850" s="8">
        <f ca="1">IFERROR(__xludf.DUMMYFUNCTION("""COMPUTED_VALUE"""),2023)</f>
        <v>2023</v>
      </c>
      <c r="E850" s="9">
        <f ca="1">IFERROR(__xludf.DUMMYFUNCTION("""COMPUTED_VALUE"""),44936)</f>
        <v>44936</v>
      </c>
      <c r="F850" s="8" t="str">
        <f ca="1">IFERROR(__xludf.DUMMYFUNCTION("""COMPUTED_VALUE"""),"Booker T. Washington High School")</f>
        <v>Booker T. Washington High School</v>
      </c>
      <c r="G850" s="8">
        <f ca="1">IFERROR(__xludf.DUMMYFUNCTION("""COMPUTED_VALUE"""),0)</f>
        <v>0</v>
      </c>
      <c r="H850" s="8">
        <f ca="1">IFERROR(__xludf.DUMMYFUNCTION("""COMPUTED_VALUE"""),1)</f>
        <v>1</v>
      </c>
      <c r="I850" s="8">
        <f ca="1">IFERROR(__xludf.DUMMYFUNCTION("""COMPUTED_VALUE"""),1)</f>
        <v>1</v>
      </c>
      <c r="J850" s="8">
        <f ca="1">IFERROR(__xludf.DUMMYFUNCTION("""COMPUTED_VALUE"""),0)</f>
        <v>0</v>
      </c>
      <c r="K850" s="10" t="str">
        <f ca="1">IFERROR(__xludf.DUMMYFUNCTION("""COMPUTED_VALUE"""),"https://www.wwltv.com/article/news/crime/nopd-investigating-shooting-at-booker-t-washington-high-school/289-4590bc69-0374-4c8a-9c77-6f03c773324b")</f>
        <v>https://www.wwltv.com/article/news/crime/nopd-investigating-shooting-at-booker-t-washington-high-school/289-4590bc69-0374-4c8a-9c77-6f03c773324b</v>
      </c>
      <c r="L850" s="8">
        <f ca="1">IFERROR(__xludf.DUMMYFUNCTION("""COMPUTED_VALUE"""),4)</f>
        <v>4</v>
      </c>
      <c r="M850" s="8" t="str">
        <f ca="1">IFERROR(__xludf.DUMMYFUNCTION("""COMPUTED_VALUE"""),"Local")</f>
        <v>Local</v>
      </c>
      <c r="N850" s="8">
        <f ca="1">IFERROR(__xludf.DUMMYFUNCTION("""COMPUTED_VALUE"""),4)</f>
        <v>4</v>
      </c>
      <c r="O850" s="8" t="str">
        <f ca="1">IFERROR(__xludf.DUMMYFUNCTION("""COMPUTED_VALUE"""),"Winter")</f>
        <v>Winter</v>
      </c>
      <c r="P850" s="8" t="str">
        <f ca="1">IFERROR(__xludf.DUMMYFUNCTION("""COMPUTED_VALUE"""),"New Orleans")</f>
        <v>New Orleans</v>
      </c>
      <c r="Q850" s="8" t="str">
        <f ca="1">IFERROR(__xludf.DUMMYFUNCTION("""COMPUTED_VALUE"""),"LA")</f>
        <v>LA</v>
      </c>
      <c r="R850" s="8" t="str">
        <f ca="1">IFERROR(__xludf.DUMMYFUNCTION("""COMPUTED_VALUE"""),"High")</f>
        <v>High</v>
      </c>
      <c r="S850" s="8" t="str">
        <f ca="1">IFERROR(__xludf.DUMMYFUNCTION("""COMPUTED_VALUE"""),"Front of School")</f>
        <v>Front of School</v>
      </c>
      <c r="T850" s="8" t="str">
        <f ca="1">IFERROR(__xludf.DUMMYFUNCTION("""COMPUTED_VALUE"""),"Outside on School Property")</f>
        <v>Outside on School Property</v>
      </c>
      <c r="U850" s="8" t="str">
        <f ca="1">IFERROR(__xludf.DUMMYFUNCTION("""COMPUTED_VALUE"""),"Yes")</f>
        <v>Yes</v>
      </c>
      <c r="V850" s="8" t="str">
        <f ca="1">IFERROR(__xludf.DUMMYFUNCTION("""COMPUTED_VALUE"""),"Dismissal")</f>
        <v>Dismissal</v>
      </c>
      <c r="W850" s="11">
        <f ca="1">IFERROR(__xludf.DUMMYFUNCTION("""COMPUTED_VALUE"""),0.645833333333333)</f>
        <v>0.64583333333333304</v>
      </c>
      <c r="X850" s="8">
        <f ca="1">IFERROR(__xludf.DUMMYFUNCTION("""COMPUTED_VALUE"""),1)</f>
        <v>1</v>
      </c>
      <c r="Y850" s="12" t="str">
        <f ca="1">IFERROR(__xludf.DUMMYFUNCTION("""COMPUTED_VALUE"""),"Student shot at dismissal during drive-by")</f>
        <v>Student shot at dismissal during drive-by</v>
      </c>
      <c r="Z850" s="12" t="str">
        <f ca="1">IFERROR(__xludf.DUMMYFUNCTION("""COMPUTED_VALUE"""),"Police say the shooting happened around 3:30 p.m. and identified the victim as a 16-year-old boy. NOPD says he was shot in the leg. Shots fired from a vehicle. The shooting happened outside of the school during dismissal. The school was placed on lockdown"&amp;", which has since been lifted.")</f>
        <v>Police say the shooting happened around 3:30 p.m. and identified the victim as a 16-year-old boy. NOPD says he was shot in the leg. Shots fired from a vehicle. The shooting happened outside of the school during dismissal. The school was placed on lockdown, which has since been lifted.</v>
      </c>
      <c r="AA850" s="8" t="str">
        <f ca="1">IFERROR(__xludf.DUMMYFUNCTION("""COMPUTED_VALUE"""),"Drive-by Shooting")</f>
        <v>Drive-by Shooting</v>
      </c>
      <c r="AB850" s="8"/>
      <c r="AC850" s="8" t="str">
        <f ca="1">IFERROR(__xludf.DUMMYFUNCTION("""COMPUTED_VALUE"""),"Yes")</f>
        <v>Yes</v>
      </c>
      <c r="AD850" s="8"/>
      <c r="AE850" s="8"/>
      <c r="AF850" s="8"/>
      <c r="AG850" s="8" t="str">
        <f ca="1">IFERROR(__xludf.DUMMYFUNCTION("""COMPUTED_VALUE"""),"No")</f>
        <v>No</v>
      </c>
      <c r="AH850" s="8" t="str">
        <f ca="1">IFERROR(__xludf.DUMMYFUNCTION("""COMPUTED_VALUE"""),"No")</f>
        <v>No</v>
      </c>
      <c r="AI850" s="8" t="str">
        <f ca="1">IFERROR(__xludf.DUMMYFUNCTION("""COMPUTED_VALUE"""),"No")</f>
        <v>No</v>
      </c>
      <c r="AJ850" s="8" t="str">
        <f ca="1">IFERROR(__xludf.DUMMYFUNCTION("""COMPUTED_VALUE"""),"No")</f>
        <v>No</v>
      </c>
      <c r="AK850" s="8" t="str">
        <f ca="1">IFERROR(__xludf.DUMMYFUNCTION("""COMPUTED_VALUE"""),"No")</f>
        <v>No</v>
      </c>
      <c r="AL850" s="8"/>
      <c r="AM850" s="8" t="str">
        <f ca="1">IFERROR(__xludf.DUMMYFUNCTION("""COMPUTED_VALUE"""),"No")</f>
        <v>No</v>
      </c>
      <c r="AN850" s="8" t="str">
        <f ca="1">IFERROR(__xludf.DUMMYFUNCTION("""COMPUTED_VALUE"""),"Outside")</f>
        <v>Outside</v>
      </c>
      <c r="AO850" s="8" t="str">
        <f ca="1">IFERROR(__xludf.DUMMYFUNCTION("""COMPUTED_VALUE"""),"No")</f>
        <v>No</v>
      </c>
      <c r="AP850" s="8"/>
      <c r="AQ850" s="8"/>
      <c r="AR850" s="8" t="str">
        <f ca="1">IFERROR(__xludf.DUMMYFUNCTION("""COMPUTED_VALUE"""),"Outside/Off-Property")</f>
        <v>Outside/Off-Property</v>
      </c>
      <c r="AS850" s="8">
        <f ca="1">IFERROR(__xludf.DUMMYFUNCTION("""COMPUTED_VALUE"""),99)</f>
        <v>99</v>
      </c>
      <c r="AT850" s="8" t="str">
        <f ca="1">IFERROR(__xludf.DUMMYFUNCTION("""COMPUTED_VALUE"""),"Yes")</f>
        <v>Yes</v>
      </c>
      <c r="AU850" s="8">
        <f ca="1">IFERROR(__xludf.DUMMYFUNCTION("""COMPUTED_VALUE"""),29.949907)</f>
        <v>29.949907</v>
      </c>
      <c r="AV850" s="8">
        <f ca="1">IFERROR(__xludf.DUMMYFUNCTION("""COMPUTED_VALUE"""),-90.08849)</f>
        <v>-90.088489999999993</v>
      </c>
      <c r="AW850" s="8"/>
      <c r="AX850" s="8">
        <f ca="1">IFERROR(__xludf.DUMMYFUNCTION("""COMPUTED_VALUE"""),70125)</f>
        <v>70125</v>
      </c>
    </row>
    <row r="851" spans="1:50" ht="180" x14ac:dyDescent="0.2">
      <c r="A851" s="8" t="str">
        <f ca="1">IFERROR(__xludf.DUMMYFUNCTION("""COMPUTED_VALUE"""),"20230110KYSAS")</f>
        <v>20230110KYSAS</v>
      </c>
      <c r="B851" s="8">
        <f ca="1">IFERROR(__xludf.DUMMYFUNCTION("""COMPUTED_VALUE"""),1)</f>
        <v>1</v>
      </c>
      <c r="C851" s="8">
        <f ca="1">IFERROR(__xludf.DUMMYFUNCTION("""COMPUTED_VALUE"""),10)</f>
        <v>10</v>
      </c>
      <c r="D851" s="8">
        <f ca="1">IFERROR(__xludf.DUMMYFUNCTION("""COMPUTED_VALUE"""),2023)</f>
        <v>2023</v>
      </c>
      <c r="E851" s="9">
        <f ca="1">IFERROR(__xludf.DUMMYFUNCTION("""COMPUTED_VALUE"""),44936)</f>
        <v>44936</v>
      </c>
      <c r="F851" s="8" t="str">
        <f ca="1">IFERROR(__xludf.DUMMYFUNCTION("""COMPUTED_VALUE"""),"Stanford Elementary School")</f>
        <v>Stanford Elementary School</v>
      </c>
      <c r="G851" s="8">
        <f ca="1">IFERROR(__xludf.DUMMYFUNCTION("""COMPUTED_VALUE"""),0)</f>
        <v>0</v>
      </c>
      <c r="H851" s="8">
        <f ca="1">IFERROR(__xludf.DUMMYFUNCTION("""COMPUTED_VALUE"""),0)</f>
        <v>0</v>
      </c>
      <c r="I851" s="8">
        <f ca="1">IFERROR(__xludf.DUMMYFUNCTION("""COMPUTED_VALUE"""),1)</f>
        <v>1</v>
      </c>
      <c r="J851" s="8">
        <f ca="1">IFERROR(__xludf.DUMMYFUNCTION("""COMPUTED_VALUE"""),0)</f>
        <v>0</v>
      </c>
      <c r="K851" s="10" t="str">
        <f ca="1">IFERROR(__xludf.DUMMYFUNCTION("""COMPUTED_VALUE"""),"https://www.lex18.com/news/police-respond-to-incident-involving-a-staff-member-at-stanford-elementary")</f>
        <v>https://www.lex18.com/news/police-respond-to-incident-involving-a-staff-member-at-stanford-elementary</v>
      </c>
      <c r="L851" s="8">
        <f ca="1">IFERROR(__xludf.DUMMYFUNCTION("""COMPUTED_VALUE"""),3)</f>
        <v>3</v>
      </c>
      <c r="M851" s="8" t="str">
        <f ca="1">IFERROR(__xludf.DUMMYFUNCTION("""COMPUTED_VALUE"""),"Local")</f>
        <v>Local</v>
      </c>
      <c r="N851" s="8">
        <f ca="1">IFERROR(__xludf.DUMMYFUNCTION("""COMPUTED_VALUE"""),4)</f>
        <v>4</v>
      </c>
      <c r="O851" s="8" t="str">
        <f ca="1">IFERROR(__xludf.DUMMYFUNCTION("""COMPUTED_VALUE"""),"Winter")</f>
        <v>Winter</v>
      </c>
      <c r="P851" s="8" t="str">
        <f ca="1">IFERROR(__xludf.DUMMYFUNCTION("""COMPUTED_VALUE"""),"Stanford")</f>
        <v>Stanford</v>
      </c>
      <c r="Q851" s="8" t="str">
        <f ca="1">IFERROR(__xludf.DUMMYFUNCTION("""COMPUTED_VALUE"""),"KY")</f>
        <v>KY</v>
      </c>
      <c r="R851" s="8" t="str">
        <f ca="1">IFERROR(__xludf.DUMMYFUNCTION("""COMPUTED_VALUE"""),"Elementary")</f>
        <v>Elementary</v>
      </c>
      <c r="S851" s="8" t="str">
        <f ca="1">IFERROR(__xludf.DUMMYFUNCTION("""COMPUTED_VALUE"""),"Office")</f>
        <v>Office</v>
      </c>
      <c r="T851" s="8" t="str">
        <f ca="1">IFERROR(__xludf.DUMMYFUNCTION("""COMPUTED_VALUE"""),"Inside School Building")</f>
        <v>Inside School Building</v>
      </c>
      <c r="U851" s="8" t="str">
        <f ca="1">IFERROR(__xludf.DUMMYFUNCTION("""COMPUTED_VALUE"""),"No")</f>
        <v>No</v>
      </c>
      <c r="V851" s="8" t="str">
        <f ca="1">IFERROR(__xludf.DUMMYFUNCTION("""COMPUTED_VALUE"""),"Night")</f>
        <v>Night</v>
      </c>
      <c r="W851" s="11">
        <f ca="1">IFERROR(__xludf.DUMMYFUNCTION("""COMPUTED_VALUE"""),0.958333333333333)</f>
        <v>0.95833333333333304</v>
      </c>
      <c r="X851" s="8">
        <f ca="1">IFERROR(__xludf.DUMMYFUNCTION("""COMPUTED_VALUE"""),1)</f>
        <v>1</v>
      </c>
      <c r="Y851" s="12" t="str">
        <f ca="1">IFERROR(__xludf.DUMMYFUNCTION("""COMPUTED_VALUE"""),"Staff member shot themselves in breakroom and then fled the building")</f>
        <v>Staff member shot themselves in breakroom and then fled the building</v>
      </c>
      <c r="Z851" s="12" t="str">
        <f ca="1">IFERROR(__xludf.DUMMYFUNCTION("""COMPUTED_VALUE"""),"Police say the incident happened at around 11:00 p.m. Tuesday while the staff member was working second-shift maintenance at the school. The staff member then exited the building and left the premises. Law enforcement officers were called to the school We"&amp;"dnesday after staff discovered what appeared to be blood leading from a staff break room out to the parking lot. Officers cleared the school building Wednesday morning before children began normal activities for the day as a precaution. The school was dee"&amp;"med safe and there was no threat to the safety of the students or staff in regard to this incident, according to Stanford Police.")</f>
        <v>Police say the incident happened at around 11:00 p.m. Tuesday while the staff member was working second-shift maintenance at the school. The staff member then exited the building and left the premises. Law enforcement officers were called to the school Wednesday after staff discovered what appeared to be blood leading from a staff break room out to the parking lot. Officers cleared the school building Wednesday morning before children began normal activities for the day as a precaution. The school was deemed safe and there was no threat to the safety of the students or staff in regard to this incident, according to Stanford Police.</v>
      </c>
      <c r="AA851" s="8" t="str">
        <f ca="1">IFERROR(__xludf.DUMMYFUNCTION("""COMPUTED_VALUE"""),"Accidental")</f>
        <v>Accidental</v>
      </c>
      <c r="AB851" s="8"/>
      <c r="AC851" s="8" t="str">
        <f ca="1">IFERROR(__xludf.DUMMYFUNCTION("""COMPUTED_VALUE"""),"Yes")</f>
        <v>Yes</v>
      </c>
      <c r="AD851" s="8" t="str">
        <f ca="1">IFERROR(__xludf.DUMMYFUNCTION("""COMPUTED_VALUE"""),"Neither")</f>
        <v>Neither</v>
      </c>
      <c r="AE851" s="8" t="str">
        <f ca="1">IFERROR(__xludf.DUMMYFUNCTION("""COMPUTED_VALUE"""),"No")</f>
        <v>No</v>
      </c>
      <c r="AF851" s="8"/>
      <c r="AG851" s="8" t="str">
        <f ca="1">IFERROR(__xludf.DUMMYFUNCTION("""COMPUTED_VALUE"""),"No")</f>
        <v>No</v>
      </c>
      <c r="AH851" s="8" t="str">
        <f ca="1">IFERROR(__xludf.DUMMYFUNCTION("""COMPUTED_VALUE"""),"No")</f>
        <v>No</v>
      </c>
      <c r="AI851" s="8" t="str">
        <f ca="1">IFERROR(__xludf.DUMMYFUNCTION("""COMPUTED_VALUE"""),"No")</f>
        <v>No</v>
      </c>
      <c r="AJ851" s="8" t="str">
        <f ca="1">IFERROR(__xludf.DUMMYFUNCTION("""COMPUTED_VALUE"""),"No")</f>
        <v>No</v>
      </c>
      <c r="AK851" s="8" t="str">
        <f ca="1">IFERROR(__xludf.DUMMYFUNCTION("""COMPUTED_VALUE"""),"No")</f>
        <v>No</v>
      </c>
      <c r="AL851" s="8" t="str">
        <f ca="1">IFERROR(__xludf.DUMMYFUNCTION("""COMPUTED_VALUE"""),"No")</f>
        <v>No</v>
      </c>
      <c r="AM851" s="8" t="str">
        <f ca="1">IFERROR(__xludf.DUMMYFUNCTION("""COMPUTED_VALUE"""),"No")</f>
        <v>No</v>
      </c>
      <c r="AN851" s="8" t="str">
        <f ca="1">IFERROR(__xludf.DUMMYFUNCTION("""COMPUTED_VALUE"""),"Single Room")</f>
        <v>Single Room</v>
      </c>
      <c r="AO851" s="8" t="str">
        <f ca="1">IFERROR(__xludf.DUMMYFUNCTION("""COMPUTED_VALUE"""),"No")</f>
        <v>No</v>
      </c>
      <c r="AP851" s="8" t="str">
        <f ca="1">IFERROR(__xludf.DUMMYFUNCTION("""COMPUTED_VALUE"""),"Yes")</f>
        <v>Yes</v>
      </c>
      <c r="AQ851" s="8"/>
      <c r="AR851" s="8" t="str">
        <f ca="1">IFERROR(__xludf.DUMMYFUNCTION("""COMPUTED_VALUE"""),"NA")</f>
        <v>NA</v>
      </c>
      <c r="AS851" s="8">
        <f ca="1">IFERROR(__xludf.DUMMYFUNCTION("""COMPUTED_VALUE"""),1)</f>
        <v>1</v>
      </c>
      <c r="AT851" s="8"/>
      <c r="AU851" s="8">
        <f ca="1">IFERROR(__xludf.DUMMYFUNCTION("""COMPUTED_VALUE"""),37.543675)</f>
        <v>37.543675</v>
      </c>
      <c r="AV851" s="8">
        <f ca="1">IFERROR(__xludf.DUMMYFUNCTION("""COMPUTED_VALUE"""),-84.673364)</f>
        <v>-84.673364000000007</v>
      </c>
      <c r="AW851" s="8"/>
      <c r="AX851" s="8">
        <f ca="1">IFERROR(__xludf.DUMMYFUNCTION("""COMPUTED_VALUE"""),40484)</f>
        <v>40484</v>
      </c>
    </row>
    <row r="852" spans="1:50" ht="150" x14ac:dyDescent="0.2">
      <c r="A852" s="8" t="str">
        <f ca="1">IFERROR(__xludf.DUMMYFUNCTION("""COMPUTED_VALUE"""),"20230110DEWIN")</f>
        <v>20230110DEWIN</v>
      </c>
      <c r="B852" s="8">
        <f ca="1">IFERROR(__xludf.DUMMYFUNCTION("""COMPUTED_VALUE"""),1)</f>
        <v>1</v>
      </c>
      <c r="C852" s="8">
        <f ca="1">IFERROR(__xludf.DUMMYFUNCTION("""COMPUTED_VALUE"""),10)</f>
        <v>10</v>
      </c>
      <c r="D852" s="8">
        <f ca="1">IFERROR(__xludf.DUMMYFUNCTION("""COMPUTED_VALUE"""),2023)</f>
        <v>2023</v>
      </c>
      <c r="E852" s="9">
        <f ca="1">IFERROR(__xludf.DUMMYFUNCTION("""COMPUTED_VALUE"""),44936)</f>
        <v>44936</v>
      </c>
      <c r="F852" s="8" t="str">
        <f ca="1">IFERROR(__xludf.DUMMYFUNCTION("""COMPUTED_VALUE"""),"William Penn High School")</f>
        <v>William Penn High School</v>
      </c>
      <c r="G852" s="8">
        <f ca="1">IFERROR(__xludf.DUMMYFUNCTION("""COMPUTED_VALUE"""),0)</f>
        <v>0</v>
      </c>
      <c r="H852" s="8">
        <f ca="1">IFERROR(__xludf.DUMMYFUNCTION("""COMPUTED_VALUE"""),0)</f>
        <v>0</v>
      </c>
      <c r="I852" s="8">
        <f ca="1">IFERROR(__xludf.DUMMYFUNCTION("""COMPUTED_VALUE"""),0)</f>
        <v>0</v>
      </c>
      <c r="J852" s="8">
        <f ca="1">IFERROR(__xludf.DUMMYFUNCTION("""COMPUTED_VALUE"""),0)</f>
        <v>0</v>
      </c>
      <c r="K852" s="8" t="str">
        <f ca="1">IFERROR(__xludf.DUMMYFUNCTION("""COMPUTED_VALUE"""),"https://www.wdel.com/news/william-penn-hs-closed-after-gun-fired-in-school/article_51dbf86c-9151-11ed-b30c-4fb7bb3351ba.html
https://www.cbsnews.com/philadelphia/video/16-year-old-charged-after-shot-fired-at-delaware-high-school/")</f>
        <v>https://www.wdel.com/news/william-penn-hs-closed-after-gun-fired-in-school/article_51dbf86c-9151-11ed-b30c-4fb7bb3351ba.html
https://www.cbsnews.com/philadelphia/video/16-year-old-charged-after-shot-fired-at-delaware-high-school/</v>
      </c>
      <c r="L852" s="8">
        <f ca="1">IFERROR(__xludf.DUMMYFUNCTION("""COMPUTED_VALUE"""),10)</f>
        <v>10</v>
      </c>
      <c r="M852" s="8" t="str">
        <f ca="1">IFERROR(__xludf.DUMMYFUNCTION("""COMPUTED_VALUE"""),"Local")</f>
        <v>Local</v>
      </c>
      <c r="N852" s="8">
        <f ca="1">IFERROR(__xludf.DUMMYFUNCTION("""COMPUTED_VALUE"""),4)</f>
        <v>4</v>
      </c>
      <c r="O852" s="8" t="str">
        <f ca="1">IFERROR(__xludf.DUMMYFUNCTION("""COMPUTED_VALUE"""),"Winter")</f>
        <v>Winter</v>
      </c>
      <c r="P852" s="8" t="str">
        <f ca="1">IFERROR(__xludf.DUMMYFUNCTION("""COMPUTED_VALUE"""),"New Castle")</f>
        <v>New Castle</v>
      </c>
      <c r="Q852" s="8" t="str">
        <f ca="1">IFERROR(__xludf.DUMMYFUNCTION("""COMPUTED_VALUE"""),"DE")</f>
        <v>DE</v>
      </c>
      <c r="R852" s="8" t="str">
        <f ca="1">IFERROR(__xludf.DUMMYFUNCTION("""COMPUTED_VALUE"""),"High")</f>
        <v>High</v>
      </c>
      <c r="S852" s="8" t="str">
        <f ca="1">IFERROR(__xludf.DUMMYFUNCTION("""COMPUTED_VALUE"""),"Bathroom")</f>
        <v>Bathroom</v>
      </c>
      <c r="T852" s="8" t="str">
        <f ca="1">IFERROR(__xludf.DUMMYFUNCTION("""COMPUTED_VALUE"""),"Inside School Building")</f>
        <v>Inside School Building</v>
      </c>
      <c r="U852" s="8" t="str">
        <f ca="1">IFERROR(__xludf.DUMMYFUNCTION("""COMPUTED_VALUE"""),"Yes")</f>
        <v>Yes</v>
      </c>
      <c r="V852" s="8" t="str">
        <f ca="1">IFERROR(__xludf.DUMMYFUNCTION("""COMPUTED_VALUE"""),"Morning Classes")</f>
        <v>Morning Classes</v>
      </c>
      <c r="W852" s="11">
        <f ca="1">IFERROR(__xludf.DUMMYFUNCTION("""COMPUTED_VALUE"""),0.486111111111111)</f>
        <v>0.48611111111111099</v>
      </c>
      <c r="X852" s="8">
        <f ca="1">IFERROR(__xludf.DUMMYFUNCTION("""COMPUTED_VALUE"""),1)</f>
        <v>1</v>
      </c>
      <c r="Y852" s="12" t="str">
        <f ca="1">IFERROR(__xludf.DUMMYFUNCTION("""COMPUTED_VALUE"""),"Student fired handgun in bathroom and then fled")</f>
        <v>Student fired handgun in bathroom and then fled</v>
      </c>
      <c r="Z852" s="12" t="str">
        <f ca="1">IFERROR(__xludf.DUMMYFUNCTION("""COMPUTED_VALUE"""),"According to police, a school resource officer was alerted to a potential gunshot inside a second-floor restroom. The resource officer found signs that a round struck the interior of the restroom, police say. State police say further investigation reveale"&amp;"d a suspect ran from the back of the school towards the football stadium. The school was placed on lockdown for about an hour while investigators searched the building. Investigators canvassing the area discovered a Glock handgun outside the school. No in"&amp;"juries were reported.")</f>
        <v>According to police, a school resource officer was alerted to a potential gunshot inside a second-floor restroom. The resource officer found signs that a round struck the interior of the restroom, police say. State police say further investigation revealed a suspect ran from the back of the school towards the football stadium. The school was placed on lockdown for about an hour while investigators searched the building. Investigators canvassing the area discovered a Glock handgun outside the school. No injuries were reported.</v>
      </c>
      <c r="AA852" s="8"/>
      <c r="AB852" s="8"/>
      <c r="AC852" s="8" t="str">
        <f ca="1">IFERROR(__xludf.DUMMYFUNCTION("""COMPUTED_VALUE"""),"Yes")</f>
        <v>Yes</v>
      </c>
      <c r="AD852" s="8"/>
      <c r="AE852" s="8"/>
      <c r="AF852" s="8"/>
      <c r="AG852" s="8" t="str">
        <f ca="1">IFERROR(__xludf.DUMMYFUNCTION("""COMPUTED_VALUE"""),"No")</f>
        <v>No</v>
      </c>
      <c r="AH852" s="8" t="str">
        <f ca="1">IFERROR(__xludf.DUMMYFUNCTION("""COMPUTED_VALUE"""),"No")</f>
        <v>No</v>
      </c>
      <c r="AI852" s="8" t="str">
        <f ca="1">IFERROR(__xludf.DUMMYFUNCTION("""COMPUTED_VALUE"""),"No")</f>
        <v>No</v>
      </c>
      <c r="AJ852" s="8"/>
      <c r="AK852" s="8" t="str">
        <f ca="1">IFERROR(__xludf.DUMMYFUNCTION("""COMPUTED_VALUE"""),"No")</f>
        <v>No</v>
      </c>
      <c r="AL852" s="8"/>
      <c r="AM852" s="8" t="str">
        <f ca="1">IFERROR(__xludf.DUMMYFUNCTION("""COMPUTED_VALUE"""),"No")</f>
        <v>No</v>
      </c>
      <c r="AN852" s="8" t="str">
        <f ca="1">IFERROR(__xludf.DUMMYFUNCTION("""COMPUTED_VALUE"""),"Single Room")</f>
        <v>Single Room</v>
      </c>
      <c r="AO852" s="8" t="str">
        <f ca="1">IFERROR(__xludf.DUMMYFUNCTION("""COMPUTED_VALUE"""),"No")</f>
        <v>No</v>
      </c>
      <c r="AP852" s="8" t="str">
        <f ca="1">IFERROR(__xludf.DUMMYFUNCTION("""COMPUTED_VALUE"""),"Yes")</f>
        <v>Yes</v>
      </c>
      <c r="AQ852" s="8" t="str">
        <f ca="1">IFERROR(__xludf.DUMMYFUNCTION("""COMPUTED_VALUE"""),"Armed Guards")</f>
        <v>Armed Guards</v>
      </c>
      <c r="AR852" s="8" t="str">
        <f ca="1">IFERROR(__xludf.DUMMYFUNCTION("""COMPUTED_VALUE"""),"Failed")</f>
        <v>Failed</v>
      </c>
      <c r="AS852" s="8">
        <f ca="1">IFERROR(__xludf.DUMMYFUNCTION("""COMPUTED_VALUE"""),1)</f>
        <v>1</v>
      </c>
      <c r="AT852" s="8" t="str">
        <f ca="1">IFERROR(__xludf.DUMMYFUNCTION("""COMPUTED_VALUE"""),"Yes")</f>
        <v>Yes</v>
      </c>
      <c r="AU852" s="8">
        <f ca="1">IFERROR(__xludf.DUMMYFUNCTION("""COMPUTED_VALUE"""),39.66875)</f>
        <v>39.668750000000003</v>
      </c>
      <c r="AV852" s="8">
        <f ca="1">IFERROR(__xludf.DUMMYFUNCTION("""COMPUTED_VALUE"""),-75.584037)</f>
        <v>-75.584036999999995</v>
      </c>
      <c r="AW852" s="8"/>
      <c r="AX852" s="8">
        <f ca="1">IFERROR(__xludf.DUMMYFUNCTION("""COMPUTED_VALUE"""),19720)</f>
        <v>19720</v>
      </c>
    </row>
    <row r="853" spans="1:50" ht="270" x14ac:dyDescent="0.2">
      <c r="A853" s="8" t="str">
        <f ca="1">IFERROR(__xludf.DUMMYFUNCTION("""COMPUTED_VALUE"""),"20230109VAPRW")</f>
        <v>20230109VAPRW</v>
      </c>
      <c r="B853" s="8">
        <f ca="1">IFERROR(__xludf.DUMMYFUNCTION("""COMPUTED_VALUE"""),1)</f>
        <v>1</v>
      </c>
      <c r="C853" s="8">
        <f ca="1">IFERROR(__xludf.DUMMYFUNCTION("""COMPUTED_VALUE"""),9)</f>
        <v>9</v>
      </c>
      <c r="D853" s="8">
        <f ca="1">IFERROR(__xludf.DUMMYFUNCTION("""COMPUTED_VALUE"""),2023)</f>
        <v>2023</v>
      </c>
      <c r="E853" s="9">
        <f ca="1">IFERROR(__xludf.DUMMYFUNCTION("""COMPUTED_VALUE"""),44935)</f>
        <v>44935</v>
      </c>
      <c r="F853" s="8" t="str">
        <f ca="1">IFERROR(__xludf.DUMMYFUNCTION("""COMPUTED_VALUE"""),"Prince Williams County School Bus")</f>
        <v>Prince Williams County School Bus</v>
      </c>
      <c r="G853" s="8">
        <f ca="1">IFERROR(__xludf.DUMMYFUNCTION("""COMPUTED_VALUE"""),0)</f>
        <v>0</v>
      </c>
      <c r="H853" s="8">
        <f ca="1">IFERROR(__xludf.DUMMYFUNCTION("""COMPUTED_VALUE"""),0)</f>
        <v>0</v>
      </c>
      <c r="I853" s="8">
        <f ca="1">IFERROR(__xludf.DUMMYFUNCTION("""COMPUTED_VALUE"""),0)</f>
        <v>0</v>
      </c>
      <c r="J853" s="8">
        <f ca="1">IFERROR(__xludf.DUMMYFUNCTION("""COMPUTED_VALUE"""),0)</f>
        <v>0</v>
      </c>
      <c r="K853" s="10" t="str">
        <f ca="1">IFERROR(__xludf.DUMMYFUNCTION("""COMPUTED_VALUE"""),"https://www.potomaclocal.com/2023/01/10/philadelphia-man-shot-pellets-at-county-school-bus-police-said/")</f>
        <v>https://www.potomaclocal.com/2023/01/10/philadelphia-man-shot-pellets-at-county-school-bus-police-said/</v>
      </c>
      <c r="L853" s="8">
        <f ca="1">IFERROR(__xludf.DUMMYFUNCTION("""COMPUTED_VALUE"""),1)</f>
        <v>1</v>
      </c>
      <c r="M853" s="8" t="str">
        <f ca="1">IFERROR(__xludf.DUMMYFUNCTION("""COMPUTED_VALUE"""),"Local")</f>
        <v>Local</v>
      </c>
      <c r="N853" s="8">
        <f ca="1">IFERROR(__xludf.DUMMYFUNCTION("""COMPUTED_VALUE"""),4)</f>
        <v>4</v>
      </c>
      <c r="O853" s="8" t="str">
        <f ca="1">IFERROR(__xludf.DUMMYFUNCTION("""COMPUTED_VALUE"""),"Winter")</f>
        <v>Winter</v>
      </c>
      <c r="P853" s="8" t="str">
        <f ca="1">IFERROR(__xludf.DUMMYFUNCTION("""COMPUTED_VALUE"""),"Woodbridge")</f>
        <v>Woodbridge</v>
      </c>
      <c r="Q853" s="8" t="str">
        <f ca="1">IFERROR(__xludf.DUMMYFUNCTION("""COMPUTED_VALUE"""),"VA")</f>
        <v>VA</v>
      </c>
      <c r="R853" s="8" t="str">
        <f ca="1">IFERROR(__xludf.DUMMYFUNCTION("""COMPUTED_VALUE"""),"Other")</f>
        <v>Other</v>
      </c>
      <c r="S853" s="8" t="str">
        <f ca="1">IFERROR(__xludf.DUMMYFUNCTION("""COMPUTED_VALUE"""),"School Bus")</f>
        <v>School Bus</v>
      </c>
      <c r="T853" s="8" t="str">
        <f ca="1">IFERROR(__xludf.DUMMYFUNCTION("""COMPUTED_VALUE"""),"School Bus")</f>
        <v>School Bus</v>
      </c>
      <c r="U853" s="8" t="str">
        <f ca="1">IFERROR(__xludf.DUMMYFUNCTION("""COMPUTED_VALUE"""),"Yes")</f>
        <v>Yes</v>
      </c>
      <c r="V853" s="8" t="str">
        <f ca="1">IFERROR(__xludf.DUMMYFUNCTION("""COMPUTED_VALUE"""),"Dismissal")</f>
        <v>Dismissal</v>
      </c>
      <c r="W853" s="11">
        <f ca="1">IFERROR(__xludf.DUMMYFUNCTION("""COMPUTED_VALUE"""),0.661111111111111)</f>
        <v>0.66111111111111098</v>
      </c>
      <c r="X853" s="8">
        <f ca="1">IFERROR(__xludf.DUMMYFUNCTION("""COMPUTED_VALUE"""),1)</f>
        <v>1</v>
      </c>
      <c r="Y853" s="12" t="str">
        <f ca="1">IFERROR(__xludf.DUMMYFUNCTION("""COMPUTED_VALUE"""),"Man fired pellet gun at school bus")</f>
        <v>Man fired pellet gun at school bus</v>
      </c>
      <c r="Z853" s="12" t="str">
        <f ca="1">IFERROR(__xludf.DUMMYFUNCTION("""COMPUTED_VALUE"""),"On Monday, January 9, at 3:52 p.m., officers responded to the area of Rollingwood Dr. and Jenny Dr. in Woodbridge to investigate the report of projectiles fired at an occupied school bus. While responding to the area, officers observed a gel-pellet gun on"&amp;" the ground near two males who matched the description provided to police. The males were detained without incident, and the gel-pellet gun was secured by officers. The investigation revealed one of the males, identified as the accused, fired multiple gel"&amp;"-based projectiles, striking the school bus before walking away. At the time of the incident, the school bus was occupied by one student and the bus driver, neither of whom was injured. No other injuries or property damage were reported. During the invest"&amp;"igation, the accused was also found in possession of suspected marijuana. Yazid Abdul Withrow Thomas, 18, is charged with shooting missiles at an occupied vehicle, brandishing a firearm, and possessing marijuana by a person under 21.")</f>
        <v>On Monday, January 9, at 3:52 p.m., officers responded to the area of Rollingwood Dr. and Jenny Dr. in Woodbridge to investigate the report of projectiles fired at an occupied school bus. While responding to the area, officers observed a gel-pellet gun on the ground near two males who matched the description provided to police. The males were detained without incident, and the gel-pellet gun was secured by officers. The investigation revealed one of the males, identified as the accused, fired multiple gel-based projectiles, striking the school bus before walking away. At the time of the incident, the school bus was occupied by one student and the bus driver, neither of whom was injured. No other injuries or property damage were reported. During the investigation, the accused was also found in possession of suspected marijuana. Yazid Abdul Withrow Thomas, 18, is charged with shooting missiles at an occupied vehicle, brandishing a firearm, and possessing marijuana by a person under 21.</v>
      </c>
      <c r="AA853" s="8" t="str">
        <f ca="1">IFERROR(__xludf.DUMMYFUNCTION("""COMPUTED_VALUE"""),"Intentional Property Damage")</f>
        <v>Intentional Property Damage</v>
      </c>
      <c r="AB853" s="8"/>
      <c r="AC853" s="8" t="str">
        <f ca="1">IFERROR(__xludf.DUMMYFUNCTION("""COMPUTED_VALUE"""),"Yes")</f>
        <v>Yes</v>
      </c>
      <c r="AD853" s="8"/>
      <c r="AE853" s="8" t="str">
        <f ca="1">IFERROR(__xludf.DUMMYFUNCTION("""COMPUTED_VALUE"""),"No")</f>
        <v>No</v>
      </c>
      <c r="AF853" s="8"/>
      <c r="AG853" s="8" t="str">
        <f ca="1">IFERROR(__xludf.DUMMYFUNCTION("""COMPUTED_VALUE"""),"No")</f>
        <v>No</v>
      </c>
      <c r="AH853" s="8" t="str">
        <f ca="1">IFERROR(__xludf.DUMMYFUNCTION("""COMPUTED_VALUE"""),"No")</f>
        <v>No</v>
      </c>
      <c r="AI853" s="8" t="str">
        <f ca="1">IFERROR(__xludf.DUMMYFUNCTION("""COMPUTED_VALUE"""),"No")</f>
        <v>No</v>
      </c>
      <c r="AJ853" s="8" t="str">
        <f ca="1">IFERROR(__xludf.DUMMYFUNCTION("""COMPUTED_VALUE"""),"No")</f>
        <v>No</v>
      </c>
      <c r="AK853" s="8" t="str">
        <f ca="1">IFERROR(__xludf.DUMMYFUNCTION("""COMPUTED_VALUE"""),"No")</f>
        <v>No</v>
      </c>
      <c r="AL853" s="8"/>
      <c r="AM853" s="8" t="str">
        <f ca="1">IFERROR(__xludf.DUMMYFUNCTION("""COMPUTED_VALUE"""),"No")</f>
        <v>No</v>
      </c>
      <c r="AN853" s="8" t="str">
        <f ca="1">IFERROR(__xludf.DUMMYFUNCTION("""COMPUTED_VALUE"""),"Outside")</f>
        <v>Outside</v>
      </c>
      <c r="AO853" s="8" t="str">
        <f ca="1">IFERROR(__xludf.DUMMYFUNCTION("""COMPUTED_VALUE"""),"No")</f>
        <v>No</v>
      </c>
      <c r="AP853" s="8"/>
      <c r="AQ853" s="8"/>
      <c r="AR853" s="8" t="str">
        <f ca="1">IFERROR(__xludf.DUMMYFUNCTION("""COMPUTED_VALUE"""),"Outside/Off-Property")</f>
        <v>Outside/Off-Property</v>
      </c>
      <c r="AS853" s="8">
        <f ca="1">IFERROR(__xludf.DUMMYFUNCTION("""COMPUTED_VALUE"""),99)</f>
        <v>99</v>
      </c>
      <c r="AT853" s="8"/>
      <c r="AU853" s="8">
        <f ca="1">IFERROR(__xludf.DUMMYFUNCTION("""COMPUTED_VALUE"""),38.66114)</f>
        <v>38.661140000000003</v>
      </c>
      <c r="AV853" s="8">
        <f ca="1">IFERROR(__xludf.DUMMYFUNCTION("""COMPUTED_VALUE"""),-77.257556)</f>
        <v>-77.257555999999994</v>
      </c>
      <c r="AW853" s="8"/>
      <c r="AX853" s="8">
        <f ca="1">IFERROR(__xludf.DUMMYFUNCTION("""COMPUTED_VALUE"""),22191)</f>
        <v>22191</v>
      </c>
    </row>
    <row r="854" spans="1:50" ht="240" x14ac:dyDescent="0.2">
      <c r="A854" s="8" t="str">
        <f ca="1">IFERROR(__xludf.DUMMYFUNCTION("""COMPUTED_VALUE"""),"20230107ORFRP")</f>
        <v>20230107ORFRP</v>
      </c>
      <c r="B854" s="8">
        <f ca="1">IFERROR(__xludf.DUMMYFUNCTION("""COMPUTED_VALUE"""),1)</f>
        <v>1</v>
      </c>
      <c r="C854" s="8">
        <f ca="1">IFERROR(__xludf.DUMMYFUNCTION("""COMPUTED_VALUE"""),7)</f>
        <v>7</v>
      </c>
      <c r="D854" s="8">
        <f ca="1">IFERROR(__xludf.DUMMYFUNCTION("""COMPUTED_VALUE"""),2023)</f>
        <v>2023</v>
      </c>
      <c r="E854" s="9">
        <f ca="1">IFERROR(__xludf.DUMMYFUNCTION("""COMPUTED_VALUE"""),44933)</f>
        <v>44933</v>
      </c>
      <c r="F854" s="8" t="str">
        <f ca="1">IFERROR(__xludf.DUMMYFUNCTION("""COMPUTED_VALUE"""),"Franklin High School")</f>
        <v>Franklin High School</v>
      </c>
      <c r="G854" s="8">
        <f ca="1">IFERROR(__xludf.DUMMYFUNCTION("""COMPUTED_VALUE"""),0)</f>
        <v>0</v>
      </c>
      <c r="H854" s="8">
        <f ca="1">IFERROR(__xludf.DUMMYFUNCTION("""COMPUTED_VALUE"""),1)</f>
        <v>1</v>
      </c>
      <c r="I854" s="8">
        <f ca="1">IFERROR(__xludf.DUMMYFUNCTION("""COMPUTED_VALUE"""),1)</f>
        <v>1</v>
      </c>
      <c r="J854" s="8">
        <f ca="1">IFERROR(__xludf.DUMMYFUNCTION("""COMPUTED_VALUE"""),0)</f>
        <v>0</v>
      </c>
      <c r="K854" s="10" t="str">
        <f ca="1">IFERROR(__xludf.DUMMYFUNCTION("""COMPUTED_VALUE"""),"https://www.koin.com/news/crime/franklin-high-school-basketball-parking-lot-shooting-01082023/
https://www.portlandoregon.gov/police/news/read.cfm?id=452696")</f>
        <v>https://www.koin.com/news/crime/franklin-high-school-basketball-parking-lot-shooting-01082023/
https://www.portlandoregon.gov/police/news/read.cfm?id=452696</v>
      </c>
      <c r="L854" s="8">
        <f ca="1">IFERROR(__xludf.DUMMYFUNCTION("""COMPUTED_VALUE"""),10)</f>
        <v>10</v>
      </c>
      <c r="M854" s="8" t="str">
        <f ca="1">IFERROR(__xludf.DUMMYFUNCTION("""COMPUTED_VALUE"""),"Local")</f>
        <v>Local</v>
      </c>
      <c r="N854" s="8">
        <f ca="1">IFERROR(__xludf.DUMMYFUNCTION("""COMPUTED_VALUE"""),4)</f>
        <v>4</v>
      </c>
      <c r="O854" s="8" t="str">
        <f ca="1">IFERROR(__xludf.DUMMYFUNCTION("""COMPUTED_VALUE"""),"Winter")</f>
        <v>Winter</v>
      </c>
      <c r="P854" s="8" t="str">
        <f ca="1">IFERROR(__xludf.DUMMYFUNCTION("""COMPUTED_VALUE"""),"Portland")</f>
        <v>Portland</v>
      </c>
      <c r="Q854" s="8" t="str">
        <f ca="1">IFERROR(__xludf.DUMMYFUNCTION("""COMPUTED_VALUE"""),"OR")</f>
        <v>OR</v>
      </c>
      <c r="R854" s="8" t="str">
        <f ca="1">IFERROR(__xludf.DUMMYFUNCTION("""COMPUTED_VALUE"""),"High")</f>
        <v>High</v>
      </c>
      <c r="S854" s="8" t="str">
        <f ca="1">IFERROR(__xludf.DUMMYFUNCTION("""COMPUTED_VALUE"""),"Parking Lot")</f>
        <v>Parking Lot</v>
      </c>
      <c r="T854" s="8" t="str">
        <f ca="1">IFERROR(__xludf.DUMMYFUNCTION("""COMPUTED_VALUE"""),"Outside on School Property")</f>
        <v>Outside on School Property</v>
      </c>
      <c r="U854" s="8" t="str">
        <f ca="1">IFERROR(__xludf.DUMMYFUNCTION("""COMPUTED_VALUE"""),"No")</f>
        <v>No</v>
      </c>
      <c r="V854" s="8" t="str">
        <f ca="1">IFERROR(__xludf.DUMMYFUNCTION("""COMPUTED_VALUE"""),"Sport Event")</f>
        <v>Sport Event</v>
      </c>
      <c r="W854" s="11">
        <f ca="1">IFERROR(__xludf.DUMMYFUNCTION("""COMPUTED_VALUE"""),0.819444444444444)</f>
        <v>0.81944444444444398</v>
      </c>
      <c r="X854" s="8">
        <f ca="1">IFERROR(__xludf.DUMMYFUNCTION("""COMPUTED_VALUE"""),1)</f>
        <v>1</v>
      </c>
      <c r="Y854" s="12" t="str">
        <f ca="1">IFERROR(__xludf.DUMMYFUNCTION("""COMPUTED_VALUE"""),"Teen shot in parking lot during high school basketball game")</f>
        <v>Teen shot in parking lot during high school basketball game</v>
      </c>
      <c r="Z854" s="12" t="str">
        <f ca="1">IFERROR(__xludf.DUMMYFUNCTION("""COMPUTED_VALUE"""),"Gunfire in the parking lot at Franklin High School left one person with a minor injury, one person detained and forced the cancellation of a basketball game Saturday night. The incident happened around 7:40 p.m. as Cleveland High was playing Roosevelt Hig"&amp;"h at the school, 5405 SE Woodward. A Portland officer assigned to Franklin High heard the shots, called for help and began to look into the shooting. One player with Roosevelt High School who spoke with KOIN 6 News said he was on the court when the chaos "&amp;"broke out. He didn’t hear the gunshots but said he took off as soon as he saw the stampede of fans fleeing. “I was on the court and all I heard was my coaches telling me to run and then we ran outside onto the field and some of our gear got messed up. And"&amp;" we were told the game was supposed to continue but it ended up being postponed,” he said. “I don’t want to play here again.”")</f>
        <v>Gunfire in the parking lot at Franklin High School left one person with a minor injury, one person detained and forced the cancellation of a basketball game Saturday night. The incident happened around 7:40 p.m. as Cleveland High was playing Roosevelt High at the school, 5405 SE Woodward. A Portland officer assigned to Franklin High heard the shots, called for help and began to look into the shooting. One player with Roosevelt High School who spoke with KOIN 6 News said he was on the court when the chaos broke out. He didn’t hear the gunshots but said he took off as soon as he saw the stampede of fans fleeing. “I was on the court and all I heard was my coaches telling me to run and then we ran outside onto the field and some of our gear got messed up. And we were told the game was supposed to continue but it ended up being postponed,” he said. “I don’t want to play here again.”</v>
      </c>
      <c r="AA854" s="8"/>
      <c r="AB854" s="8"/>
      <c r="AC854" s="8" t="str">
        <f ca="1">IFERROR(__xludf.DUMMYFUNCTION("""COMPUTED_VALUE"""),"Yes")</f>
        <v>Yes</v>
      </c>
      <c r="AD854" s="8" t="str">
        <f ca="1">IFERROR(__xludf.DUMMYFUNCTION("""COMPUTED_VALUE"""),"Victims Targeted")</f>
        <v>Victims Targeted</v>
      </c>
      <c r="AE854" s="8" t="str">
        <f ca="1">IFERROR(__xludf.DUMMYFUNCTION("""COMPUTED_VALUE"""),"No")</f>
        <v>No</v>
      </c>
      <c r="AF854" s="8"/>
      <c r="AG854" s="8" t="str">
        <f ca="1">IFERROR(__xludf.DUMMYFUNCTION("""COMPUTED_VALUE"""),"No")</f>
        <v>No</v>
      </c>
      <c r="AH854" s="8" t="str">
        <f ca="1">IFERROR(__xludf.DUMMYFUNCTION("""COMPUTED_VALUE"""),"No")</f>
        <v>No</v>
      </c>
      <c r="AI854" s="8" t="str">
        <f ca="1">IFERROR(__xludf.DUMMYFUNCTION("""COMPUTED_VALUE"""),"No")</f>
        <v>No</v>
      </c>
      <c r="AJ854" s="8" t="str">
        <f ca="1">IFERROR(__xludf.DUMMYFUNCTION("""COMPUTED_VALUE"""),"No")</f>
        <v>No</v>
      </c>
      <c r="AK854" s="8" t="str">
        <f ca="1">IFERROR(__xludf.DUMMYFUNCTION("""COMPUTED_VALUE"""),"No")</f>
        <v>No</v>
      </c>
      <c r="AL854" s="8"/>
      <c r="AM854" s="8" t="str">
        <f ca="1">IFERROR(__xludf.DUMMYFUNCTION("""COMPUTED_VALUE"""),"No")</f>
        <v>No</v>
      </c>
      <c r="AN854" s="8" t="str">
        <f ca="1">IFERROR(__xludf.DUMMYFUNCTION("""COMPUTED_VALUE"""),"Outside")</f>
        <v>Outside</v>
      </c>
      <c r="AO854" s="8" t="str">
        <f ca="1">IFERROR(__xludf.DUMMYFUNCTION("""COMPUTED_VALUE"""),"No")</f>
        <v>No</v>
      </c>
      <c r="AP854" s="8" t="str">
        <f ca="1">IFERROR(__xludf.DUMMYFUNCTION("""COMPUTED_VALUE"""),"Yes")</f>
        <v>Yes</v>
      </c>
      <c r="AQ854" s="8" t="str">
        <f ca="1">IFERROR(__xludf.DUMMYFUNCTION("""COMPUTED_VALUE"""),"Armed Guards")</f>
        <v>Armed Guards</v>
      </c>
      <c r="AR854" s="8" t="str">
        <f ca="1">IFERROR(__xludf.DUMMYFUNCTION("""COMPUTED_VALUE"""),"Outside/Off-Property")</f>
        <v>Outside/Off-Property</v>
      </c>
      <c r="AS854" s="8">
        <f ca="1">IFERROR(__xludf.DUMMYFUNCTION("""COMPUTED_VALUE"""),99)</f>
        <v>99</v>
      </c>
      <c r="AT854" s="8"/>
      <c r="AU854" s="8">
        <f ca="1">IFERROR(__xludf.DUMMYFUNCTION("""COMPUTED_VALUE"""),45.502)</f>
        <v>45.502000000000002</v>
      </c>
      <c r="AV854" s="8">
        <f ca="1">IFERROR(__xludf.DUMMYFUNCTION("""COMPUTED_VALUE"""),-122.606571)</f>
        <v>-122.606571</v>
      </c>
      <c r="AW854" s="8"/>
      <c r="AX854" s="8">
        <f ca="1">IFERROR(__xludf.DUMMYFUNCTION("""COMPUTED_VALUE"""),97206)</f>
        <v>97206</v>
      </c>
    </row>
    <row r="855" spans="1:50" ht="45" x14ac:dyDescent="0.2">
      <c r="A855" s="8" t="str">
        <f ca="1">IFERROR(__xludf.DUMMYFUNCTION("""COMPUTED_VALUE"""),"20230106VARIN")</f>
        <v>20230106VARIN</v>
      </c>
      <c r="B855" s="8">
        <f ca="1">IFERROR(__xludf.DUMMYFUNCTION("""COMPUTED_VALUE"""),1)</f>
        <v>1</v>
      </c>
      <c r="C855" s="8">
        <f ca="1">IFERROR(__xludf.DUMMYFUNCTION("""COMPUTED_VALUE"""),6)</f>
        <v>6</v>
      </c>
      <c r="D855" s="8">
        <f ca="1">IFERROR(__xludf.DUMMYFUNCTION("""COMPUTED_VALUE"""),2023)</f>
        <v>2023</v>
      </c>
      <c r="E855" s="9">
        <f ca="1">IFERROR(__xludf.DUMMYFUNCTION("""COMPUTED_VALUE"""),44932)</f>
        <v>44932</v>
      </c>
      <c r="F855" s="8" t="str">
        <f ca="1">IFERROR(__xludf.DUMMYFUNCTION("""COMPUTED_VALUE"""),"Richneck Elementary School")</f>
        <v>Richneck Elementary School</v>
      </c>
      <c r="G855" s="8">
        <f ca="1">IFERROR(__xludf.DUMMYFUNCTION("""COMPUTED_VALUE"""),0)</f>
        <v>0</v>
      </c>
      <c r="H855" s="8">
        <f ca="1">IFERROR(__xludf.DUMMYFUNCTION("""COMPUTED_VALUE"""),1)</f>
        <v>1</v>
      </c>
      <c r="I855" s="8">
        <f ca="1">IFERROR(__xludf.DUMMYFUNCTION("""COMPUTED_VALUE"""),1)</f>
        <v>1</v>
      </c>
      <c r="J855" s="8">
        <f ca="1">IFERROR(__xludf.DUMMYFUNCTION("""COMPUTED_VALUE"""),0)</f>
        <v>0</v>
      </c>
      <c r="K855" s="8" t="str">
        <f ca="1">IFERROR(__xludf.DUMMYFUNCTION("""COMPUTED_VALUE"""),"https://www.ktvq.com/mother-of-boy-who-shot-elementary-school-teacher-sentenced-to-5-years
https://www.wtkr.com/news/police-to-give-update-after-teacher-shot-by-6-year-old-student-in-newport-news")</f>
        <v>https://www.ktvq.com/mother-of-boy-who-shot-elementary-school-teacher-sentenced-to-5-years
https://www.wtkr.com/news/police-to-give-update-after-teacher-shot-by-6-year-old-student-in-newport-news</v>
      </c>
      <c r="L855" s="8">
        <f ca="1">IFERROR(__xludf.DUMMYFUNCTION("""COMPUTED_VALUE"""),999)</f>
        <v>999</v>
      </c>
      <c r="M855" s="8" t="str">
        <f ca="1">IFERROR(__xludf.DUMMYFUNCTION("""COMPUTED_VALUE"""),"International")</f>
        <v>International</v>
      </c>
      <c r="N855" s="8">
        <f ca="1">IFERROR(__xludf.DUMMYFUNCTION("""COMPUTED_VALUE"""),4)</f>
        <v>4</v>
      </c>
      <c r="O855" s="8" t="str">
        <f ca="1">IFERROR(__xludf.DUMMYFUNCTION("""COMPUTED_VALUE"""),"Winter")</f>
        <v>Winter</v>
      </c>
      <c r="P855" s="8" t="str">
        <f ca="1">IFERROR(__xludf.DUMMYFUNCTION("""COMPUTED_VALUE"""),"Newport News")</f>
        <v>Newport News</v>
      </c>
      <c r="Q855" s="8" t="str">
        <f ca="1">IFERROR(__xludf.DUMMYFUNCTION("""COMPUTED_VALUE"""),"VA")</f>
        <v>VA</v>
      </c>
      <c r="R855" s="8" t="str">
        <f ca="1">IFERROR(__xludf.DUMMYFUNCTION("""COMPUTED_VALUE"""),"Elementary")</f>
        <v>Elementary</v>
      </c>
      <c r="S855" s="8" t="str">
        <f ca="1">IFERROR(__xludf.DUMMYFUNCTION("""COMPUTED_VALUE"""),"Classroom")</f>
        <v>Classroom</v>
      </c>
      <c r="T855" s="8" t="str">
        <f ca="1">IFERROR(__xludf.DUMMYFUNCTION("""COMPUTED_VALUE"""),"Inside School Building")</f>
        <v>Inside School Building</v>
      </c>
      <c r="U855" s="8" t="str">
        <f ca="1">IFERROR(__xludf.DUMMYFUNCTION("""COMPUTED_VALUE"""),"Yes")</f>
        <v>Yes</v>
      </c>
      <c r="V855" s="8" t="str">
        <f ca="1">IFERROR(__xludf.DUMMYFUNCTION("""COMPUTED_VALUE"""),"Afternoon Classes")</f>
        <v>Afternoon Classes</v>
      </c>
      <c r="W855" s="11">
        <f ca="1">IFERROR(__xludf.DUMMYFUNCTION("""COMPUTED_VALUE"""),0.583333333333333)</f>
        <v>0.58333333333333304</v>
      </c>
      <c r="X855" s="8">
        <f ca="1">IFERROR(__xludf.DUMMYFUNCTION("""COMPUTED_VALUE"""),1)</f>
        <v>1</v>
      </c>
      <c r="Y855" s="12" t="str">
        <f ca="1">IFERROR(__xludf.DUMMYFUNCTION("""COMPUTED_VALUE"""),"6-year-old student shot teacher inside classroom")</f>
        <v>6-year-old student shot teacher inside classroom</v>
      </c>
      <c r="Z855" s="12" t="str">
        <f ca="1">IFERROR(__xludf.DUMMYFUNCTION("""COMPUTED_VALUE"""),"6-year-old student shot teacher inside classroom. Mother was sentenced in December 2023 to 5 years in prison for child neglect.")</f>
        <v>6-year-old student shot teacher inside classroom. Mother was sentenced in December 2023 to 5 years in prison for child neglect.</v>
      </c>
      <c r="AA855" s="8"/>
      <c r="AB855" s="8"/>
      <c r="AC855" s="8" t="str">
        <f ca="1">IFERROR(__xludf.DUMMYFUNCTION("""COMPUTED_VALUE"""),"Yes")</f>
        <v>Yes</v>
      </c>
      <c r="AD855" s="8" t="str">
        <f ca="1">IFERROR(__xludf.DUMMYFUNCTION("""COMPUTED_VALUE"""),"Victims Targeted")</f>
        <v>Victims Targeted</v>
      </c>
      <c r="AE855" s="8" t="str">
        <f ca="1">IFERROR(__xludf.DUMMYFUNCTION("""COMPUTED_VALUE"""),"No")</f>
        <v>No</v>
      </c>
      <c r="AF855" s="8"/>
      <c r="AG855" s="8" t="str">
        <f ca="1">IFERROR(__xludf.DUMMYFUNCTION("""COMPUTED_VALUE"""),"No")</f>
        <v>No</v>
      </c>
      <c r="AH855" s="8" t="str">
        <f ca="1">IFERROR(__xludf.DUMMYFUNCTION("""COMPUTED_VALUE"""),"No")</f>
        <v>No</v>
      </c>
      <c r="AI855" s="8" t="str">
        <f ca="1">IFERROR(__xludf.DUMMYFUNCTION("""COMPUTED_VALUE"""),"No")</f>
        <v>No</v>
      </c>
      <c r="AJ855" s="8" t="str">
        <f ca="1">IFERROR(__xludf.DUMMYFUNCTION("""COMPUTED_VALUE"""),"No")</f>
        <v>No</v>
      </c>
      <c r="AK855" s="8" t="str">
        <f ca="1">IFERROR(__xludf.DUMMYFUNCTION("""COMPUTED_VALUE"""),"No")</f>
        <v>No</v>
      </c>
      <c r="AL855" s="8" t="str">
        <f ca="1">IFERROR(__xludf.DUMMYFUNCTION("""COMPUTED_VALUE"""),"No")</f>
        <v>No</v>
      </c>
      <c r="AM855" s="8"/>
      <c r="AN855" s="8" t="str">
        <f ca="1">IFERROR(__xludf.DUMMYFUNCTION("""COMPUTED_VALUE"""),"Single Room")</f>
        <v>Single Room</v>
      </c>
      <c r="AO855" s="8"/>
      <c r="AP855" s="8"/>
      <c r="AQ855" s="8" t="str">
        <f ca="1">IFERROR(__xludf.DUMMYFUNCTION("""COMPUTED_VALUE"""),"Metal Detectors Intermittent")</f>
        <v>Metal Detectors Intermittent</v>
      </c>
      <c r="AR855" s="8" t="str">
        <f ca="1">IFERROR(__xludf.DUMMYFUNCTION("""COMPUTED_VALUE"""),"Failed")</f>
        <v>Failed</v>
      </c>
      <c r="AS855" s="8"/>
      <c r="AT855" s="8" t="str">
        <f ca="1">IFERROR(__xludf.DUMMYFUNCTION("""COMPUTED_VALUE"""),"Yes")</f>
        <v>Yes</v>
      </c>
      <c r="AU855" s="8">
        <f ca="1">IFERROR(__xludf.DUMMYFUNCTION("""COMPUTED_VALUE"""),37.156027)</f>
        <v>37.156027000000002</v>
      </c>
      <c r="AV855" s="8">
        <f ca="1">IFERROR(__xludf.DUMMYFUNCTION("""COMPUTED_VALUE"""),-76.523618)</f>
        <v>-76.523617999999999</v>
      </c>
      <c r="AW855" s="8"/>
      <c r="AX855" s="8">
        <f ca="1">IFERROR(__xludf.DUMMYFUNCTION("""COMPUTED_VALUE"""),23608)</f>
        <v>23608</v>
      </c>
    </row>
    <row r="856" spans="1:50" ht="150" x14ac:dyDescent="0.2">
      <c r="A856" s="8" t="str">
        <f ca="1">IFERROR(__xludf.DUMMYFUNCTION("""COMPUTED_VALUE"""),"20230106MIOAD")</f>
        <v>20230106MIOAD</v>
      </c>
      <c r="B856" s="8">
        <f ca="1">IFERROR(__xludf.DUMMYFUNCTION("""COMPUTED_VALUE"""),1)</f>
        <v>1</v>
      </c>
      <c r="C856" s="8">
        <f ca="1">IFERROR(__xludf.DUMMYFUNCTION("""COMPUTED_VALUE"""),6)</f>
        <v>6</v>
      </c>
      <c r="D856" s="8">
        <f ca="1">IFERROR(__xludf.DUMMYFUNCTION("""COMPUTED_VALUE"""),2023)</f>
        <v>2023</v>
      </c>
      <c r="E856" s="9">
        <f ca="1">IFERROR(__xludf.DUMMYFUNCTION("""COMPUTED_VALUE"""),44932)</f>
        <v>44932</v>
      </c>
      <c r="F856" s="8" t="str">
        <f ca="1">IFERROR(__xludf.DUMMYFUNCTION("""COMPUTED_VALUE"""),"Oak Park High School")</f>
        <v>Oak Park High School</v>
      </c>
      <c r="G856" s="8">
        <f ca="1">IFERROR(__xludf.DUMMYFUNCTION("""COMPUTED_VALUE"""),0)</f>
        <v>0</v>
      </c>
      <c r="H856" s="8">
        <f ca="1">IFERROR(__xludf.DUMMYFUNCTION("""COMPUTED_VALUE"""),1)</f>
        <v>1</v>
      </c>
      <c r="I856" s="8">
        <f ca="1">IFERROR(__xludf.DUMMYFUNCTION("""COMPUTED_VALUE"""),1)</f>
        <v>1</v>
      </c>
      <c r="J856" s="8">
        <f ca="1">IFERROR(__xludf.DUMMYFUNCTION("""COMPUTED_VALUE"""),0)</f>
        <v>0</v>
      </c>
      <c r="K856" s="8" t="str">
        <f ca="1">IFERROR(__xludf.DUMMYFUNCTION("""COMPUTED_VALUE"""),"https://www.fox2detroit.com/news/teen-injured-in-shooting-outside-oak-park-high-school-after-basketball-game
https://www.fox2detroit.com/news/teen-shot-outside-oak-park-high-school-by-suspects-trying-to-steal-his-gold-chain")</f>
        <v>https://www.fox2detroit.com/news/teen-injured-in-shooting-outside-oak-park-high-school-after-basketball-game
https://www.fox2detroit.com/news/teen-shot-outside-oak-park-high-school-by-suspects-trying-to-steal-his-gold-chain</v>
      </c>
      <c r="L856" s="8">
        <f ca="1">IFERROR(__xludf.DUMMYFUNCTION("""COMPUTED_VALUE"""),10)</f>
        <v>10</v>
      </c>
      <c r="M856" s="8" t="str">
        <f ca="1">IFERROR(__xludf.DUMMYFUNCTION("""COMPUTED_VALUE"""),"Local")</f>
        <v>Local</v>
      </c>
      <c r="N856" s="8">
        <f ca="1">IFERROR(__xludf.DUMMYFUNCTION("""COMPUTED_VALUE"""),4)</f>
        <v>4</v>
      </c>
      <c r="O856" s="8" t="str">
        <f ca="1">IFERROR(__xludf.DUMMYFUNCTION("""COMPUTED_VALUE"""),"Winter")</f>
        <v>Winter</v>
      </c>
      <c r="P856" s="8" t="str">
        <f ca="1">IFERROR(__xludf.DUMMYFUNCTION("""COMPUTED_VALUE"""),"Detroit")</f>
        <v>Detroit</v>
      </c>
      <c r="Q856" s="8" t="str">
        <f ca="1">IFERROR(__xludf.DUMMYFUNCTION("""COMPUTED_VALUE"""),"MI")</f>
        <v>MI</v>
      </c>
      <c r="R856" s="8" t="str">
        <f ca="1">IFERROR(__xludf.DUMMYFUNCTION("""COMPUTED_VALUE"""),"High")</f>
        <v>High</v>
      </c>
      <c r="S856" s="8" t="str">
        <f ca="1">IFERROR(__xludf.DUMMYFUNCTION("""COMPUTED_VALUE"""),"Beside Building")</f>
        <v>Beside Building</v>
      </c>
      <c r="T856" s="8" t="str">
        <f ca="1">IFERROR(__xludf.DUMMYFUNCTION("""COMPUTED_VALUE"""),"Outside on School Property")</f>
        <v>Outside on School Property</v>
      </c>
      <c r="U856" s="8" t="str">
        <f ca="1">IFERROR(__xludf.DUMMYFUNCTION("""COMPUTED_VALUE"""),"No")</f>
        <v>No</v>
      </c>
      <c r="V856" s="8" t="str">
        <f ca="1">IFERROR(__xludf.DUMMYFUNCTION("""COMPUTED_VALUE"""),"Sport Event")</f>
        <v>Sport Event</v>
      </c>
      <c r="W856" s="11">
        <f ca="1">IFERROR(__xludf.DUMMYFUNCTION("""COMPUTED_VALUE"""),0.881944444444444)</f>
        <v>0.88194444444444398</v>
      </c>
      <c r="X856" s="8">
        <f ca="1">IFERROR(__xludf.DUMMYFUNCTION("""COMPUTED_VALUE"""),1)</f>
        <v>1</v>
      </c>
      <c r="Y856" s="12" t="str">
        <f ca="1">IFERROR(__xludf.DUMMYFUNCTION("""COMPUTED_VALUE"""),"Teen shot outside high school basketball game")</f>
        <v>Teen shot outside high school basketball game</v>
      </c>
      <c r="Z856" s="12" t="str">
        <f ca="1">IFERROR(__xludf.DUMMYFUNCTION("""COMPUTED_VALUE"""),"At 9:10 pm on Friday, Jan. 6, police received several 911 calls from Oak Park High School regarding reports of shots fired in the area following an Oak Park High School varsity basketball game. Oak Park officers responded and located an Oak Park Schools s"&amp;"tudent who had been shot multiple times.  The student was transported to an area hospital for treatment and is currently in stable condition, police said. Following the incident, Oak Park officers located the suspect and recovered a handgun. Police say th"&amp;"e shooting stemmed from an attempted robbery of a gold chain.")</f>
        <v>At 9:10 pm on Friday, Jan. 6, police received several 911 calls from Oak Park High School regarding reports of shots fired in the area following an Oak Park High School varsity basketball game. Oak Park officers responded and located an Oak Park Schools student who had been shot multiple times.  The student was transported to an area hospital for treatment and is currently in stable condition, police said. Following the incident, Oak Park officers located the suspect and recovered a handgun. Police say the shooting stemmed from an attempted robbery of a gold chain.</v>
      </c>
      <c r="AA856" s="8" t="str">
        <f ca="1">IFERROR(__xludf.DUMMYFUNCTION("""COMPUTED_VALUE"""),"Illegal Activity")</f>
        <v>Illegal Activity</v>
      </c>
      <c r="AB856" s="8"/>
      <c r="AC856" s="8" t="str">
        <f ca="1">IFERROR(__xludf.DUMMYFUNCTION("""COMPUTED_VALUE"""),"Yes")</f>
        <v>Yes</v>
      </c>
      <c r="AD856" s="8" t="str">
        <f ca="1">IFERROR(__xludf.DUMMYFUNCTION("""COMPUTED_VALUE"""),"Victims Targeted")</f>
        <v>Victims Targeted</v>
      </c>
      <c r="AE856" s="8"/>
      <c r="AF856" s="8"/>
      <c r="AG856" s="8" t="str">
        <f ca="1">IFERROR(__xludf.DUMMYFUNCTION("""COMPUTED_VALUE"""),"No")</f>
        <v>No</v>
      </c>
      <c r="AH856" s="8" t="str">
        <f ca="1">IFERROR(__xludf.DUMMYFUNCTION("""COMPUTED_VALUE"""),"No")</f>
        <v>No</v>
      </c>
      <c r="AI856" s="8" t="str">
        <f ca="1">IFERROR(__xludf.DUMMYFUNCTION("""COMPUTED_VALUE"""),"No")</f>
        <v>No</v>
      </c>
      <c r="AJ856" s="8" t="str">
        <f ca="1">IFERROR(__xludf.DUMMYFUNCTION("""COMPUTED_VALUE"""),"No")</f>
        <v>No</v>
      </c>
      <c r="AK856" s="8" t="str">
        <f ca="1">IFERROR(__xludf.DUMMYFUNCTION("""COMPUTED_VALUE"""),"No")</f>
        <v>No</v>
      </c>
      <c r="AL856" s="8"/>
      <c r="AM856" s="8" t="str">
        <f ca="1">IFERROR(__xludf.DUMMYFUNCTION("""COMPUTED_VALUE"""),"No")</f>
        <v>No</v>
      </c>
      <c r="AN856" s="8" t="str">
        <f ca="1">IFERROR(__xludf.DUMMYFUNCTION("""COMPUTED_VALUE"""),"Outside")</f>
        <v>Outside</v>
      </c>
      <c r="AO856" s="8" t="str">
        <f ca="1">IFERROR(__xludf.DUMMYFUNCTION("""COMPUTED_VALUE"""),"No")</f>
        <v>No</v>
      </c>
      <c r="AP856" s="8"/>
      <c r="AQ856" s="8"/>
      <c r="AR856" s="8" t="str">
        <f ca="1">IFERROR(__xludf.DUMMYFUNCTION("""COMPUTED_VALUE"""),"Outside/Off-Property")</f>
        <v>Outside/Off-Property</v>
      </c>
      <c r="AS856" s="8">
        <f ca="1">IFERROR(__xludf.DUMMYFUNCTION("""COMPUTED_VALUE"""),99)</f>
        <v>99</v>
      </c>
      <c r="AT856" s="8"/>
      <c r="AU856" s="8">
        <f ca="1">IFERROR(__xludf.DUMMYFUNCTION("""COMPUTED_VALUE"""),42.464932)</f>
        <v>42.464931999999997</v>
      </c>
      <c r="AV856" s="8">
        <f ca="1">IFERROR(__xludf.DUMMYFUNCTION("""COMPUTED_VALUE"""),-83.183751)</f>
        <v>-83.183751000000001</v>
      </c>
      <c r="AW856" s="8"/>
      <c r="AX856" s="8">
        <f ca="1">IFERROR(__xludf.DUMMYFUNCTION("""COMPUTED_VALUE"""),48237)</f>
        <v>48237</v>
      </c>
    </row>
    <row r="857" spans="1:50" ht="120" x14ac:dyDescent="0.2">
      <c r="A857" s="8" t="str">
        <f ca="1">IFERROR(__xludf.DUMMYFUNCTION("""COMPUTED_VALUE"""),"20230106MDBEB")</f>
        <v>20230106MDBEB</v>
      </c>
      <c r="B857" s="8">
        <f ca="1">IFERROR(__xludf.DUMMYFUNCTION("""COMPUTED_VALUE"""),1)</f>
        <v>1</v>
      </c>
      <c r="C857" s="8">
        <f ca="1">IFERROR(__xludf.DUMMYFUNCTION("""COMPUTED_VALUE"""),6)</f>
        <v>6</v>
      </c>
      <c r="D857" s="8">
        <f ca="1">IFERROR(__xludf.DUMMYFUNCTION("""COMPUTED_VALUE"""),2023)</f>
        <v>2023</v>
      </c>
      <c r="E857" s="9">
        <f ca="1">IFERROR(__xludf.DUMMYFUNCTION("""COMPUTED_VALUE"""),44932)</f>
        <v>44932</v>
      </c>
      <c r="F857" s="8" t="str">
        <f ca="1">IFERROR(__xludf.DUMMYFUNCTION("""COMPUTED_VALUE"""),"Benjamin Franklin High School")</f>
        <v>Benjamin Franklin High School</v>
      </c>
      <c r="G857" s="8">
        <f ca="1">IFERROR(__xludf.DUMMYFUNCTION("""COMPUTED_VALUE"""),0)</f>
        <v>0</v>
      </c>
      <c r="H857" s="8">
        <f ca="1">IFERROR(__xludf.DUMMYFUNCTION("""COMPUTED_VALUE"""),2)</f>
        <v>2</v>
      </c>
      <c r="I857" s="8">
        <f ca="1">IFERROR(__xludf.DUMMYFUNCTION("""COMPUTED_VALUE"""),2)</f>
        <v>2</v>
      </c>
      <c r="J857" s="8">
        <f ca="1">IFERROR(__xludf.DUMMYFUNCTION("""COMPUTED_VALUE"""),0)</f>
        <v>0</v>
      </c>
      <c r="K857" s="8" t="str">
        <f ca="1">IFERROR(__xludf.DUMMYFUNCTION("""COMPUTED_VALUE"""),"https://www.wbaltv.com/article/2-teenagers-arrested-in-january-double-shooting-outside-benjamin-franklin-high-school/42777992
https://www.wbaltv.com/article/double-shooting-cambria-street-near-school-brooklyn-baltimore/42420190")</f>
        <v>https://www.wbaltv.com/article/2-teenagers-arrested-in-january-double-shooting-outside-benjamin-franklin-high-school/42777992
https://www.wbaltv.com/article/double-shooting-cambria-street-near-school-brooklyn-baltimore/42420190</v>
      </c>
      <c r="L857" s="8">
        <f ca="1">IFERROR(__xludf.DUMMYFUNCTION("""COMPUTED_VALUE"""),20)</f>
        <v>20</v>
      </c>
      <c r="M857" s="8" t="str">
        <f ca="1">IFERROR(__xludf.DUMMYFUNCTION("""COMPUTED_VALUE"""),"Regional")</f>
        <v>Regional</v>
      </c>
      <c r="N857" s="8">
        <f ca="1">IFERROR(__xludf.DUMMYFUNCTION("""COMPUTED_VALUE"""),4)</f>
        <v>4</v>
      </c>
      <c r="O857" s="8" t="str">
        <f ca="1">IFERROR(__xludf.DUMMYFUNCTION("""COMPUTED_VALUE"""),"Winter")</f>
        <v>Winter</v>
      </c>
      <c r="P857" s="8" t="str">
        <f ca="1">IFERROR(__xludf.DUMMYFUNCTION("""COMPUTED_VALUE"""),"Baltimore")</f>
        <v>Baltimore</v>
      </c>
      <c r="Q857" s="8" t="str">
        <f ca="1">IFERROR(__xludf.DUMMYFUNCTION("""COMPUTED_VALUE"""),"MD")</f>
        <v>MD</v>
      </c>
      <c r="R857" s="8" t="str">
        <f ca="1">IFERROR(__xludf.DUMMYFUNCTION("""COMPUTED_VALUE"""),"High")</f>
        <v>High</v>
      </c>
      <c r="S857" s="8" t="str">
        <f ca="1">IFERROR(__xludf.DUMMYFUNCTION("""COMPUTED_VALUE"""),"Front of School")</f>
        <v>Front of School</v>
      </c>
      <c r="T857" s="8" t="str">
        <f ca="1">IFERROR(__xludf.DUMMYFUNCTION("""COMPUTED_VALUE"""),"Outside on School Property")</f>
        <v>Outside on School Property</v>
      </c>
      <c r="U857" s="8" t="str">
        <f ca="1">IFERROR(__xludf.DUMMYFUNCTION("""COMPUTED_VALUE"""),"Yes")</f>
        <v>Yes</v>
      </c>
      <c r="V857" s="8" t="str">
        <f ca="1">IFERROR(__xludf.DUMMYFUNCTION("""COMPUTED_VALUE"""),"Dismissal")</f>
        <v>Dismissal</v>
      </c>
      <c r="W857" s="11">
        <f ca="1">IFERROR(__xludf.DUMMYFUNCTION("""COMPUTED_VALUE"""),0.588194444444444)</f>
        <v>0.58819444444444402</v>
      </c>
      <c r="X857" s="8">
        <f ca="1">IFERROR(__xludf.DUMMYFUNCTION("""COMPUTED_VALUE"""),1)</f>
        <v>1</v>
      </c>
      <c r="Y857" s="12" t="str">
        <f ca="1">IFERROR(__xludf.DUMMYFUNCTION("""COMPUTED_VALUE"""),"Two teens shot in front of school during dismissal")</f>
        <v>Two teens shot in front of school during dismissal</v>
      </c>
      <c r="Z857" s="12" t="str">
        <f ca="1">IFERROR(__xludf.DUMMYFUNCTION("""COMPUTED_VALUE"""),"City police said officers were called around 2:07 p.m. to the 1100 block of Cambria Street, across the street from Benjamin Franklin High School. Investigators said the victims were standing with a group of people when someone approached, the rest of the "&amp;"group fled and the two victims were shot. 15-year-old girl was shot in the back and a 16-year-old boy was shot in the ankle. Both were taken to a hospital with non-life-threatening injuries.")</f>
        <v>City police said officers were called around 2:07 p.m. to the 1100 block of Cambria Street, across the street from Benjamin Franklin High School. Investigators said the victims were standing with a group of people when someone approached, the rest of the group fled and the two victims were shot. 15-year-old girl was shot in the back and a 16-year-old boy was shot in the ankle. Both were taken to a hospital with non-life-threatening injuries.</v>
      </c>
      <c r="AA857" s="8" t="str">
        <f ca="1">IFERROR(__xludf.DUMMYFUNCTION("""COMPUTED_VALUE"""),"Escalation of Dispute")</f>
        <v>Escalation of Dispute</v>
      </c>
      <c r="AB857" s="8"/>
      <c r="AC857" s="8" t="str">
        <f ca="1">IFERROR(__xludf.DUMMYFUNCTION("""COMPUTED_VALUE"""),"Yes")</f>
        <v>Yes</v>
      </c>
      <c r="AD857" s="8" t="str">
        <f ca="1">IFERROR(__xludf.DUMMYFUNCTION("""COMPUTED_VALUE"""),"Both")</f>
        <v>Both</v>
      </c>
      <c r="AE857" s="8" t="str">
        <f ca="1">IFERROR(__xludf.DUMMYFUNCTION("""COMPUTED_VALUE"""),"Yes")</f>
        <v>Yes</v>
      </c>
      <c r="AF857" s="8" t="str">
        <f ca="1">IFERROR(__xludf.DUMMYFUNCTION("""COMPUTED_VALUE"""),"Two teens charged")</f>
        <v>Two teens charged</v>
      </c>
      <c r="AG857" s="8" t="str">
        <f ca="1">IFERROR(__xludf.DUMMYFUNCTION("""COMPUTED_VALUE"""),"No")</f>
        <v>No</v>
      </c>
      <c r="AH857" s="8" t="str">
        <f ca="1">IFERROR(__xludf.DUMMYFUNCTION("""COMPUTED_VALUE"""),"No")</f>
        <v>No</v>
      </c>
      <c r="AI857" s="8" t="str">
        <f ca="1">IFERROR(__xludf.DUMMYFUNCTION("""COMPUTED_VALUE"""),"No")</f>
        <v>No</v>
      </c>
      <c r="AJ857" s="8" t="str">
        <f ca="1">IFERROR(__xludf.DUMMYFUNCTION("""COMPUTED_VALUE"""),"No")</f>
        <v>No</v>
      </c>
      <c r="AK857" s="8" t="str">
        <f ca="1">IFERROR(__xludf.DUMMYFUNCTION("""COMPUTED_VALUE"""),"No")</f>
        <v>No</v>
      </c>
      <c r="AL857" s="8"/>
      <c r="AM857" s="8" t="str">
        <f ca="1">IFERROR(__xludf.DUMMYFUNCTION("""COMPUTED_VALUE"""),"No")</f>
        <v>No</v>
      </c>
      <c r="AN857" s="8" t="str">
        <f ca="1">IFERROR(__xludf.DUMMYFUNCTION("""COMPUTED_VALUE"""),"Outside")</f>
        <v>Outside</v>
      </c>
      <c r="AO857" s="8" t="str">
        <f ca="1">IFERROR(__xludf.DUMMYFUNCTION("""COMPUTED_VALUE"""),"No")</f>
        <v>No</v>
      </c>
      <c r="AP857" s="8"/>
      <c r="AQ857" s="8"/>
      <c r="AR857" s="8" t="str">
        <f ca="1">IFERROR(__xludf.DUMMYFUNCTION("""COMPUTED_VALUE"""),"Outside/Off-Property")</f>
        <v>Outside/Off-Property</v>
      </c>
      <c r="AS857" s="8">
        <f ca="1">IFERROR(__xludf.DUMMYFUNCTION("""COMPUTED_VALUE"""),99)</f>
        <v>99</v>
      </c>
      <c r="AT857" s="8" t="str">
        <f ca="1">IFERROR(__xludf.DUMMYFUNCTION("""COMPUTED_VALUE"""),"Yes")</f>
        <v>Yes</v>
      </c>
      <c r="AU857" s="8">
        <f ca="1">IFERROR(__xludf.DUMMYFUNCTION("""COMPUTED_VALUE"""),39.232932)</f>
        <v>39.232931999999998</v>
      </c>
      <c r="AV857" s="8">
        <f ca="1">IFERROR(__xludf.DUMMYFUNCTION("""COMPUTED_VALUE"""),-76.59337)</f>
        <v>-76.593369999999993</v>
      </c>
      <c r="AW857" s="8"/>
      <c r="AX857" s="8">
        <f ca="1">IFERROR(__xludf.DUMMYFUNCTION("""COMPUTED_VALUE"""),21226)</f>
        <v>21226</v>
      </c>
    </row>
    <row r="858" spans="1:50" ht="60" x14ac:dyDescent="0.2">
      <c r="A858" s="8" t="str">
        <f ca="1">IFERROR(__xludf.DUMMYFUNCTION("""COMPUTED_VALUE"""),"20230106FLWEA")</f>
        <v>20230106FLWEA</v>
      </c>
      <c r="B858" s="8">
        <f ca="1">IFERROR(__xludf.DUMMYFUNCTION("""COMPUTED_VALUE"""),1)</f>
        <v>1</v>
      </c>
      <c r="C858" s="8">
        <f ca="1">IFERROR(__xludf.DUMMYFUNCTION("""COMPUTED_VALUE"""),6)</f>
        <v>6</v>
      </c>
      <c r="D858" s="8">
        <f ca="1">IFERROR(__xludf.DUMMYFUNCTION("""COMPUTED_VALUE"""),2023)</f>
        <v>2023</v>
      </c>
      <c r="E858" s="9">
        <f ca="1">IFERROR(__xludf.DUMMYFUNCTION("""COMPUTED_VALUE"""),44933)</f>
        <v>44933</v>
      </c>
      <c r="F858" s="8" t="str">
        <f ca="1">IFERROR(__xludf.DUMMYFUNCTION("""COMPUTED_VALUE"""),"Wekiva High School")</f>
        <v>Wekiva High School</v>
      </c>
      <c r="G858" s="8">
        <f ca="1">IFERROR(__xludf.DUMMYFUNCTION("""COMPUTED_VALUE"""),0)</f>
        <v>0</v>
      </c>
      <c r="H858" s="8">
        <f ca="1">IFERROR(__xludf.DUMMYFUNCTION("""COMPUTED_VALUE"""),1)</f>
        <v>1</v>
      </c>
      <c r="I858" s="8">
        <f ca="1">IFERROR(__xludf.DUMMYFUNCTION("""COMPUTED_VALUE"""),1)</f>
        <v>1</v>
      </c>
      <c r="J858" s="8">
        <f ca="1">IFERROR(__xludf.DUMMYFUNCTION("""COMPUTED_VALUE"""),0)</f>
        <v>0</v>
      </c>
      <c r="K858" s="10" t="str">
        <f ca="1">IFERROR(__xludf.DUMMYFUNCTION("""COMPUTED_VALUE"""),"https://www.wesh.com/article/apopka-wekiva-high-school-teen-shot/42424577
https://www.wftv.com/news/local/orange-county/orange-county-deputies-search-suspect-after-teen-shot-near-wekiva-high-school/XMT6V3ZCMVGOBHT2OKVEMFVLLI/")</f>
        <v>https://www.wesh.com/article/apopka-wekiva-high-school-teen-shot/42424577
https://www.wftv.com/news/local/orange-county/orange-county-deputies-search-suspect-after-teen-shot-near-wekiva-high-school/XMT6V3ZCMVGOBHT2OKVEMFVLLI/</v>
      </c>
      <c r="L858" s="8">
        <f ca="1">IFERROR(__xludf.DUMMYFUNCTION("""COMPUTED_VALUE"""),10)</f>
        <v>10</v>
      </c>
      <c r="M858" s="8" t="str">
        <f ca="1">IFERROR(__xludf.DUMMYFUNCTION("""COMPUTED_VALUE"""),"Local")</f>
        <v>Local</v>
      </c>
      <c r="N858" s="8">
        <f ca="1">IFERROR(__xludf.DUMMYFUNCTION("""COMPUTED_VALUE"""),4)</f>
        <v>4</v>
      </c>
      <c r="O858" s="8" t="str">
        <f ca="1">IFERROR(__xludf.DUMMYFUNCTION("""COMPUTED_VALUE"""),"Winter")</f>
        <v>Winter</v>
      </c>
      <c r="P858" s="8" t="str">
        <f ca="1">IFERROR(__xludf.DUMMYFUNCTION("""COMPUTED_VALUE"""),"Apopka")</f>
        <v>Apopka</v>
      </c>
      <c r="Q858" s="8" t="str">
        <f ca="1">IFERROR(__xludf.DUMMYFUNCTION("""COMPUTED_VALUE"""),"FL")</f>
        <v>FL</v>
      </c>
      <c r="R858" s="8" t="str">
        <f ca="1">IFERROR(__xludf.DUMMYFUNCTION("""COMPUTED_VALUE"""),"High")</f>
        <v>High</v>
      </c>
      <c r="S858" s="8" t="str">
        <f ca="1">IFERROR(__xludf.DUMMYFUNCTION("""COMPUTED_VALUE"""),"Parking Lot")</f>
        <v>Parking Lot</v>
      </c>
      <c r="T858" s="8" t="str">
        <f ca="1">IFERROR(__xludf.DUMMYFUNCTION("""COMPUTED_VALUE"""),"Outside on School Property")</f>
        <v>Outside on School Property</v>
      </c>
      <c r="U858" s="8" t="str">
        <f ca="1">IFERROR(__xludf.DUMMYFUNCTION("""COMPUTED_VALUE"""),"No")</f>
        <v>No</v>
      </c>
      <c r="V858" s="8" t="str">
        <f ca="1">IFERROR(__xludf.DUMMYFUNCTION("""COMPUTED_VALUE"""),"Sport Event")</f>
        <v>Sport Event</v>
      </c>
      <c r="W858" s="11">
        <f ca="1">IFERROR(__xludf.DUMMYFUNCTION("""COMPUTED_VALUE"""),0.875)</f>
        <v>0.875</v>
      </c>
      <c r="X858" s="8">
        <f ca="1">IFERROR(__xludf.DUMMYFUNCTION("""COMPUTED_VALUE"""),1)</f>
        <v>1</v>
      </c>
      <c r="Y858" s="12" t="str">
        <f ca="1">IFERROR(__xludf.DUMMYFUNCTION("""COMPUTED_VALUE"""),"Teen shot leaving gym during high school basketball game")</f>
        <v>Teen shot leaving gym during high school basketball game</v>
      </c>
      <c r="Z858" s="12" t="str">
        <f ca="1">IFERROR(__xludf.DUMMYFUNCTION("""COMPUTED_VALUE"""),"Deputies said the teenage boy was caught in the crossfire in the parking lot, and was taken to the hospital. Shooting was targeted, the student who was shot was a bystander and not the target.")</f>
        <v>Deputies said the teenage boy was caught in the crossfire in the parking lot, and was taken to the hospital. Shooting was targeted, the student who was shot was a bystander and not the target.</v>
      </c>
      <c r="AA858" s="8" t="str">
        <f ca="1">IFERROR(__xludf.DUMMYFUNCTION("""COMPUTED_VALUE"""),"Escalation of Dispute")</f>
        <v>Escalation of Dispute</v>
      </c>
      <c r="AB858" s="8"/>
      <c r="AC858" s="8" t="str">
        <f ca="1">IFERROR(__xludf.DUMMYFUNCTION("""COMPUTED_VALUE"""),"Yes")</f>
        <v>Yes</v>
      </c>
      <c r="AD858" s="8" t="str">
        <f ca="1">IFERROR(__xludf.DUMMYFUNCTION("""COMPUTED_VALUE"""),"Both")</f>
        <v>Both</v>
      </c>
      <c r="AE858" s="8"/>
      <c r="AF858" s="8"/>
      <c r="AG858" s="8" t="str">
        <f ca="1">IFERROR(__xludf.DUMMYFUNCTION("""COMPUTED_VALUE"""),"No")</f>
        <v>No</v>
      </c>
      <c r="AH858" s="8" t="str">
        <f ca="1">IFERROR(__xludf.DUMMYFUNCTION("""COMPUTED_VALUE"""),"No")</f>
        <v>No</v>
      </c>
      <c r="AI858" s="8" t="str">
        <f ca="1">IFERROR(__xludf.DUMMYFUNCTION("""COMPUTED_VALUE"""),"No")</f>
        <v>No</v>
      </c>
      <c r="AJ858" s="8" t="str">
        <f ca="1">IFERROR(__xludf.DUMMYFUNCTION("""COMPUTED_VALUE"""),"No")</f>
        <v>No</v>
      </c>
      <c r="AK858" s="8" t="str">
        <f ca="1">IFERROR(__xludf.DUMMYFUNCTION("""COMPUTED_VALUE"""),"No")</f>
        <v>No</v>
      </c>
      <c r="AL858" s="8"/>
      <c r="AM858" s="8" t="str">
        <f ca="1">IFERROR(__xludf.DUMMYFUNCTION("""COMPUTED_VALUE"""),"No")</f>
        <v>No</v>
      </c>
      <c r="AN858" s="8" t="str">
        <f ca="1">IFERROR(__xludf.DUMMYFUNCTION("""COMPUTED_VALUE"""),"Outside")</f>
        <v>Outside</v>
      </c>
      <c r="AO858" s="8" t="str">
        <f ca="1">IFERROR(__xludf.DUMMYFUNCTION("""COMPUTED_VALUE"""),"No")</f>
        <v>No</v>
      </c>
      <c r="AP858" s="8" t="str">
        <f ca="1">IFERROR(__xludf.DUMMYFUNCTION("""COMPUTED_VALUE"""),"Yes")</f>
        <v>Yes</v>
      </c>
      <c r="AQ858" s="8" t="str">
        <f ca="1">IFERROR(__xludf.DUMMYFUNCTION("""COMPUTED_VALUE"""),"Armed Guards")</f>
        <v>Armed Guards</v>
      </c>
      <c r="AR858" s="8" t="str">
        <f ca="1">IFERROR(__xludf.DUMMYFUNCTION("""COMPUTED_VALUE"""),"Outside/Off-Property")</f>
        <v>Outside/Off-Property</v>
      </c>
      <c r="AS858" s="8">
        <f ca="1">IFERROR(__xludf.DUMMYFUNCTION("""COMPUTED_VALUE"""),99)</f>
        <v>99</v>
      </c>
      <c r="AT858" s="8"/>
      <c r="AU858" s="8">
        <f ca="1">IFERROR(__xludf.DUMMYFUNCTION("""COMPUTED_VALUE"""),28.63686)</f>
        <v>28.636859999999999</v>
      </c>
      <c r="AV858" s="8">
        <f ca="1">IFERROR(__xludf.DUMMYFUNCTION("""COMPUTED_VALUE"""),-81.473689)</f>
        <v>-81.473688999999993</v>
      </c>
      <c r="AW858" s="8"/>
      <c r="AX858" s="8">
        <f ca="1">IFERROR(__xludf.DUMMYFUNCTION("""COMPUTED_VALUE"""),32703)</f>
        <v>32703</v>
      </c>
    </row>
    <row r="859" spans="1:50" ht="120" x14ac:dyDescent="0.2">
      <c r="A859" s="8" t="str">
        <f ca="1">IFERROR(__xludf.DUMMYFUNCTION("""COMPUTED_VALUE"""),"20230105OHBEC")</f>
        <v>20230105OHBEC</v>
      </c>
      <c r="B859" s="8">
        <f ca="1">IFERROR(__xludf.DUMMYFUNCTION("""COMPUTED_VALUE"""),1)</f>
        <v>1</v>
      </c>
      <c r="C859" s="8">
        <f ca="1">IFERROR(__xludf.DUMMYFUNCTION("""COMPUTED_VALUE"""),5)</f>
        <v>5</v>
      </c>
      <c r="D859" s="8">
        <f ca="1">IFERROR(__xludf.DUMMYFUNCTION("""COMPUTED_VALUE"""),2023)</f>
        <v>2023</v>
      </c>
      <c r="E859" s="9">
        <f ca="1">IFERROR(__xludf.DUMMYFUNCTION("""COMPUTED_VALUE"""),44931)</f>
        <v>44931</v>
      </c>
      <c r="F859" s="8" t="str">
        <f ca="1">IFERROR(__xludf.DUMMYFUNCTION("""COMPUTED_VALUE"""),"Beechcroft High School")</f>
        <v>Beechcroft High School</v>
      </c>
      <c r="G859" s="8">
        <f ca="1">IFERROR(__xludf.DUMMYFUNCTION("""COMPUTED_VALUE"""),0)</f>
        <v>0</v>
      </c>
      <c r="H859" s="8">
        <f ca="1">IFERROR(__xludf.DUMMYFUNCTION("""COMPUTED_VALUE"""),0)</f>
        <v>0</v>
      </c>
      <c r="I859" s="8">
        <f ca="1">IFERROR(__xludf.DUMMYFUNCTION("""COMPUTED_VALUE"""),0)</f>
        <v>0</v>
      </c>
      <c r="J859" s="8">
        <f ca="1">IFERROR(__xludf.DUMMYFUNCTION("""COMPUTED_VALUE"""),0)</f>
        <v>0</v>
      </c>
      <c r="K859" s="10" t="str">
        <f ca="1">IFERROR(__xludf.DUMMYFUNCTION("""COMPUTED_VALUE"""),"https://www.10tv.com/article/news/crime/police-15-year-old-charged-with-firing-shots-beechcroft-high-school/530-55ef1349-1f8f-4959-87e4-05c30d78fbda
https://abc6onyourside.com/news/local/columbus-city-schools-beechcroft-high-school-shots-fired-at-building"&amp;"-black-colored-suv-no-injuries-were-reported")</f>
        <v>https://www.10tv.com/article/news/crime/police-15-year-old-charged-with-firing-shots-beechcroft-high-school/530-55ef1349-1f8f-4959-87e4-05c30d78fbda
https://abc6onyourside.com/news/local/columbus-city-schools-beechcroft-high-school-shots-fired-at-building-black-colored-suv-no-injuries-were-reported</v>
      </c>
      <c r="L859" s="8">
        <f ca="1">IFERROR(__xludf.DUMMYFUNCTION("""COMPUTED_VALUE"""),5)</f>
        <v>5</v>
      </c>
      <c r="M859" s="8" t="str">
        <f ca="1">IFERROR(__xludf.DUMMYFUNCTION("""COMPUTED_VALUE"""),"Local")</f>
        <v>Local</v>
      </c>
      <c r="N859" s="8">
        <f ca="1">IFERROR(__xludf.DUMMYFUNCTION("""COMPUTED_VALUE"""),4)</f>
        <v>4</v>
      </c>
      <c r="O859" s="8" t="str">
        <f ca="1">IFERROR(__xludf.DUMMYFUNCTION("""COMPUTED_VALUE"""),"Winter")</f>
        <v>Winter</v>
      </c>
      <c r="P859" s="8" t="str">
        <f ca="1">IFERROR(__xludf.DUMMYFUNCTION("""COMPUTED_VALUE"""),"Columbus")</f>
        <v>Columbus</v>
      </c>
      <c r="Q859" s="8" t="str">
        <f ca="1">IFERROR(__xludf.DUMMYFUNCTION("""COMPUTED_VALUE"""),"OH")</f>
        <v>OH</v>
      </c>
      <c r="R859" s="8" t="str">
        <f ca="1">IFERROR(__xludf.DUMMYFUNCTION("""COMPUTED_VALUE"""),"High")</f>
        <v>High</v>
      </c>
      <c r="S859" s="8" t="str">
        <f ca="1">IFERROR(__xludf.DUMMYFUNCTION("""COMPUTED_VALUE"""),"Beside Building")</f>
        <v>Beside Building</v>
      </c>
      <c r="T859" s="8" t="str">
        <f ca="1">IFERROR(__xludf.DUMMYFUNCTION("""COMPUTED_VALUE"""),"Outside on School Property")</f>
        <v>Outside on School Property</v>
      </c>
      <c r="U859" s="8" t="str">
        <f ca="1">IFERROR(__xludf.DUMMYFUNCTION("""COMPUTED_VALUE"""),"Yes")</f>
        <v>Yes</v>
      </c>
      <c r="V859" s="8" t="str">
        <f ca="1">IFERROR(__xludf.DUMMYFUNCTION("""COMPUTED_VALUE"""),"Morning Classes")</f>
        <v>Morning Classes</v>
      </c>
      <c r="W859" s="11">
        <f ca="1">IFERROR(__xludf.DUMMYFUNCTION("""COMPUTED_VALUE"""),0.479166666666666)</f>
        <v>0.47916666666666602</v>
      </c>
      <c r="X859" s="8">
        <f ca="1">IFERROR(__xludf.DUMMYFUNCTION("""COMPUTED_VALUE"""),1)</f>
        <v>1</v>
      </c>
      <c r="Y859" s="12" t="str">
        <f ca="1">IFERROR(__xludf.DUMMYFUNCTION("""COMPUTED_VALUE"""),"Teen fired shots that struck school building")</f>
        <v>Teen fired shots that struck school building</v>
      </c>
      <c r="Z859" s="12" t="str">
        <f ca="1">IFERROR(__xludf.DUMMYFUNCTION("""COMPUTED_VALUE"""),"Police said they have arrested a 15-year-old boy in connection with a shooting at Beechcroft High School while teachers and staff were in the building. CPD said Friday a juvenile was charged with carrying concealed weapons and improperly discharging a fir"&amp;"earm into a habitation. Teachers said they heard gunfire around 11:30 a.m. and the school was put on lockdown. Detectives said bullets hit the North side of the building but did not penetrate the walls.")</f>
        <v>Police said they have arrested a 15-year-old boy in connection with a shooting at Beechcroft High School while teachers and staff were in the building. CPD said Friday a juvenile was charged with carrying concealed weapons and improperly discharging a firearm into a habitation. Teachers said they heard gunfire around 11:30 a.m. and the school was put on lockdown. Detectives said bullets hit the North side of the building but did not penetrate the walls.</v>
      </c>
      <c r="AA859" s="8"/>
      <c r="AB859" s="8"/>
      <c r="AC859" s="8" t="str">
        <f ca="1">IFERROR(__xludf.DUMMYFUNCTION("""COMPUTED_VALUE"""),"Yes")</f>
        <v>Yes</v>
      </c>
      <c r="AD859" s="8"/>
      <c r="AE859" s="8" t="str">
        <f ca="1">IFERROR(__xludf.DUMMYFUNCTION("""COMPUTED_VALUE"""),"No")</f>
        <v>No</v>
      </c>
      <c r="AF859" s="8"/>
      <c r="AG859" s="8" t="str">
        <f ca="1">IFERROR(__xludf.DUMMYFUNCTION("""COMPUTED_VALUE"""),"No")</f>
        <v>No</v>
      </c>
      <c r="AH859" s="8" t="str">
        <f ca="1">IFERROR(__xludf.DUMMYFUNCTION("""COMPUTED_VALUE"""),"No")</f>
        <v>No</v>
      </c>
      <c r="AI859" s="8" t="str">
        <f ca="1">IFERROR(__xludf.DUMMYFUNCTION("""COMPUTED_VALUE"""),"No")</f>
        <v>No</v>
      </c>
      <c r="AJ859" s="8" t="str">
        <f ca="1">IFERROR(__xludf.DUMMYFUNCTION("""COMPUTED_VALUE"""),"No")</f>
        <v>No</v>
      </c>
      <c r="AK859" s="8" t="str">
        <f ca="1">IFERROR(__xludf.DUMMYFUNCTION("""COMPUTED_VALUE"""),"No")</f>
        <v>No</v>
      </c>
      <c r="AL859" s="8"/>
      <c r="AM859" s="8" t="str">
        <f ca="1">IFERROR(__xludf.DUMMYFUNCTION("""COMPUTED_VALUE"""),"No")</f>
        <v>No</v>
      </c>
      <c r="AN859" s="8" t="str">
        <f ca="1">IFERROR(__xludf.DUMMYFUNCTION("""COMPUTED_VALUE"""),"Outside")</f>
        <v>Outside</v>
      </c>
      <c r="AO859" s="8" t="str">
        <f ca="1">IFERROR(__xludf.DUMMYFUNCTION("""COMPUTED_VALUE"""),"No")</f>
        <v>No</v>
      </c>
      <c r="AP859" s="8"/>
      <c r="AQ859" s="8"/>
      <c r="AR859" s="8" t="str">
        <f ca="1">IFERROR(__xludf.DUMMYFUNCTION("""COMPUTED_VALUE"""),"Outside/Off-Property")</f>
        <v>Outside/Off-Property</v>
      </c>
      <c r="AS859" s="8">
        <f ca="1">IFERROR(__xludf.DUMMYFUNCTION("""COMPUTED_VALUE"""),99)</f>
        <v>99</v>
      </c>
      <c r="AT859" s="8" t="str">
        <f ca="1">IFERROR(__xludf.DUMMYFUNCTION("""COMPUTED_VALUE"""),"Yes")</f>
        <v>Yes</v>
      </c>
      <c r="AU859" s="8">
        <f ca="1">IFERROR(__xludf.DUMMYFUNCTION("""COMPUTED_VALUE"""),40.093967)</f>
        <v>40.093966999999999</v>
      </c>
      <c r="AV859" s="8">
        <f ca="1">IFERROR(__xludf.DUMMYFUNCTION("""COMPUTED_VALUE"""),-82.964757)</f>
        <v>-82.964757000000006</v>
      </c>
      <c r="AW859" s="8"/>
      <c r="AX859" s="8">
        <f ca="1">IFERROR(__xludf.DUMMYFUNCTION("""COMPUTED_VALUE"""),43229)</f>
        <v>43229</v>
      </c>
    </row>
    <row r="860" spans="1:50" ht="135" x14ac:dyDescent="0.2">
      <c r="A860" s="8" t="str">
        <f ca="1">IFERROR(__xludf.DUMMYFUNCTION("""COMPUTED_VALUE"""),"20230105NYFRR")</f>
        <v>20230105NYFRR</v>
      </c>
      <c r="B860" s="8">
        <f ca="1">IFERROR(__xludf.DUMMYFUNCTION("""COMPUTED_VALUE"""),1)</f>
        <v>1</v>
      </c>
      <c r="C860" s="8">
        <f ca="1">IFERROR(__xludf.DUMMYFUNCTION("""COMPUTED_VALUE"""),5)</f>
        <v>5</v>
      </c>
      <c r="D860" s="8">
        <f ca="1">IFERROR(__xludf.DUMMYFUNCTION("""COMPUTED_VALUE"""),2023)</f>
        <v>2023</v>
      </c>
      <c r="E860" s="9">
        <f ca="1">IFERROR(__xludf.DUMMYFUNCTION("""COMPUTED_VALUE"""),44931)</f>
        <v>44931</v>
      </c>
      <c r="F860" s="8" t="str">
        <f ca="1">IFERROR(__xludf.DUMMYFUNCTION("""COMPUTED_VALUE"""),"Franklin High School")</f>
        <v>Franklin High School</v>
      </c>
      <c r="G860" s="8">
        <f ca="1">IFERROR(__xludf.DUMMYFUNCTION("""COMPUTED_VALUE"""),0)</f>
        <v>0</v>
      </c>
      <c r="H860" s="8">
        <f ca="1">IFERROR(__xludf.DUMMYFUNCTION("""COMPUTED_VALUE"""),0)</f>
        <v>0</v>
      </c>
      <c r="I860" s="8">
        <f ca="1">IFERROR(__xludf.DUMMYFUNCTION("""COMPUTED_VALUE"""),0)</f>
        <v>0</v>
      </c>
      <c r="J860" s="8">
        <f ca="1">IFERROR(__xludf.DUMMYFUNCTION("""COMPUTED_VALUE"""),0)</f>
        <v>0</v>
      </c>
      <c r="K860" s="8" t="str">
        <f ca="1">IFERROR(__xludf.DUMMYFUNCTION("""COMPUTED_VALUE"""),"https://www.rochesterfirst.com/news/local-news/i-can-still-hear-the-gun-shots-students-involved-in-high-school-shooting-speak-out/
https://www.whec.com/local/16-year-old-shot-at-as-he-ran-to-his-school/")</f>
        <v>https://www.rochesterfirst.com/news/local-news/i-can-still-hear-the-gun-shots-students-involved-in-high-school-shooting-speak-out/
https://www.whec.com/local/16-year-old-shot-at-as-he-ran-to-his-school/</v>
      </c>
      <c r="L860" s="8">
        <f ca="1">IFERROR(__xludf.DUMMYFUNCTION("""COMPUTED_VALUE"""),20)</f>
        <v>20</v>
      </c>
      <c r="M860" s="8" t="str">
        <f ca="1">IFERROR(__xludf.DUMMYFUNCTION("""COMPUTED_VALUE"""),"National")</f>
        <v>National</v>
      </c>
      <c r="N860" s="8">
        <f ca="1">IFERROR(__xludf.DUMMYFUNCTION("""COMPUTED_VALUE"""),4)</f>
        <v>4</v>
      </c>
      <c r="O860" s="8" t="str">
        <f ca="1">IFERROR(__xludf.DUMMYFUNCTION("""COMPUTED_VALUE"""),"Winter")</f>
        <v>Winter</v>
      </c>
      <c r="P860" s="8" t="str">
        <f ca="1">IFERROR(__xludf.DUMMYFUNCTION("""COMPUTED_VALUE"""),"Rochester")</f>
        <v>Rochester</v>
      </c>
      <c r="Q860" s="8" t="str">
        <f ca="1">IFERROR(__xludf.DUMMYFUNCTION("""COMPUTED_VALUE"""),"NY")</f>
        <v>NY</v>
      </c>
      <c r="R860" s="8" t="str">
        <f ca="1">IFERROR(__xludf.DUMMYFUNCTION("""COMPUTED_VALUE"""),"High")</f>
        <v>High</v>
      </c>
      <c r="S860" s="8" t="str">
        <f ca="1">IFERROR(__xludf.DUMMYFUNCTION("""COMPUTED_VALUE"""),"Front of School")</f>
        <v>Front of School</v>
      </c>
      <c r="T860" s="8" t="str">
        <f ca="1">IFERROR(__xludf.DUMMYFUNCTION("""COMPUTED_VALUE"""),"Outside on School Property")</f>
        <v>Outside on School Property</v>
      </c>
      <c r="U860" s="8" t="str">
        <f ca="1">IFERROR(__xludf.DUMMYFUNCTION("""COMPUTED_VALUE"""),"Yes")</f>
        <v>Yes</v>
      </c>
      <c r="V860" s="8" t="str">
        <f ca="1">IFERROR(__xludf.DUMMYFUNCTION("""COMPUTED_VALUE"""),"Morning Classes")</f>
        <v>Morning Classes</v>
      </c>
      <c r="W860" s="11">
        <f ca="1">IFERROR(__xludf.DUMMYFUNCTION("""COMPUTED_VALUE"""),0.354166666666666)</f>
        <v>0.35416666666666602</v>
      </c>
      <c r="X860" s="8">
        <f ca="1">IFERROR(__xludf.DUMMYFUNCTION("""COMPUTED_VALUE"""),1)</f>
        <v>1</v>
      </c>
      <c r="Y860" s="12" t="str">
        <f ca="1">IFERROR(__xludf.DUMMYFUNCTION("""COMPUTED_VALUE"""),"Student chased and shot at near front door to school")</f>
        <v>Student chased and shot at near front door to school</v>
      </c>
      <c r="Z860" s="12" t="str">
        <f ca="1">IFERROR(__xludf.DUMMYFUNCTION("""COMPUTED_VALUE"""),"Franklin High School was placed on lockout Thursday morning after a student was shot at outside of the school, according to the Rochester Police Department. No one was struck or injured. Police said the situation started a few blocks away from the school "&amp;"on Norton St., but ultimately ended up on school property near the front steps. The district said the suspect ultimately got out of a car, and shot at the 16 yr-old student and two other students were on the premises. All of the shots missed.")</f>
        <v>Franklin High School was placed on lockout Thursday morning after a student was shot at outside of the school, according to the Rochester Police Department. No one was struck or injured. Police said the situation started a few blocks away from the school on Norton St., but ultimately ended up on school property near the front steps. The district said the suspect ultimately got out of a car, and shot at the 16 yr-old student and two other students were on the premises. All of the shots missed.</v>
      </c>
      <c r="AA860" s="8"/>
      <c r="AB860" s="8"/>
      <c r="AC860" s="8" t="str">
        <f ca="1">IFERROR(__xludf.DUMMYFUNCTION("""COMPUTED_VALUE"""),"Yes")</f>
        <v>Yes</v>
      </c>
      <c r="AD860" s="8" t="str">
        <f ca="1">IFERROR(__xludf.DUMMYFUNCTION("""COMPUTED_VALUE"""),"Victims Targeted")</f>
        <v>Victims Targeted</v>
      </c>
      <c r="AE860" s="8" t="str">
        <f ca="1">IFERROR(__xludf.DUMMYFUNCTION("""COMPUTED_VALUE"""),"Yes")</f>
        <v>Yes</v>
      </c>
      <c r="AF860" s="8"/>
      <c r="AG860" s="8" t="str">
        <f ca="1">IFERROR(__xludf.DUMMYFUNCTION("""COMPUTED_VALUE"""),"No")</f>
        <v>No</v>
      </c>
      <c r="AH860" s="8" t="str">
        <f ca="1">IFERROR(__xludf.DUMMYFUNCTION("""COMPUTED_VALUE"""),"No")</f>
        <v>No</v>
      </c>
      <c r="AI860" s="8" t="str">
        <f ca="1">IFERROR(__xludf.DUMMYFUNCTION("""COMPUTED_VALUE"""),"No")</f>
        <v>No</v>
      </c>
      <c r="AJ860" s="8" t="str">
        <f ca="1">IFERROR(__xludf.DUMMYFUNCTION("""COMPUTED_VALUE"""),"No")</f>
        <v>No</v>
      </c>
      <c r="AK860" s="8" t="str">
        <f ca="1">IFERROR(__xludf.DUMMYFUNCTION("""COMPUTED_VALUE"""),"No")</f>
        <v>No</v>
      </c>
      <c r="AL860" s="8"/>
      <c r="AM860" s="8" t="str">
        <f ca="1">IFERROR(__xludf.DUMMYFUNCTION("""COMPUTED_VALUE"""),"No")</f>
        <v>No</v>
      </c>
      <c r="AN860" s="8" t="str">
        <f ca="1">IFERROR(__xludf.DUMMYFUNCTION("""COMPUTED_VALUE"""),"Outside")</f>
        <v>Outside</v>
      </c>
      <c r="AO860" s="8" t="str">
        <f ca="1">IFERROR(__xludf.DUMMYFUNCTION("""COMPUTED_VALUE"""),"No")</f>
        <v>No</v>
      </c>
      <c r="AP860" s="8"/>
      <c r="AQ860" s="8"/>
      <c r="AR860" s="8" t="str">
        <f ca="1">IFERROR(__xludf.DUMMYFUNCTION("""COMPUTED_VALUE"""),"Outside/Off-Property")</f>
        <v>Outside/Off-Property</v>
      </c>
      <c r="AS860" s="8">
        <f ca="1">IFERROR(__xludf.DUMMYFUNCTION("""COMPUTED_VALUE"""),99)</f>
        <v>99</v>
      </c>
      <c r="AT860" s="8" t="str">
        <f ca="1">IFERROR(__xludf.DUMMYFUNCTION("""COMPUTED_VALUE"""),"Yes")</f>
        <v>Yes</v>
      </c>
      <c r="AU860" s="8">
        <f ca="1">IFERROR(__xludf.DUMMYFUNCTION("""COMPUTED_VALUE"""),43.187186)</f>
        <v>43.187185999999997</v>
      </c>
      <c r="AV860" s="8">
        <f ca="1">IFERROR(__xludf.DUMMYFUNCTION("""COMPUTED_VALUE"""),-77.598095)</f>
        <v>-77.598095000000001</v>
      </c>
      <c r="AW860" s="8"/>
      <c r="AX860" s="8">
        <f ca="1">IFERROR(__xludf.DUMMYFUNCTION("""COMPUTED_VALUE"""),14621)</f>
        <v>14621</v>
      </c>
    </row>
    <row r="861" spans="1:50" ht="195" x14ac:dyDescent="0.2">
      <c r="A861" s="8" t="str">
        <f ca="1">IFERROR(__xludf.DUMMYFUNCTION("""COMPUTED_VALUE"""),"20230104MITRD")</f>
        <v>20230104MITRD</v>
      </c>
      <c r="B861" s="8">
        <f ca="1">IFERROR(__xludf.DUMMYFUNCTION("""COMPUTED_VALUE"""),1)</f>
        <v>1</v>
      </c>
      <c r="C861" s="8">
        <f ca="1">IFERROR(__xludf.DUMMYFUNCTION("""COMPUTED_VALUE"""),4)</f>
        <v>4</v>
      </c>
      <c r="D861" s="8">
        <f ca="1">IFERROR(__xludf.DUMMYFUNCTION("""COMPUTED_VALUE"""),2023)</f>
        <v>2023</v>
      </c>
      <c r="E861" s="9">
        <f ca="1">IFERROR(__xludf.DUMMYFUNCTION("""COMPUTED_VALUE"""),44930)</f>
        <v>44930</v>
      </c>
      <c r="F861" s="8" t="str">
        <f ca="1">IFERROR(__xludf.DUMMYFUNCTION("""COMPUTED_VALUE"""),"Trix Academy")</f>
        <v>Trix Academy</v>
      </c>
      <c r="G861" s="8">
        <f ca="1">IFERROR(__xludf.DUMMYFUNCTION("""COMPUTED_VALUE"""),1)</f>
        <v>1</v>
      </c>
      <c r="H861" s="8">
        <f ca="1">IFERROR(__xludf.DUMMYFUNCTION("""COMPUTED_VALUE"""),0)</f>
        <v>0</v>
      </c>
      <c r="I861" s="8">
        <f ca="1">IFERROR(__xludf.DUMMYFUNCTION("""COMPUTED_VALUE"""),1)</f>
        <v>1</v>
      </c>
      <c r="J861" s="8">
        <f ca="1">IFERROR(__xludf.DUMMYFUNCTION("""COMPUTED_VALUE"""),0)</f>
        <v>0</v>
      </c>
      <c r="K861" s="10" t="str">
        <f ca="1">IFERROR(__xludf.DUMMYFUNCTION("""COMPUTED_VALUE"""),"https://www.clickondetroit.com/news/local/2023/01/04/man-killed-in-shooting-outside-trix-academy-on-detroits-east-side/")</f>
        <v>https://www.clickondetroit.com/news/local/2023/01/04/man-killed-in-shooting-outside-trix-academy-on-detroits-east-side/</v>
      </c>
      <c r="L861" s="8">
        <f ca="1">IFERROR(__xludf.DUMMYFUNCTION("""COMPUTED_VALUE"""),5)</f>
        <v>5</v>
      </c>
      <c r="M861" s="8" t="str">
        <f ca="1">IFERROR(__xludf.DUMMYFUNCTION("""COMPUTED_VALUE"""),"Local")</f>
        <v>Local</v>
      </c>
      <c r="N861" s="8">
        <f ca="1">IFERROR(__xludf.DUMMYFUNCTION("""COMPUTED_VALUE"""),4)</f>
        <v>4</v>
      </c>
      <c r="O861" s="8" t="str">
        <f ca="1">IFERROR(__xludf.DUMMYFUNCTION("""COMPUTED_VALUE"""),"Winter")</f>
        <v>Winter</v>
      </c>
      <c r="P861" s="8" t="str">
        <f ca="1">IFERROR(__xludf.DUMMYFUNCTION("""COMPUTED_VALUE"""),"Detroit")</f>
        <v>Detroit</v>
      </c>
      <c r="Q861" s="8" t="str">
        <f ca="1">IFERROR(__xludf.DUMMYFUNCTION("""COMPUTED_VALUE"""),"MI")</f>
        <v>MI</v>
      </c>
      <c r="R861" s="8" t="str">
        <f ca="1">IFERROR(__xludf.DUMMYFUNCTION("""COMPUTED_VALUE"""),"K-8")</f>
        <v>K-8</v>
      </c>
      <c r="S861" s="8" t="str">
        <f ca="1">IFERROR(__xludf.DUMMYFUNCTION("""COMPUTED_VALUE"""),"Beside Building")</f>
        <v>Beside Building</v>
      </c>
      <c r="T861" s="8" t="str">
        <f ca="1">IFERROR(__xludf.DUMMYFUNCTION("""COMPUTED_VALUE"""),"Outside on School Property")</f>
        <v>Outside on School Property</v>
      </c>
      <c r="U861" s="8" t="str">
        <f ca="1">IFERROR(__xludf.DUMMYFUNCTION("""COMPUTED_VALUE"""),"No")</f>
        <v>No</v>
      </c>
      <c r="V861" s="8" t="str">
        <f ca="1">IFERROR(__xludf.DUMMYFUNCTION("""COMPUTED_VALUE"""),"Not a School Day")</f>
        <v>Not a School Day</v>
      </c>
      <c r="W861" s="11">
        <f ca="1">IFERROR(__xludf.DUMMYFUNCTION("""COMPUTED_VALUE"""),0.354166666666666)</f>
        <v>0.35416666666666602</v>
      </c>
      <c r="X861" s="8">
        <f ca="1">IFERROR(__xludf.DUMMYFUNCTION("""COMPUTED_VALUE"""),1)</f>
        <v>1</v>
      </c>
      <c r="Y861" s="12" t="str">
        <f ca="1">IFERROR(__xludf.DUMMYFUNCTION("""COMPUTED_VALUE"""),"Man shot multiple times next to classroom window")</f>
        <v>Man shot multiple times next to classroom window</v>
      </c>
      <c r="Z861" s="12" t="str">
        <f ca="1">IFERROR(__xludf.DUMMYFUNCTION("""COMPUTED_VALUE"""),"A man was killed in a shooting around 8:30 a.m. Wednesday morning and his body was found on the property of a school in Detroit. Police rushed to the Trix Academy after their ShotSpotter system detected gunfire outside the school. When they arrived, the s"&amp;"uspect or suspects were gone but police located a man’s body in a grassy area outside of the school. School was not in session at the time of the shooting. Many shell casings have been located in the street and police have placed at least 40 evidence mark"&amp;"ers in the area. Police said between 20 to 25 shots were fired. Detroit police Commander Ryan Conner said ShotSpotter was able to bring officers right to the area where the shooting happened.")</f>
        <v>A man was killed in a shooting around 8:30 a.m. Wednesday morning and his body was found on the property of a school in Detroit. Police rushed to the Trix Academy after their ShotSpotter system detected gunfire outside the school. When they arrived, the suspect or suspects were gone but police located a man’s body in a grassy area outside of the school. School was not in session at the time of the shooting. Many shell casings have been located in the street and police have placed at least 40 evidence markers in the area. Police said between 20 to 25 shots were fired. Detroit police Commander Ryan Conner said ShotSpotter was able to bring officers right to the area where the shooting happened.</v>
      </c>
      <c r="AA861" s="8"/>
      <c r="AB861" s="8"/>
      <c r="AC861" s="8" t="str">
        <f ca="1">IFERROR(__xludf.DUMMYFUNCTION("""COMPUTED_VALUE"""),"No")</f>
        <v>No</v>
      </c>
      <c r="AD861" s="8" t="str">
        <f ca="1">IFERROR(__xludf.DUMMYFUNCTION("""COMPUTED_VALUE"""),"Victims Targeted")</f>
        <v>Victims Targeted</v>
      </c>
      <c r="AE861" s="8"/>
      <c r="AF861" s="8"/>
      <c r="AG861" s="8" t="str">
        <f ca="1">IFERROR(__xludf.DUMMYFUNCTION("""COMPUTED_VALUE"""),"No")</f>
        <v>No</v>
      </c>
      <c r="AH861" s="8" t="str">
        <f ca="1">IFERROR(__xludf.DUMMYFUNCTION("""COMPUTED_VALUE"""),"No")</f>
        <v>No</v>
      </c>
      <c r="AI861" s="8" t="str">
        <f ca="1">IFERROR(__xludf.DUMMYFUNCTION("""COMPUTED_VALUE"""),"No")</f>
        <v>No</v>
      </c>
      <c r="AJ861" s="8" t="str">
        <f ca="1">IFERROR(__xludf.DUMMYFUNCTION("""COMPUTED_VALUE"""),"No")</f>
        <v>No</v>
      </c>
      <c r="AK861" s="8" t="str">
        <f ca="1">IFERROR(__xludf.DUMMYFUNCTION("""COMPUTED_VALUE"""),"No")</f>
        <v>No</v>
      </c>
      <c r="AL861" s="8"/>
      <c r="AM861" s="8" t="str">
        <f ca="1">IFERROR(__xludf.DUMMYFUNCTION("""COMPUTED_VALUE"""),"No")</f>
        <v>No</v>
      </c>
      <c r="AN861" s="8" t="str">
        <f ca="1">IFERROR(__xludf.DUMMYFUNCTION("""COMPUTED_VALUE"""),"Outside")</f>
        <v>Outside</v>
      </c>
      <c r="AO861" s="8" t="str">
        <f ca="1">IFERROR(__xludf.DUMMYFUNCTION("""COMPUTED_VALUE"""),"No")</f>
        <v>No</v>
      </c>
      <c r="AP861" s="8"/>
      <c r="AQ861" s="8"/>
      <c r="AR861" s="8" t="str">
        <f ca="1">IFERROR(__xludf.DUMMYFUNCTION("""COMPUTED_VALUE"""),"Outside/Off-Property")</f>
        <v>Outside/Off-Property</v>
      </c>
      <c r="AS861" s="8">
        <f ca="1">IFERROR(__xludf.DUMMYFUNCTION("""COMPUTED_VALUE"""),30)</f>
        <v>30</v>
      </c>
      <c r="AT861" s="8"/>
      <c r="AU861" s="8">
        <f ca="1">IFERROR(__xludf.DUMMYFUNCTION("""COMPUTED_VALUE"""),42.443861)</f>
        <v>42.443860999999998</v>
      </c>
      <c r="AV861" s="8">
        <f ca="1">IFERROR(__xludf.DUMMYFUNCTION("""COMPUTED_VALUE"""),-82.99081)</f>
        <v>-82.990809999999996</v>
      </c>
      <c r="AW861" s="8"/>
      <c r="AX861" s="8">
        <f ca="1">IFERROR(__xludf.DUMMYFUNCTION("""COMPUTED_VALUE"""),48205)</f>
        <v>48205</v>
      </c>
    </row>
    <row r="862" spans="1:50" ht="60" x14ac:dyDescent="0.2">
      <c r="A862" s="8" t="str">
        <f ca="1">IFERROR(__xludf.DUMMYFUNCTION("""COMPUTED_VALUE"""),"20221221CTNEN")</f>
        <v>20221221CTNEN</v>
      </c>
      <c r="B862" s="8">
        <f ca="1">IFERROR(__xludf.DUMMYFUNCTION("""COMPUTED_VALUE"""),12)</f>
        <v>12</v>
      </c>
      <c r="C862" s="8">
        <f ca="1">IFERROR(__xludf.DUMMYFUNCTION("""COMPUTED_VALUE"""),21)</f>
        <v>21</v>
      </c>
      <c r="D862" s="8">
        <f ca="1">IFERROR(__xludf.DUMMYFUNCTION("""COMPUTED_VALUE"""),2022)</f>
        <v>2022</v>
      </c>
      <c r="E862" s="9">
        <f ca="1">IFERROR(__xludf.DUMMYFUNCTION("""COMPUTED_VALUE"""),44916)</f>
        <v>44916</v>
      </c>
      <c r="F862" s="8" t="str">
        <f ca="1">IFERROR(__xludf.DUMMYFUNCTION("""COMPUTED_VALUE"""),"New Haven Public Schools")</f>
        <v>New Haven Public Schools</v>
      </c>
      <c r="G862" s="8">
        <f ca="1">IFERROR(__xludf.DUMMYFUNCTION("""COMPUTED_VALUE"""),0)</f>
        <v>0</v>
      </c>
      <c r="H862" s="8">
        <f ca="1">IFERROR(__xludf.DUMMYFUNCTION("""COMPUTED_VALUE"""),0)</f>
        <v>0</v>
      </c>
      <c r="I862" s="8">
        <f ca="1">IFERROR(__xludf.DUMMYFUNCTION("""COMPUTED_VALUE"""),0)</f>
        <v>0</v>
      </c>
      <c r="J862" s="8">
        <f ca="1">IFERROR(__xludf.DUMMYFUNCTION("""COMPUTED_VALUE"""),0)</f>
        <v>0</v>
      </c>
      <c r="K862" s="8" t="str">
        <f ca="1">IFERROR(__xludf.DUMMYFUNCTION("""COMPUTED_VALUE"""),"https://www.wtnh.com/news/connecticut/new-haven/school-bus-grazed-by-bullet-in-new-haven/
https://www.fox61.com/article/news/local/school-bus-new-haven-struck-bullet/520-f958a712-c778-4ec9-81be-2c1539f4b967")</f>
        <v>https://www.wtnh.com/news/connecticut/new-haven/school-bus-grazed-by-bullet-in-new-haven/
https://www.fox61.com/article/news/local/school-bus-new-haven-struck-bullet/520-f958a712-c778-4ec9-81be-2c1539f4b967</v>
      </c>
      <c r="L862" s="8">
        <f ca="1">IFERROR(__xludf.DUMMYFUNCTION("""COMPUTED_VALUE"""),2)</f>
        <v>2</v>
      </c>
      <c r="M862" s="8" t="str">
        <f ca="1">IFERROR(__xludf.DUMMYFUNCTION("""COMPUTED_VALUE"""),"Local")</f>
        <v>Local</v>
      </c>
      <c r="N862" s="8">
        <f ca="1">IFERROR(__xludf.DUMMYFUNCTION("""COMPUTED_VALUE"""),4)</f>
        <v>4</v>
      </c>
      <c r="O862" s="8" t="str">
        <f ca="1">IFERROR(__xludf.DUMMYFUNCTION("""COMPUTED_VALUE"""),"Winter")</f>
        <v>Winter</v>
      </c>
      <c r="P862" s="8" t="str">
        <f ca="1">IFERROR(__xludf.DUMMYFUNCTION("""COMPUTED_VALUE"""),"New Haven")</f>
        <v>New Haven</v>
      </c>
      <c r="Q862" s="8" t="str">
        <f ca="1">IFERROR(__xludf.DUMMYFUNCTION("""COMPUTED_VALUE"""),"CT")</f>
        <v>CT</v>
      </c>
      <c r="R862" s="8" t="str">
        <f ca="1">IFERROR(__xludf.DUMMYFUNCTION("""COMPUTED_VALUE"""),"Elementary")</f>
        <v>Elementary</v>
      </c>
      <c r="S862" s="8" t="str">
        <f ca="1">IFERROR(__xludf.DUMMYFUNCTION("""COMPUTED_VALUE"""),"School Bus")</f>
        <v>School Bus</v>
      </c>
      <c r="T862" s="8" t="str">
        <f ca="1">IFERROR(__xludf.DUMMYFUNCTION("""COMPUTED_VALUE"""),"School Bus")</f>
        <v>School Bus</v>
      </c>
      <c r="U862" s="8" t="str">
        <f ca="1">IFERROR(__xludf.DUMMYFUNCTION("""COMPUTED_VALUE"""),"Yes")</f>
        <v>Yes</v>
      </c>
      <c r="V862" s="8" t="str">
        <f ca="1">IFERROR(__xludf.DUMMYFUNCTION("""COMPUTED_VALUE"""),"Dismissal")</f>
        <v>Dismissal</v>
      </c>
      <c r="W862" s="11">
        <f ca="1">IFERROR(__xludf.DUMMYFUNCTION("""COMPUTED_VALUE"""),0.614583333333333)</f>
        <v>0.61458333333333304</v>
      </c>
      <c r="X862" s="8">
        <f ca="1">IFERROR(__xludf.DUMMYFUNCTION("""COMPUTED_VALUE"""),1)</f>
        <v>1</v>
      </c>
      <c r="Y862" s="12" t="str">
        <f ca="1">IFERROR(__xludf.DUMMYFUNCTION("""COMPUTED_VALUE"""),"School bus struck by bullet at dismissal")</f>
        <v>School bus struck by bullet at dismissal</v>
      </c>
      <c r="Z862" s="12" t="str">
        <f ca="1">IFERROR(__xludf.DUMMYFUNCTION("""COMPUTED_VALUE"""),"The bus was driving on Lamberton around 2:45 p.m. Wednesday when the bus driver heard gunshots ring out and felt something strike the bus. No injuries. Bullet struck the side where a student was seated")</f>
        <v>The bus was driving on Lamberton around 2:45 p.m. Wednesday when the bus driver heard gunshots ring out and felt something strike the bus. No injuries. Bullet struck the side where a student was seated</v>
      </c>
      <c r="AA862" s="8"/>
      <c r="AB862" s="8"/>
      <c r="AC862" s="8" t="str">
        <f ca="1">IFERROR(__xludf.DUMMYFUNCTION("""COMPUTED_VALUE"""),"Yes")</f>
        <v>Yes</v>
      </c>
      <c r="AD862" s="8" t="str">
        <f ca="1">IFERROR(__xludf.DUMMYFUNCTION("""COMPUTED_VALUE"""),"Neither")</f>
        <v>Neither</v>
      </c>
      <c r="AE862" s="8" t="str">
        <f ca="1">IFERROR(__xludf.DUMMYFUNCTION("""COMPUTED_VALUE"""),"No")</f>
        <v>No</v>
      </c>
      <c r="AF862" s="8"/>
      <c r="AG862" s="8" t="str">
        <f ca="1">IFERROR(__xludf.DUMMYFUNCTION("""COMPUTED_VALUE"""),"No")</f>
        <v>No</v>
      </c>
      <c r="AH862" s="8" t="str">
        <f ca="1">IFERROR(__xludf.DUMMYFUNCTION("""COMPUTED_VALUE"""),"No")</f>
        <v>No</v>
      </c>
      <c r="AI862" s="8" t="str">
        <f ca="1">IFERROR(__xludf.DUMMYFUNCTION("""COMPUTED_VALUE"""),"No")</f>
        <v>No</v>
      </c>
      <c r="AJ862" s="8" t="str">
        <f ca="1">IFERROR(__xludf.DUMMYFUNCTION("""COMPUTED_VALUE"""),"No")</f>
        <v>No</v>
      </c>
      <c r="AK862" s="8" t="str">
        <f ca="1">IFERROR(__xludf.DUMMYFUNCTION("""COMPUTED_VALUE"""),"No")</f>
        <v>No</v>
      </c>
      <c r="AL862" s="8" t="str">
        <f ca="1">IFERROR(__xludf.DUMMYFUNCTION("""COMPUTED_VALUE"""),"No")</f>
        <v>No</v>
      </c>
      <c r="AM862" s="8" t="str">
        <f ca="1">IFERROR(__xludf.DUMMYFUNCTION("""COMPUTED_VALUE"""),"No")</f>
        <v>No</v>
      </c>
      <c r="AN862" s="8" t="str">
        <f ca="1">IFERROR(__xludf.DUMMYFUNCTION("""COMPUTED_VALUE"""),"Outside")</f>
        <v>Outside</v>
      </c>
      <c r="AO862" s="8" t="str">
        <f ca="1">IFERROR(__xludf.DUMMYFUNCTION("""COMPUTED_VALUE"""),"No")</f>
        <v>No</v>
      </c>
      <c r="AP862" s="8"/>
      <c r="AQ862" s="8"/>
      <c r="AR862" s="8" t="str">
        <f ca="1">IFERROR(__xludf.DUMMYFUNCTION("""COMPUTED_VALUE"""),"Outside/Off-Property")</f>
        <v>Outside/Off-Property</v>
      </c>
      <c r="AS862" s="8">
        <f ca="1">IFERROR(__xludf.DUMMYFUNCTION("""COMPUTED_VALUE"""),1)</f>
        <v>1</v>
      </c>
      <c r="AT862" s="8"/>
      <c r="AU862" s="8">
        <f ca="1">IFERROR(__xludf.DUMMYFUNCTION("""COMPUTED_VALUE"""),41.291196)</f>
        <v>41.291195999999999</v>
      </c>
      <c r="AV862" s="8">
        <f ca="1">IFERROR(__xludf.DUMMYFUNCTION("""COMPUTED_VALUE"""),-72.933429)</f>
        <v>-72.933429000000004</v>
      </c>
      <c r="AW862" s="8"/>
      <c r="AX862" s="8">
        <f ca="1">IFERROR(__xludf.DUMMYFUNCTION("""COMPUTED_VALUE"""),6519)</f>
        <v>6519</v>
      </c>
    </row>
    <row r="863" spans="1:50" ht="150" x14ac:dyDescent="0.2">
      <c r="A863" s="8" t="str">
        <f ca="1">IFERROR(__xludf.DUMMYFUNCTION("""COMPUTED_VALUE"""),"20221221CAWOW")</f>
        <v>20221221CAWOW</v>
      </c>
      <c r="B863" s="8">
        <f ca="1">IFERROR(__xludf.DUMMYFUNCTION("""COMPUTED_VALUE"""),12)</f>
        <v>12</v>
      </c>
      <c r="C863" s="8">
        <f ca="1">IFERROR(__xludf.DUMMYFUNCTION("""COMPUTED_VALUE"""),21)</f>
        <v>21</v>
      </c>
      <c r="D863" s="8">
        <f ca="1">IFERROR(__xludf.DUMMYFUNCTION("""COMPUTED_VALUE"""),2022)</f>
        <v>2022</v>
      </c>
      <c r="E863" s="9">
        <f ca="1">IFERROR(__xludf.DUMMYFUNCTION("""COMPUTED_VALUE"""),44916)</f>
        <v>44916</v>
      </c>
      <c r="F863" s="8" t="str">
        <f ca="1">IFERROR(__xludf.DUMMYFUNCTION("""COMPUTED_VALUE"""),"Woodland Christian School")</f>
        <v>Woodland Christian School</v>
      </c>
      <c r="G863" s="8">
        <f ca="1">IFERROR(__xludf.DUMMYFUNCTION("""COMPUTED_VALUE"""),0)</f>
        <v>0</v>
      </c>
      <c r="H863" s="8">
        <f ca="1">IFERROR(__xludf.DUMMYFUNCTION("""COMPUTED_VALUE"""),0)</f>
        <v>0</v>
      </c>
      <c r="I863" s="8">
        <f ca="1">IFERROR(__xludf.DUMMYFUNCTION("""COMPUTED_VALUE"""),0)</f>
        <v>0</v>
      </c>
      <c r="J863" s="8">
        <f ca="1">IFERROR(__xludf.DUMMYFUNCTION("""COMPUTED_VALUE"""),0)</f>
        <v>0</v>
      </c>
      <c r="K863" s="10" t="str">
        <f ca="1">IFERROR(__xludf.DUMMYFUNCTION("""COMPUTED_VALUE"""),"https://www.dailydemocrat.com/2022/12/21/police-department-investigating-shooting-near-woodland-christian-school/
https://www.davisenterprise.com/news/local/woodland-police-investigate-chase-shooting-near-school-campus/")</f>
        <v>https://www.dailydemocrat.com/2022/12/21/police-department-investigating-shooting-near-woodland-christian-school/
https://www.davisenterprise.com/news/local/woodland-police-investigate-chase-shooting-near-school-campus/</v>
      </c>
      <c r="L863" s="8">
        <f ca="1">IFERROR(__xludf.DUMMYFUNCTION("""COMPUTED_VALUE"""),2)</f>
        <v>2</v>
      </c>
      <c r="M863" s="8" t="str">
        <f ca="1">IFERROR(__xludf.DUMMYFUNCTION("""COMPUTED_VALUE"""),"Local")</f>
        <v>Local</v>
      </c>
      <c r="N863" s="8">
        <f ca="1">IFERROR(__xludf.DUMMYFUNCTION("""COMPUTED_VALUE"""),4)</f>
        <v>4</v>
      </c>
      <c r="O863" s="8" t="str">
        <f ca="1">IFERROR(__xludf.DUMMYFUNCTION("""COMPUTED_VALUE"""),"Winter")</f>
        <v>Winter</v>
      </c>
      <c r="P863" s="8" t="str">
        <f ca="1">IFERROR(__xludf.DUMMYFUNCTION("""COMPUTED_VALUE"""),"Woodland")</f>
        <v>Woodland</v>
      </c>
      <c r="Q863" s="8" t="str">
        <f ca="1">IFERROR(__xludf.DUMMYFUNCTION("""COMPUTED_VALUE"""),"CA")</f>
        <v>CA</v>
      </c>
      <c r="R863" s="8" t="str">
        <f ca="1">IFERROR(__xludf.DUMMYFUNCTION("""COMPUTED_VALUE"""),"K-12")</f>
        <v>K-12</v>
      </c>
      <c r="S863" s="8" t="str">
        <f ca="1">IFERROR(__xludf.DUMMYFUNCTION("""COMPUTED_VALUE"""),"Front of School")</f>
        <v>Front of School</v>
      </c>
      <c r="T863" s="8" t="str">
        <f ca="1">IFERROR(__xludf.DUMMYFUNCTION("""COMPUTED_VALUE"""),"Outside on School Property")</f>
        <v>Outside on School Property</v>
      </c>
      <c r="U863" s="8" t="str">
        <f ca="1">IFERROR(__xludf.DUMMYFUNCTION("""COMPUTED_VALUE"""),"No")</f>
        <v>No</v>
      </c>
      <c r="V863" s="8" t="str">
        <f ca="1">IFERROR(__xludf.DUMMYFUNCTION("""COMPUTED_VALUE"""),"Night")</f>
        <v>Night</v>
      </c>
      <c r="W863" s="11">
        <f ca="1">IFERROR(__xludf.DUMMYFUNCTION("""COMPUTED_VALUE"""),0.00347222222222222)</f>
        <v>3.4722222222222199E-3</v>
      </c>
      <c r="X863" s="8">
        <f ca="1">IFERROR(__xludf.DUMMYFUNCTION("""COMPUTED_VALUE"""),1)</f>
        <v>1</v>
      </c>
      <c r="Y863" s="12" t="str">
        <f ca="1">IFERROR(__xludf.DUMMYFUNCTION("""COMPUTED_VALUE"""),"Shots fired after vehicle crashed into school gate during car chase")</f>
        <v>Shots fired after vehicle crashed into school gate during car chase</v>
      </c>
      <c r="Z863" s="12" t="str">
        <f ca="1">IFERROR(__xludf.DUMMYFUNCTION("""COMPUTED_VALUE"""),"Officers responded shortly after midnight Wednesday to multiple reports of shots being fired in the area of Woodland Christian School in the 1700 block of Matmor Road, arriving to discover the shooting stemmed from the car chase that began at East Gibson "&amp;"Road and County Road 102, according to a Woodland Police Department Facebook post. During the chase, one of the vehicles crashed into the south gates of the school campus. One person sustained injuries from jumping over a fence on campus but was not shot."&amp;" ")</f>
        <v xml:space="preserve">Officers responded shortly after midnight Wednesday to multiple reports of shots being fired in the area of Woodland Christian School in the 1700 block of Matmor Road, arriving to discover the shooting stemmed from the car chase that began at East Gibson Road and County Road 102, according to a Woodland Police Department Facebook post. During the chase, one of the vehicles crashed into the south gates of the school campus. One person sustained injuries from jumping over a fence on campus but was not shot. </v>
      </c>
      <c r="AA863" s="8" t="str">
        <f ca="1">IFERROR(__xludf.DUMMYFUNCTION("""COMPUTED_VALUE"""),"Illegal Activity")</f>
        <v>Illegal Activity</v>
      </c>
      <c r="AB863" s="8"/>
      <c r="AC863" s="8" t="str">
        <f ca="1">IFERROR(__xludf.DUMMYFUNCTION("""COMPUTED_VALUE"""),"No")</f>
        <v>No</v>
      </c>
      <c r="AD863" s="8" t="str">
        <f ca="1">IFERROR(__xludf.DUMMYFUNCTION("""COMPUTED_VALUE"""),"Random Shooting")</f>
        <v>Random Shooting</v>
      </c>
      <c r="AE863" s="8" t="str">
        <f ca="1">IFERROR(__xludf.DUMMYFUNCTION("""COMPUTED_VALUE"""),"Yes")</f>
        <v>Yes</v>
      </c>
      <c r="AF863" s="8"/>
      <c r="AG863" s="8" t="str">
        <f ca="1">IFERROR(__xludf.DUMMYFUNCTION("""COMPUTED_VALUE"""),"No")</f>
        <v>No</v>
      </c>
      <c r="AH863" s="8" t="str">
        <f ca="1">IFERROR(__xludf.DUMMYFUNCTION("""COMPUTED_VALUE"""),"No")</f>
        <v>No</v>
      </c>
      <c r="AI863" s="8" t="str">
        <f ca="1">IFERROR(__xludf.DUMMYFUNCTION("""COMPUTED_VALUE"""),"No")</f>
        <v>No</v>
      </c>
      <c r="AJ863" s="8" t="str">
        <f ca="1">IFERROR(__xludf.DUMMYFUNCTION("""COMPUTED_VALUE"""),"No")</f>
        <v>No</v>
      </c>
      <c r="AK863" s="8" t="str">
        <f ca="1">IFERROR(__xludf.DUMMYFUNCTION("""COMPUTED_VALUE"""),"No")</f>
        <v>No</v>
      </c>
      <c r="AL863" s="8"/>
      <c r="AM863" s="8" t="str">
        <f ca="1">IFERROR(__xludf.DUMMYFUNCTION("""COMPUTED_VALUE"""),"No")</f>
        <v>No</v>
      </c>
      <c r="AN863" s="8" t="str">
        <f ca="1">IFERROR(__xludf.DUMMYFUNCTION("""COMPUTED_VALUE"""),"Outside")</f>
        <v>Outside</v>
      </c>
      <c r="AO863" s="8" t="str">
        <f ca="1">IFERROR(__xludf.DUMMYFUNCTION("""COMPUTED_VALUE"""),"No")</f>
        <v>No</v>
      </c>
      <c r="AP863" s="8"/>
      <c r="AQ863" s="8"/>
      <c r="AR863" s="8" t="str">
        <f ca="1">IFERROR(__xludf.DUMMYFUNCTION("""COMPUTED_VALUE"""),"Outside/Off-Property")</f>
        <v>Outside/Off-Property</v>
      </c>
      <c r="AS863" s="8">
        <f ca="1">IFERROR(__xludf.DUMMYFUNCTION("""COMPUTED_VALUE"""),99)</f>
        <v>99</v>
      </c>
      <c r="AT863" s="8"/>
      <c r="AU863" s="8">
        <f ca="1">IFERROR(__xludf.DUMMYFUNCTION("""COMPUTED_VALUE"""),38.656634)</f>
        <v>38.656633999999997</v>
      </c>
      <c r="AV863" s="8">
        <f ca="1">IFERROR(__xludf.DUMMYFUNCTION("""COMPUTED_VALUE"""),-121.756107)</f>
        <v>-121.756107</v>
      </c>
      <c r="AW863" s="8"/>
      <c r="AX863" s="8">
        <f ca="1">IFERROR(__xludf.DUMMYFUNCTION("""COMPUTED_VALUE"""),95776)</f>
        <v>95776</v>
      </c>
    </row>
    <row r="864" spans="1:50" ht="165" x14ac:dyDescent="0.2">
      <c r="A864" s="8" t="str">
        <f ca="1">IFERROR(__xludf.DUMMYFUNCTION("""COMPUTED_VALUE"""),"20221216ILBEC")</f>
        <v>20221216ILBEC</v>
      </c>
      <c r="B864" s="8">
        <f ca="1">IFERROR(__xludf.DUMMYFUNCTION("""COMPUTED_VALUE"""),12)</f>
        <v>12</v>
      </c>
      <c r="C864" s="8">
        <f ca="1">IFERROR(__xludf.DUMMYFUNCTION("""COMPUTED_VALUE"""),16)</f>
        <v>16</v>
      </c>
      <c r="D864" s="8">
        <f ca="1">IFERROR(__xludf.DUMMYFUNCTION("""COMPUTED_VALUE"""),2022)</f>
        <v>2022</v>
      </c>
      <c r="E864" s="9">
        <f ca="1">IFERROR(__xludf.DUMMYFUNCTION("""COMPUTED_VALUE"""),44911)</f>
        <v>44911</v>
      </c>
      <c r="F864" s="8" t="str">
        <f ca="1">IFERROR(__xludf.DUMMYFUNCTION("""COMPUTED_VALUE"""),"Benito Juarez High School")</f>
        <v>Benito Juarez High School</v>
      </c>
      <c r="G864" s="8">
        <f ca="1">IFERROR(__xludf.DUMMYFUNCTION("""COMPUTED_VALUE"""),2)</f>
        <v>2</v>
      </c>
      <c r="H864" s="8">
        <f ca="1">IFERROR(__xludf.DUMMYFUNCTION("""COMPUTED_VALUE"""),2)</f>
        <v>2</v>
      </c>
      <c r="I864" s="8">
        <f ca="1">IFERROR(__xludf.DUMMYFUNCTION("""COMPUTED_VALUE"""),4)</f>
        <v>4</v>
      </c>
      <c r="J864" s="8">
        <f ca="1">IFERROR(__xludf.DUMMYFUNCTION("""COMPUTED_VALUE"""),0)</f>
        <v>0</v>
      </c>
      <c r="K864" s="8" t="str">
        <f ca="1">IFERROR(__xludf.DUMMYFUNCTION("""COMPUTED_VALUE"""),"https://www.cbsnews.com/chicago/news/juarez-shooting-arrest/
https://blockclubchicago.org/2022/12/16/4-teens-shot-outside-benito-juarez-high-school-as-classes-let-out-friday-officials-say/
https://www.cnn.com/2022/12/16/us/chicago-benito-juarez-high-schoo"&amp;"l-shooting/index.html")</f>
        <v>https://www.cbsnews.com/chicago/news/juarez-shooting-arrest/
https://blockclubchicago.org/2022/12/16/4-teens-shot-outside-benito-juarez-high-school-as-classes-let-out-friday-officials-say/
https://www.cnn.com/2022/12/16/us/chicago-benito-juarez-high-school-shooting/index.html</v>
      </c>
      <c r="L864" s="8">
        <f ca="1">IFERROR(__xludf.DUMMYFUNCTION("""COMPUTED_VALUE"""),100)</f>
        <v>100</v>
      </c>
      <c r="M864" s="8" t="str">
        <f ca="1">IFERROR(__xludf.DUMMYFUNCTION("""COMPUTED_VALUE"""),"National")</f>
        <v>National</v>
      </c>
      <c r="N864" s="8">
        <f ca="1">IFERROR(__xludf.DUMMYFUNCTION("""COMPUTED_VALUE"""),4)</f>
        <v>4</v>
      </c>
      <c r="O864" s="8" t="str">
        <f ca="1">IFERROR(__xludf.DUMMYFUNCTION("""COMPUTED_VALUE"""),"Winter")</f>
        <v>Winter</v>
      </c>
      <c r="P864" s="8" t="str">
        <f ca="1">IFERROR(__xludf.DUMMYFUNCTION("""COMPUTED_VALUE"""),"Chicago")</f>
        <v>Chicago</v>
      </c>
      <c r="Q864" s="8" t="str">
        <f ca="1">IFERROR(__xludf.DUMMYFUNCTION("""COMPUTED_VALUE"""),"IL")</f>
        <v>IL</v>
      </c>
      <c r="R864" s="8" t="str">
        <f ca="1">IFERROR(__xludf.DUMMYFUNCTION("""COMPUTED_VALUE"""),"High")</f>
        <v>High</v>
      </c>
      <c r="S864" s="8" t="str">
        <f ca="1">IFERROR(__xludf.DUMMYFUNCTION("""COMPUTED_VALUE"""),"Front of School")</f>
        <v>Front of School</v>
      </c>
      <c r="T864" s="8" t="str">
        <f ca="1">IFERROR(__xludf.DUMMYFUNCTION("""COMPUTED_VALUE"""),"Outside on School Property")</f>
        <v>Outside on School Property</v>
      </c>
      <c r="U864" s="8" t="str">
        <f ca="1">IFERROR(__xludf.DUMMYFUNCTION("""COMPUTED_VALUE"""),"Yes")</f>
        <v>Yes</v>
      </c>
      <c r="V864" s="8" t="str">
        <f ca="1">IFERROR(__xludf.DUMMYFUNCTION("""COMPUTED_VALUE"""),"Dismissal")</f>
        <v>Dismissal</v>
      </c>
      <c r="W864" s="11">
        <f ca="1">IFERROR(__xludf.DUMMYFUNCTION("""COMPUTED_VALUE"""),0.614583333333333)</f>
        <v>0.61458333333333304</v>
      </c>
      <c r="X864" s="8">
        <f ca="1">IFERROR(__xludf.DUMMYFUNCTION("""COMPUTED_VALUE"""),1)</f>
        <v>1</v>
      </c>
      <c r="Y864" s="12" t="str">
        <f ca="1">IFERROR(__xludf.DUMMYFUNCTION("""COMPUTED_VALUE"""),"4 students shot at dismissal, shooter fled")</f>
        <v>4 students shot at dismissal, shooter fled</v>
      </c>
      <c r="Z864" s="12" t="str">
        <f ca="1">IFERROR(__xludf.DUMMYFUNCTION("""COMPUTED_VALUE"""),"Four teens were shot, two fatally, Friday afternoon outside Benito Juarez High School in Pilsen, officials said. About 2:45 p.m., someone fired shots outside the school, 2150 S. Laflin St., as classes were letting out for the day. Three boys and one girl "&amp;"were hit outside the school, and all four were taken to Stroger Hospital, fire department officials said. Two boys, ages 14 and 15, both were shot in the head and died at the hospital, police said. A 15-year-old boy was wounded in his thigh and shoulder, "&amp;"and a 15-year-old girl was grazed in her thigh, police said. Both teens were hospitalized in good condition, police said.")</f>
        <v>Four teens were shot, two fatally, Friday afternoon outside Benito Juarez High School in Pilsen, officials said. About 2:45 p.m., someone fired shots outside the school, 2150 S. Laflin St., as classes were letting out for the day. Three boys and one girl were hit outside the school, and all four were taken to Stroger Hospital, fire department officials said. Two boys, ages 14 and 15, both were shot in the head and died at the hospital, police said. A 15-year-old boy was wounded in his thigh and shoulder, and a 15-year-old girl was grazed in her thigh, police said. Both teens were hospitalized in good condition, police said.</v>
      </c>
      <c r="AA864" s="8" t="str">
        <f ca="1">IFERROR(__xludf.DUMMYFUNCTION("""COMPUTED_VALUE"""),"Escalation of Dispute")</f>
        <v>Escalation of Dispute</v>
      </c>
      <c r="AB864" s="8"/>
      <c r="AC864" s="8" t="str">
        <f ca="1">IFERROR(__xludf.DUMMYFUNCTION("""COMPUTED_VALUE"""),"Yes")</f>
        <v>Yes</v>
      </c>
      <c r="AD864" s="8" t="str">
        <f ca="1">IFERROR(__xludf.DUMMYFUNCTION("""COMPUTED_VALUE"""),"Both")</f>
        <v>Both</v>
      </c>
      <c r="AE864" s="8" t="str">
        <f ca="1">IFERROR(__xludf.DUMMYFUNCTION("""COMPUTED_VALUE"""),"No")</f>
        <v>No</v>
      </c>
      <c r="AF864" s="8"/>
      <c r="AG864" s="8" t="str">
        <f ca="1">IFERROR(__xludf.DUMMYFUNCTION("""COMPUTED_VALUE"""),"No")</f>
        <v>No</v>
      </c>
      <c r="AH864" s="8" t="str">
        <f ca="1">IFERROR(__xludf.DUMMYFUNCTION("""COMPUTED_VALUE"""),"No")</f>
        <v>No</v>
      </c>
      <c r="AI864" s="8" t="str">
        <f ca="1">IFERROR(__xludf.DUMMYFUNCTION("""COMPUTED_VALUE"""),"No")</f>
        <v>No</v>
      </c>
      <c r="AJ864" s="8"/>
      <c r="AK864" s="8" t="str">
        <f ca="1">IFERROR(__xludf.DUMMYFUNCTION("""COMPUTED_VALUE"""),"No")</f>
        <v>No</v>
      </c>
      <c r="AL864" s="8"/>
      <c r="AM864" s="8" t="str">
        <f ca="1">IFERROR(__xludf.DUMMYFUNCTION("""COMPUTED_VALUE"""),"No")</f>
        <v>No</v>
      </c>
      <c r="AN864" s="8" t="str">
        <f ca="1">IFERROR(__xludf.DUMMYFUNCTION("""COMPUTED_VALUE"""),"Outside")</f>
        <v>Outside</v>
      </c>
      <c r="AO864" s="8" t="str">
        <f ca="1">IFERROR(__xludf.DUMMYFUNCTION("""COMPUTED_VALUE"""),"No")</f>
        <v>No</v>
      </c>
      <c r="AP864" s="8"/>
      <c r="AQ864" s="8"/>
      <c r="AR864" s="8" t="str">
        <f ca="1">IFERROR(__xludf.DUMMYFUNCTION("""COMPUTED_VALUE"""),"Outside/Off-Property")</f>
        <v>Outside/Off-Property</v>
      </c>
      <c r="AS864" s="8">
        <f ca="1">IFERROR(__xludf.DUMMYFUNCTION("""COMPUTED_VALUE"""),8)</f>
        <v>8</v>
      </c>
      <c r="AT864" s="8" t="str">
        <f ca="1">IFERROR(__xludf.DUMMYFUNCTION("""COMPUTED_VALUE"""),"Yes")</f>
        <v>Yes</v>
      </c>
      <c r="AU864" s="8">
        <f ca="1">IFERROR(__xludf.DUMMYFUNCTION("""COMPUTED_VALUE"""),41.85246)</f>
        <v>41.852460000000001</v>
      </c>
      <c r="AV864" s="8">
        <f ca="1">IFERROR(__xludf.DUMMYFUNCTION("""COMPUTED_VALUE"""),-87.663827)</f>
        <v>-87.663826999999998</v>
      </c>
      <c r="AW864" s="8"/>
      <c r="AX864" s="8">
        <f ca="1">IFERROR(__xludf.DUMMYFUNCTION("""COMPUTED_VALUE"""),60608)</f>
        <v>60608</v>
      </c>
    </row>
    <row r="865" spans="1:50" ht="45" x14ac:dyDescent="0.2">
      <c r="A865" s="8" t="str">
        <f ca="1">IFERROR(__xludf.DUMMYFUNCTION("""COMPUTED_VALUE"""),"20221214OHLIC")</f>
        <v>20221214OHLIC</v>
      </c>
      <c r="B865" s="8">
        <f ca="1">IFERROR(__xludf.DUMMYFUNCTION("""COMPUTED_VALUE"""),12)</f>
        <v>12</v>
      </c>
      <c r="C865" s="8">
        <f ca="1">IFERROR(__xludf.DUMMYFUNCTION("""COMPUTED_VALUE"""),14)</f>
        <v>14</v>
      </c>
      <c r="D865" s="8">
        <f ca="1">IFERROR(__xludf.DUMMYFUNCTION("""COMPUTED_VALUE"""),2022)</f>
        <v>2022</v>
      </c>
      <c r="E865" s="9">
        <f ca="1">IFERROR(__xludf.DUMMYFUNCTION("""COMPUTED_VALUE"""),44909)</f>
        <v>44909</v>
      </c>
      <c r="F865" s="8" t="str">
        <f ca="1">IFERROR(__xludf.DUMMYFUNCTION("""COMPUTED_VALUE"""),"Linden-McKinley STEM Academy")</f>
        <v>Linden-McKinley STEM Academy</v>
      </c>
      <c r="G865" s="8">
        <f ca="1">IFERROR(__xludf.DUMMYFUNCTION("""COMPUTED_VALUE"""),0)</f>
        <v>0</v>
      </c>
      <c r="H865" s="8">
        <f ca="1">IFERROR(__xludf.DUMMYFUNCTION("""COMPUTED_VALUE"""),0)</f>
        <v>0</v>
      </c>
      <c r="I865" s="8">
        <f ca="1">IFERROR(__xludf.DUMMYFUNCTION("""COMPUTED_VALUE"""),0)</f>
        <v>0</v>
      </c>
      <c r="J865" s="8">
        <f ca="1">IFERROR(__xludf.DUMMYFUNCTION("""COMPUTED_VALUE"""),0)</f>
        <v>0</v>
      </c>
      <c r="K865" s="10" t="str">
        <f ca="1">IFERROR(__xludf.DUMMYFUNCTION("""COMPUTED_VALUE"""),"https://www.nbc4i.com/news/local-news/columbus/police-shots-fired-outside-columbus-school/")</f>
        <v>https://www.nbc4i.com/news/local-news/columbus/police-shots-fired-outside-columbus-school/</v>
      </c>
      <c r="L865" s="8">
        <f ca="1">IFERROR(__xludf.DUMMYFUNCTION("""COMPUTED_VALUE"""),5)</f>
        <v>5</v>
      </c>
      <c r="M865" s="8" t="str">
        <f ca="1">IFERROR(__xludf.DUMMYFUNCTION("""COMPUTED_VALUE"""),"Local")</f>
        <v>Local</v>
      </c>
      <c r="N865" s="8">
        <f ca="1">IFERROR(__xludf.DUMMYFUNCTION("""COMPUTED_VALUE"""),4)</f>
        <v>4</v>
      </c>
      <c r="O865" s="8" t="str">
        <f ca="1">IFERROR(__xludf.DUMMYFUNCTION("""COMPUTED_VALUE"""),"Winter")</f>
        <v>Winter</v>
      </c>
      <c r="P865" s="8" t="str">
        <f ca="1">IFERROR(__xludf.DUMMYFUNCTION("""COMPUTED_VALUE"""),"Columbus")</f>
        <v>Columbus</v>
      </c>
      <c r="Q865" s="8" t="str">
        <f ca="1">IFERROR(__xludf.DUMMYFUNCTION("""COMPUTED_VALUE"""),"OH")</f>
        <v>OH</v>
      </c>
      <c r="R865" s="8" t="str">
        <f ca="1">IFERROR(__xludf.DUMMYFUNCTION("""COMPUTED_VALUE"""),"High")</f>
        <v>High</v>
      </c>
      <c r="S865" s="8" t="str">
        <f ca="1">IFERROR(__xludf.DUMMYFUNCTION("""COMPUTED_VALUE"""),"Outside on School Property")</f>
        <v>Outside on School Property</v>
      </c>
      <c r="T865" s="8" t="str">
        <f ca="1">IFERROR(__xludf.DUMMYFUNCTION("""COMPUTED_VALUE"""),"Outside on School Property")</f>
        <v>Outside on School Property</v>
      </c>
      <c r="U865" s="8" t="str">
        <f ca="1">IFERROR(__xludf.DUMMYFUNCTION("""COMPUTED_VALUE"""),"Yes")</f>
        <v>Yes</v>
      </c>
      <c r="V865" s="8" t="str">
        <f ca="1">IFERROR(__xludf.DUMMYFUNCTION("""COMPUTED_VALUE"""),"Dismissal")</f>
        <v>Dismissal</v>
      </c>
      <c r="W865" s="11">
        <f ca="1">IFERROR(__xludf.DUMMYFUNCTION("""COMPUTED_VALUE"""),0.611111111111111)</f>
        <v>0.61111111111111105</v>
      </c>
      <c r="X865" s="8">
        <f ca="1">IFERROR(__xludf.DUMMYFUNCTION("""COMPUTED_VALUE"""),1)</f>
        <v>1</v>
      </c>
      <c r="Y865" s="12" t="str">
        <f ca="1">IFERROR(__xludf.DUMMYFUNCTION("""COMPUTED_VALUE"""),"Shots fired outside school")</f>
        <v>Shots fired outside school</v>
      </c>
      <c r="Z865" s="12" t="str">
        <f ca="1">IFERROR(__xludf.DUMMYFUNCTION("""COMPUTED_VALUE"""),"Shots fired outside the school. No injuries. 90 minutes prior to the shooting, police detained another student on campus with a loaded 9mm handgun.")</f>
        <v>Shots fired outside the school. No injuries. 90 minutes prior to the shooting, police detained another student on campus with a loaded 9mm handgun.</v>
      </c>
      <c r="AA865" s="8"/>
      <c r="AB865" s="8"/>
      <c r="AC865" s="8" t="str">
        <f ca="1">IFERROR(__xludf.DUMMYFUNCTION("""COMPUTED_VALUE"""),"Yes")</f>
        <v>Yes</v>
      </c>
      <c r="AD865" s="8"/>
      <c r="AE865" s="8"/>
      <c r="AF865" s="8"/>
      <c r="AG865" s="8" t="str">
        <f ca="1">IFERROR(__xludf.DUMMYFUNCTION("""COMPUTED_VALUE"""),"No")</f>
        <v>No</v>
      </c>
      <c r="AH865" s="8" t="str">
        <f ca="1">IFERROR(__xludf.DUMMYFUNCTION("""COMPUTED_VALUE"""),"No")</f>
        <v>No</v>
      </c>
      <c r="AI865" s="8" t="str">
        <f ca="1">IFERROR(__xludf.DUMMYFUNCTION("""COMPUTED_VALUE"""),"No")</f>
        <v>No</v>
      </c>
      <c r="AJ865" s="8"/>
      <c r="AK865" s="8" t="str">
        <f ca="1">IFERROR(__xludf.DUMMYFUNCTION("""COMPUTED_VALUE"""),"No")</f>
        <v>No</v>
      </c>
      <c r="AL865" s="8"/>
      <c r="AM865" s="8" t="str">
        <f ca="1">IFERROR(__xludf.DUMMYFUNCTION("""COMPUTED_VALUE"""),"No")</f>
        <v>No</v>
      </c>
      <c r="AN865" s="8" t="str">
        <f ca="1">IFERROR(__xludf.DUMMYFUNCTION("""COMPUTED_VALUE"""),"Outside")</f>
        <v>Outside</v>
      </c>
      <c r="AO865" s="8" t="str">
        <f ca="1">IFERROR(__xludf.DUMMYFUNCTION("""COMPUTED_VALUE"""),"No")</f>
        <v>No</v>
      </c>
      <c r="AP865" s="8" t="str">
        <f ca="1">IFERROR(__xludf.DUMMYFUNCTION("""COMPUTED_VALUE"""),"Yes")</f>
        <v>Yes</v>
      </c>
      <c r="AQ865" s="8" t="str">
        <f ca="1">IFERROR(__xludf.DUMMYFUNCTION("""COMPUTED_VALUE"""),"Armed Guards")</f>
        <v>Armed Guards</v>
      </c>
      <c r="AR865" s="8" t="str">
        <f ca="1">IFERROR(__xludf.DUMMYFUNCTION("""COMPUTED_VALUE"""),"Outside/Off-Property")</f>
        <v>Outside/Off-Property</v>
      </c>
      <c r="AS865" s="8">
        <f ca="1">IFERROR(__xludf.DUMMYFUNCTION("""COMPUTED_VALUE"""),99)</f>
        <v>99</v>
      </c>
      <c r="AT865" s="8"/>
      <c r="AU865" s="8">
        <f ca="1">IFERROR(__xludf.DUMMYFUNCTION("""COMPUTED_VALUE"""),40.009176)</f>
        <v>40.009175999999997</v>
      </c>
      <c r="AV865" s="8">
        <f ca="1">IFERROR(__xludf.DUMMYFUNCTION("""COMPUTED_VALUE"""),-82.97404)</f>
        <v>-82.974040000000002</v>
      </c>
      <c r="AW865" s="8"/>
      <c r="AX865" s="8">
        <f ca="1">IFERROR(__xludf.DUMMYFUNCTION("""COMPUTED_VALUE"""),43211)</f>
        <v>43211</v>
      </c>
    </row>
    <row r="866" spans="1:50" ht="105" x14ac:dyDescent="0.2">
      <c r="A866" s="8" t="str">
        <f ca="1">IFERROR(__xludf.DUMMYFUNCTION("""COMPUTED_VALUE"""),"20221212ORGRP")</f>
        <v>20221212ORGRP</v>
      </c>
      <c r="B866" s="8">
        <f ca="1">IFERROR(__xludf.DUMMYFUNCTION("""COMPUTED_VALUE"""),12)</f>
        <v>12</v>
      </c>
      <c r="C866" s="8">
        <f ca="1">IFERROR(__xludf.DUMMYFUNCTION("""COMPUTED_VALUE"""),12)</f>
        <v>12</v>
      </c>
      <c r="D866" s="8">
        <f ca="1">IFERROR(__xludf.DUMMYFUNCTION("""COMPUTED_VALUE"""),2022)</f>
        <v>2022</v>
      </c>
      <c r="E866" s="9">
        <f ca="1">IFERROR(__xludf.DUMMYFUNCTION("""COMPUTED_VALUE"""),44907)</f>
        <v>44907</v>
      </c>
      <c r="F866" s="8" t="str">
        <f ca="1">IFERROR(__xludf.DUMMYFUNCTION("""COMPUTED_VALUE"""),"Grover Cleveland High School")</f>
        <v>Grover Cleveland High School</v>
      </c>
      <c r="G866" s="8">
        <f ca="1">IFERROR(__xludf.DUMMYFUNCTION("""COMPUTED_VALUE"""),0)</f>
        <v>0</v>
      </c>
      <c r="H866" s="8">
        <f ca="1">IFERROR(__xludf.DUMMYFUNCTION("""COMPUTED_VALUE"""),1)</f>
        <v>1</v>
      </c>
      <c r="I866" s="8">
        <f ca="1">IFERROR(__xludf.DUMMYFUNCTION("""COMPUTED_VALUE"""),1)</f>
        <v>1</v>
      </c>
      <c r="J866" s="8">
        <f ca="1">IFERROR(__xludf.DUMMYFUNCTION("""COMPUTED_VALUE"""),0)</f>
        <v>0</v>
      </c>
      <c r="K866" s="10" t="str">
        <f ca="1">IFERROR(__xludf.DUMMYFUNCTION("""COMPUTED_VALUE"""),"https://katu.com/news/local/police-presence-at-cleveland-high-school-monday-afternoon")</f>
        <v>https://katu.com/news/local/police-presence-at-cleveland-high-school-monday-afternoon</v>
      </c>
      <c r="L866" s="8">
        <f ca="1">IFERROR(__xludf.DUMMYFUNCTION("""COMPUTED_VALUE"""),50)</f>
        <v>50</v>
      </c>
      <c r="M866" s="8" t="str">
        <f ca="1">IFERROR(__xludf.DUMMYFUNCTION("""COMPUTED_VALUE"""),"National")</f>
        <v>National</v>
      </c>
      <c r="N866" s="8">
        <f ca="1">IFERROR(__xludf.DUMMYFUNCTION("""COMPUTED_VALUE"""),4)</f>
        <v>4</v>
      </c>
      <c r="O866" s="8" t="str">
        <f ca="1">IFERROR(__xludf.DUMMYFUNCTION("""COMPUTED_VALUE"""),"Winter")</f>
        <v>Winter</v>
      </c>
      <c r="P866" s="8" t="str">
        <f ca="1">IFERROR(__xludf.DUMMYFUNCTION("""COMPUTED_VALUE"""),"Portland")</f>
        <v>Portland</v>
      </c>
      <c r="Q866" s="8" t="str">
        <f ca="1">IFERROR(__xludf.DUMMYFUNCTION("""COMPUTED_VALUE"""),"OR")</f>
        <v>OR</v>
      </c>
      <c r="R866" s="8" t="str">
        <f ca="1">IFERROR(__xludf.DUMMYFUNCTION("""COMPUTED_VALUE"""),"High")</f>
        <v>High</v>
      </c>
      <c r="S866" s="8" t="str">
        <f ca="1">IFERROR(__xludf.DUMMYFUNCTION("""COMPUTED_VALUE"""),"Beside Building")</f>
        <v>Beside Building</v>
      </c>
      <c r="T866" s="8" t="str">
        <f ca="1">IFERROR(__xludf.DUMMYFUNCTION("""COMPUTED_VALUE"""),"Outside on School Property")</f>
        <v>Outside on School Property</v>
      </c>
      <c r="U866" s="8" t="str">
        <f ca="1">IFERROR(__xludf.DUMMYFUNCTION("""COMPUTED_VALUE"""),"Yes")</f>
        <v>Yes</v>
      </c>
      <c r="V866" s="8" t="str">
        <f ca="1">IFERROR(__xludf.DUMMYFUNCTION("""COMPUTED_VALUE"""),"Morning Classes")</f>
        <v>Morning Classes</v>
      </c>
      <c r="W866" s="11">
        <f ca="1">IFERROR(__xludf.DUMMYFUNCTION("""COMPUTED_VALUE"""),0.520833333333333)</f>
        <v>0.52083333333333304</v>
      </c>
      <c r="X866" s="8">
        <f ca="1">IFERROR(__xludf.DUMMYFUNCTION("""COMPUTED_VALUE"""),1)</f>
        <v>1</v>
      </c>
      <c r="Y866" s="12" t="str">
        <f ca="1">IFERROR(__xludf.DUMMYFUNCTION("""COMPUTED_VALUE"""),"Student shot outside of school during morning classes")</f>
        <v>Student shot outside of school during morning classes</v>
      </c>
      <c r="Z866" s="12" t="str">
        <f ca="1">IFERROR(__xludf.DUMMYFUNCTION("""COMPUTED_VALUE"""),"The shooting was reported at about 12:30 p.m. outside the school on Powell Boulevard at Southeast 26th Avenue, but police said the gunfire happened ""partially on school grounds."" Witnesses say two vehicles may have been involved, but neither driver stay"&amp;"ed at the scene after the shooting. The school went into an immediate lockdown. There were no other injuries reported.")</f>
        <v>The shooting was reported at about 12:30 p.m. outside the school on Powell Boulevard at Southeast 26th Avenue, but police said the gunfire happened "partially on school grounds." Witnesses say two vehicles may have been involved, but neither driver stayed at the scene after the shooting. The school went into an immediate lockdown. There were no other injuries reported.</v>
      </c>
      <c r="AA866" s="8"/>
      <c r="AB866" s="8"/>
      <c r="AC866" s="8" t="str">
        <f ca="1">IFERROR(__xludf.DUMMYFUNCTION("""COMPUTED_VALUE"""),"Yes")</f>
        <v>Yes</v>
      </c>
      <c r="AD866" s="8" t="str">
        <f ca="1">IFERROR(__xludf.DUMMYFUNCTION("""COMPUTED_VALUE"""),"Victims Targeted")</f>
        <v>Victims Targeted</v>
      </c>
      <c r="AE866" s="8"/>
      <c r="AF866" s="8"/>
      <c r="AG866" s="8" t="str">
        <f ca="1">IFERROR(__xludf.DUMMYFUNCTION("""COMPUTED_VALUE"""),"No")</f>
        <v>No</v>
      </c>
      <c r="AH866" s="8" t="str">
        <f ca="1">IFERROR(__xludf.DUMMYFUNCTION("""COMPUTED_VALUE"""),"No")</f>
        <v>No</v>
      </c>
      <c r="AI866" s="8" t="str">
        <f ca="1">IFERROR(__xludf.DUMMYFUNCTION("""COMPUTED_VALUE"""),"No")</f>
        <v>No</v>
      </c>
      <c r="AJ866" s="8" t="str">
        <f ca="1">IFERROR(__xludf.DUMMYFUNCTION("""COMPUTED_VALUE"""),"No")</f>
        <v>No</v>
      </c>
      <c r="AK866" s="8" t="str">
        <f ca="1">IFERROR(__xludf.DUMMYFUNCTION("""COMPUTED_VALUE"""),"No")</f>
        <v>No</v>
      </c>
      <c r="AL866" s="8"/>
      <c r="AM866" s="8" t="str">
        <f ca="1">IFERROR(__xludf.DUMMYFUNCTION("""COMPUTED_VALUE"""),"No")</f>
        <v>No</v>
      </c>
      <c r="AN866" s="8" t="str">
        <f ca="1">IFERROR(__xludf.DUMMYFUNCTION("""COMPUTED_VALUE"""),"Outside")</f>
        <v>Outside</v>
      </c>
      <c r="AO866" s="8" t="str">
        <f ca="1">IFERROR(__xludf.DUMMYFUNCTION("""COMPUTED_VALUE"""),"No")</f>
        <v>No</v>
      </c>
      <c r="AP866" s="8"/>
      <c r="AQ866" s="8"/>
      <c r="AR866" s="8" t="str">
        <f ca="1">IFERROR(__xludf.DUMMYFUNCTION("""COMPUTED_VALUE"""),"Outside/Off-Property")</f>
        <v>Outside/Off-Property</v>
      </c>
      <c r="AS866" s="8">
        <f ca="1">IFERROR(__xludf.DUMMYFUNCTION("""COMPUTED_VALUE"""),99)</f>
        <v>99</v>
      </c>
      <c r="AT866" s="8" t="str">
        <f ca="1">IFERROR(__xludf.DUMMYFUNCTION("""COMPUTED_VALUE"""),"Yes")</f>
        <v>Yes</v>
      </c>
      <c r="AU866" s="8">
        <f ca="1">IFERROR(__xludf.DUMMYFUNCTION("""COMPUTED_VALUE"""),45.498267)</f>
        <v>45.498266999999998</v>
      </c>
      <c r="AV866" s="8">
        <f ca="1">IFERROR(__xludf.DUMMYFUNCTION("""COMPUTED_VALUE"""),-122.639498)</f>
        <v>-122.639498</v>
      </c>
      <c r="AW866" s="8"/>
      <c r="AX866" s="8">
        <f ca="1">IFERROR(__xludf.DUMMYFUNCTION("""COMPUTED_VALUE"""),97202)</f>
        <v>97202</v>
      </c>
    </row>
    <row r="867" spans="1:50" ht="45" x14ac:dyDescent="0.2">
      <c r="A867" s="8" t="str">
        <f ca="1">IFERROR(__xludf.DUMMYFUNCTION("""COMPUTED_VALUE"""),"20221210TNBRC")</f>
        <v>20221210TNBRC</v>
      </c>
      <c r="B867" s="8">
        <f ca="1">IFERROR(__xludf.DUMMYFUNCTION("""COMPUTED_VALUE"""),12)</f>
        <v>12</v>
      </c>
      <c r="C867" s="8">
        <f ca="1">IFERROR(__xludf.DUMMYFUNCTION("""COMPUTED_VALUE"""),10)</f>
        <v>10</v>
      </c>
      <c r="D867" s="8">
        <f ca="1">IFERROR(__xludf.DUMMYFUNCTION("""COMPUTED_VALUE"""),2022)</f>
        <v>2022</v>
      </c>
      <c r="E867" s="9">
        <f ca="1">IFERROR(__xludf.DUMMYFUNCTION("""COMPUTED_VALUE"""),44905)</f>
        <v>44905</v>
      </c>
      <c r="F867" s="8" t="str">
        <f ca="1">IFERROR(__xludf.DUMMYFUNCTION("""COMPUTED_VALUE"""),"Brainerd High School")</f>
        <v>Brainerd High School</v>
      </c>
      <c r="G867" s="8">
        <f ca="1">IFERROR(__xludf.DUMMYFUNCTION("""COMPUTED_VALUE"""),0)</f>
        <v>0</v>
      </c>
      <c r="H867" s="8">
        <f ca="1">IFERROR(__xludf.DUMMYFUNCTION("""COMPUTED_VALUE"""),0)</f>
        <v>0</v>
      </c>
      <c r="I867" s="8">
        <f ca="1">IFERROR(__xludf.DUMMYFUNCTION("""COMPUTED_VALUE"""),0)</f>
        <v>0</v>
      </c>
      <c r="J867" s="8">
        <f ca="1">IFERROR(__xludf.DUMMYFUNCTION("""COMPUTED_VALUE"""),0)</f>
        <v>0</v>
      </c>
      <c r="K867" s="8" t="str">
        <f ca="1">IFERROR(__xludf.DUMMYFUNCTION("""COMPUTED_VALUE"""),"https://newschannel9.com/news/local/shots-fired-outsidetyner-academy-vs-brainerd-high-school-basketball-game-saturday-night
https://www.local3news.com/local-news/chattanooga-police-investigate-multiple-shots-fired-in-brainerd-high-school-parking-lot/artic"&amp;"le_f3aabb16-7904-11ed-aaea-7386ee4e554a.html
https://www.chattanoogan.com/2022/12/10/460750/Multiple-Shots-Fired-In-Brainerd-High.aspx
https://www.wdef.com/chattanooga-police-investigating-shooting-near-brainerd-high-school/")</f>
        <v>https://newschannel9.com/news/local/shots-fired-outsidetyner-academy-vs-brainerd-high-school-basketball-game-saturday-night
https://www.local3news.com/local-news/chattanooga-police-investigate-multiple-shots-fired-in-brainerd-high-school-parking-lot/article_f3aabb16-7904-11ed-aaea-7386ee4e554a.html
https://www.chattanoogan.com/2022/12/10/460750/Multiple-Shots-Fired-In-Brainerd-High.aspx
https://www.wdef.com/chattanooga-police-investigating-shooting-near-brainerd-high-school/</v>
      </c>
      <c r="L867" s="8">
        <f ca="1">IFERROR(__xludf.DUMMYFUNCTION("""COMPUTED_VALUE"""),5)</f>
        <v>5</v>
      </c>
      <c r="M867" s="8" t="str">
        <f ca="1">IFERROR(__xludf.DUMMYFUNCTION("""COMPUTED_VALUE"""),"Local")</f>
        <v>Local</v>
      </c>
      <c r="N867" s="8">
        <f ca="1">IFERROR(__xludf.DUMMYFUNCTION("""COMPUTED_VALUE"""),4)</f>
        <v>4</v>
      </c>
      <c r="O867" s="8" t="str">
        <f ca="1">IFERROR(__xludf.DUMMYFUNCTION("""COMPUTED_VALUE"""),"Winter")</f>
        <v>Winter</v>
      </c>
      <c r="P867" s="8" t="str">
        <f ca="1">IFERROR(__xludf.DUMMYFUNCTION("""COMPUTED_VALUE"""),"Chattanooga")</f>
        <v>Chattanooga</v>
      </c>
      <c r="Q867" s="8" t="str">
        <f ca="1">IFERROR(__xludf.DUMMYFUNCTION("""COMPUTED_VALUE"""),"TN")</f>
        <v>TN</v>
      </c>
      <c r="R867" s="8" t="str">
        <f ca="1">IFERROR(__xludf.DUMMYFUNCTION("""COMPUTED_VALUE"""),"High")</f>
        <v>High</v>
      </c>
      <c r="S867" s="8" t="str">
        <f ca="1">IFERROR(__xludf.DUMMYFUNCTION("""COMPUTED_VALUE"""),"Parking Lot")</f>
        <v>Parking Lot</v>
      </c>
      <c r="T867" s="8" t="str">
        <f ca="1">IFERROR(__xludf.DUMMYFUNCTION("""COMPUTED_VALUE"""),"Outside on School Property")</f>
        <v>Outside on School Property</v>
      </c>
      <c r="U867" s="8" t="str">
        <f ca="1">IFERROR(__xludf.DUMMYFUNCTION("""COMPUTED_VALUE"""),"No")</f>
        <v>No</v>
      </c>
      <c r="V867" s="8" t="str">
        <f ca="1">IFERROR(__xludf.DUMMYFUNCTION("""COMPUTED_VALUE"""),"Sport Event")</f>
        <v>Sport Event</v>
      </c>
      <c r="W867" s="11">
        <f ca="1">IFERROR(__xludf.DUMMYFUNCTION("""COMPUTED_VALUE"""),0.78125)</f>
        <v>0.78125</v>
      </c>
      <c r="X867" s="8">
        <f ca="1">IFERROR(__xludf.DUMMYFUNCTION("""COMPUTED_VALUE"""),1)</f>
        <v>1</v>
      </c>
      <c r="Y867" s="12" t="str">
        <f ca="1">IFERROR(__xludf.DUMMYFUNCTION("""COMPUTED_VALUE"""),"Multiple shots fired in parking lot, shooter fled")</f>
        <v>Multiple shots fired in parking lot, shooter fled</v>
      </c>
      <c r="Z867" s="12" t="str">
        <f ca="1">IFERROR(__xludf.DUMMYFUNCTION("""COMPUTED_VALUE"""),"Multiple shots fired in parking lot following varsity basketball game. Police found shell casings and damaged vehicles. Shooter fled.")</f>
        <v>Multiple shots fired in parking lot following varsity basketball game. Police found shell casings and damaged vehicles. Shooter fled.</v>
      </c>
      <c r="AA867" s="8"/>
      <c r="AB867" s="8"/>
      <c r="AC867" s="8" t="str">
        <f ca="1">IFERROR(__xludf.DUMMYFUNCTION("""COMPUTED_VALUE"""),"Yes")</f>
        <v>Yes</v>
      </c>
      <c r="AD867" s="8"/>
      <c r="AE867" s="8"/>
      <c r="AF867" s="8"/>
      <c r="AG867" s="8" t="str">
        <f ca="1">IFERROR(__xludf.DUMMYFUNCTION("""COMPUTED_VALUE"""),"No")</f>
        <v>No</v>
      </c>
      <c r="AH867" s="8" t="str">
        <f ca="1">IFERROR(__xludf.DUMMYFUNCTION("""COMPUTED_VALUE"""),"No")</f>
        <v>No</v>
      </c>
      <c r="AI867" s="8" t="str">
        <f ca="1">IFERROR(__xludf.DUMMYFUNCTION("""COMPUTED_VALUE"""),"No")</f>
        <v>No</v>
      </c>
      <c r="AJ867" s="8"/>
      <c r="AK867" s="8" t="str">
        <f ca="1">IFERROR(__xludf.DUMMYFUNCTION("""COMPUTED_VALUE"""),"No")</f>
        <v>No</v>
      </c>
      <c r="AL867" s="8"/>
      <c r="AM867" s="8" t="str">
        <f ca="1">IFERROR(__xludf.DUMMYFUNCTION("""COMPUTED_VALUE"""),"No")</f>
        <v>No</v>
      </c>
      <c r="AN867" s="8" t="str">
        <f ca="1">IFERROR(__xludf.DUMMYFUNCTION("""COMPUTED_VALUE"""),"Outside")</f>
        <v>Outside</v>
      </c>
      <c r="AO867" s="8" t="str">
        <f ca="1">IFERROR(__xludf.DUMMYFUNCTION("""COMPUTED_VALUE"""),"No")</f>
        <v>No</v>
      </c>
      <c r="AP867" s="8"/>
      <c r="AQ867" s="8"/>
      <c r="AR867" s="8" t="str">
        <f ca="1">IFERROR(__xludf.DUMMYFUNCTION("""COMPUTED_VALUE"""),"Outside/Off-Property")</f>
        <v>Outside/Off-Property</v>
      </c>
      <c r="AS867" s="8">
        <f ca="1">IFERROR(__xludf.DUMMYFUNCTION("""COMPUTED_VALUE"""),99)</f>
        <v>99</v>
      </c>
      <c r="AT867" s="8"/>
      <c r="AU867" s="8">
        <f ca="1">IFERROR(__xludf.DUMMYFUNCTION("""COMPUTED_VALUE"""),35.028909)</f>
        <v>35.028908999999999</v>
      </c>
      <c r="AV867" s="8">
        <f ca="1">IFERROR(__xludf.DUMMYFUNCTION("""COMPUTED_VALUE"""),-85.218836)</f>
        <v>-85.218835999999996</v>
      </c>
      <c r="AW867" s="8"/>
      <c r="AX867" s="8">
        <f ca="1">IFERROR(__xludf.DUMMYFUNCTION("""COMPUTED_VALUE"""),37411)</f>
        <v>37411</v>
      </c>
    </row>
    <row r="868" spans="1:50" ht="90" x14ac:dyDescent="0.2">
      <c r="A868" s="8" t="str">
        <f ca="1">IFERROR(__xludf.DUMMYFUNCTION("""COMPUTED_VALUE"""),"20221209PAMEP")</f>
        <v>20221209PAMEP</v>
      </c>
      <c r="B868" s="8">
        <f ca="1">IFERROR(__xludf.DUMMYFUNCTION("""COMPUTED_VALUE"""),12)</f>
        <v>12</v>
      </c>
      <c r="C868" s="8">
        <f ca="1">IFERROR(__xludf.DUMMYFUNCTION("""COMPUTED_VALUE"""),9)</f>
        <v>9</v>
      </c>
      <c r="D868" s="8">
        <f ca="1">IFERROR(__xludf.DUMMYFUNCTION("""COMPUTED_VALUE"""),2022)</f>
        <v>2022</v>
      </c>
      <c r="E868" s="9">
        <f ca="1">IFERROR(__xludf.DUMMYFUNCTION("""COMPUTED_VALUE"""),44904)</f>
        <v>44904</v>
      </c>
      <c r="F868" s="8" t="str">
        <f ca="1">IFERROR(__xludf.DUMMYFUNCTION("""COMPUTED_VALUE"""),"Memphis Street Academy Charter School")</f>
        <v>Memphis Street Academy Charter School</v>
      </c>
      <c r="G868" s="8">
        <f ca="1">IFERROR(__xludf.DUMMYFUNCTION("""COMPUTED_VALUE"""),1)</f>
        <v>1</v>
      </c>
      <c r="H868" s="8">
        <f ca="1">IFERROR(__xludf.DUMMYFUNCTION("""COMPUTED_VALUE"""),0)</f>
        <v>0</v>
      </c>
      <c r="I868" s="8">
        <f ca="1">IFERROR(__xludf.DUMMYFUNCTION("""COMPUTED_VALUE"""),1)</f>
        <v>1</v>
      </c>
      <c r="J868" s="8">
        <f ca="1">IFERROR(__xludf.DUMMYFUNCTION("""COMPUTED_VALUE"""),0)</f>
        <v>0</v>
      </c>
      <c r="K868" s="10" t="str">
        <f ca="1">IFERROR(__xludf.DUMMYFUNCTION("""COMPUTED_VALUE"""),"https://6abc.com/shooting-homicide/12554428/")</f>
        <v>https://6abc.com/shooting-homicide/12554428/</v>
      </c>
      <c r="L868" s="8">
        <f ca="1">IFERROR(__xludf.DUMMYFUNCTION("""COMPUTED_VALUE"""),1)</f>
        <v>1</v>
      </c>
      <c r="M868" s="8" t="str">
        <f ca="1">IFERROR(__xludf.DUMMYFUNCTION("""COMPUTED_VALUE"""),"Local")</f>
        <v>Local</v>
      </c>
      <c r="N868" s="8">
        <f ca="1">IFERROR(__xludf.DUMMYFUNCTION("""COMPUTED_VALUE"""),2)</f>
        <v>2</v>
      </c>
      <c r="O868" s="8" t="str">
        <f ca="1">IFERROR(__xludf.DUMMYFUNCTION("""COMPUTED_VALUE"""),"Winter")</f>
        <v>Winter</v>
      </c>
      <c r="P868" s="8" t="str">
        <f ca="1">IFERROR(__xludf.DUMMYFUNCTION("""COMPUTED_VALUE"""),"Philadelphia")</f>
        <v>Philadelphia</v>
      </c>
      <c r="Q868" s="8" t="str">
        <f ca="1">IFERROR(__xludf.DUMMYFUNCTION("""COMPUTED_VALUE"""),"PA")</f>
        <v>PA</v>
      </c>
      <c r="R868" s="8" t="str">
        <f ca="1">IFERROR(__xludf.DUMMYFUNCTION("""COMPUTED_VALUE"""),"High")</f>
        <v>High</v>
      </c>
      <c r="S868" s="8" t="str">
        <f ca="1">IFERROR(__xludf.DUMMYFUNCTION("""COMPUTED_VALUE"""),"Beside Building")</f>
        <v>Beside Building</v>
      </c>
      <c r="T868" s="8" t="str">
        <f ca="1">IFERROR(__xludf.DUMMYFUNCTION("""COMPUTED_VALUE"""),"Outside on School Property")</f>
        <v>Outside on School Property</v>
      </c>
      <c r="U868" s="8" t="str">
        <f ca="1">IFERROR(__xludf.DUMMYFUNCTION("""COMPUTED_VALUE"""),"No")</f>
        <v>No</v>
      </c>
      <c r="V868" s="8" t="str">
        <f ca="1">IFERROR(__xludf.DUMMYFUNCTION("""COMPUTED_VALUE"""),"Night")</f>
        <v>Night</v>
      </c>
      <c r="W868" s="11">
        <f ca="1">IFERROR(__xludf.DUMMYFUNCTION("""COMPUTED_VALUE"""),0.979166666666666)</f>
        <v>0.97916666666666596</v>
      </c>
      <c r="X868" s="8">
        <f ca="1">IFERROR(__xludf.DUMMYFUNCTION("""COMPUTED_VALUE"""),1)</f>
        <v>1</v>
      </c>
      <c r="Y868" s="12" t="str">
        <f ca="1">IFERROR(__xludf.DUMMYFUNCTION("""COMPUTED_VALUE"""),"Adult man fatally shot next to school")</f>
        <v>Adult man fatally shot next to school</v>
      </c>
      <c r="Z868" s="12" t="str">
        <f ca="1">IFERROR(__xludf.DUMMYFUNCTION("""COMPUTED_VALUE"""),"Philadelphia Police are investigating after a man was shot and killed outside a school in Port Richmond. It happened around 11:30 p.m. Friday near the Memphis Street Academy Charter School in the 2900 block of Memphis Street. Investigators say the 31-year"&amp;"-old man was shot eight times and then climbed into the passenger seat of a car.")</f>
        <v>Philadelphia Police are investigating after a man was shot and killed outside a school in Port Richmond. It happened around 11:30 p.m. Friday near the Memphis Street Academy Charter School in the 2900 block of Memphis Street. Investigators say the 31-year-old man was shot eight times and then climbed into the passenger seat of a car.</v>
      </c>
      <c r="AA868" s="8"/>
      <c r="AB868" s="8"/>
      <c r="AC868" s="8" t="str">
        <f ca="1">IFERROR(__xludf.DUMMYFUNCTION("""COMPUTED_VALUE"""),"No")</f>
        <v>No</v>
      </c>
      <c r="AD868" s="8" t="str">
        <f ca="1">IFERROR(__xludf.DUMMYFUNCTION("""COMPUTED_VALUE"""),"Victims Targeted")</f>
        <v>Victims Targeted</v>
      </c>
      <c r="AE868" s="8"/>
      <c r="AF868" s="8"/>
      <c r="AG868" s="8" t="str">
        <f ca="1">IFERROR(__xludf.DUMMYFUNCTION("""COMPUTED_VALUE"""),"No")</f>
        <v>No</v>
      </c>
      <c r="AH868" s="8" t="str">
        <f ca="1">IFERROR(__xludf.DUMMYFUNCTION("""COMPUTED_VALUE"""),"No")</f>
        <v>No</v>
      </c>
      <c r="AI868" s="8" t="str">
        <f ca="1">IFERROR(__xludf.DUMMYFUNCTION("""COMPUTED_VALUE"""),"No")</f>
        <v>No</v>
      </c>
      <c r="AJ868" s="8" t="str">
        <f ca="1">IFERROR(__xludf.DUMMYFUNCTION("""COMPUTED_VALUE"""),"No")</f>
        <v>No</v>
      </c>
      <c r="AK868" s="8" t="str">
        <f ca="1">IFERROR(__xludf.DUMMYFUNCTION("""COMPUTED_VALUE"""),"No")</f>
        <v>No</v>
      </c>
      <c r="AL868" s="8"/>
      <c r="AM868" s="8" t="str">
        <f ca="1">IFERROR(__xludf.DUMMYFUNCTION("""COMPUTED_VALUE"""),"No")</f>
        <v>No</v>
      </c>
      <c r="AN868" s="8" t="str">
        <f ca="1">IFERROR(__xludf.DUMMYFUNCTION("""COMPUTED_VALUE"""),"Outside")</f>
        <v>Outside</v>
      </c>
      <c r="AO868" s="8" t="str">
        <f ca="1">IFERROR(__xludf.DUMMYFUNCTION("""COMPUTED_VALUE"""),"No")</f>
        <v>No</v>
      </c>
      <c r="AP868" s="8"/>
      <c r="AQ868" s="8"/>
      <c r="AR868" s="8" t="str">
        <f ca="1">IFERROR(__xludf.DUMMYFUNCTION("""COMPUTED_VALUE"""),"Outside/Off-Property")</f>
        <v>Outside/Off-Property</v>
      </c>
      <c r="AS868" s="8">
        <f ca="1">IFERROR(__xludf.DUMMYFUNCTION("""COMPUTED_VALUE"""),6)</f>
        <v>6</v>
      </c>
      <c r="AT868" s="8"/>
      <c r="AU868" s="8">
        <f ca="1">IFERROR(__xludf.DUMMYFUNCTION("""COMPUTED_VALUE"""),39.985872)</f>
        <v>39.985872000000001</v>
      </c>
      <c r="AV868" s="8">
        <f ca="1">IFERROR(__xludf.DUMMYFUNCTION("""COMPUTED_VALUE"""),-75.113395)</f>
        <v>-75.113394999999997</v>
      </c>
      <c r="AW868" s="8"/>
      <c r="AX868" s="8">
        <f ca="1">IFERROR(__xludf.DUMMYFUNCTION("""COMPUTED_VALUE"""),19134)</f>
        <v>19134</v>
      </c>
    </row>
    <row r="869" spans="1:50" ht="45" x14ac:dyDescent="0.2">
      <c r="A869" s="8" t="str">
        <f ca="1">IFERROR(__xludf.DUMMYFUNCTION("""COMPUTED_VALUE"""),"20221209OHMED")</f>
        <v>20221209OHMED</v>
      </c>
      <c r="B869" s="8">
        <f ca="1">IFERROR(__xludf.DUMMYFUNCTION("""COMPUTED_VALUE"""),12)</f>
        <v>12</v>
      </c>
      <c r="C869" s="8">
        <f ca="1">IFERROR(__xludf.DUMMYFUNCTION("""COMPUTED_VALUE"""),9)</f>
        <v>9</v>
      </c>
      <c r="D869" s="8">
        <f ca="1">IFERROR(__xludf.DUMMYFUNCTION("""COMPUTED_VALUE"""),2022)</f>
        <v>2022</v>
      </c>
      <c r="E869" s="9">
        <f ca="1">IFERROR(__xludf.DUMMYFUNCTION("""COMPUTED_VALUE"""),44904)</f>
        <v>44904</v>
      </c>
      <c r="F869" s="8" t="str">
        <f ca="1">IFERROR(__xludf.DUMMYFUNCTION("""COMPUTED_VALUE"""),"Meadowdale High School")</f>
        <v>Meadowdale High School</v>
      </c>
      <c r="G869" s="8">
        <f ca="1">IFERROR(__xludf.DUMMYFUNCTION("""COMPUTED_VALUE"""),0)</f>
        <v>0</v>
      </c>
      <c r="H869" s="8">
        <f ca="1">IFERROR(__xludf.DUMMYFUNCTION("""COMPUTED_VALUE"""),0)</f>
        <v>0</v>
      </c>
      <c r="I869" s="8">
        <f ca="1">IFERROR(__xludf.DUMMYFUNCTION("""COMPUTED_VALUE"""),0)</f>
        <v>0</v>
      </c>
      <c r="J869" s="8">
        <f ca="1">IFERROR(__xludf.DUMMYFUNCTION("""COMPUTED_VALUE"""),0)</f>
        <v>0</v>
      </c>
      <c r="K869" s="10" t="str">
        <f ca="1">IFERROR(__xludf.DUMMYFUNCTION("""COMPUTED_VALUE"""),"https://www.whio.com/news/crime-and-law/large-fight-shots-fired-meadowdale-high-school/FK6OII7FJFAO7OSU4FVY6K3BSU/")</f>
        <v>https://www.whio.com/news/crime-and-law/large-fight-shots-fired-meadowdale-high-school/FK6OII7FJFAO7OSU4FVY6K3BSU/</v>
      </c>
      <c r="L869" s="8">
        <f ca="1">IFERROR(__xludf.DUMMYFUNCTION("""COMPUTED_VALUE"""),3)</f>
        <v>3</v>
      </c>
      <c r="M869" s="8" t="str">
        <f ca="1">IFERROR(__xludf.DUMMYFUNCTION("""COMPUTED_VALUE"""),"Local")</f>
        <v>Local</v>
      </c>
      <c r="N869" s="8">
        <f ca="1">IFERROR(__xludf.DUMMYFUNCTION("""COMPUTED_VALUE"""),4)</f>
        <v>4</v>
      </c>
      <c r="O869" s="8" t="str">
        <f ca="1">IFERROR(__xludf.DUMMYFUNCTION("""COMPUTED_VALUE"""),"Winter")</f>
        <v>Winter</v>
      </c>
      <c r="P869" s="8" t="str">
        <f ca="1">IFERROR(__xludf.DUMMYFUNCTION("""COMPUTED_VALUE"""),"Dayton")</f>
        <v>Dayton</v>
      </c>
      <c r="Q869" s="8" t="str">
        <f ca="1">IFERROR(__xludf.DUMMYFUNCTION("""COMPUTED_VALUE"""),"OH")</f>
        <v>OH</v>
      </c>
      <c r="R869" s="8" t="str">
        <f ca="1">IFERROR(__xludf.DUMMYFUNCTION("""COMPUTED_VALUE"""),"High")</f>
        <v>High</v>
      </c>
      <c r="S869" s="8" t="str">
        <f ca="1">IFERROR(__xludf.DUMMYFUNCTION("""COMPUTED_VALUE"""),"Parking Lot")</f>
        <v>Parking Lot</v>
      </c>
      <c r="T869" s="8" t="str">
        <f ca="1">IFERROR(__xludf.DUMMYFUNCTION("""COMPUTED_VALUE"""),"Outside on School Property")</f>
        <v>Outside on School Property</v>
      </c>
      <c r="U869" s="8" t="str">
        <f ca="1">IFERROR(__xludf.DUMMYFUNCTION("""COMPUTED_VALUE"""),"No")</f>
        <v>No</v>
      </c>
      <c r="V869" s="8" t="str">
        <f ca="1">IFERROR(__xludf.DUMMYFUNCTION("""COMPUTED_VALUE"""),"Sport Event")</f>
        <v>Sport Event</v>
      </c>
      <c r="W869" s="11">
        <f ca="1">IFERROR(__xludf.DUMMYFUNCTION("""COMPUTED_VALUE"""),0.909722222222222)</f>
        <v>0.90972222222222199</v>
      </c>
      <c r="X869" s="8">
        <f ca="1">IFERROR(__xludf.DUMMYFUNCTION("""COMPUTED_VALUE"""),1)</f>
        <v>1</v>
      </c>
      <c r="Y869" s="12" t="str">
        <f ca="1">IFERROR(__xludf.DUMMYFUNCTION("""COMPUTED_VALUE"""),"Shots fired during fight after varsity basketball game")</f>
        <v>Shots fired during fight after varsity basketball game</v>
      </c>
      <c r="Z869" s="12" t="str">
        <f ca="1">IFERROR(__xludf.DUMMYFUNCTION("""COMPUTED_VALUE"""),"5 shots were fired during a large fight between rival fans following the varsity basketball game. No injuries. Shooter fled before police arrived.")</f>
        <v>5 shots were fired during a large fight between rival fans following the varsity basketball game. No injuries. Shooter fled before police arrived.</v>
      </c>
      <c r="AA869" s="8" t="str">
        <f ca="1">IFERROR(__xludf.DUMMYFUNCTION("""COMPUTED_VALUE"""),"Escalation of Dispute")</f>
        <v>Escalation of Dispute</v>
      </c>
      <c r="AB869" s="8"/>
      <c r="AC869" s="8" t="str">
        <f ca="1">IFERROR(__xludf.DUMMYFUNCTION("""COMPUTED_VALUE"""),"Yes")</f>
        <v>Yes</v>
      </c>
      <c r="AD869" s="8" t="str">
        <f ca="1">IFERROR(__xludf.DUMMYFUNCTION("""COMPUTED_VALUE"""),"Both")</f>
        <v>Both</v>
      </c>
      <c r="AE869" s="8" t="str">
        <f ca="1">IFERROR(__xludf.DUMMYFUNCTION("""COMPUTED_VALUE"""),"No")</f>
        <v>No</v>
      </c>
      <c r="AF869" s="8"/>
      <c r="AG869" s="8" t="str">
        <f ca="1">IFERROR(__xludf.DUMMYFUNCTION("""COMPUTED_VALUE"""),"No")</f>
        <v>No</v>
      </c>
      <c r="AH869" s="8" t="str">
        <f ca="1">IFERROR(__xludf.DUMMYFUNCTION("""COMPUTED_VALUE"""),"No")</f>
        <v>No</v>
      </c>
      <c r="AI869" s="8" t="str">
        <f ca="1">IFERROR(__xludf.DUMMYFUNCTION("""COMPUTED_VALUE"""),"No")</f>
        <v>No</v>
      </c>
      <c r="AJ869" s="8" t="str">
        <f ca="1">IFERROR(__xludf.DUMMYFUNCTION("""COMPUTED_VALUE"""),"No")</f>
        <v>No</v>
      </c>
      <c r="AK869" s="8" t="str">
        <f ca="1">IFERROR(__xludf.DUMMYFUNCTION("""COMPUTED_VALUE"""),"No")</f>
        <v>No</v>
      </c>
      <c r="AL869" s="8"/>
      <c r="AM869" s="8" t="str">
        <f ca="1">IFERROR(__xludf.DUMMYFUNCTION("""COMPUTED_VALUE"""),"No")</f>
        <v>No</v>
      </c>
      <c r="AN869" s="8" t="str">
        <f ca="1">IFERROR(__xludf.DUMMYFUNCTION("""COMPUTED_VALUE"""),"Outside")</f>
        <v>Outside</v>
      </c>
      <c r="AO869" s="8" t="str">
        <f ca="1">IFERROR(__xludf.DUMMYFUNCTION("""COMPUTED_VALUE"""),"No")</f>
        <v>No</v>
      </c>
      <c r="AP869" s="8"/>
      <c r="AQ869" s="8"/>
      <c r="AR869" s="8" t="str">
        <f ca="1">IFERROR(__xludf.DUMMYFUNCTION("""COMPUTED_VALUE"""),"Outside/Off-Property")</f>
        <v>Outside/Off-Property</v>
      </c>
      <c r="AS869" s="8">
        <f ca="1">IFERROR(__xludf.DUMMYFUNCTION("""COMPUTED_VALUE"""),5)</f>
        <v>5</v>
      </c>
      <c r="AT869" s="8"/>
      <c r="AU869" s="8">
        <f ca="1">IFERROR(__xludf.DUMMYFUNCTION("""COMPUTED_VALUE"""),39.81303)</f>
        <v>39.813029999999998</v>
      </c>
      <c r="AV869" s="8">
        <f ca="1">IFERROR(__xludf.DUMMYFUNCTION("""COMPUTED_VALUE"""),-84.251895)</f>
        <v>-84.251895000000005</v>
      </c>
      <c r="AW869" s="8"/>
      <c r="AX869" s="8">
        <f ca="1">IFERROR(__xludf.DUMMYFUNCTION("""COMPUTED_VALUE"""),45416)</f>
        <v>45416</v>
      </c>
    </row>
    <row r="870" spans="1:50" ht="180" x14ac:dyDescent="0.2">
      <c r="A870" s="8" t="str">
        <f ca="1">IFERROR(__xludf.DUMMYFUNCTION("""COMPUTED_VALUE"""),"20221208NCFUG")</f>
        <v>20221208NCFUG</v>
      </c>
      <c r="B870" s="8">
        <f ca="1">IFERROR(__xludf.DUMMYFUNCTION("""COMPUTED_VALUE"""),12)</f>
        <v>12</v>
      </c>
      <c r="C870" s="8">
        <f ca="1">IFERROR(__xludf.DUMMYFUNCTION("""COMPUTED_VALUE"""),8)</f>
        <v>8</v>
      </c>
      <c r="D870" s="8">
        <f ca="1">IFERROR(__xludf.DUMMYFUNCTION("""COMPUTED_VALUE"""),2022)</f>
        <v>2022</v>
      </c>
      <c r="E870" s="9">
        <f ca="1">IFERROR(__xludf.DUMMYFUNCTION("""COMPUTED_VALUE"""),44903)</f>
        <v>44903</v>
      </c>
      <c r="F870" s="8" t="str">
        <f ca="1">IFERROR(__xludf.DUMMYFUNCTION("""COMPUTED_VALUE"""),"Fuquay-Varina Middle School")</f>
        <v>Fuquay-Varina Middle School</v>
      </c>
      <c r="G870" s="8">
        <f ca="1">IFERROR(__xludf.DUMMYFUNCTION("""COMPUTED_VALUE"""),0)</f>
        <v>0</v>
      </c>
      <c r="H870" s="8">
        <f ca="1">IFERROR(__xludf.DUMMYFUNCTION("""COMPUTED_VALUE"""),0)</f>
        <v>0</v>
      </c>
      <c r="I870" s="8">
        <f ca="1">IFERROR(__xludf.DUMMYFUNCTION("""COMPUTED_VALUE"""),0)</f>
        <v>0</v>
      </c>
      <c r="J870" s="8">
        <f ca="1">IFERROR(__xludf.DUMMYFUNCTION("""COMPUTED_VALUE"""),0)</f>
        <v>0</v>
      </c>
      <c r="K870" s="8" t="str">
        <f ca="1">IFERROR(__xludf.DUMMYFUNCTION("""COMPUTED_VALUE"""),"https://abc11.com/fuquay-varina-middle-school-lockdown-code-red-gun-on-campus/12544128/
https://www.wyff4.com/article/north-carolina-student-shoots-out-classroom-window/42241582")</f>
        <v>https://abc11.com/fuquay-varina-middle-school-lockdown-code-red-gun-on-campus/12544128/
https://www.wyff4.com/article/north-carolina-student-shoots-out-classroom-window/42241582</v>
      </c>
      <c r="L870" s="8">
        <f ca="1">IFERROR(__xludf.DUMMYFUNCTION("""COMPUTED_VALUE"""),5)</f>
        <v>5</v>
      </c>
      <c r="M870" s="8" t="str">
        <f ca="1">IFERROR(__xludf.DUMMYFUNCTION("""COMPUTED_VALUE"""),"Local")</f>
        <v>Local</v>
      </c>
      <c r="N870" s="8">
        <f ca="1">IFERROR(__xludf.DUMMYFUNCTION("""COMPUTED_VALUE"""),4)</f>
        <v>4</v>
      </c>
      <c r="O870" s="8" t="str">
        <f ca="1">IFERROR(__xludf.DUMMYFUNCTION("""COMPUTED_VALUE"""),"Winter")</f>
        <v>Winter</v>
      </c>
      <c r="P870" s="8" t="str">
        <f ca="1">IFERROR(__xludf.DUMMYFUNCTION("""COMPUTED_VALUE"""),"Fuquay-Varina")</f>
        <v>Fuquay-Varina</v>
      </c>
      <c r="Q870" s="8" t="str">
        <f ca="1">IFERROR(__xludf.DUMMYFUNCTION("""COMPUTED_VALUE"""),"NC")</f>
        <v>NC</v>
      </c>
      <c r="R870" s="8" t="str">
        <f ca="1">IFERROR(__xludf.DUMMYFUNCTION("""COMPUTED_VALUE"""),"Middle")</f>
        <v>Middle</v>
      </c>
      <c r="S870" s="8" t="str">
        <f ca="1">IFERROR(__xludf.DUMMYFUNCTION("""COMPUTED_VALUE"""),"Classroom")</f>
        <v>Classroom</v>
      </c>
      <c r="T870" s="8" t="str">
        <f ca="1">IFERROR(__xludf.DUMMYFUNCTION("""COMPUTED_VALUE"""),"Inside School Building")</f>
        <v>Inside School Building</v>
      </c>
      <c r="U870" s="8" t="str">
        <f ca="1">IFERROR(__xludf.DUMMYFUNCTION("""COMPUTED_VALUE"""),"Yes")</f>
        <v>Yes</v>
      </c>
      <c r="V870" s="8" t="str">
        <f ca="1">IFERROR(__xludf.DUMMYFUNCTION("""COMPUTED_VALUE"""),"Morning Classes")</f>
        <v>Morning Classes</v>
      </c>
      <c r="W870" s="11">
        <f ca="1">IFERROR(__xludf.DUMMYFUNCTION("""COMPUTED_VALUE"""),0.335416666666666)</f>
        <v>0.33541666666666597</v>
      </c>
      <c r="X870" s="8">
        <f ca="1">IFERROR(__xludf.DUMMYFUNCTION("""COMPUTED_VALUE"""),1)</f>
        <v>1</v>
      </c>
      <c r="Y870" s="12" t="str">
        <f ca="1">IFERROR(__xludf.DUMMYFUNCTION("""COMPUTED_VALUE"""),"Student fired gun while talking it out of backpack in classroom, struck window")</f>
        <v>Student fired gun while talking it out of backpack in classroom, struck window</v>
      </c>
      <c r="Z870" s="12" t="str">
        <f ca="1">IFERROR(__xludf.DUMMYFUNCTION("""COMPUTED_VALUE"""),"At 8:03 a.m. Fuquay-Varina Police Department received a call for service reference to an incident at Fuquay-Varina Middle School. Student pulled gun from backpack and fired round that struck classroom window. Teacher told him to give her the gun. Assistan"&amp;"t principal assisted with taking away the gun and unloading it. Other students were in the classroom. The school was placed on lockdown until students could be safely released to arriving parents.
After firing shot, student told teacher he hated the scho"&amp;"ol and everyone in it. She told him to give her the gun and he surrendered.")</f>
        <v>At 8:03 a.m. Fuquay-Varina Police Department received a call for service reference to an incident at Fuquay-Varina Middle School. Student pulled gun from backpack and fired round that struck classroom window. Teacher told him to give her the gun. Assistant principal assisted with taking away the gun and unloading it. Other students were in the classroom. The school was placed on lockdown until students could be safely released to arriving parents.
After firing shot, student told teacher he hated the school and everyone in it. She told him to give her the gun and he surrendered.</v>
      </c>
      <c r="AA870" s="8" t="str">
        <f ca="1">IFERROR(__xludf.DUMMYFUNCTION("""COMPUTED_VALUE"""),"Indiscriminate Shooting")</f>
        <v>Indiscriminate Shooting</v>
      </c>
      <c r="AB870" s="8"/>
      <c r="AC870" s="8" t="str">
        <f ca="1">IFERROR(__xludf.DUMMYFUNCTION("""COMPUTED_VALUE"""),"Yes")</f>
        <v>Yes</v>
      </c>
      <c r="AD870" s="8"/>
      <c r="AE870" s="8" t="str">
        <f ca="1">IFERROR(__xludf.DUMMYFUNCTION("""COMPUTED_VALUE"""),"No")</f>
        <v>No</v>
      </c>
      <c r="AF870" s="8"/>
      <c r="AG870" s="8" t="str">
        <f ca="1">IFERROR(__xludf.DUMMYFUNCTION("""COMPUTED_VALUE"""),"No")</f>
        <v>No</v>
      </c>
      <c r="AH870" s="8" t="str">
        <f ca="1">IFERROR(__xludf.DUMMYFUNCTION("""COMPUTED_VALUE"""),"No")</f>
        <v>No</v>
      </c>
      <c r="AI870" s="8" t="str">
        <f ca="1">IFERROR(__xludf.DUMMYFUNCTION("""COMPUTED_VALUE"""),"No")</f>
        <v>No</v>
      </c>
      <c r="AJ870" s="8"/>
      <c r="AK870" s="8" t="str">
        <f ca="1">IFERROR(__xludf.DUMMYFUNCTION("""COMPUTED_VALUE"""),"No")</f>
        <v>No</v>
      </c>
      <c r="AL870" s="8"/>
      <c r="AM870" s="8" t="str">
        <f ca="1">IFERROR(__xludf.DUMMYFUNCTION("""COMPUTED_VALUE"""),"Yes")</f>
        <v>Yes</v>
      </c>
      <c r="AN870" s="8" t="str">
        <f ca="1">IFERROR(__xludf.DUMMYFUNCTION("""COMPUTED_VALUE"""),"Single Room")</f>
        <v>Single Room</v>
      </c>
      <c r="AO870" s="8" t="str">
        <f ca="1">IFERROR(__xludf.DUMMYFUNCTION("""COMPUTED_VALUE"""),"Yes")</f>
        <v>Yes</v>
      </c>
      <c r="AP870" s="8"/>
      <c r="AQ870" s="8"/>
      <c r="AR870" s="8" t="str">
        <f ca="1">IFERROR(__xludf.DUMMYFUNCTION("""COMPUTED_VALUE"""),"Failed")</f>
        <v>Failed</v>
      </c>
      <c r="AS870" s="8">
        <f ca="1">IFERROR(__xludf.DUMMYFUNCTION("""COMPUTED_VALUE"""),1)</f>
        <v>1</v>
      </c>
      <c r="AT870" s="8" t="str">
        <f ca="1">IFERROR(__xludf.DUMMYFUNCTION("""COMPUTED_VALUE"""),"Yes")</f>
        <v>Yes</v>
      </c>
      <c r="AU870" s="8">
        <f ca="1">IFERROR(__xludf.DUMMYFUNCTION("""COMPUTED_VALUE"""),35.585551)</f>
        <v>35.585551000000002</v>
      </c>
      <c r="AV870" s="8">
        <f ca="1">IFERROR(__xludf.DUMMYFUNCTION("""COMPUTED_VALUE"""),-78.794525)</f>
        <v>-78.794524999999993</v>
      </c>
      <c r="AW870" s="8"/>
      <c r="AX870" s="8">
        <f ca="1">IFERROR(__xludf.DUMMYFUNCTION("""COMPUTED_VALUE"""),27526)</f>
        <v>27526</v>
      </c>
    </row>
    <row r="871" spans="1:50" ht="135" x14ac:dyDescent="0.2">
      <c r="A871" s="8" t="str">
        <f ca="1">IFERROR(__xludf.DUMMYFUNCTION("""COMPUTED_VALUE"""),"20221208MDSUD")</f>
        <v>20221208MDSUD</v>
      </c>
      <c r="B871" s="8">
        <f ca="1">IFERROR(__xludf.DUMMYFUNCTION("""COMPUTED_VALUE"""),12)</f>
        <v>12</v>
      </c>
      <c r="C871" s="8">
        <f ca="1">IFERROR(__xludf.DUMMYFUNCTION("""COMPUTED_VALUE"""),8)</f>
        <v>8</v>
      </c>
      <c r="D871" s="8">
        <f ca="1">IFERROR(__xludf.DUMMYFUNCTION("""COMPUTED_VALUE"""),2022)</f>
        <v>2022</v>
      </c>
      <c r="E871" s="9">
        <f ca="1">IFERROR(__xludf.DUMMYFUNCTION("""COMPUTED_VALUE"""),44903)</f>
        <v>44903</v>
      </c>
      <c r="F871" s="8" t="str">
        <f ca="1">IFERROR(__xludf.DUMMYFUNCTION("""COMPUTED_VALUE"""),"Suitland High School")</f>
        <v>Suitland High School</v>
      </c>
      <c r="G871" s="8">
        <f ca="1">IFERROR(__xludf.DUMMYFUNCTION("""COMPUTED_VALUE"""),0)</f>
        <v>0</v>
      </c>
      <c r="H871" s="8">
        <f ca="1">IFERROR(__xludf.DUMMYFUNCTION("""COMPUTED_VALUE"""),1)</f>
        <v>1</v>
      </c>
      <c r="I871" s="8">
        <f ca="1">IFERROR(__xludf.DUMMYFUNCTION("""COMPUTED_VALUE"""),1)</f>
        <v>1</v>
      </c>
      <c r="J871" s="8">
        <f ca="1">IFERROR(__xludf.DUMMYFUNCTION("""COMPUTED_VALUE"""),0)</f>
        <v>0</v>
      </c>
      <c r="K871" s="10" t="str">
        <f ca="1">IFERROR(__xludf.DUMMYFUNCTION("""COMPUTED_VALUE"""),"https://www.nbcwashington.com/news/local/suitland-high-school-on-lockdown-after-shooting-report/3228771/")</f>
        <v>https://www.nbcwashington.com/news/local/suitland-high-school-on-lockdown-after-shooting-report/3228771/</v>
      </c>
      <c r="L871" s="8">
        <f ca="1">IFERROR(__xludf.DUMMYFUNCTION("""COMPUTED_VALUE"""),20)</f>
        <v>20</v>
      </c>
      <c r="M871" s="8" t="str">
        <f ca="1">IFERROR(__xludf.DUMMYFUNCTION("""COMPUTED_VALUE"""),"Regional")</f>
        <v>Regional</v>
      </c>
      <c r="N871" s="8">
        <f ca="1">IFERROR(__xludf.DUMMYFUNCTION("""COMPUTED_VALUE"""),4)</f>
        <v>4</v>
      </c>
      <c r="O871" s="8" t="str">
        <f ca="1">IFERROR(__xludf.DUMMYFUNCTION("""COMPUTED_VALUE"""),"Winter")</f>
        <v>Winter</v>
      </c>
      <c r="P871" s="8" t="str">
        <f ca="1">IFERROR(__xludf.DUMMYFUNCTION("""COMPUTED_VALUE"""),"District Heights")</f>
        <v>District Heights</v>
      </c>
      <c r="Q871" s="8" t="str">
        <f ca="1">IFERROR(__xludf.DUMMYFUNCTION("""COMPUTED_VALUE"""),"MD")</f>
        <v>MD</v>
      </c>
      <c r="R871" s="8" t="str">
        <f ca="1">IFERROR(__xludf.DUMMYFUNCTION("""COMPUTED_VALUE"""),"High")</f>
        <v>High</v>
      </c>
      <c r="S871" s="8" t="str">
        <f ca="1">IFERROR(__xludf.DUMMYFUNCTION("""COMPUTED_VALUE"""),"Football Field/Track")</f>
        <v>Football Field/Track</v>
      </c>
      <c r="T871" s="8" t="str">
        <f ca="1">IFERROR(__xludf.DUMMYFUNCTION("""COMPUTED_VALUE"""),"Outside on School Property")</f>
        <v>Outside on School Property</v>
      </c>
      <c r="U871" s="8" t="str">
        <f ca="1">IFERROR(__xludf.DUMMYFUNCTION("""COMPUTED_VALUE"""),"Yes")</f>
        <v>Yes</v>
      </c>
      <c r="V871" s="8" t="str">
        <f ca="1">IFERROR(__xludf.DUMMYFUNCTION("""COMPUTED_VALUE"""),"Morning Classes")</f>
        <v>Morning Classes</v>
      </c>
      <c r="W871" s="11">
        <f ca="1">IFERROR(__xludf.DUMMYFUNCTION("""COMPUTED_VALUE"""),0.416666666666666)</f>
        <v>0.41666666666666602</v>
      </c>
      <c r="X871" s="8">
        <f ca="1">IFERROR(__xludf.DUMMYFUNCTION("""COMPUTED_VALUE"""),1)</f>
        <v>1</v>
      </c>
      <c r="Y871" s="12" t="str">
        <f ca="1">IFERROR(__xludf.DUMMYFUNCTION("""COMPUTED_VALUE"""),"Student shot outside school during fight")</f>
        <v>Student shot outside school during fight</v>
      </c>
      <c r="Z871" s="12" t="str">
        <f ca="1">IFERROR(__xludf.DUMMYFUNCTION("""COMPUTED_VALUE"""),"Just after 10 a.m., the ninth-grade student was shot during a ""physical altercation"" outside the school building, PGCPS said. Several other students witnessed the shooting, then fled the area (some ran back into the school building), the school system s"&amp;"aid. School resource officers on campus at the time of the shooting provided emergency care to the ninth grader, who was the only victim, PGCPS said. That student was hospitalized in stable condition, though the severity of their injuries was not immediat"&amp;"ely shared.")</f>
        <v>Just after 10 a.m., the ninth-grade student was shot during a "physical altercation" outside the school building, PGCPS said. Several other students witnessed the shooting, then fled the area (some ran back into the school building), the school system said. School resource officers on campus at the time of the shooting provided emergency care to the ninth grader, who was the only victim, PGCPS said. That student was hospitalized in stable condition, though the severity of their injuries was not immediately shared.</v>
      </c>
      <c r="AA871" s="8" t="str">
        <f ca="1">IFERROR(__xludf.DUMMYFUNCTION("""COMPUTED_VALUE"""),"Escalation of Dispute")</f>
        <v>Escalation of Dispute</v>
      </c>
      <c r="AB871" s="8"/>
      <c r="AC871" s="8" t="str">
        <f ca="1">IFERROR(__xludf.DUMMYFUNCTION("""COMPUTED_VALUE"""),"Yes")</f>
        <v>Yes</v>
      </c>
      <c r="AD871" s="8" t="str">
        <f ca="1">IFERROR(__xludf.DUMMYFUNCTION("""COMPUTED_VALUE"""),"Victims Targeted")</f>
        <v>Victims Targeted</v>
      </c>
      <c r="AE871" s="8" t="str">
        <f ca="1">IFERROR(__xludf.DUMMYFUNCTION("""COMPUTED_VALUE"""),"Yes")</f>
        <v>Yes</v>
      </c>
      <c r="AF871" s="8" t="str">
        <f ca="1">IFERROR(__xludf.DUMMYFUNCTION("""COMPUTED_VALUE"""),"Multiple teens fled")</f>
        <v>Multiple teens fled</v>
      </c>
      <c r="AG871" s="8" t="str">
        <f ca="1">IFERROR(__xludf.DUMMYFUNCTION("""COMPUTED_VALUE"""),"No")</f>
        <v>No</v>
      </c>
      <c r="AH871" s="8" t="str">
        <f ca="1">IFERROR(__xludf.DUMMYFUNCTION("""COMPUTED_VALUE"""),"No")</f>
        <v>No</v>
      </c>
      <c r="AI871" s="8" t="str">
        <f ca="1">IFERROR(__xludf.DUMMYFUNCTION("""COMPUTED_VALUE"""),"No")</f>
        <v>No</v>
      </c>
      <c r="AJ871" s="8"/>
      <c r="AK871" s="8" t="str">
        <f ca="1">IFERROR(__xludf.DUMMYFUNCTION("""COMPUTED_VALUE"""),"No")</f>
        <v>No</v>
      </c>
      <c r="AL871" s="8"/>
      <c r="AM871" s="8" t="str">
        <f ca="1">IFERROR(__xludf.DUMMYFUNCTION("""COMPUTED_VALUE"""),"No")</f>
        <v>No</v>
      </c>
      <c r="AN871" s="8" t="str">
        <f ca="1">IFERROR(__xludf.DUMMYFUNCTION("""COMPUTED_VALUE"""),"Outside")</f>
        <v>Outside</v>
      </c>
      <c r="AO871" s="8" t="str">
        <f ca="1">IFERROR(__xludf.DUMMYFUNCTION("""COMPUTED_VALUE"""),"No")</f>
        <v>No</v>
      </c>
      <c r="AP871" s="8" t="str">
        <f ca="1">IFERROR(__xludf.DUMMYFUNCTION("""COMPUTED_VALUE"""),"Yes")</f>
        <v>Yes</v>
      </c>
      <c r="AQ871" s="8"/>
      <c r="AR871" s="8" t="str">
        <f ca="1">IFERROR(__xludf.DUMMYFUNCTION("""COMPUTED_VALUE"""),"Outside/Off-Property")</f>
        <v>Outside/Off-Property</v>
      </c>
      <c r="AS871" s="8">
        <f ca="1">IFERROR(__xludf.DUMMYFUNCTION("""COMPUTED_VALUE"""),99)</f>
        <v>99</v>
      </c>
      <c r="AT871" s="8" t="str">
        <f ca="1">IFERROR(__xludf.DUMMYFUNCTION("""COMPUTED_VALUE"""),"Yes")</f>
        <v>Yes</v>
      </c>
      <c r="AU871" s="8">
        <f ca="1">IFERROR(__xludf.DUMMYFUNCTION("""COMPUTED_VALUE"""),38.855259)</f>
        <v>38.855258999999997</v>
      </c>
      <c r="AV871" s="8">
        <f ca="1">IFERROR(__xludf.DUMMYFUNCTION("""COMPUTED_VALUE"""),-76.917665)</f>
        <v>-76.917665</v>
      </c>
      <c r="AW871" s="8"/>
      <c r="AX871" s="8">
        <f ca="1">IFERROR(__xludf.DUMMYFUNCTION("""COMPUTED_VALUE"""),20747)</f>
        <v>20747</v>
      </c>
    </row>
    <row r="872" spans="1:50" ht="135" x14ac:dyDescent="0.2">
      <c r="A872" s="8" t="str">
        <f ca="1">IFERROR(__xludf.DUMMYFUNCTION("""COMPUTED_VALUE"""),"20221206MOCOS")</f>
        <v>20221206MOCOS</v>
      </c>
      <c r="B872" s="8">
        <f ca="1">IFERROR(__xludf.DUMMYFUNCTION("""COMPUTED_VALUE"""),12)</f>
        <v>12</v>
      </c>
      <c r="C872" s="8">
        <f ca="1">IFERROR(__xludf.DUMMYFUNCTION("""COMPUTED_VALUE"""),6)</f>
        <v>6</v>
      </c>
      <c r="D872" s="8">
        <f ca="1">IFERROR(__xludf.DUMMYFUNCTION("""COMPUTED_VALUE"""),2022)</f>
        <v>2022</v>
      </c>
      <c r="E872" s="9">
        <f ca="1">IFERROR(__xludf.DUMMYFUNCTION("""COMPUTED_VALUE"""),44901)</f>
        <v>44901</v>
      </c>
      <c r="F872" s="8" t="str">
        <f ca="1">IFERROR(__xludf.DUMMYFUNCTION("""COMPUTED_VALUE"""),"Confluence Preparatory Academy")</f>
        <v>Confluence Preparatory Academy</v>
      </c>
      <c r="G872" s="8">
        <f ca="1">IFERROR(__xludf.DUMMYFUNCTION("""COMPUTED_VALUE"""),0)</f>
        <v>0</v>
      </c>
      <c r="H872" s="8">
        <f ca="1">IFERROR(__xludf.DUMMYFUNCTION("""COMPUTED_VALUE"""),0)</f>
        <v>0</v>
      </c>
      <c r="I872" s="8">
        <f ca="1">IFERROR(__xludf.DUMMYFUNCTION("""COMPUTED_VALUE"""),0)</f>
        <v>0</v>
      </c>
      <c r="J872" s="8">
        <f ca="1">IFERROR(__xludf.DUMMYFUNCTION("""COMPUTED_VALUE"""),0)</f>
        <v>0</v>
      </c>
      <c r="K872" s="10" t="str">
        <f ca="1">IFERROR(__xludf.DUMMYFUNCTION("""COMPUTED_VALUE"""),"https://www.ksdk.com/article/news/crime/confluence-academy-student-shot-police-source-says/63-355da5a8-8dd4-49d8-9694-bbd61f46f80f
https://www.kmov.com/2022/12/06/woman-shot-downtown-st-louis/")</f>
        <v>https://www.ksdk.com/article/news/crime/confluence-academy-student-shot-police-source-says/63-355da5a8-8dd4-49d8-9694-bbd61f46f80f
https://www.kmov.com/2022/12/06/woman-shot-downtown-st-louis/</v>
      </c>
      <c r="L872" s="8">
        <f ca="1">IFERROR(__xludf.DUMMYFUNCTION("""COMPUTED_VALUE"""),10)</f>
        <v>10</v>
      </c>
      <c r="M872" s="8" t="str">
        <f ca="1">IFERROR(__xludf.DUMMYFUNCTION("""COMPUTED_VALUE"""),"Local")</f>
        <v>Local</v>
      </c>
      <c r="N872" s="8">
        <f ca="1">IFERROR(__xludf.DUMMYFUNCTION("""COMPUTED_VALUE"""),4)</f>
        <v>4</v>
      </c>
      <c r="O872" s="8" t="str">
        <f ca="1">IFERROR(__xludf.DUMMYFUNCTION("""COMPUTED_VALUE"""),"Winter")</f>
        <v>Winter</v>
      </c>
      <c r="P872" s="8" t="str">
        <f ca="1">IFERROR(__xludf.DUMMYFUNCTION("""COMPUTED_VALUE"""),"St. Louis")</f>
        <v>St. Louis</v>
      </c>
      <c r="Q872" s="8" t="str">
        <f ca="1">IFERROR(__xludf.DUMMYFUNCTION("""COMPUTED_VALUE"""),"MO")</f>
        <v>MO</v>
      </c>
      <c r="R872" s="8" t="str">
        <f ca="1">IFERROR(__xludf.DUMMYFUNCTION("""COMPUTED_VALUE"""),"High")</f>
        <v>High</v>
      </c>
      <c r="S872" s="8" t="str">
        <f ca="1">IFERROR(__xludf.DUMMYFUNCTION("""COMPUTED_VALUE"""),"Front of School")</f>
        <v>Front of School</v>
      </c>
      <c r="T872" s="8" t="str">
        <f ca="1">IFERROR(__xludf.DUMMYFUNCTION("""COMPUTED_VALUE"""),"Outside on School Property")</f>
        <v>Outside on School Property</v>
      </c>
      <c r="U872" s="8" t="str">
        <f ca="1">IFERROR(__xludf.DUMMYFUNCTION("""COMPUTED_VALUE"""),"Yes")</f>
        <v>Yes</v>
      </c>
      <c r="V872" s="8" t="str">
        <f ca="1">IFERROR(__xludf.DUMMYFUNCTION("""COMPUTED_VALUE"""),"Afternoon Classes")</f>
        <v>Afternoon Classes</v>
      </c>
      <c r="W872" s="11">
        <f ca="1">IFERROR(__xludf.DUMMYFUNCTION("""COMPUTED_VALUE"""),0.673611111111111)</f>
        <v>0.67361111111111105</v>
      </c>
      <c r="X872" s="8">
        <f ca="1">IFERROR(__xludf.DUMMYFUNCTION("""COMPUTED_VALUE"""),1)</f>
        <v>1</v>
      </c>
      <c r="Y872" s="12" t="str">
        <f ca="1">IFERROR(__xludf.DUMMYFUNCTION("""COMPUTED_VALUE"""),"Adult woman fired shot at 2 students while being escorted away by school security")</f>
        <v>Adult woman fired shot at 2 students while being escorted away by school security</v>
      </c>
      <c r="Z872" s="12" t="str">
        <f ca="1">IFERROR(__xludf.DUMMYFUNCTION("""COMPUTED_VALUE"""),"20-year-old woman started a fight with a 17-year-old student. A spokesperson with Confluence Academy said there ""appeared to be a conversation"" between two students in front of the school and two women in a car. As school security was escorting the woma"&amp;"n back onto the sidewalk, she pulled out a gun and shot at the student. The woman holding the gun was struck in the hand, according to a spokesperson with Confluence Academy. The school was placed on a soft lockdown as a precaution.")</f>
        <v>20-year-old woman started a fight with a 17-year-old student. A spokesperson with Confluence Academy said there "appeared to be a conversation" between two students in front of the school and two women in a car. As school security was escorting the woman back onto the sidewalk, she pulled out a gun and shot at the student. The woman holding the gun was struck in the hand, according to a spokesperson with Confluence Academy. The school was placed on a soft lockdown as a precaution.</v>
      </c>
      <c r="AA872" s="8" t="str">
        <f ca="1">IFERROR(__xludf.DUMMYFUNCTION("""COMPUTED_VALUE"""),"Escalation of Dispute")</f>
        <v>Escalation of Dispute</v>
      </c>
      <c r="AB872" s="8"/>
      <c r="AC872" s="8" t="str">
        <f ca="1">IFERROR(__xludf.DUMMYFUNCTION("""COMPUTED_VALUE"""),"Yes")</f>
        <v>Yes</v>
      </c>
      <c r="AD872" s="8" t="str">
        <f ca="1">IFERROR(__xludf.DUMMYFUNCTION("""COMPUTED_VALUE"""),"Victims Targeted")</f>
        <v>Victims Targeted</v>
      </c>
      <c r="AE872" s="8" t="str">
        <f ca="1">IFERROR(__xludf.DUMMYFUNCTION("""COMPUTED_VALUE"""),"No")</f>
        <v>No</v>
      </c>
      <c r="AF872" s="8"/>
      <c r="AG872" s="8" t="str">
        <f ca="1">IFERROR(__xludf.DUMMYFUNCTION("""COMPUTED_VALUE"""),"No")</f>
        <v>No</v>
      </c>
      <c r="AH872" s="8" t="str">
        <f ca="1">IFERROR(__xludf.DUMMYFUNCTION("""COMPUTED_VALUE"""),"No")</f>
        <v>No</v>
      </c>
      <c r="AI872" s="8" t="str">
        <f ca="1">IFERROR(__xludf.DUMMYFUNCTION("""COMPUTED_VALUE"""),"No")</f>
        <v>No</v>
      </c>
      <c r="AJ872" s="8" t="str">
        <f ca="1">IFERROR(__xludf.DUMMYFUNCTION("""COMPUTED_VALUE"""),"No")</f>
        <v>No</v>
      </c>
      <c r="AK872" s="8" t="str">
        <f ca="1">IFERROR(__xludf.DUMMYFUNCTION("""COMPUTED_VALUE"""),"No")</f>
        <v>No</v>
      </c>
      <c r="AL872" s="8" t="str">
        <f ca="1">IFERROR(__xludf.DUMMYFUNCTION("""COMPUTED_VALUE"""),"No")</f>
        <v>No</v>
      </c>
      <c r="AM872" s="8" t="str">
        <f ca="1">IFERROR(__xludf.DUMMYFUNCTION("""COMPUTED_VALUE"""),"No")</f>
        <v>No</v>
      </c>
      <c r="AN872" s="8" t="str">
        <f ca="1">IFERROR(__xludf.DUMMYFUNCTION("""COMPUTED_VALUE"""),"Outside")</f>
        <v>Outside</v>
      </c>
      <c r="AO872" s="8" t="str">
        <f ca="1">IFERROR(__xludf.DUMMYFUNCTION("""COMPUTED_VALUE"""),"No")</f>
        <v>No</v>
      </c>
      <c r="AP872" s="8" t="str">
        <f ca="1">IFERROR(__xludf.DUMMYFUNCTION("""COMPUTED_VALUE"""),"Yes")</f>
        <v>Yes</v>
      </c>
      <c r="AQ872" s="8"/>
      <c r="AR872" s="8" t="str">
        <f ca="1">IFERROR(__xludf.DUMMYFUNCTION("""COMPUTED_VALUE"""),"Outside/Off-Property")</f>
        <v>Outside/Off-Property</v>
      </c>
      <c r="AS872" s="8">
        <f ca="1">IFERROR(__xludf.DUMMYFUNCTION("""COMPUTED_VALUE"""),99)</f>
        <v>99</v>
      </c>
      <c r="AT872" s="8"/>
      <c r="AU872" s="8">
        <f ca="1">IFERROR(__xludf.DUMMYFUNCTION("""COMPUTED_VALUE"""),38.631149)</f>
        <v>38.631149000000001</v>
      </c>
      <c r="AV872" s="8">
        <f ca="1">IFERROR(__xludf.DUMMYFUNCTION("""COMPUTED_VALUE"""),-90.200052)</f>
        <v>-90.200051999999999</v>
      </c>
      <c r="AW872" s="8"/>
      <c r="AX872" s="8">
        <f ca="1">IFERROR(__xludf.DUMMYFUNCTION("""COMPUTED_VALUE"""),63103)</f>
        <v>63103</v>
      </c>
    </row>
    <row r="873" spans="1:50" ht="60" x14ac:dyDescent="0.2">
      <c r="A873" s="8" t="str">
        <f ca="1">IFERROR(__xludf.DUMMYFUNCTION("""COMPUTED_VALUE"""),"20221206MDHAH")</f>
        <v>20221206MDHAH</v>
      </c>
      <c r="B873" s="8">
        <f ca="1">IFERROR(__xludf.DUMMYFUNCTION("""COMPUTED_VALUE"""),12)</f>
        <v>12</v>
      </c>
      <c r="C873" s="8">
        <f ca="1">IFERROR(__xludf.DUMMYFUNCTION("""COMPUTED_VALUE"""),6)</f>
        <v>6</v>
      </c>
      <c r="D873" s="8">
        <f ca="1">IFERROR(__xludf.DUMMYFUNCTION("""COMPUTED_VALUE"""),2022)</f>
        <v>2022</v>
      </c>
      <c r="E873" s="9">
        <f ca="1">IFERROR(__xludf.DUMMYFUNCTION("""COMPUTED_VALUE"""),44901)</f>
        <v>44901</v>
      </c>
      <c r="F873" s="8" t="str">
        <f ca="1">IFERROR(__xludf.DUMMYFUNCTION("""COMPUTED_VALUE"""),"Hagerstown Public School Bus")</f>
        <v>Hagerstown Public School Bus</v>
      </c>
      <c r="G873" s="8">
        <f ca="1">IFERROR(__xludf.DUMMYFUNCTION("""COMPUTED_VALUE"""),0)</f>
        <v>0</v>
      </c>
      <c r="H873" s="8">
        <f ca="1">IFERROR(__xludf.DUMMYFUNCTION("""COMPUTED_VALUE"""),0)</f>
        <v>0</v>
      </c>
      <c r="I873" s="8">
        <f ca="1">IFERROR(__xludf.DUMMYFUNCTION("""COMPUTED_VALUE"""),0)</f>
        <v>0</v>
      </c>
      <c r="J873" s="8">
        <f ca="1">IFERROR(__xludf.DUMMYFUNCTION("""COMPUTED_VALUE"""),0)</f>
        <v>0</v>
      </c>
      <c r="K873" s="10" t="str">
        <f ca="1">IFERROR(__xludf.DUMMYFUNCTION("""COMPUTED_VALUE"""),"https://www.heraldmailmedia.com/story/news/local/2022/12/15/pellet-or-bb-gun-used-to-shoot-school-bus-and-building-in-hagerstown/69725189007/")</f>
        <v>https://www.heraldmailmedia.com/story/news/local/2022/12/15/pellet-or-bb-gun-used-to-shoot-school-bus-and-building-in-hagerstown/69725189007/</v>
      </c>
      <c r="L873" s="8">
        <f ca="1">IFERROR(__xludf.DUMMYFUNCTION("""COMPUTED_VALUE"""),1)</f>
        <v>1</v>
      </c>
      <c r="M873" s="8" t="str">
        <f ca="1">IFERROR(__xludf.DUMMYFUNCTION("""COMPUTED_VALUE"""),"Local")</f>
        <v>Local</v>
      </c>
      <c r="N873" s="8">
        <f ca="1">IFERROR(__xludf.DUMMYFUNCTION("""COMPUTED_VALUE"""),3)</f>
        <v>3</v>
      </c>
      <c r="O873" s="8" t="str">
        <f ca="1">IFERROR(__xludf.DUMMYFUNCTION("""COMPUTED_VALUE"""),"Winter")</f>
        <v>Winter</v>
      </c>
      <c r="P873" s="8" t="str">
        <f ca="1">IFERROR(__xludf.DUMMYFUNCTION("""COMPUTED_VALUE"""),"Hagerstown")</f>
        <v>Hagerstown</v>
      </c>
      <c r="Q873" s="8" t="str">
        <f ca="1">IFERROR(__xludf.DUMMYFUNCTION("""COMPUTED_VALUE"""),"MD")</f>
        <v>MD</v>
      </c>
      <c r="R873" s="8" t="str">
        <f ca="1">IFERROR(__xludf.DUMMYFUNCTION("""COMPUTED_VALUE"""),"Elementary")</f>
        <v>Elementary</v>
      </c>
      <c r="S873" s="8" t="str">
        <f ca="1">IFERROR(__xludf.DUMMYFUNCTION("""COMPUTED_VALUE"""),"School Bus")</f>
        <v>School Bus</v>
      </c>
      <c r="T873" s="8" t="str">
        <f ca="1">IFERROR(__xludf.DUMMYFUNCTION("""COMPUTED_VALUE"""),"School Bus")</f>
        <v>School Bus</v>
      </c>
      <c r="U873" s="8" t="str">
        <f ca="1">IFERROR(__xludf.DUMMYFUNCTION("""COMPUTED_VALUE"""),"Yes")</f>
        <v>Yes</v>
      </c>
      <c r="V873" s="8" t="str">
        <f ca="1">IFERROR(__xludf.DUMMYFUNCTION("""COMPUTED_VALUE"""),"Dismissal")</f>
        <v>Dismissal</v>
      </c>
      <c r="W873" s="11">
        <f ca="1">IFERROR(__xludf.DUMMYFUNCTION("""COMPUTED_VALUE"""),0.631944444444444)</f>
        <v>0.63194444444444398</v>
      </c>
      <c r="X873" s="8">
        <f ca="1">IFERROR(__xludf.DUMMYFUNCTION("""COMPUTED_VALUE"""),1)</f>
        <v>1</v>
      </c>
      <c r="Y873" s="12" t="str">
        <f ca="1">IFERROR(__xludf.DUMMYFUNCTION("""COMPUTED_VALUE"""),"School bus window shot by BB while driving students home")</f>
        <v>School bus window shot by BB while driving students home</v>
      </c>
      <c r="Z873" s="12" t="str">
        <f ca="1">IFERROR(__xludf.DUMMYFUNCTION("""COMPUTED_VALUE"""),"School bus window was broken by BB gun while driving students home. 7 students were on the bus. No injuries. Two teens arrested the following week.")</f>
        <v>School bus window was broken by BB gun while driving students home. 7 students were on the bus. No injuries. Two teens arrested the following week.</v>
      </c>
      <c r="AA873" s="8" t="str">
        <f ca="1">IFERROR(__xludf.DUMMYFUNCTION("""COMPUTED_VALUE"""),"Intentional Property Damage")</f>
        <v>Intentional Property Damage</v>
      </c>
      <c r="AB873" s="8"/>
      <c r="AC873" s="8" t="str">
        <f ca="1">IFERROR(__xludf.DUMMYFUNCTION("""COMPUTED_VALUE"""),"Yes")</f>
        <v>Yes</v>
      </c>
      <c r="AD873" s="8"/>
      <c r="AE873" s="8" t="str">
        <f ca="1">IFERROR(__xludf.DUMMYFUNCTION("""COMPUTED_VALUE"""),"Yes")</f>
        <v>Yes</v>
      </c>
      <c r="AF873" s="8" t="str">
        <f ca="1">IFERROR(__xludf.DUMMYFUNCTION("""COMPUTED_VALUE"""),"Two teens")</f>
        <v>Two teens</v>
      </c>
      <c r="AG873" s="8" t="str">
        <f ca="1">IFERROR(__xludf.DUMMYFUNCTION("""COMPUTED_VALUE"""),"No")</f>
        <v>No</v>
      </c>
      <c r="AH873" s="8" t="str">
        <f ca="1">IFERROR(__xludf.DUMMYFUNCTION("""COMPUTED_VALUE"""),"No")</f>
        <v>No</v>
      </c>
      <c r="AI873" s="8" t="str">
        <f ca="1">IFERROR(__xludf.DUMMYFUNCTION("""COMPUTED_VALUE"""),"No")</f>
        <v>No</v>
      </c>
      <c r="AJ873" s="8" t="str">
        <f ca="1">IFERROR(__xludf.DUMMYFUNCTION("""COMPUTED_VALUE"""),"No")</f>
        <v>No</v>
      </c>
      <c r="AK873" s="8" t="str">
        <f ca="1">IFERROR(__xludf.DUMMYFUNCTION("""COMPUTED_VALUE"""),"No")</f>
        <v>No</v>
      </c>
      <c r="AL873" s="8" t="str">
        <f ca="1">IFERROR(__xludf.DUMMYFUNCTION("""COMPUTED_VALUE"""),"No")</f>
        <v>No</v>
      </c>
      <c r="AM873" s="8" t="str">
        <f ca="1">IFERROR(__xludf.DUMMYFUNCTION("""COMPUTED_VALUE"""),"No")</f>
        <v>No</v>
      </c>
      <c r="AN873" s="8" t="str">
        <f ca="1">IFERROR(__xludf.DUMMYFUNCTION("""COMPUTED_VALUE"""),"Outside")</f>
        <v>Outside</v>
      </c>
      <c r="AO873" s="8" t="str">
        <f ca="1">IFERROR(__xludf.DUMMYFUNCTION("""COMPUTED_VALUE"""),"No")</f>
        <v>No</v>
      </c>
      <c r="AP873" s="8"/>
      <c r="AQ873" s="8"/>
      <c r="AR873" s="8" t="str">
        <f ca="1">IFERROR(__xludf.DUMMYFUNCTION("""COMPUTED_VALUE"""),"Outside/Off-Property")</f>
        <v>Outside/Off-Property</v>
      </c>
      <c r="AS873" s="8">
        <f ca="1">IFERROR(__xludf.DUMMYFUNCTION("""COMPUTED_VALUE"""),1)</f>
        <v>1</v>
      </c>
      <c r="AT873" s="8"/>
      <c r="AU873" s="8">
        <f ca="1">IFERROR(__xludf.DUMMYFUNCTION("""COMPUTED_VALUE"""),39.635837)</f>
        <v>39.635837000000002</v>
      </c>
      <c r="AV873" s="8">
        <f ca="1">IFERROR(__xludf.DUMMYFUNCTION("""COMPUTED_VALUE"""),-77.724248)</f>
        <v>-77.724248000000003</v>
      </c>
      <c r="AW873" s="8"/>
      <c r="AX873" s="8">
        <f ca="1">IFERROR(__xludf.DUMMYFUNCTION("""COMPUTED_VALUE"""),21740)</f>
        <v>21740</v>
      </c>
    </row>
    <row r="874" spans="1:50" ht="210" x14ac:dyDescent="0.2">
      <c r="A874" s="8" t="str">
        <f ca="1">IFERROR(__xludf.DUMMYFUNCTION("""COMPUTED_VALUE"""),"20221206INSUW")</f>
        <v>20221206INSUW</v>
      </c>
      <c r="B874" s="8">
        <f ca="1">IFERROR(__xludf.DUMMYFUNCTION("""COMPUTED_VALUE"""),12)</f>
        <v>12</v>
      </c>
      <c r="C874" s="8">
        <f ca="1">IFERROR(__xludf.DUMMYFUNCTION("""COMPUTED_VALUE"""),6)</f>
        <v>6</v>
      </c>
      <c r="D874" s="8">
        <f ca="1">IFERROR(__xludf.DUMMYFUNCTION("""COMPUTED_VALUE"""),2022)</f>
        <v>2022</v>
      </c>
      <c r="E874" s="9">
        <f ca="1">IFERROR(__xludf.DUMMYFUNCTION("""COMPUTED_VALUE"""),44901)</f>
        <v>44901</v>
      </c>
      <c r="F874" s="8" t="str">
        <f ca="1">IFERROR(__xludf.DUMMYFUNCTION("""COMPUTED_VALUE"""),"Sugar Creek Consolidated Elementary School")</f>
        <v>Sugar Creek Consolidated Elementary School</v>
      </c>
      <c r="G874" s="8">
        <f ca="1">IFERROR(__xludf.DUMMYFUNCTION("""COMPUTED_VALUE"""),0)</f>
        <v>0</v>
      </c>
      <c r="H874" s="8">
        <f ca="1">IFERROR(__xludf.DUMMYFUNCTION("""COMPUTED_VALUE"""),0)</f>
        <v>0</v>
      </c>
      <c r="I874" s="8">
        <f ca="1">IFERROR(__xludf.DUMMYFUNCTION("""COMPUTED_VALUE"""),0)</f>
        <v>0</v>
      </c>
      <c r="J874" s="8">
        <f ca="1">IFERROR(__xludf.DUMMYFUNCTION("""COMPUTED_VALUE"""),0)</f>
        <v>0</v>
      </c>
      <c r="K874" s="10" t="str">
        <f ca="1">IFERROR(__xludf.DUMMYFUNCTION("""COMPUTED_VALUE"""),"https://fox59.com/indiana-news/investigation-underway-following-firearm-incident-near-west-th-elementary-school/")</f>
        <v>https://fox59.com/indiana-news/investigation-underway-following-firearm-incident-near-west-th-elementary-school/</v>
      </c>
      <c r="L874" s="8">
        <f ca="1">IFERROR(__xludf.DUMMYFUNCTION("""COMPUTED_VALUE"""),1)</f>
        <v>1</v>
      </c>
      <c r="M874" s="8" t="str">
        <f ca="1">IFERROR(__xludf.DUMMYFUNCTION("""COMPUTED_VALUE"""),"Local")</f>
        <v>Local</v>
      </c>
      <c r="N874" s="8">
        <f ca="1">IFERROR(__xludf.DUMMYFUNCTION("""COMPUTED_VALUE"""),3)</f>
        <v>3</v>
      </c>
      <c r="O874" s="8" t="str">
        <f ca="1">IFERROR(__xludf.DUMMYFUNCTION("""COMPUTED_VALUE"""),"Winter")</f>
        <v>Winter</v>
      </c>
      <c r="P874" s="8" t="str">
        <f ca="1">IFERROR(__xludf.DUMMYFUNCTION("""COMPUTED_VALUE"""),"West Terre Haute")</f>
        <v>West Terre Haute</v>
      </c>
      <c r="Q874" s="8" t="str">
        <f ca="1">IFERROR(__xludf.DUMMYFUNCTION("""COMPUTED_VALUE"""),"IN")</f>
        <v>IN</v>
      </c>
      <c r="R874" s="8" t="str">
        <f ca="1">IFERROR(__xludf.DUMMYFUNCTION("""COMPUTED_VALUE"""),"Elementary")</f>
        <v>Elementary</v>
      </c>
      <c r="S874" s="8" t="str">
        <f ca="1">IFERROR(__xludf.DUMMYFUNCTION("""COMPUTED_VALUE"""),"Field (General)")</f>
        <v>Field (General)</v>
      </c>
      <c r="T874" s="8" t="str">
        <f ca="1">IFERROR(__xludf.DUMMYFUNCTION("""COMPUTED_VALUE"""),"Outside on School Property")</f>
        <v>Outside on School Property</v>
      </c>
      <c r="U874" s="8" t="str">
        <f ca="1">IFERROR(__xludf.DUMMYFUNCTION("""COMPUTED_VALUE"""),"Yes")</f>
        <v>Yes</v>
      </c>
      <c r="V874" s="8" t="str">
        <f ca="1">IFERROR(__xludf.DUMMYFUNCTION("""COMPUTED_VALUE"""),"Afternoon Classes")</f>
        <v>Afternoon Classes</v>
      </c>
      <c r="W874" s="11">
        <f ca="1">IFERROR(__xludf.DUMMYFUNCTION("""COMPUTED_VALUE"""),0.583333333333333)</f>
        <v>0.58333333333333304</v>
      </c>
      <c r="X874" s="8">
        <f ca="1">IFERROR(__xludf.DUMMYFUNCTION("""COMPUTED_VALUE"""),1)</f>
        <v>1</v>
      </c>
      <c r="Y874" s="12" t="str">
        <f ca="1">IFERROR(__xludf.DUMMYFUNCTION("""COMPUTED_VALUE"""),"Student fired shot in school field while SRO and Principal were searching for him")</f>
        <v>Student fired shot in school field while SRO and Principal were searching for him</v>
      </c>
      <c r="Z874" s="12" t="str">
        <f ca="1">IFERROR(__xludf.DUMMYFUNCTION("""COMPUTED_VALUE"""),"12:45 p.m., a male student left the school building. Shortly after that the school resource officer and director of safety began to search the premises for the child, eventually finding him in a field to the west of the school. When the officer found the "&amp;"student he was armed with a gun. The type of weapon has not been released. Fell said during the search the officer reported hearing sounds of gunfire. The officer was able to detain the child without injury or anyone being hurt. Fell said the initial inve"&amp;"stigation leads them to believe the child entered a house near the school and retrieved the firearm. Fell clarified that they do not believe the child lived at the house where the gun was retrieved. Fell added that once the student was in custody, the sch"&amp;"ool was able to release students to their parents.")</f>
        <v>12:45 p.m., a male student left the school building. Shortly after that the school resource officer and director of safety began to search the premises for the child, eventually finding him in a field to the west of the school. When the officer found the student he was armed with a gun. The type of weapon has not been released. Fell said during the search the officer reported hearing sounds of gunfire. The officer was able to detain the child without injury or anyone being hurt. Fell said the initial investigation leads them to believe the child entered a house near the school and retrieved the firearm. Fell clarified that they do not believe the child lived at the house where the gun was retrieved. Fell added that once the student was in custody, the school was able to release students to their parents.</v>
      </c>
      <c r="AA874" s="8"/>
      <c r="AB874" s="8"/>
      <c r="AC874" s="8" t="str">
        <f ca="1">IFERROR(__xludf.DUMMYFUNCTION("""COMPUTED_VALUE"""),"Yes")</f>
        <v>Yes</v>
      </c>
      <c r="AD874" s="8"/>
      <c r="AE874" s="8" t="str">
        <f ca="1">IFERROR(__xludf.DUMMYFUNCTION("""COMPUTED_VALUE"""),"No")</f>
        <v>No</v>
      </c>
      <c r="AF874" s="8"/>
      <c r="AG874" s="8" t="str">
        <f ca="1">IFERROR(__xludf.DUMMYFUNCTION("""COMPUTED_VALUE"""),"No")</f>
        <v>No</v>
      </c>
      <c r="AH874" s="8" t="str">
        <f ca="1">IFERROR(__xludf.DUMMYFUNCTION("""COMPUTED_VALUE"""),"No")</f>
        <v>No</v>
      </c>
      <c r="AI874" s="8" t="str">
        <f ca="1">IFERROR(__xludf.DUMMYFUNCTION("""COMPUTED_VALUE"""),"No")</f>
        <v>No</v>
      </c>
      <c r="AJ874" s="8"/>
      <c r="AK874" s="8" t="str">
        <f ca="1">IFERROR(__xludf.DUMMYFUNCTION("""COMPUTED_VALUE"""),"No")</f>
        <v>No</v>
      </c>
      <c r="AL874" s="8" t="str">
        <f ca="1">IFERROR(__xludf.DUMMYFUNCTION("""COMPUTED_VALUE"""),"No")</f>
        <v>No</v>
      </c>
      <c r="AM874" s="8"/>
      <c r="AN874" s="8" t="str">
        <f ca="1">IFERROR(__xludf.DUMMYFUNCTION("""COMPUTED_VALUE"""),"Outside")</f>
        <v>Outside</v>
      </c>
      <c r="AO874" s="8"/>
      <c r="AP874" s="8" t="str">
        <f ca="1">IFERROR(__xludf.DUMMYFUNCTION("""COMPUTED_VALUE"""),"Yes")</f>
        <v>Yes</v>
      </c>
      <c r="AQ874" s="8"/>
      <c r="AR874" s="8" t="str">
        <f ca="1">IFERROR(__xludf.DUMMYFUNCTION("""COMPUTED_VALUE"""),"Outside/Off-Property")</f>
        <v>Outside/Off-Property</v>
      </c>
      <c r="AS874" s="8">
        <f ca="1">IFERROR(__xludf.DUMMYFUNCTION("""COMPUTED_VALUE"""),99)</f>
        <v>99</v>
      </c>
      <c r="AT874" s="8"/>
      <c r="AU874" s="8">
        <f ca="1">IFERROR(__xludf.DUMMYFUNCTION("""COMPUTED_VALUE"""),39.451281)</f>
        <v>39.451281000000002</v>
      </c>
      <c r="AV874" s="8">
        <f ca="1">IFERROR(__xludf.DUMMYFUNCTION("""COMPUTED_VALUE"""),-87.483374)</f>
        <v>-87.483373999999998</v>
      </c>
      <c r="AW874" s="8"/>
      <c r="AX874" s="8">
        <f ca="1">IFERROR(__xludf.DUMMYFUNCTION("""COMPUTED_VALUE"""),47885)</f>
        <v>47885</v>
      </c>
    </row>
    <row r="875" spans="1:50" ht="45" x14ac:dyDescent="0.2">
      <c r="A875" s="8" t="str">
        <f ca="1">IFERROR(__xludf.DUMMYFUNCTION("""COMPUTED_VALUE"""),"20221206ILMIC")</f>
        <v>20221206ILMIC</v>
      </c>
      <c r="B875" s="8">
        <f ca="1">IFERROR(__xludf.DUMMYFUNCTION("""COMPUTED_VALUE"""),12)</f>
        <v>12</v>
      </c>
      <c r="C875" s="8">
        <f ca="1">IFERROR(__xludf.DUMMYFUNCTION("""COMPUTED_VALUE"""),6)</f>
        <v>6</v>
      </c>
      <c r="D875" s="8">
        <f ca="1">IFERROR(__xludf.DUMMYFUNCTION("""COMPUTED_VALUE"""),2022)</f>
        <v>2022</v>
      </c>
      <c r="E875" s="9">
        <f ca="1">IFERROR(__xludf.DUMMYFUNCTION("""COMPUTED_VALUE"""),44901)</f>
        <v>44901</v>
      </c>
      <c r="F875" s="8" t="str">
        <f ca="1">IFERROR(__xludf.DUMMYFUNCTION("""COMPUTED_VALUE"""),"Michele Clark Magnet High School")</f>
        <v>Michele Clark Magnet High School</v>
      </c>
      <c r="G875" s="8">
        <f ca="1">IFERROR(__xludf.DUMMYFUNCTION("""COMPUTED_VALUE"""),1)</f>
        <v>1</v>
      </c>
      <c r="H875" s="8">
        <f ca="1">IFERROR(__xludf.DUMMYFUNCTION("""COMPUTED_VALUE"""),0)</f>
        <v>0</v>
      </c>
      <c r="I875" s="8">
        <f ca="1">IFERROR(__xludf.DUMMYFUNCTION("""COMPUTED_VALUE"""),1)</f>
        <v>1</v>
      </c>
      <c r="J875" s="8">
        <f ca="1">IFERROR(__xludf.DUMMYFUNCTION("""COMPUTED_VALUE"""),0)</f>
        <v>0</v>
      </c>
      <c r="K875" s="10" t="str">
        <f ca="1">IFERROR(__xludf.DUMMYFUNCTION("""COMPUTED_VALUE"""),"https://www.cbsnews.com/chicago/news/chicago-shooting-15-year-old-critical/
https://abc7chicago.com/chicago-shooting-south-austin-west-harrison-street-michele-clark-magnet-hs/12537485/")</f>
        <v>https://www.cbsnews.com/chicago/news/chicago-shooting-15-year-old-critical/
https://abc7chicago.com/chicago-shooting-south-austin-west-harrison-street-michele-clark-magnet-hs/12537485/</v>
      </c>
      <c r="L875" s="8">
        <f ca="1">IFERROR(__xludf.DUMMYFUNCTION("""COMPUTED_VALUE"""),10)</f>
        <v>10</v>
      </c>
      <c r="M875" s="8" t="str">
        <f ca="1">IFERROR(__xludf.DUMMYFUNCTION("""COMPUTED_VALUE"""),"Regional")</f>
        <v>Regional</v>
      </c>
      <c r="N875" s="8">
        <f ca="1">IFERROR(__xludf.DUMMYFUNCTION("""COMPUTED_VALUE"""),4)</f>
        <v>4</v>
      </c>
      <c r="O875" s="8" t="str">
        <f ca="1">IFERROR(__xludf.DUMMYFUNCTION("""COMPUTED_VALUE"""),"Winter")</f>
        <v>Winter</v>
      </c>
      <c r="P875" s="8" t="str">
        <f ca="1">IFERROR(__xludf.DUMMYFUNCTION("""COMPUTED_VALUE"""),"Chicago")</f>
        <v>Chicago</v>
      </c>
      <c r="Q875" s="8" t="str">
        <f ca="1">IFERROR(__xludf.DUMMYFUNCTION("""COMPUTED_VALUE"""),"IL")</f>
        <v>IL</v>
      </c>
      <c r="R875" s="8" t="str">
        <f ca="1">IFERROR(__xludf.DUMMYFUNCTION("""COMPUTED_VALUE"""),"High")</f>
        <v>High</v>
      </c>
      <c r="S875" s="8" t="str">
        <f ca="1">IFERROR(__xludf.DUMMYFUNCTION("""COMPUTED_VALUE"""),"Front of School")</f>
        <v>Front of School</v>
      </c>
      <c r="T875" s="8" t="str">
        <f ca="1">IFERROR(__xludf.DUMMYFUNCTION("""COMPUTED_VALUE"""),"Outside on School Property")</f>
        <v>Outside on School Property</v>
      </c>
      <c r="U875" s="8" t="str">
        <f ca="1">IFERROR(__xludf.DUMMYFUNCTION("""COMPUTED_VALUE"""),"Yes")</f>
        <v>Yes</v>
      </c>
      <c r="V875" s="8" t="str">
        <f ca="1">IFERROR(__xludf.DUMMYFUNCTION("""COMPUTED_VALUE"""),"Dismissal")</f>
        <v>Dismissal</v>
      </c>
      <c r="W875" s="11">
        <f ca="1">IFERROR(__xludf.DUMMYFUNCTION("""COMPUTED_VALUE"""),0.636111111111111)</f>
        <v>0.63611111111111096</v>
      </c>
      <c r="X875" s="8">
        <f ca="1">IFERROR(__xludf.DUMMYFUNCTION("""COMPUTED_VALUE"""),1)</f>
        <v>1</v>
      </c>
      <c r="Y875" s="12" t="str">
        <f ca="1">IFERROR(__xludf.DUMMYFUNCTION("""COMPUTED_VALUE"""),"Student fatally shot at dismissal leaving school")</f>
        <v>Student fatally shot at dismissal leaving school</v>
      </c>
      <c r="Z875" s="12" t="str">
        <f ca="1">IFERROR(__xludf.DUMMYFUNCTION("""COMPUTED_VALUE"""),"Multiple shots fired in front of the school at dismissal. Unclear if 16-year-old male student killed was bystander or target. Shooter fled.")</f>
        <v>Multiple shots fired in front of the school at dismissal. Unclear if 16-year-old male student killed was bystander or target. Shooter fled.</v>
      </c>
      <c r="AA875" s="8"/>
      <c r="AB875" s="8"/>
      <c r="AC875" s="8" t="str">
        <f ca="1">IFERROR(__xludf.DUMMYFUNCTION("""COMPUTED_VALUE"""),"Yes")</f>
        <v>Yes</v>
      </c>
      <c r="AD875" s="8"/>
      <c r="AE875" s="8" t="str">
        <f ca="1">IFERROR(__xludf.DUMMYFUNCTION("""COMPUTED_VALUE"""),"No")</f>
        <v>No</v>
      </c>
      <c r="AF875" s="8"/>
      <c r="AG875" s="8" t="str">
        <f ca="1">IFERROR(__xludf.DUMMYFUNCTION("""COMPUTED_VALUE"""),"No")</f>
        <v>No</v>
      </c>
      <c r="AH875" s="8" t="str">
        <f ca="1">IFERROR(__xludf.DUMMYFUNCTION("""COMPUTED_VALUE"""),"No")</f>
        <v>No</v>
      </c>
      <c r="AI875" s="8" t="str">
        <f ca="1">IFERROR(__xludf.DUMMYFUNCTION("""COMPUTED_VALUE"""),"No")</f>
        <v>No</v>
      </c>
      <c r="AJ875" s="8" t="str">
        <f ca="1">IFERROR(__xludf.DUMMYFUNCTION("""COMPUTED_VALUE"""),"No")</f>
        <v>No</v>
      </c>
      <c r="AK875" s="8" t="str">
        <f ca="1">IFERROR(__xludf.DUMMYFUNCTION("""COMPUTED_VALUE"""),"No")</f>
        <v>No</v>
      </c>
      <c r="AL875" s="8"/>
      <c r="AM875" s="8" t="str">
        <f ca="1">IFERROR(__xludf.DUMMYFUNCTION("""COMPUTED_VALUE"""),"No")</f>
        <v>No</v>
      </c>
      <c r="AN875" s="8" t="str">
        <f ca="1">IFERROR(__xludf.DUMMYFUNCTION("""COMPUTED_VALUE"""),"Outside")</f>
        <v>Outside</v>
      </c>
      <c r="AO875" s="8" t="str">
        <f ca="1">IFERROR(__xludf.DUMMYFUNCTION("""COMPUTED_VALUE"""),"No")</f>
        <v>No</v>
      </c>
      <c r="AP875" s="8"/>
      <c r="AQ875" s="8"/>
      <c r="AR875" s="8" t="str">
        <f ca="1">IFERROR(__xludf.DUMMYFUNCTION("""COMPUTED_VALUE"""),"Outside/Off-Property")</f>
        <v>Outside/Off-Property</v>
      </c>
      <c r="AS875" s="8">
        <f ca="1">IFERROR(__xludf.DUMMYFUNCTION("""COMPUTED_VALUE"""),99)</f>
        <v>99</v>
      </c>
      <c r="AT875" s="8"/>
      <c r="AU875" s="8">
        <f ca="1">IFERROR(__xludf.DUMMYFUNCTION("""COMPUTED_VALUE"""),41.872938)</f>
        <v>41.872937999999998</v>
      </c>
      <c r="AV875" s="8">
        <f ca="1">IFERROR(__xludf.DUMMYFUNCTION("""COMPUTED_VALUE"""),-87.752777)</f>
        <v>-87.752776999999995</v>
      </c>
      <c r="AW875" s="8"/>
      <c r="AX875" s="8">
        <f ca="1">IFERROR(__xludf.DUMMYFUNCTION("""COMPUTED_VALUE"""),60644)</f>
        <v>60644</v>
      </c>
    </row>
    <row r="876" spans="1:50" ht="30" x14ac:dyDescent="0.2">
      <c r="A876" s="8" t="str">
        <f ca="1">IFERROR(__xludf.DUMMYFUNCTION("""COMPUTED_VALUE"""),"20221206ALLEM")</f>
        <v>20221206ALLEM</v>
      </c>
      <c r="B876" s="8">
        <f ca="1">IFERROR(__xludf.DUMMYFUNCTION("""COMPUTED_VALUE"""),12)</f>
        <v>12</v>
      </c>
      <c r="C876" s="8">
        <f ca="1">IFERROR(__xludf.DUMMYFUNCTION("""COMPUTED_VALUE"""),6)</f>
        <v>6</v>
      </c>
      <c r="D876" s="8">
        <f ca="1">IFERROR(__xludf.DUMMYFUNCTION("""COMPUTED_VALUE"""),2022)</f>
        <v>2022</v>
      </c>
      <c r="E876" s="9">
        <f ca="1">IFERROR(__xludf.DUMMYFUNCTION("""COMPUTED_VALUE"""),44901)</f>
        <v>44901</v>
      </c>
      <c r="F876" s="8" t="str">
        <f ca="1">IFERROR(__xludf.DUMMYFUNCTION("""COMPUTED_VALUE"""),"Robert E Lee High School")</f>
        <v>Robert E Lee High School</v>
      </c>
      <c r="G876" s="8">
        <f ca="1">IFERROR(__xludf.DUMMYFUNCTION("""COMPUTED_VALUE"""),0)</f>
        <v>0</v>
      </c>
      <c r="H876" s="8">
        <f ca="1">IFERROR(__xludf.DUMMYFUNCTION("""COMPUTED_VALUE"""),0)</f>
        <v>0</v>
      </c>
      <c r="I876" s="8">
        <f ca="1">IFERROR(__xludf.DUMMYFUNCTION("""COMPUTED_VALUE"""),0)</f>
        <v>0</v>
      </c>
      <c r="J876" s="8">
        <f ca="1">IFERROR(__xludf.DUMMYFUNCTION("""COMPUTED_VALUE"""),0)</f>
        <v>0</v>
      </c>
      <c r="K876" s="10" t="str">
        <f ca="1">IFERROR(__xludf.DUMMYFUNCTION("""COMPUTED_VALUE"""),"https://www.wsfa.com/2022/12/06/shots-fired-near-montgomery-school-police-say/")</f>
        <v>https://www.wsfa.com/2022/12/06/shots-fired-near-montgomery-school-police-say/</v>
      </c>
      <c r="L876" s="8">
        <f ca="1">IFERROR(__xludf.DUMMYFUNCTION("""COMPUTED_VALUE"""),1)</f>
        <v>1</v>
      </c>
      <c r="M876" s="8" t="str">
        <f ca="1">IFERROR(__xludf.DUMMYFUNCTION("""COMPUTED_VALUE"""),"Local")</f>
        <v>Local</v>
      </c>
      <c r="N876" s="8">
        <f ca="1">IFERROR(__xludf.DUMMYFUNCTION("""COMPUTED_VALUE"""),2)</f>
        <v>2</v>
      </c>
      <c r="O876" s="8" t="str">
        <f ca="1">IFERROR(__xludf.DUMMYFUNCTION("""COMPUTED_VALUE"""),"Winter")</f>
        <v>Winter</v>
      </c>
      <c r="P876" s="8" t="str">
        <f ca="1">IFERROR(__xludf.DUMMYFUNCTION("""COMPUTED_VALUE"""),"Montgomery")</f>
        <v>Montgomery</v>
      </c>
      <c r="Q876" s="8" t="str">
        <f ca="1">IFERROR(__xludf.DUMMYFUNCTION("""COMPUTED_VALUE"""),"AL")</f>
        <v>AL</v>
      </c>
      <c r="R876" s="8" t="str">
        <f ca="1">IFERROR(__xludf.DUMMYFUNCTION("""COMPUTED_VALUE"""),"High")</f>
        <v>High</v>
      </c>
      <c r="S876" s="8" t="str">
        <f ca="1">IFERROR(__xludf.DUMMYFUNCTION("""COMPUTED_VALUE"""),"Front of School")</f>
        <v>Front of School</v>
      </c>
      <c r="T876" s="8" t="str">
        <f ca="1">IFERROR(__xludf.DUMMYFUNCTION("""COMPUTED_VALUE"""),"Outside on School Property")</f>
        <v>Outside on School Property</v>
      </c>
      <c r="U876" s="8" t="str">
        <f ca="1">IFERROR(__xludf.DUMMYFUNCTION("""COMPUTED_VALUE"""),"Yes")</f>
        <v>Yes</v>
      </c>
      <c r="V876" s="8" t="str">
        <f ca="1">IFERROR(__xludf.DUMMYFUNCTION("""COMPUTED_VALUE"""),"Dismissal")</f>
        <v>Dismissal</v>
      </c>
      <c r="W876" s="11">
        <f ca="1">IFERROR(__xludf.DUMMYFUNCTION("""COMPUTED_VALUE"""),0.625)</f>
        <v>0.625</v>
      </c>
      <c r="X876" s="8">
        <f ca="1">IFERROR(__xludf.DUMMYFUNCTION("""COMPUTED_VALUE"""),1)</f>
        <v>1</v>
      </c>
      <c r="Y876" s="12" t="str">
        <f ca="1">IFERROR(__xludf.DUMMYFUNCTION("""COMPUTED_VALUE"""),"Shots fired at dismissal")</f>
        <v>Shots fired at dismissal</v>
      </c>
      <c r="Z876" s="12" t="str">
        <f ca="1">IFERROR(__xludf.DUMMYFUNCTION("""COMPUTED_VALUE"""),"Shots fired at dismissal. Shooter fled. Police detained three people.")</f>
        <v>Shots fired at dismissal. Shooter fled. Police detained three people.</v>
      </c>
      <c r="AA876" s="8"/>
      <c r="AB876" s="8"/>
      <c r="AC876" s="8" t="str">
        <f ca="1">IFERROR(__xludf.DUMMYFUNCTION("""COMPUTED_VALUE"""),"Yes")</f>
        <v>Yes</v>
      </c>
      <c r="AD876" s="8"/>
      <c r="AE876" s="8" t="str">
        <f ca="1">IFERROR(__xludf.DUMMYFUNCTION("""COMPUTED_VALUE"""),"No")</f>
        <v>No</v>
      </c>
      <c r="AF876" s="8"/>
      <c r="AG876" s="8" t="str">
        <f ca="1">IFERROR(__xludf.DUMMYFUNCTION("""COMPUTED_VALUE"""),"No")</f>
        <v>No</v>
      </c>
      <c r="AH876" s="8" t="str">
        <f ca="1">IFERROR(__xludf.DUMMYFUNCTION("""COMPUTED_VALUE"""),"No")</f>
        <v>No</v>
      </c>
      <c r="AI876" s="8" t="str">
        <f ca="1">IFERROR(__xludf.DUMMYFUNCTION("""COMPUTED_VALUE"""),"No")</f>
        <v>No</v>
      </c>
      <c r="AJ876" s="8"/>
      <c r="AK876" s="8"/>
      <c r="AL876" s="8"/>
      <c r="AM876" s="8" t="str">
        <f ca="1">IFERROR(__xludf.DUMMYFUNCTION("""COMPUTED_VALUE"""),"No")</f>
        <v>No</v>
      </c>
      <c r="AN876" s="8" t="str">
        <f ca="1">IFERROR(__xludf.DUMMYFUNCTION("""COMPUTED_VALUE"""),"Outside")</f>
        <v>Outside</v>
      </c>
      <c r="AO876" s="8" t="str">
        <f ca="1">IFERROR(__xludf.DUMMYFUNCTION("""COMPUTED_VALUE"""),"No")</f>
        <v>No</v>
      </c>
      <c r="AP876" s="8"/>
      <c r="AQ876" s="8"/>
      <c r="AR876" s="8" t="str">
        <f ca="1">IFERROR(__xludf.DUMMYFUNCTION("""COMPUTED_VALUE"""),"Outside/Off-Property")</f>
        <v>Outside/Off-Property</v>
      </c>
      <c r="AS876" s="8">
        <f ca="1">IFERROR(__xludf.DUMMYFUNCTION("""COMPUTED_VALUE"""),99)</f>
        <v>99</v>
      </c>
      <c r="AT876" s="8"/>
      <c r="AU876" s="8">
        <f ca="1">IFERROR(__xludf.DUMMYFUNCTION("""COMPUTED_VALUE"""),32.378531)</f>
        <v>32.378531000000002</v>
      </c>
      <c r="AV876" s="8">
        <f ca="1">IFERROR(__xludf.DUMMYFUNCTION("""COMPUTED_VALUE"""),-86.27226)</f>
        <v>-86.272260000000003</v>
      </c>
      <c r="AW876" s="8"/>
      <c r="AX876" s="8">
        <f ca="1">IFERROR(__xludf.DUMMYFUNCTION("""COMPUTED_VALUE"""),36107)</f>
        <v>36107</v>
      </c>
    </row>
    <row r="877" spans="1:50" ht="210" x14ac:dyDescent="0.2">
      <c r="A877" s="8" t="str">
        <f ca="1">IFERROR(__xludf.DUMMYFUNCTION("""COMPUTED_VALUE"""),"20221205TNFRM")</f>
        <v>20221205TNFRM</v>
      </c>
      <c r="B877" s="8">
        <f ca="1">IFERROR(__xludf.DUMMYFUNCTION("""COMPUTED_VALUE"""),12)</f>
        <v>12</v>
      </c>
      <c r="C877" s="8">
        <f ca="1">IFERROR(__xludf.DUMMYFUNCTION("""COMPUTED_VALUE"""),5)</f>
        <v>5</v>
      </c>
      <c r="D877" s="8">
        <f ca="1">IFERROR(__xludf.DUMMYFUNCTION("""COMPUTED_VALUE"""),2022)</f>
        <v>2022</v>
      </c>
      <c r="E877" s="9">
        <f ca="1">IFERROR(__xludf.DUMMYFUNCTION("""COMPUTED_VALUE"""),44900)</f>
        <v>44900</v>
      </c>
      <c r="F877" s="8" t="str">
        <f ca="1">IFERROR(__xludf.DUMMYFUNCTION("""COMPUTED_VALUE"""),"Freedom Prep High School")</f>
        <v>Freedom Prep High School</v>
      </c>
      <c r="G877" s="8">
        <f ca="1">IFERROR(__xludf.DUMMYFUNCTION("""COMPUTED_VALUE"""),0)</f>
        <v>0</v>
      </c>
      <c r="H877" s="8">
        <f ca="1">IFERROR(__xludf.DUMMYFUNCTION("""COMPUTED_VALUE"""),1)</f>
        <v>1</v>
      </c>
      <c r="I877" s="8">
        <f ca="1">IFERROR(__xludf.DUMMYFUNCTION("""COMPUTED_VALUE"""),1)</f>
        <v>1</v>
      </c>
      <c r="J877" s="8">
        <f ca="1">IFERROR(__xludf.DUMMYFUNCTION("""COMPUTED_VALUE"""),0)</f>
        <v>0</v>
      </c>
      <c r="K877" s="10" t="str">
        <f ca="1">IFERROR(__xludf.DUMMYFUNCTION("""COMPUTED_VALUE"""),"https://www.localmemphis.com/article/news/crime/15-year-old-boy-injured-in-shooting-at-freedom-prep-high-school-monday/522-a13b1433-ea06-4cd7-b150-f2c402047c51
https://www.fox13memphis.com/news/local/child-may-have-been-accidentally-shot-memphis-school-po"&amp;"lice-say/36TUNL4VHRA3PALDZTAJW4GYZI/")</f>
        <v>https://www.localmemphis.com/article/news/crime/15-year-old-boy-injured-in-shooting-at-freedom-prep-high-school-monday/522-a13b1433-ea06-4cd7-b150-f2c402047c51
https://www.fox13memphis.com/news/local/child-may-have-been-accidentally-shot-memphis-school-police-say/36TUNL4VHRA3PALDZTAJW4GYZI/</v>
      </c>
      <c r="L877" s="8">
        <f ca="1">IFERROR(__xludf.DUMMYFUNCTION("""COMPUTED_VALUE"""),4)</f>
        <v>4</v>
      </c>
      <c r="M877" s="8" t="str">
        <f ca="1">IFERROR(__xludf.DUMMYFUNCTION("""COMPUTED_VALUE"""),"Local")</f>
        <v>Local</v>
      </c>
      <c r="N877" s="8">
        <f ca="1">IFERROR(__xludf.DUMMYFUNCTION("""COMPUTED_VALUE"""),4)</f>
        <v>4</v>
      </c>
      <c r="O877" s="8" t="str">
        <f ca="1">IFERROR(__xludf.DUMMYFUNCTION("""COMPUTED_VALUE"""),"Winter")</f>
        <v>Winter</v>
      </c>
      <c r="P877" s="8" t="str">
        <f ca="1">IFERROR(__xludf.DUMMYFUNCTION("""COMPUTED_VALUE"""),"Memphis")</f>
        <v>Memphis</v>
      </c>
      <c r="Q877" s="8" t="str">
        <f ca="1">IFERROR(__xludf.DUMMYFUNCTION("""COMPUTED_VALUE"""),"TN")</f>
        <v>TN</v>
      </c>
      <c r="R877" s="8" t="str">
        <f ca="1">IFERROR(__xludf.DUMMYFUNCTION("""COMPUTED_VALUE"""),"High")</f>
        <v>High</v>
      </c>
      <c r="S877" s="8" t="str">
        <f ca="1">IFERROR(__xludf.DUMMYFUNCTION("""COMPUTED_VALUE"""),"Inside School Building")</f>
        <v>Inside School Building</v>
      </c>
      <c r="T877" s="8" t="str">
        <f ca="1">IFERROR(__xludf.DUMMYFUNCTION("""COMPUTED_VALUE"""),"Inside School Building")</f>
        <v>Inside School Building</v>
      </c>
      <c r="U877" s="8" t="str">
        <f ca="1">IFERROR(__xludf.DUMMYFUNCTION("""COMPUTED_VALUE"""),"Yes")</f>
        <v>Yes</v>
      </c>
      <c r="V877" s="8" t="str">
        <f ca="1">IFERROR(__xludf.DUMMYFUNCTION("""COMPUTED_VALUE"""),"Lunch")</f>
        <v>Lunch</v>
      </c>
      <c r="W877" s="11">
        <f ca="1">IFERROR(__xludf.DUMMYFUNCTION("""COMPUTED_VALUE"""),0.520833333333333)</f>
        <v>0.52083333333333304</v>
      </c>
      <c r="X877" s="8">
        <f ca="1">IFERROR(__xludf.DUMMYFUNCTION("""COMPUTED_VALUE"""),1)</f>
        <v>1</v>
      </c>
      <c r="Y877" s="12" t="str">
        <f ca="1">IFERROR(__xludf.DUMMYFUNCTION("""COMPUTED_VALUE"""),"Student shot inside school")</f>
        <v>Student shot inside school</v>
      </c>
      <c r="Z877" s="12" t="str">
        <f ca="1">IFERROR(__xludf.DUMMYFUNCTION("""COMPUTED_VALUE"""),"A child was rushed to the hospital after a gunshot went off at a Memphis school, according to the Memphis Police Department (MPD). MPD said a 15-year-old boy was injured in a shooting at Freedom Prep Charter School around 12:30 p.m. He was taken to Le Bon"&amp;"heur Children’s Hospital in non-critical condition, police said. MPD said it’s still unclear what led to that gunshot, but, after interviewing that 15-year-old and several witnesses, police believe the gunfire may have been accidental. The school was brie"&amp;"fly placed on lockdown but police determined that no unauthorized person was on campus and no additional threats were located, leading to the school being dismissed at its normal time. 15-year-old student arrested the following day.")</f>
        <v>A child was rushed to the hospital after a gunshot went off at a Memphis school, according to the Memphis Police Department (MPD). MPD said a 15-year-old boy was injured in a shooting at Freedom Prep Charter School around 12:30 p.m. He was taken to Le Bonheur Children’s Hospital in non-critical condition, police said. MPD said it’s still unclear what led to that gunshot, but, after interviewing that 15-year-old and several witnesses, police believe the gunfire may have been accidental. The school was briefly placed on lockdown but police determined that no unauthorized person was on campus and no additional threats were located, leading to the school being dismissed at its normal time. 15-year-old student arrested the following day.</v>
      </c>
      <c r="AA877" s="8" t="str">
        <f ca="1">IFERROR(__xludf.DUMMYFUNCTION("""COMPUTED_VALUE"""),"Accidental")</f>
        <v>Accidental</v>
      </c>
      <c r="AB877" s="8"/>
      <c r="AC877" s="8" t="str">
        <f ca="1">IFERROR(__xludf.DUMMYFUNCTION("""COMPUTED_VALUE"""),"Yes")</f>
        <v>Yes</v>
      </c>
      <c r="AD877" s="8"/>
      <c r="AE877" s="8"/>
      <c r="AF877" s="8"/>
      <c r="AG877" s="8" t="str">
        <f ca="1">IFERROR(__xludf.DUMMYFUNCTION("""COMPUTED_VALUE"""),"No")</f>
        <v>No</v>
      </c>
      <c r="AH877" s="8" t="str">
        <f ca="1">IFERROR(__xludf.DUMMYFUNCTION("""COMPUTED_VALUE"""),"No")</f>
        <v>No</v>
      </c>
      <c r="AI877" s="8" t="str">
        <f ca="1">IFERROR(__xludf.DUMMYFUNCTION("""COMPUTED_VALUE"""),"No")</f>
        <v>No</v>
      </c>
      <c r="AJ877" s="8"/>
      <c r="AK877" s="8" t="str">
        <f ca="1">IFERROR(__xludf.DUMMYFUNCTION("""COMPUTED_VALUE"""),"No")</f>
        <v>No</v>
      </c>
      <c r="AL877" s="8"/>
      <c r="AM877" s="8" t="str">
        <f ca="1">IFERROR(__xludf.DUMMYFUNCTION("""COMPUTED_VALUE"""),"No")</f>
        <v>No</v>
      </c>
      <c r="AN877" s="8"/>
      <c r="AO877" s="8" t="str">
        <f ca="1">IFERROR(__xludf.DUMMYFUNCTION("""COMPUTED_VALUE"""),"No")</f>
        <v>No</v>
      </c>
      <c r="AP877" s="8"/>
      <c r="AQ877" s="8"/>
      <c r="AR877" s="8"/>
      <c r="AS877" s="8">
        <f ca="1">IFERROR(__xludf.DUMMYFUNCTION("""COMPUTED_VALUE"""),1)</f>
        <v>1</v>
      </c>
      <c r="AT877" s="8"/>
      <c r="AU877" s="8">
        <f ca="1">IFERROR(__xludf.DUMMYFUNCTION("""COMPUTED_VALUE"""),35.031374)</f>
        <v>35.031374</v>
      </c>
      <c r="AV877" s="8">
        <f ca="1">IFERROR(__xludf.DUMMYFUNCTION("""COMPUTED_VALUE"""),-90.035433)</f>
        <v>-90.035432999999998</v>
      </c>
      <c r="AW877" s="8"/>
      <c r="AX877" s="8">
        <f ca="1">IFERROR(__xludf.DUMMYFUNCTION("""COMPUTED_VALUE"""),38116)</f>
        <v>38116</v>
      </c>
    </row>
    <row r="878" spans="1:50" ht="60" x14ac:dyDescent="0.2">
      <c r="A878" s="8" t="str">
        <f ca="1">IFERROR(__xludf.DUMMYFUNCTION("""COMPUTED_VALUE"""),"20221203WISOM")</f>
        <v>20221203WISOM</v>
      </c>
      <c r="B878" s="8">
        <f ca="1">IFERROR(__xludf.DUMMYFUNCTION("""COMPUTED_VALUE"""),12)</f>
        <v>12</v>
      </c>
      <c r="C878" s="8">
        <f ca="1">IFERROR(__xludf.DUMMYFUNCTION("""COMPUTED_VALUE"""),3)</f>
        <v>3</v>
      </c>
      <c r="D878" s="8">
        <f ca="1">IFERROR(__xludf.DUMMYFUNCTION("""COMPUTED_VALUE"""),2022)</f>
        <v>2022</v>
      </c>
      <c r="E878" s="9">
        <f ca="1">IFERROR(__xludf.DUMMYFUNCTION("""COMPUTED_VALUE"""),44898)</f>
        <v>44898</v>
      </c>
      <c r="F878" s="8" t="str">
        <f ca="1">IFERROR(__xludf.DUMMYFUNCTION("""COMPUTED_VALUE"""),"South Division High School")</f>
        <v>South Division High School</v>
      </c>
      <c r="G878" s="8">
        <f ca="1">IFERROR(__xludf.DUMMYFUNCTION("""COMPUTED_VALUE"""),1)</f>
        <v>1</v>
      </c>
      <c r="H878" s="8">
        <f ca="1">IFERROR(__xludf.DUMMYFUNCTION("""COMPUTED_VALUE"""),0)</f>
        <v>0</v>
      </c>
      <c r="I878" s="8">
        <f ca="1">IFERROR(__xludf.DUMMYFUNCTION("""COMPUTED_VALUE"""),1)</f>
        <v>1</v>
      </c>
      <c r="J878" s="8">
        <f ca="1">IFERROR(__xludf.DUMMYFUNCTION("""COMPUTED_VALUE"""),0)</f>
        <v>0</v>
      </c>
      <c r="K878" s="10" t="str">
        <f ca="1">IFERROR(__xludf.DUMMYFUNCTION("""COMPUTED_VALUE"""),"https://www.cbs58.com/news/marshall-hs-student-killed-while-leaving-basketball-game-family-calls-on-city-to-put-the-guns-down
https://www.wisn.com/article/milwaukee-county-medical-examiners-office-responds-to-south-13th-street/42142158#
https://www.fox6no"&amp;"w.com/news/milwaukee-teen-fatally-shot-during-south-division-basketball-game")</f>
        <v>https://www.cbs58.com/news/marshall-hs-student-killed-while-leaving-basketball-game-family-calls-on-city-to-put-the-guns-down
https://www.wisn.com/article/milwaukee-county-medical-examiners-office-responds-to-south-13th-street/42142158#
https://www.fox6now.com/news/milwaukee-teen-fatally-shot-during-south-division-basketball-game</v>
      </c>
      <c r="L878" s="8">
        <f ca="1">IFERROR(__xludf.DUMMYFUNCTION("""COMPUTED_VALUE"""),5)</f>
        <v>5</v>
      </c>
      <c r="M878" s="8" t="str">
        <f ca="1">IFERROR(__xludf.DUMMYFUNCTION("""COMPUTED_VALUE"""),"Local")</f>
        <v>Local</v>
      </c>
      <c r="N878" s="8">
        <f ca="1">IFERROR(__xludf.DUMMYFUNCTION("""COMPUTED_VALUE"""),4)</f>
        <v>4</v>
      </c>
      <c r="O878" s="8" t="str">
        <f ca="1">IFERROR(__xludf.DUMMYFUNCTION("""COMPUTED_VALUE"""),"Winter")</f>
        <v>Winter</v>
      </c>
      <c r="P878" s="8" t="str">
        <f ca="1">IFERROR(__xludf.DUMMYFUNCTION("""COMPUTED_VALUE"""),"Milwaukee")</f>
        <v>Milwaukee</v>
      </c>
      <c r="Q878" s="8" t="str">
        <f ca="1">IFERROR(__xludf.DUMMYFUNCTION("""COMPUTED_VALUE"""),"WI")</f>
        <v>WI</v>
      </c>
      <c r="R878" s="8" t="str">
        <f ca="1">IFERROR(__xludf.DUMMYFUNCTION("""COMPUTED_VALUE"""),"High")</f>
        <v>High</v>
      </c>
      <c r="S878" s="8" t="str">
        <f ca="1">IFERROR(__xludf.DUMMYFUNCTION("""COMPUTED_VALUE"""),"Parking Lot")</f>
        <v>Parking Lot</v>
      </c>
      <c r="T878" s="8" t="str">
        <f ca="1">IFERROR(__xludf.DUMMYFUNCTION("""COMPUTED_VALUE"""),"Outside on School Property")</f>
        <v>Outside on School Property</v>
      </c>
      <c r="U878" s="8" t="str">
        <f ca="1">IFERROR(__xludf.DUMMYFUNCTION("""COMPUTED_VALUE"""),"No")</f>
        <v>No</v>
      </c>
      <c r="V878" s="8" t="str">
        <f ca="1">IFERROR(__xludf.DUMMYFUNCTION("""COMPUTED_VALUE"""),"Sport Event")</f>
        <v>Sport Event</v>
      </c>
      <c r="W878" s="11">
        <f ca="1">IFERROR(__xludf.DUMMYFUNCTION("""COMPUTED_VALUE"""),0.895833333333333)</f>
        <v>0.89583333333333304</v>
      </c>
      <c r="X878" s="8">
        <f ca="1">IFERROR(__xludf.DUMMYFUNCTION("""COMPUTED_VALUE"""),1)</f>
        <v>1</v>
      </c>
      <c r="Y878" s="12" t="str">
        <f ca="1">IFERROR(__xludf.DUMMYFUNCTION("""COMPUTED_VALUE"""),"Teen fatally shot leaving basketball game")</f>
        <v>Teen fatally shot leaving basketball game</v>
      </c>
      <c r="Z878" s="12" t="str">
        <f ca="1">IFERROR(__xludf.DUMMYFUNCTION("""COMPUTED_VALUE"""),"16-year-old fatally shot seven times leaving a high school basketball game. Shot in the parking lot next to the school. Shooter fled and arrested on Dec 28 based on witness statements and CCTV.")</f>
        <v>16-year-old fatally shot seven times leaving a high school basketball game. Shot in the parking lot next to the school. Shooter fled and arrested on Dec 28 based on witness statements and CCTV.</v>
      </c>
      <c r="AA878" s="8" t="str">
        <f ca="1">IFERROR(__xludf.DUMMYFUNCTION("""COMPUTED_VALUE"""),"Escalation of Dispute")</f>
        <v>Escalation of Dispute</v>
      </c>
      <c r="AB878" s="8"/>
      <c r="AC878" s="8" t="str">
        <f ca="1">IFERROR(__xludf.DUMMYFUNCTION("""COMPUTED_VALUE"""),"Yes")</f>
        <v>Yes</v>
      </c>
      <c r="AD878" s="8" t="str">
        <f ca="1">IFERROR(__xludf.DUMMYFUNCTION("""COMPUTED_VALUE"""),"Victims Targeted")</f>
        <v>Victims Targeted</v>
      </c>
      <c r="AE878" s="8"/>
      <c r="AF878" s="8"/>
      <c r="AG878" s="8" t="str">
        <f ca="1">IFERROR(__xludf.DUMMYFUNCTION("""COMPUTED_VALUE"""),"No")</f>
        <v>No</v>
      </c>
      <c r="AH878" s="8" t="str">
        <f ca="1">IFERROR(__xludf.DUMMYFUNCTION("""COMPUTED_VALUE"""),"No")</f>
        <v>No</v>
      </c>
      <c r="AI878" s="8" t="str">
        <f ca="1">IFERROR(__xludf.DUMMYFUNCTION("""COMPUTED_VALUE"""),"No")</f>
        <v>No</v>
      </c>
      <c r="AJ878" s="8" t="str">
        <f ca="1">IFERROR(__xludf.DUMMYFUNCTION("""COMPUTED_VALUE"""),"No")</f>
        <v>No</v>
      </c>
      <c r="AK878" s="8" t="str">
        <f ca="1">IFERROR(__xludf.DUMMYFUNCTION("""COMPUTED_VALUE"""),"No")</f>
        <v>No</v>
      </c>
      <c r="AL878" s="8"/>
      <c r="AM878" s="8" t="str">
        <f ca="1">IFERROR(__xludf.DUMMYFUNCTION("""COMPUTED_VALUE"""),"No")</f>
        <v>No</v>
      </c>
      <c r="AN878" s="8" t="str">
        <f ca="1">IFERROR(__xludf.DUMMYFUNCTION("""COMPUTED_VALUE"""),"Outside")</f>
        <v>Outside</v>
      </c>
      <c r="AO878" s="8" t="str">
        <f ca="1">IFERROR(__xludf.DUMMYFUNCTION("""COMPUTED_VALUE"""),"No")</f>
        <v>No</v>
      </c>
      <c r="AP878" s="8"/>
      <c r="AQ878" s="8"/>
      <c r="AR878" s="8" t="str">
        <f ca="1">IFERROR(__xludf.DUMMYFUNCTION("""COMPUTED_VALUE"""),"Outside/Off-Property")</f>
        <v>Outside/Off-Property</v>
      </c>
      <c r="AS878" s="8">
        <f ca="1">IFERROR(__xludf.DUMMYFUNCTION("""COMPUTED_VALUE"""),7)</f>
        <v>7</v>
      </c>
      <c r="AT878" s="8"/>
      <c r="AU878" s="8">
        <f ca="1">IFERROR(__xludf.DUMMYFUNCTION("""COMPUTED_VALUE"""),43.013701)</f>
        <v>43.013700999999998</v>
      </c>
      <c r="AV878" s="8">
        <f ca="1">IFERROR(__xludf.DUMMYFUNCTION("""COMPUTED_VALUE"""),-87.929467)</f>
        <v>-87.929467000000002</v>
      </c>
      <c r="AW878" s="8"/>
      <c r="AX878" s="8">
        <f ca="1">IFERROR(__xludf.DUMMYFUNCTION("""COMPUTED_VALUE"""),53204)</f>
        <v>53204</v>
      </c>
    </row>
    <row r="879" spans="1:50" ht="135" x14ac:dyDescent="0.2">
      <c r="A879" s="8" t="str">
        <f ca="1">IFERROR(__xludf.DUMMYFUNCTION("""COMPUTED_VALUE"""),"20221202DEDEW")</f>
        <v>20221202DEDEW</v>
      </c>
      <c r="B879" s="8">
        <f ca="1">IFERROR(__xludf.DUMMYFUNCTION("""COMPUTED_VALUE"""),12)</f>
        <v>12</v>
      </c>
      <c r="C879" s="8">
        <f ca="1">IFERROR(__xludf.DUMMYFUNCTION("""COMPUTED_VALUE"""),2)</f>
        <v>2</v>
      </c>
      <c r="D879" s="8">
        <f ca="1">IFERROR(__xludf.DUMMYFUNCTION("""COMPUTED_VALUE"""),2022)</f>
        <v>2022</v>
      </c>
      <c r="E879" s="9">
        <f ca="1">IFERROR(__xludf.DUMMYFUNCTION("""COMPUTED_VALUE"""),44897)</f>
        <v>44897</v>
      </c>
      <c r="F879" s="8" t="str">
        <f ca="1">IFERROR(__xludf.DUMMYFUNCTION("""COMPUTED_VALUE"""),"Delcastle Technical High School")</f>
        <v>Delcastle Technical High School</v>
      </c>
      <c r="G879" s="8">
        <f ca="1">IFERROR(__xludf.DUMMYFUNCTION("""COMPUTED_VALUE"""),0)</f>
        <v>0</v>
      </c>
      <c r="H879" s="8">
        <f ca="1">IFERROR(__xludf.DUMMYFUNCTION("""COMPUTED_VALUE"""),0)</f>
        <v>0</v>
      </c>
      <c r="I879" s="8">
        <f ca="1">IFERROR(__xludf.DUMMYFUNCTION("""COMPUTED_VALUE"""),0)</f>
        <v>0</v>
      </c>
      <c r="J879" s="8">
        <f ca="1">IFERROR(__xludf.DUMMYFUNCTION("""COMPUTED_VALUE"""),0)</f>
        <v>0</v>
      </c>
      <c r="K879" s="10" t="str">
        <f ca="1">IFERROR(__xludf.DUMMYFUNCTION("""COMPUTED_VALUE"""),"https://www.cbsnews.com/philadelphia/news/delcastle-technical-high-school-bus-struck-gunfire-i95-shooting/
https://www.wmar2news.com/news/local-news/suspect-shoots-at-school-bus-carjacks-2-vehicles-on-i-95-near-maryland-line
https://6abc.com/delcastle-tec"&amp;"hnical-high-school-bus-shot-interstate-95-shut-down-delaware-police-chase-officer-involved-shooting/12519473/")</f>
        <v>https://www.cbsnews.com/philadelphia/news/delcastle-technical-high-school-bus-struck-gunfire-i95-shooting/
https://www.wmar2news.com/news/local-news/suspect-shoots-at-school-bus-carjacks-2-vehicles-on-i-95-near-maryland-line
https://6abc.com/delcastle-technical-high-school-bus-shot-interstate-95-shut-down-delaware-police-chase-officer-involved-shooting/12519473/</v>
      </c>
      <c r="L879" s="8">
        <f ca="1">IFERROR(__xludf.DUMMYFUNCTION("""COMPUTED_VALUE"""),50)</f>
        <v>50</v>
      </c>
      <c r="M879" s="8" t="str">
        <f ca="1">IFERROR(__xludf.DUMMYFUNCTION("""COMPUTED_VALUE"""),"Regional")</f>
        <v>Regional</v>
      </c>
      <c r="N879" s="8">
        <f ca="1">IFERROR(__xludf.DUMMYFUNCTION("""COMPUTED_VALUE"""),4)</f>
        <v>4</v>
      </c>
      <c r="O879" s="8" t="str">
        <f ca="1">IFERROR(__xludf.DUMMYFUNCTION("""COMPUTED_VALUE"""),"Winter")</f>
        <v>Winter</v>
      </c>
      <c r="P879" s="8" t="str">
        <f ca="1">IFERROR(__xludf.DUMMYFUNCTION("""COMPUTED_VALUE"""),"Wilmington")</f>
        <v>Wilmington</v>
      </c>
      <c r="Q879" s="8" t="str">
        <f ca="1">IFERROR(__xludf.DUMMYFUNCTION("""COMPUTED_VALUE"""),"DE")</f>
        <v>DE</v>
      </c>
      <c r="R879" s="8" t="str">
        <f ca="1">IFERROR(__xludf.DUMMYFUNCTION("""COMPUTED_VALUE"""),"High")</f>
        <v>High</v>
      </c>
      <c r="S879" s="8" t="str">
        <f ca="1">IFERROR(__xludf.DUMMYFUNCTION("""COMPUTED_VALUE"""),"School Bus")</f>
        <v>School Bus</v>
      </c>
      <c r="T879" s="8" t="str">
        <f ca="1">IFERROR(__xludf.DUMMYFUNCTION("""COMPUTED_VALUE"""),"School Bus")</f>
        <v>School Bus</v>
      </c>
      <c r="U879" s="8" t="str">
        <f ca="1">IFERROR(__xludf.DUMMYFUNCTION("""COMPUTED_VALUE"""),"Yes")</f>
        <v>Yes</v>
      </c>
      <c r="V879" s="8" t="str">
        <f ca="1">IFERROR(__xludf.DUMMYFUNCTION("""COMPUTED_VALUE"""),"School Start")</f>
        <v>School Start</v>
      </c>
      <c r="W879" s="11">
        <f ca="1">IFERROR(__xludf.DUMMYFUNCTION("""COMPUTED_VALUE"""),0.3125)</f>
        <v>0.3125</v>
      </c>
      <c r="X879" s="8">
        <f ca="1">IFERROR(__xludf.DUMMYFUNCTION("""COMPUTED_VALUE"""),1)</f>
        <v>1</v>
      </c>
      <c r="Y879" s="12" t="str">
        <f ca="1">IFERROR(__xludf.DUMMYFUNCTION("""COMPUTED_VALUE"""),"3 bullets stuck school bus with 36 students aboard")</f>
        <v>3 bullets stuck school bus with 36 students aboard</v>
      </c>
      <c r="Z879" s="12" t="str">
        <f ca="1">IFERROR(__xludf.DUMMYFUNCTION("""COMPUTED_VALUE"""),"It all began when officers responded to the area of Route 141 and East Market Street around 7:30 a.m. for a report of a suspicious person with a gun. That person fled and gunfire erupted. A bus carrying 36 DelCastle Technical High School students was hit "&amp;"by bullets. The bus was at a stop sign, ready to make a right turn, when the shots were fired. Three bullets hit the bus, with one penetrating and lodging in the bus driver's armrest. The bus driver drove away from the shooting scene calmly and safely.")</f>
        <v>It all began when officers responded to the area of Route 141 and East Market Street around 7:30 a.m. for a report of a suspicious person with a gun. That person fled and gunfire erupted. A bus carrying 36 DelCastle Technical High School students was hit by bullets. The bus was at a stop sign, ready to make a right turn, when the shots were fired. Three bullets hit the bus, with one penetrating and lodging in the bus driver's armrest. The bus driver drove away from the shooting scene calmly and safely.</v>
      </c>
      <c r="AA879" s="8" t="str">
        <f ca="1">IFERROR(__xludf.DUMMYFUNCTION("""COMPUTED_VALUE"""),"Drive-by Shooting")</f>
        <v>Drive-by Shooting</v>
      </c>
      <c r="AB879" s="8"/>
      <c r="AC879" s="8" t="str">
        <f ca="1">IFERROR(__xludf.DUMMYFUNCTION("""COMPUTED_VALUE"""),"Yes")</f>
        <v>Yes</v>
      </c>
      <c r="AD879" s="8" t="str">
        <f ca="1">IFERROR(__xludf.DUMMYFUNCTION("""COMPUTED_VALUE"""),"Both")</f>
        <v>Both</v>
      </c>
      <c r="AE879" s="8" t="str">
        <f ca="1">IFERROR(__xludf.DUMMYFUNCTION("""COMPUTED_VALUE"""),"No")</f>
        <v>No</v>
      </c>
      <c r="AF879" s="8"/>
      <c r="AG879" s="8" t="str">
        <f ca="1">IFERROR(__xludf.DUMMYFUNCTION("""COMPUTED_VALUE"""),"No")</f>
        <v>No</v>
      </c>
      <c r="AH879" s="8" t="str">
        <f ca="1">IFERROR(__xludf.DUMMYFUNCTION("""COMPUTED_VALUE"""),"No")</f>
        <v>No</v>
      </c>
      <c r="AI879" s="8" t="str">
        <f ca="1">IFERROR(__xludf.DUMMYFUNCTION("""COMPUTED_VALUE"""),"No")</f>
        <v>No</v>
      </c>
      <c r="AJ879" s="8" t="str">
        <f ca="1">IFERROR(__xludf.DUMMYFUNCTION("""COMPUTED_VALUE"""),"No")</f>
        <v>No</v>
      </c>
      <c r="AK879" s="8" t="str">
        <f ca="1">IFERROR(__xludf.DUMMYFUNCTION("""COMPUTED_VALUE"""),"No")</f>
        <v>No</v>
      </c>
      <c r="AL879" s="8"/>
      <c r="AM879" s="8" t="str">
        <f ca="1">IFERROR(__xludf.DUMMYFUNCTION("""COMPUTED_VALUE"""),"No")</f>
        <v>No</v>
      </c>
      <c r="AN879" s="8" t="str">
        <f ca="1">IFERROR(__xludf.DUMMYFUNCTION("""COMPUTED_VALUE"""),"Outside")</f>
        <v>Outside</v>
      </c>
      <c r="AO879" s="8" t="str">
        <f ca="1">IFERROR(__xludf.DUMMYFUNCTION("""COMPUTED_VALUE"""),"No")</f>
        <v>No</v>
      </c>
      <c r="AP879" s="8"/>
      <c r="AQ879" s="8"/>
      <c r="AR879" s="8" t="str">
        <f ca="1">IFERROR(__xludf.DUMMYFUNCTION("""COMPUTED_VALUE"""),"Outside/Off-Property")</f>
        <v>Outside/Off-Property</v>
      </c>
      <c r="AS879" s="8">
        <f ca="1">IFERROR(__xludf.DUMMYFUNCTION("""COMPUTED_VALUE"""),99)</f>
        <v>99</v>
      </c>
      <c r="AT879" s="8"/>
      <c r="AU879" s="8">
        <f ca="1">IFERROR(__xludf.DUMMYFUNCTION("""COMPUTED_VALUE"""),39.725877)</f>
        <v>39.725876999999997</v>
      </c>
      <c r="AV879" s="8">
        <f ca="1">IFERROR(__xludf.DUMMYFUNCTION("""COMPUTED_VALUE"""),-75.627776)</f>
        <v>-75.627775999999997</v>
      </c>
      <c r="AW879" s="8"/>
      <c r="AX879" s="8">
        <f ca="1">IFERROR(__xludf.DUMMYFUNCTION("""COMPUTED_VALUE"""),19804)</f>
        <v>19804</v>
      </c>
    </row>
    <row r="880" spans="1:50" ht="165" x14ac:dyDescent="0.2">
      <c r="A880" s="8" t="str">
        <f ca="1">IFERROR(__xludf.DUMMYFUNCTION("""COMPUTED_VALUE"""),"20221122MISTS")</f>
        <v>20221122MISTS</v>
      </c>
      <c r="B880" s="8">
        <f ca="1">IFERROR(__xludf.DUMMYFUNCTION("""COMPUTED_VALUE"""),11)</f>
        <v>11</v>
      </c>
      <c r="C880" s="8">
        <f ca="1">IFERROR(__xludf.DUMMYFUNCTION("""COMPUTED_VALUE"""),18)</f>
        <v>18</v>
      </c>
      <c r="D880" s="8">
        <f ca="1">IFERROR(__xludf.DUMMYFUNCTION("""COMPUTED_VALUE"""),2022)</f>
        <v>2022</v>
      </c>
      <c r="E880" s="9">
        <f ca="1">IFERROR(__xludf.DUMMYFUNCTION("""COMPUTED_VALUE"""),44883)</f>
        <v>44883</v>
      </c>
      <c r="F880" s="8" t="str">
        <f ca="1">IFERROR(__xludf.DUMMYFUNCTION("""COMPUTED_VALUE"""),"Standish-Sterling Central School Bus")</f>
        <v>Standish-Sterling Central School Bus</v>
      </c>
      <c r="G880" s="8">
        <f ca="1">IFERROR(__xludf.DUMMYFUNCTION("""COMPUTED_VALUE"""),0)</f>
        <v>0</v>
      </c>
      <c r="H880" s="8">
        <f ca="1">IFERROR(__xludf.DUMMYFUNCTION("""COMPUTED_VALUE"""),0)</f>
        <v>0</v>
      </c>
      <c r="I880" s="8">
        <f ca="1">IFERROR(__xludf.DUMMYFUNCTION("""COMPUTED_VALUE"""),0)</f>
        <v>0</v>
      </c>
      <c r="J880" s="8">
        <f ca="1">IFERROR(__xludf.DUMMYFUNCTION("""COMPUTED_VALUE"""),0)</f>
        <v>0</v>
      </c>
      <c r="K880" s="10" t="str">
        <f ca="1">IFERROR(__xludf.DUMMYFUNCTION("""COMPUTED_VALUE"""),"https://www.abc12.com/news/no-injuries-on-standish-sterling-school-bus-after-it-was-hit-by-a-stray-bullet/article_b499147a-69e8-11ed-8cbc-4f35da469d5f.html")</f>
        <v>https://www.abc12.com/news/no-injuries-on-standish-sterling-school-bus-after-it-was-hit-by-a-stray-bullet/article_b499147a-69e8-11ed-8cbc-4f35da469d5f.html</v>
      </c>
      <c r="L880" s="8">
        <f ca="1">IFERROR(__xludf.DUMMYFUNCTION("""COMPUTED_VALUE"""),2)</f>
        <v>2</v>
      </c>
      <c r="M880" s="8" t="str">
        <f ca="1">IFERROR(__xludf.DUMMYFUNCTION("""COMPUTED_VALUE"""),"Local")</f>
        <v>Local</v>
      </c>
      <c r="N880" s="8">
        <f ca="1">IFERROR(__xludf.DUMMYFUNCTION("""COMPUTED_VALUE"""),4)</f>
        <v>4</v>
      </c>
      <c r="O880" s="8" t="str">
        <f ca="1">IFERROR(__xludf.DUMMYFUNCTION("""COMPUTED_VALUE"""),"Fall")</f>
        <v>Fall</v>
      </c>
      <c r="P880" s="8" t="str">
        <f ca="1">IFERROR(__xludf.DUMMYFUNCTION("""COMPUTED_VALUE"""),"Standish")</f>
        <v>Standish</v>
      </c>
      <c r="Q880" s="8" t="str">
        <f ca="1">IFERROR(__xludf.DUMMYFUNCTION("""COMPUTED_VALUE"""),"MI")</f>
        <v>MI</v>
      </c>
      <c r="R880" s="8" t="str">
        <f ca="1">IFERROR(__xludf.DUMMYFUNCTION("""COMPUTED_VALUE"""),"Other")</f>
        <v>Other</v>
      </c>
      <c r="S880" s="8" t="str">
        <f ca="1">IFERROR(__xludf.DUMMYFUNCTION("""COMPUTED_VALUE"""),"School Bus")</f>
        <v>School Bus</v>
      </c>
      <c r="T880" s="8" t="str">
        <f ca="1">IFERROR(__xludf.DUMMYFUNCTION("""COMPUTED_VALUE"""),"School Bus")</f>
        <v>School Bus</v>
      </c>
      <c r="U880" s="8" t="str">
        <f ca="1">IFERROR(__xludf.DUMMYFUNCTION("""COMPUTED_VALUE"""),"Yes")</f>
        <v>Yes</v>
      </c>
      <c r="V880" s="8" t="str">
        <f ca="1">IFERROR(__xludf.DUMMYFUNCTION("""COMPUTED_VALUE"""),"Dismissal")</f>
        <v>Dismissal</v>
      </c>
      <c r="W880" s="11">
        <f ca="1">IFERROR(__xludf.DUMMYFUNCTION("""COMPUTED_VALUE"""),0.666666666666666)</f>
        <v>0.66666666666666596</v>
      </c>
      <c r="X880" s="8">
        <f ca="1">IFERROR(__xludf.DUMMYFUNCTION("""COMPUTED_VALUE"""),1)</f>
        <v>1</v>
      </c>
      <c r="Y880" s="12" t="str">
        <f ca="1">IFERROR(__xludf.DUMMYFUNCTION("""COMPUTED_VALUE"""),"Bullet struck school window of occupied bus")</f>
        <v>Bullet struck school window of occupied bus</v>
      </c>
      <c r="Z880" s="12" t="str">
        <f ca="1">IFERROR(__xludf.DUMMYFUNCTION("""COMPUTED_VALUE"""),"The bus driver heard a noise but wasn't sure what it was.  He finished the route, returned to the bus garage and that's when he noticed the bullet holes in the windows. A picture of the Standish-Sterling school bus shows a bullet hole in the window of the"&amp;" last seat on the bus. There were only two students on the bus at the time when it's believed the gunshot hit the bus late Friday afternoon.  The students were not hit. ""A window that had both an entrance and an exit from what they believed was a bullet "&amp;"and after further investigation, we believe also it was a bullet,"" says Arenac County Undersheriff Don McIntyre.")</f>
        <v>The bus driver heard a noise but wasn't sure what it was.  He finished the route, returned to the bus garage and that's when he noticed the bullet holes in the windows. A picture of the Standish-Sterling school bus shows a bullet hole in the window of the last seat on the bus. There were only two students on the bus at the time when it's believed the gunshot hit the bus late Friday afternoon.  The students were not hit. "A window that had both an entrance and an exit from what they believed was a bullet and after further investigation, we believe also it was a bullet," says Arenac County Undersheriff Don McIntyre.</v>
      </c>
      <c r="AA880" s="8" t="str">
        <f ca="1">IFERROR(__xludf.DUMMYFUNCTION("""COMPUTED_VALUE"""),"Accidental")</f>
        <v>Accidental</v>
      </c>
      <c r="AB880" s="8"/>
      <c r="AC880" s="8" t="str">
        <f ca="1">IFERROR(__xludf.DUMMYFUNCTION("""COMPUTED_VALUE"""),"Yes")</f>
        <v>Yes</v>
      </c>
      <c r="AD880" s="8" t="str">
        <f ca="1">IFERROR(__xludf.DUMMYFUNCTION("""COMPUTED_VALUE"""),"Neither")</f>
        <v>Neither</v>
      </c>
      <c r="AE880" s="8" t="str">
        <f ca="1">IFERROR(__xludf.DUMMYFUNCTION("""COMPUTED_VALUE"""),"No")</f>
        <v>No</v>
      </c>
      <c r="AF880" s="8"/>
      <c r="AG880" s="8" t="str">
        <f ca="1">IFERROR(__xludf.DUMMYFUNCTION("""COMPUTED_VALUE"""),"No")</f>
        <v>No</v>
      </c>
      <c r="AH880" s="8" t="str">
        <f ca="1">IFERROR(__xludf.DUMMYFUNCTION("""COMPUTED_VALUE"""),"No")</f>
        <v>No</v>
      </c>
      <c r="AI880" s="8" t="str">
        <f ca="1">IFERROR(__xludf.DUMMYFUNCTION("""COMPUTED_VALUE"""),"No")</f>
        <v>No</v>
      </c>
      <c r="AJ880" s="8" t="str">
        <f ca="1">IFERROR(__xludf.DUMMYFUNCTION("""COMPUTED_VALUE"""),"No")</f>
        <v>No</v>
      </c>
      <c r="AK880" s="8" t="str">
        <f ca="1">IFERROR(__xludf.DUMMYFUNCTION("""COMPUTED_VALUE"""),"No")</f>
        <v>No</v>
      </c>
      <c r="AL880" s="8"/>
      <c r="AM880" s="8" t="str">
        <f ca="1">IFERROR(__xludf.DUMMYFUNCTION("""COMPUTED_VALUE"""),"No")</f>
        <v>No</v>
      </c>
      <c r="AN880" s="8" t="str">
        <f ca="1">IFERROR(__xludf.DUMMYFUNCTION("""COMPUTED_VALUE"""),"Outside")</f>
        <v>Outside</v>
      </c>
      <c r="AO880" s="8" t="str">
        <f ca="1">IFERROR(__xludf.DUMMYFUNCTION("""COMPUTED_VALUE"""),"No")</f>
        <v>No</v>
      </c>
      <c r="AP880" s="8"/>
      <c r="AQ880" s="8"/>
      <c r="AR880" s="8" t="str">
        <f ca="1">IFERROR(__xludf.DUMMYFUNCTION("""COMPUTED_VALUE"""),"Outside/Off-Property")</f>
        <v>Outside/Off-Property</v>
      </c>
      <c r="AS880" s="8">
        <f ca="1">IFERROR(__xludf.DUMMYFUNCTION("""COMPUTED_VALUE"""),1)</f>
        <v>1</v>
      </c>
      <c r="AT880" s="8"/>
      <c r="AU880" s="8">
        <f ca="1">IFERROR(__xludf.DUMMYFUNCTION("""COMPUTED_VALUE"""),44.011507)</f>
        <v>44.011507000000002</v>
      </c>
      <c r="AV880" s="8">
        <f ca="1">IFERROR(__xludf.DUMMYFUNCTION("""COMPUTED_VALUE"""),-83.960304)</f>
        <v>-83.960303999999994</v>
      </c>
      <c r="AW880" s="8"/>
      <c r="AX880" s="8">
        <f ca="1">IFERROR(__xludf.DUMMYFUNCTION("""COMPUTED_VALUE"""),48658)</f>
        <v>48658</v>
      </c>
    </row>
    <row r="881" spans="1:50" ht="90" x14ac:dyDescent="0.2">
      <c r="A881" s="8" t="str">
        <f ca="1">IFERROR(__xludf.DUMMYFUNCTION("""COMPUTED_VALUE"""),"20221121MIHED")</f>
        <v>20221121MIHED</v>
      </c>
      <c r="B881" s="8">
        <f ca="1">IFERROR(__xludf.DUMMYFUNCTION("""COMPUTED_VALUE"""),11)</f>
        <v>11</v>
      </c>
      <c r="C881" s="8">
        <f ca="1">IFERROR(__xludf.DUMMYFUNCTION("""COMPUTED_VALUE"""),21)</f>
        <v>21</v>
      </c>
      <c r="D881" s="8">
        <f ca="1">IFERROR(__xludf.DUMMYFUNCTION("""COMPUTED_VALUE"""),2022)</f>
        <v>2022</v>
      </c>
      <c r="E881" s="9">
        <f ca="1">IFERROR(__xludf.DUMMYFUNCTION("""COMPUTED_VALUE"""),44886)</f>
        <v>44886</v>
      </c>
      <c r="F881" s="8" t="str">
        <f ca="1">IFERROR(__xludf.DUMMYFUNCTION("""COMPUTED_VALUE"""),"Henry Ford High School")</f>
        <v>Henry Ford High School</v>
      </c>
      <c r="G881" s="8">
        <f ca="1">IFERROR(__xludf.DUMMYFUNCTION("""COMPUTED_VALUE"""),0)</f>
        <v>0</v>
      </c>
      <c r="H881" s="8">
        <f ca="1">IFERROR(__xludf.DUMMYFUNCTION("""COMPUTED_VALUE"""),2)</f>
        <v>2</v>
      </c>
      <c r="I881" s="8">
        <f ca="1">IFERROR(__xludf.DUMMYFUNCTION("""COMPUTED_VALUE"""),2)</f>
        <v>2</v>
      </c>
      <c r="J881" s="8">
        <f ca="1">IFERROR(__xludf.DUMMYFUNCTION("""COMPUTED_VALUE"""),0)</f>
        <v>0</v>
      </c>
      <c r="K881" s="10" t="str">
        <f ca="1">IFERROR(__xludf.DUMMYFUNCTION("""COMPUTED_VALUE"""),"https://www.clickondetroit.com/news/local/2022/11/21/2-officers-hurt-in-crash-while-responding-to-shooting-of-2-students-outside-detroit-high-school/
https://www.fox2detroit.com/news/juvenile-suspect-arrested-after-2-students-shot-outside-detroits-henry-f"&amp;"ord-high-school
https://www.fox2detroit.com/video/1146267
https://www.fox2detroit.com/news/16-year-old-charged-after-2-teens-shot-outside-detroits-henry-ford-high-school")</f>
        <v>https://www.clickondetroit.com/news/local/2022/11/21/2-officers-hurt-in-crash-while-responding-to-shooting-of-2-students-outside-detroit-high-school/
https://www.fox2detroit.com/news/juvenile-suspect-arrested-after-2-students-shot-outside-detroits-henry-ford-high-school
https://www.fox2detroit.com/video/1146267
https://www.fox2detroit.com/news/16-year-old-charged-after-2-teens-shot-outside-detroits-henry-ford-high-school</v>
      </c>
      <c r="L881" s="8">
        <f ca="1">IFERROR(__xludf.DUMMYFUNCTION("""COMPUTED_VALUE"""),10)</f>
        <v>10</v>
      </c>
      <c r="M881" s="8" t="str">
        <f ca="1">IFERROR(__xludf.DUMMYFUNCTION("""COMPUTED_VALUE"""),"Regional")</f>
        <v>Regional</v>
      </c>
      <c r="N881" s="8">
        <f ca="1">IFERROR(__xludf.DUMMYFUNCTION("""COMPUTED_VALUE"""),4)</f>
        <v>4</v>
      </c>
      <c r="O881" s="8" t="str">
        <f ca="1">IFERROR(__xludf.DUMMYFUNCTION("""COMPUTED_VALUE"""),"Fall")</f>
        <v>Fall</v>
      </c>
      <c r="P881" s="8" t="str">
        <f ca="1">IFERROR(__xludf.DUMMYFUNCTION("""COMPUTED_VALUE"""),"Detroit")</f>
        <v>Detroit</v>
      </c>
      <c r="Q881" s="8" t="str">
        <f ca="1">IFERROR(__xludf.DUMMYFUNCTION("""COMPUTED_VALUE"""),"MI")</f>
        <v>MI</v>
      </c>
      <c r="R881" s="8" t="str">
        <f ca="1">IFERROR(__xludf.DUMMYFUNCTION("""COMPUTED_VALUE"""),"High")</f>
        <v>High</v>
      </c>
      <c r="S881" s="8" t="str">
        <f ca="1">IFERROR(__xludf.DUMMYFUNCTION("""COMPUTED_VALUE"""),"Front of School")</f>
        <v>Front of School</v>
      </c>
      <c r="T881" s="8" t="str">
        <f ca="1">IFERROR(__xludf.DUMMYFUNCTION("""COMPUTED_VALUE"""),"Outside on School Property")</f>
        <v>Outside on School Property</v>
      </c>
      <c r="U881" s="8" t="str">
        <f ca="1">IFERROR(__xludf.DUMMYFUNCTION("""COMPUTED_VALUE"""),"Yes")</f>
        <v>Yes</v>
      </c>
      <c r="V881" s="8" t="str">
        <f ca="1">IFERROR(__xludf.DUMMYFUNCTION("""COMPUTED_VALUE"""),"Dismissal")</f>
        <v>Dismissal</v>
      </c>
      <c r="W881" s="11">
        <f ca="1">IFERROR(__xludf.DUMMYFUNCTION("""COMPUTED_VALUE"""),0.652777777777777)</f>
        <v>0.65277777777777701</v>
      </c>
      <c r="X881" s="8">
        <f ca="1">IFERROR(__xludf.DUMMYFUNCTION("""COMPUTED_VALUE"""),1)</f>
        <v>1</v>
      </c>
      <c r="Y881" s="12" t="str">
        <f ca="1">IFERROR(__xludf.DUMMYFUNCTION("""COMPUTED_VALUE"""),"Two students wounded during targeted shooting at dismissal")</f>
        <v>Two students wounded during targeted shooting at dismissal</v>
      </c>
      <c r="Z881" s="12" t="str">
        <f ca="1">IFERROR(__xludf.DUMMYFUNCTION("""COMPUTED_VALUE"""),"SUV with three teen shooters circled school multiple times at dismissal. Shooters got out and fired multiple shots at two male students, both were struck twice. Detroit school police officer was outside the building and heard the shots. Shooter got back i"&amp;"nto vehicle and fled the scene. 16-year-old arrested and charged as an adult on December 6.")</f>
        <v>SUV with three teen shooters circled school multiple times at dismissal. Shooters got out and fired multiple shots at two male students, both were struck twice. Detroit school police officer was outside the building and heard the shots. Shooter got back into vehicle and fled the scene. 16-year-old arrested and charged as an adult on December 6.</v>
      </c>
      <c r="AA881" s="8" t="str">
        <f ca="1">IFERROR(__xludf.DUMMYFUNCTION("""COMPUTED_VALUE"""),"Escalation of Dispute")</f>
        <v>Escalation of Dispute</v>
      </c>
      <c r="AB881" s="8"/>
      <c r="AC881" s="8" t="str">
        <f ca="1">IFERROR(__xludf.DUMMYFUNCTION("""COMPUTED_VALUE"""),"Yes")</f>
        <v>Yes</v>
      </c>
      <c r="AD881" s="8" t="str">
        <f ca="1">IFERROR(__xludf.DUMMYFUNCTION("""COMPUTED_VALUE"""),"Victims Targeted")</f>
        <v>Victims Targeted</v>
      </c>
      <c r="AE881" s="8" t="str">
        <f ca="1">IFERROR(__xludf.DUMMYFUNCTION("""COMPUTED_VALUE"""),"Yes")</f>
        <v>Yes</v>
      </c>
      <c r="AF881" s="8" t="str">
        <f ca="1">IFERROR(__xludf.DUMMYFUNCTION("""COMPUTED_VALUE"""),"Three shooters")</f>
        <v>Three shooters</v>
      </c>
      <c r="AG881" s="8" t="str">
        <f ca="1">IFERROR(__xludf.DUMMYFUNCTION("""COMPUTED_VALUE"""),"No")</f>
        <v>No</v>
      </c>
      <c r="AH881" s="8" t="str">
        <f ca="1">IFERROR(__xludf.DUMMYFUNCTION("""COMPUTED_VALUE"""),"No")</f>
        <v>No</v>
      </c>
      <c r="AI881" s="8" t="str">
        <f ca="1">IFERROR(__xludf.DUMMYFUNCTION("""COMPUTED_VALUE"""),"No")</f>
        <v>No</v>
      </c>
      <c r="AJ881" s="8" t="str">
        <f ca="1">IFERROR(__xludf.DUMMYFUNCTION("""COMPUTED_VALUE"""),"No")</f>
        <v>No</v>
      </c>
      <c r="AK881" s="8" t="str">
        <f ca="1">IFERROR(__xludf.DUMMYFUNCTION("""COMPUTED_VALUE"""),"No")</f>
        <v>No</v>
      </c>
      <c r="AL881" s="8"/>
      <c r="AM881" s="8" t="str">
        <f ca="1">IFERROR(__xludf.DUMMYFUNCTION("""COMPUTED_VALUE"""),"No")</f>
        <v>No</v>
      </c>
      <c r="AN881" s="8" t="str">
        <f ca="1">IFERROR(__xludf.DUMMYFUNCTION("""COMPUTED_VALUE"""),"Outside")</f>
        <v>Outside</v>
      </c>
      <c r="AO881" s="8" t="str">
        <f ca="1">IFERROR(__xludf.DUMMYFUNCTION("""COMPUTED_VALUE"""),"No")</f>
        <v>No</v>
      </c>
      <c r="AP881" s="8" t="str">
        <f ca="1">IFERROR(__xludf.DUMMYFUNCTION("""COMPUTED_VALUE"""),"Yes")</f>
        <v>Yes</v>
      </c>
      <c r="AQ881" s="8" t="str">
        <f ca="1">IFERROR(__xludf.DUMMYFUNCTION("""COMPUTED_VALUE"""),"Armed Guards")</f>
        <v>Armed Guards</v>
      </c>
      <c r="AR881" s="8" t="str">
        <f ca="1">IFERROR(__xludf.DUMMYFUNCTION("""COMPUTED_VALUE"""),"Outside/Off-Property")</f>
        <v>Outside/Off-Property</v>
      </c>
      <c r="AS881" s="8">
        <f ca="1">IFERROR(__xludf.DUMMYFUNCTION("""COMPUTED_VALUE"""),99)</f>
        <v>99</v>
      </c>
      <c r="AT881" s="8"/>
      <c r="AU881" s="8">
        <f ca="1">IFERROR(__xludf.DUMMYFUNCTION("""COMPUTED_VALUE"""),42.439378)</f>
        <v>42.439377999999998</v>
      </c>
      <c r="AV881" s="8">
        <f ca="1">IFERROR(__xludf.DUMMYFUNCTION("""COMPUTED_VALUE"""),-83.239206)</f>
        <v>-83.239205999999996</v>
      </c>
      <c r="AW881" s="8"/>
      <c r="AX881" s="8">
        <f ca="1">IFERROR(__xludf.DUMMYFUNCTION("""COMPUTED_VALUE"""),48219)</f>
        <v>48219</v>
      </c>
    </row>
    <row r="882" spans="1:50" ht="60" x14ac:dyDescent="0.2">
      <c r="A882" s="8" t="str">
        <f ca="1">IFERROR(__xludf.DUMMYFUNCTION("""COMPUTED_VALUE"""),"20221118NYROS")</f>
        <v>20221118NYROS</v>
      </c>
      <c r="B882" s="8">
        <f ca="1">IFERROR(__xludf.DUMMYFUNCTION("""COMPUTED_VALUE"""),11)</f>
        <v>11</v>
      </c>
      <c r="C882" s="8">
        <f ca="1">IFERROR(__xludf.DUMMYFUNCTION("""COMPUTED_VALUE"""),18)</f>
        <v>18</v>
      </c>
      <c r="D882" s="8">
        <f ca="1">IFERROR(__xludf.DUMMYFUNCTION("""COMPUTED_VALUE"""),2022)</f>
        <v>2022</v>
      </c>
      <c r="E882" s="9">
        <f ca="1">IFERROR(__xludf.DUMMYFUNCTION("""COMPUTED_VALUE"""),44883)</f>
        <v>44883</v>
      </c>
      <c r="F882" s="8" t="str">
        <f ca="1">IFERROR(__xludf.DUMMYFUNCTION("""COMPUTED_VALUE"""),"Roberts Elementary School")</f>
        <v>Roberts Elementary School</v>
      </c>
      <c r="G882" s="8">
        <f ca="1">IFERROR(__xludf.DUMMYFUNCTION("""COMPUTED_VALUE"""),0)</f>
        <v>0</v>
      </c>
      <c r="H882" s="8">
        <f ca="1">IFERROR(__xludf.DUMMYFUNCTION("""COMPUTED_VALUE"""),0)</f>
        <v>0</v>
      </c>
      <c r="I882" s="8">
        <f ca="1">IFERROR(__xludf.DUMMYFUNCTION("""COMPUTED_VALUE"""),0)</f>
        <v>0</v>
      </c>
      <c r="J882" s="8">
        <f ca="1">IFERROR(__xludf.DUMMYFUNCTION("""COMPUTED_VALUE"""),0)</f>
        <v>0</v>
      </c>
      <c r="K882" s="10" t="str">
        <f ca="1">IFERROR(__xludf.DUMMYFUNCTION("""COMPUTED_VALUE"""),"https://www.localsyr.com/news/local-news/shots-fired-in-roberts-elementary-school-parking-lot-in-syracuse/")</f>
        <v>https://www.localsyr.com/news/local-news/shots-fired-in-roberts-elementary-school-parking-lot-in-syracuse/</v>
      </c>
      <c r="L882" s="8">
        <f ca="1">IFERROR(__xludf.DUMMYFUNCTION("""COMPUTED_VALUE"""),1)</f>
        <v>1</v>
      </c>
      <c r="M882" s="8" t="str">
        <f ca="1">IFERROR(__xludf.DUMMYFUNCTION("""COMPUTED_VALUE"""),"Local")</f>
        <v>Local</v>
      </c>
      <c r="N882" s="8">
        <f ca="1">IFERROR(__xludf.DUMMYFUNCTION("""COMPUTED_VALUE"""),3)</f>
        <v>3</v>
      </c>
      <c r="O882" s="8" t="str">
        <f ca="1">IFERROR(__xludf.DUMMYFUNCTION("""COMPUTED_VALUE"""),"Fall")</f>
        <v>Fall</v>
      </c>
      <c r="P882" s="8" t="str">
        <f ca="1">IFERROR(__xludf.DUMMYFUNCTION("""COMPUTED_VALUE"""),"Syracuse")</f>
        <v>Syracuse</v>
      </c>
      <c r="Q882" s="8" t="str">
        <f ca="1">IFERROR(__xludf.DUMMYFUNCTION("""COMPUTED_VALUE"""),"NY")</f>
        <v>NY</v>
      </c>
      <c r="R882" s="8" t="str">
        <f ca="1">IFERROR(__xludf.DUMMYFUNCTION("""COMPUTED_VALUE"""),"Elementary")</f>
        <v>Elementary</v>
      </c>
      <c r="S882" s="8" t="str">
        <f ca="1">IFERROR(__xludf.DUMMYFUNCTION("""COMPUTED_VALUE"""),"Parking Lot")</f>
        <v>Parking Lot</v>
      </c>
      <c r="T882" s="8" t="str">
        <f ca="1">IFERROR(__xludf.DUMMYFUNCTION("""COMPUTED_VALUE"""),"Outside on School Property")</f>
        <v>Outside on School Property</v>
      </c>
      <c r="U882" s="8" t="str">
        <f ca="1">IFERROR(__xludf.DUMMYFUNCTION("""COMPUTED_VALUE"""),"Yes")</f>
        <v>Yes</v>
      </c>
      <c r="V882" s="8" t="str">
        <f ca="1">IFERROR(__xludf.DUMMYFUNCTION("""COMPUTED_VALUE"""),"Afternoon Classes")</f>
        <v>Afternoon Classes</v>
      </c>
      <c r="W882" s="11">
        <f ca="1">IFERROR(__xludf.DUMMYFUNCTION("""COMPUTED_VALUE"""),0.583333333333333)</f>
        <v>0.58333333333333304</v>
      </c>
      <c r="X882" s="8">
        <f ca="1">IFERROR(__xludf.DUMMYFUNCTION("""COMPUTED_VALUE"""),1)</f>
        <v>1</v>
      </c>
      <c r="Y882" s="12" t="str">
        <f ca="1">IFERROR(__xludf.DUMMYFUNCTION("""COMPUTED_VALUE"""),"Multiple shots fired in parking lot, shooter fled")</f>
        <v>Multiple shots fired in parking lot, shooter fled</v>
      </c>
      <c r="Z882" s="12" t="str">
        <f ca="1">IFERROR(__xludf.DUMMYFUNCTION("""COMPUTED_VALUE"""),"Just after 2 p.m. on Friday, November 18, many shell casings were found in the parking lot of the elementary school, which is part of the Syracuse City School District. Police say nobody was hurt and there have been no arrests.")</f>
        <v>Just after 2 p.m. on Friday, November 18, many shell casings were found in the parking lot of the elementary school, which is part of the Syracuse City School District. Police say nobody was hurt and there have been no arrests.</v>
      </c>
      <c r="AA882" s="8"/>
      <c r="AB882" s="8"/>
      <c r="AC882" s="8" t="str">
        <f ca="1">IFERROR(__xludf.DUMMYFUNCTION("""COMPUTED_VALUE"""),"Yes")</f>
        <v>Yes</v>
      </c>
      <c r="AD882" s="8"/>
      <c r="AE882" s="8"/>
      <c r="AF882" s="8"/>
      <c r="AG882" s="8" t="str">
        <f ca="1">IFERROR(__xludf.DUMMYFUNCTION("""COMPUTED_VALUE"""),"No")</f>
        <v>No</v>
      </c>
      <c r="AH882" s="8" t="str">
        <f ca="1">IFERROR(__xludf.DUMMYFUNCTION("""COMPUTED_VALUE"""),"No")</f>
        <v>No</v>
      </c>
      <c r="AI882" s="8" t="str">
        <f ca="1">IFERROR(__xludf.DUMMYFUNCTION("""COMPUTED_VALUE"""),"No")</f>
        <v>No</v>
      </c>
      <c r="AJ882" s="8" t="str">
        <f ca="1">IFERROR(__xludf.DUMMYFUNCTION("""COMPUTED_VALUE"""),"No")</f>
        <v>No</v>
      </c>
      <c r="AK882" s="8" t="str">
        <f ca="1">IFERROR(__xludf.DUMMYFUNCTION("""COMPUTED_VALUE"""),"No")</f>
        <v>No</v>
      </c>
      <c r="AL882" s="8"/>
      <c r="AM882" s="8" t="str">
        <f ca="1">IFERROR(__xludf.DUMMYFUNCTION("""COMPUTED_VALUE"""),"No")</f>
        <v>No</v>
      </c>
      <c r="AN882" s="8" t="str">
        <f ca="1">IFERROR(__xludf.DUMMYFUNCTION("""COMPUTED_VALUE"""),"Outside")</f>
        <v>Outside</v>
      </c>
      <c r="AO882" s="8" t="str">
        <f ca="1">IFERROR(__xludf.DUMMYFUNCTION("""COMPUTED_VALUE"""),"No")</f>
        <v>No</v>
      </c>
      <c r="AP882" s="8"/>
      <c r="AQ882" s="8"/>
      <c r="AR882" s="8" t="str">
        <f ca="1">IFERROR(__xludf.DUMMYFUNCTION("""COMPUTED_VALUE"""),"Outside/Off-Property")</f>
        <v>Outside/Off-Property</v>
      </c>
      <c r="AS882" s="8">
        <f ca="1">IFERROR(__xludf.DUMMYFUNCTION("""COMPUTED_VALUE"""),99)</f>
        <v>99</v>
      </c>
      <c r="AT882" s="8"/>
      <c r="AU882" s="8">
        <f ca="1">IFERROR(__xludf.DUMMYFUNCTION("""COMPUTED_VALUE"""),43.019496)</f>
        <v>43.019495999999997</v>
      </c>
      <c r="AV882" s="8">
        <f ca="1">IFERROR(__xludf.DUMMYFUNCTION("""COMPUTED_VALUE"""),-76.172215)</f>
        <v>-76.172214999999994</v>
      </c>
      <c r="AW882" s="8"/>
      <c r="AX882" s="8">
        <f ca="1">IFERROR(__xludf.DUMMYFUNCTION("""COMPUTED_VALUE"""),13207)</f>
        <v>13207</v>
      </c>
    </row>
    <row r="883" spans="1:50" ht="60" x14ac:dyDescent="0.2">
      <c r="A883" s="8" t="str">
        <f ca="1">IFERROR(__xludf.DUMMYFUNCTION("""COMPUTED_VALUE"""),"20221118DCJAW")</f>
        <v>20221118DCJAW</v>
      </c>
      <c r="B883" s="8">
        <f ca="1">IFERROR(__xludf.DUMMYFUNCTION("""COMPUTED_VALUE"""),11)</f>
        <v>11</v>
      </c>
      <c r="C883" s="8">
        <f ca="1">IFERROR(__xludf.DUMMYFUNCTION("""COMPUTED_VALUE"""),18)</f>
        <v>18</v>
      </c>
      <c r="D883" s="8">
        <f ca="1">IFERROR(__xludf.DUMMYFUNCTION("""COMPUTED_VALUE"""),2022)</f>
        <v>2022</v>
      </c>
      <c r="E883" s="9">
        <f ca="1">IFERROR(__xludf.DUMMYFUNCTION("""COMPUTED_VALUE"""),44883)</f>
        <v>44883</v>
      </c>
      <c r="F883" s="8" t="str">
        <f ca="1">IFERROR(__xludf.DUMMYFUNCTION("""COMPUTED_VALUE"""),"Jackson Reed High School")</f>
        <v>Jackson Reed High School</v>
      </c>
      <c r="G883" s="8">
        <f ca="1">IFERROR(__xludf.DUMMYFUNCTION("""COMPUTED_VALUE"""),0)</f>
        <v>0</v>
      </c>
      <c r="H883" s="8">
        <f ca="1">IFERROR(__xludf.DUMMYFUNCTION("""COMPUTED_VALUE"""),0)</f>
        <v>0</v>
      </c>
      <c r="I883" s="8">
        <f ca="1">IFERROR(__xludf.DUMMYFUNCTION("""COMPUTED_VALUE"""),0)</f>
        <v>0</v>
      </c>
      <c r="J883" s="8">
        <f ca="1">IFERROR(__xludf.DUMMYFUNCTION("""COMPUTED_VALUE"""),0)</f>
        <v>0</v>
      </c>
      <c r="K883" s="8" t="str">
        <f ca="1">IFERROR(__xludf.DUMMYFUNCTION("""COMPUTED_VALUE"""),"https://www.nbcwashington.com/news/local/jackson-reed-high-school-in-northwest-dc-on-lockdown-after-gunshots-heard-outside/3212878/
https://www.fox5dc.com/news/investigation-underway-into-shooting-near-northwest-dc-school
https://www.wusa9.com/article/new"&amp;"s/education/shots-ring-out-near-northwest-dc-high-school-lockdown/65-694e23fd-f217-456d-a7cf-fbf9de898d9e
")</f>
        <v xml:space="preserve">https://www.nbcwashington.com/news/local/jackson-reed-high-school-in-northwest-dc-on-lockdown-after-gunshots-heard-outside/3212878/
https://www.fox5dc.com/news/investigation-underway-into-shooting-near-northwest-dc-school
https://www.wusa9.com/article/news/education/shots-ring-out-near-northwest-dc-high-school-lockdown/65-694e23fd-f217-456d-a7cf-fbf9de898d9e
</v>
      </c>
      <c r="L883" s="8">
        <f ca="1">IFERROR(__xludf.DUMMYFUNCTION("""COMPUTED_VALUE"""),10)</f>
        <v>10</v>
      </c>
      <c r="M883" s="8" t="str">
        <f ca="1">IFERROR(__xludf.DUMMYFUNCTION("""COMPUTED_VALUE"""),"Regional")</f>
        <v>Regional</v>
      </c>
      <c r="N883" s="8">
        <f ca="1">IFERROR(__xludf.DUMMYFUNCTION("""COMPUTED_VALUE"""),4)</f>
        <v>4</v>
      </c>
      <c r="O883" s="8" t="str">
        <f ca="1">IFERROR(__xludf.DUMMYFUNCTION("""COMPUTED_VALUE"""),"Fall")</f>
        <v>Fall</v>
      </c>
      <c r="P883" s="8" t="str">
        <f ca="1">IFERROR(__xludf.DUMMYFUNCTION("""COMPUTED_VALUE"""),"Washington")</f>
        <v>Washington</v>
      </c>
      <c r="Q883" s="8" t="str">
        <f ca="1">IFERROR(__xludf.DUMMYFUNCTION("""COMPUTED_VALUE"""),"DC")</f>
        <v>DC</v>
      </c>
      <c r="R883" s="8" t="str">
        <f ca="1">IFERROR(__xludf.DUMMYFUNCTION("""COMPUTED_VALUE"""),"High")</f>
        <v>High</v>
      </c>
      <c r="S883" s="8" t="str">
        <f ca="1">IFERROR(__xludf.DUMMYFUNCTION("""COMPUTED_VALUE"""),"Front of School")</f>
        <v>Front of School</v>
      </c>
      <c r="T883" s="8" t="str">
        <f ca="1">IFERROR(__xludf.DUMMYFUNCTION("""COMPUTED_VALUE"""),"Outside on School Property")</f>
        <v>Outside on School Property</v>
      </c>
      <c r="U883" s="8" t="str">
        <f ca="1">IFERROR(__xludf.DUMMYFUNCTION("""COMPUTED_VALUE"""),"Yes")</f>
        <v>Yes</v>
      </c>
      <c r="V883" s="8" t="str">
        <f ca="1">IFERROR(__xludf.DUMMYFUNCTION("""COMPUTED_VALUE"""),"Afternoon Classes")</f>
        <v>Afternoon Classes</v>
      </c>
      <c r="W883" s="11">
        <f ca="1">IFERROR(__xludf.DUMMYFUNCTION("""COMPUTED_VALUE"""),0.614583333333333)</f>
        <v>0.61458333333333304</v>
      </c>
      <c r="X883" s="8">
        <f ca="1">IFERROR(__xludf.DUMMYFUNCTION("""COMPUTED_VALUE"""),1)</f>
        <v>1</v>
      </c>
      <c r="Y883" s="12" t="str">
        <f ca="1">IFERROR(__xludf.DUMMYFUNCTION("""COMPUTED_VALUE"""),"Shots fired in front of the school, shooter fled in vehicle")</f>
        <v>Shots fired in front of the school, shooter fled in vehicle</v>
      </c>
      <c r="Z883" s="12" t="str">
        <f ca="1">IFERROR(__xludf.DUMMYFUNCTION("""COMPUTED_VALUE"""),"At least 13 shots fired in front of the school. Shooter got into vehicle and fled. School placed on lockdown for 1.5 hours. No injuries.")</f>
        <v>At least 13 shots fired in front of the school. Shooter got into vehicle and fled. School placed on lockdown for 1.5 hours. No injuries.</v>
      </c>
      <c r="AA883" s="8"/>
      <c r="AB883" s="8"/>
      <c r="AC883" s="8" t="str">
        <f ca="1">IFERROR(__xludf.DUMMYFUNCTION("""COMPUTED_VALUE"""),"Yes")</f>
        <v>Yes</v>
      </c>
      <c r="AD883" s="8"/>
      <c r="AE883" s="8" t="str">
        <f ca="1">IFERROR(__xludf.DUMMYFUNCTION("""COMPUTED_VALUE"""),"Yes")</f>
        <v>Yes</v>
      </c>
      <c r="AF883" s="8" t="str">
        <f ca="1">IFERROR(__xludf.DUMMYFUNCTION("""COMPUTED_VALUE"""),"Multiple people in escape vehicle")</f>
        <v>Multiple people in escape vehicle</v>
      </c>
      <c r="AG883" s="8" t="str">
        <f ca="1">IFERROR(__xludf.DUMMYFUNCTION("""COMPUTED_VALUE"""),"No")</f>
        <v>No</v>
      </c>
      <c r="AH883" s="8" t="str">
        <f ca="1">IFERROR(__xludf.DUMMYFUNCTION("""COMPUTED_VALUE"""),"No")</f>
        <v>No</v>
      </c>
      <c r="AI883" s="8" t="str">
        <f ca="1">IFERROR(__xludf.DUMMYFUNCTION("""COMPUTED_VALUE"""),"No")</f>
        <v>No</v>
      </c>
      <c r="AJ883" s="8" t="str">
        <f ca="1">IFERROR(__xludf.DUMMYFUNCTION("""COMPUTED_VALUE"""),"No")</f>
        <v>No</v>
      </c>
      <c r="AK883" s="8" t="str">
        <f ca="1">IFERROR(__xludf.DUMMYFUNCTION("""COMPUTED_VALUE"""),"No")</f>
        <v>No</v>
      </c>
      <c r="AL883" s="8"/>
      <c r="AM883" s="8" t="str">
        <f ca="1">IFERROR(__xludf.DUMMYFUNCTION("""COMPUTED_VALUE"""),"No")</f>
        <v>No</v>
      </c>
      <c r="AN883" s="8" t="str">
        <f ca="1">IFERROR(__xludf.DUMMYFUNCTION("""COMPUTED_VALUE"""),"Outside")</f>
        <v>Outside</v>
      </c>
      <c r="AO883" s="8" t="str">
        <f ca="1">IFERROR(__xludf.DUMMYFUNCTION("""COMPUTED_VALUE"""),"No")</f>
        <v>No</v>
      </c>
      <c r="AP883" s="8" t="str">
        <f ca="1">IFERROR(__xludf.DUMMYFUNCTION("""COMPUTED_VALUE"""),"Yes")</f>
        <v>Yes</v>
      </c>
      <c r="AQ883" s="8"/>
      <c r="AR883" s="8" t="str">
        <f ca="1">IFERROR(__xludf.DUMMYFUNCTION("""COMPUTED_VALUE"""),"Outside/Off-Property")</f>
        <v>Outside/Off-Property</v>
      </c>
      <c r="AS883" s="8">
        <f ca="1">IFERROR(__xludf.DUMMYFUNCTION("""COMPUTED_VALUE"""),13)</f>
        <v>13</v>
      </c>
      <c r="AT883" s="8"/>
      <c r="AU883" s="8">
        <f ca="1">IFERROR(__xludf.DUMMYFUNCTION("""COMPUTED_VALUE"""),38.950926)</f>
        <v>38.950926000000003</v>
      </c>
      <c r="AV883" s="8">
        <f ca="1">IFERROR(__xludf.DUMMYFUNCTION("""COMPUTED_VALUE"""),-77.077775)</f>
        <v>-77.077775000000003</v>
      </c>
      <c r="AW883" s="8"/>
      <c r="AX883" s="8">
        <f ca="1">IFERROR(__xludf.DUMMYFUNCTION("""COMPUTED_VALUE"""),20016)</f>
        <v>20016</v>
      </c>
    </row>
    <row r="884" spans="1:50" ht="300" x14ac:dyDescent="0.2">
      <c r="A884" s="8" t="str">
        <f ca="1">IFERROR(__xludf.DUMMYFUNCTION("""COMPUTED_VALUE"""),"20221117CAEAL")</f>
        <v>20221117CAEAL</v>
      </c>
      <c r="B884" s="8">
        <f ca="1">IFERROR(__xludf.DUMMYFUNCTION("""COMPUTED_VALUE"""),11)</f>
        <v>11</v>
      </c>
      <c r="C884" s="8">
        <f ca="1">IFERROR(__xludf.DUMMYFUNCTION("""COMPUTED_VALUE"""),17)</f>
        <v>17</v>
      </c>
      <c r="D884" s="8">
        <f ca="1">IFERROR(__xludf.DUMMYFUNCTION("""COMPUTED_VALUE"""),2022)</f>
        <v>2022</v>
      </c>
      <c r="E884" s="9">
        <f ca="1">IFERROR(__xludf.DUMMYFUNCTION("""COMPUTED_VALUE"""),44882)</f>
        <v>44882</v>
      </c>
      <c r="F884" s="8" t="str">
        <f ca="1">IFERROR(__xludf.DUMMYFUNCTION("""COMPUTED_VALUE"""),"Eagle Rock High School")</f>
        <v>Eagle Rock High School</v>
      </c>
      <c r="G884" s="8">
        <f ca="1">IFERROR(__xludf.DUMMYFUNCTION("""COMPUTED_VALUE"""),0)</f>
        <v>0</v>
      </c>
      <c r="H884" s="8">
        <f ca="1">IFERROR(__xludf.DUMMYFUNCTION("""COMPUTED_VALUE"""),0)</f>
        <v>0</v>
      </c>
      <c r="I884" s="8">
        <f ca="1">IFERROR(__xludf.DUMMYFUNCTION("""COMPUTED_VALUE"""),0)</f>
        <v>0</v>
      </c>
      <c r="J884" s="8">
        <f ca="1">IFERROR(__xludf.DUMMYFUNCTION("""COMPUTED_VALUE"""),0)</f>
        <v>0</v>
      </c>
      <c r="K884" s="10" t="str">
        <f ca="1">IFERROR(__xludf.DUMMYFUNCTION("""COMPUTED_VALUE"""),"https://www.erscream.com/post/shots-fired-the-inside-scoop-on-the-shooting-at-yosemite-park")</f>
        <v>https://www.erscream.com/post/shots-fired-the-inside-scoop-on-the-shooting-at-yosemite-park</v>
      </c>
      <c r="L884" s="8">
        <f ca="1">IFERROR(__xludf.DUMMYFUNCTION("""COMPUTED_VALUE"""),1)</f>
        <v>1</v>
      </c>
      <c r="M884" s="8" t="str">
        <f ca="1">IFERROR(__xludf.DUMMYFUNCTION("""COMPUTED_VALUE"""),"Local")</f>
        <v>Local</v>
      </c>
      <c r="N884" s="8">
        <f ca="1">IFERROR(__xludf.DUMMYFUNCTION("""COMPUTED_VALUE"""),4)</f>
        <v>4</v>
      </c>
      <c r="O884" s="8" t="str">
        <f ca="1">IFERROR(__xludf.DUMMYFUNCTION("""COMPUTED_VALUE"""),"Fall")</f>
        <v>Fall</v>
      </c>
      <c r="P884" s="8" t="str">
        <f ca="1">IFERROR(__xludf.DUMMYFUNCTION("""COMPUTED_VALUE"""),"Los Angeles")</f>
        <v>Los Angeles</v>
      </c>
      <c r="Q884" s="8" t="str">
        <f ca="1">IFERROR(__xludf.DUMMYFUNCTION("""COMPUTED_VALUE"""),"CA")</f>
        <v>CA</v>
      </c>
      <c r="R884" s="8" t="str">
        <f ca="1">IFERROR(__xludf.DUMMYFUNCTION("""COMPUTED_VALUE"""),"High")</f>
        <v>High</v>
      </c>
      <c r="S884" s="8" t="str">
        <f ca="1">IFERROR(__xludf.DUMMYFUNCTION("""COMPUTED_VALUE"""),"Field (General)")</f>
        <v>Field (General)</v>
      </c>
      <c r="T884" s="8" t="str">
        <f ca="1">IFERROR(__xludf.DUMMYFUNCTION("""COMPUTED_VALUE"""),"Outside on School Property")</f>
        <v>Outside on School Property</v>
      </c>
      <c r="U884" s="8" t="str">
        <f ca="1">IFERROR(__xludf.DUMMYFUNCTION("""COMPUTED_VALUE"""),"No")</f>
        <v>No</v>
      </c>
      <c r="V884" s="8" t="str">
        <f ca="1">IFERROR(__xludf.DUMMYFUNCTION("""COMPUTED_VALUE"""),"After School")</f>
        <v>After School</v>
      </c>
      <c r="W884" s="11">
        <f ca="1">IFERROR(__xludf.DUMMYFUNCTION("""COMPUTED_VALUE"""),0.665972222222222)</f>
        <v>0.66597222222222197</v>
      </c>
      <c r="X884" s="8">
        <f ca="1">IFERROR(__xludf.DUMMYFUNCTION("""COMPUTED_VALUE"""),1)</f>
        <v>1</v>
      </c>
      <c r="Y884" s="12" t="str">
        <f ca="1">IFERROR(__xludf.DUMMYFUNCTION("""COMPUTED_VALUE"""),"Multiple shots fired near school athletic fields and pool during sports practice")</f>
        <v>Multiple shots fired near school athletic fields and pool during sports practice</v>
      </c>
      <c r="Z884" s="12" t="str">
        <f ca="1">IFERROR(__xludf.DUMMYFUNCTION("""COMPUTED_VALUE"""),"During the water polo practice on that day (that these reporters were attending), a group of about twenty teenagers and several younger children walk up to the amphitheater behind the Yosemite pool, on the side of the pool closest to the woods. An initial"&amp;" volley of four shots is heard, seeming to have been fired at the far end of the Yosemite park baseball courts, near the street. A brief pause of about fifteen seconds elapses. A secondary volley of three shots is heard, seeming to have been fired from th"&amp;"e amphitheater behind Yosemite pool. Diego Lopez, the lifeguard on tower at the pool, blows a whistle, signaling the water polo team to evacuate the pool and take cover in the locker room. At the same time, the same twenty children from earlier run – as i"&amp;"f from something in the amphitheater – down the left (school) side of the pool. ERHS officially goes on lockdown at about 3:59 pm, and are told that ""this is not a drill,"" in an intercom message from Principal Steinorth. 911 is called around 4:00 pm. He"&amp;"licopters are heard first, overhead, from inside the locker room. No injuries. Shooter fled.")</f>
        <v>During the water polo practice on that day (that these reporters were attending), a group of about twenty teenagers and several younger children walk up to the amphitheater behind the Yosemite pool, on the side of the pool closest to the woods. An initial volley of four shots is heard, seeming to have been fired at the far end of the Yosemite park baseball courts, near the street. A brief pause of about fifteen seconds elapses. A secondary volley of three shots is heard, seeming to have been fired from the amphitheater behind Yosemite pool. Diego Lopez, the lifeguard on tower at the pool, blows a whistle, signaling the water polo team to evacuate the pool and take cover in the locker room. At the same time, the same twenty children from earlier run – as if from something in the amphitheater – down the left (school) side of the pool. ERHS officially goes on lockdown at about 3:59 pm, and are told that "this is not a drill," in an intercom message from Principal Steinorth. 911 is called around 4:00 pm. Helicopters are heard first, overhead, from inside the locker room. No injuries. Shooter fled.</v>
      </c>
      <c r="AA884" s="8"/>
      <c r="AB884" s="8"/>
      <c r="AC884" s="8" t="str">
        <f ca="1">IFERROR(__xludf.DUMMYFUNCTION("""COMPUTED_VALUE"""),"Yes")</f>
        <v>Yes</v>
      </c>
      <c r="AD884" s="8"/>
      <c r="AE884" s="8"/>
      <c r="AF884" s="8"/>
      <c r="AG884" s="8" t="str">
        <f ca="1">IFERROR(__xludf.DUMMYFUNCTION("""COMPUTED_VALUE"""),"No")</f>
        <v>No</v>
      </c>
      <c r="AH884" s="8" t="str">
        <f ca="1">IFERROR(__xludf.DUMMYFUNCTION("""COMPUTED_VALUE"""),"No")</f>
        <v>No</v>
      </c>
      <c r="AI884" s="8" t="str">
        <f ca="1">IFERROR(__xludf.DUMMYFUNCTION("""COMPUTED_VALUE"""),"No")</f>
        <v>No</v>
      </c>
      <c r="AJ884" s="8" t="str">
        <f ca="1">IFERROR(__xludf.DUMMYFUNCTION("""COMPUTED_VALUE"""),"No")</f>
        <v>No</v>
      </c>
      <c r="AK884" s="8" t="str">
        <f ca="1">IFERROR(__xludf.DUMMYFUNCTION("""COMPUTED_VALUE"""),"No")</f>
        <v>No</v>
      </c>
      <c r="AL884" s="8"/>
      <c r="AM884" s="8" t="str">
        <f ca="1">IFERROR(__xludf.DUMMYFUNCTION("""COMPUTED_VALUE"""),"No")</f>
        <v>No</v>
      </c>
      <c r="AN884" s="8" t="str">
        <f ca="1">IFERROR(__xludf.DUMMYFUNCTION("""COMPUTED_VALUE"""),"Outside")</f>
        <v>Outside</v>
      </c>
      <c r="AO884" s="8" t="str">
        <f ca="1">IFERROR(__xludf.DUMMYFUNCTION("""COMPUTED_VALUE"""),"No")</f>
        <v>No</v>
      </c>
      <c r="AP884" s="8"/>
      <c r="AQ884" s="8"/>
      <c r="AR884" s="8" t="str">
        <f ca="1">IFERROR(__xludf.DUMMYFUNCTION("""COMPUTED_VALUE"""),"Outside/Off-Property")</f>
        <v>Outside/Off-Property</v>
      </c>
      <c r="AS884" s="8">
        <f ca="1">IFERROR(__xludf.DUMMYFUNCTION("""COMPUTED_VALUE"""),8)</f>
        <v>8</v>
      </c>
      <c r="AT884" s="8" t="str">
        <f ca="1">IFERROR(__xludf.DUMMYFUNCTION("""COMPUTED_VALUE"""),"Yes")</f>
        <v>Yes</v>
      </c>
      <c r="AU884" s="8">
        <f ca="1">IFERROR(__xludf.DUMMYFUNCTION("""COMPUTED_VALUE"""),34.132175)</f>
        <v>34.132174999999997</v>
      </c>
      <c r="AV884" s="8">
        <f ca="1">IFERROR(__xludf.DUMMYFUNCTION("""COMPUTED_VALUE"""),-118.207095)</f>
        <v>-118.207095</v>
      </c>
      <c r="AW884" s="8"/>
      <c r="AX884" s="8">
        <f ca="1">IFERROR(__xludf.DUMMYFUNCTION("""COMPUTED_VALUE"""),90041)</f>
        <v>90041</v>
      </c>
    </row>
    <row r="885" spans="1:50" ht="150" x14ac:dyDescent="0.2">
      <c r="A885" s="8" t="str">
        <f ca="1">IFERROR(__xludf.DUMMYFUNCTION("""COMPUTED_VALUE"""),"20221117INSOC")</f>
        <v>20221117INSOC</v>
      </c>
      <c r="B885" s="8">
        <f ca="1">IFERROR(__xludf.DUMMYFUNCTION("""COMPUTED_VALUE"""),11)</f>
        <v>11</v>
      </c>
      <c r="C885" s="8">
        <f ca="1">IFERROR(__xludf.DUMMYFUNCTION("""COMPUTED_VALUE"""),17)</f>
        <v>17</v>
      </c>
      <c r="D885" s="8">
        <f ca="1">IFERROR(__xludf.DUMMYFUNCTION("""COMPUTED_VALUE"""),2022)</f>
        <v>2022</v>
      </c>
      <c r="E885" s="9">
        <f ca="1">IFERROR(__xludf.DUMMYFUNCTION("""COMPUTED_VALUE"""),44882)</f>
        <v>44882</v>
      </c>
      <c r="F885" s="8" t="str">
        <f ca="1">IFERROR(__xludf.DUMMYFUNCTION("""COMPUTED_VALUE"""),"South Vermillion High School")</f>
        <v>South Vermillion High School</v>
      </c>
      <c r="G885" s="8">
        <f ca="1">IFERROR(__xludf.DUMMYFUNCTION("""COMPUTED_VALUE"""),0)</f>
        <v>0</v>
      </c>
      <c r="H885" s="8">
        <f ca="1">IFERROR(__xludf.DUMMYFUNCTION("""COMPUTED_VALUE"""),1)</f>
        <v>1</v>
      </c>
      <c r="I885" s="8">
        <f ca="1">IFERROR(__xludf.DUMMYFUNCTION("""COMPUTED_VALUE"""),1)</f>
        <v>1</v>
      </c>
      <c r="J885" s="8">
        <f ca="1">IFERROR(__xludf.DUMMYFUNCTION("""COMPUTED_VALUE"""),0)</f>
        <v>0</v>
      </c>
      <c r="K885" s="10" t="str">
        <f ca="1">IFERROR(__xludf.DUMMYFUNCTION("""COMPUTED_VALUE"""),"https://www.cbsnews.com/chicago/news/indiana-officer-gunfire-student/")</f>
        <v>https://www.cbsnews.com/chicago/news/indiana-officer-gunfire-student/</v>
      </c>
      <c r="L885" s="8">
        <f ca="1">IFERROR(__xludf.DUMMYFUNCTION("""COMPUTED_VALUE"""),100)</f>
        <v>100</v>
      </c>
      <c r="M885" s="8" t="str">
        <f ca="1">IFERROR(__xludf.DUMMYFUNCTION("""COMPUTED_VALUE"""),"National")</f>
        <v>National</v>
      </c>
      <c r="N885" s="8">
        <f ca="1">IFERROR(__xludf.DUMMYFUNCTION("""COMPUTED_VALUE"""),4)</f>
        <v>4</v>
      </c>
      <c r="O885" s="8" t="str">
        <f ca="1">IFERROR(__xludf.DUMMYFUNCTION("""COMPUTED_VALUE"""),"Fall")</f>
        <v>Fall</v>
      </c>
      <c r="P885" s="8" t="str">
        <f ca="1">IFERROR(__xludf.DUMMYFUNCTION("""COMPUTED_VALUE"""),"Clinton")</f>
        <v>Clinton</v>
      </c>
      <c r="Q885" s="8" t="str">
        <f ca="1">IFERROR(__xludf.DUMMYFUNCTION("""COMPUTED_VALUE"""),"IN")</f>
        <v>IN</v>
      </c>
      <c r="R885" s="8" t="str">
        <f ca="1">IFERROR(__xludf.DUMMYFUNCTION("""COMPUTED_VALUE"""),"High")</f>
        <v>High</v>
      </c>
      <c r="S885" s="8" t="str">
        <f ca="1">IFERROR(__xludf.DUMMYFUNCTION("""COMPUTED_VALUE"""),"Classroom")</f>
        <v>Classroom</v>
      </c>
      <c r="T885" s="8" t="str">
        <f ca="1">IFERROR(__xludf.DUMMYFUNCTION("""COMPUTED_VALUE"""),"Inside School Building")</f>
        <v>Inside School Building</v>
      </c>
      <c r="U885" s="8" t="str">
        <f ca="1">IFERROR(__xludf.DUMMYFUNCTION("""COMPUTED_VALUE"""),"Yes")</f>
        <v>Yes</v>
      </c>
      <c r="V885" s="8" t="str">
        <f ca="1">IFERROR(__xludf.DUMMYFUNCTION("""COMPUTED_VALUE"""),"Morning Classes")</f>
        <v>Morning Classes</v>
      </c>
      <c r="W885" s="11">
        <f ca="1">IFERROR(__xludf.DUMMYFUNCTION("""COMPUTED_VALUE"""),0.399305555555555)</f>
        <v>0.39930555555555503</v>
      </c>
      <c r="X885" s="8">
        <f ca="1">IFERROR(__xludf.DUMMYFUNCTION("""COMPUTED_VALUE"""),1)</f>
        <v>1</v>
      </c>
      <c r="Y885" s="12" t="str">
        <f ca="1">IFERROR(__xludf.DUMMYFUNCTION("""COMPUTED_VALUE"""),"Officer fired gun during training scenario wounding student")</f>
        <v>Officer fired gun during training scenario wounding student</v>
      </c>
      <c r="Z885" s="12" t="str">
        <f ca="1">IFERROR(__xludf.DUMMYFUNCTION("""COMPUTED_VALUE"""),"A high school student in Indiana was shot in class Thursday when a police officer's gun accidentally fired during a drill. Indiana State Police said at 9:35 a.m., 19-year veteran Vermillion County, Indiana Sheriff's Deputy Tim DisPennett was teaching a la"&amp;"w enforcement class at South Vermillion High School – located in Clinton, Indiana about 90 miles west of Indianapolis. During the class, DisPennett's gun accidentally went off and a student was struck, state police said. The student was rushed to a hospit"&amp;"al near Terre Haute with non-life-threatening injuries.")</f>
        <v>A high school student in Indiana was shot in class Thursday when a police officer's gun accidentally fired during a drill. Indiana State Police said at 9:35 a.m., 19-year veteran Vermillion County, Indiana Sheriff's Deputy Tim DisPennett was teaching a law enforcement class at South Vermillion High School – located in Clinton, Indiana about 90 miles west of Indianapolis. During the class, DisPennett's gun accidentally went off and a student was struck, state police said. The student was rushed to a hospital near Terre Haute with non-life-threatening injuries.</v>
      </c>
      <c r="AA885" s="8" t="str">
        <f ca="1">IFERROR(__xludf.DUMMYFUNCTION("""COMPUTED_VALUE"""),"Accidental")</f>
        <v>Accidental</v>
      </c>
      <c r="AB885" s="8"/>
      <c r="AC885" s="8" t="str">
        <f ca="1">IFERROR(__xludf.DUMMYFUNCTION("""COMPUTED_VALUE"""),"Yes")</f>
        <v>Yes</v>
      </c>
      <c r="AD885" s="8" t="str">
        <f ca="1">IFERROR(__xludf.DUMMYFUNCTION("""COMPUTED_VALUE"""),"Neither")</f>
        <v>Neither</v>
      </c>
      <c r="AE885" s="8" t="str">
        <f ca="1">IFERROR(__xludf.DUMMYFUNCTION("""COMPUTED_VALUE"""),"No")</f>
        <v>No</v>
      </c>
      <c r="AF885" s="8"/>
      <c r="AG885" s="8" t="str">
        <f ca="1">IFERROR(__xludf.DUMMYFUNCTION("""COMPUTED_VALUE"""),"No")</f>
        <v>No</v>
      </c>
      <c r="AH885" s="8" t="str">
        <f ca="1">IFERROR(__xludf.DUMMYFUNCTION("""COMPUTED_VALUE"""),"No")</f>
        <v>No</v>
      </c>
      <c r="AI885" s="8" t="str">
        <f ca="1">IFERROR(__xludf.DUMMYFUNCTION("""COMPUTED_VALUE"""),"Yes")</f>
        <v>Yes</v>
      </c>
      <c r="AJ885" s="8" t="str">
        <f ca="1">IFERROR(__xludf.DUMMYFUNCTION("""COMPUTED_VALUE"""),"No")</f>
        <v>No</v>
      </c>
      <c r="AK885" s="8" t="str">
        <f ca="1">IFERROR(__xludf.DUMMYFUNCTION("""COMPUTED_VALUE"""),"No")</f>
        <v>No</v>
      </c>
      <c r="AL885" s="8" t="str">
        <f ca="1">IFERROR(__xludf.DUMMYFUNCTION("""COMPUTED_VALUE"""),"No")</f>
        <v>No</v>
      </c>
      <c r="AM885" s="8" t="str">
        <f ca="1">IFERROR(__xludf.DUMMYFUNCTION("""COMPUTED_VALUE"""),"No")</f>
        <v>No</v>
      </c>
      <c r="AN885" s="8" t="str">
        <f ca="1">IFERROR(__xludf.DUMMYFUNCTION("""COMPUTED_VALUE"""),"Single Room")</f>
        <v>Single Room</v>
      </c>
      <c r="AO885" s="8" t="str">
        <f ca="1">IFERROR(__xludf.DUMMYFUNCTION("""COMPUTED_VALUE"""),"No")</f>
        <v>No</v>
      </c>
      <c r="AP885" s="8" t="str">
        <f ca="1">IFERROR(__xludf.DUMMYFUNCTION("""COMPUTED_VALUE"""),"Yes")</f>
        <v>Yes</v>
      </c>
      <c r="AQ885" s="8"/>
      <c r="AR885" s="8"/>
      <c r="AS885" s="8">
        <f ca="1">IFERROR(__xludf.DUMMYFUNCTION("""COMPUTED_VALUE"""),1)</f>
        <v>1</v>
      </c>
      <c r="AT885" s="8"/>
      <c r="AU885" s="8">
        <f ca="1">IFERROR(__xludf.DUMMYFUNCTION("""COMPUTED_VALUE"""),39.688769)</f>
        <v>39.688769000000001</v>
      </c>
      <c r="AV885" s="8">
        <f ca="1">IFERROR(__xludf.DUMMYFUNCTION("""COMPUTED_VALUE"""),-87.413393)</f>
        <v>-87.413392999999999</v>
      </c>
      <c r="AW885" s="8"/>
      <c r="AX885" s="8">
        <f ca="1">IFERROR(__xludf.DUMMYFUNCTION("""COMPUTED_VALUE"""),47842)</f>
        <v>47842</v>
      </c>
    </row>
    <row r="886" spans="1:50" ht="135" x14ac:dyDescent="0.2">
      <c r="A886" s="8" t="str">
        <f ca="1">IFERROR(__xludf.DUMMYFUNCTION("""COMPUTED_VALUE"""),"20221116ORMCM")</f>
        <v>20221116ORMCM</v>
      </c>
      <c r="B886" s="8">
        <f ca="1">IFERROR(__xludf.DUMMYFUNCTION("""COMPUTED_VALUE"""),11)</f>
        <v>11</v>
      </c>
      <c r="C886" s="8">
        <f ca="1">IFERROR(__xludf.DUMMYFUNCTION("""COMPUTED_VALUE"""),16)</f>
        <v>16</v>
      </c>
      <c r="D886" s="8">
        <f ca="1">IFERROR(__xludf.DUMMYFUNCTION("""COMPUTED_VALUE"""),2022)</f>
        <v>2022</v>
      </c>
      <c r="E886" s="9">
        <f ca="1">IFERROR(__xludf.DUMMYFUNCTION("""COMPUTED_VALUE"""),44881)</f>
        <v>44881</v>
      </c>
      <c r="F886" s="8" t="str">
        <f ca="1">IFERROR(__xludf.DUMMYFUNCTION("""COMPUTED_VALUE"""),"McMinnville High School")</f>
        <v>McMinnville High School</v>
      </c>
      <c r="G886" s="8">
        <f ca="1">IFERROR(__xludf.DUMMYFUNCTION("""COMPUTED_VALUE"""),0)</f>
        <v>0</v>
      </c>
      <c r="H886" s="8">
        <f ca="1">IFERROR(__xludf.DUMMYFUNCTION("""COMPUTED_VALUE"""),0)</f>
        <v>0</v>
      </c>
      <c r="I886" s="8">
        <f ca="1">IFERROR(__xludf.DUMMYFUNCTION("""COMPUTED_VALUE"""),0)</f>
        <v>0</v>
      </c>
      <c r="J886" s="8">
        <f ca="1">IFERROR(__xludf.DUMMYFUNCTION("""COMPUTED_VALUE"""),0)</f>
        <v>0</v>
      </c>
      <c r="K886" s="10" t="str">
        <f ca="1">IFERROR(__xludf.DUMMYFUNCTION("""COMPUTED_VALUE"""),"https://katu.com/news/local/police-investigate-shooting-near-mcminnville-high-school")</f>
        <v>https://katu.com/news/local/police-investigate-shooting-near-mcminnville-high-school</v>
      </c>
      <c r="L886" s="8">
        <f ca="1">IFERROR(__xludf.DUMMYFUNCTION("""COMPUTED_VALUE"""),10)</f>
        <v>10</v>
      </c>
      <c r="M886" s="8" t="str">
        <f ca="1">IFERROR(__xludf.DUMMYFUNCTION("""COMPUTED_VALUE"""),"Regional")</f>
        <v>Regional</v>
      </c>
      <c r="N886" s="8">
        <f ca="1">IFERROR(__xludf.DUMMYFUNCTION("""COMPUTED_VALUE"""),4)</f>
        <v>4</v>
      </c>
      <c r="O886" s="8" t="str">
        <f ca="1">IFERROR(__xludf.DUMMYFUNCTION("""COMPUTED_VALUE"""),"Fall")</f>
        <v>Fall</v>
      </c>
      <c r="P886" s="8" t="str">
        <f ca="1">IFERROR(__xludf.DUMMYFUNCTION("""COMPUTED_VALUE"""),"McMinnville")</f>
        <v>McMinnville</v>
      </c>
      <c r="Q886" s="8" t="str">
        <f ca="1">IFERROR(__xludf.DUMMYFUNCTION("""COMPUTED_VALUE"""),"OR")</f>
        <v>OR</v>
      </c>
      <c r="R886" s="8" t="str">
        <f ca="1">IFERROR(__xludf.DUMMYFUNCTION("""COMPUTED_VALUE"""),"High")</f>
        <v>High</v>
      </c>
      <c r="S886" s="8" t="str">
        <f ca="1">IFERROR(__xludf.DUMMYFUNCTION("""COMPUTED_VALUE"""),"Front of School")</f>
        <v>Front of School</v>
      </c>
      <c r="T886" s="8" t="str">
        <f ca="1">IFERROR(__xludf.DUMMYFUNCTION("""COMPUTED_VALUE"""),"Outside on School Property")</f>
        <v>Outside on School Property</v>
      </c>
      <c r="U886" s="8" t="str">
        <f ca="1">IFERROR(__xludf.DUMMYFUNCTION("""COMPUTED_VALUE"""),"No")</f>
        <v>No</v>
      </c>
      <c r="V886" s="8" t="str">
        <f ca="1">IFERROR(__xludf.DUMMYFUNCTION("""COMPUTED_VALUE"""),"Before School")</f>
        <v>Before School</v>
      </c>
      <c r="W886" s="11">
        <f ca="1">IFERROR(__xludf.DUMMYFUNCTION("""COMPUTED_VALUE"""),0.25)</f>
        <v>0.25</v>
      </c>
      <c r="X886" s="8">
        <f ca="1">IFERROR(__xludf.DUMMYFUNCTION("""COMPUTED_VALUE"""),1)</f>
        <v>1</v>
      </c>
      <c r="Y886" s="12" t="str">
        <f ca="1">IFERROR(__xludf.DUMMYFUNCTION("""COMPUTED_VALUE"""),"School building shot multiple times, classes cancelled")</f>
        <v>School building shot multiple times, classes cancelled</v>
      </c>
      <c r="Z886" s="12" t="str">
        <f ca="1">IFERROR(__xludf.DUMMYFUNCTION("""COMPUTED_VALUE"""),"Police began receiving calls about gunshots fired from people living near the school at around 6 a.m. The school was not in session at the time, so no students were in or around the building, although responding officers found that bullets had struck the "&amp;"school building. They also found shell casings nearby. The police department quickly communicated with McMinnville School District staff, and it was decided that classes would be canceled for the day so authorities could fully investigate.")</f>
        <v>Police began receiving calls about gunshots fired from people living near the school at around 6 a.m. The school was not in session at the time, so no students were in or around the building, although responding officers found that bullets had struck the school building. They also found shell casings nearby. The police department quickly communicated with McMinnville School District staff, and it was decided that classes would be canceled for the day so authorities could fully investigate.</v>
      </c>
      <c r="AA886" s="8" t="str">
        <f ca="1">IFERROR(__xludf.DUMMYFUNCTION("""COMPUTED_VALUE"""),"Intentional Property Damage")</f>
        <v>Intentional Property Damage</v>
      </c>
      <c r="AB886" s="8"/>
      <c r="AC886" s="8" t="str">
        <f ca="1">IFERROR(__xludf.DUMMYFUNCTION("""COMPUTED_VALUE"""),"Yes")</f>
        <v>Yes</v>
      </c>
      <c r="AD886" s="8" t="str">
        <f ca="1">IFERROR(__xludf.DUMMYFUNCTION("""COMPUTED_VALUE"""),"Neither")</f>
        <v>Neither</v>
      </c>
      <c r="AE886" s="8"/>
      <c r="AF886" s="8"/>
      <c r="AG886" s="8" t="str">
        <f ca="1">IFERROR(__xludf.DUMMYFUNCTION("""COMPUTED_VALUE"""),"No")</f>
        <v>No</v>
      </c>
      <c r="AH886" s="8" t="str">
        <f ca="1">IFERROR(__xludf.DUMMYFUNCTION("""COMPUTED_VALUE"""),"No")</f>
        <v>No</v>
      </c>
      <c r="AI886" s="8" t="str">
        <f ca="1">IFERROR(__xludf.DUMMYFUNCTION("""COMPUTED_VALUE"""),"No")</f>
        <v>No</v>
      </c>
      <c r="AJ886" s="8" t="str">
        <f ca="1">IFERROR(__xludf.DUMMYFUNCTION("""COMPUTED_VALUE"""),"No")</f>
        <v>No</v>
      </c>
      <c r="AK886" s="8" t="str">
        <f ca="1">IFERROR(__xludf.DUMMYFUNCTION("""COMPUTED_VALUE"""),"No")</f>
        <v>No</v>
      </c>
      <c r="AL886" s="8" t="str">
        <f ca="1">IFERROR(__xludf.DUMMYFUNCTION("""COMPUTED_VALUE"""),"No")</f>
        <v>No</v>
      </c>
      <c r="AM886" s="8" t="str">
        <f ca="1">IFERROR(__xludf.DUMMYFUNCTION("""COMPUTED_VALUE"""),"No")</f>
        <v>No</v>
      </c>
      <c r="AN886" s="8" t="str">
        <f ca="1">IFERROR(__xludf.DUMMYFUNCTION("""COMPUTED_VALUE"""),"Outside")</f>
        <v>Outside</v>
      </c>
      <c r="AO886" s="8" t="str">
        <f ca="1">IFERROR(__xludf.DUMMYFUNCTION("""COMPUTED_VALUE"""),"No")</f>
        <v>No</v>
      </c>
      <c r="AP886" s="8"/>
      <c r="AQ886" s="8"/>
      <c r="AR886" s="8" t="str">
        <f ca="1">IFERROR(__xludf.DUMMYFUNCTION("""COMPUTED_VALUE"""),"Outside/Off-Property")</f>
        <v>Outside/Off-Property</v>
      </c>
      <c r="AS886" s="8">
        <f ca="1">IFERROR(__xludf.DUMMYFUNCTION("""COMPUTED_VALUE"""),5)</f>
        <v>5</v>
      </c>
      <c r="AT886" s="8"/>
      <c r="AU886" s="8">
        <f ca="1">IFERROR(__xludf.DUMMYFUNCTION("""COMPUTED_VALUE"""),45.219318)</f>
        <v>45.219318000000001</v>
      </c>
      <c r="AV886" s="8">
        <f ca="1">IFERROR(__xludf.DUMMYFUNCTION("""COMPUTED_VALUE"""),-123.19354)</f>
        <v>-123.19354</v>
      </c>
      <c r="AW886" s="8"/>
      <c r="AX886" s="8">
        <f ca="1">IFERROR(__xludf.DUMMYFUNCTION("""COMPUTED_VALUE"""),97128)</f>
        <v>97128</v>
      </c>
    </row>
    <row r="887" spans="1:50" ht="120" x14ac:dyDescent="0.2">
      <c r="A887" s="8" t="str">
        <f ca="1">IFERROR(__xludf.DUMMYFUNCTION("""COMPUTED_VALUE"""),"20221116NCLUL")</f>
        <v>20221116NCLUL</v>
      </c>
      <c r="B887" s="8">
        <f ca="1">IFERROR(__xludf.DUMMYFUNCTION("""COMPUTED_VALUE"""),11)</f>
        <v>11</v>
      </c>
      <c r="C887" s="8">
        <f ca="1">IFERROR(__xludf.DUMMYFUNCTION("""COMPUTED_VALUE"""),16)</f>
        <v>16</v>
      </c>
      <c r="D887" s="8">
        <f ca="1">IFERROR(__xludf.DUMMYFUNCTION("""COMPUTED_VALUE"""),2022)</f>
        <v>2022</v>
      </c>
      <c r="E887" s="9">
        <f ca="1">IFERROR(__xludf.DUMMYFUNCTION("""COMPUTED_VALUE"""),44881)</f>
        <v>44881</v>
      </c>
      <c r="F887" s="8" t="str">
        <f ca="1">IFERROR(__xludf.DUMMYFUNCTION("""COMPUTED_VALUE"""),"Lumberton High School")</f>
        <v>Lumberton High School</v>
      </c>
      <c r="G887" s="8">
        <f ca="1">IFERROR(__xludf.DUMMYFUNCTION("""COMPUTED_VALUE"""),0)</f>
        <v>0</v>
      </c>
      <c r="H887" s="8">
        <f ca="1">IFERROR(__xludf.DUMMYFUNCTION("""COMPUTED_VALUE"""),1)</f>
        <v>1</v>
      </c>
      <c r="I887" s="8">
        <f ca="1">IFERROR(__xludf.DUMMYFUNCTION("""COMPUTED_VALUE"""),1)</f>
        <v>1</v>
      </c>
      <c r="J887" s="8">
        <f ca="1">IFERROR(__xludf.DUMMYFUNCTION("""COMPUTED_VALUE"""),0)</f>
        <v>0</v>
      </c>
      <c r="K887" s="8" t="str">
        <f ca="1">IFERROR(__xludf.DUMMYFUNCTION("""COMPUTED_VALUE"""),"https://wpde.com/news/local/police-investigating-incident-at-lumberton-football-game
https://abc11.com/shooting-lumberton-senior-high-school-football-stadium/12461598/")</f>
        <v>https://wpde.com/news/local/police-investigating-incident-at-lumberton-football-game
https://abc11.com/shooting-lumberton-senior-high-school-football-stadium/12461598/</v>
      </c>
      <c r="L887" s="8">
        <f ca="1">IFERROR(__xludf.DUMMYFUNCTION("""COMPUTED_VALUE"""),5)</f>
        <v>5</v>
      </c>
      <c r="M887" s="8" t="str">
        <f ca="1">IFERROR(__xludf.DUMMYFUNCTION("""COMPUTED_VALUE"""),"Regional")</f>
        <v>Regional</v>
      </c>
      <c r="N887" s="8">
        <f ca="1">IFERROR(__xludf.DUMMYFUNCTION("""COMPUTED_VALUE"""),4)</f>
        <v>4</v>
      </c>
      <c r="O887" s="8" t="str">
        <f ca="1">IFERROR(__xludf.DUMMYFUNCTION("""COMPUTED_VALUE"""),"Fall")</f>
        <v>Fall</v>
      </c>
      <c r="P887" s="8" t="str">
        <f ca="1">IFERROR(__xludf.DUMMYFUNCTION("""COMPUTED_VALUE"""),"Lumberton")</f>
        <v>Lumberton</v>
      </c>
      <c r="Q887" s="8" t="str">
        <f ca="1">IFERROR(__xludf.DUMMYFUNCTION("""COMPUTED_VALUE"""),"NC")</f>
        <v>NC</v>
      </c>
      <c r="R887" s="8" t="str">
        <f ca="1">IFERROR(__xludf.DUMMYFUNCTION("""COMPUTED_VALUE"""),"High")</f>
        <v>High</v>
      </c>
      <c r="S887" s="8" t="str">
        <f ca="1">IFERROR(__xludf.DUMMYFUNCTION("""COMPUTED_VALUE"""),"Parking Lot")</f>
        <v>Parking Lot</v>
      </c>
      <c r="T887" s="8" t="str">
        <f ca="1">IFERROR(__xludf.DUMMYFUNCTION("""COMPUTED_VALUE"""),"Outside on School Property")</f>
        <v>Outside on School Property</v>
      </c>
      <c r="U887" s="8" t="str">
        <f ca="1">IFERROR(__xludf.DUMMYFUNCTION("""COMPUTED_VALUE"""),"No")</f>
        <v>No</v>
      </c>
      <c r="V887" s="8" t="str">
        <f ca="1">IFERROR(__xludf.DUMMYFUNCTION("""COMPUTED_VALUE"""),"Sport Event")</f>
        <v>Sport Event</v>
      </c>
      <c r="W887" s="11">
        <f ca="1">IFERROR(__xludf.DUMMYFUNCTION("""COMPUTED_VALUE"""),0.833333333333333)</f>
        <v>0.83333333333333304</v>
      </c>
      <c r="X887" s="8">
        <f ca="1">IFERROR(__xludf.DUMMYFUNCTION("""COMPUTED_VALUE"""),1)</f>
        <v>1</v>
      </c>
      <c r="Y887" s="12" t="str">
        <f ca="1">IFERROR(__xludf.DUMMYFUNCTION("""COMPUTED_VALUE"""),"Woman shot in parking lot outside football field during game")</f>
        <v>Woman shot in parking lot outside football field during game</v>
      </c>
      <c r="Z887" s="12" t="str">
        <f ca="1">IFERROR(__xludf.DUMMYFUNCTION("""COMPUTED_VALUE"""),"Lumberton police responded to calls about a shooting at a football stadium at Lumberton Senior High School just before 8 p.m. Upon arrival, officers found a 41-year-old woman with a gunshot wound in the parking lot at the front of the stadium. The woman w"&amp;"as airlifted to the hospital with life-threatening injuries. According to police, bystanders reported hearing multiple gunshots and they described the suspect as a person wearing all black.")</f>
        <v>Lumberton police responded to calls about a shooting at a football stadium at Lumberton Senior High School just before 8 p.m. Upon arrival, officers found a 41-year-old woman with a gunshot wound in the parking lot at the front of the stadium. The woman was airlifted to the hospital with life-threatening injuries. According to police, bystanders reported hearing multiple gunshots and they described the suspect as a person wearing all black.</v>
      </c>
      <c r="AA887" s="8"/>
      <c r="AB887" s="8"/>
      <c r="AC887" s="8" t="str">
        <f ca="1">IFERROR(__xludf.DUMMYFUNCTION("""COMPUTED_VALUE"""),"Yes")</f>
        <v>Yes</v>
      </c>
      <c r="AD887" s="8" t="str">
        <f ca="1">IFERROR(__xludf.DUMMYFUNCTION("""COMPUTED_VALUE"""),"Victims Targeted")</f>
        <v>Victims Targeted</v>
      </c>
      <c r="AE887" s="8" t="str">
        <f ca="1">IFERROR(__xludf.DUMMYFUNCTION("""COMPUTED_VALUE"""),"No")</f>
        <v>No</v>
      </c>
      <c r="AF887" s="8"/>
      <c r="AG887" s="8" t="str">
        <f ca="1">IFERROR(__xludf.DUMMYFUNCTION("""COMPUTED_VALUE"""),"No")</f>
        <v>No</v>
      </c>
      <c r="AH887" s="8" t="str">
        <f ca="1">IFERROR(__xludf.DUMMYFUNCTION("""COMPUTED_VALUE"""),"No")</f>
        <v>No</v>
      </c>
      <c r="AI887" s="8" t="str">
        <f ca="1">IFERROR(__xludf.DUMMYFUNCTION("""COMPUTED_VALUE"""),"No")</f>
        <v>No</v>
      </c>
      <c r="AJ887" s="8" t="str">
        <f ca="1">IFERROR(__xludf.DUMMYFUNCTION("""COMPUTED_VALUE"""),"No")</f>
        <v>No</v>
      </c>
      <c r="AK887" s="8"/>
      <c r="AL887" s="8"/>
      <c r="AM887" s="8" t="str">
        <f ca="1">IFERROR(__xludf.DUMMYFUNCTION("""COMPUTED_VALUE"""),"No")</f>
        <v>No</v>
      </c>
      <c r="AN887" s="8" t="str">
        <f ca="1">IFERROR(__xludf.DUMMYFUNCTION("""COMPUTED_VALUE"""),"Outside")</f>
        <v>Outside</v>
      </c>
      <c r="AO887" s="8" t="str">
        <f ca="1">IFERROR(__xludf.DUMMYFUNCTION("""COMPUTED_VALUE"""),"No")</f>
        <v>No</v>
      </c>
      <c r="AP887" s="8"/>
      <c r="AQ887" s="8"/>
      <c r="AR887" s="8" t="str">
        <f ca="1">IFERROR(__xludf.DUMMYFUNCTION("""COMPUTED_VALUE"""),"Outside/Off-Property")</f>
        <v>Outside/Off-Property</v>
      </c>
      <c r="AS887" s="8">
        <f ca="1">IFERROR(__xludf.DUMMYFUNCTION("""COMPUTED_VALUE"""),99)</f>
        <v>99</v>
      </c>
      <c r="AT887" s="8"/>
      <c r="AU887" s="8">
        <f ca="1">IFERROR(__xludf.DUMMYFUNCTION("""COMPUTED_VALUE"""),34.645959)</f>
        <v>34.645958999999998</v>
      </c>
      <c r="AV887" s="8">
        <f ca="1">IFERROR(__xludf.DUMMYFUNCTION("""COMPUTED_VALUE"""),-78.996894)</f>
        <v>-78.996893999999998</v>
      </c>
      <c r="AW887" s="8"/>
      <c r="AX887" s="8">
        <f ca="1">IFERROR(__xludf.DUMMYFUNCTION("""COMPUTED_VALUE"""),28358)</f>
        <v>28358</v>
      </c>
    </row>
    <row r="888" spans="1:50" ht="120" x14ac:dyDescent="0.2">
      <c r="A888" s="8" t="str">
        <f ca="1">IFERROR(__xludf.DUMMYFUNCTION("""COMPUTED_VALUE"""),"20221115TNMAN")</f>
        <v>20221115TNMAN</v>
      </c>
      <c r="B888" s="8">
        <f ca="1">IFERROR(__xludf.DUMMYFUNCTION("""COMPUTED_VALUE"""),11)</f>
        <v>11</v>
      </c>
      <c r="C888" s="8">
        <f ca="1">IFERROR(__xludf.DUMMYFUNCTION("""COMPUTED_VALUE"""),15)</f>
        <v>15</v>
      </c>
      <c r="D888" s="8">
        <f ca="1">IFERROR(__xludf.DUMMYFUNCTION("""COMPUTED_VALUE"""),2022)</f>
        <v>2022</v>
      </c>
      <c r="E888" s="9">
        <f ca="1">IFERROR(__xludf.DUMMYFUNCTION("""COMPUTED_VALUE"""),44880)</f>
        <v>44880</v>
      </c>
      <c r="F888" s="8" t="str">
        <f ca="1">IFERROR(__xludf.DUMMYFUNCTION("""COMPUTED_VALUE"""),"Martin Luther King Jr. Magnet High School")</f>
        <v>Martin Luther King Jr. Magnet High School</v>
      </c>
      <c r="G888" s="8">
        <f ca="1">IFERROR(__xludf.DUMMYFUNCTION("""COMPUTED_VALUE"""),1)</f>
        <v>1</v>
      </c>
      <c r="H888" s="8">
        <f ca="1">IFERROR(__xludf.DUMMYFUNCTION("""COMPUTED_VALUE"""),0)</f>
        <v>0</v>
      </c>
      <c r="I888" s="8">
        <f ca="1">IFERROR(__xludf.DUMMYFUNCTION("""COMPUTED_VALUE"""),1)</f>
        <v>1</v>
      </c>
      <c r="J888" s="8">
        <f ca="1">IFERROR(__xludf.DUMMYFUNCTION("""COMPUTED_VALUE"""),0)</f>
        <v>0</v>
      </c>
      <c r="K888" s="10" t="str">
        <f ca="1">IFERROR(__xludf.DUMMYFUNCTION("""COMPUTED_VALUE"""),"https://fox17.com/news/local/19-year-old-female-killed-in-shooting
https://www.wsmv.com/2022/11/15/metro-police-investigating-after-19-year-old-shot-killed/")</f>
        <v>https://fox17.com/news/local/19-year-old-female-killed-in-shooting
https://www.wsmv.com/2022/11/15/metro-police-investigating-after-19-year-old-shot-killed/</v>
      </c>
      <c r="L888" s="8">
        <f ca="1">IFERROR(__xludf.DUMMYFUNCTION("""COMPUTED_VALUE"""),5)</f>
        <v>5</v>
      </c>
      <c r="M888" s="8" t="str">
        <f ca="1">IFERROR(__xludf.DUMMYFUNCTION("""COMPUTED_VALUE"""),"Local")</f>
        <v>Local</v>
      </c>
      <c r="N888" s="8">
        <f ca="1">IFERROR(__xludf.DUMMYFUNCTION("""COMPUTED_VALUE"""),4)</f>
        <v>4</v>
      </c>
      <c r="O888" s="8" t="str">
        <f ca="1">IFERROR(__xludf.DUMMYFUNCTION("""COMPUTED_VALUE"""),"Fall")</f>
        <v>Fall</v>
      </c>
      <c r="P888" s="8" t="str">
        <f ca="1">IFERROR(__xludf.DUMMYFUNCTION("""COMPUTED_VALUE"""),"Nashville")</f>
        <v>Nashville</v>
      </c>
      <c r="Q888" s="8" t="str">
        <f ca="1">IFERROR(__xludf.DUMMYFUNCTION("""COMPUTED_VALUE"""),"TN")</f>
        <v>TN</v>
      </c>
      <c r="R888" s="8" t="str">
        <f ca="1">IFERROR(__xludf.DUMMYFUNCTION("""COMPUTED_VALUE"""),"High")</f>
        <v>High</v>
      </c>
      <c r="S888" s="8" t="str">
        <f ca="1">IFERROR(__xludf.DUMMYFUNCTION("""COMPUTED_VALUE"""),"Parking Lot")</f>
        <v>Parking Lot</v>
      </c>
      <c r="T888" s="8" t="str">
        <f ca="1">IFERROR(__xludf.DUMMYFUNCTION("""COMPUTED_VALUE"""),"Outside on School Property")</f>
        <v>Outside on School Property</v>
      </c>
      <c r="U888" s="8" t="str">
        <f ca="1">IFERROR(__xludf.DUMMYFUNCTION("""COMPUTED_VALUE"""),"No")</f>
        <v>No</v>
      </c>
      <c r="V888" s="8" t="str">
        <f ca="1">IFERROR(__xludf.DUMMYFUNCTION("""COMPUTED_VALUE"""),"Evening")</f>
        <v>Evening</v>
      </c>
      <c r="W888" s="11">
        <f ca="1">IFERROR(__xludf.DUMMYFUNCTION("""COMPUTED_VALUE"""),0.791666666666666)</f>
        <v>0.79166666666666596</v>
      </c>
      <c r="X888" s="8">
        <f ca="1">IFERROR(__xludf.DUMMYFUNCTION("""COMPUTED_VALUE"""),1)</f>
        <v>1</v>
      </c>
      <c r="Y888" s="12" t="str">
        <f ca="1">IFERROR(__xludf.DUMMYFUNCTION("""COMPUTED_VALUE"""),"19-year-old woman killed when shots were fired during fight in parking lot")</f>
        <v>19-year-old woman killed when shots were fired during fight in parking lot</v>
      </c>
      <c r="Z888" s="12" t="str">
        <f ca="1">IFERROR(__xludf.DUMMYFUNCTION("""COMPUTED_VALUE"""),"Witnesses said two females were fighting in the school parking lot, police said, when a small crowd surrounded them, and a man fired several rounds into the air and then into the group. The suspect reportedly left in a dark colored sedan as he continued t"&amp;"o fire rounds at another group, police said. According to a worker at the school, a play rehearsal was happening inside the high school when the shots rang out across the street.")</f>
        <v>Witnesses said two females were fighting in the school parking lot, police said, when a small crowd surrounded them, and a man fired several rounds into the air and then into the group. The suspect reportedly left in a dark colored sedan as he continued to fire rounds at another group, police said. According to a worker at the school, a play rehearsal was happening inside the high school when the shots rang out across the street.</v>
      </c>
      <c r="AA888" s="8" t="str">
        <f ca="1">IFERROR(__xludf.DUMMYFUNCTION("""COMPUTED_VALUE"""),"Escalation of Dispute")</f>
        <v>Escalation of Dispute</v>
      </c>
      <c r="AB888" s="8"/>
      <c r="AC888" s="8" t="str">
        <f ca="1">IFERROR(__xludf.DUMMYFUNCTION("""COMPUTED_VALUE"""),"Yes")</f>
        <v>Yes</v>
      </c>
      <c r="AD888" s="8" t="str">
        <f ca="1">IFERROR(__xludf.DUMMYFUNCTION("""COMPUTED_VALUE"""),"Victims Targeted")</f>
        <v>Victims Targeted</v>
      </c>
      <c r="AE888" s="8" t="str">
        <f ca="1">IFERROR(__xludf.DUMMYFUNCTION("""COMPUTED_VALUE"""),"No")</f>
        <v>No</v>
      </c>
      <c r="AF888" s="8"/>
      <c r="AG888" s="8" t="str">
        <f ca="1">IFERROR(__xludf.DUMMYFUNCTION("""COMPUTED_VALUE"""),"No")</f>
        <v>No</v>
      </c>
      <c r="AH888" s="8" t="str">
        <f ca="1">IFERROR(__xludf.DUMMYFUNCTION("""COMPUTED_VALUE"""),"No")</f>
        <v>No</v>
      </c>
      <c r="AI888" s="8" t="str">
        <f ca="1">IFERROR(__xludf.DUMMYFUNCTION("""COMPUTED_VALUE"""),"No")</f>
        <v>No</v>
      </c>
      <c r="AJ888" s="8" t="str">
        <f ca="1">IFERROR(__xludf.DUMMYFUNCTION("""COMPUTED_VALUE"""),"No")</f>
        <v>No</v>
      </c>
      <c r="AK888" s="8" t="str">
        <f ca="1">IFERROR(__xludf.DUMMYFUNCTION("""COMPUTED_VALUE"""),"No")</f>
        <v>No</v>
      </c>
      <c r="AL888" s="8" t="str">
        <f ca="1">IFERROR(__xludf.DUMMYFUNCTION("""COMPUTED_VALUE"""),"No")</f>
        <v>No</v>
      </c>
      <c r="AM888" s="8" t="str">
        <f ca="1">IFERROR(__xludf.DUMMYFUNCTION("""COMPUTED_VALUE"""),"No")</f>
        <v>No</v>
      </c>
      <c r="AN888" s="8" t="str">
        <f ca="1">IFERROR(__xludf.DUMMYFUNCTION("""COMPUTED_VALUE"""),"Outside")</f>
        <v>Outside</v>
      </c>
      <c r="AO888" s="8" t="str">
        <f ca="1">IFERROR(__xludf.DUMMYFUNCTION("""COMPUTED_VALUE"""),"No")</f>
        <v>No</v>
      </c>
      <c r="AP888" s="8"/>
      <c r="AQ888" s="8"/>
      <c r="AR888" s="8" t="str">
        <f ca="1">IFERROR(__xludf.DUMMYFUNCTION("""COMPUTED_VALUE"""),"Outside/Off-Property")</f>
        <v>Outside/Off-Property</v>
      </c>
      <c r="AS888" s="8">
        <f ca="1">IFERROR(__xludf.DUMMYFUNCTION("""COMPUTED_VALUE"""),99)</f>
        <v>99</v>
      </c>
      <c r="AT888" s="8"/>
      <c r="AU888" s="8">
        <f ca="1">IFERROR(__xludf.DUMMYFUNCTION("""COMPUTED_VALUE"""),36.162018)</f>
        <v>36.162018000000003</v>
      </c>
      <c r="AV888" s="8">
        <f ca="1">IFERROR(__xludf.DUMMYFUNCTION("""COMPUTED_VALUE"""),-86.800533)</f>
        <v>-86.800533000000001</v>
      </c>
      <c r="AW888" s="8"/>
      <c r="AX888" s="8">
        <f ca="1">IFERROR(__xludf.DUMMYFUNCTION("""COMPUTED_VALUE"""),37203)</f>
        <v>37203</v>
      </c>
    </row>
    <row r="889" spans="1:50" ht="225" x14ac:dyDescent="0.2">
      <c r="A889" s="8" t="str">
        <f ca="1">IFERROR(__xludf.DUMMYFUNCTION("""COMPUTED_VALUE"""),"20221115LABAB")</f>
        <v>20221115LABAB</v>
      </c>
      <c r="B889" s="8">
        <f ca="1">IFERROR(__xludf.DUMMYFUNCTION("""COMPUTED_VALUE"""),11)</f>
        <v>11</v>
      </c>
      <c r="C889" s="8">
        <f ca="1">IFERROR(__xludf.DUMMYFUNCTION("""COMPUTED_VALUE"""),15)</f>
        <v>15</v>
      </c>
      <c r="D889" s="8">
        <f ca="1">IFERROR(__xludf.DUMMYFUNCTION("""COMPUTED_VALUE"""),2022)</f>
        <v>2022</v>
      </c>
      <c r="E889" s="9">
        <f ca="1">IFERROR(__xludf.DUMMYFUNCTION("""COMPUTED_VALUE"""),44880)</f>
        <v>44880</v>
      </c>
      <c r="F889" s="8" t="str">
        <f ca="1">IFERROR(__xludf.DUMMYFUNCTION("""COMPUTED_VALUE"""),"Ball Elementary School")</f>
        <v>Ball Elementary School</v>
      </c>
      <c r="G889" s="8">
        <f ca="1">IFERROR(__xludf.DUMMYFUNCTION("""COMPUTED_VALUE"""),0)</f>
        <v>0</v>
      </c>
      <c r="H889" s="8">
        <f ca="1">IFERROR(__xludf.DUMMYFUNCTION("""COMPUTED_VALUE"""),2)</f>
        <v>2</v>
      </c>
      <c r="I889" s="8">
        <f ca="1">IFERROR(__xludf.DUMMYFUNCTION("""COMPUTED_VALUE"""),2)</f>
        <v>2</v>
      </c>
      <c r="J889" s="8">
        <f ca="1">IFERROR(__xludf.DUMMYFUNCTION("""COMPUTED_VALUE"""),0)</f>
        <v>0</v>
      </c>
      <c r="K889" s="10" t="str">
        <f ca="1">IFERROR(__xludf.DUMMYFUNCTION("""COMPUTED_VALUE"""),"https://www.kalb.com/2022/11/15/2-people-shot-near-camp-livingston-road-ball/")</f>
        <v>https://www.kalb.com/2022/11/15/2-people-shot-near-camp-livingston-road-ball/</v>
      </c>
      <c r="L889" s="8">
        <f ca="1">IFERROR(__xludf.DUMMYFUNCTION("""COMPUTED_VALUE"""),1)</f>
        <v>1</v>
      </c>
      <c r="M889" s="8" t="str">
        <f ca="1">IFERROR(__xludf.DUMMYFUNCTION("""COMPUTED_VALUE"""),"Local")</f>
        <v>Local</v>
      </c>
      <c r="N889" s="8">
        <f ca="1">IFERROR(__xludf.DUMMYFUNCTION("""COMPUTED_VALUE"""),4)</f>
        <v>4</v>
      </c>
      <c r="O889" s="8" t="str">
        <f ca="1">IFERROR(__xludf.DUMMYFUNCTION("""COMPUTED_VALUE"""),"Fall")</f>
        <v>Fall</v>
      </c>
      <c r="P889" s="8" t="str">
        <f ca="1">IFERROR(__xludf.DUMMYFUNCTION("""COMPUTED_VALUE"""),"Ball")</f>
        <v>Ball</v>
      </c>
      <c r="Q889" s="8" t="str">
        <f ca="1">IFERROR(__xludf.DUMMYFUNCTION("""COMPUTED_VALUE"""),"LA")</f>
        <v>LA</v>
      </c>
      <c r="R889" s="8" t="str">
        <f ca="1">IFERROR(__xludf.DUMMYFUNCTION("""COMPUTED_VALUE"""),"Elementary")</f>
        <v>Elementary</v>
      </c>
      <c r="S889" s="8" t="str">
        <f ca="1">IFERROR(__xludf.DUMMYFUNCTION("""COMPUTED_VALUE"""),"Parking Lot")</f>
        <v>Parking Lot</v>
      </c>
      <c r="T889" s="8" t="str">
        <f ca="1">IFERROR(__xludf.DUMMYFUNCTION("""COMPUTED_VALUE"""),"Outside on School Property")</f>
        <v>Outside on School Property</v>
      </c>
      <c r="U889" s="8" t="str">
        <f ca="1">IFERROR(__xludf.DUMMYFUNCTION("""COMPUTED_VALUE"""),"Yes")</f>
        <v>Yes</v>
      </c>
      <c r="V889" s="8" t="str">
        <f ca="1">IFERROR(__xludf.DUMMYFUNCTION("""COMPUTED_VALUE"""),"Afternoon Classes")</f>
        <v>Afternoon Classes</v>
      </c>
      <c r="W889" s="11">
        <f ca="1">IFERROR(__xludf.DUMMYFUNCTION("""COMPUTED_VALUE"""),0.559722222222222)</f>
        <v>0.55972222222222201</v>
      </c>
      <c r="X889" s="8">
        <f ca="1">IFERROR(__xludf.DUMMYFUNCTION("""COMPUTED_VALUE"""),1)</f>
        <v>1</v>
      </c>
      <c r="Y889" s="12" t="str">
        <f ca="1">IFERROR(__xludf.DUMMYFUNCTION("""COMPUTED_VALUE"""),"2 men shot in parking lot during afternoon classes, wounded man with gun attempted to enter school")</f>
        <v>2 men shot in parking lot during afternoon classes, wounded man with gun attempted to enter school</v>
      </c>
      <c r="Z889" s="12" t="str">
        <f ca="1">IFERROR(__xludf.DUMMYFUNCTION("""COMPUTED_VALUE"""),"The Ball Police Department said around 1:26 p.m., they responded to Ball Elementary School in reference to a person there with a gunshot wound. Officers arrived within minutes and made contact with the RPSO School Resource Officer, who had custody of a wh"&amp;"ite male with a gunshot wound in his arm. The SRO said the male came up to the school with a gunshot wound and was found to be armed. The SRO took him into custody and recovered a firearm. It was determined that two people, one being a juvenile, were cond"&amp;"ucting a drug deal in the school parking lot. An altercation happened where both people sustained non-life-threatening gunshot wounds. The juvenile was taken into custody, treated at a local hospital, then released and booked into the Renaissance Home for"&amp;" Youth. The other suspect remains in the hospital in the custody of officers.")</f>
        <v>The Ball Police Department said around 1:26 p.m., they responded to Ball Elementary School in reference to a person there with a gunshot wound. Officers arrived within minutes and made contact with the RPSO School Resource Officer, who had custody of a white male with a gunshot wound in his arm. The SRO said the male came up to the school with a gunshot wound and was found to be armed. The SRO took him into custody and recovered a firearm. It was determined that two people, one being a juvenile, were conducting a drug deal in the school parking lot. An altercation happened where both people sustained non-life-threatening gunshot wounds. The juvenile was taken into custody, treated at a local hospital, then released and booked into the Renaissance Home for Youth. The other suspect remains in the hospital in the custody of officers.</v>
      </c>
      <c r="AA889" s="8" t="str">
        <f ca="1">IFERROR(__xludf.DUMMYFUNCTION("""COMPUTED_VALUE"""),"Illegal Activity")</f>
        <v>Illegal Activity</v>
      </c>
      <c r="AB889" s="8"/>
      <c r="AC889" s="8" t="str">
        <f ca="1">IFERROR(__xludf.DUMMYFUNCTION("""COMPUTED_VALUE"""),"Yes")</f>
        <v>Yes</v>
      </c>
      <c r="AD889" s="8" t="str">
        <f ca="1">IFERROR(__xludf.DUMMYFUNCTION("""COMPUTED_VALUE"""),"Victims Targeted")</f>
        <v>Victims Targeted</v>
      </c>
      <c r="AE889" s="8"/>
      <c r="AF889" s="8"/>
      <c r="AG889" s="8" t="str">
        <f ca="1">IFERROR(__xludf.DUMMYFUNCTION("""COMPUTED_VALUE"""),"No")</f>
        <v>No</v>
      </c>
      <c r="AH889" s="8" t="str">
        <f ca="1">IFERROR(__xludf.DUMMYFUNCTION("""COMPUTED_VALUE"""),"No")</f>
        <v>No</v>
      </c>
      <c r="AI889" s="8" t="str">
        <f ca="1">IFERROR(__xludf.DUMMYFUNCTION("""COMPUTED_VALUE"""),"No")</f>
        <v>No</v>
      </c>
      <c r="AJ889" s="8" t="str">
        <f ca="1">IFERROR(__xludf.DUMMYFUNCTION("""COMPUTED_VALUE"""),"No")</f>
        <v>No</v>
      </c>
      <c r="AK889" s="8" t="str">
        <f ca="1">IFERROR(__xludf.DUMMYFUNCTION("""COMPUTED_VALUE"""),"No")</f>
        <v>No</v>
      </c>
      <c r="AL889" s="8"/>
      <c r="AM889" s="8" t="str">
        <f ca="1">IFERROR(__xludf.DUMMYFUNCTION("""COMPUTED_VALUE"""),"No")</f>
        <v>No</v>
      </c>
      <c r="AN889" s="8" t="str">
        <f ca="1">IFERROR(__xludf.DUMMYFUNCTION("""COMPUTED_VALUE"""),"Outside")</f>
        <v>Outside</v>
      </c>
      <c r="AO889" s="8" t="str">
        <f ca="1">IFERROR(__xludf.DUMMYFUNCTION("""COMPUTED_VALUE"""),"No")</f>
        <v>No</v>
      </c>
      <c r="AP889" s="8"/>
      <c r="AQ889" s="8" t="str">
        <f ca="1">IFERROR(__xludf.DUMMYFUNCTION("""COMPUTED_VALUE"""),"Armed Guards")</f>
        <v>Armed Guards</v>
      </c>
      <c r="AR889" s="8" t="str">
        <f ca="1">IFERROR(__xludf.DUMMYFUNCTION("""COMPUTED_VALUE"""),"Outside/Off-Property")</f>
        <v>Outside/Off-Property</v>
      </c>
      <c r="AS889" s="8">
        <f ca="1">IFERROR(__xludf.DUMMYFUNCTION("""COMPUTED_VALUE"""),99)</f>
        <v>99</v>
      </c>
      <c r="AT889" s="8"/>
      <c r="AU889" s="8">
        <f ca="1">IFERROR(__xludf.DUMMYFUNCTION("""COMPUTED_VALUE"""),31.417272)</f>
        <v>31.417272000000001</v>
      </c>
      <c r="AV889" s="8">
        <f ca="1">IFERROR(__xludf.DUMMYFUNCTION("""COMPUTED_VALUE"""),-92.40442)</f>
        <v>-92.404420000000002</v>
      </c>
      <c r="AW889" s="8"/>
      <c r="AX889" s="8">
        <f ca="1">IFERROR(__xludf.DUMMYFUNCTION("""COMPUTED_VALUE"""),71405)</f>
        <v>71405</v>
      </c>
    </row>
    <row r="890" spans="1:50" ht="75" x14ac:dyDescent="0.2">
      <c r="A890" s="8" t="str">
        <f ca="1">IFERROR(__xludf.DUMMYFUNCTION("""COMPUTED_VALUE"""),"20221112FLJOO")</f>
        <v>20221112FLJOO</v>
      </c>
      <c r="B890" s="8">
        <f ca="1">IFERROR(__xludf.DUMMYFUNCTION("""COMPUTED_VALUE"""),11)</f>
        <v>11</v>
      </c>
      <c r="C890" s="8">
        <f ca="1">IFERROR(__xludf.DUMMYFUNCTION("""COMPUTED_VALUE"""),12)</f>
        <v>12</v>
      </c>
      <c r="D890" s="8">
        <f ca="1">IFERROR(__xludf.DUMMYFUNCTION("""COMPUTED_VALUE"""),2022)</f>
        <v>2022</v>
      </c>
      <c r="E890" s="9">
        <f ca="1">IFERROR(__xludf.DUMMYFUNCTION("""COMPUTED_VALUE"""),44877)</f>
        <v>44877</v>
      </c>
      <c r="F890" s="8" t="str">
        <f ca="1">IFERROR(__xludf.DUMMYFUNCTION("""COMPUTED_VALUE"""),"Jones High School")</f>
        <v>Jones High School</v>
      </c>
      <c r="G890" s="8">
        <f ca="1">IFERROR(__xludf.DUMMYFUNCTION("""COMPUTED_VALUE"""),1)</f>
        <v>1</v>
      </c>
      <c r="H890" s="8">
        <f ca="1">IFERROR(__xludf.DUMMYFUNCTION("""COMPUTED_VALUE"""),2)</f>
        <v>2</v>
      </c>
      <c r="I890" s="8">
        <f ca="1">IFERROR(__xludf.DUMMYFUNCTION("""COMPUTED_VALUE"""),3)</f>
        <v>3</v>
      </c>
      <c r="J890" s="8">
        <f ca="1">IFERROR(__xludf.DUMMYFUNCTION("""COMPUTED_VALUE"""),0)</f>
        <v>0</v>
      </c>
      <c r="K890" s="10" t="str">
        <f ca="1">IFERROR(__xludf.DUMMYFUNCTION("""COMPUTED_VALUE"""),"https://www.orlandosentinel.com/news/breaking-news/os-ne-jones-wekiva-playoff-game-disturbance-20221113-4zr37i7n2rbubkpejuld36q4wq-story.html
https://www.palmbeachpost.com/story/sports/high-school/2022/11/12/parking-lot-shooting-halts-high-school-football"&amp;"-playoff-game-orlando/10687560002/")</f>
        <v>https://www.orlandosentinel.com/news/breaking-news/os-ne-jones-wekiva-playoff-game-disturbance-20221113-4zr37i7n2rbubkpejuld36q4wq-story.html
https://www.palmbeachpost.com/story/sports/high-school/2022/11/12/parking-lot-shooting-halts-high-school-football-playoff-game-orlando/10687560002/</v>
      </c>
      <c r="L890" s="8">
        <f ca="1">IFERROR(__xludf.DUMMYFUNCTION("""COMPUTED_VALUE"""),10)</f>
        <v>10</v>
      </c>
      <c r="M890" s="8" t="str">
        <f ca="1">IFERROR(__xludf.DUMMYFUNCTION("""COMPUTED_VALUE"""),"Regional")</f>
        <v>Regional</v>
      </c>
      <c r="N890" s="8">
        <f ca="1">IFERROR(__xludf.DUMMYFUNCTION("""COMPUTED_VALUE"""),4)</f>
        <v>4</v>
      </c>
      <c r="O890" s="8" t="str">
        <f ca="1">IFERROR(__xludf.DUMMYFUNCTION("""COMPUTED_VALUE"""),"Fall")</f>
        <v>Fall</v>
      </c>
      <c r="P890" s="8" t="str">
        <f ca="1">IFERROR(__xludf.DUMMYFUNCTION("""COMPUTED_VALUE"""),"Orlando")</f>
        <v>Orlando</v>
      </c>
      <c r="Q890" s="8" t="str">
        <f ca="1">IFERROR(__xludf.DUMMYFUNCTION("""COMPUTED_VALUE"""),"FL")</f>
        <v>FL</v>
      </c>
      <c r="R890" s="8" t="str">
        <f ca="1">IFERROR(__xludf.DUMMYFUNCTION("""COMPUTED_VALUE"""),"High")</f>
        <v>High</v>
      </c>
      <c r="S890" s="8" t="str">
        <f ca="1">IFERROR(__xludf.DUMMYFUNCTION("""COMPUTED_VALUE"""),"Parking Lot")</f>
        <v>Parking Lot</v>
      </c>
      <c r="T890" s="8" t="str">
        <f ca="1">IFERROR(__xludf.DUMMYFUNCTION("""COMPUTED_VALUE"""),"Outside on School Property")</f>
        <v>Outside on School Property</v>
      </c>
      <c r="U890" s="8" t="str">
        <f ca="1">IFERROR(__xludf.DUMMYFUNCTION("""COMPUTED_VALUE"""),"No")</f>
        <v>No</v>
      </c>
      <c r="V890" s="8" t="str">
        <f ca="1">IFERROR(__xludf.DUMMYFUNCTION("""COMPUTED_VALUE"""),"Sport Event")</f>
        <v>Sport Event</v>
      </c>
      <c r="W890" s="11">
        <f ca="1">IFERROR(__xludf.DUMMYFUNCTION("""COMPUTED_VALUE"""),0.881944444444444)</f>
        <v>0.88194444444444398</v>
      </c>
      <c r="X890" s="8">
        <f ca="1">IFERROR(__xludf.DUMMYFUNCTION("""COMPUTED_VALUE"""),1)</f>
        <v>1</v>
      </c>
      <c r="Y890" s="12" t="str">
        <f ca="1">IFERROR(__xludf.DUMMYFUNCTION("""COMPUTED_VALUE"""),"3 men shot in parking lot next to stadium during high school playoff game")</f>
        <v>3 men shot in parking lot next to stadium during high school playoff game</v>
      </c>
      <c r="Z890" s="12" t="str">
        <f ca="1">IFERROR(__xludf.DUMMYFUNCTION("""COMPUTED_VALUE"""),"Shots fired in the parking lot with 1:40 remaining in the game. Fans evacuated the stadium and players took cover on the field. One man was killed and two were wounded near the fence between the parking lot and the stadium. Police arrested 4 people.")</f>
        <v>Shots fired in the parking lot with 1:40 remaining in the game. Fans evacuated the stadium and players took cover on the field. One man was killed and two were wounded near the fence between the parking lot and the stadium. Police arrested 4 people.</v>
      </c>
      <c r="AA890" s="8" t="str">
        <f ca="1">IFERROR(__xludf.DUMMYFUNCTION("""COMPUTED_VALUE"""),"Escalation of Dispute")</f>
        <v>Escalation of Dispute</v>
      </c>
      <c r="AB890" s="8"/>
      <c r="AC890" s="8" t="str">
        <f ca="1">IFERROR(__xludf.DUMMYFUNCTION("""COMPUTED_VALUE"""),"Yes")</f>
        <v>Yes</v>
      </c>
      <c r="AD890" s="8" t="str">
        <f ca="1">IFERROR(__xludf.DUMMYFUNCTION("""COMPUTED_VALUE"""),"Victims Targeted")</f>
        <v>Victims Targeted</v>
      </c>
      <c r="AE890" s="8" t="str">
        <f ca="1">IFERROR(__xludf.DUMMYFUNCTION("""COMPUTED_VALUE"""),"Yes")</f>
        <v>Yes</v>
      </c>
      <c r="AF890" s="8" t="str">
        <f ca="1">IFERROR(__xludf.DUMMYFUNCTION("""COMPUTED_VALUE"""),"4 men arrested")</f>
        <v>4 men arrested</v>
      </c>
      <c r="AG890" s="8" t="str">
        <f ca="1">IFERROR(__xludf.DUMMYFUNCTION("""COMPUTED_VALUE"""),"No")</f>
        <v>No</v>
      </c>
      <c r="AH890" s="8" t="str">
        <f ca="1">IFERROR(__xludf.DUMMYFUNCTION("""COMPUTED_VALUE"""),"No")</f>
        <v>No</v>
      </c>
      <c r="AI890" s="8" t="str">
        <f ca="1">IFERROR(__xludf.DUMMYFUNCTION("""COMPUTED_VALUE"""),"No")</f>
        <v>No</v>
      </c>
      <c r="AJ890" s="8" t="str">
        <f ca="1">IFERROR(__xludf.DUMMYFUNCTION("""COMPUTED_VALUE"""),"No")</f>
        <v>No</v>
      </c>
      <c r="AK890" s="8" t="str">
        <f ca="1">IFERROR(__xludf.DUMMYFUNCTION("""COMPUTED_VALUE"""),"No")</f>
        <v>No</v>
      </c>
      <c r="AL890" s="8"/>
      <c r="AM890" s="8" t="str">
        <f ca="1">IFERROR(__xludf.DUMMYFUNCTION("""COMPUTED_VALUE"""),"No")</f>
        <v>No</v>
      </c>
      <c r="AN890" s="8" t="str">
        <f ca="1">IFERROR(__xludf.DUMMYFUNCTION("""COMPUTED_VALUE"""),"Outside")</f>
        <v>Outside</v>
      </c>
      <c r="AO890" s="8" t="str">
        <f ca="1">IFERROR(__xludf.DUMMYFUNCTION("""COMPUTED_VALUE"""),"No")</f>
        <v>No</v>
      </c>
      <c r="AP890" s="8"/>
      <c r="AQ890" s="8" t="str">
        <f ca="1">IFERROR(__xludf.DUMMYFUNCTION("""COMPUTED_VALUE"""),"Armed Guards")</f>
        <v>Armed Guards</v>
      </c>
      <c r="AR890" s="8" t="str">
        <f ca="1">IFERROR(__xludf.DUMMYFUNCTION("""COMPUTED_VALUE"""),"Outside/Off-Property")</f>
        <v>Outside/Off-Property</v>
      </c>
      <c r="AS890" s="8">
        <f ca="1">IFERROR(__xludf.DUMMYFUNCTION("""COMPUTED_VALUE"""),99)</f>
        <v>99</v>
      </c>
      <c r="AT890" s="8"/>
      <c r="AU890" s="8">
        <f ca="1">IFERROR(__xludf.DUMMYFUNCTION("""COMPUTED_VALUE"""),28.533093)</f>
        <v>28.533093000000001</v>
      </c>
      <c r="AV890" s="8">
        <f ca="1">IFERROR(__xludf.DUMMYFUNCTION("""COMPUTED_VALUE"""),-81.399811)</f>
        <v>-81.399811</v>
      </c>
      <c r="AW890" s="8"/>
      <c r="AX890" s="8">
        <f ca="1">IFERROR(__xludf.DUMMYFUNCTION("""COMPUTED_VALUE"""),32805)</f>
        <v>32805</v>
      </c>
    </row>
    <row r="891" spans="1:50" ht="45" x14ac:dyDescent="0.2">
      <c r="A891" s="8" t="str">
        <f ca="1">IFERROR(__xludf.DUMMYFUNCTION("""COMPUTED_VALUE"""),"20221111MSRAR")</f>
        <v>20221111MSRAR</v>
      </c>
      <c r="B891" s="8">
        <f ca="1">IFERROR(__xludf.DUMMYFUNCTION("""COMPUTED_VALUE"""),11)</f>
        <v>11</v>
      </c>
      <c r="C891" s="8">
        <f ca="1">IFERROR(__xludf.DUMMYFUNCTION("""COMPUTED_VALUE"""),11)</f>
        <v>11</v>
      </c>
      <c r="D891" s="8">
        <f ca="1">IFERROR(__xludf.DUMMYFUNCTION("""COMPUTED_VALUE"""),2022)</f>
        <v>2022</v>
      </c>
      <c r="E891" s="9">
        <f ca="1">IFERROR(__xludf.DUMMYFUNCTION("""COMPUTED_VALUE"""),44876)</f>
        <v>44876</v>
      </c>
      <c r="F891" s="8" t="str">
        <f ca="1">IFERROR(__xludf.DUMMYFUNCTION("""COMPUTED_VALUE"""),"Raymond High School")</f>
        <v>Raymond High School</v>
      </c>
      <c r="G891" s="8">
        <f ca="1">IFERROR(__xludf.DUMMYFUNCTION("""COMPUTED_VALUE"""),0)</f>
        <v>0</v>
      </c>
      <c r="H891" s="8">
        <f ca="1">IFERROR(__xludf.DUMMYFUNCTION("""COMPUTED_VALUE"""),1)</f>
        <v>1</v>
      </c>
      <c r="I891" s="8">
        <f ca="1">IFERROR(__xludf.DUMMYFUNCTION("""COMPUTED_VALUE"""),1)</f>
        <v>1</v>
      </c>
      <c r="J891" s="8">
        <f ca="1">IFERROR(__xludf.DUMMYFUNCTION("""COMPUTED_VALUE"""),0)</f>
        <v>0</v>
      </c>
      <c r="K891" s="10" t="str">
        <f ca="1">IFERROR(__xludf.DUMMYFUNCTION("""COMPUTED_VALUE"""),"https://www.wapt.com/article/hinds-county-sheriff-investigating-shooting-at-raymond-high-school/41941297#")</f>
        <v>https://www.wapt.com/article/hinds-county-sheriff-investigating-shooting-at-raymond-high-school/41941297#</v>
      </c>
      <c r="L891" s="8">
        <f ca="1">IFERROR(__xludf.DUMMYFUNCTION("""COMPUTED_VALUE"""),2)</f>
        <v>2</v>
      </c>
      <c r="M891" s="8" t="str">
        <f ca="1">IFERROR(__xludf.DUMMYFUNCTION("""COMPUTED_VALUE"""),"Local")</f>
        <v>Local</v>
      </c>
      <c r="N891" s="8">
        <f ca="1">IFERROR(__xludf.DUMMYFUNCTION("""COMPUTED_VALUE"""),4)</f>
        <v>4</v>
      </c>
      <c r="O891" s="8" t="str">
        <f ca="1">IFERROR(__xludf.DUMMYFUNCTION("""COMPUTED_VALUE"""),"Fall")</f>
        <v>Fall</v>
      </c>
      <c r="P891" s="8" t="str">
        <f ca="1">IFERROR(__xludf.DUMMYFUNCTION("""COMPUTED_VALUE"""),"Raymond")</f>
        <v>Raymond</v>
      </c>
      <c r="Q891" s="8" t="str">
        <f ca="1">IFERROR(__xludf.DUMMYFUNCTION("""COMPUTED_VALUE"""),"MS")</f>
        <v>MS</v>
      </c>
      <c r="R891" s="8" t="str">
        <f ca="1">IFERROR(__xludf.DUMMYFUNCTION("""COMPUTED_VALUE"""),"High")</f>
        <v>High</v>
      </c>
      <c r="S891" s="8" t="str">
        <f ca="1">IFERROR(__xludf.DUMMYFUNCTION("""COMPUTED_VALUE"""),"Parking Lot")</f>
        <v>Parking Lot</v>
      </c>
      <c r="T891" s="8" t="str">
        <f ca="1">IFERROR(__xludf.DUMMYFUNCTION("""COMPUTED_VALUE"""),"Outside on School Property")</f>
        <v>Outside on School Property</v>
      </c>
      <c r="U891" s="8" t="str">
        <f ca="1">IFERROR(__xludf.DUMMYFUNCTION("""COMPUTED_VALUE"""),"No")</f>
        <v>No</v>
      </c>
      <c r="V891" s="8" t="str">
        <f ca="1">IFERROR(__xludf.DUMMYFUNCTION("""COMPUTED_VALUE"""),"Sport Event")</f>
        <v>Sport Event</v>
      </c>
      <c r="W891" s="11">
        <f ca="1">IFERROR(__xludf.DUMMYFUNCTION("""COMPUTED_VALUE"""),0.916666666666666)</f>
        <v>0.91666666666666596</v>
      </c>
      <c r="X891" s="8">
        <f ca="1">IFERROR(__xludf.DUMMYFUNCTION("""COMPUTED_VALUE"""),1)</f>
        <v>1</v>
      </c>
      <c r="Y891" s="12" t="str">
        <f ca="1">IFERROR(__xludf.DUMMYFUNCTION("""COMPUTED_VALUE"""),"Man shot in parking lot after basketball game")</f>
        <v>Man shot in parking lot after basketball game</v>
      </c>
      <c r="Z891" s="12" t="str">
        <f ca="1">IFERROR(__xludf.DUMMYFUNCTION("""COMPUTED_VALUE"""),"21-year-old woman was shot in the parking lot after a high school basketball game. Shooter fled. Police do not believe she was the intended target.")</f>
        <v>21-year-old woman was shot in the parking lot after a high school basketball game. Shooter fled. Police do not believe she was the intended target.</v>
      </c>
      <c r="AA891" s="8"/>
      <c r="AB891" s="8"/>
      <c r="AC891" s="8" t="str">
        <f ca="1">IFERROR(__xludf.DUMMYFUNCTION("""COMPUTED_VALUE"""),"Yes")</f>
        <v>Yes</v>
      </c>
      <c r="AD891" s="8" t="str">
        <f ca="1">IFERROR(__xludf.DUMMYFUNCTION("""COMPUTED_VALUE"""),"Both")</f>
        <v>Both</v>
      </c>
      <c r="AE891" s="8"/>
      <c r="AF891" s="8"/>
      <c r="AG891" s="8" t="str">
        <f ca="1">IFERROR(__xludf.DUMMYFUNCTION("""COMPUTED_VALUE"""),"No")</f>
        <v>No</v>
      </c>
      <c r="AH891" s="8" t="str">
        <f ca="1">IFERROR(__xludf.DUMMYFUNCTION("""COMPUTED_VALUE"""),"No")</f>
        <v>No</v>
      </c>
      <c r="AI891" s="8" t="str">
        <f ca="1">IFERROR(__xludf.DUMMYFUNCTION("""COMPUTED_VALUE"""),"No")</f>
        <v>No</v>
      </c>
      <c r="AJ891" s="8" t="str">
        <f ca="1">IFERROR(__xludf.DUMMYFUNCTION("""COMPUTED_VALUE"""),"No")</f>
        <v>No</v>
      </c>
      <c r="AK891" s="8" t="str">
        <f ca="1">IFERROR(__xludf.DUMMYFUNCTION("""COMPUTED_VALUE"""),"No")</f>
        <v>No</v>
      </c>
      <c r="AL891" s="8"/>
      <c r="AM891" s="8" t="str">
        <f ca="1">IFERROR(__xludf.DUMMYFUNCTION("""COMPUTED_VALUE"""),"No")</f>
        <v>No</v>
      </c>
      <c r="AN891" s="8" t="str">
        <f ca="1">IFERROR(__xludf.DUMMYFUNCTION("""COMPUTED_VALUE"""),"Outside")</f>
        <v>Outside</v>
      </c>
      <c r="AO891" s="8" t="str">
        <f ca="1">IFERROR(__xludf.DUMMYFUNCTION("""COMPUTED_VALUE"""),"No")</f>
        <v>No</v>
      </c>
      <c r="AP891" s="8"/>
      <c r="AQ891" s="8"/>
      <c r="AR891" s="8" t="str">
        <f ca="1">IFERROR(__xludf.DUMMYFUNCTION("""COMPUTED_VALUE"""),"Outside/Off-Property")</f>
        <v>Outside/Off-Property</v>
      </c>
      <c r="AS891" s="8"/>
      <c r="AT891" s="8"/>
      <c r="AU891" s="8">
        <f ca="1">IFERROR(__xludf.DUMMYFUNCTION("""COMPUTED_VALUE"""),32.245444)</f>
        <v>32.245443999999999</v>
      </c>
      <c r="AV891" s="8">
        <f ca="1">IFERROR(__xludf.DUMMYFUNCTION("""COMPUTED_VALUE"""),-90.438463)</f>
        <v>-90.438462999999999</v>
      </c>
      <c r="AW891" s="8"/>
      <c r="AX891" s="8">
        <f ca="1">IFERROR(__xludf.DUMMYFUNCTION("""COMPUTED_VALUE"""),39154)</f>
        <v>39154</v>
      </c>
    </row>
    <row r="892" spans="1:50" ht="180" x14ac:dyDescent="0.2">
      <c r="A892" s="8" t="str">
        <f ca="1">IFERROR(__xludf.DUMMYFUNCTION("""COMPUTED_VALUE"""),"20221109KYCAC")</f>
        <v>20221109KYCAC</v>
      </c>
      <c r="B892" s="8">
        <f ca="1">IFERROR(__xludf.DUMMYFUNCTION("""COMPUTED_VALUE"""),11)</f>
        <v>11</v>
      </c>
      <c r="C892" s="8">
        <f ca="1">IFERROR(__xludf.DUMMYFUNCTION("""COMPUTED_VALUE"""),9)</f>
        <v>9</v>
      </c>
      <c r="D892" s="8">
        <f ca="1">IFERROR(__xludf.DUMMYFUNCTION("""COMPUTED_VALUE"""),2022)</f>
        <v>2022</v>
      </c>
      <c r="E892" s="9">
        <f ca="1">IFERROR(__xludf.DUMMYFUNCTION("""COMPUTED_VALUE"""),44874)</f>
        <v>44874</v>
      </c>
      <c r="F892" s="8" t="str">
        <f ca="1">IFERROR(__xludf.DUMMYFUNCTION("""COMPUTED_VALUE"""),"Caneyville Elementary School")</f>
        <v>Caneyville Elementary School</v>
      </c>
      <c r="G892" s="8">
        <f ca="1">IFERROR(__xludf.DUMMYFUNCTION("""COMPUTED_VALUE"""),0)</f>
        <v>0</v>
      </c>
      <c r="H892" s="8">
        <f ca="1">IFERROR(__xludf.DUMMYFUNCTION("""COMPUTED_VALUE"""),0)</f>
        <v>0</v>
      </c>
      <c r="I892" s="8">
        <f ca="1">IFERROR(__xludf.DUMMYFUNCTION("""COMPUTED_VALUE"""),0)</f>
        <v>0</v>
      </c>
      <c r="J892" s="8">
        <f ca="1">IFERROR(__xludf.DUMMYFUNCTION("""COMPUTED_VALUE"""),0)</f>
        <v>0</v>
      </c>
      <c r="K892" s="10" t="str">
        <f ca="1">IFERROR(__xludf.DUMMYFUNCTION("""COMPUTED_VALUE"""),"https://www.wave3.com/2022/11/10/man-wounded-by-his-own-gun-accidental-shooting-elementary-school-hallway/")</f>
        <v>https://www.wave3.com/2022/11/10/man-wounded-by-his-own-gun-accidental-shooting-elementary-school-hallway/</v>
      </c>
      <c r="L892" s="8">
        <f ca="1">IFERROR(__xludf.DUMMYFUNCTION("""COMPUTED_VALUE"""),5)</f>
        <v>5</v>
      </c>
      <c r="M892" s="8" t="str">
        <f ca="1">IFERROR(__xludf.DUMMYFUNCTION("""COMPUTED_VALUE"""),"Regional")</f>
        <v>Regional</v>
      </c>
      <c r="N892" s="8">
        <f ca="1">IFERROR(__xludf.DUMMYFUNCTION("""COMPUTED_VALUE"""),4)</f>
        <v>4</v>
      </c>
      <c r="O892" s="8" t="str">
        <f ca="1">IFERROR(__xludf.DUMMYFUNCTION("""COMPUTED_VALUE"""),"Fall")</f>
        <v>Fall</v>
      </c>
      <c r="P892" s="8" t="str">
        <f ca="1">IFERROR(__xludf.DUMMYFUNCTION("""COMPUTED_VALUE"""),"Caneyville")</f>
        <v>Caneyville</v>
      </c>
      <c r="Q892" s="8" t="str">
        <f ca="1">IFERROR(__xludf.DUMMYFUNCTION("""COMPUTED_VALUE"""),"KY")</f>
        <v>KY</v>
      </c>
      <c r="R892" s="8" t="str">
        <f ca="1">IFERROR(__xludf.DUMMYFUNCTION("""COMPUTED_VALUE"""),"Elementary")</f>
        <v>Elementary</v>
      </c>
      <c r="S892" s="8" t="str">
        <f ca="1">IFERROR(__xludf.DUMMYFUNCTION("""COMPUTED_VALUE"""),"Hallway")</f>
        <v>Hallway</v>
      </c>
      <c r="T892" s="8" t="str">
        <f ca="1">IFERROR(__xludf.DUMMYFUNCTION("""COMPUTED_VALUE"""),"Inside School Building")</f>
        <v>Inside School Building</v>
      </c>
      <c r="U892" s="8" t="str">
        <f ca="1">IFERROR(__xludf.DUMMYFUNCTION("""COMPUTED_VALUE"""),"No")</f>
        <v>No</v>
      </c>
      <c r="V892" s="8" t="str">
        <f ca="1">IFERROR(__xludf.DUMMYFUNCTION("""COMPUTED_VALUE"""),"Sport Event")</f>
        <v>Sport Event</v>
      </c>
      <c r="W892" s="11">
        <f ca="1">IFERROR(__xludf.DUMMYFUNCTION("""COMPUTED_VALUE"""),0.8125)</f>
        <v>0.8125</v>
      </c>
      <c r="X892" s="8">
        <f ca="1">IFERROR(__xludf.DUMMYFUNCTION("""COMPUTED_VALUE"""),1)</f>
        <v>1</v>
      </c>
      <c r="Y892" s="12" t="str">
        <f ca="1">IFERROR(__xludf.DUMMYFUNCTION("""COMPUTED_VALUE"""),"Gun felt out of man's pants, fired when it hit the floor, and struck him")</f>
        <v>Gun felt out of man's pants, fired when it hit the floor, and struck him</v>
      </c>
      <c r="Z892" s="12" t="str">
        <f ca="1">IFERROR(__xludf.DUMMYFUNCTION("""COMPUTED_VALUE"""),"A man who was wounded by his own gun will face charges for having the weapon on the grounds of a school. The Grayson County Sheriff’s Office say the shooting happened at Caneyville Elementary School around 7:30 p.m. (Central Time) last night. Deputies cal"&amp;"led to the school about the shooting found Matthew C. Nash, 37, of Millwood, with a gunshot wound to the lower leg. Nash was airlifted to UofL Hospital. He was treated and released Thursday morning. Investigators say Nash was at the school to pickup his k"&amp;"ids from basketball practice. While running in the hallway with a small child, a 9mm gun Nash had fell to the ground and fired.")</f>
        <v>A man who was wounded by his own gun will face charges for having the weapon on the grounds of a school. The Grayson County Sheriff’s Office say the shooting happened at Caneyville Elementary School around 7:30 p.m. (Central Time) last night. Deputies called to the school about the shooting found Matthew C. Nash, 37, of Millwood, with a gunshot wound to the lower leg. Nash was airlifted to UofL Hospital. He was treated and released Thursday morning. Investigators say Nash was at the school to pickup his kids from basketball practice. While running in the hallway with a small child, a 9mm gun Nash had fell to the ground and fired.</v>
      </c>
      <c r="AA892" s="8" t="str">
        <f ca="1">IFERROR(__xludf.DUMMYFUNCTION("""COMPUTED_VALUE"""),"Accidental")</f>
        <v>Accidental</v>
      </c>
      <c r="AB892" s="8"/>
      <c r="AC892" s="8" t="str">
        <f ca="1">IFERROR(__xludf.DUMMYFUNCTION("""COMPUTED_VALUE"""),"Yes")</f>
        <v>Yes</v>
      </c>
      <c r="AD892" s="8" t="str">
        <f ca="1">IFERROR(__xludf.DUMMYFUNCTION("""COMPUTED_VALUE"""),"Neither")</f>
        <v>Neither</v>
      </c>
      <c r="AE892" s="8" t="str">
        <f ca="1">IFERROR(__xludf.DUMMYFUNCTION("""COMPUTED_VALUE"""),"No")</f>
        <v>No</v>
      </c>
      <c r="AF892" s="8"/>
      <c r="AG892" s="8" t="str">
        <f ca="1">IFERROR(__xludf.DUMMYFUNCTION("""COMPUTED_VALUE"""),"No")</f>
        <v>No</v>
      </c>
      <c r="AH892" s="8" t="str">
        <f ca="1">IFERROR(__xludf.DUMMYFUNCTION("""COMPUTED_VALUE"""),"No")</f>
        <v>No</v>
      </c>
      <c r="AI892" s="8" t="str">
        <f ca="1">IFERROR(__xludf.DUMMYFUNCTION("""COMPUTED_VALUE"""),"No")</f>
        <v>No</v>
      </c>
      <c r="AJ892" s="8" t="str">
        <f ca="1">IFERROR(__xludf.DUMMYFUNCTION("""COMPUTED_VALUE"""),"No")</f>
        <v>No</v>
      </c>
      <c r="AK892" s="8" t="str">
        <f ca="1">IFERROR(__xludf.DUMMYFUNCTION("""COMPUTED_VALUE"""),"No")</f>
        <v>No</v>
      </c>
      <c r="AL892" s="8" t="str">
        <f ca="1">IFERROR(__xludf.DUMMYFUNCTION("""COMPUTED_VALUE"""),"No")</f>
        <v>No</v>
      </c>
      <c r="AM892" s="8" t="str">
        <f ca="1">IFERROR(__xludf.DUMMYFUNCTION("""COMPUTED_VALUE"""),"No")</f>
        <v>No</v>
      </c>
      <c r="AN892" s="8" t="str">
        <f ca="1">IFERROR(__xludf.DUMMYFUNCTION("""COMPUTED_VALUE"""),"Hallway")</f>
        <v>Hallway</v>
      </c>
      <c r="AO892" s="8" t="str">
        <f ca="1">IFERROR(__xludf.DUMMYFUNCTION("""COMPUTED_VALUE"""),"No")</f>
        <v>No</v>
      </c>
      <c r="AP892" s="8"/>
      <c r="AQ892" s="8"/>
      <c r="AR892" s="8"/>
      <c r="AS892" s="8">
        <f ca="1">IFERROR(__xludf.DUMMYFUNCTION("""COMPUTED_VALUE"""),1)</f>
        <v>1</v>
      </c>
      <c r="AT892" s="8"/>
      <c r="AU892" s="8">
        <f ca="1">IFERROR(__xludf.DUMMYFUNCTION("""COMPUTED_VALUE"""),37.422366)</f>
        <v>37.422365999999997</v>
      </c>
      <c r="AV892" s="8">
        <f ca="1">IFERROR(__xludf.DUMMYFUNCTION("""COMPUTED_VALUE"""),-86.47617)</f>
        <v>-86.476169999999996</v>
      </c>
      <c r="AW892" s="8"/>
      <c r="AX892" s="8">
        <f ca="1">IFERROR(__xludf.DUMMYFUNCTION("""COMPUTED_VALUE"""),42721)</f>
        <v>42721</v>
      </c>
    </row>
    <row r="893" spans="1:50" ht="390" x14ac:dyDescent="0.2">
      <c r="A893" s="8" t="str">
        <f ca="1">IFERROR(__xludf.DUMMYFUNCTION("""COMPUTED_VALUE"""),"20221108WAINS")</f>
        <v>20221108WAINS</v>
      </c>
      <c r="B893" s="8">
        <f ca="1">IFERROR(__xludf.DUMMYFUNCTION("""COMPUTED_VALUE"""),11)</f>
        <v>11</v>
      </c>
      <c r="C893" s="8">
        <f ca="1">IFERROR(__xludf.DUMMYFUNCTION("""COMPUTED_VALUE"""),8)</f>
        <v>8</v>
      </c>
      <c r="D893" s="8">
        <f ca="1">IFERROR(__xludf.DUMMYFUNCTION("""COMPUTED_VALUE"""),2022)</f>
        <v>2022</v>
      </c>
      <c r="E893" s="9">
        <f ca="1">IFERROR(__xludf.DUMMYFUNCTION("""COMPUTED_VALUE"""),44873)</f>
        <v>44873</v>
      </c>
      <c r="F893" s="8" t="str">
        <f ca="1">IFERROR(__xludf.DUMMYFUNCTION("""COMPUTED_VALUE"""),"Ingraham High School")</f>
        <v>Ingraham High School</v>
      </c>
      <c r="G893" s="8">
        <f ca="1">IFERROR(__xludf.DUMMYFUNCTION("""COMPUTED_VALUE"""),1)</f>
        <v>1</v>
      </c>
      <c r="H893" s="8">
        <f ca="1">IFERROR(__xludf.DUMMYFUNCTION("""COMPUTED_VALUE"""),0)</f>
        <v>0</v>
      </c>
      <c r="I893" s="8">
        <f ca="1">IFERROR(__xludf.DUMMYFUNCTION("""COMPUTED_VALUE"""),1)</f>
        <v>1</v>
      </c>
      <c r="J893" s="8">
        <f ca="1">IFERROR(__xludf.DUMMYFUNCTION("""COMPUTED_VALUE"""),0)</f>
        <v>0</v>
      </c>
      <c r="K893" s="10" t="str">
        <f ca="1">IFERROR(__xludf.DUMMYFUNCTION("""COMPUTED_VALUE"""),"https://www.king5.com/article/news/crime/teen-who-shot-ingraham-high-school-student-to-death-pleads-guilty/281-3780f972-6846-4bcc-9879-0d470b192d90
https://katu.com/news/local/ingraham-high-school-shooting-seattle-stolen-gun-snohomish-county-police-king-c"&amp;"ounty-washington
https://www.seattletimes.com/seattle-news/law-justice/police-respond-to-report-of-shooting-at-north-seattle-school/
https://www.q13fox.com/news/ingraham-high-school-shooting-14-year-old-shot-student-in-the-back-multiple-times-court-docs-s"&amp;"ay")</f>
        <v>https://www.king5.com/article/news/crime/teen-who-shot-ingraham-high-school-student-to-death-pleads-guilty/281-3780f972-6846-4bcc-9879-0d470b192d90
https://katu.com/news/local/ingraham-high-school-shooting-seattle-stolen-gun-snohomish-county-police-king-county-washington
https://www.seattletimes.com/seattle-news/law-justice/police-respond-to-report-of-shooting-at-north-seattle-school/
https://www.q13fox.com/news/ingraham-high-school-shooting-14-year-old-shot-student-in-the-back-multiple-times-court-docs-say</v>
      </c>
      <c r="L893" s="8">
        <f ca="1">IFERROR(__xludf.DUMMYFUNCTION("""COMPUTED_VALUE"""),100)</f>
        <v>100</v>
      </c>
      <c r="M893" s="8" t="str">
        <f ca="1">IFERROR(__xludf.DUMMYFUNCTION("""COMPUTED_VALUE"""),"National")</f>
        <v>National</v>
      </c>
      <c r="N893" s="8">
        <f ca="1">IFERROR(__xludf.DUMMYFUNCTION("""COMPUTED_VALUE"""),4)</f>
        <v>4</v>
      </c>
      <c r="O893" s="8" t="str">
        <f ca="1">IFERROR(__xludf.DUMMYFUNCTION("""COMPUTED_VALUE"""),"Fall")</f>
        <v>Fall</v>
      </c>
      <c r="P893" s="8" t="str">
        <f ca="1">IFERROR(__xludf.DUMMYFUNCTION("""COMPUTED_VALUE"""),"Seattle")</f>
        <v>Seattle</v>
      </c>
      <c r="Q893" s="8" t="str">
        <f ca="1">IFERROR(__xludf.DUMMYFUNCTION("""COMPUTED_VALUE"""),"WA")</f>
        <v>WA</v>
      </c>
      <c r="R893" s="8" t="str">
        <f ca="1">IFERROR(__xludf.DUMMYFUNCTION("""COMPUTED_VALUE"""),"High")</f>
        <v>High</v>
      </c>
      <c r="S893" s="8" t="str">
        <f ca="1">IFERROR(__xludf.DUMMYFUNCTION("""COMPUTED_VALUE"""),"Hallway")</f>
        <v>Hallway</v>
      </c>
      <c r="T893" s="8" t="str">
        <f ca="1">IFERROR(__xludf.DUMMYFUNCTION("""COMPUTED_VALUE"""),"Inside School Building")</f>
        <v>Inside School Building</v>
      </c>
      <c r="U893" s="8" t="str">
        <f ca="1">IFERROR(__xludf.DUMMYFUNCTION("""COMPUTED_VALUE"""),"Yes")</f>
        <v>Yes</v>
      </c>
      <c r="V893" s="8" t="str">
        <f ca="1">IFERROR(__xludf.DUMMYFUNCTION("""COMPUTED_VALUE"""),"Morning Classes")</f>
        <v>Morning Classes</v>
      </c>
      <c r="W893" s="11">
        <f ca="1">IFERROR(__xludf.DUMMYFUNCTION("""COMPUTED_VALUE"""),0.413194444444444)</f>
        <v>0.41319444444444398</v>
      </c>
      <c r="X893" s="8">
        <f ca="1">IFERROR(__xludf.DUMMYFUNCTION("""COMPUTED_VALUE"""),1)</f>
        <v>1</v>
      </c>
      <c r="Y893" s="12" t="str">
        <f ca="1">IFERROR(__xludf.DUMMYFUNCTION("""COMPUTED_VALUE"""),"Student fatally shot in the hallway, shooter fled")</f>
        <v>Student fatally shot in the hallway, shooter fled</v>
      </c>
      <c r="Z893" s="12" t="str">
        <f ca="1">IFERROR(__xludf.DUMMYFUNCTION("""COMPUTED_VALUE"""),"Seattle police confirmed the student at Ingraham High School who was shot on Tuesday morning has died. According to charging documents, the suspect, victim and several other students were involved in a physical fight in the bathroom at the school. Investi"&amp;"gators said the reason for the fight was purportedly because the victim and his friends had learned that the suspect brought a gun to school and they wanted it. During the fight in the bathroom, the suspect's cell phone may have been taken. While leaving "&amp;"the bathroom, the victim was seen laughing at the opposing group as they left the area, which appeared to agitate the suspect, according to charging documents. About ten minutes later, the suspect asked to leave class to return to the bathroom, but the te"&amp;"acher denied the request. After class, witnesses told police that they saw the suspect and victim interact in the hallway at 9:55 a.m. The witness said they heard the victim say to the suspect ""you're not gonna bust it,"" implying shooting a gun. The wit"&amp;"ness said he saw the suspect was past the victim before pulling a gun out of his backpack and shooting the victim in the back multiple times. The school was in lockdown as officers searched the surrounding area for the suspect. The suspect was taken into "&amp;"custody shortly after 11 a.m., SPD Chief Adrian Diaz later confirmed to reporters. He was arrested on 145th and Aurora and had a weapon. Teen had been suspended for carrying a replica BB gun at school.")</f>
        <v>Seattle police confirmed the student at Ingraham High School who was shot on Tuesday morning has died. According to charging documents, the suspect, victim and several other students were involved in a physical fight in the bathroom at the school. Investigators said the reason for the fight was purportedly because the victim and his friends had learned that the suspect brought a gun to school and they wanted it. During the fight in the bathroom, the suspect's cell phone may have been taken. While leaving the bathroom, the victim was seen laughing at the opposing group as they left the area, which appeared to agitate the suspect, according to charging documents. About ten minutes later, the suspect asked to leave class to return to the bathroom, but the teacher denied the request. After class, witnesses told police that they saw the suspect and victim interact in the hallway at 9:55 a.m. The witness said they heard the victim say to the suspect "you're not gonna bust it," implying shooting a gun. The witness said he saw the suspect was past the victim before pulling a gun out of his backpack and shooting the victim in the back multiple times. The school was in lockdown as officers searched the surrounding area for the suspect. The suspect was taken into custody shortly after 11 a.m., SPD Chief Adrian Diaz later confirmed to reporters. He was arrested on 145th and Aurora and had a weapon. Teen had been suspended for carrying a replica BB gun at school.</v>
      </c>
      <c r="AA893" s="8" t="str">
        <f ca="1">IFERROR(__xludf.DUMMYFUNCTION("""COMPUTED_VALUE"""),"Escalation of Dispute")</f>
        <v>Escalation of Dispute</v>
      </c>
      <c r="AB893" s="8"/>
      <c r="AC893" s="8" t="str">
        <f ca="1">IFERROR(__xludf.DUMMYFUNCTION("""COMPUTED_VALUE"""),"Yes")</f>
        <v>Yes</v>
      </c>
      <c r="AD893" s="8" t="str">
        <f ca="1">IFERROR(__xludf.DUMMYFUNCTION("""COMPUTED_VALUE"""),"Victims Targeted")</f>
        <v>Victims Targeted</v>
      </c>
      <c r="AE893" s="8" t="str">
        <f ca="1">IFERROR(__xludf.DUMMYFUNCTION("""COMPUTED_VALUE"""),"Yes")</f>
        <v>Yes</v>
      </c>
      <c r="AF893" s="8" t="str">
        <f ca="1">IFERROR(__xludf.DUMMYFUNCTION("""COMPUTED_VALUE"""),"14YOM and 15YOM were arrested together after the shooting")</f>
        <v>14YOM and 15YOM were arrested together after the shooting</v>
      </c>
      <c r="AG893" s="8" t="str">
        <f ca="1">IFERROR(__xludf.DUMMYFUNCTION("""COMPUTED_VALUE"""),"No")</f>
        <v>No</v>
      </c>
      <c r="AH893" s="8" t="str">
        <f ca="1">IFERROR(__xludf.DUMMYFUNCTION("""COMPUTED_VALUE"""),"No")</f>
        <v>No</v>
      </c>
      <c r="AI893" s="8" t="str">
        <f ca="1">IFERROR(__xludf.DUMMYFUNCTION("""COMPUTED_VALUE"""),"No")</f>
        <v>No</v>
      </c>
      <c r="AJ893" s="8"/>
      <c r="AK893" s="8" t="str">
        <f ca="1">IFERROR(__xludf.DUMMYFUNCTION("""COMPUTED_VALUE"""),"No")</f>
        <v>No</v>
      </c>
      <c r="AL893" s="8"/>
      <c r="AM893" s="8" t="str">
        <f ca="1">IFERROR(__xludf.DUMMYFUNCTION("""COMPUTED_VALUE"""),"No")</f>
        <v>No</v>
      </c>
      <c r="AN893" s="8" t="str">
        <f ca="1">IFERROR(__xludf.DUMMYFUNCTION("""COMPUTED_VALUE"""),"Hallway")</f>
        <v>Hallway</v>
      </c>
      <c r="AO893" s="8" t="str">
        <f ca="1">IFERROR(__xludf.DUMMYFUNCTION("""COMPUTED_VALUE"""),"No")</f>
        <v>No</v>
      </c>
      <c r="AP893" s="8"/>
      <c r="AQ893" s="8"/>
      <c r="AR893" s="8" t="str">
        <f ca="1">IFERROR(__xludf.DUMMYFUNCTION("""COMPUTED_VALUE"""),"Failed")</f>
        <v>Failed</v>
      </c>
      <c r="AS893" s="8"/>
      <c r="AT893" s="8" t="str">
        <f ca="1">IFERROR(__xludf.DUMMYFUNCTION("""COMPUTED_VALUE"""),"Yes")</f>
        <v>Yes</v>
      </c>
      <c r="AU893" s="8">
        <f ca="1">IFERROR(__xludf.DUMMYFUNCTION("""COMPUTED_VALUE"""),47.726041)</f>
        <v>47.726041000000002</v>
      </c>
      <c r="AV893" s="8">
        <f ca="1">IFERROR(__xludf.DUMMYFUNCTION("""COMPUTED_VALUE"""),-122.338136)</f>
        <v>-122.33813600000001</v>
      </c>
      <c r="AW893" s="8"/>
      <c r="AX893" s="8">
        <f ca="1">IFERROR(__xludf.DUMMYFUNCTION("""COMPUTED_VALUE"""),98133)</f>
        <v>98133</v>
      </c>
    </row>
    <row r="894" spans="1:50" ht="225" x14ac:dyDescent="0.2">
      <c r="A894" s="8" t="str">
        <f ca="1">IFERROR(__xludf.DUMMYFUNCTION("""COMPUTED_VALUE"""),"20221106VAHUH")</f>
        <v>20221106VAHUH</v>
      </c>
      <c r="B894" s="8">
        <f ca="1">IFERROR(__xludf.DUMMYFUNCTION("""COMPUTED_VALUE"""),11)</f>
        <v>11</v>
      </c>
      <c r="C894" s="8">
        <f ca="1">IFERROR(__xludf.DUMMYFUNCTION("""COMPUTED_VALUE"""),6)</f>
        <v>6</v>
      </c>
      <c r="D894" s="8">
        <f ca="1">IFERROR(__xludf.DUMMYFUNCTION("""COMPUTED_VALUE"""),2022)</f>
        <v>2022</v>
      </c>
      <c r="E894" s="9">
        <f ca="1">IFERROR(__xludf.DUMMYFUNCTION("""COMPUTED_VALUE"""),44871)</f>
        <v>44871</v>
      </c>
      <c r="F894" s="8" t="str">
        <f ca="1">IFERROR(__xludf.DUMMYFUNCTION("""COMPUTED_VALUE"""),"Hutchison Elementary School")</f>
        <v>Hutchison Elementary School</v>
      </c>
      <c r="G894" s="8">
        <f ca="1">IFERROR(__xludf.DUMMYFUNCTION("""COMPUTED_VALUE"""),0)</f>
        <v>0</v>
      </c>
      <c r="H894" s="8">
        <f ca="1">IFERROR(__xludf.DUMMYFUNCTION("""COMPUTED_VALUE"""),0)</f>
        <v>0</v>
      </c>
      <c r="I894" s="8">
        <f ca="1">IFERROR(__xludf.DUMMYFUNCTION("""COMPUTED_VALUE"""),0)</f>
        <v>0</v>
      </c>
      <c r="J894" s="8">
        <f ca="1">IFERROR(__xludf.DUMMYFUNCTION("""COMPUTED_VALUE"""),0)</f>
        <v>0</v>
      </c>
      <c r="K894" s="8" t="str">
        <f ca="1">IFERROR(__xludf.DUMMYFUNCTION("""COMPUTED_VALUE"""),"https://www.ffxnow.com/2022/11/06/breaking-shots-reportedly-fired-outside-hutchinson-elementary-school-in-herndon/
https://wjla.com/news/local/shots-fired-shooting-crime-fairfax-county-police-hutchison-elementary-school-man-flees-hit-by-car-on-dulles-toll"&amp;"-rd-herndon-hospital-with-life-threatening-injuries")</f>
        <v>https://www.ffxnow.com/2022/11/06/breaking-shots-reportedly-fired-outside-hutchinson-elementary-school-in-herndon/
https://wjla.com/news/local/shots-fired-shooting-crime-fairfax-county-police-hutchison-elementary-school-man-flees-hit-by-car-on-dulles-toll-rd-herndon-hospital-with-life-threatening-injuries</v>
      </c>
      <c r="L894" s="8">
        <f ca="1">IFERROR(__xludf.DUMMYFUNCTION("""COMPUTED_VALUE"""),2)</f>
        <v>2</v>
      </c>
      <c r="M894" s="8" t="str">
        <f ca="1">IFERROR(__xludf.DUMMYFUNCTION("""COMPUTED_VALUE"""),"Local")</f>
        <v>Local</v>
      </c>
      <c r="N894" s="8">
        <f ca="1">IFERROR(__xludf.DUMMYFUNCTION("""COMPUTED_VALUE"""),4)</f>
        <v>4</v>
      </c>
      <c r="O894" s="8" t="str">
        <f ca="1">IFERROR(__xludf.DUMMYFUNCTION("""COMPUTED_VALUE"""),"Fall")</f>
        <v>Fall</v>
      </c>
      <c r="P894" s="8" t="str">
        <f ca="1">IFERROR(__xludf.DUMMYFUNCTION("""COMPUTED_VALUE"""),"Herndon")</f>
        <v>Herndon</v>
      </c>
      <c r="Q894" s="8" t="str">
        <f ca="1">IFERROR(__xludf.DUMMYFUNCTION("""COMPUTED_VALUE"""),"VA")</f>
        <v>VA</v>
      </c>
      <c r="R894" s="8" t="str">
        <f ca="1">IFERROR(__xludf.DUMMYFUNCTION("""COMPUTED_VALUE"""),"Elementary")</f>
        <v>Elementary</v>
      </c>
      <c r="S894" s="8" t="str">
        <f ca="1">IFERROR(__xludf.DUMMYFUNCTION("""COMPUTED_VALUE"""),"Beside Building")</f>
        <v>Beside Building</v>
      </c>
      <c r="T894" s="8" t="str">
        <f ca="1">IFERROR(__xludf.DUMMYFUNCTION("""COMPUTED_VALUE"""),"Outside on School Property")</f>
        <v>Outside on School Property</v>
      </c>
      <c r="U894" s="8" t="str">
        <f ca="1">IFERROR(__xludf.DUMMYFUNCTION("""COMPUTED_VALUE"""),"No")</f>
        <v>No</v>
      </c>
      <c r="V894" s="8" t="str">
        <f ca="1">IFERROR(__xludf.DUMMYFUNCTION("""COMPUTED_VALUE"""),"Not a School Day")</f>
        <v>Not a School Day</v>
      </c>
      <c r="W894" s="11">
        <f ca="1">IFERROR(__xludf.DUMMYFUNCTION("""COMPUTED_VALUE"""),0.672916666666666)</f>
        <v>0.67291666666666605</v>
      </c>
      <c r="X894" s="8">
        <f ca="1">IFERROR(__xludf.DUMMYFUNCTION("""COMPUTED_VALUE"""),1)</f>
        <v>1</v>
      </c>
      <c r="Y894" s="12" t="str">
        <f ca="1">IFERROR(__xludf.DUMMYFUNCTION("""COMPUTED_VALUE"""),"Shots fired behind school")</f>
        <v>Shots fired behind school</v>
      </c>
      <c r="Z894" s="12" t="str">
        <f ca="1">IFERROR(__xludf.DUMMYFUNCTION("""COMPUTED_VALUE"""),"Fairfax County police officers were called to the school for a report of shots being fired into the air around 4:09 p.m. today, according to Fairfax County Police Department Lt. Dan Spital. When officers arrived at the school, they saw a group of men behi"&amp;"nd the school, one of whom ran through a wooded area — presumably the adjacent Hutchinson Park — and onto the Dulles Toll Road, police said. “Once that man got onto the Dulles Toll Road, he was struck by a vehicle,” Spital said in a brief update around 6:"&amp;"30 p.m. “That vehicle remained on scene, and the patient was listed in critical condition. He was ground-transported to a local hospital, where he’s being treated for injuries that are still considered life-threatening.” K9 officers found a firearm in the"&amp;" woods on the path where the foot chase took place, according to police.")</f>
        <v>Fairfax County police officers were called to the school for a report of shots being fired into the air around 4:09 p.m. today, according to Fairfax County Police Department Lt. Dan Spital. When officers arrived at the school, they saw a group of men behind the school, one of whom ran through a wooded area — presumably the adjacent Hutchinson Park — and onto the Dulles Toll Road, police said. “Once that man got onto the Dulles Toll Road, he was struck by a vehicle,” Spital said in a brief update around 6:30 p.m. “That vehicle remained on scene, and the patient was listed in critical condition. He was ground-transported to a local hospital, where he’s being treated for injuries that are still considered life-threatening.” K9 officers found a firearm in the woods on the path where the foot chase took place, according to police.</v>
      </c>
      <c r="AA894" s="8"/>
      <c r="AB894" s="8"/>
      <c r="AC894" s="8" t="str">
        <f ca="1">IFERROR(__xludf.DUMMYFUNCTION("""COMPUTED_VALUE"""),"No")</f>
        <v>No</v>
      </c>
      <c r="AD894" s="8" t="str">
        <f ca="1">IFERROR(__xludf.DUMMYFUNCTION("""COMPUTED_VALUE"""),"Neither")</f>
        <v>Neither</v>
      </c>
      <c r="AE894" s="8" t="str">
        <f ca="1">IFERROR(__xludf.DUMMYFUNCTION("""COMPUTED_VALUE"""),"Yes")</f>
        <v>Yes</v>
      </c>
      <c r="AF894" s="8" t="str">
        <f ca="1">IFERROR(__xludf.DUMMYFUNCTION("""COMPUTED_VALUE"""),"Group of men")</f>
        <v>Group of men</v>
      </c>
      <c r="AG894" s="8" t="str">
        <f ca="1">IFERROR(__xludf.DUMMYFUNCTION("""COMPUTED_VALUE"""),"No")</f>
        <v>No</v>
      </c>
      <c r="AH894" s="8" t="str">
        <f ca="1">IFERROR(__xludf.DUMMYFUNCTION("""COMPUTED_VALUE"""),"No")</f>
        <v>No</v>
      </c>
      <c r="AI894" s="8" t="str">
        <f ca="1">IFERROR(__xludf.DUMMYFUNCTION("""COMPUTED_VALUE"""),"No")</f>
        <v>No</v>
      </c>
      <c r="AJ894" s="8" t="str">
        <f ca="1">IFERROR(__xludf.DUMMYFUNCTION("""COMPUTED_VALUE"""),"No")</f>
        <v>No</v>
      </c>
      <c r="AK894" s="8" t="str">
        <f ca="1">IFERROR(__xludf.DUMMYFUNCTION("""COMPUTED_VALUE"""),"No")</f>
        <v>No</v>
      </c>
      <c r="AL894" s="8"/>
      <c r="AM894" s="8" t="str">
        <f ca="1">IFERROR(__xludf.DUMMYFUNCTION("""COMPUTED_VALUE"""),"No")</f>
        <v>No</v>
      </c>
      <c r="AN894" s="8" t="str">
        <f ca="1">IFERROR(__xludf.DUMMYFUNCTION("""COMPUTED_VALUE"""),"Outside")</f>
        <v>Outside</v>
      </c>
      <c r="AO894" s="8" t="str">
        <f ca="1">IFERROR(__xludf.DUMMYFUNCTION("""COMPUTED_VALUE"""),"No")</f>
        <v>No</v>
      </c>
      <c r="AP894" s="8"/>
      <c r="AQ894" s="8"/>
      <c r="AR894" s="8" t="str">
        <f ca="1">IFERROR(__xludf.DUMMYFUNCTION("""COMPUTED_VALUE"""),"Outside/Off-Property")</f>
        <v>Outside/Off-Property</v>
      </c>
      <c r="AS894" s="8">
        <f ca="1">IFERROR(__xludf.DUMMYFUNCTION("""COMPUTED_VALUE"""),99)</f>
        <v>99</v>
      </c>
      <c r="AT894" s="8"/>
      <c r="AU894" s="8">
        <f ca="1">IFERROR(__xludf.DUMMYFUNCTION("""COMPUTED_VALUE"""),38.961534)</f>
        <v>38.961534</v>
      </c>
      <c r="AV894" s="8">
        <f ca="1">IFERROR(__xludf.DUMMYFUNCTION("""COMPUTED_VALUE"""),-77.407705)</f>
        <v>-77.407705000000007</v>
      </c>
      <c r="AW894" s="8"/>
      <c r="AX894" s="8">
        <f ca="1">IFERROR(__xludf.DUMMYFUNCTION("""COMPUTED_VALUE"""),20170)</f>
        <v>20170</v>
      </c>
    </row>
    <row r="895" spans="1:50" ht="45" x14ac:dyDescent="0.2">
      <c r="A895" s="8" t="str">
        <f ca="1">IFERROR(__xludf.DUMMYFUNCTION("""COMPUTED_VALUE"""),"20221105TXDAF")</f>
        <v>20221105TXDAF</v>
      </c>
      <c r="B895" s="8">
        <f ca="1">IFERROR(__xludf.DUMMYFUNCTION("""COMPUTED_VALUE"""),11)</f>
        <v>11</v>
      </c>
      <c r="C895" s="8">
        <f ca="1">IFERROR(__xludf.DUMMYFUNCTION("""COMPUTED_VALUE"""),5)</f>
        <v>5</v>
      </c>
      <c r="D895" s="8">
        <f ca="1">IFERROR(__xludf.DUMMYFUNCTION("""COMPUTED_VALUE"""),2022)</f>
        <v>2022</v>
      </c>
      <c r="E895" s="9">
        <f ca="1">IFERROR(__xludf.DUMMYFUNCTION("""COMPUTED_VALUE"""),44870)</f>
        <v>44870</v>
      </c>
      <c r="F895" s="8" t="str">
        <f ca="1">IFERROR(__xludf.DUMMYFUNCTION("""COMPUTED_VALUE"""),"David K Sellars Elementary")</f>
        <v>David K Sellars Elementary</v>
      </c>
      <c r="G895" s="8">
        <f ca="1">IFERROR(__xludf.DUMMYFUNCTION("""COMPUTED_VALUE"""),0)</f>
        <v>0</v>
      </c>
      <c r="H895" s="8">
        <f ca="1">IFERROR(__xludf.DUMMYFUNCTION("""COMPUTED_VALUE"""),1)</f>
        <v>1</v>
      </c>
      <c r="I895" s="8">
        <f ca="1">IFERROR(__xludf.DUMMYFUNCTION("""COMPUTED_VALUE"""),1)</f>
        <v>1</v>
      </c>
      <c r="J895" s="8">
        <f ca="1">IFERROR(__xludf.DUMMYFUNCTION("""COMPUTED_VALUE"""),0)</f>
        <v>0</v>
      </c>
      <c r="K895" s="10" t="str">
        <f ca="1">IFERROR(__xludf.DUMMYFUNCTION("""COMPUTED_VALUE"""),"https://www.fox4news.com/news/officer-shot-during-active-shooter-training-forest-hill")</f>
        <v>https://www.fox4news.com/news/officer-shot-during-active-shooter-training-forest-hill</v>
      </c>
      <c r="L895" s="8">
        <f ca="1">IFERROR(__xludf.DUMMYFUNCTION("""COMPUTED_VALUE"""),50)</f>
        <v>50</v>
      </c>
      <c r="M895" s="8" t="str">
        <f ca="1">IFERROR(__xludf.DUMMYFUNCTION("""COMPUTED_VALUE"""),"National")</f>
        <v>National</v>
      </c>
      <c r="N895" s="8">
        <f ca="1">IFERROR(__xludf.DUMMYFUNCTION("""COMPUTED_VALUE"""),4)</f>
        <v>4</v>
      </c>
      <c r="O895" s="8" t="str">
        <f ca="1">IFERROR(__xludf.DUMMYFUNCTION("""COMPUTED_VALUE"""),"Fall")</f>
        <v>Fall</v>
      </c>
      <c r="P895" s="8" t="str">
        <f ca="1">IFERROR(__xludf.DUMMYFUNCTION("""COMPUTED_VALUE"""),"Forest Hill")</f>
        <v>Forest Hill</v>
      </c>
      <c r="Q895" s="8" t="str">
        <f ca="1">IFERROR(__xludf.DUMMYFUNCTION("""COMPUTED_VALUE"""),"TX")</f>
        <v>TX</v>
      </c>
      <c r="R895" s="8" t="str">
        <f ca="1">IFERROR(__xludf.DUMMYFUNCTION("""COMPUTED_VALUE"""),"Elementary")</f>
        <v>Elementary</v>
      </c>
      <c r="S895" s="8" t="str">
        <f ca="1">IFERROR(__xludf.DUMMYFUNCTION("""COMPUTED_VALUE"""),"Inside School Building")</f>
        <v>Inside School Building</v>
      </c>
      <c r="T895" s="8" t="str">
        <f ca="1">IFERROR(__xludf.DUMMYFUNCTION("""COMPUTED_VALUE"""),"Inside School Building")</f>
        <v>Inside School Building</v>
      </c>
      <c r="U895" s="8" t="str">
        <f ca="1">IFERROR(__xludf.DUMMYFUNCTION("""COMPUTED_VALUE"""),"No")</f>
        <v>No</v>
      </c>
      <c r="V895" s="8" t="str">
        <f ca="1">IFERROR(__xludf.DUMMYFUNCTION("""COMPUTED_VALUE"""),"Not a School Day")</f>
        <v>Not a School Day</v>
      </c>
      <c r="W895" s="11">
        <f ca="1">IFERROR(__xludf.DUMMYFUNCTION("""COMPUTED_VALUE"""),0.583333333333333)</f>
        <v>0.58333333333333304</v>
      </c>
      <c r="X895" s="8">
        <f ca="1">IFERROR(__xludf.DUMMYFUNCTION("""COMPUTED_VALUE"""),1)</f>
        <v>1</v>
      </c>
      <c r="Y895" s="12" t="str">
        <f ca="1">IFERROR(__xludf.DUMMYFUNCTION("""COMPUTED_VALUE"""),"Officer shot with live round during active shooter training")</f>
        <v>Officer shot with live round during active shooter training</v>
      </c>
      <c r="Z895" s="12" t="str">
        <f ca="1">IFERROR(__xludf.DUMMYFUNCTION("""COMPUTED_VALUE"""),"Officer shot with live round during active shooter training")</f>
        <v>Officer shot with live round during active shooter training</v>
      </c>
      <c r="AA895" s="8" t="str">
        <f ca="1">IFERROR(__xludf.DUMMYFUNCTION("""COMPUTED_VALUE"""),"Accidental")</f>
        <v>Accidental</v>
      </c>
      <c r="AB895" s="8"/>
      <c r="AC895" s="8" t="str">
        <f ca="1">IFERROR(__xludf.DUMMYFUNCTION("""COMPUTED_VALUE"""),"No")</f>
        <v>No</v>
      </c>
      <c r="AD895" s="8" t="str">
        <f ca="1">IFERROR(__xludf.DUMMYFUNCTION("""COMPUTED_VALUE"""),"Neither")</f>
        <v>Neither</v>
      </c>
      <c r="AE895" s="8" t="str">
        <f ca="1">IFERROR(__xludf.DUMMYFUNCTION("""COMPUTED_VALUE"""),"No")</f>
        <v>No</v>
      </c>
      <c r="AF895" s="8"/>
      <c r="AG895" s="8" t="str">
        <f ca="1">IFERROR(__xludf.DUMMYFUNCTION("""COMPUTED_VALUE"""),"No")</f>
        <v>No</v>
      </c>
      <c r="AH895" s="8" t="str">
        <f ca="1">IFERROR(__xludf.DUMMYFUNCTION("""COMPUTED_VALUE"""),"No")</f>
        <v>No</v>
      </c>
      <c r="AI895" s="8" t="str">
        <f ca="1">IFERROR(__xludf.DUMMYFUNCTION("""COMPUTED_VALUE"""),"No")</f>
        <v>No</v>
      </c>
      <c r="AJ895" s="8" t="str">
        <f ca="1">IFERROR(__xludf.DUMMYFUNCTION("""COMPUTED_VALUE"""),"No")</f>
        <v>No</v>
      </c>
      <c r="AK895" s="8" t="str">
        <f ca="1">IFERROR(__xludf.DUMMYFUNCTION("""COMPUTED_VALUE"""),"No")</f>
        <v>No</v>
      </c>
      <c r="AL895" s="8" t="str">
        <f ca="1">IFERROR(__xludf.DUMMYFUNCTION("""COMPUTED_VALUE"""),"No")</f>
        <v>No</v>
      </c>
      <c r="AM895" s="8" t="str">
        <f ca="1">IFERROR(__xludf.DUMMYFUNCTION("""COMPUTED_VALUE"""),"No")</f>
        <v>No</v>
      </c>
      <c r="AN895" s="8" t="str">
        <f ca="1">IFERROR(__xludf.DUMMYFUNCTION("""COMPUTED_VALUE"""),"Single Room")</f>
        <v>Single Room</v>
      </c>
      <c r="AO895" s="8" t="str">
        <f ca="1">IFERROR(__xludf.DUMMYFUNCTION("""COMPUTED_VALUE"""),"No")</f>
        <v>No</v>
      </c>
      <c r="AP895" s="8"/>
      <c r="AQ895" s="8"/>
      <c r="AR895" s="8"/>
      <c r="AS895" s="8"/>
      <c r="AT895" s="8"/>
      <c r="AU895" s="8">
        <f ca="1">IFERROR(__xludf.DUMMYFUNCTION("""COMPUTED_VALUE"""),32.666394)</f>
        <v>32.666393999999997</v>
      </c>
      <c r="AV895" s="8">
        <f ca="1">IFERROR(__xludf.DUMMYFUNCTION("""COMPUTED_VALUE"""),-97.263781)</f>
        <v>-97.263780999999994</v>
      </c>
      <c r="AW895" s="8"/>
      <c r="AX895" s="8">
        <f ca="1">IFERROR(__xludf.DUMMYFUNCTION("""COMPUTED_VALUE"""),76119)</f>
        <v>76119</v>
      </c>
    </row>
    <row r="896" spans="1:50" ht="180" x14ac:dyDescent="0.2">
      <c r="A896" s="8" t="str">
        <f ca="1">IFERROR(__xludf.DUMMYFUNCTION("""COMPUTED_VALUE"""),"20221104KYVAL")</f>
        <v>20221104KYVAL</v>
      </c>
      <c r="B896" s="8">
        <f ca="1">IFERROR(__xludf.DUMMYFUNCTION("""COMPUTED_VALUE"""),11)</f>
        <v>11</v>
      </c>
      <c r="C896" s="8">
        <f ca="1">IFERROR(__xludf.DUMMYFUNCTION("""COMPUTED_VALUE"""),4)</f>
        <v>4</v>
      </c>
      <c r="D896" s="8">
        <f ca="1">IFERROR(__xludf.DUMMYFUNCTION("""COMPUTED_VALUE"""),2022)</f>
        <v>2022</v>
      </c>
      <c r="E896" s="9">
        <f ca="1">IFERROR(__xludf.DUMMYFUNCTION("""COMPUTED_VALUE"""),44869)</f>
        <v>44869</v>
      </c>
      <c r="F896" s="8" t="str">
        <f ca="1">IFERROR(__xludf.DUMMYFUNCTION("""COMPUTED_VALUE"""),"Valley High School")</f>
        <v>Valley High School</v>
      </c>
      <c r="G896" s="8">
        <f ca="1">IFERROR(__xludf.DUMMYFUNCTION("""COMPUTED_VALUE"""),0)</f>
        <v>0</v>
      </c>
      <c r="H896" s="8">
        <f ca="1">IFERROR(__xludf.DUMMYFUNCTION("""COMPUTED_VALUE"""),0)</f>
        <v>0</v>
      </c>
      <c r="I896" s="8">
        <f ca="1">IFERROR(__xludf.DUMMYFUNCTION("""COMPUTED_VALUE"""),0)</f>
        <v>0</v>
      </c>
      <c r="J896" s="8">
        <f ca="1">IFERROR(__xludf.DUMMYFUNCTION("""COMPUTED_VALUE"""),0)</f>
        <v>0</v>
      </c>
      <c r="K896" s="10" t="str">
        <f ca="1">IFERROR(__xludf.DUMMYFUNCTION("""COMPUTED_VALUE"""),"https://sports.yahoo.com/armed-man-threatened-shoot-students-202907424.html")</f>
        <v>https://sports.yahoo.com/armed-man-threatened-shoot-students-202907424.html</v>
      </c>
      <c r="L896" s="8">
        <f ca="1">IFERROR(__xludf.DUMMYFUNCTION("""COMPUTED_VALUE"""),2)</f>
        <v>2</v>
      </c>
      <c r="M896" s="8" t="str">
        <f ca="1">IFERROR(__xludf.DUMMYFUNCTION("""COMPUTED_VALUE"""),"National")</f>
        <v>National</v>
      </c>
      <c r="N896" s="8">
        <f ca="1">IFERROR(__xludf.DUMMYFUNCTION("""COMPUTED_VALUE"""),3)</f>
        <v>3</v>
      </c>
      <c r="O896" s="8" t="str">
        <f ca="1">IFERROR(__xludf.DUMMYFUNCTION("""COMPUTED_VALUE"""),"Fall")</f>
        <v>Fall</v>
      </c>
      <c r="P896" s="8" t="str">
        <f ca="1">IFERROR(__xludf.DUMMYFUNCTION("""COMPUTED_VALUE"""),"Louisville")</f>
        <v>Louisville</v>
      </c>
      <c r="Q896" s="8" t="str">
        <f ca="1">IFERROR(__xludf.DUMMYFUNCTION("""COMPUTED_VALUE"""),"KY")</f>
        <v>KY</v>
      </c>
      <c r="R896" s="8" t="str">
        <f ca="1">IFERROR(__xludf.DUMMYFUNCTION("""COMPUTED_VALUE"""),"High")</f>
        <v>High</v>
      </c>
      <c r="S896" s="8" t="str">
        <f ca="1">IFERROR(__xludf.DUMMYFUNCTION("""COMPUTED_VALUE"""),"Parking Lot")</f>
        <v>Parking Lot</v>
      </c>
      <c r="T896" s="8" t="str">
        <f ca="1">IFERROR(__xludf.DUMMYFUNCTION("""COMPUTED_VALUE"""),"Outside on School Property")</f>
        <v>Outside on School Property</v>
      </c>
      <c r="U896" s="8" t="str">
        <f ca="1">IFERROR(__xludf.DUMMYFUNCTION("""COMPUTED_VALUE"""),"Yes")</f>
        <v>Yes</v>
      </c>
      <c r="V896" s="8" t="str">
        <f ca="1">IFERROR(__xludf.DUMMYFUNCTION("""COMPUTED_VALUE"""),"Morning Classes")</f>
        <v>Morning Classes</v>
      </c>
      <c r="W896" s="11">
        <f ca="1">IFERROR(__xludf.DUMMYFUNCTION("""COMPUTED_VALUE"""),0.465277777777777)</f>
        <v>0.46527777777777701</v>
      </c>
      <c r="X896" s="8">
        <f ca="1">IFERROR(__xludf.DUMMYFUNCTION("""COMPUTED_VALUE"""),1)</f>
        <v>1</v>
      </c>
      <c r="Y896" s="12" t="str">
        <f ca="1">IFERROR(__xludf.DUMMYFUNCTION("""COMPUTED_VALUE"""),"Man brandished handgun and threatened to shoot 3 students in parking lot")</f>
        <v>Man brandished handgun and threatened to shoot 3 students in parking lot</v>
      </c>
      <c r="Z896" s="12" t="str">
        <f ca="1">IFERROR(__xludf.DUMMYFUNCTION("""COMPUTED_VALUE"""),"According to an arrest citation, officers were sent about 11:10 a.m. to Valley High School, 10200 Dixie Highway, on a report of a suspect with a gun threatening to shoot students in the parking lot. Three students told officers that Fox had pulled out a h"&amp;"andgun from his waistband while in the parking lot, ""racked the slide"" of the weapon and said ""he would shoot a student,"" according to the arrest report. The three students ran inside the school building, police said. Officers arrived on scene and cha"&amp;"sed after Fox as he fled on foot, according to the arrest citation. Fox was caught near the school on Donau Lane, which is also where Fox lives, according to court records. ")</f>
        <v xml:space="preserve">According to an arrest citation, officers were sent about 11:10 a.m. to Valley High School, 10200 Dixie Highway, on a report of a suspect with a gun threatening to shoot students in the parking lot. Three students told officers that Fox had pulled out a handgun from his waistband while in the parking lot, "racked the slide" of the weapon and said "he would shoot a student," according to the arrest report. The three students ran inside the school building, police said. Officers arrived on scene and chased after Fox as he fled on foot, according to the arrest citation. Fox was caught near the school on Donau Lane, which is also where Fox lives, according to court records. </v>
      </c>
      <c r="AA896" s="8" t="str">
        <f ca="1">IFERROR(__xludf.DUMMYFUNCTION("""COMPUTED_VALUE"""),"Escalation of Dispute")</f>
        <v>Escalation of Dispute</v>
      </c>
      <c r="AB896" s="8"/>
      <c r="AC896" s="8" t="str">
        <f ca="1">IFERROR(__xludf.DUMMYFUNCTION("""COMPUTED_VALUE"""),"Yes")</f>
        <v>Yes</v>
      </c>
      <c r="AD896" s="8" t="str">
        <f ca="1">IFERROR(__xludf.DUMMYFUNCTION("""COMPUTED_VALUE"""),"Victims Targeted")</f>
        <v>Victims Targeted</v>
      </c>
      <c r="AE896" s="8" t="str">
        <f ca="1">IFERROR(__xludf.DUMMYFUNCTION("""COMPUTED_VALUE"""),"No")</f>
        <v>No</v>
      </c>
      <c r="AF896" s="8"/>
      <c r="AG896" s="8" t="str">
        <f ca="1">IFERROR(__xludf.DUMMYFUNCTION("""COMPUTED_VALUE"""),"No")</f>
        <v>No</v>
      </c>
      <c r="AH896" s="8" t="str">
        <f ca="1">IFERROR(__xludf.DUMMYFUNCTION("""COMPUTED_VALUE"""),"No")</f>
        <v>No</v>
      </c>
      <c r="AI896" s="8" t="str">
        <f ca="1">IFERROR(__xludf.DUMMYFUNCTION("""COMPUTED_VALUE"""),"No")</f>
        <v>No</v>
      </c>
      <c r="AJ896" s="8" t="str">
        <f ca="1">IFERROR(__xludf.DUMMYFUNCTION("""COMPUTED_VALUE"""),"No")</f>
        <v>No</v>
      </c>
      <c r="AK896" s="8" t="str">
        <f ca="1">IFERROR(__xludf.DUMMYFUNCTION("""COMPUTED_VALUE"""),"No")</f>
        <v>No</v>
      </c>
      <c r="AL896" s="8"/>
      <c r="AM896" s="8" t="str">
        <f ca="1">IFERROR(__xludf.DUMMYFUNCTION("""COMPUTED_VALUE"""),"No")</f>
        <v>No</v>
      </c>
      <c r="AN896" s="8" t="str">
        <f ca="1">IFERROR(__xludf.DUMMYFUNCTION("""COMPUTED_VALUE"""),"Outside")</f>
        <v>Outside</v>
      </c>
      <c r="AO896" s="8" t="str">
        <f ca="1">IFERROR(__xludf.DUMMYFUNCTION("""COMPUTED_VALUE"""),"No")</f>
        <v>No</v>
      </c>
      <c r="AP896" s="8"/>
      <c r="AQ896" s="8"/>
      <c r="AR896" s="8" t="str">
        <f ca="1">IFERROR(__xludf.DUMMYFUNCTION("""COMPUTED_VALUE"""),"Outside/Off-Property")</f>
        <v>Outside/Off-Property</v>
      </c>
      <c r="AS896" s="8">
        <f ca="1">IFERROR(__xludf.DUMMYFUNCTION("""COMPUTED_VALUE"""),0)</f>
        <v>0</v>
      </c>
      <c r="AT896" s="8"/>
      <c r="AU896" s="8">
        <f ca="1">IFERROR(__xludf.DUMMYFUNCTION("""COMPUTED_VALUE"""),38.111172)</f>
        <v>38.111172000000003</v>
      </c>
      <c r="AV896" s="8">
        <f ca="1">IFERROR(__xludf.DUMMYFUNCTION("""COMPUTED_VALUE"""),-85.863086)</f>
        <v>-85.863085999999996</v>
      </c>
      <c r="AW896" s="8"/>
      <c r="AX896" s="8">
        <f ca="1">IFERROR(__xludf.DUMMYFUNCTION("""COMPUTED_VALUE"""),40272)</f>
        <v>40272</v>
      </c>
    </row>
    <row r="897" spans="1:50" ht="30" x14ac:dyDescent="0.2">
      <c r="A897" s="8" t="str">
        <f ca="1">IFERROR(__xludf.DUMMYFUNCTION("""COMPUTED_VALUE"""),"20221103GASHS")</f>
        <v>20221103GASHS</v>
      </c>
      <c r="B897" s="8">
        <f ca="1">IFERROR(__xludf.DUMMYFUNCTION("""COMPUTED_VALUE"""),11)</f>
        <v>11</v>
      </c>
      <c r="C897" s="8">
        <f ca="1">IFERROR(__xludf.DUMMYFUNCTION("""COMPUTED_VALUE"""),3)</f>
        <v>3</v>
      </c>
      <c r="D897" s="8">
        <f ca="1">IFERROR(__xludf.DUMMYFUNCTION("""COMPUTED_VALUE"""),2022)</f>
        <v>2022</v>
      </c>
      <c r="E897" s="9">
        <f ca="1">IFERROR(__xludf.DUMMYFUNCTION("""COMPUTED_VALUE"""),44868)</f>
        <v>44868</v>
      </c>
      <c r="F897" s="8" t="str">
        <f ca="1">IFERROR(__xludf.DUMMYFUNCTION("""COMPUTED_VALUE"""),"Shuman Elementary School")</f>
        <v>Shuman Elementary School</v>
      </c>
      <c r="G897" s="8">
        <f ca="1">IFERROR(__xludf.DUMMYFUNCTION("""COMPUTED_VALUE"""),0)</f>
        <v>0</v>
      </c>
      <c r="H897" s="8">
        <f ca="1">IFERROR(__xludf.DUMMYFUNCTION("""COMPUTED_VALUE"""),1)</f>
        <v>1</v>
      </c>
      <c r="I897" s="8">
        <f ca="1">IFERROR(__xludf.DUMMYFUNCTION("""COMPUTED_VALUE"""),1)</f>
        <v>1</v>
      </c>
      <c r="J897" s="8">
        <f ca="1">IFERROR(__xludf.DUMMYFUNCTION("""COMPUTED_VALUE"""),0)</f>
        <v>0</v>
      </c>
      <c r="K897" s="10" t="str">
        <f ca="1">IFERROR(__xludf.DUMMYFUNCTION("""COMPUTED_VALUE"""),"https://www.wjcl.com/article/police-presence-elementary-school-savannah/41861811#")</f>
        <v>https://www.wjcl.com/article/police-presence-elementary-school-savannah/41861811#</v>
      </c>
      <c r="L897" s="8">
        <f ca="1">IFERROR(__xludf.DUMMYFUNCTION("""COMPUTED_VALUE"""),1)</f>
        <v>1</v>
      </c>
      <c r="M897" s="8" t="str">
        <f ca="1">IFERROR(__xludf.DUMMYFUNCTION("""COMPUTED_VALUE"""),"Local")</f>
        <v>Local</v>
      </c>
      <c r="N897" s="8">
        <f ca="1">IFERROR(__xludf.DUMMYFUNCTION("""COMPUTED_VALUE"""),2)</f>
        <v>2</v>
      </c>
      <c r="O897" s="8" t="str">
        <f ca="1">IFERROR(__xludf.DUMMYFUNCTION("""COMPUTED_VALUE"""),"Fall")</f>
        <v>Fall</v>
      </c>
      <c r="P897" s="8" t="str">
        <f ca="1">IFERROR(__xludf.DUMMYFUNCTION("""COMPUTED_VALUE"""),"Savana")</f>
        <v>Savana</v>
      </c>
      <c r="Q897" s="8" t="str">
        <f ca="1">IFERROR(__xludf.DUMMYFUNCTION("""COMPUTED_VALUE"""),"GA")</f>
        <v>GA</v>
      </c>
      <c r="R897" s="8" t="str">
        <f ca="1">IFERROR(__xludf.DUMMYFUNCTION("""COMPUTED_VALUE"""),"Elementary")</f>
        <v>Elementary</v>
      </c>
      <c r="S897" s="8" t="str">
        <f ca="1">IFERROR(__xludf.DUMMYFUNCTION("""COMPUTED_VALUE"""),"Front of School")</f>
        <v>Front of School</v>
      </c>
      <c r="T897" s="8" t="str">
        <f ca="1">IFERROR(__xludf.DUMMYFUNCTION("""COMPUTED_VALUE"""),"Outside on School Property")</f>
        <v>Outside on School Property</v>
      </c>
      <c r="U897" s="8" t="str">
        <f ca="1">IFERROR(__xludf.DUMMYFUNCTION("""COMPUTED_VALUE"""),"No")</f>
        <v>No</v>
      </c>
      <c r="V897" s="8" t="str">
        <f ca="1">IFERROR(__xludf.DUMMYFUNCTION("""COMPUTED_VALUE"""),"Night")</f>
        <v>Night</v>
      </c>
      <c r="W897" s="11">
        <f ca="1">IFERROR(__xludf.DUMMYFUNCTION("""COMPUTED_VALUE"""),0.916666666666666)</f>
        <v>0.91666666666666596</v>
      </c>
      <c r="X897" s="8">
        <f ca="1">IFERROR(__xludf.DUMMYFUNCTION("""COMPUTED_VALUE"""),1)</f>
        <v>1</v>
      </c>
      <c r="Y897" s="12" t="str">
        <f ca="1">IFERROR(__xludf.DUMMYFUNCTION("""COMPUTED_VALUE"""),"Person shot in front of the school")</f>
        <v>Person shot in front of the school</v>
      </c>
      <c r="Z897" s="12" t="str">
        <f ca="1">IFERROR(__xludf.DUMMYFUNCTION("""COMPUTED_VALUE"""),"One person was shot in front of the school and transported to the hospital")</f>
        <v>One person was shot in front of the school and transported to the hospital</v>
      </c>
      <c r="AA897" s="8"/>
      <c r="AB897" s="8"/>
      <c r="AC897" s="8" t="str">
        <f ca="1">IFERROR(__xludf.DUMMYFUNCTION("""COMPUTED_VALUE"""),"No")</f>
        <v>No</v>
      </c>
      <c r="AD897" s="8"/>
      <c r="AE897" s="8" t="str">
        <f ca="1">IFERROR(__xludf.DUMMYFUNCTION("""COMPUTED_VALUE"""),"No")</f>
        <v>No</v>
      </c>
      <c r="AF897" s="8"/>
      <c r="AG897" s="8" t="str">
        <f ca="1">IFERROR(__xludf.DUMMYFUNCTION("""COMPUTED_VALUE"""),"No")</f>
        <v>No</v>
      </c>
      <c r="AH897" s="8" t="str">
        <f ca="1">IFERROR(__xludf.DUMMYFUNCTION("""COMPUTED_VALUE"""),"No")</f>
        <v>No</v>
      </c>
      <c r="AI897" s="8" t="str">
        <f ca="1">IFERROR(__xludf.DUMMYFUNCTION("""COMPUTED_VALUE"""),"No")</f>
        <v>No</v>
      </c>
      <c r="AJ897" s="8" t="str">
        <f ca="1">IFERROR(__xludf.DUMMYFUNCTION("""COMPUTED_VALUE"""),"No")</f>
        <v>No</v>
      </c>
      <c r="AK897" s="8"/>
      <c r="AL897" s="8"/>
      <c r="AM897" s="8" t="str">
        <f ca="1">IFERROR(__xludf.DUMMYFUNCTION("""COMPUTED_VALUE"""),"No")</f>
        <v>No</v>
      </c>
      <c r="AN897" s="8" t="str">
        <f ca="1">IFERROR(__xludf.DUMMYFUNCTION("""COMPUTED_VALUE"""),"Outside")</f>
        <v>Outside</v>
      </c>
      <c r="AO897" s="8" t="str">
        <f ca="1">IFERROR(__xludf.DUMMYFUNCTION("""COMPUTED_VALUE"""),"No")</f>
        <v>No</v>
      </c>
      <c r="AP897" s="8"/>
      <c r="AQ897" s="8"/>
      <c r="AR897" s="8" t="str">
        <f ca="1">IFERROR(__xludf.DUMMYFUNCTION("""COMPUTED_VALUE"""),"Outside/Off-Property")</f>
        <v>Outside/Off-Property</v>
      </c>
      <c r="AS897" s="8"/>
      <c r="AT897" s="8"/>
      <c r="AU897" s="8">
        <f ca="1">IFERROR(__xludf.DUMMYFUNCTION("""COMPUTED_VALUE"""),32.061358)</f>
        <v>32.061357999999998</v>
      </c>
      <c r="AV897" s="8">
        <f ca="1">IFERROR(__xludf.DUMMYFUNCTION("""COMPUTED_VALUE"""),-81.066577)</f>
        <v>-81.066576999999995</v>
      </c>
      <c r="AW897" s="8"/>
      <c r="AX897" s="8">
        <f ca="1">IFERROR(__xludf.DUMMYFUNCTION("""COMPUTED_VALUE"""),31404)</f>
        <v>31404</v>
      </c>
    </row>
    <row r="898" spans="1:50" ht="75" x14ac:dyDescent="0.2">
      <c r="A898" s="8" t="str">
        <f ca="1">IFERROR(__xludf.DUMMYFUNCTION("""COMPUTED_VALUE"""),"20221102DCMCW")</f>
        <v>20221102DCMCW</v>
      </c>
      <c r="B898" s="8">
        <f ca="1">IFERROR(__xludf.DUMMYFUNCTION("""COMPUTED_VALUE"""),11)</f>
        <v>11</v>
      </c>
      <c r="C898" s="8">
        <f ca="1">IFERROR(__xludf.DUMMYFUNCTION("""COMPUTED_VALUE"""),2)</f>
        <v>2</v>
      </c>
      <c r="D898" s="8">
        <f ca="1">IFERROR(__xludf.DUMMYFUNCTION("""COMPUTED_VALUE"""),2022)</f>
        <v>2022</v>
      </c>
      <c r="E898" s="9">
        <f ca="1">IFERROR(__xludf.DUMMYFUNCTION("""COMPUTED_VALUE"""),44867)</f>
        <v>44867</v>
      </c>
      <c r="F898" s="8" t="str">
        <f ca="1">IFERROR(__xludf.DUMMYFUNCTION("""COMPUTED_VALUE"""),"MacFarland Middle School")</f>
        <v>MacFarland Middle School</v>
      </c>
      <c r="G898" s="8">
        <f ca="1">IFERROR(__xludf.DUMMYFUNCTION("""COMPUTED_VALUE"""),0)</f>
        <v>0</v>
      </c>
      <c r="H898" s="8">
        <f ca="1">IFERROR(__xludf.DUMMYFUNCTION("""COMPUTED_VALUE"""),0)</f>
        <v>0</v>
      </c>
      <c r="I898" s="8">
        <f ca="1">IFERROR(__xludf.DUMMYFUNCTION("""COMPUTED_VALUE"""),0)</f>
        <v>0</v>
      </c>
      <c r="J898" s="8">
        <f ca="1">IFERROR(__xludf.DUMMYFUNCTION("""COMPUTED_VALUE"""),0)</f>
        <v>0</v>
      </c>
      <c r="K898" s="8" t="str">
        <f ca="1">IFERROR(__xludf.DUMMYFUNCTION("""COMPUTED_VALUE"""),"https://www.fox5dc.com/news/3-dc-schools-on-lockdown-after-shots-fired-nearby-police
https://www.wusa9.com/article/news/local/dc/shots-fired-call-near-theodore-roosevelt-high-school-in-dc/65-f7cac124-31dc-48eb-a4cf-3ddde1ba0e7b")</f>
        <v>https://www.fox5dc.com/news/3-dc-schools-on-lockdown-after-shots-fired-nearby-police
https://www.wusa9.com/article/news/local/dc/shots-fired-call-near-theodore-roosevelt-high-school-in-dc/65-f7cac124-31dc-48eb-a4cf-3ddde1ba0e7b</v>
      </c>
      <c r="L898" s="8">
        <f ca="1">IFERROR(__xludf.DUMMYFUNCTION("""COMPUTED_VALUE"""),5)</f>
        <v>5</v>
      </c>
      <c r="M898" s="8" t="str">
        <f ca="1">IFERROR(__xludf.DUMMYFUNCTION("""COMPUTED_VALUE"""),"Regional")</f>
        <v>Regional</v>
      </c>
      <c r="N898" s="8">
        <f ca="1">IFERROR(__xludf.DUMMYFUNCTION("""COMPUTED_VALUE"""),4)</f>
        <v>4</v>
      </c>
      <c r="O898" s="8" t="str">
        <f ca="1">IFERROR(__xludf.DUMMYFUNCTION("""COMPUTED_VALUE"""),"Fall")</f>
        <v>Fall</v>
      </c>
      <c r="P898" s="8" t="str">
        <f ca="1">IFERROR(__xludf.DUMMYFUNCTION("""COMPUTED_VALUE"""),"Washington")</f>
        <v>Washington</v>
      </c>
      <c r="Q898" s="8" t="str">
        <f ca="1">IFERROR(__xludf.DUMMYFUNCTION("""COMPUTED_VALUE"""),"DC")</f>
        <v>DC</v>
      </c>
      <c r="R898" s="8" t="str">
        <f ca="1">IFERROR(__xludf.DUMMYFUNCTION("""COMPUTED_VALUE"""),"Middle")</f>
        <v>Middle</v>
      </c>
      <c r="S898" s="8" t="str">
        <f ca="1">IFERROR(__xludf.DUMMYFUNCTION("""COMPUTED_VALUE"""),"Parking Lot")</f>
        <v>Parking Lot</v>
      </c>
      <c r="T898" s="8" t="str">
        <f ca="1">IFERROR(__xludf.DUMMYFUNCTION("""COMPUTED_VALUE"""),"Outside on School Property")</f>
        <v>Outside on School Property</v>
      </c>
      <c r="U898" s="8" t="str">
        <f ca="1">IFERROR(__xludf.DUMMYFUNCTION("""COMPUTED_VALUE"""),"Yes")</f>
        <v>Yes</v>
      </c>
      <c r="V898" s="8" t="str">
        <f ca="1">IFERROR(__xludf.DUMMYFUNCTION("""COMPUTED_VALUE"""),"Morning Classes")</f>
        <v>Morning Classes</v>
      </c>
      <c r="W898" s="11">
        <f ca="1">IFERROR(__xludf.DUMMYFUNCTION("""COMPUTED_VALUE"""),0.4375)</f>
        <v>0.4375</v>
      </c>
      <c r="X898" s="8">
        <f ca="1">IFERROR(__xludf.DUMMYFUNCTION("""COMPUTED_VALUE"""),1)</f>
        <v>1</v>
      </c>
      <c r="Y898" s="12" t="str">
        <f ca="1">IFERROR(__xludf.DUMMYFUNCTION("""COMPUTED_VALUE"""),"Shots fired in school parking lot")</f>
        <v>Shots fired in school parking lot</v>
      </c>
      <c r="Z898" s="12" t="str">
        <f ca="1">IFERROR(__xludf.DUMMYFUNCTION("""COMPUTED_VALUE"""),"Shots were fired in the school parking lot. Roosevelt High School, MacFarland Middle School, and Dorothy Height Elementary School were placed on lockdown. Multiple masked people fled from parking lot. Police recovered multiple shell casings.")</f>
        <v>Shots were fired in the school parking lot. Roosevelt High School, MacFarland Middle School, and Dorothy Height Elementary School were placed on lockdown. Multiple masked people fled from parking lot. Police recovered multiple shell casings.</v>
      </c>
      <c r="AA898" s="8"/>
      <c r="AB898" s="8"/>
      <c r="AC898" s="8" t="str">
        <f ca="1">IFERROR(__xludf.DUMMYFUNCTION("""COMPUTED_VALUE"""),"Yes")</f>
        <v>Yes</v>
      </c>
      <c r="AD898" s="8"/>
      <c r="AE898" s="8" t="str">
        <f ca="1">IFERROR(__xludf.DUMMYFUNCTION("""COMPUTED_VALUE"""),"Yes")</f>
        <v>Yes</v>
      </c>
      <c r="AF898" s="8" t="str">
        <f ca="1">IFERROR(__xludf.DUMMYFUNCTION("""COMPUTED_VALUE"""),"Multiple people fled")</f>
        <v>Multiple people fled</v>
      </c>
      <c r="AG898" s="8" t="str">
        <f ca="1">IFERROR(__xludf.DUMMYFUNCTION("""COMPUTED_VALUE"""),"No")</f>
        <v>No</v>
      </c>
      <c r="AH898" s="8" t="str">
        <f ca="1">IFERROR(__xludf.DUMMYFUNCTION("""COMPUTED_VALUE"""),"No")</f>
        <v>No</v>
      </c>
      <c r="AI898" s="8" t="str">
        <f ca="1">IFERROR(__xludf.DUMMYFUNCTION("""COMPUTED_VALUE"""),"No")</f>
        <v>No</v>
      </c>
      <c r="AJ898" s="8" t="str">
        <f ca="1">IFERROR(__xludf.DUMMYFUNCTION("""COMPUTED_VALUE"""),"No")</f>
        <v>No</v>
      </c>
      <c r="AK898" s="8" t="str">
        <f ca="1">IFERROR(__xludf.DUMMYFUNCTION("""COMPUTED_VALUE"""),"No")</f>
        <v>No</v>
      </c>
      <c r="AL898" s="8"/>
      <c r="AM898" s="8" t="str">
        <f ca="1">IFERROR(__xludf.DUMMYFUNCTION("""COMPUTED_VALUE"""),"No")</f>
        <v>No</v>
      </c>
      <c r="AN898" s="8" t="str">
        <f ca="1">IFERROR(__xludf.DUMMYFUNCTION("""COMPUTED_VALUE"""),"Outside")</f>
        <v>Outside</v>
      </c>
      <c r="AO898" s="8" t="str">
        <f ca="1">IFERROR(__xludf.DUMMYFUNCTION("""COMPUTED_VALUE"""),"No")</f>
        <v>No</v>
      </c>
      <c r="AP898" s="8"/>
      <c r="AQ898" s="8"/>
      <c r="AR898" s="8" t="str">
        <f ca="1">IFERROR(__xludf.DUMMYFUNCTION("""COMPUTED_VALUE"""),"Outside/Off-Property")</f>
        <v>Outside/Off-Property</v>
      </c>
      <c r="AS898" s="8">
        <f ca="1">IFERROR(__xludf.DUMMYFUNCTION("""COMPUTED_VALUE"""),99)</f>
        <v>99</v>
      </c>
      <c r="AT898" s="8" t="str">
        <f ca="1">IFERROR(__xludf.DUMMYFUNCTION("""COMPUTED_VALUE"""),"Yes")</f>
        <v>Yes</v>
      </c>
      <c r="AU898" s="8">
        <f ca="1">IFERROR(__xludf.DUMMYFUNCTION("""COMPUTED_VALUE"""),38.943414)</f>
        <v>38.943413999999997</v>
      </c>
      <c r="AV898" s="8">
        <f ca="1">IFERROR(__xludf.DUMMYFUNCTION("""COMPUTED_VALUE"""),-77.027632)</f>
        <v>-77.027631999999997</v>
      </c>
      <c r="AW898" s="8"/>
      <c r="AX898" s="8">
        <f ca="1">IFERROR(__xludf.DUMMYFUNCTION("""COMPUTED_VALUE"""),20012)</f>
        <v>20012</v>
      </c>
    </row>
    <row r="899" spans="1:50" ht="120" x14ac:dyDescent="0.2">
      <c r="A899" s="8" t="str">
        <f ca="1">IFERROR(__xludf.DUMMYFUNCTION("""COMPUTED_VALUE"""),"20221029TXAVA")</f>
        <v>20221029TXAVA</v>
      </c>
      <c r="B899" s="8">
        <f ca="1">IFERROR(__xludf.DUMMYFUNCTION("""COMPUTED_VALUE"""),10)</f>
        <v>10</v>
      </c>
      <c r="C899" s="8">
        <f ca="1">IFERROR(__xludf.DUMMYFUNCTION("""COMPUTED_VALUE"""),29)</f>
        <v>29</v>
      </c>
      <c r="D899" s="8">
        <f ca="1">IFERROR(__xludf.DUMMYFUNCTION("""COMPUTED_VALUE"""),2022)</f>
        <v>2022</v>
      </c>
      <c r="E899" s="9">
        <f ca="1">IFERROR(__xludf.DUMMYFUNCTION("""COMPUTED_VALUE"""),44863)</f>
        <v>44863</v>
      </c>
      <c r="F899" s="8" t="str">
        <f ca="1">IFERROR(__xludf.DUMMYFUNCTION("""COMPUTED_VALUE"""),"Avondale Elementary School")</f>
        <v>Avondale Elementary School</v>
      </c>
      <c r="G899" s="8">
        <f ca="1">IFERROR(__xludf.DUMMYFUNCTION("""COMPUTED_VALUE"""),0)</f>
        <v>0</v>
      </c>
      <c r="H899" s="8">
        <f ca="1">IFERROR(__xludf.DUMMYFUNCTION("""COMPUTED_VALUE"""),1)</f>
        <v>1</v>
      </c>
      <c r="I899" s="8">
        <f ca="1">IFERROR(__xludf.DUMMYFUNCTION("""COMPUTED_VALUE"""),1)</f>
        <v>1</v>
      </c>
      <c r="J899" s="8">
        <f ca="1">IFERROR(__xludf.DUMMYFUNCTION("""COMPUTED_VALUE"""),0)</f>
        <v>0</v>
      </c>
      <c r="K899" s="10" t="str">
        <f ca="1">IFERROR(__xludf.DUMMYFUNCTION("""COMPUTED_VALUE"""),"https://abc7amarillo.com/news/local/amarillo-texas-amarillo-police-department-15-year-old-boy-shot-fight-avondale-school-park-avondale-elementary-school-crime")</f>
        <v>https://abc7amarillo.com/news/local/amarillo-texas-amarillo-police-department-15-year-old-boy-shot-fight-avondale-school-park-avondale-elementary-school-crime</v>
      </c>
      <c r="L899" s="8">
        <f ca="1">IFERROR(__xludf.DUMMYFUNCTION("""COMPUTED_VALUE"""),1)</f>
        <v>1</v>
      </c>
      <c r="M899" s="8" t="str">
        <f ca="1">IFERROR(__xludf.DUMMYFUNCTION("""COMPUTED_VALUE"""),"Local")</f>
        <v>Local</v>
      </c>
      <c r="N899" s="8">
        <f ca="1">IFERROR(__xludf.DUMMYFUNCTION("""COMPUTED_VALUE"""),3)</f>
        <v>3</v>
      </c>
      <c r="O899" s="8" t="str">
        <f ca="1">IFERROR(__xludf.DUMMYFUNCTION("""COMPUTED_VALUE"""),"Fall")</f>
        <v>Fall</v>
      </c>
      <c r="P899" s="8" t="str">
        <f ca="1">IFERROR(__xludf.DUMMYFUNCTION("""COMPUTED_VALUE"""),"Amarillo")</f>
        <v>Amarillo</v>
      </c>
      <c r="Q899" s="8" t="str">
        <f ca="1">IFERROR(__xludf.DUMMYFUNCTION("""COMPUTED_VALUE"""),"TX")</f>
        <v>TX</v>
      </c>
      <c r="R899" s="8" t="str">
        <f ca="1">IFERROR(__xludf.DUMMYFUNCTION("""COMPUTED_VALUE"""),"Elementary")</f>
        <v>Elementary</v>
      </c>
      <c r="S899" s="8" t="str">
        <f ca="1">IFERROR(__xludf.DUMMYFUNCTION("""COMPUTED_VALUE"""),"Playground")</f>
        <v>Playground</v>
      </c>
      <c r="T899" s="8" t="str">
        <f ca="1">IFERROR(__xludf.DUMMYFUNCTION("""COMPUTED_VALUE"""),"Outside on School Property")</f>
        <v>Outside on School Property</v>
      </c>
      <c r="U899" s="8" t="str">
        <f ca="1">IFERROR(__xludf.DUMMYFUNCTION("""COMPUTED_VALUE"""),"No")</f>
        <v>No</v>
      </c>
      <c r="V899" s="8" t="str">
        <f ca="1">IFERROR(__xludf.DUMMYFUNCTION("""COMPUTED_VALUE"""),"Evening")</f>
        <v>Evening</v>
      </c>
      <c r="W899" s="11">
        <f ca="1">IFERROR(__xludf.DUMMYFUNCTION("""COMPUTED_VALUE"""),0.791666666666666)</f>
        <v>0.79166666666666596</v>
      </c>
      <c r="X899" s="8">
        <f ca="1">IFERROR(__xludf.DUMMYFUNCTION("""COMPUTED_VALUE"""),1)</f>
        <v>1</v>
      </c>
      <c r="Y899" s="12" t="str">
        <f ca="1">IFERROR(__xludf.DUMMYFUNCTION("""COMPUTED_VALUE"""),"Teen shot multiples on school playground")</f>
        <v>Teen shot multiples on school playground</v>
      </c>
      <c r="Z899" s="12" t="str">
        <f ca="1">IFERROR(__xludf.DUMMYFUNCTION("""COMPUTED_VALUE"""),"Amarillo police said a 15-year-old boy was shot multiple times during a fight at Avondale School Park. Police were dispatched to the park behind Avondale Elementary School around 7 p.m. Saturday. When officers arrived, they found a 15-year-old boy who had"&amp;" been shot multiple times. Officers were told several juveniles had been at the park fighting. During the fight, one of them pulled out a gun and started shooting.")</f>
        <v>Amarillo police said a 15-year-old boy was shot multiple times during a fight at Avondale School Park. Police were dispatched to the park behind Avondale Elementary School around 7 p.m. Saturday. When officers arrived, they found a 15-year-old boy who had been shot multiple times. Officers were told several juveniles had been at the park fighting. During the fight, one of them pulled out a gun and started shooting.</v>
      </c>
      <c r="AA899" s="8" t="str">
        <f ca="1">IFERROR(__xludf.DUMMYFUNCTION("""COMPUTED_VALUE"""),"Escalation of Dispute")</f>
        <v>Escalation of Dispute</v>
      </c>
      <c r="AB899" s="8"/>
      <c r="AC899" s="8" t="str">
        <f ca="1">IFERROR(__xludf.DUMMYFUNCTION("""COMPUTED_VALUE"""),"No")</f>
        <v>No</v>
      </c>
      <c r="AD899" s="8" t="str">
        <f ca="1">IFERROR(__xludf.DUMMYFUNCTION("""COMPUTED_VALUE"""),"Victims Targeted")</f>
        <v>Victims Targeted</v>
      </c>
      <c r="AE899" s="8" t="str">
        <f ca="1">IFERROR(__xludf.DUMMYFUNCTION("""COMPUTED_VALUE"""),"Yes")</f>
        <v>Yes</v>
      </c>
      <c r="AF899" s="8" t="str">
        <f ca="1">IFERROR(__xludf.DUMMYFUNCTION("""COMPUTED_VALUE"""),"Multiple teens fighting")</f>
        <v>Multiple teens fighting</v>
      </c>
      <c r="AG899" s="8" t="str">
        <f ca="1">IFERROR(__xludf.DUMMYFUNCTION("""COMPUTED_VALUE"""),"No")</f>
        <v>No</v>
      </c>
      <c r="AH899" s="8" t="str">
        <f ca="1">IFERROR(__xludf.DUMMYFUNCTION("""COMPUTED_VALUE"""),"No")</f>
        <v>No</v>
      </c>
      <c r="AI899" s="8" t="str">
        <f ca="1">IFERROR(__xludf.DUMMYFUNCTION("""COMPUTED_VALUE"""),"No")</f>
        <v>No</v>
      </c>
      <c r="AJ899" s="8"/>
      <c r="AK899" s="8" t="str">
        <f ca="1">IFERROR(__xludf.DUMMYFUNCTION("""COMPUTED_VALUE"""),"No")</f>
        <v>No</v>
      </c>
      <c r="AL899" s="8"/>
      <c r="AM899" s="8" t="str">
        <f ca="1">IFERROR(__xludf.DUMMYFUNCTION("""COMPUTED_VALUE"""),"No")</f>
        <v>No</v>
      </c>
      <c r="AN899" s="8" t="str">
        <f ca="1">IFERROR(__xludf.DUMMYFUNCTION("""COMPUTED_VALUE"""),"Outside")</f>
        <v>Outside</v>
      </c>
      <c r="AO899" s="8" t="str">
        <f ca="1">IFERROR(__xludf.DUMMYFUNCTION("""COMPUTED_VALUE"""),"No")</f>
        <v>No</v>
      </c>
      <c r="AP899" s="8"/>
      <c r="AQ899" s="8"/>
      <c r="AR899" s="8" t="str">
        <f ca="1">IFERROR(__xludf.DUMMYFUNCTION("""COMPUTED_VALUE"""),"Outside/Off-Property")</f>
        <v>Outside/Off-Property</v>
      </c>
      <c r="AS899" s="8">
        <f ca="1">IFERROR(__xludf.DUMMYFUNCTION("""COMPUTED_VALUE"""),99)</f>
        <v>99</v>
      </c>
      <c r="AT899" s="8"/>
      <c r="AU899" s="8">
        <f ca="1">IFERROR(__xludf.DUMMYFUNCTION("""COMPUTED_VALUE"""),35.198637)</f>
        <v>35.198636999999998</v>
      </c>
      <c r="AV899" s="8">
        <f ca="1">IFERROR(__xludf.DUMMYFUNCTION("""COMPUTED_VALUE"""),-101.894922)</f>
        <v>-101.89492199999999</v>
      </c>
      <c r="AW899" s="8"/>
      <c r="AX899" s="8">
        <f ca="1">IFERROR(__xludf.DUMMYFUNCTION("""COMPUTED_VALUE"""),79106)</f>
        <v>79106</v>
      </c>
    </row>
    <row r="900" spans="1:50" ht="210" x14ac:dyDescent="0.2">
      <c r="A900" s="8" t="str">
        <f ca="1">IFERROR(__xludf.DUMMYFUNCTION("""COMPUTED_VALUE"""),"20221029COCRH")</f>
        <v>20221029COCRH</v>
      </c>
      <c r="B900" s="8">
        <f ca="1">IFERROR(__xludf.DUMMYFUNCTION("""COMPUTED_VALUE"""),10)</f>
        <v>10</v>
      </c>
      <c r="C900" s="8">
        <f ca="1">IFERROR(__xludf.DUMMYFUNCTION("""COMPUTED_VALUE"""),29)</f>
        <v>29</v>
      </c>
      <c r="D900" s="8">
        <f ca="1">IFERROR(__xludf.DUMMYFUNCTION("""COMPUTED_VALUE"""),2022)</f>
        <v>2022</v>
      </c>
      <c r="E900" s="9">
        <f ca="1">IFERROR(__xludf.DUMMYFUNCTION("""COMPUTED_VALUE"""),44863)</f>
        <v>44863</v>
      </c>
      <c r="F900" s="8" t="str">
        <f ca="1">IFERROR(__xludf.DUMMYFUNCTION("""COMPUTED_VALUE"""),"Cresthill Middle School")</f>
        <v>Cresthill Middle School</v>
      </c>
      <c r="G900" s="8">
        <f ca="1">IFERROR(__xludf.DUMMYFUNCTION("""COMPUTED_VALUE"""),0)</f>
        <v>0</v>
      </c>
      <c r="H900" s="8">
        <f ca="1">IFERROR(__xludf.DUMMYFUNCTION("""COMPUTED_VALUE"""),0)</f>
        <v>0</v>
      </c>
      <c r="I900" s="8">
        <f ca="1">IFERROR(__xludf.DUMMYFUNCTION("""COMPUTED_VALUE"""),0)</f>
        <v>0</v>
      </c>
      <c r="J900" s="8">
        <f ca="1">IFERROR(__xludf.DUMMYFUNCTION("""COMPUTED_VALUE"""),0)</f>
        <v>0</v>
      </c>
      <c r="K900" s="10" t="str">
        <f ca="1">IFERROR(__xludf.DUMMYFUNCTION("""COMPUTED_VALUE"""),"https://www.9news.com/article/news/local/gun-flag-football-game-cresthill/73-7251ca4b-3365-4a6e-9c60-a29e425a3dca")</f>
        <v>https://www.9news.com/article/news/local/gun-flag-football-game-cresthill/73-7251ca4b-3365-4a6e-9c60-a29e425a3dca</v>
      </c>
      <c r="L900" s="8">
        <f ca="1">IFERROR(__xludf.DUMMYFUNCTION("""COMPUTED_VALUE"""),5)</f>
        <v>5</v>
      </c>
      <c r="M900" s="8" t="str">
        <f ca="1">IFERROR(__xludf.DUMMYFUNCTION("""COMPUTED_VALUE"""),"Regional")</f>
        <v>Regional</v>
      </c>
      <c r="N900" s="8">
        <f ca="1">IFERROR(__xludf.DUMMYFUNCTION("""COMPUTED_VALUE"""),4)</f>
        <v>4</v>
      </c>
      <c r="O900" s="8" t="str">
        <f ca="1">IFERROR(__xludf.DUMMYFUNCTION("""COMPUTED_VALUE"""),"Fall")</f>
        <v>Fall</v>
      </c>
      <c r="P900" s="8" t="str">
        <f ca="1">IFERROR(__xludf.DUMMYFUNCTION("""COMPUTED_VALUE"""),"Highlands Ranch")</f>
        <v>Highlands Ranch</v>
      </c>
      <c r="Q900" s="8" t="str">
        <f ca="1">IFERROR(__xludf.DUMMYFUNCTION("""COMPUTED_VALUE"""),"CO")</f>
        <v>CO</v>
      </c>
      <c r="R900" s="8" t="str">
        <f ca="1">IFERROR(__xludf.DUMMYFUNCTION("""COMPUTED_VALUE"""),"Middle")</f>
        <v>Middle</v>
      </c>
      <c r="S900" s="8" t="str">
        <f ca="1">IFERROR(__xludf.DUMMYFUNCTION("""COMPUTED_VALUE"""),"Football Field/Track")</f>
        <v>Football Field/Track</v>
      </c>
      <c r="T900" s="8" t="str">
        <f ca="1">IFERROR(__xludf.DUMMYFUNCTION("""COMPUTED_VALUE"""),"Outside on School Property")</f>
        <v>Outside on School Property</v>
      </c>
      <c r="U900" s="8" t="str">
        <f ca="1">IFERROR(__xludf.DUMMYFUNCTION("""COMPUTED_VALUE"""),"No")</f>
        <v>No</v>
      </c>
      <c r="V900" s="8" t="str">
        <f ca="1">IFERROR(__xludf.DUMMYFUNCTION("""COMPUTED_VALUE"""),"Sport Event")</f>
        <v>Sport Event</v>
      </c>
      <c r="W900" s="11">
        <f ca="1">IFERROR(__xludf.DUMMYFUNCTION("""COMPUTED_VALUE"""),0.65625)</f>
        <v>0.65625</v>
      </c>
      <c r="X900" s="8">
        <f ca="1">IFERROR(__xludf.DUMMYFUNCTION("""COMPUTED_VALUE"""),1)</f>
        <v>1</v>
      </c>
      <c r="Y900" s="12" t="str">
        <f ca="1">IFERROR(__xludf.DUMMYFUNCTION("""COMPUTED_VALUE"""),"Man fired shot during youth football game")</f>
        <v>Man fired shot during youth football game</v>
      </c>
      <c r="Z900" s="12" t="str">
        <f ca="1">IFERROR(__xludf.DUMMYFUNCTION("""COMPUTED_VALUE"""),"A man has been arrested after accidentally firing his gun at a flag football game in Highlands Ranch Saturday, sheriff's deputies said. The Douglas County Sheriff's Office said they received several calls of shots fired on or around the football field at "&amp;"Cresthill Middle School at 3:45 p.m. Deputies contacted 65-year-old David Drummond of Aurora, who was attending a flag football game when a handgun fell out of his pants. The sheriff's office said when Drummond picked up the gun, he discharged a round int"&amp;"o the area. There haven't been any reports of injuries. Drummond was taken into custody and booked at the Douglas County Jail on charges of prohibited use of a weapon, unlawful carrying of a weapon on school property, reckless endangerment and disorderly "&amp;"conduct. ")</f>
        <v xml:space="preserve">A man has been arrested after accidentally firing his gun at a flag football game in Highlands Ranch Saturday, sheriff's deputies said. The Douglas County Sheriff's Office said they received several calls of shots fired on or around the football field at Cresthill Middle School at 3:45 p.m. Deputies contacted 65-year-old David Drummond of Aurora, who was attending a flag football game when a handgun fell out of his pants. The sheriff's office said when Drummond picked up the gun, he discharged a round into the area. There haven't been any reports of injuries. Drummond was taken into custody and booked at the Douglas County Jail on charges of prohibited use of a weapon, unlawful carrying of a weapon on school property, reckless endangerment and disorderly conduct. </v>
      </c>
      <c r="AA900" s="8" t="str">
        <f ca="1">IFERROR(__xludf.DUMMYFUNCTION("""COMPUTED_VALUE"""),"Accidental")</f>
        <v>Accidental</v>
      </c>
      <c r="AB900" s="8"/>
      <c r="AC900" s="8" t="str">
        <f ca="1">IFERROR(__xludf.DUMMYFUNCTION("""COMPUTED_VALUE"""),"Yes")</f>
        <v>Yes</v>
      </c>
      <c r="AD900" s="8" t="str">
        <f ca="1">IFERROR(__xludf.DUMMYFUNCTION("""COMPUTED_VALUE"""),"Neither")</f>
        <v>Neither</v>
      </c>
      <c r="AE900" s="8" t="str">
        <f ca="1">IFERROR(__xludf.DUMMYFUNCTION("""COMPUTED_VALUE"""),"No")</f>
        <v>No</v>
      </c>
      <c r="AF900" s="8"/>
      <c r="AG900" s="8" t="str">
        <f ca="1">IFERROR(__xludf.DUMMYFUNCTION("""COMPUTED_VALUE"""),"No")</f>
        <v>No</v>
      </c>
      <c r="AH900" s="8" t="str">
        <f ca="1">IFERROR(__xludf.DUMMYFUNCTION("""COMPUTED_VALUE"""),"No")</f>
        <v>No</v>
      </c>
      <c r="AI900" s="8" t="str">
        <f ca="1">IFERROR(__xludf.DUMMYFUNCTION("""COMPUTED_VALUE"""),"No")</f>
        <v>No</v>
      </c>
      <c r="AJ900" s="8" t="str">
        <f ca="1">IFERROR(__xludf.DUMMYFUNCTION("""COMPUTED_VALUE"""),"No")</f>
        <v>No</v>
      </c>
      <c r="AK900" s="8" t="str">
        <f ca="1">IFERROR(__xludf.DUMMYFUNCTION("""COMPUTED_VALUE"""),"No")</f>
        <v>No</v>
      </c>
      <c r="AL900" s="8"/>
      <c r="AM900" s="8" t="str">
        <f ca="1">IFERROR(__xludf.DUMMYFUNCTION("""COMPUTED_VALUE"""),"No")</f>
        <v>No</v>
      </c>
      <c r="AN900" s="8" t="str">
        <f ca="1">IFERROR(__xludf.DUMMYFUNCTION("""COMPUTED_VALUE"""),"Outside")</f>
        <v>Outside</v>
      </c>
      <c r="AO900" s="8" t="str">
        <f ca="1">IFERROR(__xludf.DUMMYFUNCTION("""COMPUTED_VALUE"""),"No")</f>
        <v>No</v>
      </c>
      <c r="AP900" s="8"/>
      <c r="AQ900" s="8"/>
      <c r="AR900" s="8" t="str">
        <f ca="1">IFERROR(__xludf.DUMMYFUNCTION("""COMPUTED_VALUE"""),"Outside/Off-Property")</f>
        <v>Outside/Off-Property</v>
      </c>
      <c r="AS900" s="8">
        <f ca="1">IFERROR(__xludf.DUMMYFUNCTION("""COMPUTED_VALUE"""),1)</f>
        <v>1</v>
      </c>
      <c r="AT900" s="8"/>
      <c r="AU900" s="8">
        <f ca="1">IFERROR(__xludf.DUMMYFUNCTION("""COMPUTED_VALUE"""),39.547508)</f>
        <v>39.547508000000001</v>
      </c>
      <c r="AV900" s="8">
        <f ca="1">IFERROR(__xludf.DUMMYFUNCTION("""COMPUTED_VALUE"""),-104.93291)</f>
        <v>-104.93291000000001</v>
      </c>
      <c r="AW900" s="8"/>
      <c r="AX900" s="8">
        <f ca="1">IFERROR(__xludf.DUMMYFUNCTION("""COMPUTED_VALUE"""),80130)</f>
        <v>80130</v>
      </c>
    </row>
    <row r="901" spans="1:50" ht="75" x14ac:dyDescent="0.2">
      <c r="A901" s="8" t="str">
        <f ca="1">IFERROR(__xludf.DUMMYFUNCTION("""COMPUTED_VALUE"""),"20221028TXROR")</f>
        <v>20221028TXROR</v>
      </c>
      <c r="B901" s="8">
        <f ca="1">IFERROR(__xludf.DUMMYFUNCTION("""COMPUTED_VALUE"""),10)</f>
        <v>10</v>
      </c>
      <c r="C901" s="8">
        <f ca="1">IFERROR(__xludf.DUMMYFUNCTION("""COMPUTED_VALUE"""),28)</f>
        <v>28</v>
      </c>
      <c r="D901" s="8">
        <f ca="1">IFERROR(__xludf.DUMMYFUNCTION("""COMPUTED_VALUE"""),2022)</f>
        <v>2022</v>
      </c>
      <c r="E901" s="9">
        <f ca="1">IFERROR(__xludf.DUMMYFUNCTION("""COMPUTED_VALUE"""),44862)</f>
        <v>44862</v>
      </c>
      <c r="F901" s="8" t="str">
        <f ca="1">IFERROR(__xludf.DUMMYFUNCTION("""COMPUTED_VALUE"""),"Rowlett High School")</f>
        <v>Rowlett High School</v>
      </c>
      <c r="G901" s="8">
        <f ca="1">IFERROR(__xludf.DUMMYFUNCTION("""COMPUTED_VALUE"""),0)</f>
        <v>0</v>
      </c>
      <c r="H901" s="8">
        <f ca="1">IFERROR(__xludf.DUMMYFUNCTION("""COMPUTED_VALUE"""),0)</f>
        <v>0</v>
      </c>
      <c r="I901" s="8">
        <f ca="1">IFERROR(__xludf.DUMMYFUNCTION("""COMPUTED_VALUE"""),0)</f>
        <v>0</v>
      </c>
      <c r="J901" s="8">
        <f ca="1">IFERROR(__xludf.DUMMYFUNCTION("""COMPUTED_VALUE"""),0)</f>
        <v>0</v>
      </c>
      <c r="K901" s="8" t="str">
        <f ca="1">IFERROR(__xludf.DUMMYFUNCTION("""COMPUTED_VALUE"""),"https://www.fox4news.com/news/rowlett-high-school-campus-disturbance-under-investigation
https://www.wavy.com/news/north-carolina/arrest-made-in-friday-night-shooting-at-duplin-county-football-game/")</f>
        <v>https://www.fox4news.com/news/rowlett-high-school-campus-disturbance-under-investigation
https://www.wavy.com/news/north-carolina/arrest-made-in-friday-night-shooting-at-duplin-county-football-game/</v>
      </c>
      <c r="L901" s="8">
        <f ca="1">IFERROR(__xludf.DUMMYFUNCTION("""COMPUTED_VALUE"""),10)</f>
        <v>10</v>
      </c>
      <c r="M901" s="8" t="str">
        <f ca="1">IFERROR(__xludf.DUMMYFUNCTION("""COMPUTED_VALUE"""),"Regional")</f>
        <v>Regional</v>
      </c>
      <c r="N901" s="8">
        <f ca="1">IFERROR(__xludf.DUMMYFUNCTION("""COMPUTED_VALUE"""),4)</f>
        <v>4</v>
      </c>
      <c r="O901" s="8" t="str">
        <f ca="1">IFERROR(__xludf.DUMMYFUNCTION("""COMPUTED_VALUE"""),"Fall")</f>
        <v>Fall</v>
      </c>
      <c r="P901" s="8" t="str">
        <f ca="1">IFERROR(__xludf.DUMMYFUNCTION("""COMPUTED_VALUE"""),"Rowlett")</f>
        <v>Rowlett</v>
      </c>
      <c r="Q901" s="8" t="str">
        <f ca="1">IFERROR(__xludf.DUMMYFUNCTION("""COMPUTED_VALUE"""),"TX")</f>
        <v>TX</v>
      </c>
      <c r="R901" s="8" t="str">
        <f ca="1">IFERROR(__xludf.DUMMYFUNCTION("""COMPUTED_VALUE"""),"High")</f>
        <v>High</v>
      </c>
      <c r="S901" s="8" t="str">
        <f ca="1">IFERROR(__xludf.DUMMYFUNCTION("""COMPUTED_VALUE"""),"Bathroom")</f>
        <v>Bathroom</v>
      </c>
      <c r="T901" s="8" t="str">
        <f ca="1">IFERROR(__xludf.DUMMYFUNCTION("""COMPUTED_VALUE"""),"Inside School Building")</f>
        <v>Inside School Building</v>
      </c>
      <c r="U901" s="8" t="str">
        <f ca="1">IFERROR(__xludf.DUMMYFUNCTION("""COMPUTED_VALUE"""),"No")</f>
        <v>No</v>
      </c>
      <c r="V901" s="8" t="str">
        <f ca="1">IFERROR(__xludf.DUMMYFUNCTION("""COMPUTED_VALUE"""),"Morning Classes")</f>
        <v>Morning Classes</v>
      </c>
      <c r="W901" s="11">
        <f ca="1">IFERROR(__xludf.DUMMYFUNCTION("""COMPUTED_VALUE"""),0.458333333333333)</f>
        <v>0.45833333333333298</v>
      </c>
      <c r="X901" s="8">
        <f ca="1">IFERROR(__xludf.DUMMYFUNCTION("""COMPUTED_VALUE"""),1)</f>
        <v>1</v>
      </c>
      <c r="Y901" s="12" t="str">
        <f ca="1">IFERROR(__xludf.DUMMYFUNCTION("""COMPUTED_VALUE"""),"Student struck multiple times with loaded handgun during fight in bathroom")</f>
        <v>Student struck multiple times with loaded handgun during fight in bathroom</v>
      </c>
      <c r="Z901" s="12" t="str">
        <f ca="1">IFERROR(__xludf.DUMMYFUNCTION("""COMPUTED_VALUE"""),"A student told police he was jumped in the boys’ bathroom by three other students and then hit multiple times with a loaded handgun.  School went on lockdown. 3 students arrested.")</f>
        <v>A student told police he was jumped in the boys’ bathroom by three other students and then hit multiple times with a loaded handgun.  School went on lockdown. 3 students arrested.</v>
      </c>
      <c r="AA901" s="8" t="str">
        <f ca="1">IFERROR(__xludf.DUMMYFUNCTION("""COMPUTED_VALUE"""),"Escalation of Dispute")</f>
        <v>Escalation of Dispute</v>
      </c>
      <c r="AB901" s="8"/>
      <c r="AC901" s="8" t="str">
        <f ca="1">IFERROR(__xludf.DUMMYFUNCTION("""COMPUTED_VALUE"""),"Yes")</f>
        <v>Yes</v>
      </c>
      <c r="AD901" s="8" t="str">
        <f ca="1">IFERROR(__xludf.DUMMYFUNCTION("""COMPUTED_VALUE"""),"Victims Targeted")</f>
        <v>Victims Targeted</v>
      </c>
      <c r="AE901" s="8" t="str">
        <f ca="1">IFERROR(__xludf.DUMMYFUNCTION("""COMPUTED_VALUE"""),"Yes")</f>
        <v>Yes</v>
      </c>
      <c r="AF901" s="8" t="str">
        <f ca="1">IFERROR(__xludf.DUMMYFUNCTION("""COMPUTED_VALUE"""),"3 students arrested")</f>
        <v>3 students arrested</v>
      </c>
      <c r="AG901" s="8" t="str">
        <f ca="1">IFERROR(__xludf.DUMMYFUNCTION("""COMPUTED_VALUE"""),"No")</f>
        <v>No</v>
      </c>
      <c r="AH901" s="8" t="str">
        <f ca="1">IFERROR(__xludf.DUMMYFUNCTION("""COMPUTED_VALUE"""),"No")</f>
        <v>No</v>
      </c>
      <c r="AI901" s="8" t="str">
        <f ca="1">IFERROR(__xludf.DUMMYFUNCTION("""COMPUTED_VALUE"""),"No")</f>
        <v>No</v>
      </c>
      <c r="AJ901" s="8"/>
      <c r="AK901" s="8" t="str">
        <f ca="1">IFERROR(__xludf.DUMMYFUNCTION("""COMPUTED_VALUE"""),"No")</f>
        <v>No</v>
      </c>
      <c r="AL901" s="8"/>
      <c r="AM901" s="8" t="str">
        <f ca="1">IFERROR(__xludf.DUMMYFUNCTION("""COMPUTED_VALUE"""),"No")</f>
        <v>No</v>
      </c>
      <c r="AN901" s="8" t="str">
        <f ca="1">IFERROR(__xludf.DUMMYFUNCTION("""COMPUTED_VALUE"""),"Single Room")</f>
        <v>Single Room</v>
      </c>
      <c r="AO901" s="8" t="str">
        <f ca="1">IFERROR(__xludf.DUMMYFUNCTION("""COMPUTED_VALUE"""),"No")</f>
        <v>No</v>
      </c>
      <c r="AP901" s="8" t="str">
        <f ca="1">IFERROR(__xludf.DUMMYFUNCTION("""COMPUTED_VALUE"""),"Yes")</f>
        <v>Yes</v>
      </c>
      <c r="AQ901" s="8"/>
      <c r="AR901" s="8" t="str">
        <f ca="1">IFERROR(__xludf.DUMMYFUNCTION("""COMPUTED_VALUE"""),"Failed")</f>
        <v>Failed</v>
      </c>
      <c r="AS901" s="8">
        <f ca="1">IFERROR(__xludf.DUMMYFUNCTION("""COMPUTED_VALUE"""),0)</f>
        <v>0</v>
      </c>
      <c r="AT901" s="8" t="str">
        <f ca="1">IFERROR(__xludf.DUMMYFUNCTION("""COMPUTED_VALUE"""),"Yes")</f>
        <v>Yes</v>
      </c>
      <c r="AU901" s="8">
        <f ca="1">IFERROR(__xludf.DUMMYFUNCTION("""COMPUTED_VALUE"""),32.901588)</f>
        <v>32.901587999999997</v>
      </c>
      <c r="AV901" s="8">
        <f ca="1">IFERROR(__xludf.DUMMYFUNCTION("""COMPUTED_VALUE"""),-96.552898)</f>
        <v>-96.552897999999999</v>
      </c>
      <c r="AW901" s="8"/>
      <c r="AX901" s="8">
        <f ca="1">IFERROR(__xludf.DUMMYFUNCTION("""COMPUTED_VALUE"""),75088)</f>
        <v>75088</v>
      </c>
    </row>
    <row r="902" spans="1:50" ht="60" x14ac:dyDescent="0.2">
      <c r="A902" s="8" t="str">
        <f ca="1">IFERROR(__xludf.DUMMYFUNCTION("""COMPUTED_VALUE"""),"20221028NCWAT")</f>
        <v>20221028NCWAT</v>
      </c>
      <c r="B902" s="8">
        <f ca="1">IFERROR(__xludf.DUMMYFUNCTION("""COMPUTED_VALUE"""),10)</f>
        <v>10</v>
      </c>
      <c r="C902" s="8">
        <f ca="1">IFERROR(__xludf.DUMMYFUNCTION("""COMPUTED_VALUE"""),28)</f>
        <v>28</v>
      </c>
      <c r="D902" s="8">
        <f ca="1">IFERROR(__xludf.DUMMYFUNCTION("""COMPUTED_VALUE"""),2022)</f>
        <v>2022</v>
      </c>
      <c r="E902" s="9">
        <f ca="1">IFERROR(__xludf.DUMMYFUNCTION("""COMPUTED_VALUE"""),44862)</f>
        <v>44862</v>
      </c>
      <c r="F902" s="8" t="str">
        <f ca="1">IFERROR(__xludf.DUMMYFUNCTION("""COMPUTED_VALUE"""),"Wallace Rose Hill High School")</f>
        <v>Wallace Rose Hill High School</v>
      </c>
      <c r="G902" s="8">
        <f ca="1">IFERROR(__xludf.DUMMYFUNCTION("""COMPUTED_VALUE"""),0)</f>
        <v>0</v>
      </c>
      <c r="H902" s="8">
        <f ca="1">IFERROR(__xludf.DUMMYFUNCTION("""COMPUTED_VALUE"""),0)</f>
        <v>0</v>
      </c>
      <c r="I902" s="8">
        <f ca="1">IFERROR(__xludf.DUMMYFUNCTION("""COMPUTED_VALUE"""),0)</f>
        <v>0</v>
      </c>
      <c r="J902" s="8">
        <f ca="1">IFERROR(__xludf.DUMMYFUNCTION("""COMPUTED_VALUE"""),0)</f>
        <v>0</v>
      </c>
      <c r="K902" s="8" t="str">
        <f ca="1">IFERROR(__xludf.DUMMYFUNCTION("""COMPUTED_VALUE"""),"https://www.witn.com/2022/10/29/investigation-underway-after-shot-fired-high-school-football-game-duplin-county/
https://www.wect.com/2022/10/29/shot-fired-james-keenan-vs-wallace-rose-hill-football-game/
https://wcti12.com/news/local/shots-fired-cancels-"&amp;"high-school-football-game-no-one-injured")</f>
        <v>https://www.witn.com/2022/10/29/investigation-underway-after-shot-fired-high-school-football-game-duplin-county/
https://www.wect.com/2022/10/29/shot-fired-james-keenan-vs-wallace-rose-hill-football-game/
https://wcti12.com/news/local/shots-fired-cancels-high-school-football-game-no-one-injured</v>
      </c>
      <c r="L902" s="8">
        <f ca="1">IFERROR(__xludf.DUMMYFUNCTION("""COMPUTED_VALUE"""),5)</f>
        <v>5</v>
      </c>
      <c r="M902" s="8" t="str">
        <f ca="1">IFERROR(__xludf.DUMMYFUNCTION("""COMPUTED_VALUE"""),"Regional")</f>
        <v>Regional</v>
      </c>
      <c r="N902" s="8">
        <f ca="1">IFERROR(__xludf.DUMMYFUNCTION("""COMPUTED_VALUE"""),4)</f>
        <v>4</v>
      </c>
      <c r="O902" s="8" t="str">
        <f ca="1">IFERROR(__xludf.DUMMYFUNCTION("""COMPUTED_VALUE"""),"Fall")</f>
        <v>Fall</v>
      </c>
      <c r="P902" s="8" t="str">
        <f ca="1">IFERROR(__xludf.DUMMYFUNCTION("""COMPUTED_VALUE"""),"Teachey")</f>
        <v>Teachey</v>
      </c>
      <c r="Q902" s="8" t="str">
        <f ca="1">IFERROR(__xludf.DUMMYFUNCTION("""COMPUTED_VALUE"""),"NC")</f>
        <v>NC</v>
      </c>
      <c r="R902" s="8" t="str">
        <f ca="1">IFERROR(__xludf.DUMMYFUNCTION("""COMPUTED_VALUE"""),"High")</f>
        <v>High</v>
      </c>
      <c r="S902" s="8" t="str">
        <f ca="1">IFERROR(__xludf.DUMMYFUNCTION("""COMPUTED_VALUE"""),"Football Field/Track")</f>
        <v>Football Field/Track</v>
      </c>
      <c r="T902" s="8" t="str">
        <f ca="1">IFERROR(__xludf.DUMMYFUNCTION("""COMPUTED_VALUE"""),"Outside on School Property")</f>
        <v>Outside on School Property</v>
      </c>
      <c r="U902" s="8" t="str">
        <f ca="1">IFERROR(__xludf.DUMMYFUNCTION("""COMPUTED_VALUE"""),"No")</f>
        <v>No</v>
      </c>
      <c r="V902" s="8" t="str">
        <f ca="1">IFERROR(__xludf.DUMMYFUNCTION("""COMPUTED_VALUE"""),"Sport Event")</f>
        <v>Sport Event</v>
      </c>
      <c r="W902" s="11">
        <f ca="1">IFERROR(__xludf.DUMMYFUNCTION("""COMPUTED_VALUE"""),0.875)</f>
        <v>0.875</v>
      </c>
      <c r="X902" s="8">
        <f ca="1">IFERROR(__xludf.DUMMYFUNCTION("""COMPUTED_VALUE"""),1)</f>
        <v>1</v>
      </c>
      <c r="Y902" s="12" t="str">
        <f ca="1">IFERROR(__xludf.DUMMYFUNCTION("""COMPUTED_VALUE"""),"Shots fired during fight between fans at high school game")</f>
        <v>Shots fired during fight between fans at high school game</v>
      </c>
      <c r="Z902" s="12" t="str">
        <f ca="1">IFERROR(__xludf.DUMMYFUNCTION("""COMPUTED_VALUE"""),"Shot fired during fight between fans with 25 seconds left in high school football game. Stadium evacuated and game postponed. No injuries.")</f>
        <v>Shot fired during fight between fans with 25 seconds left in high school football game. Stadium evacuated and game postponed. No injuries.</v>
      </c>
      <c r="AA902" s="8" t="str">
        <f ca="1">IFERROR(__xludf.DUMMYFUNCTION("""COMPUTED_VALUE"""),"Escalation of Dispute")</f>
        <v>Escalation of Dispute</v>
      </c>
      <c r="AB902" s="8"/>
      <c r="AC902" s="8" t="str">
        <f ca="1">IFERROR(__xludf.DUMMYFUNCTION("""COMPUTED_VALUE"""),"Yes")</f>
        <v>Yes</v>
      </c>
      <c r="AD902" s="8" t="str">
        <f ca="1">IFERROR(__xludf.DUMMYFUNCTION("""COMPUTED_VALUE"""),"Victims Targeted")</f>
        <v>Victims Targeted</v>
      </c>
      <c r="AE902" s="8" t="str">
        <f ca="1">IFERROR(__xludf.DUMMYFUNCTION("""COMPUTED_VALUE"""),"No")</f>
        <v>No</v>
      </c>
      <c r="AF902" s="8"/>
      <c r="AG902" s="8" t="str">
        <f ca="1">IFERROR(__xludf.DUMMYFUNCTION("""COMPUTED_VALUE"""),"No")</f>
        <v>No</v>
      </c>
      <c r="AH902" s="8" t="str">
        <f ca="1">IFERROR(__xludf.DUMMYFUNCTION("""COMPUTED_VALUE"""),"No")</f>
        <v>No</v>
      </c>
      <c r="AI902" s="8" t="str">
        <f ca="1">IFERROR(__xludf.DUMMYFUNCTION("""COMPUTED_VALUE"""),"No")</f>
        <v>No</v>
      </c>
      <c r="AJ902" s="8" t="str">
        <f ca="1">IFERROR(__xludf.DUMMYFUNCTION("""COMPUTED_VALUE"""),"No")</f>
        <v>No</v>
      </c>
      <c r="AK902" s="8" t="str">
        <f ca="1">IFERROR(__xludf.DUMMYFUNCTION("""COMPUTED_VALUE"""),"No")</f>
        <v>No</v>
      </c>
      <c r="AL902" s="8"/>
      <c r="AM902" s="8" t="str">
        <f ca="1">IFERROR(__xludf.DUMMYFUNCTION("""COMPUTED_VALUE"""),"No")</f>
        <v>No</v>
      </c>
      <c r="AN902" s="8" t="str">
        <f ca="1">IFERROR(__xludf.DUMMYFUNCTION("""COMPUTED_VALUE"""),"Outside")</f>
        <v>Outside</v>
      </c>
      <c r="AO902" s="8" t="str">
        <f ca="1">IFERROR(__xludf.DUMMYFUNCTION("""COMPUTED_VALUE"""),"No")</f>
        <v>No</v>
      </c>
      <c r="AP902" s="8"/>
      <c r="AQ902" s="8"/>
      <c r="AR902" s="8" t="str">
        <f ca="1">IFERROR(__xludf.DUMMYFUNCTION("""COMPUTED_VALUE"""),"Outside/Off-Property")</f>
        <v>Outside/Off-Property</v>
      </c>
      <c r="AS902" s="8">
        <f ca="1">IFERROR(__xludf.DUMMYFUNCTION("""COMPUTED_VALUE"""),99)</f>
        <v>99</v>
      </c>
      <c r="AT902" s="8"/>
      <c r="AU902" s="8">
        <f ca="1">IFERROR(__xludf.DUMMYFUNCTION("""COMPUTED_VALUE"""),34.771158)</f>
        <v>34.771158</v>
      </c>
      <c r="AV902" s="8">
        <f ca="1">IFERROR(__xludf.DUMMYFUNCTION("""COMPUTED_VALUE"""),-78.00013)</f>
        <v>-78.000129999999999</v>
      </c>
      <c r="AW902" s="8"/>
      <c r="AX902" s="8">
        <f ca="1">IFERROR(__xludf.DUMMYFUNCTION("""COMPUTED_VALUE"""),28464)</f>
        <v>28464</v>
      </c>
    </row>
    <row r="903" spans="1:50" ht="60" x14ac:dyDescent="0.2">
      <c r="A903" s="8" t="str">
        <f ca="1">IFERROR(__xludf.DUMMYFUNCTION("""COMPUTED_VALUE"""),"20221028ARROR")</f>
        <v>20221028ARROR</v>
      </c>
      <c r="B903" s="8">
        <f ca="1">IFERROR(__xludf.DUMMYFUNCTION("""COMPUTED_VALUE"""),10)</f>
        <v>10</v>
      </c>
      <c r="C903" s="8">
        <f ca="1">IFERROR(__xludf.DUMMYFUNCTION("""COMPUTED_VALUE"""),28)</f>
        <v>28</v>
      </c>
      <c r="D903" s="8">
        <f ca="1">IFERROR(__xludf.DUMMYFUNCTION("""COMPUTED_VALUE"""),2022)</f>
        <v>2022</v>
      </c>
      <c r="E903" s="9">
        <f ca="1">IFERROR(__xludf.DUMMYFUNCTION("""COMPUTED_VALUE"""),44862)</f>
        <v>44862</v>
      </c>
      <c r="F903" s="8" t="str">
        <f ca="1">IFERROR(__xludf.DUMMYFUNCTION("""COMPUTED_VALUE"""),"Rogers School District Bus")</f>
        <v>Rogers School District Bus</v>
      </c>
      <c r="G903" s="8">
        <f ca="1">IFERROR(__xludf.DUMMYFUNCTION("""COMPUTED_VALUE"""),0)</f>
        <v>0</v>
      </c>
      <c r="H903" s="8">
        <f ca="1">IFERROR(__xludf.DUMMYFUNCTION("""COMPUTED_VALUE"""),0)</f>
        <v>0</v>
      </c>
      <c r="I903" s="8">
        <f ca="1">IFERROR(__xludf.DUMMYFUNCTION("""COMPUTED_VALUE"""),0)</f>
        <v>0</v>
      </c>
      <c r="J903" s="8">
        <f ca="1">IFERROR(__xludf.DUMMYFUNCTION("""COMPUTED_VALUE"""),0)</f>
        <v>0</v>
      </c>
      <c r="K903" s="8" t="str">
        <f ca="1">IFERROR(__xludf.DUMMYFUNCTION("""COMPUTED_VALUE"""),"https://www.nwaonline.com/news/2022/oct/29/no-injuries-reported-after-rogers-school-buses/
https://www.nwahomepage.com/news/12-year-old-shoots-rogers-school-buses/")</f>
        <v>https://www.nwaonline.com/news/2022/oct/29/no-injuries-reported-after-rogers-school-buses/
https://www.nwahomepage.com/news/12-year-old-shoots-rogers-school-buses/</v>
      </c>
      <c r="L903" s="8">
        <f ca="1">IFERROR(__xludf.DUMMYFUNCTION("""COMPUTED_VALUE"""),1)</f>
        <v>1</v>
      </c>
      <c r="M903" s="8" t="str">
        <f ca="1">IFERROR(__xludf.DUMMYFUNCTION("""COMPUTED_VALUE"""),"Local")</f>
        <v>Local</v>
      </c>
      <c r="N903" s="8">
        <f ca="1">IFERROR(__xludf.DUMMYFUNCTION("""COMPUTED_VALUE"""),3)</f>
        <v>3</v>
      </c>
      <c r="O903" s="8" t="str">
        <f ca="1">IFERROR(__xludf.DUMMYFUNCTION("""COMPUTED_VALUE"""),"Fall")</f>
        <v>Fall</v>
      </c>
      <c r="P903" s="8" t="str">
        <f ca="1">IFERROR(__xludf.DUMMYFUNCTION("""COMPUTED_VALUE"""),"Rogers")</f>
        <v>Rogers</v>
      </c>
      <c r="Q903" s="8" t="str">
        <f ca="1">IFERROR(__xludf.DUMMYFUNCTION("""COMPUTED_VALUE"""),"AR")</f>
        <v>AR</v>
      </c>
      <c r="R903" s="8" t="str">
        <f ca="1">IFERROR(__xludf.DUMMYFUNCTION("""COMPUTED_VALUE"""),"K-12")</f>
        <v>K-12</v>
      </c>
      <c r="S903" s="8" t="str">
        <f ca="1">IFERROR(__xludf.DUMMYFUNCTION("""COMPUTED_VALUE"""),"School Bus")</f>
        <v>School Bus</v>
      </c>
      <c r="T903" s="8" t="str">
        <f ca="1">IFERROR(__xludf.DUMMYFUNCTION("""COMPUTED_VALUE"""),"School Bus")</f>
        <v>School Bus</v>
      </c>
      <c r="U903" s="8" t="str">
        <f ca="1">IFERROR(__xludf.DUMMYFUNCTION("""COMPUTED_VALUE"""),"Yes")</f>
        <v>Yes</v>
      </c>
      <c r="V903" s="8" t="str">
        <f ca="1">IFERROR(__xludf.DUMMYFUNCTION("""COMPUTED_VALUE"""),"Dismissal")</f>
        <v>Dismissal</v>
      </c>
      <c r="W903" s="11">
        <f ca="1">IFERROR(__xludf.DUMMYFUNCTION("""COMPUTED_VALUE"""),0.583333333333333)</f>
        <v>0.58333333333333304</v>
      </c>
      <c r="X903" s="8">
        <f ca="1">IFERROR(__xludf.DUMMYFUNCTION("""COMPUTED_VALUE"""),1)</f>
        <v>1</v>
      </c>
      <c r="Y903" s="12" t="str">
        <f ca="1">IFERROR(__xludf.DUMMYFUNCTION("""COMPUTED_VALUE"""),"Pellets broke window of occupied school bus driving students home")</f>
        <v>Pellets broke window of occupied school bus driving students home</v>
      </c>
      <c r="Z903" s="12" t="str">
        <f ca="1">IFERROR(__xludf.DUMMYFUNCTION("""COMPUTED_VALUE"""),"Pellets broke window of occupied school bus driving students home. No injuries.")</f>
        <v>Pellets broke window of occupied school bus driving students home. No injuries.</v>
      </c>
      <c r="AA903" s="8" t="str">
        <f ca="1">IFERROR(__xludf.DUMMYFUNCTION("""COMPUTED_VALUE"""),"Intentional Property Damage")</f>
        <v>Intentional Property Damage</v>
      </c>
      <c r="AB903" s="8"/>
      <c r="AC903" s="8" t="str">
        <f ca="1">IFERROR(__xludf.DUMMYFUNCTION("""COMPUTED_VALUE"""),"Yes")</f>
        <v>Yes</v>
      </c>
      <c r="AD903" s="8" t="str">
        <f ca="1">IFERROR(__xludf.DUMMYFUNCTION("""COMPUTED_VALUE"""),"Random Shooting")</f>
        <v>Random Shooting</v>
      </c>
      <c r="AE903" s="8" t="str">
        <f ca="1">IFERROR(__xludf.DUMMYFUNCTION("""COMPUTED_VALUE"""),"No")</f>
        <v>No</v>
      </c>
      <c r="AF903" s="8"/>
      <c r="AG903" s="8" t="str">
        <f ca="1">IFERROR(__xludf.DUMMYFUNCTION("""COMPUTED_VALUE"""),"No")</f>
        <v>No</v>
      </c>
      <c r="AH903" s="8" t="str">
        <f ca="1">IFERROR(__xludf.DUMMYFUNCTION("""COMPUTED_VALUE"""),"No")</f>
        <v>No</v>
      </c>
      <c r="AI903" s="8" t="str">
        <f ca="1">IFERROR(__xludf.DUMMYFUNCTION("""COMPUTED_VALUE"""),"No")</f>
        <v>No</v>
      </c>
      <c r="AJ903" s="8" t="str">
        <f ca="1">IFERROR(__xludf.DUMMYFUNCTION("""COMPUTED_VALUE"""),"No")</f>
        <v>No</v>
      </c>
      <c r="AK903" s="8" t="str">
        <f ca="1">IFERROR(__xludf.DUMMYFUNCTION("""COMPUTED_VALUE"""),"No")</f>
        <v>No</v>
      </c>
      <c r="AL903" s="8"/>
      <c r="AM903" s="8" t="str">
        <f ca="1">IFERROR(__xludf.DUMMYFUNCTION("""COMPUTED_VALUE"""),"No")</f>
        <v>No</v>
      </c>
      <c r="AN903" s="8" t="str">
        <f ca="1">IFERROR(__xludf.DUMMYFUNCTION("""COMPUTED_VALUE"""),"Outside")</f>
        <v>Outside</v>
      </c>
      <c r="AO903" s="8" t="str">
        <f ca="1">IFERROR(__xludf.DUMMYFUNCTION("""COMPUTED_VALUE"""),"No")</f>
        <v>No</v>
      </c>
      <c r="AP903" s="8"/>
      <c r="AQ903" s="8"/>
      <c r="AR903" s="8" t="str">
        <f ca="1">IFERROR(__xludf.DUMMYFUNCTION("""COMPUTED_VALUE"""),"Outside/Off-Property")</f>
        <v>Outside/Off-Property</v>
      </c>
      <c r="AS903" s="8">
        <f ca="1">IFERROR(__xludf.DUMMYFUNCTION("""COMPUTED_VALUE"""),99)</f>
        <v>99</v>
      </c>
      <c r="AT903" s="8"/>
      <c r="AU903" s="8">
        <f ca="1">IFERROR(__xludf.DUMMYFUNCTION("""COMPUTED_VALUE"""),36.329493)</f>
        <v>36.329492999999999</v>
      </c>
      <c r="AV903" s="8">
        <f ca="1">IFERROR(__xludf.DUMMYFUNCTION("""COMPUTED_VALUE"""),-94.123063)</f>
        <v>-94.123063000000002</v>
      </c>
      <c r="AW903" s="8"/>
      <c r="AX903" s="8">
        <f ca="1">IFERROR(__xludf.DUMMYFUNCTION("""COMPUTED_VALUE"""),72756)</f>
        <v>72756</v>
      </c>
    </row>
    <row r="904" spans="1:50" ht="90" x14ac:dyDescent="0.2">
      <c r="A904" s="8" t="str">
        <f ca="1">IFERROR(__xludf.DUMMYFUNCTION("""COMPUTED_VALUE"""),"20221026TXUTU")</f>
        <v>20221026TXUTU</v>
      </c>
      <c r="B904" s="8">
        <f ca="1">IFERROR(__xludf.DUMMYFUNCTION("""COMPUTED_VALUE"""),10)</f>
        <v>10</v>
      </c>
      <c r="C904" s="8">
        <f ca="1">IFERROR(__xludf.DUMMYFUNCTION("""COMPUTED_VALUE"""),26)</f>
        <v>26</v>
      </c>
      <c r="D904" s="8">
        <f ca="1">IFERROR(__xludf.DUMMYFUNCTION("""COMPUTED_VALUE"""),2022)</f>
        <v>2022</v>
      </c>
      <c r="E904" s="9">
        <f ca="1">IFERROR(__xludf.DUMMYFUNCTION("""COMPUTED_VALUE"""),44860)</f>
        <v>44860</v>
      </c>
      <c r="F904" s="8" t="str">
        <f ca="1">IFERROR(__xludf.DUMMYFUNCTION("""COMPUTED_VALUE"""),"Utopia High School")</f>
        <v>Utopia High School</v>
      </c>
      <c r="G904" s="8">
        <f ca="1">IFERROR(__xludf.DUMMYFUNCTION("""COMPUTED_VALUE"""),0)</f>
        <v>0</v>
      </c>
      <c r="H904" s="8">
        <f ca="1">IFERROR(__xludf.DUMMYFUNCTION("""COMPUTED_VALUE"""),0)</f>
        <v>0</v>
      </c>
      <c r="I904" s="8">
        <f ca="1">IFERROR(__xludf.DUMMYFUNCTION("""COMPUTED_VALUE"""),0)</f>
        <v>0</v>
      </c>
      <c r="J904" s="8">
        <f ca="1">IFERROR(__xludf.DUMMYFUNCTION("""COMPUTED_VALUE"""),0)</f>
        <v>0</v>
      </c>
      <c r="K904" s="10" t="str">
        <f ca="1">IFERROR(__xludf.DUMMYFUNCTION("""COMPUTED_VALUE"""),"https://www.uvaldeleadernews.com/articles/no-charges-in-utopia-school-gun-discharge/")</f>
        <v>https://www.uvaldeleadernews.com/articles/no-charges-in-utopia-school-gun-discharge/</v>
      </c>
      <c r="L904" s="8">
        <f ca="1">IFERROR(__xludf.DUMMYFUNCTION("""COMPUTED_VALUE"""),1)</f>
        <v>1</v>
      </c>
      <c r="M904" s="8" t="str">
        <f ca="1">IFERROR(__xludf.DUMMYFUNCTION("""COMPUTED_VALUE"""),"Local")</f>
        <v>Local</v>
      </c>
      <c r="N904" s="8">
        <f ca="1">IFERROR(__xludf.DUMMYFUNCTION("""COMPUTED_VALUE"""),4)</f>
        <v>4</v>
      </c>
      <c r="O904" s="8" t="str">
        <f ca="1">IFERROR(__xludf.DUMMYFUNCTION("""COMPUTED_VALUE"""),"Fall")</f>
        <v>Fall</v>
      </c>
      <c r="P904" s="8" t="str">
        <f ca="1">IFERROR(__xludf.DUMMYFUNCTION("""COMPUTED_VALUE"""),"Utopia")</f>
        <v>Utopia</v>
      </c>
      <c r="Q904" s="8" t="str">
        <f ca="1">IFERROR(__xludf.DUMMYFUNCTION("""COMPUTED_VALUE"""),"TX")</f>
        <v>TX</v>
      </c>
      <c r="R904" s="8" t="str">
        <f ca="1">IFERROR(__xludf.DUMMYFUNCTION("""COMPUTED_VALUE"""),"High")</f>
        <v>High</v>
      </c>
      <c r="S904" s="8" t="str">
        <f ca="1">IFERROR(__xludf.DUMMYFUNCTION("""COMPUTED_VALUE"""),"Inside School Building")</f>
        <v>Inside School Building</v>
      </c>
      <c r="T904" s="8" t="str">
        <f ca="1">IFERROR(__xludf.DUMMYFUNCTION("""COMPUTED_VALUE"""),"Inside School Building")</f>
        <v>Inside School Building</v>
      </c>
      <c r="U904" s="8" t="str">
        <f ca="1">IFERROR(__xludf.DUMMYFUNCTION("""COMPUTED_VALUE"""),"Yes")</f>
        <v>Yes</v>
      </c>
      <c r="V904" s="8"/>
      <c r="W904" s="8"/>
      <c r="X904" s="8">
        <f ca="1">IFERROR(__xludf.DUMMYFUNCTION("""COMPUTED_VALUE"""),1)</f>
        <v>1</v>
      </c>
      <c r="Y904" s="12" t="str">
        <f ca="1">IFERROR(__xludf.DUMMYFUNCTION("""COMPUTED_VALUE"""),"Janitors gun fired when he removed his sweater")</f>
        <v>Janitors gun fired when he removed his sweater</v>
      </c>
      <c r="Z904" s="12" t="str">
        <f ca="1">IFERROR(__xludf.DUMMYFUNCTION("""COMPUTED_VALUE"""),"According to UCSO Deputy Carlos Villarreal, Milam attempted to remove his sweater and his shoulder holster’s velcro came off, causing his 9MM pistol to discharge. UCSO investigator Dan Ruble also investigated the incident. Cody Wells, then a Utopia High S"&amp;"chool senior, was nearby but not injured.")</f>
        <v>According to UCSO Deputy Carlos Villarreal, Milam attempted to remove his sweater and his shoulder holster’s velcro came off, causing his 9MM pistol to discharge. UCSO investigator Dan Ruble also investigated the incident. Cody Wells, then a Utopia High School senior, was nearby but not injured.</v>
      </c>
      <c r="AA904" s="8" t="str">
        <f ca="1">IFERROR(__xludf.DUMMYFUNCTION("""COMPUTED_VALUE"""),"Accidental")</f>
        <v>Accidental</v>
      </c>
      <c r="AB904" s="8"/>
      <c r="AC904" s="8" t="str">
        <f ca="1">IFERROR(__xludf.DUMMYFUNCTION("""COMPUTED_VALUE"""),"Yes")</f>
        <v>Yes</v>
      </c>
      <c r="AD904" s="8" t="str">
        <f ca="1">IFERROR(__xludf.DUMMYFUNCTION("""COMPUTED_VALUE"""),"Neither")</f>
        <v>Neither</v>
      </c>
      <c r="AE904" s="8" t="str">
        <f ca="1">IFERROR(__xludf.DUMMYFUNCTION("""COMPUTED_VALUE"""),"No")</f>
        <v>No</v>
      </c>
      <c r="AF904" s="8"/>
      <c r="AG904" s="8" t="str">
        <f ca="1">IFERROR(__xludf.DUMMYFUNCTION("""COMPUTED_VALUE"""),"No")</f>
        <v>No</v>
      </c>
      <c r="AH904" s="8" t="str">
        <f ca="1">IFERROR(__xludf.DUMMYFUNCTION("""COMPUTED_VALUE"""),"No")</f>
        <v>No</v>
      </c>
      <c r="AI904" s="8" t="str">
        <f ca="1">IFERROR(__xludf.DUMMYFUNCTION("""COMPUTED_VALUE"""),"No")</f>
        <v>No</v>
      </c>
      <c r="AJ904" s="8" t="str">
        <f ca="1">IFERROR(__xludf.DUMMYFUNCTION("""COMPUTED_VALUE"""),"No")</f>
        <v>No</v>
      </c>
      <c r="AK904" s="8" t="str">
        <f ca="1">IFERROR(__xludf.DUMMYFUNCTION("""COMPUTED_VALUE"""),"No")</f>
        <v>No</v>
      </c>
      <c r="AL904" s="8" t="str">
        <f ca="1">IFERROR(__xludf.DUMMYFUNCTION("""COMPUTED_VALUE"""),"No")</f>
        <v>No</v>
      </c>
      <c r="AM904" s="8" t="str">
        <f ca="1">IFERROR(__xludf.DUMMYFUNCTION("""COMPUTED_VALUE"""),"No")</f>
        <v>No</v>
      </c>
      <c r="AN904" s="8"/>
      <c r="AO904" s="8" t="str">
        <f ca="1">IFERROR(__xludf.DUMMYFUNCTION("""COMPUTED_VALUE"""),"No")</f>
        <v>No</v>
      </c>
      <c r="AP904" s="8"/>
      <c r="AQ904" s="8"/>
      <c r="AR904" s="8"/>
      <c r="AS904" s="8">
        <f ca="1">IFERROR(__xludf.DUMMYFUNCTION("""COMPUTED_VALUE"""),1)</f>
        <v>1</v>
      </c>
      <c r="AT904" s="8"/>
      <c r="AU904" s="8">
        <f ca="1">IFERROR(__xludf.DUMMYFUNCTION("""COMPUTED_VALUE"""),29.619017)</f>
        <v>29.619016999999999</v>
      </c>
      <c r="AV904" s="8">
        <f ca="1">IFERROR(__xludf.DUMMYFUNCTION("""COMPUTED_VALUE"""),-99.528439)</f>
        <v>-99.528439000000006</v>
      </c>
      <c r="AW904" s="8"/>
      <c r="AX904" s="8">
        <f ca="1">IFERROR(__xludf.DUMMYFUNCTION("""COMPUTED_VALUE"""),78884)</f>
        <v>78884</v>
      </c>
    </row>
    <row r="905" spans="1:50" ht="45" x14ac:dyDescent="0.2">
      <c r="A905" s="8" t="str">
        <f ca="1">IFERROR(__xludf.DUMMYFUNCTION("""COMPUTED_VALUE"""),"20221026ILMIW")</f>
        <v>20221026ILMIW</v>
      </c>
      <c r="B905" s="8">
        <f ca="1">IFERROR(__xludf.DUMMYFUNCTION("""COMPUTED_VALUE"""),10)</f>
        <v>10</v>
      </c>
      <c r="C905" s="8">
        <f ca="1">IFERROR(__xludf.DUMMYFUNCTION("""COMPUTED_VALUE"""),26)</f>
        <v>26</v>
      </c>
      <c r="D905" s="8">
        <f ca="1">IFERROR(__xludf.DUMMYFUNCTION("""COMPUTED_VALUE"""),2022)</f>
        <v>2022</v>
      </c>
      <c r="E905" s="9">
        <f ca="1">IFERROR(__xludf.DUMMYFUNCTION("""COMPUTED_VALUE"""),44860)</f>
        <v>44860</v>
      </c>
      <c r="F905" s="8" t="str">
        <f ca="1">IFERROR(__xludf.DUMMYFUNCTION("""COMPUTED_VALUE"""),"Miguel Juarez Middle School")</f>
        <v>Miguel Juarez Middle School</v>
      </c>
      <c r="G905" s="8">
        <f ca="1">IFERROR(__xludf.DUMMYFUNCTION("""COMPUTED_VALUE"""),0)</f>
        <v>0</v>
      </c>
      <c r="H905" s="8">
        <f ca="1">IFERROR(__xludf.DUMMYFUNCTION("""COMPUTED_VALUE"""),1)</f>
        <v>1</v>
      </c>
      <c r="I905" s="8">
        <f ca="1">IFERROR(__xludf.DUMMYFUNCTION("""COMPUTED_VALUE"""),1)</f>
        <v>1</v>
      </c>
      <c r="J905" s="8">
        <f ca="1">IFERROR(__xludf.DUMMYFUNCTION("""COMPUTED_VALUE"""),0)</f>
        <v>0</v>
      </c>
      <c r="K905" s="8" t="str">
        <f ca="1">IFERROR(__xludf.DUMMYFUNCTION("""COMPUTED_VALUE"""),"https://www.lakemchenryscanner.com/2022/10/26/16-year-old-boy-shot-on-bike-path-behind-school-in-waukegan/
https://www.cbsnews.com/chicago/video/shots-fired-near-miguel-juarez-middle-school-in-waukegan/")</f>
        <v>https://www.lakemchenryscanner.com/2022/10/26/16-year-old-boy-shot-on-bike-path-behind-school-in-waukegan/
https://www.cbsnews.com/chicago/video/shots-fired-near-miguel-juarez-middle-school-in-waukegan/</v>
      </c>
      <c r="L905" s="8">
        <f ca="1">IFERROR(__xludf.DUMMYFUNCTION("""COMPUTED_VALUE"""),20)</f>
        <v>20</v>
      </c>
      <c r="M905" s="8" t="str">
        <f ca="1">IFERROR(__xludf.DUMMYFUNCTION("""COMPUTED_VALUE"""),"National")</f>
        <v>National</v>
      </c>
      <c r="N905" s="8">
        <f ca="1">IFERROR(__xludf.DUMMYFUNCTION("""COMPUTED_VALUE"""),4)</f>
        <v>4</v>
      </c>
      <c r="O905" s="8" t="str">
        <f ca="1">IFERROR(__xludf.DUMMYFUNCTION("""COMPUTED_VALUE"""),"Fall")</f>
        <v>Fall</v>
      </c>
      <c r="P905" s="8" t="str">
        <f ca="1">IFERROR(__xludf.DUMMYFUNCTION("""COMPUTED_VALUE"""),"Waukegan")</f>
        <v>Waukegan</v>
      </c>
      <c r="Q905" s="8" t="str">
        <f ca="1">IFERROR(__xludf.DUMMYFUNCTION("""COMPUTED_VALUE"""),"IL")</f>
        <v>IL</v>
      </c>
      <c r="R905" s="8" t="str">
        <f ca="1">IFERROR(__xludf.DUMMYFUNCTION("""COMPUTED_VALUE"""),"Middle")</f>
        <v>Middle</v>
      </c>
      <c r="S905" s="8" t="str">
        <f ca="1">IFERROR(__xludf.DUMMYFUNCTION("""COMPUTED_VALUE"""),"Field (General)")</f>
        <v>Field (General)</v>
      </c>
      <c r="T905" s="8" t="str">
        <f ca="1">IFERROR(__xludf.DUMMYFUNCTION("""COMPUTED_VALUE"""),"Outside on School Property")</f>
        <v>Outside on School Property</v>
      </c>
      <c r="U905" s="8" t="str">
        <f ca="1">IFERROR(__xludf.DUMMYFUNCTION("""COMPUTED_VALUE"""),"Yes")</f>
        <v>Yes</v>
      </c>
      <c r="V905" s="8" t="str">
        <f ca="1">IFERROR(__xludf.DUMMYFUNCTION("""COMPUTED_VALUE"""),"Afternoon Classes")</f>
        <v>Afternoon Classes</v>
      </c>
      <c r="W905" s="11">
        <f ca="1">IFERROR(__xludf.DUMMYFUNCTION("""COMPUTED_VALUE"""),0.5625)</f>
        <v>0.5625</v>
      </c>
      <c r="X905" s="8">
        <f ca="1">IFERROR(__xludf.DUMMYFUNCTION("""COMPUTED_VALUE"""),1)</f>
        <v>1</v>
      </c>
      <c r="Y905" s="12" t="str">
        <f ca="1">IFERROR(__xludf.DUMMYFUNCTION("""COMPUTED_VALUE"""),"Teen shot multiple times on path behind school")</f>
        <v>Teen shot multiple times on path behind school</v>
      </c>
      <c r="Z905" s="12" t="str">
        <f ca="1">IFERROR(__xludf.DUMMYFUNCTION("""COMPUTED_VALUE"""),"16-year-old shot multiple times on path behind school. Shooter fled in vehicle. School went on lockdown.")</f>
        <v>16-year-old shot multiple times on path behind school. Shooter fled in vehicle. School went on lockdown.</v>
      </c>
      <c r="AA905" s="8"/>
      <c r="AB905" s="8"/>
      <c r="AC905" s="8" t="str">
        <f ca="1">IFERROR(__xludf.DUMMYFUNCTION("""COMPUTED_VALUE"""),"Yes")</f>
        <v>Yes</v>
      </c>
      <c r="AD905" s="8" t="str">
        <f ca="1">IFERROR(__xludf.DUMMYFUNCTION("""COMPUTED_VALUE"""),"Victims Targeted")</f>
        <v>Victims Targeted</v>
      </c>
      <c r="AE905" s="8"/>
      <c r="AF905" s="8"/>
      <c r="AG905" s="8" t="str">
        <f ca="1">IFERROR(__xludf.DUMMYFUNCTION("""COMPUTED_VALUE"""),"No")</f>
        <v>No</v>
      </c>
      <c r="AH905" s="8" t="str">
        <f ca="1">IFERROR(__xludf.DUMMYFUNCTION("""COMPUTED_VALUE"""),"No")</f>
        <v>No</v>
      </c>
      <c r="AI905" s="8" t="str">
        <f ca="1">IFERROR(__xludf.DUMMYFUNCTION("""COMPUTED_VALUE"""),"No")</f>
        <v>No</v>
      </c>
      <c r="AJ905" s="8" t="str">
        <f ca="1">IFERROR(__xludf.DUMMYFUNCTION("""COMPUTED_VALUE"""),"No")</f>
        <v>No</v>
      </c>
      <c r="AK905" s="8" t="str">
        <f ca="1">IFERROR(__xludf.DUMMYFUNCTION("""COMPUTED_VALUE"""),"No")</f>
        <v>No</v>
      </c>
      <c r="AL905" s="8"/>
      <c r="AM905" s="8" t="str">
        <f ca="1">IFERROR(__xludf.DUMMYFUNCTION("""COMPUTED_VALUE"""),"No")</f>
        <v>No</v>
      </c>
      <c r="AN905" s="8" t="str">
        <f ca="1">IFERROR(__xludf.DUMMYFUNCTION("""COMPUTED_VALUE"""),"Outside")</f>
        <v>Outside</v>
      </c>
      <c r="AO905" s="8" t="str">
        <f ca="1">IFERROR(__xludf.DUMMYFUNCTION("""COMPUTED_VALUE"""),"No")</f>
        <v>No</v>
      </c>
      <c r="AP905" s="8"/>
      <c r="AQ905" s="8"/>
      <c r="AR905" s="8" t="str">
        <f ca="1">IFERROR(__xludf.DUMMYFUNCTION("""COMPUTED_VALUE"""),"Outside/Off-Property")</f>
        <v>Outside/Off-Property</v>
      </c>
      <c r="AS905" s="8">
        <f ca="1">IFERROR(__xludf.DUMMYFUNCTION("""COMPUTED_VALUE"""),5)</f>
        <v>5</v>
      </c>
      <c r="AT905" s="8" t="str">
        <f ca="1">IFERROR(__xludf.DUMMYFUNCTION("""COMPUTED_VALUE"""),"Yes")</f>
        <v>Yes</v>
      </c>
      <c r="AU905" s="8">
        <f ca="1">IFERROR(__xludf.DUMMYFUNCTION("""COMPUTED_VALUE"""),42.362746)</f>
        <v>42.362746000000001</v>
      </c>
      <c r="AV905" s="8">
        <f ca="1">IFERROR(__xludf.DUMMYFUNCTION("""COMPUTED_VALUE"""),-87.84652)</f>
        <v>-87.846519999999998</v>
      </c>
      <c r="AW905" s="8"/>
      <c r="AX905" s="8">
        <f ca="1">IFERROR(__xludf.DUMMYFUNCTION("""COMPUTED_VALUE"""),60085)</f>
        <v>60085</v>
      </c>
    </row>
    <row r="906" spans="1:50" ht="60" x14ac:dyDescent="0.2">
      <c r="A906" s="8" t="str">
        <f ca="1">IFERROR(__xludf.DUMMYFUNCTION("""COMPUTED_VALUE"""),"20221025PAPAP")</f>
        <v>20221025PAPAP</v>
      </c>
      <c r="B906" s="8">
        <f ca="1">IFERROR(__xludf.DUMMYFUNCTION("""COMPUTED_VALUE"""),10)</f>
        <v>10</v>
      </c>
      <c r="C906" s="8">
        <f ca="1">IFERROR(__xludf.DUMMYFUNCTION("""COMPUTED_VALUE"""),25)</f>
        <v>25</v>
      </c>
      <c r="D906" s="8">
        <f ca="1">IFERROR(__xludf.DUMMYFUNCTION("""COMPUTED_VALUE"""),2022)</f>
        <v>2022</v>
      </c>
      <c r="E906" s="9">
        <f ca="1">IFERROR(__xludf.DUMMYFUNCTION("""COMPUTED_VALUE"""),44859)</f>
        <v>44859</v>
      </c>
      <c r="F906" s="8" t="str">
        <f ca="1">IFERROR(__xludf.DUMMYFUNCTION("""COMPUTED_VALUE"""),"Passport Academy Charter School")</f>
        <v>Passport Academy Charter School</v>
      </c>
      <c r="G906" s="8">
        <f ca="1">IFERROR(__xludf.DUMMYFUNCTION("""COMPUTED_VALUE"""),0)</f>
        <v>0</v>
      </c>
      <c r="H906" s="8">
        <f ca="1">IFERROR(__xludf.DUMMYFUNCTION("""COMPUTED_VALUE"""),0)</f>
        <v>0</v>
      </c>
      <c r="I906" s="8">
        <f ca="1">IFERROR(__xludf.DUMMYFUNCTION("""COMPUTED_VALUE"""),0)</f>
        <v>0</v>
      </c>
      <c r="J906" s="8">
        <f ca="1">IFERROR(__xludf.DUMMYFUNCTION("""COMPUTED_VALUE"""),0)</f>
        <v>0</v>
      </c>
      <c r="K906" s="10" t="str">
        <f ca="1">IFERROR(__xludf.DUMMYFUNCTION("""COMPUTED_VALUE"""),"https://www.cbsnews.com/pittsburgh/news/downtown-pittsburgh-penn-avenue-shots-fired-passport-academy-charter-school/")</f>
        <v>https://www.cbsnews.com/pittsburgh/news/downtown-pittsburgh-penn-avenue-shots-fired-passport-academy-charter-school/</v>
      </c>
      <c r="L906" s="8">
        <f ca="1">IFERROR(__xludf.DUMMYFUNCTION("""COMPUTED_VALUE"""),3)</f>
        <v>3</v>
      </c>
      <c r="M906" s="8" t="str">
        <f ca="1">IFERROR(__xludf.DUMMYFUNCTION("""COMPUTED_VALUE"""),"Regional")</f>
        <v>Regional</v>
      </c>
      <c r="N906" s="8">
        <f ca="1">IFERROR(__xludf.DUMMYFUNCTION("""COMPUTED_VALUE"""),4)</f>
        <v>4</v>
      </c>
      <c r="O906" s="8" t="str">
        <f ca="1">IFERROR(__xludf.DUMMYFUNCTION("""COMPUTED_VALUE"""),"Fall")</f>
        <v>Fall</v>
      </c>
      <c r="P906" s="8" t="str">
        <f ca="1">IFERROR(__xludf.DUMMYFUNCTION("""COMPUTED_VALUE"""),"Pittsburgh")</f>
        <v>Pittsburgh</v>
      </c>
      <c r="Q906" s="8" t="str">
        <f ca="1">IFERROR(__xludf.DUMMYFUNCTION("""COMPUTED_VALUE"""),"PA")</f>
        <v>PA</v>
      </c>
      <c r="R906" s="8" t="str">
        <f ca="1">IFERROR(__xludf.DUMMYFUNCTION("""COMPUTED_VALUE"""),"Elementary")</f>
        <v>Elementary</v>
      </c>
      <c r="S906" s="8" t="str">
        <f ca="1">IFERROR(__xludf.DUMMYFUNCTION("""COMPUTED_VALUE"""),"Front of School")</f>
        <v>Front of School</v>
      </c>
      <c r="T906" s="8" t="str">
        <f ca="1">IFERROR(__xludf.DUMMYFUNCTION("""COMPUTED_VALUE"""),"Outside on School Property")</f>
        <v>Outside on School Property</v>
      </c>
      <c r="U906" s="8" t="str">
        <f ca="1">IFERROR(__xludf.DUMMYFUNCTION("""COMPUTED_VALUE"""),"Yes")</f>
        <v>Yes</v>
      </c>
      <c r="V906" s="8" t="str">
        <f ca="1">IFERROR(__xludf.DUMMYFUNCTION("""COMPUTED_VALUE"""),"Afternoon Classes")</f>
        <v>Afternoon Classes</v>
      </c>
      <c r="W906" s="11">
        <f ca="1">IFERROR(__xludf.DUMMYFUNCTION("""COMPUTED_VALUE"""),0.625)</f>
        <v>0.625</v>
      </c>
      <c r="X906" s="8">
        <f ca="1">IFERROR(__xludf.DUMMYFUNCTION("""COMPUTED_VALUE"""),1)</f>
        <v>1</v>
      </c>
      <c r="Y906" s="12" t="str">
        <f ca="1">IFERROR(__xludf.DUMMYFUNCTION("""COMPUTED_VALUE"""),"Bullet broke front door of school during afternoon classes")</f>
        <v>Bullet broke front door of school during afternoon classes</v>
      </c>
      <c r="Z906" s="12" t="str">
        <f ca="1">IFERROR(__xludf.DUMMYFUNCTION("""COMPUTED_VALUE"""),"Bullet broke the glass front door to the school during afternoon classes. School went on lockdown and parents rushed to the campus. No injuries.")</f>
        <v>Bullet broke the glass front door to the school during afternoon classes. School went on lockdown and parents rushed to the campus. No injuries.</v>
      </c>
      <c r="AA906" s="8"/>
      <c r="AB906" s="8"/>
      <c r="AC906" s="8" t="str">
        <f ca="1">IFERROR(__xludf.DUMMYFUNCTION("""COMPUTED_VALUE"""),"Yes")</f>
        <v>Yes</v>
      </c>
      <c r="AD906" s="8"/>
      <c r="AE906" s="8" t="str">
        <f ca="1">IFERROR(__xludf.DUMMYFUNCTION("""COMPUTED_VALUE"""),"No")</f>
        <v>No</v>
      </c>
      <c r="AF906" s="8"/>
      <c r="AG906" s="8" t="str">
        <f ca="1">IFERROR(__xludf.DUMMYFUNCTION("""COMPUTED_VALUE"""),"No")</f>
        <v>No</v>
      </c>
      <c r="AH906" s="8" t="str">
        <f ca="1">IFERROR(__xludf.DUMMYFUNCTION("""COMPUTED_VALUE"""),"No")</f>
        <v>No</v>
      </c>
      <c r="AI906" s="8" t="str">
        <f ca="1">IFERROR(__xludf.DUMMYFUNCTION("""COMPUTED_VALUE"""),"No")</f>
        <v>No</v>
      </c>
      <c r="AJ906" s="8" t="str">
        <f ca="1">IFERROR(__xludf.DUMMYFUNCTION("""COMPUTED_VALUE"""),"No")</f>
        <v>No</v>
      </c>
      <c r="AK906" s="8" t="str">
        <f ca="1">IFERROR(__xludf.DUMMYFUNCTION("""COMPUTED_VALUE"""),"No")</f>
        <v>No</v>
      </c>
      <c r="AL906" s="8"/>
      <c r="AM906" s="8" t="str">
        <f ca="1">IFERROR(__xludf.DUMMYFUNCTION("""COMPUTED_VALUE"""),"No")</f>
        <v>No</v>
      </c>
      <c r="AN906" s="8" t="str">
        <f ca="1">IFERROR(__xludf.DUMMYFUNCTION("""COMPUTED_VALUE"""),"Outside")</f>
        <v>Outside</v>
      </c>
      <c r="AO906" s="8" t="str">
        <f ca="1">IFERROR(__xludf.DUMMYFUNCTION("""COMPUTED_VALUE"""),"No")</f>
        <v>No</v>
      </c>
      <c r="AP906" s="8"/>
      <c r="AQ906" s="8"/>
      <c r="AR906" s="8" t="str">
        <f ca="1">IFERROR(__xludf.DUMMYFUNCTION("""COMPUTED_VALUE"""),"Outside/Off-Property")</f>
        <v>Outside/Off-Property</v>
      </c>
      <c r="AS906" s="8">
        <f ca="1">IFERROR(__xludf.DUMMYFUNCTION("""COMPUTED_VALUE"""),2)</f>
        <v>2</v>
      </c>
      <c r="AT906" s="8" t="str">
        <f ca="1">IFERROR(__xludf.DUMMYFUNCTION("""COMPUTED_VALUE"""),"Yes")</f>
        <v>Yes</v>
      </c>
      <c r="AU906" s="8">
        <f ca="1">IFERROR(__xludf.DUMMYFUNCTION("""COMPUTED_VALUE"""),40.444655)</f>
        <v>40.444654999999997</v>
      </c>
      <c r="AV906" s="8">
        <f ca="1">IFERROR(__xludf.DUMMYFUNCTION("""COMPUTED_VALUE"""),-79.997072)</f>
        <v>-79.997072000000003</v>
      </c>
      <c r="AW906" s="8"/>
      <c r="AX906" s="8">
        <f ca="1">IFERROR(__xludf.DUMMYFUNCTION("""COMPUTED_VALUE"""),15222)</f>
        <v>15222</v>
      </c>
    </row>
    <row r="907" spans="1:50" ht="45" x14ac:dyDescent="0.2">
      <c r="A907" s="8" t="str">
        <f ca="1">IFERROR(__xludf.DUMMYFUNCTION("""COMPUTED_VALUE"""),"20221025NYTOS")</f>
        <v>20221025NYTOS</v>
      </c>
      <c r="B907" s="8">
        <f ca="1">IFERROR(__xludf.DUMMYFUNCTION("""COMPUTED_VALUE"""),10)</f>
        <v>10</v>
      </c>
      <c r="C907" s="8">
        <f ca="1">IFERROR(__xludf.DUMMYFUNCTION("""COMPUTED_VALUE"""),25)</f>
        <v>25</v>
      </c>
      <c r="D907" s="8">
        <f ca="1">IFERROR(__xludf.DUMMYFUNCTION("""COMPUTED_VALUE"""),2022)</f>
        <v>2022</v>
      </c>
      <c r="E907" s="9">
        <f ca="1">IFERROR(__xludf.DUMMYFUNCTION("""COMPUTED_VALUE"""),44859)</f>
        <v>44859</v>
      </c>
      <c r="F907" s="8" t="str">
        <f ca="1">IFERROR(__xludf.DUMMYFUNCTION("""COMPUTED_VALUE"""),"Totten High School")</f>
        <v>Totten High School</v>
      </c>
      <c r="G907" s="8">
        <f ca="1">IFERROR(__xludf.DUMMYFUNCTION("""COMPUTED_VALUE"""),0)</f>
        <v>0</v>
      </c>
      <c r="H907" s="8">
        <f ca="1">IFERROR(__xludf.DUMMYFUNCTION("""COMPUTED_VALUE"""),1)</f>
        <v>1</v>
      </c>
      <c r="I907" s="8">
        <f ca="1">IFERROR(__xludf.DUMMYFUNCTION("""COMPUTED_VALUE"""),1)</f>
        <v>1</v>
      </c>
      <c r="J907" s="8">
        <f ca="1">IFERROR(__xludf.DUMMYFUNCTION("""COMPUTED_VALUE"""),0)</f>
        <v>0</v>
      </c>
      <c r="K907" s="8" t="str">
        <f ca="1">IFERROR(__xludf.DUMMYFUNCTION("""COMPUTED_VALUE"""),"https://www.silive.com/crime-safety/2022/10/1-shot-in-vicinity-of-tottenville-high-school.html
https://www.fox5ny.com/news/shooting-outside-high-school-on-staten-island")</f>
        <v>https://www.silive.com/crime-safety/2022/10/1-shot-in-vicinity-of-tottenville-high-school.html
https://www.fox5ny.com/news/shooting-outside-high-school-on-staten-island</v>
      </c>
      <c r="L907" s="8">
        <f ca="1">IFERROR(__xludf.DUMMYFUNCTION("""COMPUTED_VALUE"""),10)</f>
        <v>10</v>
      </c>
      <c r="M907" s="8" t="str">
        <f ca="1">IFERROR(__xludf.DUMMYFUNCTION("""COMPUTED_VALUE"""),"Regional")</f>
        <v>Regional</v>
      </c>
      <c r="N907" s="8">
        <f ca="1">IFERROR(__xludf.DUMMYFUNCTION("""COMPUTED_VALUE"""),4)</f>
        <v>4</v>
      </c>
      <c r="O907" s="8" t="str">
        <f ca="1">IFERROR(__xludf.DUMMYFUNCTION("""COMPUTED_VALUE"""),"Fall")</f>
        <v>Fall</v>
      </c>
      <c r="P907" s="8" t="str">
        <f ca="1">IFERROR(__xludf.DUMMYFUNCTION("""COMPUTED_VALUE"""),"Staten Island")</f>
        <v>Staten Island</v>
      </c>
      <c r="Q907" s="8" t="str">
        <f ca="1">IFERROR(__xludf.DUMMYFUNCTION("""COMPUTED_VALUE"""),"NY")</f>
        <v>NY</v>
      </c>
      <c r="R907" s="8" t="str">
        <f ca="1">IFERROR(__xludf.DUMMYFUNCTION("""COMPUTED_VALUE"""),"High")</f>
        <v>High</v>
      </c>
      <c r="S907" s="8" t="str">
        <f ca="1">IFERROR(__xludf.DUMMYFUNCTION("""COMPUTED_VALUE"""),"Front of School")</f>
        <v>Front of School</v>
      </c>
      <c r="T907" s="8" t="str">
        <f ca="1">IFERROR(__xludf.DUMMYFUNCTION("""COMPUTED_VALUE"""),"Outside on School Property")</f>
        <v>Outside on School Property</v>
      </c>
      <c r="U907" s="8" t="str">
        <f ca="1">IFERROR(__xludf.DUMMYFUNCTION("""COMPUTED_VALUE"""),"Yes")</f>
        <v>Yes</v>
      </c>
      <c r="V907" s="8" t="str">
        <f ca="1">IFERROR(__xludf.DUMMYFUNCTION("""COMPUTED_VALUE"""),"Dismissal")</f>
        <v>Dismissal</v>
      </c>
      <c r="W907" s="11">
        <f ca="1">IFERROR(__xludf.DUMMYFUNCTION("""COMPUTED_VALUE"""),0.583333333333333)</f>
        <v>0.58333333333333304</v>
      </c>
      <c r="X907" s="8">
        <f ca="1">IFERROR(__xludf.DUMMYFUNCTION("""COMPUTED_VALUE"""),1)</f>
        <v>1</v>
      </c>
      <c r="Y907" s="12" t="str">
        <f ca="1">IFERROR(__xludf.DUMMYFUNCTION("""COMPUTED_VALUE"""),"Bystander student shot waiting for sports practice")</f>
        <v>Bystander student shot waiting for sports practice</v>
      </c>
      <c r="Z907" s="12" t="str">
        <f ca="1">IFERROR(__xludf.DUMMYFUNCTION("""COMPUTED_VALUE"""),"14-year-old student was shot in front of the school while he was waiting for sports practice to start. Group of teens fled.")</f>
        <v>14-year-old student was shot in front of the school while he was waiting for sports practice to start. Group of teens fled.</v>
      </c>
      <c r="AA907" s="8" t="str">
        <f ca="1">IFERROR(__xludf.DUMMYFUNCTION("""COMPUTED_VALUE"""),"Escalation of Dispute")</f>
        <v>Escalation of Dispute</v>
      </c>
      <c r="AB907" s="8"/>
      <c r="AC907" s="8" t="str">
        <f ca="1">IFERROR(__xludf.DUMMYFUNCTION("""COMPUTED_VALUE"""),"Yes")</f>
        <v>Yes</v>
      </c>
      <c r="AD907" s="8" t="str">
        <f ca="1">IFERROR(__xludf.DUMMYFUNCTION("""COMPUTED_VALUE"""),"Both")</f>
        <v>Both</v>
      </c>
      <c r="AE907" s="8" t="str">
        <f ca="1">IFERROR(__xludf.DUMMYFUNCTION("""COMPUTED_VALUE"""),"Yes")</f>
        <v>Yes</v>
      </c>
      <c r="AF907" s="8" t="str">
        <f ca="1">IFERROR(__xludf.DUMMYFUNCTION("""COMPUTED_VALUE"""),"5 teens fled together")</f>
        <v>5 teens fled together</v>
      </c>
      <c r="AG907" s="8" t="str">
        <f ca="1">IFERROR(__xludf.DUMMYFUNCTION("""COMPUTED_VALUE"""),"No")</f>
        <v>No</v>
      </c>
      <c r="AH907" s="8" t="str">
        <f ca="1">IFERROR(__xludf.DUMMYFUNCTION("""COMPUTED_VALUE"""),"No")</f>
        <v>No</v>
      </c>
      <c r="AI907" s="8" t="str">
        <f ca="1">IFERROR(__xludf.DUMMYFUNCTION("""COMPUTED_VALUE"""),"No")</f>
        <v>No</v>
      </c>
      <c r="AJ907" s="8"/>
      <c r="AK907" s="8" t="str">
        <f ca="1">IFERROR(__xludf.DUMMYFUNCTION("""COMPUTED_VALUE"""),"No")</f>
        <v>No</v>
      </c>
      <c r="AL907" s="8"/>
      <c r="AM907" s="8" t="str">
        <f ca="1">IFERROR(__xludf.DUMMYFUNCTION("""COMPUTED_VALUE"""),"No")</f>
        <v>No</v>
      </c>
      <c r="AN907" s="8" t="str">
        <f ca="1">IFERROR(__xludf.DUMMYFUNCTION("""COMPUTED_VALUE"""),"Outside")</f>
        <v>Outside</v>
      </c>
      <c r="AO907" s="8" t="str">
        <f ca="1">IFERROR(__xludf.DUMMYFUNCTION("""COMPUTED_VALUE"""),"No")</f>
        <v>No</v>
      </c>
      <c r="AP907" s="8"/>
      <c r="AQ907" s="8"/>
      <c r="AR907" s="8" t="str">
        <f ca="1">IFERROR(__xludf.DUMMYFUNCTION("""COMPUTED_VALUE"""),"Outside/Off-Property")</f>
        <v>Outside/Off-Property</v>
      </c>
      <c r="AS907" s="8">
        <f ca="1">IFERROR(__xludf.DUMMYFUNCTION("""COMPUTED_VALUE"""),7)</f>
        <v>7</v>
      </c>
      <c r="AT907" s="8" t="str">
        <f ca="1">IFERROR(__xludf.DUMMYFUNCTION("""COMPUTED_VALUE"""),"Yes")</f>
        <v>Yes</v>
      </c>
      <c r="AU907" s="8">
        <f ca="1">IFERROR(__xludf.DUMMYFUNCTION("""COMPUTED_VALUE"""),40.528582)</f>
        <v>40.528582</v>
      </c>
      <c r="AV907" s="8">
        <f ca="1">IFERROR(__xludf.DUMMYFUNCTION("""COMPUTED_VALUE"""),-74.190399)</f>
        <v>-74.190398999999999</v>
      </c>
      <c r="AW907" s="8"/>
      <c r="AX907" s="8">
        <f ca="1">IFERROR(__xludf.DUMMYFUNCTION("""COMPUTED_VALUE"""),10312)</f>
        <v>10312</v>
      </c>
    </row>
    <row r="908" spans="1:50" ht="75" x14ac:dyDescent="0.2">
      <c r="A908" s="8" t="str">
        <f ca="1">IFERROR(__xludf.DUMMYFUNCTION("""COMPUTED_VALUE"""),"20221024MOCES")</f>
        <v>20221024MOCES</v>
      </c>
      <c r="B908" s="8">
        <f ca="1">IFERROR(__xludf.DUMMYFUNCTION("""COMPUTED_VALUE"""),10)</f>
        <v>10</v>
      </c>
      <c r="C908" s="8">
        <f ca="1">IFERROR(__xludf.DUMMYFUNCTION("""COMPUTED_VALUE"""),24)</f>
        <v>24</v>
      </c>
      <c r="D908" s="8">
        <f ca="1">IFERROR(__xludf.DUMMYFUNCTION("""COMPUTED_VALUE"""),2022)</f>
        <v>2022</v>
      </c>
      <c r="E908" s="9">
        <f ca="1">IFERROR(__xludf.DUMMYFUNCTION("""COMPUTED_VALUE"""),44858)</f>
        <v>44858</v>
      </c>
      <c r="F908" s="8" t="str">
        <f ca="1">IFERROR(__xludf.DUMMYFUNCTION("""COMPUTED_VALUE"""),"Central Visual and Performing Arts High")</f>
        <v>Central Visual and Performing Arts High</v>
      </c>
      <c r="G908" s="8">
        <f ca="1">IFERROR(__xludf.DUMMYFUNCTION("""COMPUTED_VALUE"""),2)</f>
        <v>2</v>
      </c>
      <c r="H908" s="8">
        <f ca="1">IFERROR(__xludf.DUMMYFUNCTION("""COMPUTED_VALUE"""),7)</f>
        <v>7</v>
      </c>
      <c r="I908" s="8">
        <f ca="1">IFERROR(__xludf.DUMMYFUNCTION("""COMPUTED_VALUE"""),9)</f>
        <v>9</v>
      </c>
      <c r="J908" s="8">
        <f ca="1">IFERROR(__xludf.DUMMYFUNCTION("""COMPUTED_VALUE"""),1)</f>
        <v>1</v>
      </c>
      <c r="K908" s="8" t="str">
        <f ca="1">IFERROR(__xludf.DUMMYFUNCTION("""COMPUTED_VALUE"""),"https://www.stltoday.com/news/local/crime-and-courts/a-quiet-morning-then-screams-and-bullets-how-the-st-louis-school-shooting-unfolded/article_34112110-392f-5e02-82d8-96e7bc5ec8e0.html
https://news.stlpublicradio.org/education/2022-10-24/at-least-three-s"&amp;"hot-at-central-visual-performing-arts-high-school-in-south-st-louis 
https://www.stltoday.com/news/local/crime-and-courts/police-suspect-barricaded-himself-in-classroom-after-st-louis-high-school-shooting/article_baeb8fc4-aea7-58bf-92a0-6fdb538bb68c.html")</f>
        <v>https://www.stltoday.com/news/local/crime-and-courts/a-quiet-morning-then-screams-and-bullets-how-the-st-louis-school-shooting-unfolded/article_34112110-392f-5e02-82d8-96e7bc5ec8e0.html
https://news.stlpublicradio.org/education/2022-10-24/at-least-three-shot-at-central-visual-performing-arts-high-school-in-south-st-louis 
https://www.stltoday.com/news/local/crime-and-courts/police-suspect-barricaded-himself-in-classroom-after-st-louis-high-school-shooting/article_baeb8fc4-aea7-58bf-92a0-6fdb538bb68c.html</v>
      </c>
      <c r="L908" s="8">
        <f ca="1">IFERROR(__xludf.DUMMYFUNCTION("""COMPUTED_VALUE"""),999)</f>
        <v>999</v>
      </c>
      <c r="M908" s="8" t="str">
        <f ca="1">IFERROR(__xludf.DUMMYFUNCTION("""COMPUTED_VALUE"""),"International")</f>
        <v>International</v>
      </c>
      <c r="N908" s="8">
        <f ca="1">IFERROR(__xludf.DUMMYFUNCTION("""COMPUTED_VALUE"""),4)</f>
        <v>4</v>
      </c>
      <c r="O908" s="8" t="str">
        <f ca="1">IFERROR(__xludf.DUMMYFUNCTION("""COMPUTED_VALUE"""),"Fall")</f>
        <v>Fall</v>
      </c>
      <c r="P908" s="8" t="str">
        <f ca="1">IFERROR(__xludf.DUMMYFUNCTION("""COMPUTED_VALUE"""),"St. Louis")</f>
        <v>St. Louis</v>
      </c>
      <c r="Q908" s="8" t="str">
        <f ca="1">IFERROR(__xludf.DUMMYFUNCTION("""COMPUTED_VALUE"""),"MO")</f>
        <v>MO</v>
      </c>
      <c r="R908" s="8" t="str">
        <f ca="1">IFERROR(__xludf.DUMMYFUNCTION("""COMPUTED_VALUE"""),"High")</f>
        <v>High</v>
      </c>
      <c r="S908" s="8" t="str">
        <f ca="1">IFERROR(__xludf.DUMMYFUNCTION("""COMPUTED_VALUE"""),"Inside School Building")</f>
        <v>Inside School Building</v>
      </c>
      <c r="T908" s="8" t="str">
        <f ca="1">IFERROR(__xludf.DUMMYFUNCTION("""COMPUTED_VALUE"""),"Inside School Building")</f>
        <v>Inside School Building</v>
      </c>
      <c r="U908" s="8" t="str">
        <f ca="1">IFERROR(__xludf.DUMMYFUNCTION("""COMPUTED_VALUE"""),"Yes")</f>
        <v>Yes</v>
      </c>
      <c r="V908" s="8" t="str">
        <f ca="1">IFERROR(__xludf.DUMMYFUNCTION("""COMPUTED_VALUE"""),"Morning Classes")</f>
        <v>Morning Classes</v>
      </c>
      <c r="W908" s="11">
        <f ca="1">IFERROR(__xludf.DUMMYFUNCTION("""COMPUTED_VALUE"""),0.382638888888888)</f>
        <v>0.38263888888888797</v>
      </c>
      <c r="X908" s="8">
        <f ca="1">IFERROR(__xludf.DUMMYFUNCTION("""COMPUTED_VALUE"""),14)</f>
        <v>14</v>
      </c>
      <c r="Y908" s="12" t="str">
        <f ca="1">IFERROR(__xludf.DUMMYFUNCTION("""COMPUTED_VALUE"""),"Planned attack by 19-year-old former student with rifle and 600 rounds of ammo")</f>
        <v>Planned attack by 19-year-old former student with rifle and 600 rounds of ammo</v>
      </c>
      <c r="Z908" s="12" t="str">
        <f ca="1">IFERROR(__xludf.DUMMYFUNCTION("""COMPUTED_VALUE"""),"Shooter was former student who entered school through side door. Walked up stairway to 3rd floor. Fired at students in the hallway. Barricaded inside 3rd floor classroom before being killed by police.")</f>
        <v>Shooter was former student who entered school through side door. Walked up stairway to 3rd floor. Fired at students in the hallway. Barricaded inside 3rd floor classroom before being killed by police.</v>
      </c>
      <c r="AA908" s="8" t="str">
        <f ca="1">IFERROR(__xludf.DUMMYFUNCTION("""COMPUTED_VALUE"""),"Indiscriminate Shooting")</f>
        <v>Indiscriminate Shooting</v>
      </c>
      <c r="AB908" s="8"/>
      <c r="AC908" s="8" t="str">
        <f ca="1">IFERROR(__xludf.DUMMYFUNCTION("""COMPUTED_VALUE"""),"Yes")</f>
        <v>Yes</v>
      </c>
      <c r="AD908" s="8" t="str">
        <f ca="1">IFERROR(__xludf.DUMMYFUNCTION("""COMPUTED_VALUE"""),"Random Shooting")</f>
        <v>Random Shooting</v>
      </c>
      <c r="AE908" s="8" t="str">
        <f ca="1">IFERROR(__xludf.DUMMYFUNCTION("""COMPUTED_VALUE"""),"No")</f>
        <v>No</v>
      </c>
      <c r="AF908" s="8"/>
      <c r="AG908" s="8" t="str">
        <f ca="1">IFERROR(__xludf.DUMMYFUNCTION("""COMPUTED_VALUE"""),"No")</f>
        <v>No</v>
      </c>
      <c r="AH908" s="8" t="str">
        <f ca="1">IFERROR(__xludf.DUMMYFUNCTION("""COMPUTED_VALUE"""),"Yes")</f>
        <v>Yes</v>
      </c>
      <c r="AI908" s="8" t="str">
        <f ca="1">IFERROR(__xludf.DUMMYFUNCTION("""COMPUTED_VALUE"""),"No")</f>
        <v>No</v>
      </c>
      <c r="AJ908" s="8"/>
      <c r="AK908" s="8" t="str">
        <f ca="1">IFERROR(__xludf.DUMMYFUNCTION("""COMPUTED_VALUE"""),"No")</f>
        <v>No</v>
      </c>
      <c r="AL908" s="8" t="str">
        <f ca="1">IFERROR(__xludf.DUMMYFUNCTION("""COMPUTED_VALUE"""),"No")</f>
        <v>No</v>
      </c>
      <c r="AM908" s="8" t="str">
        <f ca="1">IFERROR(__xludf.DUMMYFUNCTION("""COMPUTED_VALUE"""),"Yes")</f>
        <v>Yes</v>
      </c>
      <c r="AN908" s="8" t="str">
        <f ca="1">IFERROR(__xludf.DUMMYFUNCTION("""COMPUTED_VALUE"""),"Multiple Rooms")</f>
        <v>Multiple Rooms</v>
      </c>
      <c r="AO908" s="8" t="str">
        <f ca="1">IFERROR(__xludf.DUMMYFUNCTION("""COMPUTED_VALUE"""),"Yes")</f>
        <v>Yes</v>
      </c>
      <c r="AP908" s="8" t="str">
        <f ca="1">IFERROR(__xludf.DUMMYFUNCTION("""COMPUTED_VALUE"""),"Yes")</f>
        <v>Yes</v>
      </c>
      <c r="AQ908" s="8" t="str">
        <f ca="1">IFERROR(__xludf.DUMMYFUNCTION("""COMPUTED_VALUE"""),"Metal Detectors Front Only")</f>
        <v>Metal Detectors Front Only</v>
      </c>
      <c r="AR908" s="8" t="str">
        <f ca="1">IFERROR(__xludf.DUMMYFUNCTION("""COMPUTED_VALUE"""),"Failed")</f>
        <v>Failed</v>
      </c>
      <c r="AS908" s="8">
        <f ca="1">IFERROR(__xludf.DUMMYFUNCTION("""COMPUTED_VALUE"""),99)</f>
        <v>99</v>
      </c>
      <c r="AT908" s="8" t="str">
        <f ca="1">IFERROR(__xludf.DUMMYFUNCTION("""COMPUTED_VALUE"""),"Yes")</f>
        <v>Yes</v>
      </c>
      <c r="AU908" s="8">
        <f ca="1">IFERROR(__xludf.DUMMYFUNCTION("""COMPUTED_VALUE"""),38.605109)</f>
        <v>38.605108999999999</v>
      </c>
      <c r="AV908" s="8">
        <f ca="1">IFERROR(__xludf.DUMMYFUNCTION("""COMPUTED_VALUE"""),-90.270302)</f>
        <v>-90.270302000000001</v>
      </c>
      <c r="AW908" s="8"/>
      <c r="AX908" s="8">
        <f ca="1">IFERROR(__xludf.DUMMYFUNCTION("""COMPUTED_VALUE"""),63139)</f>
        <v>63139</v>
      </c>
    </row>
    <row r="909" spans="1:50" ht="135" x14ac:dyDescent="0.2">
      <c r="A909" s="8" t="str">
        <f ca="1">IFERROR(__xludf.DUMMYFUNCTION("""COMPUTED_VALUE"""),"20221022OHDUC")</f>
        <v>20221022OHDUC</v>
      </c>
      <c r="B909" s="8">
        <f ca="1">IFERROR(__xludf.DUMMYFUNCTION("""COMPUTED_VALUE"""),10)</f>
        <v>10</v>
      </c>
      <c r="C909" s="8">
        <f ca="1">IFERROR(__xludf.DUMMYFUNCTION("""COMPUTED_VALUE"""),22)</f>
        <v>22</v>
      </c>
      <c r="D909" s="8">
        <f ca="1">IFERROR(__xludf.DUMMYFUNCTION("""COMPUTED_VALUE"""),2022)</f>
        <v>2022</v>
      </c>
      <c r="E909" s="9">
        <f ca="1">IFERROR(__xludf.DUMMYFUNCTION("""COMPUTED_VALUE"""),44856)</f>
        <v>44856</v>
      </c>
      <c r="F909" s="8" t="str">
        <f ca="1">IFERROR(__xludf.DUMMYFUNCTION("""COMPUTED_VALUE"""),"Duxberry Park Alternative Elementary School")</f>
        <v>Duxberry Park Alternative Elementary School</v>
      </c>
      <c r="G909" s="8">
        <f ca="1">IFERROR(__xludf.DUMMYFUNCTION("""COMPUTED_VALUE"""),0)</f>
        <v>0</v>
      </c>
      <c r="H909" s="8">
        <f ca="1">IFERROR(__xludf.DUMMYFUNCTION("""COMPUTED_VALUE"""),1)</f>
        <v>1</v>
      </c>
      <c r="I909" s="8">
        <f ca="1">IFERROR(__xludf.DUMMYFUNCTION("""COMPUTED_VALUE"""),1)</f>
        <v>1</v>
      </c>
      <c r="J909" s="8">
        <f ca="1">IFERROR(__xludf.DUMMYFUNCTION("""COMPUTED_VALUE"""),0)</f>
        <v>0</v>
      </c>
      <c r="K909" s="10" t="str">
        <f ca="1">IFERROR(__xludf.DUMMYFUNCTION("""COMPUTED_VALUE"""),"https://abc6onyourside.com/news/local/17-year-old-girl-grazed-after-shots-fired-near-elementary-school")</f>
        <v>https://abc6onyourside.com/news/local/17-year-old-girl-grazed-after-shots-fired-near-elementary-school</v>
      </c>
      <c r="L909" s="8">
        <f ca="1">IFERROR(__xludf.DUMMYFUNCTION("""COMPUTED_VALUE"""),1)</f>
        <v>1</v>
      </c>
      <c r="M909" s="8" t="str">
        <f ca="1">IFERROR(__xludf.DUMMYFUNCTION("""COMPUTED_VALUE"""),"Local")</f>
        <v>Local</v>
      </c>
      <c r="N909" s="8">
        <f ca="1">IFERROR(__xludf.DUMMYFUNCTION("""COMPUTED_VALUE"""),3)</f>
        <v>3</v>
      </c>
      <c r="O909" s="8" t="str">
        <f ca="1">IFERROR(__xludf.DUMMYFUNCTION("""COMPUTED_VALUE"""),"Fall")</f>
        <v>Fall</v>
      </c>
      <c r="P909" s="8" t="str">
        <f ca="1">IFERROR(__xludf.DUMMYFUNCTION("""COMPUTED_VALUE"""),"Columbus")</f>
        <v>Columbus</v>
      </c>
      <c r="Q909" s="8" t="str">
        <f ca="1">IFERROR(__xludf.DUMMYFUNCTION("""COMPUTED_VALUE"""),"OH")</f>
        <v>OH</v>
      </c>
      <c r="R909" s="8" t="str">
        <f ca="1">IFERROR(__xludf.DUMMYFUNCTION("""COMPUTED_VALUE"""),"Elementary")</f>
        <v>Elementary</v>
      </c>
      <c r="S909" s="8" t="str">
        <f ca="1">IFERROR(__xludf.DUMMYFUNCTION("""COMPUTED_VALUE"""),"Parking Lot")</f>
        <v>Parking Lot</v>
      </c>
      <c r="T909" s="8" t="str">
        <f ca="1">IFERROR(__xludf.DUMMYFUNCTION("""COMPUTED_VALUE"""),"Outside on School Property")</f>
        <v>Outside on School Property</v>
      </c>
      <c r="U909" s="8" t="str">
        <f ca="1">IFERROR(__xludf.DUMMYFUNCTION("""COMPUTED_VALUE"""),"No")</f>
        <v>No</v>
      </c>
      <c r="V909" s="8" t="str">
        <f ca="1">IFERROR(__xludf.DUMMYFUNCTION("""COMPUTED_VALUE"""),"Night")</f>
        <v>Night</v>
      </c>
      <c r="W909" s="11">
        <f ca="1">IFERROR(__xludf.DUMMYFUNCTION("""COMPUTED_VALUE"""),0.0416666666666666)</f>
        <v>4.1666666666666602E-2</v>
      </c>
      <c r="X909" s="8">
        <f ca="1">IFERROR(__xludf.DUMMYFUNCTION("""COMPUTED_VALUE"""),1)</f>
        <v>1</v>
      </c>
      <c r="Y909" s="12" t="str">
        <f ca="1">IFERROR(__xludf.DUMMYFUNCTION("""COMPUTED_VALUE"""),"17-year-old girl shot in school parking lot")</f>
        <v>17-year-old girl shot in school parking lot</v>
      </c>
      <c r="Z909" s="12" t="str">
        <f ca="1">IFERROR(__xludf.DUMMYFUNCTION("""COMPUTED_VALUE"""),"Columbus police said they responded to a report of a shooting in the area of Duxberry Park Alternative Elementary School around 1 a.m. Officers found a 17-year-old girl with a graze injury to her back from a bullet. Medics took her to a hospital in stable"&amp;" condition. She reportedly told police she was with a friend in a parking lot when they heard several gunshots. The two started running, and she felt one of the bullets graze her back. She told police she did not see who fired the gunshots.")</f>
        <v>Columbus police said they responded to a report of a shooting in the area of Duxberry Park Alternative Elementary School around 1 a.m. Officers found a 17-year-old girl with a graze injury to her back from a bullet. Medics took her to a hospital in stable condition. She reportedly told police she was with a friend in a parking lot when they heard several gunshots. The two started running, and she felt one of the bullets graze her back. She told police she did not see who fired the gunshots.</v>
      </c>
      <c r="AA909" s="8"/>
      <c r="AB909" s="8"/>
      <c r="AC909" s="8" t="str">
        <f ca="1">IFERROR(__xludf.DUMMYFUNCTION("""COMPUTED_VALUE"""),"No")</f>
        <v>No</v>
      </c>
      <c r="AD909" s="8" t="str">
        <f ca="1">IFERROR(__xludf.DUMMYFUNCTION("""COMPUTED_VALUE"""),"Both")</f>
        <v>Both</v>
      </c>
      <c r="AE909" s="8" t="str">
        <f ca="1">IFERROR(__xludf.DUMMYFUNCTION("""COMPUTED_VALUE"""),"No")</f>
        <v>No</v>
      </c>
      <c r="AF909" s="8"/>
      <c r="AG909" s="8" t="str">
        <f ca="1">IFERROR(__xludf.DUMMYFUNCTION("""COMPUTED_VALUE"""),"No")</f>
        <v>No</v>
      </c>
      <c r="AH909" s="8" t="str">
        <f ca="1">IFERROR(__xludf.DUMMYFUNCTION("""COMPUTED_VALUE"""),"No")</f>
        <v>No</v>
      </c>
      <c r="AI909" s="8" t="str">
        <f ca="1">IFERROR(__xludf.DUMMYFUNCTION("""COMPUTED_VALUE"""),"No")</f>
        <v>No</v>
      </c>
      <c r="AJ909" s="8" t="str">
        <f ca="1">IFERROR(__xludf.DUMMYFUNCTION("""COMPUTED_VALUE"""),"No")</f>
        <v>No</v>
      </c>
      <c r="AK909" s="8" t="str">
        <f ca="1">IFERROR(__xludf.DUMMYFUNCTION("""COMPUTED_VALUE"""),"No")</f>
        <v>No</v>
      </c>
      <c r="AL909" s="8"/>
      <c r="AM909" s="8" t="str">
        <f ca="1">IFERROR(__xludf.DUMMYFUNCTION("""COMPUTED_VALUE"""),"No")</f>
        <v>No</v>
      </c>
      <c r="AN909" s="8" t="str">
        <f ca="1">IFERROR(__xludf.DUMMYFUNCTION("""COMPUTED_VALUE"""),"Outside")</f>
        <v>Outside</v>
      </c>
      <c r="AO909" s="8" t="str">
        <f ca="1">IFERROR(__xludf.DUMMYFUNCTION("""COMPUTED_VALUE"""),"No")</f>
        <v>No</v>
      </c>
      <c r="AP909" s="8"/>
      <c r="AQ909" s="8"/>
      <c r="AR909" s="8" t="str">
        <f ca="1">IFERROR(__xludf.DUMMYFUNCTION("""COMPUTED_VALUE"""),"Outside/Off-Property")</f>
        <v>Outside/Off-Property</v>
      </c>
      <c r="AS909" s="8">
        <f ca="1">IFERROR(__xludf.DUMMYFUNCTION("""COMPUTED_VALUE"""),99)</f>
        <v>99</v>
      </c>
      <c r="AT909" s="8"/>
      <c r="AU909" s="8">
        <f ca="1">IFERROR(__xludf.DUMMYFUNCTION("""COMPUTED_VALUE"""),40.008656)</f>
        <v>40.008656000000002</v>
      </c>
      <c r="AV909" s="8">
        <f ca="1">IFERROR(__xludf.DUMMYFUNCTION("""COMPUTED_VALUE"""),-82.961096)</f>
        <v>-82.961095999999998</v>
      </c>
      <c r="AW909" s="8"/>
      <c r="AX909" s="8">
        <f ca="1">IFERROR(__xludf.DUMMYFUNCTION("""COMPUTED_VALUE"""),43211)</f>
        <v>43211</v>
      </c>
    </row>
    <row r="910" spans="1:50" ht="90" x14ac:dyDescent="0.2">
      <c r="A910" s="8" t="str">
        <f ca="1">IFERROR(__xludf.DUMMYFUNCTION("""COMPUTED_VALUE"""),"20221022ILCHC")</f>
        <v>20221022ILCHC</v>
      </c>
      <c r="B910" s="8">
        <f ca="1">IFERROR(__xludf.DUMMYFUNCTION("""COMPUTED_VALUE"""),10)</f>
        <v>10</v>
      </c>
      <c r="C910" s="8">
        <f ca="1">IFERROR(__xludf.DUMMYFUNCTION("""COMPUTED_VALUE"""),22)</f>
        <v>22</v>
      </c>
      <c r="D910" s="8">
        <f ca="1">IFERROR(__xludf.DUMMYFUNCTION("""COMPUTED_VALUE"""),2022)</f>
        <v>2022</v>
      </c>
      <c r="E910" s="9">
        <f ca="1">IFERROR(__xludf.DUMMYFUNCTION("""COMPUTED_VALUE"""),44856)</f>
        <v>44856</v>
      </c>
      <c r="F910" s="8" t="str">
        <f ca="1">IFERROR(__xludf.DUMMYFUNCTION("""COMPUTED_VALUE"""),"Chalmers Elementary School")</f>
        <v>Chalmers Elementary School</v>
      </c>
      <c r="G910" s="8">
        <f ca="1">IFERROR(__xludf.DUMMYFUNCTION("""COMPUTED_VALUE"""),1)</f>
        <v>1</v>
      </c>
      <c r="H910" s="8">
        <f ca="1">IFERROR(__xludf.DUMMYFUNCTION("""COMPUTED_VALUE"""),1)</f>
        <v>1</v>
      </c>
      <c r="I910" s="8">
        <f ca="1">IFERROR(__xludf.DUMMYFUNCTION("""COMPUTED_VALUE"""),2)</f>
        <v>2</v>
      </c>
      <c r="J910" s="8">
        <f ca="1">IFERROR(__xludf.DUMMYFUNCTION("""COMPUTED_VALUE"""),0)</f>
        <v>0</v>
      </c>
      <c r="K910" s="10" t="str">
        <f ca="1">IFERROR(__xludf.DUMMYFUNCTION("""COMPUTED_VALUE"""),"https://www.cbsnews.com/chicago/news/douglas-park-shooting-teen-death/")</f>
        <v>https://www.cbsnews.com/chicago/news/douglas-park-shooting-teen-death/</v>
      </c>
      <c r="L910" s="8">
        <f ca="1">IFERROR(__xludf.DUMMYFUNCTION("""COMPUTED_VALUE"""),1)</f>
        <v>1</v>
      </c>
      <c r="M910" s="8" t="str">
        <f ca="1">IFERROR(__xludf.DUMMYFUNCTION("""COMPUTED_VALUE"""),"Local")</f>
        <v>Local</v>
      </c>
      <c r="N910" s="8">
        <f ca="1">IFERROR(__xludf.DUMMYFUNCTION("""COMPUTED_VALUE"""),3)</f>
        <v>3</v>
      </c>
      <c r="O910" s="8" t="str">
        <f ca="1">IFERROR(__xludf.DUMMYFUNCTION("""COMPUTED_VALUE"""),"Fall")</f>
        <v>Fall</v>
      </c>
      <c r="P910" s="8" t="str">
        <f ca="1">IFERROR(__xludf.DUMMYFUNCTION("""COMPUTED_VALUE"""),"Chicago")</f>
        <v>Chicago</v>
      </c>
      <c r="Q910" s="8" t="str">
        <f ca="1">IFERROR(__xludf.DUMMYFUNCTION("""COMPUTED_VALUE"""),"IL")</f>
        <v>IL</v>
      </c>
      <c r="R910" s="8" t="str">
        <f ca="1">IFERROR(__xludf.DUMMYFUNCTION("""COMPUTED_VALUE"""),"Elementary")</f>
        <v>Elementary</v>
      </c>
      <c r="S910" s="8" t="str">
        <f ca="1">IFERROR(__xludf.DUMMYFUNCTION("""COMPUTED_VALUE"""),"Playground")</f>
        <v>Playground</v>
      </c>
      <c r="T910" s="8" t="str">
        <f ca="1">IFERROR(__xludf.DUMMYFUNCTION("""COMPUTED_VALUE"""),"Outside on School Property")</f>
        <v>Outside on School Property</v>
      </c>
      <c r="U910" s="8" t="str">
        <f ca="1">IFERROR(__xludf.DUMMYFUNCTION("""COMPUTED_VALUE"""),"No")</f>
        <v>No</v>
      </c>
      <c r="V910" s="8" t="str">
        <f ca="1">IFERROR(__xludf.DUMMYFUNCTION("""COMPUTED_VALUE"""),"Evening")</f>
        <v>Evening</v>
      </c>
      <c r="W910" s="11">
        <f ca="1">IFERROR(__xludf.DUMMYFUNCTION("""COMPUTED_VALUE"""),0.847222222222222)</f>
        <v>0.84722222222222199</v>
      </c>
      <c r="X910" s="8">
        <f ca="1">IFERROR(__xludf.DUMMYFUNCTION("""COMPUTED_VALUE"""),1)</f>
        <v>1</v>
      </c>
      <c r="Y910" s="12" t="str">
        <f ca="1">IFERROR(__xludf.DUMMYFUNCTION("""COMPUTED_VALUE"""),"16-year-old boy killed and 13-year-old girl wounded on playground")</f>
        <v>16-year-old boy killed and 13-year-old girl wounded on playground</v>
      </c>
      <c r="Z910" s="12" t="str">
        <f ca="1">IFERROR(__xludf.DUMMYFUNCTION("""COMPUTED_VALUE"""),"A 16-year-old boy was fatally shot. He and a 13-year-old girl were at a playground behind Chalmers Elementary School in the city's Douglas Park neighborhood around 8:20 p.m. when two unidentified males got out of a dark colored sedan and began shooting. T"&amp;"he shooters got back in the car and fled. ")</f>
        <v xml:space="preserve">A 16-year-old boy was fatally shot. He and a 13-year-old girl were at a playground behind Chalmers Elementary School in the city's Douglas Park neighborhood around 8:20 p.m. when two unidentified males got out of a dark colored sedan and began shooting. The shooters got back in the car and fled. </v>
      </c>
      <c r="AA910" s="8" t="str">
        <f ca="1">IFERROR(__xludf.DUMMYFUNCTION("""COMPUTED_VALUE"""),"Drive-by Shooting")</f>
        <v>Drive-by Shooting</v>
      </c>
      <c r="AB910" s="8"/>
      <c r="AC910" s="8" t="str">
        <f ca="1">IFERROR(__xludf.DUMMYFUNCTION("""COMPUTED_VALUE"""),"No")</f>
        <v>No</v>
      </c>
      <c r="AD910" s="8" t="str">
        <f ca="1">IFERROR(__xludf.DUMMYFUNCTION("""COMPUTED_VALUE"""),"Both")</f>
        <v>Both</v>
      </c>
      <c r="AE910" s="8" t="str">
        <f ca="1">IFERROR(__xludf.DUMMYFUNCTION("""COMPUTED_VALUE"""),"Yes")</f>
        <v>Yes</v>
      </c>
      <c r="AF910" s="8" t="str">
        <f ca="1">IFERROR(__xludf.DUMMYFUNCTION("""COMPUTED_VALUE"""),"2 men")</f>
        <v>2 men</v>
      </c>
      <c r="AG910" s="8" t="str">
        <f ca="1">IFERROR(__xludf.DUMMYFUNCTION("""COMPUTED_VALUE"""),"No")</f>
        <v>No</v>
      </c>
      <c r="AH910" s="8" t="str">
        <f ca="1">IFERROR(__xludf.DUMMYFUNCTION("""COMPUTED_VALUE"""),"No")</f>
        <v>No</v>
      </c>
      <c r="AI910" s="8" t="str">
        <f ca="1">IFERROR(__xludf.DUMMYFUNCTION("""COMPUTED_VALUE"""),"No")</f>
        <v>No</v>
      </c>
      <c r="AJ910" s="8" t="str">
        <f ca="1">IFERROR(__xludf.DUMMYFUNCTION("""COMPUTED_VALUE"""),"No")</f>
        <v>No</v>
      </c>
      <c r="AK910" s="8" t="str">
        <f ca="1">IFERROR(__xludf.DUMMYFUNCTION("""COMPUTED_VALUE"""),"No")</f>
        <v>No</v>
      </c>
      <c r="AL910" s="8"/>
      <c r="AM910" s="8" t="str">
        <f ca="1">IFERROR(__xludf.DUMMYFUNCTION("""COMPUTED_VALUE"""),"No")</f>
        <v>No</v>
      </c>
      <c r="AN910" s="8" t="str">
        <f ca="1">IFERROR(__xludf.DUMMYFUNCTION("""COMPUTED_VALUE"""),"Outside")</f>
        <v>Outside</v>
      </c>
      <c r="AO910" s="8" t="str">
        <f ca="1">IFERROR(__xludf.DUMMYFUNCTION("""COMPUTED_VALUE"""),"No")</f>
        <v>No</v>
      </c>
      <c r="AP910" s="8"/>
      <c r="AQ910" s="8"/>
      <c r="AR910" s="8" t="str">
        <f ca="1">IFERROR(__xludf.DUMMYFUNCTION("""COMPUTED_VALUE"""),"Outside/Off-Property")</f>
        <v>Outside/Off-Property</v>
      </c>
      <c r="AS910" s="8">
        <f ca="1">IFERROR(__xludf.DUMMYFUNCTION("""COMPUTED_VALUE"""),99)</f>
        <v>99</v>
      </c>
      <c r="AT910" s="8"/>
      <c r="AU910" s="8">
        <f ca="1">IFERROR(__xludf.DUMMYFUNCTION("""COMPUTED_VALUE"""),41.865804)</f>
        <v>41.865803999999997</v>
      </c>
      <c r="AV910" s="8">
        <f ca="1">IFERROR(__xludf.DUMMYFUNCTION("""COMPUTED_VALUE"""),-87.694778)</f>
        <v>-87.694777999999999</v>
      </c>
      <c r="AW910" s="8"/>
      <c r="AX910" s="8">
        <f ca="1">IFERROR(__xludf.DUMMYFUNCTION("""COMPUTED_VALUE"""),60608)</f>
        <v>60608</v>
      </c>
    </row>
    <row r="911" spans="1:50" ht="150" x14ac:dyDescent="0.2">
      <c r="A911" s="8" t="str">
        <f ca="1">IFERROR(__xludf.DUMMYFUNCTION("""COMPUTED_VALUE"""),"20221021OHSHS")</f>
        <v>20221021OHSHS</v>
      </c>
      <c r="B911" s="8">
        <f ca="1">IFERROR(__xludf.DUMMYFUNCTION("""COMPUTED_VALUE"""),10)</f>
        <v>10</v>
      </c>
      <c r="C911" s="8">
        <f ca="1">IFERROR(__xludf.DUMMYFUNCTION("""COMPUTED_VALUE"""),21)</f>
        <v>21</v>
      </c>
      <c r="D911" s="8">
        <f ca="1">IFERROR(__xludf.DUMMYFUNCTION("""COMPUTED_VALUE"""),2022)</f>
        <v>2022</v>
      </c>
      <c r="E911" s="9">
        <f ca="1">IFERROR(__xludf.DUMMYFUNCTION("""COMPUTED_VALUE"""),44855)</f>
        <v>44855</v>
      </c>
      <c r="F911" s="8" t="str">
        <f ca="1">IFERROR(__xludf.DUMMYFUNCTION("""COMPUTED_VALUE"""),"Shaker Heights High School")</f>
        <v>Shaker Heights High School</v>
      </c>
      <c r="G911" s="8">
        <f ca="1">IFERROR(__xludf.DUMMYFUNCTION("""COMPUTED_VALUE"""),0)</f>
        <v>0</v>
      </c>
      <c r="H911" s="8">
        <f ca="1">IFERROR(__xludf.DUMMYFUNCTION("""COMPUTED_VALUE"""),1)</f>
        <v>1</v>
      </c>
      <c r="I911" s="8">
        <f ca="1">IFERROR(__xludf.DUMMYFUNCTION("""COMPUTED_VALUE"""),1)</f>
        <v>1</v>
      </c>
      <c r="J911" s="8">
        <f ca="1">IFERROR(__xludf.DUMMYFUNCTION("""COMPUTED_VALUE"""),0)</f>
        <v>0</v>
      </c>
      <c r="K911" s="8" t="str">
        <f ca="1">IFERROR(__xludf.DUMMYFUNCTION("""COMPUTED_VALUE"""),"https://www.cleveland19.com/2022/10/21/shaker-heights-high-school-briefly-under-lockdown-due-police-activity/
https://www.wkyc.com/article/news/local/cuyahoga-county/shaker-heights-high-school-lockdown-police-activity/95-107dffa9-2c45-4b33-9bfa-6f731e6bc7"&amp;"08")</f>
        <v>https://www.cleveland19.com/2022/10/21/shaker-heights-high-school-briefly-under-lockdown-due-police-activity/
https://www.wkyc.com/article/news/local/cuyahoga-county/shaker-heights-high-school-lockdown-police-activity/95-107dffa9-2c45-4b33-9bfa-6f731e6bc708</v>
      </c>
      <c r="L911" s="8">
        <f ca="1">IFERROR(__xludf.DUMMYFUNCTION("""COMPUTED_VALUE"""),3)</f>
        <v>3</v>
      </c>
      <c r="M911" s="8" t="str">
        <f ca="1">IFERROR(__xludf.DUMMYFUNCTION("""COMPUTED_VALUE"""),"Local")</f>
        <v>Local</v>
      </c>
      <c r="N911" s="8">
        <f ca="1">IFERROR(__xludf.DUMMYFUNCTION("""COMPUTED_VALUE"""),4)</f>
        <v>4</v>
      </c>
      <c r="O911" s="8" t="str">
        <f ca="1">IFERROR(__xludf.DUMMYFUNCTION("""COMPUTED_VALUE"""),"Fall")</f>
        <v>Fall</v>
      </c>
      <c r="P911" s="8" t="str">
        <f ca="1">IFERROR(__xludf.DUMMYFUNCTION("""COMPUTED_VALUE"""),"Shaker Heights")</f>
        <v>Shaker Heights</v>
      </c>
      <c r="Q911" s="8" t="str">
        <f ca="1">IFERROR(__xludf.DUMMYFUNCTION("""COMPUTED_VALUE"""),"OH")</f>
        <v>OH</v>
      </c>
      <c r="R911" s="8" t="str">
        <f ca="1">IFERROR(__xludf.DUMMYFUNCTION("""COMPUTED_VALUE"""),"High")</f>
        <v>High</v>
      </c>
      <c r="S911" s="8" t="str">
        <f ca="1">IFERROR(__xludf.DUMMYFUNCTION("""COMPUTED_VALUE"""),"Front of School")</f>
        <v>Front of School</v>
      </c>
      <c r="T911" s="8" t="str">
        <f ca="1">IFERROR(__xludf.DUMMYFUNCTION("""COMPUTED_VALUE"""),"Outside on School Property")</f>
        <v>Outside on School Property</v>
      </c>
      <c r="U911" s="8" t="str">
        <f ca="1">IFERROR(__xludf.DUMMYFUNCTION("""COMPUTED_VALUE"""),"Yes")</f>
        <v>Yes</v>
      </c>
      <c r="V911" s="8" t="str">
        <f ca="1">IFERROR(__xludf.DUMMYFUNCTION("""COMPUTED_VALUE"""),"After School")</f>
        <v>After School</v>
      </c>
      <c r="W911" s="11">
        <f ca="1">IFERROR(__xludf.DUMMYFUNCTION("""COMPUTED_VALUE"""),0.635416666666666)</f>
        <v>0.63541666666666596</v>
      </c>
      <c r="X911" s="8">
        <f ca="1">IFERROR(__xludf.DUMMYFUNCTION("""COMPUTED_VALUE"""),1)</f>
        <v>1</v>
      </c>
      <c r="Y911" s="12" t="str">
        <f ca="1">IFERROR(__xludf.DUMMYFUNCTION("""COMPUTED_VALUE"""),"Police officer fired multiple shots at fleeing suspect with a gun near the front door to the school")</f>
        <v>Police officer fired multiple shots at fleeing suspect with a gun near the front door to the school</v>
      </c>
      <c r="Z911" s="12" t="str">
        <f ca="1">IFERROR(__xludf.DUMMYFUNCTION("""COMPUTED_VALUE"""),"The shooting around 3:15 p.m. prompted a lockdown of Shaker Heights High School, according to police. Shaker Heights police said an officer shot a man Friday afternoon near the high school. Evidence markers at the scene showed that the shooting happened c"&amp;"lose to the school’s front entrance. Classes were not in session today, but school officials said police evacuated faculty and staff from the building following the incident. 19 News has learned some students who were participating in extracurricular acti"&amp;"vities were inside the building during the lockdown.")</f>
        <v>The shooting around 3:15 p.m. prompted a lockdown of Shaker Heights High School, according to police. Shaker Heights police said an officer shot a man Friday afternoon near the high school. Evidence markers at the scene showed that the shooting happened close to the school’s front entrance. Classes were not in session today, but school officials said police evacuated faculty and staff from the building following the incident. 19 News has learned some students who were participating in extracurricular activities were inside the building during the lockdown.</v>
      </c>
      <c r="AA911" s="8" t="str">
        <f ca="1">IFERROR(__xludf.DUMMYFUNCTION("""COMPUTED_VALUE"""),"Officer-Involved Shooting")</f>
        <v>Officer-Involved Shooting</v>
      </c>
      <c r="AB911" s="8"/>
      <c r="AC911" s="8" t="str">
        <f ca="1">IFERROR(__xludf.DUMMYFUNCTION("""COMPUTED_VALUE"""),"Yes")</f>
        <v>Yes</v>
      </c>
      <c r="AD911" s="8" t="str">
        <f ca="1">IFERROR(__xludf.DUMMYFUNCTION("""COMPUTED_VALUE"""),"Victims Targeted")</f>
        <v>Victims Targeted</v>
      </c>
      <c r="AE911" s="8" t="str">
        <f ca="1">IFERROR(__xludf.DUMMYFUNCTION("""COMPUTED_VALUE"""),"No")</f>
        <v>No</v>
      </c>
      <c r="AF911" s="8"/>
      <c r="AG911" s="8" t="str">
        <f ca="1">IFERROR(__xludf.DUMMYFUNCTION("""COMPUTED_VALUE"""),"No")</f>
        <v>No</v>
      </c>
      <c r="AH911" s="8" t="str">
        <f ca="1">IFERROR(__xludf.DUMMYFUNCTION("""COMPUTED_VALUE"""),"No")</f>
        <v>No</v>
      </c>
      <c r="AI911" s="8" t="str">
        <f ca="1">IFERROR(__xludf.DUMMYFUNCTION("""COMPUTED_VALUE"""),"No")</f>
        <v>No</v>
      </c>
      <c r="AJ911" s="8" t="str">
        <f ca="1">IFERROR(__xludf.DUMMYFUNCTION("""COMPUTED_VALUE"""),"No")</f>
        <v>No</v>
      </c>
      <c r="AK911" s="8" t="str">
        <f ca="1">IFERROR(__xludf.DUMMYFUNCTION("""COMPUTED_VALUE"""),"No")</f>
        <v>No</v>
      </c>
      <c r="AL911" s="8" t="str">
        <f ca="1">IFERROR(__xludf.DUMMYFUNCTION("""COMPUTED_VALUE"""),"No")</f>
        <v>No</v>
      </c>
      <c r="AM911" s="8" t="str">
        <f ca="1">IFERROR(__xludf.DUMMYFUNCTION("""COMPUTED_VALUE"""),"No")</f>
        <v>No</v>
      </c>
      <c r="AN911" s="8" t="str">
        <f ca="1">IFERROR(__xludf.DUMMYFUNCTION("""COMPUTED_VALUE"""),"Outside")</f>
        <v>Outside</v>
      </c>
      <c r="AO911" s="8" t="str">
        <f ca="1">IFERROR(__xludf.DUMMYFUNCTION("""COMPUTED_VALUE"""),"No")</f>
        <v>No</v>
      </c>
      <c r="AP911" s="8"/>
      <c r="AQ911" s="8"/>
      <c r="AR911" s="8" t="str">
        <f ca="1">IFERROR(__xludf.DUMMYFUNCTION("""COMPUTED_VALUE"""),"Outside/Off-Property")</f>
        <v>Outside/Off-Property</v>
      </c>
      <c r="AS911" s="8">
        <f ca="1">IFERROR(__xludf.DUMMYFUNCTION("""COMPUTED_VALUE"""),99)</f>
        <v>99</v>
      </c>
      <c r="AT911" s="8" t="str">
        <f ca="1">IFERROR(__xludf.DUMMYFUNCTION("""COMPUTED_VALUE"""),"Yes")</f>
        <v>Yes</v>
      </c>
      <c r="AU911" s="8">
        <f ca="1">IFERROR(__xludf.DUMMYFUNCTION("""COMPUTED_VALUE"""),41.472824)</f>
        <v>41.472824000000003</v>
      </c>
      <c r="AV911" s="8">
        <f ca="1">IFERROR(__xludf.DUMMYFUNCTION("""COMPUTED_VALUE"""),-81.56787)</f>
        <v>-81.567869999999999</v>
      </c>
      <c r="AW911" s="8"/>
      <c r="AX911" s="8">
        <f ca="1">IFERROR(__xludf.DUMMYFUNCTION("""COMPUTED_VALUE"""),44120)</f>
        <v>44120</v>
      </c>
    </row>
    <row r="912" spans="1:50" ht="150" x14ac:dyDescent="0.2">
      <c r="A912" s="8" t="str">
        <f ca="1">IFERROR(__xludf.DUMMYFUNCTION("""COMPUTED_VALUE"""),"20221021CAGRS")</f>
        <v>20221021CAGRS</v>
      </c>
      <c r="B912" s="8">
        <f ca="1">IFERROR(__xludf.DUMMYFUNCTION("""COMPUTED_VALUE"""),10)</f>
        <v>10</v>
      </c>
      <c r="C912" s="8">
        <f ca="1">IFERROR(__xludf.DUMMYFUNCTION("""COMPUTED_VALUE"""),21)</f>
        <v>21</v>
      </c>
      <c r="D912" s="8">
        <f ca="1">IFERROR(__xludf.DUMMYFUNCTION("""COMPUTED_VALUE"""),2022)</f>
        <v>2022</v>
      </c>
      <c r="E912" s="9">
        <f ca="1">IFERROR(__xludf.DUMMYFUNCTION("""COMPUTED_VALUE"""),44855)</f>
        <v>44855</v>
      </c>
      <c r="F912" s="8" t="str">
        <f ca="1">IFERROR(__xludf.DUMMYFUNCTION("""COMPUTED_VALUE"""),"Grant Union High School")</f>
        <v>Grant Union High School</v>
      </c>
      <c r="G912" s="8">
        <f ca="1">IFERROR(__xludf.DUMMYFUNCTION("""COMPUTED_VALUE"""),1)</f>
        <v>1</v>
      </c>
      <c r="H912" s="8">
        <f ca="1">IFERROR(__xludf.DUMMYFUNCTION("""COMPUTED_VALUE"""),0)</f>
        <v>0</v>
      </c>
      <c r="I912" s="8">
        <f ca="1">IFERROR(__xludf.DUMMYFUNCTION("""COMPUTED_VALUE"""),1)</f>
        <v>1</v>
      </c>
      <c r="J912" s="8">
        <f ca="1">IFERROR(__xludf.DUMMYFUNCTION("""COMPUTED_VALUE"""),0)</f>
        <v>0</v>
      </c>
      <c r="K912" s="10" t="str">
        <f ca="1">IFERROR(__xludf.DUMMYFUNCTION("""COMPUTED_VALUE"""),"https://www.wfmz.com/news/cnn/regional/gunshots-reported-at-grant-high-school-during-a-football-game/video_86fd914d-cd71-51bd-bf4b-b7285d1eeb70.html
https://www.kcra.com/article/shooting-occurs-grant-monterey-trail-football-game/41741212#
https://fox40.co"&amp;"m/news/local-news/sacramento/sacramento-police-arrest-suspect-in-grant-union-high-school-parking-lot-shooting/")</f>
        <v>https://www.wfmz.com/news/cnn/regional/gunshots-reported-at-grant-high-school-during-a-football-game/video_86fd914d-cd71-51bd-bf4b-b7285d1eeb70.html
https://www.kcra.com/article/shooting-occurs-grant-monterey-trail-football-game/41741212#
https://fox40.com/news/local-news/sacramento/sacramento-police-arrest-suspect-in-grant-union-high-school-parking-lot-shooting/</v>
      </c>
      <c r="L912" s="8">
        <f ca="1">IFERROR(__xludf.DUMMYFUNCTION("""COMPUTED_VALUE"""),2)</f>
        <v>2</v>
      </c>
      <c r="M912" s="8" t="str">
        <f ca="1">IFERROR(__xludf.DUMMYFUNCTION("""COMPUTED_VALUE"""),"Local")</f>
        <v>Local</v>
      </c>
      <c r="N912" s="8">
        <f ca="1">IFERROR(__xludf.DUMMYFUNCTION("""COMPUTED_VALUE"""),4)</f>
        <v>4</v>
      </c>
      <c r="O912" s="8" t="str">
        <f ca="1">IFERROR(__xludf.DUMMYFUNCTION("""COMPUTED_VALUE"""),"Fall")</f>
        <v>Fall</v>
      </c>
      <c r="P912" s="8" t="str">
        <f ca="1">IFERROR(__xludf.DUMMYFUNCTION("""COMPUTED_VALUE"""),"Sacramento")</f>
        <v>Sacramento</v>
      </c>
      <c r="Q912" s="8" t="str">
        <f ca="1">IFERROR(__xludf.DUMMYFUNCTION("""COMPUTED_VALUE"""),"CA")</f>
        <v>CA</v>
      </c>
      <c r="R912" s="8" t="str">
        <f ca="1">IFERROR(__xludf.DUMMYFUNCTION("""COMPUTED_VALUE"""),"High")</f>
        <v>High</v>
      </c>
      <c r="S912" s="8" t="str">
        <f ca="1">IFERROR(__xludf.DUMMYFUNCTION("""COMPUTED_VALUE"""),"Parking Lot")</f>
        <v>Parking Lot</v>
      </c>
      <c r="T912" s="8" t="str">
        <f ca="1">IFERROR(__xludf.DUMMYFUNCTION("""COMPUTED_VALUE"""),"Outside on School Property")</f>
        <v>Outside on School Property</v>
      </c>
      <c r="U912" s="8" t="str">
        <f ca="1">IFERROR(__xludf.DUMMYFUNCTION("""COMPUTED_VALUE"""),"No")</f>
        <v>No</v>
      </c>
      <c r="V912" s="8" t="str">
        <f ca="1">IFERROR(__xludf.DUMMYFUNCTION("""COMPUTED_VALUE"""),"Sport Event")</f>
        <v>Sport Event</v>
      </c>
      <c r="W912" s="11">
        <f ca="1">IFERROR(__xludf.DUMMYFUNCTION("""COMPUTED_VALUE"""),0.916666666666666)</f>
        <v>0.91666666666666596</v>
      </c>
      <c r="X912" s="8">
        <f ca="1">IFERROR(__xludf.DUMMYFUNCTION("""COMPUTED_VALUE"""),1)</f>
        <v>1</v>
      </c>
      <c r="Y912" s="12" t="str">
        <f ca="1">IFERROR(__xludf.DUMMYFUNCTION("""COMPUTED_VALUE"""),"Man fatally shot in school parking lot during football game.")</f>
        <v>Man fatally shot in school parking lot during football game.</v>
      </c>
      <c r="Z912" s="12" t="str">
        <f ca="1">IFERROR(__xludf.DUMMYFUNCTION("""COMPUTED_VALUE"""),"Police said around 10 p.m. there was a ""disturbance"" in the parking lot involving as many as 20 people. Eaton said the shooting occurred at some point during that disturbance as the football game was going on. He said it is not believed members of the g"&amp;"roup involved were students of the high school. Eaton also confirmed a firearm was located on scene, that a car was damaged by gunfire and that someone transported the victim to the hospital. There was also no interruption to the game as no one attending "&amp;"the game seemed to be aware of a shooting.")</f>
        <v>Police said around 10 p.m. there was a "disturbance" in the parking lot involving as many as 20 people. Eaton said the shooting occurred at some point during that disturbance as the football game was going on. He said it is not believed members of the group involved were students of the high school. Eaton also confirmed a firearm was located on scene, that a car was damaged by gunfire and that someone transported the victim to the hospital. There was also no interruption to the game as no one attending the game seemed to be aware of a shooting.</v>
      </c>
      <c r="AA912" s="8" t="str">
        <f ca="1">IFERROR(__xludf.DUMMYFUNCTION("""COMPUTED_VALUE"""),"Escalation of Dispute")</f>
        <v>Escalation of Dispute</v>
      </c>
      <c r="AB912" s="8"/>
      <c r="AC912" s="8" t="str">
        <f ca="1">IFERROR(__xludf.DUMMYFUNCTION("""COMPUTED_VALUE"""),"Yes")</f>
        <v>Yes</v>
      </c>
      <c r="AD912" s="8"/>
      <c r="AE912" s="8" t="str">
        <f ca="1">IFERROR(__xludf.DUMMYFUNCTION("""COMPUTED_VALUE"""),"No")</f>
        <v>No</v>
      </c>
      <c r="AF912" s="8"/>
      <c r="AG912" s="8" t="str">
        <f ca="1">IFERROR(__xludf.DUMMYFUNCTION("""COMPUTED_VALUE"""),"No")</f>
        <v>No</v>
      </c>
      <c r="AH912" s="8" t="str">
        <f ca="1">IFERROR(__xludf.DUMMYFUNCTION("""COMPUTED_VALUE"""),"No")</f>
        <v>No</v>
      </c>
      <c r="AI912" s="8" t="str">
        <f ca="1">IFERROR(__xludf.DUMMYFUNCTION("""COMPUTED_VALUE"""),"No")</f>
        <v>No</v>
      </c>
      <c r="AJ912" s="8" t="str">
        <f ca="1">IFERROR(__xludf.DUMMYFUNCTION("""COMPUTED_VALUE"""),"No")</f>
        <v>No</v>
      </c>
      <c r="AK912" s="8" t="str">
        <f ca="1">IFERROR(__xludf.DUMMYFUNCTION("""COMPUTED_VALUE"""),"No")</f>
        <v>No</v>
      </c>
      <c r="AL912" s="8"/>
      <c r="AM912" s="8" t="str">
        <f ca="1">IFERROR(__xludf.DUMMYFUNCTION("""COMPUTED_VALUE"""),"No")</f>
        <v>No</v>
      </c>
      <c r="AN912" s="8" t="str">
        <f ca="1">IFERROR(__xludf.DUMMYFUNCTION("""COMPUTED_VALUE"""),"Outside")</f>
        <v>Outside</v>
      </c>
      <c r="AO912" s="8" t="str">
        <f ca="1">IFERROR(__xludf.DUMMYFUNCTION("""COMPUTED_VALUE"""),"No")</f>
        <v>No</v>
      </c>
      <c r="AP912" s="8"/>
      <c r="AQ912" s="8"/>
      <c r="AR912" s="8" t="str">
        <f ca="1">IFERROR(__xludf.DUMMYFUNCTION("""COMPUTED_VALUE"""),"Outside/Off-Property")</f>
        <v>Outside/Off-Property</v>
      </c>
      <c r="AS912" s="8">
        <f ca="1">IFERROR(__xludf.DUMMYFUNCTION("""COMPUTED_VALUE"""),99)</f>
        <v>99</v>
      </c>
      <c r="AT912" s="8" t="str">
        <f ca="1">IFERROR(__xludf.DUMMYFUNCTION("""COMPUTED_VALUE"""),"No")</f>
        <v>No</v>
      </c>
      <c r="AU912" s="8">
        <f ca="1">IFERROR(__xludf.DUMMYFUNCTION("""COMPUTED_VALUE"""),38.636012)</f>
        <v>38.636012000000001</v>
      </c>
      <c r="AV912" s="8">
        <f ca="1">IFERROR(__xludf.DUMMYFUNCTION("""COMPUTED_VALUE"""),-121.435676)</f>
        <v>-121.435676</v>
      </c>
      <c r="AW912" s="8"/>
      <c r="AX912" s="8">
        <f ca="1">IFERROR(__xludf.DUMMYFUNCTION("""COMPUTED_VALUE"""),95838)</f>
        <v>95838</v>
      </c>
    </row>
    <row r="913" spans="1:50" ht="60" x14ac:dyDescent="0.2">
      <c r="A913" s="8" t="str">
        <f ca="1">IFERROR(__xludf.DUMMYFUNCTION("""COMPUTED_VALUE"""),"20221020PAPAP")</f>
        <v>20221020PAPAP</v>
      </c>
      <c r="B913" s="8">
        <f ca="1">IFERROR(__xludf.DUMMYFUNCTION("""COMPUTED_VALUE"""),10)</f>
        <v>10</v>
      </c>
      <c r="C913" s="8">
        <f ca="1">IFERROR(__xludf.DUMMYFUNCTION("""COMPUTED_VALUE"""),20)</f>
        <v>20</v>
      </c>
      <c r="D913" s="8">
        <f ca="1">IFERROR(__xludf.DUMMYFUNCTION("""COMPUTED_VALUE"""),2022)</f>
        <v>2022</v>
      </c>
      <c r="E913" s="9">
        <f ca="1">IFERROR(__xludf.DUMMYFUNCTION("""COMPUTED_VALUE"""),44854)</f>
        <v>44854</v>
      </c>
      <c r="F913" s="8" t="str">
        <f ca="1">IFERROR(__xludf.DUMMYFUNCTION("""COMPUTED_VALUE"""),"Parkway West High School")</f>
        <v>Parkway West High School</v>
      </c>
      <c r="G913" s="8">
        <f ca="1">IFERROR(__xludf.DUMMYFUNCTION("""COMPUTED_VALUE"""),0)</f>
        <v>0</v>
      </c>
      <c r="H913" s="8">
        <f ca="1">IFERROR(__xludf.DUMMYFUNCTION("""COMPUTED_VALUE"""),1)</f>
        <v>1</v>
      </c>
      <c r="I913" s="8">
        <f ca="1">IFERROR(__xludf.DUMMYFUNCTION("""COMPUTED_VALUE"""),1)</f>
        <v>1</v>
      </c>
      <c r="J913" s="8">
        <f ca="1">IFERROR(__xludf.DUMMYFUNCTION("""COMPUTED_VALUE"""),0)</f>
        <v>0</v>
      </c>
      <c r="K913" s="8" t="str">
        <f ca="1">IFERROR(__xludf.DUMMYFUNCTION("""COMPUTED_VALUE"""),"https://www.cbsnews.com/philadelphia/news/4-west-philly-schools-dismissed-lockdown-following-shooting/
https://www.fox29.com/news/police-man-hospitalized-after-broad-daylight-shooting-in-west-philadelphia-local-schools-placed-on-lockdown")</f>
        <v>https://www.cbsnews.com/philadelphia/news/4-west-philly-schools-dismissed-lockdown-following-shooting/
https://www.fox29.com/news/police-man-hospitalized-after-broad-daylight-shooting-in-west-philadelphia-local-schools-placed-on-lockdown</v>
      </c>
      <c r="L913" s="8">
        <f ca="1">IFERROR(__xludf.DUMMYFUNCTION("""COMPUTED_VALUE"""),10)</f>
        <v>10</v>
      </c>
      <c r="M913" s="8" t="str">
        <f ca="1">IFERROR(__xludf.DUMMYFUNCTION("""COMPUTED_VALUE"""),"Regional")</f>
        <v>Regional</v>
      </c>
      <c r="N913" s="8">
        <f ca="1">IFERROR(__xludf.DUMMYFUNCTION("""COMPUTED_VALUE"""),4)</f>
        <v>4</v>
      </c>
      <c r="O913" s="8" t="str">
        <f ca="1">IFERROR(__xludf.DUMMYFUNCTION("""COMPUTED_VALUE"""),"Fall")</f>
        <v>Fall</v>
      </c>
      <c r="P913" s="8" t="str">
        <f ca="1">IFERROR(__xludf.DUMMYFUNCTION("""COMPUTED_VALUE"""),"Philadelphia")</f>
        <v>Philadelphia</v>
      </c>
      <c r="Q913" s="8" t="str">
        <f ca="1">IFERROR(__xludf.DUMMYFUNCTION("""COMPUTED_VALUE"""),"PA")</f>
        <v>PA</v>
      </c>
      <c r="R913" s="8" t="str">
        <f ca="1">IFERROR(__xludf.DUMMYFUNCTION("""COMPUTED_VALUE"""),"High")</f>
        <v>High</v>
      </c>
      <c r="S913" s="8" t="str">
        <f ca="1">IFERROR(__xludf.DUMMYFUNCTION("""COMPUTED_VALUE"""),"School Bus")</f>
        <v>School Bus</v>
      </c>
      <c r="T913" s="8" t="str">
        <f ca="1">IFERROR(__xludf.DUMMYFUNCTION("""COMPUTED_VALUE"""),"School Bus")</f>
        <v>School Bus</v>
      </c>
      <c r="U913" s="8" t="str">
        <f ca="1">IFERROR(__xludf.DUMMYFUNCTION("""COMPUTED_VALUE"""),"Yes")</f>
        <v>Yes</v>
      </c>
      <c r="V913" s="8" t="str">
        <f ca="1">IFERROR(__xludf.DUMMYFUNCTION("""COMPUTED_VALUE"""),"Lunch")</f>
        <v>Lunch</v>
      </c>
      <c r="W913" s="11">
        <f ca="1">IFERROR(__xludf.DUMMYFUNCTION("""COMPUTED_VALUE"""),0.520833333333333)</f>
        <v>0.52083333333333304</v>
      </c>
      <c r="X913" s="8">
        <f ca="1">IFERROR(__xludf.DUMMYFUNCTION("""COMPUTED_VALUE"""),1)</f>
        <v>1</v>
      </c>
      <c r="Y913" s="12" t="str">
        <f ca="1">IFERROR(__xludf.DUMMYFUNCTION("""COMPUTED_VALUE"""),"Man shot on street near school, shooter hid inside school bus")</f>
        <v>Man shot on street near school, shooter hid inside school bus</v>
      </c>
      <c r="Z913" s="12" t="str">
        <f ca="1">IFERROR(__xludf.DUMMYFUNCTION("""COMPUTED_VALUE"""),"Man was critically injured during shooting on street near 4 schools. Schools went on lockdown. Police found the shooter on a school bus and recovered the firearm used inside the bus.")</f>
        <v>Man was critically injured during shooting on street near 4 schools. Schools went on lockdown. Police found the shooter on a school bus and recovered the firearm used inside the bus.</v>
      </c>
      <c r="AA913" s="8"/>
      <c r="AB913" s="8"/>
      <c r="AC913" s="8" t="str">
        <f ca="1">IFERROR(__xludf.DUMMYFUNCTION("""COMPUTED_VALUE"""),"Yes")</f>
        <v>Yes</v>
      </c>
      <c r="AD913" s="8" t="str">
        <f ca="1">IFERROR(__xludf.DUMMYFUNCTION("""COMPUTED_VALUE"""),"Victims Targeted")</f>
        <v>Victims Targeted</v>
      </c>
      <c r="AE913" s="8" t="str">
        <f ca="1">IFERROR(__xludf.DUMMYFUNCTION("""COMPUTED_VALUE"""),"No")</f>
        <v>No</v>
      </c>
      <c r="AF913" s="8"/>
      <c r="AG913" s="8" t="str">
        <f ca="1">IFERROR(__xludf.DUMMYFUNCTION("""COMPUTED_VALUE"""),"No")</f>
        <v>No</v>
      </c>
      <c r="AH913" s="8" t="str">
        <f ca="1">IFERROR(__xludf.DUMMYFUNCTION("""COMPUTED_VALUE"""),"No")</f>
        <v>No</v>
      </c>
      <c r="AI913" s="8" t="str">
        <f ca="1">IFERROR(__xludf.DUMMYFUNCTION("""COMPUTED_VALUE"""),"No")</f>
        <v>No</v>
      </c>
      <c r="AJ913" s="8" t="str">
        <f ca="1">IFERROR(__xludf.DUMMYFUNCTION("""COMPUTED_VALUE"""),"No")</f>
        <v>No</v>
      </c>
      <c r="AK913" s="8" t="str">
        <f ca="1">IFERROR(__xludf.DUMMYFUNCTION("""COMPUTED_VALUE"""),"No")</f>
        <v>No</v>
      </c>
      <c r="AL913" s="8"/>
      <c r="AM913" s="8" t="str">
        <f ca="1">IFERROR(__xludf.DUMMYFUNCTION("""COMPUTED_VALUE"""),"No")</f>
        <v>No</v>
      </c>
      <c r="AN913" s="8" t="str">
        <f ca="1">IFERROR(__xludf.DUMMYFUNCTION("""COMPUTED_VALUE"""),"Outside")</f>
        <v>Outside</v>
      </c>
      <c r="AO913" s="8" t="str">
        <f ca="1">IFERROR(__xludf.DUMMYFUNCTION("""COMPUTED_VALUE"""),"No")</f>
        <v>No</v>
      </c>
      <c r="AP913" s="8"/>
      <c r="AQ913" s="8"/>
      <c r="AR913" s="8" t="str">
        <f ca="1">IFERROR(__xludf.DUMMYFUNCTION("""COMPUTED_VALUE"""),"Outside/Off-Property")</f>
        <v>Outside/Off-Property</v>
      </c>
      <c r="AS913" s="8">
        <f ca="1">IFERROR(__xludf.DUMMYFUNCTION("""COMPUTED_VALUE"""),99)</f>
        <v>99</v>
      </c>
      <c r="AT913" s="8" t="str">
        <f ca="1">IFERROR(__xludf.DUMMYFUNCTION("""COMPUTED_VALUE"""),"Yes")</f>
        <v>Yes</v>
      </c>
      <c r="AU913" s="8">
        <f ca="1">IFERROR(__xludf.DUMMYFUNCTION("""COMPUTED_VALUE"""),39.966568)</f>
        <v>39.966568000000002</v>
      </c>
      <c r="AV913" s="8">
        <f ca="1">IFERROR(__xludf.DUMMYFUNCTION("""COMPUTED_VALUE"""),-75.214479)</f>
        <v>-75.214478999999997</v>
      </c>
      <c r="AW913" s="8"/>
      <c r="AX913" s="8">
        <f ca="1">IFERROR(__xludf.DUMMYFUNCTION("""COMPUTED_VALUE"""),19139)</f>
        <v>19139</v>
      </c>
    </row>
    <row r="914" spans="1:50" ht="75" x14ac:dyDescent="0.2">
      <c r="A914" s="8" t="str">
        <f ca="1">IFERROR(__xludf.DUMMYFUNCTION("""COMPUTED_VALUE"""),"20221020COCAD")</f>
        <v>20221020COCAD</v>
      </c>
      <c r="B914" s="8">
        <f ca="1">IFERROR(__xludf.DUMMYFUNCTION("""COMPUTED_VALUE"""),10)</f>
        <v>10</v>
      </c>
      <c r="C914" s="8">
        <f ca="1">IFERROR(__xludf.DUMMYFUNCTION("""COMPUTED_VALUE"""),20)</f>
        <v>20</v>
      </c>
      <c r="D914" s="8">
        <f ca="1">IFERROR(__xludf.DUMMYFUNCTION("""COMPUTED_VALUE"""),2022)</f>
        <v>2022</v>
      </c>
      <c r="E914" s="9">
        <f ca="1">IFERROR(__xludf.DUMMYFUNCTION("""COMPUTED_VALUE"""),44854)</f>
        <v>44854</v>
      </c>
      <c r="F914" s="8" t="str">
        <f ca="1">IFERROR(__xludf.DUMMYFUNCTION("""COMPUTED_VALUE"""),"Castro Elementary School")</f>
        <v>Castro Elementary School</v>
      </c>
      <c r="G914" s="8">
        <f ca="1">IFERROR(__xludf.DUMMYFUNCTION("""COMPUTED_VALUE"""),0)</f>
        <v>0</v>
      </c>
      <c r="H914" s="8">
        <f ca="1">IFERROR(__xludf.DUMMYFUNCTION("""COMPUTED_VALUE"""),0)</f>
        <v>0</v>
      </c>
      <c r="I914" s="8">
        <f ca="1">IFERROR(__xludf.DUMMYFUNCTION("""COMPUTED_VALUE"""),0)</f>
        <v>0</v>
      </c>
      <c r="J914" s="8">
        <f ca="1">IFERROR(__xludf.DUMMYFUNCTION("""COMPUTED_VALUE"""),0)</f>
        <v>0</v>
      </c>
      <c r="K914" s="10" t="str">
        <f ca="1">IFERROR(__xludf.DUMMYFUNCTION("""COMPUTED_VALUE"""),"https://www.yahoo.com/entertainment/denver-elementary-school-soccer-game-235324292.html")</f>
        <v>https://www.yahoo.com/entertainment/denver-elementary-school-soccer-game-235324292.html</v>
      </c>
      <c r="L914" s="8">
        <f ca="1">IFERROR(__xludf.DUMMYFUNCTION("""COMPUTED_VALUE"""),2)</f>
        <v>2</v>
      </c>
      <c r="M914" s="8" t="str">
        <f ca="1">IFERROR(__xludf.DUMMYFUNCTION("""COMPUTED_VALUE"""),"Local")</f>
        <v>Local</v>
      </c>
      <c r="N914" s="8">
        <f ca="1">IFERROR(__xludf.DUMMYFUNCTION("""COMPUTED_VALUE"""),4)</f>
        <v>4</v>
      </c>
      <c r="O914" s="8" t="str">
        <f ca="1">IFERROR(__xludf.DUMMYFUNCTION("""COMPUTED_VALUE"""),"Fall")</f>
        <v>Fall</v>
      </c>
      <c r="P914" s="8" t="str">
        <f ca="1">IFERROR(__xludf.DUMMYFUNCTION("""COMPUTED_VALUE"""),"Denver")</f>
        <v>Denver</v>
      </c>
      <c r="Q914" s="8" t="str">
        <f ca="1">IFERROR(__xludf.DUMMYFUNCTION("""COMPUTED_VALUE"""),"CO")</f>
        <v>CO</v>
      </c>
      <c r="R914" s="8" t="str">
        <f ca="1">IFERROR(__xludf.DUMMYFUNCTION("""COMPUTED_VALUE"""),"Elementary")</f>
        <v>Elementary</v>
      </c>
      <c r="S914" s="8" t="str">
        <f ca="1">IFERROR(__xludf.DUMMYFUNCTION("""COMPUTED_VALUE"""),"Field (General)")</f>
        <v>Field (General)</v>
      </c>
      <c r="T914" s="8" t="str">
        <f ca="1">IFERROR(__xludf.DUMMYFUNCTION("""COMPUTED_VALUE"""),"Outside on School Property")</f>
        <v>Outside on School Property</v>
      </c>
      <c r="U914" s="8" t="str">
        <f ca="1">IFERROR(__xludf.DUMMYFUNCTION("""COMPUTED_VALUE"""),"No")</f>
        <v>No</v>
      </c>
      <c r="V914" s="8" t="str">
        <f ca="1">IFERROR(__xludf.DUMMYFUNCTION("""COMPUTED_VALUE"""),"Sport Event")</f>
        <v>Sport Event</v>
      </c>
      <c r="W914" s="11">
        <f ca="1">IFERROR(__xludf.DUMMYFUNCTION("""COMPUTED_VALUE"""),0.726388888888888)</f>
        <v>0.72638888888888797</v>
      </c>
      <c r="X914" s="8">
        <f ca="1">IFERROR(__xludf.DUMMYFUNCTION("""COMPUTED_VALUE"""),1)</f>
        <v>1</v>
      </c>
      <c r="Y914" s="12" t="str">
        <f ca="1">IFERROR(__xludf.DUMMYFUNCTION("""COMPUTED_VALUE"""),"Man displayed gun at youth soccer game and said he was going to kill everyone")</f>
        <v>Man displayed gun at youth soccer game and said he was going to kill everyone</v>
      </c>
      <c r="Z914" s="12" t="str">
        <f ca="1">IFERROR(__xludf.DUMMYFUNCTION("""COMPUTED_VALUE"""),"Man displayed gun at youth soccer game and said he was going to kill everyone. Parents and students ran. School was placed on lockdown. Man was arrested away from school with BB gun and arrested for outstanding warrant.")</f>
        <v>Man displayed gun at youth soccer game and said he was going to kill everyone. Parents and students ran. School was placed on lockdown. Man was arrested away from school with BB gun and arrested for outstanding warrant.</v>
      </c>
      <c r="AA914" s="8"/>
      <c r="AB914" s="8"/>
      <c r="AC914" s="8" t="str">
        <f ca="1">IFERROR(__xludf.DUMMYFUNCTION("""COMPUTED_VALUE"""),"Yes")</f>
        <v>Yes</v>
      </c>
      <c r="AD914" s="8" t="str">
        <f ca="1">IFERROR(__xludf.DUMMYFUNCTION("""COMPUTED_VALUE"""),"Neither")</f>
        <v>Neither</v>
      </c>
      <c r="AE914" s="8" t="str">
        <f ca="1">IFERROR(__xludf.DUMMYFUNCTION("""COMPUTED_VALUE"""),"No")</f>
        <v>No</v>
      </c>
      <c r="AF914" s="8"/>
      <c r="AG914" s="8" t="str">
        <f ca="1">IFERROR(__xludf.DUMMYFUNCTION("""COMPUTED_VALUE"""),"No")</f>
        <v>No</v>
      </c>
      <c r="AH914" s="8" t="str">
        <f ca="1">IFERROR(__xludf.DUMMYFUNCTION("""COMPUTED_VALUE"""),"No")</f>
        <v>No</v>
      </c>
      <c r="AI914" s="8" t="str">
        <f ca="1">IFERROR(__xludf.DUMMYFUNCTION("""COMPUTED_VALUE"""),"No")</f>
        <v>No</v>
      </c>
      <c r="AJ914" s="8" t="str">
        <f ca="1">IFERROR(__xludf.DUMMYFUNCTION("""COMPUTED_VALUE"""),"No")</f>
        <v>No</v>
      </c>
      <c r="AK914" s="8" t="str">
        <f ca="1">IFERROR(__xludf.DUMMYFUNCTION("""COMPUTED_VALUE"""),"No")</f>
        <v>No</v>
      </c>
      <c r="AL914" s="8" t="str">
        <f ca="1">IFERROR(__xludf.DUMMYFUNCTION("""COMPUTED_VALUE"""),"No")</f>
        <v>No</v>
      </c>
      <c r="AM914" s="8" t="str">
        <f ca="1">IFERROR(__xludf.DUMMYFUNCTION("""COMPUTED_VALUE"""),"No")</f>
        <v>No</v>
      </c>
      <c r="AN914" s="8" t="str">
        <f ca="1">IFERROR(__xludf.DUMMYFUNCTION("""COMPUTED_VALUE"""),"Outside")</f>
        <v>Outside</v>
      </c>
      <c r="AO914" s="8" t="str">
        <f ca="1">IFERROR(__xludf.DUMMYFUNCTION("""COMPUTED_VALUE"""),"No")</f>
        <v>No</v>
      </c>
      <c r="AP914" s="8"/>
      <c r="AQ914" s="8"/>
      <c r="AR914" s="8" t="str">
        <f ca="1">IFERROR(__xludf.DUMMYFUNCTION("""COMPUTED_VALUE"""),"Outside/Off-Property")</f>
        <v>Outside/Off-Property</v>
      </c>
      <c r="AS914" s="8">
        <f ca="1">IFERROR(__xludf.DUMMYFUNCTION("""COMPUTED_VALUE"""),0)</f>
        <v>0</v>
      </c>
      <c r="AT914" s="8" t="str">
        <f ca="1">IFERROR(__xludf.DUMMYFUNCTION("""COMPUTED_VALUE"""),"Yes")</f>
        <v>Yes</v>
      </c>
      <c r="AU914" s="8">
        <f ca="1">IFERROR(__xludf.DUMMYFUNCTION("""COMPUTED_VALUE"""),39.700799)</f>
        <v>39.700799000000004</v>
      </c>
      <c r="AV914" s="8">
        <f ca="1">IFERROR(__xludf.DUMMYFUNCTION("""COMPUTED_VALUE"""),-105.035194)</f>
        <v>-105.035194</v>
      </c>
      <c r="AW914" s="8"/>
      <c r="AX914" s="8">
        <f ca="1">IFERROR(__xludf.DUMMYFUNCTION("""COMPUTED_VALUE"""),80219)</f>
        <v>80219</v>
      </c>
    </row>
    <row r="915" spans="1:50" ht="135" x14ac:dyDescent="0.2">
      <c r="A915" s="8" t="str">
        <f ca="1">IFERROR(__xludf.DUMMYFUNCTION("""COMPUTED_VALUE"""),"20221019TNROR")</f>
        <v>20221019TNROR</v>
      </c>
      <c r="B915" s="8">
        <f ca="1">IFERROR(__xludf.DUMMYFUNCTION("""COMPUTED_VALUE"""),10)</f>
        <v>10</v>
      </c>
      <c r="C915" s="8">
        <f ca="1">IFERROR(__xludf.DUMMYFUNCTION("""COMPUTED_VALUE"""),19)</f>
        <v>19</v>
      </c>
      <c r="D915" s="8">
        <f ca="1">IFERROR(__xludf.DUMMYFUNCTION("""COMPUTED_VALUE"""),2022)</f>
        <v>2022</v>
      </c>
      <c r="E915" s="9">
        <f ca="1">IFERROR(__xludf.DUMMYFUNCTION("""COMPUTED_VALUE"""),44853)</f>
        <v>44853</v>
      </c>
      <c r="F915" s="8" t="str">
        <f ca="1">IFERROR(__xludf.DUMMYFUNCTION("""COMPUTED_VALUE"""),"Rockvale Middle School")</f>
        <v>Rockvale Middle School</v>
      </c>
      <c r="G915" s="8">
        <f ca="1">IFERROR(__xludf.DUMMYFUNCTION("""COMPUTED_VALUE"""),0)</f>
        <v>0</v>
      </c>
      <c r="H915" s="8">
        <f ca="1">IFERROR(__xludf.DUMMYFUNCTION("""COMPUTED_VALUE"""),1)</f>
        <v>1</v>
      </c>
      <c r="I915" s="8">
        <f ca="1">IFERROR(__xludf.DUMMYFUNCTION("""COMPUTED_VALUE"""),1)</f>
        <v>1</v>
      </c>
      <c r="J915" s="8">
        <f ca="1">IFERROR(__xludf.DUMMYFUNCTION("""COMPUTED_VALUE"""),0)</f>
        <v>0</v>
      </c>
      <c r="K915" s="8" t="str">
        <f ca="1">IFERROR(__xludf.DUMMYFUNCTION("""COMPUTED_VALUE"""),"https://fox17.com/news/local/police-17-year-old-girl-shot-life-flighted-to-hospital-after-rutherford-county-shooting
https://www.wkrn.com/news/local-news/murfreesboro/17-year-old-airlifted-following-rutherford-county-shooting/
https://www.newschannel5.com"&amp;"/news/teen-shot-near-rutherford-county-school")</f>
        <v>https://fox17.com/news/local/police-17-year-old-girl-shot-life-flighted-to-hospital-after-rutherford-county-shooting
https://www.wkrn.com/news/local-news/murfreesboro/17-year-old-airlifted-following-rutherford-county-shooting/
https://www.newschannel5.com/news/teen-shot-near-rutherford-county-school</v>
      </c>
      <c r="L915" s="8">
        <f ca="1">IFERROR(__xludf.DUMMYFUNCTION("""COMPUTED_VALUE"""),3)</f>
        <v>3</v>
      </c>
      <c r="M915" s="8" t="str">
        <f ca="1">IFERROR(__xludf.DUMMYFUNCTION("""COMPUTED_VALUE"""),"Local")</f>
        <v>Local</v>
      </c>
      <c r="N915" s="8">
        <f ca="1">IFERROR(__xludf.DUMMYFUNCTION("""COMPUTED_VALUE"""),2)</f>
        <v>2</v>
      </c>
      <c r="O915" s="8" t="str">
        <f ca="1">IFERROR(__xludf.DUMMYFUNCTION("""COMPUTED_VALUE"""),"Fall")</f>
        <v>Fall</v>
      </c>
      <c r="P915" s="8" t="str">
        <f ca="1">IFERROR(__xludf.DUMMYFUNCTION("""COMPUTED_VALUE"""),"Rockvale")</f>
        <v>Rockvale</v>
      </c>
      <c r="Q915" s="8" t="str">
        <f ca="1">IFERROR(__xludf.DUMMYFUNCTION("""COMPUTED_VALUE"""),"TN")</f>
        <v>TN</v>
      </c>
      <c r="R915" s="8" t="str">
        <f ca="1">IFERROR(__xludf.DUMMYFUNCTION("""COMPUTED_VALUE"""),"Middle")</f>
        <v>Middle</v>
      </c>
      <c r="S915" s="8" t="str">
        <f ca="1">IFERROR(__xludf.DUMMYFUNCTION("""COMPUTED_VALUE"""),"Outside on School Property")</f>
        <v>Outside on School Property</v>
      </c>
      <c r="T915" s="8" t="str">
        <f ca="1">IFERROR(__xludf.DUMMYFUNCTION("""COMPUTED_VALUE"""),"Outside on School Property")</f>
        <v>Outside on School Property</v>
      </c>
      <c r="U915" s="8" t="str">
        <f ca="1">IFERROR(__xludf.DUMMYFUNCTION("""COMPUTED_VALUE"""),"No")</f>
        <v>No</v>
      </c>
      <c r="V915" s="8" t="str">
        <f ca="1">IFERROR(__xludf.DUMMYFUNCTION("""COMPUTED_VALUE"""),"Not a School Day")</f>
        <v>Not a School Day</v>
      </c>
      <c r="W915" s="11">
        <f ca="1">IFERROR(__xludf.DUMMYFUNCTION("""COMPUTED_VALUE"""),0.625)</f>
        <v>0.625</v>
      </c>
      <c r="X915" s="8">
        <f ca="1">IFERROR(__xludf.DUMMYFUNCTION("""COMPUTED_VALUE"""),1)</f>
        <v>1</v>
      </c>
      <c r="Y915" s="12" t="str">
        <f ca="1">IFERROR(__xludf.DUMMYFUNCTION("""COMPUTED_VALUE"""),"Teen shot during domestic near school, given medical assistance at the school")</f>
        <v>Teen shot during domestic near school, given medical assistance at the school</v>
      </c>
      <c r="Z915" s="12" t="str">
        <f ca="1">IFERROR(__xludf.DUMMYFUNCTION("""COMPUTED_VALUE"""),"The apparent shooter brought the victim to Rockvale School where emergency workers responded, Rutherford County Sheriff's Office confirmed. Rutherford County Schools (RCS) said that the shooting was a domestic incident. Rutherford County Police said the g"&amp;"irl was life-flighted to Vanderbilt University Medical Center (VUMC) in Nashville after she was treated by Emergency Medical Services (EMS) paramedics at the school. School was closed for a teacher work day.")</f>
        <v>The apparent shooter brought the victim to Rockvale School where emergency workers responded, Rutherford County Sheriff's Office confirmed. Rutherford County Schools (RCS) said that the shooting was a domestic incident. Rutherford County Police said the girl was life-flighted to Vanderbilt University Medical Center (VUMC) in Nashville after she was treated by Emergency Medical Services (EMS) paramedics at the school. School was closed for a teacher work day.</v>
      </c>
      <c r="AA915" s="8" t="str">
        <f ca="1">IFERROR(__xludf.DUMMYFUNCTION("""COMPUTED_VALUE"""),"Domestic w/ Targeted Victim")</f>
        <v>Domestic w/ Targeted Victim</v>
      </c>
      <c r="AB915" s="8"/>
      <c r="AC915" s="8" t="str">
        <f ca="1">IFERROR(__xludf.DUMMYFUNCTION("""COMPUTED_VALUE"""),"No")</f>
        <v>No</v>
      </c>
      <c r="AD915" s="8" t="str">
        <f ca="1">IFERROR(__xludf.DUMMYFUNCTION("""COMPUTED_VALUE"""),"Victims Targeted")</f>
        <v>Victims Targeted</v>
      </c>
      <c r="AE915" s="8"/>
      <c r="AF915" s="8"/>
      <c r="AG915" s="8" t="str">
        <f ca="1">IFERROR(__xludf.DUMMYFUNCTION("""COMPUTED_VALUE"""),"No")</f>
        <v>No</v>
      </c>
      <c r="AH915" s="8" t="str">
        <f ca="1">IFERROR(__xludf.DUMMYFUNCTION("""COMPUTED_VALUE"""),"No")</f>
        <v>No</v>
      </c>
      <c r="AI915" s="8" t="str">
        <f ca="1">IFERROR(__xludf.DUMMYFUNCTION("""COMPUTED_VALUE"""),"No")</f>
        <v>No</v>
      </c>
      <c r="AJ915" s="8" t="str">
        <f ca="1">IFERROR(__xludf.DUMMYFUNCTION("""COMPUTED_VALUE"""),"No")</f>
        <v>No</v>
      </c>
      <c r="AK915" s="8" t="str">
        <f ca="1">IFERROR(__xludf.DUMMYFUNCTION("""COMPUTED_VALUE"""),"Yes")</f>
        <v>Yes</v>
      </c>
      <c r="AL915" s="8" t="str">
        <f ca="1">IFERROR(__xludf.DUMMYFUNCTION("""COMPUTED_VALUE"""),"No")</f>
        <v>No</v>
      </c>
      <c r="AM915" s="8" t="str">
        <f ca="1">IFERROR(__xludf.DUMMYFUNCTION("""COMPUTED_VALUE"""),"No")</f>
        <v>No</v>
      </c>
      <c r="AN915" s="8" t="str">
        <f ca="1">IFERROR(__xludf.DUMMYFUNCTION("""COMPUTED_VALUE"""),"Outside")</f>
        <v>Outside</v>
      </c>
      <c r="AO915" s="8" t="str">
        <f ca="1">IFERROR(__xludf.DUMMYFUNCTION("""COMPUTED_VALUE"""),"No")</f>
        <v>No</v>
      </c>
      <c r="AP915" s="8"/>
      <c r="AQ915" s="8"/>
      <c r="AR915" s="8" t="str">
        <f ca="1">IFERROR(__xludf.DUMMYFUNCTION("""COMPUTED_VALUE"""),"Outside/Off-Property")</f>
        <v>Outside/Off-Property</v>
      </c>
      <c r="AS915" s="8">
        <f ca="1">IFERROR(__xludf.DUMMYFUNCTION("""COMPUTED_VALUE"""),1)</f>
        <v>1</v>
      </c>
      <c r="AT915" s="8"/>
      <c r="AU915" s="8">
        <f ca="1">IFERROR(__xludf.DUMMYFUNCTION("""COMPUTED_VALUE"""),35.785284)</f>
        <v>35.785283999999997</v>
      </c>
      <c r="AV915" s="8">
        <f ca="1">IFERROR(__xludf.DUMMYFUNCTION("""COMPUTED_VALUE"""),-86.500464)</f>
        <v>-86.500463999999994</v>
      </c>
      <c r="AW915" s="8"/>
      <c r="AX915" s="8">
        <f ca="1">IFERROR(__xludf.DUMMYFUNCTION("""COMPUTED_VALUE"""),37153)</f>
        <v>37153</v>
      </c>
    </row>
    <row r="916" spans="1:50" ht="135" x14ac:dyDescent="0.2">
      <c r="A916" s="8" t="str">
        <f ca="1">IFERROR(__xludf.DUMMYFUNCTION("""COMPUTED_VALUE"""),"20221018ORJEP")</f>
        <v>20221018ORJEP</v>
      </c>
      <c r="B916" s="8">
        <f ca="1">IFERROR(__xludf.DUMMYFUNCTION("""COMPUTED_VALUE"""),10)</f>
        <v>10</v>
      </c>
      <c r="C916" s="8">
        <f ca="1">IFERROR(__xludf.DUMMYFUNCTION("""COMPUTED_VALUE"""),18)</f>
        <v>18</v>
      </c>
      <c r="D916" s="8">
        <f ca="1">IFERROR(__xludf.DUMMYFUNCTION("""COMPUTED_VALUE"""),2022)</f>
        <v>2022</v>
      </c>
      <c r="E916" s="9">
        <f ca="1">IFERROR(__xludf.DUMMYFUNCTION("""COMPUTED_VALUE"""),44852)</f>
        <v>44852</v>
      </c>
      <c r="F916" s="8" t="str">
        <f ca="1">IFERROR(__xludf.DUMMYFUNCTION("""COMPUTED_VALUE"""),"Jefferson High School")</f>
        <v>Jefferson High School</v>
      </c>
      <c r="G916" s="8">
        <f ca="1">IFERROR(__xludf.DUMMYFUNCTION("""COMPUTED_VALUE"""),0)</f>
        <v>0</v>
      </c>
      <c r="H916" s="8">
        <f ca="1">IFERROR(__xludf.DUMMYFUNCTION("""COMPUTED_VALUE"""),2)</f>
        <v>2</v>
      </c>
      <c r="I916" s="8">
        <f ca="1">IFERROR(__xludf.DUMMYFUNCTION("""COMPUTED_VALUE"""),2)</f>
        <v>2</v>
      </c>
      <c r="J916" s="8">
        <f ca="1">IFERROR(__xludf.DUMMYFUNCTION("""COMPUTED_VALUE"""),0)</f>
        <v>0</v>
      </c>
      <c r="K916" s="8" t="str">
        <f ca="1">IFERROR(__xludf.DUMMYFUNCTION("""COMPUTED_VALUE"""),"https://www.oregonlive.com/crime/2022/10/two-students-wounded-in-shooting-near-jefferson-high-school-portland-school-officials-say.html
https://www.kptv.com/2022/10/19/2-students-injured-shooting-near-jefferson-high-school/
https://www.kgw.com/video/news/"&amp;"local/two-students-injured-in-shooting-near-jefferson-high-school/283-aabeeffa-e15d-415c-bb2e-78e7ff194539")</f>
        <v>https://www.oregonlive.com/crime/2022/10/two-students-wounded-in-shooting-near-jefferson-high-school-portland-school-officials-say.html
https://www.kptv.com/2022/10/19/2-students-injured-shooting-near-jefferson-high-school/
https://www.kgw.com/video/news/local/two-students-injured-in-shooting-near-jefferson-high-school/283-aabeeffa-e15d-415c-bb2e-78e7ff194539</v>
      </c>
      <c r="L916" s="8">
        <f ca="1">IFERROR(__xludf.DUMMYFUNCTION("""COMPUTED_VALUE"""),25)</f>
        <v>25</v>
      </c>
      <c r="M916" s="8" t="str">
        <f ca="1">IFERROR(__xludf.DUMMYFUNCTION("""COMPUTED_VALUE"""),"National")</f>
        <v>National</v>
      </c>
      <c r="N916" s="8">
        <f ca="1">IFERROR(__xludf.DUMMYFUNCTION("""COMPUTED_VALUE"""),4)</f>
        <v>4</v>
      </c>
      <c r="O916" s="8" t="str">
        <f ca="1">IFERROR(__xludf.DUMMYFUNCTION("""COMPUTED_VALUE"""),"Fall")</f>
        <v>Fall</v>
      </c>
      <c r="P916" s="8" t="str">
        <f ca="1">IFERROR(__xludf.DUMMYFUNCTION("""COMPUTED_VALUE"""),"Portland")</f>
        <v>Portland</v>
      </c>
      <c r="Q916" s="8" t="str">
        <f ca="1">IFERROR(__xludf.DUMMYFUNCTION("""COMPUTED_VALUE"""),"OR")</f>
        <v>OR</v>
      </c>
      <c r="R916" s="8" t="str">
        <f ca="1">IFERROR(__xludf.DUMMYFUNCTION("""COMPUTED_VALUE"""),"High")</f>
        <v>High</v>
      </c>
      <c r="S916" s="8" t="str">
        <f ca="1">IFERROR(__xludf.DUMMYFUNCTION("""COMPUTED_VALUE"""),"Beside Building")</f>
        <v>Beside Building</v>
      </c>
      <c r="T916" s="8" t="str">
        <f ca="1">IFERROR(__xludf.DUMMYFUNCTION("""COMPUTED_VALUE"""),"Outside on School Property")</f>
        <v>Outside on School Property</v>
      </c>
      <c r="U916" s="8" t="str">
        <f ca="1">IFERROR(__xludf.DUMMYFUNCTION("""COMPUTED_VALUE"""),"Yes")</f>
        <v>Yes</v>
      </c>
      <c r="V916" s="8" t="str">
        <f ca="1">IFERROR(__xludf.DUMMYFUNCTION("""COMPUTED_VALUE"""),"Dismissal")</f>
        <v>Dismissal</v>
      </c>
      <c r="W916" s="11">
        <f ca="1">IFERROR(__xludf.DUMMYFUNCTION("""COMPUTED_VALUE"""),0.665972222222222)</f>
        <v>0.66597222222222197</v>
      </c>
      <c r="X916" s="8">
        <f ca="1">IFERROR(__xludf.DUMMYFUNCTION("""COMPUTED_VALUE"""),1)</f>
        <v>1</v>
      </c>
      <c r="Y916" s="12" t="str">
        <f ca="1">IFERROR(__xludf.DUMMYFUNCTION("""COMPUTED_VALUE"""),"2 students shot during drive by at dismissal")</f>
        <v>2 students shot during drive by at dismissal</v>
      </c>
      <c r="Z916" s="12" t="str">
        <f ca="1">IFERROR(__xludf.DUMMYFUNCTION("""COMPUTED_VALUE"""),"The Portland Police Bureau confirmed that shots were fired near Jefferson High School on Tuesday afternoon. North Precinct officers were first dispatched at 3:59 p.m. to 5200 Block of North Kerby Avenue after someone reported hearing gunshots followed by "&amp;"lots of yelling near the school Tuesday afternoon. Arriving officers found evidence showing shots had been fired just outside of the school’s gym, before discovering a male student inside the school with a non-life-threatening gunshot wound to the leg.")</f>
        <v>The Portland Police Bureau confirmed that shots were fired near Jefferson High School on Tuesday afternoon. North Precinct officers were first dispatched at 3:59 p.m. to 5200 Block of North Kerby Avenue after someone reported hearing gunshots followed by lots of yelling near the school Tuesday afternoon. Arriving officers found evidence showing shots had been fired just outside of the school’s gym, before discovering a male student inside the school with a non-life-threatening gunshot wound to the leg.</v>
      </c>
      <c r="AA916" s="8" t="str">
        <f ca="1">IFERROR(__xludf.DUMMYFUNCTION("""COMPUTED_VALUE"""),"Drive-by Shooting")</f>
        <v>Drive-by Shooting</v>
      </c>
      <c r="AB916" s="8"/>
      <c r="AC916" s="8" t="str">
        <f ca="1">IFERROR(__xludf.DUMMYFUNCTION("""COMPUTED_VALUE"""),"Yes")</f>
        <v>Yes</v>
      </c>
      <c r="AD916" s="8" t="str">
        <f ca="1">IFERROR(__xludf.DUMMYFUNCTION("""COMPUTED_VALUE"""),"Both")</f>
        <v>Both</v>
      </c>
      <c r="AE916" s="8"/>
      <c r="AF916" s="8"/>
      <c r="AG916" s="8" t="str">
        <f ca="1">IFERROR(__xludf.DUMMYFUNCTION("""COMPUTED_VALUE"""),"No")</f>
        <v>No</v>
      </c>
      <c r="AH916" s="8" t="str">
        <f ca="1">IFERROR(__xludf.DUMMYFUNCTION("""COMPUTED_VALUE"""),"No")</f>
        <v>No</v>
      </c>
      <c r="AI916" s="8" t="str">
        <f ca="1">IFERROR(__xludf.DUMMYFUNCTION("""COMPUTED_VALUE"""),"No")</f>
        <v>No</v>
      </c>
      <c r="AJ916" s="8" t="str">
        <f ca="1">IFERROR(__xludf.DUMMYFUNCTION("""COMPUTED_VALUE"""),"No")</f>
        <v>No</v>
      </c>
      <c r="AK916" s="8" t="str">
        <f ca="1">IFERROR(__xludf.DUMMYFUNCTION("""COMPUTED_VALUE"""),"No")</f>
        <v>No</v>
      </c>
      <c r="AL916" s="8" t="str">
        <f ca="1">IFERROR(__xludf.DUMMYFUNCTION("""COMPUTED_VALUE"""),"No")</f>
        <v>No</v>
      </c>
      <c r="AM916" s="8" t="str">
        <f ca="1">IFERROR(__xludf.DUMMYFUNCTION("""COMPUTED_VALUE"""),"No")</f>
        <v>No</v>
      </c>
      <c r="AN916" s="8" t="str">
        <f ca="1">IFERROR(__xludf.DUMMYFUNCTION("""COMPUTED_VALUE"""),"Outside")</f>
        <v>Outside</v>
      </c>
      <c r="AO916" s="8" t="str">
        <f ca="1">IFERROR(__xludf.DUMMYFUNCTION("""COMPUTED_VALUE"""),"No")</f>
        <v>No</v>
      </c>
      <c r="AP916" s="8"/>
      <c r="AQ916" s="8"/>
      <c r="AR916" s="8" t="str">
        <f ca="1">IFERROR(__xludf.DUMMYFUNCTION("""COMPUTED_VALUE"""),"Outside/Off-Property")</f>
        <v>Outside/Off-Property</v>
      </c>
      <c r="AS916" s="8">
        <f ca="1">IFERROR(__xludf.DUMMYFUNCTION("""COMPUTED_VALUE"""),12)</f>
        <v>12</v>
      </c>
      <c r="AT916" s="8" t="str">
        <f ca="1">IFERROR(__xludf.DUMMYFUNCTION("""COMPUTED_VALUE"""),"Yes")</f>
        <v>Yes</v>
      </c>
      <c r="AU916" s="8">
        <f ca="1">IFERROR(__xludf.DUMMYFUNCTION("""COMPUTED_VALUE"""),45.560811)</f>
        <v>45.560811000000001</v>
      </c>
      <c r="AV916" s="8">
        <f ca="1">IFERROR(__xludf.DUMMYFUNCTION("""COMPUTED_VALUE"""),-122.67246)</f>
        <v>-122.67246</v>
      </c>
      <c r="AW916" s="8"/>
      <c r="AX916" s="8">
        <f ca="1">IFERROR(__xludf.DUMMYFUNCTION("""COMPUTED_VALUE"""),97217)</f>
        <v>97217</v>
      </c>
    </row>
    <row r="917" spans="1:50" ht="30" x14ac:dyDescent="0.2">
      <c r="A917" s="8" t="str">
        <f ca="1">IFERROR(__xludf.DUMMYFUNCTION("""COMPUTED_VALUE"""),"20221018NVSUL")</f>
        <v>20221018NVSUL</v>
      </c>
      <c r="B917" s="8">
        <f ca="1">IFERROR(__xludf.DUMMYFUNCTION("""COMPUTED_VALUE"""),10)</f>
        <v>10</v>
      </c>
      <c r="C917" s="8">
        <f ca="1">IFERROR(__xludf.DUMMYFUNCTION("""COMPUTED_VALUE"""),18)</f>
        <v>18</v>
      </c>
      <c r="D917" s="8">
        <f ca="1">IFERROR(__xludf.DUMMYFUNCTION("""COMPUTED_VALUE"""),2022)</f>
        <v>2022</v>
      </c>
      <c r="E917" s="9">
        <f ca="1">IFERROR(__xludf.DUMMYFUNCTION("""COMPUTED_VALUE"""),44852)</f>
        <v>44852</v>
      </c>
      <c r="F917" s="8" t="str">
        <f ca="1">IFERROR(__xludf.DUMMYFUNCTION("""COMPUTED_VALUE"""),"Sunrise Mountain High School")</f>
        <v>Sunrise Mountain High School</v>
      </c>
      <c r="G917" s="8">
        <f ca="1">IFERROR(__xludf.DUMMYFUNCTION("""COMPUTED_VALUE"""),1)</f>
        <v>1</v>
      </c>
      <c r="H917" s="8">
        <f ca="1">IFERROR(__xludf.DUMMYFUNCTION("""COMPUTED_VALUE"""),0)</f>
        <v>0</v>
      </c>
      <c r="I917" s="8">
        <f ca="1">IFERROR(__xludf.DUMMYFUNCTION("""COMPUTED_VALUE"""),1)</f>
        <v>1</v>
      </c>
      <c r="J917" s="8">
        <f ca="1">IFERROR(__xludf.DUMMYFUNCTION("""COMPUTED_VALUE"""),0)</f>
        <v>0</v>
      </c>
      <c r="K917" s="10" t="str">
        <f ca="1">IFERROR(__xludf.DUMMYFUNCTION("""COMPUTED_VALUE"""),"https://www.reviewjournal.com/crime/homicides/fatal-shooting-reported-outside-east-las-vegas-high-school-2659925/")</f>
        <v>https://www.reviewjournal.com/crime/homicides/fatal-shooting-reported-outside-east-las-vegas-high-school-2659925/</v>
      </c>
      <c r="L917" s="8">
        <f ca="1">IFERROR(__xludf.DUMMYFUNCTION("""COMPUTED_VALUE"""),2)</f>
        <v>2</v>
      </c>
      <c r="M917" s="8" t="str">
        <f ca="1">IFERROR(__xludf.DUMMYFUNCTION("""COMPUTED_VALUE"""),"Local")</f>
        <v>Local</v>
      </c>
      <c r="N917" s="8">
        <f ca="1">IFERROR(__xludf.DUMMYFUNCTION("""COMPUTED_VALUE"""),4)</f>
        <v>4</v>
      </c>
      <c r="O917" s="8" t="str">
        <f ca="1">IFERROR(__xludf.DUMMYFUNCTION("""COMPUTED_VALUE"""),"Fall")</f>
        <v>Fall</v>
      </c>
      <c r="P917" s="8" t="str">
        <f ca="1">IFERROR(__xludf.DUMMYFUNCTION("""COMPUTED_VALUE"""),"Las Vegas")</f>
        <v>Las Vegas</v>
      </c>
      <c r="Q917" s="8" t="str">
        <f ca="1">IFERROR(__xludf.DUMMYFUNCTION("""COMPUTED_VALUE"""),"NV")</f>
        <v>NV</v>
      </c>
      <c r="R917" s="8" t="str">
        <f ca="1">IFERROR(__xludf.DUMMYFUNCTION("""COMPUTED_VALUE"""),"High")</f>
        <v>High</v>
      </c>
      <c r="S917" s="8" t="str">
        <f ca="1">IFERROR(__xludf.DUMMYFUNCTION("""COMPUTED_VALUE"""),"Parking Lot")</f>
        <v>Parking Lot</v>
      </c>
      <c r="T917" s="8" t="str">
        <f ca="1">IFERROR(__xludf.DUMMYFUNCTION("""COMPUTED_VALUE"""),"Outside on School Property")</f>
        <v>Outside on School Property</v>
      </c>
      <c r="U917" s="8" t="str">
        <f ca="1">IFERROR(__xludf.DUMMYFUNCTION("""COMPUTED_VALUE"""),"No")</f>
        <v>No</v>
      </c>
      <c r="V917" s="8" t="str">
        <f ca="1">IFERROR(__xludf.DUMMYFUNCTION("""COMPUTED_VALUE"""),"Night")</f>
        <v>Night</v>
      </c>
      <c r="W917" s="11">
        <f ca="1">IFERROR(__xludf.DUMMYFUNCTION("""COMPUTED_VALUE"""),0.0416666666666666)</f>
        <v>4.1666666666666602E-2</v>
      </c>
      <c r="X917" s="8">
        <f ca="1">IFERROR(__xludf.DUMMYFUNCTION("""COMPUTED_VALUE"""),1)</f>
        <v>1</v>
      </c>
      <c r="Y917" s="12" t="str">
        <f ca="1">IFERROR(__xludf.DUMMYFUNCTION("""COMPUTED_VALUE"""),"Man fatally shot in school parking lot")</f>
        <v>Man fatally shot in school parking lot</v>
      </c>
      <c r="Z917" s="12" t="str">
        <f ca="1">IFERROR(__xludf.DUMMYFUNCTION("""COMPUTED_VALUE"""),"Man fatally shot in school parking lot")</f>
        <v>Man fatally shot in school parking lot</v>
      </c>
      <c r="AA917" s="8"/>
      <c r="AB917" s="8"/>
      <c r="AC917" s="8" t="str">
        <f ca="1">IFERROR(__xludf.DUMMYFUNCTION("""COMPUTED_VALUE"""),"No")</f>
        <v>No</v>
      </c>
      <c r="AD917" s="8" t="str">
        <f ca="1">IFERROR(__xludf.DUMMYFUNCTION("""COMPUTED_VALUE"""),"Victims Targeted")</f>
        <v>Victims Targeted</v>
      </c>
      <c r="AE917" s="8"/>
      <c r="AF917" s="8"/>
      <c r="AG917" s="8" t="str">
        <f ca="1">IFERROR(__xludf.DUMMYFUNCTION("""COMPUTED_VALUE"""),"No")</f>
        <v>No</v>
      </c>
      <c r="AH917" s="8" t="str">
        <f ca="1">IFERROR(__xludf.DUMMYFUNCTION("""COMPUTED_VALUE"""),"No")</f>
        <v>No</v>
      </c>
      <c r="AI917" s="8" t="str">
        <f ca="1">IFERROR(__xludf.DUMMYFUNCTION("""COMPUTED_VALUE"""),"No")</f>
        <v>No</v>
      </c>
      <c r="AJ917" s="8" t="str">
        <f ca="1">IFERROR(__xludf.DUMMYFUNCTION("""COMPUTED_VALUE"""),"No")</f>
        <v>No</v>
      </c>
      <c r="AK917" s="8" t="str">
        <f ca="1">IFERROR(__xludf.DUMMYFUNCTION("""COMPUTED_VALUE"""),"No")</f>
        <v>No</v>
      </c>
      <c r="AL917" s="8" t="str">
        <f ca="1">IFERROR(__xludf.DUMMYFUNCTION("""COMPUTED_VALUE"""),"No")</f>
        <v>No</v>
      </c>
      <c r="AM917" s="8" t="str">
        <f ca="1">IFERROR(__xludf.DUMMYFUNCTION("""COMPUTED_VALUE"""),"No")</f>
        <v>No</v>
      </c>
      <c r="AN917" s="8" t="str">
        <f ca="1">IFERROR(__xludf.DUMMYFUNCTION("""COMPUTED_VALUE"""),"Outside")</f>
        <v>Outside</v>
      </c>
      <c r="AO917" s="8" t="str">
        <f ca="1">IFERROR(__xludf.DUMMYFUNCTION("""COMPUTED_VALUE"""),"No")</f>
        <v>No</v>
      </c>
      <c r="AP917" s="8"/>
      <c r="AQ917" s="8"/>
      <c r="AR917" s="8" t="str">
        <f ca="1">IFERROR(__xludf.DUMMYFUNCTION("""COMPUTED_VALUE"""),"Outside/Off-Property")</f>
        <v>Outside/Off-Property</v>
      </c>
      <c r="AS917" s="8"/>
      <c r="AT917" s="8"/>
      <c r="AU917" s="8">
        <f ca="1">IFERROR(__xludf.DUMMYFUNCTION("""COMPUTED_VALUE"""),36.206127)</f>
        <v>36.206127000000002</v>
      </c>
      <c r="AV917" s="8">
        <f ca="1">IFERROR(__xludf.DUMMYFUNCTION("""COMPUTED_VALUE"""),-115.020063)</f>
        <v>-115.02006299999999</v>
      </c>
      <c r="AW917" s="8"/>
      <c r="AX917" s="8">
        <f ca="1">IFERROR(__xludf.DUMMYFUNCTION("""COMPUTED_VALUE"""),89191)</f>
        <v>89191</v>
      </c>
    </row>
    <row r="918" spans="1:50" ht="165" x14ac:dyDescent="0.2">
      <c r="A918" s="8" t="str">
        <f ca="1">IFERROR(__xludf.DUMMYFUNCTION("""COMPUTED_VALUE"""),"20221017FLORT")</f>
        <v>20221017FLORT</v>
      </c>
      <c r="B918" s="8">
        <f ca="1">IFERROR(__xludf.DUMMYFUNCTION("""COMPUTED_VALUE"""),10)</f>
        <v>10</v>
      </c>
      <c r="C918" s="8">
        <f ca="1">IFERROR(__xludf.DUMMYFUNCTION("""COMPUTED_VALUE"""),17)</f>
        <v>17</v>
      </c>
      <c r="D918" s="8">
        <f ca="1">IFERROR(__xludf.DUMMYFUNCTION("""COMPUTED_VALUE"""),2022)</f>
        <v>2022</v>
      </c>
      <c r="E918" s="9">
        <f ca="1">IFERROR(__xludf.DUMMYFUNCTION("""COMPUTED_VALUE"""),44851)</f>
        <v>44851</v>
      </c>
      <c r="F918" s="8" t="str">
        <f ca="1">IFERROR(__xludf.DUMMYFUNCTION("""COMPUTED_VALUE"""),"Orange Grove Magnet Middle School")</f>
        <v>Orange Grove Magnet Middle School</v>
      </c>
      <c r="G918" s="8">
        <f ca="1">IFERROR(__xludf.DUMMYFUNCTION("""COMPUTED_VALUE"""),0)</f>
        <v>0</v>
      </c>
      <c r="H918" s="8">
        <f ca="1">IFERROR(__xludf.DUMMYFUNCTION("""COMPUTED_VALUE"""),0)</f>
        <v>0</v>
      </c>
      <c r="I918" s="8">
        <f ca="1">IFERROR(__xludf.DUMMYFUNCTION("""COMPUTED_VALUE"""),0)</f>
        <v>0</v>
      </c>
      <c r="J918" s="8">
        <f ca="1">IFERROR(__xludf.DUMMYFUNCTION("""COMPUTED_VALUE"""),0)</f>
        <v>0</v>
      </c>
      <c r="K918" s="8" t="str">
        <f ca="1">IFERROR(__xludf.DUMMYFUNCTION("""COMPUTED_VALUE"""),"https://www.baynews9.com/fl/tampa/news/2022/10/17/no-injuries-as-bullet-from-tampa-drive-by-shooting-hits-school-door
https://www.wtsp.com/article/news/crime/tampa-drive-by-shooting-orange-grove-middle-school/67-2c6201a9-0bfc-4635-88d7-bc876770003e")</f>
        <v>https://www.baynews9.com/fl/tampa/news/2022/10/17/no-injuries-as-bullet-from-tampa-drive-by-shooting-hits-school-door
https://www.wtsp.com/article/news/crime/tampa-drive-by-shooting-orange-grove-middle-school/67-2c6201a9-0bfc-4635-88d7-bc876770003e</v>
      </c>
      <c r="L918" s="8">
        <f ca="1">IFERROR(__xludf.DUMMYFUNCTION("""COMPUTED_VALUE"""),2)</f>
        <v>2</v>
      </c>
      <c r="M918" s="8" t="str">
        <f ca="1">IFERROR(__xludf.DUMMYFUNCTION("""COMPUTED_VALUE"""),"Local")</f>
        <v>Local</v>
      </c>
      <c r="N918" s="8">
        <f ca="1">IFERROR(__xludf.DUMMYFUNCTION("""COMPUTED_VALUE"""),4)</f>
        <v>4</v>
      </c>
      <c r="O918" s="8" t="str">
        <f ca="1">IFERROR(__xludf.DUMMYFUNCTION("""COMPUTED_VALUE"""),"Fall")</f>
        <v>Fall</v>
      </c>
      <c r="P918" s="8" t="str">
        <f ca="1">IFERROR(__xludf.DUMMYFUNCTION("""COMPUTED_VALUE"""),"Tampa")</f>
        <v>Tampa</v>
      </c>
      <c r="Q918" s="8" t="str">
        <f ca="1">IFERROR(__xludf.DUMMYFUNCTION("""COMPUTED_VALUE"""),"FL")</f>
        <v>FL</v>
      </c>
      <c r="R918" s="8" t="str">
        <f ca="1">IFERROR(__xludf.DUMMYFUNCTION("""COMPUTED_VALUE"""),"Middle")</f>
        <v>Middle</v>
      </c>
      <c r="S918" s="8" t="str">
        <f ca="1">IFERROR(__xludf.DUMMYFUNCTION("""COMPUTED_VALUE"""),"Front of School")</f>
        <v>Front of School</v>
      </c>
      <c r="T918" s="8" t="str">
        <f ca="1">IFERROR(__xludf.DUMMYFUNCTION("""COMPUTED_VALUE"""),"Outside on School Property")</f>
        <v>Outside on School Property</v>
      </c>
      <c r="U918" s="8" t="str">
        <f ca="1">IFERROR(__xludf.DUMMYFUNCTION("""COMPUTED_VALUE"""),"Yes")</f>
        <v>Yes</v>
      </c>
      <c r="V918" s="8" t="str">
        <f ca="1">IFERROR(__xludf.DUMMYFUNCTION("""COMPUTED_VALUE"""),"Morning Classes")</f>
        <v>Morning Classes</v>
      </c>
      <c r="W918" s="11">
        <f ca="1">IFERROR(__xludf.DUMMYFUNCTION("""COMPUTED_VALUE"""),0.375)</f>
        <v>0.375</v>
      </c>
      <c r="X918" s="8">
        <f ca="1">IFERROR(__xludf.DUMMYFUNCTION("""COMPUTED_VALUE"""),1)</f>
        <v>1</v>
      </c>
      <c r="Y918" s="12" t="str">
        <f ca="1">IFERROR(__xludf.DUMMYFUNCTION("""COMPUTED_VALUE"""),"Front door of school hit by bullet")</f>
        <v>Front door of school hit by bullet</v>
      </c>
      <c r="Z918" s="12" t="str">
        <f ca="1">IFERROR(__xludf.DUMMYFUNCTION("""COMPUTED_VALUE"""),"Gunshot detector system ShotSpotter reported the sound of multiple gunshots around 9 a.m. near Orange Grove Middle Magnet, located at 3415 North 16th St. As officers were on the way there, a call came in about a shooting at a home off of East 27th Avenue,"&amp;" just across the street from the school. Police explained they were able to talk to a man who said the shooter drove by his home ""firing several shots at the house."" As an act of self-defense, the man reportedly shot back at the car. The police departme"&amp;"nt says no one was hurt and no homes were struck by the gunfire, but one round hit an exterior door at the middle school.")</f>
        <v>Gunshot detector system ShotSpotter reported the sound of multiple gunshots around 9 a.m. near Orange Grove Middle Magnet, located at 3415 North 16th St. As officers were on the way there, a call came in about a shooting at a home off of East 27th Avenue, just across the street from the school. Police explained they were able to talk to a man who said the shooter drove by his home "firing several shots at the house." As an act of self-defense, the man reportedly shot back at the car. The police department says no one was hurt and no homes were struck by the gunfire, but one round hit an exterior door at the middle school.</v>
      </c>
      <c r="AA918" s="8" t="str">
        <f ca="1">IFERROR(__xludf.DUMMYFUNCTION("""COMPUTED_VALUE"""),"Drive-by Shooting")</f>
        <v>Drive-by Shooting</v>
      </c>
      <c r="AB918" s="8"/>
      <c r="AC918" s="8" t="str">
        <f ca="1">IFERROR(__xludf.DUMMYFUNCTION("""COMPUTED_VALUE"""),"Yes")</f>
        <v>Yes</v>
      </c>
      <c r="AD918" s="8" t="str">
        <f ca="1">IFERROR(__xludf.DUMMYFUNCTION("""COMPUTED_VALUE"""),"Victims Targeted")</f>
        <v>Victims Targeted</v>
      </c>
      <c r="AE918" s="8" t="str">
        <f ca="1">IFERROR(__xludf.DUMMYFUNCTION("""COMPUTED_VALUE"""),"No")</f>
        <v>No</v>
      </c>
      <c r="AF918" s="8"/>
      <c r="AG918" s="8" t="str">
        <f ca="1">IFERROR(__xludf.DUMMYFUNCTION("""COMPUTED_VALUE"""),"No")</f>
        <v>No</v>
      </c>
      <c r="AH918" s="8" t="str">
        <f ca="1">IFERROR(__xludf.DUMMYFUNCTION("""COMPUTED_VALUE"""),"No")</f>
        <v>No</v>
      </c>
      <c r="AI918" s="8" t="str">
        <f ca="1">IFERROR(__xludf.DUMMYFUNCTION("""COMPUTED_VALUE"""),"No")</f>
        <v>No</v>
      </c>
      <c r="AJ918" s="8" t="str">
        <f ca="1">IFERROR(__xludf.DUMMYFUNCTION("""COMPUTED_VALUE"""),"No")</f>
        <v>No</v>
      </c>
      <c r="AK918" s="8" t="str">
        <f ca="1">IFERROR(__xludf.DUMMYFUNCTION("""COMPUTED_VALUE"""),"No")</f>
        <v>No</v>
      </c>
      <c r="AL918" s="8" t="str">
        <f ca="1">IFERROR(__xludf.DUMMYFUNCTION("""COMPUTED_VALUE"""),"No")</f>
        <v>No</v>
      </c>
      <c r="AM918" s="8" t="str">
        <f ca="1">IFERROR(__xludf.DUMMYFUNCTION("""COMPUTED_VALUE"""),"No")</f>
        <v>No</v>
      </c>
      <c r="AN918" s="8" t="str">
        <f ca="1">IFERROR(__xludf.DUMMYFUNCTION("""COMPUTED_VALUE"""),"Outside")</f>
        <v>Outside</v>
      </c>
      <c r="AO918" s="8" t="str">
        <f ca="1">IFERROR(__xludf.DUMMYFUNCTION("""COMPUTED_VALUE"""),"No")</f>
        <v>No</v>
      </c>
      <c r="AP918" s="8"/>
      <c r="AQ918" s="8"/>
      <c r="AR918" s="8" t="str">
        <f ca="1">IFERROR(__xludf.DUMMYFUNCTION("""COMPUTED_VALUE"""),"Outside/Off-Property")</f>
        <v>Outside/Off-Property</v>
      </c>
      <c r="AS918" s="8">
        <f ca="1">IFERROR(__xludf.DUMMYFUNCTION("""COMPUTED_VALUE"""),99)</f>
        <v>99</v>
      </c>
      <c r="AT918" s="8" t="str">
        <f ca="1">IFERROR(__xludf.DUMMYFUNCTION("""COMPUTED_VALUE"""),"Yes")</f>
        <v>Yes</v>
      </c>
      <c r="AU918" s="8">
        <f ca="1">IFERROR(__xludf.DUMMYFUNCTION("""COMPUTED_VALUE"""),27.97532)</f>
        <v>27.97532</v>
      </c>
      <c r="AV918" s="8">
        <f ca="1">IFERROR(__xludf.DUMMYFUNCTION("""COMPUTED_VALUE"""),-82.440815)</f>
        <v>-82.440815000000001</v>
      </c>
      <c r="AW918" s="8"/>
      <c r="AX918" s="8">
        <f ca="1">IFERROR(__xludf.DUMMYFUNCTION("""COMPUTED_VALUE"""),33605)</f>
        <v>33605</v>
      </c>
    </row>
    <row r="919" spans="1:50" ht="30" x14ac:dyDescent="0.2">
      <c r="A919" s="8" t="str">
        <f ca="1">IFERROR(__xludf.DUMMYFUNCTION("""COMPUTED_VALUE"""),"20221017CAWIS")</f>
        <v>20221017CAWIS</v>
      </c>
      <c r="B919" s="8">
        <f ca="1">IFERROR(__xludf.DUMMYFUNCTION("""COMPUTED_VALUE"""),10)</f>
        <v>10</v>
      </c>
      <c r="C919" s="8">
        <f ca="1">IFERROR(__xludf.DUMMYFUNCTION("""COMPUTED_VALUE"""),17)</f>
        <v>17</v>
      </c>
      <c r="D919" s="8">
        <f ca="1">IFERROR(__xludf.DUMMYFUNCTION("""COMPUTED_VALUE"""),2022)</f>
        <v>2022</v>
      </c>
      <c r="E919" s="9">
        <f ca="1">IFERROR(__xludf.DUMMYFUNCTION("""COMPUTED_VALUE"""),44851)</f>
        <v>44851</v>
      </c>
      <c r="F919" s="8" t="str">
        <f ca="1">IFERROR(__xludf.DUMMYFUNCTION("""COMPUTED_VALUE"""),"Willow Glen Middle School")</f>
        <v>Willow Glen Middle School</v>
      </c>
      <c r="G919" s="8">
        <f ca="1">IFERROR(__xludf.DUMMYFUNCTION("""COMPUTED_VALUE"""),0)</f>
        <v>0</v>
      </c>
      <c r="H919" s="8">
        <f ca="1">IFERROR(__xludf.DUMMYFUNCTION("""COMPUTED_VALUE"""),0)</f>
        <v>0</v>
      </c>
      <c r="I919" s="8">
        <f ca="1">IFERROR(__xludf.DUMMYFUNCTION("""COMPUTED_VALUE"""),0)</f>
        <v>0</v>
      </c>
      <c r="J919" s="8">
        <f ca="1">IFERROR(__xludf.DUMMYFUNCTION("""COMPUTED_VALUE"""),0)</f>
        <v>0</v>
      </c>
      <c r="K919" s="10" t="str">
        <f ca="1">IFERROR(__xludf.DUMMYFUNCTION("""COMPUTED_VALUE"""),"https://abc7news.com/sj-school-paintball-pellets-willow-glen-middle-shots-fired-san-jose/12340605/")</f>
        <v>https://abc7news.com/sj-school-paintball-pellets-willow-glen-middle-shots-fired-san-jose/12340605/</v>
      </c>
      <c r="L919" s="8">
        <f ca="1">IFERROR(__xludf.DUMMYFUNCTION("""COMPUTED_VALUE"""),1)</f>
        <v>1</v>
      </c>
      <c r="M919" s="8" t="str">
        <f ca="1">IFERROR(__xludf.DUMMYFUNCTION("""COMPUTED_VALUE"""),"Local")</f>
        <v>Local</v>
      </c>
      <c r="N919" s="8">
        <f ca="1">IFERROR(__xludf.DUMMYFUNCTION("""COMPUTED_VALUE"""),3)</f>
        <v>3</v>
      </c>
      <c r="O919" s="8" t="str">
        <f ca="1">IFERROR(__xludf.DUMMYFUNCTION("""COMPUTED_VALUE"""),"Fall")</f>
        <v>Fall</v>
      </c>
      <c r="P919" s="8" t="str">
        <f ca="1">IFERROR(__xludf.DUMMYFUNCTION("""COMPUTED_VALUE"""),"San Jose")</f>
        <v>San Jose</v>
      </c>
      <c r="Q919" s="8" t="str">
        <f ca="1">IFERROR(__xludf.DUMMYFUNCTION("""COMPUTED_VALUE"""),"CA")</f>
        <v>CA</v>
      </c>
      <c r="R919" s="8" t="str">
        <f ca="1">IFERROR(__xludf.DUMMYFUNCTION("""COMPUTED_VALUE"""),"Middle")</f>
        <v>Middle</v>
      </c>
      <c r="S919" s="8" t="str">
        <f ca="1">IFERROR(__xludf.DUMMYFUNCTION("""COMPUTED_VALUE"""),"Front of School")</f>
        <v>Front of School</v>
      </c>
      <c r="T919" s="8" t="str">
        <f ca="1">IFERROR(__xludf.DUMMYFUNCTION("""COMPUTED_VALUE"""),"Outside on School Property")</f>
        <v>Outside on School Property</v>
      </c>
      <c r="U919" s="8" t="str">
        <f ca="1">IFERROR(__xludf.DUMMYFUNCTION("""COMPUTED_VALUE"""),"Yes")</f>
        <v>Yes</v>
      </c>
      <c r="V919" s="8" t="str">
        <f ca="1">IFERROR(__xludf.DUMMYFUNCTION("""COMPUTED_VALUE"""),"Morning Classes")</f>
        <v>Morning Classes</v>
      </c>
      <c r="W919" s="11">
        <f ca="1">IFERROR(__xludf.DUMMYFUNCTION("""COMPUTED_VALUE"""),0.416666666666666)</f>
        <v>0.41666666666666602</v>
      </c>
      <c r="X919" s="8">
        <f ca="1">IFERROR(__xludf.DUMMYFUNCTION("""COMPUTED_VALUE"""),1)</f>
        <v>1</v>
      </c>
      <c r="Y919" s="12" t="str">
        <f ca="1">IFERROR(__xludf.DUMMYFUNCTION("""COMPUTED_VALUE"""),"Pellet gun fired at students and staff")</f>
        <v>Pellet gun fired at students and staff</v>
      </c>
      <c r="Z919" s="12" t="str">
        <f ca="1">IFERROR(__xludf.DUMMYFUNCTION("""COMPUTED_VALUE"""),"Person in a vehicle fired pellets at students and staff inside a classroom.")</f>
        <v>Person in a vehicle fired pellets at students and staff inside a classroom.</v>
      </c>
      <c r="AA919" s="8" t="str">
        <f ca="1">IFERROR(__xludf.DUMMYFUNCTION("""COMPUTED_VALUE"""),"Drive-by Shooting")</f>
        <v>Drive-by Shooting</v>
      </c>
      <c r="AB919" s="8"/>
      <c r="AC919" s="8" t="str">
        <f ca="1">IFERROR(__xludf.DUMMYFUNCTION("""COMPUTED_VALUE"""),"Yes")</f>
        <v>Yes</v>
      </c>
      <c r="AD919" s="8" t="str">
        <f ca="1">IFERROR(__xludf.DUMMYFUNCTION("""COMPUTED_VALUE"""),"Random Shooting")</f>
        <v>Random Shooting</v>
      </c>
      <c r="AE919" s="8"/>
      <c r="AF919" s="8"/>
      <c r="AG919" s="8" t="str">
        <f ca="1">IFERROR(__xludf.DUMMYFUNCTION("""COMPUTED_VALUE"""),"No")</f>
        <v>No</v>
      </c>
      <c r="AH919" s="8" t="str">
        <f ca="1">IFERROR(__xludf.DUMMYFUNCTION("""COMPUTED_VALUE"""),"No")</f>
        <v>No</v>
      </c>
      <c r="AI919" s="8" t="str">
        <f ca="1">IFERROR(__xludf.DUMMYFUNCTION("""COMPUTED_VALUE"""),"No")</f>
        <v>No</v>
      </c>
      <c r="AJ919" s="8" t="str">
        <f ca="1">IFERROR(__xludf.DUMMYFUNCTION("""COMPUTED_VALUE"""),"No")</f>
        <v>No</v>
      </c>
      <c r="AK919" s="8" t="str">
        <f ca="1">IFERROR(__xludf.DUMMYFUNCTION("""COMPUTED_VALUE"""),"No")</f>
        <v>No</v>
      </c>
      <c r="AL919" s="8" t="str">
        <f ca="1">IFERROR(__xludf.DUMMYFUNCTION("""COMPUTED_VALUE"""),"No")</f>
        <v>No</v>
      </c>
      <c r="AM919" s="8" t="str">
        <f ca="1">IFERROR(__xludf.DUMMYFUNCTION("""COMPUTED_VALUE"""),"No")</f>
        <v>No</v>
      </c>
      <c r="AN919" s="8" t="str">
        <f ca="1">IFERROR(__xludf.DUMMYFUNCTION("""COMPUTED_VALUE"""),"Outside")</f>
        <v>Outside</v>
      </c>
      <c r="AO919" s="8" t="str">
        <f ca="1">IFERROR(__xludf.DUMMYFUNCTION("""COMPUTED_VALUE"""),"No")</f>
        <v>No</v>
      </c>
      <c r="AP919" s="8"/>
      <c r="AQ919" s="8"/>
      <c r="AR919" s="8" t="str">
        <f ca="1">IFERROR(__xludf.DUMMYFUNCTION("""COMPUTED_VALUE"""),"Outside/Off-Property")</f>
        <v>Outside/Off-Property</v>
      </c>
      <c r="AS919" s="8">
        <f ca="1">IFERROR(__xludf.DUMMYFUNCTION("""COMPUTED_VALUE"""),99)</f>
        <v>99</v>
      </c>
      <c r="AT919" s="8" t="str">
        <f ca="1">IFERROR(__xludf.DUMMYFUNCTION("""COMPUTED_VALUE"""),"Yes")</f>
        <v>Yes</v>
      </c>
      <c r="AU919" s="8">
        <f ca="1">IFERROR(__xludf.DUMMYFUNCTION("""COMPUTED_VALUE"""),37.290265)</f>
        <v>37.290264999999998</v>
      </c>
      <c r="AV919" s="8">
        <f ca="1">IFERROR(__xludf.DUMMYFUNCTION("""COMPUTED_VALUE"""),-121.895592)</f>
        <v>-121.89559199999999</v>
      </c>
      <c r="AW919" s="8"/>
      <c r="AX919" s="8">
        <f ca="1">IFERROR(__xludf.DUMMYFUNCTION("""COMPUTED_VALUE"""),95125)</f>
        <v>95125</v>
      </c>
    </row>
    <row r="920" spans="1:50" ht="30" x14ac:dyDescent="0.2">
      <c r="A920" s="8" t="str">
        <f ca="1">IFERROR(__xludf.DUMMYFUNCTION("""COMPUTED_VALUE"""),"20221016VAFAR")</f>
        <v>20221016VAFAR</v>
      </c>
      <c r="B920" s="8">
        <f ca="1">IFERROR(__xludf.DUMMYFUNCTION("""COMPUTED_VALUE"""),10)</f>
        <v>10</v>
      </c>
      <c r="C920" s="8">
        <f ca="1">IFERROR(__xludf.DUMMYFUNCTION("""COMPUTED_VALUE"""),16)</f>
        <v>16</v>
      </c>
      <c r="D920" s="8">
        <f ca="1">IFERROR(__xludf.DUMMYFUNCTION("""COMPUTED_VALUE"""),2022)</f>
        <v>2022</v>
      </c>
      <c r="E920" s="9">
        <f ca="1">IFERROR(__xludf.DUMMYFUNCTION("""COMPUTED_VALUE"""),44850)</f>
        <v>44850</v>
      </c>
      <c r="F920" s="8" t="str">
        <f ca="1">IFERROR(__xludf.DUMMYFUNCTION("""COMPUTED_VALUE"""),"Fairfield Court Elementary School")</f>
        <v>Fairfield Court Elementary School</v>
      </c>
      <c r="G920" s="8">
        <f ca="1">IFERROR(__xludf.DUMMYFUNCTION("""COMPUTED_VALUE"""),0)</f>
        <v>0</v>
      </c>
      <c r="H920" s="8">
        <f ca="1">IFERROR(__xludf.DUMMYFUNCTION("""COMPUTED_VALUE"""),3)</f>
        <v>3</v>
      </c>
      <c r="I920" s="8">
        <f ca="1">IFERROR(__xludf.DUMMYFUNCTION("""COMPUTED_VALUE"""),3)</f>
        <v>3</v>
      </c>
      <c r="J920" s="8">
        <f ca="1">IFERROR(__xludf.DUMMYFUNCTION("""COMPUTED_VALUE"""),0)</f>
        <v>0</v>
      </c>
      <c r="K920" s="8" t="str">
        <f ca="1">IFERROR(__xludf.DUMMYFUNCTION("""COMPUTED_VALUE"""),"https://www.wric.com/news/local-news/richmond/police-investigating-shooting-with-multiple-victims-near-elementary-school-in-richmond/
https://www.wtvr.com/news/local-news/phaup-street-triple-shooting-october-16-2022")</f>
        <v>https://www.wric.com/news/local-news/richmond/police-investigating-shooting-with-multiple-victims-near-elementary-school-in-richmond/
https://www.wtvr.com/news/local-news/phaup-street-triple-shooting-october-16-2022</v>
      </c>
      <c r="L920" s="8">
        <f ca="1">IFERROR(__xludf.DUMMYFUNCTION("""COMPUTED_VALUE"""),2)</f>
        <v>2</v>
      </c>
      <c r="M920" s="8" t="str">
        <f ca="1">IFERROR(__xludf.DUMMYFUNCTION("""COMPUTED_VALUE"""),"Local")</f>
        <v>Local</v>
      </c>
      <c r="N920" s="8">
        <f ca="1">IFERROR(__xludf.DUMMYFUNCTION("""COMPUTED_VALUE"""),4)</f>
        <v>4</v>
      </c>
      <c r="O920" s="8" t="str">
        <f ca="1">IFERROR(__xludf.DUMMYFUNCTION("""COMPUTED_VALUE"""),"Fall")</f>
        <v>Fall</v>
      </c>
      <c r="P920" s="8" t="str">
        <f ca="1">IFERROR(__xludf.DUMMYFUNCTION("""COMPUTED_VALUE"""),"Richmond")</f>
        <v>Richmond</v>
      </c>
      <c r="Q920" s="8" t="str">
        <f ca="1">IFERROR(__xludf.DUMMYFUNCTION("""COMPUTED_VALUE"""),"VA")</f>
        <v>VA</v>
      </c>
      <c r="R920" s="8" t="str">
        <f ca="1">IFERROR(__xludf.DUMMYFUNCTION("""COMPUTED_VALUE"""),"Elementary")</f>
        <v>Elementary</v>
      </c>
      <c r="S920" s="8" t="str">
        <f ca="1">IFERROR(__xludf.DUMMYFUNCTION("""COMPUTED_VALUE"""),"Front of School")</f>
        <v>Front of School</v>
      </c>
      <c r="T920" s="8" t="str">
        <f ca="1">IFERROR(__xludf.DUMMYFUNCTION("""COMPUTED_VALUE"""),"Outside on School Property")</f>
        <v>Outside on School Property</v>
      </c>
      <c r="U920" s="8" t="str">
        <f ca="1">IFERROR(__xludf.DUMMYFUNCTION("""COMPUTED_VALUE"""),"No")</f>
        <v>No</v>
      </c>
      <c r="V920" s="8" t="str">
        <f ca="1">IFERROR(__xludf.DUMMYFUNCTION("""COMPUTED_VALUE"""),"Not a School Day")</f>
        <v>Not a School Day</v>
      </c>
      <c r="W920" s="11">
        <f ca="1">IFERROR(__xludf.DUMMYFUNCTION("""COMPUTED_VALUE"""),0.59375)</f>
        <v>0.59375</v>
      </c>
      <c r="X920" s="8">
        <f ca="1">IFERROR(__xludf.DUMMYFUNCTION("""COMPUTED_VALUE"""),1)</f>
        <v>1</v>
      </c>
      <c r="Y920" s="12" t="str">
        <f ca="1">IFERROR(__xludf.DUMMYFUNCTION("""COMPUTED_VALUE"""),"Three men shot in front of school")</f>
        <v>Three men shot in front of school</v>
      </c>
      <c r="Z920" s="12" t="str">
        <f ca="1">IFERROR(__xludf.DUMMYFUNCTION("""COMPUTED_VALUE"""),"Three men shot in front of school.")</f>
        <v>Three men shot in front of school.</v>
      </c>
      <c r="AA920" s="8"/>
      <c r="AB920" s="8"/>
      <c r="AC920" s="8" t="str">
        <f ca="1">IFERROR(__xludf.DUMMYFUNCTION("""COMPUTED_VALUE"""),"No")</f>
        <v>No</v>
      </c>
      <c r="AD920" s="8"/>
      <c r="AE920" s="8"/>
      <c r="AF920" s="8"/>
      <c r="AG920" s="8" t="str">
        <f ca="1">IFERROR(__xludf.DUMMYFUNCTION("""COMPUTED_VALUE"""),"No")</f>
        <v>No</v>
      </c>
      <c r="AH920" s="8" t="str">
        <f ca="1">IFERROR(__xludf.DUMMYFUNCTION("""COMPUTED_VALUE"""),"No")</f>
        <v>No</v>
      </c>
      <c r="AI920" s="8" t="str">
        <f ca="1">IFERROR(__xludf.DUMMYFUNCTION("""COMPUTED_VALUE"""),"No")</f>
        <v>No</v>
      </c>
      <c r="AJ920" s="8" t="str">
        <f ca="1">IFERROR(__xludf.DUMMYFUNCTION("""COMPUTED_VALUE"""),"No")</f>
        <v>No</v>
      </c>
      <c r="AK920" s="8" t="str">
        <f ca="1">IFERROR(__xludf.DUMMYFUNCTION("""COMPUTED_VALUE"""),"No")</f>
        <v>No</v>
      </c>
      <c r="AL920" s="8"/>
      <c r="AM920" s="8" t="str">
        <f ca="1">IFERROR(__xludf.DUMMYFUNCTION("""COMPUTED_VALUE"""),"No")</f>
        <v>No</v>
      </c>
      <c r="AN920" s="8" t="str">
        <f ca="1">IFERROR(__xludf.DUMMYFUNCTION("""COMPUTED_VALUE"""),"Outside")</f>
        <v>Outside</v>
      </c>
      <c r="AO920" s="8" t="str">
        <f ca="1">IFERROR(__xludf.DUMMYFUNCTION("""COMPUTED_VALUE"""),"No")</f>
        <v>No</v>
      </c>
      <c r="AP920" s="8"/>
      <c r="AQ920" s="8"/>
      <c r="AR920" s="8" t="str">
        <f ca="1">IFERROR(__xludf.DUMMYFUNCTION("""COMPUTED_VALUE"""),"Outside/Off-Property")</f>
        <v>Outside/Off-Property</v>
      </c>
      <c r="AS920" s="8">
        <f ca="1">IFERROR(__xludf.DUMMYFUNCTION("""COMPUTED_VALUE"""),99)</f>
        <v>99</v>
      </c>
      <c r="AT920" s="8"/>
      <c r="AU920" s="8">
        <f ca="1">IFERROR(__xludf.DUMMYFUNCTION("""COMPUTED_VALUE"""),37.549504)</f>
        <v>37.549503999999999</v>
      </c>
      <c r="AV920" s="8">
        <f ca="1">IFERROR(__xludf.DUMMYFUNCTION("""COMPUTED_VALUE"""),-77.401282)</f>
        <v>-77.401281999999995</v>
      </c>
      <c r="AW920" s="8"/>
      <c r="AX920" s="8">
        <f ca="1">IFERROR(__xludf.DUMMYFUNCTION("""COMPUTED_VALUE"""),23223)</f>
        <v>23223</v>
      </c>
    </row>
    <row r="921" spans="1:50" ht="60" x14ac:dyDescent="0.2">
      <c r="A921" s="8" t="str">
        <f ca="1">IFERROR(__xludf.DUMMYFUNCTION("""COMPUTED_VALUE"""),"20221014VAWER")</f>
        <v>20221014VAWER</v>
      </c>
      <c r="B921" s="8">
        <f ca="1">IFERROR(__xludf.DUMMYFUNCTION("""COMPUTED_VALUE"""),10)</f>
        <v>10</v>
      </c>
      <c r="C921" s="8">
        <f ca="1">IFERROR(__xludf.DUMMYFUNCTION("""COMPUTED_VALUE"""),14)</f>
        <v>14</v>
      </c>
      <c r="D921" s="8">
        <f ca="1">IFERROR(__xludf.DUMMYFUNCTION("""COMPUTED_VALUE"""),2022)</f>
        <v>2022</v>
      </c>
      <c r="E921" s="9">
        <f ca="1">IFERROR(__xludf.DUMMYFUNCTION("""COMPUTED_VALUE"""),44848)</f>
        <v>44848</v>
      </c>
      <c r="F921" s="8" t="str">
        <f ca="1">IFERROR(__xludf.DUMMYFUNCTION("""COMPUTED_VALUE"""),"Westover Hills Elementary School
")</f>
        <v xml:space="preserve">Westover Hills Elementary School
</v>
      </c>
      <c r="G921" s="8">
        <f ca="1">IFERROR(__xludf.DUMMYFUNCTION("""COMPUTED_VALUE"""),1)</f>
        <v>1</v>
      </c>
      <c r="H921" s="8">
        <f ca="1">IFERROR(__xludf.DUMMYFUNCTION("""COMPUTED_VALUE"""),1)</f>
        <v>1</v>
      </c>
      <c r="I921" s="8">
        <f ca="1">IFERROR(__xludf.DUMMYFUNCTION("""COMPUTED_VALUE"""),2)</f>
        <v>2</v>
      </c>
      <c r="J921" s="8">
        <f ca="1">IFERROR(__xludf.DUMMYFUNCTION("""COMPUTED_VALUE"""),0)</f>
        <v>0</v>
      </c>
      <c r="K921" s="8" t="str">
        <f ca="1">IFERROR(__xludf.DUMMYFUNCTION("""COMPUTED_VALUE"""),"https://www.wtvr.com/news/local-news/fatal-shooting-pick-up-line-westover-hills-elementary-school-richmond-virginia
https://www.wric.com/news/local-news/richmond/active-police-scene-at-westover-hills-elementary-in-richmond/")</f>
        <v>https://www.wtvr.com/news/local-news/fatal-shooting-pick-up-line-westover-hills-elementary-school-richmond-virginia
https://www.wric.com/news/local-news/richmond/active-police-scene-at-westover-hills-elementary-in-richmond/</v>
      </c>
      <c r="L921" s="8">
        <f ca="1">IFERROR(__xludf.DUMMYFUNCTION("""COMPUTED_VALUE"""),10)</f>
        <v>10</v>
      </c>
      <c r="M921" s="8" t="str">
        <f ca="1">IFERROR(__xludf.DUMMYFUNCTION("""COMPUTED_VALUE"""),"Regional")</f>
        <v>Regional</v>
      </c>
      <c r="N921" s="8">
        <f ca="1">IFERROR(__xludf.DUMMYFUNCTION("""COMPUTED_VALUE"""),4)</f>
        <v>4</v>
      </c>
      <c r="O921" s="8" t="str">
        <f ca="1">IFERROR(__xludf.DUMMYFUNCTION("""COMPUTED_VALUE"""),"Fall")</f>
        <v>Fall</v>
      </c>
      <c r="P921" s="8" t="str">
        <f ca="1">IFERROR(__xludf.DUMMYFUNCTION("""COMPUTED_VALUE"""),"Richmond")</f>
        <v>Richmond</v>
      </c>
      <c r="Q921" s="8" t="str">
        <f ca="1">IFERROR(__xludf.DUMMYFUNCTION("""COMPUTED_VALUE"""),"VA")</f>
        <v>VA</v>
      </c>
      <c r="R921" s="8" t="str">
        <f ca="1">IFERROR(__xludf.DUMMYFUNCTION("""COMPUTED_VALUE"""),"Elementary")</f>
        <v>Elementary</v>
      </c>
      <c r="S921" s="8" t="str">
        <f ca="1">IFERROR(__xludf.DUMMYFUNCTION("""COMPUTED_VALUE"""),"Front of School")</f>
        <v>Front of School</v>
      </c>
      <c r="T921" s="8" t="str">
        <f ca="1">IFERROR(__xludf.DUMMYFUNCTION("""COMPUTED_VALUE"""),"Outside on School Property")</f>
        <v>Outside on School Property</v>
      </c>
      <c r="U921" s="8" t="str">
        <f ca="1">IFERROR(__xludf.DUMMYFUNCTION("""COMPUTED_VALUE"""),"Yes")</f>
        <v>Yes</v>
      </c>
      <c r="V921" s="8" t="str">
        <f ca="1">IFERROR(__xludf.DUMMYFUNCTION("""COMPUTED_VALUE"""),"Afternoon Classes")</f>
        <v>Afternoon Classes</v>
      </c>
      <c r="W921" s="11">
        <f ca="1">IFERROR(__xludf.DUMMYFUNCTION("""COMPUTED_VALUE"""),0.59375)</f>
        <v>0.59375</v>
      </c>
      <c r="X921" s="8">
        <f ca="1">IFERROR(__xludf.DUMMYFUNCTION("""COMPUTED_VALUE"""),1)</f>
        <v>1</v>
      </c>
      <c r="Y921" s="12" t="str">
        <f ca="1">IFERROR(__xludf.DUMMYFUNCTION("""COMPUTED_VALUE"""),"Two adults shot in front of school before dismissal")</f>
        <v>Two adults shot in front of school before dismissal</v>
      </c>
      <c r="Z921" s="12" t="str">
        <f ca="1">IFERROR(__xludf.DUMMYFUNCTION("""COMPUTED_VALUE"""),"A woman is dead after being shot outside a Richmond elementary school on Friday. Police told 8News that a fight occurred between two adults in front of Westover Hills Elementary School. Adult man was also wounded.")</f>
        <v>A woman is dead after being shot outside a Richmond elementary school on Friday. Police told 8News that a fight occurred between two adults in front of Westover Hills Elementary School. Adult man was also wounded.</v>
      </c>
      <c r="AA921" s="8" t="str">
        <f ca="1">IFERROR(__xludf.DUMMYFUNCTION("""COMPUTED_VALUE"""),"Escalation of Dispute")</f>
        <v>Escalation of Dispute</v>
      </c>
      <c r="AB921" s="8"/>
      <c r="AC921" s="8" t="str">
        <f ca="1">IFERROR(__xludf.DUMMYFUNCTION("""COMPUTED_VALUE"""),"Yes")</f>
        <v>Yes</v>
      </c>
      <c r="AD921" s="8" t="str">
        <f ca="1">IFERROR(__xludf.DUMMYFUNCTION("""COMPUTED_VALUE"""),"Victims Targeted")</f>
        <v>Victims Targeted</v>
      </c>
      <c r="AE921" s="8" t="str">
        <f ca="1">IFERROR(__xludf.DUMMYFUNCTION("""COMPUTED_VALUE"""),"No")</f>
        <v>No</v>
      </c>
      <c r="AF921" s="8"/>
      <c r="AG921" s="8" t="str">
        <f ca="1">IFERROR(__xludf.DUMMYFUNCTION("""COMPUTED_VALUE"""),"No")</f>
        <v>No</v>
      </c>
      <c r="AH921" s="8" t="str">
        <f ca="1">IFERROR(__xludf.DUMMYFUNCTION("""COMPUTED_VALUE"""),"No")</f>
        <v>No</v>
      </c>
      <c r="AI921" s="8" t="str">
        <f ca="1">IFERROR(__xludf.DUMMYFUNCTION("""COMPUTED_VALUE"""),"No")</f>
        <v>No</v>
      </c>
      <c r="AJ921" s="8" t="str">
        <f ca="1">IFERROR(__xludf.DUMMYFUNCTION("""COMPUTED_VALUE"""),"No")</f>
        <v>No</v>
      </c>
      <c r="AK921" s="8" t="str">
        <f ca="1">IFERROR(__xludf.DUMMYFUNCTION("""COMPUTED_VALUE"""),"No")</f>
        <v>No</v>
      </c>
      <c r="AL921" s="8"/>
      <c r="AM921" s="8" t="str">
        <f ca="1">IFERROR(__xludf.DUMMYFUNCTION("""COMPUTED_VALUE"""),"No")</f>
        <v>No</v>
      </c>
      <c r="AN921" s="8" t="str">
        <f ca="1">IFERROR(__xludf.DUMMYFUNCTION("""COMPUTED_VALUE"""),"Outside")</f>
        <v>Outside</v>
      </c>
      <c r="AO921" s="8" t="str">
        <f ca="1">IFERROR(__xludf.DUMMYFUNCTION("""COMPUTED_VALUE"""),"No")</f>
        <v>No</v>
      </c>
      <c r="AP921" s="8"/>
      <c r="AQ921" s="8"/>
      <c r="AR921" s="8" t="str">
        <f ca="1">IFERROR(__xludf.DUMMYFUNCTION("""COMPUTED_VALUE"""),"Outside/Off-Property")</f>
        <v>Outside/Off-Property</v>
      </c>
      <c r="AS921" s="8">
        <f ca="1">IFERROR(__xludf.DUMMYFUNCTION("""COMPUTED_VALUE"""),99)</f>
        <v>99</v>
      </c>
      <c r="AT921" s="8" t="str">
        <f ca="1">IFERROR(__xludf.DUMMYFUNCTION("""COMPUTED_VALUE"""),"Yes")</f>
        <v>Yes</v>
      </c>
      <c r="AU921" s="8">
        <f ca="1">IFERROR(__xludf.DUMMYFUNCTION("""COMPUTED_VALUE"""),37.520903)</f>
        <v>37.520902999999997</v>
      </c>
      <c r="AV921" s="8">
        <f ca="1">IFERROR(__xludf.DUMMYFUNCTION("""COMPUTED_VALUE"""),-77.492173)</f>
        <v>-77.492172999999994</v>
      </c>
      <c r="AW921" s="8"/>
      <c r="AX921" s="8">
        <f ca="1">IFERROR(__xludf.DUMMYFUNCTION("""COMPUTED_VALUE"""),23225)</f>
        <v>23225</v>
      </c>
    </row>
    <row r="922" spans="1:50" ht="165" x14ac:dyDescent="0.2">
      <c r="A922" s="8" t="str">
        <f ca="1">IFERROR(__xludf.DUMMYFUNCTION("""COMPUTED_VALUE"""),"20221014TNRIM")</f>
        <v>20221014TNRIM</v>
      </c>
      <c r="B922" s="8">
        <f ca="1">IFERROR(__xludf.DUMMYFUNCTION("""COMPUTED_VALUE"""),10)</f>
        <v>10</v>
      </c>
      <c r="C922" s="8">
        <f ca="1">IFERROR(__xludf.DUMMYFUNCTION("""COMPUTED_VALUE"""),14)</f>
        <v>14</v>
      </c>
      <c r="D922" s="8">
        <f ca="1">IFERROR(__xludf.DUMMYFUNCTION("""COMPUTED_VALUE"""),2022)</f>
        <v>2022</v>
      </c>
      <c r="E922" s="9">
        <f ca="1">IFERROR(__xludf.DUMMYFUNCTION("""COMPUTED_VALUE"""),44848)</f>
        <v>44848</v>
      </c>
      <c r="F922" s="8" t="str">
        <f ca="1">IFERROR(__xludf.DUMMYFUNCTION("""COMPUTED_VALUE"""),"Riverdale High School")</f>
        <v>Riverdale High School</v>
      </c>
      <c r="G922" s="8">
        <f ca="1">IFERROR(__xludf.DUMMYFUNCTION("""COMPUTED_VALUE"""),0)</f>
        <v>0</v>
      </c>
      <c r="H922" s="8">
        <f ca="1">IFERROR(__xludf.DUMMYFUNCTION("""COMPUTED_VALUE"""),0)</f>
        <v>0</v>
      </c>
      <c r="I922" s="8">
        <f ca="1">IFERROR(__xludf.DUMMYFUNCTION("""COMPUTED_VALUE"""),0)</f>
        <v>0</v>
      </c>
      <c r="J922" s="8">
        <f ca="1">IFERROR(__xludf.DUMMYFUNCTION("""COMPUTED_VALUE"""),0)</f>
        <v>0</v>
      </c>
      <c r="K922" s="10" t="str">
        <f ca="1">IFERROR(__xludf.DUMMYFUNCTION("""COMPUTED_VALUE"""),"https://www.wgnsradio.com/article/77303/gunshots-fired-outside-of-the-riverdale-oakland-high-school-football-game-on-friday-night-in-murfreesboro
https://www.wkrn.com/news/local-news/murfreesboro/investigation-underway-after-shooting-at-riverdale-oakland-"&amp;"high-school-football-game/")</f>
        <v>https://www.wgnsradio.com/article/77303/gunshots-fired-outside-of-the-riverdale-oakland-high-school-football-game-on-friday-night-in-murfreesboro
https://www.wkrn.com/news/local-news/murfreesboro/investigation-underway-after-shooting-at-riverdale-oakland-high-school-football-game/</v>
      </c>
      <c r="L922" s="8">
        <f ca="1">IFERROR(__xludf.DUMMYFUNCTION("""COMPUTED_VALUE"""),2)</f>
        <v>2</v>
      </c>
      <c r="M922" s="8" t="str">
        <f ca="1">IFERROR(__xludf.DUMMYFUNCTION("""COMPUTED_VALUE"""),"Local")</f>
        <v>Local</v>
      </c>
      <c r="N922" s="8">
        <f ca="1">IFERROR(__xludf.DUMMYFUNCTION("""COMPUTED_VALUE"""),4)</f>
        <v>4</v>
      </c>
      <c r="O922" s="8" t="str">
        <f ca="1">IFERROR(__xludf.DUMMYFUNCTION("""COMPUTED_VALUE"""),"Fall")</f>
        <v>Fall</v>
      </c>
      <c r="P922" s="8" t="str">
        <f ca="1">IFERROR(__xludf.DUMMYFUNCTION("""COMPUTED_VALUE"""),"Murfreesboro")</f>
        <v>Murfreesboro</v>
      </c>
      <c r="Q922" s="8" t="str">
        <f ca="1">IFERROR(__xludf.DUMMYFUNCTION("""COMPUTED_VALUE"""),"TN")</f>
        <v>TN</v>
      </c>
      <c r="R922" s="8" t="str">
        <f ca="1">IFERROR(__xludf.DUMMYFUNCTION("""COMPUTED_VALUE"""),"High")</f>
        <v>High</v>
      </c>
      <c r="S922" s="8" t="str">
        <f ca="1">IFERROR(__xludf.DUMMYFUNCTION("""COMPUTED_VALUE"""),"Parking Lot")</f>
        <v>Parking Lot</v>
      </c>
      <c r="T922" s="8" t="str">
        <f ca="1">IFERROR(__xludf.DUMMYFUNCTION("""COMPUTED_VALUE"""),"Outside on School Property")</f>
        <v>Outside on School Property</v>
      </c>
      <c r="U922" s="8" t="str">
        <f ca="1">IFERROR(__xludf.DUMMYFUNCTION("""COMPUTED_VALUE"""),"No")</f>
        <v>No</v>
      </c>
      <c r="V922" s="8" t="str">
        <f ca="1">IFERROR(__xludf.DUMMYFUNCTION("""COMPUTED_VALUE"""),"Sport Event")</f>
        <v>Sport Event</v>
      </c>
      <c r="W922" s="11">
        <f ca="1">IFERROR(__xludf.DUMMYFUNCTION("""COMPUTED_VALUE"""),0.833333333333333)</f>
        <v>0.83333333333333304</v>
      </c>
      <c r="X922" s="8">
        <f ca="1">IFERROR(__xludf.DUMMYFUNCTION("""COMPUTED_VALUE"""),1)</f>
        <v>1</v>
      </c>
      <c r="Y922" s="12" t="str">
        <f ca="1">IFERROR(__xludf.DUMMYFUNCTION("""COMPUTED_VALUE"""),"Shots fired in parking lot during football game")</f>
        <v>Shots fired in parking lot during football game</v>
      </c>
      <c r="Z922" s="12" t="str">
        <f ca="1">IFERROR(__xludf.DUMMYFUNCTION("""COMPUTED_VALUE"""),"No one suffered injuries during the shooting that was in the school parking lot.  Detective Sgt. Ty Downing said, “We are actively investigating a shooting at a Riverdale High School parking lot during the football game."" While no one was injured, WGNS h"&amp;"as confirmed that a vehicle was hit by the gunfire. The vehicle that sustained damage was parked in the annex parking lot. School resource officers, extra patrol deputies and the Sheriff’s Mounted Patrol Unit provided extra security at the game. Some offi"&amp;"cers immediately responded to the shooting scene. Murfreesboro Police responded to the call.")</f>
        <v>No one suffered injuries during the shooting that was in the school parking lot.  Detective Sgt. Ty Downing said, “We are actively investigating a shooting at a Riverdale High School parking lot during the football game." While no one was injured, WGNS has confirmed that a vehicle was hit by the gunfire. The vehicle that sustained damage was parked in the annex parking lot. School resource officers, extra patrol deputies and the Sheriff’s Mounted Patrol Unit provided extra security at the game. Some officers immediately responded to the shooting scene. Murfreesboro Police responded to the call.</v>
      </c>
      <c r="AA922" s="8" t="str">
        <f ca="1">IFERROR(__xludf.DUMMYFUNCTION("""COMPUTED_VALUE"""),"Escalation of Dispute")</f>
        <v>Escalation of Dispute</v>
      </c>
      <c r="AB922" s="8"/>
      <c r="AC922" s="8" t="str">
        <f ca="1">IFERROR(__xludf.DUMMYFUNCTION("""COMPUTED_VALUE"""),"Yes")</f>
        <v>Yes</v>
      </c>
      <c r="AD922" s="8" t="str">
        <f ca="1">IFERROR(__xludf.DUMMYFUNCTION("""COMPUTED_VALUE"""),"Victims Targeted")</f>
        <v>Victims Targeted</v>
      </c>
      <c r="AE922" s="8" t="str">
        <f ca="1">IFERROR(__xludf.DUMMYFUNCTION("""COMPUTED_VALUE"""),"No")</f>
        <v>No</v>
      </c>
      <c r="AF922" s="8"/>
      <c r="AG922" s="8" t="str">
        <f ca="1">IFERROR(__xludf.DUMMYFUNCTION("""COMPUTED_VALUE"""),"No")</f>
        <v>No</v>
      </c>
      <c r="AH922" s="8" t="str">
        <f ca="1">IFERROR(__xludf.DUMMYFUNCTION("""COMPUTED_VALUE"""),"No")</f>
        <v>No</v>
      </c>
      <c r="AI922" s="8" t="str">
        <f ca="1">IFERROR(__xludf.DUMMYFUNCTION("""COMPUTED_VALUE"""),"No")</f>
        <v>No</v>
      </c>
      <c r="AJ922" s="8" t="str">
        <f ca="1">IFERROR(__xludf.DUMMYFUNCTION("""COMPUTED_VALUE"""),"No")</f>
        <v>No</v>
      </c>
      <c r="AK922" s="8" t="str">
        <f ca="1">IFERROR(__xludf.DUMMYFUNCTION("""COMPUTED_VALUE"""),"No")</f>
        <v>No</v>
      </c>
      <c r="AL922" s="8"/>
      <c r="AM922" s="8" t="str">
        <f ca="1">IFERROR(__xludf.DUMMYFUNCTION("""COMPUTED_VALUE"""),"No")</f>
        <v>No</v>
      </c>
      <c r="AN922" s="8" t="str">
        <f ca="1">IFERROR(__xludf.DUMMYFUNCTION("""COMPUTED_VALUE"""),"Outside")</f>
        <v>Outside</v>
      </c>
      <c r="AO922" s="8" t="str">
        <f ca="1">IFERROR(__xludf.DUMMYFUNCTION("""COMPUTED_VALUE"""),"No")</f>
        <v>No</v>
      </c>
      <c r="AP922" s="8" t="str">
        <f ca="1">IFERROR(__xludf.DUMMYFUNCTION("""COMPUTED_VALUE"""),"Yes")</f>
        <v>Yes</v>
      </c>
      <c r="AQ922" s="8"/>
      <c r="AR922" s="8" t="str">
        <f ca="1">IFERROR(__xludf.DUMMYFUNCTION("""COMPUTED_VALUE"""),"Outside/Off-Property")</f>
        <v>Outside/Off-Property</v>
      </c>
      <c r="AS922" s="8">
        <f ca="1">IFERROR(__xludf.DUMMYFUNCTION("""COMPUTED_VALUE"""),99)</f>
        <v>99</v>
      </c>
      <c r="AT922" s="8"/>
      <c r="AU922" s="8">
        <f ca="1">IFERROR(__xludf.DUMMYFUNCTION("""COMPUTED_VALUE"""),35.814735)</f>
        <v>35.814734999999999</v>
      </c>
      <c r="AV922" s="8">
        <f ca="1">IFERROR(__xludf.DUMMYFUNCTION("""COMPUTED_VALUE"""),-86.410262)</f>
        <v>-86.410262000000003</v>
      </c>
      <c r="AW922" s="8"/>
      <c r="AX922" s="8">
        <f ca="1">IFERROR(__xludf.DUMMYFUNCTION("""COMPUTED_VALUE"""),37128)</f>
        <v>37128</v>
      </c>
    </row>
    <row r="923" spans="1:50" ht="45" x14ac:dyDescent="0.2">
      <c r="A923" s="8" t="str">
        <f ca="1">IFERROR(__xludf.DUMMYFUNCTION("""COMPUTED_VALUE"""),"20221014NCJAG")</f>
        <v>20221014NCJAG</v>
      </c>
      <c r="B923" s="8">
        <f ca="1">IFERROR(__xludf.DUMMYFUNCTION("""COMPUTED_VALUE"""),10)</f>
        <v>10</v>
      </c>
      <c r="C923" s="8">
        <f ca="1">IFERROR(__xludf.DUMMYFUNCTION("""COMPUTED_VALUE"""),14)</f>
        <v>14</v>
      </c>
      <c r="D923" s="8">
        <f ca="1">IFERROR(__xludf.DUMMYFUNCTION("""COMPUTED_VALUE"""),2022)</f>
        <v>2022</v>
      </c>
      <c r="E923" s="9">
        <f ca="1">IFERROR(__xludf.DUMMYFUNCTION("""COMPUTED_VALUE"""),44848)</f>
        <v>44848</v>
      </c>
      <c r="F923" s="8" t="str">
        <f ca="1">IFERROR(__xludf.DUMMYFUNCTION("""COMPUTED_VALUE"""),"James B. Dudley High School")</f>
        <v>James B. Dudley High School</v>
      </c>
      <c r="G923" s="8">
        <f ca="1">IFERROR(__xludf.DUMMYFUNCTION("""COMPUTED_VALUE"""),0)</f>
        <v>0</v>
      </c>
      <c r="H923" s="8">
        <f ca="1">IFERROR(__xludf.DUMMYFUNCTION("""COMPUTED_VALUE"""),1)</f>
        <v>1</v>
      </c>
      <c r="I923" s="8">
        <f ca="1">IFERROR(__xludf.DUMMYFUNCTION("""COMPUTED_VALUE"""),1)</f>
        <v>1</v>
      </c>
      <c r="J923" s="8">
        <f ca="1">IFERROR(__xludf.DUMMYFUNCTION("""COMPUTED_VALUE"""),0)</f>
        <v>0</v>
      </c>
      <c r="K923" s="10" t="str">
        <f ca="1">IFERROR(__xludf.DUMMYFUNCTION("""COMPUTED_VALUE"""),"https://myfox8.com/news/north-carolina/greensboro/1-shot-in-parking-lot-of-dudley-high-school-taken-to-hospital-police-say/")</f>
        <v>https://myfox8.com/news/north-carolina/greensboro/1-shot-in-parking-lot-of-dudley-high-school-taken-to-hospital-police-say/</v>
      </c>
      <c r="L923" s="8">
        <f ca="1">IFERROR(__xludf.DUMMYFUNCTION("""COMPUTED_VALUE"""),1)</f>
        <v>1</v>
      </c>
      <c r="M923" s="8" t="str">
        <f ca="1">IFERROR(__xludf.DUMMYFUNCTION("""COMPUTED_VALUE"""),"Local")</f>
        <v>Local</v>
      </c>
      <c r="N923" s="8">
        <f ca="1">IFERROR(__xludf.DUMMYFUNCTION("""COMPUTED_VALUE"""),4)</f>
        <v>4</v>
      </c>
      <c r="O923" s="8" t="str">
        <f ca="1">IFERROR(__xludf.DUMMYFUNCTION("""COMPUTED_VALUE"""),"Fall")</f>
        <v>Fall</v>
      </c>
      <c r="P923" s="8" t="str">
        <f ca="1">IFERROR(__xludf.DUMMYFUNCTION("""COMPUTED_VALUE"""),"Greensboro")</f>
        <v>Greensboro</v>
      </c>
      <c r="Q923" s="8" t="str">
        <f ca="1">IFERROR(__xludf.DUMMYFUNCTION("""COMPUTED_VALUE"""),"NC")</f>
        <v>NC</v>
      </c>
      <c r="R923" s="8" t="str">
        <f ca="1">IFERROR(__xludf.DUMMYFUNCTION("""COMPUTED_VALUE"""),"High")</f>
        <v>High</v>
      </c>
      <c r="S923" s="8" t="str">
        <f ca="1">IFERROR(__xludf.DUMMYFUNCTION("""COMPUTED_VALUE"""),"Parking Lot")</f>
        <v>Parking Lot</v>
      </c>
      <c r="T923" s="8" t="str">
        <f ca="1">IFERROR(__xludf.DUMMYFUNCTION("""COMPUTED_VALUE"""),"Outside on School Property")</f>
        <v>Outside on School Property</v>
      </c>
      <c r="U923" s="8" t="str">
        <f ca="1">IFERROR(__xludf.DUMMYFUNCTION("""COMPUTED_VALUE"""),"No")</f>
        <v>No</v>
      </c>
      <c r="V923" s="8" t="str">
        <f ca="1">IFERROR(__xludf.DUMMYFUNCTION("""COMPUTED_VALUE"""),"Sport Event")</f>
        <v>Sport Event</v>
      </c>
      <c r="W923" s="11">
        <f ca="1">IFERROR(__xludf.DUMMYFUNCTION("""COMPUTED_VALUE"""),0.927777777777777)</f>
        <v>0.92777777777777704</v>
      </c>
      <c r="X923" s="8">
        <f ca="1">IFERROR(__xludf.DUMMYFUNCTION("""COMPUTED_VALUE"""),1)</f>
        <v>1</v>
      </c>
      <c r="Y923" s="12" t="str">
        <f ca="1">IFERROR(__xludf.DUMMYFUNCTION("""COMPUTED_VALUE"""),"Man shot after football game")</f>
        <v>Man shot after football game</v>
      </c>
      <c r="Z923" s="12" t="str">
        <f ca="1">IFERROR(__xludf.DUMMYFUNCTION("""COMPUTED_VALUE"""),"Adult male was shot and critically injured in the parking lot of the school after a football game. Police arrested 3 people are recovered an AR-15 rifle and stolen handgun.")</f>
        <v>Adult male was shot and critically injured in the parking lot of the school after a football game. Police arrested 3 people are recovered an AR-15 rifle and stolen handgun.</v>
      </c>
      <c r="AA923" s="8" t="str">
        <f ca="1">IFERROR(__xludf.DUMMYFUNCTION("""COMPUTED_VALUE"""),"Escalation of Dispute")</f>
        <v>Escalation of Dispute</v>
      </c>
      <c r="AB923" s="8"/>
      <c r="AC923" s="8" t="str">
        <f ca="1">IFERROR(__xludf.DUMMYFUNCTION("""COMPUTED_VALUE"""),"Yes")</f>
        <v>Yes</v>
      </c>
      <c r="AD923" s="8" t="str">
        <f ca="1">IFERROR(__xludf.DUMMYFUNCTION("""COMPUTED_VALUE"""),"Victims Targeted")</f>
        <v>Victims Targeted</v>
      </c>
      <c r="AE923" s="8" t="str">
        <f ca="1">IFERROR(__xludf.DUMMYFUNCTION("""COMPUTED_VALUE"""),"Yes")</f>
        <v>Yes</v>
      </c>
      <c r="AF923" s="8"/>
      <c r="AG923" s="8" t="str">
        <f ca="1">IFERROR(__xludf.DUMMYFUNCTION("""COMPUTED_VALUE"""),"No")</f>
        <v>No</v>
      </c>
      <c r="AH923" s="8" t="str">
        <f ca="1">IFERROR(__xludf.DUMMYFUNCTION("""COMPUTED_VALUE"""),"No")</f>
        <v>No</v>
      </c>
      <c r="AI923" s="8" t="str">
        <f ca="1">IFERROR(__xludf.DUMMYFUNCTION("""COMPUTED_VALUE"""),"No")</f>
        <v>No</v>
      </c>
      <c r="AJ923" s="8" t="str">
        <f ca="1">IFERROR(__xludf.DUMMYFUNCTION("""COMPUTED_VALUE"""),"No")</f>
        <v>No</v>
      </c>
      <c r="AK923" s="8" t="str">
        <f ca="1">IFERROR(__xludf.DUMMYFUNCTION("""COMPUTED_VALUE"""),"No")</f>
        <v>No</v>
      </c>
      <c r="AL923" s="8"/>
      <c r="AM923" s="8" t="str">
        <f ca="1">IFERROR(__xludf.DUMMYFUNCTION("""COMPUTED_VALUE"""),"No")</f>
        <v>No</v>
      </c>
      <c r="AN923" s="8" t="str">
        <f ca="1">IFERROR(__xludf.DUMMYFUNCTION("""COMPUTED_VALUE"""),"Outside")</f>
        <v>Outside</v>
      </c>
      <c r="AO923" s="8" t="str">
        <f ca="1">IFERROR(__xludf.DUMMYFUNCTION("""COMPUTED_VALUE"""),"No")</f>
        <v>No</v>
      </c>
      <c r="AP923" s="8"/>
      <c r="AQ923" s="8"/>
      <c r="AR923" s="8" t="str">
        <f ca="1">IFERROR(__xludf.DUMMYFUNCTION("""COMPUTED_VALUE"""),"Outside/Off-Property")</f>
        <v>Outside/Off-Property</v>
      </c>
      <c r="AS923" s="8">
        <f ca="1">IFERROR(__xludf.DUMMYFUNCTION("""COMPUTED_VALUE"""),99)</f>
        <v>99</v>
      </c>
      <c r="AT923" s="8"/>
      <c r="AU923" s="8">
        <f ca="1">IFERROR(__xludf.DUMMYFUNCTION("""COMPUTED_VALUE"""),36.061103)</f>
        <v>36.061103000000003</v>
      </c>
      <c r="AV923" s="8">
        <f ca="1">IFERROR(__xludf.DUMMYFUNCTION("""COMPUTED_VALUE"""),-79.764471)</f>
        <v>-79.764471</v>
      </c>
      <c r="AW923" s="8"/>
      <c r="AX923" s="8">
        <f ca="1">IFERROR(__xludf.DUMMYFUNCTION("""COMPUTED_VALUE"""),27401)</f>
        <v>27401</v>
      </c>
    </row>
    <row r="924" spans="1:50" ht="30" x14ac:dyDescent="0.2">
      <c r="A924" s="8" t="str">
        <f ca="1">IFERROR(__xludf.DUMMYFUNCTION("""COMPUTED_VALUE"""),"20221014LAJHA")</f>
        <v>20221014LAJHA</v>
      </c>
      <c r="B924" s="8">
        <f ca="1">IFERROR(__xludf.DUMMYFUNCTION("""COMPUTED_VALUE"""),10)</f>
        <v>10</v>
      </c>
      <c r="C924" s="8">
        <f ca="1">IFERROR(__xludf.DUMMYFUNCTION("""COMPUTED_VALUE"""),14)</f>
        <v>14</v>
      </c>
      <c r="D924" s="8">
        <f ca="1">IFERROR(__xludf.DUMMYFUNCTION("""COMPUTED_VALUE"""),2022)</f>
        <v>2022</v>
      </c>
      <c r="E924" s="9">
        <f ca="1">IFERROR(__xludf.DUMMYFUNCTION("""COMPUTED_VALUE"""),44848)</f>
        <v>44848</v>
      </c>
      <c r="F924" s="8" t="str">
        <f ca="1">IFERROR(__xludf.DUMMYFUNCTION("""COMPUTED_VALUE"""),"J.H. Williams Middle School")</f>
        <v>J.H. Williams Middle School</v>
      </c>
      <c r="G924" s="8">
        <f ca="1">IFERROR(__xludf.DUMMYFUNCTION("""COMPUTED_VALUE"""),0)</f>
        <v>0</v>
      </c>
      <c r="H924" s="8">
        <f ca="1">IFERROR(__xludf.DUMMYFUNCTION("""COMPUTED_VALUE"""),0)</f>
        <v>0</v>
      </c>
      <c r="I924" s="8">
        <f ca="1">IFERROR(__xludf.DUMMYFUNCTION("""COMPUTED_VALUE"""),0)</f>
        <v>0</v>
      </c>
      <c r="J924" s="8">
        <f ca="1">IFERROR(__xludf.DUMMYFUNCTION("""COMPUTED_VALUE"""),0)</f>
        <v>0</v>
      </c>
      <c r="K924" s="10" t="str">
        <f ca="1">IFERROR(__xludf.DUMMYFUNCTION("""COMPUTED_VALUE"""),"https://www.klfy.com/local/vermilion-parish/abbeville-police-shots-fired-at-j-h-williams-middle-school/")</f>
        <v>https://www.klfy.com/local/vermilion-parish/abbeville-police-shots-fired-at-j-h-williams-middle-school/</v>
      </c>
      <c r="L924" s="8">
        <f ca="1">IFERROR(__xludf.DUMMYFUNCTION("""COMPUTED_VALUE"""),1)</f>
        <v>1</v>
      </c>
      <c r="M924" s="8" t="str">
        <f ca="1">IFERROR(__xludf.DUMMYFUNCTION("""COMPUTED_VALUE"""),"Local")</f>
        <v>Local</v>
      </c>
      <c r="N924" s="8">
        <f ca="1">IFERROR(__xludf.DUMMYFUNCTION("""COMPUTED_VALUE"""),2)</f>
        <v>2</v>
      </c>
      <c r="O924" s="8" t="str">
        <f ca="1">IFERROR(__xludf.DUMMYFUNCTION("""COMPUTED_VALUE"""),"Fall")</f>
        <v>Fall</v>
      </c>
      <c r="P924" s="8" t="str">
        <f ca="1">IFERROR(__xludf.DUMMYFUNCTION("""COMPUTED_VALUE"""),"Abbeville")</f>
        <v>Abbeville</v>
      </c>
      <c r="Q924" s="8" t="str">
        <f ca="1">IFERROR(__xludf.DUMMYFUNCTION("""COMPUTED_VALUE"""),"LA")</f>
        <v>LA</v>
      </c>
      <c r="R924" s="8" t="str">
        <f ca="1">IFERROR(__xludf.DUMMYFUNCTION("""COMPUTED_VALUE"""),"Middle")</f>
        <v>Middle</v>
      </c>
      <c r="S924" s="8" t="str">
        <f ca="1">IFERROR(__xludf.DUMMYFUNCTION("""COMPUTED_VALUE"""),"Front of School")</f>
        <v>Front of School</v>
      </c>
      <c r="T924" s="8" t="str">
        <f ca="1">IFERROR(__xludf.DUMMYFUNCTION("""COMPUTED_VALUE"""),"Outside on School Property")</f>
        <v>Outside on School Property</v>
      </c>
      <c r="U924" s="8" t="str">
        <f ca="1">IFERROR(__xludf.DUMMYFUNCTION("""COMPUTED_VALUE"""),"No")</f>
        <v>No</v>
      </c>
      <c r="V924" s="8" t="str">
        <f ca="1">IFERROR(__xludf.DUMMYFUNCTION("""COMPUTED_VALUE"""),"Night")</f>
        <v>Night</v>
      </c>
      <c r="W924" s="11">
        <f ca="1">IFERROR(__xludf.DUMMYFUNCTION("""COMPUTED_VALUE"""),0.875)</f>
        <v>0.875</v>
      </c>
      <c r="X924" s="8">
        <f ca="1">IFERROR(__xludf.DUMMYFUNCTION("""COMPUTED_VALUE"""),1)</f>
        <v>1</v>
      </c>
      <c r="Y924" s="12" t="str">
        <f ca="1">IFERROR(__xludf.DUMMYFUNCTION("""COMPUTED_VALUE"""),"Shots fired in front of school")</f>
        <v>Shots fired in front of school</v>
      </c>
      <c r="Z924" s="12" t="str">
        <f ca="1">IFERROR(__xludf.DUMMYFUNCTION("""COMPUTED_VALUE"""),"Shots fired in front of school")</f>
        <v>Shots fired in front of school</v>
      </c>
      <c r="AA924" s="8"/>
      <c r="AB924" s="8"/>
      <c r="AC924" s="8" t="str">
        <f ca="1">IFERROR(__xludf.DUMMYFUNCTION("""COMPUTED_VALUE"""),"No")</f>
        <v>No</v>
      </c>
      <c r="AD924" s="8"/>
      <c r="AE924" s="8"/>
      <c r="AF924" s="8"/>
      <c r="AG924" s="8" t="str">
        <f ca="1">IFERROR(__xludf.DUMMYFUNCTION("""COMPUTED_VALUE"""),"No")</f>
        <v>No</v>
      </c>
      <c r="AH924" s="8" t="str">
        <f ca="1">IFERROR(__xludf.DUMMYFUNCTION("""COMPUTED_VALUE"""),"No")</f>
        <v>No</v>
      </c>
      <c r="AI924" s="8" t="str">
        <f ca="1">IFERROR(__xludf.DUMMYFUNCTION("""COMPUTED_VALUE"""),"No")</f>
        <v>No</v>
      </c>
      <c r="AJ924" s="8" t="str">
        <f ca="1">IFERROR(__xludf.DUMMYFUNCTION("""COMPUTED_VALUE"""),"No")</f>
        <v>No</v>
      </c>
      <c r="AK924" s="8" t="str">
        <f ca="1">IFERROR(__xludf.DUMMYFUNCTION("""COMPUTED_VALUE"""),"No")</f>
        <v>No</v>
      </c>
      <c r="AL924" s="8"/>
      <c r="AM924" s="8" t="str">
        <f ca="1">IFERROR(__xludf.DUMMYFUNCTION("""COMPUTED_VALUE"""),"No")</f>
        <v>No</v>
      </c>
      <c r="AN924" s="8" t="str">
        <f ca="1">IFERROR(__xludf.DUMMYFUNCTION("""COMPUTED_VALUE"""),"Outside")</f>
        <v>Outside</v>
      </c>
      <c r="AO924" s="8" t="str">
        <f ca="1">IFERROR(__xludf.DUMMYFUNCTION("""COMPUTED_VALUE"""),"No")</f>
        <v>No</v>
      </c>
      <c r="AP924" s="8"/>
      <c r="AQ924" s="8"/>
      <c r="AR924" s="8" t="str">
        <f ca="1">IFERROR(__xludf.DUMMYFUNCTION("""COMPUTED_VALUE"""),"Outside/Off-Property")</f>
        <v>Outside/Off-Property</v>
      </c>
      <c r="AS924" s="8">
        <f ca="1">IFERROR(__xludf.DUMMYFUNCTION("""COMPUTED_VALUE"""),99)</f>
        <v>99</v>
      </c>
      <c r="AT924" s="8"/>
      <c r="AU924" s="8">
        <f ca="1">IFERROR(__xludf.DUMMYFUNCTION("""COMPUTED_VALUE"""),29.975108)</f>
        <v>29.975107999999999</v>
      </c>
      <c r="AV924" s="8">
        <f ca="1">IFERROR(__xludf.DUMMYFUNCTION("""COMPUTED_VALUE"""),-92.124534)</f>
        <v>-92.124533999999997</v>
      </c>
      <c r="AW924" s="8"/>
      <c r="AX924" s="8">
        <f ca="1">IFERROR(__xludf.DUMMYFUNCTION("""COMPUTED_VALUE"""),70510)</f>
        <v>70510</v>
      </c>
    </row>
    <row r="925" spans="1:50" ht="180" x14ac:dyDescent="0.2">
      <c r="A925" s="8" t="str">
        <f ca="1">IFERROR(__xludf.DUMMYFUNCTION("""COMPUTED_VALUE"""),"20221014LABOB")</f>
        <v>20221014LABOB</v>
      </c>
      <c r="B925" s="8">
        <f ca="1">IFERROR(__xludf.DUMMYFUNCTION("""COMPUTED_VALUE"""),10)</f>
        <v>10</v>
      </c>
      <c r="C925" s="8">
        <f ca="1">IFERROR(__xludf.DUMMYFUNCTION("""COMPUTED_VALUE"""),14)</f>
        <v>14</v>
      </c>
      <c r="D925" s="8">
        <f ca="1">IFERROR(__xludf.DUMMYFUNCTION("""COMPUTED_VALUE"""),2022)</f>
        <v>2022</v>
      </c>
      <c r="E925" s="9">
        <f ca="1">IFERROR(__xludf.DUMMYFUNCTION("""COMPUTED_VALUE"""),44848)</f>
        <v>44848</v>
      </c>
      <c r="F925" s="8" t="str">
        <f ca="1">IFERROR(__xludf.DUMMYFUNCTION("""COMPUTED_VALUE"""),"Bogalusa High School")</f>
        <v>Bogalusa High School</v>
      </c>
      <c r="G925" s="8">
        <f ca="1">IFERROR(__xludf.DUMMYFUNCTION("""COMPUTED_VALUE"""),0)</f>
        <v>0</v>
      </c>
      <c r="H925" s="8">
        <f ca="1">IFERROR(__xludf.DUMMYFUNCTION("""COMPUTED_VALUE"""),0)</f>
        <v>0</v>
      </c>
      <c r="I925" s="8">
        <f ca="1">IFERROR(__xludf.DUMMYFUNCTION("""COMPUTED_VALUE"""),0)</f>
        <v>0</v>
      </c>
      <c r="J925" s="8">
        <f ca="1">IFERROR(__xludf.DUMMYFUNCTION("""COMPUTED_VALUE"""),1)</f>
        <v>1</v>
      </c>
      <c r="K925" s="8" t="str">
        <f ca="1">IFERROR(__xludf.DUMMYFUNCTION("""COMPUTED_VALUE"""),"https://www.fox8live.com/video/2022/10/15/fatal-shooting-outside-bogalusa-hs-homecoming-game-friday-oct/
https://www.wdsu.com/article/bogalusa-police-arrest-one-suspect-in-murder-investigation/41872684#
https://www.wdsu.com/article/one-person-shot-outside"&amp;"-of-football-stadium-in-bogalusa/41629199")</f>
        <v>https://www.fox8live.com/video/2022/10/15/fatal-shooting-outside-bogalusa-hs-homecoming-game-friday-oct/
https://www.wdsu.com/article/bogalusa-police-arrest-one-suspect-in-murder-investigation/41872684#
https://www.wdsu.com/article/one-person-shot-outside-of-football-stadium-in-bogalusa/41629199</v>
      </c>
      <c r="L925" s="8">
        <f ca="1">IFERROR(__xludf.DUMMYFUNCTION("""COMPUTED_VALUE"""),10)</f>
        <v>10</v>
      </c>
      <c r="M925" s="8" t="str">
        <f ca="1">IFERROR(__xludf.DUMMYFUNCTION("""COMPUTED_VALUE"""),"Regional")</f>
        <v>Regional</v>
      </c>
      <c r="N925" s="8">
        <f ca="1">IFERROR(__xludf.DUMMYFUNCTION("""COMPUTED_VALUE"""),4)</f>
        <v>4</v>
      </c>
      <c r="O925" s="8" t="str">
        <f ca="1">IFERROR(__xludf.DUMMYFUNCTION("""COMPUTED_VALUE"""),"Fall")</f>
        <v>Fall</v>
      </c>
      <c r="P925" s="8" t="str">
        <f ca="1">IFERROR(__xludf.DUMMYFUNCTION("""COMPUTED_VALUE"""),"Bogalusa")</f>
        <v>Bogalusa</v>
      </c>
      <c r="Q925" s="8" t="str">
        <f ca="1">IFERROR(__xludf.DUMMYFUNCTION("""COMPUTED_VALUE"""),"LA")</f>
        <v>LA</v>
      </c>
      <c r="R925" s="8" t="str">
        <f ca="1">IFERROR(__xludf.DUMMYFUNCTION("""COMPUTED_VALUE"""),"High")</f>
        <v>High</v>
      </c>
      <c r="S925" s="8" t="str">
        <f ca="1">IFERROR(__xludf.DUMMYFUNCTION("""COMPUTED_VALUE"""),"Football Field/Track")</f>
        <v>Football Field/Track</v>
      </c>
      <c r="T925" s="8" t="str">
        <f ca="1">IFERROR(__xludf.DUMMYFUNCTION("""COMPUTED_VALUE"""),"Outside on School Property")</f>
        <v>Outside on School Property</v>
      </c>
      <c r="U925" s="8" t="str">
        <f ca="1">IFERROR(__xludf.DUMMYFUNCTION("""COMPUTED_VALUE"""),"No")</f>
        <v>No</v>
      </c>
      <c r="V925" s="8" t="str">
        <f ca="1">IFERROR(__xludf.DUMMYFUNCTION("""COMPUTED_VALUE"""),"Sport Event")</f>
        <v>Sport Event</v>
      </c>
      <c r="W925" s="11">
        <f ca="1">IFERROR(__xludf.DUMMYFUNCTION("""COMPUTED_VALUE"""),0.875)</f>
        <v>0.875</v>
      </c>
      <c r="X925" s="8">
        <f ca="1">IFERROR(__xludf.DUMMYFUNCTION("""COMPUTED_VALUE"""),1)</f>
        <v>1</v>
      </c>
      <c r="Y925" s="12" t="str">
        <f ca="1">IFERROR(__xludf.DUMMYFUNCTION("""COMPUTED_VALUE"""),"Teen fatally shot next to football field during game when three people (including the victim) fired shots")</f>
        <v>Teen fatally shot next to football field during game when three people (including the victim) fired shots</v>
      </c>
      <c r="Z925" s="12" t="str">
        <f ca="1">IFERROR(__xludf.DUMMYFUNCTION("""COMPUTED_VALUE"""),"The shooting happened outside of the Bogalusa football stadium during a matchup between Bogalusa High School and Jewel Sumner High School. The police chief told WDSU the victim was initially taken to the hospital in critical condition. According to a post"&amp;" on the City of Bogalusa's Facebook page, the situation was quickly under control because of the strong police presence at the game. Bogalusa Police Department said a 15-year-old was shot and killed outside of a football game on Friday night. Officers rep"&amp;"ort that approximately 18 to 20 shots were fired and that there were three people exchanging gunfire. One of them was the victim.")</f>
        <v>The shooting happened outside of the Bogalusa football stadium during a matchup between Bogalusa High School and Jewel Sumner High School. The police chief told WDSU the victim was initially taken to the hospital in critical condition. According to a post on the City of Bogalusa's Facebook page, the situation was quickly under control because of the strong police presence at the game. Bogalusa Police Department said a 15-year-old was shot and killed outside of a football game on Friday night. Officers report that approximately 18 to 20 shots were fired and that there were three people exchanging gunfire. One of them was the victim.</v>
      </c>
      <c r="AA925" s="8"/>
      <c r="AB925" s="8"/>
      <c r="AC925" s="8" t="str">
        <f ca="1">IFERROR(__xludf.DUMMYFUNCTION("""COMPUTED_VALUE"""),"Yes")</f>
        <v>Yes</v>
      </c>
      <c r="AD925" s="8"/>
      <c r="AE925" s="8" t="str">
        <f ca="1">IFERROR(__xludf.DUMMYFUNCTION("""COMPUTED_VALUE"""),"No")</f>
        <v>No</v>
      </c>
      <c r="AF925" s="8"/>
      <c r="AG925" s="8" t="str">
        <f ca="1">IFERROR(__xludf.DUMMYFUNCTION("""COMPUTED_VALUE"""),"No")</f>
        <v>No</v>
      </c>
      <c r="AH925" s="8" t="str">
        <f ca="1">IFERROR(__xludf.DUMMYFUNCTION("""COMPUTED_VALUE"""),"No")</f>
        <v>No</v>
      </c>
      <c r="AI925" s="8" t="str">
        <f ca="1">IFERROR(__xludf.DUMMYFUNCTION("""COMPUTED_VALUE"""),"No")</f>
        <v>No</v>
      </c>
      <c r="AJ925" s="8" t="str">
        <f ca="1">IFERROR(__xludf.DUMMYFUNCTION("""COMPUTED_VALUE"""),"No")</f>
        <v>No</v>
      </c>
      <c r="AK925" s="8" t="str">
        <f ca="1">IFERROR(__xludf.DUMMYFUNCTION("""COMPUTED_VALUE"""),"No")</f>
        <v>No</v>
      </c>
      <c r="AL925" s="8"/>
      <c r="AM925" s="8" t="str">
        <f ca="1">IFERROR(__xludf.DUMMYFUNCTION("""COMPUTED_VALUE"""),"No")</f>
        <v>No</v>
      </c>
      <c r="AN925" s="8" t="str">
        <f ca="1">IFERROR(__xludf.DUMMYFUNCTION("""COMPUTED_VALUE"""),"Outside")</f>
        <v>Outside</v>
      </c>
      <c r="AO925" s="8" t="str">
        <f ca="1">IFERROR(__xludf.DUMMYFUNCTION("""COMPUTED_VALUE"""),"No")</f>
        <v>No</v>
      </c>
      <c r="AP925" s="8"/>
      <c r="AQ925" s="8" t="str">
        <f ca="1">IFERROR(__xludf.DUMMYFUNCTION("""COMPUTED_VALUE"""),"Armed Guards")</f>
        <v>Armed Guards</v>
      </c>
      <c r="AR925" s="8" t="str">
        <f ca="1">IFERROR(__xludf.DUMMYFUNCTION("""COMPUTED_VALUE"""),"Outside/Off-Property")</f>
        <v>Outside/Off-Property</v>
      </c>
      <c r="AS925" s="8">
        <f ca="1">IFERROR(__xludf.DUMMYFUNCTION("""COMPUTED_VALUE"""),18)</f>
        <v>18</v>
      </c>
      <c r="AT925" s="8"/>
      <c r="AU925" s="8">
        <f ca="1">IFERROR(__xludf.DUMMYFUNCTION("""COMPUTED_VALUE"""),30.780582)</f>
        <v>30.780581999999999</v>
      </c>
      <c r="AV925" s="8">
        <f ca="1">IFERROR(__xludf.DUMMYFUNCTION("""COMPUTED_VALUE"""),-89.867676)</f>
        <v>-89.867676000000003</v>
      </c>
      <c r="AW925" s="8"/>
      <c r="AX925" s="8">
        <f ca="1">IFERROR(__xludf.DUMMYFUNCTION("""COMPUTED_VALUE"""),70427)</f>
        <v>70427</v>
      </c>
    </row>
    <row r="926" spans="1:50" ht="60" x14ac:dyDescent="0.2">
      <c r="A926" s="8" t="str">
        <f ca="1">IFERROR(__xludf.DUMMYFUNCTION("""COMPUTED_VALUE"""),"20221013TXJOD")</f>
        <v>20221013TXJOD</v>
      </c>
      <c r="B926" s="8">
        <f ca="1">IFERROR(__xludf.DUMMYFUNCTION("""COMPUTED_VALUE"""),10)</f>
        <v>10</v>
      </c>
      <c r="C926" s="8">
        <f ca="1">IFERROR(__xludf.DUMMYFUNCTION("""COMPUTED_VALUE"""),13)</f>
        <v>13</v>
      </c>
      <c r="D926" s="8">
        <f ca="1">IFERROR(__xludf.DUMMYFUNCTION("""COMPUTED_VALUE"""),2022)</f>
        <v>2022</v>
      </c>
      <c r="E926" s="9">
        <f ca="1">IFERROR(__xludf.DUMMYFUNCTION("""COMPUTED_VALUE"""),44847)</f>
        <v>44847</v>
      </c>
      <c r="F926" s="8" t="str">
        <f ca="1">IFERROR(__xludf.DUMMYFUNCTION("""COMPUTED_VALUE"""),"John W Carpenter Elementary School")</f>
        <v>John W Carpenter Elementary School</v>
      </c>
      <c r="G926" s="8">
        <f ca="1">IFERROR(__xludf.DUMMYFUNCTION("""COMPUTED_VALUE"""),0)</f>
        <v>0</v>
      </c>
      <c r="H926" s="8">
        <f ca="1">IFERROR(__xludf.DUMMYFUNCTION("""COMPUTED_VALUE"""),0)</f>
        <v>0</v>
      </c>
      <c r="I926" s="8">
        <f ca="1">IFERROR(__xludf.DUMMYFUNCTION("""COMPUTED_VALUE"""),0)</f>
        <v>0</v>
      </c>
      <c r="J926" s="8">
        <f ca="1">IFERROR(__xludf.DUMMYFUNCTION("""COMPUTED_VALUE"""),0)</f>
        <v>0</v>
      </c>
      <c r="K926" s="8" t="str">
        <f ca="1">IFERROR(__xludf.DUMMYFUNCTION("""COMPUTED_VALUE"""),"https://www.wfaa.com/article/news/local/dallas-isd-school-gun-discharges/287-82b4aef4-28fe-40c9-a64f-a00ccc522d70
https://www.nbcdfw.com/news/local/gun-accidentally-goes-off-in-dallas-elementary-school-cafeteria-thursday-morning/3095737/
")</f>
        <v xml:space="preserve">https://www.wfaa.com/article/news/local/dallas-isd-school-gun-discharges/287-82b4aef4-28fe-40c9-a64f-a00ccc522d70
https://www.nbcdfw.com/news/local/gun-accidentally-goes-off-in-dallas-elementary-school-cafeteria-thursday-morning/3095737/
</v>
      </c>
      <c r="L926" s="8">
        <f ca="1">IFERROR(__xludf.DUMMYFUNCTION("""COMPUTED_VALUE"""),10)</f>
        <v>10</v>
      </c>
      <c r="M926" s="8" t="str">
        <f ca="1">IFERROR(__xludf.DUMMYFUNCTION("""COMPUTED_VALUE"""),"Regional")</f>
        <v>Regional</v>
      </c>
      <c r="N926" s="8">
        <f ca="1">IFERROR(__xludf.DUMMYFUNCTION("""COMPUTED_VALUE"""),4)</f>
        <v>4</v>
      </c>
      <c r="O926" s="8" t="str">
        <f ca="1">IFERROR(__xludf.DUMMYFUNCTION("""COMPUTED_VALUE"""),"Fall")</f>
        <v>Fall</v>
      </c>
      <c r="P926" s="8" t="str">
        <f ca="1">IFERROR(__xludf.DUMMYFUNCTION("""COMPUTED_VALUE"""),"Dallas")</f>
        <v>Dallas</v>
      </c>
      <c r="Q926" s="8" t="str">
        <f ca="1">IFERROR(__xludf.DUMMYFUNCTION("""COMPUTED_VALUE"""),"TX")</f>
        <v>TX</v>
      </c>
      <c r="R926" s="8" t="str">
        <f ca="1">IFERROR(__xludf.DUMMYFUNCTION("""COMPUTED_VALUE"""),"Elementary")</f>
        <v>Elementary</v>
      </c>
      <c r="S926" s="8" t="str">
        <f ca="1">IFERROR(__xludf.DUMMYFUNCTION("""COMPUTED_VALUE"""),"Cafeteria")</f>
        <v>Cafeteria</v>
      </c>
      <c r="T926" s="8" t="str">
        <f ca="1">IFERROR(__xludf.DUMMYFUNCTION("""COMPUTED_VALUE"""),"Inside School Building")</f>
        <v>Inside School Building</v>
      </c>
      <c r="U926" s="8" t="str">
        <f ca="1">IFERROR(__xludf.DUMMYFUNCTION("""COMPUTED_VALUE"""),"Yes")</f>
        <v>Yes</v>
      </c>
      <c r="V926" s="8" t="str">
        <f ca="1">IFERROR(__xludf.DUMMYFUNCTION("""COMPUTED_VALUE"""),"School Start")</f>
        <v>School Start</v>
      </c>
      <c r="W926" s="11">
        <f ca="1">IFERROR(__xludf.DUMMYFUNCTION("""COMPUTED_VALUE"""),0.333333333333333)</f>
        <v>0.33333333333333298</v>
      </c>
      <c r="X926" s="8">
        <f ca="1">IFERROR(__xludf.DUMMYFUNCTION("""COMPUTED_VALUE"""),1)</f>
        <v>1</v>
      </c>
      <c r="Y926" s="12" t="str">
        <f ca="1">IFERROR(__xludf.DUMMYFUNCTION("""COMPUTED_VALUE"""),"Student fired shot while showing off handgun in cafeteria")</f>
        <v>Student fired shot while showing off handgun in cafeteria</v>
      </c>
      <c r="Z926" s="12" t="str">
        <f ca="1">IFERROR(__xludf.DUMMYFUNCTION("""COMPUTED_VALUE"""),"Student fired shot while showing off handgun in cafeteria")</f>
        <v>Student fired shot while showing off handgun in cafeteria</v>
      </c>
      <c r="AA926" s="8" t="str">
        <f ca="1">IFERROR(__xludf.DUMMYFUNCTION("""COMPUTED_VALUE"""),"Accidental")</f>
        <v>Accidental</v>
      </c>
      <c r="AB926" s="8"/>
      <c r="AC926" s="8" t="str">
        <f ca="1">IFERROR(__xludf.DUMMYFUNCTION("""COMPUTED_VALUE"""),"Yes")</f>
        <v>Yes</v>
      </c>
      <c r="AD926" s="8" t="str">
        <f ca="1">IFERROR(__xludf.DUMMYFUNCTION("""COMPUTED_VALUE"""),"Neither")</f>
        <v>Neither</v>
      </c>
      <c r="AE926" s="8" t="str">
        <f ca="1">IFERROR(__xludf.DUMMYFUNCTION("""COMPUTED_VALUE"""),"No")</f>
        <v>No</v>
      </c>
      <c r="AF926" s="8"/>
      <c r="AG926" s="8" t="str">
        <f ca="1">IFERROR(__xludf.DUMMYFUNCTION("""COMPUTED_VALUE"""),"No")</f>
        <v>No</v>
      </c>
      <c r="AH926" s="8" t="str">
        <f ca="1">IFERROR(__xludf.DUMMYFUNCTION("""COMPUTED_VALUE"""),"No")</f>
        <v>No</v>
      </c>
      <c r="AI926" s="8" t="str">
        <f ca="1">IFERROR(__xludf.DUMMYFUNCTION("""COMPUTED_VALUE"""),"No")</f>
        <v>No</v>
      </c>
      <c r="AJ926" s="8" t="str">
        <f ca="1">IFERROR(__xludf.DUMMYFUNCTION("""COMPUTED_VALUE"""),"No")</f>
        <v>No</v>
      </c>
      <c r="AK926" s="8" t="str">
        <f ca="1">IFERROR(__xludf.DUMMYFUNCTION("""COMPUTED_VALUE"""),"No")</f>
        <v>No</v>
      </c>
      <c r="AL926" s="8"/>
      <c r="AM926" s="8" t="str">
        <f ca="1">IFERROR(__xludf.DUMMYFUNCTION("""COMPUTED_VALUE"""),"No")</f>
        <v>No</v>
      </c>
      <c r="AN926" s="8" t="str">
        <f ca="1">IFERROR(__xludf.DUMMYFUNCTION("""COMPUTED_VALUE"""),"Single Room")</f>
        <v>Single Room</v>
      </c>
      <c r="AO926" s="8" t="str">
        <f ca="1">IFERROR(__xludf.DUMMYFUNCTION("""COMPUTED_VALUE"""),"No")</f>
        <v>No</v>
      </c>
      <c r="AP926" s="8"/>
      <c r="AQ926" s="8"/>
      <c r="AR926" s="8" t="str">
        <f ca="1">IFERROR(__xludf.DUMMYFUNCTION("""COMPUTED_VALUE"""),"Failed")</f>
        <v>Failed</v>
      </c>
      <c r="AS926" s="8">
        <f ca="1">IFERROR(__xludf.DUMMYFUNCTION("""COMPUTED_VALUE"""),1)</f>
        <v>1</v>
      </c>
      <c r="AT926" s="8" t="str">
        <f ca="1">IFERROR(__xludf.DUMMYFUNCTION("""COMPUTED_VALUE"""),"Yes")</f>
        <v>Yes</v>
      </c>
      <c r="AU926" s="8">
        <f ca="1">IFERROR(__xludf.DUMMYFUNCTION("""COMPUTED_VALUE"""),32.69512)</f>
        <v>32.695120000000003</v>
      </c>
      <c r="AV926" s="8">
        <f ca="1">IFERROR(__xludf.DUMMYFUNCTION("""COMPUTED_VALUE"""),-96.852934)</f>
        <v>-96.852934000000005</v>
      </c>
      <c r="AW926" s="8"/>
      <c r="AX926" s="8">
        <f ca="1">IFERROR(__xludf.DUMMYFUNCTION("""COMPUTED_VALUE"""),75224)</f>
        <v>75224</v>
      </c>
    </row>
    <row r="927" spans="1:50" ht="150" x14ac:dyDescent="0.2">
      <c r="A927" s="8" t="str">
        <f ca="1">IFERROR(__xludf.DUMMYFUNCTION("""COMPUTED_VALUE"""),"20221013NYSCB")</f>
        <v>20221013NYSCB</v>
      </c>
      <c r="B927" s="8">
        <f ca="1">IFERROR(__xludf.DUMMYFUNCTION("""COMPUTED_VALUE"""),10)</f>
        <v>10</v>
      </c>
      <c r="C927" s="8">
        <f ca="1">IFERROR(__xludf.DUMMYFUNCTION("""COMPUTED_VALUE"""),13)</f>
        <v>13</v>
      </c>
      <c r="D927" s="8">
        <f ca="1">IFERROR(__xludf.DUMMYFUNCTION("""COMPUTED_VALUE"""),2022)</f>
        <v>2022</v>
      </c>
      <c r="E927" s="9">
        <f ca="1">IFERROR(__xludf.DUMMYFUNCTION("""COMPUTED_VALUE"""),44847)</f>
        <v>44847</v>
      </c>
      <c r="F927" s="8" t="str">
        <f ca="1">IFERROR(__xludf.DUMMYFUNCTION("""COMPUTED_VALUE"""),"School Bus")</f>
        <v>School Bus</v>
      </c>
      <c r="G927" s="8">
        <f ca="1">IFERROR(__xludf.DUMMYFUNCTION("""COMPUTED_VALUE"""),0)</f>
        <v>0</v>
      </c>
      <c r="H927" s="8">
        <f ca="1">IFERROR(__xludf.DUMMYFUNCTION("""COMPUTED_VALUE"""),1)</f>
        <v>1</v>
      </c>
      <c r="I927" s="8">
        <f ca="1">IFERROR(__xludf.DUMMYFUNCTION("""COMPUTED_VALUE"""),1)</f>
        <v>1</v>
      </c>
      <c r="J927" s="8">
        <f ca="1">IFERROR(__xludf.DUMMYFUNCTION("""COMPUTED_VALUE"""),0)</f>
        <v>0</v>
      </c>
      <c r="K927" s="10" t="str">
        <f ca="1">IFERROR(__xludf.DUMMYFUNCTION("""COMPUTED_VALUE"""),"https://www.amny.com/new-york/brooklyn/cops-seek-suspect-in-brooklyn-school-bus-shooting/")</f>
        <v>https://www.amny.com/new-york/brooklyn/cops-seek-suspect-in-brooklyn-school-bus-shooting/</v>
      </c>
      <c r="L927" s="8">
        <f ca="1">IFERROR(__xludf.DUMMYFUNCTION("""COMPUTED_VALUE"""),10)</f>
        <v>10</v>
      </c>
      <c r="M927" s="8" t="str">
        <f ca="1">IFERROR(__xludf.DUMMYFUNCTION("""COMPUTED_VALUE"""),"Regional")</f>
        <v>Regional</v>
      </c>
      <c r="N927" s="8">
        <f ca="1">IFERROR(__xludf.DUMMYFUNCTION("""COMPUTED_VALUE"""),4)</f>
        <v>4</v>
      </c>
      <c r="O927" s="8" t="str">
        <f ca="1">IFERROR(__xludf.DUMMYFUNCTION("""COMPUTED_VALUE"""),"Fall")</f>
        <v>Fall</v>
      </c>
      <c r="P927" s="8" t="str">
        <f ca="1">IFERROR(__xludf.DUMMYFUNCTION("""COMPUTED_VALUE"""),"Brooklyn")</f>
        <v>Brooklyn</v>
      </c>
      <c r="Q927" s="8" t="str">
        <f ca="1">IFERROR(__xludf.DUMMYFUNCTION("""COMPUTED_VALUE"""),"NY")</f>
        <v>NY</v>
      </c>
      <c r="R927" s="8" t="str">
        <f ca="1">IFERROR(__xludf.DUMMYFUNCTION("""COMPUTED_VALUE"""),"Other")</f>
        <v>Other</v>
      </c>
      <c r="S927" s="8" t="str">
        <f ca="1">IFERROR(__xludf.DUMMYFUNCTION("""COMPUTED_VALUE"""),"School Bus")</f>
        <v>School Bus</v>
      </c>
      <c r="T927" s="8" t="str">
        <f ca="1">IFERROR(__xludf.DUMMYFUNCTION("""COMPUTED_VALUE"""),"School Bus")</f>
        <v>School Bus</v>
      </c>
      <c r="U927" s="8" t="str">
        <f ca="1">IFERROR(__xludf.DUMMYFUNCTION("""COMPUTED_VALUE"""),"Yes")</f>
        <v>Yes</v>
      </c>
      <c r="V927" s="8" t="str">
        <f ca="1">IFERROR(__xludf.DUMMYFUNCTION("""COMPUTED_VALUE"""),"Morning Classes")</f>
        <v>Morning Classes</v>
      </c>
      <c r="W927" s="11">
        <f ca="1">IFERROR(__xludf.DUMMYFUNCTION("""COMPUTED_VALUE"""),0.458333333333333)</f>
        <v>0.45833333333333298</v>
      </c>
      <c r="X927" s="8">
        <f ca="1">IFERROR(__xludf.DUMMYFUNCTION("""COMPUTED_VALUE"""),1)</f>
        <v>1</v>
      </c>
      <c r="Y927" s="12" t="str">
        <f ca="1">IFERROR(__xludf.DUMMYFUNCTION("""COMPUTED_VALUE"""),"Man shot multiple times on school bus")</f>
        <v>Man shot multiple times on school bus</v>
      </c>
      <c r="Z927" s="12" t="str">
        <f ca="1">IFERROR(__xludf.DUMMYFUNCTION("""COMPUTED_VALUE"""),"Police are asking for the public’s help identifying the man they say shot a man inside an unoccupied, off-duty school bus in Kensington. Authorities say that at around 11 a.m. on Thursday, Oct. 13,  a 30-year-old man was sitting inside a parked, unoccupie"&amp;"d, off-duty school bus opposite of 660 McDonald Avenue when two unidentified perps got on and shot the man multiple times. The victim sustained gunshot wounds to his jaw, nose, bicep and chest, and was taken to Maimonides Medical Center, where he is liste"&amp;"d in stable condition.")</f>
        <v>Police are asking for the public’s help identifying the man they say shot a man inside an unoccupied, off-duty school bus in Kensington. Authorities say that at around 11 a.m. on Thursday, Oct. 13,  a 30-year-old man was sitting inside a parked, unoccupied, off-duty school bus opposite of 660 McDonald Avenue when two unidentified perps got on and shot the man multiple times. The victim sustained gunshot wounds to his jaw, nose, bicep and chest, and was taken to Maimonides Medical Center, where he is listed in stable condition.</v>
      </c>
      <c r="AA927" s="8"/>
      <c r="AB927" s="8"/>
      <c r="AC927" s="8" t="str">
        <f ca="1">IFERROR(__xludf.DUMMYFUNCTION("""COMPUTED_VALUE"""),"No")</f>
        <v>No</v>
      </c>
      <c r="AD927" s="8" t="str">
        <f ca="1">IFERROR(__xludf.DUMMYFUNCTION("""COMPUTED_VALUE"""),"Victims Targeted")</f>
        <v>Victims Targeted</v>
      </c>
      <c r="AE927" s="8" t="str">
        <f ca="1">IFERROR(__xludf.DUMMYFUNCTION("""COMPUTED_VALUE"""),"Yes")</f>
        <v>Yes</v>
      </c>
      <c r="AF927" s="8" t="str">
        <f ca="1">IFERROR(__xludf.DUMMYFUNCTION("""COMPUTED_VALUE"""),"Two shooters")</f>
        <v>Two shooters</v>
      </c>
      <c r="AG927" s="8" t="str">
        <f ca="1">IFERROR(__xludf.DUMMYFUNCTION("""COMPUTED_VALUE"""),"No")</f>
        <v>No</v>
      </c>
      <c r="AH927" s="8" t="str">
        <f ca="1">IFERROR(__xludf.DUMMYFUNCTION("""COMPUTED_VALUE"""),"No")</f>
        <v>No</v>
      </c>
      <c r="AI927" s="8" t="str">
        <f ca="1">IFERROR(__xludf.DUMMYFUNCTION("""COMPUTED_VALUE"""),"No")</f>
        <v>No</v>
      </c>
      <c r="AJ927" s="8" t="str">
        <f ca="1">IFERROR(__xludf.DUMMYFUNCTION("""COMPUTED_VALUE"""),"No")</f>
        <v>No</v>
      </c>
      <c r="AK927" s="8" t="str">
        <f ca="1">IFERROR(__xludf.DUMMYFUNCTION("""COMPUTED_VALUE"""),"No")</f>
        <v>No</v>
      </c>
      <c r="AL927" s="8"/>
      <c r="AM927" s="8" t="str">
        <f ca="1">IFERROR(__xludf.DUMMYFUNCTION("""COMPUTED_VALUE"""),"No")</f>
        <v>No</v>
      </c>
      <c r="AN927" s="8" t="str">
        <f ca="1">IFERROR(__xludf.DUMMYFUNCTION("""COMPUTED_VALUE"""),"Outside")</f>
        <v>Outside</v>
      </c>
      <c r="AO927" s="8" t="str">
        <f ca="1">IFERROR(__xludf.DUMMYFUNCTION("""COMPUTED_VALUE"""),"No")</f>
        <v>No</v>
      </c>
      <c r="AP927" s="8"/>
      <c r="AQ927" s="8"/>
      <c r="AR927" s="8" t="str">
        <f ca="1">IFERROR(__xludf.DUMMYFUNCTION("""COMPUTED_VALUE"""),"Outside/Off-Property")</f>
        <v>Outside/Off-Property</v>
      </c>
      <c r="AS927" s="8">
        <f ca="1">IFERROR(__xludf.DUMMYFUNCTION("""COMPUTED_VALUE"""),99)</f>
        <v>99</v>
      </c>
      <c r="AT927" s="8"/>
      <c r="AU927" s="8">
        <f ca="1">IFERROR(__xludf.DUMMYFUNCTION("""COMPUTED_VALUE"""),40.638353)</f>
        <v>40.638353000000002</v>
      </c>
      <c r="AV927" s="8">
        <f ca="1">IFERROR(__xludf.DUMMYFUNCTION("""COMPUTED_VALUE"""),-73.979642)</f>
        <v>-73.979641999999998</v>
      </c>
      <c r="AW927" s="8"/>
      <c r="AX927" s="8">
        <f ca="1">IFERROR(__xludf.DUMMYFUNCTION("""COMPUTED_VALUE"""),11218)</f>
        <v>11218</v>
      </c>
    </row>
    <row r="928" spans="1:50" ht="60" x14ac:dyDescent="0.2">
      <c r="A928" s="8" t="str">
        <f ca="1">IFERROR(__xludf.DUMMYFUNCTION("""COMPUTED_VALUE"""),"20221012NCCAC")</f>
        <v>20221012NCCAC</v>
      </c>
      <c r="B928" s="8">
        <f ca="1">IFERROR(__xludf.DUMMYFUNCTION("""COMPUTED_VALUE"""),10)</f>
        <v>10</v>
      </c>
      <c r="C928" s="8">
        <f ca="1">IFERROR(__xludf.DUMMYFUNCTION("""COMPUTED_VALUE"""),12)</f>
        <v>12</v>
      </c>
      <c r="D928" s="8">
        <f ca="1">IFERROR(__xludf.DUMMYFUNCTION("""COMPUTED_VALUE"""),2022)</f>
        <v>2022</v>
      </c>
      <c r="E928" s="9">
        <f ca="1">IFERROR(__xludf.DUMMYFUNCTION("""COMPUTED_VALUE"""),44846)</f>
        <v>44846</v>
      </c>
      <c r="F928" s="8" t="str">
        <f ca="1">IFERROR(__xludf.DUMMYFUNCTION("""COMPUTED_VALUE"""),"Cary High School")</f>
        <v>Cary High School</v>
      </c>
      <c r="G928" s="8">
        <f ca="1">IFERROR(__xludf.DUMMYFUNCTION("""COMPUTED_VALUE"""),0)</f>
        <v>0</v>
      </c>
      <c r="H928" s="8">
        <f ca="1">IFERROR(__xludf.DUMMYFUNCTION("""COMPUTED_VALUE"""),0)</f>
        <v>0</v>
      </c>
      <c r="I928" s="8">
        <f ca="1">IFERROR(__xludf.DUMMYFUNCTION("""COMPUTED_VALUE"""),0)</f>
        <v>0</v>
      </c>
      <c r="J928" s="8">
        <f ca="1">IFERROR(__xludf.DUMMYFUNCTION("""COMPUTED_VALUE"""),0)</f>
        <v>0</v>
      </c>
      <c r="K928" s="8" t="str">
        <f ca="1">IFERROR(__xludf.DUMMYFUNCTION("""COMPUTED_VALUE"""),"https://www.cbs17.com/news/local-news/wake-county-news/cary-high-school-goes-under-code-red-lockdown-after-possible-shot-fired/
https://www.wral.com/gunshot-fired-inside-cary-high-school-bathroom-police-questioning-14-year-old-student/20518817/")</f>
        <v>https://www.cbs17.com/news/local-news/wake-county-news/cary-high-school-goes-under-code-red-lockdown-after-possible-shot-fired/
https://www.wral.com/gunshot-fired-inside-cary-high-school-bathroom-police-questioning-14-year-old-student/20518817/</v>
      </c>
      <c r="L928" s="8">
        <f ca="1">IFERROR(__xludf.DUMMYFUNCTION("""COMPUTED_VALUE"""),10)</f>
        <v>10</v>
      </c>
      <c r="M928" s="8" t="str">
        <f ca="1">IFERROR(__xludf.DUMMYFUNCTION("""COMPUTED_VALUE"""),"Regional")</f>
        <v>Regional</v>
      </c>
      <c r="N928" s="8">
        <f ca="1">IFERROR(__xludf.DUMMYFUNCTION("""COMPUTED_VALUE"""),4)</f>
        <v>4</v>
      </c>
      <c r="O928" s="8" t="str">
        <f ca="1">IFERROR(__xludf.DUMMYFUNCTION("""COMPUTED_VALUE"""),"Fall")</f>
        <v>Fall</v>
      </c>
      <c r="P928" s="8" t="str">
        <f ca="1">IFERROR(__xludf.DUMMYFUNCTION("""COMPUTED_VALUE"""),"Cary")</f>
        <v>Cary</v>
      </c>
      <c r="Q928" s="8" t="str">
        <f ca="1">IFERROR(__xludf.DUMMYFUNCTION("""COMPUTED_VALUE"""),"NC")</f>
        <v>NC</v>
      </c>
      <c r="R928" s="8" t="str">
        <f ca="1">IFERROR(__xludf.DUMMYFUNCTION("""COMPUTED_VALUE"""),"High")</f>
        <v>High</v>
      </c>
      <c r="S928" s="8" t="str">
        <f ca="1">IFERROR(__xludf.DUMMYFUNCTION("""COMPUTED_VALUE"""),"Bathroom")</f>
        <v>Bathroom</v>
      </c>
      <c r="T928" s="8" t="str">
        <f ca="1">IFERROR(__xludf.DUMMYFUNCTION("""COMPUTED_VALUE"""),"Outside on School Property")</f>
        <v>Outside on School Property</v>
      </c>
      <c r="U928" s="8" t="str">
        <f ca="1">IFERROR(__xludf.DUMMYFUNCTION("""COMPUTED_VALUE"""),"Yes")</f>
        <v>Yes</v>
      </c>
      <c r="V928" s="8" t="str">
        <f ca="1">IFERROR(__xludf.DUMMYFUNCTION("""COMPUTED_VALUE"""),"Afternoon Classes")</f>
        <v>Afternoon Classes</v>
      </c>
      <c r="W928" s="11">
        <f ca="1">IFERROR(__xludf.DUMMYFUNCTION("""COMPUTED_VALUE"""),0.576388888888888)</f>
        <v>0.57638888888888795</v>
      </c>
      <c r="X928" s="8">
        <f ca="1">IFERROR(__xludf.DUMMYFUNCTION("""COMPUTED_VALUE"""),1)</f>
        <v>1</v>
      </c>
      <c r="Y928" s="12" t="str">
        <f ca="1">IFERROR(__xludf.DUMMYFUNCTION("""COMPUTED_VALUE"""),"Shot fired in school bathroom")</f>
        <v>Shot fired in school bathroom</v>
      </c>
      <c r="Z928" s="12" t="str">
        <f ca="1">IFERROR(__xludf.DUMMYFUNCTION("""COMPUTED_VALUE"""),"Two 14-year-old students were arrested after a shot was fired in the school bathroom breaking a toilet. School went on Code Red lockdown and parents rushed to the school. No injuries.")</f>
        <v>Two 14-year-old students were arrested after a shot was fired in the school bathroom breaking a toilet. School went on Code Red lockdown and parents rushed to the school. No injuries.</v>
      </c>
      <c r="AA928" s="8" t="str">
        <f ca="1">IFERROR(__xludf.DUMMYFUNCTION("""COMPUTED_VALUE"""),"Accidental")</f>
        <v>Accidental</v>
      </c>
      <c r="AB928" s="8"/>
      <c r="AC928" s="8" t="str">
        <f ca="1">IFERROR(__xludf.DUMMYFUNCTION("""COMPUTED_VALUE"""),"Yes")</f>
        <v>Yes</v>
      </c>
      <c r="AD928" s="8"/>
      <c r="AE928" s="8" t="str">
        <f ca="1">IFERROR(__xludf.DUMMYFUNCTION("""COMPUTED_VALUE"""),"Yes")</f>
        <v>Yes</v>
      </c>
      <c r="AF928" s="8" t="str">
        <f ca="1">IFERROR(__xludf.DUMMYFUNCTION("""COMPUTED_VALUE"""),"Two students")</f>
        <v>Two students</v>
      </c>
      <c r="AG928" s="8" t="str">
        <f ca="1">IFERROR(__xludf.DUMMYFUNCTION("""COMPUTED_VALUE"""),"No")</f>
        <v>No</v>
      </c>
      <c r="AH928" s="8" t="str">
        <f ca="1">IFERROR(__xludf.DUMMYFUNCTION("""COMPUTED_VALUE"""),"No")</f>
        <v>No</v>
      </c>
      <c r="AI928" s="8" t="str">
        <f ca="1">IFERROR(__xludf.DUMMYFUNCTION("""COMPUTED_VALUE"""),"No")</f>
        <v>No</v>
      </c>
      <c r="AJ928" s="8" t="str">
        <f ca="1">IFERROR(__xludf.DUMMYFUNCTION("""COMPUTED_VALUE"""),"No")</f>
        <v>No</v>
      </c>
      <c r="AK928" s="8" t="str">
        <f ca="1">IFERROR(__xludf.DUMMYFUNCTION("""COMPUTED_VALUE"""),"No")</f>
        <v>No</v>
      </c>
      <c r="AL928" s="8"/>
      <c r="AM928" s="8" t="str">
        <f ca="1">IFERROR(__xludf.DUMMYFUNCTION("""COMPUTED_VALUE"""),"No")</f>
        <v>No</v>
      </c>
      <c r="AN928" s="8" t="str">
        <f ca="1">IFERROR(__xludf.DUMMYFUNCTION("""COMPUTED_VALUE"""),"Single Room")</f>
        <v>Single Room</v>
      </c>
      <c r="AO928" s="8" t="str">
        <f ca="1">IFERROR(__xludf.DUMMYFUNCTION("""COMPUTED_VALUE"""),"No")</f>
        <v>No</v>
      </c>
      <c r="AP928" s="8"/>
      <c r="AQ928" s="8"/>
      <c r="AR928" s="8" t="str">
        <f ca="1">IFERROR(__xludf.DUMMYFUNCTION("""COMPUTED_VALUE"""),"Failed")</f>
        <v>Failed</v>
      </c>
      <c r="AS928" s="8">
        <f ca="1">IFERROR(__xludf.DUMMYFUNCTION("""COMPUTED_VALUE"""),1)</f>
        <v>1</v>
      </c>
      <c r="AT928" s="8" t="str">
        <f ca="1">IFERROR(__xludf.DUMMYFUNCTION("""COMPUTED_VALUE"""),"Yes")</f>
        <v>Yes</v>
      </c>
      <c r="AU928" s="8">
        <f ca="1">IFERROR(__xludf.DUMMYFUNCTION("""COMPUTED_VALUE"""),35.773137)</f>
        <v>35.773136999999998</v>
      </c>
      <c r="AV928" s="8">
        <f ca="1">IFERROR(__xludf.DUMMYFUNCTION("""COMPUTED_VALUE"""),-78.765946)</f>
        <v>-78.765946</v>
      </c>
      <c r="AW928" s="8"/>
      <c r="AX928" s="8">
        <f ca="1">IFERROR(__xludf.DUMMYFUNCTION("""COMPUTED_VALUE"""),27511)</f>
        <v>27511</v>
      </c>
    </row>
    <row r="929" spans="1:50" ht="105" x14ac:dyDescent="0.2">
      <c r="A929" s="8" t="str">
        <f ca="1">IFERROR(__xludf.DUMMYFUNCTION("""COMPUTED_VALUE"""),"20221011ORREP")</f>
        <v>20221011ORREP</v>
      </c>
      <c r="B929" s="8">
        <f ca="1">IFERROR(__xludf.DUMMYFUNCTION("""COMPUTED_VALUE"""),10)</f>
        <v>10</v>
      </c>
      <c r="C929" s="8">
        <f ca="1">IFERROR(__xludf.DUMMYFUNCTION("""COMPUTED_VALUE"""),11)</f>
        <v>11</v>
      </c>
      <c r="D929" s="8">
        <f ca="1">IFERROR(__xludf.DUMMYFUNCTION("""COMPUTED_VALUE"""),2022)</f>
        <v>2022</v>
      </c>
      <c r="E929" s="9">
        <f ca="1">IFERROR(__xludf.DUMMYFUNCTION("""COMPUTED_VALUE"""),44845)</f>
        <v>44845</v>
      </c>
      <c r="F929" s="8" t="str">
        <f ca="1">IFERROR(__xludf.DUMMYFUNCTION("""COMPUTED_VALUE"""),"Reynolds High School")</f>
        <v>Reynolds High School</v>
      </c>
      <c r="G929" s="8">
        <f ca="1">IFERROR(__xludf.DUMMYFUNCTION("""COMPUTED_VALUE"""),0)</f>
        <v>0</v>
      </c>
      <c r="H929" s="8">
        <f ca="1">IFERROR(__xludf.DUMMYFUNCTION("""COMPUTED_VALUE"""),0)</f>
        <v>0</v>
      </c>
      <c r="I929" s="8">
        <f ca="1">IFERROR(__xludf.DUMMYFUNCTION("""COMPUTED_VALUE"""),0)</f>
        <v>0</v>
      </c>
      <c r="J929" s="8">
        <f ca="1">IFERROR(__xludf.DUMMYFUNCTION("""COMPUTED_VALUE"""),0)</f>
        <v>0</v>
      </c>
      <c r="K929" s="10" t="str">
        <f ca="1">IFERROR(__xludf.DUMMYFUNCTION("""COMPUTED_VALUE"""),"https://www.koin.com/news/crime/shots-fired-near-reynolds-high-school-parents-concerned-about-response/")</f>
        <v>https://www.koin.com/news/crime/shots-fired-near-reynolds-high-school-parents-concerned-about-response/</v>
      </c>
      <c r="L929" s="8">
        <f ca="1">IFERROR(__xludf.DUMMYFUNCTION("""COMPUTED_VALUE"""),1)</f>
        <v>1</v>
      </c>
      <c r="M929" s="8" t="str">
        <f ca="1">IFERROR(__xludf.DUMMYFUNCTION("""COMPUTED_VALUE"""),"Local")</f>
        <v>Local</v>
      </c>
      <c r="N929" s="8">
        <f ca="1">IFERROR(__xludf.DUMMYFUNCTION("""COMPUTED_VALUE"""),4)</f>
        <v>4</v>
      </c>
      <c r="O929" s="8" t="str">
        <f ca="1">IFERROR(__xludf.DUMMYFUNCTION("""COMPUTED_VALUE"""),"Fall")</f>
        <v>Fall</v>
      </c>
      <c r="P929" s="8" t="str">
        <f ca="1">IFERROR(__xludf.DUMMYFUNCTION("""COMPUTED_VALUE"""),"Portland")</f>
        <v>Portland</v>
      </c>
      <c r="Q929" s="8" t="str">
        <f ca="1">IFERROR(__xludf.DUMMYFUNCTION("""COMPUTED_VALUE"""),"OR")</f>
        <v>OR</v>
      </c>
      <c r="R929" s="8" t="str">
        <f ca="1">IFERROR(__xludf.DUMMYFUNCTION("""COMPUTED_VALUE"""),"High")</f>
        <v>High</v>
      </c>
      <c r="S929" s="8" t="str">
        <f ca="1">IFERROR(__xludf.DUMMYFUNCTION("""COMPUTED_VALUE"""),"Parking Lot")</f>
        <v>Parking Lot</v>
      </c>
      <c r="T929" s="8" t="str">
        <f ca="1">IFERROR(__xludf.DUMMYFUNCTION("""COMPUTED_VALUE"""),"Outside on School Property")</f>
        <v>Outside on School Property</v>
      </c>
      <c r="U929" s="8" t="str">
        <f ca="1">IFERROR(__xludf.DUMMYFUNCTION("""COMPUTED_VALUE"""),"Yes")</f>
        <v>Yes</v>
      </c>
      <c r="V929" s="8" t="str">
        <f ca="1">IFERROR(__xludf.DUMMYFUNCTION("""COMPUTED_VALUE"""),"Lunch")</f>
        <v>Lunch</v>
      </c>
      <c r="W929" s="11">
        <f ca="1">IFERROR(__xludf.DUMMYFUNCTION("""COMPUTED_VALUE"""),0.5)</f>
        <v>0.5</v>
      </c>
      <c r="X929" s="8">
        <f ca="1">IFERROR(__xludf.DUMMYFUNCTION("""COMPUTED_VALUE"""),1)</f>
        <v>1</v>
      </c>
      <c r="Y929" s="12" t="str">
        <f ca="1">IFERROR(__xludf.DUMMYFUNCTION("""COMPUTED_VALUE"""),"Shots fired in parking lot during lunch.")</f>
        <v>Shots fired in parking lot during lunch.</v>
      </c>
      <c r="Z929" s="12" t="str">
        <f ca="1">IFERROR(__xludf.DUMMYFUNCTION("""COMPUTED_VALUE"""),"Shots were fired in the parking lot of the school during a dispute between two people. SRO heard the shots, ran to the parking lot, and saw a vehicle driving away. School was not locked down because the shooter fled the area. Police said the shooting was "&amp;"unrelated to the school and the school was not targeted. Students were outside on the campus when the shooting occurred.")</f>
        <v>Shots were fired in the parking lot of the school during a dispute between two people. SRO heard the shots, ran to the parking lot, and saw a vehicle driving away. School was not locked down because the shooter fled the area. Police said the shooting was unrelated to the school and the school was not targeted. Students were outside on the campus when the shooting occurred.</v>
      </c>
      <c r="AA929" s="8" t="str">
        <f ca="1">IFERROR(__xludf.DUMMYFUNCTION("""COMPUTED_VALUE"""),"Escalation of Dispute")</f>
        <v>Escalation of Dispute</v>
      </c>
      <c r="AB929" s="8"/>
      <c r="AC929" s="8" t="str">
        <f ca="1">IFERROR(__xludf.DUMMYFUNCTION("""COMPUTED_VALUE"""),"Yes")</f>
        <v>Yes</v>
      </c>
      <c r="AD929" s="8"/>
      <c r="AE929" s="8" t="str">
        <f ca="1">IFERROR(__xludf.DUMMYFUNCTION("""COMPUTED_VALUE"""),"No")</f>
        <v>No</v>
      </c>
      <c r="AF929" s="8"/>
      <c r="AG929" s="8" t="str">
        <f ca="1">IFERROR(__xludf.DUMMYFUNCTION("""COMPUTED_VALUE"""),"No")</f>
        <v>No</v>
      </c>
      <c r="AH929" s="8" t="str">
        <f ca="1">IFERROR(__xludf.DUMMYFUNCTION("""COMPUTED_VALUE"""),"No")</f>
        <v>No</v>
      </c>
      <c r="AI929" s="8" t="str">
        <f ca="1">IFERROR(__xludf.DUMMYFUNCTION("""COMPUTED_VALUE"""),"No")</f>
        <v>No</v>
      </c>
      <c r="AJ929" s="8" t="str">
        <f ca="1">IFERROR(__xludf.DUMMYFUNCTION("""COMPUTED_VALUE"""),"No")</f>
        <v>No</v>
      </c>
      <c r="AK929" s="8" t="str">
        <f ca="1">IFERROR(__xludf.DUMMYFUNCTION("""COMPUTED_VALUE"""),"No")</f>
        <v>No</v>
      </c>
      <c r="AL929" s="8"/>
      <c r="AM929" s="8" t="str">
        <f ca="1">IFERROR(__xludf.DUMMYFUNCTION("""COMPUTED_VALUE"""),"No")</f>
        <v>No</v>
      </c>
      <c r="AN929" s="8" t="str">
        <f ca="1">IFERROR(__xludf.DUMMYFUNCTION("""COMPUTED_VALUE"""),"Outside")</f>
        <v>Outside</v>
      </c>
      <c r="AO929" s="8" t="str">
        <f ca="1">IFERROR(__xludf.DUMMYFUNCTION("""COMPUTED_VALUE"""),"No")</f>
        <v>No</v>
      </c>
      <c r="AP929" s="8" t="str">
        <f ca="1">IFERROR(__xludf.DUMMYFUNCTION("""COMPUTED_VALUE"""),"Yes")</f>
        <v>Yes</v>
      </c>
      <c r="AQ929" s="8"/>
      <c r="AR929" s="8" t="str">
        <f ca="1">IFERROR(__xludf.DUMMYFUNCTION("""COMPUTED_VALUE"""),"Outside/Off-Property")</f>
        <v>Outside/Off-Property</v>
      </c>
      <c r="AS929" s="8">
        <f ca="1">IFERROR(__xludf.DUMMYFUNCTION("""COMPUTED_VALUE"""),99)</f>
        <v>99</v>
      </c>
      <c r="AT929" s="8" t="str">
        <f ca="1">IFERROR(__xludf.DUMMYFUNCTION("""COMPUTED_VALUE"""),"No")</f>
        <v>No</v>
      </c>
      <c r="AU929" s="8">
        <f ca="1">IFERROR(__xludf.DUMMYFUNCTION("""COMPUTED_VALUE"""),45.528665)</f>
        <v>45.528664999999997</v>
      </c>
      <c r="AV929" s="8">
        <f ca="1">IFERROR(__xludf.DUMMYFUNCTION("""COMPUTED_VALUE"""),-122.401612)</f>
        <v>-122.401612</v>
      </c>
      <c r="AW929" s="8"/>
      <c r="AX929" s="8">
        <f ca="1">IFERROR(__xludf.DUMMYFUNCTION("""COMPUTED_VALUE"""),97060)</f>
        <v>97060</v>
      </c>
    </row>
    <row r="930" spans="1:50" ht="165" x14ac:dyDescent="0.2">
      <c r="A930" s="8" t="str">
        <f ca="1">IFERROR(__xludf.DUMMYFUNCTION("""COMPUTED_VALUE"""),"20221011KSSAS")</f>
        <v>20221011KSSAS</v>
      </c>
      <c r="B930" s="8">
        <f ca="1">IFERROR(__xludf.DUMMYFUNCTION("""COMPUTED_VALUE"""),10)</f>
        <v>10</v>
      </c>
      <c r="C930" s="8">
        <f ca="1">IFERROR(__xludf.DUMMYFUNCTION("""COMPUTED_VALUE"""),11)</f>
        <v>11</v>
      </c>
      <c r="D930" s="8">
        <f ca="1">IFERROR(__xludf.DUMMYFUNCTION("""COMPUTED_VALUE"""),2022)</f>
        <v>2022</v>
      </c>
      <c r="E930" s="9">
        <f ca="1">IFERROR(__xludf.DUMMYFUNCTION("""COMPUTED_VALUE"""),44845)</f>
        <v>44845</v>
      </c>
      <c r="F930" s="8" t="str">
        <f ca="1">IFERROR(__xludf.DUMMYFUNCTION("""COMPUTED_VALUE"""),"Salina South High School")</f>
        <v>Salina South High School</v>
      </c>
      <c r="G930" s="8">
        <f ca="1">IFERROR(__xludf.DUMMYFUNCTION("""COMPUTED_VALUE"""),0)</f>
        <v>0</v>
      </c>
      <c r="H930" s="8">
        <f ca="1">IFERROR(__xludf.DUMMYFUNCTION("""COMPUTED_VALUE"""),0)</f>
        <v>0</v>
      </c>
      <c r="I930" s="8">
        <f ca="1">IFERROR(__xludf.DUMMYFUNCTION("""COMPUTED_VALUE"""),0)</f>
        <v>0</v>
      </c>
      <c r="J930" s="8">
        <f ca="1">IFERROR(__xludf.DUMMYFUNCTION("""COMPUTED_VALUE"""),0)</f>
        <v>0</v>
      </c>
      <c r="K930" s="8" t="str">
        <f ca="1">IFERROR(__xludf.DUMMYFUNCTION("""COMPUTED_VALUE"""),"https://www.kwch.com/2022/10/12/salina-police-investigate-after-shot-fired-high-school-parking-lot/
https://www.ksal.com/shot-fired-in-school-parking-lot/
https://www.kwch.com/2022/10/12/alleged-shooter-custody-after-shot-fired-salina-south-high/")</f>
        <v>https://www.kwch.com/2022/10/12/salina-police-investigate-after-shot-fired-high-school-parking-lot/
https://www.ksal.com/shot-fired-in-school-parking-lot/
https://www.kwch.com/2022/10/12/alleged-shooter-custody-after-shot-fired-salina-south-high/</v>
      </c>
      <c r="L930" s="8">
        <f ca="1">IFERROR(__xludf.DUMMYFUNCTION("""COMPUTED_VALUE"""),2)</f>
        <v>2</v>
      </c>
      <c r="M930" s="8" t="str">
        <f ca="1">IFERROR(__xludf.DUMMYFUNCTION("""COMPUTED_VALUE"""),"Local")</f>
        <v>Local</v>
      </c>
      <c r="N930" s="8">
        <f ca="1">IFERROR(__xludf.DUMMYFUNCTION("""COMPUTED_VALUE"""),4)</f>
        <v>4</v>
      </c>
      <c r="O930" s="8" t="str">
        <f ca="1">IFERROR(__xludf.DUMMYFUNCTION("""COMPUTED_VALUE"""),"Fall")</f>
        <v>Fall</v>
      </c>
      <c r="P930" s="8" t="str">
        <f ca="1">IFERROR(__xludf.DUMMYFUNCTION("""COMPUTED_VALUE"""),"Salina")</f>
        <v>Salina</v>
      </c>
      <c r="Q930" s="8" t="str">
        <f ca="1">IFERROR(__xludf.DUMMYFUNCTION("""COMPUTED_VALUE"""),"KS")</f>
        <v>KS</v>
      </c>
      <c r="R930" s="8" t="str">
        <f ca="1">IFERROR(__xludf.DUMMYFUNCTION("""COMPUTED_VALUE"""),"High")</f>
        <v>High</v>
      </c>
      <c r="S930" s="8" t="str">
        <f ca="1">IFERROR(__xludf.DUMMYFUNCTION("""COMPUTED_VALUE"""),"Parking Lot")</f>
        <v>Parking Lot</v>
      </c>
      <c r="T930" s="8" t="str">
        <f ca="1">IFERROR(__xludf.DUMMYFUNCTION("""COMPUTED_VALUE"""),"Outside on School Property")</f>
        <v>Outside on School Property</v>
      </c>
      <c r="U930" s="8" t="str">
        <f ca="1">IFERROR(__xludf.DUMMYFUNCTION("""COMPUTED_VALUE"""),"Yes")</f>
        <v>Yes</v>
      </c>
      <c r="V930" s="8" t="str">
        <f ca="1">IFERROR(__xludf.DUMMYFUNCTION("""COMPUTED_VALUE"""),"Dismissal")</f>
        <v>Dismissal</v>
      </c>
      <c r="W930" s="11">
        <f ca="1">IFERROR(__xludf.DUMMYFUNCTION("""COMPUTED_VALUE"""),0.625)</f>
        <v>0.625</v>
      </c>
      <c r="X930" s="8">
        <f ca="1">IFERROR(__xludf.DUMMYFUNCTION("""COMPUTED_VALUE"""),1)</f>
        <v>1</v>
      </c>
      <c r="Y930" s="12" t="str">
        <f ca="1">IFERROR(__xludf.DUMMYFUNCTION("""COMPUTED_VALUE"""),"Shots fired during dismissal,")</f>
        <v>Shots fired during dismissal,</v>
      </c>
      <c r="Z930" s="12" t="str">
        <f ca="1">IFERROR(__xludf.DUMMYFUNCTION("""COMPUTED_VALUE"""),"Shot fired in the parking lot during dismissal. No injuries. A vehicle occupied by multiple teens was leaving the west parking lot of the school. Just before turning east onto E. Magnolia, an occupant of the vehicle was allegedly seen firing a weapon from"&amp;" the passenger side of the car in the direction of the school. The alleged driver of the vehicle is a 17-year-old boy, who is a student at the school. Detectives also claim that a 16-year-old who is not a student at Salina South was the person who fired t"&amp;"he handgun and that a 15-year-old student at Salina South was identified as having possessed the gun in the vehicle while on school property. ")</f>
        <v xml:space="preserve">Shot fired in the parking lot during dismissal. No injuries. A vehicle occupied by multiple teens was leaving the west parking lot of the school. Just before turning east onto E. Magnolia, an occupant of the vehicle was allegedly seen firing a weapon from the passenger side of the car in the direction of the school. The alleged driver of the vehicle is a 17-year-old boy, who is a student at the school. Detectives also claim that a 16-year-old who is not a student at Salina South was the person who fired the handgun and that a 15-year-old student at Salina South was identified as having possessed the gun in the vehicle while on school property. </v>
      </c>
      <c r="AA930" s="8"/>
      <c r="AB930" s="8"/>
      <c r="AC930" s="8" t="str">
        <f ca="1">IFERROR(__xludf.DUMMYFUNCTION("""COMPUTED_VALUE"""),"Yes")</f>
        <v>Yes</v>
      </c>
      <c r="AD930" s="8"/>
      <c r="AE930" s="8" t="str">
        <f ca="1">IFERROR(__xludf.DUMMYFUNCTION("""COMPUTED_VALUE"""),"No")</f>
        <v>No</v>
      </c>
      <c r="AF930" s="8"/>
      <c r="AG930" s="8" t="str">
        <f ca="1">IFERROR(__xludf.DUMMYFUNCTION("""COMPUTED_VALUE"""),"No")</f>
        <v>No</v>
      </c>
      <c r="AH930" s="8" t="str">
        <f ca="1">IFERROR(__xludf.DUMMYFUNCTION("""COMPUTED_VALUE"""),"No")</f>
        <v>No</v>
      </c>
      <c r="AI930" s="8" t="str">
        <f ca="1">IFERROR(__xludf.DUMMYFUNCTION("""COMPUTED_VALUE"""),"No")</f>
        <v>No</v>
      </c>
      <c r="AJ930" s="8" t="str">
        <f ca="1">IFERROR(__xludf.DUMMYFUNCTION("""COMPUTED_VALUE"""),"No")</f>
        <v>No</v>
      </c>
      <c r="AK930" s="8" t="str">
        <f ca="1">IFERROR(__xludf.DUMMYFUNCTION("""COMPUTED_VALUE"""),"No")</f>
        <v>No</v>
      </c>
      <c r="AL930" s="8"/>
      <c r="AM930" s="8" t="str">
        <f ca="1">IFERROR(__xludf.DUMMYFUNCTION("""COMPUTED_VALUE"""),"No")</f>
        <v>No</v>
      </c>
      <c r="AN930" s="8" t="str">
        <f ca="1">IFERROR(__xludf.DUMMYFUNCTION("""COMPUTED_VALUE"""),"Outside")</f>
        <v>Outside</v>
      </c>
      <c r="AO930" s="8" t="str">
        <f ca="1">IFERROR(__xludf.DUMMYFUNCTION("""COMPUTED_VALUE"""),"No")</f>
        <v>No</v>
      </c>
      <c r="AP930" s="8"/>
      <c r="AQ930" s="8"/>
      <c r="AR930" s="8" t="str">
        <f ca="1">IFERROR(__xludf.DUMMYFUNCTION("""COMPUTED_VALUE"""),"Outside/Off-Property")</f>
        <v>Outside/Off-Property</v>
      </c>
      <c r="AS930" s="8">
        <f ca="1">IFERROR(__xludf.DUMMYFUNCTION("""COMPUTED_VALUE"""),1)</f>
        <v>1</v>
      </c>
      <c r="AT930" s="8"/>
      <c r="AU930" s="8">
        <f ca="1">IFERROR(__xludf.DUMMYFUNCTION("""COMPUTED_VALUE"""),38.797567)</f>
        <v>38.797567000000001</v>
      </c>
      <c r="AV930" s="8">
        <f ca="1">IFERROR(__xludf.DUMMYFUNCTION("""COMPUTED_VALUE"""),-97.599245)</f>
        <v>-97.599244999999996</v>
      </c>
      <c r="AW930" s="8"/>
      <c r="AX930" s="8">
        <f ca="1">IFERROR(__xludf.DUMMYFUNCTION("""COMPUTED_VALUE"""),67401)</f>
        <v>67401</v>
      </c>
    </row>
    <row r="931" spans="1:50" ht="120" x14ac:dyDescent="0.2">
      <c r="A931" s="8" t="str">
        <f ca="1">IFERROR(__xludf.DUMMYFUNCTION("""COMPUTED_VALUE"""),"20221010WIJAM")</f>
        <v>20221010WIJAM</v>
      </c>
      <c r="B931" s="8">
        <f ca="1">IFERROR(__xludf.DUMMYFUNCTION("""COMPUTED_VALUE"""),10)</f>
        <v>10</v>
      </c>
      <c r="C931" s="8">
        <f ca="1">IFERROR(__xludf.DUMMYFUNCTION("""COMPUTED_VALUE"""),10)</f>
        <v>10</v>
      </c>
      <c r="D931" s="8">
        <f ca="1">IFERROR(__xludf.DUMMYFUNCTION("""COMPUTED_VALUE"""),2022)</f>
        <v>2022</v>
      </c>
      <c r="E931" s="9">
        <f ca="1">IFERROR(__xludf.DUMMYFUNCTION("""COMPUTED_VALUE"""),44844)</f>
        <v>44844</v>
      </c>
      <c r="F931" s="8" t="str">
        <f ca="1">IFERROR(__xludf.DUMMYFUNCTION("""COMPUTED_VALUE"""),"James Madison Academic Campus")</f>
        <v>James Madison Academic Campus</v>
      </c>
      <c r="G931" s="8">
        <f ca="1">IFERROR(__xludf.DUMMYFUNCTION("""COMPUTED_VALUE"""),0)</f>
        <v>0</v>
      </c>
      <c r="H931" s="8">
        <f ca="1">IFERROR(__xludf.DUMMYFUNCTION("""COMPUTED_VALUE"""),1)</f>
        <v>1</v>
      </c>
      <c r="I931" s="8">
        <f ca="1">IFERROR(__xludf.DUMMYFUNCTION("""COMPUTED_VALUE"""),1)</f>
        <v>1</v>
      </c>
      <c r="J931" s="8">
        <f ca="1">IFERROR(__xludf.DUMMYFUNCTION("""COMPUTED_VALUE"""),0)</f>
        <v>0</v>
      </c>
      <c r="K931" s="8" t="str">
        <f ca="1">IFERROR(__xludf.DUMMYFUNCTION("""COMPUTED_VALUE"""),"https://www.fox6now.com/news/milwaukee-shooting-high-school-teen-accused-shot-gun
https://www.fox6now.com/news/shooting-outside-milwaukee-james-madison-high-school
https://www.cbs58.com/news/mpd-juvenile-shot-outside-james-madison-high-school")</f>
        <v>https://www.fox6now.com/news/milwaukee-shooting-high-school-teen-accused-shot-gun
https://www.fox6now.com/news/shooting-outside-milwaukee-james-madison-high-school
https://www.cbs58.com/news/mpd-juvenile-shot-outside-james-madison-high-school</v>
      </c>
      <c r="L931" s="8">
        <f ca="1">IFERROR(__xludf.DUMMYFUNCTION("""COMPUTED_VALUE"""),5)</f>
        <v>5</v>
      </c>
      <c r="M931" s="8" t="str">
        <f ca="1">IFERROR(__xludf.DUMMYFUNCTION("""COMPUTED_VALUE"""),"Local")</f>
        <v>Local</v>
      </c>
      <c r="N931" s="8">
        <f ca="1">IFERROR(__xludf.DUMMYFUNCTION("""COMPUTED_VALUE"""),4)</f>
        <v>4</v>
      </c>
      <c r="O931" s="8" t="str">
        <f ca="1">IFERROR(__xludf.DUMMYFUNCTION("""COMPUTED_VALUE"""),"Fall")</f>
        <v>Fall</v>
      </c>
      <c r="P931" s="8" t="str">
        <f ca="1">IFERROR(__xludf.DUMMYFUNCTION("""COMPUTED_VALUE"""),"Milwaukee")</f>
        <v>Milwaukee</v>
      </c>
      <c r="Q931" s="8" t="str">
        <f ca="1">IFERROR(__xludf.DUMMYFUNCTION("""COMPUTED_VALUE"""),"WI")</f>
        <v>WI</v>
      </c>
      <c r="R931" s="8" t="str">
        <f ca="1">IFERROR(__xludf.DUMMYFUNCTION("""COMPUTED_VALUE"""),"High")</f>
        <v>High</v>
      </c>
      <c r="S931" s="8" t="str">
        <f ca="1">IFERROR(__xludf.DUMMYFUNCTION("""COMPUTED_VALUE"""),"Front of School")</f>
        <v>Front of School</v>
      </c>
      <c r="T931" s="8" t="str">
        <f ca="1">IFERROR(__xludf.DUMMYFUNCTION("""COMPUTED_VALUE"""),"Outside on School Property")</f>
        <v>Outside on School Property</v>
      </c>
      <c r="U931" s="8" t="str">
        <f ca="1">IFERROR(__xludf.DUMMYFUNCTION("""COMPUTED_VALUE"""),"Yes")</f>
        <v>Yes</v>
      </c>
      <c r="V931" s="8" t="str">
        <f ca="1">IFERROR(__xludf.DUMMYFUNCTION("""COMPUTED_VALUE"""),"Dismissal")</f>
        <v>Dismissal</v>
      </c>
      <c r="W931" s="11">
        <f ca="1">IFERROR(__xludf.DUMMYFUNCTION("""COMPUTED_VALUE"""),0.625)</f>
        <v>0.625</v>
      </c>
      <c r="X931" s="8">
        <f ca="1">IFERROR(__xludf.DUMMYFUNCTION("""COMPUTED_VALUE"""),1)</f>
        <v>1</v>
      </c>
      <c r="Y931" s="12" t="str">
        <f ca="1">IFERROR(__xludf.DUMMYFUNCTION("""COMPUTED_VALUE"""),"Shots fired during dismissal, teen wounded")</f>
        <v>Shots fired during dismissal, teen wounded</v>
      </c>
      <c r="Z931" s="12" t="str">
        <f ca="1">IFERROR(__xludf.DUMMYFUNCTION("""COMPUTED_VALUE"""),"5 shots were fired in front of the school while students were waiting for buses. Students ran back into the school. A teen (non-student) was wounded. Crowd of students were outside Madison High (WI) when a teen hit a student with a gun. 
Gun fell to the "&amp;"ground and was picked up by someone else – who fired shot at the attacker.Teens involved had ongoing dispute from a fight over the summer.")</f>
        <v>5 shots were fired in front of the school while students were waiting for buses. Students ran back into the school. A teen (non-student) was wounded. Crowd of students were outside Madison High (WI) when a teen hit a student with a gun. 
Gun fell to the ground and was picked up by someone else – who fired shot at the attacker.Teens involved had ongoing dispute from a fight over the summer.</v>
      </c>
      <c r="AA931" s="8"/>
      <c r="AB931" s="8"/>
      <c r="AC931" s="8" t="str">
        <f ca="1">IFERROR(__xludf.DUMMYFUNCTION("""COMPUTED_VALUE"""),"Yes")</f>
        <v>Yes</v>
      </c>
      <c r="AD931" s="8"/>
      <c r="AE931" s="8" t="str">
        <f ca="1">IFERROR(__xludf.DUMMYFUNCTION("""COMPUTED_VALUE"""),"No")</f>
        <v>No</v>
      </c>
      <c r="AF931" s="8"/>
      <c r="AG931" s="8" t="str">
        <f ca="1">IFERROR(__xludf.DUMMYFUNCTION("""COMPUTED_VALUE"""),"No")</f>
        <v>No</v>
      </c>
      <c r="AH931" s="8" t="str">
        <f ca="1">IFERROR(__xludf.DUMMYFUNCTION("""COMPUTED_VALUE"""),"No")</f>
        <v>No</v>
      </c>
      <c r="AI931" s="8" t="str">
        <f ca="1">IFERROR(__xludf.DUMMYFUNCTION("""COMPUTED_VALUE"""),"No")</f>
        <v>No</v>
      </c>
      <c r="AJ931" s="8" t="str">
        <f ca="1">IFERROR(__xludf.DUMMYFUNCTION("""COMPUTED_VALUE"""),"No")</f>
        <v>No</v>
      </c>
      <c r="AK931" s="8" t="str">
        <f ca="1">IFERROR(__xludf.DUMMYFUNCTION("""COMPUTED_VALUE"""),"No")</f>
        <v>No</v>
      </c>
      <c r="AL931" s="8"/>
      <c r="AM931" s="8" t="str">
        <f ca="1">IFERROR(__xludf.DUMMYFUNCTION("""COMPUTED_VALUE"""),"No")</f>
        <v>No</v>
      </c>
      <c r="AN931" s="8" t="str">
        <f ca="1">IFERROR(__xludf.DUMMYFUNCTION("""COMPUTED_VALUE"""),"Outside")</f>
        <v>Outside</v>
      </c>
      <c r="AO931" s="8" t="str">
        <f ca="1">IFERROR(__xludf.DUMMYFUNCTION("""COMPUTED_VALUE"""),"No")</f>
        <v>No</v>
      </c>
      <c r="AP931" s="8"/>
      <c r="AQ931" s="8"/>
      <c r="AR931" s="8" t="str">
        <f ca="1">IFERROR(__xludf.DUMMYFUNCTION("""COMPUTED_VALUE"""),"Outside/Off-Property")</f>
        <v>Outside/Off-Property</v>
      </c>
      <c r="AS931" s="8">
        <f ca="1">IFERROR(__xludf.DUMMYFUNCTION("""COMPUTED_VALUE"""),5)</f>
        <v>5</v>
      </c>
      <c r="AT931" s="8"/>
      <c r="AU931" s="8">
        <f ca="1">IFERROR(__xludf.DUMMYFUNCTION("""COMPUTED_VALUE"""),43.126743)</f>
        <v>43.126742999999998</v>
      </c>
      <c r="AV931" s="8">
        <f ca="1">IFERROR(__xludf.DUMMYFUNCTION("""COMPUTED_VALUE"""),-88.012204)</f>
        <v>-88.012203999999997</v>
      </c>
      <c r="AW931" s="8"/>
      <c r="AX931" s="8">
        <f ca="1">IFERROR(__xludf.DUMMYFUNCTION("""COMPUTED_VALUE"""),53218)</f>
        <v>53218</v>
      </c>
    </row>
    <row r="932" spans="1:50" ht="135" x14ac:dyDescent="0.2">
      <c r="A932" s="8" t="str">
        <f ca="1">IFERROR(__xludf.DUMMYFUNCTION("""COMPUTED_VALUE"""),"20221009MAWAA")</f>
        <v>20221009MAWAA</v>
      </c>
      <c r="B932" s="8">
        <f ca="1">IFERROR(__xludf.DUMMYFUNCTION("""COMPUTED_VALUE"""),10)</f>
        <v>10</v>
      </c>
      <c r="C932" s="8">
        <f ca="1">IFERROR(__xludf.DUMMYFUNCTION("""COMPUTED_VALUE"""),9)</f>
        <v>9</v>
      </c>
      <c r="D932" s="8">
        <f ca="1">IFERROR(__xludf.DUMMYFUNCTION("""COMPUTED_VALUE"""),2022)</f>
        <v>2022</v>
      </c>
      <c r="E932" s="9">
        <f ca="1">IFERROR(__xludf.DUMMYFUNCTION("""COMPUTED_VALUE"""),44843)</f>
        <v>44843</v>
      </c>
      <c r="F932" s="8" t="str">
        <f ca="1">IFERROR(__xludf.DUMMYFUNCTION("""COMPUTED_VALUE"""),"Walton Elementary School")</f>
        <v>Walton Elementary School</v>
      </c>
      <c r="G932" s="8">
        <f ca="1">IFERROR(__xludf.DUMMYFUNCTION("""COMPUTED_VALUE"""),0)</f>
        <v>0</v>
      </c>
      <c r="H932" s="8">
        <f ca="1">IFERROR(__xludf.DUMMYFUNCTION("""COMPUTED_VALUE"""),1)</f>
        <v>1</v>
      </c>
      <c r="I932" s="8">
        <f ca="1">IFERROR(__xludf.DUMMYFUNCTION("""COMPUTED_VALUE"""),1)</f>
        <v>1</v>
      </c>
      <c r="J932" s="8">
        <f ca="1">IFERROR(__xludf.DUMMYFUNCTION("""COMPUTED_VALUE"""),0)</f>
        <v>0</v>
      </c>
      <c r="K932" s="8" t="str">
        <f ca="1">IFERROR(__xludf.DUMMYFUNCTION("""COMPUTED_VALUE"""),"https://www.wmtw.com/article/police-man-shot-outside-auburn-elementary-school/41568253#
https://www.wabi.tv/2022/10/09/police-investigating-auburn-shooting-outside-elementary-school/")</f>
        <v>https://www.wmtw.com/article/police-man-shot-outside-auburn-elementary-school/41568253#
https://www.wabi.tv/2022/10/09/police-investigating-auburn-shooting-outside-elementary-school/</v>
      </c>
      <c r="L932" s="8">
        <f ca="1">IFERROR(__xludf.DUMMYFUNCTION("""COMPUTED_VALUE"""),5)</f>
        <v>5</v>
      </c>
      <c r="M932" s="8" t="str">
        <f ca="1">IFERROR(__xludf.DUMMYFUNCTION("""COMPUTED_VALUE"""),"Local")</f>
        <v>Local</v>
      </c>
      <c r="N932" s="8">
        <f ca="1">IFERROR(__xludf.DUMMYFUNCTION("""COMPUTED_VALUE"""),4)</f>
        <v>4</v>
      </c>
      <c r="O932" s="8" t="str">
        <f ca="1">IFERROR(__xludf.DUMMYFUNCTION("""COMPUTED_VALUE"""),"Fall")</f>
        <v>Fall</v>
      </c>
      <c r="P932" s="8" t="str">
        <f ca="1">IFERROR(__xludf.DUMMYFUNCTION("""COMPUTED_VALUE"""),"Auburn")</f>
        <v>Auburn</v>
      </c>
      <c r="Q932" s="8" t="str">
        <f ca="1">IFERROR(__xludf.DUMMYFUNCTION("""COMPUTED_VALUE"""),"ME")</f>
        <v>ME</v>
      </c>
      <c r="R932" s="8" t="str">
        <f ca="1">IFERROR(__xludf.DUMMYFUNCTION("""COMPUTED_VALUE"""),"Elementary")</f>
        <v>Elementary</v>
      </c>
      <c r="S932" s="8" t="str">
        <f ca="1">IFERROR(__xludf.DUMMYFUNCTION("""COMPUTED_VALUE"""),"Beside Building")</f>
        <v>Beside Building</v>
      </c>
      <c r="T932" s="8" t="str">
        <f ca="1">IFERROR(__xludf.DUMMYFUNCTION("""COMPUTED_VALUE"""),"Outside on School Property")</f>
        <v>Outside on School Property</v>
      </c>
      <c r="U932" s="8" t="str">
        <f ca="1">IFERROR(__xludf.DUMMYFUNCTION("""COMPUTED_VALUE"""),"No")</f>
        <v>No</v>
      </c>
      <c r="V932" s="8" t="str">
        <f ca="1">IFERROR(__xludf.DUMMYFUNCTION("""COMPUTED_VALUE"""),"Night")</f>
        <v>Night</v>
      </c>
      <c r="W932" s="11">
        <f ca="1">IFERROR(__xludf.DUMMYFUNCTION("""COMPUTED_VALUE"""),0.0833333333333333)</f>
        <v>8.3333333333333301E-2</v>
      </c>
      <c r="X932" s="8">
        <f ca="1">IFERROR(__xludf.DUMMYFUNCTION("""COMPUTED_VALUE"""),1)</f>
        <v>1</v>
      </c>
      <c r="Y932" s="12" t="str">
        <f ca="1">IFERROR(__xludf.DUMMYFUNCTION("""COMPUTED_VALUE"""),"Man shot near door to elementary school")</f>
        <v>Man shot near door to elementary school</v>
      </c>
      <c r="Z932" s="12" t="str">
        <f ca="1">IFERROR(__xludf.DUMMYFUNCTION("""COMPUTED_VALUE"""),"Auburn and Lewiston police are investigating a shooting that occurred Sunday morning outside an elementary school. Lewiston Police received the call around 2 a.m. from a man saying he’d been shot. Officers found the 20-year-old suffering from a gunshot wo"&amp;"und to his stomach. He was taken to Central Maine Medical Center with non-life-threatening injuries. Auburn Police say they found evidence of the shooting at the rear entrance at the Walton Elementary School.")</f>
        <v>Auburn and Lewiston police are investigating a shooting that occurred Sunday morning outside an elementary school. Lewiston Police received the call around 2 a.m. from a man saying he’d been shot. Officers found the 20-year-old suffering from a gunshot wound to his stomach. He was taken to Central Maine Medical Center with non-life-threatening injuries. Auburn Police say they found evidence of the shooting at the rear entrance at the Walton Elementary School.</v>
      </c>
      <c r="AA932" s="8"/>
      <c r="AB932" s="8"/>
      <c r="AC932" s="8" t="str">
        <f ca="1">IFERROR(__xludf.DUMMYFUNCTION("""COMPUTED_VALUE"""),"No")</f>
        <v>No</v>
      </c>
      <c r="AD932" s="8"/>
      <c r="AE932" s="8" t="str">
        <f ca="1">IFERROR(__xludf.DUMMYFUNCTION("""COMPUTED_VALUE"""),"No")</f>
        <v>No</v>
      </c>
      <c r="AF932" s="8"/>
      <c r="AG932" s="8" t="str">
        <f ca="1">IFERROR(__xludf.DUMMYFUNCTION("""COMPUTED_VALUE"""),"No")</f>
        <v>No</v>
      </c>
      <c r="AH932" s="8" t="str">
        <f ca="1">IFERROR(__xludf.DUMMYFUNCTION("""COMPUTED_VALUE"""),"No")</f>
        <v>No</v>
      </c>
      <c r="AI932" s="8" t="str">
        <f ca="1">IFERROR(__xludf.DUMMYFUNCTION("""COMPUTED_VALUE"""),"No")</f>
        <v>No</v>
      </c>
      <c r="AJ932" s="8" t="str">
        <f ca="1">IFERROR(__xludf.DUMMYFUNCTION("""COMPUTED_VALUE"""),"No")</f>
        <v>No</v>
      </c>
      <c r="AK932" s="8" t="str">
        <f ca="1">IFERROR(__xludf.DUMMYFUNCTION("""COMPUTED_VALUE"""),"No")</f>
        <v>No</v>
      </c>
      <c r="AL932" s="8"/>
      <c r="AM932" s="8" t="str">
        <f ca="1">IFERROR(__xludf.DUMMYFUNCTION("""COMPUTED_VALUE"""),"No")</f>
        <v>No</v>
      </c>
      <c r="AN932" s="8" t="str">
        <f ca="1">IFERROR(__xludf.DUMMYFUNCTION("""COMPUTED_VALUE"""),"Outside")</f>
        <v>Outside</v>
      </c>
      <c r="AO932" s="8" t="str">
        <f ca="1">IFERROR(__xludf.DUMMYFUNCTION("""COMPUTED_VALUE"""),"No")</f>
        <v>No</v>
      </c>
      <c r="AP932" s="8"/>
      <c r="AQ932" s="8"/>
      <c r="AR932" s="8" t="str">
        <f ca="1">IFERROR(__xludf.DUMMYFUNCTION("""COMPUTED_VALUE"""),"Outside/Off-Property")</f>
        <v>Outside/Off-Property</v>
      </c>
      <c r="AS932" s="8"/>
      <c r="AT932" s="8"/>
      <c r="AU932" s="8">
        <f ca="1">IFERROR(__xludf.DUMMYFUNCTION("""COMPUTED_VALUE"""),44.081406)</f>
        <v>44.081406000000001</v>
      </c>
      <c r="AV932" s="8">
        <f ca="1">IFERROR(__xludf.DUMMYFUNCTION("""COMPUTED_VALUE"""),-70.2182)</f>
        <v>-70.218199999999996</v>
      </c>
      <c r="AW932" s="8"/>
      <c r="AX932" s="8">
        <f ca="1">IFERROR(__xludf.DUMMYFUNCTION("""COMPUTED_VALUE"""),4210)</f>
        <v>4210</v>
      </c>
    </row>
    <row r="933" spans="1:50" ht="45" x14ac:dyDescent="0.2">
      <c r="A933" s="8" t="str">
        <f ca="1">IFERROR(__xludf.DUMMYFUNCTION("""COMPUTED_VALUE"""),"20221008MOJCK")</f>
        <v>20221008MOJCK</v>
      </c>
      <c r="B933" s="8">
        <f ca="1">IFERROR(__xludf.DUMMYFUNCTION("""COMPUTED_VALUE"""),10)</f>
        <v>10</v>
      </c>
      <c r="C933" s="8">
        <f ca="1">IFERROR(__xludf.DUMMYFUNCTION("""COMPUTED_VALUE"""),8)</f>
        <v>8</v>
      </c>
      <c r="D933" s="8">
        <f ca="1">IFERROR(__xludf.DUMMYFUNCTION("""COMPUTED_VALUE"""),2022)</f>
        <v>2022</v>
      </c>
      <c r="E933" s="9">
        <f ca="1">IFERROR(__xludf.DUMMYFUNCTION("""COMPUTED_VALUE"""),44842)</f>
        <v>44842</v>
      </c>
      <c r="F933" s="8" t="str">
        <f ca="1">IFERROR(__xludf.DUMMYFUNCTION("""COMPUTED_VALUE"""),"J. C. Harmon High School")</f>
        <v>J. C. Harmon High School</v>
      </c>
      <c r="G933" s="8">
        <f ca="1">IFERROR(__xludf.DUMMYFUNCTION("""COMPUTED_VALUE"""),0)</f>
        <v>0</v>
      </c>
      <c r="H933" s="8">
        <f ca="1">IFERROR(__xludf.DUMMYFUNCTION("""COMPUTED_VALUE"""),0)</f>
        <v>0</v>
      </c>
      <c r="I933" s="8">
        <f ca="1">IFERROR(__xludf.DUMMYFUNCTION("""COMPUTED_VALUE"""),0)</f>
        <v>0</v>
      </c>
      <c r="J933" s="8">
        <f ca="1">IFERROR(__xludf.DUMMYFUNCTION("""COMPUTED_VALUE"""),0)</f>
        <v>0</v>
      </c>
      <c r="K933" s="8" t="str">
        <f ca="1">IFERROR(__xludf.DUMMYFUNCTION("""COMPUTED_VALUE"""),"https://www.kshb.com/news/local-news/shots-fired-outside-j-c-harmon-high-school-homecoming-on-saturday
https://www.kmbc.com/article/jc-harmon-high-school-kansas-city-kansas-homecoming-shots-fired-parking-lot/41576357#")</f>
        <v>https://www.kshb.com/news/local-news/shots-fired-outside-j-c-harmon-high-school-homecoming-on-saturday
https://www.kmbc.com/article/jc-harmon-high-school-kansas-city-kansas-homecoming-shots-fired-parking-lot/41576357#</v>
      </c>
      <c r="L933" s="8">
        <f ca="1">IFERROR(__xludf.DUMMYFUNCTION("""COMPUTED_VALUE"""),5)</f>
        <v>5</v>
      </c>
      <c r="M933" s="8" t="str">
        <f ca="1">IFERROR(__xludf.DUMMYFUNCTION("""COMPUTED_VALUE"""),"Local")</f>
        <v>Local</v>
      </c>
      <c r="N933" s="8">
        <f ca="1">IFERROR(__xludf.DUMMYFUNCTION("""COMPUTED_VALUE"""),4)</f>
        <v>4</v>
      </c>
      <c r="O933" s="8" t="str">
        <f ca="1">IFERROR(__xludf.DUMMYFUNCTION("""COMPUTED_VALUE"""),"Fall")</f>
        <v>Fall</v>
      </c>
      <c r="P933" s="8" t="str">
        <f ca="1">IFERROR(__xludf.DUMMYFUNCTION("""COMPUTED_VALUE"""),"Kansas City")</f>
        <v>Kansas City</v>
      </c>
      <c r="Q933" s="8" t="str">
        <f ca="1">IFERROR(__xludf.DUMMYFUNCTION("""COMPUTED_VALUE"""),"KS")</f>
        <v>KS</v>
      </c>
      <c r="R933" s="8" t="str">
        <f ca="1">IFERROR(__xludf.DUMMYFUNCTION("""COMPUTED_VALUE"""),"High")</f>
        <v>High</v>
      </c>
      <c r="S933" s="8" t="str">
        <f ca="1">IFERROR(__xludf.DUMMYFUNCTION("""COMPUTED_VALUE"""),"Parking Lot")</f>
        <v>Parking Lot</v>
      </c>
      <c r="T933" s="8" t="str">
        <f ca="1">IFERROR(__xludf.DUMMYFUNCTION("""COMPUTED_VALUE"""),"Outside on School Property")</f>
        <v>Outside on School Property</v>
      </c>
      <c r="U933" s="8" t="str">
        <f ca="1">IFERROR(__xludf.DUMMYFUNCTION("""COMPUTED_VALUE"""),"No")</f>
        <v>No</v>
      </c>
      <c r="V933" s="8" t="str">
        <f ca="1">IFERROR(__xludf.DUMMYFUNCTION("""COMPUTED_VALUE"""),"School Event")</f>
        <v>School Event</v>
      </c>
      <c r="W933" s="11">
        <f ca="1">IFERROR(__xludf.DUMMYFUNCTION("""COMPUTED_VALUE"""),0.888888888888888)</f>
        <v>0.88888888888888795</v>
      </c>
      <c r="X933" s="8">
        <f ca="1">IFERROR(__xludf.DUMMYFUNCTION("""COMPUTED_VALUE"""),1)</f>
        <v>1</v>
      </c>
      <c r="Y933" s="12" t="str">
        <f ca="1">IFERROR(__xludf.DUMMYFUNCTION("""COMPUTED_VALUE"""),"Shots fired in parking lot during homecoming dance")</f>
        <v>Shots fired in parking lot during homecoming dance</v>
      </c>
      <c r="Z933" s="12" t="str">
        <f ca="1">IFERROR(__xludf.DUMMYFUNCTION("""COMPUTED_VALUE"""),"Following multiple fights, school officials dismissed students from the homecoming dance. Shots were fired in the parking lot. No injuries.")</f>
        <v>Following multiple fights, school officials dismissed students from the homecoming dance. Shots were fired in the parking lot. No injuries.</v>
      </c>
      <c r="AA933" s="8" t="str">
        <f ca="1">IFERROR(__xludf.DUMMYFUNCTION("""COMPUTED_VALUE"""),"Escalation of Dispute")</f>
        <v>Escalation of Dispute</v>
      </c>
      <c r="AB933" s="8"/>
      <c r="AC933" s="8" t="str">
        <f ca="1">IFERROR(__xludf.DUMMYFUNCTION("""COMPUTED_VALUE"""),"Yes")</f>
        <v>Yes</v>
      </c>
      <c r="AD933" s="8"/>
      <c r="AE933" s="8" t="str">
        <f ca="1">IFERROR(__xludf.DUMMYFUNCTION("""COMPUTED_VALUE"""),"No")</f>
        <v>No</v>
      </c>
      <c r="AF933" s="8"/>
      <c r="AG933" s="8" t="str">
        <f ca="1">IFERROR(__xludf.DUMMYFUNCTION("""COMPUTED_VALUE"""),"No")</f>
        <v>No</v>
      </c>
      <c r="AH933" s="8" t="str">
        <f ca="1">IFERROR(__xludf.DUMMYFUNCTION("""COMPUTED_VALUE"""),"No")</f>
        <v>No</v>
      </c>
      <c r="AI933" s="8" t="str">
        <f ca="1">IFERROR(__xludf.DUMMYFUNCTION("""COMPUTED_VALUE"""),"No")</f>
        <v>No</v>
      </c>
      <c r="AJ933" s="8" t="str">
        <f ca="1">IFERROR(__xludf.DUMMYFUNCTION("""COMPUTED_VALUE"""),"No")</f>
        <v>No</v>
      </c>
      <c r="AK933" s="8" t="str">
        <f ca="1">IFERROR(__xludf.DUMMYFUNCTION("""COMPUTED_VALUE"""),"No")</f>
        <v>No</v>
      </c>
      <c r="AL933" s="8"/>
      <c r="AM933" s="8" t="str">
        <f ca="1">IFERROR(__xludf.DUMMYFUNCTION("""COMPUTED_VALUE"""),"No")</f>
        <v>No</v>
      </c>
      <c r="AN933" s="8" t="str">
        <f ca="1">IFERROR(__xludf.DUMMYFUNCTION("""COMPUTED_VALUE"""),"Outside")</f>
        <v>Outside</v>
      </c>
      <c r="AO933" s="8" t="str">
        <f ca="1">IFERROR(__xludf.DUMMYFUNCTION("""COMPUTED_VALUE"""),"No")</f>
        <v>No</v>
      </c>
      <c r="AP933" s="8"/>
      <c r="AQ933" s="8"/>
      <c r="AR933" s="8" t="str">
        <f ca="1">IFERROR(__xludf.DUMMYFUNCTION("""COMPUTED_VALUE"""),"Outside/Off-Property")</f>
        <v>Outside/Off-Property</v>
      </c>
      <c r="AS933" s="8">
        <f ca="1">IFERROR(__xludf.DUMMYFUNCTION("""COMPUTED_VALUE"""),99)</f>
        <v>99</v>
      </c>
      <c r="AT933" s="8"/>
      <c r="AU933" s="8">
        <f ca="1">IFERROR(__xludf.DUMMYFUNCTION("""COMPUTED_VALUE"""),39.063195)</f>
        <v>39.063195</v>
      </c>
      <c r="AV933" s="8">
        <f ca="1">IFERROR(__xludf.DUMMYFUNCTION("""COMPUTED_VALUE"""),-94.655952)</f>
        <v>-94.655951999999999</v>
      </c>
      <c r="AW933" s="8"/>
      <c r="AX933" s="8">
        <f ca="1">IFERROR(__xludf.DUMMYFUNCTION("""COMPUTED_VALUE"""),66105)</f>
        <v>66105</v>
      </c>
    </row>
    <row r="934" spans="1:50" ht="105" x14ac:dyDescent="0.2">
      <c r="A934" s="8" t="str">
        <f ca="1">IFERROR(__xludf.DUMMYFUNCTION("""COMPUTED_VALUE"""),"20221007OHWHT")</f>
        <v>20221007OHWHT</v>
      </c>
      <c r="B934" s="8">
        <f ca="1">IFERROR(__xludf.DUMMYFUNCTION("""COMPUTED_VALUE"""),10)</f>
        <v>10</v>
      </c>
      <c r="C934" s="8">
        <f ca="1">IFERROR(__xludf.DUMMYFUNCTION("""COMPUTED_VALUE"""),7)</f>
        <v>7</v>
      </c>
      <c r="D934" s="8">
        <f ca="1">IFERROR(__xludf.DUMMYFUNCTION("""COMPUTED_VALUE"""),2022)</f>
        <v>2022</v>
      </c>
      <c r="E934" s="9">
        <f ca="1">IFERROR(__xludf.DUMMYFUNCTION("""COMPUTED_VALUE"""),44841)</f>
        <v>44841</v>
      </c>
      <c r="F934" s="8" t="str">
        <f ca="1">IFERROR(__xludf.DUMMYFUNCTION("""COMPUTED_VALUE"""),"Whitmer High School")</f>
        <v>Whitmer High School</v>
      </c>
      <c r="G934" s="8">
        <f ca="1">IFERROR(__xludf.DUMMYFUNCTION("""COMPUTED_VALUE"""),0)</f>
        <v>0</v>
      </c>
      <c r="H934" s="8">
        <f ca="1">IFERROR(__xludf.DUMMYFUNCTION("""COMPUTED_VALUE"""),3)</f>
        <v>3</v>
      </c>
      <c r="I934" s="8">
        <f ca="1">IFERROR(__xludf.DUMMYFUNCTION("""COMPUTED_VALUE"""),3)</f>
        <v>3</v>
      </c>
      <c r="J934" s="8">
        <f ca="1">IFERROR(__xludf.DUMMYFUNCTION("""COMPUTED_VALUE"""),0)</f>
        <v>0</v>
      </c>
      <c r="K934" s="10" t="str">
        <f ca="1">IFERROR(__xludf.DUMMYFUNCTION("""COMPUTED_VALUE"""),"https://www.wtol.com/article/news/local/shooting-whitmer-high-school-stadium-during-football-game/512-b90d93d2-707b-4846-9430-89e243b3af52
https://apnews.com/article/sports-football-shootings-ohio-high-school-da5e242248f3a8cfa21765123ef32a5d")</f>
        <v>https://www.wtol.com/article/news/local/shooting-whitmer-high-school-stadium-during-football-game/512-b90d93d2-707b-4846-9430-89e243b3af52
https://apnews.com/article/sports-football-shootings-ohio-high-school-da5e242248f3a8cfa21765123ef32a5d</v>
      </c>
      <c r="L934" s="8">
        <f ca="1">IFERROR(__xludf.DUMMYFUNCTION("""COMPUTED_VALUE"""),100)</f>
        <v>100</v>
      </c>
      <c r="M934" s="8" t="str">
        <f ca="1">IFERROR(__xludf.DUMMYFUNCTION("""COMPUTED_VALUE"""),"National")</f>
        <v>National</v>
      </c>
      <c r="N934" s="8">
        <f ca="1">IFERROR(__xludf.DUMMYFUNCTION("""COMPUTED_VALUE"""),4)</f>
        <v>4</v>
      </c>
      <c r="O934" s="8" t="str">
        <f ca="1">IFERROR(__xludf.DUMMYFUNCTION("""COMPUTED_VALUE"""),"Fall")</f>
        <v>Fall</v>
      </c>
      <c r="P934" s="8" t="str">
        <f ca="1">IFERROR(__xludf.DUMMYFUNCTION("""COMPUTED_VALUE"""),"Toledo")</f>
        <v>Toledo</v>
      </c>
      <c r="Q934" s="8" t="str">
        <f ca="1">IFERROR(__xludf.DUMMYFUNCTION("""COMPUTED_VALUE"""),"OH")</f>
        <v>OH</v>
      </c>
      <c r="R934" s="8" t="str">
        <f ca="1">IFERROR(__xludf.DUMMYFUNCTION("""COMPUTED_VALUE"""),"High")</f>
        <v>High</v>
      </c>
      <c r="S934" s="8" t="str">
        <f ca="1">IFERROR(__xludf.DUMMYFUNCTION("""COMPUTED_VALUE"""),"Football Field/Track")</f>
        <v>Football Field/Track</v>
      </c>
      <c r="T934" s="8" t="str">
        <f ca="1">IFERROR(__xludf.DUMMYFUNCTION("""COMPUTED_VALUE"""),"Outside on School Property")</f>
        <v>Outside on School Property</v>
      </c>
      <c r="U934" s="8" t="str">
        <f ca="1">IFERROR(__xludf.DUMMYFUNCTION("""COMPUTED_VALUE"""),"No")</f>
        <v>No</v>
      </c>
      <c r="V934" s="8" t="str">
        <f ca="1">IFERROR(__xludf.DUMMYFUNCTION("""COMPUTED_VALUE"""),"Sport Event")</f>
        <v>Sport Event</v>
      </c>
      <c r="W934" s="11">
        <f ca="1">IFERROR(__xludf.DUMMYFUNCTION("""COMPUTED_VALUE"""),0.895833333333333)</f>
        <v>0.89583333333333304</v>
      </c>
      <c r="X934" s="8">
        <f ca="1">IFERROR(__xludf.DUMMYFUNCTION("""COMPUTED_VALUE"""),1)</f>
        <v>1</v>
      </c>
      <c r="Y934" s="12" t="str">
        <f ca="1">IFERROR(__xludf.DUMMYFUNCTION("""COMPUTED_VALUE"""),"Shots fired during fight near the gate to the football stadium")</f>
        <v>Shots fired during fight near the gate to the football stadium</v>
      </c>
      <c r="Z934" s="12" t="str">
        <f ca="1">IFERROR(__xludf.DUMMYFUNCTION("""COMPUTED_VALUE"""),"A Whitmer High School student and two adults -- one male, one female -- were shot outside of the Whitmer High School football stadium Friday night. More than 12 gunshots were heard at the southwest corner stadium near the main entrance during the game and"&amp;" people in the stands were seen fleeing. Several bullet casings were seen scattered on the ground behind the field house.")</f>
        <v>A Whitmer High School student and two adults -- one male, one female -- were shot outside of the Whitmer High School football stadium Friday night. More than 12 gunshots were heard at the southwest corner stadium near the main entrance during the game and people in the stands were seen fleeing. Several bullet casings were seen scattered on the ground behind the field house.</v>
      </c>
      <c r="AA934" s="8" t="str">
        <f ca="1">IFERROR(__xludf.DUMMYFUNCTION("""COMPUTED_VALUE"""),"Escalation of Dispute")</f>
        <v>Escalation of Dispute</v>
      </c>
      <c r="AB934" s="8"/>
      <c r="AC934" s="8" t="str">
        <f ca="1">IFERROR(__xludf.DUMMYFUNCTION("""COMPUTED_VALUE"""),"Yes")</f>
        <v>Yes</v>
      </c>
      <c r="AD934" s="8" t="str">
        <f ca="1">IFERROR(__xludf.DUMMYFUNCTION("""COMPUTED_VALUE"""),"Both")</f>
        <v>Both</v>
      </c>
      <c r="AE934" s="8" t="str">
        <f ca="1">IFERROR(__xludf.DUMMYFUNCTION("""COMPUTED_VALUE"""),"No")</f>
        <v>No</v>
      </c>
      <c r="AF934" s="8"/>
      <c r="AG934" s="8" t="str">
        <f ca="1">IFERROR(__xludf.DUMMYFUNCTION("""COMPUTED_VALUE"""),"No")</f>
        <v>No</v>
      </c>
      <c r="AH934" s="8" t="str">
        <f ca="1">IFERROR(__xludf.DUMMYFUNCTION("""COMPUTED_VALUE"""),"No")</f>
        <v>No</v>
      </c>
      <c r="AI934" s="8" t="str">
        <f ca="1">IFERROR(__xludf.DUMMYFUNCTION("""COMPUTED_VALUE"""),"No")</f>
        <v>No</v>
      </c>
      <c r="AJ934" s="8" t="str">
        <f ca="1">IFERROR(__xludf.DUMMYFUNCTION("""COMPUTED_VALUE"""),"No")</f>
        <v>No</v>
      </c>
      <c r="AK934" s="8" t="str">
        <f ca="1">IFERROR(__xludf.DUMMYFUNCTION("""COMPUTED_VALUE"""),"No")</f>
        <v>No</v>
      </c>
      <c r="AL934" s="8" t="str">
        <f ca="1">IFERROR(__xludf.DUMMYFUNCTION("""COMPUTED_VALUE"""),"No")</f>
        <v>No</v>
      </c>
      <c r="AM934" s="8" t="str">
        <f ca="1">IFERROR(__xludf.DUMMYFUNCTION("""COMPUTED_VALUE"""),"No")</f>
        <v>No</v>
      </c>
      <c r="AN934" s="8" t="str">
        <f ca="1">IFERROR(__xludf.DUMMYFUNCTION("""COMPUTED_VALUE"""),"Outside")</f>
        <v>Outside</v>
      </c>
      <c r="AO934" s="8" t="str">
        <f ca="1">IFERROR(__xludf.DUMMYFUNCTION("""COMPUTED_VALUE"""),"No")</f>
        <v>No</v>
      </c>
      <c r="AP934" s="8"/>
      <c r="AQ934" s="8"/>
      <c r="AR934" s="8" t="str">
        <f ca="1">IFERROR(__xludf.DUMMYFUNCTION("""COMPUTED_VALUE"""),"Outside/Off-Property")</f>
        <v>Outside/Off-Property</v>
      </c>
      <c r="AS934" s="8">
        <f ca="1">IFERROR(__xludf.DUMMYFUNCTION("""COMPUTED_VALUE"""),12)</f>
        <v>12</v>
      </c>
      <c r="AT934" s="8"/>
      <c r="AU934" s="8">
        <f ca="1">IFERROR(__xludf.DUMMYFUNCTION("""COMPUTED_VALUE"""),41.720039)</f>
        <v>41.720039</v>
      </c>
      <c r="AV934" s="8">
        <f ca="1">IFERROR(__xludf.DUMMYFUNCTION("""COMPUTED_VALUE"""),-83.611681)</f>
        <v>-83.611681000000004</v>
      </c>
      <c r="AW934" s="8"/>
      <c r="AX934" s="8">
        <f ca="1">IFERROR(__xludf.DUMMYFUNCTION("""COMPUTED_VALUE"""),43613)</f>
        <v>43613</v>
      </c>
    </row>
    <row r="935" spans="1:50" ht="120" x14ac:dyDescent="0.2">
      <c r="A935" s="8" t="str">
        <f ca="1">IFERROR(__xludf.DUMMYFUNCTION("""COMPUTED_VALUE"""),"20221007NCJHG")</f>
        <v>20221007NCJHG</v>
      </c>
      <c r="B935" s="8">
        <f ca="1">IFERROR(__xludf.DUMMYFUNCTION("""COMPUTED_VALUE"""),10)</f>
        <v>10</v>
      </c>
      <c r="C935" s="8">
        <f ca="1">IFERROR(__xludf.DUMMYFUNCTION("""COMPUTED_VALUE"""),7)</f>
        <v>7</v>
      </c>
      <c r="D935" s="8">
        <f ca="1">IFERROR(__xludf.DUMMYFUNCTION("""COMPUTED_VALUE"""),2022)</f>
        <v>2022</v>
      </c>
      <c r="E935" s="9">
        <f ca="1">IFERROR(__xludf.DUMMYFUNCTION("""COMPUTED_VALUE"""),44841)</f>
        <v>44841</v>
      </c>
      <c r="F935" s="8" t="str">
        <f ca="1">IFERROR(__xludf.DUMMYFUNCTION("""COMPUTED_VALUE"""),"J. H. Rose High School")</f>
        <v>J. H. Rose High School</v>
      </c>
      <c r="G935" s="8">
        <f ca="1">IFERROR(__xludf.DUMMYFUNCTION("""COMPUTED_VALUE"""),0)</f>
        <v>0</v>
      </c>
      <c r="H935" s="8">
        <f ca="1">IFERROR(__xludf.DUMMYFUNCTION("""COMPUTED_VALUE"""),1)</f>
        <v>1</v>
      </c>
      <c r="I935" s="8">
        <f ca="1">IFERROR(__xludf.DUMMYFUNCTION("""COMPUTED_VALUE"""),1)</f>
        <v>1</v>
      </c>
      <c r="J935" s="8">
        <f ca="1">IFERROR(__xludf.DUMMYFUNCTION("""COMPUTED_VALUE"""),0)</f>
        <v>0</v>
      </c>
      <c r="K935" s="10" t="str">
        <f ca="1">IFERROR(__xludf.DUMMYFUNCTION("""COMPUTED_VALUE"""),"https://www.witn.com/2022/10/08/student-shot-following-greenville-high-school-football-game/")</f>
        <v>https://www.witn.com/2022/10/08/student-shot-following-greenville-high-school-football-game/</v>
      </c>
      <c r="L935" s="8">
        <f ca="1">IFERROR(__xludf.DUMMYFUNCTION("""COMPUTED_VALUE"""),1)</f>
        <v>1</v>
      </c>
      <c r="M935" s="8" t="str">
        <f ca="1">IFERROR(__xludf.DUMMYFUNCTION("""COMPUTED_VALUE"""),"Local")</f>
        <v>Local</v>
      </c>
      <c r="N935" s="8">
        <f ca="1">IFERROR(__xludf.DUMMYFUNCTION("""COMPUTED_VALUE"""),4)</f>
        <v>4</v>
      </c>
      <c r="O935" s="8" t="str">
        <f ca="1">IFERROR(__xludf.DUMMYFUNCTION("""COMPUTED_VALUE"""),"Fall")</f>
        <v>Fall</v>
      </c>
      <c r="P935" s="8" t="str">
        <f ca="1">IFERROR(__xludf.DUMMYFUNCTION("""COMPUTED_VALUE"""),"Greenville")</f>
        <v>Greenville</v>
      </c>
      <c r="Q935" s="8" t="str">
        <f ca="1">IFERROR(__xludf.DUMMYFUNCTION("""COMPUTED_VALUE"""),"NC")</f>
        <v>NC</v>
      </c>
      <c r="R935" s="8" t="str">
        <f ca="1">IFERROR(__xludf.DUMMYFUNCTION("""COMPUTED_VALUE"""),"High")</f>
        <v>High</v>
      </c>
      <c r="S935" s="8" t="str">
        <f ca="1">IFERROR(__xludf.DUMMYFUNCTION("""COMPUTED_VALUE"""),"Football Field/Track")</f>
        <v>Football Field/Track</v>
      </c>
      <c r="T935" s="8" t="str">
        <f ca="1">IFERROR(__xludf.DUMMYFUNCTION("""COMPUTED_VALUE"""),"Outside on School Property")</f>
        <v>Outside on School Property</v>
      </c>
      <c r="U935" s="8" t="str">
        <f ca="1">IFERROR(__xludf.DUMMYFUNCTION("""COMPUTED_VALUE"""),"No")</f>
        <v>No</v>
      </c>
      <c r="V935" s="8" t="str">
        <f ca="1">IFERROR(__xludf.DUMMYFUNCTION("""COMPUTED_VALUE"""),"Sport Event")</f>
        <v>Sport Event</v>
      </c>
      <c r="W935" s="11">
        <f ca="1">IFERROR(__xludf.DUMMYFUNCTION("""COMPUTED_VALUE"""),0.875)</f>
        <v>0.875</v>
      </c>
      <c r="X935" s="8">
        <f ca="1">IFERROR(__xludf.DUMMYFUNCTION("""COMPUTED_VALUE"""),1)</f>
        <v>1</v>
      </c>
      <c r="Y935" s="12" t="str">
        <f ca="1">IFERROR(__xludf.DUMMYFUNCTION("""COMPUTED_VALUE"""),"Student shot near football field during game")</f>
        <v>Student shot near football field during game</v>
      </c>
      <c r="Z935" s="12" t="str">
        <f ca="1">IFERROR(__xludf.DUMMYFUNCTION("""COMPUTED_VALUE"""),"Greenville Police Department responded to the Arlington Boulevard and Hooker Road area around 9 p.m. Friday night. They received a call of gunshots being fired. Later, a 17-year-old teen reported to police that he had been shot in the leg. Greenville PD s"&amp;"aid that the victim did attend the game at Rose High School. The shooting did not happen at the football field. Police say he was shot while walking outside of the athletic fields.")</f>
        <v>Greenville Police Department responded to the Arlington Boulevard and Hooker Road area around 9 p.m. Friday night. They received a call of gunshots being fired. Later, a 17-year-old teen reported to police that he had been shot in the leg. Greenville PD said that the victim did attend the game at Rose High School. The shooting did not happen at the football field. Police say he was shot while walking outside of the athletic fields.</v>
      </c>
      <c r="AA935" s="8"/>
      <c r="AB935" s="8"/>
      <c r="AC935" s="8" t="str">
        <f ca="1">IFERROR(__xludf.DUMMYFUNCTION("""COMPUTED_VALUE"""),"Yes")</f>
        <v>Yes</v>
      </c>
      <c r="AD935" s="8"/>
      <c r="AE935" s="8" t="str">
        <f ca="1">IFERROR(__xludf.DUMMYFUNCTION("""COMPUTED_VALUE"""),"No")</f>
        <v>No</v>
      </c>
      <c r="AF935" s="8"/>
      <c r="AG935" s="8" t="str">
        <f ca="1">IFERROR(__xludf.DUMMYFUNCTION("""COMPUTED_VALUE"""),"No")</f>
        <v>No</v>
      </c>
      <c r="AH935" s="8" t="str">
        <f ca="1">IFERROR(__xludf.DUMMYFUNCTION("""COMPUTED_VALUE"""),"No")</f>
        <v>No</v>
      </c>
      <c r="AI935" s="8" t="str">
        <f ca="1">IFERROR(__xludf.DUMMYFUNCTION("""COMPUTED_VALUE"""),"No")</f>
        <v>No</v>
      </c>
      <c r="AJ935" s="8" t="str">
        <f ca="1">IFERROR(__xludf.DUMMYFUNCTION("""COMPUTED_VALUE"""),"No")</f>
        <v>No</v>
      </c>
      <c r="AK935" s="8" t="str">
        <f ca="1">IFERROR(__xludf.DUMMYFUNCTION("""COMPUTED_VALUE"""),"No")</f>
        <v>No</v>
      </c>
      <c r="AL935" s="8"/>
      <c r="AM935" s="8" t="str">
        <f ca="1">IFERROR(__xludf.DUMMYFUNCTION("""COMPUTED_VALUE"""),"No")</f>
        <v>No</v>
      </c>
      <c r="AN935" s="8" t="str">
        <f ca="1">IFERROR(__xludf.DUMMYFUNCTION("""COMPUTED_VALUE"""),"Outside")</f>
        <v>Outside</v>
      </c>
      <c r="AO935" s="8" t="str">
        <f ca="1">IFERROR(__xludf.DUMMYFUNCTION("""COMPUTED_VALUE"""),"No")</f>
        <v>No</v>
      </c>
      <c r="AP935" s="8"/>
      <c r="AQ935" s="8"/>
      <c r="AR935" s="8" t="str">
        <f ca="1">IFERROR(__xludf.DUMMYFUNCTION("""COMPUTED_VALUE"""),"Outside/Off-Property")</f>
        <v>Outside/Off-Property</v>
      </c>
      <c r="AS935" s="8">
        <f ca="1">IFERROR(__xludf.DUMMYFUNCTION("""COMPUTED_VALUE"""),99)</f>
        <v>99</v>
      </c>
      <c r="AT935" s="8"/>
      <c r="AU935" s="8">
        <f ca="1">IFERROR(__xludf.DUMMYFUNCTION("""COMPUTED_VALUE"""),35.594466)</f>
        <v>35.594465999999997</v>
      </c>
      <c r="AV935" s="8">
        <f ca="1">IFERROR(__xludf.DUMMYFUNCTION("""COMPUTED_VALUE"""),-77.388951)</f>
        <v>-77.388951000000006</v>
      </c>
      <c r="AW935" s="8"/>
      <c r="AX935" s="8">
        <f ca="1">IFERROR(__xludf.DUMMYFUNCTION("""COMPUTED_VALUE"""),27658)</f>
        <v>27658</v>
      </c>
    </row>
    <row r="936" spans="1:50" ht="120" x14ac:dyDescent="0.2">
      <c r="A936" s="8" t="str">
        <f ca="1">IFERROR(__xludf.DUMMYFUNCTION("""COMPUTED_VALUE"""),"20221007MIBAB")</f>
        <v>20221007MIBAB</v>
      </c>
      <c r="B936" s="8">
        <f ca="1">IFERROR(__xludf.DUMMYFUNCTION("""COMPUTED_VALUE"""),10)</f>
        <v>10</v>
      </c>
      <c r="C936" s="8">
        <f ca="1">IFERROR(__xludf.DUMMYFUNCTION("""COMPUTED_VALUE"""),7)</f>
        <v>7</v>
      </c>
      <c r="D936" s="8">
        <f ca="1">IFERROR(__xludf.DUMMYFUNCTION("""COMPUTED_VALUE"""),2022)</f>
        <v>2022</v>
      </c>
      <c r="E936" s="9">
        <f ca="1">IFERROR(__xludf.DUMMYFUNCTION("""COMPUTED_VALUE"""),44841)</f>
        <v>44841</v>
      </c>
      <c r="F936" s="8" t="str">
        <f ca="1">IFERROR(__xludf.DUMMYFUNCTION("""COMPUTED_VALUE"""),"Battle Creek High School")</f>
        <v>Battle Creek High School</v>
      </c>
      <c r="G936" s="8">
        <f ca="1">IFERROR(__xludf.DUMMYFUNCTION("""COMPUTED_VALUE"""),0)</f>
        <v>0</v>
      </c>
      <c r="H936" s="8">
        <f ca="1">IFERROR(__xludf.DUMMYFUNCTION("""COMPUTED_VALUE"""),0)</f>
        <v>0</v>
      </c>
      <c r="I936" s="8">
        <f ca="1">IFERROR(__xludf.DUMMYFUNCTION("""COMPUTED_VALUE"""),0)</f>
        <v>0</v>
      </c>
      <c r="J936" s="8">
        <f ca="1">IFERROR(__xludf.DUMMYFUNCTION("""COMPUTED_VALUE"""),0)</f>
        <v>0</v>
      </c>
      <c r="K936" s="8" t="str">
        <f ca="1">IFERROR(__xludf.DUMMYFUNCTION("""COMPUTED_VALUE"""),"https://wwmt.com/news/local/battle-creek-central-shooting-cw-post-field-stadium-football-game-kalamazoo-central-high-school-police-shots-fired
https://www.woodtv.com/news/shots-fired-outside-battle-creek-central-football-game/")</f>
        <v>https://wwmt.com/news/local/battle-creek-central-shooting-cw-post-field-stadium-football-game-kalamazoo-central-high-school-police-shots-fired
https://www.woodtv.com/news/shots-fired-outside-battle-creek-central-football-game/</v>
      </c>
      <c r="L936" s="8">
        <f ca="1">IFERROR(__xludf.DUMMYFUNCTION("""COMPUTED_VALUE"""),5)</f>
        <v>5</v>
      </c>
      <c r="M936" s="8" t="str">
        <f ca="1">IFERROR(__xludf.DUMMYFUNCTION("""COMPUTED_VALUE"""),"Local")</f>
        <v>Local</v>
      </c>
      <c r="N936" s="8">
        <f ca="1">IFERROR(__xludf.DUMMYFUNCTION("""COMPUTED_VALUE"""),4)</f>
        <v>4</v>
      </c>
      <c r="O936" s="8" t="str">
        <f ca="1">IFERROR(__xludf.DUMMYFUNCTION("""COMPUTED_VALUE"""),"Fall")</f>
        <v>Fall</v>
      </c>
      <c r="P936" s="8" t="str">
        <f ca="1">IFERROR(__xludf.DUMMYFUNCTION("""COMPUTED_VALUE"""),"Battle Creek")</f>
        <v>Battle Creek</v>
      </c>
      <c r="Q936" s="8" t="str">
        <f ca="1">IFERROR(__xludf.DUMMYFUNCTION("""COMPUTED_VALUE"""),"MI")</f>
        <v>MI</v>
      </c>
      <c r="R936" s="8" t="str">
        <f ca="1">IFERROR(__xludf.DUMMYFUNCTION("""COMPUTED_VALUE"""),"High")</f>
        <v>High</v>
      </c>
      <c r="S936" s="8" t="str">
        <f ca="1">IFERROR(__xludf.DUMMYFUNCTION("""COMPUTED_VALUE"""),"Parking Lot")</f>
        <v>Parking Lot</v>
      </c>
      <c r="T936" s="8" t="str">
        <f ca="1">IFERROR(__xludf.DUMMYFUNCTION("""COMPUTED_VALUE"""),"Outside on School Property")</f>
        <v>Outside on School Property</v>
      </c>
      <c r="U936" s="8" t="str">
        <f ca="1">IFERROR(__xludf.DUMMYFUNCTION("""COMPUTED_VALUE"""),"No")</f>
        <v>No</v>
      </c>
      <c r="V936" s="8" t="str">
        <f ca="1">IFERROR(__xludf.DUMMYFUNCTION("""COMPUTED_VALUE"""),"Sport Event")</f>
        <v>Sport Event</v>
      </c>
      <c r="W936" s="11">
        <f ca="1">IFERROR(__xludf.DUMMYFUNCTION("""COMPUTED_VALUE"""),0.875)</f>
        <v>0.875</v>
      </c>
      <c r="X936" s="8">
        <f ca="1">IFERROR(__xludf.DUMMYFUNCTION("""COMPUTED_VALUE"""),1)</f>
        <v>1</v>
      </c>
      <c r="Y936" s="12" t="str">
        <f ca="1">IFERROR(__xludf.DUMMYFUNCTION("""COMPUTED_VALUE"""),"Shots fired during football game")</f>
        <v>Shots fired during football game</v>
      </c>
      <c r="Z936" s="12" t="str">
        <f ca="1">IFERROR(__xludf.DUMMYFUNCTION("""COMPUTED_VALUE"""),"Five to six shots were fired at the Battle Creek Central football game at the C.W. Post Field Stadium Friday around 9:40 p.m., according to Battle Creek Police. Officers assigned to the local football games said they heard shots fired in the area of Champ"&amp;"ion and West Streets, police said. The shots are believed to come from a vehicle in the stadium parking lot, no one was hit or injured, police said. Shell casing found in school parking lot.")</f>
        <v>Five to six shots were fired at the Battle Creek Central football game at the C.W. Post Field Stadium Friday around 9:40 p.m., according to Battle Creek Police. Officers assigned to the local football games said they heard shots fired in the area of Champion and West Streets, police said. The shots are believed to come from a vehicle in the stadium parking lot, no one was hit or injured, police said. Shell casing found in school parking lot.</v>
      </c>
      <c r="AA936" s="8" t="str">
        <f ca="1">IFERROR(__xludf.DUMMYFUNCTION("""COMPUTED_VALUE"""),"Drive-by Shooting")</f>
        <v>Drive-by Shooting</v>
      </c>
      <c r="AB936" s="8"/>
      <c r="AC936" s="8" t="str">
        <f ca="1">IFERROR(__xludf.DUMMYFUNCTION("""COMPUTED_VALUE"""),"Yes")</f>
        <v>Yes</v>
      </c>
      <c r="AD936" s="8"/>
      <c r="AE936" s="8" t="str">
        <f ca="1">IFERROR(__xludf.DUMMYFUNCTION("""COMPUTED_VALUE"""),"No")</f>
        <v>No</v>
      </c>
      <c r="AF936" s="8"/>
      <c r="AG936" s="8" t="str">
        <f ca="1">IFERROR(__xludf.DUMMYFUNCTION("""COMPUTED_VALUE"""),"No")</f>
        <v>No</v>
      </c>
      <c r="AH936" s="8" t="str">
        <f ca="1">IFERROR(__xludf.DUMMYFUNCTION("""COMPUTED_VALUE"""),"No")</f>
        <v>No</v>
      </c>
      <c r="AI936" s="8" t="str">
        <f ca="1">IFERROR(__xludf.DUMMYFUNCTION("""COMPUTED_VALUE"""),"No")</f>
        <v>No</v>
      </c>
      <c r="AJ936" s="8" t="str">
        <f ca="1">IFERROR(__xludf.DUMMYFUNCTION("""COMPUTED_VALUE"""),"No")</f>
        <v>No</v>
      </c>
      <c r="AK936" s="8" t="str">
        <f ca="1">IFERROR(__xludf.DUMMYFUNCTION("""COMPUTED_VALUE"""),"No")</f>
        <v>No</v>
      </c>
      <c r="AL936" s="8"/>
      <c r="AM936" s="8" t="str">
        <f ca="1">IFERROR(__xludf.DUMMYFUNCTION("""COMPUTED_VALUE"""),"No")</f>
        <v>No</v>
      </c>
      <c r="AN936" s="8" t="str">
        <f ca="1">IFERROR(__xludf.DUMMYFUNCTION("""COMPUTED_VALUE"""),"Outside")</f>
        <v>Outside</v>
      </c>
      <c r="AO936" s="8" t="str">
        <f ca="1">IFERROR(__xludf.DUMMYFUNCTION("""COMPUTED_VALUE"""),"No")</f>
        <v>No</v>
      </c>
      <c r="AP936" s="8"/>
      <c r="AQ936" s="8"/>
      <c r="AR936" s="8" t="str">
        <f ca="1">IFERROR(__xludf.DUMMYFUNCTION("""COMPUTED_VALUE"""),"Outside/Off-Property")</f>
        <v>Outside/Off-Property</v>
      </c>
      <c r="AS936" s="8">
        <f ca="1">IFERROR(__xludf.DUMMYFUNCTION("""COMPUTED_VALUE"""),6)</f>
        <v>6</v>
      </c>
      <c r="AT936" s="8"/>
      <c r="AU936" s="8">
        <f ca="1">IFERROR(__xludf.DUMMYFUNCTION("""COMPUTED_VALUE"""),42.322953)</f>
        <v>42.322952999999998</v>
      </c>
      <c r="AV936" s="8">
        <f ca="1">IFERROR(__xludf.DUMMYFUNCTION("""COMPUTED_VALUE"""),-85.182033)</f>
        <v>-85.182033000000004</v>
      </c>
      <c r="AW936" s="8"/>
      <c r="AX936" s="8">
        <f ca="1">IFERROR(__xludf.DUMMYFUNCTION("""COMPUTED_VALUE"""),49017)</f>
        <v>49017</v>
      </c>
    </row>
    <row r="937" spans="1:50" ht="60" x14ac:dyDescent="0.2">
      <c r="A937" s="8" t="str">
        <f ca="1">IFERROR(__xludf.DUMMYFUNCTION("""COMPUTED_VALUE"""),"20221007AZCAP")</f>
        <v>20221007AZCAP</v>
      </c>
      <c r="B937" s="8">
        <f ca="1">IFERROR(__xludf.DUMMYFUNCTION("""COMPUTED_VALUE"""),10)</f>
        <v>10</v>
      </c>
      <c r="C937" s="8">
        <f ca="1">IFERROR(__xludf.DUMMYFUNCTION("""COMPUTED_VALUE"""),7)</f>
        <v>7</v>
      </c>
      <c r="D937" s="8">
        <f ca="1">IFERROR(__xludf.DUMMYFUNCTION("""COMPUTED_VALUE"""),2022)</f>
        <v>2022</v>
      </c>
      <c r="E937" s="9">
        <f ca="1">IFERROR(__xludf.DUMMYFUNCTION("""COMPUTED_VALUE"""),44841)</f>
        <v>44841</v>
      </c>
      <c r="F937" s="8" t="str">
        <f ca="1">IFERROR(__xludf.DUMMYFUNCTION("""COMPUTED_VALUE"""),"Carl Hayden Community High School")</f>
        <v>Carl Hayden Community High School</v>
      </c>
      <c r="G937" s="8">
        <f ca="1">IFERROR(__xludf.DUMMYFUNCTION("""COMPUTED_VALUE"""),0)</f>
        <v>0</v>
      </c>
      <c r="H937" s="8">
        <f ca="1">IFERROR(__xludf.DUMMYFUNCTION("""COMPUTED_VALUE"""),0)</f>
        <v>0</v>
      </c>
      <c r="I937" s="8">
        <f ca="1">IFERROR(__xludf.DUMMYFUNCTION("""COMPUTED_VALUE"""),0)</f>
        <v>0</v>
      </c>
      <c r="J937" s="8">
        <f ca="1">IFERROR(__xludf.DUMMYFUNCTION("""COMPUTED_VALUE"""),0)</f>
        <v>0</v>
      </c>
      <c r="K937" s="10" t="str">
        <f ca="1">IFERROR(__xludf.DUMMYFUNCTION("""COMPUTED_VALUE"""),"https://www.azfamily.com/2022/10/08/witnesses-report-shots-fired-during-high-school-football-game-phoenix/
https://news.scorebooklive.com/national/2022/10/08/shooting-at-arizona-high-school-football-game-forces-evacuation-to-auditorium")</f>
        <v>https://www.azfamily.com/2022/10/08/witnesses-report-shots-fired-during-high-school-football-game-phoenix/
https://news.scorebooklive.com/national/2022/10/08/shooting-at-arizona-high-school-football-game-forces-evacuation-to-auditorium</v>
      </c>
      <c r="L937" s="8">
        <f ca="1">IFERROR(__xludf.DUMMYFUNCTION("""COMPUTED_VALUE"""),10)</f>
        <v>10</v>
      </c>
      <c r="M937" s="8" t="str">
        <f ca="1">IFERROR(__xludf.DUMMYFUNCTION("""COMPUTED_VALUE"""),"Regional")</f>
        <v>Regional</v>
      </c>
      <c r="N937" s="8">
        <f ca="1">IFERROR(__xludf.DUMMYFUNCTION("""COMPUTED_VALUE"""),4)</f>
        <v>4</v>
      </c>
      <c r="O937" s="8" t="str">
        <f ca="1">IFERROR(__xludf.DUMMYFUNCTION("""COMPUTED_VALUE"""),"Fall")</f>
        <v>Fall</v>
      </c>
      <c r="P937" s="8" t="str">
        <f ca="1">IFERROR(__xludf.DUMMYFUNCTION("""COMPUTED_VALUE"""),"Phoenix")</f>
        <v>Phoenix</v>
      </c>
      <c r="Q937" s="8" t="str">
        <f ca="1">IFERROR(__xludf.DUMMYFUNCTION("""COMPUTED_VALUE"""),"AZ")</f>
        <v>AZ</v>
      </c>
      <c r="R937" s="8" t="str">
        <f ca="1">IFERROR(__xludf.DUMMYFUNCTION("""COMPUTED_VALUE"""),"High")</f>
        <v>High</v>
      </c>
      <c r="S937" s="8" t="str">
        <f ca="1">IFERROR(__xludf.DUMMYFUNCTION("""COMPUTED_VALUE"""),"Football Field/Track")</f>
        <v>Football Field/Track</v>
      </c>
      <c r="T937" s="8" t="str">
        <f ca="1">IFERROR(__xludf.DUMMYFUNCTION("""COMPUTED_VALUE"""),"Outside on School Property")</f>
        <v>Outside on School Property</v>
      </c>
      <c r="U937" s="8" t="str">
        <f ca="1">IFERROR(__xludf.DUMMYFUNCTION("""COMPUTED_VALUE"""),"No")</f>
        <v>No</v>
      </c>
      <c r="V937" s="8" t="str">
        <f ca="1">IFERROR(__xludf.DUMMYFUNCTION("""COMPUTED_VALUE"""),"Sport Event")</f>
        <v>Sport Event</v>
      </c>
      <c r="W937" s="11">
        <f ca="1">IFERROR(__xludf.DUMMYFUNCTION("""COMPUTED_VALUE"""),0.875)</f>
        <v>0.875</v>
      </c>
      <c r="X937" s="8">
        <f ca="1">IFERROR(__xludf.DUMMYFUNCTION("""COMPUTED_VALUE"""),1)</f>
        <v>1</v>
      </c>
      <c r="Y937" s="12" t="str">
        <f ca="1">IFERROR(__xludf.DUMMYFUNCTION("""COMPUTED_VALUE"""),"Shots fired near the football stadium during game")</f>
        <v>Shots fired near the football stadium during game</v>
      </c>
      <c r="Z937" s="12" t="str">
        <f ca="1">IFERROR(__xludf.DUMMYFUNCTION("""COMPUTED_VALUE"""),"Shots were reportedly fired outside of Carl Hayden High School during a football game Friday night. People in attendance of the football game say that everyone in the stadium was ordered to the ground after gunfire was heard.")</f>
        <v>Shots were reportedly fired outside of Carl Hayden High School during a football game Friday night. People in attendance of the football game say that everyone in the stadium was ordered to the ground after gunfire was heard.</v>
      </c>
      <c r="AA937" s="8"/>
      <c r="AB937" s="8"/>
      <c r="AC937" s="8" t="str">
        <f ca="1">IFERROR(__xludf.DUMMYFUNCTION("""COMPUTED_VALUE"""),"Yes")</f>
        <v>Yes</v>
      </c>
      <c r="AD937" s="8"/>
      <c r="AE937" s="8" t="str">
        <f ca="1">IFERROR(__xludf.DUMMYFUNCTION("""COMPUTED_VALUE"""),"No")</f>
        <v>No</v>
      </c>
      <c r="AF937" s="8"/>
      <c r="AG937" s="8" t="str">
        <f ca="1">IFERROR(__xludf.DUMMYFUNCTION("""COMPUTED_VALUE"""),"No")</f>
        <v>No</v>
      </c>
      <c r="AH937" s="8" t="str">
        <f ca="1">IFERROR(__xludf.DUMMYFUNCTION("""COMPUTED_VALUE"""),"No")</f>
        <v>No</v>
      </c>
      <c r="AI937" s="8" t="str">
        <f ca="1">IFERROR(__xludf.DUMMYFUNCTION("""COMPUTED_VALUE"""),"No")</f>
        <v>No</v>
      </c>
      <c r="AJ937" s="8" t="str">
        <f ca="1">IFERROR(__xludf.DUMMYFUNCTION("""COMPUTED_VALUE"""),"No")</f>
        <v>No</v>
      </c>
      <c r="AK937" s="8" t="str">
        <f ca="1">IFERROR(__xludf.DUMMYFUNCTION("""COMPUTED_VALUE"""),"No")</f>
        <v>No</v>
      </c>
      <c r="AL937" s="8"/>
      <c r="AM937" s="8" t="str">
        <f ca="1">IFERROR(__xludf.DUMMYFUNCTION("""COMPUTED_VALUE"""),"No")</f>
        <v>No</v>
      </c>
      <c r="AN937" s="8" t="str">
        <f ca="1">IFERROR(__xludf.DUMMYFUNCTION("""COMPUTED_VALUE"""),"Outside")</f>
        <v>Outside</v>
      </c>
      <c r="AO937" s="8" t="str">
        <f ca="1">IFERROR(__xludf.DUMMYFUNCTION("""COMPUTED_VALUE"""),"No")</f>
        <v>No</v>
      </c>
      <c r="AP937" s="8"/>
      <c r="AQ937" s="8"/>
      <c r="AR937" s="8" t="str">
        <f ca="1">IFERROR(__xludf.DUMMYFUNCTION("""COMPUTED_VALUE"""),"Outside/Off-Property")</f>
        <v>Outside/Off-Property</v>
      </c>
      <c r="AS937" s="8">
        <f ca="1">IFERROR(__xludf.DUMMYFUNCTION("""COMPUTED_VALUE"""),99)</f>
        <v>99</v>
      </c>
      <c r="AT937" s="8"/>
      <c r="AU937" s="8">
        <f ca="1">IFERROR(__xludf.DUMMYFUNCTION("""COMPUTED_VALUE"""),33.457186)</f>
        <v>33.457186</v>
      </c>
      <c r="AV937" s="8">
        <f ca="1">IFERROR(__xludf.DUMMYFUNCTION("""COMPUTED_VALUE"""),-112.132739)</f>
        <v>-112.132739</v>
      </c>
      <c r="AW937" s="8"/>
      <c r="AX937" s="8">
        <f ca="1">IFERROR(__xludf.DUMMYFUNCTION("""COMPUTED_VALUE"""),85009)</f>
        <v>85009</v>
      </c>
    </row>
    <row r="938" spans="1:50" ht="135" x14ac:dyDescent="0.2">
      <c r="A938" s="8" t="str">
        <f ca="1">IFERROR(__xludf.DUMMYFUNCTION("""COMPUTED_VALUE"""),"20221006OHMAC")</f>
        <v>20221006OHMAC</v>
      </c>
      <c r="B938" s="8">
        <f ca="1">IFERROR(__xludf.DUMMYFUNCTION("""COMPUTED_VALUE"""),10)</f>
        <v>10</v>
      </c>
      <c r="C938" s="8">
        <f ca="1">IFERROR(__xludf.DUMMYFUNCTION("""COMPUTED_VALUE"""),6)</f>
        <v>6</v>
      </c>
      <c r="D938" s="8">
        <f ca="1">IFERROR(__xludf.DUMMYFUNCTION("""COMPUTED_VALUE"""),2022)</f>
        <v>2022</v>
      </c>
      <c r="E938" s="9">
        <f ca="1">IFERROR(__xludf.DUMMYFUNCTION("""COMPUTED_VALUE"""),44840)</f>
        <v>44840</v>
      </c>
      <c r="F938" s="8" t="str">
        <f ca="1">IFERROR(__xludf.DUMMYFUNCTION("""COMPUTED_VALUE"""),"Marion-Franklin High School")</f>
        <v>Marion-Franklin High School</v>
      </c>
      <c r="G938" s="8">
        <f ca="1">IFERROR(__xludf.DUMMYFUNCTION("""COMPUTED_VALUE"""),0)</f>
        <v>0</v>
      </c>
      <c r="H938" s="8">
        <f ca="1">IFERROR(__xludf.DUMMYFUNCTION("""COMPUTED_VALUE"""),0)</f>
        <v>0</v>
      </c>
      <c r="I938" s="8">
        <f ca="1">IFERROR(__xludf.DUMMYFUNCTION("""COMPUTED_VALUE"""),0)</f>
        <v>0</v>
      </c>
      <c r="J938" s="8">
        <f ca="1">IFERROR(__xludf.DUMMYFUNCTION("""COMPUTED_VALUE"""),0)</f>
        <v>0</v>
      </c>
      <c r="K938" s="8" t="str">
        <f ca="1">IFERROR(__xludf.DUMMYFUNCTION("""COMPUTED_VALUE"""),"https://www.10tv.com/article/news/local/police-shots-fired-outside-marion-franklin-high-school-in-columbus/530-485831bf-1dfa-4aa8-897d-0a4dfb333361
https://www.dispatch.com/story/news/crime/2022/10/07/shots-fired-outside-marion-franklin-vs-africentric-foo"&amp;"tball-game/69546384007/")</f>
        <v>https://www.10tv.com/article/news/local/police-shots-fired-outside-marion-franklin-high-school-in-columbus/530-485831bf-1dfa-4aa8-897d-0a4dfb333361
https://www.dispatch.com/story/news/crime/2022/10/07/shots-fired-outside-marion-franklin-vs-africentric-football-game/69546384007/</v>
      </c>
      <c r="L938" s="8">
        <f ca="1">IFERROR(__xludf.DUMMYFUNCTION("""COMPUTED_VALUE"""),2)</f>
        <v>2</v>
      </c>
      <c r="M938" s="8" t="str">
        <f ca="1">IFERROR(__xludf.DUMMYFUNCTION("""COMPUTED_VALUE"""),"Local")</f>
        <v>Local</v>
      </c>
      <c r="N938" s="8">
        <f ca="1">IFERROR(__xludf.DUMMYFUNCTION("""COMPUTED_VALUE"""),4)</f>
        <v>4</v>
      </c>
      <c r="O938" s="8" t="str">
        <f ca="1">IFERROR(__xludf.DUMMYFUNCTION("""COMPUTED_VALUE"""),"Fall")</f>
        <v>Fall</v>
      </c>
      <c r="P938" s="8" t="str">
        <f ca="1">IFERROR(__xludf.DUMMYFUNCTION("""COMPUTED_VALUE"""),"Columbus")</f>
        <v>Columbus</v>
      </c>
      <c r="Q938" s="8" t="str">
        <f ca="1">IFERROR(__xludf.DUMMYFUNCTION("""COMPUTED_VALUE"""),"OH")</f>
        <v>OH</v>
      </c>
      <c r="R938" s="8" t="str">
        <f ca="1">IFERROR(__xludf.DUMMYFUNCTION("""COMPUTED_VALUE"""),"High")</f>
        <v>High</v>
      </c>
      <c r="S938" s="8" t="str">
        <f ca="1">IFERROR(__xludf.DUMMYFUNCTION("""COMPUTED_VALUE"""),"Parking Lot")</f>
        <v>Parking Lot</v>
      </c>
      <c r="T938" s="8" t="str">
        <f ca="1">IFERROR(__xludf.DUMMYFUNCTION("""COMPUTED_VALUE"""),"Outside on School Property")</f>
        <v>Outside on School Property</v>
      </c>
      <c r="U938" s="8" t="str">
        <f ca="1">IFERROR(__xludf.DUMMYFUNCTION("""COMPUTED_VALUE"""),"No")</f>
        <v>No</v>
      </c>
      <c r="V938" s="8" t="str">
        <f ca="1">IFERROR(__xludf.DUMMYFUNCTION("""COMPUTED_VALUE"""),"Sport Event")</f>
        <v>Sport Event</v>
      </c>
      <c r="W938" s="11">
        <f ca="1">IFERROR(__xludf.DUMMYFUNCTION("""COMPUTED_VALUE"""),0.840277777777777)</f>
        <v>0.84027777777777701</v>
      </c>
      <c r="X938" s="8">
        <f ca="1">IFERROR(__xludf.DUMMYFUNCTION("""COMPUTED_VALUE"""),1)</f>
        <v>1</v>
      </c>
      <c r="Y938" s="12" t="str">
        <f ca="1">IFERROR(__xludf.DUMMYFUNCTION("""COMPUTED_VALUE"""),"Shots fired during fight a football game")</f>
        <v>Shots fired during fight a football game</v>
      </c>
      <c r="Z938" s="12" t="str">
        <f ca="1">IFERROR(__xludf.DUMMYFUNCTION("""COMPUTED_VALUE"""),"The fight started just before halftime of the game against Columbus Africentric Early College, according to a Columbus City Schools spokesperson. About five minutes after the fight cleared out, the spokesperson said shots were fired outside the school. Co"&amp;"lumbus police officers found casings on the east side of the building, but did not say how many were located. No injuries have been reported as of 8:30 p.m. One vehicle was struck by the gunfire, police said.")</f>
        <v>The fight started just before halftime of the game against Columbus Africentric Early College, according to a Columbus City Schools spokesperson. About five minutes after the fight cleared out, the spokesperson said shots were fired outside the school. Columbus police officers found casings on the east side of the building, but did not say how many were located. No injuries have been reported as of 8:30 p.m. One vehicle was struck by the gunfire, police said.</v>
      </c>
      <c r="AA938" s="8" t="str">
        <f ca="1">IFERROR(__xludf.DUMMYFUNCTION("""COMPUTED_VALUE"""),"Escalation of Dispute")</f>
        <v>Escalation of Dispute</v>
      </c>
      <c r="AB938" s="8"/>
      <c r="AC938" s="8" t="str">
        <f ca="1">IFERROR(__xludf.DUMMYFUNCTION("""COMPUTED_VALUE"""),"Yes")</f>
        <v>Yes</v>
      </c>
      <c r="AD938" s="8" t="str">
        <f ca="1">IFERROR(__xludf.DUMMYFUNCTION("""COMPUTED_VALUE"""),"Victims Targeted")</f>
        <v>Victims Targeted</v>
      </c>
      <c r="AE938" s="8" t="str">
        <f ca="1">IFERROR(__xludf.DUMMYFUNCTION("""COMPUTED_VALUE"""),"No")</f>
        <v>No</v>
      </c>
      <c r="AF938" s="8"/>
      <c r="AG938" s="8" t="str">
        <f ca="1">IFERROR(__xludf.DUMMYFUNCTION("""COMPUTED_VALUE"""),"No")</f>
        <v>No</v>
      </c>
      <c r="AH938" s="8" t="str">
        <f ca="1">IFERROR(__xludf.DUMMYFUNCTION("""COMPUTED_VALUE"""),"No")</f>
        <v>No</v>
      </c>
      <c r="AI938" s="8" t="str">
        <f ca="1">IFERROR(__xludf.DUMMYFUNCTION("""COMPUTED_VALUE"""),"No")</f>
        <v>No</v>
      </c>
      <c r="AJ938" s="8" t="str">
        <f ca="1">IFERROR(__xludf.DUMMYFUNCTION("""COMPUTED_VALUE"""),"No")</f>
        <v>No</v>
      </c>
      <c r="AK938" s="8" t="str">
        <f ca="1">IFERROR(__xludf.DUMMYFUNCTION("""COMPUTED_VALUE"""),"No")</f>
        <v>No</v>
      </c>
      <c r="AL938" s="8" t="str">
        <f ca="1">IFERROR(__xludf.DUMMYFUNCTION("""COMPUTED_VALUE"""),"No")</f>
        <v>No</v>
      </c>
      <c r="AM938" s="8" t="str">
        <f ca="1">IFERROR(__xludf.DUMMYFUNCTION("""COMPUTED_VALUE"""),"No")</f>
        <v>No</v>
      </c>
      <c r="AN938" s="8" t="str">
        <f ca="1">IFERROR(__xludf.DUMMYFUNCTION("""COMPUTED_VALUE"""),"Outside")</f>
        <v>Outside</v>
      </c>
      <c r="AO938" s="8" t="str">
        <f ca="1">IFERROR(__xludf.DUMMYFUNCTION("""COMPUTED_VALUE"""),"No")</f>
        <v>No</v>
      </c>
      <c r="AP938" s="8"/>
      <c r="AQ938" s="8"/>
      <c r="AR938" s="8" t="str">
        <f ca="1">IFERROR(__xludf.DUMMYFUNCTION("""COMPUTED_VALUE"""),"Outside/Off-Property")</f>
        <v>Outside/Off-Property</v>
      </c>
      <c r="AS938" s="8">
        <f ca="1">IFERROR(__xludf.DUMMYFUNCTION("""COMPUTED_VALUE"""),99)</f>
        <v>99</v>
      </c>
      <c r="AT938" s="8"/>
      <c r="AU938" s="8">
        <f ca="1">IFERROR(__xludf.DUMMYFUNCTION("""COMPUTED_VALUE"""),39.912478)</f>
        <v>39.912478</v>
      </c>
      <c r="AV938" s="8">
        <f ca="1">IFERROR(__xludf.DUMMYFUNCTION("""COMPUTED_VALUE"""),-82.962633)</f>
        <v>-82.962632999999997</v>
      </c>
      <c r="AW938" s="8"/>
      <c r="AX938" s="8">
        <f ca="1">IFERROR(__xludf.DUMMYFUNCTION("""COMPUTED_VALUE"""),43027)</f>
        <v>43027</v>
      </c>
    </row>
    <row r="939" spans="1:50" ht="225" x14ac:dyDescent="0.2">
      <c r="A939" s="8" t="str">
        <f ca="1">IFERROR(__xludf.DUMMYFUNCTION("""COMPUTED_VALUE"""),"20221004NCPIS")</f>
        <v>20221004NCPIS</v>
      </c>
      <c r="B939" s="8">
        <f ca="1">IFERROR(__xludf.DUMMYFUNCTION("""COMPUTED_VALUE"""),10)</f>
        <v>10</v>
      </c>
      <c r="C939" s="8">
        <f ca="1">IFERROR(__xludf.DUMMYFUNCTION("""COMPUTED_VALUE"""),4)</f>
        <v>4</v>
      </c>
      <c r="D939" s="8">
        <f ca="1">IFERROR(__xludf.DUMMYFUNCTION("""COMPUTED_VALUE"""),2022)</f>
        <v>2022</v>
      </c>
      <c r="E939" s="9">
        <f ca="1">IFERROR(__xludf.DUMMYFUNCTION("""COMPUTED_VALUE"""),44838)</f>
        <v>44838</v>
      </c>
      <c r="F939" s="8" t="str">
        <f ca="1">IFERROR(__xludf.DUMMYFUNCTION("""COMPUTED_VALUE"""),"Pinecrest High School")</f>
        <v>Pinecrest High School</v>
      </c>
      <c r="G939" s="8">
        <f ca="1">IFERROR(__xludf.DUMMYFUNCTION("""COMPUTED_VALUE"""),0)</f>
        <v>0</v>
      </c>
      <c r="H939" s="8">
        <f ca="1">IFERROR(__xludf.DUMMYFUNCTION("""COMPUTED_VALUE"""),0)</f>
        <v>0</v>
      </c>
      <c r="I939" s="8">
        <f ca="1">IFERROR(__xludf.DUMMYFUNCTION("""COMPUTED_VALUE"""),0)</f>
        <v>0</v>
      </c>
      <c r="J939" s="8">
        <f ca="1">IFERROR(__xludf.DUMMYFUNCTION("""COMPUTED_VALUE"""),0)</f>
        <v>0</v>
      </c>
      <c r="K939" s="8" t="str">
        <f ca="1">IFERROR(__xludf.DUMMYFUNCTION("""COMPUTED_VALUE"""),"https://abc11.com/school-bus-hit-by-bullet-students-onboard-moore-county-pinebluff/12295712/
https://www.whio.com/news/local/no-injuries-close-call-students-after-bb-shatters-eaton-school-bus-window/TZUQ7KDZLBFO3MH5Y24UXGN7T4/
https://abc11.com/school-bus"&amp;"-shot-students-onboard-bullet-moore-county-juvenile-child/12300654/")</f>
        <v>https://abc11.com/school-bus-hit-by-bullet-students-onboard-moore-county-pinebluff/12295712/
https://www.whio.com/news/local/no-injuries-close-call-students-after-bb-shatters-eaton-school-bus-window/TZUQ7KDZLBFO3MH5Y24UXGN7T4/
https://abc11.com/school-bus-shot-students-onboard-bullet-moore-county-juvenile-child/12300654/</v>
      </c>
      <c r="L939" s="8">
        <f ca="1">IFERROR(__xludf.DUMMYFUNCTION("""COMPUTED_VALUE"""),2)</f>
        <v>2</v>
      </c>
      <c r="M939" s="8" t="str">
        <f ca="1">IFERROR(__xludf.DUMMYFUNCTION("""COMPUTED_VALUE"""),"Local")</f>
        <v>Local</v>
      </c>
      <c r="N939" s="8">
        <f ca="1">IFERROR(__xludf.DUMMYFUNCTION("""COMPUTED_VALUE"""),4)</f>
        <v>4</v>
      </c>
      <c r="O939" s="8" t="str">
        <f ca="1">IFERROR(__xludf.DUMMYFUNCTION("""COMPUTED_VALUE"""),"Fall")</f>
        <v>Fall</v>
      </c>
      <c r="P939" s="8" t="str">
        <f ca="1">IFERROR(__xludf.DUMMYFUNCTION("""COMPUTED_VALUE"""),"Southern Pine")</f>
        <v>Southern Pine</v>
      </c>
      <c r="Q939" s="8" t="str">
        <f ca="1">IFERROR(__xludf.DUMMYFUNCTION("""COMPUTED_VALUE"""),"NC")</f>
        <v>NC</v>
      </c>
      <c r="R939" s="8" t="str">
        <f ca="1">IFERROR(__xludf.DUMMYFUNCTION("""COMPUTED_VALUE"""),"High")</f>
        <v>High</v>
      </c>
      <c r="S939" s="8" t="str">
        <f ca="1">IFERROR(__xludf.DUMMYFUNCTION("""COMPUTED_VALUE"""),"School Bus")</f>
        <v>School Bus</v>
      </c>
      <c r="T939" s="8" t="str">
        <f ca="1">IFERROR(__xludf.DUMMYFUNCTION("""COMPUTED_VALUE"""),"School Bus")</f>
        <v>School Bus</v>
      </c>
      <c r="U939" s="8" t="str">
        <f ca="1">IFERROR(__xludf.DUMMYFUNCTION("""COMPUTED_VALUE"""),"Yes")</f>
        <v>Yes</v>
      </c>
      <c r="V939" s="8" t="str">
        <f ca="1">IFERROR(__xludf.DUMMYFUNCTION("""COMPUTED_VALUE"""),"Dismissal")</f>
        <v>Dismissal</v>
      </c>
      <c r="W939" s="11">
        <f ca="1">IFERROR(__xludf.DUMMYFUNCTION("""COMPUTED_VALUE"""),0.666666666666666)</f>
        <v>0.66666666666666596</v>
      </c>
      <c r="X939" s="8">
        <f ca="1">IFERROR(__xludf.DUMMYFUNCTION("""COMPUTED_VALUE"""),1)</f>
        <v>1</v>
      </c>
      <c r="Y939" s="12" t="str">
        <f ca="1">IFERROR(__xludf.DUMMYFUNCTION("""COMPUTED_VALUE"""),"Occupied school bus struck by bullet")</f>
        <v>Occupied school bus struck by bullet</v>
      </c>
      <c r="Z939" s="12" t="str">
        <f ca="1">IFERROR(__xludf.DUMMYFUNCTION("""COMPUTED_VALUE"""),"Driver heard what sounded like a gunshot while a student was exiting the bus at the intersection of R Sands and Pinebluff Lake Road. The driver didn't immediately see damage to the bus and at the next stop on Countryside Driver, evacuated the bus of all f"&amp;"ive remaining students and the bus monitor called 911, MCS said. While waiting for deputies to respond, one of the students noticed a bullet hole in a passenger window about four rows from the back of the bus. The bullet was found lodged in the ceiling of"&amp;" the bus. According to MCSP, the investigation determined that the bullet was a ricochet from a firearm being used by a juvenile who was aiming the weapon at trees. As stated previously, the bus was not the intended target. The firearm belonged to a famil"&amp;"y member of the child and had not been secured properly in the home.")</f>
        <v>Driver heard what sounded like a gunshot while a student was exiting the bus at the intersection of R Sands and Pinebluff Lake Road. The driver didn't immediately see damage to the bus and at the next stop on Countryside Driver, evacuated the bus of all five remaining students and the bus monitor called 911, MCS said. While waiting for deputies to respond, one of the students noticed a bullet hole in a passenger window about four rows from the back of the bus. The bullet was found lodged in the ceiling of the bus. According to MCSP, the investigation determined that the bullet was a ricochet from a firearm being used by a juvenile who was aiming the weapon at trees. As stated previously, the bus was not the intended target. The firearm belonged to a family member of the child and had not been secured properly in the home.</v>
      </c>
      <c r="AA939" s="8" t="str">
        <f ca="1">IFERROR(__xludf.DUMMYFUNCTION("""COMPUTED_VALUE"""),"Accidental")</f>
        <v>Accidental</v>
      </c>
      <c r="AB939" s="8"/>
      <c r="AC939" s="8" t="str">
        <f ca="1">IFERROR(__xludf.DUMMYFUNCTION("""COMPUTED_VALUE"""),"Yes")</f>
        <v>Yes</v>
      </c>
      <c r="AD939" s="8" t="str">
        <f ca="1">IFERROR(__xludf.DUMMYFUNCTION("""COMPUTED_VALUE"""),"Neither")</f>
        <v>Neither</v>
      </c>
      <c r="AE939" s="8" t="str">
        <f ca="1">IFERROR(__xludf.DUMMYFUNCTION("""COMPUTED_VALUE"""),"No")</f>
        <v>No</v>
      </c>
      <c r="AF939" s="8"/>
      <c r="AG939" s="8" t="str">
        <f ca="1">IFERROR(__xludf.DUMMYFUNCTION("""COMPUTED_VALUE"""),"No")</f>
        <v>No</v>
      </c>
      <c r="AH939" s="8" t="str">
        <f ca="1">IFERROR(__xludf.DUMMYFUNCTION("""COMPUTED_VALUE"""),"No")</f>
        <v>No</v>
      </c>
      <c r="AI939" s="8" t="str">
        <f ca="1">IFERROR(__xludf.DUMMYFUNCTION("""COMPUTED_VALUE"""),"No")</f>
        <v>No</v>
      </c>
      <c r="AJ939" s="8" t="str">
        <f ca="1">IFERROR(__xludf.DUMMYFUNCTION("""COMPUTED_VALUE"""),"No")</f>
        <v>No</v>
      </c>
      <c r="AK939" s="8" t="str">
        <f ca="1">IFERROR(__xludf.DUMMYFUNCTION("""COMPUTED_VALUE"""),"No")</f>
        <v>No</v>
      </c>
      <c r="AL939" s="8"/>
      <c r="AM939" s="8" t="str">
        <f ca="1">IFERROR(__xludf.DUMMYFUNCTION("""COMPUTED_VALUE"""),"No")</f>
        <v>No</v>
      </c>
      <c r="AN939" s="8" t="str">
        <f ca="1">IFERROR(__xludf.DUMMYFUNCTION("""COMPUTED_VALUE"""),"Outside")</f>
        <v>Outside</v>
      </c>
      <c r="AO939" s="8" t="str">
        <f ca="1">IFERROR(__xludf.DUMMYFUNCTION("""COMPUTED_VALUE"""),"No")</f>
        <v>No</v>
      </c>
      <c r="AP939" s="8"/>
      <c r="AQ939" s="8"/>
      <c r="AR939" s="8" t="str">
        <f ca="1">IFERROR(__xludf.DUMMYFUNCTION("""COMPUTED_VALUE"""),"Outside/Off-Property")</f>
        <v>Outside/Off-Property</v>
      </c>
      <c r="AS939" s="8"/>
      <c r="AT939" s="8"/>
      <c r="AU939" s="8">
        <f ca="1">IFERROR(__xludf.DUMMYFUNCTION("""COMPUTED_VALUE"""),35.184992)</f>
        <v>35.184992000000001</v>
      </c>
      <c r="AV939" s="8">
        <f ca="1">IFERROR(__xludf.DUMMYFUNCTION("""COMPUTED_VALUE"""),-79.433734)</f>
        <v>-79.433734000000001</v>
      </c>
      <c r="AW939" s="8"/>
      <c r="AX939" s="8">
        <f ca="1">IFERROR(__xludf.DUMMYFUNCTION("""COMPUTED_VALUE"""),28387)</f>
        <v>28387</v>
      </c>
    </row>
    <row r="940" spans="1:50" ht="180" x14ac:dyDescent="0.2">
      <c r="A940" s="8" t="str">
        <f ca="1">IFERROR(__xludf.DUMMYFUNCTION("""COMPUTED_VALUE"""),"20221004MAJB")</f>
        <v>20221004MAJB</v>
      </c>
      <c r="B940" s="8">
        <f ca="1">IFERROR(__xludf.DUMMYFUNCTION("""COMPUTED_VALUE"""),10)</f>
        <v>10</v>
      </c>
      <c r="C940" s="8">
        <f ca="1">IFERROR(__xludf.DUMMYFUNCTION("""COMPUTED_VALUE"""),4)</f>
        <v>4</v>
      </c>
      <c r="D940" s="8">
        <f ca="1">IFERROR(__xludf.DUMMYFUNCTION("""COMPUTED_VALUE"""),2022)</f>
        <v>2022</v>
      </c>
      <c r="E940" s="9">
        <f ca="1">IFERROR(__xludf.DUMMYFUNCTION("""COMPUTED_VALUE"""),44838)</f>
        <v>44838</v>
      </c>
      <c r="F940" s="8" t="str">
        <f ca="1">IFERROR(__xludf.DUMMYFUNCTION("""COMPUTED_VALUE"""),"Jeremiah Burke High School")</f>
        <v>Jeremiah Burke High School</v>
      </c>
      <c r="G940" s="8">
        <f ca="1">IFERROR(__xludf.DUMMYFUNCTION("""COMPUTED_VALUE"""),0)</f>
        <v>0</v>
      </c>
      <c r="H940" s="8">
        <f ca="1">IFERROR(__xludf.DUMMYFUNCTION("""COMPUTED_VALUE"""),1)</f>
        <v>1</v>
      </c>
      <c r="I940" s="8">
        <f ca="1">IFERROR(__xludf.DUMMYFUNCTION("""COMPUTED_VALUE"""),1)</f>
        <v>1</v>
      </c>
      <c r="J940" s="8">
        <f ca="1">IFERROR(__xludf.DUMMYFUNCTION("""COMPUTED_VALUE"""),0)</f>
        <v>0</v>
      </c>
      <c r="K940" s="10" t="str">
        <f ca="1">IFERROR(__xludf.DUMMYFUNCTION("""COMPUTED_VALUE"""),"https://www.boston.com/news/local-news/2022/10/04/person-shot-tuesday-morning-near-jeremiah-burke-high-school-in-dorchester/")</f>
        <v>https://www.boston.com/news/local-news/2022/10/04/person-shot-tuesday-morning-near-jeremiah-burke-high-school-in-dorchester/</v>
      </c>
      <c r="L940" s="8">
        <f ca="1">IFERROR(__xludf.DUMMYFUNCTION("""COMPUTED_VALUE"""),50)</f>
        <v>50</v>
      </c>
      <c r="M940" s="8" t="str">
        <f ca="1">IFERROR(__xludf.DUMMYFUNCTION("""COMPUTED_VALUE"""),"National")</f>
        <v>National</v>
      </c>
      <c r="N940" s="8">
        <f ca="1">IFERROR(__xludf.DUMMYFUNCTION("""COMPUTED_VALUE"""),4)</f>
        <v>4</v>
      </c>
      <c r="O940" s="8" t="str">
        <f ca="1">IFERROR(__xludf.DUMMYFUNCTION("""COMPUTED_VALUE"""),"Fall")</f>
        <v>Fall</v>
      </c>
      <c r="P940" s="8" t="str">
        <f ca="1">IFERROR(__xludf.DUMMYFUNCTION("""COMPUTED_VALUE"""),"Boston")</f>
        <v>Boston</v>
      </c>
      <c r="Q940" s="8" t="str">
        <f ca="1">IFERROR(__xludf.DUMMYFUNCTION("""COMPUTED_VALUE"""),"MA")</f>
        <v>MA</v>
      </c>
      <c r="R940" s="8" t="str">
        <f ca="1">IFERROR(__xludf.DUMMYFUNCTION("""COMPUTED_VALUE"""),"High")</f>
        <v>High</v>
      </c>
      <c r="S940" s="8" t="str">
        <f ca="1">IFERROR(__xludf.DUMMYFUNCTION("""COMPUTED_VALUE"""),"Front of School")</f>
        <v>Front of School</v>
      </c>
      <c r="T940" s="8" t="str">
        <f ca="1">IFERROR(__xludf.DUMMYFUNCTION("""COMPUTED_VALUE"""),"Outside on School Property")</f>
        <v>Outside on School Property</v>
      </c>
      <c r="U940" s="8" t="str">
        <f ca="1">IFERROR(__xludf.DUMMYFUNCTION("""COMPUTED_VALUE"""),"Yes")</f>
        <v>Yes</v>
      </c>
      <c r="V940" s="8" t="str">
        <f ca="1">IFERROR(__xludf.DUMMYFUNCTION("""COMPUTED_VALUE"""),"Morning Classes")</f>
        <v>Morning Classes</v>
      </c>
      <c r="W940" s="11">
        <f ca="1">IFERROR(__xludf.DUMMYFUNCTION("""COMPUTED_VALUE"""),0.395833333333333)</f>
        <v>0.39583333333333298</v>
      </c>
      <c r="X940" s="8">
        <f ca="1">IFERROR(__xludf.DUMMYFUNCTION("""COMPUTED_VALUE"""),1)</f>
        <v>1</v>
      </c>
      <c r="Y940" s="12" t="str">
        <f ca="1">IFERROR(__xludf.DUMMYFUNCTION("""COMPUTED_VALUE"""),"Student shot by another student in front of the school")</f>
        <v>Student shot by another student in front of the school</v>
      </c>
      <c r="Z940" s="12" t="str">
        <f ca="1">IFERROR(__xludf.DUMMYFUNCTION("""COMPUTED_VALUE"""),"A student at a Boston high school is facing multiple charges in connection with the shooting of another student, the second act of major violence to happen within the past few weeks at that school. The shooting happened shortly after 9:30 a.m. Tuesday out"&amp;"side Jeremiah E. Burke High School, but police said the shooting did happen on school property. The student who was shot was listed in stable condition at a local hospital, while a 17-year-old classmate was taken into custody a short time after the shooti"&amp;"ng.
School safety officer hear the shot and immediately put the campus on lockdown.")</f>
        <v>A student at a Boston high school is facing multiple charges in connection with the shooting of another student, the second act of major violence to happen within the past few weeks at that school. The shooting happened shortly after 9:30 a.m. Tuesday outside Jeremiah E. Burke High School, but police said the shooting did happen on school property. The student who was shot was listed in stable condition at a local hospital, while a 17-year-old classmate was taken into custody a short time after the shooting.
School safety officer hear the shot and immediately put the campus on lockdown.</v>
      </c>
      <c r="AA940" s="8"/>
      <c r="AB940" s="8"/>
      <c r="AC940" s="8" t="str">
        <f ca="1">IFERROR(__xludf.DUMMYFUNCTION("""COMPUTED_VALUE"""),"Yes")</f>
        <v>Yes</v>
      </c>
      <c r="AD940" s="8" t="str">
        <f ca="1">IFERROR(__xludf.DUMMYFUNCTION("""COMPUTED_VALUE"""),"Victims Targeted")</f>
        <v>Victims Targeted</v>
      </c>
      <c r="AE940" s="8" t="str">
        <f ca="1">IFERROR(__xludf.DUMMYFUNCTION("""COMPUTED_VALUE"""),"No")</f>
        <v>No</v>
      </c>
      <c r="AF940" s="8"/>
      <c r="AG940" s="8" t="str">
        <f ca="1">IFERROR(__xludf.DUMMYFUNCTION("""COMPUTED_VALUE"""),"No")</f>
        <v>No</v>
      </c>
      <c r="AH940" s="8" t="str">
        <f ca="1">IFERROR(__xludf.DUMMYFUNCTION("""COMPUTED_VALUE"""),"No")</f>
        <v>No</v>
      </c>
      <c r="AI940" s="8" t="str">
        <f ca="1">IFERROR(__xludf.DUMMYFUNCTION("""COMPUTED_VALUE"""),"Yes")</f>
        <v>Yes</v>
      </c>
      <c r="AJ940" s="8"/>
      <c r="AK940" s="8" t="str">
        <f ca="1">IFERROR(__xludf.DUMMYFUNCTION("""COMPUTED_VALUE"""),"No")</f>
        <v>No</v>
      </c>
      <c r="AL940" s="8"/>
      <c r="AM940" s="8" t="str">
        <f ca="1">IFERROR(__xludf.DUMMYFUNCTION("""COMPUTED_VALUE"""),"No")</f>
        <v>No</v>
      </c>
      <c r="AN940" s="8" t="str">
        <f ca="1">IFERROR(__xludf.DUMMYFUNCTION("""COMPUTED_VALUE"""),"Outside")</f>
        <v>Outside</v>
      </c>
      <c r="AO940" s="8" t="str">
        <f ca="1">IFERROR(__xludf.DUMMYFUNCTION("""COMPUTED_VALUE"""),"No")</f>
        <v>No</v>
      </c>
      <c r="AP940" s="8" t="str">
        <f ca="1">IFERROR(__xludf.DUMMYFUNCTION("""COMPUTED_VALUE"""),"No")</f>
        <v>No</v>
      </c>
      <c r="AQ940" s="8"/>
      <c r="AR940" s="8" t="str">
        <f ca="1">IFERROR(__xludf.DUMMYFUNCTION("""COMPUTED_VALUE"""),"Outside/Off-Property")</f>
        <v>Outside/Off-Property</v>
      </c>
      <c r="AS940" s="8"/>
      <c r="AT940" s="8" t="str">
        <f ca="1">IFERROR(__xludf.DUMMYFUNCTION("""COMPUTED_VALUE"""),"Yes")</f>
        <v>Yes</v>
      </c>
      <c r="AU940" s="8">
        <f ca="1">IFERROR(__xludf.DUMMYFUNCTION("""COMPUTED_VALUE"""),42.307328)</f>
        <v>42.307327999999998</v>
      </c>
      <c r="AV940" s="8">
        <f ca="1">IFERROR(__xludf.DUMMYFUNCTION("""COMPUTED_VALUE"""),-71.08032)</f>
        <v>-71.08032</v>
      </c>
      <c r="AW940" s="8"/>
      <c r="AX940" s="8">
        <f ca="1">IFERROR(__xludf.DUMMYFUNCTION("""COMPUTED_VALUE"""),2121)</f>
        <v>2121</v>
      </c>
    </row>
    <row r="941" spans="1:50" ht="75" x14ac:dyDescent="0.2">
      <c r="A941" s="8" t="str">
        <f ca="1">IFERROR(__xludf.DUMMYFUNCTION("""COMPUTED_VALUE"""),"20221003MIOXO")</f>
        <v>20221003MIOXO</v>
      </c>
      <c r="B941" s="8">
        <f ca="1">IFERROR(__xludf.DUMMYFUNCTION("""COMPUTED_VALUE"""),10)</f>
        <v>10</v>
      </c>
      <c r="C941" s="8">
        <f ca="1">IFERROR(__xludf.DUMMYFUNCTION("""COMPUTED_VALUE"""),3)</f>
        <v>3</v>
      </c>
      <c r="D941" s="8">
        <f ca="1">IFERROR(__xludf.DUMMYFUNCTION("""COMPUTED_VALUE"""),2022)</f>
        <v>2022</v>
      </c>
      <c r="E941" s="9">
        <f ca="1">IFERROR(__xludf.DUMMYFUNCTION("""COMPUTED_VALUE"""),44837)</f>
        <v>44837</v>
      </c>
      <c r="F941" s="8" t="str">
        <f ca="1">IFERROR(__xludf.DUMMYFUNCTION("""COMPUTED_VALUE"""),"Oxford Middle School")</f>
        <v>Oxford Middle School</v>
      </c>
      <c r="G941" s="8">
        <f ca="1">IFERROR(__xludf.DUMMYFUNCTION("""COMPUTED_VALUE"""),0)</f>
        <v>0</v>
      </c>
      <c r="H941" s="8">
        <f ca="1">IFERROR(__xludf.DUMMYFUNCTION("""COMPUTED_VALUE"""),0)</f>
        <v>0</v>
      </c>
      <c r="I941" s="8">
        <f ca="1">IFERROR(__xludf.DUMMYFUNCTION("""COMPUTED_VALUE"""),0)</f>
        <v>0</v>
      </c>
      <c r="J941" s="8">
        <f ca="1">IFERROR(__xludf.DUMMYFUNCTION("""COMPUTED_VALUE"""),0)</f>
        <v>0</v>
      </c>
      <c r="K941" s="10" t="str">
        <f ca="1">IFERROR(__xludf.DUMMYFUNCTION("""COMPUTED_VALUE"""),"https://www.detroitnews.com/story/news/local/oakland-county/2022/10/04/security-guard-fires-gun-oxford-middle-school/69537444007/")</f>
        <v>https://www.detroitnews.com/story/news/local/oakland-county/2022/10/04/security-guard-fires-gun-oxford-middle-school/69537444007/</v>
      </c>
      <c r="L941" s="8">
        <f ca="1">IFERROR(__xludf.DUMMYFUNCTION("""COMPUTED_VALUE"""),1)</f>
        <v>1</v>
      </c>
      <c r="M941" s="8" t="str">
        <f ca="1">IFERROR(__xludf.DUMMYFUNCTION("""COMPUTED_VALUE"""),"Local")</f>
        <v>Local</v>
      </c>
      <c r="N941" s="8">
        <f ca="1">IFERROR(__xludf.DUMMYFUNCTION("""COMPUTED_VALUE"""),4)</f>
        <v>4</v>
      </c>
      <c r="O941" s="8" t="str">
        <f ca="1">IFERROR(__xludf.DUMMYFUNCTION("""COMPUTED_VALUE"""),"Fall")</f>
        <v>Fall</v>
      </c>
      <c r="P941" s="8" t="str">
        <f ca="1">IFERROR(__xludf.DUMMYFUNCTION("""COMPUTED_VALUE"""),"Oxford")</f>
        <v>Oxford</v>
      </c>
      <c r="Q941" s="8" t="str">
        <f ca="1">IFERROR(__xludf.DUMMYFUNCTION("""COMPUTED_VALUE"""),"MI")</f>
        <v>MI</v>
      </c>
      <c r="R941" s="8" t="str">
        <f ca="1">IFERROR(__xludf.DUMMYFUNCTION("""COMPUTED_VALUE"""),"Middle")</f>
        <v>Middle</v>
      </c>
      <c r="S941" s="8" t="str">
        <f ca="1">IFERROR(__xludf.DUMMYFUNCTION("""COMPUTED_VALUE"""),"Bathroom")</f>
        <v>Bathroom</v>
      </c>
      <c r="T941" s="8" t="str">
        <f ca="1">IFERROR(__xludf.DUMMYFUNCTION("""COMPUTED_VALUE"""),"Inside School Building")</f>
        <v>Inside School Building</v>
      </c>
      <c r="U941" s="8" t="str">
        <f ca="1">IFERROR(__xludf.DUMMYFUNCTION("""COMPUTED_VALUE"""),"Yes")</f>
        <v>Yes</v>
      </c>
      <c r="V941" s="8"/>
      <c r="W941" s="8"/>
      <c r="X941" s="8">
        <f ca="1">IFERROR(__xludf.DUMMYFUNCTION("""COMPUTED_VALUE"""),1)</f>
        <v>1</v>
      </c>
      <c r="Y941" s="12" t="str">
        <f ca="1">IFERROR(__xludf.DUMMYFUNCTION("""COMPUTED_VALUE"""),"Armed guard (retired officer) fired shot into bathroom ceiling while putting on belt")</f>
        <v>Armed guard (retired officer) fired shot into bathroom ceiling while putting on belt</v>
      </c>
      <c r="Z941" s="12" t="str">
        <f ca="1">IFERROR(__xludf.DUMMYFUNCTION("""COMPUTED_VALUE"""),"Armed guard (retired officer) fired shot into bathroom ceiling while putting on belt")</f>
        <v>Armed guard (retired officer) fired shot into bathroom ceiling while putting on belt</v>
      </c>
      <c r="AA941" s="8" t="str">
        <f ca="1">IFERROR(__xludf.DUMMYFUNCTION("""COMPUTED_VALUE"""),"Accidental")</f>
        <v>Accidental</v>
      </c>
      <c r="AB941" s="8"/>
      <c r="AC941" s="8" t="str">
        <f ca="1">IFERROR(__xludf.DUMMYFUNCTION("""COMPUTED_VALUE"""),"Yes")</f>
        <v>Yes</v>
      </c>
      <c r="AD941" s="8" t="str">
        <f ca="1">IFERROR(__xludf.DUMMYFUNCTION("""COMPUTED_VALUE"""),"Neither")</f>
        <v>Neither</v>
      </c>
      <c r="AE941" s="8" t="str">
        <f ca="1">IFERROR(__xludf.DUMMYFUNCTION("""COMPUTED_VALUE"""),"No")</f>
        <v>No</v>
      </c>
      <c r="AF941" s="8"/>
      <c r="AG941" s="8" t="str">
        <f ca="1">IFERROR(__xludf.DUMMYFUNCTION("""COMPUTED_VALUE"""),"No")</f>
        <v>No</v>
      </c>
      <c r="AH941" s="8" t="str">
        <f ca="1">IFERROR(__xludf.DUMMYFUNCTION("""COMPUTED_VALUE"""),"No")</f>
        <v>No</v>
      </c>
      <c r="AI941" s="8" t="str">
        <f ca="1">IFERROR(__xludf.DUMMYFUNCTION("""COMPUTED_VALUE"""),"Yes")</f>
        <v>Yes</v>
      </c>
      <c r="AJ941" s="8" t="str">
        <f ca="1">IFERROR(__xludf.DUMMYFUNCTION("""COMPUTED_VALUE"""),"No")</f>
        <v>No</v>
      </c>
      <c r="AK941" s="8" t="str">
        <f ca="1">IFERROR(__xludf.DUMMYFUNCTION("""COMPUTED_VALUE"""),"No")</f>
        <v>No</v>
      </c>
      <c r="AL941" s="8"/>
      <c r="AM941" s="8" t="str">
        <f ca="1">IFERROR(__xludf.DUMMYFUNCTION("""COMPUTED_VALUE"""),"No")</f>
        <v>No</v>
      </c>
      <c r="AN941" s="8" t="str">
        <f ca="1">IFERROR(__xludf.DUMMYFUNCTION("""COMPUTED_VALUE"""),"Single Room")</f>
        <v>Single Room</v>
      </c>
      <c r="AO941" s="8" t="str">
        <f ca="1">IFERROR(__xludf.DUMMYFUNCTION("""COMPUTED_VALUE"""),"No")</f>
        <v>No</v>
      </c>
      <c r="AP941" s="8"/>
      <c r="AQ941" s="8"/>
      <c r="AR941" s="8" t="str">
        <f ca="1">IFERROR(__xludf.DUMMYFUNCTION("""COMPUTED_VALUE"""),"Outside/Off-Property")</f>
        <v>Outside/Off-Property</v>
      </c>
      <c r="AS941" s="8">
        <f ca="1">IFERROR(__xludf.DUMMYFUNCTION("""COMPUTED_VALUE"""),1)</f>
        <v>1</v>
      </c>
      <c r="AT941" s="8"/>
      <c r="AU941" s="8">
        <f ca="1">IFERROR(__xludf.DUMMYFUNCTION("""COMPUTED_VALUE"""),42.820093)</f>
        <v>42.820093</v>
      </c>
      <c r="AV941" s="8">
        <f ca="1">IFERROR(__xludf.DUMMYFUNCTION("""COMPUTED_VALUE"""),-83.234323)</f>
        <v>-83.234323000000003</v>
      </c>
      <c r="AW941" s="8"/>
      <c r="AX941" s="8">
        <f ca="1">IFERROR(__xludf.DUMMYFUNCTION("""COMPUTED_VALUE"""),48371)</f>
        <v>48371</v>
      </c>
    </row>
    <row r="942" spans="1:50" ht="45" x14ac:dyDescent="0.2">
      <c r="A942" s="8" t="str">
        <f ca="1">IFERROR(__xludf.DUMMYFUNCTION("""COMPUTED_VALUE"""),"20221001CACOO")</f>
        <v>20221001CACOO</v>
      </c>
      <c r="B942" s="8">
        <f ca="1">IFERROR(__xludf.DUMMYFUNCTION("""COMPUTED_VALUE"""),10)</f>
        <v>10</v>
      </c>
      <c r="C942" s="8">
        <f ca="1">IFERROR(__xludf.DUMMYFUNCTION("""COMPUTED_VALUE"""),1)</f>
        <v>1</v>
      </c>
      <c r="D942" s="8">
        <f ca="1">IFERROR(__xludf.DUMMYFUNCTION("""COMPUTED_VALUE"""),2022)</f>
        <v>2022</v>
      </c>
      <c r="E942" s="9">
        <f ca="1">IFERROR(__xludf.DUMMYFUNCTION("""COMPUTED_VALUE"""),44835)</f>
        <v>44835</v>
      </c>
      <c r="F942" s="8" t="str">
        <f ca="1">IFERROR(__xludf.DUMMYFUNCTION("""COMPUTED_VALUE"""),"Colony High School")</f>
        <v>Colony High School</v>
      </c>
      <c r="G942" s="8">
        <f ca="1">IFERROR(__xludf.DUMMYFUNCTION("""COMPUTED_VALUE"""),0)</f>
        <v>0</v>
      </c>
      <c r="H942" s="8">
        <f ca="1">IFERROR(__xludf.DUMMYFUNCTION("""COMPUTED_VALUE"""),1)</f>
        <v>1</v>
      </c>
      <c r="I942" s="8">
        <f ca="1">IFERROR(__xludf.DUMMYFUNCTION("""COMPUTED_VALUE"""),1)</f>
        <v>1</v>
      </c>
      <c r="J942" s="8">
        <f ca="1">IFERROR(__xludf.DUMMYFUNCTION("""COMPUTED_VALUE"""),0)</f>
        <v>0</v>
      </c>
      <c r="K942" s="8" t="str">
        <f ca="1">IFERROR(__xludf.DUMMYFUNCTION("""COMPUTED_VALUE"""),"https://www.foxla.com/news/man-shot-at-youth-football-game-in-ontario
https://www.ontarioca.gov/press_releases/colony-high-school-shooting-suspect-arrested
https://apnews.com/article/college-football-sports-ontario-california-fc64c2e2e2f9b7f4cbdc6d1999982"&amp;"1aa
https://www.cbsnews.com/losangeles/news/man-shot-on-colony-high-school-field-in-ontario-suspects-at-large/")</f>
        <v>https://www.foxla.com/news/man-shot-at-youth-football-game-in-ontario
https://www.ontarioca.gov/press_releases/colony-high-school-shooting-suspect-arrested
https://apnews.com/article/college-football-sports-ontario-california-fc64c2e2e2f9b7f4cbdc6d19999821aa
https://www.cbsnews.com/losangeles/news/man-shot-on-colony-high-school-field-in-ontario-suspects-at-large/</v>
      </c>
      <c r="L942" s="8">
        <f ca="1">IFERROR(__xludf.DUMMYFUNCTION("""COMPUTED_VALUE"""),5)</f>
        <v>5</v>
      </c>
      <c r="M942" s="8" t="str">
        <f ca="1">IFERROR(__xludf.DUMMYFUNCTION("""COMPUTED_VALUE"""),"Regional")</f>
        <v>Regional</v>
      </c>
      <c r="N942" s="8">
        <f ca="1">IFERROR(__xludf.DUMMYFUNCTION("""COMPUTED_VALUE"""),4)</f>
        <v>4</v>
      </c>
      <c r="O942" s="8" t="str">
        <f ca="1">IFERROR(__xludf.DUMMYFUNCTION("""COMPUTED_VALUE"""),"Fall")</f>
        <v>Fall</v>
      </c>
      <c r="P942" s="8" t="str">
        <f ca="1">IFERROR(__xludf.DUMMYFUNCTION("""COMPUTED_VALUE"""),"Ontario")</f>
        <v>Ontario</v>
      </c>
      <c r="Q942" s="8" t="str">
        <f ca="1">IFERROR(__xludf.DUMMYFUNCTION("""COMPUTED_VALUE"""),"CA")</f>
        <v>CA</v>
      </c>
      <c r="R942" s="8" t="str">
        <f ca="1">IFERROR(__xludf.DUMMYFUNCTION("""COMPUTED_VALUE"""),"High")</f>
        <v>High</v>
      </c>
      <c r="S942" s="8" t="str">
        <f ca="1">IFERROR(__xludf.DUMMYFUNCTION("""COMPUTED_VALUE"""),"Football Field/Track")</f>
        <v>Football Field/Track</v>
      </c>
      <c r="T942" s="8" t="str">
        <f ca="1">IFERROR(__xludf.DUMMYFUNCTION("""COMPUTED_VALUE"""),"Outside on School Property")</f>
        <v>Outside on School Property</v>
      </c>
      <c r="U942" s="8" t="str">
        <f ca="1">IFERROR(__xludf.DUMMYFUNCTION("""COMPUTED_VALUE"""),"No")</f>
        <v>No</v>
      </c>
      <c r="V942" s="8" t="str">
        <f ca="1">IFERROR(__xludf.DUMMYFUNCTION("""COMPUTED_VALUE"""),"Sport Event")</f>
        <v>Sport Event</v>
      </c>
      <c r="W942" s="11">
        <f ca="1">IFERROR(__xludf.DUMMYFUNCTION("""COMPUTED_VALUE"""),0.604166666666666)</f>
        <v>0.60416666666666596</v>
      </c>
      <c r="X942" s="8">
        <f ca="1">IFERROR(__xludf.DUMMYFUNCTION("""COMPUTED_VALUE"""),1)</f>
        <v>1</v>
      </c>
      <c r="Y942" s="12" t="str">
        <f ca="1">IFERROR(__xludf.DUMMYFUNCTION("""COMPUTED_VALUE"""),"Man shot multiple times at youth football game")</f>
        <v>Man shot multiple times at youth football game</v>
      </c>
      <c r="Z942" s="12" t="str">
        <f ca="1">IFERROR(__xludf.DUMMYFUNCTION("""COMPUTED_VALUE"""),"A 34-year-old man was shot multiple times on the sidewalk next to the football field during youth football. Shooter fled.")</f>
        <v>A 34-year-old man was shot multiple times on the sidewalk next to the football field during youth football. Shooter fled.</v>
      </c>
      <c r="AA942" s="8"/>
      <c r="AB942" s="8"/>
      <c r="AC942" s="8" t="str">
        <f ca="1">IFERROR(__xludf.DUMMYFUNCTION("""COMPUTED_VALUE"""),"No")</f>
        <v>No</v>
      </c>
      <c r="AD942" s="8" t="str">
        <f ca="1">IFERROR(__xludf.DUMMYFUNCTION("""COMPUTED_VALUE"""),"Victims Targeted")</f>
        <v>Victims Targeted</v>
      </c>
      <c r="AE942" s="8" t="str">
        <f ca="1">IFERROR(__xludf.DUMMYFUNCTION("""COMPUTED_VALUE"""),"No")</f>
        <v>No</v>
      </c>
      <c r="AF942" s="8"/>
      <c r="AG942" s="8" t="str">
        <f ca="1">IFERROR(__xludf.DUMMYFUNCTION("""COMPUTED_VALUE"""),"No")</f>
        <v>No</v>
      </c>
      <c r="AH942" s="8" t="str">
        <f ca="1">IFERROR(__xludf.DUMMYFUNCTION("""COMPUTED_VALUE"""),"No")</f>
        <v>No</v>
      </c>
      <c r="AI942" s="8" t="str">
        <f ca="1">IFERROR(__xludf.DUMMYFUNCTION("""COMPUTED_VALUE"""),"No")</f>
        <v>No</v>
      </c>
      <c r="AJ942" s="8" t="str">
        <f ca="1">IFERROR(__xludf.DUMMYFUNCTION("""COMPUTED_VALUE"""),"No")</f>
        <v>No</v>
      </c>
      <c r="AK942" s="8" t="str">
        <f ca="1">IFERROR(__xludf.DUMMYFUNCTION("""COMPUTED_VALUE"""),"No")</f>
        <v>No</v>
      </c>
      <c r="AL942" s="8"/>
      <c r="AM942" s="8" t="str">
        <f ca="1">IFERROR(__xludf.DUMMYFUNCTION("""COMPUTED_VALUE"""),"No")</f>
        <v>No</v>
      </c>
      <c r="AN942" s="8" t="str">
        <f ca="1">IFERROR(__xludf.DUMMYFUNCTION("""COMPUTED_VALUE"""),"Outside")</f>
        <v>Outside</v>
      </c>
      <c r="AO942" s="8" t="str">
        <f ca="1">IFERROR(__xludf.DUMMYFUNCTION("""COMPUTED_VALUE"""),"No")</f>
        <v>No</v>
      </c>
      <c r="AP942" s="8"/>
      <c r="AQ942" s="8"/>
      <c r="AR942" s="8" t="str">
        <f ca="1">IFERROR(__xludf.DUMMYFUNCTION("""COMPUTED_VALUE"""),"Outside/Off-Property")</f>
        <v>Outside/Off-Property</v>
      </c>
      <c r="AS942" s="8">
        <f ca="1">IFERROR(__xludf.DUMMYFUNCTION("""COMPUTED_VALUE"""),99)</f>
        <v>99</v>
      </c>
      <c r="AT942" s="8"/>
      <c r="AU942" s="8">
        <f ca="1">IFERROR(__xludf.DUMMYFUNCTION("""COMPUTED_VALUE"""),34.018906)</f>
        <v>34.018906000000001</v>
      </c>
      <c r="AV942" s="8">
        <f ca="1">IFERROR(__xludf.DUMMYFUNCTION("""COMPUTED_VALUE"""),-117.568104)</f>
        <v>-117.56810400000001</v>
      </c>
      <c r="AW942" s="8"/>
      <c r="AX942" s="8">
        <f ca="1">IFERROR(__xludf.DUMMYFUNCTION("""COMPUTED_VALUE"""),91761)</f>
        <v>91761</v>
      </c>
    </row>
    <row r="943" spans="1:50" ht="165" x14ac:dyDescent="0.2">
      <c r="A943" s="8" t="str">
        <f ca="1">IFERROR(__xludf.DUMMYFUNCTION("""COMPUTED_VALUE"""),"20220930OKMCT")</f>
        <v>20220930OKMCT</v>
      </c>
      <c r="B943" s="8">
        <f ca="1">IFERROR(__xludf.DUMMYFUNCTION("""COMPUTED_VALUE"""),9)</f>
        <v>9</v>
      </c>
      <c r="C943" s="8">
        <f ca="1">IFERROR(__xludf.DUMMYFUNCTION("""COMPUTED_VALUE"""),30)</f>
        <v>30</v>
      </c>
      <c r="D943" s="8">
        <f ca="1">IFERROR(__xludf.DUMMYFUNCTION("""COMPUTED_VALUE"""),2022)</f>
        <v>2022</v>
      </c>
      <c r="E943" s="9">
        <f ca="1">IFERROR(__xludf.DUMMYFUNCTION("""COMPUTED_VALUE"""),44834)</f>
        <v>44834</v>
      </c>
      <c r="F943" s="8" t="str">
        <f ca="1">IFERROR(__xludf.DUMMYFUNCTION("""COMPUTED_VALUE"""),"McLain High School")</f>
        <v>McLain High School</v>
      </c>
      <c r="G943" s="8">
        <f ca="1">IFERROR(__xludf.DUMMYFUNCTION("""COMPUTED_VALUE"""),1)</f>
        <v>1</v>
      </c>
      <c r="H943" s="8">
        <f ca="1">IFERROR(__xludf.DUMMYFUNCTION("""COMPUTED_VALUE"""),3)</f>
        <v>3</v>
      </c>
      <c r="I943" s="8">
        <f ca="1">IFERROR(__xludf.DUMMYFUNCTION("""COMPUTED_VALUE"""),4)</f>
        <v>4</v>
      </c>
      <c r="J943" s="8">
        <f ca="1">IFERROR(__xludf.DUMMYFUNCTION("""COMPUTED_VALUE"""),0)</f>
        <v>0</v>
      </c>
      <c r="K943" s="8" t="str">
        <f ca="1">IFERROR(__xludf.DUMMYFUNCTION("""COMPUTED_VALUE"""),"https://www.fox23.com/news/video-teen-suspect-in-mclain-high-school-shooting-being-charged-as-an-adult/video_3da44cba-ff03-58eb-a7a1-7c1b0f353bdb.html
https://www.kktv.com/2022/10/03/2-more-victims-found-after-shooting-oklahoma-homecoming/
https://www.usn"&amp;"ews.com/news/us/articles/2022-10-01/1-teen-killed-1-wounded-in-tulsa-homecoming-game-shooting
https://www.alaskasnewssource.com/2022/10/01/1-teen-killed-1-wounded-tulsa-homecoming-game-shooting/
https://abcnews.go.com/US/high-school-homecoming-football-ga"&amp;"me-shooting-leaves-teen/story?id=90811793")</f>
        <v>https://www.fox23.com/news/video-teen-suspect-in-mclain-high-school-shooting-being-charged-as-an-adult/video_3da44cba-ff03-58eb-a7a1-7c1b0f353bdb.html
https://www.kktv.com/2022/10/03/2-more-victims-found-after-shooting-oklahoma-homecoming/
https://www.usnews.com/news/us/articles/2022-10-01/1-teen-killed-1-wounded-in-tulsa-homecoming-game-shooting
https://www.alaskasnewssource.com/2022/10/01/1-teen-killed-1-wounded-tulsa-homecoming-game-shooting/
https://abcnews.go.com/US/high-school-homecoming-football-game-shooting-leaves-teen/story?id=90811793</v>
      </c>
      <c r="L943" s="8">
        <f ca="1">IFERROR(__xludf.DUMMYFUNCTION("""COMPUTED_VALUE"""),50)</f>
        <v>50</v>
      </c>
      <c r="M943" s="8" t="str">
        <f ca="1">IFERROR(__xludf.DUMMYFUNCTION("""COMPUTED_VALUE"""),"National")</f>
        <v>National</v>
      </c>
      <c r="N943" s="8">
        <f ca="1">IFERROR(__xludf.DUMMYFUNCTION("""COMPUTED_VALUE"""),4)</f>
        <v>4</v>
      </c>
      <c r="O943" s="8" t="str">
        <f ca="1">IFERROR(__xludf.DUMMYFUNCTION("""COMPUTED_VALUE"""),"Fall")</f>
        <v>Fall</v>
      </c>
      <c r="P943" s="8" t="str">
        <f ca="1">IFERROR(__xludf.DUMMYFUNCTION("""COMPUTED_VALUE"""),"Tulsa")</f>
        <v>Tulsa</v>
      </c>
      <c r="Q943" s="8" t="str">
        <f ca="1">IFERROR(__xludf.DUMMYFUNCTION("""COMPUTED_VALUE"""),"OK")</f>
        <v>OK</v>
      </c>
      <c r="R943" s="8" t="str">
        <f ca="1">IFERROR(__xludf.DUMMYFUNCTION("""COMPUTED_VALUE"""),"High")</f>
        <v>High</v>
      </c>
      <c r="S943" s="8" t="str">
        <f ca="1">IFERROR(__xludf.DUMMYFUNCTION("""COMPUTED_VALUE"""),"Football Field/Track")</f>
        <v>Football Field/Track</v>
      </c>
      <c r="T943" s="8" t="str">
        <f ca="1">IFERROR(__xludf.DUMMYFUNCTION("""COMPUTED_VALUE"""),"Outside on School Property")</f>
        <v>Outside on School Property</v>
      </c>
      <c r="U943" s="8" t="str">
        <f ca="1">IFERROR(__xludf.DUMMYFUNCTION("""COMPUTED_VALUE"""),"No")</f>
        <v>No</v>
      </c>
      <c r="V943" s="8" t="str">
        <f ca="1">IFERROR(__xludf.DUMMYFUNCTION("""COMPUTED_VALUE"""),"Sport Event")</f>
        <v>Sport Event</v>
      </c>
      <c r="W943" s="11">
        <f ca="1">IFERROR(__xludf.DUMMYFUNCTION("""COMPUTED_VALUE"""),0.916666666666666)</f>
        <v>0.91666666666666596</v>
      </c>
      <c r="X943" s="8">
        <f ca="1">IFERROR(__xludf.DUMMYFUNCTION("""COMPUTED_VALUE"""),1)</f>
        <v>1</v>
      </c>
      <c r="Y943" s="12" t="str">
        <f ca="1">IFERROR(__xludf.DUMMYFUNCTION("""COMPUTED_VALUE"""),"Teen killed and another wounded behind the stands during homecoming football game")</f>
        <v>Teen killed and another wounded behind the stands during homecoming football game</v>
      </c>
      <c r="Z943" s="12" t="str">
        <f ca="1">IFERROR(__xludf.DUMMYFUNCTION("""COMPUTED_VALUE"""),"The incident occurred just before 10 p.m. at McLain High School in Tulsa, Oklahoma, when the Tulsa Police Department was alerted to a shooting during McLain's homecoming football game in front of a crowd of hundreds against Miami High School. Officers fou"&amp;"nd two teenage victims suffering from gunshot wounds when they arrived on site. One 17-year-old male was pronounced dead at the scene of the crime. The other 17-year-old victim was immediately taken to a local hospital and listed in critical condition but"&amp;" has since improved to stable condition, according to a statement from the Tulsa Police Department.")</f>
        <v>The incident occurred just before 10 p.m. at McLain High School in Tulsa, Oklahoma, when the Tulsa Police Department was alerted to a shooting during McLain's homecoming football game in front of a crowd of hundreds against Miami High School. Officers found two teenage victims suffering from gunshot wounds when they arrived on site. One 17-year-old male was pronounced dead at the scene of the crime. The other 17-year-old victim was immediately taken to a local hospital and listed in critical condition but has since improved to stable condition, according to a statement from the Tulsa Police Department.</v>
      </c>
      <c r="AA943" s="8"/>
      <c r="AB943" s="8"/>
      <c r="AC943" s="8" t="str">
        <f ca="1">IFERROR(__xludf.DUMMYFUNCTION("""COMPUTED_VALUE"""),"Yes")</f>
        <v>Yes</v>
      </c>
      <c r="AD943" s="8"/>
      <c r="AE943" s="8" t="str">
        <f ca="1">IFERROR(__xludf.DUMMYFUNCTION("""COMPUTED_VALUE"""),"No")</f>
        <v>No</v>
      </c>
      <c r="AF943" s="8"/>
      <c r="AG943" s="8" t="str">
        <f ca="1">IFERROR(__xludf.DUMMYFUNCTION("""COMPUTED_VALUE"""),"No")</f>
        <v>No</v>
      </c>
      <c r="AH943" s="8" t="str">
        <f ca="1">IFERROR(__xludf.DUMMYFUNCTION("""COMPUTED_VALUE"""),"No")</f>
        <v>No</v>
      </c>
      <c r="AI943" s="8" t="str">
        <f ca="1">IFERROR(__xludf.DUMMYFUNCTION("""COMPUTED_VALUE"""),"No")</f>
        <v>No</v>
      </c>
      <c r="AJ943" s="8" t="str">
        <f ca="1">IFERROR(__xludf.DUMMYFUNCTION("""COMPUTED_VALUE"""),"No")</f>
        <v>No</v>
      </c>
      <c r="AK943" s="8" t="str">
        <f ca="1">IFERROR(__xludf.DUMMYFUNCTION("""COMPUTED_VALUE"""),"No")</f>
        <v>No</v>
      </c>
      <c r="AL943" s="8"/>
      <c r="AM943" s="8" t="str">
        <f ca="1">IFERROR(__xludf.DUMMYFUNCTION("""COMPUTED_VALUE"""),"No")</f>
        <v>No</v>
      </c>
      <c r="AN943" s="8" t="str">
        <f ca="1">IFERROR(__xludf.DUMMYFUNCTION("""COMPUTED_VALUE"""),"Outside")</f>
        <v>Outside</v>
      </c>
      <c r="AO943" s="8" t="str">
        <f ca="1">IFERROR(__xludf.DUMMYFUNCTION("""COMPUTED_VALUE"""),"No")</f>
        <v>No</v>
      </c>
      <c r="AP943" s="8"/>
      <c r="AQ943" s="8"/>
      <c r="AR943" s="8" t="str">
        <f ca="1">IFERROR(__xludf.DUMMYFUNCTION("""COMPUTED_VALUE"""),"Outside/Off-Property")</f>
        <v>Outside/Off-Property</v>
      </c>
      <c r="AS943" s="8">
        <f ca="1">IFERROR(__xludf.DUMMYFUNCTION("""COMPUTED_VALUE"""),99)</f>
        <v>99</v>
      </c>
      <c r="AT943" s="8"/>
      <c r="AU943" s="8">
        <f ca="1">IFERROR(__xludf.DUMMYFUNCTION("""COMPUTED_VALUE"""),36.224711)</f>
        <v>36.224710999999999</v>
      </c>
      <c r="AV943" s="8">
        <f ca="1">IFERROR(__xludf.DUMMYFUNCTION("""COMPUTED_VALUE"""),-95.974002)</f>
        <v>-95.974001999999999</v>
      </c>
      <c r="AW943" s="8"/>
      <c r="AX943" s="8">
        <f ca="1">IFERROR(__xludf.DUMMYFUNCTION("""COMPUTED_VALUE"""),74126)</f>
        <v>74126</v>
      </c>
    </row>
    <row r="944" spans="1:50" ht="120" x14ac:dyDescent="0.2">
      <c r="A944" s="8" t="str">
        <f ca="1">IFERROR(__xludf.DUMMYFUNCTION("""COMPUTED_VALUE"""),"20220930NYNEN")</f>
        <v>20220930NYNEN</v>
      </c>
      <c r="B944" s="8">
        <f ca="1">IFERROR(__xludf.DUMMYFUNCTION("""COMPUTED_VALUE"""),9)</f>
        <v>9</v>
      </c>
      <c r="C944" s="8">
        <f ca="1">IFERROR(__xludf.DUMMYFUNCTION("""COMPUTED_VALUE"""),30)</f>
        <v>30</v>
      </c>
      <c r="D944" s="8">
        <f ca="1">IFERROR(__xludf.DUMMYFUNCTION("""COMPUTED_VALUE"""),2022)</f>
        <v>2022</v>
      </c>
      <c r="E944" s="9">
        <f ca="1">IFERROR(__xludf.DUMMYFUNCTION("""COMPUTED_VALUE"""),44834)</f>
        <v>44834</v>
      </c>
      <c r="F944" s="8" t="str">
        <f ca="1">IFERROR(__xludf.DUMMYFUNCTION("""COMPUTED_VALUE"""),"Newburgh Free Academy")</f>
        <v>Newburgh Free Academy</v>
      </c>
      <c r="G944" s="8">
        <f ca="1">IFERROR(__xludf.DUMMYFUNCTION("""COMPUTED_VALUE"""),0)</f>
        <v>0</v>
      </c>
      <c r="H944" s="8">
        <f ca="1">IFERROR(__xludf.DUMMYFUNCTION("""COMPUTED_VALUE"""),3)</f>
        <v>3</v>
      </c>
      <c r="I944" s="8">
        <f ca="1">IFERROR(__xludf.DUMMYFUNCTION("""COMPUTED_VALUE"""),3)</f>
        <v>3</v>
      </c>
      <c r="J944" s="8">
        <f ca="1">IFERROR(__xludf.DUMMYFUNCTION("""COMPUTED_VALUE"""),0)</f>
        <v>0</v>
      </c>
      <c r="K944" s="8" t="str">
        <f ca="1">IFERROR(__xludf.DUMMYFUNCTION("""COMPUTED_VALUE"""),"https://www.recordonline.com/story/news/crime/2022/10/01/newburgh-free-academy-shooting-football-game/69531966007/
https://midhudsonnews.com/2022/10/01/three-people-shot-in-newburgh-following-high-school-football-game/")</f>
        <v>https://www.recordonline.com/story/news/crime/2022/10/01/newburgh-free-academy-shooting-football-game/69531966007/
https://midhudsonnews.com/2022/10/01/three-people-shot-in-newburgh-following-high-school-football-game/</v>
      </c>
      <c r="L944" s="8">
        <f ca="1">IFERROR(__xludf.DUMMYFUNCTION("""COMPUTED_VALUE"""),2)</f>
        <v>2</v>
      </c>
      <c r="M944" s="8" t="str">
        <f ca="1">IFERROR(__xludf.DUMMYFUNCTION("""COMPUTED_VALUE"""),"Local")</f>
        <v>Local</v>
      </c>
      <c r="N944" s="8">
        <f ca="1">IFERROR(__xludf.DUMMYFUNCTION("""COMPUTED_VALUE"""),4)</f>
        <v>4</v>
      </c>
      <c r="O944" s="8" t="str">
        <f ca="1">IFERROR(__xludf.DUMMYFUNCTION("""COMPUTED_VALUE"""),"Fall")</f>
        <v>Fall</v>
      </c>
      <c r="P944" s="8" t="str">
        <f ca="1">IFERROR(__xludf.DUMMYFUNCTION("""COMPUTED_VALUE"""),"Newburgh")</f>
        <v>Newburgh</v>
      </c>
      <c r="Q944" s="8" t="str">
        <f ca="1">IFERROR(__xludf.DUMMYFUNCTION("""COMPUTED_VALUE"""),"NY")</f>
        <v>NY</v>
      </c>
      <c r="R944" s="8" t="str">
        <f ca="1">IFERROR(__xludf.DUMMYFUNCTION("""COMPUTED_VALUE"""),"High")</f>
        <v>High</v>
      </c>
      <c r="S944" s="8" t="str">
        <f ca="1">IFERROR(__xludf.DUMMYFUNCTION("""COMPUTED_VALUE"""),"Parking Lot")</f>
        <v>Parking Lot</v>
      </c>
      <c r="T944" s="8" t="str">
        <f ca="1">IFERROR(__xludf.DUMMYFUNCTION("""COMPUTED_VALUE"""),"Outside on School Property")</f>
        <v>Outside on School Property</v>
      </c>
      <c r="U944" s="8" t="str">
        <f ca="1">IFERROR(__xludf.DUMMYFUNCTION("""COMPUTED_VALUE"""),"No")</f>
        <v>No</v>
      </c>
      <c r="V944" s="8" t="str">
        <f ca="1">IFERROR(__xludf.DUMMYFUNCTION("""COMPUTED_VALUE"""),"Sport Event")</f>
        <v>Sport Event</v>
      </c>
      <c r="W944" s="11">
        <f ca="1">IFERROR(__xludf.DUMMYFUNCTION("""COMPUTED_VALUE"""),0.899305555555555)</f>
        <v>0.89930555555555503</v>
      </c>
      <c r="X944" s="8">
        <f ca="1">IFERROR(__xludf.DUMMYFUNCTION("""COMPUTED_VALUE"""),1)</f>
        <v>1</v>
      </c>
      <c r="Y944" s="12" t="str">
        <f ca="1">IFERROR(__xludf.DUMMYFUNCTION("""COMPUTED_VALUE"""),"Three people shot during fight in the parking lot following the high school football game.")</f>
        <v>Three people shot during fight in the parking lot following the high school football game.</v>
      </c>
      <c r="Z944" s="12" t="str">
        <f ca="1">IFERROR(__xludf.DUMMYFUNCTION("""COMPUTED_VALUE"""),"Police Chief Anthony Geraci said a football game between Newburgh Free Academy and Warwick High School had just concluded at 9:35 p.m. when a fight broke out in a parking lot at the Newburgh school with at least five gunshots fired. Some 2,000 spectators "&amp;"were leaving the game at the time. A 43-year-old woman was shot in the foot, a 17-year-old girl was shot in the thigh and a 21-year-old man was shot in the ankle, the chief said.")</f>
        <v>Police Chief Anthony Geraci said a football game between Newburgh Free Academy and Warwick High School had just concluded at 9:35 p.m. when a fight broke out in a parking lot at the Newburgh school with at least five gunshots fired. Some 2,000 spectators were leaving the game at the time. A 43-year-old woman was shot in the foot, a 17-year-old girl was shot in the thigh and a 21-year-old man was shot in the ankle, the chief said.</v>
      </c>
      <c r="AA944" s="8" t="str">
        <f ca="1">IFERROR(__xludf.DUMMYFUNCTION("""COMPUTED_VALUE"""),"Escalation of Dispute")</f>
        <v>Escalation of Dispute</v>
      </c>
      <c r="AB944" s="8"/>
      <c r="AC944" s="8" t="str">
        <f ca="1">IFERROR(__xludf.DUMMYFUNCTION("""COMPUTED_VALUE"""),"Yes")</f>
        <v>Yes</v>
      </c>
      <c r="AD944" s="8" t="str">
        <f ca="1">IFERROR(__xludf.DUMMYFUNCTION("""COMPUTED_VALUE"""),"Both")</f>
        <v>Both</v>
      </c>
      <c r="AE944" s="8" t="str">
        <f ca="1">IFERROR(__xludf.DUMMYFUNCTION("""COMPUTED_VALUE"""),"No")</f>
        <v>No</v>
      </c>
      <c r="AF944" s="8"/>
      <c r="AG944" s="8" t="str">
        <f ca="1">IFERROR(__xludf.DUMMYFUNCTION("""COMPUTED_VALUE"""),"No")</f>
        <v>No</v>
      </c>
      <c r="AH944" s="8" t="str">
        <f ca="1">IFERROR(__xludf.DUMMYFUNCTION("""COMPUTED_VALUE"""),"No")</f>
        <v>No</v>
      </c>
      <c r="AI944" s="8" t="str">
        <f ca="1">IFERROR(__xludf.DUMMYFUNCTION("""COMPUTED_VALUE"""),"No")</f>
        <v>No</v>
      </c>
      <c r="AJ944" s="8" t="str">
        <f ca="1">IFERROR(__xludf.DUMMYFUNCTION("""COMPUTED_VALUE"""),"No")</f>
        <v>No</v>
      </c>
      <c r="AK944" s="8" t="str">
        <f ca="1">IFERROR(__xludf.DUMMYFUNCTION("""COMPUTED_VALUE"""),"No")</f>
        <v>No</v>
      </c>
      <c r="AL944" s="8"/>
      <c r="AM944" s="8" t="str">
        <f ca="1">IFERROR(__xludf.DUMMYFUNCTION("""COMPUTED_VALUE"""),"No")</f>
        <v>No</v>
      </c>
      <c r="AN944" s="8" t="str">
        <f ca="1">IFERROR(__xludf.DUMMYFUNCTION("""COMPUTED_VALUE"""),"Outside")</f>
        <v>Outside</v>
      </c>
      <c r="AO944" s="8" t="str">
        <f ca="1">IFERROR(__xludf.DUMMYFUNCTION("""COMPUTED_VALUE"""),"No")</f>
        <v>No</v>
      </c>
      <c r="AP944" s="8"/>
      <c r="AQ944" s="8"/>
      <c r="AR944" s="8" t="str">
        <f ca="1">IFERROR(__xludf.DUMMYFUNCTION("""COMPUTED_VALUE"""),"Outside/Off-Property")</f>
        <v>Outside/Off-Property</v>
      </c>
      <c r="AS944" s="8">
        <f ca="1">IFERROR(__xludf.DUMMYFUNCTION("""COMPUTED_VALUE"""),5)</f>
        <v>5</v>
      </c>
      <c r="AT944" s="8"/>
      <c r="AU944" s="8">
        <f ca="1">IFERROR(__xludf.DUMMYFUNCTION("""COMPUTED_VALUE"""),41.50887)</f>
        <v>41.508870000000002</v>
      </c>
      <c r="AV944" s="8">
        <f ca="1">IFERROR(__xludf.DUMMYFUNCTION("""COMPUTED_VALUE"""),-74.027168)</f>
        <v>-74.027168000000003</v>
      </c>
      <c r="AW944" s="8"/>
      <c r="AX944" s="8">
        <f ca="1">IFERROR(__xludf.DUMMYFUNCTION("""COMPUTED_VALUE"""),12550)</f>
        <v>12550</v>
      </c>
    </row>
    <row r="945" spans="1:50" ht="75" x14ac:dyDescent="0.2">
      <c r="A945" s="8" t="str">
        <f ca="1">IFERROR(__xludf.DUMMYFUNCTION("""COMPUTED_VALUE"""),"20220928LASEB")</f>
        <v>20220928LASEB</v>
      </c>
      <c r="B945" s="8">
        <f ca="1">IFERROR(__xludf.DUMMYFUNCTION("""COMPUTED_VALUE"""),9)</f>
        <v>9</v>
      </c>
      <c r="C945" s="8">
        <f ca="1">IFERROR(__xludf.DUMMYFUNCTION("""COMPUTED_VALUE"""),28)</f>
        <v>28</v>
      </c>
      <c r="D945" s="8">
        <f ca="1">IFERROR(__xludf.DUMMYFUNCTION("""COMPUTED_VALUE"""),2022)</f>
        <v>2022</v>
      </c>
      <c r="E945" s="9">
        <f ca="1">IFERROR(__xludf.DUMMYFUNCTION("""COMPUTED_VALUE"""),44832)</f>
        <v>44832</v>
      </c>
      <c r="F945" s="8" t="str">
        <f ca="1">IFERROR(__xludf.DUMMYFUNCTION("""COMPUTED_VALUE"""),"Second Chance Academy")</f>
        <v>Second Chance Academy</v>
      </c>
      <c r="G945" s="8">
        <f ca="1">IFERROR(__xludf.DUMMYFUNCTION("""COMPUTED_VALUE"""),0)</f>
        <v>0</v>
      </c>
      <c r="H945" s="8">
        <f ca="1">IFERROR(__xludf.DUMMYFUNCTION("""COMPUTED_VALUE"""),0)</f>
        <v>0</v>
      </c>
      <c r="I945" s="8">
        <f ca="1">IFERROR(__xludf.DUMMYFUNCTION("""COMPUTED_VALUE"""),0)</f>
        <v>0</v>
      </c>
      <c r="J945" s="8">
        <f ca="1">IFERROR(__xludf.DUMMYFUNCTION("""COMPUTED_VALUE"""),0)</f>
        <v>0</v>
      </c>
      <c r="K945" s="10" t="str">
        <f ca="1">IFERROR(__xludf.DUMMYFUNCTION("""COMPUTED_VALUE"""),"https://www.wafb.com/2022/09/28/teen-fires-shots-into-car-br-private-school/")</f>
        <v>https://www.wafb.com/2022/09/28/teen-fires-shots-into-car-br-private-school/</v>
      </c>
      <c r="L945" s="8">
        <f ca="1">IFERROR(__xludf.DUMMYFUNCTION("""COMPUTED_VALUE"""),1)</f>
        <v>1</v>
      </c>
      <c r="M945" s="8" t="str">
        <f ca="1">IFERROR(__xludf.DUMMYFUNCTION("""COMPUTED_VALUE"""),"Local")</f>
        <v>Local</v>
      </c>
      <c r="N945" s="8">
        <f ca="1">IFERROR(__xludf.DUMMYFUNCTION("""COMPUTED_VALUE"""),4)</f>
        <v>4</v>
      </c>
      <c r="O945" s="8" t="str">
        <f ca="1">IFERROR(__xludf.DUMMYFUNCTION("""COMPUTED_VALUE"""),"Fall")</f>
        <v>Fall</v>
      </c>
      <c r="P945" s="8" t="str">
        <f ca="1">IFERROR(__xludf.DUMMYFUNCTION("""COMPUTED_VALUE"""),"Baton Rouge")</f>
        <v>Baton Rouge</v>
      </c>
      <c r="Q945" s="8" t="str">
        <f ca="1">IFERROR(__xludf.DUMMYFUNCTION("""COMPUTED_VALUE"""),"LA")</f>
        <v>LA</v>
      </c>
      <c r="R945" s="8" t="str">
        <f ca="1">IFERROR(__xludf.DUMMYFUNCTION("""COMPUTED_VALUE"""),"High")</f>
        <v>High</v>
      </c>
      <c r="S945" s="8" t="str">
        <f ca="1">IFERROR(__xludf.DUMMYFUNCTION("""COMPUTED_VALUE"""),"Parking Lot")</f>
        <v>Parking Lot</v>
      </c>
      <c r="T945" s="8" t="str">
        <f ca="1">IFERROR(__xludf.DUMMYFUNCTION("""COMPUTED_VALUE"""),"Outside on School Property")</f>
        <v>Outside on School Property</v>
      </c>
      <c r="U945" s="8" t="str">
        <f ca="1">IFERROR(__xludf.DUMMYFUNCTION("""COMPUTED_VALUE"""),"Yes")</f>
        <v>Yes</v>
      </c>
      <c r="V945" s="8" t="str">
        <f ca="1">IFERROR(__xludf.DUMMYFUNCTION("""COMPUTED_VALUE"""),"Morning Classes")</f>
        <v>Morning Classes</v>
      </c>
      <c r="W945" s="11">
        <f ca="1">IFERROR(__xludf.DUMMYFUNCTION("""COMPUTED_VALUE"""),0.4375)</f>
        <v>0.4375</v>
      </c>
      <c r="X945" s="8">
        <f ca="1">IFERROR(__xludf.DUMMYFUNCTION("""COMPUTED_VALUE"""),1)</f>
        <v>1</v>
      </c>
      <c r="Y945" s="12" t="str">
        <f ca="1">IFERROR(__xludf.DUMMYFUNCTION("""COMPUTED_VALUE"""),"Student fired shots at vehicle in parking lot")</f>
        <v>Student fired shots at vehicle in parking lot</v>
      </c>
      <c r="Z945" s="12" t="str">
        <f ca="1">IFERROR(__xludf.DUMMYFUNCTION("""COMPUTED_VALUE"""),"A student left class and returned to school then fired multiple shots at a vehicle parked in the school parking lot. The vehicle was owned by the mother of a student who the shooter had an argument with. Shooter was wearing ankle monitor for prior gun cri"&amp;"me.")</f>
        <v>A student left class and returned to school then fired multiple shots at a vehicle parked in the school parking lot. The vehicle was owned by the mother of a student who the shooter had an argument with. Shooter was wearing ankle monitor for prior gun crime.</v>
      </c>
      <c r="AA945" s="8" t="str">
        <f ca="1">IFERROR(__xludf.DUMMYFUNCTION("""COMPUTED_VALUE"""),"Escalation of Dispute")</f>
        <v>Escalation of Dispute</v>
      </c>
      <c r="AB945" s="8"/>
      <c r="AC945" s="8" t="str">
        <f ca="1">IFERROR(__xludf.DUMMYFUNCTION("""COMPUTED_VALUE"""),"Yes")</f>
        <v>Yes</v>
      </c>
      <c r="AD945" s="8" t="str">
        <f ca="1">IFERROR(__xludf.DUMMYFUNCTION("""COMPUTED_VALUE"""),"Neither")</f>
        <v>Neither</v>
      </c>
      <c r="AE945" s="8" t="str">
        <f ca="1">IFERROR(__xludf.DUMMYFUNCTION("""COMPUTED_VALUE"""),"No")</f>
        <v>No</v>
      </c>
      <c r="AF945" s="8"/>
      <c r="AG945" s="8" t="str">
        <f ca="1">IFERROR(__xludf.DUMMYFUNCTION("""COMPUTED_VALUE"""),"No")</f>
        <v>No</v>
      </c>
      <c r="AH945" s="8" t="str">
        <f ca="1">IFERROR(__xludf.DUMMYFUNCTION("""COMPUTED_VALUE"""),"No")</f>
        <v>No</v>
      </c>
      <c r="AI945" s="8" t="str">
        <f ca="1">IFERROR(__xludf.DUMMYFUNCTION("""COMPUTED_VALUE"""),"No")</f>
        <v>No</v>
      </c>
      <c r="AJ945" s="8" t="str">
        <f ca="1">IFERROR(__xludf.DUMMYFUNCTION("""COMPUTED_VALUE"""),"No")</f>
        <v>No</v>
      </c>
      <c r="AK945" s="8" t="str">
        <f ca="1">IFERROR(__xludf.DUMMYFUNCTION("""COMPUTED_VALUE"""),"No")</f>
        <v>No</v>
      </c>
      <c r="AL945" s="8"/>
      <c r="AM945" s="8" t="str">
        <f ca="1">IFERROR(__xludf.DUMMYFUNCTION("""COMPUTED_VALUE"""),"No")</f>
        <v>No</v>
      </c>
      <c r="AN945" s="8" t="str">
        <f ca="1">IFERROR(__xludf.DUMMYFUNCTION("""COMPUTED_VALUE"""),"Outside")</f>
        <v>Outside</v>
      </c>
      <c r="AO945" s="8" t="str">
        <f ca="1">IFERROR(__xludf.DUMMYFUNCTION("""COMPUTED_VALUE"""),"No")</f>
        <v>No</v>
      </c>
      <c r="AP945" s="8"/>
      <c r="AQ945" s="8"/>
      <c r="AR945" s="8" t="str">
        <f ca="1">IFERROR(__xludf.DUMMYFUNCTION("""COMPUTED_VALUE"""),"Outside/Off-Property")</f>
        <v>Outside/Off-Property</v>
      </c>
      <c r="AS945" s="8">
        <f ca="1">IFERROR(__xludf.DUMMYFUNCTION("""COMPUTED_VALUE"""),99)</f>
        <v>99</v>
      </c>
      <c r="AT945" s="8"/>
      <c r="AU945" s="8">
        <f ca="1">IFERROR(__xludf.DUMMYFUNCTION("""COMPUTED_VALUE"""),30.460608)</f>
        <v>30.460608000000001</v>
      </c>
      <c r="AV945" s="8">
        <f ca="1">IFERROR(__xludf.DUMMYFUNCTION("""COMPUTED_VALUE"""),-91.121745)</f>
        <v>-91.121745000000004</v>
      </c>
      <c r="AW945" s="8"/>
      <c r="AX945" s="8">
        <f ca="1">IFERROR(__xludf.DUMMYFUNCTION("""COMPUTED_VALUE"""),70806)</f>
        <v>70806</v>
      </c>
    </row>
    <row r="946" spans="1:50" ht="105" x14ac:dyDescent="0.2">
      <c r="A946" s="8" t="str">
        <f ca="1">IFERROR(__xludf.DUMMYFUNCTION("""COMPUTED_VALUE"""),"20220928CARUO")</f>
        <v>20220928CARUO</v>
      </c>
      <c r="B946" s="8">
        <f ca="1">IFERROR(__xludf.DUMMYFUNCTION("""COMPUTED_VALUE"""),9)</f>
        <v>9</v>
      </c>
      <c r="C946" s="8">
        <f ca="1">IFERROR(__xludf.DUMMYFUNCTION("""COMPUTED_VALUE"""),28)</f>
        <v>28</v>
      </c>
      <c r="D946" s="8">
        <f ca="1">IFERROR(__xludf.DUMMYFUNCTION("""COMPUTED_VALUE"""),2022)</f>
        <v>2022</v>
      </c>
      <c r="E946" s="9">
        <f ca="1">IFERROR(__xludf.DUMMYFUNCTION("""COMPUTED_VALUE"""),44832)</f>
        <v>44832</v>
      </c>
      <c r="F946" s="8" t="str">
        <f ca="1">IFERROR(__xludf.DUMMYFUNCTION("""COMPUTED_VALUE"""),"Rudsdale Continuation High School")</f>
        <v>Rudsdale Continuation High School</v>
      </c>
      <c r="G946" s="8">
        <f ca="1">IFERROR(__xludf.DUMMYFUNCTION("""COMPUTED_VALUE"""),1)</f>
        <v>1</v>
      </c>
      <c r="H946" s="8">
        <f ca="1">IFERROR(__xludf.DUMMYFUNCTION("""COMPUTED_VALUE"""),5)</f>
        <v>5</v>
      </c>
      <c r="I946" s="8">
        <f ca="1">IFERROR(__xludf.DUMMYFUNCTION("""COMPUTED_VALUE"""),6)</f>
        <v>6</v>
      </c>
      <c r="J946" s="8">
        <f ca="1">IFERROR(__xludf.DUMMYFUNCTION("""COMPUTED_VALUE"""),0)</f>
        <v>0</v>
      </c>
      <c r="K946" s="8" t="str">
        <f ca="1">IFERROR(__xludf.DUMMYFUNCTION("""COMPUTED_VALUE"""),"https://www.kron4.com/news/bay-area/oakland-school-mass-shooting-case-remains-unsolved-police-release-video/
https://www.nbcbayarea.com/news/local/oakland-shooting-investigation/3015948/
https://www.mercurynews.com/2022/09/29/oakland-school-shooting-campu"&amp;"ses-closed-police-still-searching-for-shooter/?campaign=sjmnbreakingnews&amp;utm_email=8434C441A582D409D4D5B444DB&amp;g2i_eui=E6h%2fY%2b1ZwclqNqZYION4pCivo9CZALa3&amp;g2i_source=newsletter&amp;active=no&amp;lctg=8434C441A582D409D4D5B444DB&amp;utm_source=listrak&amp;utm_medium=email&amp;"&amp;"utm_term=https%3a%2f%2fwww.mercurynews.com%2f2022%2f09%2f29%2foakland-school-shooting-campuses-closed-police-still-searching-for-shooter%2f&amp;utm_campaign=bang-sjmn-nl-breaking-news-alerts-nl&amp;utm_content=alert
https://abc7news.com/oakland-school-shooting-fo"&amp;"ntaine-street-sojourner-truth-independent-study-police/12276357/
")</f>
        <v xml:space="preserve">https://www.kron4.com/news/bay-area/oakland-school-mass-shooting-case-remains-unsolved-police-release-video/
https://www.nbcbayarea.com/news/local/oakland-shooting-investigation/3015948/
https://www.mercurynews.com/2022/09/29/oakland-school-shooting-campuses-closed-police-still-searching-for-shooter/?campaign=sjmnbreakingnews&amp;utm_email=8434C441A582D409D4D5B444DB&amp;g2i_eui=E6h%2fY%2b1ZwclqNqZYION4pCivo9CZALa3&amp;g2i_source=newsletter&amp;active=no&amp;lctg=8434C441A582D409D4D5B444DB&amp;utm_source=listrak&amp;utm_medium=email&amp;utm_term=https%3a%2f%2fwww.mercurynews.com%2f2022%2f09%2f29%2foakland-school-shooting-campuses-closed-police-still-searching-for-shooter%2f&amp;utm_campaign=bang-sjmn-nl-breaking-news-alerts-nl&amp;utm_content=alert
https://abc7news.com/oakland-school-shooting-fontaine-street-sojourner-truth-independent-study-police/12276357/
</v>
      </c>
      <c r="L946" s="8">
        <f ca="1">IFERROR(__xludf.DUMMYFUNCTION("""COMPUTED_VALUE"""),100)</f>
        <v>100</v>
      </c>
      <c r="M946" s="8" t="str">
        <f ca="1">IFERROR(__xludf.DUMMYFUNCTION("""COMPUTED_VALUE"""),"National")</f>
        <v>National</v>
      </c>
      <c r="N946" s="8">
        <f ca="1">IFERROR(__xludf.DUMMYFUNCTION("""COMPUTED_VALUE"""),4)</f>
        <v>4</v>
      </c>
      <c r="O946" s="8" t="str">
        <f ca="1">IFERROR(__xludf.DUMMYFUNCTION("""COMPUTED_VALUE"""),"Fall")</f>
        <v>Fall</v>
      </c>
      <c r="P946" s="8" t="str">
        <f ca="1">IFERROR(__xludf.DUMMYFUNCTION("""COMPUTED_VALUE"""),"Oakland")</f>
        <v>Oakland</v>
      </c>
      <c r="Q946" s="8" t="str">
        <f ca="1">IFERROR(__xludf.DUMMYFUNCTION("""COMPUTED_VALUE"""),"CA")</f>
        <v>CA</v>
      </c>
      <c r="R946" s="8" t="str">
        <f ca="1">IFERROR(__xludf.DUMMYFUNCTION("""COMPUTED_VALUE"""),"High")</f>
        <v>High</v>
      </c>
      <c r="S946" s="8" t="str">
        <f ca="1">IFERROR(__xludf.DUMMYFUNCTION("""COMPUTED_VALUE"""),"Inside School Building")</f>
        <v>Inside School Building</v>
      </c>
      <c r="T946" s="8" t="str">
        <f ca="1">IFERROR(__xludf.DUMMYFUNCTION("""COMPUTED_VALUE"""),"Inside School Building")</f>
        <v>Inside School Building</v>
      </c>
      <c r="U946" s="8" t="str">
        <f ca="1">IFERROR(__xludf.DUMMYFUNCTION("""COMPUTED_VALUE"""),"Yes")</f>
        <v>Yes</v>
      </c>
      <c r="V946" s="8" t="str">
        <f ca="1">IFERROR(__xludf.DUMMYFUNCTION("""COMPUTED_VALUE"""),"Afternoon Classes")</f>
        <v>Afternoon Classes</v>
      </c>
      <c r="W946" s="11">
        <f ca="1">IFERROR(__xludf.DUMMYFUNCTION("""COMPUTED_VALUE"""),0.53125)</f>
        <v>0.53125</v>
      </c>
      <c r="X946" s="8"/>
      <c r="Y946" s="12" t="str">
        <f ca="1">IFERROR(__xludf.DUMMYFUNCTION("""COMPUTED_VALUE"""),"6 adults shot inside school")</f>
        <v>6 adults shot inside school</v>
      </c>
      <c r="Z946" s="12" t="str">
        <f ca="1">IFERROR(__xludf.DUMMYFUNCTION("""COMPUTED_VALUE"""),"Six adults, both students and teachers, were shot inside the school by two shooters assisted by a third person. Campus has multiple schools including an elementary, middle, high, and adult continuation high school. Entire campus locked down and was search"&amp;"ed by police. 3 in critical condition. Police believe the shooting related to an earlier fight and the shooting may be gang related.")</f>
        <v>Six adults, both students and teachers, were shot inside the school by two shooters assisted by a third person. Campus has multiple schools including an elementary, middle, high, and adult continuation high school. Entire campus locked down and was searched by police. 3 in critical condition. Police believe the shooting related to an earlier fight and the shooting may be gang related.</v>
      </c>
      <c r="AA946" s="8" t="str">
        <f ca="1">IFERROR(__xludf.DUMMYFUNCTION("""COMPUTED_VALUE"""),"Escalation of Dispute")</f>
        <v>Escalation of Dispute</v>
      </c>
      <c r="AB946" s="8"/>
      <c r="AC946" s="8" t="str">
        <f ca="1">IFERROR(__xludf.DUMMYFUNCTION("""COMPUTED_VALUE"""),"Yes")</f>
        <v>Yes</v>
      </c>
      <c r="AD946" s="8" t="str">
        <f ca="1">IFERROR(__xludf.DUMMYFUNCTION("""COMPUTED_VALUE"""),"Both")</f>
        <v>Both</v>
      </c>
      <c r="AE946" s="8" t="str">
        <f ca="1">IFERROR(__xludf.DUMMYFUNCTION("""COMPUTED_VALUE"""),"Yes")</f>
        <v>Yes</v>
      </c>
      <c r="AF946" s="8" t="str">
        <f ca="1">IFERROR(__xludf.DUMMYFUNCTION("""COMPUTED_VALUE"""),"2 shooters, 3rd person helped")</f>
        <v>2 shooters, 3rd person helped</v>
      </c>
      <c r="AG946" s="8" t="str">
        <f ca="1">IFERROR(__xludf.DUMMYFUNCTION("""COMPUTED_VALUE"""),"No")</f>
        <v>No</v>
      </c>
      <c r="AH946" s="8" t="str">
        <f ca="1">IFERROR(__xludf.DUMMYFUNCTION("""COMPUTED_VALUE"""),"No")</f>
        <v>No</v>
      </c>
      <c r="AI946" s="8" t="str">
        <f ca="1">IFERROR(__xludf.DUMMYFUNCTION("""COMPUTED_VALUE"""),"No")</f>
        <v>No</v>
      </c>
      <c r="AJ946" s="8" t="str">
        <f ca="1">IFERROR(__xludf.DUMMYFUNCTION("""COMPUTED_VALUE"""),"No")</f>
        <v>No</v>
      </c>
      <c r="AK946" s="8" t="str">
        <f ca="1">IFERROR(__xludf.DUMMYFUNCTION("""COMPUTED_VALUE"""),"No")</f>
        <v>No</v>
      </c>
      <c r="AL946" s="8" t="str">
        <f ca="1">IFERROR(__xludf.DUMMYFUNCTION("""COMPUTED_VALUE"""),"Yes")</f>
        <v>Yes</v>
      </c>
      <c r="AM946" s="8" t="str">
        <f ca="1">IFERROR(__xludf.DUMMYFUNCTION("""COMPUTED_VALUE"""),"No")</f>
        <v>No</v>
      </c>
      <c r="AN946" s="8"/>
      <c r="AO946" s="8" t="str">
        <f ca="1">IFERROR(__xludf.DUMMYFUNCTION("""COMPUTED_VALUE"""),"No")</f>
        <v>No</v>
      </c>
      <c r="AP946" s="8"/>
      <c r="AQ946" s="8"/>
      <c r="AR946" s="8"/>
      <c r="AS946" s="8">
        <f ca="1">IFERROR(__xludf.DUMMYFUNCTION("""COMPUTED_VALUE"""),30)</f>
        <v>30</v>
      </c>
      <c r="AT946" s="8"/>
      <c r="AU946" s="8">
        <f ca="1">IFERROR(__xludf.DUMMYFUNCTION("""COMPUTED_VALUE"""),37.76552)</f>
        <v>37.765520000000002</v>
      </c>
      <c r="AV946" s="8">
        <f ca="1">IFERROR(__xludf.DUMMYFUNCTION("""COMPUTED_VALUE"""),-122.153836)</f>
        <v>-122.153836</v>
      </c>
      <c r="AW946" s="8"/>
      <c r="AX946" s="8">
        <f ca="1">IFERROR(__xludf.DUMMYFUNCTION("""COMPUTED_VALUE"""),94613)</f>
        <v>94613</v>
      </c>
    </row>
    <row r="947" spans="1:50" ht="60" x14ac:dyDescent="0.2">
      <c r="A947" s="8" t="str">
        <f ca="1">IFERROR(__xludf.DUMMYFUNCTION("""COMPUTED_VALUE"""),"20220927TXHGD")</f>
        <v>20220927TXHGD</v>
      </c>
      <c r="B947" s="8">
        <f ca="1">IFERROR(__xludf.DUMMYFUNCTION("""COMPUTED_VALUE"""),9)</f>
        <v>9</v>
      </c>
      <c r="C947" s="8">
        <f ca="1">IFERROR(__xludf.DUMMYFUNCTION("""COMPUTED_VALUE"""),27)</f>
        <v>27</v>
      </c>
      <c r="D947" s="8">
        <f ca="1">IFERROR(__xludf.DUMMYFUNCTION("""COMPUTED_VALUE"""),2022)</f>
        <v>2022</v>
      </c>
      <c r="E947" s="9">
        <f ca="1">IFERROR(__xludf.DUMMYFUNCTION("""COMPUTED_VALUE"""),44831)</f>
        <v>44831</v>
      </c>
      <c r="F947" s="8" t="str">
        <f ca="1">IFERROR(__xludf.DUMMYFUNCTION("""COMPUTED_VALUE"""),"H. Grady Spruce High School")</f>
        <v>H. Grady Spruce High School</v>
      </c>
      <c r="G947" s="8">
        <f ca="1">IFERROR(__xludf.DUMMYFUNCTION("""COMPUTED_VALUE"""),0)</f>
        <v>0</v>
      </c>
      <c r="H947" s="8">
        <f ca="1">IFERROR(__xludf.DUMMYFUNCTION("""COMPUTED_VALUE"""),1)</f>
        <v>1</v>
      </c>
      <c r="I947" s="8">
        <f ca="1">IFERROR(__xludf.DUMMYFUNCTION("""COMPUTED_VALUE"""),1)</f>
        <v>1</v>
      </c>
      <c r="J947" s="8">
        <f ca="1">IFERROR(__xludf.DUMMYFUNCTION("""COMPUTED_VALUE"""),0)</f>
        <v>0</v>
      </c>
      <c r="K947" s="8" t="str">
        <f ca="1">IFERROR(__xludf.DUMMYFUNCTION("""COMPUTED_VALUE"""),"https://www.cbsnews.com/dfw/news/1-boy-shot-in-dallas-police-are-searching-for-suspect/
https://www.nbcdfw.com/news/local/spruce-high-school-student-shot-near-campus-shooter-at-large/3082926/
")</f>
        <v xml:space="preserve">https://www.cbsnews.com/dfw/news/1-boy-shot-in-dallas-police-are-searching-for-suspect/
https://www.nbcdfw.com/news/local/spruce-high-school-student-shot-near-campus-shooter-at-large/3082926/
</v>
      </c>
      <c r="L947" s="8">
        <f ca="1">IFERROR(__xludf.DUMMYFUNCTION("""COMPUTED_VALUE"""),10)</f>
        <v>10</v>
      </c>
      <c r="M947" s="8" t="str">
        <f ca="1">IFERROR(__xludf.DUMMYFUNCTION("""COMPUTED_VALUE"""),"National")</f>
        <v>National</v>
      </c>
      <c r="N947" s="8">
        <f ca="1">IFERROR(__xludf.DUMMYFUNCTION("""COMPUTED_VALUE"""),4)</f>
        <v>4</v>
      </c>
      <c r="O947" s="8" t="str">
        <f ca="1">IFERROR(__xludf.DUMMYFUNCTION("""COMPUTED_VALUE"""),"Fall")</f>
        <v>Fall</v>
      </c>
      <c r="P947" s="8" t="str">
        <f ca="1">IFERROR(__xludf.DUMMYFUNCTION("""COMPUTED_VALUE"""),"Dallas")</f>
        <v>Dallas</v>
      </c>
      <c r="Q947" s="8" t="str">
        <f ca="1">IFERROR(__xludf.DUMMYFUNCTION("""COMPUTED_VALUE"""),"TX")</f>
        <v>TX</v>
      </c>
      <c r="R947" s="8" t="str">
        <f ca="1">IFERROR(__xludf.DUMMYFUNCTION("""COMPUTED_VALUE"""),"High")</f>
        <v>High</v>
      </c>
      <c r="S947" s="8" t="str">
        <f ca="1">IFERROR(__xludf.DUMMYFUNCTION("""COMPUTED_VALUE"""),"Front of School")</f>
        <v>Front of School</v>
      </c>
      <c r="T947" s="8" t="str">
        <f ca="1">IFERROR(__xludf.DUMMYFUNCTION("""COMPUTED_VALUE"""),"Outside on School Property")</f>
        <v>Outside on School Property</v>
      </c>
      <c r="U947" s="8" t="str">
        <f ca="1">IFERROR(__xludf.DUMMYFUNCTION("""COMPUTED_VALUE"""),"No")</f>
        <v>No</v>
      </c>
      <c r="V947" s="8" t="str">
        <f ca="1">IFERROR(__xludf.DUMMYFUNCTION("""COMPUTED_VALUE"""),"After School")</f>
        <v>After School</v>
      </c>
      <c r="W947" s="11">
        <f ca="1">IFERROR(__xludf.DUMMYFUNCTION("""COMPUTED_VALUE"""),0.6875)</f>
        <v>0.6875</v>
      </c>
      <c r="X947" s="8">
        <f ca="1">IFERROR(__xludf.DUMMYFUNCTION("""COMPUTED_VALUE"""),1)</f>
        <v>1</v>
      </c>
      <c r="Y947" s="12" t="str">
        <f ca="1">IFERROR(__xludf.DUMMYFUNCTION("""COMPUTED_VALUE"""),"Teenage student was shot leaving the school during drive-by")</f>
        <v>Teenage student was shot leaving the school during drive-by</v>
      </c>
      <c r="Z947" s="12" t="str">
        <f ca="1">IFERROR(__xludf.DUMMYFUNCTION("""COMPUTED_VALUE"""),"A teenage student was shot while leaving the campus after school. Shots fired from a vehicle and unidentified shooter fled.")</f>
        <v>A teenage student was shot while leaving the campus after school. Shots fired from a vehicle and unidentified shooter fled.</v>
      </c>
      <c r="AA947" s="8" t="str">
        <f ca="1">IFERROR(__xludf.DUMMYFUNCTION("""COMPUTED_VALUE"""),"Drive-by Shooting")</f>
        <v>Drive-by Shooting</v>
      </c>
      <c r="AB947" s="8"/>
      <c r="AC947" s="8" t="str">
        <f ca="1">IFERROR(__xludf.DUMMYFUNCTION("""COMPUTED_VALUE"""),"Yes")</f>
        <v>Yes</v>
      </c>
      <c r="AD947" s="8" t="str">
        <f ca="1">IFERROR(__xludf.DUMMYFUNCTION("""COMPUTED_VALUE"""),"Victims Targeted")</f>
        <v>Victims Targeted</v>
      </c>
      <c r="AE947" s="8" t="str">
        <f ca="1">IFERROR(__xludf.DUMMYFUNCTION("""COMPUTED_VALUE"""),"Yes")</f>
        <v>Yes</v>
      </c>
      <c r="AF947" s="8"/>
      <c r="AG947" s="8" t="str">
        <f ca="1">IFERROR(__xludf.DUMMYFUNCTION("""COMPUTED_VALUE"""),"No")</f>
        <v>No</v>
      </c>
      <c r="AH947" s="8" t="str">
        <f ca="1">IFERROR(__xludf.DUMMYFUNCTION("""COMPUTED_VALUE"""),"No")</f>
        <v>No</v>
      </c>
      <c r="AI947" s="8" t="str">
        <f ca="1">IFERROR(__xludf.DUMMYFUNCTION("""COMPUTED_VALUE"""),"No")</f>
        <v>No</v>
      </c>
      <c r="AJ947" s="8" t="str">
        <f ca="1">IFERROR(__xludf.DUMMYFUNCTION("""COMPUTED_VALUE"""),"No")</f>
        <v>No</v>
      </c>
      <c r="AK947" s="8" t="str">
        <f ca="1">IFERROR(__xludf.DUMMYFUNCTION("""COMPUTED_VALUE"""),"No")</f>
        <v>No</v>
      </c>
      <c r="AL947" s="8"/>
      <c r="AM947" s="8" t="str">
        <f ca="1">IFERROR(__xludf.DUMMYFUNCTION("""COMPUTED_VALUE"""),"No")</f>
        <v>No</v>
      </c>
      <c r="AN947" s="8" t="str">
        <f ca="1">IFERROR(__xludf.DUMMYFUNCTION("""COMPUTED_VALUE"""),"Outside")</f>
        <v>Outside</v>
      </c>
      <c r="AO947" s="8" t="str">
        <f ca="1">IFERROR(__xludf.DUMMYFUNCTION("""COMPUTED_VALUE"""),"No")</f>
        <v>No</v>
      </c>
      <c r="AP947" s="8"/>
      <c r="AQ947" s="8"/>
      <c r="AR947" s="8" t="str">
        <f ca="1">IFERROR(__xludf.DUMMYFUNCTION("""COMPUTED_VALUE"""),"Outside/Off-Property")</f>
        <v>Outside/Off-Property</v>
      </c>
      <c r="AS947" s="8">
        <f ca="1">IFERROR(__xludf.DUMMYFUNCTION("""COMPUTED_VALUE"""),99)</f>
        <v>99</v>
      </c>
      <c r="AT947" s="8"/>
      <c r="AU947" s="8">
        <f ca="1">IFERROR(__xludf.DUMMYFUNCTION("""COMPUTED_VALUE"""),32.70884)</f>
        <v>32.708840000000002</v>
      </c>
      <c r="AV947" s="8">
        <f ca="1">IFERROR(__xludf.DUMMYFUNCTION("""COMPUTED_VALUE"""),-96.653514)</f>
        <v>-96.653514000000001</v>
      </c>
      <c r="AW947" s="8"/>
      <c r="AX947" s="8">
        <f ca="1">IFERROR(__xludf.DUMMYFUNCTION("""COMPUTED_VALUE"""),75217)</f>
        <v>75217</v>
      </c>
    </row>
    <row r="948" spans="1:50" ht="60" x14ac:dyDescent="0.2">
      <c r="A948" s="8" t="str">
        <f ca="1">IFERROR(__xludf.DUMMYFUNCTION("""COMPUTED_VALUE"""),"20220927PAROP")</f>
        <v>20220927PAROP</v>
      </c>
      <c r="B948" s="8">
        <f ca="1">IFERROR(__xludf.DUMMYFUNCTION("""COMPUTED_VALUE"""),9)</f>
        <v>9</v>
      </c>
      <c r="C948" s="8">
        <f ca="1">IFERROR(__xludf.DUMMYFUNCTION("""COMPUTED_VALUE"""),27)</f>
        <v>27</v>
      </c>
      <c r="D948" s="8">
        <f ca="1">IFERROR(__xludf.DUMMYFUNCTION("""COMPUTED_VALUE"""),2022)</f>
        <v>2022</v>
      </c>
      <c r="E948" s="9">
        <f ca="1">IFERROR(__xludf.DUMMYFUNCTION("""COMPUTED_VALUE"""),44831)</f>
        <v>44831</v>
      </c>
      <c r="F948" s="8" t="str">
        <f ca="1">IFERROR(__xludf.DUMMYFUNCTION("""COMPUTED_VALUE"""),"Roxborough High School")</f>
        <v>Roxborough High School</v>
      </c>
      <c r="G948" s="8">
        <f ca="1">IFERROR(__xludf.DUMMYFUNCTION("""COMPUTED_VALUE"""),1)</f>
        <v>1</v>
      </c>
      <c r="H948" s="8">
        <f ca="1">IFERROR(__xludf.DUMMYFUNCTION("""COMPUTED_VALUE"""),4)</f>
        <v>4</v>
      </c>
      <c r="I948" s="8">
        <f ca="1">IFERROR(__xludf.DUMMYFUNCTION("""COMPUTED_VALUE"""),5)</f>
        <v>5</v>
      </c>
      <c r="J948" s="8">
        <f ca="1">IFERROR(__xludf.DUMMYFUNCTION("""COMPUTED_VALUE"""),0)</f>
        <v>0</v>
      </c>
      <c r="K948" s="10" t="str">
        <f ca="1">IFERROR(__xludf.DUMMYFUNCTION("""COMPUTED_VALUE"""),"https://www.nbcphiladelphia.com/news/local/4-people-shot-at-roxborough-high-school/3375136/")</f>
        <v>https://www.nbcphiladelphia.com/news/local/4-people-shot-at-roxborough-high-school/3375136/</v>
      </c>
      <c r="L948" s="8">
        <f ca="1">IFERROR(__xludf.DUMMYFUNCTION("""COMPUTED_VALUE"""),100)</f>
        <v>100</v>
      </c>
      <c r="M948" s="8" t="str">
        <f ca="1">IFERROR(__xludf.DUMMYFUNCTION("""COMPUTED_VALUE"""),"National")</f>
        <v>National</v>
      </c>
      <c r="N948" s="8">
        <f ca="1">IFERROR(__xludf.DUMMYFUNCTION("""COMPUTED_VALUE"""),4)</f>
        <v>4</v>
      </c>
      <c r="O948" s="8" t="str">
        <f ca="1">IFERROR(__xludf.DUMMYFUNCTION("""COMPUTED_VALUE"""),"Fall")</f>
        <v>Fall</v>
      </c>
      <c r="P948" s="8" t="str">
        <f ca="1">IFERROR(__xludf.DUMMYFUNCTION("""COMPUTED_VALUE"""),"Philadelphia")</f>
        <v>Philadelphia</v>
      </c>
      <c r="Q948" s="8" t="str">
        <f ca="1">IFERROR(__xludf.DUMMYFUNCTION("""COMPUTED_VALUE"""),"PA")</f>
        <v>PA</v>
      </c>
      <c r="R948" s="8" t="str">
        <f ca="1">IFERROR(__xludf.DUMMYFUNCTION("""COMPUTED_VALUE"""),"High")</f>
        <v>High</v>
      </c>
      <c r="S948" s="8" t="str">
        <f ca="1">IFERROR(__xludf.DUMMYFUNCTION("""COMPUTED_VALUE"""),"Football Field/Track")</f>
        <v>Football Field/Track</v>
      </c>
      <c r="T948" s="8" t="str">
        <f ca="1">IFERROR(__xludf.DUMMYFUNCTION("""COMPUTED_VALUE"""),"Outside on School Property")</f>
        <v>Outside on School Property</v>
      </c>
      <c r="U948" s="8" t="str">
        <f ca="1">IFERROR(__xludf.DUMMYFUNCTION("""COMPUTED_VALUE"""),"No")</f>
        <v>No</v>
      </c>
      <c r="V948" s="8" t="str">
        <f ca="1">IFERROR(__xludf.DUMMYFUNCTION("""COMPUTED_VALUE"""),"Sport Event")</f>
        <v>Sport Event</v>
      </c>
      <c r="W948" s="11">
        <f ca="1">IFERROR(__xludf.DUMMYFUNCTION("""COMPUTED_VALUE"""),0.695138888888888)</f>
        <v>0.69513888888888797</v>
      </c>
      <c r="X948" s="8">
        <f ca="1">IFERROR(__xludf.DUMMYFUNCTION("""COMPUTED_VALUE"""),1)</f>
        <v>1</v>
      </c>
      <c r="Y948" s="12" t="str">
        <f ca="1">IFERROR(__xludf.DUMMYFUNCTION("""COMPUTED_VALUE"""),"5 high school football players shot in drive-by leavings football field")</f>
        <v>5 high school football players shot in drive-by leavings football field</v>
      </c>
      <c r="Z948" s="12" t="str">
        <f ca="1">IFERROR(__xludf.DUMMYFUNCTION("""COMPUTED_VALUE"""),"5 students (football players) were shot near the gate to the stadium following a football scrimmage. 14-year-old died. More than 60 shots were fired by two shooters inside an SUV.")</f>
        <v>5 students (football players) were shot near the gate to the stadium following a football scrimmage. 14-year-old died. More than 60 shots were fired by two shooters inside an SUV.</v>
      </c>
      <c r="AA948" s="8" t="str">
        <f ca="1">IFERROR(__xludf.DUMMYFUNCTION("""COMPUTED_VALUE"""),"Drive-by Shooting")</f>
        <v>Drive-by Shooting</v>
      </c>
      <c r="AB948" s="8"/>
      <c r="AC948" s="8" t="str">
        <f ca="1">IFERROR(__xludf.DUMMYFUNCTION("""COMPUTED_VALUE"""),"Yes")</f>
        <v>Yes</v>
      </c>
      <c r="AD948" s="8" t="str">
        <f ca="1">IFERROR(__xludf.DUMMYFUNCTION("""COMPUTED_VALUE"""),"Victims Targeted")</f>
        <v>Victims Targeted</v>
      </c>
      <c r="AE948" s="8" t="str">
        <f ca="1">IFERROR(__xludf.DUMMYFUNCTION("""COMPUTED_VALUE"""),"Yes")</f>
        <v>Yes</v>
      </c>
      <c r="AF948" s="8" t="str">
        <f ca="1">IFERROR(__xludf.DUMMYFUNCTION("""COMPUTED_VALUE"""),"Five shooters")</f>
        <v>Five shooters</v>
      </c>
      <c r="AG948" s="8" t="str">
        <f ca="1">IFERROR(__xludf.DUMMYFUNCTION("""COMPUTED_VALUE"""),"No")</f>
        <v>No</v>
      </c>
      <c r="AH948" s="8" t="str">
        <f ca="1">IFERROR(__xludf.DUMMYFUNCTION("""COMPUTED_VALUE"""),"No")</f>
        <v>No</v>
      </c>
      <c r="AI948" s="8" t="str">
        <f ca="1">IFERROR(__xludf.DUMMYFUNCTION("""COMPUTED_VALUE"""),"No")</f>
        <v>No</v>
      </c>
      <c r="AJ948" s="8" t="str">
        <f ca="1">IFERROR(__xludf.DUMMYFUNCTION("""COMPUTED_VALUE"""),"No")</f>
        <v>No</v>
      </c>
      <c r="AK948" s="8" t="str">
        <f ca="1">IFERROR(__xludf.DUMMYFUNCTION("""COMPUTED_VALUE"""),"No")</f>
        <v>No</v>
      </c>
      <c r="AL948" s="8"/>
      <c r="AM948" s="8" t="str">
        <f ca="1">IFERROR(__xludf.DUMMYFUNCTION("""COMPUTED_VALUE"""),"No")</f>
        <v>No</v>
      </c>
      <c r="AN948" s="8" t="str">
        <f ca="1">IFERROR(__xludf.DUMMYFUNCTION("""COMPUTED_VALUE"""),"Outside")</f>
        <v>Outside</v>
      </c>
      <c r="AO948" s="8" t="str">
        <f ca="1">IFERROR(__xludf.DUMMYFUNCTION("""COMPUTED_VALUE"""),"No")</f>
        <v>No</v>
      </c>
      <c r="AP948" s="8"/>
      <c r="AQ948" s="8"/>
      <c r="AR948" s="8" t="str">
        <f ca="1">IFERROR(__xludf.DUMMYFUNCTION("""COMPUTED_VALUE"""),"Outside/Off-Property")</f>
        <v>Outside/Off-Property</v>
      </c>
      <c r="AS948" s="8">
        <f ca="1">IFERROR(__xludf.DUMMYFUNCTION("""COMPUTED_VALUE"""),61)</f>
        <v>61</v>
      </c>
      <c r="AT948" s="8"/>
      <c r="AU948" s="8">
        <f ca="1">IFERROR(__xludf.DUMMYFUNCTION("""COMPUTED_VALUE"""),40.037782)</f>
        <v>40.037782</v>
      </c>
      <c r="AV948" s="8">
        <f ca="1">IFERROR(__xludf.DUMMYFUNCTION("""COMPUTED_VALUE"""),-75.222537)</f>
        <v>-75.222537000000003</v>
      </c>
      <c r="AW948" s="8"/>
      <c r="AX948" s="8">
        <f ca="1">IFERROR(__xludf.DUMMYFUNCTION("""COMPUTED_VALUE"""),19427)</f>
        <v>19427</v>
      </c>
    </row>
    <row r="949" spans="1:50" ht="75" x14ac:dyDescent="0.2">
      <c r="A949" s="8" t="str">
        <f ca="1">IFERROR(__xludf.DUMMYFUNCTION("""COMPUTED_VALUE"""),"20220926GAVAV")</f>
        <v>20220926GAVAV</v>
      </c>
      <c r="B949" s="8">
        <f ca="1">IFERROR(__xludf.DUMMYFUNCTION("""COMPUTED_VALUE"""),9)</f>
        <v>9</v>
      </c>
      <c r="C949" s="8">
        <f ca="1">IFERROR(__xludf.DUMMYFUNCTION("""COMPUTED_VALUE"""),26)</f>
        <v>26</v>
      </c>
      <c r="D949" s="8">
        <f ca="1">IFERROR(__xludf.DUMMYFUNCTION("""COMPUTED_VALUE"""),2022)</f>
        <v>2022</v>
      </c>
      <c r="E949" s="9">
        <f ca="1">IFERROR(__xludf.DUMMYFUNCTION("""COMPUTED_VALUE"""),44830)</f>
        <v>44830</v>
      </c>
      <c r="F949" s="8" t="str">
        <f ca="1">IFERROR(__xludf.DUMMYFUNCTION("""COMPUTED_VALUE"""),"Valdosta City Schools Bus")</f>
        <v>Valdosta City Schools Bus</v>
      </c>
      <c r="G949" s="8">
        <f ca="1">IFERROR(__xludf.DUMMYFUNCTION("""COMPUTED_VALUE"""),0)</f>
        <v>0</v>
      </c>
      <c r="H949" s="8">
        <f ca="1">IFERROR(__xludf.DUMMYFUNCTION("""COMPUTED_VALUE"""),1)</f>
        <v>1</v>
      </c>
      <c r="I949" s="8">
        <f ca="1">IFERROR(__xludf.DUMMYFUNCTION("""COMPUTED_VALUE"""),1)</f>
        <v>1</v>
      </c>
      <c r="J949" s="8">
        <f ca="1">IFERROR(__xludf.DUMMYFUNCTION("""COMPUTED_VALUE"""),0)</f>
        <v>0</v>
      </c>
      <c r="K949" s="8" t="str">
        <f ca="1">IFERROR(__xludf.DUMMYFUNCTION("""COMPUTED_VALUE"""),"https://www.walb.com/2022/09/26/preteen-stabbed-valdosta-school-bus-fight/
https://valdostatoday.com/news-2/local/2022/09/shooting-at-school-bus-stop-in-valdosta/
https://www.walb.com/2022/09/26/preteen-stabbed-valdosta-school-bus-fight/")</f>
        <v>https://www.walb.com/2022/09/26/preteen-stabbed-valdosta-school-bus-fight/
https://valdostatoday.com/news-2/local/2022/09/shooting-at-school-bus-stop-in-valdosta/
https://www.walb.com/2022/09/26/preteen-stabbed-valdosta-school-bus-fight/</v>
      </c>
      <c r="L949" s="8">
        <f ca="1">IFERROR(__xludf.DUMMYFUNCTION("""COMPUTED_VALUE"""),3)</f>
        <v>3</v>
      </c>
      <c r="M949" s="8" t="str">
        <f ca="1">IFERROR(__xludf.DUMMYFUNCTION("""COMPUTED_VALUE"""),"Local")</f>
        <v>Local</v>
      </c>
      <c r="N949" s="8">
        <f ca="1">IFERROR(__xludf.DUMMYFUNCTION("""COMPUTED_VALUE"""),4)</f>
        <v>4</v>
      </c>
      <c r="O949" s="8" t="str">
        <f ca="1">IFERROR(__xludf.DUMMYFUNCTION("""COMPUTED_VALUE"""),"Fall")</f>
        <v>Fall</v>
      </c>
      <c r="P949" s="8" t="str">
        <f ca="1">IFERROR(__xludf.DUMMYFUNCTION("""COMPUTED_VALUE"""),"Valdosta")</f>
        <v>Valdosta</v>
      </c>
      <c r="Q949" s="8" t="str">
        <f ca="1">IFERROR(__xludf.DUMMYFUNCTION("""COMPUTED_VALUE"""),"GA")</f>
        <v>GA</v>
      </c>
      <c r="R949" s="8" t="str">
        <f ca="1">IFERROR(__xludf.DUMMYFUNCTION("""COMPUTED_VALUE"""),"High")</f>
        <v>High</v>
      </c>
      <c r="S949" s="8" t="str">
        <f ca="1">IFERROR(__xludf.DUMMYFUNCTION("""COMPUTED_VALUE"""),"School Bus")</f>
        <v>School Bus</v>
      </c>
      <c r="T949" s="8" t="str">
        <f ca="1">IFERROR(__xludf.DUMMYFUNCTION("""COMPUTED_VALUE"""),"School Bus")</f>
        <v>School Bus</v>
      </c>
      <c r="U949" s="8" t="str">
        <f ca="1">IFERROR(__xludf.DUMMYFUNCTION("""COMPUTED_VALUE"""),"Yes")</f>
        <v>Yes</v>
      </c>
      <c r="V949" s="8" t="str">
        <f ca="1">IFERROR(__xludf.DUMMYFUNCTION("""COMPUTED_VALUE"""),"Before School")</f>
        <v>Before School</v>
      </c>
      <c r="W949" s="11">
        <f ca="1">IFERROR(__xludf.DUMMYFUNCTION("""COMPUTED_VALUE"""),0.322916666666666)</f>
        <v>0.32291666666666602</v>
      </c>
      <c r="X949" s="8">
        <f ca="1">IFERROR(__xludf.DUMMYFUNCTION("""COMPUTED_VALUE"""),1)</f>
        <v>1</v>
      </c>
      <c r="Y949" s="12" t="str">
        <f ca="1">IFERROR(__xludf.DUMMYFUNCTION("""COMPUTED_VALUE"""),"Teen shot at school bu stop, bus driver picked up student and drove to hospital")</f>
        <v>Teen shot at school bu stop, bus driver picked up student and drove to hospital</v>
      </c>
      <c r="Z949" s="12" t="str">
        <f ca="1">IFERROR(__xludf.DUMMYFUNCTION("""COMPUTED_VALUE"""),"A 17-year-old was shot at the school bus stop. The school bus driver picked up the student and started driving to the hospital. Multiple students provided first aid and applied pressure to the wound. Police and EMS were able to meet the bus. Student in st"&amp;"able condition. Shooter fled.")</f>
        <v>A 17-year-old was shot at the school bus stop. The school bus driver picked up the student and started driving to the hospital. Multiple students provided first aid and applied pressure to the wound. Police and EMS were able to meet the bus. Student in stable condition. Shooter fled.</v>
      </c>
      <c r="AA949" s="8"/>
      <c r="AB949" s="8"/>
      <c r="AC949" s="8" t="str">
        <f ca="1">IFERROR(__xludf.DUMMYFUNCTION("""COMPUTED_VALUE"""),"Yes")</f>
        <v>Yes</v>
      </c>
      <c r="AD949" s="8" t="str">
        <f ca="1">IFERROR(__xludf.DUMMYFUNCTION("""COMPUTED_VALUE"""),"Victims Targeted")</f>
        <v>Victims Targeted</v>
      </c>
      <c r="AE949" s="8" t="str">
        <f ca="1">IFERROR(__xludf.DUMMYFUNCTION("""COMPUTED_VALUE"""),"No")</f>
        <v>No</v>
      </c>
      <c r="AF949" s="8"/>
      <c r="AG949" s="8" t="str">
        <f ca="1">IFERROR(__xludf.DUMMYFUNCTION("""COMPUTED_VALUE"""),"No")</f>
        <v>No</v>
      </c>
      <c r="AH949" s="8" t="str">
        <f ca="1">IFERROR(__xludf.DUMMYFUNCTION("""COMPUTED_VALUE"""),"No")</f>
        <v>No</v>
      </c>
      <c r="AI949" s="8" t="str">
        <f ca="1">IFERROR(__xludf.DUMMYFUNCTION("""COMPUTED_VALUE"""),"No")</f>
        <v>No</v>
      </c>
      <c r="AJ949" s="8" t="str">
        <f ca="1">IFERROR(__xludf.DUMMYFUNCTION("""COMPUTED_VALUE"""),"No")</f>
        <v>No</v>
      </c>
      <c r="AK949" s="8" t="str">
        <f ca="1">IFERROR(__xludf.DUMMYFUNCTION("""COMPUTED_VALUE"""),"No")</f>
        <v>No</v>
      </c>
      <c r="AL949" s="8"/>
      <c r="AM949" s="8" t="str">
        <f ca="1">IFERROR(__xludf.DUMMYFUNCTION("""COMPUTED_VALUE"""),"No")</f>
        <v>No</v>
      </c>
      <c r="AN949" s="8" t="str">
        <f ca="1">IFERROR(__xludf.DUMMYFUNCTION("""COMPUTED_VALUE"""),"Outside")</f>
        <v>Outside</v>
      </c>
      <c r="AO949" s="8" t="str">
        <f ca="1">IFERROR(__xludf.DUMMYFUNCTION("""COMPUTED_VALUE"""),"No")</f>
        <v>No</v>
      </c>
      <c r="AP949" s="8"/>
      <c r="AQ949" s="8"/>
      <c r="AR949" s="8" t="str">
        <f ca="1">IFERROR(__xludf.DUMMYFUNCTION("""COMPUTED_VALUE"""),"Outside/Off-Property")</f>
        <v>Outside/Off-Property</v>
      </c>
      <c r="AS949" s="8">
        <f ca="1">IFERROR(__xludf.DUMMYFUNCTION("""COMPUTED_VALUE"""),2)</f>
        <v>2</v>
      </c>
      <c r="AT949" s="8"/>
      <c r="AU949" s="8">
        <f ca="1">IFERROR(__xludf.DUMMYFUNCTION("""COMPUTED_VALUE"""),30.831245)</f>
        <v>30.831244999999999</v>
      </c>
      <c r="AV949" s="8">
        <f ca="1">IFERROR(__xludf.DUMMYFUNCTION("""COMPUTED_VALUE"""),-83.278785)</f>
        <v>-83.278784999999999</v>
      </c>
      <c r="AW949" s="8"/>
      <c r="AX949" s="8">
        <f ca="1">IFERROR(__xludf.DUMMYFUNCTION("""COMPUTED_VALUE"""),31601)</f>
        <v>31601</v>
      </c>
    </row>
    <row r="950" spans="1:50" ht="30" x14ac:dyDescent="0.2">
      <c r="A950" s="8" t="str">
        <f ca="1">IFERROR(__xludf.DUMMYFUNCTION("""COMPUTED_VALUE"""),"20220923WIROM")</f>
        <v>20220923WIROM</v>
      </c>
      <c r="B950" s="8">
        <f ca="1">IFERROR(__xludf.DUMMYFUNCTION("""COMPUTED_VALUE"""),9)</f>
        <v>9</v>
      </c>
      <c r="C950" s="8">
        <f ca="1">IFERROR(__xludf.DUMMYFUNCTION("""COMPUTED_VALUE"""),23)</f>
        <v>23</v>
      </c>
      <c r="D950" s="8">
        <f ca="1">IFERROR(__xludf.DUMMYFUNCTION("""COMPUTED_VALUE"""),2022)</f>
        <v>2022</v>
      </c>
      <c r="E950" s="9">
        <f ca="1">IFERROR(__xludf.DUMMYFUNCTION("""COMPUTED_VALUE"""),44827)</f>
        <v>44827</v>
      </c>
      <c r="F950" s="8" t="str">
        <f ca="1">IFERROR(__xludf.DUMMYFUNCTION("""COMPUTED_VALUE"""),"Roosevelt Middle School")</f>
        <v>Roosevelt Middle School</v>
      </c>
      <c r="G950" s="8">
        <f ca="1">IFERROR(__xludf.DUMMYFUNCTION("""COMPUTED_VALUE"""),0)</f>
        <v>0</v>
      </c>
      <c r="H950" s="8">
        <f ca="1">IFERROR(__xludf.DUMMYFUNCTION("""COMPUTED_VALUE"""),1)</f>
        <v>1</v>
      </c>
      <c r="I950" s="8">
        <f ca="1">IFERROR(__xludf.DUMMYFUNCTION("""COMPUTED_VALUE"""),1)</f>
        <v>1</v>
      </c>
      <c r="J950" s="8">
        <f ca="1">IFERROR(__xludf.DUMMYFUNCTION("""COMPUTED_VALUE"""),0)</f>
        <v>0</v>
      </c>
      <c r="K950" s="10" t="str">
        <f ca="1">IFERROR(__xludf.DUMMYFUNCTION("""COMPUTED_VALUE"""),"https://www.fox6now.com/news/milwaukee-shooting-man-wounded-walnut-rooseselt-ms")</f>
        <v>https://www.fox6now.com/news/milwaukee-shooting-man-wounded-walnut-rooseselt-ms</v>
      </c>
      <c r="L950" s="8">
        <f ca="1">IFERROR(__xludf.DUMMYFUNCTION("""COMPUTED_VALUE"""),1)</f>
        <v>1</v>
      </c>
      <c r="M950" s="8" t="str">
        <f ca="1">IFERROR(__xludf.DUMMYFUNCTION("""COMPUTED_VALUE"""),"Local")</f>
        <v>Local</v>
      </c>
      <c r="N950" s="8">
        <f ca="1">IFERROR(__xludf.DUMMYFUNCTION("""COMPUTED_VALUE"""),3)</f>
        <v>3</v>
      </c>
      <c r="O950" s="8" t="str">
        <f ca="1">IFERROR(__xludf.DUMMYFUNCTION("""COMPUTED_VALUE"""),"Fall")</f>
        <v>Fall</v>
      </c>
      <c r="P950" s="8" t="str">
        <f ca="1">IFERROR(__xludf.DUMMYFUNCTION("""COMPUTED_VALUE"""),"Milwaukee")</f>
        <v>Milwaukee</v>
      </c>
      <c r="Q950" s="8" t="str">
        <f ca="1">IFERROR(__xludf.DUMMYFUNCTION("""COMPUTED_VALUE"""),"WI")</f>
        <v>WI</v>
      </c>
      <c r="R950" s="8" t="str">
        <f ca="1">IFERROR(__xludf.DUMMYFUNCTION("""COMPUTED_VALUE"""),"Middle")</f>
        <v>Middle</v>
      </c>
      <c r="S950" s="8" t="str">
        <f ca="1">IFERROR(__xludf.DUMMYFUNCTION("""COMPUTED_VALUE"""),"Front of School")</f>
        <v>Front of School</v>
      </c>
      <c r="T950" s="8" t="str">
        <f ca="1">IFERROR(__xludf.DUMMYFUNCTION("""COMPUTED_VALUE"""),"Outside on School Property")</f>
        <v>Outside on School Property</v>
      </c>
      <c r="U950" s="8" t="str">
        <f ca="1">IFERROR(__xludf.DUMMYFUNCTION("""COMPUTED_VALUE"""),"No")</f>
        <v>No</v>
      </c>
      <c r="V950" s="8" t="str">
        <f ca="1">IFERROR(__xludf.DUMMYFUNCTION("""COMPUTED_VALUE"""),"Night")</f>
        <v>Night</v>
      </c>
      <c r="W950" s="11">
        <f ca="1">IFERROR(__xludf.DUMMYFUNCTION("""COMPUTED_VALUE"""),0.9375)</f>
        <v>0.9375</v>
      </c>
      <c r="X950" s="8">
        <f ca="1">IFERROR(__xludf.DUMMYFUNCTION("""COMPUTED_VALUE"""),1)</f>
        <v>1</v>
      </c>
      <c r="Y950" s="12" t="str">
        <f ca="1">IFERROR(__xludf.DUMMYFUNCTION("""COMPUTED_VALUE"""),"Man shot in front of school")</f>
        <v>Man shot in front of school</v>
      </c>
      <c r="Z950" s="12" t="str">
        <f ca="1">IFERROR(__xludf.DUMMYFUNCTION("""COMPUTED_VALUE"""),"A man was found shot in front of the school. Shooter fled.")</f>
        <v>A man was found shot in front of the school. Shooter fled.</v>
      </c>
      <c r="AA950" s="8"/>
      <c r="AB950" s="8"/>
      <c r="AC950" s="8" t="str">
        <f ca="1">IFERROR(__xludf.DUMMYFUNCTION("""COMPUTED_VALUE"""),"No")</f>
        <v>No</v>
      </c>
      <c r="AD950" s="8" t="str">
        <f ca="1">IFERROR(__xludf.DUMMYFUNCTION("""COMPUTED_VALUE"""),"Victims Targeted")</f>
        <v>Victims Targeted</v>
      </c>
      <c r="AE950" s="8" t="str">
        <f ca="1">IFERROR(__xludf.DUMMYFUNCTION("""COMPUTED_VALUE"""),"No")</f>
        <v>No</v>
      </c>
      <c r="AF950" s="8"/>
      <c r="AG950" s="8" t="str">
        <f ca="1">IFERROR(__xludf.DUMMYFUNCTION("""COMPUTED_VALUE"""),"No")</f>
        <v>No</v>
      </c>
      <c r="AH950" s="8" t="str">
        <f ca="1">IFERROR(__xludf.DUMMYFUNCTION("""COMPUTED_VALUE"""),"No")</f>
        <v>No</v>
      </c>
      <c r="AI950" s="8" t="str">
        <f ca="1">IFERROR(__xludf.DUMMYFUNCTION("""COMPUTED_VALUE"""),"No")</f>
        <v>No</v>
      </c>
      <c r="AJ950" s="8" t="str">
        <f ca="1">IFERROR(__xludf.DUMMYFUNCTION("""COMPUTED_VALUE"""),"No")</f>
        <v>No</v>
      </c>
      <c r="AK950" s="8" t="str">
        <f ca="1">IFERROR(__xludf.DUMMYFUNCTION("""COMPUTED_VALUE"""),"No")</f>
        <v>No</v>
      </c>
      <c r="AL950" s="8"/>
      <c r="AM950" s="8" t="str">
        <f ca="1">IFERROR(__xludf.DUMMYFUNCTION("""COMPUTED_VALUE"""),"No")</f>
        <v>No</v>
      </c>
      <c r="AN950" s="8" t="str">
        <f ca="1">IFERROR(__xludf.DUMMYFUNCTION("""COMPUTED_VALUE"""),"Outside")</f>
        <v>Outside</v>
      </c>
      <c r="AO950" s="8" t="str">
        <f ca="1">IFERROR(__xludf.DUMMYFUNCTION("""COMPUTED_VALUE"""),"No")</f>
        <v>No</v>
      </c>
      <c r="AP950" s="8"/>
      <c r="AQ950" s="8"/>
      <c r="AR950" s="8" t="str">
        <f ca="1">IFERROR(__xludf.DUMMYFUNCTION("""COMPUTED_VALUE"""),"Outside/Off-Property")</f>
        <v>Outside/Off-Property</v>
      </c>
      <c r="AS950" s="8"/>
      <c r="AT950" s="8"/>
      <c r="AU950" s="8">
        <f ca="1">IFERROR(__xludf.DUMMYFUNCTION("""COMPUTED_VALUE"""),43.053256)</f>
        <v>43.053255999999998</v>
      </c>
      <c r="AV950" s="8">
        <f ca="1">IFERROR(__xludf.DUMMYFUNCTION("""COMPUTED_VALUE"""),-87.922077)</f>
        <v>-87.922077000000002</v>
      </c>
      <c r="AW950" s="8"/>
      <c r="AX950" s="8">
        <f ca="1">IFERROR(__xludf.DUMMYFUNCTION("""COMPUTED_VALUE"""),53205)</f>
        <v>53205</v>
      </c>
    </row>
    <row r="951" spans="1:50" ht="90" x14ac:dyDescent="0.2">
      <c r="A951" s="8" t="str">
        <f ca="1">IFERROR(__xludf.DUMMYFUNCTION("""COMPUTED_VALUE"""),"20220923PAWEP")</f>
        <v>20220923PAWEP</v>
      </c>
      <c r="B951" s="8">
        <f ca="1">IFERROR(__xludf.DUMMYFUNCTION("""COMPUTED_VALUE"""),9)</f>
        <v>9</v>
      </c>
      <c r="C951" s="8">
        <f ca="1">IFERROR(__xludf.DUMMYFUNCTION("""COMPUTED_VALUE"""),23)</f>
        <v>23</v>
      </c>
      <c r="D951" s="8">
        <f ca="1">IFERROR(__xludf.DUMMYFUNCTION("""COMPUTED_VALUE"""),2022)</f>
        <v>2022</v>
      </c>
      <c r="E951" s="9">
        <f ca="1">IFERROR(__xludf.DUMMYFUNCTION("""COMPUTED_VALUE"""),44827)</f>
        <v>44827</v>
      </c>
      <c r="F951" s="8" t="str">
        <f ca="1">IFERROR(__xludf.DUMMYFUNCTION("""COMPUTED_VALUE"""),"West Philadelphia High School")</f>
        <v>West Philadelphia High School</v>
      </c>
      <c r="G951" s="8">
        <f ca="1">IFERROR(__xludf.DUMMYFUNCTION("""COMPUTED_VALUE"""),0)</f>
        <v>0</v>
      </c>
      <c r="H951" s="8">
        <f ca="1">IFERROR(__xludf.DUMMYFUNCTION("""COMPUTED_VALUE"""),0)</f>
        <v>0</v>
      </c>
      <c r="I951" s="8">
        <f ca="1">IFERROR(__xludf.DUMMYFUNCTION("""COMPUTED_VALUE"""),0)</f>
        <v>0</v>
      </c>
      <c r="J951" s="8">
        <f ca="1">IFERROR(__xludf.DUMMYFUNCTION("""COMPUTED_VALUE"""),0)</f>
        <v>0</v>
      </c>
      <c r="K951" s="8" t="str">
        <f ca="1">IFERROR(__xludf.DUMMYFUNCTION("""COMPUTED_VALUE"""),"https://6abc.com/west-philadelphia-football-game-shooting-after-shots-fired/12257794/
https://www.fox29.com/news/shots-fired-near-high-school-football-game-in-west-philadelphia-police-say")</f>
        <v>https://6abc.com/west-philadelphia-football-game-shooting-after-shots-fired/12257794/
https://www.fox29.com/news/shots-fired-near-high-school-football-game-in-west-philadelphia-police-say</v>
      </c>
      <c r="L951" s="8">
        <f ca="1">IFERROR(__xludf.DUMMYFUNCTION("""COMPUTED_VALUE"""),2)</f>
        <v>2</v>
      </c>
      <c r="M951" s="8" t="str">
        <f ca="1">IFERROR(__xludf.DUMMYFUNCTION("""COMPUTED_VALUE"""),"Local")</f>
        <v>Local</v>
      </c>
      <c r="N951" s="8">
        <f ca="1">IFERROR(__xludf.DUMMYFUNCTION("""COMPUTED_VALUE"""),3)</f>
        <v>3</v>
      </c>
      <c r="O951" s="8" t="str">
        <f ca="1">IFERROR(__xludf.DUMMYFUNCTION("""COMPUTED_VALUE"""),"Fall")</f>
        <v>Fall</v>
      </c>
      <c r="P951" s="8" t="str">
        <f ca="1">IFERROR(__xludf.DUMMYFUNCTION("""COMPUTED_VALUE"""),"Philadelphia")</f>
        <v>Philadelphia</v>
      </c>
      <c r="Q951" s="8" t="str">
        <f ca="1">IFERROR(__xludf.DUMMYFUNCTION("""COMPUTED_VALUE"""),"PA")</f>
        <v>PA</v>
      </c>
      <c r="R951" s="8" t="str">
        <f ca="1">IFERROR(__xludf.DUMMYFUNCTION("""COMPUTED_VALUE"""),"High")</f>
        <v>High</v>
      </c>
      <c r="S951" s="8" t="str">
        <f ca="1">IFERROR(__xludf.DUMMYFUNCTION("""COMPUTED_VALUE"""),"Football Field/Track")</f>
        <v>Football Field/Track</v>
      </c>
      <c r="T951" s="8" t="str">
        <f ca="1">IFERROR(__xludf.DUMMYFUNCTION("""COMPUTED_VALUE"""),"Outside on School Property")</f>
        <v>Outside on School Property</v>
      </c>
      <c r="U951" s="8" t="str">
        <f ca="1">IFERROR(__xludf.DUMMYFUNCTION("""COMPUTED_VALUE"""),"No")</f>
        <v>No</v>
      </c>
      <c r="V951" s="8" t="str">
        <f ca="1">IFERROR(__xludf.DUMMYFUNCTION("""COMPUTED_VALUE"""),"Sport Event")</f>
        <v>Sport Event</v>
      </c>
      <c r="W951" s="11">
        <f ca="1">IFERROR(__xludf.DUMMYFUNCTION("""COMPUTED_VALUE"""),0.895833333333333)</f>
        <v>0.89583333333333304</v>
      </c>
      <c r="X951" s="8">
        <f ca="1">IFERROR(__xludf.DUMMYFUNCTION("""COMPUTED_VALUE"""),1)</f>
        <v>1</v>
      </c>
      <c r="Y951" s="12" t="str">
        <f ca="1">IFERROR(__xludf.DUMMYFUNCTION("""COMPUTED_VALUE"""),"Shots fired when football game ended")</f>
        <v>Shots fired when football game ended</v>
      </c>
      <c r="Z951" s="12" t="str">
        <f ca="1">IFERROR(__xludf.DUMMYFUNCTION("""COMPUTED_VALUE"""),"Police say shots were fired after a high school football game on Friday night in West Philadelphia. The incident happened at about 9:30 p.m. at 48th and Spruce streets. Police said the football game between West Philadelphia High School and Lincoln High S"&amp;"chool had ended when someone fired a gun outside the field. ")</f>
        <v xml:space="preserve">Police say shots were fired after a high school football game on Friday night in West Philadelphia. The incident happened at about 9:30 p.m. at 48th and Spruce streets. Police said the football game between West Philadelphia High School and Lincoln High School had ended when someone fired a gun outside the field. </v>
      </c>
      <c r="AA951" s="8"/>
      <c r="AB951" s="8"/>
      <c r="AC951" s="8" t="str">
        <f ca="1">IFERROR(__xludf.DUMMYFUNCTION("""COMPUTED_VALUE"""),"Yes")</f>
        <v>Yes</v>
      </c>
      <c r="AD951" s="8"/>
      <c r="AE951" s="8" t="str">
        <f ca="1">IFERROR(__xludf.DUMMYFUNCTION("""COMPUTED_VALUE"""),"No")</f>
        <v>No</v>
      </c>
      <c r="AF951" s="8"/>
      <c r="AG951" s="8" t="str">
        <f ca="1">IFERROR(__xludf.DUMMYFUNCTION("""COMPUTED_VALUE"""),"No")</f>
        <v>No</v>
      </c>
      <c r="AH951" s="8" t="str">
        <f ca="1">IFERROR(__xludf.DUMMYFUNCTION("""COMPUTED_VALUE"""),"N")</f>
        <v>N</v>
      </c>
      <c r="AI951" s="8" t="str">
        <f ca="1">IFERROR(__xludf.DUMMYFUNCTION("""COMPUTED_VALUE"""),"No")</f>
        <v>No</v>
      </c>
      <c r="AJ951" s="8" t="str">
        <f ca="1">IFERROR(__xludf.DUMMYFUNCTION("""COMPUTED_VALUE"""),"No")</f>
        <v>No</v>
      </c>
      <c r="AK951" s="8" t="str">
        <f ca="1">IFERROR(__xludf.DUMMYFUNCTION("""COMPUTED_VALUE"""),"No")</f>
        <v>No</v>
      </c>
      <c r="AL951" s="8"/>
      <c r="AM951" s="8" t="str">
        <f ca="1">IFERROR(__xludf.DUMMYFUNCTION("""COMPUTED_VALUE"""),"No")</f>
        <v>No</v>
      </c>
      <c r="AN951" s="8" t="str">
        <f ca="1">IFERROR(__xludf.DUMMYFUNCTION("""COMPUTED_VALUE"""),"Outside")</f>
        <v>Outside</v>
      </c>
      <c r="AO951" s="8" t="str">
        <f ca="1">IFERROR(__xludf.DUMMYFUNCTION("""COMPUTED_VALUE"""),"No")</f>
        <v>No</v>
      </c>
      <c r="AP951" s="8"/>
      <c r="AQ951" s="8"/>
      <c r="AR951" s="8" t="str">
        <f ca="1">IFERROR(__xludf.DUMMYFUNCTION("""COMPUTED_VALUE"""),"Outside/Off-Property")</f>
        <v>Outside/Off-Property</v>
      </c>
      <c r="AS951" s="8">
        <f ca="1">IFERROR(__xludf.DUMMYFUNCTION("""COMPUTED_VALUE"""),99)</f>
        <v>99</v>
      </c>
      <c r="AT951" s="8"/>
      <c r="AU951" s="8">
        <f ca="1">IFERROR(__xludf.DUMMYFUNCTION("""COMPUTED_VALUE"""),39.959189)</f>
        <v>39.959189000000002</v>
      </c>
      <c r="AV951" s="8">
        <f ca="1">IFERROR(__xludf.DUMMYFUNCTION("""COMPUTED_VALUE"""),-75.220488)</f>
        <v>-75.220488000000003</v>
      </c>
      <c r="AW951" s="8"/>
      <c r="AX951" s="8">
        <f ca="1">IFERROR(__xludf.DUMMYFUNCTION("""COMPUTED_VALUE"""),19143)</f>
        <v>19143</v>
      </c>
    </row>
    <row r="952" spans="1:50" ht="165" x14ac:dyDescent="0.2">
      <c r="A952" s="8" t="str">
        <f ca="1">IFERROR(__xludf.DUMMYFUNCTION("""COMPUTED_VALUE"""),"20220923MNRIM")</f>
        <v>20220923MNRIM</v>
      </c>
      <c r="B952" s="8">
        <f ca="1">IFERROR(__xludf.DUMMYFUNCTION("""COMPUTED_VALUE"""),9)</f>
        <v>9</v>
      </c>
      <c r="C952" s="8">
        <f ca="1">IFERROR(__xludf.DUMMYFUNCTION("""COMPUTED_VALUE"""),23)</f>
        <v>23</v>
      </c>
      <c r="D952" s="8">
        <f ca="1">IFERROR(__xludf.DUMMYFUNCTION("""COMPUTED_VALUE"""),2022)</f>
        <v>2022</v>
      </c>
      <c r="E952" s="9">
        <f ca="1">IFERROR(__xludf.DUMMYFUNCTION("""COMPUTED_VALUE"""),44827)</f>
        <v>44827</v>
      </c>
      <c r="F952" s="8" t="str">
        <f ca="1">IFERROR(__xludf.DUMMYFUNCTION("""COMPUTED_VALUE"""),"Richfield High School")</f>
        <v>Richfield High School</v>
      </c>
      <c r="G952" s="8">
        <f ca="1">IFERROR(__xludf.DUMMYFUNCTION("""COMPUTED_VALUE"""),0)</f>
        <v>0</v>
      </c>
      <c r="H952" s="8">
        <f ca="1">IFERROR(__xludf.DUMMYFUNCTION("""COMPUTED_VALUE"""),2)</f>
        <v>2</v>
      </c>
      <c r="I952" s="8">
        <f ca="1">IFERROR(__xludf.DUMMYFUNCTION("""COMPUTED_VALUE"""),2)</f>
        <v>2</v>
      </c>
      <c r="J952" s="8">
        <f ca="1">IFERROR(__xludf.DUMMYFUNCTION("""COMPUTED_VALUE"""),0)</f>
        <v>0</v>
      </c>
      <c r="K952" s="8" t="str">
        <f ca="1">IFERROR(__xludf.DUMMYFUNCTION("""COMPUTED_VALUE"""),"https://www.kare11.com/article/news/crime/football-game-stopped-stadium-evacuated-after-multiple-shots-fired-nearby/89-94e57ff5-04af-4fd1-b8b6-96dcdbdf8ebd
https://www.cbsnews.com/minnesota/news/developing-gunfire-reported-at-richfield-high-school-footbal"&amp;"l-game/
https://www.kare11.com/article/news/local/two-juvenile-suspects-arrested-in-shooting-outside-richfield-homecoming-game/89-c59bac81-66fa-4b80-a4e5-69eeecfc2f13
")</f>
        <v xml:space="preserve">https://www.kare11.com/article/news/crime/football-game-stopped-stadium-evacuated-after-multiple-shots-fired-nearby/89-94e57ff5-04af-4fd1-b8b6-96dcdbdf8ebd
https://www.cbsnews.com/minnesota/news/developing-gunfire-reported-at-richfield-high-school-football-game/
https://www.kare11.com/article/news/local/two-juvenile-suspects-arrested-in-shooting-outside-richfield-homecoming-game/89-c59bac81-66fa-4b80-a4e5-69eeecfc2f13
</v>
      </c>
      <c r="L952" s="8">
        <f ca="1">IFERROR(__xludf.DUMMYFUNCTION("""COMPUTED_VALUE"""),10)</f>
        <v>10</v>
      </c>
      <c r="M952" s="8" t="str">
        <f ca="1">IFERROR(__xludf.DUMMYFUNCTION("""COMPUTED_VALUE"""),"Regional")</f>
        <v>Regional</v>
      </c>
      <c r="N952" s="8">
        <f ca="1">IFERROR(__xludf.DUMMYFUNCTION("""COMPUTED_VALUE"""),4)</f>
        <v>4</v>
      </c>
      <c r="O952" s="8" t="str">
        <f ca="1">IFERROR(__xludf.DUMMYFUNCTION("""COMPUTED_VALUE"""),"Fall")</f>
        <v>Fall</v>
      </c>
      <c r="P952" s="8" t="str">
        <f ca="1">IFERROR(__xludf.DUMMYFUNCTION("""COMPUTED_VALUE"""),"Richfield")</f>
        <v>Richfield</v>
      </c>
      <c r="Q952" s="8" t="str">
        <f ca="1">IFERROR(__xludf.DUMMYFUNCTION("""COMPUTED_VALUE"""),"MN")</f>
        <v>MN</v>
      </c>
      <c r="R952" s="8" t="str">
        <f ca="1">IFERROR(__xludf.DUMMYFUNCTION("""COMPUTED_VALUE"""),"High")</f>
        <v>High</v>
      </c>
      <c r="S952" s="8" t="str">
        <f ca="1">IFERROR(__xludf.DUMMYFUNCTION("""COMPUTED_VALUE"""),"Football Field/Track")</f>
        <v>Football Field/Track</v>
      </c>
      <c r="T952" s="8" t="str">
        <f ca="1">IFERROR(__xludf.DUMMYFUNCTION("""COMPUTED_VALUE"""),"Outside on School Property")</f>
        <v>Outside on School Property</v>
      </c>
      <c r="U952" s="8" t="str">
        <f ca="1">IFERROR(__xludf.DUMMYFUNCTION("""COMPUTED_VALUE"""),"No")</f>
        <v>No</v>
      </c>
      <c r="V952" s="8" t="str">
        <f ca="1">IFERROR(__xludf.DUMMYFUNCTION("""COMPUTED_VALUE"""),"Sport Event")</f>
        <v>Sport Event</v>
      </c>
      <c r="W952" s="11">
        <f ca="1">IFERROR(__xludf.DUMMYFUNCTION("""COMPUTED_VALUE"""),0.864583333333333)</f>
        <v>0.86458333333333304</v>
      </c>
      <c r="X952" s="8">
        <f ca="1">IFERROR(__xludf.DUMMYFUNCTION("""COMPUTED_VALUE"""),1)</f>
        <v>1</v>
      </c>
      <c r="Y952" s="12" t="str">
        <f ca="1">IFERROR(__xludf.DUMMYFUNCTION("""COMPUTED_VALUE"""),"Shots fired during fight at football game, two people wounded")</f>
        <v>Shots fired during fight at football game, two people wounded</v>
      </c>
      <c r="Z952" s="12" t="str">
        <f ca="1">IFERROR(__xludf.DUMMYFUNCTION("""COMPUTED_VALUE"""),"Police say they were alerted by a staff member at Richfield High School around 8:45 p.m. of a group of people that weren't allowed into Friday night's game between Richfield and Bloomington Kennedy. Officials say the group gathered northeast of the footba"&amp;"ll field where a nearby officer reported hearing two shots and numerous people running away from the area. A livestream posted on Richfield High School's YouTube page captured a chaotic scene inside Spartan Stadium where players and spectators are seen ru"&amp;"nning off the field after the two shots were fired. School officials then evacuated the stadium. ")</f>
        <v xml:space="preserve">Police say they were alerted by a staff member at Richfield High School around 8:45 p.m. of a group of people that weren't allowed into Friday night's game between Richfield and Bloomington Kennedy. Officials say the group gathered northeast of the football field where a nearby officer reported hearing two shots and numerous people running away from the area. A livestream posted on Richfield High School's YouTube page captured a chaotic scene inside Spartan Stadium where players and spectators are seen running off the field after the two shots were fired. School officials then evacuated the stadium. </v>
      </c>
      <c r="AA952" s="8" t="str">
        <f ca="1">IFERROR(__xludf.DUMMYFUNCTION("""COMPUTED_VALUE"""),"Escalation of Dispute")</f>
        <v>Escalation of Dispute</v>
      </c>
      <c r="AB952" s="8"/>
      <c r="AC952" s="8" t="str">
        <f ca="1">IFERROR(__xludf.DUMMYFUNCTION("""COMPUTED_VALUE"""),"Yes")</f>
        <v>Yes</v>
      </c>
      <c r="AD952" s="8" t="str">
        <f ca="1">IFERROR(__xludf.DUMMYFUNCTION("""COMPUTED_VALUE"""),"Both")</f>
        <v>Both</v>
      </c>
      <c r="AE952" s="8" t="str">
        <f ca="1">IFERROR(__xludf.DUMMYFUNCTION("""COMPUTED_VALUE"""),"No")</f>
        <v>No</v>
      </c>
      <c r="AF952" s="8"/>
      <c r="AG952" s="8" t="str">
        <f ca="1">IFERROR(__xludf.DUMMYFUNCTION("""COMPUTED_VALUE"""),"No")</f>
        <v>No</v>
      </c>
      <c r="AH952" s="8" t="str">
        <f ca="1">IFERROR(__xludf.DUMMYFUNCTION("""COMPUTED_VALUE"""),"No")</f>
        <v>No</v>
      </c>
      <c r="AI952" s="8" t="str">
        <f ca="1">IFERROR(__xludf.DUMMYFUNCTION("""COMPUTED_VALUE"""),"No")</f>
        <v>No</v>
      </c>
      <c r="AJ952" s="8" t="str">
        <f ca="1">IFERROR(__xludf.DUMMYFUNCTION("""COMPUTED_VALUE"""),"No")</f>
        <v>No</v>
      </c>
      <c r="AK952" s="8" t="str">
        <f ca="1">IFERROR(__xludf.DUMMYFUNCTION("""COMPUTED_VALUE"""),"No")</f>
        <v>No</v>
      </c>
      <c r="AL952" s="8"/>
      <c r="AM952" s="8" t="str">
        <f ca="1">IFERROR(__xludf.DUMMYFUNCTION("""COMPUTED_VALUE"""),"No")</f>
        <v>No</v>
      </c>
      <c r="AN952" s="8" t="str">
        <f ca="1">IFERROR(__xludf.DUMMYFUNCTION("""COMPUTED_VALUE"""),"Outside")</f>
        <v>Outside</v>
      </c>
      <c r="AO952" s="8" t="str">
        <f ca="1">IFERROR(__xludf.DUMMYFUNCTION("""COMPUTED_VALUE"""),"No")</f>
        <v>No</v>
      </c>
      <c r="AP952" s="8"/>
      <c r="AQ952" s="8"/>
      <c r="AR952" s="8" t="str">
        <f ca="1">IFERROR(__xludf.DUMMYFUNCTION("""COMPUTED_VALUE"""),"Outside/Off-Property")</f>
        <v>Outside/Off-Property</v>
      </c>
      <c r="AS952" s="8">
        <f ca="1">IFERROR(__xludf.DUMMYFUNCTION("""COMPUTED_VALUE"""),5)</f>
        <v>5</v>
      </c>
      <c r="AT952" s="8"/>
      <c r="AU952" s="8">
        <f ca="1">IFERROR(__xludf.DUMMYFUNCTION("""COMPUTED_VALUE"""),44.873256)</f>
        <v>44.873255999999998</v>
      </c>
      <c r="AV952" s="8">
        <f ca="1">IFERROR(__xludf.DUMMYFUNCTION("""COMPUTED_VALUE"""),-93.283871)</f>
        <v>-93.283871000000005</v>
      </c>
      <c r="AW952" s="8"/>
      <c r="AX952" s="8">
        <f ca="1">IFERROR(__xludf.DUMMYFUNCTION("""COMPUTED_VALUE"""),55423)</f>
        <v>55423</v>
      </c>
    </row>
    <row r="953" spans="1:50" ht="75" x14ac:dyDescent="0.2">
      <c r="A953" s="8" t="str">
        <f ca="1">IFERROR(__xludf.DUMMYFUNCTION("""COMPUTED_VALUE"""),"20220923DEAPM")</f>
        <v>20220923DEAPM</v>
      </c>
      <c r="B953" s="8">
        <f ca="1">IFERROR(__xludf.DUMMYFUNCTION("""COMPUTED_VALUE"""),9)</f>
        <v>9</v>
      </c>
      <c r="C953" s="8">
        <f ca="1">IFERROR(__xludf.DUMMYFUNCTION("""COMPUTED_VALUE"""),23)</f>
        <v>23</v>
      </c>
      <c r="D953" s="8">
        <f ca="1">IFERROR(__xludf.DUMMYFUNCTION("""COMPUTED_VALUE"""),2022)</f>
        <v>2022</v>
      </c>
      <c r="E953" s="9">
        <f ca="1">IFERROR(__xludf.DUMMYFUNCTION("""COMPUTED_VALUE"""),44827)</f>
        <v>44827</v>
      </c>
      <c r="F953" s="8" t="str">
        <f ca="1">IFERROR(__xludf.DUMMYFUNCTION("""COMPUTED_VALUE"""),"Appoquinimink High School")</f>
        <v>Appoquinimink High School</v>
      </c>
      <c r="G953" s="8">
        <f ca="1">IFERROR(__xludf.DUMMYFUNCTION("""COMPUTED_VALUE"""),0)</f>
        <v>0</v>
      </c>
      <c r="H953" s="8">
        <f ca="1">IFERROR(__xludf.DUMMYFUNCTION("""COMPUTED_VALUE"""),2)</f>
        <v>2</v>
      </c>
      <c r="I953" s="8">
        <f ca="1">IFERROR(__xludf.DUMMYFUNCTION("""COMPUTED_VALUE"""),2)</f>
        <v>2</v>
      </c>
      <c r="J953" s="8">
        <f ca="1">IFERROR(__xludf.DUMMYFUNCTION("""COMPUTED_VALUE"""),0)</f>
        <v>0</v>
      </c>
      <c r="K953" s="8" t="str">
        <f ca="1">IFERROR(__xludf.DUMMYFUNCTION("""COMPUTED_VALUE"""),"https://6abc.com/appoquinimink-high-school-football-game-person-shot-hs-shooting/12258001/
http://firststateupdate.com/2022/09/two-teens-shot-after-high-school-football-game-in-middletown/
https://www.delawareonline.com/picture-gallery/news/2022/09/24/sho"&amp;"oting-outside-appoquinimink-high-school-football-game-wounds-least-one-person/8102037001/")</f>
        <v>https://6abc.com/appoquinimink-high-school-football-game-person-shot-hs-shooting/12258001/
http://firststateupdate.com/2022/09/two-teens-shot-after-high-school-football-game-in-middletown/
https://www.delawareonline.com/picture-gallery/news/2022/09/24/shooting-outside-appoquinimink-high-school-football-game-wounds-least-one-person/8102037001/</v>
      </c>
      <c r="L953" s="8">
        <f ca="1">IFERROR(__xludf.DUMMYFUNCTION("""COMPUTED_VALUE"""),10)</f>
        <v>10</v>
      </c>
      <c r="M953" s="8" t="str">
        <f ca="1">IFERROR(__xludf.DUMMYFUNCTION("""COMPUTED_VALUE"""),"Regional")</f>
        <v>Regional</v>
      </c>
      <c r="N953" s="8">
        <f ca="1">IFERROR(__xludf.DUMMYFUNCTION("""COMPUTED_VALUE"""),4)</f>
        <v>4</v>
      </c>
      <c r="O953" s="8" t="str">
        <f ca="1">IFERROR(__xludf.DUMMYFUNCTION("""COMPUTED_VALUE"""),"Fall")</f>
        <v>Fall</v>
      </c>
      <c r="P953" s="8" t="str">
        <f ca="1">IFERROR(__xludf.DUMMYFUNCTION("""COMPUTED_VALUE"""),"Middletown")</f>
        <v>Middletown</v>
      </c>
      <c r="Q953" s="8" t="str">
        <f ca="1">IFERROR(__xludf.DUMMYFUNCTION("""COMPUTED_VALUE"""),"DE")</f>
        <v>DE</v>
      </c>
      <c r="R953" s="8" t="str">
        <f ca="1">IFERROR(__xludf.DUMMYFUNCTION("""COMPUTED_VALUE"""),"High")</f>
        <v>High</v>
      </c>
      <c r="S953" s="8" t="str">
        <f ca="1">IFERROR(__xludf.DUMMYFUNCTION("""COMPUTED_VALUE"""),"Football Field/Track")</f>
        <v>Football Field/Track</v>
      </c>
      <c r="T953" s="8" t="str">
        <f ca="1">IFERROR(__xludf.DUMMYFUNCTION("""COMPUTED_VALUE"""),"Outside on School Property")</f>
        <v>Outside on School Property</v>
      </c>
      <c r="U953" s="8" t="str">
        <f ca="1">IFERROR(__xludf.DUMMYFUNCTION("""COMPUTED_VALUE"""),"No")</f>
        <v>No</v>
      </c>
      <c r="V953" s="8" t="str">
        <f ca="1">IFERROR(__xludf.DUMMYFUNCTION("""COMPUTED_VALUE"""),"Sport Event")</f>
        <v>Sport Event</v>
      </c>
      <c r="W953" s="11">
        <f ca="1">IFERROR(__xludf.DUMMYFUNCTION("""COMPUTED_VALUE"""),0.888888888888888)</f>
        <v>0.88888888888888795</v>
      </c>
      <c r="X953" s="8">
        <f ca="1">IFERROR(__xludf.DUMMYFUNCTION("""COMPUTED_VALUE"""),1)</f>
        <v>1</v>
      </c>
      <c r="Y953" s="12" t="str">
        <f ca="1">IFERROR(__xludf.DUMMYFUNCTION("""COMPUTED_VALUE"""),"Shots fired at gate to football field, two students wounded")</f>
        <v>Shots fired at gate to football field, two students wounded</v>
      </c>
      <c r="Z953" s="12" t="str">
        <f ca="1">IFERROR(__xludf.DUMMYFUNCTION("""COMPUTED_VALUE"""),"Police in Middletown, Delaware are investigating after two teens were shot (16YOF critical) Friday night at a high school football game. According to police, the shooting happened at about 9:30 p.m. at Appoquinimink High School on Bunker Hill Road. ")</f>
        <v xml:space="preserve">Police in Middletown, Delaware are investigating after two teens were shot (16YOF critical) Friday night at a high school football game. According to police, the shooting happened at about 9:30 p.m. at Appoquinimink High School on Bunker Hill Road. </v>
      </c>
      <c r="AA953" s="8" t="str">
        <f ca="1">IFERROR(__xludf.DUMMYFUNCTION("""COMPUTED_VALUE"""),"Escalation of Dispute")</f>
        <v>Escalation of Dispute</v>
      </c>
      <c r="AB953" s="8"/>
      <c r="AC953" s="8" t="str">
        <f ca="1">IFERROR(__xludf.DUMMYFUNCTION("""COMPUTED_VALUE"""),"Yes")</f>
        <v>Yes</v>
      </c>
      <c r="AD953" s="8" t="str">
        <f ca="1">IFERROR(__xludf.DUMMYFUNCTION("""COMPUTED_VALUE"""),"Both")</f>
        <v>Both</v>
      </c>
      <c r="AE953" s="8" t="str">
        <f ca="1">IFERROR(__xludf.DUMMYFUNCTION("""COMPUTED_VALUE"""),"No")</f>
        <v>No</v>
      </c>
      <c r="AF953" s="8"/>
      <c r="AG953" s="8" t="str">
        <f ca="1">IFERROR(__xludf.DUMMYFUNCTION("""COMPUTED_VALUE"""),"No")</f>
        <v>No</v>
      </c>
      <c r="AH953" s="8" t="str">
        <f ca="1">IFERROR(__xludf.DUMMYFUNCTION("""COMPUTED_VALUE"""),"No")</f>
        <v>No</v>
      </c>
      <c r="AI953" s="8" t="str">
        <f ca="1">IFERROR(__xludf.DUMMYFUNCTION("""COMPUTED_VALUE"""),"No")</f>
        <v>No</v>
      </c>
      <c r="AJ953" s="8" t="str">
        <f ca="1">IFERROR(__xludf.DUMMYFUNCTION("""COMPUTED_VALUE"""),"No")</f>
        <v>No</v>
      </c>
      <c r="AK953" s="8" t="str">
        <f ca="1">IFERROR(__xludf.DUMMYFUNCTION("""COMPUTED_VALUE"""),"No")</f>
        <v>No</v>
      </c>
      <c r="AL953" s="8"/>
      <c r="AM953" s="8" t="str">
        <f ca="1">IFERROR(__xludf.DUMMYFUNCTION("""COMPUTED_VALUE"""),"No")</f>
        <v>No</v>
      </c>
      <c r="AN953" s="8" t="str">
        <f ca="1">IFERROR(__xludf.DUMMYFUNCTION("""COMPUTED_VALUE"""),"Outside")</f>
        <v>Outside</v>
      </c>
      <c r="AO953" s="8" t="str">
        <f ca="1">IFERROR(__xludf.DUMMYFUNCTION("""COMPUTED_VALUE"""),"No")</f>
        <v>No</v>
      </c>
      <c r="AP953" s="8"/>
      <c r="AQ953" s="8"/>
      <c r="AR953" s="8" t="str">
        <f ca="1">IFERROR(__xludf.DUMMYFUNCTION("""COMPUTED_VALUE"""),"Outside/Off-Property")</f>
        <v>Outside/Off-Property</v>
      </c>
      <c r="AS953" s="8">
        <f ca="1">IFERROR(__xludf.DUMMYFUNCTION("""COMPUTED_VALUE"""),99)</f>
        <v>99</v>
      </c>
      <c r="AT953" s="8"/>
      <c r="AU953" s="8">
        <f ca="1">IFERROR(__xludf.DUMMYFUNCTION("""COMPUTED_VALUE"""),39.453269)</f>
        <v>39.453268999999999</v>
      </c>
      <c r="AV953" s="8">
        <f ca="1">IFERROR(__xludf.DUMMYFUNCTION("""COMPUTED_VALUE"""),-75.747448)</f>
        <v>-75.747448000000006</v>
      </c>
      <c r="AW953" s="8"/>
      <c r="AX953" s="8">
        <f ca="1">IFERROR(__xludf.DUMMYFUNCTION("""COMPUTED_VALUE"""),19709)</f>
        <v>19709</v>
      </c>
    </row>
    <row r="954" spans="1:50" ht="75" x14ac:dyDescent="0.2">
      <c r="A954" s="8" t="str">
        <f ca="1">IFERROR(__xludf.DUMMYFUNCTION("""COMPUTED_VALUE"""),"20220923CANOC")</f>
        <v>20220923CANOC</v>
      </c>
      <c r="B954" s="8">
        <f ca="1">IFERROR(__xludf.DUMMYFUNCTION("""COMPUTED_VALUE"""),9)</f>
        <v>9</v>
      </c>
      <c r="C954" s="8">
        <f ca="1">IFERROR(__xludf.DUMMYFUNCTION("""COMPUTED_VALUE"""),23)</f>
        <v>23</v>
      </c>
      <c r="D954" s="8">
        <f ca="1">IFERROR(__xludf.DUMMYFUNCTION("""COMPUTED_VALUE"""),2022)</f>
        <v>2022</v>
      </c>
      <c r="E954" s="9">
        <f ca="1">IFERROR(__xludf.DUMMYFUNCTION("""COMPUTED_VALUE"""),44827)</f>
        <v>44827</v>
      </c>
      <c r="F954" s="8" t="str">
        <f ca="1">IFERROR(__xludf.DUMMYFUNCTION("""COMPUTED_VALUE"""),"North Monterey County High School")</f>
        <v>North Monterey County High School</v>
      </c>
      <c r="G954" s="8">
        <f ca="1">IFERROR(__xludf.DUMMYFUNCTION("""COMPUTED_VALUE"""),0)</f>
        <v>0</v>
      </c>
      <c r="H954" s="8">
        <f ca="1">IFERROR(__xludf.DUMMYFUNCTION("""COMPUTED_VALUE"""),1)</f>
        <v>1</v>
      </c>
      <c r="I954" s="8">
        <f ca="1">IFERROR(__xludf.DUMMYFUNCTION("""COMPUTED_VALUE"""),1)</f>
        <v>1</v>
      </c>
      <c r="J954" s="8">
        <f ca="1">IFERROR(__xludf.DUMMYFUNCTION("""COMPUTED_VALUE"""),0)</f>
        <v>0</v>
      </c>
      <c r="K954" s="10" t="str">
        <f ca="1">IFERROR(__xludf.DUMMYFUNCTION("""COMPUTED_VALUE"""),"https://www.ksbw.com/article/teen-shot-while-leaving-north-monterey-county-high-football-game/41395462#https://kion546.com/news/2022/09/26/shooting-reported-outside-north-monterey-county-high-school-football-field-deputies/
")</f>
        <v xml:space="preserve">https://www.ksbw.com/article/teen-shot-while-leaving-north-monterey-county-high-football-game/41395462#https://kion546.com/news/2022/09/26/shooting-reported-outside-north-monterey-county-high-school-football-field-deputies/
</v>
      </c>
      <c r="L954" s="8">
        <f ca="1">IFERROR(__xludf.DUMMYFUNCTION("""COMPUTED_VALUE"""),2)</f>
        <v>2</v>
      </c>
      <c r="M954" s="8" t="str">
        <f ca="1">IFERROR(__xludf.DUMMYFUNCTION("""COMPUTED_VALUE"""),"Local")</f>
        <v>Local</v>
      </c>
      <c r="N954" s="8">
        <f ca="1">IFERROR(__xludf.DUMMYFUNCTION("""COMPUTED_VALUE"""),4)</f>
        <v>4</v>
      </c>
      <c r="O954" s="8" t="str">
        <f ca="1">IFERROR(__xludf.DUMMYFUNCTION("""COMPUTED_VALUE"""),"Fall")</f>
        <v>Fall</v>
      </c>
      <c r="P954" s="8" t="str">
        <f ca="1">IFERROR(__xludf.DUMMYFUNCTION("""COMPUTED_VALUE"""),"Castroville")</f>
        <v>Castroville</v>
      </c>
      <c r="Q954" s="8" t="str">
        <f ca="1">IFERROR(__xludf.DUMMYFUNCTION("""COMPUTED_VALUE"""),"CA")</f>
        <v>CA</v>
      </c>
      <c r="R954" s="8" t="str">
        <f ca="1">IFERROR(__xludf.DUMMYFUNCTION("""COMPUTED_VALUE"""),"High")</f>
        <v>High</v>
      </c>
      <c r="S954" s="8" t="str">
        <f ca="1">IFERROR(__xludf.DUMMYFUNCTION("""COMPUTED_VALUE"""),"Parking Lot")</f>
        <v>Parking Lot</v>
      </c>
      <c r="T954" s="8" t="str">
        <f ca="1">IFERROR(__xludf.DUMMYFUNCTION("""COMPUTED_VALUE"""),"Outside on School Property")</f>
        <v>Outside on School Property</v>
      </c>
      <c r="U954" s="8" t="str">
        <f ca="1">IFERROR(__xludf.DUMMYFUNCTION("""COMPUTED_VALUE"""),"No")</f>
        <v>No</v>
      </c>
      <c r="V954" s="8" t="str">
        <f ca="1">IFERROR(__xludf.DUMMYFUNCTION("""COMPUTED_VALUE"""),"Sport Event")</f>
        <v>Sport Event</v>
      </c>
      <c r="W954" s="11">
        <f ca="1">IFERROR(__xludf.DUMMYFUNCTION("""COMPUTED_VALUE"""),0.8125)</f>
        <v>0.8125</v>
      </c>
      <c r="X954" s="8">
        <f ca="1">IFERROR(__xludf.DUMMYFUNCTION("""COMPUTED_VALUE"""),1)</f>
        <v>1</v>
      </c>
      <c r="Y954" s="12" t="str">
        <f ca="1">IFERROR(__xludf.DUMMYFUNCTION("""COMPUTED_VALUE"""),"Following fight during game, teen fired shots at 4 teens in a vehicle in the parking lot")</f>
        <v>Following fight during game, teen fired shots at 4 teens in a vehicle in the parking lot</v>
      </c>
      <c r="Z954" s="12" t="str">
        <f ca="1">IFERROR(__xludf.DUMMYFUNCTION("""COMPUTED_VALUE"""),"Two groups of teens were ejected from the game for fighting. When two teens left the parking lot in a vehicle, they fired multiple shots at 4 teens sitting inside a car. One teen was injured.")</f>
        <v>Two groups of teens were ejected from the game for fighting. When two teens left the parking lot in a vehicle, they fired multiple shots at 4 teens sitting inside a car. One teen was injured.</v>
      </c>
      <c r="AA954" s="8" t="str">
        <f ca="1">IFERROR(__xludf.DUMMYFUNCTION("""COMPUTED_VALUE"""),"Escalation of Dispute")</f>
        <v>Escalation of Dispute</v>
      </c>
      <c r="AB954" s="8"/>
      <c r="AC954" s="8" t="str">
        <f ca="1">IFERROR(__xludf.DUMMYFUNCTION("""COMPUTED_VALUE"""),"Yes")</f>
        <v>Yes</v>
      </c>
      <c r="AD954" s="8" t="str">
        <f ca="1">IFERROR(__xludf.DUMMYFUNCTION("""COMPUTED_VALUE"""),"Victims Targeted")</f>
        <v>Victims Targeted</v>
      </c>
      <c r="AE954" s="8" t="str">
        <f ca="1">IFERROR(__xludf.DUMMYFUNCTION("""COMPUTED_VALUE"""),"Yes")</f>
        <v>Yes</v>
      </c>
      <c r="AF954" s="8" t="str">
        <f ca="1">IFERROR(__xludf.DUMMYFUNCTION("""COMPUTED_VALUE"""),"Shooter and driver")</f>
        <v>Shooter and driver</v>
      </c>
      <c r="AG954" s="8" t="str">
        <f ca="1">IFERROR(__xludf.DUMMYFUNCTION("""COMPUTED_VALUE"""),"No")</f>
        <v>No</v>
      </c>
      <c r="AH954" s="8" t="str">
        <f ca="1">IFERROR(__xludf.DUMMYFUNCTION("""COMPUTED_VALUE"""),"No")</f>
        <v>No</v>
      </c>
      <c r="AI954" s="8" t="str">
        <f ca="1">IFERROR(__xludf.DUMMYFUNCTION("""COMPUTED_VALUE"""),"No")</f>
        <v>No</v>
      </c>
      <c r="AJ954" s="8" t="str">
        <f ca="1">IFERROR(__xludf.DUMMYFUNCTION("""COMPUTED_VALUE"""),"No")</f>
        <v>No</v>
      </c>
      <c r="AK954" s="8" t="str">
        <f ca="1">IFERROR(__xludf.DUMMYFUNCTION("""COMPUTED_VALUE"""),"No")</f>
        <v>No</v>
      </c>
      <c r="AL954" s="8"/>
      <c r="AM954" s="8" t="str">
        <f ca="1">IFERROR(__xludf.DUMMYFUNCTION("""COMPUTED_VALUE"""),"No")</f>
        <v>No</v>
      </c>
      <c r="AN954" s="8" t="str">
        <f ca="1">IFERROR(__xludf.DUMMYFUNCTION("""COMPUTED_VALUE"""),"Outside")</f>
        <v>Outside</v>
      </c>
      <c r="AO954" s="8" t="str">
        <f ca="1">IFERROR(__xludf.DUMMYFUNCTION("""COMPUTED_VALUE"""),"No")</f>
        <v>No</v>
      </c>
      <c r="AP954" s="8"/>
      <c r="AQ954" s="8"/>
      <c r="AR954" s="8" t="str">
        <f ca="1">IFERROR(__xludf.DUMMYFUNCTION("""COMPUTED_VALUE"""),"Outside/Off-Property")</f>
        <v>Outside/Off-Property</v>
      </c>
      <c r="AS954" s="8">
        <f ca="1">IFERROR(__xludf.DUMMYFUNCTION("""COMPUTED_VALUE"""),99)</f>
        <v>99</v>
      </c>
      <c r="AT954" s="8"/>
      <c r="AU954" s="8">
        <f ca="1">IFERROR(__xludf.DUMMYFUNCTION("""COMPUTED_VALUE"""),36.77724)</f>
        <v>36.777239999999999</v>
      </c>
      <c r="AV954" s="8">
        <f ca="1">IFERROR(__xludf.DUMMYFUNCTION("""COMPUTED_VALUE"""),-121.734918)</f>
        <v>-121.73491799999999</v>
      </c>
      <c r="AW954" s="8"/>
      <c r="AX954" s="8">
        <f ca="1">IFERROR(__xludf.DUMMYFUNCTION("""COMPUTED_VALUE"""),95012)</f>
        <v>95012</v>
      </c>
    </row>
    <row r="955" spans="1:50" ht="90" x14ac:dyDescent="0.2">
      <c r="A955" s="8" t="str">
        <f ca="1">IFERROR(__xludf.DUMMYFUNCTION("""COMPUTED_VALUE"""),"20220922AZMOP")</f>
        <v>20220922AZMOP</v>
      </c>
      <c r="B955" s="8">
        <f ca="1">IFERROR(__xludf.DUMMYFUNCTION("""COMPUTED_VALUE"""),9)</f>
        <v>9</v>
      </c>
      <c r="C955" s="8">
        <f ca="1">IFERROR(__xludf.DUMMYFUNCTION("""COMPUTED_VALUE"""),22)</f>
        <v>22</v>
      </c>
      <c r="D955" s="8">
        <f ca="1">IFERROR(__xludf.DUMMYFUNCTION("""COMPUTED_VALUE"""),2022)</f>
        <v>2022</v>
      </c>
      <c r="E955" s="9">
        <f ca="1">IFERROR(__xludf.DUMMYFUNCTION("""COMPUTED_VALUE"""),44826)</f>
        <v>44826</v>
      </c>
      <c r="F955" s="8" t="str">
        <f ca="1">IFERROR(__xludf.DUMMYFUNCTION("""COMPUTED_VALUE"""),"Mountain View Elementary School")</f>
        <v>Mountain View Elementary School</v>
      </c>
      <c r="G955" s="8">
        <f ca="1">IFERROR(__xludf.DUMMYFUNCTION("""COMPUTED_VALUE"""),0)</f>
        <v>0</v>
      </c>
      <c r="H955" s="8">
        <f ca="1">IFERROR(__xludf.DUMMYFUNCTION("""COMPUTED_VALUE"""),0)</f>
        <v>0</v>
      </c>
      <c r="I955" s="8">
        <f ca="1">IFERROR(__xludf.DUMMYFUNCTION("""COMPUTED_VALUE"""),0)</f>
        <v>0</v>
      </c>
      <c r="J955" s="8">
        <f ca="1">IFERROR(__xludf.DUMMYFUNCTION("""COMPUTED_VALUE"""),0)</f>
        <v>0</v>
      </c>
      <c r="K955" s="10" t="str">
        <f ca="1">IFERROR(__xludf.DUMMYFUNCTION("""COMPUTED_VALUE"""),"https://www.fox10phoenix.com/news/woman-arrested-pulling-out-gun-phoenix-school")</f>
        <v>https://www.fox10phoenix.com/news/woman-arrested-pulling-out-gun-phoenix-school</v>
      </c>
      <c r="L955" s="8">
        <f ca="1">IFERROR(__xludf.DUMMYFUNCTION("""COMPUTED_VALUE"""),10)</f>
        <v>10</v>
      </c>
      <c r="M955" s="8" t="str">
        <f ca="1">IFERROR(__xludf.DUMMYFUNCTION("""COMPUTED_VALUE"""),"National")</f>
        <v>National</v>
      </c>
      <c r="N955" s="8">
        <f ca="1">IFERROR(__xludf.DUMMYFUNCTION("""COMPUTED_VALUE"""),4)</f>
        <v>4</v>
      </c>
      <c r="O955" s="8" t="str">
        <f ca="1">IFERROR(__xludf.DUMMYFUNCTION("""COMPUTED_VALUE"""),"Fall")</f>
        <v>Fall</v>
      </c>
      <c r="P955" s="8" t="str">
        <f ca="1">IFERROR(__xludf.DUMMYFUNCTION("""COMPUTED_VALUE"""),"Phoenix")</f>
        <v>Phoenix</v>
      </c>
      <c r="Q955" s="8" t="str">
        <f ca="1">IFERROR(__xludf.DUMMYFUNCTION("""COMPUTED_VALUE"""),"AZ")</f>
        <v>AZ</v>
      </c>
      <c r="R955" s="8" t="str">
        <f ca="1">IFERROR(__xludf.DUMMYFUNCTION("""COMPUTED_VALUE"""),"Elementary")</f>
        <v>Elementary</v>
      </c>
      <c r="S955" s="8" t="str">
        <f ca="1">IFERROR(__xludf.DUMMYFUNCTION("""COMPUTED_VALUE"""),"Front of School")</f>
        <v>Front of School</v>
      </c>
      <c r="T955" s="8" t="str">
        <f ca="1">IFERROR(__xludf.DUMMYFUNCTION("""COMPUTED_VALUE"""),"Outside on School Property")</f>
        <v>Outside on School Property</v>
      </c>
      <c r="U955" s="8" t="str">
        <f ca="1">IFERROR(__xludf.DUMMYFUNCTION("""COMPUTED_VALUE"""),"Yes")</f>
        <v>Yes</v>
      </c>
      <c r="V955" s="8" t="str">
        <f ca="1">IFERROR(__xludf.DUMMYFUNCTION("""COMPUTED_VALUE"""),"Dismissal")</f>
        <v>Dismissal</v>
      </c>
      <c r="W955" s="11">
        <f ca="1">IFERROR(__xludf.DUMMYFUNCTION("""COMPUTED_VALUE"""),0.609027777777777)</f>
        <v>0.60902777777777695</v>
      </c>
      <c r="X955" s="8">
        <f ca="1">IFERROR(__xludf.DUMMYFUNCTION("""COMPUTED_VALUE"""),1)</f>
        <v>1</v>
      </c>
      <c r="Y955" s="12" t="str">
        <f ca="1">IFERROR(__xludf.DUMMYFUNCTION("""COMPUTED_VALUE"""),"Woman pulled gun during custody dispute at dismissal, immediately subdued by SRO")</f>
        <v>Woman pulled gun during custody dispute at dismissal, immediately subdued by SRO</v>
      </c>
      <c r="Z955" s="12" t="str">
        <f ca="1">IFERROR(__xludf.DUMMYFUNCTION("""COMPUTED_VALUE"""),"Woman pulled gun during custody dispute at dismissal, immediately subdued by SRO")</f>
        <v>Woman pulled gun during custody dispute at dismissal, immediately subdued by SRO</v>
      </c>
      <c r="AA955" s="8" t="str">
        <f ca="1">IFERROR(__xludf.DUMMYFUNCTION("""COMPUTED_VALUE"""),"Domestic w/ Targeted Victim")</f>
        <v>Domestic w/ Targeted Victim</v>
      </c>
      <c r="AB955" s="8"/>
      <c r="AC955" s="8" t="str">
        <f ca="1">IFERROR(__xludf.DUMMYFUNCTION("""COMPUTED_VALUE"""),"Yes")</f>
        <v>Yes</v>
      </c>
      <c r="AD955" s="8" t="str">
        <f ca="1">IFERROR(__xludf.DUMMYFUNCTION("""COMPUTED_VALUE"""),"Victims Targeted")</f>
        <v>Victims Targeted</v>
      </c>
      <c r="AE955" s="8" t="str">
        <f ca="1">IFERROR(__xludf.DUMMYFUNCTION("""COMPUTED_VALUE"""),"No")</f>
        <v>No</v>
      </c>
      <c r="AF955" s="8"/>
      <c r="AG955" s="8" t="str">
        <f ca="1">IFERROR(__xludf.DUMMYFUNCTION("""COMPUTED_VALUE"""),"No")</f>
        <v>No</v>
      </c>
      <c r="AH955" s="8" t="str">
        <f ca="1">IFERROR(__xludf.DUMMYFUNCTION("""COMPUTED_VALUE"""),"No")</f>
        <v>No</v>
      </c>
      <c r="AI955" s="8" t="str">
        <f ca="1">IFERROR(__xludf.DUMMYFUNCTION("""COMPUTED_VALUE"""),"No")</f>
        <v>No</v>
      </c>
      <c r="AJ955" s="8" t="str">
        <f ca="1">IFERROR(__xludf.DUMMYFUNCTION("""COMPUTED_VALUE"""),"No")</f>
        <v>No</v>
      </c>
      <c r="AK955" s="8" t="str">
        <f ca="1">IFERROR(__xludf.DUMMYFUNCTION("""COMPUTED_VALUE"""),"Yes")</f>
        <v>Yes</v>
      </c>
      <c r="AL955" s="8"/>
      <c r="AM955" s="8" t="str">
        <f ca="1">IFERROR(__xludf.DUMMYFUNCTION("""COMPUTED_VALUE"""),"No")</f>
        <v>No</v>
      </c>
      <c r="AN955" s="8" t="str">
        <f ca="1">IFERROR(__xludf.DUMMYFUNCTION("""COMPUTED_VALUE"""),"Outside")</f>
        <v>Outside</v>
      </c>
      <c r="AO955" s="8" t="str">
        <f ca="1">IFERROR(__xludf.DUMMYFUNCTION("""COMPUTED_VALUE"""),"No")</f>
        <v>No</v>
      </c>
      <c r="AP955" s="8" t="str">
        <f ca="1">IFERROR(__xludf.DUMMYFUNCTION("""COMPUTED_VALUE"""),"Yes")</f>
        <v>Yes</v>
      </c>
      <c r="AQ955" s="8"/>
      <c r="AR955" s="8" t="str">
        <f ca="1">IFERROR(__xludf.DUMMYFUNCTION("""COMPUTED_VALUE"""),"Outside/Off-Property")</f>
        <v>Outside/Off-Property</v>
      </c>
      <c r="AS955" s="8">
        <f ca="1">IFERROR(__xludf.DUMMYFUNCTION("""COMPUTED_VALUE"""),0)</f>
        <v>0</v>
      </c>
      <c r="AT955" s="8"/>
      <c r="AU955" s="8">
        <f ca="1">IFERROR(__xludf.DUMMYFUNCTION("""COMPUTED_VALUE"""),33.58112)</f>
        <v>33.581119999999999</v>
      </c>
      <c r="AV955" s="8">
        <f ca="1">IFERROR(__xludf.DUMMYFUNCTION("""COMPUTED_VALUE"""),-112.084132)</f>
        <v>-112.084132</v>
      </c>
      <c r="AW955" s="8"/>
      <c r="AX955" s="8">
        <f ca="1">IFERROR(__xludf.DUMMYFUNCTION("""COMPUTED_VALUE"""),85021)</f>
        <v>85021</v>
      </c>
    </row>
    <row r="956" spans="1:50" ht="30" x14ac:dyDescent="0.2">
      <c r="A956" s="8" t="str">
        <f ca="1">IFERROR(__xludf.DUMMYFUNCTION("""COMPUTED_VALUE"""),"20220921INJAS")</f>
        <v>20220921INJAS</v>
      </c>
      <c r="B956" s="8">
        <f ca="1">IFERROR(__xludf.DUMMYFUNCTION("""COMPUTED_VALUE"""),9)</f>
        <v>9</v>
      </c>
      <c r="C956" s="8">
        <f ca="1">IFERROR(__xludf.DUMMYFUNCTION("""COMPUTED_VALUE"""),21)</f>
        <v>21</v>
      </c>
      <c r="D956" s="8">
        <f ca="1">IFERROR(__xludf.DUMMYFUNCTION("""COMPUTED_VALUE"""),2022)</f>
        <v>2022</v>
      </c>
      <c r="E956" s="9">
        <f ca="1">IFERROR(__xludf.DUMMYFUNCTION("""COMPUTED_VALUE"""),44825)</f>
        <v>44825</v>
      </c>
      <c r="F956" s="8" t="str">
        <f ca="1">IFERROR(__xludf.DUMMYFUNCTION("""COMPUTED_VALUE"""),"Jackson Middle School")</f>
        <v>Jackson Middle School</v>
      </c>
      <c r="G956" s="8">
        <f ca="1">IFERROR(__xludf.DUMMYFUNCTION("""COMPUTED_VALUE"""),0)</f>
        <v>0</v>
      </c>
      <c r="H956" s="8">
        <f ca="1">IFERROR(__xludf.DUMMYFUNCTION("""COMPUTED_VALUE"""),0)</f>
        <v>0</v>
      </c>
      <c r="I956" s="8">
        <f ca="1">IFERROR(__xludf.DUMMYFUNCTION("""COMPUTED_VALUE"""),0)</f>
        <v>0</v>
      </c>
      <c r="J956" s="8">
        <f ca="1">IFERROR(__xludf.DUMMYFUNCTION("""COMPUTED_VALUE"""),0)</f>
        <v>0</v>
      </c>
      <c r="K956" s="8" t="str">
        <f ca="1">IFERROR(__xludf.DUMMYFUNCTION("""COMPUTED_VALUE"""),"https://www.southbendtribune.com/story/news/education/2022/09/21/south-bend-schools-police-investigate-report-gunshots-school-bus/69509161007/
https://www.abc57.com/news/juvenile-detained-after-gunshot-on-school-bus-parents-react 
https://www.wndu.com/202"&amp;"2/09/21/south-bend-police-investigating-report-shots-fired-sbcsc-school-bus/
")</f>
        <v xml:space="preserve">https://www.southbendtribune.com/story/news/education/2022/09/21/south-bend-schools-police-investigate-report-gunshots-school-bus/69509161007/
https://www.abc57.com/news/juvenile-detained-after-gunshot-on-school-bus-parents-react 
https://www.wndu.com/2022/09/21/south-bend-police-investigating-report-shots-fired-sbcsc-school-bus/
</v>
      </c>
      <c r="L956" s="8">
        <f ca="1">IFERROR(__xludf.DUMMYFUNCTION("""COMPUTED_VALUE"""),10)</f>
        <v>10</v>
      </c>
      <c r="M956" s="8" t="str">
        <f ca="1">IFERROR(__xludf.DUMMYFUNCTION("""COMPUTED_VALUE"""),"Regional")</f>
        <v>Regional</v>
      </c>
      <c r="N956" s="8">
        <f ca="1">IFERROR(__xludf.DUMMYFUNCTION("""COMPUTED_VALUE"""),4)</f>
        <v>4</v>
      </c>
      <c r="O956" s="8" t="str">
        <f ca="1">IFERROR(__xludf.DUMMYFUNCTION("""COMPUTED_VALUE"""),"Fall")</f>
        <v>Fall</v>
      </c>
      <c r="P956" s="8" t="str">
        <f ca="1">IFERROR(__xludf.DUMMYFUNCTION("""COMPUTED_VALUE"""),"South Bend")</f>
        <v>South Bend</v>
      </c>
      <c r="Q956" s="8" t="str">
        <f ca="1">IFERROR(__xludf.DUMMYFUNCTION("""COMPUTED_VALUE"""),"IN")</f>
        <v>IN</v>
      </c>
      <c r="R956" s="8" t="str">
        <f ca="1">IFERROR(__xludf.DUMMYFUNCTION("""COMPUTED_VALUE"""),"Middle")</f>
        <v>Middle</v>
      </c>
      <c r="S956" s="8" t="str">
        <f ca="1">IFERROR(__xludf.DUMMYFUNCTION("""COMPUTED_VALUE"""),"School Bus")</f>
        <v>School Bus</v>
      </c>
      <c r="T956" s="8" t="str">
        <f ca="1">IFERROR(__xludf.DUMMYFUNCTION("""COMPUTED_VALUE"""),"School Bus")</f>
        <v>School Bus</v>
      </c>
      <c r="U956" s="8" t="str">
        <f ca="1">IFERROR(__xludf.DUMMYFUNCTION("""COMPUTED_VALUE"""),"Yes")</f>
        <v>Yes</v>
      </c>
      <c r="V956" s="8" t="str">
        <f ca="1">IFERROR(__xludf.DUMMYFUNCTION("""COMPUTED_VALUE"""),"Dismissal")</f>
        <v>Dismissal</v>
      </c>
      <c r="W956" s="11">
        <f ca="1">IFERROR(__xludf.DUMMYFUNCTION("""COMPUTED_VALUE"""),0.697916666666666)</f>
        <v>0.69791666666666596</v>
      </c>
      <c r="X956" s="8">
        <f ca="1">IFERROR(__xludf.DUMMYFUNCTION("""COMPUTED_VALUE"""),1)</f>
        <v>1</v>
      </c>
      <c r="Y956" s="12" t="str">
        <f ca="1">IFERROR(__xludf.DUMMYFUNCTION("""COMPUTED_VALUE"""),"Student fired gun on school bus")</f>
        <v>Student fired gun on school bus</v>
      </c>
      <c r="Z956" s="12" t="str">
        <f ca="1">IFERROR(__xludf.DUMMYFUNCTION("""COMPUTED_VALUE"""),"An unidentified student fired a shot on the school bus. No injuries. Student arrested. ")</f>
        <v xml:space="preserve">An unidentified student fired a shot on the school bus. No injuries. Student arrested. </v>
      </c>
      <c r="AA956" s="8" t="str">
        <f ca="1">IFERROR(__xludf.DUMMYFUNCTION("""COMPUTED_VALUE"""),"Accidental")</f>
        <v>Accidental</v>
      </c>
      <c r="AB956" s="8"/>
      <c r="AC956" s="8" t="str">
        <f ca="1">IFERROR(__xludf.DUMMYFUNCTION("""COMPUTED_VALUE"""),"Yes")</f>
        <v>Yes</v>
      </c>
      <c r="AD956" s="8" t="str">
        <f ca="1">IFERROR(__xludf.DUMMYFUNCTION("""COMPUTED_VALUE"""),"Neither")</f>
        <v>Neither</v>
      </c>
      <c r="AE956" s="8" t="str">
        <f ca="1">IFERROR(__xludf.DUMMYFUNCTION("""COMPUTED_VALUE"""),"No")</f>
        <v>No</v>
      </c>
      <c r="AF956" s="8"/>
      <c r="AG956" s="8" t="str">
        <f ca="1">IFERROR(__xludf.DUMMYFUNCTION("""COMPUTED_VALUE"""),"No")</f>
        <v>No</v>
      </c>
      <c r="AH956" s="8" t="str">
        <f ca="1">IFERROR(__xludf.DUMMYFUNCTION("""COMPUTED_VALUE"""),"No")</f>
        <v>No</v>
      </c>
      <c r="AI956" s="8" t="str">
        <f ca="1">IFERROR(__xludf.DUMMYFUNCTION("""COMPUTED_VALUE"""),"No")</f>
        <v>No</v>
      </c>
      <c r="AJ956" s="8" t="str">
        <f ca="1">IFERROR(__xludf.DUMMYFUNCTION("""COMPUTED_VALUE"""),"No")</f>
        <v>No</v>
      </c>
      <c r="AK956" s="8" t="str">
        <f ca="1">IFERROR(__xludf.DUMMYFUNCTION("""COMPUTED_VALUE"""),"No")</f>
        <v>No</v>
      </c>
      <c r="AL956" s="8" t="str">
        <f ca="1">IFERROR(__xludf.DUMMYFUNCTION("""COMPUTED_VALUE"""),"No")</f>
        <v>No</v>
      </c>
      <c r="AM956" s="8" t="str">
        <f ca="1">IFERROR(__xludf.DUMMYFUNCTION("""COMPUTED_VALUE"""),"No")</f>
        <v>No</v>
      </c>
      <c r="AN956" s="8" t="str">
        <f ca="1">IFERROR(__xludf.DUMMYFUNCTION("""COMPUTED_VALUE"""),"Outside")</f>
        <v>Outside</v>
      </c>
      <c r="AO956" s="8" t="str">
        <f ca="1">IFERROR(__xludf.DUMMYFUNCTION("""COMPUTED_VALUE"""),"No")</f>
        <v>No</v>
      </c>
      <c r="AP956" s="8"/>
      <c r="AQ956" s="8"/>
      <c r="AR956" s="8" t="str">
        <f ca="1">IFERROR(__xludf.DUMMYFUNCTION("""COMPUTED_VALUE"""),"Outside/Off-Property")</f>
        <v>Outside/Off-Property</v>
      </c>
      <c r="AS956" s="8">
        <f ca="1">IFERROR(__xludf.DUMMYFUNCTION("""COMPUTED_VALUE"""),1)</f>
        <v>1</v>
      </c>
      <c r="AT956" s="8"/>
      <c r="AU956" s="8">
        <f ca="1">IFERROR(__xludf.DUMMYFUNCTION("""COMPUTED_VALUE"""),41.622859)</f>
        <v>41.622858999999998</v>
      </c>
      <c r="AV956" s="8">
        <f ca="1">IFERROR(__xludf.DUMMYFUNCTION("""COMPUTED_VALUE"""),-86.235344)</f>
        <v>-86.235343999999998</v>
      </c>
      <c r="AW956" s="8"/>
      <c r="AX956" s="8">
        <f ca="1">IFERROR(__xludf.DUMMYFUNCTION("""COMPUTED_VALUE"""),46614)</f>
        <v>46614</v>
      </c>
    </row>
    <row r="957" spans="1:50" ht="75" x14ac:dyDescent="0.2">
      <c r="A957" s="8" t="str">
        <f ca="1">IFERROR(__xludf.DUMMYFUNCTION("""COMPUTED_VALUE"""),"20220920MNMAM")</f>
        <v>20220920MNMAM</v>
      </c>
      <c r="B957" s="8">
        <f ca="1">IFERROR(__xludf.DUMMYFUNCTION("""COMPUTED_VALUE"""),9)</f>
        <v>9</v>
      </c>
      <c r="C957" s="8">
        <f ca="1">IFERROR(__xludf.DUMMYFUNCTION("""COMPUTED_VALUE"""),20)</f>
        <v>20</v>
      </c>
      <c r="D957" s="8">
        <f ca="1">IFERROR(__xludf.DUMMYFUNCTION("""COMPUTED_VALUE"""),2022)</f>
        <v>2022</v>
      </c>
      <c r="E957" s="9">
        <f ca="1">IFERROR(__xludf.DUMMYFUNCTION("""COMPUTED_VALUE"""),44824)</f>
        <v>44824</v>
      </c>
      <c r="F957" s="8" t="str">
        <f ca="1">IFERROR(__xludf.DUMMYFUNCTION("""COMPUTED_VALUE"""),"Mankato West High School")</f>
        <v>Mankato West High School</v>
      </c>
      <c r="G957" s="8">
        <f ca="1">IFERROR(__xludf.DUMMYFUNCTION("""COMPUTED_VALUE"""),0)</f>
        <v>0</v>
      </c>
      <c r="H957" s="8">
        <f ca="1">IFERROR(__xludf.DUMMYFUNCTION("""COMPUTED_VALUE"""),0)</f>
        <v>0</v>
      </c>
      <c r="I957" s="8">
        <f ca="1">IFERROR(__xludf.DUMMYFUNCTION("""COMPUTED_VALUE"""),0)</f>
        <v>0</v>
      </c>
      <c r="J957" s="8">
        <f ca="1">IFERROR(__xludf.DUMMYFUNCTION("""COMPUTED_VALUE"""),1)</f>
        <v>1</v>
      </c>
      <c r="K957" s="8" t="str">
        <f ca="1">IFERROR(__xludf.DUMMYFUNCTION("""COMPUTED_VALUE"""),"https://www.mankatofreepress.com/news/local_news/incident-near-west-was-attempted-suicide/article_8f1e42d0-39bc-11ed-9c45-53d1c56cb296.html?utm_campaign=blox&amp;utm_medium=social
https://patch.com/minnesota/across-mn/boy-shoots-self-mankato-school-parking-lo"&amp;"t-day-mass-swatting")</f>
        <v>https://www.mankatofreepress.com/news/local_news/incident-near-west-was-attempted-suicide/article_8f1e42d0-39bc-11ed-9c45-53d1c56cb296.html?utm_campaign=blox&amp;utm_medium=social
https://patch.com/minnesota/across-mn/boy-shoots-self-mankato-school-parking-lot-day-mass-swatting</v>
      </c>
      <c r="L957" s="8">
        <f ca="1">IFERROR(__xludf.DUMMYFUNCTION("""COMPUTED_VALUE"""),5)</f>
        <v>5</v>
      </c>
      <c r="M957" s="8" t="str">
        <f ca="1">IFERROR(__xludf.DUMMYFUNCTION("""COMPUTED_VALUE"""),"Local")</f>
        <v>Local</v>
      </c>
      <c r="N957" s="8">
        <f ca="1">IFERROR(__xludf.DUMMYFUNCTION("""COMPUTED_VALUE"""),4)</f>
        <v>4</v>
      </c>
      <c r="O957" s="8" t="str">
        <f ca="1">IFERROR(__xludf.DUMMYFUNCTION("""COMPUTED_VALUE"""),"Fall")</f>
        <v>Fall</v>
      </c>
      <c r="P957" s="8" t="str">
        <f ca="1">IFERROR(__xludf.DUMMYFUNCTION("""COMPUTED_VALUE"""),"Mankoto")</f>
        <v>Mankoto</v>
      </c>
      <c r="Q957" s="8" t="str">
        <f ca="1">IFERROR(__xludf.DUMMYFUNCTION("""COMPUTED_VALUE"""),"MN")</f>
        <v>MN</v>
      </c>
      <c r="R957" s="8" t="str">
        <f ca="1">IFERROR(__xludf.DUMMYFUNCTION("""COMPUTED_VALUE"""),"High")</f>
        <v>High</v>
      </c>
      <c r="S957" s="8" t="str">
        <f ca="1">IFERROR(__xludf.DUMMYFUNCTION("""COMPUTED_VALUE"""),"Parking Lot")</f>
        <v>Parking Lot</v>
      </c>
      <c r="T957" s="8" t="str">
        <f ca="1">IFERROR(__xludf.DUMMYFUNCTION("""COMPUTED_VALUE"""),"Outside on School Property")</f>
        <v>Outside on School Property</v>
      </c>
      <c r="U957" s="8" t="str">
        <f ca="1">IFERROR(__xludf.DUMMYFUNCTION("""COMPUTED_VALUE"""),"Yes")</f>
        <v>Yes</v>
      </c>
      <c r="V957" s="8" t="str">
        <f ca="1">IFERROR(__xludf.DUMMYFUNCTION("""COMPUTED_VALUE"""),"Lunch")</f>
        <v>Lunch</v>
      </c>
      <c r="W957" s="11">
        <f ca="1">IFERROR(__xludf.DUMMYFUNCTION("""COMPUTED_VALUE"""),0.5)</f>
        <v>0.5</v>
      </c>
      <c r="X957" s="8">
        <f ca="1">IFERROR(__xludf.DUMMYFUNCTION("""COMPUTED_VALUE"""),1)</f>
        <v>1</v>
      </c>
      <c r="Y957" s="12" t="str">
        <f ca="1">IFERROR(__xludf.DUMMYFUNCTION("""COMPUTED_VALUE"""),"Student attempted suicide in school parking lot")</f>
        <v>Student attempted suicide in school parking lot</v>
      </c>
      <c r="Z957" s="12" t="str">
        <f ca="1">IFERROR(__xludf.DUMMYFUNCTION("""COMPUTED_VALUE"""),"Police confirmed that a juvenile male attempted suicide in the overflow parking lot at Mankato West High School Tuesday. Police received a 911 call shortly after noon for a self-inflicted gunshot wound. The juvenile was transported to the local hospital. "&amp;"School went on lockdown.")</f>
        <v>Police confirmed that a juvenile male attempted suicide in the overflow parking lot at Mankato West High School Tuesday. Police received a 911 call shortly after noon for a self-inflicted gunshot wound. The juvenile was transported to the local hospital. School went on lockdown.</v>
      </c>
      <c r="AA957" s="8" t="str">
        <f ca="1">IFERROR(__xludf.DUMMYFUNCTION("""COMPUTED_VALUE"""),"Suicide/Attempted")</f>
        <v>Suicide/Attempted</v>
      </c>
      <c r="AB957" s="8" t="str">
        <f ca="1">IFERROR(__xludf.DUMMYFUNCTION("""COMPUTED_VALUE"""),"Targeted")</f>
        <v>Targeted</v>
      </c>
      <c r="AC957" s="8" t="str">
        <f ca="1">IFERROR(__xludf.DUMMYFUNCTION("""COMPUTED_VALUE"""),"Yes")</f>
        <v>Yes</v>
      </c>
      <c r="AD957" s="8" t="str">
        <f ca="1">IFERROR(__xludf.DUMMYFUNCTION("""COMPUTED_VALUE"""),"Victims Targeted")</f>
        <v>Victims Targeted</v>
      </c>
      <c r="AE957" s="8" t="str">
        <f ca="1">IFERROR(__xludf.DUMMYFUNCTION("""COMPUTED_VALUE"""),"No")</f>
        <v>No</v>
      </c>
      <c r="AF957" s="8"/>
      <c r="AG957" s="8" t="str">
        <f ca="1">IFERROR(__xludf.DUMMYFUNCTION("""COMPUTED_VALUE"""),"No")</f>
        <v>No</v>
      </c>
      <c r="AH957" s="8" t="str">
        <f ca="1">IFERROR(__xludf.DUMMYFUNCTION("""COMPUTED_VALUE"""),"No")</f>
        <v>No</v>
      </c>
      <c r="AI957" s="8" t="str">
        <f ca="1">IFERROR(__xludf.DUMMYFUNCTION("""COMPUTED_VALUE"""),"No")</f>
        <v>No</v>
      </c>
      <c r="AJ957" s="8"/>
      <c r="AK957" s="8" t="str">
        <f ca="1">IFERROR(__xludf.DUMMYFUNCTION("""COMPUTED_VALUE"""),"No")</f>
        <v>No</v>
      </c>
      <c r="AL957" s="8" t="str">
        <f ca="1">IFERROR(__xludf.DUMMYFUNCTION("""COMPUTED_VALUE"""),"No")</f>
        <v>No</v>
      </c>
      <c r="AM957" s="8" t="str">
        <f ca="1">IFERROR(__xludf.DUMMYFUNCTION("""COMPUTED_VALUE"""),"No")</f>
        <v>No</v>
      </c>
      <c r="AN957" s="8" t="str">
        <f ca="1">IFERROR(__xludf.DUMMYFUNCTION("""COMPUTED_VALUE"""),"Outside")</f>
        <v>Outside</v>
      </c>
      <c r="AO957" s="8" t="str">
        <f ca="1">IFERROR(__xludf.DUMMYFUNCTION("""COMPUTED_VALUE"""),"No")</f>
        <v>No</v>
      </c>
      <c r="AP957" s="8"/>
      <c r="AQ957" s="8"/>
      <c r="AR957" s="8" t="str">
        <f ca="1">IFERROR(__xludf.DUMMYFUNCTION("""COMPUTED_VALUE"""),"Outside/Off-Property")</f>
        <v>Outside/Off-Property</v>
      </c>
      <c r="AS957" s="8">
        <f ca="1">IFERROR(__xludf.DUMMYFUNCTION("""COMPUTED_VALUE"""),1)</f>
        <v>1</v>
      </c>
      <c r="AT957" s="8" t="str">
        <f ca="1">IFERROR(__xludf.DUMMYFUNCTION("""COMPUTED_VALUE"""),"Yes")</f>
        <v>Yes</v>
      </c>
      <c r="AU957" s="8">
        <f ca="1">IFERROR(__xludf.DUMMYFUNCTION("""COMPUTED_VALUE"""),44.15923)</f>
        <v>44.159230000000001</v>
      </c>
      <c r="AV957" s="8">
        <f ca="1">IFERROR(__xludf.DUMMYFUNCTION("""COMPUTED_VALUE"""),-94.0175)</f>
        <v>-94.017499999999998</v>
      </c>
      <c r="AW957" s="8"/>
      <c r="AX957" s="8">
        <f ca="1">IFERROR(__xludf.DUMMYFUNCTION("""COMPUTED_VALUE"""),56003)</f>
        <v>56003</v>
      </c>
    </row>
    <row r="958" spans="1:50" ht="90" x14ac:dyDescent="0.2">
      <c r="A958" s="8" t="str">
        <f ca="1">IFERROR(__xludf.DUMMYFUNCTION("""COMPUTED_VALUE"""),"20220920NYINB")</f>
        <v>20220920NYINB</v>
      </c>
      <c r="B958" s="8">
        <f ca="1">IFERROR(__xludf.DUMMYFUNCTION("""COMPUTED_VALUE"""),9)</f>
        <v>9</v>
      </c>
      <c r="C958" s="8">
        <f ca="1">IFERROR(__xludf.DUMMYFUNCTION("""COMPUTED_VALUE"""),20)</f>
        <v>20</v>
      </c>
      <c r="D958" s="8">
        <f ca="1">IFERROR(__xludf.DUMMYFUNCTION("""COMPUTED_VALUE"""),2022)</f>
        <v>2022</v>
      </c>
      <c r="E958" s="9">
        <f ca="1">IFERROR(__xludf.DUMMYFUNCTION("""COMPUTED_VALUE"""),44824)</f>
        <v>44824</v>
      </c>
      <c r="F958" s="8" t="str">
        <f ca="1">IFERROR(__xludf.DUMMYFUNCTION("""COMPUTED_VALUE"""),"Intermediate School 278")</f>
        <v>Intermediate School 278</v>
      </c>
      <c r="G958" s="8">
        <f ca="1">IFERROR(__xludf.DUMMYFUNCTION("""COMPUTED_VALUE"""),0)</f>
        <v>0</v>
      </c>
      <c r="H958" s="8">
        <f ca="1">IFERROR(__xludf.DUMMYFUNCTION("""COMPUTED_VALUE"""),0)</f>
        <v>0</v>
      </c>
      <c r="I958" s="8">
        <f ca="1">IFERROR(__xludf.DUMMYFUNCTION("""COMPUTED_VALUE"""),0)</f>
        <v>0</v>
      </c>
      <c r="J958" s="8">
        <f ca="1">IFERROR(__xludf.DUMMYFUNCTION("""COMPUTED_VALUE"""),0)</f>
        <v>0</v>
      </c>
      <c r="K958" s="8" t="str">
        <f ca="1">IFERROR(__xludf.DUMMYFUNCTION("""COMPUTED_VALUE"""),"https://abc7ny.com/nyc-brooklyn-woman-shot-in-head/12246225/
https://www.cbsnews.com/newyork/news/marine-park-brooklyn-shooting/
https://bronx.news12.com/police-woman-shot-in-the-head-next-to-school")</f>
        <v>https://abc7ny.com/nyc-brooklyn-woman-shot-in-head/12246225/
https://www.cbsnews.com/newyork/news/marine-park-brooklyn-shooting/
https://bronx.news12.com/police-woman-shot-in-the-head-next-to-school</v>
      </c>
      <c r="L958" s="8">
        <f ca="1">IFERROR(__xludf.DUMMYFUNCTION("""COMPUTED_VALUE"""),3)</f>
        <v>3</v>
      </c>
      <c r="M958" s="8" t="str">
        <f ca="1">IFERROR(__xludf.DUMMYFUNCTION("""COMPUTED_VALUE"""),"Local")</f>
        <v>Local</v>
      </c>
      <c r="N958" s="8">
        <f ca="1">IFERROR(__xludf.DUMMYFUNCTION("""COMPUTED_VALUE"""),4)</f>
        <v>4</v>
      </c>
      <c r="O958" s="8" t="str">
        <f ca="1">IFERROR(__xludf.DUMMYFUNCTION("""COMPUTED_VALUE"""),"Fall")</f>
        <v>Fall</v>
      </c>
      <c r="P958" s="8" t="str">
        <f ca="1">IFERROR(__xludf.DUMMYFUNCTION("""COMPUTED_VALUE"""),"Brooklyn")</f>
        <v>Brooklyn</v>
      </c>
      <c r="Q958" s="8" t="str">
        <f ca="1">IFERROR(__xludf.DUMMYFUNCTION("""COMPUTED_VALUE"""),"NY")</f>
        <v>NY</v>
      </c>
      <c r="R958" s="8" t="str">
        <f ca="1">IFERROR(__xludf.DUMMYFUNCTION("""COMPUTED_VALUE"""),"Middle")</f>
        <v>Middle</v>
      </c>
      <c r="S958" s="8" t="str">
        <f ca="1">IFERROR(__xludf.DUMMYFUNCTION("""COMPUTED_VALUE"""),"Playground")</f>
        <v>Playground</v>
      </c>
      <c r="T958" s="8" t="str">
        <f ca="1">IFERROR(__xludf.DUMMYFUNCTION("""COMPUTED_VALUE"""),"Outside on School Property")</f>
        <v>Outside on School Property</v>
      </c>
      <c r="U958" s="8" t="str">
        <f ca="1">IFERROR(__xludf.DUMMYFUNCTION("""COMPUTED_VALUE"""),"Yes")</f>
        <v>Yes</v>
      </c>
      <c r="V958" s="8" t="str">
        <f ca="1">IFERROR(__xludf.DUMMYFUNCTION("""COMPUTED_VALUE"""),"After School")</f>
        <v>After School</v>
      </c>
      <c r="W958" s="11">
        <f ca="1">IFERROR(__xludf.DUMMYFUNCTION("""COMPUTED_VALUE"""),0.666666666666666)</f>
        <v>0.66666666666666596</v>
      </c>
      <c r="X958" s="8">
        <f ca="1">IFERROR(__xludf.DUMMYFUNCTION("""COMPUTED_VALUE"""),1)</f>
        <v>1</v>
      </c>
      <c r="Y958" s="12" t="str">
        <f ca="1">IFERROR(__xludf.DUMMYFUNCTION("""COMPUTED_VALUE"""),"Woman shot herself in head behind school during after school programs")</f>
        <v>Woman shot herself in head behind school during after school programs</v>
      </c>
      <c r="Z958" s="12" t="str">
        <f ca="1">IFERROR(__xludf.DUMMYFUNCTION("""COMPUTED_VALUE"""),"Woman shot herself in the head on the playground behind the school just prior to dismissal. She was arguing with her child's father at the time of the shooting. Gunshot was heard inside the school while students were inside for after school programs and s"&amp;"chool went on lockdown until children were released to parents in the late evening.")</f>
        <v>Woman shot herself in the head on the playground behind the school just prior to dismissal. She was arguing with her child's father at the time of the shooting. Gunshot was heard inside the school while students were inside for after school programs and school went on lockdown until children were released to parents in the late evening.</v>
      </c>
      <c r="AA958" s="8" t="str">
        <f ca="1">IFERROR(__xludf.DUMMYFUNCTION("""COMPUTED_VALUE"""),"Suicide/Attempted")</f>
        <v>Suicide/Attempted</v>
      </c>
      <c r="AB958" s="8"/>
      <c r="AC958" s="8" t="str">
        <f ca="1">IFERROR(__xludf.DUMMYFUNCTION("""COMPUTED_VALUE"""),"Yes")</f>
        <v>Yes</v>
      </c>
      <c r="AD958" s="8" t="str">
        <f ca="1">IFERROR(__xludf.DUMMYFUNCTION("""COMPUTED_VALUE"""),"Victims Targeted")</f>
        <v>Victims Targeted</v>
      </c>
      <c r="AE958" s="8" t="str">
        <f ca="1">IFERROR(__xludf.DUMMYFUNCTION("""COMPUTED_VALUE"""),"No")</f>
        <v>No</v>
      </c>
      <c r="AF958" s="8"/>
      <c r="AG958" s="8" t="str">
        <f ca="1">IFERROR(__xludf.DUMMYFUNCTION("""COMPUTED_VALUE"""),"No")</f>
        <v>No</v>
      </c>
      <c r="AH958" s="8" t="str">
        <f ca="1">IFERROR(__xludf.DUMMYFUNCTION("""COMPUTED_VALUE"""),"No")</f>
        <v>No</v>
      </c>
      <c r="AI958" s="8" t="str">
        <f ca="1">IFERROR(__xludf.DUMMYFUNCTION("""COMPUTED_VALUE"""),"No")</f>
        <v>No</v>
      </c>
      <c r="AJ958" s="8" t="str">
        <f ca="1">IFERROR(__xludf.DUMMYFUNCTION("""COMPUTED_VALUE"""),"No")</f>
        <v>No</v>
      </c>
      <c r="AK958" s="8" t="str">
        <f ca="1">IFERROR(__xludf.DUMMYFUNCTION("""COMPUTED_VALUE"""),"No")</f>
        <v>No</v>
      </c>
      <c r="AL958" s="8" t="str">
        <f ca="1">IFERROR(__xludf.DUMMYFUNCTION("""COMPUTED_VALUE"""),"No")</f>
        <v>No</v>
      </c>
      <c r="AM958" s="8" t="str">
        <f ca="1">IFERROR(__xludf.DUMMYFUNCTION("""COMPUTED_VALUE"""),"No")</f>
        <v>No</v>
      </c>
      <c r="AN958" s="8" t="str">
        <f ca="1">IFERROR(__xludf.DUMMYFUNCTION("""COMPUTED_VALUE"""),"Outside")</f>
        <v>Outside</v>
      </c>
      <c r="AO958" s="8" t="str">
        <f ca="1">IFERROR(__xludf.DUMMYFUNCTION("""COMPUTED_VALUE"""),"No")</f>
        <v>No</v>
      </c>
      <c r="AP958" s="8"/>
      <c r="AQ958" s="8"/>
      <c r="AR958" s="8" t="str">
        <f ca="1">IFERROR(__xludf.DUMMYFUNCTION("""COMPUTED_VALUE"""),"Outside/Off-Property")</f>
        <v>Outside/Off-Property</v>
      </c>
      <c r="AS958" s="8">
        <f ca="1">IFERROR(__xludf.DUMMYFUNCTION("""COMPUTED_VALUE"""),1)</f>
        <v>1</v>
      </c>
      <c r="AT958" s="8" t="str">
        <f ca="1">IFERROR(__xludf.DUMMYFUNCTION("""COMPUTED_VALUE"""),"Yes")</f>
        <v>Yes</v>
      </c>
      <c r="AU958" s="8">
        <f ca="1">IFERROR(__xludf.DUMMYFUNCTION("""COMPUTED_VALUE"""),40.606273)</f>
        <v>40.606273000000002</v>
      </c>
      <c r="AV958" s="8">
        <f ca="1">IFERROR(__xludf.DUMMYFUNCTION("""COMPUTED_VALUE"""),-73.938715)</f>
        <v>-73.938715000000002</v>
      </c>
      <c r="AW958" s="8"/>
      <c r="AX958" s="8">
        <f ca="1">IFERROR(__xludf.DUMMYFUNCTION("""COMPUTED_VALUE"""),11229)</f>
        <v>11229</v>
      </c>
    </row>
    <row r="959" spans="1:50" ht="60" x14ac:dyDescent="0.2">
      <c r="A959" s="8" t="str">
        <f ca="1">IFERROR(__xludf.DUMMYFUNCTION("""COMPUTED_VALUE"""),"20220919LALAN")</f>
        <v>20220919LALAN</v>
      </c>
      <c r="B959" s="8">
        <f ca="1">IFERROR(__xludf.DUMMYFUNCTION("""COMPUTED_VALUE"""),9)</f>
        <v>9</v>
      </c>
      <c r="C959" s="8">
        <f ca="1">IFERROR(__xludf.DUMMYFUNCTION("""COMPUTED_VALUE"""),19)</f>
        <v>19</v>
      </c>
      <c r="D959" s="8">
        <f ca="1">IFERROR(__xludf.DUMMYFUNCTION("""COMPUTED_VALUE"""),2022)</f>
        <v>2022</v>
      </c>
      <c r="E959" s="9">
        <f ca="1">IFERROR(__xludf.DUMMYFUNCTION("""COMPUTED_VALUE"""),44823)</f>
        <v>44823</v>
      </c>
      <c r="F959" s="8" t="str">
        <f ca="1">IFERROR(__xludf.DUMMYFUNCTION("""COMPUTED_VALUE"""),"Laureate Academy Charter School")</f>
        <v>Laureate Academy Charter School</v>
      </c>
      <c r="G959" s="8">
        <f ca="1">IFERROR(__xludf.DUMMYFUNCTION("""COMPUTED_VALUE"""),0)</f>
        <v>0</v>
      </c>
      <c r="H959" s="8">
        <f ca="1">IFERROR(__xludf.DUMMYFUNCTION("""COMPUTED_VALUE"""),0)</f>
        <v>0</v>
      </c>
      <c r="I959" s="8">
        <f ca="1">IFERROR(__xludf.DUMMYFUNCTION("""COMPUTED_VALUE"""),0)</f>
        <v>0</v>
      </c>
      <c r="J959" s="8">
        <f ca="1">IFERROR(__xludf.DUMMYFUNCTION("""COMPUTED_VALUE"""),0)</f>
        <v>0</v>
      </c>
      <c r="K959" s="8" t="str">
        <f ca="1">IFERROR(__xludf.DUMMYFUNCTION("""COMPUTED_VALUE"""),"https://www.fox8live.com/2022/09/20/student-detained-after-discharging-gun-school-bus-harvey-jpso-says/
https://www.nola.com/news/crime_police/article_cb1b0922-385d-11ed-955e-9f3eacc57192.html
")</f>
        <v xml:space="preserve">https://www.fox8live.com/2022/09/20/student-detained-after-discharging-gun-school-bus-harvey-jpso-says/
https://www.nola.com/news/crime_police/article_cb1b0922-385d-11ed-955e-9f3eacc57192.html
</v>
      </c>
      <c r="L959" s="8">
        <f ca="1">IFERROR(__xludf.DUMMYFUNCTION("""COMPUTED_VALUE"""),3)</f>
        <v>3</v>
      </c>
      <c r="M959" s="8" t="str">
        <f ca="1">IFERROR(__xludf.DUMMYFUNCTION("""COMPUTED_VALUE"""),"Regional")</f>
        <v>Regional</v>
      </c>
      <c r="N959" s="8">
        <f ca="1">IFERROR(__xludf.DUMMYFUNCTION("""COMPUTED_VALUE"""),4)</f>
        <v>4</v>
      </c>
      <c r="O959" s="8" t="str">
        <f ca="1">IFERROR(__xludf.DUMMYFUNCTION("""COMPUTED_VALUE"""),"Fall")</f>
        <v>Fall</v>
      </c>
      <c r="P959" s="8" t="str">
        <f ca="1">IFERROR(__xludf.DUMMYFUNCTION("""COMPUTED_VALUE"""),"New Orleans")</f>
        <v>New Orleans</v>
      </c>
      <c r="Q959" s="8" t="str">
        <f ca="1">IFERROR(__xludf.DUMMYFUNCTION("""COMPUTED_VALUE"""),"LA")</f>
        <v>LA</v>
      </c>
      <c r="R959" s="8" t="str">
        <f ca="1">IFERROR(__xludf.DUMMYFUNCTION("""COMPUTED_VALUE"""),"K-8")</f>
        <v>K-8</v>
      </c>
      <c r="S959" s="8" t="str">
        <f ca="1">IFERROR(__xludf.DUMMYFUNCTION("""COMPUTED_VALUE"""),"School Bus")</f>
        <v>School Bus</v>
      </c>
      <c r="T959" s="8" t="str">
        <f ca="1">IFERROR(__xludf.DUMMYFUNCTION("""COMPUTED_VALUE"""),"School Bus")</f>
        <v>School Bus</v>
      </c>
      <c r="U959" s="8" t="str">
        <f ca="1">IFERROR(__xludf.DUMMYFUNCTION("""COMPUTED_VALUE"""),"Yes")</f>
        <v>Yes</v>
      </c>
      <c r="V959" s="8" t="str">
        <f ca="1">IFERROR(__xludf.DUMMYFUNCTION("""COMPUTED_VALUE"""),"School Start")</f>
        <v>School Start</v>
      </c>
      <c r="W959" s="11">
        <f ca="1">IFERROR(__xludf.DUMMYFUNCTION("""COMPUTED_VALUE"""),0.291666666666666)</f>
        <v>0.29166666666666602</v>
      </c>
      <c r="X959" s="8">
        <f ca="1">IFERROR(__xludf.DUMMYFUNCTION("""COMPUTED_VALUE"""),1)</f>
        <v>1</v>
      </c>
      <c r="Y959" s="12" t="str">
        <f ca="1">IFERROR(__xludf.DUMMYFUNCTION("""COMPUTED_VALUE"""),"Student fired gun on school bus")</f>
        <v>Student fired gun on school bus</v>
      </c>
      <c r="Z959" s="12" t="str">
        <f ca="1">IFERROR(__xludf.DUMMYFUNCTION("""COMPUTED_VALUE"""),"An unidentified student fired a shot on the school bus. Bus driver stopped the bus and contacted police. After interviewing students, the student who fired the shot admitted he brought the gun onto the bus and was arrested.")</f>
        <v>An unidentified student fired a shot on the school bus. Bus driver stopped the bus and contacted police. After interviewing students, the student who fired the shot admitted he brought the gun onto the bus and was arrested.</v>
      </c>
      <c r="AA959" s="8" t="str">
        <f ca="1">IFERROR(__xludf.DUMMYFUNCTION("""COMPUTED_VALUE"""),"Accidental")</f>
        <v>Accidental</v>
      </c>
      <c r="AB959" s="8"/>
      <c r="AC959" s="8" t="str">
        <f ca="1">IFERROR(__xludf.DUMMYFUNCTION("""COMPUTED_VALUE"""),"Yes")</f>
        <v>Yes</v>
      </c>
      <c r="AD959" s="8" t="str">
        <f ca="1">IFERROR(__xludf.DUMMYFUNCTION("""COMPUTED_VALUE"""),"Neither")</f>
        <v>Neither</v>
      </c>
      <c r="AE959" s="8" t="str">
        <f ca="1">IFERROR(__xludf.DUMMYFUNCTION("""COMPUTED_VALUE"""),"No")</f>
        <v>No</v>
      </c>
      <c r="AF959" s="8"/>
      <c r="AG959" s="8" t="str">
        <f ca="1">IFERROR(__xludf.DUMMYFUNCTION("""COMPUTED_VALUE"""),"No")</f>
        <v>No</v>
      </c>
      <c r="AH959" s="8" t="str">
        <f ca="1">IFERROR(__xludf.DUMMYFUNCTION("""COMPUTED_VALUE"""),"No")</f>
        <v>No</v>
      </c>
      <c r="AI959" s="8" t="str">
        <f ca="1">IFERROR(__xludf.DUMMYFUNCTION("""COMPUTED_VALUE"""),"No")</f>
        <v>No</v>
      </c>
      <c r="AJ959" s="8" t="str">
        <f ca="1">IFERROR(__xludf.DUMMYFUNCTION("""COMPUTED_VALUE"""),"No")</f>
        <v>No</v>
      </c>
      <c r="AK959" s="8" t="str">
        <f ca="1">IFERROR(__xludf.DUMMYFUNCTION("""COMPUTED_VALUE"""),"No")</f>
        <v>No</v>
      </c>
      <c r="AL959" s="8" t="str">
        <f ca="1">IFERROR(__xludf.DUMMYFUNCTION("""COMPUTED_VALUE"""),"No")</f>
        <v>No</v>
      </c>
      <c r="AM959" s="8" t="str">
        <f ca="1">IFERROR(__xludf.DUMMYFUNCTION("""COMPUTED_VALUE"""),"No")</f>
        <v>No</v>
      </c>
      <c r="AN959" s="8" t="str">
        <f ca="1">IFERROR(__xludf.DUMMYFUNCTION("""COMPUTED_VALUE"""),"Outside")</f>
        <v>Outside</v>
      </c>
      <c r="AO959" s="8" t="str">
        <f ca="1">IFERROR(__xludf.DUMMYFUNCTION("""COMPUTED_VALUE"""),"No")</f>
        <v>No</v>
      </c>
      <c r="AP959" s="8"/>
      <c r="AQ959" s="8"/>
      <c r="AR959" s="8" t="str">
        <f ca="1">IFERROR(__xludf.DUMMYFUNCTION("""COMPUTED_VALUE"""),"Outside/Off-Property")</f>
        <v>Outside/Off-Property</v>
      </c>
      <c r="AS959" s="8">
        <f ca="1">IFERROR(__xludf.DUMMYFUNCTION("""COMPUTED_VALUE"""),1)</f>
        <v>1</v>
      </c>
      <c r="AT959" s="8"/>
      <c r="AU959" s="8">
        <f ca="1">IFERROR(__xludf.DUMMYFUNCTION("""COMPUTED_VALUE"""),29.866858)</f>
        <v>29.866858000000001</v>
      </c>
      <c r="AV959" s="8">
        <f ca="1">IFERROR(__xludf.DUMMYFUNCTION("""COMPUTED_VALUE"""),-90.086367)</f>
        <v>-90.086366999999996</v>
      </c>
      <c r="AW959" s="8"/>
      <c r="AX959" s="8">
        <f ca="1">IFERROR(__xludf.DUMMYFUNCTION("""COMPUTED_VALUE"""),70058)</f>
        <v>70058</v>
      </c>
    </row>
    <row r="960" spans="1:50" ht="75" x14ac:dyDescent="0.2">
      <c r="A960" s="8" t="str">
        <f ca="1">IFERROR(__xludf.DUMMYFUNCTION("""COMPUTED_VALUE"""),"20220919FLTRS")</f>
        <v>20220919FLTRS</v>
      </c>
      <c r="B960" s="8">
        <f ca="1">IFERROR(__xludf.DUMMYFUNCTION("""COMPUTED_VALUE"""),9)</f>
        <v>9</v>
      </c>
      <c r="C960" s="8">
        <f ca="1">IFERROR(__xludf.DUMMYFUNCTION("""COMPUTED_VALUE"""),19)</f>
        <v>19</v>
      </c>
      <c r="D960" s="8">
        <f ca="1">IFERROR(__xludf.DUMMYFUNCTION("""COMPUTED_VALUE"""),2022)</f>
        <v>2022</v>
      </c>
      <c r="E960" s="9">
        <f ca="1">IFERROR(__xludf.DUMMYFUNCTION("""COMPUTED_VALUE"""),44823)</f>
        <v>44823</v>
      </c>
      <c r="F960" s="8" t="str">
        <f ca="1">IFERROR(__xludf.DUMMYFUNCTION("""COMPUTED_VALUE"""),"Treasure Coast Classical Academy")</f>
        <v>Treasure Coast Classical Academy</v>
      </c>
      <c r="G960" s="8">
        <f ca="1">IFERROR(__xludf.DUMMYFUNCTION("""COMPUTED_VALUE"""),0)</f>
        <v>0</v>
      </c>
      <c r="H960" s="8">
        <f ca="1">IFERROR(__xludf.DUMMYFUNCTION("""COMPUTED_VALUE"""),0)</f>
        <v>0</v>
      </c>
      <c r="I960" s="8">
        <f ca="1">IFERROR(__xludf.DUMMYFUNCTION("""COMPUTED_VALUE"""),0)</f>
        <v>0</v>
      </c>
      <c r="J960" s="8">
        <f ca="1">IFERROR(__xludf.DUMMYFUNCTION("""COMPUTED_VALUE"""),0)</f>
        <v>0</v>
      </c>
      <c r="K960" s="10" t="str">
        <f ca="1">IFERROR(__xludf.DUMMYFUNCTION("""COMPUTED_VALUE"""),"https://www.tcpalm.com/story/news/2022/09/19/unintentional-discharge-deputys-gun-school-under-investigation/10429095002/")</f>
        <v>https://www.tcpalm.com/story/news/2022/09/19/unintentional-discharge-deputys-gun-school-under-investigation/10429095002/</v>
      </c>
      <c r="L960" s="8">
        <f ca="1">IFERROR(__xludf.DUMMYFUNCTION("""COMPUTED_VALUE"""),5)</f>
        <v>5</v>
      </c>
      <c r="M960" s="8" t="str">
        <f ca="1">IFERROR(__xludf.DUMMYFUNCTION("""COMPUTED_VALUE"""),"Local")</f>
        <v>Local</v>
      </c>
      <c r="N960" s="8">
        <f ca="1">IFERROR(__xludf.DUMMYFUNCTION("""COMPUTED_VALUE"""),4)</f>
        <v>4</v>
      </c>
      <c r="O960" s="8" t="str">
        <f ca="1">IFERROR(__xludf.DUMMYFUNCTION("""COMPUTED_VALUE"""),"Fall")</f>
        <v>Fall</v>
      </c>
      <c r="P960" s="8" t="str">
        <f ca="1">IFERROR(__xludf.DUMMYFUNCTION("""COMPUTED_VALUE"""),"Stuart")</f>
        <v>Stuart</v>
      </c>
      <c r="Q960" s="8" t="str">
        <f ca="1">IFERROR(__xludf.DUMMYFUNCTION("""COMPUTED_VALUE"""),"FL")</f>
        <v>FL</v>
      </c>
      <c r="R960" s="8" t="str">
        <f ca="1">IFERROR(__xludf.DUMMYFUNCTION("""COMPUTED_VALUE"""),"Elementary")</f>
        <v>Elementary</v>
      </c>
      <c r="S960" s="8" t="str">
        <f ca="1">IFERROR(__xludf.DUMMYFUNCTION("""COMPUTED_VALUE"""),"Office")</f>
        <v>Office</v>
      </c>
      <c r="T960" s="8" t="str">
        <f ca="1">IFERROR(__xludf.DUMMYFUNCTION("""COMPUTED_VALUE"""),"Inside School Building")</f>
        <v>Inside School Building</v>
      </c>
      <c r="U960" s="8" t="str">
        <f ca="1">IFERROR(__xludf.DUMMYFUNCTION("""COMPUTED_VALUE"""),"Yes")</f>
        <v>Yes</v>
      </c>
      <c r="V960" s="8" t="str">
        <f ca="1">IFERROR(__xludf.DUMMYFUNCTION("""COMPUTED_VALUE"""),"Afternoon Classes")</f>
        <v>Afternoon Classes</v>
      </c>
      <c r="W960" s="8"/>
      <c r="X960" s="8">
        <f ca="1">IFERROR(__xludf.DUMMYFUNCTION("""COMPUTED_VALUE"""),1)</f>
        <v>1</v>
      </c>
      <c r="Y960" s="12" t="str">
        <f ca="1">IFERROR(__xludf.DUMMYFUNCTION("""COMPUTED_VALUE"""),"SRO fired bullet through office wall into classroom")</f>
        <v>SRO fired bullet through office wall into classroom</v>
      </c>
      <c r="Z960" s="12" t="str">
        <f ca="1">IFERROR(__xludf.DUMMYFUNCTION("""COMPUTED_VALUE"""),"SRO was ""dry firing"" handgun in his office when gun fired Monday afternoon. Bullet went through the office wall, across the school hallway at shoulder level, through a classroom wall, and lodged in a bookcase. Students were inside the classroom when the"&amp;" shot was fired.")</f>
        <v>SRO was "dry firing" handgun in his office when gun fired Monday afternoon. Bullet went through the office wall, across the school hallway at shoulder level, through a classroom wall, and lodged in a bookcase. Students were inside the classroom when the shot was fired.</v>
      </c>
      <c r="AA960" s="8" t="str">
        <f ca="1">IFERROR(__xludf.DUMMYFUNCTION("""COMPUTED_VALUE"""),"Accidental")</f>
        <v>Accidental</v>
      </c>
      <c r="AB960" s="8"/>
      <c r="AC960" s="8" t="str">
        <f ca="1">IFERROR(__xludf.DUMMYFUNCTION("""COMPUTED_VALUE"""),"Yes")</f>
        <v>Yes</v>
      </c>
      <c r="AD960" s="8" t="str">
        <f ca="1">IFERROR(__xludf.DUMMYFUNCTION("""COMPUTED_VALUE"""),"Neither")</f>
        <v>Neither</v>
      </c>
      <c r="AE960" s="8" t="str">
        <f ca="1">IFERROR(__xludf.DUMMYFUNCTION("""COMPUTED_VALUE"""),"No")</f>
        <v>No</v>
      </c>
      <c r="AF960" s="8"/>
      <c r="AG960" s="8" t="str">
        <f ca="1">IFERROR(__xludf.DUMMYFUNCTION("""COMPUTED_VALUE"""),"No")</f>
        <v>No</v>
      </c>
      <c r="AH960" s="8" t="str">
        <f ca="1">IFERROR(__xludf.DUMMYFUNCTION("""COMPUTED_VALUE"""),"No")</f>
        <v>No</v>
      </c>
      <c r="AI960" s="8" t="str">
        <f ca="1">IFERROR(__xludf.DUMMYFUNCTION("""COMPUTED_VALUE"""),"No")</f>
        <v>No</v>
      </c>
      <c r="AJ960" s="8" t="str">
        <f ca="1">IFERROR(__xludf.DUMMYFUNCTION("""COMPUTED_VALUE"""),"No")</f>
        <v>No</v>
      </c>
      <c r="AK960" s="8" t="str">
        <f ca="1">IFERROR(__xludf.DUMMYFUNCTION("""COMPUTED_VALUE"""),"No")</f>
        <v>No</v>
      </c>
      <c r="AL960" s="8" t="str">
        <f ca="1">IFERROR(__xludf.DUMMYFUNCTION("""COMPUTED_VALUE"""),"No")</f>
        <v>No</v>
      </c>
      <c r="AM960" s="8" t="str">
        <f ca="1">IFERROR(__xludf.DUMMYFUNCTION("""COMPUTED_VALUE"""),"No")</f>
        <v>No</v>
      </c>
      <c r="AN960" s="8" t="str">
        <f ca="1">IFERROR(__xludf.DUMMYFUNCTION("""COMPUTED_VALUE"""),"Single Room")</f>
        <v>Single Room</v>
      </c>
      <c r="AO960" s="8" t="str">
        <f ca="1">IFERROR(__xludf.DUMMYFUNCTION("""COMPUTED_VALUE"""),"No")</f>
        <v>No</v>
      </c>
      <c r="AP960" s="8" t="str">
        <f ca="1">IFERROR(__xludf.DUMMYFUNCTION("""COMPUTED_VALUE"""),"Yes")</f>
        <v>Yes</v>
      </c>
      <c r="AQ960" s="8"/>
      <c r="AR960" s="8"/>
      <c r="AS960" s="8">
        <f ca="1">IFERROR(__xludf.DUMMYFUNCTION("""COMPUTED_VALUE"""),1)</f>
        <v>1</v>
      </c>
      <c r="AT960" s="8"/>
      <c r="AU960" s="8">
        <f ca="1">IFERROR(__xludf.DUMMYFUNCTION("""COMPUTED_VALUE"""),27.120616)</f>
        <v>27.120615999999998</v>
      </c>
      <c r="AV960" s="8">
        <f ca="1">IFERROR(__xludf.DUMMYFUNCTION("""COMPUTED_VALUE"""),-80.235139)</f>
        <v>-80.235139000000004</v>
      </c>
      <c r="AW960" s="8"/>
      <c r="AX960" s="8">
        <f ca="1">IFERROR(__xludf.DUMMYFUNCTION("""COMPUTED_VALUE"""),34997)</f>
        <v>34997</v>
      </c>
    </row>
    <row r="961" spans="1:50" ht="60" x14ac:dyDescent="0.2">
      <c r="A961" s="8" t="str">
        <f ca="1">IFERROR(__xludf.DUMMYFUNCTION("""COMPUTED_VALUE"""),"20220917GAJOA")</f>
        <v>20220917GAJOA</v>
      </c>
      <c r="B961" s="8">
        <f ca="1">IFERROR(__xludf.DUMMYFUNCTION("""COMPUTED_VALUE"""),9)</f>
        <v>9</v>
      </c>
      <c r="C961" s="8">
        <f ca="1">IFERROR(__xludf.DUMMYFUNCTION("""COMPUTED_VALUE"""),17)</f>
        <v>17</v>
      </c>
      <c r="D961" s="8">
        <f ca="1">IFERROR(__xludf.DUMMYFUNCTION("""COMPUTED_VALUE"""),2022)</f>
        <v>2022</v>
      </c>
      <c r="E961" s="9">
        <f ca="1">IFERROR(__xludf.DUMMYFUNCTION("""COMPUTED_VALUE"""),44821)</f>
        <v>44821</v>
      </c>
      <c r="F961" s="8" t="str">
        <f ca="1">IFERROR(__xludf.DUMMYFUNCTION("""COMPUTED_VALUE"""),"Josey High School")</f>
        <v>Josey High School</v>
      </c>
      <c r="G961" s="8">
        <f ca="1">IFERROR(__xludf.DUMMYFUNCTION("""COMPUTED_VALUE"""),0)</f>
        <v>0</v>
      </c>
      <c r="H961" s="8">
        <f ca="1">IFERROR(__xludf.DUMMYFUNCTION("""COMPUTED_VALUE"""),2)</f>
        <v>2</v>
      </c>
      <c r="I961" s="8">
        <f ca="1">IFERROR(__xludf.DUMMYFUNCTION("""COMPUTED_VALUE"""),2)</f>
        <v>2</v>
      </c>
      <c r="J961" s="8">
        <f ca="1">IFERROR(__xludf.DUMMYFUNCTION("""COMPUTED_VALUE"""),0)</f>
        <v>0</v>
      </c>
      <c r="K961" s="10" t="str">
        <f ca="1">IFERROR(__xludf.DUMMYFUNCTION("""COMPUTED_VALUE"""),"https://www.augustachronicle.com/story/news/crime/2022/09/17/police-respond-shooting-josey-high-school/10415236002/
https://www.wrdw.com/2022/09/17/breaking-news-richmond-county-sheriffs-office-responds-shooting-josey-high-school/
https://www.augustachron"&amp;"icle.com/story/news/crime/2022/09/26/suspect-wanted-after-josey-high-school-shooting-turns-himself/8123351001/")</f>
        <v>https://www.augustachronicle.com/story/news/crime/2022/09/17/police-respond-shooting-josey-high-school/10415236002/
https://www.wrdw.com/2022/09/17/breaking-news-richmond-county-sheriffs-office-responds-shooting-josey-high-school/
https://www.augustachronicle.com/story/news/crime/2022/09/26/suspect-wanted-after-josey-high-school-shooting-turns-himself/8123351001/</v>
      </c>
      <c r="L961" s="8">
        <f ca="1">IFERROR(__xludf.DUMMYFUNCTION("""COMPUTED_VALUE"""),20)</f>
        <v>20</v>
      </c>
      <c r="M961" s="8" t="str">
        <f ca="1">IFERROR(__xludf.DUMMYFUNCTION("""COMPUTED_VALUE"""),"National")</f>
        <v>National</v>
      </c>
      <c r="N961" s="8">
        <f ca="1">IFERROR(__xludf.DUMMYFUNCTION("""COMPUTED_VALUE"""),4)</f>
        <v>4</v>
      </c>
      <c r="O961" s="8" t="str">
        <f ca="1">IFERROR(__xludf.DUMMYFUNCTION("""COMPUTED_VALUE"""),"Fall")</f>
        <v>Fall</v>
      </c>
      <c r="P961" s="8" t="str">
        <f ca="1">IFERROR(__xludf.DUMMYFUNCTION("""COMPUTED_VALUE"""),"Augusta")</f>
        <v>Augusta</v>
      </c>
      <c r="Q961" s="8" t="str">
        <f ca="1">IFERROR(__xludf.DUMMYFUNCTION("""COMPUTED_VALUE"""),"GA")</f>
        <v>GA</v>
      </c>
      <c r="R961" s="8" t="str">
        <f ca="1">IFERROR(__xludf.DUMMYFUNCTION("""COMPUTED_VALUE"""),"High")</f>
        <v>High</v>
      </c>
      <c r="S961" s="8" t="str">
        <f ca="1">IFERROR(__xludf.DUMMYFUNCTION("""COMPUTED_VALUE"""),"Parking Lot")</f>
        <v>Parking Lot</v>
      </c>
      <c r="T961" s="8" t="str">
        <f ca="1">IFERROR(__xludf.DUMMYFUNCTION("""COMPUTED_VALUE"""),"Outside on School Property")</f>
        <v>Outside on School Property</v>
      </c>
      <c r="U961" s="8" t="str">
        <f ca="1">IFERROR(__xludf.DUMMYFUNCTION("""COMPUTED_VALUE"""),"No")</f>
        <v>No</v>
      </c>
      <c r="V961" s="8" t="str">
        <f ca="1">IFERROR(__xludf.DUMMYFUNCTION("""COMPUTED_VALUE"""),"Sport Event")</f>
        <v>Sport Event</v>
      </c>
      <c r="W961" s="11">
        <f ca="1">IFERROR(__xludf.DUMMYFUNCTION("""COMPUTED_VALUE"""),0.725)</f>
        <v>0.72499999999999998</v>
      </c>
      <c r="X961" s="8">
        <f ca="1">IFERROR(__xludf.DUMMYFUNCTION("""COMPUTED_VALUE"""),1)</f>
        <v>1</v>
      </c>
      <c r="Y961" s="12" t="str">
        <f ca="1">IFERROR(__xludf.DUMMYFUNCTION("""COMPUTED_VALUE"""),"Shots fired during fight at homecoming game tailgate")</f>
        <v>Shots fired during fight at homecoming game tailgate</v>
      </c>
      <c r="Z961" s="12" t="str">
        <f ca="1">IFERROR(__xludf.DUMMYFUNCTION("""COMPUTED_VALUE"""),"Multiple shots were fired during a fight at the homecoming game tailgate. Two victims were wounded. ")</f>
        <v xml:space="preserve">Multiple shots were fired during a fight at the homecoming game tailgate. Two victims were wounded. </v>
      </c>
      <c r="AA961" s="8" t="str">
        <f ca="1">IFERROR(__xludf.DUMMYFUNCTION("""COMPUTED_VALUE"""),"Escalation of Dispute")</f>
        <v>Escalation of Dispute</v>
      </c>
      <c r="AB961" s="8"/>
      <c r="AC961" s="8" t="str">
        <f ca="1">IFERROR(__xludf.DUMMYFUNCTION("""COMPUTED_VALUE"""),"Yes")</f>
        <v>Yes</v>
      </c>
      <c r="AD961" s="8" t="str">
        <f ca="1">IFERROR(__xludf.DUMMYFUNCTION("""COMPUTED_VALUE"""),"Both")</f>
        <v>Both</v>
      </c>
      <c r="AE961" s="8" t="str">
        <f ca="1">IFERROR(__xludf.DUMMYFUNCTION("""COMPUTED_VALUE"""),"No")</f>
        <v>No</v>
      </c>
      <c r="AF961" s="8"/>
      <c r="AG961" s="8" t="str">
        <f ca="1">IFERROR(__xludf.DUMMYFUNCTION("""COMPUTED_VALUE"""),"No")</f>
        <v>No</v>
      </c>
      <c r="AH961" s="8" t="str">
        <f ca="1">IFERROR(__xludf.DUMMYFUNCTION("""COMPUTED_VALUE"""),"No")</f>
        <v>No</v>
      </c>
      <c r="AI961" s="8" t="str">
        <f ca="1">IFERROR(__xludf.DUMMYFUNCTION("""COMPUTED_VALUE"""),"N")</f>
        <v>N</v>
      </c>
      <c r="AJ961" s="8" t="str">
        <f ca="1">IFERROR(__xludf.DUMMYFUNCTION("""COMPUTED_VALUE"""),"No")</f>
        <v>No</v>
      </c>
      <c r="AK961" s="8" t="str">
        <f ca="1">IFERROR(__xludf.DUMMYFUNCTION("""COMPUTED_VALUE"""),"No")</f>
        <v>No</v>
      </c>
      <c r="AL961" s="8" t="str">
        <f ca="1">IFERROR(__xludf.DUMMYFUNCTION("""COMPUTED_VALUE"""),"No")</f>
        <v>No</v>
      </c>
      <c r="AM961" s="8" t="str">
        <f ca="1">IFERROR(__xludf.DUMMYFUNCTION("""COMPUTED_VALUE"""),"No")</f>
        <v>No</v>
      </c>
      <c r="AN961" s="8" t="str">
        <f ca="1">IFERROR(__xludf.DUMMYFUNCTION("""COMPUTED_VALUE"""),"Outside")</f>
        <v>Outside</v>
      </c>
      <c r="AO961" s="8" t="str">
        <f ca="1">IFERROR(__xludf.DUMMYFUNCTION("""COMPUTED_VALUE"""),"No")</f>
        <v>No</v>
      </c>
      <c r="AP961" s="8"/>
      <c r="AQ961" s="8"/>
      <c r="AR961" s="8" t="str">
        <f ca="1">IFERROR(__xludf.DUMMYFUNCTION("""COMPUTED_VALUE"""),"Outside/Off-Property")</f>
        <v>Outside/Off-Property</v>
      </c>
      <c r="AS961" s="8">
        <f ca="1">IFERROR(__xludf.DUMMYFUNCTION("""COMPUTED_VALUE"""),99)</f>
        <v>99</v>
      </c>
      <c r="AT961" s="8"/>
      <c r="AU961" s="8">
        <f ca="1">IFERROR(__xludf.DUMMYFUNCTION("""COMPUTED_VALUE"""),33.454813)</f>
        <v>33.454813000000001</v>
      </c>
      <c r="AV961" s="8">
        <f ca="1">IFERROR(__xludf.DUMMYFUNCTION("""COMPUTED_VALUE"""),-82.000153)</f>
        <v>-82.000152999999997</v>
      </c>
      <c r="AW961" s="8"/>
      <c r="AX961" s="8">
        <f ca="1">IFERROR(__xludf.DUMMYFUNCTION("""COMPUTED_VALUE"""),30904)</f>
        <v>30904</v>
      </c>
    </row>
    <row r="962" spans="1:50" ht="75" x14ac:dyDescent="0.2">
      <c r="A962" s="8" t="str">
        <f ca="1">IFERROR(__xludf.DUMMYFUNCTION("""COMPUTED_VALUE"""),"20220916NYPSN")</f>
        <v>20220916NYPSN</v>
      </c>
      <c r="B962" s="8">
        <f ca="1">IFERROR(__xludf.DUMMYFUNCTION("""COMPUTED_VALUE"""),9)</f>
        <v>9</v>
      </c>
      <c r="C962" s="8">
        <f ca="1">IFERROR(__xludf.DUMMYFUNCTION("""COMPUTED_VALUE"""),16)</f>
        <v>16</v>
      </c>
      <c r="D962" s="8">
        <f ca="1">IFERROR(__xludf.DUMMYFUNCTION("""COMPUTED_VALUE"""),2022)</f>
        <v>2022</v>
      </c>
      <c r="E962" s="9">
        <f ca="1">IFERROR(__xludf.DUMMYFUNCTION("""COMPUTED_VALUE"""),44820)</f>
        <v>44820</v>
      </c>
      <c r="F962" s="8" t="str">
        <f ca="1">IFERROR(__xludf.DUMMYFUNCTION("""COMPUTED_VALUE"""),"P.S. 77 Lower Lab School")</f>
        <v>P.S. 77 Lower Lab School</v>
      </c>
      <c r="G962" s="8">
        <f ca="1">IFERROR(__xludf.DUMMYFUNCTION("""COMPUTED_VALUE"""),0)</f>
        <v>0</v>
      </c>
      <c r="H962" s="8">
        <f ca="1">IFERROR(__xludf.DUMMYFUNCTION("""COMPUTED_VALUE"""),0)</f>
        <v>0</v>
      </c>
      <c r="I962" s="8">
        <f ca="1">IFERROR(__xludf.DUMMYFUNCTION("""COMPUTED_VALUE"""),0)</f>
        <v>0</v>
      </c>
      <c r="J962" s="8">
        <f ca="1">IFERROR(__xludf.DUMMYFUNCTION("""COMPUTED_VALUE"""),0)</f>
        <v>0</v>
      </c>
      <c r="K962" s="10" t="str">
        <f ca="1">IFERROR(__xludf.DUMMYFUNCTION("""COMPUTED_VALUE"""),"https://nypost.com/2022/09/17/nyc-kids-shot-at-with-pellet-guns-after-squabble-over-game-at-ues-playground/")</f>
        <v>https://nypost.com/2022/09/17/nyc-kids-shot-at-with-pellet-guns-after-squabble-over-game-at-ues-playground/</v>
      </c>
      <c r="L962" s="8">
        <f ca="1">IFERROR(__xludf.DUMMYFUNCTION("""COMPUTED_VALUE"""),1)</f>
        <v>1</v>
      </c>
      <c r="M962" s="8" t="str">
        <f ca="1">IFERROR(__xludf.DUMMYFUNCTION("""COMPUTED_VALUE"""),"Local")</f>
        <v>Local</v>
      </c>
      <c r="N962" s="8">
        <f ca="1">IFERROR(__xludf.DUMMYFUNCTION("""COMPUTED_VALUE"""),3)</f>
        <v>3</v>
      </c>
      <c r="O962" s="8" t="str">
        <f ca="1">IFERROR(__xludf.DUMMYFUNCTION("""COMPUTED_VALUE"""),"Fall")</f>
        <v>Fall</v>
      </c>
      <c r="P962" s="8" t="str">
        <f ca="1">IFERROR(__xludf.DUMMYFUNCTION("""COMPUTED_VALUE"""),"New York")</f>
        <v>New York</v>
      </c>
      <c r="Q962" s="8" t="str">
        <f ca="1">IFERROR(__xludf.DUMMYFUNCTION("""COMPUTED_VALUE"""),"NY")</f>
        <v>NY</v>
      </c>
      <c r="R962" s="8" t="str">
        <f ca="1">IFERROR(__xludf.DUMMYFUNCTION("""COMPUTED_VALUE"""),"Elementary")</f>
        <v>Elementary</v>
      </c>
      <c r="S962" s="8" t="str">
        <f ca="1">IFERROR(__xludf.DUMMYFUNCTION("""COMPUTED_VALUE"""),"Playground")</f>
        <v>Playground</v>
      </c>
      <c r="T962" s="8" t="str">
        <f ca="1">IFERROR(__xludf.DUMMYFUNCTION("""COMPUTED_VALUE"""),"Outside on School Property")</f>
        <v>Outside on School Property</v>
      </c>
      <c r="U962" s="8" t="str">
        <f ca="1">IFERROR(__xludf.DUMMYFUNCTION("""COMPUTED_VALUE"""),"No")</f>
        <v>No</v>
      </c>
      <c r="V962" s="8" t="str">
        <f ca="1">IFERROR(__xludf.DUMMYFUNCTION("""COMPUTED_VALUE"""),"After School")</f>
        <v>After School</v>
      </c>
      <c r="W962" s="11">
        <f ca="1">IFERROR(__xludf.DUMMYFUNCTION("""COMPUTED_VALUE"""),0.666666666666666)</f>
        <v>0.66666666666666596</v>
      </c>
      <c r="X962" s="8">
        <f ca="1">IFERROR(__xludf.DUMMYFUNCTION("""COMPUTED_VALUE"""),1)</f>
        <v>1</v>
      </c>
      <c r="Y962" s="12" t="str">
        <f ca="1">IFERROR(__xludf.DUMMYFUNCTION("""COMPUTED_VALUE"""),"Teen fired pellet gun at 5 children during dispute over game on playground")</f>
        <v>Teen fired pellet gun at 5 children during dispute over game on playground</v>
      </c>
      <c r="Z962" s="12" t="str">
        <f ca="1">IFERROR(__xludf.DUMMYFUNCTION("""COMPUTED_VALUE"""),"During a dispute over a game on the playground, a teen left the playground and came back with pellet gun then shot 5 children causing minor injuries. Teen made death threats and also struck children with the gun. Parents chased away the shooter.")</f>
        <v>During a dispute over a game on the playground, a teen left the playground and came back with pellet gun then shot 5 children causing minor injuries. Teen made death threats and also struck children with the gun. Parents chased away the shooter.</v>
      </c>
      <c r="AA962" s="8" t="str">
        <f ca="1">IFERROR(__xludf.DUMMYFUNCTION("""COMPUTED_VALUE"""),"Escalation of Dispute")</f>
        <v>Escalation of Dispute</v>
      </c>
      <c r="AB962" s="8"/>
      <c r="AC962" s="8" t="str">
        <f ca="1">IFERROR(__xludf.DUMMYFUNCTION("""COMPUTED_VALUE"""),"Yes")</f>
        <v>Yes</v>
      </c>
      <c r="AD962" s="8" t="str">
        <f ca="1">IFERROR(__xludf.DUMMYFUNCTION("""COMPUTED_VALUE"""),"Victims Targeted")</f>
        <v>Victims Targeted</v>
      </c>
      <c r="AE962" s="8" t="str">
        <f ca="1">IFERROR(__xludf.DUMMYFUNCTION("""COMPUTED_VALUE"""),"No")</f>
        <v>No</v>
      </c>
      <c r="AF962" s="8"/>
      <c r="AG962" s="8" t="str">
        <f ca="1">IFERROR(__xludf.DUMMYFUNCTION("""COMPUTED_VALUE"""),"No")</f>
        <v>No</v>
      </c>
      <c r="AH962" s="8" t="str">
        <f ca="1">IFERROR(__xludf.DUMMYFUNCTION("""COMPUTED_VALUE"""),"No")</f>
        <v>No</v>
      </c>
      <c r="AI962" s="8" t="str">
        <f ca="1">IFERROR(__xludf.DUMMYFUNCTION("""COMPUTED_VALUE"""),"No")</f>
        <v>No</v>
      </c>
      <c r="AJ962" s="8" t="str">
        <f ca="1">IFERROR(__xludf.DUMMYFUNCTION("""COMPUTED_VALUE"""),"No")</f>
        <v>No</v>
      </c>
      <c r="AK962" s="8" t="str">
        <f ca="1">IFERROR(__xludf.DUMMYFUNCTION("""COMPUTED_VALUE"""),"No")</f>
        <v>No</v>
      </c>
      <c r="AL962" s="8" t="str">
        <f ca="1">IFERROR(__xludf.DUMMYFUNCTION("""COMPUTED_VALUE"""),"No")</f>
        <v>No</v>
      </c>
      <c r="AM962" s="8" t="str">
        <f ca="1">IFERROR(__xludf.DUMMYFUNCTION("""COMPUTED_VALUE"""),"No")</f>
        <v>No</v>
      </c>
      <c r="AN962" s="8" t="str">
        <f ca="1">IFERROR(__xludf.DUMMYFUNCTION("""COMPUTED_VALUE"""),"Outside")</f>
        <v>Outside</v>
      </c>
      <c r="AO962" s="8" t="str">
        <f ca="1">IFERROR(__xludf.DUMMYFUNCTION("""COMPUTED_VALUE"""),"No")</f>
        <v>No</v>
      </c>
      <c r="AP962" s="8"/>
      <c r="AQ962" s="8"/>
      <c r="AR962" s="8" t="str">
        <f ca="1">IFERROR(__xludf.DUMMYFUNCTION("""COMPUTED_VALUE"""),"Outside/Off-Property")</f>
        <v>Outside/Off-Property</v>
      </c>
      <c r="AS962" s="8">
        <f ca="1">IFERROR(__xludf.DUMMYFUNCTION("""COMPUTED_VALUE"""),99)</f>
        <v>99</v>
      </c>
      <c r="AT962" s="8"/>
      <c r="AU962" s="8">
        <f ca="1">IFERROR(__xludf.DUMMYFUNCTION("""COMPUTED_VALUE"""),40.784795)</f>
        <v>40.784795000000003</v>
      </c>
      <c r="AV962" s="8">
        <f ca="1">IFERROR(__xludf.DUMMYFUNCTION("""COMPUTED_VALUE"""),-73.950375)</f>
        <v>-73.950374999999994</v>
      </c>
      <c r="AW962" s="8"/>
      <c r="AX962" s="8">
        <f ca="1">IFERROR(__xludf.DUMMYFUNCTION("""COMPUTED_VALUE"""),10128)</f>
        <v>10128</v>
      </c>
    </row>
    <row r="963" spans="1:50" ht="75" x14ac:dyDescent="0.2">
      <c r="A963" s="8" t="str">
        <f ca="1">IFERROR(__xludf.DUMMYFUNCTION("""COMPUTED_VALUE"""),"20220916GALAA")</f>
        <v>20220916GALAA</v>
      </c>
      <c r="B963" s="8">
        <f ca="1">IFERROR(__xludf.DUMMYFUNCTION("""COMPUTED_VALUE"""),9)</f>
        <v>9</v>
      </c>
      <c r="C963" s="8">
        <f ca="1">IFERROR(__xludf.DUMMYFUNCTION("""COMPUTED_VALUE"""),16)</f>
        <v>16</v>
      </c>
      <c r="D963" s="8">
        <f ca="1">IFERROR(__xludf.DUMMYFUNCTION("""COMPUTED_VALUE"""),2022)</f>
        <v>2022</v>
      </c>
      <c r="E963" s="9">
        <f ca="1">IFERROR(__xludf.DUMMYFUNCTION("""COMPUTED_VALUE"""),44820)</f>
        <v>44820</v>
      </c>
      <c r="F963" s="8" t="str">
        <f ca="1">IFERROR(__xludf.DUMMYFUNCTION("""COMPUTED_VALUE"""),"Laney Walker High School")</f>
        <v>Laney Walker High School</v>
      </c>
      <c r="G963" s="8">
        <f ca="1">IFERROR(__xludf.DUMMYFUNCTION("""COMPUTED_VALUE"""),0)</f>
        <v>0</v>
      </c>
      <c r="H963" s="8">
        <f ca="1">IFERROR(__xludf.DUMMYFUNCTION("""COMPUTED_VALUE"""),0)</f>
        <v>0</v>
      </c>
      <c r="I963" s="8">
        <f ca="1">IFERROR(__xludf.DUMMYFUNCTION("""COMPUTED_VALUE"""),0)</f>
        <v>0</v>
      </c>
      <c r="J963" s="8">
        <f ca="1">IFERROR(__xludf.DUMMYFUNCTION("""COMPUTED_VALUE"""),0)</f>
        <v>0</v>
      </c>
      <c r="K963" s="10" t="str">
        <f ca="1">IFERROR(__xludf.DUMMYFUNCTION("""COMPUTED_VALUE"""),"https://www.cbs46.com/2022/09/17/high-school-football-game-ended-evacuated-after-nearby-shooting-augusta/
https://www.wrdw.com/2022/09/17/deputies-respond-shots-fired-call-laney-high/
https://www.wjbf.com/news/reports-of-shots-fired-at-high-school-footbal"&amp;"l-game-in-augusta/
https://www.11alive.com/article/news/state/gunfire-ends-high-school-football-game/85-ab5afbe9-ea46-4bbf-88ee-7add3fa67ef3")</f>
        <v>https://www.cbs46.com/2022/09/17/high-school-football-game-ended-evacuated-after-nearby-shooting-augusta/
https://www.wrdw.com/2022/09/17/deputies-respond-shots-fired-call-laney-high/
https://www.wjbf.com/news/reports-of-shots-fired-at-high-school-football-game-in-augusta/
https://www.11alive.com/article/news/state/gunfire-ends-high-school-football-game/85-ab5afbe9-ea46-4bbf-88ee-7add3fa67ef3</v>
      </c>
      <c r="L963" s="8">
        <f ca="1">IFERROR(__xludf.DUMMYFUNCTION("""COMPUTED_VALUE"""),5)</f>
        <v>5</v>
      </c>
      <c r="M963" s="8" t="str">
        <f ca="1">IFERROR(__xludf.DUMMYFUNCTION("""COMPUTED_VALUE"""),"Regional")</f>
        <v>Regional</v>
      </c>
      <c r="N963" s="8">
        <f ca="1">IFERROR(__xludf.DUMMYFUNCTION("""COMPUTED_VALUE"""),4)</f>
        <v>4</v>
      </c>
      <c r="O963" s="8" t="str">
        <f ca="1">IFERROR(__xludf.DUMMYFUNCTION("""COMPUTED_VALUE"""),"Fall")</f>
        <v>Fall</v>
      </c>
      <c r="P963" s="8" t="str">
        <f ca="1">IFERROR(__xludf.DUMMYFUNCTION("""COMPUTED_VALUE"""),"Augusta")</f>
        <v>Augusta</v>
      </c>
      <c r="Q963" s="8" t="str">
        <f ca="1">IFERROR(__xludf.DUMMYFUNCTION("""COMPUTED_VALUE"""),"GA")</f>
        <v>GA</v>
      </c>
      <c r="R963" s="8" t="str">
        <f ca="1">IFERROR(__xludf.DUMMYFUNCTION("""COMPUTED_VALUE"""),"High")</f>
        <v>High</v>
      </c>
      <c r="S963" s="8" t="str">
        <f ca="1">IFERROR(__xludf.DUMMYFUNCTION("""COMPUTED_VALUE"""),"Parking Lot")</f>
        <v>Parking Lot</v>
      </c>
      <c r="T963" s="8" t="str">
        <f ca="1">IFERROR(__xludf.DUMMYFUNCTION("""COMPUTED_VALUE"""),"Outside on School Property")</f>
        <v>Outside on School Property</v>
      </c>
      <c r="U963" s="8" t="str">
        <f ca="1">IFERROR(__xludf.DUMMYFUNCTION("""COMPUTED_VALUE"""),"No")</f>
        <v>No</v>
      </c>
      <c r="V963" s="8" t="str">
        <f ca="1">IFERROR(__xludf.DUMMYFUNCTION("""COMPUTED_VALUE"""),"Sport Event")</f>
        <v>Sport Event</v>
      </c>
      <c r="W963" s="11">
        <f ca="1">IFERROR(__xludf.DUMMYFUNCTION("""COMPUTED_VALUE"""),0.879166666666666)</f>
        <v>0.87916666666666599</v>
      </c>
      <c r="X963" s="8">
        <f ca="1">IFERROR(__xludf.DUMMYFUNCTION("""COMPUTED_VALUE"""),1)</f>
        <v>1</v>
      </c>
      <c r="Y963" s="12" t="str">
        <f ca="1">IFERROR(__xludf.DUMMYFUNCTION("""COMPUTED_VALUE"""),"Three people fired shots during dispute in parking lot during football game")</f>
        <v>Three people fired shots during dispute in parking lot during football game</v>
      </c>
      <c r="Z963" s="12" t="str">
        <f ca="1">IFERROR(__xludf.DUMMYFUNCTION("""COMPUTED_VALUE"""),"Three people fired shots in the school parking lot during a dispute during a high school football game. Shots were heard in the stadium causing players and fans to evacuate. Remainder of game was cancelled. Police found 3 firearms and bullets struck two v"&amp;"ehicles. No injuries.")</f>
        <v>Three people fired shots in the school parking lot during a dispute during a high school football game. Shots were heard in the stadium causing players and fans to evacuate. Remainder of game was cancelled. Police found 3 firearms and bullets struck two vehicles. No injuries.</v>
      </c>
      <c r="AA963" s="8" t="str">
        <f ca="1">IFERROR(__xludf.DUMMYFUNCTION("""COMPUTED_VALUE"""),"Escalation of Dispute")</f>
        <v>Escalation of Dispute</v>
      </c>
      <c r="AB963" s="8"/>
      <c r="AC963" s="8" t="str">
        <f ca="1">IFERROR(__xludf.DUMMYFUNCTION("""COMPUTED_VALUE"""),"Yes")</f>
        <v>Yes</v>
      </c>
      <c r="AD963" s="8" t="str">
        <f ca="1">IFERROR(__xludf.DUMMYFUNCTION("""COMPUTED_VALUE"""),"Victims Targeted")</f>
        <v>Victims Targeted</v>
      </c>
      <c r="AE963" s="8" t="str">
        <f ca="1">IFERROR(__xludf.DUMMYFUNCTION("""COMPUTED_VALUE"""),"Yes")</f>
        <v>Yes</v>
      </c>
      <c r="AF963" s="8" t="str">
        <f ca="1">IFERROR(__xludf.DUMMYFUNCTION("""COMPUTED_VALUE"""),"3 shooters")</f>
        <v>3 shooters</v>
      </c>
      <c r="AG963" s="8" t="str">
        <f ca="1">IFERROR(__xludf.DUMMYFUNCTION("""COMPUTED_VALUE"""),"No")</f>
        <v>No</v>
      </c>
      <c r="AH963" s="8" t="str">
        <f ca="1">IFERROR(__xludf.DUMMYFUNCTION("""COMPUTED_VALUE"""),"No")</f>
        <v>No</v>
      </c>
      <c r="AI963" s="8" t="str">
        <f ca="1">IFERROR(__xludf.DUMMYFUNCTION("""COMPUTED_VALUE"""),"No")</f>
        <v>No</v>
      </c>
      <c r="AJ963" s="8" t="str">
        <f ca="1">IFERROR(__xludf.DUMMYFUNCTION("""COMPUTED_VALUE"""),"No")</f>
        <v>No</v>
      </c>
      <c r="AK963" s="8" t="str">
        <f ca="1">IFERROR(__xludf.DUMMYFUNCTION("""COMPUTED_VALUE"""),"No")</f>
        <v>No</v>
      </c>
      <c r="AL963" s="8"/>
      <c r="AM963" s="8" t="str">
        <f ca="1">IFERROR(__xludf.DUMMYFUNCTION("""COMPUTED_VALUE"""),"No")</f>
        <v>No</v>
      </c>
      <c r="AN963" s="8" t="str">
        <f ca="1">IFERROR(__xludf.DUMMYFUNCTION("""COMPUTED_VALUE"""),"Outside")</f>
        <v>Outside</v>
      </c>
      <c r="AO963" s="8" t="str">
        <f ca="1">IFERROR(__xludf.DUMMYFUNCTION("""COMPUTED_VALUE"""),"No")</f>
        <v>No</v>
      </c>
      <c r="AP963" s="8"/>
      <c r="AQ963" s="8"/>
      <c r="AR963" s="8" t="str">
        <f ca="1">IFERROR(__xludf.DUMMYFUNCTION("""COMPUTED_VALUE"""),"Outside/Off-Property")</f>
        <v>Outside/Off-Property</v>
      </c>
      <c r="AS963" s="8">
        <f ca="1">IFERROR(__xludf.DUMMYFUNCTION("""COMPUTED_VALUE"""),99)</f>
        <v>99</v>
      </c>
      <c r="AT963" s="8"/>
      <c r="AU963" s="8">
        <f ca="1">IFERROR(__xludf.DUMMYFUNCTION("""COMPUTED_VALUE"""),33.466757)</f>
        <v>33.466757000000001</v>
      </c>
      <c r="AV963" s="8">
        <f ca="1">IFERROR(__xludf.DUMMYFUNCTION("""COMPUTED_VALUE"""),-81.982375)</f>
        <v>-81.982375000000005</v>
      </c>
      <c r="AW963" s="8"/>
      <c r="AX963" s="8">
        <f ca="1">IFERROR(__xludf.DUMMYFUNCTION("""COMPUTED_VALUE"""),30901)</f>
        <v>30901</v>
      </c>
    </row>
    <row r="964" spans="1:50" ht="60" x14ac:dyDescent="0.2">
      <c r="A964" s="8" t="str">
        <f ca="1">IFERROR(__xludf.DUMMYFUNCTION("""COMPUTED_VALUE"""),"20220914PACON")</f>
        <v>20220914PACON</v>
      </c>
      <c r="B964" s="8">
        <f ca="1">IFERROR(__xludf.DUMMYFUNCTION("""COMPUTED_VALUE"""),9)</f>
        <v>9</v>
      </c>
      <c r="C964" s="8">
        <f ca="1">IFERROR(__xludf.DUMMYFUNCTION("""COMPUTED_VALUE"""),14)</f>
        <v>14</v>
      </c>
      <c r="D964" s="8">
        <f ca="1">IFERROR(__xludf.DUMMYFUNCTION("""COMPUTED_VALUE"""),2022)</f>
        <v>2022</v>
      </c>
      <c r="E964" s="9">
        <f ca="1">IFERROR(__xludf.DUMMYFUNCTION("""COMPUTED_VALUE"""),44818)</f>
        <v>44818</v>
      </c>
      <c r="F964" s="8" t="str">
        <f ca="1">IFERROR(__xludf.DUMMYFUNCTION("""COMPUTED_VALUE"""),"Council Rock North High School")</f>
        <v>Council Rock North High School</v>
      </c>
      <c r="G964" s="8">
        <f ca="1">IFERROR(__xludf.DUMMYFUNCTION("""COMPUTED_VALUE"""),0)</f>
        <v>0</v>
      </c>
      <c r="H964" s="8">
        <f ca="1">IFERROR(__xludf.DUMMYFUNCTION("""COMPUTED_VALUE"""),0)</f>
        <v>0</v>
      </c>
      <c r="I964" s="8">
        <f ca="1">IFERROR(__xludf.DUMMYFUNCTION("""COMPUTED_VALUE"""),0)</f>
        <v>0</v>
      </c>
      <c r="J964" s="8">
        <f ca="1">IFERROR(__xludf.DUMMYFUNCTION("""COMPUTED_VALUE"""),0)</f>
        <v>0</v>
      </c>
      <c r="K964" s="10" t="str">
        <f ca="1">IFERROR(__xludf.DUMMYFUNCTION("""COMPUTED_VALUE"""),"https://www.pennlive.com/news/2022/09/child-detained-after-bb-gun-shot-on-pa-school-bus-police.html")</f>
        <v>https://www.pennlive.com/news/2022/09/child-detained-after-bb-gun-shot-on-pa-school-bus-police.html</v>
      </c>
      <c r="L964" s="8">
        <f ca="1">IFERROR(__xludf.DUMMYFUNCTION("""COMPUTED_VALUE"""),1)</f>
        <v>1</v>
      </c>
      <c r="M964" s="8" t="str">
        <f ca="1">IFERROR(__xludf.DUMMYFUNCTION("""COMPUTED_VALUE"""),"Local")</f>
        <v>Local</v>
      </c>
      <c r="N964" s="8">
        <f ca="1">IFERROR(__xludf.DUMMYFUNCTION("""COMPUTED_VALUE"""),3)</f>
        <v>3</v>
      </c>
      <c r="O964" s="8" t="str">
        <f ca="1">IFERROR(__xludf.DUMMYFUNCTION("""COMPUTED_VALUE"""),"Fall")</f>
        <v>Fall</v>
      </c>
      <c r="P964" s="8" t="str">
        <f ca="1">IFERROR(__xludf.DUMMYFUNCTION("""COMPUTED_VALUE"""),"Newton")</f>
        <v>Newton</v>
      </c>
      <c r="Q964" s="8" t="str">
        <f ca="1">IFERROR(__xludf.DUMMYFUNCTION("""COMPUTED_VALUE"""),"PA")</f>
        <v>PA</v>
      </c>
      <c r="R964" s="8" t="str">
        <f ca="1">IFERROR(__xludf.DUMMYFUNCTION("""COMPUTED_VALUE"""),"High")</f>
        <v>High</v>
      </c>
      <c r="S964" s="8" t="str">
        <f ca="1">IFERROR(__xludf.DUMMYFUNCTION("""COMPUTED_VALUE"""),"School Bus")</f>
        <v>School Bus</v>
      </c>
      <c r="T964" s="8" t="str">
        <f ca="1">IFERROR(__xludf.DUMMYFUNCTION("""COMPUTED_VALUE"""),"School Bus")</f>
        <v>School Bus</v>
      </c>
      <c r="U964" s="8" t="str">
        <f ca="1">IFERROR(__xludf.DUMMYFUNCTION("""COMPUTED_VALUE"""),"Yes")</f>
        <v>Yes</v>
      </c>
      <c r="V964" s="8" t="str">
        <f ca="1">IFERROR(__xludf.DUMMYFUNCTION("""COMPUTED_VALUE"""),"Dismissal")</f>
        <v>Dismissal</v>
      </c>
      <c r="W964" s="11">
        <f ca="1">IFERROR(__xludf.DUMMYFUNCTION("""COMPUTED_VALUE"""),0.625)</f>
        <v>0.625</v>
      </c>
      <c r="X964" s="8">
        <f ca="1">IFERROR(__xludf.DUMMYFUNCTION("""COMPUTED_VALUE"""),1)</f>
        <v>1</v>
      </c>
      <c r="Y964" s="12" t="str">
        <f ca="1">IFERROR(__xludf.DUMMYFUNCTION("""COMPUTED_VALUE"""),"BB gun fired by student on the school bus, window damaged")</f>
        <v>BB gun fired by student on the school bus, window damaged</v>
      </c>
      <c r="Z964" s="12" t="str">
        <f ca="1">IFERROR(__xludf.DUMMYFUNCTION("""COMPUTED_VALUE"""),"Student was detained by police after a BB gun was fired on the school bus. Window was damaged. No injuries.")</f>
        <v>Student was detained by police after a BB gun was fired on the school bus. Window was damaged. No injuries.</v>
      </c>
      <c r="AA964" s="8"/>
      <c r="AB964" s="8"/>
      <c r="AC964" s="8" t="str">
        <f ca="1">IFERROR(__xludf.DUMMYFUNCTION("""COMPUTED_VALUE"""),"Yes")</f>
        <v>Yes</v>
      </c>
      <c r="AD964" s="8"/>
      <c r="AE964" s="8" t="str">
        <f ca="1">IFERROR(__xludf.DUMMYFUNCTION("""COMPUTED_VALUE"""),"No")</f>
        <v>No</v>
      </c>
      <c r="AF964" s="8"/>
      <c r="AG964" s="8" t="str">
        <f ca="1">IFERROR(__xludf.DUMMYFUNCTION("""COMPUTED_VALUE"""),"No")</f>
        <v>No</v>
      </c>
      <c r="AH964" s="8" t="str">
        <f ca="1">IFERROR(__xludf.DUMMYFUNCTION("""COMPUTED_VALUE"""),"No")</f>
        <v>No</v>
      </c>
      <c r="AI964" s="8" t="str">
        <f ca="1">IFERROR(__xludf.DUMMYFUNCTION("""COMPUTED_VALUE"""),"No")</f>
        <v>No</v>
      </c>
      <c r="AJ964" s="8"/>
      <c r="AK964" s="8" t="str">
        <f ca="1">IFERROR(__xludf.DUMMYFUNCTION("""COMPUTED_VALUE"""),"No")</f>
        <v>No</v>
      </c>
      <c r="AL964" s="8"/>
      <c r="AM964" s="8" t="str">
        <f ca="1">IFERROR(__xludf.DUMMYFUNCTION("""COMPUTED_VALUE"""),"No")</f>
        <v>No</v>
      </c>
      <c r="AN964" s="8" t="str">
        <f ca="1">IFERROR(__xludf.DUMMYFUNCTION("""COMPUTED_VALUE"""),"Outside")</f>
        <v>Outside</v>
      </c>
      <c r="AO964" s="8" t="str">
        <f ca="1">IFERROR(__xludf.DUMMYFUNCTION("""COMPUTED_VALUE"""),"No")</f>
        <v>No</v>
      </c>
      <c r="AP964" s="8"/>
      <c r="AQ964" s="8"/>
      <c r="AR964" s="8" t="str">
        <f ca="1">IFERROR(__xludf.DUMMYFUNCTION("""COMPUTED_VALUE"""),"Outside/Off-Property")</f>
        <v>Outside/Off-Property</v>
      </c>
      <c r="AS964" s="8">
        <f ca="1">IFERROR(__xludf.DUMMYFUNCTION("""COMPUTED_VALUE"""),1)</f>
        <v>1</v>
      </c>
      <c r="AT964" s="8"/>
      <c r="AU964" s="8">
        <f ca="1">IFERROR(__xludf.DUMMYFUNCTION("""COMPUTED_VALUE"""),40.229679)</f>
        <v>40.229678999999997</v>
      </c>
      <c r="AV964" s="8">
        <f ca="1">IFERROR(__xludf.DUMMYFUNCTION("""COMPUTED_VALUE"""),-74.944485)</f>
        <v>-74.944485</v>
      </c>
      <c r="AW964" s="8"/>
      <c r="AX964" s="8">
        <f ca="1">IFERROR(__xludf.DUMMYFUNCTION("""COMPUTED_VALUE"""),18974)</f>
        <v>18974</v>
      </c>
    </row>
    <row r="965" spans="1:50" ht="30" x14ac:dyDescent="0.2">
      <c r="A965" s="8" t="str">
        <f ca="1">IFERROR(__xludf.DUMMYFUNCTION("""COMPUTED_VALUE"""),"20220913UTBOB")</f>
        <v>20220913UTBOB</v>
      </c>
      <c r="B965" s="8">
        <f ca="1">IFERROR(__xludf.DUMMYFUNCTION("""COMPUTED_VALUE"""),9)</f>
        <v>9</v>
      </c>
      <c r="C965" s="8">
        <f ca="1">IFERROR(__xludf.DUMMYFUNCTION("""COMPUTED_VALUE"""),13)</f>
        <v>13</v>
      </c>
      <c r="D965" s="8">
        <f ca="1">IFERROR(__xludf.DUMMYFUNCTION("""COMPUTED_VALUE"""),2022)</f>
        <v>2022</v>
      </c>
      <c r="E965" s="9">
        <f ca="1">IFERROR(__xludf.DUMMYFUNCTION("""COMPUTED_VALUE"""),44817)</f>
        <v>44817</v>
      </c>
      <c r="F965" s="8" t="str">
        <f ca="1">IFERROR(__xludf.DUMMYFUNCTION("""COMPUTED_VALUE"""),"Bountiful High School")</f>
        <v>Bountiful High School</v>
      </c>
      <c r="G965" s="8">
        <f ca="1">IFERROR(__xludf.DUMMYFUNCTION("""COMPUTED_VALUE"""),0)</f>
        <v>0</v>
      </c>
      <c r="H965" s="8">
        <f ca="1">IFERROR(__xludf.DUMMYFUNCTION("""COMPUTED_VALUE"""),0)</f>
        <v>0</v>
      </c>
      <c r="I965" s="8">
        <f ca="1">IFERROR(__xludf.DUMMYFUNCTION("""COMPUTED_VALUE"""),0)</f>
        <v>0</v>
      </c>
      <c r="J965" s="8">
        <f ca="1">IFERROR(__xludf.DUMMYFUNCTION("""COMPUTED_VALUE"""),0)</f>
        <v>0</v>
      </c>
      <c r="K965" s="10" t="str">
        <f ca="1">IFERROR(__xludf.DUMMYFUNCTION("""COMPUTED_VALUE"""),"https://ksltv.com/505779/bountiful-police-book-juvenile-for-allegedly-shooting-a-gun-forcing-high-school-lockout/
https://www.abc4.com/news/bountiful-high-placed-on-lockdown-school-threat/")</f>
        <v>https://ksltv.com/505779/bountiful-police-book-juvenile-for-allegedly-shooting-a-gun-forcing-high-school-lockout/
https://www.abc4.com/news/bountiful-high-placed-on-lockdown-school-threat/</v>
      </c>
      <c r="L965" s="8">
        <f ca="1">IFERROR(__xludf.DUMMYFUNCTION("""COMPUTED_VALUE"""),2)</f>
        <v>2</v>
      </c>
      <c r="M965" s="8" t="str">
        <f ca="1">IFERROR(__xludf.DUMMYFUNCTION("""COMPUTED_VALUE"""),"Local")</f>
        <v>Local</v>
      </c>
      <c r="N965" s="8">
        <f ca="1">IFERROR(__xludf.DUMMYFUNCTION("""COMPUTED_VALUE"""),2)</f>
        <v>2</v>
      </c>
      <c r="O965" s="8" t="str">
        <f ca="1">IFERROR(__xludf.DUMMYFUNCTION("""COMPUTED_VALUE"""),"Fall")</f>
        <v>Fall</v>
      </c>
      <c r="P965" s="8" t="str">
        <f ca="1">IFERROR(__xludf.DUMMYFUNCTION("""COMPUTED_VALUE"""),"Bountiful")</f>
        <v>Bountiful</v>
      </c>
      <c r="Q965" s="8" t="str">
        <f ca="1">IFERROR(__xludf.DUMMYFUNCTION("""COMPUTED_VALUE"""),"UT")</f>
        <v>UT</v>
      </c>
      <c r="R965" s="8" t="str">
        <f ca="1">IFERROR(__xludf.DUMMYFUNCTION("""COMPUTED_VALUE"""),"High")</f>
        <v>High</v>
      </c>
      <c r="S965" s="8" t="str">
        <f ca="1">IFERROR(__xludf.DUMMYFUNCTION("""COMPUTED_VALUE"""),"Parking Lot")</f>
        <v>Parking Lot</v>
      </c>
      <c r="T965" s="8" t="str">
        <f ca="1">IFERROR(__xludf.DUMMYFUNCTION("""COMPUTED_VALUE"""),"Outside on School Property")</f>
        <v>Outside on School Property</v>
      </c>
      <c r="U965" s="8" t="str">
        <f ca="1">IFERROR(__xludf.DUMMYFUNCTION("""COMPUTED_VALUE"""),"Yes")</f>
        <v>Yes</v>
      </c>
      <c r="V965" s="8" t="str">
        <f ca="1">IFERROR(__xludf.DUMMYFUNCTION("""COMPUTED_VALUE"""),"Afternoon Classes")</f>
        <v>Afternoon Classes</v>
      </c>
      <c r="W965" s="11">
        <f ca="1">IFERROR(__xludf.DUMMYFUNCTION("""COMPUTED_VALUE"""),0.561111111111111)</f>
        <v>0.56111111111111101</v>
      </c>
      <c r="X965" s="8">
        <f ca="1">IFERROR(__xludf.DUMMYFUNCTION("""COMPUTED_VALUE"""),1)</f>
        <v>1</v>
      </c>
      <c r="Y965" s="12" t="str">
        <f ca="1">IFERROR(__xludf.DUMMYFUNCTION("""COMPUTED_VALUE"""),"Teen fired shot in parking lot")</f>
        <v>Teen fired shot in parking lot</v>
      </c>
      <c r="Z965" s="12" t="str">
        <f ca="1">IFERROR(__xludf.DUMMYFUNCTION("""COMPUTED_VALUE"""),"High school went into lockdown when teen fired a shot in the parking lot. Police arrested the teen 1 hour later.")</f>
        <v>High school went into lockdown when teen fired a shot in the parking lot. Police arrested the teen 1 hour later.</v>
      </c>
      <c r="AA965" s="8" t="str">
        <f ca="1">IFERROR(__xludf.DUMMYFUNCTION("""COMPUTED_VALUE"""),"Escalation of Dispute")</f>
        <v>Escalation of Dispute</v>
      </c>
      <c r="AB965" s="8"/>
      <c r="AC965" s="8" t="str">
        <f ca="1">IFERROR(__xludf.DUMMYFUNCTION("""COMPUTED_VALUE"""),"Yes")</f>
        <v>Yes</v>
      </c>
      <c r="AD965" s="8" t="str">
        <f ca="1">IFERROR(__xludf.DUMMYFUNCTION("""COMPUTED_VALUE"""),"Victims Targeted")</f>
        <v>Victims Targeted</v>
      </c>
      <c r="AE965" s="8" t="str">
        <f ca="1">IFERROR(__xludf.DUMMYFUNCTION("""COMPUTED_VALUE"""),"No")</f>
        <v>No</v>
      </c>
      <c r="AF965" s="8"/>
      <c r="AG965" s="8" t="str">
        <f ca="1">IFERROR(__xludf.DUMMYFUNCTION("""COMPUTED_VALUE"""),"No")</f>
        <v>No</v>
      </c>
      <c r="AH965" s="8" t="str">
        <f ca="1">IFERROR(__xludf.DUMMYFUNCTION("""COMPUTED_VALUE"""),"No")</f>
        <v>No</v>
      </c>
      <c r="AI965" s="8" t="str">
        <f ca="1">IFERROR(__xludf.DUMMYFUNCTION("""COMPUTED_VALUE"""),"No")</f>
        <v>No</v>
      </c>
      <c r="AJ965" s="8"/>
      <c r="AK965" s="8" t="str">
        <f ca="1">IFERROR(__xludf.DUMMYFUNCTION("""COMPUTED_VALUE"""),"No")</f>
        <v>No</v>
      </c>
      <c r="AL965" s="8"/>
      <c r="AM965" s="8" t="str">
        <f ca="1">IFERROR(__xludf.DUMMYFUNCTION("""COMPUTED_VALUE"""),"No")</f>
        <v>No</v>
      </c>
      <c r="AN965" s="8" t="str">
        <f ca="1">IFERROR(__xludf.DUMMYFUNCTION("""COMPUTED_VALUE"""),"Outside")</f>
        <v>Outside</v>
      </c>
      <c r="AO965" s="8" t="str">
        <f ca="1">IFERROR(__xludf.DUMMYFUNCTION("""COMPUTED_VALUE"""),"No")</f>
        <v>No</v>
      </c>
      <c r="AP965" s="8"/>
      <c r="AQ965" s="8"/>
      <c r="AR965" s="8" t="str">
        <f ca="1">IFERROR(__xludf.DUMMYFUNCTION("""COMPUTED_VALUE"""),"Outside/Off-Property")</f>
        <v>Outside/Off-Property</v>
      </c>
      <c r="AS965" s="8">
        <f ca="1">IFERROR(__xludf.DUMMYFUNCTION("""COMPUTED_VALUE"""),1)</f>
        <v>1</v>
      </c>
      <c r="AT965" s="8" t="str">
        <f ca="1">IFERROR(__xludf.DUMMYFUNCTION("""COMPUTED_VALUE"""),"Yes")</f>
        <v>Yes</v>
      </c>
      <c r="AU965" s="8">
        <f ca="1">IFERROR(__xludf.DUMMYFUNCTION("""COMPUTED_VALUE"""),40.881382)</f>
        <v>40.881382000000002</v>
      </c>
      <c r="AV965" s="8">
        <f ca="1">IFERROR(__xludf.DUMMYFUNCTION("""COMPUTED_VALUE"""),-111.870977)</f>
        <v>-111.870977</v>
      </c>
      <c r="AW965" s="8"/>
      <c r="AX965" s="8">
        <f ca="1">IFERROR(__xludf.DUMMYFUNCTION("""COMPUTED_VALUE"""),84010)</f>
        <v>84010</v>
      </c>
    </row>
    <row r="966" spans="1:50" ht="60" x14ac:dyDescent="0.2">
      <c r="A966" s="8" t="str">
        <f ca="1">IFERROR(__xludf.DUMMYFUNCTION("""COMPUTED_VALUE"""),"20220913MIJAJ")</f>
        <v>20220913MIJAJ</v>
      </c>
      <c r="B966" s="8">
        <f ca="1">IFERROR(__xludf.DUMMYFUNCTION("""COMPUTED_VALUE"""),9)</f>
        <v>9</v>
      </c>
      <c r="C966" s="8">
        <f ca="1">IFERROR(__xludf.DUMMYFUNCTION("""COMPUTED_VALUE"""),13)</f>
        <v>13</v>
      </c>
      <c r="D966" s="8">
        <f ca="1">IFERROR(__xludf.DUMMYFUNCTION("""COMPUTED_VALUE"""),2022)</f>
        <v>2022</v>
      </c>
      <c r="E966" s="9">
        <f ca="1">IFERROR(__xludf.DUMMYFUNCTION("""COMPUTED_VALUE"""),44817)</f>
        <v>44817</v>
      </c>
      <c r="F966" s="8" t="str">
        <f ca="1">IFERROR(__xludf.DUMMYFUNCTION("""COMPUTED_VALUE"""),"Jackson Middle School")</f>
        <v>Jackson Middle School</v>
      </c>
      <c r="G966" s="8">
        <f ca="1">IFERROR(__xludf.DUMMYFUNCTION("""COMPUTED_VALUE"""),0)</f>
        <v>0</v>
      </c>
      <c r="H966" s="8">
        <f ca="1">IFERROR(__xludf.DUMMYFUNCTION("""COMPUTED_VALUE"""),0)</f>
        <v>0</v>
      </c>
      <c r="I966" s="8">
        <f ca="1">IFERROR(__xludf.DUMMYFUNCTION("""COMPUTED_VALUE"""),0)</f>
        <v>0</v>
      </c>
      <c r="J966" s="8">
        <f ca="1">IFERROR(__xludf.DUMMYFUNCTION("""COMPUTED_VALUE"""),0)</f>
        <v>0</v>
      </c>
      <c r="K966" s="10" t="str">
        <f ca="1">IFERROR(__xludf.DUMMYFUNCTION("""COMPUTED_VALUE"""),"https://www.wtol.com/article/news/local/jackson-michigan-middle-school-football-game-locked-down-shots-fired-in-vicinity/512-4d093342-30e0-4e92-b654-ee374f97fc87")</f>
        <v>https://www.wtol.com/article/news/local/jackson-michigan-middle-school-football-game-locked-down-shots-fired-in-vicinity/512-4d093342-30e0-4e92-b654-ee374f97fc87</v>
      </c>
      <c r="L966" s="8">
        <f ca="1">IFERROR(__xludf.DUMMYFUNCTION("""COMPUTED_VALUE"""),1)</f>
        <v>1</v>
      </c>
      <c r="M966" s="8" t="str">
        <f ca="1">IFERROR(__xludf.DUMMYFUNCTION("""COMPUTED_VALUE"""),"Local")</f>
        <v>Local</v>
      </c>
      <c r="N966" s="8">
        <f ca="1">IFERROR(__xludf.DUMMYFUNCTION("""COMPUTED_VALUE"""),2)</f>
        <v>2</v>
      </c>
      <c r="O966" s="8" t="str">
        <f ca="1">IFERROR(__xludf.DUMMYFUNCTION("""COMPUTED_VALUE"""),"Fall")</f>
        <v>Fall</v>
      </c>
      <c r="P966" s="8" t="str">
        <f ca="1">IFERROR(__xludf.DUMMYFUNCTION("""COMPUTED_VALUE"""),"Jackson")</f>
        <v>Jackson</v>
      </c>
      <c r="Q966" s="8" t="str">
        <f ca="1">IFERROR(__xludf.DUMMYFUNCTION("""COMPUTED_VALUE"""),"MI")</f>
        <v>MI</v>
      </c>
      <c r="R966" s="8" t="str">
        <f ca="1">IFERROR(__xludf.DUMMYFUNCTION("""COMPUTED_VALUE"""),"Middle")</f>
        <v>Middle</v>
      </c>
      <c r="S966" s="8" t="str">
        <f ca="1">IFERROR(__xludf.DUMMYFUNCTION("""COMPUTED_VALUE"""),"Football Field/Track")</f>
        <v>Football Field/Track</v>
      </c>
      <c r="T966" s="8" t="str">
        <f ca="1">IFERROR(__xludf.DUMMYFUNCTION("""COMPUTED_VALUE"""),"Outside on School Property")</f>
        <v>Outside on School Property</v>
      </c>
      <c r="U966" s="8" t="str">
        <f ca="1">IFERROR(__xludf.DUMMYFUNCTION("""COMPUTED_VALUE"""),"No")</f>
        <v>No</v>
      </c>
      <c r="V966" s="8" t="str">
        <f ca="1">IFERROR(__xludf.DUMMYFUNCTION("""COMPUTED_VALUE"""),"Sport Event")</f>
        <v>Sport Event</v>
      </c>
      <c r="W966" s="11">
        <f ca="1">IFERROR(__xludf.DUMMYFUNCTION("""COMPUTED_VALUE"""),0.75)</f>
        <v>0.75</v>
      </c>
      <c r="X966" s="8">
        <f ca="1">IFERROR(__xludf.DUMMYFUNCTION("""COMPUTED_VALUE"""),1)</f>
        <v>1</v>
      </c>
      <c r="Y966" s="12" t="str">
        <f ca="1">IFERROR(__xludf.DUMMYFUNCTION("""COMPUTED_VALUE"""),"Shots fired in or near football stadium during game")</f>
        <v>Shots fired in or near football stadium during game</v>
      </c>
      <c r="Z966" s="12" t="str">
        <f ca="1">IFERROR(__xludf.DUMMYFUNCTION("""COMPUTED_VALUE"""),"Shots were fired in or near the football stadium during a middle school game. Players were rushed to the locker room and the remainder of the game was cancelled. No injuries.")</f>
        <v>Shots were fired in or near the football stadium during a middle school game. Players were rushed to the locker room and the remainder of the game was cancelled. No injuries.</v>
      </c>
      <c r="AA966" s="8"/>
      <c r="AB966" s="8"/>
      <c r="AC966" s="8" t="str">
        <f ca="1">IFERROR(__xludf.DUMMYFUNCTION("""COMPUTED_VALUE"""),"Yes")</f>
        <v>Yes</v>
      </c>
      <c r="AD966" s="8"/>
      <c r="AE966" s="8" t="str">
        <f ca="1">IFERROR(__xludf.DUMMYFUNCTION("""COMPUTED_VALUE"""),"No")</f>
        <v>No</v>
      </c>
      <c r="AF966" s="8"/>
      <c r="AG966" s="8" t="str">
        <f ca="1">IFERROR(__xludf.DUMMYFUNCTION("""COMPUTED_VALUE"""),"No")</f>
        <v>No</v>
      </c>
      <c r="AH966" s="8" t="str">
        <f ca="1">IFERROR(__xludf.DUMMYFUNCTION("""COMPUTED_VALUE"""),"No")</f>
        <v>No</v>
      </c>
      <c r="AI966" s="8" t="str">
        <f ca="1">IFERROR(__xludf.DUMMYFUNCTION("""COMPUTED_VALUE"""),"No")</f>
        <v>No</v>
      </c>
      <c r="AJ966" s="8" t="str">
        <f ca="1">IFERROR(__xludf.DUMMYFUNCTION("""COMPUTED_VALUE"""),"N")</f>
        <v>N</v>
      </c>
      <c r="AK966" s="8" t="str">
        <f ca="1">IFERROR(__xludf.DUMMYFUNCTION("""COMPUTED_VALUE"""),"No")</f>
        <v>No</v>
      </c>
      <c r="AL966" s="8"/>
      <c r="AM966" s="8" t="str">
        <f ca="1">IFERROR(__xludf.DUMMYFUNCTION("""COMPUTED_VALUE"""),"No")</f>
        <v>No</v>
      </c>
      <c r="AN966" s="8" t="str">
        <f ca="1">IFERROR(__xludf.DUMMYFUNCTION("""COMPUTED_VALUE"""),"Outside")</f>
        <v>Outside</v>
      </c>
      <c r="AO966" s="8" t="str">
        <f ca="1">IFERROR(__xludf.DUMMYFUNCTION("""COMPUTED_VALUE"""),"No")</f>
        <v>No</v>
      </c>
      <c r="AP966" s="8"/>
      <c r="AQ966" s="8"/>
      <c r="AR966" s="8" t="str">
        <f ca="1">IFERROR(__xludf.DUMMYFUNCTION("""COMPUTED_VALUE"""),"Outside/Off-Property")</f>
        <v>Outside/Off-Property</v>
      </c>
      <c r="AS966" s="8">
        <f ca="1">IFERROR(__xludf.DUMMYFUNCTION("""COMPUTED_VALUE"""),99)</f>
        <v>99</v>
      </c>
      <c r="AT966" s="8" t="str">
        <f ca="1">IFERROR(__xludf.DUMMYFUNCTION("""COMPUTED_VALUE"""),"Yes")</f>
        <v>Yes</v>
      </c>
      <c r="AU966" s="8">
        <f ca="1">IFERROR(__xludf.DUMMYFUNCTION("""COMPUTED_VALUE"""),42.244298)</f>
        <v>42.244298000000001</v>
      </c>
      <c r="AV966" s="8">
        <f ca="1">IFERROR(__xludf.DUMMYFUNCTION("""COMPUTED_VALUE"""),-84.398266)</f>
        <v>-84.398266000000007</v>
      </c>
      <c r="AW966" s="8"/>
      <c r="AX966" s="8">
        <f ca="1">IFERROR(__xludf.DUMMYFUNCTION("""COMPUTED_VALUE"""),49203)</f>
        <v>49203</v>
      </c>
    </row>
    <row r="967" spans="1:50" ht="75" x14ac:dyDescent="0.2">
      <c r="A967" s="8" t="str">
        <f ca="1">IFERROR(__xludf.DUMMYFUNCTION("""COMPUTED_VALUE"""),"20220913MDOXO")</f>
        <v>20220913MDOXO</v>
      </c>
      <c r="B967" s="8">
        <f ca="1">IFERROR(__xludf.DUMMYFUNCTION("""COMPUTED_VALUE"""),9)</f>
        <v>9</v>
      </c>
      <c r="C967" s="8">
        <f ca="1">IFERROR(__xludf.DUMMYFUNCTION("""COMPUTED_VALUE"""),13)</f>
        <v>13</v>
      </c>
      <c r="D967" s="8">
        <f ca="1">IFERROR(__xludf.DUMMYFUNCTION("""COMPUTED_VALUE"""),2022)</f>
        <v>2022</v>
      </c>
      <c r="E967" s="9">
        <f ca="1">IFERROR(__xludf.DUMMYFUNCTION("""COMPUTED_VALUE"""),44817)</f>
        <v>44817</v>
      </c>
      <c r="F967" s="8" t="str">
        <f ca="1">IFERROR(__xludf.DUMMYFUNCTION("""COMPUTED_VALUE"""),"Oxon Hill High School")</f>
        <v>Oxon Hill High School</v>
      </c>
      <c r="G967" s="8">
        <f ca="1">IFERROR(__xludf.DUMMYFUNCTION("""COMPUTED_VALUE"""),0)</f>
        <v>0</v>
      </c>
      <c r="H967" s="8">
        <f ca="1">IFERROR(__xludf.DUMMYFUNCTION("""COMPUTED_VALUE"""),1)</f>
        <v>1</v>
      </c>
      <c r="I967" s="8">
        <f ca="1">IFERROR(__xludf.DUMMYFUNCTION("""COMPUTED_VALUE"""),1)</f>
        <v>1</v>
      </c>
      <c r="J967" s="8">
        <f ca="1">IFERROR(__xludf.DUMMYFUNCTION("""COMPUTED_VALUE"""),0)</f>
        <v>0</v>
      </c>
      <c r="K967" s="10" t="str">
        <f ca="1">IFERROR(__xludf.DUMMYFUNCTION("""COMPUTED_VALUE"""),"https://www.wusa9.com/article/news/crime/1-shot-behind-oxon-hill-high-school-maryland/65-a9856c58-c55d-401e-aef5-dc7b8a9b13fa")</f>
        <v>https://www.wusa9.com/article/news/crime/1-shot-behind-oxon-hill-high-school-maryland/65-a9856c58-c55d-401e-aef5-dc7b8a9b13fa</v>
      </c>
      <c r="L967" s="8">
        <f ca="1">IFERROR(__xludf.DUMMYFUNCTION("""COMPUTED_VALUE"""),1)</f>
        <v>1</v>
      </c>
      <c r="M967" s="8" t="str">
        <f ca="1">IFERROR(__xludf.DUMMYFUNCTION("""COMPUTED_VALUE"""),"Local")</f>
        <v>Local</v>
      </c>
      <c r="N967" s="8">
        <f ca="1">IFERROR(__xludf.DUMMYFUNCTION("""COMPUTED_VALUE"""),2)</f>
        <v>2</v>
      </c>
      <c r="O967" s="8" t="str">
        <f ca="1">IFERROR(__xludf.DUMMYFUNCTION("""COMPUTED_VALUE"""),"Fall")</f>
        <v>Fall</v>
      </c>
      <c r="P967" s="8" t="str">
        <f ca="1">IFERROR(__xludf.DUMMYFUNCTION("""COMPUTED_VALUE"""),"Oxon Hill")</f>
        <v>Oxon Hill</v>
      </c>
      <c r="Q967" s="8" t="str">
        <f ca="1">IFERROR(__xludf.DUMMYFUNCTION("""COMPUTED_VALUE"""),"MD")</f>
        <v>MD</v>
      </c>
      <c r="R967" s="8" t="str">
        <f ca="1">IFERROR(__xludf.DUMMYFUNCTION("""COMPUTED_VALUE"""),"High")</f>
        <v>High</v>
      </c>
      <c r="S967" s="8" t="str">
        <f ca="1">IFERROR(__xludf.DUMMYFUNCTION("""COMPUTED_VALUE"""),"Beside Building")</f>
        <v>Beside Building</v>
      </c>
      <c r="T967" s="8" t="str">
        <f ca="1">IFERROR(__xludf.DUMMYFUNCTION("""COMPUTED_VALUE"""),"Outside on School Property")</f>
        <v>Outside on School Property</v>
      </c>
      <c r="U967" s="8" t="str">
        <f ca="1">IFERROR(__xludf.DUMMYFUNCTION("""COMPUTED_VALUE"""),"No")</f>
        <v>No</v>
      </c>
      <c r="V967" s="8" t="str">
        <f ca="1">IFERROR(__xludf.DUMMYFUNCTION("""COMPUTED_VALUE"""),"After School")</f>
        <v>After School</v>
      </c>
      <c r="W967" s="11">
        <f ca="1">IFERROR(__xludf.DUMMYFUNCTION("""COMPUTED_VALUE"""),0.659722222222222)</f>
        <v>0.65972222222222199</v>
      </c>
      <c r="X967" s="8">
        <f ca="1">IFERROR(__xludf.DUMMYFUNCTION("""COMPUTED_VALUE"""),1)</f>
        <v>1</v>
      </c>
      <c r="Y967" s="12" t="str">
        <f ca="1">IFERROR(__xludf.DUMMYFUNCTION("""COMPUTED_VALUE"""),"Person shot behind school")</f>
        <v>Person shot behind school</v>
      </c>
      <c r="Z967" s="12" t="str">
        <f ca="1">IFERROR(__xludf.DUMMYFUNCTION("""COMPUTED_VALUE"""),"A person was shot behind the school. Police have not confirmed any information about the victim, including their age, gender, name, or if they have any affiliation with the school. They have also not confirmed any information about possible suspects.")</f>
        <v>A person was shot behind the school. Police have not confirmed any information about the victim, including their age, gender, name, or if they have any affiliation with the school. They have also not confirmed any information about possible suspects.</v>
      </c>
      <c r="AA967" s="8"/>
      <c r="AB967" s="8"/>
      <c r="AC967" s="8"/>
      <c r="AD967" s="8"/>
      <c r="AE967" s="8"/>
      <c r="AF967" s="8"/>
      <c r="AG967" s="8" t="str">
        <f ca="1">IFERROR(__xludf.DUMMYFUNCTION("""COMPUTED_VALUE"""),"No")</f>
        <v>No</v>
      </c>
      <c r="AH967" s="8" t="str">
        <f ca="1">IFERROR(__xludf.DUMMYFUNCTION("""COMPUTED_VALUE"""),"No")</f>
        <v>No</v>
      </c>
      <c r="AI967" s="8" t="str">
        <f ca="1">IFERROR(__xludf.DUMMYFUNCTION("""COMPUTED_VALUE"""),"No")</f>
        <v>No</v>
      </c>
      <c r="AJ967" s="8"/>
      <c r="AK967" s="8"/>
      <c r="AL967" s="8"/>
      <c r="AM967" s="8" t="str">
        <f ca="1">IFERROR(__xludf.DUMMYFUNCTION("""COMPUTED_VALUE"""),"No")</f>
        <v>No</v>
      </c>
      <c r="AN967" s="8" t="str">
        <f ca="1">IFERROR(__xludf.DUMMYFUNCTION("""COMPUTED_VALUE"""),"Outside")</f>
        <v>Outside</v>
      </c>
      <c r="AO967" s="8" t="str">
        <f ca="1">IFERROR(__xludf.DUMMYFUNCTION("""COMPUTED_VALUE"""),"No")</f>
        <v>No</v>
      </c>
      <c r="AP967" s="8"/>
      <c r="AQ967" s="8"/>
      <c r="AR967" s="8" t="str">
        <f ca="1">IFERROR(__xludf.DUMMYFUNCTION("""COMPUTED_VALUE"""),"Outside/Off-Property")</f>
        <v>Outside/Off-Property</v>
      </c>
      <c r="AS967" s="8"/>
      <c r="AT967" s="8"/>
      <c r="AU967" s="8">
        <f ca="1">IFERROR(__xludf.DUMMYFUNCTION("""COMPUTED_VALUE"""),38.796839)</f>
        <v>38.796838999999999</v>
      </c>
      <c r="AV967" s="8">
        <f ca="1">IFERROR(__xludf.DUMMYFUNCTION("""COMPUTED_VALUE"""),-76.994394)</f>
        <v>-76.994394</v>
      </c>
      <c r="AW967" s="8"/>
      <c r="AX967" s="8">
        <f ca="1">IFERROR(__xludf.DUMMYFUNCTION("""COMPUTED_VALUE"""),20745)</f>
        <v>20745</v>
      </c>
    </row>
    <row r="968" spans="1:50" ht="60" x14ac:dyDescent="0.2">
      <c r="A968" s="8" t="str">
        <f ca="1">IFERROR(__xludf.DUMMYFUNCTION("""COMPUTED_VALUE"""),"20220913CAVAV")</f>
        <v>20220913CAVAV</v>
      </c>
      <c r="B968" s="8">
        <f ca="1">IFERROR(__xludf.DUMMYFUNCTION("""COMPUTED_VALUE"""),9)</f>
        <v>9</v>
      </c>
      <c r="C968" s="8">
        <f ca="1">IFERROR(__xludf.DUMMYFUNCTION("""COMPUTED_VALUE"""),13)</f>
        <v>13</v>
      </c>
      <c r="D968" s="8">
        <f ca="1">IFERROR(__xludf.DUMMYFUNCTION("""COMPUTED_VALUE"""),2022)</f>
        <v>2022</v>
      </c>
      <c r="E968" s="9">
        <f ca="1">IFERROR(__xludf.DUMMYFUNCTION("""COMPUTED_VALUE"""),44817)</f>
        <v>44817</v>
      </c>
      <c r="F968" s="8" t="str">
        <f ca="1">IFERROR(__xludf.DUMMYFUNCTION("""COMPUTED_VALUE"""),"Vallejo High School")</f>
        <v>Vallejo High School</v>
      </c>
      <c r="G968" s="8">
        <f ca="1">IFERROR(__xludf.DUMMYFUNCTION("""COMPUTED_VALUE"""),0)</f>
        <v>0</v>
      </c>
      <c r="H968" s="8">
        <f ca="1">IFERROR(__xludf.DUMMYFUNCTION("""COMPUTED_VALUE"""),1)</f>
        <v>1</v>
      </c>
      <c r="I968" s="8">
        <f ca="1">IFERROR(__xludf.DUMMYFUNCTION("""COMPUTED_VALUE"""),1)</f>
        <v>1</v>
      </c>
      <c r="J968" s="8">
        <f ca="1">IFERROR(__xludf.DUMMYFUNCTION("""COMPUTED_VALUE"""),0)</f>
        <v>0</v>
      </c>
      <c r="K968" s="10" t="str">
        <f ca="1">IFERROR(__xludf.DUMMYFUNCTION("""COMPUTED_VALUE"""),"https://abc7news.com/vallejo-shooting-high-school-staff-member-shot-police/12228137/
https://www.wral.com/california-high-school-staff-member-shot-after-fight/20464618/")</f>
        <v>https://abc7news.com/vallejo-shooting-high-school-staff-member-shot-police/12228137/
https://www.wral.com/california-high-school-staff-member-shot-after-fight/20464618/</v>
      </c>
      <c r="L968" s="8">
        <f ca="1">IFERROR(__xludf.DUMMYFUNCTION("""COMPUTED_VALUE"""),10)</f>
        <v>10</v>
      </c>
      <c r="M968" s="8" t="str">
        <f ca="1">IFERROR(__xludf.DUMMYFUNCTION("""COMPUTED_VALUE"""),"Regional")</f>
        <v>Regional</v>
      </c>
      <c r="N968" s="8">
        <f ca="1">IFERROR(__xludf.DUMMYFUNCTION("""COMPUTED_VALUE"""),4)</f>
        <v>4</v>
      </c>
      <c r="O968" s="8" t="str">
        <f ca="1">IFERROR(__xludf.DUMMYFUNCTION("""COMPUTED_VALUE"""),"Fall")</f>
        <v>Fall</v>
      </c>
      <c r="P968" s="8" t="str">
        <f ca="1">IFERROR(__xludf.DUMMYFUNCTION("""COMPUTED_VALUE"""),"Vallejo")</f>
        <v>Vallejo</v>
      </c>
      <c r="Q968" s="8" t="str">
        <f ca="1">IFERROR(__xludf.DUMMYFUNCTION("""COMPUTED_VALUE"""),"CA")</f>
        <v>CA</v>
      </c>
      <c r="R968" s="8" t="str">
        <f ca="1">IFERROR(__xludf.DUMMYFUNCTION("""COMPUTED_VALUE"""),"High")</f>
        <v>High</v>
      </c>
      <c r="S968" s="8" t="str">
        <f ca="1">IFERROR(__xludf.DUMMYFUNCTION("""COMPUTED_VALUE"""),"Parking Lot")</f>
        <v>Parking Lot</v>
      </c>
      <c r="T968" s="8" t="str">
        <f ca="1">IFERROR(__xludf.DUMMYFUNCTION("""COMPUTED_VALUE"""),"Outside on School Property")</f>
        <v>Outside on School Property</v>
      </c>
      <c r="U968" s="8" t="str">
        <f ca="1">IFERROR(__xludf.DUMMYFUNCTION("""COMPUTED_VALUE"""),"Yes")</f>
        <v>Yes</v>
      </c>
      <c r="V968" s="8" t="str">
        <f ca="1">IFERROR(__xludf.DUMMYFUNCTION("""COMPUTED_VALUE"""),"Dismissal")</f>
        <v>Dismissal</v>
      </c>
      <c r="W968" s="11">
        <f ca="1">IFERROR(__xludf.DUMMYFUNCTION("""COMPUTED_VALUE"""),0.65625)</f>
        <v>0.65625</v>
      </c>
      <c r="X968" s="8">
        <f ca="1">IFERROR(__xludf.DUMMYFUNCTION("""COMPUTED_VALUE"""),1)</f>
        <v>1</v>
      </c>
      <c r="Y968" s="12" t="str">
        <f ca="1">IFERROR(__xludf.DUMMYFUNCTION("""COMPUTED_VALUE"""),"School staff member shot after breaking up fight")</f>
        <v>School staff member shot after breaking up fight</v>
      </c>
      <c r="Z968" s="12" t="str">
        <f ca="1">IFERROR(__xludf.DUMMYFUNCTION("""COMPUTED_VALUE"""),"School coach broke up a fight between multiple students in the parking lot. A group of students involved in the fight fired shots at the crowd while driving away. The coach was wounded. No students injured. School went on lockdown.")</f>
        <v>School coach broke up a fight between multiple students in the parking lot. A group of students involved in the fight fired shots at the crowd while driving away. The coach was wounded. No students injured. School went on lockdown.</v>
      </c>
      <c r="AA968" s="8" t="str">
        <f ca="1">IFERROR(__xludf.DUMMYFUNCTION("""COMPUTED_VALUE"""),"Escalation of Dispute")</f>
        <v>Escalation of Dispute</v>
      </c>
      <c r="AB968" s="8"/>
      <c r="AC968" s="8" t="str">
        <f ca="1">IFERROR(__xludf.DUMMYFUNCTION("""COMPUTED_VALUE"""),"Yes")</f>
        <v>Yes</v>
      </c>
      <c r="AD968" s="8" t="str">
        <f ca="1">IFERROR(__xludf.DUMMYFUNCTION("""COMPUTED_VALUE"""),"Both")</f>
        <v>Both</v>
      </c>
      <c r="AE968" s="8" t="str">
        <f ca="1">IFERROR(__xludf.DUMMYFUNCTION("""COMPUTED_VALUE"""),"Yes")</f>
        <v>Yes</v>
      </c>
      <c r="AF968" s="8" t="str">
        <f ca="1">IFERROR(__xludf.DUMMYFUNCTION("""COMPUTED_VALUE"""),"3 students in vehicle")</f>
        <v>3 students in vehicle</v>
      </c>
      <c r="AG968" s="8" t="str">
        <f ca="1">IFERROR(__xludf.DUMMYFUNCTION("""COMPUTED_VALUE"""),"No")</f>
        <v>No</v>
      </c>
      <c r="AH968" s="8" t="str">
        <f ca="1">IFERROR(__xludf.DUMMYFUNCTION("""COMPUTED_VALUE"""),"No")</f>
        <v>No</v>
      </c>
      <c r="AI968" s="8" t="str">
        <f ca="1">IFERROR(__xludf.DUMMYFUNCTION("""COMPUTED_VALUE"""),"No")</f>
        <v>No</v>
      </c>
      <c r="AJ968" s="8" t="str">
        <f ca="1">IFERROR(__xludf.DUMMYFUNCTION("""COMPUTED_VALUE"""),"No")</f>
        <v>No</v>
      </c>
      <c r="AK968" s="8" t="str">
        <f ca="1">IFERROR(__xludf.DUMMYFUNCTION("""COMPUTED_VALUE"""),"No")</f>
        <v>No</v>
      </c>
      <c r="AL968" s="8"/>
      <c r="AM968" s="8" t="str">
        <f ca="1">IFERROR(__xludf.DUMMYFUNCTION("""COMPUTED_VALUE"""),"No")</f>
        <v>No</v>
      </c>
      <c r="AN968" s="8" t="str">
        <f ca="1">IFERROR(__xludf.DUMMYFUNCTION("""COMPUTED_VALUE"""),"Outside")</f>
        <v>Outside</v>
      </c>
      <c r="AO968" s="8" t="str">
        <f ca="1">IFERROR(__xludf.DUMMYFUNCTION("""COMPUTED_VALUE"""),"No")</f>
        <v>No</v>
      </c>
      <c r="AP968" s="8"/>
      <c r="AQ968" s="8"/>
      <c r="AR968" s="8" t="str">
        <f ca="1">IFERROR(__xludf.DUMMYFUNCTION("""COMPUTED_VALUE"""),"Outside/Off-Property")</f>
        <v>Outside/Off-Property</v>
      </c>
      <c r="AS968" s="8">
        <f ca="1">IFERROR(__xludf.DUMMYFUNCTION("""COMPUTED_VALUE"""),99)</f>
        <v>99</v>
      </c>
      <c r="AT968" s="8" t="str">
        <f ca="1">IFERROR(__xludf.DUMMYFUNCTION("""COMPUTED_VALUE"""),"Yes")</f>
        <v>Yes</v>
      </c>
      <c r="AU968" s="8">
        <f ca="1">IFERROR(__xludf.DUMMYFUNCTION("""COMPUTED_VALUE"""),38.114801)</f>
        <v>38.114801</v>
      </c>
      <c r="AV968" s="8">
        <f ca="1">IFERROR(__xludf.DUMMYFUNCTION("""COMPUTED_VALUE"""),-122.244986)</f>
        <v>-122.244986</v>
      </c>
      <c r="AW968" s="8"/>
      <c r="AX968" s="8">
        <f ca="1">IFERROR(__xludf.DUMMYFUNCTION("""COMPUTED_VALUE"""),94590)</f>
        <v>94590</v>
      </c>
    </row>
    <row r="969" spans="1:50" ht="60" x14ac:dyDescent="0.2">
      <c r="A969" s="8" t="str">
        <f ca="1">IFERROR(__xludf.DUMMYFUNCTION("""COMPUTED_VALUE"""),"20220909WIWIR")</f>
        <v>20220909WIWIR</v>
      </c>
      <c r="B969" s="8">
        <f ca="1">IFERROR(__xludf.DUMMYFUNCTION("""COMPUTED_VALUE"""),9)</f>
        <v>9</v>
      </c>
      <c r="C969" s="8">
        <f ca="1">IFERROR(__xludf.DUMMYFUNCTION("""COMPUTED_VALUE"""),9)</f>
        <v>9</v>
      </c>
      <c r="D969" s="8">
        <f ca="1">IFERROR(__xludf.DUMMYFUNCTION("""COMPUTED_VALUE"""),2022)</f>
        <v>2022</v>
      </c>
      <c r="E969" s="9">
        <f ca="1">IFERROR(__xludf.DUMMYFUNCTION("""COMPUTED_VALUE"""),44813)</f>
        <v>44813</v>
      </c>
      <c r="F969" s="8" t="str">
        <f ca="1">IFERROR(__xludf.DUMMYFUNCTION("""COMPUTED_VALUE"""),"William Horlick High School")</f>
        <v>William Horlick High School</v>
      </c>
      <c r="G969" s="8">
        <f ca="1">IFERROR(__xludf.DUMMYFUNCTION("""COMPUTED_VALUE"""),0)</f>
        <v>0</v>
      </c>
      <c r="H969" s="8">
        <f ca="1">IFERROR(__xludf.DUMMYFUNCTION("""COMPUTED_VALUE"""),1)</f>
        <v>1</v>
      </c>
      <c r="I969" s="8">
        <f ca="1">IFERROR(__xludf.DUMMYFUNCTION("""COMPUTED_VALUE"""),1)</f>
        <v>1</v>
      </c>
      <c r="J969" s="8">
        <f ca="1">IFERROR(__xludf.DUMMYFUNCTION("""COMPUTED_VALUE"""),0)</f>
        <v>0</v>
      </c>
      <c r="K969" s="8" t="str">
        <f ca="1">IFERROR(__xludf.DUMMYFUNCTION("""COMPUTED_VALUE"""),"https://racinecountyeye.com/one-person-shot-outside-horlick-field/
https://www.tmj4.com/news/local-news/oak-creek-high-school-athletic-trainers-stepped-in-to-help-after-student-was-shot-following-football-game-near-horlick-field
https://racinecountyeye.co"&amp;"m/one-person-shot-outside-horlick-field/")</f>
        <v>https://racinecountyeye.com/one-person-shot-outside-horlick-field/
https://www.tmj4.com/news/local-news/oak-creek-high-school-athletic-trainers-stepped-in-to-help-after-student-was-shot-following-football-game-near-horlick-field
https://racinecountyeye.com/one-person-shot-outside-horlick-field/</v>
      </c>
      <c r="L969" s="8">
        <f ca="1">IFERROR(__xludf.DUMMYFUNCTION("""COMPUTED_VALUE"""),3)</f>
        <v>3</v>
      </c>
      <c r="M969" s="8" t="str">
        <f ca="1">IFERROR(__xludf.DUMMYFUNCTION("""COMPUTED_VALUE"""),"Local")</f>
        <v>Local</v>
      </c>
      <c r="N969" s="8">
        <f ca="1">IFERROR(__xludf.DUMMYFUNCTION("""COMPUTED_VALUE"""),4)</f>
        <v>4</v>
      </c>
      <c r="O969" s="8" t="str">
        <f ca="1">IFERROR(__xludf.DUMMYFUNCTION("""COMPUTED_VALUE"""),"Fall")</f>
        <v>Fall</v>
      </c>
      <c r="P969" s="8" t="str">
        <f ca="1">IFERROR(__xludf.DUMMYFUNCTION("""COMPUTED_VALUE"""),"Racine")</f>
        <v>Racine</v>
      </c>
      <c r="Q969" s="8" t="str">
        <f ca="1">IFERROR(__xludf.DUMMYFUNCTION("""COMPUTED_VALUE"""),"WI")</f>
        <v>WI</v>
      </c>
      <c r="R969" s="8" t="str">
        <f ca="1">IFERROR(__xludf.DUMMYFUNCTION("""COMPUTED_VALUE"""),"High")</f>
        <v>High</v>
      </c>
      <c r="S969" s="8" t="str">
        <f ca="1">IFERROR(__xludf.DUMMYFUNCTION("""COMPUTED_VALUE"""),"Football Field/Track")</f>
        <v>Football Field/Track</v>
      </c>
      <c r="T969" s="8" t="str">
        <f ca="1">IFERROR(__xludf.DUMMYFUNCTION("""COMPUTED_VALUE"""),"Outside on School Property")</f>
        <v>Outside on School Property</v>
      </c>
      <c r="U969" s="8" t="str">
        <f ca="1">IFERROR(__xludf.DUMMYFUNCTION("""COMPUTED_VALUE"""),"No")</f>
        <v>No</v>
      </c>
      <c r="V969" s="8" t="str">
        <f ca="1">IFERROR(__xludf.DUMMYFUNCTION("""COMPUTED_VALUE"""),"Sport Event")</f>
        <v>Sport Event</v>
      </c>
      <c r="W969" s="11">
        <f ca="1">IFERROR(__xludf.DUMMYFUNCTION("""COMPUTED_VALUE"""),0.895833333333333)</f>
        <v>0.89583333333333304</v>
      </c>
      <c r="X969" s="8">
        <f ca="1">IFERROR(__xludf.DUMMYFUNCTION("""COMPUTED_VALUE"""),1)</f>
        <v>1</v>
      </c>
      <c r="Y969" s="12" t="str">
        <f ca="1">IFERROR(__xludf.DUMMYFUNCTION("""COMPUTED_VALUE"""),"One person shot outside football field following game")</f>
        <v>One person shot outside football field following game</v>
      </c>
      <c r="Z969" s="12" t="str">
        <f ca="1">IFERROR(__xludf.DUMMYFUNCTION("""COMPUTED_VALUE"""),"One person was shot outside of the football field following the game. Witnesses heard 5-10 shots fired. Police assigned to the game responded and locked the gates to the stadium. Shooter fled.")</f>
        <v>One person was shot outside of the football field following the game. Witnesses heard 5-10 shots fired. Police assigned to the game responded and locked the gates to the stadium. Shooter fled.</v>
      </c>
      <c r="AA969" s="8"/>
      <c r="AB969" s="8"/>
      <c r="AC969" s="8" t="str">
        <f ca="1">IFERROR(__xludf.DUMMYFUNCTION("""COMPUTED_VALUE"""),"Yes")</f>
        <v>Yes</v>
      </c>
      <c r="AD969" s="8"/>
      <c r="AE969" s="8" t="str">
        <f ca="1">IFERROR(__xludf.DUMMYFUNCTION("""COMPUTED_VALUE"""),"No")</f>
        <v>No</v>
      </c>
      <c r="AF969" s="8"/>
      <c r="AG969" s="8" t="str">
        <f ca="1">IFERROR(__xludf.DUMMYFUNCTION("""COMPUTED_VALUE"""),"No")</f>
        <v>No</v>
      </c>
      <c r="AH969" s="8" t="str">
        <f ca="1">IFERROR(__xludf.DUMMYFUNCTION("""COMPUTED_VALUE"""),"No")</f>
        <v>No</v>
      </c>
      <c r="AI969" s="8" t="str">
        <f ca="1">IFERROR(__xludf.DUMMYFUNCTION("""COMPUTED_VALUE"""),"No")</f>
        <v>No</v>
      </c>
      <c r="AJ969" s="8" t="str">
        <f ca="1">IFERROR(__xludf.DUMMYFUNCTION("""COMPUTED_VALUE"""),"No")</f>
        <v>No</v>
      </c>
      <c r="AK969" s="8" t="str">
        <f ca="1">IFERROR(__xludf.DUMMYFUNCTION("""COMPUTED_VALUE"""),"No")</f>
        <v>No</v>
      </c>
      <c r="AL969" s="8"/>
      <c r="AM969" s="8" t="str">
        <f ca="1">IFERROR(__xludf.DUMMYFUNCTION("""COMPUTED_VALUE"""),"No")</f>
        <v>No</v>
      </c>
      <c r="AN969" s="8" t="str">
        <f ca="1">IFERROR(__xludf.DUMMYFUNCTION("""COMPUTED_VALUE"""),"Outside")</f>
        <v>Outside</v>
      </c>
      <c r="AO969" s="8" t="str">
        <f ca="1">IFERROR(__xludf.DUMMYFUNCTION("""COMPUTED_VALUE"""),"No")</f>
        <v>No</v>
      </c>
      <c r="AP969" s="8"/>
      <c r="AQ969" s="8" t="str">
        <f ca="1">IFERROR(__xludf.DUMMYFUNCTION("""COMPUTED_VALUE"""),"Armed Guards")</f>
        <v>Armed Guards</v>
      </c>
      <c r="AR969" s="8" t="str">
        <f ca="1">IFERROR(__xludf.DUMMYFUNCTION("""COMPUTED_VALUE"""),"Outside/Off-Property")</f>
        <v>Outside/Off-Property</v>
      </c>
      <c r="AS969" s="8">
        <f ca="1">IFERROR(__xludf.DUMMYFUNCTION("""COMPUTED_VALUE"""),10)</f>
        <v>10</v>
      </c>
      <c r="AT969" s="8"/>
      <c r="AU969" s="8">
        <f ca="1">IFERROR(__xludf.DUMMYFUNCTION("""COMPUTED_VALUE"""),42.746857)</f>
        <v>42.746856999999999</v>
      </c>
      <c r="AV969" s="8">
        <f ca="1">IFERROR(__xludf.DUMMYFUNCTION("""COMPUTED_VALUE"""),-87.809174)</f>
        <v>-87.809173999999999</v>
      </c>
      <c r="AW969" s="8"/>
      <c r="AX969" s="8">
        <f ca="1">IFERROR(__xludf.DUMMYFUNCTION("""COMPUTED_VALUE"""),53404)</f>
        <v>53404</v>
      </c>
    </row>
    <row r="970" spans="1:50" ht="45" x14ac:dyDescent="0.2">
      <c r="A970" s="8" t="str">
        <f ca="1">IFERROR(__xludf.DUMMYFUNCTION("""COMPUTED_VALUE"""),"20220909WIMIM")</f>
        <v>20220909WIMIM</v>
      </c>
      <c r="B970" s="8">
        <f ca="1">IFERROR(__xludf.DUMMYFUNCTION("""COMPUTED_VALUE"""),9)</f>
        <v>9</v>
      </c>
      <c r="C970" s="8">
        <f ca="1">IFERROR(__xludf.DUMMYFUNCTION("""COMPUTED_VALUE"""),9)</f>
        <v>9</v>
      </c>
      <c r="D970" s="8">
        <f ca="1">IFERROR(__xludf.DUMMYFUNCTION("""COMPUTED_VALUE"""),2022)</f>
        <v>2022</v>
      </c>
      <c r="E970" s="9">
        <f ca="1">IFERROR(__xludf.DUMMYFUNCTION("""COMPUTED_VALUE"""),44813)</f>
        <v>44813</v>
      </c>
      <c r="F970" s="8" t="str">
        <f ca="1">IFERROR(__xludf.DUMMYFUNCTION("""COMPUTED_VALUE"""),"Milwaukee School Bus")</f>
        <v>Milwaukee School Bus</v>
      </c>
      <c r="G970" s="8">
        <f ca="1">IFERROR(__xludf.DUMMYFUNCTION("""COMPUTED_VALUE"""),0)</f>
        <v>0</v>
      </c>
      <c r="H970" s="8">
        <f ca="1">IFERROR(__xludf.DUMMYFUNCTION("""COMPUTED_VALUE"""),0)</f>
        <v>0</v>
      </c>
      <c r="I970" s="8">
        <f ca="1">IFERROR(__xludf.DUMMYFUNCTION("""COMPUTED_VALUE"""),0)</f>
        <v>0</v>
      </c>
      <c r="J970" s="8">
        <f ca="1">IFERROR(__xludf.DUMMYFUNCTION("""COMPUTED_VALUE"""),0)</f>
        <v>0</v>
      </c>
      <c r="K970" s="10" t="str">
        <f ca="1">IFERROR(__xludf.DUMMYFUNCTION("""COMPUTED_VALUE"""),"https://www.tmj4.com/news/local-news/occupied-school-bus-struck-during-shooting-near-sherman-and-capitol-1-injured")</f>
        <v>https://www.tmj4.com/news/local-news/occupied-school-bus-struck-during-shooting-near-sherman-and-capitol-1-injured</v>
      </c>
      <c r="L970" s="8">
        <f ca="1">IFERROR(__xludf.DUMMYFUNCTION("""COMPUTED_VALUE"""),1)</f>
        <v>1</v>
      </c>
      <c r="M970" s="8" t="str">
        <f ca="1">IFERROR(__xludf.DUMMYFUNCTION("""COMPUTED_VALUE"""),"Local")</f>
        <v>Local</v>
      </c>
      <c r="N970" s="8">
        <f ca="1">IFERROR(__xludf.DUMMYFUNCTION("""COMPUTED_VALUE"""),3)</f>
        <v>3</v>
      </c>
      <c r="O970" s="8" t="str">
        <f ca="1">IFERROR(__xludf.DUMMYFUNCTION("""COMPUTED_VALUE"""),"Fall")</f>
        <v>Fall</v>
      </c>
      <c r="P970" s="8" t="str">
        <f ca="1">IFERROR(__xludf.DUMMYFUNCTION("""COMPUTED_VALUE"""),"Milwaukee")</f>
        <v>Milwaukee</v>
      </c>
      <c r="Q970" s="8" t="str">
        <f ca="1">IFERROR(__xludf.DUMMYFUNCTION("""COMPUTED_VALUE"""),"WI")</f>
        <v>WI</v>
      </c>
      <c r="R970" s="8" t="str">
        <f ca="1">IFERROR(__xludf.DUMMYFUNCTION("""COMPUTED_VALUE"""),"High")</f>
        <v>High</v>
      </c>
      <c r="S970" s="8" t="str">
        <f ca="1">IFERROR(__xludf.DUMMYFUNCTION("""COMPUTED_VALUE"""),"School Bus")</f>
        <v>School Bus</v>
      </c>
      <c r="T970" s="8" t="str">
        <f ca="1">IFERROR(__xludf.DUMMYFUNCTION("""COMPUTED_VALUE"""),"School Bus")</f>
        <v>School Bus</v>
      </c>
      <c r="U970" s="8" t="str">
        <f ca="1">IFERROR(__xludf.DUMMYFUNCTION("""COMPUTED_VALUE"""),"Yes")</f>
        <v>Yes</v>
      </c>
      <c r="V970" s="8" t="str">
        <f ca="1">IFERROR(__xludf.DUMMYFUNCTION("""COMPUTED_VALUE"""),"Dismissal")</f>
        <v>Dismissal</v>
      </c>
      <c r="W970" s="11">
        <f ca="1">IFERROR(__xludf.DUMMYFUNCTION("""COMPUTED_VALUE"""),0.708333333333333)</f>
        <v>0.70833333333333304</v>
      </c>
      <c r="X970" s="8">
        <f ca="1">IFERROR(__xludf.DUMMYFUNCTION("""COMPUTED_VALUE"""),1)</f>
        <v>1</v>
      </c>
      <c r="Y970" s="12" t="str">
        <f ca="1">IFERROR(__xludf.DUMMYFUNCTION("""COMPUTED_VALUE"""),"Occupied school bus shot during drive-by")</f>
        <v>Occupied school bus shot during drive-by</v>
      </c>
      <c r="Z970" s="12" t="str">
        <f ca="1">IFERROR(__xludf.DUMMYFUNCTION("""COMPUTED_VALUE"""),"A school bus with a driver and two students was struck multiple times during a drive-by shooting. No injuries.")</f>
        <v>A school bus with a driver and two students was struck multiple times during a drive-by shooting. No injuries.</v>
      </c>
      <c r="AA970" s="8" t="str">
        <f ca="1">IFERROR(__xludf.DUMMYFUNCTION("""COMPUTED_VALUE"""),"Drive-by Shooting")</f>
        <v>Drive-by Shooting</v>
      </c>
      <c r="AB970" s="8"/>
      <c r="AC970" s="8" t="str">
        <f ca="1">IFERROR(__xludf.DUMMYFUNCTION("""COMPUTED_VALUE"""),"Yes")</f>
        <v>Yes</v>
      </c>
      <c r="AD970" s="8" t="str">
        <f ca="1">IFERROR(__xludf.DUMMYFUNCTION("""COMPUTED_VALUE"""),"Both")</f>
        <v>Both</v>
      </c>
      <c r="AE970" s="8" t="str">
        <f ca="1">IFERROR(__xludf.DUMMYFUNCTION("""COMPUTED_VALUE"""),"No")</f>
        <v>No</v>
      </c>
      <c r="AF970" s="8"/>
      <c r="AG970" s="8" t="str">
        <f ca="1">IFERROR(__xludf.DUMMYFUNCTION("""COMPUTED_VALUE"""),"No")</f>
        <v>No</v>
      </c>
      <c r="AH970" s="8" t="str">
        <f ca="1">IFERROR(__xludf.DUMMYFUNCTION("""COMPUTED_VALUE"""),"No")</f>
        <v>No</v>
      </c>
      <c r="AI970" s="8" t="str">
        <f ca="1">IFERROR(__xludf.DUMMYFUNCTION("""COMPUTED_VALUE"""),"No")</f>
        <v>No</v>
      </c>
      <c r="AJ970" s="8" t="str">
        <f ca="1">IFERROR(__xludf.DUMMYFUNCTION("""COMPUTED_VALUE"""),"No")</f>
        <v>No</v>
      </c>
      <c r="AK970" s="8" t="str">
        <f ca="1">IFERROR(__xludf.DUMMYFUNCTION("""COMPUTED_VALUE"""),"No")</f>
        <v>No</v>
      </c>
      <c r="AL970" s="8"/>
      <c r="AM970" s="8" t="str">
        <f ca="1">IFERROR(__xludf.DUMMYFUNCTION("""COMPUTED_VALUE"""),"No")</f>
        <v>No</v>
      </c>
      <c r="AN970" s="8" t="str">
        <f ca="1">IFERROR(__xludf.DUMMYFUNCTION("""COMPUTED_VALUE"""),"Outside")</f>
        <v>Outside</v>
      </c>
      <c r="AO970" s="8" t="str">
        <f ca="1">IFERROR(__xludf.DUMMYFUNCTION("""COMPUTED_VALUE"""),"No")</f>
        <v>No</v>
      </c>
      <c r="AP970" s="8"/>
      <c r="AQ970" s="8"/>
      <c r="AR970" s="8"/>
      <c r="AS970" s="8">
        <f ca="1">IFERROR(__xludf.DUMMYFUNCTION("""COMPUTED_VALUE"""),99)</f>
        <v>99</v>
      </c>
      <c r="AT970" s="8"/>
      <c r="AU970" s="8">
        <f ca="1">IFERROR(__xludf.DUMMYFUNCTION("""COMPUTED_VALUE"""),43.090051)</f>
        <v>43.090051000000003</v>
      </c>
      <c r="AV970" s="8">
        <f ca="1">IFERROR(__xludf.DUMMYFUNCTION("""COMPUTED_VALUE"""),-87.966908)</f>
        <v>-87.966908000000004</v>
      </c>
      <c r="AW970" s="8"/>
      <c r="AX970" s="8" t="str">
        <f ca="1">IFERROR(__xludf.DUMMYFUNCTION("""COMPUTED_VALUE"""),"53216-0000")</f>
        <v>53216-0000</v>
      </c>
    </row>
    <row r="971" spans="1:50" ht="45" x14ac:dyDescent="0.2">
      <c r="A971" s="8" t="str">
        <f ca="1">IFERROR(__xludf.DUMMYFUNCTION("""COMPUTED_VALUE"""),"20220908LAJHA")</f>
        <v>20220908LAJHA</v>
      </c>
      <c r="B971" s="8">
        <f ca="1">IFERROR(__xludf.DUMMYFUNCTION("""COMPUTED_VALUE"""),9)</f>
        <v>9</v>
      </c>
      <c r="C971" s="8">
        <f ca="1">IFERROR(__xludf.DUMMYFUNCTION("""COMPUTED_VALUE"""),8)</f>
        <v>8</v>
      </c>
      <c r="D971" s="8">
        <f ca="1">IFERROR(__xludf.DUMMYFUNCTION("""COMPUTED_VALUE"""),2022)</f>
        <v>2022</v>
      </c>
      <c r="E971" s="9">
        <f ca="1">IFERROR(__xludf.DUMMYFUNCTION("""COMPUTED_VALUE"""),44812)</f>
        <v>44812</v>
      </c>
      <c r="F971" s="8" t="str">
        <f ca="1">IFERROR(__xludf.DUMMYFUNCTION("""COMPUTED_VALUE"""),"J. H. Williams Middle School")</f>
        <v>J. H. Williams Middle School</v>
      </c>
      <c r="G971" s="8">
        <f ca="1">IFERROR(__xludf.DUMMYFUNCTION("""COMPUTED_VALUE"""),0)</f>
        <v>0</v>
      </c>
      <c r="H971" s="8">
        <f ca="1">IFERROR(__xludf.DUMMYFUNCTION("""COMPUTED_VALUE"""),0)</f>
        <v>0</v>
      </c>
      <c r="I971" s="8">
        <f ca="1">IFERROR(__xludf.DUMMYFUNCTION("""COMPUTED_VALUE"""),0)</f>
        <v>0</v>
      </c>
      <c r="J971" s="8">
        <f ca="1">IFERROR(__xludf.DUMMYFUNCTION("""COMPUTED_VALUE"""),0)</f>
        <v>0</v>
      </c>
      <c r="K971" s="10" t="str">
        <f ca="1">IFERROR(__xludf.DUMMYFUNCTION("""COMPUTED_VALUE"""),"https://www.klfy.com/local/vermilion-parish/shooting-near-j-h-middle-school-in-abbeville-under-investigation/")</f>
        <v>https://www.klfy.com/local/vermilion-parish/shooting-near-j-h-middle-school-in-abbeville-under-investigation/</v>
      </c>
      <c r="L971" s="8">
        <f ca="1">IFERROR(__xludf.DUMMYFUNCTION("""COMPUTED_VALUE"""),1)</f>
        <v>1</v>
      </c>
      <c r="M971" s="8" t="str">
        <f ca="1">IFERROR(__xludf.DUMMYFUNCTION("""COMPUTED_VALUE"""),"Local")</f>
        <v>Local</v>
      </c>
      <c r="N971" s="8">
        <f ca="1">IFERROR(__xludf.DUMMYFUNCTION("""COMPUTED_VALUE"""),3)</f>
        <v>3</v>
      </c>
      <c r="O971" s="8" t="str">
        <f ca="1">IFERROR(__xludf.DUMMYFUNCTION("""COMPUTED_VALUE"""),"Fall")</f>
        <v>Fall</v>
      </c>
      <c r="P971" s="8" t="str">
        <f ca="1">IFERROR(__xludf.DUMMYFUNCTION("""COMPUTED_VALUE"""),"Abbeville")</f>
        <v>Abbeville</v>
      </c>
      <c r="Q971" s="8" t="str">
        <f ca="1">IFERROR(__xludf.DUMMYFUNCTION("""COMPUTED_VALUE"""),"LA")</f>
        <v>LA</v>
      </c>
      <c r="R971" s="8" t="str">
        <f ca="1">IFERROR(__xludf.DUMMYFUNCTION("""COMPUTED_VALUE"""),"Middle")</f>
        <v>Middle</v>
      </c>
      <c r="S971" s="8" t="str">
        <f ca="1">IFERROR(__xludf.DUMMYFUNCTION("""COMPUTED_VALUE"""),"Outside on School Property")</f>
        <v>Outside on School Property</v>
      </c>
      <c r="T971" s="8" t="str">
        <f ca="1">IFERROR(__xludf.DUMMYFUNCTION("""COMPUTED_VALUE"""),"Outside on School Property")</f>
        <v>Outside on School Property</v>
      </c>
      <c r="U971" s="8" t="str">
        <f ca="1">IFERROR(__xludf.DUMMYFUNCTION("""COMPUTED_VALUE"""),"No")</f>
        <v>No</v>
      </c>
      <c r="V971" s="8" t="str">
        <f ca="1">IFERROR(__xludf.DUMMYFUNCTION("""COMPUTED_VALUE"""),"Sport Event")</f>
        <v>Sport Event</v>
      </c>
      <c r="W971" s="11">
        <f ca="1">IFERROR(__xludf.DUMMYFUNCTION("""COMPUTED_VALUE"""),0.875)</f>
        <v>0.875</v>
      </c>
      <c r="X971" s="8">
        <f ca="1">IFERROR(__xludf.DUMMYFUNCTION("""COMPUTED_VALUE"""),1)</f>
        <v>1</v>
      </c>
      <c r="Y971" s="12" t="str">
        <f ca="1">IFERROR(__xludf.DUMMYFUNCTION("""COMPUTED_VALUE"""),"Shots fired near the football stadium during game")</f>
        <v>Shots fired near the football stadium during game</v>
      </c>
      <c r="Z971" s="12" t="str">
        <f ca="1">IFERROR(__xludf.DUMMYFUNCTION("""COMPUTED_VALUE"""),"Shots fired near football stadium during game. Stands evacuated. Officers found shell casings and abandon bikes the next morning.")</f>
        <v>Shots fired near football stadium during game. Stands evacuated. Officers found shell casings and abandon bikes the next morning.</v>
      </c>
      <c r="AA971" s="8"/>
      <c r="AB971" s="8"/>
      <c r="AC971" s="8" t="str">
        <f ca="1">IFERROR(__xludf.DUMMYFUNCTION("""COMPUTED_VALUE"""),"Yes")</f>
        <v>Yes</v>
      </c>
      <c r="AD971" s="8"/>
      <c r="AE971" s="8" t="str">
        <f ca="1">IFERROR(__xludf.DUMMYFUNCTION("""COMPUTED_VALUE"""),"Yes")</f>
        <v>Yes</v>
      </c>
      <c r="AF971" s="8" t="str">
        <f ca="1">IFERROR(__xludf.DUMMYFUNCTION("""COMPUTED_VALUE"""),"Two bikes")</f>
        <v>Two bikes</v>
      </c>
      <c r="AG971" s="8" t="str">
        <f ca="1">IFERROR(__xludf.DUMMYFUNCTION("""COMPUTED_VALUE"""),"No")</f>
        <v>No</v>
      </c>
      <c r="AH971" s="8" t="str">
        <f ca="1">IFERROR(__xludf.DUMMYFUNCTION("""COMPUTED_VALUE"""),"No")</f>
        <v>No</v>
      </c>
      <c r="AI971" s="8" t="str">
        <f ca="1">IFERROR(__xludf.DUMMYFUNCTION("""COMPUTED_VALUE"""),"No")</f>
        <v>No</v>
      </c>
      <c r="AJ971" s="8" t="str">
        <f ca="1">IFERROR(__xludf.DUMMYFUNCTION("""COMPUTED_VALUE"""),"No")</f>
        <v>No</v>
      </c>
      <c r="AK971" s="8" t="str">
        <f ca="1">IFERROR(__xludf.DUMMYFUNCTION("""COMPUTED_VALUE"""),"No")</f>
        <v>No</v>
      </c>
      <c r="AL971" s="8"/>
      <c r="AM971" s="8" t="str">
        <f ca="1">IFERROR(__xludf.DUMMYFUNCTION("""COMPUTED_VALUE"""),"No")</f>
        <v>No</v>
      </c>
      <c r="AN971" s="8" t="str">
        <f ca="1">IFERROR(__xludf.DUMMYFUNCTION("""COMPUTED_VALUE"""),"Outside")</f>
        <v>Outside</v>
      </c>
      <c r="AO971" s="8" t="str">
        <f ca="1">IFERROR(__xludf.DUMMYFUNCTION("""COMPUTED_VALUE"""),"No")</f>
        <v>No</v>
      </c>
      <c r="AP971" s="8"/>
      <c r="AQ971" s="8" t="str">
        <f ca="1">IFERROR(__xludf.DUMMYFUNCTION("""COMPUTED_VALUE"""),"Armed Guards")</f>
        <v>Armed Guards</v>
      </c>
      <c r="AR971" s="8" t="str">
        <f ca="1">IFERROR(__xludf.DUMMYFUNCTION("""COMPUTED_VALUE"""),"Outside/Off-Property")</f>
        <v>Outside/Off-Property</v>
      </c>
      <c r="AS971" s="8">
        <f ca="1">IFERROR(__xludf.DUMMYFUNCTION("""COMPUTED_VALUE"""),2)</f>
        <v>2</v>
      </c>
      <c r="AT971" s="8"/>
      <c r="AU971" s="8">
        <f ca="1">IFERROR(__xludf.DUMMYFUNCTION("""COMPUTED_VALUE"""),29.975108)</f>
        <v>29.975107999999999</v>
      </c>
      <c r="AV971" s="8">
        <f ca="1">IFERROR(__xludf.DUMMYFUNCTION("""COMPUTED_VALUE"""),-92.124534)</f>
        <v>-92.124533999999997</v>
      </c>
      <c r="AW971" s="8"/>
      <c r="AX971" s="8">
        <f ca="1">IFERROR(__xludf.DUMMYFUNCTION("""COMPUTED_VALUE"""),70510)</f>
        <v>70510</v>
      </c>
    </row>
    <row r="972" spans="1:50" ht="75" x14ac:dyDescent="0.2">
      <c r="A972" s="8" t="str">
        <f ca="1">IFERROR(__xludf.DUMMYFUNCTION("""COMPUTED_VALUE"""),"20220907WIBAM")</f>
        <v>20220907WIBAM</v>
      </c>
      <c r="B972" s="8">
        <f ca="1">IFERROR(__xludf.DUMMYFUNCTION("""COMPUTED_VALUE"""),9)</f>
        <v>9</v>
      </c>
      <c r="C972" s="8">
        <f ca="1">IFERROR(__xludf.DUMMYFUNCTION("""COMPUTED_VALUE"""),7)</f>
        <v>7</v>
      </c>
      <c r="D972" s="8">
        <f ca="1">IFERROR(__xludf.DUMMYFUNCTION("""COMPUTED_VALUE"""),2022)</f>
        <v>2022</v>
      </c>
      <c r="E972" s="9">
        <f ca="1">IFERROR(__xludf.DUMMYFUNCTION("""COMPUTED_VALUE"""),44811)</f>
        <v>44811</v>
      </c>
      <c r="F972" s="8" t="str">
        <f ca="1">IFERROR(__xludf.DUMMYFUNCTION("""COMPUTED_VALUE"""),"Barack Obama High School")</f>
        <v>Barack Obama High School</v>
      </c>
      <c r="G972" s="8">
        <f ca="1">IFERROR(__xludf.DUMMYFUNCTION("""COMPUTED_VALUE"""),0)</f>
        <v>0</v>
      </c>
      <c r="H972" s="8">
        <f ca="1">IFERROR(__xludf.DUMMYFUNCTION("""COMPUTED_VALUE"""),0)</f>
        <v>0</v>
      </c>
      <c r="I972" s="8">
        <f ca="1">IFERROR(__xludf.DUMMYFUNCTION("""COMPUTED_VALUE"""),0)</f>
        <v>0</v>
      </c>
      <c r="J972" s="8">
        <f ca="1">IFERROR(__xludf.DUMMYFUNCTION("""COMPUTED_VALUE"""),0)</f>
        <v>0</v>
      </c>
      <c r="K972" s="10" t="str">
        <f ca="1">IFERROR(__xludf.DUMMYFUNCTION("""COMPUTED_VALUE"""),"https://www.fox6now.com/news/shots-fired-near-milwaukees-barack-obama-school-2-charged")</f>
        <v>https://www.fox6now.com/news/shots-fired-near-milwaukees-barack-obama-school-2-charged</v>
      </c>
      <c r="L972" s="8">
        <f ca="1">IFERROR(__xludf.DUMMYFUNCTION("""COMPUTED_VALUE"""),1)</f>
        <v>1</v>
      </c>
      <c r="M972" s="8" t="str">
        <f ca="1">IFERROR(__xludf.DUMMYFUNCTION("""COMPUTED_VALUE"""),"Local")</f>
        <v>Local</v>
      </c>
      <c r="N972" s="8">
        <f ca="1">IFERROR(__xludf.DUMMYFUNCTION("""COMPUTED_VALUE"""),2)</f>
        <v>2</v>
      </c>
      <c r="O972" s="8" t="str">
        <f ca="1">IFERROR(__xludf.DUMMYFUNCTION("""COMPUTED_VALUE"""),"Fall")</f>
        <v>Fall</v>
      </c>
      <c r="P972" s="8" t="str">
        <f ca="1">IFERROR(__xludf.DUMMYFUNCTION("""COMPUTED_VALUE"""),"Milwaukee")</f>
        <v>Milwaukee</v>
      </c>
      <c r="Q972" s="8" t="str">
        <f ca="1">IFERROR(__xludf.DUMMYFUNCTION("""COMPUTED_VALUE"""),"WI")</f>
        <v>WI</v>
      </c>
      <c r="R972" s="8" t="str">
        <f ca="1">IFERROR(__xludf.DUMMYFUNCTION("""COMPUTED_VALUE"""),"High")</f>
        <v>High</v>
      </c>
      <c r="S972" s="8" t="str">
        <f ca="1">IFERROR(__xludf.DUMMYFUNCTION("""COMPUTED_VALUE"""),"Outside on School Property")</f>
        <v>Outside on School Property</v>
      </c>
      <c r="T972" s="8" t="str">
        <f ca="1">IFERROR(__xludf.DUMMYFUNCTION("""COMPUTED_VALUE"""),"Outside on School Property")</f>
        <v>Outside on School Property</v>
      </c>
      <c r="U972" s="8"/>
      <c r="V972" s="8"/>
      <c r="W972" s="8"/>
      <c r="X972" s="8">
        <f ca="1">IFERROR(__xludf.DUMMYFUNCTION("""COMPUTED_VALUE"""),2)</f>
        <v>2</v>
      </c>
      <c r="Y972" s="12" t="str">
        <f ca="1">IFERROR(__xludf.DUMMYFUNCTION("""COMPUTED_VALUE"""),"Teen and adult fired multiple shots into the air from vehicle near the school")</f>
        <v>Teen and adult fired multiple shots into the air from vehicle near the school</v>
      </c>
      <c r="Z972" s="12" t="str">
        <f ca="1">IFERROR(__xludf.DUMMYFUNCTION("""COMPUTED_VALUE"""),"17-year-old man and 27-year-old man were charged with fired 32 shots from automatic weapons (pistol and rifle) into the air near the school. Police responded and arrested both after high speed chase. No injuries. Charged with firing weapons in school zone"&amp;".")</f>
        <v>17-year-old man and 27-year-old man were charged with fired 32 shots from automatic weapons (pistol and rifle) into the air near the school. Police responded and arrested both after high speed chase. No injuries. Charged with firing weapons in school zone.</v>
      </c>
      <c r="AA972" s="8" t="str">
        <f ca="1">IFERROR(__xludf.DUMMYFUNCTION("""COMPUTED_VALUE"""),"Drive-by Shooting")</f>
        <v>Drive-by Shooting</v>
      </c>
      <c r="AB972" s="8"/>
      <c r="AC972" s="8"/>
      <c r="AD972" s="8" t="str">
        <f ca="1">IFERROR(__xludf.DUMMYFUNCTION("""COMPUTED_VALUE"""),"Random Shooting")</f>
        <v>Random Shooting</v>
      </c>
      <c r="AE972" s="8" t="str">
        <f ca="1">IFERROR(__xludf.DUMMYFUNCTION("""COMPUTED_VALUE"""),"Yes")</f>
        <v>Yes</v>
      </c>
      <c r="AF972" s="8" t="str">
        <f ca="1">IFERROR(__xludf.DUMMYFUNCTION("""COMPUTED_VALUE"""),"Two teens")</f>
        <v>Two teens</v>
      </c>
      <c r="AG972" s="8" t="str">
        <f ca="1">IFERROR(__xludf.DUMMYFUNCTION("""COMPUTED_VALUE"""),"No")</f>
        <v>No</v>
      </c>
      <c r="AH972" s="8" t="str">
        <f ca="1">IFERROR(__xludf.DUMMYFUNCTION("""COMPUTED_VALUE"""),"No")</f>
        <v>No</v>
      </c>
      <c r="AI972" s="8" t="str">
        <f ca="1">IFERROR(__xludf.DUMMYFUNCTION("""COMPUTED_VALUE"""),"No")</f>
        <v>No</v>
      </c>
      <c r="AJ972" s="8" t="str">
        <f ca="1">IFERROR(__xludf.DUMMYFUNCTION("""COMPUTED_VALUE"""),"No")</f>
        <v>No</v>
      </c>
      <c r="AK972" s="8" t="str">
        <f ca="1">IFERROR(__xludf.DUMMYFUNCTION("""COMPUTED_VALUE"""),"No")</f>
        <v>No</v>
      </c>
      <c r="AL972" s="8"/>
      <c r="AM972" s="8" t="str">
        <f ca="1">IFERROR(__xludf.DUMMYFUNCTION("""COMPUTED_VALUE"""),"No")</f>
        <v>No</v>
      </c>
      <c r="AN972" s="8" t="str">
        <f ca="1">IFERROR(__xludf.DUMMYFUNCTION("""COMPUTED_VALUE"""),"Outside")</f>
        <v>Outside</v>
      </c>
      <c r="AO972" s="8" t="str">
        <f ca="1">IFERROR(__xludf.DUMMYFUNCTION("""COMPUTED_VALUE"""),"No")</f>
        <v>No</v>
      </c>
      <c r="AP972" s="8"/>
      <c r="AQ972" s="8"/>
      <c r="AR972" s="8" t="str">
        <f ca="1">IFERROR(__xludf.DUMMYFUNCTION("""COMPUTED_VALUE"""),"Outside/Off-Property")</f>
        <v>Outside/Off-Property</v>
      </c>
      <c r="AS972" s="8">
        <f ca="1">IFERROR(__xludf.DUMMYFUNCTION("""COMPUTED_VALUE"""),32)</f>
        <v>32</v>
      </c>
      <c r="AT972" s="8"/>
      <c r="AU972" s="8">
        <f ca="1">IFERROR(__xludf.DUMMYFUNCTION("""COMPUTED_VALUE"""),43.108401)</f>
        <v>43.108401000000001</v>
      </c>
      <c r="AV972" s="8">
        <f ca="1">IFERROR(__xludf.DUMMYFUNCTION("""COMPUTED_VALUE"""),-87.967918)</f>
        <v>-87.967917999999997</v>
      </c>
      <c r="AW972" s="8"/>
      <c r="AX972" s="8">
        <f ca="1">IFERROR(__xludf.DUMMYFUNCTION("""COMPUTED_VALUE"""),53209)</f>
        <v>53209</v>
      </c>
    </row>
    <row r="973" spans="1:50" ht="60" x14ac:dyDescent="0.2">
      <c r="A973" s="8" t="str">
        <f ca="1">IFERROR(__xludf.DUMMYFUNCTION("""COMPUTED_VALUE"""),"20220907OHBEB")</f>
        <v>20220907OHBEB</v>
      </c>
      <c r="B973" s="8">
        <f ca="1">IFERROR(__xludf.DUMMYFUNCTION("""COMPUTED_VALUE"""),9)</f>
        <v>9</v>
      </c>
      <c r="C973" s="8">
        <f ca="1">IFERROR(__xludf.DUMMYFUNCTION("""COMPUTED_VALUE"""),7)</f>
        <v>7</v>
      </c>
      <c r="D973" s="8">
        <f ca="1">IFERROR(__xludf.DUMMYFUNCTION("""COMPUTED_VALUE"""),2022)</f>
        <v>2022</v>
      </c>
      <c r="E973" s="9">
        <f ca="1">IFERROR(__xludf.DUMMYFUNCTION("""COMPUTED_VALUE"""),44811)</f>
        <v>44811</v>
      </c>
      <c r="F973" s="8" t="str">
        <f ca="1">IFERROR(__xludf.DUMMYFUNCTION("""COMPUTED_VALUE"""),"Beavercreek High School")</f>
        <v>Beavercreek High School</v>
      </c>
      <c r="G973" s="8">
        <f ca="1">IFERROR(__xludf.DUMMYFUNCTION("""COMPUTED_VALUE"""),0)</f>
        <v>0</v>
      </c>
      <c r="H973" s="8">
        <f ca="1">IFERROR(__xludf.DUMMYFUNCTION("""COMPUTED_VALUE"""),0)</f>
        <v>0</v>
      </c>
      <c r="I973" s="8">
        <f ca="1">IFERROR(__xludf.DUMMYFUNCTION("""COMPUTED_VALUE"""),0)</f>
        <v>0</v>
      </c>
      <c r="J973" s="8">
        <f ca="1">IFERROR(__xludf.DUMMYFUNCTION("""COMPUTED_VALUE"""),0)</f>
        <v>0</v>
      </c>
      <c r="K973" s="10" t="str">
        <f ca="1">IFERROR(__xludf.DUMMYFUNCTION("""COMPUTED_VALUE"""),"https://www.whio.com/news/local/gunshots-disrupt-beavercreek-middle-school-football-practice-deputies-investigating/EXVQHSO2QVFEDGYIT4LUQIRVBU/")</f>
        <v>https://www.whio.com/news/local/gunshots-disrupt-beavercreek-middle-school-football-practice-deputies-investigating/EXVQHSO2QVFEDGYIT4LUQIRVBU/</v>
      </c>
      <c r="L973" s="8">
        <f ca="1">IFERROR(__xludf.DUMMYFUNCTION("""COMPUTED_VALUE"""),1)</f>
        <v>1</v>
      </c>
      <c r="M973" s="8" t="str">
        <f ca="1">IFERROR(__xludf.DUMMYFUNCTION("""COMPUTED_VALUE"""),"Local")</f>
        <v>Local</v>
      </c>
      <c r="N973" s="8">
        <f ca="1">IFERROR(__xludf.DUMMYFUNCTION("""COMPUTED_VALUE"""),3)</f>
        <v>3</v>
      </c>
      <c r="O973" s="8" t="str">
        <f ca="1">IFERROR(__xludf.DUMMYFUNCTION("""COMPUTED_VALUE"""),"Fall")</f>
        <v>Fall</v>
      </c>
      <c r="P973" s="8" t="str">
        <f ca="1">IFERROR(__xludf.DUMMYFUNCTION("""COMPUTED_VALUE"""),"Beavercreek")</f>
        <v>Beavercreek</v>
      </c>
      <c r="Q973" s="8" t="str">
        <f ca="1">IFERROR(__xludf.DUMMYFUNCTION("""COMPUTED_VALUE"""),"OH")</f>
        <v>OH</v>
      </c>
      <c r="R973" s="8" t="str">
        <f ca="1">IFERROR(__xludf.DUMMYFUNCTION("""COMPUTED_VALUE"""),"High")</f>
        <v>High</v>
      </c>
      <c r="S973" s="8" t="str">
        <f ca="1">IFERROR(__xludf.DUMMYFUNCTION("""COMPUTED_VALUE"""),"Football Field/Track")</f>
        <v>Football Field/Track</v>
      </c>
      <c r="T973" s="8" t="str">
        <f ca="1">IFERROR(__xludf.DUMMYFUNCTION("""COMPUTED_VALUE"""),"Outside on School Property")</f>
        <v>Outside on School Property</v>
      </c>
      <c r="U973" s="8" t="str">
        <f ca="1">IFERROR(__xludf.DUMMYFUNCTION("""COMPUTED_VALUE"""),"No")</f>
        <v>No</v>
      </c>
      <c r="V973" s="8" t="str">
        <f ca="1">IFERROR(__xludf.DUMMYFUNCTION("""COMPUTED_VALUE"""),"Sport Event")</f>
        <v>Sport Event</v>
      </c>
      <c r="W973" s="11">
        <f ca="1">IFERROR(__xludf.DUMMYFUNCTION("""COMPUTED_VALUE"""),0.8125)</f>
        <v>0.8125</v>
      </c>
      <c r="X973" s="8">
        <f ca="1">IFERROR(__xludf.DUMMYFUNCTION("""COMPUTED_VALUE"""),1)</f>
        <v>1</v>
      </c>
      <c r="Y973" s="12" t="str">
        <f ca="1">IFERROR(__xludf.DUMMYFUNCTION("""COMPUTED_VALUE"""),"Shots fired across football field during practice")</f>
        <v>Shots fired across football field during practice</v>
      </c>
      <c r="Z973" s="12" t="str">
        <f ca="1">IFERROR(__xludf.DUMMYFUNCTION("""COMPUTED_VALUE"""),"Players and coaches ran for cover when shots were fired across the football field. Police determined that a nearby homeowner was target shooting and didn't realize the school was behind the targets. No injuries.")</f>
        <v>Players and coaches ran for cover when shots were fired across the football field. Police determined that a nearby homeowner was target shooting and didn't realize the school was behind the targets. No injuries.</v>
      </c>
      <c r="AA973" s="8" t="str">
        <f ca="1">IFERROR(__xludf.DUMMYFUNCTION("""COMPUTED_VALUE"""),"Accidental")</f>
        <v>Accidental</v>
      </c>
      <c r="AB973" s="8"/>
      <c r="AC973" s="8" t="str">
        <f ca="1">IFERROR(__xludf.DUMMYFUNCTION("""COMPUTED_VALUE"""),"Yes")</f>
        <v>Yes</v>
      </c>
      <c r="AD973" s="8" t="str">
        <f ca="1">IFERROR(__xludf.DUMMYFUNCTION("""COMPUTED_VALUE"""),"Neither")</f>
        <v>Neither</v>
      </c>
      <c r="AE973" s="8" t="str">
        <f ca="1">IFERROR(__xludf.DUMMYFUNCTION("""COMPUTED_VALUE"""),"No")</f>
        <v>No</v>
      </c>
      <c r="AF973" s="8"/>
      <c r="AG973" s="8" t="str">
        <f ca="1">IFERROR(__xludf.DUMMYFUNCTION("""COMPUTED_VALUE"""),"No")</f>
        <v>No</v>
      </c>
      <c r="AH973" s="8" t="str">
        <f ca="1">IFERROR(__xludf.DUMMYFUNCTION("""COMPUTED_VALUE"""),"No")</f>
        <v>No</v>
      </c>
      <c r="AI973" s="8" t="str">
        <f ca="1">IFERROR(__xludf.DUMMYFUNCTION("""COMPUTED_VALUE"""),"No")</f>
        <v>No</v>
      </c>
      <c r="AJ973" s="8" t="str">
        <f ca="1">IFERROR(__xludf.DUMMYFUNCTION("""COMPUTED_VALUE"""),"No")</f>
        <v>No</v>
      </c>
      <c r="AK973" s="8" t="str">
        <f ca="1">IFERROR(__xludf.DUMMYFUNCTION("""COMPUTED_VALUE"""),"No")</f>
        <v>No</v>
      </c>
      <c r="AL973" s="8" t="str">
        <f ca="1">IFERROR(__xludf.DUMMYFUNCTION("""COMPUTED_VALUE"""),"No")</f>
        <v>No</v>
      </c>
      <c r="AM973" s="8" t="str">
        <f ca="1">IFERROR(__xludf.DUMMYFUNCTION("""COMPUTED_VALUE"""),"No")</f>
        <v>No</v>
      </c>
      <c r="AN973" s="8" t="str">
        <f ca="1">IFERROR(__xludf.DUMMYFUNCTION("""COMPUTED_VALUE"""),"Outside")</f>
        <v>Outside</v>
      </c>
      <c r="AO973" s="8" t="str">
        <f ca="1">IFERROR(__xludf.DUMMYFUNCTION("""COMPUTED_VALUE"""),"No")</f>
        <v>No</v>
      </c>
      <c r="AP973" s="8"/>
      <c r="AQ973" s="8"/>
      <c r="AR973" s="8" t="str">
        <f ca="1">IFERROR(__xludf.DUMMYFUNCTION("""COMPUTED_VALUE"""),"Outside/Off-Property")</f>
        <v>Outside/Off-Property</v>
      </c>
      <c r="AS973" s="8">
        <f ca="1">IFERROR(__xludf.DUMMYFUNCTION("""COMPUTED_VALUE"""),99)</f>
        <v>99</v>
      </c>
      <c r="AT973" s="8"/>
      <c r="AU973" s="8">
        <f ca="1">IFERROR(__xludf.DUMMYFUNCTION("""COMPUTED_VALUE"""),39.719482)</f>
        <v>39.719481999999999</v>
      </c>
      <c r="AV973" s="8">
        <f ca="1">IFERROR(__xludf.DUMMYFUNCTION("""COMPUTED_VALUE"""),-84.030905)</f>
        <v>-84.030905000000004</v>
      </c>
      <c r="AW973" s="8"/>
      <c r="AX973" s="8">
        <f ca="1">IFERROR(__xludf.DUMMYFUNCTION("""COMPUTED_VALUE"""),45434)</f>
        <v>45434</v>
      </c>
    </row>
    <row r="974" spans="1:50" ht="60" x14ac:dyDescent="0.2">
      <c r="A974" s="8" t="str">
        <f ca="1">IFERROR(__xludf.DUMMYFUNCTION("""COMPUTED_VALUE"""),"20220907MDCAB")</f>
        <v>20220907MDCAB</v>
      </c>
      <c r="B974" s="8">
        <f ca="1">IFERROR(__xludf.DUMMYFUNCTION("""COMPUTED_VALUE"""),9)</f>
        <v>9</v>
      </c>
      <c r="C974" s="8">
        <f ca="1">IFERROR(__xludf.DUMMYFUNCTION("""COMPUTED_VALUE"""),7)</f>
        <v>7</v>
      </c>
      <c r="D974" s="8">
        <f ca="1">IFERROR(__xludf.DUMMYFUNCTION("""COMPUTED_VALUE"""),2022)</f>
        <v>2022</v>
      </c>
      <c r="E974" s="9">
        <f ca="1">IFERROR(__xludf.DUMMYFUNCTION("""COMPUTED_VALUE"""),44811)</f>
        <v>44811</v>
      </c>
      <c r="F974" s="8" t="str">
        <f ca="1">IFERROR(__xludf.DUMMYFUNCTION("""COMPUTED_VALUE"""),"Carver Vocational Technical High School")</f>
        <v>Carver Vocational Technical High School</v>
      </c>
      <c r="G974" s="8">
        <f ca="1">IFERROR(__xludf.DUMMYFUNCTION("""COMPUTED_VALUE"""),0)</f>
        <v>0</v>
      </c>
      <c r="H974" s="8">
        <f ca="1">IFERROR(__xludf.DUMMYFUNCTION("""COMPUTED_VALUE"""),1)</f>
        <v>1</v>
      </c>
      <c r="I974" s="8">
        <f ca="1">IFERROR(__xludf.DUMMYFUNCTION("""COMPUTED_VALUE"""),1)</f>
        <v>1</v>
      </c>
      <c r="J974" s="8">
        <f ca="1">IFERROR(__xludf.DUMMYFUNCTION("""COMPUTED_VALUE"""),0)</f>
        <v>0</v>
      </c>
      <c r="K974" s="10" t="str">
        <f ca="1">IFERROR(__xludf.DUMMYFUNCTION("""COMPUTED_VALUE"""),"https://www.wbaltv.com/article/15-year-old-boy-grazed-in-head-by-bullet/41109122
https://www.wmar2news.com/news/local-news/15-year-old-shot-outside-of-carver-high-school
https://foxbaltimore.com/news/local/15-year-old-boy-grazed-in-head-by-bullet-in-west-"&amp;"baltimore-wednesday-evening")</f>
        <v>https://www.wbaltv.com/article/15-year-old-boy-grazed-in-head-by-bullet/41109122
https://www.wmar2news.com/news/local-news/15-year-old-shot-outside-of-carver-high-school
https://foxbaltimore.com/news/local/15-year-old-boy-grazed-in-head-by-bullet-in-west-baltimore-wednesday-evening</v>
      </c>
      <c r="L974" s="8">
        <f ca="1">IFERROR(__xludf.DUMMYFUNCTION("""COMPUTED_VALUE"""),5)</f>
        <v>5</v>
      </c>
      <c r="M974" s="8" t="str">
        <f ca="1">IFERROR(__xludf.DUMMYFUNCTION("""COMPUTED_VALUE"""),"Local")</f>
        <v>Local</v>
      </c>
      <c r="N974" s="8">
        <f ca="1">IFERROR(__xludf.DUMMYFUNCTION("""COMPUTED_VALUE"""),4)</f>
        <v>4</v>
      </c>
      <c r="O974" s="8" t="str">
        <f ca="1">IFERROR(__xludf.DUMMYFUNCTION("""COMPUTED_VALUE"""),"Fall")</f>
        <v>Fall</v>
      </c>
      <c r="P974" s="8" t="str">
        <f ca="1">IFERROR(__xludf.DUMMYFUNCTION("""COMPUTED_VALUE"""),"Baltimore")</f>
        <v>Baltimore</v>
      </c>
      <c r="Q974" s="8" t="str">
        <f ca="1">IFERROR(__xludf.DUMMYFUNCTION("""COMPUTED_VALUE"""),"MD")</f>
        <v>MD</v>
      </c>
      <c r="R974" s="8" t="str">
        <f ca="1">IFERROR(__xludf.DUMMYFUNCTION("""COMPUTED_VALUE"""),"High")</f>
        <v>High</v>
      </c>
      <c r="S974" s="8" t="str">
        <f ca="1">IFERROR(__xludf.DUMMYFUNCTION("""COMPUTED_VALUE"""),"Front of School")</f>
        <v>Front of School</v>
      </c>
      <c r="T974" s="8" t="str">
        <f ca="1">IFERROR(__xludf.DUMMYFUNCTION("""COMPUTED_VALUE"""),"Off School Property")</f>
        <v>Off School Property</v>
      </c>
      <c r="U974" s="8" t="str">
        <f ca="1">IFERROR(__xludf.DUMMYFUNCTION("""COMPUTED_VALUE"""),"Yes")</f>
        <v>Yes</v>
      </c>
      <c r="V974" s="8" t="str">
        <f ca="1">IFERROR(__xludf.DUMMYFUNCTION("""COMPUTED_VALUE"""),"Dismissal")</f>
        <v>Dismissal</v>
      </c>
      <c r="W974" s="11">
        <f ca="1">IFERROR(__xludf.DUMMYFUNCTION("""COMPUTED_VALUE"""),0.666666666666666)</f>
        <v>0.66666666666666596</v>
      </c>
      <c r="X974" s="8">
        <f ca="1">IFERROR(__xludf.DUMMYFUNCTION("""COMPUTED_VALUE"""),1)</f>
        <v>1</v>
      </c>
      <c r="Y974" s="12" t="str">
        <f ca="1">IFERROR(__xludf.DUMMYFUNCTION("""COMPUTED_VALUE"""),"Teen shot in front of school at dismissal")</f>
        <v>Teen shot in front of school at dismissal</v>
      </c>
      <c r="Z974" s="12" t="str">
        <f ca="1">IFERROR(__xludf.DUMMYFUNCTION("""COMPUTED_VALUE"""),"15-year-old student was shot in the head (graze) at dismissal in front of the school. He ran home and then realized he had been shot. Police do not know if he was the intended target. Shooter fled.")</f>
        <v>15-year-old student was shot in the head (graze) at dismissal in front of the school. He ran home and then realized he had been shot. Police do not know if he was the intended target. Shooter fled.</v>
      </c>
      <c r="AA974" s="8"/>
      <c r="AB974" s="8"/>
      <c r="AC974" s="8" t="str">
        <f ca="1">IFERROR(__xludf.DUMMYFUNCTION("""COMPUTED_VALUE"""),"Yes")</f>
        <v>Yes</v>
      </c>
      <c r="AD974" s="8" t="str">
        <f ca="1">IFERROR(__xludf.DUMMYFUNCTION("""COMPUTED_VALUE"""),"Random Shooting")</f>
        <v>Random Shooting</v>
      </c>
      <c r="AE974" s="8" t="str">
        <f ca="1">IFERROR(__xludf.DUMMYFUNCTION("""COMPUTED_VALUE"""),"No")</f>
        <v>No</v>
      </c>
      <c r="AF974" s="8"/>
      <c r="AG974" s="8" t="str">
        <f ca="1">IFERROR(__xludf.DUMMYFUNCTION("""COMPUTED_VALUE"""),"No")</f>
        <v>No</v>
      </c>
      <c r="AH974" s="8" t="str">
        <f ca="1">IFERROR(__xludf.DUMMYFUNCTION("""COMPUTED_VALUE"""),"No")</f>
        <v>No</v>
      </c>
      <c r="AI974" s="8" t="str">
        <f ca="1">IFERROR(__xludf.DUMMYFUNCTION("""COMPUTED_VALUE"""),"No")</f>
        <v>No</v>
      </c>
      <c r="AJ974" s="8" t="str">
        <f ca="1">IFERROR(__xludf.DUMMYFUNCTION("""COMPUTED_VALUE"""),"No")</f>
        <v>No</v>
      </c>
      <c r="AK974" s="8" t="str">
        <f ca="1">IFERROR(__xludf.DUMMYFUNCTION("""COMPUTED_VALUE"""),"No")</f>
        <v>No</v>
      </c>
      <c r="AL974" s="8"/>
      <c r="AM974" s="8" t="str">
        <f ca="1">IFERROR(__xludf.DUMMYFUNCTION("""COMPUTED_VALUE"""),"No")</f>
        <v>No</v>
      </c>
      <c r="AN974" s="8" t="str">
        <f ca="1">IFERROR(__xludf.DUMMYFUNCTION("""COMPUTED_VALUE"""),"Outside")</f>
        <v>Outside</v>
      </c>
      <c r="AO974" s="8" t="str">
        <f ca="1">IFERROR(__xludf.DUMMYFUNCTION("""COMPUTED_VALUE"""),"No")</f>
        <v>No</v>
      </c>
      <c r="AP974" s="8"/>
      <c r="AQ974" s="8"/>
      <c r="AR974" s="8" t="str">
        <f ca="1">IFERROR(__xludf.DUMMYFUNCTION("""COMPUTED_VALUE"""),"Outside/Off-Property")</f>
        <v>Outside/Off-Property</v>
      </c>
      <c r="AS974" s="8">
        <f ca="1">IFERROR(__xludf.DUMMYFUNCTION("""COMPUTED_VALUE"""),99)</f>
        <v>99</v>
      </c>
      <c r="AT974" s="8"/>
      <c r="AU974" s="8">
        <f ca="1">IFERROR(__xludf.DUMMYFUNCTION("""COMPUTED_VALUE"""),39.303836)</f>
        <v>39.303835999999997</v>
      </c>
      <c r="AV974" s="8">
        <f ca="1">IFERROR(__xludf.DUMMYFUNCTION("""COMPUTED_VALUE"""),-76.652206)</f>
        <v>-76.652206000000007</v>
      </c>
      <c r="AW974" s="8"/>
      <c r="AX974" s="8">
        <f ca="1">IFERROR(__xludf.DUMMYFUNCTION("""COMPUTED_VALUE"""),21217)</f>
        <v>21217</v>
      </c>
    </row>
    <row r="975" spans="1:50" ht="75" x14ac:dyDescent="0.2">
      <c r="A975" s="8" t="str">
        <f ca="1">IFERROR(__xludf.DUMMYFUNCTION("""COMPUTED_VALUE"""),"20220906IANOS")</f>
        <v>20220906IANOS</v>
      </c>
      <c r="B975" s="8">
        <f ca="1">IFERROR(__xludf.DUMMYFUNCTION("""COMPUTED_VALUE"""),9)</f>
        <v>9</v>
      </c>
      <c r="C975" s="8">
        <f ca="1">IFERROR(__xludf.DUMMYFUNCTION("""COMPUTED_VALUE"""),6)</f>
        <v>6</v>
      </c>
      <c r="D975" s="8">
        <f ca="1">IFERROR(__xludf.DUMMYFUNCTION("""COMPUTED_VALUE"""),2022)</f>
        <v>2022</v>
      </c>
      <c r="E975" s="9">
        <f ca="1">IFERROR(__xludf.DUMMYFUNCTION("""COMPUTED_VALUE"""),44810)</f>
        <v>44810</v>
      </c>
      <c r="F975" s="8" t="str">
        <f ca="1">IFERROR(__xludf.DUMMYFUNCTION("""COMPUTED_VALUE"""),"North Middle School")</f>
        <v>North Middle School</v>
      </c>
      <c r="G975" s="8">
        <f ca="1">IFERROR(__xludf.DUMMYFUNCTION("""COMPUTED_VALUE"""),0)</f>
        <v>0</v>
      </c>
      <c r="H975" s="8">
        <f ca="1">IFERROR(__xludf.DUMMYFUNCTION("""COMPUTED_VALUE"""),0)</f>
        <v>0</v>
      </c>
      <c r="I975" s="8">
        <f ca="1">IFERROR(__xludf.DUMMYFUNCTION("""COMPUTED_VALUE"""),0)</f>
        <v>0</v>
      </c>
      <c r="J975" s="8">
        <f ca="1">IFERROR(__xludf.DUMMYFUNCTION("""COMPUTED_VALUE"""),0)</f>
        <v>0</v>
      </c>
      <c r="K975" s="10" t="str">
        <f ca="1">IFERROR(__xludf.DUMMYFUNCTION("""COMPUTED_VALUE"""),"https://siouxlandnews.com/news/local/sccsd-responds-after-airsoft-gun-shooting-at-north-middle-school
https://www.keloland.com/news/local-news/sioux-city-pd-provide-more-info-on-middle-school-shooting/
https://www.radioiowa.com/2022/09/07/two-charged-afte"&amp;"r-firing-airsoft-gun-at-students-in-sioux-city/")</f>
        <v>https://siouxlandnews.com/news/local/sccsd-responds-after-airsoft-gun-shooting-at-north-middle-school
https://www.keloland.com/news/local-news/sioux-city-pd-provide-more-info-on-middle-school-shooting/
https://www.radioiowa.com/2022/09/07/two-charged-after-firing-airsoft-gun-at-students-in-sioux-city/</v>
      </c>
      <c r="L975" s="8">
        <f ca="1">IFERROR(__xludf.DUMMYFUNCTION("""COMPUTED_VALUE"""),4)</f>
        <v>4</v>
      </c>
      <c r="M975" s="8" t="str">
        <f ca="1">IFERROR(__xludf.DUMMYFUNCTION("""COMPUTED_VALUE"""),"Local")</f>
        <v>Local</v>
      </c>
      <c r="N975" s="8">
        <f ca="1">IFERROR(__xludf.DUMMYFUNCTION("""COMPUTED_VALUE"""),4)</f>
        <v>4</v>
      </c>
      <c r="O975" s="8" t="str">
        <f ca="1">IFERROR(__xludf.DUMMYFUNCTION("""COMPUTED_VALUE"""),"Fall")</f>
        <v>Fall</v>
      </c>
      <c r="P975" s="8" t="str">
        <f ca="1">IFERROR(__xludf.DUMMYFUNCTION("""COMPUTED_VALUE"""),"Sioux City")</f>
        <v>Sioux City</v>
      </c>
      <c r="Q975" s="8" t="str">
        <f ca="1">IFERROR(__xludf.DUMMYFUNCTION("""COMPUTED_VALUE"""),"IA")</f>
        <v>IA</v>
      </c>
      <c r="R975" s="8" t="str">
        <f ca="1">IFERROR(__xludf.DUMMYFUNCTION("""COMPUTED_VALUE"""),"Middle")</f>
        <v>Middle</v>
      </c>
      <c r="S975" s="8" t="str">
        <f ca="1">IFERROR(__xludf.DUMMYFUNCTION("""COMPUTED_VALUE"""),"Football Field/Track")</f>
        <v>Football Field/Track</v>
      </c>
      <c r="T975" s="8" t="str">
        <f ca="1">IFERROR(__xludf.DUMMYFUNCTION("""COMPUTED_VALUE"""),"Outside on School Property")</f>
        <v>Outside on School Property</v>
      </c>
      <c r="U975" s="8" t="str">
        <f ca="1">IFERROR(__xludf.DUMMYFUNCTION("""COMPUTED_VALUE"""),"Yes")</f>
        <v>Yes</v>
      </c>
      <c r="V975" s="8" t="str">
        <f ca="1">IFERROR(__xludf.DUMMYFUNCTION("""COMPUTED_VALUE"""),"Afternoon Classes")</f>
        <v>Afternoon Classes</v>
      </c>
      <c r="W975" s="11">
        <f ca="1">IFERROR(__xludf.DUMMYFUNCTION("""COMPUTED_VALUE"""),0.583333333333333)</f>
        <v>0.58333333333333304</v>
      </c>
      <c r="X975" s="8">
        <f ca="1">IFERROR(__xludf.DUMMYFUNCTION("""COMPUTED_VALUE"""),1)</f>
        <v>1</v>
      </c>
      <c r="Y975" s="12" t="str">
        <f ca="1">IFERROR(__xludf.DUMMYFUNCTION("""COMPUTED_VALUE"""),"Teens shot 4 students and an adult with pellet guns during gym class")</f>
        <v>Teens shot 4 students and an adult with pellet guns during gym class</v>
      </c>
      <c r="Z975" s="12" t="str">
        <f ca="1">IFERROR(__xludf.DUMMYFUNCTION("""COMPUTED_VALUE"""),"A 16-year-old and 14-year-old in a vehicle fired pellets at students who were walking back from gym class on the school track. 4 students and one adult had minor injuries. Both teens arrested and charged with 5 counts of assault.")</f>
        <v>A 16-year-old and 14-year-old in a vehicle fired pellets at students who were walking back from gym class on the school track. 4 students and one adult had minor injuries. Both teens arrested and charged with 5 counts of assault.</v>
      </c>
      <c r="AA975" s="8" t="str">
        <f ca="1">IFERROR(__xludf.DUMMYFUNCTION("""COMPUTED_VALUE"""),"Drive-by Shooting")</f>
        <v>Drive-by Shooting</v>
      </c>
      <c r="AB975" s="8"/>
      <c r="AC975" s="8" t="str">
        <f ca="1">IFERROR(__xludf.DUMMYFUNCTION("""COMPUTED_VALUE"""),"Yes")</f>
        <v>Yes</v>
      </c>
      <c r="AD975" s="8" t="str">
        <f ca="1">IFERROR(__xludf.DUMMYFUNCTION("""COMPUTED_VALUE"""),"Random Shooting")</f>
        <v>Random Shooting</v>
      </c>
      <c r="AE975" s="8" t="str">
        <f ca="1">IFERROR(__xludf.DUMMYFUNCTION("""COMPUTED_VALUE"""),"Yes")</f>
        <v>Yes</v>
      </c>
      <c r="AF975" s="8" t="str">
        <f ca="1">IFERROR(__xludf.DUMMYFUNCTION("""COMPUTED_VALUE"""),"2 shooters")</f>
        <v>2 shooters</v>
      </c>
      <c r="AG975" s="8" t="str">
        <f ca="1">IFERROR(__xludf.DUMMYFUNCTION("""COMPUTED_VALUE"""),"No")</f>
        <v>No</v>
      </c>
      <c r="AH975" s="8" t="str">
        <f ca="1">IFERROR(__xludf.DUMMYFUNCTION("""COMPUTED_VALUE"""),"No")</f>
        <v>No</v>
      </c>
      <c r="AI975" s="8" t="str">
        <f ca="1">IFERROR(__xludf.DUMMYFUNCTION("""COMPUTED_VALUE"""),"No")</f>
        <v>No</v>
      </c>
      <c r="AJ975" s="8"/>
      <c r="AK975" s="8" t="str">
        <f ca="1">IFERROR(__xludf.DUMMYFUNCTION("""COMPUTED_VALUE"""),"No")</f>
        <v>No</v>
      </c>
      <c r="AL975" s="8"/>
      <c r="AM975" s="8" t="str">
        <f ca="1">IFERROR(__xludf.DUMMYFUNCTION("""COMPUTED_VALUE"""),"No")</f>
        <v>No</v>
      </c>
      <c r="AN975" s="8" t="str">
        <f ca="1">IFERROR(__xludf.DUMMYFUNCTION("""COMPUTED_VALUE"""),"Outside")</f>
        <v>Outside</v>
      </c>
      <c r="AO975" s="8" t="str">
        <f ca="1">IFERROR(__xludf.DUMMYFUNCTION("""COMPUTED_VALUE"""),"No")</f>
        <v>No</v>
      </c>
      <c r="AP975" s="8"/>
      <c r="AQ975" s="8"/>
      <c r="AR975" s="8" t="str">
        <f ca="1">IFERROR(__xludf.DUMMYFUNCTION("""COMPUTED_VALUE"""),"Outside/Off-Property")</f>
        <v>Outside/Off-Property</v>
      </c>
      <c r="AS975" s="8">
        <f ca="1">IFERROR(__xludf.DUMMYFUNCTION("""COMPUTED_VALUE"""),99)</f>
        <v>99</v>
      </c>
      <c r="AT975" s="8" t="str">
        <f ca="1">IFERROR(__xludf.DUMMYFUNCTION("""COMPUTED_VALUE"""),"Yes")</f>
        <v>Yes</v>
      </c>
      <c r="AU975" s="8">
        <f ca="1">IFERROR(__xludf.DUMMYFUNCTION("""COMPUTED_VALUE"""),42.5426)</f>
        <v>42.5426</v>
      </c>
      <c r="AV975" s="8">
        <f ca="1">IFERROR(__xludf.DUMMYFUNCTION("""COMPUTED_VALUE"""),-96.383347)</f>
        <v>-96.383347000000001</v>
      </c>
      <c r="AW975" s="8"/>
      <c r="AX975" s="8">
        <f ca="1">IFERROR(__xludf.DUMMYFUNCTION("""COMPUTED_VALUE"""),51108)</f>
        <v>51108</v>
      </c>
    </row>
    <row r="976" spans="1:50" ht="75" x14ac:dyDescent="0.2">
      <c r="A976" s="8" t="str">
        <f ca="1">IFERROR(__xludf.DUMMYFUNCTION("""COMPUTED_VALUE"""),"20220904FLBOL")</f>
        <v>20220904FLBOL</v>
      </c>
      <c r="B976" s="8">
        <f ca="1">IFERROR(__xludf.DUMMYFUNCTION("""COMPUTED_VALUE"""),9)</f>
        <v>9</v>
      </c>
      <c r="C976" s="8">
        <f ca="1">IFERROR(__xludf.DUMMYFUNCTION("""COMPUTED_VALUE"""),4)</f>
        <v>4</v>
      </c>
      <c r="D976" s="8">
        <f ca="1">IFERROR(__xludf.DUMMYFUNCTION("""COMPUTED_VALUE"""),2022)</f>
        <v>2022</v>
      </c>
      <c r="E976" s="9">
        <f ca="1">IFERROR(__xludf.DUMMYFUNCTION("""COMPUTED_VALUE"""),44808)</f>
        <v>44808</v>
      </c>
      <c r="F976" s="8" t="str">
        <f ca="1">IFERROR(__xludf.DUMMYFUNCTION("""COMPUTED_VALUE"""),"Boyd H. Anderson High School")</f>
        <v>Boyd H. Anderson High School</v>
      </c>
      <c r="G976" s="8">
        <f ca="1">IFERROR(__xludf.DUMMYFUNCTION("""COMPUTED_VALUE"""),0)</f>
        <v>0</v>
      </c>
      <c r="H976" s="8">
        <f ca="1">IFERROR(__xludf.DUMMYFUNCTION("""COMPUTED_VALUE"""),4)</f>
        <v>4</v>
      </c>
      <c r="I976" s="8">
        <f ca="1">IFERROR(__xludf.DUMMYFUNCTION("""COMPUTED_VALUE"""),4)</f>
        <v>4</v>
      </c>
      <c r="J976" s="8">
        <f ca="1">IFERROR(__xludf.DUMMYFUNCTION("""COMPUTED_VALUE"""),0)</f>
        <v>0</v>
      </c>
      <c r="K976" s="10" t="str">
        <f ca="1">IFERROR(__xludf.DUMMYFUNCTION("""COMPUTED_VALUE"""),"https://wsvn.com/news/local/broward/3-juveniles-shot-during-sporting-event-at-boyd-anderson-high-in-lauderdale-lakes/
https://www.local10.com/news/local/2022/09/05/3-people-shot-at-high-school-sporting-event-in-lauderdale-lakes/
https://www.local10.com/ne"&amp;"ws/local/2022/09/05/adult-gambling-causes-shooting-injuring-3-teens-during-broward-little-league-football-game-police-say/")</f>
        <v>https://wsvn.com/news/local/broward/3-juveniles-shot-during-sporting-event-at-boyd-anderson-high-in-lauderdale-lakes/
https://www.local10.com/news/local/2022/09/05/3-people-shot-at-high-school-sporting-event-in-lauderdale-lakes/
https://www.local10.com/news/local/2022/09/05/adult-gambling-causes-shooting-injuring-3-teens-during-broward-little-league-football-game-police-say/</v>
      </c>
      <c r="L976" s="8">
        <f ca="1">IFERROR(__xludf.DUMMYFUNCTION("""COMPUTED_VALUE"""),10)</f>
        <v>10</v>
      </c>
      <c r="M976" s="8" t="str">
        <f ca="1">IFERROR(__xludf.DUMMYFUNCTION("""COMPUTED_VALUE"""),"Regional")</f>
        <v>Regional</v>
      </c>
      <c r="N976" s="8">
        <f ca="1">IFERROR(__xludf.DUMMYFUNCTION("""COMPUTED_VALUE"""),4)</f>
        <v>4</v>
      </c>
      <c r="O976" s="8" t="str">
        <f ca="1">IFERROR(__xludf.DUMMYFUNCTION("""COMPUTED_VALUE"""),"Fall")</f>
        <v>Fall</v>
      </c>
      <c r="P976" s="8" t="str">
        <f ca="1">IFERROR(__xludf.DUMMYFUNCTION("""COMPUTED_VALUE"""),"Lauderdale Lakes")</f>
        <v>Lauderdale Lakes</v>
      </c>
      <c r="Q976" s="8" t="str">
        <f ca="1">IFERROR(__xludf.DUMMYFUNCTION("""COMPUTED_VALUE"""),"FL")</f>
        <v>FL</v>
      </c>
      <c r="R976" s="8" t="str">
        <f ca="1">IFERROR(__xludf.DUMMYFUNCTION("""COMPUTED_VALUE"""),"High")</f>
        <v>High</v>
      </c>
      <c r="S976" s="8" t="str">
        <f ca="1">IFERROR(__xludf.DUMMYFUNCTION("""COMPUTED_VALUE"""),"Football Field/Track")</f>
        <v>Football Field/Track</v>
      </c>
      <c r="T976" s="8" t="str">
        <f ca="1">IFERROR(__xludf.DUMMYFUNCTION("""COMPUTED_VALUE"""),"Outside on School Property")</f>
        <v>Outside on School Property</v>
      </c>
      <c r="U976" s="8" t="str">
        <f ca="1">IFERROR(__xludf.DUMMYFUNCTION("""COMPUTED_VALUE"""),"No")</f>
        <v>No</v>
      </c>
      <c r="V976" s="8" t="str">
        <f ca="1">IFERROR(__xludf.DUMMYFUNCTION("""COMPUTED_VALUE"""),"Sport Event")</f>
        <v>Sport Event</v>
      </c>
      <c r="W976" s="11">
        <f ca="1">IFERROR(__xludf.DUMMYFUNCTION("""COMPUTED_VALUE"""),0.854166666666666)</f>
        <v>0.85416666666666596</v>
      </c>
      <c r="X976" s="8">
        <f ca="1">IFERROR(__xludf.DUMMYFUNCTION("""COMPUTED_VALUE"""),1)</f>
        <v>1</v>
      </c>
      <c r="Y976" s="12" t="str">
        <f ca="1">IFERROR(__xludf.DUMMYFUNCTION("""COMPUTED_VALUE"""),"Four juveniles shot at youth football game")</f>
        <v>Four juveniles shot at youth football game</v>
      </c>
      <c r="Z976" s="12" t="str">
        <f ca="1">IFERROR(__xludf.DUMMYFUNCTION("""COMPUTED_VALUE"""),"Four juveniles were wounded when shots were fired in the stands during a youth football game held at the high school. Shooter fled. Shooting resulted from a dispute during an earlier game when multiple people were kicked out by security. The shooter snuck"&amp;" back into the stands. ")</f>
        <v xml:space="preserve">Four juveniles were wounded when shots were fired in the stands during a youth football game held at the high school. Shooter fled. Shooting resulted from a dispute during an earlier game when multiple people were kicked out by security. The shooter snuck back into the stands. </v>
      </c>
      <c r="AA976" s="8" t="str">
        <f ca="1">IFERROR(__xludf.DUMMYFUNCTION("""COMPUTED_VALUE"""),"Escalation of Dispute")</f>
        <v>Escalation of Dispute</v>
      </c>
      <c r="AB976" s="8"/>
      <c r="AC976" s="8" t="str">
        <f ca="1">IFERROR(__xludf.DUMMYFUNCTION("""COMPUTED_VALUE"""),"Yes")</f>
        <v>Yes</v>
      </c>
      <c r="AD976" s="8" t="str">
        <f ca="1">IFERROR(__xludf.DUMMYFUNCTION("""COMPUTED_VALUE"""),"Both")</f>
        <v>Both</v>
      </c>
      <c r="AE976" s="8" t="str">
        <f ca="1">IFERROR(__xludf.DUMMYFUNCTION("""COMPUTED_VALUE"""),"No")</f>
        <v>No</v>
      </c>
      <c r="AF976" s="8"/>
      <c r="AG976" s="8" t="str">
        <f ca="1">IFERROR(__xludf.DUMMYFUNCTION("""COMPUTED_VALUE"""),"No")</f>
        <v>No</v>
      </c>
      <c r="AH976" s="8" t="str">
        <f ca="1">IFERROR(__xludf.DUMMYFUNCTION("""COMPUTED_VALUE"""),"No")</f>
        <v>No</v>
      </c>
      <c r="AI976" s="8" t="str">
        <f ca="1">IFERROR(__xludf.DUMMYFUNCTION("""COMPUTED_VALUE"""),"No")</f>
        <v>No</v>
      </c>
      <c r="AJ976" s="8" t="str">
        <f ca="1">IFERROR(__xludf.DUMMYFUNCTION("""COMPUTED_VALUE"""),"No")</f>
        <v>No</v>
      </c>
      <c r="AK976" s="8" t="str">
        <f ca="1">IFERROR(__xludf.DUMMYFUNCTION("""COMPUTED_VALUE"""),"No")</f>
        <v>No</v>
      </c>
      <c r="AL976" s="8"/>
      <c r="AM976" s="8" t="str">
        <f ca="1">IFERROR(__xludf.DUMMYFUNCTION("""COMPUTED_VALUE"""),"No")</f>
        <v>No</v>
      </c>
      <c r="AN976" s="8" t="str">
        <f ca="1">IFERROR(__xludf.DUMMYFUNCTION("""COMPUTED_VALUE"""),"Outside")</f>
        <v>Outside</v>
      </c>
      <c r="AO976" s="8" t="str">
        <f ca="1">IFERROR(__xludf.DUMMYFUNCTION("""COMPUTED_VALUE"""),"No")</f>
        <v>No</v>
      </c>
      <c r="AP976" s="8"/>
      <c r="AQ976" s="8"/>
      <c r="AR976" s="8" t="str">
        <f ca="1">IFERROR(__xludf.DUMMYFUNCTION("""COMPUTED_VALUE"""),"Outside/Off-Property")</f>
        <v>Outside/Off-Property</v>
      </c>
      <c r="AS976" s="8">
        <f ca="1">IFERROR(__xludf.DUMMYFUNCTION("""COMPUTED_VALUE"""),99)</f>
        <v>99</v>
      </c>
      <c r="AT976" s="8"/>
      <c r="AU976" s="8">
        <f ca="1">IFERROR(__xludf.DUMMYFUNCTION("""COMPUTED_VALUE"""),26.177659)</f>
        <v>26.177658999999998</v>
      </c>
      <c r="AV976" s="8">
        <f ca="1">IFERROR(__xludf.DUMMYFUNCTION("""COMPUTED_VALUE"""),-80.185034)</f>
        <v>-80.185034000000002</v>
      </c>
      <c r="AW976" s="8"/>
      <c r="AX976" s="8">
        <f ca="1">IFERROR(__xludf.DUMMYFUNCTION("""COMPUTED_VALUE"""),33309)</f>
        <v>33309</v>
      </c>
    </row>
    <row r="977" spans="1:50" ht="90" x14ac:dyDescent="0.2">
      <c r="A977" s="8" t="str">
        <f ca="1">IFERROR(__xludf.DUMMYFUNCTION("""COMPUTED_VALUE"""),"20220902MDMEB")</f>
        <v>20220902MDMEB</v>
      </c>
      <c r="B977" s="8">
        <f ca="1">IFERROR(__xludf.DUMMYFUNCTION("""COMPUTED_VALUE"""),9)</f>
        <v>9</v>
      </c>
      <c r="C977" s="8">
        <f ca="1">IFERROR(__xludf.DUMMYFUNCTION("""COMPUTED_VALUE"""),2)</f>
        <v>2</v>
      </c>
      <c r="D977" s="8">
        <f ca="1">IFERROR(__xludf.DUMMYFUNCTION("""COMPUTED_VALUE"""),2022)</f>
        <v>2022</v>
      </c>
      <c r="E977" s="9">
        <f ca="1">IFERROR(__xludf.DUMMYFUNCTION("""COMPUTED_VALUE"""),44806)</f>
        <v>44806</v>
      </c>
      <c r="F977" s="8" t="str">
        <f ca="1">IFERROR(__xludf.DUMMYFUNCTION("""COMPUTED_VALUE"""),"Mergenthaler Vocational-Technical High School")</f>
        <v>Mergenthaler Vocational-Technical High School</v>
      </c>
      <c r="G977" s="8">
        <f ca="1">IFERROR(__xludf.DUMMYFUNCTION("""COMPUTED_VALUE"""),1)</f>
        <v>1</v>
      </c>
      <c r="H977" s="8">
        <f ca="1">IFERROR(__xludf.DUMMYFUNCTION("""COMPUTED_VALUE"""),0)</f>
        <v>0</v>
      </c>
      <c r="I977" s="8">
        <f ca="1">IFERROR(__xludf.DUMMYFUNCTION("""COMPUTED_VALUE"""),1)</f>
        <v>1</v>
      </c>
      <c r="J977" s="8">
        <f ca="1">IFERROR(__xludf.DUMMYFUNCTION("""COMPUTED_VALUE"""),0)</f>
        <v>0</v>
      </c>
      <c r="K977" s="10" t="str">
        <f ca="1">IFERROR(__xludf.DUMMYFUNCTION("""COMPUTED_VALUE"""),"https://www.wbaltv.com/article/mervo-high-school-shooting-under-investigation/41068480#
https://www.baltimoresun.com/news/crime/bs-md-ci-cr-shooting-near-mervo-high-20220902-7vkk6gckhbdzrgodfepcdyjj6m-story.html")</f>
        <v>https://www.wbaltv.com/article/mervo-high-school-shooting-under-investigation/41068480#
https://www.baltimoresun.com/news/crime/bs-md-ci-cr-shooting-near-mervo-high-20220902-7vkk6gckhbdzrgodfepcdyjj6m-story.html</v>
      </c>
      <c r="L977" s="8">
        <f ca="1">IFERROR(__xludf.DUMMYFUNCTION("""COMPUTED_VALUE"""),10)</f>
        <v>10</v>
      </c>
      <c r="M977" s="8" t="str">
        <f ca="1">IFERROR(__xludf.DUMMYFUNCTION("""COMPUTED_VALUE"""),"Regional")</f>
        <v>Regional</v>
      </c>
      <c r="N977" s="8">
        <f ca="1">IFERROR(__xludf.DUMMYFUNCTION("""COMPUTED_VALUE"""),4)</f>
        <v>4</v>
      </c>
      <c r="O977" s="8" t="str">
        <f ca="1">IFERROR(__xludf.DUMMYFUNCTION("""COMPUTED_VALUE"""),"Fall")</f>
        <v>Fall</v>
      </c>
      <c r="P977" s="8" t="str">
        <f ca="1">IFERROR(__xludf.DUMMYFUNCTION("""COMPUTED_VALUE"""),"Baltimore")</f>
        <v>Baltimore</v>
      </c>
      <c r="Q977" s="8" t="str">
        <f ca="1">IFERROR(__xludf.DUMMYFUNCTION("""COMPUTED_VALUE"""),"MD")</f>
        <v>MD</v>
      </c>
      <c r="R977" s="8" t="str">
        <f ca="1">IFERROR(__xludf.DUMMYFUNCTION("""COMPUTED_VALUE"""),"High")</f>
        <v>High</v>
      </c>
      <c r="S977" s="8" t="str">
        <f ca="1">IFERROR(__xludf.DUMMYFUNCTION("""COMPUTED_VALUE"""),"Parking Lot")</f>
        <v>Parking Lot</v>
      </c>
      <c r="T977" s="8" t="str">
        <f ca="1">IFERROR(__xludf.DUMMYFUNCTION("""COMPUTED_VALUE"""),"Outside on School Property")</f>
        <v>Outside on School Property</v>
      </c>
      <c r="U977" s="8" t="str">
        <f ca="1">IFERROR(__xludf.DUMMYFUNCTION("""COMPUTED_VALUE"""),"Yes")</f>
        <v>Yes</v>
      </c>
      <c r="V977" s="8" t="str">
        <f ca="1">IFERROR(__xludf.DUMMYFUNCTION("""COMPUTED_VALUE"""),"Dismissal")</f>
        <v>Dismissal</v>
      </c>
      <c r="W977" s="11">
        <f ca="1">IFERROR(__xludf.DUMMYFUNCTION("""COMPUTED_VALUE"""),0.621527777777777)</f>
        <v>0.62152777777777701</v>
      </c>
      <c r="X977" s="8">
        <f ca="1">IFERROR(__xludf.DUMMYFUNCTION("""COMPUTED_VALUE"""),1)</f>
        <v>1</v>
      </c>
      <c r="Y977" s="12" t="str">
        <f ca="1">IFERROR(__xludf.DUMMYFUNCTION("""COMPUTED_VALUE"""),"Student from another school fatally shot a student in the parking lot at dismissal")</f>
        <v>Student from another school fatally shot a student in the parking lot at dismissal</v>
      </c>
      <c r="Z977" s="12" t="str">
        <f ca="1">IFERROR(__xludf.DUMMYFUNCTION("""COMPUTED_VALUE"""),"A teenage student was fatally shot during a dispute with a student from another school in the parking lot at dismissal. Shooter ran from the campus and was arrested by the SRO. School went into lockdown and followed active shooter procedures.")</f>
        <v>A teenage student was fatally shot during a dispute with a student from another school in the parking lot at dismissal. Shooter ran from the campus and was arrested by the SRO. School went into lockdown and followed active shooter procedures.</v>
      </c>
      <c r="AA977" s="8" t="str">
        <f ca="1">IFERROR(__xludf.DUMMYFUNCTION("""COMPUTED_VALUE"""),"Escalation of Dispute")</f>
        <v>Escalation of Dispute</v>
      </c>
      <c r="AB977" s="8"/>
      <c r="AC977" s="8" t="str">
        <f ca="1">IFERROR(__xludf.DUMMYFUNCTION("""COMPUTED_VALUE"""),"Yes")</f>
        <v>Yes</v>
      </c>
      <c r="AD977" s="8" t="str">
        <f ca="1">IFERROR(__xludf.DUMMYFUNCTION("""COMPUTED_VALUE"""),"Victims Targeted")</f>
        <v>Victims Targeted</v>
      </c>
      <c r="AE977" s="8" t="str">
        <f ca="1">IFERROR(__xludf.DUMMYFUNCTION("""COMPUTED_VALUE"""),"No")</f>
        <v>No</v>
      </c>
      <c r="AF977" s="8"/>
      <c r="AG977" s="8" t="str">
        <f ca="1">IFERROR(__xludf.DUMMYFUNCTION("""COMPUTED_VALUE"""),"No")</f>
        <v>No</v>
      </c>
      <c r="AH977" s="8" t="str">
        <f ca="1">IFERROR(__xludf.DUMMYFUNCTION("""COMPUTED_VALUE"""),"No")</f>
        <v>No</v>
      </c>
      <c r="AI977" s="8" t="str">
        <f ca="1">IFERROR(__xludf.DUMMYFUNCTION("""COMPUTED_VALUE"""),"No")</f>
        <v>No</v>
      </c>
      <c r="AJ977" s="8" t="str">
        <f ca="1">IFERROR(__xludf.DUMMYFUNCTION("""COMPUTED_VALUE"""),"No")</f>
        <v>No</v>
      </c>
      <c r="AK977" s="8" t="str">
        <f ca="1">IFERROR(__xludf.DUMMYFUNCTION("""COMPUTED_VALUE"""),"No")</f>
        <v>No</v>
      </c>
      <c r="AL977" s="8"/>
      <c r="AM977" s="8" t="str">
        <f ca="1">IFERROR(__xludf.DUMMYFUNCTION("""COMPUTED_VALUE"""),"No")</f>
        <v>No</v>
      </c>
      <c r="AN977" s="8" t="str">
        <f ca="1">IFERROR(__xludf.DUMMYFUNCTION("""COMPUTED_VALUE"""),"Outside")</f>
        <v>Outside</v>
      </c>
      <c r="AO977" s="8" t="str">
        <f ca="1">IFERROR(__xludf.DUMMYFUNCTION("""COMPUTED_VALUE"""),"No")</f>
        <v>No</v>
      </c>
      <c r="AP977" s="8" t="str">
        <f ca="1">IFERROR(__xludf.DUMMYFUNCTION("""COMPUTED_VALUE"""),"Yes")</f>
        <v>Yes</v>
      </c>
      <c r="AQ977" s="8"/>
      <c r="AR977" s="8" t="str">
        <f ca="1">IFERROR(__xludf.DUMMYFUNCTION("""COMPUTED_VALUE"""),"Outside/Off-Property")</f>
        <v>Outside/Off-Property</v>
      </c>
      <c r="AS977" s="8">
        <f ca="1">IFERROR(__xludf.DUMMYFUNCTION("""COMPUTED_VALUE"""),99)</f>
        <v>99</v>
      </c>
      <c r="AT977" s="8" t="str">
        <f ca="1">IFERROR(__xludf.DUMMYFUNCTION("""COMPUTED_VALUE"""),"Yes")</f>
        <v>Yes</v>
      </c>
      <c r="AU977" s="8">
        <f ca="1">IFERROR(__xludf.DUMMYFUNCTION("""COMPUTED_VALUE"""),39.332192)</f>
        <v>39.332191999999999</v>
      </c>
      <c r="AV977" s="8">
        <f ca="1">IFERROR(__xludf.DUMMYFUNCTION("""COMPUTED_VALUE"""),-76.591181)</f>
        <v>-76.591181000000006</v>
      </c>
      <c r="AW977" s="8"/>
      <c r="AX977" s="8">
        <f ca="1">IFERROR(__xludf.DUMMYFUNCTION("""COMPUTED_VALUE"""),21251)</f>
        <v>21251</v>
      </c>
    </row>
    <row r="978" spans="1:50" ht="105" x14ac:dyDescent="0.2">
      <c r="A978" s="8" t="str">
        <f ca="1">IFERROR(__xludf.DUMMYFUNCTION("""COMPUTED_VALUE"""),"20220902INJEL")</f>
        <v>20220902INJEL</v>
      </c>
      <c r="B978" s="8">
        <f ca="1">IFERROR(__xludf.DUMMYFUNCTION("""COMPUTED_VALUE"""),9)</f>
        <v>9</v>
      </c>
      <c r="C978" s="8">
        <f ca="1">IFERROR(__xludf.DUMMYFUNCTION("""COMPUTED_VALUE"""),2)</f>
        <v>2</v>
      </c>
      <c r="D978" s="8">
        <f ca="1">IFERROR(__xludf.DUMMYFUNCTION("""COMPUTED_VALUE"""),2022)</f>
        <v>2022</v>
      </c>
      <c r="E978" s="9">
        <f ca="1">IFERROR(__xludf.DUMMYFUNCTION("""COMPUTED_VALUE"""),44806)</f>
        <v>44806</v>
      </c>
      <c r="F978" s="8" t="str">
        <f ca="1">IFERROR(__xludf.DUMMYFUNCTION("""COMPUTED_VALUE"""),"Jeffersonville High School")</f>
        <v>Jeffersonville High School</v>
      </c>
      <c r="G978" s="8">
        <f ca="1">IFERROR(__xludf.DUMMYFUNCTION("""COMPUTED_VALUE"""),0)</f>
        <v>0</v>
      </c>
      <c r="H978" s="8">
        <f ca="1">IFERROR(__xludf.DUMMYFUNCTION("""COMPUTED_VALUE"""),0)</f>
        <v>0</v>
      </c>
      <c r="I978" s="8">
        <f ca="1">IFERROR(__xludf.DUMMYFUNCTION("""COMPUTED_VALUE"""),0)</f>
        <v>0</v>
      </c>
      <c r="J978" s="8">
        <f ca="1">IFERROR(__xludf.DUMMYFUNCTION("""COMPUTED_VALUE"""),0)</f>
        <v>0</v>
      </c>
      <c r="K978" s="8" t="str">
        <f ca="1">IFERROR(__xludf.DUMMYFUNCTION("""COMPUTED_VALUE"""),"https://www.wave3.com/2022/09/03/jeffersonville-police-investigate-armed-robbery-reported-high-school-football-game/
https://www.wlky.com/article/jeffersonville-high-school-robbery-student-football-game/41106605
https://www.wave3.com/2022/09/07/juvenile-a"&amp;"rrested-after-armed-robbery-jeffersonville-hs-parking-lot/
")</f>
        <v xml:space="preserve">https://www.wave3.com/2022/09/03/jeffersonville-police-investigate-armed-robbery-reported-high-school-football-game/
https://www.wlky.com/article/jeffersonville-high-school-robbery-student-football-game/41106605
https://www.wave3.com/2022/09/07/juvenile-arrested-after-armed-robbery-jeffersonville-hs-parking-lot/
</v>
      </c>
      <c r="L978" s="8">
        <f ca="1">IFERROR(__xludf.DUMMYFUNCTION("""COMPUTED_VALUE"""),5)</f>
        <v>5</v>
      </c>
      <c r="M978" s="8" t="str">
        <f ca="1">IFERROR(__xludf.DUMMYFUNCTION("""COMPUTED_VALUE"""),"Regional")</f>
        <v>Regional</v>
      </c>
      <c r="N978" s="8">
        <f ca="1">IFERROR(__xludf.DUMMYFUNCTION("""COMPUTED_VALUE"""),4)</f>
        <v>4</v>
      </c>
      <c r="O978" s="8" t="str">
        <f ca="1">IFERROR(__xludf.DUMMYFUNCTION("""COMPUTED_VALUE"""),"Fall")</f>
        <v>Fall</v>
      </c>
      <c r="P978" s="8" t="str">
        <f ca="1">IFERROR(__xludf.DUMMYFUNCTION("""COMPUTED_VALUE"""),"Jeffersonville")</f>
        <v>Jeffersonville</v>
      </c>
      <c r="Q978" s="8" t="str">
        <f ca="1">IFERROR(__xludf.DUMMYFUNCTION("""COMPUTED_VALUE"""),"IN")</f>
        <v>IN</v>
      </c>
      <c r="R978" s="8" t="str">
        <f ca="1">IFERROR(__xludf.DUMMYFUNCTION("""COMPUTED_VALUE"""),"High")</f>
        <v>High</v>
      </c>
      <c r="S978" s="8" t="str">
        <f ca="1">IFERROR(__xludf.DUMMYFUNCTION("""COMPUTED_VALUE"""),"Parking Lot")</f>
        <v>Parking Lot</v>
      </c>
      <c r="T978" s="8" t="str">
        <f ca="1">IFERROR(__xludf.DUMMYFUNCTION("""COMPUTED_VALUE"""),"Outside on School Property")</f>
        <v>Outside on School Property</v>
      </c>
      <c r="U978" s="8" t="str">
        <f ca="1">IFERROR(__xludf.DUMMYFUNCTION("""COMPUTED_VALUE"""),"No")</f>
        <v>No</v>
      </c>
      <c r="V978" s="8" t="str">
        <f ca="1">IFERROR(__xludf.DUMMYFUNCTION("""COMPUTED_VALUE"""),"Sport Event")</f>
        <v>Sport Event</v>
      </c>
      <c r="W978" s="11">
        <f ca="1">IFERROR(__xludf.DUMMYFUNCTION("""COMPUTED_VALUE"""),0.894444444444444)</f>
        <v>0.89444444444444404</v>
      </c>
      <c r="X978" s="8">
        <f ca="1">IFERROR(__xludf.DUMMYFUNCTION("""COMPUTED_VALUE"""),1)</f>
        <v>1</v>
      </c>
      <c r="Y978" s="12" t="str">
        <f ca="1">IFERROR(__xludf.DUMMYFUNCTION("""COMPUTED_VALUE"""),"Teen robbed student at gunpoint in parking lot during football game")</f>
        <v>Teen robbed student at gunpoint in parking lot during football game</v>
      </c>
      <c r="Z978" s="12" t="str">
        <f ca="1">IFERROR(__xludf.DUMMYFUNCTION("""COMPUTED_VALUE"""),"A teen robbed a student at gunpoint in the parking lot during a high school football game. Rumors spread there was a shooting and people evacuated the game. An unrelated medical emergency at the game and an ambulance responding added to the confusion. Sho"&amp;"oter was arrested following Tuesday and charged with pointing a firearm and possession of a weapon on school property")</f>
        <v>A teen robbed a student at gunpoint in the parking lot during a high school football game. Rumors spread there was a shooting and people evacuated the game. An unrelated medical emergency at the game and an ambulance responding added to the confusion. Shooter was arrested following Tuesday and charged with pointing a firearm and possession of a weapon on school property</v>
      </c>
      <c r="AA978" s="8" t="str">
        <f ca="1">IFERROR(__xludf.DUMMYFUNCTION("""COMPUTED_VALUE"""),"Illegal Activity")</f>
        <v>Illegal Activity</v>
      </c>
      <c r="AB978" s="8"/>
      <c r="AC978" s="8" t="str">
        <f ca="1">IFERROR(__xludf.DUMMYFUNCTION("""COMPUTED_VALUE"""),"Yes")</f>
        <v>Yes</v>
      </c>
      <c r="AD978" s="8" t="str">
        <f ca="1">IFERROR(__xludf.DUMMYFUNCTION("""COMPUTED_VALUE"""),"Victims Targeted")</f>
        <v>Victims Targeted</v>
      </c>
      <c r="AE978" s="8" t="str">
        <f ca="1">IFERROR(__xludf.DUMMYFUNCTION("""COMPUTED_VALUE"""),"No")</f>
        <v>No</v>
      </c>
      <c r="AF978" s="8"/>
      <c r="AG978" s="8" t="str">
        <f ca="1">IFERROR(__xludf.DUMMYFUNCTION("""COMPUTED_VALUE"""),"No")</f>
        <v>No</v>
      </c>
      <c r="AH978" s="8" t="str">
        <f ca="1">IFERROR(__xludf.DUMMYFUNCTION("""COMPUTED_VALUE"""),"No")</f>
        <v>No</v>
      </c>
      <c r="AI978" s="8" t="str">
        <f ca="1">IFERROR(__xludf.DUMMYFUNCTION("""COMPUTED_VALUE"""),"No")</f>
        <v>No</v>
      </c>
      <c r="AJ978" s="8" t="str">
        <f ca="1">IFERROR(__xludf.DUMMYFUNCTION("""COMPUTED_VALUE"""),"No")</f>
        <v>No</v>
      </c>
      <c r="AK978" s="8" t="str">
        <f ca="1">IFERROR(__xludf.DUMMYFUNCTION("""COMPUTED_VALUE"""),"No")</f>
        <v>No</v>
      </c>
      <c r="AL978" s="8" t="str">
        <f ca="1">IFERROR(__xludf.DUMMYFUNCTION("""COMPUTED_VALUE"""),"No")</f>
        <v>No</v>
      </c>
      <c r="AM978" s="8" t="str">
        <f ca="1">IFERROR(__xludf.DUMMYFUNCTION("""COMPUTED_VALUE"""),"No")</f>
        <v>No</v>
      </c>
      <c r="AN978" s="8" t="str">
        <f ca="1">IFERROR(__xludf.DUMMYFUNCTION("""COMPUTED_VALUE"""),"Outside")</f>
        <v>Outside</v>
      </c>
      <c r="AO978" s="8" t="str">
        <f ca="1">IFERROR(__xludf.DUMMYFUNCTION("""COMPUTED_VALUE"""),"No")</f>
        <v>No</v>
      </c>
      <c r="AP978" s="8"/>
      <c r="AQ978" s="8"/>
      <c r="AR978" s="8" t="str">
        <f ca="1">IFERROR(__xludf.DUMMYFUNCTION("""COMPUTED_VALUE"""),"Outside/Off-Property")</f>
        <v>Outside/Off-Property</v>
      </c>
      <c r="AS978" s="8">
        <f ca="1">IFERROR(__xludf.DUMMYFUNCTION("""COMPUTED_VALUE"""),0)</f>
        <v>0</v>
      </c>
      <c r="AT978" s="8"/>
      <c r="AU978" s="8">
        <f ca="1">IFERROR(__xludf.DUMMYFUNCTION("""COMPUTED_VALUE"""),38.316632)</f>
        <v>38.316631999999998</v>
      </c>
      <c r="AV978" s="8">
        <f ca="1">IFERROR(__xludf.DUMMYFUNCTION("""COMPUTED_VALUE"""),-85.711354)</f>
        <v>-85.711354</v>
      </c>
      <c r="AW978" s="8"/>
      <c r="AX978" s="8">
        <f ca="1">IFERROR(__xludf.DUMMYFUNCTION("""COMPUTED_VALUE"""),47130)</f>
        <v>47130</v>
      </c>
    </row>
    <row r="979" spans="1:50" ht="45" x14ac:dyDescent="0.2">
      <c r="A979" s="8" t="str">
        <f ca="1">IFERROR(__xludf.DUMMYFUNCTION("""COMPUTED_VALUE"""),"20220831PAFRP")</f>
        <v>20220831PAFRP</v>
      </c>
      <c r="B979" s="8">
        <f ca="1">IFERROR(__xludf.DUMMYFUNCTION("""COMPUTED_VALUE"""),8)</f>
        <v>8</v>
      </c>
      <c r="C979" s="8">
        <f ca="1">IFERROR(__xludf.DUMMYFUNCTION("""COMPUTED_VALUE"""),31)</f>
        <v>31</v>
      </c>
      <c r="D979" s="8">
        <f ca="1">IFERROR(__xludf.DUMMYFUNCTION("""COMPUTED_VALUE"""),2022)</f>
        <v>2022</v>
      </c>
      <c r="E979" s="9">
        <f ca="1">IFERROR(__xludf.DUMMYFUNCTION("""COMPUTED_VALUE"""),44804)</f>
        <v>44804</v>
      </c>
      <c r="F979" s="8" t="str">
        <f ca="1">IFERROR(__xludf.DUMMYFUNCTION("""COMPUTED_VALUE"""),"Frances E. Willard Elementary School")</f>
        <v>Frances E. Willard Elementary School</v>
      </c>
      <c r="G979" s="8">
        <f ca="1">IFERROR(__xludf.DUMMYFUNCTION("""COMPUTED_VALUE"""),0)</f>
        <v>0</v>
      </c>
      <c r="H979" s="8">
        <f ca="1">IFERROR(__xludf.DUMMYFUNCTION("""COMPUTED_VALUE"""),3)</f>
        <v>3</v>
      </c>
      <c r="I979" s="8">
        <f ca="1">IFERROR(__xludf.DUMMYFUNCTION("""COMPUTED_VALUE"""),3)</f>
        <v>3</v>
      </c>
      <c r="J979" s="8">
        <f ca="1">IFERROR(__xludf.DUMMYFUNCTION("""COMPUTED_VALUE"""),0)</f>
        <v>0</v>
      </c>
      <c r="K979" s="10" t="str">
        <f ca="1">IFERROR(__xludf.DUMMYFUNCTION("""COMPUTED_VALUE"""),"https://www.fox29.com/news/police-3-people-hospitalized-after-being-shot-on-elementary-school-playground-in-kensington")</f>
        <v>https://www.fox29.com/news/police-3-people-hospitalized-after-being-shot-on-elementary-school-playground-in-kensington</v>
      </c>
      <c r="L979" s="8">
        <f ca="1">IFERROR(__xludf.DUMMYFUNCTION("""COMPUTED_VALUE"""),1)</f>
        <v>1</v>
      </c>
      <c r="M979" s="8" t="str">
        <f ca="1">IFERROR(__xludf.DUMMYFUNCTION("""COMPUTED_VALUE"""),"Local")</f>
        <v>Local</v>
      </c>
      <c r="N979" s="8">
        <f ca="1">IFERROR(__xludf.DUMMYFUNCTION("""COMPUTED_VALUE"""),4)</f>
        <v>4</v>
      </c>
      <c r="O979" s="8" t="str">
        <f ca="1">IFERROR(__xludf.DUMMYFUNCTION("""COMPUTED_VALUE"""),"Summer")</f>
        <v>Summer</v>
      </c>
      <c r="P979" s="8" t="str">
        <f ca="1">IFERROR(__xludf.DUMMYFUNCTION("""COMPUTED_VALUE"""),"Philadelphia")</f>
        <v>Philadelphia</v>
      </c>
      <c r="Q979" s="8" t="str">
        <f ca="1">IFERROR(__xludf.DUMMYFUNCTION("""COMPUTED_VALUE"""),"PA")</f>
        <v>PA</v>
      </c>
      <c r="R979" s="8" t="str">
        <f ca="1">IFERROR(__xludf.DUMMYFUNCTION("""COMPUTED_VALUE"""),"Elementary")</f>
        <v>Elementary</v>
      </c>
      <c r="S979" s="8" t="str">
        <f ca="1">IFERROR(__xludf.DUMMYFUNCTION("""COMPUTED_VALUE"""),"Playground")</f>
        <v>Playground</v>
      </c>
      <c r="T979" s="8" t="str">
        <f ca="1">IFERROR(__xludf.DUMMYFUNCTION("""COMPUTED_VALUE"""),"Outside on School Property")</f>
        <v>Outside on School Property</v>
      </c>
      <c r="U979" s="8" t="str">
        <f ca="1">IFERROR(__xludf.DUMMYFUNCTION("""COMPUTED_VALUE"""),"No")</f>
        <v>No</v>
      </c>
      <c r="V979" s="8" t="str">
        <f ca="1">IFERROR(__xludf.DUMMYFUNCTION("""COMPUTED_VALUE"""),"Night")</f>
        <v>Night</v>
      </c>
      <c r="W979" s="11">
        <f ca="1">IFERROR(__xludf.DUMMYFUNCTION("""COMPUTED_VALUE"""),0.0416666666666666)</f>
        <v>4.1666666666666602E-2</v>
      </c>
      <c r="X979" s="8">
        <f ca="1">IFERROR(__xludf.DUMMYFUNCTION("""COMPUTED_VALUE"""),1)</f>
        <v>1</v>
      </c>
      <c r="Y979" s="12" t="str">
        <f ca="1">IFERROR(__xludf.DUMMYFUNCTION("""COMPUTED_VALUE"""),"Three people shot on school playground")</f>
        <v>Three people shot on school playground</v>
      </c>
      <c r="Z979" s="12" t="str">
        <f ca="1">IFERROR(__xludf.DUMMYFUNCTION("""COMPUTED_VALUE"""),"Three people (adult male, adult female, and teenage boy) were shot while standing near the playground of the school. Vehicle near the victims was struck 15 times. Shooter fled.")</f>
        <v>Three people (adult male, adult female, and teenage boy) were shot while standing near the playground of the school. Vehicle near the victims was struck 15 times. Shooter fled.</v>
      </c>
      <c r="AA979" s="8"/>
      <c r="AB979" s="8"/>
      <c r="AC979" s="8" t="str">
        <f ca="1">IFERROR(__xludf.DUMMYFUNCTION("""COMPUTED_VALUE"""),"No")</f>
        <v>No</v>
      </c>
      <c r="AD979" s="8" t="str">
        <f ca="1">IFERROR(__xludf.DUMMYFUNCTION("""COMPUTED_VALUE"""),"Both")</f>
        <v>Both</v>
      </c>
      <c r="AE979" s="8" t="str">
        <f ca="1">IFERROR(__xludf.DUMMYFUNCTION("""COMPUTED_VALUE"""),"No")</f>
        <v>No</v>
      </c>
      <c r="AF979" s="8"/>
      <c r="AG979" s="8" t="str">
        <f ca="1">IFERROR(__xludf.DUMMYFUNCTION("""COMPUTED_VALUE"""),"No")</f>
        <v>No</v>
      </c>
      <c r="AH979" s="8" t="str">
        <f ca="1">IFERROR(__xludf.DUMMYFUNCTION("""COMPUTED_VALUE"""),"No")</f>
        <v>No</v>
      </c>
      <c r="AI979" s="8" t="str">
        <f ca="1">IFERROR(__xludf.DUMMYFUNCTION("""COMPUTED_VALUE"""),"No")</f>
        <v>No</v>
      </c>
      <c r="AJ979" s="8" t="str">
        <f ca="1">IFERROR(__xludf.DUMMYFUNCTION("""COMPUTED_VALUE"""),"No")</f>
        <v>No</v>
      </c>
      <c r="AK979" s="8" t="str">
        <f ca="1">IFERROR(__xludf.DUMMYFUNCTION("""COMPUTED_VALUE"""),"No")</f>
        <v>No</v>
      </c>
      <c r="AL979" s="8"/>
      <c r="AM979" s="8" t="str">
        <f ca="1">IFERROR(__xludf.DUMMYFUNCTION("""COMPUTED_VALUE"""),"No")</f>
        <v>No</v>
      </c>
      <c r="AN979" s="8" t="str">
        <f ca="1">IFERROR(__xludf.DUMMYFUNCTION("""COMPUTED_VALUE"""),"Outside")</f>
        <v>Outside</v>
      </c>
      <c r="AO979" s="8" t="str">
        <f ca="1">IFERROR(__xludf.DUMMYFUNCTION("""COMPUTED_VALUE"""),"No")</f>
        <v>No</v>
      </c>
      <c r="AP979" s="8"/>
      <c r="AQ979" s="8"/>
      <c r="AR979" s="8" t="str">
        <f ca="1">IFERROR(__xludf.DUMMYFUNCTION("""COMPUTED_VALUE"""),"Outside/Off-Property")</f>
        <v>Outside/Off-Property</v>
      </c>
      <c r="AS979" s="8">
        <f ca="1">IFERROR(__xludf.DUMMYFUNCTION("""COMPUTED_VALUE"""),99)</f>
        <v>99</v>
      </c>
      <c r="AT979" s="8"/>
      <c r="AU979" s="8">
        <f ca="1">IFERROR(__xludf.DUMMYFUNCTION("""COMPUTED_VALUE"""),39.993106)</f>
        <v>39.993105999999997</v>
      </c>
      <c r="AV979" s="8">
        <f ca="1">IFERROR(__xludf.DUMMYFUNCTION("""COMPUTED_VALUE"""),-75.116306)</f>
        <v>-75.116305999999994</v>
      </c>
      <c r="AW979" s="8"/>
      <c r="AX979" s="8">
        <f ca="1">IFERROR(__xludf.DUMMYFUNCTION("""COMPUTED_VALUE"""),19134)</f>
        <v>19134</v>
      </c>
    </row>
    <row r="980" spans="1:50" ht="75" x14ac:dyDescent="0.2">
      <c r="A980" s="8" t="str">
        <f ca="1">IFERROR(__xludf.DUMMYFUNCTION("""COMPUTED_VALUE"""),"20220831NMDEA")</f>
        <v>20220831NMDEA</v>
      </c>
      <c r="B980" s="8">
        <f ca="1">IFERROR(__xludf.DUMMYFUNCTION("""COMPUTED_VALUE"""),8)</f>
        <v>8</v>
      </c>
      <c r="C980" s="8">
        <f ca="1">IFERROR(__xludf.DUMMYFUNCTION("""COMPUTED_VALUE"""),31)</f>
        <v>31</v>
      </c>
      <c r="D980" s="8">
        <f ca="1">IFERROR(__xludf.DUMMYFUNCTION("""COMPUTED_VALUE"""),2022)</f>
        <v>2022</v>
      </c>
      <c r="E980" s="9">
        <f ca="1">IFERROR(__xludf.DUMMYFUNCTION("""COMPUTED_VALUE"""),44804)</f>
        <v>44804</v>
      </c>
      <c r="F980" s="8" t="str">
        <f ca="1">IFERROR(__xludf.DUMMYFUNCTION("""COMPUTED_VALUE"""),"Del Norte High School")</f>
        <v>Del Norte High School</v>
      </c>
      <c r="G980" s="8">
        <f ca="1">IFERROR(__xludf.DUMMYFUNCTION("""COMPUTED_VALUE"""),0)</f>
        <v>0</v>
      </c>
      <c r="H980" s="8">
        <f ca="1">IFERROR(__xludf.DUMMYFUNCTION("""COMPUTED_VALUE"""),0)</f>
        <v>0</v>
      </c>
      <c r="I980" s="8">
        <f ca="1">IFERROR(__xludf.DUMMYFUNCTION("""COMPUTED_VALUE"""),0)</f>
        <v>0</v>
      </c>
      <c r="J980" s="8">
        <f ca="1">IFERROR(__xludf.DUMMYFUNCTION("""COMPUTED_VALUE"""),0)</f>
        <v>0</v>
      </c>
      <c r="K980" s="8" t="str">
        <f ca="1">IFERROR(__xludf.DUMMYFUNCTION("""COMPUTED_VALUE"""),"https://www.koat.com/article/shooting-near-del-norte-high-school-albuquerque/41056052
https://www.abqjournal.com/2528700/two-aps-schools-under-shelter-in-place-after-shots-fired-in-the-area.html
https://www.krqe.com/news/latest-news/albuquerques-del-norte"&amp;"-high-school-under-shelter-in-place/")</f>
        <v>https://www.koat.com/article/shooting-near-del-norte-high-school-albuquerque/41056052
https://www.abqjournal.com/2528700/two-aps-schools-under-shelter-in-place-after-shots-fired-in-the-area.html
https://www.krqe.com/news/latest-news/albuquerques-del-norte-high-school-under-shelter-in-place/</v>
      </c>
      <c r="L980" s="8">
        <f ca="1">IFERROR(__xludf.DUMMYFUNCTION("""COMPUTED_VALUE"""),5)</f>
        <v>5</v>
      </c>
      <c r="M980" s="8" t="str">
        <f ca="1">IFERROR(__xludf.DUMMYFUNCTION("""COMPUTED_VALUE"""),"Local")</f>
        <v>Local</v>
      </c>
      <c r="N980" s="8">
        <f ca="1">IFERROR(__xludf.DUMMYFUNCTION("""COMPUTED_VALUE"""),4)</f>
        <v>4</v>
      </c>
      <c r="O980" s="8" t="str">
        <f ca="1">IFERROR(__xludf.DUMMYFUNCTION("""COMPUTED_VALUE"""),"Summer")</f>
        <v>Summer</v>
      </c>
      <c r="P980" s="8" t="str">
        <f ca="1">IFERROR(__xludf.DUMMYFUNCTION("""COMPUTED_VALUE"""),"Albuquerque")</f>
        <v>Albuquerque</v>
      </c>
      <c r="Q980" s="8" t="str">
        <f ca="1">IFERROR(__xludf.DUMMYFUNCTION("""COMPUTED_VALUE"""),"NM")</f>
        <v>NM</v>
      </c>
      <c r="R980" s="8" t="str">
        <f ca="1">IFERROR(__xludf.DUMMYFUNCTION("""COMPUTED_VALUE"""),"High")</f>
        <v>High</v>
      </c>
      <c r="S980" s="8" t="str">
        <f ca="1">IFERROR(__xludf.DUMMYFUNCTION("""COMPUTED_VALUE"""),"Parking Lot")</f>
        <v>Parking Lot</v>
      </c>
      <c r="T980" s="8" t="str">
        <f ca="1">IFERROR(__xludf.DUMMYFUNCTION("""COMPUTED_VALUE"""),"Outside on School Property")</f>
        <v>Outside on School Property</v>
      </c>
      <c r="U980" s="8" t="str">
        <f ca="1">IFERROR(__xludf.DUMMYFUNCTION("""COMPUTED_VALUE"""),"Yes")</f>
        <v>Yes</v>
      </c>
      <c r="V980" s="8" t="str">
        <f ca="1">IFERROR(__xludf.DUMMYFUNCTION("""COMPUTED_VALUE"""),"Lunch")</f>
        <v>Lunch</v>
      </c>
      <c r="W980" s="11">
        <f ca="1">IFERROR(__xludf.DUMMYFUNCTION("""COMPUTED_VALUE"""),0.51875)</f>
        <v>0.51875000000000004</v>
      </c>
      <c r="X980" s="8">
        <f ca="1">IFERROR(__xludf.DUMMYFUNCTION("""COMPUTED_VALUE"""),1)</f>
        <v>1</v>
      </c>
      <c r="Y980" s="12" t="str">
        <f ca="1">IFERROR(__xludf.DUMMYFUNCTION("""COMPUTED_VALUE"""),"Student fired in school parking lot during lunch the fled")</f>
        <v>Student fired in school parking lot during lunch the fled</v>
      </c>
      <c r="Z980" s="12" t="str">
        <f ca="1">IFERROR(__xludf.DUMMYFUNCTION("""COMPUTED_VALUE"""),"17-year-old student fired 5 shots in the school parking lot during lunch. No injuries. School went into lockdown and police conducted a room-by-room search of the building. Shooter fled and was arrested the following day. Identified based on CCTV footage.")</f>
        <v>17-year-old student fired 5 shots in the school parking lot during lunch. No injuries. School went into lockdown and police conducted a room-by-room search of the building. Shooter fled and was arrested the following day. Identified based on CCTV footage.</v>
      </c>
      <c r="AA980" s="8"/>
      <c r="AB980" s="8"/>
      <c r="AC980" s="8" t="str">
        <f ca="1">IFERROR(__xludf.DUMMYFUNCTION("""COMPUTED_VALUE"""),"Yes")</f>
        <v>Yes</v>
      </c>
      <c r="AD980" s="8"/>
      <c r="AE980" s="8"/>
      <c r="AF980" s="8"/>
      <c r="AG980" s="8" t="str">
        <f ca="1">IFERROR(__xludf.DUMMYFUNCTION("""COMPUTED_VALUE"""),"No")</f>
        <v>No</v>
      </c>
      <c r="AH980" s="8" t="str">
        <f ca="1">IFERROR(__xludf.DUMMYFUNCTION("""COMPUTED_VALUE"""),"No")</f>
        <v>No</v>
      </c>
      <c r="AI980" s="8" t="str">
        <f ca="1">IFERROR(__xludf.DUMMYFUNCTION("""COMPUTED_VALUE"""),"No")</f>
        <v>No</v>
      </c>
      <c r="AJ980" s="8"/>
      <c r="AK980" s="8" t="str">
        <f ca="1">IFERROR(__xludf.DUMMYFUNCTION("""COMPUTED_VALUE"""),"No")</f>
        <v>No</v>
      </c>
      <c r="AL980" s="8"/>
      <c r="AM980" s="8" t="str">
        <f ca="1">IFERROR(__xludf.DUMMYFUNCTION("""COMPUTED_VALUE"""),"No")</f>
        <v>No</v>
      </c>
      <c r="AN980" s="8" t="str">
        <f ca="1">IFERROR(__xludf.DUMMYFUNCTION("""COMPUTED_VALUE"""),"Outside")</f>
        <v>Outside</v>
      </c>
      <c r="AO980" s="8" t="str">
        <f ca="1">IFERROR(__xludf.DUMMYFUNCTION("""COMPUTED_VALUE"""),"No")</f>
        <v>No</v>
      </c>
      <c r="AP980" s="8"/>
      <c r="AQ980" s="8"/>
      <c r="AR980" s="8" t="str">
        <f ca="1">IFERROR(__xludf.DUMMYFUNCTION("""COMPUTED_VALUE"""),"Outside/Off-Property")</f>
        <v>Outside/Off-Property</v>
      </c>
      <c r="AS980" s="8">
        <f ca="1">IFERROR(__xludf.DUMMYFUNCTION("""COMPUTED_VALUE"""),5)</f>
        <v>5</v>
      </c>
      <c r="AT980" s="8" t="str">
        <f ca="1">IFERROR(__xludf.DUMMYFUNCTION("""COMPUTED_VALUE"""),"Yes")</f>
        <v>Yes</v>
      </c>
      <c r="AU980" s="8">
        <f ca="1">IFERROR(__xludf.DUMMYFUNCTION("""COMPUTED_VALUE"""),35.131958)</f>
        <v>35.131957999999997</v>
      </c>
      <c r="AV980" s="8">
        <f ca="1">IFERROR(__xludf.DUMMYFUNCTION("""COMPUTED_VALUE"""),-106.582833)</f>
        <v>-106.58283299999999</v>
      </c>
      <c r="AW980" s="8"/>
      <c r="AX980" s="8">
        <f ca="1">IFERROR(__xludf.DUMMYFUNCTION("""COMPUTED_VALUE"""),87109)</f>
        <v>87109</v>
      </c>
    </row>
    <row r="981" spans="1:50" ht="75" x14ac:dyDescent="0.2">
      <c r="A981" s="8" t="str">
        <f ca="1">IFERROR(__xludf.DUMMYFUNCTION("""COMPUTED_VALUE"""),"20220831DCIDW")</f>
        <v>20220831DCIDW</v>
      </c>
      <c r="B981" s="8">
        <f ca="1">IFERROR(__xludf.DUMMYFUNCTION("""COMPUTED_VALUE"""),8)</f>
        <v>8</v>
      </c>
      <c r="C981" s="8">
        <f ca="1">IFERROR(__xludf.DUMMYFUNCTION("""COMPUTED_VALUE"""),31)</f>
        <v>31</v>
      </c>
      <c r="D981" s="8">
        <f ca="1">IFERROR(__xludf.DUMMYFUNCTION("""COMPUTED_VALUE"""),2022)</f>
        <v>2022</v>
      </c>
      <c r="E981" s="9">
        <f ca="1">IFERROR(__xludf.DUMMYFUNCTION("""COMPUTED_VALUE"""),44804)</f>
        <v>44804</v>
      </c>
      <c r="F981" s="8" t="str">
        <f ca="1">IFERROR(__xludf.DUMMYFUNCTION("""COMPUTED_VALUE"""),"IDEA Public Charter School")</f>
        <v>IDEA Public Charter School</v>
      </c>
      <c r="G981" s="8">
        <f ca="1">IFERROR(__xludf.DUMMYFUNCTION("""COMPUTED_VALUE"""),0)</f>
        <v>0</v>
      </c>
      <c r="H981" s="8">
        <f ca="1">IFERROR(__xludf.DUMMYFUNCTION("""COMPUTED_VALUE"""),2)</f>
        <v>2</v>
      </c>
      <c r="I981" s="8">
        <f ca="1">IFERROR(__xludf.DUMMYFUNCTION("""COMPUTED_VALUE"""),2)</f>
        <v>2</v>
      </c>
      <c r="J981" s="8">
        <f ca="1">IFERROR(__xludf.DUMMYFUNCTION("""COMPUTED_VALUE"""),0)</f>
        <v>0</v>
      </c>
      <c r="K981" s="10" t="str">
        <f ca="1">IFERROR(__xludf.DUMMYFUNCTION("""COMPUTED_VALUE"""),"https://wtop.com/dc/2022/08/3-teens-shot-in-2-dc-locations/
e
https://www.wusa9.com/article/news/local/dc/northeast-dc-double-shooting-near-idea-charter-school/65-5f5a72d3-526e-4e68-9e6d-e7cd9194384f")</f>
        <v>https://wtop.com/dc/2022/08/3-teens-shot-in-2-dc-locations/
e
https://www.wusa9.com/article/news/local/dc/northeast-dc-double-shooting-near-idea-charter-school/65-5f5a72d3-526e-4e68-9e6d-e7cd9194384f</v>
      </c>
      <c r="L981" s="8">
        <f ca="1">IFERROR(__xludf.DUMMYFUNCTION("""COMPUTED_VALUE"""),10)</f>
        <v>10</v>
      </c>
      <c r="M981" s="8" t="str">
        <f ca="1">IFERROR(__xludf.DUMMYFUNCTION("""COMPUTED_VALUE"""),"Regional")</f>
        <v>Regional</v>
      </c>
      <c r="N981" s="8">
        <f ca="1">IFERROR(__xludf.DUMMYFUNCTION("""COMPUTED_VALUE"""),4)</f>
        <v>4</v>
      </c>
      <c r="O981" s="8" t="str">
        <f ca="1">IFERROR(__xludf.DUMMYFUNCTION("""COMPUTED_VALUE"""),"Summer")</f>
        <v>Summer</v>
      </c>
      <c r="P981" s="8" t="str">
        <f ca="1">IFERROR(__xludf.DUMMYFUNCTION("""COMPUTED_VALUE"""),"Washington")</f>
        <v>Washington</v>
      </c>
      <c r="Q981" s="8" t="str">
        <f ca="1">IFERROR(__xludf.DUMMYFUNCTION("""COMPUTED_VALUE"""),"DC")</f>
        <v>DC</v>
      </c>
      <c r="R981" s="8" t="str">
        <f ca="1">IFERROR(__xludf.DUMMYFUNCTION("""COMPUTED_VALUE"""),"High")</f>
        <v>High</v>
      </c>
      <c r="S981" s="8" t="str">
        <f ca="1">IFERROR(__xludf.DUMMYFUNCTION("""COMPUTED_VALUE"""),"Front of School")</f>
        <v>Front of School</v>
      </c>
      <c r="T981" s="8" t="str">
        <f ca="1">IFERROR(__xludf.DUMMYFUNCTION("""COMPUTED_VALUE"""),"Outside on School Property")</f>
        <v>Outside on School Property</v>
      </c>
      <c r="U981" s="8" t="str">
        <f ca="1">IFERROR(__xludf.DUMMYFUNCTION("""COMPUTED_VALUE"""),"Yes")</f>
        <v>Yes</v>
      </c>
      <c r="V981" s="8" t="str">
        <f ca="1">IFERROR(__xludf.DUMMYFUNCTION("""COMPUTED_VALUE"""),"Morning Classes")</f>
        <v>Morning Classes</v>
      </c>
      <c r="W981" s="11">
        <f ca="1">IFERROR(__xludf.DUMMYFUNCTION("""COMPUTED_VALUE"""),0.416666666666666)</f>
        <v>0.41666666666666602</v>
      </c>
      <c r="X981" s="8">
        <f ca="1">IFERROR(__xludf.DUMMYFUNCTION("""COMPUTED_VALUE"""),1)</f>
        <v>1</v>
      </c>
      <c r="Y981" s="12" t="str">
        <f ca="1">IFERROR(__xludf.DUMMYFUNCTION("""COMPUTED_VALUE"""),"Student shot two classmates in front of school")</f>
        <v>Student shot two classmates in front of school</v>
      </c>
      <c r="Z981" s="12" t="str">
        <f ca="1">IFERROR(__xludf.DUMMYFUNCTION("""COMPUTED_VALUE"""),"A 15-year-old student shot two classmates during a dispute in front of the school. One of the teens had been refused entry for not having a proper uniform. The other two students were refused entry for trying to bypass the metal detectors. Shooter was fle"&amp;"d and arrested. ")</f>
        <v xml:space="preserve">A 15-year-old student shot two classmates during a dispute in front of the school. One of the teens had been refused entry for not having a proper uniform. The other two students were refused entry for trying to bypass the metal detectors. Shooter was fled and arrested. </v>
      </c>
      <c r="AA981" s="8" t="str">
        <f ca="1">IFERROR(__xludf.DUMMYFUNCTION("""COMPUTED_VALUE"""),"Escalation of Dispute")</f>
        <v>Escalation of Dispute</v>
      </c>
      <c r="AB981" s="8"/>
      <c r="AC981" s="8" t="str">
        <f ca="1">IFERROR(__xludf.DUMMYFUNCTION("""COMPUTED_VALUE"""),"Yes")</f>
        <v>Yes</v>
      </c>
      <c r="AD981" s="8" t="str">
        <f ca="1">IFERROR(__xludf.DUMMYFUNCTION("""COMPUTED_VALUE"""),"Victims Targeted")</f>
        <v>Victims Targeted</v>
      </c>
      <c r="AE981" s="8" t="str">
        <f ca="1">IFERROR(__xludf.DUMMYFUNCTION("""COMPUTED_VALUE"""),"Yes")</f>
        <v>Yes</v>
      </c>
      <c r="AF981" s="8" t="str">
        <f ca="1">IFERROR(__xludf.DUMMYFUNCTION("""COMPUTED_VALUE"""),"Two students attempted to bypass security")</f>
        <v>Two students attempted to bypass security</v>
      </c>
      <c r="AG981" s="8" t="str">
        <f ca="1">IFERROR(__xludf.DUMMYFUNCTION("""COMPUTED_VALUE"""),"No")</f>
        <v>No</v>
      </c>
      <c r="AH981" s="8" t="str">
        <f ca="1">IFERROR(__xludf.DUMMYFUNCTION("""COMPUTED_VALUE"""),"No")</f>
        <v>No</v>
      </c>
      <c r="AI981" s="8" t="str">
        <f ca="1">IFERROR(__xludf.DUMMYFUNCTION("""COMPUTED_VALUE"""),"No")</f>
        <v>No</v>
      </c>
      <c r="AJ981" s="8" t="str">
        <f ca="1">IFERROR(__xludf.DUMMYFUNCTION("""COMPUTED_VALUE"""),"No")</f>
        <v>No</v>
      </c>
      <c r="AK981" s="8" t="str">
        <f ca="1">IFERROR(__xludf.DUMMYFUNCTION("""COMPUTED_VALUE"""),"No")</f>
        <v>No</v>
      </c>
      <c r="AL981" s="8"/>
      <c r="AM981" s="8" t="str">
        <f ca="1">IFERROR(__xludf.DUMMYFUNCTION("""COMPUTED_VALUE"""),"No")</f>
        <v>No</v>
      </c>
      <c r="AN981" s="8" t="str">
        <f ca="1">IFERROR(__xludf.DUMMYFUNCTION("""COMPUTED_VALUE"""),"Outside")</f>
        <v>Outside</v>
      </c>
      <c r="AO981" s="8" t="str">
        <f ca="1">IFERROR(__xludf.DUMMYFUNCTION("""COMPUTED_VALUE"""),"No")</f>
        <v>No</v>
      </c>
      <c r="AP981" s="8" t="str">
        <f ca="1">IFERROR(__xludf.DUMMYFUNCTION("""COMPUTED_VALUE"""),"No")</f>
        <v>No</v>
      </c>
      <c r="AQ981" s="8" t="str">
        <f ca="1">IFERROR(__xludf.DUMMYFUNCTION("""COMPUTED_VALUE"""),"Metal Detectors")</f>
        <v>Metal Detectors</v>
      </c>
      <c r="AR981" s="8" t="str">
        <f ca="1">IFERROR(__xludf.DUMMYFUNCTION("""COMPUTED_VALUE"""),"Outside/Off-Property")</f>
        <v>Outside/Off-Property</v>
      </c>
      <c r="AS981" s="8">
        <f ca="1">IFERROR(__xludf.DUMMYFUNCTION("""COMPUTED_VALUE"""),99)</f>
        <v>99</v>
      </c>
      <c r="AT981" s="8" t="str">
        <f ca="1">IFERROR(__xludf.DUMMYFUNCTION("""COMPUTED_VALUE"""),"Yes")</f>
        <v>Yes</v>
      </c>
      <c r="AU981" s="8">
        <f ca="1">IFERROR(__xludf.DUMMYFUNCTION("""COMPUTED_VALUE"""),38.904214)</f>
        <v>38.904214000000003</v>
      </c>
      <c r="AV981" s="8">
        <f ca="1">IFERROR(__xludf.DUMMYFUNCTION("""COMPUTED_VALUE"""),-76.937429)</f>
        <v>-76.937428999999995</v>
      </c>
      <c r="AW981" s="8"/>
      <c r="AX981" s="8">
        <f ca="1">IFERROR(__xludf.DUMMYFUNCTION("""COMPUTED_VALUE"""),20019)</f>
        <v>20019</v>
      </c>
    </row>
    <row r="982" spans="1:50" ht="75" x14ac:dyDescent="0.2">
      <c r="A982" s="8" t="str">
        <f ca="1">IFERROR(__xludf.DUMMYFUNCTION("""COMPUTED_VALUE"""),"20220829CAMAO")</f>
        <v>20220829CAMAO</v>
      </c>
      <c r="B982" s="8">
        <f ca="1">IFERROR(__xludf.DUMMYFUNCTION("""COMPUTED_VALUE"""),8)</f>
        <v>8</v>
      </c>
      <c r="C982" s="8">
        <f ca="1">IFERROR(__xludf.DUMMYFUNCTION("""COMPUTED_VALUE"""),29)</f>
        <v>29</v>
      </c>
      <c r="D982" s="8">
        <f ca="1">IFERROR(__xludf.DUMMYFUNCTION("""COMPUTED_VALUE"""),2022)</f>
        <v>2022</v>
      </c>
      <c r="E982" s="9">
        <f ca="1">IFERROR(__xludf.DUMMYFUNCTION("""COMPUTED_VALUE"""),44802)</f>
        <v>44802</v>
      </c>
      <c r="F982" s="8" t="str">
        <f ca="1">IFERROR(__xludf.DUMMYFUNCTION("""COMPUTED_VALUE"""),"Madison Park Academy")</f>
        <v>Madison Park Academy</v>
      </c>
      <c r="G982" s="8">
        <f ca="1">IFERROR(__xludf.DUMMYFUNCTION("""COMPUTED_VALUE"""),0)</f>
        <v>0</v>
      </c>
      <c r="H982" s="8">
        <f ca="1">IFERROR(__xludf.DUMMYFUNCTION("""COMPUTED_VALUE"""),1)</f>
        <v>1</v>
      </c>
      <c r="I982" s="8">
        <f ca="1">IFERROR(__xludf.DUMMYFUNCTION("""COMPUTED_VALUE"""),1)</f>
        <v>1</v>
      </c>
      <c r="J982" s="8">
        <f ca="1">IFERROR(__xludf.DUMMYFUNCTION("""COMPUTED_VALUE"""),0)</f>
        <v>0</v>
      </c>
      <c r="K982" s="8" t="str">
        <f ca="1">IFERROR(__xludf.DUMMYFUNCTION("""COMPUTED_VALUE"""),"https://www.usnews.com/news/us/articles/2022-08-30/oakland-school-shooting-that-wounded-teen-wasnt-deliberate
https://kion546.com/news/2022/08/29/student-shot-at-east-oakland-school-12-year-old-suspect-in-custody/
https://www.kron4.com/news/bay-area/13-ye"&amp;"ar-old-shot-at-oakland-school/
https://www.ktvu.com/news/13-year-old-shot-at-oaklands-madison-park-academy-suspect-in-custody")</f>
        <v>https://www.usnews.com/news/us/articles/2022-08-30/oakland-school-shooting-that-wounded-teen-wasnt-deliberate
https://kion546.com/news/2022/08/29/student-shot-at-east-oakland-school-12-year-old-suspect-in-custody/
https://www.kron4.com/news/bay-area/13-year-old-shot-at-oakland-school/
https://www.ktvu.com/news/13-year-old-shot-at-oaklands-madison-park-academy-suspect-in-custody</v>
      </c>
      <c r="L982" s="8">
        <f ca="1">IFERROR(__xludf.DUMMYFUNCTION("""COMPUTED_VALUE"""),20)</f>
        <v>20</v>
      </c>
      <c r="M982" s="8" t="str">
        <f ca="1">IFERROR(__xludf.DUMMYFUNCTION("""COMPUTED_VALUE"""),"National")</f>
        <v>National</v>
      </c>
      <c r="N982" s="8">
        <f ca="1">IFERROR(__xludf.DUMMYFUNCTION("""COMPUTED_VALUE"""),4)</f>
        <v>4</v>
      </c>
      <c r="O982" s="8" t="str">
        <f ca="1">IFERROR(__xludf.DUMMYFUNCTION("""COMPUTED_VALUE"""),"Summer")</f>
        <v>Summer</v>
      </c>
      <c r="P982" s="8" t="str">
        <f ca="1">IFERROR(__xludf.DUMMYFUNCTION("""COMPUTED_VALUE"""),"Oakland")</f>
        <v>Oakland</v>
      </c>
      <c r="Q982" s="8" t="str">
        <f ca="1">IFERROR(__xludf.DUMMYFUNCTION("""COMPUTED_VALUE"""),"CA")</f>
        <v>CA</v>
      </c>
      <c r="R982" s="8" t="str">
        <f ca="1">IFERROR(__xludf.DUMMYFUNCTION("""COMPUTED_VALUE"""),"6-12")</f>
        <v>6-12</v>
      </c>
      <c r="S982" s="8" t="str">
        <f ca="1">IFERROR(__xludf.DUMMYFUNCTION("""COMPUTED_VALUE"""),"Basketball Court")</f>
        <v>Basketball Court</v>
      </c>
      <c r="T982" s="8" t="str">
        <f ca="1">IFERROR(__xludf.DUMMYFUNCTION("""COMPUTED_VALUE"""),"Outside on School Property")</f>
        <v>Outside on School Property</v>
      </c>
      <c r="U982" s="8" t="str">
        <f ca="1">IFERROR(__xludf.DUMMYFUNCTION("""COMPUTED_VALUE"""),"Yes")</f>
        <v>Yes</v>
      </c>
      <c r="V982" s="8" t="str">
        <f ca="1">IFERROR(__xludf.DUMMYFUNCTION("""COMPUTED_VALUE"""),"Afternoon Classes")</f>
        <v>Afternoon Classes</v>
      </c>
      <c r="W982" s="11">
        <f ca="1">IFERROR(__xludf.DUMMYFUNCTION("""COMPUTED_VALUE"""),0.5625)</f>
        <v>0.5625</v>
      </c>
      <c r="X982" s="8">
        <f ca="1">IFERROR(__xludf.DUMMYFUNCTION("""COMPUTED_VALUE"""),1)</f>
        <v>1</v>
      </c>
      <c r="Y982" s="12" t="str">
        <f ca="1">IFERROR(__xludf.DUMMYFUNCTION("""COMPUTED_VALUE"""),"Student shot by another student next to volleyball court")</f>
        <v>Student shot by another student next to volleyball court</v>
      </c>
      <c r="Z982" s="12" t="str">
        <f ca="1">IFERROR(__xludf.DUMMYFUNCTION("""COMPUTED_VALUE"""),"A 13-year-old student was shot by a 12-year-old student near the volleyball court. Other students were in the area and witnessed the shooting. School went into lockdown and parents rushed to the school. Shooter was taken into custody.")</f>
        <v>A 13-year-old student was shot by a 12-year-old student near the volleyball court. Other students were in the area and witnessed the shooting. School went into lockdown and parents rushed to the school. Shooter was taken into custody.</v>
      </c>
      <c r="AA982" s="8" t="str">
        <f ca="1">IFERROR(__xludf.DUMMYFUNCTION("""COMPUTED_VALUE"""),"Accidental")</f>
        <v>Accidental</v>
      </c>
      <c r="AB982" s="8"/>
      <c r="AC982" s="8" t="str">
        <f ca="1">IFERROR(__xludf.DUMMYFUNCTION("""COMPUTED_VALUE"""),"Yes")</f>
        <v>Yes</v>
      </c>
      <c r="AD982" s="8" t="str">
        <f ca="1">IFERROR(__xludf.DUMMYFUNCTION("""COMPUTED_VALUE"""),"Random Shooting")</f>
        <v>Random Shooting</v>
      </c>
      <c r="AE982" s="8" t="str">
        <f ca="1">IFERROR(__xludf.DUMMYFUNCTION("""COMPUTED_VALUE"""),"No")</f>
        <v>No</v>
      </c>
      <c r="AF982" s="8"/>
      <c r="AG982" s="8" t="str">
        <f ca="1">IFERROR(__xludf.DUMMYFUNCTION("""COMPUTED_VALUE"""),"No")</f>
        <v>No</v>
      </c>
      <c r="AH982" s="8" t="str">
        <f ca="1">IFERROR(__xludf.DUMMYFUNCTION("""COMPUTED_VALUE"""),"No")</f>
        <v>No</v>
      </c>
      <c r="AI982" s="8" t="str">
        <f ca="1">IFERROR(__xludf.DUMMYFUNCTION("""COMPUTED_VALUE"""),"No")</f>
        <v>No</v>
      </c>
      <c r="AJ982" s="8"/>
      <c r="AK982" s="8" t="str">
        <f ca="1">IFERROR(__xludf.DUMMYFUNCTION("""COMPUTED_VALUE"""),"No")</f>
        <v>No</v>
      </c>
      <c r="AL982" s="8"/>
      <c r="AM982" s="8" t="str">
        <f ca="1">IFERROR(__xludf.DUMMYFUNCTION("""COMPUTED_VALUE"""),"No")</f>
        <v>No</v>
      </c>
      <c r="AN982" s="8" t="str">
        <f ca="1">IFERROR(__xludf.DUMMYFUNCTION("""COMPUTED_VALUE"""),"Outside")</f>
        <v>Outside</v>
      </c>
      <c r="AO982" s="8" t="str">
        <f ca="1">IFERROR(__xludf.DUMMYFUNCTION("""COMPUTED_VALUE"""),"No")</f>
        <v>No</v>
      </c>
      <c r="AP982" s="8" t="str">
        <f ca="1">IFERROR(__xludf.DUMMYFUNCTION("""COMPUTED_VALUE"""),"No")</f>
        <v>No</v>
      </c>
      <c r="AQ982" s="8" t="str">
        <f ca="1">IFERROR(__xludf.DUMMYFUNCTION("""COMPUTED_VALUE"""),"None")</f>
        <v>None</v>
      </c>
      <c r="AR982" s="8" t="str">
        <f ca="1">IFERROR(__xludf.DUMMYFUNCTION("""COMPUTED_VALUE"""),"Outside/Off-Property")</f>
        <v>Outside/Off-Property</v>
      </c>
      <c r="AS982" s="8">
        <f ca="1">IFERROR(__xludf.DUMMYFUNCTION("""COMPUTED_VALUE"""),1)</f>
        <v>1</v>
      </c>
      <c r="AT982" s="8" t="str">
        <f ca="1">IFERROR(__xludf.DUMMYFUNCTION("""COMPUTED_VALUE"""),"Yes")</f>
        <v>Yes</v>
      </c>
      <c r="AU982" s="8">
        <f ca="1">IFERROR(__xludf.DUMMYFUNCTION("""COMPUTED_VALUE"""),37.727729)</f>
        <v>37.727728999999997</v>
      </c>
      <c r="AV982" s="8">
        <f ca="1">IFERROR(__xludf.DUMMYFUNCTION("""COMPUTED_VALUE"""),-122.176392)</f>
        <v>-122.17639200000001</v>
      </c>
      <c r="AW982" s="8"/>
      <c r="AX982" s="8">
        <f ca="1">IFERROR(__xludf.DUMMYFUNCTION("""COMPUTED_VALUE"""),94603)</f>
        <v>94603</v>
      </c>
    </row>
    <row r="983" spans="1:50" ht="75" x14ac:dyDescent="0.2">
      <c r="A983" s="8" t="str">
        <f ca="1">IFERROR(__xludf.DUMMYFUNCTION("""COMPUTED_VALUE"""),"20220827MONOS")</f>
        <v>20220827MONOS</v>
      </c>
      <c r="B983" s="8">
        <f ca="1">IFERROR(__xludf.DUMMYFUNCTION("""COMPUTED_VALUE"""),8)</f>
        <v>8</v>
      </c>
      <c r="C983" s="8">
        <f ca="1">IFERROR(__xludf.DUMMYFUNCTION("""COMPUTED_VALUE"""),27)</f>
        <v>27</v>
      </c>
      <c r="D983" s="8">
        <f ca="1">IFERROR(__xludf.DUMMYFUNCTION("""COMPUTED_VALUE"""),2022)</f>
        <v>2022</v>
      </c>
      <c r="E983" s="9">
        <f ca="1">IFERROR(__xludf.DUMMYFUNCTION("""COMPUTED_VALUE"""),44800)</f>
        <v>44800</v>
      </c>
      <c r="F983" s="8" t="str">
        <f ca="1">IFERROR(__xludf.DUMMYFUNCTION("""COMPUTED_VALUE"""),"Normandy High School")</f>
        <v>Normandy High School</v>
      </c>
      <c r="G983" s="8">
        <f ca="1">IFERROR(__xludf.DUMMYFUNCTION("""COMPUTED_VALUE"""),0)</f>
        <v>0</v>
      </c>
      <c r="H983" s="8">
        <f ca="1">IFERROR(__xludf.DUMMYFUNCTION("""COMPUTED_VALUE"""),0)</f>
        <v>0</v>
      </c>
      <c r="I983" s="8">
        <f ca="1">IFERROR(__xludf.DUMMYFUNCTION("""COMPUTED_VALUE"""),0)</f>
        <v>0</v>
      </c>
      <c r="J983" s="8">
        <f ca="1">IFERROR(__xludf.DUMMYFUNCTION("""COMPUTED_VALUE"""),0)</f>
        <v>0</v>
      </c>
      <c r="K983" s="8" t="str">
        <f ca="1">IFERROR(__xludf.DUMMYFUNCTION("""COMPUTED_VALUE"""),"https://www.ksdk.com/article/news/crime/normandy-high-school-shots-fired-football-game/63-14c59ab3-446e-4b8b-b21b-c95b0bb704f4
https://www.ksdk.com/article/news/crime/42-year-old-man-charged-normandy-high-school-shooting/63-b68e49f1-ed0f-414d-a709-41a1c7a"&amp;"655ae
https://www.ky3.com/2022/08/27/shots-fired-normandy-high-school-during-fight-after-football-game/
https://www.kmov.com/2022/08/27/shots-fired-normandy-high-school-during-fight-after-football-game/")</f>
        <v>https://www.ksdk.com/article/news/crime/normandy-high-school-shots-fired-football-game/63-14c59ab3-446e-4b8b-b21b-c95b0bb704f4
https://www.ksdk.com/article/news/crime/42-year-old-man-charged-normandy-high-school-shooting/63-b68e49f1-ed0f-414d-a709-41a1c7a655ae
https://www.ky3.com/2022/08/27/shots-fired-normandy-high-school-during-fight-after-football-game/
https://www.kmov.com/2022/08/27/shots-fired-normandy-high-school-during-fight-after-football-game/</v>
      </c>
      <c r="L983" s="8">
        <f ca="1">IFERROR(__xludf.DUMMYFUNCTION("""COMPUTED_VALUE"""),5)</f>
        <v>5</v>
      </c>
      <c r="M983" s="8" t="str">
        <f ca="1">IFERROR(__xludf.DUMMYFUNCTION("""COMPUTED_VALUE"""),"Local")</f>
        <v>Local</v>
      </c>
      <c r="N983" s="8">
        <f ca="1">IFERROR(__xludf.DUMMYFUNCTION("""COMPUTED_VALUE"""),4)</f>
        <v>4</v>
      </c>
      <c r="O983" s="8" t="str">
        <f ca="1">IFERROR(__xludf.DUMMYFUNCTION("""COMPUTED_VALUE"""),"Summer")</f>
        <v>Summer</v>
      </c>
      <c r="P983" s="8" t="str">
        <f ca="1">IFERROR(__xludf.DUMMYFUNCTION("""COMPUTED_VALUE"""),"St. Louis")</f>
        <v>St. Louis</v>
      </c>
      <c r="Q983" s="8" t="str">
        <f ca="1">IFERROR(__xludf.DUMMYFUNCTION("""COMPUTED_VALUE"""),"MO")</f>
        <v>MO</v>
      </c>
      <c r="R983" s="8" t="str">
        <f ca="1">IFERROR(__xludf.DUMMYFUNCTION("""COMPUTED_VALUE"""),"High")</f>
        <v>High</v>
      </c>
      <c r="S983" s="8" t="str">
        <f ca="1">IFERROR(__xludf.DUMMYFUNCTION("""COMPUTED_VALUE"""),"Parking Lot")</f>
        <v>Parking Lot</v>
      </c>
      <c r="T983" s="8" t="str">
        <f ca="1">IFERROR(__xludf.DUMMYFUNCTION("""COMPUTED_VALUE"""),"Outside on School Property")</f>
        <v>Outside on School Property</v>
      </c>
      <c r="U983" s="8" t="str">
        <f ca="1">IFERROR(__xludf.DUMMYFUNCTION("""COMPUTED_VALUE"""),"No")</f>
        <v>No</v>
      </c>
      <c r="V983" s="8" t="str">
        <f ca="1">IFERROR(__xludf.DUMMYFUNCTION("""COMPUTED_VALUE"""),"Sport Event")</f>
        <v>Sport Event</v>
      </c>
      <c r="W983" s="11">
        <f ca="1">IFERROR(__xludf.DUMMYFUNCTION("""COMPUTED_VALUE"""),0.5625)</f>
        <v>0.5625</v>
      </c>
      <c r="X983" s="8">
        <f ca="1">IFERROR(__xludf.DUMMYFUNCTION("""COMPUTED_VALUE"""),1)</f>
        <v>1</v>
      </c>
      <c r="Y983" s="12" t="str">
        <f ca="1">IFERROR(__xludf.DUMMYFUNCTION("""COMPUTED_VALUE"""),"Shots fired during a fight in school parking lot after football game")</f>
        <v>Shots fired during a fight in school parking lot after football game</v>
      </c>
      <c r="Z983" s="12" t="str">
        <f ca="1">IFERROR(__xludf.DUMMYFUNCTION("""COMPUTED_VALUE"""),"Shots were fired around 1:30 p.m. Normandy High had just finished its first game of the season against Confluence Preparatory Academy when a fight broke out in the parking lot. During the fight, police say a man fired shots, got into a car and then fled.")</f>
        <v>Shots were fired around 1:30 p.m. Normandy High had just finished its first game of the season against Confluence Preparatory Academy when a fight broke out in the parking lot. During the fight, police say a man fired shots, got into a car and then fled.</v>
      </c>
      <c r="AA983" s="8" t="str">
        <f ca="1">IFERROR(__xludf.DUMMYFUNCTION("""COMPUTED_VALUE"""),"Escalation of Dispute")</f>
        <v>Escalation of Dispute</v>
      </c>
      <c r="AB983" s="8"/>
      <c r="AC983" s="8" t="str">
        <f ca="1">IFERROR(__xludf.DUMMYFUNCTION("""COMPUTED_VALUE"""),"Yes")</f>
        <v>Yes</v>
      </c>
      <c r="AD983" s="8" t="str">
        <f ca="1">IFERROR(__xludf.DUMMYFUNCTION("""COMPUTED_VALUE"""),"Victims Targeted")</f>
        <v>Victims Targeted</v>
      </c>
      <c r="AE983" s="8" t="str">
        <f ca="1">IFERROR(__xludf.DUMMYFUNCTION("""COMPUTED_VALUE"""),"No")</f>
        <v>No</v>
      </c>
      <c r="AF983" s="8"/>
      <c r="AG983" s="8" t="str">
        <f ca="1">IFERROR(__xludf.DUMMYFUNCTION("""COMPUTED_VALUE"""),"No")</f>
        <v>No</v>
      </c>
      <c r="AH983" s="8" t="str">
        <f ca="1">IFERROR(__xludf.DUMMYFUNCTION("""COMPUTED_VALUE"""),"No")</f>
        <v>No</v>
      </c>
      <c r="AI983" s="8" t="str">
        <f ca="1">IFERROR(__xludf.DUMMYFUNCTION("""COMPUTED_VALUE"""),"No")</f>
        <v>No</v>
      </c>
      <c r="AJ983" s="8" t="str">
        <f ca="1">IFERROR(__xludf.DUMMYFUNCTION("""COMPUTED_VALUE"""),"No")</f>
        <v>No</v>
      </c>
      <c r="AK983" s="8" t="str">
        <f ca="1">IFERROR(__xludf.DUMMYFUNCTION("""COMPUTED_VALUE"""),"No")</f>
        <v>No</v>
      </c>
      <c r="AL983" s="8"/>
      <c r="AM983" s="8" t="str">
        <f ca="1">IFERROR(__xludf.DUMMYFUNCTION("""COMPUTED_VALUE"""),"No")</f>
        <v>No</v>
      </c>
      <c r="AN983" s="8" t="str">
        <f ca="1">IFERROR(__xludf.DUMMYFUNCTION("""COMPUTED_VALUE"""),"Outside")</f>
        <v>Outside</v>
      </c>
      <c r="AO983" s="8" t="str">
        <f ca="1">IFERROR(__xludf.DUMMYFUNCTION("""COMPUTED_VALUE"""),"No")</f>
        <v>No</v>
      </c>
      <c r="AP983" s="8"/>
      <c r="AQ983" s="8"/>
      <c r="AR983" s="8" t="str">
        <f ca="1">IFERROR(__xludf.DUMMYFUNCTION("""COMPUTED_VALUE"""),"Outside/Off-Property")</f>
        <v>Outside/Off-Property</v>
      </c>
      <c r="AS983" s="8">
        <f ca="1">IFERROR(__xludf.DUMMYFUNCTION("""COMPUTED_VALUE"""),99)</f>
        <v>99</v>
      </c>
      <c r="AT983" s="8"/>
      <c r="AU983" s="8">
        <f ca="1">IFERROR(__xludf.DUMMYFUNCTION("""COMPUTED_VALUE"""),38.68195)</f>
        <v>38.681950000000001</v>
      </c>
      <c r="AV983" s="8">
        <f ca="1">IFERROR(__xludf.DUMMYFUNCTION("""COMPUTED_VALUE"""),-90.295613)</f>
        <v>-90.295613000000003</v>
      </c>
      <c r="AW983" s="8"/>
      <c r="AX983" s="8">
        <f ca="1">IFERROR(__xludf.DUMMYFUNCTION("""COMPUTED_VALUE"""),63133)</f>
        <v>63133</v>
      </c>
    </row>
    <row r="984" spans="1:50" ht="45" x14ac:dyDescent="0.2">
      <c r="A984" s="8" t="str">
        <f ca="1">IFERROR(__xludf.DUMMYFUNCTION("""COMPUTED_VALUE"""),"20220826OHGAC")</f>
        <v>20220826OHGAC</v>
      </c>
      <c r="B984" s="8">
        <f ca="1">IFERROR(__xludf.DUMMYFUNCTION("""COMPUTED_VALUE"""),8)</f>
        <v>8</v>
      </c>
      <c r="C984" s="8">
        <f ca="1">IFERROR(__xludf.DUMMYFUNCTION("""COMPUTED_VALUE"""),26)</f>
        <v>26</v>
      </c>
      <c r="D984" s="8">
        <f ca="1">IFERROR(__xludf.DUMMYFUNCTION("""COMPUTED_VALUE"""),2022)</f>
        <v>2022</v>
      </c>
      <c r="E984" s="9">
        <f ca="1">IFERROR(__xludf.DUMMYFUNCTION("""COMPUTED_VALUE"""),44799)</f>
        <v>44799</v>
      </c>
      <c r="F984" s="8" t="str">
        <f ca="1">IFERROR(__xludf.DUMMYFUNCTION("""COMPUTED_VALUE"""),"Garfield Heights High School")</f>
        <v>Garfield Heights High School</v>
      </c>
      <c r="G984" s="8">
        <f ca="1">IFERROR(__xludf.DUMMYFUNCTION("""COMPUTED_VALUE"""),0)</f>
        <v>0</v>
      </c>
      <c r="H984" s="8">
        <f ca="1">IFERROR(__xludf.DUMMYFUNCTION("""COMPUTED_VALUE"""),0)</f>
        <v>0</v>
      </c>
      <c r="I984" s="8">
        <f ca="1">IFERROR(__xludf.DUMMYFUNCTION("""COMPUTED_VALUE"""),0)</f>
        <v>0</v>
      </c>
      <c r="J984" s="8">
        <f ca="1">IFERROR(__xludf.DUMMYFUNCTION("""COMPUTED_VALUE"""),0)</f>
        <v>0</v>
      </c>
      <c r="K984" s="8" t="str">
        <f ca="1">IFERROR(__xludf.DUMMYFUNCTION("""COMPUTED_VALUE"""),"https://www.cleveland19.com/2022/08/31/garfield-heights-football-player-describes-mass-chaos-friday-night-football-game-after-shots-fired-parking-lot/
https://www.cleveland19.com/2022/08/27/shots-fired-garfield-heights-football-game/")</f>
        <v>https://www.cleveland19.com/2022/08/31/garfield-heights-football-player-describes-mass-chaos-friday-night-football-game-after-shots-fired-parking-lot/
https://www.cleveland19.com/2022/08/27/shots-fired-garfield-heights-football-game/</v>
      </c>
      <c r="L984" s="8">
        <f ca="1">IFERROR(__xludf.DUMMYFUNCTION("""COMPUTED_VALUE"""),2)</f>
        <v>2</v>
      </c>
      <c r="M984" s="8" t="str">
        <f ca="1">IFERROR(__xludf.DUMMYFUNCTION("""COMPUTED_VALUE"""),"Local")</f>
        <v>Local</v>
      </c>
      <c r="N984" s="8">
        <f ca="1">IFERROR(__xludf.DUMMYFUNCTION("""COMPUTED_VALUE"""),4)</f>
        <v>4</v>
      </c>
      <c r="O984" s="8" t="str">
        <f ca="1">IFERROR(__xludf.DUMMYFUNCTION("""COMPUTED_VALUE"""),"Summer")</f>
        <v>Summer</v>
      </c>
      <c r="P984" s="8" t="str">
        <f ca="1">IFERROR(__xludf.DUMMYFUNCTION("""COMPUTED_VALUE"""),"Cleveland")</f>
        <v>Cleveland</v>
      </c>
      <c r="Q984" s="8" t="str">
        <f ca="1">IFERROR(__xludf.DUMMYFUNCTION("""COMPUTED_VALUE"""),"OH")</f>
        <v>OH</v>
      </c>
      <c r="R984" s="8" t="str">
        <f ca="1">IFERROR(__xludf.DUMMYFUNCTION("""COMPUTED_VALUE"""),"High")</f>
        <v>High</v>
      </c>
      <c r="S984" s="8" t="str">
        <f ca="1">IFERROR(__xludf.DUMMYFUNCTION("""COMPUTED_VALUE"""),"Parking Lot")</f>
        <v>Parking Lot</v>
      </c>
      <c r="T984" s="8" t="str">
        <f ca="1">IFERROR(__xludf.DUMMYFUNCTION("""COMPUTED_VALUE"""),"Outside on School Property")</f>
        <v>Outside on School Property</v>
      </c>
      <c r="U984" s="8" t="str">
        <f ca="1">IFERROR(__xludf.DUMMYFUNCTION("""COMPUTED_VALUE"""),"No")</f>
        <v>No</v>
      </c>
      <c r="V984" s="8" t="str">
        <f ca="1">IFERROR(__xludf.DUMMYFUNCTION("""COMPUTED_VALUE"""),"Sport Event")</f>
        <v>Sport Event</v>
      </c>
      <c r="W984" s="11">
        <f ca="1">IFERROR(__xludf.DUMMYFUNCTION("""COMPUTED_VALUE"""),0.895833333333333)</f>
        <v>0.89583333333333304</v>
      </c>
      <c r="X984" s="8">
        <f ca="1">IFERROR(__xludf.DUMMYFUNCTION("""COMPUTED_VALUE"""),1)</f>
        <v>1</v>
      </c>
      <c r="Y984" s="12" t="str">
        <f ca="1">IFERROR(__xludf.DUMMYFUNCTION("""COMPUTED_VALUE"""),"Shots fired in parking lot during football game")</f>
        <v>Shots fired in parking lot during football game</v>
      </c>
      <c r="Z984" s="12" t="str">
        <f ca="1">IFERROR(__xludf.DUMMYFUNCTION("""COMPUTED_VALUE"""),"Shots were fired during a fight in the parking lot during a high school football game. Shooter fled. No injuries.")</f>
        <v>Shots were fired during a fight in the parking lot during a high school football game. Shooter fled. No injuries.</v>
      </c>
      <c r="AA984" s="8" t="str">
        <f ca="1">IFERROR(__xludf.DUMMYFUNCTION("""COMPUTED_VALUE"""),"Escalation of Dispute")</f>
        <v>Escalation of Dispute</v>
      </c>
      <c r="AB984" s="8"/>
      <c r="AC984" s="8" t="str">
        <f ca="1">IFERROR(__xludf.DUMMYFUNCTION("""COMPUTED_VALUE"""),"Yes")</f>
        <v>Yes</v>
      </c>
      <c r="AD984" s="8" t="str">
        <f ca="1">IFERROR(__xludf.DUMMYFUNCTION("""COMPUTED_VALUE"""),"Victims Targeted")</f>
        <v>Victims Targeted</v>
      </c>
      <c r="AE984" s="8" t="str">
        <f ca="1">IFERROR(__xludf.DUMMYFUNCTION("""COMPUTED_VALUE"""),"No")</f>
        <v>No</v>
      </c>
      <c r="AF984" s="8"/>
      <c r="AG984" s="8" t="str">
        <f ca="1">IFERROR(__xludf.DUMMYFUNCTION("""COMPUTED_VALUE"""),"No")</f>
        <v>No</v>
      </c>
      <c r="AH984" s="8" t="str">
        <f ca="1">IFERROR(__xludf.DUMMYFUNCTION("""COMPUTED_VALUE"""),"No")</f>
        <v>No</v>
      </c>
      <c r="AI984" s="8" t="str">
        <f ca="1">IFERROR(__xludf.DUMMYFUNCTION("""COMPUTED_VALUE"""),"No")</f>
        <v>No</v>
      </c>
      <c r="AJ984" s="8" t="str">
        <f ca="1">IFERROR(__xludf.DUMMYFUNCTION("""COMPUTED_VALUE"""),"No")</f>
        <v>No</v>
      </c>
      <c r="AK984" s="8" t="str">
        <f ca="1">IFERROR(__xludf.DUMMYFUNCTION("""COMPUTED_VALUE"""),"No")</f>
        <v>No</v>
      </c>
      <c r="AL984" s="8"/>
      <c r="AM984" s="8" t="str">
        <f ca="1">IFERROR(__xludf.DUMMYFUNCTION("""COMPUTED_VALUE"""),"No")</f>
        <v>No</v>
      </c>
      <c r="AN984" s="8" t="str">
        <f ca="1">IFERROR(__xludf.DUMMYFUNCTION("""COMPUTED_VALUE"""),"Outside")</f>
        <v>Outside</v>
      </c>
      <c r="AO984" s="8" t="str">
        <f ca="1">IFERROR(__xludf.DUMMYFUNCTION("""COMPUTED_VALUE"""),"No")</f>
        <v>No</v>
      </c>
      <c r="AP984" s="8"/>
      <c r="AQ984" s="8"/>
      <c r="AR984" s="8" t="str">
        <f ca="1">IFERROR(__xludf.DUMMYFUNCTION("""COMPUTED_VALUE"""),"Outside/Off-Property")</f>
        <v>Outside/Off-Property</v>
      </c>
      <c r="AS984" s="8">
        <f ca="1">IFERROR(__xludf.DUMMYFUNCTION("""COMPUTED_VALUE"""),99)</f>
        <v>99</v>
      </c>
      <c r="AT984" s="8"/>
      <c r="AU984" s="8">
        <f ca="1">IFERROR(__xludf.DUMMYFUNCTION("""COMPUTED_VALUE"""),41.427022)</f>
        <v>41.427022000000001</v>
      </c>
      <c r="AV984" s="8">
        <f ca="1">IFERROR(__xludf.DUMMYFUNCTION("""COMPUTED_VALUE"""),-81.615165)</f>
        <v>-81.615165000000005</v>
      </c>
      <c r="AW984" s="8"/>
      <c r="AX984" s="8">
        <f ca="1">IFERROR(__xludf.DUMMYFUNCTION("""COMPUTED_VALUE"""),44125)</f>
        <v>44125</v>
      </c>
    </row>
    <row r="985" spans="1:50" ht="60" x14ac:dyDescent="0.2">
      <c r="A985" s="8" t="str">
        <f ca="1">IFERROR(__xludf.DUMMYFUNCTION("""COMPUTED_VALUE"""),"20220823OHINC")</f>
        <v>20220823OHINC</v>
      </c>
      <c r="B985" s="8">
        <f ca="1">IFERROR(__xludf.DUMMYFUNCTION("""COMPUTED_VALUE"""),8)</f>
        <v>8</v>
      </c>
      <c r="C985" s="8">
        <f ca="1">IFERROR(__xludf.DUMMYFUNCTION("""COMPUTED_VALUE"""),23)</f>
        <v>23</v>
      </c>
      <c r="D985" s="8">
        <f ca="1">IFERROR(__xludf.DUMMYFUNCTION("""COMPUTED_VALUE"""),2022)</f>
        <v>2022</v>
      </c>
      <c r="E985" s="9">
        <f ca="1">IFERROR(__xludf.DUMMYFUNCTION("""COMPUTED_VALUE"""),44796)</f>
        <v>44796</v>
      </c>
      <c r="F985" s="8" t="str">
        <f ca="1">IFERROR(__xludf.DUMMYFUNCTION("""COMPUTED_VALUE"""),"Indian Springs Elementary School")</f>
        <v>Indian Springs Elementary School</v>
      </c>
      <c r="G985" s="8">
        <f ca="1">IFERROR(__xludf.DUMMYFUNCTION("""COMPUTED_VALUE"""),0)</f>
        <v>0</v>
      </c>
      <c r="H985" s="8">
        <f ca="1">IFERROR(__xludf.DUMMYFUNCTION("""COMPUTED_VALUE"""),0)</f>
        <v>0</v>
      </c>
      <c r="I985" s="8">
        <f ca="1">IFERROR(__xludf.DUMMYFUNCTION("""COMPUTED_VALUE"""),0)</f>
        <v>0</v>
      </c>
      <c r="J985" s="8">
        <f ca="1">IFERROR(__xludf.DUMMYFUNCTION("""COMPUTED_VALUE"""),0)</f>
        <v>0</v>
      </c>
      <c r="K985" s="8" t="str">
        <f ca="1">IFERROR(__xludf.DUMMYFUNCTION("""COMPUTED_VALUE"""),"https://www.10tv.com/article/news/local/police-1-shot-outside-north-columbus-elementary-school/530-89621222-e8cb-4c6c-ad50-c7524713d671
https://www.wowktv.com/ohio-3/police-picketers-shot-at-with-bb-gun-outside-columbus-ohio-school/
https://www.cleveland."&amp;"com/crime/2022/08/striking-columbus-teachers-shot-by-pellets-while-picketing-outside-school.html")</f>
        <v>https://www.10tv.com/article/news/local/police-1-shot-outside-north-columbus-elementary-school/530-89621222-e8cb-4c6c-ad50-c7524713d671
https://www.wowktv.com/ohio-3/police-picketers-shot-at-with-bb-gun-outside-columbus-ohio-school/
https://www.cleveland.com/crime/2022/08/striking-columbus-teachers-shot-by-pellets-while-picketing-outside-school.html</v>
      </c>
      <c r="L985" s="8">
        <f ca="1">IFERROR(__xludf.DUMMYFUNCTION("""COMPUTED_VALUE"""),5)</f>
        <v>5</v>
      </c>
      <c r="M985" s="8" t="str">
        <f ca="1">IFERROR(__xludf.DUMMYFUNCTION("""COMPUTED_VALUE"""),"Local")</f>
        <v>Local</v>
      </c>
      <c r="N985" s="8">
        <f ca="1">IFERROR(__xludf.DUMMYFUNCTION("""COMPUTED_VALUE"""),4)</f>
        <v>4</v>
      </c>
      <c r="O985" s="8" t="str">
        <f ca="1">IFERROR(__xludf.DUMMYFUNCTION("""COMPUTED_VALUE"""),"Summer")</f>
        <v>Summer</v>
      </c>
      <c r="P985" s="8" t="str">
        <f ca="1">IFERROR(__xludf.DUMMYFUNCTION("""COMPUTED_VALUE"""),"Columbus")</f>
        <v>Columbus</v>
      </c>
      <c r="Q985" s="8" t="str">
        <f ca="1">IFERROR(__xludf.DUMMYFUNCTION("""COMPUTED_VALUE"""),"OH")</f>
        <v>OH</v>
      </c>
      <c r="R985" s="8" t="str">
        <f ca="1">IFERROR(__xludf.DUMMYFUNCTION("""COMPUTED_VALUE"""),"Elementary")</f>
        <v>Elementary</v>
      </c>
      <c r="S985" s="8" t="str">
        <f ca="1">IFERROR(__xludf.DUMMYFUNCTION("""COMPUTED_VALUE"""),"Front of School")</f>
        <v>Front of School</v>
      </c>
      <c r="T985" s="8" t="str">
        <f ca="1">IFERROR(__xludf.DUMMYFUNCTION("""COMPUTED_VALUE"""),"Outside on School Property")</f>
        <v>Outside on School Property</v>
      </c>
      <c r="U985" s="8" t="str">
        <f ca="1">IFERROR(__xludf.DUMMYFUNCTION("""COMPUTED_VALUE"""),"Yes")</f>
        <v>Yes</v>
      </c>
      <c r="V985" s="8" t="str">
        <f ca="1">IFERROR(__xludf.DUMMYFUNCTION("""COMPUTED_VALUE"""),"Afternoon Classes")</f>
        <v>Afternoon Classes</v>
      </c>
      <c r="W985" s="11">
        <f ca="1">IFERROR(__xludf.DUMMYFUNCTION("""COMPUTED_VALUE"""),0.583333333333333)</f>
        <v>0.58333333333333304</v>
      </c>
      <c r="X985" s="8">
        <f ca="1">IFERROR(__xludf.DUMMYFUNCTION("""COMPUTED_VALUE"""),1)</f>
        <v>1</v>
      </c>
      <c r="Y985" s="12" t="str">
        <f ca="1">IFERROR(__xludf.DUMMYFUNCTION("""COMPUTED_VALUE"""),"Multiple teachers shot with BBs while picketing in front of school")</f>
        <v>Multiple teachers shot with BBs while picketing in front of school</v>
      </c>
      <c r="Z985" s="12" t="str">
        <f ca="1">IFERROR(__xludf.DUMMYFUNCTION("""COMPUTED_VALUE"""),"Multiple teachers were shot with BBs while picketing in front of the school. No injuries. Shooter fled. Second BB gun shooting was reported at a nearby at Whetstone High School.")</f>
        <v>Multiple teachers were shot with BBs while picketing in front of the school. No injuries. Shooter fled. Second BB gun shooting was reported at a nearby at Whetstone High School.</v>
      </c>
      <c r="AA985" s="8" t="str">
        <f ca="1">IFERROR(__xludf.DUMMYFUNCTION("""COMPUTED_VALUE"""),"Drive-by Shooting")</f>
        <v>Drive-by Shooting</v>
      </c>
      <c r="AB985" s="8"/>
      <c r="AC985" s="8" t="str">
        <f ca="1">IFERROR(__xludf.DUMMYFUNCTION("""COMPUTED_VALUE"""),"Yes")</f>
        <v>Yes</v>
      </c>
      <c r="AD985" s="8" t="str">
        <f ca="1">IFERROR(__xludf.DUMMYFUNCTION("""COMPUTED_VALUE"""),"Victims Targeted")</f>
        <v>Victims Targeted</v>
      </c>
      <c r="AE985" s="8" t="str">
        <f ca="1">IFERROR(__xludf.DUMMYFUNCTION("""COMPUTED_VALUE"""),"No")</f>
        <v>No</v>
      </c>
      <c r="AF985" s="8"/>
      <c r="AG985" s="8" t="str">
        <f ca="1">IFERROR(__xludf.DUMMYFUNCTION("""COMPUTED_VALUE"""),"No")</f>
        <v>No</v>
      </c>
      <c r="AH985" s="8" t="str">
        <f ca="1">IFERROR(__xludf.DUMMYFUNCTION("""COMPUTED_VALUE"""),"No")</f>
        <v>No</v>
      </c>
      <c r="AI985" s="8" t="str">
        <f ca="1">IFERROR(__xludf.DUMMYFUNCTION("""COMPUTED_VALUE"""),"No")</f>
        <v>No</v>
      </c>
      <c r="AJ985" s="8" t="str">
        <f ca="1">IFERROR(__xludf.DUMMYFUNCTION("""COMPUTED_VALUE"""),"No")</f>
        <v>No</v>
      </c>
      <c r="AK985" s="8" t="str">
        <f ca="1">IFERROR(__xludf.DUMMYFUNCTION("""COMPUTED_VALUE"""),"No")</f>
        <v>No</v>
      </c>
      <c r="AL985" s="8" t="str">
        <f ca="1">IFERROR(__xludf.DUMMYFUNCTION("""COMPUTED_VALUE"""),"No")</f>
        <v>No</v>
      </c>
      <c r="AM985" s="8" t="str">
        <f ca="1">IFERROR(__xludf.DUMMYFUNCTION("""COMPUTED_VALUE"""),"No")</f>
        <v>No</v>
      </c>
      <c r="AN985" s="8" t="str">
        <f ca="1">IFERROR(__xludf.DUMMYFUNCTION("""COMPUTED_VALUE"""),"Outside")</f>
        <v>Outside</v>
      </c>
      <c r="AO985" s="8" t="str">
        <f ca="1">IFERROR(__xludf.DUMMYFUNCTION("""COMPUTED_VALUE"""),"No")</f>
        <v>No</v>
      </c>
      <c r="AP985" s="8"/>
      <c r="AQ985" s="8"/>
      <c r="AR985" s="8" t="str">
        <f ca="1">IFERROR(__xludf.DUMMYFUNCTION("""COMPUTED_VALUE"""),"Outside/Off-Property")</f>
        <v>Outside/Off-Property</v>
      </c>
      <c r="AS985" s="8">
        <f ca="1">IFERROR(__xludf.DUMMYFUNCTION("""COMPUTED_VALUE"""),99)</f>
        <v>99</v>
      </c>
      <c r="AT985" s="8"/>
      <c r="AU985" s="8">
        <f ca="1">IFERROR(__xludf.DUMMYFUNCTION("""COMPUTED_VALUE"""),40.05103)</f>
        <v>40.051029999999997</v>
      </c>
      <c r="AV985" s="8">
        <f ca="1">IFERROR(__xludf.DUMMYFUNCTION("""COMPUTED_VALUE"""),-83.017032)</f>
        <v>-83.017032</v>
      </c>
      <c r="AW985" s="8"/>
      <c r="AX985" s="8">
        <f ca="1">IFERROR(__xludf.DUMMYFUNCTION("""COMPUTED_VALUE"""),43214)</f>
        <v>43214</v>
      </c>
    </row>
    <row r="986" spans="1:50" ht="60" x14ac:dyDescent="0.2">
      <c r="A986" s="8" t="str">
        <f ca="1">IFERROR(__xludf.DUMMYFUNCTION("""COMPUTED_VALUE"""),"20220823OHART")</f>
        <v>20220823OHART</v>
      </c>
      <c r="B986" s="8">
        <f ca="1">IFERROR(__xludf.DUMMYFUNCTION("""COMPUTED_VALUE"""),8)</f>
        <v>8</v>
      </c>
      <c r="C986" s="8">
        <f ca="1">IFERROR(__xludf.DUMMYFUNCTION("""COMPUTED_VALUE"""),23)</f>
        <v>23</v>
      </c>
      <c r="D986" s="8">
        <f ca="1">IFERROR(__xludf.DUMMYFUNCTION("""COMPUTED_VALUE"""),2022)</f>
        <v>2022</v>
      </c>
      <c r="E986" s="9">
        <f ca="1">IFERROR(__xludf.DUMMYFUNCTION("""COMPUTED_VALUE"""),44796)</f>
        <v>44796</v>
      </c>
      <c r="F986" s="8" t="str">
        <f ca="1">IFERROR(__xludf.DUMMYFUNCTION("""COMPUTED_VALUE"""),"Arlington Elementary School")</f>
        <v>Arlington Elementary School</v>
      </c>
      <c r="G986" s="8">
        <f ca="1">IFERROR(__xludf.DUMMYFUNCTION("""COMPUTED_VALUE"""),0)</f>
        <v>0</v>
      </c>
      <c r="H986" s="8">
        <f ca="1">IFERROR(__xludf.DUMMYFUNCTION("""COMPUTED_VALUE"""),0)</f>
        <v>0</v>
      </c>
      <c r="I986" s="8">
        <f ca="1">IFERROR(__xludf.DUMMYFUNCTION("""COMPUTED_VALUE"""),0)</f>
        <v>0</v>
      </c>
      <c r="J986" s="8">
        <f ca="1">IFERROR(__xludf.DUMMYFUNCTION("""COMPUTED_VALUE"""),0)</f>
        <v>0</v>
      </c>
      <c r="K986" s="10" t="str">
        <f ca="1">IFERROR(__xludf.DUMMYFUNCTION("""COMPUTED_VALUE"""),"https://www.13abc.com/2022/08/23/tps-parent-shot-gun-toledo-elementary-school-fled-scene/
https://www.wtol.com/article/news/local/arlington-elementary-locked-down-parent-fired-gun-into-air-no-injuries/512-eb3e7c9b-3ec4-4947-89fa-bc8dd34beb11
https://www.1"&amp;"3abc.com/2023/05/15/woman-convicted-firing-gun-toledo-elementary-school-property/")</f>
        <v>https://www.13abc.com/2022/08/23/tps-parent-shot-gun-toledo-elementary-school-fled-scene/
https://www.wtol.com/article/news/local/arlington-elementary-locked-down-parent-fired-gun-into-air-no-injuries/512-eb3e7c9b-3ec4-4947-89fa-bc8dd34beb11
https://www.13abc.com/2023/05/15/woman-convicted-firing-gun-toledo-elementary-school-property/</v>
      </c>
      <c r="L986" s="8">
        <f ca="1">IFERROR(__xludf.DUMMYFUNCTION("""COMPUTED_VALUE"""),10)</f>
        <v>10</v>
      </c>
      <c r="M986" s="8" t="str">
        <f ca="1">IFERROR(__xludf.DUMMYFUNCTION("""COMPUTED_VALUE"""),"Local")</f>
        <v>Local</v>
      </c>
      <c r="N986" s="8">
        <f ca="1">IFERROR(__xludf.DUMMYFUNCTION("""COMPUTED_VALUE"""),4)</f>
        <v>4</v>
      </c>
      <c r="O986" s="8" t="str">
        <f ca="1">IFERROR(__xludf.DUMMYFUNCTION("""COMPUTED_VALUE"""),"Summer")</f>
        <v>Summer</v>
      </c>
      <c r="P986" s="8" t="str">
        <f ca="1">IFERROR(__xludf.DUMMYFUNCTION("""COMPUTED_VALUE"""),"Toledo")</f>
        <v>Toledo</v>
      </c>
      <c r="Q986" s="8" t="str">
        <f ca="1">IFERROR(__xludf.DUMMYFUNCTION("""COMPUTED_VALUE"""),"OH")</f>
        <v>OH</v>
      </c>
      <c r="R986" s="8" t="str">
        <f ca="1">IFERROR(__xludf.DUMMYFUNCTION("""COMPUTED_VALUE"""),"Elementary")</f>
        <v>Elementary</v>
      </c>
      <c r="S986" s="8" t="str">
        <f ca="1">IFERROR(__xludf.DUMMYFUNCTION("""COMPUTED_VALUE"""),"Front of School")</f>
        <v>Front of School</v>
      </c>
      <c r="T986" s="8" t="str">
        <f ca="1">IFERROR(__xludf.DUMMYFUNCTION("""COMPUTED_VALUE"""),"Outside on School Property")</f>
        <v>Outside on School Property</v>
      </c>
      <c r="U986" s="8" t="str">
        <f ca="1">IFERROR(__xludf.DUMMYFUNCTION("""COMPUTED_VALUE"""),"Yes")</f>
        <v>Yes</v>
      </c>
      <c r="V986" s="8" t="str">
        <f ca="1">IFERROR(__xludf.DUMMYFUNCTION("""COMPUTED_VALUE"""),"Dismissal")</f>
        <v>Dismissal</v>
      </c>
      <c r="W986" s="11">
        <f ca="1">IFERROR(__xludf.DUMMYFUNCTION("""COMPUTED_VALUE"""),0.645833333333333)</f>
        <v>0.64583333333333304</v>
      </c>
      <c r="X986" s="8">
        <f ca="1">IFERROR(__xludf.DUMMYFUNCTION("""COMPUTED_VALUE"""),1)</f>
        <v>1</v>
      </c>
      <c r="Y986" s="12" t="str">
        <f ca="1">IFERROR(__xludf.DUMMYFUNCTION("""COMPUTED_VALUE"""),"Parent fired shot during fight with another parent at dismissal")</f>
        <v>Parent fired shot during fight with another parent at dismissal</v>
      </c>
      <c r="Z986" s="12" t="str">
        <f ca="1">IFERROR(__xludf.DUMMYFUNCTION("""COMPUTED_VALUE"""),"A parent fired a shot into the air during a fight with another parent outside of the elementary school during dismissal. Students ran back into the school and went on lockdown for 2 hours. Shooter fled.")</f>
        <v>A parent fired a shot into the air during a fight with another parent outside of the elementary school during dismissal. Students ran back into the school and went on lockdown for 2 hours. Shooter fled.</v>
      </c>
      <c r="AA986" s="8" t="str">
        <f ca="1">IFERROR(__xludf.DUMMYFUNCTION("""COMPUTED_VALUE"""),"Escalation of Dispute")</f>
        <v>Escalation of Dispute</v>
      </c>
      <c r="AB986" s="8"/>
      <c r="AC986" s="8" t="str">
        <f ca="1">IFERROR(__xludf.DUMMYFUNCTION("""COMPUTED_VALUE"""),"Yes")</f>
        <v>Yes</v>
      </c>
      <c r="AD986" s="8" t="str">
        <f ca="1">IFERROR(__xludf.DUMMYFUNCTION("""COMPUTED_VALUE"""),"Neither")</f>
        <v>Neither</v>
      </c>
      <c r="AE986" s="8" t="str">
        <f ca="1">IFERROR(__xludf.DUMMYFUNCTION("""COMPUTED_VALUE"""),"No")</f>
        <v>No</v>
      </c>
      <c r="AF986" s="8"/>
      <c r="AG986" s="8" t="str">
        <f ca="1">IFERROR(__xludf.DUMMYFUNCTION("""COMPUTED_VALUE"""),"No")</f>
        <v>No</v>
      </c>
      <c r="AH986" s="8" t="str">
        <f ca="1">IFERROR(__xludf.DUMMYFUNCTION("""COMPUTED_VALUE"""),"No")</f>
        <v>No</v>
      </c>
      <c r="AI986" s="8" t="str">
        <f ca="1">IFERROR(__xludf.DUMMYFUNCTION("""COMPUTED_VALUE"""),"No")</f>
        <v>No</v>
      </c>
      <c r="AJ986" s="8" t="str">
        <f ca="1">IFERROR(__xludf.DUMMYFUNCTION("""COMPUTED_VALUE"""),"No")</f>
        <v>No</v>
      </c>
      <c r="AK986" s="8" t="str">
        <f ca="1">IFERROR(__xludf.DUMMYFUNCTION("""COMPUTED_VALUE"""),"No")</f>
        <v>No</v>
      </c>
      <c r="AL986" s="8" t="str">
        <f ca="1">IFERROR(__xludf.DUMMYFUNCTION("""COMPUTED_VALUE"""),"No")</f>
        <v>No</v>
      </c>
      <c r="AM986" s="8" t="str">
        <f ca="1">IFERROR(__xludf.DUMMYFUNCTION("""COMPUTED_VALUE"""),"No")</f>
        <v>No</v>
      </c>
      <c r="AN986" s="8" t="str">
        <f ca="1">IFERROR(__xludf.DUMMYFUNCTION("""COMPUTED_VALUE"""),"Outside")</f>
        <v>Outside</v>
      </c>
      <c r="AO986" s="8" t="str">
        <f ca="1">IFERROR(__xludf.DUMMYFUNCTION("""COMPUTED_VALUE"""),"No")</f>
        <v>No</v>
      </c>
      <c r="AP986" s="8"/>
      <c r="AQ986" s="8"/>
      <c r="AR986" s="8" t="str">
        <f ca="1">IFERROR(__xludf.DUMMYFUNCTION("""COMPUTED_VALUE"""),"Outside/Off-Property")</f>
        <v>Outside/Off-Property</v>
      </c>
      <c r="AS986" s="8">
        <f ca="1">IFERROR(__xludf.DUMMYFUNCTION("""COMPUTED_VALUE"""),1)</f>
        <v>1</v>
      </c>
      <c r="AT986" s="8" t="str">
        <f ca="1">IFERROR(__xludf.DUMMYFUNCTION("""COMPUTED_VALUE"""),"Yes")</f>
        <v>Yes</v>
      </c>
      <c r="AU986" s="8">
        <f ca="1">IFERROR(__xludf.DUMMYFUNCTION("""COMPUTED_VALUE"""),41.626234)</f>
        <v>41.626233999999997</v>
      </c>
      <c r="AV986" s="8">
        <f ca="1">IFERROR(__xludf.DUMMYFUNCTION("""COMPUTED_VALUE"""),-83.586427)</f>
        <v>-83.586427</v>
      </c>
      <c r="AW986" s="8"/>
      <c r="AX986" s="8">
        <f ca="1">IFERROR(__xludf.DUMMYFUNCTION("""COMPUTED_VALUE"""),43609)</f>
        <v>43609</v>
      </c>
    </row>
    <row r="987" spans="1:50" ht="105" x14ac:dyDescent="0.2">
      <c r="A987" s="8" t="str">
        <f ca="1">IFERROR(__xludf.DUMMYFUNCTION("""COMPUTED_VALUE"""),"20220819TNWEC")</f>
        <v>20220819TNWEC</v>
      </c>
      <c r="B987" s="8">
        <f ca="1">IFERROR(__xludf.DUMMYFUNCTION("""COMPUTED_VALUE"""),8)</f>
        <v>8</v>
      </c>
      <c r="C987" s="8">
        <f ca="1">IFERROR(__xludf.DUMMYFUNCTION("""COMPUTED_VALUE"""),19)</f>
        <v>19</v>
      </c>
      <c r="D987" s="8">
        <f ca="1">IFERROR(__xludf.DUMMYFUNCTION("""COMPUTED_VALUE"""),2022)</f>
        <v>2022</v>
      </c>
      <c r="E987" s="9">
        <f ca="1">IFERROR(__xludf.DUMMYFUNCTION("""COMPUTED_VALUE"""),44792)</f>
        <v>44792</v>
      </c>
      <c r="F987" s="8" t="str">
        <f ca="1">IFERROR(__xludf.DUMMYFUNCTION("""COMPUTED_VALUE"""),"West Creek High School")</f>
        <v>West Creek High School</v>
      </c>
      <c r="G987" s="8">
        <f ca="1">IFERROR(__xludf.DUMMYFUNCTION("""COMPUTED_VALUE"""),0)</f>
        <v>0</v>
      </c>
      <c r="H987" s="8">
        <f ca="1">IFERROR(__xludf.DUMMYFUNCTION("""COMPUTED_VALUE"""),0)</f>
        <v>0</v>
      </c>
      <c r="I987" s="8">
        <f ca="1">IFERROR(__xludf.DUMMYFUNCTION("""COMPUTED_VALUE"""),0)</f>
        <v>0</v>
      </c>
      <c r="J987" s="8">
        <f ca="1">IFERROR(__xludf.DUMMYFUNCTION("""COMPUTED_VALUE"""),0)</f>
        <v>0</v>
      </c>
      <c r="K987" s="8" t="str">
        <f ca="1">IFERROR(__xludf.DUMMYFUNCTION("""COMPUTED_VALUE"""),"https://www.newschannel5.com/news/suspects-charged-in-relation-to-shooting-at-clarksville-football-game
https://www.wsmv.com/2022/08/20/graphic-police-investigate-shots-fired-high-school-football-game/
https://www.wkrn.com/news/local-news/clarksville/shot"&amp;"s-fired-at-west-creek-high-school-during-football-game-no-injuries-reported/")</f>
        <v>https://www.newschannel5.com/news/suspects-charged-in-relation-to-shooting-at-clarksville-football-game
https://www.wsmv.com/2022/08/20/graphic-police-investigate-shots-fired-high-school-football-game/
https://www.wkrn.com/news/local-news/clarksville/shots-fired-at-west-creek-high-school-during-football-game-no-injuries-reported/</v>
      </c>
      <c r="L987" s="8">
        <f ca="1">IFERROR(__xludf.DUMMYFUNCTION("""COMPUTED_VALUE"""),10)</f>
        <v>10</v>
      </c>
      <c r="M987" s="8" t="str">
        <f ca="1">IFERROR(__xludf.DUMMYFUNCTION("""COMPUTED_VALUE"""),"Regional")</f>
        <v>Regional</v>
      </c>
      <c r="N987" s="8">
        <f ca="1">IFERROR(__xludf.DUMMYFUNCTION("""COMPUTED_VALUE"""),4)</f>
        <v>4</v>
      </c>
      <c r="O987" s="8" t="str">
        <f ca="1">IFERROR(__xludf.DUMMYFUNCTION("""COMPUTED_VALUE"""),"Summer")</f>
        <v>Summer</v>
      </c>
      <c r="P987" s="8" t="str">
        <f ca="1">IFERROR(__xludf.DUMMYFUNCTION("""COMPUTED_VALUE"""),"Clarksville")</f>
        <v>Clarksville</v>
      </c>
      <c r="Q987" s="8" t="str">
        <f ca="1">IFERROR(__xludf.DUMMYFUNCTION("""COMPUTED_VALUE"""),"TN")</f>
        <v>TN</v>
      </c>
      <c r="R987" s="8" t="str">
        <f ca="1">IFERROR(__xludf.DUMMYFUNCTION("""COMPUTED_VALUE"""),"High")</f>
        <v>High</v>
      </c>
      <c r="S987" s="8" t="str">
        <f ca="1">IFERROR(__xludf.DUMMYFUNCTION("""COMPUTED_VALUE"""),"Parking Lot")</f>
        <v>Parking Lot</v>
      </c>
      <c r="T987" s="8" t="str">
        <f ca="1">IFERROR(__xludf.DUMMYFUNCTION("""COMPUTED_VALUE"""),"Outside on School Property")</f>
        <v>Outside on School Property</v>
      </c>
      <c r="U987" s="8" t="str">
        <f ca="1">IFERROR(__xludf.DUMMYFUNCTION("""COMPUTED_VALUE"""),"No")</f>
        <v>No</v>
      </c>
      <c r="V987" s="8" t="str">
        <f ca="1">IFERROR(__xludf.DUMMYFUNCTION("""COMPUTED_VALUE"""),"Sport Event")</f>
        <v>Sport Event</v>
      </c>
      <c r="W987" s="11">
        <f ca="1">IFERROR(__xludf.DUMMYFUNCTION("""COMPUTED_VALUE"""),0.875)</f>
        <v>0.875</v>
      </c>
      <c r="X987" s="8">
        <f ca="1">IFERROR(__xludf.DUMMYFUNCTION("""COMPUTED_VALUE"""),1)</f>
        <v>1</v>
      </c>
      <c r="Y987" s="12" t="str">
        <f ca="1">IFERROR(__xludf.DUMMYFUNCTION("""COMPUTED_VALUE"""),"Shots fired from vehicle in the school parking lot during football game")</f>
        <v>Shots fired from vehicle in the school parking lot during football game</v>
      </c>
      <c r="Z987" s="12" t="str">
        <f ca="1">IFERROR(__xludf.DUMMYFUNCTION("""COMPUTED_VALUE"""),"Shots were fired from a vehicle driving through the school parking lot during a football game. Players and fans in the stadium heard the shots and took cover or evacuated. Remainder of the game was cancelled. Adult and two juveniles were arrested. No inju"&amp;"ries. Parents were informed to pick up students at a nearby middle school following the evacuation plan.")</f>
        <v>Shots were fired from a vehicle driving through the school parking lot during a football game. Players and fans in the stadium heard the shots and took cover or evacuated. Remainder of the game was cancelled. Adult and two juveniles were arrested. No injuries. Parents were informed to pick up students at a nearby middle school following the evacuation plan.</v>
      </c>
      <c r="AA987" s="8" t="str">
        <f ca="1">IFERROR(__xludf.DUMMYFUNCTION("""COMPUTED_VALUE"""),"Drive-by Shooting")</f>
        <v>Drive-by Shooting</v>
      </c>
      <c r="AB987" s="8"/>
      <c r="AC987" s="8" t="str">
        <f ca="1">IFERROR(__xludf.DUMMYFUNCTION("""COMPUTED_VALUE"""),"Yes")</f>
        <v>Yes</v>
      </c>
      <c r="AD987" s="8" t="str">
        <f ca="1">IFERROR(__xludf.DUMMYFUNCTION("""COMPUTED_VALUE"""),"Both")</f>
        <v>Both</v>
      </c>
      <c r="AE987" s="8" t="str">
        <f ca="1">IFERROR(__xludf.DUMMYFUNCTION("""COMPUTED_VALUE"""),"Yes")</f>
        <v>Yes</v>
      </c>
      <c r="AF987" s="8" t="str">
        <f ca="1">IFERROR(__xludf.DUMMYFUNCTION("""COMPUTED_VALUE"""),"3 arrested")</f>
        <v>3 arrested</v>
      </c>
      <c r="AG987" s="8" t="str">
        <f ca="1">IFERROR(__xludf.DUMMYFUNCTION("""COMPUTED_VALUE"""),"No")</f>
        <v>No</v>
      </c>
      <c r="AH987" s="8" t="str">
        <f ca="1">IFERROR(__xludf.DUMMYFUNCTION("""COMPUTED_VALUE"""),"No")</f>
        <v>No</v>
      </c>
      <c r="AI987" s="8" t="str">
        <f ca="1">IFERROR(__xludf.DUMMYFUNCTION("""COMPUTED_VALUE"""),"No")</f>
        <v>No</v>
      </c>
      <c r="AJ987" s="8" t="str">
        <f ca="1">IFERROR(__xludf.DUMMYFUNCTION("""COMPUTED_VALUE"""),"No")</f>
        <v>No</v>
      </c>
      <c r="AK987" s="8" t="str">
        <f ca="1">IFERROR(__xludf.DUMMYFUNCTION("""COMPUTED_VALUE"""),"No")</f>
        <v>No</v>
      </c>
      <c r="AL987" s="8"/>
      <c r="AM987" s="8" t="str">
        <f ca="1">IFERROR(__xludf.DUMMYFUNCTION("""COMPUTED_VALUE"""),"No")</f>
        <v>No</v>
      </c>
      <c r="AN987" s="8" t="str">
        <f ca="1">IFERROR(__xludf.DUMMYFUNCTION("""COMPUTED_VALUE"""),"Outside")</f>
        <v>Outside</v>
      </c>
      <c r="AO987" s="8" t="str">
        <f ca="1">IFERROR(__xludf.DUMMYFUNCTION("""COMPUTED_VALUE"""),"No")</f>
        <v>No</v>
      </c>
      <c r="AP987" s="8"/>
      <c r="AQ987" s="8"/>
      <c r="AR987" s="8" t="str">
        <f ca="1">IFERROR(__xludf.DUMMYFUNCTION("""COMPUTED_VALUE"""),"Outside/Off-Property")</f>
        <v>Outside/Off-Property</v>
      </c>
      <c r="AS987" s="8">
        <f ca="1">IFERROR(__xludf.DUMMYFUNCTION("""COMPUTED_VALUE"""),99)</f>
        <v>99</v>
      </c>
      <c r="AT987" s="8" t="str">
        <f ca="1">IFERROR(__xludf.DUMMYFUNCTION("""COMPUTED_VALUE"""),"Yes")</f>
        <v>Yes</v>
      </c>
      <c r="AU987" s="8">
        <f ca="1">IFERROR(__xludf.DUMMYFUNCTION("""COMPUTED_VALUE"""),36.610995)</f>
        <v>36.610995000000003</v>
      </c>
      <c r="AV987" s="8">
        <f ca="1">IFERROR(__xludf.DUMMYFUNCTION("""COMPUTED_VALUE"""),-87.38899)</f>
        <v>-87.388990000000007</v>
      </c>
      <c r="AW987" s="8"/>
      <c r="AX987" s="8">
        <f ca="1">IFERROR(__xludf.DUMMYFUNCTION("""COMPUTED_VALUE"""),37042)</f>
        <v>37042</v>
      </c>
    </row>
    <row r="988" spans="1:50" ht="75" x14ac:dyDescent="0.2">
      <c r="A988" s="8" t="str">
        <f ca="1">IFERROR(__xludf.DUMMYFUNCTION("""COMPUTED_VALUE"""),"20220819OHGRG")</f>
        <v>20220819OHGRG</v>
      </c>
      <c r="B988" s="8">
        <f ca="1">IFERROR(__xludf.DUMMYFUNCTION("""COMPUTED_VALUE"""),8)</f>
        <v>8</v>
      </c>
      <c r="C988" s="8">
        <f ca="1">IFERROR(__xludf.DUMMYFUNCTION("""COMPUTED_VALUE"""),19)</f>
        <v>19</v>
      </c>
      <c r="D988" s="8">
        <f ca="1">IFERROR(__xludf.DUMMYFUNCTION("""COMPUTED_VALUE"""),2022)</f>
        <v>2022</v>
      </c>
      <c r="E988" s="9">
        <f ca="1">IFERROR(__xludf.DUMMYFUNCTION("""COMPUTED_VALUE"""),44792)</f>
        <v>44792</v>
      </c>
      <c r="F988" s="8" t="str">
        <f ca="1">IFERROR(__xludf.DUMMYFUNCTION("""COMPUTED_VALUE"""),"Groveport Madison High School")</f>
        <v>Groveport Madison High School</v>
      </c>
      <c r="G988" s="8">
        <f ca="1">IFERROR(__xludf.DUMMYFUNCTION("""COMPUTED_VALUE"""),0)</f>
        <v>0</v>
      </c>
      <c r="H988" s="8">
        <f ca="1">IFERROR(__xludf.DUMMYFUNCTION("""COMPUTED_VALUE"""),0)</f>
        <v>0</v>
      </c>
      <c r="I988" s="8">
        <f ca="1">IFERROR(__xludf.DUMMYFUNCTION("""COMPUTED_VALUE"""),0)</f>
        <v>0</v>
      </c>
      <c r="J988" s="8">
        <f ca="1">IFERROR(__xludf.DUMMYFUNCTION("""COMPUTED_VALUE"""),0)</f>
        <v>0</v>
      </c>
      <c r="K988" s="8" t="str">
        <f ca="1">IFERROR(__xludf.DUMMYFUNCTION("""COMPUTED_VALUE"""),"https://www.10tv.com/article/news/local/groveport-madison-football-game-evacuated-after-report-of-shots-fired/530-1371ed03-052e-4117-baa4-489ec112d486
https://www.nbc4i.com/news/local-news/groveport/shots-fired-reported-at-groveport-madison-high-school/
h"&amp;"ttps://abc6onyourside.com/news/local/multiple-shots-fired-at-groveport-madison-high-school-football-game-franklin-county-sheriffs-office-madison-township-groveport-police")</f>
        <v>https://www.10tv.com/article/news/local/groveport-madison-football-game-evacuated-after-report-of-shots-fired/530-1371ed03-052e-4117-baa4-489ec112d486
https://www.nbc4i.com/news/local-news/groveport/shots-fired-reported-at-groveport-madison-high-school/
https://abc6onyourside.com/news/local/multiple-shots-fired-at-groveport-madison-high-school-football-game-franklin-county-sheriffs-office-madison-township-groveport-police</v>
      </c>
      <c r="L988" s="8">
        <f ca="1">IFERROR(__xludf.DUMMYFUNCTION("""COMPUTED_VALUE"""),6)</f>
        <v>6</v>
      </c>
      <c r="M988" s="8" t="str">
        <f ca="1">IFERROR(__xludf.DUMMYFUNCTION("""COMPUTED_VALUE"""),"Regional")</f>
        <v>Regional</v>
      </c>
      <c r="N988" s="8">
        <f ca="1">IFERROR(__xludf.DUMMYFUNCTION("""COMPUTED_VALUE"""),4)</f>
        <v>4</v>
      </c>
      <c r="O988" s="8" t="str">
        <f ca="1">IFERROR(__xludf.DUMMYFUNCTION("""COMPUTED_VALUE"""),"Summer")</f>
        <v>Summer</v>
      </c>
      <c r="P988" s="8" t="str">
        <f ca="1">IFERROR(__xludf.DUMMYFUNCTION("""COMPUTED_VALUE"""),"Groveport")</f>
        <v>Groveport</v>
      </c>
      <c r="Q988" s="8" t="str">
        <f ca="1">IFERROR(__xludf.DUMMYFUNCTION("""COMPUTED_VALUE"""),"OH")</f>
        <v>OH</v>
      </c>
      <c r="R988" s="8" t="str">
        <f ca="1">IFERROR(__xludf.DUMMYFUNCTION("""COMPUTED_VALUE"""),"High")</f>
        <v>High</v>
      </c>
      <c r="S988" s="8" t="str">
        <f ca="1">IFERROR(__xludf.DUMMYFUNCTION("""COMPUTED_VALUE"""),"Parking Lot")</f>
        <v>Parking Lot</v>
      </c>
      <c r="T988" s="8" t="str">
        <f ca="1">IFERROR(__xludf.DUMMYFUNCTION("""COMPUTED_VALUE"""),"Outside on School Property")</f>
        <v>Outside on School Property</v>
      </c>
      <c r="U988" s="8" t="str">
        <f ca="1">IFERROR(__xludf.DUMMYFUNCTION("""COMPUTED_VALUE"""),"No")</f>
        <v>No</v>
      </c>
      <c r="V988" s="8" t="str">
        <f ca="1">IFERROR(__xludf.DUMMYFUNCTION("""COMPUTED_VALUE"""),"Sport Event")</f>
        <v>Sport Event</v>
      </c>
      <c r="W988" s="11">
        <f ca="1">IFERROR(__xludf.DUMMYFUNCTION("""COMPUTED_VALUE"""),0.881944444444444)</f>
        <v>0.88194444444444398</v>
      </c>
      <c r="X988" s="8">
        <f ca="1">IFERROR(__xludf.DUMMYFUNCTION("""COMPUTED_VALUE"""),1)</f>
        <v>1</v>
      </c>
      <c r="Y988" s="12" t="str">
        <f ca="1">IFERROR(__xludf.DUMMYFUNCTION("""COMPUTED_VALUE"""),"Shots fired during fight in parking lot after people were ejected from football game")</f>
        <v>Shots fired during fight in parking lot after people were ejected from football game</v>
      </c>
      <c r="Z988" s="12" t="str">
        <f ca="1">IFERROR(__xludf.DUMMYFUNCTION("""COMPUTED_VALUE"""),"After multiple fights in the stands, 6 people were ejected from the football game. A fight started in the parking lot and an 18-year-old male fired a fully automatic pistol. Shooting caused stadium evacuation and cancelled remainder of the game. Shooter a"&amp;"rrested. No injuries.")</f>
        <v>After multiple fights in the stands, 6 people were ejected from the football game. A fight started in the parking lot and an 18-year-old male fired a fully automatic pistol. Shooting caused stadium evacuation and cancelled remainder of the game. Shooter arrested. No injuries.</v>
      </c>
      <c r="AA988" s="8" t="str">
        <f ca="1">IFERROR(__xludf.DUMMYFUNCTION("""COMPUTED_VALUE"""),"Escalation of Dispute")</f>
        <v>Escalation of Dispute</v>
      </c>
      <c r="AB988" s="8"/>
      <c r="AC988" s="8" t="str">
        <f ca="1">IFERROR(__xludf.DUMMYFUNCTION("""COMPUTED_VALUE"""),"Yes")</f>
        <v>Yes</v>
      </c>
      <c r="AD988" s="8" t="str">
        <f ca="1">IFERROR(__xludf.DUMMYFUNCTION("""COMPUTED_VALUE"""),"Victims Targeted")</f>
        <v>Victims Targeted</v>
      </c>
      <c r="AE988" s="8" t="str">
        <f ca="1">IFERROR(__xludf.DUMMYFUNCTION("""COMPUTED_VALUE"""),"Yes")</f>
        <v>Yes</v>
      </c>
      <c r="AF988" s="8" t="str">
        <f ca="1">IFERROR(__xludf.DUMMYFUNCTION("""COMPUTED_VALUE"""),"2 arrested")</f>
        <v>2 arrested</v>
      </c>
      <c r="AG988" s="8" t="str">
        <f ca="1">IFERROR(__xludf.DUMMYFUNCTION("""COMPUTED_VALUE"""),"No")</f>
        <v>No</v>
      </c>
      <c r="AH988" s="8" t="str">
        <f ca="1">IFERROR(__xludf.DUMMYFUNCTION("""COMPUTED_VALUE"""),"No")</f>
        <v>No</v>
      </c>
      <c r="AI988" s="8" t="str">
        <f ca="1">IFERROR(__xludf.DUMMYFUNCTION("""COMPUTED_VALUE"""),"No")</f>
        <v>No</v>
      </c>
      <c r="AJ988" s="8" t="str">
        <f ca="1">IFERROR(__xludf.DUMMYFUNCTION("""COMPUTED_VALUE"""),"No")</f>
        <v>No</v>
      </c>
      <c r="AK988" s="8" t="str">
        <f ca="1">IFERROR(__xludf.DUMMYFUNCTION("""COMPUTED_VALUE"""),"No")</f>
        <v>No</v>
      </c>
      <c r="AL988" s="8" t="str">
        <f ca="1">IFERROR(__xludf.DUMMYFUNCTION("""COMPUTED_VALUE"""),"No")</f>
        <v>No</v>
      </c>
      <c r="AM988" s="8" t="str">
        <f ca="1">IFERROR(__xludf.DUMMYFUNCTION("""COMPUTED_VALUE"""),"No")</f>
        <v>No</v>
      </c>
      <c r="AN988" s="8" t="str">
        <f ca="1">IFERROR(__xludf.DUMMYFUNCTION("""COMPUTED_VALUE"""),"Outside")</f>
        <v>Outside</v>
      </c>
      <c r="AO988" s="8" t="str">
        <f ca="1">IFERROR(__xludf.DUMMYFUNCTION("""COMPUTED_VALUE"""),"No")</f>
        <v>No</v>
      </c>
      <c r="AP988" s="8"/>
      <c r="AQ988" s="8"/>
      <c r="AR988" s="8" t="str">
        <f ca="1">IFERROR(__xludf.DUMMYFUNCTION("""COMPUTED_VALUE"""),"Outside/Off-Property")</f>
        <v>Outside/Off-Property</v>
      </c>
      <c r="AS988" s="8">
        <f ca="1">IFERROR(__xludf.DUMMYFUNCTION("""COMPUTED_VALUE"""),6)</f>
        <v>6</v>
      </c>
      <c r="AT988" s="8"/>
      <c r="AU988" s="8">
        <f ca="1">IFERROR(__xludf.DUMMYFUNCTION("""COMPUTED_VALUE"""),39.879346)</f>
        <v>39.879345999999998</v>
      </c>
      <c r="AV988" s="8">
        <f ca="1">IFERROR(__xludf.DUMMYFUNCTION("""COMPUTED_VALUE"""),-82.886951)</f>
        <v>-82.886950999999996</v>
      </c>
      <c r="AW988" s="8"/>
      <c r="AX988" s="8">
        <f ca="1">IFERROR(__xludf.DUMMYFUNCTION("""COMPUTED_VALUE"""),43125)</f>
        <v>43125</v>
      </c>
    </row>
    <row r="989" spans="1:50" ht="90" x14ac:dyDescent="0.2">
      <c r="A989" s="8" t="str">
        <f ca="1">IFERROR(__xludf.DUMMYFUNCTION("""COMPUTED_VALUE"""),"20220819LAAKN")</f>
        <v>20220819LAAKN</v>
      </c>
      <c r="B989" s="8">
        <f ca="1">IFERROR(__xludf.DUMMYFUNCTION("""COMPUTED_VALUE"""),8)</f>
        <v>8</v>
      </c>
      <c r="C989" s="8">
        <f ca="1">IFERROR(__xludf.DUMMYFUNCTION("""COMPUTED_VALUE"""),19)</f>
        <v>19</v>
      </c>
      <c r="D989" s="8">
        <f ca="1">IFERROR(__xludf.DUMMYFUNCTION("""COMPUTED_VALUE"""),2022)</f>
        <v>2022</v>
      </c>
      <c r="E989" s="9">
        <f ca="1">IFERROR(__xludf.DUMMYFUNCTION("""COMPUTED_VALUE"""),44792)</f>
        <v>44792</v>
      </c>
      <c r="F989" s="8" t="str">
        <f ca="1">IFERROR(__xludf.DUMMYFUNCTION("""COMPUTED_VALUE"""),"Akili Academy of New Orleans")</f>
        <v>Akili Academy of New Orleans</v>
      </c>
      <c r="G989" s="8">
        <f ca="1">IFERROR(__xludf.DUMMYFUNCTION("""COMPUTED_VALUE"""),0)</f>
        <v>0</v>
      </c>
      <c r="H989" s="8">
        <f ca="1">IFERROR(__xludf.DUMMYFUNCTION("""COMPUTED_VALUE"""),0)</f>
        <v>0</v>
      </c>
      <c r="I989" s="8">
        <f ca="1">IFERROR(__xludf.DUMMYFUNCTION("""COMPUTED_VALUE"""),0)</f>
        <v>0</v>
      </c>
      <c r="J989" s="8">
        <f ca="1">IFERROR(__xludf.DUMMYFUNCTION("""COMPUTED_VALUE"""),0)</f>
        <v>0</v>
      </c>
      <c r="K989" s="8" t="str">
        <f ca="1">IFERROR(__xludf.DUMMYFUNCTION("""COMPUTED_VALUE"""),"https://wgno.com/news/louisiana/orleans-parish/horrified-by-this-brazen-act-nola-public-schools-express-concern-after-student-waving-gun-tries-to-enter-bus/
https://www.wwltv.com/article/news/crime/new-orleans-police-investigating-incident-12-year-old-poi"&amp;"nting-gun-school-bus/289-31a2ea2f-478f-4c43-89cd-2ac0b73de77e")</f>
        <v>https://wgno.com/news/louisiana/orleans-parish/horrified-by-this-brazen-act-nola-public-schools-express-concern-after-student-waving-gun-tries-to-enter-bus/
https://www.wwltv.com/article/news/crime/new-orleans-police-investigating-incident-12-year-old-pointing-gun-school-bus/289-31a2ea2f-478f-4c43-89cd-2ac0b73de77e</v>
      </c>
      <c r="L989" s="8">
        <f ca="1">IFERROR(__xludf.DUMMYFUNCTION("""COMPUTED_VALUE"""),5)</f>
        <v>5</v>
      </c>
      <c r="M989" s="8" t="str">
        <f ca="1">IFERROR(__xludf.DUMMYFUNCTION("""COMPUTED_VALUE"""),"Local")</f>
        <v>Local</v>
      </c>
      <c r="N989" s="8">
        <f ca="1">IFERROR(__xludf.DUMMYFUNCTION("""COMPUTED_VALUE"""),4)</f>
        <v>4</v>
      </c>
      <c r="O989" s="8" t="str">
        <f ca="1">IFERROR(__xludf.DUMMYFUNCTION("""COMPUTED_VALUE"""),"Summer")</f>
        <v>Summer</v>
      </c>
      <c r="P989" s="8" t="str">
        <f ca="1">IFERROR(__xludf.DUMMYFUNCTION("""COMPUTED_VALUE"""),"New Orleans")</f>
        <v>New Orleans</v>
      </c>
      <c r="Q989" s="8" t="str">
        <f ca="1">IFERROR(__xludf.DUMMYFUNCTION("""COMPUTED_VALUE"""),"LA")</f>
        <v>LA</v>
      </c>
      <c r="R989" s="8" t="str">
        <f ca="1">IFERROR(__xludf.DUMMYFUNCTION("""COMPUTED_VALUE"""),"K-8")</f>
        <v>K-8</v>
      </c>
      <c r="S989" s="8" t="str">
        <f ca="1">IFERROR(__xludf.DUMMYFUNCTION("""COMPUTED_VALUE"""),"School Bus")</f>
        <v>School Bus</v>
      </c>
      <c r="T989" s="8" t="str">
        <f ca="1">IFERROR(__xludf.DUMMYFUNCTION("""COMPUTED_VALUE"""),"School Bus")</f>
        <v>School Bus</v>
      </c>
      <c r="U989" s="8" t="str">
        <f ca="1">IFERROR(__xludf.DUMMYFUNCTION("""COMPUTED_VALUE"""),"Yes")</f>
        <v>Yes</v>
      </c>
      <c r="V989" s="8" t="str">
        <f ca="1">IFERROR(__xludf.DUMMYFUNCTION("""COMPUTED_VALUE"""),"Dismissal")</f>
        <v>Dismissal</v>
      </c>
      <c r="W989" s="11">
        <f ca="1">IFERROR(__xludf.DUMMYFUNCTION("""COMPUTED_VALUE"""),0.604166666666666)</f>
        <v>0.60416666666666596</v>
      </c>
      <c r="X989" s="8">
        <f ca="1">IFERROR(__xludf.DUMMYFUNCTION("""COMPUTED_VALUE"""),1)</f>
        <v>1</v>
      </c>
      <c r="Y989" s="12" t="str">
        <f ca="1">IFERROR(__xludf.DUMMYFUNCTION("""COMPUTED_VALUE"""),"Girl pulled gun after fight on school bus")</f>
        <v>Girl pulled gun after fight on school bus</v>
      </c>
      <c r="Z989" s="12" t="str">
        <f ca="1">IFERROR(__xludf.DUMMYFUNCTION("""COMPUTED_VALUE"""),"Following a fight between two girls on the school bus, a 12-year-old female student exited the bus, pulled a handgun, and then tried to get back on the bus. He banged on the door while the bus pulled away. Fight recorded on cell phone camera. Shooter's mo"&amp;"ther also arrested for contributing to incident.")</f>
        <v>Following a fight between two girls on the school bus, a 12-year-old female student exited the bus, pulled a handgun, and then tried to get back on the bus. He banged on the door while the bus pulled away. Fight recorded on cell phone camera. Shooter's mother also arrested for contributing to incident.</v>
      </c>
      <c r="AA989" s="8" t="str">
        <f ca="1">IFERROR(__xludf.DUMMYFUNCTION("""COMPUTED_VALUE"""),"Escalation of Dispute")</f>
        <v>Escalation of Dispute</v>
      </c>
      <c r="AB989" s="8"/>
      <c r="AC989" s="8" t="str">
        <f ca="1">IFERROR(__xludf.DUMMYFUNCTION("""COMPUTED_VALUE"""),"Yes")</f>
        <v>Yes</v>
      </c>
      <c r="AD989" s="8" t="str">
        <f ca="1">IFERROR(__xludf.DUMMYFUNCTION("""COMPUTED_VALUE"""),"Victims Targeted")</f>
        <v>Victims Targeted</v>
      </c>
      <c r="AE989" s="8" t="str">
        <f ca="1">IFERROR(__xludf.DUMMYFUNCTION("""COMPUTED_VALUE"""),"No")</f>
        <v>No</v>
      </c>
      <c r="AF989" s="8"/>
      <c r="AG989" s="8" t="str">
        <f ca="1">IFERROR(__xludf.DUMMYFUNCTION("""COMPUTED_VALUE"""),"No")</f>
        <v>No</v>
      </c>
      <c r="AH989" s="8" t="str">
        <f ca="1">IFERROR(__xludf.DUMMYFUNCTION("""COMPUTED_VALUE"""),"No")</f>
        <v>No</v>
      </c>
      <c r="AI989" s="8" t="str">
        <f ca="1">IFERROR(__xludf.DUMMYFUNCTION("""COMPUTED_VALUE"""),"No")</f>
        <v>No</v>
      </c>
      <c r="AJ989" s="8"/>
      <c r="AK989" s="8"/>
      <c r="AL989" s="8" t="str">
        <f ca="1">IFERROR(__xludf.DUMMYFUNCTION("""COMPUTED_VALUE"""),"No")</f>
        <v>No</v>
      </c>
      <c r="AM989" s="8" t="str">
        <f ca="1">IFERROR(__xludf.DUMMYFUNCTION("""COMPUTED_VALUE"""),"No")</f>
        <v>No</v>
      </c>
      <c r="AN989" s="8" t="str">
        <f ca="1">IFERROR(__xludf.DUMMYFUNCTION("""COMPUTED_VALUE"""),"Outside")</f>
        <v>Outside</v>
      </c>
      <c r="AO989" s="8" t="str">
        <f ca="1">IFERROR(__xludf.DUMMYFUNCTION("""COMPUTED_VALUE"""),"No")</f>
        <v>No</v>
      </c>
      <c r="AP989" s="8"/>
      <c r="AQ989" s="8"/>
      <c r="AR989" s="8" t="str">
        <f ca="1">IFERROR(__xludf.DUMMYFUNCTION("""COMPUTED_VALUE"""),"Outside/Off-Property")</f>
        <v>Outside/Off-Property</v>
      </c>
      <c r="AS989" s="8">
        <f ca="1">IFERROR(__xludf.DUMMYFUNCTION("""COMPUTED_VALUE"""),0)</f>
        <v>0</v>
      </c>
      <c r="AT989" s="8"/>
      <c r="AU989" s="8">
        <f ca="1">IFERROR(__xludf.DUMMYFUNCTION("""COMPUTED_VALUE"""),29.976454)</f>
        <v>29.976454</v>
      </c>
      <c r="AV989" s="8">
        <f ca="1">IFERROR(__xludf.DUMMYFUNCTION("""COMPUTED_VALUE"""),-90.033957)</f>
        <v>-90.033957000000001</v>
      </c>
      <c r="AW989" s="8"/>
      <c r="AX989" s="8">
        <f ca="1">IFERROR(__xludf.DUMMYFUNCTION("""COMPUTED_VALUE"""),70117)</f>
        <v>70117</v>
      </c>
    </row>
    <row r="990" spans="1:50" ht="90" x14ac:dyDescent="0.2">
      <c r="A990" s="8" t="str">
        <f ca="1">IFERROR(__xludf.DUMMYFUNCTION("""COMPUTED_VALUE"""),"20220818FLLER")</f>
        <v>20220818FLLER</v>
      </c>
      <c r="B990" s="8">
        <f ca="1">IFERROR(__xludf.DUMMYFUNCTION("""COMPUTED_VALUE"""),8)</f>
        <v>8</v>
      </c>
      <c r="C990" s="8">
        <f ca="1">IFERROR(__xludf.DUMMYFUNCTION("""COMPUTED_VALUE"""),18)</f>
        <v>18</v>
      </c>
      <c r="D990" s="8">
        <f ca="1">IFERROR(__xludf.DUMMYFUNCTION("""COMPUTED_VALUE"""),2022)</f>
        <v>2022</v>
      </c>
      <c r="E990" s="9">
        <f ca="1">IFERROR(__xludf.DUMMYFUNCTION("""COMPUTED_VALUE"""),44791)</f>
        <v>44791</v>
      </c>
      <c r="F990" s="8" t="str">
        <f ca="1">IFERROR(__xludf.DUMMYFUNCTION("""COMPUTED_VALUE"""),"Lennard High School")</f>
        <v>Lennard High School</v>
      </c>
      <c r="G990" s="8">
        <f ca="1">IFERROR(__xludf.DUMMYFUNCTION("""COMPUTED_VALUE"""),0)</f>
        <v>0</v>
      </c>
      <c r="H990" s="8">
        <f ca="1">IFERROR(__xludf.DUMMYFUNCTION("""COMPUTED_VALUE"""),0)</f>
        <v>0</v>
      </c>
      <c r="I990" s="8">
        <f ca="1">IFERROR(__xludf.DUMMYFUNCTION("""COMPUTED_VALUE"""),0)</f>
        <v>0</v>
      </c>
      <c r="J990" s="8">
        <f ca="1">IFERROR(__xludf.DUMMYFUNCTION("""COMPUTED_VALUE"""),0)</f>
        <v>0</v>
      </c>
      <c r="K990" s="10" t="str">
        <f ca="1">IFERROR(__xludf.DUMMYFUNCTION("""COMPUTED_VALUE"""),"https://www.fox13news.com/video/1106979
https://www.tampabay.com/news/breaking-news/2022/08/18/man-shot-in-lennard-high-school-parking-lot-hillsborough-deputies-say/
https://www.wfla.com/news/hillsborough-county/no-active-shooter-at-lennard-high-school-sh"&amp;"eriff-says/")</f>
        <v>https://www.fox13news.com/video/1106979
https://www.tampabay.com/news/breaking-news/2022/08/18/man-shot-in-lennard-high-school-parking-lot-hillsborough-deputies-say/
https://www.wfla.com/news/hillsborough-county/no-active-shooter-at-lennard-high-school-sheriff-says/</v>
      </c>
      <c r="L990" s="8">
        <f ca="1">IFERROR(__xludf.DUMMYFUNCTION("""COMPUTED_VALUE"""),10)</f>
        <v>10</v>
      </c>
      <c r="M990" s="8" t="str">
        <f ca="1">IFERROR(__xludf.DUMMYFUNCTION("""COMPUTED_VALUE"""),"Regional")</f>
        <v>Regional</v>
      </c>
      <c r="N990" s="8">
        <f ca="1">IFERROR(__xludf.DUMMYFUNCTION("""COMPUTED_VALUE"""),4)</f>
        <v>4</v>
      </c>
      <c r="O990" s="8" t="str">
        <f ca="1">IFERROR(__xludf.DUMMYFUNCTION("""COMPUTED_VALUE"""),"Summer")</f>
        <v>Summer</v>
      </c>
      <c r="P990" s="8" t="str">
        <f ca="1">IFERROR(__xludf.DUMMYFUNCTION("""COMPUTED_VALUE"""),"Ruskin")</f>
        <v>Ruskin</v>
      </c>
      <c r="Q990" s="8" t="str">
        <f ca="1">IFERROR(__xludf.DUMMYFUNCTION("""COMPUTED_VALUE"""),"FL")</f>
        <v>FL</v>
      </c>
      <c r="R990" s="8" t="str">
        <f ca="1">IFERROR(__xludf.DUMMYFUNCTION("""COMPUTED_VALUE"""),"High")</f>
        <v>High</v>
      </c>
      <c r="S990" s="8" t="str">
        <f ca="1">IFERROR(__xludf.DUMMYFUNCTION("""COMPUTED_VALUE"""),"Parking Lot")</f>
        <v>Parking Lot</v>
      </c>
      <c r="T990" s="8" t="str">
        <f ca="1">IFERROR(__xludf.DUMMYFUNCTION("""COMPUTED_VALUE"""),"Outside on School Property")</f>
        <v>Outside on School Property</v>
      </c>
      <c r="U990" s="8" t="str">
        <f ca="1">IFERROR(__xludf.DUMMYFUNCTION("""COMPUTED_VALUE"""),"Yes")</f>
        <v>Yes</v>
      </c>
      <c r="V990" s="8" t="str">
        <f ca="1">IFERROR(__xludf.DUMMYFUNCTION("""COMPUTED_VALUE"""),"Morning Classes")</f>
        <v>Morning Classes</v>
      </c>
      <c r="W990" s="11">
        <f ca="1">IFERROR(__xludf.DUMMYFUNCTION("""COMPUTED_VALUE"""),0.444444444444444)</f>
        <v>0.44444444444444398</v>
      </c>
      <c r="X990" s="8">
        <f ca="1">IFERROR(__xludf.DUMMYFUNCTION("""COMPUTED_VALUE"""),1)</f>
        <v>1</v>
      </c>
      <c r="Y990" s="12" t="str">
        <f ca="1">IFERROR(__xludf.DUMMYFUNCTION("""COMPUTED_VALUE"""),"Teen shot himself in the leg in the parking lot while showing off weapon")</f>
        <v>Teen shot himself in the leg in the parking lot while showing off weapon</v>
      </c>
      <c r="Z990" s="12" t="str">
        <f ca="1">IFERROR(__xludf.DUMMYFUNCTION("""COMPUTED_VALUE"""),"A 17-year-old male student had a handgun in his vehicle. He was showing the gun to an 18-year-old former student who accidentally shot himself in the leg. Shooter went to the hospital. School went on lockdown for 2 hours. Handgun was found in the students"&amp;" vehicle. Police reported he was carrying the gun to school all week.")</f>
        <v>A 17-year-old male student had a handgun in his vehicle. He was showing the gun to an 18-year-old former student who accidentally shot himself in the leg. Shooter went to the hospital. School went on lockdown for 2 hours. Handgun was found in the students vehicle. Police reported he was carrying the gun to school all week.</v>
      </c>
      <c r="AA990" s="8" t="str">
        <f ca="1">IFERROR(__xludf.DUMMYFUNCTION("""COMPUTED_VALUE"""),"Accidental")</f>
        <v>Accidental</v>
      </c>
      <c r="AB990" s="8"/>
      <c r="AC990" s="8" t="str">
        <f ca="1">IFERROR(__xludf.DUMMYFUNCTION("""COMPUTED_VALUE"""),"Yes")</f>
        <v>Yes</v>
      </c>
      <c r="AD990" s="8" t="str">
        <f ca="1">IFERROR(__xludf.DUMMYFUNCTION("""COMPUTED_VALUE"""),"Neither")</f>
        <v>Neither</v>
      </c>
      <c r="AE990" s="8" t="str">
        <f ca="1">IFERROR(__xludf.DUMMYFUNCTION("""COMPUTED_VALUE"""),"Yes")</f>
        <v>Yes</v>
      </c>
      <c r="AF990" s="8" t="str">
        <f ca="1">IFERROR(__xludf.DUMMYFUNCTION("""COMPUTED_VALUE"""),"2 students look at a gun")</f>
        <v>2 students look at a gun</v>
      </c>
      <c r="AG990" s="8" t="str">
        <f ca="1">IFERROR(__xludf.DUMMYFUNCTION("""COMPUTED_VALUE"""),"No")</f>
        <v>No</v>
      </c>
      <c r="AH990" s="8" t="str">
        <f ca="1">IFERROR(__xludf.DUMMYFUNCTION("""COMPUTED_VALUE"""),"No")</f>
        <v>No</v>
      </c>
      <c r="AI990" s="8" t="str">
        <f ca="1">IFERROR(__xludf.DUMMYFUNCTION("""COMPUTED_VALUE"""),"No")</f>
        <v>No</v>
      </c>
      <c r="AJ990" s="8"/>
      <c r="AK990" s="8" t="str">
        <f ca="1">IFERROR(__xludf.DUMMYFUNCTION("""COMPUTED_VALUE"""),"No")</f>
        <v>No</v>
      </c>
      <c r="AL990" s="8"/>
      <c r="AM990" s="8" t="str">
        <f ca="1">IFERROR(__xludf.DUMMYFUNCTION("""COMPUTED_VALUE"""),"No")</f>
        <v>No</v>
      </c>
      <c r="AN990" s="8" t="str">
        <f ca="1">IFERROR(__xludf.DUMMYFUNCTION("""COMPUTED_VALUE"""),"Outside")</f>
        <v>Outside</v>
      </c>
      <c r="AO990" s="8" t="str">
        <f ca="1">IFERROR(__xludf.DUMMYFUNCTION("""COMPUTED_VALUE"""),"No")</f>
        <v>No</v>
      </c>
      <c r="AP990" s="8"/>
      <c r="AQ990" s="8"/>
      <c r="AR990" s="8" t="str">
        <f ca="1">IFERROR(__xludf.DUMMYFUNCTION("""COMPUTED_VALUE"""),"Outside/Off-Property")</f>
        <v>Outside/Off-Property</v>
      </c>
      <c r="AS990" s="8">
        <f ca="1">IFERROR(__xludf.DUMMYFUNCTION("""COMPUTED_VALUE"""),1)</f>
        <v>1</v>
      </c>
      <c r="AT990" s="8" t="str">
        <f ca="1">IFERROR(__xludf.DUMMYFUNCTION("""COMPUTED_VALUE"""),"Yes")</f>
        <v>Yes</v>
      </c>
      <c r="AU990" s="8">
        <f ca="1">IFERROR(__xludf.DUMMYFUNCTION("""COMPUTED_VALUE"""),27.721659)</f>
        <v>27.721658999999999</v>
      </c>
      <c r="AV990" s="8">
        <f ca="1">IFERROR(__xludf.DUMMYFUNCTION("""COMPUTED_VALUE"""),-82.404034)</f>
        <v>-82.404033999999996</v>
      </c>
      <c r="AW990" s="8"/>
      <c r="AX990" s="8">
        <f ca="1">IFERROR(__xludf.DUMMYFUNCTION("""COMPUTED_VALUE"""),33570)</f>
        <v>33570</v>
      </c>
    </row>
    <row r="991" spans="1:50" ht="105" x14ac:dyDescent="0.2">
      <c r="A991" s="8" t="str">
        <f ca="1">IFERROR(__xludf.DUMMYFUNCTION("""COMPUTED_VALUE"""),"20220816TXPOB")</f>
        <v>20220816TXPOB</v>
      </c>
      <c r="B991" s="8">
        <f ca="1">IFERROR(__xludf.DUMMYFUNCTION("""COMPUTED_VALUE"""),8)</f>
        <v>8</v>
      </c>
      <c r="C991" s="8">
        <f ca="1">IFERROR(__xludf.DUMMYFUNCTION("""COMPUTED_VALUE"""),16)</f>
        <v>16</v>
      </c>
      <c r="D991" s="8">
        <f ca="1">IFERROR(__xludf.DUMMYFUNCTION("""COMPUTED_VALUE"""),2022)</f>
        <v>2022</v>
      </c>
      <c r="E991" s="9">
        <f ca="1">IFERROR(__xludf.DUMMYFUNCTION("""COMPUTED_VALUE"""),44789)</f>
        <v>44789</v>
      </c>
      <c r="F991" s="8" t="str">
        <f ca="1">IFERROR(__xludf.DUMMYFUNCTION("""COMPUTED_VALUE"""),"Porter Early College High School")</f>
        <v>Porter Early College High School</v>
      </c>
      <c r="G991" s="8">
        <f ca="1">IFERROR(__xludf.DUMMYFUNCTION("""COMPUTED_VALUE"""),0)</f>
        <v>0</v>
      </c>
      <c r="H991" s="8">
        <f ca="1">IFERROR(__xludf.DUMMYFUNCTION("""COMPUTED_VALUE"""),0)</f>
        <v>0</v>
      </c>
      <c r="I991" s="8">
        <f ca="1">IFERROR(__xludf.DUMMYFUNCTION("""COMPUTED_VALUE"""),0)</f>
        <v>0</v>
      </c>
      <c r="J991" s="8">
        <f ca="1">IFERROR(__xludf.DUMMYFUNCTION("""COMPUTED_VALUE"""),0)</f>
        <v>0</v>
      </c>
      <c r="K991" s="8" t="str">
        <f ca="1">IFERROR(__xludf.DUMMYFUNCTION("""COMPUTED_VALUE"""),"https://www.krgv.com/news/3-in-custody-after-shots-fired-at-porter-early-college-high-school-parking-lot-242814
https://www.krgv.com/news/two-of-the-three-suspects-arraigned-after-shots-fired-at-porter-echs-parking-lot
https://www.kurv.com/bisd-police-off"&amp;"icer-shoots-at-reckless-driver-outside-porter-early-college-high-school/")</f>
        <v>https://www.krgv.com/news/3-in-custody-after-shots-fired-at-porter-early-college-high-school-parking-lot-242814
https://www.krgv.com/news/two-of-the-three-suspects-arraigned-after-shots-fired-at-porter-echs-parking-lot
https://www.kurv.com/bisd-police-officer-shoots-at-reckless-driver-outside-porter-early-college-high-school/</v>
      </c>
      <c r="L991" s="8">
        <f ca="1">IFERROR(__xludf.DUMMYFUNCTION("""COMPUTED_VALUE"""),10)</f>
        <v>10</v>
      </c>
      <c r="M991" s="8" t="str">
        <f ca="1">IFERROR(__xludf.DUMMYFUNCTION("""COMPUTED_VALUE"""),"National")</f>
        <v>National</v>
      </c>
      <c r="N991" s="8">
        <f ca="1">IFERROR(__xludf.DUMMYFUNCTION("""COMPUTED_VALUE"""),4)</f>
        <v>4</v>
      </c>
      <c r="O991" s="8" t="str">
        <f ca="1">IFERROR(__xludf.DUMMYFUNCTION("""COMPUTED_VALUE"""),"Summer")</f>
        <v>Summer</v>
      </c>
      <c r="P991" s="8" t="str">
        <f ca="1">IFERROR(__xludf.DUMMYFUNCTION("""COMPUTED_VALUE"""),"Brownsville")</f>
        <v>Brownsville</v>
      </c>
      <c r="Q991" s="8" t="str">
        <f ca="1">IFERROR(__xludf.DUMMYFUNCTION("""COMPUTED_VALUE"""),"TX")</f>
        <v>TX</v>
      </c>
      <c r="R991" s="8" t="str">
        <f ca="1">IFERROR(__xludf.DUMMYFUNCTION("""COMPUTED_VALUE"""),"High")</f>
        <v>High</v>
      </c>
      <c r="S991" s="8" t="str">
        <f ca="1">IFERROR(__xludf.DUMMYFUNCTION("""COMPUTED_VALUE"""),"Parking Lot")</f>
        <v>Parking Lot</v>
      </c>
      <c r="T991" s="8" t="str">
        <f ca="1">IFERROR(__xludf.DUMMYFUNCTION("""COMPUTED_VALUE"""),"Outside on School Property")</f>
        <v>Outside on School Property</v>
      </c>
      <c r="U991" s="8" t="str">
        <f ca="1">IFERROR(__xludf.DUMMYFUNCTION("""COMPUTED_VALUE"""),"Yes")</f>
        <v>Yes</v>
      </c>
      <c r="V991" s="8" t="str">
        <f ca="1">IFERROR(__xludf.DUMMYFUNCTION("""COMPUTED_VALUE"""),"School Start")</f>
        <v>School Start</v>
      </c>
      <c r="W991" s="11">
        <f ca="1">IFERROR(__xludf.DUMMYFUNCTION("""COMPUTED_VALUE"""),0.333333333333333)</f>
        <v>0.33333333333333298</v>
      </c>
      <c r="X991" s="8">
        <f ca="1">IFERROR(__xludf.DUMMYFUNCTION("""COMPUTED_VALUE"""),1)</f>
        <v>1</v>
      </c>
      <c r="Y991" s="12" t="str">
        <f ca="1">IFERROR(__xludf.DUMMYFUNCTION("""COMPUTED_VALUE"""),"Shots fired from stolen vehicle in school parking lot, SRO then fired shots at vehicle")</f>
        <v>Shots fired from stolen vehicle in school parking lot, SRO then fired shots at vehicle</v>
      </c>
      <c r="Z991" s="12" t="str">
        <f ca="1">IFERROR(__xludf.DUMMYFUNCTION("""COMPUTED_VALUE"""),"Three teens in a stole vehicle fired shots and drove recklessly around the parking lot of the high school as the school was opening. SRO fired shot at the vehicle. Following a police chase, three teens were arrested, one near the school. Nearby middle sch"&amp;"ool got a report of an active shooter and went into lockdown. No injuries. First day of classes.")</f>
        <v>Three teens in a stole vehicle fired shots and drove recklessly around the parking lot of the high school as the school was opening. SRO fired shot at the vehicle. Following a police chase, three teens were arrested, one near the school. Nearby middle school got a report of an active shooter and went into lockdown. No injuries. First day of classes.</v>
      </c>
      <c r="AA991" s="8" t="str">
        <f ca="1">IFERROR(__xludf.DUMMYFUNCTION("""COMPUTED_VALUE"""),"Drive-by Shooting")</f>
        <v>Drive-by Shooting</v>
      </c>
      <c r="AB991" s="8"/>
      <c r="AC991" s="8" t="str">
        <f ca="1">IFERROR(__xludf.DUMMYFUNCTION("""COMPUTED_VALUE"""),"Yes")</f>
        <v>Yes</v>
      </c>
      <c r="AD991" s="8" t="str">
        <f ca="1">IFERROR(__xludf.DUMMYFUNCTION("""COMPUTED_VALUE"""),"Neither")</f>
        <v>Neither</v>
      </c>
      <c r="AE991" s="8" t="str">
        <f ca="1">IFERROR(__xludf.DUMMYFUNCTION("""COMPUTED_VALUE"""),"No")</f>
        <v>No</v>
      </c>
      <c r="AF991" s="8"/>
      <c r="AG991" s="8" t="str">
        <f ca="1">IFERROR(__xludf.DUMMYFUNCTION("""COMPUTED_VALUE"""),"No")</f>
        <v>No</v>
      </c>
      <c r="AH991" s="8" t="str">
        <f ca="1">IFERROR(__xludf.DUMMYFUNCTION("""COMPUTED_VALUE"""),"No")</f>
        <v>No</v>
      </c>
      <c r="AI991" s="8" t="str">
        <f ca="1">IFERROR(__xludf.DUMMYFUNCTION("""COMPUTED_VALUE"""),"Yes")</f>
        <v>Yes</v>
      </c>
      <c r="AJ991" s="8" t="str">
        <f ca="1">IFERROR(__xludf.DUMMYFUNCTION("""COMPUTED_VALUE"""),"No")</f>
        <v>No</v>
      </c>
      <c r="AK991" s="8" t="str">
        <f ca="1">IFERROR(__xludf.DUMMYFUNCTION("""COMPUTED_VALUE"""),"No")</f>
        <v>No</v>
      </c>
      <c r="AL991" s="8"/>
      <c r="AM991" s="8" t="str">
        <f ca="1">IFERROR(__xludf.DUMMYFUNCTION("""COMPUTED_VALUE"""),"No")</f>
        <v>No</v>
      </c>
      <c r="AN991" s="8" t="str">
        <f ca="1">IFERROR(__xludf.DUMMYFUNCTION("""COMPUTED_VALUE"""),"Outside")</f>
        <v>Outside</v>
      </c>
      <c r="AO991" s="8" t="str">
        <f ca="1">IFERROR(__xludf.DUMMYFUNCTION("""COMPUTED_VALUE"""),"No")</f>
        <v>No</v>
      </c>
      <c r="AP991" s="8" t="str">
        <f ca="1">IFERROR(__xludf.DUMMYFUNCTION("""COMPUTED_VALUE"""),"Yes")</f>
        <v>Yes</v>
      </c>
      <c r="AQ991" s="8"/>
      <c r="AR991" s="8" t="str">
        <f ca="1">IFERROR(__xludf.DUMMYFUNCTION("""COMPUTED_VALUE"""),"Outside/Off-Property")</f>
        <v>Outside/Off-Property</v>
      </c>
      <c r="AS991" s="8">
        <f ca="1">IFERROR(__xludf.DUMMYFUNCTION("""COMPUTED_VALUE"""),99)</f>
        <v>99</v>
      </c>
      <c r="AT991" s="8" t="str">
        <f ca="1">IFERROR(__xludf.DUMMYFUNCTION("""COMPUTED_VALUE"""),"Yes")</f>
        <v>Yes</v>
      </c>
      <c r="AU991" s="8">
        <f ca="1">IFERROR(__xludf.DUMMYFUNCTION("""COMPUTED_VALUE"""),25.913315)</f>
        <v>25.913315000000001</v>
      </c>
      <c r="AV991" s="8">
        <f ca="1">IFERROR(__xludf.DUMMYFUNCTION("""COMPUTED_VALUE"""),-97.472184)</f>
        <v>-97.472183999999999</v>
      </c>
      <c r="AW991" s="8"/>
      <c r="AX991" s="8">
        <f ca="1">IFERROR(__xludf.DUMMYFUNCTION("""COMPUTED_VALUE"""),78521)</f>
        <v>78521</v>
      </c>
    </row>
    <row r="992" spans="1:50" ht="45" x14ac:dyDescent="0.2">
      <c r="A992" s="8" t="str">
        <f ca="1">IFERROR(__xludf.DUMMYFUNCTION("""COMPUTED_VALUE"""),"20220815CALIS")</f>
        <v>20220815CALIS</v>
      </c>
      <c r="B992" s="8">
        <f ca="1">IFERROR(__xludf.DUMMYFUNCTION("""COMPUTED_VALUE"""),8)</f>
        <v>8</v>
      </c>
      <c r="C992" s="8">
        <f ca="1">IFERROR(__xludf.DUMMYFUNCTION("""COMPUTED_VALUE"""),15)</f>
        <v>15</v>
      </c>
      <c r="D992" s="8">
        <f ca="1">IFERROR(__xludf.DUMMYFUNCTION("""COMPUTED_VALUE"""),2022)</f>
        <v>2022</v>
      </c>
      <c r="E992" s="9">
        <f ca="1">IFERROR(__xludf.DUMMYFUNCTION("""COMPUTED_VALUE"""),44788)</f>
        <v>44788</v>
      </c>
      <c r="F992" s="8" t="str">
        <f ca="1">IFERROR(__xludf.DUMMYFUNCTION("""COMPUTED_VALUE"""),"Lincoln High School")</f>
        <v>Lincoln High School</v>
      </c>
      <c r="G992" s="8">
        <f ca="1">IFERROR(__xludf.DUMMYFUNCTION("""COMPUTED_VALUE"""),0)</f>
        <v>0</v>
      </c>
      <c r="H992" s="8">
        <f ca="1">IFERROR(__xludf.DUMMYFUNCTION("""COMPUTED_VALUE"""),0)</f>
        <v>0</v>
      </c>
      <c r="I992" s="8">
        <f ca="1">IFERROR(__xludf.DUMMYFUNCTION("""COMPUTED_VALUE"""),0)</f>
        <v>0</v>
      </c>
      <c r="J992" s="8">
        <f ca="1">IFERROR(__xludf.DUMMYFUNCTION("""COMPUTED_VALUE"""),0)</f>
        <v>0</v>
      </c>
      <c r="K992" s="8" t="str">
        <f ca="1">IFERROR(__xludf.DUMMYFUNCTION("""COMPUTED_VALUE"""),"https://dailycaller.com/2022/08/16/student-pulls-gun-at-school-gets-disarmed-by-resource-officer/
https://www.kcra.com/article/stockton-school-resource-officer-disarms-student-with-a-gun-on-campus/40901821#
https://www.recordnet.com/story/news/2022/08/15/"&amp;"student-gun-arrested-lincoln-high-school-stockton-california/10333624002/")</f>
        <v>https://dailycaller.com/2022/08/16/student-pulls-gun-at-school-gets-disarmed-by-resource-officer/
https://www.kcra.com/article/stockton-school-resource-officer-disarms-student-with-a-gun-on-campus/40901821#
https://www.recordnet.com/story/news/2022/08/15/student-gun-arrested-lincoln-high-school-stockton-california/10333624002/</v>
      </c>
      <c r="L992" s="8">
        <f ca="1">IFERROR(__xludf.DUMMYFUNCTION("""COMPUTED_VALUE"""),10)</f>
        <v>10</v>
      </c>
      <c r="M992" s="8" t="str">
        <f ca="1">IFERROR(__xludf.DUMMYFUNCTION("""COMPUTED_VALUE"""),"National")</f>
        <v>National</v>
      </c>
      <c r="N992" s="8">
        <f ca="1">IFERROR(__xludf.DUMMYFUNCTION("""COMPUTED_VALUE"""),4)</f>
        <v>4</v>
      </c>
      <c r="O992" s="8" t="str">
        <f ca="1">IFERROR(__xludf.DUMMYFUNCTION("""COMPUTED_VALUE"""),"Summer")</f>
        <v>Summer</v>
      </c>
      <c r="P992" s="8" t="str">
        <f ca="1">IFERROR(__xludf.DUMMYFUNCTION("""COMPUTED_VALUE"""),"Stockton")</f>
        <v>Stockton</v>
      </c>
      <c r="Q992" s="8" t="str">
        <f ca="1">IFERROR(__xludf.DUMMYFUNCTION("""COMPUTED_VALUE"""),"CA")</f>
        <v>CA</v>
      </c>
      <c r="R992" s="8" t="str">
        <f ca="1">IFERROR(__xludf.DUMMYFUNCTION("""COMPUTED_VALUE"""),"High")</f>
        <v>High</v>
      </c>
      <c r="S992" s="8" t="str">
        <f ca="1">IFERROR(__xludf.DUMMYFUNCTION("""COMPUTED_VALUE"""),"Courtyard")</f>
        <v>Courtyard</v>
      </c>
      <c r="T992" s="8" t="str">
        <f ca="1">IFERROR(__xludf.DUMMYFUNCTION("""COMPUTED_VALUE"""),"Outside on School Property")</f>
        <v>Outside on School Property</v>
      </c>
      <c r="U992" s="8" t="str">
        <f ca="1">IFERROR(__xludf.DUMMYFUNCTION("""COMPUTED_VALUE"""),"Yes")</f>
        <v>Yes</v>
      </c>
      <c r="V992" s="8" t="str">
        <f ca="1">IFERROR(__xludf.DUMMYFUNCTION("""COMPUTED_VALUE"""),"Lunch")</f>
        <v>Lunch</v>
      </c>
      <c r="W992" s="11">
        <f ca="1">IFERROR(__xludf.DUMMYFUNCTION("""COMPUTED_VALUE"""),0.513888888888888)</f>
        <v>0.51388888888888795</v>
      </c>
      <c r="X992" s="8">
        <f ca="1">IFERROR(__xludf.DUMMYFUNCTION("""COMPUTED_VALUE"""),1)</f>
        <v>1</v>
      </c>
      <c r="Y992" s="12" t="str">
        <f ca="1">IFERROR(__xludf.DUMMYFUNCTION("""COMPUTED_VALUE"""),"Student pulled gun during fight, subdued by SRO")</f>
        <v>Student pulled gun during fight, subdued by SRO</v>
      </c>
      <c r="Z992" s="12" t="str">
        <f ca="1">IFERROR(__xludf.DUMMYFUNCTION("""COMPUTED_VALUE"""),"A 17-year-old student pulled a loaded gun during a fight at lunch. SRO was nearby and subdued the student. No shots fired or injuries. Student arrested.")</f>
        <v>A 17-year-old student pulled a loaded gun during a fight at lunch. SRO was nearby and subdued the student. No shots fired or injuries. Student arrested.</v>
      </c>
      <c r="AA992" s="8" t="str">
        <f ca="1">IFERROR(__xludf.DUMMYFUNCTION("""COMPUTED_VALUE"""),"Escalation of Dispute")</f>
        <v>Escalation of Dispute</v>
      </c>
      <c r="AB992" s="8"/>
      <c r="AC992" s="8" t="str">
        <f ca="1">IFERROR(__xludf.DUMMYFUNCTION("""COMPUTED_VALUE"""),"Yes")</f>
        <v>Yes</v>
      </c>
      <c r="AD992" s="8"/>
      <c r="AE992" s="8" t="str">
        <f ca="1">IFERROR(__xludf.DUMMYFUNCTION("""COMPUTED_VALUE"""),"No")</f>
        <v>No</v>
      </c>
      <c r="AF992" s="8"/>
      <c r="AG992" s="8" t="str">
        <f ca="1">IFERROR(__xludf.DUMMYFUNCTION("""COMPUTED_VALUE"""),"No")</f>
        <v>No</v>
      </c>
      <c r="AH992" s="8" t="str">
        <f ca="1">IFERROR(__xludf.DUMMYFUNCTION("""COMPUTED_VALUE"""),"No")</f>
        <v>No</v>
      </c>
      <c r="AI992" s="8" t="str">
        <f ca="1">IFERROR(__xludf.DUMMYFUNCTION("""COMPUTED_VALUE"""),"No")</f>
        <v>No</v>
      </c>
      <c r="AJ992" s="8"/>
      <c r="AK992" s="8" t="str">
        <f ca="1">IFERROR(__xludf.DUMMYFUNCTION("""COMPUTED_VALUE"""),"No")</f>
        <v>No</v>
      </c>
      <c r="AL992" s="8"/>
      <c r="AM992" s="8" t="str">
        <f ca="1">IFERROR(__xludf.DUMMYFUNCTION("""COMPUTED_VALUE"""),"No")</f>
        <v>No</v>
      </c>
      <c r="AN992" s="8" t="str">
        <f ca="1">IFERROR(__xludf.DUMMYFUNCTION("""COMPUTED_VALUE"""),"Outside")</f>
        <v>Outside</v>
      </c>
      <c r="AO992" s="8" t="str">
        <f ca="1">IFERROR(__xludf.DUMMYFUNCTION("""COMPUTED_VALUE"""),"No")</f>
        <v>No</v>
      </c>
      <c r="AP992" s="8" t="str">
        <f ca="1">IFERROR(__xludf.DUMMYFUNCTION("""COMPUTED_VALUE"""),"Yes")</f>
        <v>Yes</v>
      </c>
      <c r="AQ992" s="8" t="str">
        <f ca="1">IFERROR(__xludf.DUMMYFUNCTION("""COMPUTED_VALUE"""),"Armed Guards")</f>
        <v>Armed Guards</v>
      </c>
      <c r="AR992" s="8" t="str">
        <f ca="1">IFERROR(__xludf.DUMMYFUNCTION("""COMPUTED_VALUE"""),"Outside/Off-Property")</f>
        <v>Outside/Off-Property</v>
      </c>
      <c r="AS992" s="8">
        <f ca="1">IFERROR(__xludf.DUMMYFUNCTION("""COMPUTED_VALUE"""),0)</f>
        <v>0</v>
      </c>
      <c r="AT992" s="8"/>
      <c r="AU992" s="8">
        <f ca="1">IFERROR(__xludf.DUMMYFUNCTION("""COMPUTED_VALUE"""),38.01062)</f>
        <v>38.010620000000003</v>
      </c>
      <c r="AV992" s="8">
        <f ca="1">IFERROR(__xludf.DUMMYFUNCTION("""COMPUTED_VALUE"""),-121.338569)</f>
        <v>-121.33856900000001</v>
      </c>
      <c r="AW992" s="8"/>
      <c r="AX992" s="8">
        <f ca="1">IFERROR(__xludf.DUMMYFUNCTION("""COMPUTED_VALUE"""),95219)</f>
        <v>95219</v>
      </c>
    </row>
    <row r="993" spans="1:50" ht="45" x14ac:dyDescent="0.2">
      <c r="A993" s="8" t="str">
        <f ca="1">IFERROR(__xludf.DUMMYFUNCTION("""COMPUTED_VALUE"""),"20220813ARMAL")</f>
        <v>20220813ARMAL</v>
      </c>
      <c r="B993" s="8">
        <f ca="1">IFERROR(__xludf.DUMMYFUNCTION("""COMPUTED_VALUE"""),8)</f>
        <v>8</v>
      </c>
      <c r="C993" s="8">
        <f ca="1">IFERROR(__xludf.DUMMYFUNCTION("""COMPUTED_VALUE"""),13)</f>
        <v>13</v>
      </c>
      <c r="D993" s="8">
        <f ca="1">IFERROR(__xludf.DUMMYFUNCTION("""COMPUTED_VALUE"""),2022)</f>
        <v>2022</v>
      </c>
      <c r="E993" s="9">
        <f ca="1">IFERROR(__xludf.DUMMYFUNCTION("""COMPUTED_VALUE"""),44786)</f>
        <v>44786</v>
      </c>
      <c r="F993" s="8" t="str">
        <f ca="1">IFERROR(__xludf.DUMMYFUNCTION("""COMPUTED_VALUE"""),"Mabelvale Elementary School")</f>
        <v>Mabelvale Elementary School</v>
      </c>
      <c r="G993" s="8">
        <f ca="1">IFERROR(__xludf.DUMMYFUNCTION("""COMPUTED_VALUE"""),0)</f>
        <v>0</v>
      </c>
      <c r="H993" s="8">
        <f ca="1">IFERROR(__xludf.DUMMYFUNCTION("""COMPUTED_VALUE"""),0)</f>
        <v>0</v>
      </c>
      <c r="I993" s="8">
        <f ca="1">IFERROR(__xludf.DUMMYFUNCTION("""COMPUTED_VALUE"""),0)</f>
        <v>0</v>
      </c>
      <c r="J993" s="8">
        <f ca="1">IFERROR(__xludf.DUMMYFUNCTION("""COMPUTED_VALUE"""),0)</f>
        <v>0</v>
      </c>
      <c r="K993" s="8" t="str">
        <f ca="1">IFERROR(__xludf.DUMMYFUNCTION("""COMPUTED_VALUE"""),"https://www.thv11.com/article/news/crime/shots-fired-mabelvale-elementary/91-2495aacf-b385-48af-ae3c-8dedb5e62f8a 
https://www.fox16.com/news/local-news/little-rock-police-investigating-shots-fired-at-mabelvale-elementary-school/")</f>
        <v>https://www.thv11.com/article/news/crime/shots-fired-mabelvale-elementary/91-2495aacf-b385-48af-ae3c-8dedb5e62f8a 
https://www.fox16.com/news/local-news/little-rock-police-investigating-shots-fired-at-mabelvale-elementary-school/</v>
      </c>
      <c r="L993" s="8">
        <f ca="1">IFERROR(__xludf.DUMMYFUNCTION("""COMPUTED_VALUE"""),2)</f>
        <v>2</v>
      </c>
      <c r="M993" s="8" t="str">
        <f ca="1">IFERROR(__xludf.DUMMYFUNCTION("""COMPUTED_VALUE"""),"Local")</f>
        <v>Local</v>
      </c>
      <c r="N993" s="8">
        <f ca="1">IFERROR(__xludf.DUMMYFUNCTION("""COMPUTED_VALUE"""),3)</f>
        <v>3</v>
      </c>
      <c r="O993" s="8" t="str">
        <f ca="1">IFERROR(__xludf.DUMMYFUNCTION("""COMPUTED_VALUE"""),"Summer")</f>
        <v>Summer</v>
      </c>
      <c r="P993" s="8" t="str">
        <f ca="1">IFERROR(__xludf.DUMMYFUNCTION("""COMPUTED_VALUE"""),"Little Rock")</f>
        <v>Little Rock</v>
      </c>
      <c r="Q993" s="8" t="str">
        <f ca="1">IFERROR(__xludf.DUMMYFUNCTION("""COMPUTED_VALUE"""),"AR")</f>
        <v>AR</v>
      </c>
      <c r="R993" s="8" t="str">
        <f ca="1">IFERROR(__xludf.DUMMYFUNCTION("""COMPUTED_VALUE"""),"Elementary")</f>
        <v>Elementary</v>
      </c>
      <c r="S993" s="8" t="str">
        <f ca="1">IFERROR(__xludf.DUMMYFUNCTION("""COMPUTED_VALUE"""),"Front of School")</f>
        <v>Front of School</v>
      </c>
      <c r="T993" s="8" t="str">
        <f ca="1">IFERROR(__xludf.DUMMYFUNCTION("""COMPUTED_VALUE"""),"Outside on School Property")</f>
        <v>Outside on School Property</v>
      </c>
      <c r="U993" s="8" t="str">
        <f ca="1">IFERROR(__xludf.DUMMYFUNCTION("""COMPUTED_VALUE"""),"No")</f>
        <v>No</v>
      </c>
      <c r="V993" s="8" t="str">
        <f ca="1">IFERROR(__xludf.DUMMYFUNCTION("""COMPUTED_VALUE"""),"Not a School Day")</f>
        <v>Not a School Day</v>
      </c>
      <c r="W993" s="11">
        <f ca="1">IFERROR(__xludf.DUMMYFUNCTION("""COMPUTED_VALUE"""),0.625)</f>
        <v>0.625</v>
      </c>
      <c r="X993" s="8">
        <f ca="1">IFERROR(__xludf.DUMMYFUNCTION("""COMPUTED_VALUE"""),1)</f>
        <v>1</v>
      </c>
      <c r="Y993" s="12" t="str">
        <f ca="1">IFERROR(__xludf.DUMMYFUNCTION("""COMPUTED_VALUE"""),"Shots fired in front of school and struck school building")</f>
        <v>Shots fired in front of school and struck school building</v>
      </c>
      <c r="Z993" s="12" t="str">
        <f ca="1">IFERROR(__xludf.DUMMYFUNCTION("""COMPUTED_VALUE"""),"Shots fired in front of school and struck school building. Shooter fled. No injuries.")</f>
        <v>Shots fired in front of school and struck school building. Shooter fled. No injuries.</v>
      </c>
      <c r="AA993" s="8"/>
      <c r="AB993" s="8"/>
      <c r="AC993" s="8" t="str">
        <f ca="1">IFERROR(__xludf.DUMMYFUNCTION("""COMPUTED_VALUE"""),"No")</f>
        <v>No</v>
      </c>
      <c r="AD993" s="8"/>
      <c r="AE993" s="8" t="str">
        <f ca="1">IFERROR(__xludf.DUMMYFUNCTION("""COMPUTED_VALUE"""),"No")</f>
        <v>No</v>
      </c>
      <c r="AF993" s="8"/>
      <c r="AG993" s="8" t="str">
        <f ca="1">IFERROR(__xludf.DUMMYFUNCTION("""COMPUTED_VALUE"""),"No")</f>
        <v>No</v>
      </c>
      <c r="AH993" s="8" t="str">
        <f ca="1">IFERROR(__xludf.DUMMYFUNCTION("""COMPUTED_VALUE"""),"No")</f>
        <v>No</v>
      </c>
      <c r="AI993" s="8" t="str">
        <f ca="1">IFERROR(__xludf.DUMMYFUNCTION("""COMPUTED_VALUE"""),"No")</f>
        <v>No</v>
      </c>
      <c r="AJ993" s="8" t="str">
        <f ca="1">IFERROR(__xludf.DUMMYFUNCTION("""COMPUTED_VALUE"""),"No")</f>
        <v>No</v>
      </c>
      <c r="AK993" s="8" t="str">
        <f ca="1">IFERROR(__xludf.DUMMYFUNCTION("""COMPUTED_VALUE"""),"No")</f>
        <v>No</v>
      </c>
      <c r="AL993" s="8"/>
      <c r="AM993" s="8" t="str">
        <f ca="1">IFERROR(__xludf.DUMMYFUNCTION("""COMPUTED_VALUE"""),"No")</f>
        <v>No</v>
      </c>
      <c r="AN993" s="8" t="str">
        <f ca="1">IFERROR(__xludf.DUMMYFUNCTION("""COMPUTED_VALUE"""),"Outside")</f>
        <v>Outside</v>
      </c>
      <c r="AO993" s="8" t="str">
        <f ca="1">IFERROR(__xludf.DUMMYFUNCTION("""COMPUTED_VALUE"""),"No")</f>
        <v>No</v>
      </c>
      <c r="AP993" s="8"/>
      <c r="AQ993" s="8"/>
      <c r="AR993" s="8" t="str">
        <f ca="1">IFERROR(__xludf.DUMMYFUNCTION("""COMPUTED_VALUE"""),"Outside/Off-Property")</f>
        <v>Outside/Off-Property</v>
      </c>
      <c r="AS993" s="8">
        <f ca="1">IFERROR(__xludf.DUMMYFUNCTION("""COMPUTED_VALUE"""),5)</f>
        <v>5</v>
      </c>
      <c r="AT993" s="8"/>
      <c r="AU993" s="8">
        <f ca="1">IFERROR(__xludf.DUMMYFUNCTION("""COMPUTED_VALUE"""),34.651061)</f>
        <v>34.651060999999999</v>
      </c>
      <c r="AV993" s="8">
        <f ca="1">IFERROR(__xludf.DUMMYFUNCTION("""COMPUTED_VALUE"""),-92.382962)</f>
        <v>-92.382962000000006</v>
      </c>
      <c r="AW993" s="8"/>
      <c r="AX993" s="8">
        <f ca="1">IFERROR(__xludf.DUMMYFUNCTION("""COMPUTED_VALUE"""),72103)</f>
        <v>72103</v>
      </c>
    </row>
    <row r="994" spans="1:50" ht="255" x14ac:dyDescent="0.2">
      <c r="A994" s="8" t="str">
        <f ca="1">IFERROR(__xludf.DUMMYFUNCTION("""COMPUTED_VALUE"""),"20220812MISUG")</f>
        <v>20220812MISUG</v>
      </c>
      <c r="B994" s="8">
        <f ca="1">IFERROR(__xludf.DUMMYFUNCTION("""COMPUTED_VALUE"""),8)</f>
        <v>8</v>
      </c>
      <c r="C994" s="8">
        <f ca="1">IFERROR(__xludf.DUMMYFUNCTION("""COMPUTED_VALUE"""),12)</f>
        <v>12</v>
      </c>
      <c r="D994" s="8">
        <f ca="1">IFERROR(__xludf.DUMMYFUNCTION("""COMPUTED_VALUE"""),2022)</f>
        <v>2022</v>
      </c>
      <c r="E994" s="9">
        <f ca="1">IFERROR(__xludf.DUMMYFUNCTION("""COMPUTED_VALUE"""),44785)</f>
        <v>44785</v>
      </c>
      <c r="F994" s="8" t="str">
        <f ca="1">IFERROR(__xludf.DUMMYFUNCTION("""COMPUTED_VALUE"""),"Southeast Career Pathways")</f>
        <v>Southeast Career Pathways</v>
      </c>
      <c r="G994" s="8">
        <f ca="1">IFERROR(__xludf.DUMMYFUNCTION("""COMPUTED_VALUE"""),0)</f>
        <v>0</v>
      </c>
      <c r="H994" s="8">
        <f ca="1">IFERROR(__xludf.DUMMYFUNCTION("""COMPUTED_VALUE"""),0)</f>
        <v>0</v>
      </c>
      <c r="I994" s="8">
        <f ca="1">IFERROR(__xludf.DUMMYFUNCTION("""COMPUTED_VALUE"""),0)</f>
        <v>0</v>
      </c>
      <c r="J994" s="8">
        <f ca="1">IFERROR(__xludf.DUMMYFUNCTION("""COMPUTED_VALUE"""),0)</f>
        <v>0</v>
      </c>
      <c r="K994" s="10" t="str">
        <f ca="1">IFERROR(__xludf.DUMMYFUNCTION("""COMPUTED_VALUE"""),"https://www.woodtv.com/news/grand-rapids/man-sentenced-for-drug-charges-in-shots-fired-near-gr-school/")</f>
        <v>https://www.woodtv.com/news/grand-rapids/man-sentenced-for-drug-charges-in-shots-fired-near-gr-school/</v>
      </c>
      <c r="L994" s="8">
        <f ca="1">IFERROR(__xludf.DUMMYFUNCTION("""COMPUTED_VALUE"""),3)</f>
        <v>3</v>
      </c>
      <c r="M994" s="8" t="str">
        <f ca="1">IFERROR(__xludf.DUMMYFUNCTION("""COMPUTED_VALUE"""),"Local")</f>
        <v>Local</v>
      </c>
      <c r="N994" s="8">
        <f ca="1">IFERROR(__xludf.DUMMYFUNCTION("""COMPUTED_VALUE"""),4)</f>
        <v>4</v>
      </c>
      <c r="O994" s="8" t="str">
        <f ca="1">IFERROR(__xludf.DUMMYFUNCTION("""COMPUTED_VALUE"""),"Summer")</f>
        <v>Summer</v>
      </c>
      <c r="P994" s="8" t="str">
        <f ca="1">IFERROR(__xludf.DUMMYFUNCTION("""COMPUTED_VALUE"""),"Grand Rapids")</f>
        <v>Grand Rapids</v>
      </c>
      <c r="Q994" s="8" t="str">
        <f ca="1">IFERROR(__xludf.DUMMYFUNCTION("""COMPUTED_VALUE"""),"MI")</f>
        <v>MI</v>
      </c>
      <c r="R994" s="8" t="str">
        <f ca="1">IFERROR(__xludf.DUMMYFUNCTION("""COMPUTED_VALUE"""),"High")</f>
        <v>High</v>
      </c>
      <c r="S994" s="8" t="str">
        <f ca="1">IFERROR(__xludf.DUMMYFUNCTION("""COMPUTED_VALUE"""),"Parking Lot")</f>
        <v>Parking Lot</v>
      </c>
      <c r="T994" s="8" t="str">
        <f ca="1">IFERROR(__xludf.DUMMYFUNCTION("""COMPUTED_VALUE"""),"Outside on School Property")</f>
        <v>Outside on School Property</v>
      </c>
      <c r="U994" s="8" t="str">
        <f ca="1">IFERROR(__xludf.DUMMYFUNCTION("""COMPUTED_VALUE"""),"No")</f>
        <v>No</v>
      </c>
      <c r="V994" s="8" t="str">
        <f ca="1">IFERROR(__xludf.DUMMYFUNCTION("""COMPUTED_VALUE"""),"Not a School Day")</f>
        <v>Not a School Day</v>
      </c>
      <c r="W994" s="11">
        <f ca="1">IFERROR(__xludf.DUMMYFUNCTION("""COMPUTED_VALUE"""),0.416666666666666)</f>
        <v>0.41666666666666602</v>
      </c>
      <c r="X994" s="8">
        <f ca="1">IFERROR(__xludf.DUMMYFUNCTION("""COMPUTED_VALUE"""),1)</f>
        <v>1</v>
      </c>
      <c r="Y994" s="12" t="str">
        <f ca="1">IFERROR(__xludf.DUMMYFUNCTION("""COMPUTED_VALUE"""),"Shots fired in parking lot")</f>
        <v>Shots fired in parking lot</v>
      </c>
      <c r="Z994" s="12" t="str">
        <f ca="1">IFERROR(__xludf.DUMMYFUNCTION("""COMPUTED_VALUE"""),"According to the Department of Justice, Grand Rapids Police Department officers heard gun shots while on patrol in the early morning of August 12, 2022. When they drove in the direction of the shooting, they saw a white Chevrolet Suburban spin out and cra"&amp;"sh into the parking lot of Southeast Career Pathways. When officers approached the vehicle, additional shots were fired. Two subjects fled from the vehicle on foot after the crash. Matthews exited the driver’s side of the vehicle, and was apprehended whil"&amp;"e attempting to climb a fence. In Matthews’ waistband, police found a stolen Springfield XD 9 mm pistol, which had only two rounds in it: one in the magazine and one in the chamber. Crime scene technicians later found twelve spent 9 mm casings in the stre"&amp;"et from where Matthews’ vehicle had traveled, and where officers first heard the shooting. Inside the vehicle, police found bags that contained fentanyl, cocaine, and a digital scale.")</f>
        <v>According to the Department of Justice, Grand Rapids Police Department officers heard gun shots while on patrol in the early morning of August 12, 2022. When they drove in the direction of the shooting, they saw a white Chevrolet Suburban spin out and crash into the parking lot of Southeast Career Pathways. When officers approached the vehicle, additional shots were fired. Two subjects fled from the vehicle on foot after the crash. Matthews exited the driver’s side of the vehicle, and was apprehended while attempting to climb a fence. In Matthews’ waistband, police found a stolen Springfield XD 9 mm pistol, which had only two rounds in it: one in the magazine and one in the chamber. Crime scene technicians later found twelve spent 9 mm casings in the street from where Matthews’ vehicle had traveled, and where officers first heard the shooting. Inside the vehicle, police found bags that contained fentanyl, cocaine, and a digital scale.</v>
      </c>
      <c r="AA994" s="8" t="str">
        <f ca="1">IFERROR(__xludf.DUMMYFUNCTION("""COMPUTED_VALUE"""),"Illegal Activity")</f>
        <v>Illegal Activity</v>
      </c>
      <c r="AB994" s="8"/>
      <c r="AC994" s="8" t="str">
        <f ca="1">IFERROR(__xludf.DUMMYFUNCTION("""COMPUTED_VALUE"""),"No")</f>
        <v>No</v>
      </c>
      <c r="AD994" s="8" t="str">
        <f ca="1">IFERROR(__xludf.DUMMYFUNCTION("""COMPUTED_VALUE"""),"Both")</f>
        <v>Both</v>
      </c>
      <c r="AE994" s="8" t="str">
        <f ca="1">IFERROR(__xludf.DUMMYFUNCTION("""COMPUTED_VALUE"""),"No")</f>
        <v>No</v>
      </c>
      <c r="AF994" s="8"/>
      <c r="AG994" s="8" t="str">
        <f ca="1">IFERROR(__xludf.DUMMYFUNCTION("""COMPUTED_VALUE"""),"No")</f>
        <v>No</v>
      </c>
      <c r="AH994" s="8" t="str">
        <f ca="1">IFERROR(__xludf.DUMMYFUNCTION("""COMPUTED_VALUE"""),"No")</f>
        <v>No</v>
      </c>
      <c r="AI994" s="8" t="str">
        <f ca="1">IFERROR(__xludf.DUMMYFUNCTION("""COMPUTED_VALUE"""),"No")</f>
        <v>No</v>
      </c>
      <c r="AJ994" s="8" t="str">
        <f ca="1">IFERROR(__xludf.DUMMYFUNCTION("""COMPUTED_VALUE"""),"No")</f>
        <v>No</v>
      </c>
      <c r="AK994" s="8" t="str">
        <f ca="1">IFERROR(__xludf.DUMMYFUNCTION("""COMPUTED_VALUE"""),"No")</f>
        <v>No</v>
      </c>
      <c r="AL994" s="8" t="str">
        <f ca="1">IFERROR(__xludf.DUMMYFUNCTION("""COMPUTED_VALUE"""),"No")</f>
        <v>No</v>
      </c>
      <c r="AM994" s="8" t="str">
        <f ca="1">IFERROR(__xludf.DUMMYFUNCTION("""COMPUTED_VALUE"""),"No")</f>
        <v>No</v>
      </c>
      <c r="AN994" s="8" t="str">
        <f ca="1">IFERROR(__xludf.DUMMYFUNCTION("""COMPUTED_VALUE"""),"Outside")</f>
        <v>Outside</v>
      </c>
      <c r="AO994" s="8" t="str">
        <f ca="1">IFERROR(__xludf.DUMMYFUNCTION("""COMPUTED_VALUE"""),"No")</f>
        <v>No</v>
      </c>
      <c r="AP994" s="8"/>
      <c r="AQ994" s="8"/>
      <c r="AR994" s="8" t="str">
        <f ca="1">IFERROR(__xludf.DUMMYFUNCTION("""COMPUTED_VALUE"""),"Outside/Off-Property")</f>
        <v>Outside/Off-Property</v>
      </c>
      <c r="AS994" s="8">
        <f ca="1">IFERROR(__xludf.DUMMYFUNCTION("""COMPUTED_VALUE"""),11)</f>
        <v>11</v>
      </c>
      <c r="AT994" s="8"/>
      <c r="AU994" s="8">
        <f ca="1">IFERROR(__xludf.DUMMYFUNCTION("""COMPUTED_VALUE"""),42.937801)</f>
        <v>42.937801</v>
      </c>
      <c r="AV994" s="8">
        <f ca="1">IFERROR(__xludf.DUMMYFUNCTION("""COMPUTED_VALUE"""),-85.663265)</f>
        <v>-85.663264999999996</v>
      </c>
      <c r="AW994" s="8"/>
      <c r="AX994" s="8">
        <f ca="1">IFERROR(__xludf.DUMMYFUNCTION("""COMPUTED_VALUE"""),49507)</f>
        <v>49507</v>
      </c>
    </row>
    <row r="995" spans="1:50" ht="60" x14ac:dyDescent="0.2">
      <c r="A995" s="8" t="str">
        <f ca="1">IFERROR(__xludf.DUMMYFUNCTION("""COMPUTED_VALUE"""),"20220812CASIV")</f>
        <v>20220812CASIV</v>
      </c>
      <c r="B995" s="8">
        <f ca="1">IFERROR(__xludf.DUMMYFUNCTION("""COMPUTED_VALUE"""),8)</f>
        <v>8</v>
      </c>
      <c r="C995" s="8">
        <f ca="1">IFERROR(__xludf.DUMMYFUNCTION("""COMPUTED_VALUE"""),12)</f>
        <v>12</v>
      </c>
      <c r="D995" s="8">
        <f ca="1">IFERROR(__xludf.DUMMYFUNCTION("""COMPUTED_VALUE"""),2022)</f>
        <v>2022</v>
      </c>
      <c r="E995" s="9">
        <f ca="1">IFERROR(__xludf.DUMMYFUNCTION("""COMPUTED_VALUE"""),44785)</f>
        <v>44785</v>
      </c>
      <c r="F995" s="8" t="str">
        <f ca="1">IFERROR(__xludf.DUMMYFUNCTION("""COMPUTED_VALUE"""),"Silverado High School")</f>
        <v>Silverado High School</v>
      </c>
      <c r="G995" s="8">
        <f ca="1">IFERROR(__xludf.DUMMYFUNCTION("""COMPUTED_VALUE"""),0)</f>
        <v>0</v>
      </c>
      <c r="H995" s="8">
        <f ca="1">IFERROR(__xludf.DUMMYFUNCTION("""COMPUTED_VALUE"""),0)</f>
        <v>0</v>
      </c>
      <c r="I995" s="8">
        <f ca="1">IFERROR(__xludf.DUMMYFUNCTION("""COMPUTED_VALUE"""),0)</f>
        <v>0</v>
      </c>
      <c r="J995" s="8">
        <f ca="1">IFERROR(__xludf.DUMMYFUNCTION("""COMPUTED_VALUE"""),0)</f>
        <v>0</v>
      </c>
      <c r="K995" s="10" t="str">
        <f ca="1">IFERROR(__xludf.DUMMYFUNCTION("""COMPUTED_VALUE"""),"https://www.vvng.com/reports-of-a-shooting-at-silverado-high-school-in-victorville-are-unfounded/
https://sports.yahoo.com/shots-ring-serrano-high-school-050531605.html")</f>
        <v>https://www.vvng.com/reports-of-a-shooting-at-silverado-high-school-in-victorville-are-unfounded/
https://sports.yahoo.com/shots-ring-serrano-high-school-050531605.html</v>
      </c>
      <c r="L995" s="8">
        <f ca="1">IFERROR(__xludf.DUMMYFUNCTION("""COMPUTED_VALUE"""),2)</f>
        <v>2</v>
      </c>
      <c r="M995" s="8" t="str">
        <f ca="1">IFERROR(__xludf.DUMMYFUNCTION("""COMPUTED_VALUE"""),"Local")</f>
        <v>Local</v>
      </c>
      <c r="N995" s="8">
        <f ca="1">IFERROR(__xludf.DUMMYFUNCTION("""COMPUTED_VALUE"""),4)</f>
        <v>4</v>
      </c>
      <c r="O995" s="8" t="str">
        <f ca="1">IFERROR(__xludf.DUMMYFUNCTION("""COMPUTED_VALUE"""),"Summer")</f>
        <v>Summer</v>
      </c>
      <c r="P995" s="8" t="str">
        <f ca="1">IFERROR(__xludf.DUMMYFUNCTION("""COMPUTED_VALUE"""),"Victorville")</f>
        <v>Victorville</v>
      </c>
      <c r="Q995" s="8" t="str">
        <f ca="1">IFERROR(__xludf.DUMMYFUNCTION("""COMPUTED_VALUE"""),"CA")</f>
        <v>CA</v>
      </c>
      <c r="R995" s="8" t="str">
        <f ca="1">IFERROR(__xludf.DUMMYFUNCTION("""COMPUTED_VALUE"""),"High")</f>
        <v>High</v>
      </c>
      <c r="S995" s="8" t="str">
        <f ca="1">IFERROR(__xludf.DUMMYFUNCTION("""COMPUTED_VALUE"""),"Parking Lot")</f>
        <v>Parking Lot</v>
      </c>
      <c r="T995" s="8" t="str">
        <f ca="1">IFERROR(__xludf.DUMMYFUNCTION("""COMPUTED_VALUE"""),"Outside on School Property")</f>
        <v>Outside on School Property</v>
      </c>
      <c r="U995" s="8" t="str">
        <f ca="1">IFERROR(__xludf.DUMMYFUNCTION("""COMPUTED_VALUE"""),"No")</f>
        <v>No</v>
      </c>
      <c r="V995" s="8" t="str">
        <f ca="1">IFERROR(__xludf.DUMMYFUNCTION("""COMPUTED_VALUE"""),"Sport Event")</f>
        <v>Sport Event</v>
      </c>
      <c r="W995" s="11">
        <f ca="1">IFERROR(__xludf.DUMMYFUNCTION("""COMPUTED_VALUE"""),0.861111111111111)</f>
        <v>0.86111111111111105</v>
      </c>
      <c r="X995" s="8">
        <f ca="1">IFERROR(__xludf.DUMMYFUNCTION("""COMPUTED_VALUE"""),1)</f>
        <v>1</v>
      </c>
      <c r="Y995" s="12" t="str">
        <f ca="1">IFERROR(__xludf.DUMMYFUNCTION("""COMPUTED_VALUE"""),"Shots fired in school parking lot following football game")</f>
        <v>Shots fired in school parking lot following football game</v>
      </c>
      <c r="Z995" s="12" t="str">
        <f ca="1">IFERROR(__xludf.DUMMYFUNCTION("""COMPUTED_VALUE"""),"Five shots were fired in the parking lot of the school as attendees exited the football stadium. Shooter fled. No injuries.")</f>
        <v>Five shots were fired in the parking lot of the school as attendees exited the football stadium. Shooter fled. No injuries.</v>
      </c>
      <c r="AA995" s="8"/>
      <c r="AB995" s="8"/>
      <c r="AC995" s="8" t="str">
        <f ca="1">IFERROR(__xludf.DUMMYFUNCTION("""COMPUTED_VALUE"""),"Yes")</f>
        <v>Yes</v>
      </c>
      <c r="AD995" s="8"/>
      <c r="AE995" s="8" t="str">
        <f ca="1">IFERROR(__xludf.DUMMYFUNCTION("""COMPUTED_VALUE"""),"No")</f>
        <v>No</v>
      </c>
      <c r="AF995" s="8"/>
      <c r="AG995" s="8" t="str">
        <f ca="1">IFERROR(__xludf.DUMMYFUNCTION("""COMPUTED_VALUE"""),"No")</f>
        <v>No</v>
      </c>
      <c r="AH995" s="8" t="str">
        <f ca="1">IFERROR(__xludf.DUMMYFUNCTION("""COMPUTED_VALUE"""),"No")</f>
        <v>No</v>
      </c>
      <c r="AI995" s="8" t="str">
        <f ca="1">IFERROR(__xludf.DUMMYFUNCTION("""COMPUTED_VALUE"""),"No")</f>
        <v>No</v>
      </c>
      <c r="AJ995" s="8" t="str">
        <f ca="1">IFERROR(__xludf.DUMMYFUNCTION("""COMPUTED_VALUE"""),"No")</f>
        <v>No</v>
      </c>
      <c r="AK995" s="8" t="str">
        <f ca="1">IFERROR(__xludf.DUMMYFUNCTION("""COMPUTED_VALUE"""),"No")</f>
        <v>No</v>
      </c>
      <c r="AL995" s="8"/>
      <c r="AM995" s="8" t="str">
        <f ca="1">IFERROR(__xludf.DUMMYFUNCTION("""COMPUTED_VALUE"""),"No")</f>
        <v>No</v>
      </c>
      <c r="AN995" s="8" t="str">
        <f ca="1">IFERROR(__xludf.DUMMYFUNCTION("""COMPUTED_VALUE"""),"Outside")</f>
        <v>Outside</v>
      </c>
      <c r="AO995" s="8" t="str">
        <f ca="1">IFERROR(__xludf.DUMMYFUNCTION("""COMPUTED_VALUE"""),"No")</f>
        <v>No</v>
      </c>
      <c r="AP995" s="8"/>
      <c r="AQ995" s="8"/>
      <c r="AR995" s="8" t="str">
        <f ca="1">IFERROR(__xludf.DUMMYFUNCTION("""COMPUTED_VALUE"""),"Outside/Off-Property")</f>
        <v>Outside/Off-Property</v>
      </c>
      <c r="AS995" s="8">
        <f ca="1">IFERROR(__xludf.DUMMYFUNCTION("""COMPUTED_VALUE"""),5)</f>
        <v>5</v>
      </c>
      <c r="AT995" s="8"/>
      <c r="AU995" s="8">
        <f ca="1">IFERROR(__xludf.DUMMYFUNCTION("""COMPUTED_VALUE"""),34.502831)</f>
        <v>34.502831</v>
      </c>
      <c r="AV995" s="8">
        <f ca="1">IFERROR(__xludf.DUMMYFUNCTION("""COMPUTED_VALUE"""),-117.374434)</f>
        <v>-117.37443399999999</v>
      </c>
      <c r="AW995" s="8"/>
      <c r="AX995" s="8">
        <f ca="1">IFERROR(__xludf.DUMMYFUNCTION("""COMPUTED_VALUE"""),92392)</f>
        <v>92392</v>
      </c>
    </row>
    <row r="996" spans="1:50" ht="75" x14ac:dyDescent="0.2">
      <c r="A996" s="8" t="str">
        <f ca="1">IFERROR(__xludf.DUMMYFUNCTION("""COMPUTED_VALUE"""),"20220811GAUCB")</f>
        <v>20220811GAUCB</v>
      </c>
      <c r="B996" s="8">
        <f ca="1">IFERROR(__xludf.DUMMYFUNCTION("""COMPUTED_VALUE"""),8)</f>
        <v>8</v>
      </c>
      <c r="C996" s="8">
        <f ca="1">IFERROR(__xludf.DUMMYFUNCTION("""COMPUTED_VALUE"""),11)</f>
        <v>11</v>
      </c>
      <c r="D996" s="8">
        <f ca="1">IFERROR(__xludf.DUMMYFUNCTION("""COMPUTED_VALUE"""),2022)</f>
        <v>2022</v>
      </c>
      <c r="E996" s="9">
        <f ca="1">IFERROR(__xludf.DUMMYFUNCTION("""COMPUTED_VALUE"""),44784)</f>
        <v>44784</v>
      </c>
      <c r="F996" s="8" t="str">
        <f ca="1">IFERROR(__xludf.DUMMYFUNCTION("""COMPUTED_VALUE"""),"Union County Primary School")</f>
        <v>Union County Primary School</v>
      </c>
      <c r="G996" s="8">
        <f ca="1">IFERROR(__xludf.DUMMYFUNCTION("""COMPUTED_VALUE"""),0)</f>
        <v>0</v>
      </c>
      <c r="H996" s="8">
        <f ca="1">IFERROR(__xludf.DUMMYFUNCTION("""COMPUTED_VALUE"""),0)</f>
        <v>0</v>
      </c>
      <c r="I996" s="8">
        <f ca="1">IFERROR(__xludf.DUMMYFUNCTION("""COMPUTED_VALUE"""),0)</f>
        <v>0</v>
      </c>
      <c r="J996" s="8">
        <f ca="1">IFERROR(__xludf.DUMMYFUNCTION("""COMPUTED_VALUE"""),0)</f>
        <v>0</v>
      </c>
      <c r="K996" s="10" t="str">
        <f ca="1">IFERROR(__xludf.DUMMYFUNCTION("""COMPUTED_VALUE"""),"https://www.wsbtv.com/news/local/union-county-schools-employee-fires-shots-into-vehicle-school-campus-gbi-says/AVSIFE5YPVD7ZO5QFZ3EHPXIAE/
https://www.wyff4.com/article/school-employee-arrested-union-county-ga-shooting/40881797
https://gbi.georgia.gov/pre"&amp;"ss-releases/2022-08-12/gbi-investigates-union-county-school-shooting-incident")</f>
        <v>https://www.wsbtv.com/news/local/union-county-schools-employee-fires-shots-into-vehicle-school-campus-gbi-says/AVSIFE5YPVD7ZO5QFZ3EHPXIAE/
https://www.wyff4.com/article/school-employee-arrested-union-county-ga-shooting/40881797
https://gbi.georgia.gov/press-releases/2022-08-12/gbi-investigates-union-county-school-shooting-incident</v>
      </c>
      <c r="L996" s="8">
        <f ca="1">IFERROR(__xludf.DUMMYFUNCTION("""COMPUTED_VALUE"""),10)</f>
        <v>10</v>
      </c>
      <c r="M996" s="8" t="str">
        <f ca="1">IFERROR(__xludf.DUMMYFUNCTION("""COMPUTED_VALUE"""),"Regional")</f>
        <v>Regional</v>
      </c>
      <c r="N996" s="8">
        <f ca="1">IFERROR(__xludf.DUMMYFUNCTION("""COMPUTED_VALUE"""),4)</f>
        <v>4</v>
      </c>
      <c r="O996" s="8" t="str">
        <f ca="1">IFERROR(__xludf.DUMMYFUNCTION("""COMPUTED_VALUE"""),"Summer")</f>
        <v>Summer</v>
      </c>
      <c r="P996" s="8" t="str">
        <f ca="1">IFERROR(__xludf.DUMMYFUNCTION("""COMPUTED_VALUE"""),"Blairsville")</f>
        <v>Blairsville</v>
      </c>
      <c r="Q996" s="8" t="str">
        <f ca="1">IFERROR(__xludf.DUMMYFUNCTION("""COMPUTED_VALUE"""),"GA")</f>
        <v>GA</v>
      </c>
      <c r="R996" s="8" t="str">
        <f ca="1">IFERROR(__xludf.DUMMYFUNCTION("""COMPUTED_VALUE"""),"Elementary")</f>
        <v>Elementary</v>
      </c>
      <c r="S996" s="8" t="str">
        <f ca="1">IFERROR(__xludf.DUMMYFUNCTION("""COMPUTED_VALUE"""),"Parking Lot")</f>
        <v>Parking Lot</v>
      </c>
      <c r="T996" s="8" t="str">
        <f ca="1">IFERROR(__xludf.DUMMYFUNCTION("""COMPUTED_VALUE"""),"Outside on School Property")</f>
        <v>Outside on School Property</v>
      </c>
      <c r="U996" s="8" t="str">
        <f ca="1">IFERROR(__xludf.DUMMYFUNCTION("""COMPUTED_VALUE"""),"Yes")</f>
        <v>Yes</v>
      </c>
      <c r="V996" s="8" t="str">
        <f ca="1">IFERROR(__xludf.DUMMYFUNCTION("""COMPUTED_VALUE"""),"Afternoon Classes")</f>
        <v>Afternoon Classes</v>
      </c>
      <c r="W996" s="11">
        <f ca="1">IFERROR(__xludf.DUMMYFUNCTION("""COMPUTED_VALUE"""),0.59375)</f>
        <v>0.59375</v>
      </c>
      <c r="X996" s="8">
        <f ca="1">IFERROR(__xludf.DUMMYFUNCTION("""COMPUTED_VALUE"""),1)</f>
        <v>1</v>
      </c>
      <c r="Y996" s="12" t="str">
        <f ca="1">IFERROR(__xludf.DUMMYFUNCTION("""COMPUTED_VALUE"""),"Maintenance employee fired multiple shots at a car in the school parking lot")</f>
        <v>Maintenance employee fired multiple shots at a car in the school parking lot</v>
      </c>
      <c r="Z996" s="12" t="str">
        <f ca="1">IFERROR(__xludf.DUMMYFUNCTION("""COMPUTED_VALUE"""),"While teachers were conducting class lesson planning for the school year, a maintenance employee fired multiple shots at a vehicle in the school parking lot. Shooter fled the scene and was arrested following a manhunt. Charged with multiple felonies. ")</f>
        <v xml:space="preserve">While teachers were conducting class lesson planning for the school year, a maintenance employee fired multiple shots at a vehicle in the school parking lot. Shooter fled the scene and was arrested following a manhunt. Charged with multiple felonies. </v>
      </c>
      <c r="AA996" s="8" t="str">
        <f ca="1">IFERROR(__xludf.DUMMYFUNCTION("""COMPUTED_VALUE"""),"Intentional Property Damage")</f>
        <v>Intentional Property Damage</v>
      </c>
      <c r="AB996" s="8"/>
      <c r="AC996" s="8" t="str">
        <f ca="1">IFERROR(__xludf.DUMMYFUNCTION("""COMPUTED_VALUE"""),"Yes")</f>
        <v>Yes</v>
      </c>
      <c r="AD996" s="8" t="str">
        <f ca="1">IFERROR(__xludf.DUMMYFUNCTION("""COMPUTED_VALUE"""),"Neither")</f>
        <v>Neither</v>
      </c>
      <c r="AE996" s="8" t="str">
        <f ca="1">IFERROR(__xludf.DUMMYFUNCTION("""COMPUTED_VALUE"""),"No")</f>
        <v>No</v>
      </c>
      <c r="AF996" s="8"/>
      <c r="AG996" s="8" t="str">
        <f ca="1">IFERROR(__xludf.DUMMYFUNCTION("""COMPUTED_VALUE"""),"No")</f>
        <v>No</v>
      </c>
      <c r="AH996" s="8" t="str">
        <f ca="1">IFERROR(__xludf.DUMMYFUNCTION("""COMPUTED_VALUE"""),"No")</f>
        <v>No</v>
      </c>
      <c r="AI996" s="8" t="str">
        <f ca="1">IFERROR(__xludf.DUMMYFUNCTION("""COMPUTED_VALUE"""),"No")</f>
        <v>No</v>
      </c>
      <c r="AJ996" s="8" t="str">
        <f ca="1">IFERROR(__xludf.DUMMYFUNCTION("""COMPUTED_VALUE"""),"No")</f>
        <v>No</v>
      </c>
      <c r="AK996" s="8"/>
      <c r="AL996" s="8"/>
      <c r="AM996" s="8" t="str">
        <f ca="1">IFERROR(__xludf.DUMMYFUNCTION("""COMPUTED_VALUE"""),"No")</f>
        <v>No</v>
      </c>
      <c r="AN996" s="8" t="str">
        <f ca="1">IFERROR(__xludf.DUMMYFUNCTION("""COMPUTED_VALUE"""),"Outside")</f>
        <v>Outside</v>
      </c>
      <c r="AO996" s="8" t="str">
        <f ca="1">IFERROR(__xludf.DUMMYFUNCTION("""COMPUTED_VALUE"""),"No")</f>
        <v>No</v>
      </c>
      <c r="AP996" s="8"/>
      <c r="AQ996" s="8"/>
      <c r="AR996" s="8" t="str">
        <f ca="1">IFERROR(__xludf.DUMMYFUNCTION("""COMPUTED_VALUE"""),"Outside/Off-Property")</f>
        <v>Outside/Off-Property</v>
      </c>
      <c r="AS996" s="8">
        <f ca="1">IFERROR(__xludf.DUMMYFUNCTION("""COMPUTED_VALUE"""),99)</f>
        <v>99</v>
      </c>
      <c r="AT996" s="8" t="str">
        <f ca="1">IFERROR(__xludf.DUMMYFUNCTION("""COMPUTED_VALUE"""),"Yes")</f>
        <v>Yes</v>
      </c>
      <c r="AU996" s="8">
        <f ca="1">IFERROR(__xludf.DUMMYFUNCTION("""COMPUTED_VALUE"""),34.876287)</f>
        <v>34.876286999999998</v>
      </c>
      <c r="AV996" s="8">
        <f ca="1">IFERROR(__xludf.DUMMYFUNCTION("""COMPUTED_VALUE"""),-83.949419)</f>
        <v>-83.949419000000006</v>
      </c>
      <c r="AW996" s="8"/>
      <c r="AX996" s="8">
        <f ca="1">IFERROR(__xludf.DUMMYFUNCTION("""COMPUTED_VALUE"""),30512)</f>
        <v>30512</v>
      </c>
    </row>
    <row r="997" spans="1:50" ht="75" x14ac:dyDescent="0.2">
      <c r="A997" s="8" t="str">
        <f ca="1">IFERROR(__xludf.DUMMYFUNCTION("""COMPUTED_VALUE"""),"20220810GAMCA")</f>
        <v>20220810GAMCA</v>
      </c>
      <c r="B997" s="8">
        <f ca="1">IFERROR(__xludf.DUMMYFUNCTION("""COMPUTED_VALUE"""),8)</f>
        <v>8</v>
      </c>
      <c r="C997" s="8">
        <f ca="1">IFERROR(__xludf.DUMMYFUNCTION("""COMPUTED_VALUE"""),10)</f>
        <v>10</v>
      </c>
      <c r="D997" s="8">
        <f ca="1">IFERROR(__xludf.DUMMYFUNCTION("""COMPUTED_VALUE"""),2022)</f>
        <v>2022</v>
      </c>
      <c r="E997" s="9">
        <f ca="1">IFERROR(__xludf.DUMMYFUNCTION("""COMPUTED_VALUE"""),44783)</f>
        <v>44783</v>
      </c>
      <c r="F997" s="8" t="str">
        <f ca="1">IFERROR(__xludf.DUMMYFUNCTION("""COMPUTED_VALUE"""),"McDonough High School")</f>
        <v>McDonough High School</v>
      </c>
      <c r="G997" s="8">
        <f ca="1">IFERROR(__xludf.DUMMYFUNCTION("""COMPUTED_VALUE"""),0)</f>
        <v>0</v>
      </c>
      <c r="H997" s="8">
        <f ca="1">IFERROR(__xludf.DUMMYFUNCTION("""COMPUTED_VALUE"""),0)</f>
        <v>0</v>
      </c>
      <c r="I997" s="8">
        <f ca="1">IFERROR(__xludf.DUMMYFUNCTION("""COMPUTED_VALUE"""),0)</f>
        <v>0</v>
      </c>
      <c r="J997" s="8">
        <f ca="1">IFERROR(__xludf.DUMMYFUNCTION("""COMPUTED_VALUE"""),0)</f>
        <v>0</v>
      </c>
      <c r="K997" s="10" t="str">
        <f ca="1">IFERROR(__xludf.DUMMYFUNCTION("""COMPUTED_VALUE"""),"https://www.cbs46.com/2022/08/10/mcdonough-high-school-under-soft-lockdown/
https://www.11alive.com/article/news/local/henry-county-high-lockdown/85-3fef23a6-d1b9-47e3-8f26-4e97e6cd9ed5")</f>
        <v>https://www.cbs46.com/2022/08/10/mcdonough-high-school-under-soft-lockdown/
https://www.11alive.com/article/news/local/henry-county-high-lockdown/85-3fef23a6-d1b9-47e3-8f26-4e97e6cd9ed5</v>
      </c>
      <c r="L997" s="8">
        <f ca="1">IFERROR(__xludf.DUMMYFUNCTION("""COMPUTED_VALUE"""),5)</f>
        <v>5</v>
      </c>
      <c r="M997" s="8" t="str">
        <f ca="1">IFERROR(__xludf.DUMMYFUNCTION("""COMPUTED_VALUE"""),"Regional")</f>
        <v>Regional</v>
      </c>
      <c r="N997" s="8">
        <f ca="1">IFERROR(__xludf.DUMMYFUNCTION("""COMPUTED_VALUE"""),4)</f>
        <v>4</v>
      </c>
      <c r="O997" s="8" t="str">
        <f ca="1">IFERROR(__xludf.DUMMYFUNCTION("""COMPUTED_VALUE"""),"Summer")</f>
        <v>Summer</v>
      </c>
      <c r="P997" s="8" t="str">
        <f ca="1">IFERROR(__xludf.DUMMYFUNCTION("""COMPUTED_VALUE"""),"McDonough")</f>
        <v>McDonough</v>
      </c>
      <c r="Q997" s="8" t="str">
        <f ca="1">IFERROR(__xludf.DUMMYFUNCTION("""COMPUTED_VALUE"""),"GA")</f>
        <v>GA</v>
      </c>
      <c r="R997" s="8" t="str">
        <f ca="1">IFERROR(__xludf.DUMMYFUNCTION("""COMPUTED_VALUE"""),"High")</f>
        <v>High</v>
      </c>
      <c r="S997" s="8" t="str">
        <f ca="1">IFERROR(__xludf.DUMMYFUNCTION("""COMPUTED_VALUE"""),"Gym")</f>
        <v>Gym</v>
      </c>
      <c r="T997" s="8" t="str">
        <f ca="1">IFERROR(__xludf.DUMMYFUNCTION("""COMPUTED_VALUE"""),"Inside School Building")</f>
        <v>Inside School Building</v>
      </c>
      <c r="U997" s="8" t="str">
        <f ca="1">IFERROR(__xludf.DUMMYFUNCTION("""COMPUTED_VALUE"""),"Yes")</f>
        <v>Yes</v>
      </c>
      <c r="V997" s="8" t="str">
        <f ca="1">IFERROR(__xludf.DUMMYFUNCTION("""COMPUTED_VALUE"""),"Morning Classes")</f>
        <v>Morning Classes</v>
      </c>
      <c r="W997" s="11">
        <f ca="1">IFERROR(__xludf.DUMMYFUNCTION("""COMPUTED_VALUE"""),0.479166666666666)</f>
        <v>0.47916666666666602</v>
      </c>
      <c r="X997" s="8">
        <f ca="1">IFERROR(__xludf.DUMMYFUNCTION("""COMPUTED_VALUE"""),1)</f>
        <v>1</v>
      </c>
      <c r="Y997" s="12" t="str">
        <f ca="1">IFERROR(__xludf.DUMMYFUNCTION("""COMPUTED_VALUE"""),"Gun inside backpack discharged when student dropped bag inside the gym")</f>
        <v>Gun inside backpack discharged when student dropped bag inside the gym</v>
      </c>
      <c r="Z997" s="12" t="str">
        <f ca="1">IFERROR(__xludf.DUMMYFUNCTION("""COMPUTED_VALUE"""),"A gun discharged inside the backpack of an 18-year-old student when he dropped it in the gym. School went into lockdown. SRO found shooter and recovered two guns from his backpack. No injuries.")</f>
        <v>A gun discharged inside the backpack of an 18-year-old student when he dropped it in the gym. School went into lockdown. SRO found shooter and recovered two guns from his backpack. No injuries.</v>
      </c>
      <c r="AA997" s="8" t="str">
        <f ca="1">IFERROR(__xludf.DUMMYFUNCTION("""COMPUTED_VALUE"""),"Accidental")</f>
        <v>Accidental</v>
      </c>
      <c r="AB997" s="8"/>
      <c r="AC997" s="8" t="str">
        <f ca="1">IFERROR(__xludf.DUMMYFUNCTION("""COMPUTED_VALUE"""),"Yes")</f>
        <v>Yes</v>
      </c>
      <c r="AD997" s="8" t="str">
        <f ca="1">IFERROR(__xludf.DUMMYFUNCTION("""COMPUTED_VALUE"""),"Neither")</f>
        <v>Neither</v>
      </c>
      <c r="AE997" s="8" t="str">
        <f ca="1">IFERROR(__xludf.DUMMYFUNCTION("""COMPUTED_VALUE"""),"No")</f>
        <v>No</v>
      </c>
      <c r="AF997" s="8"/>
      <c r="AG997" s="8" t="str">
        <f ca="1">IFERROR(__xludf.DUMMYFUNCTION("""COMPUTED_VALUE"""),"No")</f>
        <v>No</v>
      </c>
      <c r="AH997" s="8" t="str">
        <f ca="1">IFERROR(__xludf.DUMMYFUNCTION("""COMPUTED_VALUE"""),"No")</f>
        <v>No</v>
      </c>
      <c r="AI997" s="8" t="str">
        <f ca="1">IFERROR(__xludf.DUMMYFUNCTION("""COMPUTED_VALUE"""),"No")</f>
        <v>No</v>
      </c>
      <c r="AJ997" s="8" t="str">
        <f ca="1">IFERROR(__xludf.DUMMYFUNCTION("""COMPUTED_VALUE"""),"No")</f>
        <v>No</v>
      </c>
      <c r="AK997" s="8" t="str">
        <f ca="1">IFERROR(__xludf.DUMMYFUNCTION("""COMPUTED_VALUE"""),"No")</f>
        <v>No</v>
      </c>
      <c r="AL997" s="8" t="str">
        <f ca="1">IFERROR(__xludf.DUMMYFUNCTION("""COMPUTED_VALUE"""),"No")</f>
        <v>No</v>
      </c>
      <c r="AM997" s="8" t="str">
        <f ca="1">IFERROR(__xludf.DUMMYFUNCTION("""COMPUTED_VALUE"""),"No")</f>
        <v>No</v>
      </c>
      <c r="AN997" s="8" t="str">
        <f ca="1">IFERROR(__xludf.DUMMYFUNCTION("""COMPUTED_VALUE"""),"Single Room")</f>
        <v>Single Room</v>
      </c>
      <c r="AO997" s="8" t="str">
        <f ca="1">IFERROR(__xludf.DUMMYFUNCTION("""COMPUTED_VALUE"""),"No")</f>
        <v>No</v>
      </c>
      <c r="AP997" s="8" t="str">
        <f ca="1">IFERROR(__xludf.DUMMYFUNCTION("""COMPUTED_VALUE"""),"Yes")</f>
        <v>Yes</v>
      </c>
      <c r="AQ997" s="8" t="str">
        <f ca="1">IFERROR(__xludf.DUMMYFUNCTION("""COMPUTED_VALUE"""),"Armed Guards")</f>
        <v>Armed Guards</v>
      </c>
      <c r="AR997" s="8" t="str">
        <f ca="1">IFERROR(__xludf.DUMMYFUNCTION("""COMPUTED_VALUE"""),"Failed")</f>
        <v>Failed</v>
      </c>
      <c r="AS997" s="8">
        <f ca="1">IFERROR(__xludf.DUMMYFUNCTION("""COMPUTED_VALUE"""),1)</f>
        <v>1</v>
      </c>
      <c r="AT997" s="8" t="str">
        <f ca="1">IFERROR(__xludf.DUMMYFUNCTION("""COMPUTED_VALUE"""),"Yes")</f>
        <v>Yes</v>
      </c>
      <c r="AU997" s="8">
        <f ca="1">IFERROR(__xludf.DUMMYFUNCTION("""COMPUTED_VALUE"""),33.438128)</f>
        <v>33.438127999999999</v>
      </c>
      <c r="AV997" s="8">
        <f ca="1">IFERROR(__xludf.DUMMYFUNCTION("""COMPUTED_VALUE"""),-84.137078)</f>
        <v>-84.137078000000002</v>
      </c>
      <c r="AW997" s="8"/>
      <c r="AX997" s="8">
        <f ca="1">IFERROR(__xludf.DUMMYFUNCTION("""COMPUTED_VALUE"""),30353)</f>
        <v>30353</v>
      </c>
    </row>
    <row r="998" spans="1:50" ht="60" x14ac:dyDescent="0.2">
      <c r="A998" s="8" t="str">
        <f ca="1">IFERROR(__xludf.DUMMYFUNCTION("""COMPUTED_VALUE"""),"20220809PACHP")</f>
        <v>20220809PACHP</v>
      </c>
      <c r="B998" s="8">
        <f ca="1">IFERROR(__xludf.DUMMYFUNCTION("""COMPUTED_VALUE"""),8)</f>
        <v>8</v>
      </c>
      <c r="C998" s="8">
        <f ca="1">IFERROR(__xludf.DUMMYFUNCTION("""COMPUTED_VALUE"""),9)</f>
        <v>9</v>
      </c>
      <c r="D998" s="8">
        <f ca="1">IFERROR(__xludf.DUMMYFUNCTION("""COMPUTED_VALUE"""),2022)</f>
        <v>2022</v>
      </c>
      <c r="E998" s="9">
        <f ca="1">IFERROR(__xludf.DUMMYFUNCTION("""COMPUTED_VALUE"""),44781)</f>
        <v>44781</v>
      </c>
      <c r="F998" s="8" t="str">
        <f ca="1">IFERROR(__xludf.DUMMYFUNCTION("""COMPUTED_VALUE"""),"Charles B. Warring Elementary School")</f>
        <v>Charles B. Warring Elementary School</v>
      </c>
      <c r="G998" s="8">
        <f ca="1">IFERROR(__xludf.DUMMYFUNCTION("""COMPUTED_VALUE"""),1)</f>
        <v>1</v>
      </c>
      <c r="H998" s="8">
        <f ca="1">IFERROR(__xludf.DUMMYFUNCTION("""COMPUTED_VALUE"""),1)</f>
        <v>1</v>
      </c>
      <c r="I998" s="8">
        <f ca="1">IFERROR(__xludf.DUMMYFUNCTION("""COMPUTED_VALUE"""),2)</f>
        <v>2</v>
      </c>
      <c r="J998" s="8">
        <f ca="1">IFERROR(__xludf.DUMMYFUNCTION("""COMPUTED_VALUE"""),0)</f>
        <v>0</v>
      </c>
      <c r="K998" s="10" t="str">
        <f ca="1">IFERROR(__xludf.DUMMYFUNCTION("""COMPUTED_VALUE"""),"https://hudsonvalleypost.com/hudson-valley-man-fatally-shot-outside-new-york-school-poughkeepsie-dutchess-county/")</f>
        <v>https://hudsonvalleypost.com/hudson-valley-man-fatally-shot-outside-new-york-school-poughkeepsie-dutchess-county/</v>
      </c>
      <c r="L998" s="8">
        <f ca="1">IFERROR(__xludf.DUMMYFUNCTION("""COMPUTED_VALUE"""),1)</f>
        <v>1</v>
      </c>
      <c r="M998" s="8" t="str">
        <f ca="1">IFERROR(__xludf.DUMMYFUNCTION("""COMPUTED_VALUE"""),"Local")</f>
        <v>Local</v>
      </c>
      <c r="N998" s="8">
        <f ca="1">IFERROR(__xludf.DUMMYFUNCTION("""COMPUTED_VALUE"""),2)</f>
        <v>2</v>
      </c>
      <c r="O998" s="8" t="str">
        <f ca="1">IFERROR(__xludf.DUMMYFUNCTION("""COMPUTED_VALUE"""),"Summer")</f>
        <v>Summer</v>
      </c>
      <c r="P998" s="8" t="str">
        <f ca="1">IFERROR(__xludf.DUMMYFUNCTION("""COMPUTED_VALUE"""),"Poughkeepsie")</f>
        <v>Poughkeepsie</v>
      </c>
      <c r="Q998" s="8" t="str">
        <f ca="1">IFERROR(__xludf.DUMMYFUNCTION("""COMPUTED_VALUE"""),"NY")</f>
        <v>NY</v>
      </c>
      <c r="R998" s="8" t="str">
        <f ca="1">IFERROR(__xludf.DUMMYFUNCTION("""COMPUTED_VALUE"""),"Elementary")</f>
        <v>Elementary</v>
      </c>
      <c r="S998" s="8" t="str">
        <f ca="1">IFERROR(__xludf.DUMMYFUNCTION("""COMPUTED_VALUE"""),"Front of School")</f>
        <v>Front of School</v>
      </c>
      <c r="T998" s="8" t="str">
        <f ca="1">IFERROR(__xludf.DUMMYFUNCTION("""COMPUTED_VALUE"""),"Outside on School Property")</f>
        <v>Outside on School Property</v>
      </c>
      <c r="U998" s="8" t="str">
        <f ca="1">IFERROR(__xludf.DUMMYFUNCTION("""COMPUTED_VALUE"""),"No")</f>
        <v>No</v>
      </c>
      <c r="V998" s="8" t="str">
        <f ca="1">IFERROR(__xludf.DUMMYFUNCTION("""COMPUTED_VALUE"""),"Night")</f>
        <v>Night</v>
      </c>
      <c r="W998" s="11">
        <f ca="1">IFERROR(__xludf.DUMMYFUNCTION("""COMPUTED_VALUE"""),0.0722222222222222)</f>
        <v>7.2222222222222202E-2</v>
      </c>
      <c r="X998" s="8">
        <f ca="1">IFERROR(__xludf.DUMMYFUNCTION("""COMPUTED_VALUE"""),1)</f>
        <v>1</v>
      </c>
      <c r="Y998" s="12" t="str">
        <f ca="1">IFERROR(__xludf.DUMMYFUNCTION("""COMPUTED_VALUE"""),"Two men shot in front of school")</f>
        <v>Two men shot in front of school</v>
      </c>
      <c r="Z998" s="12" t="str">
        <f ca="1">IFERROR(__xludf.DUMMYFUNCTION("""COMPUTED_VALUE"""),"Two men were shot in front of the school. One man was killed and his body was found next to a vehicle in front of the building. Second man was wounded and walked to a hospital. Shooter fled.")</f>
        <v>Two men were shot in front of the school. One man was killed and his body was found next to a vehicle in front of the building. Second man was wounded and walked to a hospital. Shooter fled.</v>
      </c>
      <c r="AA998" s="8"/>
      <c r="AB998" s="8"/>
      <c r="AC998" s="8" t="str">
        <f ca="1">IFERROR(__xludf.DUMMYFUNCTION("""COMPUTED_VALUE"""),"No")</f>
        <v>No</v>
      </c>
      <c r="AD998" s="8"/>
      <c r="AE998" s="8" t="str">
        <f ca="1">IFERROR(__xludf.DUMMYFUNCTION("""COMPUTED_VALUE"""),"No")</f>
        <v>No</v>
      </c>
      <c r="AF998" s="8"/>
      <c r="AG998" s="8" t="str">
        <f ca="1">IFERROR(__xludf.DUMMYFUNCTION("""COMPUTED_VALUE"""),"No")</f>
        <v>No</v>
      </c>
      <c r="AH998" s="8" t="str">
        <f ca="1">IFERROR(__xludf.DUMMYFUNCTION("""COMPUTED_VALUE"""),"No")</f>
        <v>No</v>
      </c>
      <c r="AI998" s="8" t="str">
        <f ca="1">IFERROR(__xludf.DUMMYFUNCTION("""COMPUTED_VALUE"""),"No")</f>
        <v>No</v>
      </c>
      <c r="AJ998" s="8" t="str">
        <f ca="1">IFERROR(__xludf.DUMMYFUNCTION("""COMPUTED_VALUE"""),"No")</f>
        <v>No</v>
      </c>
      <c r="AK998" s="8" t="str">
        <f ca="1">IFERROR(__xludf.DUMMYFUNCTION("""COMPUTED_VALUE"""),"No")</f>
        <v>No</v>
      </c>
      <c r="AL998" s="8"/>
      <c r="AM998" s="8" t="str">
        <f ca="1">IFERROR(__xludf.DUMMYFUNCTION("""COMPUTED_VALUE"""),"No")</f>
        <v>No</v>
      </c>
      <c r="AN998" s="8" t="str">
        <f ca="1">IFERROR(__xludf.DUMMYFUNCTION("""COMPUTED_VALUE"""),"Outside")</f>
        <v>Outside</v>
      </c>
      <c r="AO998" s="8" t="str">
        <f ca="1">IFERROR(__xludf.DUMMYFUNCTION("""COMPUTED_VALUE"""),"No")</f>
        <v>No</v>
      </c>
      <c r="AP998" s="8"/>
      <c r="AQ998" s="8"/>
      <c r="AR998" s="8" t="str">
        <f ca="1">IFERROR(__xludf.DUMMYFUNCTION("""COMPUTED_VALUE"""),"Outside/Off-Property")</f>
        <v>Outside/Off-Property</v>
      </c>
      <c r="AS998" s="8"/>
      <c r="AT998" s="8"/>
      <c r="AU998" s="8">
        <f ca="1">IFERROR(__xludf.DUMMYFUNCTION("""COMPUTED_VALUE"""),41.705)</f>
        <v>41.704999999999998</v>
      </c>
      <c r="AV998" s="8">
        <f ca="1">IFERROR(__xludf.DUMMYFUNCTION("""COMPUTED_VALUE"""),-73.91502)</f>
        <v>-73.915019999999998</v>
      </c>
      <c r="AW998" s="8"/>
      <c r="AX998" s="8">
        <f ca="1">IFERROR(__xludf.DUMMYFUNCTION("""COMPUTED_VALUE"""),12601)</f>
        <v>12601</v>
      </c>
    </row>
    <row r="999" spans="1:50" ht="60" x14ac:dyDescent="0.2">
      <c r="A999" s="8" t="str">
        <f ca="1">IFERROR(__xludf.DUMMYFUNCTION("""COMPUTED_VALUE"""),"20220805MATHL")</f>
        <v>20220805MATHL</v>
      </c>
      <c r="B999" s="8">
        <f ca="1">IFERROR(__xludf.DUMMYFUNCTION("""COMPUTED_VALUE"""),8)</f>
        <v>8</v>
      </c>
      <c r="C999" s="8">
        <f ca="1">IFERROR(__xludf.DUMMYFUNCTION("""COMPUTED_VALUE"""),5)</f>
        <v>5</v>
      </c>
      <c r="D999" s="8">
        <f ca="1">IFERROR(__xludf.DUMMYFUNCTION("""COMPUTED_VALUE"""),2022)</f>
        <v>2022</v>
      </c>
      <c r="E999" s="9">
        <f ca="1">IFERROR(__xludf.DUMMYFUNCTION("""COMPUTED_VALUE"""),44778)</f>
        <v>44778</v>
      </c>
      <c r="F999" s="8" t="str">
        <f ca="1">IFERROR(__xludf.DUMMYFUNCTION("""COMPUTED_VALUE"""),"Thurgood Marshall Middle School")</f>
        <v>Thurgood Marshall Middle School</v>
      </c>
      <c r="G999" s="8">
        <f ca="1">IFERROR(__xludf.DUMMYFUNCTION("""COMPUTED_VALUE"""),0)</f>
        <v>0</v>
      </c>
      <c r="H999" s="8">
        <f ca="1">IFERROR(__xludf.DUMMYFUNCTION("""COMPUTED_VALUE"""),0)</f>
        <v>0</v>
      </c>
      <c r="I999" s="8">
        <f ca="1">IFERROR(__xludf.DUMMYFUNCTION("""COMPUTED_VALUE"""),0)</f>
        <v>0</v>
      </c>
      <c r="J999" s="8">
        <f ca="1">IFERROR(__xludf.DUMMYFUNCTION("""COMPUTED_VALUE"""),0)</f>
        <v>0</v>
      </c>
      <c r="K999" s="10" t="str">
        <f ca="1">IFERROR(__xludf.DUMMYFUNCTION("""COMPUTED_VALUE"""),"https://www.wcvb.com/article/shoe-city-classic-canceled-shooting-lynn-massachusetts/40825240
https://www.nbcboston.com/news/local/shooting-breaks-out-during-basketball-game-in-lynn-mass/2801412/")</f>
        <v>https://www.wcvb.com/article/shoe-city-classic-canceled-shooting-lynn-massachusetts/40825240
https://www.nbcboston.com/news/local/shooting-breaks-out-during-basketball-game-in-lynn-mass/2801412/</v>
      </c>
      <c r="L999" s="8">
        <f ca="1">IFERROR(__xludf.DUMMYFUNCTION("""COMPUTED_VALUE"""),2)</f>
        <v>2</v>
      </c>
      <c r="M999" s="8" t="str">
        <f ca="1">IFERROR(__xludf.DUMMYFUNCTION("""COMPUTED_VALUE"""),"Local")</f>
        <v>Local</v>
      </c>
      <c r="N999" s="8">
        <f ca="1">IFERROR(__xludf.DUMMYFUNCTION("""COMPUTED_VALUE"""),4)</f>
        <v>4</v>
      </c>
      <c r="O999" s="8" t="str">
        <f ca="1">IFERROR(__xludf.DUMMYFUNCTION("""COMPUTED_VALUE"""),"Summer")</f>
        <v>Summer</v>
      </c>
      <c r="P999" s="8" t="str">
        <f ca="1">IFERROR(__xludf.DUMMYFUNCTION("""COMPUTED_VALUE"""),"Lynn")</f>
        <v>Lynn</v>
      </c>
      <c r="Q999" s="8" t="str">
        <f ca="1">IFERROR(__xludf.DUMMYFUNCTION("""COMPUTED_VALUE"""),"MA")</f>
        <v>MA</v>
      </c>
      <c r="R999" s="8" t="str">
        <f ca="1">IFERROR(__xludf.DUMMYFUNCTION("""COMPUTED_VALUE"""),"Middle")</f>
        <v>Middle</v>
      </c>
      <c r="S999" s="8" t="str">
        <f ca="1">IFERROR(__xludf.DUMMYFUNCTION("""COMPUTED_VALUE"""),"Parking Lot")</f>
        <v>Parking Lot</v>
      </c>
      <c r="T999" s="8" t="str">
        <f ca="1">IFERROR(__xludf.DUMMYFUNCTION("""COMPUTED_VALUE"""),"Outside on School Property")</f>
        <v>Outside on School Property</v>
      </c>
      <c r="U999" s="8" t="str">
        <f ca="1">IFERROR(__xludf.DUMMYFUNCTION("""COMPUTED_VALUE"""),"No")</f>
        <v>No</v>
      </c>
      <c r="V999" s="8" t="str">
        <f ca="1">IFERROR(__xludf.DUMMYFUNCTION("""COMPUTED_VALUE"""),"Sport Event")</f>
        <v>Sport Event</v>
      </c>
      <c r="W999" s="11">
        <f ca="1">IFERROR(__xludf.DUMMYFUNCTION("""COMPUTED_VALUE"""),0.944444444444444)</f>
        <v>0.94444444444444398</v>
      </c>
      <c r="X999" s="8">
        <f ca="1">IFERROR(__xludf.DUMMYFUNCTION("""COMPUTED_VALUE"""),1)</f>
        <v>1</v>
      </c>
      <c r="Y999" s="12" t="str">
        <f ca="1">IFERROR(__xludf.DUMMYFUNCTION("""COMPUTED_VALUE"""),"Shots fired during fight in parking lot during basketball tournament")</f>
        <v>Shots fired during fight in parking lot during basketball tournament</v>
      </c>
      <c r="Z999" s="12" t="str">
        <f ca="1">IFERROR(__xludf.DUMMYFUNCTION("""COMPUTED_VALUE"""),"A 25-year-old man fired 3 shots in the school parking lot during a fight outside a basketball tournament. No injuries. Remainder of tournament was cancelled. ")</f>
        <v xml:space="preserve">A 25-year-old man fired 3 shots in the school parking lot during a fight outside a basketball tournament. No injuries. Remainder of tournament was cancelled. </v>
      </c>
      <c r="AA999" s="8" t="str">
        <f ca="1">IFERROR(__xludf.DUMMYFUNCTION("""COMPUTED_VALUE"""),"Escalation of Dispute")</f>
        <v>Escalation of Dispute</v>
      </c>
      <c r="AB999" s="8"/>
      <c r="AC999" s="8" t="str">
        <f ca="1">IFERROR(__xludf.DUMMYFUNCTION("""COMPUTED_VALUE"""),"Yes")</f>
        <v>Yes</v>
      </c>
      <c r="AD999" s="8" t="str">
        <f ca="1">IFERROR(__xludf.DUMMYFUNCTION("""COMPUTED_VALUE"""),"Victims Targeted")</f>
        <v>Victims Targeted</v>
      </c>
      <c r="AE999" s="8" t="str">
        <f ca="1">IFERROR(__xludf.DUMMYFUNCTION("""COMPUTED_VALUE"""),"No")</f>
        <v>No</v>
      </c>
      <c r="AF999" s="8"/>
      <c r="AG999" s="8" t="str">
        <f ca="1">IFERROR(__xludf.DUMMYFUNCTION("""COMPUTED_VALUE"""),"No")</f>
        <v>No</v>
      </c>
      <c r="AH999" s="8" t="str">
        <f ca="1">IFERROR(__xludf.DUMMYFUNCTION("""COMPUTED_VALUE"""),"No")</f>
        <v>No</v>
      </c>
      <c r="AI999" s="8" t="str">
        <f ca="1">IFERROR(__xludf.DUMMYFUNCTION("""COMPUTED_VALUE"""),"No")</f>
        <v>No</v>
      </c>
      <c r="AJ999" s="8" t="str">
        <f ca="1">IFERROR(__xludf.DUMMYFUNCTION("""COMPUTED_VALUE"""),"No")</f>
        <v>No</v>
      </c>
      <c r="AK999" s="8" t="str">
        <f ca="1">IFERROR(__xludf.DUMMYFUNCTION("""COMPUTED_VALUE"""),"No")</f>
        <v>No</v>
      </c>
      <c r="AL999" s="8" t="str">
        <f ca="1">IFERROR(__xludf.DUMMYFUNCTION("""COMPUTED_VALUE"""),"No")</f>
        <v>No</v>
      </c>
      <c r="AM999" s="8" t="str">
        <f ca="1">IFERROR(__xludf.DUMMYFUNCTION("""COMPUTED_VALUE"""),"No")</f>
        <v>No</v>
      </c>
      <c r="AN999" s="8" t="str">
        <f ca="1">IFERROR(__xludf.DUMMYFUNCTION("""COMPUTED_VALUE"""),"Outside")</f>
        <v>Outside</v>
      </c>
      <c r="AO999" s="8" t="str">
        <f ca="1">IFERROR(__xludf.DUMMYFUNCTION("""COMPUTED_VALUE"""),"No")</f>
        <v>No</v>
      </c>
      <c r="AP999" s="8"/>
      <c r="AQ999" s="8"/>
      <c r="AR999" s="8" t="str">
        <f ca="1">IFERROR(__xludf.DUMMYFUNCTION("""COMPUTED_VALUE"""),"Outside/Off-Property")</f>
        <v>Outside/Off-Property</v>
      </c>
      <c r="AS999" s="8">
        <f ca="1">IFERROR(__xludf.DUMMYFUNCTION("""COMPUTED_VALUE"""),3)</f>
        <v>3</v>
      </c>
      <c r="AT999" s="8"/>
      <c r="AU999" s="8">
        <f ca="1">IFERROR(__xludf.DUMMYFUNCTION("""COMPUTED_VALUE"""),42.471156)</f>
        <v>42.471156000000001</v>
      </c>
      <c r="AV999" s="8">
        <f ca="1">IFERROR(__xludf.DUMMYFUNCTION("""COMPUTED_VALUE"""),-70.929878)</f>
        <v>-70.929878000000002</v>
      </c>
      <c r="AW999" s="8"/>
      <c r="AX999" s="8">
        <f ca="1">IFERROR(__xludf.DUMMYFUNCTION("""COMPUTED_VALUE"""),1901)</f>
        <v>1901</v>
      </c>
    </row>
    <row r="1000" spans="1:50" ht="90" x14ac:dyDescent="0.2">
      <c r="A1000" s="8" t="str">
        <f ca="1">IFERROR(__xludf.DUMMYFUNCTION("""COMPUTED_VALUE"""),"20220805GAJOJ")</f>
        <v>20220805GAJOJ</v>
      </c>
      <c r="B1000" s="8">
        <f ca="1">IFERROR(__xludf.DUMMYFUNCTION("""COMPUTED_VALUE"""),8)</f>
        <v>8</v>
      </c>
      <c r="C1000" s="8">
        <f ca="1">IFERROR(__xludf.DUMMYFUNCTION("""COMPUTED_VALUE"""),5)</f>
        <v>5</v>
      </c>
      <c r="D1000" s="8">
        <f ca="1">IFERROR(__xludf.DUMMYFUNCTION("""COMPUTED_VALUE"""),2022)</f>
        <v>2022</v>
      </c>
      <c r="E1000" s="9">
        <f ca="1">IFERROR(__xludf.DUMMYFUNCTION("""COMPUTED_VALUE"""),44778)</f>
        <v>44778</v>
      </c>
      <c r="F1000" s="8" t="str">
        <f ca="1">IFERROR(__xludf.DUMMYFUNCTION("""COMPUTED_VALUE"""),"Johnson County High School")</f>
        <v>Johnson County High School</v>
      </c>
      <c r="G1000" s="8">
        <f ca="1">IFERROR(__xludf.DUMMYFUNCTION("""COMPUTED_VALUE"""),0)</f>
        <v>0</v>
      </c>
      <c r="H1000" s="8">
        <f ca="1">IFERROR(__xludf.DUMMYFUNCTION("""COMPUTED_VALUE"""),0)</f>
        <v>0</v>
      </c>
      <c r="I1000" s="8">
        <f ca="1">IFERROR(__xludf.DUMMYFUNCTION("""COMPUTED_VALUE"""),0)</f>
        <v>0</v>
      </c>
      <c r="J1000" s="8">
        <f ca="1">IFERROR(__xludf.DUMMYFUNCTION("""COMPUTED_VALUE"""),0)</f>
        <v>0</v>
      </c>
      <c r="K1000" s="10" t="str">
        <f ca="1">IFERROR(__xludf.DUMMYFUNCTION("""COMPUTED_VALUE"""),"https://www.13wmaz.com/article/news/local/deputies-investigating-shooting-at-a-johnson-county-football-game/93-15038acb-3b52-48e9-82be-d31da4ac609d
https://www.walb.com/2022/08/06/shots-fired-near-johnson-co-football-game/")</f>
        <v>https://www.13wmaz.com/article/news/local/deputies-investigating-shooting-at-a-johnson-county-football-game/93-15038acb-3b52-48e9-82be-d31da4ac609d
https://www.walb.com/2022/08/06/shots-fired-near-johnson-co-football-game/</v>
      </c>
      <c r="L1000" s="8">
        <f ca="1">IFERROR(__xludf.DUMMYFUNCTION("""COMPUTED_VALUE"""),2)</f>
        <v>2</v>
      </c>
      <c r="M1000" s="8" t="str">
        <f ca="1">IFERROR(__xludf.DUMMYFUNCTION("""COMPUTED_VALUE"""),"Local")</f>
        <v>Local</v>
      </c>
      <c r="N1000" s="8">
        <f ca="1">IFERROR(__xludf.DUMMYFUNCTION("""COMPUTED_VALUE"""),4)</f>
        <v>4</v>
      </c>
      <c r="O1000" s="8" t="str">
        <f ca="1">IFERROR(__xludf.DUMMYFUNCTION("""COMPUTED_VALUE"""),"Summer")</f>
        <v>Summer</v>
      </c>
      <c r="P1000" s="8" t="str">
        <f ca="1">IFERROR(__xludf.DUMMYFUNCTION("""COMPUTED_VALUE"""),"Johnson County")</f>
        <v>Johnson County</v>
      </c>
      <c r="Q1000" s="8" t="str">
        <f ca="1">IFERROR(__xludf.DUMMYFUNCTION("""COMPUTED_VALUE"""),"GA")</f>
        <v>GA</v>
      </c>
      <c r="R1000" s="8" t="str">
        <f ca="1">IFERROR(__xludf.DUMMYFUNCTION("""COMPUTED_VALUE"""),"High")</f>
        <v>High</v>
      </c>
      <c r="S1000" s="8" t="str">
        <f ca="1">IFERROR(__xludf.DUMMYFUNCTION("""COMPUTED_VALUE"""),"Football Field/Track")</f>
        <v>Football Field/Track</v>
      </c>
      <c r="T1000" s="8" t="str">
        <f ca="1">IFERROR(__xludf.DUMMYFUNCTION("""COMPUTED_VALUE"""),"Outside on School Property")</f>
        <v>Outside on School Property</v>
      </c>
      <c r="U1000" s="8" t="str">
        <f ca="1">IFERROR(__xludf.DUMMYFUNCTION("""COMPUTED_VALUE"""),"No")</f>
        <v>No</v>
      </c>
      <c r="V1000" s="8" t="str">
        <f ca="1">IFERROR(__xludf.DUMMYFUNCTION("""COMPUTED_VALUE"""),"Sport Event")</f>
        <v>Sport Event</v>
      </c>
      <c r="W1000" s="11">
        <f ca="1">IFERROR(__xludf.DUMMYFUNCTION("""COMPUTED_VALUE"""),0.875)</f>
        <v>0.875</v>
      </c>
      <c r="X1000" s="8">
        <f ca="1">IFERROR(__xludf.DUMMYFUNCTION("""COMPUTED_VALUE"""),1)</f>
        <v>1</v>
      </c>
      <c r="Y1000" s="12" t="str">
        <f ca="1">IFERROR(__xludf.DUMMYFUNCTION("""COMPUTED_VALUE"""),"Man fired 12 shots into air next to stadium during football game")</f>
        <v>Man fired 12 shots into air next to stadium during football game</v>
      </c>
      <c r="Z1000" s="12" t="str">
        <f ca="1">IFERROR(__xludf.DUMMYFUNCTION("""COMPUTED_VALUE"""),"27-year-old male fired 12 shots into the air next to the football stadium during a high school game. Security witnessed shooting and immediately ran toward the shooter, then subdued him. Players and attendees fled from the stadium. Man was arrested and ch"&amp;"arged with numerous felonies. No injuries.")</f>
        <v>27-year-old male fired 12 shots into the air next to the football stadium during a high school game. Security witnessed shooting and immediately ran toward the shooter, then subdued him. Players and attendees fled from the stadium. Man was arrested and charged with numerous felonies. No injuries.</v>
      </c>
      <c r="AA1000" s="8"/>
      <c r="AB1000" s="8"/>
      <c r="AC1000" s="8" t="str">
        <f ca="1">IFERROR(__xludf.DUMMYFUNCTION("""COMPUTED_VALUE"""),"Yes")</f>
        <v>Yes</v>
      </c>
      <c r="AD1000" s="8" t="str">
        <f ca="1">IFERROR(__xludf.DUMMYFUNCTION("""COMPUTED_VALUE"""),"Neither")</f>
        <v>Neither</v>
      </c>
      <c r="AE1000" s="8" t="str">
        <f ca="1">IFERROR(__xludf.DUMMYFUNCTION("""COMPUTED_VALUE"""),"No")</f>
        <v>No</v>
      </c>
      <c r="AF1000" s="8"/>
      <c r="AG1000" s="8" t="str">
        <f ca="1">IFERROR(__xludf.DUMMYFUNCTION("""COMPUTED_VALUE"""),"No")</f>
        <v>No</v>
      </c>
      <c r="AH1000" s="8" t="str">
        <f ca="1">IFERROR(__xludf.DUMMYFUNCTION("""COMPUTED_VALUE"""),"No")</f>
        <v>No</v>
      </c>
      <c r="AI1000" s="8" t="str">
        <f ca="1">IFERROR(__xludf.DUMMYFUNCTION("""COMPUTED_VALUE"""),"No")</f>
        <v>No</v>
      </c>
      <c r="AJ1000" s="8" t="str">
        <f ca="1">IFERROR(__xludf.DUMMYFUNCTION("""COMPUTED_VALUE"""),"No")</f>
        <v>No</v>
      </c>
      <c r="AK1000" s="8" t="str">
        <f ca="1">IFERROR(__xludf.DUMMYFUNCTION("""COMPUTED_VALUE"""),"No")</f>
        <v>No</v>
      </c>
      <c r="AL1000" s="8"/>
      <c r="AM1000" s="8" t="str">
        <f ca="1">IFERROR(__xludf.DUMMYFUNCTION("""COMPUTED_VALUE"""),"Yes")</f>
        <v>Yes</v>
      </c>
      <c r="AN1000" s="8" t="str">
        <f ca="1">IFERROR(__xludf.DUMMYFUNCTION("""COMPUTED_VALUE"""),"Outside")</f>
        <v>Outside</v>
      </c>
      <c r="AO1000" s="8" t="str">
        <f ca="1">IFERROR(__xludf.DUMMYFUNCTION("""COMPUTED_VALUE"""),"No")</f>
        <v>No</v>
      </c>
      <c r="AP1000" s="8"/>
      <c r="AQ1000" s="8" t="str">
        <f ca="1">IFERROR(__xludf.DUMMYFUNCTION("""COMPUTED_VALUE"""),"Armed Guards")</f>
        <v>Armed Guards</v>
      </c>
      <c r="AR1000" s="8" t="str">
        <f ca="1">IFERROR(__xludf.DUMMYFUNCTION("""COMPUTED_VALUE"""),"Outside/Off-Property")</f>
        <v>Outside/Off-Property</v>
      </c>
      <c r="AS1000" s="8">
        <f ca="1">IFERROR(__xludf.DUMMYFUNCTION("""COMPUTED_VALUE"""),12)</f>
        <v>12</v>
      </c>
      <c r="AT1000" s="8"/>
      <c r="AU1000" s="8">
        <f ca="1">IFERROR(__xludf.DUMMYFUNCTION("""COMPUTED_VALUE"""),36.480237)</f>
        <v>36.480237000000002</v>
      </c>
      <c r="AV1000" s="8">
        <f ca="1">IFERROR(__xludf.DUMMYFUNCTION("""COMPUTED_VALUE"""),-81.797498)</f>
        <v>-81.797498000000004</v>
      </c>
      <c r="AW1000" s="8"/>
      <c r="AX1000" s="8">
        <f ca="1">IFERROR(__xludf.DUMMYFUNCTION("""COMPUTED_VALUE"""),37683)</f>
        <v>37683</v>
      </c>
    </row>
    <row r="1001" spans="1:50" ht="75" x14ac:dyDescent="0.2">
      <c r="A1001" s="8" t="str">
        <f ca="1">IFERROR(__xludf.DUMMYFUNCTION("""COMPUTED_VALUE"""),"20220803PALEP")</f>
        <v>20220803PALEP</v>
      </c>
      <c r="B1001" s="8">
        <f ca="1">IFERROR(__xludf.DUMMYFUNCTION("""COMPUTED_VALUE"""),8)</f>
        <v>8</v>
      </c>
      <c r="C1001" s="8">
        <f ca="1">IFERROR(__xludf.DUMMYFUNCTION("""COMPUTED_VALUE"""),3)</f>
        <v>3</v>
      </c>
      <c r="D1001" s="8">
        <f ca="1">IFERROR(__xludf.DUMMYFUNCTION("""COMPUTED_VALUE"""),2022)</f>
        <v>2022</v>
      </c>
      <c r="E1001" s="9">
        <f ca="1">IFERROR(__xludf.DUMMYFUNCTION("""COMPUTED_VALUE"""),44776)</f>
        <v>44776</v>
      </c>
      <c r="F1001" s="8" t="str">
        <f ca="1">IFERROR(__xludf.DUMMYFUNCTION("""COMPUTED_VALUE"""),"Lewis Elkin Elementary School")</f>
        <v>Lewis Elkin Elementary School</v>
      </c>
      <c r="G1001" s="8">
        <f ca="1">IFERROR(__xludf.DUMMYFUNCTION("""COMPUTED_VALUE"""),1)</f>
        <v>1</v>
      </c>
      <c r="H1001" s="8">
        <f ca="1">IFERROR(__xludf.DUMMYFUNCTION("""COMPUTED_VALUE"""),1)</f>
        <v>1</v>
      </c>
      <c r="I1001" s="8">
        <f ca="1">IFERROR(__xludf.DUMMYFUNCTION("""COMPUTED_VALUE"""),2)</f>
        <v>2</v>
      </c>
      <c r="J1001" s="8">
        <f ca="1">IFERROR(__xludf.DUMMYFUNCTION("""COMPUTED_VALUE"""),0)</f>
        <v>0</v>
      </c>
      <c r="K1001" s="8" t="str">
        <f ca="1">IFERROR(__xludf.DUMMYFUNCTION("""COMPUTED_VALUE"""),"https://www.nbcphiladelphia.com/news/local/4-dead-2-injured-in-multiple-shootings-across-philadelphia/3325288/
https://www.fox29.com/news/1-dead-1-injured-in-kensington-shootout-that-happened-near-elementary-school-police-say")</f>
        <v>https://www.nbcphiladelphia.com/news/local/4-dead-2-injured-in-multiple-shootings-across-philadelphia/3325288/
https://www.fox29.com/news/1-dead-1-injured-in-kensington-shootout-that-happened-near-elementary-school-police-say</v>
      </c>
      <c r="L1001" s="8">
        <f ca="1">IFERROR(__xludf.DUMMYFUNCTION("""COMPUTED_VALUE"""),2)</f>
        <v>2</v>
      </c>
      <c r="M1001" s="8" t="str">
        <f ca="1">IFERROR(__xludf.DUMMYFUNCTION("""COMPUTED_VALUE"""),"Local")</f>
        <v>Local</v>
      </c>
      <c r="N1001" s="8">
        <f ca="1">IFERROR(__xludf.DUMMYFUNCTION("""COMPUTED_VALUE"""),3)</f>
        <v>3</v>
      </c>
      <c r="O1001" s="8" t="str">
        <f ca="1">IFERROR(__xludf.DUMMYFUNCTION("""COMPUTED_VALUE"""),"Summer")</f>
        <v>Summer</v>
      </c>
      <c r="P1001" s="8" t="str">
        <f ca="1">IFERROR(__xludf.DUMMYFUNCTION("""COMPUTED_VALUE"""),"Philadelphia")</f>
        <v>Philadelphia</v>
      </c>
      <c r="Q1001" s="8" t="str">
        <f ca="1">IFERROR(__xludf.DUMMYFUNCTION("""COMPUTED_VALUE"""),"PA")</f>
        <v>PA</v>
      </c>
      <c r="R1001" s="8" t="str">
        <f ca="1">IFERROR(__xludf.DUMMYFUNCTION("""COMPUTED_VALUE"""),"Elementary")</f>
        <v>Elementary</v>
      </c>
      <c r="S1001" s="8" t="str">
        <f ca="1">IFERROR(__xludf.DUMMYFUNCTION("""COMPUTED_VALUE"""),"Playground")</f>
        <v>Playground</v>
      </c>
      <c r="T1001" s="8" t="str">
        <f ca="1">IFERROR(__xludf.DUMMYFUNCTION("""COMPUTED_VALUE"""),"Outside on School Property")</f>
        <v>Outside on School Property</v>
      </c>
      <c r="U1001" s="8" t="str">
        <f ca="1">IFERROR(__xludf.DUMMYFUNCTION("""COMPUTED_VALUE"""),"No")</f>
        <v>No</v>
      </c>
      <c r="V1001" s="8" t="str">
        <f ca="1">IFERROR(__xludf.DUMMYFUNCTION("""COMPUTED_VALUE"""),"Night")</f>
        <v>Night</v>
      </c>
      <c r="W1001" s="11">
        <f ca="1">IFERROR(__xludf.DUMMYFUNCTION("""COMPUTED_VALUE"""),0.916666666666666)</f>
        <v>0.91666666666666596</v>
      </c>
      <c r="X1001" s="8">
        <f ca="1">IFERROR(__xludf.DUMMYFUNCTION("""COMPUTED_VALUE"""),1)</f>
        <v>1</v>
      </c>
      <c r="Y1001" s="12" t="str">
        <f ca="1">IFERROR(__xludf.DUMMYFUNCTION("""COMPUTED_VALUE"""),"2 men shot near school playground")</f>
        <v>2 men shot near school playground</v>
      </c>
      <c r="Z1001" s="12" t="str">
        <f ca="1">IFERROR(__xludf.DUMMYFUNCTION("""COMPUTED_VALUE"""),"A 26-year-old man was fatally shot and a 24-year-old man were wounded near the playground of the elementary school. Police found 16 shell casings within feet of the playground. No children were present at the time of the shooting. Shooter fled.")</f>
        <v>A 26-year-old man was fatally shot and a 24-year-old man were wounded near the playground of the elementary school. Police found 16 shell casings within feet of the playground. No children were present at the time of the shooting. Shooter fled.</v>
      </c>
      <c r="AA1001" s="8"/>
      <c r="AB1001" s="8"/>
      <c r="AC1001" s="8" t="str">
        <f ca="1">IFERROR(__xludf.DUMMYFUNCTION("""COMPUTED_VALUE"""),"No")</f>
        <v>No</v>
      </c>
      <c r="AD1001" s="8" t="str">
        <f ca="1">IFERROR(__xludf.DUMMYFUNCTION("""COMPUTED_VALUE"""),"Victims Targeted")</f>
        <v>Victims Targeted</v>
      </c>
      <c r="AE1001" s="8" t="str">
        <f ca="1">IFERROR(__xludf.DUMMYFUNCTION("""COMPUTED_VALUE"""),"No")</f>
        <v>No</v>
      </c>
      <c r="AF1001" s="8"/>
      <c r="AG1001" s="8" t="str">
        <f ca="1">IFERROR(__xludf.DUMMYFUNCTION("""COMPUTED_VALUE"""),"No")</f>
        <v>No</v>
      </c>
      <c r="AH1001" s="8" t="str">
        <f ca="1">IFERROR(__xludf.DUMMYFUNCTION("""COMPUTED_VALUE"""),"No")</f>
        <v>No</v>
      </c>
      <c r="AI1001" s="8" t="str">
        <f ca="1">IFERROR(__xludf.DUMMYFUNCTION("""COMPUTED_VALUE"""),"No")</f>
        <v>No</v>
      </c>
      <c r="AJ1001" s="8" t="str">
        <f ca="1">IFERROR(__xludf.DUMMYFUNCTION("""COMPUTED_VALUE"""),"No")</f>
        <v>No</v>
      </c>
      <c r="AK1001" s="8" t="str">
        <f ca="1">IFERROR(__xludf.DUMMYFUNCTION("""COMPUTED_VALUE"""),"No")</f>
        <v>No</v>
      </c>
      <c r="AL1001" s="8"/>
      <c r="AM1001" s="8" t="str">
        <f ca="1">IFERROR(__xludf.DUMMYFUNCTION("""COMPUTED_VALUE"""),"No")</f>
        <v>No</v>
      </c>
      <c r="AN1001" s="8"/>
      <c r="AO1001" s="8" t="str">
        <f ca="1">IFERROR(__xludf.DUMMYFUNCTION("""COMPUTED_VALUE"""),"No")</f>
        <v>No</v>
      </c>
      <c r="AP1001" s="8"/>
      <c r="AQ1001" s="8"/>
      <c r="AR1001" s="8" t="str">
        <f ca="1">IFERROR(__xludf.DUMMYFUNCTION("""COMPUTED_VALUE"""),"Outside/Off-Property")</f>
        <v>Outside/Off-Property</v>
      </c>
      <c r="AS1001" s="8">
        <f ca="1">IFERROR(__xludf.DUMMYFUNCTION("""COMPUTED_VALUE"""),16)</f>
        <v>16</v>
      </c>
      <c r="AT1001" s="8"/>
      <c r="AU1001" s="8">
        <f ca="1">IFERROR(__xludf.DUMMYFUNCTION("""COMPUTED_VALUE"""),39.99642)</f>
        <v>39.996420000000001</v>
      </c>
      <c r="AV1001" s="8">
        <f ca="1">IFERROR(__xludf.DUMMYFUNCTION("""COMPUTED_VALUE"""),-75.121299)</f>
        <v>-75.121298999999993</v>
      </c>
      <c r="AW1001" s="8"/>
      <c r="AX1001" s="8">
        <f ca="1">IFERROR(__xludf.DUMMYFUNCTION("""COMPUTED_VALUE"""),19134)</f>
        <v>19134</v>
      </c>
    </row>
    <row r="1002" spans="1:50" ht="60" x14ac:dyDescent="0.2">
      <c r="A1002" s="8" t="str">
        <f ca="1">IFERROR(__xludf.DUMMYFUNCTION("""COMPUTED_VALUE"""),"20220731CAOAO")</f>
        <v>20220731CAOAO</v>
      </c>
      <c r="B1002" s="8">
        <f ca="1">IFERROR(__xludf.DUMMYFUNCTION("""COMPUTED_VALUE"""),7)</f>
        <v>7</v>
      </c>
      <c r="C1002" s="8">
        <f ca="1">IFERROR(__xludf.DUMMYFUNCTION("""COMPUTED_VALUE"""),31)</f>
        <v>31</v>
      </c>
      <c r="D1002" s="8">
        <f ca="1">IFERROR(__xludf.DUMMYFUNCTION("""COMPUTED_VALUE"""),2022)</f>
        <v>2022</v>
      </c>
      <c r="E1002" s="9">
        <f ca="1">IFERROR(__xludf.DUMMYFUNCTION("""COMPUTED_VALUE"""),44773)</f>
        <v>44773</v>
      </c>
      <c r="F1002" s="8" t="str">
        <f ca="1">IFERROR(__xludf.DUMMYFUNCTION("""COMPUTED_VALUE"""),"Oakland Technical High School")</f>
        <v>Oakland Technical High School</v>
      </c>
      <c r="G1002" s="8">
        <f ca="1">IFERROR(__xludf.DUMMYFUNCTION("""COMPUTED_VALUE"""),0)</f>
        <v>0</v>
      </c>
      <c r="H1002" s="8">
        <f ca="1">IFERROR(__xludf.DUMMYFUNCTION("""COMPUTED_VALUE"""),3)</f>
        <v>3</v>
      </c>
      <c r="I1002" s="8">
        <f ca="1">IFERROR(__xludf.DUMMYFUNCTION("""COMPUTED_VALUE"""),3)</f>
        <v>3</v>
      </c>
      <c r="J1002" s="8">
        <f ca="1">IFERROR(__xludf.DUMMYFUNCTION("""COMPUTED_VALUE"""),0)</f>
        <v>0</v>
      </c>
      <c r="K1002" s="8" t="str">
        <f ca="1">IFERROR(__xludf.DUMMYFUNCTION("""COMPUTED_VALUE"""),"https://www.ktvu.com/news/three-people-shot-at-little-league-football-game-in-oakland
https://www.nbcbayarea.com/news/local/reward-offered-in-shooting-at-oakland-youth-football-game/2966356/
https://www.foxnews.com/us/oakland-shooting-high-school-campus-t"&amp;"hree-injured
https://abc30.com/oakland-technical-high-school-shooting-pop-warner-football-game-tech-at/12089506/
https://abc7news.com/video-oakland-tech-high-school-shooting-technical-pop-warner-football-game-witness/12089922/")</f>
        <v>https://www.ktvu.com/news/three-people-shot-at-little-league-football-game-in-oakland
https://www.nbcbayarea.com/news/local/reward-offered-in-shooting-at-oakland-youth-football-game/2966356/
https://www.foxnews.com/us/oakland-shooting-high-school-campus-three-injured
https://abc30.com/oakland-technical-high-school-shooting-pop-warner-football-game-tech-at/12089506/
https://abc7news.com/video-oakland-tech-high-school-shooting-technical-pop-warner-football-game-witness/12089922/</v>
      </c>
      <c r="L1002" s="8">
        <f ca="1">IFERROR(__xludf.DUMMYFUNCTION("""COMPUTED_VALUE"""),10)</f>
        <v>10</v>
      </c>
      <c r="M1002" s="8" t="str">
        <f ca="1">IFERROR(__xludf.DUMMYFUNCTION("""COMPUTED_VALUE"""),"National")</f>
        <v>National</v>
      </c>
      <c r="N1002" s="8">
        <f ca="1">IFERROR(__xludf.DUMMYFUNCTION("""COMPUTED_VALUE"""),4)</f>
        <v>4</v>
      </c>
      <c r="O1002" s="8" t="str">
        <f ca="1">IFERROR(__xludf.DUMMYFUNCTION("""COMPUTED_VALUE"""),"Summer")</f>
        <v>Summer</v>
      </c>
      <c r="P1002" s="8" t="str">
        <f ca="1">IFERROR(__xludf.DUMMYFUNCTION("""COMPUTED_VALUE"""),"Oakland")</f>
        <v>Oakland</v>
      </c>
      <c r="Q1002" s="8" t="str">
        <f ca="1">IFERROR(__xludf.DUMMYFUNCTION("""COMPUTED_VALUE"""),"CA")</f>
        <v>CA</v>
      </c>
      <c r="R1002" s="8" t="str">
        <f ca="1">IFERROR(__xludf.DUMMYFUNCTION("""COMPUTED_VALUE"""),"High")</f>
        <v>High</v>
      </c>
      <c r="S1002" s="8" t="str">
        <f ca="1">IFERROR(__xludf.DUMMYFUNCTION("""COMPUTED_VALUE"""),"Football Field/Track")</f>
        <v>Football Field/Track</v>
      </c>
      <c r="T1002" s="8" t="str">
        <f ca="1">IFERROR(__xludf.DUMMYFUNCTION("""COMPUTED_VALUE"""),"Outside on School Property")</f>
        <v>Outside on School Property</v>
      </c>
      <c r="U1002" s="8" t="str">
        <f ca="1">IFERROR(__xludf.DUMMYFUNCTION("""COMPUTED_VALUE"""),"No")</f>
        <v>No</v>
      </c>
      <c r="V1002" s="8" t="str">
        <f ca="1">IFERROR(__xludf.DUMMYFUNCTION("""COMPUTED_VALUE"""),"Sport Event")</f>
        <v>Sport Event</v>
      </c>
      <c r="W1002" s="11">
        <f ca="1">IFERROR(__xludf.DUMMYFUNCTION("""COMPUTED_VALUE"""),0.555555555555555)</f>
        <v>0.55555555555555503</v>
      </c>
      <c r="X1002" s="8">
        <f ca="1">IFERROR(__xludf.DUMMYFUNCTION("""COMPUTED_VALUE"""),1)</f>
        <v>1</v>
      </c>
      <c r="Y1002" s="12" t="str">
        <f ca="1">IFERROR(__xludf.DUMMYFUNCTION("""COMPUTED_VALUE"""),"3 attendees shot in the stands during youth football game")</f>
        <v>3 attendees shot in the stands during youth football game</v>
      </c>
      <c r="Z1002" s="12" t="str">
        <f ca="1">IFERROR(__xludf.DUMMYFUNCTION("""COMPUTED_VALUE"""),"A 6-year-old girl, adult man, and adult woman were shot in the stands during a youth football game. Multiple people fired shots and shooters fled. 500 attendees ran when the shooting occurred.")</f>
        <v>A 6-year-old girl, adult man, and adult woman were shot in the stands during a youth football game. Multiple people fired shots and shooters fled. 500 attendees ran when the shooting occurred.</v>
      </c>
      <c r="AA1002" s="8" t="str">
        <f ca="1">IFERROR(__xludf.DUMMYFUNCTION("""COMPUTED_VALUE"""),"Escalation of Dispute")</f>
        <v>Escalation of Dispute</v>
      </c>
      <c r="AB1002" s="8"/>
      <c r="AC1002" s="8" t="str">
        <f ca="1">IFERROR(__xludf.DUMMYFUNCTION("""COMPUTED_VALUE"""),"No")</f>
        <v>No</v>
      </c>
      <c r="AD1002" s="8" t="str">
        <f ca="1">IFERROR(__xludf.DUMMYFUNCTION("""COMPUTED_VALUE"""),"Both")</f>
        <v>Both</v>
      </c>
      <c r="AE1002" s="8" t="str">
        <f ca="1">IFERROR(__xludf.DUMMYFUNCTION("""COMPUTED_VALUE"""),"No")</f>
        <v>No</v>
      </c>
      <c r="AF1002" s="8"/>
      <c r="AG1002" s="8" t="str">
        <f ca="1">IFERROR(__xludf.DUMMYFUNCTION("""COMPUTED_VALUE"""),"No")</f>
        <v>No</v>
      </c>
      <c r="AH1002" s="8" t="str">
        <f ca="1">IFERROR(__xludf.DUMMYFUNCTION("""COMPUTED_VALUE"""),"No")</f>
        <v>No</v>
      </c>
      <c r="AI1002" s="8" t="str">
        <f ca="1">IFERROR(__xludf.DUMMYFUNCTION("""COMPUTED_VALUE"""),"No")</f>
        <v>No</v>
      </c>
      <c r="AJ1002" s="8" t="str">
        <f ca="1">IFERROR(__xludf.DUMMYFUNCTION("""COMPUTED_VALUE"""),"No")</f>
        <v>No</v>
      </c>
      <c r="AK1002" s="8" t="str">
        <f ca="1">IFERROR(__xludf.DUMMYFUNCTION("""COMPUTED_VALUE"""),"No")</f>
        <v>No</v>
      </c>
      <c r="AL1002" s="8"/>
      <c r="AM1002" s="8" t="str">
        <f ca="1">IFERROR(__xludf.DUMMYFUNCTION("""COMPUTED_VALUE"""),"No")</f>
        <v>No</v>
      </c>
      <c r="AN1002" s="8"/>
      <c r="AO1002" s="8" t="str">
        <f ca="1">IFERROR(__xludf.DUMMYFUNCTION("""COMPUTED_VALUE"""),"No")</f>
        <v>No</v>
      </c>
      <c r="AP1002" s="8"/>
      <c r="AQ1002" s="8"/>
      <c r="AR1002" s="8" t="str">
        <f ca="1">IFERROR(__xludf.DUMMYFUNCTION("""COMPUTED_VALUE"""),"Outside/Off-Property")</f>
        <v>Outside/Off-Property</v>
      </c>
      <c r="AS1002" s="8">
        <f ca="1">IFERROR(__xludf.DUMMYFUNCTION("""COMPUTED_VALUE"""),99)</f>
        <v>99</v>
      </c>
      <c r="AT1002" s="8"/>
      <c r="AU1002" s="8">
        <f ca="1">IFERROR(__xludf.DUMMYFUNCTION("""COMPUTED_VALUE"""),37.832193)</f>
        <v>37.832192999999997</v>
      </c>
      <c r="AV1002" s="8">
        <f ca="1">IFERROR(__xludf.DUMMYFUNCTION("""COMPUTED_VALUE"""),-122.255316)</f>
        <v>-122.25531599999999</v>
      </c>
      <c r="AW1002" s="8"/>
      <c r="AX1002" s="8">
        <f ca="1">IFERROR(__xludf.DUMMYFUNCTION("""COMPUTED_VALUE"""),94609)</f>
        <v>94609</v>
      </c>
    </row>
    <row r="1003" spans="1:50" ht="45" x14ac:dyDescent="0.2">
      <c r="A1003" s="8" t="str">
        <f ca="1">IFERROR(__xludf.DUMMYFUNCTION("""COMPUTED_VALUE"""),"20220730NYRHH")</f>
        <v>20220730NYRHH</v>
      </c>
      <c r="B1003" s="8">
        <f ca="1">IFERROR(__xludf.DUMMYFUNCTION("""COMPUTED_VALUE"""),7)</f>
        <v>7</v>
      </c>
      <c r="C1003" s="8">
        <f ca="1">IFERROR(__xludf.DUMMYFUNCTION("""COMPUTED_VALUE"""),30)</f>
        <v>30</v>
      </c>
      <c r="D1003" s="8">
        <f ca="1">IFERROR(__xludf.DUMMYFUNCTION("""COMPUTED_VALUE"""),2022)</f>
        <v>2022</v>
      </c>
      <c r="E1003" s="9">
        <f ca="1">IFERROR(__xludf.DUMMYFUNCTION("""COMPUTED_VALUE"""),44772)</f>
        <v>44772</v>
      </c>
      <c r="F1003" s="8" t="str">
        <f ca="1">IFERROR(__xludf.DUMMYFUNCTION("""COMPUTED_VALUE"""),"Rhodes Academy")</f>
        <v>Rhodes Academy</v>
      </c>
      <c r="G1003" s="8">
        <f ca="1">IFERROR(__xludf.DUMMYFUNCTION("""COMPUTED_VALUE"""),0)</f>
        <v>0</v>
      </c>
      <c r="H1003" s="8">
        <f ca="1">IFERROR(__xludf.DUMMYFUNCTION("""COMPUTED_VALUE"""),0)</f>
        <v>0</v>
      </c>
      <c r="I1003" s="8">
        <f ca="1">IFERROR(__xludf.DUMMYFUNCTION("""COMPUTED_VALUE"""),0)</f>
        <v>0</v>
      </c>
      <c r="J1003" s="8">
        <f ca="1">IFERROR(__xludf.DUMMYFUNCTION("""COMPUTED_VALUE"""),0)</f>
        <v>0</v>
      </c>
      <c r="K1003" s="10" t="str">
        <f ca="1">IFERROR(__xludf.DUMMYFUNCTION("""COMPUTED_VALUE"""),"https://connecticut.news12.com/hempstead-school-officials-to-speak-following-2-shootings-near-schools")</f>
        <v>https://connecticut.news12.com/hempstead-school-officials-to-speak-following-2-shootings-near-schools</v>
      </c>
      <c r="L1003" s="8">
        <f ca="1">IFERROR(__xludf.DUMMYFUNCTION("""COMPUTED_VALUE"""),1)</f>
        <v>1</v>
      </c>
      <c r="M1003" s="8" t="str">
        <f ca="1">IFERROR(__xludf.DUMMYFUNCTION("""COMPUTED_VALUE"""),"Local")</f>
        <v>Local</v>
      </c>
      <c r="N1003" s="8">
        <f ca="1">IFERROR(__xludf.DUMMYFUNCTION("""COMPUTED_VALUE"""),3)</f>
        <v>3</v>
      </c>
      <c r="O1003" s="8" t="str">
        <f ca="1">IFERROR(__xludf.DUMMYFUNCTION("""COMPUTED_VALUE"""),"Summer")</f>
        <v>Summer</v>
      </c>
      <c r="P1003" s="8" t="str">
        <f ca="1">IFERROR(__xludf.DUMMYFUNCTION("""COMPUTED_VALUE"""),"Hempstead")</f>
        <v>Hempstead</v>
      </c>
      <c r="Q1003" s="8" t="str">
        <f ca="1">IFERROR(__xludf.DUMMYFUNCTION("""COMPUTED_VALUE"""),"NY")</f>
        <v>NY</v>
      </c>
      <c r="R1003" s="8" t="str">
        <f ca="1">IFERROR(__xludf.DUMMYFUNCTION("""COMPUTED_VALUE"""),"Elementary")</f>
        <v>Elementary</v>
      </c>
      <c r="S1003" s="8" t="str">
        <f ca="1">IFERROR(__xludf.DUMMYFUNCTION("""COMPUTED_VALUE"""),"Classroom")</f>
        <v>Classroom</v>
      </c>
      <c r="T1003" s="8" t="str">
        <f ca="1">IFERROR(__xludf.DUMMYFUNCTION("""COMPUTED_VALUE"""),"Outside on School Property")</f>
        <v>Outside on School Property</v>
      </c>
      <c r="U1003" s="8" t="str">
        <f ca="1">IFERROR(__xludf.DUMMYFUNCTION("""COMPUTED_VALUE"""),"No")</f>
        <v>No</v>
      </c>
      <c r="V1003" s="8" t="str">
        <f ca="1">IFERROR(__xludf.DUMMYFUNCTION("""COMPUTED_VALUE"""),"Night")</f>
        <v>Night</v>
      </c>
      <c r="W1003" s="8"/>
      <c r="X1003" s="8">
        <f ca="1">IFERROR(__xludf.DUMMYFUNCTION("""COMPUTED_VALUE"""),1)</f>
        <v>1</v>
      </c>
      <c r="Y1003" s="12" t="str">
        <f ca="1">IFERROR(__xludf.DUMMYFUNCTION("""COMPUTED_VALUE"""),"Bullet broke classroom window")</f>
        <v>Bullet broke classroom window</v>
      </c>
      <c r="Z1003" s="12" t="str">
        <f ca="1">IFERROR(__xludf.DUMMYFUNCTION("""COMPUTED_VALUE"""),"Bullet broke classroom window over the weekend. School staff found a bullet and casing inside the classroom. 2 shootings occurred over the weekend near the school.")</f>
        <v>Bullet broke classroom window over the weekend. School staff found a bullet and casing inside the classroom. 2 shootings occurred over the weekend near the school.</v>
      </c>
      <c r="AA1003" s="8"/>
      <c r="AB1003" s="8"/>
      <c r="AC1003" s="8" t="str">
        <f ca="1">IFERROR(__xludf.DUMMYFUNCTION("""COMPUTED_VALUE"""),"No")</f>
        <v>No</v>
      </c>
      <c r="AD1003" s="8" t="str">
        <f ca="1">IFERROR(__xludf.DUMMYFUNCTION("""COMPUTED_VALUE"""),"Neither")</f>
        <v>Neither</v>
      </c>
      <c r="AE1003" s="8" t="str">
        <f ca="1">IFERROR(__xludf.DUMMYFUNCTION("""COMPUTED_VALUE"""),"No")</f>
        <v>No</v>
      </c>
      <c r="AF1003" s="8"/>
      <c r="AG1003" s="8" t="str">
        <f ca="1">IFERROR(__xludf.DUMMYFUNCTION("""COMPUTED_VALUE"""),"No")</f>
        <v>No</v>
      </c>
      <c r="AH1003" s="8" t="str">
        <f ca="1">IFERROR(__xludf.DUMMYFUNCTION("""COMPUTED_VALUE"""),"No")</f>
        <v>No</v>
      </c>
      <c r="AI1003" s="8" t="str">
        <f ca="1">IFERROR(__xludf.DUMMYFUNCTION("""COMPUTED_VALUE"""),"No")</f>
        <v>No</v>
      </c>
      <c r="AJ1003" s="8" t="str">
        <f ca="1">IFERROR(__xludf.DUMMYFUNCTION("""COMPUTED_VALUE"""),"No")</f>
        <v>No</v>
      </c>
      <c r="AK1003" s="8" t="str">
        <f ca="1">IFERROR(__xludf.DUMMYFUNCTION("""COMPUTED_VALUE"""),"No")</f>
        <v>No</v>
      </c>
      <c r="AL1003" s="8"/>
      <c r="AM1003" s="8" t="str">
        <f ca="1">IFERROR(__xludf.DUMMYFUNCTION("""COMPUTED_VALUE"""),"No")</f>
        <v>No</v>
      </c>
      <c r="AN1003" s="8"/>
      <c r="AO1003" s="8" t="str">
        <f ca="1">IFERROR(__xludf.DUMMYFUNCTION("""COMPUTED_VALUE"""),"No")</f>
        <v>No</v>
      </c>
      <c r="AP1003" s="8"/>
      <c r="AQ1003" s="8"/>
      <c r="AR1003" s="8" t="str">
        <f ca="1">IFERROR(__xludf.DUMMYFUNCTION("""COMPUTED_VALUE"""),"Outside/Off-Property")</f>
        <v>Outside/Off-Property</v>
      </c>
      <c r="AS1003" s="8">
        <f ca="1">IFERROR(__xludf.DUMMYFUNCTION("""COMPUTED_VALUE"""),99)</f>
        <v>99</v>
      </c>
      <c r="AT1003" s="8"/>
      <c r="AU1003" s="8">
        <f ca="1">IFERROR(__xludf.DUMMYFUNCTION("""COMPUTED_VALUE"""),40.715934)</f>
        <v>40.715933999999997</v>
      </c>
      <c r="AV1003" s="8">
        <f ca="1">IFERROR(__xludf.DUMMYFUNCTION("""COMPUTED_VALUE"""),-73.622812)</f>
        <v>-73.622811999999996</v>
      </c>
      <c r="AW1003" s="8"/>
      <c r="AX1003" s="8">
        <f ca="1">IFERROR(__xludf.DUMMYFUNCTION("""COMPUTED_VALUE"""),11550)</f>
        <v>11550</v>
      </c>
    </row>
    <row r="1004" spans="1:50" ht="75" x14ac:dyDescent="0.2">
      <c r="A1004" s="8" t="str">
        <f ca="1">IFERROR(__xludf.DUMMYFUNCTION("""COMPUTED_VALUE"""),"20220729INCOS")</f>
        <v>20220729INCOS</v>
      </c>
      <c r="B1004" s="8">
        <f ca="1">IFERROR(__xludf.DUMMYFUNCTION("""COMPUTED_VALUE"""),7)</f>
        <v>7</v>
      </c>
      <c r="C1004" s="8">
        <f ca="1">IFERROR(__xludf.DUMMYFUNCTION("""COMPUTED_VALUE"""),29)</f>
        <v>29</v>
      </c>
      <c r="D1004" s="8">
        <f ca="1">IFERROR(__xludf.DUMMYFUNCTION("""COMPUTED_VALUE"""),2022)</f>
        <v>2022</v>
      </c>
      <c r="E1004" s="9">
        <f ca="1">IFERROR(__xludf.DUMMYFUNCTION("""COMPUTED_VALUE"""),44771)</f>
        <v>44771</v>
      </c>
      <c r="F1004" s="8" t="str">
        <f ca="1">IFERROR(__xludf.DUMMYFUNCTION("""COMPUTED_VALUE"""),"Coquillard Elementary School")</f>
        <v>Coquillard Elementary School</v>
      </c>
      <c r="G1004" s="8">
        <f ca="1">IFERROR(__xludf.DUMMYFUNCTION("""COMPUTED_VALUE"""),0)</f>
        <v>0</v>
      </c>
      <c r="H1004" s="8">
        <f ca="1">IFERROR(__xludf.DUMMYFUNCTION("""COMPUTED_VALUE"""),0)</f>
        <v>0</v>
      </c>
      <c r="I1004" s="8">
        <f ca="1">IFERROR(__xludf.DUMMYFUNCTION("""COMPUTED_VALUE"""),0)</f>
        <v>0</v>
      </c>
      <c r="J1004" s="8">
        <f ca="1">IFERROR(__xludf.DUMMYFUNCTION("""COMPUTED_VALUE"""),1)</f>
        <v>1</v>
      </c>
      <c r="K1004" s="8" t="str">
        <f ca="1">IFERROR(__xludf.DUMMYFUNCTION("""COMPUTED_VALUE"""),"https://www.wndu.com/2022/07/29/one-dead-after-officer-involved-shooting-near-coquillard-elementary-school/
https://wsbt.com/news/local/breaking-large-police-presence-on-sheridan-st-near-coquillard-elementary
https://www.abc57.com/news/police-investigatin"&amp;"g-incident-on-the-grounds-of-coquillard-school
https://www.southbendtribune.com/story/news/local/2022/07/29/south-bend-police-shooting-kill-man-coquillard-elementary-school/65386956007/")</f>
        <v>https://www.wndu.com/2022/07/29/one-dead-after-officer-involved-shooting-near-coquillard-elementary-school/
https://wsbt.com/news/local/breaking-large-police-presence-on-sheridan-st-near-coquillard-elementary
https://www.abc57.com/news/police-investigating-incident-on-the-grounds-of-coquillard-school
https://www.southbendtribune.com/story/news/local/2022/07/29/south-bend-police-shooting-kill-man-coquillard-elementary-school/65386956007/</v>
      </c>
      <c r="L1004" s="8">
        <f ca="1">IFERROR(__xludf.DUMMYFUNCTION("""COMPUTED_VALUE"""),5)</f>
        <v>5</v>
      </c>
      <c r="M1004" s="8" t="str">
        <f ca="1">IFERROR(__xludf.DUMMYFUNCTION("""COMPUTED_VALUE"""),"Regional")</f>
        <v>Regional</v>
      </c>
      <c r="N1004" s="8">
        <f ca="1">IFERROR(__xludf.DUMMYFUNCTION("""COMPUTED_VALUE"""),4)</f>
        <v>4</v>
      </c>
      <c r="O1004" s="8" t="str">
        <f ca="1">IFERROR(__xludf.DUMMYFUNCTION("""COMPUTED_VALUE"""),"Summer")</f>
        <v>Summer</v>
      </c>
      <c r="P1004" s="8" t="str">
        <f ca="1">IFERROR(__xludf.DUMMYFUNCTION("""COMPUTED_VALUE"""),"South Bend")</f>
        <v>South Bend</v>
      </c>
      <c r="Q1004" s="8" t="str">
        <f ca="1">IFERROR(__xludf.DUMMYFUNCTION("""COMPUTED_VALUE"""),"IN")</f>
        <v>IN</v>
      </c>
      <c r="R1004" s="8" t="str">
        <f ca="1">IFERROR(__xludf.DUMMYFUNCTION("""COMPUTED_VALUE"""),"Elementary")</f>
        <v>Elementary</v>
      </c>
      <c r="S1004" s="8" t="str">
        <f ca="1">IFERROR(__xludf.DUMMYFUNCTION("""COMPUTED_VALUE"""),"Field (General)")</f>
        <v>Field (General)</v>
      </c>
      <c r="T1004" s="8" t="str">
        <f ca="1">IFERROR(__xludf.DUMMYFUNCTION("""COMPUTED_VALUE"""),"Outside on School Property")</f>
        <v>Outside on School Property</v>
      </c>
      <c r="U1004" s="8" t="str">
        <f ca="1">IFERROR(__xludf.DUMMYFUNCTION("""COMPUTED_VALUE"""),"No")</f>
        <v>No</v>
      </c>
      <c r="V1004" s="8" t="str">
        <f ca="1">IFERROR(__xludf.DUMMYFUNCTION("""COMPUTED_VALUE"""),"Not a School Day")</f>
        <v>Not a School Day</v>
      </c>
      <c r="W1004" s="11">
        <f ca="1">IFERROR(__xludf.DUMMYFUNCTION("""COMPUTED_VALUE"""),0.484722222222222)</f>
        <v>0.484722222222222</v>
      </c>
      <c r="X1004" s="8">
        <f ca="1">IFERROR(__xludf.DUMMYFUNCTION("""COMPUTED_VALUE"""),40)</f>
        <v>40</v>
      </c>
      <c r="Y1004" s="12" t="str">
        <f ca="1">IFERROR(__xludf.DUMMYFUNCTION("""COMPUTED_VALUE"""),"Man with gun was shot after threatening suicide and threatening officers")</f>
        <v>Man with gun was shot after threatening suicide and threatening officers</v>
      </c>
      <c r="Z1004" s="12" t="str">
        <f ca="1">IFERROR(__xludf.DUMMYFUNCTION("""COMPUTED_VALUE"""),"Police were called for a man with a gun on the baseball field of the elementary school. During a 40 minute standoff, the man threatened suicide and threatened officers. He was fatally shot by SWAT officers.")</f>
        <v>Police were called for a man with a gun on the baseball field of the elementary school. During a 40 minute standoff, the man threatened suicide and threatened officers. He was fatally shot by SWAT officers.</v>
      </c>
      <c r="AA1004" s="8" t="str">
        <f ca="1">IFERROR(__xludf.DUMMYFUNCTION("""COMPUTED_VALUE"""),"Suicide/Attempted")</f>
        <v>Suicide/Attempted</v>
      </c>
      <c r="AB1004" s="8"/>
      <c r="AC1004" s="8" t="str">
        <f ca="1">IFERROR(__xludf.DUMMYFUNCTION("""COMPUTED_VALUE"""),"No")</f>
        <v>No</v>
      </c>
      <c r="AD1004" s="8" t="str">
        <f ca="1">IFERROR(__xludf.DUMMYFUNCTION("""COMPUTED_VALUE"""),"Victims Targeted")</f>
        <v>Victims Targeted</v>
      </c>
      <c r="AE1004" s="8" t="str">
        <f ca="1">IFERROR(__xludf.DUMMYFUNCTION("""COMPUTED_VALUE"""),"No")</f>
        <v>No</v>
      </c>
      <c r="AF1004" s="8"/>
      <c r="AG1004" s="8" t="str">
        <f ca="1">IFERROR(__xludf.DUMMYFUNCTION("""COMPUTED_VALUE"""),"No")</f>
        <v>No</v>
      </c>
      <c r="AH1004" s="8" t="str">
        <f ca="1">IFERROR(__xludf.DUMMYFUNCTION("""COMPUTED_VALUE"""),"No")</f>
        <v>No</v>
      </c>
      <c r="AI1004" s="8" t="str">
        <f ca="1">IFERROR(__xludf.DUMMYFUNCTION("""COMPUTED_VALUE"""),"Yes")</f>
        <v>Yes</v>
      </c>
      <c r="AJ1004" s="8" t="str">
        <f ca="1">IFERROR(__xludf.DUMMYFUNCTION("""COMPUTED_VALUE"""),"No")</f>
        <v>No</v>
      </c>
      <c r="AK1004" s="8" t="str">
        <f ca="1">IFERROR(__xludf.DUMMYFUNCTION("""COMPUTED_VALUE"""),"No")</f>
        <v>No</v>
      </c>
      <c r="AL1004" s="8" t="str">
        <f ca="1">IFERROR(__xludf.DUMMYFUNCTION("""COMPUTED_VALUE"""),"No")</f>
        <v>No</v>
      </c>
      <c r="AM1004" s="8" t="str">
        <f ca="1">IFERROR(__xludf.DUMMYFUNCTION("""COMPUTED_VALUE"""),"No")</f>
        <v>No</v>
      </c>
      <c r="AN1004" s="8"/>
      <c r="AO1004" s="8" t="str">
        <f ca="1">IFERROR(__xludf.DUMMYFUNCTION("""COMPUTED_VALUE"""),"No")</f>
        <v>No</v>
      </c>
      <c r="AP1004" s="8"/>
      <c r="AQ1004" s="8"/>
      <c r="AR1004" s="8" t="str">
        <f ca="1">IFERROR(__xludf.DUMMYFUNCTION("""COMPUTED_VALUE"""),"Outside/Off-Property")</f>
        <v>Outside/Off-Property</v>
      </c>
      <c r="AS1004" s="8"/>
      <c r="AT1004" s="8"/>
      <c r="AU1004" s="8">
        <f ca="1">IFERROR(__xludf.DUMMYFUNCTION("""COMPUTED_VALUE"""),41.690164)</f>
        <v>41.690164000000003</v>
      </c>
      <c r="AV1004" s="8">
        <f ca="1">IFERROR(__xludf.DUMMYFUNCTION("""COMPUTED_VALUE"""),-86.304011)</f>
        <v>-86.304011000000003</v>
      </c>
      <c r="AW1004" s="8"/>
      <c r="AX1004" s="8">
        <f ca="1">IFERROR(__xludf.DUMMYFUNCTION("""COMPUTED_VALUE"""),46628)</f>
        <v>46628</v>
      </c>
    </row>
    <row r="1005" spans="1:50" ht="60" x14ac:dyDescent="0.2">
      <c r="A1005" s="8" t="str">
        <f ca="1">IFERROR(__xludf.DUMMYFUNCTION("""COMPUTED_VALUE"""),"20220728KSMOG")</f>
        <v>20220728KSMOG</v>
      </c>
      <c r="B1005" s="8">
        <f ca="1">IFERROR(__xludf.DUMMYFUNCTION("""COMPUTED_VALUE"""),7)</f>
        <v>7</v>
      </c>
      <c r="C1005" s="8">
        <f ca="1">IFERROR(__xludf.DUMMYFUNCTION("""COMPUTED_VALUE"""),28)</f>
        <v>28</v>
      </c>
      <c r="D1005" s="8">
        <f ca="1">IFERROR(__xludf.DUMMYFUNCTION("""COMPUTED_VALUE"""),2022)</f>
        <v>2022</v>
      </c>
      <c r="E1005" s="9">
        <f ca="1">IFERROR(__xludf.DUMMYFUNCTION("""COMPUTED_VALUE"""),44770)</f>
        <v>44770</v>
      </c>
      <c r="F1005" s="8" t="str">
        <f ca="1">IFERROR(__xludf.DUMMYFUNCTION("""COMPUTED_VALUE"""),"Moonlight Elementary School")</f>
        <v>Moonlight Elementary School</v>
      </c>
      <c r="G1005" s="8">
        <f ca="1">IFERROR(__xludf.DUMMYFUNCTION("""COMPUTED_VALUE"""),0)</f>
        <v>0</v>
      </c>
      <c r="H1005" s="8">
        <f ca="1">IFERROR(__xludf.DUMMYFUNCTION("""COMPUTED_VALUE"""),0)</f>
        <v>0</v>
      </c>
      <c r="I1005" s="8">
        <f ca="1">IFERROR(__xludf.DUMMYFUNCTION("""COMPUTED_VALUE"""),0)</f>
        <v>0</v>
      </c>
      <c r="J1005" s="8">
        <f ca="1">IFERROR(__xludf.DUMMYFUNCTION("""COMPUTED_VALUE"""),0)</f>
        <v>0</v>
      </c>
      <c r="K1005" s="10" t="str">
        <f ca="1">IFERROR(__xludf.DUMMYFUNCTION("""COMPUTED_VALUE"""),"https://www.kctv5.com/2022/07/27/police-man-involved-shooting-incident-with-gardner-police-wounded-himself/")</f>
        <v>https://www.kctv5.com/2022/07/27/police-man-involved-shooting-incident-with-gardner-police-wounded-himself/</v>
      </c>
      <c r="L1005" s="8">
        <f ca="1">IFERROR(__xludf.DUMMYFUNCTION("""COMPUTED_VALUE"""),1)</f>
        <v>1</v>
      </c>
      <c r="M1005" s="8" t="str">
        <f ca="1">IFERROR(__xludf.DUMMYFUNCTION("""COMPUTED_VALUE"""),"Local")</f>
        <v>Local</v>
      </c>
      <c r="N1005" s="8">
        <f ca="1">IFERROR(__xludf.DUMMYFUNCTION("""COMPUTED_VALUE"""),3)</f>
        <v>3</v>
      </c>
      <c r="O1005" s="8" t="str">
        <f ca="1">IFERROR(__xludf.DUMMYFUNCTION("""COMPUTED_VALUE"""),"Summer")</f>
        <v>Summer</v>
      </c>
      <c r="P1005" s="8" t="str">
        <f ca="1">IFERROR(__xludf.DUMMYFUNCTION("""COMPUTED_VALUE"""),"Gardner")</f>
        <v>Gardner</v>
      </c>
      <c r="Q1005" s="8" t="str">
        <f ca="1">IFERROR(__xludf.DUMMYFUNCTION("""COMPUTED_VALUE"""),"KS")</f>
        <v>KS</v>
      </c>
      <c r="R1005" s="8" t="str">
        <f ca="1">IFERROR(__xludf.DUMMYFUNCTION("""COMPUTED_VALUE"""),"Elementary")</f>
        <v>Elementary</v>
      </c>
      <c r="S1005" s="8" t="str">
        <f ca="1">IFERROR(__xludf.DUMMYFUNCTION("""COMPUTED_VALUE"""),"Outside on School Property")</f>
        <v>Outside on School Property</v>
      </c>
      <c r="T1005" s="8" t="str">
        <f ca="1">IFERROR(__xludf.DUMMYFUNCTION("""COMPUTED_VALUE"""),"Outside on School Property")</f>
        <v>Outside on School Property</v>
      </c>
      <c r="U1005" s="8" t="str">
        <f ca="1">IFERROR(__xludf.DUMMYFUNCTION("""COMPUTED_VALUE"""),"No")</f>
        <v>No</v>
      </c>
      <c r="V1005" s="8" t="str">
        <f ca="1">IFERROR(__xludf.DUMMYFUNCTION("""COMPUTED_VALUE"""),"Not a School Day")</f>
        <v>Not a School Day</v>
      </c>
      <c r="W1005" s="11">
        <f ca="1">IFERROR(__xludf.DUMMYFUNCTION("""COMPUTED_VALUE"""),0.666666666666666)</f>
        <v>0.66666666666666596</v>
      </c>
      <c r="X1005" s="8">
        <f ca="1">IFERROR(__xludf.DUMMYFUNCTION("""COMPUTED_VALUE"""),1)</f>
        <v>1</v>
      </c>
      <c r="Y1005" s="12" t="str">
        <f ca="1">IFERROR(__xludf.DUMMYFUNCTION("""COMPUTED_VALUE"""),"Suicidal man shot himself when approached by police")</f>
        <v>Suicidal man shot himself when approached by police</v>
      </c>
      <c r="Z1005" s="12" t="str">
        <f ca="1">IFERROR(__xludf.DUMMYFUNCTION("""COMPUTED_VALUE"""),"A 22-year-old man shot himself in front of the elementary school. Police were called for a suicidal man with a gun. When they approach him, he shot himself. He was transported to the hospital in stable condition.")</f>
        <v>A 22-year-old man shot himself in front of the elementary school. Police were called for a suicidal man with a gun. When they approach him, he shot himself. He was transported to the hospital in stable condition.</v>
      </c>
      <c r="AA1005" s="8" t="str">
        <f ca="1">IFERROR(__xludf.DUMMYFUNCTION("""COMPUTED_VALUE"""),"Suicide/Attempted")</f>
        <v>Suicide/Attempted</v>
      </c>
      <c r="AB1005" s="8"/>
      <c r="AC1005" s="8" t="str">
        <f ca="1">IFERROR(__xludf.DUMMYFUNCTION("""COMPUTED_VALUE"""),"No")</f>
        <v>No</v>
      </c>
      <c r="AD1005" s="8" t="str">
        <f ca="1">IFERROR(__xludf.DUMMYFUNCTION("""COMPUTED_VALUE"""),"Victims Targeted")</f>
        <v>Victims Targeted</v>
      </c>
      <c r="AE1005" s="8" t="str">
        <f ca="1">IFERROR(__xludf.DUMMYFUNCTION("""COMPUTED_VALUE"""),"No")</f>
        <v>No</v>
      </c>
      <c r="AF1005" s="8"/>
      <c r="AG1005" s="8" t="str">
        <f ca="1">IFERROR(__xludf.DUMMYFUNCTION("""COMPUTED_VALUE"""),"No")</f>
        <v>No</v>
      </c>
      <c r="AH1005" s="8" t="str">
        <f ca="1">IFERROR(__xludf.DUMMYFUNCTION("""COMPUTED_VALUE"""),"No")</f>
        <v>No</v>
      </c>
      <c r="AI1005" s="8" t="str">
        <f ca="1">IFERROR(__xludf.DUMMYFUNCTION("""COMPUTED_VALUE"""),"No")</f>
        <v>No</v>
      </c>
      <c r="AJ1005" s="8" t="str">
        <f ca="1">IFERROR(__xludf.DUMMYFUNCTION("""COMPUTED_VALUE"""),"No")</f>
        <v>No</v>
      </c>
      <c r="AK1005" s="8" t="str">
        <f ca="1">IFERROR(__xludf.DUMMYFUNCTION("""COMPUTED_VALUE"""),"No")</f>
        <v>No</v>
      </c>
      <c r="AL1005" s="8" t="str">
        <f ca="1">IFERROR(__xludf.DUMMYFUNCTION("""COMPUTED_VALUE"""),"No")</f>
        <v>No</v>
      </c>
      <c r="AM1005" s="8" t="str">
        <f ca="1">IFERROR(__xludf.DUMMYFUNCTION("""COMPUTED_VALUE"""),"No")</f>
        <v>No</v>
      </c>
      <c r="AN1005" s="8"/>
      <c r="AO1005" s="8" t="str">
        <f ca="1">IFERROR(__xludf.DUMMYFUNCTION("""COMPUTED_VALUE"""),"No")</f>
        <v>No</v>
      </c>
      <c r="AP1005" s="8"/>
      <c r="AQ1005" s="8"/>
      <c r="AR1005" s="8" t="str">
        <f ca="1">IFERROR(__xludf.DUMMYFUNCTION("""COMPUTED_VALUE"""),"Outside/Off-Property")</f>
        <v>Outside/Off-Property</v>
      </c>
      <c r="AS1005" s="8">
        <f ca="1">IFERROR(__xludf.DUMMYFUNCTION("""COMPUTED_VALUE"""),1)</f>
        <v>1</v>
      </c>
      <c r="AT1005" s="8"/>
      <c r="AU1005" s="8">
        <f ca="1">IFERROR(__xludf.DUMMYFUNCTION("""COMPUTED_VALUE"""),38.80252)</f>
        <v>38.802520000000001</v>
      </c>
      <c r="AV1005" s="8">
        <f ca="1">IFERROR(__xludf.DUMMYFUNCTION("""COMPUTED_VALUE"""),-94.909662)</f>
        <v>-94.909661999999997</v>
      </c>
      <c r="AW1005" s="8"/>
      <c r="AX1005" s="8">
        <f ca="1">IFERROR(__xludf.DUMMYFUNCTION("""COMPUTED_VALUE"""),66030)</f>
        <v>66030</v>
      </c>
    </row>
    <row r="1006" spans="1:50" ht="60" x14ac:dyDescent="0.2">
      <c r="A1006" s="8" t="str">
        <f ca="1">IFERROR(__xludf.DUMMYFUNCTION("""COMPUTED_VALUE"""),"20220726TXCOC")</f>
        <v>20220726TXCOC</v>
      </c>
      <c r="B1006" s="8">
        <f ca="1">IFERROR(__xludf.DUMMYFUNCTION("""COMPUTED_VALUE"""),7)</f>
        <v>7</v>
      </c>
      <c r="C1006" s="8">
        <f ca="1">IFERROR(__xludf.DUMMYFUNCTION("""COMPUTED_VALUE"""),26)</f>
        <v>26</v>
      </c>
      <c r="D1006" s="8">
        <f ca="1">IFERROR(__xludf.DUMMYFUNCTION("""COMPUTED_VALUE"""),2022)</f>
        <v>2022</v>
      </c>
      <c r="E1006" s="9">
        <f ca="1">IFERROR(__xludf.DUMMYFUNCTION("""COMPUTED_VALUE"""),44768)</f>
        <v>44768</v>
      </c>
      <c r="F1006" s="8" t="str">
        <f ca="1">IFERROR(__xludf.DUMMYFUNCTION("""COMPUTED_VALUE"""),"College Station High School")</f>
        <v>College Station High School</v>
      </c>
      <c r="G1006" s="8">
        <f ca="1">IFERROR(__xludf.DUMMYFUNCTION("""COMPUTED_VALUE"""),0)</f>
        <v>0</v>
      </c>
      <c r="H1006" s="8">
        <f ca="1">IFERROR(__xludf.DUMMYFUNCTION("""COMPUTED_VALUE"""),0)</f>
        <v>0</v>
      </c>
      <c r="I1006" s="8">
        <f ca="1">IFERROR(__xludf.DUMMYFUNCTION("""COMPUTED_VALUE"""),0)</f>
        <v>0</v>
      </c>
      <c r="J1006" s="8">
        <f ca="1">IFERROR(__xludf.DUMMYFUNCTION("""COMPUTED_VALUE"""),0)</f>
        <v>0</v>
      </c>
      <c r="K1006" s="10" t="str">
        <f ca="1">IFERROR(__xludf.DUMMYFUNCTION("""COMPUTED_VALUE"""),"https://www.kbtx.com/2022/07/25/police-investigating-after-gunfire-reported-college-station-high-school/
https://www.fox44news.com/news/local-news/brazos/shots-fired-at-college-station-high-school-suspect-sought/")</f>
        <v>https://www.kbtx.com/2022/07/25/police-investigating-after-gunfire-reported-college-station-high-school/
https://www.fox44news.com/news/local-news/brazos/shots-fired-at-college-station-high-school-suspect-sought/</v>
      </c>
      <c r="L1006" s="8">
        <f ca="1">IFERROR(__xludf.DUMMYFUNCTION("""COMPUTED_VALUE"""),2)</f>
        <v>2</v>
      </c>
      <c r="M1006" s="8" t="str">
        <f ca="1">IFERROR(__xludf.DUMMYFUNCTION("""COMPUTED_VALUE"""),"Local")</f>
        <v>Local</v>
      </c>
      <c r="N1006" s="8">
        <f ca="1">IFERROR(__xludf.DUMMYFUNCTION("""COMPUTED_VALUE"""),3)</f>
        <v>3</v>
      </c>
      <c r="O1006" s="8" t="str">
        <f ca="1">IFERROR(__xludf.DUMMYFUNCTION("""COMPUTED_VALUE"""),"Summer")</f>
        <v>Summer</v>
      </c>
      <c r="P1006" s="8" t="str">
        <f ca="1">IFERROR(__xludf.DUMMYFUNCTION("""COMPUTED_VALUE"""),"College Station")</f>
        <v>College Station</v>
      </c>
      <c r="Q1006" s="8" t="str">
        <f ca="1">IFERROR(__xludf.DUMMYFUNCTION("""COMPUTED_VALUE"""),"TX")</f>
        <v>TX</v>
      </c>
      <c r="R1006" s="8" t="str">
        <f ca="1">IFERROR(__xludf.DUMMYFUNCTION("""COMPUTED_VALUE"""),"High")</f>
        <v>High</v>
      </c>
      <c r="S1006" s="8" t="str">
        <f ca="1">IFERROR(__xludf.DUMMYFUNCTION("""COMPUTED_VALUE"""),"Parking Lot")</f>
        <v>Parking Lot</v>
      </c>
      <c r="T1006" s="8" t="str">
        <f ca="1">IFERROR(__xludf.DUMMYFUNCTION("""COMPUTED_VALUE"""),"Outside on School Property")</f>
        <v>Outside on School Property</v>
      </c>
      <c r="U1006" s="8" t="str">
        <f ca="1">IFERROR(__xludf.DUMMYFUNCTION("""COMPUTED_VALUE"""),"No")</f>
        <v>No</v>
      </c>
      <c r="V1006" s="8" t="str">
        <f ca="1">IFERROR(__xludf.DUMMYFUNCTION("""COMPUTED_VALUE"""),"Evening")</f>
        <v>Evening</v>
      </c>
      <c r="W1006" s="11">
        <f ca="1">IFERROR(__xludf.DUMMYFUNCTION("""COMPUTED_VALUE"""),0.7375)</f>
        <v>0.73750000000000004</v>
      </c>
      <c r="X1006" s="8">
        <f ca="1">IFERROR(__xludf.DUMMYFUNCTION("""COMPUTED_VALUE"""),1)</f>
        <v>1</v>
      </c>
      <c r="Y1006" s="12" t="str">
        <f ca="1">IFERROR(__xludf.DUMMYFUNCTION("""COMPUTED_VALUE"""),"Man fired shots in parking lot, struck vehicles")</f>
        <v>Man fired shots in parking lot, struck vehicles</v>
      </c>
      <c r="Z1006" s="12" t="str">
        <f ca="1">IFERROR(__xludf.DUMMYFUNCTION("""COMPUTED_VALUE"""),"Man fired shots in the school parking lot that broke 2 windows of a vehicle. Witnesses heard gunshots and notified police. Man was seen running away from the school into the wooded area behind the building. No injuries.")</f>
        <v>Man fired shots in the school parking lot that broke 2 windows of a vehicle. Witnesses heard gunshots and notified police. Man was seen running away from the school into the wooded area behind the building. No injuries.</v>
      </c>
      <c r="AA1006" s="8"/>
      <c r="AB1006" s="8"/>
      <c r="AC1006" s="8" t="str">
        <f ca="1">IFERROR(__xludf.DUMMYFUNCTION("""COMPUTED_VALUE"""),"No")</f>
        <v>No</v>
      </c>
      <c r="AD1006" s="8"/>
      <c r="AE1006" s="8" t="str">
        <f ca="1">IFERROR(__xludf.DUMMYFUNCTION("""COMPUTED_VALUE"""),"No")</f>
        <v>No</v>
      </c>
      <c r="AF1006" s="8"/>
      <c r="AG1006" s="8" t="str">
        <f ca="1">IFERROR(__xludf.DUMMYFUNCTION("""COMPUTED_VALUE"""),"No")</f>
        <v>No</v>
      </c>
      <c r="AH1006" s="8" t="str">
        <f ca="1">IFERROR(__xludf.DUMMYFUNCTION("""COMPUTED_VALUE"""),"No")</f>
        <v>No</v>
      </c>
      <c r="AI1006" s="8" t="str">
        <f ca="1">IFERROR(__xludf.DUMMYFUNCTION("""COMPUTED_VALUE"""),"No")</f>
        <v>No</v>
      </c>
      <c r="AJ1006" s="8" t="str">
        <f ca="1">IFERROR(__xludf.DUMMYFUNCTION("""COMPUTED_VALUE"""),"No")</f>
        <v>No</v>
      </c>
      <c r="AK1006" s="8" t="str">
        <f ca="1">IFERROR(__xludf.DUMMYFUNCTION("""COMPUTED_VALUE"""),"No")</f>
        <v>No</v>
      </c>
      <c r="AL1006" s="8"/>
      <c r="AM1006" s="8" t="str">
        <f ca="1">IFERROR(__xludf.DUMMYFUNCTION("""COMPUTED_VALUE"""),"No")</f>
        <v>No</v>
      </c>
      <c r="AN1006" s="8"/>
      <c r="AO1006" s="8" t="str">
        <f ca="1">IFERROR(__xludf.DUMMYFUNCTION("""COMPUTED_VALUE"""),"No")</f>
        <v>No</v>
      </c>
      <c r="AP1006" s="8"/>
      <c r="AQ1006" s="8"/>
      <c r="AR1006" s="8" t="str">
        <f ca="1">IFERROR(__xludf.DUMMYFUNCTION("""COMPUTED_VALUE"""),"Outside/Off-Property")</f>
        <v>Outside/Off-Property</v>
      </c>
      <c r="AS1006" s="8">
        <f ca="1">IFERROR(__xludf.DUMMYFUNCTION("""COMPUTED_VALUE"""),99)</f>
        <v>99</v>
      </c>
      <c r="AT1006" s="8"/>
      <c r="AU1006" s="8">
        <f ca="1">IFERROR(__xludf.DUMMYFUNCTION("""COMPUTED_VALUE"""),30.557351)</f>
        <v>30.557351000000001</v>
      </c>
      <c r="AV1006" s="8">
        <f ca="1">IFERROR(__xludf.DUMMYFUNCTION("""COMPUTED_VALUE"""),-96.286486)</f>
        <v>-96.286485999999996</v>
      </c>
      <c r="AW1006" s="8"/>
      <c r="AX1006" s="8">
        <f ca="1">IFERROR(__xludf.DUMMYFUNCTION("""COMPUTED_VALUE"""),77845)</f>
        <v>77845</v>
      </c>
    </row>
    <row r="1007" spans="1:50" ht="60" x14ac:dyDescent="0.2">
      <c r="A1007" s="8" t="str">
        <f ca="1">IFERROR(__xludf.DUMMYFUNCTION("""COMPUTED_VALUE"""),"20220726PALAL")</f>
        <v>20220726PALAL</v>
      </c>
      <c r="B1007" s="8">
        <f ca="1">IFERROR(__xludf.DUMMYFUNCTION("""COMPUTED_VALUE"""),7)</f>
        <v>7</v>
      </c>
      <c r="C1007" s="8">
        <f ca="1">IFERROR(__xludf.DUMMYFUNCTION("""COMPUTED_VALUE"""),26)</f>
        <v>26</v>
      </c>
      <c r="D1007" s="8">
        <f ca="1">IFERROR(__xludf.DUMMYFUNCTION("""COMPUTED_VALUE"""),2022)</f>
        <v>2022</v>
      </c>
      <c r="E1007" s="9">
        <f ca="1">IFERROR(__xludf.DUMMYFUNCTION("""COMPUTED_VALUE"""),44768)</f>
        <v>44768</v>
      </c>
      <c r="F1007" s="8" t="str">
        <f ca="1">IFERROR(__xludf.DUMMYFUNCTION("""COMPUTED_VALUE"""),"Lake Lehman High School")</f>
        <v>Lake Lehman High School</v>
      </c>
      <c r="G1007" s="8">
        <f ca="1">IFERROR(__xludf.DUMMYFUNCTION("""COMPUTED_VALUE"""),0)</f>
        <v>0</v>
      </c>
      <c r="H1007" s="8">
        <f ca="1">IFERROR(__xludf.DUMMYFUNCTION("""COMPUTED_VALUE"""),0)</f>
        <v>0</v>
      </c>
      <c r="I1007" s="8">
        <f ca="1">IFERROR(__xludf.DUMMYFUNCTION("""COMPUTED_VALUE"""),0)</f>
        <v>0</v>
      </c>
      <c r="J1007" s="8">
        <f ca="1">IFERROR(__xludf.DUMMYFUNCTION("""COMPUTED_VALUE"""),0)</f>
        <v>0</v>
      </c>
      <c r="K1007" s="10" t="str">
        <f ca="1">IFERROR(__xludf.DUMMYFUNCTION("""COMPUTED_VALUE"""),"https://local21news.com/news/local/man-wanted-by-police-for-discharging-firearm")</f>
        <v>https://local21news.com/news/local/man-wanted-by-police-for-discharging-firearm</v>
      </c>
      <c r="L1007" s="8">
        <f ca="1">IFERROR(__xludf.DUMMYFUNCTION("""COMPUTED_VALUE"""),1)</f>
        <v>1</v>
      </c>
      <c r="M1007" s="8" t="str">
        <f ca="1">IFERROR(__xludf.DUMMYFUNCTION("""COMPUTED_VALUE"""),"Local")</f>
        <v>Local</v>
      </c>
      <c r="N1007" s="8">
        <f ca="1">IFERROR(__xludf.DUMMYFUNCTION("""COMPUTED_VALUE"""),4)</f>
        <v>4</v>
      </c>
      <c r="O1007" s="8" t="str">
        <f ca="1">IFERROR(__xludf.DUMMYFUNCTION("""COMPUTED_VALUE"""),"Summer")</f>
        <v>Summer</v>
      </c>
      <c r="P1007" s="8" t="str">
        <f ca="1">IFERROR(__xludf.DUMMYFUNCTION("""COMPUTED_VALUE"""),"Lehman")</f>
        <v>Lehman</v>
      </c>
      <c r="Q1007" s="8" t="str">
        <f ca="1">IFERROR(__xludf.DUMMYFUNCTION("""COMPUTED_VALUE"""),"PA")</f>
        <v>PA</v>
      </c>
      <c r="R1007" s="8" t="str">
        <f ca="1">IFERROR(__xludf.DUMMYFUNCTION("""COMPUTED_VALUE"""),"High")</f>
        <v>High</v>
      </c>
      <c r="S1007" s="8" t="str">
        <f ca="1">IFERROR(__xludf.DUMMYFUNCTION("""COMPUTED_VALUE"""),"Gym")</f>
        <v>Gym</v>
      </c>
      <c r="T1007" s="8" t="str">
        <f ca="1">IFERROR(__xludf.DUMMYFUNCTION("""COMPUTED_VALUE"""),"Outside on School Property")</f>
        <v>Outside on School Property</v>
      </c>
      <c r="U1007" s="8" t="str">
        <f ca="1">IFERROR(__xludf.DUMMYFUNCTION("""COMPUTED_VALUE"""),"No")</f>
        <v>No</v>
      </c>
      <c r="V1007" s="8" t="str">
        <f ca="1">IFERROR(__xludf.DUMMYFUNCTION("""COMPUTED_VALUE"""),"Night")</f>
        <v>Night</v>
      </c>
      <c r="W1007" s="11">
        <f ca="1">IFERROR(__xludf.DUMMYFUNCTION("""COMPUTED_VALUE"""),0.0625)</f>
        <v>6.25E-2</v>
      </c>
      <c r="X1007" s="8">
        <f ca="1">IFERROR(__xludf.DUMMYFUNCTION("""COMPUTED_VALUE"""),1)</f>
        <v>1</v>
      </c>
      <c r="Y1007" s="12" t="str">
        <f ca="1">IFERROR(__xludf.DUMMYFUNCTION("""COMPUTED_VALUE"""),"Man fired shots from vehicle at school building")</f>
        <v>Man fired shots from vehicle at school building</v>
      </c>
      <c r="Z1007" s="12" t="str">
        <f ca="1">IFERROR(__xludf.DUMMYFUNCTION("""COMPUTED_VALUE"""),"20-year-old man fired shots at the school building breaking windows in the gym. Shooter was identified by cellphone video and arrested the week after the attack. Held without bail.")</f>
        <v>20-year-old man fired shots at the school building breaking windows in the gym. Shooter was identified by cellphone video and arrested the week after the attack. Held without bail.</v>
      </c>
      <c r="AA1007" s="8" t="str">
        <f ca="1">IFERROR(__xludf.DUMMYFUNCTION("""COMPUTED_VALUE"""),"Drive-by Shooting")</f>
        <v>Drive-by Shooting</v>
      </c>
      <c r="AB1007" s="8"/>
      <c r="AC1007" s="8" t="str">
        <f ca="1">IFERROR(__xludf.DUMMYFUNCTION("""COMPUTED_VALUE"""),"No")</f>
        <v>No</v>
      </c>
      <c r="AD1007" s="8" t="str">
        <f ca="1">IFERROR(__xludf.DUMMYFUNCTION("""COMPUTED_VALUE"""),"Neither")</f>
        <v>Neither</v>
      </c>
      <c r="AE1007" s="8" t="str">
        <f ca="1">IFERROR(__xludf.DUMMYFUNCTION("""COMPUTED_VALUE"""),"No")</f>
        <v>No</v>
      </c>
      <c r="AF1007" s="8"/>
      <c r="AG1007" s="8" t="str">
        <f ca="1">IFERROR(__xludf.DUMMYFUNCTION("""COMPUTED_VALUE"""),"No")</f>
        <v>No</v>
      </c>
      <c r="AH1007" s="8" t="str">
        <f ca="1">IFERROR(__xludf.DUMMYFUNCTION("""COMPUTED_VALUE"""),"No")</f>
        <v>No</v>
      </c>
      <c r="AI1007" s="8" t="str">
        <f ca="1">IFERROR(__xludf.DUMMYFUNCTION("""COMPUTED_VALUE"""),"No")</f>
        <v>No</v>
      </c>
      <c r="AJ1007" s="8" t="str">
        <f ca="1">IFERROR(__xludf.DUMMYFUNCTION("""COMPUTED_VALUE"""),"No")</f>
        <v>No</v>
      </c>
      <c r="AK1007" s="8" t="str">
        <f ca="1">IFERROR(__xludf.DUMMYFUNCTION("""COMPUTED_VALUE"""),"No")</f>
        <v>No</v>
      </c>
      <c r="AL1007" s="8" t="str">
        <f ca="1">IFERROR(__xludf.DUMMYFUNCTION("""COMPUTED_VALUE"""),"No")</f>
        <v>No</v>
      </c>
      <c r="AM1007" s="8" t="str">
        <f ca="1">IFERROR(__xludf.DUMMYFUNCTION("""COMPUTED_VALUE"""),"No")</f>
        <v>No</v>
      </c>
      <c r="AN1007" s="8"/>
      <c r="AO1007" s="8" t="str">
        <f ca="1">IFERROR(__xludf.DUMMYFUNCTION("""COMPUTED_VALUE"""),"No")</f>
        <v>No</v>
      </c>
      <c r="AP1007" s="8"/>
      <c r="AQ1007" s="8"/>
      <c r="AR1007" s="8" t="str">
        <f ca="1">IFERROR(__xludf.DUMMYFUNCTION("""COMPUTED_VALUE"""),"Outside/Off-Property")</f>
        <v>Outside/Off-Property</v>
      </c>
      <c r="AS1007" s="8">
        <f ca="1">IFERROR(__xludf.DUMMYFUNCTION("""COMPUTED_VALUE"""),99)</f>
        <v>99</v>
      </c>
      <c r="AT1007" s="8"/>
      <c r="AU1007" s="8">
        <f ca="1">IFERROR(__xludf.DUMMYFUNCTION("""COMPUTED_VALUE"""),41.310093)</f>
        <v>41.310093000000002</v>
      </c>
      <c r="AV1007" s="8">
        <f ca="1">IFERROR(__xludf.DUMMYFUNCTION("""COMPUTED_VALUE"""),-76.023792)</f>
        <v>-76.023792</v>
      </c>
      <c r="AW1007" s="8"/>
      <c r="AX1007" s="8">
        <f ca="1">IFERROR(__xludf.DUMMYFUNCTION("""COMPUTED_VALUE"""),18627)</f>
        <v>18627</v>
      </c>
    </row>
    <row r="1008" spans="1:50" ht="60" x14ac:dyDescent="0.2">
      <c r="A1008" s="8" t="str">
        <f ca="1">IFERROR(__xludf.DUMMYFUNCTION("""COMPUTED_VALUE"""),"20220725NYBRB")</f>
        <v>20220725NYBRB</v>
      </c>
      <c r="B1008" s="8">
        <f ca="1">IFERROR(__xludf.DUMMYFUNCTION("""COMPUTED_VALUE"""),7)</f>
        <v>7</v>
      </c>
      <c r="C1008" s="8">
        <f ca="1">IFERROR(__xludf.DUMMYFUNCTION("""COMPUTED_VALUE"""),25)</f>
        <v>25</v>
      </c>
      <c r="D1008" s="8">
        <f ca="1">IFERROR(__xludf.DUMMYFUNCTION("""COMPUTED_VALUE"""),2022)</f>
        <v>2022</v>
      </c>
      <c r="E1008" s="9">
        <f ca="1">IFERROR(__xludf.DUMMYFUNCTION("""COMPUTED_VALUE"""),44767)</f>
        <v>44767</v>
      </c>
      <c r="F1008" s="8" t="str">
        <f ca="1">IFERROR(__xludf.DUMMYFUNCTION("""COMPUTED_VALUE"""),"X480 Bronx Regional High School")</f>
        <v>X480 Bronx Regional High School</v>
      </c>
      <c r="G1008" s="8">
        <f ca="1">IFERROR(__xludf.DUMMYFUNCTION("""COMPUTED_VALUE"""),0)</f>
        <v>0</v>
      </c>
      <c r="H1008" s="8">
        <f ca="1">IFERROR(__xludf.DUMMYFUNCTION("""COMPUTED_VALUE"""),2)</f>
        <v>2</v>
      </c>
      <c r="I1008" s="8">
        <f ca="1">IFERROR(__xludf.DUMMYFUNCTION("""COMPUTED_VALUE"""),2)</f>
        <v>2</v>
      </c>
      <c r="J1008" s="8">
        <f ca="1">IFERROR(__xludf.DUMMYFUNCTION("""COMPUTED_VALUE"""),0)</f>
        <v>0</v>
      </c>
      <c r="K1008" s="8" t="str">
        <f ca="1">IFERROR(__xludf.DUMMYFUNCTION("""COMPUTED_VALUE"""),"https://www.cbsnews.com/newyork/video/new-video-of-bronx-playground-shooting/#x
https://www.youtube.com/watch?v=q6OfRsakEBE
https://www.nbcnewyork.com/news/local/ghost-in-bmw-shoots-12-year-old-girl-teen-in-front-of-nyc-school-playground/3796282/
")</f>
        <v xml:space="preserve">https://www.cbsnews.com/newyork/video/new-video-of-bronx-playground-shooting/#x
https://www.youtube.com/watch?v=q6OfRsakEBE
https://www.nbcnewyork.com/news/local/ghost-in-bmw-shoots-12-year-old-girl-teen-in-front-of-nyc-school-playground/3796282/
</v>
      </c>
      <c r="L1008" s="8">
        <f ca="1">IFERROR(__xludf.DUMMYFUNCTION("""COMPUTED_VALUE"""),3)</f>
        <v>3</v>
      </c>
      <c r="M1008" s="8" t="str">
        <f ca="1">IFERROR(__xludf.DUMMYFUNCTION("""COMPUTED_VALUE"""),"Local")</f>
        <v>Local</v>
      </c>
      <c r="N1008" s="8">
        <f ca="1">IFERROR(__xludf.DUMMYFUNCTION("""COMPUTED_VALUE"""),4)</f>
        <v>4</v>
      </c>
      <c r="O1008" s="8" t="str">
        <f ca="1">IFERROR(__xludf.DUMMYFUNCTION("""COMPUTED_VALUE"""),"Summer")</f>
        <v>Summer</v>
      </c>
      <c r="P1008" s="8" t="str">
        <f ca="1">IFERROR(__xludf.DUMMYFUNCTION("""COMPUTED_VALUE"""),"Bronx")</f>
        <v>Bronx</v>
      </c>
      <c r="Q1008" s="8" t="str">
        <f ca="1">IFERROR(__xludf.DUMMYFUNCTION("""COMPUTED_VALUE"""),"NY")</f>
        <v>NY</v>
      </c>
      <c r="R1008" s="8" t="str">
        <f ca="1">IFERROR(__xludf.DUMMYFUNCTION("""COMPUTED_VALUE"""),"High")</f>
        <v>High</v>
      </c>
      <c r="S1008" s="8" t="str">
        <f ca="1">IFERROR(__xludf.DUMMYFUNCTION("""COMPUTED_VALUE"""),"Basketball Court")</f>
        <v>Basketball Court</v>
      </c>
      <c r="T1008" s="8" t="str">
        <f ca="1">IFERROR(__xludf.DUMMYFUNCTION("""COMPUTED_VALUE"""),"Outside on School Property")</f>
        <v>Outside on School Property</v>
      </c>
      <c r="U1008" s="8" t="str">
        <f ca="1">IFERROR(__xludf.DUMMYFUNCTION("""COMPUTED_VALUE"""),"No")</f>
        <v>No</v>
      </c>
      <c r="V1008" s="8" t="str">
        <f ca="1">IFERROR(__xludf.DUMMYFUNCTION("""COMPUTED_VALUE"""),"Night")</f>
        <v>Night</v>
      </c>
      <c r="W1008" s="11">
        <f ca="1">IFERROR(__xludf.DUMMYFUNCTION("""COMPUTED_VALUE"""),0.979166666666666)</f>
        <v>0.97916666666666596</v>
      </c>
      <c r="X1008" s="8">
        <f ca="1">IFERROR(__xludf.DUMMYFUNCTION("""COMPUTED_VALUE"""),1)</f>
        <v>1</v>
      </c>
      <c r="Y1008" s="12" t="str">
        <f ca="1">IFERROR(__xludf.DUMMYFUNCTION("""COMPUTED_VALUE"""),"Teen and child shot on basketball court")</f>
        <v>Teen and child shot on basketball court</v>
      </c>
      <c r="Z1008" s="12" t="str">
        <f ca="1">IFERROR(__xludf.DUMMYFUNCTION("""COMPUTED_VALUE"""),"A 12-year-old girl and 16-year-old boy were shot on the school's outdoor basketball court. Shooter fled in a vehicle. Police believe the victims were mistaken for gang members.")</f>
        <v>A 12-year-old girl and 16-year-old boy were shot on the school's outdoor basketball court. Shooter fled in a vehicle. Police believe the victims were mistaken for gang members.</v>
      </c>
      <c r="AA1008" s="8" t="str">
        <f ca="1">IFERROR(__xludf.DUMMYFUNCTION("""COMPUTED_VALUE"""),"Drive-by Shooting")</f>
        <v>Drive-by Shooting</v>
      </c>
      <c r="AB1008" s="8"/>
      <c r="AC1008" s="8" t="str">
        <f ca="1">IFERROR(__xludf.DUMMYFUNCTION("""COMPUTED_VALUE"""),"No")</f>
        <v>No</v>
      </c>
      <c r="AD1008" s="8" t="str">
        <f ca="1">IFERROR(__xludf.DUMMYFUNCTION("""COMPUTED_VALUE"""),"Both")</f>
        <v>Both</v>
      </c>
      <c r="AE1008" s="8" t="str">
        <f ca="1">IFERROR(__xludf.DUMMYFUNCTION("""COMPUTED_VALUE"""),"Yes")</f>
        <v>Yes</v>
      </c>
      <c r="AF1008" s="8" t="str">
        <f ca="1">IFERROR(__xludf.DUMMYFUNCTION("""COMPUTED_VALUE"""),"Shooter and driver")</f>
        <v>Shooter and driver</v>
      </c>
      <c r="AG1008" s="8" t="str">
        <f ca="1">IFERROR(__xludf.DUMMYFUNCTION("""COMPUTED_VALUE"""),"No")</f>
        <v>No</v>
      </c>
      <c r="AH1008" s="8" t="str">
        <f ca="1">IFERROR(__xludf.DUMMYFUNCTION("""COMPUTED_VALUE"""),"No")</f>
        <v>No</v>
      </c>
      <c r="AI1008" s="8" t="str">
        <f ca="1">IFERROR(__xludf.DUMMYFUNCTION("""COMPUTED_VALUE"""),"No")</f>
        <v>No</v>
      </c>
      <c r="AJ1008" s="8" t="str">
        <f ca="1">IFERROR(__xludf.DUMMYFUNCTION("""COMPUTED_VALUE"""),"No")</f>
        <v>No</v>
      </c>
      <c r="AK1008" s="8" t="str">
        <f ca="1">IFERROR(__xludf.DUMMYFUNCTION("""COMPUTED_VALUE"""),"No")</f>
        <v>No</v>
      </c>
      <c r="AL1008" s="8" t="str">
        <f ca="1">IFERROR(__xludf.DUMMYFUNCTION("""COMPUTED_VALUE"""),"Yes")</f>
        <v>Yes</v>
      </c>
      <c r="AM1008" s="8" t="str">
        <f ca="1">IFERROR(__xludf.DUMMYFUNCTION("""COMPUTED_VALUE"""),"No")</f>
        <v>No</v>
      </c>
      <c r="AN1008" s="8"/>
      <c r="AO1008" s="8" t="str">
        <f ca="1">IFERROR(__xludf.DUMMYFUNCTION("""COMPUTED_VALUE"""),"No")</f>
        <v>No</v>
      </c>
      <c r="AP1008" s="8"/>
      <c r="AQ1008" s="8"/>
      <c r="AR1008" s="8" t="str">
        <f ca="1">IFERROR(__xludf.DUMMYFUNCTION("""COMPUTED_VALUE"""),"Outside/Off-Property")</f>
        <v>Outside/Off-Property</v>
      </c>
      <c r="AS1008" s="8">
        <f ca="1">IFERROR(__xludf.DUMMYFUNCTION("""COMPUTED_VALUE"""),99)</f>
        <v>99</v>
      </c>
      <c r="AT1008" s="8"/>
      <c r="AU1008" s="8">
        <f ca="1">IFERROR(__xludf.DUMMYFUNCTION("""COMPUTED_VALUE"""),40.8233056595)</f>
        <v>40.823305659500001</v>
      </c>
      <c r="AV1008" s="8">
        <f ca="1">IFERROR(__xludf.DUMMYFUNCTION("""COMPUTED_VALUE"""),-73.8984616883)</f>
        <v>-73.898461688300003</v>
      </c>
      <c r="AW1008" s="8"/>
      <c r="AX1008" s="8">
        <f ca="1">IFERROR(__xludf.DUMMYFUNCTION("""COMPUTED_VALUE"""),10459)</f>
        <v>10459</v>
      </c>
    </row>
    <row r="1009" spans="1:50" ht="60" x14ac:dyDescent="0.2">
      <c r="A1009" s="8" t="str">
        <f ca="1">IFERROR(__xludf.DUMMYFUNCTION("""COMPUTED_VALUE"""),"20220720CAJOV")</f>
        <v>20220720CAJOV</v>
      </c>
      <c r="B1009" s="8">
        <f ca="1">IFERROR(__xludf.DUMMYFUNCTION("""COMPUTED_VALUE"""),7)</f>
        <v>7</v>
      </c>
      <c r="C1009" s="8">
        <f ca="1">IFERROR(__xludf.DUMMYFUNCTION("""COMPUTED_VALUE"""),20)</f>
        <v>20</v>
      </c>
      <c r="D1009" s="8">
        <f ca="1">IFERROR(__xludf.DUMMYFUNCTION("""COMPUTED_VALUE"""),2022)</f>
        <v>2022</v>
      </c>
      <c r="E1009" s="9">
        <f ca="1">IFERROR(__xludf.DUMMYFUNCTION("""COMPUTED_VALUE"""),44762)</f>
        <v>44762</v>
      </c>
      <c r="F1009" s="8" t="str">
        <f ca="1">IFERROR(__xludf.DUMMYFUNCTION("""COMPUTED_VALUE"""),"John Finney High School")</f>
        <v>John Finney High School</v>
      </c>
      <c r="G1009" s="8">
        <f ca="1">IFERROR(__xludf.DUMMYFUNCTION("""COMPUTED_VALUE"""),0)</f>
        <v>0</v>
      </c>
      <c r="H1009" s="8">
        <f ca="1">IFERROR(__xludf.DUMMYFUNCTION("""COMPUTED_VALUE"""),0)</f>
        <v>0</v>
      </c>
      <c r="I1009" s="8">
        <f ca="1">IFERROR(__xludf.DUMMYFUNCTION("""COMPUTED_VALUE"""),0)</f>
        <v>0</v>
      </c>
      <c r="J1009" s="8">
        <f ca="1">IFERROR(__xludf.DUMMYFUNCTION("""COMPUTED_VALUE"""),0)</f>
        <v>0</v>
      </c>
      <c r="K1009" s="10" t="str">
        <f ca="1">IFERROR(__xludf.DUMMYFUNCTION("""COMPUTED_VALUE"""),"https://www.nbcbayarea.com/news/local/north-bay/vallejo-school-lockdown-shooting/2949469/
https://www.msn.com/en-us/news/crime/shots-fired-near-john-finney-cause-lockdown/ar-AAZNJZH?ocid=hplocalnews&amp;srcref=rss")</f>
        <v>https://www.nbcbayarea.com/news/local/north-bay/vallejo-school-lockdown-shooting/2949469/
https://www.msn.com/en-us/news/crime/shots-fired-near-john-finney-cause-lockdown/ar-AAZNJZH?ocid=hplocalnews&amp;srcref=rss</v>
      </c>
      <c r="L1009" s="8">
        <f ca="1">IFERROR(__xludf.DUMMYFUNCTION("""COMPUTED_VALUE"""),5)</f>
        <v>5</v>
      </c>
      <c r="M1009" s="8" t="str">
        <f ca="1">IFERROR(__xludf.DUMMYFUNCTION("""COMPUTED_VALUE"""),"Regional")</f>
        <v>Regional</v>
      </c>
      <c r="N1009" s="8">
        <f ca="1">IFERROR(__xludf.DUMMYFUNCTION("""COMPUTED_VALUE"""),4)</f>
        <v>4</v>
      </c>
      <c r="O1009" s="8" t="str">
        <f ca="1">IFERROR(__xludf.DUMMYFUNCTION("""COMPUTED_VALUE"""),"Summer")</f>
        <v>Summer</v>
      </c>
      <c r="P1009" s="8" t="str">
        <f ca="1">IFERROR(__xludf.DUMMYFUNCTION("""COMPUTED_VALUE"""),"Vallejo")</f>
        <v>Vallejo</v>
      </c>
      <c r="Q1009" s="8" t="str">
        <f ca="1">IFERROR(__xludf.DUMMYFUNCTION("""COMPUTED_VALUE"""),"CA")</f>
        <v>CA</v>
      </c>
      <c r="R1009" s="8" t="str">
        <f ca="1">IFERROR(__xludf.DUMMYFUNCTION("""COMPUTED_VALUE"""),"High")</f>
        <v>High</v>
      </c>
      <c r="S1009" s="8" t="str">
        <f ca="1">IFERROR(__xludf.DUMMYFUNCTION("""COMPUTED_VALUE"""),"Field (General)")</f>
        <v>Field (General)</v>
      </c>
      <c r="T1009" s="8" t="str">
        <f ca="1">IFERROR(__xludf.DUMMYFUNCTION("""COMPUTED_VALUE"""),"Outside on School Property")</f>
        <v>Outside on School Property</v>
      </c>
      <c r="U1009" s="8" t="str">
        <f ca="1">IFERROR(__xludf.DUMMYFUNCTION("""COMPUTED_VALUE"""),"Yes")</f>
        <v>Yes</v>
      </c>
      <c r="V1009" s="8" t="str">
        <f ca="1">IFERROR(__xludf.DUMMYFUNCTION("""COMPUTED_VALUE"""),"Morning Classes")</f>
        <v>Morning Classes</v>
      </c>
      <c r="W1009" s="11">
        <f ca="1">IFERROR(__xludf.DUMMYFUNCTION("""COMPUTED_VALUE"""),0.392361111111111)</f>
        <v>0.39236111111111099</v>
      </c>
      <c r="X1009" s="8">
        <f ca="1">IFERROR(__xludf.DUMMYFUNCTION("""COMPUTED_VALUE"""),1)</f>
        <v>1</v>
      </c>
      <c r="Y1009" s="12" t="str">
        <f ca="1">IFERROR(__xludf.DUMMYFUNCTION("""COMPUTED_VALUE"""),"Shots fired on school field")</f>
        <v>Shots fired on school field</v>
      </c>
      <c r="Z1009" s="12" t="str">
        <f ca="1">IFERROR(__xludf.DUMMYFUNCTION("""COMPUTED_VALUE"""),"School went into lockdown when staff heard gun shots on the campus. An adult man ran from the field on the west side of the campus before police arrived. Police found shell casings. No injuries.")</f>
        <v>School went into lockdown when staff heard gun shots on the campus. An adult man ran from the field on the west side of the campus before police arrived. Police found shell casings. No injuries.</v>
      </c>
      <c r="AA1009" s="8"/>
      <c r="AB1009" s="8"/>
      <c r="AC1009" s="8" t="str">
        <f ca="1">IFERROR(__xludf.DUMMYFUNCTION("""COMPUTED_VALUE"""),"Yes")</f>
        <v>Yes</v>
      </c>
      <c r="AD1009" s="8"/>
      <c r="AE1009" s="8" t="str">
        <f ca="1">IFERROR(__xludf.DUMMYFUNCTION("""COMPUTED_VALUE"""),"No")</f>
        <v>No</v>
      </c>
      <c r="AF1009" s="8"/>
      <c r="AG1009" s="8" t="str">
        <f ca="1">IFERROR(__xludf.DUMMYFUNCTION("""COMPUTED_VALUE"""),"No")</f>
        <v>No</v>
      </c>
      <c r="AH1009" s="8" t="str">
        <f ca="1">IFERROR(__xludf.DUMMYFUNCTION("""COMPUTED_VALUE"""),"No")</f>
        <v>No</v>
      </c>
      <c r="AI1009" s="8" t="str">
        <f ca="1">IFERROR(__xludf.DUMMYFUNCTION("""COMPUTED_VALUE"""),"No")</f>
        <v>No</v>
      </c>
      <c r="AJ1009" s="8" t="str">
        <f ca="1">IFERROR(__xludf.DUMMYFUNCTION("""COMPUTED_VALUE"""),"No")</f>
        <v>No</v>
      </c>
      <c r="AK1009" s="8" t="str">
        <f ca="1">IFERROR(__xludf.DUMMYFUNCTION("""COMPUTED_VALUE"""),"No")</f>
        <v>No</v>
      </c>
      <c r="AL1009" s="8"/>
      <c r="AM1009" s="8" t="str">
        <f ca="1">IFERROR(__xludf.DUMMYFUNCTION("""COMPUTED_VALUE"""),"No")</f>
        <v>No</v>
      </c>
      <c r="AN1009" s="8"/>
      <c r="AO1009" s="8" t="str">
        <f ca="1">IFERROR(__xludf.DUMMYFUNCTION("""COMPUTED_VALUE"""),"No")</f>
        <v>No</v>
      </c>
      <c r="AP1009" s="8"/>
      <c r="AQ1009" s="8"/>
      <c r="AR1009" s="8" t="str">
        <f ca="1">IFERROR(__xludf.DUMMYFUNCTION("""COMPUTED_VALUE"""),"Outside/Off-Property")</f>
        <v>Outside/Off-Property</v>
      </c>
      <c r="AS1009" s="8">
        <f ca="1">IFERROR(__xludf.DUMMYFUNCTION("""COMPUTED_VALUE"""),99)</f>
        <v>99</v>
      </c>
      <c r="AT1009" s="8" t="str">
        <f ca="1">IFERROR(__xludf.DUMMYFUNCTION("""COMPUTED_VALUE"""),"Yes")</f>
        <v>Yes</v>
      </c>
      <c r="AU1009" s="8">
        <f ca="1">IFERROR(__xludf.DUMMYFUNCTION("""COMPUTED_VALUE"""),38.112858)</f>
        <v>38.112858000000003</v>
      </c>
      <c r="AV1009" s="8">
        <f ca="1">IFERROR(__xludf.DUMMYFUNCTION("""COMPUTED_VALUE"""),-122.244291)</f>
        <v>-122.244291</v>
      </c>
      <c r="AW1009" s="8"/>
      <c r="AX1009" s="8">
        <f ca="1">IFERROR(__xludf.DUMMYFUNCTION("""COMPUTED_VALUE"""),94590)</f>
        <v>94590</v>
      </c>
    </row>
    <row r="1010" spans="1:50" ht="60" x14ac:dyDescent="0.2">
      <c r="A1010" s="8" t="str">
        <f ca="1">IFERROR(__xludf.DUMMYFUNCTION("""COMPUTED_VALUE"""),"20220716NYCLS")</f>
        <v>20220716NYCLS</v>
      </c>
      <c r="B1010" s="8">
        <f ca="1">IFERROR(__xludf.DUMMYFUNCTION("""COMPUTED_VALUE"""),7)</f>
        <v>7</v>
      </c>
      <c r="C1010" s="8">
        <f ca="1">IFERROR(__xludf.DUMMYFUNCTION("""COMPUTED_VALUE"""),16)</f>
        <v>16</v>
      </c>
      <c r="D1010" s="8">
        <f ca="1">IFERROR(__xludf.DUMMYFUNCTION("""COMPUTED_VALUE"""),2022)</f>
        <v>2022</v>
      </c>
      <c r="E1010" s="9">
        <f ca="1">IFERROR(__xludf.DUMMYFUNCTION("""COMPUTED_VALUE"""),44758)</f>
        <v>44758</v>
      </c>
      <c r="F1010" s="8" t="str">
        <f ca="1">IFERROR(__xludf.DUMMYFUNCTION("""COMPUTED_VALUE"""),"Clary Middle School")</f>
        <v>Clary Middle School</v>
      </c>
      <c r="G1010" s="8">
        <f ca="1">IFERROR(__xludf.DUMMYFUNCTION("""COMPUTED_VALUE"""),0)</f>
        <v>0</v>
      </c>
      <c r="H1010" s="8">
        <f ca="1">IFERROR(__xludf.DUMMYFUNCTION("""COMPUTED_VALUE"""),0)</f>
        <v>0</v>
      </c>
      <c r="I1010" s="8">
        <f ca="1">IFERROR(__xludf.DUMMYFUNCTION("""COMPUTED_VALUE"""),0)</f>
        <v>0</v>
      </c>
      <c r="J1010" s="8">
        <f ca="1">IFERROR(__xludf.DUMMYFUNCTION("""COMPUTED_VALUE"""),0)</f>
        <v>0</v>
      </c>
      <c r="K1010" s="8" t="str">
        <f ca="1">IFERROR(__xludf.DUMMYFUNCTION("""COMPUTED_VALUE"""),"https://cnycentral.com/news/local/shots-fired-near-clary-middle-school-during-a-football-game
https://www.syracuse.com/crime/2022/07/meachem-field-evacuated-during-football-game-after-fight-multiple-gunshots-fired-nearby.html
https://www.localsyr.com/news"&amp;"/local-news/police-respond-to-shots-fired-near-syracuse-middle-school-football-game/")</f>
        <v>https://cnycentral.com/news/local/shots-fired-near-clary-middle-school-during-a-football-game
https://www.syracuse.com/crime/2022/07/meachem-field-evacuated-during-football-game-after-fight-multiple-gunshots-fired-nearby.html
https://www.localsyr.com/news/local-news/police-respond-to-shots-fired-near-syracuse-middle-school-football-game/</v>
      </c>
      <c r="L1010" s="8">
        <f ca="1">IFERROR(__xludf.DUMMYFUNCTION("""COMPUTED_VALUE"""),3)</f>
        <v>3</v>
      </c>
      <c r="M1010" s="8" t="str">
        <f ca="1">IFERROR(__xludf.DUMMYFUNCTION("""COMPUTED_VALUE"""),"Local")</f>
        <v>Local</v>
      </c>
      <c r="N1010" s="8">
        <f ca="1">IFERROR(__xludf.DUMMYFUNCTION("""COMPUTED_VALUE"""),4)</f>
        <v>4</v>
      </c>
      <c r="O1010" s="8" t="str">
        <f ca="1">IFERROR(__xludf.DUMMYFUNCTION("""COMPUTED_VALUE"""),"Summer")</f>
        <v>Summer</v>
      </c>
      <c r="P1010" s="8" t="str">
        <f ca="1">IFERROR(__xludf.DUMMYFUNCTION("""COMPUTED_VALUE"""),"Syracuse")</f>
        <v>Syracuse</v>
      </c>
      <c r="Q1010" s="8" t="str">
        <f ca="1">IFERROR(__xludf.DUMMYFUNCTION("""COMPUTED_VALUE"""),"NY")</f>
        <v>NY</v>
      </c>
      <c r="R1010" s="8" t="str">
        <f ca="1">IFERROR(__xludf.DUMMYFUNCTION("""COMPUTED_VALUE"""),"Middle")</f>
        <v>Middle</v>
      </c>
      <c r="S1010" s="8" t="str">
        <f ca="1">IFERROR(__xludf.DUMMYFUNCTION("""COMPUTED_VALUE"""),"Parking Lot")</f>
        <v>Parking Lot</v>
      </c>
      <c r="T1010" s="8" t="str">
        <f ca="1">IFERROR(__xludf.DUMMYFUNCTION("""COMPUTED_VALUE"""),"Outside on School Property")</f>
        <v>Outside on School Property</v>
      </c>
      <c r="U1010" s="8" t="str">
        <f ca="1">IFERROR(__xludf.DUMMYFUNCTION("""COMPUTED_VALUE"""),"No")</f>
        <v>No</v>
      </c>
      <c r="V1010" s="8" t="str">
        <f ca="1">IFERROR(__xludf.DUMMYFUNCTION("""COMPUTED_VALUE"""),"Sport Event")</f>
        <v>Sport Event</v>
      </c>
      <c r="W1010" s="11">
        <f ca="1">IFERROR(__xludf.DUMMYFUNCTION("""COMPUTED_VALUE"""),0.875)</f>
        <v>0.875</v>
      </c>
      <c r="X1010" s="8">
        <f ca="1">IFERROR(__xludf.DUMMYFUNCTION("""COMPUTED_VALUE"""),1)</f>
        <v>1</v>
      </c>
      <c r="Y1010" s="12" t="str">
        <f ca="1">IFERROR(__xludf.DUMMYFUNCTION("""COMPUTED_VALUE"""),"Shots fired during fight in parking lot during semi-pro football game")</f>
        <v>Shots fired during fight in parking lot during semi-pro football game</v>
      </c>
      <c r="Z1010" s="12" t="str">
        <f ca="1">IFERROR(__xludf.DUMMYFUNCTION("""COMPUTED_VALUE"""),"Shots fired during fight in parking lot during semi-pro football game. Shooter fled. Police recovered multiple shell casings. No injuries. Stadium was evacuated and remainder of game was cancelled.")</f>
        <v>Shots fired during fight in parking lot during semi-pro football game. Shooter fled. Police recovered multiple shell casings. No injuries. Stadium was evacuated and remainder of game was cancelled.</v>
      </c>
      <c r="AA1010" s="8" t="str">
        <f ca="1">IFERROR(__xludf.DUMMYFUNCTION("""COMPUTED_VALUE"""),"Escalation of Dispute")</f>
        <v>Escalation of Dispute</v>
      </c>
      <c r="AB1010" s="8"/>
      <c r="AC1010" s="8" t="str">
        <f ca="1">IFERROR(__xludf.DUMMYFUNCTION("""COMPUTED_VALUE"""),"No")</f>
        <v>No</v>
      </c>
      <c r="AD1010" s="8" t="str">
        <f ca="1">IFERROR(__xludf.DUMMYFUNCTION("""COMPUTED_VALUE"""),"Victims Targeted")</f>
        <v>Victims Targeted</v>
      </c>
      <c r="AE1010" s="8" t="str">
        <f ca="1">IFERROR(__xludf.DUMMYFUNCTION("""COMPUTED_VALUE"""),"No")</f>
        <v>No</v>
      </c>
      <c r="AF1010" s="8"/>
      <c r="AG1010" s="8" t="str">
        <f ca="1">IFERROR(__xludf.DUMMYFUNCTION("""COMPUTED_VALUE"""),"No")</f>
        <v>No</v>
      </c>
      <c r="AH1010" s="8" t="str">
        <f ca="1">IFERROR(__xludf.DUMMYFUNCTION("""COMPUTED_VALUE"""),"No")</f>
        <v>No</v>
      </c>
      <c r="AI1010" s="8" t="str">
        <f ca="1">IFERROR(__xludf.DUMMYFUNCTION("""COMPUTED_VALUE"""),"No")</f>
        <v>No</v>
      </c>
      <c r="AJ1010" s="8" t="str">
        <f ca="1">IFERROR(__xludf.DUMMYFUNCTION("""COMPUTED_VALUE"""),"No")</f>
        <v>No</v>
      </c>
      <c r="AK1010" s="8" t="str">
        <f ca="1">IFERROR(__xludf.DUMMYFUNCTION("""COMPUTED_VALUE"""),"No")</f>
        <v>No</v>
      </c>
      <c r="AL1010" s="8" t="str">
        <f ca="1">IFERROR(__xludf.DUMMYFUNCTION("""COMPUTED_VALUE"""),"No")</f>
        <v>No</v>
      </c>
      <c r="AM1010" s="8" t="str">
        <f ca="1">IFERROR(__xludf.DUMMYFUNCTION("""COMPUTED_VALUE"""),"No")</f>
        <v>No</v>
      </c>
      <c r="AN1010" s="8"/>
      <c r="AO1010" s="8" t="str">
        <f ca="1">IFERROR(__xludf.DUMMYFUNCTION("""COMPUTED_VALUE"""),"No")</f>
        <v>No</v>
      </c>
      <c r="AP1010" s="8"/>
      <c r="AQ1010" s="8" t="str">
        <f ca="1">IFERROR(__xludf.DUMMYFUNCTION("""COMPUTED_VALUE"""),"Guards")</f>
        <v>Guards</v>
      </c>
      <c r="AR1010" s="8" t="str">
        <f ca="1">IFERROR(__xludf.DUMMYFUNCTION("""COMPUTED_VALUE"""),"Outside/Off-Property")</f>
        <v>Outside/Off-Property</v>
      </c>
      <c r="AS1010" s="8">
        <f ca="1">IFERROR(__xludf.DUMMYFUNCTION("""COMPUTED_VALUE"""),99)</f>
        <v>99</v>
      </c>
      <c r="AT1010" s="8" t="str">
        <f ca="1">IFERROR(__xludf.DUMMYFUNCTION("""COMPUTED_VALUE"""),"No")</f>
        <v>No</v>
      </c>
      <c r="AU1010" s="8">
        <f ca="1">IFERROR(__xludf.DUMMYFUNCTION("""COMPUTED_VALUE"""),42.997665)</f>
        <v>42.997664999999998</v>
      </c>
      <c r="AV1010" s="8">
        <f ca="1">IFERROR(__xludf.DUMMYFUNCTION("""COMPUTED_VALUE"""),-76.145835)</f>
        <v>-76.145835000000005</v>
      </c>
      <c r="AW1010" s="8"/>
      <c r="AX1010" s="8">
        <f ca="1">IFERROR(__xludf.DUMMYFUNCTION("""COMPUTED_VALUE"""),13205)</f>
        <v>13205</v>
      </c>
    </row>
    <row r="1011" spans="1:50" ht="45" x14ac:dyDescent="0.2">
      <c r="A1011" s="8" t="str">
        <f ca="1">IFERROR(__xludf.DUMMYFUNCTION("""COMPUTED_VALUE"""),"20220716GAAPF")</f>
        <v>20220716GAAPF</v>
      </c>
      <c r="B1011" s="8">
        <f ca="1">IFERROR(__xludf.DUMMYFUNCTION("""COMPUTED_VALUE"""),7)</f>
        <v>7</v>
      </c>
      <c r="C1011" s="8">
        <f ca="1">IFERROR(__xludf.DUMMYFUNCTION("""COMPUTED_VALUE"""),16)</f>
        <v>16</v>
      </c>
      <c r="D1011" s="8">
        <f ca="1">IFERROR(__xludf.DUMMYFUNCTION("""COMPUTED_VALUE"""),2022)</f>
        <v>2022</v>
      </c>
      <c r="E1011" s="9">
        <f ca="1">IFERROR(__xludf.DUMMYFUNCTION("""COMPUTED_VALUE"""),44758)</f>
        <v>44758</v>
      </c>
      <c r="F1011" s="8" t="str">
        <f ca="1">IFERROR(__xludf.DUMMYFUNCTION("""COMPUTED_VALUE"""),"A. Philip Randolph Elementary School")</f>
        <v>A. Philip Randolph Elementary School</v>
      </c>
      <c r="G1011" s="8">
        <f ca="1">IFERROR(__xludf.DUMMYFUNCTION("""COMPUTED_VALUE"""),0)</f>
        <v>0</v>
      </c>
      <c r="H1011" s="8">
        <f ca="1">IFERROR(__xludf.DUMMYFUNCTION("""COMPUTED_VALUE"""),1)</f>
        <v>1</v>
      </c>
      <c r="I1011" s="8">
        <f ca="1">IFERROR(__xludf.DUMMYFUNCTION("""COMPUTED_VALUE"""),1)</f>
        <v>1</v>
      </c>
      <c r="J1011" s="8">
        <f ca="1">IFERROR(__xludf.DUMMYFUNCTION("""COMPUTED_VALUE"""),0)</f>
        <v>0</v>
      </c>
      <c r="K1011" s="8" t="str">
        <f ca="1">IFERROR(__xludf.DUMMYFUNCTION("""COMPUTED_VALUE"""),"https://www.wsbtv.com/news/local/south-fulton-county/shooting-south-fulton-school-property-leaves-1-person-injured-police-say/FJWRT3JDXZAGHNKDYCDSJ2VFSY/
https://www.cbs46.com/2022/07/16/shooting-near-south-fulton-elementary-school-draws-concerns-neighbor"&amp;"s/
https://www.11alive.com/article/news/local/a-phillip-randolph-elementary-school-shooting-investigation/85-f01a1e46-8682-4696-bd87-28377ceede92")</f>
        <v>https://www.wsbtv.com/news/local/south-fulton-county/shooting-south-fulton-school-property-leaves-1-person-injured-police-say/FJWRT3JDXZAGHNKDYCDSJ2VFSY/
https://www.cbs46.com/2022/07/16/shooting-near-south-fulton-elementary-school-draws-concerns-neighbors/
https://www.11alive.com/article/news/local/a-phillip-randolph-elementary-school-shooting-investigation/85-f01a1e46-8682-4696-bd87-28377ceede92</v>
      </c>
      <c r="L1011" s="8">
        <f ca="1">IFERROR(__xludf.DUMMYFUNCTION("""COMPUTED_VALUE"""),3)</f>
        <v>3</v>
      </c>
      <c r="M1011" s="8" t="str">
        <f ca="1">IFERROR(__xludf.DUMMYFUNCTION("""COMPUTED_VALUE"""),"Local")</f>
        <v>Local</v>
      </c>
      <c r="N1011" s="8">
        <f ca="1">IFERROR(__xludf.DUMMYFUNCTION("""COMPUTED_VALUE"""),4)</f>
        <v>4</v>
      </c>
      <c r="O1011" s="8" t="str">
        <f ca="1">IFERROR(__xludf.DUMMYFUNCTION("""COMPUTED_VALUE"""),"Summer")</f>
        <v>Summer</v>
      </c>
      <c r="P1011" s="8" t="str">
        <f ca="1">IFERROR(__xludf.DUMMYFUNCTION("""COMPUTED_VALUE"""),"Fulton")</f>
        <v>Fulton</v>
      </c>
      <c r="Q1011" s="8" t="str">
        <f ca="1">IFERROR(__xludf.DUMMYFUNCTION("""COMPUTED_VALUE"""),"GA")</f>
        <v>GA</v>
      </c>
      <c r="R1011" s="8" t="str">
        <f ca="1">IFERROR(__xludf.DUMMYFUNCTION("""COMPUTED_VALUE"""),"Elementary")</f>
        <v>Elementary</v>
      </c>
      <c r="S1011" s="8" t="str">
        <f ca="1">IFERROR(__xludf.DUMMYFUNCTION("""COMPUTED_VALUE"""),"Parking Lot")</f>
        <v>Parking Lot</v>
      </c>
      <c r="T1011" s="8" t="str">
        <f ca="1">IFERROR(__xludf.DUMMYFUNCTION("""COMPUTED_VALUE"""),"Outside on School Property")</f>
        <v>Outside on School Property</v>
      </c>
      <c r="U1011" s="8" t="str">
        <f ca="1">IFERROR(__xludf.DUMMYFUNCTION("""COMPUTED_VALUE"""),"No")</f>
        <v>No</v>
      </c>
      <c r="V1011" s="8" t="str">
        <f ca="1">IFERROR(__xludf.DUMMYFUNCTION("""COMPUTED_VALUE"""),"Night")</f>
        <v>Night</v>
      </c>
      <c r="W1011" s="11">
        <f ca="1">IFERROR(__xludf.DUMMYFUNCTION("""COMPUTED_VALUE"""),0.104166666666666)</f>
        <v>0.10416666666666601</v>
      </c>
      <c r="X1011" s="8">
        <f ca="1">IFERROR(__xludf.DUMMYFUNCTION("""COMPUTED_VALUE"""),1)</f>
        <v>1</v>
      </c>
      <c r="Y1011" s="12" t="str">
        <f ca="1">IFERROR(__xludf.DUMMYFUNCTION("""COMPUTED_VALUE"""),"Man shot during fight that escalated into shooting")</f>
        <v>Man shot during fight that escalated into shooting</v>
      </c>
      <c r="Z1011" s="12" t="str">
        <f ca="1">IFERROR(__xludf.DUMMYFUNCTION("""COMPUTED_VALUE"""),"19-year-old man was shot during a fight in the school parking lot the escalated into a shooting. A nearby officer heard the shots and responded. Shooter fled the scene.")</f>
        <v>19-year-old man was shot during a fight in the school parking lot the escalated into a shooting. A nearby officer heard the shots and responded. Shooter fled the scene.</v>
      </c>
      <c r="AA1011" s="8" t="str">
        <f ca="1">IFERROR(__xludf.DUMMYFUNCTION("""COMPUTED_VALUE"""),"Escalation of Dispute")</f>
        <v>Escalation of Dispute</v>
      </c>
      <c r="AB1011" s="8"/>
      <c r="AC1011" s="8" t="str">
        <f ca="1">IFERROR(__xludf.DUMMYFUNCTION("""COMPUTED_VALUE"""),"No")</f>
        <v>No</v>
      </c>
      <c r="AD1011" s="8" t="str">
        <f ca="1">IFERROR(__xludf.DUMMYFUNCTION("""COMPUTED_VALUE"""),"Victims Targeted")</f>
        <v>Victims Targeted</v>
      </c>
      <c r="AE1011" s="8" t="str">
        <f ca="1">IFERROR(__xludf.DUMMYFUNCTION("""COMPUTED_VALUE"""),"No")</f>
        <v>No</v>
      </c>
      <c r="AF1011" s="8"/>
      <c r="AG1011" s="8" t="str">
        <f ca="1">IFERROR(__xludf.DUMMYFUNCTION("""COMPUTED_VALUE"""),"No")</f>
        <v>No</v>
      </c>
      <c r="AH1011" s="8" t="str">
        <f ca="1">IFERROR(__xludf.DUMMYFUNCTION("""COMPUTED_VALUE"""),"No")</f>
        <v>No</v>
      </c>
      <c r="AI1011" s="8" t="str">
        <f ca="1">IFERROR(__xludf.DUMMYFUNCTION("""COMPUTED_VALUE"""),"No")</f>
        <v>No</v>
      </c>
      <c r="AJ1011" s="8" t="str">
        <f ca="1">IFERROR(__xludf.DUMMYFUNCTION("""COMPUTED_VALUE"""),"No")</f>
        <v>No</v>
      </c>
      <c r="AK1011" s="8" t="str">
        <f ca="1">IFERROR(__xludf.DUMMYFUNCTION("""COMPUTED_VALUE"""),"No")</f>
        <v>No</v>
      </c>
      <c r="AL1011" s="8"/>
      <c r="AM1011" s="8" t="str">
        <f ca="1">IFERROR(__xludf.DUMMYFUNCTION("""COMPUTED_VALUE"""),"No")</f>
        <v>No</v>
      </c>
      <c r="AN1011" s="8"/>
      <c r="AO1011" s="8" t="str">
        <f ca="1">IFERROR(__xludf.DUMMYFUNCTION("""COMPUTED_VALUE"""),"No")</f>
        <v>No</v>
      </c>
      <c r="AP1011" s="8"/>
      <c r="AQ1011" s="8"/>
      <c r="AR1011" s="8" t="str">
        <f ca="1">IFERROR(__xludf.DUMMYFUNCTION("""COMPUTED_VALUE"""),"Outside/Off-Property")</f>
        <v>Outside/Off-Property</v>
      </c>
      <c r="AS1011" s="8">
        <f ca="1">IFERROR(__xludf.DUMMYFUNCTION("""COMPUTED_VALUE"""),99)</f>
        <v>99</v>
      </c>
      <c r="AT1011" s="8" t="str">
        <f ca="1">IFERROR(__xludf.DUMMYFUNCTION("""COMPUTED_VALUE"""),"No")</f>
        <v>No</v>
      </c>
      <c r="AU1011" s="8">
        <f ca="1">IFERROR(__xludf.DUMMYFUNCTION("""COMPUTED_VALUE"""),33.704727)</f>
        <v>33.704726999999998</v>
      </c>
      <c r="AV1011" s="8">
        <f ca="1">IFERROR(__xludf.DUMMYFUNCTION("""COMPUTED_VALUE"""),-84.561612)</f>
        <v>-84.561611999999997</v>
      </c>
      <c r="AW1011" s="8"/>
      <c r="AX1011" s="8">
        <f ca="1">IFERROR(__xludf.DUMMYFUNCTION("""COMPUTED_VALUE"""),30331)</f>
        <v>30331</v>
      </c>
    </row>
    <row r="1012" spans="1:50" ht="45" x14ac:dyDescent="0.2">
      <c r="A1012" s="8" t="str">
        <f ca="1">IFERROR(__xludf.DUMMYFUNCTION("""COMPUTED_VALUE"""),"20220629CABUA")</f>
        <v>20220629CABUA</v>
      </c>
      <c r="B1012" s="8">
        <f ca="1">IFERROR(__xludf.DUMMYFUNCTION("""COMPUTED_VALUE"""),6)</f>
        <v>6</v>
      </c>
      <c r="C1012" s="8">
        <f ca="1">IFERROR(__xludf.DUMMYFUNCTION("""COMPUTED_VALUE"""),29)</f>
        <v>29</v>
      </c>
      <c r="D1012" s="8">
        <f ca="1">IFERROR(__xludf.DUMMYFUNCTION("""COMPUTED_VALUE"""),2022)</f>
        <v>2022</v>
      </c>
      <c r="E1012" s="9">
        <f ca="1">IFERROR(__xludf.DUMMYFUNCTION("""COMPUTED_VALUE"""),44741)</f>
        <v>44741</v>
      </c>
      <c r="F1012" s="8" t="str">
        <f ca="1">IFERROR(__xludf.DUMMYFUNCTION("""COMPUTED_VALUE"""),"Buhach Colony High School")</f>
        <v>Buhach Colony High School</v>
      </c>
      <c r="G1012" s="8">
        <f ca="1">IFERROR(__xludf.DUMMYFUNCTION("""COMPUTED_VALUE"""),0)</f>
        <v>0</v>
      </c>
      <c r="H1012" s="8">
        <f ca="1">IFERROR(__xludf.DUMMYFUNCTION("""COMPUTED_VALUE"""),0)</f>
        <v>0</v>
      </c>
      <c r="I1012" s="8">
        <f ca="1">IFERROR(__xludf.DUMMYFUNCTION("""COMPUTED_VALUE"""),0)</f>
        <v>0</v>
      </c>
      <c r="J1012" s="8">
        <f ca="1">IFERROR(__xludf.DUMMYFUNCTION("""COMPUTED_VALUE"""),0)</f>
        <v>0</v>
      </c>
      <c r="K1012" s="10" t="str">
        <f ca="1">IFERROR(__xludf.DUMMYFUNCTION("""COMPUTED_VALUE"""),"https://www.mercedsunstar.com/news/local/crime/article263063843.html")</f>
        <v>https://www.mercedsunstar.com/news/local/crime/article263063843.html</v>
      </c>
      <c r="L1012" s="8">
        <f ca="1">IFERROR(__xludf.DUMMYFUNCTION("""COMPUTED_VALUE"""),3)</f>
        <v>3</v>
      </c>
      <c r="M1012" s="8" t="str">
        <f ca="1">IFERROR(__xludf.DUMMYFUNCTION("""COMPUTED_VALUE"""),"Local")</f>
        <v>Local</v>
      </c>
      <c r="N1012" s="8">
        <f ca="1">IFERROR(__xludf.DUMMYFUNCTION("""COMPUTED_VALUE"""),4)</f>
        <v>4</v>
      </c>
      <c r="O1012" s="8" t="str">
        <f ca="1">IFERROR(__xludf.DUMMYFUNCTION("""COMPUTED_VALUE"""),"Summer")</f>
        <v>Summer</v>
      </c>
      <c r="P1012" s="8" t="str">
        <f ca="1">IFERROR(__xludf.DUMMYFUNCTION("""COMPUTED_VALUE"""),"Atwater")</f>
        <v>Atwater</v>
      </c>
      <c r="Q1012" s="8" t="str">
        <f ca="1">IFERROR(__xludf.DUMMYFUNCTION("""COMPUTED_VALUE"""),"CA")</f>
        <v>CA</v>
      </c>
      <c r="R1012" s="8" t="str">
        <f ca="1">IFERROR(__xludf.DUMMYFUNCTION("""COMPUTED_VALUE"""),"High")</f>
        <v>High</v>
      </c>
      <c r="S1012" s="8" t="str">
        <f ca="1">IFERROR(__xludf.DUMMYFUNCTION("""COMPUTED_VALUE"""),"Parking Lot")</f>
        <v>Parking Lot</v>
      </c>
      <c r="T1012" s="8" t="str">
        <f ca="1">IFERROR(__xludf.DUMMYFUNCTION("""COMPUTED_VALUE"""),"Outside on School Property")</f>
        <v>Outside on School Property</v>
      </c>
      <c r="U1012" s="8" t="str">
        <f ca="1">IFERROR(__xludf.DUMMYFUNCTION("""COMPUTED_VALUE"""),"No")</f>
        <v>No</v>
      </c>
      <c r="V1012" s="8" t="str">
        <f ca="1">IFERROR(__xludf.DUMMYFUNCTION("""COMPUTED_VALUE"""),"Night")</f>
        <v>Night</v>
      </c>
      <c r="W1012" s="11">
        <f ca="1">IFERROR(__xludf.DUMMYFUNCTION("""COMPUTED_VALUE"""),0.986111111111111)</f>
        <v>0.98611111111111105</v>
      </c>
      <c r="X1012" s="8">
        <f ca="1">IFERROR(__xludf.DUMMYFUNCTION("""COMPUTED_VALUE"""),1)</f>
        <v>1</v>
      </c>
      <c r="Y1012" s="12" t="str">
        <f ca="1">IFERROR(__xludf.DUMMYFUNCTION("""COMPUTED_VALUE"""),"Man shot and killed in school parking lot")</f>
        <v>Man shot and killed in school parking lot</v>
      </c>
      <c r="Z1012" s="12" t="str">
        <f ca="1">IFERROR(__xludf.DUMMYFUNCTION("""COMPUTED_VALUE"""),"Adult man was fatally shot in the school parking lot. Shooter fled. Police believe the shooting was related to the sale of narcotics.")</f>
        <v>Adult man was fatally shot in the school parking lot. Shooter fled. Police believe the shooting was related to the sale of narcotics.</v>
      </c>
      <c r="AA1012" s="8" t="str">
        <f ca="1">IFERROR(__xludf.DUMMYFUNCTION("""COMPUTED_VALUE"""),"Illegal Activity")</f>
        <v>Illegal Activity</v>
      </c>
      <c r="AB1012" s="8"/>
      <c r="AC1012" s="8" t="str">
        <f ca="1">IFERROR(__xludf.DUMMYFUNCTION("""COMPUTED_VALUE"""),"No")</f>
        <v>No</v>
      </c>
      <c r="AD1012" s="8" t="str">
        <f ca="1">IFERROR(__xludf.DUMMYFUNCTION("""COMPUTED_VALUE"""),"Victims Targeted")</f>
        <v>Victims Targeted</v>
      </c>
      <c r="AE1012" s="8" t="str">
        <f ca="1">IFERROR(__xludf.DUMMYFUNCTION("""COMPUTED_VALUE"""),"Yes")</f>
        <v>Yes</v>
      </c>
      <c r="AF1012" s="8" t="str">
        <f ca="1">IFERROR(__xludf.DUMMYFUNCTION("""COMPUTED_VALUE"""),"2 men fled")</f>
        <v>2 men fled</v>
      </c>
      <c r="AG1012" s="8" t="str">
        <f ca="1">IFERROR(__xludf.DUMMYFUNCTION("""COMPUTED_VALUE"""),"No")</f>
        <v>No</v>
      </c>
      <c r="AH1012" s="8" t="str">
        <f ca="1">IFERROR(__xludf.DUMMYFUNCTION("""COMPUTED_VALUE"""),"No")</f>
        <v>No</v>
      </c>
      <c r="AI1012" s="8" t="str">
        <f ca="1">IFERROR(__xludf.DUMMYFUNCTION("""COMPUTED_VALUE"""),"No")</f>
        <v>No</v>
      </c>
      <c r="AJ1012" s="8" t="str">
        <f ca="1">IFERROR(__xludf.DUMMYFUNCTION("""COMPUTED_VALUE"""),"No")</f>
        <v>No</v>
      </c>
      <c r="AK1012" s="8" t="str">
        <f ca="1">IFERROR(__xludf.DUMMYFUNCTION("""COMPUTED_VALUE"""),"No")</f>
        <v>No</v>
      </c>
      <c r="AL1012" s="8" t="str">
        <f ca="1">IFERROR(__xludf.DUMMYFUNCTION("""COMPUTED_VALUE"""),"No")</f>
        <v>No</v>
      </c>
      <c r="AM1012" s="8" t="str">
        <f ca="1">IFERROR(__xludf.DUMMYFUNCTION("""COMPUTED_VALUE"""),"No")</f>
        <v>No</v>
      </c>
      <c r="AN1012" s="8"/>
      <c r="AO1012" s="8" t="str">
        <f ca="1">IFERROR(__xludf.DUMMYFUNCTION("""COMPUTED_VALUE"""),"No")</f>
        <v>No</v>
      </c>
      <c r="AP1012" s="8"/>
      <c r="AQ1012" s="8"/>
      <c r="AR1012" s="8" t="str">
        <f ca="1">IFERROR(__xludf.DUMMYFUNCTION("""COMPUTED_VALUE"""),"Outside/Off-Property")</f>
        <v>Outside/Off-Property</v>
      </c>
      <c r="AS1012" s="8"/>
      <c r="AT1012" s="8" t="str">
        <f ca="1">IFERROR(__xludf.DUMMYFUNCTION("""COMPUTED_VALUE"""),"No")</f>
        <v>No</v>
      </c>
      <c r="AU1012" s="8">
        <f ca="1">IFERROR(__xludf.DUMMYFUNCTION("""COMPUTED_VALUE"""),37.347965)</f>
        <v>37.347965000000002</v>
      </c>
      <c r="AV1012" s="8">
        <f ca="1">IFERROR(__xludf.DUMMYFUNCTION("""COMPUTED_VALUE"""),-120.574301)</f>
        <v>-120.57430100000001</v>
      </c>
      <c r="AW1012" s="8"/>
      <c r="AX1012" s="8">
        <f ca="1">IFERROR(__xludf.DUMMYFUNCTION("""COMPUTED_VALUE"""),95301)</f>
        <v>95301</v>
      </c>
    </row>
    <row r="1013" spans="1:50" ht="45" x14ac:dyDescent="0.2">
      <c r="A1013" s="8" t="str">
        <f ca="1">IFERROR(__xludf.DUMMYFUNCTION("""COMPUTED_VALUE"""),"20220620ILGRC")</f>
        <v>20220620ILGRC</v>
      </c>
      <c r="B1013" s="8">
        <f ca="1">IFERROR(__xludf.DUMMYFUNCTION("""COMPUTED_VALUE"""),6)</f>
        <v>6</v>
      </c>
      <c r="C1013" s="8">
        <f ca="1">IFERROR(__xludf.DUMMYFUNCTION("""COMPUTED_VALUE"""),20)</f>
        <v>20</v>
      </c>
      <c r="D1013" s="8">
        <f ca="1">IFERROR(__xludf.DUMMYFUNCTION("""COMPUTED_VALUE"""),2022)</f>
        <v>2022</v>
      </c>
      <c r="E1013" s="9">
        <f ca="1">IFERROR(__xludf.DUMMYFUNCTION("""COMPUTED_VALUE"""),44732)</f>
        <v>44732</v>
      </c>
      <c r="F1013" s="8" t="str">
        <f ca="1">IFERROR(__xludf.DUMMYFUNCTION("""COMPUTED_VALUE"""),"Gresham School of Excellence")</f>
        <v>Gresham School of Excellence</v>
      </c>
      <c r="G1013" s="8">
        <f ca="1">IFERROR(__xludf.DUMMYFUNCTION("""COMPUTED_VALUE"""),0)</f>
        <v>0</v>
      </c>
      <c r="H1013" s="8">
        <f ca="1">IFERROR(__xludf.DUMMYFUNCTION("""COMPUTED_VALUE"""),3)</f>
        <v>3</v>
      </c>
      <c r="I1013" s="8">
        <f ca="1">IFERROR(__xludf.DUMMYFUNCTION("""COMPUTED_VALUE"""),3)</f>
        <v>3</v>
      </c>
      <c r="J1013" s="8">
        <f ca="1">IFERROR(__xludf.DUMMYFUNCTION("""COMPUTED_VALUE"""),0)</f>
        <v>0</v>
      </c>
      <c r="K1013" s="10" t="str">
        <f ca="1">IFERROR(__xludf.DUMMYFUNCTION("""COMPUTED_VALUE"""),"https://www.cbsnews.com/chicago/news/woman-and-2-teenagers-injured-after-shooting-near-school-gresham/")</f>
        <v>https://www.cbsnews.com/chicago/news/woman-and-2-teenagers-injured-after-shooting-near-school-gresham/</v>
      </c>
      <c r="L1013" s="8">
        <f ca="1">IFERROR(__xludf.DUMMYFUNCTION("""COMPUTED_VALUE"""),50)</f>
        <v>50</v>
      </c>
      <c r="M1013" s="8" t="str">
        <f ca="1">IFERROR(__xludf.DUMMYFUNCTION("""COMPUTED_VALUE"""),"National")</f>
        <v>National</v>
      </c>
      <c r="N1013" s="8">
        <f ca="1">IFERROR(__xludf.DUMMYFUNCTION("""COMPUTED_VALUE"""),4)</f>
        <v>4</v>
      </c>
      <c r="O1013" s="8" t="str">
        <f ca="1">IFERROR(__xludf.DUMMYFUNCTION("""COMPUTED_VALUE"""),"Summer")</f>
        <v>Summer</v>
      </c>
      <c r="P1013" s="8" t="str">
        <f ca="1">IFERROR(__xludf.DUMMYFUNCTION("""COMPUTED_VALUE"""),"Chicago")</f>
        <v>Chicago</v>
      </c>
      <c r="Q1013" s="8" t="str">
        <f ca="1">IFERROR(__xludf.DUMMYFUNCTION("""COMPUTED_VALUE"""),"IL")</f>
        <v>IL</v>
      </c>
      <c r="R1013" s="8" t="str">
        <f ca="1">IFERROR(__xludf.DUMMYFUNCTION("""COMPUTED_VALUE"""),"Elementary")</f>
        <v>Elementary</v>
      </c>
      <c r="S1013" s="8" t="str">
        <f ca="1">IFERROR(__xludf.DUMMYFUNCTION("""COMPUTED_VALUE"""),"Field (General)")</f>
        <v>Field (General)</v>
      </c>
      <c r="T1013" s="8" t="str">
        <f ca="1">IFERROR(__xludf.DUMMYFUNCTION("""COMPUTED_VALUE"""),"Outside on School Property")</f>
        <v>Outside on School Property</v>
      </c>
      <c r="U1013" s="8" t="str">
        <f ca="1">IFERROR(__xludf.DUMMYFUNCTION("""COMPUTED_VALUE"""),"No")</f>
        <v>No</v>
      </c>
      <c r="V1013" s="8" t="str">
        <f ca="1">IFERROR(__xludf.DUMMYFUNCTION("""COMPUTED_VALUE"""),"Night")</f>
        <v>Night</v>
      </c>
      <c r="W1013" s="11">
        <f ca="1">IFERROR(__xludf.DUMMYFUNCTION("""COMPUTED_VALUE"""),0.0416666666666666)</f>
        <v>4.1666666666666602E-2</v>
      </c>
      <c r="X1013" s="8">
        <f ca="1">IFERROR(__xludf.DUMMYFUNCTION("""COMPUTED_VALUE"""),1)</f>
        <v>1</v>
      </c>
      <c r="Y1013" s="12" t="str">
        <f ca="1">IFERROR(__xludf.DUMMYFUNCTION("""COMPUTED_VALUE"""),"3 people shot on elementary school field")</f>
        <v>3 people shot on elementary school field</v>
      </c>
      <c r="Z1013" s="12" t="str">
        <f ca="1">IFERROR(__xludf.DUMMYFUNCTION("""COMPUTED_VALUE"""),"100 shots were fired on the field of the elementary school. A 29-year-old female, 16-year-old male, and 17-year-old female were wounded. Shooter fled.")</f>
        <v>100 shots were fired on the field of the elementary school. A 29-year-old female, 16-year-old male, and 17-year-old female were wounded. Shooter fled.</v>
      </c>
      <c r="AA1013" s="8"/>
      <c r="AB1013" s="8"/>
      <c r="AC1013" s="8" t="str">
        <f ca="1">IFERROR(__xludf.DUMMYFUNCTION("""COMPUTED_VALUE"""),"No")</f>
        <v>No</v>
      </c>
      <c r="AD1013" s="8" t="str">
        <f ca="1">IFERROR(__xludf.DUMMYFUNCTION("""COMPUTED_VALUE"""),"Both")</f>
        <v>Both</v>
      </c>
      <c r="AE1013" s="8" t="str">
        <f ca="1">IFERROR(__xludf.DUMMYFUNCTION("""COMPUTED_VALUE"""),"No")</f>
        <v>No</v>
      </c>
      <c r="AF1013" s="8"/>
      <c r="AG1013" s="8" t="str">
        <f ca="1">IFERROR(__xludf.DUMMYFUNCTION("""COMPUTED_VALUE"""),"No")</f>
        <v>No</v>
      </c>
      <c r="AH1013" s="8" t="str">
        <f ca="1">IFERROR(__xludf.DUMMYFUNCTION("""COMPUTED_VALUE"""),"No")</f>
        <v>No</v>
      </c>
      <c r="AI1013" s="8" t="str">
        <f ca="1">IFERROR(__xludf.DUMMYFUNCTION("""COMPUTED_VALUE"""),"No")</f>
        <v>No</v>
      </c>
      <c r="AJ1013" s="8" t="str">
        <f ca="1">IFERROR(__xludf.DUMMYFUNCTION("""COMPUTED_VALUE"""),"No")</f>
        <v>No</v>
      </c>
      <c r="AK1013" s="8" t="str">
        <f ca="1">IFERROR(__xludf.DUMMYFUNCTION("""COMPUTED_VALUE"""),"No")</f>
        <v>No</v>
      </c>
      <c r="AL1013" s="8"/>
      <c r="AM1013" s="8" t="str">
        <f ca="1">IFERROR(__xludf.DUMMYFUNCTION("""COMPUTED_VALUE"""),"No")</f>
        <v>No</v>
      </c>
      <c r="AN1013" s="8"/>
      <c r="AO1013" s="8" t="str">
        <f ca="1">IFERROR(__xludf.DUMMYFUNCTION("""COMPUTED_VALUE"""),"No")</f>
        <v>No</v>
      </c>
      <c r="AP1013" s="8" t="str">
        <f ca="1">IFERROR(__xludf.DUMMYFUNCTION("""COMPUTED_VALUE"""),"No")</f>
        <v>No</v>
      </c>
      <c r="AQ1013" s="8"/>
      <c r="AR1013" s="8" t="str">
        <f ca="1">IFERROR(__xludf.DUMMYFUNCTION("""COMPUTED_VALUE"""),"Outside/Off-Property")</f>
        <v>Outside/Off-Property</v>
      </c>
      <c r="AS1013" s="8">
        <f ca="1">IFERROR(__xludf.DUMMYFUNCTION("""COMPUTED_VALUE"""),100)</f>
        <v>100</v>
      </c>
      <c r="AT1013" s="8" t="str">
        <f ca="1">IFERROR(__xludf.DUMMYFUNCTION("""COMPUTED_VALUE"""),"No")</f>
        <v>No</v>
      </c>
      <c r="AU1013" s="8">
        <f ca="1">IFERROR(__xludf.DUMMYFUNCTION("""COMPUTED_VALUE"""),41.738396)</f>
        <v>41.738396000000002</v>
      </c>
      <c r="AV1013" s="8">
        <f ca="1">IFERROR(__xludf.DUMMYFUNCTION("""COMPUTED_VALUE"""),-87.645819)</f>
        <v>-87.645819000000003</v>
      </c>
      <c r="AW1013" s="8"/>
      <c r="AX1013" s="8">
        <f ca="1">IFERROR(__xludf.DUMMYFUNCTION("""COMPUTED_VALUE"""),60620)</f>
        <v>60620</v>
      </c>
    </row>
    <row r="1014" spans="1:50" ht="75" x14ac:dyDescent="0.2">
      <c r="A1014" s="8" t="str">
        <f ca="1">IFERROR(__xludf.DUMMYFUNCTION("""COMPUTED_VALUE"""),"20220613WAMAE")</f>
        <v>20220613WAMAE</v>
      </c>
      <c r="B1014" s="8">
        <f ca="1">IFERROR(__xludf.DUMMYFUNCTION("""COMPUTED_VALUE"""),6)</f>
        <v>6</v>
      </c>
      <c r="C1014" s="8">
        <f ca="1">IFERROR(__xludf.DUMMYFUNCTION("""COMPUTED_VALUE"""),13)</f>
        <v>13</v>
      </c>
      <c r="D1014" s="8">
        <f ca="1">IFERROR(__xludf.DUMMYFUNCTION("""COMPUTED_VALUE"""),2022)</f>
        <v>2022</v>
      </c>
      <c r="E1014" s="9">
        <f ca="1">IFERROR(__xludf.DUMMYFUNCTION("""COMPUTED_VALUE"""),44725)</f>
        <v>44725</v>
      </c>
      <c r="F1014" s="8" t="str">
        <f ca="1">IFERROR(__xludf.DUMMYFUNCTION("""COMPUTED_VALUE"""),"Mariner High School")</f>
        <v>Mariner High School</v>
      </c>
      <c r="G1014" s="8">
        <f ca="1">IFERROR(__xludf.DUMMYFUNCTION("""COMPUTED_VALUE"""),0)</f>
        <v>0</v>
      </c>
      <c r="H1014" s="8">
        <f ca="1">IFERROR(__xludf.DUMMYFUNCTION("""COMPUTED_VALUE"""),0)</f>
        <v>0</v>
      </c>
      <c r="I1014" s="8">
        <f ca="1">IFERROR(__xludf.DUMMYFUNCTION("""COMPUTED_VALUE"""),0)</f>
        <v>0</v>
      </c>
      <c r="J1014" s="8">
        <f ca="1">IFERROR(__xludf.DUMMYFUNCTION("""COMPUTED_VALUE"""),0)</f>
        <v>0</v>
      </c>
      <c r="K1014" s="10" t="str">
        <f ca="1">IFERROR(__xludf.DUMMYFUNCTION("""COMPUTED_VALUE"""),"https://www.q13fox.com/news/deputies-arrest-15-year-old-accused-of-firing-shots-outside-everett-high-school-causing-a-lockdown")</f>
        <v>https://www.q13fox.com/news/deputies-arrest-15-year-old-accused-of-firing-shots-outside-everett-high-school-causing-a-lockdown</v>
      </c>
      <c r="L1014" s="8">
        <f ca="1">IFERROR(__xludf.DUMMYFUNCTION("""COMPUTED_VALUE"""),5)</f>
        <v>5</v>
      </c>
      <c r="M1014" s="8" t="str">
        <f ca="1">IFERROR(__xludf.DUMMYFUNCTION("""COMPUTED_VALUE"""),"Local")</f>
        <v>Local</v>
      </c>
      <c r="N1014" s="8">
        <f ca="1">IFERROR(__xludf.DUMMYFUNCTION("""COMPUTED_VALUE"""),4)</f>
        <v>4</v>
      </c>
      <c r="O1014" s="8" t="str">
        <f ca="1">IFERROR(__xludf.DUMMYFUNCTION("""COMPUTED_VALUE"""),"Summer")</f>
        <v>Summer</v>
      </c>
      <c r="P1014" s="8" t="str">
        <f ca="1">IFERROR(__xludf.DUMMYFUNCTION("""COMPUTED_VALUE"""),"Everett")</f>
        <v>Everett</v>
      </c>
      <c r="Q1014" s="8" t="str">
        <f ca="1">IFERROR(__xludf.DUMMYFUNCTION("""COMPUTED_VALUE"""),"WA")</f>
        <v>WA</v>
      </c>
      <c r="R1014" s="8" t="str">
        <f ca="1">IFERROR(__xludf.DUMMYFUNCTION("""COMPUTED_VALUE"""),"High")</f>
        <v>High</v>
      </c>
      <c r="S1014" s="8" t="str">
        <f ca="1">IFERROR(__xludf.DUMMYFUNCTION("""COMPUTED_VALUE"""),"Parking Lot")</f>
        <v>Parking Lot</v>
      </c>
      <c r="T1014" s="8" t="str">
        <f ca="1">IFERROR(__xludf.DUMMYFUNCTION("""COMPUTED_VALUE"""),"Outside on School Property")</f>
        <v>Outside on School Property</v>
      </c>
      <c r="U1014" s="8" t="str">
        <f ca="1">IFERROR(__xludf.DUMMYFUNCTION("""COMPUTED_VALUE"""),"No")</f>
        <v>No</v>
      </c>
      <c r="V1014" s="8" t="str">
        <f ca="1">IFERROR(__xludf.DUMMYFUNCTION("""COMPUTED_VALUE"""),"After School")</f>
        <v>After School</v>
      </c>
      <c r="W1014" s="11">
        <f ca="1">IFERROR(__xludf.DUMMYFUNCTION("""COMPUTED_VALUE"""),0.631944444444444)</f>
        <v>0.63194444444444398</v>
      </c>
      <c r="X1014" s="8">
        <f ca="1">IFERROR(__xludf.DUMMYFUNCTION("""COMPUTED_VALUE"""),1)</f>
        <v>1</v>
      </c>
      <c r="Y1014" s="12" t="str">
        <f ca="1">IFERROR(__xludf.DUMMYFUNCTION("""COMPUTED_VALUE"""),"Shots fired in parking lot by teen during after school activities")</f>
        <v>Shots fired in parking lot by teen during after school activities</v>
      </c>
      <c r="Z1014" s="12" t="str">
        <f ca="1">IFERROR(__xludf.DUMMYFUNCTION("""COMPUTED_VALUE"""),"A 15-year-old male fired shots at two teens in a vehicle in the school parking lot during a dispute. Two shots stuck the car. Shooter ran from the scene and was arrested the following day. Victims also fled and were uncooperative with police. No injuries."&amp;" School went on lockdown.")</f>
        <v>A 15-year-old male fired shots at two teens in a vehicle in the school parking lot during a dispute. Two shots stuck the car. Shooter ran from the scene and was arrested the following day. Victims also fled and were uncooperative with police. No injuries. School went on lockdown.</v>
      </c>
      <c r="AA1014" s="8" t="str">
        <f ca="1">IFERROR(__xludf.DUMMYFUNCTION("""COMPUTED_VALUE"""),"Escalation of Dispute")</f>
        <v>Escalation of Dispute</v>
      </c>
      <c r="AB1014" s="8"/>
      <c r="AC1014" s="8" t="str">
        <f ca="1">IFERROR(__xludf.DUMMYFUNCTION("""COMPUTED_VALUE"""),"Yes")</f>
        <v>Yes</v>
      </c>
      <c r="AD1014" s="8" t="str">
        <f ca="1">IFERROR(__xludf.DUMMYFUNCTION("""COMPUTED_VALUE"""),"Victims Targeted")</f>
        <v>Victims Targeted</v>
      </c>
      <c r="AE1014" s="8" t="str">
        <f ca="1">IFERROR(__xludf.DUMMYFUNCTION("""COMPUTED_VALUE"""),"No")</f>
        <v>No</v>
      </c>
      <c r="AF1014" s="8"/>
      <c r="AG1014" s="8" t="str">
        <f ca="1">IFERROR(__xludf.DUMMYFUNCTION("""COMPUTED_VALUE"""),"No")</f>
        <v>No</v>
      </c>
      <c r="AH1014" s="8" t="str">
        <f ca="1">IFERROR(__xludf.DUMMYFUNCTION("""COMPUTED_VALUE"""),"No")</f>
        <v>No</v>
      </c>
      <c r="AI1014" s="8" t="str">
        <f ca="1">IFERROR(__xludf.DUMMYFUNCTION("""COMPUTED_VALUE"""),"No")</f>
        <v>No</v>
      </c>
      <c r="AJ1014" s="8" t="str">
        <f ca="1">IFERROR(__xludf.DUMMYFUNCTION("""COMPUTED_VALUE"""),"No")</f>
        <v>No</v>
      </c>
      <c r="AK1014" s="8" t="str">
        <f ca="1">IFERROR(__xludf.DUMMYFUNCTION("""COMPUTED_VALUE"""),"No")</f>
        <v>No</v>
      </c>
      <c r="AL1014" s="8"/>
      <c r="AM1014" s="8" t="str">
        <f ca="1">IFERROR(__xludf.DUMMYFUNCTION("""COMPUTED_VALUE"""),"No")</f>
        <v>No</v>
      </c>
      <c r="AN1014" s="8"/>
      <c r="AO1014" s="8" t="str">
        <f ca="1">IFERROR(__xludf.DUMMYFUNCTION("""COMPUTED_VALUE"""),"No")</f>
        <v>No</v>
      </c>
      <c r="AP1014" s="8"/>
      <c r="AQ1014" s="8"/>
      <c r="AR1014" s="8" t="str">
        <f ca="1">IFERROR(__xludf.DUMMYFUNCTION("""COMPUTED_VALUE"""),"Outside/Off-Property")</f>
        <v>Outside/Off-Property</v>
      </c>
      <c r="AS1014" s="8">
        <f ca="1">IFERROR(__xludf.DUMMYFUNCTION("""COMPUTED_VALUE"""),99)</f>
        <v>99</v>
      </c>
      <c r="AT1014" s="8" t="str">
        <f ca="1">IFERROR(__xludf.DUMMYFUNCTION("""COMPUTED_VALUE"""),"Yes")</f>
        <v>Yes</v>
      </c>
      <c r="AU1014" s="8">
        <f ca="1">IFERROR(__xludf.DUMMYFUNCTION("""COMPUTED_VALUE"""),47.88783)</f>
        <v>47.887830000000001</v>
      </c>
      <c r="AV1014" s="8">
        <f ca="1">IFERROR(__xludf.DUMMYFUNCTION("""COMPUTED_VALUE"""),-122.236821)</f>
        <v>-122.23682100000001</v>
      </c>
      <c r="AW1014" s="8"/>
      <c r="AX1014" s="8">
        <f ca="1">IFERROR(__xludf.DUMMYFUNCTION("""COMPUTED_VALUE"""),98204)</f>
        <v>98204</v>
      </c>
    </row>
    <row r="1015" spans="1:50" ht="60" x14ac:dyDescent="0.2">
      <c r="A1015" s="8" t="str">
        <f ca="1">IFERROR(__xludf.DUMMYFUNCTION("""COMPUTED_VALUE"""),"20220610ALBYB")</f>
        <v>20220610ALBYB</v>
      </c>
      <c r="B1015" s="8">
        <f ca="1">IFERROR(__xludf.DUMMYFUNCTION("""COMPUTED_VALUE"""),6)</f>
        <v>6</v>
      </c>
      <c r="C1015" s="8">
        <f ca="1">IFERROR(__xludf.DUMMYFUNCTION("""COMPUTED_VALUE"""),10)</f>
        <v>10</v>
      </c>
      <c r="D1015" s="8">
        <f ca="1">IFERROR(__xludf.DUMMYFUNCTION("""COMPUTED_VALUE"""),2022)</f>
        <v>2022</v>
      </c>
      <c r="E1015" s="9">
        <f ca="1">IFERROR(__xludf.DUMMYFUNCTION("""COMPUTED_VALUE"""),44722)</f>
        <v>44722</v>
      </c>
      <c r="F1015" s="8" t="str">
        <f ca="1">IFERROR(__xludf.DUMMYFUNCTION("""COMPUTED_VALUE"""),"Byhalia High School")</f>
        <v>Byhalia High School</v>
      </c>
      <c r="G1015" s="8">
        <f ca="1">IFERROR(__xludf.DUMMYFUNCTION("""COMPUTED_VALUE"""),0)</f>
        <v>0</v>
      </c>
      <c r="H1015" s="8">
        <f ca="1">IFERROR(__xludf.DUMMYFUNCTION("""COMPUTED_VALUE"""),0)</f>
        <v>0</v>
      </c>
      <c r="I1015" s="8">
        <f ca="1">IFERROR(__xludf.DUMMYFUNCTION("""COMPUTED_VALUE"""),0)</f>
        <v>0</v>
      </c>
      <c r="J1015" s="8">
        <f ca="1">IFERROR(__xludf.DUMMYFUNCTION("""COMPUTED_VALUE"""),0)</f>
        <v>0</v>
      </c>
      <c r="K1015" s="8" t="str">
        <f ca="1">IFERROR(__xludf.DUMMYFUNCTION("""COMPUTED_VALUE"""),"https://www.actionnews5.com/2022/06/10/student-custody-after-gun-discharged-byhalia-high-school/ https://wreg.com/news/mid-south/gun-goes-off-at-byhalia-high-school-one-in-custody/ https://www.fox13memphis.com/news/local/gun-discharged-byhalia-high-school"&amp;"-officials-say/LNAG3BBXUZGP5NCNS34SC4PMGY/")</f>
        <v>https://www.actionnews5.com/2022/06/10/student-custody-after-gun-discharged-byhalia-high-school/ https://wreg.com/news/mid-south/gun-goes-off-at-byhalia-high-school-one-in-custody/ https://www.fox13memphis.com/news/local/gun-discharged-byhalia-high-school-officials-say/LNAG3BBXUZGP5NCNS34SC4PMGY/</v>
      </c>
      <c r="L1015" s="8">
        <f ca="1">IFERROR(__xludf.DUMMYFUNCTION("""COMPUTED_VALUE"""),3)</f>
        <v>3</v>
      </c>
      <c r="M1015" s="8" t="str">
        <f ca="1">IFERROR(__xludf.DUMMYFUNCTION("""COMPUTED_VALUE"""),"Local")</f>
        <v>Local</v>
      </c>
      <c r="N1015" s="8">
        <f ca="1">IFERROR(__xludf.DUMMYFUNCTION("""COMPUTED_VALUE"""),4)</f>
        <v>4</v>
      </c>
      <c r="O1015" s="8" t="str">
        <f ca="1">IFERROR(__xludf.DUMMYFUNCTION("""COMPUTED_VALUE"""),"Summer")</f>
        <v>Summer</v>
      </c>
      <c r="P1015" s="8" t="str">
        <f ca="1">IFERROR(__xludf.DUMMYFUNCTION("""COMPUTED_VALUE"""),"Byhalia")</f>
        <v>Byhalia</v>
      </c>
      <c r="Q1015" s="8" t="str">
        <f ca="1">IFERROR(__xludf.DUMMYFUNCTION("""COMPUTED_VALUE"""),"MS")</f>
        <v>MS</v>
      </c>
      <c r="R1015" s="8" t="str">
        <f ca="1">IFERROR(__xludf.DUMMYFUNCTION("""COMPUTED_VALUE"""),"High")</f>
        <v>High</v>
      </c>
      <c r="S1015" s="8" t="str">
        <f ca="1">IFERROR(__xludf.DUMMYFUNCTION("""COMPUTED_VALUE"""),"Parking Lot")</f>
        <v>Parking Lot</v>
      </c>
      <c r="T1015" s="8" t="str">
        <f ca="1">IFERROR(__xludf.DUMMYFUNCTION("""COMPUTED_VALUE"""),"Outside on School Property")</f>
        <v>Outside on School Property</v>
      </c>
      <c r="U1015" s="8" t="str">
        <f ca="1">IFERROR(__xludf.DUMMYFUNCTION("""COMPUTED_VALUE"""),"Yes")</f>
        <v>Yes</v>
      </c>
      <c r="V1015" s="8" t="str">
        <f ca="1">IFERROR(__xludf.DUMMYFUNCTION("""COMPUTED_VALUE"""),"Morning Classes")</f>
        <v>Morning Classes</v>
      </c>
      <c r="W1015" s="11">
        <f ca="1">IFERROR(__xludf.DUMMYFUNCTION("""COMPUTED_VALUE"""),0.4375)</f>
        <v>0.4375</v>
      </c>
      <c r="X1015" s="8">
        <f ca="1">IFERROR(__xludf.DUMMYFUNCTION("""COMPUTED_VALUE"""),1)</f>
        <v>1</v>
      </c>
      <c r="Y1015" s="12" t="str">
        <f ca="1">IFERROR(__xludf.DUMMYFUNCTION("""COMPUTED_VALUE"""),"Student fired gun in parking lot during dispute")</f>
        <v>Student fired gun in parking lot during dispute</v>
      </c>
      <c r="Z1015" s="12" t="str">
        <f ca="1">IFERROR(__xludf.DUMMYFUNCTION("""COMPUTED_VALUE"""),"Student (unidentified minor) fired shot during a dispute in the school parking lot. Students were at the school for summer classes and sports practice. Shooter fled in a vehicle and was later arrested. No injuries.")</f>
        <v>Student (unidentified minor) fired shot during a dispute in the school parking lot. Students were at the school for summer classes and sports practice. Shooter fled in a vehicle and was later arrested. No injuries.</v>
      </c>
      <c r="AA1015" s="8" t="str">
        <f ca="1">IFERROR(__xludf.DUMMYFUNCTION("""COMPUTED_VALUE"""),"Escalation of Dispute")</f>
        <v>Escalation of Dispute</v>
      </c>
      <c r="AB1015" s="8"/>
      <c r="AC1015" s="8" t="str">
        <f ca="1">IFERROR(__xludf.DUMMYFUNCTION("""COMPUTED_VALUE"""),"Yes")</f>
        <v>Yes</v>
      </c>
      <c r="AD1015" s="8" t="str">
        <f ca="1">IFERROR(__xludf.DUMMYFUNCTION("""COMPUTED_VALUE"""),"Victims Targeted")</f>
        <v>Victims Targeted</v>
      </c>
      <c r="AE1015" s="8"/>
      <c r="AF1015" s="8"/>
      <c r="AG1015" s="8" t="str">
        <f ca="1">IFERROR(__xludf.DUMMYFUNCTION("""COMPUTED_VALUE"""),"No")</f>
        <v>No</v>
      </c>
      <c r="AH1015" s="8" t="str">
        <f ca="1">IFERROR(__xludf.DUMMYFUNCTION("""COMPUTED_VALUE"""),"No")</f>
        <v>No</v>
      </c>
      <c r="AI1015" s="8" t="str">
        <f ca="1">IFERROR(__xludf.DUMMYFUNCTION("""COMPUTED_VALUE"""),"No")</f>
        <v>No</v>
      </c>
      <c r="AJ1015" s="8" t="str">
        <f ca="1">IFERROR(__xludf.DUMMYFUNCTION("""COMPUTED_VALUE"""),"No")</f>
        <v>No</v>
      </c>
      <c r="AK1015" s="8" t="str">
        <f ca="1">IFERROR(__xludf.DUMMYFUNCTION("""COMPUTED_VALUE"""),"No")</f>
        <v>No</v>
      </c>
      <c r="AL1015" s="8"/>
      <c r="AM1015" s="8" t="str">
        <f ca="1">IFERROR(__xludf.DUMMYFUNCTION("""COMPUTED_VALUE"""),"No")</f>
        <v>No</v>
      </c>
      <c r="AN1015" s="8"/>
      <c r="AO1015" s="8" t="str">
        <f ca="1">IFERROR(__xludf.DUMMYFUNCTION("""COMPUTED_VALUE"""),"No")</f>
        <v>No</v>
      </c>
      <c r="AP1015" s="8" t="str">
        <f ca="1">IFERROR(__xludf.DUMMYFUNCTION("""COMPUTED_VALUE"""),"No")</f>
        <v>No</v>
      </c>
      <c r="AQ1015" s="8"/>
      <c r="AR1015" s="8" t="str">
        <f ca="1">IFERROR(__xludf.DUMMYFUNCTION("""COMPUTED_VALUE"""),"Outside/Off-Property")</f>
        <v>Outside/Off-Property</v>
      </c>
      <c r="AS1015" s="8">
        <f ca="1">IFERROR(__xludf.DUMMYFUNCTION("""COMPUTED_VALUE"""),1)</f>
        <v>1</v>
      </c>
      <c r="AT1015" s="8"/>
      <c r="AU1015" s="8">
        <f ca="1">IFERROR(__xludf.DUMMYFUNCTION("""COMPUTED_VALUE"""),34.879307)</f>
        <v>34.879306999999997</v>
      </c>
      <c r="AV1015" s="8">
        <f ca="1">IFERROR(__xludf.DUMMYFUNCTION("""COMPUTED_VALUE"""),-89.687405)</f>
        <v>-89.687404999999998</v>
      </c>
      <c r="AW1015" s="8"/>
      <c r="AX1015" s="8">
        <f ca="1">IFERROR(__xludf.DUMMYFUNCTION("""COMPUTED_VALUE"""),38611)</f>
        <v>38611</v>
      </c>
    </row>
    <row r="1016" spans="1:50" ht="120" x14ac:dyDescent="0.2">
      <c r="A1016" s="8" t="str">
        <f ca="1">IFERROR(__xludf.DUMMYFUNCTION("""COMPUTED_VALUE"""),"20220609ALWAG")</f>
        <v>20220609ALWAG</v>
      </c>
      <c r="B1016" s="8">
        <f ca="1">IFERROR(__xludf.DUMMYFUNCTION("""COMPUTED_VALUE"""),6)</f>
        <v>6</v>
      </c>
      <c r="C1016" s="8">
        <f ca="1">IFERROR(__xludf.DUMMYFUNCTION("""COMPUTED_VALUE"""),9)</f>
        <v>9</v>
      </c>
      <c r="D1016" s="8">
        <f ca="1">IFERROR(__xludf.DUMMYFUNCTION("""COMPUTED_VALUE"""),2022)</f>
        <v>2022</v>
      </c>
      <c r="E1016" s="9">
        <f ca="1">IFERROR(__xludf.DUMMYFUNCTION("""COMPUTED_VALUE"""),44721)</f>
        <v>44721</v>
      </c>
      <c r="F1016" s="8" t="str">
        <f ca="1">IFERROR(__xludf.DUMMYFUNCTION("""COMPUTED_VALUE"""),"Walnut Park Elementary School")</f>
        <v>Walnut Park Elementary School</v>
      </c>
      <c r="G1016" s="8">
        <f ca="1">IFERROR(__xludf.DUMMYFUNCTION("""COMPUTED_VALUE"""),1)</f>
        <v>1</v>
      </c>
      <c r="H1016" s="8">
        <f ca="1">IFERROR(__xludf.DUMMYFUNCTION("""COMPUTED_VALUE"""),1)</f>
        <v>1</v>
      </c>
      <c r="I1016" s="8">
        <f ca="1">IFERROR(__xludf.DUMMYFUNCTION("""COMPUTED_VALUE"""),2)</f>
        <v>2</v>
      </c>
      <c r="J1016" s="8">
        <f ca="1">IFERROR(__xludf.DUMMYFUNCTION("""COMPUTED_VALUE"""),0)</f>
        <v>0</v>
      </c>
      <c r="K1016" s="8" t="str">
        <f ca="1">IFERROR(__xludf.DUMMYFUNCTION("""COMPUTED_VALUE"""),"https://www.live5news.com/2022/06/09/potential-intruder-confronted-outside-elementary-school-alabama-superintendent-says/ https://www.cnn.com/2022/06/09/us/alabama-elementary-school-man-killed/index.html https://www.cbs42.com/alabama-news/alabama-man-kill"&amp;"ed-by-police-outside-elementary-school-was-mentally-ill-suicidal-brother-says/ https://www.nbcnews.com/news/us-news/person-fatally-shot-police-alabama-elementary-school-rcna32822 https://www.cbs42.com/news/local/police-advise-public-to-avoid-area-around-w"&amp;"alnut-park-elementary-due-to-incident/")</f>
        <v>https://www.live5news.com/2022/06/09/potential-intruder-confronted-outside-elementary-school-alabama-superintendent-says/ https://www.cnn.com/2022/06/09/us/alabama-elementary-school-man-killed/index.html https://www.cbs42.com/alabama-news/alabama-man-killed-by-police-outside-elementary-school-was-mentally-ill-suicidal-brother-says/ https://www.nbcnews.com/news/us-news/person-fatally-shot-police-alabama-elementary-school-rcna32822 https://www.cbs42.com/news/local/police-advise-public-to-avoid-area-around-walnut-park-elementary-due-to-incident/</v>
      </c>
      <c r="L1016" s="8">
        <f ca="1">IFERROR(__xludf.DUMMYFUNCTION("""COMPUTED_VALUE"""),100)</f>
        <v>100</v>
      </c>
      <c r="M1016" s="8" t="str">
        <f ca="1">IFERROR(__xludf.DUMMYFUNCTION("""COMPUTED_VALUE"""),"National")</f>
        <v>National</v>
      </c>
      <c r="N1016" s="8">
        <f ca="1">IFERROR(__xludf.DUMMYFUNCTION("""COMPUTED_VALUE"""),4)</f>
        <v>4</v>
      </c>
      <c r="O1016" s="8" t="str">
        <f ca="1">IFERROR(__xludf.DUMMYFUNCTION("""COMPUTED_VALUE"""),"Summer")</f>
        <v>Summer</v>
      </c>
      <c r="P1016" s="8" t="str">
        <f ca="1">IFERROR(__xludf.DUMMYFUNCTION("""COMPUTED_VALUE"""),"Gadsden")</f>
        <v>Gadsden</v>
      </c>
      <c r="Q1016" s="8" t="str">
        <f ca="1">IFERROR(__xludf.DUMMYFUNCTION("""COMPUTED_VALUE"""),"AL")</f>
        <v>AL</v>
      </c>
      <c r="R1016" s="8" t="str">
        <f ca="1">IFERROR(__xludf.DUMMYFUNCTION("""COMPUTED_VALUE"""),"Elementary")</f>
        <v>Elementary</v>
      </c>
      <c r="S1016" s="8" t="str">
        <f ca="1">IFERROR(__xludf.DUMMYFUNCTION("""COMPUTED_VALUE"""),"Front of School")</f>
        <v>Front of School</v>
      </c>
      <c r="T1016" s="8" t="str">
        <f ca="1">IFERROR(__xludf.DUMMYFUNCTION("""COMPUTED_VALUE"""),"Outside on School Property")</f>
        <v>Outside on School Property</v>
      </c>
      <c r="U1016" s="8" t="str">
        <f ca="1">IFERROR(__xludf.DUMMYFUNCTION("""COMPUTED_VALUE"""),"Yes")</f>
        <v>Yes</v>
      </c>
      <c r="V1016" s="8" t="str">
        <f ca="1">IFERROR(__xludf.DUMMYFUNCTION("""COMPUTED_VALUE"""),"Morning Classes")</f>
        <v>Morning Classes</v>
      </c>
      <c r="W1016" s="11">
        <f ca="1">IFERROR(__xludf.DUMMYFUNCTION("""COMPUTED_VALUE"""),0.395833333333333)</f>
        <v>0.39583333333333298</v>
      </c>
      <c r="X1016" s="8">
        <f ca="1">IFERROR(__xludf.DUMMYFUNCTION("""COMPUTED_VALUE"""),1)</f>
        <v>1</v>
      </c>
      <c r="Y1016" s="12" t="str">
        <f ca="1">IFERROR(__xludf.DUMMYFUNCTION("""COMPUTED_VALUE"""),"Man fatally shot by SRO while trying to break-in to school")</f>
        <v>Man fatally shot by SRO while trying to break-in to school</v>
      </c>
      <c r="Z1016" s="12" t="str">
        <f ca="1">IFERROR(__xludf.DUMMYFUNCTION("""COMPUTED_VALUE"""),"A 32-year-old man was fatally shot by a school resource officer after attempting to break-in to the school and a vehicle. When the officer approached the man, he became violent and attempted to take the officers gun. Family members said the man was suffer"&amp;"ing from severe mental illness, suicidal, and depressed. Brother believe he was attempting suicide by cop. School went on lockdown. Students and staff inside the school were not injured.")</f>
        <v>A 32-year-old man was fatally shot by a school resource officer after attempting to break-in to the school and a vehicle. When the officer approached the man, he became violent and attempted to take the officers gun. Family members said the man was suffering from severe mental illness, suicidal, and depressed. Brother believe he was attempting suicide by cop. School went on lockdown. Students and staff inside the school were not injured.</v>
      </c>
      <c r="AA1016" s="8" t="str">
        <f ca="1">IFERROR(__xludf.DUMMYFUNCTION("""COMPUTED_VALUE"""),"Officer-Involved Shooting")</f>
        <v>Officer-Involved Shooting</v>
      </c>
      <c r="AB1016" s="8"/>
      <c r="AC1016" s="8" t="str">
        <f ca="1">IFERROR(__xludf.DUMMYFUNCTION("""COMPUTED_VALUE"""),"Yes")</f>
        <v>Yes</v>
      </c>
      <c r="AD1016" s="8"/>
      <c r="AE1016" s="8"/>
      <c r="AF1016" s="8"/>
      <c r="AG1016" s="8"/>
      <c r="AH1016" s="8"/>
      <c r="AI1016" s="8"/>
      <c r="AJ1016" s="8"/>
      <c r="AK1016" s="8"/>
      <c r="AL1016" s="8"/>
      <c r="AM1016" s="8" t="str">
        <f ca="1">IFERROR(__xludf.DUMMYFUNCTION("""COMPUTED_VALUE"""),"No")</f>
        <v>No</v>
      </c>
      <c r="AN1016" s="8"/>
      <c r="AO1016" s="8"/>
      <c r="AP1016" s="8"/>
      <c r="AQ1016" s="8"/>
      <c r="AR1016" s="8"/>
      <c r="AS1016" s="8"/>
      <c r="AT1016" s="8" t="str">
        <f ca="1">IFERROR(__xludf.DUMMYFUNCTION("""COMPUTED_VALUE"""),"Yes")</f>
        <v>Yes</v>
      </c>
      <c r="AU1016" s="8">
        <f ca="1">IFERROR(__xludf.DUMMYFUNCTION("""COMPUTED_VALUE"""),34.01076)</f>
        <v>34.010759999999998</v>
      </c>
      <c r="AV1016" s="8">
        <f ca="1">IFERROR(__xludf.DUMMYFUNCTION("""COMPUTED_VALUE"""),-86.056017)</f>
        <v>-86.056016999999997</v>
      </c>
      <c r="AW1016" s="8"/>
      <c r="AX1016" s="8">
        <f ca="1">IFERROR(__xludf.DUMMYFUNCTION("""COMPUTED_VALUE"""),35904)</f>
        <v>35904</v>
      </c>
    </row>
    <row r="1017" spans="1:50" ht="45" x14ac:dyDescent="0.2">
      <c r="A1017" s="8" t="str">
        <f ca="1">IFERROR(__xludf.DUMMYFUNCTION("""COMPUTED_VALUE"""),"20220608ARLIL")</f>
        <v>20220608ARLIL</v>
      </c>
      <c r="B1017" s="8">
        <f ca="1">IFERROR(__xludf.DUMMYFUNCTION("""COMPUTED_VALUE"""),6)</f>
        <v>6</v>
      </c>
      <c r="C1017" s="8">
        <f ca="1">IFERROR(__xludf.DUMMYFUNCTION("""COMPUTED_VALUE"""),8)</f>
        <v>8</v>
      </c>
      <c r="D1017" s="8">
        <f ca="1">IFERROR(__xludf.DUMMYFUNCTION("""COMPUTED_VALUE"""),2022)</f>
        <v>2022</v>
      </c>
      <c r="E1017" s="9">
        <f ca="1">IFERROR(__xludf.DUMMYFUNCTION("""COMPUTED_VALUE"""),44720)</f>
        <v>44720</v>
      </c>
      <c r="F1017" s="8" t="str">
        <f ca="1">IFERROR(__xludf.DUMMYFUNCTION("""COMPUTED_VALUE"""),"Little Rock School District Bus")</f>
        <v>Little Rock School District Bus</v>
      </c>
      <c r="G1017" s="8">
        <f ca="1">IFERROR(__xludf.DUMMYFUNCTION("""COMPUTED_VALUE"""),0)</f>
        <v>0</v>
      </c>
      <c r="H1017" s="8">
        <f ca="1">IFERROR(__xludf.DUMMYFUNCTION("""COMPUTED_VALUE"""),0)</f>
        <v>0</v>
      </c>
      <c r="I1017" s="8">
        <f ca="1">IFERROR(__xludf.DUMMYFUNCTION("""COMPUTED_VALUE"""),0)</f>
        <v>0</v>
      </c>
      <c r="J1017" s="8">
        <f ca="1">IFERROR(__xludf.DUMMYFUNCTION("""COMPUTED_VALUE"""),0)</f>
        <v>0</v>
      </c>
      <c r="K1017" s="8" t="str">
        <f ca="1">IFERROR(__xludf.DUMMYFUNCTION("""COMPUTED_VALUE"""),"https://www.kark.com/crime/lrpd-school-bus-hit-by-gunfire-near-asher-brown-no-injuries-reported/ https://apnews.com/article/arkansas-little-rock-shootings-23dc299df98539531b098aad2e4b8ff1")</f>
        <v>https://www.kark.com/crime/lrpd-school-bus-hit-by-gunfire-near-asher-brown-no-injuries-reported/ https://apnews.com/article/arkansas-little-rock-shootings-23dc299df98539531b098aad2e4b8ff1</v>
      </c>
      <c r="L1017" s="8">
        <f ca="1">IFERROR(__xludf.DUMMYFUNCTION("""COMPUTED_VALUE"""),5)</f>
        <v>5</v>
      </c>
      <c r="M1017" s="8" t="str">
        <f ca="1">IFERROR(__xludf.DUMMYFUNCTION("""COMPUTED_VALUE"""),"National")</f>
        <v>National</v>
      </c>
      <c r="N1017" s="8">
        <f ca="1">IFERROR(__xludf.DUMMYFUNCTION("""COMPUTED_VALUE"""),4)</f>
        <v>4</v>
      </c>
      <c r="O1017" s="8" t="str">
        <f ca="1">IFERROR(__xludf.DUMMYFUNCTION("""COMPUTED_VALUE"""),"Summer")</f>
        <v>Summer</v>
      </c>
      <c r="P1017" s="8" t="str">
        <f ca="1">IFERROR(__xludf.DUMMYFUNCTION("""COMPUTED_VALUE"""),"Little Rock")</f>
        <v>Little Rock</v>
      </c>
      <c r="Q1017" s="8" t="str">
        <f ca="1">IFERROR(__xludf.DUMMYFUNCTION("""COMPUTED_VALUE"""),"AR")</f>
        <v>AR</v>
      </c>
      <c r="R1017" s="8" t="str">
        <f ca="1">IFERROR(__xludf.DUMMYFUNCTION("""COMPUTED_VALUE"""),"Other")</f>
        <v>Other</v>
      </c>
      <c r="S1017" s="8" t="str">
        <f ca="1">IFERROR(__xludf.DUMMYFUNCTION("""COMPUTED_VALUE"""),"School Bus")</f>
        <v>School Bus</v>
      </c>
      <c r="T1017" s="8" t="str">
        <f ca="1">IFERROR(__xludf.DUMMYFUNCTION("""COMPUTED_VALUE"""),"School Bus")</f>
        <v>School Bus</v>
      </c>
      <c r="U1017" s="8" t="str">
        <f ca="1">IFERROR(__xludf.DUMMYFUNCTION("""COMPUTED_VALUE"""),"Yes")</f>
        <v>Yes</v>
      </c>
      <c r="V1017" s="8" t="str">
        <f ca="1">IFERROR(__xludf.DUMMYFUNCTION("""COMPUTED_VALUE"""),"Dismissal")</f>
        <v>Dismissal</v>
      </c>
      <c r="W1017" s="11">
        <f ca="1">IFERROR(__xludf.DUMMYFUNCTION("""COMPUTED_VALUE"""),0.667361111111111)</f>
        <v>0.66736111111111096</v>
      </c>
      <c r="X1017" s="8">
        <f ca="1">IFERROR(__xludf.DUMMYFUNCTION("""COMPUTED_VALUE"""),1)</f>
        <v>1</v>
      </c>
      <c r="Y1017" s="12" t="str">
        <f ca="1">IFERROR(__xludf.DUMMYFUNCTION("""COMPUTED_VALUE"""),"Shots struck school bus driving student home")</f>
        <v>Shots struck school bus driving student home</v>
      </c>
      <c r="Z1017" s="12" t="str">
        <f ca="1">IFERROR(__xludf.DUMMYFUNCTION("""COMPUTED_VALUE"""),"Shots struck a school bus. Driver and student on the bus were not injured. Police said the bus was not the target of the shooting. Suspect fled and was not identified.")</f>
        <v>Shots struck a school bus. Driver and student on the bus were not injured. Police said the bus was not the target of the shooting. Suspect fled and was not identified.</v>
      </c>
      <c r="AA1017" s="8"/>
      <c r="AB1017" s="8"/>
      <c r="AC1017" s="8" t="str">
        <f ca="1">IFERROR(__xludf.DUMMYFUNCTION("""COMPUTED_VALUE"""),"Yes")</f>
        <v>Yes</v>
      </c>
      <c r="AD1017" s="8" t="str">
        <f ca="1">IFERROR(__xludf.DUMMYFUNCTION("""COMPUTED_VALUE"""),"Both")</f>
        <v>Both</v>
      </c>
      <c r="AE1017" s="8"/>
      <c r="AF1017" s="8"/>
      <c r="AG1017" s="8" t="str">
        <f ca="1">IFERROR(__xludf.DUMMYFUNCTION("""COMPUTED_VALUE"""),"No")</f>
        <v>No</v>
      </c>
      <c r="AH1017" s="8" t="str">
        <f ca="1">IFERROR(__xludf.DUMMYFUNCTION("""COMPUTED_VALUE"""),"No")</f>
        <v>No</v>
      </c>
      <c r="AI1017" s="8" t="str">
        <f ca="1">IFERROR(__xludf.DUMMYFUNCTION("""COMPUTED_VALUE"""),"No")</f>
        <v>No</v>
      </c>
      <c r="AJ1017" s="8" t="str">
        <f ca="1">IFERROR(__xludf.DUMMYFUNCTION("""COMPUTED_VALUE"""),"No")</f>
        <v>No</v>
      </c>
      <c r="AK1017" s="8" t="str">
        <f ca="1">IFERROR(__xludf.DUMMYFUNCTION("""COMPUTED_VALUE"""),"No")</f>
        <v>No</v>
      </c>
      <c r="AL1017" s="8"/>
      <c r="AM1017" s="8" t="str">
        <f ca="1">IFERROR(__xludf.DUMMYFUNCTION("""COMPUTED_VALUE"""),"No")</f>
        <v>No</v>
      </c>
      <c r="AN1017" s="8"/>
      <c r="AO1017" s="8" t="str">
        <f ca="1">IFERROR(__xludf.DUMMYFUNCTION("""COMPUTED_VALUE"""),"No")</f>
        <v>No</v>
      </c>
      <c r="AP1017" s="8"/>
      <c r="AQ1017" s="8"/>
      <c r="AR1017" s="8" t="str">
        <f ca="1">IFERROR(__xludf.DUMMYFUNCTION("""COMPUTED_VALUE"""),"Outside/Off-Property")</f>
        <v>Outside/Off-Property</v>
      </c>
      <c r="AS1017" s="8">
        <f ca="1">IFERROR(__xludf.DUMMYFUNCTION("""COMPUTED_VALUE"""),99)</f>
        <v>99</v>
      </c>
      <c r="AT1017" s="8"/>
      <c r="AU1017" s="8">
        <f ca="1">IFERROR(__xludf.DUMMYFUNCTION("""COMPUTED_VALUE"""),34.729435)</f>
        <v>34.729435000000002</v>
      </c>
      <c r="AV1017" s="8">
        <f ca="1">IFERROR(__xludf.DUMMYFUNCTION("""COMPUTED_VALUE"""),-92.310544)</f>
        <v>-92.310543999999993</v>
      </c>
      <c r="AW1017" s="8"/>
      <c r="AX1017" s="8">
        <f ca="1">IFERROR(__xludf.DUMMYFUNCTION("""COMPUTED_VALUE"""),72204)</f>
        <v>72204</v>
      </c>
    </row>
    <row r="1018" spans="1:50" ht="45" x14ac:dyDescent="0.2">
      <c r="A1018" s="8" t="str">
        <f ca="1">IFERROR(__xludf.DUMMYFUNCTION("""COMPUTED_VALUE"""),"20220607MIPED")</f>
        <v>20220607MIPED</v>
      </c>
      <c r="B1018" s="8">
        <f ca="1">IFERROR(__xludf.DUMMYFUNCTION("""COMPUTED_VALUE"""),6)</f>
        <v>6</v>
      </c>
      <c r="C1018" s="8">
        <f ca="1">IFERROR(__xludf.DUMMYFUNCTION("""COMPUTED_VALUE"""),7)</f>
        <v>7</v>
      </c>
      <c r="D1018" s="8">
        <f ca="1">IFERROR(__xludf.DUMMYFUNCTION("""COMPUTED_VALUE"""),2022)</f>
        <v>2022</v>
      </c>
      <c r="E1018" s="9">
        <f ca="1">IFERROR(__xludf.DUMMYFUNCTION("""COMPUTED_VALUE"""),44719)</f>
        <v>44719</v>
      </c>
      <c r="F1018" s="8" t="str">
        <f ca="1">IFERROR(__xludf.DUMMYFUNCTION("""COMPUTED_VALUE"""),"Pershing High School")</f>
        <v>Pershing High School</v>
      </c>
      <c r="G1018" s="8">
        <f ca="1">IFERROR(__xludf.DUMMYFUNCTION("""COMPUTED_VALUE"""),0)</f>
        <v>0</v>
      </c>
      <c r="H1018" s="8">
        <f ca="1">IFERROR(__xludf.DUMMYFUNCTION("""COMPUTED_VALUE"""),0)</f>
        <v>0</v>
      </c>
      <c r="I1018" s="8">
        <f ca="1">IFERROR(__xludf.DUMMYFUNCTION("""COMPUTED_VALUE"""),0)</f>
        <v>0</v>
      </c>
      <c r="J1018" s="8">
        <f ca="1">IFERROR(__xludf.DUMMYFUNCTION("""COMPUTED_VALUE"""),0)</f>
        <v>0</v>
      </c>
      <c r="K1018" s="8" t="str">
        <f ca="1">IFERROR(__xludf.DUMMYFUNCTION("""COMPUTED_VALUE"""),"https://www.wxyz.com/news/shots-fired-at-pershing-high-school-district-police-say https://www.detroitnews.com/story/news/local/detroit-city/2022/06/08/gunshots-detroits-pershing-high-school-lead-arrests-district-says/7549552001/ https://www.clickondetroit"&amp;".com/news/local/2022/06/08/officers-make-several-arrests-after-shots-fired-post-dismissal-at-pershing-high-school-in-detroit/")</f>
        <v>https://www.wxyz.com/news/shots-fired-at-pershing-high-school-district-police-say https://www.detroitnews.com/story/news/local/detroit-city/2022/06/08/gunshots-detroits-pershing-high-school-lead-arrests-district-says/7549552001/ https://www.clickondetroit.com/news/local/2022/06/08/officers-make-several-arrests-after-shots-fired-post-dismissal-at-pershing-high-school-in-detroit/</v>
      </c>
      <c r="L1018" s="8">
        <f ca="1">IFERROR(__xludf.DUMMYFUNCTION("""COMPUTED_VALUE"""),4)</f>
        <v>4</v>
      </c>
      <c r="M1018" s="8" t="str">
        <f ca="1">IFERROR(__xludf.DUMMYFUNCTION("""COMPUTED_VALUE"""),"Local")</f>
        <v>Local</v>
      </c>
      <c r="N1018" s="8">
        <f ca="1">IFERROR(__xludf.DUMMYFUNCTION("""COMPUTED_VALUE"""),4)</f>
        <v>4</v>
      </c>
      <c r="O1018" s="8" t="str">
        <f ca="1">IFERROR(__xludf.DUMMYFUNCTION("""COMPUTED_VALUE"""),"Summer")</f>
        <v>Summer</v>
      </c>
      <c r="P1018" s="8" t="str">
        <f ca="1">IFERROR(__xludf.DUMMYFUNCTION("""COMPUTED_VALUE"""),"Detroit")</f>
        <v>Detroit</v>
      </c>
      <c r="Q1018" s="8" t="str">
        <f ca="1">IFERROR(__xludf.DUMMYFUNCTION("""COMPUTED_VALUE"""),"MI")</f>
        <v>MI</v>
      </c>
      <c r="R1018" s="8" t="str">
        <f ca="1">IFERROR(__xludf.DUMMYFUNCTION("""COMPUTED_VALUE"""),"High")</f>
        <v>High</v>
      </c>
      <c r="S1018" s="8" t="str">
        <f ca="1">IFERROR(__xludf.DUMMYFUNCTION("""COMPUTED_VALUE"""),"Parking Lot")</f>
        <v>Parking Lot</v>
      </c>
      <c r="T1018" s="8" t="str">
        <f ca="1">IFERROR(__xludf.DUMMYFUNCTION("""COMPUTED_VALUE"""),"Outside on School Property")</f>
        <v>Outside on School Property</v>
      </c>
      <c r="U1018" s="8" t="str">
        <f ca="1">IFERROR(__xludf.DUMMYFUNCTION("""COMPUTED_VALUE"""),"No")</f>
        <v>No</v>
      </c>
      <c r="V1018" s="8" t="str">
        <f ca="1">IFERROR(__xludf.DUMMYFUNCTION("""COMPUTED_VALUE"""),"After School")</f>
        <v>After School</v>
      </c>
      <c r="W1018" s="11">
        <f ca="1">IFERROR(__xludf.DUMMYFUNCTION("""COMPUTED_VALUE"""),0.666666666666666)</f>
        <v>0.66666666666666596</v>
      </c>
      <c r="X1018" s="8">
        <f ca="1">IFERROR(__xludf.DUMMYFUNCTION("""COMPUTED_VALUE"""),1)</f>
        <v>1</v>
      </c>
      <c r="Y1018" s="12" t="str">
        <f ca="1">IFERROR(__xludf.DUMMYFUNCTION("""COMPUTED_VALUE"""),"Shots fired in school parking lot after dismissal")</f>
        <v>Shots fired in school parking lot after dismissal</v>
      </c>
      <c r="Z1018" s="12" t="str">
        <f ca="1">IFERROR(__xludf.DUMMYFUNCTION("""COMPUTED_VALUE"""),"Shots fired in the school parking lot after dismissal. Football team was practicing nearby. School police arrested multiple people involving shooter. No injuries.")</f>
        <v>Shots fired in the school parking lot after dismissal. Football team was practicing nearby. School police arrested multiple people involving shooter. No injuries.</v>
      </c>
      <c r="AA1018" s="8"/>
      <c r="AB1018" s="8"/>
      <c r="AC1018" s="8" t="str">
        <f ca="1">IFERROR(__xludf.DUMMYFUNCTION("""COMPUTED_VALUE"""),"Yes")</f>
        <v>Yes</v>
      </c>
      <c r="AD1018" s="8"/>
      <c r="AE1018" s="8"/>
      <c r="AF1018" s="8"/>
      <c r="AG1018" s="8" t="str">
        <f ca="1">IFERROR(__xludf.DUMMYFUNCTION("""COMPUTED_VALUE"""),"No")</f>
        <v>No</v>
      </c>
      <c r="AH1018" s="8" t="str">
        <f ca="1">IFERROR(__xludf.DUMMYFUNCTION("""COMPUTED_VALUE"""),"No")</f>
        <v>No</v>
      </c>
      <c r="AI1018" s="8" t="str">
        <f ca="1">IFERROR(__xludf.DUMMYFUNCTION("""COMPUTED_VALUE"""),"No")</f>
        <v>No</v>
      </c>
      <c r="AJ1018" s="8" t="str">
        <f ca="1">IFERROR(__xludf.DUMMYFUNCTION("""COMPUTED_VALUE"""),"No")</f>
        <v>No</v>
      </c>
      <c r="AK1018" s="8" t="str">
        <f ca="1">IFERROR(__xludf.DUMMYFUNCTION("""COMPUTED_VALUE"""),"No")</f>
        <v>No</v>
      </c>
      <c r="AL1018" s="8"/>
      <c r="AM1018" s="8" t="str">
        <f ca="1">IFERROR(__xludf.DUMMYFUNCTION("""COMPUTED_VALUE"""),"No")</f>
        <v>No</v>
      </c>
      <c r="AN1018" s="8"/>
      <c r="AO1018" s="8" t="str">
        <f ca="1">IFERROR(__xludf.DUMMYFUNCTION("""COMPUTED_VALUE"""),"No")</f>
        <v>No</v>
      </c>
      <c r="AP1018" s="8" t="str">
        <f ca="1">IFERROR(__xludf.DUMMYFUNCTION("""COMPUTED_VALUE"""),"Yes")</f>
        <v>Yes</v>
      </c>
      <c r="AQ1018" s="8"/>
      <c r="AR1018" s="8" t="str">
        <f ca="1">IFERROR(__xludf.DUMMYFUNCTION("""COMPUTED_VALUE"""),"Outside/Off-Property")</f>
        <v>Outside/Off-Property</v>
      </c>
      <c r="AS1018" s="8">
        <f ca="1">IFERROR(__xludf.DUMMYFUNCTION("""COMPUTED_VALUE"""),99)</f>
        <v>99</v>
      </c>
      <c r="AT1018" s="8"/>
      <c r="AU1018" s="8">
        <f ca="1">IFERROR(__xludf.DUMMYFUNCTION("""COMPUTED_VALUE"""),42.432507)</f>
        <v>42.432507000000001</v>
      </c>
      <c r="AV1018" s="8">
        <f ca="1">IFERROR(__xludf.DUMMYFUNCTION("""COMPUTED_VALUE"""),-83.065144)</f>
        <v>-83.065144000000004</v>
      </c>
      <c r="AW1018" s="8"/>
      <c r="AX1018" s="8">
        <f ca="1">IFERROR(__xludf.DUMMYFUNCTION("""COMPUTED_VALUE"""),48234)</f>
        <v>48234</v>
      </c>
    </row>
    <row r="1019" spans="1:50" ht="60" x14ac:dyDescent="0.2">
      <c r="A1019" s="8" t="str">
        <f ca="1">IFERROR(__xludf.DUMMYFUNCTION("""COMPUTED_VALUE"""),"20220605INWEG")</f>
        <v>20220605INWEG</v>
      </c>
      <c r="B1019" s="8">
        <f ca="1">IFERROR(__xludf.DUMMYFUNCTION("""COMPUTED_VALUE"""),6)</f>
        <v>6</v>
      </c>
      <c r="C1019" s="8">
        <f ca="1">IFERROR(__xludf.DUMMYFUNCTION("""COMPUTED_VALUE"""),5)</f>
        <v>5</v>
      </c>
      <c r="D1019" s="8">
        <f ca="1">IFERROR(__xludf.DUMMYFUNCTION("""COMPUTED_VALUE"""),2022)</f>
        <v>2022</v>
      </c>
      <c r="E1019" s="9">
        <f ca="1">IFERROR(__xludf.DUMMYFUNCTION("""COMPUTED_VALUE"""),44717)</f>
        <v>44717</v>
      </c>
      <c r="F1019" s="8" t="str">
        <f ca="1">IFERROR(__xludf.DUMMYFUNCTION("""COMPUTED_VALUE"""),"West Side Leadership Academy")</f>
        <v>West Side Leadership Academy</v>
      </c>
      <c r="G1019" s="8">
        <f ca="1">IFERROR(__xludf.DUMMYFUNCTION("""COMPUTED_VALUE"""),0)</f>
        <v>0</v>
      </c>
      <c r="H1019" s="8">
        <f ca="1">IFERROR(__xludf.DUMMYFUNCTION("""COMPUTED_VALUE"""),2)</f>
        <v>2</v>
      </c>
      <c r="I1019" s="8">
        <f ca="1">IFERROR(__xludf.DUMMYFUNCTION("""COMPUTED_VALUE"""),2)</f>
        <v>2</v>
      </c>
      <c r="J1019" s="8">
        <f ca="1">IFERROR(__xludf.DUMMYFUNCTION("""COMPUTED_VALUE"""),0)</f>
        <v>0</v>
      </c>
      <c r="K1019" s="8" t="str">
        <f ca="1">IFERROR(__xludf.DUMMYFUNCTION("""COMPUTED_VALUE"""),"https://abc7chicago.com/gary-indiana-shooting-west-side-leadership-academy-high-school-graduation-railcats-stadium/11930811/ https://www.nbcchicago.com/news/local/shooting-erupts-outside-gary-railcats-stadium-after-graduation-ceremony/2850280/")</f>
        <v>https://abc7chicago.com/gary-indiana-shooting-west-side-leadership-academy-high-school-graduation-railcats-stadium/11930811/ https://www.nbcchicago.com/news/local/shooting-erupts-outside-gary-railcats-stadium-after-graduation-ceremony/2850280/</v>
      </c>
      <c r="L1019" s="8">
        <f ca="1">IFERROR(__xludf.DUMMYFUNCTION("""COMPUTED_VALUE"""),2)</f>
        <v>2</v>
      </c>
      <c r="M1019" s="8" t="str">
        <f ca="1">IFERROR(__xludf.DUMMYFUNCTION("""COMPUTED_VALUE"""),"Local")</f>
        <v>Local</v>
      </c>
      <c r="N1019" s="8">
        <f ca="1">IFERROR(__xludf.DUMMYFUNCTION("""COMPUTED_VALUE"""),4)</f>
        <v>4</v>
      </c>
      <c r="O1019" s="8" t="str">
        <f ca="1">IFERROR(__xludf.DUMMYFUNCTION("""COMPUTED_VALUE"""),"Summer")</f>
        <v>Summer</v>
      </c>
      <c r="P1019" s="8" t="str">
        <f ca="1">IFERROR(__xludf.DUMMYFUNCTION("""COMPUTED_VALUE"""),"Gary")</f>
        <v>Gary</v>
      </c>
      <c r="Q1019" s="8" t="str">
        <f ca="1">IFERROR(__xludf.DUMMYFUNCTION("""COMPUTED_VALUE"""),"IN")</f>
        <v>IN</v>
      </c>
      <c r="R1019" s="8" t="str">
        <f ca="1">IFERROR(__xludf.DUMMYFUNCTION("""COMPUTED_VALUE"""),"High")</f>
        <v>High</v>
      </c>
      <c r="S1019" s="8" t="str">
        <f ca="1">IFERROR(__xludf.DUMMYFUNCTION("""COMPUTED_VALUE"""),"Off School Property")</f>
        <v>Off School Property</v>
      </c>
      <c r="T1019" s="8" t="str">
        <f ca="1">IFERROR(__xludf.DUMMYFUNCTION("""COMPUTED_VALUE"""),"Off School Property")</f>
        <v>Off School Property</v>
      </c>
      <c r="U1019" s="8" t="str">
        <f ca="1">IFERROR(__xludf.DUMMYFUNCTION("""COMPUTED_VALUE"""),"No")</f>
        <v>No</v>
      </c>
      <c r="V1019" s="8" t="str">
        <f ca="1">IFERROR(__xludf.DUMMYFUNCTION("""COMPUTED_VALUE"""),"School Event")</f>
        <v>School Event</v>
      </c>
      <c r="W1019" s="11">
        <f ca="1">IFERROR(__xludf.DUMMYFUNCTION("""COMPUTED_VALUE"""),0.759027777777777)</f>
        <v>0.75902777777777697</v>
      </c>
      <c r="X1019" s="8">
        <f ca="1">IFERROR(__xludf.DUMMYFUNCTION("""COMPUTED_VALUE"""),1)</f>
        <v>1</v>
      </c>
      <c r="Y1019" s="12" t="str">
        <f ca="1">IFERROR(__xludf.DUMMYFUNCTION("""COMPUTED_VALUE"""),"2 teens shot following high school graduation")</f>
        <v>2 teens shot following high school graduation</v>
      </c>
      <c r="Z1019" s="12" t="str">
        <f ca="1">IFERROR(__xludf.DUMMYFUNCTION("""COMPUTED_VALUE"""),"Two teens were shot outside of the graduation venue following the ceremony. Two teens and a 20-year-old man were arrested by police officers working security for the event.")</f>
        <v>Two teens were shot outside of the graduation venue following the ceremony. Two teens and a 20-year-old man were arrested by police officers working security for the event.</v>
      </c>
      <c r="AA1019" s="8" t="str">
        <f ca="1">IFERROR(__xludf.DUMMYFUNCTION("""COMPUTED_VALUE"""),"Escalation of Dispute")</f>
        <v>Escalation of Dispute</v>
      </c>
      <c r="AB1019" s="8"/>
      <c r="AC1019" s="8" t="str">
        <f ca="1">IFERROR(__xludf.DUMMYFUNCTION("""COMPUTED_VALUE"""),"Yes")</f>
        <v>Yes</v>
      </c>
      <c r="AD1019" s="8" t="str">
        <f ca="1">IFERROR(__xludf.DUMMYFUNCTION("""COMPUTED_VALUE"""),"Both")</f>
        <v>Both</v>
      </c>
      <c r="AE1019" s="8"/>
      <c r="AF1019" s="8"/>
      <c r="AG1019" s="8" t="str">
        <f ca="1">IFERROR(__xludf.DUMMYFUNCTION("""COMPUTED_VALUE"""),"No")</f>
        <v>No</v>
      </c>
      <c r="AH1019" s="8" t="str">
        <f ca="1">IFERROR(__xludf.DUMMYFUNCTION("""COMPUTED_VALUE"""),"No")</f>
        <v>No</v>
      </c>
      <c r="AI1019" s="8" t="str">
        <f ca="1">IFERROR(__xludf.DUMMYFUNCTION("""COMPUTED_VALUE"""),"No")</f>
        <v>No</v>
      </c>
      <c r="AJ1019" s="8" t="str">
        <f ca="1">IFERROR(__xludf.DUMMYFUNCTION("""COMPUTED_VALUE"""),"No")</f>
        <v>No</v>
      </c>
      <c r="AK1019" s="8" t="str">
        <f ca="1">IFERROR(__xludf.DUMMYFUNCTION("""COMPUTED_VALUE"""),"No")</f>
        <v>No</v>
      </c>
      <c r="AL1019" s="8"/>
      <c r="AM1019" s="8" t="str">
        <f ca="1">IFERROR(__xludf.DUMMYFUNCTION("""COMPUTED_VALUE"""),"No")</f>
        <v>No</v>
      </c>
      <c r="AN1019" s="8"/>
      <c r="AO1019" s="8" t="str">
        <f ca="1">IFERROR(__xludf.DUMMYFUNCTION("""COMPUTED_VALUE"""),"No")</f>
        <v>No</v>
      </c>
      <c r="AP1019" s="8" t="str">
        <f ca="1">IFERROR(__xludf.DUMMYFUNCTION("""COMPUTED_VALUE"""),"Yes")</f>
        <v>Yes</v>
      </c>
      <c r="AQ1019" s="8" t="str">
        <f ca="1">IFERROR(__xludf.DUMMYFUNCTION("""COMPUTED_VALUE"""),"Armed Guards")</f>
        <v>Armed Guards</v>
      </c>
      <c r="AR1019" s="8" t="str">
        <f ca="1">IFERROR(__xludf.DUMMYFUNCTION("""COMPUTED_VALUE"""),"Outside/Off-Property")</f>
        <v>Outside/Off-Property</v>
      </c>
      <c r="AS1019" s="8">
        <f ca="1">IFERROR(__xludf.DUMMYFUNCTION("""COMPUTED_VALUE"""),99)</f>
        <v>99</v>
      </c>
      <c r="AT1019" s="8"/>
      <c r="AU1019" s="8">
        <f ca="1">IFERROR(__xludf.DUMMYFUNCTION("""COMPUTED_VALUE"""),41.602188)</f>
        <v>41.602187999999998</v>
      </c>
      <c r="AV1019" s="8">
        <f ca="1">IFERROR(__xludf.DUMMYFUNCTION("""COMPUTED_VALUE"""),-87.333328)</f>
        <v>-87.333327999999995</v>
      </c>
      <c r="AW1019" s="8"/>
      <c r="AX1019" s="8">
        <f ca="1">IFERROR(__xludf.DUMMYFUNCTION("""COMPUTED_VALUE"""),46402)</f>
        <v>46402</v>
      </c>
    </row>
    <row r="1020" spans="1:50" ht="45" x14ac:dyDescent="0.2">
      <c r="A1020" s="8" t="str">
        <f ca="1">IFERROR(__xludf.DUMMYFUNCTION("""COMPUTED_VALUE"""),"20220601CAULL")</f>
        <v>20220601CAULL</v>
      </c>
      <c r="B1020" s="8">
        <f ca="1">IFERROR(__xludf.DUMMYFUNCTION("""COMPUTED_VALUE"""),6)</f>
        <v>6</v>
      </c>
      <c r="C1020" s="8">
        <f ca="1">IFERROR(__xludf.DUMMYFUNCTION("""COMPUTED_VALUE"""),1)</f>
        <v>1</v>
      </c>
      <c r="D1020" s="8">
        <f ca="1">IFERROR(__xludf.DUMMYFUNCTION("""COMPUTED_VALUE"""),2022)</f>
        <v>2022</v>
      </c>
      <c r="E1020" s="9">
        <f ca="1">IFERROR(__xludf.DUMMYFUNCTION("""COMPUTED_VALUE"""),44713)</f>
        <v>44713</v>
      </c>
      <c r="F1020" s="8" t="str">
        <f ca="1">IFERROR(__xludf.DUMMYFUNCTION("""COMPUTED_VALUE"""),"Ulysses S. Grant Senior High School")</f>
        <v>Ulysses S. Grant Senior High School</v>
      </c>
      <c r="G1020" s="8">
        <f ca="1">IFERROR(__xludf.DUMMYFUNCTION("""COMPUTED_VALUE"""),0)</f>
        <v>0</v>
      </c>
      <c r="H1020" s="8">
        <f ca="1">IFERROR(__xludf.DUMMYFUNCTION("""COMPUTED_VALUE"""),1)</f>
        <v>1</v>
      </c>
      <c r="I1020" s="8">
        <f ca="1">IFERROR(__xludf.DUMMYFUNCTION("""COMPUTED_VALUE"""),1)</f>
        <v>1</v>
      </c>
      <c r="J1020" s="8">
        <f ca="1">IFERROR(__xludf.DUMMYFUNCTION("""COMPUTED_VALUE"""),0)</f>
        <v>0</v>
      </c>
      <c r="K1020" s="8" t="str">
        <f ca="1">IFERROR(__xludf.DUMMYFUNCTION("""COMPUTED_VALUE"""),"https://www.foxla.com/news/grant-high-school-van-nuys-shooting https://abc7.com/los-angeles-schools-shooting-grant-high-school-van-nuys/11916354/ https://ktla.com/news/local-news/police-investigate-shooting-near-grant-high-school-in-valley-glen/")</f>
        <v>https://www.foxla.com/news/grant-high-school-van-nuys-shooting https://abc7.com/los-angeles-schools-shooting-grant-high-school-van-nuys/11916354/ https://ktla.com/news/local-news/police-investigate-shooting-near-grant-high-school-in-valley-glen/</v>
      </c>
      <c r="L1020" s="8">
        <f ca="1">IFERROR(__xludf.DUMMYFUNCTION("""COMPUTED_VALUE"""),10)</f>
        <v>10</v>
      </c>
      <c r="M1020" s="8" t="str">
        <f ca="1">IFERROR(__xludf.DUMMYFUNCTION("""COMPUTED_VALUE"""),"Regional")</f>
        <v>Regional</v>
      </c>
      <c r="N1020" s="8">
        <f ca="1">IFERROR(__xludf.DUMMYFUNCTION("""COMPUTED_VALUE"""),4)</f>
        <v>4</v>
      </c>
      <c r="O1020" s="8" t="str">
        <f ca="1">IFERROR(__xludf.DUMMYFUNCTION("""COMPUTED_VALUE"""),"Summer")</f>
        <v>Summer</v>
      </c>
      <c r="P1020" s="8" t="str">
        <f ca="1">IFERROR(__xludf.DUMMYFUNCTION("""COMPUTED_VALUE"""),"Los Angeles")</f>
        <v>Los Angeles</v>
      </c>
      <c r="Q1020" s="8" t="str">
        <f ca="1">IFERROR(__xludf.DUMMYFUNCTION("""COMPUTED_VALUE"""),"CA")</f>
        <v>CA</v>
      </c>
      <c r="R1020" s="8" t="str">
        <f ca="1">IFERROR(__xludf.DUMMYFUNCTION("""COMPUTED_VALUE"""),"High")</f>
        <v>High</v>
      </c>
      <c r="S1020" s="8" t="str">
        <f ca="1">IFERROR(__xludf.DUMMYFUNCTION("""COMPUTED_VALUE"""),"Front of School")</f>
        <v>Front of School</v>
      </c>
      <c r="T1020" s="8" t="str">
        <f ca="1">IFERROR(__xludf.DUMMYFUNCTION("""COMPUTED_VALUE"""),"Outside on School Property")</f>
        <v>Outside on School Property</v>
      </c>
      <c r="U1020" s="8" t="str">
        <f ca="1">IFERROR(__xludf.DUMMYFUNCTION("""COMPUTED_VALUE"""),"Yes")</f>
        <v>Yes</v>
      </c>
      <c r="V1020" s="8" t="str">
        <f ca="1">IFERROR(__xludf.DUMMYFUNCTION("""COMPUTED_VALUE"""),"Dismissal")</f>
        <v>Dismissal</v>
      </c>
      <c r="W1020" s="11">
        <f ca="1">IFERROR(__xludf.DUMMYFUNCTION("""COMPUTED_VALUE"""),0.642361111111111)</f>
        <v>0.64236111111111105</v>
      </c>
      <c r="X1020" s="8">
        <f ca="1">IFERROR(__xludf.DUMMYFUNCTION("""COMPUTED_VALUE"""),1)</f>
        <v>1</v>
      </c>
      <c r="Y1020" s="12" t="str">
        <f ca="1">IFERROR(__xludf.DUMMYFUNCTION("""COMPUTED_VALUE"""),"Student shot in front of school at dismissal")</f>
        <v>Student shot in front of school at dismissal</v>
      </c>
      <c r="Z1020" s="12" t="str">
        <f ca="1">IFERROR(__xludf.DUMMYFUNCTION("""COMPUTED_VALUE"""),"16-year-olds student was shot in front of the school during dismissal. School went on lockdown. Shooter fled in vehicle. Police said the shooting was gang related.")</f>
        <v>16-year-olds student was shot in front of the school during dismissal. School went on lockdown. Shooter fled in vehicle. Police said the shooting was gang related.</v>
      </c>
      <c r="AA1020" s="8" t="str">
        <f ca="1">IFERROR(__xludf.DUMMYFUNCTION("""COMPUTED_VALUE"""),"Escalation of Dispute")</f>
        <v>Escalation of Dispute</v>
      </c>
      <c r="AB1020" s="8"/>
      <c r="AC1020" s="8" t="str">
        <f ca="1">IFERROR(__xludf.DUMMYFUNCTION("""COMPUTED_VALUE"""),"Yes")</f>
        <v>Yes</v>
      </c>
      <c r="AD1020" s="8" t="str">
        <f ca="1">IFERROR(__xludf.DUMMYFUNCTION("""COMPUTED_VALUE"""),"Victims Targeted")</f>
        <v>Victims Targeted</v>
      </c>
      <c r="AE1020" s="8" t="str">
        <f ca="1">IFERROR(__xludf.DUMMYFUNCTION("""COMPUTED_VALUE"""),"No")</f>
        <v>No</v>
      </c>
      <c r="AF1020" s="8"/>
      <c r="AG1020" s="8" t="str">
        <f ca="1">IFERROR(__xludf.DUMMYFUNCTION("""COMPUTED_VALUE"""),"No")</f>
        <v>No</v>
      </c>
      <c r="AH1020" s="8" t="str">
        <f ca="1">IFERROR(__xludf.DUMMYFUNCTION("""COMPUTED_VALUE"""),"No")</f>
        <v>No</v>
      </c>
      <c r="AI1020" s="8" t="str">
        <f ca="1">IFERROR(__xludf.DUMMYFUNCTION("""COMPUTED_VALUE"""),"No")</f>
        <v>No</v>
      </c>
      <c r="AJ1020" s="8" t="str">
        <f ca="1">IFERROR(__xludf.DUMMYFUNCTION("""COMPUTED_VALUE"""),"No")</f>
        <v>No</v>
      </c>
      <c r="AK1020" s="8" t="str">
        <f ca="1">IFERROR(__xludf.DUMMYFUNCTION("""COMPUTED_VALUE"""),"No")</f>
        <v>No</v>
      </c>
      <c r="AL1020" s="8" t="str">
        <f ca="1">IFERROR(__xludf.DUMMYFUNCTION("""COMPUTED_VALUE"""),"Yes")</f>
        <v>Yes</v>
      </c>
      <c r="AM1020" s="8" t="str">
        <f ca="1">IFERROR(__xludf.DUMMYFUNCTION("""COMPUTED_VALUE"""),"No")</f>
        <v>No</v>
      </c>
      <c r="AN1020" s="8"/>
      <c r="AO1020" s="8" t="str">
        <f ca="1">IFERROR(__xludf.DUMMYFUNCTION("""COMPUTED_VALUE"""),"No")</f>
        <v>No</v>
      </c>
      <c r="AP1020" s="8" t="str">
        <f ca="1">IFERROR(__xludf.DUMMYFUNCTION("""COMPUTED_VALUE"""),"Yes")</f>
        <v>Yes</v>
      </c>
      <c r="AQ1020" s="8"/>
      <c r="AR1020" s="8"/>
      <c r="AS1020" s="8"/>
      <c r="AT1020" s="8" t="str">
        <f ca="1">IFERROR(__xludf.DUMMYFUNCTION("""COMPUTED_VALUE"""),"Yes")</f>
        <v>Yes</v>
      </c>
      <c r="AU1020" s="8">
        <f ca="1">IFERROR(__xludf.DUMMYFUNCTION("""COMPUTED_VALUE"""),34.176658)</f>
        <v>34.176658000000003</v>
      </c>
      <c r="AV1020" s="8">
        <f ca="1">IFERROR(__xludf.DUMMYFUNCTION("""COMPUTED_VALUE"""),-118.415403)</f>
        <v>-118.415403</v>
      </c>
      <c r="AW1020" s="8"/>
      <c r="AX1020" s="8">
        <f ca="1">IFERROR(__xludf.DUMMYFUNCTION("""COMPUTED_VALUE"""),91401)</f>
        <v>91401</v>
      </c>
    </row>
    <row r="1021" spans="1:50" ht="75" x14ac:dyDescent="0.2">
      <c r="A1021" s="8" t="str">
        <f ca="1">IFERROR(__xludf.DUMMYFUNCTION("""COMPUTED_VALUE"""),"20220531LAMON")</f>
        <v>20220531LAMON</v>
      </c>
      <c r="B1021" s="8">
        <f ca="1">IFERROR(__xludf.DUMMYFUNCTION("""COMPUTED_VALUE"""),5)</f>
        <v>5</v>
      </c>
      <c r="C1021" s="8">
        <f ca="1">IFERROR(__xludf.DUMMYFUNCTION("""COMPUTED_VALUE"""),31)</f>
        <v>31</v>
      </c>
      <c r="D1021" s="8">
        <f ca="1">IFERROR(__xludf.DUMMYFUNCTION("""COMPUTED_VALUE"""),2022)</f>
        <v>2022</v>
      </c>
      <c r="E1021" s="9">
        <f ca="1">IFERROR(__xludf.DUMMYFUNCTION("""COMPUTED_VALUE"""),44712)</f>
        <v>44712</v>
      </c>
      <c r="F1021" s="8" t="str">
        <f ca="1">IFERROR(__xludf.DUMMYFUNCTION("""COMPUTED_VALUE"""),"Morris Jeff High School")</f>
        <v>Morris Jeff High School</v>
      </c>
      <c r="G1021" s="8">
        <f ca="1">IFERROR(__xludf.DUMMYFUNCTION("""COMPUTED_VALUE"""),0)</f>
        <v>0</v>
      </c>
      <c r="H1021" s="8">
        <f ca="1">IFERROR(__xludf.DUMMYFUNCTION("""COMPUTED_VALUE"""),2)</f>
        <v>2</v>
      </c>
      <c r="I1021" s="8">
        <f ca="1">IFERROR(__xludf.DUMMYFUNCTION("""COMPUTED_VALUE"""),2)</f>
        <v>2</v>
      </c>
      <c r="J1021" s="8">
        <f ca="1">IFERROR(__xludf.DUMMYFUNCTION("""COMPUTED_VALUE"""),0)</f>
        <v>0</v>
      </c>
      <c r="K1021" s="8" t="str">
        <f ca="1">IFERROR(__xludf.DUMMYFUNCTION("""COMPUTED_VALUE"""),"https://www.wwltv.com/article/news/crime/one-dead-two-injured-in-post-graduation-shooting-on-xavier-campus/289-2bb5a09d-8900-4e96-9ca5-06727bb4123c https://www.cnn.com/2022/05/31/us/xavier-university-shooting-new-orleans/index.html https://www.wafb.com/20"&amp;"22/06/01/triple-shooting-leaves-grandmother-dead-outside-morris-jeff-high-graduation-xavier-university-nopd-says/")</f>
        <v>https://www.wwltv.com/article/news/crime/one-dead-two-injured-in-post-graduation-shooting-on-xavier-campus/289-2bb5a09d-8900-4e96-9ca5-06727bb4123c https://www.cnn.com/2022/05/31/us/xavier-university-shooting-new-orleans/index.html https://www.wafb.com/2022/06/01/triple-shooting-leaves-grandmother-dead-outside-morris-jeff-high-graduation-xavier-university-nopd-says/</v>
      </c>
      <c r="L1021" s="8">
        <f ca="1">IFERROR(__xludf.DUMMYFUNCTION("""COMPUTED_VALUE"""),100)</f>
        <v>100</v>
      </c>
      <c r="M1021" s="8" t="str">
        <f ca="1">IFERROR(__xludf.DUMMYFUNCTION("""COMPUTED_VALUE"""),"National")</f>
        <v>National</v>
      </c>
      <c r="N1021" s="8">
        <f ca="1">IFERROR(__xludf.DUMMYFUNCTION("""COMPUTED_VALUE"""),4)</f>
        <v>4</v>
      </c>
      <c r="O1021" s="8" t="str">
        <f ca="1">IFERROR(__xludf.DUMMYFUNCTION("""COMPUTED_VALUE"""),"Spring")</f>
        <v>Spring</v>
      </c>
      <c r="P1021" s="8" t="str">
        <f ca="1">IFERROR(__xludf.DUMMYFUNCTION("""COMPUTED_VALUE"""),"New Orleans")</f>
        <v>New Orleans</v>
      </c>
      <c r="Q1021" s="8" t="str">
        <f ca="1">IFERROR(__xludf.DUMMYFUNCTION("""COMPUTED_VALUE"""),"LA")</f>
        <v>LA</v>
      </c>
      <c r="R1021" s="8" t="str">
        <f ca="1">IFERROR(__xludf.DUMMYFUNCTION("""COMPUTED_VALUE"""),"High")</f>
        <v>High</v>
      </c>
      <c r="S1021" s="8" t="str">
        <f ca="1">IFERROR(__xludf.DUMMYFUNCTION("""COMPUTED_VALUE"""),"Off School Property")</f>
        <v>Off School Property</v>
      </c>
      <c r="T1021" s="8" t="str">
        <f ca="1">IFERROR(__xludf.DUMMYFUNCTION("""COMPUTED_VALUE"""),"Off School Property")</f>
        <v>Off School Property</v>
      </c>
      <c r="U1021" s="8" t="str">
        <f ca="1">IFERROR(__xludf.DUMMYFUNCTION("""COMPUTED_VALUE"""),"Yes")</f>
        <v>Yes</v>
      </c>
      <c r="V1021" s="8" t="str">
        <f ca="1">IFERROR(__xludf.DUMMYFUNCTION("""COMPUTED_VALUE"""),"School Event")</f>
        <v>School Event</v>
      </c>
      <c r="W1021" s="11">
        <f ca="1">IFERROR(__xludf.DUMMYFUNCTION("""COMPUTED_VALUE"""),0.489583333333333)</f>
        <v>0.48958333333333298</v>
      </c>
      <c r="X1021" s="8">
        <f ca="1">IFERROR(__xludf.DUMMYFUNCTION("""COMPUTED_VALUE"""),1)</f>
        <v>1</v>
      </c>
      <c r="Y1021" s="12" t="str">
        <f ca="1">IFERROR(__xludf.DUMMYFUNCTION("""COMPUTED_VALUE"""),"3 people shot following high school graduation")</f>
        <v>3 people shot following high school graduation</v>
      </c>
      <c r="Z1021" s="12" t="str">
        <f ca="1">IFERROR(__xludf.DUMMYFUNCTION("""COMPUTED_VALUE"""),"An 80-year-old woman was killed and two men were wounded during a shooting in the parking lot following high school graduation. Two women were fighting when the shots were fired. Graduation for the high school was held at Xavier University.")</f>
        <v>An 80-year-old woman was killed and two men were wounded during a shooting in the parking lot following high school graduation. Two women were fighting when the shots were fired. Graduation for the high school was held at Xavier University.</v>
      </c>
      <c r="AA1021" s="8" t="str">
        <f ca="1">IFERROR(__xludf.DUMMYFUNCTION("""COMPUTED_VALUE"""),"Escalation of Dispute")</f>
        <v>Escalation of Dispute</v>
      </c>
      <c r="AB1021" s="8"/>
      <c r="AC1021" s="8" t="str">
        <f ca="1">IFERROR(__xludf.DUMMYFUNCTION("""COMPUTED_VALUE"""),"Yes")</f>
        <v>Yes</v>
      </c>
      <c r="AD1021" s="8" t="str">
        <f ca="1">IFERROR(__xludf.DUMMYFUNCTION("""COMPUTED_VALUE"""),"Both")</f>
        <v>Both</v>
      </c>
      <c r="AE1021" s="8" t="str">
        <f ca="1">IFERROR(__xludf.DUMMYFUNCTION("""COMPUTED_VALUE"""),"No")</f>
        <v>No</v>
      </c>
      <c r="AF1021" s="8"/>
      <c r="AG1021" s="8" t="str">
        <f ca="1">IFERROR(__xludf.DUMMYFUNCTION("""COMPUTED_VALUE"""),"No")</f>
        <v>No</v>
      </c>
      <c r="AH1021" s="8" t="str">
        <f ca="1">IFERROR(__xludf.DUMMYFUNCTION("""COMPUTED_VALUE"""),"No")</f>
        <v>No</v>
      </c>
      <c r="AI1021" s="8" t="str">
        <f ca="1">IFERROR(__xludf.DUMMYFUNCTION("""COMPUTED_VALUE"""),"No")</f>
        <v>No</v>
      </c>
      <c r="AJ1021" s="8" t="str">
        <f ca="1">IFERROR(__xludf.DUMMYFUNCTION("""COMPUTED_VALUE"""),"No")</f>
        <v>No</v>
      </c>
      <c r="AK1021" s="8" t="str">
        <f ca="1">IFERROR(__xludf.DUMMYFUNCTION("""COMPUTED_VALUE"""),"No")</f>
        <v>No</v>
      </c>
      <c r="AL1021" s="8" t="str">
        <f ca="1">IFERROR(__xludf.DUMMYFUNCTION("""COMPUTED_VALUE"""),"No")</f>
        <v>No</v>
      </c>
      <c r="AM1021" s="8" t="str">
        <f ca="1">IFERROR(__xludf.DUMMYFUNCTION("""COMPUTED_VALUE"""),"No")</f>
        <v>No</v>
      </c>
      <c r="AN1021" s="8"/>
      <c r="AO1021" s="8" t="str">
        <f ca="1">IFERROR(__xludf.DUMMYFUNCTION("""COMPUTED_VALUE"""),"No")</f>
        <v>No</v>
      </c>
      <c r="AP1021" s="8"/>
      <c r="AQ1021" s="8"/>
      <c r="AR1021" s="8" t="str">
        <f ca="1">IFERROR(__xludf.DUMMYFUNCTION("""COMPUTED_VALUE"""),"Outside/Off-Property")</f>
        <v>Outside/Off-Property</v>
      </c>
      <c r="AS1021" s="8">
        <f ca="1">IFERROR(__xludf.DUMMYFUNCTION("""COMPUTED_VALUE"""),99)</f>
        <v>99</v>
      </c>
      <c r="AT1021" s="8"/>
      <c r="AU1021" s="8">
        <f ca="1">IFERROR(__xludf.DUMMYFUNCTION("""COMPUTED_VALUE"""),29.963632)</f>
        <v>29.963632</v>
      </c>
      <c r="AV1021" s="8">
        <f ca="1">IFERROR(__xludf.DUMMYFUNCTION("""COMPUTED_VALUE"""),-90.10554)</f>
        <v>-90.105540000000005</v>
      </c>
      <c r="AW1021" s="8"/>
      <c r="AX1021" s="8">
        <f ca="1">IFERROR(__xludf.DUMMYFUNCTION("""COMPUTED_VALUE"""),70135)</f>
        <v>70135</v>
      </c>
    </row>
    <row r="1022" spans="1:50" ht="30" x14ac:dyDescent="0.2">
      <c r="A1022" s="8" t="str">
        <f ca="1">IFERROR(__xludf.DUMMYFUNCTION("""COMPUTED_VALUE"""),"20220530CAHEL")</f>
        <v>20220530CAHEL</v>
      </c>
      <c r="B1022" s="8">
        <f ca="1">IFERROR(__xludf.DUMMYFUNCTION("""COMPUTED_VALUE"""),5)</f>
        <v>5</v>
      </c>
      <c r="C1022" s="8">
        <f ca="1">IFERROR(__xludf.DUMMYFUNCTION("""COMPUTED_VALUE"""),30)</f>
        <v>30</v>
      </c>
      <c r="D1022" s="8">
        <f ca="1">IFERROR(__xludf.DUMMYFUNCTION("""COMPUTED_VALUE"""),2022)</f>
        <v>2022</v>
      </c>
      <c r="E1022" s="9">
        <f ca="1">IFERROR(__xludf.DUMMYFUNCTION("""COMPUTED_VALUE"""),44711)</f>
        <v>44711</v>
      </c>
      <c r="F1022" s="8" t="str">
        <f ca="1">IFERROR(__xludf.DUMMYFUNCTION("""COMPUTED_VALUE"""),"Helix High School")</f>
        <v>Helix High School</v>
      </c>
      <c r="G1022" s="8">
        <f ca="1">IFERROR(__xludf.DUMMYFUNCTION("""COMPUTED_VALUE"""),0)</f>
        <v>0</v>
      </c>
      <c r="H1022" s="8">
        <f ca="1">IFERROR(__xludf.DUMMYFUNCTION("""COMPUTED_VALUE"""),1)</f>
        <v>1</v>
      </c>
      <c r="I1022" s="8">
        <f ca="1">IFERROR(__xludf.DUMMYFUNCTION("""COMPUTED_VALUE"""),1)</f>
        <v>1</v>
      </c>
      <c r="J1022" s="8">
        <f ca="1">IFERROR(__xludf.DUMMYFUNCTION("""COMPUTED_VALUE"""),0)</f>
        <v>0</v>
      </c>
      <c r="K1022" s="8" t="str">
        <f ca="1">IFERROR(__xludf.DUMMYFUNCTION("""COMPUTED_VALUE"""),"https://www.sandiegouniontribune.com/news/public-safety/story/2022-05-31/man-shot-wounded-in-helix-high-school-parking-lot https://www.10news.com/news/local-news/suspect-sought-after-man-shot-in-helix-high-school-parking-lot https://www.nbcsandiego.com/ne"&amp;"ws/local/1-shot-after-school-hours-in-parking-lot-of-helix-high-school/2959563/")</f>
        <v>https://www.sandiegouniontribune.com/news/public-safety/story/2022-05-31/man-shot-wounded-in-helix-high-school-parking-lot https://www.10news.com/news/local-news/suspect-sought-after-man-shot-in-helix-high-school-parking-lot https://www.nbcsandiego.com/news/local/1-shot-after-school-hours-in-parking-lot-of-helix-high-school/2959563/</v>
      </c>
      <c r="L1022" s="8">
        <f ca="1">IFERROR(__xludf.DUMMYFUNCTION("""COMPUTED_VALUE"""),3)</f>
        <v>3</v>
      </c>
      <c r="M1022" s="8" t="str">
        <f ca="1">IFERROR(__xludf.DUMMYFUNCTION("""COMPUTED_VALUE"""),"Local")</f>
        <v>Local</v>
      </c>
      <c r="N1022" s="8">
        <f ca="1">IFERROR(__xludf.DUMMYFUNCTION("""COMPUTED_VALUE"""),4)</f>
        <v>4</v>
      </c>
      <c r="O1022" s="8" t="str">
        <f ca="1">IFERROR(__xludf.DUMMYFUNCTION("""COMPUTED_VALUE"""),"Spring")</f>
        <v>Spring</v>
      </c>
      <c r="P1022" s="8" t="str">
        <f ca="1">IFERROR(__xludf.DUMMYFUNCTION("""COMPUTED_VALUE"""),"La Mesa")</f>
        <v>La Mesa</v>
      </c>
      <c r="Q1022" s="8" t="str">
        <f ca="1">IFERROR(__xludf.DUMMYFUNCTION("""COMPUTED_VALUE"""),"CA")</f>
        <v>CA</v>
      </c>
      <c r="R1022" s="8" t="str">
        <f ca="1">IFERROR(__xludf.DUMMYFUNCTION("""COMPUTED_VALUE"""),"High")</f>
        <v>High</v>
      </c>
      <c r="S1022" s="8" t="str">
        <f ca="1">IFERROR(__xludf.DUMMYFUNCTION("""COMPUTED_VALUE"""),"Parking Lot")</f>
        <v>Parking Lot</v>
      </c>
      <c r="T1022" s="8" t="str">
        <f ca="1">IFERROR(__xludf.DUMMYFUNCTION("""COMPUTED_VALUE"""),"Outside on School Property")</f>
        <v>Outside on School Property</v>
      </c>
      <c r="U1022" s="8" t="str">
        <f ca="1">IFERROR(__xludf.DUMMYFUNCTION("""COMPUTED_VALUE"""),"No")</f>
        <v>No</v>
      </c>
      <c r="V1022" s="8" t="str">
        <f ca="1">IFERROR(__xludf.DUMMYFUNCTION("""COMPUTED_VALUE"""),"Evening")</f>
        <v>Evening</v>
      </c>
      <c r="W1022" s="11">
        <f ca="1">IFERROR(__xludf.DUMMYFUNCTION("""COMPUTED_VALUE"""),0.763888888888888)</f>
        <v>0.76388888888888795</v>
      </c>
      <c r="X1022" s="8">
        <f ca="1">IFERROR(__xludf.DUMMYFUNCTION("""COMPUTED_VALUE"""),1)</f>
        <v>1</v>
      </c>
      <c r="Y1022" s="12" t="str">
        <f ca="1">IFERROR(__xludf.DUMMYFUNCTION("""COMPUTED_VALUE"""),"Adult man shot in school parking lot")</f>
        <v>Adult man shot in school parking lot</v>
      </c>
      <c r="Z1022" s="12" t="str">
        <f ca="1">IFERROR(__xludf.DUMMYFUNCTION("""COMPUTED_VALUE"""),"Adult man was shot in the school parking lot. Shooter fled. School was closed for Memorial Day.")</f>
        <v>Adult man was shot in the school parking lot. Shooter fled. School was closed for Memorial Day.</v>
      </c>
      <c r="AA1022" s="8"/>
      <c r="AB1022" s="8"/>
      <c r="AC1022" s="8" t="str">
        <f ca="1">IFERROR(__xludf.DUMMYFUNCTION("""COMPUTED_VALUE"""),"No")</f>
        <v>No</v>
      </c>
      <c r="AD1022" s="8" t="str">
        <f ca="1">IFERROR(__xludf.DUMMYFUNCTION("""COMPUTED_VALUE"""),"Victims Targeted")</f>
        <v>Victims Targeted</v>
      </c>
      <c r="AE1022" s="8" t="str">
        <f ca="1">IFERROR(__xludf.DUMMYFUNCTION("""COMPUTED_VALUE"""),"No")</f>
        <v>No</v>
      </c>
      <c r="AF1022" s="8"/>
      <c r="AG1022" s="8" t="str">
        <f ca="1">IFERROR(__xludf.DUMMYFUNCTION("""COMPUTED_VALUE"""),"No")</f>
        <v>No</v>
      </c>
      <c r="AH1022" s="8" t="str">
        <f ca="1">IFERROR(__xludf.DUMMYFUNCTION("""COMPUTED_VALUE"""),"No")</f>
        <v>No</v>
      </c>
      <c r="AI1022" s="8" t="str">
        <f ca="1">IFERROR(__xludf.DUMMYFUNCTION("""COMPUTED_VALUE"""),"No")</f>
        <v>No</v>
      </c>
      <c r="AJ1022" s="8" t="str">
        <f ca="1">IFERROR(__xludf.DUMMYFUNCTION("""COMPUTED_VALUE"""),"No")</f>
        <v>No</v>
      </c>
      <c r="AK1022" s="8" t="str">
        <f ca="1">IFERROR(__xludf.DUMMYFUNCTION("""COMPUTED_VALUE"""),"No")</f>
        <v>No</v>
      </c>
      <c r="AL1022" s="8"/>
      <c r="AM1022" s="8" t="str">
        <f ca="1">IFERROR(__xludf.DUMMYFUNCTION("""COMPUTED_VALUE"""),"No")</f>
        <v>No</v>
      </c>
      <c r="AN1022" s="8"/>
      <c r="AO1022" s="8" t="str">
        <f ca="1">IFERROR(__xludf.DUMMYFUNCTION("""COMPUTED_VALUE"""),"No")</f>
        <v>No</v>
      </c>
      <c r="AP1022" s="8"/>
      <c r="AQ1022" s="8"/>
      <c r="AR1022" s="8" t="str">
        <f ca="1">IFERROR(__xludf.DUMMYFUNCTION("""COMPUTED_VALUE"""),"Outside/Off-Property")</f>
        <v>Outside/Off-Property</v>
      </c>
      <c r="AS1022" s="8">
        <f ca="1">IFERROR(__xludf.DUMMYFUNCTION("""COMPUTED_VALUE"""),99)</f>
        <v>99</v>
      </c>
      <c r="AT1022" s="8" t="str">
        <f ca="1">IFERROR(__xludf.DUMMYFUNCTION("""COMPUTED_VALUE"""),"No")</f>
        <v>No</v>
      </c>
      <c r="AU1022" s="8">
        <f ca="1">IFERROR(__xludf.DUMMYFUNCTION("""COMPUTED_VALUE"""),32.753486)</f>
        <v>32.753486000000002</v>
      </c>
      <c r="AV1022" s="8">
        <f ca="1">IFERROR(__xludf.DUMMYFUNCTION("""COMPUTED_VALUE"""),-117.037306)</f>
        <v>-117.037306</v>
      </c>
      <c r="AW1022" s="8"/>
      <c r="AX1022" s="8">
        <f ca="1">IFERROR(__xludf.DUMMYFUNCTION("""COMPUTED_VALUE"""),92112)</f>
        <v>92112</v>
      </c>
    </row>
    <row r="1023" spans="1:50" ht="75" x14ac:dyDescent="0.2">
      <c r="A1023" s="8" t="str">
        <f ca="1">IFERROR(__xludf.DUMMYFUNCTION("""COMPUTED_VALUE"""),"20220529ILDAC")</f>
        <v>20220529ILDAC</v>
      </c>
      <c r="B1023" s="8">
        <f ca="1">IFERROR(__xludf.DUMMYFUNCTION("""COMPUTED_VALUE"""),5)</f>
        <v>5</v>
      </c>
      <c r="C1023" s="8">
        <f ca="1">IFERROR(__xludf.DUMMYFUNCTION("""COMPUTED_VALUE"""),29)</f>
        <v>29</v>
      </c>
      <c r="D1023" s="8">
        <f ca="1">IFERROR(__xludf.DUMMYFUNCTION("""COMPUTED_VALUE"""),2022)</f>
        <v>2022</v>
      </c>
      <c r="E1023" s="9">
        <f ca="1">IFERROR(__xludf.DUMMYFUNCTION("""COMPUTED_VALUE"""),44710)</f>
        <v>44710</v>
      </c>
      <c r="F1023" s="8" t="str">
        <f ca="1">IFERROR(__xludf.DUMMYFUNCTION("""COMPUTED_VALUE"""),"Daniel Webster Public School")</f>
        <v>Daniel Webster Public School</v>
      </c>
      <c r="G1023" s="8">
        <f ca="1">IFERROR(__xludf.DUMMYFUNCTION("""COMPUTED_VALUE"""),0)</f>
        <v>0</v>
      </c>
      <c r="H1023" s="8">
        <f ca="1">IFERROR(__xludf.DUMMYFUNCTION("""COMPUTED_VALUE"""),5)</f>
        <v>5</v>
      </c>
      <c r="I1023" s="8">
        <f ca="1">IFERROR(__xludf.DUMMYFUNCTION("""COMPUTED_VALUE"""),5)</f>
        <v>5</v>
      </c>
      <c r="J1023" s="8">
        <f ca="1">IFERROR(__xludf.DUMMYFUNCTION("""COMPUTED_VALUE"""),0)</f>
        <v>0</v>
      </c>
      <c r="K1023" s="8" t="str">
        <f ca="1">IFERROR(__xludf.DUMMYFUNCTION("""COMPUTED_VALUE"""),"https://abc7chicago.com/chicago-shooting-crime-16-year-old-girl-police-department/11905518/ https://chicago.suntimes.com/crime/2022/5/29/23146188/girl-16-among-5-shot-and-seriously-wounded-after-fight-in-lawndale")</f>
        <v>https://abc7chicago.com/chicago-shooting-crime-16-year-old-girl-police-department/11905518/ https://chicago.suntimes.com/crime/2022/5/29/23146188/girl-16-among-5-shot-and-seriously-wounded-after-fight-in-lawndale</v>
      </c>
      <c r="L1023" s="8">
        <f ca="1">IFERROR(__xludf.DUMMYFUNCTION("""COMPUTED_VALUE"""),5)</f>
        <v>5</v>
      </c>
      <c r="M1023" s="8" t="str">
        <f ca="1">IFERROR(__xludf.DUMMYFUNCTION("""COMPUTED_VALUE"""),"Local")</f>
        <v>Local</v>
      </c>
      <c r="N1023" s="8">
        <f ca="1">IFERROR(__xludf.DUMMYFUNCTION("""COMPUTED_VALUE"""),4)</f>
        <v>4</v>
      </c>
      <c r="O1023" s="8" t="str">
        <f ca="1">IFERROR(__xludf.DUMMYFUNCTION("""COMPUTED_VALUE"""),"Spring")</f>
        <v>Spring</v>
      </c>
      <c r="P1023" s="8" t="str">
        <f ca="1">IFERROR(__xludf.DUMMYFUNCTION("""COMPUTED_VALUE"""),"Chicago")</f>
        <v>Chicago</v>
      </c>
      <c r="Q1023" s="8" t="str">
        <f ca="1">IFERROR(__xludf.DUMMYFUNCTION("""COMPUTED_VALUE"""),"IL")</f>
        <v>IL</v>
      </c>
      <c r="R1023" s="8" t="str">
        <f ca="1">IFERROR(__xludf.DUMMYFUNCTION("""COMPUTED_VALUE"""),"Elementary")</f>
        <v>Elementary</v>
      </c>
      <c r="S1023" s="8" t="str">
        <f ca="1">IFERROR(__xludf.DUMMYFUNCTION("""COMPUTED_VALUE"""),"Front of School")</f>
        <v>Front of School</v>
      </c>
      <c r="T1023" s="8" t="str">
        <f ca="1">IFERROR(__xludf.DUMMYFUNCTION("""COMPUTED_VALUE"""),"Outside on School Property")</f>
        <v>Outside on School Property</v>
      </c>
      <c r="U1023" s="8" t="str">
        <f ca="1">IFERROR(__xludf.DUMMYFUNCTION("""COMPUTED_VALUE"""),"No")</f>
        <v>No</v>
      </c>
      <c r="V1023" s="8" t="str">
        <f ca="1">IFERROR(__xludf.DUMMYFUNCTION("""COMPUTED_VALUE"""),"Night")</f>
        <v>Night</v>
      </c>
      <c r="W1023" s="11">
        <f ca="1">IFERROR(__xludf.DUMMYFUNCTION("""COMPUTED_VALUE"""),0.0625)</f>
        <v>6.25E-2</v>
      </c>
      <c r="X1023" s="8">
        <f ca="1">IFERROR(__xludf.DUMMYFUNCTION("""COMPUTED_VALUE"""),1)</f>
        <v>1</v>
      </c>
      <c r="Y1023" s="12" t="str">
        <f ca="1">IFERROR(__xludf.DUMMYFUNCTION("""COMPUTED_VALUE"""),"5 wounded when 97 shots fired in front of school.")</f>
        <v>5 wounded when 97 shots fired in front of school.</v>
      </c>
      <c r="Z1023" s="12" t="str">
        <f ca="1">IFERROR(__xludf.DUMMYFUNCTION("""COMPUTED_VALUE"""),"5 people were wounded when 97 shots were fired by 3 different shoots during an event for remembering a teen killed. Victims were standing near the front doors of the school when a fight escalated into a shooting. School was closed and no students or staff"&amp;" were present.")</f>
        <v>5 people were wounded when 97 shots were fired by 3 different shoots during an event for remembering a teen killed. Victims were standing near the front doors of the school when a fight escalated into a shooting. School was closed and no students or staff were present.</v>
      </c>
      <c r="AA1023" s="8" t="str">
        <f ca="1">IFERROR(__xludf.DUMMYFUNCTION("""COMPUTED_VALUE"""),"Escalation of Dispute")</f>
        <v>Escalation of Dispute</v>
      </c>
      <c r="AB1023" s="8"/>
      <c r="AC1023" s="8" t="str">
        <f ca="1">IFERROR(__xludf.DUMMYFUNCTION("""COMPUTED_VALUE"""),"No")</f>
        <v>No</v>
      </c>
      <c r="AD1023" s="8" t="str">
        <f ca="1">IFERROR(__xludf.DUMMYFUNCTION("""COMPUTED_VALUE"""),"Both")</f>
        <v>Both</v>
      </c>
      <c r="AE1023" s="8" t="str">
        <f ca="1">IFERROR(__xludf.DUMMYFUNCTION("""COMPUTED_VALUE"""),"Yes")</f>
        <v>Yes</v>
      </c>
      <c r="AF1023" s="8" t="str">
        <f ca="1">IFERROR(__xludf.DUMMYFUNCTION("""COMPUTED_VALUE"""),"3 shooters")</f>
        <v>3 shooters</v>
      </c>
      <c r="AG1023" s="8" t="str">
        <f ca="1">IFERROR(__xludf.DUMMYFUNCTION("""COMPUTED_VALUE"""),"No")</f>
        <v>No</v>
      </c>
      <c r="AH1023" s="8" t="str">
        <f ca="1">IFERROR(__xludf.DUMMYFUNCTION("""COMPUTED_VALUE"""),"No")</f>
        <v>No</v>
      </c>
      <c r="AI1023" s="8" t="str">
        <f ca="1">IFERROR(__xludf.DUMMYFUNCTION("""COMPUTED_VALUE"""),"No")</f>
        <v>No</v>
      </c>
      <c r="AJ1023" s="8" t="str">
        <f ca="1">IFERROR(__xludf.DUMMYFUNCTION("""COMPUTED_VALUE"""),"No")</f>
        <v>No</v>
      </c>
      <c r="AK1023" s="8" t="str">
        <f ca="1">IFERROR(__xludf.DUMMYFUNCTION("""COMPUTED_VALUE"""),"No")</f>
        <v>No</v>
      </c>
      <c r="AL1023" s="8"/>
      <c r="AM1023" s="8" t="str">
        <f ca="1">IFERROR(__xludf.DUMMYFUNCTION("""COMPUTED_VALUE"""),"No")</f>
        <v>No</v>
      </c>
      <c r="AN1023" s="8"/>
      <c r="AO1023" s="8" t="str">
        <f ca="1">IFERROR(__xludf.DUMMYFUNCTION("""COMPUTED_VALUE"""),"No")</f>
        <v>No</v>
      </c>
      <c r="AP1023" s="8"/>
      <c r="AQ1023" s="8"/>
      <c r="AR1023" s="8" t="str">
        <f ca="1">IFERROR(__xludf.DUMMYFUNCTION("""COMPUTED_VALUE"""),"Outside/Off-Property")</f>
        <v>Outside/Off-Property</v>
      </c>
      <c r="AS1023" s="8">
        <f ca="1">IFERROR(__xludf.DUMMYFUNCTION("""COMPUTED_VALUE"""),97)</f>
        <v>97</v>
      </c>
      <c r="AT1023" s="8"/>
      <c r="AU1023" s="8">
        <f ca="1">IFERROR(__xludf.DUMMYFUNCTION("""COMPUTED_VALUE"""),41.869948)</f>
        <v>41.869948000000001</v>
      </c>
      <c r="AV1023" s="8">
        <f ca="1">IFERROR(__xludf.DUMMYFUNCTION("""COMPUTED_VALUE"""),-87.727451)</f>
        <v>-87.727451000000002</v>
      </c>
      <c r="AW1023" s="8"/>
      <c r="AX1023" s="8">
        <f ca="1">IFERROR(__xludf.DUMMYFUNCTION("""COMPUTED_VALUE"""),60624)</f>
        <v>60624</v>
      </c>
    </row>
    <row r="1024" spans="1:50" ht="75" x14ac:dyDescent="0.2">
      <c r="A1024" s="8" t="str">
        <f ca="1">IFERROR(__xludf.DUMMYFUNCTION("""COMPUTED_VALUE"""),"20220526TXDUA")</f>
        <v>20220526TXDUA</v>
      </c>
      <c r="B1024" s="8">
        <f ca="1">IFERROR(__xludf.DUMMYFUNCTION("""COMPUTED_VALUE"""),5)</f>
        <v>5</v>
      </c>
      <c r="C1024" s="8">
        <f ca="1">IFERROR(__xludf.DUMMYFUNCTION("""COMPUTED_VALUE"""),26)</f>
        <v>26</v>
      </c>
      <c r="D1024" s="8">
        <f ca="1">IFERROR(__xludf.DUMMYFUNCTION("""COMPUTED_VALUE"""),2022)</f>
        <v>2022</v>
      </c>
      <c r="E1024" s="9">
        <f ca="1">IFERROR(__xludf.DUMMYFUNCTION("""COMPUTED_VALUE"""),44707)</f>
        <v>44707</v>
      </c>
      <c r="F1024" s="8" t="str">
        <f ca="1">IFERROR(__xludf.DUMMYFUNCTION("""COMPUTED_VALUE"""),"Duff Elementary School")</f>
        <v>Duff Elementary School</v>
      </c>
      <c r="G1024" s="8">
        <f ca="1">IFERROR(__xludf.DUMMYFUNCTION("""COMPUTED_VALUE"""),0)</f>
        <v>0</v>
      </c>
      <c r="H1024" s="8">
        <f ca="1">IFERROR(__xludf.DUMMYFUNCTION("""COMPUTED_VALUE"""),0)</f>
        <v>0</v>
      </c>
      <c r="I1024" s="8">
        <f ca="1">IFERROR(__xludf.DUMMYFUNCTION("""COMPUTED_VALUE"""),0)</f>
        <v>0</v>
      </c>
      <c r="J1024" s="8">
        <f ca="1">IFERROR(__xludf.DUMMYFUNCTION("""COMPUTED_VALUE"""),0)</f>
        <v>0</v>
      </c>
      <c r="K1024" s="8" t="str">
        <f ca="1">IFERROR(__xludf.DUMMYFUNCTION("""COMPUTED_VALUE"""),"https://www.fox8live.com/2022/05/27/man-shoots-himself-after-taking-gun-texas-elementary-school-campus-police-say/ https://www.nbcdfw.com/news/local/man-charged-after-carrying-gun-onto-arlington-elementary-campus-accidentally-shooting-self/2978774/")</f>
        <v>https://www.fox8live.com/2022/05/27/man-shoots-himself-after-taking-gun-texas-elementary-school-campus-police-say/ https://www.nbcdfw.com/news/local/man-charged-after-carrying-gun-onto-arlington-elementary-campus-accidentally-shooting-self/2978774/</v>
      </c>
      <c r="L1024" s="8">
        <f ca="1">IFERROR(__xludf.DUMMYFUNCTION("""COMPUTED_VALUE"""),5)</f>
        <v>5</v>
      </c>
      <c r="M1024" s="8" t="str">
        <f ca="1">IFERROR(__xludf.DUMMYFUNCTION("""COMPUTED_VALUE"""),"Local")</f>
        <v>Local</v>
      </c>
      <c r="N1024" s="8">
        <f ca="1">IFERROR(__xludf.DUMMYFUNCTION("""COMPUTED_VALUE"""),4)</f>
        <v>4</v>
      </c>
      <c r="O1024" s="8" t="str">
        <f ca="1">IFERROR(__xludf.DUMMYFUNCTION("""COMPUTED_VALUE"""),"Spring")</f>
        <v>Spring</v>
      </c>
      <c r="P1024" s="8" t="str">
        <f ca="1">IFERROR(__xludf.DUMMYFUNCTION("""COMPUTED_VALUE"""),"Arlington")</f>
        <v>Arlington</v>
      </c>
      <c r="Q1024" s="8" t="str">
        <f ca="1">IFERROR(__xludf.DUMMYFUNCTION("""COMPUTED_VALUE"""),"TX")</f>
        <v>TX</v>
      </c>
      <c r="R1024" s="8" t="str">
        <f ca="1">IFERROR(__xludf.DUMMYFUNCTION("""COMPUTED_VALUE"""),"Elementary")</f>
        <v>Elementary</v>
      </c>
      <c r="S1024" s="8" t="str">
        <f ca="1">IFERROR(__xludf.DUMMYFUNCTION("""COMPUTED_VALUE"""),"Front of School")</f>
        <v>Front of School</v>
      </c>
      <c r="T1024" s="8" t="str">
        <f ca="1">IFERROR(__xludf.DUMMYFUNCTION("""COMPUTED_VALUE"""),"Outside on School Property")</f>
        <v>Outside on School Property</v>
      </c>
      <c r="U1024" s="8" t="str">
        <f ca="1">IFERROR(__xludf.DUMMYFUNCTION("""COMPUTED_VALUE"""),"Yes")</f>
        <v>Yes</v>
      </c>
      <c r="V1024" s="8" t="str">
        <f ca="1">IFERROR(__xludf.DUMMYFUNCTION("""COMPUTED_VALUE"""),"Morning Classes")</f>
        <v>Morning Classes</v>
      </c>
      <c r="W1024" s="11">
        <f ca="1">IFERROR(__xludf.DUMMYFUNCTION("""COMPUTED_VALUE"""),0.489583333333333)</f>
        <v>0.48958333333333298</v>
      </c>
      <c r="X1024" s="8">
        <f ca="1">IFERROR(__xludf.DUMMYFUNCTION("""COMPUTED_VALUE"""),1)</f>
        <v>1</v>
      </c>
      <c r="Y1024" s="12" t="str">
        <f ca="1">IFERROR(__xludf.DUMMYFUNCTION("""COMPUTED_VALUE"""),"Man shot himself in the leg while walking toward the school office")</f>
        <v>Man shot himself in the leg while walking toward the school office</v>
      </c>
      <c r="Z1024" s="12" t="str">
        <f ca="1">IFERROR(__xludf.DUMMYFUNCTION("""COMPUTED_VALUE"""),"A 55-year-old man was walking into the school to pick up a child. He adjusted a handgun that he was carrying in his waistband and shot himself in the leg. School went on lockdown. He was transported to the hospital and charged with carrying a gun in a pro"&amp;"hibited place.")</f>
        <v>A 55-year-old man was walking into the school to pick up a child. He adjusted a handgun that he was carrying in his waistband and shot himself in the leg. School went on lockdown. He was transported to the hospital and charged with carrying a gun in a prohibited place.</v>
      </c>
      <c r="AA1024" s="8" t="str">
        <f ca="1">IFERROR(__xludf.DUMMYFUNCTION("""COMPUTED_VALUE"""),"Accidental")</f>
        <v>Accidental</v>
      </c>
      <c r="AB1024" s="8"/>
      <c r="AC1024" s="8" t="str">
        <f ca="1">IFERROR(__xludf.DUMMYFUNCTION("""COMPUTED_VALUE"""),"Yes")</f>
        <v>Yes</v>
      </c>
      <c r="AD1024" s="8" t="str">
        <f ca="1">IFERROR(__xludf.DUMMYFUNCTION("""COMPUTED_VALUE"""),"Neither")</f>
        <v>Neither</v>
      </c>
      <c r="AE1024" s="8" t="str">
        <f ca="1">IFERROR(__xludf.DUMMYFUNCTION("""COMPUTED_VALUE"""),"No")</f>
        <v>No</v>
      </c>
      <c r="AF1024" s="8"/>
      <c r="AG1024" s="8" t="str">
        <f ca="1">IFERROR(__xludf.DUMMYFUNCTION("""COMPUTED_VALUE"""),"No")</f>
        <v>No</v>
      </c>
      <c r="AH1024" s="8" t="str">
        <f ca="1">IFERROR(__xludf.DUMMYFUNCTION("""COMPUTED_VALUE"""),"No")</f>
        <v>No</v>
      </c>
      <c r="AI1024" s="8" t="str">
        <f ca="1">IFERROR(__xludf.DUMMYFUNCTION("""COMPUTED_VALUE"""),"No")</f>
        <v>No</v>
      </c>
      <c r="AJ1024" s="8" t="str">
        <f ca="1">IFERROR(__xludf.DUMMYFUNCTION("""COMPUTED_VALUE"""),"No")</f>
        <v>No</v>
      </c>
      <c r="AK1024" s="8" t="str">
        <f ca="1">IFERROR(__xludf.DUMMYFUNCTION("""COMPUTED_VALUE"""),"No")</f>
        <v>No</v>
      </c>
      <c r="AL1024" s="8" t="str">
        <f ca="1">IFERROR(__xludf.DUMMYFUNCTION("""COMPUTED_VALUE"""),"No")</f>
        <v>No</v>
      </c>
      <c r="AM1024" s="8" t="str">
        <f ca="1">IFERROR(__xludf.DUMMYFUNCTION("""COMPUTED_VALUE"""),"No")</f>
        <v>No</v>
      </c>
      <c r="AN1024" s="8"/>
      <c r="AO1024" s="8" t="str">
        <f ca="1">IFERROR(__xludf.DUMMYFUNCTION("""COMPUTED_VALUE"""),"No")</f>
        <v>No</v>
      </c>
      <c r="AP1024" s="8"/>
      <c r="AQ1024" s="8"/>
      <c r="AR1024" s="8" t="str">
        <f ca="1">IFERROR(__xludf.DUMMYFUNCTION("""COMPUTED_VALUE"""),"Outside/Off-Property")</f>
        <v>Outside/Off-Property</v>
      </c>
      <c r="AS1024" s="8">
        <f ca="1">IFERROR(__xludf.DUMMYFUNCTION("""COMPUTED_VALUE"""),1)</f>
        <v>1</v>
      </c>
      <c r="AT1024" s="8" t="str">
        <f ca="1">IFERROR(__xludf.DUMMYFUNCTION("""COMPUTED_VALUE"""),"Yes")</f>
        <v>Yes</v>
      </c>
      <c r="AU1024" s="8">
        <f ca="1">IFERROR(__xludf.DUMMYFUNCTION("""COMPUTED_VALUE"""),32.723309)</f>
        <v>32.723309</v>
      </c>
      <c r="AV1024" s="8">
        <f ca="1">IFERROR(__xludf.DUMMYFUNCTION("""COMPUTED_VALUE"""),-97.157693)</f>
        <v>-97.157692999999995</v>
      </c>
      <c r="AW1024" s="8"/>
      <c r="AX1024" s="8">
        <f ca="1">IFERROR(__xludf.DUMMYFUNCTION("""COMPUTED_VALUE"""),76013)</f>
        <v>76013</v>
      </c>
    </row>
    <row r="1025" spans="1:50" ht="60" x14ac:dyDescent="0.2">
      <c r="A1025" s="8" t="str">
        <f ca="1">IFERROR(__xludf.DUMMYFUNCTION("""COMPUTED_VALUE"""),"20220526SCMEG")</f>
        <v>20220526SCMEG</v>
      </c>
      <c r="B1025" s="8">
        <f ca="1">IFERROR(__xludf.DUMMYFUNCTION("""COMPUTED_VALUE"""),5)</f>
        <v>5</v>
      </c>
      <c r="C1025" s="8">
        <f ca="1">IFERROR(__xludf.DUMMYFUNCTION("""COMPUTED_VALUE"""),26)</f>
        <v>26</v>
      </c>
      <c r="D1025" s="8">
        <f ca="1">IFERROR(__xludf.DUMMYFUNCTION("""COMPUTED_VALUE"""),2022)</f>
        <v>2022</v>
      </c>
      <c r="E1025" s="9">
        <f ca="1">IFERROR(__xludf.DUMMYFUNCTION("""COMPUTED_VALUE"""),44707)</f>
        <v>44707</v>
      </c>
      <c r="F1025" s="8" t="str">
        <f ca="1">IFERROR(__xludf.DUMMYFUNCTION("""COMPUTED_VALUE"""),"Mevers School of Excellence")</f>
        <v>Mevers School of Excellence</v>
      </c>
      <c r="G1025" s="8">
        <f ca="1">IFERROR(__xludf.DUMMYFUNCTION("""COMPUTED_VALUE"""),1)</f>
        <v>1</v>
      </c>
      <c r="H1025" s="8">
        <f ca="1">IFERROR(__xludf.DUMMYFUNCTION("""COMPUTED_VALUE"""),0)</f>
        <v>0</v>
      </c>
      <c r="I1025" s="8">
        <f ca="1">IFERROR(__xludf.DUMMYFUNCTION("""COMPUTED_VALUE"""),1)</f>
        <v>1</v>
      </c>
      <c r="J1025" s="8">
        <f ca="1">IFERROR(__xludf.DUMMYFUNCTION("""COMPUTED_VALUE"""),0)</f>
        <v>0</v>
      </c>
      <c r="K1025" s="10" t="str">
        <f ca="1">IFERROR(__xludf.DUMMYFUNCTION("""COMPUTED_VALUE"""),"https://www.postandcourier.com/news/berkeley-county-detention-officers-slaying-in-school-parking-lot-remains-a-mystery/article_14da3fac-0932-11ed-a50f-bb8eb3384a30.html
https://abcnews4.com/news/local/coroner-releases-identity-goose-creek-school-parking-l"&amp;"ot-mevers-excellence-berkeley-county-south-carolina-wciv https://www.postandcourier.com/news/man-found-shot-to-death-in-parking-lot-of-goose-creek-school/article_07986cf0-dc3d-11ec-8871-b385da42bc43.html https://www.wistv.com/2022/05/25/goose-creek-public"&amp;"-charter-school-announces-emergency-e-learning-day-after-body-discovered/")</f>
        <v>https://www.postandcourier.com/news/berkeley-county-detention-officers-slaying-in-school-parking-lot-remains-a-mystery/article_14da3fac-0932-11ed-a50f-bb8eb3384a30.html
https://abcnews4.com/news/local/coroner-releases-identity-goose-creek-school-parking-lot-mevers-excellence-berkeley-county-south-carolina-wciv https://www.postandcourier.com/news/man-found-shot-to-death-in-parking-lot-of-goose-creek-school/article_07986cf0-dc3d-11ec-8871-b385da42bc43.html https://www.wistv.com/2022/05/25/goose-creek-public-charter-school-announces-emergency-e-learning-day-after-body-discovered/</v>
      </c>
      <c r="L1025" s="8">
        <f ca="1">IFERROR(__xludf.DUMMYFUNCTION("""COMPUTED_VALUE"""),5)</f>
        <v>5</v>
      </c>
      <c r="M1025" s="8" t="str">
        <f ca="1">IFERROR(__xludf.DUMMYFUNCTION("""COMPUTED_VALUE"""),"Local")</f>
        <v>Local</v>
      </c>
      <c r="N1025" s="8">
        <f ca="1">IFERROR(__xludf.DUMMYFUNCTION("""COMPUTED_VALUE"""),4)</f>
        <v>4</v>
      </c>
      <c r="O1025" s="8" t="str">
        <f ca="1">IFERROR(__xludf.DUMMYFUNCTION("""COMPUTED_VALUE"""),"Spring")</f>
        <v>Spring</v>
      </c>
      <c r="P1025" s="8" t="str">
        <f ca="1">IFERROR(__xludf.DUMMYFUNCTION("""COMPUTED_VALUE"""),"Goose Creek")</f>
        <v>Goose Creek</v>
      </c>
      <c r="Q1025" s="8" t="str">
        <f ca="1">IFERROR(__xludf.DUMMYFUNCTION("""COMPUTED_VALUE"""),"SC")</f>
        <v>SC</v>
      </c>
      <c r="R1025" s="8" t="str">
        <f ca="1">IFERROR(__xludf.DUMMYFUNCTION("""COMPUTED_VALUE"""),"K-8")</f>
        <v>K-8</v>
      </c>
      <c r="S1025" s="8" t="str">
        <f ca="1">IFERROR(__xludf.DUMMYFUNCTION("""COMPUTED_VALUE"""),"Parking Lot")</f>
        <v>Parking Lot</v>
      </c>
      <c r="T1025" s="8" t="str">
        <f ca="1">IFERROR(__xludf.DUMMYFUNCTION("""COMPUTED_VALUE"""),"Outside on School Property")</f>
        <v>Outside on School Property</v>
      </c>
      <c r="U1025" s="8" t="str">
        <f ca="1">IFERROR(__xludf.DUMMYFUNCTION("""COMPUTED_VALUE"""),"No")</f>
        <v>No</v>
      </c>
      <c r="V1025" s="8" t="str">
        <f ca="1">IFERROR(__xludf.DUMMYFUNCTION("""COMPUTED_VALUE"""),"Night")</f>
        <v>Night</v>
      </c>
      <c r="W1025" s="11">
        <f ca="1">IFERROR(__xludf.DUMMYFUNCTION("""COMPUTED_VALUE"""),0.00347222222222222)</f>
        <v>3.4722222222222199E-3</v>
      </c>
      <c r="X1025" s="8">
        <f ca="1">IFERROR(__xludf.DUMMYFUNCTION("""COMPUTED_VALUE"""),1)</f>
        <v>1</v>
      </c>
      <c r="Y1025" s="12" t="str">
        <f ca="1">IFERROR(__xludf.DUMMYFUNCTION("""COMPUTED_VALUE"""),"Man fatally shot in parking lot, found by staff member")</f>
        <v>Man fatally shot in parking lot, found by staff member</v>
      </c>
      <c r="Z1025" s="12" t="str">
        <f ca="1">IFERROR(__xludf.DUMMYFUNCTION("""COMPUTED_VALUE"""),"31-year-old male (off duty sheriff's deputy) was found fatally shot in the parking lot by a staff member at 6am. School was moved to remote learning. Multiple shots fired. Ruled homicide.")</f>
        <v>31-year-old male (off duty sheriff's deputy) was found fatally shot in the parking lot by a staff member at 6am. School was moved to remote learning. Multiple shots fired. Ruled homicide.</v>
      </c>
      <c r="AA1025" s="8"/>
      <c r="AB1025" s="8"/>
      <c r="AC1025" s="8" t="str">
        <f ca="1">IFERROR(__xludf.DUMMYFUNCTION("""COMPUTED_VALUE"""),"No")</f>
        <v>No</v>
      </c>
      <c r="AD1025" s="8" t="str">
        <f ca="1">IFERROR(__xludf.DUMMYFUNCTION("""COMPUTED_VALUE"""),"Victims Targeted")</f>
        <v>Victims Targeted</v>
      </c>
      <c r="AE1025" s="8"/>
      <c r="AF1025" s="8"/>
      <c r="AG1025" s="8" t="str">
        <f ca="1">IFERROR(__xludf.DUMMYFUNCTION("""COMPUTED_VALUE"""),"No")</f>
        <v>No</v>
      </c>
      <c r="AH1025" s="8" t="str">
        <f ca="1">IFERROR(__xludf.DUMMYFUNCTION("""COMPUTED_VALUE"""),"No")</f>
        <v>No</v>
      </c>
      <c r="AI1025" s="8" t="str">
        <f ca="1">IFERROR(__xludf.DUMMYFUNCTION("""COMPUTED_VALUE"""),"No")</f>
        <v>No</v>
      </c>
      <c r="AJ1025" s="8" t="str">
        <f ca="1">IFERROR(__xludf.DUMMYFUNCTION("""COMPUTED_VALUE"""),"No")</f>
        <v>No</v>
      </c>
      <c r="AK1025" s="8"/>
      <c r="AL1025" s="8"/>
      <c r="AM1025" s="8" t="str">
        <f ca="1">IFERROR(__xludf.DUMMYFUNCTION("""COMPUTED_VALUE"""),"No")</f>
        <v>No</v>
      </c>
      <c r="AN1025" s="8"/>
      <c r="AO1025" s="8" t="str">
        <f ca="1">IFERROR(__xludf.DUMMYFUNCTION("""COMPUTED_VALUE"""),"No")</f>
        <v>No</v>
      </c>
      <c r="AP1025" s="8"/>
      <c r="AQ1025" s="8"/>
      <c r="AR1025" s="8"/>
      <c r="AS1025" s="8">
        <f ca="1">IFERROR(__xludf.DUMMYFUNCTION("""COMPUTED_VALUE"""),99)</f>
        <v>99</v>
      </c>
      <c r="AT1025" s="8"/>
      <c r="AU1025" s="8">
        <f ca="1">IFERROR(__xludf.DUMMYFUNCTION("""COMPUTED_VALUE"""),33.014105)</f>
        <v>33.014105000000001</v>
      </c>
      <c r="AV1025" s="8">
        <f ca="1">IFERROR(__xludf.DUMMYFUNCTION("""COMPUTED_VALUE"""),-80.000753)</f>
        <v>-80.000753000000003</v>
      </c>
      <c r="AW1025" s="8"/>
      <c r="AX1025" s="8">
        <f ca="1">IFERROR(__xludf.DUMMYFUNCTION("""COMPUTED_VALUE"""),29445)</f>
        <v>29445</v>
      </c>
    </row>
    <row r="1026" spans="1:50" ht="90" x14ac:dyDescent="0.2">
      <c r="A1026" s="8" t="str">
        <f ca="1">IFERROR(__xludf.DUMMYFUNCTION("""COMPUTED_VALUE"""),"20220525ILSTC")</f>
        <v>20220525ILSTC</v>
      </c>
      <c r="B1026" s="8">
        <f ca="1">IFERROR(__xludf.DUMMYFUNCTION("""COMPUTED_VALUE"""),5)</f>
        <v>5</v>
      </c>
      <c r="C1026" s="8">
        <f ca="1">IFERROR(__xludf.DUMMYFUNCTION("""COMPUTED_VALUE"""),25)</f>
        <v>25</v>
      </c>
      <c r="D1026" s="8">
        <f ca="1">IFERROR(__xludf.DUMMYFUNCTION("""COMPUTED_VALUE"""),2022)</f>
        <v>2022</v>
      </c>
      <c r="E1026" s="9">
        <f ca="1">IFERROR(__xludf.DUMMYFUNCTION("""COMPUTED_VALUE"""),44706)</f>
        <v>44706</v>
      </c>
      <c r="F1026" s="8" t="str">
        <f ca="1">IFERROR(__xludf.DUMMYFUNCTION("""COMPUTED_VALUE"""),"St. Margaret of Scotland School")</f>
        <v>St. Margaret of Scotland School</v>
      </c>
      <c r="G1026" s="8">
        <f ca="1">IFERROR(__xludf.DUMMYFUNCTION("""COMPUTED_VALUE"""),0)</f>
        <v>0</v>
      </c>
      <c r="H1026" s="8">
        <f ca="1">IFERROR(__xludf.DUMMYFUNCTION("""COMPUTED_VALUE"""),0)</f>
        <v>0</v>
      </c>
      <c r="I1026" s="8">
        <f ca="1">IFERROR(__xludf.DUMMYFUNCTION("""COMPUTED_VALUE"""),0)</f>
        <v>0</v>
      </c>
      <c r="J1026" s="8">
        <f ca="1">IFERROR(__xludf.DUMMYFUNCTION("""COMPUTED_VALUE"""),0)</f>
        <v>0</v>
      </c>
      <c r="K1026" s="10" t="str">
        <f ca="1">IFERROR(__xludf.DUMMYFUNCTION("""COMPUTED_VALUE"""),"https://www.chicagocatholic.com/chicagoland/-/article/2022/06/01/five-windows-at-st-margaret-of-scotland-school-shot-out")</f>
        <v>https://www.chicagocatholic.com/chicagoland/-/article/2022/06/01/five-windows-at-st-margaret-of-scotland-school-shot-out</v>
      </c>
      <c r="L1026" s="8">
        <f ca="1">IFERROR(__xludf.DUMMYFUNCTION("""COMPUTED_VALUE"""),1)</f>
        <v>1</v>
      </c>
      <c r="M1026" s="8" t="str">
        <f ca="1">IFERROR(__xludf.DUMMYFUNCTION("""COMPUTED_VALUE"""),"Local")</f>
        <v>Local</v>
      </c>
      <c r="N1026" s="8">
        <f ca="1">IFERROR(__xludf.DUMMYFUNCTION("""COMPUTED_VALUE"""),4)</f>
        <v>4</v>
      </c>
      <c r="O1026" s="8" t="str">
        <f ca="1">IFERROR(__xludf.DUMMYFUNCTION("""COMPUTED_VALUE"""),"Spring")</f>
        <v>Spring</v>
      </c>
      <c r="P1026" s="8" t="str">
        <f ca="1">IFERROR(__xludf.DUMMYFUNCTION("""COMPUTED_VALUE"""),"Chicago")</f>
        <v>Chicago</v>
      </c>
      <c r="Q1026" s="8" t="str">
        <f ca="1">IFERROR(__xludf.DUMMYFUNCTION("""COMPUTED_VALUE"""),"IL")</f>
        <v>IL</v>
      </c>
      <c r="R1026" s="8" t="str">
        <f ca="1">IFERROR(__xludf.DUMMYFUNCTION("""COMPUTED_VALUE"""),"K-12")</f>
        <v>K-12</v>
      </c>
      <c r="S1026" s="8" t="str">
        <f ca="1">IFERROR(__xludf.DUMMYFUNCTION("""COMPUTED_VALUE"""),"Outside on School Property")</f>
        <v>Outside on School Property</v>
      </c>
      <c r="T1026" s="8" t="str">
        <f ca="1">IFERROR(__xludf.DUMMYFUNCTION("""COMPUTED_VALUE"""),"Outside on School Property")</f>
        <v>Outside on School Property</v>
      </c>
      <c r="U1026" s="8" t="str">
        <f ca="1">IFERROR(__xludf.DUMMYFUNCTION("""COMPUTED_VALUE"""),"No")</f>
        <v>No</v>
      </c>
      <c r="V1026" s="8" t="str">
        <f ca="1">IFERROR(__xludf.DUMMYFUNCTION("""COMPUTED_VALUE"""),"Night")</f>
        <v>Night</v>
      </c>
      <c r="W1026" s="8"/>
      <c r="X1026" s="8">
        <f ca="1">IFERROR(__xludf.DUMMYFUNCTION("""COMPUTED_VALUE"""),1)</f>
        <v>1</v>
      </c>
      <c r="Y1026" s="12" t="str">
        <f ca="1">IFERROR(__xludf.DUMMYFUNCTION("""COMPUTED_VALUE"""),"5 windows shot out")</f>
        <v>5 windows shot out</v>
      </c>
      <c r="Z1026" s="12" t="str">
        <f ca="1">IFERROR(__xludf.DUMMYFUNCTION("""COMPUTED_VALUE"""),"Five large windows that face an alley were shattered, with glass scattered in four classrooms and bullet holes marking several walls. The rooms are on multiple levels and usually house fourth graders, middle school students and some of the students in the"&amp;" after-school program. School was closed when the shooting occurred.")</f>
        <v>Five large windows that face an alley were shattered, with glass scattered in four classrooms and bullet holes marking several walls. The rooms are on multiple levels and usually house fourth graders, middle school students and some of the students in the after-school program. School was closed when the shooting occurred.</v>
      </c>
      <c r="AA1026" s="8" t="str">
        <f ca="1">IFERROR(__xludf.DUMMYFUNCTION("""COMPUTED_VALUE"""),"Intentional Property Damage")</f>
        <v>Intentional Property Damage</v>
      </c>
      <c r="AB1026" s="8"/>
      <c r="AC1026" s="8" t="str">
        <f ca="1">IFERROR(__xludf.DUMMYFUNCTION("""COMPUTED_VALUE"""),"No")</f>
        <v>No</v>
      </c>
      <c r="AD1026" s="8" t="str">
        <f ca="1">IFERROR(__xludf.DUMMYFUNCTION("""COMPUTED_VALUE"""),"Neither")</f>
        <v>Neither</v>
      </c>
      <c r="AE1026" s="8" t="str">
        <f ca="1">IFERROR(__xludf.DUMMYFUNCTION("""COMPUTED_VALUE"""),"No")</f>
        <v>No</v>
      </c>
      <c r="AF1026" s="8"/>
      <c r="AG1026" s="8" t="str">
        <f ca="1">IFERROR(__xludf.DUMMYFUNCTION("""COMPUTED_VALUE"""),"No")</f>
        <v>No</v>
      </c>
      <c r="AH1026" s="8" t="str">
        <f ca="1">IFERROR(__xludf.DUMMYFUNCTION("""COMPUTED_VALUE"""),"No")</f>
        <v>No</v>
      </c>
      <c r="AI1026" s="8" t="str">
        <f ca="1">IFERROR(__xludf.DUMMYFUNCTION("""COMPUTED_VALUE"""),"No")</f>
        <v>No</v>
      </c>
      <c r="AJ1026" s="8" t="str">
        <f ca="1">IFERROR(__xludf.DUMMYFUNCTION("""COMPUTED_VALUE"""),"No")</f>
        <v>No</v>
      </c>
      <c r="AK1026" s="8" t="str">
        <f ca="1">IFERROR(__xludf.DUMMYFUNCTION("""COMPUTED_VALUE"""),"No")</f>
        <v>No</v>
      </c>
      <c r="AL1026" s="8" t="str">
        <f ca="1">IFERROR(__xludf.DUMMYFUNCTION("""COMPUTED_VALUE"""),"No")</f>
        <v>No</v>
      </c>
      <c r="AM1026" s="8" t="str">
        <f ca="1">IFERROR(__xludf.DUMMYFUNCTION("""COMPUTED_VALUE"""),"No")</f>
        <v>No</v>
      </c>
      <c r="AN1026" s="8"/>
      <c r="AO1026" s="8" t="str">
        <f ca="1">IFERROR(__xludf.DUMMYFUNCTION("""COMPUTED_VALUE"""),"No")</f>
        <v>No</v>
      </c>
      <c r="AP1026" s="8"/>
      <c r="AQ1026" s="8"/>
      <c r="AR1026" s="8" t="str">
        <f ca="1">IFERROR(__xludf.DUMMYFUNCTION("""COMPUTED_VALUE"""),"Outside/Off-Property")</f>
        <v>Outside/Off-Property</v>
      </c>
      <c r="AS1026" s="8">
        <f ca="1">IFERROR(__xludf.DUMMYFUNCTION("""COMPUTED_VALUE"""),5)</f>
        <v>5</v>
      </c>
      <c r="AT1026" s="8"/>
      <c r="AU1026" s="8">
        <f ca="1">IFERROR(__xludf.DUMMYFUNCTION("""COMPUTED_VALUE"""),41.714991)</f>
        <v>41.714990999999998</v>
      </c>
      <c r="AV1026" s="8">
        <f ca="1">IFERROR(__xludf.DUMMYFUNCTION("""COMPUTED_VALUE"""),-87.655119)</f>
        <v>-87.655118999999999</v>
      </c>
      <c r="AW1026" s="8"/>
      <c r="AX1026" s="8">
        <f ca="1">IFERROR(__xludf.DUMMYFUNCTION("""COMPUTED_VALUE"""),60643)</f>
        <v>60643</v>
      </c>
    </row>
    <row r="1027" spans="1:50" ht="75" x14ac:dyDescent="0.2">
      <c r="A1027" s="8" t="str">
        <f ca="1">IFERROR(__xludf.DUMMYFUNCTION("""COMPUTED_VALUE"""),"20220524WIRIM")</f>
        <v>20220524WIRIM</v>
      </c>
      <c r="B1027" s="8">
        <f ca="1">IFERROR(__xludf.DUMMYFUNCTION("""COMPUTED_VALUE"""),5)</f>
        <v>5</v>
      </c>
      <c r="C1027" s="8">
        <f ca="1">IFERROR(__xludf.DUMMYFUNCTION("""COMPUTED_VALUE"""),24)</f>
        <v>24</v>
      </c>
      <c r="D1027" s="8">
        <f ca="1">IFERROR(__xludf.DUMMYFUNCTION("""COMPUTED_VALUE"""),2022)</f>
        <v>2022</v>
      </c>
      <c r="E1027" s="9">
        <f ca="1">IFERROR(__xludf.DUMMYFUNCTION("""COMPUTED_VALUE"""),44705)</f>
        <v>44705</v>
      </c>
      <c r="F1027" s="8" t="str">
        <f ca="1">IFERROR(__xludf.DUMMYFUNCTION("""COMPUTED_VALUE"""),"Riverside University High School")</f>
        <v>Riverside University High School</v>
      </c>
      <c r="G1027" s="8">
        <f ca="1">IFERROR(__xludf.DUMMYFUNCTION("""COMPUTED_VALUE"""),0)</f>
        <v>0</v>
      </c>
      <c r="H1027" s="8">
        <f ca="1">IFERROR(__xludf.DUMMYFUNCTION("""COMPUTED_VALUE"""),0)</f>
        <v>0</v>
      </c>
      <c r="I1027" s="8">
        <f ca="1">IFERROR(__xludf.DUMMYFUNCTION("""COMPUTED_VALUE"""),0)</f>
        <v>0</v>
      </c>
      <c r="J1027" s="8">
        <f ca="1">IFERROR(__xludf.DUMMYFUNCTION("""COMPUTED_VALUE"""),0)</f>
        <v>0</v>
      </c>
      <c r="K1027" s="10" t="str">
        <f ca="1">IFERROR(__xludf.DUMMYFUNCTION("""COMPUTED_VALUE"""),"https://www.tmj4.com/news/local-news/mpd-police-respond-to-riverside-high-school-twice-for-reports-of-shots-fired-fight")</f>
        <v>https://www.tmj4.com/news/local-news/mpd-police-respond-to-riverside-high-school-twice-for-reports-of-shots-fired-fight</v>
      </c>
      <c r="L1027" s="8">
        <f ca="1">IFERROR(__xludf.DUMMYFUNCTION("""COMPUTED_VALUE"""),1)</f>
        <v>1</v>
      </c>
      <c r="M1027" s="8" t="str">
        <f ca="1">IFERROR(__xludf.DUMMYFUNCTION("""COMPUTED_VALUE"""),"Local")</f>
        <v>Local</v>
      </c>
      <c r="N1027" s="8">
        <f ca="1">IFERROR(__xludf.DUMMYFUNCTION("""COMPUTED_VALUE"""),3)</f>
        <v>3</v>
      </c>
      <c r="O1027" s="8" t="str">
        <f ca="1">IFERROR(__xludf.DUMMYFUNCTION("""COMPUTED_VALUE"""),"Spring")</f>
        <v>Spring</v>
      </c>
      <c r="P1027" s="8" t="str">
        <f ca="1">IFERROR(__xludf.DUMMYFUNCTION("""COMPUTED_VALUE"""),"Milwaukee")</f>
        <v>Milwaukee</v>
      </c>
      <c r="Q1027" s="8" t="str">
        <f ca="1">IFERROR(__xludf.DUMMYFUNCTION("""COMPUTED_VALUE"""),"WI")</f>
        <v>WI</v>
      </c>
      <c r="R1027" s="8" t="str">
        <f ca="1">IFERROR(__xludf.DUMMYFUNCTION("""COMPUTED_VALUE"""),"High")</f>
        <v>High</v>
      </c>
      <c r="S1027" s="8" t="str">
        <f ca="1">IFERROR(__xludf.DUMMYFUNCTION("""COMPUTED_VALUE"""),"Inside School Building")</f>
        <v>Inside School Building</v>
      </c>
      <c r="T1027" s="8" t="str">
        <f ca="1">IFERROR(__xludf.DUMMYFUNCTION("""COMPUTED_VALUE"""),"Inside School Building")</f>
        <v>Inside School Building</v>
      </c>
      <c r="U1027" s="8" t="str">
        <f ca="1">IFERROR(__xludf.DUMMYFUNCTION("""COMPUTED_VALUE"""),"Yes")</f>
        <v>Yes</v>
      </c>
      <c r="V1027" s="8" t="str">
        <f ca="1">IFERROR(__xludf.DUMMYFUNCTION("""COMPUTED_VALUE"""),"Lunch")</f>
        <v>Lunch</v>
      </c>
      <c r="W1027" s="11">
        <f ca="1">IFERROR(__xludf.DUMMYFUNCTION("""COMPUTED_VALUE"""),0.520833333333333)</f>
        <v>0.52083333333333304</v>
      </c>
      <c r="X1027" s="8">
        <f ca="1">IFERROR(__xludf.DUMMYFUNCTION("""COMPUTED_VALUE"""),1)</f>
        <v>1</v>
      </c>
      <c r="Y1027" s="12" t="str">
        <f ca="1">IFERROR(__xludf.DUMMYFUNCTION("""COMPUTED_VALUE"""),"Shot fired during fight inside the school, shooter fled")</f>
        <v>Shot fired during fight inside the school, shooter fled</v>
      </c>
      <c r="Z1027" s="12" t="str">
        <f ca="1">IFERROR(__xludf.DUMMYFUNCTION("""COMPUTED_VALUE"""),"Police responded for shots fired during a fight at 11:00am. Shooter fled and they did not recover evidence of a shooting. At 12:30, shot was fired inside the school during a fight. Shooter fled before police arrived but they could confirm a weapon was fir"&amp;"ed.")</f>
        <v>Police responded for shots fired during a fight at 11:00am. Shooter fled and they did not recover evidence of a shooting. At 12:30, shot was fired inside the school during a fight. Shooter fled before police arrived but they could confirm a weapon was fired.</v>
      </c>
      <c r="AA1027" s="8" t="str">
        <f ca="1">IFERROR(__xludf.DUMMYFUNCTION("""COMPUTED_VALUE"""),"Escalation of Dispute")</f>
        <v>Escalation of Dispute</v>
      </c>
      <c r="AB1027" s="8"/>
      <c r="AC1027" s="8" t="str">
        <f ca="1">IFERROR(__xludf.DUMMYFUNCTION("""COMPUTED_VALUE"""),"Yes")</f>
        <v>Yes</v>
      </c>
      <c r="AD1027" s="8"/>
      <c r="AE1027" s="8" t="str">
        <f ca="1">IFERROR(__xludf.DUMMYFUNCTION("""COMPUTED_VALUE"""),"No")</f>
        <v>No</v>
      </c>
      <c r="AF1027" s="8"/>
      <c r="AG1027" s="8" t="str">
        <f ca="1">IFERROR(__xludf.DUMMYFUNCTION("""COMPUTED_VALUE"""),"No")</f>
        <v>No</v>
      </c>
      <c r="AH1027" s="8" t="str">
        <f ca="1">IFERROR(__xludf.DUMMYFUNCTION("""COMPUTED_VALUE"""),"No")</f>
        <v>No</v>
      </c>
      <c r="AI1027" s="8" t="str">
        <f ca="1">IFERROR(__xludf.DUMMYFUNCTION("""COMPUTED_VALUE"""),"No")</f>
        <v>No</v>
      </c>
      <c r="AJ1027" s="8"/>
      <c r="AK1027" s="8" t="str">
        <f ca="1">IFERROR(__xludf.DUMMYFUNCTION("""COMPUTED_VALUE"""),"No")</f>
        <v>No</v>
      </c>
      <c r="AL1027" s="8"/>
      <c r="AM1027" s="8" t="str">
        <f ca="1">IFERROR(__xludf.DUMMYFUNCTION("""COMPUTED_VALUE"""),"No")</f>
        <v>No</v>
      </c>
      <c r="AN1027" s="8"/>
      <c r="AO1027" s="8" t="str">
        <f ca="1">IFERROR(__xludf.DUMMYFUNCTION("""COMPUTED_VALUE"""),"No")</f>
        <v>No</v>
      </c>
      <c r="AP1027" s="8"/>
      <c r="AQ1027" s="8"/>
      <c r="AR1027" s="8" t="str">
        <f ca="1">IFERROR(__xludf.DUMMYFUNCTION("""COMPUTED_VALUE"""),"Failed")</f>
        <v>Failed</v>
      </c>
      <c r="AS1027" s="8">
        <f ca="1">IFERROR(__xludf.DUMMYFUNCTION("""COMPUTED_VALUE"""),1)</f>
        <v>1</v>
      </c>
      <c r="AT1027" s="8"/>
      <c r="AU1027" s="8">
        <f ca="1">IFERROR(__xludf.DUMMYFUNCTION("""COMPUTED_VALUE"""),43.070815)</f>
        <v>43.070815000000003</v>
      </c>
      <c r="AV1027" s="8">
        <f ca="1">IFERROR(__xludf.DUMMYFUNCTION("""COMPUTED_VALUE"""),-87.890494)</f>
        <v>-87.890494000000004</v>
      </c>
      <c r="AW1027" s="8"/>
      <c r="AX1027" s="8">
        <f ca="1">IFERROR(__xludf.DUMMYFUNCTION("""COMPUTED_VALUE"""),53211)</f>
        <v>53211</v>
      </c>
    </row>
    <row r="1028" spans="1:50" ht="30" x14ac:dyDescent="0.2">
      <c r="A1028" s="8" t="str">
        <f ca="1">IFERROR(__xludf.DUMMYFUNCTION("""COMPUTED_VALUE"""),"20220524TXROU")</f>
        <v>20220524TXROU</v>
      </c>
      <c r="B1028" s="8">
        <f ca="1">IFERROR(__xludf.DUMMYFUNCTION("""COMPUTED_VALUE"""),5)</f>
        <v>5</v>
      </c>
      <c r="C1028" s="8">
        <f ca="1">IFERROR(__xludf.DUMMYFUNCTION("""COMPUTED_VALUE"""),24)</f>
        <v>24</v>
      </c>
      <c r="D1028" s="8">
        <f ca="1">IFERROR(__xludf.DUMMYFUNCTION("""COMPUTED_VALUE"""),2022)</f>
        <v>2022</v>
      </c>
      <c r="E1028" s="9">
        <f ca="1">IFERROR(__xludf.DUMMYFUNCTION("""COMPUTED_VALUE"""),44705)</f>
        <v>44705</v>
      </c>
      <c r="F1028" s="8" t="str">
        <f ca="1">IFERROR(__xludf.DUMMYFUNCTION("""COMPUTED_VALUE"""),"Robb Elementary School")</f>
        <v>Robb Elementary School</v>
      </c>
      <c r="G1028" s="8">
        <f ca="1">IFERROR(__xludf.DUMMYFUNCTION("""COMPUTED_VALUE"""),21)</f>
        <v>21</v>
      </c>
      <c r="H1028" s="8">
        <f ca="1">IFERROR(__xludf.DUMMYFUNCTION("""COMPUTED_VALUE"""),18)</f>
        <v>18</v>
      </c>
      <c r="I1028" s="8">
        <f ca="1">IFERROR(__xludf.DUMMYFUNCTION("""COMPUTED_VALUE"""),39)</f>
        <v>39</v>
      </c>
      <c r="J1028" s="8">
        <f ca="1">IFERROR(__xludf.DUMMYFUNCTION("""COMPUTED_VALUE"""),1)</f>
        <v>1</v>
      </c>
      <c r="K1028" s="8" t="str">
        <f ca="1">IFERROR(__xludf.DUMMYFUNCTION("""COMPUTED_VALUE"""),"https://abcnews.go.com/US/timeline-shooting-texas-elementary-school-unfolded/story?id=84966910 https://www.abc.net.au/news/2022-05-30/timeline-texas-school-shooting-in-uvalde-unfolded/101109316 https://abcnews.go.com/US/texas-elementary-school-reports-act"&amp;"ive-shooter-campus/story?id=84940951")</f>
        <v>https://abcnews.go.com/US/timeline-shooting-texas-elementary-school-unfolded/story?id=84966910 https://www.abc.net.au/news/2022-05-30/timeline-texas-school-shooting-in-uvalde-unfolded/101109316 https://abcnews.go.com/US/texas-elementary-school-reports-active-shooter-campus/story?id=84940951</v>
      </c>
      <c r="L1028" s="8">
        <f ca="1">IFERROR(__xludf.DUMMYFUNCTION("""COMPUTED_VALUE"""),999)</f>
        <v>999</v>
      </c>
      <c r="M1028" s="8" t="str">
        <f ca="1">IFERROR(__xludf.DUMMYFUNCTION("""COMPUTED_VALUE"""),"International")</f>
        <v>International</v>
      </c>
      <c r="N1028" s="8">
        <f ca="1">IFERROR(__xludf.DUMMYFUNCTION("""COMPUTED_VALUE"""),4)</f>
        <v>4</v>
      </c>
      <c r="O1028" s="8" t="str">
        <f ca="1">IFERROR(__xludf.DUMMYFUNCTION("""COMPUTED_VALUE"""),"Spring")</f>
        <v>Spring</v>
      </c>
      <c r="P1028" s="8" t="str">
        <f ca="1">IFERROR(__xludf.DUMMYFUNCTION("""COMPUTED_VALUE"""),"Uvalde")</f>
        <v>Uvalde</v>
      </c>
      <c r="Q1028" s="8" t="str">
        <f ca="1">IFERROR(__xludf.DUMMYFUNCTION("""COMPUTED_VALUE"""),"TX")</f>
        <v>TX</v>
      </c>
      <c r="R1028" s="8" t="str">
        <f ca="1">IFERROR(__xludf.DUMMYFUNCTION("""COMPUTED_VALUE"""),"Elementary")</f>
        <v>Elementary</v>
      </c>
      <c r="S1028" s="8" t="str">
        <f ca="1">IFERROR(__xludf.DUMMYFUNCTION("""COMPUTED_VALUE"""),"Inside School Building")</f>
        <v>Inside School Building</v>
      </c>
      <c r="T1028" s="8" t="str">
        <f ca="1">IFERROR(__xludf.DUMMYFUNCTION("""COMPUTED_VALUE"""),"Inside School Building")</f>
        <v>Inside School Building</v>
      </c>
      <c r="U1028" s="8" t="str">
        <f ca="1">IFERROR(__xludf.DUMMYFUNCTION("""COMPUTED_VALUE"""),"Yes")</f>
        <v>Yes</v>
      </c>
      <c r="V1028" s="8" t="str">
        <f ca="1">IFERROR(__xludf.DUMMYFUNCTION("""COMPUTED_VALUE"""),"Morning Classes")</f>
        <v>Morning Classes</v>
      </c>
      <c r="W1028" s="11">
        <f ca="1">IFERROR(__xludf.DUMMYFUNCTION("""COMPUTED_VALUE"""),0.479166666666666)</f>
        <v>0.47916666666666602</v>
      </c>
      <c r="X1028" s="8">
        <f ca="1">IFERROR(__xludf.DUMMYFUNCTION("""COMPUTED_VALUE"""),90)</f>
        <v>90</v>
      </c>
      <c r="Y1028" s="12" t="str">
        <f ca="1">IFERROR(__xludf.DUMMYFUNCTION("""COMPUTED_VALUE"""),"Indiscriminate attack at school")</f>
        <v>Indiscriminate attack at school</v>
      </c>
      <c r="Z1028" s="12" t="str">
        <f ca="1">IFERROR(__xludf.DUMMYFUNCTION("""COMPUTED_VALUE"""),"Pending")</f>
        <v>Pending</v>
      </c>
      <c r="AA1028" s="8" t="str">
        <f ca="1">IFERROR(__xludf.DUMMYFUNCTION("""COMPUTED_VALUE"""),"Indiscriminate Shooting")</f>
        <v>Indiscriminate Shooting</v>
      </c>
      <c r="AB1028" s="8"/>
      <c r="AC1028" s="8" t="str">
        <f ca="1">IFERROR(__xludf.DUMMYFUNCTION("""COMPUTED_VALUE"""),"Yes")</f>
        <v>Yes</v>
      </c>
      <c r="AD1028" s="8" t="str">
        <f ca="1">IFERROR(__xludf.DUMMYFUNCTION("""COMPUTED_VALUE"""),"Random Shooting")</f>
        <v>Random Shooting</v>
      </c>
      <c r="AE1028" s="8" t="str">
        <f ca="1">IFERROR(__xludf.DUMMYFUNCTION("""COMPUTED_VALUE"""),"No")</f>
        <v>No</v>
      </c>
      <c r="AF1028" s="8"/>
      <c r="AG1028" s="8" t="str">
        <f ca="1">IFERROR(__xludf.DUMMYFUNCTION("""COMPUTED_VALUE"""),"No")</f>
        <v>No</v>
      </c>
      <c r="AH1028" s="8" t="str">
        <f ca="1">IFERROR(__xludf.DUMMYFUNCTION("""COMPUTED_VALUE"""),"Yes")</f>
        <v>Yes</v>
      </c>
      <c r="AI1028" s="8" t="str">
        <f ca="1">IFERROR(__xludf.DUMMYFUNCTION("""COMPUTED_VALUE"""),"No")</f>
        <v>No</v>
      </c>
      <c r="AJ1028" s="8"/>
      <c r="AK1028" s="8"/>
      <c r="AL1028" s="8" t="str">
        <f ca="1">IFERROR(__xludf.DUMMYFUNCTION("""COMPUTED_VALUE"""),"No")</f>
        <v>No</v>
      </c>
      <c r="AM1028" s="8" t="str">
        <f ca="1">IFERROR(__xludf.DUMMYFUNCTION("""COMPUTED_VALUE"""),"Yes")</f>
        <v>Yes</v>
      </c>
      <c r="AN1028" s="8" t="str">
        <f ca="1">IFERROR(__xludf.DUMMYFUNCTION("""COMPUTED_VALUE"""),"Multiple Rooms")</f>
        <v>Multiple Rooms</v>
      </c>
      <c r="AO1028" s="8" t="str">
        <f ca="1">IFERROR(__xludf.DUMMYFUNCTION("""COMPUTED_VALUE"""),"Yes")</f>
        <v>Yes</v>
      </c>
      <c r="AP1028" s="8" t="str">
        <f ca="1">IFERROR(__xludf.DUMMYFUNCTION("""COMPUTED_VALUE"""),"Yes")</f>
        <v>Yes</v>
      </c>
      <c r="AQ1028" s="8"/>
      <c r="AR1028" s="8" t="str">
        <f ca="1">IFERROR(__xludf.DUMMYFUNCTION("""COMPUTED_VALUE"""),"Failed")</f>
        <v>Failed</v>
      </c>
      <c r="AS1028" s="8">
        <f ca="1">IFERROR(__xludf.DUMMYFUNCTION("""COMPUTED_VALUE"""),250)</f>
        <v>250</v>
      </c>
      <c r="AT1028" s="8"/>
      <c r="AU1028" s="8">
        <f ca="1">IFERROR(__xludf.DUMMYFUNCTION("""COMPUTED_VALUE"""),29.199478)</f>
        <v>29.199477999999999</v>
      </c>
      <c r="AV1028" s="8">
        <f ca="1">IFERROR(__xludf.DUMMYFUNCTION("""COMPUTED_VALUE"""),-99.788359)</f>
        <v>-99.788359</v>
      </c>
      <c r="AW1028" s="8"/>
      <c r="AX1028" s="8">
        <f ca="1">IFERROR(__xludf.DUMMYFUNCTION("""COMPUTED_VALUE"""),78801)</f>
        <v>78801</v>
      </c>
    </row>
    <row r="1029" spans="1:50" ht="45" x14ac:dyDescent="0.2">
      <c r="A1029" s="8" t="str">
        <f ca="1">IFERROR(__xludf.DUMMYFUNCTION("""COMPUTED_VALUE"""),"20220524DCPOW")</f>
        <v>20220524DCPOW</v>
      </c>
      <c r="B1029" s="8">
        <f ca="1">IFERROR(__xludf.DUMMYFUNCTION("""COMPUTED_VALUE"""),5)</f>
        <v>5</v>
      </c>
      <c r="C1029" s="8">
        <f ca="1">IFERROR(__xludf.DUMMYFUNCTION("""COMPUTED_VALUE"""),24)</f>
        <v>24</v>
      </c>
      <c r="D1029" s="8">
        <f ca="1">IFERROR(__xludf.DUMMYFUNCTION("""COMPUTED_VALUE"""),2022)</f>
        <v>2022</v>
      </c>
      <c r="E1029" s="9">
        <f ca="1">IFERROR(__xludf.DUMMYFUNCTION("""COMPUTED_VALUE"""),44705)</f>
        <v>44705</v>
      </c>
      <c r="F1029" s="8" t="str">
        <f ca="1">IFERROR(__xludf.DUMMYFUNCTION("""COMPUTED_VALUE"""),"Powell Elementary School")</f>
        <v>Powell Elementary School</v>
      </c>
      <c r="G1029" s="8">
        <f ca="1">IFERROR(__xludf.DUMMYFUNCTION("""COMPUTED_VALUE"""),0)</f>
        <v>0</v>
      </c>
      <c r="H1029" s="8">
        <f ca="1">IFERROR(__xludf.DUMMYFUNCTION("""COMPUTED_VALUE"""),1)</f>
        <v>1</v>
      </c>
      <c r="I1029" s="8">
        <f ca="1">IFERROR(__xludf.DUMMYFUNCTION("""COMPUTED_VALUE"""),1)</f>
        <v>1</v>
      </c>
      <c r="J1029" s="8">
        <f ca="1">IFERROR(__xludf.DUMMYFUNCTION("""COMPUTED_VALUE"""),0)</f>
        <v>0</v>
      </c>
      <c r="K1029" s="8" t="str">
        <f ca="1">IFERROR(__xludf.DUMMYFUNCTION("""COMPUTED_VALUE"""),"https://www.washingtonpost.com/dc-md-va/2022/05/24/man-shot-roosevelt-high-dc/ https://www.nbcwashington.com/news/local/man-shot-near-dc-elementary-school/3060497/")</f>
        <v>https://www.washingtonpost.com/dc-md-va/2022/05/24/man-shot-roosevelt-high-dc/ https://www.nbcwashington.com/news/local/man-shot-near-dc-elementary-school/3060497/</v>
      </c>
      <c r="L1029" s="8">
        <f ca="1">IFERROR(__xludf.DUMMYFUNCTION("""COMPUTED_VALUE"""),2)</f>
        <v>2</v>
      </c>
      <c r="M1029" s="8" t="str">
        <f ca="1">IFERROR(__xludf.DUMMYFUNCTION("""COMPUTED_VALUE"""),"Local")</f>
        <v>Local</v>
      </c>
      <c r="N1029" s="8">
        <f ca="1">IFERROR(__xludf.DUMMYFUNCTION("""COMPUTED_VALUE"""),3)</f>
        <v>3</v>
      </c>
      <c r="O1029" s="8" t="str">
        <f ca="1">IFERROR(__xludf.DUMMYFUNCTION("""COMPUTED_VALUE"""),"Spring")</f>
        <v>Spring</v>
      </c>
      <c r="P1029" s="8" t="str">
        <f ca="1">IFERROR(__xludf.DUMMYFUNCTION("""COMPUTED_VALUE"""),"Washington")</f>
        <v>Washington</v>
      </c>
      <c r="Q1029" s="8" t="str">
        <f ca="1">IFERROR(__xludf.DUMMYFUNCTION("""COMPUTED_VALUE"""),"DC")</f>
        <v>DC</v>
      </c>
      <c r="R1029" s="8" t="str">
        <f ca="1">IFERROR(__xludf.DUMMYFUNCTION("""COMPUTED_VALUE"""),"Elementary")</f>
        <v>Elementary</v>
      </c>
      <c r="S1029" s="8" t="str">
        <f ca="1">IFERROR(__xludf.DUMMYFUNCTION("""COMPUTED_VALUE"""),"Front of School")</f>
        <v>Front of School</v>
      </c>
      <c r="T1029" s="8" t="str">
        <f ca="1">IFERROR(__xludf.DUMMYFUNCTION("""COMPUTED_VALUE"""),"Outside on School Property")</f>
        <v>Outside on School Property</v>
      </c>
      <c r="U1029" s="8" t="str">
        <f ca="1">IFERROR(__xludf.DUMMYFUNCTION("""COMPUTED_VALUE"""),"No")</f>
        <v>No</v>
      </c>
      <c r="V1029" s="8" t="str">
        <f ca="1">IFERROR(__xludf.DUMMYFUNCTION("""COMPUTED_VALUE"""),"After School")</f>
        <v>After School</v>
      </c>
      <c r="W1029" s="11">
        <f ca="1">IFERROR(__xludf.DUMMYFUNCTION("""COMPUTED_VALUE"""),0.677083333333333)</f>
        <v>0.67708333333333304</v>
      </c>
      <c r="X1029" s="8">
        <f ca="1">IFERROR(__xludf.DUMMYFUNCTION("""COMPUTED_VALUE"""),1)</f>
        <v>1</v>
      </c>
      <c r="Y1029" s="12" t="str">
        <f ca="1">IFERROR(__xludf.DUMMYFUNCTION("""COMPUTED_VALUE"""),"Teen shot in front of the school")</f>
        <v>Teen shot in front of the school</v>
      </c>
      <c r="Z1029" s="12" t="str">
        <f ca="1">IFERROR(__xludf.DUMMYFUNCTION("""COMPUTED_VALUE"""),"A 19-year-old male was shot in front of the school. Shooting occurring during a dispute between two groups. Shooter fled.")</f>
        <v>A 19-year-old male was shot in front of the school. Shooting occurring during a dispute between two groups. Shooter fled.</v>
      </c>
      <c r="AA1029" s="8" t="str">
        <f ca="1">IFERROR(__xludf.DUMMYFUNCTION("""COMPUTED_VALUE"""),"Escalation of Dispute")</f>
        <v>Escalation of Dispute</v>
      </c>
      <c r="AB1029" s="8"/>
      <c r="AC1029" s="8" t="str">
        <f ca="1">IFERROR(__xludf.DUMMYFUNCTION("""COMPUTED_VALUE"""),"Yes")</f>
        <v>Yes</v>
      </c>
      <c r="AD1029" s="8" t="str">
        <f ca="1">IFERROR(__xludf.DUMMYFUNCTION("""COMPUTED_VALUE"""),"Victims Targeted")</f>
        <v>Victims Targeted</v>
      </c>
      <c r="AE1029" s="8" t="str">
        <f ca="1">IFERROR(__xludf.DUMMYFUNCTION("""COMPUTED_VALUE"""),"No")</f>
        <v>No</v>
      </c>
      <c r="AF1029" s="8"/>
      <c r="AG1029" s="8" t="str">
        <f ca="1">IFERROR(__xludf.DUMMYFUNCTION("""COMPUTED_VALUE"""),"No")</f>
        <v>No</v>
      </c>
      <c r="AH1029" s="8" t="str">
        <f ca="1">IFERROR(__xludf.DUMMYFUNCTION("""COMPUTED_VALUE"""),"No")</f>
        <v>No</v>
      </c>
      <c r="AI1029" s="8" t="str">
        <f ca="1">IFERROR(__xludf.DUMMYFUNCTION("""COMPUTED_VALUE"""),"No")</f>
        <v>No</v>
      </c>
      <c r="AJ1029" s="8" t="str">
        <f ca="1">IFERROR(__xludf.DUMMYFUNCTION("""COMPUTED_VALUE"""),"No")</f>
        <v>No</v>
      </c>
      <c r="AK1029" s="8" t="str">
        <f ca="1">IFERROR(__xludf.DUMMYFUNCTION("""COMPUTED_VALUE"""),"No")</f>
        <v>No</v>
      </c>
      <c r="AL1029" s="8"/>
      <c r="AM1029" s="8" t="str">
        <f ca="1">IFERROR(__xludf.DUMMYFUNCTION("""COMPUTED_VALUE"""),"No")</f>
        <v>No</v>
      </c>
      <c r="AN1029" s="8"/>
      <c r="AO1029" s="8" t="str">
        <f ca="1">IFERROR(__xludf.DUMMYFUNCTION("""COMPUTED_VALUE"""),"No")</f>
        <v>No</v>
      </c>
      <c r="AP1029" s="8"/>
      <c r="AQ1029" s="8"/>
      <c r="AR1029" s="8"/>
      <c r="AS1029" s="8"/>
      <c r="AT1029" s="8"/>
      <c r="AU1029" s="8">
        <f ca="1">IFERROR(__xludf.DUMMYFUNCTION("""COMPUTED_VALUE"""),38.941747)</f>
        <v>38.941746999999999</v>
      </c>
      <c r="AV1029" s="8">
        <f ca="1">IFERROR(__xludf.DUMMYFUNCTION("""COMPUTED_VALUE"""),-77.031754)</f>
        <v>-77.031754000000006</v>
      </c>
      <c r="AW1029" s="8"/>
      <c r="AX1029" s="8">
        <f ca="1">IFERROR(__xludf.DUMMYFUNCTION("""COMPUTED_VALUE"""),20011)</f>
        <v>20011</v>
      </c>
    </row>
    <row r="1030" spans="1:50" ht="60" x14ac:dyDescent="0.2">
      <c r="A1030" s="8" t="str">
        <f ca="1">IFERROR(__xludf.DUMMYFUNCTION("""COMPUTED_VALUE"""),"20220523PASIP")</f>
        <v>20220523PASIP</v>
      </c>
      <c r="B1030" s="8">
        <f ca="1">IFERROR(__xludf.DUMMYFUNCTION("""COMPUTED_VALUE"""),5)</f>
        <v>5</v>
      </c>
      <c r="C1030" s="8">
        <f ca="1">IFERROR(__xludf.DUMMYFUNCTION("""COMPUTED_VALUE"""),23)</f>
        <v>23</v>
      </c>
      <c r="D1030" s="8">
        <f ca="1">IFERROR(__xludf.DUMMYFUNCTION("""COMPUTED_VALUE"""),2022)</f>
        <v>2022</v>
      </c>
      <c r="E1030" s="9">
        <f ca="1">IFERROR(__xludf.DUMMYFUNCTION("""COMPUTED_VALUE"""),44704)</f>
        <v>44704</v>
      </c>
      <c r="F1030" s="8" t="str">
        <f ca="1">IFERROR(__xludf.DUMMYFUNCTION("""COMPUTED_VALUE"""),"Simon Gratz High School")</f>
        <v>Simon Gratz High School</v>
      </c>
      <c r="G1030" s="8">
        <f ca="1">IFERROR(__xludf.DUMMYFUNCTION("""COMPUTED_VALUE"""),0)</f>
        <v>0</v>
      </c>
      <c r="H1030" s="8">
        <f ca="1">IFERROR(__xludf.DUMMYFUNCTION("""COMPUTED_VALUE"""),3)</f>
        <v>3</v>
      </c>
      <c r="I1030" s="8">
        <f ca="1">IFERROR(__xludf.DUMMYFUNCTION("""COMPUTED_VALUE"""),3)</f>
        <v>3</v>
      </c>
      <c r="J1030" s="8">
        <f ca="1">IFERROR(__xludf.DUMMYFUNCTION("""COMPUTED_VALUE"""),0)</f>
        <v>0</v>
      </c>
      <c r="K1030" s="8" t="str">
        <f ca="1">IFERROR(__xludf.DUMMYFUNCTION("""COMPUTED_VALUE"""),"https://6abc.com/teens-shot-philadelphia-shooting-tioga-nicetown-crime-north-17-street/11885981/ https://philadelphia.cbslocal.com/2022/05/23/teens-injured-shooting-simon-gratz-high-school-philly/ https://www.nbcphiladelphia.com/news/local/gunman-shoots-2"&amp;"-teens-near-high-school-in-philly/3248538/")</f>
        <v>https://6abc.com/teens-shot-philadelphia-shooting-tioga-nicetown-crime-north-17-street/11885981/ https://philadelphia.cbslocal.com/2022/05/23/teens-injured-shooting-simon-gratz-high-school-philly/ https://www.nbcphiladelphia.com/news/local/gunman-shoots-2-teens-near-high-school-in-philly/3248538/</v>
      </c>
      <c r="L1030" s="8">
        <f ca="1">IFERROR(__xludf.DUMMYFUNCTION("""COMPUTED_VALUE"""),20)</f>
        <v>20</v>
      </c>
      <c r="M1030" s="8" t="str">
        <f ca="1">IFERROR(__xludf.DUMMYFUNCTION("""COMPUTED_VALUE"""),"Regional")</f>
        <v>Regional</v>
      </c>
      <c r="N1030" s="8">
        <f ca="1">IFERROR(__xludf.DUMMYFUNCTION("""COMPUTED_VALUE"""),4)</f>
        <v>4</v>
      </c>
      <c r="O1030" s="8" t="str">
        <f ca="1">IFERROR(__xludf.DUMMYFUNCTION("""COMPUTED_VALUE"""),"Spring")</f>
        <v>Spring</v>
      </c>
      <c r="P1030" s="8" t="str">
        <f ca="1">IFERROR(__xludf.DUMMYFUNCTION("""COMPUTED_VALUE"""),"Philadelphia")</f>
        <v>Philadelphia</v>
      </c>
      <c r="Q1030" s="8" t="str">
        <f ca="1">IFERROR(__xludf.DUMMYFUNCTION("""COMPUTED_VALUE"""),"PA")</f>
        <v>PA</v>
      </c>
      <c r="R1030" s="8" t="str">
        <f ca="1">IFERROR(__xludf.DUMMYFUNCTION("""COMPUTED_VALUE"""),"High")</f>
        <v>High</v>
      </c>
      <c r="S1030" s="8" t="str">
        <f ca="1">IFERROR(__xludf.DUMMYFUNCTION("""COMPUTED_VALUE"""),"Front of School")</f>
        <v>Front of School</v>
      </c>
      <c r="T1030" s="8" t="str">
        <f ca="1">IFERROR(__xludf.DUMMYFUNCTION("""COMPUTED_VALUE"""),"Outside on School Property")</f>
        <v>Outside on School Property</v>
      </c>
      <c r="U1030" s="8" t="str">
        <f ca="1">IFERROR(__xludf.DUMMYFUNCTION("""COMPUTED_VALUE"""),"Yes")</f>
        <v>Yes</v>
      </c>
      <c r="V1030" s="8" t="str">
        <f ca="1">IFERROR(__xludf.DUMMYFUNCTION("""COMPUTED_VALUE"""),"Dismissal")</f>
        <v>Dismissal</v>
      </c>
      <c r="W1030" s="11">
        <f ca="1">IFERROR(__xludf.DUMMYFUNCTION("""COMPUTED_VALUE"""),0.614583333333333)</f>
        <v>0.61458333333333304</v>
      </c>
      <c r="X1030" s="8">
        <f ca="1">IFERROR(__xludf.DUMMYFUNCTION("""COMPUTED_VALUE"""),1)</f>
        <v>1</v>
      </c>
      <c r="Y1030" s="12" t="str">
        <f ca="1">IFERROR(__xludf.DUMMYFUNCTION("""COMPUTED_VALUE"""),"Three teen students shot at dismissal")</f>
        <v>Three teen students shot at dismissal</v>
      </c>
      <c r="Z1030" s="12" t="str">
        <f ca="1">IFERROR(__xludf.DUMMYFUNCTION("""COMPUTED_VALUE"""),"Two brothers, ages 15 and 16, as well as a 17-year-old boy had just dismissed from school when shooter in a vehicle fired 13 shots at them from the street in front of the school. Shooter fled.")</f>
        <v>Two brothers, ages 15 and 16, as well as a 17-year-old boy had just dismissed from school when shooter in a vehicle fired 13 shots at them from the street in front of the school. Shooter fled.</v>
      </c>
      <c r="AA1030" s="8" t="str">
        <f ca="1">IFERROR(__xludf.DUMMYFUNCTION("""COMPUTED_VALUE"""),"Drive-by Shooting")</f>
        <v>Drive-by Shooting</v>
      </c>
      <c r="AB1030" s="8"/>
      <c r="AC1030" s="8" t="str">
        <f ca="1">IFERROR(__xludf.DUMMYFUNCTION("""COMPUTED_VALUE"""),"Yes")</f>
        <v>Yes</v>
      </c>
      <c r="AD1030" s="8" t="str">
        <f ca="1">IFERROR(__xludf.DUMMYFUNCTION("""COMPUTED_VALUE"""),"Both")</f>
        <v>Both</v>
      </c>
      <c r="AE1030" s="8"/>
      <c r="AF1030" s="8"/>
      <c r="AG1030" s="8" t="str">
        <f ca="1">IFERROR(__xludf.DUMMYFUNCTION("""COMPUTED_VALUE"""),"No")</f>
        <v>No</v>
      </c>
      <c r="AH1030" s="8" t="str">
        <f ca="1">IFERROR(__xludf.DUMMYFUNCTION("""COMPUTED_VALUE"""),"No")</f>
        <v>No</v>
      </c>
      <c r="AI1030" s="8" t="str">
        <f ca="1">IFERROR(__xludf.DUMMYFUNCTION("""COMPUTED_VALUE"""),"No")</f>
        <v>No</v>
      </c>
      <c r="AJ1030" s="8" t="str">
        <f ca="1">IFERROR(__xludf.DUMMYFUNCTION("""COMPUTED_VALUE"""),"No")</f>
        <v>No</v>
      </c>
      <c r="AK1030" s="8" t="str">
        <f ca="1">IFERROR(__xludf.DUMMYFUNCTION("""COMPUTED_VALUE"""),"No")</f>
        <v>No</v>
      </c>
      <c r="AL1030" s="8"/>
      <c r="AM1030" s="8" t="str">
        <f ca="1">IFERROR(__xludf.DUMMYFUNCTION("""COMPUTED_VALUE"""),"No")</f>
        <v>No</v>
      </c>
      <c r="AN1030" s="8"/>
      <c r="AO1030" s="8" t="str">
        <f ca="1">IFERROR(__xludf.DUMMYFUNCTION("""COMPUTED_VALUE"""),"No")</f>
        <v>No</v>
      </c>
      <c r="AP1030" s="8"/>
      <c r="AQ1030" s="8"/>
      <c r="AR1030" s="8" t="str">
        <f ca="1">IFERROR(__xludf.DUMMYFUNCTION("""COMPUTED_VALUE"""),"Outside/Off-Property")</f>
        <v>Outside/Off-Property</v>
      </c>
      <c r="AS1030" s="8">
        <f ca="1">IFERROR(__xludf.DUMMYFUNCTION("""COMPUTED_VALUE"""),13)</f>
        <v>13</v>
      </c>
      <c r="AT1030" s="8"/>
      <c r="AU1030" s="8">
        <f ca="1">IFERROR(__xludf.DUMMYFUNCTION("""COMPUTED_VALUE"""),40.014007)</f>
        <v>40.014006999999999</v>
      </c>
      <c r="AV1030" s="8">
        <f ca="1">IFERROR(__xludf.DUMMYFUNCTION("""COMPUTED_VALUE"""),-75.155135)</f>
        <v>-75.155135000000001</v>
      </c>
      <c r="AW1030" s="8"/>
      <c r="AX1030" s="8">
        <f ca="1">IFERROR(__xludf.DUMMYFUNCTION("""COMPUTED_VALUE"""),19140)</f>
        <v>19140</v>
      </c>
    </row>
    <row r="1031" spans="1:50" ht="75" x14ac:dyDescent="0.2">
      <c r="A1031" s="8" t="str">
        <f ca="1">IFERROR(__xludf.DUMMYFUNCTION("""COMPUTED_VALUE"""),"20220520VAPOD")</f>
        <v>20220520VAPOD</v>
      </c>
      <c r="B1031" s="8">
        <f ca="1">IFERROR(__xludf.DUMMYFUNCTION("""COMPUTED_VALUE"""),5)</f>
        <v>5</v>
      </c>
      <c r="C1031" s="8">
        <f ca="1">IFERROR(__xludf.DUMMYFUNCTION("""COMPUTED_VALUE"""),20)</f>
        <v>20</v>
      </c>
      <c r="D1031" s="8">
        <f ca="1">IFERROR(__xludf.DUMMYFUNCTION("""COMPUTED_VALUE"""),2022)</f>
        <v>2022</v>
      </c>
      <c r="E1031" s="9">
        <f ca="1">IFERROR(__xludf.DUMMYFUNCTION("""COMPUTED_VALUE"""),44701)</f>
        <v>44701</v>
      </c>
      <c r="F1031" s="8" t="str">
        <f ca="1">IFERROR(__xludf.DUMMYFUNCTION("""COMPUTED_VALUE"""),"Potomac High School")</f>
        <v>Potomac High School</v>
      </c>
      <c r="G1031" s="8">
        <f ca="1">IFERROR(__xludf.DUMMYFUNCTION("""COMPUTED_VALUE"""),0)</f>
        <v>0</v>
      </c>
      <c r="H1031" s="8">
        <f ca="1">IFERROR(__xludf.DUMMYFUNCTION("""COMPUTED_VALUE"""),0)</f>
        <v>0</v>
      </c>
      <c r="I1031" s="8">
        <f ca="1">IFERROR(__xludf.DUMMYFUNCTION("""COMPUTED_VALUE"""),0)</f>
        <v>0</v>
      </c>
      <c r="J1031" s="8">
        <f ca="1">IFERROR(__xludf.DUMMYFUNCTION("""COMPUTED_VALUE"""),0)</f>
        <v>0</v>
      </c>
      <c r="K1031" s="10" t="str">
        <f ca="1">IFERROR(__xludf.DUMMYFUNCTION("""COMPUTED_VALUE"""),"https://www.insidenova.com/headlines/potomac-high-school-student-charged-after-bathroom-brandishing/article_f3fa326e-d86d-11ec-bd21-f36cea08fd4d.html")</f>
        <v>https://www.insidenova.com/headlines/potomac-high-school-student-charged-after-bathroom-brandishing/article_f3fa326e-d86d-11ec-bd21-f36cea08fd4d.html</v>
      </c>
      <c r="L1031" s="8">
        <f ca="1">IFERROR(__xludf.DUMMYFUNCTION("""COMPUTED_VALUE"""),1)</f>
        <v>1</v>
      </c>
      <c r="M1031" s="8" t="str">
        <f ca="1">IFERROR(__xludf.DUMMYFUNCTION("""COMPUTED_VALUE"""),"Local")</f>
        <v>Local</v>
      </c>
      <c r="N1031" s="8">
        <f ca="1">IFERROR(__xludf.DUMMYFUNCTION("""COMPUTED_VALUE"""),3)</f>
        <v>3</v>
      </c>
      <c r="O1031" s="8" t="str">
        <f ca="1">IFERROR(__xludf.DUMMYFUNCTION("""COMPUTED_VALUE"""),"Spring")</f>
        <v>Spring</v>
      </c>
      <c r="P1031" s="8" t="str">
        <f ca="1">IFERROR(__xludf.DUMMYFUNCTION("""COMPUTED_VALUE"""),"Dumfries")</f>
        <v>Dumfries</v>
      </c>
      <c r="Q1031" s="8" t="str">
        <f ca="1">IFERROR(__xludf.DUMMYFUNCTION("""COMPUTED_VALUE"""),"VA")</f>
        <v>VA</v>
      </c>
      <c r="R1031" s="8" t="str">
        <f ca="1">IFERROR(__xludf.DUMMYFUNCTION("""COMPUTED_VALUE"""),"High")</f>
        <v>High</v>
      </c>
      <c r="S1031" s="8" t="str">
        <f ca="1">IFERROR(__xludf.DUMMYFUNCTION("""COMPUTED_VALUE"""),"Bathroom")</f>
        <v>Bathroom</v>
      </c>
      <c r="T1031" s="8" t="str">
        <f ca="1">IFERROR(__xludf.DUMMYFUNCTION("""COMPUTED_VALUE"""),"Inside School Building")</f>
        <v>Inside School Building</v>
      </c>
      <c r="U1031" s="8" t="str">
        <f ca="1">IFERROR(__xludf.DUMMYFUNCTION("""COMPUTED_VALUE"""),"Yes")</f>
        <v>Yes</v>
      </c>
      <c r="V1031" s="8" t="str">
        <f ca="1">IFERROR(__xludf.DUMMYFUNCTION("""COMPUTED_VALUE"""),"Morning Classes")</f>
        <v>Morning Classes</v>
      </c>
      <c r="W1031" s="11">
        <f ca="1">IFERROR(__xludf.DUMMYFUNCTION("""COMPUTED_VALUE"""),0.346527777777777)</f>
        <v>0.34652777777777699</v>
      </c>
      <c r="X1031" s="8">
        <f ca="1">IFERROR(__xludf.DUMMYFUNCTION("""COMPUTED_VALUE"""),1)</f>
        <v>1</v>
      </c>
      <c r="Y1031" s="12" t="str">
        <f ca="1">IFERROR(__xludf.DUMMYFUNCTION("""COMPUTED_VALUE"""),"Student pointed gun at another student in bathroom, arrested by SRO with loaded weapon")</f>
        <v>Student pointed gun at another student in bathroom, arrested by SRO with loaded weapon</v>
      </c>
      <c r="Z1031" s="12" t="str">
        <f ca="1">IFERROR(__xludf.DUMMYFUNCTION("""COMPUTED_VALUE"""),"A student pointed a handgun under a bathroom stall at another student. Student fled the bathroom and reported gun to SRO. SRO found the student with the gun in a different bathroom and arrested him. Student was also armed with 2 knives.")</f>
        <v>A student pointed a handgun under a bathroom stall at another student. Student fled the bathroom and reported gun to SRO. SRO found the student with the gun in a different bathroom and arrested him. Student was also armed with 2 knives.</v>
      </c>
      <c r="AA1031" s="8"/>
      <c r="AB1031" s="8"/>
      <c r="AC1031" s="8" t="str">
        <f ca="1">IFERROR(__xludf.DUMMYFUNCTION("""COMPUTED_VALUE"""),"Yes")</f>
        <v>Yes</v>
      </c>
      <c r="AD1031" s="8" t="str">
        <f ca="1">IFERROR(__xludf.DUMMYFUNCTION("""COMPUTED_VALUE"""),"Victims Targeted")</f>
        <v>Victims Targeted</v>
      </c>
      <c r="AE1031" s="8" t="str">
        <f ca="1">IFERROR(__xludf.DUMMYFUNCTION("""COMPUTED_VALUE"""),"No")</f>
        <v>No</v>
      </c>
      <c r="AF1031" s="8"/>
      <c r="AG1031" s="8" t="str">
        <f ca="1">IFERROR(__xludf.DUMMYFUNCTION("""COMPUTED_VALUE"""),"No")</f>
        <v>No</v>
      </c>
      <c r="AH1031" s="8" t="str">
        <f ca="1">IFERROR(__xludf.DUMMYFUNCTION("""COMPUTED_VALUE"""),"No")</f>
        <v>No</v>
      </c>
      <c r="AI1031" s="8" t="str">
        <f ca="1">IFERROR(__xludf.DUMMYFUNCTION("""COMPUTED_VALUE"""),"No")</f>
        <v>No</v>
      </c>
      <c r="AJ1031" s="8"/>
      <c r="AK1031" s="8" t="str">
        <f ca="1">IFERROR(__xludf.DUMMYFUNCTION("""COMPUTED_VALUE"""),"No")</f>
        <v>No</v>
      </c>
      <c r="AL1031" s="8"/>
      <c r="AM1031" s="8" t="str">
        <f ca="1">IFERROR(__xludf.DUMMYFUNCTION("""COMPUTED_VALUE"""),"No")</f>
        <v>No</v>
      </c>
      <c r="AN1031" s="8"/>
      <c r="AO1031" s="8"/>
      <c r="AP1031" s="8"/>
      <c r="AQ1031" s="8"/>
      <c r="AR1031" s="8" t="str">
        <f ca="1">IFERROR(__xludf.DUMMYFUNCTION("""COMPUTED_VALUE"""),"Failed")</f>
        <v>Failed</v>
      </c>
      <c r="AS1031" s="8">
        <f ca="1">IFERROR(__xludf.DUMMYFUNCTION("""COMPUTED_VALUE"""),0)</f>
        <v>0</v>
      </c>
      <c r="AT1031" s="8" t="str">
        <f ca="1">IFERROR(__xludf.DUMMYFUNCTION("""COMPUTED_VALUE"""),"No")</f>
        <v>No</v>
      </c>
      <c r="AU1031" s="8">
        <f ca="1">IFERROR(__xludf.DUMMYFUNCTION("""COMPUTED_VALUE"""),38.59696)</f>
        <v>38.596960000000003</v>
      </c>
      <c r="AV1031" s="8">
        <f ca="1">IFERROR(__xludf.DUMMYFUNCTION("""COMPUTED_VALUE"""),-77.309257)</f>
        <v>-77.309257000000002</v>
      </c>
      <c r="AW1031" s="8"/>
      <c r="AX1031" s="8">
        <f ca="1">IFERROR(__xludf.DUMMYFUNCTION("""COMPUTED_VALUE"""),22026)</f>
        <v>22026</v>
      </c>
    </row>
    <row r="1032" spans="1:50" ht="45" x14ac:dyDescent="0.2">
      <c r="A1032" s="8" t="str">
        <f ca="1">IFERROR(__xludf.DUMMYFUNCTION("""COMPUTED_VALUE"""),"20220520TNEAC")</f>
        <v>20220520TNEAC</v>
      </c>
      <c r="B1032" s="8">
        <f ca="1">IFERROR(__xludf.DUMMYFUNCTION("""COMPUTED_VALUE"""),5)</f>
        <v>5</v>
      </c>
      <c r="C1032" s="8">
        <f ca="1">IFERROR(__xludf.DUMMYFUNCTION("""COMPUTED_VALUE"""),20)</f>
        <v>20</v>
      </c>
      <c r="D1032" s="8">
        <f ca="1">IFERROR(__xludf.DUMMYFUNCTION("""COMPUTED_VALUE"""),2022)</f>
        <v>2022</v>
      </c>
      <c r="E1032" s="9">
        <f ca="1">IFERROR(__xludf.DUMMYFUNCTION("""COMPUTED_VALUE"""),44701)</f>
        <v>44701</v>
      </c>
      <c r="F1032" s="8" t="str">
        <f ca="1">IFERROR(__xludf.DUMMYFUNCTION("""COMPUTED_VALUE"""),"East Lake Elementary School")</f>
        <v>East Lake Elementary School</v>
      </c>
      <c r="G1032" s="8">
        <f ca="1">IFERROR(__xludf.DUMMYFUNCTION("""COMPUTED_VALUE"""),1)</f>
        <v>1</v>
      </c>
      <c r="H1032" s="8">
        <f ca="1">IFERROR(__xludf.DUMMYFUNCTION("""COMPUTED_VALUE"""),0)</f>
        <v>0</v>
      </c>
      <c r="I1032" s="8">
        <f ca="1">IFERROR(__xludf.DUMMYFUNCTION("""COMPUTED_VALUE"""),1)</f>
        <v>1</v>
      </c>
      <c r="J1032" s="8">
        <f ca="1">IFERROR(__xludf.DUMMYFUNCTION("""COMPUTED_VALUE"""),0)</f>
        <v>0</v>
      </c>
      <c r="K1032" s="10" t="str">
        <f ca="1">IFERROR(__xludf.DUMMYFUNCTION("""COMPUTED_VALUE"""),"https://newschannel9.com/news/local/25-year-old-man-shot-to-death-in-chattanooga-near-school-early-friday-morning-east-lake-elementary-murder-homicide")</f>
        <v>https://newschannel9.com/news/local/25-year-old-man-shot-to-death-in-chattanooga-near-school-early-friday-morning-east-lake-elementary-murder-homicide</v>
      </c>
      <c r="L1032" s="8">
        <f ca="1">IFERROR(__xludf.DUMMYFUNCTION("""COMPUTED_VALUE"""),1)</f>
        <v>1</v>
      </c>
      <c r="M1032" s="8" t="str">
        <f ca="1">IFERROR(__xludf.DUMMYFUNCTION("""COMPUTED_VALUE"""),"Local")</f>
        <v>Local</v>
      </c>
      <c r="N1032" s="8">
        <f ca="1">IFERROR(__xludf.DUMMYFUNCTION("""COMPUTED_VALUE"""),3)</f>
        <v>3</v>
      </c>
      <c r="O1032" s="8" t="str">
        <f ca="1">IFERROR(__xludf.DUMMYFUNCTION("""COMPUTED_VALUE"""),"Fall")</f>
        <v>Fall</v>
      </c>
      <c r="P1032" s="8" t="str">
        <f ca="1">IFERROR(__xludf.DUMMYFUNCTION("""COMPUTED_VALUE"""),"Chattanooga")</f>
        <v>Chattanooga</v>
      </c>
      <c r="Q1032" s="8" t="str">
        <f ca="1">IFERROR(__xludf.DUMMYFUNCTION("""COMPUTED_VALUE"""),"TN")</f>
        <v>TN</v>
      </c>
      <c r="R1032" s="8" t="str">
        <f ca="1">IFERROR(__xludf.DUMMYFUNCTION("""COMPUTED_VALUE"""),"Elementary")</f>
        <v>Elementary</v>
      </c>
      <c r="S1032" s="8" t="str">
        <f ca="1">IFERROR(__xludf.DUMMYFUNCTION("""COMPUTED_VALUE"""),"Outside on School Property")</f>
        <v>Outside on School Property</v>
      </c>
      <c r="T1032" s="8" t="str">
        <f ca="1">IFERROR(__xludf.DUMMYFUNCTION("""COMPUTED_VALUE"""),"Outside on School Property")</f>
        <v>Outside on School Property</v>
      </c>
      <c r="U1032" s="8" t="str">
        <f ca="1">IFERROR(__xludf.DUMMYFUNCTION("""COMPUTED_VALUE"""),"No")</f>
        <v>No</v>
      </c>
      <c r="V1032" s="8" t="str">
        <f ca="1">IFERROR(__xludf.DUMMYFUNCTION("""COMPUTED_VALUE"""),"Before School")</f>
        <v>Before School</v>
      </c>
      <c r="W1032" s="11">
        <f ca="1">IFERROR(__xludf.DUMMYFUNCTION("""COMPUTED_VALUE"""),0.208333333333333)</f>
        <v>0.20833333333333301</v>
      </c>
      <c r="X1032" s="8">
        <f ca="1">IFERROR(__xludf.DUMMYFUNCTION("""COMPUTED_VALUE"""),1)</f>
        <v>1</v>
      </c>
      <c r="Y1032" s="12" t="str">
        <f ca="1">IFERROR(__xludf.DUMMYFUNCTION("""COMPUTED_VALUE"""),"Man fatally shot on school property")</f>
        <v>Man fatally shot on school property</v>
      </c>
      <c r="Z1032" s="12" t="str">
        <f ca="1">IFERROR(__xludf.DUMMYFUNCTION("""COMPUTED_VALUE"""),"A man was fatally shot on school property in the early morning before the school was open. Opening of school was delayed while police conducted the investigation.")</f>
        <v>A man was fatally shot on school property in the early morning before the school was open. Opening of school was delayed while police conducted the investigation.</v>
      </c>
      <c r="AA1032" s="8"/>
      <c r="AB1032" s="8"/>
      <c r="AC1032" s="8" t="str">
        <f ca="1">IFERROR(__xludf.DUMMYFUNCTION("""COMPUTED_VALUE"""),"No")</f>
        <v>No</v>
      </c>
      <c r="AD1032" s="8" t="str">
        <f ca="1">IFERROR(__xludf.DUMMYFUNCTION("""COMPUTED_VALUE"""),"Victims Targeted")</f>
        <v>Victims Targeted</v>
      </c>
      <c r="AE1032" s="8" t="str">
        <f ca="1">IFERROR(__xludf.DUMMYFUNCTION("""COMPUTED_VALUE"""),"No")</f>
        <v>No</v>
      </c>
      <c r="AF1032" s="8"/>
      <c r="AG1032" s="8" t="str">
        <f ca="1">IFERROR(__xludf.DUMMYFUNCTION("""COMPUTED_VALUE"""),"No")</f>
        <v>No</v>
      </c>
      <c r="AH1032" s="8" t="str">
        <f ca="1">IFERROR(__xludf.DUMMYFUNCTION("""COMPUTED_VALUE"""),"No")</f>
        <v>No</v>
      </c>
      <c r="AI1032" s="8" t="str">
        <f ca="1">IFERROR(__xludf.DUMMYFUNCTION("""COMPUTED_VALUE"""),"No")</f>
        <v>No</v>
      </c>
      <c r="AJ1032" s="8" t="str">
        <f ca="1">IFERROR(__xludf.DUMMYFUNCTION("""COMPUTED_VALUE"""),"No")</f>
        <v>No</v>
      </c>
      <c r="AK1032" s="8"/>
      <c r="AL1032" s="8"/>
      <c r="AM1032" s="8" t="str">
        <f ca="1">IFERROR(__xludf.DUMMYFUNCTION("""COMPUTED_VALUE"""),"No")</f>
        <v>No</v>
      </c>
      <c r="AN1032" s="8"/>
      <c r="AO1032" s="8" t="str">
        <f ca="1">IFERROR(__xludf.DUMMYFUNCTION("""COMPUTED_VALUE"""),"No")</f>
        <v>No</v>
      </c>
      <c r="AP1032" s="8"/>
      <c r="AQ1032" s="8"/>
      <c r="AR1032" s="8" t="str">
        <f ca="1">IFERROR(__xludf.DUMMYFUNCTION("""COMPUTED_VALUE"""),"Outside/Off-Property")</f>
        <v>Outside/Off-Property</v>
      </c>
      <c r="AS1032" s="8"/>
      <c r="AT1032" s="8" t="str">
        <f ca="1">IFERROR(__xludf.DUMMYFUNCTION("""COMPUTED_VALUE"""),"No")</f>
        <v>No</v>
      </c>
      <c r="AU1032" s="8">
        <f ca="1">IFERROR(__xludf.DUMMYFUNCTION("""COMPUTED_VALUE"""),34.998226)</f>
        <v>34.998226000000003</v>
      </c>
      <c r="AV1032" s="8">
        <f ca="1">IFERROR(__xludf.DUMMYFUNCTION("""COMPUTED_VALUE"""),-85.279101)</f>
        <v>-85.279100999999997</v>
      </c>
      <c r="AW1032" s="8"/>
      <c r="AX1032" s="8">
        <f ca="1">IFERROR(__xludf.DUMMYFUNCTION("""COMPUTED_VALUE"""),37407)</f>
        <v>37407</v>
      </c>
    </row>
    <row r="1033" spans="1:50" ht="45" x14ac:dyDescent="0.2">
      <c r="A1033" s="8" t="str">
        <f ca="1">IFERROR(__xludf.DUMMYFUNCTION("""COMPUTED_VALUE"""),"20220520OHCAC")</f>
        <v>20220520OHCAC</v>
      </c>
      <c r="B1033" s="8">
        <f ca="1">IFERROR(__xludf.DUMMYFUNCTION("""COMPUTED_VALUE"""),5)</f>
        <v>5</v>
      </c>
      <c r="C1033" s="8">
        <f ca="1">IFERROR(__xludf.DUMMYFUNCTION("""COMPUTED_VALUE"""),20)</f>
        <v>20</v>
      </c>
      <c r="D1033" s="8">
        <f ca="1">IFERROR(__xludf.DUMMYFUNCTION("""COMPUTED_VALUE"""),2022)</f>
        <v>2022</v>
      </c>
      <c r="E1033" s="9">
        <f ca="1">IFERROR(__xludf.DUMMYFUNCTION("""COMPUTED_VALUE"""),44701)</f>
        <v>44701</v>
      </c>
      <c r="F1033" s="8" t="str">
        <f ca="1">IFERROR(__xludf.DUMMYFUNCTION("""COMPUTED_VALUE"""),"Canal Winchester High School")</f>
        <v>Canal Winchester High School</v>
      </c>
      <c r="G1033" s="8">
        <f ca="1">IFERROR(__xludf.DUMMYFUNCTION("""COMPUTED_VALUE"""),0)</f>
        <v>0</v>
      </c>
      <c r="H1033" s="8">
        <f ca="1">IFERROR(__xludf.DUMMYFUNCTION("""COMPUTED_VALUE"""),0)</f>
        <v>0</v>
      </c>
      <c r="I1033" s="8">
        <f ca="1">IFERROR(__xludf.DUMMYFUNCTION("""COMPUTED_VALUE"""),0)</f>
        <v>0</v>
      </c>
      <c r="J1033" s="8">
        <f ca="1">IFERROR(__xludf.DUMMYFUNCTION("""COMPUTED_VALUE"""),0)</f>
        <v>0</v>
      </c>
      <c r="K1033" s="8" t="str">
        <f ca="1">IFERROR(__xludf.DUMMYFUNCTION("""COMPUTED_VALUE"""),"https://www.10tv.com/article/news/local/sheriff-juvenile-intentionally-shoots-fairfield-county-bus-driver-with-bb-gun-lithopolis/530-77296d5d-39d5-4f21-9fa6-df66ef2c5340 https://www.nbc4i.com/news/local-news/fairfield-county/bloom-carroll-school-bus-drive"&amp;"r-shot-with-bb-gun/")</f>
        <v>https://www.10tv.com/article/news/local/sheriff-juvenile-intentionally-shoots-fairfield-county-bus-driver-with-bb-gun-lithopolis/530-77296d5d-39d5-4f21-9fa6-df66ef2c5340 https://www.nbc4i.com/news/local-news/fairfield-county/bloom-carroll-school-bus-driver-shot-with-bb-gun/</v>
      </c>
      <c r="L1033" s="8">
        <f ca="1">IFERROR(__xludf.DUMMYFUNCTION("""COMPUTED_VALUE"""),2)</f>
        <v>2</v>
      </c>
      <c r="M1033" s="8" t="str">
        <f ca="1">IFERROR(__xludf.DUMMYFUNCTION("""COMPUTED_VALUE"""),"Local")</f>
        <v>Local</v>
      </c>
      <c r="N1033" s="8">
        <f ca="1">IFERROR(__xludf.DUMMYFUNCTION("""COMPUTED_VALUE"""),4)</f>
        <v>4</v>
      </c>
      <c r="O1033" s="8" t="str">
        <f ca="1">IFERROR(__xludf.DUMMYFUNCTION("""COMPUTED_VALUE"""),"Spring")</f>
        <v>Spring</v>
      </c>
      <c r="P1033" s="8" t="str">
        <f ca="1">IFERROR(__xludf.DUMMYFUNCTION("""COMPUTED_VALUE"""),"Canal Winchester")</f>
        <v>Canal Winchester</v>
      </c>
      <c r="Q1033" s="8" t="str">
        <f ca="1">IFERROR(__xludf.DUMMYFUNCTION("""COMPUTED_VALUE"""),"OH")</f>
        <v>OH</v>
      </c>
      <c r="R1033" s="8" t="str">
        <f ca="1">IFERROR(__xludf.DUMMYFUNCTION("""COMPUTED_VALUE"""),"High")</f>
        <v>High</v>
      </c>
      <c r="S1033" s="8" t="str">
        <f ca="1">IFERROR(__xludf.DUMMYFUNCTION("""COMPUTED_VALUE"""),"School Bus")</f>
        <v>School Bus</v>
      </c>
      <c r="T1033" s="8" t="str">
        <f ca="1">IFERROR(__xludf.DUMMYFUNCTION("""COMPUTED_VALUE"""),"School Bus")</f>
        <v>School Bus</v>
      </c>
      <c r="U1033" s="8" t="str">
        <f ca="1">IFERROR(__xludf.DUMMYFUNCTION("""COMPUTED_VALUE"""),"Yes")</f>
        <v>Yes</v>
      </c>
      <c r="V1033" s="8" t="str">
        <f ca="1">IFERROR(__xludf.DUMMYFUNCTION("""COMPUTED_VALUE"""),"Dismissal")</f>
        <v>Dismissal</v>
      </c>
      <c r="W1033" s="11">
        <f ca="1">IFERROR(__xludf.DUMMYFUNCTION("""COMPUTED_VALUE"""),0.625)</f>
        <v>0.625</v>
      </c>
      <c r="X1033" s="8">
        <f ca="1">IFERROR(__xludf.DUMMYFUNCTION("""COMPUTED_VALUE"""),1)</f>
        <v>1</v>
      </c>
      <c r="Y1033" s="12" t="str">
        <f ca="1">IFERROR(__xludf.DUMMYFUNCTION("""COMPUTED_VALUE"""),"Teen shot school bus driver 3 times with BB gun")</f>
        <v>Teen shot school bus driver 3 times with BB gun</v>
      </c>
      <c r="Z1033" s="12" t="str">
        <f ca="1">IFERROR(__xludf.DUMMYFUNCTION("""COMPUTED_VALUE"""),"While students were getting off the school bus, a teen fired airsoft pellets at the driver causing minor injuries to wrist, shoulder, and hip. Teen was arrested and charges pending.")</f>
        <v>While students were getting off the school bus, a teen fired airsoft pellets at the driver causing minor injuries to wrist, shoulder, and hip. Teen was arrested and charges pending.</v>
      </c>
      <c r="AA1033" s="8"/>
      <c r="AB1033" s="8"/>
      <c r="AC1033" s="8" t="str">
        <f ca="1">IFERROR(__xludf.DUMMYFUNCTION("""COMPUTED_VALUE"""),"Yes")</f>
        <v>Yes</v>
      </c>
      <c r="AD1033" s="8" t="str">
        <f ca="1">IFERROR(__xludf.DUMMYFUNCTION("""COMPUTED_VALUE"""),"Victims Targeted")</f>
        <v>Victims Targeted</v>
      </c>
      <c r="AE1033" s="8" t="str">
        <f ca="1">IFERROR(__xludf.DUMMYFUNCTION("""COMPUTED_VALUE"""),"No")</f>
        <v>No</v>
      </c>
      <c r="AF1033" s="8"/>
      <c r="AG1033" s="8" t="str">
        <f ca="1">IFERROR(__xludf.DUMMYFUNCTION("""COMPUTED_VALUE"""),"No")</f>
        <v>No</v>
      </c>
      <c r="AH1033" s="8" t="str">
        <f ca="1">IFERROR(__xludf.DUMMYFUNCTION("""COMPUTED_VALUE"""),"No")</f>
        <v>No</v>
      </c>
      <c r="AI1033" s="8" t="str">
        <f ca="1">IFERROR(__xludf.DUMMYFUNCTION("""COMPUTED_VALUE"""),"No")</f>
        <v>No</v>
      </c>
      <c r="AJ1033" s="8" t="str">
        <f ca="1">IFERROR(__xludf.DUMMYFUNCTION("""COMPUTED_VALUE"""),"No")</f>
        <v>No</v>
      </c>
      <c r="AK1033" s="8" t="str">
        <f ca="1">IFERROR(__xludf.DUMMYFUNCTION("""COMPUTED_VALUE"""),"No")</f>
        <v>No</v>
      </c>
      <c r="AL1033" s="8" t="str">
        <f ca="1">IFERROR(__xludf.DUMMYFUNCTION("""COMPUTED_VALUE"""),"No")</f>
        <v>No</v>
      </c>
      <c r="AM1033" s="8" t="str">
        <f ca="1">IFERROR(__xludf.DUMMYFUNCTION("""COMPUTED_VALUE"""),"No")</f>
        <v>No</v>
      </c>
      <c r="AN1033" s="8"/>
      <c r="AO1033" s="8" t="str">
        <f ca="1">IFERROR(__xludf.DUMMYFUNCTION("""COMPUTED_VALUE"""),"No")</f>
        <v>No</v>
      </c>
      <c r="AP1033" s="8"/>
      <c r="AQ1033" s="8"/>
      <c r="AR1033" s="8" t="str">
        <f ca="1">IFERROR(__xludf.DUMMYFUNCTION("""COMPUTED_VALUE"""),"Outside/Off-Property")</f>
        <v>Outside/Off-Property</v>
      </c>
      <c r="AS1033" s="8">
        <f ca="1">IFERROR(__xludf.DUMMYFUNCTION("""COMPUTED_VALUE"""),3)</f>
        <v>3</v>
      </c>
      <c r="AT1033" s="8"/>
      <c r="AU1033" s="8">
        <f ca="1">IFERROR(__xludf.DUMMYFUNCTION("""COMPUTED_VALUE"""),39.835511)</f>
        <v>39.835510999999997</v>
      </c>
      <c r="AV1033" s="8">
        <f ca="1">IFERROR(__xludf.DUMMYFUNCTION("""COMPUTED_VALUE"""),-82.811775)</f>
        <v>-82.811774999999997</v>
      </c>
      <c r="AW1033" s="8"/>
      <c r="AX1033" s="8">
        <f ca="1">IFERROR(__xludf.DUMMYFUNCTION("""COMPUTED_VALUE"""),43110)</f>
        <v>43110</v>
      </c>
    </row>
    <row r="1034" spans="1:50" ht="60" x14ac:dyDescent="0.2">
      <c r="A1034" s="8" t="str">
        <f ca="1">IFERROR(__xludf.DUMMYFUNCTION("""COMPUTED_VALUE"""),"20220520ILSOP")</f>
        <v>20220520ILSOP</v>
      </c>
      <c r="B1034" s="8">
        <f ca="1">IFERROR(__xludf.DUMMYFUNCTION("""COMPUTED_VALUE"""),5)</f>
        <v>5</v>
      </c>
      <c r="C1034" s="8">
        <f ca="1">IFERROR(__xludf.DUMMYFUNCTION("""COMPUTED_VALUE"""),20)</f>
        <v>20</v>
      </c>
      <c r="D1034" s="8">
        <f ca="1">IFERROR(__xludf.DUMMYFUNCTION("""COMPUTED_VALUE"""),2022)</f>
        <v>2022</v>
      </c>
      <c r="E1034" s="9">
        <f ca="1">IFERROR(__xludf.DUMMYFUNCTION("""COMPUTED_VALUE"""),44701)</f>
        <v>44701</v>
      </c>
      <c r="F1034" s="8" t="str">
        <f ca="1">IFERROR(__xludf.DUMMYFUNCTION("""COMPUTED_VALUE"""),"South Elementary School")</f>
        <v>South Elementary School</v>
      </c>
      <c r="G1034" s="8">
        <f ca="1">IFERROR(__xludf.DUMMYFUNCTION("""COMPUTED_VALUE"""),0)</f>
        <v>0</v>
      </c>
      <c r="H1034" s="8">
        <f ca="1">IFERROR(__xludf.DUMMYFUNCTION("""COMPUTED_VALUE"""),0)</f>
        <v>0</v>
      </c>
      <c r="I1034" s="8">
        <f ca="1">IFERROR(__xludf.DUMMYFUNCTION("""COMPUTED_VALUE"""),0)</f>
        <v>0</v>
      </c>
      <c r="J1034" s="8">
        <f ca="1">IFERROR(__xludf.DUMMYFUNCTION("""COMPUTED_VALUE"""),0)</f>
        <v>0</v>
      </c>
      <c r="K1034" s="10" t="str">
        <f ca="1">IFERROR(__xludf.DUMMYFUNCTION("""COMPUTED_VALUE"""),"https://www.myjournalcourier.com/news/article/Hallucinating-woman-arrested-after-shot-fired-17188158.php")</f>
        <v>https://www.myjournalcourier.com/news/article/Hallucinating-woman-arrested-after-shot-fired-17188158.php</v>
      </c>
      <c r="L1034" s="8">
        <f ca="1">IFERROR(__xludf.DUMMYFUNCTION("""COMPUTED_VALUE"""),1)</f>
        <v>1</v>
      </c>
      <c r="M1034" s="8" t="str">
        <f ca="1">IFERROR(__xludf.DUMMYFUNCTION("""COMPUTED_VALUE"""),"Local")</f>
        <v>Local</v>
      </c>
      <c r="N1034" s="8">
        <f ca="1">IFERROR(__xludf.DUMMYFUNCTION("""COMPUTED_VALUE"""),3)</f>
        <v>3</v>
      </c>
      <c r="O1034" s="8" t="str">
        <f ca="1">IFERROR(__xludf.DUMMYFUNCTION("""COMPUTED_VALUE"""),"Spring")</f>
        <v>Spring</v>
      </c>
      <c r="P1034" s="8" t="str">
        <f ca="1">IFERROR(__xludf.DUMMYFUNCTION("""COMPUTED_VALUE"""),"Pittsfield")</f>
        <v>Pittsfield</v>
      </c>
      <c r="Q1034" s="8" t="str">
        <f ca="1">IFERROR(__xludf.DUMMYFUNCTION("""COMPUTED_VALUE"""),"IL")</f>
        <v>IL</v>
      </c>
      <c r="R1034" s="8" t="str">
        <f ca="1">IFERROR(__xludf.DUMMYFUNCTION("""COMPUTED_VALUE"""),"Elementary")</f>
        <v>Elementary</v>
      </c>
      <c r="S1034" s="8" t="str">
        <f ca="1">IFERROR(__xludf.DUMMYFUNCTION("""COMPUTED_VALUE"""),"Outside on School Property")</f>
        <v>Outside on School Property</v>
      </c>
      <c r="T1034" s="8" t="str">
        <f ca="1">IFERROR(__xludf.DUMMYFUNCTION("""COMPUTED_VALUE"""),"Outside on School Property")</f>
        <v>Outside on School Property</v>
      </c>
      <c r="U1034" s="8" t="str">
        <f ca="1">IFERROR(__xludf.DUMMYFUNCTION("""COMPUTED_VALUE"""),"Yes")</f>
        <v>Yes</v>
      </c>
      <c r="V1034" s="8" t="str">
        <f ca="1">IFERROR(__xludf.DUMMYFUNCTION("""COMPUTED_VALUE"""),"School Start")</f>
        <v>School Start</v>
      </c>
      <c r="W1034" s="11">
        <f ca="1">IFERROR(__xludf.DUMMYFUNCTION("""COMPUTED_VALUE"""),0.311111111111111)</f>
        <v>0.31111111111111101</v>
      </c>
      <c r="X1034" s="8">
        <f ca="1">IFERROR(__xludf.DUMMYFUNCTION("""COMPUTED_VALUE"""),1)</f>
        <v>1</v>
      </c>
      <c r="Y1034" s="12" t="str">
        <f ca="1">IFERROR(__xludf.DUMMYFUNCTION("""COMPUTED_VALUE"""),"Woman hallucinating on meth fired shot near school")</f>
        <v>Woman hallucinating on meth fired shot near school</v>
      </c>
      <c r="Z1034" s="12" t="str">
        <f ca="1">IFERROR(__xludf.DUMMYFUNCTION("""COMPUTED_VALUE"""),"Woman hallucinating on meth fired a shot near school. She surrendered to officers when they arrived. Start of school was delayed and students were diverted from the area.")</f>
        <v>Woman hallucinating on meth fired a shot near school. She surrendered to officers when they arrived. Start of school was delayed and students were diverted from the area.</v>
      </c>
      <c r="AA1034" s="8" t="str">
        <f ca="1">IFERROR(__xludf.DUMMYFUNCTION("""COMPUTED_VALUE"""),"Illegal Activity")</f>
        <v>Illegal Activity</v>
      </c>
      <c r="AB1034" s="8"/>
      <c r="AC1034" s="8" t="str">
        <f ca="1">IFERROR(__xludf.DUMMYFUNCTION("""COMPUTED_VALUE"""),"Yes")</f>
        <v>Yes</v>
      </c>
      <c r="AD1034" s="8" t="str">
        <f ca="1">IFERROR(__xludf.DUMMYFUNCTION("""COMPUTED_VALUE"""),"Neither")</f>
        <v>Neither</v>
      </c>
      <c r="AE1034" s="8" t="str">
        <f ca="1">IFERROR(__xludf.DUMMYFUNCTION("""COMPUTED_VALUE"""),"No")</f>
        <v>No</v>
      </c>
      <c r="AF1034" s="8"/>
      <c r="AG1034" s="8" t="str">
        <f ca="1">IFERROR(__xludf.DUMMYFUNCTION("""COMPUTED_VALUE"""),"No")</f>
        <v>No</v>
      </c>
      <c r="AH1034" s="8" t="str">
        <f ca="1">IFERROR(__xludf.DUMMYFUNCTION("""COMPUTED_VALUE"""),"No")</f>
        <v>No</v>
      </c>
      <c r="AI1034" s="8" t="str">
        <f ca="1">IFERROR(__xludf.DUMMYFUNCTION("""COMPUTED_VALUE"""),"No")</f>
        <v>No</v>
      </c>
      <c r="AJ1034" s="8" t="str">
        <f ca="1">IFERROR(__xludf.DUMMYFUNCTION("""COMPUTED_VALUE"""),"No")</f>
        <v>No</v>
      </c>
      <c r="AK1034" s="8" t="str">
        <f ca="1">IFERROR(__xludf.DUMMYFUNCTION("""COMPUTED_VALUE"""),"No")</f>
        <v>No</v>
      </c>
      <c r="AL1034" s="8" t="str">
        <f ca="1">IFERROR(__xludf.DUMMYFUNCTION("""COMPUTED_VALUE"""),"No")</f>
        <v>No</v>
      </c>
      <c r="AM1034" s="8" t="str">
        <f ca="1">IFERROR(__xludf.DUMMYFUNCTION("""COMPUTED_VALUE"""),"No")</f>
        <v>No</v>
      </c>
      <c r="AN1034" s="8"/>
      <c r="AO1034" s="8" t="str">
        <f ca="1">IFERROR(__xludf.DUMMYFUNCTION("""COMPUTED_VALUE"""),"No")</f>
        <v>No</v>
      </c>
      <c r="AP1034" s="8"/>
      <c r="AQ1034" s="8"/>
      <c r="AR1034" s="8" t="str">
        <f ca="1">IFERROR(__xludf.DUMMYFUNCTION("""COMPUTED_VALUE"""),"Outside/Off-Property")</f>
        <v>Outside/Off-Property</v>
      </c>
      <c r="AS1034" s="8">
        <f ca="1">IFERROR(__xludf.DUMMYFUNCTION("""COMPUTED_VALUE"""),1)</f>
        <v>1</v>
      </c>
      <c r="AT1034" s="8" t="str">
        <f ca="1">IFERROR(__xludf.DUMMYFUNCTION("""COMPUTED_VALUE"""),"Yes")</f>
        <v>Yes</v>
      </c>
      <c r="AU1034" s="8">
        <f ca="1">IFERROR(__xludf.DUMMYFUNCTION("""COMPUTED_VALUE"""),39.598995)</f>
        <v>39.598995000000002</v>
      </c>
      <c r="AV1034" s="8">
        <f ca="1">IFERROR(__xludf.DUMMYFUNCTION("""COMPUTED_VALUE"""),-90.809984)</f>
        <v>-90.809984</v>
      </c>
      <c r="AW1034" s="8"/>
      <c r="AX1034" s="8">
        <f ca="1">IFERROR(__xludf.DUMMYFUNCTION("""COMPUTED_VALUE"""),62363)</f>
        <v>62363</v>
      </c>
    </row>
    <row r="1035" spans="1:50" ht="60" x14ac:dyDescent="0.2">
      <c r="A1035" s="8" t="str">
        <f ca="1">IFERROR(__xludf.DUMMYFUNCTION("""COMPUTED_VALUE"""),"20220520ALMAT")</f>
        <v>20220520ALMAT</v>
      </c>
      <c r="B1035" s="8">
        <f ca="1">IFERROR(__xludf.DUMMYFUNCTION("""COMPUTED_VALUE"""),5)</f>
        <v>5</v>
      </c>
      <c r="C1035" s="8">
        <f ca="1">IFERROR(__xludf.DUMMYFUNCTION("""COMPUTED_VALUE"""),20)</f>
        <v>20</v>
      </c>
      <c r="D1035" s="8">
        <f ca="1">IFERROR(__xludf.DUMMYFUNCTION("""COMPUTED_VALUE"""),2022)</f>
        <v>2022</v>
      </c>
      <c r="E1035" s="9">
        <f ca="1">IFERROR(__xludf.DUMMYFUNCTION("""COMPUTED_VALUE"""),44701)</f>
        <v>44701</v>
      </c>
      <c r="F1035" s="8" t="str">
        <f ca="1">IFERROR(__xludf.DUMMYFUNCTION("""COMPUTED_VALUE"""),"Mary W Burroughs Elementary School")</f>
        <v>Mary W Burroughs Elementary School</v>
      </c>
      <c r="G1035" s="8">
        <f ca="1">IFERROR(__xludf.DUMMYFUNCTION("""COMPUTED_VALUE"""),0)</f>
        <v>0</v>
      </c>
      <c r="H1035" s="8">
        <f ca="1">IFERROR(__xludf.DUMMYFUNCTION("""COMPUTED_VALUE"""),0)</f>
        <v>0</v>
      </c>
      <c r="I1035" s="8">
        <f ca="1">IFERROR(__xludf.DUMMYFUNCTION("""COMPUTED_VALUE"""),0)</f>
        <v>0</v>
      </c>
      <c r="J1035" s="8">
        <f ca="1">IFERROR(__xludf.DUMMYFUNCTION("""COMPUTED_VALUE"""),0)</f>
        <v>0</v>
      </c>
      <c r="K1035" s="8" t="str">
        <f ca="1">IFERROR(__xludf.DUMMYFUNCTION("""COMPUTED_VALUE"""),"https://www.wkrg.com/mobile-county/window-shot-through-at-elementary-school-mobile-police-investigate/ https://www.fox10tv.com/2022/05/23/burroughs-elementary-school-struck-by-stray-bullet/")</f>
        <v>https://www.wkrg.com/mobile-county/window-shot-through-at-elementary-school-mobile-police-investigate/ https://www.fox10tv.com/2022/05/23/burroughs-elementary-school-struck-by-stray-bullet/</v>
      </c>
      <c r="L1035" s="8">
        <f ca="1">IFERROR(__xludf.DUMMYFUNCTION("""COMPUTED_VALUE"""),2)</f>
        <v>2</v>
      </c>
      <c r="M1035" s="8" t="str">
        <f ca="1">IFERROR(__xludf.DUMMYFUNCTION("""COMPUTED_VALUE"""),"Local")</f>
        <v>Local</v>
      </c>
      <c r="N1035" s="8">
        <f ca="1">IFERROR(__xludf.DUMMYFUNCTION("""COMPUTED_VALUE"""),4)</f>
        <v>4</v>
      </c>
      <c r="O1035" s="8" t="str">
        <f ca="1">IFERROR(__xludf.DUMMYFUNCTION("""COMPUTED_VALUE"""),"Spring")</f>
        <v>Spring</v>
      </c>
      <c r="P1035" s="8" t="str">
        <f ca="1">IFERROR(__xludf.DUMMYFUNCTION("""COMPUTED_VALUE"""),"Theodore")</f>
        <v>Theodore</v>
      </c>
      <c r="Q1035" s="8" t="str">
        <f ca="1">IFERROR(__xludf.DUMMYFUNCTION("""COMPUTED_VALUE"""),"AL")</f>
        <v>AL</v>
      </c>
      <c r="R1035" s="8" t="str">
        <f ca="1">IFERROR(__xludf.DUMMYFUNCTION("""COMPUTED_VALUE"""),"Elementary")</f>
        <v>Elementary</v>
      </c>
      <c r="S1035" s="8" t="str">
        <f ca="1">IFERROR(__xludf.DUMMYFUNCTION("""COMPUTED_VALUE"""),"Classroom")</f>
        <v>Classroom</v>
      </c>
      <c r="T1035" s="8" t="str">
        <f ca="1">IFERROR(__xludf.DUMMYFUNCTION("""COMPUTED_VALUE"""),"Both Inside/Outside")</f>
        <v>Both Inside/Outside</v>
      </c>
      <c r="U1035" s="8" t="str">
        <f ca="1">IFERROR(__xludf.DUMMYFUNCTION("""COMPUTED_VALUE"""),"Yes")</f>
        <v>Yes</v>
      </c>
      <c r="V1035" s="8" t="str">
        <f ca="1">IFERROR(__xludf.DUMMYFUNCTION("""COMPUTED_VALUE"""),"Afternoon Classes")</f>
        <v>Afternoon Classes</v>
      </c>
      <c r="W1035" s="11">
        <f ca="1">IFERROR(__xludf.DUMMYFUNCTION("""COMPUTED_VALUE"""),0.5625)</f>
        <v>0.5625</v>
      </c>
      <c r="X1035" s="8">
        <f ca="1">IFERROR(__xludf.DUMMYFUNCTION("""COMPUTED_VALUE"""),1)</f>
        <v>1</v>
      </c>
      <c r="Y1035" s="12" t="str">
        <f ca="1">IFERROR(__xludf.DUMMYFUNCTION("""COMPUTED_VALUE"""),"Bullet broke classroom window")</f>
        <v>Bullet broke classroom window</v>
      </c>
      <c r="Z1035" s="12" t="str">
        <f ca="1">IFERROR(__xludf.DUMMYFUNCTION("""COMPUTED_VALUE"""),"A stray bullet broke the window of a classroom. School was in session but students were not inside that classroom when the shooting occurred. No injuries. Police said the school was not targeted.")</f>
        <v>A stray bullet broke the window of a classroom. School was in session but students were not inside that classroom when the shooting occurred. No injuries. Police said the school was not targeted.</v>
      </c>
      <c r="AA1035" s="8" t="str">
        <f ca="1">IFERROR(__xludf.DUMMYFUNCTION("""COMPUTED_VALUE"""),"Accidental")</f>
        <v>Accidental</v>
      </c>
      <c r="AB1035" s="8"/>
      <c r="AC1035" s="8" t="str">
        <f ca="1">IFERROR(__xludf.DUMMYFUNCTION("""COMPUTED_VALUE"""),"Yes")</f>
        <v>Yes</v>
      </c>
      <c r="AD1035" s="8" t="str">
        <f ca="1">IFERROR(__xludf.DUMMYFUNCTION("""COMPUTED_VALUE"""),"Neither")</f>
        <v>Neither</v>
      </c>
      <c r="AE1035" s="8" t="str">
        <f ca="1">IFERROR(__xludf.DUMMYFUNCTION("""COMPUTED_VALUE"""),"No")</f>
        <v>No</v>
      </c>
      <c r="AF1035" s="8"/>
      <c r="AG1035" s="8" t="str">
        <f ca="1">IFERROR(__xludf.DUMMYFUNCTION("""COMPUTED_VALUE"""),"No")</f>
        <v>No</v>
      </c>
      <c r="AH1035" s="8" t="str">
        <f ca="1">IFERROR(__xludf.DUMMYFUNCTION("""COMPUTED_VALUE"""),"No")</f>
        <v>No</v>
      </c>
      <c r="AI1035" s="8" t="str">
        <f ca="1">IFERROR(__xludf.DUMMYFUNCTION("""COMPUTED_VALUE"""),"No")</f>
        <v>No</v>
      </c>
      <c r="AJ1035" s="8" t="str">
        <f ca="1">IFERROR(__xludf.DUMMYFUNCTION("""COMPUTED_VALUE"""),"No")</f>
        <v>No</v>
      </c>
      <c r="AK1035" s="8" t="str">
        <f ca="1">IFERROR(__xludf.DUMMYFUNCTION("""COMPUTED_VALUE"""),"No")</f>
        <v>No</v>
      </c>
      <c r="AL1035" s="8" t="str">
        <f ca="1">IFERROR(__xludf.DUMMYFUNCTION("""COMPUTED_VALUE"""),"No")</f>
        <v>No</v>
      </c>
      <c r="AM1035" s="8" t="str">
        <f ca="1">IFERROR(__xludf.DUMMYFUNCTION("""COMPUTED_VALUE"""),"No")</f>
        <v>No</v>
      </c>
      <c r="AN1035" s="8"/>
      <c r="AO1035" s="8" t="str">
        <f ca="1">IFERROR(__xludf.DUMMYFUNCTION("""COMPUTED_VALUE"""),"No")</f>
        <v>No</v>
      </c>
      <c r="AP1035" s="8" t="str">
        <f ca="1">IFERROR(__xludf.DUMMYFUNCTION("""COMPUTED_VALUE"""),"No")</f>
        <v>No</v>
      </c>
      <c r="AQ1035" s="8"/>
      <c r="AR1035" s="8" t="str">
        <f ca="1">IFERROR(__xludf.DUMMYFUNCTION("""COMPUTED_VALUE"""),"Outside/Off-Property")</f>
        <v>Outside/Off-Property</v>
      </c>
      <c r="AS1035" s="8">
        <f ca="1">IFERROR(__xludf.DUMMYFUNCTION("""COMPUTED_VALUE"""),1)</f>
        <v>1</v>
      </c>
      <c r="AT1035" s="8"/>
      <c r="AU1035" s="8">
        <f ca="1">IFERROR(__xludf.DUMMYFUNCTION("""COMPUTED_VALUE"""),30.548319)</f>
        <v>30.548318999999999</v>
      </c>
      <c r="AV1035" s="8">
        <f ca="1">IFERROR(__xludf.DUMMYFUNCTION("""COMPUTED_VALUE"""),-88.164114)</f>
        <v>-88.164113999999998</v>
      </c>
      <c r="AW1035" s="8"/>
      <c r="AX1035" s="8">
        <f ca="1">IFERROR(__xludf.DUMMYFUNCTION("""COMPUTED_VALUE"""),36582)</f>
        <v>36582</v>
      </c>
    </row>
    <row r="1036" spans="1:50" ht="45" x14ac:dyDescent="0.2">
      <c r="A1036" s="8" t="str">
        <f ca="1">IFERROR(__xludf.DUMMYFUNCTION("""COMPUTED_VALUE"""),"20220519VAGER")</f>
        <v>20220519VAGER</v>
      </c>
      <c r="B1036" s="8">
        <f ca="1">IFERROR(__xludf.DUMMYFUNCTION("""COMPUTED_VALUE"""),5)</f>
        <v>5</v>
      </c>
      <c r="C1036" s="8">
        <f ca="1">IFERROR(__xludf.DUMMYFUNCTION("""COMPUTED_VALUE"""),19)</f>
        <v>19</v>
      </c>
      <c r="D1036" s="8">
        <f ca="1">IFERROR(__xludf.DUMMYFUNCTION("""COMPUTED_VALUE"""),2022)</f>
        <v>2022</v>
      </c>
      <c r="E1036" s="9">
        <f ca="1">IFERROR(__xludf.DUMMYFUNCTION("""COMPUTED_VALUE"""),44700)</f>
        <v>44700</v>
      </c>
      <c r="F1036" s="8" t="str">
        <f ca="1">IFERROR(__xludf.DUMMYFUNCTION("""COMPUTED_VALUE"""),"George Wythe High School")</f>
        <v>George Wythe High School</v>
      </c>
      <c r="G1036" s="8">
        <f ca="1">IFERROR(__xludf.DUMMYFUNCTION("""COMPUTED_VALUE"""),0)</f>
        <v>0</v>
      </c>
      <c r="H1036" s="8">
        <f ca="1">IFERROR(__xludf.DUMMYFUNCTION("""COMPUTED_VALUE"""),0)</f>
        <v>0</v>
      </c>
      <c r="I1036" s="8">
        <f ca="1">IFERROR(__xludf.DUMMYFUNCTION("""COMPUTED_VALUE"""),0)</f>
        <v>0</v>
      </c>
      <c r="J1036" s="8">
        <f ca="1">IFERROR(__xludf.DUMMYFUNCTION("""COMPUTED_VALUE"""),0)</f>
        <v>0</v>
      </c>
      <c r="K1036" s="8" t="str">
        <f ca="1">IFERROR(__xludf.DUMMYFUNCTION("""COMPUTED_VALUE"""),"https://www.nbc12.com/2022/05/19/police-investigate-report-shots-fired-near-george-wythe-hs/ https://www.wtvr.com/news/local-news/richmond-police-investigate-shooting-outside-george-wythe-high-school https://www.wric.com/news/crime/richmond-police-investi"&amp;"gating-shots-fired-near-george-wythe-high-school/")</f>
        <v>https://www.nbc12.com/2022/05/19/police-investigate-report-shots-fired-near-george-wythe-hs/ https://www.wtvr.com/news/local-news/richmond-police-investigate-shooting-outside-george-wythe-high-school https://www.wric.com/news/crime/richmond-police-investigating-shots-fired-near-george-wythe-high-school/</v>
      </c>
      <c r="L1036" s="8">
        <f ca="1">IFERROR(__xludf.DUMMYFUNCTION("""COMPUTED_VALUE"""),5)</f>
        <v>5</v>
      </c>
      <c r="M1036" s="8" t="str">
        <f ca="1">IFERROR(__xludf.DUMMYFUNCTION("""COMPUTED_VALUE"""),"Local")</f>
        <v>Local</v>
      </c>
      <c r="N1036" s="8">
        <f ca="1">IFERROR(__xludf.DUMMYFUNCTION("""COMPUTED_VALUE"""),3)</f>
        <v>3</v>
      </c>
      <c r="O1036" s="8" t="str">
        <f ca="1">IFERROR(__xludf.DUMMYFUNCTION("""COMPUTED_VALUE"""),"Spring")</f>
        <v>Spring</v>
      </c>
      <c r="P1036" s="8" t="str">
        <f ca="1">IFERROR(__xludf.DUMMYFUNCTION("""COMPUTED_VALUE"""),"Richmond")</f>
        <v>Richmond</v>
      </c>
      <c r="Q1036" s="8" t="str">
        <f ca="1">IFERROR(__xludf.DUMMYFUNCTION("""COMPUTED_VALUE"""),"VA")</f>
        <v>VA</v>
      </c>
      <c r="R1036" s="8" t="str">
        <f ca="1">IFERROR(__xludf.DUMMYFUNCTION("""COMPUTED_VALUE"""),"High")</f>
        <v>High</v>
      </c>
      <c r="S1036" s="8" t="str">
        <f ca="1">IFERROR(__xludf.DUMMYFUNCTION("""COMPUTED_VALUE"""),"Parking Lot")</f>
        <v>Parking Lot</v>
      </c>
      <c r="T1036" s="8" t="str">
        <f ca="1">IFERROR(__xludf.DUMMYFUNCTION("""COMPUTED_VALUE"""),"Outside on School Property")</f>
        <v>Outside on School Property</v>
      </c>
      <c r="U1036" s="8" t="str">
        <f ca="1">IFERROR(__xludf.DUMMYFUNCTION("""COMPUTED_VALUE"""),"Yes")</f>
        <v>Yes</v>
      </c>
      <c r="V1036" s="8" t="str">
        <f ca="1">IFERROR(__xludf.DUMMYFUNCTION("""COMPUTED_VALUE"""),"Afternoon Classes")</f>
        <v>Afternoon Classes</v>
      </c>
      <c r="W1036" s="11">
        <f ca="1">IFERROR(__xludf.DUMMYFUNCTION("""COMPUTED_VALUE"""),0.592361111111111)</f>
        <v>0.59236111111111101</v>
      </c>
      <c r="X1036" s="8">
        <f ca="1">IFERROR(__xludf.DUMMYFUNCTION("""COMPUTED_VALUE"""),1)</f>
        <v>1</v>
      </c>
      <c r="Y1036" s="12" t="str">
        <f ca="1">IFERROR(__xludf.DUMMYFUNCTION("""COMPUTED_VALUE"""),"Shots fired from a vehicle at students in the parking lot")</f>
        <v>Shots fired from a vehicle at students in the parking lot</v>
      </c>
      <c r="Z1036" s="12" t="str">
        <f ca="1">IFERROR(__xludf.DUMMYFUNCTION("""COMPUTED_VALUE"""),"Shots fired from a passing vehicle at students in the parking lot. No injuries. Shooter fled.")</f>
        <v>Shots fired from a passing vehicle at students in the parking lot. No injuries. Shooter fled.</v>
      </c>
      <c r="AA1036" s="8" t="str">
        <f ca="1">IFERROR(__xludf.DUMMYFUNCTION("""COMPUTED_VALUE"""),"Drive-by Shooting")</f>
        <v>Drive-by Shooting</v>
      </c>
      <c r="AB1036" s="8"/>
      <c r="AC1036" s="8" t="str">
        <f ca="1">IFERROR(__xludf.DUMMYFUNCTION("""COMPUTED_VALUE"""),"Yes")</f>
        <v>Yes</v>
      </c>
      <c r="AD1036" s="8" t="str">
        <f ca="1">IFERROR(__xludf.DUMMYFUNCTION("""COMPUTED_VALUE"""),"Random Shooting")</f>
        <v>Random Shooting</v>
      </c>
      <c r="AE1036" s="8" t="str">
        <f ca="1">IFERROR(__xludf.DUMMYFUNCTION("""COMPUTED_VALUE"""),"No")</f>
        <v>No</v>
      </c>
      <c r="AF1036" s="8"/>
      <c r="AG1036" s="8" t="str">
        <f ca="1">IFERROR(__xludf.DUMMYFUNCTION("""COMPUTED_VALUE"""),"No")</f>
        <v>No</v>
      </c>
      <c r="AH1036" s="8" t="str">
        <f ca="1">IFERROR(__xludf.DUMMYFUNCTION("""COMPUTED_VALUE"""),"No")</f>
        <v>No</v>
      </c>
      <c r="AI1036" s="8" t="str">
        <f ca="1">IFERROR(__xludf.DUMMYFUNCTION("""COMPUTED_VALUE"""),"No")</f>
        <v>No</v>
      </c>
      <c r="AJ1036" s="8" t="str">
        <f ca="1">IFERROR(__xludf.DUMMYFUNCTION("""COMPUTED_VALUE"""),"No")</f>
        <v>No</v>
      </c>
      <c r="AK1036" s="8" t="str">
        <f ca="1">IFERROR(__xludf.DUMMYFUNCTION("""COMPUTED_VALUE"""),"No")</f>
        <v>No</v>
      </c>
      <c r="AL1036" s="8"/>
      <c r="AM1036" s="8" t="str">
        <f ca="1">IFERROR(__xludf.DUMMYFUNCTION("""COMPUTED_VALUE"""),"No")</f>
        <v>No</v>
      </c>
      <c r="AN1036" s="8"/>
      <c r="AO1036" s="8" t="str">
        <f ca="1">IFERROR(__xludf.DUMMYFUNCTION("""COMPUTED_VALUE"""),"No")</f>
        <v>No</v>
      </c>
      <c r="AP1036" s="8"/>
      <c r="AQ1036" s="8"/>
      <c r="AR1036" s="8"/>
      <c r="AS1036" s="8">
        <f ca="1">IFERROR(__xludf.DUMMYFUNCTION("""COMPUTED_VALUE"""),99)</f>
        <v>99</v>
      </c>
      <c r="AT1036" s="8"/>
      <c r="AU1036" s="8">
        <f ca="1">IFERROR(__xludf.DUMMYFUNCTION("""COMPUTED_VALUE"""),37.510005)</f>
        <v>37.510005</v>
      </c>
      <c r="AV1036" s="8">
        <f ca="1">IFERROR(__xludf.DUMMYFUNCTION("""COMPUTED_VALUE"""),-77.482211)</f>
        <v>-77.482211000000007</v>
      </c>
      <c r="AW1036" s="8"/>
      <c r="AX1036" s="8">
        <f ca="1">IFERROR(__xludf.DUMMYFUNCTION("""COMPUTED_VALUE"""),23224)</f>
        <v>23224</v>
      </c>
    </row>
    <row r="1037" spans="1:50" ht="60" x14ac:dyDescent="0.2">
      <c r="A1037" s="8" t="str">
        <f ca="1">IFERROR(__xludf.DUMMYFUNCTION("""COMPUTED_VALUE"""),"20220519MIEAK")</f>
        <v>20220519MIEAK</v>
      </c>
      <c r="B1037" s="8">
        <f ca="1">IFERROR(__xludf.DUMMYFUNCTION("""COMPUTED_VALUE"""),5)</f>
        <v>5</v>
      </c>
      <c r="C1037" s="8">
        <f ca="1">IFERROR(__xludf.DUMMYFUNCTION("""COMPUTED_VALUE"""),19)</f>
        <v>19</v>
      </c>
      <c r="D1037" s="8">
        <f ca="1">IFERROR(__xludf.DUMMYFUNCTION("""COMPUTED_VALUE"""),2022)</f>
        <v>2022</v>
      </c>
      <c r="E1037" s="9">
        <f ca="1">IFERROR(__xludf.DUMMYFUNCTION("""COMPUTED_VALUE"""),44700)</f>
        <v>44700</v>
      </c>
      <c r="F1037" s="8" t="str">
        <f ca="1">IFERROR(__xludf.DUMMYFUNCTION("""COMPUTED_VALUE"""),"East Kentwood High School")</f>
        <v>East Kentwood High School</v>
      </c>
      <c r="G1037" s="8">
        <f ca="1">IFERROR(__xludf.DUMMYFUNCTION("""COMPUTED_VALUE"""),0)</f>
        <v>0</v>
      </c>
      <c r="H1037" s="8">
        <f ca="1">IFERROR(__xludf.DUMMYFUNCTION("""COMPUTED_VALUE"""),2)</f>
        <v>2</v>
      </c>
      <c r="I1037" s="8">
        <f ca="1">IFERROR(__xludf.DUMMYFUNCTION("""COMPUTED_VALUE"""),2)</f>
        <v>2</v>
      </c>
      <c r="J1037" s="8">
        <f ca="1">IFERROR(__xludf.DUMMYFUNCTION("""COMPUTED_VALUE"""),0)</f>
        <v>0</v>
      </c>
      <c r="K1037" s="8" t="str">
        <f ca="1">IFERROR(__xludf.DUMMYFUNCTION("""COMPUTED_VALUE"""),"https://www.fox17online.com/news/local-news/kent/breaking-shots-fired-at-east-kentwood-high-school https://www.mlive.com/news/grand-rapids/2022/05/kentwood-closes-several-schools-after-shooting-outside-graduation-ceremony.html https://www.fox17online.com/"&amp;"news/local-news/kent/breaking-shots-fired-at-east-kentwood-high-school https://www.woodtv.com/news/kent-county/deputies-respond-to-reports-of-shots-fired-near-east-kentwood-high-school/")</f>
        <v>https://www.fox17online.com/news/local-news/kent/breaking-shots-fired-at-east-kentwood-high-school https://www.mlive.com/news/grand-rapids/2022/05/kentwood-closes-several-schools-after-shooting-outside-graduation-ceremony.html https://www.fox17online.com/news/local-news/kent/breaking-shots-fired-at-east-kentwood-high-school https://www.woodtv.com/news/kent-county/deputies-respond-to-reports-of-shots-fired-near-east-kentwood-high-school/</v>
      </c>
      <c r="L1037" s="8">
        <f ca="1">IFERROR(__xludf.DUMMYFUNCTION("""COMPUTED_VALUE"""),100)</f>
        <v>100</v>
      </c>
      <c r="M1037" s="8" t="str">
        <f ca="1">IFERROR(__xludf.DUMMYFUNCTION("""COMPUTED_VALUE"""),"National")</f>
        <v>National</v>
      </c>
      <c r="N1037" s="8">
        <f ca="1">IFERROR(__xludf.DUMMYFUNCTION("""COMPUTED_VALUE"""),4)</f>
        <v>4</v>
      </c>
      <c r="O1037" s="8" t="str">
        <f ca="1">IFERROR(__xludf.DUMMYFUNCTION("""COMPUTED_VALUE"""),"Spring")</f>
        <v>Spring</v>
      </c>
      <c r="P1037" s="8" t="str">
        <f ca="1">IFERROR(__xludf.DUMMYFUNCTION("""COMPUTED_VALUE"""),"Kentwood")</f>
        <v>Kentwood</v>
      </c>
      <c r="Q1037" s="8" t="str">
        <f ca="1">IFERROR(__xludf.DUMMYFUNCTION("""COMPUTED_VALUE"""),"MI")</f>
        <v>MI</v>
      </c>
      <c r="R1037" s="8" t="str">
        <f ca="1">IFERROR(__xludf.DUMMYFUNCTION("""COMPUTED_VALUE"""),"High")</f>
        <v>High</v>
      </c>
      <c r="S1037" s="8" t="str">
        <f ca="1">IFERROR(__xludf.DUMMYFUNCTION("""COMPUTED_VALUE"""),"Parking Lot")</f>
        <v>Parking Lot</v>
      </c>
      <c r="T1037" s="8" t="str">
        <f ca="1">IFERROR(__xludf.DUMMYFUNCTION("""COMPUTED_VALUE"""),"Outside on School Property")</f>
        <v>Outside on School Property</v>
      </c>
      <c r="U1037" s="8" t="str">
        <f ca="1">IFERROR(__xludf.DUMMYFUNCTION("""COMPUTED_VALUE"""),"No")</f>
        <v>No</v>
      </c>
      <c r="V1037" s="8" t="str">
        <f ca="1">IFERROR(__xludf.DUMMYFUNCTION("""COMPUTED_VALUE"""),"School Event")</f>
        <v>School Event</v>
      </c>
      <c r="W1037" s="11">
        <f ca="1">IFERROR(__xludf.DUMMYFUNCTION("""COMPUTED_VALUE"""),0.8125)</f>
        <v>0.8125</v>
      </c>
      <c r="X1037" s="8">
        <f ca="1">IFERROR(__xludf.DUMMYFUNCTION("""COMPUTED_VALUE"""),1)</f>
        <v>1</v>
      </c>
      <c r="Y1037" s="12" t="str">
        <f ca="1">IFERROR(__xludf.DUMMYFUNCTION("""COMPUTED_VALUE"""),"Drive-by shooting in the parking lot of the school following graduation")</f>
        <v>Drive-by shooting in the parking lot of the school following graduation</v>
      </c>
      <c r="Z1037" s="12" t="str">
        <f ca="1">IFERROR(__xludf.DUMMYFUNCTION("""COMPUTED_VALUE"""),"Two people were shot in the parking lot near the football stadium of the high school following the graduation ceremony. Both victims (40YOF, 16YOM) were bystanders, not intended targets. Shooter fled in vehicle.")</f>
        <v>Two people were shot in the parking lot near the football stadium of the high school following the graduation ceremony. Both victims (40YOF, 16YOM) were bystanders, not intended targets. Shooter fled in vehicle.</v>
      </c>
      <c r="AA1037" s="8" t="str">
        <f ca="1">IFERROR(__xludf.DUMMYFUNCTION("""COMPUTED_VALUE"""),"Drive-by Shooting")</f>
        <v>Drive-by Shooting</v>
      </c>
      <c r="AB1037" s="8"/>
      <c r="AC1037" s="8" t="str">
        <f ca="1">IFERROR(__xludf.DUMMYFUNCTION("""COMPUTED_VALUE"""),"Yes")</f>
        <v>Yes</v>
      </c>
      <c r="AD1037" s="8" t="str">
        <f ca="1">IFERROR(__xludf.DUMMYFUNCTION("""COMPUTED_VALUE"""),"Both")</f>
        <v>Both</v>
      </c>
      <c r="AE1037" s="8" t="str">
        <f ca="1">IFERROR(__xludf.DUMMYFUNCTION("""COMPUTED_VALUE"""),"Yes")</f>
        <v>Yes</v>
      </c>
      <c r="AF1037" s="8" t="str">
        <f ca="1">IFERROR(__xludf.DUMMYFUNCTION("""COMPUTED_VALUE"""),"Driver and shooter")</f>
        <v>Driver and shooter</v>
      </c>
      <c r="AG1037" s="8" t="str">
        <f ca="1">IFERROR(__xludf.DUMMYFUNCTION("""COMPUTED_VALUE"""),"No")</f>
        <v>No</v>
      </c>
      <c r="AH1037" s="8" t="str">
        <f ca="1">IFERROR(__xludf.DUMMYFUNCTION("""COMPUTED_VALUE"""),"No")</f>
        <v>No</v>
      </c>
      <c r="AI1037" s="8" t="str">
        <f ca="1">IFERROR(__xludf.DUMMYFUNCTION("""COMPUTED_VALUE"""),"No")</f>
        <v>No</v>
      </c>
      <c r="AJ1037" s="8" t="str">
        <f ca="1">IFERROR(__xludf.DUMMYFUNCTION("""COMPUTED_VALUE"""),"No")</f>
        <v>No</v>
      </c>
      <c r="AK1037" s="8" t="str">
        <f ca="1">IFERROR(__xludf.DUMMYFUNCTION("""COMPUTED_VALUE"""),"No")</f>
        <v>No</v>
      </c>
      <c r="AL1037" s="8"/>
      <c r="AM1037" s="8" t="str">
        <f ca="1">IFERROR(__xludf.DUMMYFUNCTION("""COMPUTED_VALUE"""),"No")</f>
        <v>No</v>
      </c>
      <c r="AN1037" s="8"/>
      <c r="AO1037" s="8" t="str">
        <f ca="1">IFERROR(__xludf.DUMMYFUNCTION("""COMPUTED_VALUE"""),"No")</f>
        <v>No</v>
      </c>
      <c r="AP1037" s="8"/>
      <c r="AQ1037" s="8"/>
      <c r="AR1037" s="8"/>
      <c r="AS1037" s="8">
        <f ca="1">IFERROR(__xludf.DUMMYFUNCTION("""COMPUTED_VALUE"""),99)</f>
        <v>99</v>
      </c>
      <c r="AT1037" s="8" t="str">
        <f ca="1">IFERROR(__xludf.DUMMYFUNCTION("""COMPUTED_VALUE"""),"No")</f>
        <v>No</v>
      </c>
      <c r="AU1037" s="8">
        <f ca="1">IFERROR(__xludf.DUMMYFUNCTION("""COMPUTED_VALUE"""),42.850296)</f>
        <v>42.850296</v>
      </c>
      <c r="AV1037" s="8">
        <f ca="1">IFERROR(__xludf.DUMMYFUNCTION("""COMPUTED_VALUE"""),-85.616242)</f>
        <v>-85.616242</v>
      </c>
      <c r="AW1037" s="8"/>
      <c r="AX1037" s="8">
        <f ca="1">IFERROR(__xludf.DUMMYFUNCTION("""COMPUTED_VALUE"""),49508)</f>
        <v>49508</v>
      </c>
    </row>
    <row r="1038" spans="1:50" ht="75" x14ac:dyDescent="0.2">
      <c r="A1038" s="8" t="str">
        <f ca="1">IFERROR(__xludf.DUMMYFUNCTION("""COMPUTED_VALUE"""),"20220519LAHAH")</f>
        <v>20220519LAHAH</v>
      </c>
      <c r="B1038" s="8">
        <f ca="1">IFERROR(__xludf.DUMMYFUNCTION("""COMPUTED_VALUE"""),5)</f>
        <v>5</v>
      </c>
      <c r="C1038" s="8">
        <f ca="1">IFERROR(__xludf.DUMMYFUNCTION("""COMPUTED_VALUE"""),19)</f>
        <v>19</v>
      </c>
      <c r="D1038" s="8">
        <f ca="1">IFERROR(__xludf.DUMMYFUNCTION("""COMPUTED_VALUE"""),2022)</f>
        <v>2022</v>
      </c>
      <c r="E1038" s="9">
        <f ca="1">IFERROR(__xludf.DUMMYFUNCTION("""COMPUTED_VALUE"""),44700)</f>
        <v>44700</v>
      </c>
      <c r="F1038" s="8" t="str">
        <f ca="1">IFERROR(__xludf.DUMMYFUNCTION("""COMPUTED_VALUE"""),"Hammond High Magnet School")</f>
        <v>Hammond High Magnet School</v>
      </c>
      <c r="G1038" s="8">
        <f ca="1">IFERROR(__xludf.DUMMYFUNCTION("""COMPUTED_VALUE"""),0)</f>
        <v>0</v>
      </c>
      <c r="H1038" s="8">
        <f ca="1">IFERROR(__xludf.DUMMYFUNCTION("""COMPUTED_VALUE"""),3)</f>
        <v>3</v>
      </c>
      <c r="I1038" s="8">
        <f ca="1">IFERROR(__xludf.DUMMYFUNCTION("""COMPUTED_VALUE"""),3)</f>
        <v>3</v>
      </c>
      <c r="J1038" s="8">
        <f ca="1">IFERROR(__xludf.DUMMYFUNCTION("""COMPUTED_VALUE"""),0)</f>
        <v>0</v>
      </c>
      <c r="K1038" s="8" t="str">
        <f ca="1">IFERROR(__xludf.DUMMYFUNCTION("""COMPUTED_VALUE"""),"https://www.wdsu.com/article/police-investigating-a-shooting-on-southeastern-universitys-campus/40053292 https://www.wdsu.com/article/police-investigating-a-shooting-on-southeastern-universitys-campus/40053292#")</f>
        <v>https://www.wdsu.com/article/police-investigating-a-shooting-on-southeastern-universitys-campus/40053292 https://www.wdsu.com/article/police-investigating-a-shooting-on-southeastern-universitys-campus/40053292#</v>
      </c>
      <c r="L1038" s="8">
        <f ca="1">IFERROR(__xludf.DUMMYFUNCTION("""COMPUTED_VALUE"""),100)</f>
        <v>100</v>
      </c>
      <c r="M1038" s="8" t="str">
        <f ca="1">IFERROR(__xludf.DUMMYFUNCTION("""COMPUTED_VALUE"""),"National")</f>
        <v>National</v>
      </c>
      <c r="N1038" s="8">
        <f ca="1">IFERROR(__xludf.DUMMYFUNCTION("""COMPUTED_VALUE"""),4)</f>
        <v>4</v>
      </c>
      <c r="O1038" s="8" t="str">
        <f ca="1">IFERROR(__xludf.DUMMYFUNCTION("""COMPUTED_VALUE"""),"Spring")</f>
        <v>Spring</v>
      </c>
      <c r="P1038" s="8" t="str">
        <f ca="1">IFERROR(__xludf.DUMMYFUNCTION("""COMPUTED_VALUE"""),"Hammond")</f>
        <v>Hammond</v>
      </c>
      <c r="Q1038" s="8" t="str">
        <f ca="1">IFERROR(__xludf.DUMMYFUNCTION("""COMPUTED_VALUE"""),"LA")</f>
        <v>LA</v>
      </c>
      <c r="R1038" s="8" t="str">
        <f ca="1">IFERROR(__xludf.DUMMYFUNCTION("""COMPUTED_VALUE"""),"High")</f>
        <v>High</v>
      </c>
      <c r="S1038" s="8" t="str">
        <f ca="1">IFERROR(__xludf.DUMMYFUNCTION("""COMPUTED_VALUE"""),"Off School Property")</f>
        <v>Off School Property</v>
      </c>
      <c r="T1038" s="8" t="str">
        <f ca="1">IFERROR(__xludf.DUMMYFUNCTION("""COMPUTED_VALUE"""),"Off School Property")</f>
        <v>Off School Property</v>
      </c>
      <c r="U1038" s="8" t="str">
        <f ca="1">IFERROR(__xludf.DUMMYFUNCTION("""COMPUTED_VALUE"""),"No")</f>
        <v>No</v>
      </c>
      <c r="V1038" s="8" t="str">
        <f ca="1">IFERROR(__xludf.DUMMYFUNCTION("""COMPUTED_VALUE"""),"School Event")</f>
        <v>School Event</v>
      </c>
      <c r="W1038" s="11">
        <f ca="1">IFERROR(__xludf.DUMMYFUNCTION("""COMPUTED_VALUE"""),0.833333333333333)</f>
        <v>0.83333333333333304</v>
      </c>
      <c r="X1038" s="8">
        <f ca="1">IFERROR(__xludf.DUMMYFUNCTION("""COMPUTED_VALUE"""),1)</f>
        <v>1</v>
      </c>
      <c r="Y1038" s="12" t="str">
        <f ca="1">IFERROR(__xludf.DUMMYFUNCTION("""COMPUTED_VALUE"""),"Shots firing during fight that escalated following graduation ceremony")</f>
        <v>Shots firing during fight that escalated following graduation ceremony</v>
      </c>
      <c r="Z1038" s="12" t="str">
        <f ca="1">IFERROR(__xludf.DUMMYFUNCTION("""COMPUTED_VALUE"""),"A 20-year-old man fired 10 shots during an argument with a minor outside of the auditorium following the high school graduation ceremony held on the Southeastern University campus. 3 bystanders were shot. Shooter fled and was arrested the following day.")</f>
        <v>A 20-year-old man fired 10 shots during an argument with a minor outside of the auditorium following the high school graduation ceremony held on the Southeastern University campus. 3 bystanders were shot. Shooter fled and was arrested the following day.</v>
      </c>
      <c r="AA1038" s="8" t="str">
        <f ca="1">IFERROR(__xludf.DUMMYFUNCTION("""COMPUTED_VALUE"""),"Escalation of Dispute")</f>
        <v>Escalation of Dispute</v>
      </c>
      <c r="AB1038" s="8"/>
      <c r="AC1038" s="8" t="str">
        <f ca="1">IFERROR(__xludf.DUMMYFUNCTION("""COMPUTED_VALUE"""),"Yes")</f>
        <v>Yes</v>
      </c>
      <c r="AD1038" s="8" t="str">
        <f ca="1">IFERROR(__xludf.DUMMYFUNCTION("""COMPUTED_VALUE"""),"Both")</f>
        <v>Both</v>
      </c>
      <c r="AE1038" s="8" t="str">
        <f ca="1">IFERROR(__xludf.DUMMYFUNCTION("""COMPUTED_VALUE"""),"No")</f>
        <v>No</v>
      </c>
      <c r="AF1038" s="8"/>
      <c r="AG1038" s="8" t="str">
        <f ca="1">IFERROR(__xludf.DUMMYFUNCTION("""COMPUTED_VALUE"""),"No")</f>
        <v>No</v>
      </c>
      <c r="AH1038" s="8" t="str">
        <f ca="1">IFERROR(__xludf.DUMMYFUNCTION("""COMPUTED_VALUE"""),"No")</f>
        <v>No</v>
      </c>
      <c r="AI1038" s="8" t="str">
        <f ca="1">IFERROR(__xludf.DUMMYFUNCTION("""COMPUTED_VALUE"""),"No")</f>
        <v>No</v>
      </c>
      <c r="AJ1038" s="8" t="str">
        <f ca="1">IFERROR(__xludf.DUMMYFUNCTION("""COMPUTED_VALUE"""),"No")</f>
        <v>No</v>
      </c>
      <c r="AK1038" s="8" t="str">
        <f ca="1">IFERROR(__xludf.DUMMYFUNCTION("""COMPUTED_VALUE"""),"No")</f>
        <v>No</v>
      </c>
      <c r="AL1038" s="8" t="str">
        <f ca="1">IFERROR(__xludf.DUMMYFUNCTION("""COMPUTED_VALUE"""),"Yes")</f>
        <v>Yes</v>
      </c>
      <c r="AM1038" s="8" t="str">
        <f ca="1">IFERROR(__xludf.DUMMYFUNCTION("""COMPUTED_VALUE"""),"No")</f>
        <v>No</v>
      </c>
      <c r="AN1038" s="8"/>
      <c r="AO1038" s="8" t="str">
        <f ca="1">IFERROR(__xludf.DUMMYFUNCTION("""COMPUTED_VALUE"""),"No")</f>
        <v>No</v>
      </c>
      <c r="AP1038" s="8"/>
      <c r="AQ1038" s="8" t="str">
        <f ca="1">IFERROR(__xludf.DUMMYFUNCTION("""COMPUTED_VALUE"""),"None")</f>
        <v>None</v>
      </c>
      <c r="AR1038" s="8"/>
      <c r="AS1038" s="8">
        <f ca="1">IFERROR(__xludf.DUMMYFUNCTION("""COMPUTED_VALUE"""),10)</f>
        <v>10</v>
      </c>
      <c r="AT1038" s="8" t="str">
        <f ca="1">IFERROR(__xludf.DUMMYFUNCTION("""COMPUTED_VALUE"""),"No")</f>
        <v>No</v>
      </c>
      <c r="AU1038" s="8">
        <f ca="1">IFERROR(__xludf.DUMMYFUNCTION("""COMPUTED_VALUE"""),30.517185)</f>
        <v>30.517185000000001</v>
      </c>
      <c r="AV1038" s="8">
        <f ca="1">IFERROR(__xludf.DUMMYFUNCTION("""COMPUTED_VALUE"""),-90.471392)</f>
        <v>-90.471391999999994</v>
      </c>
      <c r="AW1038" s="8"/>
      <c r="AX1038" s="8">
        <f ca="1">IFERROR(__xludf.DUMMYFUNCTION("""COMPUTED_VALUE"""),70402)</f>
        <v>70402</v>
      </c>
    </row>
    <row r="1039" spans="1:50" ht="135" x14ac:dyDescent="0.2">
      <c r="A1039" s="8" t="str">
        <f ca="1">IFERROR(__xludf.DUMMYFUNCTION("""COMPUTED_VALUE"""),"20220518TNRIM")</f>
        <v>20220518TNRIM</v>
      </c>
      <c r="B1039" s="8">
        <f ca="1">IFERROR(__xludf.DUMMYFUNCTION("""COMPUTED_VALUE"""),5)</f>
        <v>5</v>
      </c>
      <c r="C1039" s="8">
        <f ca="1">IFERROR(__xludf.DUMMYFUNCTION("""COMPUTED_VALUE"""),18)</f>
        <v>18</v>
      </c>
      <c r="D1039" s="8">
        <f ca="1">IFERROR(__xludf.DUMMYFUNCTION("""COMPUTED_VALUE"""),2022)</f>
        <v>2022</v>
      </c>
      <c r="E1039" s="9">
        <f ca="1">IFERROR(__xludf.DUMMYFUNCTION("""COMPUTED_VALUE"""),44699)</f>
        <v>44699</v>
      </c>
      <c r="F1039" s="8" t="str">
        <f ca="1">IFERROR(__xludf.DUMMYFUNCTION("""COMPUTED_VALUE"""),"Riverdale High School")</f>
        <v>Riverdale High School</v>
      </c>
      <c r="G1039" s="8">
        <f ca="1">IFERROR(__xludf.DUMMYFUNCTION("""COMPUTED_VALUE"""),1)</f>
        <v>1</v>
      </c>
      <c r="H1039" s="8">
        <f ca="1">IFERROR(__xludf.DUMMYFUNCTION("""COMPUTED_VALUE"""),1)</f>
        <v>1</v>
      </c>
      <c r="I1039" s="8">
        <f ca="1">IFERROR(__xludf.DUMMYFUNCTION("""COMPUTED_VALUE"""),2)</f>
        <v>2</v>
      </c>
      <c r="J1039" s="8">
        <f ca="1">IFERROR(__xludf.DUMMYFUNCTION("""COMPUTED_VALUE"""),0)</f>
        <v>0</v>
      </c>
      <c r="K1039" s="8" t="str">
        <f ca="1">IFERROR(__xludf.DUMMYFUNCTION("""COMPUTED_VALUE"""),"https://www.tennessean.com/story/news/crime/2022/05/18/mtsu-shooting-campus-murphy-center-middle-tennessee-state-university/9833523002/ https://www.newschannel5.com/news/police-investigating-shooting-outside-of-mtsus-murphy-center https://fox17.com/news/l"&amp;"ocal/shooting-reported-at-mtsus-athletic-center-students-told-to-shelter-in-place")</f>
        <v>https://www.tennessean.com/story/news/crime/2022/05/18/mtsu-shooting-campus-murphy-center-middle-tennessee-state-university/9833523002/ https://www.newschannel5.com/news/police-investigating-shooting-outside-of-mtsus-murphy-center https://fox17.com/news/local/shooting-reported-at-mtsus-athletic-center-students-told-to-shelter-in-place</v>
      </c>
      <c r="L1039" s="8">
        <f ca="1">IFERROR(__xludf.DUMMYFUNCTION("""COMPUTED_VALUE"""),50)</f>
        <v>50</v>
      </c>
      <c r="M1039" s="8" t="str">
        <f ca="1">IFERROR(__xludf.DUMMYFUNCTION("""COMPUTED_VALUE"""),"National")</f>
        <v>National</v>
      </c>
      <c r="N1039" s="8">
        <f ca="1">IFERROR(__xludf.DUMMYFUNCTION("""COMPUTED_VALUE"""),4)</f>
        <v>4</v>
      </c>
      <c r="O1039" s="8" t="str">
        <f ca="1">IFERROR(__xludf.DUMMYFUNCTION("""COMPUTED_VALUE"""),"Spring")</f>
        <v>Spring</v>
      </c>
      <c r="P1039" s="8" t="str">
        <f ca="1">IFERROR(__xludf.DUMMYFUNCTION("""COMPUTED_VALUE"""),"Murfreesboro")</f>
        <v>Murfreesboro</v>
      </c>
      <c r="Q1039" s="8" t="str">
        <f ca="1">IFERROR(__xludf.DUMMYFUNCTION("""COMPUTED_VALUE"""),"TN")</f>
        <v>TN</v>
      </c>
      <c r="R1039" s="8" t="str">
        <f ca="1">IFERROR(__xludf.DUMMYFUNCTION("""COMPUTED_VALUE"""),"High")</f>
        <v>High</v>
      </c>
      <c r="S1039" s="8" t="str">
        <f ca="1">IFERROR(__xludf.DUMMYFUNCTION("""COMPUTED_VALUE"""),"Off School Property")</f>
        <v>Off School Property</v>
      </c>
      <c r="T1039" s="8" t="str">
        <f ca="1">IFERROR(__xludf.DUMMYFUNCTION("""COMPUTED_VALUE"""),"Off School Property")</f>
        <v>Off School Property</v>
      </c>
      <c r="U1039" s="8" t="str">
        <f ca="1">IFERROR(__xludf.DUMMYFUNCTION("""COMPUTED_VALUE"""),"No")</f>
        <v>No</v>
      </c>
      <c r="V1039" s="8" t="str">
        <f ca="1">IFERROR(__xludf.DUMMYFUNCTION("""COMPUTED_VALUE"""),"School Event")</f>
        <v>School Event</v>
      </c>
      <c r="W1039" s="11">
        <f ca="1">IFERROR(__xludf.DUMMYFUNCTION("""COMPUTED_VALUE"""),0.895833333333333)</f>
        <v>0.89583333333333304</v>
      </c>
      <c r="X1039" s="8">
        <f ca="1">IFERROR(__xludf.DUMMYFUNCTION("""COMPUTED_VALUE"""),1)</f>
        <v>1</v>
      </c>
      <c r="Y1039" s="12" t="str">
        <f ca="1">IFERROR(__xludf.DUMMYFUNCTION("""COMPUTED_VALUE"""),"Two people shot following high school graduation on MTSU campus")</f>
        <v>Two people shot following high school graduation on MTSU campus</v>
      </c>
      <c r="Z1039" s="12" t="str">
        <f ca="1">IFERROR(__xludf.DUMMYFUNCTION("""COMPUTED_VALUE"""),"Two people were shot (one fatal, one critical) outside of the auditorium following graduation ceremony for Riverdale High School. The graduation was held on the MTSU campus. 6-8 shots were fired while students and parents were taking photos outside when a"&amp;" fight started between 2 men. Shooter fled. Students and parents went into the auditorium to shelter in place. MTSU campus went on lockdown. Classes were canceled at Riverdale High the following day.")</f>
        <v>Two people were shot (one fatal, one critical) outside of the auditorium following graduation ceremony for Riverdale High School. The graduation was held on the MTSU campus. 6-8 shots were fired while students and parents were taking photos outside when a fight started between 2 men. Shooter fled. Students and parents went into the auditorium to shelter in place. MTSU campus went on lockdown. Classes were canceled at Riverdale High the following day.</v>
      </c>
      <c r="AA1039" s="8" t="str">
        <f ca="1">IFERROR(__xludf.DUMMYFUNCTION("""COMPUTED_VALUE"""),"Escalation of Dispute")</f>
        <v>Escalation of Dispute</v>
      </c>
      <c r="AB1039" s="8"/>
      <c r="AC1039" s="8" t="str">
        <f ca="1">IFERROR(__xludf.DUMMYFUNCTION("""COMPUTED_VALUE"""),"Yes")</f>
        <v>Yes</v>
      </c>
      <c r="AD1039" s="8" t="str">
        <f ca="1">IFERROR(__xludf.DUMMYFUNCTION("""COMPUTED_VALUE"""),"Both")</f>
        <v>Both</v>
      </c>
      <c r="AE1039" s="8" t="str">
        <f ca="1">IFERROR(__xludf.DUMMYFUNCTION("""COMPUTED_VALUE"""),"No")</f>
        <v>No</v>
      </c>
      <c r="AF1039" s="8"/>
      <c r="AG1039" s="8" t="str">
        <f ca="1">IFERROR(__xludf.DUMMYFUNCTION("""COMPUTED_VALUE"""),"No")</f>
        <v>No</v>
      </c>
      <c r="AH1039" s="8" t="str">
        <f ca="1">IFERROR(__xludf.DUMMYFUNCTION("""COMPUTED_VALUE"""),"No")</f>
        <v>No</v>
      </c>
      <c r="AI1039" s="8" t="str">
        <f ca="1">IFERROR(__xludf.DUMMYFUNCTION("""COMPUTED_VALUE"""),"No")</f>
        <v>No</v>
      </c>
      <c r="AJ1039" s="8" t="str">
        <f ca="1">IFERROR(__xludf.DUMMYFUNCTION("""COMPUTED_VALUE"""),"No")</f>
        <v>No</v>
      </c>
      <c r="AK1039" s="8" t="str">
        <f ca="1">IFERROR(__xludf.DUMMYFUNCTION("""COMPUTED_VALUE"""),"No")</f>
        <v>No</v>
      </c>
      <c r="AL1039" s="8"/>
      <c r="AM1039" s="8" t="str">
        <f ca="1">IFERROR(__xludf.DUMMYFUNCTION("""COMPUTED_VALUE"""),"No")</f>
        <v>No</v>
      </c>
      <c r="AN1039" s="8"/>
      <c r="AO1039" s="8" t="str">
        <f ca="1">IFERROR(__xludf.DUMMYFUNCTION("""COMPUTED_VALUE"""),"No")</f>
        <v>No</v>
      </c>
      <c r="AP1039" s="8"/>
      <c r="AQ1039" s="8"/>
      <c r="AR1039" s="8" t="str">
        <f ca="1">IFERROR(__xludf.DUMMYFUNCTION("""COMPUTED_VALUE"""),"Outside/Off-Property")</f>
        <v>Outside/Off-Property</v>
      </c>
      <c r="AS1039" s="8">
        <f ca="1">IFERROR(__xludf.DUMMYFUNCTION("""COMPUTED_VALUE"""),8)</f>
        <v>8</v>
      </c>
      <c r="AT1039" s="8"/>
      <c r="AU1039" s="8">
        <f ca="1">IFERROR(__xludf.DUMMYFUNCTION("""COMPUTED_VALUE"""),35.851863)</f>
        <v>35.851863000000002</v>
      </c>
      <c r="AV1039" s="8">
        <f ca="1">IFERROR(__xludf.DUMMYFUNCTION("""COMPUTED_VALUE"""),-86.368572)</f>
        <v>-86.368572</v>
      </c>
      <c r="AW1039" s="8"/>
      <c r="AX1039" s="8">
        <f ca="1">IFERROR(__xludf.DUMMYFUNCTION("""COMPUTED_VALUE"""),37132)</f>
        <v>37132</v>
      </c>
    </row>
    <row r="1040" spans="1:50" ht="135" x14ac:dyDescent="0.2">
      <c r="A1040" s="8" t="str">
        <f ca="1">IFERROR(__xludf.DUMMYFUNCTION("""COMPUTED_VALUE"""),"20220518FLPAP")</f>
        <v>20220518FLPAP</v>
      </c>
      <c r="B1040" s="8">
        <f ca="1">IFERROR(__xludf.DUMMYFUNCTION("""COMPUTED_VALUE"""),5)</f>
        <v>5</v>
      </c>
      <c r="C1040" s="8">
        <f ca="1">IFERROR(__xludf.DUMMYFUNCTION("""COMPUTED_VALUE"""),18)</f>
        <v>18</v>
      </c>
      <c r="D1040" s="8">
        <f ca="1">IFERROR(__xludf.DUMMYFUNCTION("""COMPUTED_VALUE"""),2022)</f>
        <v>2022</v>
      </c>
      <c r="E1040" s="9">
        <f ca="1">IFERROR(__xludf.DUMMYFUNCTION("""COMPUTED_VALUE"""),44699)</f>
        <v>44699</v>
      </c>
      <c r="F1040" s="8" t="str">
        <f ca="1">IFERROR(__xludf.DUMMYFUNCTION("""COMPUTED_VALUE"""),"Palmetto High School")</f>
        <v>Palmetto High School</v>
      </c>
      <c r="G1040" s="8">
        <f ca="1">IFERROR(__xludf.DUMMYFUNCTION("""COMPUTED_VALUE"""),0)</f>
        <v>0</v>
      </c>
      <c r="H1040" s="8">
        <f ca="1">IFERROR(__xludf.DUMMYFUNCTION("""COMPUTED_VALUE"""),0)</f>
        <v>0</v>
      </c>
      <c r="I1040" s="8">
        <f ca="1">IFERROR(__xludf.DUMMYFUNCTION("""COMPUTED_VALUE"""),0)</f>
        <v>0</v>
      </c>
      <c r="J1040" s="8">
        <f ca="1">IFERROR(__xludf.DUMMYFUNCTION("""COMPUTED_VALUE"""),0)</f>
        <v>0</v>
      </c>
      <c r="K1040" s="8" t="str">
        <f ca="1">IFERROR(__xludf.DUMMYFUNCTION("""COMPUTED_VALUE"""),"https://www.wfla.com/news/local-news/manatee-county/13-year-old-arrested-for-palmetto-high-school-football-game-shooting/ https://www.wtsp.com/article/news/local/manateecounty/shot-fired-palmetto-high-school-football-game/67-367aa1ed-25e0-49a2-a5e6-07c23b"&amp;"0a9dff")</f>
        <v>https://www.wfla.com/news/local-news/manatee-county/13-year-old-arrested-for-palmetto-high-school-football-game-shooting/ https://www.wtsp.com/article/news/local/manateecounty/shot-fired-palmetto-high-school-football-game/67-367aa1ed-25e0-49a2-a5e6-07c23b0a9dff</v>
      </c>
      <c r="L1040" s="8">
        <f ca="1">IFERROR(__xludf.DUMMYFUNCTION("""COMPUTED_VALUE"""),5)</f>
        <v>5</v>
      </c>
      <c r="M1040" s="8" t="str">
        <f ca="1">IFERROR(__xludf.DUMMYFUNCTION("""COMPUTED_VALUE"""),"Regional")</f>
        <v>Regional</v>
      </c>
      <c r="N1040" s="8">
        <f ca="1">IFERROR(__xludf.DUMMYFUNCTION("""COMPUTED_VALUE"""),4)</f>
        <v>4</v>
      </c>
      <c r="O1040" s="8" t="str">
        <f ca="1">IFERROR(__xludf.DUMMYFUNCTION("""COMPUTED_VALUE"""),"Spring")</f>
        <v>Spring</v>
      </c>
      <c r="P1040" s="8" t="str">
        <f ca="1">IFERROR(__xludf.DUMMYFUNCTION("""COMPUTED_VALUE"""),"Palmetto")</f>
        <v>Palmetto</v>
      </c>
      <c r="Q1040" s="8" t="str">
        <f ca="1">IFERROR(__xludf.DUMMYFUNCTION("""COMPUTED_VALUE"""),"FL")</f>
        <v>FL</v>
      </c>
      <c r="R1040" s="8" t="str">
        <f ca="1">IFERROR(__xludf.DUMMYFUNCTION("""COMPUTED_VALUE"""),"High")</f>
        <v>High</v>
      </c>
      <c r="S1040" s="8" t="str">
        <f ca="1">IFERROR(__xludf.DUMMYFUNCTION("""COMPUTED_VALUE"""),"Football Field/Track")</f>
        <v>Football Field/Track</v>
      </c>
      <c r="T1040" s="8" t="str">
        <f ca="1">IFERROR(__xludf.DUMMYFUNCTION("""COMPUTED_VALUE"""),"Outside on School Property")</f>
        <v>Outside on School Property</v>
      </c>
      <c r="U1040" s="8" t="str">
        <f ca="1">IFERROR(__xludf.DUMMYFUNCTION("""COMPUTED_VALUE"""),"No")</f>
        <v>No</v>
      </c>
      <c r="V1040" s="8" t="str">
        <f ca="1">IFERROR(__xludf.DUMMYFUNCTION("""COMPUTED_VALUE"""),"Sport Event")</f>
        <v>Sport Event</v>
      </c>
      <c r="W1040" s="11">
        <f ca="1">IFERROR(__xludf.DUMMYFUNCTION("""COMPUTED_VALUE"""),0.895833333333333)</f>
        <v>0.89583333333333304</v>
      </c>
      <c r="X1040" s="8">
        <f ca="1">IFERROR(__xludf.DUMMYFUNCTION("""COMPUTED_VALUE"""),1)</f>
        <v>1</v>
      </c>
      <c r="Y1040" s="12" t="str">
        <f ca="1">IFERROR(__xludf.DUMMYFUNCTION("""COMPUTED_VALUE"""),"Shot fired during fight on sideline during football game")</f>
        <v>Shot fired during fight on sideline during football game</v>
      </c>
      <c r="Z1040" s="12" t="str">
        <f ca="1">IFERROR(__xludf.DUMMYFUNCTION("""COMPUTED_VALUE"""),"A shot was fired during a fight between a group of students on the sideline at the end of a football game. Students ran. Police found two handguns in the stadium. No injuries. Police and school staff were present at the game and witnessed the shooting. Ga"&amp;"me was televised on local TV, broadcast shows players lining up and then sprinting off the field when the shot is fired. When 13-year-old shooter was arrested 2 days later, a handgun was found at his house. Shooter had prior criminal history.")</f>
        <v>A shot was fired during a fight between a group of students on the sideline at the end of a football game. Students ran. Police found two handguns in the stadium. No injuries. Police and school staff were present at the game and witnessed the shooting. Game was televised on local TV, broadcast shows players lining up and then sprinting off the field when the shot is fired. When 13-year-old shooter was arrested 2 days later, a handgun was found at his house. Shooter had prior criminal history.</v>
      </c>
      <c r="AA1040" s="8" t="str">
        <f ca="1">IFERROR(__xludf.DUMMYFUNCTION("""COMPUTED_VALUE"""),"Escalation of Dispute")</f>
        <v>Escalation of Dispute</v>
      </c>
      <c r="AB1040" s="8"/>
      <c r="AC1040" s="8" t="str">
        <f ca="1">IFERROR(__xludf.DUMMYFUNCTION("""COMPUTED_VALUE"""),"Yes")</f>
        <v>Yes</v>
      </c>
      <c r="AD1040" s="8" t="str">
        <f ca="1">IFERROR(__xludf.DUMMYFUNCTION("""COMPUTED_VALUE"""),"Victims Targeted")</f>
        <v>Victims Targeted</v>
      </c>
      <c r="AE1040" s="8" t="str">
        <f ca="1">IFERROR(__xludf.DUMMYFUNCTION("""COMPUTED_VALUE"""),"No")</f>
        <v>No</v>
      </c>
      <c r="AF1040" s="8"/>
      <c r="AG1040" s="8" t="str">
        <f ca="1">IFERROR(__xludf.DUMMYFUNCTION("""COMPUTED_VALUE"""),"No")</f>
        <v>No</v>
      </c>
      <c r="AH1040" s="8" t="str">
        <f ca="1">IFERROR(__xludf.DUMMYFUNCTION("""COMPUTED_VALUE"""),"No")</f>
        <v>No</v>
      </c>
      <c r="AI1040" s="8" t="str">
        <f ca="1">IFERROR(__xludf.DUMMYFUNCTION("""COMPUTED_VALUE"""),"No")</f>
        <v>No</v>
      </c>
      <c r="AJ1040" s="8" t="str">
        <f ca="1">IFERROR(__xludf.DUMMYFUNCTION("""COMPUTED_VALUE"""),"No")</f>
        <v>No</v>
      </c>
      <c r="AK1040" s="8" t="str">
        <f ca="1">IFERROR(__xludf.DUMMYFUNCTION("""COMPUTED_VALUE"""),"No")</f>
        <v>No</v>
      </c>
      <c r="AL1040" s="8"/>
      <c r="AM1040" s="8" t="str">
        <f ca="1">IFERROR(__xludf.DUMMYFUNCTION("""COMPUTED_VALUE"""),"No")</f>
        <v>No</v>
      </c>
      <c r="AN1040" s="8"/>
      <c r="AO1040" s="8" t="str">
        <f ca="1">IFERROR(__xludf.DUMMYFUNCTION("""COMPUTED_VALUE"""),"No")</f>
        <v>No</v>
      </c>
      <c r="AP1040" s="8" t="str">
        <f ca="1">IFERROR(__xludf.DUMMYFUNCTION("""COMPUTED_VALUE"""),"Yes")</f>
        <v>Yes</v>
      </c>
      <c r="AQ1040" s="8" t="str">
        <f ca="1">IFERROR(__xludf.DUMMYFUNCTION("""COMPUTED_VALUE"""),"Armed Guards")</f>
        <v>Armed Guards</v>
      </c>
      <c r="AR1040" s="8" t="str">
        <f ca="1">IFERROR(__xludf.DUMMYFUNCTION("""COMPUTED_VALUE"""),"Failed")</f>
        <v>Failed</v>
      </c>
      <c r="AS1040" s="8">
        <f ca="1">IFERROR(__xludf.DUMMYFUNCTION("""COMPUTED_VALUE"""),1)</f>
        <v>1</v>
      </c>
      <c r="AT1040" s="8" t="str">
        <f ca="1">IFERROR(__xludf.DUMMYFUNCTION("""COMPUTED_VALUE"""),"No")</f>
        <v>No</v>
      </c>
      <c r="AU1040" s="8">
        <f ca="1">IFERROR(__xludf.DUMMYFUNCTION("""COMPUTED_VALUE"""),27.530959)</f>
        <v>27.530958999999999</v>
      </c>
      <c r="AV1040" s="8">
        <f ca="1">IFERROR(__xludf.DUMMYFUNCTION("""COMPUTED_VALUE"""),-82.579147)</f>
        <v>-82.579147000000006</v>
      </c>
      <c r="AW1040" s="8"/>
      <c r="AX1040" s="8">
        <f ca="1">IFERROR(__xludf.DUMMYFUNCTION("""COMPUTED_VALUE"""),34221)</f>
        <v>34221</v>
      </c>
    </row>
    <row r="1041" spans="1:50" ht="75" x14ac:dyDescent="0.2">
      <c r="A1041" s="8" t="str">
        <f ca="1">IFERROR(__xludf.DUMMYFUNCTION("""COMPUTED_VALUE"""),"20220517ILWAC")</f>
        <v>20220517ILWAC</v>
      </c>
      <c r="B1041" s="8">
        <f ca="1">IFERROR(__xludf.DUMMYFUNCTION("""COMPUTED_VALUE"""),5)</f>
        <v>5</v>
      </c>
      <c r="C1041" s="8">
        <f ca="1">IFERROR(__xludf.DUMMYFUNCTION("""COMPUTED_VALUE"""),17)</f>
        <v>17</v>
      </c>
      <c r="D1041" s="8">
        <f ca="1">IFERROR(__xludf.DUMMYFUNCTION("""COMPUTED_VALUE"""),2022)</f>
        <v>2022</v>
      </c>
      <c r="E1041" s="9">
        <f ca="1">IFERROR(__xludf.DUMMYFUNCTION("""COMPUTED_VALUE"""),44698)</f>
        <v>44698</v>
      </c>
      <c r="F1041" s="8" t="str">
        <f ca="1">IFERROR(__xludf.DUMMYFUNCTION("""COMPUTED_VALUE"""),"Walt Disney Magnet School")</f>
        <v>Walt Disney Magnet School</v>
      </c>
      <c r="G1041" s="8">
        <f ca="1">IFERROR(__xludf.DUMMYFUNCTION("""COMPUTED_VALUE"""),0)</f>
        <v>0</v>
      </c>
      <c r="H1041" s="8">
        <f ca="1">IFERROR(__xludf.DUMMYFUNCTION("""COMPUTED_VALUE"""),1)</f>
        <v>1</v>
      </c>
      <c r="I1041" s="8">
        <f ca="1">IFERROR(__xludf.DUMMYFUNCTION("""COMPUTED_VALUE"""),1)</f>
        <v>1</v>
      </c>
      <c r="J1041" s="8">
        <f ca="1">IFERROR(__xludf.DUMMYFUNCTION("""COMPUTED_VALUE"""),0)</f>
        <v>0</v>
      </c>
      <c r="K1041" s="8" t="str">
        <f ca="1">IFERROR(__xludf.DUMMYFUNCTION("""COMPUTED_VALUE"""),"https://abc7chicago.com/disney-magnet-school-shooting-chicago-crime-student-shot/11861196/ https://chicago.suntimes.com/2022/5/17/23099133/7-year-old-boy-hospitalized-with-graze-wound-following-incident-at-disney-magnet-school https://wgntv.com/news/chica"&amp;"gocrime/second-grader-suffers-graze-wound-at-disney-magnet-school/ https://www.fox32chicago.com/news/7-year-old-wounded-after-gun-goes-off-at-chicagos-walt-disney-magnet-school")</f>
        <v>https://abc7chicago.com/disney-magnet-school-shooting-chicago-crime-student-shot/11861196/ https://chicago.suntimes.com/2022/5/17/23099133/7-year-old-boy-hospitalized-with-graze-wound-following-incident-at-disney-magnet-school https://wgntv.com/news/chicagocrime/second-grader-suffers-graze-wound-at-disney-magnet-school/ https://www.fox32chicago.com/news/7-year-old-wounded-after-gun-goes-off-at-chicagos-walt-disney-magnet-school</v>
      </c>
      <c r="L1041" s="8">
        <f ca="1">IFERROR(__xludf.DUMMYFUNCTION("""COMPUTED_VALUE"""),10)</f>
        <v>10</v>
      </c>
      <c r="M1041" s="8" t="str">
        <f ca="1">IFERROR(__xludf.DUMMYFUNCTION("""COMPUTED_VALUE"""),"Regional")</f>
        <v>Regional</v>
      </c>
      <c r="N1041" s="8">
        <f ca="1">IFERROR(__xludf.DUMMYFUNCTION("""COMPUTED_VALUE"""),4)</f>
        <v>4</v>
      </c>
      <c r="O1041" s="8" t="str">
        <f ca="1">IFERROR(__xludf.DUMMYFUNCTION("""COMPUTED_VALUE"""),"Spring")</f>
        <v>Spring</v>
      </c>
      <c r="P1041" s="8" t="str">
        <f ca="1">IFERROR(__xludf.DUMMYFUNCTION("""COMPUTED_VALUE"""),"Chicago")</f>
        <v>Chicago</v>
      </c>
      <c r="Q1041" s="8" t="str">
        <f ca="1">IFERROR(__xludf.DUMMYFUNCTION("""COMPUTED_VALUE"""),"IL")</f>
        <v>IL</v>
      </c>
      <c r="R1041" s="8" t="str">
        <f ca="1">IFERROR(__xludf.DUMMYFUNCTION("""COMPUTED_VALUE"""),"K-8")</f>
        <v>K-8</v>
      </c>
      <c r="S1041" s="8" t="str">
        <f ca="1">IFERROR(__xludf.DUMMYFUNCTION("""COMPUTED_VALUE"""),"Classroom")</f>
        <v>Classroom</v>
      </c>
      <c r="T1041" s="8" t="str">
        <f ca="1">IFERROR(__xludf.DUMMYFUNCTION("""COMPUTED_VALUE"""),"Inside School Building")</f>
        <v>Inside School Building</v>
      </c>
      <c r="U1041" s="8" t="str">
        <f ca="1">IFERROR(__xludf.DUMMYFUNCTION("""COMPUTED_VALUE"""),"Yes")</f>
        <v>Yes</v>
      </c>
      <c r="V1041" s="8" t="str">
        <f ca="1">IFERROR(__xludf.DUMMYFUNCTION("""COMPUTED_VALUE"""),"Morning Classes")</f>
        <v>Morning Classes</v>
      </c>
      <c r="W1041" s="11">
        <f ca="1">IFERROR(__xludf.DUMMYFUNCTION("""COMPUTED_VALUE"""),0.416666666666666)</f>
        <v>0.41666666666666602</v>
      </c>
      <c r="X1041" s="8">
        <f ca="1">IFERROR(__xludf.DUMMYFUNCTION("""COMPUTED_VALUE"""),1)</f>
        <v>1</v>
      </c>
      <c r="Y1041" s="12" t="str">
        <f ca="1">IFERROR(__xludf.DUMMYFUNCTION("""COMPUTED_VALUE"""),"Gun inside 7-year-old students backpack fired in classroom striking classmate")</f>
        <v>Gun inside 7-year-old students backpack fired in classroom striking classmate</v>
      </c>
      <c r="Z1041" s="12" t="str">
        <f ca="1">IFERROR(__xludf.DUMMYFUNCTION("""COMPUTED_VALUE"""),"A gun inside a 7-year-old student's backpack fired inside the classroom striking another 7-year-old student in the abdomen. School did not close and classes continued. Mother charged with 3 counts of child endangerment.")</f>
        <v>A gun inside a 7-year-old student's backpack fired inside the classroom striking another 7-year-old student in the abdomen. School did not close and classes continued. Mother charged with 3 counts of child endangerment.</v>
      </c>
      <c r="AA1041" s="8" t="str">
        <f ca="1">IFERROR(__xludf.DUMMYFUNCTION("""COMPUTED_VALUE"""),"Accidental")</f>
        <v>Accidental</v>
      </c>
      <c r="AB1041" s="8"/>
      <c r="AC1041" s="8" t="str">
        <f ca="1">IFERROR(__xludf.DUMMYFUNCTION("""COMPUTED_VALUE"""),"Yes")</f>
        <v>Yes</v>
      </c>
      <c r="AD1041" s="8" t="str">
        <f ca="1">IFERROR(__xludf.DUMMYFUNCTION("""COMPUTED_VALUE"""),"Random Shooting")</f>
        <v>Random Shooting</v>
      </c>
      <c r="AE1041" s="8" t="str">
        <f ca="1">IFERROR(__xludf.DUMMYFUNCTION("""COMPUTED_VALUE"""),"No")</f>
        <v>No</v>
      </c>
      <c r="AF1041" s="8"/>
      <c r="AG1041" s="8" t="str">
        <f ca="1">IFERROR(__xludf.DUMMYFUNCTION("""COMPUTED_VALUE"""),"No")</f>
        <v>No</v>
      </c>
      <c r="AH1041" s="8" t="str">
        <f ca="1">IFERROR(__xludf.DUMMYFUNCTION("""COMPUTED_VALUE"""),"No")</f>
        <v>No</v>
      </c>
      <c r="AI1041" s="8" t="str">
        <f ca="1">IFERROR(__xludf.DUMMYFUNCTION("""COMPUTED_VALUE"""),"No")</f>
        <v>No</v>
      </c>
      <c r="AJ1041" s="8" t="str">
        <f ca="1">IFERROR(__xludf.DUMMYFUNCTION("""COMPUTED_VALUE"""),"No")</f>
        <v>No</v>
      </c>
      <c r="AK1041" s="8" t="str">
        <f ca="1">IFERROR(__xludf.DUMMYFUNCTION("""COMPUTED_VALUE"""),"No")</f>
        <v>No</v>
      </c>
      <c r="AL1041" s="8" t="str">
        <f ca="1">IFERROR(__xludf.DUMMYFUNCTION("""COMPUTED_VALUE"""),"No")</f>
        <v>No</v>
      </c>
      <c r="AM1041" s="8" t="str">
        <f ca="1">IFERROR(__xludf.DUMMYFUNCTION("""COMPUTED_VALUE"""),"No")</f>
        <v>No</v>
      </c>
      <c r="AN1041" s="8"/>
      <c r="AO1041" s="8" t="str">
        <f ca="1">IFERROR(__xludf.DUMMYFUNCTION("""COMPUTED_VALUE"""),"No")</f>
        <v>No</v>
      </c>
      <c r="AP1041" s="8"/>
      <c r="AQ1041" s="8"/>
      <c r="AR1041" s="8" t="str">
        <f ca="1">IFERROR(__xludf.DUMMYFUNCTION("""COMPUTED_VALUE"""),"Failed")</f>
        <v>Failed</v>
      </c>
      <c r="AS1041" s="8">
        <f ca="1">IFERROR(__xludf.DUMMYFUNCTION("""COMPUTED_VALUE"""),1)</f>
        <v>1</v>
      </c>
      <c r="AT1041" s="8" t="str">
        <f ca="1">IFERROR(__xludf.DUMMYFUNCTION("""COMPUTED_VALUE"""),"No")</f>
        <v>No</v>
      </c>
      <c r="AU1041" s="8">
        <f ca="1">IFERROR(__xludf.DUMMYFUNCTION("""COMPUTED_VALUE"""),41.95692)</f>
        <v>41.956919999999997</v>
      </c>
      <c r="AV1041" s="8">
        <f ca="1">IFERROR(__xludf.DUMMYFUNCTION("""COMPUTED_VALUE"""),-87.645951)</f>
        <v>-87.645950999999997</v>
      </c>
      <c r="AW1041" s="8"/>
      <c r="AX1041" s="8">
        <f ca="1">IFERROR(__xludf.DUMMYFUNCTION("""COMPUTED_VALUE"""),60613)</f>
        <v>60613</v>
      </c>
    </row>
    <row r="1042" spans="1:50" ht="45" x14ac:dyDescent="0.2">
      <c r="A1042" s="8" t="str">
        <f ca="1">IFERROR(__xludf.DUMMYFUNCTION("""COMPUTED_VALUE"""),"20220517CASAS")</f>
        <v>20220517CASAS</v>
      </c>
      <c r="B1042" s="8">
        <f ca="1">IFERROR(__xludf.DUMMYFUNCTION("""COMPUTED_VALUE"""),5)</f>
        <v>5</v>
      </c>
      <c r="C1042" s="8">
        <f ca="1">IFERROR(__xludf.DUMMYFUNCTION("""COMPUTED_VALUE"""),17)</f>
        <v>17</v>
      </c>
      <c r="D1042" s="8">
        <f ca="1">IFERROR(__xludf.DUMMYFUNCTION("""COMPUTED_VALUE"""),2022)</f>
        <v>2022</v>
      </c>
      <c r="E1042" s="9">
        <f ca="1">IFERROR(__xludf.DUMMYFUNCTION("""COMPUTED_VALUE"""),44698)</f>
        <v>44698</v>
      </c>
      <c r="F1042" s="8" t="str">
        <f ca="1">IFERROR(__xludf.DUMMYFUNCTION("""COMPUTED_VALUE"""),"School Bus")</f>
        <v>School Bus</v>
      </c>
      <c r="G1042" s="8">
        <f ca="1">IFERROR(__xludf.DUMMYFUNCTION("""COMPUTED_VALUE"""),0)</f>
        <v>0</v>
      </c>
      <c r="H1042" s="8">
        <f ca="1">IFERROR(__xludf.DUMMYFUNCTION("""COMPUTED_VALUE"""),0)</f>
        <v>0</v>
      </c>
      <c r="I1042" s="8">
        <f ca="1">IFERROR(__xludf.DUMMYFUNCTION("""COMPUTED_VALUE"""),0)</f>
        <v>0</v>
      </c>
      <c r="J1042" s="8">
        <f ca="1">IFERROR(__xludf.DUMMYFUNCTION("""COMPUTED_VALUE"""),0)</f>
        <v>0</v>
      </c>
      <c r="K1042" s="10" t="str">
        <f ca="1">IFERROR(__xludf.DUMMYFUNCTION("""COMPUTED_VALUE"""),"https://www.cbsnews.com/sanfrancisco/news/school-bus-in-san-francisco-hit-by-gunfire/")</f>
        <v>https://www.cbsnews.com/sanfrancisco/news/school-bus-in-san-francisco-hit-by-gunfire/</v>
      </c>
      <c r="L1042" s="8">
        <f ca="1">IFERROR(__xludf.DUMMYFUNCTION("""COMPUTED_VALUE"""),2)</f>
        <v>2</v>
      </c>
      <c r="M1042" s="8" t="str">
        <f ca="1">IFERROR(__xludf.DUMMYFUNCTION("""COMPUTED_VALUE"""),"Local")</f>
        <v>Local</v>
      </c>
      <c r="N1042" s="8">
        <f ca="1">IFERROR(__xludf.DUMMYFUNCTION("""COMPUTED_VALUE"""),3)</f>
        <v>3</v>
      </c>
      <c r="O1042" s="8" t="str">
        <f ca="1">IFERROR(__xludf.DUMMYFUNCTION("""COMPUTED_VALUE"""),"Spring")</f>
        <v>Spring</v>
      </c>
      <c r="P1042" s="8" t="str">
        <f ca="1">IFERROR(__xludf.DUMMYFUNCTION("""COMPUTED_VALUE"""),"San Francisco")</f>
        <v>San Francisco</v>
      </c>
      <c r="Q1042" s="8" t="str">
        <f ca="1">IFERROR(__xludf.DUMMYFUNCTION("""COMPUTED_VALUE"""),"CA")</f>
        <v>CA</v>
      </c>
      <c r="R1042" s="8" t="str">
        <f ca="1">IFERROR(__xludf.DUMMYFUNCTION("""COMPUTED_VALUE"""),"Other")</f>
        <v>Other</v>
      </c>
      <c r="S1042" s="8" t="str">
        <f ca="1">IFERROR(__xludf.DUMMYFUNCTION("""COMPUTED_VALUE"""),"School Bus")</f>
        <v>School Bus</v>
      </c>
      <c r="T1042" s="8" t="str">
        <f ca="1">IFERROR(__xludf.DUMMYFUNCTION("""COMPUTED_VALUE"""),"School Bus")</f>
        <v>School Bus</v>
      </c>
      <c r="U1042" s="8" t="str">
        <f ca="1">IFERROR(__xludf.DUMMYFUNCTION("""COMPUTED_VALUE"""),"Yes")</f>
        <v>Yes</v>
      </c>
      <c r="V1042" s="8" t="str">
        <f ca="1">IFERROR(__xludf.DUMMYFUNCTION("""COMPUTED_VALUE"""),"Morning Classes")</f>
        <v>Morning Classes</v>
      </c>
      <c r="W1042" s="11">
        <f ca="1">IFERROR(__xludf.DUMMYFUNCTION("""COMPUTED_VALUE"""),0.375)</f>
        <v>0.375</v>
      </c>
      <c r="X1042" s="8">
        <f ca="1">IFERROR(__xludf.DUMMYFUNCTION("""COMPUTED_VALUE"""),1)</f>
        <v>1</v>
      </c>
      <c r="Y1042" s="12" t="str">
        <f ca="1">IFERROR(__xludf.DUMMYFUNCTION("""COMPUTED_VALUE"""),"School bus struck multiple times during drive-by")</f>
        <v>School bus struck multiple times during drive-by</v>
      </c>
      <c r="Z1042" s="12" t="str">
        <f ca="1">IFERROR(__xludf.DUMMYFUNCTION("""COMPUTED_VALUE"""),"A parked school bus was struck multiple times during a drive-by shooting. Driver took cover. No students were on the bus. No injuries.")</f>
        <v>A parked school bus was struck multiple times during a drive-by shooting. Driver took cover. No students were on the bus. No injuries.</v>
      </c>
      <c r="AA1042" s="8" t="str">
        <f ca="1">IFERROR(__xludf.DUMMYFUNCTION("""COMPUTED_VALUE"""),"Drive-by Shooting")</f>
        <v>Drive-by Shooting</v>
      </c>
      <c r="AB1042" s="8"/>
      <c r="AC1042" s="8" t="str">
        <f ca="1">IFERROR(__xludf.DUMMYFUNCTION("""COMPUTED_VALUE"""),"Yes")</f>
        <v>Yes</v>
      </c>
      <c r="AD1042" s="8" t="str">
        <f ca="1">IFERROR(__xludf.DUMMYFUNCTION("""COMPUTED_VALUE"""),"Both")</f>
        <v>Both</v>
      </c>
      <c r="AE1042" s="8" t="str">
        <f ca="1">IFERROR(__xludf.DUMMYFUNCTION("""COMPUTED_VALUE"""),"No")</f>
        <v>No</v>
      </c>
      <c r="AF1042" s="8"/>
      <c r="AG1042" s="8" t="str">
        <f ca="1">IFERROR(__xludf.DUMMYFUNCTION("""COMPUTED_VALUE"""),"No")</f>
        <v>No</v>
      </c>
      <c r="AH1042" s="8" t="str">
        <f ca="1">IFERROR(__xludf.DUMMYFUNCTION("""COMPUTED_VALUE"""),"No")</f>
        <v>No</v>
      </c>
      <c r="AI1042" s="8" t="str">
        <f ca="1">IFERROR(__xludf.DUMMYFUNCTION("""COMPUTED_VALUE"""),"No")</f>
        <v>No</v>
      </c>
      <c r="AJ1042" s="8" t="str">
        <f ca="1">IFERROR(__xludf.DUMMYFUNCTION("""COMPUTED_VALUE"""),"No")</f>
        <v>No</v>
      </c>
      <c r="AK1042" s="8" t="str">
        <f ca="1">IFERROR(__xludf.DUMMYFUNCTION("""COMPUTED_VALUE"""),"No")</f>
        <v>No</v>
      </c>
      <c r="AL1042" s="8"/>
      <c r="AM1042" s="8" t="str">
        <f ca="1">IFERROR(__xludf.DUMMYFUNCTION("""COMPUTED_VALUE"""),"No")</f>
        <v>No</v>
      </c>
      <c r="AN1042" s="8"/>
      <c r="AO1042" s="8" t="str">
        <f ca="1">IFERROR(__xludf.DUMMYFUNCTION("""COMPUTED_VALUE"""),"No")</f>
        <v>No</v>
      </c>
      <c r="AP1042" s="8"/>
      <c r="AQ1042" s="8"/>
      <c r="AR1042" s="8" t="str">
        <f ca="1">IFERROR(__xludf.DUMMYFUNCTION("""COMPUTED_VALUE"""),"Outside/Off-Property")</f>
        <v>Outside/Off-Property</v>
      </c>
      <c r="AS1042" s="8">
        <f ca="1">IFERROR(__xludf.DUMMYFUNCTION("""COMPUTED_VALUE"""),99)</f>
        <v>99</v>
      </c>
      <c r="AT1042" s="8"/>
      <c r="AU1042" s="8">
        <f ca="1">IFERROR(__xludf.DUMMYFUNCTION("""COMPUTED_VALUE"""),37.722203)</f>
        <v>37.722203</v>
      </c>
      <c r="AV1042" s="8">
        <f ca="1">IFERROR(__xludf.DUMMYFUNCTION("""COMPUTED_VALUE"""),-122.393054)</f>
        <v>-122.39305400000001</v>
      </c>
      <c r="AW1042" s="8"/>
      <c r="AX1042" s="8">
        <f ca="1">IFERROR(__xludf.DUMMYFUNCTION("""COMPUTED_VALUE"""),94188)</f>
        <v>94188</v>
      </c>
    </row>
    <row r="1043" spans="1:50" ht="90" x14ac:dyDescent="0.2">
      <c r="A1043" s="8" t="str">
        <f ca="1">IFERROR(__xludf.DUMMYFUNCTION("""COMPUTED_VALUE"""),"20220516TXMEM")</f>
        <v>20220516TXMEM</v>
      </c>
      <c r="B1043" s="8">
        <f ca="1">IFERROR(__xludf.DUMMYFUNCTION("""COMPUTED_VALUE"""),5)</f>
        <v>5</v>
      </c>
      <c r="C1043" s="8">
        <f ca="1">IFERROR(__xludf.DUMMYFUNCTION("""COMPUTED_VALUE"""),16)</f>
        <v>16</v>
      </c>
      <c r="D1043" s="8">
        <f ca="1">IFERROR(__xludf.DUMMYFUNCTION("""COMPUTED_VALUE"""),2022)</f>
        <v>2022</v>
      </c>
      <c r="E1043" s="9">
        <f ca="1">IFERROR(__xludf.DUMMYFUNCTION("""COMPUTED_VALUE"""),44697)</f>
        <v>44697</v>
      </c>
      <c r="F1043" s="8" t="str">
        <f ca="1">IFERROR(__xludf.DUMMYFUNCTION("""COMPUTED_VALUE"""),"Mexia High School")</f>
        <v>Mexia High School</v>
      </c>
      <c r="G1043" s="8">
        <f ca="1">IFERROR(__xludf.DUMMYFUNCTION("""COMPUTED_VALUE"""),0)</f>
        <v>0</v>
      </c>
      <c r="H1043" s="8">
        <f ca="1">IFERROR(__xludf.DUMMYFUNCTION("""COMPUTED_VALUE"""),0)</f>
        <v>0</v>
      </c>
      <c r="I1043" s="8">
        <f ca="1">IFERROR(__xludf.DUMMYFUNCTION("""COMPUTED_VALUE"""),0)</f>
        <v>0</v>
      </c>
      <c r="J1043" s="8">
        <f ca="1">IFERROR(__xludf.DUMMYFUNCTION("""COMPUTED_VALUE"""),0)</f>
        <v>0</v>
      </c>
      <c r="K1043" s="10" t="str">
        <f ca="1">IFERROR(__xludf.DUMMYFUNCTION("""COMPUTED_VALUE"""),"https://www.mexiadailynews.com/breaking-news/defendant-sentenced-maximum-prison-time-taking-pistol-mexia-high-school
https://www.kbtx.com/2022/05/16/mexia-isd-campuses-lockdown-person-interest-incident-detained/ https://www.kxxv.com/news/all-mexia-isd-cam"&amp;"puses-on-lockdown-city-of-mexia https://www.kwtx.com/2022/05/16/mexia-isd-campuses-lockdown-central-texas/ https://www.kcentv.com/article/news/crime/all-mexia-isd-campuses-placed-on-lockdown/500-7e04548b-96b5-46e2-a155-bed638e62fbf")</f>
        <v>https://www.mexiadailynews.com/breaking-news/defendant-sentenced-maximum-prison-time-taking-pistol-mexia-high-school
https://www.kbtx.com/2022/05/16/mexia-isd-campuses-lockdown-person-interest-incident-detained/ https://www.kxxv.com/news/all-mexia-isd-campuses-on-lockdown-city-of-mexia https://www.kwtx.com/2022/05/16/mexia-isd-campuses-lockdown-central-texas/ https://www.kcentv.com/article/news/crime/all-mexia-isd-campuses-placed-on-lockdown/500-7e04548b-96b5-46e2-a155-bed638e62fbf</v>
      </c>
      <c r="L1043" s="8">
        <f ca="1">IFERROR(__xludf.DUMMYFUNCTION("""COMPUTED_VALUE"""),4)</f>
        <v>4</v>
      </c>
      <c r="M1043" s="8" t="str">
        <f ca="1">IFERROR(__xludf.DUMMYFUNCTION("""COMPUTED_VALUE"""),"Local")</f>
        <v>Local</v>
      </c>
      <c r="N1043" s="8">
        <f ca="1">IFERROR(__xludf.DUMMYFUNCTION("""COMPUTED_VALUE"""),4)</f>
        <v>4</v>
      </c>
      <c r="O1043" s="8" t="str">
        <f ca="1">IFERROR(__xludf.DUMMYFUNCTION("""COMPUTED_VALUE"""),"Spring")</f>
        <v>Spring</v>
      </c>
      <c r="P1043" s="8" t="str">
        <f ca="1">IFERROR(__xludf.DUMMYFUNCTION("""COMPUTED_VALUE"""),"Mexia")</f>
        <v>Mexia</v>
      </c>
      <c r="Q1043" s="8" t="str">
        <f ca="1">IFERROR(__xludf.DUMMYFUNCTION("""COMPUTED_VALUE"""),"TX")</f>
        <v>TX</v>
      </c>
      <c r="R1043" s="8" t="str">
        <f ca="1">IFERROR(__xludf.DUMMYFUNCTION("""COMPUTED_VALUE"""),"High")</f>
        <v>High</v>
      </c>
      <c r="S1043" s="8" t="str">
        <f ca="1">IFERROR(__xludf.DUMMYFUNCTION("""COMPUTED_VALUE"""),"Bathroom")</f>
        <v>Bathroom</v>
      </c>
      <c r="T1043" s="8" t="str">
        <f ca="1">IFERROR(__xludf.DUMMYFUNCTION("""COMPUTED_VALUE"""),"Inside School Building")</f>
        <v>Inside School Building</v>
      </c>
      <c r="U1043" s="8" t="str">
        <f ca="1">IFERROR(__xludf.DUMMYFUNCTION("""COMPUTED_VALUE"""),"Yes")</f>
        <v>Yes</v>
      </c>
      <c r="V1043" s="8" t="str">
        <f ca="1">IFERROR(__xludf.DUMMYFUNCTION("""COMPUTED_VALUE"""),"Morning Classes")</f>
        <v>Morning Classes</v>
      </c>
      <c r="W1043" s="11">
        <f ca="1">IFERROR(__xludf.DUMMYFUNCTION("""COMPUTED_VALUE"""),0.472222222222222)</f>
        <v>0.47222222222222199</v>
      </c>
      <c r="X1043" s="8">
        <f ca="1">IFERROR(__xludf.DUMMYFUNCTION("""COMPUTED_VALUE"""),1)</f>
        <v>1</v>
      </c>
      <c r="Y1043" s="12" t="str">
        <f ca="1">IFERROR(__xludf.DUMMYFUNCTION("""COMPUTED_VALUE"""),"Shot fired in bathroom, suspect and loaded gun found on campus")</f>
        <v>Shot fired in bathroom, suspect and loaded gun found on campus</v>
      </c>
      <c r="Z1043" s="12" t="str">
        <f ca="1">IFERROR(__xludf.DUMMYFUNCTION("""COMPUTED_VALUE"""),"Students and staff went into lockdown when they heard a gunshot inside the school. Bullet hole was found in the bathroom. Police arrested an unidentified juvenile and recovered a loaded handgun. No other students or staff were injured. School dismissed an"&amp;"d cancelled classes the following day.")</f>
        <v>Students and staff went into lockdown when they heard a gunshot inside the school. Bullet hole was found in the bathroom. Police arrested an unidentified juvenile and recovered a loaded handgun. No other students or staff were injured. School dismissed and cancelled classes the following day.</v>
      </c>
      <c r="AA1043" s="8" t="str">
        <f ca="1">IFERROR(__xludf.DUMMYFUNCTION("""COMPUTED_VALUE"""),"Accidental")</f>
        <v>Accidental</v>
      </c>
      <c r="AB1043" s="8"/>
      <c r="AC1043" s="8" t="str">
        <f ca="1">IFERROR(__xludf.DUMMYFUNCTION("""COMPUTED_VALUE"""),"Yes")</f>
        <v>Yes</v>
      </c>
      <c r="AD1043" s="8" t="str">
        <f ca="1">IFERROR(__xludf.DUMMYFUNCTION("""COMPUTED_VALUE"""),"Neither")</f>
        <v>Neither</v>
      </c>
      <c r="AE1043" s="8"/>
      <c r="AF1043" s="8"/>
      <c r="AG1043" s="8" t="str">
        <f ca="1">IFERROR(__xludf.DUMMYFUNCTION("""COMPUTED_VALUE"""),"No")</f>
        <v>No</v>
      </c>
      <c r="AH1043" s="8" t="str">
        <f ca="1">IFERROR(__xludf.DUMMYFUNCTION("""COMPUTED_VALUE"""),"No")</f>
        <v>No</v>
      </c>
      <c r="AI1043" s="8" t="str">
        <f ca="1">IFERROR(__xludf.DUMMYFUNCTION("""COMPUTED_VALUE"""),"No")</f>
        <v>No</v>
      </c>
      <c r="AJ1043" s="8" t="str">
        <f ca="1">IFERROR(__xludf.DUMMYFUNCTION("""COMPUTED_VALUE"""),"No")</f>
        <v>No</v>
      </c>
      <c r="AK1043" s="8" t="str">
        <f ca="1">IFERROR(__xludf.DUMMYFUNCTION("""COMPUTED_VALUE"""),"No")</f>
        <v>No</v>
      </c>
      <c r="AL1043" s="8"/>
      <c r="AM1043" s="8" t="str">
        <f ca="1">IFERROR(__xludf.DUMMYFUNCTION("""COMPUTED_VALUE"""),"No")</f>
        <v>No</v>
      </c>
      <c r="AN1043" s="8"/>
      <c r="AO1043" s="8" t="str">
        <f ca="1">IFERROR(__xludf.DUMMYFUNCTION("""COMPUTED_VALUE"""),"No")</f>
        <v>No</v>
      </c>
      <c r="AP1043" s="8"/>
      <c r="AQ1043" s="8"/>
      <c r="AR1043" s="8" t="str">
        <f ca="1">IFERROR(__xludf.DUMMYFUNCTION("""COMPUTED_VALUE"""),"Failed")</f>
        <v>Failed</v>
      </c>
      <c r="AS1043" s="8">
        <f ca="1">IFERROR(__xludf.DUMMYFUNCTION("""COMPUTED_VALUE"""),1)</f>
        <v>1</v>
      </c>
      <c r="AT1043" s="8" t="str">
        <f ca="1">IFERROR(__xludf.DUMMYFUNCTION("""COMPUTED_VALUE"""),"Yes")</f>
        <v>Yes</v>
      </c>
      <c r="AU1043" s="8">
        <f ca="1">IFERROR(__xludf.DUMMYFUNCTION("""COMPUTED_VALUE"""),31.695258)</f>
        <v>31.695257999999999</v>
      </c>
      <c r="AV1043" s="8">
        <f ca="1">IFERROR(__xludf.DUMMYFUNCTION("""COMPUTED_VALUE"""),-96.473084)</f>
        <v>-96.473084</v>
      </c>
      <c r="AW1043" s="8"/>
      <c r="AX1043" s="8">
        <f ca="1">IFERROR(__xludf.DUMMYFUNCTION("""COMPUTED_VALUE"""),76667)</f>
        <v>76667</v>
      </c>
    </row>
    <row r="1044" spans="1:50" ht="60" x14ac:dyDescent="0.2">
      <c r="A1044" s="8" t="str">
        <f ca="1">IFERROR(__xludf.DUMMYFUNCTION("""COMPUTED_VALUE"""),"20220515NHBEB")</f>
        <v>20220515NHBEB</v>
      </c>
      <c r="B1044" s="8">
        <f ca="1">IFERROR(__xludf.DUMMYFUNCTION("""COMPUTED_VALUE"""),5)</f>
        <v>5</v>
      </c>
      <c r="C1044" s="8">
        <f ca="1">IFERROR(__xludf.DUMMYFUNCTION("""COMPUTED_VALUE"""),15)</f>
        <v>15</v>
      </c>
      <c r="D1044" s="8">
        <f ca="1">IFERROR(__xludf.DUMMYFUNCTION("""COMPUTED_VALUE"""),2022)</f>
        <v>2022</v>
      </c>
      <c r="E1044" s="9">
        <f ca="1">IFERROR(__xludf.DUMMYFUNCTION("""COMPUTED_VALUE"""),44696)</f>
        <v>44696</v>
      </c>
      <c r="F1044" s="8" t="str">
        <f ca="1">IFERROR(__xludf.DUMMYFUNCTION("""COMPUTED_VALUE"""),"Belmont Elementary School")</f>
        <v>Belmont Elementary School</v>
      </c>
      <c r="G1044" s="8">
        <f ca="1">IFERROR(__xludf.DUMMYFUNCTION("""COMPUTED_VALUE"""),0)</f>
        <v>0</v>
      </c>
      <c r="H1044" s="8">
        <f ca="1">IFERROR(__xludf.DUMMYFUNCTION("""COMPUTED_VALUE"""),0)</f>
        <v>0</v>
      </c>
      <c r="I1044" s="8">
        <f ca="1">IFERROR(__xludf.DUMMYFUNCTION("""COMPUTED_VALUE"""),0)</f>
        <v>0</v>
      </c>
      <c r="J1044" s="8">
        <f ca="1">IFERROR(__xludf.DUMMYFUNCTION("""COMPUTED_VALUE"""),0)</f>
        <v>0</v>
      </c>
      <c r="K1044" s="10" t="str">
        <f ca="1">IFERROR(__xludf.DUMMYFUNCTION("""COMPUTED_VALUE"""),"https://www.laconiadailysun.com/news/local/belmont-police-investigate-pellet-gun-shooting-targeted-at-children/article_19c3bb5e-d608-11ec-879e-5bb5cf440fe6.html")</f>
        <v>https://www.laconiadailysun.com/news/local/belmont-police-investigate-pellet-gun-shooting-targeted-at-children/article_19c3bb5e-d608-11ec-879e-5bb5cf440fe6.html</v>
      </c>
      <c r="L1044" s="8">
        <f ca="1">IFERROR(__xludf.DUMMYFUNCTION("""COMPUTED_VALUE"""),1)</f>
        <v>1</v>
      </c>
      <c r="M1044" s="8" t="str">
        <f ca="1">IFERROR(__xludf.DUMMYFUNCTION("""COMPUTED_VALUE"""),"Local")</f>
        <v>Local</v>
      </c>
      <c r="N1044" s="8">
        <f ca="1">IFERROR(__xludf.DUMMYFUNCTION("""COMPUTED_VALUE"""),4)</f>
        <v>4</v>
      </c>
      <c r="O1044" s="8" t="str">
        <f ca="1">IFERROR(__xludf.DUMMYFUNCTION("""COMPUTED_VALUE"""),"Spring")</f>
        <v>Spring</v>
      </c>
      <c r="P1044" s="8" t="str">
        <f ca="1">IFERROR(__xludf.DUMMYFUNCTION("""COMPUTED_VALUE"""),"Belmont")</f>
        <v>Belmont</v>
      </c>
      <c r="Q1044" s="8" t="str">
        <f ca="1">IFERROR(__xludf.DUMMYFUNCTION("""COMPUTED_VALUE"""),"NH")</f>
        <v>NH</v>
      </c>
      <c r="R1044" s="8" t="str">
        <f ca="1">IFERROR(__xludf.DUMMYFUNCTION("""COMPUTED_VALUE"""),"Elementary")</f>
        <v>Elementary</v>
      </c>
      <c r="S1044" s="8" t="str">
        <f ca="1">IFERROR(__xludf.DUMMYFUNCTION("""COMPUTED_VALUE"""),"Parking Lot")</f>
        <v>Parking Lot</v>
      </c>
      <c r="T1044" s="8" t="str">
        <f ca="1">IFERROR(__xludf.DUMMYFUNCTION("""COMPUTED_VALUE"""),"Outside on School Property")</f>
        <v>Outside on School Property</v>
      </c>
      <c r="U1044" s="8" t="str">
        <f ca="1">IFERROR(__xludf.DUMMYFUNCTION("""COMPUTED_VALUE"""),"No")</f>
        <v>No</v>
      </c>
      <c r="V1044" s="8" t="str">
        <f ca="1">IFERROR(__xludf.DUMMYFUNCTION("""COMPUTED_VALUE"""),"Not a School Day")</f>
        <v>Not a School Day</v>
      </c>
      <c r="W1044" s="11">
        <f ca="1">IFERROR(__xludf.DUMMYFUNCTION("""COMPUTED_VALUE"""),0.416666666666666)</f>
        <v>0.41666666666666602</v>
      </c>
      <c r="X1044" s="8">
        <f ca="1">IFERROR(__xludf.DUMMYFUNCTION("""COMPUTED_VALUE"""),1)</f>
        <v>1</v>
      </c>
      <c r="Y1044" s="12" t="str">
        <f ca="1">IFERROR(__xludf.DUMMYFUNCTION("""COMPUTED_VALUE"""),"Children shot with pellet guns fired during drive-by")</f>
        <v>Children shot with pellet guns fired during drive-by</v>
      </c>
      <c r="Z1044" s="12" t="str">
        <f ca="1">IFERROR(__xludf.DUMMYFUNCTION("""COMPUTED_VALUE"""),"A 13-year-old boy and 12-year-old girl were playing in the school parking lot when a vehicle with multiple teens fired airsoft guns at them. Incident was recorded on school's CCTV cameras. Shooters fled. Victims had minor injuries.")</f>
        <v>A 13-year-old boy and 12-year-old girl were playing in the school parking lot when a vehicle with multiple teens fired airsoft guns at them. Incident was recorded on school's CCTV cameras. Shooters fled. Victims had minor injuries.</v>
      </c>
      <c r="AA1044" s="8" t="str">
        <f ca="1">IFERROR(__xludf.DUMMYFUNCTION("""COMPUTED_VALUE"""),"Drive-by Shooting")</f>
        <v>Drive-by Shooting</v>
      </c>
      <c r="AB1044" s="8"/>
      <c r="AC1044" s="8" t="str">
        <f ca="1">IFERROR(__xludf.DUMMYFUNCTION("""COMPUTED_VALUE"""),"Yes")</f>
        <v>Yes</v>
      </c>
      <c r="AD1044" s="8" t="str">
        <f ca="1">IFERROR(__xludf.DUMMYFUNCTION("""COMPUTED_VALUE"""),"Random Shooting")</f>
        <v>Random Shooting</v>
      </c>
      <c r="AE1044" s="8" t="str">
        <f ca="1">IFERROR(__xludf.DUMMYFUNCTION("""COMPUTED_VALUE"""),"Yes")</f>
        <v>Yes</v>
      </c>
      <c r="AF1044" s="8" t="str">
        <f ca="1">IFERROR(__xludf.DUMMYFUNCTION("""COMPUTED_VALUE"""),"Teens in car")</f>
        <v>Teens in car</v>
      </c>
      <c r="AG1044" s="8" t="str">
        <f ca="1">IFERROR(__xludf.DUMMYFUNCTION("""COMPUTED_VALUE"""),"No")</f>
        <v>No</v>
      </c>
      <c r="AH1044" s="8" t="str">
        <f ca="1">IFERROR(__xludf.DUMMYFUNCTION("""COMPUTED_VALUE"""),"No")</f>
        <v>No</v>
      </c>
      <c r="AI1044" s="8" t="str">
        <f ca="1">IFERROR(__xludf.DUMMYFUNCTION("""COMPUTED_VALUE"""),"No")</f>
        <v>No</v>
      </c>
      <c r="AJ1044" s="8" t="str">
        <f ca="1">IFERROR(__xludf.DUMMYFUNCTION("""COMPUTED_VALUE"""),"No")</f>
        <v>No</v>
      </c>
      <c r="AK1044" s="8" t="str">
        <f ca="1">IFERROR(__xludf.DUMMYFUNCTION("""COMPUTED_VALUE"""),"No")</f>
        <v>No</v>
      </c>
      <c r="AL1044" s="8" t="str">
        <f ca="1">IFERROR(__xludf.DUMMYFUNCTION("""COMPUTED_VALUE"""),"No")</f>
        <v>No</v>
      </c>
      <c r="AM1044" s="8" t="str">
        <f ca="1">IFERROR(__xludf.DUMMYFUNCTION("""COMPUTED_VALUE"""),"No")</f>
        <v>No</v>
      </c>
      <c r="AN1044" s="8"/>
      <c r="AO1044" s="8" t="str">
        <f ca="1">IFERROR(__xludf.DUMMYFUNCTION("""COMPUTED_VALUE"""),"No")</f>
        <v>No</v>
      </c>
      <c r="AP1044" s="8"/>
      <c r="AQ1044" s="8"/>
      <c r="AR1044" s="8" t="str">
        <f ca="1">IFERROR(__xludf.DUMMYFUNCTION("""COMPUTED_VALUE"""),"Outside/Off-Property")</f>
        <v>Outside/Off-Property</v>
      </c>
      <c r="AS1044" s="8">
        <f ca="1">IFERROR(__xludf.DUMMYFUNCTION("""COMPUTED_VALUE"""),4)</f>
        <v>4</v>
      </c>
      <c r="AT1044" s="8" t="str">
        <f ca="1">IFERROR(__xludf.DUMMYFUNCTION("""COMPUTED_VALUE"""),"No")</f>
        <v>No</v>
      </c>
      <c r="AU1044" s="8">
        <f ca="1">IFERROR(__xludf.DUMMYFUNCTION("""COMPUTED_VALUE"""),43.442934)</f>
        <v>43.442934000000001</v>
      </c>
      <c r="AV1044" s="8">
        <f ca="1">IFERROR(__xludf.DUMMYFUNCTION("""COMPUTED_VALUE"""),-71.469456)</f>
        <v>-71.469455999999994</v>
      </c>
      <c r="AW1044" s="8"/>
      <c r="AX1044" s="8">
        <f ca="1">IFERROR(__xludf.DUMMYFUNCTION("""COMPUTED_VALUE"""),3220)</f>
        <v>3220</v>
      </c>
    </row>
    <row r="1045" spans="1:50" ht="75" x14ac:dyDescent="0.2">
      <c r="A1045" s="8" t="str">
        <f ca="1">IFERROR(__xludf.DUMMYFUNCTION("""COMPUTED_VALUE"""),"20220515ILMEP")</f>
        <v>20220515ILMEP</v>
      </c>
      <c r="B1045" s="8">
        <f ca="1">IFERROR(__xludf.DUMMYFUNCTION("""COMPUTED_VALUE"""),5)</f>
        <v>5</v>
      </c>
      <c r="C1045" s="8">
        <f ca="1">IFERROR(__xludf.DUMMYFUNCTION("""COMPUTED_VALUE"""),15)</f>
        <v>15</v>
      </c>
      <c r="D1045" s="8">
        <f ca="1">IFERROR(__xludf.DUMMYFUNCTION("""COMPUTED_VALUE"""),2022)</f>
        <v>2022</v>
      </c>
      <c r="E1045" s="9">
        <f ca="1">IFERROR(__xludf.DUMMYFUNCTION("""COMPUTED_VALUE"""),44696)</f>
        <v>44696</v>
      </c>
      <c r="F1045" s="8" t="str">
        <f ca="1">IFERROR(__xludf.DUMMYFUNCTION("""COMPUTED_VALUE"""),"Meadow View Elementary School")</f>
        <v>Meadow View Elementary School</v>
      </c>
      <c r="G1045" s="8">
        <f ca="1">IFERROR(__xludf.DUMMYFUNCTION("""COMPUTED_VALUE"""),0)</f>
        <v>0</v>
      </c>
      <c r="H1045" s="8">
        <f ca="1">IFERROR(__xludf.DUMMYFUNCTION("""COMPUTED_VALUE"""),1)</f>
        <v>1</v>
      </c>
      <c r="I1045" s="8">
        <f ca="1">IFERROR(__xludf.DUMMYFUNCTION("""COMPUTED_VALUE"""),1)</f>
        <v>1</v>
      </c>
      <c r="J1045" s="8">
        <f ca="1">IFERROR(__xludf.DUMMYFUNCTION("""COMPUTED_VALUE"""),0)</f>
        <v>0</v>
      </c>
      <c r="K1045" s="8" t="str">
        <f ca="1">IFERROR(__xludf.DUMMYFUNCTION("""COMPUTED_VALUE"""),"https://wgntv.com/crime/16-year-old-charged-in-shooting-of-teen-near-joliet-elementary-school/ https://www.shawlocal.com/the-herald-news/news/2022/05/16/teen-found-shot-in-the-leg-near-meadow-view-elementary-school-in-plainfield-cops/")</f>
        <v>https://wgntv.com/crime/16-year-old-charged-in-shooting-of-teen-near-joliet-elementary-school/ https://www.shawlocal.com/the-herald-news/news/2022/05/16/teen-found-shot-in-the-leg-near-meadow-view-elementary-school-in-plainfield-cops/</v>
      </c>
      <c r="L1045" s="8">
        <f ca="1">IFERROR(__xludf.DUMMYFUNCTION("""COMPUTED_VALUE"""),1)</f>
        <v>1</v>
      </c>
      <c r="M1045" s="8" t="str">
        <f ca="1">IFERROR(__xludf.DUMMYFUNCTION("""COMPUTED_VALUE"""),"Local")</f>
        <v>Local</v>
      </c>
      <c r="N1045" s="8">
        <f ca="1">IFERROR(__xludf.DUMMYFUNCTION("""COMPUTED_VALUE"""),4)</f>
        <v>4</v>
      </c>
      <c r="O1045" s="8" t="str">
        <f ca="1">IFERROR(__xludf.DUMMYFUNCTION("""COMPUTED_VALUE"""),"Spring")</f>
        <v>Spring</v>
      </c>
      <c r="P1045" s="8" t="str">
        <f ca="1">IFERROR(__xludf.DUMMYFUNCTION("""COMPUTED_VALUE"""),"Plainfield")</f>
        <v>Plainfield</v>
      </c>
      <c r="Q1045" s="8" t="str">
        <f ca="1">IFERROR(__xludf.DUMMYFUNCTION("""COMPUTED_VALUE"""),"IL")</f>
        <v>IL</v>
      </c>
      <c r="R1045" s="8" t="str">
        <f ca="1">IFERROR(__xludf.DUMMYFUNCTION("""COMPUTED_VALUE"""),"Elementary")</f>
        <v>Elementary</v>
      </c>
      <c r="S1045" s="8" t="str">
        <f ca="1">IFERROR(__xludf.DUMMYFUNCTION("""COMPUTED_VALUE"""),"Field (General)")</f>
        <v>Field (General)</v>
      </c>
      <c r="T1045" s="8" t="str">
        <f ca="1">IFERROR(__xludf.DUMMYFUNCTION("""COMPUTED_VALUE"""),"Outside on School Property")</f>
        <v>Outside on School Property</v>
      </c>
      <c r="U1045" s="8" t="str">
        <f ca="1">IFERROR(__xludf.DUMMYFUNCTION("""COMPUTED_VALUE"""),"No")</f>
        <v>No</v>
      </c>
      <c r="V1045" s="8" t="str">
        <f ca="1">IFERROR(__xludf.DUMMYFUNCTION("""COMPUTED_VALUE"""),"Evening")</f>
        <v>Evening</v>
      </c>
      <c r="W1045" s="11">
        <f ca="1">IFERROR(__xludf.DUMMYFUNCTION("""COMPUTED_VALUE"""),0.8125)</f>
        <v>0.8125</v>
      </c>
      <c r="X1045" s="8">
        <f ca="1">IFERROR(__xludf.DUMMYFUNCTION("""COMPUTED_VALUE"""),1)</f>
        <v>1</v>
      </c>
      <c r="Y1045" s="12" t="str">
        <f ca="1">IFERROR(__xludf.DUMMYFUNCTION("""COMPUTED_VALUE"""),"Teen shot on the school field, shooter fled")</f>
        <v>Teen shot on the school field, shooter fled</v>
      </c>
      <c r="Z1045" s="12" t="str">
        <f ca="1">IFERROR(__xludf.DUMMYFUNCTION("""COMPUTED_VALUE"""),"A 17-year-old teen was shot in the leg on the school field. Shooter fled. Police said the shooting was an isolated incident. 16-year-old teen arrested 2 days later and charged as an adult with attempted murder and other felonies. 9mm handgun recovered.")</f>
        <v>A 17-year-old teen was shot in the leg on the school field. Shooter fled. Police said the shooting was an isolated incident. 16-year-old teen arrested 2 days later and charged as an adult with attempted murder and other felonies. 9mm handgun recovered.</v>
      </c>
      <c r="AA1045" s="8"/>
      <c r="AB1045" s="8"/>
      <c r="AC1045" s="8" t="str">
        <f ca="1">IFERROR(__xludf.DUMMYFUNCTION("""COMPUTED_VALUE"""),"Yes")</f>
        <v>Yes</v>
      </c>
      <c r="AD1045" s="8" t="str">
        <f ca="1">IFERROR(__xludf.DUMMYFUNCTION("""COMPUTED_VALUE"""),"Victims Targeted")</f>
        <v>Victims Targeted</v>
      </c>
      <c r="AE1045" s="8" t="str">
        <f ca="1">IFERROR(__xludf.DUMMYFUNCTION("""COMPUTED_VALUE"""),"No")</f>
        <v>No</v>
      </c>
      <c r="AF1045" s="8"/>
      <c r="AG1045" s="8" t="str">
        <f ca="1">IFERROR(__xludf.DUMMYFUNCTION("""COMPUTED_VALUE"""),"No")</f>
        <v>No</v>
      </c>
      <c r="AH1045" s="8" t="str">
        <f ca="1">IFERROR(__xludf.DUMMYFUNCTION("""COMPUTED_VALUE"""),"No")</f>
        <v>No</v>
      </c>
      <c r="AI1045" s="8" t="str">
        <f ca="1">IFERROR(__xludf.DUMMYFUNCTION("""COMPUTED_VALUE"""),"No")</f>
        <v>No</v>
      </c>
      <c r="AJ1045" s="8" t="str">
        <f ca="1">IFERROR(__xludf.DUMMYFUNCTION("""COMPUTED_VALUE"""),"No")</f>
        <v>No</v>
      </c>
      <c r="AK1045" s="8" t="str">
        <f ca="1">IFERROR(__xludf.DUMMYFUNCTION("""COMPUTED_VALUE"""),"No")</f>
        <v>No</v>
      </c>
      <c r="AL1045" s="8"/>
      <c r="AM1045" s="8" t="str">
        <f ca="1">IFERROR(__xludf.DUMMYFUNCTION("""COMPUTED_VALUE"""),"No")</f>
        <v>No</v>
      </c>
      <c r="AN1045" s="8"/>
      <c r="AO1045" s="8" t="str">
        <f ca="1">IFERROR(__xludf.DUMMYFUNCTION("""COMPUTED_VALUE"""),"No")</f>
        <v>No</v>
      </c>
      <c r="AP1045" s="8"/>
      <c r="AQ1045" s="8"/>
      <c r="AR1045" s="8"/>
      <c r="AS1045" s="8"/>
      <c r="AT1045" s="8" t="str">
        <f ca="1">IFERROR(__xludf.DUMMYFUNCTION("""COMPUTED_VALUE"""),"No")</f>
        <v>No</v>
      </c>
      <c r="AU1045" s="8">
        <f ca="1">IFERROR(__xludf.DUMMYFUNCTION("""COMPUTED_VALUE"""),41.565923)</f>
        <v>41.565922999999998</v>
      </c>
      <c r="AV1045" s="8">
        <f ca="1">IFERROR(__xludf.DUMMYFUNCTION("""COMPUTED_VALUE"""),-88.250579)</f>
        <v>-88.250579000000002</v>
      </c>
      <c r="AW1045" s="8"/>
      <c r="AX1045" s="8">
        <f ca="1">IFERROR(__xludf.DUMMYFUNCTION("""COMPUTED_VALUE"""),60586)</f>
        <v>60586</v>
      </c>
    </row>
    <row r="1046" spans="1:50" ht="45" x14ac:dyDescent="0.2">
      <c r="A1046" s="8" t="str">
        <f ca="1">IFERROR(__xludf.DUMMYFUNCTION("""COMPUTED_VALUE"""),"20220513GASOM")</f>
        <v>20220513GASOM</v>
      </c>
      <c r="B1046" s="8">
        <f ca="1">IFERROR(__xludf.DUMMYFUNCTION("""COMPUTED_VALUE"""),5)</f>
        <v>5</v>
      </c>
      <c r="C1046" s="8">
        <f ca="1">IFERROR(__xludf.DUMMYFUNCTION("""COMPUTED_VALUE"""),13)</f>
        <v>13</v>
      </c>
      <c r="D1046" s="8">
        <f ca="1">IFERROR(__xludf.DUMMYFUNCTION("""COMPUTED_VALUE"""),2022)</f>
        <v>2022</v>
      </c>
      <c r="E1046" s="9">
        <f ca="1">IFERROR(__xludf.DUMMYFUNCTION("""COMPUTED_VALUE"""),44694)</f>
        <v>44694</v>
      </c>
      <c r="F1046" s="8" t="str">
        <f ca="1">IFERROR(__xludf.DUMMYFUNCTION("""COMPUTED_VALUE"""),"Southwest High School")</f>
        <v>Southwest High School</v>
      </c>
      <c r="G1046" s="8">
        <f ca="1">IFERROR(__xludf.DUMMYFUNCTION("""COMPUTED_VALUE"""),0)</f>
        <v>0</v>
      </c>
      <c r="H1046" s="8">
        <f ca="1">IFERROR(__xludf.DUMMYFUNCTION("""COMPUTED_VALUE"""),1)</f>
        <v>1</v>
      </c>
      <c r="I1046" s="8">
        <f ca="1">IFERROR(__xludf.DUMMYFUNCTION("""COMPUTED_VALUE"""),1)</f>
        <v>1</v>
      </c>
      <c r="J1046" s="8">
        <f ca="1">IFERROR(__xludf.DUMMYFUNCTION("""COMPUTED_VALUE"""),0)</f>
        <v>0</v>
      </c>
      <c r="K1046" s="10" t="str">
        <f ca="1">IFERROR(__xludf.DUMMYFUNCTION("""COMPUTED_VALUE"""),"https://wgxa.tv/news/local/friday-shooting-macon-school")</f>
        <v>https://wgxa.tv/news/local/friday-shooting-macon-school</v>
      </c>
      <c r="L1046" s="8">
        <f ca="1">IFERROR(__xludf.DUMMYFUNCTION("""COMPUTED_VALUE"""),1)</f>
        <v>1</v>
      </c>
      <c r="M1046" s="8" t="str">
        <f ca="1">IFERROR(__xludf.DUMMYFUNCTION("""COMPUTED_VALUE"""),"Local")</f>
        <v>Local</v>
      </c>
      <c r="N1046" s="8">
        <f ca="1">IFERROR(__xludf.DUMMYFUNCTION("""COMPUTED_VALUE"""),3)</f>
        <v>3</v>
      </c>
      <c r="O1046" s="8" t="str">
        <f ca="1">IFERROR(__xludf.DUMMYFUNCTION("""COMPUTED_VALUE"""),"Spring")</f>
        <v>Spring</v>
      </c>
      <c r="P1046" s="8" t="str">
        <f ca="1">IFERROR(__xludf.DUMMYFUNCTION("""COMPUTED_VALUE"""),"Macon")</f>
        <v>Macon</v>
      </c>
      <c r="Q1046" s="8" t="str">
        <f ca="1">IFERROR(__xludf.DUMMYFUNCTION("""COMPUTED_VALUE"""),"GA")</f>
        <v>GA</v>
      </c>
      <c r="R1046" s="8" t="str">
        <f ca="1">IFERROR(__xludf.DUMMYFUNCTION("""COMPUTED_VALUE"""),"High")</f>
        <v>High</v>
      </c>
      <c r="S1046" s="8" t="str">
        <f ca="1">IFERROR(__xludf.DUMMYFUNCTION("""COMPUTED_VALUE"""),"Parking Lot")</f>
        <v>Parking Lot</v>
      </c>
      <c r="T1046" s="8" t="str">
        <f ca="1">IFERROR(__xludf.DUMMYFUNCTION("""COMPUTED_VALUE"""),"Outside on School Property")</f>
        <v>Outside on School Property</v>
      </c>
      <c r="U1046" s="8" t="str">
        <f ca="1">IFERROR(__xludf.DUMMYFUNCTION("""COMPUTED_VALUE"""),"No")</f>
        <v>No</v>
      </c>
      <c r="V1046" s="8" t="str">
        <f ca="1">IFERROR(__xludf.DUMMYFUNCTION("""COMPUTED_VALUE"""),"Evening")</f>
        <v>Evening</v>
      </c>
      <c r="W1046" s="11">
        <f ca="1">IFERROR(__xludf.DUMMYFUNCTION("""COMPUTED_VALUE"""),0.825694444444444)</f>
        <v>0.82569444444444395</v>
      </c>
      <c r="X1046" s="8">
        <f ca="1">IFERROR(__xludf.DUMMYFUNCTION("""COMPUTED_VALUE"""),1)</f>
        <v>1</v>
      </c>
      <c r="Y1046" s="12" t="str">
        <f ca="1">IFERROR(__xludf.DUMMYFUNCTION("""COMPUTED_VALUE"""),"Adult man shot and critically injured in school parking lot")</f>
        <v>Adult man shot and critically injured in school parking lot</v>
      </c>
      <c r="Z1046" s="12" t="str">
        <f ca="1">IFERROR(__xludf.DUMMYFUNCTION("""COMPUTED_VALUE"""),"A 21-year-old man was shot and critically injured in the school parking lot. No other details available.")</f>
        <v>A 21-year-old man was shot and critically injured in the school parking lot. No other details available.</v>
      </c>
      <c r="AA1046" s="8"/>
      <c r="AB1046" s="8"/>
      <c r="AC1046" s="8" t="str">
        <f ca="1">IFERROR(__xludf.DUMMYFUNCTION("""COMPUTED_VALUE"""),"No")</f>
        <v>No</v>
      </c>
      <c r="AD1046" s="8"/>
      <c r="AE1046" s="8"/>
      <c r="AF1046" s="8"/>
      <c r="AG1046" s="8" t="str">
        <f ca="1">IFERROR(__xludf.DUMMYFUNCTION("""COMPUTED_VALUE"""),"No")</f>
        <v>No</v>
      </c>
      <c r="AH1046" s="8" t="str">
        <f ca="1">IFERROR(__xludf.DUMMYFUNCTION("""COMPUTED_VALUE"""),"No")</f>
        <v>No</v>
      </c>
      <c r="AI1046" s="8" t="str">
        <f ca="1">IFERROR(__xludf.DUMMYFUNCTION("""COMPUTED_VALUE"""),"No")</f>
        <v>No</v>
      </c>
      <c r="AJ1046" s="8" t="str">
        <f ca="1">IFERROR(__xludf.DUMMYFUNCTION("""COMPUTED_VALUE"""),"No")</f>
        <v>No</v>
      </c>
      <c r="AK1046" s="8" t="str">
        <f ca="1">IFERROR(__xludf.DUMMYFUNCTION("""COMPUTED_VALUE"""),"No")</f>
        <v>No</v>
      </c>
      <c r="AL1046" s="8"/>
      <c r="AM1046" s="8" t="str">
        <f ca="1">IFERROR(__xludf.DUMMYFUNCTION("""COMPUTED_VALUE"""),"No")</f>
        <v>No</v>
      </c>
      <c r="AN1046" s="8"/>
      <c r="AO1046" s="8" t="str">
        <f ca="1">IFERROR(__xludf.DUMMYFUNCTION("""COMPUTED_VALUE"""),"No")</f>
        <v>No</v>
      </c>
      <c r="AP1046" s="8"/>
      <c r="AQ1046" s="8"/>
      <c r="AR1046" s="8" t="str">
        <f ca="1">IFERROR(__xludf.DUMMYFUNCTION("""COMPUTED_VALUE"""),"Outside/Off-Property")</f>
        <v>Outside/Off-Property</v>
      </c>
      <c r="AS1046" s="8"/>
      <c r="AT1046" s="8" t="str">
        <f ca="1">IFERROR(__xludf.DUMMYFUNCTION("""COMPUTED_VALUE"""),"No")</f>
        <v>No</v>
      </c>
      <c r="AU1046" s="8">
        <f ca="1">IFERROR(__xludf.DUMMYFUNCTION("""COMPUTED_VALUE"""),32.807269)</f>
        <v>32.807268999999998</v>
      </c>
      <c r="AV1046" s="8">
        <f ca="1">IFERROR(__xludf.DUMMYFUNCTION("""COMPUTED_VALUE"""),-83.674082)</f>
        <v>-83.674081999999999</v>
      </c>
      <c r="AW1046" s="8"/>
      <c r="AX1046" s="8">
        <f ca="1">IFERROR(__xludf.DUMMYFUNCTION("""COMPUTED_VALUE"""),31206)</f>
        <v>31206</v>
      </c>
    </row>
    <row r="1047" spans="1:50" ht="165" x14ac:dyDescent="0.2">
      <c r="A1047" s="8" t="str">
        <f ca="1">IFERROR(__xludf.DUMMYFUNCTION("""COMPUTED_VALUE"""),"20220513FLALW")</f>
        <v>20220513FLALW</v>
      </c>
      <c r="B1047" s="8">
        <f ca="1">IFERROR(__xludf.DUMMYFUNCTION("""COMPUTED_VALUE"""),5)</f>
        <v>5</v>
      </c>
      <c r="C1047" s="8">
        <f ca="1">IFERROR(__xludf.DUMMYFUNCTION("""COMPUTED_VALUE"""),13)</f>
        <v>13</v>
      </c>
      <c r="D1047" s="8">
        <f ca="1">IFERROR(__xludf.DUMMYFUNCTION("""COMPUTED_VALUE"""),2022)</f>
        <v>2022</v>
      </c>
      <c r="E1047" s="9">
        <f ca="1">IFERROR(__xludf.DUMMYFUNCTION("""COMPUTED_VALUE"""),44694)</f>
        <v>44694</v>
      </c>
      <c r="F1047" s="8" t="str">
        <f ca="1">IFERROR(__xludf.DUMMYFUNCTION("""COMPUTED_VALUE"""),"Alexander W. Dreyfoos School of the Arts")</f>
        <v>Alexander W. Dreyfoos School of the Arts</v>
      </c>
      <c r="G1047" s="8">
        <f ca="1">IFERROR(__xludf.DUMMYFUNCTION("""COMPUTED_VALUE"""),1)</f>
        <v>1</v>
      </c>
      <c r="H1047" s="8">
        <f ca="1">IFERROR(__xludf.DUMMYFUNCTION("""COMPUTED_VALUE"""),0)</f>
        <v>0</v>
      </c>
      <c r="I1047" s="8">
        <f ca="1">IFERROR(__xludf.DUMMYFUNCTION("""COMPUTED_VALUE"""),1)</f>
        <v>1</v>
      </c>
      <c r="J1047" s="8">
        <f ca="1">IFERROR(__xludf.DUMMYFUNCTION("""COMPUTED_VALUE"""),0)</f>
        <v>0</v>
      </c>
      <c r="K1047" s="8" t="str">
        <f ca="1">IFERROR(__xludf.DUMMYFUNCTION("""COMPUTED_VALUE"""),"https://www.palmbeachpost.com/story/news/2022/05/14/dreyfoos-graduate-identified/9780618002/ https://www.wpbf.com/article/he-didnt-deserve-to-die-friends-of-school-intruder-suspect-killed-police-say-he-didnt-want-to-hurt-anyone/40000184 https://cbs12.com/"&amp;"newsletter-daily/dreyfoos-school-of-the-arts-incident-west-palm-beach https://www.usnews.com/news/best-states/florida/articles/2022-05-13/police-man-killed-while-fighting-with-officer-at-school https://www.palmbeachpost.com/story/news/local/2022/05/13/veh"&amp;"icle-crashes-gate-dreyfoos-school-arts-west-palm-beach/9763870002/")</f>
        <v>https://www.palmbeachpost.com/story/news/2022/05/14/dreyfoos-graduate-identified/9780618002/ https://www.wpbf.com/article/he-didnt-deserve-to-die-friends-of-school-intruder-suspect-killed-police-say-he-didnt-want-to-hurt-anyone/40000184 https://cbs12.com/newsletter-daily/dreyfoos-school-of-the-arts-incident-west-palm-beach https://www.usnews.com/news/best-states/florida/articles/2022-05-13/police-man-killed-while-fighting-with-officer-at-school https://www.palmbeachpost.com/story/news/local/2022/05/13/vehicle-crashes-gate-dreyfoos-school-arts-west-palm-beach/9763870002/</v>
      </c>
      <c r="L1047" s="8">
        <f ca="1">IFERROR(__xludf.DUMMYFUNCTION("""COMPUTED_VALUE"""),50)</f>
        <v>50</v>
      </c>
      <c r="M1047" s="8" t="str">
        <f ca="1">IFERROR(__xludf.DUMMYFUNCTION("""COMPUTED_VALUE"""),"National")</f>
        <v>National</v>
      </c>
      <c r="N1047" s="8">
        <f ca="1">IFERROR(__xludf.DUMMYFUNCTION("""COMPUTED_VALUE"""),4)</f>
        <v>4</v>
      </c>
      <c r="O1047" s="8" t="str">
        <f ca="1">IFERROR(__xludf.DUMMYFUNCTION("""COMPUTED_VALUE"""),"Spring")</f>
        <v>Spring</v>
      </c>
      <c r="P1047" s="8" t="str">
        <f ca="1">IFERROR(__xludf.DUMMYFUNCTION("""COMPUTED_VALUE"""),"West Palm Beach")</f>
        <v>West Palm Beach</v>
      </c>
      <c r="Q1047" s="8" t="str">
        <f ca="1">IFERROR(__xludf.DUMMYFUNCTION("""COMPUTED_VALUE"""),"FL")</f>
        <v>FL</v>
      </c>
      <c r="R1047" s="8" t="str">
        <f ca="1">IFERROR(__xludf.DUMMYFUNCTION("""COMPUTED_VALUE"""),"High")</f>
        <v>High</v>
      </c>
      <c r="S1047" s="8" t="str">
        <f ca="1">IFERROR(__xludf.DUMMYFUNCTION("""COMPUTED_VALUE"""),"Beside Building")</f>
        <v>Beside Building</v>
      </c>
      <c r="T1047" s="8" t="str">
        <f ca="1">IFERROR(__xludf.DUMMYFUNCTION("""COMPUTED_VALUE"""),"Outside on School Property")</f>
        <v>Outside on School Property</v>
      </c>
      <c r="U1047" s="8" t="str">
        <f ca="1">IFERROR(__xludf.DUMMYFUNCTION("""COMPUTED_VALUE"""),"Yes")</f>
        <v>Yes</v>
      </c>
      <c r="V1047" s="8" t="str">
        <f ca="1">IFERROR(__xludf.DUMMYFUNCTION("""COMPUTED_VALUE"""),"Lunch")</f>
        <v>Lunch</v>
      </c>
      <c r="W1047" s="11">
        <f ca="1">IFERROR(__xludf.DUMMYFUNCTION("""COMPUTED_VALUE"""),0.5)</f>
        <v>0.5</v>
      </c>
      <c r="X1047" s="8">
        <f ca="1">IFERROR(__xludf.DUMMYFUNCTION("""COMPUTED_VALUE"""),1)</f>
        <v>1</v>
      </c>
      <c r="Y1047" s="12" t="str">
        <f ca="1">IFERROR(__xludf.DUMMYFUNCTION("""COMPUTED_VALUE"""),"Van crashed through campus gate, driver fought school police office, second officer shot him")</f>
        <v>Van crashed through campus gate, driver fought school police office, second officer shot him</v>
      </c>
      <c r="Z1047" s="12" t="str">
        <f ca="1">IFERROR(__xludf.DUMMYFUNCTION("""COMPUTED_VALUE"""),"Police received 911 calls for an van driving erratically near the campus. Van crashed through the campus gate and driver attempted to get inside the school auditorium. Lunch had just ended and students outside had gone back into classrooms. During fight w"&amp;"ith SRO, a city police officer fatally shot the man. No students or staff were injured. School went on lockdown. 33-year-old man was a former honor student at the school who was struggling with mental illness. The night prior to the incident, he was taken"&amp;" by police to the hospital for mental health evaluation and released hours later.")</f>
        <v>Police received 911 calls for an van driving erratically near the campus. Van crashed through the campus gate and driver attempted to get inside the school auditorium. Lunch had just ended and students outside had gone back into classrooms. During fight with SRO, a city police officer fatally shot the man. No students or staff were injured. School went on lockdown. 33-year-old man was a former honor student at the school who was struggling with mental illness. The night prior to the incident, he was taken by police to the hospital for mental health evaluation and released hours later.</v>
      </c>
      <c r="AA1047" s="8" t="str">
        <f ca="1">IFERROR(__xludf.DUMMYFUNCTION("""COMPUTED_VALUE"""),"Officer-Involved Shooting")</f>
        <v>Officer-Involved Shooting</v>
      </c>
      <c r="AB1047" s="8"/>
      <c r="AC1047" s="8" t="str">
        <f ca="1">IFERROR(__xludf.DUMMYFUNCTION("""COMPUTED_VALUE"""),"Yes")</f>
        <v>Yes</v>
      </c>
      <c r="AD1047" s="8"/>
      <c r="AE1047" s="8"/>
      <c r="AF1047" s="8"/>
      <c r="AG1047" s="8"/>
      <c r="AH1047" s="8"/>
      <c r="AI1047" s="8" t="str">
        <f ca="1">IFERROR(__xludf.DUMMYFUNCTION("""COMPUTED_VALUE"""),"Yes")</f>
        <v>Yes</v>
      </c>
      <c r="AJ1047" s="8"/>
      <c r="AK1047" s="8"/>
      <c r="AL1047" s="8"/>
      <c r="AM1047" s="8" t="str">
        <f ca="1">IFERROR(__xludf.DUMMYFUNCTION("""COMPUTED_VALUE"""),"No")</f>
        <v>No</v>
      </c>
      <c r="AN1047" s="8"/>
      <c r="AO1047" s="8"/>
      <c r="AP1047" s="8"/>
      <c r="AQ1047" s="8"/>
      <c r="AR1047" s="8"/>
      <c r="AS1047" s="8"/>
      <c r="AT1047" s="8" t="str">
        <f ca="1">IFERROR(__xludf.DUMMYFUNCTION("""COMPUTED_VALUE"""),"Yes")</f>
        <v>Yes</v>
      </c>
      <c r="AU1047" s="8">
        <f ca="1">IFERROR(__xludf.DUMMYFUNCTION("""COMPUTED_VALUE"""),26.7085)</f>
        <v>26.708500000000001</v>
      </c>
      <c r="AV1047" s="8">
        <f ca="1">IFERROR(__xludf.DUMMYFUNCTION("""COMPUTED_VALUE"""),-80.059135)</f>
        <v>-80.059134999999998</v>
      </c>
      <c r="AW1047" s="8"/>
      <c r="AX1047" s="8">
        <f ca="1">IFERROR(__xludf.DUMMYFUNCTION("""COMPUTED_VALUE"""),33401)</f>
        <v>33401</v>
      </c>
    </row>
    <row r="1048" spans="1:50" ht="90" x14ac:dyDescent="0.2">
      <c r="A1048" s="8" t="str">
        <f ca="1">IFERROR(__xludf.DUMMYFUNCTION("""COMPUTED_VALUE"""),"20220512TXHEH")</f>
        <v>20220512TXHEH</v>
      </c>
      <c r="B1048" s="8">
        <f ca="1">IFERROR(__xludf.DUMMYFUNCTION("""COMPUTED_VALUE"""),5)</f>
        <v>5</v>
      </c>
      <c r="C1048" s="8">
        <f ca="1">IFERROR(__xludf.DUMMYFUNCTION("""COMPUTED_VALUE"""),12)</f>
        <v>12</v>
      </c>
      <c r="D1048" s="8">
        <f ca="1">IFERROR(__xludf.DUMMYFUNCTION("""COMPUTED_VALUE"""),2022)</f>
        <v>2022</v>
      </c>
      <c r="E1048" s="9">
        <f ca="1">IFERROR(__xludf.DUMMYFUNCTION("""COMPUTED_VALUE"""),44693)</f>
        <v>44693</v>
      </c>
      <c r="F1048" s="8" t="str">
        <f ca="1">IFERROR(__xludf.DUMMYFUNCTION("""COMPUTED_VALUE"""),"Heights High School")</f>
        <v>Heights High School</v>
      </c>
      <c r="G1048" s="8">
        <f ca="1">IFERROR(__xludf.DUMMYFUNCTION("""COMPUTED_VALUE"""),0)</f>
        <v>0</v>
      </c>
      <c r="H1048" s="8">
        <f ca="1">IFERROR(__xludf.DUMMYFUNCTION("""COMPUTED_VALUE"""),1)</f>
        <v>1</v>
      </c>
      <c r="I1048" s="8">
        <f ca="1">IFERROR(__xludf.DUMMYFUNCTION("""COMPUTED_VALUE"""),1)</f>
        <v>1</v>
      </c>
      <c r="J1048" s="8">
        <f ca="1">IFERROR(__xludf.DUMMYFUNCTION("""COMPUTED_VALUE"""),0)</f>
        <v>0</v>
      </c>
      <c r="K1048" s="8" t="str">
        <f ca="1">IFERROR(__xludf.DUMMYFUNCTION("""COMPUTED_VALUE"""),"https://abc13.com/heights-high-school-hisd-police-shooting-houston-isd-student-shot/11846330/ https://www.click2houston.com/news/local/2022/05/12/student-shot-in-parking-lot-of-heights-high-school-hisd-spokesperson-says/ https://abc13.com/heights-high-sch"&amp;"ool-shooting-student-wounded-principal-wendy-hampton-hisd-police/11842091/ https://abc13.com/heights-high-school-shooting-student-wounded-principal-wendy-hampton-hisd-police/11842091/")</f>
        <v>https://abc13.com/heights-high-school-hisd-police-shooting-houston-isd-student-shot/11846330/ https://www.click2houston.com/news/local/2022/05/12/student-shot-in-parking-lot-of-heights-high-school-hisd-spokesperson-says/ https://abc13.com/heights-high-school-shooting-student-wounded-principal-wendy-hampton-hisd-police/11842091/ https://abc13.com/heights-high-school-shooting-student-wounded-principal-wendy-hampton-hisd-police/11842091/</v>
      </c>
      <c r="L1048" s="8">
        <f ca="1">IFERROR(__xludf.DUMMYFUNCTION("""COMPUTED_VALUE"""),5)</f>
        <v>5</v>
      </c>
      <c r="M1048" s="8" t="str">
        <f ca="1">IFERROR(__xludf.DUMMYFUNCTION("""COMPUTED_VALUE"""),"Local")</f>
        <v>Local</v>
      </c>
      <c r="N1048" s="8">
        <f ca="1">IFERROR(__xludf.DUMMYFUNCTION("""COMPUTED_VALUE"""),4)</f>
        <v>4</v>
      </c>
      <c r="O1048" s="8" t="str">
        <f ca="1">IFERROR(__xludf.DUMMYFUNCTION("""COMPUTED_VALUE"""),"Spring")</f>
        <v>Spring</v>
      </c>
      <c r="P1048" s="8" t="str">
        <f ca="1">IFERROR(__xludf.DUMMYFUNCTION("""COMPUTED_VALUE"""),"Houston")</f>
        <v>Houston</v>
      </c>
      <c r="Q1048" s="8" t="str">
        <f ca="1">IFERROR(__xludf.DUMMYFUNCTION("""COMPUTED_VALUE"""),"TX")</f>
        <v>TX</v>
      </c>
      <c r="R1048" s="8" t="str">
        <f ca="1">IFERROR(__xludf.DUMMYFUNCTION("""COMPUTED_VALUE"""),"High")</f>
        <v>High</v>
      </c>
      <c r="S1048" s="8" t="str">
        <f ca="1">IFERROR(__xludf.DUMMYFUNCTION("""COMPUTED_VALUE"""),"Parking Lot")</f>
        <v>Parking Lot</v>
      </c>
      <c r="T1048" s="8" t="str">
        <f ca="1">IFERROR(__xludf.DUMMYFUNCTION("""COMPUTED_VALUE"""),"Outside on School Property")</f>
        <v>Outside on School Property</v>
      </c>
      <c r="U1048" s="8" t="str">
        <f ca="1">IFERROR(__xludf.DUMMYFUNCTION("""COMPUTED_VALUE"""),"Yes")</f>
        <v>Yes</v>
      </c>
      <c r="V1048" s="8" t="str">
        <f ca="1">IFERROR(__xludf.DUMMYFUNCTION("""COMPUTED_VALUE"""),"Afternoon Classes")</f>
        <v>Afternoon Classes</v>
      </c>
      <c r="W1048" s="11">
        <f ca="1">IFERROR(__xludf.DUMMYFUNCTION("""COMPUTED_VALUE"""),0.552083333333333)</f>
        <v>0.55208333333333304</v>
      </c>
      <c r="X1048" s="8">
        <f ca="1">IFERROR(__xludf.DUMMYFUNCTION("""COMPUTED_VALUE"""),1)</f>
        <v>1</v>
      </c>
      <c r="Y1048" s="12" t="str">
        <f ca="1">IFERROR(__xludf.DUMMYFUNCTION("""COMPUTED_VALUE"""),"Student shot in school parking lot during afternoon classes")</f>
        <v>Student shot in school parking lot during afternoon classes</v>
      </c>
      <c r="Z1048" s="12" t="str">
        <f ca="1">IFERROR(__xludf.DUMMYFUNCTION("""COMPUTED_VALUE"""),"A student was shot in the school parking lot during afternoon classes and transported to the hospital. School went on lockdown and then dismissed at normal time. Police said there was no threat to other students. An 18-year-old male student was arrested t"&amp;"he following day. Police believe 5 people were involved in the shooting.")</f>
        <v>A student was shot in the school parking lot during afternoon classes and transported to the hospital. School went on lockdown and then dismissed at normal time. Police said there was no threat to other students. An 18-year-old male student was arrested the following day. Police believe 5 people were involved in the shooting.</v>
      </c>
      <c r="AA1048" s="8"/>
      <c r="AB1048" s="8"/>
      <c r="AC1048" s="8" t="str">
        <f ca="1">IFERROR(__xludf.DUMMYFUNCTION("""COMPUTED_VALUE"""),"Yes")</f>
        <v>Yes</v>
      </c>
      <c r="AD1048" s="8" t="str">
        <f ca="1">IFERROR(__xludf.DUMMYFUNCTION("""COMPUTED_VALUE"""),"Victims Targeted")</f>
        <v>Victims Targeted</v>
      </c>
      <c r="AE1048" s="8" t="str">
        <f ca="1">IFERROR(__xludf.DUMMYFUNCTION("""COMPUTED_VALUE"""),"Yes")</f>
        <v>Yes</v>
      </c>
      <c r="AF1048" s="8" t="str">
        <f ca="1">IFERROR(__xludf.DUMMYFUNCTION("""COMPUTED_VALUE"""),"5 people involved")</f>
        <v>5 people involved</v>
      </c>
      <c r="AG1048" s="8" t="str">
        <f ca="1">IFERROR(__xludf.DUMMYFUNCTION("""COMPUTED_VALUE"""),"No")</f>
        <v>No</v>
      </c>
      <c r="AH1048" s="8" t="str">
        <f ca="1">IFERROR(__xludf.DUMMYFUNCTION("""COMPUTED_VALUE"""),"No")</f>
        <v>No</v>
      </c>
      <c r="AI1048" s="8" t="str">
        <f ca="1">IFERROR(__xludf.DUMMYFUNCTION("""COMPUTED_VALUE"""),"No")</f>
        <v>No</v>
      </c>
      <c r="AJ1048" s="8" t="str">
        <f ca="1">IFERROR(__xludf.DUMMYFUNCTION("""COMPUTED_VALUE"""),"No")</f>
        <v>No</v>
      </c>
      <c r="AK1048" s="8" t="str">
        <f ca="1">IFERROR(__xludf.DUMMYFUNCTION("""COMPUTED_VALUE"""),"No")</f>
        <v>No</v>
      </c>
      <c r="AL1048" s="8"/>
      <c r="AM1048" s="8" t="str">
        <f ca="1">IFERROR(__xludf.DUMMYFUNCTION("""COMPUTED_VALUE"""),"No")</f>
        <v>No</v>
      </c>
      <c r="AN1048" s="8"/>
      <c r="AO1048" s="8" t="str">
        <f ca="1">IFERROR(__xludf.DUMMYFUNCTION("""COMPUTED_VALUE"""),"No")</f>
        <v>No</v>
      </c>
      <c r="AP1048" s="8"/>
      <c r="AQ1048" s="8"/>
      <c r="AR1048" s="8" t="str">
        <f ca="1">IFERROR(__xludf.DUMMYFUNCTION("""COMPUTED_VALUE"""),"Outside/Off-Property")</f>
        <v>Outside/Off-Property</v>
      </c>
      <c r="AS1048" s="8"/>
      <c r="AT1048" s="8" t="str">
        <f ca="1">IFERROR(__xludf.DUMMYFUNCTION("""COMPUTED_VALUE"""),"Yes")</f>
        <v>Yes</v>
      </c>
      <c r="AU1048" s="8">
        <f ca="1">IFERROR(__xludf.DUMMYFUNCTION("""COMPUTED_VALUE"""),29.794765)</f>
        <v>29.794765000000002</v>
      </c>
      <c r="AV1048" s="8">
        <f ca="1">IFERROR(__xludf.DUMMYFUNCTION("""COMPUTED_VALUE"""),-95.39241)</f>
        <v>-95.392409999999998</v>
      </c>
      <c r="AW1048" s="8"/>
      <c r="AX1048" s="8">
        <f ca="1">IFERROR(__xludf.DUMMYFUNCTION("""COMPUTED_VALUE"""),77008)</f>
        <v>77008</v>
      </c>
    </row>
    <row r="1049" spans="1:50" ht="120" x14ac:dyDescent="0.2">
      <c r="A1049" s="8" t="str">
        <f ca="1">IFERROR(__xludf.DUMMYFUNCTION("""COMPUTED_VALUE"""),"20220512ARHOH")</f>
        <v>20220512ARHOH</v>
      </c>
      <c r="B1049" s="8">
        <f ca="1">IFERROR(__xludf.DUMMYFUNCTION("""COMPUTED_VALUE"""),5)</f>
        <v>5</v>
      </c>
      <c r="C1049" s="8">
        <f ca="1">IFERROR(__xludf.DUMMYFUNCTION("""COMPUTED_VALUE"""),12)</f>
        <v>12</v>
      </c>
      <c r="D1049" s="8">
        <f ca="1">IFERROR(__xludf.DUMMYFUNCTION("""COMPUTED_VALUE"""),2022)</f>
        <v>2022</v>
      </c>
      <c r="E1049" s="9">
        <f ca="1">IFERROR(__xludf.DUMMYFUNCTION("""COMPUTED_VALUE"""),44693)</f>
        <v>44693</v>
      </c>
      <c r="F1049" s="8" t="str">
        <f ca="1">IFERROR(__xludf.DUMMYFUNCTION("""COMPUTED_VALUE"""),"Hot Springs High School")</f>
        <v>Hot Springs High School</v>
      </c>
      <c r="G1049" s="8">
        <f ca="1">IFERROR(__xludf.DUMMYFUNCTION("""COMPUTED_VALUE"""),1)</f>
        <v>1</v>
      </c>
      <c r="H1049" s="8">
        <f ca="1">IFERROR(__xludf.DUMMYFUNCTION("""COMPUTED_VALUE"""),2)</f>
        <v>2</v>
      </c>
      <c r="I1049" s="8">
        <f ca="1">IFERROR(__xludf.DUMMYFUNCTION("""COMPUTED_VALUE"""),3)</f>
        <v>3</v>
      </c>
      <c r="J1049" s="8">
        <f ca="1">IFERROR(__xludf.DUMMYFUNCTION("""COMPUTED_VALUE"""),0)</f>
        <v>0</v>
      </c>
      <c r="K1049" s="10" t="str">
        <f ca="1">IFERROR(__xludf.DUMMYFUNCTION("""COMPUTED_VALUE"""),"https://katv.com/news/local/man-convicted-in-arkansas-graduation-shooting-gets-105-years-in-prison-charles-johnson-jr-judge-ralph-ohm-hot-springs-convention-center-world-class-high-school-brock-price-mark-fraiser-mass-shooting-may-12-2022-garland-county-c"&amp;"ircuit-court-murder
https://katv.com/news/local/1-dead-3-others-injured-following-shooting-after-hot-springs-graduation-suspect-arrested-high-school-district-hshs-hssd-police-department-hspd-michael-jordan-victim-charles-johnson-convention-center-hscc-sup"&amp;"erintendent-dr-stephanie-nehus-murder-arkansas https://abcnews.go.com/US/arkansas-police-investigating-shooting-high-school-graduation/story?id=84687924 https://www.kark.com/crime/families-in-hot-springs-stunned-after-shooting-outside-high-school-graduati"&amp;"on/")</f>
        <v>https://katv.com/news/local/man-convicted-in-arkansas-graduation-shooting-gets-105-years-in-prison-charles-johnson-jr-judge-ralph-ohm-hot-springs-convention-center-world-class-high-school-brock-price-mark-fraiser-mass-shooting-may-12-2022-garland-county-circuit-court-murder
https://katv.com/news/local/1-dead-3-others-injured-following-shooting-after-hot-springs-graduation-suspect-arrested-high-school-district-hshs-hssd-police-department-hspd-michael-jordan-victim-charles-johnson-convention-center-hscc-superintendent-dr-stephanie-nehus-murder-arkansas https://abcnews.go.com/US/arkansas-police-investigating-shooting-high-school-graduation/story?id=84687924 https://www.kark.com/crime/families-in-hot-springs-stunned-after-shooting-outside-high-school-graduation/</v>
      </c>
      <c r="L1049" s="8">
        <f ca="1">IFERROR(__xludf.DUMMYFUNCTION("""COMPUTED_VALUE"""),100)</f>
        <v>100</v>
      </c>
      <c r="M1049" s="8" t="str">
        <f ca="1">IFERROR(__xludf.DUMMYFUNCTION("""COMPUTED_VALUE"""),"National")</f>
        <v>National</v>
      </c>
      <c r="N1049" s="8">
        <f ca="1">IFERROR(__xludf.DUMMYFUNCTION("""COMPUTED_VALUE"""),4)</f>
        <v>4</v>
      </c>
      <c r="O1049" s="8" t="str">
        <f ca="1">IFERROR(__xludf.DUMMYFUNCTION("""COMPUTED_VALUE"""),"Spring")</f>
        <v>Spring</v>
      </c>
      <c r="P1049" s="8" t="str">
        <f ca="1">IFERROR(__xludf.DUMMYFUNCTION("""COMPUTED_VALUE"""),"Hot Springs")</f>
        <v>Hot Springs</v>
      </c>
      <c r="Q1049" s="8" t="str">
        <f ca="1">IFERROR(__xludf.DUMMYFUNCTION("""COMPUTED_VALUE"""),"AR")</f>
        <v>AR</v>
      </c>
      <c r="R1049" s="8" t="str">
        <f ca="1">IFERROR(__xludf.DUMMYFUNCTION("""COMPUTED_VALUE"""),"High")</f>
        <v>High</v>
      </c>
      <c r="S1049" s="8" t="str">
        <f ca="1">IFERROR(__xludf.DUMMYFUNCTION("""COMPUTED_VALUE"""),"Off School Property")</f>
        <v>Off School Property</v>
      </c>
      <c r="T1049" s="8" t="str">
        <f ca="1">IFERROR(__xludf.DUMMYFUNCTION("""COMPUTED_VALUE"""),"Outside on School Property")</f>
        <v>Outside on School Property</v>
      </c>
      <c r="U1049" s="8" t="str">
        <f ca="1">IFERROR(__xludf.DUMMYFUNCTION("""COMPUTED_VALUE"""),"No")</f>
        <v>No</v>
      </c>
      <c r="V1049" s="8" t="str">
        <f ca="1">IFERROR(__xludf.DUMMYFUNCTION("""COMPUTED_VALUE"""),"School Event")</f>
        <v>School Event</v>
      </c>
      <c r="W1049" s="11">
        <f ca="1">IFERROR(__xludf.DUMMYFUNCTION("""COMPUTED_VALUE"""),0.791666666666666)</f>
        <v>0.79166666666666596</v>
      </c>
      <c r="X1049" s="8">
        <f ca="1">IFERROR(__xludf.DUMMYFUNCTION("""COMPUTED_VALUE"""),1)</f>
        <v>1</v>
      </c>
      <c r="Y1049" s="12" t="str">
        <f ca="1">IFERROR(__xludf.DUMMYFUNCTION("""COMPUTED_VALUE"""),"4 people shot in parking lot following graduation ceremony")</f>
        <v>4 people shot in parking lot following graduation ceremony</v>
      </c>
      <c r="Z1049" s="12" t="str">
        <f ca="1">IFERROR(__xludf.DUMMYFUNCTION("""COMPUTED_VALUE"""),"Shots were fired during a fight in the parking lot following the graduation ceremony. Students and family members were taking photos outside of the building when the shooting started. The graduation was held at the city's convention center. An adult man w"&amp;"as killed, 2 others were shot, and the shooter (25-year-old man) was shot by a police officer. Shooter was wounded and fled the area. Found at a local hospital and arrested.")</f>
        <v>Shots were fired during a fight in the parking lot following the graduation ceremony. Students and family members were taking photos outside of the building when the shooting started. The graduation was held at the city's convention center. An adult man was killed, 2 others were shot, and the shooter (25-year-old man) was shot by a police officer. Shooter was wounded and fled the area. Found at a local hospital and arrested.</v>
      </c>
      <c r="AA1049" s="8" t="str">
        <f ca="1">IFERROR(__xludf.DUMMYFUNCTION("""COMPUTED_VALUE"""),"Escalation of Dispute")</f>
        <v>Escalation of Dispute</v>
      </c>
      <c r="AB1049" s="8"/>
      <c r="AC1049" s="8" t="str">
        <f ca="1">IFERROR(__xludf.DUMMYFUNCTION("""COMPUTED_VALUE"""),"Yes")</f>
        <v>Yes</v>
      </c>
      <c r="AD1049" s="8" t="str">
        <f ca="1">IFERROR(__xludf.DUMMYFUNCTION("""COMPUTED_VALUE"""),"Both")</f>
        <v>Both</v>
      </c>
      <c r="AE1049" s="8" t="str">
        <f ca="1">IFERROR(__xludf.DUMMYFUNCTION("""COMPUTED_VALUE"""),"No")</f>
        <v>No</v>
      </c>
      <c r="AF1049" s="8"/>
      <c r="AG1049" s="8" t="str">
        <f ca="1">IFERROR(__xludf.DUMMYFUNCTION("""COMPUTED_VALUE"""),"No")</f>
        <v>No</v>
      </c>
      <c r="AH1049" s="8" t="str">
        <f ca="1">IFERROR(__xludf.DUMMYFUNCTION("""COMPUTED_VALUE"""),"No")</f>
        <v>No</v>
      </c>
      <c r="AI1049" s="8" t="str">
        <f ca="1">IFERROR(__xludf.DUMMYFUNCTION("""COMPUTED_VALUE"""),"No")</f>
        <v>No</v>
      </c>
      <c r="AJ1049" s="8" t="str">
        <f ca="1">IFERROR(__xludf.DUMMYFUNCTION("""COMPUTED_VALUE"""),"No")</f>
        <v>No</v>
      </c>
      <c r="AK1049" s="8" t="str">
        <f ca="1">IFERROR(__xludf.DUMMYFUNCTION("""COMPUTED_VALUE"""),"No")</f>
        <v>No</v>
      </c>
      <c r="AL1049" s="8" t="str">
        <f ca="1">IFERROR(__xludf.DUMMYFUNCTION("""COMPUTED_VALUE"""),"No")</f>
        <v>No</v>
      </c>
      <c r="AM1049" s="8" t="str">
        <f ca="1">IFERROR(__xludf.DUMMYFUNCTION("""COMPUTED_VALUE"""),"No")</f>
        <v>No</v>
      </c>
      <c r="AN1049" s="8"/>
      <c r="AO1049" s="8" t="str">
        <f ca="1">IFERROR(__xludf.DUMMYFUNCTION("""COMPUTED_VALUE"""),"No")</f>
        <v>No</v>
      </c>
      <c r="AP1049" s="8"/>
      <c r="AQ1049" s="8"/>
      <c r="AR1049" s="8" t="str">
        <f ca="1">IFERROR(__xludf.DUMMYFUNCTION("""COMPUTED_VALUE"""),"Outside/Off-Property")</f>
        <v>Outside/Off-Property</v>
      </c>
      <c r="AS1049" s="8">
        <f ca="1">IFERROR(__xludf.DUMMYFUNCTION("""COMPUTED_VALUE"""),99)</f>
        <v>99</v>
      </c>
      <c r="AT1049" s="8"/>
      <c r="AU1049" s="8">
        <f ca="1">IFERROR(__xludf.DUMMYFUNCTION("""COMPUTED_VALUE"""),34.509538)</f>
        <v>34.509537999999999</v>
      </c>
      <c r="AV1049" s="8">
        <f ca="1">IFERROR(__xludf.DUMMYFUNCTION("""COMPUTED_VALUE"""),-93.051365)</f>
        <v>-93.051365000000004</v>
      </c>
      <c r="AW1049" s="8"/>
      <c r="AX1049" s="8">
        <f ca="1">IFERROR(__xludf.DUMMYFUNCTION("""COMPUTED_VALUE"""),71901)</f>
        <v>71901</v>
      </c>
    </row>
    <row r="1050" spans="1:50" ht="75" x14ac:dyDescent="0.2">
      <c r="A1050" s="8" t="str">
        <f ca="1">IFERROR(__xludf.DUMMYFUNCTION("""COMPUTED_VALUE"""),"20220511FLJAJ")</f>
        <v>20220511FLJAJ</v>
      </c>
      <c r="B1050" s="8">
        <f ca="1">IFERROR(__xludf.DUMMYFUNCTION("""COMPUTED_VALUE"""),5)</f>
        <v>5</v>
      </c>
      <c r="C1050" s="8">
        <f ca="1">IFERROR(__xludf.DUMMYFUNCTION("""COMPUTED_VALUE"""),11)</f>
        <v>11</v>
      </c>
      <c r="D1050" s="8">
        <f ca="1">IFERROR(__xludf.DUMMYFUNCTION("""COMPUTED_VALUE"""),2022)</f>
        <v>2022</v>
      </c>
      <c r="E1050" s="9">
        <f ca="1">IFERROR(__xludf.DUMMYFUNCTION("""COMPUTED_VALUE"""),44692)</f>
        <v>44692</v>
      </c>
      <c r="F1050" s="8" t="str">
        <f ca="1">IFERROR(__xludf.DUMMYFUNCTION("""COMPUTED_VALUE"""),"Andrew Jackson High School")</f>
        <v>Andrew Jackson High School</v>
      </c>
      <c r="G1050" s="8">
        <f ca="1">IFERROR(__xludf.DUMMYFUNCTION("""COMPUTED_VALUE"""),0)</f>
        <v>0</v>
      </c>
      <c r="H1050" s="8">
        <f ca="1">IFERROR(__xludf.DUMMYFUNCTION("""COMPUTED_VALUE"""),1)</f>
        <v>1</v>
      </c>
      <c r="I1050" s="8">
        <f ca="1">IFERROR(__xludf.DUMMYFUNCTION("""COMPUTED_VALUE"""),1)</f>
        <v>1</v>
      </c>
      <c r="J1050" s="8">
        <f ca="1">IFERROR(__xludf.DUMMYFUNCTION("""COMPUTED_VALUE"""),0)</f>
        <v>0</v>
      </c>
      <c r="K1050" s="8" t="str">
        <f ca="1">IFERROR(__xludf.DUMMYFUNCTION("""COMPUTED_VALUE"""),"https://www.jacksonville.com/story/news/crime/2022/05/12/jacksonville-student-17-shot-outside-andrew-jackson-high/9743543002/ https://www.firstcoastnews.com/article/news/crime/police-andrew-jackson/77-95ea5184-e16e-4a9e-acbf-f3d2a8a79766 https://www.news4"&amp;"jax.com/news/local/2022/05/11/large-law-enforcement-presence-near-andrew-jackson-high-school/")</f>
        <v>https://www.jacksonville.com/story/news/crime/2022/05/12/jacksonville-student-17-shot-outside-andrew-jackson-high/9743543002/ https://www.firstcoastnews.com/article/news/crime/police-andrew-jackson/77-95ea5184-e16e-4a9e-acbf-f3d2a8a79766 https://www.news4jax.com/news/local/2022/05/11/large-law-enforcement-presence-near-andrew-jackson-high-school/</v>
      </c>
      <c r="L1050" s="8">
        <f ca="1">IFERROR(__xludf.DUMMYFUNCTION("""COMPUTED_VALUE"""),10)</f>
        <v>10</v>
      </c>
      <c r="M1050" s="8" t="str">
        <f ca="1">IFERROR(__xludf.DUMMYFUNCTION("""COMPUTED_VALUE"""),"Regional")</f>
        <v>Regional</v>
      </c>
      <c r="N1050" s="8">
        <f ca="1">IFERROR(__xludf.DUMMYFUNCTION("""COMPUTED_VALUE"""),4)</f>
        <v>4</v>
      </c>
      <c r="O1050" s="8" t="str">
        <f ca="1">IFERROR(__xludf.DUMMYFUNCTION("""COMPUTED_VALUE"""),"Spring")</f>
        <v>Spring</v>
      </c>
      <c r="P1050" s="8" t="str">
        <f ca="1">IFERROR(__xludf.DUMMYFUNCTION("""COMPUTED_VALUE"""),"Jacksonville")</f>
        <v>Jacksonville</v>
      </c>
      <c r="Q1050" s="8" t="str">
        <f ca="1">IFERROR(__xludf.DUMMYFUNCTION("""COMPUTED_VALUE"""),"FL")</f>
        <v>FL</v>
      </c>
      <c r="R1050" s="8" t="str">
        <f ca="1">IFERROR(__xludf.DUMMYFUNCTION("""COMPUTED_VALUE"""),"High")</f>
        <v>High</v>
      </c>
      <c r="S1050" s="8" t="str">
        <f ca="1">IFERROR(__xludf.DUMMYFUNCTION("""COMPUTED_VALUE"""),"Beside Building")</f>
        <v>Beside Building</v>
      </c>
      <c r="T1050" s="8" t="str">
        <f ca="1">IFERROR(__xludf.DUMMYFUNCTION("""COMPUTED_VALUE"""),"Outside on School Property")</f>
        <v>Outside on School Property</v>
      </c>
      <c r="U1050" s="8" t="str">
        <f ca="1">IFERROR(__xludf.DUMMYFUNCTION("""COMPUTED_VALUE"""),"Yes")</f>
        <v>Yes</v>
      </c>
      <c r="V1050" s="8" t="str">
        <f ca="1">IFERROR(__xludf.DUMMYFUNCTION("""COMPUTED_VALUE"""),"Dismissal")</f>
        <v>Dismissal</v>
      </c>
      <c r="W1050" s="11">
        <f ca="1">IFERROR(__xludf.DUMMYFUNCTION("""COMPUTED_VALUE"""),0.625)</f>
        <v>0.625</v>
      </c>
      <c r="X1050" s="8">
        <f ca="1">IFERROR(__xludf.DUMMYFUNCTION("""COMPUTED_VALUE"""),1)</f>
        <v>1</v>
      </c>
      <c r="Y1050" s="12" t="str">
        <f ca="1">IFERROR(__xludf.DUMMYFUNCTION("""COMPUTED_VALUE"""),"Student shot exiting school during drive-by")</f>
        <v>Student shot exiting school during drive-by</v>
      </c>
      <c r="Z1050" s="12" t="str">
        <f ca="1">IFERROR(__xludf.DUMMYFUNCTION("""COMPUTED_VALUE"""),"A group of 8 students were leaving the school gym at dismissal when shots were fired at them from a vehicle. 17-year-old student was critically injured. Students ran back into school and went on lockdown. Shooter fled and was not identified.")</f>
        <v>A group of 8 students were leaving the school gym at dismissal when shots were fired at them from a vehicle. 17-year-old student was critically injured. Students ran back into school and went on lockdown. Shooter fled and was not identified.</v>
      </c>
      <c r="AA1050" s="8" t="str">
        <f ca="1">IFERROR(__xludf.DUMMYFUNCTION("""COMPUTED_VALUE"""),"Drive-by Shooting")</f>
        <v>Drive-by Shooting</v>
      </c>
      <c r="AB1050" s="8"/>
      <c r="AC1050" s="8" t="str">
        <f ca="1">IFERROR(__xludf.DUMMYFUNCTION("""COMPUTED_VALUE"""),"Yes")</f>
        <v>Yes</v>
      </c>
      <c r="AD1050" s="8" t="str">
        <f ca="1">IFERROR(__xludf.DUMMYFUNCTION("""COMPUTED_VALUE"""),"Victims Targeted")</f>
        <v>Victims Targeted</v>
      </c>
      <c r="AE1050" s="8" t="str">
        <f ca="1">IFERROR(__xludf.DUMMYFUNCTION("""COMPUTED_VALUE"""),"Yes")</f>
        <v>Yes</v>
      </c>
      <c r="AF1050" s="8"/>
      <c r="AG1050" s="8" t="str">
        <f ca="1">IFERROR(__xludf.DUMMYFUNCTION("""COMPUTED_VALUE"""),"No")</f>
        <v>No</v>
      </c>
      <c r="AH1050" s="8" t="str">
        <f ca="1">IFERROR(__xludf.DUMMYFUNCTION("""COMPUTED_VALUE"""),"No")</f>
        <v>No</v>
      </c>
      <c r="AI1050" s="8" t="str">
        <f ca="1">IFERROR(__xludf.DUMMYFUNCTION("""COMPUTED_VALUE"""),"No")</f>
        <v>No</v>
      </c>
      <c r="AJ1050" s="8" t="str">
        <f ca="1">IFERROR(__xludf.DUMMYFUNCTION("""COMPUTED_VALUE"""),"No")</f>
        <v>No</v>
      </c>
      <c r="AK1050" s="8" t="str">
        <f ca="1">IFERROR(__xludf.DUMMYFUNCTION("""COMPUTED_VALUE"""),"No")</f>
        <v>No</v>
      </c>
      <c r="AL1050" s="8"/>
      <c r="AM1050" s="8" t="str">
        <f ca="1">IFERROR(__xludf.DUMMYFUNCTION("""COMPUTED_VALUE"""),"No")</f>
        <v>No</v>
      </c>
      <c r="AN1050" s="8"/>
      <c r="AO1050" s="8" t="str">
        <f ca="1">IFERROR(__xludf.DUMMYFUNCTION("""COMPUTED_VALUE"""),"No")</f>
        <v>No</v>
      </c>
      <c r="AP1050" s="8"/>
      <c r="AQ1050" s="8"/>
      <c r="AR1050" s="8" t="str">
        <f ca="1">IFERROR(__xludf.DUMMYFUNCTION("""COMPUTED_VALUE"""),"Outside/Off-Property")</f>
        <v>Outside/Off-Property</v>
      </c>
      <c r="AS1050" s="8">
        <f ca="1">IFERROR(__xludf.DUMMYFUNCTION("""COMPUTED_VALUE"""),10)</f>
        <v>10</v>
      </c>
      <c r="AT1050" s="8" t="str">
        <f ca="1">IFERROR(__xludf.DUMMYFUNCTION("""COMPUTED_VALUE"""),"Yes")</f>
        <v>Yes</v>
      </c>
      <c r="AU1050" s="8">
        <f ca="1">IFERROR(__xludf.DUMMYFUNCTION("""COMPUTED_VALUE"""),30.361878)</f>
        <v>30.361878000000001</v>
      </c>
      <c r="AV1050" s="8">
        <f ca="1">IFERROR(__xludf.DUMMYFUNCTION("""COMPUTED_VALUE"""),-81.654672)</f>
        <v>-81.654672000000005</v>
      </c>
      <c r="AW1050" s="8"/>
      <c r="AX1050" s="8">
        <f ca="1">IFERROR(__xludf.DUMMYFUNCTION("""COMPUTED_VALUE"""),32206)</f>
        <v>32206</v>
      </c>
    </row>
    <row r="1051" spans="1:50" ht="60" x14ac:dyDescent="0.2">
      <c r="A1051" s="8" t="str">
        <f ca="1">IFERROR(__xludf.DUMMYFUNCTION("""COMPUTED_VALUE"""),"20220509NYEDS")</f>
        <v>20220509NYEDS</v>
      </c>
      <c r="B1051" s="8">
        <f ca="1">IFERROR(__xludf.DUMMYFUNCTION("""COMPUTED_VALUE"""),5)</f>
        <v>5</v>
      </c>
      <c r="C1051" s="8">
        <f ca="1">IFERROR(__xludf.DUMMYFUNCTION("""COMPUTED_VALUE"""),9)</f>
        <v>9</v>
      </c>
      <c r="D1051" s="8">
        <f ca="1">IFERROR(__xludf.DUMMYFUNCTION("""COMPUTED_VALUE"""),2022)</f>
        <v>2022</v>
      </c>
      <c r="E1051" s="9">
        <f ca="1">IFERROR(__xludf.DUMMYFUNCTION("""COMPUTED_VALUE"""),44690)</f>
        <v>44690</v>
      </c>
      <c r="F1051" s="8" t="str">
        <f ca="1">IFERROR(__xludf.DUMMYFUNCTION("""COMPUTED_VALUE"""),"Eden Ii Institute")</f>
        <v>Eden Ii Institute</v>
      </c>
      <c r="G1051" s="8">
        <f ca="1">IFERROR(__xludf.DUMMYFUNCTION("""COMPUTED_VALUE"""),1)</f>
        <v>1</v>
      </c>
      <c r="H1051" s="8">
        <f ca="1">IFERROR(__xludf.DUMMYFUNCTION("""COMPUTED_VALUE"""),0)</f>
        <v>0</v>
      </c>
      <c r="I1051" s="8">
        <f ca="1">IFERROR(__xludf.DUMMYFUNCTION("""COMPUTED_VALUE"""),1)</f>
        <v>1</v>
      </c>
      <c r="J1051" s="8">
        <f ca="1">IFERROR(__xludf.DUMMYFUNCTION("""COMPUTED_VALUE"""),0)</f>
        <v>0</v>
      </c>
      <c r="K1051" s="8" t="str">
        <f ca="1">IFERROR(__xludf.DUMMYFUNCTION("""COMPUTED_VALUE"""),"https://www.nydailynews.com/new-york/nyc-crime/ny-man-shot-staten-island-20220509-st6d6abalrfsphx5c4ggx5q3vm-story.html https://nypost.com/2022/05/10/man-shot-outside-si-school-for-autistic-students-dies/")</f>
        <v>https://www.nydailynews.com/new-york/nyc-crime/ny-man-shot-staten-island-20220509-st6d6abalrfsphx5c4ggx5q3vm-story.html https://nypost.com/2022/05/10/man-shot-outside-si-school-for-autistic-students-dies/</v>
      </c>
      <c r="L1051" s="8">
        <f ca="1">IFERROR(__xludf.DUMMYFUNCTION("""COMPUTED_VALUE"""),10)</f>
        <v>10</v>
      </c>
      <c r="M1051" s="8" t="str">
        <f ca="1">IFERROR(__xludf.DUMMYFUNCTION("""COMPUTED_VALUE"""),"Regional")</f>
        <v>Regional</v>
      </c>
      <c r="N1051" s="8">
        <f ca="1">IFERROR(__xludf.DUMMYFUNCTION("""COMPUTED_VALUE"""),4)</f>
        <v>4</v>
      </c>
      <c r="O1051" s="8" t="str">
        <f ca="1">IFERROR(__xludf.DUMMYFUNCTION("""COMPUTED_VALUE"""),"Spring")</f>
        <v>Spring</v>
      </c>
      <c r="P1051" s="8" t="str">
        <f ca="1">IFERROR(__xludf.DUMMYFUNCTION("""COMPUTED_VALUE"""),"Staten Island")</f>
        <v>Staten Island</v>
      </c>
      <c r="Q1051" s="8" t="str">
        <f ca="1">IFERROR(__xludf.DUMMYFUNCTION("""COMPUTED_VALUE"""),"NY")</f>
        <v>NY</v>
      </c>
      <c r="R1051" s="8" t="str">
        <f ca="1">IFERROR(__xludf.DUMMYFUNCTION("""COMPUTED_VALUE"""),"Other")</f>
        <v>Other</v>
      </c>
      <c r="S1051" s="8" t="str">
        <f ca="1">IFERROR(__xludf.DUMMYFUNCTION("""COMPUTED_VALUE"""),"Front of School")</f>
        <v>Front of School</v>
      </c>
      <c r="T1051" s="8" t="str">
        <f ca="1">IFERROR(__xludf.DUMMYFUNCTION("""COMPUTED_VALUE"""),"Outside on School Property")</f>
        <v>Outside on School Property</v>
      </c>
      <c r="U1051" s="8" t="str">
        <f ca="1">IFERROR(__xludf.DUMMYFUNCTION("""COMPUTED_VALUE"""),"Yes")</f>
        <v>Yes</v>
      </c>
      <c r="V1051" s="8" t="str">
        <f ca="1">IFERROR(__xludf.DUMMYFUNCTION("""COMPUTED_VALUE"""),"Afternoon Classes")</f>
        <v>Afternoon Classes</v>
      </c>
      <c r="W1051" s="11">
        <f ca="1">IFERROR(__xludf.DUMMYFUNCTION("""COMPUTED_VALUE"""),0.635416666666666)</f>
        <v>0.63541666666666596</v>
      </c>
      <c r="X1051" s="8">
        <f ca="1">IFERROR(__xludf.DUMMYFUNCTION("""COMPUTED_VALUE"""),1)</f>
        <v>1</v>
      </c>
      <c r="Y1051" s="12" t="str">
        <f ca="1">IFERROR(__xludf.DUMMYFUNCTION("""COMPUTED_VALUE"""),"Man fatally shot by front door to school")</f>
        <v>Man fatally shot by front door to school</v>
      </c>
      <c r="Z1051" s="12" t="str">
        <f ca="1">IFERROR(__xludf.DUMMYFUNCTION("""COMPUTED_VALUE"""),"A 26-year-old man was fatally shot during a fight with 2 other men near the front door of the school. Shooter fled in a vehicle. School went on lockdown for 90 minute while police investigated. Unclear if men had any relation to the school.")</f>
        <v>A 26-year-old man was fatally shot during a fight with 2 other men near the front door of the school. Shooter fled in a vehicle. School went on lockdown for 90 minute while police investigated. Unclear if men had any relation to the school.</v>
      </c>
      <c r="AA1051" s="8" t="str">
        <f ca="1">IFERROR(__xludf.DUMMYFUNCTION("""COMPUTED_VALUE"""),"Escalation of Dispute")</f>
        <v>Escalation of Dispute</v>
      </c>
      <c r="AB1051" s="8"/>
      <c r="AC1051" s="8" t="str">
        <f ca="1">IFERROR(__xludf.DUMMYFUNCTION("""COMPUTED_VALUE"""),"Yes")</f>
        <v>Yes</v>
      </c>
      <c r="AD1051" s="8" t="str">
        <f ca="1">IFERROR(__xludf.DUMMYFUNCTION("""COMPUTED_VALUE"""),"Victims Targeted")</f>
        <v>Victims Targeted</v>
      </c>
      <c r="AE1051" s="8" t="str">
        <f ca="1">IFERROR(__xludf.DUMMYFUNCTION("""COMPUTED_VALUE"""),"Yes")</f>
        <v>Yes</v>
      </c>
      <c r="AF1051" s="8" t="str">
        <f ca="1">IFERROR(__xludf.DUMMYFUNCTION("""COMPUTED_VALUE"""),"2 men")</f>
        <v>2 men</v>
      </c>
      <c r="AG1051" s="8" t="str">
        <f ca="1">IFERROR(__xludf.DUMMYFUNCTION("""COMPUTED_VALUE"""),"No")</f>
        <v>No</v>
      </c>
      <c r="AH1051" s="8" t="str">
        <f ca="1">IFERROR(__xludf.DUMMYFUNCTION("""COMPUTED_VALUE"""),"No")</f>
        <v>No</v>
      </c>
      <c r="AI1051" s="8" t="str">
        <f ca="1">IFERROR(__xludf.DUMMYFUNCTION("""COMPUTED_VALUE"""),"No")</f>
        <v>No</v>
      </c>
      <c r="AJ1051" s="8" t="str">
        <f ca="1">IFERROR(__xludf.DUMMYFUNCTION("""COMPUTED_VALUE"""),"No")</f>
        <v>No</v>
      </c>
      <c r="AK1051" s="8" t="str">
        <f ca="1">IFERROR(__xludf.DUMMYFUNCTION("""COMPUTED_VALUE"""),"No")</f>
        <v>No</v>
      </c>
      <c r="AL1051" s="8"/>
      <c r="AM1051" s="8" t="str">
        <f ca="1">IFERROR(__xludf.DUMMYFUNCTION("""COMPUTED_VALUE"""),"No")</f>
        <v>No</v>
      </c>
      <c r="AN1051" s="8"/>
      <c r="AO1051" s="8" t="str">
        <f ca="1">IFERROR(__xludf.DUMMYFUNCTION("""COMPUTED_VALUE"""),"No")</f>
        <v>No</v>
      </c>
      <c r="AP1051" s="8"/>
      <c r="AQ1051" s="8"/>
      <c r="AR1051" s="8" t="str">
        <f ca="1">IFERROR(__xludf.DUMMYFUNCTION("""COMPUTED_VALUE"""),"Outside/Off-Property")</f>
        <v>Outside/Off-Property</v>
      </c>
      <c r="AS1051" s="8">
        <f ca="1">IFERROR(__xludf.DUMMYFUNCTION("""COMPUTED_VALUE"""),99)</f>
        <v>99</v>
      </c>
      <c r="AT1051" s="8" t="str">
        <f ca="1">IFERROR(__xludf.DUMMYFUNCTION("""COMPUTED_VALUE"""),"Yes")</f>
        <v>Yes</v>
      </c>
      <c r="AU1051" s="8">
        <f ca="1">IFERROR(__xludf.DUMMYFUNCTION("""COMPUTED_VALUE"""),40.63285)</f>
        <v>40.632849999999998</v>
      </c>
      <c r="AV1051" s="8">
        <f ca="1">IFERROR(__xludf.DUMMYFUNCTION("""COMPUTED_VALUE"""),-74.148763)</f>
        <v>-74.148763000000002</v>
      </c>
      <c r="AW1051" s="8"/>
      <c r="AX1051" s="8">
        <f ca="1">IFERROR(__xludf.DUMMYFUNCTION("""COMPUTED_VALUE"""),10303)</f>
        <v>10303</v>
      </c>
    </row>
    <row r="1052" spans="1:50" ht="180" x14ac:dyDescent="0.2">
      <c r="A1052" s="8" t="str">
        <f ca="1">IFERROR(__xludf.DUMMYFUNCTION("""COMPUTED_VALUE"""),"20220509GARIS")</f>
        <v>20220509GARIS</v>
      </c>
      <c r="B1052" s="8">
        <f ca="1">IFERROR(__xludf.DUMMYFUNCTION("""COMPUTED_VALUE"""),5)</f>
        <v>5</v>
      </c>
      <c r="C1052" s="8">
        <f ca="1">IFERROR(__xludf.DUMMYFUNCTION("""COMPUTED_VALUE"""),9)</f>
        <v>9</v>
      </c>
      <c r="D1052" s="8">
        <f ca="1">IFERROR(__xludf.DUMMYFUNCTION("""COMPUTED_VALUE"""),2022)</f>
        <v>2022</v>
      </c>
      <c r="E1052" s="9">
        <f ca="1">IFERROR(__xludf.DUMMYFUNCTION("""COMPUTED_VALUE"""),44690)</f>
        <v>44690</v>
      </c>
      <c r="F1052" s="8" t="str">
        <f ca="1">IFERROR(__xludf.DUMMYFUNCTION("""COMPUTED_VALUE"""),"Riverside Elementary School")</f>
        <v>Riverside Elementary School</v>
      </c>
      <c r="G1052" s="8">
        <f ca="1">IFERROR(__xludf.DUMMYFUNCTION("""COMPUTED_VALUE"""),0)</f>
        <v>0</v>
      </c>
      <c r="H1052" s="8">
        <f ca="1">IFERROR(__xludf.DUMMYFUNCTION("""COMPUTED_VALUE"""),0)</f>
        <v>0</v>
      </c>
      <c r="I1052" s="8">
        <f ca="1">IFERROR(__xludf.DUMMYFUNCTION("""COMPUTED_VALUE"""),0)</f>
        <v>0</v>
      </c>
      <c r="J1052" s="8">
        <f ca="1">IFERROR(__xludf.DUMMYFUNCTION("""COMPUTED_VALUE"""),0)</f>
        <v>0</v>
      </c>
      <c r="K1052" s="8" t="str">
        <f ca="1">IFERROR(__xludf.DUMMYFUNCTION("""COMPUTED_VALUE"""),"https://www.wsbtv.com/news/local/gwinnett-county/woman-who-shot-gwinnett-county-bus-with-kids-inside-had-prior-beef-with-bus-neighbors-say/Y6VSFLPQ65DHJB7BIZKEFSUIQY/ https://www.fox5atlanta.com/news/police-investigating-report-of-someone-shooting-at-scho"&amp;"ol-bus https://www.ajc.com/news/crime/breaking-report-of-shots-fired-at-school-bus-near-suwanee-police-say/2FD6DKX6QBA55OSA5H4YMRV5GI/ https://www.fox5atlanta.com/news/police-investigating-report-of-someone-shooting-at-school-bus")</f>
        <v>https://www.wsbtv.com/news/local/gwinnett-county/woman-who-shot-gwinnett-county-bus-with-kids-inside-had-prior-beef-with-bus-neighbors-say/Y6VSFLPQ65DHJB7BIZKEFSUIQY/ https://www.fox5atlanta.com/news/police-investigating-report-of-someone-shooting-at-school-bus https://www.ajc.com/news/crime/breaking-report-of-shots-fired-at-school-bus-near-suwanee-police-say/2FD6DKX6QBA55OSA5H4YMRV5GI/ https://www.fox5atlanta.com/news/police-investigating-report-of-someone-shooting-at-school-bus</v>
      </c>
      <c r="L1052" s="8">
        <f ca="1">IFERROR(__xludf.DUMMYFUNCTION("""COMPUTED_VALUE"""),5)</f>
        <v>5</v>
      </c>
      <c r="M1052" s="8" t="str">
        <f ca="1">IFERROR(__xludf.DUMMYFUNCTION("""COMPUTED_VALUE"""),"Regional")</f>
        <v>Regional</v>
      </c>
      <c r="N1052" s="8">
        <f ca="1">IFERROR(__xludf.DUMMYFUNCTION("""COMPUTED_VALUE"""),4)</f>
        <v>4</v>
      </c>
      <c r="O1052" s="8" t="str">
        <f ca="1">IFERROR(__xludf.DUMMYFUNCTION("""COMPUTED_VALUE"""),"Spring")</f>
        <v>Spring</v>
      </c>
      <c r="P1052" s="8" t="str">
        <f ca="1">IFERROR(__xludf.DUMMYFUNCTION("""COMPUTED_VALUE"""),"Suwanee")</f>
        <v>Suwanee</v>
      </c>
      <c r="Q1052" s="8" t="str">
        <f ca="1">IFERROR(__xludf.DUMMYFUNCTION("""COMPUTED_VALUE"""),"GA")</f>
        <v>GA</v>
      </c>
      <c r="R1052" s="8" t="str">
        <f ca="1">IFERROR(__xludf.DUMMYFUNCTION("""COMPUTED_VALUE"""),"Elementary")</f>
        <v>Elementary</v>
      </c>
      <c r="S1052" s="8" t="str">
        <f ca="1">IFERROR(__xludf.DUMMYFUNCTION("""COMPUTED_VALUE"""),"School Bus")</f>
        <v>School Bus</v>
      </c>
      <c r="T1052" s="8" t="str">
        <f ca="1">IFERROR(__xludf.DUMMYFUNCTION("""COMPUTED_VALUE"""),"School Bus")</f>
        <v>School Bus</v>
      </c>
      <c r="U1052" s="8" t="str">
        <f ca="1">IFERROR(__xludf.DUMMYFUNCTION("""COMPUTED_VALUE"""),"Yes")</f>
        <v>Yes</v>
      </c>
      <c r="V1052" s="8" t="str">
        <f ca="1">IFERROR(__xludf.DUMMYFUNCTION("""COMPUTED_VALUE"""),"School Start")</f>
        <v>School Start</v>
      </c>
      <c r="W1052" s="11">
        <f ca="1">IFERROR(__xludf.DUMMYFUNCTION("""COMPUTED_VALUE"""),0.302083333333333)</f>
        <v>0.30208333333333298</v>
      </c>
      <c r="X1052" s="8">
        <f ca="1">IFERROR(__xludf.DUMMYFUNCTION("""COMPUTED_VALUE"""),1)</f>
        <v>1</v>
      </c>
      <c r="Y1052" s="12" t="str">
        <f ca="1">IFERROR(__xludf.DUMMYFUNCTION("""COMPUTED_VALUE"""),"Woman fired 12 shots at occupied school bus")</f>
        <v>Woman fired 12 shots at occupied school bus</v>
      </c>
      <c r="Z1052" s="12" t="str">
        <f ca="1">IFERROR(__xludf.DUMMYFUNCTION("""COMPUTED_VALUE"""),"A 57-year-old woman fired 12 shots at a school bus in front of her house. Two shots were through the windshield and just missed the driver. Students on the bus were not injured. Driver told students to take cover and kept driving to the school. Shooter ar"&amp;"rested and charged with charged with four counts of first-degree cruelty to children, five counts of aggravated assault, possession of a firearm during the commission of certain felonies, and unauthorized discharge of a firearm near a public street. Prior"&amp;" to the shooting, neighbors said the woman had thrown rocks at the school bus. She also walked in the middle of the street and would not let the bus pass her.")</f>
        <v>A 57-year-old woman fired 12 shots at a school bus in front of her house. Two shots were through the windshield and just missed the driver. Students on the bus were not injured. Driver told students to take cover and kept driving to the school. Shooter arrested and charged with charged with four counts of first-degree cruelty to children, five counts of aggravated assault, possession of a firearm during the commission of certain felonies, and unauthorized discharge of a firearm near a public street. Prior to the shooting, neighbors said the woman had thrown rocks at the school bus. She also walked in the middle of the street and would not let the bus pass her.</v>
      </c>
      <c r="AA1052" s="8"/>
      <c r="AB1052" s="8"/>
      <c r="AC1052" s="8" t="str">
        <f ca="1">IFERROR(__xludf.DUMMYFUNCTION("""COMPUTED_VALUE"""),"Yes")</f>
        <v>Yes</v>
      </c>
      <c r="AD1052" s="8" t="str">
        <f ca="1">IFERROR(__xludf.DUMMYFUNCTION("""COMPUTED_VALUE"""),"Victims Targeted")</f>
        <v>Victims Targeted</v>
      </c>
      <c r="AE1052" s="8" t="str">
        <f ca="1">IFERROR(__xludf.DUMMYFUNCTION("""COMPUTED_VALUE"""),"No")</f>
        <v>No</v>
      </c>
      <c r="AF1052" s="8"/>
      <c r="AG1052" s="8" t="str">
        <f ca="1">IFERROR(__xludf.DUMMYFUNCTION("""COMPUTED_VALUE"""),"No")</f>
        <v>No</v>
      </c>
      <c r="AH1052" s="8" t="str">
        <f ca="1">IFERROR(__xludf.DUMMYFUNCTION("""COMPUTED_VALUE"""),"No")</f>
        <v>No</v>
      </c>
      <c r="AI1052" s="8" t="str">
        <f ca="1">IFERROR(__xludf.DUMMYFUNCTION("""COMPUTED_VALUE"""),"No")</f>
        <v>No</v>
      </c>
      <c r="AJ1052" s="8" t="str">
        <f ca="1">IFERROR(__xludf.DUMMYFUNCTION("""COMPUTED_VALUE"""),"No")</f>
        <v>No</v>
      </c>
      <c r="AK1052" s="8" t="str">
        <f ca="1">IFERROR(__xludf.DUMMYFUNCTION("""COMPUTED_VALUE"""),"No")</f>
        <v>No</v>
      </c>
      <c r="AL1052" s="8" t="str">
        <f ca="1">IFERROR(__xludf.DUMMYFUNCTION("""COMPUTED_VALUE"""),"No")</f>
        <v>No</v>
      </c>
      <c r="AM1052" s="8" t="str">
        <f ca="1">IFERROR(__xludf.DUMMYFUNCTION("""COMPUTED_VALUE"""),"No")</f>
        <v>No</v>
      </c>
      <c r="AN1052" s="8"/>
      <c r="AO1052" s="8" t="str">
        <f ca="1">IFERROR(__xludf.DUMMYFUNCTION("""COMPUTED_VALUE"""),"No")</f>
        <v>No</v>
      </c>
      <c r="AP1052" s="8"/>
      <c r="AQ1052" s="8"/>
      <c r="AR1052" s="8" t="str">
        <f ca="1">IFERROR(__xludf.DUMMYFUNCTION("""COMPUTED_VALUE"""),"Outside/Off-Property")</f>
        <v>Outside/Off-Property</v>
      </c>
      <c r="AS1052" s="8">
        <f ca="1">IFERROR(__xludf.DUMMYFUNCTION("""COMPUTED_VALUE"""),12)</f>
        <v>12</v>
      </c>
      <c r="AT1052" s="8"/>
      <c r="AU1052" s="8">
        <f ca="1">IFERROR(__xludf.DUMMYFUNCTION("""COMPUTED_VALUE"""),34.09287)</f>
        <v>34.092869999999998</v>
      </c>
      <c r="AV1052" s="8">
        <f ca="1">IFERROR(__xludf.DUMMYFUNCTION("""COMPUTED_VALUE"""),-84.096915)</f>
        <v>-84.096914999999996</v>
      </c>
      <c r="AW1052" s="8"/>
      <c r="AX1052" s="8">
        <f ca="1">IFERROR(__xludf.DUMMYFUNCTION("""COMPUTED_VALUE"""),30024)</f>
        <v>30024</v>
      </c>
    </row>
    <row r="1053" spans="1:50" ht="105" x14ac:dyDescent="0.2">
      <c r="A1053" s="8" t="str">
        <f ca="1">IFERROR(__xludf.DUMMYFUNCTION("""COMPUTED_VALUE"""),"20220505OHLOL")</f>
        <v>20220505OHLOL</v>
      </c>
      <c r="B1053" s="8">
        <f ca="1">IFERROR(__xludf.DUMMYFUNCTION("""COMPUTED_VALUE"""),5)</f>
        <v>5</v>
      </c>
      <c r="C1053" s="8">
        <f ca="1">IFERROR(__xludf.DUMMYFUNCTION("""COMPUTED_VALUE"""),5)</f>
        <v>5</v>
      </c>
      <c r="D1053" s="8">
        <f ca="1">IFERROR(__xludf.DUMMYFUNCTION("""COMPUTED_VALUE"""),2022)</f>
        <v>2022</v>
      </c>
      <c r="E1053" s="9">
        <f ca="1">IFERROR(__xludf.DUMMYFUNCTION("""COMPUTED_VALUE"""),44686)</f>
        <v>44686</v>
      </c>
      <c r="F1053" s="8" t="str">
        <f ca="1">IFERROR(__xludf.DUMMYFUNCTION("""COMPUTED_VALUE"""),"Lowellville K-12 School")</f>
        <v>Lowellville K-12 School</v>
      </c>
      <c r="G1053" s="8">
        <f ca="1">IFERROR(__xludf.DUMMYFUNCTION("""COMPUTED_VALUE"""),0)</f>
        <v>0</v>
      </c>
      <c r="H1053" s="8">
        <f ca="1">IFERROR(__xludf.DUMMYFUNCTION("""COMPUTED_VALUE"""),0)</f>
        <v>0</v>
      </c>
      <c r="I1053" s="8">
        <f ca="1">IFERROR(__xludf.DUMMYFUNCTION("""COMPUTED_VALUE"""),0)</f>
        <v>0</v>
      </c>
      <c r="J1053" s="8">
        <f ca="1">IFERROR(__xludf.DUMMYFUNCTION("""COMPUTED_VALUE"""),1)</f>
        <v>1</v>
      </c>
      <c r="K1053" s="8" t="str">
        <f ca="1">IFERROR(__xludf.DUMMYFUNCTION("""COMPUTED_VALUE"""),"https://www.wkbn.com/news/local-news/boy-who-shot-himself-at-lowellville-school-building-has-passed-away/ https://fox8.com/news/self-inflicted-shooting-leads-to-lockdown-of-lowellville-schools/ https://www.wkbn.com/news/local-news/students-and-parents-sha"&amp;"re-stories-from-lowellville-shooting/?ipid=promo-link-block1 https://www.wkbn.com/news/local-news/mom-arrested-for-bringing-gun-to-lowellville-schools/")</f>
        <v>https://www.wkbn.com/news/local-news/boy-who-shot-himself-at-lowellville-school-building-has-passed-away/ https://fox8.com/news/self-inflicted-shooting-leads-to-lockdown-of-lowellville-schools/ https://www.wkbn.com/news/local-news/students-and-parents-share-stories-from-lowellville-shooting/?ipid=promo-link-block1 https://www.wkbn.com/news/local-news/mom-arrested-for-bringing-gun-to-lowellville-schools/</v>
      </c>
      <c r="L1053" s="8">
        <f ca="1">IFERROR(__xludf.DUMMYFUNCTION("""COMPUTED_VALUE"""),10)</f>
        <v>10</v>
      </c>
      <c r="M1053" s="8" t="str">
        <f ca="1">IFERROR(__xludf.DUMMYFUNCTION("""COMPUTED_VALUE"""),"Regional")</f>
        <v>Regional</v>
      </c>
      <c r="N1053" s="8">
        <f ca="1">IFERROR(__xludf.DUMMYFUNCTION("""COMPUTED_VALUE"""),4)</f>
        <v>4</v>
      </c>
      <c r="O1053" s="8" t="str">
        <f ca="1">IFERROR(__xludf.DUMMYFUNCTION("""COMPUTED_VALUE"""),"Spring")</f>
        <v>Spring</v>
      </c>
      <c r="P1053" s="8" t="str">
        <f ca="1">IFERROR(__xludf.DUMMYFUNCTION("""COMPUTED_VALUE"""),"Lowellville")</f>
        <v>Lowellville</v>
      </c>
      <c r="Q1053" s="8" t="str">
        <f ca="1">IFERROR(__xludf.DUMMYFUNCTION("""COMPUTED_VALUE"""),"OH")</f>
        <v>OH</v>
      </c>
      <c r="R1053" s="8" t="str">
        <f ca="1">IFERROR(__xludf.DUMMYFUNCTION("""COMPUTED_VALUE"""),"K-12")</f>
        <v>K-12</v>
      </c>
      <c r="S1053" s="8" t="str">
        <f ca="1">IFERROR(__xludf.DUMMYFUNCTION("""COMPUTED_VALUE"""),"Cafeteria")</f>
        <v>Cafeteria</v>
      </c>
      <c r="T1053" s="8" t="str">
        <f ca="1">IFERROR(__xludf.DUMMYFUNCTION("""COMPUTED_VALUE"""),"Inside School Building")</f>
        <v>Inside School Building</v>
      </c>
      <c r="U1053" s="8" t="str">
        <f ca="1">IFERROR(__xludf.DUMMYFUNCTION("""COMPUTED_VALUE"""),"Yes")</f>
        <v>Yes</v>
      </c>
      <c r="V1053" s="8" t="str">
        <f ca="1">IFERROR(__xludf.DUMMYFUNCTION("""COMPUTED_VALUE"""),"Morning Classes")</f>
        <v>Morning Classes</v>
      </c>
      <c r="W1053" s="11">
        <f ca="1">IFERROR(__xludf.DUMMYFUNCTION("""COMPUTED_VALUE"""),0.4375)</f>
        <v>0.4375</v>
      </c>
      <c r="X1053" s="8">
        <f ca="1">IFERROR(__xludf.DUMMYFUNCTION("""COMPUTED_VALUE"""),1)</f>
        <v>1</v>
      </c>
      <c r="Y1053" s="12" t="str">
        <f ca="1">IFERROR(__xludf.DUMMYFUNCTION("""COMPUTED_VALUE"""),"Student commit suicide in the school cafeteria")</f>
        <v>Student commit suicide in the school cafeteria</v>
      </c>
      <c r="Z1053" s="12" t="str">
        <f ca="1">IFERROR(__xludf.DUMMYFUNCTION("""COMPUTED_VALUE"""),"A student commit suicide in the school cafeteria. The police chief was working as the SRO at the school and was nearby when the shooting occurred. He provided aid and secured the area. School went on lockdown and then students were evacuated to the footba"&amp;"ll field. An armed parent tried to enter the school and was arrested. No other students and staff were injured.")</f>
        <v>A student commit suicide in the school cafeteria. The police chief was working as the SRO at the school and was nearby when the shooting occurred. He provided aid and secured the area. School went on lockdown and then students were evacuated to the football field. An armed parent tried to enter the school and was arrested. No other students and staff were injured.</v>
      </c>
      <c r="AA1053" s="8" t="str">
        <f ca="1">IFERROR(__xludf.DUMMYFUNCTION("""COMPUTED_VALUE"""),"Suicide/Attempted")</f>
        <v>Suicide/Attempted</v>
      </c>
      <c r="AB1053" s="8"/>
      <c r="AC1053" s="8" t="str">
        <f ca="1">IFERROR(__xludf.DUMMYFUNCTION("""COMPUTED_VALUE"""),"Yes")</f>
        <v>Yes</v>
      </c>
      <c r="AD1053" s="8" t="str">
        <f ca="1">IFERROR(__xludf.DUMMYFUNCTION("""COMPUTED_VALUE"""),"Victims Targeted")</f>
        <v>Victims Targeted</v>
      </c>
      <c r="AE1053" s="8" t="str">
        <f ca="1">IFERROR(__xludf.DUMMYFUNCTION("""COMPUTED_VALUE"""),"No")</f>
        <v>No</v>
      </c>
      <c r="AF1053" s="8"/>
      <c r="AG1053" s="8" t="str">
        <f ca="1">IFERROR(__xludf.DUMMYFUNCTION("""COMPUTED_VALUE"""),"No")</f>
        <v>No</v>
      </c>
      <c r="AH1053" s="8" t="str">
        <f ca="1">IFERROR(__xludf.DUMMYFUNCTION("""COMPUTED_VALUE"""),"No")</f>
        <v>No</v>
      </c>
      <c r="AI1053" s="8" t="str">
        <f ca="1">IFERROR(__xludf.DUMMYFUNCTION("""COMPUTED_VALUE"""),"No")</f>
        <v>No</v>
      </c>
      <c r="AJ1053" s="8"/>
      <c r="AK1053" s="8" t="str">
        <f ca="1">IFERROR(__xludf.DUMMYFUNCTION("""COMPUTED_VALUE"""),"No")</f>
        <v>No</v>
      </c>
      <c r="AL1053" s="8" t="str">
        <f ca="1">IFERROR(__xludf.DUMMYFUNCTION("""COMPUTED_VALUE"""),"No")</f>
        <v>No</v>
      </c>
      <c r="AM1053" s="8" t="str">
        <f ca="1">IFERROR(__xludf.DUMMYFUNCTION("""COMPUTED_VALUE"""),"No")</f>
        <v>No</v>
      </c>
      <c r="AN1053" s="8"/>
      <c r="AO1053" s="8" t="str">
        <f ca="1">IFERROR(__xludf.DUMMYFUNCTION("""COMPUTED_VALUE"""),"No")</f>
        <v>No</v>
      </c>
      <c r="AP1053" s="8" t="str">
        <f ca="1">IFERROR(__xludf.DUMMYFUNCTION("""COMPUTED_VALUE"""),"Yes")</f>
        <v>Yes</v>
      </c>
      <c r="AQ1053" s="8"/>
      <c r="AR1053" s="8" t="str">
        <f ca="1">IFERROR(__xludf.DUMMYFUNCTION("""COMPUTED_VALUE"""),"Failed")</f>
        <v>Failed</v>
      </c>
      <c r="AS1053" s="8">
        <f ca="1">IFERROR(__xludf.DUMMYFUNCTION("""COMPUTED_VALUE"""),1)</f>
        <v>1</v>
      </c>
      <c r="AT1053" s="8" t="str">
        <f ca="1">IFERROR(__xludf.DUMMYFUNCTION("""COMPUTED_VALUE"""),"Yes")</f>
        <v>Yes</v>
      </c>
      <c r="AU1053" s="8">
        <f ca="1">IFERROR(__xludf.DUMMYFUNCTION("""COMPUTED_VALUE"""),41.044581)</f>
        <v>41.044581000000001</v>
      </c>
      <c r="AV1053" s="8">
        <f ca="1">IFERROR(__xludf.DUMMYFUNCTION("""COMPUTED_VALUE"""),-80.55293)</f>
        <v>-80.552930000000003</v>
      </c>
      <c r="AW1053" s="8"/>
      <c r="AX1053" s="8">
        <f ca="1">IFERROR(__xludf.DUMMYFUNCTION("""COMPUTED_VALUE"""),44436)</f>
        <v>44436</v>
      </c>
    </row>
    <row r="1054" spans="1:50" ht="45" x14ac:dyDescent="0.2">
      <c r="A1054" s="8" t="str">
        <f ca="1">IFERROR(__xludf.DUMMYFUNCTION("""COMPUTED_VALUE"""),"20220505ALDOD")</f>
        <v>20220505ALDOD</v>
      </c>
      <c r="B1054" s="8">
        <f ca="1">IFERROR(__xludf.DUMMYFUNCTION("""COMPUTED_VALUE"""),5)</f>
        <v>5</v>
      </c>
      <c r="C1054" s="8">
        <f ca="1">IFERROR(__xludf.DUMMYFUNCTION("""COMPUTED_VALUE"""),5)</f>
        <v>5</v>
      </c>
      <c r="D1054" s="8">
        <f ca="1">IFERROR(__xludf.DUMMYFUNCTION("""COMPUTED_VALUE"""),2022)</f>
        <v>2022</v>
      </c>
      <c r="E1054" s="9">
        <f ca="1">IFERROR(__xludf.DUMMYFUNCTION("""COMPUTED_VALUE"""),44686)</f>
        <v>44686</v>
      </c>
      <c r="F1054" s="8" t="str">
        <f ca="1">IFERROR(__xludf.DUMMYFUNCTION("""COMPUTED_VALUE"""),"Dothan City School Bus")</f>
        <v>Dothan City School Bus</v>
      </c>
      <c r="G1054" s="8">
        <f ca="1">IFERROR(__xludf.DUMMYFUNCTION("""COMPUTED_VALUE"""),0)</f>
        <v>0</v>
      </c>
      <c r="H1054" s="8">
        <f ca="1">IFERROR(__xludf.DUMMYFUNCTION("""COMPUTED_VALUE"""),0)</f>
        <v>0</v>
      </c>
      <c r="I1054" s="8">
        <f ca="1">IFERROR(__xludf.DUMMYFUNCTION("""COMPUTED_VALUE"""),0)</f>
        <v>0</v>
      </c>
      <c r="J1054" s="8">
        <f ca="1">IFERROR(__xludf.DUMMYFUNCTION("""COMPUTED_VALUE"""),0)</f>
        <v>0</v>
      </c>
      <c r="K1054" s="8" t="str">
        <f ca="1">IFERROR(__xludf.DUMMYFUNCTION("""COMPUTED_VALUE"""),"https://www.wtvy.com/2022/05/05/dothan-city-school-bus-other-vehicles-shot-into-with-bb-gun/ https://www.wdhn.com/news/crime/dothan-man-arrested-for-shooting-bbs-into-a-school-bus-other-cars/")</f>
        <v>https://www.wtvy.com/2022/05/05/dothan-city-school-bus-other-vehicles-shot-into-with-bb-gun/ https://www.wdhn.com/news/crime/dothan-man-arrested-for-shooting-bbs-into-a-school-bus-other-cars/</v>
      </c>
      <c r="L1054" s="8">
        <f ca="1">IFERROR(__xludf.DUMMYFUNCTION("""COMPUTED_VALUE"""),5)</f>
        <v>5</v>
      </c>
      <c r="M1054" s="8" t="str">
        <f ca="1">IFERROR(__xludf.DUMMYFUNCTION("""COMPUTED_VALUE"""),"Local")</f>
        <v>Local</v>
      </c>
      <c r="N1054" s="8">
        <f ca="1">IFERROR(__xludf.DUMMYFUNCTION("""COMPUTED_VALUE"""),4)</f>
        <v>4</v>
      </c>
      <c r="O1054" s="8" t="str">
        <f ca="1">IFERROR(__xludf.DUMMYFUNCTION("""COMPUTED_VALUE"""),"Spring")</f>
        <v>Spring</v>
      </c>
      <c r="P1054" s="8" t="str">
        <f ca="1">IFERROR(__xludf.DUMMYFUNCTION("""COMPUTED_VALUE"""),"Dothan")</f>
        <v>Dothan</v>
      </c>
      <c r="Q1054" s="8" t="str">
        <f ca="1">IFERROR(__xludf.DUMMYFUNCTION("""COMPUTED_VALUE"""),"AL")</f>
        <v>AL</v>
      </c>
      <c r="R1054" s="8" t="str">
        <f ca="1">IFERROR(__xludf.DUMMYFUNCTION("""COMPUTED_VALUE"""),"K-12")</f>
        <v>K-12</v>
      </c>
      <c r="S1054" s="8" t="str">
        <f ca="1">IFERROR(__xludf.DUMMYFUNCTION("""COMPUTED_VALUE"""),"School Bus")</f>
        <v>School Bus</v>
      </c>
      <c r="T1054" s="8" t="str">
        <f ca="1">IFERROR(__xludf.DUMMYFUNCTION("""COMPUTED_VALUE"""),"School Bus")</f>
        <v>School Bus</v>
      </c>
      <c r="U1054" s="8" t="str">
        <f ca="1">IFERROR(__xludf.DUMMYFUNCTION("""COMPUTED_VALUE"""),"No")</f>
        <v>No</v>
      </c>
      <c r="V1054" s="8" t="str">
        <f ca="1">IFERROR(__xludf.DUMMYFUNCTION("""COMPUTED_VALUE"""),"After School")</f>
        <v>After School</v>
      </c>
      <c r="W1054" s="11">
        <f ca="1">IFERROR(__xludf.DUMMYFUNCTION("""COMPUTED_VALUE"""),0.625)</f>
        <v>0.625</v>
      </c>
      <c r="X1054" s="8">
        <f ca="1">IFERROR(__xludf.DUMMYFUNCTION("""COMPUTED_VALUE"""),1)</f>
        <v>1</v>
      </c>
      <c r="Y1054" s="12" t="str">
        <f ca="1">IFERROR(__xludf.DUMMYFUNCTION("""COMPUTED_VALUE"""),"Man fired BBs at moving school bus and other vehicles")</f>
        <v>Man fired BBs at moving school bus and other vehicles</v>
      </c>
      <c r="Z1054" s="12" t="str">
        <f ca="1">IFERROR(__xludf.DUMMYFUNCTION("""COMPUTED_VALUE"""),"A 20-year-old man fired BBs at a moving school bus and two other vehicles near his home. Charged with 3 felonies and held on $45,000 bond. No students were on the bus.")</f>
        <v>A 20-year-old man fired BBs at a moving school bus and two other vehicles near his home. Charged with 3 felonies and held on $45,000 bond. No students were on the bus.</v>
      </c>
      <c r="AA1054" s="8" t="str">
        <f ca="1">IFERROR(__xludf.DUMMYFUNCTION("""COMPUTED_VALUE"""),"Intentional Property Damage")</f>
        <v>Intentional Property Damage</v>
      </c>
      <c r="AB1054" s="8"/>
      <c r="AC1054" s="8" t="str">
        <f ca="1">IFERROR(__xludf.DUMMYFUNCTION("""COMPUTED_VALUE"""),"Yes")</f>
        <v>Yes</v>
      </c>
      <c r="AD1054" s="8" t="str">
        <f ca="1">IFERROR(__xludf.DUMMYFUNCTION("""COMPUTED_VALUE"""),"Random Shooting")</f>
        <v>Random Shooting</v>
      </c>
      <c r="AE1054" s="8" t="str">
        <f ca="1">IFERROR(__xludf.DUMMYFUNCTION("""COMPUTED_VALUE"""),"No")</f>
        <v>No</v>
      </c>
      <c r="AF1054" s="8"/>
      <c r="AG1054" s="8" t="str">
        <f ca="1">IFERROR(__xludf.DUMMYFUNCTION("""COMPUTED_VALUE"""),"No")</f>
        <v>No</v>
      </c>
      <c r="AH1054" s="8" t="str">
        <f ca="1">IFERROR(__xludf.DUMMYFUNCTION("""COMPUTED_VALUE"""),"No")</f>
        <v>No</v>
      </c>
      <c r="AI1054" s="8" t="str">
        <f ca="1">IFERROR(__xludf.DUMMYFUNCTION("""COMPUTED_VALUE"""),"No")</f>
        <v>No</v>
      </c>
      <c r="AJ1054" s="8" t="str">
        <f ca="1">IFERROR(__xludf.DUMMYFUNCTION("""COMPUTED_VALUE"""),"No")</f>
        <v>No</v>
      </c>
      <c r="AK1054" s="8" t="str">
        <f ca="1">IFERROR(__xludf.DUMMYFUNCTION("""COMPUTED_VALUE"""),"No")</f>
        <v>No</v>
      </c>
      <c r="AL1054" s="8" t="str">
        <f ca="1">IFERROR(__xludf.DUMMYFUNCTION("""COMPUTED_VALUE"""),"No")</f>
        <v>No</v>
      </c>
      <c r="AM1054" s="8" t="str">
        <f ca="1">IFERROR(__xludf.DUMMYFUNCTION("""COMPUTED_VALUE"""),"No")</f>
        <v>No</v>
      </c>
      <c r="AN1054" s="8"/>
      <c r="AO1054" s="8" t="str">
        <f ca="1">IFERROR(__xludf.DUMMYFUNCTION("""COMPUTED_VALUE"""),"No")</f>
        <v>No</v>
      </c>
      <c r="AP1054" s="8"/>
      <c r="AQ1054" s="8"/>
      <c r="AR1054" s="8" t="str">
        <f ca="1">IFERROR(__xludf.DUMMYFUNCTION("""COMPUTED_VALUE"""),"Outside/Off-Property")</f>
        <v>Outside/Off-Property</v>
      </c>
      <c r="AS1054" s="8">
        <f ca="1">IFERROR(__xludf.DUMMYFUNCTION("""COMPUTED_VALUE"""),99)</f>
        <v>99</v>
      </c>
      <c r="AT1054" s="8"/>
      <c r="AU1054" s="8">
        <f ca="1">IFERROR(__xludf.DUMMYFUNCTION("""COMPUTED_VALUE"""),31.215158)</f>
        <v>31.215157999999999</v>
      </c>
      <c r="AV1054" s="8">
        <f ca="1">IFERROR(__xludf.DUMMYFUNCTION("""COMPUTED_VALUE"""),-85.40939)</f>
        <v>-85.409390000000002</v>
      </c>
      <c r="AW1054" s="8"/>
      <c r="AX1054" s="8">
        <f ca="1">IFERROR(__xludf.DUMMYFUNCTION("""COMPUTED_VALUE"""),36301)</f>
        <v>36301</v>
      </c>
    </row>
    <row r="1055" spans="1:50" ht="45" x14ac:dyDescent="0.2">
      <c r="A1055" s="8" t="str">
        <f ca="1">IFERROR(__xludf.DUMMYFUNCTION("""COMPUTED_VALUE"""),"20220503CAARS")</f>
        <v>20220503CAARS</v>
      </c>
      <c r="B1055" s="8">
        <f ca="1">IFERROR(__xludf.DUMMYFUNCTION("""COMPUTED_VALUE"""),5)</f>
        <v>5</v>
      </c>
      <c r="C1055" s="8">
        <f ca="1">IFERROR(__xludf.DUMMYFUNCTION("""COMPUTED_VALUE"""),3)</f>
        <v>3</v>
      </c>
      <c r="D1055" s="8">
        <f ca="1">IFERROR(__xludf.DUMMYFUNCTION("""COMPUTED_VALUE"""),2022)</f>
        <v>2022</v>
      </c>
      <c r="E1055" s="9">
        <f ca="1">IFERROR(__xludf.DUMMYFUNCTION("""COMPUTED_VALUE"""),44684)</f>
        <v>44684</v>
      </c>
      <c r="F1055" s="8" t="str">
        <f ca="1">IFERROR(__xludf.DUMMYFUNCTION("""COMPUTED_VALUE"""),"Arrowview Middle School")</f>
        <v>Arrowview Middle School</v>
      </c>
      <c r="G1055" s="8">
        <f ca="1">IFERROR(__xludf.DUMMYFUNCTION("""COMPUTED_VALUE"""),0)</f>
        <v>0</v>
      </c>
      <c r="H1055" s="8">
        <f ca="1">IFERROR(__xludf.DUMMYFUNCTION("""COMPUTED_VALUE"""),0)</f>
        <v>0</v>
      </c>
      <c r="I1055" s="8">
        <f ca="1">IFERROR(__xludf.DUMMYFUNCTION("""COMPUTED_VALUE"""),0)</f>
        <v>0</v>
      </c>
      <c r="J1055" s="8">
        <f ca="1">IFERROR(__xludf.DUMMYFUNCTION("""COMPUTED_VALUE"""),0)</f>
        <v>0</v>
      </c>
      <c r="K1055" s="10" t="str">
        <f ca="1">IFERROR(__xludf.DUMMYFUNCTION("""COMPUTED_VALUE"""),"https://www.sbsun.com/2022/05/03/gunfire-in-san-bernardino-causes-car-to-crash-leaves-bullet-holes-in-school/")</f>
        <v>https://www.sbsun.com/2022/05/03/gunfire-in-san-bernardino-causes-car-to-crash-leaves-bullet-holes-in-school/</v>
      </c>
      <c r="L1055" s="8">
        <f ca="1">IFERROR(__xludf.DUMMYFUNCTION("""COMPUTED_VALUE"""),1)</f>
        <v>1</v>
      </c>
      <c r="M1055" s="8" t="str">
        <f ca="1">IFERROR(__xludf.DUMMYFUNCTION("""COMPUTED_VALUE"""),"Local")</f>
        <v>Local</v>
      </c>
      <c r="N1055" s="8">
        <f ca="1">IFERROR(__xludf.DUMMYFUNCTION("""COMPUTED_VALUE"""),3)</f>
        <v>3</v>
      </c>
      <c r="O1055" s="8" t="str">
        <f ca="1">IFERROR(__xludf.DUMMYFUNCTION("""COMPUTED_VALUE"""),"Spring")</f>
        <v>Spring</v>
      </c>
      <c r="P1055" s="8" t="str">
        <f ca="1">IFERROR(__xludf.DUMMYFUNCTION("""COMPUTED_VALUE"""),"San Bernardino")</f>
        <v>San Bernardino</v>
      </c>
      <c r="Q1055" s="8" t="str">
        <f ca="1">IFERROR(__xludf.DUMMYFUNCTION("""COMPUTED_VALUE"""),"CA")</f>
        <v>CA</v>
      </c>
      <c r="R1055" s="8" t="str">
        <f ca="1">IFERROR(__xludf.DUMMYFUNCTION("""COMPUTED_VALUE"""),"Middle")</f>
        <v>Middle</v>
      </c>
      <c r="S1055" s="8" t="str">
        <f ca="1">IFERROR(__xludf.DUMMYFUNCTION("""COMPUTED_VALUE"""),"Outside on School Property")</f>
        <v>Outside on School Property</v>
      </c>
      <c r="T1055" s="8" t="str">
        <f ca="1">IFERROR(__xludf.DUMMYFUNCTION("""COMPUTED_VALUE"""),"Outside on School Property")</f>
        <v>Outside on School Property</v>
      </c>
      <c r="U1055" s="8" t="str">
        <f ca="1">IFERROR(__xludf.DUMMYFUNCTION("""COMPUTED_VALUE"""),"No")</f>
        <v>No</v>
      </c>
      <c r="V1055" s="8" t="str">
        <f ca="1">IFERROR(__xludf.DUMMYFUNCTION("""COMPUTED_VALUE"""),"Before School")</f>
        <v>Before School</v>
      </c>
      <c r="W1055" s="11">
        <f ca="1">IFERROR(__xludf.DUMMYFUNCTION("""COMPUTED_VALUE"""),0.239583333333333)</f>
        <v>0.23958333333333301</v>
      </c>
      <c r="X1055" s="8">
        <f ca="1">IFERROR(__xludf.DUMMYFUNCTION("""COMPUTED_VALUE"""),1)</f>
        <v>1</v>
      </c>
      <c r="Y1055" s="12" t="str">
        <f ca="1">IFERROR(__xludf.DUMMYFUNCTION("""COMPUTED_VALUE"""),"Shots fired during drive-by struck school building")</f>
        <v>Shots fired during drive-by struck school building</v>
      </c>
      <c r="Z1055" s="12" t="str">
        <f ca="1">IFERROR(__xludf.DUMMYFUNCTION("""COMPUTED_VALUE"""),"Shots fired during a drive-by struck the school building. Vehicle crashed nearby. Students and staff had not arrived at the school at the time of the shooting (early morning).")</f>
        <v>Shots fired during a drive-by struck the school building. Vehicle crashed nearby. Students and staff had not arrived at the school at the time of the shooting (early morning).</v>
      </c>
      <c r="AA1055" s="8" t="str">
        <f ca="1">IFERROR(__xludf.DUMMYFUNCTION("""COMPUTED_VALUE"""),"Drive-by Shooting")</f>
        <v>Drive-by Shooting</v>
      </c>
      <c r="AB1055" s="8"/>
      <c r="AC1055" s="8" t="str">
        <f ca="1">IFERROR(__xludf.DUMMYFUNCTION("""COMPUTED_VALUE"""),"No")</f>
        <v>No</v>
      </c>
      <c r="AD1055" s="8" t="str">
        <f ca="1">IFERROR(__xludf.DUMMYFUNCTION("""COMPUTED_VALUE"""),"Both")</f>
        <v>Both</v>
      </c>
      <c r="AE1055" s="8"/>
      <c r="AF1055" s="8"/>
      <c r="AG1055" s="8" t="str">
        <f ca="1">IFERROR(__xludf.DUMMYFUNCTION("""COMPUTED_VALUE"""),"No")</f>
        <v>No</v>
      </c>
      <c r="AH1055" s="8" t="str">
        <f ca="1">IFERROR(__xludf.DUMMYFUNCTION("""COMPUTED_VALUE"""),"No")</f>
        <v>No</v>
      </c>
      <c r="AI1055" s="8" t="str">
        <f ca="1">IFERROR(__xludf.DUMMYFUNCTION("""COMPUTED_VALUE"""),"No")</f>
        <v>No</v>
      </c>
      <c r="AJ1055" s="8" t="str">
        <f ca="1">IFERROR(__xludf.DUMMYFUNCTION("""COMPUTED_VALUE"""),"No")</f>
        <v>No</v>
      </c>
      <c r="AK1055" s="8" t="str">
        <f ca="1">IFERROR(__xludf.DUMMYFUNCTION("""COMPUTED_VALUE"""),"No")</f>
        <v>No</v>
      </c>
      <c r="AL1055" s="8"/>
      <c r="AM1055" s="8" t="str">
        <f ca="1">IFERROR(__xludf.DUMMYFUNCTION("""COMPUTED_VALUE"""),"No")</f>
        <v>No</v>
      </c>
      <c r="AN1055" s="8"/>
      <c r="AO1055" s="8" t="str">
        <f ca="1">IFERROR(__xludf.DUMMYFUNCTION("""COMPUTED_VALUE"""),"No")</f>
        <v>No</v>
      </c>
      <c r="AP1055" s="8"/>
      <c r="AQ1055" s="8"/>
      <c r="AR1055" s="8" t="str">
        <f ca="1">IFERROR(__xludf.DUMMYFUNCTION("""COMPUTED_VALUE"""),"Outside/Off-Property")</f>
        <v>Outside/Off-Property</v>
      </c>
      <c r="AS1055" s="8">
        <f ca="1">IFERROR(__xludf.DUMMYFUNCTION("""COMPUTED_VALUE"""),99)</f>
        <v>99</v>
      </c>
      <c r="AT1055" s="8" t="str">
        <f ca="1">IFERROR(__xludf.DUMMYFUNCTION("""COMPUTED_VALUE"""),"No")</f>
        <v>No</v>
      </c>
      <c r="AU1055" s="8">
        <f ca="1">IFERROR(__xludf.DUMMYFUNCTION("""COMPUTED_VALUE"""),34.137325)</f>
        <v>34.137324999999997</v>
      </c>
      <c r="AV1055" s="8">
        <f ca="1">IFERROR(__xludf.DUMMYFUNCTION("""COMPUTED_VALUE"""),-117.298419)</f>
        <v>-117.298419</v>
      </c>
      <c r="AW1055" s="8"/>
      <c r="AX1055" s="8">
        <f ca="1">IFERROR(__xludf.DUMMYFUNCTION("""COMPUTED_VALUE"""),92405)</f>
        <v>92405</v>
      </c>
    </row>
    <row r="1056" spans="1:50" ht="75" x14ac:dyDescent="0.2">
      <c r="A1056" s="8" t="str">
        <f ca="1">IFERROR(__xludf.DUMMYFUNCTION("""COMPUTED_VALUE"""),"20220501VALOM")</f>
        <v>20220501VALOM</v>
      </c>
      <c r="B1056" s="8">
        <f ca="1">IFERROR(__xludf.DUMMYFUNCTION("""COMPUTED_VALUE"""),5)</f>
        <v>5</v>
      </c>
      <c r="C1056" s="8">
        <f ca="1">IFERROR(__xludf.DUMMYFUNCTION("""COMPUTED_VALUE"""),1)</f>
        <v>1</v>
      </c>
      <c r="D1056" s="8">
        <f ca="1">IFERROR(__xludf.DUMMYFUNCTION("""COMPUTED_VALUE"""),2022)</f>
        <v>2022</v>
      </c>
      <c r="E1056" s="9">
        <f ca="1">IFERROR(__xludf.DUMMYFUNCTION("""COMPUTED_VALUE"""),44682)</f>
        <v>44682</v>
      </c>
      <c r="F1056" s="8" t="str">
        <f ca="1">IFERROR(__xludf.DUMMYFUNCTION("""COMPUTED_VALUE"""),"Louise A. Benton Middle School")</f>
        <v>Louise A. Benton Middle School</v>
      </c>
      <c r="G1056" s="8">
        <f ca="1">IFERROR(__xludf.DUMMYFUNCTION("""COMPUTED_VALUE"""),0)</f>
        <v>0</v>
      </c>
      <c r="H1056" s="8">
        <f ca="1">IFERROR(__xludf.DUMMYFUNCTION("""COMPUTED_VALUE"""),2)</f>
        <v>2</v>
      </c>
      <c r="I1056" s="8">
        <f ca="1">IFERROR(__xludf.DUMMYFUNCTION("""COMPUTED_VALUE"""),2)</f>
        <v>2</v>
      </c>
      <c r="J1056" s="8">
        <f ca="1">IFERROR(__xludf.DUMMYFUNCTION("""COMPUTED_VALUE"""),0)</f>
        <v>0</v>
      </c>
      <c r="K1056" s="10" t="str">
        <f ca="1">IFERROR(__xludf.DUMMYFUNCTION("""COMPUTED_VALUE"""),"https://wcyb.com/news/nation-world/2-people-shot-near-youth-football-game-at-middle-school-benton-middle-school-prince-william-county-manassas-virginia-gunshot-wounds-district-supervisor-coles-yesil-vega-man-with-medium-complexion-between-5-feet-6-inches-"&amp;"and-10-inches-tall
https://wjla.com/news/local/manassas-shooting-benton-middle-school-athletic-fields-injuries-victims-gunshot-wounds-prince-william-county-police-officers-investigation-age-gun-violence- https://www.nbcwashington.com/news/local/northern-v"&amp;"irginia/2-shot-near-benton-middle-school-in-manassas/3039862/ https://www.washingtonpost.com/dc-md-va/2022/05/01/prince-william-shooting-middle-school/")</f>
        <v>https://wcyb.com/news/nation-world/2-people-shot-near-youth-football-game-at-middle-school-benton-middle-school-prince-william-county-manassas-virginia-gunshot-wounds-district-supervisor-coles-yesil-vega-man-with-medium-complexion-between-5-feet-6-inches-and-10-inches-tall
https://wjla.com/news/local/manassas-shooting-benton-middle-school-athletic-fields-injuries-victims-gunshot-wounds-prince-william-county-police-officers-investigation-age-gun-violence- https://www.nbcwashington.com/news/local/northern-virginia/2-shot-near-benton-middle-school-in-manassas/3039862/ https://www.washingtonpost.com/dc-md-va/2022/05/01/prince-william-shooting-middle-school/</v>
      </c>
      <c r="L1056" s="8">
        <f ca="1">IFERROR(__xludf.DUMMYFUNCTION("""COMPUTED_VALUE"""),100)</f>
        <v>100</v>
      </c>
      <c r="M1056" s="8" t="str">
        <f ca="1">IFERROR(__xludf.DUMMYFUNCTION("""COMPUTED_VALUE"""),"National")</f>
        <v>National</v>
      </c>
      <c r="N1056" s="8">
        <f ca="1">IFERROR(__xludf.DUMMYFUNCTION("""COMPUTED_VALUE"""),4)</f>
        <v>4</v>
      </c>
      <c r="O1056" s="8" t="str">
        <f ca="1">IFERROR(__xludf.DUMMYFUNCTION("""COMPUTED_VALUE"""),"Spring")</f>
        <v>Spring</v>
      </c>
      <c r="P1056" s="8" t="str">
        <f ca="1">IFERROR(__xludf.DUMMYFUNCTION("""COMPUTED_VALUE"""),"Manassas")</f>
        <v>Manassas</v>
      </c>
      <c r="Q1056" s="8" t="str">
        <f ca="1">IFERROR(__xludf.DUMMYFUNCTION("""COMPUTED_VALUE"""),"VA")</f>
        <v>VA</v>
      </c>
      <c r="R1056" s="8" t="str">
        <f ca="1">IFERROR(__xludf.DUMMYFUNCTION("""COMPUTED_VALUE"""),"Middle")</f>
        <v>Middle</v>
      </c>
      <c r="S1056" s="8" t="str">
        <f ca="1">IFERROR(__xludf.DUMMYFUNCTION("""COMPUTED_VALUE"""),"Football Field/Track")</f>
        <v>Football Field/Track</v>
      </c>
      <c r="T1056" s="8" t="str">
        <f ca="1">IFERROR(__xludf.DUMMYFUNCTION("""COMPUTED_VALUE"""),"Outside on School Property")</f>
        <v>Outside on School Property</v>
      </c>
      <c r="U1056" s="8" t="str">
        <f ca="1">IFERROR(__xludf.DUMMYFUNCTION("""COMPUTED_VALUE"""),"No")</f>
        <v>No</v>
      </c>
      <c r="V1056" s="8" t="str">
        <f ca="1">IFERROR(__xludf.DUMMYFUNCTION("""COMPUTED_VALUE"""),"Sport Event")</f>
        <v>Sport Event</v>
      </c>
      <c r="W1056" s="11">
        <f ca="1">IFERROR(__xludf.DUMMYFUNCTION("""COMPUTED_VALUE"""),0.427083333333333)</f>
        <v>0.42708333333333298</v>
      </c>
      <c r="X1056" s="8">
        <f ca="1">IFERROR(__xludf.DUMMYFUNCTION("""COMPUTED_VALUE"""),1)</f>
        <v>1</v>
      </c>
      <c r="Y1056" s="12" t="str">
        <f ca="1">IFERROR(__xludf.DUMMYFUNCTION("""COMPUTED_VALUE"""),"Two men shot during youth flag football tournament")</f>
        <v>Two men shot during youth flag football tournament</v>
      </c>
      <c r="Z1056" s="12" t="str">
        <f ca="1">IFERROR(__xludf.DUMMYFUNCTION("""COMPUTED_VALUE"""),"Two adult men were shot during an argument at a youth flag football tournament held on the middle school's field. One victim was flown to a trauma center. Shooter fled before police arrived. 300 children were present for the tournament.")</f>
        <v>Two adult men were shot during an argument at a youth flag football tournament held on the middle school's field. One victim was flown to a trauma center. Shooter fled before police arrived. 300 children were present for the tournament.</v>
      </c>
      <c r="AA1056" s="8" t="str">
        <f ca="1">IFERROR(__xludf.DUMMYFUNCTION("""COMPUTED_VALUE"""),"Escalation of Dispute")</f>
        <v>Escalation of Dispute</v>
      </c>
      <c r="AB1056" s="8"/>
      <c r="AC1056" s="8" t="str">
        <f ca="1">IFERROR(__xludf.DUMMYFUNCTION("""COMPUTED_VALUE"""),"No")</f>
        <v>No</v>
      </c>
      <c r="AD1056" s="8" t="str">
        <f ca="1">IFERROR(__xludf.DUMMYFUNCTION("""COMPUTED_VALUE"""),"Victims Targeted")</f>
        <v>Victims Targeted</v>
      </c>
      <c r="AE1056" s="8" t="str">
        <f ca="1">IFERROR(__xludf.DUMMYFUNCTION("""COMPUTED_VALUE"""),"No")</f>
        <v>No</v>
      </c>
      <c r="AF1056" s="8"/>
      <c r="AG1056" s="8" t="str">
        <f ca="1">IFERROR(__xludf.DUMMYFUNCTION("""COMPUTED_VALUE"""),"No")</f>
        <v>No</v>
      </c>
      <c r="AH1056" s="8" t="str">
        <f ca="1">IFERROR(__xludf.DUMMYFUNCTION("""COMPUTED_VALUE"""),"No")</f>
        <v>No</v>
      </c>
      <c r="AI1056" s="8" t="str">
        <f ca="1">IFERROR(__xludf.DUMMYFUNCTION("""COMPUTED_VALUE"""),"No")</f>
        <v>No</v>
      </c>
      <c r="AJ1056" s="8" t="str">
        <f ca="1">IFERROR(__xludf.DUMMYFUNCTION("""COMPUTED_VALUE"""),"No")</f>
        <v>No</v>
      </c>
      <c r="AK1056" s="8" t="str">
        <f ca="1">IFERROR(__xludf.DUMMYFUNCTION("""COMPUTED_VALUE"""),"No")</f>
        <v>No</v>
      </c>
      <c r="AL1056" s="8" t="str">
        <f ca="1">IFERROR(__xludf.DUMMYFUNCTION("""COMPUTED_VALUE"""),"No")</f>
        <v>No</v>
      </c>
      <c r="AM1056" s="8" t="str">
        <f ca="1">IFERROR(__xludf.DUMMYFUNCTION("""COMPUTED_VALUE"""),"No")</f>
        <v>No</v>
      </c>
      <c r="AN1056" s="8"/>
      <c r="AO1056" s="8" t="str">
        <f ca="1">IFERROR(__xludf.DUMMYFUNCTION("""COMPUTED_VALUE"""),"No")</f>
        <v>No</v>
      </c>
      <c r="AP1056" s="8"/>
      <c r="AQ1056" s="8"/>
      <c r="AR1056" s="8" t="str">
        <f ca="1">IFERROR(__xludf.DUMMYFUNCTION("""COMPUTED_VALUE"""),"Outside/Off-Property")</f>
        <v>Outside/Off-Property</v>
      </c>
      <c r="AS1056" s="8">
        <f ca="1">IFERROR(__xludf.DUMMYFUNCTION("""COMPUTED_VALUE"""),99)</f>
        <v>99</v>
      </c>
      <c r="AT1056" s="8" t="str">
        <f ca="1">IFERROR(__xludf.DUMMYFUNCTION("""COMPUTED_VALUE"""),"No")</f>
        <v>No</v>
      </c>
      <c r="AU1056" s="8">
        <f ca="1">IFERROR(__xludf.DUMMYFUNCTION("""COMPUTED_VALUE"""),38.655328)</f>
        <v>38.655327999999997</v>
      </c>
      <c r="AV1056" s="8">
        <f ca="1">IFERROR(__xludf.DUMMYFUNCTION("""COMPUTED_VALUE"""),-77.42918)</f>
        <v>-77.429180000000002</v>
      </c>
      <c r="AW1056" s="8"/>
      <c r="AX1056" s="8">
        <f ca="1">IFERROR(__xludf.DUMMYFUNCTION("""COMPUTED_VALUE"""),20112)</f>
        <v>20112</v>
      </c>
    </row>
    <row r="1057" spans="1:50" ht="60" x14ac:dyDescent="0.2">
      <c r="A1057" s="8" t="str">
        <f ca="1">IFERROR(__xludf.DUMMYFUNCTION("""COMPUTED_VALUE"""),"20220501OHHAC")</f>
        <v>20220501OHHAC</v>
      </c>
      <c r="B1057" s="8">
        <f ca="1">IFERROR(__xludf.DUMMYFUNCTION("""COMPUTED_VALUE"""),5)</f>
        <v>5</v>
      </c>
      <c r="C1057" s="8">
        <f ca="1">IFERROR(__xludf.DUMMYFUNCTION("""COMPUTED_VALUE"""),1)</f>
        <v>1</v>
      </c>
      <c r="D1057" s="8">
        <f ca="1">IFERROR(__xludf.DUMMYFUNCTION("""COMPUTED_VALUE"""),2022)</f>
        <v>2022</v>
      </c>
      <c r="E1057" s="9">
        <f ca="1">IFERROR(__xludf.DUMMYFUNCTION("""COMPUTED_VALUE"""),44682)</f>
        <v>44682</v>
      </c>
      <c r="F1057" s="8" t="str">
        <f ca="1">IFERROR(__xludf.DUMMYFUNCTION("""COMPUTED_VALUE"""),"Hamilton Stem Academy")</f>
        <v>Hamilton Stem Academy</v>
      </c>
      <c r="G1057" s="8">
        <f ca="1">IFERROR(__xludf.DUMMYFUNCTION("""COMPUTED_VALUE"""),1)</f>
        <v>1</v>
      </c>
      <c r="H1057" s="8">
        <f ca="1">IFERROR(__xludf.DUMMYFUNCTION("""COMPUTED_VALUE"""),0)</f>
        <v>0</v>
      </c>
      <c r="I1057" s="8">
        <f ca="1">IFERROR(__xludf.DUMMYFUNCTION("""COMPUTED_VALUE"""),1)</f>
        <v>1</v>
      </c>
      <c r="J1057" s="8">
        <f ca="1">IFERROR(__xludf.DUMMYFUNCTION("""COMPUTED_VALUE"""),0)</f>
        <v>0</v>
      </c>
      <c r="K1057" s="8" t="str">
        <f ca="1">IFERROR(__xludf.DUMMYFUNCTION("""COMPUTED_VALUE"""),"https://www.dispatch.com/story/news/crime/2022/09/12/reward-offered-for-information-in-shooting-outside-south-linden-school/65474725007/
https://abc6onyourside.com/news/local/columbus-ohio-police-investigating-person-found-dead-car-near-hamilton-stem-acad"&amp;"emy-5-1-2022 https://www.nbc4i.com/news/local-news/columbus/police-man-found-fatally-shot-inside-car-at-hamilton-stem-academy/ https://www.10tv.com/article/news/crime/man-found-dead-linden-area-columbus/530-b60db85f-035e-4afd-81d4-eadbf61d2adb")</f>
        <v>https://www.dispatch.com/story/news/crime/2022/09/12/reward-offered-for-information-in-shooting-outside-south-linden-school/65474725007/
https://abc6onyourside.com/news/local/columbus-ohio-police-investigating-person-found-dead-car-near-hamilton-stem-academy-5-1-2022 https://www.nbc4i.com/news/local-news/columbus/police-man-found-fatally-shot-inside-car-at-hamilton-stem-academy/ https://www.10tv.com/article/news/crime/man-found-dead-linden-area-columbus/530-b60db85f-035e-4afd-81d4-eadbf61d2adb</v>
      </c>
      <c r="L1057" s="8">
        <f ca="1">IFERROR(__xludf.DUMMYFUNCTION("""COMPUTED_VALUE"""),3)</f>
        <v>3</v>
      </c>
      <c r="M1057" s="8" t="str">
        <f ca="1">IFERROR(__xludf.DUMMYFUNCTION("""COMPUTED_VALUE"""),"Local")</f>
        <v>Local</v>
      </c>
      <c r="N1057" s="8">
        <f ca="1">IFERROR(__xludf.DUMMYFUNCTION("""COMPUTED_VALUE"""),4)</f>
        <v>4</v>
      </c>
      <c r="O1057" s="8" t="str">
        <f ca="1">IFERROR(__xludf.DUMMYFUNCTION("""COMPUTED_VALUE"""),"Spring")</f>
        <v>Spring</v>
      </c>
      <c r="P1057" s="8" t="str">
        <f ca="1">IFERROR(__xludf.DUMMYFUNCTION("""COMPUTED_VALUE"""),"Columbus")</f>
        <v>Columbus</v>
      </c>
      <c r="Q1057" s="8" t="str">
        <f ca="1">IFERROR(__xludf.DUMMYFUNCTION("""COMPUTED_VALUE"""),"OH")</f>
        <v>OH</v>
      </c>
      <c r="R1057" s="8" t="str">
        <f ca="1">IFERROR(__xludf.DUMMYFUNCTION("""COMPUTED_VALUE"""),"Elementary")</f>
        <v>Elementary</v>
      </c>
      <c r="S1057" s="8" t="str">
        <f ca="1">IFERROR(__xludf.DUMMYFUNCTION("""COMPUTED_VALUE"""),"Parking Lot")</f>
        <v>Parking Lot</v>
      </c>
      <c r="T1057" s="8" t="str">
        <f ca="1">IFERROR(__xludf.DUMMYFUNCTION("""COMPUTED_VALUE"""),"Outside on School Property")</f>
        <v>Outside on School Property</v>
      </c>
      <c r="U1057" s="8" t="str">
        <f ca="1">IFERROR(__xludf.DUMMYFUNCTION("""COMPUTED_VALUE"""),"No")</f>
        <v>No</v>
      </c>
      <c r="V1057" s="8" t="str">
        <f ca="1">IFERROR(__xludf.DUMMYFUNCTION("""COMPUTED_VALUE"""),"Not a School Day")</f>
        <v>Not a School Day</v>
      </c>
      <c r="W1057" s="11">
        <f ca="1">IFERROR(__xludf.DUMMYFUNCTION("""COMPUTED_VALUE"""),0.5625)</f>
        <v>0.5625</v>
      </c>
      <c r="X1057" s="8">
        <f ca="1">IFERROR(__xludf.DUMMYFUNCTION("""COMPUTED_VALUE"""),1)</f>
        <v>1</v>
      </c>
      <c r="Y1057" s="12" t="str">
        <f ca="1">IFERROR(__xludf.DUMMYFUNCTION("""COMPUTED_VALUE"""),"Man found fatally shot in the school parking lot")</f>
        <v>Man found fatally shot in the school parking lot</v>
      </c>
      <c r="Z1057" s="12" t="str">
        <f ca="1">IFERROR(__xludf.DUMMYFUNCTION("""COMPUTED_VALUE"""),"A man was found fatally shot inside a vehicle in the school parking lot. Shooter fled. Shooting may have occurred on Friday and the body was not discovered until Sunday afternoon. Police ruled the case a homicide.")</f>
        <v>A man was found fatally shot inside a vehicle in the school parking lot. Shooter fled. Shooting may have occurred on Friday and the body was not discovered until Sunday afternoon. Police ruled the case a homicide.</v>
      </c>
      <c r="AA1057" s="8"/>
      <c r="AB1057" s="8"/>
      <c r="AC1057" s="8" t="str">
        <f ca="1">IFERROR(__xludf.DUMMYFUNCTION("""COMPUTED_VALUE"""),"No")</f>
        <v>No</v>
      </c>
      <c r="AD1057" s="8" t="str">
        <f ca="1">IFERROR(__xludf.DUMMYFUNCTION("""COMPUTED_VALUE"""),"Victims Targeted")</f>
        <v>Victims Targeted</v>
      </c>
      <c r="AE1057" s="8"/>
      <c r="AF1057" s="8"/>
      <c r="AG1057" s="8" t="str">
        <f ca="1">IFERROR(__xludf.DUMMYFUNCTION("""COMPUTED_VALUE"""),"No")</f>
        <v>No</v>
      </c>
      <c r="AH1057" s="8" t="str">
        <f ca="1">IFERROR(__xludf.DUMMYFUNCTION("""COMPUTED_VALUE"""),"No")</f>
        <v>No</v>
      </c>
      <c r="AI1057" s="8" t="str">
        <f ca="1">IFERROR(__xludf.DUMMYFUNCTION("""COMPUTED_VALUE"""),"No")</f>
        <v>No</v>
      </c>
      <c r="AJ1057" s="8" t="str">
        <f ca="1">IFERROR(__xludf.DUMMYFUNCTION("""COMPUTED_VALUE"""),"No")</f>
        <v>No</v>
      </c>
      <c r="AK1057" s="8"/>
      <c r="AL1057" s="8"/>
      <c r="AM1057" s="8" t="str">
        <f ca="1">IFERROR(__xludf.DUMMYFUNCTION("""COMPUTED_VALUE"""),"No")</f>
        <v>No</v>
      </c>
      <c r="AN1057" s="8"/>
      <c r="AO1057" s="8" t="str">
        <f ca="1">IFERROR(__xludf.DUMMYFUNCTION("""COMPUTED_VALUE"""),"No")</f>
        <v>No</v>
      </c>
      <c r="AP1057" s="8"/>
      <c r="AQ1057" s="8"/>
      <c r="AR1057" s="8" t="str">
        <f ca="1">IFERROR(__xludf.DUMMYFUNCTION("""COMPUTED_VALUE"""),"Outside/Off-Property")</f>
        <v>Outside/Off-Property</v>
      </c>
      <c r="AS1057" s="8"/>
      <c r="AT1057" s="8" t="str">
        <f ca="1">IFERROR(__xludf.DUMMYFUNCTION("""COMPUTED_VALUE"""),"No")</f>
        <v>No</v>
      </c>
      <c r="AU1057" s="8">
        <f ca="1">IFERROR(__xludf.DUMMYFUNCTION("""COMPUTED_VALUE"""),40.007129)</f>
        <v>40.007128999999999</v>
      </c>
      <c r="AV1057" s="8">
        <f ca="1">IFERROR(__xludf.DUMMYFUNCTION("""COMPUTED_VALUE"""),-82.981861)</f>
        <v>-82.981860999999995</v>
      </c>
      <c r="AW1057" s="8"/>
      <c r="AX1057" s="8">
        <f ca="1">IFERROR(__xludf.DUMMYFUNCTION("""COMPUTED_VALUE"""),43211)</f>
        <v>43211</v>
      </c>
    </row>
    <row r="1058" spans="1:50" ht="60" x14ac:dyDescent="0.2">
      <c r="A1058" s="8" t="str">
        <f ca="1">IFERROR(__xludf.DUMMYFUNCTION("""COMPUTED_VALUE"""),"20220430PAMCJ")</f>
        <v>20220430PAMCJ</v>
      </c>
      <c r="B1058" s="8">
        <f ca="1">IFERROR(__xludf.DUMMYFUNCTION("""COMPUTED_VALUE"""),4)</f>
        <v>4</v>
      </c>
      <c r="C1058" s="8">
        <f ca="1">IFERROR(__xludf.DUMMYFUNCTION("""COMPUTED_VALUE"""),30)</f>
        <v>30</v>
      </c>
      <c r="D1058" s="8">
        <f ca="1">IFERROR(__xludf.DUMMYFUNCTION("""COMPUTED_VALUE"""),2022)</f>
        <v>2022</v>
      </c>
      <c r="E1058" s="9">
        <f ca="1">IFERROR(__xludf.DUMMYFUNCTION("""COMPUTED_VALUE"""),44681)</f>
        <v>44681</v>
      </c>
      <c r="F1058" s="8" t="str">
        <f ca="1">IFERROR(__xludf.DUMMYFUNCTION("""COMPUTED_VALUE"""),"McKee Middle School (McKee Stadium)")</f>
        <v>McKee Middle School (McKee Stadium)</v>
      </c>
      <c r="G1058" s="8">
        <f ca="1">IFERROR(__xludf.DUMMYFUNCTION("""COMPUTED_VALUE"""),0)</f>
        <v>0</v>
      </c>
      <c r="H1058" s="8">
        <f ca="1">IFERROR(__xludf.DUMMYFUNCTION("""COMPUTED_VALUE"""),0)</f>
        <v>0</v>
      </c>
      <c r="I1058" s="8">
        <f ca="1">IFERROR(__xludf.DUMMYFUNCTION("""COMPUTED_VALUE"""),0)</f>
        <v>0</v>
      </c>
      <c r="J1058" s="8">
        <f ca="1">IFERROR(__xludf.DUMMYFUNCTION("""COMPUTED_VALUE"""),0)</f>
        <v>0</v>
      </c>
      <c r="K1058" s="10" t="str">
        <f ca="1">IFERROR(__xludf.DUMMYFUNCTION("""COMPUTED_VALUE"""),"https://triblive.com/local/westmoreland/no-one-reported-hurt-after-shot-fired-during-fight-at-mckee-stadium-in-jeannette/")</f>
        <v>https://triblive.com/local/westmoreland/no-one-reported-hurt-after-shot-fired-during-fight-at-mckee-stadium-in-jeannette/</v>
      </c>
      <c r="L1058" s="8">
        <f ca="1">IFERROR(__xludf.DUMMYFUNCTION("""COMPUTED_VALUE"""),1)</f>
        <v>1</v>
      </c>
      <c r="M1058" s="8" t="str">
        <f ca="1">IFERROR(__xludf.DUMMYFUNCTION("""COMPUTED_VALUE"""),"Local")</f>
        <v>Local</v>
      </c>
      <c r="N1058" s="8">
        <f ca="1">IFERROR(__xludf.DUMMYFUNCTION("""COMPUTED_VALUE"""),3)</f>
        <v>3</v>
      </c>
      <c r="O1058" s="8" t="str">
        <f ca="1">IFERROR(__xludf.DUMMYFUNCTION("""COMPUTED_VALUE"""),"Spring")</f>
        <v>Spring</v>
      </c>
      <c r="P1058" s="8" t="str">
        <f ca="1">IFERROR(__xludf.DUMMYFUNCTION("""COMPUTED_VALUE"""),"Jeannette City")</f>
        <v>Jeannette City</v>
      </c>
      <c r="Q1058" s="8" t="str">
        <f ca="1">IFERROR(__xludf.DUMMYFUNCTION("""COMPUTED_VALUE"""),"PA")</f>
        <v>PA</v>
      </c>
      <c r="R1058" s="8" t="str">
        <f ca="1">IFERROR(__xludf.DUMMYFUNCTION("""COMPUTED_VALUE"""),"Middle")</f>
        <v>Middle</v>
      </c>
      <c r="S1058" s="8" t="str">
        <f ca="1">IFERROR(__xludf.DUMMYFUNCTION("""COMPUTED_VALUE"""),"Football Field/Track")</f>
        <v>Football Field/Track</v>
      </c>
      <c r="T1058" s="8" t="str">
        <f ca="1">IFERROR(__xludf.DUMMYFUNCTION("""COMPUTED_VALUE"""),"Outside on School Property")</f>
        <v>Outside on School Property</v>
      </c>
      <c r="U1058" s="8" t="str">
        <f ca="1">IFERROR(__xludf.DUMMYFUNCTION("""COMPUTED_VALUE"""),"No")</f>
        <v>No</v>
      </c>
      <c r="V1058" s="8" t="str">
        <f ca="1">IFERROR(__xludf.DUMMYFUNCTION("""COMPUTED_VALUE"""),"Sport Event")</f>
        <v>Sport Event</v>
      </c>
      <c r="W1058" s="11">
        <f ca="1">IFERROR(__xludf.DUMMYFUNCTION("""COMPUTED_VALUE"""),0.427083333333333)</f>
        <v>0.42708333333333298</v>
      </c>
      <c r="X1058" s="8">
        <f ca="1">IFERROR(__xludf.DUMMYFUNCTION("""COMPUTED_VALUE"""),1)</f>
        <v>1</v>
      </c>
      <c r="Y1058" s="12" t="str">
        <f ca="1">IFERROR(__xludf.DUMMYFUNCTION("""COMPUTED_VALUE"""),"Shot fired during youth football game at stadium, both men involved fled")</f>
        <v>Shot fired during youth football game at stadium, both men involved fled</v>
      </c>
      <c r="Z1058" s="12" t="str">
        <f ca="1">IFERROR(__xludf.DUMMYFUNCTION("""COMPUTED_VALUE"""),"Shot was fired into the ground during a fight between two men at a flag football game. Both men fled. No injuries.Man was murdered during a high school football game at the stadium in 2019.")</f>
        <v>Shot was fired into the ground during a fight between two men at a flag football game. Both men fled. No injuries.Man was murdered during a high school football game at the stadium in 2019.</v>
      </c>
      <c r="AA1058" s="8" t="str">
        <f ca="1">IFERROR(__xludf.DUMMYFUNCTION("""COMPUTED_VALUE"""),"Escalation of Dispute")</f>
        <v>Escalation of Dispute</v>
      </c>
      <c r="AB1058" s="8"/>
      <c r="AC1058" s="8" t="str">
        <f ca="1">IFERROR(__xludf.DUMMYFUNCTION("""COMPUTED_VALUE"""),"No")</f>
        <v>No</v>
      </c>
      <c r="AD1058" s="8" t="str">
        <f ca="1">IFERROR(__xludf.DUMMYFUNCTION("""COMPUTED_VALUE"""),"Victims Targeted")</f>
        <v>Victims Targeted</v>
      </c>
      <c r="AE1058" s="8" t="str">
        <f ca="1">IFERROR(__xludf.DUMMYFUNCTION("""COMPUTED_VALUE"""),"No")</f>
        <v>No</v>
      </c>
      <c r="AF1058" s="8"/>
      <c r="AG1058" s="8" t="str">
        <f ca="1">IFERROR(__xludf.DUMMYFUNCTION("""COMPUTED_VALUE"""),"No")</f>
        <v>No</v>
      </c>
      <c r="AH1058" s="8" t="str">
        <f ca="1">IFERROR(__xludf.DUMMYFUNCTION("""COMPUTED_VALUE"""),"No")</f>
        <v>No</v>
      </c>
      <c r="AI1058" s="8" t="str">
        <f ca="1">IFERROR(__xludf.DUMMYFUNCTION("""COMPUTED_VALUE"""),"No")</f>
        <v>No</v>
      </c>
      <c r="AJ1058" s="8" t="str">
        <f ca="1">IFERROR(__xludf.DUMMYFUNCTION("""COMPUTED_VALUE"""),"No")</f>
        <v>No</v>
      </c>
      <c r="AK1058" s="8" t="str">
        <f ca="1">IFERROR(__xludf.DUMMYFUNCTION("""COMPUTED_VALUE"""),"No")</f>
        <v>No</v>
      </c>
      <c r="AL1058" s="8" t="str">
        <f ca="1">IFERROR(__xludf.DUMMYFUNCTION("""COMPUTED_VALUE"""),"No")</f>
        <v>No</v>
      </c>
      <c r="AM1058" s="8" t="str">
        <f ca="1">IFERROR(__xludf.DUMMYFUNCTION("""COMPUTED_VALUE"""),"No")</f>
        <v>No</v>
      </c>
      <c r="AN1058" s="8"/>
      <c r="AO1058" s="8" t="str">
        <f ca="1">IFERROR(__xludf.DUMMYFUNCTION("""COMPUTED_VALUE"""),"No")</f>
        <v>No</v>
      </c>
      <c r="AP1058" s="8"/>
      <c r="AQ1058" s="8"/>
      <c r="AR1058" s="8"/>
      <c r="AS1058" s="8">
        <f ca="1">IFERROR(__xludf.DUMMYFUNCTION("""COMPUTED_VALUE"""),1)</f>
        <v>1</v>
      </c>
      <c r="AT1058" s="8"/>
      <c r="AU1058" s="8">
        <f ca="1">IFERROR(__xludf.DUMMYFUNCTION("""COMPUTED_VALUE"""),40.315677)</f>
        <v>40.315677000000001</v>
      </c>
      <c r="AV1058" s="8">
        <f ca="1">IFERROR(__xludf.DUMMYFUNCTION("""COMPUTED_VALUE"""),-79.616721)</f>
        <v>-79.616720999999998</v>
      </c>
      <c r="AW1058" s="8"/>
      <c r="AX1058" s="8">
        <f ca="1">IFERROR(__xludf.DUMMYFUNCTION("""COMPUTED_VALUE"""),15644)</f>
        <v>15644</v>
      </c>
    </row>
    <row r="1059" spans="1:50" ht="75" x14ac:dyDescent="0.2">
      <c r="A1059" s="8" t="str">
        <f ca="1">IFERROR(__xludf.DUMMYFUNCTION("""COMPUTED_VALUE"""),"20220427TXMOS")</f>
        <v>20220427TXMOS</v>
      </c>
      <c r="B1059" s="8">
        <f ca="1">IFERROR(__xludf.DUMMYFUNCTION("""COMPUTED_VALUE"""),4)</f>
        <v>4</v>
      </c>
      <c r="C1059" s="8">
        <f ca="1">IFERROR(__xludf.DUMMYFUNCTION("""COMPUTED_VALUE"""),27)</f>
        <v>27</v>
      </c>
      <c r="D1059" s="8">
        <f ca="1">IFERROR(__xludf.DUMMYFUNCTION("""COMPUTED_VALUE"""),2022)</f>
        <v>2022</v>
      </c>
      <c r="E1059" s="9">
        <f ca="1">IFERROR(__xludf.DUMMYFUNCTION("""COMPUTED_VALUE"""),44678)</f>
        <v>44678</v>
      </c>
      <c r="F1059" s="8" t="str">
        <f ca="1">IFERROR(__xludf.DUMMYFUNCTION("""COMPUTED_VALUE"""),"Morrill Elementary School")</f>
        <v>Morrill Elementary School</v>
      </c>
      <c r="G1059" s="8">
        <f ca="1">IFERROR(__xludf.DUMMYFUNCTION("""COMPUTED_VALUE"""),0)</f>
        <v>0</v>
      </c>
      <c r="H1059" s="8">
        <f ca="1">IFERROR(__xludf.DUMMYFUNCTION("""COMPUTED_VALUE"""),1)</f>
        <v>1</v>
      </c>
      <c r="I1059" s="8">
        <f ca="1">IFERROR(__xludf.DUMMYFUNCTION("""COMPUTED_VALUE"""),1)</f>
        <v>1</v>
      </c>
      <c r="J1059" s="8">
        <f ca="1">IFERROR(__xludf.DUMMYFUNCTION("""COMPUTED_VALUE"""),0)</f>
        <v>0</v>
      </c>
      <c r="K1059" s="10" t="str">
        <f ca="1">IFERROR(__xludf.DUMMYFUNCTION("""COMPUTED_VALUE"""),"https://news4sanantonio.com/news/local/police-shot-suspect-after-attempting-to-break-in-school")</f>
        <v>https://news4sanantonio.com/news/local/police-shot-suspect-after-attempting-to-break-in-school</v>
      </c>
      <c r="L1059" s="8">
        <f ca="1">IFERROR(__xludf.DUMMYFUNCTION("""COMPUTED_VALUE"""),1)</f>
        <v>1</v>
      </c>
      <c r="M1059" s="8" t="str">
        <f ca="1">IFERROR(__xludf.DUMMYFUNCTION("""COMPUTED_VALUE"""),"Local")</f>
        <v>Local</v>
      </c>
      <c r="N1059" s="8">
        <f ca="1">IFERROR(__xludf.DUMMYFUNCTION("""COMPUTED_VALUE"""),4)</f>
        <v>4</v>
      </c>
      <c r="O1059" s="8" t="str">
        <f ca="1">IFERROR(__xludf.DUMMYFUNCTION("""COMPUTED_VALUE"""),"Spring")</f>
        <v>Spring</v>
      </c>
      <c r="P1059" s="8" t="str">
        <f ca="1">IFERROR(__xludf.DUMMYFUNCTION("""COMPUTED_VALUE"""),"San Antonio")</f>
        <v>San Antonio</v>
      </c>
      <c r="Q1059" s="8" t="str">
        <f ca="1">IFERROR(__xludf.DUMMYFUNCTION("""COMPUTED_VALUE"""),"TX")</f>
        <v>TX</v>
      </c>
      <c r="R1059" s="8" t="str">
        <f ca="1">IFERROR(__xludf.DUMMYFUNCTION("""COMPUTED_VALUE"""),"Elementary")</f>
        <v>Elementary</v>
      </c>
      <c r="S1059" s="8" t="str">
        <f ca="1">IFERROR(__xludf.DUMMYFUNCTION("""COMPUTED_VALUE"""),"Front of School")</f>
        <v>Front of School</v>
      </c>
      <c r="T1059" s="8" t="str">
        <f ca="1">IFERROR(__xludf.DUMMYFUNCTION("""COMPUTED_VALUE"""),"Outside on School Property")</f>
        <v>Outside on School Property</v>
      </c>
      <c r="U1059" s="8" t="str">
        <f ca="1">IFERROR(__xludf.DUMMYFUNCTION("""COMPUTED_VALUE"""),"No")</f>
        <v>No</v>
      </c>
      <c r="V1059" s="8" t="str">
        <f ca="1">IFERROR(__xludf.DUMMYFUNCTION("""COMPUTED_VALUE"""),"Evening")</f>
        <v>Evening</v>
      </c>
      <c r="W1059" s="11">
        <f ca="1">IFERROR(__xludf.DUMMYFUNCTION("""COMPUTED_VALUE"""),0.845833333333333)</f>
        <v>0.84583333333333299</v>
      </c>
      <c r="X1059" s="8">
        <f ca="1">IFERROR(__xludf.DUMMYFUNCTION("""COMPUTED_VALUE"""),1)</f>
        <v>1</v>
      </c>
      <c r="Y1059" s="12" t="str">
        <f ca="1">IFERROR(__xludf.DUMMYFUNCTION("""COMPUTED_VALUE"""),"Police shot man attempting to break-in to school building")</f>
        <v>Police shot man attempting to break-in to school building</v>
      </c>
      <c r="Z1059" s="12" t="str">
        <f ca="1">IFERROR(__xludf.DUMMYFUNCTION("""COMPUTED_VALUE"""),"Janitor called police for a man attempting to break-in to the school. When police questioned the man, he grabbed an officers baton and struck the officer with it. During a struggle, a police officer shot the man. No students or staff were injured.")</f>
        <v>Janitor called police for a man attempting to break-in to the school. When police questioned the man, he grabbed an officers baton and struck the officer with it. During a struggle, a police officer shot the man. No students or staff were injured.</v>
      </c>
      <c r="AA1059" s="8" t="str">
        <f ca="1">IFERROR(__xludf.DUMMYFUNCTION("""COMPUTED_VALUE"""),"Officer-Involved Shooting")</f>
        <v>Officer-Involved Shooting</v>
      </c>
      <c r="AB1059" s="8"/>
      <c r="AC1059" s="8" t="str">
        <f ca="1">IFERROR(__xludf.DUMMYFUNCTION("""COMPUTED_VALUE"""),"Yes")</f>
        <v>Yes</v>
      </c>
      <c r="AD1059" s="8"/>
      <c r="AE1059" s="8"/>
      <c r="AF1059" s="8"/>
      <c r="AG1059" s="8"/>
      <c r="AH1059" s="8"/>
      <c r="AI1059" s="8" t="str">
        <f ca="1">IFERROR(__xludf.DUMMYFUNCTION("""COMPUTED_VALUE"""),"Yes")</f>
        <v>Yes</v>
      </c>
      <c r="AJ1059" s="8"/>
      <c r="AK1059" s="8"/>
      <c r="AL1059" s="8"/>
      <c r="AM1059" s="8"/>
      <c r="AN1059" s="8"/>
      <c r="AO1059" s="8"/>
      <c r="AP1059" s="8"/>
      <c r="AQ1059" s="8"/>
      <c r="AR1059" s="8"/>
      <c r="AS1059" s="8"/>
      <c r="AT1059" s="8"/>
      <c r="AU1059" s="8">
        <f ca="1">IFERROR(__xludf.DUMMYFUNCTION("""COMPUTED_VALUE"""),29.37358)</f>
        <v>29.37358</v>
      </c>
      <c r="AV1059" s="8">
        <f ca="1">IFERROR(__xludf.DUMMYFUNCTION("""COMPUTED_VALUE"""),-98.497333)</f>
        <v>-98.497332999999998</v>
      </c>
      <c r="AW1059" s="8"/>
      <c r="AX1059" s="8">
        <f ca="1">IFERROR(__xludf.DUMMYFUNCTION("""COMPUTED_VALUE"""),78214)</f>
        <v>78214</v>
      </c>
    </row>
    <row r="1060" spans="1:50" ht="60" x14ac:dyDescent="0.2">
      <c r="A1060" s="8" t="str">
        <f ca="1">IFERROR(__xludf.DUMMYFUNCTION("""COMPUTED_VALUE"""),"20220427INCOS")</f>
        <v>20220427INCOS</v>
      </c>
      <c r="B1060" s="8">
        <f ca="1">IFERROR(__xludf.DUMMYFUNCTION("""COMPUTED_VALUE"""),4)</f>
        <v>4</v>
      </c>
      <c r="C1060" s="8">
        <f ca="1">IFERROR(__xludf.DUMMYFUNCTION("""COMPUTED_VALUE"""),27)</f>
        <v>27</v>
      </c>
      <c r="D1060" s="8">
        <f ca="1">IFERROR(__xludf.DUMMYFUNCTION("""COMPUTED_VALUE"""),2022)</f>
        <v>2022</v>
      </c>
      <c r="E1060" s="9">
        <f ca="1">IFERROR(__xludf.DUMMYFUNCTION("""COMPUTED_VALUE"""),44678)</f>
        <v>44678</v>
      </c>
      <c r="F1060" s="8" t="str">
        <f ca="1">IFERROR(__xludf.DUMMYFUNCTION("""COMPUTED_VALUE"""),"Coquillard Elementary School")</f>
        <v>Coquillard Elementary School</v>
      </c>
      <c r="G1060" s="8">
        <f ca="1">IFERROR(__xludf.DUMMYFUNCTION("""COMPUTED_VALUE"""),0)</f>
        <v>0</v>
      </c>
      <c r="H1060" s="8">
        <f ca="1">IFERROR(__xludf.DUMMYFUNCTION("""COMPUTED_VALUE"""),0)</f>
        <v>0</v>
      </c>
      <c r="I1060" s="8">
        <f ca="1">IFERROR(__xludf.DUMMYFUNCTION("""COMPUTED_VALUE"""),0)</f>
        <v>0</v>
      </c>
      <c r="J1060" s="8">
        <f ca="1">IFERROR(__xludf.DUMMYFUNCTION("""COMPUTED_VALUE"""),0)</f>
        <v>0</v>
      </c>
      <c r="K1060" s="10" t="str">
        <f ca="1">IFERROR(__xludf.DUMMYFUNCTION("""COMPUTED_VALUE"""),"https://www.wndu.com/2022/04/27/investigation-underway-after-student-shoots-school-bus-window-with-bb-gun/")</f>
        <v>https://www.wndu.com/2022/04/27/investigation-underway-after-student-shoots-school-bus-window-with-bb-gun/</v>
      </c>
      <c r="L1060" s="8">
        <f ca="1">IFERROR(__xludf.DUMMYFUNCTION("""COMPUTED_VALUE"""),1)</f>
        <v>1</v>
      </c>
      <c r="M1060" s="8" t="str">
        <f ca="1">IFERROR(__xludf.DUMMYFUNCTION("""COMPUTED_VALUE"""),"Local")</f>
        <v>Local</v>
      </c>
      <c r="N1060" s="8">
        <f ca="1">IFERROR(__xludf.DUMMYFUNCTION("""COMPUTED_VALUE"""),3)</f>
        <v>3</v>
      </c>
      <c r="O1060" s="8" t="str">
        <f ca="1">IFERROR(__xludf.DUMMYFUNCTION("""COMPUTED_VALUE"""),"Spring")</f>
        <v>Spring</v>
      </c>
      <c r="P1060" s="8" t="str">
        <f ca="1">IFERROR(__xludf.DUMMYFUNCTION("""COMPUTED_VALUE"""),"South Bend")</f>
        <v>South Bend</v>
      </c>
      <c r="Q1060" s="8" t="str">
        <f ca="1">IFERROR(__xludf.DUMMYFUNCTION("""COMPUTED_VALUE"""),"IN")</f>
        <v>IN</v>
      </c>
      <c r="R1060" s="8" t="str">
        <f ca="1">IFERROR(__xludf.DUMMYFUNCTION("""COMPUTED_VALUE"""),"Elementary")</f>
        <v>Elementary</v>
      </c>
      <c r="S1060" s="8" t="str">
        <f ca="1">IFERROR(__xludf.DUMMYFUNCTION("""COMPUTED_VALUE"""),"School Bus")</f>
        <v>School Bus</v>
      </c>
      <c r="T1060" s="8" t="str">
        <f ca="1">IFERROR(__xludf.DUMMYFUNCTION("""COMPUTED_VALUE"""),"School Bus")</f>
        <v>School Bus</v>
      </c>
      <c r="U1060" s="8" t="str">
        <f ca="1">IFERROR(__xludf.DUMMYFUNCTION("""COMPUTED_VALUE"""),"Yes")</f>
        <v>Yes</v>
      </c>
      <c r="V1060" s="8" t="str">
        <f ca="1">IFERROR(__xludf.DUMMYFUNCTION("""COMPUTED_VALUE"""),"Dismissal")</f>
        <v>Dismissal</v>
      </c>
      <c r="W1060" s="11">
        <f ca="1">IFERROR(__xludf.DUMMYFUNCTION("""COMPUTED_VALUE"""),0.666666666666666)</f>
        <v>0.66666666666666596</v>
      </c>
      <c r="X1060" s="8">
        <f ca="1">IFERROR(__xludf.DUMMYFUNCTION("""COMPUTED_VALUE"""),1)</f>
        <v>1</v>
      </c>
      <c r="Y1060" s="12" t="str">
        <f ca="1">IFERROR(__xludf.DUMMYFUNCTION("""COMPUTED_VALUE"""),"Student got off bus and fired a BB gun back at the bus, breaking a window")</f>
        <v>Student got off bus and fired a BB gun back at the bus, breaking a window</v>
      </c>
      <c r="Z1060" s="12" t="str">
        <f ca="1">IFERROR(__xludf.DUMMYFUNCTION("""COMPUTED_VALUE"""),"A student got off the school bus and then fired a BB gun at the bus breaking a window. 3 students were on the bus and they were not injured. Police were notified and the school is investigating.")</f>
        <v>A student got off the school bus and then fired a BB gun at the bus breaking a window. 3 students were on the bus and they were not injured. Police were notified and the school is investigating.</v>
      </c>
      <c r="AA1060" s="8" t="str">
        <f ca="1">IFERROR(__xludf.DUMMYFUNCTION("""COMPUTED_VALUE"""),"Intentional Property Damage")</f>
        <v>Intentional Property Damage</v>
      </c>
      <c r="AB1060" s="8"/>
      <c r="AC1060" s="8" t="str">
        <f ca="1">IFERROR(__xludf.DUMMYFUNCTION("""COMPUTED_VALUE"""),"Yes")</f>
        <v>Yes</v>
      </c>
      <c r="AD1060" s="8" t="str">
        <f ca="1">IFERROR(__xludf.DUMMYFUNCTION("""COMPUTED_VALUE"""),"Neither")</f>
        <v>Neither</v>
      </c>
      <c r="AE1060" s="8" t="str">
        <f ca="1">IFERROR(__xludf.DUMMYFUNCTION("""COMPUTED_VALUE"""),"No")</f>
        <v>No</v>
      </c>
      <c r="AF1060" s="8"/>
      <c r="AG1060" s="8" t="str">
        <f ca="1">IFERROR(__xludf.DUMMYFUNCTION("""COMPUTED_VALUE"""),"No")</f>
        <v>No</v>
      </c>
      <c r="AH1060" s="8" t="str">
        <f ca="1">IFERROR(__xludf.DUMMYFUNCTION("""COMPUTED_VALUE"""),"No")</f>
        <v>No</v>
      </c>
      <c r="AI1060" s="8" t="str">
        <f ca="1">IFERROR(__xludf.DUMMYFUNCTION("""COMPUTED_VALUE"""),"No")</f>
        <v>No</v>
      </c>
      <c r="AJ1060" s="8"/>
      <c r="AK1060" s="8" t="str">
        <f ca="1">IFERROR(__xludf.DUMMYFUNCTION("""COMPUTED_VALUE"""),"No")</f>
        <v>No</v>
      </c>
      <c r="AL1060" s="8" t="str">
        <f ca="1">IFERROR(__xludf.DUMMYFUNCTION("""COMPUTED_VALUE"""),"No")</f>
        <v>No</v>
      </c>
      <c r="AM1060" s="8" t="str">
        <f ca="1">IFERROR(__xludf.DUMMYFUNCTION("""COMPUTED_VALUE"""),"No")</f>
        <v>No</v>
      </c>
      <c r="AN1060" s="8"/>
      <c r="AO1060" s="8" t="str">
        <f ca="1">IFERROR(__xludf.DUMMYFUNCTION("""COMPUTED_VALUE"""),"No")</f>
        <v>No</v>
      </c>
      <c r="AP1060" s="8"/>
      <c r="AQ1060" s="8"/>
      <c r="AR1060" s="8" t="str">
        <f ca="1">IFERROR(__xludf.DUMMYFUNCTION("""COMPUTED_VALUE"""),"Outside/Off-Property")</f>
        <v>Outside/Off-Property</v>
      </c>
      <c r="AS1060" s="8">
        <f ca="1">IFERROR(__xludf.DUMMYFUNCTION("""COMPUTED_VALUE"""),1)</f>
        <v>1</v>
      </c>
      <c r="AT1060" s="8" t="str">
        <f ca="1">IFERROR(__xludf.DUMMYFUNCTION("""COMPUTED_VALUE"""),"No")</f>
        <v>No</v>
      </c>
      <c r="AU1060" s="8">
        <f ca="1">IFERROR(__xludf.DUMMYFUNCTION("""COMPUTED_VALUE"""),41.690805)</f>
        <v>41.690804999999997</v>
      </c>
      <c r="AV1060" s="8">
        <f ca="1">IFERROR(__xludf.DUMMYFUNCTION("""COMPUTED_VALUE"""),-86.30356)</f>
        <v>-86.303560000000004</v>
      </c>
      <c r="AW1060" s="8"/>
      <c r="AX1060" s="8">
        <f ca="1">IFERROR(__xludf.DUMMYFUNCTION("""COMPUTED_VALUE"""),46628)</f>
        <v>46628</v>
      </c>
    </row>
    <row r="1061" spans="1:50" ht="60" x14ac:dyDescent="0.2">
      <c r="A1061" s="8" t="str">
        <f ca="1">IFERROR(__xludf.DUMMYFUNCTION("""COMPUTED_VALUE"""),"20220426MIASI")</f>
        <v>20220426MIASI</v>
      </c>
      <c r="B1061" s="8">
        <f ca="1">IFERROR(__xludf.DUMMYFUNCTION("""COMPUTED_VALUE"""),4)</f>
        <v>4</v>
      </c>
      <c r="C1061" s="8">
        <f ca="1">IFERROR(__xludf.DUMMYFUNCTION("""COMPUTED_VALUE"""),26)</f>
        <v>26</v>
      </c>
      <c r="D1061" s="8">
        <f ca="1">IFERROR(__xludf.DUMMYFUNCTION("""COMPUTED_VALUE"""),2022)</f>
        <v>2022</v>
      </c>
      <c r="E1061" s="9">
        <f ca="1">IFERROR(__xludf.DUMMYFUNCTION("""COMPUTED_VALUE"""),44677)</f>
        <v>44677</v>
      </c>
      <c r="F1061" s="8" t="str">
        <f ca="1">IFERROR(__xludf.DUMMYFUNCTION("""COMPUTED_VALUE"""),"Aspen Ridge School")</f>
        <v>Aspen Ridge School</v>
      </c>
      <c r="G1061" s="8">
        <f ca="1">IFERROR(__xludf.DUMMYFUNCTION("""COMPUTED_VALUE"""),0)</f>
        <v>0</v>
      </c>
      <c r="H1061" s="8">
        <f ca="1">IFERROR(__xludf.DUMMYFUNCTION("""COMPUTED_VALUE"""),0)</f>
        <v>0</v>
      </c>
      <c r="I1061" s="8">
        <f ca="1">IFERROR(__xludf.DUMMYFUNCTION("""COMPUTED_VALUE"""),0)</f>
        <v>0</v>
      </c>
      <c r="J1061" s="8">
        <f ca="1">IFERROR(__xludf.DUMMYFUNCTION("""COMPUTED_VALUE"""),1)</f>
        <v>1</v>
      </c>
      <c r="K1061" s="8" t="str">
        <f ca="1">IFERROR(__xludf.DUMMYFUNCTION("""COMPUTED_VALUE"""),"https://www.uppermichiganssource.com/2022/04/26/isolated-incident-aspen-ridge-school-under-investigation/ https://www.mlive.com/news/2022/04/student-dies-after-shooting-himself-in-bathroom-of-upper-peninsula-school.html https://upnorthlive.com/news/local/"&amp;"student-dies-at-aspen-ridge-school-from-self-inflicted-gunshot-wound")</f>
        <v>https://www.uppermichiganssource.com/2022/04/26/isolated-incident-aspen-ridge-school-under-investigation/ https://www.mlive.com/news/2022/04/student-dies-after-shooting-himself-in-bathroom-of-upper-peninsula-school.html https://upnorthlive.com/news/local/student-dies-at-aspen-ridge-school-from-self-inflicted-gunshot-wound</v>
      </c>
      <c r="L1061" s="8">
        <f ca="1">IFERROR(__xludf.DUMMYFUNCTION("""COMPUTED_VALUE"""),3)</f>
        <v>3</v>
      </c>
      <c r="M1061" s="8" t="str">
        <f ca="1">IFERROR(__xludf.DUMMYFUNCTION("""COMPUTED_VALUE"""),"Local")</f>
        <v>Local</v>
      </c>
      <c r="N1061" s="8">
        <f ca="1">IFERROR(__xludf.DUMMYFUNCTION("""COMPUTED_VALUE"""),4)</f>
        <v>4</v>
      </c>
      <c r="O1061" s="8" t="str">
        <f ca="1">IFERROR(__xludf.DUMMYFUNCTION("""COMPUTED_VALUE"""),"Spring")</f>
        <v>Spring</v>
      </c>
      <c r="P1061" s="8" t="str">
        <f ca="1">IFERROR(__xludf.DUMMYFUNCTION("""COMPUTED_VALUE"""),"Ishpeming Township")</f>
        <v>Ishpeming Township</v>
      </c>
      <c r="Q1061" s="8" t="str">
        <f ca="1">IFERROR(__xludf.DUMMYFUNCTION("""COMPUTED_VALUE"""),"MI")</f>
        <v>MI</v>
      </c>
      <c r="R1061" s="8" t="str">
        <f ca="1">IFERROR(__xludf.DUMMYFUNCTION("""COMPUTED_VALUE"""),"K-8")</f>
        <v>K-8</v>
      </c>
      <c r="S1061" s="8" t="str">
        <f ca="1">IFERROR(__xludf.DUMMYFUNCTION("""COMPUTED_VALUE"""),"Bathroom")</f>
        <v>Bathroom</v>
      </c>
      <c r="T1061" s="8" t="str">
        <f ca="1">IFERROR(__xludf.DUMMYFUNCTION("""COMPUTED_VALUE"""),"Inside School Building")</f>
        <v>Inside School Building</v>
      </c>
      <c r="U1061" s="8" t="str">
        <f ca="1">IFERROR(__xludf.DUMMYFUNCTION("""COMPUTED_VALUE"""),"Yes")</f>
        <v>Yes</v>
      </c>
      <c r="V1061" s="8" t="str">
        <f ca="1">IFERROR(__xludf.DUMMYFUNCTION("""COMPUTED_VALUE"""),"Afternoon Classes")</f>
        <v>Afternoon Classes</v>
      </c>
      <c r="W1061" s="11">
        <f ca="1">IFERROR(__xludf.DUMMYFUNCTION("""COMPUTED_VALUE"""),0.520833333333333)</f>
        <v>0.52083333333333304</v>
      </c>
      <c r="X1061" s="8">
        <f ca="1">IFERROR(__xludf.DUMMYFUNCTION("""COMPUTED_VALUE"""),1)</f>
        <v>1</v>
      </c>
      <c r="Y1061" s="12" t="str">
        <f ca="1">IFERROR(__xludf.DUMMYFUNCTION("""COMPUTED_VALUE"""),"Student commit suicide in bathroom")</f>
        <v>Student commit suicide in bathroom</v>
      </c>
      <c r="Z1061" s="12" t="str">
        <f ca="1">IFERROR(__xludf.DUMMYFUNCTION("""COMPUTED_VALUE"""),"A police officer was giving a presentation at the school when he heard a gunshot. School went on lockdown. Trooper found a student who died from a self-inflicted gunshot wound in the bathroom.")</f>
        <v>A police officer was giving a presentation at the school when he heard a gunshot. School went on lockdown. Trooper found a student who died from a self-inflicted gunshot wound in the bathroom.</v>
      </c>
      <c r="AA1061" s="8" t="str">
        <f ca="1">IFERROR(__xludf.DUMMYFUNCTION("""COMPUTED_VALUE"""),"Suicide/Attempted")</f>
        <v>Suicide/Attempted</v>
      </c>
      <c r="AB1061" s="8"/>
      <c r="AC1061" s="8" t="str">
        <f ca="1">IFERROR(__xludf.DUMMYFUNCTION("""COMPUTED_VALUE"""),"Yes")</f>
        <v>Yes</v>
      </c>
      <c r="AD1061" s="8" t="str">
        <f ca="1">IFERROR(__xludf.DUMMYFUNCTION("""COMPUTED_VALUE"""),"Victims Targeted")</f>
        <v>Victims Targeted</v>
      </c>
      <c r="AE1061" s="8" t="str">
        <f ca="1">IFERROR(__xludf.DUMMYFUNCTION("""COMPUTED_VALUE"""),"No")</f>
        <v>No</v>
      </c>
      <c r="AF1061" s="8"/>
      <c r="AG1061" s="8" t="str">
        <f ca="1">IFERROR(__xludf.DUMMYFUNCTION("""COMPUTED_VALUE"""),"No")</f>
        <v>No</v>
      </c>
      <c r="AH1061" s="8" t="str">
        <f ca="1">IFERROR(__xludf.DUMMYFUNCTION("""COMPUTED_VALUE"""),"No")</f>
        <v>No</v>
      </c>
      <c r="AI1061" s="8" t="str">
        <f ca="1">IFERROR(__xludf.DUMMYFUNCTION("""COMPUTED_VALUE"""),"No")</f>
        <v>No</v>
      </c>
      <c r="AJ1061" s="8"/>
      <c r="AK1061" s="8" t="str">
        <f ca="1">IFERROR(__xludf.DUMMYFUNCTION("""COMPUTED_VALUE"""),"No")</f>
        <v>No</v>
      </c>
      <c r="AL1061" s="8" t="str">
        <f ca="1">IFERROR(__xludf.DUMMYFUNCTION("""COMPUTED_VALUE"""),"No")</f>
        <v>No</v>
      </c>
      <c r="AM1061" s="8" t="str">
        <f ca="1">IFERROR(__xludf.DUMMYFUNCTION("""COMPUTED_VALUE"""),"No")</f>
        <v>No</v>
      </c>
      <c r="AN1061" s="8"/>
      <c r="AO1061" s="8" t="str">
        <f ca="1">IFERROR(__xludf.DUMMYFUNCTION("""COMPUTED_VALUE"""),"No")</f>
        <v>No</v>
      </c>
      <c r="AP1061" s="8"/>
      <c r="AQ1061" s="8"/>
      <c r="AR1061" s="8"/>
      <c r="AS1061" s="8">
        <f ca="1">IFERROR(__xludf.DUMMYFUNCTION("""COMPUTED_VALUE"""),1)</f>
        <v>1</v>
      </c>
      <c r="AT1061" s="8" t="str">
        <f ca="1">IFERROR(__xludf.DUMMYFUNCTION("""COMPUTED_VALUE"""),"Yes")</f>
        <v>Yes</v>
      </c>
      <c r="AU1061" s="8">
        <f ca="1">IFERROR(__xludf.DUMMYFUNCTION("""COMPUTED_VALUE"""),46.480186)</f>
        <v>46.480186000000003</v>
      </c>
      <c r="AV1061" s="8">
        <f ca="1">IFERROR(__xludf.DUMMYFUNCTION("""COMPUTED_VALUE"""),-87.729885)</f>
        <v>-87.729884999999996</v>
      </c>
      <c r="AW1061" s="8"/>
      <c r="AX1061" s="8">
        <f ca="1">IFERROR(__xludf.DUMMYFUNCTION("""COMPUTED_VALUE"""),49849)</f>
        <v>49849</v>
      </c>
    </row>
    <row r="1062" spans="1:50" ht="60" x14ac:dyDescent="0.2">
      <c r="A1062" s="8" t="str">
        <f ca="1">IFERROR(__xludf.DUMMYFUNCTION("""COMPUTED_VALUE"""),"20220426GASOM")</f>
        <v>20220426GASOM</v>
      </c>
      <c r="B1062" s="8">
        <f ca="1">IFERROR(__xludf.DUMMYFUNCTION("""COMPUTED_VALUE"""),4)</f>
        <v>4</v>
      </c>
      <c r="C1062" s="8">
        <f ca="1">IFERROR(__xludf.DUMMYFUNCTION("""COMPUTED_VALUE"""),26)</f>
        <v>26</v>
      </c>
      <c r="D1062" s="8">
        <f ca="1">IFERROR(__xludf.DUMMYFUNCTION("""COMPUTED_VALUE"""),2022)</f>
        <v>2022</v>
      </c>
      <c r="E1062" s="9">
        <f ca="1">IFERROR(__xludf.DUMMYFUNCTION("""COMPUTED_VALUE"""),44677)</f>
        <v>44677</v>
      </c>
      <c r="F1062" s="8" t="str">
        <f ca="1">IFERROR(__xludf.DUMMYFUNCTION("""COMPUTED_VALUE"""),"Southwest High School")</f>
        <v>Southwest High School</v>
      </c>
      <c r="G1062" s="8">
        <f ca="1">IFERROR(__xludf.DUMMYFUNCTION("""COMPUTED_VALUE"""),1)</f>
        <v>1</v>
      </c>
      <c r="H1062" s="8">
        <f ca="1">IFERROR(__xludf.DUMMYFUNCTION("""COMPUTED_VALUE"""),0)</f>
        <v>0</v>
      </c>
      <c r="I1062" s="8">
        <f ca="1">IFERROR(__xludf.DUMMYFUNCTION("""COMPUTED_VALUE"""),1)</f>
        <v>1</v>
      </c>
      <c r="J1062" s="8">
        <f ca="1">IFERROR(__xludf.DUMMYFUNCTION("""COMPUTED_VALUE"""),0)</f>
        <v>0</v>
      </c>
      <c r="K1062" s="8" t="str">
        <f ca="1">IFERROR(__xludf.DUMMYFUNCTION("""COMPUTED_VALUE"""),"https://wgxa.tv/news/local/15-year-old-shot-and-killed-in-macon-found-near-southwest-high-school https://www.13wmaz.com/article/news/crime/coroner-macon-15-year-old-dies-after-being-shot-near-southwest-high-school-2/93-b1cac6c7-0a2e-4915-9e26-2865b986be1c")</f>
        <v>https://wgxa.tv/news/local/15-year-old-shot-and-killed-in-macon-found-near-southwest-high-school https://www.13wmaz.com/article/news/crime/coroner-macon-15-year-old-dies-after-being-shot-near-southwest-high-school-2/93-b1cac6c7-0a2e-4915-9e26-2865b986be1c</v>
      </c>
      <c r="L1062" s="8">
        <f ca="1">IFERROR(__xludf.DUMMYFUNCTION("""COMPUTED_VALUE"""),2)</f>
        <v>2</v>
      </c>
      <c r="M1062" s="8" t="str">
        <f ca="1">IFERROR(__xludf.DUMMYFUNCTION("""COMPUTED_VALUE"""),"Local")</f>
        <v>Local</v>
      </c>
      <c r="N1062" s="8">
        <f ca="1">IFERROR(__xludf.DUMMYFUNCTION("""COMPUTED_VALUE"""),4)</f>
        <v>4</v>
      </c>
      <c r="O1062" s="8" t="str">
        <f ca="1">IFERROR(__xludf.DUMMYFUNCTION("""COMPUTED_VALUE"""),"Spring")</f>
        <v>Spring</v>
      </c>
      <c r="P1062" s="8" t="str">
        <f ca="1">IFERROR(__xludf.DUMMYFUNCTION("""COMPUTED_VALUE"""),"Macon")</f>
        <v>Macon</v>
      </c>
      <c r="Q1062" s="8" t="str">
        <f ca="1">IFERROR(__xludf.DUMMYFUNCTION("""COMPUTED_VALUE"""),"GA")</f>
        <v>GA</v>
      </c>
      <c r="R1062" s="8" t="str">
        <f ca="1">IFERROR(__xludf.DUMMYFUNCTION("""COMPUTED_VALUE"""),"High")</f>
        <v>High</v>
      </c>
      <c r="S1062" s="8" t="str">
        <f ca="1">IFERROR(__xludf.DUMMYFUNCTION("""COMPUTED_VALUE"""),"Parking Lot")</f>
        <v>Parking Lot</v>
      </c>
      <c r="T1062" s="8" t="str">
        <f ca="1">IFERROR(__xludf.DUMMYFUNCTION("""COMPUTED_VALUE"""),"Outside on School Property")</f>
        <v>Outside on School Property</v>
      </c>
      <c r="U1062" s="8" t="str">
        <f ca="1">IFERROR(__xludf.DUMMYFUNCTION("""COMPUTED_VALUE"""),"No")</f>
        <v>No</v>
      </c>
      <c r="V1062" s="8" t="str">
        <f ca="1">IFERROR(__xludf.DUMMYFUNCTION("""COMPUTED_VALUE"""),"Night")</f>
        <v>Night</v>
      </c>
      <c r="W1062" s="11">
        <f ca="1">IFERROR(__xludf.DUMMYFUNCTION("""COMPUTED_VALUE"""),0.9375)</f>
        <v>0.9375</v>
      </c>
      <c r="X1062" s="8">
        <f ca="1">IFERROR(__xludf.DUMMYFUNCTION("""COMPUTED_VALUE"""),1)</f>
        <v>1</v>
      </c>
      <c r="Y1062" s="12" t="str">
        <f ca="1">IFERROR(__xludf.DUMMYFUNCTION("""COMPUTED_VALUE"""),"Teen fatally shot multiple times, body left in school parking lot")</f>
        <v>Teen fatally shot multiple times, body left in school parking lot</v>
      </c>
      <c r="Z1062" s="12" t="str">
        <f ca="1">IFERROR(__xludf.DUMMYFUNCTION("""COMPUTED_VALUE"""),"A 15-year-old teen was shot multiple times in the parking lot of a sporting goods store .8 miles from the school. His body was left in the parking lot of the school. Shooter fled.")</f>
        <v>A 15-year-old teen was shot multiple times in the parking lot of a sporting goods store .8 miles from the school. His body was left in the parking lot of the school. Shooter fled.</v>
      </c>
      <c r="AA1062" s="8"/>
      <c r="AB1062" s="8"/>
      <c r="AC1062" s="8" t="str">
        <f ca="1">IFERROR(__xludf.DUMMYFUNCTION("""COMPUTED_VALUE"""),"Yes")</f>
        <v>Yes</v>
      </c>
      <c r="AD1062" s="8" t="str">
        <f ca="1">IFERROR(__xludf.DUMMYFUNCTION("""COMPUTED_VALUE"""),"Victims Targeted")</f>
        <v>Victims Targeted</v>
      </c>
      <c r="AE1062" s="8" t="str">
        <f ca="1">IFERROR(__xludf.DUMMYFUNCTION("""COMPUTED_VALUE"""),"Yes")</f>
        <v>Yes</v>
      </c>
      <c r="AF1062" s="8"/>
      <c r="AG1062" s="8" t="str">
        <f ca="1">IFERROR(__xludf.DUMMYFUNCTION("""COMPUTED_VALUE"""),"No")</f>
        <v>No</v>
      </c>
      <c r="AH1062" s="8" t="str">
        <f ca="1">IFERROR(__xludf.DUMMYFUNCTION("""COMPUTED_VALUE"""),"No")</f>
        <v>No</v>
      </c>
      <c r="AI1062" s="8" t="str">
        <f ca="1">IFERROR(__xludf.DUMMYFUNCTION("""COMPUTED_VALUE"""),"No")</f>
        <v>No</v>
      </c>
      <c r="AJ1062" s="8" t="str">
        <f ca="1">IFERROR(__xludf.DUMMYFUNCTION("""COMPUTED_VALUE"""),"No")</f>
        <v>No</v>
      </c>
      <c r="AK1062" s="8" t="str">
        <f ca="1">IFERROR(__xludf.DUMMYFUNCTION("""COMPUTED_VALUE"""),"No")</f>
        <v>No</v>
      </c>
      <c r="AL1062" s="8"/>
      <c r="AM1062" s="8" t="str">
        <f ca="1">IFERROR(__xludf.DUMMYFUNCTION("""COMPUTED_VALUE"""),"No")</f>
        <v>No</v>
      </c>
      <c r="AN1062" s="8"/>
      <c r="AO1062" s="8" t="str">
        <f ca="1">IFERROR(__xludf.DUMMYFUNCTION("""COMPUTED_VALUE"""),"No")</f>
        <v>No</v>
      </c>
      <c r="AP1062" s="8"/>
      <c r="AQ1062" s="8"/>
      <c r="AR1062" s="8" t="str">
        <f ca="1">IFERROR(__xludf.DUMMYFUNCTION("""COMPUTED_VALUE"""),"Outside/Off-Property")</f>
        <v>Outside/Off-Property</v>
      </c>
      <c r="AS1062" s="8"/>
      <c r="AT1062" s="8" t="str">
        <f ca="1">IFERROR(__xludf.DUMMYFUNCTION("""COMPUTED_VALUE"""),"No")</f>
        <v>No</v>
      </c>
      <c r="AU1062" s="8">
        <f ca="1">IFERROR(__xludf.DUMMYFUNCTION("""COMPUTED_VALUE"""),32.807769)</f>
        <v>32.807769</v>
      </c>
      <c r="AV1062" s="8">
        <f ca="1">IFERROR(__xludf.DUMMYFUNCTION("""COMPUTED_VALUE"""),-83.675062)</f>
        <v>-83.675061999999997</v>
      </c>
      <c r="AW1062" s="8"/>
      <c r="AX1062" s="8">
        <f ca="1">IFERROR(__xludf.DUMMYFUNCTION("""COMPUTED_VALUE"""),31206)</f>
        <v>31206</v>
      </c>
    </row>
    <row r="1063" spans="1:50" ht="60" x14ac:dyDescent="0.2">
      <c r="A1063" s="8" t="str">
        <f ca="1">IFERROR(__xludf.DUMMYFUNCTION("""COMPUTED_VALUE"""),"20220425WIWIM")</f>
        <v>20220425WIWIM</v>
      </c>
      <c r="B1063" s="8">
        <f ca="1">IFERROR(__xludf.DUMMYFUNCTION("""COMPUTED_VALUE"""),4)</f>
        <v>4</v>
      </c>
      <c r="C1063" s="8">
        <f ca="1">IFERROR(__xludf.DUMMYFUNCTION("""COMPUTED_VALUE"""),25)</f>
        <v>25</v>
      </c>
      <c r="D1063" s="8">
        <f ca="1">IFERROR(__xludf.DUMMYFUNCTION("""COMPUTED_VALUE"""),2022)</f>
        <v>2022</v>
      </c>
      <c r="E1063" s="9">
        <f ca="1">IFERROR(__xludf.DUMMYFUNCTION("""COMPUTED_VALUE"""),44676)</f>
        <v>44676</v>
      </c>
      <c r="F1063" s="8" t="str">
        <f ca="1">IFERROR(__xludf.DUMMYFUNCTION("""COMPUTED_VALUE"""),"Wisconsin Conservatory of Lifelong Learning")</f>
        <v>Wisconsin Conservatory of Lifelong Learning</v>
      </c>
      <c r="G1063" s="8">
        <f ca="1">IFERROR(__xludf.DUMMYFUNCTION("""COMPUTED_VALUE"""),0)</f>
        <v>0</v>
      </c>
      <c r="H1063" s="8">
        <f ca="1">IFERROR(__xludf.DUMMYFUNCTION("""COMPUTED_VALUE"""),0)</f>
        <v>0</v>
      </c>
      <c r="I1063" s="8">
        <f ca="1">IFERROR(__xludf.DUMMYFUNCTION("""COMPUTED_VALUE"""),0)</f>
        <v>0</v>
      </c>
      <c r="J1063" s="8">
        <f ca="1">IFERROR(__xludf.DUMMYFUNCTION("""COMPUTED_VALUE"""),0)</f>
        <v>0</v>
      </c>
      <c r="K1063" s="8" t="str">
        <f ca="1">IFERROR(__xludf.DUMMYFUNCTION("""COMPUTED_VALUE"""),"https://www.fox6now.com/news/school-bus-hit-gunfire-milwaukee-police-suspects https://www.tmj4.com/news/local-news/several-people-exchange-gunfire-during-argument-striking-2-school-buses")</f>
        <v>https://www.fox6now.com/news/school-bus-hit-gunfire-milwaukee-police-suspects https://www.tmj4.com/news/local-news/several-people-exchange-gunfire-during-argument-striking-2-school-buses</v>
      </c>
      <c r="L1063" s="8">
        <f ca="1">IFERROR(__xludf.DUMMYFUNCTION("""COMPUTED_VALUE"""),5)</f>
        <v>5</v>
      </c>
      <c r="M1063" s="8" t="str">
        <f ca="1">IFERROR(__xludf.DUMMYFUNCTION("""COMPUTED_VALUE"""),"Local")</f>
        <v>Local</v>
      </c>
      <c r="N1063" s="8">
        <f ca="1">IFERROR(__xludf.DUMMYFUNCTION("""COMPUTED_VALUE"""),4)</f>
        <v>4</v>
      </c>
      <c r="O1063" s="8" t="str">
        <f ca="1">IFERROR(__xludf.DUMMYFUNCTION("""COMPUTED_VALUE"""),"Spring")</f>
        <v>Spring</v>
      </c>
      <c r="P1063" s="8" t="str">
        <f ca="1">IFERROR(__xludf.DUMMYFUNCTION("""COMPUTED_VALUE"""),"Milwaukee")</f>
        <v>Milwaukee</v>
      </c>
      <c r="Q1063" s="8" t="str">
        <f ca="1">IFERROR(__xludf.DUMMYFUNCTION("""COMPUTED_VALUE"""),"WI")</f>
        <v>WI</v>
      </c>
      <c r="R1063" s="13">
        <f ca="1">IFERROR(__xludf.DUMMYFUNCTION("""COMPUTED_VALUE"""),44724)</f>
        <v>44724</v>
      </c>
      <c r="S1063" s="8" t="str">
        <f ca="1">IFERROR(__xludf.DUMMYFUNCTION("""COMPUTED_VALUE"""),"Front of School")</f>
        <v>Front of School</v>
      </c>
      <c r="T1063" s="8" t="str">
        <f ca="1">IFERROR(__xludf.DUMMYFUNCTION("""COMPUTED_VALUE"""),"Outside on School Property")</f>
        <v>Outside on School Property</v>
      </c>
      <c r="U1063" s="8" t="str">
        <f ca="1">IFERROR(__xludf.DUMMYFUNCTION("""COMPUTED_VALUE"""),"Yes")</f>
        <v>Yes</v>
      </c>
      <c r="V1063" s="8" t="str">
        <f ca="1">IFERROR(__xludf.DUMMYFUNCTION("""COMPUTED_VALUE"""),"Dismissal")</f>
        <v>Dismissal</v>
      </c>
      <c r="W1063" s="11">
        <f ca="1">IFERROR(__xludf.DUMMYFUNCTION("""COMPUTED_VALUE"""),0.625)</f>
        <v>0.625</v>
      </c>
      <c r="X1063" s="8">
        <f ca="1">IFERROR(__xludf.DUMMYFUNCTION("""COMPUTED_VALUE"""),1)</f>
        <v>1</v>
      </c>
      <c r="Y1063" s="12" t="str">
        <f ca="1">IFERROR(__xludf.DUMMYFUNCTION("""COMPUTED_VALUE"""),"Multiple people fired shots during a fight striking 2 schools buses")</f>
        <v>Multiple people fired shots during a fight striking 2 schools buses</v>
      </c>
      <c r="Z1063" s="12" t="str">
        <f ca="1">IFERROR(__xludf.DUMMYFUNCTION("""COMPUTED_VALUE"""),"Multiple people fired shots during a fight outside of the school. Shots struck two school buses. School went on lockdown and delayed dismissal. Shooters fled.")</f>
        <v>Multiple people fired shots during a fight outside of the school. Shots struck two school buses. School went on lockdown and delayed dismissal. Shooters fled.</v>
      </c>
      <c r="AA1063" s="8" t="str">
        <f ca="1">IFERROR(__xludf.DUMMYFUNCTION("""COMPUTED_VALUE"""),"Escalation of Dispute")</f>
        <v>Escalation of Dispute</v>
      </c>
      <c r="AB1063" s="8"/>
      <c r="AC1063" s="8" t="str">
        <f ca="1">IFERROR(__xludf.DUMMYFUNCTION("""COMPUTED_VALUE"""),"Yes")</f>
        <v>Yes</v>
      </c>
      <c r="AD1063" s="8" t="str">
        <f ca="1">IFERROR(__xludf.DUMMYFUNCTION("""COMPUTED_VALUE"""),"Victims Targeted")</f>
        <v>Victims Targeted</v>
      </c>
      <c r="AE1063" s="8" t="str">
        <f ca="1">IFERROR(__xludf.DUMMYFUNCTION("""COMPUTED_VALUE"""),"Yes")</f>
        <v>Yes</v>
      </c>
      <c r="AF1063" s="8" t="str">
        <f ca="1">IFERROR(__xludf.DUMMYFUNCTION("""COMPUTED_VALUE"""),"Multiple shooters")</f>
        <v>Multiple shooters</v>
      </c>
      <c r="AG1063" s="8" t="str">
        <f ca="1">IFERROR(__xludf.DUMMYFUNCTION("""COMPUTED_VALUE"""),"No")</f>
        <v>No</v>
      </c>
      <c r="AH1063" s="8" t="str">
        <f ca="1">IFERROR(__xludf.DUMMYFUNCTION("""COMPUTED_VALUE"""),"No")</f>
        <v>No</v>
      </c>
      <c r="AI1063" s="8" t="str">
        <f ca="1">IFERROR(__xludf.DUMMYFUNCTION("""COMPUTED_VALUE"""),"No")</f>
        <v>No</v>
      </c>
      <c r="AJ1063" s="8" t="str">
        <f ca="1">IFERROR(__xludf.DUMMYFUNCTION("""COMPUTED_VALUE"""),"No")</f>
        <v>No</v>
      </c>
      <c r="AK1063" s="8" t="str">
        <f ca="1">IFERROR(__xludf.DUMMYFUNCTION("""COMPUTED_VALUE"""),"No")</f>
        <v>No</v>
      </c>
      <c r="AL1063" s="8"/>
      <c r="AM1063" s="8" t="str">
        <f ca="1">IFERROR(__xludf.DUMMYFUNCTION("""COMPUTED_VALUE"""),"No")</f>
        <v>No</v>
      </c>
      <c r="AN1063" s="8"/>
      <c r="AO1063" s="8" t="str">
        <f ca="1">IFERROR(__xludf.DUMMYFUNCTION("""COMPUTED_VALUE"""),"No")</f>
        <v>No</v>
      </c>
      <c r="AP1063" s="8"/>
      <c r="AQ1063" s="8"/>
      <c r="AR1063" s="8" t="str">
        <f ca="1">IFERROR(__xludf.DUMMYFUNCTION("""COMPUTED_VALUE"""),"Outside/Off-Property")</f>
        <v>Outside/Off-Property</v>
      </c>
      <c r="AS1063" s="8">
        <f ca="1">IFERROR(__xludf.DUMMYFUNCTION("""COMPUTED_VALUE"""),99)</f>
        <v>99</v>
      </c>
      <c r="AT1063" s="8" t="str">
        <f ca="1">IFERROR(__xludf.DUMMYFUNCTION("""COMPUTED_VALUE"""),"Yes")</f>
        <v>Yes</v>
      </c>
      <c r="AU1063" s="8">
        <f ca="1">IFERROR(__xludf.DUMMYFUNCTION("""COMPUTED_VALUE"""),43.043401)</f>
        <v>43.043401000000003</v>
      </c>
      <c r="AV1063" s="8">
        <f ca="1">IFERROR(__xludf.DUMMYFUNCTION("""COMPUTED_VALUE"""),-87.928054)</f>
        <v>-87.928054000000003</v>
      </c>
      <c r="AW1063" s="8"/>
      <c r="AX1063" s="8">
        <f ca="1">IFERROR(__xludf.DUMMYFUNCTION("""COMPUTED_VALUE"""),53233)</f>
        <v>53233</v>
      </c>
    </row>
    <row r="1064" spans="1:50" ht="60" x14ac:dyDescent="0.2">
      <c r="A1064" s="8" t="str">
        <f ca="1">IFERROR(__xludf.DUMMYFUNCTION("""COMPUTED_VALUE"""),"20220425GAMAM")</f>
        <v>20220425GAMAM</v>
      </c>
      <c r="B1064" s="8">
        <f ca="1">IFERROR(__xludf.DUMMYFUNCTION("""COMPUTED_VALUE"""),4)</f>
        <v>4</v>
      </c>
      <c r="C1064" s="8">
        <f ca="1">IFERROR(__xludf.DUMMYFUNCTION("""COMPUTED_VALUE"""),25)</f>
        <v>25</v>
      </c>
      <c r="D1064" s="8">
        <f ca="1">IFERROR(__xludf.DUMMYFUNCTION("""COMPUTED_VALUE"""),2022)</f>
        <v>2022</v>
      </c>
      <c r="E1064" s="9">
        <f ca="1">IFERROR(__xludf.DUMMYFUNCTION("""COMPUTED_VALUE"""),44676)</f>
        <v>44676</v>
      </c>
      <c r="F1064" s="8" t="str">
        <f ca="1">IFERROR(__xludf.DUMMYFUNCTION("""COMPUTED_VALUE"""),"Marietta City Schools Bus Yard")</f>
        <v>Marietta City Schools Bus Yard</v>
      </c>
      <c r="G1064" s="8">
        <f ca="1">IFERROR(__xludf.DUMMYFUNCTION("""COMPUTED_VALUE"""),0)</f>
        <v>0</v>
      </c>
      <c r="H1064" s="8">
        <f ca="1">IFERROR(__xludf.DUMMYFUNCTION("""COMPUTED_VALUE"""),0)</f>
        <v>0</v>
      </c>
      <c r="I1064" s="8">
        <f ca="1">IFERROR(__xludf.DUMMYFUNCTION("""COMPUTED_VALUE"""),0)</f>
        <v>0</v>
      </c>
      <c r="J1064" s="8">
        <f ca="1">IFERROR(__xludf.DUMMYFUNCTION("""COMPUTED_VALUE"""),0)</f>
        <v>0</v>
      </c>
      <c r="K1064" s="10" t="str">
        <f ca="1">IFERROR(__xludf.DUMMYFUNCTION("""COMPUTED_VALUE"""),"https://www.fox5atlanta.com/news/marietta-school-buses-windshield-shot")</f>
        <v>https://www.fox5atlanta.com/news/marietta-school-buses-windshield-shot</v>
      </c>
      <c r="L1064" s="8">
        <f ca="1">IFERROR(__xludf.DUMMYFUNCTION("""COMPUTED_VALUE"""),1)</f>
        <v>1</v>
      </c>
      <c r="M1064" s="8" t="str">
        <f ca="1">IFERROR(__xludf.DUMMYFUNCTION("""COMPUTED_VALUE"""),"Local")</f>
        <v>Local</v>
      </c>
      <c r="N1064" s="8">
        <f ca="1">IFERROR(__xludf.DUMMYFUNCTION("""COMPUTED_VALUE"""),4)</f>
        <v>4</v>
      </c>
      <c r="O1064" s="8" t="str">
        <f ca="1">IFERROR(__xludf.DUMMYFUNCTION("""COMPUTED_VALUE"""),"Spring")</f>
        <v>Spring</v>
      </c>
      <c r="P1064" s="8" t="str">
        <f ca="1">IFERROR(__xludf.DUMMYFUNCTION("""COMPUTED_VALUE"""),"Marietta")</f>
        <v>Marietta</v>
      </c>
      <c r="Q1064" s="8" t="str">
        <f ca="1">IFERROR(__xludf.DUMMYFUNCTION("""COMPUTED_VALUE"""),"GA")</f>
        <v>GA</v>
      </c>
      <c r="R1064" s="8" t="str">
        <f ca="1">IFERROR(__xludf.DUMMYFUNCTION("""COMPUTED_VALUE"""),"Other")</f>
        <v>Other</v>
      </c>
      <c r="S1064" s="8" t="str">
        <f ca="1">IFERROR(__xludf.DUMMYFUNCTION("""COMPUTED_VALUE"""),"Parking Lot (Bus)")</f>
        <v>Parking Lot (Bus)</v>
      </c>
      <c r="T1064" s="8" t="str">
        <f ca="1">IFERROR(__xludf.DUMMYFUNCTION("""COMPUTED_VALUE"""),"School Bus")</f>
        <v>School Bus</v>
      </c>
      <c r="U1064" s="8" t="str">
        <f ca="1">IFERROR(__xludf.DUMMYFUNCTION("""COMPUTED_VALUE"""),"No")</f>
        <v>No</v>
      </c>
      <c r="V1064" s="8" t="str">
        <f ca="1">IFERROR(__xludf.DUMMYFUNCTION("""COMPUTED_VALUE"""),"Night")</f>
        <v>Night</v>
      </c>
      <c r="W1064" s="11">
        <f ca="1">IFERROR(__xludf.DUMMYFUNCTION("""COMPUTED_VALUE"""),0.875)</f>
        <v>0.875</v>
      </c>
      <c r="X1064" s="8">
        <f ca="1">IFERROR(__xludf.DUMMYFUNCTION("""COMPUTED_VALUE"""),10)</f>
        <v>10</v>
      </c>
      <c r="Y1064" s="12" t="str">
        <f ca="1">IFERROR(__xludf.DUMMYFUNCTION("""COMPUTED_VALUE"""),"Woman fired pellet gun at 15 school buses")</f>
        <v>Woman fired pellet gun at 15 school buses</v>
      </c>
      <c r="Z1064" s="12" t="str">
        <f ca="1">IFERROR(__xludf.DUMMYFUNCTION("""COMPUTED_VALUE"""),"An adult woman fired a pellet gun at the windshields of 15 school buses. Some of the buses were shot multiple times. Damage was found in the morning and shooting was recorded on CCTV.")</f>
        <v>An adult woman fired a pellet gun at the windshields of 15 school buses. Some of the buses were shot multiple times. Damage was found in the morning and shooting was recorded on CCTV.</v>
      </c>
      <c r="AA1064" s="8" t="str">
        <f ca="1">IFERROR(__xludf.DUMMYFUNCTION("""COMPUTED_VALUE"""),"Intentional Property Damage")</f>
        <v>Intentional Property Damage</v>
      </c>
      <c r="AB1064" s="8"/>
      <c r="AC1064" s="8" t="str">
        <f ca="1">IFERROR(__xludf.DUMMYFUNCTION("""COMPUTED_VALUE"""),"No")</f>
        <v>No</v>
      </c>
      <c r="AD1064" s="8" t="str">
        <f ca="1">IFERROR(__xludf.DUMMYFUNCTION("""COMPUTED_VALUE"""),"Random Shooting")</f>
        <v>Random Shooting</v>
      </c>
      <c r="AE1064" s="8" t="str">
        <f ca="1">IFERROR(__xludf.DUMMYFUNCTION("""COMPUTED_VALUE"""),"No")</f>
        <v>No</v>
      </c>
      <c r="AF1064" s="8"/>
      <c r="AG1064" s="8" t="str">
        <f ca="1">IFERROR(__xludf.DUMMYFUNCTION("""COMPUTED_VALUE"""),"No")</f>
        <v>No</v>
      </c>
      <c r="AH1064" s="8" t="str">
        <f ca="1">IFERROR(__xludf.DUMMYFUNCTION("""COMPUTED_VALUE"""),"No")</f>
        <v>No</v>
      </c>
      <c r="AI1064" s="8" t="str">
        <f ca="1">IFERROR(__xludf.DUMMYFUNCTION("""COMPUTED_VALUE"""),"No")</f>
        <v>No</v>
      </c>
      <c r="AJ1064" s="8" t="str">
        <f ca="1">IFERROR(__xludf.DUMMYFUNCTION("""COMPUTED_VALUE"""),"No")</f>
        <v>No</v>
      </c>
      <c r="AK1064" s="8" t="str">
        <f ca="1">IFERROR(__xludf.DUMMYFUNCTION("""COMPUTED_VALUE"""),"No")</f>
        <v>No</v>
      </c>
      <c r="AL1064" s="8" t="str">
        <f ca="1">IFERROR(__xludf.DUMMYFUNCTION("""COMPUTED_VALUE"""),"No")</f>
        <v>No</v>
      </c>
      <c r="AM1064" s="8" t="str">
        <f ca="1">IFERROR(__xludf.DUMMYFUNCTION("""COMPUTED_VALUE"""),"No")</f>
        <v>No</v>
      </c>
      <c r="AN1064" s="8"/>
      <c r="AO1064" s="8" t="str">
        <f ca="1">IFERROR(__xludf.DUMMYFUNCTION("""COMPUTED_VALUE"""),"No")</f>
        <v>No</v>
      </c>
      <c r="AP1064" s="8"/>
      <c r="AQ1064" s="8"/>
      <c r="AR1064" s="8" t="str">
        <f ca="1">IFERROR(__xludf.DUMMYFUNCTION("""COMPUTED_VALUE"""),"Outside/Off-Property")</f>
        <v>Outside/Off-Property</v>
      </c>
      <c r="AS1064" s="8">
        <f ca="1">IFERROR(__xludf.DUMMYFUNCTION("""COMPUTED_VALUE"""),99)</f>
        <v>99</v>
      </c>
      <c r="AT1064" s="8"/>
      <c r="AU1064" s="8">
        <f ca="1">IFERROR(__xludf.DUMMYFUNCTION("""COMPUTED_VALUE"""),33.936079)</f>
        <v>33.936078999999999</v>
      </c>
      <c r="AV1064" s="8">
        <f ca="1">IFERROR(__xludf.DUMMYFUNCTION("""COMPUTED_VALUE"""),-84.530053)</f>
        <v>-84.530052999999995</v>
      </c>
      <c r="AW1064" s="8"/>
      <c r="AX1064" s="8">
        <f ca="1">IFERROR(__xludf.DUMMYFUNCTION("""COMPUTED_VALUE"""),30060)</f>
        <v>30060</v>
      </c>
    </row>
    <row r="1065" spans="1:50" ht="60" x14ac:dyDescent="0.2">
      <c r="A1065" s="8" t="str">
        <f ca="1">IFERROR(__xludf.DUMMYFUNCTION("""COMPUTED_VALUE"""),"20220424MOHAF")</f>
        <v>20220424MOHAF</v>
      </c>
      <c r="B1065" s="8">
        <f ca="1">IFERROR(__xludf.DUMMYFUNCTION("""COMPUTED_VALUE"""),4)</f>
        <v>4</v>
      </c>
      <c r="C1065" s="8">
        <f ca="1">IFERROR(__xludf.DUMMYFUNCTION("""COMPUTED_VALUE"""),24)</f>
        <v>24</v>
      </c>
      <c r="D1065" s="8">
        <f ca="1">IFERROR(__xludf.DUMMYFUNCTION("""COMPUTED_VALUE"""),2022)</f>
        <v>2022</v>
      </c>
      <c r="E1065" s="9">
        <f ca="1">IFERROR(__xludf.DUMMYFUNCTION("""COMPUTED_VALUE"""),44675)</f>
        <v>44675</v>
      </c>
      <c r="F1065" s="8" t="str">
        <f ca="1">IFERROR(__xludf.DUMMYFUNCTION("""COMPUTED_VALUE"""),"Hazelwood Central High School")</f>
        <v>Hazelwood Central High School</v>
      </c>
      <c r="G1065" s="8">
        <f ca="1">IFERROR(__xludf.DUMMYFUNCTION("""COMPUTED_VALUE"""),1)</f>
        <v>1</v>
      </c>
      <c r="H1065" s="8">
        <f ca="1">IFERROR(__xludf.DUMMYFUNCTION("""COMPUTED_VALUE"""),0)</f>
        <v>0</v>
      </c>
      <c r="I1065" s="8">
        <f ca="1">IFERROR(__xludf.DUMMYFUNCTION("""COMPUTED_VALUE"""),1)</f>
        <v>1</v>
      </c>
      <c r="J1065" s="8">
        <f ca="1">IFERROR(__xludf.DUMMYFUNCTION("""COMPUTED_VALUE"""),0)</f>
        <v>0</v>
      </c>
      <c r="K1065" s="8" t="str">
        <f ca="1">IFERROR(__xludf.DUMMYFUNCTION("""COMPUTED_VALUE"""),"https://www.ksdk.com/article/news/crime/teens-charged-murder-fatal-shooting-hazelwood-central-parking-lot/63-a5b02d64-c0e6-45ef-82a5-8d3925a76bf0 https://www.ksdk.com/article/news/crime/fatal-shooting-outside-hazelwood-central-high-school-florissant/63-f2"&amp;"c1a3ad-663e-4606-a350-7bd92553e48a https://www.kmov.com/2022/04/24/man-found-fatally-shot-parking-lot-hazelwood-central-high-school/ https://fox2now.com/news/missouri/man-shot-and-killed-in-hazelwood-central-high-school-parking-lot/")</f>
        <v>https://www.ksdk.com/article/news/crime/teens-charged-murder-fatal-shooting-hazelwood-central-parking-lot/63-a5b02d64-c0e6-45ef-82a5-8d3925a76bf0 https://www.ksdk.com/article/news/crime/fatal-shooting-outside-hazelwood-central-high-school-florissant/63-f2c1a3ad-663e-4606-a350-7bd92553e48a https://www.kmov.com/2022/04/24/man-found-fatally-shot-parking-lot-hazelwood-central-high-school/ https://fox2now.com/news/missouri/man-shot-and-killed-in-hazelwood-central-high-school-parking-lot/</v>
      </c>
      <c r="L1065" s="8">
        <f ca="1">IFERROR(__xludf.DUMMYFUNCTION("""COMPUTED_VALUE"""),5)</f>
        <v>5</v>
      </c>
      <c r="M1065" s="8" t="str">
        <f ca="1">IFERROR(__xludf.DUMMYFUNCTION("""COMPUTED_VALUE"""),"Local")</f>
        <v>Local</v>
      </c>
      <c r="N1065" s="8">
        <f ca="1">IFERROR(__xludf.DUMMYFUNCTION("""COMPUTED_VALUE"""),4)</f>
        <v>4</v>
      </c>
      <c r="O1065" s="8" t="str">
        <f ca="1">IFERROR(__xludf.DUMMYFUNCTION("""COMPUTED_VALUE"""),"Spring")</f>
        <v>Spring</v>
      </c>
      <c r="P1065" s="8" t="str">
        <f ca="1">IFERROR(__xludf.DUMMYFUNCTION("""COMPUTED_VALUE"""),"Florissant")</f>
        <v>Florissant</v>
      </c>
      <c r="Q1065" s="8" t="str">
        <f ca="1">IFERROR(__xludf.DUMMYFUNCTION("""COMPUTED_VALUE"""),"MO")</f>
        <v>MO</v>
      </c>
      <c r="R1065" s="8" t="str">
        <f ca="1">IFERROR(__xludf.DUMMYFUNCTION("""COMPUTED_VALUE"""),"High")</f>
        <v>High</v>
      </c>
      <c r="S1065" s="8" t="str">
        <f ca="1">IFERROR(__xludf.DUMMYFUNCTION("""COMPUTED_VALUE"""),"Parking Lot")</f>
        <v>Parking Lot</v>
      </c>
      <c r="T1065" s="8" t="str">
        <f ca="1">IFERROR(__xludf.DUMMYFUNCTION("""COMPUTED_VALUE"""),"Outside on School Property")</f>
        <v>Outside on School Property</v>
      </c>
      <c r="U1065" s="8" t="str">
        <f ca="1">IFERROR(__xludf.DUMMYFUNCTION("""COMPUTED_VALUE"""),"No")</f>
        <v>No</v>
      </c>
      <c r="V1065" s="8" t="str">
        <f ca="1">IFERROR(__xludf.DUMMYFUNCTION("""COMPUTED_VALUE"""),"Not a School Day")</f>
        <v>Not a School Day</v>
      </c>
      <c r="W1065" s="11">
        <f ca="1">IFERROR(__xludf.DUMMYFUNCTION("""COMPUTED_VALUE"""),0.25)</f>
        <v>0.25</v>
      </c>
      <c r="X1065" s="8">
        <f ca="1">IFERROR(__xludf.DUMMYFUNCTION("""COMPUTED_VALUE"""),1)</f>
        <v>1</v>
      </c>
      <c r="Y1065" s="12" t="str">
        <f ca="1">IFERROR(__xludf.DUMMYFUNCTION("""COMPUTED_VALUE"""),"Two teens fatally shot cab driver in school parking lot during robbery")</f>
        <v>Two teens fatally shot cab driver in school parking lot during robbery</v>
      </c>
      <c r="Z1065" s="12" t="str">
        <f ca="1">IFERROR(__xludf.DUMMYFUNCTION("""COMPUTED_VALUE"""),"A adult man was found fatally shot in the school parking lot. Two teens fatally shot a cab driver during an attempted robbery. Arrested 2 days later.")</f>
        <v>A adult man was found fatally shot in the school parking lot. Two teens fatally shot a cab driver during an attempted robbery. Arrested 2 days later.</v>
      </c>
      <c r="AA1065" s="8" t="str">
        <f ca="1">IFERROR(__xludf.DUMMYFUNCTION("""COMPUTED_VALUE"""),"Illegal Activity")</f>
        <v>Illegal Activity</v>
      </c>
      <c r="AB1065" s="8"/>
      <c r="AC1065" s="8" t="str">
        <f ca="1">IFERROR(__xludf.DUMMYFUNCTION("""COMPUTED_VALUE"""),"No")</f>
        <v>No</v>
      </c>
      <c r="AD1065" s="8" t="str">
        <f ca="1">IFERROR(__xludf.DUMMYFUNCTION("""COMPUTED_VALUE"""),"Victims Targeted")</f>
        <v>Victims Targeted</v>
      </c>
      <c r="AE1065" s="8" t="str">
        <f ca="1">IFERROR(__xludf.DUMMYFUNCTION("""COMPUTED_VALUE"""),"Yes")</f>
        <v>Yes</v>
      </c>
      <c r="AF1065" s="8" t="str">
        <f ca="1">IFERROR(__xludf.DUMMYFUNCTION("""COMPUTED_VALUE"""),"Two teens")</f>
        <v>Two teens</v>
      </c>
      <c r="AG1065" s="8" t="str">
        <f ca="1">IFERROR(__xludf.DUMMYFUNCTION("""COMPUTED_VALUE"""),"No")</f>
        <v>No</v>
      </c>
      <c r="AH1065" s="8" t="str">
        <f ca="1">IFERROR(__xludf.DUMMYFUNCTION("""COMPUTED_VALUE"""),"No")</f>
        <v>No</v>
      </c>
      <c r="AI1065" s="8" t="str">
        <f ca="1">IFERROR(__xludf.DUMMYFUNCTION("""COMPUTED_VALUE"""),"No")</f>
        <v>No</v>
      </c>
      <c r="AJ1065" s="8" t="str">
        <f ca="1">IFERROR(__xludf.DUMMYFUNCTION("""COMPUTED_VALUE"""),"No")</f>
        <v>No</v>
      </c>
      <c r="AK1065" s="8" t="str">
        <f ca="1">IFERROR(__xludf.DUMMYFUNCTION("""COMPUTED_VALUE"""),"No")</f>
        <v>No</v>
      </c>
      <c r="AL1065" s="8"/>
      <c r="AM1065" s="8" t="str">
        <f ca="1">IFERROR(__xludf.DUMMYFUNCTION("""COMPUTED_VALUE"""),"No")</f>
        <v>No</v>
      </c>
      <c r="AN1065" s="8"/>
      <c r="AO1065" s="8" t="str">
        <f ca="1">IFERROR(__xludf.DUMMYFUNCTION("""COMPUTED_VALUE"""),"No")</f>
        <v>No</v>
      </c>
      <c r="AP1065" s="8"/>
      <c r="AQ1065" s="8"/>
      <c r="AR1065" s="8" t="str">
        <f ca="1">IFERROR(__xludf.DUMMYFUNCTION("""COMPUTED_VALUE"""),"Outside/Off-Property")</f>
        <v>Outside/Off-Property</v>
      </c>
      <c r="AS1065" s="8"/>
      <c r="AT1065" s="8" t="str">
        <f ca="1">IFERROR(__xludf.DUMMYFUNCTION("""COMPUTED_VALUE"""),"No")</f>
        <v>No</v>
      </c>
      <c r="AU1065" s="8">
        <f ca="1">IFERROR(__xludf.DUMMYFUNCTION("""COMPUTED_VALUE"""),38.830599)</f>
        <v>38.830598999999999</v>
      </c>
      <c r="AV1065" s="8">
        <f ca="1">IFERROR(__xludf.DUMMYFUNCTION("""COMPUTED_VALUE"""),-90.315387)</f>
        <v>-90.315387000000001</v>
      </c>
      <c r="AW1065" s="8"/>
      <c r="AX1065" s="8">
        <f ca="1">IFERROR(__xludf.DUMMYFUNCTION("""COMPUTED_VALUE"""),63031)</f>
        <v>63031</v>
      </c>
    </row>
    <row r="1066" spans="1:50" ht="30" x14ac:dyDescent="0.2">
      <c r="A1066" s="8" t="str">
        <f ca="1">IFERROR(__xludf.DUMMYFUNCTION("""COMPUTED_VALUE"""),"20220422ORHOS")</f>
        <v>20220422ORHOS</v>
      </c>
      <c r="B1066" s="8">
        <f ca="1">IFERROR(__xludf.DUMMYFUNCTION("""COMPUTED_VALUE"""),4)</f>
        <v>4</v>
      </c>
      <c r="C1066" s="8">
        <f ca="1">IFERROR(__xludf.DUMMYFUNCTION("""COMPUTED_VALUE"""),22)</f>
        <v>22</v>
      </c>
      <c r="D1066" s="8">
        <f ca="1">IFERROR(__xludf.DUMMYFUNCTION("""COMPUTED_VALUE"""),2022)</f>
        <v>2022</v>
      </c>
      <c r="E1066" s="9">
        <f ca="1">IFERROR(__xludf.DUMMYFUNCTION("""COMPUTED_VALUE"""),44673)</f>
        <v>44673</v>
      </c>
      <c r="F1066" s="8" t="str">
        <f ca="1">IFERROR(__xludf.DUMMYFUNCTION("""COMPUTED_VALUE"""),"Houck Middle School")</f>
        <v>Houck Middle School</v>
      </c>
      <c r="G1066" s="8">
        <f ca="1">IFERROR(__xludf.DUMMYFUNCTION("""COMPUTED_VALUE"""),0)</f>
        <v>0</v>
      </c>
      <c r="H1066" s="8">
        <f ca="1">IFERROR(__xludf.DUMMYFUNCTION("""COMPUTED_VALUE"""),0)</f>
        <v>0</v>
      </c>
      <c r="I1066" s="8">
        <f ca="1">IFERROR(__xludf.DUMMYFUNCTION("""COMPUTED_VALUE"""),0)</f>
        <v>0</v>
      </c>
      <c r="J1066" s="8">
        <f ca="1">IFERROR(__xludf.DUMMYFUNCTION("""COMPUTED_VALUE"""),0)</f>
        <v>0</v>
      </c>
      <c r="K1066" s="10" t="str">
        <f ca="1">IFERROR(__xludf.DUMMYFUNCTION("""COMPUTED_VALUE"""),"https://www.kptv.com/2022/04/23/teen-arrested-after-shooting-near-salem-middle-school/")</f>
        <v>https://www.kptv.com/2022/04/23/teen-arrested-after-shooting-near-salem-middle-school/</v>
      </c>
      <c r="L1066" s="8">
        <f ca="1">IFERROR(__xludf.DUMMYFUNCTION("""COMPUTED_VALUE"""),1)</f>
        <v>1</v>
      </c>
      <c r="M1066" s="8" t="str">
        <f ca="1">IFERROR(__xludf.DUMMYFUNCTION("""COMPUTED_VALUE"""),"Local")</f>
        <v>Local</v>
      </c>
      <c r="N1066" s="8">
        <f ca="1">IFERROR(__xludf.DUMMYFUNCTION("""COMPUTED_VALUE"""),2)</f>
        <v>2</v>
      </c>
      <c r="O1066" s="8" t="str">
        <f ca="1">IFERROR(__xludf.DUMMYFUNCTION("""COMPUTED_VALUE"""),"Spring")</f>
        <v>Spring</v>
      </c>
      <c r="P1066" s="8" t="str">
        <f ca="1">IFERROR(__xludf.DUMMYFUNCTION("""COMPUTED_VALUE"""),"Salem")</f>
        <v>Salem</v>
      </c>
      <c r="Q1066" s="8" t="str">
        <f ca="1">IFERROR(__xludf.DUMMYFUNCTION("""COMPUTED_VALUE"""),"OR")</f>
        <v>OR</v>
      </c>
      <c r="R1066" s="8" t="str">
        <f ca="1">IFERROR(__xludf.DUMMYFUNCTION("""COMPUTED_VALUE"""),"Middle")</f>
        <v>Middle</v>
      </c>
      <c r="S1066" s="8" t="str">
        <f ca="1">IFERROR(__xludf.DUMMYFUNCTION("""COMPUTED_VALUE"""),"Outside on School Property")</f>
        <v>Outside on School Property</v>
      </c>
      <c r="T1066" s="8" t="str">
        <f ca="1">IFERROR(__xludf.DUMMYFUNCTION("""COMPUTED_VALUE"""),"Outside on School Property")</f>
        <v>Outside on School Property</v>
      </c>
      <c r="U1066" s="8" t="str">
        <f ca="1">IFERROR(__xludf.DUMMYFUNCTION("""COMPUTED_VALUE"""),"No")</f>
        <v>No</v>
      </c>
      <c r="V1066" s="8" t="str">
        <f ca="1">IFERROR(__xludf.DUMMYFUNCTION("""COMPUTED_VALUE"""),"Night")</f>
        <v>Night</v>
      </c>
      <c r="W1066" s="11">
        <f ca="1">IFERROR(__xludf.DUMMYFUNCTION("""COMPUTED_VALUE"""),0.996527777777777)</f>
        <v>0.99652777777777701</v>
      </c>
      <c r="X1066" s="8">
        <f ca="1">IFERROR(__xludf.DUMMYFUNCTION("""COMPUTED_VALUE"""),1)</f>
        <v>1</v>
      </c>
      <c r="Y1066" s="12" t="str">
        <f ca="1">IFERROR(__xludf.DUMMYFUNCTION("""COMPUTED_VALUE"""),"Teen fired shots near school")</f>
        <v>Teen fired shots near school</v>
      </c>
      <c r="Z1066" s="12" t="str">
        <f ca="1">IFERROR(__xludf.DUMMYFUNCTION("""COMPUTED_VALUE"""),"A teen fired shot near the school and fled the area. Tracked by K-9 and arrested away from school. No injuries.")</f>
        <v>A teen fired shot near the school and fled the area. Tracked by K-9 and arrested away from school. No injuries.</v>
      </c>
      <c r="AA1066" s="8"/>
      <c r="AB1066" s="8"/>
      <c r="AC1066" s="8" t="str">
        <f ca="1">IFERROR(__xludf.DUMMYFUNCTION("""COMPUTED_VALUE"""),"No")</f>
        <v>No</v>
      </c>
      <c r="AD1066" s="8"/>
      <c r="AE1066" s="8" t="str">
        <f ca="1">IFERROR(__xludf.DUMMYFUNCTION("""COMPUTED_VALUE"""),"No")</f>
        <v>No</v>
      </c>
      <c r="AF1066" s="8"/>
      <c r="AG1066" s="8" t="str">
        <f ca="1">IFERROR(__xludf.DUMMYFUNCTION("""COMPUTED_VALUE"""),"No")</f>
        <v>No</v>
      </c>
      <c r="AH1066" s="8" t="str">
        <f ca="1">IFERROR(__xludf.DUMMYFUNCTION("""COMPUTED_VALUE"""),"No")</f>
        <v>No</v>
      </c>
      <c r="AI1066" s="8" t="str">
        <f ca="1">IFERROR(__xludf.DUMMYFUNCTION("""COMPUTED_VALUE"""),"No")</f>
        <v>No</v>
      </c>
      <c r="AJ1066" s="8" t="str">
        <f ca="1">IFERROR(__xludf.DUMMYFUNCTION("""COMPUTED_VALUE"""),"No")</f>
        <v>No</v>
      </c>
      <c r="AK1066" s="8" t="str">
        <f ca="1">IFERROR(__xludf.DUMMYFUNCTION("""COMPUTED_VALUE"""),"No")</f>
        <v>No</v>
      </c>
      <c r="AL1066" s="8"/>
      <c r="AM1066" s="8" t="str">
        <f ca="1">IFERROR(__xludf.DUMMYFUNCTION("""COMPUTED_VALUE"""),"No")</f>
        <v>No</v>
      </c>
      <c r="AN1066" s="8"/>
      <c r="AO1066" s="8" t="str">
        <f ca="1">IFERROR(__xludf.DUMMYFUNCTION("""COMPUTED_VALUE"""),"No")</f>
        <v>No</v>
      </c>
      <c r="AP1066" s="8"/>
      <c r="AQ1066" s="8"/>
      <c r="AR1066" s="8" t="str">
        <f ca="1">IFERROR(__xludf.DUMMYFUNCTION("""COMPUTED_VALUE"""),"Outside/Off-Property")</f>
        <v>Outside/Off-Property</v>
      </c>
      <c r="AS1066" s="8">
        <f ca="1">IFERROR(__xludf.DUMMYFUNCTION("""COMPUTED_VALUE"""),99)</f>
        <v>99</v>
      </c>
      <c r="AT1066" s="8" t="str">
        <f ca="1">IFERROR(__xludf.DUMMYFUNCTION("""COMPUTED_VALUE"""),"No")</f>
        <v>No</v>
      </c>
      <c r="AU1066" s="8">
        <f ca="1">IFERROR(__xludf.DUMMYFUNCTION("""COMPUTED_VALUE"""),44.914466)</f>
        <v>44.914465999999997</v>
      </c>
      <c r="AV1066" s="8">
        <f ca="1">IFERROR(__xludf.DUMMYFUNCTION("""COMPUTED_VALUE"""),-122.972048)</f>
        <v>-122.972048</v>
      </c>
      <c r="AW1066" s="8"/>
      <c r="AX1066" s="8">
        <f ca="1">IFERROR(__xludf.DUMMYFUNCTION("""COMPUTED_VALUE"""),97317)</f>
        <v>97317</v>
      </c>
    </row>
    <row r="1067" spans="1:50" ht="300" x14ac:dyDescent="0.2">
      <c r="A1067" s="8" t="str">
        <f ca="1">IFERROR(__xludf.DUMMYFUNCTION("""COMPUTED_VALUE"""),"20220422DCEDW")</f>
        <v>20220422DCEDW</v>
      </c>
      <c r="B1067" s="8">
        <f ca="1">IFERROR(__xludf.DUMMYFUNCTION("""COMPUTED_VALUE"""),4)</f>
        <v>4</v>
      </c>
      <c r="C1067" s="8">
        <f ca="1">IFERROR(__xludf.DUMMYFUNCTION("""COMPUTED_VALUE"""),22)</f>
        <v>22</v>
      </c>
      <c r="D1067" s="8">
        <f ca="1">IFERROR(__xludf.DUMMYFUNCTION("""COMPUTED_VALUE"""),2022)</f>
        <v>2022</v>
      </c>
      <c r="E1067" s="9">
        <f ca="1">IFERROR(__xludf.DUMMYFUNCTION("""COMPUTED_VALUE"""),44673)</f>
        <v>44673</v>
      </c>
      <c r="F1067" s="8" t="str">
        <f ca="1">IFERROR(__xludf.DUMMYFUNCTION("""COMPUTED_VALUE"""),"Edmund Burke School")</f>
        <v>Edmund Burke School</v>
      </c>
      <c r="G1067" s="8">
        <f ca="1">IFERROR(__xludf.DUMMYFUNCTION("""COMPUTED_VALUE"""),0)</f>
        <v>0</v>
      </c>
      <c r="H1067" s="8">
        <f ca="1">IFERROR(__xludf.DUMMYFUNCTION("""COMPUTED_VALUE"""),4)</f>
        <v>4</v>
      </c>
      <c r="I1067" s="8">
        <f ca="1">IFERROR(__xludf.DUMMYFUNCTION("""COMPUTED_VALUE"""),4)</f>
        <v>4</v>
      </c>
      <c r="J1067" s="8">
        <f ca="1">IFERROR(__xludf.DUMMYFUNCTION("""COMPUTED_VALUE"""),1)</f>
        <v>1</v>
      </c>
      <c r="K1067" s="8" t="str">
        <f ca="1">IFERROR(__xludf.DUMMYFUNCTION("""COMPUTED_VALUE"""),"https://www.washingtonpost.com/education/2022/05/04/edmund-burke-school-reopens-first-time-since-shooting/ https://www.nbcwashington.com/news/local/16-year-old-student-recounts-terrifying-school-shooting/3038079/ https://www.washingtonpost.com/dc-md-va/20"&amp;"22/04/25/bowser-dc-shooting-school-vanness/ https://www.wusa9.com/article/news/local/dc/viewer-discretion-video-purportedly-recorded-by-dc-shooter-reveals-more-than-60-gunshots-over-a-19-second-span-taking-aim-at-school-window/65-e03aa391-a87d-46e8-beaf-2"&amp;"8fe518c55a9 https://www.washingtonpost.com/dc-md-va/2022/04/22/connecticut-avenue-shooting-dc/?%20va._2 https://www.washingtonpost.com/dc-md-va/2022/04/23/raymond-spencer-dc-shooting/ https://www.washingtonpost.com/dc-md-va/2022/04/23/edmund-burke-shootin"&amp;"g-dc-lockdown/")</f>
        <v>https://www.washingtonpost.com/education/2022/05/04/edmund-burke-school-reopens-first-time-since-shooting/ https://www.nbcwashington.com/news/local/16-year-old-student-recounts-terrifying-school-shooting/3038079/ https://www.washingtonpost.com/dc-md-va/2022/04/25/bowser-dc-shooting-school-vanness/ https://www.wusa9.com/article/news/local/dc/viewer-discretion-video-purportedly-recorded-by-dc-shooter-reveals-more-than-60-gunshots-over-a-19-second-span-taking-aim-at-school-window/65-e03aa391-a87d-46e8-beaf-28fe518c55a9 https://www.washingtonpost.com/dc-md-va/2022/04/22/connecticut-avenue-shooting-dc/?%20va._2 https://www.washingtonpost.com/dc-md-va/2022/04/23/raymond-spencer-dc-shooting/ https://www.washingtonpost.com/dc-md-va/2022/04/23/edmund-burke-shooting-dc-lockdown/</v>
      </c>
      <c r="L1067" s="8">
        <f ca="1">IFERROR(__xludf.DUMMYFUNCTION("""COMPUTED_VALUE"""),999)</f>
        <v>999</v>
      </c>
      <c r="M1067" s="8" t="str">
        <f ca="1">IFERROR(__xludf.DUMMYFUNCTION("""COMPUTED_VALUE"""),"International")</f>
        <v>International</v>
      </c>
      <c r="N1067" s="8">
        <f ca="1">IFERROR(__xludf.DUMMYFUNCTION("""COMPUTED_VALUE"""),4)</f>
        <v>4</v>
      </c>
      <c r="O1067" s="8" t="str">
        <f ca="1">IFERROR(__xludf.DUMMYFUNCTION("""COMPUTED_VALUE"""),"Spring")</f>
        <v>Spring</v>
      </c>
      <c r="P1067" s="8" t="str">
        <f ca="1">IFERROR(__xludf.DUMMYFUNCTION("""COMPUTED_VALUE"""),"Washington")</f>
        <v>Washington</v>
      </c>
      <c r="Q1067" s="8" t="str">
        <f ca="1">IFERROR(__xludf.DUMMYFUNCTION("""COMPUTED_VALUE"""),"DC")</f>
        <v>DC</v>
      </c>
      <c r="R1067" s="8" t="str">
        <f ca="1">IFERROR(__xludf.DUMMYFUNCTION("""COMPUTED_VALUE"""),"6-12")</f>
        <v>6-12</v>
      </c>
      <c r="S1067" s="8" t="str">
        <f ca="1">IFERROR(__xludf.DUMMYFUNCTION("""COMPUTED_VALUE"""),"Hallway")</f>
        <v>Hallway</v>
      </c>
      <c r="T1067" s="8" t="str">
        <f ca="1">IFERROR(__xludf.DUMMYFUNCTION("""COMPUTED_VALUE"""),"Both Inside/Outside")</f>
        <v>Both Inside/Outside</v>
      </c>
      <c r="U1067" s="8" t="str">
        <f ca="1">IFERROR(__xludf.DUMMYFUNCTION("""COMPUTED_VALUE"""),"Yes")</f>
        <v>Yes</v>
      </c>
      <c r="V1067" s="8" t="str">
        <f ca="1">IFERROR(__xludf.DUMMYFUNCTION("""COMPUTED_VALUE"""),"Afternoon Classes")</f>
        <v>Afternoon Classes</v>
      </c>
      <c r="W1067" s="11">
        <f ca="1">IFERROR(__xludf.DUMMYFUNCTION("""COMPUTED_VALUE"""),0.638888888888888)</f>
        <v>0.63888888888888795</v>
      </c>
      <c r="X1067" s="8">
        <f ca="1">IFERROR(__xludf.DUMMYFUNCTION("""COMPUTED_VALUE"""),180)</f>
        <v>180</v>
      </c>
      <c r="Y1067" s="12" t="str">
        <f ca="1">IFERROR(__xludf.DUMMYFUNCTION("""COMPUTED_VALUE"""),"Gunman fired at school from nearby apartment building")</f>
        <v>Gunman fired at school from nearby apartment building</v>
      </c>
      <c r="Z1067" s="12" t="str">
        <f ca="1">IFERROR(__xludf.DUMMYFUNCTION("""COMPUTED_VALUE"""),"A 23-year-old man fired at students inside a glass pedestrian bridge on the school campus from his 5th floor apartment building across the street. Shots broke glass windows on both sides of the bridge. A 12-year-old female student on the bridge was wounde"&amp;"d. A 16-year-old female student was cut by flying glass. First 60 shots were fired in 18 seconds. 200 total rounds fired. Students ran and school went into lockdown. Shooter then wounded school security guard, parent waiting in a vehicle to pick-up a chil"&amp;"d, and another adult pedestrian. Shooter commit suicide when police raided his apartment hours later. Shooter had a camera setup in the hallway to watch police arriving at his apartment. Days prior to shooting, shooter edited wikipedia pages related to sc"&amp;"hool shootings and described himself as ""AR-15 Aficionado"". 6 firearms including rifles and handguns were found in his apartment. Shooting was live streamed with camera inside rifle scope showing the attack. While waiting for police, shooter made edits "&amp;"to the Edmund Burke School Wikipedia page to add his attack. Commit suicide in the bathroom.")</f>
        <v>A 23-year-old man fired at students inside a glass pedestrian bridge on the school campus from his 5th floor apartment building across the street. Shots broke glass windows on both sides of the bridge. A 12-year-old female student on the bridge was wounded. A 16-year-old female student was cut by flying glass. First 60 shots were fired in 18 seconds. 200 total rounds fired. Students ran and school went into lockdown. Shooter then wounded school security guard, parent waiting in a vehicle to pick-up a child, and another adult pedestrian. Shooter commit suicide when police raided his apartment hours later. Shooter had a camera setup in the hallway to watch police arriving at his apartment. Days prior to shooting, shooter edited wikipedia pages related to school shootings and described himself as "AR-15 Aficionado". 6 firearms including rifles and handguns were found in his apartment. Shooting was live streamed with camera inside rifle scope showing the attack. While waiting for police, shooter made edits to the Edmund Burke School Wikipedia page to add his attack. Commit suicide in the bathroom.</v>
      </c>
      <c r="AA1067" s="8" t="str">
        <f ca="1">IFERROR(__xludf.DUMMYFUNCTION("""COMPUTED_VALUE"""),"Indiscriminate Shooting")</f>
        <v>Indiscriminate Shooting</v>
      </c>
      <c r="AB1067" s="8"/>
      <c r="AC1067" s="8" t="str">
        <f ca="1">IFERROR(__xludf.DUMMYFUNCTION("""COMPUTED_VALUE"""),"Yes")</f>
        <v>Yes</v>
      </c>
      <c r="AD1067" s="8" t="str">
        <f ca="1">IFERROR(__xludf.DUMMYFUNCTION("""COMPUTED_VALUE"""),"Random Shooting")</f>
        <v>Random Shooting</v>
      </c>
      <c r="AE1067" s="8" t="str">
        <f ca="1">IFERROR(__xludf.DUMMYFUNCTION("""COMPUTED_VALUE"""),"No")</f>
        <v>No</v>
      </c>
      <c r="AF1067" s="8"/>
      <c r="AG1067" s="8" t="str">
        <f ca="1">IFERROR(__xludf.DUMMYFUNCTION("""COMPUTED_VALUE"""),"No")</f>
        <v>No</v>
      </c>
      <c r="AH1067" s="8" t="str">
        <f ca="1">IFERROR(__xludf.DUMMYFUNCTION("""COMPUTED_VALUE"""),"Yes")</f>
        <v>Yes</v>
      </c>
      <c r="AI1067" s="8" t="str">
        <f ca="1">IFERROR(__xludf.DUMMYFUNCTION("""COMPUTED_VALUE"""),"No")</f>
        <v>No</v>
      </c>
      <c r="AJ1067" s="8"/>
      <c r="AK1067" s="8" t="str">
        <f ca="1">IFERROR(__xludf.DUMMYFUNCTION("""COMPUTED_VALUE"""),"No")</f>
        <v>No</v>
      </c>
      <c r="AL1067" s="8" t="str">
        <f ca="1">IFERROR(__xludf.DUMMYFUNCTION("""COMPUTED_VALUE"""),"No")</f>
        <v>No</v>
      </c>
      <c r="AM1067" s="8" t="str">
        <f ca="1">IFERROR(__xludf.DUMMYFUNCTION("""COMPUTED_VALUE"""),"Yes")</f>
        <v>Yes</v>
      </c>
      <c r="AN1067" s="8" t="str">
        <f ca="1">IFERROR(__xludf.DUMMYFUNCTION("""COMPUTED_VALUE"""),"Outside")</f>
        <v>Outside</v>
      </c>
      <c r="AO1067" s="8" t="str">
        <f ca="1">IFERROR(__xludf.DUMMYFUNCTION("""COMPUTED_VALUE"""),"Yes")</f>
        <v>Yes</v>
      </c>
      <c r="AP1067" s="8"/>
      <c r="AQ1067" s="8"/>
      <c r="AR1067" s="8" t="str">
        <f ca="1">IFERROR(__xludf.DUMMYFUNCTION("""COMPUTED_VALUE"""),"Outside/Off-Property")</f>
        <v>Outside/Off-Property</v>
      </c>
      <c r="AS1067" s="8">
        <f ca="1">IFERROR(__xludf.DUMMYFUNCTION("""COMPUTED_VALUE"""),200)</f>
        <v>200</v>
      </c>
      <c r="AT1067" s="8" t="str">
        <f ca="1">IFERROR(__xludf.DUMMYFUNCTION("""COMPUTED_VALUE"""),"Yes")</f>
        <v>Yes</v>
      </c>
      <c r="AU1067" s="8">
        <f ca="1">IFERROR(__xludf.DUMMYFUNCTION("""COMPUTED_VALUE"""),38.9422)</f>
        <v>38.9422</v>
      </c>
      <c r="AV1067" s="8">
        <f ca="1">IFERROR(__xludf.DUMMYFUNCTION("""COMPUTED_VALUE"""),-77.062127)</f>
        <v>-77.062127000000004</v>
      </c>
      <c r="AW1067" s="8"/>
      <c r="AX1067" s="8">
        <f ca="1">IFERROR(__xludf.DUMMYFUNCTION("""COMPUTED_VALUE"""),20008)</f>
        <v>20008</v>
      </c>
    </row>
    <row r="1068" spans="1:50" ht="75" x14ac:dyDescent="0.2">
      <c r="A1068" s="8" t="str">
        <f ca="1">IFERROR(__xludf.DUMMYFUNCTION("""COMPUTED_VALUE"""),"20220422CAMOR")</f>
        <v>20220422CAMOR</v>
      </c>
      <c r="B1068" s="8">
        <f ca="1">IFERROR(__xludf.DUMMYFUNCTION("""COMPUTED_VALUE"""),4)</f>
        <v>4</v>
      </c>
      <c r="C1068" s="8">
        <f ca="1">IFERROR(__xludf.DUMMYFUNCTION("""COMPUTED_VALUE"""),22)</f>
        <v>22</v>
      </c>
      <c r="D1068" s="8">
        <f ca="1">IFERROR(__xludf.DUMMYFUNCTION("""COMPUTED_VALUE"""),2022)</f>
        <v>2022</v>
      </c>
      <c r="E1068" s="9">
        <f ca="1">IFERROR(__xludf.DUMMYFUNCTION("""COMPUTED_VALUE"""),44673)</f>
        <v>44673</v>
      </c>
      <c r="F1068" s="8" t="str">
        <f ca="1">IFERROR(__xludf.DUMMYFUNCTION("""COMPUTED_VALUE"""),"Mountain View Middle School")</f>
        <v>Mountain View Middle School</v>
      </c>
      <c r="G1068" s="8">
        <f ca="1">IFERROR(__xludf.DUMMYFUNCTION("""COMPUTED_VALUE"""),0)</f>
        <v>0</v>
      </c>
      <c r="H1068" s="8">
        <f ca="1">IFERROR(__xludf.DUMMYFUNCTION("""COMPUTED_VALUE"""),0)</f>
        <v>0</v>
      </c>
      <c r="I1068" s="8">
        <f ca="1">IFERROR(__xludf.DUMMYFUNCTION("""COMPUTED_VALUE"""),0)</f>
        <v>0</v>
      </c>
      <c r="J1068" s="8">
        <f ca="1">IFERROR(__xludf.DUMMYFUNCTION("""COMPUTED_VALUE"""),0)</f>
        <v>0</v>
      </c>
      <c r="K1068" s="10" t="str">
        <f ca="1">IFERROR(__xludf.DUMMYFUNCTION("""COMPUTED_VALUE"""),"https://krcrtv.com/news/local/video-reports-of-shots-fired-near-middle-school")</f>
        <v>https://krcrtv.com/news/local/video-reports-of-shots-fired-near-middle-school</v>
      </c>
      <c r="L1068" s="8">
        <f ca="1">IFERROR(__xludf.DUMMYFUNCTION("""COMPUTED_VALUE"""),1)</f>
        <v>1</v>
      </c>
      <c r="M1068" s="8" t="str">
        <f ca="1">IFERROR(__xludf.DUMMYFUNCTION("""COMPUTED_VALUE"""),"Local")</f>
        <v>Local</v>
      </c>
      <c r="N1068" s="8">
        <f ca="1">IFERROR(__xludf.DUMMYFUNCTION("""COMPUTED_VALUE"""),4)</f>
        <v>4</v>
      </c>
      <c r="O1068" s="8" t="str">
        <f ca="1">IFERROR(__xludf.DUMMYFUNCTION("""COMPUTED_VALUE"""),"Spring")</f>
        <v>Spring</v>
      </c>
      <c r="P1068" s="8" t="str">
        <f ca="1">IFERROR(__xludf.DUMMYFUNCTION("""COMPUTED_VALUE"""),"Redding")</f>
        <v>Redding</v>
      </c>
      <c r="Q1068" s="8" t="str">
        <f ca="1">IFERROR(__xludf.DUMMYFUNCTION("""COMPUTED_VALUE"""),"CA")</f>
        <v>CA</v>
      </c>
      <c r="R1068" s="8" t="str">
        <f ca="1">IFERROR(__xludf.DUMMYFUNCTION("""COMPUTED_VALUE"""),"Middle")</f>
        <v>Middle</v>
      </c>
      <c r="S1068" s="8" t="str">
        <f ca="1">IFERROR(__xludf.DUMMYFUNCTION("""COMPUTED_VALUE"""),"Field (General)")</f>
        <v>Field (General)</v>
      </c>
      <c r="T1068" s="8" t="str">
        <f ca="1">IFERROR(__xludf.DUMMYFUNCTION("""COMPUTED_VALUE"""),"Outside on School Property")</f>
        <v>Outside on School Property</v>
      </c>
      <c r="U1068" s="8" t="str">
        <f ca="1">IFERROR(__xludf.DUMMYFUNCTION("""COMPUTED_VALUE"""),"No")</f>
        <v>No</v>
      </c>
      <c r="V1068" s="8" t="str">
        <f ca="1">IFERROR(__xludf.DUMMYFUNCTION("""COMPUTED_VALUE"""),"Sport Event")</f>
        <v>Sport Event</v>
      </c>
      <c r="W1068" s="11">
        <f ca="1">IFERROR(__xludf.DUMMYFUNCTION("""COMPUTED_VALUE"""),0.75)</f>
        <v>0.75</v>
      </c>
      <c r="X1068" s="8">
        <f ca="1">IFERROR(__xludf.DUMMYFUNCTION("""COMPUTED_VALUE"""),1)</f>
        <v>1</v>
      </c>
      <c r="Y1068" s="12" t="str">
        <f ca="1">IFERROR(__xludf.DUMMYFUNCTION("""COMPUTED_VALUE"""),"Shots fired at adult men on the baseball field behind the school")</f>
        <v>Shots fired at adult men on the baseball field behind the school</v>
      </c>
      <c r="Z1068" s="12" t="str">
        <f ca="1">IFERROR(__xludf.DUMMYFUNCTION("""COMPUTED_VALUE"""),"Group of adults were playing baseball on the field behind the school when shots were fired at them. Shooting was recorded on video. A Daddy/Daughter event was taking place at the school. No injuries. Shots fired from a long distance and no suspect identif"&amp;"ied.")</f>
        <v>Group of adults were playing baseball on the field behind the school when shots were fired at them. Shooting was recorded on video. A Daddy/Daughter event was taking place at the school. No injuries. Shots fired from a long distance and no suspect identified.</v>
      </c>
      <c r="AA1068" s="8"/>
      <c r="AB1068" s="8"/>
      <c r="AC1068" s="8" t="str">
        <f ca="1">IFERROR(__xludf.DUMMYFUNCTION("""COMPUTED_VALUE"""),"Yes")</f>
        <v>Yes</v>
      </c>
      <c r="AD1068" s="8" t="str">
        <f ca="1">IFERROR(__xludf.DUMMYFUNCTION("""COMPUTED_VALUE"""),"Random Shooting")</f>
        <v>Random Shooting</v>
      </c>
      <c r="AE1068" s="8"/>
      <c r="AF1068" s="8"/>
      <c r="AG1068" s="8" t="str">
        <f ca="1">IFERROR(__xludf.DUMMYFUNCTION("""COMPUTED_VALUE"""),"No")</f>
        <v>No</v>
      </c>
      <c r="AH1068" s="8" t="str">
        <f ca="1">IFERROR(__xludf.DUMMYFUNCTION("""COMPUTED_VALUE"""),"No")</f>
        <v>No</v>
      </c>
      <c r="AI1068" s="8" t="str">
        <f ca="1">IFERROR(__xludf.DUMMYFUNCTION("""COMPUTED_VALUE"""),"No")</f>
        <v>No</v>
      </c>
      <c r="AJ1068" s="8" t="str">
        <f ca="1">IFERROR(__xludf.DUMMYFUNCTION("""COMPUTED_VALUE"""),"No")</f>
        <v>No</v>
      </c>
      <c r="AK1068" s="8" t="str">
        <f ca="1">IFERROR(__xludf.DUMMYFUNCTION("""COMPUTED_VALUE"""),"No")</f>
        <v>No</v>
      </c>
      <c r="AL1068" s="8" t="str">
        <f ca="1">IFERROR(__xludf.DUMMYFUNCTION("""COMPUTED_VALUE"""),"No")</f>
        <v>No</v>
      </c>
      <c r="AM1068" s="8" t="str">
        <f ca="1">IFERROR(__xludf.DUMMYFUNCTION("""COMPUTED_VALUE"""),"No")</f>
        <v>No</v>
      </c>
      <c r="AN1068" s="8"/>
      <c r="AO1068" s="8" t="str">
        <f ca="1">IFERROR(__xludf.DUMMYFUNCTION("""COMPUTED_VALUE"""),"No")</f>
        <v>No</v>
      </c>
      <c r="AP1068" s="8"/>
      <c r="AQ1068" s="8"/>
      <c r="AR1068" s="8" t="str">
        <f ca="1">IFERROR(__xludf.DUMMYFUNCTION("""COMPUTED_VALUE"""),"Outside/Off-Property")</f>
        <v>Outside/Off-Property</v>
      </c>
      <c r="AS1068" s="8">
        <f ca="1">IFERROR(__xludf.DUMMYFUNCTION("""COMPUTED_VALUE"""),6)</f>
        <v>6</v>
      </c>
      <c r="AT1068" s="8" t="str">
        <f ca="1">IFERROR(__xludf.DUMMYFUNCTION("""COMPUTED_VALUE"""),"No")</f>
        <v>No</v>
      </c>
      <c r="AU1068" s="8">
        <f ca="1">IFERROR(__xludf.DUMMYFUNCTION("""COMPUTED_VALUE"""),40.602231)</f>
        <v>40.602231000000003</v>
      </c>
      <c r="AV1068" s="8">
        <f ca="1">IFERROR(__xludf.DUMMYFUNCTION("""COMPUTED_VALUE"""),-122.324941)</f>
        <v>-122.324941</v>
      </c>
      <c r="AW1068" s="8"/>
      <c r="AX1068" s="8">
        <f ca="1">IFERROR(__xludf.DUMMYFUNCTION("""COMPUTED_VALUE"""),96049)</f>
        <v>96049</v>
      </c>
    </row>
    <row r="1069" spans="1:50" ht="90" x14ac:dyDescent="0.2">
      <c r="A1069" s="8" t="str">
        <f ca="1">IFERROR(__xludf.DUMMYFUNCTION("""COMPUTED_VALUE"""),"20220421NDMOM")</f>
        <v>20220421NDMOM</v>
      </c>
      <c r="B1069" s="8">
        <f ca="1">IFERROR(__xludf.DUMMYFUNCTION("""COMPUTED_VALUE"""),4)</f>
        <v>4</v>
      </c>
      <c r="C1069" s="8">
        <f ca="1">IFERROR(__xludf.DUMMYFUNCTION("""COMPUTED_VALUE"""),21)</f>
        <v>21</v>
      </c>
      <c r="D1069" s="8">
        <f ca="1">IFERROR(__xludf.DUMMYFUNCTION("""COMPUTED_VALUE"""),2022)</f>
        <v>2022</v>
      </c>
      <c r="E1069" s="9">
        <f ca="1">IFERROR(__xludf.DUMMYFUNCTION("""COMPUTED_VALUE"""),44672)</f>
        <v>44672</v>
      </c>
      <c r="F1069" s="8" t="str">
        <f ca="1">IFERROR(__xludf.DUMMYFUNCTION("""COMPUTED_VALUE"""),"Mott-Regent High School")</f>
        <v>Mott-Regent High School</v>
      </c>
      <c r="G1069" s="8">
        <f ca="1">IFERROR(__xludf.DUMMYFUNCTION("""COMPUTED_VALUE"""),1)</f>
        <v>1</v>
      </c>
      <c r="H1069" s="8">
        <f ca="1">IFERROR(__xludf.DUMMYFUNCTION("""COMPUTED_VALUE"""),0)</f>
        <v>0</v>
      </c>
      <c r="I1069" s="8">
        <f ca="1">IFERROR(__xludf.DUMMYFUNCTION("""COMPUTED_VALUE"""),1)</f>
        <v>1</v>
      </c>
      <c r="J1069" s="8">
        <f ca="1">IFERROR(__xludf.DUMMYFUNCTION("""COMPUTED_VALUE"""),0)</f>
        <v>0</v>
      </c>
      <c r="K1069" s="8" t="str">
        <f ca="1">IFERROR(__xludf.DUMMYFUNCTION("""COMPUTED_VALUE"""),"https://www.thedickinsonpress.com/news/man-shot-killed-in-altercation-with-hettinger-county-sheriffs-office-deputy-at-mott-regent-school https://kfgo.com/2022/04/22/563807/ https://www.kfyrtv.com/2022/04/22/man-dies-following-incident-with-deputy-mott-reg"&amp;"ent-public-school/")</f>
        <v>https://www.thedickinsonpress.com/news/man-shot-killed-in-altercation-with-hettinger-county-sheriffs-office-deputy-at-mott-regent-school https://kfgo.com/2022/04/22/563807/ https://www.kfyrtv.com/2022/04/22/man-dies-following-incident-with-deputy-mott-regent-public-school/</v>
      </c>
      <c r="L1069" s="8">
        <f ca="1">IFERROR(__xludf.DUMMYFUNCTION("""COMPUTED_VALUE"""),3)</f>
        <v>3</v>
      </c>
      <c r="M1069" s="8" t="str">
        <f ca="1">IFERROR(__xludf.DUMMYFUNCTION("""COMPUTED_VALUE"""),"Local")</f>
        <v>Local</v>
      </c>
      <c r="N1069" s="8">
        <f ca="1">IFERROR(__xludf.DUMMYFUNCTION("""COMPUTED_VALUE"""),4)</f>
        <v>4</v>
      </c>
      <c r="O1069" s="8" t="str">
        <f ca="1">IFERROR(__xludf.DUMMYFUNCTION("""COMPUTED_VALUE"""),"Spring")</f>
        <v>Spring</v>
      </c>
      <c r="P1069" s="8" t="str">
        <f ca="1">IFERROR(__xludf.DUMMYFUNCTION("""COMPUTED_VALUE"""),"Mott")</f>
        <v>Mott</v>
      </c>
      <c r="Q1069" s="8" t="str">
        <f ca="1">IFERROR(__xludf.DUMMYFUNCTION("""COMPUTED_VALUE"""),"ND")</f>
        <v>ND</v>
      </c>
      <c r="R1069" s="8" t="str">
        <f ca="1">IFERROR(__xludf.DUMMYFUNCTION("""COMPUTED_VALUE"""),"K-12")</f>
        <v>K-12</v>
      </c>
      <c r="S1069" s="8" t="str">
        <f ca="1">IFERROR(__xludf.DUMMYFUNCTION("""COMPUTED_VALUE"""),"Entryway")</f>
        <v>Entryway</v>
      </c>
      <c r="T1069" s="8" t="str">
        <f ca="1">IFERROR(__xludf.DUMMYFUNCTION("""COMPUTED_VALUE"""),"Inside School Building")</f>
        <v>Inside School Building</v>
      </c>
      <c r="U1069" s="8" t="str">
        <f ca="1">IFERROR(__xludf.DUMMYFUNCTION("""COMPUTED_VALUE"""),"Yes")</f>
        <v>Yes</v>
      </c>
      <c r="V1069" s="8" t="str">
        <f ca="1">IFERROR(__xludf.DUMMYFUNCTION("""COMPUTED_VALUE"""),"Afternoon Classes")</f>
        <v>Afternoon Classes</v>
      </c>
      <c r="W1069" s="11">
        <f ca="1">IFERROR(__xludf.DUMMYFUNCTION("""COMPUTED_VALUE"""),0.623611111111111)</f>
        <v>0.62361111111111101</v>
      </c>
      <c r="X1069" s="8">
        <f ca="1">IFERROR(__xludf.DUMMYFUNCTION("""COMPUTED_VALUE"""),1)</f>
        <v>1</v>
      </c>
      <c r="Y1069" s="12" t="str">
        <f ca="1">IFERROR(__xludf.DUMMYFUNCTION("""COMPUTED_VALUE"""),"Man fatally shot by police when he refused to leave the school")</f>
        <v>Man fatally shot by police when he refused to leave the school</v>
      </c>
      <c r="Z1069" s="12" t="str">
        <f ca="1">IFERROR(__xludf.DUMMYFUNCTION("""COMPUTED_VALUE"""),"A 34-year-old man was fatally shot by police when he refused to leave the school and assaulted an officer. School staff called police for a man causing a disturbance in the building. No students or staff were injured. School went on lockdown and students "&amp;"dismissed to their parents from the rear of the school building.")</f>
        <v>A 34-year-old man was fatally shot by police when he refused to leave the school and assaulted an officer. School staff called police for a man causing a disturbance in the building. No students or staff were injured. School went on lockdown and students dismissed to their parents from the rear of the school building.</v>
      </c>
      <c r="AA1069" s="8" t="str">
        <f ca="1">IFERROR(__xludf.DUMMYFUNCTION("""COMPUTED_VALUE"""),"Officer-Involved Shooting")</f>
        <v>Officer-Involved Shooting</v>
      </c>
      <c r="AB1069" s="8"/>
      <c r="AC1069" s="8" t="str">
        <f ca="1">IFERROR(__xludf.DUMMYFUNCTION("""COMPUTED_VALUE"""),"Yes")</f>
        <v>Yes</v>
      </c>
      <c r="AD1069" s="8"/>
      <c r="AE1069" s="8"/>
      <c r="AF1069" s="8"/>
      <c r="AG1069" s="8"/>
      <c r="AH1069" s="8"/>
      <c r="AI1069" s="8"/>
      <c r="AJ1069" s="8"/>
      <c r="AK1069" s="8"/>
      <c r="AL1069" s="8"/>
      <c r="AM1069" s="8" t="str">
        <f ca="1">IFERROR(__xludf.DUMMYFUNCTION("""COMPUTED_VALUE"""),"No")</f>
        <v>No</v>
      </c>
      <c r="AN1069" s="8"/>
      <c r="AO1069" s="8"/>
      <c r="AP1069" s="8"/>
      <c r="AQ1069" s="8"/>
      <c r="AR1069" s="8"/>
      <c r="AS1069" s="8"/>
      <c r="AT1069" s="8" t="str">
        <f ca="1">IFERROR(__xludf.DUMMYFUNCTION("""COMPUTED_VALUE"""),"Yes")</f>
        <v>Yes</v>
      </c>
      <c r="AU1069" s="8">
        <f ca="1">IFERROR(__xludf.DUMMYFUNCTION("""COMPUTED_VALUE"""),46.371865)</f>
        <v>46.371865</v>
      </c>
      <c r="AV1069" s="8">
        <f ca="1">IFERROR(__xludf.DUMMYFUNCTION("""COMPUTED_VALUE"""),-102.318487)</f>
        <v>-102.318487</v>
      </c>
      <c r="AW1069" s="8"/>
      <c r="AX1069" s="8">
        <f ca="1">IFERROR(__xludf.DUMMYFUNCTION("""COMPUTED_VALUE"""),58646)</f>
        <v>58646</v>
      </c>
    </row>
    <row r="1070" spans="1:50" ht="30" x14ac:dyDescent="0.2">
      <c r="A1070" s="8" t="str">
        <f ca="1">IFERROR(__xludf.DUMMYFUNCTION("""COMPUTED_VALUE"""),"20220416IAMED")</f>
        <v>20220416IAMED</v>
      </c>
      <c r="B1070" s="8">
        <f ca="1">IFERROR(__xludf.DUMMYFUNCTION("""COMPUTED_VALUE"""),4)</f>
        <v>4</v>
      </c>
      <c r="C1070" s="8">
        <f ca="1">IFERROR(__xludf.DUMMYFUNCTION("""COMPUTED_VALUE"""),16)</f>
        <v>16</v>
      </c>
      <c r="D1070" s="8">
        <f ca="1">IFERROR(__xludf.DUMMYFUNCTION("""COMPUTED_VALUE"""),2022)</f>
        <v>2022</v>
      </c>
      <c r="E1070" s="9">
        <f ca="1">IFERROR(__xludf.DUMMYFUNCTION("""COMPUTED_VALUE"""),44667)</f>
        <v>44667</v>
      </c>
      <c r="F1070" s="8" t="str">
        <f ca="1">IFERROR(__xludf.DUMMYFUNCTION("""COMPUTED_VALUE"""),"Meredith Middle School")</f>
        <v>Meredith Middle School</v>
      </c>
      <c r="G1070" s="8">
        <f ca="1">IFERROR(__xludf.DUMMYFUNCTION("""COMPUTED_VALUE"""),0)</f>
        <v>0</v>
      </c>
      <c r="H1070" s="8">
        <f ca="1">IFERROR(__xludf.DUMMYFUNCTION("""COMPUTED_VALUE"""),1)</f>
        <v>1</v>
      </c>
      <c r="I1070" s="8">
        <f ca="1">IFERROR(__xludf.DUMMYFUNCTION("""COMPUTED_VALUE"""),1)</f>
        <v>1</v>
      </c>
      <c r="J1070" s="8">
        <f ca="1">IFERROR(__xludf.DUMMYFUNCTION("""COMPUTED_VALUE"""),0)</f>
        <v>0</v>
      </c>
      <c r="K1070" s="8" t="str">
        <f ca="1">IFERROR(__xludf.DUMMYFUNCTION("""COMPUTED_VALUE"""),"https://www.kcci.com/article/iowa-des-moines-one-injured-in-shooting-near-meredith-middle-school/39743068# https://who13.com/news/one-person-shot-near-des-moines-school-saturday/")</f>
        <v>https://www.kcci.com/article/iowa-des-moines-one-injured-in-shooting-near-meredith-middle-school/39743068# https://who13.com/news/one-person-shot-near-des-moines-school-saturday/</v>
      </c>
      <c r="L1070" s="8">
        <f ca="1">IFERROR(__xludf.DUMMYFUNCTION("""COMPUTED_VALUE"""),3)</f>
        <v>3</v>
      </c>
      <c r="M1070" s="8" t="str">
        <f ca="1">IFERROR(__xludf.DUMMYFUNCTION("""COMPUTED_VALUE"""),"Local")</f>
        <v>Local</v>
      </c>
      <c r="N1070" s="8">
        <f ca="1">IFERROR(__xludf.DUMMYFUNCTION("""COMPUTED_VALUE"""),3)</f>
        <v>3</v>
      </c>
      <c r="O1070" s="8" t="str">
        <f ca="1">IFERROR(__xludf.DUMMYFUNCTION("""COMPUTED_VALUE"""),"Spring")</f>
        <v>Spring</v>
      </c>
      <c r="P1070" s="8" t="str">
        <f ca="1">IFERROR(__xludf.DUMMYFUNCTION("""COMPUTED_VALUE"""),"Des Moines")</f>
        <v>Des Moines</v>
      </c>
      <c r="Q1070" s="8" t="str">
        <f ca="1">IFERROR(__xludf.DUMMYFUNCTION("""COMPUTED_VALUE"""),"IA")</f>
        <v>IA</v>
      </c>
      <c r="R1070" s="8" t="str">
        <f ca="1">IFERROR(__xludf.DUMMYFUNCTION("""COMPUTED_VALUE"""),"Middle")</f>
        <v>Middle</v>
      </c>
      <c r="S1070" s="8" t="str">
        <f ca="1">IFERROR(__xludf.DUMMYFUNCTION("""COMPUTED_VALUE"""),"Front of School")</f>
        <v>Front of School</v>
      </c>
      <c r="T1070" s="8" t="str">
        <f ca="1">IFERROR(__xludf.DUMMYFUNCTION("""COMPUTED_VALUE"""),"Outside on School Property")</f>
        <v>Outside on School Property</v>
      </c>
      <c r="U1070" s="8" t="str">
        <f ca="1">IFERROR(__xludf.DUMMYFUNCTION("""COMPUTED_VALUE"""),"No")</f>
        <v>No</v>
      </c>
      <c r="V1070" s="8" t="str">
        <f ca="1">IFERROR(__xludf.DUMMYFUNCTION("""COMPUTED_VALUE"""),"Evening")</f>
        <v>Evening</v>
      </c>
      <c r="W1070" s="11">
        <f ca="1">IFERROR(__xludf.DUMMYFUNCTION("""COMPUTED_VALUE"""),0.784722222222222)</f>
        <v>0.78472222222222199</v>
      </c>
      <c r="X1070" s="8">
        <f ca="1">IFERROR(__xludf.DUMMYFUNCTION("""COMPUTED_VALUE"""),1)</f>
        <v>1</v>
      </c>
      <c r="Y1070" s="12" t="str">
        <f ca="1">IFERROR(__xludf.DUMMYFUNCTION("""COMPUTED_VALUE"""),"Person shot in front of the school")</f>
        <v>Person shot in front of the school</v>
      </c>
      <c r="Z1070" s="12" t="str">
        <f ca="1">IFERROR(__xludf.DUMMYFUNCTION("""COMPUTED_VALUE"""),"Neighbors heard multiple shots and a person was found wounded in front of the school. Shooter fled.")</f>
        <v>Neighbors heard multiple shots and a person was found wounded in front of the school. Shooter fled.</v>
      </c>
      <c r="AA1070" s="8"/>
      <c r="AB1070" s="8"/>
      <c r="AC1070" s="8" t="str">
        <f ca="1">IFERROR(__xludf.DUMMYFUNCTION("""COMPUTED_VALUE"""),"No")</f>
        <v>No</v>
      </c>
      <c r="AD1070" s="8"/>
      <c r="AE1070" s="8" t="str">
        <f ca="1">IFERROR(__xludf.DUMMYFUNCTION("""COMPUTED_VALUE"""),"No")</f>
        <v>No</v>
      </c>
      <c r="AF1070" s="8"/>
      <c r="AG1070" s="8" t="str">
        <f ca="1">IFERROR(__xludf.DUMMYFUNCTION("""COMPUTED_VALUE"""),"No")</f>
        <v>No</v>
      </c>
      <c r="AH1070" s="8" t="str">
        <f ca="1">IFERROR(__xludf.DUMMYFUNCTION("""COMPUTED_VALUE"""),"No")</f>
        <v>No</v>
      </c>
      <c r="AI1070" s="8" t="str">
        <f ca="1">IFERROR(__xludf.DUMMYFUNCTION("""COMPUTED_VALUE"""),"No")</f>
        <v>No</v>
      </c>
      <c r="AJ1070" s="8" t="str">
        <f ca="1">IFERROR(__xludf.DUMMYFUNCTION("""COMPUTED_VALUE"""),"No")</f>
        <v>No</v>
      </c>
      <c r="AK1070" s="8"/>
      <c r="AL1070" s="8"/>
      <c r="AM1070" s="8" t="str">
        <f ca="1">IFERROR(__xludf.DUMMYFUNCTION("""COMPUTED_VALUE"""),"No")</f>
        <v>No</v>
      </c>
      <c r="AN1070" s="8"/>
      <c r="AO1070" s="8" t="str">
        <f ca="1">IFERROR(__xludf.DUMMYFUNCTION("""COMPUTED_VALUE"""),"No")</f>
        <v>No</v>
      </c>
      <c r="AP1070" s="8"/>
      <c r="AQ1070" s="8"/>
      <c r="AR1070" s="8" t="str">
        <f ca="1">IFERROR(__xludf.DUMMYFUNCTION("""COMPUTED_VALUE"""),"Outside/Off-Property")</f>
        <v>Outside/Off-Property</v>
      </c>
      <c r="AS1070" s="8">
        <f ca="1">IFERROR(__xludf.DUMMYFUNCTION("""COMPUTED_VALUE"""),99)</f>
        <v>99</v>
      </c>
      <c r="AT1070" s="8" t="str">
        <f ca="1">IFERROR(__xludf.DUMMYFUNCTION("""COMPUTED_VALUE"""),"No")</f>
        <v>No</v>
      </c>
      <c r="AU1070" s="8">
        <f ca="1">IFERROR(__xludf.DUMMYFUNCTION("""COMPUTED_VALUE"""),41.633558)</f>
        <v>41.633558000000001</v>
      </c>
      <c r="AV1070" s="8">
        <f ca="1">IFERROR(__xludf.DUMMYFUNCTION("""COMPUTED_VALUE"""),-93.682151)</f>
        <v>-93.682151000000005</v>
      </c>
      <c r="AW1070" s="8"/>
      <c r="AX1070" s="8">
        <f ca="1">IFERROR(__xludf.DUMMYFUNCTION("""COMPUTED_VALUE"""),50310)</f>
        <v>50310</v>
      </c>
    </row>
    <row r="1071" spans="1:50" ht="90" x14ac:dyDescent="0.2">
      <c r="A1071" s="8" t="str">
        <f ca="1">IFERROR(__xludf.DUMMYFUNCTION("""COMPUTED_VALUE"""),"20220415VAGAW")</f>
        <v>20220415VAGAW</v>
      </c>
      <c r="B1071" s="8">
        <f ca="1">IFERROR(__xludf.DUMMYFUNCTION("""COMPUTED_VALUE"""),4)</f>
        <v>4</v>
      </c>
      <c r="C1071" s="8">
        <f ca="1">IFERROR(__xludf.DUMMYFUNCTION("""COMPUTED_VALUE"""),15)</f>
        <v>15</v>
      </c>
      <c r="D1071" s="8">
        <f ca="1">IFERROR(__xludf.DUMMYFUNCTION("""COMPUTED_VALUE"""),2022)</f>
        <v>2022</v>
      </c>
      <c r="E1071" s="9">
        <f ca="1">IFERROR(__xludf.DUMMYFUNCTION("""COMPUTED_VALUE"""),44666)</f>
        <v>44666</v>
      </c>
      <c r="F1071" s="8" t="str">
        <f ca="1">IFERROR(__xludf.DUMMYFUNCTION("""COMPUTED_VALUE"""),"Gar-Field High School")</f>
        <v>Gar-Field High School</v>
      </c>
      <c r="G1071" s="8">
        <f ca="1">IFERROR(__xludf.DUMMYFUNCTION("""COMPUTED_VALUE"""),0)</f>
        <v>0</v>
      </c>
      <c r="H1071" s="8">
        <f ca="1">IFERROR(__xludf.DUMMYFUNCTION("""COMPUTED_VALUE"""),1)</f>
        <v>1</v>
      </c>
      <c r="I1071" s="8">
        <f ca="1">IFERROR(__xludf.DUMMYFUNCTION("""COMPUTED_VALUE"""),1)</f>
        <v>1</v>
      </c>
      <c r="J1071" s="8">
        <f ca="1">IFERROR(__xludf.DUMMYFUNCTION("""COMPUTED_VALUE"""),0)</f>
        <v>0</v>
      </c>
      <c r="K1071" s="8" t="str">
        <f ca="1">IFERROR(__xludf.DUMMYFUNCTION("""COMPUTED_VALUE"""),"https://www.princewilliamtimes.com/news/triangle-teen-charged-in-april-carnival-shooting-outside-gar-field-high-school/article_4c847d4a-6135-11ed-a384-4f7eaa91ee26.html
https://www.fox5dc.com/news/shooting-at-carnival-in-woodbridge-leaves-1-person-injured"&amp;" https://wjla.com/news/local/shooting-at-gar-field-high-school-carnival-in-woodbridge-prince-william-county-police-investigating https://www.insidenova.com/headlines/one-shot-at-gar-field-high-school-carnival/article_c51cf61e-bd26-11ec-bc42-6f454471a261.h"&amp;"tml https://wtop.com/prince-william-county/2022/04/1-wounded-in-shooting-at-a-prince-william-co-high-school/")</f>
        <v>https://www.princewilliamtimes.com/news/triangle-teen-charged-in-april-carnival-shooting-outside-gar-field-high-school/article_4c847d4a-6135-11ed-a384-4f7eaa91ee26.html
https://www.fox5dc.com/news/shooting-at-carnival-in-woodbridge-leaves-1-person-injured https://wjla.com/news/local/shooting-at-gar-field-high-school-carnival-in-woodbridge-prince-william-county-police-investigating https://www.insidenova.com/headlines/one-shot-at-gar-field-high-school-carnival/article_c51cf61e-bd26-11ec-bc42-6f454471a261.html https://wtop.com/prince-william-county/2022/04/1-wounded-in-shooting-at-a-prince-william-co-high-school/</v>
      </c>
      <c r="L1071" s="8">
        <f ca="1">IFERROR(__xludf.DUMMYFUNCTION("""COMPUTED_VALUE"""),10)</f>
        <v>10</v>
      </c>
      <c r="M1071" s="8" t="str">
        <f ca="1">IFERROR(__xludf.DUMMYFUNCTION("""COMPUTED_VALUE"""),"Regional")</f>
        <v>Regional</v>
      </c>
      <c r="N1071" s="8">
        <f ca="1">IFERROR(__xludf.DUMMYFUNCTION("""COMPUTED_VALUE"""),4)</f>
        <v>4</v>
      </c>
      <c r="O1071" s="8" t="str">
        <f ca="1">IFERROR(__xludf.DUMMYFUNCTION("""COMPUTED_VALUE"""),"Spring")</f>
        <v>Spring</v>
      </c>
      <c r="P1071" s="8" t="str">
        <f ca="1">IFERROR(__xludf.DUMMYFUNCTION("""COMPUTED_VALUE"""),"Woodbridge")</f>
        <v>Woodbridge</v>
      </c>
      <c r="Q1071" s="8" t="str">
        <f ca="1">IFERROR(__xludf.DUMMYFUNCTION("""COMPUTED_VALUE"""),"VA")</f>
        <v>VA</v>
      </c>
      <c r="R1071" s="8" t="str">
        <f ca="1">IFERROR(__xludf.DUMMYFUNCTION("""COMPUTED_VALUE"""),"High")</f>
        <v>High</v>
      </c>
      <c r="S1071" s="8" t="str">
        <f ca="1">IFERROR(__xludf.DUMMYFUNCTION("""COMPUTED_VALUE"""),"Field (General)")</f>
        <v>Field (General)</v>
      </c>
      <c r="T1071" s="8" t="str">
        <f ca="1">IFERROR(__xludf.DUMMYFUNCTION("""COMPUTED_VALUE"""),"Outside on School Property")</f>
        <v>Outside on School Property</v>
      </c>
      <c r="U1071" s="8" t="str">
        <f ca="1">IFERROR(__xludf.DUMMYFUNCTION("""COMPUTED_VALUE"""),"No")</f>
        <v>No</v>
      </c>
      <c r="V1071" s="8" t="str">
        <f ca="1">IFERROR(__xludf.DUMMYFUNCTION("""COMPUTED_VALUE"""),"School Event")</f>
        <v>School Event</v>
      </c>
      <c r="W1071" s="11">
        <f ca="1">IFERROR(__xludf.DUMMYFUNCTION("""COMPUTED_VALUE"""),0.895833333333333)</f>
        <v>0.89583333333333304</v>
      </c>
      <c r="X1071" s="8">
        <f ca="1">IFERROR(__xludf.DUMMYFUNCTION("""COMPUTED_VALUE"""),1)</f>
        <v>1</v>
      </c>
      <c r="Y1071" s="12" t="str">
        <f ca="1">IFERROR(__xludf.DUMMYFUNCTION("""COMPUTED_VALUE"""),"Teenage girl shot in the leg during carnival held at school")</f>
        <v>Teenage girl shot in the leg during carnival held at school</v>
      </c>
      <c r="Z1071" s="12" t="str">
        <f ca="1">IFERROR(__xludf.DUMMYFUNCTION("""COMPUTED_VALUE"""),"A teenage girl was shot in the leg and flown to a trauma center following a shooting during a carnival held at the school. Shooting occurred during a large fight and shooter fled. Attendees, many were teenage students, ran from the area when shots were fi"&amp;"red. Police setup a family reunification center at a nearby church.")</f>
        <v>A teenage girl was shot in the leg and flown to a trauma center following a shooting during a carnival held at the school. Shooting occurred during a large fight and shooter fled. Attendees, many were teenage students, ran from the area when shots were fired. Police setup a family reunification center at a nearby church.</v>
      </c>
      <c r="AA1071" s="8" t="str">
        <f ca="1">IFERROR(__xludf.DUMMYFUNCTION("""COMPUTED_VALUE"""),"Escalation of Dispute")</f>
        <v>Escalation of Dispute</v>
      </c>
      <c r="AB1071" s="8"/>
      <c r="AC1071" s="8" t="str">
        <f ca="1">IFERROR(__xludf.DUMMYFUNCTION("""COMPUTED_VALUE"""),"Yes")</f>
        <v>Yes</v>
      </c>
      <c r="AD1071" s="8" t="str">
        <f ca="1">IFERROR(__xludf.DUMMYFUNCTION("""COMPUTED_VALUE"""),"Both")</f>
        <v>Both</v>
      </c>
      <c r="AE1071" s="8" t="str">
        <f ca="1">IFERROR(__xludf.DUMMYFUNCTION("""COMPUTED_VALUE"""),"No")</f>
        <v>No</v>
      </c>
      <c r="AF1071" s="8"/>
      <c r="AG1071" s="8" t="str">
        <f ca="1">IFERROR(__xludf.DUMMYFUNCTION("""COMPUTED_VALUE"""),"No")</f>
        <v>No</v>
      </c>
      <c r="AH1071" s="8" t="str">
        <f ca="1">IFERROR(__xludf.DUMMYFUNCTION("""COMPUTED_VALUE"""),"No")</f>
        <v>No</v>
      </c>
      <c r="AI1071" s="8" t="str">
        <f ca="1">IFERROR(__xludf.DUMMYFUNCTION("""COMPUTED_VALUE"""),"No")</f>
        <v>No</v>
      </c>
      <c r="AJ1071" s="8" t="str">
        <f ca="1">IFERROR(__xludf.DUMMYFUNCTION("""COMPUTED_VALUE"""),"No")</f>
        <v>No</v>
      </c>
      <c r="AK1071" s="8" t="str">
        <f ca="1">IFERROR(__xludf.DUMMYFUNCTION("""COMPUTED_VALUE"""),"No")</f>
        <v>No</v>
      </c>
      <c r="AL1071" s="8" t="str">
        <f ca="1">IFERROR(__xludf.DUMMYFUNCTION("""COMPUTED_VALUE"""),"No")</f>
        <v>No</v>
      </c>
      <c r="AM1071" s="8" t="str">
        <f ca="1">IFERROR(__xludf.DUMMYFUNCTION("""COMPUTED_VALUE"""),"No")</f>
        <v>No</v>
      </c>
      <c r="AN1071" s="8"/>
      <c r="AO1071" s="8" t="str">
        <f ca="1">IFERROR(__xludf.DUMMYFUNCTION("""COMPUTED_VALUE"""),"No")</f>
        <v>No</v>
      </c>
      <c r="AP1071" s="8" t="str">
        <f ca="1">IFERROR(__xludf.DUMMYFUNCTION("""COMPUTED_VALUE"""),"No")</f>
        <v>No</v>
      </c>
      <c r="AQ1071" s="8"/>
      <c r="AR1071" s="8" t="str">
        <f ca="1">IFERROR(__xludf.DUMMYFUNCTION("""COMPUTED_VALUE"""),"Outside/Off-Property")</f>
        <v>Outside/Off-Property</v>
      </c>
      <c r="AS1071" s="8">
        <f ca="1">IFERROR(__xludf.DUMMYFUNCTION("""COMPUTED_VALUE"""),99)</f>
        <v>99</v>
      </c>
      <c r="AT1071" s="8" t="str">
        <f ca="1">IFERROR(__xludf.DUMMYFUNCTION("""COMPUTED_VALUE"""),"No")</f>
        <v>No</v>
      </c>
      <c r="AU1071" s="8">
        <f ca="1">IFERROR(__xludf.DUMMYFUNCTION("""COMPUTED_VALUE"""),38.645092)</f>
        <v>38.645091999999998</v>
      </c>
      <c r="AV1071" s="8">
        <f ca="1">IFERROR(__xludf.DUMMYFUNCTION("""COMPUTED_VALUE"""),-77.303176)</f>
        <v>-77.303175999999993</v>
      </c>
      <c r="AW1071" s="8"/>
      <c r="AX1071" s="8">
        <f ca="1">IFERROR(__xludf.DUMMYFUNCTION("""COMPUTED_VALUE"""),22192)</f>
        <v>22192</v>
      </c>
    </row>
    <row r="1072" spans="1:50" ht="90" x14ac:dyDescent="0.2">
      <c r="A1072" s="8" t="str">
        <f ca="1">IFERROR(__xludf.DUMMYFUNCTION("""COMPUTED_VALUE"""),"20220414MSNEP")</f>
        <v>20220414MSNEP</v>
      </c>
      <c r="B1072" s="8">
        <f ca="1">IFERROR(__xludf.DUMMYFUNCTION("""COMPUTED_VALUE"""),4)</f>
        <v>4</v>
      </c>
      <c r="C1072" s="8">
        <f ca="1">IFERROR(__xludf.DUMMYFUNCTION("""COMPUTED_VALUE"""),14)</f>
        <v>14</v>
      </c>
      <c r="D1072" s="8">
        <f ca="1">IFERROR(__xludf.DUMMYFUNCTION("""COMPUTED_VALUE"""),2022)</f>
        <v>2022</v>
      </c>
      <c r="E1072" s="9">
        <f ca="1">IFERROR(__xludf.DUMMYFUNCTION("""COMPUTED_VALUE"""),44665)</f>
        <v>44665</v>
      </c>
      <c r="F1072" s="8" t="str">
        <f ca="1">IFERROR(__xludf.DUMMYFUNCTION("""COMPUTED_VALUE"""),"Neshoba Central High School")</f>
        <v>Neshoba Central High School</v>
      </c>
      <c r="G1072" s="8">
        <f ca="1">IFERROR(__xludf.DUMMYFUNCTION("""COMPUTED_VALUE"""),0)</f>
        <v>0</v>
      </c>
      <c r="H1072" s="8">
        <f ca="1">IFERROR(__xludf.DUMMYFUNCTION("""COMPUTED_VALUE"""),2)</f>
        <v>2</v>
      </c>
      <c r="I1072" s="8">
        <f ca="1">IFERROR(__xludf.DUMMYFUNCTION("""COMPUTED_VALUE"""),2)</f>
        <v>2</v>
      </c>
      <c r="J1072" s="8">
        <f ca="1">IFERROR(__xludf.DUMMYFUNCTION("""COMPUTED_VALUE"""),0)</f>
        <v>0</v>
      </c>
      <c r="K1072" s="10" t="str">
        <f ca="1">IFERROR(__xludf.DUMMYFUNCTION("""COMPUTED_VALUE"""),"https://www.wtok.com/2022/04/15/three-students-shot-with-high-powered-air-rifles-neshoba-central/")</f>
        <v>https://www.wtok.com/2022/04/15/three-students-shot-with-high-powered-air-rifles-neshoba-central/</v>
      </c>
      <c r="L1072" s="8">
        <f ca="1">IFERROR(__xludf.DUMMYFUNCTION("""COMPUTED_VALUE"""),1)</f>
        <v>1</v>
      </c>
      <c r="M1072" s="8" t="str">
        <f ca="1">IFERROR(__xludf.DUMMYFUNCTION("""COMPUTED_VALUE"""),"Local")</f>
        <v>Local</v>
      </c>
      <c r="N1072" s="8">
        <f ca="1">IFERROR(__xludf.DUMMYFUNCTION("""COMPUTED_VALUE"""),4)</f>
        <v>4</v>
      </c>
      <c r="O1072" s="8" t="str">
        <f ca="1">IFERROR(__xludf.DUMMYFUNCTION("""COMPUTED_VALUE"""),"Spring")</f>
        <v>Spring</v>
      </c>
      <c r="P1072" s="8" t="str">
        <f ca="1">IFERROR(__xludf.DUMMYFUNCTION("""COMPUTED_VALUE"""),"Philadelphia")</f>
        <v>Philadelphia</v>
      </c>
      <c r="Q1072" s="8" t="str">
        <f ca="1">IFERROR(__xludf.DUMMYFUNCTION("""COMPUTED_VALUE"""),"MS")</f>
        <v>MS</v>
      </c>
      <c r="R1072" s="8" t="str">
        <f ca="1">IFERROR(__xludf.DUMMYFUNCTION("""COMPUTED_VALUE"""),"High")</f>
        <v>High</v>
      </c>
      <c r="S1072" s="8" t="str">
        <f ca="1">IFERROR(__xludf.DUMMYFUNCTION("""COMPUTED_VALUE"""),"Football Field/Track")</f>
        <v>Football Field/Track</v>
      </c>
      <c r="T1072" s="8" t="str">
        <f ca="1">IFERROR(__xludf.DUMMYFUNCTION("""COMPUTED_VALUE"""),"Outside on School Property")</f>
        <v>Outside on School Property</v>
      </c>
      <c r="U1072" s="8" t="str">
        <f ca="1">IFERROR(__xludf.DUMMYFUNCTION("""COMPUTED_VALUE"""),"Yes")</f>
        <v>Yes</v>
      </c>
      <c r="V1072" s="8" t="str">
        <f ca="1">IFERROR(__xludf.DUMMYFUNCTION("""COMPUTED_VALUE"""),"Lunch")</f>
        <v>Lunch</v>
      </c>
      <c r="W1072" s="11">
        <f ca="1">IFERROR(__xludf.DUMMYFUNCTION("""COMPUTED_VALUE"""),0.510416666666666)</f>
        <v>0.51041666666666596</v>
      </c>
      <c r="X1072" s="8">
        <f ca="1">IFERROR(__xludf.DUMMYFUNCTION("""COMPUTED_VALUE"""),1)</f>
        <v>1</v>
      </c>
      <c r="Y1072" s="12" t="str">
        <f ca="1">IFERROR(__xludf.DUMMYFUNCTION("""COMPUTED_VALUE"""),"3 teens fired high powered pellet guns at football team during practice")</f>
        <v>3 teens fired high powered pellet guns at football team during practice</v>
      </c>
      <c r="Z1072" s="12" t="str">
        <f ca="1">IFERROR(__xludf.DUMMYFUNCTION("""COMPUTED_VALUE"""),"Three teens from rival high school fired high powered pellet guns at the football team during practice. The teens were hiding in the trees near the field and left the rifles when they ran from the area. All three arrested and charged with aggravated assau"&amp;"lt. One player was transported to the hospital with a pellet lodged in his neck.")</f>
        <v>Three teens from rival high school fired high powered pellet guns at the football team during practice. The teens were hiding in the trees near the field and left the rifles when they ran from the area. All three arrested and charged with aggravated assault. One player was transported to the hospital with a pellet lodged in his neck.</v>
      </c>
      <c r="AA1072" s="8" t="str">
        <f ca="1">IFERROR(__xludf.DUMMYFUNCTION("""COMPUTED_VALUE"""),"Indiscriminate Shooting")</f>
        <v>Indiscriminate Shooting</v>
      </c>
      <c r="AB1072" s="8"/>
      <c r="AC1072" s="8" t="str">
        <f ca="1">IFERROR(__xludf.DUMMYFUNCTION("""COMPUTED_VALUE"""),"Yes")</f>
        <v>Yes</v>
      </c>
      <c r="AD1072" s="8" t="str">
        <f ca="1">IFERROR(__xludf.DUMMYFUNCTION("""COMPUTED_VALUE"""),"Random Shooting")</f>
        <v>Random Shooting</v>
      </c>
      <c r="AE1072" s="8" t="str">
        <f ca="1">IFERROR(__xludf.DUMMYFUNCTION("""COMPUTED_VALUE"""),"Yes")</f>
        <v>Yes</v>
      </c>
      <c r="AF1072" s="8" t="str">
        <f ca="1">IFERROR(__xludf.DUMMYFUNCTION("""COMPUTED_VALUE"""),"Three teens")</f>
        <v>Three teens</v>
      </c>
      <c r="AG1072" s="8" t="str">
        <f ca="1">IFERROR(__xludf.DUMMYFUNCTION("""COMPUTED_VALUE"""),"No")</f>
        <v>No</v>
      </c>
      <c r="AH1072" s="8" t="str">
        <f ca="1">IFERROR(__xludf.DUMMYFUNCTION("""COMPUTED_VALUE"""),"No")</f>
        <v>No</v>
      </c>
      <c r="AI1072" s="8" t="str">
        <f ca="1">IFERROR(__xludf.DUMMYFUNCTION("""COMPUTED_VALUE"""),"No")</f>
        <v>No</v>
      </c>
      <c r="AJ1072" s="8" t="str">
        <f ca="1">IFERROR(__xludf.DUMMYFUNCTION("""COMPUTED_VALUE"""),"No")</f>
        <v>No</v>
      </c>
      <c r="AK1072" s="8" t="str">
        <f ca="1">IFERROR(__xludf.DUMMYFUNCTION("""COMPUTED_VALUE"""),"No")</f>
        <v>No</v>
      </c>
      <c r="AL1072" s="8" t="str">
        <f ca="1">IFERROR(__xludf.DUMMYFUNCTION("""COMPUTED_VALUE"""),"No")</f>
        <v>No</v>
      </c>
      <c r="AM1072" s="8" t="str">
        <f ca="1">IFERROR(__xludf.DUMMYFUNCTION("""COMPUTED_VALUE"""),"No")</f>
        <v>No</v>
      </c>
      <c r="AN1072" s="8"/>
      <c r="AO1072" s="8" t="str">
        <f ca="1">IFERROR(__xludf.DUMMYFUNCTION("""COMPUTED_VALUE"""),"No")</f>
        <v>No</v>
      </c>
      <c r="AP1072" s="8" t="str">
        <f ca="1">IFERROR(__xludf.DUMMYFUNCTION("""COMPUTED_VALUE"""),"No")</f>
        <v>No</v>
      </c>
      <c r="AQ1072" s="8"/>
      <c r="AR1072" s="8" t="str">
        <f ca="1">IFERROR(__xludf.DUMMYFUNCTION("""COMPUTED_VALUE"""),"Outside/Off-Property")</f>
        <v>Outside/Off-Property</v>
      </c>
      <c r="AS1072" s="8">
        <f ca="1">IFERROR(__xludf.DUMMYFUNCTION("""COMPUTED_VALUE"""),99)</f>
        <v>99</v>
      </c>
      <c r="AT1072" s="8"/>
      <c r="AU1072" s="8">
        <f ca="1">IFERROR(__xludf.DUMMYFUNCTION("""COMPUTED_VALUE"""),32.765519)</f>
        <v>32.765518999999998</v>
      </c>
      <c r="AV1072" s="8">
        <f ca="1">IFERROR(__xludf.DUMMYFUNCTION("""COMPUTED_VALUE"""),-89.091516)</f>
        <v>-89.091515999999999</v>
      </c>
      <c r="AW1072" s="8"/>
      <c r="AX1072" s="8">
        <f ca="1">IFERROR(__xludf.DUMMYFUNCTION("""COMPUTED_VALUE"""),39350)</f>
        <v>39350</v>
      </c>
    </row>
    <row r="1073" spans="1:50" ht="60" x14ac:dyDescent="0.2">
      <c r="A1073" s="8" t="str">
        <f ca="1">IFERROR(__xludf.DUMMYFUNCTION("""COMPUTED_VALUE"""),"20220413MISHS")</f>
        <v>20220413MISHS</v>
      </c>
      <c r="B1073" s="8">
        <f ca="1">IFERROR(__xludf.DUMMYFUNCTION("""COMPUTED_VALUE"""),4)</f>
        <v>4</v>
      </c>
      <c r="C1073" s="8">
        <f ca="1">IFERROR(__xludf.DUMMYFUNCTION("""COMPUTED_VALUE"""),13)</f>
        <v>13</v>
      </c>
      <c r="D1073" s="8">
        <f ca="1">IFERROR(__xludf.DUMMYFUNCTION("""COMPUTED_VALUE"""),2022)</f>
        <v>2022</v>
      </c>
      <c r="E1073" s="9">
        <f ca="1">IFERROR(__xludf.DUMMYFUNCTION("""COMPUTED_VALUE"""),44664)</f>
        <v>44664</v>
      </c>
      <c r="F1073" s="8" t="str">
        <f ca="1">IFERROR(__xludf.DUMMYFUNCTION("""COMPUTED_VALUE"""),"Shelters Elementary School")</f>
        <v>Shelters Elementary School</v>
      </c>
      <c r="G1073" s="8">
        <f ca="1">IFERROR(__xludf.DUMMYFUNCTION("""COMPUTED_VALUE"""),0)</f>
        <v>0</v>
      </c>
      <c r="H1073" s="8">
        <f ca="1">IFERROR(__xludf.DUMMYFUNCTION("""COMPUTED_VALUE"""),0)</f>
        <v>0</v>
      </c>
      <c r="I1073" s="8">
        <f ca="1">IFERROR(__xludf.DUMMYFUNCTION("""COMPUTED_VALUE"""),0)</f>
        <v>0</v>
      </c>
      <c r="J1073" s="8">
        <f ca="1">IFERROR(__xludf.DUMMYFUNCTION("""COMPUTED_VALUE"""),0)</f>
        <v>0</v>
      </c>
      <c r="K1073" s="10" t="str">
        <f ca="1">IFERROR(__xludf.DUMMYFUNCTION("""COMPUTED_VALUE"""),"https://www.clickondetroit.com/news/local/2022/04/13/11-year-old-shoots-fellow-student-with-bb-gun-during-recess-at-elementary-school-in-southgate/")</f>
        <v>https://www.clickondetroit.com/news/local/2022/04/13/11-year-old-shoots-fellow-student-with-bb-gun-during-recess-at-elementary-school-in-southgate/</v>
      </c>
      <c r="L1073" s="8">
        <f ca="1">IFERROR(__xludf.DUMMYFUNCTION("""COMPUTED_VALUE"""),1)</f>
        <v>1</v>
      </c>
      <c r="M1073" s="8" t="str">
        <f ca="1">IFERROR(__xludf.DUMMYFUNCTION("""COMPUTED_VALUE"""),"Local")</f>
        <v>Local</v>
      </c>
      <c r="N1073" s="8">
        <f ca="1">IFERROR(__xludf.DUMMYFUNCTION("""COMPUTED_VALUE"""),4)</f>
        <v>4</v>
      </c>
      <c r="O1073" s="8" t="str">
        <f ca="1">IFERROR(__xludf.DUMMYFUNCTION("""COMPUTED_VALUE"""),"Spring")</f>
        <v>Spring</v>
      </c>
      <c r="P1073" s="8" t="str">
        <f ca="1">IFERROR(__xludf.DUMMYFUNCTION("""COMPUTED_VALUE"""),"Southgate")</f>
        <v>Southgate</v>
      </c>
      <c r="Q1073" s="8" t="str">
        <f ca="1">IFERROR(__xludf.DUMMYFUNCTION("""COMPUTED_VALUE"""),"MI")</f>
        <v>MI</v>
      </c>
      <c r="R1073" s="8" t="str">
        <f ca="1">IFERROR(__xludf.DUMMYFUNCTION("""COMPUTED_VALUE"""),"Elementary")</f>
        <v>Elementary</v>
      </c>
      <c r="S1073" s="8" t="str">
        <f ca="1">IFERROR(__xludf.DUMMYFUNCTION("""COMPUTED_VALUE"""),"Playground")</f>
        <v>Playground</v>
      </c>
      <c r="T1073" s="8" t="str">
        <f ca="1">IFERROR(__xludf.DUMMYFUNCTION("""COMPUTED_VALUE"""),"Outside on School Property")</f>
        <v>Outside on School Property</v>
      </c>
      <c r="U1073" s="8" t="str">
        <f ca="1">IFERROR(__xludf.DUMMYFUNCTION("""COMPUTED_VALUE"""),"Yes")</f>
        <v>Yes</v>
      </c>
      <c r="V1073" s="8" t="str">
        <f ca="1">IFERROR(__xludf.DUMMYFUNCTION("""COMPUTED_VALUE"""),"Afternoon Classes")</f>
        <v>Afternoon Classes</v>
      </c>
      <c r="W1073" s="11">
        <f ca="1">IFERROR(__xludf.DUMMYFUNCTION("""COMPUTED_VALUE"""),0.541666666666666)</f>
        <v>0.54166666666666596</v>
      </c>
      <c r="X1073" s="8">
        <f ca="1">IFERROR(__xludf.DUMMYFUNCTION("""COMPUTED_VALUE"""),1)</f>
        <v>1</v>
      </c>
      <c r="Y1073" s="12" t="str">
        <f ca="1">IFERROR(__xludf.DUMMYFUNCTION("""COMPUTED_VALUE"""),"Student shot another student with a BB gun during recess")</f>
        <v>Student shot another student with a BB gun during recess</v>
      </c>
      <c r="Z1073" s="12" t="str">
        <f ca="1">IFERROR(__xludf.DUMMYFUNCTION("""COMPUTED_VALUE"""),"An 11-year-old male student shot a classmate on the playground during recess with a BB gun that was a replica of a real handgun. Student was detained by the SRO. Criminal charges pending.")</f>
        <v>An 11-year-old male student shot a classmate on the playground during recess with a BB gun that was a replica of a real handgun. Student was detained by the SRO. Criminal charges pending.</v>
      </c>
      <c r="AA1073" s="8"/>
      <c r="AB1073" s="8"/>
      <c r="AC1073" s="8" t="str">
        <f ca="1">IFERROR(__xludf.DUMMYFUNCTION("""COMPUTED_VALUE"""),"Yes")</f>
        <v>Yes</v>
      </c>
      <c r="AD1073" s="8" t="str">
        <f ca="1">IFERROR(__xludf.DUMMYFUNCTION("""COMPUTED_VALUE"""),"Victims Targeted")</f>
        <v>Victims Targeted</v>
      </c>
      <c r="AE1073" s="8" t="str">
        <f ca="1">IFERROR(__xludf.DUMMYFUNCTION("""COMPUTED_VALUE"""),"No")</f>
        <v>No</v>
      </c>
      <c r="AF1073" s="8"/>
      <c r="AG1073" s="8" t="str">
        <f ca="1">IFERROR(__xludf.DUMMYFUNCTION("""COMPUTED_VALUE"""),"No")</f>
        <v>No</v>
      </c>
      <c r="AH1073" s="8" t="str">
        <f ca="1">IFERROR(__xludf.DUMMYFUNCTION("""COMPUTED_VALUE"""),"No")</f>
        <v>No</v>
      </c>
      <c r="AI1073" s="8" t="str">
        <f ca="1">IFERROR(__xludf.DUMMYFUNCTION("""COMPUTED_VALUE"""),"No")</f>
        <v>No</v>
      </c>
      <c r="AJ1073" s="8"/>
      <c r="AK1073" s="8" t="str">
        <f ca="1">IFERROR(__xludf.DUMMYFUNCTION("""COMPUTED_VALUE"""),"No")</f>
        <v>No</v>
      </c>
      <c r="AL1073" s="8" t="str">
        <f ca="1">IFERROR(__xludf.DUMMYFUNCTION("""COMPUTED_VALUE"""),"No")</f>
        <v>No</v>
      </c>
      <c r="AM1073" s="8" t="str">
        <f ca="1">IFERROR(__xludf.DUMMYFUNCTION("""COMPUTED_VALUE"""),"No")</f>
        <v>No</v>
      </c>
      <c r="AN1073" s="8"/>
      <c r="AO1073" s="8" t="str">
        <f ca="1">IFERROR(__xludf.DUMMYFUNCTION("""COMPUTED_VALUE"""),"No")</f>
        <v>No</v>
      </c>
      <c r="AP1073" s="8" t="str">
        <f ca="1">IFERROR(__xludf.DUMMYFUNCTION("""COMPUTED_VALUE"""),"Yes")</f>
        <v>Yes</v>
      </c>
      <c r="AQ1073" s="8"/>
      <c r="AR1073" s="8" t="str">
        <f ca="1">IFERROR(__xludf.DUMMYFUNCTION("""COMPUTED_VALUE"""),"Bypassed")</f>
        <v>Bypassed</v>
      </c>
      <c r="AS1073" s="8">
        <f ca="1">IFERROR(__xludf.DUMMYFUNCTION("""COMPUTED_VALUE"""),1)</f>
        <v>1</v>
      </c>
      <c r="AT1073" s="8" t="str">
        <f ca="1">IFERROR(__xludf.DUMMYFUNCTION("""COMPUTED_VALUE"""),"No")</f>
        <v>No</v>
      </c>
      <c r="AU1073" s="8">
        <f ca="1">IFERROR(__xludf.DUMMYFUNCTION("""COMPUTED_VALUE"""),42.215402)</f>
        <v>42.215401999999997</v>
      </c>
      <c r="AV1073" s="8">
        <f ca="1">IFERROR(__xludf.DUMMYFUNCTION("""COMPUTED_VALUE"""),-83.200552)</f>
        <v>-83.200552000000002</v>
      </c>
      <c r="AW1073" s="8"/>
      <c r="AX1073" s="8">
        <f ca="1">IFERROR(__xludf.DUMMYFUNCTION("""COMPUTED_VALUE"""),48195)</f>
        <v>48195</v>
      </c>
    </row>
    <row r="1074" spans="1:50" ht="60" x14ac:dyDescent="0.2">
      <c r="A1074" s="8" t="str">
        <f ca="1">IFERROR(__xludf.DUMMYFUNCTION("""COMPUTED_VALUE"""),"20220411ARPIP")</f>
        <v>20220411ARPIP</v>
      </c>
      <c r="B1074" s="8">
        <f ca="1">IFERROR(__xludf.DUMMYFUNCTION("""COMPUTED_VALUE"""),4)</f>
        <v>4</v>
      </c>
      <c r="C1074" s="8">
        <f ca="1">IFERROR(__xludf.DUMMYFUNCTION("""COMPUTED_VALUE"""),11)</f>
        <v>11</v>
      </c>
      <c r="D1074" s="8">
        <f ca="1">IFERROR(__xludf.DUMMYFUNCTION("""COMPUTED_VALUE"""),2022)</f>
        <v>2022</v>
      </c>
      <c r="E1074" s="9">
        <f ca="1">IFERROR(__xludf.DUMMYFUNCTION("""COMPUTED_VALUE"""),44662)</f>
        <v>44662</v>
      </c>
      <c r="F1074" s="8" t="str">
        <f ca="1">IFERROR(__xludf.DUMMYFUNCTION("""COMPUTED_VALUE"""),"Pine Bluff High School")</f>
        <v>Pine Bluff High School</v>
      </c>
      <c r="G1074" s="8">
        <f ca="1">IFERROR(__xludf.DUMMYFUNCTION("""COMPUTED_VALUE"""),0)</f>
        <v>0</v>
      </c>
      <c r="H1074" s="8">
        <f ca="1">IFERROR(__xludf.DUMMYFUNCTION("""COMPUTED_VALUE"""),0)</f>
        <v>0</v>
      </c>
      <c r="I1074" s="8">
        <f ca="1">IFERROR(__xludf.DUMMYFUNCTION("""COMPUTED_VALUE"""),0)</f>
        <v>0</v>
      </c>
      <c r="J1074" s="8">
        <f ca="1">IFERROR(__xludf.DUMMYFUNCTION("""COMPUTED_VALUE"""),0)</f>
        <v>0</v>
      </c>
      <c r="K1074" s="8" t="str">
        <f ca="1">IFERROR(__xludf.DUMMYFUNCTION("""COMPUTED_VALUE"""),"https://katv.com/news/local/gunshots-fired-at-pine-bluff-high-school-pbhs-police-department-pbpd-male-juvenile-officer-parking-lot-south-mcgeorge-building-southern-edge-campus-person-property-gunfire-lockdown-protocol-press-release-lieutenant-david-de-foo"&amp;"r https://www.kark.com/news/local-news/police-shots-fired-at-pine-bluff-high-school-campus-no-known-injuries/")</f>
        <v>https://katv.com/news/local/gunshots-fired-at-pine-bluff-high-school-pbhs-police-department-pbpd-male-juvenile-officer-parking-lot-south-mcgeorge-building-southern-edge-campus-person-property-gunfire-lockdown-protocol-press-release-lieutenant-david-de-foor https://www.kark.com/news/local-news/police-shots-fired-at-pine-bluff-high-school-campus-no-known-injuries/</v>
      </c>
      <c r="L1074" s="8">
        <f ca="1">IFERROR(__xludf.DUMMYFUNCTION("""COMPUTED_VALUE"""),2)</f>
        <v>2</v>
      </c>
      <c r="M1074" s="8" t="str">
        <f ca="1">IFERROR(__xludf.DUMMYFUNCTION("""COMPUTED_VALUE"""),"Local")</f>
        <v>Local</v>
      </c>
      <c r="N1074" s="8">
        <f ca="1">IFERROR(__xludf.DUMMYFUNCTION("""COMPUTED_VALUE"""),3)</f>
        <v>3</v>
      </c>
      <c r="O1074" s="8" t="str">
        <f ca="1">IFERROR(__xludf.DUMMYFUNCTION("""COMPUTED_VALUE"""),"Spring")</f>
        <v>Spring</v>
      </c>
      <c r="P1074" s="8" t="str">
        <f ca="1">IFERROR(__xludf.DUMMYFUNCTION("""COMPUTED_VALUE"""),"Pine Bluff")</f>
        <v>Pine Bluff</v>
      </c>
      <c r="Q1074" s="8" t="str">
        <f ca="1">IFERROR(__xludf.DUMMYFUNCTION("""COMPUTED_VALUE"""),"AR")</f>
        <v>AR</v>
      </c>
      <c r="R1074" s="8" t="str">
        <f ca="1">IFERROR(__xludf.DUMMYFUNCTION("""COMPUTED_VALUE"""),"High")</f>
        <v>High</v>
      </c>
      <c r="S1074" s="8" t="str">
        <f ca="1">IFERROR(__xludf.DUMMYFUNCTION("""COMPUTED_VALUE"""),"Parking Lot")</f>
        <v>Parking Lot</v>
      </c>
      <c r="T1074" s="8" t="str">
        <f ca="1">IFERROR(__xludf.DUMMYFUNCTION("""COMPUTED_VALUE"""),"Outside on School Property")</f>
        <v>Outside on School Property</v>
      </c>
      <c r="U1074" s="8" t="str">
        <f ca="1">IFERROR(__xludf.DUMMYFUNCTION("""COMPUTED_VALUE"""),"Yes")</f>
        <v>Yes</v>
      </c>
      <c r="V1074" s="8" t="str">
        <f ca="1">IFERROR(__xludf.DUMMYFUNCTION("""COMPUTED_VALUE"""),"Afternoon Classes")</f>
        <v>Afternoon Classes</v>
      </c>
      <c r="W1074" s="11">
        <f ca="1">IFERROR(__xludf.DUMMYFUNCTION("""COMPUTED_VALUE"""),0.614583333333333)</f>
        <v>0.61458333333333304</v>
      </c>
      <c r="X1074" s="8">
        <f ca="1">IFERROR(__xludf.DUMMYFUNCTION("""COMPUTED_VALUE"""),1)</f>
        <v>1</v>
      </c>
      <c r="Y1074" s="12" t="str">
        <f ca="1">IFERROR(__xludf.DUMMYFUNCTION("""COMPUTED_VALUE"""),"Officer assigned school heard gunshots in parking lot")</f>
        <v>Officer assigned school heard gunshots in parking lot</v>
      </c>
      <c r="Z1074" s="12" t="str">
        <f ca="1">IFERROR(__xludf.DUMMYFUNCTION("""COMPUTED_VALUE"""),"Off duty police officer working at the school heard gunshots fired in the parking lot. School went on lockdown. No victims. An unidentified juvenile was detained.")</f>
        <v>Off duty police officer working at the school heard gunshots fired in the parking lot. School went on lockdown. No victims. An unidentified juvenile was detained.</v>
      </c>
      <c r="AA1074" s="8"/>
      <c r="AB1074" s="8"/>
      <c r="AC1074" s="8" t="str">
        <f ca="1">IFERROR(__xludf.DUMMYFUNCTION("""COMPUTED_VALUE"""),"Yes")</f>
        <v>Yes</v>
      </c>
      <c r="AD1074" s="8"/>
      <c r="AE1074" s="8" t="str">
        <f ca="1">IFERROR(__xludf.DUMMYFUNCTION("""COMPUTED_VALUE"""),"No")</f>
        <v>No</v>
      </c>
      <c r="AF1074" s="8"/>
      <c r="AG1074" s="8" t="str">
        <f ca="1">IFERROR(__xludf.DUMMYFUNCTION("""COMPUTED_VALUE"""),"No")</f>
        <v>No</v>
      </c>
      <c r="AH1074" s="8" t="str">
        <f ca="1">IFERROR(__xludf.DUMMYFUNCTION("""COMPUTED_VALUE"""),"No")</f>
        <v>No</v>
      </c>
      <c r="AI1074" s="8" t="str">
        <f ca="1">IFERROR(__xludf.DUMMYFUNCTION("""COMPUTED_VALUE"""),"No")</f>
        <v>No</v>
      </c>
      <c r="AJ1074" s="8" t="str">
        <f ca="1">IFERROR(__xludf.DUMMYFUNCTION("""COMPUTED_VALUE"""),"No")</f>
        <v>No</v>
      </c>
      <c r="AK1074" s="8" t="str">
        <f ca="1">IFERROR(__xludf.DUMMYFUNCTION("""COMPUTED_VALUE"""),"No")</f>
        <v>No</v>
      </c>
      <c r="AL1074" s="8"/>
      <c r="AM1074" s="8" t="str">
        <f ca="1">IFERROR(__xludf.DUMMYFUNCTION("""COMPUTED_VALUE"""),"No")</f>
        <v>No</v>
      </c>
      <c r="AN1074" s="8"/>
      <c r="AO1074" s="8" t="str">
        <f ca="1">IFERROR(__xludf.DUMMYFUNCTION("""COMPUTED_VALUE"""),"No")</f>
        <v>No</v>
      </c>
      <c r="AP1074" s="8" t="str">
        <f ca="1">IFERROR(__xludf.DUMMYFUNCTION("""COMPUTED_VALUE"""),"No")</f>
        <v>No</v>
      </c>
      <c r="AQ1074" s="8"/>
      <c r="AR1074" s="8" t="str">
        <f ca="1">IFERROR(__xludf.DUMMYFUNCTION("""COMPUTED_VALUE"""),"Outside/Off-Property")</f>
        <v>Outside/Off-Property</v>
      </c>
      <c r="AS1074" s="8">
        <f ca="1">IFERROR(__xludf.DUMMYFUNCTION("""COMPUTED_VALUE"""),99)</f>
        <v>99</v>
      </c>
      <c r="AT1074" s="8" t="str">
        <f ca="1">IFERROR(__xludf.DUMMYFUNCTION("""COMPUTED_VALUE"""),"Yes")</f>
        <v>Yes</v>
      </c>
      <c r="AU1074" s="8">
        <f ca="1">IFERROR(__xludf.DUMMYFUNCTION("""COMPUTED_VALUE"""),34.218952)</f>
        <v>34.218952000000002</v>
      </c>
      <c r="AV1074" s="8">
        <f ca="1">IFERROR(__xludf.DUMMYFUNCTION("""COMPUTED_VALUE"""),-92.009258)</f>
        <v>-92.009258000000003</v>
      </c>
      <c r="AW1074" s="8"/>
      <c r="AX1074" s="8">
        <f ca="1">IFERROR(__xludf.DUMMYFUNCTION("""COMPUTED_VALUE"""),71603)</f>
        <v>71603</v>
      </c>
    </row>
    <row r="1075" spans="1:50" ht="60" x14ac:dyDescent="0.2">
      <c r="A1075" s="8" t="str">
        <f ca="1">IFERROR(__xludf.DUMMYFUNCTION("""COMPUTED_VALUE"""),"20220410MALYL")</f>
        <v>20220410MALYL</v>
      </c>
      <c r="B1075" s="8">
        <f ca="1">IFERROR(__xludf.DUMMYFUNCTION("""COMPUTED_VALUE"""),4)</f>
        <v>4</v>
      </c>
      <c r="C1075" s="8">
        <f ca="1">IFERROR(__xludf.DUMMYFUNCTION("""COMPUTED_VALUE"""),10)</f>
        <v>10</v>
      </c>
      <c r="D1075" s="8">
        <f ca="1">IFERROR(__xludf.DUMMYFUNCTION("""COMPUTED_VALUE"""),2022)</f>
        <v>2022</v>
      </c>
      <c r="E1075" s="9">
        <f ca="1">IFERROR(__xludf.DUMMYFUNCTION("""COMPUTED_VALUE"""),44661)</f>
        <v>44661</v>
      </c>
      <c r="F1075" s="8" t="str">
        <f ca="1">IFERROR(__xludf.DUMMYFUNCTION("""COMPUTED_VALUE"""),"Lynn English High School")</f>
        <v>Lynn English High School</v>
      </c>
      <c r="G1075" s="8">
        <f ca="1">IFERROR(__xludf.DUMMYFUNCTION("""COMPUTED_VALUE"""),1)</f>
        <v>1</v>
      </c>
      <c r="H1075" s="8">
        <f ca="1">IFERROR(__xludf.DUMMYFUNCTION("""COMPUTED_VALUE"""),0)</f>
        <v>0</v>
      </c>
      <c r="I1075" s="8">
        <f ca="1">IFERROR(__xludf.DUMMYFUNCTION("""COMPUTED_VALUE"""),1)</f>
        <v>1</v>
      </c>
      <c r="J1075" s="8">
        <f ca="1">IFERROR(__xludf.DUMMYFUNCTION("""COMPUTED_VALUE"""),0)</f>
        <v>0</v>
      </c>
      <c r="K1075" s="8" t="str">
        <f ca="1">IFERROR(__xludf.DUMMYFUNCTION("""COMPUTED_VALUE"""),"https://www.bostonglobe.com/2022/04/10/metro/20-year-old-man-found-dead-lynn-after-report-gunshots-near-english-high-school/ https://www.nbcboston.com/news/local/one-killed-in-lynn-shooting/2690435/")</f>
        <v>https://www.bostonglobe.com/2022/04/10/metro/20-year-old-man-found-dead-lynn-after-report-gunshots-near-english-high-school/ https://www.nbcboston.com/news/local/one-killed-in-lynn-shooting/2690435/</v>
      </c>
      <c r="L1075" s="8">
        <f ca="1">IFERROR(__xludf.DUMMYFUNCTION("""COMPUTED_VALUE"""),5)</f>
        <v>5</v>
      </c>
      <c r="M1075" s="8" t="str">
        <f ca="1">IFERROR(__xludf.DUMMYFUNCTION("""COMPUTED_VALUE"""),"Regional")</f>
        <v>Regional</v>
      </c>
      <c r="N1075" s="8">
        <f ca="1">IFERROR(__xludf.DUMMYFUNCTION("""COMPUTED_VALUE"""),4)</f>
        <v>4</v>
      </c>
      <c r="O1075" s="8" t="str">
        <f ca="1">IFERROR(__xludf.DUMMYFUNCTION("""COMPUTED_VALUE"""),"Spring")</f>
        <v>Spring</v>
      </c>
      <c r="P1075" s="8" t="str">
        <f ca="1">IFERROR(__xludf.DUMMYFUNCTION("""COMPUTED_VALUE"""),"Lynn")</f>
        <v>Lynn</v>
      </c>
      <c r="Q1075" s="8" t="str">
        <f ca="1">IFERROR(__xludf.DUMMYFUNCTION("""COMPUTED_VALUE"""),"MA")</f>
        <v>MA</v>
      </c>
      <c r="R1075" s="8" t="str">
        <f ca="1">IFERROR(__xludf.DUMMYFUNCTION("""COMPUTED_VALUE"""),"High")</f>
        <v>High</v>
      </c>
      <c r="S1075" s="8" t="str">
        <f ca="1">IFERROR(__xludf.DUMMYFUNCTION("""COMPUTED_VALUE"""),"Parking Lot")</f>
        <v>Parking Lot</v>
      </c>
      <c r="T1075" s="8" t="str">
        <f ca="1">IFERROR(__xludf.DUMMYFUNCTION("""COMPUTED_VALUE"""),"Outside on School Property")</f>
        <v>Outside on School Property</v>
      </c>
      <c r="U1075" s="8" t="str">
        <f ca="1">IFERROR(__xludf.DUMMYFUNCTION("""COMPUTED_VALUE"""),"No")</f>
        <v>No</v>
      </c>
      <c r="V1075" s="8" t="str">
        <f ca="1">IFERROR(__xludf.DUMMYFUNCTION("""COMPUTED_VALUE"""),"Night")</f>
        <v>Night</v>
      </c>
      <c r="W1075" s="11">
        <f ca="1">IFERROR(__xludf.DUMMYFUNCTION("""COMPUTED_VALUE"""),0.0416666666666666)</f>
        <v>4.1666666666666602E-2</v>
      </c>
      <c r="X1075" s="8">
        <f ca="1">IFERROR(__xludf.DUMMYFUNCTION("""COMPUTED_VALUE"""),1)</f>
        <v>1</v>
      </c>
      <c r="Y1075" s="12" t="str">
        <f ca="1">IFERROR(__xludf.DUMMYFUNCTION("""COMPUTED_VALUE"""),"Man fatally shot near the loading dock behind the school")</f>
        <v>Man fatally shot near the loading dock behind the school</v>
      </c>
      <c r="Z1075" s="12" t="str">
        <f ca="1">IFERROR(__xludf.DUMMYFUNCTION("""COMPUTED_VALUE"""),"A 20-year-old man was fatally shot 4 times near the loading dock in the parking lot behind the school. Neighbors heard the shots and called police. Shooter fled.")</f>
        <v>A 20-year-old man was fatally shot 4 times near the loading dock in the parking lot behind the school. Neighbors heard the shots and called police. Shooter fled.</v>
      </c>
      <c r="AA1075" s="8"/>
      <c r="AB1075" s="8"/>
      <c r="AC1075" s="8" t="str">
        <f ca="1">IFERROR(__xludf.DUMMYFUNCTION("""COMPUTED_VALUE"""),"No")</f>
        <v>No</v>
      </c>
      <c r="AD1075" s="8" t="str">
        <f ca="1">IFERROR(__xludf.DUMMYFUNCTION("""COMPUTED_VALUE"""),"Victims Targeted")</f>
        <v>Victims Targeted</v>
      </c>
      <c r="AE1075" s="8" t="str">
        <f ca="1">IFERROR(__xludf.DUMMYFUNCTION("""COMPUTED_VALUE"""),"No")</f>
        <v>No</v>
      </c>
      <c r="AF1075" s="8"/>
      <c r="AG1075" s="8" t="str">
        <f ca="1">IFERROR(__xludf.DUMMYFUNCTION("""COMPUTED_VALUE"""),"No")</f>
        <v>No</v>
      </c>
      <c r="AH1075" s="8" t="str">
        <f ca="1">IFERROR(__xludf.DUMMYFUNCTION("""COMPUTED_VALUE"""),"No")</f>
        <v>No</v>
      </c>
      <c r="AI1075" s="8" t="str">
        <f ca="1">IFERROR(__xludf.DUMMYFUNCTION("""COMPUTED_VALUE"""),"No")</f>
        <v>No</v>
      </c>
      <c r="AJ1075" s="8" t="str">
        <f ca="1">IFERROR(__xludf.DUMMYFUNCTION("""COMPUTED_VALUE"""),"No")</f>
        <v>No</v>
      </c>
      <c r="AK1075" s="8" t="str">
        <f ca="1">IFERROR(__xludf.DUMMYFUNCTION("""COMPUTED_VALUE"""),"No")</f>
        <v>No</v>
      </c>
      <c r="AL1075" s="8"/>
      <c r="AM1075" s="8" t="str">
        <f ca="1">IFERROR(__xludf.DUMMYFUNCTION("""COMPUTED_VALUE"""),"No")</f>
        <v>No</v>
      </c>
      <c r="AN1075" s="8"/>
      <c r="AO1075" s="8" t="str">
        <f ca="1">IFERROR(__xludf.DUMMYFUNCTION("""COMPUTED_VALUE"""),"No")</f>
        <v>No</v>
      </c>
      <c r="AP1075" s="8"/>
      <c r="AQ1075" s="8"/>
      <c r="AR1075" s="8"/>
      <c r="AS1075" s="8">
        <f ca="1">IFERROR(__xludf.DUMMYFUNCTION("""COMPUTED_VALUE"""),4)</f>
        <v>4</v>
      </c>
      <c r="AT1075" s="8" t="str">
        <f ca="1">IFERROR(__xludf.DUMMYFUNCTION("""COMPUTED_VALUE"""),"No")</f>
        <v>No</v>
      </c>
      <c r="AU1075" s="8">
        <f ca="1">IFERROR(__xludf.DUMMYFUNCTION("""COMPUTED_VALUE"""),42.477214)</f>
        <v>42.477213999999996</v>
      </c>
      <c r="AV1075" s="8">
        <f ca="1">IFERROR(__xludf.DUMMYFUNCTION("""COMPUTED_VALUE"""),-70.944101)</f>
        <v>-70.944101000000003</v>
      </c>
      <c r="AW1075" s="8"/>
      <c r="AX1075" s="8">
        <f ca="1">IFERROR(__xludf.DUMMYFUNCTION("""COMPUTED_VALUE"""),1902)</f>
        <v>1902</v>
      </c>
    </row>
    <row r="1076" spans="1:50" ht="90" x14ac:dyDescent="0.2">
      <c r="A1076" s="8" t="str">
        <f ca="1">IFERROR(__xludf.DUMMYFUNCTION("""COMPUTED_VALUE"""),"20220406WVRIR")</f>
        <v>20220406WVRIR</v>
      </c>
      <c r="B1076" s="8">
        <f ca="1">IFERROR(__xludf.DUMMYFUNCTION("""COMPUTED_VALUE"""),4)</f>
        <v>4</v>
      </c>
      <c r="C1076" s="8">
        <f ca="1">IFERROR(__xludf.DUMMYFUNCTION("""COMPUTED_VALUE"""),6)</f>
        <v>6</v>
      </c>
      <c r="D1076" s="8">
        <f ca="1">IFERROR(__xludf.DUMMYFUNCTION("""COMPUTED_VALUE"""),2022)</f>
        <v>2022</v>
      </c>
      <c r="E1076" s="9">
        <f ca="1">IFERROR(__xludf.DUMMYFUNCTION("""COMPUTED_VALUE"""),44657)</f>
        <v>44657</v>
      </c>
      <c r="F1076" s="8" t="str">
        <f ca="1">IFERROR(__xludf.DUMMYFUNCTION("""COMPUTED_VALUE"""),"Ripley Middle School")</f>
        <v>Ripley Middle School</v>
      </c>
      <c r="G1076" s="8">
        <f ca="1">IFERROR(__xludf.DUMMYFUNCTION("""COMPUTED_VALUE"""),0)</f>
        <v>0</v>
      </c>
      <c r="H1076" s="8">
        <f ca="1">IFERROR(__xludf.DUMMYFUNCTION("""COMPUTED_VALUE"""),0)</f>
        <v>0</v>
      </c>
      <c r="I1076" s="8">
        <f ca="1">IFERROR(__xludf.DUMMYFUNCTION("""COMPUTED_VALUE"""),0)</f>
        <v>0</v>
      </c>
      <c r="J1076" s="8">
        <f ca="1">IFERROR(__xludf.DUMMYFUNCTION("""COMPUTED_VALUE"""),0)</f>
        <v>0</v>
      </c>
      <c r="K1076" s="8" t="str">
        <f ca="1">IFERROR(__xludf.DUMMYFUNCTION("""COMPUTED_VALUE"""),"https://www.wsaz.com/2022/04/06/student-custody-after-bringing-gun-school-bus/ https://wvmetronews.com/2022/04/06/two-teens-arrested-in-school-shooting-plot/")</f>
        <v>https://www.wsaz.com/2022/04/06/student-custody-after-bringing-gun-school-bus/ https://wvmetronews.com/2022/04/06/two-teens-arrested-in-school-shooting-plot/</v>
      </c>
      <c r="L1076" s="8">
        <f ca="1">IFERROR(__xludf.DUMMYFUNCTION("""COMPUTED_VALUE"""),3)</f>
        <v>3</v>
      </c>
      <c r="M1076" s="8" t="str">
        <f ca="1">IFERROR(__xludf.DUMMYFUNCTION("""COMPUTED_VALUE"""),"Local")</f>
        <v>Local</v>
      </c>
      <c r="N1076" s="8">
        <f ca="1">IFERROR(__xludf.DUMMYFUNCTION("""COMPUTED_VALUE"""),4)</f>
        <v>4</v>
      </c>
      <c r="O1076" s="8" t="str">
        <f ca="1">IFERROR(__xludf.DUMMYFUNCTION("""COMPUTED_VALUE"""),"Spring")</f>
        <v>Spring</v>
      </c>
      <c r="P1076" s="8" t="str">
        <f ca="1">IFERROR(__xludf.DUMMYFUNCTION("""COMPUTED_VALUE"""),"Ripley")</f>
        <v>Ripley</v>
      </c>
      <c r="Q1076" s="8" t="str">
        <f ca="1">IFERROR(__xludf.DUMMYFUNCTION("""COMPUTED_VALUE"""),"WV")</f>
        <v>WV</v>
      </c>
      <c r="R1076" s="8" t="str">
        <f ca="1">IFERROR(__xludf.DUMMYFUNCTION("""COMPUTED_VALUE"""),"Middle")</f>
        <v>Middle</v>
      </c>
      <c r="S1076" s="8" t="str">
        <f ca="1">IFERROR(__xludf.DUMMYFUNCTION("""COMPUTED_VALUE"""),"School Bus")</f>
        <v>School Bus</v>
      </c>
      <c r="T1076" s="8" t="str">
        <f ca="1">IFERROR(__xludf.DUMMYFUNCTION("""COMPUTED_VALUE"""),"School Bus")</f>
        <v>School Bus</v>
      </c>
      <c r="U1076" s="8" t="str">
        <f ca="1">IFERROR(__xludf.DUMMYFUNCTION("""COMPUTED_VALUE"""),"Yes")</f>
        <v>Yes</v>
      </c>
      <c r="V1076" s="8" t="str">
        <f ca="1">IFERROR(__xludf.DUMMYFUNCTION("""COMPUTED_VALUE"""),"School Start")</f>
        <v>School Start</v>
      </c>
      <c r="W1076" s="11">
        <f ca="1">IFERROR(__xludf.DUMMYFUNCTION("""COMPUTED_VALUE"""),0.333333333333333)</f>
        <v>0.33333333333333298</v>
      </c>
      <c r="X1076" s="8">
        <f ca="1">IFERROR(__xludf.DUMMYFUNCTION("""COMPUTED_VALUE"""),1)</f>
        <v>1</v>
      </c>
      <c r="Y1076" s="12" t="str">
        <f ca="1">IFERROR(__xludf.DUMMYFUNCTION("""COMPUTED_VALUE"""),"Student brandished gun on school bus, subdued by other students, planned execution of student")</f>
        <v>Student brandished gun on school bus, subdued by other students, planned execution of student</v>
      </c>
      <c r="Z1076" s="12" t="str">
        <f ca="1">IFERROR(__xludf.DUMMYFUNCTION("""COMPUTED_VALUE"""),"A 15-year-old student brandished a handgun on a school bus and was subdued by other students. They took out the magazine and gave it to the bus driver who evacuated the bus. Gun was stolen in burglary by shooter's older brother (16-year-old student). They"&amp;" planned to execute a student at the school that day.")</f>
        <v>A 15-year-old student brandished a handgun on a school bus and was subdued by other students. They took out the magazine and gave it to the bus driver who evacuated the bus. Gun was stolen in burglary by shooter's older brother (16-year-old student). They planned to execute a student at the school that day.</v>
      </c>
      <c r="AA1076" s="8"/>
      <c r="AB1076" s="8"/>
      <c r="AC1076" s="8" t="str">
        <f ca="1">IFERROR(__xludf.DUMMYFUNCTION("""COMPUTED_VALUE"""),"Yes")</f>
        <v>Yes</v>
      </c>
      <c r="AD1076" s="8" t="str">
        <f ca="1">IFERROR(__xludf.DUMMYFUNCTION("""COMPUTED_VALUE"""),"Victims Targeted")</f>
        <v>Victims Targeted</v>
      </c>
      <c r="AE1076" s="8" t="str">
        <f ca="1">IFERROR(__xludf.DUMMYFUNCTION("""COMPUTED_VALUE"""),"Yes")</f>
        <v>Yes</v>
      </c>
      <c r="AF1076" s="8" t="str">
        <f ca="1">IFERROR(__xludf.DUMMYFUNCTION("""COMPUTED_VALUE"""),"Two brothers, both students")</f>
        <v>Two brothers, both students</v>
      </c>
      <c r="AG1076" s="8" t="str">
        <f ca="1">IFERROR(__xludf.DUMMYFUNCTION("""COMPUTED_VALUE"""),"No")</f>
        <v>No</v>
      </c>
      <c r="AH1076" s="8" t="str">
        <f ca="1">IFERROR(__xludf.DUMMYFUNCTION("""COMPUTED_VALUE"""),"No")</f>
        <v>No</v>
      </c>
      <c r="AI1076" s="8" t="str">
        <f ca="1">IFERROR(__xludf.DUMMYFUNCTION("""COMPUTED_VALUE"""),"No")</f>
        <v>No</v>
      </c>
      <c r="AJ1076" s="8"/>
      <c r="AK1076" s="8" t="str">
        <f ca="1">IFERROR(__xludf.DUMMYFUNCTION("""COMPUTED_VALUE"""),"No")</f>
        <v>No</v>
      </c>
      <c r="AL1076" s="8" t="str">
        <f ca="1">IFERROR(__xludf.DUMMYFUNCTION("""COMPUTED_VALUE"""),"No")</f>
        <v>No</v>
      </c>
      <c r="AM1076" s="8" t="str">
        <f ca="1">IFERROR(__xludf.DUMMYFUNCTION("""COMPUTED_VALUE"""),"No")</f>
        <v>No</v>
      </c>
      <c r="AN1076" s="8"/>
      <c r="AO1076" s="8" t="str">
        <f ca="1">IFERROR(__xludf.DUMMYFUNCTION("""COMPUTED_VALUE"""),"Yes")</f>
        <v>Yes</v>
      </c>
      <c r="AP1076" s="8"/>
      <c r="AQ1076" s="8"/>
      <c r="AR1076" s="8"/>
      <c r="AS1076" s="8">
        <f ca="1">IFERROR(__xludf.DUMMYFUNCTION("""COMPUTED_VALUE"""),0)</f>
        <v>0</v>
      </c>
      <c r="AT1076" s="8"/>
      <c r="AU1076" s="8">
        <f ca="1">IFERROR(__xludf.DUMMYFUNCTION("""COMPUTED_VALUE"""),38.807202)</f>
        <v>38.807201999999997</v>
      </c>
      <c r="AV1076" s="8">
        <f ca="1">IFERROR(__xludf.DUMMYFUNCTION("""COMPUTED_VALUE"""),-81.704853)</f>
        <v>-81.704853</v>
      </c>
      <c r="AW1076" s="8"/>
      <c r="AX1076" s="8">
        <f ca="1">IFERROR(__xludf.DUMMYFUNCTION("""COMPUTED_VALUE"""),25271)</f>
        <v>25271</v>
      </c>
    </row>
    <row r="1077" spans="1:50" ht="45" x14ac:dyDescent="0.2">
      <c r="A1077" s="8" t="str">
        <f ca="1">IFERROR(__xludf.DUMMYFUNCTION("""COMPUTED_VALUE"""),"20220406WASTM")</f>
        <v>20220406WASTM</v>
      </c>
      <c r="B1077" s="8">
        <f ca="1">IFERROR(__xludf.DUMMYFUNCTION("""COMPUTED_VALUE"""),4)</f>
        <v>4</v>
      </c>
      <c r="C1077" s="8">
        <f ca="1">IFERROR(__xludf.DUMMYFUNCTION("""COMPUTED_VALUE"""),6)</f>
        <v>6</v>
      </c>
      <c r="D1077" s="8">
        <f ca="1">IFERROR(__xludf.DUMMYFUNCTION("""COMPUTED_VALUE"""),2022)</f>
        <v>2022</v>
      </c>
      <c r="E1077" s="9">
        <f ca="1">IFERROR(__xludf.DUMMYFUNCTION("""COMPUTED_VALUE"""),44657)</f>
        <v>44657</v>
      </c>
      <c r="F1077" s="8" t="str">
        <f ca="1">IFERROR(__xludf.DUMMYFUNCTION("""COMPUTED_VALUE"""),"St. Monica Catholic School")</f>
        <v>St. Monica Catholic School</v>
      </c>
      <c r="G1077" s="8">
        <f ca="1">IFERROR(__xludf.DUMMYFUNCTION("""COMPUTED_VALUE"""),0)</f>
        <v>0</v>
      </c>
      <c r="H1077" s="8">
        <f ca="1">IFERROR(__xludf.DUMMYFUNCTION("""COMPUTED_VALUE"""),0)</f>
        <v>0</v>
      </c>
      <c r="I1077" s="8">
        <f ca="1">IFERROR(__xludf.DUMMYFUNCTION("""COMPUTED_VALUE"""),0)</f>
        <v>0</v>
      </c>
      <c r="J1077" s="8">
        <f ca="1">IFERROR(__xludf.DUMMYFUNCTION("""COMPUTED_VALUE"""),0)</f>
        <v>0</v>
      </c>
      <c r="K1077" s="10" t="str">
        <f ca="1">IFERROR(__xludf.DUMMYFUNCTION("""COMPUTED_VALUE"""),"https://www.mi-reporter.com/news/island-police-investigating-possible-pellet-gun-shooting-on-school-playfield/")</f>
        <v>https://www.mi-reporter.com/news/island-police-investigating-possible-pellet-gun-shooting-on-school-playfield/</v>
      </c>
      <c r="L1077" s="8">
        <f ca="1">IFERROR(__xludf.DUMMYFUNCTION("""COMPUTED_VALUE"""),1)</f>
        <v>1</v>
      </c>
      <c r="M1077" s="8" t="str">
        <f ca="1">IFERROR(__xludf.DUMMYFUNCTION("""COMPUTED_VALUE"""),"Local")</f>
        <v>Local</v>
      </c>
      <c r="N1077" s="8">
        <f ca="1">IFERROR(__xludf.DUMMYFUNCTION("""COMPUTED_VALUE"""),3)</f>
        <v>3</v>
      </c>
      <c r="O1077" s="8" t="str">
        <f ca="1">IFERROR(__xludf.DUMMYFUNCTION("""COMPUTED_VALUE"""),"Spring")</f>
        <v>Spring</v>
      </c>
      <c r="P1077" s="8" t="str">
        <f ca="1">IFERROR(__xludf.DUMMYFUNCTION("""COMPUTED_VALUE"""),"Mercer Island")</f>
        <v>Mercer Island</v>
      </c>
      <c r="Q1077" s="8" t="str">
        <f ca="1">IFERROR(__xludf.DUMMYFUNCTION("""COMPUTED_VALUE"""),"WA")</f>
        <v>WA</v>
      </c>
      <c r="R1077" s="8" t="str">
        <f ca="1">IFERROR(__xludf.DUMMYFUNCTION("""COMPUTED_VALUE"""),"Elementary")</f>
        <v>Elementary</v>
      </c>
      <c r="S1077" s="8" t="str">
        <f ca="1">IFERROR(__xludf.DUMMYFUNCTION("""COMPUTED_VALUE"""),"Playground")</f>
        <v>Playground</v>
      </c>
      <c r="T1077" s="8" t="str">
        <f ca="1">IFERROR(__xludf.DUMMYFUNCTION("""COMPUTED_VALUE"""),"Outside on School Property")</f>
        <v>Outside on School Property</v>
      </c>
      <c r="U1077" s="8" t="str">
        <f ca="1">IFERROR(__xludf.DUMMYFUNCTION("""COMPUTED_VALUE"""),"Yes")</f>
        <v>Yes</v>
      </c>
      <c r="V1077" s="8" t="str">
        <f ca="1">IFERROR(__xludf.DUMMYFUNCTION("""COMPUTED_VALUE"""),"Afternoon Classes")</f>
        <v>Afternoon Classes</v>
      </c>
      <c r="W1077" s="11">
        <f ca="1">IFERROR(__xludf.DUMMYFUNCTION("""COMPUTED_VALUE"""),0.5625)</f>
        <v>0.5625</v>
      </c>
      <c r="X1077" s="8">
        <f ca="1">IFERROR(__xludf.DUMMYFUNCTION("""COMPUTED_VALUE"""),1)</f>
        <v>1</v>
      </c>
      <c r="Y1077" s="12" t="str">
        <f ca="1">IFERROR(__xludf.DUMMYFUNCTION("""COMPUTED_VALUE"""),"Pellet gun fired from vehicle at students on the playground")</f>
        <v>Pellet gun fired from vehicle at students on the playground</v>
      </c>
      <c r="Z1077" s="12" t="str">
        <f ca="1">IFERROR(__xludf.DUMMYFUNCTION("""COMPUTED_VALUE"""),"Pellets were fired from the backseat of an SUV at students on the playground. Shooter fled in vehicle. Students reported feeling stings but did not have any injuries.")</f>
        <v>Pellets were fired from the backseat of an SUV at students on the playground. Shooter fled in vehicle. Students reported feeling stings but did not have any injuries.</v>
      </c>
      <c r="AA1077" s="8" t="str">
        <f ca="1">IFERROR(__xludf.DUMMYFUNCTION("""COMPUTED_VALUE"""),"Drive-by Shooting")</f>
        <v>Drive-by Shooting</v>
      </c>
      <c r="AB1077" s="8"/>
      <c r="AC1077" s="8" t="str">
        <f ca="1">IFERROR(__xludf.DUMMYFUNCTION("""COMPUTED_VALUE"""),"Yes")</f>
        <v>Yes</v>
      </c>
      <c r="AD1077" s="8" t="str">
        <f ca="1">IFERROR(__xludf.DUMMYFUNCTION("""COMPUTED_VALUE"""),"Random Shooting")</f>
        <v>Random Shooting</v>
      </c>
      <c r="AE1077" s="8" t="str">
        <f ca="1">IFERROR(__xludf.DUMMYFUNCTION("""COMPUTED_VALUE"""),"Yes")</f>
        <v>Yes</v>
      </c>
      <c r="AF1077" s="8" t="str">
        <f ca="1">IFERROR(__xludf.DUMMYFUNCTION("""COMPUTED_VALUE"""),"Driver and shooter")</f>
        <v>Driver and shooter</v>
      </c>
      <c r="AG1077" s="8" t="str">
        <f ca="1">IFERROR(__xludf.DUMMYFUNCTION("""COMPUTED_VALUE"""),"No")</f>
        <v>No</v>
      </c>
      <c r="AH1077" s="8" t="str">
        <f ca="1">IFERROR(__xludf.DUMMYFUNCTION("""COMPUTED_VALUE"""),"No")</f>
        <v>No</v>
      </c>
      <c r="AI1077" s="8" t="str">
        <f ca="1">IFERROR(__xludf.DUMMYFUNCTION("""COMPUTED_VALUE"""),"No")</f>
        <v>No</v>
      </c>
      <c r="AJ1077" s="8" t="str">
        <f ca="1">IFERROR(__xludf.DUMMYFUNCTION("""COMPUTED_VALUE"""),"No")</f>
        <v>No</v>
      </c>
      <c r="AK1077" s="8" t="str">
        <f ca="1">IFERROR(__xludf.DUMMYFUNCTION("""COMPUTED_VALUE"""),"No")</f>
        <v>No</v>
      </c>
      <c r="AL1077" s="8" t="str">
        <f ca="1">IFERROR(__xludf.DUMMYFUNCTION("""COMPUTED_VALUE"""),"No")</f>
        <v>No</v>
      </c>
      <c r="AM1077" s="8" t="str">
        <f ca="1">IFERROR(__xludf.DUMMYFUNCTION("""COMPUTED_VALUE"""),"No")</f>
        <v>No</v>
      </c>
      <c r="AN1077" s="8"/>
      <c r="AO1077" s="8" t="str">
        <f ca="1">IFERROR(__xludf.DUMMYFUNCTION("""COMPUTED_VALUE"""),"No")</f>
        <v>No</v>
      </c>
      <c r="AP1077" s="8" t="str">
        <f ca="1">IFERROR(__xludf.DUMMYFUNCTION("""COMPUTED_VALUE"""),"No")</f>
        <v>No</v>
      </c>
      <c r="AQ1077" s="8"/>
      <c r="AR1077" s="8" t="str">
        <f ca="1">IFERROR(__xludf.DUMMYFUNCTION("""COMPUTED_VALUE"""),"Outside/Off-Property")</f>
        <v>Outside/Off-Property</v>
      </c>
      <c r="AS1077" s="8">
        <f ca="1">IFERROR(__xludf.DUMMYFUNCTION("""COMPUTED_VALUE"""),99)</f>
        <v>99</v>
      </c>
      <c r="AT1077" s="8" t="str">
        <f ca="1">IFERROR(__xludf.DUMMYFUNCTION("""COMPUTED_VALUE"""),"No")</f>
        <v>No</v>
      </c>
      <c r="AU1077" s="8">
        <f ca="1">IFERROR(__xludf.DUMMYFUNCTION("""COMPUTED_VALUE"""),47.569561)</f>
        <v>47.569561</v>
      </c>
      <c r="AV1077" s="8">
        <f ca="1">IFERROR(__xludf.DUMMYFUNCTION("""COMPUTED_VALUE"""),-122.222761)</f>
        <v>-122.22276100000001</v>
      </c>
      <c r="AW1077" s="8"/>
      <c r="AX1077" s="8">
        <f ca="1">IFERROR(__xludf.DUMMYFUNCTION("""COMPUTED_VALUE"""),98040)</f>
        <v>98040</v>
      </c>
    </row>
    <row r="1078" spans="1:50" ht="30" x14ac:dyDescent="0.2">
      <c r="A1078" s="8" t="str">
        <f ca="1">IFERROR(__xludf.DUMMYFUNCTION("""COMPUTED_VALUE"""),"20220406ORROP")</f>
        <v>20220406ORROP</v>
      </c>
      <c r="B1078" s="8">
        <f ca="1">IFERROR(__xludf.DUMMYFUNCTION("""COMPUTED_VALUE"""),4)</f>
        <v>4</v>
      </c>
      <c r="C1078" s="8">
        <f ca="1">IFERROR(__xludf.DUMMYFUNCTION("""COMPUTED_VALUE"""),6)</f>
        <v>6</v>
      </c>
      <c r="D1078" s="8">
        <f ca="1">IFERROR(__xludf.DUMMYFUNCTION("""COMPUTED_VALUE"""),2022)</f>
        <v>2022</v>
      </c>
      <c r="E1078" s="9">
        <f ca="1">IFERROR(__xludf.DUMMYFUNCTION("""COMPUTED_VALUE"""),44657)</f>
        <v>44657</v>
      </c>
      <c r="F1078" s="8" t="str">
        <f ca="1">IFERROR(__xludf.DUMMYFUNCTION("""COMPUTED_VALUE"""),"Roosevelt High School")</f>
        <v>Roosevelt High School</v>
      </c>
      <c r="G1078" s="8">
        <f ca="1">IFERROR(__xludf.DUMMYFUNCTION("""COMPUTED_VALUE"""),0)</f>
        <v>0</v>
      </c>
      <c r="H1078" s="8">
        <f ca="1">IFERROR(__xludf.DUMMYFUNCTION("""COMPUTED_VALUE"""),1)</f>
        <v>1</v>
      </c>
      <c r="I1078" s="8">
        <f ca="1">IFERROR(__xludf.DUMMYFUNCTION("""COMPUTED_VALUE"""),1)</f>
        <v>1</v>
      </c>
      <c r="J1078" s="8">
        <f ca="1">IFERROR(__xludf.DUMMYFUNCTION("""COMPUTED_VALUE"""),0)</f>
        <v>0</v>
      </c>
      <c r="K1078" s="10" t="str">
        <f ca="1">IFERROR(__xludf.DUMMYFUNCTION("""COMPUTED_VALUE"""),"https://www.koin.com/news/crime/portland-police-investigate-shooting-near-roosevelt-high-school/")</f>
        <v>https://www.koin.com/news/crime/portland-police-investigate-shooting-near-roosevelt-high-school/</v>
      </c>
      <c r="L1078" s="8">
        <f ca="1">IFERROR(__xludf.DUMMYFUNCTION("""COMPUTED_VALUE"""),1)</f>
        <v>1</v>
      </c>
      <c r="M1078" s="8" t="str">
        <f ca="1">IFERROR(__xludf.DUMMYFUNCTION("""COMPUTED_VALUE"""),"Local")</f>
        <v>Local</v>
      </c>
      <c r="N1078" s="8">
        <f ca="1">IFERROR(__xludf.DUMMYFUNCTION("""COMPUTED_VALUE"""),3)</f>
        <v>3</v>
      </c>
      <c r="O1078" s="8" t="str">
        <f ca="1">IFERROR(__xludf.DUMMYFUNCTION("""COMPUTED_VALUE"""),"Spring")</f>
        <v>Spring</v>
      </c>
      <c r="P1078" s="8" t="str">
        <f ca="1">IFERROR(__xludf.DUMMYFUNCTION("""COMPUTED_VALUE"""),"Portland")</f>
        <v>Portland</v>
      </c>
      <c r="Q1078" s="8" t="str">
        <f ca="1">IFERROR(__xludf.DUMMYFUNCTION("""COMPUTED_VALUE"""),"OR")</f>
        <v>OR</v>
      </c>
      <c r="R1078" s="8" t="str">
        <f ca="1">IFERROR(__xludf.DUMMYFUNCTION("""COMPUTED_VALUE"""),"High")</f>
        <v>High</v>
      </c>
      <c r="S1078" s="8" t="str">
        <f ca="1">IFERROR(__xludf.DUMMYFUNCTION("""COMPUTED_VALUE"""),"Parking Lot")</f>
        <v>Parking Lot</v>
      </c>
      <c r="T1078" s="8" t="str">
        <f ca="1">IFERROR(__xludf.DUMMYFUNCTION("""COMPUTED_VALUE"""),"Outside on School Property")</f>
        <v>Outside on School Property</v>
      </c>
      <c r="U1078" s="8" t="str">
        <f ca="1">IFERROR(__xludf.DUMMYFUNCTION("""COMPUTED_VALUE"""),"No")</f>
        <v>No</v>
      </c>
      <c r="V1078" s="8" t="str">
        <f ca="1">IFERROR(__xludf.DUMMYFUNCTION("""COMPUTED_VALUE"""),"Night")</f>
        <v>Night</v>
      </c>
      <c r="W1078" s="11">
        <f ca="1">IFERROR(__xludf.DUMMYFUNCTION("""COMPUTED_VALUE"""),0.895833333333333)</f>
        <v>0.89583333333333304</v>
      </c>
      <c r="X1078" s="8">
        <f ca="1">IFERROR(__xludf.DUMMYFUNCTION("""COMPUTED_VALUE"""),1)</f>
        <v>1</v>
      </c>
      <c r="Y1078" s="12" t="str">
        <f ca="1">IFERROR(__xludf.DUMMYFUNCTION("""COMPUTED_VALUE"""),"Person shot in school parking lot")</f>
        <v>Person shot in school parking lot</v>
      </c>
      <c r="Z1078" s="12" t="str">
        <f ca="1">IFERROR(__xludf.DUMMYFUNCTION("""COMPUTED_VALUE"""),"An unidentified person was shot in the school parking lot next to a school van. Shooter fled.")</f>
        <v>An unidentified person was shot in the school parking lot next to a school van. Shooter fled.</v>
      </c>
      <c r="AA1078" s="8"/>
      <c r="AB1078" s="8"/>
      <c r="AC1078" s="8" t="str">
        <f ca="1">IFERROR(__xludf.DUMMYFUNCTION("""COMPUTED_VALUE"""),"No")</f>
        <v>No</v>
      </c>
      <c r="AD1078" s="8" t="str">
        <f ca="1">IFERROR(__xludf.DUMMYFUNCTION("""COMPUTED_VALUE"""),"Victims Targeted")</f>
        <v>Victims Targeted</v>
      </c>
      <c r="AE1078" s="8" t="str">
        <f ca="1">IFERROR(__xludf.DUMMYFUNCTION("""COMPUTED_VALUE"""),"No")</f>
        <v>No</v>
      </c>
      <c r="AF1078" s="8"/>
      <c r="AG1078" s="8" t="str">
        <f ca="1">IFERROR(__xludf.DUMMYFUNCTION("""COMPUTED_VALUE"""),"No")</f>
        <v>No</v>
      </c>
      <c r="AH1078" s="8" t="str">
        <f ca="1">IFERROR(__xludf.DUMMYFUNCTION("""COMPUTED_VALUE"""),"No")</f>
        <v>No</v>
      </c>
      <c r="AI1078" s="8" t="str">
        <f ca="1">IFERROR(__xludf.DUMMYFUNCTION("""COMPUTED_VALUE"""),"No")</f>
        <v>No</v>
      </c>
      <c r="AJ1078" s="8" t="str">
        <f ca="1">IFERROR(__xludf.DUMMYFUNCTION("""COMPUTED_VALUE"""),"No")</f>
        <v>No</v>
      </c>
      <c r="AK1078" s="8" t="str">
        <f ca="1">IFERROR(__xludf.DUMMYFUNCTION("""COMPUTED_VALUE"""),"No")</f>
        <v>No</v>
      </c>
      <c r="AL1078" s="8"/>
      <c r="AM1078" s="8" t="str">
        <f ca="1">IFERROR(__xludf.DUMMYFUNCTION("""COMPUTED_VALUE"""),"No")</f>
        <v>No</v>
      </c>
      <c r="AN1078" s="8"/>
      <c r="AO1078" s="8" t="str">
        <f ca="1">IFERROR(__xludf.DUMMYFUNCTION("""COMPUTED_VALUE"""),"No")</f>
        <v>No</v>
      </c>
      <c r="AP1078" s="8"/>
      <c r="AQ1078" s="8"/>
      <c r="AR1078" s="8" t="str">
        <f ca="1">IFERROR(__xludf.DUMMYFUNCTION("""COMPUTED_VALUE"""),"Outside/Off-Property")</f>
        <v>Outside/Off-Property</v>
      </c>
      <c r="AS1078" s="8">
        <f ca="1">IFERROR(__xludf.DUMMYFUNCTION("""COMPUTED_VALUE"""),1)</f>
        <v>1</v>
      </c>
      <c r="AT1078" s="8"/>
      <c r="AU1078" s="8">
        <f ca="1">IFERROR(__xludf.DUMMYFUNCTION("""COMPUTED_VALUE"""),45.589874)</f>
        <v>45.589874000000002</v>
      </c>
      <c r="AV1078" s="8">
        <f ca="1">IFERROR(__xludf.DUMMYFUNCTION("""COMPUTED_VALUE"""),-122.739446)</f>
        <v>-122.739446</v>
      </c>
      <c r="AW1078" s="8"/>
      <c r="AX1078" s="8">
        <f ca="1">IFERROR(__xludf.DUMMYFUNCTION("""COMPUTED_VALUE"""),97203)</f>
        <v>97203</v>
      </c>
    </row>
    <row r="1079" spans="1:50" ht="75" x14ac:dyDescent="0.2">
      <c r="A1079" s="8" t="str">
        <f ca="1">IFERROR(__xludf.DUMMYFUNCTION("""COMPUTED_VALUE"""),"20220405PAERE")</f>
        <v>20220405PAERE</v>
      </c>
      <c r="B1079" s="8">
        <f ca="1">IFERROR(__xludf.DUMMYFUNCTION("""COMPUTED_VALUE"""),4)</f>
        <v>4</v>
      </c>
      <c r="C1079" s="8">
        <f ca="1">IFERROR(__xludf.DUMMYFUNCTION("""COMPUTED_VALUE"""),5)</f>
        <v>5</v>
      </c>
      <c r="D1079" s="8">
        <f ca="1">IFERROR(__xludf.DUMMYFUNCTION("""COMPUTED_VALUE"""),2022)</f>
        <v>2022</v>
      </c>
      <c r="E1079" s="9">
        <f ca="1">IFERROR(__xludf.DUMMYFUNCTION("""COMPUTED_VALUE"""),44656)</f>
        <v>44656</v>
      </c>
      <c r="F1079" s="8" t="str">
        <f ca="1">IFERROR(__xludf.DUMMYFUNCTION("""COMPUTED_VALUE"""),"Erie High School")</f>
        <v>Erie High School</v>
      </c>
      <c r="G1079" s="8">
        <f ca="1">IFERROR(__xludf.DUMMYFUNCTION("""COMPUTED_VALUE"""),0)</f>
        <v>0</v>
      </c>
      <c r="H1079" s="8">
        <f ca="1">IFERROR(__xludf.DUMMYFUNCTION("""COMPUTED_VALUE"""),1)</f>
        <v>1</v>
      </c>
      <c r="I1079" s="8">
        <f ca="1">IFERROR(__xludf.DUMMYFUNCTION("""COMPUTED_VALUE"""),1)</f>
        <v>1</v>
      </c>
      <c r="J1079" s="8">
        <f ca="1">IFERROR(__xludf.DUMMYFUNCTION("""COMPUTED_VALUE"""),0)</f>
        <v>0</v>
      </c>
      <c r="K1079" s="8" t="str">
        <f ca="1">IFERROR(__xludf.DUMMYFUNCTION("""COMPUTED_VALUE"""),"https://www.goerie.com/story/news/crime/2022/04/06/heres-what-we-know-erie-high-school-pa-shooting/65348664007/ https://www.yourerie.com/news/local-news/suspect-still-at-large-following-shooting-at-erie-high-school/ https://www.goerie.com/story/news/2022/"&amp;"04/05/pa-school-shooting-reported-at-erie-high-school/65348439007/")</f>
        <v>https://www.goerie.com/story/news/crime/2022/04/06/heres-what-we-know-erie-high-school-pa-shooting/65348664007/ https://www.yourerie.com/news/local-news/suspect-still-at-large-following-shooting-at-erie-high-school/ https://www.goerie.com/story/news/2022/04/05/pa-school-shooting-reported-at-erie-high-school/65348439007/</v>
      </c>
      <c r="L1079" s="8">
        <f ca="1">IFERROR(__xludf.DUMMYFUNCTION("""COMPUTED_VALUE"""),100)</f>
        <v>100</v>
      </c>
      <c r="M1079" s="8" t="str">
        <f ca="1">IFERROR(__xludf.DUMMYFUNCTION("""COMPUTED_VALUE"""),"National")</f>
        <v>National</v>
      </c>
      <c r="N1079" s="8">
        <f ca="1">IFERROR(__xludf.DUMMYFUNCTION("""COMPUTED_VALUE"""),4)</f>
        <v>4</v>
      </c>
      <c r="O1079" s="8" t="str">
        <f ca="1">IFERROR(__xludf.DUMMYFUNCTION("""COMPUTED_VALUE"""),"Spring")</f>
        <v>Spring</v>
      </c>
      <c r="P1079" s="8" t="str">
        <f ca="1">IFERROR(__xludf.DUMMYFUNCTION("""COMPUTED_VALUE"""),"Erie")</f>
        <v>Erie</v>
      </c>
      <c r="Q1079" s="8" t="str">
        <f ca="1">IFERROR(__xludf.DUMMYFUNCTION("""COMPUTED_VALUE"""),"PA")</f>
        <v>PA</v>
      </c>
      <c r="R1079" s="8" t="str">
        <f ca="1">IFERROR(__xludf.DUMMYFUNCTION("""COMPUTED_VALUE"""),"High")</f>
        <v>High</v>
      </c>
      <c r="S1079" s="8" t="str">
        <f ca="1">IFERROR(__xludf.DUMMYFUNCTION("""COMPUTED_VALUE"""),"Hallway")</f>
        <v>Hallway</v>
      </c>
      <c r="T1079" s="8" t="str">
        <f ca="1">IFERROR(__xludf.DUMMYFUNCTION("""COMPUTED_VALUE"""),"Inside School Building")</f>
        <v>Inside School Building</v>
      </c>
      <c r="U1079" s="8" t="str">
        <f ca="1">IFERROR(__xludf.DUMMYFUNCTION("""COMPUTED_VALUE"""),"Yes")</f>
        <v>Yes</v>
      </c>
      <c r="V1079" s="8" t="str">
        <f ca="1">IFERROR(__xludf.DUMMYFUNCTION("""COMPUTED_VALUE"""),"Morning Classes")</f>
        <v>Morning Classes</v>
      </c>
      <c r="W1079" s="11">
        <f ca="1">IFERROR(__xludf.DUMMYFUNCTION("""COMPUTED_VALUE"""),0.402777777777777)</f>
        <v>0.40277777777777701</v>
      </c>
      <c r="X1079" s="8">
        <f ca="1">IFERROR(__xludf.DUMMYFUNCTION("""COMPUTED_VALUE"""),1)</f>
        <v>1</v>
      </c>
      <c r="Y1079" s="12" t="str">
        <f ca="1">IFERROR(__xludf.DUMMYFUNCTION("""COMPUTED_VALUE"""),"Shot shot another student twice in the hallway between classes")</f>
        <v>Shot shot another student twice in the hallway between classes</v>
      </c>
      <c r="Z1079" s="12" t="str">
        <f ca="1">IFERROR(__xludf.DUMMYFUNCTION("""COMPUTED_VALUE"""),"A student (unidentified minor) fired 5 shots at a classmate in the hallway while classes were changing. Victim was targeted and shot 3 times. Shooter fled the scene. School went on lockdown and dismissed. School will remain closed until April 18 (13 days "&amp;"after shooting).")</f>
        <v>A student (unidentified minor) fired 5 shots at a classmate in the hallway while classes were changing. Victim was targeted and shot 3 times. Shooter fled the scene. School went on lockdown and dismissed. School will remain closed until April 18 (13 days after shooting).</v>
      </c>
      <c r="AA1079" s="8"/>
      <c r="AB1079" s="8"/>
      <c r="AC1079" s="8" t="str">
        <f ca="1">IFERROR(__xludf.DUMMYFUNCTION("""COMPUTED_VALUE"""),"Yes")</f>
        <v>Yes</v>
      </c>
      <c r="AD1079" s="8" t="str">
        <f ca="1">IFERROR(__xludf.DUMMYFUNCTION("""COMPUTED_VALUE"""),"Victims Targeted")</f>
        <v>Victims Targeted</v>
      </c>
      <c r="AE1079" s="8" t="str">
        <f ca="1">IFERROR(__xludf.DUMMYFUNCTION("""COMPUTED_VALUE"""),"No")</f>
        <v>No</v>
      </c>
      <c r="AF1079" s="8"/>
      <c r="AG1079" s="8" t="str">
        <f ca="1">IFERROR(__xludf.DUMMYFUNCTION("""COMPUTED_VALUE"""),"No")</f>
        <v>No</v>
      </c>
      <c r="AH1079" s="8" t="str">
        <f ca="1">IFERROR(__xludf.DUMMYFUNCTION("""COMPUTED_VALUE"""),"No")</f>
        <v>No</v>
      </c>
      <c r="AI1079" s="8" t="str">
        <f ca="1">IFERROR(__xludf.DUMMYFUNCTION("""COMPUTED_VALUE"""),"No")</f>
        <v>No</v>
      </c>
      <c r="AJ1079" s="8"/>
      <c r="AK1079" s="8" t="str">
        <f ca="1">IFERROR(__xludf.DUMMYFUNCTION("""COMPUTED_VALUE"""),"No")</f>
        <v>No</v>
      </c>
      <c r="AL1079" s="8"/>
      <c r="AM1079" s="8" t="str">
        <f ca="1">IFERROR(__xludf.DUMMYFUNCTION("""COMPUTED_VALUE"""),"No")</f>
        <v>No</v>
      </c>
      <c r="AN1079" s="8"/>
      <c r="AO1079" s="8" t="str">
        <f ca="1">IFERROR(__xludf.DUMMYFUNCTION("""COMPUTED_VALUE"""),"No")</f>
        <v>No</v>
      </c>
      <c r="AP1079" s="8"/>
      <c r="AQ1079" s="8"/>
      <c r="AR1079" s="8"/>
      <c r="AS1079" s="8">
        <f ca="1">IFERROR(__xludf.DUMMYFUNCTION("""COMPUTED_VALUE"""),5)</f>
        <v>5</v>
      </c>
      <c r="AT1079" s="8" t="str">
        <f ca="1">IFERROR(__xludf.DUMMYFUNCTION("""COMPUTED_VALUE"""),"Yes")</f>
        <v>Yes</v>
      </c>
      <c r="AU1079" s="8">
        <f ca="1">IFERROR(__xludf.DUMMYFUNCTION("""COMPUTED_VALUE"""),42.101377)</f>
        <v>42.101376999999999</v>
      </c>
      <c r="AV1079" s="8">
        <f ca="1">IFERROR(__xludf.DUMMYFUNCTION("""COMPUTED_VALUE"""),-80.082683)</f>
        <v>-80.082683000000003</v>
      </c>
      <c r="AW1079" s="8"/>
      <c r="AX1079" s="8">
        <f ca="1">IFERROR(__xludf.DUMMYFUNCTION("""COMPUTED_VALUE"""),16508)</f>
        <v>16508</v>
      </c>
    </row>
    <row r="1080" spans="1:50" ht="90" x14ac:dyDescent="0.2">
      <c r="A1080" s="8" t="str">
        <f ca="1">IFERROR(__xludf.DUMMYFUNCTION("""COMPUTED_VALUE"""),"20220403INBLB")</f>
        <v>20220403INBLB</v>
      </c>
      <c r="B1080" s="8">
        <f ca="1">IFERROR(__xludf.DUMMYFUNCTION("""COMPUTED_VALUE"""),4)</f>
        <v>4</v>
      </c>
      <c r="C1080" s="8">
        <f ca="1">IFERROR(__xludf.DUMMYFUNCTION("""COMPUTED_VALUE"""),3)</f>
        <v>3</v>
      </c>
      <c r="D1080" s="8">
        <f ca="1">IFERROR(__xludf.DUMMYFUNCTION("""COMPUTED_VALUE"""),2022)</f>
        <v>2022</v>
      </c>
      <c r="E1080" s="9">
        <f ca="1">IFERROR(__xludf.DUMMYFUNCTION("""COMPUTED_VALUE"""),44654)</f>
        <v>44654</v>
      </c>
      <c r="F1080" s="8" t="str">
        <f ca="1">IFERROR(__xludf.DUMMYFUNCTION("""COMPUTED_VALUE"""),"Bloomington High School South")</f>
        <v>Bloomington High School South</v>
      </c>
      <c r="G1080" s="8">
        <f ca="1">IFERROR(__xludf.DUMMYFUNCTION("""COMPUTED_VALUE"""),0)</f>
        <v>0</v>
      </c>
      <c r="H1080" s="8">
        <f ca="1">IFERROR(__xludf.DUMMYFUNCTION("""COMPUTED_VALUE"""),1)</f>
        <v>1</v>
      </c>
      <c r="I1080" s="8">
        <f ca="1">IFERROR(__xludf.DUMMYFUNCTION("""COMPUTED_VALUE"""),1)</f>
        <v>1</v>
      </c>
      <c r="J1080" s="8">
        <f ca="1">IFERROR(__xludf.DUMMYFUNCTION("""COMPUTED_VALUE"""),0)</f>
        <v>0</v>
      </c>
      <c r="K1080" s="8" t="str">
        <f ca="1">IFERROR(__xludf.DUMMYFUNCTION("""COMPUTED_VALUE"""),"https://fox59.com/news/indycrime/18-year-old-arrested-after-firing-at-teenagers-in-bloomington-high-school-parking-lot/ https://www.wthr.com/article/news/crime/18-year-old-hachime-abou-bloomington-attempted-murder/531-d87fd810-81f0-4043-af42-74a0ce6cd1e9")</f>
        <v>https://fox59.com/news/indycrime/18-year-old-arrested-after-firing-at-teenagers-in-bloomington-high-school-parking-lot/ https://www.wthr.com/article/news/crime/18-year-old-hachime-abou-bloomington-attempted-murder/531-d87fd810-81f0-4043-af42-74a0ce6cd1e9</v>
      </c>
      <c r="L1080" s="8">
        <f ca="1">IFERROR(__xludf.DUMMYFUNCTION("""COMPUTED_VALUE"""),2)</f>
        <v>2</v>
      </c>
      <c r="M1080" s="8" t="str">
        <f ca="1">IFERROR(__xludf.DUMMYFUNCTION("""COMPUTED_VALUE"""),"Local")</f>
        <v>Local</v>
      </c>
      <c r="N1080" s="8">
        <f ca="1">IFERROR(__xludf.DUMMYFUNCTION("""COMPUTED_VALUE"""),4)</f>
        <v>4</v>
      </c>
      <c r="O1080" s="8" t="str">
        <f ca="1">IFERROR(__xludf.DUMMYFUNCTION("""COMPUTED_VALUE"""),"Spring")</f>
        <v>Spring</v>
      </c>
      <c r="P1080" s="8" t="str">
        <f ca="1">IFERROR(__xludf.DUMMYFUNCTION("""COMPUTED_VALUE"""),"Bloomington")</f>
        <v>Bloomington</v>
      </c>
      <c r="Q1080" s="8" t="str">
        <f ca="1">IFERROR(__xludf.DUMMYFUNCTION("""COMPUTED_VALUE"""),"IN")</f>
        <v>IN</v>
      </c>
      <c r="R1080" s="8" t="str">
        <f ca="1">IFERROR(__xludf.DUMMYFUNCTION("""COMPUTED_VALUE"""),"High")</f>
        <v>High</v>
      </c>
      <c r="S1080" s="8" t="str">
        <f ca="1">IFERROR(__xludf.DUMMYFUNCTION("""COMPUTED_VALUE"""),"Parking Lot")</f>
        <v>Parking Lot</v>
      </c>
      <c r="T1080" s="8" t="str">
        <f ca="1">IFERROR(__xludf.DUMMYFUNCTION("""COMPUTED_VALUE"""),"Outside on School Property")</f>
        <v>Outside on School Property</v>
      </c>
      <c r="U1080" s="8" t="str">
        <f ca="1">IFERROR(__xludf.DUMMYFUNCTION("""COMPUTED_VALUE"""),"No")</f>
        <v>No</v>
      </c>
      <c r="V1080" s="8" t="str">
        <f ca="1">IFERROR(__xludf.DUMMYFUNCTION("""COMPUTED_VALUE"""),"Evening")</f>
        <v>Evening</v>
      </c>
      <c r="W1080" s="11">
        <f ca="1">IFERROR(__xludf.DUMMYFUNCTION("""COMPUTED_VALUE"""),0.798611111111111)</f>
        <v>0.79861111111111105</v>
      </c>
      <c r="X1080" s="8">
        <f ca="1">IFERROR(__xludf.DUMMYFUNCTION("""COMPUTED_VALUE"""),1)</f>
        <v>1</v>
      </c>
      <c r="Y1080" s="12" t="str">
        <f ca="1">IFERROR(__xludf.DUMMYFUNCTION("""COMPUTED_VALUE"""),"Three teens shot at, one injured, in school parking lot")</f>
        <v>Three teens shot at, one injured, in school parking lot</v>
      </c>
      <c r="Z1080" s="12" t="str">
        <f ca="1">IFERROR(__xludf.DUMMYFUNCTION("""COMPUTED_VALUE"""),"An 18-year-old male in a vehicle fired shots at 3 teens walking in the school parking lot. 17-year-old male was struck in the leg. After reviewing CCTV footage, police determined that a 15-year-old male in the group fired shots back at the vehicle. Shoote"&amp;"r fled and was arrested on 4/14/2022. Second shooter also charged.")</f>
        <v>An 18-year-old male in a vehicle fired shots at 3 teens walking in the school parking lot. 17-year-old male was struck in the leg. After reviewing CCTV footage, police determined that a 15-year-old male in the group fired shots back at the vehicle. Shooter fled and was arrested on 4/14/2022. Second shooter also charged.</v>
      </c>
      <c r="AA1080" s="8" t="str">
        <f ca="1">IFERROR(__xludf.DUMMYFUNCTION("""COMPUTED_VALUE"""),"Drive-by Shooting")</f>
        <v>Drive-by Shooting</v>
      </c>
      <c r="AB1080" s="8"/>
      <c r="AC1080" s="8" t="str">
        <f ca="1">IFERROR(__xludf.DUMMYFUNCTION("""COMPUTED_VALUE"""),"Yes")</f>
        <v>Yes</v>
      </c>
      <c r="AD1080" s="8" t="str">
        <f ca="1">IFERROR(__xludf.DUMMYFUNCTION("""COMPUTED_VALUE"""),"Victims Targeted")</f>
        <v>Victims Targeted</v>
      </c>
      <c r="AE1080" s="8" t="str">
        <f ca="1">IFERROR(__xludf.DUMMYFUNCTION("""COMPUTED_VALUE"""),"No")</f>
        <v>No</v>
      </c>
      <c r="AF1080" s="8"/>
      <c r="AG1080" s="8" t="str">
        <f ca="1">IFERROR(__xludf.DUMMYFUNCTION("""COMPUTED_VALUE"""),"No")</f>
        <v>No</v>
      </c>
      <c r="AH1080" s="8" t="str">
        <f ca="1">IFERROR(__xludf.DUMMYFUNCTION("""COMPUTED_VALUE"""),"No")</f>
        <v>No</v>
      </c>
      <c r="AI1080" s="8" t="str">
        <f ca="1">IFERROR(__xludf.DUMMYFUNCTION("""COMPUTED_VALUE"""),"No")</f>
        <v>No</v>
      </c>
      <c r="AJ1080" s="8" t="str">
        <f ca="1">IFERROR(__xludf.DUMMYFUNCTION("""COMPUTED_VALUE"""),"No")</f>
        <v>No</v>
      </c>
      <c r="AK1080" s="8" t="str">
        <f ca="1">IFERROR(__xludf.DUMMYFUNCTION("""COMPUTED_VALUE"""),"No")</f>
        <v>No</v>
      </c>
      <c r="AL1080" s="8"/>
      <c r="AM1080" s="8" t="str">
        <f ca="1">IFERROR(__xludf.DUMMYFUNCTION("""COMPUTED_VALUE"""),"No")</f>
        <v>No</v>
      </c>
      <c r="AN1080" s="8"/>
      <c r="AO1080" s="8" t="str">
        <f ca="1">IFERROR(__xludf.DUMMYFUNCTION("""COMPUTED_VALUE"""),"No")</f>
        <v>No</v>
      </c>
      <c r="AP1080" s="8"/>
      <c r="AQ1080" s="8"/>
      <c r="AR1080" s="8" t="str">
        <f ca="1">IFERROR(__xludf.DUMMYFUNCTION("""COMPUTED_VALUE"""),"Outside/Off-Property")</f>
        <v>Outside/Off-Property</v>
      </c>
      <c r="AS1080" s="8">
        <f ca="1">IFERROR(__xludf.DUMMYFUNCTION("""COMPUTED_VALUE"""),99)</f>
        <v>99</v>
      </c>
      <c r="AT1080" s="8" t="str">
        <f ca="1">IFERROR(__xludf.DUMMYFUNCTION("""COMPUTED_VALUE"""),"No")</f>
        <v>No</v>
      </c>
      <c r="AU1080" s="8">
        <f ca="1">IFERROR(__xludf.DUMMYFUNCTION("""COMPUTED_VALUE"""),39.142789)</f>
        <v>39.142789</v>
      </c>
      <c r="AV1080" s="8">
        <f ca="1">IFERROR(__xludf.DUMMYFUNCTION("""COMPUTED_VALUE"""),-86.529254)</f>
        <v>-86.529253999999995</v>
      </c>
      <c r="AW1080" s="8"/>
      <c r="AX1080" s="8">
        <f ca="1">IFERROR(__xludf.DUMMYFUNCTION("""COMPUTED_VALUE"""),47401)</f>
        <v>47401</v>
      </c>
    </row>
    <row r="1081" spans="1:50" ht="105" x14ac:dyDescent="0.2">
      <c r="A1081" s="8" t="str">
        <f ca="1">IFERROR(__xludf.DUMMYFUNCTION("""COMPUTED_VALUE"""),"20220331SCTAG")</f>
        <v>20220331SCTAG</v>
      </c>
      <c r="B1081" s="8">
        <f ca="1">IFERROR(__xludf.DUMMYFUNCTION("""COMPUTED_VALUE"""),3)</f>
        <v>3</v>
      </c>
      <c r="C1081" s="8">
        <f ca="1">IFERROR(__xludf.DUMMYFUNCTION("""COMPUTED_VALUE"""),31)</f>
        <v>31</v>
      </c>
      <c r="D1081" s="8">
        <f ca="1">IFERROR(__xludf.DUMMYFUNCTION("""COMPUTED_VALUE"""),2022)</f>
        <v>2022</v>
      </c>
      <c r="E1081" s="9">
        <f ca="1">IFERROR(__xludf.DUMMYFUNCTION("""COMPUTED_VALUE"""),44651)</f>
        <v>44651</v>
      </c>
      <c r="F1081" s="8" t="str">
        <f ca="1">IFERROR(__xludf.DUMMYFUNCTION("""COMPUTED_VALUE"""),"Tanglewood Middle School")</f>
        <v>Tanglewood Middle School</v>
      </c>
      <c r="G1081" s="8">
        <f ca="1">IFERROR(__xludf.DUMMYFUNCTION("""COMPUTED_VALUE"""),1)</f>
        <v>1</v>
      </c>
      <c r="H1081" s="8">
        <f ca="1">IFERROR(__xludf.DUMMYFUNCTION("""COMPUTED_VALUE"""),0)</f>
        <v>0</v>
      </c>
      <c r="I1081" s="8">
        <f ca="1">IFERROR(__xludf.DUMMYFUNCTION("""COMPUTED_VALUE"""),1)</f>
        <v>1</v>
      </c>
      <c r="J1081" s="8">
        <f ca="1">IFERROR(__xludf.DUMMYFUNCTION("""COMPUTED_VALUE"""),0)</f>
        <v>0</v>
      </c>
      <c r="K1081" s="10" t="str">
        <f ca="1">IFERROR(__xludf.DUMMYFUNCTION("""COMPUTED_VALUE"""),"https://www.foxcarolina.com/2023/12/14/upstate-school-shooter-face-waiver-hearing/
https://www.greenvilleonline.com/story/news/local/greenville/2022/03/31/school-shooting-greenville-south-carolina-tanglewood-middle/7232839001/ https://nypost.com/2022/04/0"&amp;"1/south-carolina-student-arrested-for-killing-another-student-at-tanglewood-middle-school/ https://www.wyff4.com/article/deadly-school-shooting-south-carolina/39602613#")</f>
        <v>https://www.foxcarolina.com/2023/12/14/upstate-school-shooter-face-waiver-hearing/
https://www.greenvilleonline.com/story/news/local/greenville/2022/03/31/school-shooting-greenville-south-carolina-tanglewood-middle/7232839001/ https://nypost.com/2022/04/01/south-carolina-student-arrested-for-killing-another-student-at-tanglewood-middle-school/ https://www.wyff4.com/article/deadly-school-shooting-south-carolina/39602613#</v>
      </c>
      <c r="L1081" s="8">
        <f ca="1">IFERROR(__xludf.DUMMYFUNCTION("""COMPUTED_VALUE"""),500)</f>
        <v>500</v>
      </c>
      <c r="M1081" s="8" t="str">
        <f ca="1">IFERROR(__xludf.DUMMYFUNCTION("""COMPUTED_VALUE"""),"National")</f>
        <v>National</v>
      </c>
      <c r="N1081" s="8">
        <f ca="1">IFERROR(__xludf.DUMMYFUNCTION("""COMPUTED_VALUE"""),4)</f>
        <v>4</v>
      </c>
      <c r="O1081" s="8" t="str">
        <f ca="1">IFERROR(__xludf.DUMMYFUNCTION("""COMPUTED_VALUE"""),"Spring")</f>
        <v>Spring</v>
      </c>
      <c r="P1081" s="8" t="str">
        <f ca="1">IFERROR(__xludf.DUMMYFUNCTION("""COMPUTED_VALUE"""),"Greenville")</f>
        <v>Greenville</v>
      </c>
      <c r="Q1081" s="8" t="str">
        <f ca="1">IFERROR(__xludf.DUMMYFUNCTION("""COMPUTED_VALUE"""),"SC")</f>
        <v>SC</v>
      </c>
      <c r="R1081" s="8" t="str">
        <f ca="1">IFERROR(__xludf.DUMMYFUNCTION("""COMPUTED_VALUE"""),"Middle")</f>
        <v>Middle</v>
      </c>
      <c r="S1081" s="8" t="str">
        <f ca="1">IFERROR(__xludf.DUMMYFUNCTION("""COMPUTED_VALUE"""),"Hallway")</f>
        <v>Hallway</v>
      </c>
      <c r="T1081" s="8" t="str">
        <f ca="1">IFERROR(__xludf.DUMMYFUNCTION("""COMPUTED_VALUE"""),"Inside School Building")</f>
        <v>Inside School Building</v>
      </c>
      <c r="U1081" s="8" t="str">
        <f ca="1">IFERROR(__xludf.DUMMYFUNCTION("""COMPUTED_VALUE"""),"Yes")</f>
        <v>Yes</v>
      </c>
      <c r="V1081" s="8" t="str">
        <f ca="1">IFERROR(__xludf.DUMMYFUNCTION("""COMPUTED_VALUE"""),"Afternoon Classes")</f>
        <v>Afternoon Classes</v>
      </c>
      <c r="W1081" s="11">
        <f ca="1">IFERROR(__xludf.DUMMYFUNCTION("""COMPUTED_VALUE"""),0.520833333333333)</f>
        <v>0.52083333333333304</v>
      </c>
      <c r="X1081" s="8">
        <f ca="1">IFERROR(__xludf.DUMMYFUNCTION("""COMPUTED_VALUE"""),1)</f>
        <v>1</v>
      </c>
      <c r="Y1081" s="12" t="str">
        <f ca="1">IFERROR(__xludf.DUMMYFUNCTION("""COMPUTED_VALUE"""),"Student fatally shot another student in the hallway while classes were changing")</f>
        <v>Student fatally shot another student in the hallway while classes were changing</v>
      </c>
      <c r="Z1081" s="12" t="str">
        <f ca="1">IFERROR(__xludf.DUMMYFUNCTION("""COMPUTED_VALUE"""),"A 12-year-old student fatally shot another 12-year-old student in the hallway while classes were changing. Students witnessed the shooting and said the shooter fired one shot that struck the victim in his chest. SRO responded and called for assistance. Sh"&amp;"ooter fled and was found hiding in the neighborhood near the school. School went on lockdown and was dismissed.")</f>
        <v>A 12-year-old student fatally shot another 12-year-old student in the hallway while classes were changing. Students witnessed the shooting and said the shooter fired one shot that struck the victim in his chest. SRO responded and called for assistance. Shooter fled and was found hiding in the neighborhood near the school. School went on lockdown and was dismissed.</v>
      </c>
      <c r="AA1081" s="8" t="str">
        <f ca="1">IFERROR(__xludf.DUMMYFUNCTION("""COMPUTED_VALUE"""),"Escalation of Dispute")</f>
        <v>Escalation of Dispute</v>
      </c>
      <c r="AB1081" s="8" t="str">
        <f ca="1">IFERROR(__xludf.DUMMYFUNCTION("""COMPUTED_VALUE"""),"Targeted")</f>
        <v>Targeted</v>
      </c>
      <c r="AC1081" s="8" t="str">
        <f ca="1">IFERROR(__xludf.DUMMYFUNCTION("""COMPUTED_VALUE"""),"Yes")</f>
        <v>Yes</v>
      </c>
      <c r="AD1081" s="8" t="str">
        <f ca="1">IFERROR(__xludf.DUMMYFUNCTION("""COMPUTED_VALUE"""),"Victims Targeted")</f>
        <v>Victims Targeted</v>
      </c>
      <c r="AE1081" s="8" t="str">
        <f ca="1">IFERROR(__xludf.DUMMYFUNCTION("""COMPUTED_VALUE"""),"No")</f>
        <v>No</v>
      </c>
      <c r="AF1081" s="8"/>
      <c r="AG1081" s="8" t="str">
        <f ca="1">IFERROR(__xludf.DUMMYFUNCTION("""COMPUTED_VALUE"""),"No")</f>
        <v>No</v>
      </c>
      <c r="AH1081" s="8" t="str">
        <f ca="1">IFERROR(__xludf.DUMMYFUNCTION("""COMPUTED_VALUE"""),"No")</f>
        <v>No</v>
      </c>
      <c r="AI1081" s="8" t="str">
        <f ca="1">IFERROR(__xludf.DUMMYFUNCTION("""COMPUTED_VALUE"""),"No")</f>
        <v>No</v>
      </c>
      <c r="AJ1081" s="8"/>
      <c r="AK1081" s="8" t="str">
        <f ca="1">IFERROR(__xludf.DUMMYFUNCTION("""COMPUTED_VALUE"""),"No")</f>
        <v>No</v>
      </c>
      <c r="AL1081" s="8" t="str">
        <f ca="1">IFERROR(__xludf.DUMMYFUNCTION("""COMPUTED_VALUE"""),"No")</f>
        <v>No</v>
      </c>
      <c r="AM1081" s="8" t="str">
        <f ca="1">IFERROR(__xludf.DUMMYFUNCTION("""COMPUTED_VALUE"""),"No")</f>
        <v>No</v>
      </c>
      <c r="AN1081" s="8" t="str">
        <f ca="1">IFERROR(__xludf.DUMMYFUNCTION("""COMPUTED_VALUE"""),"Hallway")</f>
        <v>Hallway</v>
      </c>
      <c r="AO1081" s="8" t="str">
        <f ca="1">IFERROR(__xludf.DUMMYFUNCTION("""COMPUTED_VALUE"""),"No")</f>
        <v>No</v>
      </c>
      <c r="AP1081" s="8" t="str">
        <f ca="1">IFERROR(__xludf.DUMMYFUNCTION("""COMPUTED_VALUE"""),"Yes")</f>
        <v>Yes</v>
      </c>
      <c r="AQ1081" s="8" t="str">
        <f ca="1">IFERROR(__xludf.DUMMYFUNCTION("""COMPUTED_VALUE"""),"Armed Guards")</f>
        <v>Armed Guards</v>
      </c>
      <c r="AR1081" s="8" t="str">
        <f ca="1">IFERROR(__xludf.DUMMYFUNCTION("""COMPUTED_VALUE"""),"Failed")</f>
        <v>Failed</v>
      </c>
      <c r="AS1081" s="8">
        <f ca="1">IFERROR(__xludf.DUMMYFUNCTION("""COMPUTED_VALUE"""),1)</f>
        <v>1</v>
      </c>
      <c r="AT1081" s="8" t="str">
        <f ca="1">IFERROR(__xludf.DUMMYFUNCTION("""COMPUTED_VALUE"""),"Yes")</f>
        <v>Yes</v>
      </c>
      <c r="AU1081" s="8">
        <f ca="1">IFERROR(__xludf.DUMMYFUNCTION("""COMPUTED_VALUE"""),34.823777)</f>
        <v>34.823777</v>
      </c>
      <c r="AV1081" s="8">
        <f ca="1">IFERROR(__xludf.DUMMYFUNCTION("""COMPUTED_VALUE"""),-82.468624)</f>
        <v>-82.468624000000005</v>
      </c>
      <c r="AW1081" s="8"/>
      <c r="AX1081" s="8">
        <f ca="1">IFERROR(__xludf.DUMMYFUNCTION("""COMPUTED_VALUE"""),29611)</f>
        <v>29611</v>
      </c>
    </row>
    <row r="1082" spans="1:50" ht="75" x14ac:dyDescent="0.2">
      <c r="A1082" s="8" t="str">
        <f ca="1">IFERROR(__xludf.DUMMYFUNCTION("""COMPUTED_VALUE"""),"20220331PAACP")</f>
        <v>20220331PAACP</v>
      </c>
      <c r="B1082" s="8">
        <f ca="1">IFERROR(__xludf.DUMMYFUNCTION("""COMPUTED_VALUE"""),3)</f>
        <v>3</v>
      </c>
      <c r="C1082" s="8">
        <f ca="1">IFERROR(__xludf.DUMMYFUNCTION("""COMPUTED_VALUE"""),31)</f>
        <v>31</v>
      </c>
      <c r="D1082" s="8">
        <f ca="1">IFERROR(__xludf.DUMMYFUNCTION("""COMPUTED_VALUE"""),2022)</f>
        <v>2022</v>
      </c>
      <c r="E1082" s="9">
        <f ca="1">IFERROR(__xludf.DUMMYFUNCTION("""COMPUTED_VALUE"""),44651)</f>
        <v>44651</v>
      </c>
      <c r="F1082" s="8" t="str">
        <f ca="1">IFERROR(__xludf.DUMMYFUNCTION("""COMPUTED_VALUE"""),"West Philadelphia Achievement Charter Elementary School")</f>
        <v>West Philadelphia Achievement Charter Elementary School</v>
      </c>
      <c r="G1082" s="8">
        <f ca="1">IFERROR(__xludf.DUMMYFUNCTION("""COMPUTED_VALUE"""),0)</f>
        <v>0</v>
      </c>
      <c r="H1082" s="8">
        <f ca="1">IFERROR(__xludf.DUMMYFUNCTION("""COMPUTED_VALUE"""),0)</f>
        <v>0</v>
      </c>
      <c r="I1082" s="8">
        <f ca="1">IFERROR(__xludf.DUMMYFUNCTION("""COMPUTED_VALUE"""),0)</f>
        <v>0</v>
      </c>
      <c r="J1082" s="8">
        <f ca="1">IFERROR(__xludf.DUMMYFUNCTION("""COMPUTED_VALUE"""),0)</f>
        <v>0</v>
      </c>
      <c r="K1082" s="8" t="str">
        <f ca="1">IFERROR(__xludf.DUMMYFUNCTION("""COMPUTED_VALUE"""),"https://philadelphia.cbslocal.com/2022/03/31/8-year-old-gun-shooting-west-philadelphia-achievement-charter-elementary-school/ https://www.nbcphiladelphia.com/news/local/schoolyard-gun-philadelphia/3193792/ https://6abc.com/achievement-charter-school-gun-o"&amp;"n-campus-child-brings-to-west-philly-guns/11696305/")</f>
        <v>https://philadelphia.cbslocal.com/2022/03/31/8-year-old-gun-shooting-west-philadelphia-achievement-charter-elementary-school/ https://www.nbcphiladelphia.com/news/local/schoolyard-gun-philadelphia/3193792/ https://6abc.com/achievement-charter-school-gun-on-campus-child-brings-to-west-philly-guns/11696305/</v>
      </c>
      <c r="L1082" s="8">
        <f ca="1">IFERROR(__xludf.DUMMYFUNCTION("""COMPUTED_VALUE"""),10)</f>
        <v>10</v>
      </c>
      <c r="M1082" s="8" t="str">
        <f ca="1">IFERROR(__xludf.DUMMYFUNCTION("""COMPUTED_VALUE"""),"Regional")</f>
        <v>Regional</v>
      </c>
      <c r="N1082" s="8">
        <f ca="1">IFERROR(__xludf.DUMMYFUNCTION("""COMPUTED_VALUE"""),4)</f>
        <v>4</v>
      </c>
      <c r="O1082" s="8" t="str">
        <f ca="1">IFERROR(__xludf.DUMMYFUNCTION("""COMPUTED_VALUE"""),"Spring")</f>
        <v>Spring</v>
      </c>
      <c r="P1082" s="8" t="str">
        <f ca="1">IFERROR(__xludf.DUMMYFUNCTION("""COMPUTED_VALUE"""),"Philadelphia")</f>
        <v>Philadelphia</v>
      </c>
      <c r="Q1082" s="8" t="str">
        <f ca="1">IFERROR(__xludf.DUMMYFUNCTION("""COMPUTED_VALUE"""),"PA")</f>
        <v>PA</v>
      </c>
      <c r="R1082" s="8" t="str">
        <f ca="1">IFERROR(__xludf.DUMMYFUNCTION("""COMPUTED_VALUE"""),"Elementary")</f>
        <v>Elementary</v>
      </c>
      <c r="S1082" s="8" t="str">
        <f ca="1">IFERROR(__xludf.DUMMYFUNCTION("""COMPUTED_VALUE"""),"Playground")</f>
        <v>Playground</v>
      </c>
      <c r="T1082" s="8" t="str">
        <f ca="1">IFERROR(__xludf.DUMMYFUNCTION("""COMPUTED_VALUE"""),"Outside on School Property")</f>
        <v>Outside on School Property</v>
      </c>
      <c r="U1082" s="8" t="str">
        <f ca="1">IFERROR(__xludf.DUMMYFUNCTION("""COMPUTED_VALUE"""),"Yes")</f>
        <v>Yes</v>
      </c>
      <c r="V1082" s="8" t="str">
        <f ca="1">IFERROR(__xludf.DUMMYFUNCTION("""COMPUTED_VALUE"""),"School Start")</f>
        <v>School Start</v>
      </c>
      <c r="W1082" s="11">
        <f ca="1">IFERROR(__xludf.DUMMYFUNCTION("""COMPUTED_VALUE"""),0.364583333333333)</f>
        <v>0.36458333333333298</v>
      </c>
      <c r="X1082" s="8">
        <f ca="1">IFERROR(__xludf.DUMMYFUNCTION("""COMPUTED_VALUE"""),1)</f>
        <v>1</v>
      </c>
      <c r="Y1082" s="12" t="str">
        <f ca="1">IFERROR(__xludf.DUMMYFUNCTION("""COMPUTED_VALUE"""),"Gun inside a 8-year-old students backpack discharged in school courtyard")</f>
        <v>Gun inside a 8-year-old students backpack discharged in school courtyard</v>
      </c>
      <c r="Z1082" s="12" t="str">
        <f ca="1">IFERROR(__xludf.DUMMYFUNCTION("""COMPUTED_VALUE"""),"A teacher heard a gunshot and found a weapon that discharged inside an 8-year-old student's backpack in the courtyard of the school. School went on lockdown. Student was arrested.")</f>
        <v>A teacher heard a gunshot and found a weapon that discharged inside an 8-year-old student's backpack in the courtyard of the school. School went on lockdown. Student was arrested.</v>
      </c>
      <c r="AA1082" s="8" t="str">
        <f ca="1">IFERROR(__xludf.DUMMYFUNCTION("""COMPUTED_VALUE"""),"Accidental")</f>
        <v>Accidental</v>
      </c>
      <c r="AB1082" s="8"/>
      <c r="AC1082" s="8" t="str">
        <f ca="1">IFERROR(__xludf.DUMMYFUNCTION("""COMPUTED_VALUE"""),"Yes")</f>
        <v>Yes</v>
      </c>
      <c r="AD1082" s="8" t="str">
        <f ca="1">IFERROR(__xludf.DUMMYFUNCTION("""COMPUTED_VALUE"""),"Neither")</f>
        <v>Neither</v>
      </c>
      <c r="AE1082" s="8" t="str">
        <f ca="1">IFERROR(__xludf.DUMMYFUNCTION("""COMPUTED_VALUE"""),"No")</f>
        <v>No</v>
      </c>
      <c r="AF1082" s="8"/>
      <c r="AG1082" s="8" t="str">
        <f ca="1">IFERROR(__xludf.DUMMYFUNCTION("""COMPUTED_VALUE"""),"No")</f>
        <v>No</v>
      </c>
      <c r="AH1082" s="8" t="str">
        <f ca="1">IFERROR(__xludf.DUMMYFUNCTION("""COMPUTED_VALUE"""),"No")</f>
        <v>No</v>
      </c>
      <c r="AI1082" s="8" t="str">
        <f ca="1">IFERROR(__xludf.DUMMYFUNCTION("""COMPUTED_VALUE"""),"No")</f>
        <v>No</v>
      </c>
      <c r="AJ1082" s="8" t="str">
        <f ca="1">IFERROR(__xludf.DUMMYFUNCTION("""COMPUTED_VALUE"""),"No")</f>
        <v>No</v>
      </c>
      <c r="AK1082" s="8" t="str">
        <f ca="1">IFERROR(__xludf.DUMMYFUNCTION("""COMPUTED_VALUE"""),"No")</f>
        <v>No</v>
      </c>
      <c r="AL1082" s="8" t="str">
        <f ca="1">IFERROR(__xludf.DUMMYFUNCTION("""COMPUTED_VALUE"""),"No")</f>
        <v>No</v>
      </c>
      <c r="AM1082" s="8" t="str">
        <f ca="1">IFERROR(__xludf.DUMMYFUNCTION("""COMPUTED_VALUE"""),"No")</f>
        <v>No</v>
      </c>
      <c r="AN1082" s="8"/>
      <c r="AO1082" s="8" t="str">
        <f ca="1">IFERROR(__xludf.DUMMYFUNCTION("""COMPUTED_VALUE"""),"No")</f>
        <v>No</v>
      </c>
      <c r="AP1082" s="8" t="str">
        <f ca="1">IFERROR(__xludf.DUMMYFUNCTION("""COMPUTED_VALUE"""),"No")</f>
        <v>No</v>
      </c>
      <c r="AQ1082" s="8"/>
      <c r="AR1082" s="8" t="str">
        <f ca="1">IFERROR(__xludf.DUMMYFUNCTION("""COMPUTED_VALUE"""),"Outside/Off-Property")</f>
        <v>Outside/Off-Property</v>
      </c>
      <c r="AS1082" s="8">
        <f ca="1">IFERROR(__xludf.DUMMYFUNCTION("""COMPUTED_VALUE"""),1)</f>
        <v>1</v>
      </c>
      <c r="AT1082" s="8" t="str">
        <f ca="1">IFERROR(__xludf.DUMMYFUNCTION("""COMPUTED_VALUE"""),"Yes")</f>
        <v>Yes</v>
      </c>
      <c r="AU1082" s="8">
        <f ca="1">IFERROR(__xludf.DUMMYFUNCTION("""COMPUTED_VALUE"""),39.971141)</f>
        <v>39.971141000000003</v>
      </c>
      <c r="AV1082" s="8">
        <f ca="1">IFERROR(__xludf.DUMMYFUNCTION("""COMPUTED_VALUE"""),-75.253702)</f>
        <v>-75.253702000000004</v>
      </c>
      <c r="AW1082" s="8"/>
      <c r="AX1082" s="8">
        <f ca="1">IFERROR(__xludf.DUMMYFUNCTION("""COMPUTED_VALUE"""),19151)</f>
        <v>19151</v>
      </c>
    </row>
    <row r="1083" spans="1:50" ht="75" x14ac:dyDescent="0.2">
      <c r="A1083" s="8" t="str">
        <f ca="1">IFERROR(__xludf.DUMMYFUNCTION("""COMPUTED_VALUE"""),"20220330GABOA")</f>
        <v>20220330GABOA</v>
      </c>
      <c r="B1083" s="8">
        <f ca="1">IFERROR(__xludf.DUMMYFUNCTION("""COMPUTED_VALUE"""),3)</f>
        <v>3</v>
      </c>
      <c r="C1083" s="8">
        <f ca="1">IFERROR(__xludf.DUMMYFUNCTION("""COMPUTED_VALUE"""),30)</f>
        <v>30</v>
      </c>
      <c r="D1083" s="8">
        <f ca="1">IFERROR(__xludf.DUMMYFUNCTION("""COMPUTED_VALUE"""),2022)</f>
        <v>2022</v>
      </c>
      <c r="E1083" s="9">
        <f ca="1">IFERROR(__xludf.DUMMYFUNCTION("""COMPUTED_VALUE"""),44650)</f>
        <v>44650</v>
      </c>
      <c r="F1083" s="8" t="str">
        <f ca="1">IFERROR(__xludf.DUMMYFUNCTION("""COMPUTED_VALUE"""),"Booker T Washington High School")</f>
        <v>Booker T Washington High School</v>
      </c>
      <c r="G1083" s="8">
        <f ca="1">IFERROR(__xludf.DUMMYFUNCTION("""COMPUTED_VALUE"""),0)</f>
        <v>0</v>
      </c>
      <c r="H1083" s="8">
        <f ca="1">IFERROR(__xludf.DUMMYFUNCTION("""COMPUTED_VALUE"""),0)</f>
        <v>0</v>
      </c>
      <c r="I1083" s="8">
        <f ca="1">IFERROR(__xludf.DUMMYFUNCTION("""COMPUTED_VALUE"""),0)</f>
        <v>0</v>
      </c>
      <c r="J1083" s="8">
        <f ca="1">IFERROR(__xludf.DUMMYFUNCTION("""COMPUTED_VALUE"""),0)</f>
        <v>0</v>
      </c>
      <c r="K1083" s="8" t="str">
        <f ca="1">IFERROR(__xludf.DUMMYFUNCTION("""COMPUTED_VALUE"""),"https://www.wsbtv.com/news/local/atlanta/mother-center-booker-t-washington-brawl-facing-criminal-charges/2P2X65CMTBDITOGVZXWCYSRQY4/ https://www.11alive.com/article/news/crime/tierra-vachon-elder-mother-booker-t-washington-high-school-shot-police-arrested"&amp;"/85-10000317-c30c-4b8d-a69f-534463b2cabb")</f>
        <v>https://www.wsbtv.com/news/local/atlanta/mother-center-booker-t-washington-brawl-facing-criminal-charges/2P2X65CMTBDITOGVZXWCYSRQY4/ https://www.11alive.com/article/news/crime/tierra-vachon-elder-mother-booker-t-washington-high-school-shot-police-arrested/85-10000317-c30c-4b8d-a69f-534463b2cabb</v>
      </c>
      <c r="L1083" s="8">
        <f ca="1">IFERROR(__xludf.DUMMYFUNCTION("""COMPUTED_VALUE"""),20)</f>
        <v>20</v>
      </c>
      <c r="M1083" s="8" t="str">
        <f ca="1">IFERROR(__xludf.DUMMYFUNCTION("""COMPUTED_VALUE"""),"Regional")</f>
        <v>Regional</v>
      </c>
      <c r="N1083" s="8">
        <f ca="1">IFERROR(__xludf.DUMMYFUNCTION("""COMPUTED_VALUE"""),4)</f>
        <v>4</v>
      </c>
      <c r="O1083" s="8" t="str">
        <f ca="1">IFERROR(__xludf.DUMMYFUNCTION("""COMPUTED_VALUE"""),"Spring")</f>
        <v>Spring</v>
      </c>
      <c r="P1083" s="8" t="str">
        <f ca="1">IFERROR(__xludf.DUMMYFUNCTION("""COMPUTED_VALUE"""),"Atlanta")</f>
        <v>Atlanta</v>
      </c>
      <c r="Q1083" s="8" t="str">
        <f ca="1">IFERROR(__xludf.DUMMYFUNCTION("""COMPUTED_VALUE"""),"GA")</f>
        <v>GA</v>
      </c>
      <c r="R1083" s="8" t="str">
        <f ca="1">IFERROR(__xludf.DUMMYFUNCTION("""COMPUTED_VALUE"""),"High")</f>
        <v>High</v>
      </c>
      <c r="S1083" s="8" t="str">
        <f ca="1">IFERROR(__xludf.DUMMYFUNCTION("""COMPUTED_VALUE"""),"Front of School")</f>
        <v>Front of School</v>
      </c>
      <c r="T1083" s="8" t="str">
        <f ca="1">IFERROR(__xludf.DUMMYFUNCTION("""COMPUTED_VALUE"""),"Outside on School Property")</f>
        <v>Outside on School Property</v>
      </c>
      <c r="U1083" s="8" t="str">
        <f ca="1">IFERROR(__xludf.DUMMYFUNCTION("""COMPUTED_VALUE"""),"Yes")</f>
        <v>Yes</v>
      </c>
      <c r="V1083" s="8" t="str">
        <f ca="1">IFERROR(__xludf.DUMMYFUNCTION("""COMPUTED_VALUE"""),"Dismissal")</f>
        <v>Dismissal</v>
      </c>
      <c r="W1083" s="11">
        <f ca="1">IFERROR(__xludf.DUMMYFUNCTION("""COMPUTED_VALUE"""),0.604166666666666)</f>
        <v>0.60416666666666596</v>
      </c>
      <c r="X1083" s="8">
        <f ca="1">IFERROR(__xludf.DUMMYFUNCTION("""COMPUTED_VALUE"""),1)</f>
        <v>1</v>
      </c>
      <c r="Y1083" s="12" t="str">
        <f ca="1">IFERROR(__xludf.DUMMYFUNCTION("""COMPUTED_VALUE"""),"Mother brandished gun during fight between students, shot by SRO")</f>
        <v>Mother brandished gun during fight between students, shot by SRO</v>
      </c>
      <c r="Z1083" s="12" t="str">
        <f ca="1">IFERROR(__xludf.DUMMYFUNCTION("""COMPUTED_VALUE"""),"A 30-year-old female parent pulled a gun out of her purse during a fight between multiple students at dismissal. She pointed the gun at students and another parent. When the SRO ordered her to drop the gun, she refused and he shot her in the hand. Arreste"&amp;"d and charged with multiple felonies.")</f>
        <v>A 30-year-old female parent pulled a gun out of her purse during a fight between multiple students at dismissal. She pointed the gun at students and another parent. When the SRO ordered her to drop the gun, she refused and he shot her in the hand. Arrested and charged with multiple felonies.</v>
      </c>
      <c r="AA1083" s="8" t="str">
        <f ca="1">IFERROR(__xludf.DUMMYFUNCTION("""COMPUTED_VALUE"""),"Escalation of Dispute")</f>
        <v>Escalation of Dispute</v>
      </c>
      <c r="AB1083" s="8"/>
      <c r="AC1083" s="8" t="str">
        <f ca="1">IFERROR(__xludf.DUMMYFUNCTION("""COMPUTED_VALUE"""),"Yes")</f>
        <v>Yes</v>
      </c>
      <c r="AD1083" s="8" t="str">
        <f ca="1">IFERROR(__xludf.DUMMYFUNCTION("""COMPUTED_VALUE"""),"Neither")</f>
        <v>Neither</v>
      </c>
      <c r="AE1083" s="8" t="str">
        <f ca="1">IFERROR(__xludf.DUMMYFUNCTION("""COMPUTED_VALUE"""),"No")</f>
        <v>No</v>
      </c>
      <c r="AF1083" s="8"/>
      <c r="AG1083" s="8" t="str">
        <f ca="1">IFERROR(__xludf.DUMMYFUNCTION("""COMPUTED_VALUE"""),"No")</f>
        <v>No</v>
      </c>
      <c r="AH1083" s="8" t="str">
        <f ca="1">IFERROR(__xludf.DUMMYFUNCTION("""COMPUTED_VALUE"""),"No")</f>
        <v>No</v>
      </c>
      <c r="AI1083" s="8" t="str">
        <f ca="1">IFERROR(__xludf.DUMMYFUNCTION("""COMPUTED_VALUE"""),"No")</f>
        <v>No</v>
      </c>
      <c r="AJ1083" s="8" t="str">
        <f ca="1">IFERROR(__xludf.DUMMYFUNCTION("""COMPUTED_VALUE"""),"No")</f>
        <v>No</v>
      </c>
      <c r="AK1083" s="8" t="str">
        <f ca="1">IFERROR(__xludf.DUMMYFUNCTION("""COMPUTED_VALUE"""),"No")</f>
        <v>No</v>
      </c>
      <c r="AL1083" s="8" t="str">
        <f ca="1">IFERROR(__xludf.DUMMYFUNCTION("""COMPUTED_VALUE"""),"No")</f>
        <v>No</v>
      </c>
      <c r="AM1083" s="8" t="str">
        <f ca="1">IFERROR(__xludf.DUMMYFUNCTION("""COMPUTED_VALUE"""),"No")</f>
        <v>No</v>
      </c>
      <c r="AN1083" s="8"/>
      <c r="AO1083" s="8" t="str">
        <f ca="1">IFERROR(__xludf.DUMMYFUNCTION("""COMPUTED_VALUE"""),"No")</f>
        <v>No</v>
      </c>
      <c r="AP1083" s="8" t="str">
        <f ca="1">IFERROR(__xludf.DUMMYFUNCTION("""COMPUTED_VALUE"""),"Yes")</f>
        <v>Yes</v>
      </c>
      <c r="AQ1083" s="8"/>
      <c r="AR1083" s="8" t="str">
        <f ca="1">IFERROR(__xludf.DUMMYFUNCTION("""COMPUTED_VALUE"""),"Outside/Off-Property")</f>
        <v>Outside/Off-Property</v>
      </c>
      <c r="AS1083" s="8">
        <f ca="1">IFERROR(__xludf.DUMMYFUNCTION("""COMPUTED_VALUE"""),1)</f>
        <v>1</v>
      </c>
      <c r="AT1083" s="8" t="str">
        <f ca="1">IFERROR(__xludf.DUMMYFUNCTION("""COMPUTED_VALUE"""),"No")</f>
        <v>No</v>
      </c>
      <c r="AU1083" s="8">
        <f ca="1">IFERROR(__xludf.DUMMYFUNCTION("""COMPUTED_VALUE"""),33.753511)</f>
        <v>33.753511000000003</v>
      </c>
      <c r="AV1083" s="8">
        <f ca="1">IFERROR(__xludf.DUMMYFUNCTION("""COMPUTED_VALUE"""),-84.421341)</f>
        <v>-84.421340999999998</v>
      </c>
      <c r="AW1083" s="8"/>
      <c r="AX1083" s="8">
        <f ca="1">IFERROR(__xludf.DUMMYFUNCTION("""COMPUTED_VALUE"""),30314)</f>
        <v>30314</v>
      </c>
    </row>
    <row r="1084" spans="1:50" ht="75" x14ac:dyDescent="0.2">
      <c r="A1084" s="8" t="str">
        <f ca="1">IFERROR(__xludf.DUMMYFUNCTION("""COMPUTED_VALUE"""),"20220330AZKIK")</f>
        <v>20220330AZKIK</v>
      </c>
      <c r="B1084" s="8">
        <f ca="1">IFERROR(__xludf.DUMMYFUNCTION("""COMPUTED_VALUE"""),3)</f>
        <v>3</v>
      </c>
      <c r="C1084" s="8">
        <f ca="1">IFERROR(__xludf.DUMMYFUNCTION("""COMPUTED_VALUE"""),30)</f>
        <v>30</v>
      </c>
      <c r="D1084" s="8">
        <f ca="1">IFERROR(__xludf.DUMMYFUNCTION("""COMPUTED_VALUE"""),2022)</f>
        <v>2022</v>
      </c>
      <c r="E1084" s="9">
        <f ca="1">IFERROR(__xludf.DUMMYFUNCTION("""COMPUTED_VALUE"""),44650)</f>
        <v>44650</v>
      </c>
      <c r="F1084" s="8" t="str">
        <f ca="1">IFERROR(__xludf.DUMMYFUNCTION("""COMPUTED_VALUE"""),"Kingman High School")</f>
        <v>Kingman High School</v>
      </c>
      <c r="G1084" s="8">
        <f ca="1">IFERROR(__xludf.DUMMYFUNCTION("""COMPUTED_VALUE"""),0)</f>
        <v>0</v>
      </c>
      <c r="H1084" s="8">
        <f ca="1">IFERROR(__xludf.DUMMYFUNCTION("""COMPUTED_VALUE"""),1)</f>
        <v>1</v>
      </c>
      <c r="I1084" s="8">
        <f ca="1">IFERROR(__xludf.DUMMYFUNCTION("""COMPUTED_VALUE"""),1)</f>
        <v>1</v>
      </c>
      <c r="J1084" s="8">
        <f ca="1">IFERROR(__xludf.DUMMYFUNCTION("""COMPUTED_VALUE"""),0)</f>
        <v>0</v>
      </c>
      <c r="K1084" s="8" t="str">
        <f ca="1">IFERROR(__xludf.DUMMYFUNCTION("""COMPUTED_VALUE"""),"https://kdminer.com/news/2022/mar/30/kingman-police-department-reports-15-year-old-high/ https://www.usnews.com/news/best-states/arizona/articles/2022-03-30/police-chief-student-accidentally-shot-in-leg-on-school-bus")</f>
        <v>https://kdminer.com/news/2022/mar/30/kingman-police-department-reports-15-year-old-high/ https://www.usnews.com/news/best-states/arizona/articles/2022-03-30/police-chief-student-accidentally-shot-in-leg-on-school-bus</v>
      </c>
      <c r="L1084" s="8">
        <f ca="1">IFERROR(__xludf.DUMMYFUNCTION("""COMPUTED_VALUE"""),2)</f>
        <v>2</v>
      </c>
      <c r="M1084" s="8" t="str">
        <f ca="1">IFERROR(__xludf.DUMMYFUNCTION("""COMPUTED_VALUE"""),"Local")</f>
        <v>Local</v>
      </c>
      <c r="N1084" s="8">
        <f ca="1">IFERROR(__xludf.DUMMYFUNCTION("""COMPUTED_VALUE"""),4)</f>
        <v>4</v>
      </c>
      <c r="O1084" s="8" t="str">
        <f ca="1">IFERROR(__xludf.DUMMYFUNCTION("""COMPUTED_VALUE"""),"Spring")</f>
        <v>Spring</v>
      </c>
      <c r="P1084" s="8" t="str">
        <f ca="1">IFERROR(__xludf.DUMMYFUNCTION("""COMPUTED_VALUE"""),"Kingman")</f>
        <v>Kingman</v>
      </c>
      <c r="Q1084" s="8" t="str">
        <f ca="1">IFERROR(__xludf.DUMMYFUNCTION("""COMPUTED_VALUE"""),"AZ")</f>
        <v>AZ</v>
      </c>
      <c r="R1084" s="8" t="str">
        <f ca="1">IFERROR(__xludf.DUMMYFUNCTION("""COMPUTED_VALUE"""),"High")</f>
        <v>High</v>
      </c>
      <c r="S1084" s="8" t="str">
        <f ca="1">IFERROR(__xludf.DUMMYFUNCTION("""COMPUTED_VALUE"""),"School Bus")</f>
        <v>School Bus</v>
      </c>
      <c r="T1084" s="8" t="str">
        <f ca="1">IFERROR(__xludf.DUMMYFUNCTION("""COMPUTED_VALUE"""),"School Bus")</f>
        <v>School Bus</v>
      </c>
      <c r="U1084" s="8" t="str">
        <f ca="1">IFERROR(__xludf.DUMMYFUNCTION("""COMPUTED_VALUE"""),"Yes")</f>
        <v>Yes</v>
      </c>
      <c r="V1084" s="8" t="str">
        <f ca="1">IFERROR(__xludf.DUMMYFUNCTION("""COMPUTED_VALUE"""),"Dismissal")</f>
        <v>Dismissal</v>
      </c>
      <c r="W1084" s="11">
        <f ca="1">IFERROR(__xludf.DUMMYFUNCTION("""COMPUTED_VALUE"""),0.625)</f>
        <v>0.625</v>
      </c>
      <c r="X1084" s="8">
        <f ca="1">IFERROR(__xludf.DUMMYFUNCTION("""COMPUTED_VALUE"""),1)</f>
        <v>1</v>
      </c>
      <c r="Y1084" s="12" t="str">
        <f ca="1">IFERROR(__xludf.DUMMYFUNCTION("""COMPUTED_VALUE"""),"Student shot in the leg on the school bus")</f>
        <v>Student shot in the leg on the school bus</v>
      </c>
      <c r="Z1084" s="12" t="str">
        <f ca="1">IFERROR(__xludf.DUMMYFUNCTION("""COMPUTED_VALUE"""),"14-year-old student shot a 15-year-old student in the leg while on the school bus. Driver did not hear the shot. Shooter discarded the weapon when he got off the bus and was arrested later. Victim was transported to the hospital by his parents.")</f>
        <v>14-year-old student shot a 15-year-old student in the leg while on the school bus. Driver did not hear the shot. Shooter discarded the weapon when he got off the bus and was arrested later. Victim was transported to the hospital by his parents.</v>
      </c>
      <c r="AA1084" s="8" t="str">
        <f ca="1">IFERROR(__xludf.DUMMYFUNCTION("""COMPUTED_VALUE"""),"Accidental")</f>
        <v>Accidental</v>
      </c>
      <c r="AB1084" s="8"/>
      <c r="AC1084" s="8" t="str">
        <f ca="1">IFERROR(__xludf.DUMMYFUNCTION("""COMPUTED_VALUE"""),"Yes")</f>
        <v>Yes</v>
      </c>
      <c r="AD1084" s="8" t="str">
        <f ca="1">IFERROR(__xludf.DUMMYFUNCTION("""COMPUTED_VALUE"""),"Neither")</f>
        <v>Neither</v>
      </c>
      <c r="AE1084" s="8" t="str">
        <f ca="1">IFERROR(__xludf.DUMMYFUNCTION("""COMPUTED_VALUE"""),"No")</f>
        <v>No</v>
      </c>
      <c r="AF1084" s="8"/>
      <c r="AG1084" s="8" t="str">
        <f ca="1">IFERROR(__xludf.DUMMYFUNCTION("""COMPUTED_VALUE"""),"No")</f>
        <v>No</v>
      </c>
      <c r="AH1084" s="8" t="str">
        <f ca="1">IFERROR(__xludf.DUMMYFUNCTION("""COMPUTED_VALUE"""),"No")</f>
        <v>No</v>
      </c>
      <c r="AI1084" s="8" t="str">
        <f ca="1">IFERROR(__xludf.DUMMYFUNCTION("""COMPUTED_VALUE"""),"No")</f>
        <v>No</v>
      </c>
      <c r="AJ1084" s="8" t="str">
        <f ca="1">IFERROR(__xludf.DUMMYFUNCTION("""COMPUTED_VALUE"""),"No")</f>
        <v>No</v>
      </c>
      <c r="AK1084" s="8" t="str">
        <f ca="1">IFERROR(__xludf.DUMMYFUNCTION("""COMPUTED_VALUE"""),"No")</f>
        <v>No</v>
      </c>
      <c r="AL1084" s="8" t="str">
        <f ca="1">IFERROR(__xludf.DUMMYFUNCTION("""COMPUTED_VALUE"""),"No")</f>
        <v>No</v>
      </c>
      <c r="AM1084" s="8" t="str">
        <f ca="1">IFERROR(__xludf.DUMMYFUNCTION("""COMPUTED_VALUE"""),"No")</f>
        <v>No</v>
      </c>
      <c r="AN1084" s="8"/>
      <c r="AO1084" s="8" t="str">
        <f ca="1">IFERROR(__xludf.DUMMYFUNCTION("""COMPUTED_VALUE"""),"No")</f>
        <v>No</v>
      </c>
      <c r="AP1084" s="8"/>
      <c r="AQ1084" s="8"/>
      <c r="AR1084" s="8" t="str">
        <f ca="1">IFERROR(__xludf.DUMMYFUNCTION("""COMPUTED_VALUE"""),"Outside/Off-Property")</f>
        <v>Outside/Off-Property</v>
      </c>
      <c r="AS1084" s="8">
        <f ca="1">IFERROR(__xludf.DUMMYFUNCTION("""COMPUTED_VALUE"""),1)</f>
        <v>1</v>
      </c>
      <c r="AT1084" s="8" t="str">
        <f ca="1">IFERROR(__xludf.DUMMYFUNCTION("""COMPUTED_VALUE"""),"No")</f>
        <v>No</v>
      </c>
      <c r="AU1084" s="8">
        <f ca="1">IFERROR(__xludf.DUMMYFUNCTION("""COMPUTED_VALUE"""),35.243947)</f>
        <v>35.243946999999999</v>
      </c>
      <c r="AV1084" s="8">
        <f ca="1">IFERROR(__xludf.DUMMYFUNCTION("""COMPUTED_VALUE"""),-114.009529)</f>
        <v>-114.009529</v>
      </c>
      <c r="AW1084" s="8"/>
      <c r="AX1084" s="8">
        <f ca="1">IFERROR(__xludf.DUMMYFUNCTION("""COMPUTED_VALUE"""),86409)</f>
        <v>86409</v>
      </c>
    </row>
    <row r="1085" spans="1:50" ht="75" x14ac:dyDescent="0.2">
      <c r="A1085" s="8" t="str">
        <f ca="1">IFERROR(__xludf.DUMMYFUNCTION("""COMPUTED_VALUE"""),"20220329VALUR")</f>
        <v>20220329VALUR</v>
      </c>
      <c r="B1085" s="8">
        <f ca="1">IFERROR(__xludf.DUMMYFUNCTION("""COMPUTED_VALUE"""),3)</f>
        <v>3</v>
      </c>
      <c r="C1085" s="8">
        <f ca="1">IFERROR(__xludf.DUMMYFUNCTION("""COMPUTED_VALUE"""),29)</f>
        <v>29</v>
      </c>
      <c r="D1085" s="8">
        <f ca="1">IFERROR(__xludf.DUMMYFUNCTION("""COMPUTED_VALUE"""),2022)</f>
        <v>2022</v>
      </c>
      <c r="E1085" s="9">
        <f ca="1">IFERROR(__xludf.DUMMYFUNCTION("""COMPUTED_VALUE"""),44649)</f>
        <v>44649</v>
      </c>
      <c r="F1085" s="8" t="str">
        <f ca="1">IFERROR(__xludf.DUMMYFUNCTION("""COMPUTED_VALUE"""),"Lucy Addison Middle School")</f>
        <v>Lucy Addison Middle School</v>
      </c>
      <c r="G1085" s="8">
        <f ca="1">IFERROR(__xludf.DUMMYFUNCTION("""COMPUTED_VALUE"""),0)</f>
        <v>0</v>
      </c>
      <c r="H1085" s="8">
        <f ca="1">IFERROR(__xludf.DUMMYFUNCTION("""COMPUTED_VALUE"""),0)</f>
        <v>0</v>
      </c>
      <c r="I1085" s="8">
        <f ca="1">IFERROR(__xludf.DUMMYFUNCTION("""COMPUTED_VALUE"""),0)</f>
        <v>0</v>
      </c>
      <c r="J1085" s="8">
        <f ca="1">IFERROR(__xludf.DUMMYFUNCTION("""COMPUTED_VALUE"""),0)</f>
        <v>0</v>
      </c>
      <c r="K1085" s="8" t="str">
        <f ca="1">IFERROR(__xludf.DUMMYFUNCTION("""COMPUTED_VALUE"""),"https://wset.com/news/local/lucy-addison-middle-school-shootinggun-fired-in-roanoke-middle-school-bathroom-march-29-2022 https://www.wfxrtv.com/news/local-news/roanoke-valley-news/gun-fired-in-bathroom-at-lucy-addison-ms-in-roanoke/ https://www.wdbj7.com/"&amp;"2022/03/29/addison-middle-school-lockdown-during-gun-investigation/")</f>
        <v>https://wset.com/news/local/lucy-addison-middle-school-shootinggun-fired-in-roanoke-middle-school-bathroom-march-29-2022 https://www.wfxrtv.com/news/local-news/roanoke-valley-news/gun-fired-in-bathroom-at-lucy-addison-ms-in-roanoke/ https://www.wdbj7.com/2022/03/29/addison-middle-school-lockdown-during-gun-investigation/</v>
      </c>
      <c r="L1085" s="8">
        <f ca="1">IFERROR(__xludf.DUMMYFUNCTION("""COMPUTED_VALUE"""),3)</f>
        <v>3</v>
      </c>
      <c r="M1085" s="8" t="str">
        <f ca="1">IFERROR(__xludf.DUMMYFUNCTION("""COMPUTED_VALUE"""),"Local")</f>
        <v>Local</v>
      </c>
      <c r="N1085" s="8">
        <f ca="1">IFERROR(__xludf.DUMMYFUNCTION("""COMPUTED_VALUE"""),4)</f>
        <v>4</v>
      </c>
      <c r="O1085" s="8" t="str">
        <f ca="1">IFERROR(__xludf.DUMMYFUNCTION("""COMPUTED_VALUE"""),"Spring")</f>
        <v>Spring</v>
      </c>
      <c r="P1085" s="8" t="str">
        <f ca="1">IFERROR(__xludf.DUMMYFUNCTION("""COMPUTED_VALUE"""),"Roanoke")</f>
        <v>Roanoke</v>
      </c>
      <c r="Q1085" s="8" t="str">
        <f ca="1">IFERROR(__xludf.DUMMYFUNCTION("""COMPUTED_VALUE"""),"VA")</f>
        <v>VA</v>
      </c>
      <c r="R1085" s="8" t="str">
        <f ca="1">IFERROR(__xludf.DUMMYFUNCTION("""COMPUTED_VALUE"""),"Middle")</f>
        <v>Middle</v>
      </c>
      <c r="S1085" s="8" t="str">
        <f ca="1">IFERROR(__xludf.DUMMYFUNCTION("""COMPUTED_VALUE"""),"Bathroom")</f>
        <v>Bathroom</v>
      </c>
      <c r="T1085" s="8" t="str">
        <f ca="1">IFERROR(__xludf.DUMMYFUNCTION("""COMPUTED_VALUE"""),"Inside School Building")</f>
        <v>Inside School Building</v>
      </c>
      <c r="U1085" s="8" t="str">
        <f ca="1">IFERROR(__xludf.DUMMYFUNCTION("""COMPUTED_VALUE"""),"Yes")</f>
        <v>Yes</v>
      </c>
      <c r="V1085" s="8" t="str">
        <f ca="1">IFERROR(__xludf.DUMMYFUNCTION("""COMPUTED_VALUE"""),"Afternoon Classes")</f>
        <v>Afternoon Classes</v>
      </c>
      <c r="W1085" s="11">
        <f ca="1">IFERROR(__xludf.DUMMYFUNCTION("""COMPUTED_VALUE"""),0.59375)</f>
        <v>0.59375</v>
      </c>
      <c r="X1085" s="8">
        <f ca="1">IFERROR(__xludf.DUMMYFUNCTION("""COMPUTED_VALUE"""),1)</f>
        <v>1</v>
      </c>
      <c r="Y1085" s="12" t="str">
        <f ca="1">IFERROR(__xludf.DUMMYFUNCTION("""COMPUTED_VALUE"""),"Student fired gun in bathroom")</f>
        <v>Student fired gun in bathroom</v>
      </c>
      <c r="Z1085" s="12" t="str">
        <f ca="1">IFERROR(__xludf.DUMMYFUNCTION("""COMPUTED_VALUE"""),"A student fired a gun in the bathroom, left weapon, and left the bathroom. Students and staff heard hear the shot, notified the SRO, and the school went on lockdown for 1 hour. The SRO was able to identify the student responsible and the student was arres"&amp;"ted.")</f>
        <v>A student fired a gun in the bathroom, left weapon, and left the bathroom. Students and staff heard hear the shot, notified the SRO, and the school went on lockdown for 1 hour. The SRO was able to identify the student responsible and the student was arrested.</v>
      </c>
      <c r="AA1085" s="8"/>
      <c r="AB1085" s="8"/>
      <c r="AC1085" s="8" t="str">
        <f ca="1">IFERROR(__xludf.DUMMYFUNCTION("""COMPUTED_VALUE"""),"Yes")</f>
        <v>Yes</v>
      </c>
      <c r="AD1085" s="8" t="str">
        <f ca="1">IFERROR(__xludf.DUMMYFUNCTION("""COMPUTED_VALUE"""),"Neither")</f>
        <v>Neither</v>
      </c>
      <c r="AE1085" s="8" t="str">
        <f ca="1">IFERROR(__xludf.DUMMYFUNCTION("""COMPUTED_VALUE"""),"No")</f>
        <v>No</v>
      </c>
      <c r="AF1085" s="8"/>
      <c r="AG1085" s="8" t="str">
        <f ca="1">IFERROR(__xludf.DUMMYFUNCTION("""COMPUTED_VALUE"""),"No")</f>
        <v>No</v>
      </c>
      <c r="AH1085" s="8" t="str">
        <f ca="1">IFERROR(__xludf.DUMMYFUNCTION("""COMPUTED_VALUE"""),"No")</f>
        <v>No</v>
      </c>
      <c r="AI1085" s="8" t="str">
        <f ca="1">IFERROR(__xludf.DUMMYFUNCTION("""COMPUTED_VALUE"""),"No")</f>
        <v>No</v>
      </c>
      <c r="AJ1085" s="8" t="str">
        <f ca="1">IFERROR(__xludf.DUMMYFUNCTION("""COMPUTED_VALUE"""),"No")</f>
        <v>No</v>
      </c>
      <c r="AK1085" s="8" t="str">
        <f ca="1">IFERROR(__xludf.DUMMYFUNCTION("""COMPUTED_VALUE"""),"No")</f>
        <v>No</v>
      </c>
      <c r="AL1085" s="8" t="str">
        <f ca="1">IFERROR(__xludf.DUMMYFUNCTION("""COMPUTED_VALUE"""),"No")</f>
        <v>No</v>
      </c>
      <c r="AM1085" s="8" t="str">
        <f ca="1">IFERROR(__xludf.DUMMYFUNCTION("""COMPUTED_VALUE"""),"No")</f>
        <v>No</v>
      </c>
      <c r="AN1085" s="8"/>
      <c r="AO1085" s="8" t="str">
        <f ca="1">IFERROR(__xludf.DUMMYFUNCTION("""COMPUTED_VALUE"""),"No")</f>
        <v>No</v>
      </c>
      <c r="AP1085" s="8" t="str">
        <f ca="1">IFERROR(__xludf.DUMMYFUNCTION("""COMPUTED_VALUE"""),"Yes")</f>
        <v>Yes</v>
      </c>
      <c r="AQ1085" s="8"/>
      <c r="AR1085" s="8" t="str">
        <f ca="1">IFERROR(__xludf.DUMMYFUNCTION("""COMPUTED_VALUE"""),"Outside/Off-Property")</f>
        <v>Outside/Off-Property</v>
      </c>
      <c r="AS1085" s="8">
        <f ca="1">IFERROR(__xludf.DUMMYFUNCTION("""COMPUTED_VALUE"""),1)</f>
        <v>1</v>
      </c>
      <c r="AT1085" s="8" t="str">
        <f ca="1">IFERROR(__xludf.DUMMYFUNCTION("""COMPUTED_VALUE"""),"Yes")</f>
        <v>Yes</v>
      </c>
      <c r="AU1085" s="8">
        <f ca="1">IFERROR(__xludf.DUMMYFUNCTION("""COMPUTED_VALUE"""),37.283946)</f>
        <v>37.283946</v>
      </c>
      <c r="AV1085" s="8">
        <f ca="1">IFERROR(__xludf.DUMMYFUNCTION("""COMPUTED_VALUE"""),-79.947008)</f>
        <v>-79.947007999999997</v>
      </c>
      <c r="AW1085" s="8"/>
      <c r="AX1085" s="8">
        <f ca="1">IFERROR(__xludf.DUMMYFUNCTION("""COMPUTED_VALUE"""),24016)</f>
        <v>24016</v>
      </c>
    </row>
    <row r="1086" spans="1:50" ht="105" x14ac:dyDescent="0.2">
      <c r="A1086" s="8" t="str">
        <f ca="1">IFERROR(__xludf.DUMMYFUNCTION("""COMPUTED_VALUE"""),"20220329NVWEL")</f>
        <v>20220329NVWEL</v>
      </c>
      <c r="B1086" s="8">
        <f ca="1">IFERROR(__xludf.DUMMYFUNCTION("""COMPUTED_VALUE"""),3)</f>
        <v>3</v>
      </c>
      <c r="C1086" s="8">
        <f ca="1">IFERROR(__xludf.DUMMYFUNCTION("""COMPUTED_VALUE"""),29)</f>
        <v>29</v>
      </c>
      <c r="D1086" s="8">
        <f ca="1">IFERROR(__xludf.DUMMYFUNCTION("""COMPUTED_VALUE"""),2022)</f>
        <v>2022</v>
      </c>
      <c r="E1086" s="9">
        <f ca="1">IFERROR(__xludf.DUMMYFUNCTION("""COMPUTED_VALUE"""),44649)</f>
        <v>44649</v>
      </c>
      <c r="F1086" s="8" t="str">
        <f ca="1">IFERROR(__xludf.DUMMYFUNCTION("""COMPUTED_VALUE"""),"Western High School")</f>
        <v>Western High School</v>
      </c>
      <c r="G1086" s="8">
        <f ca="1">IFERROR(__xludf.DUMMYFUNCTION("""COMPUTED_VALUE"""),0)</f>
        <v>0</v>
      </c>
      <c r="H1086" s="8">
        <f ca="1">IFERROR(__xludf.DUMMYFUNCTION("""COMPUTED_VALUE"""),2)</f>
        <v>2</v>
      </c>
      <c r="I1086" s="8">
        <f ca="1">IFERROR(__xludf.DUMMYFUNCTION("""COMPUTED_VALUE"""),2)</f>
        <v>2</v>
      </c>
      <c r="J1086" s="8">
        <f ca="1">IFERROR(__xludf.DUMMYFUNCTION("""COMPUTED_VALUE"""),0)</f>
        <v>0</v>
      </c>
      <c r="K1086" s="8" t="str">
        <f ca="1">IFERROR(__xludf.DUMMYFUNCTION("""COMPUTED_VALUE"""),"https://www.8newsnow.com/news/local-news/exclusive-teen-inside-car-during-western-high-school-shooting-describes-chaos/ https://www.8newsnow.com/news/local-news/metro-ccsd-police-investigating-shooting-near-bonanza-decatur/ https://www.ktnv.com/news/crime"&amp;"/police-investigate-shooting-near-western-high-school https://www.reviewjournal.com/crime/shootings/officer-shoots-2-juveniles-after-car-strikes-girl-at-western-high-school-2553178/")</f>
        <v>https://www.8newsnow.com/news/local-news/exclusive-teen-inside-car-during-western-high-school-shooting-describes-chaos/ https://www.8newsnow.com/news/local-news/metro-ccsd-police-investigating-shooting-near-bonanza-decatur/ https://www.ktnv.com/news/crime/police-investigate-shooting-near-western-high-school https://www.reviewjournal.com/crime/shootings/officer-shoots-2-juveniles-after-car-strikes-girl-at-western-high-school-2553178/</v>
      </c>
      <c r="L1086" s="8">
        <f ca="1">IFERROR(__xludf.DUMMYFUNCTION("""COMPUTED_VALUE"""),5)</f>
        <v>5</v>
      </c>
      <c r="M1086" s="8" t="str">
        <f ca="1">IFERROR(__xludf.DUMMYFUNCTION("""COMPUTED_VALUE"""),"Regional")</f>
        <v>Regional</v>
      </c>
      <c r="N1086" s="8">
        <f ca="1">IFERROR(__xludf.DUMMYFUNCTION("""COMPUTED_VALUE"""),4)</f>
        <v>4</v>
      </c>
      <c r="O1086" s="8" t="str">
        <f ca="1">IFERROR(__xludf.DUMMYFUNCTION("""COMPUTED_VALUE"""),"Spring")</f>
        <v>Spring</v>
      </c>
      <c r="P1086" s="8" t="str">
        <f ca="1">IFERROR(__xludf.DUMMYFUNCTION("""COMPUTED_VALUE"""),"Las Vegas")</f>
        <v>Las Vegas</v>
      </c>
      <c r="Q1086" s="8" t="str">
        <f ca="1">IFERROR(__xludf.DUMMYFUNCTION("""COMPUTED_VALUE"""),"NV")</f>
        <v>NV</v>
      </c>
      <c r="R1086" s="8" t="str">
        <f ca="1">IFERROR(__xludf.DUMMYFUNCTION("""COMPUTED_VALUE"""),"High")</f>
        <v>High</v>
      </c>
      <c r="S1086" s="8" t="str">
        <f ca="1">IFERROR(__xludf.DUMMYFUNCTION("""COMPUTED_VALUE"""),"Parking Lot")</f>
        <v>Parking Lot</v>
      </c>
      <c r="T1086" s="8" t="str">
        <f ca="1">IFERROR(__xludf.DUMMYFUNCTION("""COMPUTED_VALUE"""),"Outside on School Property")</f>
        <v>Outside on School Property</v>
      </c>
      <c r="U1086" s="8" t="str">
        <f ca="1">IFERROR(__xludf.DUMMYFUNCTION("""COMPUTED_VALUE"""),"Yes")</f>
        <v>Yes</v>
      </c>
      <c r="V1086" s="8" t="str">
        <f ca="1">IFERROR(__xludf.DUMMYFUNCTION("""COMPUTED_VALUE"""),"Dismissal")</f>
        <v>Dismissal</v>
      </c>
      <c r="W1086" s="11">
        <f ca="1">IFERROR(__xludf.DUMMYFUNCTION("""COMPUTED_VALUE"""),0.59375)</f>
        <v>0.59375</v>
      </c>
      <c r="X1086" s="8">
        <f ca="1">IFERROR(__xludf.DUMMYFUNCTION("""COMPUTED_VALUE"""),1)</f>
        <v>1</v>
      </c>
      <c r="Y1086" s="12" t="str">
        <f ca="1">IFERROR(__xludf.DUMMYFUNCTION("""COMPUTED_VALUE"""),"SRO fired at vehicle that struck student in parking lot")</f>
        <v>SRO fired at vehicle that struck student in parking lot</v>
      </c>
      <c r="Z1086" s="12" t="str">
        <f ca="1">IFERROR(__xludf.DUMMYFUNCTION("""COMPUTED_VALUE"""),"During a fight at dismissal, two teens in a vehicle struck a student in the school parking lot. The vehicle continued to drive at a high rate of speed and the SRO fired shots at the vehicle injuring the two occupants. Teens in vehicle fled and were taken "&amp;"to hospital by family members. Student struck by vehicle had minor injuries. School did not go into lockdown and dismissal continued.")</f>
        <v>During a fight at dismissal, two teens in a vehicle struck a student in the school parking lot. The vehicle continued to drive at a high rate of speed and the SRO fired shots at the vehicle injuring the two occupants. Teens in vehicle fled and were taken to hospital by family members. Student struck by vehicle had minor injuries. School did not go into lockdown and dismissal continued.</v>
      </c>
      <c r="AA1086" s="8" t="str">
        <f ca="1">IFERROR(__xludf.DUMMYFUNCTION("""COMPUTED_VALUE"""),"Officer-Involved Shooting")</f>
        <v>Officer-Involved Shooting</v>
      </c>
      <c r="AB1086" s="8"/>
      <c r="AC1086" s="8" t="str">
        <f ca="1">IFERROR(__xludf.DUMMYFUNCTION("""COMPUTED_VALUE"""),"Yes")</f>
        <v>Yes</v>
      </c>
      <c r="AD1086" s="8"/>
      <c r="AE1086" s="8"/>
      <c r="AF1086" s="8"/>
      <c r="AG1086" s="8"/>
      <c r="AH1086" s="8"/>
      <c r="AI1086" s="8" t="str">
        <f ca="1">IFERROR(__xludf.DUMMYFUNCTION("""COMPUTED_VALUE"""),"Yes")</f>
        <v>Yes</v>
      </c>
      <c r="AJ1086" s="8"/>
      <c r="AK1086" s="8"/>
      <c r="AL1086" s="8"/>
      <c r="AM1086" s="8" t="str">
        <f ca="1">IFERROR(__xludf.DUMMYFUNCTION("""COMPUTED_VALUE"""),"No")</f>
        <v>No</v>
      </c>
      <c r="AN1086" s="8"/>
      <c r="AO1086" s="8"/>
      <c r="AP1086" s="8"/>
      <c r="AQ1086" s="8"/>
      <c r="AR1086" s="8"/>
      <c r="AS1086" s="8">
        <f ca="1">IFERROR(__xludf.DUMMYFUNCTION("""COMPUTED_VALUE"""),99)</f>
        <v>99</v>
      </c>
      <c r="AT1086" s="8" t="str">
        <f ca="1">IFERROR(__xludf.DUMMYFUNCTION("""COMPUTED_VALUE"""),"No")</f>
        <v>No</v>
      </c>
      <c r="AU1086" s="8">
        <f ca="1">IFERROR(__xludf.DUMMYFUNCTION("""COMPUTED_VALUE"""),36.178908)</f>
        <v>36.178908</v>
      </c>
      <c r="AV1086" s="8">
        <f ca="1">IFERROR(__xludf.DUMMYFUNCTION("""COMPUTED_VALUE"""),-115.202585)</f>
        <v>-115.202585</v>
      </c>
      <c r="AW1086" s="8"/>
      <c r="AX1086" s="8">
        <f ca="1">IFERROR(__xludf.DUMMYFUNCTION("""COMPUTED_VALUE"""),89107)</f>
        <v>89107</v>
      </c>
    </row>
    <row r="1087" spans="1:50" ht="45" x14ac:dyDescent="0.2">
      <c r="A1087" s="8" t="str">
        <f ca="1">IFERROR(__xludf.DUMMYFUNCTION("""COMPUTED_VALUE"""),"20220328TXNOF")</f>
        <v>20220328TXNOF</v>
      </c>
      <c r="B1087" s="8">
        <f ca="1">IFERROR(__xludf.DUMMYFUNCTION("""COMPUTED_VALUE"""),3)</f>
        <v>3</v>
      </c>
      <c r="C1087" s="8">
        <f ca="1">IFERROR(__xludf.DUMMYFUNCTION("""COMPUTED_VALUE"""),28)</f>
        <v>28</v>
      </c>
      <c r="D1087" s="8">
        <f ca="1">IFERROR(__xludf.DUMMYFUNCTION("""COMPUTED_VALUE"""),2022)</f>
        <v>2022</v>
      </c>
      <c r="E1087" s="9">
        <f ca="1">IFERROR(__xludf.DUMMYFUNCTION("""COMPUTED_VALUE"""),44648)</f>
        <v>44648</v>
      </c>
      <c r="F1087" s="8" t="str">
        <f ca="1">IFERROR(__xludf.DUMMYFUNCTION("""COMPUTED_VALUE"""),"North Crowley High School")</f>
        <v>North Crowley High School</v>
      </c>
      <c r="G1087" s="8">
        <f ca="1">IFERROR(__xludf.DUMMYFUNCTION("""COMPUTED_VALUE"""),0)</f>
        <v>0</v>
      </c>
      <c r="H1087" s="8">
        <f ca="1">IFERROR(__xludf.DUMMYFUNCTION("""COMPUTED_VALUE"""),0)</f>
        <v>0</v>
      </c>
      <c r="I1087" s="8">
        <f ca="1">IFERROR(__xludf.DUMMYFUNCTION("""COMPUTED_VALUE"""),0)</f>
        <v>0</v>
      </c>
      <c r="J1087" s="8">
        <f ca="1">IFERROR(__xludf.DUMMYFUNCTION("""COMPUTED_VALUE"""),0)</f>
        <v>0</v>
      </c>
      <c r="K1087" s="8" t="str">
        <f ca="1">IFERROR(__xludf.DUMMYFUNCTION("""COMPUTED_VALUE"""),"https://www.star-telegram.com/news/local/crime/article259904380.html https://dfw.cbslocal.com/2022/03/29/no-one-injured-after-reported-shooting-outside-north-crowley-high-school/")</f>
        <v>https://www.star-telegram.com/news/local/crime/article259904380.html https://dfw.cbslocal.com/2022/03/29/no-one-injured-after-reported-shooting-outside-north-crowley-high-school/</v>
      </c>
      <c r="L1087" s="8">
        <f ca="1">IFERROR(__xludf.DUMMYFUNCTION("""COMPUTED_VALUE"""),2)</f>
        <v>2</v>
      </c>
      <c r="M1087" s="8" t="str">
        <f ca="1">IFERROR(__xludf.DUMMYFUNCTION("""COMPUTED_VALUE"""),"Local")</f>
        <v>Local</v>
      </c>
      <c r="N1087" s="8">
        <f ca="1">IFERROR(__xludf.DUMMYFUNCTION("""COMPUTED_VALUE"""),4)</f>
        <v>4</v>
      </c>
      <c r="O1087" s="8" t="str">
        <f ca="1">IFERROR(__xludf.DUMMYFUNCTION("""COMPUTED_VALUE"""),"Spring")</f>
        <v>Spring</v>
      </c>
      <c r="P1087" s="8" t="str">
        <f ca="1">IFERROR(__xludf.DUMMYFUNCTION("""COMPUTED_VALUE"""),"Fort Worth")</f>
        <v>Fort Worth</v>
      </c>
      <c r="Q1087" s="8" t="str">
        <f ca="1">IFERROR(__xludf.DUMMYFUNCTION("""COMPUTED_VALUE"""),"TX")</f>
        <v>TX</v>
      </c>
      <c r="R1087" s="8" t="str">
        <f ca="1">IFERROR(__xludf.DUMMYFUNCTION("""COMPUTED_VALUE"""),"High")</f>
        <v>High</v>
      </c>
      <c r="S1087" s="8" t="str">
        <f ca="1">IFERROR(__xludf.DUMMYFUNCTION("""COMPUTED_VALUE"""),"Parking Lot")</f>
        <v>Parking Lot</v>
      </c>
      <c r="T1087" s="8" t="str">
        <f ca="1">IFERROR(__xludf.DUMMYFUNCTION("""COMPUTED_VALUE"""),"Outside on School Property")</f>
        <v>Outside on School Property</v>
      </c>
      <c r="U1087" s="8" t="str">
        <f ca="1">IFERROR(__xludf.DUMMYFUNCTION("""COMPUTED_VALUE"""),"No")</f>
        <v>No</v>
      </c>
      <c r="V1087" s="8" t="str">
        <f ca="1">IFERROR(__xludf.DUMMYFUNCTION("""COMPUTED_VALUE"""),"After School")</f>
        <v>After School</v>
      </c>
      <c r="W1087" s="11">
        <f ca="1">IFERROR(__xludf.DUMMYFUNCTION("""COMPUTED_VALUE"""),0.6875)</f>
        <v>0.6875</v>
      </c>
      <c r="X1087" s="8">
        <f ca="1">IFERROR(__xludf.DUMMYFUNCTION("""COMPUTED_VALUE"""),1)</f>
        <v>1</v>
      </c>
      <c r="Y1087" s="12" t="str">
        <f ca="1">IFERROR(__xludf.DUMMYFUNCTION("""COMPUTED_VALUE"""),"Shots fired from a vehicle in the student parking lot")</f>
        <v>Shots fired from a vehicle in the student parking lot</v>
      </c>
      <c r="Z1087" s="12" t="str">
        <f ca="1">IFERROR(__xludf.DUMMYFUNCTION("""COMPUTED_VALUE"""),"Shots were fired from a vehicle in the student parking lot. No injuries. School went on lockdown for 25 minutes.")</f>
        <v>Shots were fired from a vehicle in the student parking lot. No injuries. School went on lockdown for 25 minutes.</v>
      </c>
      <c r="AA1087" s="8" t="str">
        <f ca="1">IFERROR(__xludf.DUMMYFUNCTION("""COMPUTED_VALUE"""),"Drive-by Shooting")</f>
        <v>Drive-by Shooting</v>
      </c>
      <c r="AB1087" s="8"/>
      <c r="AC1087" s="8" t="str">
        <f ca="1">IFERROR(__xludf.DUMMYFUNCTION("""COMPUTED_VALUE"""),"Yes")</f>
        <v>Yes</v>
      </c>
      <c r="AD1087" s="8"/>
      <c r="AE1087" s="8" t="str">
        <f ca="1">IFERROR(__xludf.DUMMYFUNCTION("""COMPUTED_VALUE"""),"No")</f>
        <v>No</v>
      </c>
      <c r="AF1087" s="8"/>
      <c r="AG1087" s="8" t="str">
        <f ca="1">IFERROR(__xludf.DUMMYFUNCTION("""COMPUTED_VALUE"""),"No")</f>
        <v>No</v>
      </c>
      <c r="AH1087" s="8" t="str">
        <f ca="1">IFERROR(__xludf.DUMMYFUNCTION("""COMPUTED_VALUE"""),"No")</f>
        <v>No</v>
      </c>
      <c r="AI1087" s="8" t="str">
        <f ca="1">IFERROR(__xludf.DUMMYFUNCTION("""COMPUTED_VALUE"""),"No")</f>
        <v>No</v>
      </c>
      <c r="AJ1087" s="8" t="str">
        <f ca="1">IFERROR(__xludf.DUMMYFUNCTION("""COMPUTED_VALUE"""),"No")</f>
        <v>No</v>
      </c>
      <c r="AK1087" s="8" t="str">
        <f ca="1">IFERROR(__xludf.DUMMYFUNCTION("""COMPUTED_VALUE"""),"No")</f>
        <v>No</v>
      </c>
      <c r="AL1087" s="8" t="str">
        <f ca="1">IFERROR(__xludf.DUMMYFUNCTION("""COMPUTED_VALUE"""),"No")</f>
        <v>No</v>
      </c>
      <c r="AM1087" s="8" t="str">
        <f ca="1">IFERROR(__xludf.DUMMYFUNCTION("""COMPUTED_VALUE"""),"No")</f>
        <v>No</v>
      </c>
      <c r="AN1087" s="8"/>
      <c r="AO1087" s="8" t="str">
        <f ca="1">IFERROR(__xludf.DUMMYFUNCTION("""COMPUTED_VALUE"""),"No")</f>
        <v>No</v>
      </c>
      <c r="AP1087" s="8"/>
      <c r="AQ1087" s="8"/>
      <c r="AR1087" s="8" t="str">
        <f ca="1">IFERROR(__xludf.DUMMYFUNCTION("""COMPUTED_VALUE"""),"Outside/Off-Property")</f>
        <v>Outside/Off-Property</v>
      </c>
      <c r="AS1087" s="8">
        <f ca="1">IFERROR(__xludf.DUMMYFUNCTION("""COMPUTED_VALUE"""),99)</f>
        <v>99</v>
      </c>
      <c r="AT1087" s="8" t="str">
        <f ca="1">IFERROR(__xludf.DUMMYFUNCTION("""COMPUTED_VALUE"""),"Yes")</f>
        <v>Yes</v>
      </c>
      <c r="AU1087" s="8">
        <f ca="1">IFERROR(__xludf.DUMMYFUNCTION("""COMPUTED_VALUE"""),32.609922)</f>
        <v>32.609921999999997</v>
      </c>
      <c r="AV1087" s="8">
        <f ca="1">IFERROR(__xludf.DUMMYFUNCTION("""COMPUTED_VALUE"""),-97.395056)</f>
        <v>-97.395055999999997</v>
      </c>
      <c r="AW1087" s="8"/>
      <c r="AX1087" s="8">
        <f ca="1">IFERROR(__xludf.DUMMYFUNCTION("""COMPUTED_VALUE"""),76123)</f>
        <v>76123</v>
      </c>
    </row>
    <row r="1088" spans="1:50" ht="45" x14ac:dyDescent="0.2">
      <c r="A1088" s="8" t="str">
        <f ca="1">IFERROR(__xludf.DUMMYFUNCTION("""COMPUTED_VALUE"""),"20220328NCOAC")</f>
        <v>20220328NCOAC</v>
      </c>
      <c r="B1088" s="8">
        <f ca="1">IFERROR(__xludf.DUMMYFUNCTION("""COMPUTED_VALUE"""),3)</f>
        <v>3</v>
      </c>
      <c r="C1088" s="8">
        <f ca="1">IFERROR(__xludf.DUMMYFUNCTION("""COMPUTED_VALUE"""),28)</f>
        <v>28</v>
      </c>
      <c r="D1088" s="8">
        <f ca="1">IFERROR(__xludf.DUMMYFUNCTION("""COMPUTED_VALUE"""),2022)</f>
        <v>2022</v>
      </c>
      <c r="E1088" s="9">
        <f ca="1">IFERROR(__xludf.DUMMYFUNCTION("""COMPUTED_VALUE"""),44648)</f>
        <v>44648</v>
      </c>
      <c r="F1088" s="8" t="str">
        <f ca="1">IFERROR(__xludf.DUMMYFUNCTION("""COMPUTED_VALUE"""),"Oakdale Elementary School")</f>
        <v>Oakdale Elementary School</v>
      </c>
      <c r="G1088" s="8">
        <f ca="1">IFERROR(__xludf.DUMMYFUNCTION("""COMPUTED_VALUE"""),0)</f>
        <v>0</v>
      </c>
      <c r="H1088" s="8">
        <f ca="1">IFERROR(__xludf.DUMMYFUNCTION("""COMPUTED_VALUE"""),1)</f>
        <v>1</v>
      </c>
      <c r="I1088" s="8">
        <f ca="1">IFERROR(__xludf.DUMMYFUNCTION("""COMPUTED_VALUE"""),1)</f>
        <v>1</v>
      </c>
      <c r="J1088" s="8">
        <f ca="1">IFERROR(__xludf.DUMMYFUNCTION("""COMPUTED_VALUE"""),0)</f>
        <v>0</v>
      </c>
      <c r="K1088" s="8" t="str">
        <f ca="1">IFERROR(__xludf.DUMMYFUNCTION("""COMPUTED_VALUE"""),"https://www.wsoctv.com/news/local/police-investigate-shooting-charlotte-elementary-school/FCKDWR7YEREGJDRJYOFP2YROG4/ https://www.wsoctv.com/news/local/police-investigate-shooting-charlotte-elementary-school/FCKDWR7YEREGJDRJYOFP2YROG4/ https://www.wccbcha"&amp;"rlotte.com/2022/03/28/cmpd-investigating-shooting-at-northwest-charlotte-elementary-school-during-teacher-workday/ https://www.fox46.com/charlotte/2-injured-in-north-charlotte-shooting-not-far-from-elementary-school/")</f>
        <v>https://www.wsoctv.com/news/local/police-investigate-shooting-charlotte-elementary-school/FCKDWR7YEREGJDRJYOFP2YROG4/ https://www.wsoctv.com/news/local/police-investigate-shooting-charlotte-elementary-school/FCKDWR7YEREGJDRJYOFP2YROG4/ https://www.wccbcharlotte.com/2022/03/28/cmpd-investigating-shooting-at-northwest-charlotte-elementary-school-during-teacher-workday/ https://www.fox46.com/charlotte/2-injured-in-north-charlotte-shooting-not-far-from-elementary-school/</v>
      </c>
      <c r="L1088" s="8">
        <f ca="1">IFERROR(__xludf.DUMMYFUNCTION("""COMPUTED_VALUE"""),3)</f>
        <v>3</v>
      </c>
      <c r="M1088" s="8" t="str">
        <f ca="1">IFERROR(__xludf.DUMMYFUNCTION("""COMPUTED_VALUE"""),"Local")</f>
        <v>Local</v>
      </c>
      <c r="N1088" s="8">
        <f ca="1">IFERROR(__xludf.DUMMYFUNCTION("""COMPUTED_VALUE"""),4)</f>
        <v>4</v>
      </c>
      <c r="O1088" s="8" t="str">
        <f ca="1">IFERROR(__xludf.DUMMYFUNCTION("""COMPUTED_VALUE"""),"Spring")</f>
        <v>Spring</v>
      </c>
      <c r="P1088" s="8" t="str">
        <f ca="1">IFERROR(__xludf.DUMMYFUNCTION("""COMPUTED_VALUE"""),"Charlotte")</f>
        <v>Charlotte</v>
      </c>
      <c r="Q1088" s="8" t="str">
        <f ca="1">IFERROR(__xludf.DUMMYFUNCTION("""COMPUTED_VALUE"""),"NC")</f>
        <v>NC</v>
      </c>
      <c r="R1088" s="8" t="str">
        <f ca="1">IFERROR(__xludf.DUMMYFUNCTION("""COMPUTED_VALUE"""),"Elementary")</f>
        <v>Elementary</v>
      </c>
      <c r="S1088" s="8" t="str">
        <f ca="1">IFERROR(__xludf.DUMMYFUNCTION("""COMPUTED_VALUE"""),"Parking Lot")</f>
        <v>Parking Lot</v>
      </c>
      <c r="T1088" s="8" t="str">
        <f ca="1">IFERROR(__xludf.DUMMYFUNCTION("""COMPUTED_VALUE"""),"Outside on School Property")</f>
        <v>Outside on School Property</v>
      </c>
      <c r="U1088" s="8" t="str">
        <f ca="1">IFERROR(__xludf.DUMMYFUNCTION("""COMPUTED_VALUE"""),"No")</f>
        <v>No</v>
      </c>
      <c r="V1088" s="8" t="str">
        <f ca="1">IFERROR(__xludf.DUMMYFUNCTION("""COMPUTED_VALUE"""),"Not a School Day")</f>
        <v>Not a School Day</v>
      </c>
      <c r="W1088" s="11">
        <f ca="1">IFERROR(__xludf.DUMMYFUNCTION("""COMPUTED_VALUE"""),0.479166666666666)</f>
        <v>0.47916666666666602</v>
      </c>
      <c r="X1088" s="8">
        <f ca="1">IFERROR(__xludf.DUMMYFUNCTION("""COMPUTED_VALUE"""),1)</f>
        <v>1</v>
      </c>
      <c r="Y1088" s="12" t="str">
        <f ca="1">IFERROR(__xludf.DUMMYFUNCTION("""COMPUTED_VALUE"""),"Teen shot during attempted robbery in school parking lot")</f>
        <v>Teen shot during attempted robbery in school parking lot</v>
      </c>
      <c r="Z1088" s="12" t="str">
        <f ca="1">IFERROR(__xludf.DUMMYFUNCTION("""COMPUTED_VALUE"""),"16-year-old was shot by an 18-year-old during an attempted robbery in the school parking lot. Class was not in session for teacher workday. Staff inside locked down the building.")</f>
        <v>16-year-old was shot by an 18-year-old during an attempted robbery in the school parking lot. Class was not in session for teacher workday. Staff inside locked down the building.</v>
      </c>
      <c r="AA1088" s="8" t="str">
        <f ca="1">IFERROR(__xludf.DUMMYFUNCTION("""COMPUTED_VALUE"""),"Illegal Activity")</f>
        <v>Illegal Activity</v>
      </c>
      <c r="AB1088" s="8"/>
      <c r="AC1088" s="8" t="str">
        <f ca="1">IFERROR(__xludf.DUMMYFUNCTION("""COMPUTED_VALUE"""),"Yes")</f>
        <v>Yes</v>
      </c>
      <c r="AD1088" s="8" t="str">
        <f ca="1">IFERROR(__xludf.DUMMYFUNCTION("""COMPUTED_VALUE"""),"Victims Targeted")</f>
        <v>Victims Targeted</v>
      </c>
      <c r="AE1088" s="8" t="str">
        <f ca="1">IFERROR(__xludf.DUMMYFUNCTION("""COMPUTED_VALUE"""),"No")</f>
        <v>No</v>
      </c>
      <c r="AF1088" s="8"/>
      <c r="AG1088" s="8" t="str">
        <f ca="1">IFERROR(__xludf.DUMMYFUNCTION("""COMPUTED_VALUE"""),"No")</f>
        <v>No</v>
      </c>
      <c r="AH1088" s="8" t="str">
        <f ca="1">IFERROR(__xludf.DUMMYFUNCTION("""COMPUTED_VALUE"""),"No")</f>
        <v>No</v>
      </c>
      <c r="AI1088" s="8" t="str">
        <f ca="1">IFERROR(__xludf.DUMMYFUNCTION("""COMPUTED_VALUE"""),"No")</f>
        <v>No</v>
      </c>
      <c r="AJ1088" s="8" t="str">
        <f ca="1">IFERROR(__xludf.DUMMYFUNCTION("""COMPUTED_VALUE"""),"No")</f>
        <v>No</v>
      </c>
      <c r="AK1088" s="8" t="str">
        <f ca="1">IFERROR(__xludf.DUMMYFUNCTION("""COMPUTED_VALUE"""),"No")</f>
        <v>No</v>
      </c>
      <c r="AL1088" s="8" t="str">
        <f ca="1">IFERROR(__xludf.DUMMYFUNCTION("""COMPUTED_VALUE"""),"No")</f>
        <v>No</v>
      </c>
      <c r="AM1088" s="8" t="str">
        <f ca="1">IFERROR(__xludf.DUMMYFUNCTION("""COMPUTED_VALUE"""),"No")</f>
        <v>No</v>
      </c>
      <c r="AN1088" s="8"/>
      <c r="AO1088" s="8" t="str">
        <f ca="1">IFERROR(__xludf.DUMMYFUNCTION("""COMPUTED_VALUE"""),"No")</f>
        <v>No</v>
      </c>
      <c r="AP1088" s="8" t="str">
        <f ca="1">IFERROR(__xludf.DUMMYFUNCTION("""COMPUTED_VALUE"""),"No")</f>
        <v>No</v>
      </c>
      <c r="AQ1088" s="8"/>
      <c r="AR1088" s="8" t="str">
        <f ca="1">IFERROR(__xludf.DUMMYFUNCTION("""COMPUTED_VALUE"""),"Outside/Off-Property")</f>
        <v>Outside/Off-Property</v>
      </c>
      <c r="AS1088" s="8">
        <f ca="1">IFERROR(__xludf.DUMMYFUNCTION("""COMPUTED_VALUE"""),1)</f>
        <v>1</v>
      </c>
      <c r="AT1088" s="8" t="str">
        <f ca="1">IFERROR(__xludf.DUMMYFUNCTION("""COMPUTED_VALUE"""),"Yes")</f>
        <v>Yes</v>
      </c>
      <c r="AU1088" s="8">
        <f ca="1">IFERROR(__xludf.DUMMYFUNCTION("""COMPUTED_VALUE"""),35.299961)</f>
        <v>35.299961000000003</v>
      </c>
      <c r="AV1088" s="8">
        <f ca="1">IFERROR(__xludf.DUMMYFUNCTION("""COMPUTED_VALUE"""),-80.896995)</f>
        <v>-80.896995000000004</v>
      </c>
      <c r="AW1088" s="8"/>
      <c r="AX1088" s="8">
        <f ca="1">IFERROR(__xludf.DUMMYFUNCTION("""COMPUTED_VALUE"""),28216)</f>
        <v>28216</v>
      </c>
    </row>
    <row r="1089" spans="1:50" ht="75" x14ac:dyDescent="0.2">
      <c r="A1089" s="8" t="str">
        <f ca="1">IFERROR(__xludf.DUMMYFUNCTION("""COMPUTED_VALUE"""),"20220325UTHIS")</f>
        <v>20220325UTHIS</v>
      </c>
      <c r="B1089" s="8">
        <f ca="1">IFERROR(__xludf.DUMMYFUNCTION("""COMPUTED_VALUE"""),3)</f>
        <v>3</v>
      </c>
      <c r="C1089" s="8">
        <f ca="1">IFERROR(__xludf.DUMMYFUNCTION("""COMPUTED_VALUE"""),25)</f>
        <v>25</v>
      </c>
      <c r="D1089" s="8">
        <f ca="1">IFERROR(__xludf.DUMMYFUNCTION("""COMPUTED_VALUE"""),2022)</f>
        <v>2022</v>
      </c>
      <c r="E1089" s="9">
        <f ca="1">IFERROR(__xludf.DUMMYFUNCTION("""COMPUTED_VALUE"""),44645)</f>
        <v>44645</v>
      </c>
      <c r="F1089" s="8" t="str">
        <f ca="1">IFERROR(__xludf.DUMMYFUNCTION("""COMPUTED_VALUE"""),"Highland High School")</f>
        <v>Highland High School</v>
      </c>
      <c r="G1089" s="8">
        <f ca="1">IFERROR(__xludf.DUMMYFUNCTION("""COMPUTED_VALUE"""),0)</f>
        <v>0</v>
      </c>
      <c r="H1089" s="8">
        <f ca="1">IFERROR(__xludf.DUMMYFUNCTION("""COMPUTED_VALUE"""),0)</f>
        <v>0</v>
      </c>
      <c r="I1089" s="8">
        <f ca="1">IFERROR(__xludf.DUMMYFUNCTION("""COMPUTED_VALUE"""),0)</f>
        <v>0</v>
      </c>
      <c r="J1089" s="8">
        <f ca="1">IFERROR(__xludf.DUMMYFUNCTION("""COMPUTED_VALUE"""),0)</f>
        <v>0</v>
      </c>
      <c r="K1089" s="10" t="str">
        <f ca="1">IFERROR(__xludf.DUMMYFUNCTION("""COMPUTED_VALUE"""),"https://www.fox13now.com/news/local-news/utah-parent-says-tiktok-challenge-caused-son-to-be-shot-at-with-toy-gun-then-real-gun")</f>
        <v>https://www.fox13now.com/news/local-news/utah-parent-says-tiktok-challenge-caused-son-to-be-shot-at-with-toy-gun-then-real-gun</v>
      </c>
      <c r="L1089" s="8">
        <f ca="1">IFERROR(__xludf.DUMMYFUNCTION("""COMPUTED_VALUE"""),1)</f>
        <v>1</v>
      </c>
      <c r="M1089" s="8" t="str">
        <f ca="1">IFERROR(__xludf.DUMMYFUNCTION("""COMPUTED_VALUE"""),"Local")</f>
        <v>Local</v>
      </c>
      <c r="N1089" s="8">
        <f ca="1">IFERROR(__xludf.DUMMYFUNCTION("""COMPUTED_VALUE"""),3)</f>
        <v>3</v>
      </c>
      <c r="O1089" s="8" t="str">
        <f ca="1">IFERROR(__xludf.DUMMYFUNCTION("""COMPUTED_VALUE"""),"Spring")</f>
        <v>Spring</v>
      </c>
      <c r="P1089" s="8" t="str">
        <f ca="1">IFERROR(__xludf.DUMMYFUNCTION("""COMPUTED_VALUE"""),"Salt Lake City")</f>
        <v>Salt Lake City</v>
      </c>
      <c r="Q1089" s="8" t="str">
        <f ca="1">IFERROR(__xludf.DUMMYFUNCTION("""COMPUTED_VALUE"""),"UT")</f>
        <v>UT</v>
      </c>
      <c r="R1089" s="8" t="str">
        <f ca="1">IFERROR(__xludf.DUMMYFUNCTION("""COMPUTED_VALUE"""),"High")</f>
        <v>High</v>
      </c>
      <c r="S1089" s="8" t="str">
        <f ca="1">IFERROR(__xludf.DUMMYFUNCTION("""COMPUTED_VALUE"""),"Parking Lot")</f>
        <v>Parking Lot</v>
      </c>
      <c r="T1089" s="8" t="str">
        <f ca="1">IFERROR(__xludf.DUMMYFUNCTION("""COMPUTED_VALUE"""),"Outside on School Property")</f>
        <v>Outside on School Property</v>
      </c>
      <c r="U1089" s="8" t="str">
        <f ca="1">IFERROR(__xludf.DUMMYFUNCTION("""COMPUTED_VALUE"""),"Yes")</f>
        <v>Yes</v>
      </c>
      <c r="V1089" s="8" t="str">
        <f ca="1">IFERROR(__xludf.DUMMYFUNCTION("""COMPUTED_VALUE"""),"Lunch")</f>
        <v>Lunch</v>
      </c>
      <c r="W1089" s="11">
        <f ca="1">IFERROR(__xludf.DUMMYFUNCTION("""COMPUTED_VALUE"""),0.5)</f>
        <v>0.5</v>
      </c>
      <c r="X1089" s="8">
        <f ca="1">IFERROR(__xludf.DUMMYFUNCTION("""COMPUTED_VALUE"""),1)</f>
        <v>1</v>
      </c>
      <c r="Y1089" s="12" t="str">
        <f ca="1">IFERROR(__xludf.DUMMYFUNCTION("""COMPUTED_VALUE"""),"Teens fired pellet gun at vehicle for TikTok challenge, real bullets fired back")</f>
        <v>Teens fired pellet gun at vehicle for TikTok challenge, real bullets fired back</v>
      </c>
      <c r="Z1089" s="12" t="str">
        <f ca="1">IFERROR(__xludf.DUMMYFUNCTION("""COMPUTED_VALUE"""),"Teens were outside in the school parking lot during lunch and fired gel pellet guns at a vehicle as part of TikTok challenge. Vehicle circled around, drive confronted teens with real gun, fired bullets at their car, and then fled.")</f>
        <v>Teens were outside in the school parking lot during lunch and fired gel pellet guns at a vehicle as part of TikTok challenge. Vehicle circled around, drive confronted teens with real gun, fired bullets at their car, and then fled.</v>
      </c>
      <c r="AA1089" s="8" t="str">
        <f ca="1">IFERROR(__xludf.DUMMYFUNCTION("""COMPUTED_VALUE"""),"Drive-by Shooting")</f>
        <v>Drive-by Shooting</v>
      </c>
      <c r="AB1089" s="8"/>
      <c r="AC1089" s="8" t="str">
        <f ca="1">IFERROR(__xludf.DUMMYFUNCTION("""COMPUTED_VALUE"""),"Yes")</f>
        <v>Yes</v>
      </c>
      <c r="AD1089" s="8" t="str">
        <f ca="1">IFERROR(__xludf.DUMMYFUNCTION("""COMPUTED_VALUE"""),"Random Shooting")</f>
        <v>Random Shooting</v>
      </c>
      <c r="AE1089" s="8" t="str">
        <f ca="1">IFERROR(__xludf.DUMMYFUNCTION("""COMPUTED_VALUE"""),"No")</f>
        <v>No</v>
      </c>
      <c r="AF1089" s="8"/>
      <c r="AG1089" s="8" t="str">
        <f ca="1">IFERROR(__xludf.DUMMYFUNCTION("""COMPUTED_VALUE"""),"No")</f>
        <v>No</v>
      </c>
      <c r="AH1089" s="8" t="str">
        <f ca="1">IFERROR(__xludf.DUMMYFUNCTION("""COMPUTED_VALUE"""),"No")</f>
        <v>No</v>
      </c>
      <c r="AI1089" s="8" t="str">
        <f ca="1">IFERROR(__xludf.DUMMYFUNCTION("""COMPUTED_VALUE"""),"No")</f>
        <v>No</v>
      </c>
      <c r="AJ1089" s="8" t="str">
        <f ca="1">IFERROR(__xludf.DUMMYFUNCTION("""COMPUTED_VALUE"""),"No")</f>
        <v>No</v>
      </c>
      <c r="AK1089" s="8" t="str">
        <f ca="1">IFERROR(__xludf.DUMMYFUNCTION("""COMPUTED_VALUE"""),"No")</f>
        <v>No</v>
      </c>
      <c r="AL1089" s="8" t="str">
        <f ca="1">IFERROR(__xludf.DUMMYFUNCTION("""COMPUTED_VALUE"""),"No")</f>
        <v>No</v>
      </c>
      <c r="AM1089" s="8" t="str">
        <f ca="1">IFERROR(__xludf.DUMMYFUNCTION("""COMPUTED_VALUE"""),"No")</f>
        <v>No</v>
      </c>
      <c r="AN1089" s="8"/>
      <c r="AO1089" s="8" t="str">
        <f ca="1">IFERROR(__xludf.DUMMYFUNCTION("""COMPUTED_VALUE"""),"No")</f>
        <v>No</v>
      </c>
      <c r="AP1089" s="8"/>
      <c r="AQ1089" s="8"/>
      <c r="AR1089" s="8" t="str">
        <f ca="1">IFERROR(__xludf.DUMMYFUNCTION("""COMPUTED_VALUE"""),"Outside/Off-Property")</f>
        <v>Outside/Off-Property</v>
      </c>
      <c r="AS1089" s="8">
        <f ca="1">IFERROR(__xludf.DUMMYFUNCTION("""COMPUTED_VALUE"""),99)</f>
        <v>99</v>
      </c>
      <c r="AT1089" s="8" t="str">
        <f ca="1">IFERROR(__xludf.DUMMYFUNCTION("""COMPUTED_VALUE"""),"No")</f>
        <v>No</v>
      </c>
      <c r="AU1089" s="8">
        <f ca="1">IFERROR(__xludf.DUMMYFUNCTION("""COMPUTED_VALUE"""),40.723993)</f>
        <v>40.723993</v>
      </c>
      <c r="AV1089" s="8">
        <f ca="1">IFERROR(__xludf.DUMMYFUNCTION("""COMPUTED_VALUE"""),-111.84254)</f>
        <v>-111.84254</v>
      </c>
      <c r="AW1089" s="8"/>
      <c r="AX1089" s="8">
        <f ca="1">IFERROR(__xludf.DUMMYFUNCTION("""COMPUTED_VALUE"""),84106)</f>
        <v>84106</v>
      </c>
    </row>
    <row r="1090" spans="1:50" ht="75" x14ac:dyDescent="0.2">
      <c r="A1090" s="8" t="str">
        <f ca="1">IFERROR(__xludf.DUMMYFUNCTION("""COMPUTED_VALUE"""),"20220325TXROR")</f>
        <v>20220325TXROR</v>
      </c>
      <c r="B1090" s="8">
        <f ca="1">IFERROR(__xludf.DUMMYFUNCTION("""COMPUTED_VALUE"""),3)</f>
        <v>3</v>
      </c>
      <c r="C1090" s="8">
        <f ca="1">IFERROR(__xludf.DUMMYFUNCTION("""COMPUTED_VALUE"""),25)</f>
        <v>25</v>
      </c>
      <c r="D1090" s="8">
        <f ca="1">IFERROR(__xludf.DUMMYFUNCTION("""COMPUTED_VALUE"""),2022)</f>
        <v>2022</v>
      </c>
      <c r="E1090" s="9">
        <f ca="1">IFERROR(__xludf.DUMMYFUNCTION("""COMPUTED_VALUE"""),44645)</f>
        <v>44645</v>
      </c>
      <c r="F1090" s="8" t="str">
        <f ca="1">IFERROR(__xludf.DUMMYFUNCTION("""COMPUTED_VALUE"""),"Royse City High School")</f>
        <v>Royse City High School</v>
      </c>
      <c r="G1090" s="8">
        <f ca="1">IFERROR(__xludf.DUMMYFUNCTION("""COMPUTED_VALUE"""),0)</f>
        <v>0</v>
      </c>
      <c r="H1090" s="8">
        <f ca="1">IFERROR(__xludf.DUMMYFUNCTION("""COMPUTED_VALUE"""),0)</f>
        <v>0</v>
      </c>
      <c r="I1090" s="8">
        <f ca="1">IFERROR(__xludf.DUMMYFUNCTION("""COMPUTED_VALUE"""),0)</f>
        <v>0</v>
      </c>
      <c r="J1090" s="8">
        <f ca="1">IFERROR(__xludf.DUMMYFUNCTION("""COMPUTED_VALUE"""),0)</f>
        <v>0</v>
      </c>
      <c r="K1090" s="8" t="str">
        <f ca="1">IFERROR(__xludf.DUMMYFUNCTION("""COMPUTED_VALUE"""),"https://www.fox4news.com/news/orbeez-challenge-causes-panic-at-royse-city-high-school https://www.wfaa.com/article/news/local/royse-city-texas-high-school-put-on-lockdown-after-students-caught-firing-airsoft-guns/287-4cad56b1-7f25-4063-a46d-3c67df20b4e5")</f>
        <v>https://www.fox4news.com/news/orbeez-challenge-causes-panic-at-royse-city-high-school https://www.wfaa.com/article/news/local/royse-city-texas-high-school-put-on-lockdown-after-students-caught-firing-airsoft-guns/287-4cad56b1-7f25-4063-a46d-3c67df20b4e5</v>
      </c>
      <c r="L1090" s="8">
        <f ca="1">IFERROR(__xludf.DUMMYFUNCTION("""COMPUTED_VALUE"""),10)</f>
        <v>10</v>
      </c>
      <c r="M1090" s="8" t="str">
        <f ca="1">IFERROR(__xludf.DUMMYFUNCTION("""COMPUTED_VALUE"""),"Regional")</f>
        <v>Regional</v>
      </c>
      <c r="N1090" s="8">
        <f ca="1">IFERROR(__xludf.DUMMYFUNCTION("""COMPUTED_VALUE"""),4)</f>
        <v>4</v>
      </c>
      <c r="O1090" s="8" t="str">
        <f ca="1">IFERROR(__xludf.DUMMYFUNCTION("""COMPUTED_VALUE"""),"Spring")</f>
        <v>Spring</v>
      </c>
      <c r="P1090" s="8" t="str">
        <f ca="1">IFERROR(__xludf.DUMMYFUNCTION("""COMPUTED_VALUE"""),"Royse City")</f>
        <v>Royse City</v>
      </c>
      <c r="Q1090" s="8" t="str">
        <f ca="1">IFERROR(__xludf.DUMMYFUNCTION("""COMPUTED_VALUE"""),"TX")</f>
        <v>TX</v>
      </c>
      <c r="R1090" s="8" t="str">
        <f ca="1">IFERROR(__xludf.DUMMYFUNCTION("""COMPUTED_VALUE"""),"High")</f>
        <v>High</v>
      </c>
      <c r="S1090" s="8" t="str">
        <f ca="1">IFERROR(__xludf.DUMMYFUNCTION("""COMPUTED_VALUE"""),"Parking Lot")</f>
        <v>Parking Lot</v>
      </c>
      <c r="T1090" s="8" t="str">
        <f ca="1">IFERROR(__xludf.DUMMYFUNCTION("""COMPUTED_VALUE"""),"Outside on School Property")</f>
        <v>Outside on School Property</v>
      </c>
      <c r="U1090" s="8" t="str">
        <f ca="1">IFERROR(__xludf.DUMMYFUNCTION("""COMPUTED_VALUE"""),"Yes")</f>
        <v>Yes</v>
      </c>
      <c r="V1090" s="8" t="str">
        <f ca="1">IFERROR(__xludf.DUMMYFUNCTION("""COMPUTED_VALUE"""),"School Start")</f>
        <v>School Start</v>
      </c>
      <c r="W1090" s="11">
        <f ca="1">IFERROR(__xludf.DUMMYFUNCTION("""COMPUTED_VALUE"""),0.34375)</f>
        <v>0.34375</v>
      </c>
      <c r="X1090" s="8">
        <f ca="1">IFERROR(__xludf.DUMMYFUNCTION("""COMPUTED_VALUE"""),1)</f>
        <v>1</v>
      </c>
      <c r="Y1090" s="12" t="str">
        <f ca="1">IFERROR(__xludf.DUMMYFUNCTION("""COMPUTED_VALUE"""),"Active shooter response to school for 5 students firing pellet guns for TikTok challenge")</f>
        <v>Active shooter response to school for 5 students firing pellet guns for TikTok challenge</v>
      </c>
      <c r="Z1090" s="12" t="str">
        <f ca="1">IFERROR(__xludf.DUMMYFUNCTION("""COMPUTED_VALUE"""),"Police responded for multiple reports of an active shooter at the high school. School went into lockdown for 3 hours. Police found 5 students with gel pellet guns who were filming a TikTok challenge to shoot random people. No criminal charges filed.")</f>
        <v>Police responded for multiple reports of an active shooter at the high school. School went into lockdown for 3 hours. Police found 5 students with gel pellet guns who were filming a TikTok challenge to shoot random people. No criminal charges filed.</v>
      </c>
      <c r="AA1090" s="8" t="str">
        <f ca="1">IFERROR(__xludf.DUMMYFUNCTION("""COMPUTED_VALUE"""),"Indiscriminate Shooting")</f>
        <v>Indiscriminate Shooting</v>
      </c>
      <c r="AB1090" s="8"/>
      <c r="AC1090" s="8" t="str">
        <f ca="1">IFERROR(__xludf.DUMMYFUNCTION("""COMPUTED_VALUE"""),"Yes")</f>
        <v>Yes</v>
      </c>
      <c r="AD1090" s="8" t="str">
        <f ca="1">IFERROR(__xludf.DUMMYFUNCTION("""COMPUTED_VALUE"""),"Random Shooting")</f>
        <v>Random Shooting</v>
      </c>
      <c r="AE1090" s="8" t="str">
        <f ca="1">IFERROR(__xludf.DUMMYFUNCTION("""COMPUTED_VALUE"""),"Yes")</f>
        <v>Yes</v>
      </c>
      <c r="AF1090" s="8" t="str">
        <f ca="1">IFERROR(__xludf.DUMMYFUNCTION("""COMPUTED_VALUE"""),"5 students")</f>
        <v>5 students</v>
      </c>
      <c r="AG1090" s="8" t="str">
        <f ca="1">IFERROR(__xludf.DUMMYFUNCTION("""COMPUTED_VALUE"""),"No")</f>
        <v>No</v>
      </c>
      <c r="AH1090" s="8" t="str">
        <f ca="1">IFERROR(__xludf.DUMMYFUNCTION("""COMPUTED_VALUE"""),"No")</f>
        <v>No</v>
      </c>
      <c r="AI1090" s="8" t="str">
        <f ca="1">IFERROR(__xludf.DUMMYFUNCTION("""COMPUTED_VALUE"""),"No")</f>
        <v>No</v>
      </c>
      <c r="AJ1090" s="8" t="str">
        <f ca="1">IFERROR(__xludf.DUMMYFUNCTION("""COMPUTED_VALUE"""),"No")</f>
        <v>No</v>
      </c>
      <c r="AK1090" s="8" t="str">
        <f ca="1">IFERROR(__xludf.DUMMYFUNCTION("""COMPUTED_VALUE"""),"No")</f>
        <v>No</v>
      </c>
      <c r="AL1090" s="8" t="str">
        <f ca="1">IFERROR(__xludf.DUMMYFUNCTION("""COMPUTED_VALUE"""),"No")</f>
        <v>No</v>
      </c>
      <c r="AM1090" s="8" t="str">
        <f ca="1">IFERROR(__xludf.DUMMYFUNCTION("""COMPUTED_VALUE"""),"No")</f>
        <v>No</v>
      </c>
      <c r="AN1090" s="8"/>
      <c r="AO1090" s="8" t="str">
        <f ca="1">IFERROR(__xludf.DUMMYFUNCTION("""COMPUTED_VALUE"""),"No")</f>
        <v>No</v>
      </c>
      <c r="AP1090" s="8"/>
      <c r="AQ1090" s="8"/>
      <c r="AR1090" s="8" t="str">
        <f ca="1">IFERROR(__xludf.DUMMYFUNCTION("""COMPUTED_VALUE"""),"Outside/Off-Property")</f>
        <v>Outside/Off-Property</v>
      </c>
      <c r="AS1090" s="8">
        <f ca="1">IFERROR(__xludf.DUMMYFUNCTION("""COMPUTED_VALUE"""),99)</f>
        <v>99</v>
      </c>
      <c r="AT1090" s="8" t="str">
        <f ca="1">IFERROR(__xludf.DUMMYFUNCTION("""COMPUTED_VALUE"""),"Yes")</f>
        <v>Yes</v>
      </c>
      <c r="AU1090" s="8">
        <f ca="1">IFERROR(__xludf.DUMMYFUNCTION("""COMPUTED_VALUE"""),32.973505)</f>
        <v>32.973505000000003</v>
      </c>
      <c r="AV1090" s="8">
        <f ca="1">IFERROR(__xludf.DUMMYFUNCTION("""COMPUTED_VALUE"""),-96.291542)</f>
        <v>-96.291542000000007</v>
      </c>
      <c r="AW1090" s="8"/>
      <c r="AX1090" s="8">
        <f ca="1">IFERROR(__xludf.DUMMYFUNCTION("""COMPUTED_VALUE"""),75189)</f>
        <v>75189</v>
      </c>
    </row>
    <row r="1091" spans="1:50" ht="60" x14ac:dyDescent="0.2">
      <c r="A1091" s="8" t="str">
        <f ca="1">IFERROR(__xludf.DUMMYFUNCTION("""COMPUTED_VALUE"""),"20220325TNBRM")</f>
        <v>20220325TNBRM</v>
      </c>
      <c r="B1091" s="8">
        <f ca="1">IFERROR(__xludf.DUMMYFUNCTION("""COMPUTED_VALUE"""),3)</f>
        <v>3</v>
      </c>
      <c r="C1091" s="8">
        <f ca="1">IFERROR(__xludf.DUMMYFUNCTION("""COMPUTED_VALUE"""),25)</f>
        <v>25</v>
      </c>
      <c r="D1091" s="8">
        <f ca="1">IFERROR(__xludf.DUMMYFUNCTION("""COMPUTED_VALUE"""),2022)</f>
        <v>2022</v>
      </c>
      <c r="E1091" s="9">
        <f ca="1">IFERROR(__xludf.DUMMYFUNCTION("""COMPUTED_VALUE"""),44645)</f>
        <v>44645</v>
      </c>
      <c r="F1091" s="8" t="str">
        <f ca="1">IFERROR(__xludf.DUMMYFUNCTION("""COMPUTED_VALUE"""),"Brighton High School")</f>
        <v>Brighton High School</v>
      </c>
      <c r="G1091" s="8">
        <f ca="1">IFERROR(__xludf.DUMMYFUNCTION("""COMPUTED_VALUE"""),0)</f>
        <v>0</v>
      </c>
      <c r="H1091" s="8">
        <f ca="1">IFERROR(__xludf.DUMMYFUNCTION("""COMPUTED_VALUE"""),0)</f>
        <v>0</v>
      </c>
      <c r="I1091" s="8">
        <f ca="1">IFERROR(__xludf.DUMMYFUNCTION("""COMPUTED_VALUE"""),0)</f>
        <v>0</v>
      </c>
      <c r="J1091" s="8">
        <f ca="1">IFERROR(__xludf.DUMMYFUNCTION("""COMPUTED_VALUE"""),0)</f>
        <v>0</v>
      </c>
      <c r="K1091" s="10" t="str">
        <f ca="1">IFERROR(__xludf.DUMMYFUNCTION("""COMPUTED_VALUE"""),"https://www.actionnews5.com/2022/03/26/shots-fired-during-candlelight-vigil-brighton-high-school/")</f>
        <v>https://www.actionnews5.com/2022/03/26/shots-fired-during-candlelight-vigil-brighton-high-school/</v>
      </c>
      <c r="L1091" s="8">
        <f ca="1">IFERROR(__xludf.DUMMYFUNCTION("""COMPUTED_VALUE"""),1)</f>
        <v>1</v>
      </c>
      <c r="M1091" s="8" t="str">
        <f ca="1">IFERROR(__xludf.DUMMYFUNCTION("""COMPUTED_VALUE"""),"Local")</f>
        <v>Local</v>
      </c>
      <c r="N1091" s="8">
        <f ca="1">IFERROR(__xludf.DUMMYFUNCTION("""COMPUTED_VALUE"""),3)</f>
        <v>3</v>
      </c>
      <c r="O1091" s="8" t="str">
        <f ca="1">IFERROR(__xludf.DUMMYFUNCTION("""COMPUTED_VALUE"""),"Spring")</f>
        <v>Spring</v>
      </c>
      <c r="P1091" s="8" t="str">
        <f ca="1">IFERROR(__xludf.DUMMYFUNCTION("""COMPUTED_VALUE"""),"Memphis")</f>
        <v>Memphis</v>
      </c>
      <c r="Q1091" s="8" t="str">
        <f ca="1">IFERROR(__xludf.DUMMYFUNCTION("""COMPUTED_VALUE"""),"TN")</f>
        <v>TN</v>
      </c>
      <c r="R1091" s="8" t="str">
        <f ca="1">IFERROR(__xludf.DUMMYFUNCTION("""COMPUTED_VALUE"""),"High")</f>
        <v>High</v>
      </c>
      <c r="S1091" s="8" t="str">
        <f ca="1">IFERROR(__xludf.DUMMYFUNCTION("""COMPUTED_VALUE"""),"Parking Lot")</f>
        <v>Parking Lot</v>
      </c>
      <c r="T1091" s="8" t="str">
        <f ca="1">IFERROR(__xludf.DUMMYFUNCTION("""COMPUTED_VALUE"""),"Outside on School Property")</f>
        <v>Outside on School Property</v>
      </c>
      <c r="U1091" s="8" t="str">
        <f ca="1">IFERROR(__xludf.DUMMYFUNCTION("""COMPUTED_VALUE"""),"No")</f>
        <v>No</v>
      </c>
      <c r="V1091" s="8" t="str">
        <f ca="1">IFERROR(__xludf.DUMMYFUNCTION("""COMPUTED_VALUE"""),"Evening")</f>
        <v>Evening</v>
      </c>
      <c r="W1091" s="8"/>
      <c r="X1091" s="8">
        <f ca="1">IFERROR(__xludf.DUMMYFUNCTION("""COMPUTED_VALUE"""),1)</f>
        <v>1</v>
      </c>
      <c r="Y1091" s="12" t="str">
        <f ca="1">IFERROR(__xludf.DUMMYFUNCTION("""COMPUTED_VALUE"""),"Shots fired during candlelight vigil for former student")</f>
        <v>Shots fired during candlelight vigil for former student</v>
      </c>
      <c r="Z1091" s="12" t="str">
        <f ca="1">IFERROR(__xludf.DUMMYFUNCTION("""COMPUTED_VALUE"""),"5 shots were fired from a vehicle at a crowd of 80 people gathered for a candlelight vigil at the school. Shooter fled, was pursued by police, and arrested. Charged with 20 counts of reckless endangerment.")</f>
        <v>5 shots were fired from a vehicle at a crowd of 80 people gathered for a candlelight vigil at the school. Shooter fled, was pursued by police, and arrested. Charged with 20 counts of reckless endangerment.</v>
      </c>
      <c r="AA1091" s="8" t="str">
        <f ca="1">IFERROR(__xludf.DUMMYFUNCTION("""COMPUTED_VALUE"""),"Drive-by Shooting")</f>
        <v>Drive-by Shooting</v>
      </c>
      <c r="AB1091" s="8"/>
      <c r="AC1091" s="8" t="str">
        <f ca="1">IFERROR(__xludf.DUMMYFUNCTION("""COMPUTED_VALUE"""),"No")</f>
        <v>No</v>
      </c>
      <c r="AD1091" s="8" t="str">
        <f ca="1">IFERROR(__xludf.DUMMYFUNCTION("""COMPUTED_VALUE"""),"Both")</f>
        <v>Both</v>
      </c>
      <c r="AE1091" s="8" t="str">
        <f ca="1">IFERROR(__xludf.DUMMYFUNCTION("""COMPUTED_VALUE"""),"No")</f>
        <v>No</v>
      </c>
      <c r="AF1091" s="8"/>
      <c r="AG1091" s="8" t="str">
        <f ca="1">IFERROR(__xludf.DUMMYFUNCTION("""COMPUTED_VALUE"""),"No")</f>
        <v>No</v>
      </c>
      <c r="AH1091" s="8" t="str">
        <f ca="1">IFERROR(__xludf.DUMMYFUNCTION("""COMPUTED_VALUE"""),"No")</f>
        <v>No</v>
      </c>
      <c r="AI1091" s="8" t="str">
        <f ca="1">IFERROR(__xludf.DUMMYFUNCTION("""COMPUTED_VALUE"""),"No")</f>
        <v>No</v>
      </c>
      <c r="AJ1091" s="8" t="str">
        <f ca="1">IFERROR(__xludf.DUMMYFUNCTION("""COMPUTED_VALUE"""),"No")</f>
        <v>No</v>
      </c>
      <c r="AK1091" s="8" t="str">
        <f ca="1">IFERROR(__xludf.DUMMYFUNCTION("""COMPUTED_VALUE"""),"No")</f>
        <v>No</v>
      </c>
      <c r="AL1091" s="8"/>
      <c r="AM1091" s="8" t="str">
        <f ca="1">IFERROR(__xludf.DUMMYFUNCTION("""COMPUTED_VALUE"""),"No")</f>
        <v>No</v>
      </c>
      <c r="AN1091" s="8"/>
      <c r="AO1091" s="8" t="str">
        <f ca="1">IFERROR(__xludf.DUMMYFUNCTION("""COMPUTED_VALUE"""),"No")</f>
        <v>No</v>
      </c>
      <c r="AP1091" s="8" t="str">
        <f ca="1">IFERROR(__xludf.DUMMYFUNCTION("""COMPUTED_VALUE"""),"No")</f>
        <v>No</v>
      </c>
      <c r="AQ1091" s="8"/>
      <c r="AR1091" s="8" t="str">
        <f ca="1">IFERROR(__xludf.DUMMYFUNCTION("""COMPUTED_VALUE"""),"Outside/Off-Property")</f>
        <v>Outside/Off-Property</v>
      </c>
      <c r="AS1091" s="8">
        <f ca="1">IFERROR(__xludf.DUMMYFUNCTION("""COMPUTED_VALUE"""),5)</f>
        <v>5</v>
      </c>
      <c r="AT1091" s="8"/>
      <c r="AU1091" s="8">
        <f ca="1">IFERROR(__xludf.DUMMYFUNCTION("""COMPUTED_VALUE"""),35.478013)</f>
        <v>35.478012999999997</v>
      </c>
      <c r="AV1091" s="8">
        <f ca="1">IFERROR(__xludf.DUMMYFUNCTION("""COMPUTED_VALUE"""),-89.745384)</f>
        <v>-89.745384000000001</v>
      </c>
      <c r="AW1091" s="8"/>
      <c r="AX1091" s="8">
        <f ca="1">IFERROR(__xludf.DUMMYFUNCTION("""COMPUTED_VALUE"""),38011)</f>
        <v>38011</v>
      </c>
    </row>
    <row r="1092" spans="1:50" ht="75" x14ac:dyDescent="0.2">
      <c r="A1092" s="8" t="str">
        <f ca="1">IFERROR(__xludf.DUMMYFUNCTION("""COMPUTED_VALUE"""),"20220324VARIW")</f>
        <v>20220324VARIW</v>
      </c>
      <c r="B1092" s="8">
        <f ca="1">IFERROR(__xludf.DUMMYFUNCTION("""COMPUTED_VALUE"""),3)</f>
        <v>3</v>
      </c>
      <c r="C1092" s="8">
        <f ca="1">IFERROR(__xludf.DUMMYFUNCTION("""COMPUTED_VALUE"""),24)</f>
        <v>24</v>
      </c>
      <c r="D1092" s="8">
        <f ca="1">IFERROR(__xludf.DUMMYFUNCTION("""COMPUTED_VALUE"""),2022)</f>
        <v>2022</v>
      </c>
      <c r="E1092" s="9">
        <f ca="1">IFERROR(__xludf.DUMMYFUNCTION("""COMPUTED_VALUE"""),44644)</f>
        <v>44644</v>
      </c>
      <c r="F1092" s="8" t="str">
        <f ca="1">IFERROR(__xludf.DUMMYFUNCTION("""COMPUTED_VALUE"""),"Rippon Middle School")</f>
        <v>Rippon Middle School</v>
      </c>
      <c r="G1092" s="8">
        <f ca="1">IFERROR(__xludf.DUMMYFUNCTION("""COMPUTED_VALUE"""),0)</f>
        <v>0</v>
      </c>
      <c r="H1092" s="8">
        <f ca="1">IFERROR(__xludf.DUMMYFUNCTION("""COMPUTED_VALUE"""),0)</f>
        <v>0</v>
      </c>
      <c r="I1092" s="8">
        <f ca="1">IFERROR(__xludf.DUMMYFUNCTION("""COMPUTED_VALUE"""),0)</f>
        <v>0</v>
      </c>
      <c r="J1092" s="8">
        <f ca="1">IFERROR(__xludf.DUMMYFUNCTION("""COMPUTED_VALUE"""),0)</f>
        <v>0</v>
      </c>
      <c r="K1092" s="8" t="str">
        <f ca="1">IFERROR(__xludf.DUMMYFUNCTION("""COMPUTED_VALUE"""),"https://www.potomaclocal.com/2022/03/24/man-charged-after-shot-fired-at-middle-school-had-no-connection-to-school/ https://wtop.com/prince-william-county/2022/03/suspect-arrested-after-firing-weapon-near-prince-william-co-middle-school/ https://apnews.com"&amp;"/article/business-education-arrests-virginia-woodbridge-e8ecb49085f61c6271dfd9e8116d42d8 https://www.insidenova.com/headlines/updated-man-armed-with-rifle-and-shotgun-arrested-outside-rippon-middle-school/article_04b75b96-ab8b-11ec-951f-1bf8bc763d1d.html "&amp;"https://www.fox5dc.com/news/armed-person-detained-by-school-resource-officer-at-virginia-middle-school-after-gunshot-reported")</f>
        <v>https://www.potomaclocal.com/2022/03/24/man-charged-after-shot-fired-at-middle-school-had-no-connection-to-school/ https://wtop.com/prince-william-county/2022/03/suspect-arrested-after-firing-weapon-near-prince-william-co-middle-school/ https://apnews.com/article/business-education-arrests-virginia-woodbridge-e8ecb49085f61c6271dfd9e8116d42d8 https://www.insidenova.com/headlines/updated-man-armed-with-rifle-and-shotgun-arrested-outside-rippon-middle-school/article_04b75b96-ab8b-11ec-951f-1bf8bc763d1d.html https://www.fox5dc.com/news/armed-person-detained-by-school-resource-officer-at-virginia-middle-school-after-gunshot-reported</v>
      </c>
      <c r="L1092" s="8">
        <f ca="1">IFERROR(__xludf.DUMMYFUNCTION("""COMPUTED_VALUE"""),10)</f>
        <v>10</v>
      </c>
      <c r="M1092" s="8" t="str">
        <f ca="1">IFERROR(__xludf.DUMMYFUNCTION("""COMPUTED_VALUE"""),"Regional")</f>
        <v>Regional</v>
      </c>
      <c r="N1092" s="8">
        <f ca="1">IFERROR(__xludf.DUMMYFUNCTION("""COMPUTED_VALUE"""),4)</f>
        <v>4</v>
      </c>
      <c r="O1092" s="8" t="str">
        <f ca="1">IFERROR(__xludf.DUMMYFUNCTION("""COMPUTED_VALUE"""),"Spring")</f>
        <v>Spring</v>
      </c>
      <c r="P1092" s="8" t="str">
        <f ca="1">IFERROR(__xludf.DUMMYFUNCTION("""COMPUTED_VALUE"""),"Woodbridge")</f>
        <v>Woodbridge</v>
      </c>
      <c r="Q1092" s="8" t="str">
        <f ca="1">IFERROR(__xludf.DUMMYFUNCTION("""COMPUTED_VALUE"""),"VA")</f>
        <v>VA</v>
      </c>
      <c r="R1092" s="8" t="str">
        <f ca="1">IFERROR(__xludf.DUMMYFUNCTION("""COMPUTED_VALUE"""),"Middle")</f>
        <v>Middle</v>
      </c>
      <c r="S1092" s="8" t="str">
        <f ca="1">IFERROR(__xludf.DUMMYFUNCTION("""COMPUTED_VALUE"""),"Beside Building")</f>
        <v>Beside Building</v>
      </c>
      <c r="T1092" s="8" t="str">
        <f ca="1">IFERROR(__xludf.DUMMYFUNCTION("""COMPUTED_VALUE"""),"Outside on School Property")</f>
        <v>Outside on School Property</v>
      </c>
      <c r="U1092" s="8" t="str">
        <f ca="1">IFERROR(__xludf.DUMMYFUNCTION("""COMPUTED_VALUE"""),"Yes")</f>
        <v>Yes</v>
      </c>
      <c r="V1092" s="8" t="str">
        <f ca="1">IFERROR(__xludf.DUMMYFUNCTION("""COMPUTED_VALUE"""),"Morning Classes")</f>
        <v>Morning Classes</v>
      </c>
      <c r="W1092" s="11">
        <f ca="1">IFERROR(__xludf.DUMMYFUNCTION("""COMPUTED_VALUE"""),0.465972222222222)</f>
        <v>0.46597222222222201</v>
      </c>
      <c r="X1092" s="8">
        <f ca="1">IFERROR(__xludf.DUMMYFUNCTION("""COMPUTED_VALUE"""),1)</f>
        <v>1</v>
      </c>
      <c r="Y1092" s="12" t="str">
        <f ca="1">IFERROR(__xludf.DUMMYFUNCTION("""COMPUTED_VALUE"""),"Man in ski mask with rifle and shotgun fired shot outside of school, arrested by SRO")</f>
        <v>Man in ski mask with rifle and shotgun fired shot outside of school, arrested by SRO</v>
      </c>
      <c r="Z1092" s="12" t="str">
        <f ca="1">IFERROR(__xludf.DUMMYFUNCTION("""COMPUTED_VALUE"""),"A 20-year-old man was involved in a domestic dispute near the school. He walked on school property with a rifle and shotgun wearing a ski mask. He fired a shot and the school went on lockdown. SRO responded and he surrendered next to the building. Arreste"&amp;"d and held without bond.")</f>
        <v>A 20-year-old man was involved in a domestic dispute near the school. He walked on school property with a rifle and shotgun wearing a ski mask. He fired a shot and the school went on lockdown. SRO responded and he surrendered next to the building. Arrested and held without bond.</v>
      </c>
      <c r="AA1092" s="8" t="str">
        <f ca="1">IFERROR(__xludf.DUMMYFUNCTION("""COMPUTED_VALUE"""),"Domestic w/ Targeted Victim")</f>
        <v>Domestic w/ Targeted Victim</v>
      </c>
      <c r="AB1092" s="8"/>
      <c r="AC1092" s="8" t="str">
        <f ca="1">IFERROR(__xludf.DUMMYFUNCTION("""COMPUTED_VALUE"""),"Yes")</f>
        <v>Yes</v>
      </c>
      <c r="AD1092" s="8" t="str">
        <f ca="1">IFERROR(__xludf.DUMMYFUNCTION("""COMPUTED_VALUE"""),"Neither")</f>
        <v>Neither</v>
      </c>
      <c r="AE1092" s="8" t="str">
        <f ca="1">IFERROR(__xludf.DUMMYFUNCTION("""COMPUTED_VALUE"""),"No")</f>
        <v>No</v>
      </c>
      <c r="AF1092" s="8"/>
      <c r="AG1092" s="8" t="str">
        <f ca="1">IFERROR(__xludf.DUMMYFUNCTION("""COMPUTED_VALUE"""),"No")</f>
        <v>No</v>
      </c>
      <c r="AH1092" s="8" t="str">
        <f ca="1">IFERROR(__xludf.DUMMYFUNCTION("""COMPUTED_VALUE"""),"No")</f>
        <v>No</v>
      </c>
      <c r="AI1092" s="8" t="str">
        <f ca="1">IFERROR(__xludf.DUMMYFUNCTION("""COMPUTED_VALUE"""),"No")</f>
        <v>No</v>
      </c>
      <c r="AJ1092" s="8" t="str">
        <f ca="1">IFERROR(__xludf.DUMMYFUNCTION("""COMPUTED_VALUE"""),"No")</f>
        <v>No</v>
      </c>
      <c r="AK1092" s="8" t="str">
        <f ca="1">IFERROR(__xludf.DUMMYFUNCTION("""COMPUTED_VALUE"""),"Yes")</f>
        <v>Yes</v>
      </c>
      <c r="AL1092" s="8" t="str">
        <f ca="1">IFERROR(__xludf.DUMMYFUNCTION("""COMPUTED_VALUE"""),"No")</f>
        <v>No</v>
      </c>
      <c r="AM1092" s="8" t="str">
        <f ca="1">IFERROR(__xludf.DUMMYFUNCTION("""COMPUTED_VALUE"""),"No")</f>
        <v>No</v>
      </c>
      <c r="AN1092" s="8"/>
      <c r="AO1092" s="8" t="str">
        <f ca="1">IFERROR(__xludf.DUMMYFUNCTION("""COMPUTED_VALUE"""),"No")</f>
        <v>No</v>
      </c>
      <c r="AP1092" s="8" t="str">
        <f ca="1">IFERROR(__xludf.DUMMYFUNCTION("""COMPUTED_VALUE"""),"Yes")</f>
        <v>Yes</v>
      </c>
      <c r="AQ1092" s="8" t="str">
        <f ca="1">IFERROR(__xludf.DUMMYFUNCTION("""COMPUTED_VALUE"""),"Armed Guards")</f>
        <v>Armed Guards</v>
      </c>
      <c r="AR1092" s="8" t="str">
        <f ca="1">IFERROR(__xludf.DUMMYFUNCTION("""COMPUTED_VALUE"""),"Outside/Off-Property")</f>
        <v>Outside/Off-Property</v>
      </c>
      <c r="AS1092" s="8">
        <f ca="1">IFERROR(__xludf.DUMMYFUNCTION("""COMPUTED_VALUE"""),2)</f>
        <v>2</v>
      </c>
      <c r="AT1092" s="8" t="str">
        <f ca="1">IFERROR(__xludf.DUMMYFUNCTION("""COMPUTED_VALUE"""),"Yes")</f>
        <v>Yes</v>
      </c>
      <c r="AU1092" s="8">
        <f ca="1">IFERROR(__xludf.DUMMYFUNCTION("""COMPUTED_VALUE"""),38.622845)</f>
        <v>38.622844999999998</v>
      </c>
      <c r="AV1092" s="8">
        <f ca="1">IFERROR(__xludf.DUMMYFUNCTION("""COMPUTED_VALUE"""),-77.268006)</f>
        <v>-77.268006</v>
      </c>
      <c r="AW1092" s="8"/>
      <c r="AX1092" s="8">
        <f ca="1">IFERROR(__xludf.DUMMYFUNCTION("""COMPUTED_VALUE"""),22191)</f>
        <v>22191</v>
      </c>
    </row>
    <row r="1093" spans="1:50" ht="75" x14ac:dyDescent="0.2">
      <c r="A1093" s="8" t="str">
        <f ca="1">IFERROR(__xludf.DUMMYFUNCTION("""COMPUTED_VALUE"""),"20220322VAJAR")</f>
        <v>20220322VAJAR</v>
      </c>
      <c r="B1093" s="8">
        <f ca="1">IFERROR(__xludf.DUMMYFUNCTION("""COMPUTED_VALUE"""),3)</f>
        <v>3</v>
      </c>
      <c r="C1093" s="8">
        <f ca="1">IFERROR(__xludf.DUMMYFUNCTION("""COMPUTED_VALUE"""),22)</f>
        <v>22</v>
      </c>
      <c r="D1093" s="8">
        <f ca="1">IFERROR(__xludf.DUMMYFUNCTION("""COMPUTED_VALUE"""),2022)</f>
        <v>2022</v>
      </c>
      <c r="E1093" s="9">
        <f ca="1">IFERROR(__xludf.DUMMYFUNCTION("""COMPUTED_VALUE"""),44642)</f>
        <v>44642</v>
      </c>
      <c r="F1093" s="8" t="str">
        <f ca="1">IFERROR(__xludf.DUMMYFUNCTION("""COMPUTED_VALUE"""),"James Madison Middle School")</f>
        <v>James Madison Middle School</v>
      </c>
      <c r="G1093" s="8">
        <f ca="1">IFERROR(__xludf.DUMMYFUNCTION("""COMPUTED_VALUE"""),0)</f>
        <v>0</v>
      </c>
      <c r="H1093" s="8">
        <f ca="1">IFERROR(__xludf.DUMMYFUNCTION("""COMPUTED_VALUE"""),0)</f>
        <v>0</v>
      </c>
      <c r="I1093" s="8">
        <f ca="1">IFERROR(__xludf.DUMMYFUNCTION("""COMPUTED_VALUE"""),0)</f>
        <v>0</v>
      </c>
      <c r="J1093" s="8">
        <f ca="1">IFERROR(__xludf.DUMMYFUNCTION("""COMPUTED_VALUE"""),0)</f>
        <v>0</v>
      </c>
      <c r="K1093" s="10" t="str">
        <f ca="1">IFERROR(__xludf.DUMMYFUNCTION("""COMPUTED_VALUE"""),"https://www.wdbj7.com/2022/03/22/school-bus-shot-nw-roanoke/")</f>
        <v>https://www.wdbj7.com/2022/03/22/school-bus-shot-nw-roanoke/</v>
      </c>
      <c r="L1093" s="8">
        <f ca="1">IFERROR(__xludf.DUMMYFUNCTION("""COMPUTED_VALUE"""),1)</f>
        <v>1</v>
      </c>
      <c r="M1093" s="8" t="str">
        <f ca="1">IFERROR(__xludf.DUMMYFUNCTION("""COMPUTED_VALUE"""),"Local")</f>
        <v>Local</v>
      </c>
      <c r="N1093" s="8">
        <f ca="1">IFERROR(__xludf.DUMMYFUNCTION("""COMPUTED_VALUE"""),4)</f>
        <v>4</v>
      </c>
      <c r="O1093" s="8" t="str">
        <f ca="1">IFERROR(__xludf.DUMMYFUNCTION("""COMPUTED_VALUE"""),"Spring")</f>
        <v>Spring</v>
      </c>
      <c r="P1093" s="8" t="str">
        <f ca="1">IFERROR(__xludf.DUMMYFUNCTION("""COMPUTED_VALUE"""),"Roanoke")</f>
        <v>Roanoke</v>
      </c>
      <c r="Q1093" s="8" t="str">
        <f ca="1">IFERROR(__xludf.DUMMYFUNCTION("""COMPUTED_VALUE"""),"VA")</f>
        <v>VA</v>
      </c>
      <c r="R1093" s="8" t="str">
        <f ca="1">IFERROR(__xludf.DUMMYFUNCTION("""COMPUTED_VALUE"""),"Middle")</f>
        <v>Middle</v>
      </c>
      <c r="S1093" s="8" t="str">
        <f ca="1">IFERROR(__xludf.DUMMYFUNCTION("""COMPUTED_VALUE"""),"School Bus")</f>
        <v>School Bus</v>
      </c>
      <c r="T1093" s="8" t="str">
        <f ca="1">IFERROR(__xludf.DUMMYFUNCTION("""COMPUTED_VALUE"""),"School Bus")</f>
        <v>School Bus</v>
      </c>
      <c r="U1093" s="8" t="str">
        <f ca="1">IFERROR(__xludf.DUMMYFUNCTION("""COMPUTED_VALUE"""),"Yes")</f>
        <v>Yes</v>
      </c>
      <c r="V1093" s="8" t="str">
        <f ca="1">IFERROR(__xludf.DUMMYFUNCTION("""COMPUTED_VALUE"""),"Dismissal")</f>
        <v>Dismissal</v>
      </c>
      <c r="W1093" s="11">
        <f ca="1">IFERROR(__xludf.DUMMYFUNCTION("""COMPUTED_VALUE"""),0.666666666666666)</f>
        <v>0.66666666666666596</v>
      </c>
      <c r="X1093" s="8">
        <f ca="1">IFERROR(__xludf.DUMMYFUNCTION("""COMPUTED_VALUE"""),1)</f>
        <v>1</v>
      </c>
      <c r="Y1093" s="12" t="str">
        <f ca="1">IFERROR(__xludf.DUMMYFUNCTION("""COMPUTED_VALUE"""),"School bus tire shot while driving students home after school")</f>
        <v>School bus tire shot while driving students home after school</v>
      </c>
      <c r="Z1093" s="12" t="str">
        <f ca="1">IFERROR(__xludf.DUMMYFUNCTION("""COMPUTED_VALUE"""),"The right front tire of a school bus carrying students was struck by a bullet. The drive was able to maintain control of the bus and contact police. Police also responded to reports of a person shot nearby. Police were not able to locate a shooter or vict"&amp;"im.")</f>
        <v>The right front tire of a school bus carrying students was struck by a bullet. The drive was able to maintain control of the bus and contact police. Police also responded to reports of a person shot nearby. Police were not able to locate a shooter or victim.</v>
      </c>
      <c r="AA1093" s="8"/>
      <c r="AB1093" s="8"/>
      <c r="AC1093" s="8" t="str">
        <f ca="1">IFERROR(__xludf.DUMMYFUNCTION("""COMPUTED_VALUE"""),"Yes")</f>
        <v>Yes</v>
      </c>
      <c r="AD1093" s="8" t="str">
        <f ca="1">IFERROR(__xludf.DUMMYFUNCTION("""COMPUTED_VALUE"""),"Victims Targeted")</f>
        <v>Victims Targeted</v>
      </c>
      <c r="AE1093" s="8" t="str">
        <f ca="1">IFERROR(__xludf.DUMMYFUNCTION("""COMPUTED_VALUE"""),"No")</f>
        <v>No</v>
      </c>
      <c r="AF1093" s="8"/>
      <c r="AG1093" s="8" t="str">
        <f ca="1">IFERROR(__xludf.DUMMYFUNCTION("""COMPUTED_VALUE"""),"No")</f>
        <v>No</v>
      </c>
      <c r="AH1093" s="8" t="str">
        <f ca="1">IFERROR(__xludf.DUMMYFUNCTION("""COMPUTED_VALUE"""),"No")</f>
        <v>No</v>
      </c>
      <c r="AI1093" s="8" t="str">
        <f ca="1">IFERROR(__xludf.DUMMYFUNCTION("""COMPUTED_VALUE"""),"No")</f>
        <v>No</v>
      </c>
      <c r="AJ1093" s="8" t="str">
        <f ca="1">IFERROR(__xludf.DUMMYFUNCTION("""COMPUTED_VALUE"""),"No")</f>
        <v>No</v>
      </c>
      <c r="AK1093" s="8" t="str">
        <f ca="1">IFERROR(__xludf.DUMMYFUNCTION("""COMPUTED_VALUE"""),"No")</f>
        <v>No</v>
      </c>
      <c r="AL1093" s="8"/>
      <c r="AM1093" s="8" t="str">
        <f ca="1">IFERROR(__xludf.DUMMYFUNCTION("""COMPUTED_VALUE"""),"No")</f>
        <v>No</v>
      </c>
      <c r="AN1093" s="8"/>
      <c r="AO1093" s="8" t="str">
        <f ca="1">IFERROR(__xludf.DUMMYFUNCTION("""COMPUTED_VALUE"""),"No")</f>
        <v>No</v>
      </c>
      <c r="AP1093" s="8"/>
      <c r="AQ1093" s="8"/>
      <c r="AR1093" s="8" t="str">
        <f ca="1">IFERROR(__xludf.DUMMYFUNCTION("""COMPUTED_VALUE"""),"Outside/Off-Property")</f>
        <v>Outside/Off-Property</v>
      </c>
      <c r="AS1093" s="8">
        <f ca="1">IFERROR(__xludf.DUMMYFUNCTION("""COMPUTED_VALUE"""),99)</f>
        <v>99</v>
      </c>
      <c r="AT1093" s="8"/>
      <c r="AU1093" s="8">
        <f ca="1">IFERROR(__xludf.DUMMYFUNCTION("""COMPUTED_VALUE"""),37.249388)</f>
        <v>37.249388000000003</v>
      </c>
      <c r="AV1093" s="8">
        <f ca="1">IFERROR(__xludf.DUMMYFUNCTION("""COMPUTED_VALUE"""),-79.97291)</f>
        <v>-79.972909999999999</v>
      </c>
      <c r="AW1093" s="8"/>
      <c r="AX1093" s="8">
        <f ca="1">IFERROR(__xludf.DUMMYFUNCTION("""COMPUTED_VALUE"""),24015)</f>
        <v>24015</v>
      </c>
    </row>
    <row r="1094" spans="1:50" ht="45" x14ac:dyDescent="0.2">
      <c r="A1094" s="8" t="str">
        <f ca="1">IFERROR(__xludf.DUMMYFUNCTION("""COMPUTED_VALUE"""),"20220322TXWOD")</f>
        <v>20220322TXWOD</v>
      </c>
      <c r="B1094" s="8">
        <f ca="1">IFERROR(__xludf.DUMMYFUNCTION("""COMPUTED_VALUE"""),3)</f>
        <v>3</v>
      </c>
      <c r="C1094" s="8">
        <f ca="1">IFERROR(__xludf.DUMMYFUNCTION("""COMPUTED_VALUE"""),22)</f>
        <v>22</v>
      </c>
      <c r="D1094" s="8">
        <f ca="1">IFERROR(__xludf.DUMMYFUNCTION("""COMPUTED_VALUE"""),2022)</f>
        <v>2022</v>
      </c>
      <c r="E1094" s="9">
        <f ca="1">IFERROR(__xludf.DUMMYFUNCTION("""COMPUTED_VALUE"""),44642)</f>
        <v>44642</v>
      </c>
      <c r="F1094" s="8" t="str">
        <f ca="1">IFERROR(__xludf.DUMMYFUNCTION("""COMPUTED_VALUE"""),"Woodrow Wilson High School")</f>
        <v>Woodrow Wilson High School</v>
      </c>
      <c r="G1094" s="8">
        <f ca="1">IFERROR(__xludf.DUMMYFUNCTION("""COMPUTED_VALUE"""),0)</f>
        <v>0</v>
      </c>
      <c r="H1094" s="8">
        <f ca="1">IFERROR(__xludf.DUMMYFUNCTION("""COMPUTED_VALUE"""),0)</f>
        <v>0</v>
      </c>
      <c r="I1094" s="8">
        <f ca="1">IFERROR(__xludf.DUMMYFUNCTION("""COMPUTED_VALUE"""),0)</f>
        <v>0</v>
      </c>
      <c r="J1094" s="8">
        <f ca="1">IFERROR(__xludf.DUMMYFUNCTION("""COMPUTED_VALUE"""),0)</f>
        <v>0</v>
      </c>
      <c r="K1094" s="8" t="str">
        <f ca="1">IFERROR(__xludf.DUMMYFUNCTION("""COMPUTED_VALUE"""),"https://www.wfaa.com/article/news/local/dallas-isd-east-dallas-no-one-injured-after-shots-fired-outside-of-woodrow-wilson-high-school-in-dallas-on-tuesday/287-61203d72-044a-4100-a09c-9b50b4ece98f https://www.nbcdfw.com/news/local/no-one-injured-in-shootin"&amp;"g-near-woodrow-wilson-high-school-in-dallas/2922533/")</f>
        <v>https://www.wfaa.com/article/news/local/dallas-isd-east-dallas-no-one-injured-after-shots-fired-outside-of-woodrow-wilson-high-school-in-dallas-on-tuesday/287-61203d72-044a-4100-a09c-9b50b4ece98f https://www.nbcdfw.com/news/local/no-one-injured-in-shooting-near-woodrow-wilson-high-school-in-dallas/2922533/</v>
      </c>
      <c r="L1094" s="8">
        <f ca="1">IFERROR(__xludf.DUMMYFUNCTION("""COMPUTED_VALUE"""),10)</f>
        <v>10</v>
      </c>
      <c r="M1094" s="8" t="str">
        <f ca="1">IFERROR(__xludf.DUMMYFUNCTION("""COMPUTED_VALUE"""),"Regional")</f>
        <v>Regional</v>
      </c>
      <c r="N1094" s="8">
        <f ca="1">IFERROR(__xludf.DUMMYFUNCTION("""COMPUTED_VALUE"""),4)</f>
        <v>4</v>
      </c>
      <c r="O1094" s="8" t="str">
        <f ca="1">IFERROR(__xludf.DUMMYFUNCTION("""COMPUTED_VALUE"""),"Spring")</f>
        <v>Spring</v>
      </c>
      <c r="P1094" s="8" t="str">
        <f ca="1">IFERROR(__xludf.DUMMYFUNCTION("""COMPUTED_VALUE"""),"Dallas")</f>
        <v>Dallas</v>
      </c>
      <c r="Q1094" s="8" t="str">
        <f ca="1">IFERROR(__xludf.DUMMYFUNCTION("""COMPUTED_VALUE"""),"TX")</f>
        <v>TX</v>
      </c>
      <c r="R1094" s="8" t="str">
        <f ca="1">IFERROR(__xludf.DUMMYFUNCTION("""COMPUTED_VALUE"""),"High")</f>
        <v>High</v>
      </c>
      <c r="S1094" s="8" t="str">
        <f ca="1">IFERROR(__xludf.DUMMYFUNCTION("""COMPUTED_VALUE"""),"Football Field/Track")</f>
        <v>Football Field/Track</v>
      </c>
      <c r="T1094" s="8" t="str">
        <f ca="1">IFERROR(__xludf.DUMMYFUNCTION("""COMPUTED_VALUE"""),"Outside on School Property")</f>
        <v>Outside on School Property</v>
      </c>
      <c r="U1094" s="8" t="str">
        <f ca="1">IFERROR(__xludf.DUMMYFUNCTION("""COMPUTED_VALUE"""),"Yes")</f>
        <v>Yes</v>
      </c>
      <c r="V1094" s="8" t="str">
        <f ca="1">IFERROR(__xludf.DUMMYFUNCTION("""COMPUTED_VALUE"""),"Dismissal")</f>
        <v>Dismissal</v>
      </c>
      <c r="W1094" s="11">
        <f ca="1">IFERROR(__xludf.DUMMYFUNCTION("""COMPUTED_VALUE"""),0.625)</f>
        <v>0.625</v>
      </c>
      <c r="X1094" s="8">
        <f ca="1">IFERROR(__xludf.DUMMYFUNCTION("""COMPUTED_VALUE"""),1)</f>
        <v>1</v>
      </c>
      <c r="Y1094" s="12" t="str">
        <f ca="1">IFERROR(__xludf.DUMMYFUNCTION("""COMPUTED_VALUE"""),"Shots fired at dismissal during fight")</f>
        <v>Shots fired at dismissal during fight</v>
      </c>
      <c r="Z1094" s="12" t="str">
        <f ca="1">IFERROR(__xludf.DUMMYFUNCTION("""COMPUTED_VALUE"""),"Shots were fired during a fight near the football field at dismissal. Shooter fled. No injuries.")</f>
        <v>Shots were fired during a fight near the football field at dismissal. Shooter fled. No injuries.</v>
      </c>
      <c r="AA1094" s="8" t="str">
        <f ca="1">IFERROR(__xludf.DUMMYFUNCTION("""COMPUTED_VALUE"""),"Escalation of Dispute")</f>
        <v>Escalation of Dispute</v>
      </c>
      <c r="AB1094" s="8"/>
      <c r="AC1094" s="8" t="str">
        <f ca="1">IFERROR(__xludf.DUMMYFUNCTION("""COMPUTED_VALUE"""),"Yes")</f>
        <v>Yes</v>
      </c>
      <c r="AD1094" s="8" t="str">
        <f ca="1">IFERROR(__xludf.DUMMYFUNCTION("""COMPUTED_VALUE"""),"Victims Targeted")</f>
        <v>Victims Targeted</v>
      </c>
      <c r="AE1094" s="8" t="str">
        <f ca="1">IFERROR(__xludf.DUMMYFUNCTION("""COMPUTED_VALUE"""),"No")</f>
        <v>No</v>
      </c>
      <c r="AF1094" s="8"/>
      <c r="AG1094" s="8" t="str">
        <f ca="1">IFERROR(__xludf.DUMMYFUNCTION("""COMPUTED_VALUE"""),"No")</f>
        <v>No</v>
      </c>
      <c r="AH1094" s="8" t="str">
        <f ca="1">IFERROR(__xludf.DUMMYFUNCTION("""COMPUTED_VALUE"""),"No")</f>
        <v>No</v>
      </c>
      <c r="AI1094" s="8" t="str">
        <f ca="1">IFERROR(__xludf.DUMMYFUNCTION("""COMPUTED_VALUE"""),"No")</f>
        <v>No</v>
      </c>
      <c r="AJ1094" s="8" t="str">
        <f ca="1">IFERROR(__xludf.DUMMYFUNCTION("""COMPUTED_VALUE"""),"No")</f>
        <v>No</v>
      </c>
      <c r="AK1094" s="8" t="str">
        <f ca="1">IFERROR(__xludf.DUMMYFUNCTION("""COMPUTED_VALUE"""),"No")</f>
        <v>No</v>
      </c>
      <c r="AL1094" s="8" t="str">
        <f ca="1">IFERROR(__xludf.DUMMYFUNCTION("""COMPUTED_VALUE"""),"No")</f>
        <v>No</v>
      </c>
      <c r="AM1094" s="8" t="str">
        <f ca="1">IFERROR(__xludf.DUMMYFUNCTION("""COMPUTED_VALUE"""),"No")</f>
        <v>No</v>
      </c>
      <c r="AN1094" s="8"/>
      <c r="AO1094" s="8" t="str">
        <f ca="1">IFERROR(__xludf.DUMMYFUNCTION("""COMPUTED_VALUE"""),"No")</f>
        <v>No</v>
      </c>
      <c r="AP1094" s="8"/>
      <c r="AQ1094" s="8"/>
      <c r="AR1094" s="8" t="str">
        <f ca="1">IFERROR(__xludf.DUMMYFUNCTION("""COMPUTED_VALUE"""),"Outside/Off-Property")</f>
        <v>Outside/Off-Property</v>
      </c>
      <c r="AS1094" s="8">
        <f ca="1">IFERROR(__xludf.DUMMYFUNCTION("""COMPUTED_VALUE"""),99)</f>
        <v>99</v>
      </c>
      <c r="AT1094" s="8" t="str">
        <f ca="1">IFERROR(__xludf.DUMMYFUNCTION("""COMPUTED_VALUE"""),"No")</f>
        <v>No</v>
      </c>
      <c r="AU1094" s="8">
        <f ca="1">IFERROR(__xludf.DUMMYFUNCTION("""COMPUTED_VALUE"""),32.805555)</f>
        <v>32.805554999999998</v>
      </c>
      <c r="AV1094" s="8">
        <f ca="1">IFERROR(__xludf.DUMMYFUNCTION("""COMPUTED_VALUE"""),-96.74989)</f>
        <v>-96.749889999999994</v>
      </c>
      <c r="AW1094" s="8"/>
      <c r="AX1094" s="8">
        <f ca="1">IFERROR(__xludf.DUMMYFUNCTION("""COMPUTED_VALUE"""),75214)</f>
        <v>75214</v>
      </c>
    </row>
    <row r="1095" spans="1:50" ht="60" x14ac:dyDescent="0.2">
      <c r="A1095" s="8" t="str">
        <f ca="1">IFERROR(__xludf.DUMMYFUNCTION("""COMPUTED_VALUE"""),"20220322FLNEN")</f>
        <v>20220322FLNEN</v>
      </c>
      <c r="B1095" s="8">
        <f ca="1">IFERROR(__xludf.DUMMYFUNCTION("""COMPUTED_VALUE"""),3)</f>
        <v>3</v>
      </c>
      <c r="C1095" s="8">
        <f ca="1">IFERROR(__xludf.DUMMYFUNCTION("""COMPUTED_VALUE"""),22)</f>
        <v>22</v>
      </c>
      <c r="D1095" s="8">
        <f ca="1">IFERROR(__xludf.DUMMYFUNCTION("""COMPUTED_VALUE"""),2022)</f>
        <v>2022</v>
      </c>
      <c r="E1095" s="9">
        <f ca="1">IFERROR(__xludf.DUMMYFUNCTION("""COMPUTED_VALUE"""),44642)</f>
        <v>44642</v>
      </c>
      <c r="F1095" s="8" t="str">
        <f ca="1">IFERROR(__xludf.DUMMYFUNCTION("""COMPUTED_VALUE"""),"New Smyrna Beach High School")</f>
        <v>New Smyrna Beach High School</v>
      </c>
      <c r="G1095" s="8">
        <f ca="1">IFERROR(__xludf.DUMMYFUNCTION("""COMPUTED_VALUE"""),0)</f>
        <v>0</v>
      </c>
      <c r="H1095" s="8">
        <f ca="1">IFERROR(__xludf.DUMMYFUNCTION("""COMPUTED_VALUE"""),0)</f>
        <v>0</v>
      </c>
      <c r="I1095" s="8">
        <f ca="1">IFERROR(__xludf.DUMMYFUNCTION("""COMPUTED_VALUE"""),0)</f>
        <v>0</v>
      </c>
      <c r="J1095" s="8">
        <f ca="1">IFERROR(__xludf.DUMMYFUNCTION("""COMPUTED_VALUE"""),0)</f>
        <v>0</v>
      </c>
      <c r="K1095" s="8" t="str">
        <f ca="1">IFERROR(__xludf.DUMMYFUNCTION("""COMPUTED_VALUE"""),"https://www.wesh.com/article/orbeez-challenge-volusia/39519964# https://www.clickorlando.com/news/local/2022/03/23/new-smyrna-beach-high-student-shot-school-employee-in-face-with-orbeez-gun-deputies-say/")</f>
        <v>https://www.wesh.com/article/orbeez-challenge-volusia/39519964# https://www.clickorlando.com/news/local/2022/03/23/new-smyrna-beach-high-student-shot-school-employee-in-face-with-orbeez-gun-deputies-say/</v>
      </c>
      <c r="L1095" s="8">
        <f ca="1">IFERROR(__xludf.DUMMYFUNCTION("""COMPUTED_VALUE"""),2)</f>
        <v>2</v>
      </c>
      <c r="M1095" s="8" t="str">
        <f ca="1">IFERROR(__xludf.DUMMYFUNCTION("""COMPUTED_VALUE"""),"Regional")</f>
        <v>Regional</v>
      </c>
      <c r="N1095" s="8">
        <f ca="1">IFERROR(__xludf.DUMMYFUNCTION("""COMPUTED_VALUE"""),4)</f>
        <v>4</v>
      </c>
      <c r="O1095" s="8" t="str">
        <f ca="1">IFERROR(__xludf.DUMMYFUNCTION("""COMPUTED_VALUE"""),"Spring")</f>
        <v>Spring</v>
      </c>
      <c r="P1095" s="8" t="str">
        <f ca="1">IFERROR(__xludf.DUMMYFUNCTION("""COMPUTED_VALUE"""),"New Smyrna Beach")</f>
        <v>New Smyrna Beach</v>
      </c>
      <c r="Q1095" s="8" t="str">
        <f ca="1">IFERROR(__xludf.DUMMYFUNCTION("""COMPUTED_VALUE"""),"FL")</f>
        <v>FL</v>
      </c>
      <c r="R1095" s="8" t="str">
        <f ca="1">IFERROR(__xludf.DUMMYFUNCTION("""COMPUTED_VALUE"""),"High")</f>
        <v>High</v>
      </c>
      <c r="S1095" s="8" t="str">
        <f ca="1">IFERROR(__xludf.DUMMYFUNCTION("""COMPUTED_VALUE"""),"Parking Lot")</f>
        <v>Parking Lot</v>
      </c>
      <c r="T1095" s="8" t="str">
        <f ca="1">IFERROR(__xludf.DUMMYFUNCTION("""COMPUTED_VALUE"""),"Outside on School Property")</f>
        <v>Outside on School Property</v>
      </c>
      <c r="U1095" s="8" t="str">
        <f ca="1">IFERROR(__xludf.DUMMYFUNCTION("""COMPUTED_VALUE"""),"Yes")</f>
        <v>Yes</v>
      </c>
      <c r="V1095" s="8" t="str">
        <f ca="1">IFERROR(__xludf.DUMMYFUNCTION("""COMPUTED_VALUE"""),"Dismissal")</f>
        <v>Dismissal</v>
      </c>
      <c r="W1095" s="11">
        <f ca="1">IFERROR(__xludf.DUMMYFUNCTION("""COMPUTED_VALUE"""),0.638888888888888)</f>
        <v>0.63888888888888795</v>
      </c>
      <c r="X1095" s="8">
        <f ca="1">IFERROR(__xludf.DUMMYFUNCTION("""COMPUTED_VALUE"""),1)</f>
        <v>1</v>
      </c>
      <c r="Y1095" s="12" t="str">
        <f ca="1">IFERROR(__xludf.DUMMYFUNCTION("""COMPUTED_VALUE"""),"Student shot school employee multiple times in the face with pellet gun")</f>
        <v>Student shot school employee multiple times in the face with pellet gun</v>
      </c>
      <c r="Z1095" s="12" t="str">
        <f ca="1">IFERROR(__xludf.DUMMYFUNCTION("""COMPUTED_VALUE"""),"A 17-year-old male student shot a female school employee multiple times in the face with a gel pellet gun in the school parking lot. He filmed the shooting for a TikTok challenge. Charged with felony battery of a school employee.")</f>
        <v>A 17-year-old male student shot a female school employee multiple times in the face with a gel pellet gun in the school parking lot. He filmed the shooting for a TikTok challenge. Charged with felony battery of a school employee.</v>
      </c>
      <c r="AA1095" s="8" t="str">
        <f ca="1">IFERROR(__xludf.DUMMYFUNCTION("""COMPUTED_VALUE"""),"Drive-by Shooting")</f>
        <v>Drive-by Shooting</v>
      </c>
      <c r="AB1095" s="8"/>
      <c r="AC1095" s="8" t="str">
        <f ca="1">IFERROR(__xludf.DUMMYFUNCTION("""COMPUTED_VALUE"""),"Yes")</f>
        <v>Yes</v>
      </c>
      <c r="AD1095" s="8" t="str">
        <f ca="1">IFERROR(__xludf.DUMMYFUNCTION("""COMPUTED_VALUE"""),"Victims Targeted")</f>
        <v>Victims Targeted</v>
      </c>
      <c r="AE1095" s="8" t="str">
        <f ca="1">IFERROR(__xludf.DUMMYFUNCTION("""COMPUTED_VALUE"""),"No")</f>
        <v>No</v>
      </c>
      <c r="AF1095" s="8"/>
      <c r="AG1095" s="8" t="str">
        <f ca="1">IFERROR(__xludf.DUMMYFUNCTION("""COMPUTED_VALUE"""),"No")</f>
        <v>No</v>
      </c>
      <c r="AH1095" s="8" t="str">
        <f ca="1">IFERROR(__xludf.DUMMYFUNCTION("""COMPUTED_VALUE"""),"No")</f>
        <v>No</v>
      </c>
      <c r="AI1095" s="8" t="str">
        <f ca="1">IFERROR(__xludf.DUMMYFUNCTION("""COMPUTED_VALUE"""),"No")</f>
        <v>No</v>
      </c>
      <c r="AJ1095" s="8" t="str">
        <f ca="1">IFERROR(__xludf.DUMMYFUNCTION("""COMPUTED_VALUE"""),"No")</f>
        <v>No</v>
      </c>
      <c r="AK1095" s="8" t="str">
        <f ca="1">IFERROR(__xludf.DUMMYFUNCTION("""COMPUTED_VALUE"""),"No")</f>
        <v>No</v>
      </c>
      <c r="AL1095" s="8" t="str">
        <f ca="1">IFERROR(__xludf.DUMMYFUNCTION("""COMPUTED_VALUE"""),"No")</f>
        <v>No</v>
      </c>
      <c r="AM1095" s="8" t="str">
        <f ca="1">IFERROR(__xludf.DUMMYFUNCTION("""COMPUTED_VALUE"""),"No")</f>
        <v>No</v>
      </c>
      <c r="AN1095" s="8"/>
      <c r="AO1095" s="8" t="str">
        <f ca="1">IFERROR(__xludf.DUMMYFUNCTION("""COMPUTED_VALUE"""),"No")</f>
        <v>No</v>
      </c>
      <c r="AP1095" s="8"/>
      <c r="AQ1095" s="8"/>
      <c r="AR1095" s="8" t="str">
        <f ca="1">IFERROR(__xludf.DUMMYFUNCTION("""COMPUTED_VALUE"""),"Outside/Off-Property")</f>
        <v>Outside/Off-Property</v>
      </c>
      <c r="AS1095" s="8">
        <f ca="1">IFERROR(__xludf.DUMMYFUNCTION("""COMPUTED_VALUE"""),99)</f>
        <v>99</v>
      </c>
      <c r="AT1095" s="8" t="str">
        <f ca="1">IFERROR(__xludf.DUMMYFUNCTION("""COMPUTED_VALUE"""),"No")</f>
        <v>No</v>
      </c>
      <c r="AU1095" s="8">
        <f ca="1">IFERROR(__xludf.DUMMYFUNCTION("""COMPUTED_VALUE"""),29.002618)</f>
        <v>29.002617999999998</v>
      </c>
      <c r="AV1095" s="8">
        <f ca="1">IFERROR(__xludf.DUMMYFUNCTION("""COMPUTED_VALUE"""),-80.930887)</f>
        <v>-80.930886999999998</v>
      </c>
      <c r="AW1095" s="8"/>
      <c r="AX1095" s="8">
        <f ca="1">IFERROR(__xludf.DUMMYFUNCTION("""COMPUTED_VALUE"""),32168)</f>
        <v>32168</v>
      </c>
    </row>
    <row r="1096" spans="1:50" ht="90" x14ac:dyDescent="0.2">
      <c r="A1096" s="8" t="str">
        <f ca="1">IFERROR(__xludf.DUMMYFUNCTION("""COMPUTED_VALUE"""),"20220321MSLEP")</f>
        <v>20220321MSLEP</v>
      </c>
      <c r="B1096" s="8">
        <f ca="1">IFERROR(__xludf.DUMMYFUNCTION("""COMPUTED_VALUE"""),3)</f>
        <v>3</v>
      </c>
      <c r="C1096" s="8">
        <f ca="1">IFERROR(__xludf.DUMMYFUNCTION("""COMPUTED_VALUE"""),21)</f>
        <v>21</v>
      </c>
      <c r="D1096" s="8">
        <f ca="1">IFERROR(__xludf.DUMMYFUNCTION("""COMPUTED_VALUE"""),2022)</f>
        <v>2022</v>
      </c>
      <c r="E1096" s="9">
        <f ca="1">IFERROR(__xludf.DUMMYFUNCTION("""COMPUTED_VALUE"""),44641)</f>
        <v>44641</v>
      </c>
      <c r="F1096" s="8" t="str">
        <f ca="1">IFERROR(__xludf.DUMMYFUNCTION("""COMPUTED_VALUE"""),"Leap of Faith Middle School")</f>
        <v>Leap of Faith Middle School</v>
      </c>
      <c r="G1096" s="8">
        <f ca="1">IFERROR(__xludf.DUMMYFUNCTION("""COMPUTED_VALUE"""),0)</f>
        <v>0</v>
      </c>
      <c r="H1096" s="8">
        <f ca="1">IFERROR(__xludf.DUMMYFUNCTION("""COMPUTED_VALUE"""),0)</f>
        <v>0</v>
      </c>
      <c r="I1096" s="8">
        <f ca="1">IFERROR(__xludf.DUMMYFUNCTION("""COMPUTED_VALUE"""),0)</f>
        <v>0</v>
      </c>
      <c r="J1096" s="8">
        <f ca="1">IFERROR(__xludf.DUMMYFUNCTION("""COMPUTED_VALUE"""),0)</f>
        <v>0</v>
      </c>
      <c r="K1096" s="8" t="str">
        <f ca="1">IFERROR(__xludf.DUMMYFUNCTION("""COMPUTED_VALUE"""),"https://www.sunherald.com/news/local/crime/article259627534.html https://www.wlox.com/2022/03/21/pascagoula-police-searching-alleged-gunman-private-school-building/")</f>
        <v>https://www.sunherald.com/news/local/crime/article259627534.html https://www.wlox.com/2022/03/21/pascagoula-police-searching-alleged-gunman-private-school-building/</v>
      </c>
      <c r="L1096" s="8">
        <f ca="1">IFERROR(__xludf.DUMMYFUNCTION("""COMPUTED_VALUE"""),5)</f>
        <v>5</v>
      </c>
      <c r="M1096" s="8" t="str">
        <f ca="1">IFERROR(__xludf.DUMMYFUNCTION("""COMPUTED_VALUE"""),"Local")</f>
        <v>Local</v>
      </c>
      <c r="N1096" s="8">
        <f ca="1">IFERROR(__xludf.DUMMYFUNCTION("""COMPUTED_VALUE"""),4)</f>
        <v>4</v>
      </c>
      <c r="O1096" s="8" t="str">
        <f ca="1">IFERROR(__xludf.DUMMYFUNCTION("""COMPUTED_VALUE"""),"Spring")</f>
        <v>Spring</v>
      </c>
      <c r="P1096" s="8" t="str">
        <f ca="1">IFERROR(__xludf.DUMMYFUNCTION("""COMPUTED_VALUE"""),"Pascagoula")</f>
        <v>Pascagoula</v>
      </c>
      <c r="Q1096" s="8" t="str">
        <f ca="1">IFERROR(__xludf.DUMMYFUNCTION("""COMPUTED_VALUE"""),"MS")</f>
        <v>MS</v>
      </c>
      <c r="R1096" s="8" t="str">
        <f ca="1">IFERROR(__xludf.DUMMYFUNCTION("""COMPUTED_VALUE"""),"Middle")</f>
        <v>Middle</v>
      </c>
      <c r="S1096" s="8" t="str">
        <f ca="1">IFERROR(__xludf.DUMMYFUNCTION("""COMPUTED_VALUE"""),"Inside School Building")</f>
        <v>Inside School Building</v>
      </c>
      <c r="T1096" s="8" t="str">
        <f ca="1">IFERROR(__xludf.DUMMYFUNCTION("""COMPUTED_VALUE"""),"Both Inside/Outside")</f>
        <v>Both Inside/Outside</v>
      </c>
      <c r="U1096" s="8" t="str">
        <f ca="1">IFERROR(__xludf.DUMMYFUNCTION("""COMPUTED_VALUE"""),"Yes")</f>
        <v>Yes</v>
      </c>
      <c r="V1096" s="8" t="str">
        <f ca="1">IFERROR(__xludf.DUMMYFUNCTION("""COMPUTED_VALUE"""),"Afternoon Classes")</f>
        <v>Afternoon Classes</v>
      </c>
      <c r="W1096" s="11">
        <f ca="1">IFERROR(__xludf.DUMMYFUNCTION("""COMPUTED_VALUE"""),0.541666666666666)</f>
        <v>0.54166666666666596</v>
      </c>
      <c r="X1096" s="8">
        <f ca="1">IFERROR(__xludf.DUMMYFUNCTION("""COMPUTED_VALUE"""),1)</f>
        <v>1</v>
      </c>
      <c r="Y1096" s="12" t="str">
        <f ca="1">IFERROR(__xludf.DUMMYFUNCTION("""COMPUTED_VALUE"""),"Shots fired outside school, gunman broken into school building fleeing police")</f>
        <v>Shots fired outside school, gunman broken into school building fleeing police</v>
      </c>
      <c r="Z1096" s="12" t="str">
        <f ca="1">IFERROR(__xludf.DUMMYFUNCTION("""COMPUTED_VALUE"""),"Police in the area heard shots fired near the school building. A gunman fleeing police broke into the school building. Police evacuated students and staff, set up a parameter, and arrested multiple suspects. Shots were fired outside the Friday prior (4 da"&amp;"ys earlier striking the school building). No staff or students were injured in either incident.")</f>
        <v>Police in the area heard shots fired near the school building. A gunman fleeing police broke into the school building. Police evacuated students and staff, set up a parameter, and arrested multiple suspects. Shots were fired outside the Friday prior (4 days earlier striking the school building). No staff or students were injured in either incident.</v>
      </c>
      <c r="AA1096" s="8" t="str">
        <f ca="1">IFERROR(__xludf.DUMMYFUNCTION("""COMPUTED_VALUE"""),"Illegal Activity")</f>
        <v>Illegal Activity</v>
      </c>
      <c r="AB1096" s="8"/>
      <c r="AC1096" s="8" t="str">
        <f ca="1">IFERROR(__xludf.DUMMYFUNCTION("""COMPUTED_VALUE"""),"Yes")</f>
        <v>Yes</v>
      </c>
      <c r="AD1096" s="8" t="str">
        <f ca="1">IFERROR(__xludf.DUMMYFUNCTION("""COMPUTED_VALUE"""),"Victims Targeted")</f>
        <v>Victims Targeted</v>
      </c>
      <c r="AE1096" s="8" t="str">
        <f ca="1">IFERROR(__xludf.DUMMYFUNCTION("""COMPUTED_VALUE"""),"Yes")</f>
        <v>Yes</v>
      </c>
      <c r="AF1096" s="8" t="str">
        <f ca="1">IFERROR(__xludf.DUMMYFUNCTION("""COMPUTED_VALUE"""),"Multiple men arrested")</f>
        <v>Multiple men arrested</v>
      </c>
      <c r="AG1096" s="8" t="str">
        <f ca="1">IFERROR(__xludf.DUMMYFUNCTION("""COMPUTED_VALUE"""),"No")</f>
        <v>No</v>
      </c>
      <c r="AH1096" s="8" t="str">
        <f ca="1">IFERROR(__xludf.DUMMYFUNCTION("""COMPUTED_VALUE"""),"No")</f>
        <v>No</v>
      </c>
      <c r="AI1096" s="8" t="str">
        <f ca="1">IFERROR(__xludf.DUMMYFUNCTION("""COMPUTED_VALUE"""),"No")</f>
        <v>No</v>
      </c>
      <c r="AJ1096" s="8" t="str">
        <f ca="1">IFERROR(__xludf.DUMMYFUNCTION("""COMPUTED_VALUE"""),"No")</f>
        <v>No</v>
      </c>
      <c r="AK1096" s="8" t="str">
        <f ca="1">IFERROR(__xludf.DUMMYFUNCTION("""COMPUTED_VALUE"""),"No")</f>
        <v>No</v>
      </c>
      <c r="AL1096" s="8"/>
      <c r="AM1096" s="8" t="str">
        <f ca="1">IFERROR(__xludf.DUMMYFUNCTION("""COMPUTED_VALUE"""),"No")</f>
        <v>No</v>
      </c>
      <c r="AN1096" s="8"/>
      <c r="AO1096" s="8" t="str">
        <f ca="1">IFERROR(__xludf.DUMMYFUNCTION("""COMPUTED_VALUE"""),"No")</f>
        <v>No</v>
      </c>
      <c r="AP1096" s="8" t="str">
        <f ca="1">IFERROR(__xludf.DUMMYFUNCTION("""COMPUTED_VALUE"""),"No")</f>
        <v>No</v>
      </c>
      <c r="AQ1096" s="8"/>
      <c r="AR1096" s="8"/>
      <c r="AS1096" s="8">
        <f ca="1">IFERROR(__xludf.DUMMYFUNCTION("""COMPUTED_VALUE"""),99)</f>
        <v>99</v>
      </c>
      <c r="AT1096" s="8"/>
      <c r="AU1096" s="8">
        <f ca="1">IFERROR(__xludf.DUMMYFUNCTION("""COMPUTED_VALUE"""),30.356032)</f>
        <v>30.356031999999999</v>
      </c>
      <c r="AV1096" s="8">
        <f ca="1">IFERROR(__xludf.DUMMYFUNCTION("""COMPUTED_VALUE"""),-88.524046)</f>
        <v>-88.524045999999998</v>
      </c>
      <c r="AW1096" s="8"/>
      <c r="AX1096" s="8">
        <f ca="1">IFERROR(__xludf.DUMMYFUNCTION("""COMPUTED_VALUE"""),39581)</f>
        <v>39581</v>
      </c>
    </row>
    <row r="1097" spans="1:50" ht="75" x14ac:dyDescent="0.2">
      <c r="A1097" s="8" t="str">
        <f ca="1">IFERROR(__xludf.DUMMYFUNCTION("""COMPUTED_VALUE"""),"20220321MIMAK")</f>
        <v>20220321MIMAK</v>
      </c>
      <c r="B1097" s="8">
        <f ca="1">IFERROR(__xludf.DUMMYFUNCTION("""COMPUTED_VALUE"""),3)</f>
        <v>3</v>
      </c>
      <c r="C1097" s="8">
        <f ca="1">IFERROR(__xludf.DUMMYFUNCTION("""COMPUTED_VALUE"""),21)</f>
        <v>21</v>
      </c>
      <c r="D1097" s="8">
        <f ca="1">IFERROR(__xludf.DUMMYFUNCTION("""COMPUTED_VALUE"""),2022)</f>
        <v>2022</v>
      </c>
      <c r="E1097" s="9">
        <f ca="1">IFERROR(__xludf.DUMMYFUNCTION("""COMPUTED_VALUE"""),44641)</f>
        <v>44641</v>
      </c>
      <c r="F1097" s="8" t="str">
        <f ca="1">IFERROR(__xludf.DUMMYFUNCTION("""COMPUTED_VALUE"""),"Mahone Middle School")</f>
        <v>Mahone Middle School</v>
      </c>
      <c r="G1097" s="8">
        <f ca="1">IFERROR(__xludf.DUMMYFUNCTION("""COMPUTED_VALUE"""),0)</f>
        <v>0</v>
      </c>
      <c r="H1097" s="8">
        <f ca="1">IFERROR(__xludf.DUMMYFUNCTION("""COMPUTED_VALUE"""),0)</f>
        <v>0</v>
      </c>
      <c r="I1097" s="8">
        <f ca="1">IFERROR(__xludf.DUMMYFUNCTION("""COMPUTED_VALUE"""),0)</f>
        <v>0</v>
      </c>
      <c r="J1097" s="8">
        <f ca="1">IFERROR(__xludf.DUMMYFUNCTION("""COMPUTED_VALUE"""),0)</f>
        <v>0</v>
      </c>
      <c r="K1097" s="8" t="str">
        <f ca="1">IFERROR(__xludf.DUMMYFUNCTION("""COMPUTED_VALUE"""),"https://www.kenoshanews.com/news/local/crime-and-courts/woman-arrested-on-weapons-charges-after-brandishing-gun-threatening-man-outside-mahone-middle-school-according/article_62e40290-a998-11ec-ba48-f3506de8b005.html https://cbs58.com/news/kenosha-police-"&amp;"36-year-old-woman-arrested-for-pointing-handgun-at-parent-in-high-school-parking-lot https://www.fox6now.com/news/kenosha-woman-allegedly-pointed-gun-at-parent-in-school-parking-lot")</f>
        <v>https://www.kenoshanews.com/news/local/crime-and-courts/woman-arrested-on-weapons-charges-after-brandishing-gun-threatening-man-outside-mahone-middle-school-according/article_62e40290-a998-11ec-ba48-f3506de8b005.html https://cbs58.com/news/kenosha-police-36-year-old-woman-arrested-for-pointing-handgun-at-parent-in-high-school-parking-lot https://www.fox6now.com/news/kenosha-woman-allegedly-pointed-gun-at-parent-in-school-parking-lot</v>
      </c>
      <c r="L1097" s="8">
        <f ca="1">IFERROR(__xludf.DUMMYFUNCTION("""COMPUTED_VALUE"""),10)</f>
        <v>10</v>
      </c>
      <c r="M1097" s="8" t="str">
        <f ca="1">IFERROR(__xludf.DUMMYFUNCTION("""COMPUTED_VALUE"""),"Local")</f>
        <v>Local</v>
      </c>
      <c r="N1097" s="8">
        <f ca="1">IFERROR(__xludf.DUMMYFUNCTION("""COMPUTED_VALUE"""),4)</f>
        <v>4</v>
      </c>
      <c r="O1097" s="8" t="str">
        <f ca="1">IFERROR(__xludf.DUMMYFUNCTION("""COMPUTED_VALUE"""),"Spring")</f>
        <v>Spring</v>
      </c>
      <c r="P1097" s="8" t="str">
        <f ca="1">IFERROR(__xludf.DUMMYFUNCTION("""COMPUTED_VALUE"""),"Kenosha")</f>
        <v>Kenosha</v>
      </c>
      <c r="Q1097" s="8" t="str">
        <f ca="1">IFERROR(__xludf.DUMMYFUNCTION("""COMPUTED_VALUE"""),"WI")</f>
        <v>WI</v>
      </c>
      <c r="R1097" s="8" t="str">
        <f ca="1">IFERROR(__xludf.DUMMYFUNCTION("""COMPUTED_VALUE"""),"Middle")</f>
        <v>Middle</v>
      </c>
      <c r="S1097" s="8" t="str">
        <f ca="1">IFERROR(__xludf.DUMMYFUNCTION("""COMPUTED_VALUE"""),"Parking Lot")</f>
        <v>Parking Lot</v>
      </c>
      <c r="T1097" s="8" t="str">
        <f ca="1">IFERROR(__xludf.DUMMYFUNCTION("""COMPUTED_VALUE"""),"Outside on School Property")</f>
        <v>Outside on School Property</v>
      </c>
      <c r="U1097" s="8" t="str">
        <f ca="1">IFERROR(__xludf.DUMMYFUNCTION("""COMPUTED_VALUE"""),"Yes")</f>
        <v>Yes</v>
      </c>
      <c r="V1097" s="8" t="str">
        <f ca="1">IFERROR(__xludf.DUMMYFUNCTION("""COMPUTED_VALUE"""),"Dismissal")</f>
        <v>Dismissal</v>
      </c>
      <c r="W1097" s="11">
        <f ca="1">IFERROR(__xludf.DUMMYFUNCTION("""COMPUTED_VALUE"""),0.142361111111111)</f>
        <v>0.14236111111111099</v>
      </c>
      <c r="X1097" s="8">
        <f ca="1">IFERROR(__xludf.DUMMYFUNCTION("""COMPUTED_VALUE"""),1)</f>
        <v>1</v>
      </c>
      <c r="Y1097" s="12" t="str">
        <f ca="1">IFERROR(__xludf.DUMMYFUNCTION("""COMPUTED_VALUE"""),"Parent pointed a gun and threatened another parent in the pick-up line")</f>
        <v>Parent pointed a gun and threatened another parent in the pick-up line</v>
      </c>
      <c r="Z1097" s="12" t="str">
        <f ca="1">IFERROR(__xludf.DUMMYFUNCTION("""COMPUTED_VALUE"""),"A 36-year-old female parent pointed a gun at another parent and threatened to shoot him during a dispute in the pick-up line of the school at dismissal. She did not fired the weapon and fled the area. She was arrested the following morning and charged wit"&amp;"h four felonies.")</f>
        <v>A 36-year-old female parent pointed a gun at another parent and threatened to shoot him during a dispute in the pick-up line of the school at dismissal. She did not fired the weapon and fled the area. She was arrested the following morning and charged with four felonies.</v>
      </c>
      <c r="AA1097" s="8" t="str">
        <f ca="1">IFERROR(__xludf.DUMMYFUNCTION("""COMPUTED_VALUE"""),"Escalation of Dispute")</f>
        <v>Escalation of Dispute</v>
      </c>
      <c r="AB1097" s="8"/>
      <c r="AC1097" s="8" t="str">
        <f ca="1">IFERROR(__xludf.DUMMYFUNCTION("""COMPUTED_VALUE"""),"Yes")</f>
        <v>Yes</v>
      </c>
      <c r="AD1097" s="8" t="str">
        <f ca="1">IFERROR(__xludf.DUMMYFUNCTION("""COMPUTED_VALUE"""),"Victims Targeted")</f>
        <v>Victims Targeted</v>
      </c>
      <c r="AE1097" s="8" t="str">
        <f ca="1">IFERROR(__xludf.DUMMYFUNCTION("""COMPUTED_VALUE"""),"No")</f>
        <v>No</v>
      </c>
      <c r="AF1097" s="8"/>
      <c r="AG1097" s="8" t="str">
        <f ca="1">IFERROR(__xludf.DUMMYFUNCTION("""COMPUTED_VALUE"""),"No")</f>
        <v>No</v>
      </c>
      <c r="AH1097" s="8" t="str">
        <f ca="1">IFERROR(__xludf.DUMMYFUNCTION("""COMPUTED_VALUE"""),"No")</f>
        <v>No</v>
      </c>
      <c r="AI1097" s="8" t="str">
        <f ca="1">IFERROR(__xludf.DUMMYFUNCTION("""COMPUTED_VALUE"""),"No")</f>
        <v>No</v>
      </c>
      <c r="AJ1097" s="8" t="str">
        <f ca="1">IFERROR(__xludf.DUMMYFUNCTION("""COMPUTED_VALUE"""),"No")</f>
        <v>No</v>
      </c>
      <c r="AK1097" s="8" t="str">
        <f ca="1">IFERROR(__xludf.DUMMYFUNCTION("""COMPUTED_VALUE"""),"No")</f>
        <v>No</v>
      </c>
      <c r="AL1097" s="8" t="str">
        <f ca="1">IFERROR(__xludf.DUMMYFUNCTION("""COMPUTED_VALUE"""),"No")</f>
        <v>No</v>
      </c>
      <c r="AM1097" s="8" t="str">
        <f ca="1">IFERROR(__xludf.DUMMYFUNCTION("""COMPUTED_VALUE"""),"No")</f>
        <v>No</v>
      </c>
      <c r="AN1097" s="8"/>
      <c r="AO1097" s="8" t="str">
        <f ca="1">IFERROR(__xludf.DUMMYFUNCTION("""COMPUTED_VALUE"""),"No")</f>
        <v>No</v>
      </c>
      <c r="AP1097" s="8"/>
      <c r="AQ1097" s="8"/>
      <c r="AR1097" s="8" t="str">
        <f ca="1">IFERROR(__xludf.DUMMYFUNCTION("""COMPUTED_VALUE"""),"Outside/Off-Property")</f>
        <v>Outside/Off-Property</v>
      </c>
      <c r="AS1097" s="8">
        <f ca="1">IFERROR(__xludf.DUMMYFUNCTION("""COMPUTED_VALUE"""),0)</f>
        <v>0</v>
      </c>
      <c r="AT1097" s="8"/>
      <c r="AU1097" s="8">
        <f ca="1">IFERROR(__xludf.DUMMYFUNCTION("""COMPUTED_VALUE"""),42.584062)</f>
        <v>42.584062000000003</v>
      </c>
      <c r="AV1097" s="8">
        <f ca="1">IFERROR(__xludf.DUMMYFUNCTION("""COMPUTED_VALUE"""),-87.8929)</f>
        <v>-87.892899999999997</v>
      </c>
      <c r="AW1097" s="8"/>
      <c r="AX1097" s="8">
        <f ca="1">IFERROR(__xludf.DUMMYFUNCTION("""COMPUTED_VALUE"""),53144)</f>
        <v>53144</v>
      </c>
    </row>
    <row r="1098" spans="1:50" ht="60" x14ac:dyDescent="0.2">
      <c r="A1098" s="8" t="str">
        <f ca="1">IFERROR(__xludf.DUMMYFUNCTION("""COMPUTED_VALUE"""),"20220321AZDES")</f>
        <v>20220321AZDES</v>
      </c>
      <c r="B1098" s="8">
        <f ca="1">IFERROR(__xludf.DUMMYFUNCTION("""COMPUTED_VALUE"""),3)</f>
        <v>3</v>
      </c>
      <c r="C1098" s="8">
        <f ca="1">IFERROR(__xludf.DUMMYFUNCTION("""COMPUTED_VALUE"""),21)</f>
        <v>21</v>
      </c>
      <c r="D1098" s="8">
        <f ca="1">IFERROR(__xludf.DUMMYFUNCTION("""COMPUTED_VALUE"""),2022)</f>
        <v>2022</v>
      </c>
      <c r="E1098" s="9">
        <f ca="1">IFERROR(__xludf.DUMMYFUNCTION("""COMPUTED_VALUE"""),44641)</f>
        <v>44641</v>
      </c>
      <c r="F1098" s="8" t="str">
        <f ca="1">IFERROR(__xludf.DUMMYFUNCTION("""COMPUTED_VALUE"""),"Desert Canyon Middle School")</f>
        <v>Desert Canyon Middle School</v>
      </c>
      <c r="G1098" s="8">
        <f ca="1">IFERROR(__xludf.DUMMYFUNCTION("""COMPUTED_VALUE"""),0)</f>
        <v>0</v>
      </c>
      <c r="H1098" s="8">
        <f ca="1">IFERROR(__xludf.DUMMYFUNCTION("""COMPUTED_VALUE"""),0)</f>
        <v>0</v>
      </c>
      <c r="I1098" s="8">
        <f ca="1">IFERROR(__xludf.DUMMYFUNCTION("""COMPUTED_VALUE"""),0)</f>
        <v>0</v>
      </c>
      <c r="J1098" s="8">
        <f ca="1">IFERROR(__xludf.DUMMYFUNCTION("""COMPUTED_VALUE"""),0)</f>
        <v>0</v>
      </c>
      <c r="K1098" s="8" t="str">
        <f ca="1">IFERROR(__xludf.DUMMYFUNCTION("""COMPUTED_VALUE"""),"https://www.fox10phoenix.com/news/man-arrested-accused-of-firing-off-handgun-near-north-scottsdale-middle-school-police-say https://patch.com/arizona/scottsdale/jillian-underschultz-accidental-death-shot-fired-near-school")</f>
        <v>https://www.fox10phoenix.com/news/man-arrested-accused-of-firing-off-handgun-near-north-scottsdale-middle-school-police-say https://patch.com/arizona/scottsdale/jillian-underschultz-accidental-death-shot-fired-near-school</v>
      </c>
      <c r="L1098" s="8">
        <f ca="1">IFERROR(__xludf.DUMMYFUNCTION("""COMPUTED_VALUE"""),2)</f>
        <v>2</v>
      </c>
      <c r="M1098" s="8" t="str">
        <f ca="1">IFERROR(__xludf.DUMMYFUNCTION("""COMPUTED_VALUE"""),"Local")</f>
        <v>Local</v>
      </c>
      <c r="N1098" s="8">
        <f ca="1">IFERROR(__xludf.DUMMYFUNCTION("""COMPUTED_VALUE"""),4)</f>
        <v>4</v>
      </c>
      <c r="O1098" s="8" t="str">
        <f ca="1">IFERROR(__xludf.DUMMYFUNCTION("""COMPUTED_VALUE"""),"Spring")</f>
        <v>Spring</v>
      </c>
      <c r="P1098" s="8" t="str">
        <f ca="1">IFERROR(__xludf.DUMMYFUNCTION("""COMPUTED_VALUE"""),"Scottsdale")</f>
        <v>Scottsdale</v>
      </c>
      <c r="Q1098" s="8" t="str">
        <f ca="1">IFERROR(__xludf.DUMMYFUNCTION("""COMPUTED_VALUE"""),"AZ")</f>
        <v>AZ</v>
      </c>
      <c r="R1098" s="8" t="str">
        <f ca="1">IFERROR(__xludf.DUMMYFUNCTION("""COMPUTED_VALUE"""),"Middle")</f>
        <v>Middle</v>
      </c>
      <c r="S1098" s="8" t="str">
        <f ca="1">IFERROR(__xludf.DUMMYFUNCTION("""COMPUTED_VALUE"""),"Outside on School Property")</f>
        <v>Outside on School Property</v>
      </c>
      <c r="T1098" s="8" t="str">
        <f ca="1">IFERROR(__xludf.DUMMYFUNCTION("""COMPUTED_VALUE"""),"Outside on School Property")</f>
        <v>Outside on School Property</v>
      </c>
      <c r="U1098" s="8" t="str">
        <f ca="1">IFERROR(__xludf.DUMMYFUNCTION("""COMPUTED_VALUE"""),"Yes")</f>
        <v>Yes</v>
      </c>
      <c r="V1098" s="8" t="str">
        <f ca="1">IFERROR(__xludf.DUMMYFUNCTION("""COMPUTED_VALUE"""),"Morning Classes")</f>
        <v>Morning Classes</v>
      </c>
      <c r="W1098" s="11">
        <f ca="1">IFERROR(__xludf.DUMMYFUNCTION("""COMPUTED_VALUE"""),0.46875)</f>
        <v>0.46875</v>
      </c>
      <c r="X1098" s="8">
        <f ca="1">IFERROR(__xludf.DUMMYFUNCTION("""COMPUTED_VALUE"""),1)</f>
        <v>1</v>
      </c>
      <c r="Y1098" s="12" t="str">
        <f ca="1">IFERROR(__xludf.DUMMYFUNCTION("""COMPUTED_VALUE"""),"Man fired shots on soccer field, school went on lockdown")</f>
        <v>Man fired shots on soccer field, school went on lockdown</v>
      </c>
      <c r="Z1098" s="12" t="str">
        <f ca="1">IFERROR(__xludf.DUMMYFUNCTION("""COMPUTED_VALUE"""),"A 31-year-old man fired shots on the on the soccer field during morning classes. School went on lockdown. No students or staff were injured. Police arrested the shooter and said that he did not target the school. Motive unknown.")</f>
        <v>A 31-year-old man fired shots on the on the soccer field during morning classes. School went on lockdown. No students or staff were injured. Police arrested the shooter and said that he did not target the school. Motive unknown.</v>
      </c>
      <c r="AA1098" s="8"/>
      <c r="AB1098" s="8"/>
      <c r="AC1098" s="8" t="str">
        <f ca="1">IFERROR(__xludf.DUMMYFUNCTION("""COMPUTED_VALUE"""),"Yes")</f>
        <v>Yes</v>
      </c>
      <c r="AD1098" s="8" t="str">
        <f ca="1">IFERROR(__xludf.DUMMYFUNCTION("""COMPUTED_VALUE"""),"Neither")</f>
        <v>Neither</v>
      </c>
      <c r="AE1098" s="8" t="str">
        <f ca="1">IFERROR(__xludf.DUMMYFUNCTION("""COMPUTED_VALUE"""),"No")</f>
        <v>No</v>
      </c>
      <c r="AF1098" s="8"/>
      <c r="AG1098" s="8" t="str">
        <f ca="1">IFERROR(__xludf.DUMMYFUNCTION("""COMPUTED_VALUE"""),"No")</f>
        <v>No</v>
      </c>
      <c r="AH1098" s="8" t="str">
        <f ca="1">IFERROR(__xludf.DUMMYFUNCTION("""COMPUTED_VALUE"""),"No")</f>
        <v>No</v>
      </c>
      <c r="AI1098" s="8" t="str">
        <f ca="1">IFERROR(__xludf.DUMMYFUNCTION("""COMPUTED_VALUE"""),"No")</f>
        <v>No</v>
      </c>
      <c r="AJ1098" s="8" t="str">
        <f ca="1">IFERROR(__xludf.DUMMYFUNCTION("""COMPUTED_VALUE"""),"No")</f>
        <v>No</v>
      </c>
      <c r="AK1098" s="8" t="str">
        <f ca="1">IFERROR(__xludf.DUMMYFUNCTION("""COMPUTED_VALUE"""),"No")</f>
        <v>No</v>
      </c>
      <c r="AL1098" s="8" t="str">
        <f ca="1">IFERROR(__xludf.DUMMYFUNCTION("""COMPUTED_VALUE"""),"No")</f>
        <v>No</v>
      </c>
      <c r="AM1098" s="8" t="str">
        <f ca="1">IFERROR(__xludf.DUMMYFUNCTION("""COMPUTED_VALUE"""),"No")</f>
        <v>No</v>
      </c>
      <c r="AN1098" s="8"/>
      <c r="AO1098" s="8" t="str">
        <f ca="1">IFERROR(__xludf.DUMMYFUNCTION("""COMPUTED_VALUE"""),"No")</f>
        <v>No</v>
      </c>
      <c r="AP1098" s="8"/>
      <c r="AQ1098" s="8"/>
      <c r="AR1098" s="8" t="str">
        <f ca="1">IFERROR(__xludf.DUMMYFUNCTION("""COMPUTED_VALUE"""),"Outside/Off-Property")</f>
        <v>Outside/Off-Property</v>
      </c>
      <c r="AS1098" s="8">
        <f ca="1">IFERROR(__xludf.DUMMYFUNCTION("""COMPUTED_VALUE"""),2)</f>
        <v>2</v>
      </c>
      <c r="AT1098" s="8" t="str">
        <f ca="1">IFERROR(__xludf.DUMMYFUNCTION("""COMPUTED_VALUE"""),"Yes")</f>
        <v>Yes</v>
      </c>
      <c r="AU1098" s="8">
        <f ca="1">IFERROR(__xludf.DUMMYFUNCTION("""COMPUTED_VALUE"""),33.625676)</f>
        <v>33.625675999999999</v>
      </c>
      <c r="AV1098" s="8">
        <f ca="1">IFERROR(__xludf.DUMMYFUNCTION("""COMPUTED_VALUE"""),-111.862573)</f>
        <v>-111.862573</v>
      </c>
      <c r="AW1098" s="8"/>
      <c r="AX1098" s="8">
        <f ca="1">IFERROR(__xludf.DUMMYFUNCTION("""COMPUTED_VALUE"""),85255)</f>
        <v>85255</v>
      </c>
    </row>
    <row r="1099" spans="1:50" ht="45" x14ac:dyDescent="0.2">
      <c r="A1099" s="8" t="str">
        <f ca="1">IFERROR(__xludf.DUMMYFUNCTION("""COMPUTED_VALUE"""),"20220319ALCEL")</f>
        <v>20220319ALCEL</v>
      </c>
      <c r="B1099" s="8">
        <f ca="1">IFERROR(__xludf.DUMMYFUNCTION("""COMPUTED_VALUE"""),3)</f>
        <v>3</v>
      </c>
      <c r="C1099" s="8">
        <f ca="1">IFERROR(__xludf.DUMMYFUNCTION("""COMPUTED_VALUE"""),19)</f>
        <v>19</v>
      </c>
      <c r="D1099" s="8">
        <f ca="1">IFERROR(__xludf.DUMMYFUNCTION("""COMPUTED_VALUE"""),2022)</f>
        <v>2022</v>
      </c>
      <c r="E1099" s="9">
        <f ca="1">IFERROR(__xludf.DUMMYFUNCTION("""COMPUTED_VALUE"""),44639)</f>
        <v>44639</v>
      </c>
      <c r="F1099" s="8" t="str">
        <f ca="1">IFERROR(__xludf.DUMMYFUNCTION("""COMPUTED_VALUE"""),"Central Baldwin Middle School")</f>
        <v>Central Baldwin Middle School</v>
      </c>
      <c r="G1099" s="8">
        <f ca="1">IFERROR(__xludf.DUMMYFUNCTION("""COMPUTED_VALUE"""),0)</f>
        <v>0</v>
      </c>
      <c r="H1099" s="8">
        <f ca="1">IFERROR(__xludf.DUMMYFUNCTION("""COMPUTED_VALUE"""),0)</f>
        <v>0</v>
      </c>
      <c r="I1099" s="8">
        <f ca="1">IFERROR(__xludf.DUMMYFUNCTION("""COMPUTED_VALUE"""),0)</f>
        <v>0</v>
      </c>
      <c r="J1099" s="8">
        <f ca="1">IFERROR(__xludf.DUMMYFUNCTION("""COMPUTED_VALUE"""),0)</f>
        <v>0</v>
      </c>
      <c r="K1099" s="8" t="str">
        <f ca="1">IFERROR(__xludf.DUMMYFUNCTION("""COMPUTED_VALUE"""),"https://www.al.com/news/2022/03/robertsdale-police-searching-for-suspect-involved-in-shooting-near-school.html https://www.fox10tv.com/2022/03/19/manhunt-alleged-gunman-underway-baldwin-county/")</f>
        <v>https://www.al.com/news/2022/03/robertsdale-police-searching-for-suspect-involved-in-shooting-near-school.html https://www.fox10tv.com/2022/03/19/manhunt-alleged-gunman-underway-baldwin-county/</v>
      </c>
      <c r="L1099" s="8">
        <f ca="1">IFERROR(__xludf.DUMMYFUNCTION("""COMPUTED_VALUE"""),5)</f>
        <v>5</v>
      </c>
      <c r="M1099" s="8" t="str">
        <f ca="1">IFERROR(__xludf.DUMMYFUNCTION("""COMPUTED_VALUE"""),"Regional")</f>
        <v>Regional</v>
      </c>
      <c r="N1099" s="8">
        <f ca="1">IFERROR(__xludf.DUMMYFUNCTION("""COMPUTED_VALUE"""),4)</f>
        <v>4</v>
      </c>
      <c r="O1099" s="8" t="str">
        <f ca="1">IFERROR(__xludf.DUMMYFUNCTION("""COMPUTED_VALUE"""),"Spring")</f>
        <v>Spring</v>
      </c>
      <c r="P1099" s="8" t="str">
        <f ca="1">IFERROR(__xludf.DUMMYFUNCTION("""COMPUTED_VALUE"""),"Loxley")</f>
        <v>Loxley</v>
      </c>
      <c r="Q1099" s="8" t="str">
        <f ca="1">IFERROR(__xludf.DUMMYFUNCTION("""COMPUTED_VALUE"""),"AL")</f>
        <v>AL</v>
      </c>
      <c r="R1099" s="8" t="str">
        <f ca="1">IFERROR(__xludf.DUMMYFUNCTION("""COMPUTED_VALUE"""),"Middle")</f>
        <v>Middle</v>
      </c>
      <c r="S1099" s="8" t="str">
        <f ca="1">IFERROR(__xludf.DUMMYFUNCTION("""COMPUTED_VALUE"""),"Parking Lot")</f>
        <v>Parking Lot</v>
      </c>
      <c r="T1099" s="8" t="str">
        <f ca="1">IFERROR(__xludf.DUMMYFUNCTION("""COMPUTED_VALUE"""),"Outside on School Property")</f>
        <v>Outside on School Property</v>
      </c>
      <c r="U1099" s="8" t="str">
        <f ca="1">IFERROR(__xludf.DUMMYFUNCTION("""COMPUTED_VALUE"""),"No")</f>
        <v>No</v>
      </c>
      <c r="V1099" s="8" t="str">
        <f ca="1">IFERROR(__xludf.DUMMYFUNCTION("""COMPUTED_VALUE"""),"Not a School Day")</f>
        <v>Not a School Day</v>
      </c>
      <c r="W1099" s="11">
        <f ca="1">IFERROR(__xludf.DUMMYFUNCTION("""COMPUTED_VALUE"""),0.576388888888888)</f>
        <v>0.57638888888888795</v>
      </c>
      <c r="X1099" s="8">
        <f ca="1">IFERROR(__xludf.DUMMYFUNCTION("""COMPUTED_VALUE"""),1)</f>
        <v>1</v>
      </c>
      <c r="Y1099" s="12" t="str">
        <f ca="1">IFERROR(__xludf.DUMMYFUNCTION("""COMPUTED_VALUE"""),"Shots fired during robbery in parking lot")</f>
        <v>Shots fired during robbery in parking lot</v>
      </c>
      <c r="Z1099" s="12" t="str">
        <f ca="1">IFERROR(__xludf.DUMMYFUNCTION("""COMPUTED_VALUE"""),"Shot were fired at an adult man during a robbery in the school parking lot. Shots missed the victim. 3 suspects fled and were later arrested.")</f>
        <v>Shot were fired at an adult man during a robbery in the school parking lot. Shots missed the victim. 3 suspects fled and were later arrested.</v>
      </c>
      <c r="AA1099" s="8" t="str">
        <f ca="1">IFERROR(__xludf.DUMMYFUNCTION("""COMPUTED_VALUE"""),"Illegal Activity")</f>
        <v>Illegal Activity</v>
      </c>
      <c r="AB1099" s="8"/>
      <c r="AC1099" s="8" t="str">
        <f ca="1">IFERROR(__xludf.DUMMYFUNCTION("""COMPUTED_VALUE"""),"No")</f>
        <v>No</v>
      </c>
      <c r="AD1099" s="8" t="str">
        <f ca="1">IFERROR(__xludf.DUMMYFUNCTION("""COMPUTED_VALUE"""),"Victims Targeted")</f>
        <v>Victims Targeted</v>
      </c>
      <c r="AE1099" s="8" t="str">
        <f ca="1">IFERROR(__xludf.DUMMYFUNCTION("""COMPUTED_VALUE"""),"Yes")</f>
        <v>Yes</v>
      </c>
      <c r="AF1099" s="8"/>
      <c r="AG1099" s="8" t="str">
        <f ca="1">IFERROR(__xludf.DUMMYFUNCTION("""COMPUTED_VALUE"""),"No")</f>
        <v>No</v>
      </c>
      <c r="AH1099" s="8" t="str">
        <f ca="1">IFERROR(__xludf.DUMMYFUNCTION("""COMPUTED_VALUE"""),"No")</f>
        <v>No</v>
      </c>
      <c r="AI1099" s="8" t="str">
        <f ca="1">IFERROR(__xludf.DUMMYFUNCTION("""COMPUTED_VALUE"""),"No")</f>
        <v>No</v>
      </c>
      <c r="AJ1099" s="8" t="str">
        <f ca="1">IFERROR(__xludf.DUMMYFUNCTION("""COMPUTED_VALUE"""),"No")</f>
        <v>No</v>
      </c>
      <c r="AK1099" s="8" t="str">
        <f ca="1">IFERROR(__xludf.DUMMYFUNCTION("""COMPUTED_VALUE"""),"No")</f>
        <v>No</v>
      </c>
      <c r="AL1099" s="8" t="str">
        <f ca="1">IFERROR(__xludf.DUMMYFUNCTION("""COMPUTED_VALUE"""),"No")</f>
        <v>No</v>
      </c>
      <c r="AM1099" s="8" t="str">
        <f ca="1">IFERROR(__xludf.DUMMYFUNCTION("""COMPUTED_VALUE"""),"No")</f>
        <v>No</v>
      </c>
      <c r="AN1099" s="8"/>
      <c r="AO1099" s="8" t="str">
        <f ca="1">IFERROR(__xludf.DUMMYFUNCTION("""COMPUTED_VALUE"""),"No")</f>
        <v>No</v>
      </c>
      <c r="AP1099" s="8"/>
      <c r="AQ1099" s="8"/>
      <c r="AR1099" s="8" t="str">
        <f ca="1">IFERROR(__xludf.DUMMYFUNCTION("""COMPUTED_VALUE"""),"Outside/Off-Property")</f>
        <v>Outside/Off-Property</v>
      </c>
      <c r="AS1099" s="8">
        <f ca="1">IFERROR(__xludf.DUMMYFUNCTION("""COMPUTED_VALUE"""),99)</f>
        <v>99</v>
      </c>
      <c r="AT1099" s="8"/>
      <c r="AU1099" s="8">
        <f ca="1">IFERROR(__xludf.DUMMYFUNCTION("""COMPUTED_VALUE"""),30.582064)</f>
        <v>30.582063999999999</v>
      </c>
      <c r="AV1099" s="8">
        <f ca="1">IFERROR(__xludf.DUMMYFUNCTION("""COMPUTED_VALUE"""),-87.727641)</f>
        <v>-87.727641000000006</v>
      </c>
      <c r="AW1099" s="8"/>
      <c r="AX1099" s="8">
        <f ca="1">IFERROR(__xludf.DUMMYFUNCTION("""COMPUTED_VALUE"""),36551)</f>
        <v>36551</v>
      </c>
    </row>
    <row r="1100" spans="1:50" ht="105" x14ac:dyDescent="0.2">
      <c r="A1100" s="8" t="str">
        <f ca="1">IFERROR(__xludf.DUMMYFUNCTION("""COMPUTED_VALUE"""),"20220318RICEP")</f>
        <v>20220318RICEP</v>
      </c>
      <c r="B1100" s="8">
        <f ca="1">IFERROR(__xludf.DUMMYFUNCTION("""COMPUTED_VALUE"""),3)</f>
        <v>3</v>
      </c>
      <c r="C1100" s="8">
        <f ca="1">IFERROR(__xludf.DUMMYFUNCTION("""COMPUTED_VALUE"""),18)</f>
        <v>18</v>
      </c>
      <c r="D1100" s="8">
        <f ca="1">IFERROR(__xludf.DUMMYFUNCTION("""COMPUTED_VALUE"""),2022)</f>
        <v>2022</v>
      </c>
      <c r="E1100" s="9">
        <f ca="1">IFERROR(__xludf.DUMMYFUNCTION("""COMPUTED_VALUE"""),44638)</f>
        <v>44638</v>
      </c>
      <c r="F1100" s="8" t="str">
        <f ca="1">IFERROR(__xludf.DUMMYFUNCTION("""COMPUTED_VALUE"""),"Central High School")</f>
        <v>Central High School</v>
      </c>
      <c r="G1100" s="8">
        <f ca="1">IFERROR(__xludf.DUMMYFUNCTION("""COMPUTED_VALUE"""),0)</f>
        <v>0</v>
      </c>
      <c r="H1100" s="8">
        <f ca="1">IFERROR(__xludf.DUMMYFUNCTION("""COMPUTED_VALUE"""),0)</f>
        <v>0</v>
      </c>
      <c r="I1100" s="8">
        <f ca="1">IFERROR(__xludf.DUMMYFUNCTION("""COMPUTED_VALUE"""),0)</f>
        <v>0</v>
      </c>
      <c r="J1100" s="8">
        <f ca="1">IFERROR(__xludf.DUMMYFUNCTION("""COMPUTED_VALUE"""),0)</f>
        <v>0</v>
      </c>
      <c r="K1100" s="8" t="str">
        <f ca="1">IFERROR(__xludf.DUMMYFUNCTION("""COMPUTED_VALUE"""),"https://www.wpri.com/news/local-news/providence/2-charged-in-central-high-school-pellet-gun-shooting/ https://turnto10.com/news/local/two-charged-in-pellet-gun-shooting-of-high-school-students")</f>
        <v>https://www.wpri.com/news/local-news/providence/2-charged-in-central-high-school-pellet-gun-shooting/ https://turnto10.com/news/local/two-charged-in-pellet-gun-shooting-of-high-school-students</v>
      </c>
      <c r="L1100" s="8">
        <f ca="1">IFERROR(__xludf.DUMMYFUNCTION("""COMPUTED_VALUE"""),5)</f>
        <v>5</v>
      </c>
      <c r="M1100" s="8" t="str">
        <f ca="1">IFERROR(__xludf.DUMMYFUNCTION("""COMPUTED_VALUE"""),"Local")</f>
        <v>Local</v>
      </c>
      <c r="N1100" s="8">
        <f ca="1">IFERROR(__xludf.DUMMYFUNCTION("""COMPUTED_VALUE"""),4)</f>
        <v>4</v>
      </c>
      <c r="O1100" s="8" t="str">
        <f ca="1">IFERROR(__xludf.DUMMYFUNCTION("""COMPUTED_VALUE"""),"Spring")</f>
        <v>Spring</v>
      </c>
      <c r="P1100" s="8" t="str">
        <f ca="1">IFERROR(__xludf.DUMMYFUNCTION("""COMPUTED_VALUE"""),"Providence")</f>
        <v>Providence</v>
      </c>
      <c r="Q1100" s="8" t="str">
        <f ca="1">IFERROR(__xludf.DUMMYFUNCTION("""COMPUTED_VALUE"""),"RI")</f>
        <v>RI</v>
      </c>
      <c r="R1100" s="8" t="str">
        <f ca="1">IFERROR(__xludf.DUMMYFUNCTION("""COMPUTED_VALUE"""),"High")</f>
        <v>High</v>
      </c>
      <c r="S1100" s="8" t="str">
        <f ca="1">IFERROR(__xludf.DUMMYFUNCTION("""COMPUTED_VALUE"""),"Parking Lot")</f>
        <v>Parking Lot</v>
      </c>
      <c r="T1100" s="8" t="str">
        <f ca="1">IFERROR(__xludf.DUMMYFUNCTION("""COMPUTED_VALUE"""),"Outside on School Property")</f>
        <v>Outside on School Property</v>
      </c>
      <c r="U1100" s="8" t="str">
        <f ca="1">IFERROR(__xludf.DUMMYFUNCTION("""COMPUTED_VALUE"""),"Yes")</f>
        <v>Yes</v>
      </c>
      <c r="V1100" s="8" t="str">
        <f ca="1">IFERROR(__xludf.DUMMYFUNCTION("""COMPUTED_VALUE"""),"Dismissal")</f>
        <v>Dismissal</v>
      </c>
      <c r="W1100" s="11">
        <f ca="1">IFERROR(__xludf.DUMMYFUNCTION("""COMPUTED_VALUE"""),0.618055555555555)</f>
        <v>0.61805555555555503</v>
      </c>
      <c r="X1100" s="8">
        <f ca="1">IFERROR(__xludf.DUMMYFUNCTION("""COMPUTED_VALUE"""),1)</f>
        <v>1</v>
      </c>
      <c r="Y1100" s="12" t="str">
        <f ca="1">IFERROR(__xludf.DUMMYFUNCTION("""COMPUTED_VALUE"""),"Students fired pellet gun in parking lot, dragged staff member with vehicle")</f>
        <v>Students fired pellet gun in parking lot, dragged staff member with vehicle</v>
      </c>
      <c r="Z1100" s="12" t="str">
        <f ca="1">IFERROR(__xludf.DUMMYFUNCTION("""COMPUTED_VALUE"""),"Two students fired a pellet gun from a vehicle in the school parking lot as part of a TikTok challenge to film themselves shooting random people. A school employee attempted to wrestle the gun away and was dragged by the vehicle. The shooter was charged w"&amp;"ith simple assault and the driver was charged with aggravated assault for dragging the staff member with the vehicle.")</f>
        <v>Two students fired a pellet gun from a vehicle in the school parking lot as part of a TikTok challenge to film themselves shooting random people. A school employee attempted to wrestle the gun away and was dragged by the vehicle. The shooter was charged with simple assault and the driver was charged with aggravated assault for dragging the staff member with the vehicle.</v>
      </c>
      <c r="AA1100" s="8" t="str">
        <f ca="1">IFERROR(__xludf.DUMMYFUNCTION("""COMPUTED_VALUE"""),"Drive-by Shooting")</f>
        <v>Drive-by Shooting</v>
      </c>
      <c r="AB1100" s="8"/>
      <c r="AC1100" s="8" t="str">
        <f ca="1">IFERROR(__xludf.DUMMYFUNCTION("""COMPUTED_VALUE"""),"Yes")</f>
        <v>Yes</v>
      </c>
      <c r="AD1100" s="8" t="str">
        <f ca="1">IFERROR(__xludf.DUMMYFUNCTION("""COMPUTED_VALUE"""),"Random Shooting")</f>
        <v>Random Shooting</v>
      </c>
      <c r="AE1100" s="8" t="str">
        <f ca="1">IFERROR(__xludf.DUMMYFUNCTION("""COMPUTED_VALUE"""),"Yes")</f>
        <v>Yes</v>
      </c>
      <c r="AF1100" s="8" t="str">
        <f ca="1">IFERROR(__xludf.DUMMYFUNCTION("""COMPUTED_VALUE"""),"Driver and shooter")</f>
        <v>Driver and shooter</v>
      </c>
      <c r="AG1100" s="8" t="str">
        <f ca="1">IFERROR(__xludf.DUMMYFUNCTION("""COMPUTED_VALUE"""),"No")</f>
        <v>No</v>
      </c>
      <c r="AH1100" s="8" t="str">
        <f ca="1">IFERROR(__xludf.DUMMYFUNCTION("""COMPUTED_VALUE"""),"No")</f>
        <v>No</v>
      </c>
      <c r="AI1100" s="8" t="str">
        <f ca="1">IFERROR(__xludf.DUMMYFUNCTION("""COMPUTED_VALUE"""),"No")</f>
        <v>No</v>
      </c>
      <c r="AJ1100" s="8" t="str">
        <f ca="1">IFERROR(__xludf.DUMMYFUNCTION("""COMPUTED_VALUE"""),"No")</f>
        <v>No</v>
      </c>
      <c r="AK1100" s="8" t="str">
        <f ca="1">IFERROR(__xludf.DUMMYFUNCTION("""COMPUTED_VALUE"""),"No")</f>
        <v>No</v>
      </c>
      <c r="AL1100" s="8" t="str">
        <f ca="1">IFERROR(__xludf.DUMMYFUNCTION("""COMPUTED_VALUE"""),"No")</f>
        <v>No</v>
      </c>
      <c r="AM1100" s="8" t="str">
        <f ca="1">IFERROR(__xludf.DUMMYFUNCTION("""COMPUTED_VALUE"""),"No")</f>
        <v>No</v>
      </c>
      <c r="AN1100" s="8"/>
      <c r="AO1100" s="8" t="str">
        <f ca="1">IFERROR(__xludf.DUMMYFUNCTION("""COMPUTED_VALUE"""),"No")</f>
        <v>No</v>
      </c>
      <c r="AP1100" s="8"/>
      <c r="AQ1100" s="8"/>
      <c r="AR1100" s="8" t="str">
        <f ca="1">IFERROR(__xludf.DUMMYFUNCTION("""COMPUTED_VALUE"""),"Outside/Off-Property")</f>
        <v>Outside/Off-Property</v>
      </c>
      <c r="AS1100" s="8">
        <f ca="1">IFERROR(__xludf.DUMMYFUNCTION("""COMPUTED_VALUE"""),99)</f>
        <v>99</v>
      </c>
      <c r="AT1100" s="8" t="str">
        <f ca="1">IFERROR(__xludf.DUMMYFUNCTION("""COMPUTED_VALUE"""),"No")</f>
        <v>No</v>
      </c>
      <c r="AU1100" s="8">
        <f ca="1">IFERROR(__xludf.DUMMYFUNCTION("""COMPUTED_VALUE"""),41.816901)</f>
        <v>41.816901000000001</v>
      </c>
      <c r="AV1100" s="8">
        <f ca="1">IFERROR(__xludf.DUMMYFUNCTION("""COMPUTED_VALUE"""),-71.42173)</f>
        <v>-71.421729999999997</v>
      </c>
      <c r="AW1100" s="8"/>
      <c r="AX1100" s="8">
        <f ca="1">IFERROR(__xludf.DUMMYFUNCTION("""COMPUTED_VALUE"""),2908)</f>
        <v>2908</v>
      </c>
    </row>
    <row r="1101" spans="1:50" ht="60" x14ac:dyDescent="0.2">
      <c r="A1101" s="8" t="str">
        <f ca="1">IFERROR(__xludf.DUMMYFUNCTION("""COMPUTED_VALUE"""),"20220318ILBAB")</f>
        <v>20220318ILBAB</v>
      </c>
      <c r="B1101" s="8">
        <f ca="1">IFERROR(__xludf.DUMMYFUNCTION("""COMPUTED_VALUE"""),3)</f>
        <v>3</v>
      </c>
      <c r="C1101" s="8">
        <f ca="1">IFERROR(__xludf.DUMMYFUNCTION("""COMPUTED_VALUE"""),18)</f>
        <v>18</v>
      </c>
      <c r="D1101" s="8">
        <f ca="1">IFERROR(__xludf.DUMMYFUNCTION("""COMPUTED_VALUE"""),2022)</f>
        <v>2022</v>
      </c>
      <c r="E1101" s="9">
        <f ca="1">IFERROR(__xludf.DUMMYFUNCTION("""COMPUTED_VALUE"""),44638)</f>
        <v>44638</v>
      </c>
      <c r="F1101" s="8" t="str">
        <f ca="1">IFERROR(__xludf.DUMMYFUNCTION("""COMPUTED_VALUE"""),"Barrington High School")</f>
        <v>Barrington High School</v>
      </c>
      <c r="G1101" s="8">
        <f ca="1">IFERROR(__xludf.DUMMYFUNCTION("""COMPUTED_VALUE"""),0)</f>
        <v>0</v>
      </c>
      <c r="H1101" s="8">
        <f ca="1">IFERROR(__xludf.DUMMYFUNCTION("""COMPUTED_VALUE"""),0)</f>
        <v>0</v>
      </c>
      <c r="I1101" s="8">
        <f ca="1">IFERROR(__xludf.DUMMYFUNCTION("""COMPUTED_VALUE"""),0)</f>
        <v>0</v>
      </c>
      <c r="J1101" s="8">
        <f ca="1">IFERROR(__xludf.DUMMYFUNCTION("""COMPUTED_VALUE"""),0)</f>
        <v>0</v>
      </c>
      <c r="K1101" s="10" t="str">
        <f ca="1">IFERROR(__xludf.DUMMYFUNCTION("""COMPUTED_VALUE"""),"https://www.chicagotribune.com/news/breaking/ct-barrington-high-school-pellet-guns-shot-at-lgbtq-students-20220318-ans632prmngx3fxixmgzaq3vbu-story.html")</f>
        <v>https://www.chicagotribune.com/news/breaking/ct-barrington-high-school-pellet-guns-shot-at-lgbtq-students-20220318-ans632prmngx3fxixmgzaq3vbu-story.html</v>
      </c>
      <c r="L1101" s="8">
        <f ca="1">IFERROR(__xludf.DUMMYFUNCTION("""COMPUTED_VALUE"""),1)</f>
        <v>1</v>
      </c>
      <c r="M1101" s="8" t="str">
        <f ca="1">IFERROR(__xludf.DUMMYFUNCTION("""COMPUTED_VALUE"""),"Regional")</f>
        <v>Regional</v>
      </c>
      <c r="N1101" s="8">
        <f ca="1">IFERROR(__xludf.DUMMYFUNCTION("""COMPUTED_VALUE"""),4)</f>
        <v>4</v>
      </c>
      <c r="O1101" s="8" t="str">
        <f ca="1">IFERROR(__xludf.DUMMYFUNCTION("""COMPUTED_VALUE"""),"Spring")</f>
        <v>Spring</v>
      </c>
      <c r="P1101" s="8" t="str">
        <f ca="1">IFERROR(__xludf.DUMMYFUNCTION("""COMPUTED_VALUE"""),"Barrington")</f>
        <v>Barrington</v>
      </c>
      <c r="Q1101" s="8" t="str">
        <f ca="1">IFERROR(__xludf.DUMMYFUNCTION("""COMPUTED_VALUE"""),"IL")</f>
        <v>IL</v>
      </c>
      <c r="R1101" s="8" t="str">
        <f ca="1">IFERROR(__xludf.DUMMYFUNCTION("""COMPUTED_VALUE"""),"High")</f>
        <v>High</v>
      </c>
      <c r="S1101" s="8" t="str">
        <f ca="1">IFERROR(__xludf.DUMMYFUNCTION("""COMPUTED_VALUE"""),"Front of School")</f>
        <v>Front of School</v>
      </c>
      <c r="T1101" s="8" t="str">
        <f ca="1">IFERROR(__xludf.DUMMYFUNCTION("""COMPUTED_VALUE"""),"Both Inside/Outside")</f>
        <v>Both Inside/Outside</v>
      </c>
      <c r="U1101" s="8" t="str">
        <f ca="1">IFERROR(__xludf.DUMMYFUNCTION("""COMPUTED_VALUE"""),"Yes")</f>
        <v>Yes</v>
      </c>
      <c r="V1101" s="8" t="str">
        <f ca="1">IFERROR(__xludf.DUMMYFUNCTION("""COMPUTED_VALUE"""),"School Start")</f>
        <v>School Start</v>
      </c>
      <c r="W1101" s="11">
        <f ca="1">IFERROR(__xludf.DUMMYFUNCTION("""COMPUTED_VALUE"""),0.333333333333333)</f>
        <v>0.33333333333333298</v>
      </c>
      <c r="X1101" s="8">
        <f ca="1">IFERROR(__xludf.DUMMYFUNCTION("""COMPUTED_VALUE"""),1)</f>
        <v>1</v>
      </c>
      <c r="Y1101" s="12" t="str">
        <f ca="1">IFERROR(__xludf.DUMMYFUNCTION("""COMPUTED_VALUE"""),"Two teens shot with pellet guns walking into school")</f>
        <v>Two teens shot with pellet guns walking into school</v>
      </c>
      <c r="Z1101" s="12" t="str">
        <f ca="1">IFERROR(__xludf.DUMMYFUNCTION("""COMPUTED_VALUE"""),"Two LDBTQ students were shot with pellet guns by teens in vehicle while walking into school. Shooters chased the students into the school cafeteria. Shoot was part of TikTok challenge to shoot at people with gel pellet guns.")</f>
        <v>Two LDBTQ students were shot with pellet guns by teens in vehicle while walking into school. Shooters chased the students into the school cafeteria. Shoot was part of TikTok challenge to shoot at people with gel pellet guns.</v>
      </c>
      <c r="AA1101" s="8" t="str">
        <f ca="1">IFERROR(__xludf.DUMMYFUNCTION("""COMPUTED_VALUE"""),"Drive-by Shooting")</f>
        <v>Drive-by Shooting</v>
      </c>
      <c r="AB1101" s="8"/>
      <c r="AC1101" s="8" t="str">
        <f ca="1">IFERROR(__xludf.DUMMYFUNCTION("""COMPUTED_VALUE"""),"Yes")</f>
        <v>Yes</v>
      </c>
      <c r="AD1101" s="8" t="str">
        <f ca="1">IFERROR(__xludf.DUMMYFUNCTION("""COMPUTED_VALUE"""),"Victims Targeted")</f>
        <v>Victims Targeted</v>
      </c>
      <c r="AE1101" s="8" t="str">
        <f ca="1">IFERROR(__xludf.DUMMYFUNCTION("""COMPUTED_VALUE"""),"Yes")</f>
        <v>Yes</v>
      </c>
      <c r="AF1101" s="8"/>
      <c r="AG1101" s="8" t="str">
        <f ca="1">IFERROR(__xludf.DUMMYFUNCTION("""COMPUTED_VALUE"""),"No")</f>
        <v>No</v>
      </c>
      <c r="AH1101" s="8" t="str">
        <f ca="1">IFERROR(__xludf.DUMMYFUNCTION("""COMPUTED_VALUE"""),"No")</f>
        <v>No</v>
      </c>
      <c r="AI1101" s="8" t="str">
        <f ca="1">IFERROR(__xludf.DUMMYFUNCTION("""COMPUTED_VALUE"""),"No")</f>
        <v>No</v>
      </c>
      <c r="AJ1101" s="8" t="str">
        <f ca="1">IFERROR(__xludf.DUMMYFUNCTION("""COMPUTED_VALUE"""),"No")</f>
        <v>No</v>
      </c>
      <c r="AK1101" s="8" t="str">
        <f ca="1">IFERROR(__xludf.DUMMYFUNCTION("""COMPUTED_VALUE"""),"No")</f>
        <v>No</v>
      </c>
      <c r="AL1101" s="8" t="str">
        <f ca="1">IFERROR(__xludf.DUMMYFUNCTION("""COMPUTED_VALUE"""),"No")</f>
        <v>No</v>
      </c>
      <c r="AM1101" s="8" t="str">
        <f ca="1">IFERROR(__xludf.DUMMYFUNCTION("""COMPUTED_VALUE"""),"No")</f>
        <v>No</v>
      </c>
      <c r="AN1101" s="8"/>
      <c r="AO1101" s="8" t="str">
        <f ca="1">IFERROR(__xludf.DUMMYFUNCTION("""COMPUTED_VALUE"""),"No")</f>
        <v>No</v>
      </c>
      <c r="AP1101" s="8"/>
      <c r="AQ1101" s="8"/>
      <c r="AR1101" s="8"/>
      <c r="AS1101" s="8">
        <f ca="1">IFERROR(__xludf.DUMMYFUNCTION("""COMPUTED_VALUE"""),99)</f>
        <v>99</v>
      </c>
      <c r="AT1101" s="8"/>
      <c r="AU1101" s="8">
        <f ca="1">IFERROR(__xludf.DUMMYFUNCTION("""COMPUTED_VALUE"""),42.155105)</f>
        <v>42.155104999999999</v>
      </c>
      <c r="AV1101" s="8">
        <f ca="1">IFERROR(__xludf.DUMMYFUNCTION("""COMPUTED_VALUE"""),-88.147534)</f>
        <v>-88.147533999999993</v>
      </c>
      <c r="AW1101" s="8"/>
      <c r="AX1101" s="8">
        <f ca="1">IFERROR(__xludf.DUMMYFUNCTION("""COMPUTED_VALUE"""),60010)</f>
        <v>60010</v>
      </c>
    </row>
    <row r="1102" spans="1:50" ht="45" x14ac:dyDescent="0.2">
      <c r="A1102" s="8" t="str">
        <f ca="1">IFERROR(__xludf.DUMMYFUNCTION("""COMPUTED_VALUE"""),"20220317AKREW")</f>
        <v>20220317AKREW</v>
      </c>
      <c r="B1102" s="8">
        <f ca="1">IFERROR(__xludf.DUMMYFUNCTION("""COMPUTED_VALUE"""),3)</f>
        <v>3</v>
      </c>
      <c r="C1102" s="8">
        <f ca="1">IFERROR(__xludf.DUMMYFUNCTION("""COMPUTED_VALUE"""),17)</f>
        <v>17</v>
      </c>
      <c r="D1102" s="8">
        <f ca="1">IFERROR(__xludf.DUMMYFUNCTION("""COMPUTED_VALUE"""),2022)</f>
        <v>2022</v>
      </c>
      <c r="E1102" s="9">
        <f ca="1">IFERROR(__xludf.DUMMYFUNCTION("""COMPUTED_VALUE"""),44637)</f>
        <v>44637</v>
      </c>
      <c r="F1102" s="8" t="str">
        <f ca="1">IFERROR(__xludf.DUMMYFUNCTION("""COMPUTED_VALUE"""),"Redington Jr/Sr High School")</f>
        <v>Redington Jr/Sr High School</v>
      </c>
      <c r="G1102" s="8">
        <f ca="1">IFERROR(__xludf.DUMMYFUNCTION("""COMPUTED_VALUE"""),0)</f>
        <v>0</v>
      </c>
      <c r="H1102" s="8">
        <f ca="1">IFERROR(__xludf.DUMMYFUNCTION("""COMPUTED_VALUE"""),0)</f>
        <v>0</v>
      </c>
      <c r="I1102" s="8">
        <f ca="1">IFERROR(__xludf.DUMMYFUNCTION("""COMPUTED_VALUE"""),0)</f>
        <v>0</v>
      </c>
      <c r="J1102" s="8">
        <f ca="1">IFERROR(__xludf.DUMMYFUNCTION("""COMPUTED_VALUE"""),0)</f>
        <v>0</v>
      </c>
      <c r="K1102" s="10" t="str">
        <f ca="1">IFERROR(__xludf.DUMMYFUNCTION("""COMPUTED_VALUE"""),"https://www.alaskasnewssource.com/2022/03/18/charges-forwarded-student-shooting-investigation-redington-jrsr-high-school/")</f>
        <v>https://www.alaskasnewssource.com/2022/03/18/charges-forwarded-student-shooting-investigation-redington-jrsr-high-school/</v>
      </c>
      <c r="L1102" s="8">
        <f ca="1">IFERROR(__xludf.DUMMYFUNCTION("""COMPUTED_VALUE"""),1)</f>
        <v>1</v>
      </c>
      <c r="M1102" s="8" t="str">
        <f ca="1">IFERROR(__xludf.DUMMYFUNCTION("""COMPUTED_VALUE"""),"Local")</f>
        <v>Local</v>
      </c>
      <c r="N1102" s="8">
        <f ca="1">IFERROR(__xludf.DUMMYFUNCTION("""COMPUTED_VALUE"""),4)</f>
        <v>4</v>
      </c>
      <c r="O1102" s="8" t="str">
        <f ca="1">IFERROR(__xludf.DUMMYFUNCTION("""COMPUTED_VALUE"""),"Spring")</f>
        <v>Spring</v>
      </c>
      <c r="P1102" s="8" t="str">
        <f ca="1">IFERROR(__xludf.DUMMYFUNCTION("""COMPUTED_VALUE"""),"Wasilla")</f>
        <v>Wasilla</v>
      </c>
      <c r="Q1102" s="8" t="str">
        <f ca="1">IFERROR(__xludf.DUMMYFUNCTION("""COMPUTED_VALUE"""),"AK")</f>
        <v>AK</v>
      </c>
      <c r="R1102" s="13">
        <f ca="1">IFERROR(__xludf.DUMMYFUNCTION("""COMPUTED_VALUE"""),44724)</f>
        <v>44724</v>
      </c>
      <c r="S1102" s="8" t="str">
        <f ca="1">IFERROR(__xludf.DUMMYFUNCTION("""COMPUTED_VALUE"""),"Beside Building")</f>
        <v>Beside Building</v>
      </c>
      <c r="T1102" s="8" t="str">
        <f ca="1">IFERROR(__xludf.DUMMYFUNCTION("""COMPUTED_VALUE"""),"Outside on School Property")</f>
        <v>Outside on School Property</v>
      </c>
      <c r="U1102" s="8" t="str">
        <f ca="1">IFERROR(__xludf.DUMMYFUNCTION("""COMPUTED_VALUE"""),"Yes")</f>
        <v>Yes</v>
      </c>
      <c r="V1102" s="8" t="str">
        <f ca="1">IFERROR(__xludf.DUMMYFUNCTION("""COMPUTED_VALUE"""),"Dismissal")</f>
        <v>Dismissal</v>
      </c>
      <c r="W1102" s="11">
        <f ca="1">IFERROR(__xludf.DUMMYFUNCTION("""COMPUTED_VALUE"""),0.604166666666666)</f>
        <v>0.60416666666666596</v>
      </c>
      <c r="X1102" s="8">
        <f ca="1">IFERROR(__xludf.DUMMYFUNCTION("""COMPUTED_VALUE"""),1)</f>
        <v>1</v>
      </c>
      <c r="Y1102" s="12" t="str">
        <f ca="1">IFERROR(__xludf.DUMMYFUNCTION("""COMPUTED_VALUE"""),"Student fired shot at dismissal, detained by school staff")</f>
        <v>Student fired shot at dismissal, detained by school staff</v>
      </c>
      <c r="Z1102" s="12" t="str">
        <f ca="1">IFERROR(__xludf.DUMMYFUNCTION("""COMPUTED_VALUE"""),"A student fired one shot at dismissal. Student was detained by school staff until police arrived. No injuries. School did not lock down and normal activities continued.")</f>
        <v>A student fired one shot at dismissal. Student was detained by school staff until police arrived. No injuries. School did not lock down and normal activities continued.</v>
      </c>
      <c r="AA1102" s="8"/>
      <c r="AB1102" s="8"/>
      <c r="AC1102" s="8" t="str">
        <f ca="1">IFERROR(__xludf.DUMMYFUNCTION("""COMPUTED_VALUE"""),"Yes")</f>
        <v>Yes</v>
      </c>
      <c r="AD1102" s="8"/>
      <c r="AE1102" s="8" t="str">
        <f ca="1">IFERROR(__xludf.DUMMYFUNCTION("""COMPUTED_VALUE"""),"No")</f>
        <v>No</v>
      </c>
      <c r="AF1102" s="8"/>
      <c r="AG1102" s="8" t="str">
        <f ca="1">IFERROR(__xludf.DUMMYFUNCTION("""COMPUTED_VALUE"""),"No")</f>
        <v>No</v>
      </c>
      <c r="AH1102" s="8" t="str">
        <f ca="1">IFERROR(__xludf.DUMMYFUNCTION("""COMPUTED_VALUE"""),"No")</f>
        <v>No</v>
      </c>
      <c r="AI1102" s="8" t="str">
        <f ca="1">IFERROR(__xludf.DUMMYFUNCTION("""COMPUTED_VALUE"""),"No")</f>
        <v>No</v>
      </c>
      <c r="AJ1102" s="8" t="str">
        <f ca="1">IFERROR(__xludf.DUMMYFUNCTION("""COMPUTED_VALUE"""),"No")</f>
        <v>No</v>
      </c>
      <c r="AK1102" s="8" t="str">
        <f ca="1">IFERROR(__xludf.DUMMYFUNCTION("""COMPUTED_VALUE"""),"No")</f>
        <v>No</v>
      </c>
      <c r="AL1102" s="8" t="str">
        <f ca="1">IFERROR(__xludf.DUMMYFUNCTION("""COMPUTED_VALUE"""),"No")</f>
        <v>No</v>
      </c>
      <c r="AM1102" s="8" t="str">
        <f ca="1">IFERROR(__xludf.DUMMYFUNCTION("""COMPUTED_VALUE"""),"No")</f>
        <v>No</v>
      </c>
      <c r="AN1102" s="8"/>
      <c r="AO1102" s="8" t="str">
        <f ca="1">IFERROR(__xludf.DUMMYFUNCTION("""COMPUTED_VALUE"""),"No")</f>
        <v>No</v>
      </c>
      <c r="AP1102" s="8" t="str">
        <f ca="1">IFERROR(__xludf.DUMMYFUNCTION("""COMPUTED_VALUE"""),"No")</f>
        <v>No</v>
      </c>
      <c r="AQ1102" s="8"/>
      <c r="AR1102" s="8" t="str">
        <f ca="1">IFERROR(__xludf.DUMMYFUNCTION("""COMPUTED_VALUE"""),"Outside/Off-Property")</f>
        <v>Outside/Off-Property</v>
      </c>
      <c r="AS1102" s="8">
        <f ca="1">IFERROR(__xludf.DUMMYFUNCTION("""COMPUTED_VALUE"""),1)</f>
        <v>1</v>
      </c>
      <c r="AT1102" s="8" t="str">
        <f ca="1">IFERROR(__xludf.DUMMYFUNCTION("""COMPUTED_VALUE"""),"No")</f>
        <v>No</v>
      </c>
      <c r="AU1102" s="8">
        <f ca="1">IFERROR(__xludf.DUMMYFUNCTION("""COMPUTED_VALUE"""),61.501143)</f>
        <v>61.501142999999999</v>
      </c>
      <c r="AV1102" s="8">
        <f ca="1">IFERROR(__xludf.DUMMYFUNCTION("""COMPUTED_VALUE"""),-149.703284)</f>
        <v>-149.703284</v>
      </c>
      <c r="AW1102" s="8"/>
      <c r="AX1102" s="8">
        <f ca="1">IFERROR(__xludf.DUMMYFUNCTION("""COMPUTED_VALUE"""),99623)</f>
        <v>99623</v>
      </c>
    </row>
    <row r="1103" spans="1:50" ht="60" x14ac:dyDescent="0.2">
      <c r="A1103" s="8" t="str">
        <f ca="1">IFERROR(__xludf.DUMMYFUNCTION("""COMPUTED_VALUE"""),"20220316CALOR")</f>
        <v>20220316CALOR</v>
      </c>
      <c r="B1103" s="8">
        <f ca="1">IFERROR(__xludf.DUMMYFUNCTION("""COMPUTED_VALUE"""),3)</f>
        <v>3</v>
      </c>
      <c r="C1103" s="8">
        <f ca="1">IFERROR(__xludf.DUMMYFUNCTION("""COMPUTED_VALUE"""),16)</f>
        <v>16</v>
      </c>
      <c r="D1103" s="8">
        <f ca="1">IFERROR(__xludf.DUMMYFUNCTION("""COMPUTED_VALUE"""),2022)</f>
        <v>2022</v>
      </c>
      <c r="E1103" s="9">
        <f ca="1">IFERROR(__xludf.DUMMYFUNCTION("""COMPUTED_VALUE"""),44636)</f>
        <v>44636</v>
      </c>
      <c r="F1103" s="8" t="str">
        <f ca="1">IFERROR(__xludf.DUMMYFUNCTION("""COMPUTED_VALUE"""),"Loma Vista Middle School")</f>
        <v>Loma Vista Middle School</v>
      </c>
      <c r="G1103" s="8">
        <f ca="1">IFERROR(__xludf.DUMMYFUNCTION("""COMPUTED_VALUE"""),0)</f>
        <v>0</v>
      </c>
      <c r="H1103" s="8">
        <f ca="1">IFERROR(__xludf.DUMMYFUNCTION("""COMPUTED_VALUE"""),0)</f>
        <v>0</v>
      </c>
      <c r="I1103" s="8">
        <f ca="1">IFERROR(__xludf.DUMMYFUNCTION("""COMPUTED_VALUE"""),0)</f>
        <v>0</v>
      </c>
      <c r="J1103" s="8">
        <f ca="1">IFERROR(__xludf.DUMMYFUNCTION("""COMPUTED_VALUE"""),0)</f>
        <v>0</v>
      </c>
      <c r="K1103" s="8" t="str">
        <f ca="1">IFERROR(__xludf.DUMMYFUNCTION("""COMPUTED_VALUE"""),"https://ktla.com/news/local-news/12-year-old-riverside-student-arrested-for-allegedly-firing-gun-on-campus/ https://www.pe.com/2022/03/17/student-arrested-after-allegedly-firing-shot-inside-room-at-loma-vista-middle-school/")</f>
        <v>https://ktla.com/news/local-news/12-year-old-riverside-student-arrested-for-allegedly-firing-gun-on-campus/ https://www.pe.com/2022/03/17/student-arrested-after-allegedly-firing-shot-inside-room-at-loma-vista-middle-school/</v>
      </c>
      <c r="L1103" s="8">
        <f ca="1">IFERROR(__xludf.DUMMYFUNCTION("""COMPUTED_VALUE"""),10)</f>
        <v>10</v>
      </c>
      <c r="M1103" s="8" t="str">
        <f ca="1">IFERROR(__xludf.DUMMYFUNCTION("""COMPUTED_VALUE"""),"National")</f>
        <v>National</v>
      </c>
      <c r="N1103" s="8">
        <f ca="1">IFERROR(__xludf.DUMMYFUNCTION("""COMPUTED_VALUE"""),4)</f>
        <v>4</v>
      </c>
      <c r="O1103" s="8" t="str">
        <f ca="1">IFERROR(__xludf.DUMMYFUNCTION("""COMPUTED_VALUE"""),"Spring")</f>
        <v>Spring</v>
      </c>
      <c r="P1103" s="8" t="str">
        <f ca="1">IFERROR(__xludf.DUMMYFUNCTION("""COMPUTED_VALUE"""),"Riverside")</f>
        <v>Riverside</v>
      </c>
      <c r="Q1103" s="8" t="str">
        <f ca="1">IFERROR(__xludf.DUMMYFUNCTION("""COMPUTED_VALUE"""),"CA")</f>
        <v>CA</v>
      </c>
      <c r="R1103" s="8" t="str">
        <f ca="1">IFERROR(__xludf.DUMMYFUNCTION("""COMPUTED_VALUE"""),"Middle")</f>
        <v>Middle</v>
      </c>
      <c r="S1103" s="8" t="str">
        <f ca="1">IFERROR(__xludf.DUMMYFUNCTION("""COMPUTED_VALUE"""),"Classroom")</f>
        <v>Classroom</v>
      </c>
      <c r="T1103" s="8" t="str">
        <f ca="1">IFERROR(__xludf.DUMMYFUNCTION("""COMPUTED_VALUE"""),"Inside School Building")</f>
        <v>Inside School Building</v>
      </c>
      <c r="U1103" s="8" t="str">
        <f ca="1">IFERROR(__xludf.DUMMYFUNCTION("""COMPUTED_VALUE"""),"Yes")</f>
        <v>Yes</v>
      </c>
      <c r="V1103" s="8" t="str">
        <f ca="1">IFERROR(__xludf.DUMMYFUNCTION("""COMPUTED_VALUE"""),"Afternoon Classes")</f>
        <v>Afternoon Classes</v>
      </c>
      <c r="W1103" s="11">
        <f ca="1">IFERROR(__xludf.DUMMYFUNCTION("""COMPUTED_VALUE"""),0.708333333333333)</f>
        <v>0.70833333333333304</v>
      </c>
      <c r="X1103" s="8">
        <f ca="1">IFERROR(__xludf.DUMMYFUNCTION("""COMPUTED_VALUE"""),1)</f>
        <v>1</v>
      </c>
      <c r="Y1103" s="12" t="str">
        <f ca="1">IFERROR(__xludf.DUMMYFUNCTION("""COMPUTED_VALUE"""),"Student fired shot while showing off gun inside school")</f>
        <v>Student fired shot while showing off gun inside school</v>
      </c>
      <c r="Z1103" s="12" t="str">
        <f ca="1">IFERROR(__xludf.DUMMYFUNCTION("""COMPUTED_VALUE"""),"A 12-year-old student was showing off a handgun inside a multipurpose room when he accidentally fired, striking a table. He dropped the gun and fled. School went on lockdown. Student was arrested off campus.")</f>
        <v>A 12-year-old student was showing off a handgun inside a multipurpose room when he accidentally fired, striking a table. He dropped the gun and fled. School went on lockdown. Student was arrested off campus.</v>
      </c>
      <c r="AA1103" s="8" t="str">
        <f ca="1">IFERROR(__xludf.DUMMYFUNCTION("""COMPUTED_VALUE"""),"Accidental")</f>
        <v>Accidental</v>
      </c>
      <c r="AB1103" s="8"/>
      <c r="AC1103" s="8" t="str">
        <f ca="1">IFERROR(__xludf.DUMMYFUNCTION("""COMPUTED_VALUE"""),"Yes")</f>
        <v>Yes</v>
      </c>
      <c r="AD1103" s="8" t="str">
        <f ca="1">IFERROR(__xludf.DUMMYFUNCTION("""COMPUTED_VALUE"""),"Neither")</f>
        <v>Neither</v>
      </c>
      <c r="AE1103" s="8" t="str">
        <f ca="1">IFERROR(__xludf.DUMMYFUNCTION("""COMPUTED_VALUE"""),"No")</f>
        <v>No</v>
      </c>
      <c r="AF1103" s="8"/>
      <c r="AG1103" s="8" t="str">
        <f ca="1">IFERROR(__xludf.DUMMYFUNCTION("""COMPUTED_VALUE"""),"No")</f>
        <v>No</v>
      </c>
      <c r="AH1103" s="8" t="str">
        <f ca="1">IFERROR(__xludf.DUMMYFUNCTION("""COMPUTED_VALUE"""),"No")</f>
        <v>No</v>
      </c>
      <c r="AI1103" s="8" t="str">
        <f ca="1">IFERROR(__xludf.DUMMYFUNCTION("""COMPUTED_VALUE"""),"No")</f>
        <v>No</v>
      </c>
      <c r="AJ1103" s="8" t="str">
        <f ca="1">IFERROR(__xludf.DUMMYFUNCTION("""COMPUTED_VALUE"""),"No")</f>
        <v>No</v>
      </c>
      <c r="AK1103" s="8" t="str">
        <f ca="1">IFERROR(__xludf.DUMMYFUNCTION("""COMPUTED_VALUE"""),"No")</f>
        <v>No</v>
      </c>
      <c r="AL1103" s="8" t="str">
        <f ca="1">IFERROR(__xludf.DUMMYFUNCTION("""COMPUTED_VALUE"""),"No")</f>
        <v>No</v>
      </c>
      <c r="AM1103" s="8" t="str">
        <f ca="1">IFERROR(__xludf.DUMMYFUNCTION("""COMPUTED_VALUE"""),"No")</f>
        <v>No</v>
      </c>
      <c r="AN1103" s="8"/>
      <c r="AO1103" s="8" t="str">
        <f ca="1">IFERROR(__xludf.DUMMYFUNCTION("""COMPUTED_VALUE"""),"No")</f>
        <v>No</v>
      </c>
      <c r="AP1103" s="8"/>
      <c r="AQ1103" s="8"/>
      <c r="AR1103" s="8" t="str">
        <f ca="1">IFERROR(__xludf.DUMMYFUNCTION("""COMPUTED_VALUE"""),"Failed")</f>
        <v>Failed</v>
      </c>
      <c r="AS1103" s="8">
        <f ca="1">IFERROR(__xludf.DUMMYFUNCTION("""COMPUTED_VALUE"""),1)</f>
        <v>1</v>
      </c>
      <c r="AT1103" s="8" t="str">
        <f ca="1">IFERROR(__xludf.DUMMYFUNCTION("""COMPUTED_VALUE"""),"Yes")</f>
        <v>Yes</v>
      </c>
      <c r="AU1103" s="8">
        <f ca="1">IFERROR(__xludf.DUMMYFUNCTION("""COMPUTED_VALUE"""),33.942762)</f>
        <v>33.942762000000002</v>
      </c>
      <c r="AV1103" s="8">
        <f ca="1">IFERROR(__xludf.DUMMYFUNCTION("""COMPUTED_VALUE"""),-117.497884)</f>
        <v>-117.497884</v>
      </c>
      <c r="AW1103" s="8"/>
      <c r="AX1103" s="8">
        <f ca="1">IFERROR(__xludf.DUMMYFUNCTION("""COMPUTED_VALUE"""),92505)</f>
        <v>92505</v>
      </c>
    </row>
    <row r="1104" spans="1:50" ht="105" x14ac:dyDescent="0.2">
      <c r="A1104" s="8" t="str">
        <f ca="1">IFERROR(__xludf.DUMMYFUNCTION("""COMPUTED_VALUE"""),"20220315WAEIY")</f>
        <v>20220315WAEIY</v>
      </c>
      <c r="B1104" s="8">
        <f ca="1">IFERROR(__xludf.DUMMYFUNCTION("""COMPUTED_VALUE"""),3)</f>
        <v>3</v>
      </c>
      <c r="C1104" s="8">
        <f ca="1">IFERROR(__xludf.DUMMYFUNCTION("""COMPUTED_VALUE"""),15)</f>
        <v>15</v>
      </c>
      <c r="D1104" s="8">
        <f ca="1">IFERROR(__xludf.DUMMYFUNCTION("""COMPUTED_VALUE"""),2022)</f>
        <v>2022</v>
      </c>
      <c r="E1104" s="9">
        <f ca="1">IFERROR(__xludf.DUMMYFUNCTION("""COMPUTED_VALUE"""),44635)</f>
        <v>44635</v>
      </c>
      <c r="F1104" s="8" t="str">
        <f ca="1">IFERROR(__xludf.DUMMYFUNCTION("""COMPUTED_VALUE"""),"Eisenhower High School")</f>
        <v>Eisenhower High School</v>
      </c>
      <c r="G1104" s="8">
        <f ca="1">IFERROR(__xludf.DUMMYFUNCTION("""COMPUTED_VALUE"""),1)</f>
        <v>1</v>
      </c>
      <c r="H1104" s="8">
        <f ca="1">IFERROR(__xludf.DUMMYFUNCTION("""COMPUTED_VALUE"""),1)</f>
        <v>1</v>
      </c>
      <c r="I1104" s="8">
        <f ca="1">IFERROR(__xludf.DUMMYFUNCTION("""COMPUTED_VALUE"""),2)</f>
        <v>2</v>
      </c>
      <c r="J1104" s="8">
        <f ca="1">IFERROR(__xludf.DUMMYFUNCTION("""COMPUTED_VALUE"""),0)</f>
        <v>0</v>
      </c>
      <c r="K1104" s="8" t="str">
        <f ca="1">IFERROR(__xludf.DUMMYFUNCTION("""COMPUTED_VALUE"""),"https://www.yakimaherald.com/news/local/crime_and_courts/teen-arraigned-on-murder-assault-charges-in-eisenhower-high-school-shooting/article_b5bf94b5-c026-534d-94a4-8e3f65fd9e4d.html https://www.yaktrinews.com/two-teenagers-injured-shooting-outside-stadiu"&amp;"m-eisenhower-high-campus-yakima/ https://www.nbcrightnow.com/news/shooting-by-zaphael-stadium-puts-eisenhower-high-school-on-lockdown-suspect-arrested/article_d805a87a-a4ad-11ec-86ca-539df0e2cc0c.html https://www.krem.com/article/news/crime/2-injured-yaki"&amp;"ma-school-shooting/293-3169d909-53e6-42ff-9935-e3273b41b585 https://www.usnews.com/news/best-states/washington/articles/2022-03-15/police-two-teens-shot-outside-school-in-yakima-washington")</f>
        <v>https://www.yakimaherald.com/news/local/crime_and_courts/teen-arraigned-on-murder-assault-charges-in-eisenhower-high-school-shooting/article_b5bf94b5-c026-534d-94a4-8e3f65fd9e4d.html https://www.yaktrinews.com/two-teenagers-injured-shooting-outside-stadium-eisenhower-high-campus-yakima/ https://www.nbcrightnow.com/news/shooting-by-zaphael-stadium-puts-eisenhower-high-school-on-lockdown-suspect-arrested/article_d805a87a-a4ad-11ec-86ca-539df0e2cc0c.html https://www.krem.com/article/news/crime/2-injured-yakima-school-shooting/293-3169d909-53e6-42ff-9935-e3273b41b585 https://www.usnews.com/news/best-states/washington/articles/2022-03-15/police-two-teens-shot-outside-school-in-yakima-washington</v>
      </c>
      <c r="L1104" s="8">
        <f ca="1">IFERROR(__xludf.DUMMYFUNCTION("""COMPUTED_VALUE"""),99)</f>
        <v>99</v>
      </c>
      <c r="M1104" s="8" t="str">
        <f ca="1">IFERROR(__xludf.DUMMYFUNCTION("""COMPUTED_VALUE"""),"National")</f>
        <v>National</v>
      </c>
      <c r="N1104" s="8">
        <f ca="1">IFERROR(__xludf.DUMMYFUNCTION("""COMPUTED_VALUE"""),4)</f>
        <v>4</v>
      </c>
      <c r="O1104" s="8" t="str">
        <f ca="1">IFERROR(__xludf.DUMMYFUNCTION("""COMPUTED_VALUE"""),"Winter")</f>
        <v>Winter</v>
      </c>
      <c r="P1104" s="8" t="str">
        <f ca="1">IFERROR(__xludf.DUMMYFUNCTION("""COMPUTED_VALUE"""),"Yakima")</f>
        <v>Yakima</v>
      </c>
      <c r="Q1104" s="8" t="str">
        <f ca="1">IFERROR(__xludf.DUMMYFUNCTION("""COMPUTED_VALUE"""),"WA")</f>
        <v>WA</v>
      </c>
      <c r="R1104" s="8" t="str">
        <f ca="1">IFERROR(__xludf.DUMMYFUNCTION("""COMPUTED_VALUE"""),"High")</f>
        <v>High</v>
      </c>
      <c r="S1104" s="8" t="str">
        <f ca="1">IFERROR(__xludf.DUMMYFUNCTION("""COMPUTED_VALUE"""),"Parking Lot")</f>
        <v>Parking Lot</v>
      </c>
      <c r="T1104" s="8" t="str">
        <f ca="1">IFERROR(__xludf.DUMMYFUNCTION("""COMPUTED_VALUE"""),"Outside on School Property")</f>
        <v>Outside on School Property</v>
      </c>
      <c r="U1104" s="8" t="str">
        <f ca="1">IFERROR(__xludf.DUMMYFUNCTION("""COMPUTED_VALUE"""),"Yes")</f>
        <v>Yes</v>
      </c>
      <c r="V1104" s="8" t="str">
        <f ca="1">IFERROR(__xludf.DUMMYFUNCTION("""COMPUTED_VALUE"""),"Dismissal")</f>
        <v>Dismissal</v>
      </c>
      <c r="W1104" s="11">
        <f ca="1">IFERROR(__xludf.DUMMYFUNCTION("""COMPUTED_VALUE"""),0.625)</f>
        <v>0.625</v>
      </c>
      <c r="X1104" s="8">
        <f ca="1">IFERROR(__xludf.DUMMYFUNCTION("""COMPUTED_VALUE"""),1)</f>
        <v>1</v>
      </c>
      <c r="Y1104" s="12" t="str">
        <f ca="1">IFERROR(__xludf.DUMMYFUNCTION("""COMPUTED_VALUE"""),"Two students shot in parking lot at dismissal")</f>
        <v>Two students shot in parking lot at dismissal</v>
      </c>
      <c r="Z1104" s="12" t="str">
        <f ca="1">IFERROR(__xludf.DUMMYFUNCTION("""COMPUTED_VALUE"""),"A 16-year-old male and 18-year-old male student were shot during an argument in the school parking lot at dismissal. Shooter was targeting the 18-year-old and accidentally shot his 16-year-old cousin (fatal). Shooter fled. Police arrested a 15-year-old la"&amp;"ter that night. School went on lockdown and students were shuttled to a neighboring elementary school to reunite with their parents.")</f>
        <v>A 16-year-old male and 18-year-old male student were shot during an argument in the school parking lot at dismissal. Shooter was targeting the 18-year-old and accidentally shot his 16-year-old cousin (fatal). Shooter fled. Police arrested a 15-year-old later that night. School went on lockdown and students were shuttled to a neighboring elementary school to reunite with their parents.</v>
      </c>
      <c r="AA1104" s="8" t="str">
        <f ca="1">IFERROR(__xludf.DUMMYFUNCTION("""COMPUTED_VALUE"""),"Escalation of Dispute")</f>
        <v>Escalation of Dispute</v>
      </c>
      <c r="AB1104" s="8"/>
      <c r="AC1104" s="8" t="str">
        <f ca="1">IFERROR(__xludf.DUMMYFUNCTION("""COMPUTED_VALUE"""),"Yes")</f>
        <v>Yes</v>
      </c>
      <c r="AD1104" s="8" t="str">
        <f ca="1">IFERROR(__xludf.DUMMYFUNCTION("""COMPUTED_VALUE"""),"Both")</f>
        <v>Both</v>
      </c>
      <c r="AE1104" s="8" t="str">
        <f ca="1">IFERROR(__xludf.DUMMYFUNCTION("""COMPUTED_VALUE"""),"No")</f>
        <v>No</v>
      </c>
      <c r="AF1104" s="8"/>
      <c r="AG1104" s="8" t="str">
        <f ca="1">IFERROR(__xludf.DUMMYFUNCTION("""COMPUTED_VALUE"""),"No")</f>
        <v>No</v>
      </c>
      <c r="AH1104" s="8" t="str">
        <f ca="1">IFERROR(__xludf.DUMMYFUNCTION("""COMPUTED_VALUE"""),"No")</f>
        <v>No</v>
      </c>
      <c r="AI1104" s="8" t="str">
        <f ca="1">IFERROR(__xludf.DUMMYFUNCTION("""COMPUTED_VALUE"""),"No")</f>
        <v>No</v>
      </c>
      <c r="AJ1104" s="8" t="str">
        <f ca="1">IFERROR(__xludf.DUMMYFUNCTION("""COMPUTED_VALUE"""),"No")</f>
        <v>No</v>
      </c>
      <c r="AK1104" s="8" t="str">
        <f ca="1">IFERROR(__xludf.DUMMYFUNCTION("""COMPUTED_VALUE"""),"No")</f>
        <v>No</v>
      </c>
      <c r="AL1104" s="8" t="str">
        <f ca="1">IFERROR(__xludf.DUMMYFUNCTION("""COMPUTED_VALUE"""),"Yes")</f>
        <v>Yes</v>
      </c>
      <c r="AM1104" s="8" t="str">
        <f ca="1">IFERROR(__xludf.DUMMYFUNCTION("""COMPUTED_VALUE"""),"No")</f>
        <v>No</v>
      </c>
      <c r="AN1104" s="8"/>
      <c r="AO1104" s="8" t="str">
        <f ca="1">IFERROR(__xludf.DUMMYFUNCTION("""COMPUTED_VALUE"""),"No")</f>
        <v>No</v>
      </c>
      <c r="AP1104" s="8"/>
      <c r="AQ1104" s="8"/>
      <c r="AR1104" s="8" t="str">
        <f ca="1">IFERROR(__xludf.DUMMYFUNCTION("""COMPUTED_VALUE"""),"Outside/Off-Property")</f>
        <v>Outside/Off-Property</v>
      </c>
      <c r="AS1104" s="8">
        <f ca="1">IFERROR(__xludf.DUMMYFUNCTION("""COMPUTED_VALUE"""),99)</f>
        <v>99</v>
      </c>
      <c r="AT1104" s="8" t="str">
        <f ca="1">IFERROR(__xludf.DUMMYFUNCTION("""COMPUTED_VALUE"""),"Yes")</f>
        <v>Yes</v>
      </c>
      <c r="AU1104" s="8">
        <f ca="1">IFERROR(__xludf.DUMMYFUNCTION("""COMPUTED_VALUE"""),46.591521)</f>
        <v>46.591521</v>
      </c>
      <c r="AV1104" s="8">
        <f ca="1">IFERROR(__xludf.DUMMYFUNCTION("""COMPUTED_VALUE"""),-120.566333)</f>
        <v>-120.566333</v>
      </c>
      <c r="AW1104" s="8"/>
      <c r="AX1104" s="8">
        <f ca="1">IFERROR(__xludf.DUMMYFUNCTION("""COMPUTED_VALUE"""),98909)</f>
        <v>98909</v>
      </c>
    </row>
    <row r="1105" spans="1:50" ht="45" x14ac:dyDescent="0.2">
      <c r="A1105" s="8" t="str">
        <f ca="1">IFERROR(__xludf.DUMMYFUNCTION("""COMPUTED_VALUE"""),"20220315MDPAB")</f>
        <v>20220315MDPAB</v>
      </c>
      <c r="B1105" s="8">
        <f ca="1">IFERROR(__xludf.DUMMYFUNCTION("""COMPUTED_VALUE"""),3)</f>
        <v>3</v>
      </c>
      <c r="C1105" s="8">
        <f ca="1">IFERROR(__xludf.DUMMYFUNCTION("""COMPUTED_VALUE"""),15)</f>
        <v>15</v>
      </c>
      <c r="D1105" s="8">
        <f ca="1">IFERROR(__xludf.DUMMYFUNCTION("""COMPUTED_VALUE"""),2022)</f>
        <v>2022</v>
      </c>
      <c r="E1105" s="9">
        <f ca="1">IFERROR(__xludf.DUMMYFUNCTION("""COMPUTED_VALUE"""),44635)</f>
        <v>44635</v>
      </c>
      <c r="F1105" s="8" t="str">
        <f ca="1">IFERROR(__xludf.DUMMYFUNCTION("""COMPUTED_VALUE"""),"Paul Lawrence Dunbar High School")</f>
        <v>Paul Lawrence Dunbar High School</v>
      </c>
      <c r="G1105" s="8">
        <f ca="1">IFERROR(__xludf.DUMMYFUNCTION("""COMPUTED_VALUE"""),0)</f>
        <v>0</v>
      </c>
      <c r="H1105" s="8">
        <f ca="1">IFERROR(__xludf.DUMMYFUNCTION("""COMPUTED_VALUE"""),1)</f>
        <v>1</v>
      </c>
      <c r="I1105" s="8">
        <f ca="1">IFERROR(__xludf.DUMMYFUNCTION("""COMPUTED_VALUE"""),1)</f>
        <v>1</v>
      </c>
      <c r="J1105" s="8">
        <f ca="1">IFERROR(__xludf.DUMMYFUNCTION("""COMPUTED_VALUE"""),0)</f>
        <v>0</v>
      </c>
      <c r="K1105" s="8" t="str">
        <f ca="1">IFERROR(__xludf.DUMMYFUNCTION("""COMPUTED_VALUE"""),"https://www.baltimoresun.com/education/bs-md-dunbar-high-shooting-20220315-20220315-6wrgtly5qvbnfg5tkrlthhovuq-story.html https://www.wbaltv.com/article/18-year-old-shot-at-dunbar-high-school/39442706#")</f>
        <v>https://www.baltimoresun.com/education/bs-md-dunbar-high-shooting-20220315-20220315-6wrgtly5qvbnfg5tkrlthhovuq-story.html https://www.wbaltv.com/article/18-year-old-shot-at-dunbar-high-school/39442706#</v>
      </c>
      <c r="L1105" s="8">
        <f ca="1">IFERROR(__xludf.DUMMYFUNCTION("""COMPUTED_VALUE"""),5)</f>
        <v>5</v>
      </c>
      <c r="M1105" s="8" t="str">
        <f ca="1">IFERROR(__xludf.DUMMYFUNCTION("""COMPUTED_VALUE"""),"Regional")</f>
        <v>Regional</v>
      </c>
      <c r="N1105" s="8">
        <f ca="1">IFERROR(__xludf.DUMMYFUNCTION("""COMPUTED_VALUE"""),4)</f>
        <v>4</v>
      </c>
      <c r="O1105" s="8" t="str">
        <f ca="1">IFERROR(__xludf.DUMMYFUNCTION("""COMPUTED_VALUE"""),"Spring")</f>
        <v>Spring</v>
      </c>
      <c r="P1105" s="8" t="str">
        <f ca="1">IFERROR(__xludf.DUMMYFUNCTION("""COMPUTED_VALUE"""),"Baltimore")</f>
        <v>Baltimore</v>
      </c>
      <c r="Q1105" s="8" t="str">
        <f ca="1">IFERROR(__xludf.DUMMYFUNCTION("""COMPUTED_VALUE"""),"MD")</f>
        <v>MD</v>
      </c>
      <c r="R1105" s="8" t="str">
        <f ca="1">IFERROR(__xludf.DUMMYFUNCTION("""COMPUTED_VALUE"""),"High")</f>
        <v>High</v>
      </c>
      <c r="S1105" s="8" t="str">
        <f ca="1">IFERROR(__xludf.DUMMYFUNCTION("""COMPUTED_VALUE"""),"Beside Building")</f>
        <v>Beside Building</v>
      </c>
      <c r="T1105" s="8" t="str">
        <f ca="1">IFERROR(__xludf.DUMMYFUNCTION("""COMPUTED_VALUE"""),"Outside on School Property")</f>
        <v>Outside on School Property</v>
      </c>
      <c r="U1105" s="8" t="str">
        <f ca="1">IFERROR(__xludf.DUMMYFUNCTION("""COMPUTED_VALUE"""),"Yes")</f>
        <v>Yes</v>
      </c>
      <c r="V1105" s="8" t="str">
        <f ca="1">IFERROR(__xludf.DUMMYFUNCTION("""COMPUTED_VALUE"""),"Dismissal")</f>
        <v>Dismissal</v>
      </c>
      <c r="W1105" s="11">
        <f ca="1">IFERROR(__xludf.DUMMYFUNCTION("""COMPUTED_VALUE"""),0.638888888888888)</f>
        <v>0.63888888888888795</v>
      </c>
      <c r="X1105" s="8">
        <f ca="1">IFERROR(__xludf.DUMMYFUNCTION("""COMPUTED_VALUE"""),1)</f>
        <v>1</v>
      </c>
      <c r="Y1105" s="12" t="str">
        <f ca="1">IFERROR(__xludf.DUMMYFUNCTION("""COMPUTED_VALUE"""),"Student shot during dispute at dismissal")</f>
        <v>Student shot during dispute at dismissal</v>
      </c>
      <c r="Z1105" s="12" t="str">
        <f ca="1">IFERROR(__xludf.DUMMYFUNCTION("""COMPUTED_VALUE"""),"An 18-year-old student was shot during a dispute with a group of people at dismissal. Unclear if the shooter was a student. Shooter fled.")</f>
        <v>An 18-year-old student was shot during a dispute with a group of people at dismissal. Unclear if the shooter was a student. Shooter fled.</v>
      </c>
      <c r="AA1105" s="8" t="str">
        <f ca="1">IFERROR(__xludf.DUMMYFUNCTION("""COMPUTED_VALUE"""),"Escalation of Dispute")</f>
        <v>Escalation of Dispute</v>
      </c>
      <c r="AB1105" s="8"/>
      <c r="AC1105" s="8" t="str">
        <f ca="1">IFERROR(__xludf.DUMMYFUNCTION("""COMPUTED_VALUE"""),"Yes")</f>
        <v>Yes</v>
      </c>
      <c r="AD1105" s="8" t="str">
        <f ca="1">IFERROR(__xludf.DUMMYFUNCTION("""COMPUTED_VALUE"""),"Victims Targeted")</f>
        <v>Victims Targeted</v>
      </c>
      <c r="AE1105" s="8" t="str">
        <f ca="1">IFERROR(__xludf.DUMMYFUNCTION("""COMPUTED_VALUE"""),"No")</f>
        <v>No</v>
      </c>
      <c r="AF1105" s="8"/>
      <c r="AG1105" s="8" t="str">
        <f ca="1">IFERROR(__xludf.DUMMYFUNCTION("""COMPUTED_VALUE"""),"No")</f>
        <v>No</v>
      </c>
      <c r="AH1105" s="8" t="str">
        <f ca="1">IFERROR(__xludf.DUMMYFUNCTION("""COMPUTED_VALUE"""),"No")</f>
        <v>No</v>
      </c>
      <c r="AI1105" s="8" t="str">
        <f ca="1">IFERROR(__xludf.DUMMYFUNCTION("""COMPUTED_VALUE"""),"No")</f>
        <v>No</v>
      </c>
      <c r="AJ1105" s="8" t="str">
        <f ca="1">IFERROR(__xludf.DUMMYFUNCTION("""COMPUTED_VALUE"""),"No")</f>
        <v>No</v>
      </c>
      <c r="AK1105" s="8" t="str">
        <f ca="1">IFERROR(__xludf.DUMMYFUNCTION("""COMPUTED_VALUE"""),"No")</f>
        <v>No</v>
      </c>
      <c r="AL1105" s="8"/>
      <c r="AM1105" s="8" t="str">
        <f ca="1">IFERROR(__xludf.DUMMYFUNCTION("""COMPUTED_VALUE"""),"No")</f>
        <v>No</v>
      </c>
      <c r="AN1105" s="8"/>
      <c r="AO1105" s="8" t="str">
        <f ca="1">IFERROR(__xludf.DUMMYFUNCTION("""COMPUTED_VALUE"""),"No")</f>
        <v>No</v>
      </c>
      <c r="AP1105" s="8"/>
      <c r="AQ1105" s="8"/>
      <c r="AR1105" s="8" t="str">
        <f ca="1">IFERROR(__xludf.DUMMYFUNCTION("""COMPUTED_VALUE"""),"Outside/Off-Property")</f>
        <v>Outside/Off-Property</v>
      </c>
      <c r="AS1105" s="8">
        <f ca="1">IFERROR(__xludf.DUMMYFUNCTION("""COMPUTED_VALUE"""),1)</f>
        <v>1</v>
      </c>
      <c r="AT1105" s="8"/>
      <c r="AU1105" s="8">
        <f ca="1">IFERROR(__xludf.DUMMYFUNCTION("""COMPUTED_VALUE"""),39.295286)</f>
        <v>39.295285999999997</v>
      </c>
      <c r="AV1105" s="8">
        <f ca="1">IFERROR(__xludf.DUMMYFUNCTION("""COMPUTED_VALUE"""),-76.598547)</f>
        <v>-76.598546999999996</v>
      </c>
      <c r="AW1105" s="8"/>
      <c r="AX1105" s="8">
        <f ca="1">IFERROR(__xludf.DUMMYFUNCTION("""COMPUTED_VALUE"""),21231)</f>
        <v>21231</v>
      </c>
    </row>
    <row r="1106" spans="1:50" ht="105" x14ac:dyDescent="0.2">
      <c r="A1106" s="8" t="str">
        <f ca="1">IFERROR(__xludf.DUMMYFUNCTION("""COMPUTED_VALUE"""),"20220315MATEB")</f>
        <v>20220315MATEB</v>
      </c>
      <c r="B1106" s="8">
        <f ca="1">IFERROR(__xludf.DUMMYFUNCTION("""COMPUTED_VALUE"""),3)</f>
        <v>3</v>
      </c>
      <c r="C1106" s="8">
        <f ca="1">IFERROR(__xludf.DUMMYFUNCTION("""COMPUTED_VALUE"""),15)</f>
        <v>15</v>
      </c>
      <c r="D1106" s="8">
        <f ca="1">IFERROR(__xludf.DUMMYFUNCTION("""COMPUTED_VALUE"""),2022)</f>
        <v>2022</v>
      </c>
      <c r="E1106" s="9">
        <f ca="1">IFERROR(__xludf.DUMMYFUNCTION("""COMPUTED_VALUE"""),44635)</f>
        <v>44635</v>
      </c>
      <c r="F1106" s="8" t="str">
        <f ca="1">IFERROR(__xludf.DUMMYFUNCTION("""COMPUTED_VALUE"""),"Tech Academy Boston")</f>
        <v>Tech Academy Boston</v>
      </c>
      <c r="G1106" s="8">
        <f ca="1">IFERROR(__xludf.DUMMYFUNCTION("""COMPUTED_VALUE"""),0)</f>
        <v>0</v>
      </c>
      <c r="H1106" s="8">
        <f ca="1">IFERROR(__xludf.DUMMYFUNCTION("""COMPUTED_VALUE"""),2)</f>
        <v>2</v>
      </c>
      <c r="I1106" s="8">
        <f ca="1">IFERROR(__xludf.DUMMYFUNCTION("""COMPUTED_VALUE"""),2)</f>
        <v>2</v>
      </c>
      <c r="J1106" s="8">
        <f ca="1">IFERROR(__xludf.DUMMYFUNCTION("""COMPUTED_VALUE"""),0)</f>
        <v>0</v>
      </c>
      <c r="K1106" s="8" t="str">
        <f ca="1">IFERROR(__xludf.DUMMYFUNCTION("""COMPUTED_VALUE"""),"https://www.nbcboston.com/news/local/2-teens-arrested-in-connection-with-shooting-of-teacher-student-at-techboston-academy/2679230/ https://www.boston.com/news/crime/2022/03/16/teacher-student-shot-outside-dorchester-school-techboston-academy/ https://www"&amp;".wcvb.com/article/tech-boston-academy-shooting-march-16-2022/39447922 https://www.nbcboston.com/news/local/two-people-shot-near-school-in-dorchester/2670035/")</f>
        <v>https://www.nbcboston.com/news/local/2-teens-arrested-in-connection-with-shooting-of-teacher-student-at-techboston-academy/2679230/ https://www.boston.com/news/crime/2022/03/16/teacher-student-shot-outside-dorchester-school-techboston-academy/ https://www.wcvb.com/article/tech-boston-academy-shooting-march-16-2022/39447922 https://www.nbcboston.com/news/local/two-people-shot-near-school-in-dorchester/2670035/</v>
      </c>
      <c r="L1106" s="8">
        <f ca="1">IFERROR(__xludf.DUMMYFUNCTION("""COMPUTED_VALUE"""),10)</f>
        <v>10</v>
      </c>
      <c r="M1106" s="8" t="str">
        <f ca="1">IFERROR(__xludf.DUMMYFUNCTION("""COMPUTED_VALUE"""),"Regional")</f>
        <v>Regional</v>
      </c>
      <c r="N1106" s="8">
        <f ca="1">IFERROR(__xludf.DUMMYFUNCTION("""COMPUTED_VALUE"""),4)</f>
        <v>4</v>
      </c>
      <c r="O1106" s="8" t="str">
        <f ca="1">IFERROR(__xludf.DUMMYFUNCTION("""COMPUTED_VALUE"""),"Spring")</f>
        <v>Spring</v>
      </c>
      <c r="P1106" s="8" t="str">
        <f ca="1">IFERROR(__xludf.DUMMYFUNCTION("""COMPUTED_VALUE"""),"Boston")</f>
        <v>Boston</v>
      </c>
      <c r="Q1106" s="8" t="str">
        <f ca="1">IFERROR(__xludf.DUMMYFUNCTION("""COMPUTED_VALUE"""),"MA")</f>
        <v>MA</v>
      </c>
      <c r="R1106" s="8" t="str">
        <f ca="1">IFERROR(__xludf.DUMMYFUNCTION("""COMPUTED_VALUE"""),"High")</f>
        <v>High</v>
      </c>
      <c r="S1106" s="8" t="str">
        <f ca="1">IFERROR(__xludf.DUMMYFUNCTION("""COMPUTED_VALUE"""),"Beside Building")</f>
        <v>Beside Building</v>
      </c>
      <c r="T1106" s="8" t="str">
        <f ca="1">IFERROR(__xludf.DUMMYFUNCTION("""COMPUTED_VALUE"""),"Outside on School Property")</f>
        <v>Outside on School Property</v>
      </c>
      <c r="U1106" s="8" t="str">
        <f ca="1">IFERROR(__xludf.DUMMYFUNCTION("""COMPUTED_VALUE"""),"No")</f>
        <v>No</v>
      </c>
      <c r="V1106" s="8" t="str">
        <f ca="1">IFERROR(__xludf.DUMMYFUNCTION("""COMPUTED_VALUE"""),"Sport Event")</f>
        <v>Sport Event</v>
      </c>
      <c r="W1106" s="11">
        <f ca="1">IFERROR(__xludf.DUMMYFUNCTION("""COMPUTED_VALUE"""),0.736111111111111)</f>
        <v>0.73611111111111105</v>
      </c>
      <c r="X1106" s="8">
        <f ca="1">IFERROR(__xludf.DUMMYFUNCTION("""COMPUTED_VALUE"""),1)</f>
        <v>1</v>
      </c>
      <c r="Y1106" s="12" t="str">
        <f ca="1">IFERROR(__xludf.DUMMYFUNCTION("""COMPUTED_VALUE"""),"Shots fired at a group of students and staff outside school")</f>
        <v>Shots fired at a group of students and staff outside school</v>
      </c>
      <c r="Z1106" s="12" t="str">
        <f ca="1">IFERROR(__xludf.DUMMYFUNCTION("""COMPUTED_VALUE"""),"Shots were fired at a group of students and staff standing outside of the school while waiting to get on a bus to an away basketball game. A 31-year-old teacher and a 17-year-old student were wounded. Two shooters fled and were arrested 2 weeks later (16-"&amp;"year-old male and 17-year-old male). Both had loaded guns that matched the crime scene.")</f>
        <v>Shots were fired at a group of students and staff standing outside of the school while waiting to get on a bus to an away basketball game. A 31-year-old teacher and a 17-year-old student were wounded. Two shooters fled and were arrested 2 weeks later (16-year-old male and 17-year-old male). Both had loaded guns that matched the crime scene.</v>
      </c>
      <c r="AA1106" s="8" t="str">
        <f ca="1">IFERROR(__xludf.DUMMYFUNCTION("""COMPUTED_VALUE"""),"Drive-by Shooting")</f>
        <v>Drive-by Shooting</v>
      </c>
      <c r="AB1106" s="8"/>
      <c r="AC1106" s="8" t="str">
        <f ca="1">IFERROR(__xludf.DUMMYFUNCTION("""COMPUTED_VALUE"""),"Yes")</f>
        <v>Yes</v>
      </c>
      <c r="AD1106" s="8" t="str">
        <f ca="1">IFERROR(__xludf.DUMMYFUNCTION("""COMPUTED_VALUE"""),"Both")</f>
        <v>Both</v>
      </c>
      <c r="AE1106" s="8" t="str">
        <f ca="1">IFERROR(__xludf.DUMMYFUNCTION("""COMPUTED_VALUE"""),"Yes")</f>
        <v>Yes</v>
      </c>
      <c r="AF1106" s="8" t="str">
        <f ca="1">IFERROR(__xludf.DUMMYFUNCTION("""COMPUTED_VALUE"""),"Two teens")</f>
        <v>Two teens</v>
      </c>
      <c r="AG1106" s="8" t="str">
        <f ca="1">IFERROR(__xludf.DUMMYFUNCTION("""COMPUTED_VALUE"""),"No")</f>
        <v>No</v>
      </c>
      <c r="AH1106" s="8" t="str">
        <f ca="1">IFERROR(__xludf.DUMMYFUNCTION("""COMPUTED_VALUE"""),"No")</f>
        <v>No</v>
      </c>
      <c r="AI1106" s="8" t="str">
        <f ca="1">IFERROR(__xludf.DUMMYFUNCTION("""COMPUTED_VALUE"""),"No")</f>
        <v>No</v>
      </c>
      <c r="AJ1106" s="8" t="str">
        <f ca="1">IFERROR(__xludf.DUMMYFUNCTION("""COMPUTED_VALUE"""),"No")</f>
        <v>No</v>
      </c>
      <c r="AK1106" s="8" t="str">
        <f ca="1">IFERROR(__xludf.DUMMYFUNCTION("""COMPUTED_VALUE"""),"No")</f>
        <v>No</v>
      </c>
      <c r="AL1106" s="8"/>
      <c r="AM1106" s="8" t="str">
        <f ca="1">IFERROR(__xludf.DUMMYFUNCTION("""COMPUTED_VALUE"""),"No")</f>
        <v>No</v>
      </c>
      <c r="AN1106" s="8"/>
      <c r="AO1106" s="8"/>
      <c r="AP1106" s="8"/>
      <c r="AQ1106" s="8"/>
      <c r="AR1106" s="8" t="str">
        <f ca="1">IFERROR(__xludf.DUMMYFUNCTION("""COMPUTED_VALUE"""),"Outside/Off-Property")</f>
        <v>Outside/Off-Property</v>
      </c>
      <c r="AS1106" s="8">
        <f ca="1">IFERROR(__xludf.DUMMYFUNCTION("""COMPUTED_VALUE"""),12)</f>
        <v>12</v>
      </c>
      <c r="AT1106" s="8" t="str">
        <f ca="1">IFERROR(__xludf.DUMMYFUNCTION("""COMPUTED_VALUE"""),"Yes")</f>
        <v>Yes</v>
      </c>
      <c r="AU1106" s="8">
        <f ca="1">IFERROR(__xludf.DUMMYFUNCTION("""COMPUTED_VALUE"""),42.285565)</f>
        <v>42.285564999999998</v>
      </c>
      <c r="AV1106" s="8">
        <f ca="1">IFERROR(__xludf.DUMMYFUNCTION("""COMPUTED_VALUE"""),-71.076784)</f>
        <v>-71.076784000000004</v>
      </c>
      <c r="AW1106" s="8"/>
      <c r="AX1106" s="8">
        <f ca="1">IFERROR(__xludf.DUMMYFUNCTION("""COMPUTED_VALUE"""),2124)</f>
        <v>2124</v>
      </c>
    </row>
    <row r="1107" spans="1:50" ht="45" x14ac:dyDescent="0.2">
      <c r="A1107" s="8" t="str">
        <f ca="1">IFERROR(__xludf.DUMMYFUNCTION("""COMPUTED_VALUE"""),"20220315GAFOF")</f>
        <v>20220315GAFOF</v>
      </c>
      <c r="B1107" s="8">
        <f ca="1">IFERROR(__xludf.DUMMYFUNCTION("""COMPUTED_VALUE"""),3)</f>
        <v>3</v>
      </c>
      <c r="C1107" s="8">
        <f ca="1">IFERROR(__xludf.DUMMYFUNCTION("""COMPUTED_VALUE"""),15)</f>
        <v>15</v>
      </c>
      <c r="D1107" s="8">
        <f ca="1">IFERROR(__xludf.DUMMYFUNCTION("""COMPUTED_VALUE"""),2022)</f>
        <v>2022</v>
      </c>
      <c r="E1107" s="9">
        <f ca="1">IFERROR(__xludf.DUMMYFUNCTION("""COMPUTED_VALUE"""),44635)</f>
        <v>44635</v>
      </c>
      <c r="F1107" s="8" t="str">
        <f ca="1">IFERROR(__xludf.DUMMYFUNCTION("""COMPUTED_VALUE"""),"Forest Park Middle School")</f>
        <v>Forest Park Middle School</v>
      </c>
      <c r="G1107" s="8">
        <f ca="1">IFERROR(__xludf.DUMMYFUNCTION("""COMPUTED_VALUE"""),0)</f>
        <v>0</v>
      </c>
      <c r="H1107" s="8">
        <f ca="1">IFERROR(__xludf.DUMMYFUNCTION("""COMPUTED_VALUE"""),0)</f>
        <v>0</v>
      </c>
      <c r="I1107" s="8">
        <f ca="1">IFERROR(__xludf.DUMMYFUNCTION("""COMPUTED_VALUE"""),0)</f>
        <v>0</v>
      </c>
      <c r="J1107" s="8">
        <f ca="1">IFERROR(__xludf.DUMMYFUNCTION("""COMPUTED_VALUE"""),0)</f>
        <v>0</v>
      </c>
      <c r="K1107" s="10" t="str">
        <f ca="1">IFERROR(__xludf.DUMMYFUNCTION("""COMPUTED_VALUE"""),"https://www.fox5atlanta.com/news/gunshot-fired-in-clayton-county-middle-school-district-says")</f>
        <v>https://www.fox5atlanta.com/news/gunshot-fired-in-clayton-county-middle-school-district-says</v>
      </c>
      <c r="L1107" s="8">
        <f ca="1">IFERROR(__xludf.DUMMYFUNCTION("""COMPUTED_VALUE"""),1)</f>
        <v>1</v>
      </c>
      <c r="M1107" s="8" t="str">
        <f ca="1">IFERROR(__xludf.DUMMYFUNCTION("""COMPUTED_VALUE"""),"Local")</f>
        <v>Local</v>
      </c>
      <c r="N1107" s="8">
        <f ca="1">IFERROR(__xludf.DUMMYFUNCTION("""COMPUTED_VALUE"""),3)</f>
        <v>3</v>
      </c>
      <c r="O1107" s="8" t="str">
        <f ca="1">IFERROR(__xludf.DUMMYFUNCTION("""COMPUTED_VALUE"""),"Spring")</f>
        <v>Spring</v>
      </c>
      <c r="P1107" s="8" t="str">
        <f ca="1">IFERROR(__xludf.DUMMYFUNCTION("""COMPUTED_VALUE"""),"Forest Park")</f>
        <v>Forest Park</v>
      </c>
      <c r="Q1107" s="8" t="str">
        <f ca="1">IFERROR(__xludf.DUMMYFUNCTION("""COMPUTED_VALUE"""),"GA")</f>
        <v>GA</v>
      </c>
      <c r="R1107" s="8" t="str">
        <f ca="1">IFERROR(__xludf.DUMMYFUNCTION("""COMPUTED_VALUE"""),"Middle")</f>
        <v>Middle</v>
      </c>
      <c r="S1107" s="8" t="str">
        <f ca="1">IFERROR(__xludf.DUMMYFUNCTION("""COMPUTED_VALUE"""),"Office")</f>
        <v>Office</v>
      </c>
      <c r="T1107" s="8" t="str">
        <f ca="1">IFERROR(__xludf.DUMMYFUNCTION("""COMPUTED_VALUE"""),"Inside School Building")</f>
        <v>Inside School Building</v>
      </c>
      <c r="U1107" s="8" t="str">
        <f ca="1">IFERROR(__xludf.DUMMYFUNCTION("""COMPUTED_VALUE"""),"No")</f>
        <v>No</v>
      </c>
      <c r="V1107" s="8" t="str">
        <f ca="1">IFERROR(__xludf.DUMMYFUNCTION("""COMPUTED_VALUE"""),"Night")</f>
        <v>Night</v>
      </c>
      <c r="W1107" s="8"/>
      <c r="X1107" s="8">
        <f ca="1">IFERROR(__xludf.DUMMYFUNCTION("""COMPUTED_VALUE"""),1)</f>
        <v>1</v>
      </c>
      <c r="Y1107" s="12" t="str">
        <f ca="1">IFERROR(__xludf.DUMMYFUNCTION("""COMPUTED_VALUE"""),"Shots fired when school police confronted intruder")</f>
        <v>Shots fired when school police confronted intruder</v>
      </c>
      <c r="Z1107" s="12" t="str">
        <f ca="1">IFERROR(__xludf.DUMMYFUNCTION("""COMPUTED_VALUE"""),"Shot was fired while school police were investigating an alarm and intruder inside the office of the school after hours. No injury. Unclear if police or the intruder fired the shot.")</f>
        <v>Shot was fired while school police were investigating an alarm and intruder inside the office of the school after hours. No injury. Unclear if police or the intruder fired the shot.</v>
      </c>
      <c r="AA1107" s="8" t="str">
        <f ca="1">IFERROR(__xludf.DUMMYFUNCTION("""COMPUTED_VALUE"""),"Illegal Activity")</f>
        <v>Illegal Activity</v>
      </c>
      <c r="AB1107" s="8"/>
      <c r="AC1107" s="8" t="str">
        <f ca="1">IFERROR(__xludf.DUMMYFUNCTION("""COMPUTED_VALUE"""),"No")</f>
        <v>No</v>
      </c>
      <c r="AD1107" s="8"/>
      <c r="AE1107" s="8" t="str">
        <f ca="1">IFERROR(__xludf.DUMMYFUNCTION("""COMPUTED_VALUE"""),"No")</f>
        <v>No</v>
      </c>
      <c r="AF1107" s="8"/>
      <c r="AG1107" s="8" t="str">
        <f ca="1">IFERROR(__xludf.DUMMYFUNCTION("""COMPUTED_VALUE"""),"No")</f>
        <v>No</v>
      </c>
      <c r="AH1107" s="8" t="str">
        <f ca="1">IFERROR(__xludf.DUMMYFUNCTION("""COMPUTED_VALUE"""),"No")</f>
        <v>No</v>
      </c>
      <c r="AI1107" s="8" t="str">
        <f ca="1">IFERROR(__xludf.DUMMYFUNCTION("""COMPUTED_VALUE"""),"No")</f>
        <v>No</v>
      </c>
      <c r="AJ1107" s="8" t="str">
        <f ca="1">IFERROR(__xludf.DUMMYFUNCTION("""COMPUTED_VALUE"""),"No")</f>
        <v>No</v>
      </c>
      <c r="AK1107" s="8" t="str">
        <f ca="1">IFERROR(__xludf.DUMMYFUNCTION("""COMPUTED_VALUE"""),"No")</f>
        <v>No</v>
      </c>
      <c r="AL1107" s="8" t="str">
        <f ca="1">IFERROR(__xludf.DUMMYFUNCTION("""COMPUTED_VALUE"""),"No")</f>
        <v>No</v>
      </c>
      <c r="AM1107" s="8" t="str">
        <f ca="1">IFERROR(__xludf.DUMMYFUNCTION("""COMPUTED_VALUE"""),"No")</f>
        <v>No</v>
      </c>
      <c r="AN1107" s="8"/>
      <c r="AO1107" s="8" t="str">
        <f ca="1">IFERROR(__xludf.DUMMYFUNCTION("""COMPUTED_VALUE"""),"No")</f>
        <v>No</v>
      </c>
      <c r="AP1107" s="8" t="str">
        <f ca="1">IFERROR(__xludf.DUMMYFUNCTION("""COMPUTED_VALUE"""),"Yes")</f>
        <v>Yes</v>
      </c>
      <c r="AQ1107" s="8"/>
      <c r="AR1107" s="8"/>
      <c r="AS1107" s="8">
        <f ca="1">IFERROR(__xludf.DUMMYFUNCTION("""COMPUTED_VALUE"""),1)</f>
        <v>1</v>
      </c>
      <c r="AT1107" s="8"/>
      <c r="AU1107" s="8">
        <f ca="1">IFERROR(__xludf.DUMMYFUNCTION("""COMPUTED_VALUE"""),33.622049)</f>
        <v>33.622048999999997</v>
      </c>
      <c r="AV1107" s="8">
        <f ca="1">IFERROR(__xludf.DUMMYFUNCTION("""COMPUTED_VALUE"""),-84.360104)</f>
        <v>-84.360104000000007</v>
      </c>
      <c r="AW1107" s="8"/>
      <c r="AX1107" s="8">
        <f ca="1">IFERROR(__xludf.DUMMYFUNCTION("""COMPUTED_VALUE"""),30297)</f>
        <v>30297</v>
      </c>
    </row>
    <row r="1108" spans="1:50" ht="75" x14ac:dyDescent="0.2">
      <c r="A1108" s="8" t="str">
        <f ca="1">IFERROR(__xludf.DUMMYFUNCTION("""COMPUTED_VALUE"""),"20220314CAKRP")</f>
        <v>20220314CAKRP</v>
      </c>
      <c r="B1108" s="8">
        <f ca="1">IFERROR(__xludf.DUMMYFUNCTION("""COMPUTED_VALUE"""),3)</f>
        <v>3</v>
      </c>
      <c r="C1108" s="8">
        <f ca="1">IFERROR(__xludf.DUMMYFUNCTION("""COMPUTED_VALUE"""),14)</f>
        <v>14</v>
      </c>
      <c r="D1108" s="8">
        <f ca="1">IFERROR(__xludf.DUMMYFUNCTION("""COMPUTED_VALUE"""),2022)</f>
        <v>2022</v>
      </c>
      <c r="E1108" s="9">
        <f ca="1">IFERROR(__xludf.DUMMYFUNCTION("""COMPUTED_VALUE"""),44634)</f>
        <v>44634</v>
      </c>
      <c r="F1108" s="8" t="str">
        <f ca="1">IFERROR(__xludf.DUMMYFUNCTION("""COMPUTED_VALUE"""),"Kraemer Middle School")</f>
        <v>Kraemer Middle School</v>
      </c>
      <c r="G1108" s="8">
        <f ca="1">IFERROR(__xludf.DUMMYFUNCTION("""COMPUTED_VALUE"""),0)</f>
        <v>0</v>
      </c>
      <c r="H1108" s="8">
        <f ca="1">IFERROR(__xludf.DUMMYFUNCTION("""COMPUTED_VALUE"""),0)</f>
        <v>0</v>
      </c>
      <c r="I1108" s="8">
        <f ca="1">IFERROR(__xludf.DUMMYFUNCTION("""COMPUTED_VALUE"""),0)</f>
        <v>0</v>
      </c>
      <c r="J1108" s="8">
        <f ca="1">IFERROR(__xludf.DUMMYFUNCTION("""COMPUTED_VALUE"""),1)</f>
        <v>1</v>
      </c>
      <c r="K1108" s="8" t="str">
        <f ca="1">IFERROR(__xludf.DUMMYFUNCTION("""COMPUTED_VALUE"""),"https://ktla.com/news/local-news/placentia-middle-school-assistant-principal-dies-by-suicide-on-campus-school-district/ https://www.nbcnews.com/news/us-news/middle-school-principal-dies-suicide-southern-california-campus-offici-rcna20007")</f>
        <v>https://ktla.com/news/local-news/placentia-middle-school-assistant-principal-dies-by-suicide-on-campus-school-district/ https://www.nbcnews.com/news/us-news/middle-school-principal-dies-suicide-southern-california-campus-offici-rcna20007</v>
      </c>
      <c r="L1108" s="8">
        <f ca="1">IFERROR(__xludf.DUMMYFUNCTION("""COMPUTED_VALUE"""),20)</f>
        <v>20</v>
      </c>
      <c r="M1108" s="8" t="str">
        <f ca="1">IFERROR(__xludf.DUMMYFUNCTION("""COMPUTED_VALUE"""),"National")</f>
        <v>National</v>
      </c>
      <c r="N1108" s="8">
        <f ca="1">IFERROR(__xludf.DUMMYFUNCTION("""COMPUTED_VALUE"""),4)</f>
        <v>4</v>
      </c>
      <c r="O1108" s="8" t="str">
        <f ca="1">IFERROR(__xludf.DUMMYFUNCTION("""COMPUTED_VALUE"""),"Spring")</f>
        <v>Spring</v>
      </c>
      <c r="P1108" s="8" t="str">
        <f ca="1">IFERROR(__xludf.DUMMYFUNCTION("""COMPUTED_VALUE"""),"Placentia")</f>
        <v>Placentia</v>
      </c>
      <c r="Q1108" s="8" t="str">
        <f ca="1">IFERROR(__xludf.DUMMYFUNCTION("""COMPUTED_VALUE"""),"CA")</f>
        <v>CA</v>
      </c>
      <c r="R1108" s="8" t="str">
        <f ca="1">IFERROR(__xludf.DUMMYFUNCTION("""COMPUTED_VALUE"""),"Middle")</f>
        <v>Middle</v>
      </c>
      <c r="S1108" s="8" t="str">
        <f ca="1">IFERROR(__xludf.DUMMYFUNCTION("""COMPUTED_VALUE"""),"Office")</f>
        <v>Office</v>
      </c>
      <c r="T1108" s="8" t="str">
        <f ca="1">IFERROR(__xludf.DUMMYFUNCTION("""COMPUTED_VALUE"""),"Inside School Building")</f>
        <v>Inside School Building</v>
      </c>
      <c r="U1108" s="8" t="str">
        <f ca="1">IFERROR(__xludf.DUMMYFUNCTION("""COMPUTED_VALUE"""),"Yes")</f>
        <v>Yes</v>
      </c>
      <c r="V1108" s="8" t="str">
        <f ca="1">IFERROR(__xludf.DUMMYFUNCTION("""COMPUTED_VALUE"""),"Morning Classes")</f>
        <v>Morning Classes</v>
      </c>
      <c r="W1108" s="11">
        <f ca="1">IFERROR(__xludf.DUMMYFUNCTION("""COMPUTED_VALUE"""),0.375)</f>
        <v>0.375</v>
      </c>
      <c r="X1108" s="8">
        <f ca="1">IFERROR(__xludf.DUMMYFUNCTION("""COMPUTED_VALUE"""),1)</f>
        <v>1</v>
      </c>
      <c r="Y1108" s="12" t="str">
        <f ca="1">IFERROR(__xludf.DUMMYFUNCTION("""COMPUTED_VALUE"""),"School administrator commit suicide with firearm in office during school")</f>
        <v>School administrator commit suicide with firearm in office during school</v>
      </c>
      <c r="Z1108" s="12" t="str">
        <f ca="1">IFERROR(__xludf.DUMMYFUNCTION("""COMPUTED_VALUE"""),"An adult school administrator commit suicide with a firearm in the bathroom of the school office during morning classes. School went on lockdown and then dismissed.")</f>
        <v>An adult school administrator commit suicide with a firearm in the bathroom of the school office during morning classes. School went on lockdown and then dismissed.</v>
      </c>
      <c r="AA1108" s="8" t="str">
        <f ca="1">IFERROR(__xludf.DUMMYFUNCTION("""COMPUTED_VALUE"""),"Suicide/Attempted")</f>
        <v>Suicide/Attempted</v>
      </c>
      <c r="AB1108" s="8"/>
      <c r="AC1108" s="8" t="str">
        <f ca="1">IFERROR(__xludf.DUMMYFUNCTION("""COMPUTED_VALUE"""),"Yes")</f>
        <v>Yes</v>
      </c>
      <c r="AD1108" s="8" t="str">
        <f ca="1">IFERROR(__xludf.DUMMYFUNCTION("""COMPUTED_VALUE"""),"Victims Targeted")</f>
        <v>Victims Targeted</v>
      </c>
      <c r="AE1108" s="8" t="str">
        <f ca="1">IFERROR(__xludf.DUMMYFUNCTION("""COMPUTED_VALUE"""),"No")</f>
        <v>No</v>
      </c>
      <c r="AF1108" s="8" t="str">
        <f ca="1">IFERROR(__xludf.DUMMYFUNCTION("""COMPUTED_VALUE"""),"No")</f>
        <v>No</v>
      </c>
      <c r="AG1108" s="8"/>
      <c r="AH1108" s="8" t="str">
        <f ca="1">IFERROR(__xludf.DUMMYFUNCTION("""COMPUTED_VALUE"""),"No")</f>
        <v>No</v>
      </c>
      <c r="AI1108" s="8" t="str">
        <f ca="1">IFERROR(__xludf.DUMMYFUNCTION("""COMPUTED_VALUE"""),"No")</f>
        <v>No</v>
      </c>
      <c r="AJ1108" s="8" t="str">
        <f ca="1">IFERROR(__xludf.DUMMYFUNCTION("""COMPUTED_VALUE"""),"No")</f>
        <v>No</v>
      </c>
      <c r="AK1108" s="8" t="str">
        <f ca="1">IFERROR(__xludf.DUMMYFUNCTION("""COMPUTED_VALUE"""),"No")</f>
        <v>No</v>
      </c>
      <c r="AL1108" s="8" t="str">
        <f ca="1">IFERROR(__xludf.DUMMYFUNCTION("""COMPUTED_VALUE"""),"No")</f>
        <v>No</v>
      </c>
      <c r="AM1108" s="8" t="str">
        <f ca="1">IFERROR(__xludf.DUMMYFUNCTION("""COMPUTED_VALUE"""),"No")</f>
        <v>No</v>
      </c>
      <c r="AN1108" s="8"/>
      <c r="AO1108" s="8" t="str">
        <f ca="1">IFERROR(__xludf.DUMMYFUNCTION("""COMPUTED_VALUE"""),"No")</f>
        <v>No</v>
      </c>
      <c r="AP1108" s="8"/>
      <c r="AQ1108" s="8"/>
      <c r="AR1108" s="8" t="str">
        <f ca="1">IFERROR(__xludf.DUMMYFUNCTION("""COMPUTED_VALUE"""),"Failed")</f>
        <v>Failed</v>
      </c>
      <c r="AS1108" s="8">
        <f ca="1">IFERROR(__xludf.DUMMYFUNCTION("""COMPUTED_VALUE"""),1)</f>
        <v>1</v>
      </c>
      <c r="AT1108" s="8" t="str">
        <f ca="1">IFERROR(__xludf.DUMMYFUNCTION("""COMPUTED_VALUE"""),"Yes")</f>
        <v>Yes</v>
      </c>
      <c r="AU1108" s="8">
        <f ca="1">IFERROR(__xludf.DUMMYFUNCTION("""COMPUTED_VALUE"""),33.87617)</f>
        <v>33.876170000000002</v>
      </c>
      <c r="AV1108" s="8">
        <f ca="1">IFERROR(__xludf.DUMMYFUNCTION("""COMPUTED_VALUE"""),-117.866296)</f>
        <v>-117.86629600000001</v>
      </c>
      <c r="AW1108" s="8"/>
      <c r="AX1108" s="8">
        <f ca="1">IFERROR(__xludf.DUMMYFUNCTION("""COMPUTED_VALUE"""),92870)</f>
        <v>92870</v>
      </c>
    </row>
    <row r="1109" spans="1:50" ht="60" x14ac:dyDescent="0.2">
      <c r="A1109" s="8" t="str">
        <f ca="1">IFERROR(__xludf.DUMMYFUNCTION("""COMPUTED_VALUE"""),"20220313PANEP")</f>
        <v>20220313PANEP</v>
      </c>
      <c r="B1109" s="8">
        <f ca="1">IFERROR(__xludf.DUMMYFUNCTION("""COMPUTED_VALUE"""),3)</f>
        <v>3</v>
      </c>
      <c r="C1109" s="8">
        <f ca="1">IFERROR(__xludf.DUMMYFUNCTION("""COMPUTED_VALUE"""),13)</f>
        <v>13</v>
      </c>
      <c r="D1109" s="8">
        <f ca="1">IFERROR(__xludf.DUMMYFUNCTION("""COMPUTED_VALUE"""),2022)</f>
        <v>2022</v>
      </c>
      <c r="E1109" s="9">
        <f ca="1">IFERROR(__xludf.DUMMYFUNCTION("""COMPUTED_VALUE"""),44633)</f>
        <v>44633</v>
      </c>
      <c r="F1109" s="8" t="str">
        <f ca="1">IFERROR(__xludf.DUMMYFUNCTION("""COMPUTED_VALUE"""),"New Foundations Charter School")</f>
        <v>New Foundations Charter School</v>
      </c>
      <c r="G1109" s="8">
        <f ca="1">IFERROR(__xludf.DUMMYFUNCTION("""COMPUTED_VALUE"""),0)</f>
        <v>0</v>
      </c>
      <c r="H1109" s="8">
        <f ca="1">IFERROR(__xludf.DUMMYFUNCTION("""COMPUTED_VALUE"""),0)</f>
        <v>0</v>
      </c>
      <c r="I1109" s="8">
        <f ca="1">IFERROR(__xludf.DUMMYFUNCTION("""COMPUTED_VALUE"""),0)</f>
        <v>0</v>
      </c>
      <c r="J1109" s="8">
        <f ca="1">IFERROR(__xludf.DUMMYFUNCTION("""COMPUTED_VALUE"""),0)</f>
        <v>0</v>
      </c>
      <c r="K1109" s="10" t="str">
        <f ca="1">IFERROR(__xludf.DUMMYFUNCTION("""COMPUTED_VALUE"""),"https://6abc.com/new-foundations-charter-high-school-bullet-classroom-philadelphia-shooting-torresdale-ave/11651217/")</f>
        <v>https://6abc.com/new-foundations-charter-high-school-bullet-classroom-philadelphia-shooting-torresdale-ave/11651217/</v>
      </c>
      <c r="L1109" s="8">
        <f ca="1">IFERROR(__xludf.DUMMYFUNCTION("""COMPUTED_VALUE"""),1)</f>
        <v>1</v>
      </c>
      <c r="M1109" s="8" t="str">
        <f ca="1">IFERROR(__xludf.DUMMYFUNCTION("""COMPUTED_VALUE"""),"Local")</f>
        <v>Local</v>
      </c>
      <c r="N1109" s="8">
        <f ca="1">IFERROR(__xludf.DUMMYFUNCTION("""COMPUTED_VALUE"""),3)</f>
        <v>3</v>
      </c>
      <c r="O1109" s="8" t="str">
        <f ca="1">IFERROR(__xludf.DUMMYFUNCTION("""COMPUTED_VALUE"""),"Spring")</f>
        <v>Spring</v>
      </c>
      <c r="P1109" s="8" t="str">
        <f ca="1">IFERROR(__xludf.DUMMYFUNCTION("""COMPUTED_VALUE"""),"Philadelphia")</f>
        <v>Philadelphia</v>
      </c>
      <c r="Q1109" s="8" t="str">
        <f ca="1">IFERROR(__xludf.DUMMYFUNCTION("""COMPUTED_VALUE"""),"PA")</f>
        <v>PA</v>
      </c>
      <c r="R1109" s="8" t="str">
        <f ca="1">IFERROR(__xludf.DUMMYFUNCTION("""COMPUTED_VALUE"""),"K-8")</f>
        <v>K-8</v>
      </c>
      <c r="S1109" s="8" t="str">
        <f ca="1">IFERROR(__xludf.DUMMYFUNCTION("""COMPUTED_VALUE"""),"Classroom")</f>
        <v>Classroom</v>
      </c>
      <c r="T1109" s="8" t="str">
        <f ca="1">IFERROR(__xludf.DUMMYFUNCTION("""COMPUTED_VALUE"""),"Both Inside/Outside")</f>
        <v>Both Inside/Outside</v>
      </c>
      <c r="U1109" s="8" t="str">
        <f ca="1">IFERROR(__xludf.DUMMYFUNCTION("""COMPUTED_VALUE"""),"No")</f>
        <v>No</v>
      </c>
      <c r="V1109" s="8" t="str">
        <f ca="1">IFERROR(__xludf.DUMMYFUNCTION("""COMPUTED_VALUE"""),"Not a School Day")</f>
        <v>Not a School Day</v>
      </c>
      <c r="W1109" s="8"/>
      <c r="X1109" s="8">
        <f ca="1">IFERROR(__xludf.DUMMYFUNCTION("""COMPUTED_VALUE"""),1)</f>
        <v>1</v>
      </c>
      <c r="Y1109" s="12" t="str">
        <f ca="1">IFERROR(__xludf.DUMMYFUNCTION("""COMPUTED_VALUE"""),"Classroom window broken by gunshot, bullet found in classroom")</f>
        <v>Classroom window broken by gunshot, bullet found in classroom</v>
      </c>
      <c r="Z1109" s="12" t="str">
        <f ca="1">IFERROR(__xludf.DUMMYFUNCTION("""COMPUTED_VALUE"""),"A bullet was found inside a classroom. Window was shattered. Police believe the shot was fired over the weekend and found by staff on Monday morning.")</f>
        <v>A bullet was found inside a classroom. Window was shattered. Police believe the shot was fired over the weekend and found by staff on Monday morning.</v>
      </c>
      <c r="AA1109" s="8"/>
      <c r="AB1109" s="8"/>
      <c r="AC1109" s="8" t="str">
        <f ca="1">IFERROR(__xludf.DUMMYFUNCTION("""COMPUTED_VALUE"""),"No")</f>
        <v>No</v>
      </c>
      <c r="AD1109" s="8"/>
      <c r="AE1109" s="8" t="str">
        <f ca="1">IFERROR(__xludf.DUMMYFUNCTION("""COMPUTED_VALUE"""),"No")</f>
        <v>No</v>
      </c>
      <c r="AF1109" s="8"/>
      <c r="AG1109" s="8" t="str">
        <f ca="1">IFERROR(__xludf.DUMMYFUNCTION("""COMPUTED_VALUE"""),"No")</f>
        <v>No</v>
      </c>
      <c r="AH1109" s="8" t="str">
        <f ca="1">IFERROR(__xludf.DUMMYFUNCTION("""COMPUTED_VALUE"""),"No")</f>
        <v>No</v>
      </c>
      <c r="AI1109" s="8" t="str">
        <f ca="1">IFERROR(__xludf.DUMMYFUNCTION("""COMPUTED_VALUE"""),"No")</f>
        <v>No</v>
      </c>
      <c r="AJ1109" s="8" t="str">
        <f ca="1">IFERROR(__xludf.DUMMYFUNCTION("""COMPUTED_VALUE"""),"No")</f>
        <v>No</v>
      </c>
      <c r="AK1109" s="8" t="str">
        <f ca="1">IFERROR(__xludf.DUMMYFUNCTION("""COMPUTED_VALUE"""),"No")</f>
        <v>No</v>
      </c>
      <c r="AL1109" s="8"/>
      <c r="AM1109" s="8" t="str">
        <f ca="1">IFERROR(__xludf.DUMMYFUNCTION("""COMPUTED_VALUE"""),"No")</f>
        <v>No</v>
      </c>
      <c r="AN1109" s="8"/>
      <c r="AO1109" s="8" t="str">
        <f ca="1">IFERROR(__xludf.DUMMYFUNCTION("""COMPUTED_VALUE"""),"No")</f>
        <v>No</v>
      </c>
      <c r="AP1109" s="8"/>
      <c r="AQ1109" s="8"/>
      <c r="AR1109" s="8" t="str">
        <f ca="1">IFERROR(__xludf.DUMMYFUNCTION("""COMPUTED_VALUE"""),"Outside/Off-Property")</f>
        <v>Outside/Off-Property</v>
      </c>
      <c r="AS1109" s="8"/>
      <c r="AT1109" s="8" t="str">
        <f ca="1">IFERROR(__xludf.DUMMYFUNCTION("""COMPUTED_VALUE"""),"No")</f>
        <v>No</v>
      </c>
      <c r="AU1109" s="8">
        <f ca="1">IFERROR(__xludf.DUMMYFUNCTION("""COMPUTED_VALUE"""),40.035468)</f>
        <v>40.035468000000002</v>
      </c>
      <c r="AV1109" s="8">
        <f ca="1">IFERROR(__xludf.DUMMYFUNCTION("""COMPUTED_VALUE"""),-75.024324)</f>
        <v>-75.024323999999993</v>
      </c>
      <c r="AW1109" s="8"/>
      <c r="AX1109" s="8">
        <f ca="1">IFERROR(__xludf.DUMMYFUNCTION("""COMPUTED_VALUE"""),19136)</f>
        <v>19136</v>
      </c>
    </row>
    <row r="1110" spans="1:50" ht="45" x14ac:dyDescent="0.2">
      <c r="A1110" s="8" t="str">
        <f ca="1">IFERROR(__xludf.DUMMYFUNCTION("""COMPUTED_VALUE"""),"20220311WIJER")</f>
        <v>20220311WIJER</v>
      </c>
      <c r="B1110" s="8">
        <f ca="1">IFERROR(__xludf.DUMMYFUNCTION("""COMPUTED_VALUE"""),3)</f>
        <v>3</v>
      </c>
      <c r="C1110" s="8">
        <f ca="1">IFERROR(__xludf.DUMMYFUNCTION("""COMPUTED_VALUE"""),11)</f>
        <v>11</v>
      </c>
      <c r="D1110" s="8">
        <f ca="1">IFERROR(__xludf.DUMMYFUNCTION("""COMPUTED_VALUE"""),2022)</f>
        <v>2022</v>
      </c>
      <c r="E1110" s="9">
        <f ca="1">IFERROR(__xludf.DUMMYFUNCTION("""COMPUTED_VALUE"""),44631)</f>
        <v>44631</v>
      </c>
      <c r="F1110" s="8" t="str">
        <f ca="1">IFERROR(__xludf.DUMMYFUNCTION("""COMPUTED_VALUE"""),"Jerstad-Agerholm Elementary School")</f>
        <v>Jerstad-Agerholm Elementary School</v>
      </c>
      <c r="G1110" s="8">
        <f ca="1">IFERROR(__xludf.DUMMYFUNCTION("""COMPUTED_VALUE"""),0)</f>
        <v>0</v>
      </c>
      <c r="H1110" s="8">
        <f ca="1">IFERROR(__xludf.DUMMYFUNCTION("""COMPUTED_VALUE"""),0)</f>
        <v>0</v>
      </c>
      <c r="I1110" s="8">
        <f ca="1">IFERROR(__xludf.DUMMYFUNCTION("""COMPUTED_VALUE"""),0)</f>
        <v>0</v>
      </c>
      <c r="J1110" s="8">
        <f ca="1">IFERROR(__xludf.DUMMYFUNCTION("""COMPUTED_VALUE"""),0)</f>
        <v>0</v>
      </c>
      <c r="K1110" s="10" t="str">
        <f ca="1">IFERROR(__xludf.DUMMYFUNCTION("""COMPUTED_VALUE"""),"https://www.cbs58.com/news/weapon-fired-inside-jerstad-agerholm-elementary-school-in-racine")</f>
        <v>https://www.cbs58.com/news/weapon-fired-inside-jerstad-agerholm-elementary-school-in-racine</v>
      </c>
      <c r="L1110" s="8">
        <f ca="1">IFERROR(__xludf.DUMMYFUNCTION("""COMPUTED_VALUE"""),1)</f>
        <v>1</v>
      </c>
      <c r="M1110" s="8" t="str">
        <f ca="1">IFERROR(__xludf.DUMMYFUNCTION("""COMPUTED_VALUE"""),"Local")</f>
        <v>Local</v>
      </c>
      <c r="N1110" s="8">
        <f ca="1">IFERROR(__xludf.DUMMYFUNCTION("""COMPUTED_VALUE"""),3)</f>
        <v>3</v>
      </c>
      <c r="O1110" s="8" t="str">
        <f ca="1">IFERROR(__xludf.DUMMYFUNCTION("""COMPUTED_VALUE"""),"Spring")</f>
        <v>Spring</v>
      </c>
      <c r="P1110" s="8" t="str">
        <f ca="1">IFERROR(__xludf.DUMMYFUNCTION("""COMPUTED_VALUE"""),"Racine")</f>
        <v>Racine</v>
      </c>
      <c r="Q1110" s="8" t="str">
        <f ca="1">IFERROR(__xludf.DUMMYFUNCTION("""COMPUTED_VALUE"""),"WI")</f>
        <v>WI</v>
      </c>
      <c r="R1110" s="8" t="str">
        <f ca="1">IFERROR(__xludf.DUMMYFUNCTION("""COMPUTED_VALUE"""),"Elementary")</f>
        <v>Elementary</v>
      </c>
      <c r="S1110" s="8" t="str">
        <f ca="1">IFERROR(__xludf.DUMMYFUNCTION("""COMPUTED_VALUE"""),"Bathroom")</f>
        <v>Bathroom</v>
      </c>
      <c r="T1110" s="8" t="str">
        <f ca="1">IFERROR(__xludf.DUMMYFUNCTION("""COMPUTED_VALUE"""),"Inside School Building")</f>
        <v>Inside School Building</v>
      </c>
      <c r="U1110" s="8" t="str">
        <f ca="1">IFERROR(__xludf.DUMMYFUNCTION("""COMPUTED_VALUE"""),"Yes")</f>
        <v>Yes</v>
      </c>
      <c r="V1110" s="8"/>
      <c r="W1110" s="8"/>
      <c r="X1110" s="8">
        <f ca="1">IFERROR(__xludf.DUMMYFUNCTION("""COMPUTED_VALUE"""),1)</f>
        <v>1</v>
      </c>
      <c r="Y1110" s="12" t="str">
        <f ca="1">IFERROR(__xludf.DUMMYFUNCTION("""COMPUTED_VALUE"""),"Student fired shot inside school bathroom")</f>
        <v>Student fired shot inside school bathroom</v>
      </c>
      <c r="Z1110" s="12" t="str">
        <f ca="1">IFERROR(__xludf.DUMMYFUNCTION("""COMPUTED_VALUE"""),"An elementary school student (age not released) fired a shot into the floor inside the school bathroom. Two students were arrested.")</f>
        <v>An elementary school student (age not released) fired a shot into the floor inside the school bathroom. Two students were arrested.</v>
      </c>
      <c r="AA1110" s="8" t="str">
        <f ca="1">IFERROR(__xludf.DUMMYFUNCTION("""COMPUTED_VALUE"""),"Accidental")</f>
        <v>Accidental</v>
      </c>
      <c r="AB1110" s="8"/>
      <c r="AC1110" s="8" t="str">
        <f ca="1">IFERROR(__xludf.DUMMYFUNCTION("""COMPUTED_VALUE"""),"Yes")</f>
        <v>Yes</v>
      </c>
      <c r="AD1110" s="8" t="str">
        <f ca="1">IFERROR(__xludf.DUMMYFUNCTION("""COMPUTED_VALUE"""),"Neither")</f>
        <v>Neither</v>
      </c>
      <c r="AE1110" s="8" t="str">
        <f ca="1">IFERROR(__xludf.DUMMYFUNCTION("""COMPUTED_VALUE"""),"Yes")</f>
        <v>Yes</v>
      </c>
      <c r="AF1110" s="8" t="str">
        <f ca="1">IFERROR(__xludf.DUMMYFUNCTION("""COMPUTED_VALUE"""),"Two students arrested")</f>
        <v>Two students arrested</v>
      </c>
      <c r="AG1110" s="8" t="str">
        <f ca="1">IFERROR(__xludf.DUMMYFUNCTION("""COMPUTED_VALUE"""),"No")</f>
        <v>No</v>
      </c>
      <c r="AH1110" s="8" t="str">
        <f ca="1">IFERROR(__xludf.DUMMYFUNCTION("""COMPUTED_VALUE"""),"No")</f>
        <v>No</v>
      </c>
      <c r="AI1110" s="8" t="str">
        <f ca="1">IFERROR(__xludf.DUMMYFUNCTION("""COMPUTED_VALUE"""),"No")</f>
        <v>No</v>
      </c>
      <c r="AJ1110" s="8" t="str">
        <f ca="1">IFERROR(__xludf.DUMMYFUNCTION("""COMPUTED_VALUE"""),"No")</f>
        <v>No</v>
      </c>
      <c r="AK1110" s="8" t="str">
        <f ca="1">IFERROR(__xludf.DUMMYFUNCTION("""COMPUTED_VALUE"""),"No")</f>
        <v>No</v>
      </c>
      <c r="AL1110" s="8" t="str">
        <f ca="1">IFERROR(__xludf.DUMMYFUNCTION("""COMPUTED_VALUE"""),"No")</f>
        <v>No</v>
      </c>
      <c r="AM1110" s="8" t="str">
        <f ca="1">IFERROR(__xludf.DUMMYFUNCTION("""COMPUTED_VALUE"""),"No")</f>
        <v>No</v>
      </c>
      <c r="AN1110" s="8"/>
      <c r="AO1110" s="8" t="str">
        <f ca="1">IFERROR(__xludf.DUMMYFUNCTION("""COMPUTED_VALUE"""),"No")</f>
        <v>No</v>
      </c>
      <c r="AP1110" s="8" t="str">
        <f ca="1">IFERROR(__xludf.DUMMYFUNCTION("""COMPUTED_VALUE"""),"No")</f>
        <v>No</v>
      </c>
      <c r="AQ1110" s="8"/>
      <c r="AR1110" s="8" t="str">
        <f ca="1">IFERROR(__xludf.DUMMYFUNCTION("""COMPUTED_VALUE"""),"Failed")</f>
        <v>Failed</v>
      </c>
      <c r="AS1110" s="8">
        <f ca="1">IFERROR(__xludf.DUMMYFUNCTION("""COMPUTED_VALUE"""),1)</f>
        <v>1</v>
      </c>
      <c r="AT1110" s="8"/>
      <c r="AU1110" s="8">
        <f ca="1">IFERROR(__xludf.DUMMYFUNCTION("""COMPUTED_VALUE"""),42.763316)</f>
        <v>42.763316000000003</v>
      </c>
      <c r="AV1110" s="8">
        <f ca="1">IFERROR(__xludf.DUMMYFUNCTION("""COMPUTED_VALUE"""),-87.791577)</f>
        <v>-87.791577000000004</v>
      </c>
      <c r="AW1110" s="8"/>
      <c r="AX1110" s="8">
        <f ca="1">IFERROR(__xludf.DUMMYFUNCTION("""COMPUTED_VALUE"""),53402)</f>
        <v>53402</v>
      </c>
    </row>
    <row r="1111" spans="1:50" ht="90" x14ac:dyDescent="0.2">
      <c r="A1111" s="8" t="str">
        <f ca="1">IFERROR(__xludf.DUMMYFUNCTION("""COMPUTED_VALUE"""),"20220311OHMAM")</f>
        <v>20220311OHMAM</v>
      </c>
      <c r="B1111" s="8">
        <f ca="1">IFERROR(__xludf.DUMMYFUNCTION("""COMPUTED_VALUE"""),3)</f>
        <v>3</v>
      </c>
      <c r="C1111" s="8">
        <f ca="1">IFERROR(__xludf.DUMMYFUNCTION("""COMPUTED_VALUE"""),18)</f>
        <v>18</v>
      </c>
      <c r="D1111" s="8">
        <f ca="1">IFERROR(__xludf.DUMMYFUNCTION("""COMPUTED_VALUE"""),2022)</f>
        <v>2022</v>
      </c>
      <c r="E1111" s="9">
        <f ca="1">IFERROR(__xludf.DUMMYFUNCTION("""COMPUTED_VALUE"""),44638)</f>
        <v>44638</v>
      </c>
      <c r="F1111" s="8" t="str">
        <f ca="1">IFERROR(__xludf.DUMMYFUNCTION("""COMPUTED_VALUE"""),"Madison High School")</f>
        <v>Madison High School</v>
      </c>
      <c r="G1111" s="8">
        <f ca="1">IFERROR(__xludf.DUMMYFUNCTION("""COMPUTED_VALUE"""),0)</f>
        <v>0</v>
      </c>
      <c r="H1111" s="8">
        <f ca="1">IFERROR(__xludf.DUMMYFUNCTION("""COMPUTED_VALUE"""),0)</f>
        <v>0</v>
      </c>
      <c r="I1111" s="8">
        <f ca="1">IFERROR(__xludf.DUMMYFUNCTION("""COMPUTED_VALUE"""),0)</f>
        <v>0</v>
      </c>
      <c r="J1111" s="8">
        <f ca="1">IFERROR(__xludf.DUMMYFUNCTION("""COMPUTED_VALUE"""),0)</f>
        <v>0</v>
      </c>
      <c r="K1111" s="8" t="str">
        <f ca="1">IFERROR(__xludf.DUMMYFUNCTION("""COMPUTED_VALUE"""),"https://www.whio.com/news/local/it-was-shock-ohio-wrestling-team-caught-crossfire-during-i-71-shooting/HUTLCSTSH5AYVE64KZP6N57A5A/ https://www.mansfieldnewsjournal.com/story/news/2022/03/11/madison-wrestlers-coaches-uninjured-when-bullet-hits-transport-va"&amp;"n/7002642001/ https://www.richlandsource.com/news/madison-athletes-coaches-safe-sound-after-shot-fired-at-school-van/article_d555d68a-a170-11ec-8b4a-1f449d67e163.html")</f>
        <v>https://www.whio.com/news/local/it-was-shock-ohio-wrestling-team-caught-crossfire-during-i-71-shooting/HUTLCSTSH5AYVE64KZP6N57A5A/ https://www.mansfieldnewsjournal.com/story/news/2022/03/11/madison-wrestlers-coaches-uninjured-when-bullet-hits-transport-van/7002642001/ https://www.richlandsource.com/news/madison-athletes-coaches-safe-sound-after-shot-fired-at-school-van/article_d555d68a-a170-11ec-8b4a-1f449d67e163.html</v>
      </c>
      <c r="L1111" s="8">
        <f ca="1">IFERROR(__xludf.DUMMYFUNCTION("""COMPUTED_VALUE"""),10)</f>
        <v>10</v>
      </c>
      <c r="M1111" s="8" t="str">
        <f ca="1">IFERROR(__xludf.DUMMYFUNCTION("""COMPUTED_VALUE"""),"Regional")</f>
        <v>Regional</v>
      </c>
      <c r="N1111" s="8">
        <f ca="1">IFERROR(__xludf.DUMMYFUNCTION("""COMPUTED_VALUE"""),4)</f>
        <v>4</v>
      </c>
      <c r="O1111" s="8" t="str">
        <f ca="1">IFERROR(__xludf.DUMMYFUNCTION("""COMPUTED_VALUE"""),"Spring")</f>
        <v>Spring</v>
      </c>
      <c r="P1111" s="8" t="str">
        <f ca="1">IFERROR(__xludf.DUMMYFUNCTION("""COMPUTED_VALUE"""),"Mansfield")</f>
        <v>Mansfield</v>
      </c>
      <c r="Q1111" s="8" t="str">
        <f ca="1">IFERROR(__xludf.DUMMYFUNCTION("""COMPUTED_VALUE"""),"OH")</f>
        <v>OH</v>
      </c>
      <c r="R1111" s="8" t="str">
        <f ca="1">IFERROR(__xludf.DUMMYFUNCTION("""COMPUTED_VALUE"""),"High")</f>
        <v>High</v>
      </c>
      <c r="S1111" s="8" t="str">
        <f ca="1">IFERROR(__xludf.DUMMYFUNCTION("""COMPUTED_VALUE"""),"School Bus")</f>
        <v>School Bus</v>
      </c>
      <c r="T1111" s="8" t="str">
        <f ca="1">IFERROR(__xludf.DUMMYFUNCTION("""COMPUTED_VALUE"""),"School Bus")</f>
        <v>School Bus</v>
      </c>
      <c r="U1111" s="8" t="str">
        <f ca="1">IFERROR(__xludf.DUMMYFUNCTION("""COMPUTED_VALUE"""),"Yes")</f>
        <v>Yes</v>
      </c>
      <c r="V1111" s="8" t="str">
        <f ca="1">IFERROR(__xludf.DUMMYFUNCTION("""COMPUTED_VALUE"""),"Morning Classes")</f>
        <v>Morning Classes</v>
      </c>
      <c r="W1111" s="11">
        <f ca="1">IFERROR(__xludf.DUMMYFUNCTION("""COMPUTED_VALUE"""),0.416666666666666)</f>
        <v>0.41666666666666602</v>
      </c>
      <c r="X1111" s="8">
        <f ca="1">IFERROR(__xludf.DUMMYFUNCTION("""COMPUTED_VALUE"""),1)</f>
        <v>1</v>
      </c>
      <c r="Y1111" s="12" t="str">
        <f ca="1">IFERROR(__xludf.DUMMYFUNCTION("""COMPUTED_VALUE"""),"School van with coach and 4 students was struck by a bullet while driving")</f>
        <v>School van with coach and 4 students was struck by a bullet while driving</v>
      </c>
      <c r="Z1111" s="12" t="str">
        <f ca="1">IFERROR(__xludf.DUMMYFUNCTION("""COMPUTED_VALUE"""),"A school van driven by the wrestling coach with 4 students inside was struck by a bullet while driving to a tournament on I-71. Man was running down the highway and fired shots at multiple vehicles. When vehicles stopped, he fired at a car with parents be"&amp;"hind the bus. Shooter was injured by police during shootout and then arrested..")</f>
        <v>A school van driven by the wrestling coach with 4 students inside was struck by a bullet while driving to a tournament on I-71. Man was running down the highway and fired shots at multiple vehicles. When vehicles stopped, he fired at a car with parents behind the bus. Shooter was injured by police during shootout and then arrested..</v>
      </c>
      <c r="AA1111" s="8" t="str">
        <f ca="1">IFERROR(__xludf.DUMMYFUNCTION("""COMPUTED_VALUE"""),"Indiscriminate Shooting")</f>
        <v>Indiscriminate Shooting</v>
      </c>
      <c r="AB1111" s="8"/>
      <c r="AC1111" s="8" t="str">
        <f ca="1">IFERROR(__xludf.DUMMYFUNCTION("""COMPUTED_VALUE"""),"Yes")</f>
        <v>Yes</v>
      </c>
      <c r="AD1111" s="8" t="str">
        <f ca="1">IFERROR(__xludf.DUMMYFUNCTION("""COMPUTED_VALUE"""),"Random Shooting")</f>
        <v>Random Shooting</v>
      </c>
      <c r="AE1111" s="8" t="str">
        <f ca="1">IFERROR(__xludf.DUMMYFUNCTION("""COMPUTED_VALUE"""),"No")</f>
        <v>No</v>
      </c>
      <c r="AF1111" s="8"/>
      <c r="AG1111" s="8" t="str">
        <f ca="1">IFERROR(__xludf.DUMMYFUNCTION("""COMPUTED_VALUE"""),"No")</f>
        <v>No</v>
      </c>
      <c r="AH1111" s="8" t="str">
        <f ca="1">IFERROR(__xludf.DUMMYFUNCTION("""COMPUTED_VALUE"""),"No")</f>
        <v>No</v>
      </c>
      <c r="AI1111" s="8" t="str">
        <f ca="1">IFERROR(__xludf.DUMMYFUNCTION("""COMPUTED_VALUE"""),"No")</f>
        <v>No</v>
      </c>
      <c r="AJ1111" s="8" t="str">
        <f ca="1">IFERROR(__xludf.DUMMYFUNCTION("""COMPUTED_VALUE"""),"No")</f>
        <v>No</v>
      </c>
      <c r="AK1111" s="8" t="str">
        <f ca="1">IFERROR(__xludf.DUMMYFUNCTION("""COMPUTED_VALUE"""),"No")</f>
        <v>No</v>
      </c>
      <c r="AL1111" s="8" t="str">
        <f ca="1">IFERROR(__xludf.DUMMYFUNCTION("""COMPUTED_VALUE"""),"No")</f>
        <v>No</v>
      </c>
      <c r="AM1111" s="8" t="str">
        <f ca="1">IFERROR(__xludf.DUMMYFUNCTION("""COMPUTED_VALUE"""),"No")</f>
        <v>No</v>
      </c>
      <c r="AN1111" s="8"/>
      <c r="AO1111" s="8" t="str">
        <f ca="1">IFERROR(__xludf.DUMMYFUNCTION("""COMPUTED_VALUE"""),"No")</f>
        <v>No</v>
      </c>
      <c r="AP1111" s="8"/>
      <c r="AQ1111" s="8"/>
      <c r="AR1111" s="8" t="str">
        <f ca="1">IFERROR(__xludf.DUMMYFUNCTION("""COMPUTED_VALUE"""),"Outside/Off-Property")</f>
        <v>Outside/Off-Property</v>
      </c>
      <c r="AS1111" s="8"/>
      <c r="AT1111" s="8"/>
      <c r="AU1111" s="8">
        <f ca="1">IFERROR(__xludf.DUMMYFUNCTION("""COMPUTED_VALUE"""),40.773723)</f>
        <v>40.773722999999997</v>
      </c>
      <c r="AV1111" s="8">
        <f ca="1">IFERROR(__xludf.DUMMYFUNCTION("""COMPUTED_VALUE"""),-82.459759)</f>
        <v>-82.459759000000005</v>
      </c>
      <c r="AW1111" s="8"/>
      <c r="AX1111" s="8">
        <f ca="1">IFERROR(__xludf.DUMMYFUNCTION("""COMPUTED_VALUE"""),44905)</f>
        <v>44905</v>
      </c>
    </row>
    <row r="1112" spans="1:50" ht="90" x14ac:dyDescent="0.2">
      <c r="A1112" s="8" t="str">
        <f ca="1">IFERROR(__xludf.DUMMYFUNCTION("""COMPUTED_VALUE"""),"20220311OHFAP")</f>
        <v>20220311OHFAP</v>
      </c>
      <c r="B1112" s="8">
        <f ca="1">IFERROR(__xludf.DUMMYFUNCTION("""COMPUTED_VALUE"""),3)</f>
        <v>3</v>
      </c>
      <c r="C1112" s="8">
        <f ca="1">IFERROR(__xludf.DUMMYFUNCTION("""COMPUTED_VALUE"""),11)</f>
        <v>11</v>
      </c>
      <c r="D1112" s="8">
        <f ca="1">IFERROR(__xludf.DUMMYFUNCTION("""COMPUTED_VALUE"""),2022)</f>
        <v>2022</v>
      </c>
      <c r="E1112" s="9">
        <f ca="1">IFERROR(__xludf.DUMMYFUNCTION("""COMPUTED_VALUE"""),44631)</f>
        <v>44631</v>
      </c>
      <c r="F1112" s="8" t="str">
        <f ca="1">IFERROR(__xludf.DUMMYFUNCTION("""COMPUTED_VALUE"""),"Fairland Middle School")</f>
        <v>Fairland Middle School</v>
      </c>
      <c r="G1112" s="8">
        <f ca="1">IFERROR(__xludf.DUMMYFUNCTION("""COMPUTED_VALUE"""),0)</f>
        <v>0</v>
      </c>
      <c r="H1112" s="8">
        <f ca="1">IFERROR(__xludf.DUMMYFUNCTION("""COMPUTED_VALUE"""),0)</f>
        <v>0</v>
      </c>
      <c r="I1112" s="8">
        <f ca="1">IFERROR(__xludf.DUMMYFUNCTION("""COMPUTED_VALUE"""),0)</f>
        <v>0</v>
      </c>
      <c r="J1112" s="8">
        <f ca="1">IFERROR(__xludf.DUMMYFUNCTION("""COMPUTED_VALUE"""),0)</f>
        <v>0</v>
      </c>
      <c r="K1112" s="10" t="str">
        <f ca="1">IFERROR(__xludf.DUMMYFUNCTION("""COMPUTED_VALUE"""),"https://www.wsaz.com/2022/03/11/school-lockdown-lifted-following-robbery-shots-fired-lawrence-county-fairgrounds/")</f>
        <v>https://www.wsaz.com/2022/03/11/school-lockdown-lifted-following-robbery-shots-fired-lawrence-county-fairgrounds/</v>
      </c>
      <c r="L1112" s="8">
        <f ca="1">IFERROR(__xludf.DUMMYFUNCTION("""COMPUTED_VALUE"""),4)</f>
        <v>4</v>
      </c>
      <c r="M1112" s="8" t="str">
        <f ca="1">IFERROR(__xludf.DUMMYFUNCTION("""COMPUTED_VALUE"""),"Local")</f>
        <v>Local</v>
      </c>
      <c r="N1112" s="8">
        <f ca="1">IFERROR(__xludf.DUMMYFUNCTION("""COMPUTED_VALUE"""),4)</f>
        <v>4</v>
      </c>
      <c r="O1112" s="8" t="str">
        <f ca="1">IFERROR(__xludf.DUMMYFUNCTION("""COMPUTED_VALUE"""),"Spring")</f>
        <v>Spring</v>
      </c>
      <c r="P1112" s="8" t="str">
        <f ca="1">IFERROR(__xludf.DUMMYFUNCTION("""COMPUTED_VALUE"""),"Proctorville")</f>
        <v>Proctorville</v>
      </c>
      <c r="Q1112" s="8" t="str">
        <f ca="1">IFERROR(__xludf.DUMMYFUNCTION("""COMPUTED_VALUE"""),"OH")</f>
        <v>OH</v>
      </c>
      <c r="R1112" s="8" t="str">
        <f ca="1">IFERROR(__xludf.DUMMYFUNCTION("""COMPUTED_VALUE"""),"Middle")</f>
        <v>Middle</v>
      </c>
      <c r="S1112" s="8" t="str">
        <f ca="1">IFERROR(__xludf.DUMMYFUNCTION("""COMPUTED_VALUE"""),"Outside on School Property")</f>
        <v>Outside on School Property</v>
      </c>
      <c r="T1112" s="8" t="str">
        <f ca="1">IFERROR(__xludf.DUMMYFUNCTION("""COMPUTED_VALUE"""),"Off School Property")</f>
        <v>Off School Property</v>
      </c>
      <c r="U1112" s="8" t="str">
        <f ca="1">IFERROR(__xludf.DUMMYFUNCTION("""COMPUTED_VALUE"""),"Yes")</f>
        <v>Yes</v>
      </c>
      <c r="V1112" s="8" t="str">
        <f ca="1">IFERROR(__xludf.DUMMYFUNCTION("""COMPUTED_VALUE"""),"Lunch")</f>
        <v>Lunch</v>
      </c>
      <c r="W1112" s="11">
        <f ca="1">IFERROR(__xludf.DUMMYFUNCTION("""COMPUTED_VALUE"""),0.5)</f>
        <v>0.5</v>
      </c>
      <c r="X1112" s="8">
        <f ca="1">IFERROR(__xludf.DUMMYFUNCTION("""COMPUTED_VALUE"""),1)</f>
        <v>1</v>
      </c>
      <c r="Y1112" s="12" t="str">
        <f ca="1">IFERROR(__xludf.DUMMYFUNCTION("""COMPUTED_VALUE"""),"Fair employee fired three shots at fleeing robber climbing fence to school property")</f>
        <v>Fair employee fired three shots at fleeing robber climbing fence to school property</v>
      </c>
      <c r="Z1112" s="12" t="str">
        <f ca="1">IFERROR(__xludf.DUMMYFUNCTION("""COMPUTED_VALUE"""),"A man attempted to rob a trailer at the state fairground next to the school. A fair employee chased him and when he tried to climb the fence between the fairground and neighboring school, the employee fired 3 shots at him. School went into lockdown. Fair "&amp;"employee charged with firing a weapon in a school zone.")</f>
        <v>A man attempted to rob a trailer at the state fairground next to the school. A fair employee chased him and when he tried to climb the fence between the fairground and neighboring school, the employee fired 3 shots at him. School went into lockdown. Fair employee charged with firing a weapon in a school zone.</v>
      </c>
      <c r="AA1112" s="8" t="str">
        <f ca="1">IFERROR(__xludf.DUMMYFUNCTION("""COMPUTED_VALUE"""),"Illegal Activity")</f>
        <v>Illegal Activity</v>
      </c>
      <c r="AB1112" s="8"/>
      <c r="AC1112" s="8" t="str">
        <f ca="1">IFERROR(__xludf.DUMMYFUNCTION("""COMPUTED_VALUE"""),"Yes")</f>
        <v>Yes</v>
      </c>
      <c r="AD1112" s="8" t="str">
        <f ca="1">IFERROR(__xludf.DUMMYFUNCTION("""COMPUTED_VALUE"""),"Victims Targeted")</f>
        <v>Victims Targeted</v>
      </c>
      <c r="AE1112" s="8" t="str">
        <f ca="1">IFERROR(__xludf.DUMMYFUNCTION("""COMPUTED_VALUE"""),"No")</f>
        <v>No</v>
      </c>
      <c r="AF1112" s="8"/>
      <c r="AG1112" s="8" t="str">
        <f ca="1">IFERROR(__xludf.DUMMYFUNCTION("""COMPUTED_VALUE"""),"No")</f>
        <v>No</v>
      </c>
      <c r="AH1112" s="8" t="str">
        <f ca="1">IFERROR(__xludf.DUMMYFUNCTION("""COMPUTED_VALUE"""),"No")</f>
        <v>No</v>
      </c>
      <c r="AI1112" s="8" t="str">
        <f ca="1">IFERROR(__xludf.DUMMYFUNCTION("""COMPUTED_VALUE"""),"No")</f>
        <v>No</v>
      </c>
      <c r="AJ1112" s="8" t="str">
        <f ca="1">IFERROR(__xludf.DUMMYFUNCTION("""COMPUTED_VALUE"""),"No")</f>
        <v>No</v>
      </c>
      <c r="AK1112" s="8" t="str">
        <f ca="1">IFERROR(__xludf.DUMMYFUNCTION("""COMPUTED_VALUE"""),"No")</f>
        <v>No</v>
      </c>
      <c r="AL1112" s="8" t="str">
        <f ca="1">IFERROR(__xludf.DUMMYFUNCTION("""COMPUTED_VALUE"""),"No")</f>
        <v>No</v>
      </c>
      <c r="AM1112" s="8" t="str">
        <f ca="1">IFERROR(__xludf.DUMMYFUNCTION("""COMPUTED_VALUE"""),"No")</f>
        <v>No</v>
      </c>
      <c r="AN1112" s="8"/>
      <c r="AO1112" s="8" t="str">
        <f ca="1">IFERROR(__xludf.DUMMYFUNCTION("""COMPUTED_VALUE"""),"No")</f>
        <v>No</v>
      </c>
      <c r="AP1112" s="8"/>
      <c r="AQ1112" s="8"/>
      <c r="AR1112" s="8"/>
      <c r="AS1112" s="8">
        <f ca="1">IFERROR(__xludf.DUMMYFUNCTION("""COMPUTED_VALUE"""),3)</f>
        <v>3</v>
      </c>
      <c r="AT1112" s="8" t="str">
        <f ca="1">IFERROR(__xludf.DUMMYFUNCTION("""COMPUTED_VALUE"""),"Yes")</f>
        <v>Yes</v>
      </c>
      <c r="AU1112" s="8">
        <f ca="1">IFERROR(__xludf.DUMMYFUNCTION("""COMPUTED_VALUE"""),38.44332)</f>
        <v>38.44332</v>
      </c>
      <c r="AV1112" s="8">
        <f ca="1">IFERROR(__xludf.DUMMYFUNCTION("""COMPUTED_VALUE"""),-82.358839)</f>
        <v>-82.358839000000003</v>
      </c>
      <c r="AW1112" s="8"/>
      <c r="AX1112" s="8">
        <f ca="1">IFERROR(__xludf.DUMMYFUNCTION("""COMPUTED_VALUE"""),45669)</f>
        <v>45669</v>
      </c>
    </row>
    <row r="1113" spans="1:50" ht="45" x14ac:dyDescent="0.2">
      <c r="A1113" s="8" t="str">
        <f ca="1">IFERROR(__xludf.DUMMYFUNCTION("""COMPUTED_VALUE"""),"20220311CADER")</f>
        <v>20220311CADER</v>
      </c>
      <c r="B1113" s="8">
        <f ca="1">IFERROR(__xludf.DUMMYFUNCTION("""COMPUTED_VALUE"""),3)</f>
        <v>3</v>
      </c>
      <c r="C1113" s="8">
        <f ca="1">IFERROR(__xludf.DUMMYFUNCTION("""COMPUTED_VALUE"""),11)</f>
        <v>11</v>
      </c>
      <c r="D1113" s="8">
        <f ca="1">IFERROR(__xludf.DUMMYFUNCTION("""COMPUTED_VALUE"""),2022)</f>
        <v>2022</v>
      </c>
      <c r="E1113" s="9">
        <f ca="1">IFERROR(__xludf.DUMMYFUNCTION("""COMPUTED_VALUE"""),44631)</f>
        <v>44631</v>
      </c>
      <c r="F1113" s="8" t="str">
        <f ca="1">IFERROR(__xludf.DUMMYFUNCTION("""COMPUTED_VALUE"""),"De Anza High School")</f>
        <v>De Anza High School</v>
      </c>
      <c r="G1113" s="8">
        <f ca="1">IFERROR(__xludf.DUMMYFUNCTION("""COMPUTED_VALUE"""),0)</f>
        <v>0</v>
      </c>
      <c r="H1113" s="8">
        <f ca="1">IFERROR(__xludf.DUMMYFUNCTION("""COMPUTED_VALUE"""),1)</f>
        <v>1</v>
      </c>
      <c r="I1113" s="8">
        <f ca="1">IFERROR(__xludf.DUMMYFUNCTION("""COMPUTED_VALUE"""),1)</f>
        <v>1</v>
      </c>
      <c r="J1113" s="8">
        <f ca="1">IFERROR(__xludf.DUMMYFUNCTION("""COMPUTED_VALUE"""),0)</f>
        <v>0</v>
      </c>
      <c r="K1113" s="8" t="str">
        <f ca="1">IFERROR(__xludf.DUMMYFUNCTION("""COMPUTED_VALUE"""),"https://abc7news.com/deanza-high-school-richmond-shooting-east-bay/11644368/ https://richmondstandard.com/richmond/2022/03/11/richmond-police-investigate-shooting-at-de-anza-high/")</f>
        <v>https://abc7news.com/deanza-high-school-richmond-shooting-east-bay/11644368/ https://richmondstandard.com/richmond/2022/03/11/richmond-police-investigate-shooting-at-de-anza-high/</v>
      </c>
      <c r="L1113" s="8">
        <f ca="1">IFERROR(__xludf.DUMMYFUNCTION("""COMPUTED_VALUE"""),2)</f>
        <v>2</v>
      </c>
      <c r="M1113" s="8" t="str">
        <f ca="1">IFERROR(__xludf.DUMMYFUNCTION("""COMPUTED_VALUE"""),"Local")</f>
        <v>Local</v>
      </c>
      <c r="N1113" s="8">
        <f ca="1">IFERROR(__xludf.DUMMYFUNCTION("""COMPUTED_VALUE"""),4)</f>
        <v>4</v>
      </c>
      <c r="O1113" s="8" t="str">
        <f ca="1">IFERROR(__xludf.DUMMYFUNCTION("""COMPUTED_VALUE"""),"Spring")</f>
        <v>Spring</v>
      </c>
      <c r="P1113" s="8" t="str">
        <f ca="1">IFERROR(__xludf.DUMMYFUNCTION("""COMPUTED_VALUE"""),"Richmond")</f>
        <v>Richmond</v>
      </c>
      <c r="Q1113" s="8" t="str">
        <f ca="1">IFERROR(__xludf.DUMMYFUNCTION("""COMPUTED_VALUE"""),"CA")</f>
        <v>CA</v>
      </c>
      <c r="R1113" s="8" t="str">
        <f ca="1">IFERROR(__xludf.DUMMYFUNCTION("""COMPUTED_VALUE"""),"High")</f>
        <v>High</v>
      </c>
      <c r="S1113" s="8" t="str">
        <f ca="1">IFERROR(__xludf.DUMMYFUNCTION("""COMPUTED_VALUE"""),"Outside on School Property")</f>
        <v>Outside on School Property</v>
      </c>
      <c r="T1113" s="8" t="str">
        <f ca="1">IFERROR(__xludf.DUMMYFUNCTION("""COMPUTED_VALUE"""),"Outside on School Property")</f>
        <v>Outside on School Property</v>
      </c>
      <c r="U1113" s="8" t="str">
        <f ca="1">IFERROR(__xludf.DUMMYFUNCTION("""COMPUTED_VALUE"""),"Yes")</f>
        <v>Yes</v>
      </c>
      <c r="V1113" s="8" t="str">
        <f ca="1">IFERROR(__xludf.DUMMYFUNCTION("""COMPUTED_VALUE"""),"Dismissal")</f>
        <v>Dismissal</v>
      </c>
      <c r="W1113" s="11">
        <f ca="1">IFERROR(__xludf.DUMMYFUNCTION("""COMPUTED_VALUE"""),0.625)</f>
        <v>0.625</v>
      </c>
      <c r="X1113" s="8">
        <f ca="1">IFERROR(__xludf.DUMMYFUNCTION("""COMPUTED_VALUE"""),1)</f>
        <v>1</v>
      </c>
      <c r="Y1113" s="12" t="str">
        <f ca="1">IFERROR(__xludf.DUMMYFUNCTION("""COMPUTED_VALUE"""),"Shots fired during fight at dismissal")</f>
        <v>Shots fired during fight at dismissal</v>
      </c>
      <c r="Z1113" s="12" t="str">
        <f ca="1">IFERROR(__xludf.DUMMYFUNCTION("""COMPUTED_VALUE"""),"Shots fired during a fight at dismissal. No students or staff were struck. One student was injured from the fight. Shooter fled.")</f>
        <v>Shots fired during a fight at dismissal. No students or staff were struck. One student was injured from the fight. Shooter fled.</v>
      </c>
      <c r="AA1113" s="8" t="str">
        <f ca="1">IFERROR(__xludf.DUMMYFUNCTION("""COMPUTED_VALUE"""),"Escalation of Dispute")</f>
        <v>Escalation of Dispute</v>
      </c>
      <c r="AB1113" s="8"/>
      <c r="AC1113" s="8" t="str">
        <f ca="1">IFERROR(__xludf.DUMMYFUNCTION("""COMPUTED_VALUE"""),"Yes")</f>
        <v>Yes</v>
      </c>
      <c r="AD1113" s="8" t="str">
        <f ca="1">IFERROR(__xludf.DUMMYFUNCTION("""COMPUTED_VALUE"""),"Both")</f>
        <v>Both</v>
      </c>
      <c r="AE1113" s="8" t="str">
        <f ca="1">IFERROR(__xludf.DUMMYFUNCTION("""COMPUTED_VALUE"""),"No")</f>
        <v>No</v>
      </c>
      <c r="AF1113" s="8"/>
      <c r="AG1113" s="8" t="str">
        <f ca="1">IFERROR(__xludf.DUMMYFUNCTION("""COMPUTED_VALUE"""),"No")</f>
        <v>No</v>
      </c>
      <c r="AH1113" s="8" t="str">
        <f ca="1">IFERROR(__xludf.DUMMYFUNCTION("""COMPUTED_VALUE"""),"No")</f>
        <v>No</v>
      </c>
      <c r="AI1113" s="8" t="str">
        <f ca="1">IFERROR(__xludf.DUMMYFUNCTION("""COMPUTED_VALUE"""),"No")</f>
        <v>No</v>
      </c>
      <c r="AJ1113" s="8" t="str">
        <f ca="1">IFERROR(__xludf.DUMMYFUNCTION("""COMPUTED_VALUE"""),"No")</f>
        <v>No</v>
      </c>
      <c r="AK1113" s="8" t="str">
        <f ca="1">IFERROR(__xludf.DUMMYFUNCTION("""COMPUTED_VALUE"""),"No")</f>
        <v>No</v>
      </c>
      <c r="AL1113" s="8"/>
      <c r="AM1113" s="8" t="str">
        <f ca="1">IFERROR(__xludf.DUMMYFUNCTION("""COMPUTED_VALUE"""),"No")</f>
        <v>No</v>
      </c>
      <c r="AN1113" s="8"/>
      <c r="AO1113" s="8" t="str">
        <f ca="1">IFERROR(__xludf.DUMMYFUNCTION("""COMPUTED_VALUE"""),"No")</f>
        <v>No</v>
      </c>
      <c r="AP1113" s="8"/>
      <c r="AQ1113" s="8"/>
      <c r="AR1113" s="8" t="str">
        <f ca="1">IFERROR(__xludf.DUMMYFUNCTION("""COMPUTED_VALUE"""),"Outside/Off-Property")</f>
        <v>Outside/Off-Property</v>
      </c>
      <c r="AS1113" s="8">
        <f ca="1">IFERROR(__xludf.DUMMYFUNCTION("""COMPUTED_VALUE"""),99)</f>
        <v>99</v>
      </c>
      <c r="AT1113" s="8" t="str">
        <f ca="1">IFERROR(__xludf.DUMMYFUNCTION("""COMPUTED_VALUE"""),"No")</f>
        <v>No</v>
      </c>
      <c r="AU1113" s="8">
        <f ca="1">IFERROR(__xludf.DUMMYFUNCTION("""COMPUTED_VALUE"""),37.969988)</f>
        <v>37.969988000000001</v>
      </c>
      <c r="AV1113" s="8">
        <f ca="1">IFERROR(__xludf.DUMMYFUNCTION("""COMPUTED_VALUE"""),-122.287892)</f>
        <v>-122.287892</v>
      </c>
      <c r="AW1113" s="8"/>
      <c r="AX1113" s="8">
        <f ca="1">IFERROR(__xludf.DUMMYFUNCTION("""COMPUTED_VALUE"""),94803)</f>
        <v>94803</v>
      </c>
    </row>
    <row r="1114" spans="1:50" ht="60" x14ac:dyDescent="0.2">
      <c r="A1114" s="8" t="str">
        <f ca="1">IFERROR(__xludf.DUMMYFUNCTION("""COMPUTED_VALUE"""),"20220310TNHAM")</f>
        <v>20220310TNHAM</v>
      </c>
      <c r="B1114" s="8">
        <f ca="1">IFERROR(__xludf.DUMMYFUNCTION("""COMPUTED_VALUE"""),3)</f>
        <v>3</v>
      </c>
      <c r="C1114" s="8">
        <f ca="1">IFERROR(__xludf.DUMMYFUNCTION("""COMPUTED_VALUE"""),10)</f>
        <v>10</v>
      </c>
      <c r="D1114" s="8">
        <f ca="1">IFERROR(__xludf.DUMMYFUNCTION("""COMPUTED_VALUE"""),2022)</f>
        <v>2022</v>
      </c>
      <c r="E1114" s="9">
        <f ca="1">IFERROR(__xludf.DUMMYFUNCTION("""COMPUTED_VALUE"""),44630)</f>
        <v>44630</v>
      </c>
      <c r="F1114" s="8" t="str">
        <f ca="1">IFERROR(__xludf.DUMMYFUNCTION("""COMPUTED_VALUE"""),"Hamilton Middle School")</f>
        <v>Hamilton Middle School</v>
      </c>
      <c r="G1114" s="8">
        <f ca="1">IFERROR(__xludf.DUMMYFUNCTION("""COMPUTED_VALUE"""),0)</f>
        <v>0</v>
      </c>
      <c r="H1114" s="8">
        <f ca="1">IFERROR(__xludf.DUMMYFUNCTION("""COMPUTED_VALUE"""),0)</f>
        <v>0</v>
      </c>
      <c r="I1114" s="8">
        <f ca="1">IFERROR(__xludf.DUMMYFUNCTION("""COMPUTED_VALUE"""),0)</f>
        <v>0</v>
      </c>
      <c r="J1114" s="8">
        <f ca="1">IFERROR(__xludf.DUMMYFUNCTION("""COMPUTED_VALUE"""),0)</f>
        <v>0</v>
      </c>
      <c r="K1114" s="10" t="str">
        <f ca="1">IFERROR(__xludf.DUMMYFUNCTION("""COMPUTED_VALUE"""),"https://www.actionnews5.com/2022/03/11/memphis-mother-accused-pointing-gun-5-children-outside-school/")</f>
        <v>https://www.actionnews5.com/2022/03/11/memphis-mother-accused-pointing-gun-5-children-outside-school/</v>
      </c>
      <c r="L1114" s="8">
        <f ca="1">IFERROR(__xludf.DUMMYFUNCTION("""COMPUTED_VALUE"""),1)</f>
        <v>1</v>
      </c>
      <c r="M1114" s="8" t="str">
        <f ca="1">IFERROR(__xludf.DUMMYFUNCTION("""COMPUTED_VALUE"""),"Local")</f>
        <v>Local</v>
      </c>
      <c r="N1114" s="8">
        <f ca="1">IFERROR(__xludf.DUMMYFUNCTION("""COMPUTED_VALUE"""),3)</f>
        <v>3</v>
      </c>
      <c r="O1114" s="8" t="str">
        <f ca="1">IFERROR(__xludf.DUMMYFUNCTION("""COMPUTED_VALUE"""),"Spring")</f>
        <v>Spring</v>
      </c>
      <c r="P1114" s="8" t="str">
        <f ca="1">IFERROR(__xludf.DUMMYFUNCTION("""COMPUTED_VALUE"""),"Memphis")</f>
        <v>Memphis</v>
      </c>
      <c r="Q1114" s="8" t="str">
        <f ca="1">IFERROR(__xludf.DUMMYFUNCTION("""COMPUTED_VALUE"""),"TN")</f>
        <v>TN</v>
      </c>
      <c r="R1114" s="8" t="str">
        <f ca="1">IFERROR(__xludf.DUMMYFUNCTION("""COMPUTED_VALUE"""),"K-8")</f>
        <v>K-8</v>
      </c>
      <c r="S1114" s="8" t="str">
        <f ca="1">IFERROR(__xludf.DUMMYFUNCTION("""COMPUTED_VALUE"""),"Front of School")</f>
        <v>Front of School</v>
      </c>
      <c r="T1114" s="8" t="str">
        <f ca="1">IFERROR(__xludf.DUMMYFUNCTION("""COMPUTED_VALUE"""),"Outside on School Property")</f>
        <v>Outside on School Property</v>
      </c>
      <c r="U1114" s="8" t="str">
        <f ca="1">IFERROR(__xludf.DUMMYFUNCTION("""COMPUTED_VALUE"""),"Yes")</f>
        <v>Yes</v>
      </c>
      <c r="V1114" s="8" t="str">
        <f ca="1">IFERROR(__xludf.DUMMYFUNCTION("""COMPUTED_VALUE"""),"School Start")</f>
        <v>School Start</v>
      </c>
      <c r="W1114" s="11">
        <f ca="1">IFERROR(__xludf.DUMMYFUNCTION("""COMPUTED_VALUE"""),0.333333333333333)</f>
        <v>0.33333333333333298</v>
      </c>
      <c r="X1114" s="8">
        <f ca="1">IFERROR(__xludf.DUMMYFUNCTION("""COMPUTED_VALUE"""),1)</f>
        <v>1</v>
      </c>
      <c r="Y1114" s="12" t="str">
        <f ca="1">IFERROR(__xludf.DUMMYFUNCTION("""COMPUTED_VALUE"""),"Mother threatened 5 students with gun during argument")</f>
        <v>Mother threatened 5 students with gun during argument</v>
      </c>
      <c r="Z1114" s="12" t="str">
        <f ca="1">IFERROR(__xludf.DUMMYFUNCTION("""COMPUTED_VALUE"""),"A parent pointed a handgun at and threatened 5 students during an argument in front of the school. Arrested and charged with 5 counts of aggravated assault. Admitted pointing handgun at students to police.")</f>
        <v>A parent pointed a handgun at and threatened 5 students during an argument in front of the school. Arrested and charged with 5 counts of aggravated assault. Admitted pointing handgun at students to police.</v>
      </c>
      <c r="AA1114" s="8" t="str">
        <f ca="1">IFERROR(__xludf.DUMMYFUNCTION("""COMPUTED_VALUE"""),"Escalation of Dispute")</f>
        <v>Escalation of Dispute</v>
      </c>
      <c r="AB1114" s="8"/>
      <c r="AC1114" s="8" t="str">
        <f ca="1">IFERROR(__xludf.DUMMYFUNCTION("""COMPUTED_VALUE"""),"Yes")</f>
        <v>Yes</v>
      </c>
      <c r="AD1114" s="8" t="str">
        <f ca="1">IFERROR(__xludf.DUMMYFUNCTION("""COMPUTED_VALUE"""),"Victims Targeted")</f>
        <v>Victims Targeted</v>
      </c>
      <c r="AE1114" s="8" t="str">
        <f ca="1">IFERROR(__xludf.DUMMYFUNCTION("""COMPUTED_VALUE"""),"No")</f>
        <v>No</v>
      </c>
      <c r="AF1114" s="8"/>
      <c r="AG1114" s="8" t="str">
        <f ca="1">IFERROR(__xludf.DUMMYFUNCTION("""COMPUTED_VALUE"""),"No")</f>
        <v>No</v>
      </c>
      <c r="AH1114" s="8" t="str">
        <f ca="1">IFERROR(__xludf.DUMMYFUNCTION("""COMPUTED_VALUE"""),"No")</f>
        <v>No</v>
      </c>
      <c r="AI1114" s="8" t="str">
        <f ca="1">IFERROR(__xludf.DUMMYFUNCTION("""COMPUTED_VALUE"""),"No")</f>
        <v>No</v>
      </c>
      <c r="AJ1114" s="8" t="str">
        <f ca="1">IFERROR(__xludf.DUMMYFUNCTION("""COMPUTED_VALUE"""),"No")</f>
        <v>No</v>
      </c>
      <c r="AK1114" s="8" t="str">
        <f ca="1">IFERROR(__xludf.DUMMYFUNCTION("""COMPUTED_VALUE"""),"NO")</f>
        <v>NO</v>
      </c>
      <c r="AL1114" s="8" t="str">
        <f ca="1">IFERROR(__xludf.DUMMYFUNCTION("""COMPUTED_VALUE"""),"No")</f>
        <v>No</v>
      </c>
      <c r="AM1114" s="8" t="str">
        <f ca="1">IFERROR(__xludf.DUMMYFUNCTION("""COMPUTED_VALUE"""),"No")</f>
        <v>No</v>
      </c>
      <c r="AN1114" s="8"/>
      <c r="AO1114" s="8" t="str">
        <f ca="1">IFERROR(__xludf.DUMMYFUNCTION("""COMPUTED_VALUE"""),"No")</f>
        <v>No</v>
      </c>
      <c r="AP1114" s="8"/>
      <c r="AQ1114" s="8"/>
      <c r="AR1114" s="8" t="str">
        <f ca="1">IFERROR(__xludf.DUMMYFUNCTION("""COMPUTED_VALUE"""),"Outside/Off-Property")</f>
        <v>Outside/Off-Property</v>
      </c>
      <c r="AS1114" s="8">
        <f ca="1">IFERROR(__xludf.DUMMYFUNCTION("""COMPUTED_VALUE"""),0)</f>
        <v>0</v>
      </c>
      <c r="AT1114" s="8" t="str">
        <f ca="1">IFERROR(__xludf.DUMMYFUNCTION("""COMPUTED_VALUE"""),"No")</f>
        <v>No</v>
      </c>
      <c r="AU1114" s="8">
        <f ca="1">IFERROR(__xludf.DUMMYFUNCTION("""COMPUTED_VALUE"""),35.105192)</f>
        <v>35.105192000000002</v>
      </c>
      <c r="AV1114" s="8">
        <f ca="1">IFERROR(__xludf.DUMMYFUNCTION("""COMPUTED_VALUE"""),-90.018258)</f>
        <v>-90.018258000000003</v>
      </c>
      <c r="AW1114" s="8"/>
      <c r="AX1114" s="8">
        <f ca="1">IFERROR(__xludf.DUMMYFUNCTION("""COMPUTED_VALUE"""),38106)</f>
        <v>38106</v>
      </c>
    </row>
    <row r="1115" spans="1:50" ht="60" x14ac:dyDescent="0.2">
      <c r="A1115" s="8" t="str">
        <f ca="1">IFERROR(__xludf.DUMMYFUNCTION("""COMPUTED_VALUE"""),"20220310MDCOL")</f>
        <v>20220310MDCOL</v>
      </c>
      <c r="B1115" s="8">
        <f ca="1">IFERROR(__xludf.DUMMYFUNCTION("""COMPUTED_VALUE"""),3)</f>
        <v>3</v>
      </c>
      <c r="C1115" s="8">
        <f ca="1">IFERROR(__xludf.DUMMYFUNCTION("""COMPUTED_VALUE"""),10)</f>
        <v>10</v>
      </c>
      <c r="D1115" s="8">
        <f ca="1">IFERROR(__xludf.DUMMYFUNCTION("""COMPUTED_VALUE"""),2022)</f>
        <v>2022</v>
      </c>
      <c r="E1115" s="9">
        <f ca="1">IFERROR(__xludf.DUMMYFUNCTION("""COMPUTED_VALUE"""),44630)</f>
        <v>44630</v>
      </c>
      <c r="F1115" s="8" t="str">
        <f ca="1">IFERROR(__xludf.DUMMYFUNCTION("""COMPUTED_VALUE"""),"Cora L. Rice Elementary School")</f>
        <v>Cora L. Rice Elementary School</v>
      </c>
      <c r="G1115" s="8">
        <f ca="1">IFERROR(__xludf.DUMMYFUNCTION("""COMPUTED_VALUE"""),1)</f>
        <v>1</v>
      </c>
      <c r="H1115" s="8">
        <f ca="1">IFERROR(__xludf.DUMMYFUNCTION("""COMPUTED_VALUE"""),0)</f>
        <v>0</v>
      </c>
      <c r="I1115" s="8">
        <f ca="1">IFERROR(__xludf.DUMMYFUNCTION("""COMPUTED_VALUE"""),1)</f>
        <v>1</v>
      </c>
      <c r="J1115" s="8">
        <f ca="1">IFERROR(__xludf.DUMMYFUNCTION("""COMPUTED_VALUE"""),0)</f>
        <v>0</v>
      </c>
      <c r="K1115" s="8" t="str">
        <f ca="1">IFERROR(__xludf.DUMMYFUNCTION("""COMPUTED_VALUE"""),"https://www.msn.com/en-us/news/crime/police-landover-man-shot-and-killed-near-2-schools/ar-AAURf9G https://www.wusa9.com/article/news/local/maryland/man-killed-in-landover-shooting/65-14761c21-3931-4aca-b867-6dff6b6a163c")</f>
        <v>https://www.msn.com/en-us/news/crime/police-landover-man-shot-and-killed-near-2-schools/ar-AAURf9G https://www.wusa9.com/article/news/local/maryland/man-killed-in-landover-shooting/65-14761c21-3931-4aca-b867-6dff6b6a163c</v>
      </c>
      <c r="L1115" s="8">
        <f ca="1">IFERROR(__xludf.DUMMYFUNCTION("""COMPUTED_VALUE"""),2)</f>
        <v>2</v>
      </c>
      <c r="M1115" s="8" t="str">
        <f ca="1">IFERROR(__xludf.DUMMYFUNCTION("""COMPUTED_VALUE"""),"Local")</f>
        <v>Local</v>
      </c>
      <c r="N1115" s="8">
        <f ca="1">IFERROR(__xludf.DUMMYFUNCTION("""COMPUTED_VALUE"""),3)</f>
        <v>3</v>
      </c>
      <c r="O1115" s="8" t="str">
        <f ca="1">IFERROR(__xludf.DUMMYFUNCTION("""COMPUTED_VALUE"""),"Spring")</f>
        <v>Spring</v>
      </c>
      <c r="P1115" s="8" t="str">
        <f ca="1">IFERROR(__xludf.DUMMYFUNCTION("""COMPUTED_VALUE"""),"Landover")</f>
        <v>Landover</v>
      </c>
      <c r="Q1115" s="8" t="str">
        <f ca="1">IFERROR(__xludf.DUMMYFUNCTION("""COMPUTED_VALUE"""),"MD")</f>
        <v>MD</v>
      </c>
      <c r="R1115" s="8" t="str">
        <f ca="1">IFERROR(__xludf.DUMMYFUNCTION("""COMPUTED_VALUE"""),"Elementary")</f>
        <v>Elementary</v>
      </c>
      <c r="S1115" s="8" t="str">
        <f ca="1">IFERROR(__xludf.DUMMYFUNCTION("""COMPUTED_VALUE"""),"Front of School")</f>
        <v>Front of School</v>
      </c>
      <c r="T1115" s="8" t="str">
        <f ca="1">IFERROR(__xludf.DUMMYFUNCTION("""COMPUTED_VALUE"""),"Outside on School Property")</f>
        <v>Outside on School Property</v>
      </c>
      <c r="U1115" s="8" t="str">
        <f ca="1">IFERROR(__xludf.DUMMYFUNCTION("""COMPUTED_VALUE"""),"Yes")</f>
        <v>Yes</v>
      </c>
      <c r="V1115" s="8" t="str">
        <f ca="1">IFERROR(__xludf.DUMMYFUNCTION("""COMPUTED_VALUE"""),"Dismissal")</f>
        <v>Dismissal</v>
      </c>
      <c r="W1115" s="11">
        <f ca="1">IFERROR(__xludf.DUMMYFUNCTION("""COMPUTED_VALUE"""),0.09375)</f>
        <v>9.375E-2</v>
      </c>
      <c r="X1115" s="8">
        <f ca="1">IFERROR(__xludf.DUMMYFUNCTION("""COMPUTED_VALUE"""),1)</f>
        <v>1</v>
      </c>
      <c r="Y1115" s="12" t="str">
        <f ca="1">IFERROR(__xludf.DUMMYFUNCTION("""COMPUTED_VALUE"""),"Adult man killed and school bus struck by bullet at dismissal")</f>
        <v>Adult man killed and school bus struck by bullet at dismissal</v>
      </c>
      <c r="Z1115" s="12" t="str">
        <f ca="1">IFERROR(__xludf.DUMMYFUNCTION("""COMPUTED_VALUE"""),"An adult male was fatally shot and a parked school bus and other cars in front of the school were damaged by bullets. Shooting occurred at dismissal while children were outside and walking home. Shooter fled.")</f>
        <v>An adult male was fatally shot and a parked school bus and other cars in front of the school were damaged by bullets. Shooting occurred at dismissal while children were outside and walking home. Shooter fled.</v>
      </c>
      <c r="AA1115" s="8"/>
      <c r="AB1115" s="8"/>
      <c r="AC1115" s="8" t="str">
        <f ca="1">IFERROR(__xludf.DUMMYFUNCTION("""COMPUTED_VALUE"""),"Yes")</f>
        <v>Yes</v>
      </c>
      <c r="AD1115" s="8" t="str">
        <f ca="1">IFERROR(__xludf.DUMMYFUNCTION("""COMPUTED_VALUE"""),"Victims Targeted")</f>
        <v>Victims Targeted</v>
      </c>
      <c r="AE1115" s="8" t="str">
        <f ca="1">IFERROR(__xludf.DUMMYFUNCTION("""COMPUTED_VALUE"""),"No")</f>
        <v>No</v>
      </c>
      <c r="AF1115" s="8"/>
      <c r="AG1115" s="8" t="str">
        <f ca="1">IFERROR(__xludf.DUMMYFUNCTION("""COMPUTED_VALUE"""),"No")</f>
        <v>No</v>
      </c>
      <c r="AH1115" s="8" t="str">
        <f ca="1">IFERROR(__xludf.DUMMYFUNCTION("""COMPUTED_VALUE"""),"No")</f>
        <v>No</v>
      </c>
      <c r="AI1115" s="8" t="str">
        <f ca="1">IFERROR(__xludf.DUMMYFUNCTION("""COMPUTED_VALUE"""),"No")</f>
        <v>No</v>
      </c>
      <c r="AJ1115" s="8" t="str">
        <f ca="1">IFERROR(__xludf.DUMMYFUNCTION("""COMPUTED_VALUE"""),"No")</f>
        <v>No</v>
      </c>
      <c r="AK1115" s="8" t="str">
        <f ca="1">IFERROR(__xludf.DUMMYFUNCTION("""COMPUTED_VALUE"""),"No")</f>
        <v>No</v>
      </c>
      <c r="AL1115" s="8"/>
      <c r="AM1115" s="8" t="str">
        <f ca="1">IFERROR(__xludf.DUMMYFUNCTION("""COMPUTED_VALUE"""),"No")</f>
        <v>No</v>
      </c>
      <c r="AN1115" s="8"/>
      <c r="AO1115" s="8" t="str">
        <f ca="1">IFERROR(__xludf.DUMMYFUNCTION("""COMPUTED_VALUE"""),"No")</f>
        <v>No</v>
      </c>
      <c r="AP1115" s="8"/>
      <c r="AQ1115" s="8"/>
      <c r="AR1115" s="8" t="str">
        <f ca="1">IFERROR(__xludf.DUMMYFUNCTION("""COMPUTED_VALUE"""),"Outside/Off-Property")</f>
        <v>Outside/Off-Property</v>
      </c>
      <c r="AS1115" s="8">
        <f ca="1">IFERROR(__xludf.DUMMYFUNCTION("""COMPUTED_VALUE"""),99)</f>
        <v>99</v>
      </c>
      <c r="AT1115" s="8"/>
      <c r="AU1115" s="8">
        <f ca="1">IFERROR(__xludf.DUMMYFUNCTION("""COMPUTED_VALUE"""),38.903655)</f>
        <v>38.903655000000001</v>
      </c>
      <c r="AV1115" s="8">
        <f ca="1">IFERROR(__xludf.DUMMYFUNCTION("""COMPUTED_VALUE"""),-76.874542)</f>
        <v>-76.874542000000005</v>
      </c>
      <c r="AW1115" s="8"/>
      <c r="AX1115" s="8">
        <f ca="1">IFERROR(__xludf.DUMMYFUNCTION("""COMPUTED_VALUE"""),20785)</f>
        <v>20785</v>
      </c>
    </row>
    <row r="1116" spans="1:50" ht="60" x14ac:dyDescent="0.2">
      <c r="A1116" s="8" t="str">
        <f ca="1">IFERROR(__xludf.DUMMYFUNCTION("""COMPUTED_VALUE"""),"20220310COROH")</f>
        <v>20220310COROH</v>
      </c>
      <c r="B1116" s="8">
        <f ca="1">IFERROR(__xludf.DUMMYFUNCTION("""COMPUTED_VALUE"""),3)</f>
        <v>3</v>
      </c>
      <c r="C1116" s="8">
        <f ca="1">IFERROR(__xludf.DUMMYFUNCTION("""COMPUTED_VALUE"""),10)</f>
        <v>10</v>
      </c>
      <c r="D1116" s="8">
        <f ca="1">IFERROR(__xludf.DUMMYFUNCTION("""COMPUTED_VALUE"""),2022)</f>
        <v>2022</v>
      </c>
      <c r="E1116" s="9">
        <f ca="1">IFERROR(__xludf.DUMMYFUNCTION("""COMPUTED_VALUE"""),44630)</f>
        <v>44630</v>
      </c>
      <c r="F1116" s="8" t="str">
        <f ca="1">IFERROR(__xludf.DUMMYFUNCTION("""COMPUTED_VALUE"""),"Rock Canyon High School")</f>
        <v>Rock Canyon High School</v>
      </c>
      <c r="G1116" s="8">
        <f ca="1">IFERROR(__xludf.DUMMYFUNCTION("""COMPUTED_VALUE"""),0)</f>
        <v>0</v>
      </c>
      <c r="H1116" s="8">
        <f ca="1">IFERROR(__xludf.DUMMYFUNCTION("""COMPUTED_VALUE"""),0)</f>
        <v>0</v>
      </c>
      <c r="I1116" s="8">
        <f ca="1">IFERROR(__xludf.DUMMYFUNCTION("""COMPUTED_VALUE"""),0)</f>
        <v>0</v>
      </c>
      <c r="J1116" s="8">
        <f ca="1">IFERROR(__xludf.DUMMYFUNCTION("""COMPUTED_VALUE"""),0)</f>
        <v>0</v>
      </c>
      <c r="K1116" s="10" t="str">
        <f ca="1">IFERROR(__xludf.DUMMYFUNCTION("""COMPUTED_VALUE"""),"https://kdvr.com/news/local/student-brings-pellet-type-gun-to-rock-canyon-hs/")</f>
        <v>https://kdvr.com/news/local/student-brings-pellet-type-gun-to-rock-canyon-hs/</v>
      </c>
      <c r="L1116" s="8">
        <f ca="1">IFERROR(__xludf.DUMMYFUNCTION("""COMPUTED_VALUE"""),2)</f>
        <v>2</v>
      </c>
      <c r="M1116" s="8" t="str">
        <f ca="1">IFERROR(__xludf.DUMMYFUNCTION("""COMPUTED_VALUE"""),"Local")</f>
        <v>Local</v>
      </c>
      <c r="N1116" s="8">
        <f ca="1">IFERROR(__xludf.DUMMYFUNCTION("""COMPUTED_VALUE"""),4)</f>
        <v>4</v>
      </c>
      <c r="O1116" s="8" t="str">
        <f ca="1">IFERROR(__xludf.DUMMYFUNCTION("""COMPUTED_VALUE"""),"Spring")</f>
        <v>Spring</v>
      </c>
      <c r="P1116" s="8" t="str">
        <f ca="1">IFERROR(__xludf.DUMMYFUNCTION("""COMPUTED_VALUE"""),"Highlands Ranch")</f>
        <v>Highlands Ranch</v>
      </c>
      <c r="Q1116" s="8" t="str">
        <f ca="1">IFERROR(__xludf.DUMMYFUNCTION("""COMPUTED_VALUE"""),"CO")</f>
        <v>CO</v>
      </c>
      <c r="R1116" s="8" t="str">
        <f ca="1">IFERROR(__xludf.DUMMYFUNCTION("""COMPUTED_VALUE"""),"High")</f>
        <v>High</v>
      </c>
      <c r="S1116" s="8" t="str">
        <f ca="1">IFERROR(__xludf.DUMMYFUNCTION("""COMPUTED_VALUE"""),"Parking Lot")</f>
        <v>Parking Lot</v>
      </c>
      <c r="T1116" s="8" t="str">
        <f ca="1">IFERROR(__xludf.DUMMYFUNCTION("""COMPUTED_VALUE"""),"Outside on School Property")</f>
        <v>Outside on School Property</v>
      </c>
      <c r="U1116" s="8" t="str">
        <f ca="1">IFERROR(__xludf.DUMMYFUNCTION("""COMPUTED_VALUE"""),"Yes")</f>
        <v>Yes</v>
      </c>
      <c r="V1116" s="8" t="str">
        <f ca="1">IFERROR(__xludf.DUMMYFUNCTION("""COMPUTED_VALUE"""),"Morning Classes")</f>
        <v>Morning Classes</v>
      </c>
      <c r="W1116" s="11">
        <f ca="1">IFERROR(__xludf.DUMMYFUNCTION("""COMPUTED_VALUE"""),0.390277777777777)</f>
        <v>0.390277777777777</v>
      </c>
      <c r="X1116" s="8">
        <f ca="1">IFERROR(__xludf.DUMMYFUNCTION("""COMPUTED_VALUE"""),1)</f>
        <v>1</v>
      </c>
      <c r="Y1116" s="12" t="str">
        <f ca="1">IFERROR(__xludf.DUMMYFUNCTION("""COMPUTED_VALUE"""),"Student fired toy rifle in the parking lot causing lockdown")</f>
        <v>Student fired toy rifle in the parking lot causing lockdown</v>
      </c>
      <c r="Z1116" s="12" t="str">
        <f ca="1">IFERROR(__xludf.DUMMYFUNCTION("""COMPUTED_VALUE"""),"Police were called for a person shooting a rifle in the parking lot of the school. A 17-year-old student was firing a water pellet rifle at the school. Student was detained and school went on lockdown for 1 hour.")</f>
        <v>Police were called for a person shooting a rifle in the parking lot of the school. A 17-year-old student was firing a water pellet rifle at the school. Student was detained and school went on lockdown for 1 hour.</v>
      </c>
      <c r="AA1116" s="8"/>
      <c r="AB1116" s="8"/>
      <c r="AC1116" s="8" t="str">
        <f ca="1">IFERROR(__xludf.DUMMYFUNCTION("""COMPUTED_VALUE"""),"Yes")</f>
        <v>Yes</v>
      </c>
      <c r="AD1116" s="8" t="str">
        <f ca="1">IFERROR(__xludf.DUMMYFUNCTION("""COMPUTED_VALUE"""),"Neither")</f>
        <v>Neither</v>
      </c>
      <c r="AE1116" s="8" t="str">
        <f ca="1">IFERROR(__xludf.DUMMYFUNCTION("""COMPUTED_VALUE"""),"No")</f>
        <v>No</v>
      </c>
      <c r="AF1116" s="8"/>
      <c r="AG1116" s="8" t="str">
        <f ca="1">IFERROR(__xludf.DUMMYFUNCTION("""COMPUTED_VALUE"""),"No")</f>
        <v>No</v>
      </c>
      <c r="AH1116" s="8" t="str">
        <f ca="1">IFERROR(__xludf.DUMMYFUNCTION("""COMPUTED_VALUE"""),"No")</f>
        <v>No</v>
      </c>
      <c r="AI1116" s="8" t="str">
        <f ca="1">IFERROR(__xludf.DUMMYFUNCTION("""COMPUTED_VALUE"""),"No")</f>
        <v>No</v>
      </c>
      <c r="AJ1116" s="8" t="str">
        <f ca="1">IFERROR(__xludf.DUMMYFUNCTION("""COMPUTED_VALUE"""),"No")</f>
        <v>No</v>
      </c>
      <c r="AK1116" s="8" t="str">
        <f ca="1">IFERROR(__xludf.DUMMYFUNCTION("""COMPUTED_VALUE"""),"No")</f>
        <v>No</v>
      </c>
      <c r="AL1116" s="8" t="str">
        <f ca="1">IFERROR(__xludf.DUMMYFUNCTION("""COMPUTED_VALUE"""),"No")</f>
        <v>No</v>
      </c>
      <c r="AM1116" s="8" t="str">
        <f ca="1">IFERROR(__xludf.DUMMYFUNCTION("""COMPUTED_VALUE"""),"No")</f>
        <v>No</v>
      </c>
      <c r="AN1116" s="8"/>
      <c r="AO1116" s="8" t="str">
        <f ca="1">IFERROR(__xludf.DUMMYFUNCTION("""COMPUTED_VALUE"""),"No")</f>
        <v>No</v>
      </c>
      <c r="AP1116" s="8"/>
      <c r="AQ1116" s="8"/>
      <c r="AR1116" s="8" t="str">
        <f ca="1">IFERROR(__xludf.DUMMYFUNCTION("""COMPUTED_VALUE"""),"Outside/Off-Property")</f>
        <v>Outside/Off-Property</v>
      </c>
      <c r="AS1116" s="8">
        <f ca="1">IFERROR(__xludf.DUMMYFUNCTION("""COMPUTED_VALUE"""),4)</f>
        <v>4</v>
      </c>
      <c r="AT1116" s="8" t="str">
        <f ca="1">IFERROR(__xludf.DUMMYFUNCTION("""COMPUTED_VALUE"""),"Yes")</f>
        <v>Yes</v>
      </c>
      <c r="AU1116" s="8">
        <f ca="1">IFERROR(__xludf.DUMMYFUNCTION("""COMPUTED_VALUE"""),39.520233)</f>
        <v>39.520232999999998</v>
      </c>
      <c r="AV1116" s="8">
        <f ca="1">IFERROR(__xludf.DUMMYFUNCTION("""COMPUTED_VALUE"""),-104.920167)</f>
        <v>-104.92016700000001</v>
      </c>
      <c r="AW1116" s="8"/>
      <c r="AX1116" s="8">
        <f ca="1">IFERROR(__xludf.DUMMYFUNCTION("""COMPUTED_VALUE"""),80124)</f>
        <v>80124</v>
      </c>
    </row>
    <row r="1117" spans="1:50" ht="75" x14ac:dyDescent="0.2">
      <c r="A1117" s="8" t="str">
        <f ca="1">IFERROR(__xludf.DUMMYFUNCTION("""COMPUTED_VALUE"""),"20220309TXNOH")</f>
        <v>20220309TXNOH</v>
      </c>
      <c r="B1117" s="8">
        <f ca="1">IFERROR(__xludf.DUMMYFUNCTION("""COMPUTED_VALUE"""),3)</f>
        <v>3</v>
      </c>
      <c r="C1117" s="8">
        <f ca="1">IFERROR(__xludf.DUMMYFUNCTION("""COMPUTED_VALUE"""),9)</f>
        <v>9</v>
      </c>
      <c r="D1117" s="8">
        <f ca="1">IFERROR(__xludf.DUMMYFUNCTION("""COMPUTED_VALUE"""),2022)</f>
        <v>2022</v>
      </c>
      <c r="E1117" s="9">
        <f ca="1">IFERROR(__xludf.DUMMYFUNCTION("""COMPUTED_VALUE"""),44629)</f>
        <v>44629</v>
      </c>
      <c r="F1117" s="8" t="str">
        <f ca="1">IFERROR(__xludf.DUMMYFUNCTION("""COMPUTED_VALUE"""),"Kimball High School")</f>
        <v>Kimball High School</v>
      </c>
      <c r="G1117" s="8">
        <f ca="1">IFERROR(__xludf.DUMMYFUNCTION("""COMPUTED_VALUE"""),0)</f>
        <v>0</v>
      </c>
      <c r="H1117" s="8">
        <f ca="1">IFERROR(__xludf.DUMMYFUNCTION("""COMPUTED_VALUE"""),1)</f>
        <v>1</v>
      </c>
      <c r="I1117" s="8">
        <f ca="1">IFERROR(__xludf.DUMMYFUNCTION("""COMPUTED_VALUE"""),1)</f>
        <v>1</v>
      </c>
      <c r="J1117" s="8">
        <f ca="1">IFERROR(__xludf.DUMMYFUNCTION("""COMPUTED_VALUE"""),0)</f>
        <v>0</v>
      </c>
      <c r="K1117" s="8" t="str">
        <f ca="1">IFERROR(__xludf.DUMMYFUNCTION("""COMPUTED_VALUE"""),"https://www.wfaa.com/article/news/local/dallas-isd-kimball-basketball-trainer-shot-after-players-gun-goes-off-on-team-bus/287-5bf8f237-7223-46f8-be13-8c49e096fb32 https://www.nbcdfw.com/news/local/dallas-kimball-basketball-player-arrested-after-accidental"&amp;"-shooting-at-san-antonio-playoffs/2911847/ https://www.ksat.com/news/local/2022/03/10/woman-shot-in-ankle-after-gun-brought-onto-bus-from-visiting-dallas-area-school-san-antonio-police-say/")</f>
        <v>https://www.wfaa.com/article/news/local/dallas-isd-kimball-basketball-trainer-shot-after-players-gun-goes-off-on-team-bus/287-5bf8f237-7223-46f8-be13-8c49e096fb32 https://www.nbcdfw.com/news/local/dallas-kimball-basketball-player-arrested-after-accidental-shooting-at-san-antonio-playoffs/2911847/ https://www.ksat.com/news/local/2022/03/10/woman-shot-in-ankle-after-gun-brought-onto-bus-from-visiting-dallas-area-school-san-antonio-police-say/</v>
      </c>
      <c r="L1117" s="8">
        <f ca="1">IFERROR(__xludf.DUMMYFUNCTION("""COMPUTED_VALUE"""),10)</f>
        <v>10</v>
      </c>
      <c r="M1117" s="8" t="str">
        <f ca="1">IFERROR(__xludf.DUMMYFUNCTION("""COMPUTED_VALUE"""),"Regional")</f>
        <v>Regional</v>
      </c>
      <c r="N1117" s="8">
        <f ca="1">IFERROR(__xludf.DUMMYFUNCTION("""COMPUTED_VALUE"""),4)</f>
        <v>4</v>
      </c>
      <c r="O1117" s="8" t="str">
        <f ca="1">IFERROR(__xludf.DUMMYFUNCTION("""COMPUTED_VALUE"""),"Spring")</f>
        <v>Spring</v>
      </c>
      <c r="P1117" s="8" t="str">
        <f ca="1">IFERROR(__xludf.DUMMYFUNCTION("""COMPUTED_VALUE"""),"Houston")</f>
        <v>Houston</v>
      </c>
      <c r="Q1117" s="8" t="str">
        <f ca="1">IFERROR(__xludf.DUMMYFUNCTION("""COMPUTED_VALUE"""),"TX")</f>
        <v>TX</v>
      </c>
      <c r="R1117" s="8" t="str">
        <f ca="1">IFERROR(__xludf.DUMMYFUNCTION("""COMPUTED_VALUE"""),"High")</f>
        <v>High</v>
      </c>
      <c r="S1117" s="8" t="str">
        <f ca="1">IFERROR(__xludf.DUMMYFUNCTION("""COMPUTED_VALUE"""),"School Bus")</f>
        <v>School Bus</v>
      </c>
      <c r="T1117" s="8" t="str">
        <f ca="1">IFERROR(__xludf.DUMMYFUNCTION("""COMPUTED_VALUE"""),"School Bus")</f>
        <v>School Bus</v>
      </c>
      <c r="U1117" s="8" t="str">
        <f ca="1">IFERROR(__xludf.DUMMYFUNCTION("""COMPUTED_VALUE"""),"No")</f>
        <v>No</v>
      </c>
      <c r="V1117" s="8" t="str">
        <f ca="1">IFERROR(__xludf.DUMMYFUNCTION("""COMPUTED_VALUE"""),"Sport Event")</f>
        <v>Sport Event</v>
      </c>
      <c r="W1117" s="11">
        <f ca="1">IFERROR(__xludf.DUMMYFUNCTION("""COMPUTED_VALUE"""),0.791666666666666)</f>
        <v>0.79166666666666596</v>
      </c>
      <c r="X1117" s="8">
        <f ca="1">IFERROR(__xludf.DUMMYFUNCTION("""COMPUTED_VALUE"""),1)</f>
        <v>1</v>
      </c>
      <c r="Y1117" s="12" t="str">
        <f ca="1">IFERROR(__xludf.DUMMYFUNCTION("""COMPUTED_VALUE"""),"Team trainer shot in foot on bus after high school game")</f>
        <v>Team trainer shot in foot on bus after high school game</v>
      </c>
      <c r="Z1117" s="12" t="str">
        <f ca="1">IFERROR(__xludf.DUMMYFUNCTION("""COMPUTED_VALUE"""),"A team trainer was shot in the foot on the team bus following a basketball practice. The team was from Dallas and visiting Houston for a tournament. Bus was on Northside ISD property when the shooting occurred. A player had the gun in his bag and it disch"&amp;"arged when he moved it.")</f>
        <v>A team trainer was shot in the foot on the team bus following a basketball practice. The team was from Dallas and visiting Houston for a tournament. Bus was on Northside ISD property when the shooting occurred. A player had the gun in his bag and it discharged when he moved it.</v>
      </c>
      <c r="AA1117" s="8" t="str">
        <f ca="1">IFERROR(__xludf.DUMMYFUNCTION("""COMPUTED_VALUE"""),"Accidental")</f>
        <v>Accidental</v>
      </c>
      <c r="AB1117" s="8"/>
      <c r="AC1117" s="8" t="str">
        <f ca="1">IFERROR(__xludf.DUMMYFUNCTION("""COMPUTED_VALUE"""),"Yes")</f>
        <v>Yes</v>
      </c>
      <c r="AD1117" s="8" t="str">
        <f ca="1">IFERROR(__xludf.DUMMYFUNCTION("""COMPUTED_VALUE"""),"Random Shooting")</f>
        <v>Random Shooting</v>
      </c>
      <c r="AE1117" s="8" t="str">
        <f ca="1">IFERROR(__xludf.DUMMYFUNCTION("""COMPUTED_VALUE"""),"No")</f>
        <v>No</v>
      </c>
      <c r="AF1117" s="8"/>
      <c r="AG1117" s="8" t="str">
        <f ca="1">IFERROR(__xludf.DUMMYFUNCTION("""COMPUTED_VALUE"""),"No")</f>
        <v>No</v>
      </c>
      <c r="AH1117" s="8" t="str">
        <f ca="1">IFERROR(__xludf.DUMMYFUNCTION("""COMPUTED_VALUE"""),"No")</f>
        <v>No</v>
      </c>
      <c r="AI1117" s="8" t="str">
        <f ca="1">IFERROR(__xludf.DUMMYFUNCTION("""COMPUTED_VALUE"""),"No")</f>
        <v>No</v>
      </c>
      <c r="AJ1117" s="8" t="str">
        <f ca="1">IFERROR(__xludf.DUMMYFUNCTION("""COMPUTED_VALUE"""),"No")</f>
        <v>No</v>
      </c>
      <c r="AK1117" s="8" t="str">
        <f ca="1">IFERROR(__xludf.DUMMYFUNCTION("""COMPUTED_VALUE"""),"No")</f>
        <v>No</v>
      </c>
      <c r="AL1117" s="8" t="str">
        <f ca="1">IFERROR(__xludf.DUMMYFUNCTION("""COMPUTED_VALUE"""),"No")</f>
        <v>No</v>
      </c>
      <c r="AM1117" s="8" t="str">
        <f ca="1">IFERROR(__xludf.DUMMYFUNCTION("""COMPUTED_VALUE"""),"No")</f>
        <v>No</v>
      </c>
      <c r="AN1117" s="8"/>
      <c r="AO1117" s="8" t="str">
        <f ca="1">IFERROR(__xludf.DUMMYFUNCTION("""COMPUTED_VALUE"""),"No")</f>
        <v>No</v>
      </c>
      <c r="AP1117" s="8"/>
      <c r="AQ1117" s="8"/>
      <c r="AR1117" s="8" t="str">
        <f ca="1">IFERROR(__xludf.DUMMYFUNCTION("""COMPUTED_VALUE"""),"Outside/Off-Property")</f>
        <v>Outside/Off-Property</v>
      </c>
      <c r="AS1117" s="8">
        <f ca="1">IFERROR(__xludf.DUMMYFUNCTION("""COMPUTED_VALUE"""),1)</f>
        <v>1</v>
      </c>
      <c r="AT1117" s="8"/>
      <c r="AU1117" s="8">
        <f ca="1">IFERROR(__xludf.DUMMYFUNCTION("""COMPUTED_VALUE"""),29.544532)</f>
        <v>29.544532</v>
      </c>
      <c r="AV1117" s="8">
        <f ca="1">IFERROR(__xludf.DUMMYFUNCTION("""COMPUTED_VALUE"""),-98.689515)</f>
        <v>-98.689515</v>
      </c>
      <c r="AW1117" s="8"/>
      <c r="AX1117" s="8">
        <f ca="1">IFERROR(__xludf.DUMMYFUNCTION("""COMPUTED_VALUE"""),78254)</f>
        <v>78254</v>
      </c>
    </row>
    <row r="1118" spans="1:50" ht="60" x14ac:dyDescent="0.2">
      <c r="A1118" s="8" t="str">
        <f ca="1">IFERROR(__xludf.DUMMYFUNCTION("""COMPUTED_VALUE"""),"20220309NMESE")</f>
        <v>20220309NMESE</v>
      </c>
      <c r="B1118" s="8">
        <f ca="1">IFERROR(__xludf.DUMMYFUNCTION("""COMPUTED_VALUE"""),3)</f>
        <v>3</v>
      </c>
      <c r="C1118" s="8">
        <f ca="1">IFERROR(__xludf.DUMMYFUNCTION("""COMPUTED_VALUE"""),9)</f>
        <v>9</v>
      </c>
      <c r="D1118" s="8">
        <f ca="1">IFERROR(__xludf.DUMMYFUNCTION("""COMPUTED_VALUE"""),2022)</f>
        <v>2022</v>
      </c>
      <c r="E1118" s="9">
        <f ca="1">IFERROR(__xludf.DUMMYFUNCTION("""COMPUTED_VALUE"""),44629)</f>
        <v>44629</v>
      </c>
      <c r="F1118" s="8" t="str">
        <f ca="1">IFERROR(__xludf.DUMMYFUNCTION("""COMPUTED_VALUE"""),"Espanola Valley High School")</f>
        <v>Espanola Valley High School</v>
      </c>
      <c r="G1118" s="8">
        <f ca="1">IFERROR(__xludf.DUMMYFUNCTION("""COMPUTED_VALUE"""),0)</f>
        <v>0</v>
      </c>
      <c r="H1118" s="8">
        <f ca="1">IFERROR(__xludf.DUMMYFUNCTION("""COMPUTED_VALUE"""),0)</f>
        <v>0</v>
      </c>
      <c r="I1118" s="8">
        <f ca="1">IFERROR(__xludf.DUMMYFUNCTION("""COMPUTED_VALUE"""),0)</f>
        <v>0</v>
      </c>
      <c r="J1118" s="8">
        <f ca="1">IFERROR(__xludf.DUMMYFUNCTION("""COMPUTED_VALUE"""),0)</f>
        <v>0</v>
      </c>
      <c r="K1118" s="10" t="str">
        <f ca="1">IFERROR(__xludf.DUMMYFUNCTION("""COMPUTED_VALUE"""),"https://www.krqe.com/sports/high-school-sports/del-norte-school-bus-shot-with-paintballs-after-espanola-game/")</f>
        <v>https://www.krqe.com/sports/high-school-sports/del-norte-school-bus-shot-with-paintballs-after-espanola-game/</v>
      </c>
      <c r="L1118" s="8">
        <f ca="1">IFERROR(__xludf.DUMMYFUNCTION("""COMPUTED_VALUE"""),1)</f>
        <v>1</v>
      </c>
      <c r="M1118" s="8" t="str">
        <f ca="1">IFERROR(__xludf.DUMMYFUNCTION("""COMPUTED_VALUE"""),"Local")</f>
        <v>Local</v>
      </c>
      <c r="N1118" s="8">
        <f ca="1">IFERROR(__xludf.DUMMYFUNCTION("""COMPUTED_VALUE"""),3)</f>
        <v>3</v>
      </c>
      <c r="O1118" s="8" t="str">
        <f ca="1">IFERROR(__xludf.DUMMYFUNCTION("""COMPUTED_VALUE"""),"Spring")</f>
        <v>Spring</v>
      </c>
      <c r="P1118" s="8" t="str">
        <f ca="1">IFERROR(__xludf.DUMMYFUNCTION("""COMPUTED_VALUE"""),"Espanola")</f>
        <v>Espanola</v>
      </c>
      <c r="Q1118" s="8" t="str">
        <f ca="1">IFERROR(__xludf.DUMMYFUNCTION("""COMPUTED_VALUE"""),"NM")</f>
        <v>NM</v>
      </c>
      <c r="R1118" s="8" t="str">
        <f ca="1">IFERROR(__xludf.DUMMYFUNCTION("""COMPUTED_VALUE"""),"High")</f>
        <v>High</v>
      </c>
      <c r="S1118" s="8" t="str">
        <f ca="1">IFERROR(__xludf.DUMMYFUNCTION("""COMPUTED_VALUE"""),"Parking Lot")</f>
        <v>Parking Lot</v>
      </c>
      <c r="T1118" s="8" t="str">
        <f ca="1">IFERROR(__xludf.DUMMYFUNCTION("""COMPUTED_VALUE"""),"Outside on School Property")</f>
        <v>Outside on School Property</v>
      </c>
      <c r="U1118" s="8" t="str">
        <f ca="1">IFERROR(__xludf.DUMMYFUNCTION("""COMPUTED_VALUE"""),"No")</f>
        <v>No</v>
      </c>
      <c r="V1118" s="8" t="str">
        <f ca="1">IFERROR(__xludf.DUMMYFUNCTION("""COMPUTED_VALUE"""),"Sport Event")</f>
        <v>Sport Event</v>
      </c>
      <c r="W1118" s="11">
        <f ca="1">IFERROR(__xludf.DUMMYFUNCTION("""COMPUTED_VALUE"""),0.875)</f>
        <v>0.875</v>
      </c>
      <c r="X1118" s="8">
        <f ca="1">IFERROR(__xludf.DUMMYFUNCTION("""COMPUTED_VALUE"""),1)</f>
        <v>1</v>
      </c>
      <c r="Y1118" s="12" t="str">
        <f ca="1">IFERROR(__xludf.DUMMYFUNCTION("""COMPUTED_VALUE"""),"Paintballs fired a team bus in parking lot")</f>
        <v>Paintballs fired a team bus in parking lot</v>
      </c>
      <c r="Z1118" s="12" t="str">
        <f ca="1">IFERROR(__xludf.DUMMYFUNCTION("""COMPUTED_VALUE"""),"Following loss in rivalry to visiting team in basketball game, paintballs were shot at the team bus. Players inside texted parents that they were being shot at. Shooter fled. Police and school system are investigating.")</f>
        <v>Following loss in rivalry to visiting team in basketball game, paintballs were shot at the team bus. Players inside texted parents that they were being shot at. Shooter fled. Police and school system are investigating.</v>
      </c>
      <c r="AA1118" s="8" t="str">
        <f ca="1">IFERROR(__xludf.DUMMYFUNCTION("""COMPUTED_VALUE"""),"Intentional Property Damage")</f>
        <v>Intentional Property Damage</v>
      </c>
      <c r="AB1118" s="8"/>
      <c r="AC1118" s="8" t="str">
        <f ca="1">IFERROR(__xludf.DUMMYFUNCTION("""COMPUTED_VALUE"""),"Yes")</f>
        <v>Yes</v>
      </c>
      <c r="AD1118" s="8" t="str">
        <f ca="1">IFERROR(__xludf.DUMMYFUNCTION("""COMPUTED_VALUE"""),"Neither")</f>
        <v>Neither</v>
      </c>
      <c r="AE1118" s="8" t="str">
        <f ca="1">IFERROR(__xludf.DUMMYFUNCTION("""COMPUTED_VALUE"""),"No")</f>
        <v>No</v>
      </c>
      <c r="AF1118" s="8"/>
      <c r="AG1118" s="8" t="str">
        <f ca="1">IFERROR(__xludf.DUMMYFUNCTION("""COMPUTED_VALUE"""),"No")</f>
        <v>No</v>
      </c>
      <c r="AH1118" s="8" t="str">
        <f ca="1">IFERROR(__xludf.DUMMYFUNCTION("""COMPUTED_VALUE"""),"No")</f>
        <v>No</v>
      </c>
      <c r="AI1118" s="8" t="str">
        <f ca="1">IFERROR(__xludf.DUMMYFUNCTION("""COMPUTED_VALUE"""),"No")</f>
        <v>No</v>
      </c>
      <c r="AJ1118" s="8" t="str">
        <f ca="1">IFERROR(__xludf.DUMMYFUNCTION("""COMPUTED_VALUE"""),"No")</f>
        <v>No</v>
      </c>
      <c r="AK1118" s="8" t="str">
        <f ca="1">IFERROR(__xludf.DUMMYFUNCTION("""COMPUTED_VALUE"""),"No")</f>
        <v>No</v>
      </c>
      <c r="AL1118" s="8"/>
      <c r="AM1118" s="8" t="str">
        <f ca="1">IFERROR(__xludf.DUMMYFUNCTION("""COMPUTED_VALUE"""),"No")</f>
        <v>No</v>
      </c>
      <c r="AN1118" s="8"/>
      <c r="AO1118" s="8" t="str">
        <f ca="1">IFERROR(__xludf.DUMMYFUNCTION("""COMPUTED_VALUE"""),"No")</f>
        <v>No</v>
      </c>
      <c r="AP1118" s="8"/>
      <c r="AQ1118" s="8"/>
      <c r="AR1118" s="8"/>
      <c r="AS1118" s="8">
        <f ca="1">IFERROR(__xludf.DUMMYFUNCTION("""COMPUTED_VALUE"""),99)</f>
        <v>99</v>
      </c>
      <c r="AT1118" s="8"/>
      <c r="AU1118" s="8">
        <f ca="1">IFERROR(__xludf.DUMMYFUNCTION("""COMPUTED_VALUE"""),36.008065)</f>
        <v>36.008065000000002</v>
      </c>
      <c r="AV1118" s="8">
        <f ca="1">IFERROR(__xludf.DUMMYFUNCTION("""COMPUTED_VALUE"""),-106.039802)</f>
        <v>-106.03980199999999</v>
      </c>
      <c r="AW1118" s="8"/>
      <c r="AX1118" s="8">
        <f ca="1">IFERROR(__xludf.DUMMYFUNCTION("""COMPUTED_VALUE"""),87532)</f>
        <v>87532</v>
      </c>
    </row>
    <row r="1119" spans="1:50" ht="105" x14ac:dyDescent="0.2">
      <c r="A1119" s="8" t="str">
        <f ca="1">IFERROR(__xludf.DUMMYFUNCTION("""COMPUTED_VALUE"""),"20220309FLNOM")</f>
        <v>20220309FLNOM</v>
      </c>
      <c r="B1119" s="8">
        <f ca="1">IFERROR(__xludf.DUMMYFUNCTION("""COMPUTED_VALUE"""),3)</f>
        <v>3</v>
      </c>
      <c r="C1119" s="8">
        <f ca="1">IFERROR(__xludf.DUMMYFUNCTION("""COMPUTED_VALUE"""),9)</f>
        <v>9</v>
      </c>
      <c r="D1119" s="8">
        <f ca="1">IFERROR(__xludf.DUMMYFUNCTION("""COMPUTED_VALUE"""),2022)</f>
        <v>2022</v>
      </c>
      <c r="E1119" s="9">
        <f ca="1">IFERROR(__xludf.DUMMYFUNCTION("""COMPUTED_VALUE"""),44629)</f>
        <v>44629</v>
      </c>
      <c r="F1119" s="8" t="str">
        <f ca="1">IFERROR(__xludf.DUMMYFUNCTION("""COMPUTED_VALUE"""),"North Gardens High School")</f>
        <v>North Gardens High School</v>
      </c>
      <c r="G1119" s="8">
        <f ca="1">IFERROR(__xludf.DUMMYFUNCTION("""COMPUTED_VALUE"""),0)</f>
        <v>0</v>
      </c>
      <c r="H1119" s="8">
        <f ca="1">IFERROR(__xludf.DUMMYFUNCTION("""COMPUTED_VALUE"""),3)</f>
        <v>3</v>
      </c>
      <c r="I1119" s="8">
        <f ca="1">IFERROR(__xludf.DUMMYFUNCTION("""COMPUTED_VALUE"""),3)</f>
        <v>3</v>
      </c>
      <c r="J1119" s="8">
        <f ca="1">IFERROR(__xludf.DUMMYFUNCTION("""COMPUTED_VALUE"""),0)</f>
        <v>0</v>
      </c>
      <c r="K1119" s="8" t="str">
        <f ca="1">IFERROR(__xludf.DUMMYFUNCTION("""COMPUTED_VALUE"""),"https://www.nbcmiami.com/news/local/2-were-in-high-school-classroom-when-wounded-in-miami-gardens-shooting/2710581/ https://www.nbcmiami.com/news/local/2-were-in-high-school-classroom-when-wounded-in-miami-gardens-shooting/2710581/ https://wsvn.com/news/l"&amp;"ocal/2-airlifted-after-being-shot-near-north-gardens-high-school-1-person-detained-in-miami-gardens/ https://miami.cbslocal.com/2022/03/09/north-gardens-high-school-student-shot-in-miami-gardens/ https://www.nbcmiami.com/news/local/authorities-respond-to-"&amp;"incident-near-high-school-in-miami-gardens/2709633/")</f>
        <v>https://www.nbcmiami.com/news/local/2-were-in-high-school-classroom-when-wounded-in-miami-gardens-shooting/2710581/ https://www.nbcmiami.com/news/local/2-were-in-high-school-classroom-when-wounded-in-miami-gardens-shooting/2710581/ https://wsvn.com/news/local/2-airlifted-after-being-shot-near-north-gardens-high-school-1-person-detained-in-miami-gardens/ https://miami.cbslocal.com/2022/03/09/north-gardens-high-school-student-shot-in-miami-gardens/ https://www.nbcmiami.com/news/local/authorities-respond-to-incident-near-high-school-in-miami-gardens/2709633/</v>
      </c>
      <c r="L1119" s="8">
        <f ca="1">IFERROR(__xludf.DUMMYFUNCTION("""COMPUTED_VALUE"""),10)</f>
        <v>10</v>
      </c>
      <c r="M1119" s="8" t="str">
        <f ca="1">IFERROR(__xludf.DUMMYFUNCTION("""COMPUTED_VALUE"""),"Local")</f>
        <v>Local</v>
      </c>
      <c r="N1119" s="8">
        <f ca="1">IFERROR(__xludf.DUMMYFUNCTION("""COMPUTED_VALUE"""),4)</f>
        <v>4</v>
      </c>
      <c r="O1119" s="8" t="str">
        <f ca="1">IFERROR(__xludf.DUMMYFUNCTION("""COMPUTED_VALUE"""),"Spring")</f>
        <v>Spring</v>
      </c>
      <c r="P1119" s="8" t="str">
        <f ca="1">IFERROR(__xludf.DUMMYFUNCTION("""COMPUTED_VALUE"""),"Miami Gardens")</f>
        <v>Miami Gardens</v>
      </c>
      <c r="Q1119" s="8" t="str">
        <f ca="1">IFERROR(__xludf.DUMMYFUNCTION("""COMPUTED_VALUE"""),"FL")</f>
        <v>FL</v>
      </c>
      <c r="R1119" s="8" t="str">
        <f ca="1">IFERROR(__xludf.DUMMYFUNCTION("""COMPUTED_VALUE"""),"High")</f>
        <v>High</v>
      </c>
      <c r="S1119" s="8" t="str">
        <f ca="1">IFERROR(__xludf.DUMMYFUNCTION("""COMPUTED_VALUE"""),"Front of School")</f>
        <v>Front of School</v>
      </c>
      <c r="T1119" s="8" t="str">
        <f ca="1">IFERROR(__xludf.DUMMYFUNCTION("""COMPUTED_VALUE"""),"Both Inside/Outside")</f>
        <v>Both Inside/Outside</v>
      </c>
      <c r="U1119" s="8" t="str">
        <f ca="1">IFERROR(__xludf.DUMMYFUNCTION("""COMPUTED_VALUE"""),"Yes")</f>
        <v>Yes</v>
      </c>
      <c r="V1119" s="8" t="str">
        <f ca="1">IFERROR(__xludf.DUMMYFUNCTION("""COMPUTED_VALUE"""),"Afternoon Classes")</f>
        <v>Afternoon Classes</v>
      </c>
      <c r="W1119" s="11">
        <f ca="1">IFERROR(__xludf.DUMMYFUNCTION("""COMPUTED_VALUE"""),0.5625)</f>
        <v>0.5625</v>
      </c>
      <c r="X1119" s="8">
        <f ca="1">IFERROR(__xludf.DUMMYFUNCTION("""COMPUTED_VALUE"""),1)</f>
        <v>1</v>
      </c>
      <c r="Y1119" s="12" t="str">
        <f ca="1">IFERROR(__xludf.DUMMYFUNCTION("""COMPUTED_VALUE"""),"Teens fired from car into school building striking 3 students")</f>
        <v>Teens fired from car into school building striking 3 students</v>
      </c>
      <c r="Z1119" s="12" t="str">
        <f ca="1">IFERROR(__xludf.DUMMYFUNCTION("""COMPUTED_VALUE"""),"Two teen males (17 and 18) fired shots from a vehicle in front of the school. Bullets broke the doors and went through the walls of classrooms. One student in front was critically injured. Two students inside a classroom were wounded. Shooters fled and fi"&amp;"red at police during chase. Arrested after vehicle became stuck in traffic. An off duty officer was working at the school and witnessed the shooting.")</f>
        <v>Two teen males (17 and 18) fired shots from a vehicle in front of the school. Bullets broke the doors and went through the walls of classrooms. One student in front was critically injured. Two students inside a classroom were wounded. Shooters fled and fired at police during chase. Arrested after vehicle became stuck in traffic. An off duty officer was working at the school and witnessed the shooting.</v>
      </c>
      <c r="AA1119" s="8" t="str">
        <f ca="1">IFERROR(__xludf.DUMMYFUNCTION("""COMPUTED_VALUE"""),"Drive-by Shooting")</f>
        <v>Drive-by Shooting</v>
      </c>
      <c r="AB1119" s="8"/>
      <c r="AC1119" s="8" t="str">
        <f ca="1">IFERROR(__xludf.DUMMYFUNCTION("""COMPUTED_VALUE"""),"Yes")</f>
        <v>Yes</v>
      </c>
      <c r="AD1119" s="8" t="str">
        <f ca="1">IFERROR(__xludf.DUMMYFUNCTION("""COMPUTED_VALUE"""),"Both")</f>
        <v>Both</v>
      </c>
      <c r="AE1119" s="8" t="str">
        <f ca="1">IFERROR(__xludf.DUMMYFUNCTION("""COMPUTED_VALUE"""),"Yes")</f>
        <v>Yes</v>
      </c>
      <c r="AF1119" s="8" t="str">
        <f ca="1">IFERROR(__xludf.DUMMYFUNCTION("""COMPUTED_VALUE"""),"Two teens")</f>
        <v>Two teens</v>
      </c>
      <c r="AG1119" s="8" t="str">
        <f ca="1">IFERROR(__xludf.DUMMYFUNCTION("""COMPUTED_VALUE"""),"No")</f>
        <v>No</v>
      </c>
      <c r="AH1119" s="8" t="str">
        <f ca="1">IFERROR(__xludf.DUMMYFUNCTION("""COMPUTED_VALUE"""),"No")</f>
        <v>No</v>
      </c>
      <c r="AI1119" s="8" t="str">
        <f ca="1">IFERROR(__xludf.DUMMYFUNCTION("""COMPUTED_VALUE"""),"No")</f>
        <v>No</v>
      </c>
      <c r="AJ1119" s="8" t="str">
        <f ca="1">IFERROR(__xludf.DUMMYFUNCTION("""COMPUTED_VALUE"""),"No")</f>
        <v>No</v>
      </c>
      <c r="AK1119" s="8" t="str">
        <f ca="1">IFERROR(__xludf.DUMMYFUNCTION("""COMPUTED_VALUE"""),"No")</f>
        <v>No</v>
      </c>
      <c r="AL1119" s="8"/>
      <c r="AM1119" s="8" t="str">
        <f ca="1">IFERROR(__xludf.DUMMYFUNCTION("""COMPUTED_VALUE"""),"No")</f>
        <v>No</v>
      </c>
      <c r="AN1119" s="8"/>
      <c r="AO1119" s="8" t="str">
        <f ca="1">IFERROR(__xludf.DUMMYFUNCTION("""COMPUTED_VALUE"""),"No")</f>
        <v>No</v>
      </c>
      <c r="AP1119" s="8" t="str">
        <f ca="1">IFERROR(__xludf.DUMMYFUNCTION("""COMPUTED_VALUE"""),"Yes")</f>
        <v>Yes</v>
      </c>
      <c r="AQ1119" s="8"/>
      <c r="AR1119" s="8"/>
      <c r="AS1119" s="8">
        <f ca="1">IFERROR(__xludf.DUMMYFUNCTION("""COMPUTED_VALUE"""),99)</f>
        <v>99</v>
      </c>
      <c r="AT1119" s="8" t="str">
        <f ca="1">IFERROR(__xludf.DUMMYFUNCTION("""COMPUTED_VALUE"""),"Yes")</f>
        <v>Yes</v>
      </c>
      <c r="AU1119" s="8">
        <f ca="1">IFERROR(__xludf.DUMMYFUNCTION("""COMPUTED_VALUE"""),25.938333)</f>
        <v>25.938333</v>
      </c>
      <c r="AV1119" s="8">
        <f ca="1">IFERROR(__xludf.DUMMYFUNCTION("""COMPUTED_VALUE"""),-80.276053)</f>
        <v>-80.276053000000005</v>
      </c>
      <c r="AW1119" s="8"/>
      <c r="AX1119" s="8">
        <f ca="1">IFERROR(__xludf.DUMMYFUNCTION("""COMPUTED_VALUE"""),33055)</f>
        <v>33055</v>
      </c>
    </row>
    <row r="1120" spans="1:50" ht="150" x14ac:dyDescent="0.2">
      <c r="A1120" s="8" t="str">
        <f ca="1">IFERROR(__xludf.DUMMYFUNCTION("""COMPUTED_VALUE"""),"20220307IAEAD")</f>
        <v>20220307IAEAD</v>
      </c>
      <c r="B1120" s="8">
        <f ca="1">IFERROR(__xludf.DUMMYFUNCTION("""COMPUTED_VALUE"""),3)</f>
        <v>3</v>
      </c>
      <c r="C1120" s="8">
        <f ca="1">IFERROR(__xludf.DUMMYFUNCTION("""COMPUTED_VALUE"""),7)</f>
        <v>7</v>
      </c>
      <c r="D1120" s="8">
        <f ca="1">IFERROR(__xludf.DUMMYFUNCTION("""COMPUTED_VALUE"""),2022)</f>
        <v>2022</v>
      </c>
      <c r="E1120" s="9">
        <f ca="1">IFERROR(__xludf.DUMMYFUNCTION("""COMPUTED_VALUE"""),44627)</f>
        <v>44627</v>
      </c>
      <c r="F1120" s="8" t="str">
        <f ca="1">IFERROR(__xludf.DUMMYFUNCTION("""COMPUTED_VALUE"""),"East High School")</f>
        <v>East High School</v>
      </c>
      <c r="G1120" s="8">
        <f ca="1">IFERROR(__xludf.DUMMYFUNCTION("""COMPUTED_VALUE"""),1)</f>
        <v>1</v>
      </c>
      <c r="H1120" s="8">
        <f ca="1">IFERROR(__xludf.DUMMYFUNCTION("""COMPUTED_VALUE"""),2)</f>
        <v>2</v>
      </c>
      <c r="I1120" s="8">
        <f ca="1">IFERROR(__xludf.DUMMYFUNCTION("""COMPUTED_VALUE"""),3)</f>
        <v>3</v>
      </c>
      <c r="J1120" s="8">
        <f ca="1">IFERROR(__xludf.DUMMYFUNCTION("""COMPUTED_VALUE"""),0)</f>
        <v>0</v>
      </c>
      <c r="K1120" s="8" t="str">
        <f ca="1">IFERROR(__xludf.DUMMYFUNCTION("""COMPUTED_VALUE"""),"https://www.kcci.com/article/shooting-reported-outside-des-moines-iowa-school/39359495# https://www.desmoinesregister.com/story/news/crime-and-courts/2022/03/07/des-moines-police-responding-to-report-of-multiple-people-shot-outside-des-moines-east-high-sc"&amp;"hool/9416980002/
https://www.desmoinesregister.com/story/news/crime-and-courts/2023/02/21/east-high-school-shooting-teen-sentenced-jose-lopez-perez-death/69925459007/")</f>
        <v>https://www.kcci.com/article/shooting-reported-outside-des-moines-iowa-school/39359495# https://www.desmoinesregister.com/story/news/crime-and-courts/2022/03/07/des-moines-police-responding-to-report-of-multiple-people-shot-outside-des-moines-east-high-school/9416980002/
https://www.desmoinesregister.com/story/news/crime-and-courts/2023/02/21/east-high-school-shooting-teen-sentenced-jose-lopez-perez-death/69925459007/</v>
      </c>
      <c r="L1120" s="8">
        <f ca="1">IFERROR(__xludf.DUMMYFUNCTION("""COMPUTED_VALUE"""),100)</f>
        <v>100</v>
      </c>
      <c r="M1120" s="8" t="str">
        <f ca="1">IFERROR(__xludf.DUMMYFUNCTION("""COMPUTED_VALUE"""),"National")</f>
        <v>National</v>
      </c>
      <c r="N1120" s="8">
        <f ca="1">IFERROR(__xludf.DUMMYFUNCTION("""COMPUTED_VALUE"""),4)</f>
        <v>4</v>
      </c>
      <c r="O1120" s="8" t="str">
        <f ca="1">IFERROR(__xludf.DUMMYFUNCTION("""COMPUTED_VALUE"""),"Spring")</f>
        <v>Spring</v>
      </c>
      <c r="P1120" s="8" t="str">
        <f ca="1">IFERROR(__xludf.DUMMYFUNCTION("""COMPUTED_VALUE"""),"Des Moines")</f>
        <v>Des Moines</v>
      </c>
      <c r="Q1120" s="8" t="str">
        <f ca="1">IFERROR(__xludf.DUMMYFUNCTION("""COMPUTED_VALUE"""),"IA")</f>
        <v>IA</v>
      </c>
      <c r="R1120" s="8" t="str">
        <f ca="1">IFERROR(__xludf.DUMMYFUNCTION("""COMPUTED_VALUE"""),"High")</f>
        <v>High</v>
      </c>
      <c r="S1120" s="8" t="str">
        <f ca="1">IFERROR(__xludf.DUMMYFUNCTION("""COMPUTED_VALUE"""),"Front of School")</f>
        <v>Front of School</v>
      </c>
      <c r="T1120" s="8" t="str">
        <f ca="1">IFERROR(__xludf.DUMMYFUNCTION("""COMPUTED_VALUE"""),"Outside on School Property")</f>
        <v>Outside on School Property</v>
      </c>
      <c r="U1120" s="8" t="str">
        <f ca="1">IFERROR(__xludf.DUMMYFUNCTION("""COMPUTED_VALUE"""),"Yes")</f>
        <v>Yes</v>
      </c>
      <c r="V1120" s="8" t="str">
        <f ca="1">IFERROR(__xludf.DUMMYFUNCTION("""COMPUTED_VALUE"""),"Dismissal")</f>
        <v>Dismissal</v>
      </c>
      <c r="W1120" s="11">
        <f ca="1">IFERROR(__xludf.DUMMYFUNCTION("""COMPUTED_VALUE"""),0.618055555555555)</f>
        <v>0.61805555555555503</v>
      </c>
      <c r="X1120" s="8">
        <f ca="1">IFERROR(__xludf.DUMMYFUNCTION("""COMPUTED_VALUE"""),1)</f>
        <v>1</v>
      </c>
      <c r="Y1120" s="12" t="str">
        <f ca="1">IFERROR(__xludf.DUMMYFUNCTION("""COMPUTED_VALUE"""),"3 teens shot in front of school at dismissal")</f>
        <v>3 teens shot in front of school at dismissal</v>
      </c>
      <c r="Z1120" s="12" t="str">
        <f ca="1">IFERROR(__xludf.DUMMYFUNCTION("""COMPUTED_VALUE"""),"A 15-year-old male non-student and two female students (16 and 18) were shot during a drive-by shooting in front of the school. 40 shots were fired by 10 teens from 3 different vehicles. Six teens (age 14-17 fired shots, police recorded 6 handguns during "&amp;"search warrants). The male teen killed was the target and the two girls were bystanders. School went on lockdown. Witnesses said multiple shots were fired. Shooter fled. School cancelled the following day. All six teens charged with first degree murder an"&amp;"d attempted murder.")</f>
        <v>A 15-year-old male non-student and two female students (16 and 18) were shot during a drive-by shooting in front of the school. 40 shots were fired by 10 teens from 3 different vehicles. Six teens (age 14-17 fired shots, police recorded 6 handguns during search warrants). The male teen killed was the target and the two girls were bystanders. School went on lockdown. Witnesses said multiple shots were fired. Shooter fled. School cancelled the following day. All six teens charged with first degree murder and attempted murder.</v>
      </c>
      <c r="AA1120" s="8" t="str">
        <f ca="1">IFERROR(__xludf.DUMMYFUNCTION("""COMPUTED_VALUE"""),"Drive-by Shooting")</f>
        <v>Drive-by Shooting</v>
      </c>
      <c r="AB1120" s="8"/>
      <c r="AC1120" s="8" t="str">
        <f ca="1">IFERROR(__xludf.DUMMYFUNCTION("""COMPUTED_VALUE"""),"Yes")</f>
        <v>Yes</v>
      </c>
      <c r="AD1120" s="8" t="str">
        <f ca="1">IFERROR(__xludf.DUMMYFUNCTION("""COMPUTED_VALUE"""),"Both")</f>
        <v>Both</v>
      </c>
      <c r="AE1120" s="8" t="str">
        <f ca="1">IFERROR(__xludf.DUMMYFUNCTION("""COMPUTED_VALUE"""),"Yes")</f>
        <v>Yes</v>
      </c>
      <c r="AF1120" s="8" t="str">
        <f ca="1">IFERROR(__xludf.DUMMYFUNCTION("""COMPUTED_VALUE"""),"6 teens arrested with 6 handguns")</f>
        <v>6 teens arrested with 6 handguns</v>
      </c>
      <c r="AG1120" s="8" t="str">
        <f ca="1">IFERROR(__xludf.DUMMYFUNCTION("""COMPUTED_VALUE"""),"No")</f>
        <v>No</v>
      </c>
      <c r="AH1120" s="8" t="str">
        <f ca="1">IFERROR(__xludf.DUMMYFUNCTION("""COMPUTED_VALUE"""),"No")</f>
        <v>No</v>
      </c>
      <c r="AI1120" s="8" t="str">
        <f ca="1">IFERROR(__xludf.DUMMYFUNCTION("""COMPUTED_VALUE"""),"No")</f>
        <v>No</v>
      </c>
      <c r="AJ1120" s="8" t="str">
        <f ca="1">IFERROR(__xludf.DUMMYFUNCTION("""COMPUTED_VALUE"""),"No")</f>
        <v>No</v>
      </c>
      <c r="AK1120" s="8" t="str">
        <f ca="1">IFERROR(__xludf.DUMMYFUNCTION("""COMPUTED_VALUE"""),"No")</f>
        <v>No</v>
      </c>
      <c r="AL1120" s="8" t="str">
        <f ca="1">IFERROR(__xludf.DUMMYFUNCTION("""COMPUTED_VALUE"""),"Yes")</f>
        <v>Yes</v>
      </c>
      <c r="AM1120" s="8" t="str">
        <f ca="1">IFERROR(__xludf.DUMMYFUNCTION("""COMPUTED_VALUE"""),"No")</f>
        <v>No</v>
      </c>
      <c r="AN1120" s="8"/>
      <c r="AO1120" s="8" t="str">
        <f ca="1">IFERROR(__xludf.DUMMYFUNCTION("""COMPUTED_VALUE"""),"No")</f>
        <v>No</v>
      </c>
      <c r="AP1120" s="8" t="str">
        <f ca="1">IFERROR(__xludf.DUMMYFUNCTION("""COMPUTED_VALUE"""),"No")</f>
        <v>No</v>
      </c>
      <c r="AQ1120" s="8"/>
      <c r="AR1120" s="8" t="str">
        <f ca="1">IFERROR(__xludf.DUMMYFUNCTION("""COMPUTED_VALUE"""),"Outside/Off-Property")</f>
        <v>Outside/Off-Property</v>
      </c>
      <c r="AS1120" s="8">
        <f ca="1">IFERROR(__xludf.DUMMYFUNCTION("""COMPUTED_VALUE"""),40)</f>
        <v>40</v>
      </c>
      <c r="AT1120" s="8" t="str">
        <f ca="1">IFERROR(__xludf.DUMMYFUNCTION("""COMPUTED_VALUE"""),"Yes")</f>
        <v>Yes</v>
      </c>
      <c r="AU1120" s="8">
        <f ca="1">IFERROR(__xludf.DUMMYFUNCTION("""COMPUTED_VALUE"""),41.596979)</f>
        <v>41.596978999999997</v>
      </c>
      <c r="AV1120" s="8">
        <f ca="1">IFERROR(__xludf.DUMMYFUNCTION("""COMPUTED_VALUE"""),-93.60133)</f>
        <v>-93.601330000000004</v>
      </c>
      <c r="AW1120" s="8"/>
      <c r="AX1120" s="8">
        <f ca="1">IFERROR(__xludf.DUMMYFUNCTION("""COMPUTED_VALUE"""),50316)</f>
        <v>50316</v>
      </c>
    </row>
    <row r="1121" spans="1:50" ht="90" x14ac:dyDescent="0.2">
      <c r="A1121" s="8" t="str">
        <f ca="1">IFERROR(__xludf.DUMMYFUNCTION("""COMPUTED_VALUE"""),"20220304KSOLO")</f>
        <v>20220304KSOLO</v>
      </c>
      <c r="B1121" s="8">
        <f ca="1">IFERROR(__xludf.DUMMYFUNCTION("""COMPUTED_VALUE"""),3)</f>
        <v>3</v>
      </c>
      <c r="C1121" s="8">
        <f ca="1">IFERROR(__xludf.DUMMYFUNCTION("""COMPUTED_VALUE"""),4)</f>
        <v>4</v>
      </c>
      <c r="D1121" s="8">
        <f ca="1">IFERROR(__xludf.DUMMYFUNCTION("""COMPUTED_VALUE"""),2022)</f>
        <v>2022</v>
      </c>
      <c r="E1121" s="9">
        <f ca="1">IFERROR(__xludf.DUMMYFUNCTION("""COMPUTED_VALUE"""),44624)</f>
        <v>44624</v>
      </c>
      <c r="F1121" s="8" t="str">
        <f ca="1">IFERROR(__xludf.DUMMYFUNCTION("""COMPUTED_VALUE"""),"Olathe East High School")</f>
        <v>Olathe East High School</v>
      </c>
      <c r="G1121" s="8">
        <f ca="1">IFERROR(__xludf.DUMMYFUNCTION("""COMPUTED_VALUE"""),0)</f>
        <v>0</v>
      </c>
      <c r="H1121" s="8">
        <f ca="1">IFERROR(__xludf.DUMMYFUNCTION("""COMPUTED_VALUE"""),2)</f>
        <v>2</v>
      </c>
      <c r="I1121" s="8">
        <f ca="1">IFERROR(__xludf.DUMMYFUNCTION("""COMPUTED_VALUE"""),2)</f>
        <v>2</v>
      </c>
      <c r="J1121" s="8">
        <f ca="1">IFERROR(__xludf.DUMMYFUNCTION("""COMPUTED_VALUE"""),0)</f>
        <v>0</v>
      </c>
      <c r="K1121" s="8" t="str">
        <f ca="1">IFERROR(__xludf.DUMMYFUNCTION("""COMPUTED_VALUE"""),"https://www.kmbc.com/article/olathe-east-johnson-county-kansas-shooting-high-school-sro-justified/40690814#
https://fox4kc.com/news/police-respond-to-reported-shooting-at-olathe-east-high-school/ https://www.kshb.com/news/crime/police-student-brandished-h"&amp;"andgun-in-olathe-east-high-school-shooting https://www.kcur.org/news/2022-03-04/olathe-east-high-school-officer-and-administrator-injured-in-shooting-suspect-in-custody https://www.kmbc.com/article/olathe-east-high-school-shooting-kansas/39326822# https:/"&amp;"/fox4kc.com/news/olathe-east-hs-shooting-videos-audio-inside-the-school/")</f>
        <v>https://www.kmbc.com/article/olathe-east-johnson-county-kansas-shooting-high-school-sro-justified/40690814#
https://fox4kc.com/news/police-respond-to-reported-shooting-at-olathe-east-high-school/ https://www.kshb.com/news/crime/police-student-brandished-handgun-in-olathe-east-high-school-shooting https://www.kcur.org/news/2022-03-04/olathe-east-high-school-officer-and-administrator-injured-in-shooting-suspect-in-custody https://www.kmbc.com/article/olathe-east-high-school-shooting-kansas/39326822# https://fox4kc.com/news/olathe-east-hs-shooting-videos-audio-inside-the-school/</v>
      </c>
      <c r="L1121" s="8">
        <f ca="1">IFERROR(__xludf.DUMMYFUNCTION("""COMPUTED_VALUE"""),100)</f>
        <v>100</v>
      </c>
      <c r="M1121" s="8" t="str">
        <f ca="1">IFERROR(__xludf.DUMMYFUNCTION("""COMPUTED_VALUE"""),"National")</f>
        <v>National</v>
      </c>
      <c r="N1121" s="8">
        <f ca="1">IFERROR(__xludf.DUMMYFUNCTION("""COMPUTED_VALUE"""),4)</f>
        <v>4</v>
      </c>
      <c r="O1121" s="8" t="str">
        <f ca="1">IFERROR(__xludf.DUMMYFUNCTION("""COMPUTED_VALUE"""),"Spring")</f>
        <v>Spring</v>
      </c>
      <c r="P1121" s="8" t="str">
        <f ca="1">IFERROR(__xludf.DUMMYFUNCTION("""COMPUTED_VALUE"""),"Olathe")</f>
        <v>Olathe</v>
      </c>
      <c r="Q1121" s="8" t="str">
        <f ca="1">IFERROR(__xludf.DUMMYFUNCTION("""COMPUTED_VALUE"""),"KS")</f>
        <v>KS</v>
      </c>
      <c r="R1121" s="8" t="str">
        <f ca="1">IFERROR(__xludf.DUMMYFUNCTION("""COMPUTED_VALUE"""),"High")</f>
        <v>High</v>
      </c>
      <c r="S1121" s="8" t="str">
        <f ca="1">IFERROR(__xludf.DUMMYFUNCTION("""COMPUTED_VALUE"""),"Office")</f>
        <v>Office</v>
      </c>
      <c r="T1121" s="8" t="str">
        <f ca="1">IFERROR(__xludf.DUMMYFUNCTION("""COMPUTED_VALUE"""),"Inside School Building")</f>
        <v>Inside School Building</v>
      </c>
      <c r="U1121" s="8" t="str">
        <f ca="1">IFERROR(__xludf.DUMMYFUNCTION("""COMPUTED_VALUE"""),"Yes")</f>
        <v>Yes</v>
      </c>
      <c r="V1121" s="8" t="str">
        <f ca="1">IFERROR(__xludf.DUMMYFUNCTION("""COMPUTED_VALUE"""),"Morning Classes")</f>
        <v>Morning Classes</v>
      </c>
      <c r="W1121" s="11">
        <f ca="1">IFERROR(__xludf.DUMMYFUNCTION("""COMPUTED_VALUE"""),0.4375)</f>
        <v>0.4375</v>
      </c>
      <c r="X1121" s="8">
        <f ca="1">IFERROR(__xludf.DUMMYFUNCTION("""COMPUTED_VALUE"""),1)</f>
        <v>1</v>
      </c>
      <c r="Y1121" s="12" t="str">
        <f ca="1">IFERROR(__xludf.DUMMYFUNCTION("""COMPUTED_VALUE"""),"Student shot principal and SRO in school office")</f>
        <v>Student shot principal and SRO in school office</v>
      </c>
      <c r="Z1121" s="12" t="str">
        <f ca="1">IFERROR(__xludf.DUMMYFUNCTION("""COMPUTED_VALUE"""),"Principal got tip about student with gun. Student was called to the office and refused to open backpack. Principal called SRO and when the SRO walked into office, student shot both of them. SRO was able to return fire and critically injure student/shooter"&amp;". School went on lockdown. No other staff or students were injured.")</f>
        <v>Principal got tip about student with gun. Student was called to the office and refused to open backpack. Principal called SRO and when the SRO walked into office, student shot both of them. SRO was able to return fire and critically injure student/shooter. School went on lockdown. No other staff or students were injured.</v>
      </c>
      <c r="AA1121" s="8" t="str">
        <f ca="1">IFERROR(__xludf.DUMMYFUNCTION("""COMPUTED_VALUE"""),"Anger Over Grade/Suspension/Discipline")</f>
        <v>Anger Over Grade/Suspension/Discipline</v>
      </c>
      <c r="AB1121" s="8"/>
      <c r="AC1121" s="8" t="str">
        <f ca="1">IFERROR(__xludf.DUMMYFUNCTION("""COMPUTED_VALUE"""),"Yes")</f>
        <v>Yes</v>
      </c>
      <c r="AD1121" s="8" t="str">
        <f ca="1">IFERROR(__xludf.DUMMYFUNCTION("""COMPUTED_VALUE"""),"Victims Targeted")</f>
        <v>Victims Targeted</v>
      </c>
      <c r="AE1121" s="8" t="str">
        <f ca="1">IFERROR(__xludf.DUMMYFUNCTION("""COMPUTED_VALUE"""),"No")</f>
        <v>No</v>
      </c>
      <c r="AF1121" s="8"/>
      <c r="AG1121" s="8" t="str">
        <f ca="1">IFERROR(__xludf.DUMMYFUNCTION("""COMPUTED_VALUE"""),"No")</f>
        <v>No</v>
      </c>
      <c r="AH1121" s="8" t="str">
        <f ca="1">IFERROR(__xludf.DUMMYFUNCTION("""COMPUTED_VALUE"""),"No")</f>
        <v>No</v>
      </c>
      <c r="AI1121" s="8" t="str">
        <f ca="1">IFERROR(__xludf.DUMMYFUNCTION("""COMPUTED_VALUE"""),"No")</f>
        <v>No</v>
      </c>
      <c r="AJ1121" s="8" t="str">
        <f ca="1">IFERROR(__xludf.DUMMYFUNCTION("""COMPUTED_VALUE"""),"No")</f>
        <v>No</v>
      </c>
      <c r="AK1121" s="8" t="str">
        <f ca="1">IFERROR(__xludf.DUMMYFUNCTION("""COMPUTED_VALUE"""),"No")</f>
        <v>No</v>
      </c>
      <c r="AL1121" s="8" t="str">
        <f ca="1">IFERROR(__xludf.DUMMYFUNCTION("""COMPUTED_VALUE"""),"No")</f>
        <v>No</v>
      </c>
      <c r="AM1121" s="8" t="str">
        <f ca="1">IFERROR(__xludf.DUMMYFUNCTION("""COMPUTED_VALUE"""),"No")</f>
        <v>No</v>
      </c>
      <c r="AN1121" s="8"/>
      <c r="AO1121" s="8" t="str">
        <f ca="1">IFERROR(__xludf.DUMMYFUNCTION("""COMPUTED_VALUE"""),"No")</f>
        <v>No</v>
      </c>
      <c r="AP1121" s="8" t="str">
        <f ca="1">IFERROR(__xludf.DUMMYFUNCTION("""COMPUTED_VALUE"""),"Yes")</f>
        <v>Yes</v>
      </c>
      <c r="AQ1121" s="8" t="str">
        <f ca="1">IFERROR(__xludf.DUMMYFUNCTION("""COMPUTED_VALUE"""),"Armed Guards")</f>
        <v>Armed Guards</v>
      </c>
      <c r="AR1121" s="8" t="str">
        <f ca="1">IFERROR(__xludf.DUMMYFUNCTION("""COMPUTED_VALUE"""),"Failed")</f>
        <v>Failed</v>
      </c>
      <c r="AS1121" s="8">
        <f ca="1">IFERROR(__xludf.DUMMYFUNCTION("""COMPUTED_VALUE"""),10)</f>
        <v>10</v>
      </c>
      <c r="AT1121" s="8" t="str">
        <f ca="1">IFERROR(__xludf.DUMMYFUNCTION("""COMPUTED_VALUE"""),"Yes")</f>
        <v>Yes</v>
      </c>
      <c r="AU1121" s="8">
        <f ca="1">IFERROR(__xludf.DUMMYFUNCTION("""COMPUTED_VALUE"""),38.896527)</f>
        <v>38.896526999999999</v>
      </c>
      <c r="AV1121" s="8">
        <f ca="1">IFERROR(__xludf.DUMMYFUNCTION("""COMPUTED_VALUE"""),-94.75303)</f>
        <v>-94.753029999999995</v>
      </c>
      <c r="AW1121" s="8"/>
      <c r="AX1121" s="8">
        <f ca="1">IFERROR(__xludf.DUMMYFUNCTION("""COMPUTED_VALUE"""),66062)</f>
        <v>66062</v>
      </c>
    </row>
    <row r="1122" spans="1:50" ht="60" x14ac:dyDescent="0.2">
      <c r="A1122" s="8" t="str">
        <f ca="1">IFERROR(__xludf.DUMMYFUNCTION("""COMPUTED_VALUE"""),"20220303MIJWL")</f>
        <v>20220303MIJWL</v>
      </c>
      <c r="B1122" s="8">
        <f ca="1">IFERROR(__xludf.DUMMYFUNCTION("""COMPUTED_VALUE"""),3)</f>
        <v>3</v>
      </c>
      <c r="C1122" s="8">
        <f ca="1">IFERROR(__xludf.DUMMYFUNCTION("""COMPUTED_VALUE"""),3)</f>
        <v>3</v>
      </c>
      <c r="D1122" s="8">
        <f ca="1">IFERROR(__xludf.DUMMYFUNCTION("""COMPUTED_VALUE"""),2022)</f>
        <v>2022</v>
      </c>
      <c r="E1122" s="9">
        <f ca="1">IFERROR(__xludf.DUMMYFUNCTION("""COMPUTED_VALUE"""),44623)</f>
        <v>44623</v>
      </c>
      <c r="F1122" s="8" t="str">
        <f ca="1">IFERROR(__xludf.DUMMYFUNCTION("""COMPUTED_VALUE"""),"JW Sexton High School")</f>
        <v>JW Sexton High School</v>
      </c>
      <c r="G1122" s="8">
        <f ca="1">IFERROR(__xludf.DUMMYFUNCTION("""COMPUTED_VALUE"""),0)</f>
        <v>0</v>
      </c>
      <c r="H1122" s="8">
        <f ca="1">IFERROR(__xludf.DUMMYFUNCTION("""COMPUTED_VALUE"""),1)</f>
        <v>1</v>
      </c>
      <c r="I1122" s="8">
        <f ca="1">IFERROR(__xludf.DUMMYFUNCTION("""COMPUTED_VALUE"""),1)</f>
        <v>1</v>
      </c>
      <c r="J1122" s="8">
        <f ca="1">IFERROR(__xludf.DUMMYFUNCTION("""COMPUTED_VALUE"""),0)</f>
        <v>0</v>
      </c>
      <c r="K1122" s="8" t="str">
        <f ca="1">IFERROR(__xludf.DUMMYFUNCTION("""COMPUTED_VALUE"""),"https://www.wilx.com/2022/03/03/teenager-shot-near-lansing-sexton-high-school/ https://www.wlns.com/news/michigan/lansing-sexton-hs-secured-in-place/ https://www.wilx.com/2022/03/04/shooting-near-lansing-sexton-high-school-wounds-17-year-old-boy/")</f>
        <v>https://www.wilx.com/2022/03/03/teenager-shot-near-lansing-sexton-high-school/ https://www.wlns.com/news/michigan/lansing-sexton-hs-secured-in-place/ https://www.wilx.com/2022/03/04/shooting-near-lansing-sexton-high-school-wounds-17-year-old-boy/</v>
      </c>
      <c r="L1122" s="8">
        <f ca="1">IFERROR(__xludf.DUMMYFUNCTION("""COMPUTED_VALUE"""),3)</f>
        <v>3</v>
      </c>
      <c r="M1122" s="8" t="str">
        <f ca="1">IFERROR(__xludf.DUMMYFUNCTION("""COMPUTED_VALUE"""),"Local")</f>
        <v>Local</v>
      </c>
      <c r="N1122" s="8">
        <f ca="1">IFERROR(__xludf.DUMMYFUNCTION("""COMPUTED_VALUE"""),4)</f>
        <v>4</v>
      </c>
      <c r="O1122" s="8" t="str">
        <f ca="1">IFERROR(__xludf.DUMMYFUNCTION("""COMPUTED_VALUE"""),"Winter")</f>
        <v>Winter</v>
      </c>
      <c r="P1122" s="8" t="str">
        <f ca="1">IFERROR(__xludf.DUMMYFUNCTION("""COMPUTED_VALUE"""),"Lansing")</f>
        <v>Lansing</v>
      </c>
      <c r="Q1122" s="8" t="str">
        <f ca="1">IFERROR(__xludf.DUMMYFUNCTION("""COMPUTED_VALUE"""),"MI")</f>
        <v>MI</v>
      </c>
      <c r="R1122" s="8" t="str">
        <f ca="1">IFERROR(__xludf.DUMMYFUNCTION("""COMPUTED_VALUE"""),"High")</f>
        <v>High</v>
      </c>
      <c r="S1122" s="8" t="str">
        <f ca="1">IFERROR(__xludf.DUMMYFUNCTION("""COMPUTED_VALUE"""),"Parking Lot")</f>
        <v>Parking Lot</v>
      </c>
      <c r="T1122" s="8" t="str">
        <f ca="1">IFERROR(__xludf.DUMMYFUNCTION("""COMPUTED_VALUE"""),"Outside on School Property")</f>
        <v>Outside on School Property</v>
      </c>
      <c r="U1122" s="8" t="str">
        <f ca="1">IFERROR(__xludf.DUMMYFUNCTION("""COMPUTED_VALUE"""),"Yes")</f>
        <v>Yes</v>
      </c>
      <c r="V1122" s="8" t="str">
        <f ca="1">IFERROR(__xludf.DUMMYFUNCTION("""COMPUTED_VALUE"""),"Afternoon Classes")</f>
        <v>Afternoon Classes</v>
      </c>
      <c r="W1122" s="11">
        <f ca="1">IFERROR(__xludf.DUMMYFUNCTION("""COMPUTED_VALUE"""),0.552083333333333)</f>
        <v>0.55208333333333304</v>
      </c>
      <c r="X1122" s="8">
        <f ca="1">IFERROR(__xludf.DUMMYFUNCTION("""COMPUTED_VALUE"""),1)</f>
        <v>1</v>
      </c>
      <c r="Y1122" s="12" t="str">
        <f ca="1">IFERROR(__xludf.DUMMYFUNCTION("""COMPUTED_VALUE"""),"Teen shot in school parking lot following road rage incident")</f>
        <v>Teen shot in school parking lot following road rage incident</v>
      </c>
      <c r="Z1122" s="12" t="str">
        <f ca="1">IFERROR(__xludf.DUMMYFUNCTION("""COMPUTED_VALUE"""),"17-year-old male was shot in both legs following a road rage dispute that ended with a vehicle crashing into a tree in the school parking lot. School was in session and locked down for 1.5 hours.")</f>
        <v>17-year-old male was shot in both legs following a road rage dispute that ended with a vehicle crashing into a tree in the school parking lot. School was in session and locked down for 1.5 hours.</v>
      </c>
      <c r="AA1122" s="8" t="str">
        <f ca="1">IFERROR(__xludf.DUMMYFUNCTION("""COMPUTED_VALUE"""),"Escalation of Dispute")</f>
        <v>Escalation of Dispute</v>
      </c>
      <c r="AB1122" s="8"/>
      <c r="AC1122" s="8" t="str">
        <f ca="1">IFERROR(__xludf.DUMMYFUNCTION("""COMPUTED_VALUE"""),"Yes")</f>
        <v>Yes</v>
      </c>
      <c r="AD1122" s="8" t="str">
        <f ca="1">IFERROR(__xludf.DUMMYFUNCTION("""COMPUTED_VALUE"""),"Victims Targeted")</f>
        <v>Victims Targeted</v>
      </c>
      <c r="AE1122" s="8" t="str">
        <f ca="1">IFERROR(__xludf.DUMMYFUNCTION("""COMPUTED_VALUE"""),"No")</f>
        <v>No</v>
      </c>
      <c r="AF1122" s="8"/>
      <c r="AG1122" s="8" t="str">
        <f ca="1">IFERROR(__xludf.DUMMYFUNCTION("""COMPUTED_VALUE"""),"No")</f>
        <v>No</v>
      </c>
      <c r="AH1122" s="8" t="str">
        <f ca="1">IFERROR(__xludf.DUMMYFUNCTION("""COMPUTED_VALUE"""),"No")</f>
        <v>No</v>
      </c>
      <c r="AI1122" s="8" t="str">
        <f ca="1">IFERROR(__xludf.DUMMYFUNCTION("""COMPUTED_VALUE"""),"No")</f>
        <v>No</v>
      </c>
      <c r="AJ1122" s="8" t="str">
        <f ca="1">IFERROR(__xludf.DUMMYFUNCTION("""COMPUTED_VALUE"""),"No")</f>
        <v>No</v>
      </c>
      <c r="AK1122" s="8" t="str">
        <f ca="1">IFERROR(__xludf.DUMMYFUNCTION("""COMPUTED_VALUE"""),"No")</f>
        <v>No</v>
      </c>
      <c r="AL1122" s="8" t="str">
        <f ca="1">IFERROR(__xludf.DUMMYFUNCTION("""COMPUTED_VALUE"""),"No")</f>
        <v>No</v>
      </c>
      <c r="AM1122" s="8" t="str">
        <f ca="1">IFERROR(__xludf.DUMMYFUNCTION("""COMPUTED_VALUE"""),"No")</f>
        <v>No</v>
      </c>
      <c r="AN1122" s="8"/>
      <c r="AO1122" s="8" t="str">
        <f ca="1">IFERROR(__xludf.DUMMYFUNCTION("""COMPUTED_VALUE"""),"No")</f>
        <v>No</v>
      </c>
      <c r="AP1122" s="8"/>
      <c r="AQ1122" s="8"/>
      <c r="AR1122" s="8" t="str">
        <f ca="1">IFERROR(__xludf.DUMMYFUNCTION("""COMPUTED_VALUE"""),"Outside/Off-Property")</f>
        <v>Outside/Off-Property</v>
      </c>
      <c r="AS1122" s="8">
        <f ca="1">IFERROR(__xludf.DUMMYFUNCTION("""COMPUTED_VALUE"""),99)</f>
        <v>99</v>
      </c>
      <c r="AT1122" s="8" t="str">
        <f ca="1">IFERROR(__xludf.DUMMYFUNCTION("""COMPUTED_VALUE"""),"Yes")</f>
        <v>Yes</v>
      </c>
      <c r="AU1122" s="8">
        <f ca="1">IFERROR(__xludf.DUMMYFUNCTION("""COMPUTED_VALUE"""),42.731554)</f>
        <v>42.731554000000003</v>
      </c>
      <c r="AV1122" s="8">
        <f ca="1">IFERROR(__xludf.DUMMYFUNCTION("""COMPUTED_VALUE"""),-84.575545)</f>
        <v>-84.575545000000005</v>
      </c>
      <c r="AW1122" s="8"/>
      <c r="AX1122" s="8">
        <f ca="1">IFERROR(__xludf.DUMMYFUNCTION("""COMPUTED_VALUE"""),48915)</f>
        <v>48915</v>
      </c>
    </row>
    <row r="1123" spans="1:50" ht="105" x14ac:dyDescent="0.2">
      <c r="A1123" s="8" t="str">
        <f ca="1">IFERROR(__xludf.DUMMYFUNCTION("""COMPUTED_VALUE"""),"20220228GAJOJ")</f>
        <v>20220228GAJOJ</v>
      </c>
      <c r="B1123" s="8">
        <f ca="1">IFERROR(__xludf.DUMMYFUNCTION("""COMPUTED_VALUE"""),2)</f>
        <v>2</v>
      </c>
      <c r="C1123" s="8">
        <f ca="1">IFERROR(__xludf.DUMMYFUNCTION("""COMPUTED_VALUE"""),28)</f>
        <v>28</v>
      </c>
      <c r="D1123" s="8">
        <f ca="1">IFERROR(__xludf.DUMMYFUNCTION("""COMPUTED_VALUE"""),2022)</f>
        <v>2022</v>
      </c>
      <c r="E1123" s="9">
        <f ca="1">IFERROR(__xludf.DUMMYFUNCTION("""COMPUTED_VALUE"""),44620)</f>
        <v>44620</v>
      </c>
      <c r="F1123" s="8" t="str">
        <f ca="1">IFERROR(__xludf.DUMMYFUNCTION("""COMPUTED_VALUE"""),"Jonesboro High School")</f>
        <v>Jonesboro High School</v>
      </c>
      <c r="G1123" s="8">
        <f ca="1">IFERROR(__xludf.DUMMYFUNCTION("""COMPUTED_VALUE"""),0)</f>
        <v>0</v>
      </c>
      <c r="H1123" s="8">
        <f ca="1">IFERROR(__xludf.DUMMYFUNCTION("""COMPUTED_VALUE"""),0)</f>
        <v>0</v>
      </c>
      <c r="I1123" s="8">
        <f ca="1">IFERROR(__xludf.DUMMYFUNCTION("""COMPUTED_VALUE"""),0)</f>
        <v>0</v>
      </c>
      <c r="J1123" s="8">
        <f ca="1">IFERROR(__xludf.DUMMYFUNCTION("""COMPUTED_VALUE"""),0)</f>
        <v>0</v>
      </c>
      <c r="K1123" s="10" t="str">
        <f ca="1">IFERROR(__xludf.DUMMYFUNCTION("""COMPUTED_VALUE"""),"https://www.fox5atlanta.com/news/gun-goes-off-at-jonesboro-high-school-prompting-lockdown")</f>
        <v>https://www.fox5atlanta.com/news/gun-goes-off-at-jonesboro-high-school-prompting-lockdown</v>
      </c>
      <c r="L1123" s="8">
        <f ca="1">IFERROR(__xludf.DUMMYFUNCTION("""COMPUTED_VALUE"""),1)</f>
        <v>1</v>
      </c>
      <c r="M1123" s="8" t="str">
        <f ca="1">IFERROR(__xludf.DUMMYFUNCTION("""COMPUTED_VALUE"""),"Local")</f>
        <v>Local</v>
      </c>
      <c r="N1123" s="8">
        <f ca="1">IFERROR(__xludf.DUMMYFUNCTION("""COMPUTED_VALUE"""),4)</f>
        <v>4</v>
      </c>
      <c r="O1123" s="8" t="str">
        <f ca="1">IFERROR(__xludf.DUMMYFUNCTION("""COMPUTED_VALUE"""),"Winter")</f>
        <v>Winter</v>
      </c>
      <c r="P1123" s="8" t="str">
        <f ca="1">IFERROR(__xludf.DUMMYFUNCTION("""COMPUTED_VALUE"""),"Jonesboro")</f>
        <v>Jonesboro</v>
      </c>
      <c r="Q1123" s="8" t="str">
        <f ca="1">IFERROR(__xludf.DUMMYFUNCTION("""COMPUTED_VALUE"""),"GA")</f>
        <v>GA</v>
      </c>
      <c r="R1123" s="8" t="str">
        <f ca="1">IFERROR(__xludf.DUMMYFUNCTION("""COMPUTED_VALUE"""),"High")</f>
        <v>High</v>
      </c>
      <c r="S1123" s="8" t="str">
        <f ca="1">IFERROR(__xludf.DUMMYFUNCTION("""COMPUTED_VALUE"""),"Inside School Building")</f>
        <v>Inside School Building</v>
      </c>
      <c r="T1123" s="8" t="str">
        <f ca="1">IFERROR(__xludf.DUMMYFUNCTION("""COMPUTED_VALUE"""),"Inside School Building")</f>
        <v>Inside School Building</v>
      </c>
      <c r="U1123" s="8" t="str">
        <f ca="1">IFERROR(__xludf.DUMMYFUNCTION("""COMPUTED_VALUE"""),"Yes")</f>
        <v>Yes</v>
      </c>
      <c r="V1123" s="8"/>
      <c r="W1123" s="8"/>
      <c r="X1123" s="8">
        <f ca="1">IFERROR(__xludf.DUMMYFUNCTION("""COMPUTED_VALUE"""),1)</f>
        <v>1</v>
      </c>
      <c r="Y1123" s="12" t="str">
        <f ca="1">IFERROR(__xludf.DUMMYFUNCTION("""COMPUTED_VALUE"""),"Student fired gun inside school")</f>
        <v>Student fired gun inside school</v>
      </c>
      <c r="Z1123" s="12" t="str">
        <f ca="1">IFERROR(__xludf.DUMMYFUNCTION("""COMPUTED_VALUE"""),"A gun went off at Jonesboro High School in Clayton County Monday, sending the school into lockdown and causing police to respond, district officials said. According to Clayton County Public Schools, a student brought the weapon to school. It's unclear how"&amp;" the gun went off. Fortunately no one was injured. School officials did not release where on campus the shot was fired.")</f>
        <v>A gun went off at Jonesboro High School in Clayton County Monday, sending the school into lockdown and causing police to respond, district officials said. According to Clayton County Public Schools, a student brought the weapon to school. It's unclear how the gun went off. Fortunately no one was injured. School officials did not release where on campus the shot was fired.</v>
      </c>
      <c r="AA1123" s="8"/>
      <c r="AB1123" s="8"/>
      <c r="AC1123" s="8" t="str">
        <f ca="1">IFERROR(__xludf.DUMMYFUNCTION("""COMPUTED_VALUE"""),"Yes")</f>
        <v>Yes</v>
      </c>
      <c r="AD1123" s="8"/>
      <c r="AE1123" s="8" t="str">
        <f ca="1">IFERROR(__xludf.DUMMYFUNCTION("""COMPUTED_VALUE"""),"No")</f>
        <v>No</v>
      </c>
      <c r="AF1123" s="8"/>
      <c r="AG1123" s="8" t="str">
        <f ca="1">IFERROR(__xludf.DUMMYFUNCTION("""COMPUTED_VALUE"""),"No")</f>
        <v>No</v>
      </c>
      <c r="AH1123" s="8" t="str">
        <f ca="1">IFERROR(__xludf.DUMMYFUNCTION("""COMPUTED_VALUE"""),"No")</f>
        <v>No</v>
      </c>
      <c r="AI1123" s="8" t="str">
        <f ca="1">IFERROR(__xludf.DUMMYFUNCTION("""COMPUTED_VALUE"""),"No")</f>
        <v>No</v>
      </c>
      <c r="AJ1123" s="8" t="str">
        <f ca="1">IFERROR(__xludf.DUMMYFUNCTION("""COMPUTED_VALUE"""),"No")</f>
        <v>No</v>
      </c>
      <c r="AK1123" s="8" t="str">
        <f ca="1">IFERROR(__xludf.DUMMYFUNCTION("""COMPUTED_VALUE"""),"No")</f>
        <v>No</v>
      </c>
      <c r="AL1123" s="8" t="str">
        <f ca="1">IFERROR(__xludf.DUMMYFUNCTION("""COMPUTED_VALUE"""),"No")</f>
        <v>No</v>
      </c>
      <c r="AM1123" s="8" t="str">
        <f ca="1">IFERROR(__xludf.DUMMYFUNCTION("""COMPUTED_VALUE"""),"No")</f>
        <v>No</v>
      </c>
      <c r="AN1123" s="8"/>
      <c r="AO1123" s="8" t="str">
        <f ca="1">IFERROR(__xludf.DUMMYFUNCTION("""COMPUTED_VALUE"""),"No")</f>
        <v>No</v>
      </c>
      <c r="AP1123" s="8"/>
      <c r="AQ1123" s="8"/>
      <c r="AR1123" s="8" t="str">
        <f ca="1">IFERROR(__xludf.DUMMYFUNCTION("""COMPUTED_VALUE"""),"Failed")</f>
        <v>Failed</v>
      </c>
      <c r="AS1123" s="8">
        <f ca="1">IFERROR(__xludf.DUMMYFUNCTION("""COMPUTED_VALUE"""),1)</f>
        <v>1</v>
      </c>
      <c r="AT1123" s="8" t="str">
        <f ca="1">IFERROR(__xludf.DUMMYFUNCTION("""COMPUTED_VALUE"""),"Yes")</f>
        <v>Yes</v>
      </c>
      <c r="AU1123" s="8">
        <f ca="1">IFERROR(__xludf.DUMMYFUNCTION("""COMPUTED_VALUE"""),33.5427)</f>
        <v>33.542700000000004</v>
      </c>
      <c r="AV1123" s="8">
        <f ca="1">IFERROR(__xludf.DUMMYFUNCTION("""COMPUTED_VALUE"""),-84.3428)</f>
        <v>-84.342799999999997</v>
      </c>
      <c r="AW1123" s="8"/>
      <c r="AX1123" s="8">
        <f ca="1">IFERROR(__xludf.DUMMYFUNCTION("""COMPUTED_VALUE"""),30260)</f>
        <v>30260</v>
      </c>
    </row>
    <row r="1124" spans="1:50" ht="60" x14ac:dyDescent="0.2">
      <c r="A1124" s="8" t="str">
        <f ca="1">IFERROR(__xludf.DUMMYFUNCTION("""COMPUTED_VALUE"""),"20220228NYBOB")</f>
        <v>20220228NYBOB</v>
      </c>
      <c r="B1124" s="8">
        <f ca="1">IFERROR(__xludf.DUMMYFUNCTION("""COMPUTED_VALUE"""),2)</f>
        <v>2</v>
      </c>
      <c r="C1124" s="8">
        <f ca="1">IFERROR(__xludf.DUMMYFUNCTION("""COMPUTED_VALUE"""),28)</f>
        <v>28</v>
      </c>
      <c r="D1124" s="8">
        <f ca="1">IFERROR(__xludf.DUMMYFUNCTION("""COMPUTED_VALUE"""),2022)</f>
        <v>2022</v>
      </c>
      <c r="E1124" s="9">
        <f ca="1">IFERROR(__xludf.DUMMYFUNCTION("""COMPUTED_VALUE"""),44620)</f>
        <v>44620</v>
      </c>
      <c r="F1124" s="8" t="str">
        <f ca="1">IFERROR(__xludf.DUMMYFUNCTION("""COMPUTED_VALUE"""),"Boys and Girls High School")</f>
        <v>Boys and Girls High School</v>
      </c>
      <c r="G1124" s="8">
        <f ca="1">IFERROR(__xludf.DUMMYFUNCTION("""COMPUTED_VALUE"""),0)</f>
        <v>0</v>
      </c>
      <c r="H1124" s="8">
        <f ca="1">IFERROR(__xludf.DUMMYFUNCTION("""COMPUTED_VALUE"""),1)</f>
        <v>1</v>
      </c>
      <c r="I1124" s="8">
        <f ca="1">IFERROR(__xludf.DUMMYFUNCTION("""COMPUTED_VALUE"""),1)</f>
        <v>1</v>
      </c>
      <c r="J1124" s="8">
        <f ca="1">IFERROR(__xludf.DUMMYFUNCTION("""COMPUTED_VALUE"""),0)</f>
        <v>0</v>
      </c>
      <c r="K1124" s="8" t="str">
        <f ca="1">IFERROR(__xludf.DUMMYFUNCTION("""COMPUTED_VALUE"""),"https://nypost.com/2022/03/01/mom-of-teen-shot-outside-nyc-school-says-city-crime-surge-feels-hopeless/ https://www.nbcnewyork.com/news/local/crime-and-courts/14-year-old-boy-shot-in-ankle-outside-brooklyn-high-school/3576206/ https://www.brooklynpaper.co"&amp;"m/14-year-old-shot-outside-school-in-bed-stuy/ https://nypost.com/2022/02/28/teen-boy-shot-in-leg-outside-nyc-high-school/")</f>
        <v>https://nypost.com/2022/03/01/mom-of-teen-shot-outside-nyc-school-says-city-crime-surge-feels-hopeless/ https://www.nbcnewyork.com/news/local/crime-and-courts/14-year-old-boy-shot-in-ankle-outside-brooklyn-high-school/3576206/ https://www.brooklynpaper.com/14-year-old-shot-outside-school-in-bed-stuy/ https://nypost.com/2022/02/28/teen-boy-shot-in-leg-outside-nyc-high-school/</v>
      </c>
      <c r="L1124" s="8">
        <f ca="1">IFERROR(__xludf.DUMMYFUNCTION("""COMPUTED_VALUE"""),5)</f>
        <v>5</v>
      </c>
      <c r="M1124" s="8" t="str">
        <f ca="1">IFERROR(__xludf.DUMMYFUNCTION("""COMPUTED_VALUE"""),"Regional")</f>
        <v>Regional</v>
      </c>
      <c r="N1124" s="8">
        <f ca="1">IFERROR(__xludf.DUMMYFUNCTION("""COMPUTED_VALUE"""),4)</f>
        <v>4</v>
      </c>
      <c r="O1124" s="8" t="str">
        <f ca="1">IFERROR(__xludf.DUMMYFUNCTION("""COMPUTED_VALUE"""),"Winter")</f>
        <v>Winter</v>
      </c>
      <c r="P1124" s="8" t="str">
        <f ca="1">IFERROR(__xludf.DUMMYFUNCTION("""COMPUTED_VALUE"""),"Brooklyn")</f>
        <v>Brooklyn</v>
      </c>
      <c r="Q1124" s="8" t="str">
        <f ca="1">IFERROR(__xludf.DUMMYFUNCTION("""COMPUTED_VALUE"""),"NY")</f>
        <v>NY</v>
      </c>
      <c r="R1124" s="8" t="str">
        <f ca="1">IFERROR(__xludf.DUMMYFUNCTION("""COMPUTED_VALUE"""),"High")</f>
        <v>High</v>
      </c>
      <c r="S1124" s="8" t="str">
        <f ca="1">IFERROR(__xludf.DUMMYFUNCTION("""COMPUTED_VALUE"""),"Front of School")</f>
        <v>Front of School</v>
      </c>
      <c r="T1124" s="8" t="str">
        <f ca="1">IFERROR(__xludf.DUMMYFUNCTION("""COMPUTED_VALUE"""),"Outside on School Property")</f>
        <v>Outside on School Property</v>
      </c>
      <c r="U1124" s="8" t="str">
        <f ca="1">IFERROR(__xludf.DUMMYFUNCTION("""COMPUTED_VALUE"""),"Yes")</f>
        <v>Yes</v>
      </c>
      <c r="V1124" s="8" t="str">
        <f ca="1">IFERROR(__xludf.DUMMYFUNCTION("""COMPUTED_VALUE"""),"Dismissal")</f>
        <v>Dismissal</v>
      </c>
      <c r="W1124" s="11">
        <f ca="1">IFERROR(__xludf.DUMMYFUNCTION("""COMPUTED_VALUE"""),0.618055555555555)</f>
        <v>0.61805555555555503</v>
      </c>
      <c r="X1124" s="8">
        <f ca="1">IFERROR(__xludf.DUMMYFUNCTION("""COMPUTED_VALUE"""),1)</f>
        <v>1</v>
      </c>
      <c r="Y1124" s="12" t="str">
        <f ca="1">IFERROR(__xludf.DUMMYFUNCTION("""COMPUTED_VALUE"""),"Student shot at dismissal in front of school")</f>
        <v>Student shot at dismissal in front of school</v>
      </c>
      <c r="Z1124" s="12" t="str">
        <f ca="1">IFERROR(__xludf.DUMMYFUNCTION("""COMPUTED_VALUE"""),"A bystander student was shot in front of the school during dismissal. The 14-year-old male student was shot in the leg. Shooter fled. Shooting occurred during a dispute between 2 groups of teens.")</f>
        <v>A bystander student was shot in front of the school during dismissal. The 14-year-old male student was shot in the leg. Shooter fled. Shooting occurred during a dispute between 2 groups of teens.</v>
      </c>
      <c r="AA1124" s="8" t="str">
        <f ca="1">IFERROR(__xludf.DUMMYFUNCTION("""COMPUTED_VALUE"""),"Escalation of Dispute")</f>
        <v>Escalation of Dispute</v>
      </c>
      <c r="AB1124" s="8"/>
      <c r="AC1124" s="8" t="str">
        <f ca="1">IFERROR(__xludf.DUMMYFUNCTION("""COMPUTED_VALUE"""),"Yes")</f>
        <v>Yes</v>
      </c>
      <c r="AD1124" s="8" t="str">
        <f ca="1">IFERROR(__xludf.DUMMYFUNCTION("""COMPUTED_VALUE"""),"Both")</f>
        <v>Both</v>
      </c>
      <c r="AE1124" s="8" t="str">
        <f ca="1">IFERROR(__xludf.DUMMYFUNCTION("""COMPUTED_VALUE"""),"No")</f>
        <v>No</v>
      </c>
      <c r="AF1124" s="8"/>
      <c r="AG1124" s="8" t="str">
        <f ca="1">IFERROR(__xludf.DUMMYFUNCTION("""COMPUTED_VALUE"""),"No")</f>
        <v>No</v>
      </c>
      <c r="AH1124" s="8" t="str">
        <f ca="1">IFERROR(__xludf.DUMMYFUNCTION("""COMPUTED_VALUE"""),"No")</f>
        <v>No</v>
      </c>
      <c r="AI1124" s="8" t="str">
        <f ca="1">IFERROR(__xludf.DUMMYFUNCTION("""COMPUTED_VALUE"""),"No")</f>
        <v>No</v>
      </c>
      <c r="AJ1124" s="8" t="str">
        <f ca="1">IFERROR(__xludf.DUMMYFUNCTION("""COMPUTED_VALUE"""),"No")</f>
        <v>No</v>
      </c>
      <c r="AK1124" s="8" t="str">
        <f ca="1">IFERROR(__xludf.DUMMYFUNCTION("""COMPUTED_VALUE"""),"No")</f>
        <v>No</v>
      </c>
      <c r="AL1124" s="8"/>
      <c r="AM1124" s="8" t="str">
        <f ca="1">IFERROR(__xludf.DUMMYFUNCTION("""COMPUTED_VALUE"""),"No")</f>
        <v>No</v>
      </c>
      <c r="AN1124" s="8"/>
      <c r="AO1124" s="8" t="str">
        <f ca="1">IFERROR(__xludf.DUMMYFUNCTION("""COMPUTED_VALUE"""),"No")</f>
        <v>No</v>
      </c>
      <c r="AP1124" s="8"/>
      <c r="AQ1124" s="8"/>
      <c r="AR1124" s="8" t="str">
        <f ca="1">IFERROR(__xludf.DUMMYFUNCTION("""COMPUTED_VALUE"""),"Outside/Off-Property")</f>
        <v>Outside/Off-Property</v>
      </c>
      <c r="AS1124" s="8">
        <f ca="1">IFERROR(__xludf.DUMMYFUNCTION("""COMPUTED_VALUE"""),99)</f>
        <v>99</v>
      </c>
      <c r="AT1124" s="8"/>
      <c r="AU1124" s="8">
        <f ca="1">IFERROR(__xludf.DUMMYFUNCTION("""COMPUTED_VALUE"""),40.678518)</f>
        <v>40.678517999999997</v>
      </c>
      <c r="AV1124" s="8">
        <f ca="1">IFERROR(__xludf.DUMMYFUNCTION("""COMPUTED_VALUE"""),-73.930305)</f>
        <v>-73.930305000000004</v>
      </c>
      <c r="AW1124" s="8"/>
      <c r="AX1124" s="8">
        <f ca="1">IFERROR(__xludf.DUMMYFUNCTION("""COMPUTED_VALUE"""),11207)</f>
        <v>11207</v>
      </c>
    </row>
    <row r="1125" spans="1:50" ht="30" x14ac:dyDescent="0.2">
      <c r="A1125" s="8" t="str">
        <f ca="1">IFERROR(__xludf.DUMMYFUNCTION("""COMPUTED_VALUE"""),"20220227DCDUW")</f>
        <v>20220227DCDUW</v>
      </c>
      <c r="B1125" s="8">
        <f ca="1">IFERROR(__xludf.DUMMYFUNCTION("""COMPUTED_VALUE"""),2)</f>
        <v>2</v>
      </c>
      <c r="C1125" s="8">
        <f ca="1">IFERROR(__xludf.DUMMYFUNCTION("""COMPUTED_VALUE"""),27)</f>
        <v>27</v>
      </c>
      <c r="D1125" s="8">
        <f ca="1">IFERROR(__xludf.DUMMYFUNCTION("""COMPUTED_VALUE"""),2022)</f>
        <v>2022</v>
      </c>
      <c r="E1125" s="9">
        <f ca="1">IFERROR(__xludf.DUMMYFUNCTION("""COMPUTED_VALUE"""),44619)</f>
        <v>44619</v>
      </c>
      <c r="F1125" s="8" t="str">
        <f ca="1">IFERROR(__xludf.DUMMYFUNCTION("""COMPUTED_VALUE"""),"Dunbar High School")</f>
        <v>Dunbar High School</v>
      </c>
      <c r="G1125" s="8">
        <f ca="1">IFERROR(__xludf.DUMMYFUNCTION("""COMPUTED_VALUE"""),1)</f>
        <v>1</v>
      </c>
      <c r="H1125" s="8">
        <f ca="1">IFERROR(__xludf.DUMMYFUNCTION("""COMPUTED_VALUE"""),0)</f>
        <v>0</v>
      </c>
      <c r="I1125" s="8">
        <f ca="1">IFERROR(__xludf.DUMMYFUNCTION("""COMPUTED_VALUE"""),1)</f>
        <v>1</v>
      </c>
      <c r="J1125" s="8">
        <f ca="1">IFERROR(__xludf.DUMMYFUNCTION("""COMPUTED_VALUE"""),0)</f>
        <v>0</v>
      </c>
      <c r="K1125" s="8" t="str">
        <f ca="1">IFERROR(__xludf.DUMMYFUNCTION("""COMPUTED_VALUE"""),"https://www.washingtonpost.com/dc-md-va/2022/02/27/man-shot-dunbar-high-dc/ https://www.fox5dc.com/news/dc-police-investigate-deadly-shooting-outside-of-dunbar-high-school")</f>
        <v>https://www.washingtonpost.com/dc-md-va/2022/02/27/man-shot-dunbar-high-dc/ https://www.fox5dc.com/news/dc-police-investigate-deadly-shooting-outside-of-dunbar-high-school</v>
      </c>
      <c r="L1125" s="8">
        <f ca="1">IFERROR(__xludf.DUMMYFUNCTION("""COMPUTED_VALUE"""),2)</f>
        <v>2</v>
      </c>
      <c r="M1125" s="8" t="str">
        <f ca="1">IFERROR(__xludf.DUMMYFUNCTION("""COMPUTED_VALUE"""),"Local")</f>
        <v>Local</v>
      </c>
      <c r="N1125" s="8">
        <f ca="1">IFERROR(__xludf.DUMMYFUNCTION("""COMPUTED_VALUE"""),3)</f>
        <v>3</v>
      </c>
      <c r="O1125" s="8" t="str">
        <f ca="1">IFERROR(__xludf.DUMMYFUNCTION("""COMPUTED_VALUE"""),"Winter")</f>
        <v>Winter</v>
      </c>
      <c r="P1125" s="8" t="str">
        <f ca="1">IFERROR(__xludf.DUMMYFUNCTION("""COMPUTED_VALUE"""),"Washington")</f>
        <v>Washington</v>
      </c>
      <c r="Q1125" s="8" t="str">
        <f ca="1">IFERROR(__xludf.DUMMYFUNCTION("""COMPUTED_VALUE"""),"DC")</f>
        <v>DC</v>
      </c>
      <c r="R1125" s="8" t="str">
        <f ca="1">IFERROR(__xludf.DUMMYFUNCTION("""COMPUTED_VALUE"""),"High")</f>
        <v>High</v>
      </c>
      <c r="S1125" s="8" t="str">
        <f ca="1">IFERROR(__xludf.DUMMYFUNCTION("""COMPUTED_VALUE"""),"Front of School")</f>
        <v>Front of School</v>
      </c>
      <c r="T1125" s="8" t="str">
        <f ca="1">IFERROR(__xludf.DUMMYFUNCTION("""COMPUTED_VALUE"""),"Outside on School Property")</f>
        <v>Outside on School Property</v>
      </c>
      <c r="U1125" s="8" t="str">
        <f ca="1">IFERROR(__xludf.DUMMYFUNCTION("""COMPUTED_VALUE"""),"No")</f>
        <v>No</v>
      </c>
      <c r="V1125" s="8" t="str">
        <f ca="1">IFERROR(__xludf.DUMMYFUNCTION("""COMPUTED_VALUE"""),"Not a School Day")</f>
        <v>Not a School Day</v>
      </c>
      <c r="W1125" s="11">
        <f ca="1">IFERROR(__xludf.DUMMYFUNCTION("""COMPUTED_VALUE"""),0.215277777777777)</f>
        <v>0.21527777777777701</v>
      </c>
      <c r="X1125" s="8">
        <f ca="1">IFERROR(__xludf.DUMMYFUNCTION("""COMPUTED_VALUE"""),1)</f>
        <v>1</v>
      </c>
      <c r="Y1125" s="12" t="str">
        <f ca="1">IFERROR(__xludf.DUMMYFUNCTION("""COMPUTED_VALUE"""),"Man fatally shot in front of school")</f>
        <v>Man fatally shot in front of school</v>
      </c>
      <c r="Z1125" s="12" t="str">
        <f ca="1">IFERROR(__xludf.DUMMYFUNCTION("""COMPUTED_VALUE"""),"A 32-year-old man was fatally shot in front of the school. Shooter fled.")</f>
        <v>A 32-year-old man was fatally shot in front of the school. Shooter fled.</v>
      </c>
      <c r="AA1125" s="8"/>
      <c r="AB1125" s="8"/>
      <c r="AC1125" s="8" t="str">
        <f ca="1">IFERROR(__xludf.DUMMYFUNCTION("""COMPUTED_VALUE"""),"No")</f>
        <v>No</v>
      </c>
      <c r="AD1125" s="8" t="str">
        <f ca="1">IFERROR(__xludf.DUMMYFUNCTION("""COMPUTED_VALUE"""),"Victims Targeted")</f>
        <v>Victims Targeted</v>
      </c>
      <c r="AE1125" s="8" t="str">
        <f ca="1">IFERROR(__xludf.DUMMYFUNCTION("""COMPUTED_VALUE"""),"No")</f>
        <v>No</v>
      </c>
      <c r="AF1125" s="8"/>
      <c r="AG1125" s="8" t="str">
        <f ca="1">IFERROR(__xludf.DUMMYFUNCTION("""COMPUTED_VALUE"""),"No")</f>
        <v>No</v>
      </c>
      <c r="AH1125" s="8" t="str">
        <f ca="1">IFERROR(__xludf.DUMMYFUNCTION("""COMPUTED_VALUE"""),"No")</f>
        <v>No</v>
      </c>
      <c r="AI1125" s="8" t="str">
        <f ca="1">IFERROR(__xludf.DUMMYFUNCTION("""COMPUTED_VALUE"""),"No")</f>
        <v>No</v>
      </c>
      <c r="AJ1125" s="8" t="str">
        <f ca="1">IFERROR(__xludf.DUMMYFUNCTION("""COMPUTED_VALUE"""),"No")</f>
        <v>No</v>
      </c>
      <c r="AK1125" s="8" t="str">
        <f ca="1">IFERROR(__xludf.DUMMYFUNCTION("""COMPUTED_VALUE"""),"No")</f>
        <v>No</v>
      </c>
      <c r="AL1125" s="8"/>
      <c r="AM1125" s="8" t="str">
        <f ca="1">IFERROR(__xludf.DUMMYFUNCTION("""COMPUTED_VALUE"""),"No")</f>
        <v>No</v>
      </c>
      <c r="AN1125" s="8"/>
      <c r="AO1125" s="8" t="str">
        <f ca="1">IFERROR(__xludf.DUMMYFUNCTION("""COMPUTED_VALUE"""),"No")</f>
        <v>No</v>
      </c>
      <c r="AP1125" s="8"/>
      <c r="AQ1125" s="8"/>
      <c r="AR1125" s="8" t="str">
        <f ca="1">IFERROR(__xludf.DUMMYFUNCTION("""COMPUTED_VALUE"""),"Outside/Off-Property")</f>
        <v>Outside/Off-Property</v>
      </c>
      <c r="AS1125" s="8"/>
      <c r="AT1125" s="8"/>
      <c r="AU1125" s="8">
        <f ca="1">IFERROR(__xludf.DUMMYFUNCTION("""COMPUTED_VALUE"""),38.90772)</f>
        <v>38.907719999999998</v>
      </c>
      <c r="AV1125" s="8">
        <f ca="1">IFERROR(__xludf.DUMMYFUNCTION("""COMPUTED_VALUE"""),-77.014029)</f>
        <v>-77.014028999999994</v>
      </c>
      <c r="AW1125" s="8"/>
      <c r="AX1125" s="8">
        <f ca="1">IFERROR(__xludf.DUMMYFUNCTION("""COMPUTED_VALUE"""),20001)</f>
        <v>20001</v>
      </c>
    </row>
    <row r="1126" spans="1:50" ht="120" x14ac:dyDescent="0.2">
      <c r="A1126" s="8" t="str">
        <f ca="1">IFERROR(__xludf.DUMMYFUNCTION("""COMPUTED_VALUE"""),"20220225NMWEA")</f>
        <v>20220225NMWEA</v>
      </c>
      <c r="B1126" s="8">
        <f ca="1">IFERROR(__xludf.DUMMYFUNCTION("""COMPUTED_VALUE"""),2)</f>
        <v>2</v>
      </c>
      <c r="C1126" s="8">
        <f ca="1">IFERROR(__xludf.DUMMYFUNCTION("""COMPUTED_VALUE"""),25)</f>
        <v>25</v>
      </c>
      <c r="D1126" s="8">
        <f ca="1">IFERROR(__xludf.DUMMYFUNCTION("""COMPUTED_VALUE"""),2022)</f>
        <v>2022</v>
      </c>
      <c r="E1126" s="9">
        <f ca="1">IFERROR(__xludf.DUMMYFUNCTION("""COMPUTED_VALUE"""),44617)</f>
        <v>44617</v>
      </c>
      <c r="F1126" s="8" t="str">
        <f ca="1">IFERROR(__xludf.DUMMYFUNCTION("""COMPUTED_VALUE"""),"West Mesa High School")</f>
        <v>West Mesa High School</v>
      </c>
      <c r="G1126" s="8">
        <f ca="1">IFERROR(__xludf.DUMMYFUNCTION("""COMPUTED_VALUE"""),1)</f>
        <v>1</v>
      </c>
      <c r="H1126" s="8">
        <f ca="1">IFERROR(__xludf.DUMMYFUNCTION("""COMPUTED_VALUE"""),0)</f>
        <v>0</v>
      </c>
      <c r="I1126" s="8">
        <f ca="1">IFERROR(__xludf.DUMMYFUNCTION("""COMPUTED_VALUE"""),1)</f>
        <v>1</v>
      </c>
      <c r="J1126" s="8">
        <f ca="1">IFERROR(__xludf.DUMMYFUNCTION("""COMPUTED_VALUE"""),0)</f>
        <v>0</v>
      </c>
      <c r="K1126" s="8" t="str">
        <f ca="1">IFERROR(__xludf.DUMMYFUNCTION("""COMPUTED_VALUE"""),"https://www.santafenewmexican.com/news/local_news/albuquerque-police-arrest-teen-accused-in-fatal-shooting/article_8549e4ba-9720-11ec-abf4-834ea5fc7066.html https://www.cbs58.com/news/police-arrest-14-year-old-in-connection-with-fatal-shooting-near-albuqu"&amp;"erque-high-school https://www.krqe.com/news/albuquerque-metro/west-mesa-high-school-in-shelter-in-place-due-to-nearby-police-activity/ https://www.koat.com/article/west-mesa-high-school-in-shelter-in-place-following-shooting/39225432")</f>
        <v>https://www.santafenewmexican.com/news/local_news/albuquerque-police-arrest-teen-accused-in-fatal-shooting/article_8549e4ba-9720-11ec-abf4-834ea5fc7066.html https://www.cbs58.com/news/police-arrest-14-year-old-in-connection-with-fatal-shooting-near-albuquerque-high-school https://www.krqe.com/news/albuquerque-metro/west-mesa-high-school-in-shelter-in-place-due-to-nearby-police-activity/ https://www.koat.com/article/west-mesa-high-school-in-shelter-in-place-following-shooting/39225432</v>
      </c>
      <c r="L1126" s="8">
        <f ca="1">IFERROR(__xludf.DUMMYFUNCTION("""COMPUTED_VALUE"""),100)</f>
        <v>100</v>
      </c>
      <c r="M1126" s="8" t="str">
        <f ca="1">IFERROR(__xludf.DUMMYFUNCTION("""COMPUTED_VALUE"""),"National")</f>
        <v>National</v>
      </c>
      <c r="N1126" s="8">
        <f ca="1">IFERROR(__xludf.DUMMYFUNCTION("""COMPUTED_VALUE"""),4)</f>
        <v>4</v>
      </c>
      <c r="O1126" s="8" t="str">
        <f ca="1">IFERROR(__xludf.DUMMYFUNCTION("""COMPUTED_VALUE"""),"Winter")</f>
        <v>Winter</v>
      </c>
      <c r="P1126" s="8" t="str">
        <f ca="1">IFERROR(__xludf.DUMMYFUNCTION("""COMPUTED_VALUE"""),"Albuquerque")</f>
        <v>Albuquerque</v>
      </c>
      <c r="Q1126" s="8" t="str">
        <f ca="1">IFERROR(__xludf.DUMMYFUNCTION("""COMPUTED_VALUE"""),"NM")</f>
        <v>NM</v>
      </c>
      <c r="R1126" s="8" t="str">
        <f ca="1">IFERROR(__xludf.DUMMYFUNCTION("""COMPUTED_VALUE"""),"High")</f>
        <v>High</v>
      </c>
      <c r="S1126" s="8" t="str">
        <f ca="1">IFERROR(__xludf.DUMMYFUNCTION("""COMPUTED_VALUE"""),"Football Field/Track")</f>
        <v>Football Field/Track</v>
      </c>
      <c r="T1126" s="8" t="str">
        <f ca="1">IFERROR(__xludf.DUMMYFUNCTION("""COMPUTED_VALUE"""),"Off School Property")</f>
        <v>Off School Property</v>
      </c>
      <c r="U1126" s="8" t="str">
        <f ca="1">IFERROR(__xludf.DUMMYFUNCTION("""COMPUTED_VALUE"""),"Yes")</f>
        <v>Yes</v>
      </c>
      <c r="V1126" s="8" t="str">
        <f ca="1">IFERROR(__xludf.DUMMYFUNCTION("""COMPUTED_VALUE"""),"Morning Classes")</f>
        <v>Morning Classes</v>
      </c>
      <c r="W1126" s="11">
        <f ca="1">IFERROR(__xludf.DUMMYFUNCTION("""COMPUTED_VALUE"""),0.333333333333333)</f>
        <v>0.33333333333333298</v>
      </c>
      <c r="X1126" s="8">
        <f ca="1">IFERROR(__xludf.DUMMYFUNCTION("""COMPUTED_VALUE"""),1)</f>
        <v>1</v>
      </c>
      <c r="Y1126" s="12" t="str">
        <f ca="1">IFERROR(__xludf.DUMMYFUNCTION("""COMPUTED_VALUE"""),"Student fatally shot another student during dispute over stolen ""ghost gun""")</f>
        <v>Student fatally shot another student during dispute over stolen "ghost gun"</v>
      </c>
      <c r="Z1126" s="12" t="str">
        <f ca="1">IFERROR(__xludf.DUMMYFUNCTION("""COMPUTED_VALUE"""),"A 14-year-old student fatally shot a 16-year-old student during a dispute over a stolen gun that was purchased online. The victim was walking in front of the school and was chased by the shooter down the street near the football field. Victim was shot 5-6"&amp;" times and died at the scene. Students changing classes for 2nd period were outside and witnessed the shooting. School went into lockdown and then dismissed early.")</f>
        <v>A 14-year-old student fatally shot a 16-year-old student during a dispute over a stolen gun that was purchased online. The victim was walking in front of the school and was chased by the shooter down the street near the football field. Victim was shot 5-6 times and died at the scene. Students changing classes for 2nd period were outside and witnessed the shooting. School went into lockdown and then dismissed early.</v>
      </c>
      <c r="AA1126" s="8" t="str">
        <f ca="1">IFERROR(__xludf.DUMMYFUNCTION("""COMPUTED_VALUE"""),"Escalation of Dispute")</f>
        <v>Escalation of Dispute</v>
      </c>
      <c r="AB1126" s="8"/>
      <c r="AC1126" s="8" t="str">
        <f ca="1">IFERROR(__xludf.DUMMYFUNCTION("""COMPUTED_VALUE"""),"Yes")</f>
        <v>Yes</v>
      </c>
      <c r="AD1126" s="8" t="str">
        <f ca="1">IFERROR(__xludf.DUMMYFUNCTION("""COMPUTED_VALUE"""),"Victims Targeted")</f>
        <v>Victims Targeted</v>
      </c>
      <c r="AE1126" s="8" t="str">
        <f ca="1">IFERROR(__xludf.DUMMYFUNCTION("""COMPUTED_VALUE"""),"No")</f>
        <v>No</v>
      </c>
      <c r="AF1126" s="8"/>
      <c r="AG1126" s="8" t="str">
        <f ca="1">IFERROR(__xludf.DUMMYFUNCTION("""COMPUTED_VALUE"""),"No")</f>
        <v>No</v>
      </c>
      <c r="AH1126" s="8" t="str">
        <f ca="1">IFERROR(__xludf.DUMMYFUNCTION("""COMPUTED_VALUE"""),"No")</f>
        <v>No</v>
      </c>
      <c r="AI1126" s="8" t="str">
        <f ca="1">IFERROR(__xludf.DUMMYFUNCTION("""COMPUTED_VALUE"""),"No")</f>
        <v>No</v>
      </c>
      <c r="AJ1126" s="8" t="str">
        <f ca="1">IFERROR(__xludf.DUMMYFUNCTION("""COMPUTED_VALUE"""),"No")</f>
        <v>No</v>
      </c>
      <c r="AK1126" s="8" t="str">
        <f ca="1">IFERROR(__xludf.DUMMYFUNCTION("""COMPUTED_VALUE"""),"No")</f>
        <v>No</v>
      </c>
      <c r="AL1126" s="8" t="str">
        <f ca="1">IFERROR(__xludf.DUMMYFUNCTION("""COMPUTED_VALUE"""),"No")</f>
        <v>No</v>
      </c>
      <c r="AM1126" s="8" t="str">
        <f ca="1">IFERROR(__xludf.DUMMYFUNCTION("""COMPUTED_VALUE"""),"No")</f>
        <v>No</v>
      </c>
      <c r="AN1126" s="8"/>
      <c r="AO1126" s="8" t="str">
        <f ca="1">IFERROR(__xludf.DUMMYFUNCTION("""COMPUTED_VALUE"""),"No")</f>
        <v>No</v>
      </c>
      <c r="AP1126" s="8"/>
      <c r="AQ1126" s="8"/>
      <c r="AR1126" s="8" t="str">
        <f ca="1">IFERROR(__xludf.DUMMYFUNCTION("""COMPUTED_VALUE"""),"Outside/Off-Property")</f>
        <v>Outside/Off-Property</v>
      </c>
      <c r="AS1126" s="8">
        <f ca="1">IFERROR(__xludf.DUMMYFUNCTION("""COMPUTED_VALUE"""),6)</f>
        <v>6</v>
      </c>
      <c r="AT1126" s="8" t="str">
        <f ca="1">IFERROR(__xludf.DUMMYFUNCTION("""COMPUTED_VALUE"""),"Yes")</f>
        <v>Yes</v>
      </c>
      <c r="AU1126" s="8">
        <f ca="1">IFERROR(__xludf.DUMMYFUNCTION("""COMPUTED_VALUE"""),35.094498)</f>
        <v>35.094498000000002</v>
      </c>
      <c r="AV1126" s="8">
        <f ca="1">IFERROR(__xludf.DUMMYFUNCTION("""COMPUTED_VALUE"""),-106.712386)</f>
        <v>-106.712386</v>
      </c>
      <c r="AW1126" s="8"/>
      <c r="AX1126" s="8">
        <f ca="1">IFERROR(__xludf.DUMMYFUNCTION("""COMPUTED_VALUE"""),87120)</f>
        <v>87120</v>
      </c>
    </row>
    <row r="1127" spans="1:50" ht="45" x14ac:dyDescent="0.2">
      <c r="A1127" s="8" t="str">
        <f ca="1">IFERROR(__xludf.DUMMYFUNCTION("""COMPUTED_VALUE"""),"20220225ALSOH")</f>
        <v>20220225ALSOH</v>
      </c>
      <c r="B1127" s="8">
        <f ca="1">IFERROR(__xludf.DUMMYFUNCTION("""COMPUTED_VALUE"""),2)</f>
        <v>2</v>
      </c>
      <c r="C1127" s="8">
        <f ca="1">IFERROR(__xludf.DUMMYFUNCTION("""COMPUTED_VALUE"""),25)</f>
        <v>25</v>
      </c>
      <c r="D1127" s="8">
        <f ca="1">IFERROR(__xludf.DUMMYFUNCTION("""COMPUTED_VALUE"""),2022)</f>
        <v>2022</v>
      </c>
      <c r="E1127" s="9">
        <f ca="1">IFERROR(__xludf.DUMMYFUNCTION("""COMPUTED_VALUE"""),44617)</f>
        <v>44617</v>
      </c>
      <c r="F1127" s="8" t="str">
        <f ca="1">IFERROR(__xludf.DUMMYFUNCTION("""COMPUTED_VALUE"""),"Sonnie Hereford Elementary")</f>
        <v>Sonnie Hereford Elementary</v>
      </c>
      <c r="G1127" s="8">
        <f ca="1">IFERROR(__xludf.DUMMYFUNCTION("""COMPUTED_VALUE"""),0)</f>
        <v>0</v>
      </c>
      <c r="H1127" s="8">
        <f ca="1">IFERROR(__xludf.DUMMYFUNCTION("""COMPUTED_VALUE"""),0)</f>
        <v>0</v>
      </c>
      <c r="I1127" s="8">
        <f ca="1">IFERROR(__xludf.DUMMYFUNCTION("""COMPUTED_VALUE"""),0)</f>
        <v>0</v>
      </c>
      <c r="J1127" s="8">
        <f ca="1">IFERROR(__xludf.DUMMYFUNCTION("""COMPUTED_VALUE"""),0)</f>
        <v>0</v>
      </c>
      <c r="K1127" s="8" t="str">
        <f ca="1">IFERROR(__xludf.DUMMYFUNCTION("""COMPUTED_VALUE"""),"https://www.al.com/news/huntsville/2022/02/student-shot-in-incident-at-huntsville-elementary-school.html https://www.waaytv.com/news/student-injured-in-shooting-at-a-huntsville-elementary-school/article_7c6a54f2-965c-11ec-b838-038a6f05e35b.html https://wh"&amp;"nt.com/news/huntsville/child-involved-in-shooting-at-huntsville-elementary-school/")</f>
        <v>https://www.al.com/news/huntsville/2022/02/student-shot-in-incident-at-huntsville-elementary-school.html https://www.waaytv.com/news/student-injured-in-shooting-at-a-huntsville-elementary-school/article_7c6a54f2-965c-11ec-b838-038a6f05e35b.html https://whnt.com/news/huntsville/child-involved-in-shooting-at-huntsville-elementary-school/</v>
      </c>
      <c r="L1127" s="8">
        <f ca="1">IFERROR(__xludf.DUMMYFUNCTION("""COMPUTED_VALUE"""),10)</f>
        <v>10</v>
      </c>
      <c r="M1127" s="8" t="str">
        <f ca="1">IFERROR(__xludf.DUMMYFUNCTION("""COMPUTED_VALUE"""),"Regional")</f>
        <v>Regional</v>
      </c>
      <c r="N1127" s="8">
        <f ca="1">IFERROR(__xludf.DUMMYFUNCTION("""COMPUTED_VALUE"""),4)</f>
        <v>4</v>
      </c>
      <c r="O1127" s="8" t="str">
        <f ca="1">IFERROR(__xludf.DUMMYFUNCTION("""COMPUTED_VALUE"""),"Winter")</f>
        <v>Winter</v>
      </c>
      <c r="P1127" s="8" t="str">
        <f ca="1">IFERROR(__xludf.DUMMYFUNCTION("""COMPUTED_VALUE"""),"Huntsville")</f>
        <v>Huntsville</v>
      </c>
      <c r="Q1127" s="8" t="str">
        <f ca="1">IFERROR(__xludf.DUMMYFUNCTION("""COMPUTED_VALUE"""),"AL")</f>
        <v>AL</v>
      </c>
      <c r="R1127" s="8" t="str">
        <f ca="1">IFERROR(__xludf.DUMMYFUNCTION("""COMPUTED_VALUE"""),"Elementary")</f>
        <v>Elementary</v>
      </c>
      <c r="S1127" s="8" t="str">
        <f ca="1">IFERROR(__xludf.DUMMYFUNCTION("""COMPUTED_VALUE"""),"Classroom")</f>
        <v>Classroom</v>
      </c>
      <c r="T1127" s="8" t="str">
        <f ca="1">IFERROR(__xludf.DUMMYFUNCTION("""COMPUTED_VALUE"""),"Inside School Building")</f>
        <v>Inside School Building</v>
      </c>
      <c r="U1127" s="8" t="str">
        <f ca="1">IFERROR(__xludf.DUMMYFUNCTION("""COMPUTED_VALUE"""),"Yes")</f>
        <v>Yes</v>
      </c>
      <c r="V1127" s="8" t="str">
        <f ca="1">IFERROR(__xludf.DUMMYFUNCTION("""COMPUTED_VALUE"""),"Morning Classes")</f>
        <v>Morning Classes</v>
      </c>
      <c r="W1127" s="11">
        <f ca="1">IFERROR(__xludf.DUMMYFUNCTION("""COMPUTED_VALUE"""),0.4375)</f>
        <v>0.4375</v>
      </c>
      <c r="X1127" s="8">
        <f ca="1">IFERROR(__xludf.DUMMYFUNCTION("""COMPUTED_VALUE"""),1)</f>
        <v>1</v>
      </c>
      <c r="Y1127" s="12" t="str">
        <f ca="1">IFERROR(__xludf.DUMMYFUNCTION("""COMPUTED_VALUE"""),"4th grader shot themselves inside classroom")</f>
        <v>4th grader shot themselves inside classroom</v>
      </c>
      <c r="Z1127" s="12" t="str">
        <f ca="1">IFERROR(__xludf.DUMMYFUNCTION("""COMPUTED_VALUE"""),"A 4th grader accidentally shot themselves inside a classroom during morning classes. School went on lockdown. Student was transported to the hospital.")</f>
        <v>A 4th grader accidentally shot themselves inside a classroom during morning classes. School went on lockdown. Student was transported to the hospital.</v>
      </c>
      <c r="AA1127" s="8" t="str">
        <f ca="1">IFERROR(__xludf.DUMMYFUNCTION("""COMPUTED_VALUE"""),"Accidental")</f>
        <v>Accidental</v>
      </c>
      <c r="AB1127" s="8"/>
      <c r="AC1127" s="8" t="str">
        <f ca="1">IFERROR(__xludf.DUMMYFUNCTION("""COMPUTED_VALUE"""),"Yes")</f>
        <v>Yes</v>
      </c>
      <c r="AD1127" s="8" t="str">
        <f ca="1">IFERROR(__xludf.DUMMYFUNCTION("""COMPUTED_VALUE"""),"Neither")</f>
        <v>Neither</v>
      </c>
      <c r="AE1127" s="8" t="str">
        <f ca="1">IFERROR(__xludf.DUMMYFUNCTION("""COMPUTED_VALUE"""),"No")</f>
        <v>No</v>
      </c>
      <c r="AF1127" s="8"/>
      <c r="AG1127" s="8" t="str">
        <f ca="1">IFERROR(__xludf.DUMMYFUNCTION("""COMPUTED_VALUE"""),"No")</f>
        <v>No</v>
      </c>
      <c r="AH1127" s="8" t="str">
        <f ca="1">IFERROR(__xludf.DUMMYFUNCTION("""COMPUTED_VALUE"""),"No")</f>
        <v>No</v>
      </c>
      <c r="AI1127" s="8" t="str">
        <f ca="1">IFERROR(__xludf.DUMMYFUNCTION("""COMPUTED_VALUE"""),"No")</f>
        <v>No</v>
      </c>
      <c r="AJ1127" s="8" t="str">
        <f ca="1">IFERROR(__xludf.DUMMYFUNCTION("""COMPUTED_VALUE"""),"No")</f>
        <v>No</v>
      </c>
      <c r="AK1127" s="8" t="str">
        <f ca="1">IFERROR(__xludf.DUMMYFUNCTION("""COMPUTED_VALUE"""),"No")</f>
        <v>No</v>
      </c>
      <c r="AL1127" s="8" t="str">
        <f ca="1">IFERROR(__xludf.DUMMYFUNCTION("""COMPUTED_VALUE"""),"No")</f>
        <v>No</v>
      </c>
      <c r="AM1127" s="8" t="str">
        <f ca="1">IFERROR(__xludf.DUMMYFUNCTION("""COMPUTED_VALUE"""),"No")</f>
        <v>No</v>
      </c>
      <c r="AN1127" s="8"/>
      <c r="AO1127" s="8" t="str">
        <f ca="1">IFERROR(__xludf.DUMMYFUNCTION("""COMPUTED_VALUE"""),"No")</f>
        <v>No</v>
      </c>
      <c r="AP1127" s="8"/>
      <c r="AQ1127" s="8"/>
      <c r="AR1127" s="8"/>
      <c r="AS1127" s="8">
        <f ca="1">IFERROR(__xludf.DUMMYFUNCTION("""COMPUTED_VALUE"""),1)</f>
        <v>1</v>
      </c>
      <c r="AT1127" s="8" t="str">
        <f ca="1">IFERROR(__xludf.DUMMYFUNCTION("""COMPUTED_VALUE"""),"Yes")</f>
        <v>Yes</v>
      </c>
      <c r="AU1127" s="8">
        <f ca="1">IFERROR(__xludf.DUMMYFUNCTION("""COMPUTED_VALUE"""),34.732848)</f>
        <v>34.732847999999997</v>
      </c>
      <c r="AV1127" s="8">
        <f ca="1">IFERROR(__xludf.DUMMYFUNCTION("""COMPUTED_VALUE"""),-86.606933)</f>
        <v>-86.606932999999998</v>
      </c>
      <c r="AW1127" s="8"/>
      <c r="AX1127" s="8">
        <f ca="1">IFERROR(__xludf.DUMMYFUNCTION("""COMPUTED_VALUE"""),35816)</f>
        <v>35816</v>
      </c>
    </row>
    <row r="1128" spans="1:50" ht="60" x14ac:dyDescent="0.2">
      <c r="A1128" s="8" t="str">
        <f ca="1">IFERROR(__xludf.DUMMYFUNCTION("""COMPUTED_VALUE"""),"20220223VAWOW")</f>
        <v>20220223VAWOW</v>
      </c>
      <c r="B1128" s="8">
        <f ca="1">IFERROR(__xludf.DUMMYFUNCTION("""COMPUTED_VALUE"""),2)</f>
        <v>2</v>
      </c>
      <c r="C1128" s="8">
        <f ca="1">IFERROR(__xludf.DUMMYFUNCTION("""COMPUTED_VALUE"""),23)</f>
        <v>23</v>
      </c>
      <c r="D1128" s="8">
        <f ca="1">IFERROR(__xludf.DUMMYFUNCTION("""COMPUTED_VALUE"""),2022)</f>
        <v>2022</v>
      </c>
      <c r="E1128" s="9">
        <f ca="1">IFERROR(__xludf.DUMMYFUNCTION("""COMPUTED_VALUE"""),44615)</f>
        <v>44615</v>
      </c>
      <c r="F1128" s="8" t="str">
        <f ca="1">IFERROR(__xludf.DUMMYFUNCTION("""COMPUTED_VALUE"""),"Woodbridge High School")</f>
        <v>Woodbridge High School</v>
      </c>
      <c r="G1128" s="8">
        <f ca="1">IFERROR(__xludf.DUMMYFUNCTION("""COMPUTED_VALUE"""),0)</f>
        <v>0</v>
      </c>
      <c r="H1128" s="8">
        <f ca="1">IFERROR(__xludf.DUMMYFUNCTION("""COMPUTED_VALUE"""),0)</f>
        <v>0</v>
      </c>
      <c r="I1128" s="8">
        <f ca="1">IFERROR(__xludf.DUMMYFUNCTION("""COMPUTED_VALUE"""),0)</f>
        <v>0</v>
      </c>
      <c r="J1128" s="8">
        <f ca="1">IFERROR(__xludf.DUMMYFUNCTION("""COMPUTED_VALUE"""),0)</f>
        <v>0</v>
      </c>
      <c r="K1128" s="8" t="str">
        <f ca="1">IFERROR(__xludf.DUMMYFUNCTION("""COMPUTED_VALUE"""),"https://patch.com/virginia/woodbridge-va/shot-fired-during-arguement-woodbridge-high-school-police https://www.insidenova.com/news/crime_police/shot-fired-outside-during-woodbridge-high-school-basketball-game/article_b3cbb604-95a6-11ec-8722-4f7af58c5947.h"&amp;"tml")</f>
        <v>https://patch.com/virginia/woodbridge-va/shot-fired-during-arguement-woodbridge-high-school-police https://www.insidenova.com/news/crime_police/shot-fired-outside-during-woodbridge-high-school-basketball-game/article_b3cbb604-95a6-11ec-8722-4f7af58c5947.html</v>
      </c>
      <c r="L1128" s="8">
        <f ca="1">IFERROR(__xludf.DUMMYFUNCTION("""COMPUTED_VALUE"""),2)</f>
        <v>2</v>
      </c>
      <c r="M1128" s="8" t="str">
        <f ca="1">IFERROR(__xludf.DUMMYFUNCTION("""COMPUTED_VALUE"""),"Local")</f>
        <v>Local</v>
      </c>
      <c r="N1128" s="8">
        <f ca="1">IFERROR(__xludf.DUMMYFUNCTION("""COMPUTED_VALUE"""),4)</f>
        <v>4</v>
      </c>
      <c r="O1128" s="8" t="str">
        <f ca="1">IFERROR(__xludf.DUMMYFUNCTION("""COMPUTED_VALUE"""),"Winter")</f>
        <v>Winter</v>
      </c>
      <c r="P1128" s="8" t="str">
        <f ca="1">IFERROR(__xludf.DUMMYFUNCTION("""COMPUTED_VALUE"""),"Woodbridge")</f>
        <v>Woodbridge</v>
      </c>
      <c r="Q1128" s="8" t="str">
        <f ca="1">IFERROR(__xludf.DUMMYFUNCTION("""COMPUTED_VALUE"""),"VA")</f>
        <v>VA</v>
      </c>
      <c r="R1128" s="8" t="str">
        <f ca="1">IFERROR(__xludf.DUMMYFUNCTION("""COMPUTED_VALUE"""),"High")</f>
        <v>High</v>
      </c>
      <c r="S1128" s="8" t="str">
        <f ca="1">IFERROR(__xludf.DUMMYFUNCTION("""COMPUTED_VALUE"""),"Parking Lot")</f>
        <v>Parking Lot</v>
      </c>
      <c r="T1128" s="8" t="str">
        <f ca="1">IFERROR(__xludf.DUMMYFUNCTION("""COMPUTED_VALUE"""),"Outside on School Property")</f>
        <v>Outside on School Property</v>
      </c>
      <c r="U1128" s="8" t="str">
        <f ca="1">IFERROR(__xludf.DUMMYFUNCTION("""COMPUTED_VALUE"""),"No")</f>
        <v>No</v>
      </c>
      <c r="V1128" s="8" t="str">
        <f ca="1">IFERROR(__xludf.DUMMYFUNCTION("""COMPUTED_VALUE"""),"Sport Event")</f>
        <v>Sport Event</v>
      </c>
      <c r="W1128" s="11">
        <f ca="1">IFERROR(__xludf.DUMMYFUNCTION("""COMPUTED_VALUE"""),0.840277777777777)</f>
        <v>0.84027777777777701</v>
      </c>
      <c r="X1128" s="8">
        <f ca="1">IFERROR(__xludf.DUMMYFUNCTION("""COMPUTED_VALUE"""),1)</f>
        <v>1</v>
      </c>
      <c r="Y1128" s="12" t="str">
        <f ca="1">IFERROR(__xludf.DUMMYFUNCTION("""COMPUTED_VALUE"""),"Shot fired during fight in parking lot outside basketball game")</f>
        <v>Shot fired during fight in parking lot outside basketball game</v>
      </c>
      <c r="Z1128" s="12" t="str">
        <f ca="1">IFERROR(__xludf.DUMMYFUNCTION("""COMPUTED_VALUE"""),"A fight started in the parking lot of the school during a high school basketball game. Two officers assigned to the game went outside to break up the fight. One shot was fired from a vehicle leaving the parking lot. No injuries.")</f>
        <v>A fight started in the parking lot of the school during a high school basketball game. Two officers assigned to the game went outside to break up the fight. One shot was fired from a vehicle leaving the parking lot. No injuries.</v>
      </c>
      <c r="AA1128" s="8" t="str">
        <f ca="1">IFERROR(__xludf.DUMMYFUNCTION("""COMPUTED_VALUE"""),"Escalation of Dispute")</f>
        <v>Escalation of Dispute</v>
      </c>
      <c r="AB1128" s="8"/>
      <c r="AC1128" s="8" t="str">
        <f ca="1">IFERROR(__xludf.DUMMYFUNCTION("""COMPUTED_VALUE"""),"Yes")</f>
        <v>Yes</v>
      </c>
      <c r="AD1128" s="8" t="str">
        <f ca="1">IFERROR(__xludf.DUMMYFUNCTION("""COMPUTED_VALUE"""),"Victims Targeted")</f>
        <v>Victims Targeted</v>
      </c>
      <c r="AE1128" s="8" t="str">
        <f ca="1">IFERROR(__xludf.DUMMYFUNCTION("""COMPUTED_VALUE"""),"No")</f>
        <v>No</v>
      </c>
      <c r="AF1128" s="8"/>
      <c r="AG1128" s="8" t="str">
        <f ca="1">IFERROR(__xludf.DUMMYFUNCTION("""COMPUTED_VALUE"""),"No")</f>
        <v>No</v>
      </c>
      <c r="AH1128" s="8" t="str">
        <f ca="1">IFERROR(__xludf.DUMMYFUNCTION("""COMPUTED_VALUE"""),"No")</f>
        <v>No</v>
      </c>
      <c r="AI1128" s="8" t="str">
        <f ca="1">IFERROR(__xludf.DUMMYFUNCTION("""COMPUTED_VALUE"""),"No")</f>
        <v>No</v>
      </c>
      <c r="AJ1128" s="8" t="str">
        <f ca="1">IFERROR(__xludf.DUMMYFUNCTION("""COMPUTED_VALUE"""),"No")</f>
        <v>No</v>
      </c>
      <c r="AK1128" s="8" t="str">
        <f ca="1">IFERROR(__xludf.DUMMYFUNCTION("""COMPUTED_VALUE"""),"No")</f>
        <v>No</v>
      </c>
      <c r="AL1128" s="8" t="str">
        <f ca="1">IFERROR(__xludf.DUMMYFUNCTION("""COMPUTED_VALUE"""),"No")</f>
        <v>No</v>
      </c>
      <c r="AM1128" s="8" t="str">
        <f ca="1">IFERROR(__xludf.DUMMYFUNCTION("""COMPUTED_VALUE"""),"No")</f>
        <v>No</v>
      </c>
      <c r="AN1128" s="8"/>
      <c r="AO1128" s="8"/>
      <c r="AP1128" s="8" t="str">
        <f ca="1">IFERROR(__xludf.DUMMYFUNCTION("""COMPUTED_VALUE"""),"Yes")</f>
        <v>Yes</v>
      </c>
      <c r="AQ1128" s="8" t="str">
        <f ca="1">IFERROR(__xludf.DUMMYFUNCTION("""COMPUTED_VALUE"""),"Armed Guards")</f>
        <v>Armed Guards</v>
      </c>
      <c r="AR1128" s="8" t="str">
        <f ca="1">IFERROR(__xludf.DUMMYFUNCTION("""COMPUTED_VALUE"""),"Outside/Off-Property")</f>
        <v>Outside/Off-Property</v>
      </c>
      <c r="AS1128" s="8">
        <f ca="1">IFERROR(__xludf.DUMMYFUNCTION("""COMPUTED_VALUE"""),1)</f>
        <v>1</v>
      </c>
      <c r="AT1128" s="8"/>
      <c r="AU1128" s="8">
        <f ca="1">IFERROR(__xludf.DUMMYFUNCTION("""COMPUTED_VALUE"""),38.680877)</f>
        <v>38.680877000000002</v>
      </c>
      <c r="AV1128" s="8">
        <f ca="1">IFERROR(__xludf.DUMMYFUNCTION("""COMPUTED_VALUE"""),-77.30148)</f>
        <v>-77.301479999999998</v>
      </c>
      <c r="AW1128" s="8"/>
      <c r="AX1128" s="8">
        <f ca="1">IFERROR(__xludf.DUMMYFUNCTION("""COMPUTED_VALUE"""),22192)</f>
        <v>22192</v>
      </c>
    </row>
    <row r="1129" spans="1:50" ht="90" x14ac:dyDescent="0.2">
      <c r="A1129" s="8" t="str">
        <f ca="1">IFERROR(__xludf.DUMMYFUNCTION("""COMPUTED_VALUE"""),"20220222TXALH")</f>
        <v>20220222TXALH</v>
      </c>
      <c r="B1129" s="8">
        <f ca="1">IFERROR(__xludf.DUMMYFUNCTION("""COMPUTED_VALUE"""),2)</f>
        <v>2</v>
      </c>
      <c r="C1129" s="8">
        <f ca="1">IFERROR(__xludf.DUMMYFUNCTION("""COMPUTED_VALUE"""),22)</f>
        <v>22</v>
      </c>
      <c r="D1129" s="8">
        <f ca="1">IFERROR(__xludf.DUMMYFUNCTION("""COMPUTED_VALUE"""),2022)</f>
        <v>2022</v>
      </c>
      <c r="E1129" s="9">
        <f ca="1">IFERROR(__xludf.DUMMYFUNCTION("""COMPUTED_VALUE"""),44614)</f>
        <v>44614</v>
      </c>
      <c r="F1129" s="8" t="str">
        <f ca="1">IFERROR(__xludf.DUMMYFUNCTION("""COMPUTED_VALUE"""),"Alief ISD Center for Advanced Careers")</f>
        <v>Alief ISD Center for Advanced Careers</v>
      </c>
      <c r="G1129" s="8">
        <f ca="1">IFERROR(__xludf.DUMMYFUNCTION("""COMPUTED_VALUE"""),1)</f>
        <v>1</v>
      </c>
      <c r="H1129" s="8">
        <f ca="1">IFERROR(__xludf.DUMMYFUNCTION("""COMPUTED_VALUE"""),0)</f>
        <v>0</v>
      </c>
      <c r="I1129" s="8">
        <f ca="1">IFERROR(__xludf.DUMMYFUNCTION("""COMPUTED_VALUE"""),1)</f>
        <v>1</v>
      </c>
      <c r="J1129" s="8">
        <f ca="1">IFERROR(__xludf.DUMMYFUNCTION("""COMPUTED_VALUE"""),0)</f>
        <v>0</v>
      </c>
      <c r="K1129" s="8" t="str">
        <f ca="1">IFERROR(__xludf.DUMMYFUNCTION("""COMPUTED_VALUE"""),"https://abc13.com/houston-crime-deadly-shooting-investigation-richmond-avenue/11590414/ https://www.khou.com/article/news/crime/1-killed-1-wounded-in-shooting-near-alief-isd-school-facility-no-students-involved/285-2f99daff-4985-40d5-9542-375482020162 htt"&amp;"ps://www.youtube.com/watch?v=Fvq3y6smdQY")</f>
        <v>https://abc13.com/houston-crime-deadly-shooting-investigation-richmond-avenue/11590414/ https://www.khou.com/article/news/crime/1-killed-1-wounded-in-shooting-near-alief-isd-school-facility-no-students-involved/285-2f99daff-4985-40d5-9542-375482020162 https://www.youtube.com/watch?v=Fvq3y6smdQY</v>
      </c>
      <c r="L1129" s="8">
        <f ca="1">IFERROR(__xludf.DUMMYFUNCTION("""COMPUTED_VALUE"""),10)</f>
        <v>10</v>
      </c>
      <c r="M1129" s="8" t="str">
        <f ca="1">IFERROR(__xludf.DUMMYFUNCTION("""COMPUTED_VALUE"""),"Regional")</f>
        <v>Regional</v>
      </c>
      <c r="N1129" s="8">
        <f ca="1">IFERROR(__xludf.DUMMYFUNCTION("""COMPUTED_VALUE"""),4)</f>
        <v>4</v>
      </c>
      <c r="O1129" s="8" t="str">
        <f ca="1">IFERROR(__xludf.DUMMYFUNCTION("""COMPUTED_VALUE"""),"Winter")</f>
        <v>Winter</v>
      </c>
      <c r="P1129" s="8" t="str">
        <f ca="1">IFERROR(__xludf.DUMMYFUNCTION("""COMPUTED_VALUE"""),"Houston")</f>
        <v>Houston</v>
      </c>
      <c r="Q1129" s="8" t="str">
        <f ca="1">IFERROR(__xludf.DUMMYFUNCTION("""COMPUTED_VALUE"""),"TX")</f>
        <v>TX</v>
      </c>
      <c r="R1129" s="8" t="str">
        <f ca="1">IFERROR(__xludf.DUMMYFUNCTION("""COMPUTED_VALUE"""),"High")</f>
        <v>High</v>
      </c>
      <c r="S1129" s="8" t="str">
        <f ca="1">IFERROR(__xludf.DUMMYFUNCTION("""COMPUTED_VALUE"""),"Parking Lot")</f>
        <v>Parking Lot</v>
      </c>
      <c r="T1129" s="8" t="str">
        <f ca="1">IFERROR(__xludf.DUMMYFUNCTION("""COMPUTED_VALUE"""),"Off School Property")</f>
        <v>Off School Property</v>
      </c>
      <c r="U1129" s="8" t="str">
        <f ca="1">IFERROR(__xludf.DUMMYFUNCTION("""COMPUTED_VALUE"""),"No")</f>
        <v>No</v>
      </c>
      <c r="V1129" s="8" t="str">
        <f ca="1">IFERROR(__xludf.DUMMYFUNCTION("""COMPUTED_VALUE"""),"After School")</f>
        <v>After School</v>
      </c>
      <c r="W1129" s="11">
        <f ca="1">IFERROR(__xludf.DUMMYFUNCTION("""COMPUTED_VALUE"""),0.6875)</f>
        <v>0.6875</v>
      </c>
      <c r="X1129" s="8">
        <f ca="1">IFERROR(__xludf.DUMMYFUNCTION("""COMPUTED_VALUE"""),1)</f>
        <v>1</v>
      </c>
      <c r="Y1129" s="12" t="str">
        <f ca="1">IFERROR(__xludf.DUMMYFUNCTION("""COMPUTED_VALUE"""),"Two men shot in street in front of school, victim collapsed and died in school parking lot near front door")</f>
        <v>Two men shot in street in front of school, victim collapsed and died in school parking lot near front door</v>
      </c>
      <c r="Z1129" s="12" t="str">
        <f ca="1">IFERROR(__xludf.DUMMYFUNCTION("""COMPUTED_VALUE"""),"Two men were shot during a dispute in the roadway in front of the school. One victim walked across the school parking lot and collapsed then died near the front door. Parents were picking up students at the time of the shooting.")</f>
        <v>Two men were shot during a dispute in the roadway in front of the school. One victim walked across the school parking lot and collapsed then died near the front door. Parents were picking up students at the time of the shooting.</v>
      </c>
      <c r="AA1129" s="8" t="str">
        <f ca="1">IFERROR(__xludf.DUMMYFUNCTION("""COMPUTED_VALUE"""),"Escalation of Dispute")</f>
        <v>Escalation of Dispute</v>
      </c>
      <c r="AB1129" s="8"/>
      <c r="AC1129" s="8" t="str">
        <f ca="1">IFERROR(__xludf.DUMMYFUNCTION("""COMPUTED_VALUE"""),"Yes")</f>
        <v>Yes</v>
      </c>
      <c r="AD1129" s="8" t="str">
        <f ca="1">IFERROR(__xludf.DUMMYFUNCTION("""COMPUTED_VALUE"""),"Victims Targeted")</f>
        <v>Victims Targeted</v>
      </c>
      <c r="AE1129" s="8"/>
      <c r="AF1129" s="8"/>
      <c r="AG1129" s="8" t="str">
        <f ca="1">IFERROR(__xludf.DUMMYFUNCTION("""COMPUTED_VALUE"""),"No")</f>
        <v>No</v>
      </c>
      <c r="AH1129" s="8" t="str">
        <f ca="1">IFERROR(__xludf.DUMMYFUNCTION("""COMPUTED_VALUE"""),"No")</f>
        <v>No</v>
      </c>
      <c r="AI1129" s="8" t="str">
        <f ca="1">IFERROR(__xludf.DUMMYFUNCTION("""COMPUTED_VALUE"""),"No")</f>
        <v>No</v>
      </c>
      <c r="AJ1129" s="8" t="str">
        <f ca="1">IFERROR(__xludf.DUMMYFUNCTION("""COMPUTED_VALUE"""),"No")</f>
        <v>No</v>
      </c>
      <c r="AK1129" s="8" t="str">
        <f ca="1">IFERROR(__xludf.DUMMYFUNCTION("""COMPUTED_VALUE"""),"No")</f>
        <v>No</v>
      </c>
      <c r="AL1129" s="8" t="str">
        <f ca="1">IFERROR(__xludf.DUMMYFUNCTION("""COMPUTED_VALUE"""),"No")</f>
        <v>No</v>
      </c>
      <c r="AM1129" s="8" t="str">
        <f ca="1">IFERROR(__xludf.DUMMYFUNCTION("""COMPUTED_VALUE"""),"No")</f>
        <v>No</v>
      </c>
      <c r="AN1129" s="8"/>
      <c r="AO1129" s="8" t="str">
        <f ca="1">IFERROR(__xludf.DUMMYFUNCTION("""COMPUTED_VALUE"""),"No")</f>
        <v>No</v>
      </c>
      <c r="AP1129" s="8"/>
      <c r="AQ1129" s="8"/>
      <c r="AR1129" s="8" t="str">
        <f ca="1">IFERROR(__xludf.DUMMYFUNCTION("""COMPUTED_VALUE"""),"Outside/Off-Property")</f>
        <v>Outside/Off-Property</v>
      </c>
      <c r="AS1129" s="8">
        <f ca="1">IFERROR(__xludf.DUMMYFUNCTION("""COMPUTED_VALUE"""),99)</f>
        <v>99</v>
      </c>
      <c r="AT1129" s="8"/>
      <c r="AU1129" s="8">
        <f ca="1">IFERROR(__xludf.DUMMYFUNCTION("""COMPUTED_VALUE"""),29.731874)</f>
        <v>29.731874000000001</v>
      </c>
      <c r="AV1129" s="8">
        <f ca="1">IFERROR(__xludf.DUMMYFUNCTION("""COMPUTED_VALUE"""),-95.593211)</f>
        <v>-95.593210999999997</v>
      </c>
      <c r="AW1129" s="8"/>
      <c r="AX1129" s="8">
        <f ca="1">IFERROR(__xludf.DUMMYFUNCTION("""COMPUTED_VALUE"""),77077)</f>
        <v>77077</v>
      </c>
    </row>
    <row r="1130" spans="1:50" ht="60" x14ac:dyDescent="0.2">
      <c r="A1130" s="8" t="str">
        <f ca="1">IFERROR(__xludf.DUMMYFUNCTION("""COMPUTED_VALUE"""),"20220222COLIP")</f>
        <v>20220222COLIP</v>
      </c>
      <c r="B1130" s="8">
        <f ca="1">IFERROR(__xludf.DUMMYFUNCTION("""COMPUTED_VALUE"""),2)</f>
        <v>2</v>
      </c>
      <c r="C1130" s="8">
        <f ca="1">IFERROR(__xludf.DUMMYFUNCTION("""COMPUTED_VALUE"""),22)</f>
        <v>22</v>
      </c>
      <c r="D1130" s="8">
        <f ca="1">IFERROR(__xludf.DUMMYFUNCTION("""COMPUTED_VALUE"""),2022)</f>
        <v>2022</v>
      </c>
      <c r="E1130" s="9">
        <f ca="1">IFERROR(__xludf.DUMMYFUNCTION("""COMPUTED_VALUE"""),44614)</f>
        <v>44614</v>
      </c>
      <c r="F1130" s="8" t="str">
        <f ca="1">IFERROR(__xludf.DUMMYFUNCTION("""COMPUTED_VALUE"""),"Liberty Point International Middle School")</f>
        <v>Liberty Point International Middle School</v>
      </c>
      <c r="G1130" s="8">
        <f ca="1">IFERROR(__xludf.DUMMYFUNCTION("""COMPUTED_VALUE"""),1)</f>
        <v>1</v>
      </c>
      <c r="H1130" s="8">
        <f ca="1">IFERROR(__xludf.DUMMYFUNCTION("""COMPUTED_VALUE"""),0)</f>
        <v>0</v>
      </c>
      <c r="I1130" s="8">
        <f ca="1">IFERROR(__xludf.DUMMYFUNCTION("""COMPUTED_VALUE"""),1)</f>
        <v>1</v>
      </c>
      <c r="J1130" s="8">
        <f ca="1">IFERROR(__xludf.DUMMYFUNCTION("""COMPUTED_VALUE"""),0)</f>
        <v>0</v>
      </c>
      <c r="K1130" s="10" t="str">
        <f ca="1">IFERROR(__xludf.DUMMYFUNCTION("""COMPUTED_VALUE"""),"https://www.thedenverchannel.com/news/local-news/no-students-involved-in-police-shooting-at-pueblo-west-middle-school https://www.koaa.com/news/covering-colorado/no-students-involved-in-officer-involved-shooting-near-middle-school-in-pueblo-west https://w"&amp;"ww.kktv.com/2022/02/22/officer-involved-shooting-under-investigation-outside-pueblo-elementary-school/
https://www.nbcnews.com/news/us-news/family-man-shot-middle-school-pickup-sues-colorado-deputies-wrongful-d-rcna71678")</f>
        <v>https://www.thedenverchannel.com/news/local-news/no-students-involved-in-police-shooting-at-pueblo-west-middle-school https://www.koaa.com/news/covering-colorado/no-students-involved-in-officer-involved-shooting-near-middle-school-in-pueblo-west https://www.kktv.com/2022/02/22/officer-involved-shooting-under-investigation-outside-pueblo-elementary-school/
https://www.nbcnews.com/news/us-news/family-man-shot-middle-school-pickup-sues-colorado-deputies-wrongful-d-rcna71678</v>
      </c>
      <c r="L1130" s="8">
        <f ca="1">IFERROR(__xludf.DUMMYFUNCTION("""COMPUTED_VALUE"""),20)</f>
        <v>20</v>
      </c>
      <c r="M1130" s="8" t="str">
        <f ca="1">IFERROR(__xludf.DUMMYFUNCTION("""COMPUTED_VALUE"""),"National")</f>
        <v>National</v>
      </c>
      <c r="N1130" s="8">
        <f ca="1">IFERROR(__xludf.DUMMYFUNCTION("""COMPUTED_VALUE"""),4)</f>
        <v>4</v>
      </c>
      <c r="O1130" s="8" t="str">
        <f ca="1">IFERROR(__xludf.DUMMYFUNCTION("""COMPUTED_VALUE"""),"Winter")</f>
        <v>Winter</v>
      </c>
      <c r="P1130" s="8" t="str">
        <f ca="1">IFERROR(__xludf.DUMMYFUNCTION("""COMPUTED_VALUE"""),"Pueblo")</f>
        <v>Pueblo</v>
      </c>
      <c r="Q1130" s="8" t="str">
        <f ca="1">IFERROR(__xludf.DUMMYFUNCTION("""COMPUTED_VALUE"""),"CO")</f>
        <v>CO</v>
      </c>
      <c r="R1130" s="8" t="str">
        <f ca="1">IFERROR(__xludf.DUMMYFUNCTION("""COMPUTED_VALUE"""),"Middle")</f>
        <v>Middle</v>
      </c>
      <c r="S1130" s="8" t="str">
        <f ca="1">IFERROR(__xludf.DUMMYFUNCTION("""COMPUTED_VALUE"""),"Beside Building")</f>
        <v>Beside Building</v>
      </c>
      <c r="T1130" s="8" t="str">
        <f ca="1">IFERROR(__xludf.DUMMYFUNCTION("""COMPUTED_VALUE"""),"Outside on School Property")</f>
        <v>Outside on School Property</v>
      </c>
      <c r="U1130" s="8" t="str">
        <f ca="1">IFERROR(__xludf.DUMMYFUNCTION("""COMPUTED_VALUE"""),"Yes")</f>
        <v>Yes</v>
      </c>
      <c r="V1130" s="8" t="str">
        <f ca="1">IFERROR(__xludf.DUMMYFUNCTION("""COMPUTED_VALUE"""),"Dismissal")</f>
        <v>Dismissal</v>
      </c>
      <c r="W1130" s="11">
        <f ca="1">IFERROR(__xludf.DUMMYFUNCTION("""COMPUTED_VALUE"""),0.638888888888888)</f>
        <v>0.63888888888888795</v>
      </c>
      <c r="X1130" s="8">
        <f ca="1">IFERROR(__xludf.DUMMYFUNCTION("""COMPUTED_VALUE"""),1)</f>
        <v>1</v>
      </c>
      <c r="Y1130" s="12" t="str">
        <f ca="1">IFERROR(__xludf.DUMMYFUNCTION("""COMPUTED_VALUE"""),"Officers shot intoxicated and combative man on school property")</f>
        <v>Officers shot intoxicated and combative man on school property</v>
      </c>
      <c r="Z1130" s="12" t="str">
        <f ca="1">IFERROR(__xludf.DUMMYFUNCTION("""COMPUTED_VALUE"""),"School staff called officers for an man on school property. When officers arrived, the man became combative and attacked on of the officers. The other officer fatally shot the man. No students or staff were injured.")</f>
        <v>School staff called officers for an man on school property. When officers arrived, the man became combative and attacked on of the officers. The other officer fatally shot the man. No students or staff were injured.</v>
      </c>
      <c r="AA1130" s="8" t="str">
        <f ca="1">IFERROR(__xludf.DUMMYFUNCTION("""COMPUTED_VALUE"""),"Officer-Involved Shooting")</f>
        <v>Officer-Involved Shooting</v>
      </c>
      <c r="AB1130" s="8"/>
      <c r="AC1130" s="8" t="str">
        <f ca="1">IFERROR(__xludf.DUMMYFUNCTION("""COMPUTED_VALUE"""),"Yes")</f>
        <v>Yes</v>
      </c>
      <c r="AD1130" s="8" t="str">
        <f ca="1">IFERROR(__xludf.DUMMYFUNCTION("""COMPUTED_VALUE"""),"Victims Targeted")</f>
        <v>Victims Targeted</v>
      </c>
      <c r="AE1130" s="8" t="str">
        <f ca="1">IFERROR(__xludf.DUMMYFUNCTION("""COMPUTED_VALUE"""),"No")</f>
        <v>No</v>
      </c>
      <c r="AF1130" s="8"/>
      <c r="AG1130" s="8" t="str">
        <f ca="1">IFERROR(__xludf.DUMMYFUNCTION("""COMPUTED_VALUE"""),"No")</f>
        <v>No</v>
      </c>
      <c r="AH1130" s="8" t="str">
        <f ca="1">IFERROR(__xludf.DUMMYFUNCTION("""COMPUTED_VALUE"""),"No")</f>
        <v>No</v>
      </c>
      <c r="AI1130" s="8" t="str">
        <f ca="1">IFERROR(__xludf.DUMMYFUNCTION("""COMPUTED_VALUE"""),"Yes")</f>
        <v>Yes</v>
      </c>
      <c r="AJ1130" s="8" t="str">
        <f ca="1">IFERROR(__xludf.DUMMYFUNCTION("""COMPUTED_VALUE"""),"No")</f>
        <v>No</v>
      </c>
      <c r="AK1130" s="8" t="str">
        <f ca="1">IFERROR(__xludf.DUMMYFUNCTION("""COMPUTED_VALUE"""),"No")</f>
        <v>No</v>
      </c>
      <c r="AL1130" s="8" t="str">
        <f ca="1">IFERROR(__xludf.DUMMYFUNCTION("""COMPUTED_VALUE"""),"No")</f>
        <v>No</v>
      </c>
      <c r="AM1130" s="8" t="str">
        <f ca="1">IFERROR(__xludf.DUMMYFUNCTION("""COMPUTED_VALUE"""),"No")</f>
        <v>No</v>
      </c>
      <c r="AN1130" s="8"/>
      <c r="AO1130" s="8"/>
      <c r="AP1130" s="8" t="str">
        <f ca="1">IFERROR(__xludf.DUMMYFUNCTION("""COMPUTED_VALUE"""),"No")</f>
        <v>No</v>
      </c>
      <c r="AQ1130" s="8"/>
      <c r="AR1130" s="8" t="str">
        <f ca="1">IFERROR(__xludf.DUMMYFUNCTION("""COMPUTED_VALUE"""),"Outside/Off-Property")</f>
        <v>Outside/Off-Property</v>
      </c>
      <c r="AS1130" s="8">
        <f ca="1">IFERROR(__xludf.DUMMYFUNCTION("""COMPUTED_VALUE"""),3)</f>
        <v>3</v>
      </c>
      <c r="AT1130" s="8" t="str">
        <f ca="1">IFERROR(__xludf.DUMMYFUNCTION("""COMPUTED_VALUE"""),"Yes")</f>
        <v>Yes</v>
      </c>
      <c r="AU1130" s="8">
        <f ca="1">IFERROR(__xludf.DUMMYFUNCTION("""COMPUTED_VALUE"""),38.316747)</f>
        <v>38.316746999999999</v>
      </c>
      <c r="AV1130" s="8">
        <f ca="1">IFERROR(__xludf.DUMMYFUNCTION("""COMPUTED_VALUE"""),-104.729357)</f>
        <v>-104.72935699999999</v>
      </c>
      <c r="AW1130" s="8"/>
      <c r="AX1130" s="8">
        <f ca="1">IFERROR(__xludf.DUMMYFUNCTION("""COMPUTED_VALUE"""),81007)</f>
        <v>81007</v>
      </c>
    </row>
    <row r="1131" spans="1:50" ht="75" x14ac:dyDescent="0.2">
      <c r="A1131" s="8" t="str">
        <f ca="1">IFERROR(__xludf.DUMMYFUNCTION("""COMPUTED_VALUE"""),"20220221MDJOH")</f>
        <v>20220221MDJOH</v>
      </c>
      <c r="B1131" s="8">
        <f ca="1">IFERROR(__xludf.DUMMYFUNCTION("""COMPUTED_VALUE"""),2)</f>
        <v>2</v>
      </c>
      <c r="C1131" s="8">
        <f ca="1">IFERROR(__xludf.DUMMYFUNCTION("""COMPUTED_VALUE"""),21)</f>
        <v>21</v>
      </c>
      <c r="D1131" s="8">
        <f ca="1">IFERROR(__xludf.DUMMYFUNCTION("""COMPUTED_VALUE"""),2022)</f>
        <v>2022</v>
      </c>
      <c r="E1131" s="9">
        <f ca="1">IFERROR(__xludf.DUMMYFUNCTION("""COMPUTED_VALUE"""),44613)</f>
        <v>44613</v>
      </c>
      <c r="F1131" s="8" t="str">
        <f ca="1">IFERROR(__xludf.DUMMYFUNCTION("""COMPUTED_VALUE"""),"John Carroll Elementary School")</f>
        <v>John Carroll Elementary School</v>
      </c>
      <c r="G1131" s="8">
        <f ca="1">IFERROR(__xludf.DUMMYFUNCTION("""COMPUTED_VALUE"""),1)</f>
        <v>1</v>
      </c>
      <c r="H1131" s="8">
        <f ca="1">IFERROR(__xludf.DUMMYFUNCTION("""COMPUTED_VALUE"""),0)</f>
        <v>0</v>
      </c>
      <c r="I1131" s="8">
        <f ca="1">IFERROR(__xludf.DUMMYFUNCTION("""COMPUTED_VALUE"""),1)</f>
        <v>1</v>
      </c>
      <c r="J1131" s="8">
        <f ca="1">IFERROR(__xludf.DUMMYFUNCTION("""COMPUTED_VALUE"""),0)</f>
        <v>0</v>
      </c>
      <c r="K1131" s="8" t="str">
        <f ca="1">IFERROR(__xludf.DUMMYFUNCTION("""COMPUTED_VALUE"""),"https://www.nbcwashington.com/news/local/prince-georges-county/man-shot-killed-near-prince-georges-county-school/2979584/ https://wtop.com/prince-georges-county/2022/02/1-dead-after-shooting-near-elementary-school-in-prince-georges-co/")</f>
        <v>https://www.nbcwashington.com/news/local/prince-georges-county/man-shot-killed-near-prince-georges-county-school/2979584/ https://wtop.com/prince-georges-county/2022/02/1-dead-after-shooting-near-elementary-school-in-prince-georges-co/</v>
      </c>
      <c r="L1131" s="8">
        <f ca="1">IFERROR(__xludf.DUMMYFUNCTION("""COMPUTED_VALUE"""),2)</f>
        <v>2</v>
      </c>
      <c r="M1131" s="8" t="str">
        <f ca="1">IFERROR(__xludf.DUMMYFUNCTION("""COMPUTED_VALUE"""),"Local")</f>
        <v>Local</v>
      </c>
      <c r="N1131" s="8">
        <f ca="1">IFERROR(__xludf.DUMMYFUNCTION("""COMPUTED_VALUE"""),4)</f>
        <v>4</v>
      </c>
      <c r="O1131" s="8" t="str">
        <f ca="1">IFERROR(__xludf.DUMMYFUNCTION("""COMPUTED_VALUE"""),"Winter")</f>
        <v>Winter</v>
      </c>
      <c r="P1131" s="8" t="str">
        <f ca="1">IFERROR(__xludf.DUMMYFUNCTION("""COMPUTED_VALUE"""),"Hyattsville")</f>
        <v>Hyattsville</v>
      </c>
      <c r="Q1131" s="8" t="str">
        <f ca="1">IFERROR(__xludf.DUMMYFUNCTION("""COMPUTED_VALUE"""),"MD")</f>
        <v>MD</v>
      </c>
      <c r="R1131" s="8" t="str">
        <f ca="1">IFERROR(__xludf.DUMMYFUNCTION("""COMPUTED_VALUE"""),"Elementary")</f>
        <v>Elementary</v>
      </c>
      <c r="S1131" s="8" t="str">
        <f ca="1">IFERROR(__xludf.DUMMYFUNCTION("""COMPUTED_VALUE"""),"Playground")</f>
        <v>Playground</v>
      </c>
      <c r="T1131" s="8" t="str">
        <f ca="1">IFERROR(__xludf.DUMMYFUNCTION("""COMPUTED_VALUE"""),"Outside on School Property")</f>
        <v>Outside on School Property</v>
      </c>
      <c r="U1131" s="8" t="str">
        <f ca="1">IFERROR(__xludf.DUMMYFUNCTION("""COMPUTED_VALUE"""),"No")</f>
        <v>No</v>
      </c>
      <c r="V1131" s="8" t="str">
        <f ca="1">IFERROR(__xludf.DUMMYFUNCTION("""COMPUTED_VALUE"""),"Evening")</f>
        <v>Evening</v>
      </c>
      <c r="W1131" s="11">
        <f ca="1">IFERROR(__xludf.DUMMYFUNCTION("""COMPUTED_VALUE"""),0.722222222222222)</f>
        <v>0.72222222222222199</v>
      </c>
      <c r="X1131" s="8">
        <f ca="1">IFERROR(__xludf.DUMMYFUNCTION("""COMPUTED_VALUE"""),1)</f>
        <v>1</v>
      </c>
      <c r="Y1131" s="12" t="str">
        <f ca="1">IFERROR(__xludf.DUMMYFUNCTION("""COMPUTED_VALUE"""),"Man fatally shot on playground behind school")</f>
        <v>Man fatally shot on playground behind school</v>
      </c>
      <c r="Z1131" s="12" t="str">
        <f ca="1">IFERROR(__xludf.DUMMYFUNCTION("""COMPUTED_VALUE"""),"An adult male was fatally shot on the school playground. Children were on the playground at the time of the shooting. Shooter fled. Parent reported seeing a group of men walk up to the playground and start smoking marijuana before the shooting.")</f>
        <v>An adult male was fatally shot on the school playground. Children were on the playground at the time of the shooting. Shooter fled. Parent reported seeing a group of men walk up to the playground and start smoking marijuana before the shooting.</v>
      </c>
      <c r="AA1131" s="8" t="str">
        <f ca="1">IFERROR(__xludf.DUMMYFUNCTION("""COMPUTED_VALUE"""),"Illegal Activity")</f>
        <v>Illegal Activity</v>
      </c>
      <c r="AB1131" s="8"/>
      <c r="AC1131" s="8" t="str">
        <f ca="1">IFERROR(__xludf.DUMMYFUNCTION("""COMPUTED_VALUE"""),"No")</f>
        <v>No</v>
      </c>
      <c r="AD1131" s="8" t="str">
        <f ca="1">IFERROR(__xludf.DUMMYFUNCTION("""COMPUTED_VALUE"""),"Victims Targeted")</f>
        <v>Victims Targeted</v>
      </c>
      <c r="AE1131" s="8" t="str">
        <f ca="1">IFERROR(__xludf.DUMMYFUNCTION("""COMPUTED_VALUE"""),"No")</f>
        <v>No</v>
      </c>
      <c r="AF1131" s="8"/>
      <c r="AG1131" s="8" t="str">
        <f ca="1">IFERROR(__xludf.DUMMYFUNCTION("""COMPUTED_VALUE"""),"No")</f>
        <v>No</v>
      </c>
      <c r="AH1131" s="8" t="str">
        <f ca="1">IFERROR(__xludf.DUMMYFUNCTION("""COMPUTED_VALUE"""),"No")</f>
        <v>No</v>
      </c>
      <c r="AI1131" s="8" t="str">
        <f ca="1">IFERROR(__xludf.DUMMYFUNCTION("""COMPUTED_VALUE"""),"No")</f>
        <v>No</v>
      </c>
      <c r="AJ1131" s="8" t="str">
        <f ca="1">IFERROR(__xludf.DUMMYFUNCTION("""COMPUTED_VALUE"""),"No")</f>
        <v>No</v>
      </c>
      <c r="AK1131" s="8" t="str">
        <f ca="1">IFERROR(__xludf.DUMMYFUNCTION("""COMPUTED_VALUE"""),"No")</f>
        <v>No</v>
      </c>
      <c r="AL1131" s="8"/>
      <c r="AM1131" s="8" t="str">
        <f ca="1">IFERROR(__xludf.DUMMYFUNCTION("""COMPUTED_VALUE"""),"No")</f>
        <v>No</v>
      </c>
      <c r="AN1131" s="8"/>
      <c r="AO1131" s="8" t="str">
        <f ca="1">IFERROR(__xludf.DUMMYFUNCTION("""COMPUTED_VALUE"""),"No")</f>
        <v>No</v>
      </c>
      <c r="AP1131" s="8"/>
      <c r="AQ1131" s="8"/>
      <c r="AR1131" s="8" t="str">
        <f ca="1">IFERROR(__xludf.DUMMYFUNCTION("""COMPUTED_VALUE"""),"Outside/Off-Property")</f>
        <v>Outside/Off-Property</v>
      </c>
      <c r="AS1131" s="8">
        <f ca="1">IFERROR(__xludf.DUMMYFUNCTION("""COMPUTED_VALUE"""),99)</f>
        <v>99</v>
      </c>
      <c r="AT1131" s="8"/>
      <c r="AU1131" s="8">
        <f ca="1">IFERROR(__xludf.DUMMYFUNCTION("""COMPUTED_VALUE"""),38.909884)</f>
        <v>38.909883999999998</v>
      </c>
      <c r="AV1131" s="8">
        <f ca="1">IFERROR(__xludf.DUMMYFUNCTION("""COMPUTED_VALUE"""),-76.876447)</f>
        <v>-76.876446999999999</v>
      </c>
      <c r="AW1131" s="8"/>
      <c r="AX1131" s="8">
        <f ca="1">IFERROR(__xludf.DUMMYFUNCTION("""COMPUTED_VALUE"""),20785)</f>
        <v>20785</v>
      </c>
    </row>
    <row r="1132" spans="1:50" ht="75" x14ac:dyDescent="0.2">
      <c r="A1132" s="8" t="str">
        <f ca="1">IFERROR(__xludf.DUMMYFUNCTION("""COMPUTED_VALUE"""),"20220220OKWIW")</f>
        <v>20220220OKWIW</v>
      </c>
      <c r="B1132" s="8">
        <f ca="1">IFERROR(__xludf.DUMMYFUNCTION("""COMPUTED_VALUE"""),2)</f>
        <v>2</v>
      </c>
      <c r="C1132" s="8">
        <f ca="1">IFERROR(__xludf.DUMMYFUNCTION("""COMPUTED_VALUE"""),20)</f>
        <v>20</v>
      </c>
      <c r="D1132" s="8">
        <f ca="1">IFERROR(__xludf.DUMMYFUNCTION("""COMPUTED_VALUE"""),2022)</f>
        <v>2022</v>
      </c>
      <c r="E1132" s="9">
        <f ca="1">IFERROR(__xludf.DUMMYFUNCTION("""COMPUTED_VALUE"""),44612)</f>
        <v>44612</v>
      </c>
      <c r="F1132" s="8" t="str">
        <f ca="1">IFERROR(__xludf.DUMMYFUNCTION("""COMPUTED_VALUE"""),"Wilson Middle School")</f>
        <v>Wilson Middle School</v>
      </c>
      <c r="G1132" s="8">
        <f ca="1">IFERROR(__xludf.DUMMYFUNCTION("""COMPUTED_VALUE"""),0)</f>
        <v>0</v>
      </c>
      <c r="H1132" s="8">
        <f ca="1">IFERROR(__xludf.DUMMYFUNCTION("""COMPUTED_VALUE"""),1)</f>
        <v>1</v>
      </c>
      <c r="I1132" s="8">
        <f ca="1">IFERROR(__xludf.DUMMYFUNCTION("""COMPUTED_VALUE"""),1)</f>
        <v>1</v>
      </c>
      <c r="J1132" s="8">
        <f ca="1">IFERROR(__xludf.DUMMYFUNCTION("""COMPUTED_VALUE"""),0)</f>
        <v>0</v>
      </c>
      <c r="K1132" s="8" t="str">
        <f ca="1">IFERROR(__xludf.DUMMYFUNCTION("""COMPUTED_VALUE"""),"https://www.kswo.com/2022/02/21/wilson-police-department-searching-man-who-shot-officer/ https://www.kxii.com/2022/02/21/wilson-police-looking-shooting-suspect/ https://www.news9.com/story/6212ea8b8a6f230727a5df02/police-offering-reward-for-arrest-convict"&amp;"ion-of-suspect-that-shot-officer")</f>
        <v>https://www.kswo.com/2022/02/21/wilson-police-department-searching-man-who-shot-officer/ https://www.kxii.com/2022/02/21/wilson-police-looking-shooting-suspect/ https://www.news9.com/story/6212ea8b8a6f230727a5df02/police-offering-reward-for-arrest-conviction-of-suspect-that-shot-officer</v>
      </c>
      <c r="L1132" s="8">
        <f ca="1">IFERROR(__xludf.DUMMYFUNCTION("""COMPUTED_VALUE"""),3)</f>
        <v>3</v>
      </c>
      <c r="M1132" s="8" t="str">
        <f ca="1">IFERROR(__xludf.DUMMYFUNCTION("""COMPUTED_VALUE"""),"Local")</f>
        <v>Local</v>
      </c>
      <c r="N1132" s="8">
        <f ca="1">IFERROR(__xludf.DUMMYFUNCTION("""COMPUTED_VALUE"""),4)</f>
        <v>4</v>
      </c>
      <c r="O1132" s="8" t="str">
        <f ca="1">IFERROR(__xludf.DUMMYFUNCTION("""COMPUTED_VALUE"""),"Winter")</f>
        <v>Winter</v>
      </c>
      <c r="P1132" s="8" t="str">
        <f ca="1">IFERROR(__xludf.DUMMYFUNCTION("""COMPUTED_VALUE"""),"Wilson")</f>
        <v>Wilson</v>
      </c>
      <c r="Q1132" s="8" t="str">
        <f ca="1">IFERROR(__xludf.DUMMYFUNCTION("""COMPUTED_VALUE"""),"OK")</f>
        <v>OK</v>
      </c>
      <c r="R1132" s="8" t="str">
        <f ca="1">IFERROR(__xludf.DUMMYFUNCTION("""COMPUTED_VALUE"""),"Middle")</f>
        <v>Middle</v>
      </c>
      <c r="S1132" s="8" t="str">
        <f ca="1">IFERROR(__xludf.DUMMYFUNCTION("""COMPUTED_VALUE"""),"Football Field/Track")</f>
        <v>Football Field/Track</v>
      </c>
      <c r="T1132" s="8" t="str">
        <f ca="1">IFERROR(__xludf.DUMMYFUNCTION("""COMPUTED_VALUE"""),"Outside on School Property")</f>
        <v>Outside on School Property</v>
      </c>
      <c r="U1132" s="8" t="str">
        <f ca="1">IFERROR(__xludf.DUMMYFUNCTION("""COMPUTED_VALUE"""),"No")</f>
        <v>No</v>
      </c>
      <c r="V1132" s="8" t="str">
        <f ca="1">IFERROR(__xludf.DUMMYFUNCTION("""COMPUTED_VALUE"""),"Night")</f>
        <v>Night</v>
      </c>
      <c r="W1132" s="11">
        <f ca="1">IFERROR(__xludf.DUMMYFUNCTION("""COMPUTED_VALUE"""),0.145833333333333)</f>
        <v>0.14583333333333301</v>
      </c>
      <c r="X1132" s="8">
        <f ca="1">IFERROR(__xludf.DUMMYFUNCTION("""COMPUTED_VALUE"""),1)</f>
        <v>1</v>
      </c>
      <c r="Y1132" s="12" t="str">
        <f ca="1">IFERROR(__xludf.DUMMYFUNCTION("""COMPUTED_VALUE"""),"Office shot twice while investigating suspicious man behind school")</f>
        <v>Office shot twice while investigating suspicious man behind school</v>
      </c>
      <c r="Z1132" s="12" t="str">
        <f ca="1">IFERROR(__xludf.DUMMYFUNCTION("""COMPUTED_VALUE"""),"A police officer was shot twice while investigating a suspicious man near the football field behind the school. When the officer approached, the man shot him twice in the chest, and then fled. The officer was protected by his ballistic vest.")</f>
        <v>A police officer was shot twice while investigating a suspicious man near the football field behind the school. When the officer approached, the man shot him twice in the chest, and then fled. The officer was protected by his ballistic vest.</v>
      </c>
      <c r="AA1132" s="8" t="str">
        <f ca="1">IFERROR(__xludf.DUMMYFUNCTION("""COMPUTED_VALUE"""),"Illegal Activity")</f>
        <v>Illegal Activity</v>
      </c>
      <c r="AB1132" s="8"/>
      <c r="AC1132" s="8" t="str">
        <f ca="1">IFERROR(__xludf.DUMMYFUNCTION("""COMPUTED_VALUE"""),"No")</f>
        <v>No</v>
      </c>
      <c r="AD1132" s="8" t="str">
        <f ca="1">IFERROR(__xludf.DUMMYFUNCTION("""COMPUTED_VALUE"""),"Victims Targeted")</f>
        <v>Victims Targeted</v>
      </c>
      <c r="AE1132" s="8" t="str">
        <f ca="1">IFERROR(__xludf.DUMMYFUNCTION("""COMPUTED_VALUE"""),"No")</f>
        <v>No</v>
      </c>
      <c r="AF1132" s="8"/>
      <c r="AG1132" s="8" t="str">
        <f ca="1">IFERROR(__xludf.DUMMYFUNCTION("""COMPUTED_VALUE"""),"No")</f>
        <v>No</v>
      </c>
      <c r="AH1132" s="8" t="str">
        <f ca="1">IFERROR(__xludf.DUMMYFUNCTION("""COMPUTED_VALUE"""),"No")</f>
        <v>No</v>
      </c>
      <c r="AI1132" s="8" t="str">
        <f ca="1">IFERROR(__xludf.DUMMYFUNCTION("""COMPUTED_VALUE"""),"No")</f>
        <v>No</v>
      </c>
      <c r="AJ1132" s="8" t="str">
        <f ca="1">IFERROR(__xludf.DUMMYFUNCTION("""COMPUTED_VALUE"""),"No")</f>
        <v>No</v>
      </c>
      <c r="AK1132" s="8" t="str">
        <f ca="1">IFERROR(__xludf.DUMMYFUNCTION("""COMPUTED_VALUE"""),"No")</f>
        <v>No</v>
      </c>
      <c r="AL1132" s="8" t="str">
        <f ca="1">IFERROR(__xludf.DUMMYFUNCTION("""COMPUTED_VALUE"""),"No")</f>
        <v>No</v>
      </c>
      <c r="AM1132" s="8" t="str">
        <f ca="1">IFERROR(__xludf.DUMMYFUNCTION("""COMPUTED_VALUE"""),"No")</f>
        <v>No</v>
      </c>
      <c r="AN1132" s="8"/>
      <c r="AO1132" s="8" t="str">
        <f ca="1">IFERROR(__xludf.DUMMYFUNCTION("""COMPUTED_VALUE"""),"No")</f>
        <v>No</v>
      </c>
      <c r="AP1132" s="8"/>
      <c r="AQ1132" s="8"/>
      <c r="AR1132" s="8" t="str">
        <f ca="1">IFERROR(__xludf.DUMMYFUNCTION("""COMPUTED_VALUE"""),"Outside/Off-Property")</f>
        <v>Outside/Off-Property</v>
      </c>
      <c r="AS1132" s="8">
        <f ca="1">IFERROR(__xludf.DUMMYFUNCTION("""COMPUTED_VALUE"""),2)</f>
        <v>2</v>
      </c>
      <c r="AT1132" s="8"/>
      <c r="AU1132" s="8">
        <f ca="1">IFERROR(__xludf.DUMMYFUNCTION("""COMPUTED_VALUE"""),34.167504)</f>
        <v>34.167504000000001</v>
      </c>
      <c r="AV1132" s="8">
        <f ca="1">IFERROR(__xludf.DUMMYFUNCTION("""COMPUTED_VALUE"""),-97.415534)</f>
        <v>-97.415533999999994</v>
      </c>
      <c r="AW1132" s="8"/>
      <c r="AX1132" s="8">
        <f ca="1">IFERROR(__xludf.DUMMYFUNCTION("""COMPUTED_VALUE"""),73463)</f>
        <v>73463</v>
      </c>
    </row>
    <row r="1133" spans="1:50" ht="60" x14ac:dyDescent="0.2">
      <c r="A1133" s="8" t="str">
        <f ca="1">IFERROR(__xludf.DUMMYFUNCTION("""COMPUTED_VALUE"""),"20220220MSMCM")</f>
        <v>20220220MSMCM</v>
      </c>
      <c r="B1133" s="8">
        <f ca="1">IFERROR(__xludf.DUMMYFUNCTION("""COMPUTED_VALUE"""),2)</f>
        <v>2</v>
      </c>
      <c r="C1133" s="8">
        <f ca="1">IFERROR(__xludf.DUMMYFUNCTION("""COMPUTED_VALUE"""),20)</f>
        <v>20</v>
      </c>
      <c r="D1133" s="8">
        <f ca="1">IFERROR(__xludf.DUMMYFUNCTION("""COMPUTED_VALUE"""),2022)</f>
        <v>2022</v>
      </c>
      <c r="E1133" s="9">
        <f ca="1">IFERROR(__xludf.DUMMYFUNCTION("""COMPUTED_VALUE"""),44612)</f>
        <v>44612</v>
      </c>
      <c r="F1133" s="8" t="str">
        <f ca="1">IFERROR(__xludf.DUMMYFUNCTION("""COMPUTED_VALUE"""),"McColm High School")</f>
        <v>McColm High School</v>
      </c>
      <c r="G1133" s="8">
        <f ca="1">IFERROR(__xludf.DUMMYFUNCTION("""COMPUTED_VALUE"""),1)</f>
        <v>1</v>
      </c>
      <c r="H1133" s="8">
        <f ca="1">IFERROR(__xludf.DUMMYFUNCTION("""COMPUTED_VALUE"""),4)</f>
        <v>4</v>
      </c>
      <c r="I1133" s="8">
        <f ca="1">IFERROR(__xludf.DUMMYFUNCTION("""COMPUTED_VALUE"""),5)</f>
        <v>5</v>
      </c>
      <c r="J1133" s="8">
        <f ca="1">IFERROR(__xludf.DUMMYFUNCTION("""COMPUTED_VALUE"""),0)</f>
        <v>0</v>
      </c>
      <c r="K1133" s="8" t="str">
        <f ca="1">IFERROR(__xludf.DUMMYFUNCTION("""COMPUTED_VALUE"""),"https://www.enterprise-journal.com/crime-local-content-top-stories/four-arrested-park-shooting#sthash.keCSEDXd.hHDr4yOI.dpbs https://wreg.com/news/mid-south/6-year-old-killed-4-injured-in-mississippi-shooting/ https://www.newsweek.com/boy-killed-others-wo"&amp;"unded-drive-shooting-mississippi-1681036 https://www.wjtv.com/news/6-year-old-killed-4-injured-in-mccomb-shooting/ https://www.foxnews.com/us/mississippi-6-year-old-shot-killed-drive-police")</f>
        <v>https://www.enterprise-journal.com/crime-local-content-top-stories/four-arrested-park-shooting#sthash.keCSEDXd.hHDr4yOI.dpbs https://wreg.com/news/mid-south/6-year-old-killed-4-injured-in-mississippi-shooting/ https://www.newsweek.com/boy-killed-others-wounded-drive-shooting-mississippi-1681036 https://www.wjtv.com/news/6-year-old-killed-4-injured-in-mccomb-shooting/ https://www.foxnews.com/us/mississippi-6-year-old-shot-killed-drive-police</v>
      </c>
      <c r="L1133" s="8">
        <f ca="1">IFERROR(__xludf.DUMMYFUNCTION("""COMPUTED_VALUE"""),10)</f>
        <v>10</v>
      </c>
      <c r="M1133" s="8" t="str">
        <f ca="1">IFERROR(__xludf.DUMMYFUNCTION("""COMPUTED_VALUE"""),"National")</f>
        <v>National</v>
      </c>
      <c r="N1133" s="8">
        <f ca="1">IFERROR(__xludf.DUMMYFUNCTION("""COMPUTED_VALUE"""),4)</f>
        <v>4</v>
      </c>
      <c r="O1133" s="8" t="str">
        <f ca="1">IFERROR(__xludf.DUMMYFUNCTION("""COMPUTED_VALUE"""),"Winter")</f>
        <v>Winter</v>
      </c>
      <c r="P1133" s="8" t="str">
        <f ca="1">IFERROR(__xludf.DUMMYFUNCTION("""COMPUTED_VALUE"""),"McColm")</f>
        <v>McColm</v>
      </c>
      <c r="Q1133" s="8" t="str">
        <f ca="1">IFERROR(__xludf.DUMMYFUNCTION("""COMPUTED_VALUE"""),"MS")</f>
        <v>MS</v>
      </c>
      <c r="R1133" s="8" t="str">
        <f ca="1">IFERROR(__xludf.DUMMYFUNCTION("""COMPUTED_VALUE"""),"High")</f>
        <v>High</v>
      </c>
      <c r="S1133" s="8" t="str">
        <f ca="1">IFERROR(__xludf.DUMMYFUNCTION("""COMPUTED_VALUE"""),"Basketball Court")</f>
        <v>Basketball Court</v>
      </c>
      <c r="T1133" s="8" t="str">
        <f ca="1">IFERROR(__xludf.DUMMYFUNCTION("""COMPUTED_VALUE"""),"Outside on School Property")</f>
        <v>Outside on School Property</v>
      </c>
      <c r="U1133" s="8" t="str">
        <f ca="1">IFERROR(__xludf.DUMMYFUNCTION("""COMPUTED_VALUE"""),"No")</f>
        <v>No</v>
      </c>
      <c r="V1133" s="8" t="str">
        <f ca="1">IFERROR(__xludf.DUMMYFUNCTION("""COMPUTED_VALUE"""),"Sport Event")</f>
        <v>Sport Event</v>
      </c>
      <c r="W1133" s="11">
        <f ca="1">IFERROR(__xludf.DUMMYFUNCTION("""COMPUTED_VALUE"""),0.701388888888888)</f>
        <v>0.70138888888888795</v>
      </c>
      <c r="X1133" s="8">
        <f ca="1">IFERROR(__xludf.DUMMYFUNCTION("""COMPUTED_VALUE"""),1)</f>
        <v>1</v>
      </c>
      <c r="Y1133" s="12" t="str">
        <f ca="1">IFERROR(__xludf.DUMMYFUNCTION("""COMPUTED_VALUE"""),"Drive-by shooting following basketball game")</f>
        <v>Drive-by shooting following basketball game</v>
      </c>
      <c r="Z1133" s="12" t="str">
        <f ca="1">IFERROR(__xludf.DUMMYFUNCTION("""COMPUTED_VALUE"""),"A 6-year-old boy was killed and 4 others were wounded during a drive-by shooting following a basketball game behind the high school. 4 teens arrested and charged with capital murder.")</f>
        <v>A 6-year-old boy was killed and 4 others were wounded during a drive-by shooting following a basketball game behind the high school. 4 teens arrested and charged with capital murder.</v>
      </c>
      <c r="AA1133" s="8" t="str">
        <f ca="1">IFERROR(__xludf.DUMMYFUNCTION("""COMPUTED_VALUE"""),"Drive-by Shooting")</f>
        <v>Drive-by Shooting</v>
      </c>
      <c r="AB1133" s="8"/>
      <c r="AC1133" s="8" t="str">
        <f ca="1">IFERROR(__xludf.DUMMYFUNCTION("""COMPUTED_VALUE"""),"Yes")</f>
        <v>Yes</v>
      </c>
      <c r="AD1133" s="8" t="str">
        <f ca="1">IFERROR(__xludf.DUMMYFUNCTION("""COMPUTED_VALUE"""),"Both")</f>
        <v>Both</v>
      </c>
      <c r="AE1133" s="8" t="str">
        <f ca="1">IFERROR(__xludf.DUMMYFUNCTION("""COMPUTED_VALUE"""),"Yes")</f>
        <v>Yes</v>
      </c>
      <c r="AF1133" s="8" t="str">
        <f ca="1">IFERROR(__xludf.DUMMYFUNCTION("""COMPUTED_VALUE"""),"4 teens arrested")</f>
        <v>4 teens arrested</v>
      </c>
      <c r="AG1133" s="8" t="str">
        <f ca="1">IFERROR(__xludf.DUMMYFUNCTION("""COMPUTED_VALUE"""),"No")</f>
        <v>No</v>
      </c>
      <c r="AH1133" s="8" t="str">
        <f ca="1">IFERROR(__xludf.DUMMYFUNCTION("""COMPUTED_VALUE"""),"No")</f>
        <v>No</v>
      </c>
      <c r="AI1133" s="8" t="str">
        <f ca="1">IFERROR(__xludf.DUMMYFUNCTION("""COMPUTED_VALUE"""),"No")</f>
        <v>No</v>
      </c>
      <c r="AJ1133" s="8" t="str">
        <f ca="1">IFERROR(__xludf.DUMMYFUNCTION("""COMPUTED_VALUE"""),"No")</f>
        <v>No</v>
      </c>
      <c r="AK1133" s="8" t="str">
        <f ca="1">IFERROR(__xludf.DUMMYFUNCTION("""COMPUTED_VALUE"""),"No")</f>
        <v>No</v>
      </c>
      <c r="AL1133" s="8"/>
      <c r="AM1133" s="8" t="str">
        <f ca="1">IFERROR(__xludf.DUMMYFUNCTION("""COMPUTED_VALUE"""),"No")</f>
        <v>No</v>
      </c>
      <c r="AN1133" s="8"/>
      <c r="AO1133" s="8" t="str">
        <f ca="1">IFERROR(__xludf.DUMMYFUNCTION("""COMPUTED_VALUE"""),"No")</f>
        <v>No</v>
      </c>
      <c r="AP1133" s="8"/>
      <c r="AQ1133" s="8"/>
      <c r="AR1133" s="8" t="str">
        <f ca="1">IFERROR(__xludf.DUMMYFUNCTION("""COMPUTED_VALUE"""),"Outside/Off-Property")</f>
        <v>Outside/Off-Property</v>
      </c>
      <c r="AS1133" s="8">
        <f ca="1">IFERROR(__xludf.DUMMYFUNCTION("""COMPUTED_VALUE"""),99)</f>
        <v>99</v>
      </c>
      <c r="AT1133" s="8"/>
      <c r="AU1133" s="8">
        <f ca="1">IFERROR(__xludf.DUMMYFUNCTION("""COMPUTED_VALUE"""),31.244869)</f>
        <v>31.244869000000001</v>
      </c>
      <c r="AV1133" s="8">
        <f ca="1">IFERROR(__xludf.DUMMYFUNCTION("""COMPUTED_VALUE"""),-90.464907)</f>
        <v>-90.464906999999997</v>
      </c>
      <c r="AW1133" s="8"/>
      <c r="AX1133" s="8">
        <f ca="1">IFERROR(__xludf.DUMMYFUNCTION("""COMPUTED_VALUE"""),39648)</f>
        <v>39648</v>
      </c>
    </row>
    <row r="1134" spans="1:50" ht="45" x14ac:dyDescent="0.2">
      <c r="A1134" s="8" t="str">
        <f ca="1">IFERROR(__xludf.DUMMYFUNCTION("""COMPUTED_VALUE"""),"20220219VACAC")</f>
        <v>20220219VACAC</v>
      </c>
      <c r="B1134" s="8">
        <f ca="1">IFERROR(__xludf.DUMMYFUNCTION("""COMPUTED_VALUE"""),2)</f>
        <v>2</v>
      </c>
      <c r="C1134" s="8">
        <f ca="1">IFERROR(__xludf.DUMMYFUNCTION("""COMPUTED_VALUE"""),19)</f>
        <v>19</v>
      </c>
      <c r="D1134" s="8">
        <f ca="1">IFERROR(__xludf.DUMMYFUNCTION("""COMPUTED_VALUE"""),2022)</f>
        <v>2022</v>
      </c>
      <c r="E1134" s="9">
        <f ca="1">IFERROR(__xludf.DUMMYFUNCTION("""COMPUTED_VALUE"""),44611)</f>
        <v>44611</v>
      </c>
      <c r="F1134" s="8" t="str">
        <f ca="1">IFERROR(__xludf.DUMMYFUNCTION("""COMPUTED_VALUE"""),"Camelot Elementary School")</f>
        <v>Camelot Elementary School</v>
      </c>
      <c r="G1134" s="8">
        <f ca="1">IFERROR(__xludf.DUMMYFUNCTION("""COMPUTED_VALUE"""),1)</f>
        <v>1</v>
      </c>
      <c r="H1134" s="8">
        <f ca="1">IFERROR(__xludf.DUMMYFUNCTION("""COMPUTED_VALUE"""),0)</f>
        <v>0</v>
      </c>
      <c r="I1134" s="8">
        <f ca="1">IFERROR(__xludf.DUMMYFUNCTION("""COMPUTED_VALUE"""),1)</f>
        <v>1</v>
      </c>
      <c r="J1134" s="8">
        <f ca="1">IFERROR(__xludf.DUMMYFUNCTION("""COMPUTED_VALUE"""),0)</f>
        <v>0</v>
      </c>
      <c r="K1134" s="8" t="str">
        <f ca="1">IFERROR(__xludf.DUMMYFUNCTION("""COMPUTED_VALUE"""),"https://www.wavy.com/news/local-news/chesapeake/police-no-charges-expected-to-be-filed-after-17-year-old-fatally-shot-in-chesapeake-saturday/ https://www.13newsnow.com/article/news/local/mycity/chesapeake/shooting-near-community-center-chesapeake-boy-inju"&amp;"red/291-2db11ae5-89fd-465b-ad03-70edfb41d592")</f>
        <v>https://www.wavy.com/news/local-news/chesapeake/police-no-charges-expected-to-be-filed-after-17-year-old-fatally-shot-in-chesapeake-saturday/ https://www.13newsnow.com/article/news/local/mycity/chesapeake/shooting-near-community-center-chesapeake-boy-injured/291-2db11ae5-89fd-465b-ad03-70edfb41d592</v>
      </c>
      <c r="L1134" s="8">
        <f ca="1">IFERROR(__xludf.DUMMYFUNCTION("""COMPUTED_VALUE"""),1)</f>
        <v>1</v>
      </c>
      <c r="M1134" s="8" t="str">
        <f ca="1">IFERROR(__xludf.DUMMYFUNCTION("""COMPUTED_VALUE"""),"Local")</f>
        <v>Local</v>
      </c>
      <c r="N1134" s="8">
        <f ca="1">IFERROR(__xludf.DUMMYFUNCTION("""COMPUTED_VALUE"""),3)</f>
        <v>3</v>
      </c>
      <c r="O1134" s="8" t="str">
        <f ca="1">IFERROR(__xludf.DUMMYFUNCTION("""COMPUTED_VALUE"""),"Winter")</f>
        <v>Winter</v>
      </c>
      <c r="P1134" s="8" t="str">
        <f ca="1">IFERROR(__xludf.DUMMYFUNCTION("""COMPUTED_VALUE"""),"Chesapeake")</f>
        <v>Chesapeake</v>
      </c>
      <c r="Q1134" s="8" t="str">
        <f ca="1">IFERROR(__xludf.DUMMYFUNCTION("""COMPUTED_VALUE"""),"VA")</f>
        <v>VA</v>
      </c>
      <c r="R1134" s="8" t="str">
        <f ca="1">IFERROR(__xludf.DUMMYFUNCTION("""COMPUTED_VALUE"""),"Elementary")</f>
        <v>Elementary</v>
      </c>
      <c r="S1134" s="8" t="str">
        <f ca="1">IFERROR(__xludf.DUMMYFUNCTION("""COMPUTED_VALUE"""),"Parking Lot")</f>
        <v>Parking Lot</v>
      </c>
      <c r="T1134" s="8" t="str">
        <f ca="1">IFERROR(__xludf.DUMMYFUNCTION("""COMPUTED_VALUE"""),"Outside on School Property")</f>
        <v>Outside on School Property</v>
      </c>
      <c r="U1134" s="8" t="str">
        <f ca="1">IFERROR(__xludf.DUMMYFUNCTION("""COMPUTED_VALUE"""),"No")</f>
        <v>No</v>
      </c>
      <c r="V1134" s="8" t="str">
        <f ca="1">IFERROR(__xludf.DUMMYFUNCTION("""COMPUTED_VALUE"""),"Not a School Day")</f>
        <v>Not a School Day</v>
      </c>
      <c r="W1134" s="11">
        <f ca="1">IFERROR(__xludf.DUMMYFUNCTION("""COMPUTED_VALUE"""),0.546527777777777)</f>
        <v>0.54652777777777695</v>
      </c>
      <c r="X1134" s="8">
        <f ca="1">IFERROR(__xludf.DUMMYFUNCTION("""COMPUTED_VALUE"""),1)</f>
        <v>1</v>
      </c>
      <c r="Y1134" s="12" t="str">
        <f ca="1">IFERROR(__xludf.DUMMYFUNCTION("""COMPUTED_VALUE"""),"Teen shot in parking lot")</f>
        <v>Teen shot in parking lot</v>
      </c>
      <c r="Z1134" s="12" t="str">
        <f ca="1">IFERROR(__xludf.DUMMYFUNCTION("""COMPUTED_VALUE"""),"17-year-old male was fatally shot in the school parking lot. Police said that all people involved were interviewed and no charges will be filed. No other information available.")</f>
        <v>17-year-old male was fatally shot in the school parking lot. Police said that all people involved were interviewed and no charges will be filed. No other information available.</v>
      </c>
      <c r="AA1134" s="8"/>
      <c r="AB1134" s="8"/>
      <c r="AC1134" s="8" t="str">
        <f ca="1">IFERROR(__xludf.DUMMYFUNCTION("""COMPUTED_VALUE"""),"Yes")</f>
        <v>Yes</v>
      </c>
      <c r="AD1134" s="8"/>
      <c r="AE1134" s="8" t="str">
        <f ca="1">IFERROR(__xludf.DUMMYFUNCTION("""COMPUTED_VALUE"""),"No")</f>
        <v>No</v>
      </c>
      <c r="AF1134" s="8"/>
      <c r="AG1134" s="8" t="str">
        <f ca="1">IFERROR(__xludf.DUMMYFUNCTION("""COMPUTED_VALUE"""),"No")</f>
        <v>No</v>
      </c>
      <c r="AH1134" s="8" t="str">
        <f ca="1">IFERROR(__xludf.DUMMYFUNCTION("""COMPUTED_VALUE"""),"No")</f>
        <v>No</v>
      </c>
      <c r="AI1134" s="8" t="str">
        <f ca="1">IFERROR(__xludf.DUMMYFUNCTION("""COMPUTED_VALUE"""),"No")</f>
        <v>No</v>
      </c>
      <c r="AJ1134" s="8" t="str">
        <f ca="1">IFERROR(__xludf.DUMMYFUNCTION("""COMPUTED_VALUE"""),"No")</f>
        <v>No</v>
      </c>
      <c r="AK1134" s="8"/>
      <c r="AL1134" s="8"/>
      <c r="AM1134" s="8" t="str">
        <f ca="1">IFERROR(__xludf.DUMMYFUNCTION("""COMPUTED_VALUE"""),"No")</f>
        <v>No</v>
      </c>
      <c r="AN1134" s="8"/>
      <c r="AO1134" s="8"/>
      <c r="AP1134" s="8"/>
      <c r="AQ1134" s="8"/>
      <c r="AR1134" s="8" t="str">
        <f ca="1">IFERROR(__xludf.DUMMYFUNCTION("""COMPUTED_VALUE"""),"Outside/Off-Property")</f>
        <v>Outside/Off-Property</v>
      </c>
      <c r="AS1134" s="8"/>
      <c r="AT1134" s="8"/>
      <c r="AU1134" s="8">
        <f ca="1">IFERROR(__xludf.DUMMYFUNCTION("""COMPUTED_VALUE"""),36.778668)</f>
        <v>36.778668000000003</v>
      </c>
      <c r="AV1134" s="8">
        <f ca="1">IFERROR(__xludf.DUMMYFUNCTION("""COMPUTED_VALUE"""),-76.348293)</f>
        <v>-76.348292999999998</v>
      </c>
      <c r="AW1134" s="8"/>
      <c r="AX1134" s="8">
        <f ca="1">IFERROR(__xludf.DUMMYFUNCTION("""COMPUTED_VALUE"""),23323)</f>
        <v>23323</v>
      </c>
    </row>
    <row r="1135" spans="1:50" ht="75" x14ac:dyDescent="0.2">
      <c r="A1135" s="8" t="str">
        <f ca="1">IFERROR(__xludf.DUMMYFUNCTION("""COMPUTED_VALUE"""),"20220218MATET")</f>
        <v>20220218MATET</v>
      </c>
      <c r="B1135" s="8">
        <f ca="1">IFERROR(__xludf.DUMMYFUNCTION("""COMPUTED_VALUE"""),2)</f>
        <v>2</v>
      </c>
      <c r="C1135" s="8">
        <f ca="1">IFERROR(__xludf.DUMMYFUNCTION("""COMPUTED_VALUE"""),18)</f>
        <v>18</v>
      </c>
      <c r="D1135" s="8">
        <f ca="1">IFERROR(__xludf.DUMMYFUNCTION("""COMPUTED_VALUE"""),2022)</f>
        <v>2022</v>
      </c>
      <c r="E1135" s="9">
        <f ca="1">IFERROR(__xludf.DUMMYFUNCTION("""COMPUTED_VALUE"""),44610)</f>
        <v>44610</v>
      </c>
      <c r="F1135" s="8" t="str">
        <f ca="1">IFERROR(__xludf.DUMMYFUNCTION("""COMPUTED_VALUE"""),"Tewksbury High School")</f>
        <v>Tewksbury High School</v>
      </c>
      <c r="G1135" s="8">
        <f ca="1">IFERROR(__xludf.DUMMYFUNCTION("""COMPUTED_VALUE"""),0)</f>
        <v>0</v>
      </c>
      <c r="H1135" s="8">
        <f ca="1">IFERROR(__xludf.DUMMYFUNCTION("""COMPUTED_VALUE"""),0)</f>
        <v>0</v>
      </c>
      <c r="I1135" s="8">
        <f ca="1">IFERROR(__xludf.DUMMYFUNCTION("""COMPUTED_VALUE"""),0)</f>
        <v>0</v>
      </c>
      <c r="J1135" s="8">
        <f ca="1">IFERROR(__xludf.DUMMYFUNCTION("""COMPUTED_VALUE"""),0)</f>
        <v>0</v>
      </c>
      <c r="K1135" s="8" t="str">
        <f ca="1">IFERROR(__xludf.DUMMYFUNCTION("""COMPUTED_VALUE"""),"https://whdh.com/news/4-billerica-students-accused-of-firing-gel-blasters-into-crowd-of-people-leaving-tewksbury-basketball-game/ https://www.nbcboston.com/news/local/tewksbury-high-students-injured-in-incident-after-basketball-game-with-billerica/2648674"&amp;"/ https://www.boston25news.com/news/local/police-investigating-incident-billerica-v-tewksbury-high-school-basketball-game/TJTMTUWROZFL3DSVH2NJJNDXV4/")</f>
        <v>https://whdh.com/news/4-billerica-students-accused-of-firing-gel-blasters-into-crowd-of-people-leaving-tewksbury-basketball-game/ https://www.nbcboston.com/news/local/tewksbury-high-students-injured-in-incident-after-basketball-game-with-billerica/2648674/ https://www.boston25news.com/news/local/police-investigating-incident-billerica-v-tewksbury-high-school-basketball-game/TJTMTUWROZFL3DSVH2NJJNDXV4/</v>
      </c>
      <c r="L1135" s="8">
        <f ca="1">IFERROR(__xludf.DUMMYFUNCTION("""COMPUTED_VALUE"""),10)</f>
        <v>10</v>
      </c>
      <c r="M1135" s="8" t="str">
        <f ca="1">IFERROR(__xludf.DUMMYFUNCTION("""COMPUTED_VALUE"""),"Regional")</f>
        <v>Regional</v>
      </c>
      <c r="N1135" s="8">
        <f ca="1">IFERROR(__xludf.DUMMYFUNCTION("""COMPUTED_VALUE"""),4)</f>
        <v>4</v>
      </c>
      <c r="O1135" s="8" t="str">
        <f ca="1">IFERROR(__xludf.DUMMYFUNCTION("""COMPUTED_VALUE"""),"Winter")</f>
        <v>Winter</v>
      </c>
      <c r="P1135" s="8" t="str">
        <f ca="1">IFERROR(__xludf.DUMMYFUNCTION("""COMPUTED_VALUE"""),"Tewksbury")</f>
        <v>Tewksbury</v>
      </c>
      <c r="Q1135" s="8" t="str">
        <f ca="1">IFERROR(__xludf.DUMMYFUNCTION("""COMPUTED_VALUE"""),"MA")</f>
        <v>MA</v>
      </c>
      <c r="R1135" s="8" t="str">
        <f ca="1">IFERROR(__xludf.DUMMYFUNCTION("""COMPUTED_VALUE"""),"High")</f>
        <v>High</v>
      </c>
      <c r="S1135" s="8" t="str">
        <f ca="1">IFERROR(__xludf.DUMMYFUNCTION("""COMPUTED_VALUE"""),"Parking Lot")</f>
        <v>Parking Lot</v>
      </c>
      <c r="T1135" s="8" t="str">
        <f ca="1">IFERROR(__xludf.DUMMYFUNCTION("""COMPUTED_VALUE"""),"Outside on School Property")</f>
        <v>Outside on School Property</v>
      </c>
      <c r="U1135" s="8" t="str">
        <f ca="1">IFERROR(__xludf.DUMMYFUNCTION("""COMPUTED_VALUE"""),"No")</f>
        <v>No</v>
      </c>
      <c r="V1135" s="8" t="str">
        <f ca="1">IFERROR(__xludf.DUMMYFUNCTION("""COMPUTED_VALUE"""),"Sport Event")</f>
        <v>Sport Event</v>
      </c>
      <c r="W1135" s="11">
        <f ca="1">IFERROR(__xludf.DUMMYFUNCTION("""COMPUTED_VALUE"""),0.840277777777777)</f>
        <v>0.84027777777777701</v>
      </c>
      <c r="X1135" s="8">
        <f ca="1">IFERROR(__xludf.DUMMYFUNCTION("""COMPUTED_VALUE"""),1)</f>
        <v>1</v>
      </c>
      <c r="Y1135" s="12" t="str">
        <f ca="1">IFERROR(__xludf.DUMMYFUNCTION("""COMPUTED_VALUE"""),"4 teens fired pellet guns at crowd leaving basketball game")</f>
        <v>4 teens fired pellet guns at crowd leaving basketball game</v>
      </c>
      <c r="Z1135" s="12" t="str">
        <f ca="1">IFERROR(__xludf.DUMMYFUNCTION("""COMPUTED_VALUE"""),"4 teen males (18, 17, 17, 16) in two vehicles fired gel pellet guns at the crowd leaving the high school basketball game. Seven people were shot and evaluated by medics at the scene. Teens fled and were later arrested on charges of assault and battery wit"&amp;"h a dangerous weapon.")</f>
        <v>4 teen males (18, 17, 17, 16) in two vehicles fired gel pellet guns at the crowd leaving the high school basketball game. Seven people were shot and evaluated by medics at the scene. Teens fled and were later arrested on charges of assault and battery with a dangerous weapon.</v>
      </c>
      <c r="AA1135" s="8" t="str">
        <f ca="1">IFERROR(__xludf.DUMMYFUNCTION("""COMPUTED_VALUE"""),"Drive-by Shooting")</f>
        <v>Drive-by Shooting</v>
      </c>
      <c r="AB1135" s="8"/>
      <c r="AC1135" s="8" t="str">
        <f ca="1">IFERROR(__xludf.DUMMYFUNCTION("""COMPUTED_VALUE"""),"Yes")</f>
        <v>Yes</v>
      </c>
      <c r="AD1135" s="8" t="str">
        <f ca="1">IFERROR(__xludf.DUMMYFUNCTION("""COMPUTED_VALUE"""),"Random Shooting")</f>
        <v>Random Shooting</v>
      </c>
      <c r="AE1135" s="8" t="str">
        <f ca="1">IFERROR(__xludf.DUMMYFUNCTION("""COMPUTED_VALUE"""),"Yes")</f>
        <v>Yes</v>
      </c>
      <c r="AF1135" s="8" t="str">
        <f ca="1">IFERROR(__xludf.DUMMYFUNCTION("""COMPUTED_VALUE"""),"4 teens")</f>
        <v>4 teens</v>
      </c>
      <c r="AG1135" s="8" t="str">
        <f ca="1">IFERROR(__xludf.DUMMYFUNCTION("""COMPUTED_VALUE"""),"No")</f>
        <v>No</v>
      </c>
      <c r="AH1135" s="8" t="str">
        <f ca="1">IFERROR(__xludf.DUMMYFUNCTION("""COMPUTED_VALUE"""),"No")</f>
        <v>No</v>
      </c>
      <c r="AI1135" s="8" t="str">
        <f ca="1">IFERROR(__xludf.DUMMYFUNCTION("""COMPUTED_VALUE"""),"No")</f>
        <v>No</v>
      </c>
      <c r="AJ1135" s="8" t="str">
        <f ca="1">IFERROR(__xludf.DUMMYFUNCTION("""COMPUTED_VALUE"""),"No")</f>
        <v>No</v>
      </c>
      <c r="AK1135" s="8" t="str">
        <f ca="1">IFERROR(__xludf.DUMMYFUNCTION("""COMPUTED_VALUE"""),"No")</f>
        <v>No</v>
      </c>
      <c r="AL1135" s="8" t="str">
        <f ca="1">IFERROR(__xludf.DUMMYFUNCTION("""COMPUTED_VALUE"""),"No")</f>
        <v>No</v>
      </c>
      <c r="AM1135" s="8" t="str">
        <f ca="1">IFERROR(__xludf.DUMMYFUNCTION("""COMPUTED_VALUE"""),"No")</f>
        <v>No</v>
      </c>
      <c r="AN1135" s="8"/>
      <c r="AO1135" s="8" t="str">
        <f ca="1">IFERROR(__xludf.DUMMYFUNCTION("""COMPUTED_VALUE"""),"No")</f>
        <v>No</v>
      </c>
      <c r="AP1135" s="8"/>
      <c r="AQ1135" s="8"/>
      <c r="AR1135" s="8" t="str">
        <f ca="1">IFERROR(__xludf.DUMMYFUNCTION("""COMPUTED_VALUE"""),"Outside/Off-Property")</f>
        <v>Outside/Off-Property</v>
      </c>
      <c r="AS1135" s="8">
        <f ca="1">IFERROR(__xludf.DUMMYFUNCTION("""COMPUTED_VALUE"""),99)</f>
        <v>99</v>
      </c>
      <c r="AT1135" s="8"/>
      <c r="AU1135" s="8">
        <f ca="1">IFERROR(__xludf.DUMMYFUNCTION("""COMPUTED_VALUE"""),42.60143)</f>
        <v>42.601430000000001</v>
      </c>
      <c r="AV1135" s="8">
        <f ca="1">IFERROR(__xludf.DUMMYFUNCTION("""COMPUTED_VALUE"""),-71.242501)</f>
        <v>-71.242501000000004</v>
      </c>
      <c r="AW1135" s="8"/>
      <c r="AX1135" s="8">
        <f ca="1">IFERROR(__xludf.DUMMYFUNCTION("""COMPUTED_VALUE"""),1876)</f>
        <v>1876</v>
      </c>
    </row>
    <row r="1136" spans="1:50" ht="30" x14ac:dyDescent="0.2">
      <c r="A1136" s="8" t="str">
        <f ca="1">IFERROR(__xludf.DUMMYFUNCTION("""COMPUTED_VALUE"""),"20220217WAMCG")</f>
        <v>20220217WAMCG</v>
      </c>
      <c r="B1136" s="8">
        <f ca="1">IFERROR(__xludf.DUMMYFUNCTION("""COMPUTED_VALUE"""),2)</f>
        <v>2</v>
      </c>
      <c r="C1136" s="8">
        <f ca="1">IFERROR(__xludf.DUMMYFUNCTION("""COMPUTED_VALUE"""),17)</f>
        <v>17</v>
      </c>
      <c r="D1136" s="8">
        <f ca="1">IFERROR(__xludf.DUMMYFUNCTION("""COMPUTED_VALUE"""),2022)</f>
        <v>2022</v>
      </c>
      <c r="E1136" s="9">
        <f ca="1">IFERROR(__xludf.DUMMYFUNCTION("""COMPUTED_VALUE"""),44609)</f>
        <v>44609</v>
      </c>
      <c r="F1136" s="8" t="str">
        <f ca="1">IFERROR(__xludf.DUMMYFUNCTION("""COMPUTED_VALUE"""),"McClure Elementary School")</f>
        <v>McClure Elementary School</v>
      </c>
      <c r="G1136" s="8">
        <f ca="1">IFERROR(__xludf.DUMMYFUNCTION("""COMPUTED_VALUE"""),0)</f>
        <v>0</v>
      </c>
      <c r="H1136" s="8">
        <f ca="1">IFERROR(__xludf.DUMMYFUNCTION("""COMPUTED_VALUE"""),1)</f>
        <v>1</v>
      </c>
      <c r="I1136" s="8">
        <f ca="1">IFERROR(__xludf.DUMMYFUNCTION("""COMPUTED_VALUE"""),1)</f>
        <v>1</v>
      </c>
      <c r="J1136" s="8">
        <f ca="1">IFERROR(__xludf.DUMMYFUNCTION("""COMPUTED_VALUE"""),0)</f>
        <v>0</v>
      </c>
      <c r="K1136" s="8" t="str">
        <f ca="1">IFERROR(__xludf.DUMMYFUNCTION("""COMPUTED_VALUE"""),"https://www.yaktrinews.com/two-suspects-at-large-in-grandview-after-shooting-outside-of-an-elementary-school/ https://kimatv.com/news/local/shooting-outside-elementary-in-grandview-suspect-on-the-run")</f>
        <v>https://www.yaktrinews.com/two-suspects-at-large-in-grandview-after-shooting-outside-of-an-elementary-school/ https://kimatv.com/news/local/shooting-outside-elementary-in-grandview-suspect-on-the-run</v>
      </c>
      <c r="L1136" s="8">
        <f ca="1">IFERROR(__xludf.DUMMYFUNCTION("""COMPUTED_VALUE"""),2)</f>
        <v>2</v>
      </c>
      <c r="M1136" s="8" t="str">
        <f ca="1">IFERROR(__xludf.DUMMYFUNCTION("""COMPUTED_VALUE"""),"Local")</f>
        <v>Local</v>
      </c>
      <c r="N1136" s="8">
        <f ca="1">IFERROR(__xludf.DUMMYFUNCTION("""COMPUTED_VALUE"""),4)</f>
        <v>4</v>
      </c>
      <c r="O1136" s="8" t="str">
        <f ca="1">IFERROR(__xludf.DUMMYFUNCTION("""COMPUTED_VALUE"""),"Winter")</f>
        <v>Winter</v>
      </c>
      <c r="P1136" s="8" t="str">
        <f ca="1">IFERROR(__xludf.DUMMYFUNCTION("""COMPUTED_VALUE"""),"Grandview")</f>
        <v>Grandview</v>
      </c>
      <c r="Q1136" s="8" t="str">
        <f ca="1">IFERROR(__xludf.DUMMYFUNCTION("""COMPUTED_VALUE"""),"WA")</f>
        <v>WA</v>
      </c>
      <c r="R1136" s="8" t="str">
        <f ca="1">IFERROR(__xludf.DUMMYFUNCTION("""COMPUTED_VALUE"""),"Elementary")</f>
        <v>Elementary</v>
      </c>
      <c r="S1136" s="8" t="str">
        <f ca="1">IFERROR(__xludf.DUMMYFUNCTION("""COMPUTED_VALUE"""),"Outside on School Property")</f>
        <v>Outside on School Property</v>
      </c>
      <c r="T1136" s="8" t="str">
        <f ca="1">IFERROR(__xludf.DUMMYFUNCTION("""COMPUTED_VALUE"""),"Outside on School Property")</f>
        <v>Outside on School Property</v>
      </c>
      <c r="U1136" s="8" t="str">
        <f ca="1">IFERROR(__xludf.DUMMYFUNCTION("""COMPUTED_VALUE"""),"No")</f>
        <v>No</v>
      </c>
      <c r="V1136" s="8" t="str">
        <f ca="1">IFERROR(__xludf.DUMMYFUNCTION("""COMPUTED_VALUE"""),"Evening")</f>
        <v>Evening</v>
      </c>
      <c r="W1136" s="11">
        <f ca="1">IFERROR(__xludf.DUMMYFUNCTION("""COMPUTED_VALUE"""),0.708333333333333)</f>
        <v>0.70833333333333304</v>
      </c>
      <c r="X1136" s="8">
        <f ca="1">IFERROR(__xludf.DUMMYFUNCTION("""COMPUTED_VALUE"""),1)</f>
        <v>1</v>
      </c>
      <c r="Y1136" s="12" t="str">
        <f ca="1">IFERROR(__xludf.DUMMYFUNCTION("""COMPUTED_VALUE"""),"Man shot next to school, shooter fled")</f>
        <v>Man shot next to school, shooter fled</v>
      </c>
      <c r="Z1136" s="12" t="str">
        <f ca="1">IFERROR(__xludf.DUMMYFUNCTION("""COMPUTED_VALUE"""),"An adult man was shot next to the school building. Two men fled the area. Police said the shooting was gang related.")</f>
        <v>An adult man was shot next to the school building. Two men fled the area. Police said the shooting was gang related.</v>
      </c>
      <c r="AA1136" s="8" t="str">
        <f ca="1">IFERROR(__xludf.DUMMYFUNCTION("""COMPUTED_VALUE"""),"Escalation of Dispute")</f>
        <v>Escalation of Dispute</v>
      </c>
      <c r="AB1136" s="8"/>
      <c r="AC1136" s="8" t="str">
        <f ca="1">IFERROR(__xludf.DUMMYFUNCTION("""COMPUTED_VALUE"""),"No")</f>
        <v>No</v>
      </c>
      <c r="AD1136" s="8" t="str">
        <f ca="1">IFERROR(__xludf.DUMMYFUNCTION("""COMPUTED_VALUE"""),"Victims Targeted")</f>
        <v>Victims Targeted</v>
      </c>
      <c r="AE1136" s="8" t="str">
        <f ca="1">IFERROR(__xludf.DUMMYFUNCTION("""COMPUTED_VALUE"""),"No")</f>
        <v>No</v>
      </c>
      <c r="AF1136" s="8"/>
      <c r="AG1136" s="8" t="str">
        <f ca="1">IFERROR(__xludf.DUMMYFUNCTION("""COMPUTED_VALUE"""),"No")</f>
        <v>No</v>
      </c>
      <c r="AH1136" s="8" t="str">
        <f ca="1">IFERROR(__xludf.DUMMYFUNCTION("""COMPUTED_VALUE"""),"No")</f>
        <v>No</v>
      </c>
      <c r="AI1136" s="8" t="str">
        <f ca="1">IFERROR(__xludf.DUMMYFUNCTION("""COMPUTED_VALUE"""),"No")</f>
        <v>No</v>
      </c>
      <c r="AJ1136" s="8" t="str">
        <f ca="1">IFERROR(__xludf.DUMMYFUNCTION("""COMPUTED_VALUE"""),"No")</f>
        <v>No</v>
      </c>
      <c r="AK1136" s="8" t="str">
        <f ca="1">IFERROR(__xludf.DUMMYFUNCTION("""COMPUTED_VALUE"""),"No")</f>
        <v>No</v>
      </c>
      <c r="AL1136" s="8" t="str">
        <f ca="1">IFERROR(__xludf.DUMMYFUNCTION("""COMPUTED_VALUE"""),"Yes")</f>
        <v>Yes</v>
      </c>
      <c r="AM1136" s="8" t="str">
        <f ca="1">IFERROR(__xludf.DUMMYFUNCTION("""COMPUTED_VALUE"""),"No")</f>
        <v>No</v>
      </c>
      <c r="AN1136" s="8"/>
      <c r="AO1136" s="8" t="str">
        <f ca="1">IFERROR(__xludf.DUMMYFUNCTION("""COMPUTED_VALUE"""),"No")</f>
        <v>No</v>
      </c>
      <c r="AP1136" s="8" t="str">
        <f ca="1">IFERROR(__xludf.DUMMYFUNCTION("""COMPUTED_VALUE"""),"No")</f>
        <v>No</v>
      </c>
      <c r="AQ1136" s="8"/>
      <c r="AR1136" s="8" t="str">
        <f ca="1">IFERROR(__xludf.DUMMYFUNCTION("""COMPUTED_VALUE"""),"Outside/Off-Property")</f>
        <v>Outside/Off-Property</v>
      </c>
      <c r="AS1136" s="8">
        <f ca="1">IFERROR(__xludf.DUMMYFUNCTION("""COMPUTED_VALUE"""),99)</f>
        <v>99</v>
      </c>
      <c r="AT1136" s="8"/>
      <c r="AU1136" s="8">
        <f ca="1">IFERROR(__xludf.DUMMYFUNCTION("""COMPUTED_VALUE"""),46.255594)</f>
        <v>46.255594000000002</v>
      </c>
      <c r="AV1136" s="8">
        <f ca="1">IFERROR(__xludf.DUMMYFUNCTION("""COMPUTED_VALUE"""),-119.91378)</f>
        <v>-119.91378</v>
      </c>
      <c r="AW1136" s="8"/>
      <c r="AX1136" s="8">
        <f ca="1">IFERROR(__xludf.DUMMYFUNCTION("""COMPUTED_VALUE"""),98930)</f>
        <v>98930</v>
      </c>
    </row>
    <row r="1137" spans="1:50" ht="60" x14ac:dyDescent="0.2">
      <c r="A1137" s="8" t="str">
        <f ca="1">IFERROR(__xludf.DUMMYFUNCTION("""COMPUTED_VALUE"""),"20220214FLLAL")</f>
        <v>20220214FLLAL</v>
      </c>
      <c r="B1137" s="8">
        <f ca="1">IFERROR(__xludf.DUMMYFUNCTION("""COMPUTED_VALUE"""),2)</f>
        <v>2</v>
      </c>
      <c r="C1137" s="8">
        <f ca="1">IFERROR(__xludf.DUMMYFUNCTION("""COMPUTED_VALUE"""),14)</f>
        <v>14</v>
      </c>
      <c r="D1137" s="8">
        <f ca="1">IFERROR(__xludf.DUMMYFUNCTION("""COMPUTED_VALUE"""),2022)</f>
        <v>2022</v>
      </c>
      <c r="E1137" s="9">
        <f ca="1">IFERROR(__xludf.DUMMYFUNCTION("""COMPUTED_VALUE"""),44606)</f>
        <v>44606</v>
      </c>
      <c r="F1137" s="8" t="str">
        <f ca="1">IFERROR(__xludf.DUMMYFUNCTION("""COMPUTED_VALUE"""),"Lake City Middle School")</f>
        <v>Lake City Middle School</v>
      </c>
      <c r="G1137" s="8">
        <f ca="1">IFERROR(__xludf.DUMMYFUNCTION("""COMPUTED_VALUE"""),0)</f>
        <v>0</v>
      </c>
      <c r="H1137" s="8">
        <f ca="1">IFERROR(__xludf.DUMMYFUNCTION("""COMPUTED_VALUE"""),0)</f>
        <v>0</v>
      </c>
      <c r="I1137" s="8">
        <f ca="1">IFERROR(__xludf.DUMMYFUNCTION("""COMPUTED_VALUE"""),0)</f>
        <v>0</v>
      </c>
      <c r="J1137" s="8">
        <f ca="1">IFERROR(__xludf.DUMMYFUNCTION("""COMPUTED_VALUE"""),0)</f>
        <v>0</v>
      </c>
      <c r="K1137" s="8" t="str">
        <f ca="1">IFERROR(__xludf.DUMMYFUNCTION("""COMPUTED_VALUE"""),"https://www.lakecityreporter.com/local/lcms-lockdown-shooter-nabbed https://www.firstcoastnews.com/article/news/crime/man-charged-in-connection-to-shooting-incident-near-lake-city-middle-school/77-09195bf9-7e3a-4c22-a1b9-0db7d52453fc https://www.wcjb.com/"&amp;"2022/02/23/update-lake-city-man-arrested-after-firing-shots-near-lake-city-middle-school/")</f>
        <v>https://www.lakecityreporter.com/local/lcms-lockdown-shooter-nabbed https://www.firstcoastnews.com/article/news/crime/man-charged-in-connection-to-shooting-incident-near-lake-city-middle-school/77-09195bf9-7e3a-4c22-a1b9-0db7d52453fc https://www.wcjb.com/2022/02/23/update-lake-city-man-arrested-after-firing-shots-near-lake-city-middle-school/</v>
      </c>
      <c r="L1137" s="8">
        <f ca="1">IFERROR(__xludf.DUMMYFUNCTION("""COMPUTED_VALUE"""),3)</f>
        <v>3</v>
      </c>
      <c r="M1137" s="8" t="str">
        <f ca="1">IFERROR(__xludf.DUMMYFUNCTION("""COMPUTED_VALUE"""),"Local")</f>
        <v>Local</v>
      </c>
      <c r="N1137" s="8">
        <f ca="1">IFERROR(__xludf.DUMMYFUNCTION("""COMPUTED_VALUE"""),4)</f>
        <v>4</v>
      </c>
      <c r="O1137" s="8" t="str">
        <f ca="1">IFERROR(__xludf.DUMMYFUNCTION("""COMPUTED_VALUE"""),"Winter")</f>
        <v>Winter</v>
      </c>
      <c r="P1137" s="8" t="str">
        <f ca="1">IFERROR(__xludf.DUMMYFUNCTION("""COMPUTED_VALUE"""),"Lake City")</f>
        <v>Lake City</v>
      </c>
      <c r="Q1137" s="8" t="str">
        <f ca="1">IFERROR(__xludf.DUMMYFUNCTION("""COMPUTED_VALUE"""),"FL")</f>
        <v>FL</v>
      </c>
      <c r="R1137" s="8" t="str">
        <f ca="1">IFERROR(__xludf.DUMMYFUNCTION("""COMPUTED_VALUE"""),"Middle")</f>
        <v>Middle</v>
      </c>
      <c r="S1137" s="8" t="str">
        <f ca="1">IFERROR(__xludf.DUMMYFUNCTION("""COMPUTED_VALUE"""),"Front of School")</f>
        <v>Front of School</v>
      </c>
      <c r="T1137" s="8" t="str">
        <f ca="1">IFERROR(__xludf.DUMMYFUNCTION("""COMPUTED_VALUE"""),"Outside on School Property")</f>
        <v>Outside on School Property</v>
      </c>
      <c r="U1137" s="8" t="str">
        <f ca="1">IFERROR(__xludf.DUMMYFUNCTION("""COMPUTED_VALUE"""),"Yes")</f>
        <v>Yes</v>
      </c>
      <c r="V1137" s="8" t="str">
        <f ca="1">IFERROR(__xludf.DUMMYFUNCTION("""COMPUTED_VALUE"""),"Dismissal")</f>
        <v>Dismissal</v>
      </c>
      <c r="W1137" s="11">
        <f ca="1">IFERROR(__xludf.DUMMYFUNCTION("""COMPUTED_VALUE"""),0.625)</f>
        <v>0.625</v>
      </c>
      <c r="X1137" s="8">
        <f ca="1">IFERROR(__xludf.DUMMYFUNCTION("""COMPUTED_VALUE"""),1)</f>
        <v>1</v>
      </c>
      <c r="Y1137" s="12" t="str">
        <f ca="1">IFERROR(__xludf.DUMMYFUNCTION("""COMPUTED_VALUE"""),"Adult man fired shots in front of the school during a dispute at dismissal")</f>
        <v>Adult man fired shots in front of the school during a dispute at dismissal</v>
      </c>
      <c r="Z1137" s="12" t="str">
        <f ca="1">IFERROR(__xludf.DUMMYFUNCTION("""COMPUTED_VALUE"""),"A 39-year-old male fired shots during a dispute in front of the school at dismissal. School went on lockdown. Shooter fled and was arrested 2 weeks later.")</f>
        <v>A 39-year-old male fired shots during a dispute in front of the school at dismissal. School went on lockdown. Shooter fled and was arrested 2 weeks later.</v>
      </c>
      <c r="AA1137" s="8" t="str">
        <f ca="1">IFERROR(__xludf.DUMMYFUNCTION("""COMPUTED_VALUE"""),"Escalation of Dispute")</f>
        <v>Escalation of Dispute</v>
      </c>
      <c r="AB1137" s="8"/>
      <c r="AC1137" s="8" t="str">
        <f ca="1">IFERROR(__xludf.DUMMYFUNCTION("""COMPUTED_VALUE"""),"Yes")</f>
        <v>Yes</v>
      </c>
      <c r="AD1137" s="8" t="str">
        <f ca="1">IFERROR(__xludf.DUMMYFUNCTION("""COMPUTED_VALUE"""),"Victims Targeted")</f>
        <v>Victims Targeted</v>
      </c>
      <c r="AE1137" s="8" t="str">
        <f ca="1">IFERROR(__xludf.DUMMYFUNCTION("""COMPUTED_VALUE"""),"No")</f>
        <v>No</v>
      </c>
      <c r="AF1137" s="8"/>
      <c r="AG1137" s="8" t="str">
        <f ca="1">IFERROR(__xludf.DUMMYFUNCTION("""COMPUTED_VALUE"""),"No")</f>
        <v>No</v>
      </c>
      <c r="AH1137" s="8" t="str">
        <f ca="1">IFERROR(__xludf.DUMMYFUNCTION("""COMPUTED_VALUE"""),"No")</f>
        <v>No</v>
      </c>
      <c r="AI1137" s="8" t="str">
        <f ca="1">IFERROR(__xludf.DUMMYFUNCTION("""COMPUTED_VALUE"""),"No")</f>
        <v>No</v>
      </c>
      <c r="AJ1137" s="8" t="str">
        <f ca="1">IFERROR(__xludf.DUMMYFUNCTION("""COMPUTED_VALUE"""),"No")</f>
        <v>No</v>
      </c>
      <c r="AK1137" s="8" t="str">
        <f ca="1">IFERROR(__xludf.DUMMYFUNCTION("""COMPUTED_VALUE"""),"No")</f>
        <v>No</v>
      </c>
      <c r="AL1137" s="8" t="str">
        <f ca="1">IFERROR(__xludf.DUMMYFUNCTION("""COMPUTED_VALUE"""),"No")</f>
        <v>No</v>
      </c>
      <c r="AM1137" s="8" t="str">
        <f ca="1">IFERROR(__xludf.DUMMYFUNCTION("""COMPUTED_VALUE"""),"No")</f>
        <v>No</v>
      </c>
      <c r="AN1137" s="8"/>
      <c r="AO1137" s="8" t="str">
        <f ca="1">IFERROR(__xludf.DUMMYFUNCTION("""COMPUTED_VALUE"""),"No")</f>
        <v>No</v>
      </c>
      <c r="AP1137" s="8"/>
      <c r="AQ1137" s="8"/>
      <c r="AR1137" s="8" t="str">
        <f ca="1">IFERROR(__xludf.DUMMYFUNCTION("""COMPUTED_VALUE"""),"Outside/Off-Property")</f>
        <v>Outside/Off-Property</v>
      </c>
      <c r="AS1137" s="8">
        <f ca="1">IFERROR(__xludf.DUMMYFUNCTION("""COMPUTED_VALUE"""),99)</f>
        <v>99</v>
      </c>
      <c r="AT1137" s="8" t="str">
        <f ca="1">IFERROR(__xludf.DUMMYFUNCTION("""COMPUTED_VALUE"""),"Yes")</f>
        <v>Yes</v>
      </c>
      <c r="AU1137" s="8">
        <f ca="1">IFERROR(__xludf.DUMMYFUNCTION("""COMPUTED_VALUE"""),30.178743)</f>
        <v>30.178743000000001</v>
      </c>
      <c r="AV1137" s="8">
        <f ca="1">IFERROR(__xludf.DUMMYFUNCTION("""COMPUTED_VALUE"""),-82.655856)</f>
        <v>-82.655856</v>
      </c>
      <c r="AW1137" s="8"/>
      <c r="AX1137" s="8">
        <f ca="1">IFERROR(__xludf.DUMMYFUNCTION("""COMPUTED_VALUE"""),32025)</f>
        <v>32025</v>
      </c>
    </row>
    <row r="1138" spans="1:50" ht="30" x14ac:dyDescent="0.2">
      <c r="A1138" s="8" t="str">
        <f ca="1">IFERROR(__xludf.DUMMYFUNCTION("""COMPUTED_VALUE"""),"20220211DCEAW")</f>
        <v>20220211DCEAW</v>
      </c>
      <c r="B1138" s="8">
        <f ca="1">IFERROR(__xludf.DUMMYFUNCTION("""COMPUTED_VALUE"""),2)</f>
        <v>2</v>
      </c>
      <c r="C1138" s="8">
        <f ca="1">IFERROR(__xludf.DUMMYFUNCTION("""COMPUTED_VALUE"""),11)</f>
        <v>11</v>
      </c>
      <c r="D1138" s="8">
        <f ca="1">IFERROR(__xludf.DUMMYFUNCTION("""COMPUTED_VALUE"""),2022)</f>
        <v>2022</v>
      </c>
      <c r="E1138" s="9">
        <f ca="1">IFERROR(__xludf.DUMMYFUNCTION("""COMPUTED_VALUE"""),44603)</f>
        <v>44603</v>
      </c>
      <c r="F1138" s="8" t="str">
        <f ca="1">IFERROR(__xludf.DUMMYFUNCTION("""COMPUTED_VALUE"""),"Eagle Academy")</f>
        <v>Eagle Academy</v>
      </c>
      <c r="G1138" s="8">
        <f ca="1">IFERROR(__xludf.DUMMYFUNCTION("""COMPUTED_VALUE"""),0)</f>
        <v>0</v>
      </c>
      <c r="H1138" s="8">
        <f ca="1">IFERROR(__xludf.DUMMYFUNCTION("""COMPUTED_VALUE"""),1)</f>
        <v>1</v>
      </c>
      <c r="I1138" s="8">
        <f ca="1">IFERROR(__xludf.DUMMYFUNCTION("""COMPUTED_VALUE"""),1)</f>
        <v>1</v>
      </c>
      <c r="J1138" s="8">
        <f ca="1">IFERROR(__xludf.DUMMYFUNCTION("""COMPUTED_VALUE"""),0)</f>
        <v>0</v>
      </c>
      <c r="K1138" s="10" t="str">
        <f ca="1">IFERROR(__xludf.DUMMYFUNCTION("""COMPUTED_VALUE"""),"https://www.wusa9.com/article/news/local/dc/police-man-injured-shooting-parking-lot-dc-charter-school/65-f3074dfc-06a1-49b2-9051-45f4b25befdb")</f>
        <v>https://www.wusa9.com/article/news/local/dc/police-man-injured-shooting-parking-lot-dc-charter-school/65-f3074dfc-06a1-49b2-9051-45f4b25befdb</v>
      </c>
      <c r="L1138" s="8">
        <f ca="1">IFERROR(__xludf.DUMMYFUNCTION("""COMPUTED_VALUE"""),1)</f>
        <v>1</v>
      </c>
      <c r="M1138" s="8" t="str">
        <f ca="1">IFERROR(__xludf.DUMMYFUNCTION("""COMPUTED_VALUE"""),"Local")</f>
        <v>Local</v>
      </c>
      <c r="N1138" s="8">
        <f ca="1">IFERROR(__xludf.DUMMYFUNCTION("""COMPUTED_VALUE"""),3)</f>
        <v>3</v>
      </c>
      <c r="O1138" s="8" t="str">
        <f ca="1">IFERROR(__xludf.DUMMYFUNCTION("""COMPUTED_VALUE"""),"Winter")</f>
        <v>Winter</v>
      </c>
      <c r="P1138" s="8" t="str">
        <f ca="1">IFERROR(__xludf.DUMMYFUNCTION("""COMPUTED_VALUE"""),"Washington")</f>
        <v>Washington</v>
      </c>
      <c r="Q1138" s="8" t="str">
        <f ca="1">IFERROR(__xludf.DUMMYFUNCTION("""COMPUTED_VALUE"""),"DC")</f>
        <v>DC</v>
      </c>
      <c r="R1138" s="8" t="str">
        <f ca="1">IFERROR(__xludf.DUMMYFUNCTION("""COMPUTED_VALUE"""),"K-8")</f>
        <v>K-8</v>
      </c>
      <c r="S1138" s="8" t="str">
        <f ca="1">IFERROR(__xludf.DUMMYFUNCTION("""COMPUTED_VALUE"""),"Parking Lot")</f>
        <v>Parking Lot</v>
      </c>
      <c r="T1138" s="8" t="str">
        <f ca="1">IFERROR(__xludf.DUMMYFUNCTION("""COMPUTED_VALUE"""),"Outside on School Property")</f>
        <v>Outside on School Property</v>
      </c>
      <c r="U1138" s="8" t="str">
        <f ca="1">IFERROR(__xludf.DUMMYFUNCTION("""COMPUTED_VALUE"""),"Yes")</f>
        <v>Yes</v>
      </c>
      <c r="V1138" s="8" t="str">
        <f ca="1">IFERROR(__xludf.DUMMYFUNCTION("""COMPUTED_VALUE"""),"Afternoon Classes")</f>
        <v>Afternoon Classes</v>
      </c>
      <c r="W1138" s="11">
        <f ca="1">IFERROR(__xludf.DUMMYFUNCTION("""COMPUTED_VALUE"""),0.583333333333333)</f>
        <v>0.58333333333333304</v>
      </c>
      <c r="X1138" s="8">
        <f ca="1">IFERROR(__xludf.DUMMYFUNCTION("""COMPUTED_VALUE"""),1)</f>
        <v>1</v>
      </c>
      <c r="Y1138" s="12" t="str">
        <f ca="1">IFERROR(__xludf.DUMMYFUNCTION("""COMPUTED_VALUE"""),"Man shot in school parking lot")</f>
        <v>Man shot in school parking lot</v>
      </c>
      <c r="Z1138" s="12" t="str">
        <f ca="1">IFERROR(__xludf.DUMMYFUNCTION("""COMPUTED_VALUE"""),"Man shot in school parking lot. No other information available.")</f>
        <v>Man shot in school parking lot. No other information available.</v>
      </c>
      <c r="AA1138" s="8"/>
      <c r="AB1138" s="8"/>
      <c r="AC1138" s="8" t="str">
        <f ca="1">IFERROR(__xludf.DUMMYFUNCTION("""COMPUTED_VALUE"""),"Yes")</f>
        <v>Yes</v>
      </c>
      <c r="AD1138" s="8"/>
      <c r="AE1138" s="8"/>
      <c r="AF1138" s="8"/>
      <c r="AG1138" s="8" t="str">
        <f ca="1">IFERROR(__xludf.DUMMYFUNCTION("""COMPUTED_VALUE"""),"No")</f>
        <v>No</v>
      </c>
      <c r="AH1138" s="8" t="str">
        <f ca="1">IFERROR(__xludf.DUMMYFUNCTION("""COMPUTED_VALUE"""),"No")</f>
        <v>No</v>
      </c>
      <c r="AI1138" s="8" t="str">
        <f ca="1">IFERROR(__xludf.DUMMYFUNCTION("""COMPUTED_VALUE"""),"No")</f>
        <v>No</v>
      </c>
      <c r="AJ1138" s="8" t="str">
        <f ca="1">IFERROR(__xludf.DUMMYFUNCTION("""COMPUTED_VALUE"""),"No")</f>
        <v>No</v>
      </c>
      <c r="AK1138" s="8" t="str">
        <f ca="1">IFERROR(__xludf.DUMMYFUNCTION("""COMPUTED_VALUE"""),"No")</f>
        <v>No</v>
      </c>
      <c r="AL1138" s="8"/>
      <c r="AM1138" s="8" t="str">
        <f ca="1">IFERROR(__xludf.DUMMYFUNCTION("""COMPUTED_VALUE"""),"No")</f>
        <v>No</v>
      </c>
      <c r="AN1138" s="8"/>
      <c r="AO1138" s="8" t="str">
        <f ca="1">IFERROR(__xludf.DUMMYFUNCTION("""COMPUTED_VALUE"""),"No")</f>
        <v>No</v>
      </c>
      <c r="AP1138" s="8"/>
      <c r="AQ1138" s="8"/>
      <c r="AR1138" s="8" t="str">
        <f ca="1">IFERROR(__xludf.DUMMYFUNCTION("""COMPUTED_VALUE"""),"Outside/Off-Property")</f>
        <v>Outside/Off-Property</v>
      </c>
      <c r="AS1138" s="8"/>
      <c r="AT1138" s="8"/>
      <c r="AU1138" s="8">
        <f ca="1">IFERROR(__xludf.DUMMYFUNCTION("""COMPUTED_VALUE"""),38.866439)</f>
        <v>38.866439</v>
      </c>
      <c r="AV1138" s="8">
        <f ca="1">IFERROR(__xludf.DUMMYFUNCTION("""COMPUTED_VALUE"""),-77.010011)</f>
        <v>-77.010011000000006</v>
      </c>
      <c r="AW1138" s="8"/>
      <c r="AX1138" s="8">
        <f ca="1">IFERROR(__xludf.DUMMYFUNCTION("""COMPUTED_VALUE"""),20591)</f>
        <v>20591</v>
      </c>
    </row>
    <row r="1139" spans="1:50" ht="90" x14ac:dyDescent="0.2">
      <c r="A1139" s="8" t="str">
        <f ca="1">IFERROR(__xludf.DUMMYFUNCTION("""COMPUTED_VALUE"""),"20220209NYMCB")</f>
        <v>20220209NYMCB</v>
      </c>
      <c r="B1139" s="8">
        <f ca="1">IFERROR(__xludf.DUMMYFUNCTION("""COMPUTED_VALUE"""),2)</f>
        <v>2</v>
      </c>
      <c r="C1139" s="8">
        <f ca="1">IFERROR(__xludf.DUMMYFUNCTION("""COMPUTED_VALUE"""),9)</f>
        <v>9</v>
      </c>
      <c r="D1139" s="8">
        <f ca="1">IFERROR(__xludf.DUMMYFUNCTION("""COMPUTED_VALUE"""),2022)</f>
        <v>2022</v>
      </c>
      <c r="E1139" s="9">
        <f ca="1">IFERROR(__xludf.DUMMYFUNCTION("""COMPUTED_VALUE"""),44601)</f>
        <v>44601</v>
      </c>
      <c r="F1139" s="8" t="str">
        <f ca="1">IFERROR(__xludf.DUMMYFUNCTION("""COMPUTED_VALUE"""),"McKinley High School")</f>
        <v>McKinley High School</v>
      </c>
      <c r="G1139" s="8">
        <f ca="1">IFERROR(__xludf.DUMMYFUNCTION("""COMPUTED_VALUE"""),0)</f>
        <v>0</v>
      </c>
      <c r="H1139" s="8">
        <f ca="1">IFERROR(__xludf.DUMMYFUNCTION("""COMPUTED_VALUE"""),2)</f>
        <v>2</v>
      </c>
      <c r="I1139" s="8">
        <f ca="1">IFERROR(__xludf.DUMMYFUNCTION("""COMPUTED_VALUE"""),2)</f>
        <v>2</v>
      </c>
      <c r="J1139" s="8">
        <f ca="1">IFERROR(__xludf.DUMMYFUNCTION("""COMPUTED_VALUE"""),0)</f>
        <v>0</v>
      </c>
      <c r="K1139" s="10" t="str">
        <f ca="1">IFERROR(__xludf.DUMMYFUNCTION("""COMPUTED_VALUE"""),"https://www.wgrz.com/article/news/crime/teen-sentenced-for-shooting-security-officer-outside-mckinley-high-school-during-fight-criminal-investigation/71-017fb489-7f4b-4b9a-be2f-78652d105c98
https://www2.erie.gov/da/index.php?q=press/teen-indicted-his-alle"&amp;"ged-involvement-assault-stabbing-student-outside-mckinley-high-school https://newyork.cbslocal.com/2022/02/09/student-security-guard-shot-outside-high-school-in-buffalo/ https://buffalonews.com/news/local/mckinley-high-school-student-was-stabbed-not-shot-"&amp;"buffalo-police-say/article_316d5f52-89ec-11ec-a13d-8bda870b132e.html https://www.syracuse.com/state/2022/02/police-2-shot-in-buffalo-high-school-parking-lot.html")</f>
        <v>https://www.wgrz.com/article/news/crime/teen-sentenced-for-shooting-security-officer-outside-mckinley-high-school-during-fight-criminal-investigation/71-017fb489-7f4b-4b9a-be2f-78652d105c98
https://www2.erie.gov/da/index.php?q=press/teen-indicted-his-alleged-involvement-assault-stabbing-student-outside-mckinley-high-school https://newyork.cbslocal.com/2022/02/09/student-security-guard-shot-outside-high-school-in-buffalo/ https://buffalonews.com/news/local/mckinley-high-school-student-was-stabbed-not-shot-buffalo-police-say/article_316d5f52-89ec-11ec-a13d-8bda870b132e.html https://www.syracuse.com/state/2022/02/police-2-shot-in-buffalo-high-school-parking-lot.html</v>
      </c>
      <c r="L1139" s="8">
        <f ca="1">IFERROR(__xludf.DUMMYFUNCTION("""COMPUTED_VALUE"""),10)</f>
        <v>10</v>
      </c>
      <c r="M1139" s="8" t="str">
        <f ca="1">IFERROR(__xludf.DUMMYFUNCTION("""COMPUTED_VALUE"""),"Regional")</f>
        <v>Regional</v>
      </c>
      <c r="N1139" s="8">
        <f ca="1">IFERROR(__xludf.DUMMYFUNCTION("""COMPUTED_VALUE"""),4)</f>
        <v>4</v>
      </c>
      <c r="O1139" s="8" t="str">
        <f ca="1">IFERROR(__xludf.DUMMYFUNCTION("""COMPUTED_VALUE"""),"Winter")</f>
        <v>Winter</v>
      </c>
      <c r="P1139" s="8" t="str">
        <f ca="1">IFERROR(__xludf.DUMMYFUNCTION("""COMPUTED_VALUE"""),"Buffalo")</f>
        <v>Buffalo</v>
      </c>
      <c r="Q1139" s="8" t="str">
        <f ca="1">IFERROR(__xludf.DUMMYFUNCTION("""COMPUTED_VALUE"""),"NY")</f>
        <v>NY</v>
      </c>
      <c r="R1139" s="8" t="str">
        <f ca="1">IFERROR(__xludf.DUMMYFUNCTION("""COMPUTED_VALUE"""),"High")</f>
        <v>High</v>
      </c>
      <c r="S1139" s="8" t="str">
        <f ca="1">IFERROR(__xludf.DUMMYFUNCTION("""COMPUTED_VALUE"""),"Parking Lot")</f>
        <v>Parking Lot</v>
      </c>
      <c r="T1139" s="8" t="str">
        <f ca="1">IFERROR(__xludf.DUMMYFUNCTION("""COMPUTED_VALUE"""),"Outside on School Property")</f>
        <v>Outside on School Property</v>
      </c>
      <c r="U1139" s="8" t="str">
        <f ca="1">IFERROR(__xludf.DUMMYFUNCTION("""COMPUTED_VALUE"""),"Yes")</f>
        <v>Yes</v>
      </c>
      <c r="V1139" s="8" t="str">
        <f ca="1">IFERROR(__xludf.DUMMYFUNCTION("""COMPUTED_VALUE"""),"Dismissal")</f>
        <v>Dismissal</v>
      </c>
      <c r="W1139" s="11">
        <f ca="1">IFERROR(__xludf.DUMMYFUNCTION("""COMPUTED_VALUE"""),0.65625)</f>
        <v>0.65625</v>
      </c>
      <c r="X1139" s="8">
        <f ca="1">IFERROR(__xludf.DUMMYFUNCTION("""COMPUTED_VALUE"""),1)</f>
        <v>1</v>
      </c>
      <c r="Y1139" s="12" t="str">
        <f ca="1">IFERROR(__xludf.DUMMYFUNCTION("""COMPUTED_VALUE"""),"Student stabbed and security guard shot during fight")</f>
        <v>Student stabbed and security guard shot during fight</v>
      </c>
      <c r="Z1139" s="12" t="str">
        <f ca="1">IFERROR(__xludf.DUMMYFUNCTION("""COMPUTED_VALUE"""),"A student was stabbed (serious injuries) and a security guard was shot during a large fight in the parking lot at dismissal. Police believed the student had been shot and it was not determined that he was stabbed until surgery. Shooter fled the scene. Pol"&amp;"ice locked down 100 students inside the school and searched neighborhood.")</f>
        <v>A student was stabbed (serious injuries) and a security guard was shot during a large fight in the parking lot at dismissal. Police believed the student had been shot and it was not determined that he was stabbed until surgery. Shooter fled the scene. Police locked down 100 students inside the school and searched neighborhood.</v>
      </c>
      <c r="AA1139" s="8" t="str">
        <f ca="1">IFERROR(__xludf.DUMMYFUNCTION("""COMPUTED_VALUE"""),"Escalation of Dispute")</f>
        <v>Escalation of Dispute</v>
      </c>
      <c r="AB1139" s="8"/>
      <c r="AC1139" s="8" t="str">
        <f ca="1">IFERROR(__xludf.DUMMYFUNCTION("""COMPUTED_VALUE"""),"Yes")</f>
        <v>Yes</v>
      </c>
      <c r="AD1139" s="8" t="str">
        <f ca="1">IFERROR(__xludf.DUMMYFUNCTION("""COMPUTED_VALUE"""),"Both")</f>
        <v>Both</v>
      </c>
      <c r="AE1139" s="8" t="str">
        <f ca="1">IFERROR(__xludf.DUMMYFUNCTION("""COMPUTED_VALUE"""),"Yes")</f>
        <v>Yes</v>
      </c>
      <c r="AF1139" s="8" t="str">
        <f ca="1">IFERROR(__xludf.DUMMYFUNCTION("""COMPUTED_VALUE"""),"Large fight")</f>
        <v>Large fight</v>
      </c>
      <c r="AG1139" s="8" t="str">
        <f ca="1">IFERROR(__xludf.DUMMYFUNCTION("""COMPUTED_VALUE"""),"No")</f>
        <v>No</v>
      </c>
      <c r="AH1139" s="8" t="str">
        <f ca="1">IFERROR(__xludf.DUMMYFUNCTION("""COMPUTED_VALUE"""),"No")</f>
        <v>No</v>
      </c>
      <c r="AI1139" s="8" t="str">
        <f ca="1">IFERROR(__xludf.DUMMYFUNCTION("""COMPUTED_VALUE"""),"No")</f>
        <v>No</v>
      </c>
      <c r="AJ1139" s="8" t="str">
        <f ca="1">IFERROR(__xludf.DUMMYFUNCTION("""COMPUTED_VALUE"""),"No")</f>
        <v>No</v>
      </c>
      <c r="AK1139" s="8" t="str">
        <f ca="1">IFERROR(__xludf.DUMMYFUNCTION("""COMPUTED_VALUE"""),"No")</f>
        <v>No</v>
      </c>
      <c r="AL1139" s="8"/>
      <c r="AM1139" s="8" t="str">
        <f ca="1">IFERROR(__xludf.DUMMYFUNCTION("""COMPUTED_VALUE"""),"No")</f>
        <v>No</v>
      </c>
      <c r="AN1139" s="8"/>
      <c r="AO1139" s="8" t="str">
        <f ca="1">IFERROR(__xludf.DUMMYFUNCTION("""COMPUTED_VALUE"""),"No")</f>
        <v>No</v>
      </c>
      <c r="AP1139" s="8" t="str">
        <f ca="1">IFERROR(__xludf.DUMMYFUNCTION("""COMPUTED_VALUE"""),"Yes")</f>
        <v>Yes</v>
      </c>
      <c r="AQ1139" s="8"/>
      <c r="AR1139" s="8" t="str">
        <f ca="1">IFERROR(__xludf.DUMMYFUNCTION("""COMPUTED_VALUE"""),"Outside/Off-Property")</f>
        <v>Outside/Off-Property</v>
      </c>
      <c r="AS1139" s="8"/>
      <c r="AT1139" s="8" t="str">
        <f ca="1">IFERROR(__xludf.DUMMYFUNCTION("""COMPUTED_VALUE"""),"Yes")</f>
        <v>Yes</v>
      </c>
      <c r="AU1139" s="8">
        <f ca="1">IFERROR(__xludf.DUMMYFUNCTION("""COMPUTED_VALUE"""),42.936761)</f>
        <v>42.936760999999997</v>
      </c>
      <c r="AV1139" s="8">
        <f ca="1">IFERROR(__xludf.DUMMYFUNCTION("""COMPUTED_VALUE"""),-78.879225)</f>
        <v>-78.879225000000005</v>
      </c>
      <c r="AW1139" s="8"/>
      <c r="AX1139" s="8">
        <f ca="1">IFERROR(__xludf.DUMMYFUNCTION("""COMPUTED_VALUE"""),14207)</f>
        <v>14207</v>
      </c>
    </row>
    <row r="1140" spans="1:50" ht="75" x14ac:dyDescent="0.2">
      <c r="A1140" s="8" t="str">
        <f ca="1">IFERROR(__xludf.DUMMYFUNCTION("""COMPUTED_VALUE"""),"20220209MNMIM")</f>
        <v>20220209MNMIM</v>
      </c>
      <c r="B1140" s="8">
        <f ca="1">IFERROR(__xludf.DUMMYFUNCTION("""COMPUTED_VALUE"""),2)</f>
        <v>2</v>
      </c>
      <c r="C1140" s="8">
        <f ca="1">IFERROR(__xludf.DUMMYFUNCTION("""COMPUTED_VALUE"""),9)</f>
        <v>9</v>
      </c>
      <c r="D1140" s="8">
        <f ca="1">IFERROR(__xludf.DUMMYFUNCTION("""COMPUTED_VALUE"""),2022)</f>
        <v>2022</v>
      </c>
      <c r="E1140" s="9">
        <f ca="1">IFERROR(__xludf.DUMMYFUNCTION("""COMPUTED_VALUE"""),44601)</f>
        <v>44601</v>
      </c>
      <c r="F1140" s="8" t="str">
        <f ca="1">IFERROR(__xludf.DUMMYFUNCTION("""COMPUTED_VALUE"""),"Minneapolis School Bus")</f>
        <v>Minneapolis School Bus</v>
      </c>
      <c r="G1140" s="8">
        <f ca="1">IFERROR(__xludf.DUMMYFUNCTION("""COMPUTED_VALUE"""),0)</f>
        <v>0</v>
      </c>
      <c r="H1140" s="8">
        <f ca="1">IFERROR(__xludf.DUMMYFUNCTION("""COMPUTED_VALUE"""),1)</f>
        <v>1</v>
      </c>
      <c r="I1140" s="8">
        <f ca="1">IFERROR(__xludf.DUMMYFUNCTION("""COMPUTED_VALUE"""),1)</f>
        <v>1</v>
      </c>
      <c r="J1140" s="8">
        <f ca="1">IFERROR(__xludf.DUMMYFUNCTION("""COMPUTED_VALUE"""),0)</f>
        <v>0</v>
      </c>
      <c r="K1140" s="8" t="str">
        <f ca="1">IFERROR(__xludf.DUMMYFUNCTION("""COMPUTED_VALUE"""),"https://www.fox9.com/news/search-warrant-minneapolis-school-bus-driver-shot-by-stray-bullet https://abcnews.go.com/US/wireStory/school-bus-driver-shot-minneapolis-children-injured-82798080 https://www.cbsnews.com/news/school-bus-driver-shooting-minneapoli"&amp;"s/ https://minnesota.cbslocal.com/2022/02/09/police-school-bus-driver-shot-in-minneapolis-3-students-were-on-board/")</f>
        <v>https://www.fox9.com/news/search-warrant-minneapolis-school-bus-driver-shot-by-stray-bullet https://abcnews.go.com/US/wireStory/school-bus-driver-shot-minneapolis-children-injured-82798080 https://www.cbsnews.com/news/school-bus-driver-shooting-minneapolis/ https://minnesota.cbslocal.com/2022/02/09/police-school-bus-driver-shot-in-minneapolis-3-students-were-on-board/</v>
      </c>
      <c r="L1140" s="8">
        <f ca="1">IFERROR(__xludf.DUMMYFUNCTION("""COMPUTED_VALUE"""),5)</f>
        <v>5</v>
      </c>
      <c r="M1140" s="8" t="str">
        <f ca="1">IFERROR(__xludf.DUMMYFUNCTION("""COMPUTED_VALUE"""),"National")</f>
        <v>National</v>
      </c>
      <c r="N1140" s="8">
        <f ca="1">IFERROR(__xludf.DUMMYFUNCTION("""COMPUTED_VALUE"""),4)</f>
        <v>4</v>
      </c>
      <c r="O1140" s="8" t="str">
        <f ca="1">IFERROR(__xludf.DUMMYFUNCTION("""COMPUTED_VALUE"""),"Winter")</f>
        <v>Winter</v>
      </c>
      <c r="P1140" s="8" t="str">
        <f ca="1">IFERROR(__xludf.DUMMYFUNCTION("""COMPUTED_VALUE"""),"Minneapolis")</f>
        <v>Minneapolis</v>
      </c>
      <c r="Q1140" s="8" t="str">
        <f ca="1">IFERROR(__xludf.DUMMYFUNCTION("""COMPUTED_VALUE"""),"MN")</f>
        <v>MN</v>
      </c>
      <c r="R1140" s="8" t="str">
        <f ca="1">IFERROR(__xludf.DUMMYFUNCTION("""COMPUTED_VALUE"""),"Elementary")</f>
        <v>Elementary</v>
      </c>
      <c r="S1140" s="8" t="str">
        <f ca="1">IFERROR(__xludf.DUMMYFUNCTION("""COMPUTED_VALUE"""),"School Bus")</f>
        <v>School Bus</v>
      </c>
      <c r="T1140" s="8" t="str">
        <f ca="1">IFERROR(__xludf.DUMMYFUNCTION("""COMPUTED_VALUE"""),"School Bus")</f>
        <v>School Bus</v>
      </c>
      <c r="U1140" s="8" t="str">
        <f ca="1">IFERROR(__xludf.DUMMYFUNCTION("""COMPUTED_VALUE"""),"Yes")</f>
        <v>Yes</v>
      </c>
      <c r="V1140" s="8" t="str">
        <f ca="1">IFERROR(__xludf.DUMMYFUNCTION("""COMPUTED_VALUE"""),"Dismissal")</f>
        <v>Dismissal</v>
      </c>
      <c r="W1140" s="11">
        <f ca="1">IFERROR(__xludf.DUMMYFUNCTION("""COMPUTED_VALUE"""),0.59375)</f>
        <v>0.59375</v>
      </c>
      <c r="X1140" s="8">
        <f ca="1">IFERROR(__xludf.DUMMYFUNCTION("""COMPUTED_VALUE"""),1)</f>
        <v>1</v>
      </c>
      <c r="Y1140" s="12" t="str">
        <f ca="1">IFERROR(__xludf.DUMMYFUNCTION("""COMPUTED_VALUE"""),"School bus driver shot in the head while driving the bus with children aboard")</f>
        <v>School bus driver shot in the head while driving the bus with children aboard</v>
      </c>
      <c r="Z1140" s="12" t="str">
        <f ca="1">IFERROR(__xludf.DUMMYFUNCTION("""COMPUTED_VALUE"""),"A school bus driver was shot in the head while driving the school bus with three students under 10-years-old on the bus. The students were not injured. Shooter fled. Police believe the bullet was a stray shot from gun fire between two vehicles.")</f>
        <v>A school bus driver was shot in the head while driving the school bus with three students under 10-years-old on the bus. The students were not injured. Shooter fled. Police believe the bullet was a stray shot from gun fire between two vehicles.</v>
      </c>
      <c r="AA1140" s="8" t="str">
        <f ca="1">IFERROR(__xludf.DUMMYFUNCTION("""COMPUTED_VALUE"""),"Drive-by Shooting")</f>
        <v>Drive-by Shooting</v>
      </c>
      <c r="AB1140" s="8"/>
      <c r="AC1140" s="8" t="str">
        <f ca="1">IFERROR(__xludf.DUMMYFUNCTION("""COMPUTED_VALUE"""),"Yes")</f>
        <v>Yes</v>
      </c>
      <c r="AD1140" s="8" t="str">
        <f ca="1">IFERROR(__xludf.DUMMYFUNCTION("""COMPUTED_VALUE"""),"Both")</f>
        <v>Both</v>
      </c>
      <c r="AE1140" s="8" t="str">
        <f ca="1">IFERROR(__xludf.DUMMYFUNCTION("""COMPUTED_VALUE"""),"No")</f>
        <v>No</v>
      </c>
      <c r="AF1140" s="8"/>
      <c r="AG1140" s="8" t="str">
        <f ca="1">IFERROR(__xludf.DUMMYFUNCTION("""COMPUTED_VALUE"""),"No")</f>
        <v>No</v>
      </c>
      <c r="AH1140" s="8" t="str">
        <f ca="1">IFERROR(__xludf.DUMMYFUNCTION("""COMPUTED_VALUE"""),"No")</f>
        <v>No</v>
      </c>
      <c r="AI1140" s="8" t="str">
        <f ca="1">IFERROR(__xludf.DUMMYFUNCTION("""COMPUTED_VALUE"""),"No")</f>
        <v>No</v>
      </c>
      <c r="AJ1140" s="8" t="str">
        <f ca="1">IFERROR(__xludf.DUMMYFUNCTION("""COMPUTED_VALUE"""),"No")</f>
        <v>No</v>
      </c>
      <c r="AK1140" s="8" t="str">
        <f ca="1">IFERROR(__xludf.DUMMYFUNCTION("""COMPUTED_VALUE"""),"No")</f>
        <v>No</v>
      </c>
      <c r="AL1140" s="8"/>
      <c r="AM1140" s="8" t="str">
        <f ca="1">IFERROR(__xludf.DUMMYFUNCTION("""COMPUTED_VALUE"""),"No")</f>
        <v>No</v>
      </c>
      <c r="AN1140" s="8"/>
      <c r="AO1140" s="8" t="str">
        <f ca="1">IFERROR(__xludf.DUMMYFUNCTION("""COMPUTED_VALUE"""),"No")</f>
        <v>No</v>
      </c>
      <c r="AP1140" s="8"/>
      <c r="AQ1140" s="8"/>
      <c r="AR1140" s="8" t="str">
        <f ca="1">IFERROR(__xludf.DUMMYFUNCTION("""COMPUTED_VALUE"""),"Outside/Off-Property")</f>
        <v>Outside/Off-Property</v>
      </c>
      <c r="AS1140" s="8">
        <f ca="1">IFERROR(__xludf.DUMMYFUNCTION("""COMPUTED_VALUE"""),99)</f>
        <v>99</v>
      </c>
      <c r="AT1140" s="8"/>
      <c r="AU1140" s="8">
        <f ca="1">IFERROR(__xludf.DUMMYFUNCTION("""COMPUTED_VALUE"""),45.007462)</f>
        <v>45.007461999999997</v>
      </c>
      <c r="AV1140" s="8">
        <f ca="1">IFERROR(__xludf.DUMMYFUNCTION("""COMPUTED_VALUE"""),-93.261652)</f>
        <v>-93.261651999999998</v>
      </c>
      <c r="AW1140" s="8"/>
      <c r="AX1140" s="8">
        <f ca="1">IFERROR(__xludf.DUMMYFUNCTION("""COMPUTED_VALUE"""),55418)</f>
        <v>55418</v>
      </c>
    </row>
    <row r="1141" spans="1:50" ht="75" x14ac:dyDescent="0.2">
      <c r="A1141" s="8" t="str">
        <f ca="1">IFERROR(__xludf.DUMMYFUNCTION("""COMPUTED_VALUE"""),"20220208NYMOM")</f>
        <v>20220208NYMOM</v>
      </c>
      <c r="B1141" s="8">
        <f ca="1">IFERROR(__xludf.DUMMYFUNCTION("""COMPUTED_VALUE"""),2)</f>
        <v>2</v>
      </c>
      <c r="C1141" s="8">
        <f ca="1">IFERROR(__xludf.DUMMYFUNCTION("""COMPUTED_VALUE"""),8)</f>
        <v>8</v>
      </c>
      <c r="D1141" s="8">
        <f ca="1">IFERROR(__xludf.DUMMYFUNCTION("""COMPUTED_VALUE"""),2022)</f>
        <v>2022</v>
      </c>
      <c r="E1141" s="9">
        <f ca="1">IFERROR(__xludf.DUMMYFUNCTION("""COMPUTED_VALUE"""),44600)</f>
        <v>44600</v>
      </c>
      <c r="F1141" s="8" t="str">
        <f ca="1">IFERROR(__xludf.DUMMYFUNCTION("""COMPUTED_VALUE"""),"Mount Vernon High School")</f>
        <v>Mount Vernon High School</v>
      </c>
      <c r="G1141" s="8">
        <f ca="1">IFERROR(__xludf.DUMMYFUNCTION("""COMPUTED_VALUE"""),0)</f>
        <v>0</v>
      </c>
      <c r="H1141" s="8">
        <f ca="1">IFERROR(__xludf.DUMMYFUNCTION("""COMPUTED_VALUE"""),0)</f>
        <v>0</v>
      </c>
      <c r="I1141" s="8">
        <f ca="1">IFERROR(__xludf.DUMMYFUNCTION("""COMPUTED_VALUE"""),0)</f>
        <v>0</v>
      </c>
      <c r="J1141" s="8">
        <f ca="1">IFERROR(__xludf.DUMMYFUNCTION("""COMPUTED_VALUE"""),0)</f>
        <v>0</v>
      </c>
      <c r="K1141" s="8" t="str">
        <f ca="1">IFERROR(__xludf.DUMMYFUNCTION("""COMPUTED_VALUE"""),"https://bronx.news12.com/police-respond-to-shots-fired-outside-mount-vernon-high-school https://dailyvoice.com/new-york/lewisboro/police-fire/shots-fired-outside-high-school-in-westchester/825570/ https://abc7ny.com/shooting-high-school-gun-violence-polic"&amp;"e-searching/11544877/")</f>
        <v>https://bronx.news12.com/police-respond-to-shots-fired-outside-mount-vernon-high-school https://dailyvoice.com/new-york/lewisboro/police-fire/shots-fired-outside-high-school-in-westchester/825570/ https://abc7ny.com/shooting-high-school-gun-violence-police-searching/11544877/</v>
      </c>
      <c r="L1141" s="8">
        <f ca="1">IFERROR(__xludf.DUMMYFUNCTION("""COMPUTED_VALUE"""),5)</f>
        <v>5</v>
      </c>
      <c r="M1141" s="8" t="str">
        <f ca="1">IFERROR(__xludf.DUMMYFUNCTION("""COMPUTED_VALUE"""),"Regional")</f>
        <v>Regional</v>
      </c>
      <c r="N1141" s="8">
        <f ca="1">IFERROR(__xludf.DUMMYFUNCTION("""COMPUTED_VALUE"""),4)</f>
        <v>4</v>
      </c>
      <c r="O1141" s="8" t="str">
        <f ca="1">IFERROR(__xludf.DUMMYFUNCTION("""COMPUTED_VALUE"""),"Winter")</f>
        <v>Winter</v>
      </c>
      <c r="P1141" s="8" t="str">
        <f ca="1">IFERROR(__xludf.DUMMYFUNCTION("""COMPUTED_VALUE"""),"Mount Vernon")</f>
        <v>Mount Vernon</v>
      </c>
      <c r="Q1141" s="8" t="str">
        <f ca="1">IFERROR(__xludf.DUMMYFUNCTION("""COMPUTED_VALUE"""),"NY")</f>
        <v>NY</v>
      </c>
      <c r="R1141" s="8" t="str">
        <f ca="1">IFERROR(__xludf.DUMMYFUNCTION("""COMPUTED_VALUE"""),"High")</f>
        <v>High</v>
      </c>
      <c r="S1141" s="8" t="str">
        <f ca="1">IFERROR(__xludf.DUMMYFUNCTION("""COMPUTED_VALUE"""),"Front of School")</f>
        <v>Front of School</v>
      </c>
      <c r="T1141" s="8" t="str">
        <f ca="1">IFERROR(__xludf.DUMMYFUNCTION("""COMPUTED_VALUE"""),"Outside on School Property")</f>
        <v>Outside on School Property</v>
      </c>
      <c r="U1141" s="8" t="str">
        <f ca="1">IFERROR(__xludf.DUMMYFUNCTION("""COMPUTED_VALUE"""),"Yes")</f>
        <v>Yes</v>
      </c>
      <c r="V1141" s="8" t="str">
        <f ca="1">IFERROR(__xludf.DUMMYFUNCTION("""COMPUTED_VALUE"""),"Dismissal")</f>
        <v>Dismissal</v>
      </c>
      <c r="W1141" s="11">
        <f ca="1">IFERROR(__xludf.DUMMYFUNCTION("""COMPUTED_VALUE"""),0.604166666666666)</f>
        <v>0.60416666666666596</v>
      </c>
      <c r="X1141" s="8">
        <f ca="1">IFERROR(__xludf.DUMMYFUNCTION("""COMPUTED_VALUE"""),1)</f>
        <v>1</v>
      </c>
      <c r="Y1141" s="12" t="str">
        <f ca="1">IFERROR(__xludf.DUMMYFUNCTION("""COMPUTED_VALUE"""),"Shots fired outside school prior to dismissal")</f>
        <v>Shots fired outside school prior to dismissal</v>
      </c>
      <c r="Z1141" s="12" t="str">
        <f ca="1">IFERROR(__xludf.DUMMYFUNCTION("""COMPUTED_VALUE"""),"Three shots fired from a vehicle just prior to dismissal. School went on lockdown. Police recovered three shell casings on school property. Shooter fled. No injuries. School changing traffic pattern and visitor rules following shooting.")</f>
        <v>Three shots fired from a vehicle just prior to dismissal. School went on lockdown. Police recovered three shell casings on school property. Shooter fled. No injuries. School changing traffic pattern and visitor rules following shooting.</v>
      </c>
      <c r="AA1141" s="8" t="str">
        <f ca="1">IFERROR(__xludf.DUMMYFUNCTION("""COMPUTED_VALUE"""),"Drive-by Shooting")</f>
        <v>Drive-by Shooting</v>
      </c>
      <c r="AB1141" s="8"/>
      <c r="AC1141" s="8" t="str">
        <f ca="1">IFERROR(__xludf.DUMMYFUNCTION("""COMPUTED_VALUE"""),"Yes")</f>
        <v>Yes</v>
      </c>
      <c r="AD1141" s="8"/>
      <c r="AE1141" s="8" t="str">
        <f ca="1">IFERROR(__xludf.DUMMYFUNCTION("""COMPUTED_VALUE"""),"No")</f>
        <v>No</v>
      </c>
      <c r="AF1141" s="8"/>
      <c r="AG1141" s="8" t="str">
        <f ca="1">IFERROR(__xludf.DUMMYFUNCTION("""COMPUTED_VALUE"""),"No")</f>
        <v>No</v>
      </c>
      <c r="AH1141" s="8" t="str">
        <f ca="1">IFERROR(__xludf.DUMMYFUNCTION("""COMPUTED_VALUE"""),"No")</f>
        <v>No</v>
      </c>
      <c r="AI1141" s="8" t="str">
        <f ca="1">IFERROR(__xludf.DUMMYFUNCTION("""COMPUTED_VALUE"""),"No")</f>
        <v>No</v>
      </c>
      <c r="AJ1141" s="8" t="str">
        <f ca="1">IFERROR(__xludf.DUMMYFUNCTION("""COMPUTED_VALUE"""),"No")</f>
        <v>No</v>
      </c>
      <c r="AK1141" s="8" t="str">
        <f ca="1">IFERROR(__xludf.DUMMYFUNCTION("""COMPUTED_VALUE"""),"No")</f>
        <v>No</v>
      </c>
      <c r="AL1141" s="8"/>
      <c r="AM1141" s="8" t="str">
        <f ca="1">IFERROR(__xludf.DUMMYFUNCTION("""COMPUTED_VALUE"""),"No")</f>
        <v>No</v>
      </c>
      <c r="AN1141" s="8"/>
      <c r="AO1141" s="8" t="str">
        <f ca="1">IFERROR(__xludf.DUMMYFUNCTION("""COMPUTED_VALUE"""),"No")</f>
        <v>No</v>
      </c>
      <c r="AP1141" s="8"/>
      <c r="AQ1141" s="8"/>
      <c r="AR1141" s="8" t="str">
        <f ca="1">IFERROR(__xludf.DUMMYFUNCTION("""COMPUTED_VALUE"""),"Outside/Off-Property")</f>
        <v>Outside/Off-Property</v>
      </c>
      <c r="AS1141" s="8">
        <f ca="1">IFERROR(__xludf.DUMMYFUNCTION("""COMPUTED_VALUE"""),3)</f>
        <v>3</v>
      </c>
      <c r="AT1141" s="8" t="str">
        <f ca="1">IFERROR(__xludf.DUMMYFUNCTION("""COMPUTED_VALUE"""),"Yes")</f>
        <v>Yes</v>
      </c>
      <c r="AU1141" s="8">
        <f ca="1">IFERROR(__xludf.DUMMYFUNCTION("""COMPUTED_VALUE"""),40.925601)</f>
        <v>40.925601</v>
      </c>
      <c r="AV1141" s="8">
        <f ca="1">IFERROR(__xludf.DUMMYFUNCTION("""COMPUTED_VALUE"""),-73.81543)</f>
        <v>-73.815430000000006</v>
      </c>
      <c r="AW1141" s="8"/>
      <c r="AX1141" s="8">
        <f ca="1">IFERROR(__xludf.DUMMYFUNCTION("""COMPUTED_VALUE"""),10552)</f>
        <v>10552</v>
      </c>
    </row>
    <row r="1142" spans="1:50" ht="105" x14ac:dyDescent="0.2">
      <c r="A1142" s="8" t="str">
        <f ca="1">IFERROR(__xludf.DUMMYFUNCTION("""COMPUTED_VALUE"""),"20220208MDCAC")</f>
        <v>20220208MDCAC</v>
      </c>
      <c r="B1142" s="8">
        <f ca="1">IFERROR(__xludf.DUMMYFUNCTION("""COMPUTED_VALUE"""),2)</f>
        <v>2</v>
      </c>
      <c r="C1142" s="8">
        <f ca="1">IFERROR(__xludf.DUMMYFUNCTION("""COMPUTED_VALUE"""),8)</f>
        <v>8</v>
      </c>
      <c r="D1142" s="8">
        <f ca="1">IFERROR(__xludf.DUMMYFUNCTION("""COMPUTED_VALUE"""),2022)</f>
        <v>2022</v>
      </c>
      <c r="E1142" s="9">
        <f ca="1">IFERROR(__xludf.DUMMYFUNCTION("""COMPUTED_VALUE"""),44600)</f>
        <v>44600</v>
      </c>
      <c r="F1142" s="8" t="str">
        <f ca="1">IFERROR(__xludf.DUMMYFUNCTION("""COMPUTED_VALUE"""),"Catonsville High School")</f>
        <v>Catonsville High School</v>
      </c>
      <c r="G1142" s="8">
        <f ca="1">IFERROR(__xludf.DUMMYFUNCTION("""COMPUTED_VALUE"""),0)</f>
        <v>0</v>
      </c>
      <c r="H1142" s="8">
        <f ca="1">IFERROR(__xludf.DUMMYFUNCTION("""COMPUTED_VALUE"""),2)</f>
        <v>2</v>
      </c>
      <c r="I1142" s="8">
        <f ca="1">IFERROR(__xludf.DUMMYFUNCTION("""COMPUTED_VALUE"""),2)</f>
        <v>2</v>
      </c>
      <c r="J1142" s="8">
        <f ca="1">IFERROR(__xludf.DUMMYFUNCTION("""COMPUTED_VALUE"""),0)</f>
        <v>0</v>
      </c>
      <c r="K1142" s="8" t="str">
        <f ca="1">IFERROR(__xludf.DUMMYFUNCTION("""COMPUTED_VALUE"""),"https://www.wbaltv.com/article/catonsville-high-school-police-investigation/39015853# https://www.baltimoresun.com/maryland/baltimore-county/catonsville/bs-md-co-cr-catonsville-high-school-active-investigation-20220208-xwe36syyirdivoaj6ohgdd4pnq-story.htm"&amp;"l https://www.wmar2news.com/news/local-news/police-on-scene-at-catonsville-high-school https://www.wbaltv.com/article/catonsville-high-school-police-investigation/39015853
https://www.google.com/search?q=catonsville+high+school+shooting&amp;rlz=1C1VDKB_enUS97"&amp;"4US974&amp;biw=1380&amp;bih=779&amp;tbm=nws&amp;sxsrf=AJOqlzXXWYAbffGjxOAwT116oCUo-BJtYg%3A1677070698595&amp;ei=ahH2Y9P-I-_LwbkPxfSGgAk&amp;ved=0ahUKEwjT24Kal6n9AhXvZTABHUW6AZAQ4dUDCA0&amp;uact=5&amp;oq=catonsville+high+school+shooting&amp;gs_lcp=Cgxnd3Mtd2l6LW5ld3MQAzIFCAAQgAQyCQgAEBYQHhDx"&amp;"BDIJCAAQFhAeEPEEOgcIABCxAxBDOgUIABCGA1CcCFixEGCHEmgAcAB4AIABYogB0gWSAQIxMJgBAKABAcABAQ&amp;sclient=gws-wiz-news")</f>
        <v>https://www.wbaltv.com/article/catonsville-high-school-police-investigation/39015853# https://www.baltimoresun.com/maryland/baltimore-county/catonsville/bs-md-co-cr-catonsville-high-school-active-investigation-20220208-xwe36syyirdivoaj6ohgdd4pnq-story.html https://www.wmar2news.com/news/local-news/police-on-scene-at-catonsville-high-school https://www.wbaltv.com/article/catonsville-high-school-police-investigation/39015853
https://www.google.com/search?q=catonsville+high+school+shooting&amp;rlz=1C1VDKB_enUS974US974&amp;biw=1380&amp;bih=779&amp;tbm=nws&amp;sxsrf=AJOqlzXXWYAbffGjxOAwT116oCUo-BJtYg%3A1677070698595&amp;ei=ahH2Y9P-I-_LwbkPxfSGgAk&amp;ved=0ahUKEwjT24Kal6n9AhXvZTABHUW6AZAQ4dUDCA0&amp;uact=5&amp;oq=catonsville+high+school+shooting&amp;gs_lcp=Cgxnd3Mtd2l6LW5ld3MQAzIFCAAQgAQyCQgAEBYQHhDxBDIJCAAQFhAeEPEEOgcIABCxAxBDOgUIABCGA1CcCFixEGCHEmgAcAB4AIABYogB0gWSAQIxMJgBAKABAcABAQ&amp;sclient=gws-wiz-news</v>
      </c>
      <c r="L1142" s="8">
        <f ca="1">IFERROR(__xludf.DUMMYFUNCTION("""COMPUTED_VALUE"""),10)</f>
        <v>10</v>
      </c>
      <c r="M1142" s="8" t="str">
        <f ca="1">IFERROR(__xludf.DUMMYFUNCTION("""COMPUTED_VALUE"""),"Regional")</f>
        <v>Regional</v>
      </c>
      <c r="N1142" s="8">
        <f ca="1">IFERROR(__xludf.DUMMYFUNCTION("""COMPUTED_VALUE"""),4)</f>
        <v>4</v>
      </c>
      <c r="O1142" s="8" t="str">
        <f ca="1">IFERROR(__xludf.DUMMYFUNCTION("""COMPUTED_VALUE"""),"Winter")</f>
        <v>Winter</v>
      </c>
      <c r="P1142" s="8" t="str">
        <f ca="1">IFERROR(__xludf.DUMMYFUNCTION("""COMPUTED_VALUE"""),"Catonsville")</f>
        <v>Catonsville</v>
      </c>
      <c r="Q1142" s="8" t="str">
        <f ca="1">IFERROR(__xludf.DUMMYFUNCTION("""COMPUTED_VALUE"""),"MD")</f>
        <v>MD</v>
      </c>
      <c r="R1142" s="8" t="str">
        <f ca="1">IFERROR(__xludf.DUMMYFUNCTION("""COMPUTED_VALUE"""),"High")</f>
        <v>High</v>
      </c>
      <c r="S1142" s="8" t="str">
        <f ca="1">IFERROR(__xludf.DUMMYFUNCTION("""COMPUTED_VALUE"""),"Parking Lot")</f>
        <v>Parking Lot</v>
      </c>
      <c r="T1142" s="8" t="str">
        <f ca="1">IFERROR(__xludf.DUMMYFUNCTION("""COMPUTED_VALUE"""),"Outside on School Property")</f>
        <v>Outside on School Property</v>
      </c>
      <c r="U1142" s="8" t="str">
        <f ca="1">IFERROR(__xludf.DUMMYFUNCTION("""COMPUTED_VALUE"""),"No")</f>
        <v>No</v>
      </c>
      <c r="V1142" s="8" t="str">
        <f ca="1">IFERROR(__xludf.DUMMYFUNCTION("""COMPUTED_VALUE"""),"After School")</f>
        <v>After School</v>
      </c>
      <c r="W1142" s="11">
        <f ca="1">IFERROR(__xludf.DUMMYFUNCTION("""COMPUTED_VALUE"""),0.625)</f>
        <v>0.625</v>
      </c>
      <c r="X1142" s="8">
        <f ca="1">IFERROR(__xludf.DUMMYFUNCTION("""COMPUTED_VALUE"""),1)</f>
        <v>1</v>
      </c>
      <c r="Y1142" s="12" t="str">
        <f ca="1">IFERROR(__xludf.DUMMYFUNCTION("""COMPUTED_VALUE"""),"Student shot in school parking lot")</f>
        <v>Student shot in school parking lot</v>
      </c>
      <c r="Z1142" s="12" t="str">
        <f ca="1">IFERROR(__xludf.DUMMYFUNCTION("""COMPUTED_VALUE"""),"A 16-year-old student was shot in the school parking lot. Shooter fled in a vehicle. 3 shots were fired, victim ran, and additional shots were fired as victim fled. Lacrosse team was nearby and witnessed the shooting. School went on lockdown for students "&amp;"in the building for sports and after school activities. School resource officer was in the building at the time of the shooting.")</f>
        <v>A 16-year-old student was shot in the school parking lot. Shooter fled in a vehicle. 3 shots were fired, victim ran, and additional shots were fired as victim fled. Lacrosse team was nearby and witnessed the shooting. School went on lockdown for students in the building for sports and after school activities. School resource officer was in the building at the time of the shooting.</v>
      </c>
      <c r="AA1142" s="8"/>
      <c r="AB1142" s="8"/>
      <c r="AC1142" s="8" t="str">
        <f ca="1">IFERROR(__xludf.DUMMYFUNCTION("""COMPUTED_VALUE"""),"Yes")</f>
        <v>Yes</v>
      </c>
      <c r="AD1142" s="8" t="str">
        <f ca="1">IFERROR(__xludf.DUMMYFUNCTION("""COMPUTED_VALUE"""),"Victims Targeted")</f>
        <v>Victims Targeted</v>
      </c>
      <c r="AE1142" s="8" t="str">
        <f ca="1">IFERROR(__xludf.DUMMYFUNCTION("""COMPUTED_VALUE"""),"No")</f>
        <v>No</v>
      </c>
      <c r="AF1142" s="8"/>
      <c r="AG1142" s="8" t="str">
        <f ca="1">IFERROR(__xludf.DUMMYFUNCTION("""COMPUTED_VALUE"""),"No")</f>
        <v>No</v>
      </c>
      <c r="AH1142" s="8" t="str">
        <f ca="1">IFERROR(__xludf.DUMMYFUNCTION("""COMPUTED_VALUE"""),"No")</f>
        <v>No</v>
      </c>
      <c r="AI1142" s="8" t="str">
        <f ca="1">IFERROR(__xludf.DUMMYFUNCTION("""COMPUTED_VALUE"""),"No")</f>
        <v>No</v>
      </c>
      <c r="AJ1142" s="8" t="str">
        <f ca="1">IFERROR(__xludf.DUMMYFUNCTION("""COMPUTED_VALUE"""),"No")</f>
        <v>No</v>
      </c>
      <c r="AK1142" s="8" t="str">
        <f ca="1">IFERROR(__xludf.DUMMYFUNCTION("""COMPUTED_VALUE"""),"No")</f>
        <v>No</v>
      </c>
      <c r="AL1142" s="8"/>
      <c r="AM1142" s="8" t="str">
        <f ca="1">IFERROR(__xludf.DUMMYFUNCTION("""COMPUTED_VALUE"""),"No")</f>
        <v>No</v>
      </c>
      <c r="AN1142" s="8"/>
      <c r="AO1142" s="8" t="str">
        <f ca="1">IFERROR(__xludf.DUMMYFUNCTION("""COMPUTED_VALUE"""),"No")</f>
        <v>No</v>
      </c>
      <c r="AP1142" s="8" t="str">
        <f ca="1">IFERROR(__xludf.DUMMYFUNCTION("""COMPUTED_VALUE"""),"Yes")</f>
        <v>Yes</v>
      </c>
      <c r="AQ1142" s="8"/>
      <c r="AR1142" s="8"/>
      <c r="AS1142" s="8">
        <f ca="1">IFERROR(__xludf.DUMMYFUNCTION("""COMPUTED_VALUE"""),6)</f>
        <v>6</v>
      </c>
      <c r="AT1142" s="8" t="str">
        <f ca="1">IFERROR(__xludf.DUMMYFUNCTION("""COMPUTED_VALUE"""),"Yes")</f>
        <v>Yes</v>
      </c>
      <c r="AU1142" s="8">
        <f ca="1">IFERROR(__xludf.DUMMYFUNCTION("""COMPUTED_VALUE"""),39.259026)</f>
        <v>39.259025999999999</v>
      </c>
      <c r="AV1142" s="8">
        <f ca="1">IFERROR(__xludf.DUMMYFUNCTION("""COMPUTED_VALUE"""),-76.73132)</f>
        <v>-76.731319999999997</v>
      </c>
      <c r="AW1142" s="8"/>
      <c r="AX1142" s="8">
        <f ca="1">IFERROR(__xludf.DUMMYFUNCTION("""COMPUTED_VALUE"""),21052)</f>
        <v>21052</v>
      </c>
    </row>
    <row r="1143" spans="1:50" ht="60" x14ac:dyDescent="0.2">
      <c r="A1143" s="8" t="str">
        <f ca="1">IFERROR(__xludf.DUMMYFUNCTION("""COMPUTED_VALUE"""),"20220204GASOD")</f>
        <v>20220204GASOD</v>
      </c>
      <c r="B1143" s="8">
        <f ca="1">IFERROR(__xludf.DUMMYFUNCTION("""COMPUTED_VALUE"""),2)</f>
        <v>2</v>
      </c>
      <c r="C1143" s="8">
        <f ca="1">IFERROR(__xludf.DUMMYFUNCTION("""COMPUTED_VALUE"""),4)</f>
        <v>4</v>
      </c>
      <c r="D1143" s="8">
        <f ca="1">IFERROR(__xludf.DUMMYFUNCTION("""COMPUTED_VALUE"""),2022)</f>
        <v>2022</v>
      </c>
      <c r="E1143" s="9">
        <f ca="1">IFERROR(__xludf.DUMMYFUNCTION("""COMPUTED_VALUE"""),44596)</f>
        <v>44596</v>
      </c>
      <c r="F1143" s="8" t="str">
        <f ca="1">IFERROR(__xludf.DUMMYFUNCTION("""COMPUTED_VALUE"""),"Southwest DeKalb High School")</f>
        <v>Southwest DeKalb High School</v>
      </c>
      <c r="G1143" s="8">
        <f ca="1">IFERROR(__xludf.DUMMYFUNCTION("""COMPUTED_VALUE"""),0)</f>
        <v>0</v>
      </c>
      <c r="H1143" s="8">
        <f ca="1">IFERROR(__xludf.DUMMYFUNCTION("""COMPUTED_VALUE"""),0)</f>
        <v>0</v>
      </c>
      <c r="I1143" s="8">
        <f ca="1">IFERROR(__xludf.DUMMYFUNCTION("""COMPUTED_VALUE"""),0)</f>
        <v>0</v>
      </c>
      <c r="J1143" s="8">
        <f ca="1">IFERROR(__xludf.DUMMYFUNCTION("""COMPUTED_VALUE"""),0)</f>
        <v>0</v>
      </c>
      <c r="K1143" s="10" t="str">
        <f ca="1">IFERROR(__xludf.DUMMYFUNCTION("""COMPUTED_VALUE"""),"https://www.fox5atlanta.com/news/southwest-dekalb-high-school-student-accidentally-shot")</f>
        <v>https://www.fox5atlanta.com/news/southwest-dekalb-high-school-student-accidentally-shot</v>
      </c>
      <c r="L1143" s="8">
        <f ca="1">IFERROR(__xludf.DUMMYFUNCTION("""COMPUTED_VALUE"""),1)</f>
        <v>1</v>
      </c>
      <c r="M1143" s="8" t="str">
        <f ca="1">IFERROR(__xludf.DUMMYFUNCTION("""COMPUTED_VALUE"""),"Local")</f>
        <v>Local</v>
      </c>
      <c r="N1143" s="8">
        <f ca="1">IFERROR(__xludf.DUMMYFUNCTION("""COMPUTED_VALUE"""),3)</f>
        <v>3</v>
      </c>
      <c r="O1143" s="8" t="str">
        <f ca="1">IFERROR(__xludf.DUMMYFUNCTION("""COMPUTED_VALUE"""),"Winter")</f>
        <v>Winter</v>
      </c>
      <c r="P1143" s="8" t="str">
        <f ca="1">IFERROR(__xludf.DUMMYFUNCTION("""COMPUTED_VALUE"""),"Decatur")</f>
        <v>Decatur</v>
      </c>
      <c r="Q1143" s="8" t="str">
        <f ca="1">IFERROR(__xludf.DUMMYFUNCTION("""COMPUTED_VALUE"""),"GA")</f>
        <v>GA</v>
      </c>
      <c r="R1143" s="8" t="str">
        <f ca="1">IFERROR(__xludf.DUMMYFUNCTION("""COMPUTED_VALUE"""),"High")</f>
        <v>High</v>
      </c>
      <c r="S1143" s="8" t="str">
        <f ca="1">IFERROR(__xludf.DUMMYFUNCTION("""COMPUTED_VALUE"""),"Parking Lot")</f>
        <v>Parking Lot</v>
      </c>
      <c r="T1143" s="8" t="str">
        <f ca="1">IFERROR(__xludf.DUMMYFUNCTION("""COMPUTED_VALUE"""),"Outside on School Property")</f>
        <v>Outside on School Property</v>
      </c>
      <c r="U1143" s="8" t="str">
        <f ca="1">IFERROR(__xludf.DUMMYFUNCTION("""COMPUTED_VALUE"""),"Yes")</f>
        <v>Yes</v>
      </c>
      <c r="V1143" s="8" t="str">
        <f ca="1">IFERROR(__xludf.DUMMYFUNCTION("""COMPUTED_VALUE"""),"Dismissal")</f>
        <v>Dismissal</v>
      </c>
      <c r="W1143" s="11">
        <f ca="1">IFERROR(__xludf.DUMMYFUNCTION("""COMPUTED_VALUE"""),0.583333333333333)</f>
        <v>0.58333333333333304</v>
      </c>
      <c r="X1143" s="8">
        <f ca="1">IFERROR(__xludf.DUMMYFUNCTION("""COMPUTED_VALUE"""),1)</f>
        <v>1</v>
      </c>
      <c r="Y1143" s="12" t="str">
        <f ca="1">IFERROR(__xludf.DUMMYFUNCTION("""COMPUTED_VALUE"""),"Student shot self in the leg in school parking lot at dismissal")</f>
        <v>Student shot self in the leg in school parking lot at dismissal</v>
      </c>
      <c r="Z1143" s="12" t="str">
        <f ca="1">IFERROR(__xludf.DUMMYFUNCTION("""COMPUTED_VALUE"""),"An unidentified student shot themselves in the leg during dismissal. Shooting occurred in the school parking lot.")</f>
        <v>An unidentified student shot themselves in the leg during dismissal. Shooting occurred in the school parking lot.</v>
      </c>
      <c r="AA1143" s="8" t="str">
        <f ca="1">IFERROR(__xludf.DUMMYFUNCTION("""COMPUTED_VALUE"""),"Accidental")</f>
        <v>Accidental</v>
      </c>
      <c r="AB1143" s="8"/>
      <c r="AC1143" s="8" t="str">
        <f ca="1">IFERROR(__xludf.DUMMYFUNCTION("""COMPUTED_VALUE"""),"Yes")</f>
        <v>Yes</v>
      </c>
      <c r="AD1143" s="8" t="str">
        <f ca="1">IFERROR(__xludf.DUMMYFUNCTION("""COMPUTED_VALUE"""),"Neither")</f>
        <v>Neither</v>
      </c>
      <c r="AE1143" s="8" t="str">
        <f ca="1">IFERROR(__xludf.DUMMYFUNCTION("""COMPUTED_VALUE"""),"No")</f>
        <v>No</v>
      </c>
      <c r="AF1143" s="8"/>
      <c r="AG1143" s="8" t="str">
        <f ca="1">IFERROR(__xludf.DUMMYFUNCTION("""COMPUTED_VALUE"""),"No")</f>
        <v>No</v>
      </c>
      <c r="AH1143" s="8" t="str">
        <f ca="1">IFERROR(__xludf.DUMMYFUNCTION("""COMPUTED_VALUE"""),"No")</f>
        <v>No</v>
      </c>
      <c r="AI1143" s="8" t="str">
        <f ca="1">IFERROR(__xludf.DUMMYFUNCTION("""COMPUTED_VALUE"""),"No")</f>
        <v>No</v>
      </c>
      <c r="AJ1143" s="8" t="str">
        <f ca="1">IFERROR(__xludf.DUMMYFUNCTION("""COMPUTED_VALUE"""),"No")</f>
        <v>No</v>
      </c>
      <c r="AK1143" s="8" t="str">
        <f ca="1">IFERROR(__xludf.DUMMYFUNCTION("""COMPUTED_VALUE"""),"No")</f>
        <v>No</v>
      </c>
      <c r="AL1143" s="8" t="str">
        <f ca="1">IFERROR(__xludf.DUMMYFUNCTION("""COMPUTED_VALUE"""),"No")</f>
        <v>No</v>
      </c>
      <c r="AM1143" s="8" t="str">
        <f ca="1">IFERROR(__xludf.DUMMYFUNCTION("""COMPUTED_VALUE"""),"No")</f>
        <v>No</v>
      </c>
      <c r="AN1143" s="8"/>
      <c r="AO1143" s="8" t="str">
        <f ca="1">IFERROR(__xludf.DUMMYFUNCTION("""COMPUTED_VALUE"""),"No")</f>
        <v>No</v>
      </c>
      <c r="AP1143" s="8"/>
      <c r="AQ1143" s="8"/>
      <c r="AR1143" s="8" t="str">
        <f ca="1">IFERROR(__xludf.DUMMYFUNCTION("""COMPUTED_VALUE"""),"Outside/Off-Property")</f>
        <v>Outside/Off-Property</v>
      </c>
      <c r="AS1143" s="8">
        <f ca="1">IFERROR(__xludf.DUMMYFUNCTION("""COMPUTED_VALUE"""),1)</f>
        <v>1</v>
      </c>
      <c r="AT1143" s="8"/>
      <c r="AU1143" s="8">
        <f ca="1">IFERROR(__xludf.DUMMYFUNCTION("""COMPUTED_VALUE"""),33.702321)</f>
        <v>33.702320999999998</v>
      </c>
      <c r="AV1143" s="8">
        <f ca="1">IFERROR(__xludf.DUMMYFUNCTION("""COMPUTED_VALUE"""),-84.223663)</f>
        <v>-84.223663000000002</v>
      </c>
      <c r="AW1143" s="8"/>
      <c r="AX1143" s="8">
        <f ca="1">IFERROR(__xludf.DUMMYFUNCTION("""COMPUTED_VALUE"""),30034)</f>
        <v>30034</v>
      </c>
    </row>
    <row r="1144" spans="1:50" ht="90" x14ac:dyDescent="0.2">
      <c r="A1144" s="8" t="str">
        <f ca="1">IFERROR(__xludf.DUMMYFUNCTION("""COMPUTED_VALUE"""),"20220204ALWEB")</f>
        <v>20220204ALWEB</v>
      </c>
      <c r="B1144" s="8">
        <f ca="1">IFERROR(__xludf.DUMMYFUNCTION("""COMPUTED_VALUE"""),2)</f>
        <v>2</v>
      </c>
      <c r="C1144" s="8">
        <f ca="1">IFERROR(__xludf.DUMMYFUNCTION("""COMPUTED_VALUE"""),4)</f>
        <v>4</v>
      </c>
      <c r="D1144" s="8">
        <f ca="1">IFERROR(__xludf.DUMMYFUNCTION("""COMPUTED_VALUE"""),2022)</f>
        <v>2022</v>
      </c>
      <c r="E1144" s="9">
        <f ca="1">IFERROR(__xludf.DUMMYFUNCTION("""COMPUTED_VALUE"""),44596)</f>
        <v>44596</v>
      </c>
      <c r="F1144" s="8" t="str">
        <f ca="1">IFERROR(__xludf.DUMMYFUNCTION("""COMPUTED_VALUE"""),"Wenonah High School")</f>
        <v>Wenonah High School</v>
      </c>
      <c r="G1144" s="8">
        <f ca="1">IFERROR(__xludf.DUMMYFUNCTION("""COMPUTED_VALUE"""),0)</f>
        <v>0</v>
      </c>
      <c r="H1144" s="8">
        <f ca="1">IFERROR(__xludf.DUMMYFUNCTION("""COMPUTED_VALUE"""),1)</f>
        <v>1</v>
      </c>
      <c r="I1144" s="8">
        <f ca="1">IFERROR(__xludf.DUMMYFUNCTION("""COMPUTED_VALUE"""),1)</f>
        <v>1</v>
      </c>
      <c r="J1144" s="8">
        <f ca="1">IFERROR(__xludf.DUMMYFUNCTION("""COMPUTED_VALUE"""),0)</f>
        <v>0</v>
      </c>
      <c r="K1144" s="8" t="str">
        <f ca="1">IFERROR(__xludf.DUMMYFUNCTION("""COMPUTED_VALUE"""),"https://www.wvtm13.com/article/teen-injured-shooting-wenonah-high-school-basketball-game/38988795# https://www.al.com/news/birmingham/2022/02/16-year-old-injured-in-shooting-outside-basketball-game-at-birmingham-high-school.html https://www.cbs42.com/news"&amp;"/local/16-year-old-shot-outside-school-gym/")</f>
        <v>https://www.wvtm13.com/article/teen-injured-shooting-wenonah-high-school-basketball-game/38988795# https://www.al.com/news/birmingham/2022/02/16-year-old-injured-in-shooting-outside-basketball-game-at-birmingham-high-school.html https://www.cbs42.com/news/local/16-year-old-shot-outside-school-gym/</v>
      </c>
      <c r="L1144" s="8">
        <f ca="1">IFERROR(__xludf.DUMMYFUNCTION("""COMPUTED_VALUE"""),3)</f>
        <v>3</v>
      </c>
      <c r="M1144" s="8" t="str">
        <f ca="1">IFERROR(__xludf.DUMMYFUNCTION("""COMPUTED_VALUE"""),"Local")</f>
        <v>Local</v>
      </c>
      <c r="N1144" s="8">
        <f ca="1">IFERROR(__xludf.DUMMYFUNCTION("""COMPUTED_VALUE"""),4)</f>
        <v>4</v>
      </c>
      <c r="O1144" s="8" t="str">
        <f ca="1">IFERROR(__xludf.DUMMYFUNCTION("""COMPUTED_VALUE"""),"Winter")</f>
        <v>Winter</v>
      </c>
      <c r="P1144" s="8" t="str">
        <f ca="1">IFERROR(__xludf.DUMMYFUNCTION("""COMPUTED_VALUE"""),"Birmingham")</f>
        <v>Birmingham</v>
      </c>
      <c r="Q1144" s="8" t="str">
        <f ca="1">IFERROR(__xludf.DUMMYFUNCTION("""COMPUTED_VALUE"""),"AL")</f>
        <v>AL</v>
      </c>
      <c r="R1144" s="8" t="str">
        <f ca="1">IFERROR(__xludf.DUMMYFUNCTION("""COMPUTED_VALUE"""),"High")</f>
        <v>High</v>
      </c>
      <c r="S1144" s="8" t="str">
        <f ca="1">IFERROR(__xludf.DUMMYFUNCTION("""COMPUTED_VALUE"""),"Beside Building")</f>
        <v>Beside Building</v>
      </c>
      <c r="T1144" s="8" t="str">
        <f ca="1">IFERROR(__xludf.DUMMYFUNCTION("""COMPUTED_VALUE"""),"Outside on School Property")</f>
        <v>Outside on School Property</v>
      </c>
      <c r="U1144" s="8" t="str">
        <f ca="1">IFERROR(__xludf.DUMMYFUNCTION("""COMPUTED_VALUE"""),"No")</f>
        <v>No</v>
      </c>
      <c r="V1144" s="8" t="str">
        <f ca="1">IFERROR(__xludf.DUMMYFUNCTION("""COMPUTED_VALUE"""),"Sport Event")</f>
        <v>Sport Event</v>
      </c>
      <c r="W1144" s="11">
        <f ca="1">IFERROR(__xludf.DUMMYFUNCTION("""COMPUTED_VALUE"""),0.885416666666666)</f>
        <v>0.88541666666666596</v>
      </c>
      <c r="X1144" s="8">
        <f ca="1">IFERROR(__xludf.DUMMYFUNCTION("""COMPUTED_VALUE"""),1)</f>
        <v>1</v>
      </c>
      <c r="Y1144" s="12" t="str">
        <f ca="1">IFERROR(__xludf.DUMMYFUNCTION("""COMPUTED_VALUE"""),"Student (not intended target) shot outside of gym following basketball game")</f>
        <v>Student (not intended target) shot outside of gym following basketball game</v>
      </c>
      <c r="Z1144" s="12" t="str">
        <f ca="1">IFERROR(__xludf.DUMMYFUNCTION("""COMPUTED_VALUE"""),"A 16-year-old student was shot outside of the gym at the end of a high school basketball game. Student was not the intended target. Multiple SROs from both schools were at the game. Officers moved the crowd back into the gym. No other injuries. Shooter fl"&amp;"ed. A student was fatally shot at the apartment complex across from the school 3 weeks prior.")</f>
        <v>A 16-year-old student was shot outside of the gym at the end of a high school basketball game. Student was not the intended target. Multiple SROs from both schools were at the game. Officers moved the crowd back into the gym. No other injuries. Shooter fled. A student was fatally shot at the apartment complex across from the school 3 weeks prior.</v>
      </c>
      <c r="AA1144" s="8"/>
      <c r="AB1144" s="8"/>
      <c r="AC1144" s="8" t="str">
        <f ca="1">IFERROR(__xludf.DUMMYFUNCTION("""COMPUTED_VALUE"""),"Yes")</f>
        <v>Yes</v>
      </c>
      <c r="AD1144" s="8" t="str">
        <f ca="1">IFERROR(__xludf.DUMMYFUNCTION("""COMPUTED_VALUE"""),"Both")</f>
        <v>Both</v>
      </c>
      <c r="AE1144" s="8" t="str">
        <f ca="1">IFERROR(__xludf.DUMMYFUNCTION("""COMPUTED_VALUE"""),"No")</f>
        <v>No</v>
      </c>
      <c r="AF1144" s="8"/>
      <c r="AG1144" s="8" t="str">
        <f ca="1">IFERROR(__xludf.DUMMYFUNCTION("""COMPUTED_VALUE"""),"No")</f>
        <v>No</v>
      </c>
      <c r="AH1144" s="8" t="str">
        <f ca="1">IFERROR(__xludf.DUMMYFUNCTION("""COMPUTED_VALUE"""),"No")</f>
        <v>No</v>
      </c>
      <c r="AI1144" s="8" t="str">
        <f ca="1">IFERROR(__xludf.DUMMYFUNCTION("""COMPUTED_VALUE"""),"No")</f>
        <v>No</v>
      </c>
      <c r="AJ1144" s="8" t="str">
        <f ca="1">IFERROR(__xludf.DUMMYFUNCTION("""COMPUTED_VALUE"""),"No")</f>
        <v>No</v>
      </c>
      <c r="AK1144" s="8" t="str">
        <f ca="1">IFERROR(__xludf.DUMMYFUNCTION("""COMPUTED_VALUE"""),"No")</f>
        <v>No</v>
      </c>
      <c r="AL1144" s="8"/>
      <c r="AM1144" s="8" t="str">
        <f ca="1">IFERROR(__xludf.DUMMYFUNCTION("""COMPUTED_VALUE"""),"No")</f>
        <v>No</v>
      </c>
      <c r="AN1144" s="8"/>
      <c r="AO1144" s="8" t="str">
        <f ca="1">IFERROR(__xludf.DUMMYFUNCTION("""COMPUTED_VALUE"""),"No")</f>
        <v>No</v>
      </c>
      <c r="AP1144" s="8" t="str">
        <f ca="1">IFERROR(__xludf.DUMMYFUNCTION("""COMPUTED_VALUE"""),"Yes")</f>
        <v>Yes</v>
      </c>
      <c r="AQ1144" s="8" t="str">
        <f ca="1">IFERROR(__xludf.DUMMYFUNCTION("""COMPUTED_VALUE"""),"Armed Guards")</f>
        <v>Armed Guards</v>
      </c>
      <c r="AR1144" s="8" t="str">
        <f ca="1">IFERROR(__xludf.DUMMYFUNCTION("""COMPUTED_VALUE"""),"Outside/Off-Property")</f>
        <v>Outside/Off-Property</v>
      </c>
      <c r="AS1144" s="8"/>
      <c r="AT1144" s="8" t="str">
        <f ca="1">IFERROR(__xludf.DUMMYFUNCTION("""COMPUTED_VALUE"""),"Yes")</f>
        <v>Yes</v>
      </c>
      <c r="AU1144" s="8">
        <f ca="1">IFERROR(__xludf.DUMMYFUNCTION("""COMPUTED_VALUE"""),33.454339)</f>
        <v>33.454338999999997</v>
      </c>
      <c r="AV1144" s="8">
        <f ca="1">IFERROR(__xludf.DUMMYFUNCTION("""COMPUTED_VALUE"""),-86.885207)</f>
        <v>-86.885206999999994</v>
      </c>
      <c r="AW1144" s="8"/>
      <c r="AX1144" s="8">
        <f ca="1">IFERROR(__xludf.DUMMYFUNCTION("""COMPUTED_VALUE"""),35211)</f>
        <v>35211</v>
      </c>
    </row>
    <row r="1145" spans="1:50" ht="45" x14ac:dyDescent="0.2">
      <c r="A1145" s="8" t="str">
        <f ca="1">IFERROR(__xludf.DUMMYFUNCTION("""COMPUTED_VALUE"""),"20220203NCSPS")</f>
        <v>20220203NCSPS</v>
      </c>
      <c r="B1145" s="8">
        <f ca="1">IFERROR(__xludf.DUMMYFUNCTION("""COMPUTED_VALUE"""),2)</f>
        <v>2</v>
      </c>
      <c r="C1145" s="8">
        <f ca="1">IFERROR(__xludf.DUMMYFUNCTION("""COMPUTED_VALUE"""),3)</f>
        <v>3</v>
      </c>
      <c r="D1145" s="8">
        <f ca="1">IFERROR(__xludf.DUMMYFUNCTION("""COMPUTED_VALUE"""),2022)</f>
        <v>2022</v>
      </c>
      <c r="E1145" s="9">
        <f ca="1">IFERROR(__xludf.DUMMYFUNCTION("""COMPUTED_VALUE"""),44595)</f>
        <v>44595</v>
      </c>
      <c r="F1145" s="8" t="str">
        <f ca="1">IFERROR(__xludf.DUMMYFUNCTION("""COMPUTED_VALUE"""),"Speight Middle School")</f>
        <v>Speight Middle School</v>
      </c>
      <c r="G1145" s="8">
        <f ca="1">IFERROR(__xludf.DUMMYFUNCTION("""COMPUTED_VALUE"""),0)</f>
        <v>0</v>
      </c>
      <c r="H1145" s="8">
        <f ca="1">IFERROR(__xludf.DUMMYFUNCTION("""COMPUTED_VALUE"""),0)</f>
        <v>0</v>
      </c>
      <c r="I1145" s="8">
        <f ca="1">IFERROR(__xludf.DUMMYFUNCTION("""COMPUTED_VALUE"""),0)</f>
        <v>0</v>
      </c>
      <c r="J1145" s="8">
        <f ca="1">IFERROR(__xludf.DUMMYFUNCTION("""COMPUTED_VALUE"""),0)</f>
        <v>0</v>
      </c>
      <c r="K1145" s="8" t="str">
        <f ca="1">IFERROR(__xludf.DUMMYFUNCTION("""COMPUTED_VALUE"""),"https://restorationnewsmedia.com/wilsontimes/news/gunshot-shatters-school-bus-window-5060490 https://www.newsobserver.com/news/state/north-carolina/article258244100.html")</f>
        <v>https://restorationnewsmedia.com/wilsontimes/news/gunshot-shatters-school-bus-window-5060490 https://www.newsobserver.com/news/state/north-carolina/article258244100.html</v>
      </c>
      <c r="L1145" s="8">
        <f ca="1">IFERROR(__xludf.DUMMYFUNCTION("""COMPUTED_VALUE"""),2)</f>
        <v>2</v>
      </c>
      <c r="M1145" s="8" t="str">
        <f ca="1">IFERROR(__xludf.DUMMYFUNCTION("""COMPUTED_VALUE"""),"Local")</f>
        <v>Local</v>
      </c>
      <c r="N1145" s="8">
        <f ca="1">IFERROR(__xludf.DUMMYFUNCTION("""COMPUTED_VALUE"""),4)</f>
        <v>4</v>
      </c>
      <c r="O1145" s="8" t="str">
        <f ca="1">IFERROR(__xludf.DUMMYFUNCTION("""COMPUTED_VALUE"""),"Winter")</f>
        <v>Winter</v>
      </c>
      <c r="P1145" s="8" t="str">
        <f ca="1">IFERROR(__xludf.DUMMYFUNCTION("""COMPUTED_VALUE"""),"Stantonsburg")</f>
        <v>Stantonsburg</v>
      </c>
      <c r="Q1145" s="8" t="str">
        <f ca="1">IFERROR(__xludf.DUMMYFUNCTION("""COMPUTED_VALUE"""),"NC")</f>
        <v>NC</v>
      </c>
      <c r="R1145" s="8" t="str">
        <f ca="1">IFERROR(__xludf.DUMMYFUNCTION("""COMPUTED_VALUE"""),"Middle")</f>
        <v>Middle</v>
      </c>
      <c r="S1145" s="8" t="str">
        <f ca="1">IFERROR(__xludf.DUMMYFUNCTION("""COMPUTED_VALUE"""),"School Bus")</f>
        <v>School Bus</v>
      </c>
      <c r="T1145" s="8" t="str">
        <f ca="1">IFERROR(__xludf.DUMMYFUNCTION("""COMPUTED_VALUE"""),"School Bus")</f>
        <v>School Bus</v>
      </c>
      <c r="U1145" s="8" t="str">
        <f ca="1">IFERROR(__xludf.DUMMYFUNCTION("""COMPUTED_VALUE"""),"Yes")</f>
        <v>Yes</v>
      </c>
      <c r="V1145" s="8" t="str">
        <f ca="1">IFERROR(__xludf.DUMMYFUNCTION("""COMPUTED_VALUE"""),"Dismissal")</f>
        <v>Dismissal</v>
      </c>
      <c r="W1145" s="11">
        <f ca="1">IFERROR(__xludf.DUMMYFUNCTION("""COMPUTED_VALUE"""),0.694444444444444)</f>
        <v>0.69444444444444398</v>
      </c>
      <c r="X1145" s="8">
        <f ca="1">IFERROR(__xludf.DUMMYFUNCTION("""COMPUTED_VALUE"""),1)</f>
        <v>1</v>
      </c>
      <c r="Y1145" s="12" t="str">
        <f ca="1">IFERROR(__xludf.DUMMYFUNCTION("""COMPUTED_VALUE"""),"Bullet struck window of occupied school bus")</f>
        <v>Bullet struck window of occupied school bus</v>
      </c>
      <c r="Z1145" s="12" t="str">
        <f ca="1">IFERROR(__xludf.DUMMYFUNCTION("""COMPUTED_VALUE"""),"A bullet broke the side window of a school bus occupied by 12 students. Student sitting near the window was hit by broken glass. No injuries.")</f>
        <v>A bullet broke the side window of a school bus occupied by 12 students. Student sitting near the window was hit by broken glass. No injuries.</v>
      </c>
      <c r="AA1145" s="8"/>
      <c r="AB1145" s="8"/>
      <c r="AC1145" s="8" t="str">
        <f ca="1">IFERROR(__xludf.DUMMYFUNCTION("""COMPUTED_VALUE"""),"Yes")</f>
        <v>Yes</v>
      </c>
      <c r="AD1145" s="8"/>
      <c r="AE1145" s="8" t="str">
        <f ca="1">IFERROR(__xludf.DUMMYFUNCTION("""COMPUTED_VALUE"""),"No")</f>
        <v>No</v>
      </c>
      <c r="AF1145" s="8"/>
      <c r="AG1145" s="8" t="str">
        <f ca="1">IFERROR(__xludf.DUMMYFUNCTION("""COMPUTED_VALUE"""),"No")</f>
        <v>No</v>
      </c>
      <c r="AH1145" s="8" t="str">
        <f ca="1">IFERROR(__xludf.DUMMYFUNCTION("""COMPUTED_VALUE"""),"No")</f>
        <v>No</v>
      </c>
      <c r="AI1145" s="8" t="str">
        <f ca="1">IFERROR(__xludf.DUMMYFUNCTION("""COMPUTED_VALUE"""),"No")</f>
        <v>No</v>
      </c>
      <c r="AJ1145" s="8" t="str">
        <f ca="1">IFERROR(__xludf.DUMMYFUNCTION("""COMPUTED_VALUE"""),"No")</f>
        <v>No</v>
      </c>
      <c r="AK1145" s="8" t="str">
        <f ca="1">IFERROR(__xludf.DUMMYFUNCTION("""COMPUTED_VALUE"""),"No")</f>
        <v>No</v>
      </c>
      <c r="AL1145" s="8" t="str">
        <f ca="1">IFERROR(__xludf.DUMMYFUNCTION("""COMPUTED_VALUE"""),"No")</f>
        <v>No</v>
      </c>
      <c r="AM1145" s="8" t="str">
        <f ca="1">IFERROR(__xludf.DUMMYFUNCTION("""COMPUTED_VALUE"""),"No")</f>
        <v>No</v>
      </c>
      <c r="AN1145" s="8"/>
      <c r="AO1145" s="8" t="str">
        <f ca="1">IFERROR(__xludf.DUMMYFUNCTION("""COMPUTED_VALUE"""),"No")</f>
        <v>No</v>
      </c>
      <c r="AP1145" s="8"/>
      <c r="AQ1145" s="8"/>
      <c r="AR1145" s="8" t="str">
        <f ca="1">IFERROR(__xludf.DUMMYFUNCTION("""COMPUTED_VALUE"""),"Outside/Off-Property")</f>
        <v>Outside/Off-Property</v>
      </c>
      <c r="AS1145" s="8"/>
      <c r="AT1145" s="8"/>
      <c r="AU1145" s="8">
        <f ca="1">IFERROR(__xludf.DUMMYFUNCTION("""COMPUTED_VALUE"""),35.629412)</f>
        <v>35.629412000000002</v>
      </c>
      <c r="AV1145" s="8">
        <f ca="1">IFERROR(__xludf.DUMMYFUNCTION("""COMPUTED_VALUE"""),-77.849422)</f>
        <v>-77.849422000000004</v>
      </c>
      <c r="AW1145" s="8"/>
      <c r="AX1145" s="8">
        <f ca="1">IFERROR(__xludf.DUMMYFUNCTION("""COMPUTED_VALUE"""),27883)</f>
        <v>27883</v>
      </c>
    </row>
    <row r="1146" spans="1:50" ht="30" x14ac:dyDescent="0.2">
      <c r="A1146" s="8" t="str">
        <f ca="1">IFERROR(__xludf.DUMMYFUNCTION("""COMPUTED_VALUE"""),"20220202KYLOR")</f>
        <v>20220202KYLOR</v>
      </c>
      <c r="B1146" s="8">
        <f ca="1">IFERROR(__xludf.DUMMYFUNCTION("""COMPUTED_VALUE"""),2)</f>
        <v>2</v>
      </c>
      <c r="C1146" s="8">
        <f ca="1">IFERROR(__xludf.DUMMYFUNCTION("""COMPUTED_VALUE"""),2)</f>
        <v>2</v>
      </c>
      <c r="D1146" s="8">
        <f ca="1">IFERROR(__xludf.DUMMYFUNCTION("""COMPUTED_VALUE"""),2022)</f>
        <v>2022</v>
      </c>
      <c r="E1146" s="9">
        <f ca="1">IFERROR(__xludf.DUMMYFUNCTION("""COMPUTED_VALUE"""),44594)</f>
        <v>44594</v>
      </c>
      <c r="F1146" s="8" t="str">
        <f ca="1">IFERROR(__xludf.DUMMYFUNCTION("""COMPUTED_VALUE"""),"Logan County Community Technology Center")</f>
        <v>Logan County Community Technology Center</v>
      </c>
      <c r="G1146" s="8">
        <f ca="1">IFERROR(__xludf.DUMMYFUNCTION("""COMPUTED_VALUE"""),0)</f>
        <v>0</v>
      </c>
      <c r="H1146" s="8">
        <f ca="1">IFERROR(__xludf.DUMMYFUNCTION("""COMPUTED_VALUE"""),0)</f>
        <v>0</v>
      </c>
      <c r="I1146" s="8">
        <f ca="1">IFERROR(__xludf.DUMMYFUNCTION("""COMPUTED_VALUE"""),0)</f>
        <v>0</v>
      </c>
      <c r="J1146" s="8">
        <f ca="1">IFERROR(__xludf.DUMMYFUNCTION("""COMPUTED_VALUE"""),0)</f>
        <v>0</v>
      </c>
      <c r="K1146" s="10" t="str">
        <f ca="1">IFERROR(__xludf.DUMMYFUNCTION("""COMPUTED_VALUE"""),"https://www.wnky.com/sheriffs-office-investigating-several-shots-fired-incidences-including-one-at-a-school-no-injuries/")</f>
        <v>https://www.wnky.com/sheriffs-office-investigating-several-shots-fired-incidences-including-one-at-a-school-no-injuries/</v>
      </c>
      <c r="L1146" s="8">
        <f ca="1">IFERROR(__xludf.DUMMYFUNCTION("""COMPUTED_VALUE"""),1)</f>
        <v>1</v>
      </c>
      <c r="M1146" s="8" t="str">
        <f ca="1">IFERROR(__xludf.DUMMYFUNCTION("""COMPUTED_VALUE"""),"Local")</f>
        <v>Local</v>
      </c>
      <c r="N1146" s="8">
        <f ca="1">IFERROR(__xludf.DUMMYFUNCTION("""COMPUTED_VALUE"""),4)</f>
        <v>4</v>
      </c>
      <c r="O1146" s="8" t="str">
        <f ca="1">IFERROR(__xludf.DUMMYFUNCTION("""COMPUTED_VALUE"""),"Winter")</f>
        <v>Winter</v>
      </c>
      <c r="P1146" s="8" t="str">
        <f ca="1">IFERROR(__xludf.DUMMYFUNCTION("""COMPUTED_VALUE"""),"Russellville")</f>
        <v>Russellville</v>
      </c>
      <c r="Q1146" s="8" t="str">
        <f ca="1">IFERROR(__xludf.DUMMYFUNCTION("""COMPUTED_VALUE"""),"KY")</f>
        <v>KY</v>
      </c>
      <c r="R1146" s="8" t="str">
        <f ca="1">IFERROR(__xludf.DUMMYFUNCTION("""COMPUTED_VALUE"""),"High")</f>
        <v>High</v>
      </c>
      <c r="S1146" s="8" t="str">
        <f ca="1">IFERROR(__xludf.DUMMYFUNCTION("""COMPUTED_VALUE"""),"Front of School")</f>
        <v>Front of School</v>
      </c>
      <c r="T1146" s="8" t="str">
        <f ca="1">IFERROR(__xludf.DUMMYFUNCTION("""COMPUTED_VALUE"""),"Outside on School Property")</f>
        <v>Outside on School Property</v>
      </c>
      <c r="U1146" s="8" t="str">
        <f ca="1">IFERROR(__xludf.DUMMYFUNCTION("""COMPUTED_VALUE"""),"No")</f>
        <v>No</v>
      </c>
      <c r="V1146" s="8" t="str">
        <f ca="1">IFERROR(__xludf.DUMMYFUNCTION("""COMPUTED_VALUE"""),"Before School")</f>
        <v>Before School</v>
      </c>
      <c r="W1146" s="11">
        <f ca="1">IFERROR(__xludf.DUMMYFUNCTION("""COMPUTED_VALUE"""),0.34375)</f>
        <v>0.34375</v>
      </c>
      <c r="X1146" s="8">
        <f ca="1">IFERROR(__xludf.DUMMYFUNCTION("""COMPUTED_VALUE"""),1)</f>
        <v>1</v>
      </c>
      <c r="Y1146" s="12" t="str">
        <f ca="1">IFERROR(__xludf.DUMMYFUNCTION("""COMPUTED_VALUE"""),"Two windows of the school building shot")</f>
        <v>Two windows of the school building shot</v>
      </c>
      <c r="Z1146" s="12" t="str">
        <f ca="1">IFERROR(__xludf.DUMMYFUNCTION("""COMPUTED_VALUE"""),"Two windows of the school building were shot. Not students or staff inside when the shooting occurred.")</f>
        <v>Two windows of the school building were shot. Not students or staff inside when the shooting occurred.</v>
      </c>
      <c r="AA1146" s="8" t="str">
        <f ca="1">IFERROR(__xludf.DUMMYFUNCTION("""COMPUTED_VALUE"""),"Intentional Property Damage")</f>
        <v>Intentional Property Damage</v>
      </c>
      <c r="AB1146" s="8"/>
      <c r="AC1146" s="8" t="str">
        <f ca="1">IFERROR(__xludf.DUMMYFUNCTION("""COMPUTED_VALUE"""),"No")</f>
        <v>No</v>
      </c>
      <c r="AD1146" s="8" t="str">
        <f ca="1">IFERROR(__xludf.DUMMYFUNCTION("""COMPUTED_VALUE"""),"Random Shooting")</f>
        <v>Random Shooting</v>
      </c>
      <c r="AE1146" s="8" t="str">
        <f ca="1">IFERROR(__xludf.DUMMYFUNCTION("""COMPUTED_VALUE"""),"No")</f>
        <v>No</v>
      </c>
      <c r="AF1146" s="8"/>
      <c r="AG1146" s="8" t="str">
        <f ca="1">IFERROR(__xludf.DUMMYFUNCTION("""COMPUTED_VALUE"""),"No")</f>
        <v>No</v>
      </c>
      <c r="AH1146" s="8" t="str">
        <f ca="1">IFERROR(__xludf.DUMMYFUNCTION("""COMPUTED_VALUE"""),"No")</f>
        <v>No</v>
      </c>
      <c r="AI1146" s="8" t="str">
        <f ca="1">IFERROR(__xludf.DUMMYFUNCTION("""COMPUTED_VALUE"""),"No")</f>
        <v>No</v>
      </c>
      <c r="AJ1146" s="8" t="str">
        <f ca="1">IFERROR(__xludf.DUMMYFUNCTION("""COMPUTED_VALUE"""),"No")</f>
        <v>No</v>
      </c>
      <c r="AK1146" s="8" t="str">
        <f ca="1">IFERROR(__xludf.DUMMYFUNCTION("""COMPUTED_VALUE"""),"No")</f>
        <v>No</v>
      </c>
      <c r="AL1146" s="8" t="str">
        <f ca="1">IFERROR(__xludf.DUMMYFUNCTION("""COMPUTED_VALUE"""),"No")</f>
        <v>No</v>
      </c>
      <c r="AM1146" s="8" t="str">
        <f ca="1">IFERROR(__xludf.DUMMYFUNCTION("""COMPUTED_VALUE"""),"No")</f>
        <v>No</v>
      </c>
      <c r="AN1146" s="8"/>
      <c r="AO1146" s="8" t="str">
        <f ca="1">IFERROR(__xludf.DUMMYFUNCTION("""COMPUTED_VALUE"""),"No")</f>
        <v>No</v>
      </c>
      <c r="AP1146" s="8"/>
      <c r="AQ1146" s="8"/>
      <c r="AR1146" s="8" t="str">
        <f ca="1">IFERROR(__xludf.DUMMYFUNCTION("""COMPUTED_VALUE"""),"Outside/Off-Property")</f>
        <v>Outside/Off-Property</v>
      </c>
      <c r="AS1146" s="8">
        <f ca="1">IFERROR(__xludf.DUMMYFUNCTION("""COMPUTED_VALUE"""),99)</f>
        <v>99</v>
      </c>
      <c r="AT1146" s="8"/>
      <c r="AU1146" s="8">
        <f ca="1">IFERROR(__xludf.DUMMYFUNCTION("""COMPUTED_VALUE"""),36.841558)</f>
        <v>36.841557999999999</v>
      </c>
      <c r="AV1146" s="8">
        <f ca="1">IFERROR(__xludf.DUMMYFUNCTION("""COMPUTED_VALUE"""),-86.847499)</f>
        <v>-86.847498999999999</v>
      </c>
      <c r="AW1146" s="8"/>
      <c r="AX1146" s="8">
        <f ca="1">IFERROR(__xludf.DUMMYFUNCTION("""COMPUTED_VALUE"""),42276)</f>
        <v>42276</v>
      </c>
    </row>
    <row r="1147" spans="1:50" ht="75" x14ac:dyDescent="0.2">
      <c r="A1147" s="8" t="str">
        <f ca="1">IFERROR(__xludf.DUMMYFUNCTION("""COMPUTED_VALUE"""),"20220201WIRUM")</f>
        <v>20220201WIRUM</v>
      </c>
      <c r="B1147" s="8">
        <f ca="1">IFERROR(__xludf.DUMMYFUNCTION("""COMPUTED_VALUE"""),2)</f>
        <v>2</v>
      </c>
      <c r="C1147" s="8">
        <f ca="1">IFERROR(__xludf.DUMMYFUNCTION("""COMPUTED_VALUE"""),1)</f>
        <v>1</v>
      </c>
      <c r="D1147" s="8">
        <f ca="1">IFERROR(__xludf.DUMMYFUNCTION("""COMPUTED_VALUE"""),2022)</f>
        <v>2022</v>
      </c>
      <c r="E1147" s="9">
        <f ca="1">IFERROR(__xludf.DUMMYFUNCTION("""COMPUTED_VALUE"""),44593)</f>
        <v>44593</v>
      </c>
      <c r="F1147" s="8" t="str">
        <f ca="1">IFERROR(__xludf.DUMMYFUNCTION("""COMPUTED_VALUE"""),"Rufus King High School")</f>
        <v>Rufus King High School</v>
      </c>
      <c r="G1147" s="8">
        <f ca="1">IFERROR(__xludf.DUMMYFUNCTION("""COMPUTED_VALUE"""),0)</f>
        <v>0</v>
      </c>
      <c r="H1147" s="8">
        <f ca="1">IFERROR(__xludf.DUMMYFUNCTION("""COMPUTED_VALUE"""),5)</f>
        <v>5</v>
      </c>
      <c r="I1147" s="8">
        <f ca="1">IFERROR(__xludf.DUMMYFUNCTION("""COMPUTED_VALUE"""),5)</f>
        <v>5</v>
      </c>
      <c r="J1147" s="8">
        <f ca="1">IFERROR(__xludf.DUMMYFUNCTION("""COMPUTED_VALUE"""),0)</f>
        <v>0</v>
      </c>
      <c r="K1147" s="8" t="str">
        <f ca="1">IFERROR(__xludf.DUMMYFUNCTION("""COMPUTED_VALUE"""),"https://www.fox6now.com/news/shooting-rufus-king-hs-milwaukee-police-mps https://www.jsonline.com/story/news/2022/02/02/milwaukee-police-say-adult-fired-gun-injured-5-outside-rufus-king-high-school/9317812002/")</f>
        <v>https://www.fox6now.com/news/shooting-rufus-king-hs-milwaukee-police-mps https://www.jsonline.com/story/news/2022/02/02/milwaukee-police-say-adult-fired-gun-injured-5-outside-rufus-king-high-school/9317812002/</v>
      </c>
      <c r="L1147" s="8">
        <f ca="1">IFERROR(__xludf.DUMMYFUNCTION("""COMPUTED_VALUE"""),50)</f>
        <v>50</v>
      </c>
      <c r="M1147" s="8" t="str">
        <f ca="1">IFERROR(__xludf.DUMMYFUNCTION("""COMPUTED_VALUE"""),"National")</f>
        <v>National</v>
      </c>
      <c r="N1147" s="8">
        <f ca="1">IFERROR(__xludf.DUMMYFUNCTION("""COMPUTED_VALUE"""),4)</f>
        <v>4</v>
      </c>
      <c r="O1147" s="8" t="str">
        <f ca="1">IFERROR(__xludf.DUMMYFUNCTION("""COMPUTED_VALUE"""),"Winter")</f>
        <v>Winter</v>
      </c>
      <c r="P1147" s="8" t="str">
        <f ca="1">IFERROR(__xludf.DUMMYFUNCTION("""COMPUTED_VALUE"""),"Milwaukee")</f>
        <v>Milwaukee</v>
      </c>
      <c r="Q1147" s="8" t="str">
        <f ca="1">IFERROR(__xludf.DUMMYFUNCTION("""COMPUTED_VALUE"""),"WI")</f>
        <v>WI</v>
      </c>
      <c r="R1147" s="8" t="str">
        <f ca="1">IFERROR(__xludf.DUMMYFUNCTION("""COMPUTED_VALUE"""),"High")</f>
        <v>High</v>
      </c>
      <c r="S1147" s="8" t="str">
        <f ca="1">IFERROR(__xludf.DUMMYFUNCTION("""COMPUTED_VALUE"""),"Parking Lot")</f>
        <v>Parking Lot</v>
      </c>
      <c r="T1147" s="8" t="str">
        <f ca="1">IFERROR(__xludf.DUMMYFUNCTION("""COMPUTED_VALUE"""),"Outside on School Property")</f>
        <v>Outside on School Property</v>
      </c>
      <c r="U1147" s="8" t="str">
        <f ca="1">IFERROR(__xludf.DUMMYFUNCTION("""COMPUTED_VALUE"""),"No")</f>
        <v>No</v>
      </c>
      <c r="V1147" s="8" t="str">
        <f ca="1">IFERROR(__xludf.DUMMYFUNCTION("""COMPUTED_VALUE"""),"Sport Event")</f>
        <v>Sport Event</v>
      </c>
      <c r="W1147" s="11">
        <f ca="1">IFERROR(__xludf.DUMMYFUNCTION("""COMPUTED_VALUE"""),0.822916666666666)</f>
        <v>0.82291666666666596</v>
      </c>
      <c r="X1147" s="8">
        <f ca="1">IFERROR(__xludf.DUMMYFUNCTION("""COMPUTED_VALUE"""),1)</f>
        <v>1</v>
      </c>
      <c r="Y1147" s="12" t="str">
        <f ca="1">IFERROR(__xludf.DUMMYFUNCTION("""COMPUTED_VALUE"""),"Five victims shot during fight outside basketball game")</f>
        <v>Five victims shot during fight outside basketball game</v>
      </c>
      <c r="Z1147" s="12" t="str">
        <f ca="1">IFERROR(__xludf.DUMMYFUNCTION("""COMPUTED_VALUE"""),"An adult male fired shot during an argument over a social media post outside of a high school basketball game. Five women (20, 15, 15, 16, and 17) were wounded. School will increase security, only admit pre-sale ticket holders, and screen attendees at fut"&amp;"ure games.")</f>
        <v>An adult male fired shot during an argument over a social media post outside of a high school basketball game. Five women (20, 15, 15, 16, and 17) were wounded. School will increase security, only admit pre-sale ticket holders, and screen attendees at future games.</v>
      </c>
      <c r="AA1147" s="8" t="str">
        <f ca="1">IFERROR(__xludf.DUMMYFUNCTION("""COMPUTED_VALUE"""),"Escalation of Dispute")</f>
        <v>Escalation of Dispute</v>
      </c>
      <c r="AB1147" s="8"/>
      <c r="AC1147" s="8" t="str">
        <f ca="1">IFERROR(__xludf.DUMMYFUNCTION("""COMPUTED_VALUE"""),"Yes")</f>
        <v>Yes</v>
      </c>
      <c r="AD1147" s="8" t="str">
        <f ca="1">IFERROR(__xludf.DUMMYFUNCTION("""COMPUTED_VALUE"""),"Both")</f>
        <v>Both</v>
      </c>
      <c r="AE1147" s="8" t="str">
        <f ca="1">IFERROR(__xludf.DUMMYFUNCTION("""COMPUTED_VALUE"""),"No")</f>
        <v>No</v>
      </c>
      <c r="AF1147" s="8"/>
      <c r="AG1147" s="8" t="str">
        <f ca="1">IFERROR(__xludf.DUMMYFUNCTION("""COMPUTED_VALUE"""),"No")</f>
        <v>No</v>
      </c>
      <c r="AH1147" s="8" t="str">
        <f ca="1">IFERROR(__xludf.DUMMYFUNCTION("""COMPUTED_VALUE"""),"No")</f>
        <v>No</v>
      </c>
      <c r="AI1147" s="8" t="str">
        <f ca="1">IFERROR(__xludf.DUMMYFUNCTION("""COMPUTED_VALUE"""),"No")</f>
        <v>No</v>
      </c>
      <c r="AJ1147" s="8" t="str">
        <f ca="1">IFERROR(__xludf.DUMMYFUNCTION("""COMPUTED_VALUE"""),"No")</f>
        <v>No</v>
      </c>
      <c r="AK1147" s="8" t="str">
        <f ca="1">IFERROR(__xludf.DUMMYFUNCTION("""COMPUTED_VALUE"""),"No")</f>
        <v>No</v>
      </c>
      <c r="AL1147" s="8" t="str">
        <f ca="1">IFERROR(__xludf.DUMMYFUNCTION("""COMPUTED_VALUE"""),"No")</f>
        <v>No</v>
      </c>
      <c r="AM1147" s="8" t="str">
        <f ca="1">IFERROR(__xludf.DUMMYFUNCTION("""COMPUTED_VALUE"""),"No")</f>
        <v>No</v>
      </c>
      <c r="AN1147" s="8"/>
      <c r="AO1147" s="8" t="str">
        <f ca="1">IFERROR(__xludf.DUMMYFUNCTION("""COMPUTED_VALUE"""),"No")</f>
        <v>No</v>
      </c>
      <c r="AP1147" s="8"/>
      <c r="AQ1147" s="8"/>
      <c r="AR1147" s="8"/>
      <c r="AS1147" s="8">
        <f ca="1">IFERROR(__xludf.DUMMYFUNCTION("""COMPUTED_VALUE"""),99)</f>
        <v>99</v>
      </c>
      <c r="AT1147" s="8"/>
      <c r="AU1147" s="8">
        <f ca="1">IFERROR(__xludf.DUMMYFUNCTION("""COMPUTED_VALUE"""),43.093348)</f>
        <v>43.093347999999999</v>
      </c>
      <c r="AV1147" s="8">
        <f ca="1">IFERROR(__xludf.DUMMYFUNCTION("""COMPUTED_VALUE"""),-87.932972)</f>
        <v>-87.932972000000007</v>
      </c>
      <c r="AW1147" s="8"/>
      <c r="AX1147" s="8">
        <f ca="1">IFERROR(__xludf.DUMMYFUNCTION("""COMPUTED_VALUE"""),53209)</f>
        <v>53209</v>
      </c>
    </row>
    <row r="1148" spans="1:50" ht="30" x14ac:dyDescent="0.2">
      <c r="A1148" s="8" t="str">
        <f ca="1">IFERROR(__xludf.DUMMYFUNCTION("""COMPUTED_VALUE"""),"20220201PAACS")</f>
        <v>20220201PAACS</v>
      </c>
      <c r="B1148" s="8">
        <f ca="1">IFERROR(__xludf.DUMMYFUNCTION("""COMPUTED_VALUE"""),2)</f>
        <v>2</v>
      </c>
      <c r="C1148" s="8">
        <f ca="1">IFERROR(__xludf.DUMMYFUNCTION("""COMPUTED_VALUE"""),1)</f>
        <v>1</v>
      </c>
      <c r="D1148" s="8">
        <f ca="1">IFERROR(__xludf.DUMMYFUNCTION("""COMPUTED_VALUE"""),2022)</f>
        <v>2022</v>
      </c>
      <c r="E1148" s="9">
        <f ca="1">IFERROR(__xludf.DUMMYFUNCTION("""COMPUTED_VALUE"""),44593)</f>
        <v>44593</v>
      </c>
      <c r="F1148" s="8" t="str">
        <f ca="1">IFERROR(__xludf.DUMMYFUNCTION("""COMPUTED_VALUE"""),"Academy Park High School")</f>
        <v>Academy Park High School</v>
      </c>
      <c r="G1148" s="8">
        <f ca="1">IFERROR(__xludf.DUMMYFUNCTION("""COMPUTED_VALUE"""),0)</f>
        <v>0</v>
      </c>
      <c r="H1148" s="8">
        <f ca="1">IFERROR(__xludf.DUMMYFUNCTION("""COMPUTED_VALUE"""),0)</f>
        <v>0</v>
      </c>
      <c r="I1148" s="8">
        <f ca="1">IFERROR(__xludf.DUMMYFUNCTION("""COMPUTED_VALUE"""),0)</f>
        <v>0</v>
      </c>
      <c r="J1148" s="8">
        <f ca="1">IFERROR(__xludf.DUMMYFUNCTION("""COMPUTED_VALUE"""),0)</f>
        <v>0</v>
      </c>
      <c r="K1148" s="8" t="str">
        <f ca="1">IFERROR(__xludf.DUMMYFUNCTION("""COMPUTED_VALUE"""),"https://www.inquirer.com/crime/delco-high-school-shooting-academy-park-sharon-hill-20220201.html https://dailyvoice.com/pennsylvania/delaware/police-fire/shooting-reported-at-academy-park-high-school/825169/ https://philadelphia.cbslocal.com/2022/02/01/ac"&amp;"ademy-park-high-school-sharon-hill-shooting/")</f>
        <v>https://www.inquirer.com/crime/delco-high-school-shooting-academy-park-sharon-hill-20220201.html https://dailyvoice.com/pennsylvania/delaware/police-fire/shooting-reported-at-academy-park-high-school/825169/ https://philadelphia.cbslocal.com/2022/02/01/academy-park-high-school-sharon-hill-shooting/</v>
      </c>
      <c r="L1148" s="8">
        <f ca="1">IFERROR(__xludf.DUMMYFUNCTION("""COMPUTED_VALUE"""),5)</f>
        <v>5</v>
      </c>
      <c r="M1148" s="8" t="str">
        <f ca="1">IFERROR(__xludf.DUMMYFUNCTION("""COMPUTED_VALUE"""),"Local")</f>
        <v>Local</v>
      </c>
      <c r="N1148" s="8">
        <f ca="1">IFERROR(__xludf.DUMMYFUNCTION("""COMPUTED_VALUE"""),4)</f>
        <v>4</v>
      </c>
      <c r="O1148" s="8" t="str">
        <f ca="1">IFERROR(__xludf.DUMMYFUNCTION("""COMPUTED_VALUE"""),"Winter")</f>
        <v>Winter</v>
      </c>
      <c r="P1148" s="8" t="str">
        <f ca="1">IFERROR(__xludf.DUMMYFUNCTION("""COMPUTED_VALUE"""),"Sharon Hill")</f>
        <v>Sharon Hill</v>
      </c>
      <c r="Q1148" s="8" t="str">
        <f ca="1">IFERROR(__xludf.DUMMYFUNCTION("""COMPUTED_VALUE"""),"PA")</f>
        <v>PA</v>
      </c>
      <c r="R1148" s="8" t="str">
        <f ca="1">IFERROR(__xludf.DUMMYFUNCTION("""COMPUTED_VALUE"""),"High")</f>
        <v>High</v>
      </c>
      <c r="S1148" s="8" t="str">
        <f ca="1">IFERROR(__xludf.DUMMYFUNCTION("""COMPUTED_VALUE"""),"Parking Lot")</f>
        <v>Parking Lot</v>
      </c>
      <c r="T1148" s="8" t="str">
        <f ca="1">IFERROR(__xludf.DUMMYFUNCTION("""COMPUTED_VALUE"""),"Outside on School Property")</f>
        <v>Outside on School Property</v>
      </c>
      <c r="U1148" s="8" t="str">
        <f ca="1">IFERROR(__xludf.DUMMYFUNCTION("""COMPUTED_VALUE"""),"Yes")</f>
        <v>Yes</v>
      </c>
      <c r="V1148" s="8" t="str">
        <f ca="1">IFERROR(__xludf.DUMMYFUNCTION("""COMPUTED_VALUE"""),"Dismissal")</f>
        <v>Dismissal</v>
      </c>
      <c r="W1148" s="11">
        <f ca="1">IFERROR(__xludf.DUMMYFUNCTION("""COMPUTED_VALUE"""),0.638888888888888)</f>
        <v>0.63888888888888795</v>
      </c>
      <c r="X1148" s="8">
        <f ca="1">IFERROR(__xludf.DUMMYFUNCTION("""COMPUTED_VALUE"""),1)</f>
        <v>1</v>
      </c>
      <c r="Y1148" s="12" t="str">
        <f ca="1">IFERROR(__xludf.DUMMYFUNCTION("""COMPUTED_VALUE"""),"Shots fired in the school parking lot")</f>
        <v>Shots fired in the school parking lot</v>
      </c>
      <c r="Z1148" s="12" t="str">
        <f ca="1">IFERROR(__xludf.DUMMYFUNCTION("""COMPUTED_VALUE"""),"Shot fired in the school parking lot. No injuries. Shooter fled.")</f>
        <v>Shot fired in the school parking lot. No injuries. Shooter fled.</v>
      </c>
      <c r="AA1148" s="8"/>
      <c r="AB1148" s="8"/>
      <c r="AC1148" s="8" t="str">
        <f ca="1">IFERROR(__xludf.DUMMYFUNCTION("""COMPUTED_VALUE"""),"Yes")</f>
        <v>Yes</v>
      </c>
      <c r="AD1148" s="8"/>
      <c r="AE1148" s="8" t="str">
        <f ca="1">IFERROR(__xludf.DUMMYFUNCTION("""COMPUTED_VALUE"""),"No")</f>
        <v>No</v>
      </c>
      <c r="AF1148" s="8"/>
      <c r="AG1148" s="8" t="str">
        <f ca="1">IFERROR(__xludf.DUMMYFUNCTION("""COMPUTED_VALUE"""),"No")</f>
        <v>No</v>
      </c>
      <c r="AH1148" s="8" t="str">
        <f ca="1">IFERROR(__xludf.DUMMYFUNCTION("""COMPUTED_VALUE"""),"No")</f>
        <v>No</v>
      </c>
      <c r="AI1148" s="8" t="str">
        <f ca="1">IFERROR(__xludf.DUMMYFUNCTION("""COMPUTED_VALUE"""),"No")</f>
        <v>No</v>
      </c>
      <c r="AJ1148" s="8" t="str">
        <f ca="1">IFERROR(__xludf.DUMMYFUNCTION("""COMPUTED_VALUE"""),"No")</f>
        <v>No</v>
      </c>
      <c r="AK1148" s="8" t="str">
        <f ca="1">IFERROR(__xludf.DUMMYFUNCTION("""COMPUTED_VALUE"""),"No")</f>
        <v>No</v>
      </c>
      <c r="AL1148" s="8"/>
      <c r="AM1148" s="8" t="str">
        <f ca="1">IFERROR(__xludf.DUMMYFUNCTION("""COMPUTED_VALUE"""),"No")</f>
        <v>No</v>
      </c>
      <c r="AN1148" s="8"/>
      <c r="AO1148" s="8" t="str">
        <f ca="1">IFERROR(__xludf.DUMMYFUNCTION("""COMPUTED_VALUE"""),"No")</f>
        <v>No</v>
      </c>
      <c r="AP1148" s="8"/>
      <c r="AQ1148" s="8"/>
      <c r="AR1148" s="8" t="str">
        <f ca="1">IFERROR(__xludf.DUMMYFUNCTION("""COMPUTED_VALUE"""),"Outside/Off-Property")</f>
        <v>Outside/Off-Property</v>
      </c>
      <c r="AS1148" s="8">
        <f ca="1">IFERROR(__xludf.DUMMYFUNCTION("""COMPUTED_VALUE"""),99)</f>
        <v>99</v>
      </c>
      <c r="AT1148" s="8"/>
      <c r="AU1148" s="8">
        <f ca="1">IFERROR(__xludf.DUMMYFUNCTION("""COMPUTED_VALUE"""),39.907555)</f>
        <v>39.907555000000002</v>
      </c>
      <c r="AV1148" s="8">
        <f ca="1">IFERROR(__xludf.DUMMYFUNCTION("""COMPUTED_VALUE"""),-75.268064)</f>
        <v>-75.268063999999995</v>
      </c>
      <c r="AW1148" s="8"/>
      <c r="AX1148" s="8">
        <f ca="1">IFERROR(__xludf.DUMMYFUNCTION("""COMPUTED_VALUE"""),19079)</f>
        <v>19079</v>
      </c>
    </row>
    <row r="1149" spans="1:50" ht="90" x14ac:dyDescent="0.2">
      <c r="A1149" s="8" t="str">
        <f ca="1">IFERROR(__xludf.DUMMYFUNCTION("""COMPUTED_VALUE"""),"20220201MNSOR")</f>
        <v>20220201MNSOR</v>
      </c>
      <c r="B1149" s="8">
        <f ca="1">IFERROR(__xludf.DUMMYFUNCTION("""COMPUTED_VALUE"""),2)</f>
        <v>2</v>
      </c>
      <c r="C1149" s="8">
        <f ca="1">IFERROR(__xludf.DUMMYFUNCTION("""COMPUTED_VALUE"""),1)</f>
        <v>1</v>
      </c>
      <c r="D1149" s="8">
        <f ca="1">IFERROR(__xludf.DUMMYFUNCTION("""COMPUTED_VALUE"""),2022)</f>
        <v>2022</v>
      </c>
      <c r="E1149" s="9">
        <f ca="1">IFERROR(__xludf.DUMMYFUNCTION("""COMPUTED_VALUE"""),44593)</f>
        <v>44593</v>
      </c>
      <c r="F1149" s="8" t="str">
        <f ca="1">IFERROR(__xludf.DUMMYFUNCTION("""COMPUTED_VALUE"""),"South Education Center")</f>
        <v>South Education Center</v>
      </c>
      <c r="G1149" s="8">
        <f ca="1">IFERROR(__xludf.DUMMYFUNCTION("""COMPUTED_VALUE"""),1)</f>
        <v>1</v>
      </c>
      <c r="H1149" s="8">
        <f ca="1">IFERROR(__xludf.DUMMYFUNCTION("""COMPUTED_VALUE"""),2)</f>
        <v>2</v>
      </c>
      <c r="I1149" s="8">
        <f ca="1">IFERROR(__xludf.DUMMYFUNCTION("""COMPUTED_VALUE"""),3)</f>
        <v>3</v>
      </c>
      <c r="J1149" s="8">
        <f ca="1">IFERROR(__xludf.DUMMYFUNCTION("""COMPUTED_VALUE"""),0)</f>
        <v>0</v>
      </c>
      <c r="K1149" s="8" t="str">
        <f ca="1">IFERROR(__xludf.DUMMYFUNCTION("""COMPUTED_VALUE"""),"https://minnesota.cbslocal.com/2022/02/03/2-in-custody-after-shooting-outside-richfield-school/ https://minnesota.cbslocal.com/2022/02/01/richfield-school-shooting-arrests/ https://www.cnn.com/2022/02/01/us/mn-south-education-center-shooting/index.html
ht"&amp;"tps://kstp.com/kstp-news/top-news/trial-scheduled-for-man-accused-of-murder-in-shooting-outside-richfield-school/
https://www.fox9.com/news/richfield-school-shooting-alfredo-solis-sentenced-jahmari-rice")</f>
        <v>https://minnesota.cbslocal.com/2022/02/03/2-in-custody-after-shooting-outside-richfield-school/ https://minnesota.cbslocal.com/2022/02/01/richfield-school-shooting-arrests/ https://www.cnn.com/2022/02/01/us/mn-south-education-center-shooting/index.html
https://kstp.com/kstp-news/top-news/trial-scheduled-for-man-accused-of-murder-in-shooting-outside-richfield-school/
https://www.fox9.com/news/richfield-school-shooting-alfredo-solis-sentenced-jahmari-rice</v>
      </c>
      <c r="L1149" s="8">
        <f ca="1">IFERROR(__xludf.DUMMYFUNCTION("""COMPUTED_VALUE"""),100)</f>
        <v>100</v>
      </c>
      <c r="M1149" s="8" t="str">
        <f ca="1">IFERROR(__xludf.DUMMYFUNCTION("""COMPUTED_VALUE"""),"National")</f>
        <v>National</v>
      </c>
      <c r="N1149" s="8">
        <f ca="1">IFERROR(__xludf.DUMMYFUNCTION("""COMPUTED_VALUE"""),4)</f>
        <v>4</v>
      </c>
      <c r="O1149" s="8" t="str">
        <f ca="1">IFERROR(__xludf.DUMMYFUNCTION("""COMPUTED_VALUE"""),"Winter")</f>
        <v>Winter</v>
      </c>
      <c r="P1149" s="8" t="str">
        <f ca="1">IFERROR(__xludf.DUMMYFUNCTION("""COMPUTED_VALUE"""),"Richfield")</f>
        <v>Richfield</v>
      </c>
      <c r="Q1149" s="8" t="str">
        <f ca="1">IFERROR(__xludf.DUMMYFUNCTION("""COMPUTED_VALUE"""),"MN")</f>
        <v>MN</v>
      </c>
      <c r="R1149" s="8" t="str">
        <f ca="1">IFERROR(__xludf.DUMMYFUNCTION("""COMPUTED_VALUE"""),"K-12")</f>
        <v>K-12</v>
      </c>
      <c r="S1149" s="8" t="str">
        <f ca="1">IFERROR(__xludf.DUMMYFUNCTION("""COMPUTED_VALUE"""),"Front of School")</f>
        <v>Front of School</v>
      </c>
      <c r="T1149" s="8" t="str">
        <f ca="1">IFERROR(__xludf.DUMMYFUNCTION("""COMPUTED_VALUE"""),"Outside on School Property")</f>
        <v>Outside on School Property</v>
      </c>
      <c r="U1149" s="8" t="str">
        <f ca="1">IFERROR(__xludf.DUMMYFUNCTION("""COMPUTED_VALUE"""),"Yes")</f>
        <v>Yes</v>
      </c>
      <c r="V1149" s="8" t="str">
        <f ca="1">IFERROR(__xludf.DUMMYFUNCTION("""COMPUTED_VALUE"""),"Lunch")</f>
        <v>Lunch</v>
      </c>
      <c r="W1149" s="11">
        <f ca="1">IFERROR(__xludf.DUMMYFUNCTION("""COMPUTED_VALUE"""),0.502777777777777)</f>
        <v>0.50277777777777699</v>
      </c>
      <c r="X1149" s="8">
        <f ca="1">IFERROR(__xludf.DUMMYFUNCTION("""COMPUTED_VALUE"""),1)</f>
        <v>1</v>
      </c>
      <c r="Y1149" s="12" t="str">
        <f ca="1">IFERROR(__xludf.DUMMYFUNCTION("""COMPUTED_VALUE"""),"Three students shot in front of school")</f>
        <v>Three students shot in front of school</v>
      </c>
      <c r="Z1149" s="12" t="str">
        <f ca="1">IFERROR(__xludf.DUMMYFUNCTION("""COMPUTED_VALUE"""),"Three students were shot in front of the school during a dispute between 5 students. One student was killed. The other was transported in critical condition. Shooter fled in a vehicle. School went on lockdown until dismissal to parents. School is an alter"&amp;"native high school and provides special education to students k-12.")</f>
        <v>Three students were shot in front of the school during a dispute between 5 students. One student was killed. The other was transported in critical condition. Shooter fled in a vehicle. School went on lockdown until dismissal to parents. School is an alternative high school and provides special education to students k-12.</v>
      </c>
      <c r="AA1149" s="8" t="str">
        <f ca="1">IFERROR(__xludf.DUMMYFUNCTION("""COMPUTED_VALUE"""),"Escalation of Dispute")</f>
        <v>Escalation of Dispute</v>
      </c>
      <c r="AB1149" s="8"/>
      <c r="AC1149" s="8" t="str">
        <f ca="1">IFERROR(__xludf.DUMMYFUNCTION("""COMPUTED_VALUE"""),"Yes")</f>
        <v>Yes</v>
      </c>
      <c r="AD1149" s="8" t="str">
        <f ca="1">IFERROR(__xludf.DUMMYFUNCTION("""COMPUTED_VALUE"""),"Both")</f>
        <v>Both</v>
      </c>
      <c r="AE1149" s="8" t="str">
        <f ca="1">IFERROR(__xludf.DUMMYFUNCTION("""COMPUTED_VALUE"""),"Yes")</f>
        <v>Yes</v>
      </c>
      <c r="AF1149" s="8" t="str">
        <f ca="1">IFERROR(__xludf.DUMMYFUNCTION("""COMPUTED_VALUE"""),"2 men arrested")</f>
        <v>2 men arrested</v>
      </c>
      <c r="AG1149" s="8" t="str">
        <f ca="1">IFERROR(__xludf.DUMMYFUNCTION("""COMPUTED_VALUE"""),"No")</f>
        <v>No</v>
      </c>
      <c r="AH1149" s="8" t="str">
        <f ca="1">IFERROR(__xludf.DUMMYFUNCTION("""COMPUTED_VALUE"""),"No")</f>
        <v>No</v>
      </c>
      <c r="AI1149" s="8" t="str">
        <f ca="1">IFERROR(__xludf.DUMMYFUNCTION("""COMPUTED_VALUE"""),"No")</f>
        <v>No</v>
      </c>
      <c r="AJ1149" s="8" t="str">
        <f ca="1">IFERROR(__xludf.DUMMYFUNCTION("""COMPUTED_VALUE"""),"No")</f>
        <v>No</v>
      </c>
      <c r="AK1149" s="8" t="str">
        <f ca="1">IFERROR(__xludf.DUMMYFUNCTION("""COMPUTED_VALUE"""),"No")</f>
        <v>No</v>
      </c>
      <c r="AL1149" s="8" t="str">
        <f ca="1">IFERROR(__xludf.DUMMYFUNCTION("""COMPUTED_VALUE"""),"Yes")</f>
        <v>Yes</v>
      </c>
      <c r="AM1149" s="8" t="str">
        <f ca="1">IFERROR(__xludf.DUMMYFUNCTION("""COMPUTED_VALUE"""),"No")</f>
        <v>No</v>
      </c>
      <c r="AN1149" s="8"/>
      <c r="AO1149" s="8" t="str">
        <f ca="1">IFERROR(__xludf.DUMMYFUNCTION("""COMPUTED_VALUE"""),"No")</f>
        <v>No</v>
      </c>
      <c r="AP1149" s="8"/>
      <c r="AQ1149" s="8"/>
      <c r="AR1149" s="8" t="str">
        <f ca="1">IFERROR(__xludf.DUMMYFUNCTION("""COMPUTED_VALUE"""),"Outside/Off-Property")</f>
        <v>Outside/Off-Property</v>
      </c>
      <c r="AS1149" s="8">
        <f ca="1">IFERROR(__xludf.DUMMYFUNCTION("""COMPUTED_VALUE"""),99)</f>
        <v>99</v>
      </c>
      <c r="AT1149" s="8" t="str">
        <f ca="1">IFERROR(__xludf.DUMMYFUNCTION("""COMPUTED_VALUE"""),"Yes")</f>
        <v>Yes</v>
      </c>
      <c r="AU1149" s="8">
        <f ca="1">IFERROR(__xludf.DUMMYFUNCTION("""COMPUTED_VALUE"""),44.867482)</f>
        <v>44.867482000000003</v>
      </c>
      <c r="AV1149" s="8">
        <f ca="1">IFERROR(__xludf.DUMMYFUNCTION("""COMPUTED_VALUE"""),-93.310465)</f>
        <v>-93.310464999999994</v>
      </c>
      <c r="AW1149" s="8"/>
      <c r="AX1149" s="8">
        <f ca="1">IFERROR(__xludf.DUMMYFUNCTION("""COMPUTED_VALUE"""),55423)</f>
        <v>55423</v>
      </c>
    </row>
    <row r="1150" spans="1:50" ht="45" x14ac:dyDescent="0.2">
      <c r="A1150" s="8" t="str">
        <f ca="1">IFERROR(__xludf.DUMMYFUNCTION("""COMPUTED_VALUE"""),"20220201ILALC")</f>
        <v>20220201ILALC</v>
      </c>
      <c r="B1150" s="8">
        <f ca="1">IFERROR(__xludf.DUMMYFUNCTION("""COMPUTED_VALUE"""),2)</f>
        <v>2</v>
      </c>
      <c r="C1150" s="8">
        <f ca="1">IFERROR(__xludf.DUMMYFUNCTION("""COMPUTED_VALUE"""),1)</f>
        <v>1</v>
      </c>
      <c r="D1150" s="8">
        <f ca="1">IFERROR(__xludf.DUMMYFUNCTION("""COMPUTED_VALUE"""),2022)</f>
        <v>2022</v>
      </c>
      <c r="E1150" s="9">
        <f ca="1">IFERROR(__xludf.DUMMYFUNCTION("""COMPUTED_VALUE"""),44593)</f>
        <v>44593</v>
      </c>
      <c r="F1150" s="8" t="str">
        <f ca="1">IFERROR(__xludf.DUMMYFUNCTION("""COMPUTED_VALUE"""),"Alessandro Volta Elementary School")</f>
        <v>Alessandro Volta Elementary School</v>
      </c>
      <c r="G1150" s="8">
        <f ca="1">IFERROR(__xludf.DUMMYFUNCTION("""COMPUTED_VALUE"""),0)</f>
        <v>0</v>
      </c>
      <c r="H1150" s="8">
        <f ca="1">IFERROR(__xludf.DUMMYFUNCTION("""COMPUTED_VALUE"""),1)</f>
        <v>1</v>
      </c>
      <c r="I1150" s="8">
        <f ca="1">IFERROR(__xludf.DUMMYFUNCTION("""COMPUTED_VALUE"""),1)</f>
        <v>1</v>
      </c>
      <c r="J1150" s="8">
        <f ca="1">IFERROR(__xludf.DUMMYFUNCTION("""COMPUTED_VALUE"""),0)</f>
        <v>0</v>
      </c>
      <c r="K1150" s="8" t="str">
        <f ca="1">IFERROR(__xludf.DUMMYFUNCTION("""COMPUTED_VALUE"""),"https://chicago.suntimes.com/crime/2022/2/1/22912781/albany-park-shooting https://chicago.suntimes.com/news/2022/2/11/22929980/chicago-violence-girl-shot-albany-park-school-parents-students-march https://chicago.cbslocal.com/2022/02/11/volta-elementary-al"&amp;"bany-park-playground-shootings-safety/")</f>
        <v>https://chicago.suntimes.com/crime/2022/2/1/22912781/albany-park-shooting https://chicago.suntimes.com/news/2022/2/11/22929980/chicago-violence-girl-shot-albany-park-school-parents-students-march https://chicago.cbslocal.com/2022/02/11/volta-elementary-albany-park-playground-shootings-safety/</v>
      </c>
      <c r="L1150" s="8">
        <f ca="1">IFERROR(__xludf.DUMMYFUNCTION("""COMPUTED_VALUE"""),10)</f>
        <v>10</v>
      </c>
      <c r="M1150" s="8" t="str">
        <f ca="1">IFERROR(__xludf.DUMMYFUNCTION("""COMPUTED_VALUE"""),"Regional")</f>
        <v>Regional</v>
      </c>
      <c r="N1150" s="8">
        <f ca="1">IFERROR(__xludf.DUMMYFUNCTION("""COMPUTED_VALUE"""),4)</f>
        <v>4</v>
      </c>
      <c r="O1150" s="8" t="str">
        <f ca="1">IFERROR(__xludf.DUMMYFUNCTION("""COMPUTED_VALUE"""),"Winter")</f>
        <v>Winter</v>
      </c>
      <c r="P1150" s="8" t="str">
        <f ca="1">IFERROR(__xludf.DUMMYFUNCTION("""COMPUTED_VALUE"""),"Chicago")</f>
        <v>Chicago</v>
      </c>
      <c r="Q1150" s="8" t="str">
        <f ca="1">IFERROR(__xludf.DUMMYFUNCTION("""COMPUTED_VALUE"""),"IL")</f>
        <v>IL</v>
      </c>
      <c r="R1150" s="8" t="str">
        <f ca="1">IFERROR(__xludf.DUMMYFUNCTION("""COMPUTED_VALUE"""),"Elementary")</f>
        <v>Elementary</v>
      </c>
      <c r="S1150" s="8" t="str">
        <f ca="1">IFERROR(__xludf.DUMMYFUNCTION("""COMPUTED_VALUE"""),"Front of School")</f>
        <v>Front of School</v>
      </c>
      <c r="T1150" s="8" t="str">
        <f ca="1">IFERROR(__xludf.DUMMYFUNCTION("""COMPUTED_VALUE"""),"Outside on School Property")</f>
        <v>Outside on School Property</v>
      </c>
      <c r="U1150" s="8" t="str">
        <f ca="1">IFERROR(__xludf.DUMMYFUNCTION("""COMPUTED_VALUE"""),"Yes")</f>
        <v>Yes</v>
      </c>
      <c r="V1150" s="8" t="str">
        <f ca="1">IFERROR(__xludf.DUMMYFUNCTION("""COMPUTED_VALUE"""),"Morning Classes")</f>
        <v>Morning Classes</v>
      </c>
      <c r="W1150" s="11">
        <f ca="1">IFERROR(__xludf.DUMMYFUNCTION("""COMPUTED_VALUE"""),0.416666666666666)</f>
        <v>0.41666666666666602</v>
      </c>
      <c r="X1150" s="8">
        <f ca="1">IFERROR(__xludf.DUMMYFUNCTION("""COMPUTED_VALUE"""),1)</f>
        <v>1</v>
      </c>
      <c r="Y1150" s="12" t="str">
        <f ca="1">IFERROR(__xludf.DUMMYFUNCTION("""COMPUTED_VALUE"""),"Teen girl shot by front door of school")</f>
        <v>Teen girl shot by front door of school</v>
      </c>
      <c r="Z1150" s="12" t="str">
        <f ca="1">IFERROR(__xludf.DUMMYFUNCTION("""COMPUTED_VALUE"""),"A 16-year-old girl was shot near the front door of the school. Shots were fired down the street, she was not the intended target. School went on lockdown. Shooter fled.")</f>
        <v>A 16-year-old girl was shot near the front door of the school. Shots were fired down the street, she was not the intended target. School went on lockdown. Shooter fled.</v>
      </c>
      <c r="AA1150" s="8"/>
      <c r="AB1150" s="8"/>
      <c r="AC1150" s="8" t="str">
        <f ca="1">IFERROR(__xludf.DUMMYFUNCTION("""COMPUTED_VALUE"""),"Yes")</f>
        <v>Yes</v>
      </c>
      <c r="AD1150" s="8" t="str">
        <f ca="1">IFERROR(__xludf.DUMMYFUNCTION("""COMPUTED_VALUE"""),"Both")</f>
        <v>Both</v>
      </c>
      <c r="AE1150" s="8" t="str">
        <f ca="1">IFERROR(__xludf.DUMMYFUNCTION("""COMPUTED_VALUE"""),"No")</f>
        <v>No</v>
      </c>
      <c r="AF1150" s="8"/>
      <c r="AG1150" s="8" t="str">
        <f ca="1">IFERROR(__xludf.DUMMYFUNCTION("""COMPUTED_VALUE"""),"No")</f>
        <v>No</v>
      </c>
      <c r="AH1150" s="8" t="str">
        <f ca="1">IFERROR(__xludf.DUMMYFUNCTION("""COMPUTED_VALUE"""),"No")</f>
        <v>No</v>
      </c>
      <c r="AI1150" s="8" t="str">
        <f ca="1">IFERROR(__xludf.DUMMYFUNCTION("""COMPUTED_VALUE"""),"No")</f>
        <v>No</v>
      </c>
      <c r="AJ1150" s="8" t="str">
        <f ca="1">IFERROR(__xludf.DUMMYFUNCTION("""COMPUTED_VALUE"""),"No")</f>
        <v>No</v>
      </c>
      <c r="AK1150" s="8" t="str">
        <f ca="1">IFERROR(__xludf.DUMMYFUNCTION("""COMPUTED_VALUE"""),"No")</f>
        <v>No</v>
      </c>
      <c r="AL1150" s="8"/>
      <c r="AM1150" s="8" t="str">
        <f ca="1">IFERROR(__xludf.DUMMYFUNCTION("""COMPUTED_VALUE"""),"No")</f>
        <v>No</v>
      </c>
      <c r="AN1150" s="8"/>
      <c r="AO1150" s="8" t="str">
        <f ca="1">IFERROR(__xludf.DUMMYFUNCTION("""COMPUTED_VALUE"""),"No")</f>
        <v>No</v>
      </c>
      <c r="AP1150" s="8"/>
      <c r="AQ1150" s="8"/>
      <c r="AR1150" s="8"/>
      <c r="AS1150" s="8">
        <f ca="1">IFERROR(__xludf.DUMMYFUNCTION("""COMPUTED_VALUE"""),99)</f>
        <v>99</v>
      </c>
      <c r="AT1150" s="8" t="str">
        <f ca="1">IFERROR(__xludf.DUMMYFUNCTION("""COMPUTED_VALUE"""),"Yes")</f>
        <v>Yes</v>
      </c>
      <c r="AU1150" s="8">
        <f ca="1">IFERROR(__xludf.DUMMYFUNCTION("""COMPUTED_VALUE"""),41.971279)</f>
        <v>41.971279000000003</v>
      </c>
      <c r="AV1150" s="8">
        <f ca="1">IFERROR(__xludf.DUMMYFUNCTION("""COMPUTED_VALUE"""),-87.725101)</f>
        <v>-87.725100999999995</v>
      </c>
      <c r="AW1150" s="8"/>
      <c r="AX1150" s="8">
        <f ca="1">IFERROR(__xludf.DUMMYFUNCTION("""COMPUTED_VALUE"""),60625)</f>
        <v>60625</v>
      </c>
    </row>
    <row r="1151" spans="1:50" ht="90" x14ac:dyDescent="0.2">
      <c r="A1151" s="8" t="str">
        <f ca="1">IFERROR(__xludf.DUMMYFUNCTION("""COMPUTED_VALUE"""),"20220129WIBEB")</f>
        <v>20220129WIBEB</v>
      </c>
      <c r="B1151" s="8">
        <f ca="1">IFERROR(__xludf.DUMMYFUNCTION("""COMPUTED_VALUE"""),1)</f>
        <v>1</v>
      </c>
      <c r="C1151" s="8">
        <f ca="1">IFERROR(__xludf.DUMMYFUNCTION("""COMPUTED_VALUE"""),29)</f>
        <v>29</v>
      </c>
      <c r="D1151" s="8">
        <f ca="1">IFERROR(__xludf.DUMMYFUNCTION("""COMPUTED_VALUE"""),2022)</f>
        <v>2022</v>
      </c>
      <c r="E1151" s="9">
        <f ca="1">IFERROR(__xludf.DUMMYFUNCTION("""COMPUTED_VALUE"""),44590)</f>
        <v>44590</v>
      </c>
      <c r="F1151" s="8" t="str">
        <f ca="1">IFERROR(__xludf.DUMMYFUNCTION("""COMPUTED_VALUE"""),"Beloit Memorial High School")</f>
        <v>Beloit Memorial High School</v>
      </c>
      <c r="G1151" s="8">
        <f ca="1">IFERROR(__xludf.DUMMYFUNCTION("""COMPUTED_VALUE"""),1)</f>
        <v>1</v>
      </c>
      <c r="H1151" s="8">
        <f ca="1">IFERROR(__xludf.DUMMYFUNCTION("""COMPUTED_VALUE"""),0)</f>
        <v>0</v>
      </c>
      <c r="I1151" s="8">
        <f ca="1">IFERROR(__xludf.DUMMYFUNCTION("""COMPUTED_VALUE"""),1)</f>
        <v>1</v>
      </c>
      <c r="J1151" s="8">
        <f ca="1">IFERROR(__xludf.DUMMYFUNCTION("""COMPUTED_VALUE"""),0)</f>
        <v>0</v>
      </c>
      <c r="K1151" s="10" t="str">
        <f ca="1">IFERROR(__xludf.DUMMYFUNCTION("""COMPUTED_VALUE"""),"https://www.wkow.com/news/beloit-police-respond-to-shots-fired-call-outside-beloit-memorial-high-school/article_bc96c9e0-817e-11ec-a684-1bfb2c37cece.html https://www.wifr.com/2022/01/30/one-person-sent-hospital-after-shooting-beloit-memorial-high-school/ "&amp;"https://www.wrex.com/news/top-stories/police-one-shot-outside-of-beloit-memorial-high-school-after-basketball-game/article_082aa37a-8181-11ec-8355-238f1230f853.html https://www.nbc15.com/2022/01/30/1-hurt-shooting-after-lafollette-high-beloit-memorial-bas"&amp;"ketball-game/
https://www.channel3000.com/news/crime/teen-charged-in-homicide-outside-of-beloit-high-school-bound-over-for-trial/article_4a808055-b4ef-5eee-ab73-b2527e785f41.html")</f>
        <v>https://www.wkow.com/news/beloit-police-respond-to-shots-fired-call-outside-beloit-memorial-high-school/article_bc96c9e0-817e-11ec-a684-1bfb2c37cece.html https://www.wifr.com/2022/01/30/one-person-sent-hospital-after-shooting-beloit-memorial-high-school/ https://www.wrex.com/news/top-stories/police-one-shot-outside-of-beloit-memorial-high-school-after-basketball-game/article_082aa37a-8181-11ec-8355-238f1230f853.html https://www.nbc15.com/2022/01/30/1-hurt-shooting-after-lafollette-high-beloit-memorial-basketball-game/
https://www.channel3000.com/news/crime/teen-charged-in-homicide-outside-of-beloit-high-school-bound-over-for-trial/article_4a808055-b4ef-5eee-ab73-b2527e785f41.html</v>
      </c>
      <c r="L1151" s="8">
        <f ca="1">IFERROR(__xludf.DUMMYFUNCTION("""COMPUTED_VALUE"""),5)</f>
        <v>5</v>
      </c>
      <c r="M1151" s="8" t="str">
        <f ca="1">IFERROR(__xludf.DUMMYFUNCTION("""COMPUTED_VALUE"""),"Regional")</f>
        <v>Regional</v>
      </c>
      <c r="N1151" s="8">
        <f ca="1">IFERROR(__xludf.DUMMYFUNCTION("""COMPUTED_VALUE"""),4)</f>
        <v>4</v>
      </c>
      <c r="O1151" s="8" t="str">
        <f ca="1">IFERROR(__xludf.DUMMYFUNCTION("""COMPUTED_VALUE"""),"Winter")</f>
        <v>Winter</v>
      </c>
      <c r="P1151" s="8" t="str">
        <f ca="1">IFERROR(__xludf.DUMMYFUNCTION("""COMPUTED_VALUE"""),"Beloit")</f>
        <v>Beloit</v>
      </c>
      <c r="Q1151" s="8" t="str">
        <f ca="1">IFERROR(__xludf.DUMMYFUNCTION("""COMPUTED_VALUE"""),"WI")</f>
        <v>WI</v>
      </c>
      <c r="R1151" s="8" t="str">
        <f ca="1">IFERROR(__xludf.DUMMYFUNCTION("""COMPUTED_VALUE"""),"High")</f>
        <v>High</v>
      </c>
      <c r="S1151" s="8" t="str">
        <f ca="1">IFERROR(__xludf.DUMMYFUNCTION("""COMPUTED_VALUE"""),"Parking Lot")</f>
        <v>Parking Lot</v>
      </c>
      <c r="T1151" s="8" t="str">
        <f ca="1">IFERROR(__xludf.DUMMYFUNCTION("""COMPUTED_VALUE"""),"Outside on School Property")</f>
        <v>Outside on School Property</v>
      </c>
      <c r="U1151" s="8" t="str">
        <f ca="1">IFERROR(__xludf.DUMMYFUNCTION("""COMPUTED_VALUE"""),"No")</f>
        <v>No</v>
      </c>
      <c r="V1151" s="8" t="str">
        <f ca="1">IFERROR(__xludf.DUMMYFUNCTION("""COMPUTED_VALUE"""),"Sport Event")</f>
        <v>Sport Event</v>
      </c>
      <c r="W1151" s="11">
        <f ca="1">IFERROR(__xludf.DUMMYFUNCTION("""COMPUTED_VALUE"""),0.871527777777777)</f>
        <v>0.87152777777777701</v>
      </c>
      <c r="X1151" s="8">
        <f ca="1">IFERROR(__xludf.DUMMYFUNCTION("""COMPUTED_VALUE"""),1)</f>
        <v>1</v>
      </c>
      <c r="Y1151" s="12" t="str">
        <f ca="1">IFERROR(__xludf.DUMMYFUNCTION("""COMPUTED_VALUE"""),"Adult man killed outside of high school basketball game")</f>
        <v>Adult man killed outside of high school basketball game</v>
      </c>
      <c r="Z1151" s="12" t="str">
        <f ca="1">IFERROR(__xludf.DUMMYFUNCTION("""COMPUTED_VALUE"""),"An adult male was fatally shot in the school parking lot at the end of a high school basketball game. Students and fans exiting the building ran back into the school. A SRO was assigned to the game and responded immediately to secure the scene. Building w"&amp;"as locked down. Players were escorted to their buses. Shooter fled and was not identified.")</f>
        <v>An adult male was fatally shot in the school parking lot at the end of a high school basketball game. Students and fans exiting the building ran back into the school. A SRO was assigned to the game and responded immediately to secure the scene. Building was locked down. Players were escorted to their buses. Shooter fled and was not identified.</v>
      </c>
      <c r="AA1151" s="8"/>
      <c r="AB1151" s="8"/>
      <c r="AC1151" s="8" t="str">
        <f ca="1">IFERROR(__xludf.DUMMYFUNCTION("""COMPUTED_VALUE"""),"Yes")</f>
        <v>Yes</v>
      </c>
      <c r="AD1151" s="8" t="str">
        <f ca="1">IFERROR(__xludf.DUMMYFUNCTION("""COMPUTED_VALUE"""),"Victims Targeted")</f>
        <v>Victims Targeted</v>
      </c>
      <c r="AE1151" s="8" t="str">
        <f ca="1">IFERROR(__xludf.DUMMYFUNCTION("""COMPUTED_VALUE"""),"No")</f>
        <v>No</v>
      </c>
      <c r="AF1151" s="8"/>
      <c r="AG1151" s="8" t="str">
        <f ca="1">IFERROR(__xludf.DUMMYFUNCTION("""COMPUTED_VALUE"""),"No")</f>
        <v>No</v>
      </c>
      <c r="AH1151" s="8" t="str">
        <f ca="1">IFERROR(__xludf.DUMMYFUNCTION("""COMPUTED_VALUE"""),"No")</f>
        <v>No</v>
      </c>
      <c r="AI1151" s="8" t="str">
        <f ca="1">IFERROR(__xludf.DUMMYFUNCTION("""COMPUTED_VALUE"""),"No")</f>
        <v>No</v>
      </c>
      <c r="AJ1151" s="8" t="str">
        <f ca="1">IFERROR(__xludf.DUMMYFUNCTION("""COMPUTED_VALUE"""),"No")</f>
        <v>No</v>
      </c>
      <c r="AK1151" s="8" t="str">
        <f ca="1">IFERROR(__xludf.DUMMYFUNCTION("""COMPUTED_VALUE"""),"No")</f>
        <v>No</v>
      </c>
      <c r="AL1151" s="8"/>
      <c r="AM1151" s="8" t="str">
        <f ca="1">IFERROR(__xludf.DUMMYFUNCTION("""COMPUTED_VALUE"""),"No")</f>
        <v>No</v>
      </c>
      <c r="AN1151" s="8"/>
      <c r="AO1151" s="8" t="str">
        <f ca="1">IFERROR(__xludf.DUMMYFUNCTION("""COMPUTED_VALUE"""),"No")</f>
        <v>No</v>
      </c>
      <c r="AP1151" s="8" t="str">
        <f ca="1">IFERROR(__xludf.DUMMYFUNCTION("""COMPUTED_VALUE"""),"Yes")</f>
        <v>Yes</v>
      </c>
      <c r="AQ1151" s="8" t="str">
        <f ca="1">IFERROR(__xludf.DUMMYFUNCTION("""COMPUTED_VALUE"""),"Armed Guards")</f>
        <v>Armed Guards</v>
      </c>
      <c r="AR1151" s="8" t="str">
        <f ca="1">IFERROR(__xludf.DUMMYFUNCTION("""COMPUTED_VALUE"""),"Outside/Off-Property")</f>
        <v>Outside/Off-Property</v>
      </c>
      <c r="AS1151" s="8"/>
      <c r="AT1151" s="8" t="str">
        <f ca="1">IFERROR(__xludf.DUMMYFUNCTION("""COMPUTED_VALUE"""),"Yes")</f>
        <v>Yes</v>
      </c>
      <c r="AU1151" s="8">
        <f ca="1">IFERROR(__xludf.DUMMYFUNCTION("""COMPUTED_VALUE"""),42.515323)</f>
        <v>42.515323000000002</v>
      </c>
      <c r="AV1151" s="8">
        <f ca="1">IFERROR(__xludf.DUMMYFUNCTION("""COMPUTED_VALUE"""),-89.037732)</f>
        <v>-89.037732000000005</v>
      </c>
      <c r="AW1151" s="8"/>
      <c r="AX1151" s="8">
        <f ca="1">IFERROR(__xludf.DUMMYFUNCTION("""COMPUTED_VALUE"""),53511)</f>
        <v>53511</v>
      </c>
    </row>
    <row r="1152" spans="1:50" ht="60" x14ac:dyDescent="0.2">
      <c r="A1152" s="8" t="str">
        <f ca="1">IFERROR(__xludf.DUMMYFUNCTION("""COMPUTED_VALUE"""),"20220128LACAM")</f>
        <v>20220128LACAM</v>
      </c>
      <c r="B1152" s="8">
        <f ca="1">IFERROR(__xludf.DUMMYFUNCTION("""COMPUTED_VALUE"""),1)</f>
        <v>1</v>
      </c>
      <c r="C1152" s="8">
        <f ca="1">IFERROR(__xludf.DUMMYFUNCTION("""COMPUTED_VALUE"""),28)</f>
        <v>28</v>
      </c>
      <c r="D1152" s="8">
        <f ca="1">IFERROR(__xludf.DUMMYFUNCTION("""COMPUTED_VALUE"""),2022)</f>
        <v>2022</v>
      </c>
      <c r="E1152" s="9">
        <f ca="1">IFERROR(__xludf.DUMMYFUNCTION("""COMPUTED_VALUE"""),44589)</f>
        <v>44589</v>
      </c>
      <c r="F1152" s="8" t="str">
        <f ca="1">IFERROR(__xludf.DUMMYFUNCTION("""COMPUTED_VALUE"""),"Carroll High School")</f>
        <v>Carroll High School</v>
      </c>
      <c r="G1152" s="8">
        <f ca="1">IFERROR(__xludf.DUMMYFUNCTION("""COMPUTED_VALUE"""),0)</f>
        <v>0</v>
      </c>
      <c r="H1152" s="8">
        <f ca="1">IFERROR(__xludf.DUMMYFUNCTION("""COMPUTED_VALUE"""),0)</f>
        <v>0</v>
      </c>
      <c r="I1152" s="8">
        <f ca="1">IFERROR(__xludf.DUMMYFUNCTION("""COMPUTED_VALUE"""),0)</f>
        <v>0</v>
      </c>
      <c r="J1152" s="8">
        <f ca="1">IFERROR(__xludf.DUMMYFUNCTION("""COMPUTED_VALUE"""),0)</f>
        <v>0</v>
      </c>
      <c r="K1152" s="8" t="str">
        <f ca="1">IFERROR(__xludf.DUMMYFUNCTION("""COMPUTED_VALUE"""),"https://www.myarklamiss.com/news/top-stories/attempted-vehicle-burglary-leads-to-gunshots-after-local-high-school-basketball-game/ https://www.knoe.com/2022/02/01/vehicle-burglary-local-high-school-basketball-game-leads-shots-fired/")</f>
        <v>https://www.myarklamiss.com/news/top-stories/attempted-vehicle-burglary-leads-to-gunshots-after-local-high-school-basketball-game/ https://www.knoe.com/2022/02/01/vehicle-burglary-local-high-school-basketball-game-leads-shots-fired/</v>
      </c>
      <c r="L1152" s="8">
        <f ca="1">IFERROR(__xludf.DUMMYFUNCTION("""COMPUTED_VALUE"""),2)</f>
        <v>2</v>
      </c>
      <c r="M1152" s="8" t="str">
        <f ca="1">IFERROR(__xludf.DUMMYFUNCTION("""COMPUTED_VALUE"""),"Local")</f>
        <v>Local</v>
      </c>
      <c r="N1152" s="8">
        <f ca="1">IFERROR(__xludf.DUMMYFUNCTION("""COMPUTED_VALUE"""),4)</f>
        <v>4</v>
      </c>
      <c r="O1152" s="8" t="str">
        <f ca="1">IFERROR(__xludf.DUMMYFUNCTION("""COMPUTED_VALUE"""),"Winter")</f>
        <v>Winter</v>
      </c>
      <c r="P1152" s="8" t="str">
        <f ca="1">IFERROR(__xludf.DUMMYFUNCTION("""COMPUTED_VALUE"""),"Monroe")</f>
        <v>Monroe</v>
      </c>
      <c r="Q1152" s="8" t="str">
        <f ca="1">IFERROR(__xludf.DUMMYFUNCTION("""COMPUTED_VALUE"""),"LA")</f>
        <v>LA</v>
      </c>
      <c r="R1152" s="8" t="str">
        <f ca="1">IFERROR(__xludf.DUMMYFUNCTION("""COMPUTED_VALUE"""),"High")</f>
        <v>High</v>
      </c>
      <c r="S1152" s="8" t="str">
        <f ca="1">IFERROR(__xludf.DUMMYFUNCTION("""COMPUTED_VALUE"""),"Parking Lot")</f>
        <v>Parking Lot</v>
      </c>
      <c r="T1152" s="8" t="str">
        <f ca="1">IFERROR(__xludf.DUMMYFUNCTION("""COMPUTED_VALUE"""),"Outside on School Property")</f>
        <v>Outside on School Property</v>
      </c>
      <c r="U1152" s="8" t="str">
        <f ca="1">IFERROR(__xludf.DUMMYFUNCTION("""COMPUTED_VALUE"""),"No")</f>
        <v>No</v>
      </c>
      <c r="V1152" s="8" t="str">
        <f ca="1">IFERROR(__xludf.DUMMYFUNCTION("""COMPUTED_VALUE"""),"Sport Event")</f>
        <v>Sport Event</v>
      </c>
      <c r="W1152" s="11">
        <f ca="1">IFERROR(__xludf.DUMMYFUNCTION("""COMPUTED_VALUE"""),0.791666666666666)</f>
        <v>0.79166666666666596</v>
      </c>
      <c r="X1152" s="8">
        <f ca="1">IFERROR(__xludf.DUMMYFUNCTION("""COMPUTED_VALUE"""),1)</f>
        <v>1</v>
      </c>
      <c r="Y1152" s="12" t="str">
        <f ca="1">IFERROR(__xludf.DUMMYFUNCTION("""COMPUTED_VALUE"""),"Shots fired by man burglarizing vehicles during basketball game")</f>
        <v>Shots fired by man burglarizing vehicles during basketball game</v>
      </c>
      <c r="Z1152" s="12" t="str">
        <f ca="1">IFERROR(__xludf.DUMMYFUNCTION("""COMPUTED_VALUE"""),"Two people leaving the high school basketball game saw three men burglarizing vehicles in the school parking lot. When they approached the men, one burglar fired 2 shots at them and then fled the area.")</f>
        <v>Two people leaving the high school basketball game saw three men burglarizing vehicles in the school parking lot. When they approached the men, one burglar fired 2 shots at them and then fled the area.</v>
      </c>
      <c r="AA1152" s="8" t="str">
        <f ca="1">IFERROR(__xludf.DUMMYFUNCTION("""COMPUTED_VALUE"""),"Illegal Activity")</f>
        <v>Illegal Activity</v>
      </c>
      <c r="AB1152" s="8"/>
      <c r="AC1152" s="8" t="str">
        <f ca="1">IFERROR(__xludf.DUMMYFUNCTION("""COMPUTED_VALUE"""),"Yes")</f>
        <v>Yes</v>
      </c>
      <c r="AD1152" s="8" t="str">
        <f ca="1">IFERROR(__xludf.DUMMYFUNCTION("""COMPUTED_VALUE"""),"Random Shooting")</f>
        <v>Random Shooting</v>
      </c>
      <c r="AE1152" s="8" t="str">
        <f ca="1">IFERROR(__xludf.DUMMYFUNCTION("""COMPUTED_VALUE"""),"Yes")</f>
        <v>Yes</v>
      </c>
      <c r="AF1152" s="8" t="str">
        <f ca="1">IFERROR(__xludf.DUMMYFUNCTION("""COMPUTED_VALUE"""),"3 men")</f>
        <v>3 men</v>
      </c>
      <c r="AG1152" s="8" t="str">
        <f ca="1">IFERROR(__xludf.DUMMYFUNCTION("""COMPUTED_VALUE"""),"No")</f>
        <v>No</v>
      </c>
      <c r="AH1152" s="8" t="str">
        <f ca="1">IFERROR(__xludf.DUMMYFUNCTION("""COMPUTED_VALUE"""),"No")</f>
        <v>No</v>
      </c>
      <c r="AI1152" s="8" t="str">
        <f ca="1">IFERROR(__xludf.DUMMYFUNCTION("""COMPUTED_VALUE"""),"No")</f>
        <v>No</v>
      </c>
      <c r="AJ1152" s="8" t="str">
        <f ca="1">IFERROR(__xludf.DUMMYFUNCTION("""COMPUTED_VALUE"""),"No")</f>
        <v>No</v>
      </c>
      <c r="AK1152" s="8" t="str">
        <f ca="1">IFERROR(__xludf.DUMMYFUNCTION("""COMPUTED_VALUE"""),"No")</f>
        <v>No</v>
      </c>
      <c r="AL1152" s="8" t="str">
        <f ca="1">IFERROR(__xludf.DUMMYFUNCTION("""COMPUTED_VALUE"""),"No")</f>
        <v>No</v>
      </c>
      <c r="AM1152" s="8" t="str">
        <f ca="1">IFERROR(__xludf.DUMMYFUNCTION("""COMPUTED_VALUE"""),"No")</f>
        <v>No</v>
      </c>
      <c r="AN1152" s="8"/>
      <c r="AO1152" s="8" t="str">
        <f ca="1">IFERROR(__xludf.DUMMYFUNCTION("""COMPUTED_VALUE"""),"No")</f>
        <v>No</v>
      </c>
      <c r="AP1152" s="8"/>
      <c r="AQ1152" s="8"/>
      <c r="AR1152" s="8" t="str">
        <f ca="1">IFERROR(__xludf.DUMMYFUNCTION("""COMPUTED_VALUE"""),"Outside/Off-Property")</f>
        <v>Outside/Off-Property</v>
      </c>
      <c r="AS1152" s="8">
        <f ca="1">IFERROR(__xludf.DUMMYFUNCTION("""COMPUTED_VALUE"""),2)</f>
        <v>2</v>
      </c>
      <c r="AT1152" s="8"/>
      <c r="AU1152" s="8">
        <f ca="1">IFERROR(__xludf.DUMMYFUNCTION("""COMPUTED_VALUE"""),32.514745)</f>
        <v>32.514744999999998</v>
      </c>
      <c r="AV1152" s="8">
        <f ca="1">IFERROR(__xludf.DUMMYFUNCTION("""COMPUTED_VALUE"""),-92.085942)</f>
        <v>-92.085942000000003</v>
      </c>
      <c r="AW1152" s="8"/>
      <c r="AX1152" s="8">
        <f ca="1">IFERROR(__xludf.DUMMYFUNCTION("""COMPUTED_VALUE"""),71201)</f>
        <v>71201</v>
      </c>
    </row>
    <row r="1153" spans="1:50" ht="60" x14ac:dyDescent="0.2">
      <c r="A1153" s="8" t="str">
        <f ca="1">IFERROR(__xludf.DUMMYFUNCTION("""COMPUTED_VALUE"""),"20220127TXMOH")</f>
        <v>20220127TXMOH</v>
      </c>
      <c r="B1153" s="8">
        <f ca="1">IFERROR(__xludf.DUMMYFUNCTION("""COMPUTED_VALUE"""),1)</f>
        <v>1</v>
      </c>
      <c r="C1153" s="8">
        <f ca="1">IFERROR(__xludf.DUMMYFUNCTION("""COMPUTED_VALUE"""),27)</f>
        <v>27</v>
      </c>
      <c r="D1153" s="8">
        <f ca="1">IFERROR(__xludf.DUMMYFUNCTION("""COMPUTED_VALUE"""),2022)</f>
        <v>2022</v>
      </c>
      <c r="E1153" s="9">
        <f ca="1">IFERROR(__xludf.DUMMYFUNCTION("""COMPUTED_VALUE"""),44588)</f>
        <v>44588</v>
      </c>
      <c r="F1153" s="8" t="str">
        <f ca="1">IFERROR(__xludf.DUMMYFUNCTION("""COMPUTED_VALUE"""),"Montgomery Elementary School")</f>
        <v>Montgomery Elementary School</v>
      </c>
      <c r="G1153" s="8">
        <f ca="1">IFERROR(__xludf.DUMMYFUNCTION("""COMPUTED_VALUE"""),0)</f>
        <v>0</v>
      </c>
      <c r="H1153" s="8">
        <f ca="1">IFERROR(__xludf.DUMMYFUNCTION("""COMPUTED_VALUE"""),1)</f>
        <v>1</v>
      </c>
      <c r="I1153" s="8">
        <f ca="1">IFERROR(__xludf.DUMMYFUNCTION("""COMPUTED_VALUE"""),1)</f>
        <v>1</v>
      </c>
      <c r="J1153" s="8">
        <f ca="1">IFERROR(__xludf.DUMMYFUNCTION("""COMPUTED_VALUE"""),0)</f>
        <v>0</v>
      </c>
      <c r="K1153" s="8" t="str">
        <f ca="1">IFERROR(__xludf.DUMMYFUNCTION("""COMPUTED_VALUE"""),"https://abc13.com/robbery-set-up-shooting-woman-shot-in-shoulder-montgomery-elementary-school-southwest-houston/11517070/ https://www.click2houston.com/news/local/2022/01/28/woman-shot-during-attempted-car-sale-outside-sw-houston-elementary-school-police-"&amp;"say/")</f>
        <v>https://abc13.com/robbery-set-up-shooting-woman-shot-in-shoulder-montgomery-elementary-school-southwest-houston/11517070/ https://www.click2houston.com/news/local/2022/01/28/woman-shot-during-attempted-car-sale-outside-sw-houston-elementary-school-police-say/</v>
      </c>
      <c r="L1153" s="8">
        <f ca="1">IFERROR(__xludf.DUMMYFUNCTION("""COMPUTED_VALUE"""),5)</f>
        <v>5</v>
      </c>
      <c r="M1153" s="8" t="str">
        <f ca="1">IFERROR(__xludf.DUMMYFUNCTION("""COMPUTED_VALUE"""),"Local")</f>
        <v>Local</v>
      </c>
      <c r="N1153" s="8">
        <f ca="1">IFERROR(__xludf.DUMMYFUNCTION("""COMPUTED_VALUE"""),4)</f>
        <v>4</v>
      </c>
      <c r="O1153" s="8" t="str">
        <f ca="1">IFERROR(__xludf.DUMMYFUNCTION("""COMPUTED_VALUE"""),"Winter")</f>
        <v>Winter</v>
      </c>
      <c r="P1153" s="8" t="str">
        <f ca="1">IFERROR(__xludf.DUMMYFUNCTION("""COMPUTED_VALUE"""),"Houston")</f>
        <v>Houston</v>
      </c>
      <c r="Q1153" s="8" t="str">
        <f ca="1">IFERROR(__xludf.DUMMYFUNCTION("""COMPUTED_VALUE"""),"TX")</f>
        <v>TX</v>
      </c>
      <c r="R1153" s="8" t="str">
        <f ca="1">IFERROR(__xludf.DUMMYFUNCTION("""COMPUTED_VALUE"""),"Elementary")</f>
        <v>Elementary</v>
      </c>
      <c r="S1153" s="8" t="str">
        <f ca="1">IFERROR(__xludf.DUMMYFUNCTION("""COMPUTED_VALUE"""),"Parking Lot")</f>
        <v>Parking Lot</v>
      </c>
      <c r="T1153" s="8" t="str">
        <f ca="1">IFERROR(__xludf.DUMMYFUNCTION("""COMPUTED_VALUE"""),"Outside on School Property")</f>
        <v>Outside on School Property</v>
      </c>
      <c r="U1153" s="8" t="str">
        <f ca="1">IFERROR(__xludf.DUMMYFUNCTION("""COMPUTED_VALUE"""),"No")</f>
        <v>No</v>
      </c>
      <c r="V1153" s="8" t="str">
        <f ca="1">IFERROR(__xludf.DUMMYFUNCTION("""COMPUTED_VALUE"""),"Night")</f>
        <v>Night</v>
      </c>
      <c r="W1153" s="11">
        <f ca="1">IFERROR(__xludf.DUMMYFUNCTION("""COMPUTED_VALUE"""),0.916666666666666)</f>
        <v>0.91666666666666596</v>
      </c>
      <c r="X1153" s="8">
        <f ca="1">IFERROR(__xludf.DUMMYFUNCTION("""COMPUTED_VALUE"""),1)</f>
        <v>1</v>
      </c>
      <c r="Y1153" s="12" t="str">
        <f ca="1">IFERROR(__xludf.DUMMYFUNCTION("""COMPUTED_VALUE"""),"Woman shot during car sale robbery scam in school parking lot")</f>
        <v>Woman shot during car sale robbery scam in school parking lot</v>
      </c>
      <c r="Z1153" s="12" t="str">
        <f ca="1">IFERROR(__xludf.DUMMYFUNCTION("""COMPUTED_VALUE"""),"An adult woman was shot during the sale of a vehicle in the school parking lot. The sale was a robbery setup and she was shot by an adult male who fled the scene. Victim drove to a nearby firehouse for assistance.")</f>
        <v>An adult woman was shot during the sale of a vehicle in the school parking lot. The sale was a robbery setup and she was shot by an adult male who fled the scene. Victim drove to a nearby firehouse for assistance.</v>
      </c>
      <c r="AA1153" s="8" t="str">
        <f ca="1">IFERROR(__xludf.DUMMYFUNCTION("""COMPUTED_VALUE"""),"Illegal Activity")</f>
        <v>Illegal Activity</v>
      </c>
      <c r="AB1153" s="8"/>
      <c r="AC1153" s="8" t="str">
        <f ca="1">IFERROR(__xludf.DUMMYFUNCTION("""COMPUTED_VALUE"""),"No")</f>
        <v>No</v>
      </c>
      <c r="AD1153" s="8" t="str">
        <f ca="1">IFERROR(__xludf.DUMMYFUNCTION("""COMPUTED_VALUE"""),"Victims Targeted")</f>
        <v>Victims Targeted</v>
      </c>
      <c r="AE1153" s="8" t="str">
        <f ca="1">IFERROR(__xludf.DUMMYFUNCTION("""COMPUTED_VALUE"""),"Yes")</f>
        <v>Yes</v>
      </c>
      <c r="AF1153" s="8" t="str">
        <f ca="1">IFERROR(__xludf.DUMMYFUNCTION("""COMPUTED_VALUE"""),"Multiple men fled")</f>
        <v>Multiple men fled</v>
      </c>
      <c r="AG1153" s="8" t="str">
        <f ca="1">IFERROR(__xludf.DUMMYFUNCTION("""COMPUTED_VALUE"""),"No")</f>
        <v>No</v>
      </c>
      <c r="AH1153" s="8" t="str">
        <f ca="1">IFERROR(__xludf.DUMMYFUNCTION("""COMPUTED_VALUE"""),"No")</f>
        <v>No</v>
      </c>
      <c r="AI1153" s="8" t="str">
        <f ca="1">IFERROR(__xludf.DUMMYFUNCTION("""COMPUTED_VALUE"""),"No")</f>
        <v>No</v>
      </c>
      <c r="AJ1153" s="8" t="str">
        <f ca="1">IFERROR(__xludf.DUMMYFUNCTION("""COMPUTED_VALUE"""),"No")</f>
        <v>No</v>
      </c>
      <c r="AK1153" s="8" t="str">
        <f ca="1">IFERROR(__xludf.DUMMYFUNCTION("""COMPUTED_VALUE"""),"No")</f>
        <v>No</v>
      </c>
      <c r="AL1153" s="8" t="str">
        <f ca="1">IFERROR(__xludf.DUMMYFUNCTION("""COMPUTED_VALUE"""),"No")</f>
        <v>No</v>
      </c>
      <c r="AM1153" s="8" t="str">
        <f ca="1">IFERROR(__xludf.DUMMYFUNCTION("""COMPUTED_VALUE"""),"No")</f>
        <v>No</v>
      </c>
      <c r="AN1153" s="8"/>
      <c r="AO1153" s="8" t="str">
        <f ca="1">IFERROR(__xludf.DUMMYFUNCTION("""COMPUTED_VALUE"""),"No")</f>
        <v>No</v>
      </c>
      <c r="AP1153" s="8"/>
      <c r="AQ1153" s="8"/>
      <c r="AR1153" s="8" t="str">
        <f ca="1">IFERROR(__xludf.DUMMYFUNCTION("""COMPUTED_VALUE"""),"Outside/Off-Property")</f>
        <v>Outside/Off-Property</v>
      </c>
      <c r="AS1153" s="8">
        <f ca="1">IFERROR(__xludf.DUMMYFUNCTION("""COMPUTED_VALUE"""),99)</f>
        <v>99</v>
      </c>
      <c r="AT1153" s="8"/>
      <c r="AU1153" s="8">
        <f ca="1">IFERROR(__xludf.DUMMYFUNCTION("""COMPUTED_VALUE"""),29.619939)</f>
        <v>29.619938999999999</v>
      </c>
      <c r="AV1153" s="8">
        <f ca="1">IFERROR(__xludf.DUMMYFUNCTION("""COMPUTED_VALUE"""),-95.436667)</f>
        <v>-95.436667</v>
      </c>
      <c r="AW1153" s="8"/>
      <c r="AX1153" s="8">
        <f ca="1">IFERROR(__xludf.DUMMYFUNCTION("""COMPUTED_VALUE"""),77045)</f>
        <v>77045</v>
      </c>
    </row>
    <row r="1154" spans="1:50" ht="90" x14ac:dyDescent="0.2">
      <c r="A1154" s="8" t="str">
        <f ca="1">IFERROR(__xludf.DUMMYFUNCTION("""COMPUTED_VALUE"""),"20220126PABAP")</f>
        <v>20220126PABAP</v>
      </c>
      <c r="B1154" s="8">
        <f ca="1">IFERROR(__xludf.DUMMYFUNCTION("""COMPUTED_VALUE"""),1)</f>
        <v>1</v>
      </c>
      <c r="C1154" s="8">
        <f ca="1">IFERROR(__xludf.DUMMYFUNCTION("""COMPUTED_VALUE"""),26)</f>
        <v>26</v>
      </c>
      <c r="D1154" s="8">
        <f ca="1">IFERROR(__xludf.DUMMYFUNCTION("""COMPUTED_VALUE"""),2022)</f>
        <v>2022</v>
      </c>
      <c r="E1154" s="9">
        <f ca="1">IFERROR(__xludf.DUMMYFUNCTION("""COMPUTED_VALUE"""),44587)</f>
        <v>44587</v>
      </c>
      <c r="F1154" s="8" t="str">
        <f ca="1">IFERROR(__xludf.DUMMYFUNCTION("""COMPUTED_VALUE"""),"Bartram High School")</f>
        <v>Bartram High School</v>
      </c>
      <c r="G1154" s="8">
        <f ca="1">IFERROR(__xludf.DUMMYFUNCTION("""COMPUTED_VALUE"""),1)</f>
        <v>1</v>
      </c>
      <c r="H1154" s="8">
        <f ca="1">IFERROR(__xludf.DUMMYFUNCTION("""COMPUTED_VALUE"""),0)</f>
        <v>0</v>
      </c>
      <c r="I1154" s="8">
        <f ca="1">IFERROR(__xludf.DUMMYFUNCTION("""COMPUTED_VALUE"""),1)</f>
        <v>1</v>
      </c>
      <c r="J1154" s="8">
        <f ca="1">IFERROR(__xludf.DUMMYFUNCTION("""COMPUTED_VALUE"""),0)</f>
        <v>0</v>
      </c>
      <c r="K1154" s="8" t="str">
        <f ca="1">IFERROR(__xludf.DUMMYFUNCTION("""COMPUTED_VALUE"""),"https://www.nbcphiladelphia.com/news/local/teen-boy-shot-and-killed-near-bartram-high-school/3122167/ https://6abc.com/southwest-philadelphia-shooting-teen-shot-17-year-old-killed-bartram-high-school/11511990/ https://www.nbcphiladelphia.com/news/local/te"&amp;"en-boy-shot-and-killed-near-bartram-high-school/3122167/")</f>
        <v>https://www.nbcphiladelphia.com/news/local/teen-boy-shot-and-killed-near-bartram-high-school/3122167/ https://6abc.com/southwest-philadelphia-shooting-teen-shot-17-year-old-killed-bartram-high-school/11511990/ https://www.nbcphiladelphia.com/news/local/teen-boy-shot-and-killed-near-bartram-high-school/3122167/</v>
      </c>
      <c r="L1154" s="8">
        <f ca="1">IFERROR(__xludf.DUMMYFUNCTION("""COMPUTED_VALUE"""),10)</f>
        <v>10</v>
      </c>
      <c r="M1154" s="8" t="str">
        <f ca="1">IFERROR(__xludf.DUMMYFUNCTION("""COMPUTED_VALUE"""),"Regional")</f>
        <v>Regional</v>
      </c>
      <c r="N1154" s="8">
        <f ca="1">IFERROR(__xludf.DUMMYFUNCTION("""COMPUTED_VALUE"""),4)</f>
        <v>4</v>
      </c>
      <c r="O1154" s="8" t="str">
        <f ca="1">IFERROR(__xludf.DUMMYFUNCTION("""COMPUTED_VALUE"""),"Winter")</f>
        <v>Winter</v>
      </c>
      <c r="P1154" s="8" t="str">
        <f ca="1">IFERROR(__xludf.DUMMYFUNCTION("""COMPUTED_VALUE"""),"Philadelphia")</f>
        <v>Philadelphia</v>
      </c>
      <c r="Q1154" s="8" t="str">
        <f ca="1">IFERROR(__xludf.DUMMYFUNCTION("""COMPUTED_VALUE"""),"PA")</f>
        <v>PA</v>
      </c>
      <c r="R1154" s="8" t="str">
        <f ca="1">IFERROR(__xludf.DUMMYFUNCTION("""COMPUTED_VALUE"""),"High")</f>
        <v>High</v>
      </c>
      <c r="S1154" s="8" t="str">
        <f ca="1">IFERROR(__xludf.DUMMYFUNCTION("""COMPUTED_VALUE"""),"Front of School")</f>
        <v>Front of School</v>
      </c>
      <c r="T1154" s="8" t="str">
        <f ca="1">IFERROR(__xludf.DUMMYFUNCTION("""COMPUTED_VALUE"""),"Off School Property")</f>
        <v>Off School Property</v>
      </c>
      <c r="U1154" s="8" t="str">
        <f ca="1">IFERROR(__xludf.DUMMYFUNCTION("""COMPUTED_VALUE"""),"Yes")</f>
        <v>Yes</v>
      </c>
      <c r="V1154" s="8" t="str">
        <f ca="1">IFERROR(__xludf.DUMMYFUNCTION("""COMPUTED_VALUE"""),"Dismissal")</f>
        <v>Dismissal</v>
      </c>
      <c r="W1154" s="11">
        <f ca="1">IFERROR(__xludf.DUMMYFUNCTION("""COMPUTED_VALUE"""),0.620833333333333)</f>
        <v>0.62083333333333302</v>
      </c>
      <c r="X1154" s="8">
        <f ca="1">IFERROR(__xludf.DUMMYFUNCTION("""COMPUTED_VALUE"""),1)</f>
        <v>1</v>
      </c>
      <c r="Y1154" s="12" t="str">
        <f ca="1">IFERROR(__xludf.DUMMYFUNCTION("""COMPUTED_VALUE"""),"A 17-year-old male student was fatally shot in the chest while leaving the campus at dismissal.")</f>
        <v>A 17-year-old male student was fatally shot in the chest while leaving the campus at dismissal.</v>
      </c>
      <c r="Z1154" s="12" t="str">
        <f ca="1">IFERROR(__xludf.DUMMYFUNCTION("""COMPUTED_VALUE"""),"A 17-year-old male student was fatally shot in the chest while leaving the campus at dismissal. The school went on lockdown and remaining students sheltered on the campus. Shooter fled.")</f>
        <v>A 17-year-old male student was fatally shot in the chest while leaving the campus at dismissal. The school went on lockdown and remaining students sheltered on the campus. Shooter fled.</v>
      </c>
      <c r="AA1154" s="8"/>
      <c r="AB1154" s="8"/>
      <c r="AC1154" s="8" t="str">
        <f ca="1">IFERROR(__xludf.DUMMYFUNCTION("""COMPUTED_VALUE"""),"Yes")</f>
        <v>Yes</v>
      </c>
      <c r="AD1154" s="8" t="str">
        <f ca="1">IFERROR(__xludf.DUMMYFUNCTION("""COMPUTED_VALUE"""),"Victims Targeted")</f>
        <v>Victims Targeted</v>
      </c>
      <c r="AE1154" s="8" t="str">
        <f ca="1">IFERROR(__xludf.DUMMYFUNCTION("""COMPUTED_VALUE"""),"No")</f>
        <v>No</v>
      </c>
      <c r="AF1154" s="8"/>
      <c r="AG1154" s="8" t="str">
        <f ca="1">IFERROR(__xludf.DUMMYFUNCTION("""COMPUTED_VALUE"""),"No")</f>
        <v>No</v>
      </c>
      <c r="AH1154" s="8" t="str">
        <f ca="1">IFERROR(__xludf.DUMMYFUNCTION("""COMPUTED_VALUE"""),"No")</f>
        <v>No</v>
      </c>
      <c r="AI1154" s="8" t="str">
        <f ca="1">IFERROR(__xludf.DUMMYFUNCTION("""COMPUTED_VALUE"""),"No")</f>
        <v>No</v>
      </c>
      <c r="AJ1154" s="8" t="str">
        <f ca="1">IFERROR(__xludf.DUMMYFUNCTION("""COMPUTED_VALUE"""),"No")</f>
        <v>No</v>
      </c>
      <c r="AK1154" s="8" t="str">
        <f ca="1">IFERROR(__xludf.DUMMYFUNCTION("""COMPUTED_VALUE"""),"No")</f>
        <v>No</v>
      </c>
      <c r="AL1154" s="8"/>
      <c r="AM1154" s="8" t="str">
        <f ca="1">IFERROR(__xludf.DUMMYFUNCTION("""COMPUTED_VALUE"""),"No")</f>
        <v>No</v>
      </c>
      <c r="AN1154" s="8"/>
      <c r="AO1154" s="8" t="str">
        <f ca="1">IFERROR(__xludf.DUMMYFUNCTION("""COMPUTED_VALUE"""),"No")</f>
        <v>No</v>
      </c>
      <c r="AP1154" s="8"/>
      <c r="AQ1154" s="8"/>
      <c r="AR1154" s="8" t="str">
        <f ca="1">IFERROR(__xludf.DUMMYFUNCTION("""COMPUTED_VALUE"""),"Outside/Off-Property")</f>
        <v>Outside/Off-Property</v>
      </c>
      <c r="AS1154" s="8"/>
      <c r="AT1154" s="8" t="str">
        <f ca="1">IFERROR(__xludf.DUMMYFUNCTION("""COMPUTED_VALUE"""),"Yes")</f>
        <v>Yes</v>
      </c>
      <c r="AU1154" s="8">
        <f ca="1">IFERROR(__xludf.DUMMYFUNCTION("""COMPUTED_VALUE"""),39.921424)</f>
        <v>39.921424000000002</v>
      </c>
      <c r="AV1154" s="8">
        <f ca="1">IFERROR(__xludf.DUMMYFUNCTION("""COMPUTED_VALUE"""),-75.233619)</f>
        <v>-75.233619000000004</v>
      </c>
      <c r="AW1154" s="8"/>
      <c r="AX1154" s="8" t="str">
        <f ca="1">IFERROR(__xludf.DUMMYFUNCTION("""COMPUTED_VALUE"""),"19142-2218")</f>
        <v>19142-2218</v>
      </c>
    </row>
    <row r="1155" spans="1:50" ht="60" x14ac:dyDescent="0.2">
      <c r="A1155" s="8" t="str">
        <f ca="1">IFERROR(__xludf.DUMMYFUNCTION("""COMPUTED_VALUE"""),"20220124NVSUL")</f>
        <v>20220124NVSUL</v>
      </c>
      <c r="B1155" s="8">
        <f ca="1">IFERROR(__xludf.DUMMYFUNCTION("""COMPUTED_VALUE"""),1)</f>
        <v>1</v>
      </c>
      <c r="C1155" s="8">
        <f ca="1">IFERROR(__xludf.DUMMYFUNCTION("""COMPUTED_VALUE"""),24)</f>
        <v>24</v>
      </c>
      <c r="D1155" s="8">
        <f ca="1">IFERROR(__xludf.DUMMYFUNCTION("""COMPUTED_VALUE"""),2022)</f>
        <v>2022</v>
      </c>
      <c r="E1155" s="9">
        <f ca="1">IFERROR(__xludf.DUMMYFUNCTION("""COMPUTED_VALUE"""),44585)</f>
        <v>44585</v>
      </c>
      <c r="F1155" s="8" t="str">
        <f ca="1">IFERROR(__xludf.DUMMYFUNCTION("""COMPUTED_VALUE"""),"Sunrise Mountain High School")</f>
        <v>Sunrise Mountain High School</v>
      </c>
      <c r="G1155" s="8">
        <f ca="1">IFERROR(__xludf.DUMMYFUNCTION("""COMPUTED_VALUE"""),0)</f>
        <v>0</v>
      </c>
      <c r="H1155" s="8">
        <f ca="1">IFERROR(__xludf.DUMMYFUNCTION("""COMPUTED_VALUE"""),1)</f>
        <v>1</v>
      </c>
      <c r="I1155" s="8">
        <f ca="1">IFERROR(__xludf.DUMMYFUNCTION("""COMPUTED_VALUE"""),1)</f>
        <v>1</v>
      </c>
      <c r="J1155" s="8">
        <f ca="1">IFERROR(__xludf.DUMMYFUNCTION("""COMPUTED_VALUE"""),0)</f>
        <v>0</v>
      </c>
      <c r="K1155" s="8" t="str">
        <f ca="1">IFERROR(__xludf.DUMMYFUNCTION("""COMPUTED_VALUE"""),"https://news3lv.com/newsletter-daily/las-vegas-police-investigate-shooting-near-sunrise-mountain-high-school https://www.8newsnow.com/news/local-news/1-shot-in-east-valley-near-carey-and-hollywood-sunrise-mountain-high-school-on-hard-lockdown/")</f>
        <v>https://news3lv.com/newsletter-daily/las-vegas-police-investigate-shooting-near-sunrise-mountain-high-school https://www.8newsnow.com/news/local-news/1-shot-in-east-valley-near-carey-and-hollywood-sunrise-mountain-high-school-on-hard-lockdown/</v>
      </c>
      <c r="L1155" s="8">
        <f ca="1">IFERROR(__xludf.DUMMYFUNCTION("""COMPUTED_VALUE"""),3)</f>
        <v>3</v>
      </c>
      <c r="M1155" s="8" t="str">
        <f ca="1">IFERROR(__xludf.DUMMYFUNCTION("""COMPUTED_VALUE"""),"Local")</f>
        <v>Local</v>
      </c>
      <c r="N1155" s="8">
        <f ca="1">IFERROR(__xludf.DUMMYFUNCTION("""COMPUTED_VALUE"""),3)</f>
        <v>3</v>
      </c>
      <c r="O1155" s="8" t="str">
        <f ca="1">IFERROR(__xludf.DUMMYFUNCTION("""COMPUTED_VALUE"""),"Winter")</f>
        <v>Winter</v>
      </c>
      <c r="P1155" s="8" t="str">
        <f ca="1">IFERROR(__xludf.DUMMYFUNCTION("""COMPUTED_VALUE"""),"Las Vegas")</f>
        <v>Las Vegas</v>
      </c>
      <c r="Q1155" s="8" t="str">
        <f ca="1">IFERROR(__xludf.DUMMYFUNCTION("""COMPUTED_VALUE"""),"NV")</f>
        <v>NV</v>
      </c>
      <c r="R1155" s="8" t="str">
        <f ca="1">IFERROR(__xludf.DUMMYFUNCTION("""COMPUTED_VALUE"""),"High")</f>
        <v>High</v>
      </c>
      <c r="S1155" s="8" t="str">
        <f ca="1">IFERROR(__xludf.DUMMYFUNCTION("""COMPUTED_VALUE"""),"Parking Lot")</f>
        <v>Parking Lot</v>
      </c>
      <c r="T1155" s="8" t="str">
        <f ca="1">IFERROR(__xludf.DUMMYFUNCTION("""COMPUTED_VALUE"""),"Outside on School Property")</f>
        <v>Outside on School Property</v>
      </c>
      <c r="U1155" s="8" t="str">
        <f ca="1">IFERROR(__xludf.DUMMYFUNCTION("""COMPUTED_VALUE"""),"Yes")</f>
        <v>Yes</v>
      </c>
      <c r="V1155" s="8" t="str">
        <f ca="1">IFERROR(__xludf.DUMMYFUNCTION("""COMPUTED_VALUE"""),"Lunch")</f>
        <v>Lunch</v>
      </c>
      <c r="W1155" s="11">
        <f ca="1">IFERROR(__xludf.DUMMYFUNCTION("""COMPUTED_VALUE"""),0.520833333333333)</f>
        <v>0.52083333333333304</v>
      </c>
      <c r="X1155" s="8">
        <f ca="1">IFERROR(__xludf.DUMMYFUNCTION("""COMPUTED_VALUE"""),1)</f>
        <v>1</v>
      </c>
      <c r="Y1155" s="12" t="str">
        <f ca="1">IFERROR(__xludf.DUMMYFUNCTION("""COMPUTED_VALUE"""),"Unidentified person shot in school parking lot during school day")</f>
        <v>Unidentified person shot in school parking lot during school day</v>
      </c>
      <c r="Z1155" s="12" t="str">
        <f ca="1">IFERROR(__xludf.DUMMYFUNCTION("""COMPUTED_VALUE"""),"High school went on hard lockdown when an unidentified person was shot in the school parking lot. Victim transported to trauma center. Police did not release any other information.")</f>
        <v>High school went on hard lockdown when an unidentified person was shot in the school parking lot. Victim transported to trauma center. Police did not release any other information.</v>
      </c>
      <c r="AA1155" s="8"/>
      <c r="AB1155" s="8"/>
      <c r="AC1155" s="8" t="str">
        <f ca="1">IFERROR(__xludf.DUMMYFUNCTION("""COMPUTED_VALUE"""),"Yes")</f>
        <v>Yes</v>
      </c>
      <c r="AD1155" s="8" t="str">
        <f ca="1">IFERROR(__xludf.DUMMYFUNCTION("""COMPUTED_VALUE"""),"Victims Targeted")</f>
        <v>Victims Targeted</v>
      </c>
      <c r="AE1155" s="8" t="str">
        <f ca="1">IFERROR(__xludf.DUMMYFUNCTION("""COMPUTED_VALUE"""),"No")</f>
        <v>No</v>
      </c>
      <c r="AF1155" s="8"/>
      <c r="AG1155" s="8" t="str">
        <f ca="1">IFERROR(__xludf.DUMMYFUNCTION("""COMPUTED_VALUE"""),"No")</f>
        <v>No</v>
      </c>
      <c r="AH1155" s="8" t="str">
        <f ca="1">IFERROR(__xludf.DUMMYFUNCTION("""COMPUTED_VALUE"""),"No")</f>
        <v>No</v>
      </c>
      <c r="AI1155" s="8" t="str">
        <f ca="1">IFERROR(__xludf.DUMMYFUNCTION("""COMPUTED_VALUE"""),"No")</f>
        <v>No</v>
      </c>
      <c r="AJ1155" s="8" t="str">
        <f ca="1">IFERROR(__xludf.DUMMYFUNCTION("""COMPUTED_VALUE"""),"No")</f>
        <v>No</v>
      </c>
      <c r="AK1155" s="8" t="str">
        <f ca="1">IFERROR(__xludf.DUMMYFUNCTION("""COMPUTED_VALUE"""),"No")</f>
        <v>No</v>
      </c>
      <c r="AL1155" s="8"/>
      <c r="AM1155" s="8" t="str">
        <f ca="1">IFERROR(__xludf.DUMMYFUNCTION("""COMPUTED_VALUE"""),"No")</f>
        <v>No</v>
      </c>
      <c r="AN1155" s="8"/>
      <c r="AO1155" s="8" t="str">
        <f ca="1">IFERROR(__xludf.DUMMYFUNCTION("""COMPUTED_VALUE"""),"No")</f>
        <v>No</v>
      </c>
      <c r="AP1155" s="8"/>
      <c r="AQ1155" s="8"/>
      <c r="AR1155" s="8" t="str">
        <f ca="1">IFERROR(__xludf.DUMMYFUNCTION("""COMPUTED_VALUE"""),"Outside/Off-Property")</f>
        <v>Outside/Off-Property</v>
      </c>
      <c r="AS1155" s="8"/>
      <c r="AT1155" s="8" t="str">
        <f ca="1">IFERROR(__xludf.DUMMYFUNCTION("""COMPUTED_VALUE"""),"Yes")</f>
        <v>Yes</v>
      </c>
      <c r="AU1155" s="8">
        <f ca="1">IFERROR(__xludf.DUMMYFUNCTION("""COMPUTED_VALUE"""),36.20514)</f>
        <v>36.20514</v>
      </c>
      <c r="AV1155" s="8">
        <f ca="1">IFERROR(__xludf.DUMMYFUNCTION("""COMPUTED_VALUE"""),-115.021018)</f>
        <v>-115.021018</v>
      </c>
      <c r="AW1155" s="8"/>
      <c r="AX1155" s="8">
        <f ca="1">IFERROR(__xludf.DUMMYFUNCTION("""COMPUTED_VALUE"""),89191)</f>
        <v>89191</v>
      </c>
    </row>
    <row r="1156" spans="1:50" ht="225" x14ac:dyDescent="0.2">
      <c r="A1156" s="8" t="str">
        <f ca="1">IFERROR(__xludf.DUMMYFUNCTION("""COMPUTED_VALUE"""),"20220124IDDAD")</f>
        <v>20220124IDDAD</v>
      </c>
      <c r="B1156" s="8">
        <f ca="1">IFERROR(__xludf.DUMMYFUNCTION("""COMPUTED_VALUE"""),1)</f>
        <v>1</v>
      </c>
      <c r="C1156" s="8">
        <f ca="1">IFERROR(__xludf.DUMMYFUNCTION("""COMPUTED_VALUE"""),24)</f>
        <v>24</v>
      </c>
      <c r="D1156" s="8">
        <f ca="1">IFERROR(__xludf.DUMMYFUNCTION("""COMPUTED_VALUE"""),2022)</f>
        <v>2022</v>
      </c>
      <c r="E1156" s="9">
        <f ca="1">IFERROR(__xludf.DUMMYFUNCTION("""COMPUTED_VALUE"""),44585)</f>
        <v>44585</v>
      </c>
      <c r="F1156" s="8" t="str">
        <f ca="1">IFERROR(__xludf.DUMMYFUNCTION("""COMPUTED_VALUE"""),"Dalton Elementary School")</f>
        <v>Dalton Elementary School</v>
      </c>
      <c r="G1156" s="8">
        <f ca="1">IFERROR(__xludf.DUMMYFUNCTION("""COMPUTED_VALUE"""),0)</f>
        <v>0</v>
      </c>
      <c r="H1156" s="8">
        <f ca="1">IFERROR(__xludf.DUMMYFUNCTION("""COMPUTED_VALUE"""),0)</f>
        <v>0</v>
      </c>
      <c r="I1156" s="8">
        <f ca="1">IFERROR(__xludf.DUMMYFUNCTION("""COMPUTED_VALUE"""),0)</f>
        <v>0</v>
      </c>
      <c r="J1156" s="8">
        <f ca="1">IFERROR(__xludf.DUMMYFUNCTION("""COMPUTED_VALUE"""),0)</f>
        <v>0</v>
      </c>
      <c r="K1156" s="10" t="str">
        <f ca="1">IFERROR(__xludf.DUMMYFUNCTION("""COMPUTED_VALUE"""),"https://www.khq.com/news/idaho_news/man-shot-by-police-near-dalton-elementary-was-a-local/article_5794eeb4-7d91-11ec-b3be-6b2af9c3ff78.html
https://www.krem.com/article/news/crime/idaho-man-prison-threatening-shoot-school-police/293-a8d2c7b7-c4b5-4162-a54"&amp;"b-4b50fb03e493")</f>
        <v>https://www.khq.com/news/idaho_news/man-shot-by-police-near-dalton-elementary-was-a-local/article_5794eeb4-7d91-11ec-b3be-6b2af9c3ff78.html
https://www.krem.com/article/news/crime/idaho-man-prison-threatening-shoot-school-police/293-a8d2c7b7-c4b5-4162-a54b-4b50fb03e493</v>
      </c>
      <c r="L1156" s="8">
        <f ca="1">IFERROR(__xludf.DUMMYFUNCTION("""COMPUTED_VALUE"""),20)</f>
        <v>20</v>
      </c>
      <c r="M1156" s="8" t="str">
        <f ca="1">IFERROR(__xludf.DUMMYFUNCTION("""COMPUTED_VALUE"""),"Regional")</f>
        <v>Regional</v>
      </c>
      <c r="N1156" s="8">
        <f ca="1">IFERROR(__xludf.DUMMYFUNCTION("""COMPUTED_VALUE"""),4)</f>
        <v>4</v>
      </c>
      <c r="O1156" s="8" t="str">
        <f ca="1">IFERROR(__xludf.DUMMYFUNCTION("""COMPUTED_VALUE"""),"Winter")</f>
        <v>Winter</v>
      </c>
      <c r="P1156" s="8" t="str">
        <f ca="1">IFERROR(__xludf.DUMMYFUNCTION("""COMPUTED_VALUE"""),"Dalton Gardens")</f>
        <v>Dalton Gardens</v>
      </c>
      <c r="Q1156" s="8" t="str">
        <f ca="1">IFERROR(__xludf.DUMMYFUNCTION("""COMPUTED_VALUE"""),"ID")</f>
        <v>ID</v>
      </c>
      <c r="R1156" s="8" t="str">
        <f ca="1">IFERROR(__xludf.DUMMYFUNCTION("""COMPUTED_VALUE"""),"Elementary")</f>
        <v>Elementary</v>
      </c>
      <c r="S1156" s="8" t="str">
        <f ca="1">IFERROR(__xludf.DUMMYFUNCTION("""COMPUTED_VALUE"""),"Off School Property")</f>
        <v>Off School Property</v>
      </c>
      <c r="T1156" s="8" t="str">
        <f ca="1">IFERROR(__xludf.DUMMYFUNCTION("""COMPUTED_VALUE"""),"Off School Property")</f>
        <v>Off School Property</v>
      </c>
      <c r="U1156" s="8" t="str">
        <f ca="1">IFERROR(__xludf.DUMMYFUNCTION("""COMPUTED_VALUE"""),"Yes")</f>
        <v>Yes</v>
      </c>
      <c r="V1156" s="8" t="str">
        <f ca="1">IFERROR(__xludf.DUMMYFUNCTION("""COMPUTED_VALUE"""),"Afternoon Classes")</f>
        <v>Afternoon Classes</v>
      </c>
      <c r="W1156" s="11">
        <f ca="1">IFERROR(__xludf.DUMMYFUNCTION("""COMPUTED_VALUE"""),0.6875)</f>
        <v>0.6875</v>
      </c>
      <c r="X1156" s="8">
        <f ca="1">IFERROR(__xludf.DUMMYFUNCTION("""COMPUTED_VALUE"""),1)</f>
        <v>1</v>
      </c>
      <c r="Y1156" s="12" t="str">
        <f ca="1">IFERROR(__xludf.DUMMYFUNCTION("""COMPUTED_VALUE"""),"Man with rifle and ammo threatened to fire at school during standoff with police")</f>
        <v>Man with rifle and ammo threatened to fire at school during standoff with police</v>
      </c>
      <c r="Z1156" s="12" t="str">
        <f ca="1">IFERROR(__xludf.DUMMYFUNCTION("""COMPUTED_VALUE"""),"A man has been shot in an officer involved shooting near Dalton Elementary School in Coeur d'Alene. CDA Police say Monday afternoon on Jan. 24, Kootenai County Sheriff's Deputies were sent to a home where an armed man was threatening to kill himself. Whil"&amp;"e deputies were negotiating with him, police helped put the school into lockdown and sent out a reverse 911 call to keep people out of the area. For the next several hours, both deputies and officers say they kept talking with the man, who repeatedly said"&amp;" he was going to kill the officers, and threatened people at the school as well. Around 5:30 p.m., officers say the man pointed an AR-type rifle at them, so both deputies and officers opened fire, shooting him multiple times. Paramedics rushed him to the "&amp;"hospital, but so far police aren't releasing his name or his condition.")</f>
        <v>A man has been shot in an officer involved shooting near Dalton Elementary School in Coeur d'Alene. CDA Police say Monday afternoon on Jan. 24, Kootenai County Sheriff's Deputies were sent to a home where an armed man was threatening to kill himself. While deputies were negotiating with him, police helped put the school into lockdown and sent out a reverse 911 call to keep people out of the area. For the next several hours, both deputies and officers say they kept talking with the man, who repeatedly said he was going to kill the officers, and threatened people at the school as well. Around 5:30 p.m., officers say the man pointed an AR-type rifle at them, so both deputies and officers opened fire, shooting him multiple times. Paramedics rushed him to the hospital, but so far police aren't releasing his name or his condition.</v>
      </c>
      <c r="AA1156" s="8" t="str">
        <f ca="1">IFERROR(__xludf.DUMMYFUNCTION("""COMPUTED_VALUE"""),"Hostage/Standoff")</f>
        <v>Hostage/Standoff</v>
      </c>
      <c r="AB1156" s="8"/>
      <c r="AC1156" s="8" t="str">
        <f ca="1">IFERROR(__xludf.DUMMYFUNCTION("""COMPUTED_VALUE"""),"Yes")</f>
        <v>Yes</v>
      </c>
      <c r="AD1156" s="8" t="str">
        <f ca="1">IFERROR(__xludf.DUMMYFUNCTION("""COMPUTED_VALUE"""),"Random Shooting")</f>
        <v>Random Shooting</v>
      </c>
      <c r="AE1156" s="8" t="str">
        <f ca="1">IFERROR(__xludf.DUMMYFUNCTION("""COMPUTED_VALUE"""),"No")</f>
        <v>No</v>
      </c>
      <c r="AF1156" s="8"/>
      <c r="AG1156" s="8" t="str">
        <f ca="1">IFERROR(__xludf.DUMMYFUNCTION("""COMPUTED_VALUE"""),"No")</f>
        <v>No</v>
      </c>
      <c r="AH1156" s="8" t="str">
        <f ca="1">IFERROR(__xludf.DUMMYFUNCTION("""COMPUTED_VALUE"""),"No")</f>
        <v>No</v>
      </c>
      <c r="AI1156" s="8" t="str">
        <f ca="1">IFERROR(__xludf.DUMMYFUNCTION("""COMPUTED_VALUE"""),"No")</f>
        <v>No</v>
      </c>
      <c r="AJ1156" s="8" t="str">
        <f ca="1">IFERROR(__xludf.DUMMYFUNCTION("""COMPUTED_VALUE"""),"No")</f>
        <v>No</v>
      </c>
      <c r="AK1156" s="8" t="str">
        <f ca="1">IFERROR(__xludf.DUMMYFUNCTION("""COMPUTED_VALUE"""),"No")</f>
        <v>No</v>
      </c>
      <c r="AL1156" s="8"/>
      <c r="AM1156" s="8" t="str">
        <f ca="1">IFERROR(__xludf.DUMMYFUNCTION("""COMPUTED_VALUE"""),"No")</f>
        <v>No</v>
      </c>
      <c r="AN1156" s="8"/>
      <c r="AO1156" s="8" t="str">
        <f ca="1">IFERROR(__xludf.DUMMYFUNCTION("""COMPUTED_VALUE"""),"No")</f>
        <v>No</v>
      </c>
      <c r="AP1156" s="8"/>
      <c r="AQ1156" s="8"/>
      <c r="AR1156" s="8" t="str">
        <f ca="1">IFERROR(__xludf.DUMMYFUNCTION("""COMPUTED_VALUE"""),"Outside/Off-Property")</f>
        <v>Outside/Off-Property</v>
      </c>
      <c r="AS1156" s="8">
        <f ca="1">IFERROR(__xludf.DUMMYFUNCTION("""COMPUTED_VALUE"""),0)</f>
        <v>0</v>
      </c>
      <c r="AT1156" s="8" t="str">
        <f ca="1">IFERROR(__xludf.DUMMYFUNCTION("""COMPUTED_VALUE"""),"Yes")</f>
        <v>Yes</v>
      </c>
      <c r="AU1156" s="8">
        <f ca="1">IFERROR(__xludf.DUMMYFUNCTION("""COMPUTED_VALUE"""),47.728981)</f>
        <v>47.728980999999997</v>
      </c>
      <c r="AV1156" s="8">
        <f ca="1">IFERROR(__xludf.DUMMYFUNCTION("""COMPUTED_VALUE"""),-116.771395)</f>
        <v>-116.771395</v>
      </c>
      <c r="AW1156" s="8"/>
      <c r="AX1156" s="8">
        <f ca="1">IFERROR(__xludf.DUMMYFUNCTION("""COMPUTED_VALUE"""),83835)</f>
        <v>83835</v>
      </c>
    </row>
    <row r="1157" spans="1:50" ht="195" x14ac:dyDescent="0.2">
      <c r="A1157" s="8" t="str">
        <f ca="1">IFERROR(__xludf.DUMMYFUNCTION("""COMPUTED_VALUE"""),"20220121MDMAR")</f>
        <v>20220121MDMAR</v>
      </c>
      <c r="B1157" s="8">
        <f ca="1">IFERROR(__xludf.DUMMYFUNCTION("""COMPUTED_VALUE"""),1)</f>
        <v>1</v>
      </c>
      <c r="C1157" s="8">
        <f ca="1">IFERROR(__xludf.DUMMYFUNCTION("""COMPUTED_VALUE"""),21)</f>
        <v>21</v>
      </c>
      <c r="D1157" s="8">
        <f ca="1">IFERROR(__xludf.DUMMYFUNCTION("""COMPUTED_VALUE"""),2022)</f>
        <v>2022</v>
      </c>
      <c r="E1157" s="9">
        <f ca="1">IFERROR(__xludf.DUMMYFUNCTION("""COMPUTED_VALUE"""),44582)</f>
        <v>44582</v>
      </c>
      <c r="F1157" s="8" t="str">
        <f ca="1">IFERROR(__xludf.DUMMYFUNCTION("""COMPUTED_VALUE"""),"Magruder High School")</f>
        <v>Magruder High School</v>
      </c>
      <c r="G1157" s="8">
        <f ca="1">IFERROR(__xludf.DUMMYFUNCTION("""COMPUTED_VALUE"""),0)</f>
        <v>0</v>
      </c>
      <c r="H1157" s="8">
        <f ca="1">IFERROR(__xludf.DUMMYFUNCTION("""COMPUTED_VALUE"""),1)</f>
        <v>1</v>
      </c>
      <c r="I1157" s="8">
        <f ca="1">IFERROR(__xludf.DUMMYFUNCTION("""COMPUTED_VALUE"""),1)</f>
        <v>1</v>
      </c>
      <c r="J1157" s="8">
        <f ca="1">IFERROR(__xludf.DUMMYFUNCTION("""COMPUTED_VALUE"""),0)</f>
        <v>0</v>
      </c>
      <c r="K1157" s="8" t="str">
        <f ca="1">IFERROR(__xludf.DUMMYFUNCTION("""COMPUTED_VALUE"""),"https://www.montgomeryschoolsmd.org/uploadedFiles/220513%20Col%20Zadok%20Magruder%20HS%20After%20Action%20Report.%20Sent%20to%20MCSS%20KH.pdf https://www.wusa9.com/video/news/crime/police-update-on-magruder-high-school-shooting/65-7d1edfac-9590-484f-a4aa-"&amp;"a3e0da65364c")</f>
        <v>https://www.montgomeryschoolsmd.org/uploadedFiles/220513%20Col%20Zadok%20Magruder%20HS%20After%20Action%20Report.%20Sent%20to%20MCSS%20KH.pdf https://www.wusa9.com/video/news/crime/police-update-on-magruder-high-school-shooting/65-7d1edfac-9590-484f-a4aa-a3e0da65364c</v>
      </c>
      <c r="L1157" s="8">
        <f ca="1">IFERROR(__xludf.DUMMYFUNCTION("""COMPUTED_VALUE"""),100)</f>
        <v>100</v>
      </c>
      <c r="M1157" s="8" t="str">
        <f ca="1">IFERROR(__xludf.DUMMYFUNCTION("""COMPUTED_VALUE"""),"Regional")</f>
        <v>Regional</v>
      </c>
      <c r="N1157" s="8">
        <f ca="1">IFERROR(__xludf.DUMMYFUNCTION("""COMPUTED_VALUE"""),5)</f>
        <v>5</v>
      </c>
      <c r="O1157" s="8" t="str">
        <f ca="1">IFERROR(__xludf.DUMMYFUNCTION("""COMPUTED_VALUE"""),"Fall")</f>
        <v>Fall</v>
      </c>
      <c r="P1157" s="8" t="str">
        <f ca="1">IFERROR(__xludf.DUMMYFUNCTION("""COMPUTED_VALUE"""),"Rockville")</f>
        <v>Rockville</v>
      </c>
      <c r="Q1157" s="8" t="str">
        <f ca="1">IFERROR(__xludf.DUMMYFUNCTION("""COMPUTED_VALUE"""),"MD")</f>
        <v>MD</v>
      </c>
      <c r="R1157" s="8" t="str">
        <f ca="1">IFERROR(__xludf.DUMMYFUNCTION("""COMPUTED_VALUE"""),"High")</f>
        <v>High</v>
      </c>
      <c r="S1157" s="8" t="str">
        <f ca="1">IFERROR(__xludf.DUMMYFUNCTION("""COMPUTED_VALUE"""),"Bathroom")</f>
        <v>Bathroom</v>
      </c>
      <c r="T1157" s="8" t="str">
        <f ca="1">IFERROR(__xludf.DUMMYFUNCTION("""COMPUTED_VALUE"""),"Inside School Building")</f>
        <v>Inside School Building</v>
      </c>
      <c r="U1157" s="8" t="str">
        <f ca="1">IFERROR(__xludf.DUMMYFUNCTION("""COMPUTED_VALUE"""),"Yes")</f>
        <v>Yes</v>
      </c>
      <c r="V1157" s="8" t="str">
        <f ca="1">IFERROR(__xludf.DUMMYFUNCTION("""COMPUTED_VALUE"""),"Afternoon Classes")</f>
        <v>Afternoon Classes</v>
      </c>
      <c r="W1157" s="11">
        <f ca="1">IFERROR(__xludf.DUMMYFUNCTION("""COMPUTED_VALUE"""),0.536805555555555)</f>
        <v>0.53680555555555498</v>
      </c>
      <c r="X1157" s="8">
        <f ca="1">IFERROR(__xludf.DUMMYFUNCTION("""COMPUTED_VALUE"""),1)</f>
        <v>1</v>
      </c>
      <c r="Y1157" s="12" t="str">
        <f ca="1">IFERROR(__xludf.DUMMYFUNCTION("""COMPUTED_VALUE"""),"Student shot in school bathroom, shooter found in school 3 hours later")</f>
        <v>Student shot in school bathroom, shooter found in school 3 hours later</v>
      </c>
      <c r="Z1157" s="12" t="str">
        <f ca="1">IFERROR(__xludf.DUMMYFUNCTION("""COMPUTED_VALUE"""),"A teenage student was shot in the bathroom of the school during class. Shooter and victim had a predetermined meeting in the bathroom about an ongoing dispute. Police officer located the victim, determined the injury was a gunshot injury, and locked down "&amp;"the school. Shooter stayed in the building and was arrested inside the school with a handgun 3 hours after the shooting inside a classroom with other students. Student was transported with serious injuries. School was locked down for 5 hours while police "&amp;"searched the building. Other students witnessed the shooting and posted about it on social media. Gun used was a 9mm ghost gun purchased as a parts kit online and assembled by shooter and his friend.")</f>
        <v>A teenage student was shot in the bathroom of the school during class. Shooter and victim had a predetermined meeting in the bathroom about an ongoing dispute. Police officer located the victim, determined the injury was a gunshot injury, and locked down the school. Shooter stayed in the building and was arrested inside the school with a handgun 3 hours after the shooting inside a classroom with other students. Student was transported with serious injuries. School was locked down for 5 hours while police searched the building. Other students witnessed the shooting and posted about it on social media. Gun used was a 9mm ghost gun purchased as a parts kit online and assembled by shooter and his friend.</v>
      </c>
      <c r="AA1157" s="8" t="str">
        <f ca="1">IFERROR(__xludf.DUMMYFUNCTION("""COMPUTED_VALUE"""),"Escalation of Dispute")</f>
        <v>Escalation of Dispute</v>
      </c>
      <c r="AB1157" s="8"/>
      <c r="AC1157" s="8" t="str">
        <f ca="1">IFERROR(__xludf.DUMMYFUNCTION("""COMPUTED_VALUE"""),"Yes")</f>
        <v>Yes</v>
      </c>
      <c r="AD1157" s="8" t="str">
        <f ca="1">IFERROR(__xludf.DUMMYFUNCTION("""COMPUTED_VALUE"""),"Victims Targeted")</f>
        <v>Victims Targeted</v>
      </c>
      <c r="AE1157" s="8" t="str">
        <f ca="1">IFERROR(__xludf.DUMMYFUNCTION("""COMPUTED_VALUE"""),"No")</f>
        <v>No</v>
      </c>
      <c r="AF1157" s="8"/>
      <c r="AG1157" s="8" t="str">
        <f ca="1">IFERROR(__xludf.DUMMYFUNCTION("""COMPUTED_VALUE"""),"No")</f>
        <v>No</v>
      </c>
      <c r="AH1157" s="8" t="str">
        <f ca="1">IFERROR(__xludf.DUMMYFUNCTION("""COMPUTED_VALUE"""),"No")</f>
        <v>No</v>
      </c>
      <c r="AI1157" s="8" t="str">
        <f ca="1">IFERROR(__xludf.DUMMYFUNCTION("""COMPUTED_VALUE"""),"No")</f>
        <v>No</v>
      </c>
      <c r="AJ1157" s="8" t="str">
        <f ca="1">IFERROR(__xludf.DUMMYFUNCTION("""COMPUTED_VALUE"""),"No")</f>
        <v>No</v>
      </c>
      <c r="AK1157" s="8" t="str">
        <f ca="1">IFERROR(__xludf.DUMMYFUNCTION("""COMPUTED_VALUE"""),"No")</f>
        <v>No</v>
      </c>
      <c r="AL1157" s="8"/>
      <c r="AM1157" s="8" t="str">
        <f ca="1">IFERROR(__xludf.DUMMYFUNCTION("""COMPUTED_VALUE"""),"No")</f>
        <v>No</v>
      </c>
      <c r="AN1157" s="8"/>
      <c r="AO1157" s="8" t="str">
        <f ca="1">IFERROR(__xludf.DUMMYFUNCTION("""COMPUTED_VALUE"""),"No")</f>
        <v>No</v>
      </c>
      <c r="AP1157" s="8" t="str">
        <f ca="1">IFERROR(__xludf.DUMMYFUNCTION("""COMPUTED_VALUE"""),"No")</f>
        <v>No</v>
      </c>
      <c r="AQ1157" s="8"/>
      <c r="AR1157" s="8"/>
      <c r="AS1157" s="8">
        <f ca="1">IFERROR(__xludf.DUMMYFUNCTION("""COMPUTED_VALUE"""),1)</f>
        <v>1</v>
      </c>
      <c r="AT1157" s="8" t="str">
        <f ca="1">IFERROR(__xludf.DUMMYFUNCTION("""COMPUTED_VALUE"""),"Yes")</f>
        <v>Yes</v>
      </c>
      <c r="AU1157" s="8">
        <f ca="1">IFERROR(__xludf.DUMMYFUNCTION("""COMPUTED_VALUE"""),39.131206)</f>
        <v>39.131205999999999</v>
      </c>
      <c r="AV1157" s="8">
        <f ca="1">IFERROR(__xludf.DUMMYFUNCTION("""COMPUTED_VALUE"""),-77.11918)</f>
        <v>-77.11918</v>
      </c>
      <c r="AW1157" s="8"/>
      <c r="AX1157" s="8">
        <f ca="1">IFERROR(__xludf.DUMMYFUNCTION("""COMPUTED_VALUE"""),20855)</f>
        <v>20855</v>
      </c>
    </row>
    <row r="1158" spans="1:50" ht="60" x14ac:dyDescent="0.2">
      <c r="A1158" s="8" t="str">
        <f ca="1">IFERROR(__xludf.DUMMYFUNCTION("""COMPUTED_VALUE"""),"20220121GAMCA")</f>
        <v>20220121GAMCA</v>
      </c>
      <c r="B1158" s="8">
        <f ca="1">IFERROR(__xludf.DUMMYFUNCTION("""COMPUTED_VALUE"""),1)</f>
        <v>1</v>
      </c>
      <c r="C1158" s="8">
        <f ca="1">IFERROR(__xludf.DUMMYFUNCTION("""COMPUTED_VALUE"""),21)</f>
        <v>21</v>
      </c>
      <c r="D1158" s="8">
        <f ca="1">IFERROR(__xludf.DUMMYFUNCTION("""COMPUTED_VALUE"""),2022)</f>
        <v>2022</v>
      </c>
      <c r="E1158" s="9">
        <f ca="1">IFERROR(__xludf.DUMMYFUNCTION("""COMPUTED_VALUE"""),44582)</f>
        <v>44582</v>
      </c>
      <c r="F1158" s="8" t="str">
        <f ca="1">IFERROR(__xludf.DUMMYFUNCTION("""COMPUTED_VALUE"""),"McNair High School")</f>
        <v>McNair High School</v>
      </c>
      <c r="G1158" s="8">
        <f ca="1">IFERROR(__xludf.DUMMYFUNCTION("""COMPUTED_VALUE"""),0)</f>
        <v>0</v>
      </c>
      <c r="H1158" s="8">
        <f ca="1">IFERROR(__xludf.DUMMYFUNCTION("""COMPUTED_VALUE"""),0)</f>
        <v>0</v>
      </c>
      <c r="I1158" s="8">
        <f ca="1">IFERROR(__xludf.DUMMYFUNCTION("""COMPUTED_VALUE"""),0)</f>
        <v>0</v>
      </c>
      <c r="J1158" s="8">
        <f ca="1">IFERROR(__xludf.DUMMYFUNCTION("""COMPUTED_VALUE"""),0)</f>
        <v>0</v>
      </c>
      <c r="K1158" s="8" t="str">
        <f ca="1">IFERROR(__xludf.DUMMYFUNCTION("""COMPUTED_VALUE"""),"https://www.ajc.com/news/19-year-old-arrested-in-shooting-near-mcnair-high-in-dekalb/3BGA2BTGDVELBCMPAGZZGHRT3Y/ https://www.ajc.com/neighborhoods/dekalb/no-students-injured-in-shooting-near-mcnair-high-during-school-hours/ULTVPGCRYJHEVCR6MY5RGGVA2M/ http"&amp;"s://www.wsbtv.com/video/local-video/police-investigate-shooting-near-main-exit-mcnair-high-school/cb5ef6de-e0fb-4c72-b0a0-b1f6b0dd4cce/ https://www.wsbtv.com/news/local/dekalb-county/police-investigate-shooting-near-main-exit-mcnair-high-school/CRTQ2VPNSR"&amp;"FP5G4NNEGRZ7W6SY/")</f>
        <v>https://www.ajc.com/news/19-year-old-arrested-in-shooting-near-mcnair-high-in-dekalb/3BGA2BTGDVELBCMPAGZZGHRT3Y/ https://www.ajc.com/neighborhoods/dekalb/no-students-injured-in-shooting-near-mcnair-high-during-school-hours/ULTVPGCRYJHEVCR6MY5RGGVA2M/ https://www.wsbtv.com/video/local-video/police-investigate-shooting-near-main-exit-mcnair-high-school/cb5ef6de-e0fb-4c72-b0a0-b1f6b0dd4cce/ https://www.wsbtv.com/news/local/dekalb-county/police-investigate-shooting-near-main-exit-mcnair-high-school/CRTQ2VPNSRFP5G4NNEGRZ7W6SY/</v>
      </c>
      <c r="L1158" s="8">
        <f ca="1">IFERROR(__xludf.DUMMYFUNCTION("""COMPUTED_VALUE"""),3)</f>
        <v>3</v>
      </c>
      <c r="M1158" s="8" t="str">
        <f ca="1">IFERROR(__xludf.DUMMYFUNCTION("""COMPUTED_VALUE"""),"Local")</f>
        <v>Local</v>
      </c>
      <c r="N1158" s="8">
        <f ca="1">IFERROR(__xludf.DUMMYFUNCTION("""COMPUTED_VALUE"""),4)</f>
        <v>4</v>
      </c>
      <c r="O1158" s="8" t="str">
        <f ca="1">IFERROR(__xludf.DUMMYFUNCTION("""COMPUTED_VALUE"""),"Fall")</f>
        <v>Fall</v>
      </c>
      <c r="P1158" s="8" t="str">
        <f ca="1">IFERROR(__xludf.DUMMYFUNCTION("""COMPUTED_VALUE"""),"Atlanta")</f>
        <v>Atlanta</v>
      </c>
      <c r="Q1158" s="8" t="str">
        <f ca="1">IFERROR(__xludf.DUMMYFUNCTION("""COMPUTED_VALUE"""),"GA")</f>
        <v>GA</v>
      </c>
      <c r="R1158" s="8" t="str">
        <f ca="1">IFERROR(__xludf.DUMMYFUNCTION("""COMPUTED_VALUE"""),"High")</f>
        <v>High</v>
      </c>
      <c r="S1158" s="8" t="str">
        <f ca="1">IFERROR(__xludf.DUMMYFUNCTION("""COMPUTED_VALUE"""),"Parking Lot")</f>
        <v>Parking Lot</v>
      </c>
      <c r="T1158" s="8" t="str">
        <f ca="1">IFERROR(__xludf.DUMMYFUNCTION("""COMPUTED_VALUE"""),"Outside on School Property")</f>
        <v>Outside on School Property</v>
      </c>
      <c r="U1158" s="8" t="str">
        <f ca="1">IFERROR(__xludf.DUMMYFUNCTION("""COMPUTED_VALUE"""),"Yes")</f>
        <v>Yes</v>
      </c>
      <c r="V1158" s="8" t="str">
        <f ca="1">IFERROR(__xludf.DUMMYFUNCTION("""COMPUTED_VALUE"""),"Afternoon Classes")</f>
        <v>Afternoon Classes</v>
      </c>
      <c r="W1158" s="11">
        <f ca="1">IFERROR(__xludf.DUMMYFUNCTION("""COMPUTED_VALUE"""),0.604166666666666)</f>
        <v>0.60416666666666596</v>
      </c>
      <c r="X1158" s="8">
        <f ca="1">IFERROR(__xludf.DUMMYFUNCTION("""COMPUTED_VALUE"""),1)</f>
        <v>1</v>
      </c>
      <c r="Y1158" s="12" t="str">
        <f ca="1">IFERROR(__xludf.DUMMYFUNCTION("""COMPUTED_VALUE"""),"Shots fired in school parking lot prior to dismissal")</f>
        <v>Shots fired in school parking lot prior to dismissal</v>
      </c>
      <c r="Z1158" s="12" t="str">
        <f ca="1">IFERROR(__xludf.DUMMYFUNCTION("""COMPUTED_VALUE"""),"Multiple shots were fired in the school parking lot prior to dismissal. No students or staff were injured. Shooter fled. School went on lockdown. 19-year-old student arrested the following week and charged with multiple felonies.")</f>
        <v>Multiple shots were fired in the school parking lot prior to dismissal. No students or staff were injured. Shooter fled. School went on lockdown. 19-year-old student arrested the following week and charged with multiple felonies.</v>
      </c>
      <c r="AA1158" s="8" t="str">
        <f ca="1">IFERROR(__xludf.DUMMYFUNCTION("""COMPUTED_VALUE"""),"Drive-by Shooting")</f>
        <v>Drive-by Shooting</v>
      </c>
      <c r="AB1158" s="8"/>
      <c r="AC1158" s="8" t="str">
        <f ca="1">IFERROR(__xludf.DUMMYFUNCTION("""COMPUTED_VALUE"""),"Yes")</f>
        <v>Yes</v>
      </c>
      <c r="AD1158" s="8"/>
      <c r="AE1158" s="8" t="str">
        <f ca="1">IFERROR(__xludf.DUMMYFUNCTION("""COMPUTED_VALUE"""),"No")</f>
        <v>No</v>
      </c>
      <c r="AF1158" s="8"/>
      <c r="AG1158" s="8" t="str">
        <f ca="1">IFERROR(__xludf.DUMMYFUNCTION("""COMPUTED_VALUE"""),"No")</f>
        <v>No</v>
      </c>
      <c r="AH1158" s="8" t="str">
        <f ca="1">IFERROR(__xludf.DUMMYFUNCTION("""COMPUTED_VALUE"""),"No")</f>
        <v>No</v>
      </c>
      <c r="AI1158" s="8" t="str">
        <f ca="1">IFERROR(__xludf.DUMMYFUNCTION("""COMPUTED_VALUE"""),"No")</f>
        <v>No</v>
      </c>
      <c r="AJ1158" s="8" t="str">
        <f ca="1">IFERROR(__xludf.DUMMYFUNCTION("""COMPUTED_VALUE"""),"No")</f>
        <v>No</v>
      </c>
      <c r="AK1158" s="8" t="str">
        <f ca="1">IFERROR(__xludf.DUMMYFUNCTION("""COMPUTED_VALUE"""),"No")</f>
        <v>No</v>
      </c>
      <c r="AL1158" s="8"/>
      <c r="AM1158" s="8" t="str">
        <f ca="1">IFERROR(__xludf.DUMMYFUNCTION("""COMPUTED_VALUE"""),"No")</f>
        <v>No</v>
      </c>
      <c r="AN1158" s="8"/>
      <c r="AO1158" s="8" t="str">
        <f ca="1">IFERROR(__xludf.DUMMYFUNCTION("""COMPUTED_VALUE"""),"No")</f>
        <v>No</v>
      </c>
      <c r="AP1158" s="8"/>
      <c r="AQ1158" s="8"/>
      <c r="AR1158" s="8" t="str">
        <f ca="1">IFERROR(__xludf.DUMMYFUNCTION("""COMPUTED_VALUE"""),"Outside/Off-Property")</f>
        <v>Outside/Off-Property</v>
      </c>
      <c r="AS1158" s="8">
        <f ca="1">IFERROR(__xludf.DUMMYFUNCTION("""COMPUTED_VALUE"""),99)</f>
        <v>99</v>
      </c>
      <c r="AT1158" s="8" t="str">
        <f ca="1">IFERROR(__xludf.DUMMYFUNCTION("""COMPUTED_VALUE"""),"Yes")</f>
        <v>Yes</v>
      </c>
      <c r="AU1158" s="8">
        <f ca="1">IFERROR(__xludf.DUMMYFUNCTION("""COMPUTED_VALUE"""),33.704275)</f>
        <v>33.704275000000003</v>
      </c>
      <c r="AV1158" s="8">
        <f ca="1">IFERROR(__xludf.DUMMYFUNCTION("""COMPUTED_VALUE"""),-84.32625)</f>
        <v>-84.326250000000002</v>
      </c>
      <c r="AW1158" s="8"/>
      <c r="AX1158" s="8">
        <f ca="1">IFERROR(__xludf.DUMMYFUNCTION("""COMPUTED_VALUE"""),30316)</f>
        <v>30316</v>
      </c>
    </row>
    <row r="1159" spans="1:50" ht="45" x14ac:dyDescent="0.2">
      <c r="A1159" s="8" t="str">
        <f ca="1">IFERROR(__xludf.DUMMYFUNCTION("""COMPUTED_VALUE"""),"20220119VAMAP")</f>
        <v>20220119VAMAP</v>
      </c>
      <c r="B1159" s="8">
        <f ca="1">IFERROR(__xludf.DUMMYFUNCTION("""COMPUTED_VALUE"""),1)</f>
        <v>1</v>
      </c>
      <c r="C1159" s="8">
        <f ca="1">IFERROR(__xludf.DUMMYFUNCTION("""COMPUTED_VALUE"""),19)</f>
        <v>19</v>
      </c>
      <c r="D1159" s="8">
        <f ca="1">IFERROR(__xludf.DUMMYFUNCTION("""COMPUTED_VALUE"""),2022)</f>
        <v>2022</v>
      </c>
      <c r="E1159" s="9">
        <f ca="1">IFERROR(__xludf.DUMMYFUNCTION("""COMPUTED_VALUE"""),44580)</f>
        <v>44580</v>
      </c>
      <c r="F1159" s="8" t="str">
        <f ca="1">IFERROR(__xludf.DUMMYFUNCTION("""COMPUTED_VALUE"""),"Manor High School")</f>
        <v>Manor High School</v>
      </c>
      <c r="G1159" s="8">
        <f ca="1">IFERROR(__xludf.DUMMYFUNCTION("""COMPUTED_VALUE"""),1)</f>
        <v>1</v>
      </c>
      <c r="H1159" s="8">
        <f ca="1">IFERROR(__xludf.DUMMYFUNCTION("""COMPUTED_VALUE"""),0)</f>
        <v>0</v>
      </c>
      <c r="I1159" s="8">
        <f ca="1">IFERROR(__xludf.DUMMYFUNCTION("""COMPUTED_VALUE"""),1)</f>
        <v>1</v>
      </c>
      <c r="J1159" s="8">
        <f ca="1">IFERROR(__xludf.DUMMYFUNCTION("""COMPUTED_VALUE"""),0)</f>
        <v>0</v>
      </c>
      <c r="K1159" s="10" t="str">
        <f ca="1">IFERROR(__xludf.DUMMYFUNCTION("""COMPUTED_VALUE"""),"https://www.wtkr.com/news/juvenile-victim-left-with-life-threatening-injuries-after-shooting-near-manor-high-school-in-portsmouth https://www.wavy.com/news/local-news/portsmouth/portsmouth-police-investigate-walk-in-gunshot-victim/
https://www.wavy.com/ne"&amp;"ws/local-news/portsmouth/police-3-charged-in-portsmouth-teens-murder-known-to-manor-high-school-staff/")</f>
        <v>https://www.wtkr.com/news/juvenile-victim-left-with-life-threatening-injuries-after-shooting-near-manor-high-school-in-portsmouth https://www.wavy.com/news/local-news/portsmouth/portsmouth-police-investigate-walk-in-gunshot-victim/
https://www.wavy.com/news/local-news/portsmouth/police-3-charged-in-portsmouth-teens-murder-known-to-manor-high-school-staff/</v>
      </c>
      <c r="L1159" s="8">
        <f ca="1">IFERROR(__xludf.DUMMYFUNCTION("""COMPUTED_VALUE"""),2)</f>
        <v>2</v>
      </c>
      <c r="M1159" s="8" t="str">
        <f ca="1">IFERROR(__xludf.DUMMYFUNCTION("""COMPUTED_VALUE"""),"Local")</f>
        <v>Local</v>
      </c>
      <c r="N1159" s="8">
        <f ca="1">IFERROR(__xludf.DUMMYFUNCTION("""COMPUTED_VALUE"""),3)</f>
        <v>3</v>
      </c>
      <c r="O1159" s="8" t="str">
        <f ca="1">IFERROR(__xludf.DUMMYFUNCTION("""COMPUTED_VALUE"""),"Winter")</f>
        <v>Winter</v>
      </c>
      <c r="P1159" s="8" t="str">
        <f ca="1">IFERROR(__xludf.DUMMYFUNCTION("""COMPUTED_VALUE"""),"Portsmouth")</f>
        <v>Portsmouth</v>
      </c>
      <c r="Q1159" s="8" t="str">
        <f ca="1">IFERROR(__xludf.DUMMYFUNCTION("""COMPUTED_VALUE"""),"VA")</f>
        <v>VA</v>
      </c>
      <c r="R1159" s="8" t="str">
        <f ca="1">IFERROR(__xludf.DUMMYFUNCTION("""COMPUTED_VALUE"""),"High")</f>
        <v>High</v>
      </c>
      <c r="S1159" s="8" t="str">
        <f ca="1">IFERROR(__xludf.DUMMYFUNCTION("""COMPUTED_VALUE"""),"Parking Lot")</f>
        <v>Parking Lot</v>
      </c>
      <c r="T1159" s="8" t="str">
        <f ca="1">IFERROR(__xludf.DUMMYFUNCTION("""COMPUTED_VALUE"""),"Outside on School Property")</f>
        <v>Outside on School Property</v>
      </c>
      <c r="U1159" s="8" t="str">
        <f ca="1">IFERROR(__xludf.DUMMYFUNCTION("""COMPUTED_VALUE"""),"Yes")</f>
        <v>Yes</v>
      </c>
      <c r="V1159" s="8" t="str">
        <f ca="1">IFERROR(__xludf.DUMMYFUNCTION("""COMPUTED_VALUE"""),"Dismissal")</f>
        <v>Dismissal</v>
      </c>
      <c r="W1159" s="11">
        <f ca="1">IFERROR(__xludf.DUMMYFUNCTION("""COMPUTED_VALUE"""),0.625)</f>
        <v>0.625</v>
      </c>
      <c r="X1159" s="8">
        <f ca="1">IFERROR(__xludf.DUMMYFUNCTION("""COMPUTED_VALUE"""),1)</f>
        <v>1</v>
      </c>
      <c r="Y1159" s="12" t="str">
        <f ca="1">IFERROR(__xludf.DUMMYFUNCTION("""COMPUTED_VALUE"""),"Student fatally shot behind school after dismissal")</f>
        <v>Student fatally shot behind school after dismissal</v>
      </c>
      <c r="Z1159" s="12" t="str">
        <f ca="1">IFERROR(__xludf.DUMMYFUNCTION("""COMPUTED_VALUE"""),"A student was fatally shot near the school bus parking lot behind the school at 3:00pm after dismissal. Three teens were arrested (19, 18, and juvenile).")</f>
        <v>A student was fatally shot near the school bus parking lot behind the school at 3:00pm after dismissal. Three teens were arrested (19, 18, and juvenile).</v>
      </c>
      <c r="AA1159" s="8"/>
      <c r="AB1159" s="8"/>
      <c r="AC1159" s="8" t="str">
        <f ca="1">IFERROR(__xludf.DUMMYFUNCTION("""COMPUTED_VALUE"""),"Yes")</f>
        <v>Yes</v>
      </c>
      <c r="AD1159" s="8" t="str">
        <f ca="1">IFERROR(__xludf.DUMMYFUNCTION("""COMPUTED_VALUE"""),"Victims Targeted")</f>
        <v>Victims Targeted</v>
      </c>
      <c r="AE1159" s="8" t="str">
        <f ca="1">IFERROR(__xludf.DUMMYFUNCTION("""COMPUTED_VALUE"""),"Yes")</f>
        <v>Yes</v>
      </c>
      <c r="AF1159" s="8" t="str">
        <f ca="1">IFERROR(__xludf.DUMMYFUNCTION("""COMPUTED_VALUE"""),"3 teens, conspiracy to commit murder")</f>
        <v>3 teens, conspiracy to commit murder</v>
      </c>
      <c r="AG1159" s="8" t="str">
        <f ca="1">IFERROR(__xludf.DUMMYFUNCTION("""COMPUTED_VALUE"""),"No")</f>
        <v>No</v>
      </c>
      <c r="AH1159" s="8" t="str">
        <f ca="1">IFERROR(__xludf.DUMMYFUNCTION("""COMPUTED_VALUE"""),"No")</f>
        <v>No</v>
      </c>
      <c r="AI1159" s="8" t="str">
        <f ca="1">IFERROR(__xludf.DUMMYFUNCTION("""COMPUTED_VALUE"""),"No")</f>
        <v>No</v>
      </c>
      <c r="AJ1159" s="8" t="str">
        <f ca="1">IFERROR(__xludf.DUMMYFUNCTION("""COMPUTED_VALUE"""),"No")</f>
        <v>No</v>
      </c>
      <c r="AK1159" s="8" t="str">
        <f ca="1">IFERROR(__xludf.DUMMYFUNCTION("""COMPUTED_VALUE"""),"No")</f>
        <v>No</v>
      </c>
      <c r="AL1159" s="8"/>
      <c r="AM1159" s="8" t="str">
        <f ca="1">IFERROR(__xludf.DUMMYFUNCTION("""COMPUTED_VALUE"""),"No")</f>
        <v>No</v>
      </c>
      <c r="AN1159" s="8"/>
      <c r="AO1159" s="8" t="str">
        <f ca="1">IFERROR(__xludf.DUMMYFUNCTION("""COMPUTED_VALUE"""),"No")</f>
        <v>No</v>
      </c>
      <c r="AP1159" s="8"/>
      <c r="AQ1159" s="8"/>
      <c r="AR1159" s="8"/>
      <c r="AS1159" s="8"/>
      <c r="AT1159" s="8"/>
      <c r="AU1159" s="8">
        <f ca="1">IFERROR(__xludf.DUMMYFUNCTION("""COMPUTED_VALUE"""),36.815165)</f>
        <v>36.815165</v>
      </c>
      <c r="AV1159" s="8">
        <f ca="1">IFERROR(__xludf.DUMMYFUNCTION("""COMPUTED_VALUE"""),-76.379997)</f>
        <v>-76.379997000000003</v>
      </c>
      <c r="AW1159" s="8"/>
      <c r="AX1159" s="8">
        <f ca="1">IFERROR(__xludf.DUMMYFUNCTION("""COMPUTED_VALUE"""),23701)</f>
        <v>23701</v>
      </c>
    </row>
    <row r="1160" spans="1:50" ht="120" x14ac:dyDescent="0.2">
      <c r="A1160" s="8" t="str">
        <f ca="1">IFERROR(__xludf.DUMMYFUNCTION("""COMPUTED_VALUE"""),"20220119PAPIP")</f>
        <v>20220119PAPIP</v>
      </c>
      <c r="B1160" s="8">
        <f ca="1">IFERROR(__xludf.DUMMYFUNCTION("""COMPUTED_VALUE"""),1)</f>
        <v>1</v>
      </c>
      <c r="C1160" s="8">
        <f ca="1">IFERROR(__xludf.DUMMYFUNCTION("""COMPUTED_VALUE"""),19)</f>
        <v>19</v>
      </c>
      <c r="D1160" s="8">
        <f ca="1">IFERROR(__xludf.DUMMYFUNCTION("""COMPUTED_VALUE"""),2022)</f>
        <v>2022</v>
      </c>
      <c r="E1160" s="9">
        <f ca="1">IFERROR(__xludf.DUMMYFUNCTION("""COMPUTED_VALUE"""),44580)</f>
        <v>44580</v>
      </c>
      <c r="F1160" s="8" t="str">
        <f ca="1">IFERROR(__xludf.DUMMYFUNCTION("""COMPUTED_VALUE"""),"Pittsburgh Oliver Citywide Academy")</f>
        <v>Pittsburgh Oliver Citywide Academy</v>
      </c>
      <c r="G1160" s="8">
        <f ca="1">IFERROR(__xludf.DUMMYFUNCTION("""COMPUTED_VALUE"""),1)</f>
        <v>1</v>
      </c>
      <c r="H1160" s="8">
        <f ca="1">IFERROR(__xludf.DUMMYFUNCTION("""COMPUTED_VALUE"""),0)</f>
        <v>0</v>
      </c>
      <c r="I1160" s="8">
        <f ca="1">IFERROR(__xludf.DUMMYFUNCTION("""COMPUTED_VALUE"""),1)</f>
        <v>1</v>
      </c>
      <c r="J1160" s="8">
        <f ca="1">IFERROR(__xludf.DUMMYFUNCTION("""COMPUTED_VALUE"""),0)</f>
        <v>0</v>
      </c>
      <c r="K1160" s="10" t="str">
        <f ca="1">IFERROR(__xludf.DUMMYFUNCTION("""COMPUTED_VALUE"""),"https://www.post-gazette.com/opinion/tony-norman/2022/01/20/Marquis-Campbell-Oliver-Citywide-Academy-shooting-nameless-killers-community-response/stories/202201210006 https://www.wpxi.com/news/local/massive-police-presence-after-shooting-outside-oliver-ci"&amp;"tywide-academy/TD4KVWG6UVF7HNBULBJND47VLE/ https://pittsburgh.cbslocal.com/2022/01/20/student-killed-shooting-oliver-citywide-academy/ https://www.wtae.com/article/pittsburgh-shooting-outside-oliver-citywide-academy/38818955#
https://www.wtae.com/article/"&amp;"pittsburgh-shooting-oliver-citywide-academy-student/43667811#")</f>
        <v>https://www.post-gazette.com/opinion/tony-norman/2022/01/20/Marquis-Campbell-Oliver-Citywide-Academy-shooting-nameless-killers-community-response/stories/202201210006 https://www.wpxi.com/news/local/massive-police-presence-after-shooting-outside-oliver-citywide-academy/TD4KVWG6UVF7HNBULBJND47VLE/ https://pittsburgh.cbslocal.com/2022/01/20/student-killed-shooting-oliver-citywide-academy/ https://www.wtae.com/article/pittsburgh-shooting-outside-oliver-citywide-academy/38818955#
https://www.wtae.com/article/pittsburgh-shooting-oliver-citywide-academy-student/43667811#</v>
      </c>
      <c r="L1160" s="8">
        <f ca="1">IFERROR(__xludf.DUMMYFUNCTION("""COMPUTED_VALUE"""),10)</f>
        <v>10</v>
      </c>
      <c r="M1160" s="8" t="str">
        <f ca="1">IFERROR(__xludf.DUMMYFUNCTION("""COMPUTED_VALUE"""),"Regional")</f>
        <v>Regional</v>
      </c>
      <c r="N1160" s="8">
        <f ca="1">IFERROR(__xludf.DUMMYFUNCTION("""COMPUTED_VALUE"""),4)</f>
        <v>4</v>
      </c>
      <c r="O1160" s="8" t="str">
        <f ca="1">IFERROR(__xludf.DUMMYFUNCTION("""COMPUTED_VALUE"""),"Winter")</f>
        <v>Winter</v>
      </c>
      <c r="P1160" s="8" t="str">
        <f ca="1">IFERROR(__xludf.DUMMYFUNCTION("""COMPUTED_VALUE"""),"Pittsburgh")</f>
        <v>Pittsburgh</v>
      </c>
      <c r="Q1160" s="8" t="str">
        <f ca="1">IFERROR(__xludf.DUMMYFUNCTION("""COMPUTED_VALUE"""),"PA")</f>
        <v>PA</v>
      </c>
      <c r="R1160" s="8" t="str">
        <f ca="1">IFERROR(__xludf.DUMMYFUNCTION("""COMPUTED_VALUE"""),"K-12")</f>
        <v>K-12</v>
      </c>
      <c r="S1160" s="8" t="str">
        <f ca="1">IFERROR(__xludf.DUMMYFUNCTION("""COMPUTED_VALUE"""),"Front of School")</f>
        <v>Front of School</v>
      </c>
      <c r="T1160" s="8" t="str">
        <f ca="1">IFERROR(__xludf.DUMMYFUNCTION("""COMPUTED_VALUE"""),"Outside on School Property")</f>
        <v>Outside on School Property</v>
      </c>
      <c r="U1160" s="8" t="str">
        <f ca="1">IFERROR(__xludf.DUMMYFUNCTION("""COMPUTED_VALUE"""),"Yes")</f>
        <v>Yes</v>
      </c>
      <c r="V1160" s="8" t="str">
        <f ca="1">IFERROR(__xludf.DUMMYFUNCTION("""COMPUTED_VALUE"""),"Dismissal")</f>
        <v>Dismissal</v>
      </c>
      <c r="W1160" s="11">
        <f ca="1">IFERROR(__xludf.DUMMYFUNCTION("""COMPUTED_VALUE"""),0.583333333333333)</f>
        <v>0.58333333333333304</v>
      </c>
      <c r="X1160" s="8">
        <f ca="1">IFERROR(__xludf.DUMMYFUNCTION("""COMPUTED_VALUE"""),1)</f>
        <v>1</v>
      </c>
      <c r="Y1160" s="12" t="str">
        <f ca="1">IFERROR(__xludf.DUMMYFUNCTION("""COMPUTED_VALUE"""),"Special education student sitting in school van at dismissal shot by 2 gunmen")</f>
        <v>Special education student sitting in school van at dismissal shot by 2 gunmen</v>
      </c>
      <c r="Z1160" s="12" t="str">
        <f ca="1">IFERROR(__xludf.DUMMYFUNCTION("""COMPUTED_VALUE"""),"A 15-year-old special education student was sitting inside a school van at dismissal when he was fatally shot by 2 gunmen. Shooters fled. Students dismissing went back into school and locked down for 2 hours. No suspects identified. Police describe shooti"&amp;"ng at ""senseless"". Two brothers arrested on April 21, 2023. Brothers had 3 prior fights with the victim after a relative had been killed in their neighborhood.")</f>
        <v>A 15-year-old special education student was sitting inside a school van at dismissal when he was fatally shot by 2 gunmen. Shooters fled. Students dismissing went back into school and locked down for 2 hours. No suspects identified. Police describe shooting at "senseless". Two brothers arrested on April 21, 2023. Brothers had 3 prior fights with the victim after a relative had been killed in their neighborhood.</v>
      </c>
      <c r="AA1160" s="8" t="str">
        <f ca="1">IFERROR(__xludf.DUMMYFUNCTION("""COMPUTED_VALUE"""),"Escalation of Dispute")</f>
        <v>Escalation of Dispute</v>
      </c>
      <c r="AB1160" s="8"/>
      <c r="AC1160" s="8" t="str">
        <f ca="1">IFERROR(__xludf.DUMMYFUNCTION("""COMPUTED_VALUE"""),"Yes")</f>
        <v>Yes</v>
      </c>
      <c r="AD1160" s="8" t="str">
        <f ca="1">IFERROR(__xludf.DUMMYFUNCTION("""COMPUTED_VALUE"""),"Victims Targeted")</f>
        <v>Victims Targeted</v>
      </c>
      <c r="AE1160" s="8" t="str">
        <f ca="1">IFERROR(__xludf.DUMMYFUNCTION("""COMPUTED_VALUE"""),"Yes")</f>
        <v>Yes</v>
      </c>
      <c r="AF1160" s="8" t="str">
        <f ca="1">IFERROR(__xludf.DUMMYFUNCTION("""COMPUTED_VALUE"""),"2 gunmen")</f>
        <v>2 gunmen</v>
      </c>
      <c r="AG1160" s="8" t="str">
        <f ca="1">IFERROR(__xludf.DUMMYFUNCTION("""COMPUTED_VALUE"""),"No")</f>
        <v>No</v>
      </c>
      <c r="AH1160" s="8" t="str">
        <f ca="1">IFERROR(__xludf.DUMMYFUNCTION("""COMPUTED_VALUE"""),"No")</f>
        <v>No</v>
      </c>
      <c r="AI1160" s="8" t="str">
        <f ca="1">IFERROR(__xludf.DUMMYFUNCTION("""COMPUTED_VALUE"""),"No")</f>
        <v>No</v>
      </c>
      <c r="AJ1160" s="8" t="str">
        <f ca="1">IFERROR(__xludf.DUMMYFUNCTION("""COMPUTED_VALUE"""),"No")</f>
        <v>No</v>
      </c>
      <c r="AK1160" s="8" t="str">
        <f ca="1">IFERROR(__xludf.DUMMYFUNCTION("""COMPUTED_VALUE"""),"No")</f>
        <v>No</v>
      </c>
      <c r="AL1160" s="8"/>
      <c r="AM1160" s="8" t="str">
        <f ca="1">IFERROR(__xludf.DUMMYFUNCTION("""COMPUTED_VALUE"""),"No")</f>
        <v>No</v>
      </c>
      <c r="AN1160" s="8"/>
      <c r="AO1160" s="8"/>
      <c r="AP1160" s="8"/>
      <c r="AQ1160" s="8"/>
      <c r="AR1160" s="8" t="str">
        <f ca="1">IFERROR(__xludf.DUMMYFUNCTION("""COMPUTED_VALUE"""),"Outside/Off-Property")</f>
        <v>Outside/Off-Property</v>
      </c>
      <c r="AS1160" s="8"/>
      <c r="AT1160" s="8" t="str">
        <f ca="1">IFERROR(__xludf.DUMMYFUNCTION("""COMPUTED_VALUE"""),"Yes")</f>
        <v>Yes</v>
      </c>
      <c r="AU1160" s="8">
        <f ca="1">IFERROR(__xludf.DUMMYFUNCTION("""COMPUTED_VALUE"""),40.464618)</f>
        <v>40.464618000000002</v>
      </c>
      <c r="AV1160" s="8">
        <f ca="1">IFERROR(__xludf.DUMMYFUNCTION("""COMPUTED_VALUE"""),-80.0241)</f>
        <v>-80.024100000000004</v>
      </c>
      <c r="AW1160" s="8"/>
      <c r="AX1160" s="8">
        <f ca="1">IFERROR(__xludf.DUMMYFUNCTION("""COMPUTED_VALUE"""),15212)</f>
        <v>15212</v>
      </c>
    </row>
    <row r="1161" spans="1:50" ht="165" x14ac:dyDescent="0.2">
      <c r="A1161" s="8" t="str">
        <f ca="1">IFERROR(__xludf.DUMMYFUNCTION("""COMPUTED_VALUE"""),"20220119FLSES")</f>
        <v>20220119FLSES</v>
      </c>
      <c r="B1161" s="8">
        <f ca="1">IFERROR(__xludf.DUMMYFUNCTION("""COMPUTED_VALUE"""),1)</f>
        <v>1</v>
      </c>
      <c r="C1161" s="8">
        <f ca="1">IFERROR(__xludf.DUMMYFUNCTION("""COMPUTED_VALUE"""),19)</f>
        <v>19</v>
      </c>
      <c r="D1161" s="8">
        <f ca="1">IFERROR(__xludf.DUMMYFUNCTION("""COMPUTED_VALUE"""),2022)</f>
        <v>2022</v>
      </c>
      <c r="E1161" s="9">
        <f ca="1">IFERROR(__xludf.DUMMYFUNCTION("""COMPUTED_VALUE"""),44580)</f>
        <v>44580</v>
      </c>
      <c r="F1161" s="8" t="str">
        <f ca="1">IFERROR(__xludf.DUMMYFUNCTION("""COMPUTED_VALUE"""),"Seminole High School")</f>
        <v>Seminole High School</v>
      </c>
      <c r="G1161" s="8">
        <f ca="1">IFERROR(__xludf.DUMMYFUNCTION("""COMPUTED_VALUE"""),0)</f>
        <v>0</v>
      </c>
      <c r="H1161" s="8">
        <f ca="1">IFERROR(__xludf.DUMMYFUNCTION("""COMPUTED_VALUE"""),1)</f>
        <v>1</v>
      </c>
      <c r="I1161" s="8">
        <f ca="1">IFERROR(__xludf.DUMMYFUNCTION("""COMPUTED_VALUE"""),1)</f>
        <v>1</v>
      </c>
      <c r="J1161" s="8">
        <f ca="1">IFERROR(__xludf.DUMMYFUNCTION("""COMPUTED_VALUE"""),0)</f>
        <v>0</v>
      </c>
      <c r="K1161" s="8" t="str">
        <f ca="1">IFERROR(__xludf.DUMMYFUNCTION("""COMPUTED_VALUE"""),"https://www.clickorlando.com/news/local/2022/01/19/student-shot-3-times-at-seminole-high-school-doing-ok-family-says/?utm_source=facebook&amp;utm_medium=social&amp;utm_campaign=snd&amp;utm_content=wkmg6 https://www.wesh.com/article/seminole-high-school-lockdown/38817"&amp;"822#")</f>
        <v>https://www.clickorlando.com/news/local/2022/01/19/student-shot-3-times-at-seminole-high-school-doing-ok-family-says/?utm_source=facebook&amp;utm_medium=social&amp;utm_campaign=snd&amp;utm_content=wkmg6 https://www.wesh.com/article/seminole-high-school-lockdown/38817822#</v>
      </c>
      <c r="L1161" s="8">
        <f ca="1">IFERROR(__xludf.DUMMYFUNCTION("""COMPUTED_VALUE"""),10)</f>
        <v>10</v>
      </c>
      <c r="M1161" s="8" t="str">
        <f ca="1">IFERROR(__xludf.DUMMYFUNCTION("""COMPUTED_VALUE"""),"Regional")</f>
        <v>Regional</v>
      </c>
      <c r="N1161" s="8">
        <f ca="1">IFERROR(__xludf.DUMMYFUNCTION("""COMPUTED_VALUE"""),4)</f>
        <v>4</v>
      </c>
      <c r="O1161" s="8" t="str">
        <f ca="1">IFERROR(__xludf.DUMMYFUNCTION("""COMPUTED_VALUE"""),"Winter")</f>
        <v>Winter</v>
      </c>
      <c r="P1161" s="8" t="str">
        <f ca="1">IFERROR(__xludf.DUMMYFUNCTION("""COMPUTED_VALUE"""),"Sanford")</f>
        <v>Sanford</v>
      </c>
      <c r="Q1161" s="8" t="str">
        <f ca="1">IFERROR(__xludf.DUMMYFUNCTION("""COMPUTED_VALUE"""),"FL")</f>
        <v>FL</v>
      </c>
      <c r="R1161" s="8" t="str">
        <f ca="1">IFERROR(__xludf.DUMMYFUNCTION("""COMPUTED_VALUE"""),"High")</f>
        <v>High</v>
      </c>
      <c r="S1161" s="8" t="str">
        <f ca="1">IFERROR(__xludf.DUMMYFUNCTION("""COMPUTED_VALUE"""),"Bathroom")</f>
        <v>Bathroom</v>
      </c>
      <c r="T1161" s="8" t="str">
        <f ca="1">IFERROR(__xludf.DUMMYFUNCTION("""COMPUTED_VALUE"""),"Inside School Building")</f>
        <v>Inside School Building</v>
      </c>
      <c r="U1161" s="8" t="str">
        <f ca="1">IFERROR(__xludf.DUMMYFUNCTION("""COMPUTED_VALUE"""),"Yes")</f>
        <v>Yes</v>
      </c>
      <c r="V1161" s="8" t="str">
        <f ca="1">IFERROR(__xludf.DUMMYFUNCTION("""COMPUTED_VALUE"""),"Lunch")</f>
        <v>Lunch</v>
      </c>
      <c r="W1161" s="11">
        <f ca="1">IFERROR(__xludf.DUMMYFUNCTION("""COMPUTED_VALUE"""),0.997916666666666)</f>
        <v>0.99791666666666601</v>
      </c>
      <c r="X1161" s="8">
        <f ca="1">IFERROR(__xludf.DUMMYFUNCTION("""COMPUTED_VALUE"""),1)</f>
        <v>1</v>
      </c>
      <c r="Y1161" s="12" t="str">
        <f ca="1">IFERROR(__xludf.DUMMYFUNCTION("""COMPUTED_VALUE"""),"Student shot 3 times inside school, shooter fled")</f>
        <v>Student shot 3 times inside school, shooter fled</v>
      </c>
      <c r="Z1161" s="12" t="str">
        <f ca="1">IFERROR(__xludf.DUMMYFUNCTION("""COMPUTED_VALUE"""),"A 17-year-old male student was shot 3 times (once in each leg, and once in arm) while inside the school. 16-year-old male shooter fled. School went on lockdown. Two SROs responded. One provided aid to victim and other related information about suspect to "&amp;"responding officers. Police arrested the shooter away from the school. School remained on lockdown for 3.5 hours until students were released to parents. Shooting was recorded on CCTV. Police chief stated that shooting was isolated incident due to dispute"&amp;" between shooter and victim over a female student. 4 full time SROs are assigned to the school.")</f>
        <v>A 17-year-old male student was shot 3 times (once in each leg, and once in arm) while inside the school. 16-year-old male shooter fled. School went on lockdown. Two SROs responded. One provided aid to victim and other related information about suspect to responding officers. Police arrested the shooter away from the school. School remained on lockdown for 3.5 hours until students were released to parents. Shooting was recorded on CCTV. Police chief stated that shooting was isolated incident due to dispute between shooter and victim over a female student. 4 full time SROs are assigned to the school.</v>
      </c>
      <c r="AA1161" s="8" t="str">
        <f ca="1">IFERROR(__xludf.DUMMYFUNCTION("""COMPUTED_VALUE"""),"Domestic w/ Targeted Victim")</f>
        <v>Domestic w/ Targeted Victim</v>
      </c>
      <c r="AB1161" s="8"/>
      <c r="AC1161" s="8" t="str">
        <f ca="1">IFERROR(__xludf.DUMMYFUNCTION("""COMPUTED_VALUE"""),"Yes")</f>
        <v>Yes</v>
      </c>
      <c r="AD1161" s="8" t="str">
        <f ca="1">IFERROR(__xludf.DUMMYFUNCTION("""COMPUTED_VALUE"""),"Victims Targeted")</f>
        <v>Victims Targeted</v>
      </c>
      <c r="AE1161" s="8" t="str">
        <f ca="1">IFERROR(__xludf.DUMMYFUNCTION("""COMPUTED_VALUE"""),"No")</f>
        <v>No</v>
      </c>
      <c r="AF1161" s="8"/>
      <c r="AG1161" s="8" t="str">
        <f ca="1">IFERROR(__xludf.DUMMYFUNCTION("""COMPUTED_VALUE"""),"No")</f>
        <v>No</v>
      </c>
      <c r="AH1161" s="8" t="str">
        <f ca="1">IFERROR(__xludf.DUMMYFUNCTION("""COMPUTED_VALUE"""),"No")</f>
        <v>No</v>
      </c>
      <c r="AI1161" s="8" t="str">
        <f ca="1">IFERROR(__xludf.DUMMYFUNCTION("""COMPUTED_VALUE"""),"No")</f>
        <v>No</v>
      </c>
      <c r="AJ1161" s="8" t="str">
        <f ca="1">IFERROR(__xludf.DUMMYFUNCTION("""COMPUTED_VALUE"""),"No")</f>
        <v>No</v>
      </c>
      <c r="AK1161" s="8" t="str">
        <f ca="1">IFERROR(__xludf.DUMMYFUNCTION("""COMPUTED_VALUE"""),"Yes")</f>
        <v>Yes</v>
      </c>
      <c r="AL1161" s="8" t="str">
        <f ca="1">IFERROR(__xludf.DUMMYFUNCTION("""COMPUTED_VALUE"""),"No")</f>
        <v>No</v>
      </c>
      <c r="AM1161" s="8" t="str">
        <f ca="1">IFERROR(__xludf.DUMMYFUNCTION("""COMPUTED_VALUE"""),"No")</f>
        <v>No</v>
      </c>
      <c r="AN1161" s="8"/>
      <c r="AO1161" s="8" t="str">
        <f ca="1">IFERROR(__xludf.DUMMYFUNCTION("""COMPUTED_VALUE"""),"No")</f>
        <v>No</v>
      </c>
      <c r="AP1161" s="8" t="str">
        <f ca="1">IFERROR(__xludf.DUMMYFUNCTION("""COMPUTED_VALUE"""),"Yes")</f>
        <v>Yes</v>
      </c>
      <c r="AQ1161" s="8" t="str">
        <f ca="1">IFERROR(__xludf.DUMMYFUNCTION("""COMPUTED_VALUE"""),"Armed Guards")</f>
        <v>Armed Guards</v>
      </c>
      <c r="AR1161" s="8"/>
      <c r="AS1161" s="8">
        <f ca="1">IFERROR(__xludf.DUMMYFUNCTION("""COMPUTED_VALUE"""),3)</f>
        <v>3</v>
      </c>
      <c r="AT1161" s="8" t="str">
        <f ca="1">IFERROR(__xludf.DUMMYFUNCTION("""COMPUTED_VALUE"""),"Yes")</f>
        <v>Yes</v>
      </c>
      <c r="AU1161" s="8">
        <f ca="1">IFERROR(__xludf.DUMMYFUNCTION("""COMPUTED_VALUE"""),28.780083)</f>
        <v>28.780083000000001</v>
      </c>
      <c r="AV1161" s="8">
        <f ca="1">IFERROR(__xludf.DUMMYFUNCTION("""COMPUTED_VALUE"""),-81.284557)</f>
        <v>-81.284557000000007</v>
      </c>
      <c r="AW1161" s="8"/>
      <c r="AX1161" s="8">
        <f ca="1">IFERROR(__xludf.DUMMYFUNCTION("""COMPUTED_VALUE"""),32773)</f>
        <v>32773</v>
      </c>
    </row>
    <row r="1162" spans="1:50" ht="60" x14ac:dyDescent="0.2">
      <c r="A1162" s="8" t="str">
        <f ca="1">IFERROR(__xludf.DUMMYFUNCTION("""COMPUTED_VALUE"""),"20220119DCANW")</f>
        <v>20220119DCANW</v>
      </c>
      <c r="B1162" s="8">
        <f ca="1">IFERROR(__xludf.DUMMYFUNCTION("""COMPUTED_VALUE"""),1)</f>
        <v>1</v>
      </c>
      <c r="C1162" s="8">
        <f ca="1">IFERROR(__xludf.DUMMYFUNCTION("""COMPUTED_VALUE"""),19)</f>
        <v>19</v>
      </c>
      <c r="D1162" s="8">
        <f ca="1">IFERROR(__xludf.DUMMYFUNCTION("""COMPUTED_VALUE"""),2022)</f>
        <v>2022</v>
      </c>
      <c r="E1162" s="9">
        <f ca="1">IFERROR(__xludf.DUMMYFUNCTION("""COMPUTED_VALUE"""),44580)</f>
        <v>44580</v>
      </c>
      <c r="F1162" s="8" t="str">
        <f ca="1">IFERROR(__xludf.DUMMYFUNCTION("""COMPUTED_VALUE"""),"Anacostia High School")</f>
        <v>Anacostia High School</v>
      </c>
      <c r="G1162" s="8">
        <f ca="1">IFERROR(__xludf.DUMMYFUNCTION("""COMPUTED_VALUE"""),0)</f>
        <v>0</v>
      </c>
      <c r="H1162" s="8">
        <f ca="1">IFERROR(__xludf.DUMMYFUNCTION("""COMPUTED_VALUE"""),0)</f>
        <v>0</v>
      </c>
      <c r="I1162" s="8">
        <f ca="1">IFERROR(__xludf.DUMMYFUNCTION("""COMPUTED_VALUE"""),0)</f>
        <v>0</v>
      </c>
      <c r="J1162" s="8">
        <f ca="1">IFERROR(__xludf.DUMMYFUNCTION("""COMPUTED_VALUE"""),0)</f>
        <v>0</v>
      </c>
      <c r="K1162" s="10" t="str">
        <f ca="1">IFERROR(__xludf.DUMMYFUNCTION("""COMPUTED_VALUE"""),"https://www.wusa9.com/article/news/crime/shooting-outside-anacostia-high-school-caught-on-camera/65-2ad8c323-8d37-4f4d-9ee6-dc8adcd8bc46")</f>
        <v>https://www.wusa9.com/article/news/crime/shooting-outside-anacostia-high-school-caught-on-camera/65-2ad8c323-8d37-4f4d-9ee6-dc8adcd8bc46</v>
      </c>
      <c r="L1162" s="8">
        <f ca="1">IFERROR(__xludf.DUMMYFUNCTION("""COMPUTED_VALUE"""),1)</f>
        <v>1</v>
      </c>
      <c r="M1162" s="8" t="str">
        <f ca="1">IFERROR(__xludf.DUMMYFUNCTION("""COMPUTED_VALUE"""),"Local")</f>
        <v>Local</v>
      </c>
      <c r="N1162" s="8">
        <f ca="1">IFERROR(__xludf.DUMMYFUNCTION("""COMPUTED_VALUE"""),4)</f>
        <v>4</v>
      </c>
      <c r="O1162" s="8" t="str">
        <f ca="1">IFERROR(__xludf.DUMMYFUNCTION("""COMPUTED_VALUE"""),"Winter")</f>
        <v>Winter</v>
      </c>
      <c r="P1162" s="8" t="str">
        <f ca="1">IFERROR(__xludf.DUMMYFUNCTION("""COMPUTED_VALUE"""),"Washington")</f>
        <v>Washington</v>
      </c>
      <c r="Q1162" s="8" t="str">
        <f ca="1">IFERROR(__xludf.DUMMYFUNCTION("""COMPUTED_VALUE"""),"DC")</f>
        <v>DC</v>
      </c>
      <c r="R1162" s="8" t="str">
        <f ca="1">IFERROR(__xludf.DUMMYFUNCTION("""COMPUTED_VALUE"""),"High")</f>
        <v>High</v>
      </c>
      <c r="S1162" s="8" t="str">
        <f ca="1">IFERROR(__xludf.DUMMYFUNCTION("""COMPUTED_VALUE"""),"Front of School")</f>
        <v>Front of School</v>
      </c>
      <c r="T1162" s="8" t="str">
        <f ca="1">IFERROR(__xludf.DUMMYFUNCTION("""COMPUTED_VALUE"""),"Outside on School Property")</f>
        <v>Outside on School Property</v>
      </c>
      <c r="U1162" s="8" t="str">
        <f ca="1">IFERROR(__xludf.DUMMYFUNCTION("""COMPUTED_VALUE"""),"No")</f>
        <v>No</v>
      </c>
      <c r="V1162" s="8" t="str">
        <f ca="1">IFERROR(__xludf.DUMMYFUNCTION("""COMPUTED_VALUE"""),"After School")</f>
        <v>After School</v>
      </c>
      <c r="W1162" s="11">
        <f ca="1">IFERROR(__xludf.DUMMYFUNCTION("""COMPUTED_VALUE"""),0.666666666666666)</f>
        <v>0.66666666666666596</v>
      </c>
      <c r="X1162" s="8">
        <f ca="1">IFERROR(__xludf.DUMMYFUNCTION("""COMPUTED_VALUE"""),1)</f>
        <v>1</v>
      </c>
      <c r="Y1162" s="12" t="str">
        <f ca="1">IFERROR(__xludf.DUMMYFUNCTION("""COMPUTED_VALUE"""),"Two shots stuck the front door of the school")</f>
        <v>Two shots stuck the front door of the school</v>
      </c>
      <c r="Z1162" s="12" t="str">
        <f ca="1">IFERROR(__xludf.DUMMYFUNCTION("""COMPUTED_VALUE"""),"CCTV showed a man being chased toward the school. Shooter fired shot at him, 2 stuck the door of the school. Shooter fled in a vehicle. Students were inside the school for sports practice and were locked down. No injuries.")</f>
        <v>CCTV showed a man being chased toward the school. Shooter fired shot at him, 2 stuck the door of the school. Shooter fled in a vehicle. Students were inside the school for sports practice and were locked down. No injuries.</v>
      </c>
      <c r="AA1162" s="8"/>
      <c r="AB1162" s="8"/>
      <c r="AC1162" s="8" t="str">
        <f ca="1">IFERROR(__xludf.DUMMYFUNCTION("""COMPUTED_VALUE"""),"Yes")</f>
        <v>Yes</v>
      </c>
      <c r="AD1162" s="8" t="str">
        <f ca="1">IFERROR(__xludf.DUMMYFUNCTION("""COMPUTED_VALUE"""),"Victims Targeted")</f>
        <v>Victims Targeted</v>
      </c>
      <c r="AE1162" s="8" t="str">
        <f ca="1">IFERROR(__xludf.DUMMYFUNCTION("""COMPUTED_VALUE"""),"No")</f>
        <v>No</v>
      </c>
      <c r="AF1162" s="8"/>
      <c r="AG1162" s="8" t="str">
        <f ca="1">IFERROR(__xludf.DUMMYFUNCTION("""COMPUTED_VALUE"""),"No")</f>
        <v>No</v>
      </c>
      <c r="AH1162" s="8" t="str">
        <f ca="1">IFERROR(__xludf.DUMMYFUNCTION("""COMPUTED_VALUE"""),"No")</f>
        <v>No</v>
      </c>
      <c r="AI1162" s="8" t="str">
        <f ca="1">IFERROR(__xludf.DUMMYFUNCTION("""COMPUTED_VALUE"""),"No")</f>
        <v>No</v>
      </c>
      <c r="AJ1162" s="8" t="str">
        <f ca="1">IFERROR(__xludf.DUMMYFUNCTION("""COMPUTED_VALUE"""),"No")</f>
        <v>No</v>
      </c>
      <c r="AK1162" s="8" t="str">
        <f ca="1">IFERROR(__xludf.DUMMYFUNCTION("""COMPUTED_VALUE"""),"No")</f>
        <v>No</v>
      </c>
      <c r="AL1162" s="8"/>
      <c r="AM1162" s="8" t="str">
        <f ca="1">IFERROR(__xludf.DUMMYFUNCTION("""COMPUTED_VALUE"""),"No")</f>
        <v>No</v>
      </c>
      <c r="AN1162" s="8"/>
      <c r="AO1162" s="8" t="str">
        <f ca="1">IFERROR(__xludf.DUMMYFUNCTION("""COMPUTED_VALUE"""),"No")</f>
        <v>No</v>
      </c>
      <c r="AP1162" s="8"/>
      <c r="AQ1162" s="8"/>
      <c r="AR1162" s="8" t="str">
        <f ca="1">IFERROR(__xludf.DUMMYFUNCTION("""COMPUTED_VALUE"""),"Outside/Off-Property")</f>
        <v>Outside/Off-Property</v>
      </c>
      <c r="AS1162" s="8"/>
      <c r="AT1162" s="8" t="str">
        <f ca="1">IFERROR(__xludf.DUMMYFUNCTION("""COMPUTED_VALUE"""),"Yes")</f>
        <v>Yes</v>
      </c>
      <c r="AU1162" s="8">
        <f ca="1">IFERROR(__xludf.DUMMYFUNCTION("""COMPUTED_VALUE"""),38.869735)</f>
        <v>38.869734999999999</v>
      </c>
      <c r="AV1162" s="8">
        <f ca="1">IFERROR(__xludf.DUMMYFUNCTION("""COMPUTED_VALUE"""),-76.983727)</f>
        <v>-76.983727000000002</v>
      </c>
      <c r="AW1162" s="8"/>
      <c r="AX1162" s="8">
        <f ca="1">IFERROR(__xludf.DUMMYFUNCTION("""COMPUTED_VALUE"""),20020)</f>
        <v>20020</v>
      </c>
    </row>
    <row r="1163" spans="1:50" ht="105" x14ac:dyDescent="0.2">
      <c r="A1163" s="8" t="str">
        <f ca="1">IFERROR(__xludf.DUMMYFUNCTION("""COMPUTED_VALUE"""),"20220117TXPYH")</f>
        <v>20220117TXPYH</v>
      </c>
      <c r="B1163" s="8">
        <f ca="1">IFERROR(__xludf.DUMMYFUNCTION("""COMPUTED_VALUE"""),1)</f>
        <v>1</v>
      </c>
      <c r="C1163" s="8">
        <f ca="1">IFERROR(__xludf.DUMMYFUNCTION("""COMPUTED_VALUE"""),17)</f>
        <v>17</v>
      </c>
      <c r="D1163" s="8">
        <f ca="1">IFERROR(__xludf.DUMMYFUNCTION("""COMPUTED_VALUE"""),2022)</f>
        <v>2022</v>
      </c>
      <c r="E1163" s="9">
        <f ca="1">IFERROR(__xludf.DUMMYFUNCTION("""COMPUTED_VALUE"""),44578)</f>
        <v>44578</v>
      </c>
      <c r="F1163" s="8" t="str">
        <f ca="1">IFERROR(__xludf.DUMMYFUNCTION("""COMPUTED_VALUE"""),"Pyburn Elementary School")</f>
        <v>Pyburn Elementary School</v>
      </c>
      <c r="G1163" s="8">
        <f ca="1">IFERROR(__xludf.DUMMYFUNCTION("""COMPUTED_VALUE"""),2)</f>
        <v>2</v>
      </c>
      <c r="H1163" s="8">
        <f ca="1">IFERROR(__xludf.DUMMYFUNCTION("""COMPUTED_VALUE"""),0)</f>
        <v>0</v>
      </c>
      <c r="I1163" s="8">
        <f ca="1">IFERROR(__xludf.DUMMYFUNCTION("""COMPUTED_VALUE"""),2)</f>
        <v>2</v>
      </c>
      <c r="J1163" s="8">
        <f ca="1">IFERROR(__xludf.DUMMYFUNCTION("""COMPUTED_VALUE"""),0)</f>
        <v>0</v>
      </c>
      <c r="K1163" s="10" t="str">
        <f ca="1">IFERROR(__xludf.DUMMYFUNCTION("""COMPUTED_VALUE"""),"https://www.khou.com/article/news/crime/deadly-shooting-pyburn-elementary-peppertree-lane-houston/285-c7d1292b-a102-4d22-953f-69636db73539")</f>
        <v>https://www.khou.com/article/news/crime/deadly-shooting-pyburn-elementary-peppertree-lane-houston/285-c7d1292b-a102-4d22-953f-69636db73539</v>
      </c>
      <c r="L1163" s="8">
        <f ca="1">IFERROR(__xludf.DUMMYFUNCTION("""COMPUTED_VALUE"""),1)</f>
        <v>1</v>
      </c>
      <c r="M1163" s="8" t="str">
        <f ca="1">IFERROR(__xludf.DUMMYFUNCTION("""COMPUTED_VALUE"""),"Local")</f>
        <v>Local</v>
      </c>
      <c r="N1163" s="8">
        <f ca="1">IFERROR(__xludf.DUMMYFUNCTION("""COMPUTED_VALUE"""),4)</f>
        <v>4</v>
      </c>
      <c r="O1163" s="8" t="str">
        <f ca="1">IFERROR(__xludf.DUMMYFUNCTION("""COMPUTED_VALUE"""),"Winter")</f>
        <v>Winter</v>
      </c>
      <c r="P1163" s="8" t="str">
        <f ca="1">IFERROR(__xludf.DUMMYFUNCTION("""COMPUTED_VALUE"""),"Houston")</f>
        <v>Houston</v>
      </c>
      <c r="Q1163" s="8" t="str">
        <f ca="1">IFERROR(__xludf.DUMMYFUNCTION("""COMPUTED_VALUE"""),"TX")</f>
        <v>TX</v>
      </c>
      <c r="R1163" s="8" t="str">
        <f ca="1">IFERROR(__xludf.DUMMYFUNCTION("""COMPUTED_VALUE"""),"Elementary")</f>
        <v>Elementary</v>
      </c>
      <c r="S1163" s="8" t="str">
        <f ca="1">IFERROR(__xludf.DUMMYFUNCTION("""COMPUTED_VALUE"""),"Parking Lot")</f>
        <v>Parking Lot</v>
      </c>
      <c r="T1163" s="8" t="str">
        <f ca="1">IFERROR(__xludf.DUMMYFUNCTION("""COMPUTED_VALUE"""),"Outside on School Property")</f>
        <v>Outside on School Property</v>
      </c>
      <c r="U1163" s="8" t="str">
        <f ca="1">IFERROR(__xludf.DUMMYFUNCTION("""COMPUTED_VALUE"""),"No")</f>
        <v>No</v>
      </c>
      <c r="V1163" s="8" t="str">
        <f ca="1">IFERROR(__xludf.DUMMYFUNCTION("""COMPUTED_VALUE"""),"Night")</f>
        <v>Night</v>
      </c>
      <c r="W1163" s="11">
        <f ca="1">IFERROR(__xludf.DUMMYFUNCTION("""COMPUTED_VALUE"""),0.472222222222222)</f>
        <v>0.47222222222222199</v>
      </c>
      <c r="X1163" s="8">
        <f ca="1">IFERROR(__xludf.DUMMYFUNCTION("""COMPUTED_VALUE"""),1)</f>
        <v>1</v>
      </c>
      <c r="Y1163" s="12" t="str">
        <f ca="1">IFERROR(__xludf.DUMMYFUNCTION("""COMPUTED_VALUE"""),"Man and woman fatally shot during robbery")</f>
        <v>Man and woman fatally shot during robbery</v>
      </c>
      <c r="Z1163" s="12" t="str">
        <f ca="1">IFERROR(__xludf.DUMMYFUNCTION("""COMPUTED_VALUE"""),"Three men fired at a vehicle parking in the school parking lot during a robbery. An adult male driver and adult female passenger were fatally shot. The men dragged the woman's body from the vehicle, put her inside their car, and later dumped the body 4 mi"&amp;"les away. Police believe the woman helped setup the robbery and was an unintended victim. Shooting was recorded on CCTV.")</f>
        <v>Three men fired at a vehicle parking in the school parking lot during a robbery. An adult male driver and adult female passenger were fatally shot. The men dragged the woman's body from the vehicle, put her inside their car, and later dumped the body 4 miles away. Police believe the woman helped setup the robbery and was an unintended victim. Shooting was recorded on CCTV.</v>
      </c>
      <c r="AA1163" s="8" t="str">
        <f ca="1">IFERROR(__xludf.DUMMYFUNCTION("""COMPUTED_VALUE"""),"Illegal Activity")</f>
        <v>Illegal Activity</v>
      </c>
      <c r="AB1163" s="8"/>
      <c r="AC1163" s="8" t="str">
        <f ca="1">IFERROR(__xludf.DUMMYFUNCTION("""COMPUTED_VALUE"""),"No")</f>
        <v>No</v>
      </c>
      <c r="AD1163" s="8" t="str">
        <f ca="1">IFERROR(__xludf.DUMMYFUNCTION("""COMPUTED_VALUE"""),"Victims Targeted")</f>
        <v>Victims Targeted</v>
      </c>
      <c r="AE1163" s="8" t="str">
        <f ca="1">IFERROR(__xludf.DUMMYFUNCTION("""COMPUTED_VALUE"""),"Yes")</f>
        <v>Yes</v>
      </c>
      <c r="AF1163" s="8" t="str">
        <f ca="1">IFERROR(__xludf.DUMMYFUNCTION("""COMPUTED_VALUE"""),"3 men")</f>
        <v>3 men</v>
      </c>
      <c r="AG1163" s="8" t="str">
        <f ca="1">IFERROR(__xludf.DUMMYFUNCTION("""COMPUTED_VALUE"""),"No")</f>
        <v>No</v>
      </c>
      <c r="AH1163" s="8" t="str">
        <f ca="1">IFERROR(__xludf.DUMMYFUNCTION("""COMPUTED_VALUE"""),"No")</f>
        <v>No</v>
      </c>
      <c r="AI1163" s="8" t="str">
        <f ca="1">IFERROR(__xludf.DUMMYFUNCTION("""COMPUTED_VALUE"""),"No")</f>
        <v>No</v>
      </c>
      <c r="AJ1163" s="8" t="str">
        <f ca="1">IFERROR(__xludf.DUMMYFUNCTION("""COMPUTED_VALUE"""),"No")</f>
        <v>No</v>
      </c>
      <c r="AK1163" s="8" t="str">
        <f ca="1">IFERROR(__xludf.DUMMYFUNCTION("""COMPUTED_VALUE"""),"No")</f>
        <v>No</v>
      </c>
      <c r="AL1163" s="8" t="str">
        <f ca="1">IFERROR(__xludf.DUMMYFUNCTION("""COMPUTED_VALUE"""),"No")</f>
        <v>No</v>
      </c>
      <c r="AM1163" s="8" t="str">
        <f ca="1">IFERROR(__xludf.DUMMYFUNCTION("""COMPUTED_VALUE"""),"No")</f>
        <v>No</v>
      </c>
      <c r="AN1163" s="8"/>
      <c r="AO1163" s="8" t="str">
        <f ca="1">IFERROR(__xludf.DUMMYFUNCTION("""COMPUTED_VALUE"""),"No")</f>
        <v>No</v>
      </c>
      <c r="AP1163" s="8"/>
      <c r="AQ1163" s="8"/>
      <c r="AR1163" s="8" t="str">
        <f ca="1">IFERROR(__xludf.DUMMYFUNCTION("""COMPUTED_VALUE"""),"Outside/Off-Property")</f>
        <v>Outside/Off-Property</v>
      </c>
      <c r="AS1163" s="8"/>
      <c r="AT1163" s="8"/>
      <c r="AU1163" s="8">
        <f ca="1">IFERROR(__xludf.DUMMYFUNCTION("""COMPUTED_VALUE"""),29.762329)</f>
        <v>29.762329000000001</v>
      </c>
      <c r="AV1163" s="8">
        <f ca="1">IFERROR(__xludf.DUMMYFUNCTION("""COMPUTED_VALUE"""),-95.220055)</f>
        <v>-95.220055000000002</v>
      </c>
      <c r="AW1163" s="8"/>
      <c r="AX1163" s="8">
        <f ca="1">IFERROR(__xludf.DUMMYFUNCTION("""COMPUTED_VALUE"""),77015)</f>
        <v>77015</v>
      </c>
    </row>
    <row r="1164" spans="1:50" ht="150" x14ac:dyDescent="0.2">
      <c r="A1164" s="8" t="str">
        <f ca="1">IFERROR(__xludf.DUMMYFUNCTION("""COMPUTED_VALUE"""),"20220114MDGAG")</f>
        <v>20220114MDGAG</v>
      </c>
      <c r="B1164" s="8">
        <f ca="1">IFERROR(__xludf.DUMMYFUNCTION("""COMPUTED_VALUE"""),1)</f>
        <v>1</v>
      </c>
      <c r="C1164" s="8">
        <f ca="1">IFERROR(__xludf.DUMMYFUNCTION("""COMPUTED_VALUE"""),14)</f>
        <v>14</v>
      </c>
      <c r="D1164" s="8">
        <f ca="1">IFERROR(__xludf.DUMMYFUNCTION("""COMPUTED_VALUE"""),2022)</f>
        <v>2022</v>
      </c>
      <c r="E1164" s="9">
        <f ca="1">IFERROR(__xludf.DUMMYFUNCTION("""COMPUTED_VALUE"""),44575)</f>
        <v>44575</v>
      </c>
      <c r="F1164" s="8" t="str">
        <f ca="1">IFERROR(__xludf.DUMMYFUNCTION("""COMPUTED_VALUE"""),"Gaithersburg High School")</f>
        <v>Gaithersburg High School</v>
      </c>
      <c r="G1164" s="8">
        <f ca="1">IFERROR(__xludf.DUMMYFUNCTION("""COMPUTED_VALUE"""),0)</f>
        <v>0</v>
      </c>
      <c r="H1164" s="8">
        <f ca="1">IFERROR(__xludf.DUMMYFUNCTION("""COMPUTED_VALUE"""),0)</f>
        <v>0</v>
      </c>
      <c r="I1164" s="8">
        <f ca="1">IFERROR(__xludf.DUMMYFUNCTION("""COMPUTED_VALUE"""),0)</f>
        <v>0</v>
      </c>
      <c r="J1164" s="8">
        <f ca="1">IFERROR(__xludf.DUMMYFUNCTION("""COMPUTED_VALUE"""),0)</f>
        <v>0</v>
      </c>
      <c r="K1164" s="10" t="str">
        <f ca="1">IFERROR(__xludf.DUMMYFUNCTION("""COMPUTED_VALUE"""),"https://www.fox5dc.com/news/man-found-with-gun-at-gaithersburg-high-school-is-second-incident-in-montgomery-county-this-month")</f>
        <v>https://www.fox5dc.com/news/man-found-with-gun-at-gaithersburg-high-school-is-second-incident-in-montgomery-county-this-month</v>
      </c>
      <c r="L1164" s="8"/>
      <c r="M1164" s="8" t="str">
        <f ca="1">IFERROR(__xludf.DUMMYFUNCTION("""COMPUTED_VALUE"""),"Local")</f>
        <v>Local</v>
      </c>
      <c r="N1164" s="8">
        <f ca="1">IFERROR(__xludf.DUMMYFUNCTION("""COMPUTED_VALUE"""),4)</f>
        <v>4</v>
      </c>
      <c r="O1164" s="8" t="str">
        <f ca="1">IFERROR(__xludf.DUMMYFUNCTION("""COMPUTED_VALUE"""),"Winter")</f>
        <v>Winter</v>
      </c>
      <c r="P1164" s="8" t="str">
        <f ca="1">IFERROR(__xludf.DUMMYFUNCTION("""COMPUTED_VALUE"""),"Gaithersburg")</f>
        <v>Gaithersburg</v>
      </c>
      <c r="Q1164" s="8" t="str">
        <f ca="1">IFERROR(__xludf.DUMMYFUNCTION("""COMPUTED_VALUE"""),"MD")</f>
        <v>MD</v>
      </c>
      <c r="R1164" s="8" t="str">
        <f ca="1">IFERROR(__xludf.DUMMYFUNCTION("""COMPUTED_VALUE"""),"High")</f>
        <v>High</v>
      </c>
      <c r="S1164" s="8" t="str">
        <f ca="1">IFERROR(__xludf.DUMMYFUNCTION("""COMPUTED_VALUE"""),"Parking Lot")</f>
        <v>Parking Lot</v>
      </c>
      <c r="T1164" s="8" t="str">
        <f ca="1">IFERROR(__xludf.DUMMYFUNCTION("""COMPUTED_VALUE"""),"Outside on School Property")</f>
        <v>Outside on School Property</v>
      </c>
      <c r="U1164" s="8" t="str">
        <f ca="1">IFERROR(__xludf.DUMMYFUNCTION("""COMPUTED_VALUE"""),"Yes")</f>
        <v>Yes</v>
      </c>
      <c r="V1164" s="8" t="str">
        <f ca="1">IFERROR(__xludf.DUMMYFUNCTION("""COMPUTED_VALUE"""),"School Start")</f>
        <v>School Start</v>
      </c>
      <c r="W1164" s="11">
        <f ca="1">IFERROR(__xludf.DUMMYFUNCTION("""COMPUTED_VALUE"""),0.284722222222222)</f>
        <v>0.28472222222222199</v>
      </c>
      <c r="X1164" s="8">
        <f ca="1">IFERROR(__xludf.DUMMYFUNCTION("""COMPUTED_VALUE"""),1)</f>
        <v>1</v>
      </c>
      <c r="Y1164" s="12" t="str">
        <f ca="1">IFERROR(__xludf.DUMMYFUNCTION("""COMPUTED_VALUE"""),"Man arrested with loaded AR-15 outside of school")</f>
        <v>Man arrested with loaded AR-15 outside of school</v>
      </c>
      <c r="Z1164" s="12" t="str">
        <f ca="1">IFERROR(__xludf.DUMMYFUNCTION("""COMPUTED_VALUE"""),"Before school opened, security guard on patrol noticed a vehicle with out of state license plates idling in the school parking lot. When he approached the vehicle, the drive sped across the lot, turn down a dead end, and crash down the steps to the footba"&amp;"ll stadium. The driver got out of the vehicle with a loaded AR-15 rifle in a neck sling. Guard called police and police arrested the man without shots fired. Man claimed the weapon was for protection and he was waiting at the school to sell it to someone."&amp;" Rifle was an unregistered ghost gun. Charged with multiple felonies.")</f>
        <v>Before school opened, security guard on patrol noticed a vehicle with out of state license plates idling in the school parking lot. When he approached the vehicle, the drive sped across the lot, turn down a dead end, and crash down the steps to the football stadium. The driver got out of the vehicle with a loaded AR-15 rifle in a neck sling. Guard called police and police arrested the man without shots fired. Man claimed the weapon was for protection and he was waiting at the school to sell it to someone. Rifle was an unregistered ghost gun. Charged with multiple felonies.</v>
      </c>
      <c r="AA1164" s="8" t="str">
        <f ca="1">IFERROR(__xludf.DUMMYFUNCTION("""COMPUTED_VALUE"""),"Illegal Activity")</f>
        <v>Illegal Activity</v>
      </c>
      <c r="AB1164" s="8"/>
      <c r="AC1164" s="8" t="str">
        <f ca="1">IFERROR(__xludf.DUMMYFUNCTION("""COMPUTED_VALUE"""),"Yes")</f>
        <v>Yes</v>
      </c>
      <c r="AD1164" s="8"/>
      <c r="AE1164" s="8" t="str">
        <f ca="1">IFERROR(__xludf.DUMMYFUNCTION("""COMPUTED_VALUE"""),"No")</f>
        <v>No</v>
      </c>
      <c r="AF1164" s="8"/>
      <c r="AG1164" s="8" t="str">
        <f ca="1">IFERROR(__xludf.DUMMYFUNCTION("""COMPUTED_VALUE"""),"No")</f>
        <v>No</v>
      </c>
      <c r="AH1164" s="8" t="str">
        <f ca="1">IFERROR(__xludf.DUMMYFUNCTION("""COMPUTED_VALUE"""),"No")</f>
        <v>No</v>
      </c>
      <c r="AI1164" s="8" t="str">
        <f ca="1">IFERROR(__xludf.DUMMYFUNCTION("""COMPUTED_VALUE"""),"No")</f>
        <v>No</v>
      </c>
      <c r="AJ1164" s="8" t="str">
        <f ca="1">IFERROR(__xludf.DUMMYFUNCTION("""COMPUTED_VALUE"""),"No")</f>
        <v>No</v>
      </c>
      <c r="AK1164" s="8" t="str">
        <f ca="1">IFERROR(__xludf.DUMMYFUNCTION("""COMPUTED_VALUE"""),"No")</f>
        <v>No</v>
      </c>
      <c r="AL1164" s="8" t="str">
        <f ca="1">IFERROR(__xludf.DUMMYFUNCTION("""COMPUTED_VALUE"""),"No")</f>
        <v>No</v>
      </c>
      <c r="AM1164" s="8" t="str">
        <f ca="1">IFERROR(__xludf.DUMMYFUNCTION("""COMPUTED_VALUE"""),"No")</f>
        <v>No</v>
      </c>
      <c r="AN1164" s="8"/>
      <c r="AO1164" s="8"/>
      <c r="AP1164" s="8" t="str">
        <f ca="1">IFERROR(__xludf.DUMMYFUNCTION("""COMPUTED_VALUE"""),"No")</f>
        <v>No</v>
      </c>
      <c r="AQ1164" s="8" t="str">
        <f ca="1">IFERROR(__xludf.DUMMYFUNCTION("""COMPUTED_VALUE"""),"Guards")</f>
        <v>Guards</v>
      </c>
      <c r="AR1164" s="8" t="str">
        <f ca="1">IFERROR(__xludf.DUMMYFUNCTION("""COMPUTED_VALUE"""),"Outside/Off-Property")</f>
        <v>Outside/Off-Property</v>
      </c>
      <c r="AS1164" s="8">
        <f ca="1">IFERROR(__xludf.DUMMYFUNCTION("""COMPUTED_VALUE"""),0)</f>
        <v>0</v>
      </c>
      <c r="AT1164" s="8" t="str">
        <f ca="1">IFERROR(__xludf.DUMMYFUNCTION("""COMPUTED_VALUE"""),"Yes")</f>
        <v>Yes</v>
      </c>
      <c r="AU1164" s="8">
        <f ca="1">IFERROR(__xludf.DUMMYFUNCTION("""COMPUTED_VALUE"""),39.135962)</f>
        <v>39.135961999999999</v>
      </c>
      <c r="AV1164" s="8">
        <f ca="1">IFERROR(__xludf.DUMMYFUNCTION("""COMPUTED_VALUE"""),-77.195983)</f>
        <v>-77.195982999999998</v>
      </c>
      <c r="AW1164" s="8"/>
      <c r="AX1164" s="8">
        <f ca="1">IFERROR(__xludf.DUMMYFUNCTION("""COMPUTED_VALUE"""),20877)</f>
        <v>20877</v>
      </c>
    </row>
    <row r="1165" spans="1:50" ht="60" x14ac:dyDescent="0.2">
      <c r="A1165" s="8" t="str">
        <f ca="1">IFERROR(__xludf.DUMMYFUNCTION("""COMPUTED_VALUE"""),"20220111NMVAA")</f>
        <v>20220111NMVAA</v>
      </c>
      <c r="B1165" s="8">
        <f ca="1">IFERROR(__xludf.DUMMYFUNCTION("""COMPUTED_VALUE"""),1)</f>
        <v>1</v>
      </c>
      <c r="C1165" s="8">
        <f ca="1">IFERROR(__xludf.DUMMYFUNCTION("""COMPUTED_VALUE"""),11)</f>
        <v>11</v>
      </c>
      <c r="D1165" s="8">
        <f ca="1">IFERROR(__xludf.DUMMYFUNCTION("""COMPUTED_VALUE"""),2022)</f>
        <v>2022</v>
      </c>
      <c r="E1165" s="9">
        <f ca="1">IFERROR(__xludf.DUMMYFUNCTION("""COMPUTED_VALUE"""),44572)</f>
        <v>44572</v>
      </c>
      <c r="F1165" s="8" t="str">
        <f ca="1">IFERROR(__xludf.DUMMYFUNCTION("""COMPUTED_VALUE"""),"Valley High School")</f>
        <v>Valley High School</v>
      </c>
      <c r="G1165" s="8">
        <f ca="1">IFERROR(__xludf.DUMMYFUNCTION("""COMPUTED_VALUE"""),0)</f>
        <v>0</v>
      </c>
      <c r="H1165" s="8">
        <f ca="1">IFERROR(__xludf.DUMMYFUNCTION("""COMPUTED_VALUE"""),0)</f>
        <v>0</v>
      </c>
      <c r="I1165" s="8">
        <f ca="1">IFERROR(__xludf.DUMMYFUNCTION("""COMPUTED_VALUE"""),0)</f>
        <v>0</v>
      </c>
      <c r="J1165" s="8">
        <f ca="1">IFERROR(__xludf.DUMMYFUNCTION("""COMPUTED_VALUE"""),0)</f>
        <v>0</v>
      </c>
      <c r="K1165" s="8" t="str">
        <f ca="1">IFERROR(__xludf.DUMMYFUNCTION("""COMPUTED_VALUE"""),"https://www.thesun.co.uk/news/17295714/possible-active-shooter-new-mexico-shots-fired/ https://kvia.com/news/new-mexico/ap-new-mexico/2022/01/11/police-shots-fired-outside-high-school-basketball-game/ https://www.kob.com/albuquerque-news/apd-shots-fired-o"&amp;"utside-valley-high-school-game-/6355752/ https://www.abqjournal.com/2460528/apd-shots-fired-outside-valley-high-basketball-game.html")</f>
        <v>https://www.thesun.co.uk/news/17295714/possible-active-shooter-new-mexico-shots-fired/ https://kvia.com/news/new-mexico/ap-new-mexico/2022/01/11/police-shots-fired-outside-high-school-basketball-game/ https://www.kob.com/albuquerque-news/apd-shots-fired-outside-valley-high-school-game-/6355752/ https://www.abqjournal.com/2460528/apd-shots-fired-outside-valley-high-basketball-game.html</v>
      </c>
      <c r="L1165" s="8">
        <f ca="1">IFERROR(__xludf.DUMMYFUNCTION("""COMPUTED_VALUE"""),4)</f>
        <v>4</v>
      </c>
      <c r="M1165" s="8" t="str">
        <f ca="1">IFERROR(__xludf.DUMMYFUNCTION("""COMPUTED_VALUE"""),"Local")</f>
        <v>Local</v>
      </c>
      <c r="N1165" s="8">
        <f ca="1">IFERROR(__xludf.DUMMYFUNCTION("""COMPUTED_VALUE"""),4)</f>
        <v>4</v>
      </c>
      <c r="O1165" s="8" t="str">
        <f ca="1">IFERROR(__xludf.DUMMYFUNCTION("""COMPUTED_VALUE"""),"Fall")</f>
        <v>Fall</v>
      </c>
      <c r="P1165" s="8" t="str">
        <f ca="1">IFERROR(__xludf.DUMMYFUNCTION("""COMPUTED_VALUE"""),"Albuquerque")</f>
        <v>Albuquerque</v>
      </c>
      <c r="Q1165" s="8" t="str">
        <f ca="1">IFERROR(__xludf.DUMMYFUNCTION("""COMPUTED_VALUE"""),"NM")</f>
        <v>NM</v>
      </c>
      <c r="R1165" s="8" t="str">
        <f ca="1">IFERROR(__xludf.DUMMYFUNCTION("""COMPUTED_VALUE"""),"High")</f>
        <v>High</v>
      </c>
      <c r="S1165" s="8" t="str">
        <f ca="1">IFERROR(__xludf.DUMMYFUNCTION("""COMPUTED_VALUE"""),"Parking Lot")</f>
        <v>Parking Lot</v>
      </c>
      <c r="T1165" s="8" t="str">
        <f ca="1">IFERROR(__xludf.DUMMYFUNCTION("""COMPUTED_VALUE"""),"Outside on School Property")</f>
        <v>Outside on School Property</v>
      </c>
      <c r="U1165" s="8" t="str">
        <f ca="1">IFERROR(__xludf.DUMMYFUNCTION("""COMPUTED_VALUE"""),"No")</f>
        <v>No</v>
      </c>
      <c r="V1165" s="8" t="str">
        <f ca="1">IFERROR(__xludf.DUMMYFUNCTION("""COMPUTED_VALUE"""),"Sport Event")</f>
        <v>Sport Event</v>
      </c>
      <c r="W1165" s="11">
        <f ca="1">IFERROR(__xludf.DUMMYFUNCTION("""COMPUTED_VALUE"""),0.819444444444444)</f>
        <v>0.81944444444444398</v>
      </c>
      <c r="X1165" s="8">
        <f ca="1">IFERROR(__xludf.DUMMYFUNCTION("""COMPUTED_VALUE"""),1)</f>
        <v>1</v>
      </c>
      <c r="Y1165" s="12" t="str">
        <f ca="1">IFERROR(__xludf.DUMMYFUNCTION("""COMPUTED_VALUE"""),"15 shots fired in parking lot during high school basketball game")</f>
        <v>15 shots fired in parking lot during high school basketball game</v>
      </c>
      <c r="Z1165" s="12" t="str">
        <f ca="1">IFERROR(__xludf.DUMMYFUNCTION("""COMPUTED_VALUE"""),"15 shots were fired in the parking lot during a high school basketball game. School went on lockdown. Shooter fled. No injures.")</f>
        <v>15 shots were fired in the parking lot during a high school basketball game. School went on lockdown. Shooter fled. No injures.</v>
      </c>
      <c r="AA1165" s="8"/>
      <c r="AB1165" s="8"/>
      <c r="AC1165" s="8" t="str">
        <f ca="1">IFERROR(__xludf.DUMMYFUNCTION("""COMPUTED_VALUE"""),"Yes")</f>
        <v>Yes</v>
      </c>
      <c r="AD1165" s="8"/>
      <c r="AE1165" s="8" t="str">
        <f ca="1">IFERROR(__xludf.DUMMYFUNCTION("""COMPUTED_VALUE"""),"No")</f>
        <v>No</v>
      </c>
      <c r="AF1165" s="8"/>
      <c r="AG1165" s="8" t="str">
        <f ca="1">IFERROR(__xludf.DUMMYFUNCTION("""COMPUTED_VALUE"""),"No")</f>
        <v>No</v>
      </c>
      <c r="AH1165" s="8" t="str">
        <f ca="1">IFERROR(__xludf.DUMMYFUNCTION("""COMPUTED_VALUE"""),"No")</f>
        <v>No</v>
      </c>
      <c r="AI1165" s="8" t="str">
        <f ca="1">IFERROR(__xludf.DUMMYFUNCTION("""COMPUTED_VALUE"""),"No")</f>
        <v>No</v>
      </c>
      <c r="AJ1165" s="8" t="str">
        <f ca="1">IFERROR(__xludf.DUMMYFUNCTION("""COMPUTED_VALUE"""),"No")</f>
        <v>No</v>
      </c>
      <c r="AK1165" s="8" t="str">
        <f ca="1">IFERROR(__xludf.DUMMYFUNCTION("""COMPUTED_VALUE"""),"No")</f>
        <v>No</v>
      </c>
      <c r="AL1165" s="8"/>
      <c r="AM1165" s="8" t="str">
        <f ca="1">IFERROR(__xludf.DUMMYFUNCTION("""COMPUTED_VALUE"""),"No")</f>
        <v>No</v>
      </c>
      <c r="AN1165" s="8"/>
      <c r="AO1165" s="8" t="str">
        <f ca="1">IFERROR(__xludf.DUMMYFUNCTION("""COMPUTED_VALUE"""),"No")</f>
        <v>No</v>
      </c>
      <c r="AP1165" s="8"/>
      <c r="AQ1165" s="8"/>
      <c r="AR1165" s="8" t="str">
        <f ca="1">IFERROR(__xludf.DUMMYFUNCTION("""COMPUTED_VALUE"""),"Outside/Off-Property")</f>
        <v>Outside/Off-Property</v>
      </c>
      <c r="AS1165" s="8">
        <f ca="1">IFERROR(__xludf.DUMMYFUNCTION("""COMPUTED_VALUE"""),15)</f>
        <v>15</v>
      </c>
      <c r="AT1165" s="8" t="str">
        <f ca="1">IFERROR(__xludf.DUMMYFUNCTION("""COMPUTED_VALUE"""),"Yes")</f>
        <v>Yes</v>
      </c>
      <c r="AU1165" s="8">
        <f ca="1">IFERROR(__xludf.DUMMYFUNCTION("""COMPUTED_VALUE"""),35.125855)</f>
        <v>35.125855000000001</v>
      </c>
      <c r="AV1165" s="8">
        <f ca="1">IFERROR(__xludf.DUMMYFUNCTION("""COMPUTED_VALUE"""),-106.661989)</f>
        <v>-106.66198900000001</v>
      </c>
      <c r="AW1165" s="8"/>
      <c r="AX1165" s="8">
        <f ca="1">IFERROR(__xludf.DUMMYFUNCTION("""COMPUTED_VALUE"""),87197)</f>
        <v>87197</v>
      </c>
    </row>
    <row r="1166" spans="1:50" ht="75" x14ac:dyDescent="0.2">
      <c r="A1166" s="8" t="str">
        <f ca="1">IFERROR(__xludf.DUMMYFUNCTION("""COMPUTED_VALUE"""),"20220106CAFLS")</f>
        <v>20220106CAFLS</v>
      </c>
      <c r="B1166" s="8">
        <f ca="1">IFERROR(__xludf.DUMMYFUNCTION("""COMPUTED_VALUE"""),1)</f>
        <v>1</v>
      </c>
      <c r="C1166" s="8">
        <f ca="1">IFERROR(__xludf.DUMMYFUNCTION("""COMPUTED_VALUE"""),6)</f>
        <v>6</v>
      </c>
      <c r="D1166" s="8">
        <f ca="1">IFERROR(__xludf.DUMMYFUNCTION("""COMPUTED_VALUE"""),2022)</f>
        <v>2022</v>
      </c>
      <c r="E1166" s="9">
        <f ca="1">IFERROR(__xludf.DUMMYFUNCTION("""COMPUTED_VALUE"""),44567)</f>
        <v>44567</v>
      </c>
      <c r="F1166" s="8" t="str">
        <f ca="1">IFERROR(__xludf.DUMMYFUNCTION("""COMPUTED_VALUE"""),"Florin High School")</f>
        <v>Florin High School</v>
      </c>
      <c r="G1166" s="8">
        <f ca="1">IFERROR(__xludf.DUMMYFUNCTION("""COMPUTED_VALUE"""),0)</f>
        <v>0</v>
      </c>
      <c r="H1166" s="8">
        <f ca="1">IFERROR(__xludf.DUMMYFUNCTION("""COMPUTED_VALUE"""),2)</f>
        <v>2</v>
      </c>
      <c r="I1166" s="8">
        <f ca="1">IFERROR(__xludf.DUMMYFUNCTION("""COMPUTED_VALUE"""),2)</f>
        <v>2</v>
      </c>
      <c r="J1166" s="8">
        <f ca="1">IFERROR(__xludf.DUMMYFUNCTION("""COMPUTED_VALUE"""),0)</f>
        <v>0</v>
      </c>
      <c r="K1166" s="8" t="str">
        <f ca="1">IFERROR(__xludf.DUMMYFUNCTION("""COMPUTED_VALUE"""),"https://www.abc10.com/article/news/crime/two-minors-hurt-shooting-near-high-school-sacramento/103-8b5597fc-1395-40e3-8831-47663b8bab63 https://sacramento.cbslocal.com/2022/01/06/2-shot-near-florin-high-school-in-south-sacramento/ https://fox40.com/news/lo"&amp;"cal-news/two-florin-high-school-students-shot-behind-campus/")</f>
        <v>https://www.abc10.com/article/news/crime/two-minors-hurt-shooting-near-high-school-sacramento/103-8b5597fc-1395-40e3-8831-47663b8bab63 https://sacramento.cbslocal.com/2022/01/06/2-shot-near-florin-high-school-in-south-sacramento/ https://fox40.com/news/local-news/two-florin-high-school-students-shot-behind-campus/</v>
      </c>
      <c r="L1166" s="8">
        <f ca="1">IFERROR(__xludf.DUMMYFUNCTION("""COMPUTED_VALUE"""),10)</f>
        <v>10</v>
      </c>
      <c r="M1166" s="8" t="str">
        <f ca="1">IFERROR(__xludf.DUMMYFUNCTION("""COMPUTED_VALUE"""),"Regional")</f>
        <v>Regional</v>
      </c>
      <c r="N1166" s="8">
        <f ca="1">IFERROR(__xludf.DUMMYFUNCTION("""COMPUTED_VALUE"""),4)</f>
        <v>4</v>
      </c>
      <c r="O1166" s="8" t="str">
        <f ca="1">IFERROR(__xludf.DUMMYFUNCTION("""COMPUTED_VALUE"""),"Winter")</f>
        <v>Winter</v>
      </c>
      <c r="P1166" s="8" t="str">
        <f ca="1">IFERROR(__xludf.DUMMYFUNCTION("""COMPUTED_VALUE"""),"Sacramento")</f>
        <v>Sacramento</v>
      </c>
      <c r="Q1166" s="8" t="str">
        <f ca="1">IFERROR(__xludf.DUMMYFUNCTION("""COMPUTED_VALUE"""),"CA")</f>
        <v>CA</v>
      </c>
      <c r="R1166" s="8" t="str">
        <f ca="1">IFERROR(__xludf.DUMMYFUNCTION("""COMPUTED_VALUE"""),"High")</f>
        <v>High</v>
      </c>
      <c r="S1166" s="8" t="str">
        <f ca="1">IFERROR(__xludf.DUMMYFUNCTION("""COMPUTED_VALUE"""),"Field (General)")</f>
        <v>Field (General)</v>
      </c>
      <c r="T1166" s="8" t="str">
        <f ca="1">IFERROR(__xludf.DUMMYFUNCTION("""COMPUTED_VALUE"""),"Outside on School Property")</f>
        <v>Outside on School Property</v>
      </c>
      <c r="U1166" s="8" t="str">
        <f ca="1">IFERROR(__xludf.DUMMYFUNCTION("""COMPUTED_VALUE"""),"No")</f>
        <v>No</v>
      </c>
      <c r="V1166" s="8" t="str">
        <f ca="1">IFERROR(__xludf.DUMMYFUNCTION("""COMPUTED_VALUE"""),"After School")</f>
        <v>After School</v>
      </c>
      <c r="W1166" s="11">
        <f ca="1">IFERROR(__xludf.DUMMYFUNCTION("""COMPUTED_VALUE"""),0.652777777777777)</f>
        <v>0.65277777777777701</v>
      </c>
      <c r="X1166" s="8">
        <f ca="1">IFERROR(__xludf.DUMMYFUNCTION("""COMPUTED_VALUE"""),1)</f>
        <v>1</v>
      </c>
      <c r="Y1166" s="12" t="str">
        <f ca="1">IFERROR(__xludf.DUMMYFUNCTION("""COMPUTED_VALUE"""),"Two students shot at the back gate to the school campus")</f>
        <v>Two students shot at the back gate to the school campus</v>
      </c>
      <c r="Z1166" s="12" t="str">
        <f ca="1">IFERROR(__xludf.DUMMYFUNCTION("""COMPUTED_VALUE"""),"Two 17-year-old students were shot during a fight that involved a dozen students at the back gate to the school campus. School had dismissed but remaining staff and students in the building locked down. Shooter fled the scene.")</f>
        <v>Two 17-year-old students were shot during a fight that involved a dozen students at the back gate to the school campus. School had dismissed but remaining staff and students in the building locked down. Shooter fled the scene.</v>
      </c>
      <c r="AA1166" s="8" t="str">
        <f ca="1">IFERROR(__xludf.DUMMYFUNCTION("""COMPUTED_VALUE"""),"Escalation of Dispute")</f>
        <v>Escalation of Dispute</v>
      </c>
      <c r="AB1166" s="8"/>
      <c r="AC1166" s="8" t="str">
        <f ca="1">IFERROR(__xludf.DUMMYFUNCTION("""COMPUTED_VALUE"""),"Yes")</f>
        <v>Yes</v>
      </c>
      <c r="AD1166" s="8" t="str">
        <f ca="1">IFERROR(__xludf.DUMMYFUNCTION("""COMPUTED_VALUE"""),"Both")</f>
        <v>Both</v>
      </c>
      <c r="AE1166" s="8" t="str">
        <f ca="1">IFERROR(__xludf.DUMMYFUNCTION("""COMPUTED_VALUE"""),"No")</f>
        <v>No</v>
      </c>
      <c r="AF1166" s="8"/>
      <c r="AG1166" s="8" t="str">
        <f ca="1">IFERROR(__xludf.DUMMYFUNCTION("""COMPUTED_VALUE"""),"No")</f>
        <v>No</v>
      </c>
      <c r="AH1166" s="8" t="str">
        <f ca="1">IFERROR(__xludf.DUMMYFUNCTION("""COMPUTED_VALUE"""),"No")</f>
        <v>No</v>
      </c>
      <c r="AI1166" s="8" t="str">
        <f ca="1">IFERROR(__xludf.DUMMYFUNCTION("""COMPUTED_VALUE"""),"No")</f>
        <v>No</v>
      </c>
      <c r="AJ1166" s="8" t="str">
        <f ca="1">IFERROR(__xludf.DUMMYFUNCTION("""COMPUTED_VALUE"""),"No")</f>
        <v>No</v>
      </c>
      <c r="AK1166" s="8" t="str">
        <f ca="1">IFERROR(__xludf.DUMMYFUNCTION("""COMPUTED_VALUE"""),"No")</f>
        <v>No</v>
      </c>
      <c r="AL1166" s="8"/>
      <c r="AM1166" s="8" t="str">
        <f ca="1">IFERROR(__xludf.DUMMYFUNCTION("""COMPUTED_VALUE"""),"No")</f>
        <v>No</v>
      </c>
      <c r="AN1166" s="8"/>
      <c r="AO1166" s="8" t="str">
        <f ca="1">IFERROR(__xludf.DUMMYFUNCTION("""COMPUTED_VALUE"""),"No")</f>
        <v>No</v>
      </c>
      <c r="AP1166" s="8"/>
      <c r="AQ1166" s="8"/>
      <c r="AR1166" s="8" t="str">
        <f ca="1">IFERROR(__xludf.DUMMYFUNCTION("""COMPUTED_VALUE"""),"Outside/Off-Property")</f>
        <v>Outside/Off-Property</v>
      </c>
      <c r="AS1166" s="8"/>
      <c r="AT1166" s="8" t="str">
        <f ca="1">IFERROR(__xludf.DUMMYFUNCTION("""COMPUTED_VALUE"""),"Yes")</f>
        <v>Yes</v>
      </c>
      <c r="AU1166" s="8">
        <f ca="1">IFERROR(__xludf.DUMMYFUNCTION("""COMPUTED_VALUE"""),38.469795)</f>
        <v>38.469794999999998</v>
      </c>
      <c r="AV1166" s="8">
        <f ca="1">IFERROR(__xludf.DUMMYFUNCTION("""COMPUTED_VALUE"""),-121.395227)</f>
        <v>-121.39522700000001</v>
      </c>
      <c r="AW1166" s="8"/>
      <c r="AX1166" s="8">
        <f ca="1">IFERROR(__xludf.DUMMYFUNCTION("""COMPUTED_VALUE"""),95828)</f>
        <v>95828</v>
      </c>
    </row>
    <row r="1167" spans="1:50" ht="150" x14ac:dyDescent="0.2">
      <c r="A1167" s="8" t="str">
        <f ca="1">IFERROR(__xludf.DUMMYFUNCTION("""COMPUTED_VALUE"""),"20220104ILAUR")</f>
        <v>20220104ILAUR</v>
      </c>
      <c r="B1167" s="8">
        <f ca="1">IFERROR(__xludf.DUMMYFUNCTION("""COMPUTED_VALUE"""),1)</f>
        <v>1</v>
      </c>
      <c r="C1167" s="8">
        <f ca="1">IFERROR(__xludf.DUMMYFUNCTION("""COMPUTED_VALUE"""),4)</f>
        <v>4</v>
      </c>
      <c r="D1167" s="8">
        <f ca="1">IFERROR(__xludf.DUMMYFUNCTION("""COMPUTED_VALUE"""),2022)</f>
        <v>2022</v>
      </c>
      <c r="E1167" s="9">
        <f ca="1">IFERROR(__xludf.DUMMYFUNCTION("""COMPUTED_VALUE"""),44565)</f>
        <v>44565</v>
      </c>
      <c r="F1167" s="8" t="str">
        <f ca="1">IFERROR(__xludf.DUMMYFUNCTION("""COMPUTED_VALUE"""),"Auburn High School")</f>
        <v>Auburn High School</v>
      </c>
      <c r="G1167" s="8">
        <f ca="1">IFERROR(__xludf.DUMMYFUNCTION("""COMPUTED_VALUE"""),0)</f>
        <v>0</v>
      </c>
      <c r="H1167" s="8">
        <f ca="1">IFERROR(__xludf.DUMMYFUNCTION("""COMPUTED_VALUE"""),2)</f>
        <v>2</v>
      </c>
      <c r="I1167" s="8">
        <f ca="1">IFERROR(__xludf.DUMMYFUNCTION("""COMPUTED_VALUE"""),2)</f>
        <v>2</v>
      </c>
      <c r="J1167" s="8">
        <f ca="1">IFERROR(__xludf.DUMMYFUNCTION("""COMPUTED_VALUE"""),0)</f>
        <v>0</v>
      </c>
      <c r="K1167" s="8" t="str">
        <f ca="1">IFERROR(__xludf.DUMMYFUNCTION("""COMPUTED_VALUE"""),"https://illinoisnewstoday.com/a-teenage-suspect-in-a-shooting-at-auburn-high-school-on-trial-as-an-adult/458315/ https://www.week.com/2022/01/04/breaking-auburn-high-school-lockdown-while-police-investigate-shooting/ https://www.wrex.com/news/top-stories/"&amp;"parents-concerned-about-school-safety-after-two-teens-shot-outside-of-auburn-high-school-three/article_d49ce64c-6d96-11ec-9583-ff1c92d9a812.html https://www.wsiltv.com/news/illinois/3-teens-face-attempted-murder-charges-after-school-shooting/article_c358f"&amp;"ced-59fb-5307-b288-c1dac38c6280.html https://www.wifr.com/2022/01/04/breaking-shooting-investigation-outside-auburn-high-school/")</f>
        <v>https://illinoisnewstoday.com/a-teenage-suspect-in-a-shooting-at-auburn-high-school-on-trial-as-an-adult/458315/ https://www.week.com/2022/01/04/breaking-auburn-high-school-lockdown-while-police-investigate-shooting/ https://www.wrex.com/news/top-stories/parents-concerned-about-school-safety-after-two-teens-shot-outside-of-auburn-high-school-three/article_d49ce64c-6d96-11ec-9583-ff1c92d9a812.html https://www.wsiltv.com/news/illinois/3-teens-face-attempted-murder-charges-after-school-shooting/article_c358fced-59fb-5307-b288-c1dac38c6280.html https://www.wifr.com/2022/01/04/breaking-shooting-investigation-outside-auburn-high-school/</v>
      </c>
      <c r="L1167" s="8">
        <f ca="1">IFERROR(__xludf.DUMMYFUNCTION("""COMPUTED_VALUE"""),50)</f>
        <v>50</v>
      </c>
      <c r="M1167" s="8" t="str">
        <f ca="1">IFERROR(__xludf.DUMMYFUNCTION("""COMPUTED_VALUE"""),"National")</f>
        <v>National</v>
      </c>
      <c r="N1167" s="8">
        <f ca="1">IFERROR(__xludf.DUMMYFUNCTION("""COMPUTED_VALUE"""),4)</f>
        <v>4</v>
      </c>
      <c r="O1167" s="8" t="str">
        <f ca="1">IFERROR(__xludf.DUMMYFUNCTION("""COMPUTED_VALUE"""),"Winter")</f>
        <v>Winter</v>
      </c>
      <c r="P1167" s="8" t="str">
        <f ca="1">IFERROR(__xludf.DUMMYFUNCTION("""COMPUTED_VALUE"""),"Rockford")</f>
        <v>Rockford</v>
      </c>
      <c r="Q1167" s="8" t="str">
        <f ca="1">IFERROR(__xludf.DUMMYFUNCTION("""COMPUTED_VALUE"""),"IL")</f>
        <v>IL</v>
      </c>
      <c r="R1167" s="8" t="str">
        <f ca="1">IFERROR(__xludf.DUMMYFUNCTION("""COMPUTED_VALUE"""),"High")</f>
        <v>High</v>
      </c>
      <c r="S1167" s="8" t="str">
        <f ca="1">IFERROR(__xludf.DUMMYFUNCTION("""COMPUTED_VALUE"""),"Parking Lot")</f>
        <v>Parking Lot</v>
      </c>
      <c r="T1167" s="8" t="str">
        <f ca="1">IFERROR(__xludf.DUMMYFUNCTION("""COMPUTED_VALUE"""),"Outside on School Property")</f>
        <v>Outside on School Property</v>
      </c>
      <c r="U1167" s="8" t="str">
        <f ca="1">IFERROR(__xludf.DUMMYFUNCTION("""COMPUTED_VALUE"""),"Yes")</f>
        <v>Yes</v>
      </c>
      <c r="V1167" s="8" t="str">
        <f ca="1">IFERROR(__xludf.DUMMYFUNCTION("""COMPUTED_VALUE"""),"Afternoon Classes")</f>
        <v>Afternoon Classes</v>
      </c>
      <c r="W1167" s="11">
        <f ca="1">IFERROR(__xludf.DUMMYFUNCTION("""COMPUTED_VALUE"""),0.576388888888888)</f>
        <v>0.57638888888888795</v>
      </c>
      <c r="X1167" s="8">
        <f ca="1">IFERROR(__xludf.DUMMYFUNCTION("""COMPUTED_VALUE"""),1)</f>
        <v>1</v>
      </c>
      <c r="Y1167" s="12" t="str">
        <f ca="1">IFERROR(__xludf.DUMMYFUNCTION("""COMPUTED_VALUE"""),"Two student shot inside vehicle in school parking lot by 2 other students")</f>
        <v>Two student shot inside vehicle in school parking lot by 2 other students</v>
      </c>
      <c r="Z1167" s="12" t="str">
        <f ca="1">IFERROR(__xludf.DUMMYFUNCTION("""COMPUTED_VALUE"""),"A 17-year-old male and 17-year-old female student were seated inside a vehicle in the school parking lot. Another vehicle with a 17-year-old male, 16-year-old male, and 15-year-old male pulled up in front of them. The 16- and 17-year-old both pulled handg"&amp;"uns and fired 5 shots at the vehicle striking both occupants. Shooter fled the scene in a vehicle and crashed during a police pursuit. The shooters ran from the vehicle and were found hiding in the surrounding area. Two handguns were recovered from the ve"&amp;"hicle.")</f>
        <v>A 17-year-old male and 17-year-old female student were seated inside a vehicle in the school parking lot. Another vehicle with a 17-year-old male, 16-year-old male, and 15-year-old male pulled up in front of them. The 16- and 17-year-old both pulled handguns and fired 5 shots at the vehicle striking both occupants. Shooter fled the scene in a vehicle and crashed during a police pursuit. The shooters ran from the vehicle and were found hiding in the surrounding area. Two handguns were recovered from the vehicle.</v>
      </c>
      <c r="AA1167" s="8"/>
      <c r="AB1167" s="8"/>
      <c r="AC1167" s="8" t="str">
        <f ca="1">IFERROR(__xludf.DUMMYFUNCTION("""COMPUTED_VALUE"""),"Yes")</f>
        <v>Yes</v>
      </c>
      <c r="AD1167" s="8" t="str">
        <f ca="1">IFERROR(__xludf.DUMMYFUNCTION("""COMPUTED_VALUE"""),"Victims Targeted")</f>
        <v>Victims Targeted</v>
      </c>
      <c r="AE1167" s="8" t="str">
        <f ca="1">IFERROR(__xludf.DUMMYFUNCTION("""COMPUTED_VALUE"""),"Yes")</f>
        <v>Yes</v>
      </c>
      <c r="AF1167" s="8" t="str">
        <f ca="1">IFERROR(__xludf.DUMMYFUNCTION("""COMPUTED_VALUE"""),"3 students arrested")</f>
        <v>3 students arrested</v>
      </c>
      <c r="AG1167" s="8" t="str">
        <f ca="1">IFERROR(__xludf.DUMMYFUNCTION("""COMPUTED_VALUE"""),"No")</f>
        <v>No</v>
      </c>
      <c r="AH1167" s="8" t="str">
        <f ca="1">IFERROR(__xludf.DUMMYFUNCTION("""COMPUTED_VALUE"""),"No")</f>
        <v>No</v>
      </c>
      <c r="AI1167" s="8" t="str">
        <f ca="1">IFERROR(__xludf.DUMMYFUNCTION("""COMPUTED_VALUE"""),"No")</f>
        <v>No</v>
      </c>
      <c r="AJ1167" s="8" t="str">
        <f ca="1">IFERROR(__xludf.DUMMYFUNCTION("""COMPUTED_VALUE"""),"No")</f>
        <v>No</v>
      </c>
      <c r="AK1167" s="8" t="str">
        <f ca="1">IFERROR(__xludf.DUMMYFUNCTION("""COMPUTED_VALUE"""),"No")</f>
        <v>No</v>
      </c>
      <c r="AL1167" s="8" t="str">
        <f ca="1">IFERROR(__xludf.DUMMYFUNCTION("""COMPUTED_VALUE"""),"No")</f>
        <v>No</v>
      </c>
      <c r="AM1167" s="8" t="str">
        <f ca="1">IFERROR(__xludf.DUMMYFUNCTION("""COMPUTED_VALUE"""),"No")</f>
        <v>No</v>
      </c>
      <c r="AN1167" s="8"/>
      <c r="AO1167" s="8" t="str">
        <f ca="1">IFERROR(__xludf.DUMMYFUNCTION("""COMPUTED_VALUE"""),"No")</f>
        <v>No</v>
      </c>
      <c r="AP1167" s="8"/>
      <c r="AQ1167" s="8"/>
      <c r="AR1167" s="8" t="str">
        <f ca="1">IFERROR(__xludf.DUMMYFUNCTION("""COMPUTED_VALUE"""),"Outside/Off-Property")</f>
        <v>Outside/Off-Property</v>
      </c>
      <c r="AS1167" s="8">
        <f ca="1">IFERROR(__xludf.DUMMYFUNCTION("""COMPUTED_VALUE"""),5)</f>
        <v>5</v>
      </c>
      <c r="AT1167" s="8" t="str">
        <f ca="1">IFERROR(__xludf.DUMMYFUNCTION("""COMPUTED_VALUE"""),"Yes")</f>
        <v>Yes</v>
      </c>
      <c r="AU1167" s="8">
        <f ca="1">IFERROR(__xludf.DUMMYFUNCTION("""COMPUTED_VALUE"""),42.286159)</f>
        <v>42.286158999999998</v>
      </c>
      <c r="AV1167" s="8">
        <f ca="1">IFERROR(__xludf.DUMMYFUNCTION("""COMPUTED_VALUE"""),-89.137674)</f>
        <v>-89.137674000000004</v>
      </c>
      <c r="AW1167" s="8"/>
      <c r="AX1167" s="8">
        <f ca="1">IFERROR(__xludf.DUMMYFUNCTION("""COMPUTED_VALUE"""),61101)</f>
        <v>61101</v>
      </c>
    </row>
    <row r="1168" spans="1:50" ht="60" x14ac:dyDescent="0.2">
      <c r="A1168" s="8" t="str">
        <f ca="1">IFERROR(__xludf.DUMMYFUNCTION("""COMPUTED_VALUE"""),"20220103WACHP")</f>
        <v>20220103WACHP</v>
      </c>
      <c r="B1168" s="8">
        <f ca="1">IFERROR(__xludf.DUMMYFUNCTION("""COMPUTED_VALUE"""),1)</f>
        <v>1</v>
      </c>
      <c r="C1168" s="8">
        <f ca="1">IFERROR(__xludf.DUMMYFUNCTION("""COMPUTED_VALUE"""),3)</f>
        <v>3</v>
      </c>
      <c r="D1168" s="8">
        <f ca="1">IFERROR(__xludf.DUMMYFUNCTION("""COMPUTED_VALUE"""),2022)</f>
        <v>2022</v>
      </c>
      <c r="E1168" s="9">
        <f ca="1">IFERROR(__xludf.DUMMYFUNCTION("""COMPUTED_VALUE"""),44564)</f>
        <v>44564</v>
      </c>
      <c r="F1168" s="8" t="str">
        <f ca="1">IFERROR(__xludf.DUMMYFUNCTION("""COMPUTED_VALUE"""),"Childpeace Montessori School")</f>
        <v>Childpeace Montessori School</v>
      </c>
      <c r="G1168" s="8">
        <f ca="1">IFERROR(__xludf.DUMMYFUNCTION("""COMPUTED_VALUE"""),0)</f>
        <v>0</v>
      </c>
      <c r="H1168" s="8">
        <f ca="1">IFERROR(__xludf.DUMMYFUNCTION("""COMPUTED_VALUE"""),0)</f>
        <v>0</v>
      </c>
      <c r="I1168" s="8">
        <f ca="1">IFERROR(__xludf.DUMMYFUNCTION("""COMPUTED_VALUE"""),0)</f>
        <v>0</v>
      </c>
      <c r="J1168" s="8">
        <f ca="1">IFERROR(__xludf.DUMMYFUNCTION("""COMPUTED_VALUE"""),0)</f>
        <v>0</v>
      </c>
      <c r="K1168" s="8" t="str">
        <f ca="1">IFERROR(__xludf.DUMMYFUNCTION("""COMPUTED_VALUE"""),"https://katu.com/news/local/arrest-made-after-shots-fired-near-northwest-portland-montessori-school https://www.portlandoregon.gov/police/news/read.cfm?id=382126 https://www.koin.com/news/crime/shots-fired-outside-portland-school-woman-arrested/")</f>
        <v>https://katu.com/news/local/arrest-made-after-shots-fired-near-northwest-portland-montessori-school https://www.portlandoregon.gov/police/news/read.cfm?id=382126 https://www.koin.com/news/crime/shots-fired-outside-portland-school-woman-arrested/</v>
      </c>
      <c r="L1168" s="8">
        <f ca="1">IFERROR(__xludf.DUMMYFUNCTION("""COMPUTED_VALUE"""),4)</f>
        <v>4</v>
      </c>
      <c r="M1168" s="8" t="str">
        <f ca="1">IFERROR(__xludf.DUMMYFUNCTION("""COMPUTED_VALUE"""),"Local")</f>
        <v>Local</v>
      </c>
      <c r="N1168" s="8">
        <f ca="1">IFERROR(__xludf.DUMMYFUNCTION("""COMPUTED_VALUE"""),4)</f>
        <v>4</v>
      </c>
      <c r="O1168" s="8" t="str">
        <f ca="1">IFERROR(__xludf.DUMMYFUNCTION("""COMPUTED_VALUE"""),"Winter")</f>
        <v>Winter</v>
      </c>
      <c r="P1168" s="8" t="str">
        <f ca="1">IFERROR(__xludf.DUMMYFUNCTION("""COMPUTED_VALUE"""),"Portland")</f>
        <v>Portland</v>
      </c>
      <c r="Q1168" s="8" t="str">
        <f ca="1">IFERROR(__xludf.DUMMYFUNCTION("""COMPUTED_VALUE"""),"OR")</f>
        <v>OR</v>
      </c>
      <c r="R1168" s="8" t="str">
        <f ca="1">IFERROR(__xludf.DUMMYFUNCTION("""COMPUTED_VALUE"""),"K-8")</f>
        <v>K-8</v>
      </c>
      <c r="S1168" s="8" t="str">
        <f ca="1">IFERROR(__xludf.DUMMYFUNCTION("""COMPUTED_VALUE"""),"Front of School")</f>
        <v>Front of School</v>
      </c>
      <c r="T1168" s="8" t="str">
        <f ca="1">IFERROR(__xludf.DUMMYFUNCTION("""COMPUTED_VALUE"""),"Off School Property")</f>
        <v>Off School Property</v>
      </c>
      <c r="U1168" s="8" t="str">
        <f ca="1">IFERROR(__xludf.DUMMYFUNCTION("""COMPUTED_VALUE"""),"Yes")</f>
        <v>Yes</v>
      </c>
      <c r="V1168" s="8" t="str">
        <f ca="1">IFERROR(__xludf.DUMMYFUNCTION("""COMPUTED_VALUE"""),"Afternoon Classes")</f>
        <v>Afternoon Classes</v>
      </c>
      <c r="W1168" s="11">
        <f ca="1">IFERROR(__xludf.DUMMYFUNCTION("""COMPUTED_VALUE"""),0.541666666666666)</f>
        <v>0.54166666666666596</v>
      </c>
      <c r="X1168" s="8">
        <f ca="1">IFERROR(__xludf.DUMMYFUNCTION("""COMPUTED_VALUE"""),1)</f>
        <v>1</v>
      </c>
      <c r="Y1168" s="12" t="str">
        <f ca="1">IFERROR(__xludf.DUMMYFUNCTION("""COMPUTED_VALUE"""),"Shots fired from a vehicle in front of the school")</f>
        <v>Shots fired from a vehicle in front of the school</v>
      </c>
      <c r="Z1168" s="12" t="str">
        <f ca="1">IFERROR(__xludf.DUMMYFUNCTION("""COMPUTED_VALUE"""),"An adult female fired two shots from a vehicle in front of the school while class was in session. Shooter fled the scene and was arrested a short distance away with a loaded handgun and ammunition. Charged with multiple felonies.")</f>
        <v>An adult female fired two shots from a vehicle in front of the school while class was in session. Shooter fled the scene and was arrested a short distance away with a loaded handgun and ammunition. Charged with multiple felonies.</v>
      </c>
      <c r="AA1168" s="8" t="str">
        <f ca="1">IFERROR(__xludf.DUMMYFUNCTION("""COMPUTED_VALUE"""),"Drive-by Shooting")</f>
        <v>Drive-by Shooting</v>
      </c>
      <c r="AB1168" s="8"/>
      <c r="AC1168" s="8" t="str">
        <f ca="1">IFERROR(__xludf.DUMMYFUNCTION("""COMPUTED_VALUE"""),"Yes")</f>
        <v>Yes</v>
      </c>
      <c r="AD1168" s="8" t="str">
        <f ca="1">IFERROR(__xludf.DUMMYFUNCTION("""COMPUTED_VALUE"""),"Random Shooting")</f>
        <v>Random Shooting</v>
      </c>
      <c r="AE1168" s="8" t="str">
        <f ca="1">IFERROR(__xludf.DUMMYFUNCTION("""COMPUTED_VALUE"""),"No")</f>
        <v>No</v>
      </c>
      <c r="AF1168" s="8"/>
      <c r="AG1168" s="8" t="str">
        <f ca="1">IFERROR(__xludf.DUMMYFUNCTION("""COMPUTED_VALUE"""),"No")</f>
        <v>No</v>
      </c>
      <c r="AH1168" s="8" t="str">
        <f ca="1">IFERROR(__xludf.DUMMYFUNCTION("""COMPUTED_VALUE"""),"No")</f>
        <v>No</v>
      </c>
      <c r="AI1168" s="8" t="str">
        <f ca="1">IFERROR(__xludf.DUMMYFUNCTION("""COMPUTED_VALUE"""),"No")</f>
        <v>No</v>
      </c>
      <c r="AJ1168" s="8" t="str">
        <f ca="1">IFERROR(__xludf.DUMMYFUNCTION("""COMPUTED_VALUE"""),"No")</f>
        <v>No</v>
      </c>
      <c r="AK1168" s="8" t="str">
        <f ca="1">IFERROR(__xludf.DUMMYFUNCTION("""COMPUTED_VALUE"""),"No")</f>
        <v>No</v>
      </c>
      <c r="AL1168" s="8" t="str">
        <f ca="1">IFERROR(__xludf.DUMMYFUNCTION("""COMPUTED_VALUE"""),"No")</f>
        <v>No</v>
      </c>
      <c r="AM1168" s="8" t="str">
        <f ca="1">IFERROR(__xludf.DUMMYFUNCTION("""COMPUTED_VALUE"""),"No")</f>
        <v>No</v>
      </c>
      <c r="AN1168" s="8"/>
      <c r="AO1168" s="8" t="str">
        <f ca="1">IFERROR(__xludf.DUMMYFUNCTION("""COMPUTED_VALUE"""),"No")</f>
        <v>No</v>
      </c>
      <c r="AP1168" s="8"/>
      <c r="AQ1168" s="8"/>
      <c r="AR1168" s="8" t="str">
        <f ca="1">IFERROR(__xludf.DUMMYFUNCTION("""COMPUTED_VALUE"""),"Outside/Off-Property")</f>
        <v>Outside/Off-Property</v>
      </c>
      <c r="AS1168" s="8">
        <f ca="1">IFERROR(__xludf.DUMMYFUNCTION("""COMPUTED_VALUE"""),2)</f>
        <v>2</v>
      </c>
      <c r="AT1168" s="8"/>
      <c r="AU1168" s="8">
        <f ca="1">IFERROR(__xludf.DUMMYFUNCTION("""COMPUTED_VALUE"""),45.535514)</f>
        <v>45.535513999999999</v>
      </c>
      <c r="AV1168" s="8">
        <f ca="1">IFERROR(__xludf.DUMMYFUNCTION("""COMPUTED_VALUE"""),-122.687196)</f>
        <v>-122.687196</v>
      </c>
      <c r="AW1168" s="8"/>
      <c r="AX1168" s="8">
        <f ca="1">IFERROR(__xludf.DUMMYFUNCTION("""COMPUTED_VALUE"""),97209)</f>
        <v>97209</v>
      </c>
    </row>
    <row r="1169" spans="1:50" ht="45" x14ac:dyDescent="0.2">
      <c r="A1169" s="8" t="str">
        <f ca="1">IFERROR(__xludf.DUMMYFUNCTION("""COMPUTED_VALUE"""),"20220103OHCOC")</f>
        <v>20220103OHCOC</v>
      </c>
      <c r="B1169" s="8">
        <f ca="1">IFERROR(__xludf.DUMMYFUNCTION("""COMPUTED_VALUE"""),1)</f>
        <v>1</v>
      </c>
      <c r="C1169" s="8">
        <f ca="1">IFERROR(__xludf.DUMMYFUNCTION("""COMPUTED_VALUE"""),3)</f>
        <v>3</v>
      </c>
      <c r="D1169" s="8">
        <f ca="1">IFERROR(__xludf.DUMMYFUNCTION("""COMPUTED_VALUE"""),2022)</f>
        <v>2022</v>
      </c>
      <c r="E1169" s="9">
        <f ca="1">IFERROR(__xludf.DUMMYFUNCTION("""COMPUTED_VALUE"""),44564)</f>
        <v>44564</v>
      </c>
      <c r="F1169" s="8" t="str">
        <f ca="1">IFERROR(__xludf.DUMMYFUNCTION("""COMPUTED_VALUE"""),"Columbus School Bus")</f>
        <v>Columbus School Bus</v>
      </c>
      <c r="G1169" s="8">
        <f ca="1">IFERROR(__xludf.DUMMYFUNCTION("""COMPUTED_VALUE"""),0)</f>
        <v>0</v>
      </c>
      <c r="H1169" s="8">
        <f ca="1">IFERROR(__xludf.DUMMYFUNCTION("""COMPUTED_VALUE"""),0)</f>
        <v>0</v>
      </c>
      <c r="I1169" s="8">
        <f ca="1">IFERROR(__xludf.DUMMYFUNCTION("""COMPUTED_VALUE"""),0)</f>
        <v>0</v>
      </c>
      <c r="J1169" s="8">
        <f ca="1">IFERROR(__xludf.DUMMYFUNCTION("""COMPUTED_VALUE"""),0)</f>
        <v>0</v>
      </c>
      <c r="K1169" s="10" t="str">
        <f ca="1">IFERROR(__xludf.DUMMYFUNCTION("""COMPUTED_VALUE"""),"https://www.10tv.com/article/news/local/columbus-school-bus-hit-gunfire-i-670/530-4688dd7c-6ed3-4e46-9ac9-284f273997c6")</f>
        <v>https://www.10tv.com/article/news/local/columbus-school-bus-hit-gunfire-i-670/530-4688dd7c-6ed3-4e46-9ac9-284f273997c6</v>
      </c>
      <c r="L1169" s="8">
        <f ca="1">IFERROR(__xludf.DUMMYFUNCTION("""COMPUTED_VALUE"""),1)</f>
        <v>1</v>
      </c>
      <c r="M1169" s="8" t="str">
        <f ca="1">IFERROR(__xludf.DUMMYFUNCTION("""COMPUTED_VALUE"""),"Local")</f>
        <v>Local</v>
      </c>
      <c r="N1169" s="8">
        <f ca="1">IFERROR(__xludf.DUMMYFUNCTION("""COMPUTED_VALUE"""),3)</f>
        <v>3</v>
      </c>
      <c r="O1169" s="8" t="str">
        <f ca="1">IFERROR(__xludf.DUMMYFUNCTION("""COMPUTED_VALUE"""),"Winter")</f>
        <v>Winter</v>
      </c>
      <c r="P1169" s="8" t="str">
        <f ca="1">IFERROR(__xludf.DUMMYFUNCTION("""COMPUTED_VALUE"""),"Columbus")</f>
        <v>Columbus</v>
      </c>
      <c r="Q1169" s="8" t="str">
        <f ca="1">IFERROR(__xludf.DUMMYFUNCTION("""COMPUTED_VALUE"""),"OH")</f>
        <v>OH</v>
      </c>
      <c r="R1169" s="8"/>
      <c r="S1169" s="8" t="str">
        <f ca="1">IFERROR(__xludf.DUMMYFUNCTION("""COMPUTED_VALUE"""),"School Bus")</f>
        <v>School Bus</v>
      </c>
      <c r="T1169" s="8" t="str">
        <f ca="1">IFERROR(__xludf.DUMMYFUNCTION("""COMPUTED_VALUE"""),"School Bus")</f>
        <v>School Bus</v>
      </c>
      <c r="U1169" s="8" t="str">
        <f ca="1">IFERROR(__xludf.DUMMYFUNCTION("""COMPUTED_VALUE"""),"Yes")</f>
        <v>Yes</v>
      </c>
      <c r="V1169" s="8" t="str">
        <f ca="1">IFERROR(__xludf.DUMMYFUNCTION("""COMPUTED_VALUE"""),"Before School")</f>
        <v>Before School</v>
      </c>
      <c r="W1169" s="11">
        <f ca="1">IFERROR(__xludf.DUMMYFUNCTION("""COMPUTED_VALUE"""),0.236111111111111)</f>
        <v>0.23611111111111099</v>
      </c>
      <c r="X1169" s="8">
        <f ca="1">IFERROR(__xludf.DUMMYFUNCTION("""COMPUTED_VALUE"""),1)</f>
        <v>1</v>
      </c>
      <c r="Y1169" s="12" t="str">
        <f ca="1">IFERROR(__xludf.DUMMYFUNCTION("""COMPUTED_VALUE"""),"School bus struck by bullet while driving")</f>
        <v>School bus struck by bullet while driving</v>
      </c>
      <c r="Z1169" s="12" t="str">
        <f ca="1">IFERROR(__xludf.DUMMYFUNCTION("""COMPUTED_VALUE"""),"A school bus was struck by a single bullet while driving to pick up students. The driver was the only person on the bus at the time of the shooting and was not injured.")</f>
        <v>A school bus was struck by a single bullet while driving to pick up students. The driver was the only person on the bus at the time of the shooting and was not injured.</v>
      </c>
      <c r="AA1169" s="8"/>
      <c r="AB1169" s="8"/>
      <c r="AC1169" s="8" t="str">
        <f ca="1">IFERROR(__xludf.DUMMYFUNCTION("""COMPUTED_VALUE"""),"Yes")</f>
        <v>Yes</v>
      </c>
      <c r="AD1169" s="8"/>
      <c r="AE1169" s="8" t="str">
        <f ca="1">IFERROR(__xludf.DUMMYFUNCTION("""COMPUTED_VALUE"""),"No")</f>
        <v>No</v>
      </c>
      <c r="AF1169" s="8"/>
      <c r="AG1169" s="8" t="str">
        <f ca="1">IFERROR(__xludf.DUMMYFUNCTION("""COMPUTED_VALUE"""),"No")</f>
        <v>No</v>
      </c>
      <c r="AH1169" s="8" t="str">
        <f ca="1">IFERROR(__xludf.DUMMYFUNCTION("""COMPUTED_VALUE"""),"No")</f>
        <v>No</v>
      </c>
      <c r="AI1169" s="8" t="str">
        <f ca="1">IFERROR(__xludf.DUMMYFUNCTION("""COMPUTED_VALUE"""),"No")</f>
        <v>No</v>
      </c>
      <c r="AJ1169" s="8" t="str">
        <f ca="1">IFERROR(__xludf.DUMMYFUNCTION("""COMPUTED_VALUE"""),"No")</f>
        <v>No</v>
      </c>
      <c r="AK1169" s="8" t="str">
        <f ca="1">IFERROR(__xludf.DUMMYFUNCTION("""COMPUTED_VALUE"""),"No")</f>
        <v>No</v>
      </c>
      <c r="AL1169" s="8" t="str">
        <f ca="1">IFERROR(__xludf.DUMMYFUNCTION("""COMPUTED_VALUE"""),"No")</f>
        <v>No</v>
      </c>
      <c r="AM1169" s="8" t="str">
        <f ca="1">IFERROR(__xludf.DUMMYFUNCTION("""COMPUTED_VALUE"""),"No")</f>
        <v>No</v>
      </c>
      <c r="AN1169" s="8"/>
      <c r="AO1169" s="8" t="str">
        <f ca="1">IFERROR(__xludf.DUMMYFUNCTION("""COMPUTED_VALUE"""),"No")</f>
        <v>No</v>
      </c>
      <c r="AP1169" s="8"/>
      <c r="AQ1169" s="8"/>
      <c r="AR1169" s="8" t="str">
        <f ca="1">IFERROR(__xludf.DUMMYFUNCTION("""COMPUTED_VALUE"""),"Outside/Off-Property")</f>
        <v>Outside/Off-Property</v>
      </c>
      <c r="AS1169" s="8"/>
      <c r="AT1169" s="8"/>
      <c r="AU1169" s="8">
        <f ca="1">IFERROR(__xludf.DUMMYFUNCTION("""COMPUTED_VALUE"""),39.986886)</f>
        <v>39.986885999999998</v>
      </c>
      <c r="AV1169" s="8">
        <f ca="1">IFERROR(__xludf.DUMMYFUNCTION("""COMPUTED_VALUE"""),-82.951791)</f>
        <v>-82.951791</v>
      </c>
      <c r="AW1169" s="8"/>
      <c r="AX1169" s="8">
        <f ca="1">IFERROR(__xludf.DUMMYFUNCTION("""COMPUTED_VALUE"""),43219)</f>
        <v>43219</v>
      </c>
    </row>
    <row r="1170" spans="1:50" ht="120" x14ac:dyDescent="0.2">
      <c r="A1170" s="8" t="str">
        <f ca="1">IFERROR(__xludf.DUMMYFUNCTION("""COMPUTED_VALUE"""),"20211229NCCAS")</f>
        <v>20211229NCCAS</v>
      </c>
      <c r="B1170" s="8">
        <f ca="1">IFERROR(__xludf.DUMMYFUNCTION("""COMPUTED_VALUE"""),12)</f>
        <v>12</v>
      </c>
      <c r="C1170" s="8">
        <f ca="1">IFERROR(__xludf.DUMMYFUNCTION("""COMPUTED_VALUE"""),29)</f>
        <v>29</v>
      </c>
      <c r="D1170" s="8">
        <f ca="1">IFERROR(__xludf.DUMMYFUNCTION("""COMPUTED_VALUE"""),2021)</f>
        <v>2021</v>
      </c>
      <c r="E1170" s="9">
        <f ca="1">IFERROR(__xludf.DUMMYFUNCTION("""COMPUTED_VALUE"""),44559)</f>
        <v>44559</v>
      </c>
      <c r="F1170" s="8" t="str">
        <f ca="1">IFERROR(__xludf.DUMMYFUNCTION("""COMPUTED_VALUE"""),"Catawba College (high school tournament)")</f>
        <v>Catawba College (high school tournament)</v>
      </c>
      <c r="G1170" s="8">
        <f ca="1">IFERROR(__xludf.DUMMYFUNCTION("""COMPUTED_VALUE"""),0)</f>
        <v>0</v>
      </c>
      <c r="H1170" s="8">
        <f ca="1">IFERROR(__xludf.DUMMYFUNCTION("""COMPUTED_VALUE"""),2)</f>
        <v>2</v>
      </c>
      <c r="I1170" s="8">
        <f ca="1">IFERROR(__xludf.DUMMYFUNCTION("""COMPUTED_VALUE"""),2)</f>
        <v>2</v>
      </c>
      <c r="J1170" s="8">
        <f ca="1">IFERROR(__xludf.DUMMYFUNCTION("""COMPUTED_VALUE"""),0)</f>
        <v>0</v>
      </c>
      <c r="K1170" s="8" t="str">
        <f ca="1">IFERROR(__xludf.DUMMYFUNCTION("""COMPUTED_VALUE"""),"https://www.wbtv.com/2022/01/01/two-minors-accused-shooting-during-high-school-basketball-tournament-arrested-taken-juvenile-detention-center/ https://www.charlotteobserver.com/sports/high-school/article256933502.html https://www.wcnc.com/article/news/cri"&amp;"me/catawba-college-shelter-in-place/275-21a035b0-1ae4-443d-9c75-873f5fa3ac67 https://www.wavy.com/news/north-carolina/2-confirmed-shot-at-catawba-college-in-salisbury-nc-campus-under-shelter-in-place/")</f>
        <v>https://www.wbtv.com/2022/01/01/two-minors-accused-shooting-during-high-school-basketball-tournament-arrested-taken-juvenile-detention-center/ https://www.charlotteobserver.com/sports/high-school/article256933502.html https://www.wcnc.com/article/news/crime/catawba-college-shelter-in-place/275-21a035b0-1ae4-443d-9c75-873f5fa3ac67 https://www.wavy.com/news/north-carolina/2-confirmed-shot-at-catawba-college-in-salisbury-nc-campus-under-shelter-in-place/</v>
      </c>
      <c r="L1170" s="8">
        <f ca="1">IFERROR(__xludf.DUMMYFUNCTION("""COMPUTED_VALUE"""),20)</f>
        <v>20</v>
      </c>
      <c r="M1170" s="8" t="str">
        <f ca="1">IFERROR(__xludf.DUMMYFUNCTION("""COMPUTED_VALUE"""),"Regional")</f>
        <v>Regional</v>
      </c>
      <c r="N1170" s="8">
        <f ca="1">IFERROR(__xludf.DUMMYFUNCTION("""COMPUTED_VALUE"""),4)</f>
        <v>4</v>
      </c>
      <c r="O1170" s="8" t="str">
        <f ca="1">IFERROR(__xludf.DUMMYFUNCTION("""COMPUTED_VALUE"""),"Winter")</f>
        <v>Winter</v>
      </c>
      <c r="P1170" s="8" t="str">
        <f ca="1">IFERROR(__xludf.DUMMYFUNCTION("""COMPUTED_VALUE"""),"Salisbury")</f>
        <v>Salisbury</v>
      </c>
      <c r="Q1170" s="8" t="str">
        <f ca="1">IFERROR(__xludf.DUMMYFUNCTION("""COMPUTED_VALUE"""),"NC")</f>
        <v>NC</v>
      </c>
      <c r="R1170" s="8" t="str">
        <f ca="1">IFERROR(__xludf.DUMMYFUNCTION("""COMPUTED_VALUE"""),"High")</f>
        <v>High</v>
      </c>
      <c r="S1170" s="8" t="str">
        <f ca="1">IFERROR(__xludf.DUMMYFUNCTION("""COMPUTED_VALUE"""),"Gym")</f>
        <v>Gym</v>
      </c>
      <c r="T1170" s="8" t="str">
        <f ca="1">IFERROR(__xludf.DUMMYFUNCTION("""COMPUTED_VALUE"""),"Inside School Building")</f>
        <v>Inside School Building</v>
      </c>
      <c r="U1170" s="8" t="str">
        <f ca="1">IFERROR(__xludf.DUMMYFUNCTION("""COMPUTED_VALUE"""),"No")</f>
        <v>No</v>
      </c>
      <c r="V1170" s="8" t="str">
        <f ca="1">IFERROR(__xludf.DUMMYFUNCTION("""COMPUTED_VALUE"""),"Sport Event")</f>
        <v>Sport Event</v>
      </c>
      <c r="W1170" s="11">
        <f ca="1">IFERROR(__xludf.DUMMYFUNCTION("""COMPUTED_VALUE"""),0.84375)</f>
        <v>0.84375</v>
      </c>
      <c r="X1170" s="8">
        <f ca="1">IFERROR(__xludf.DUMMYFUNCTION("""COMPUTED_VALUE"""),1)</f>
        <v>1</v>
      </c>
      <c r="Y1170" s="12" t="str">
        <f ca="1">IFERROR(__xludf.DUMMYFUNCTION("""COMPUTED_VALUE"""),"Two teens shot during fight in entryway to gym")</f>
        <v>Two teens shot during fight in entryway to gym</v>
      </c>
      <c r="Z1170" s="12" t="str">
        <f ca="1">IFERROR(__xludf.DUMMYFUNCTION("""COMPUTED_VALUE"""),"Two teens (both bystanders) were shot during a fight inside the entry lobby to the gym. A high school basketball tournament was being held in the gym of Catawba College. Game was between  North Rowan High School and West Rowan High School. Two teen shoote"&amp;"rs fled. 400 people were attending the game when the shooting occurred. College campus went on shelter-in-place status for 2.5 hours following the shooting.")</f>
        <v>Two teens (both bystanders) were shot during a fight inside the entry lobby to the gym. A high school basketball tournament was being held in the gym of Catawba College. Game was between  North Rowan High School and West Rowan High School. Two teen shooters fled. 400 people were attending the game when the shooting occurred. College campus went on shelter-in-place status for 2.5 hours following the shooting.</v>
      </c>
      <c r="AA1170" s="8" t="str">
        <f ca="1">IFERROR(__xludf.DUMMYFUNCTION("""COMPUTED_VALUE"""),"Escalation of Dispute")</f>
        <v>Escalation of Dispute</v>
      </c>
      <c r="AB1170" s="8"/>
      <c r="AC1170" s="8" t="str">
        <f ca="1">IFERROR(__xludf.DUMMYFUNCTION("""COMPUTED_VALUE"""),"Yes")</f>
        <v>Yes</v>
      </c>
      <c r="AD1170" s="8" t="str">
        <f ca="1">IFERROR(__xludf.DUMMYFUNCTION("""COMPUTED_VALUE"""),"Victims Targeted")</f>
        <v>Victims Targeted</v>
      </c>
      <c r="AE1170" s="8" t="str">
        <f ca="1">IFERROR(__xludf.DUMMYFUNCTION("""COMPUTED_VALUE"""),"Yes")</f>
        <v>Yes</v>
      </c>
      <c r="AF1170" s="8" t="str">
        <f ca="1">IFERROR(__xludf.DUMMYFUNCTION("""COMPUTED_VALUE"""),"Two teens fired shots")</f>
        <v>Two teens fired shots</v>
      </c>
      <c r="AG1170" s="8" t="str">
        <f ca="1">IFERROR(__xludf.DUMMYFUNCTION("""COMPUTED_VALUE"""),"No")</f>
        <v>No</v>
      </c>
      <c r="AH1170" s="8" t="str">
        <f ca="1">IFERROR(__xludf.DUMMYFUNCTION("""COMPUTED_VALUE"""),"No")</f>
        <v>No</v>
      </c>
      <c r="AI1170" s="8" t="str">
        <f ca="1">IFERROR(__xludf.DUMMYFUNCTION("""COMPUTED_VALUE"""),"No")</f>
        <v>No</v>
      </c>
      <c r="AJ1170" s="8" t="str">
        <f ca="1">IFERROR(__xludf.DUMMYFUNCTION("""COMPUTED_VALUE"""),"No")</f>
        <v>No</v>
      </c>
      <c r="AK1170" s="8" t="str">
        <f ca="1">IFERROR(__xludf.DUMMYFUNCTION("""COMPUTED_VALUE"""),"No")</f>
        <v>No</v>
      </c>
      <c r="AL1170" s="8"/>
      <c r="AM1170" s="8" t="str">
        <f ca="1">IFERROR(__xludf.DUMMYFUNCTION("""COMPUTED_VALUE"""),"No")</f>
        <v>No</v>
      </c>
      <c r="AN1170" s="8"/>
      <c r="AO1170" s="8" t="str">
        <f ca="1">IFERROR(__xludf.DUMMYFUNCTION("""COMPUTED_VALUE"""),"No")</f>
        <v>No</v>
      </c>
      <c r="AP1170" s="8"/>
      <c r="AQ1170" s="8"/>
      <c r="AR1170" s="8"/>
      <c r="AS1170" s="8"/>
      <c r="AT1170" s="8" t="str">
        <f ca="1">IFERROR(__xludf.DUMMYFUNCTION("""COMPUTED_VALUE"""),"Yes")</f>
        <v>Yes</v>
      </c>
      <c r="AU1170" s="8">
        <f ca="1">IFERROR(__xludf.DUMMYFUNCTION("""COMPUTED_VALUE"""),35.690835)</f>
        <v>35.690835</v>
      </c>
      <c r="AV1170" s="8">
        <f ca="1">IFERROR(__xludf.DUMMYFUNCTION("""COMPUTED_VALUE"""),-80.484935)</f>
        <v>-80.484934999999993</v>
      </c>
      <c r="AW1170" s="8"/>
      <c r="AX1170" s="8">
        <f ca="1">IFERROR(__xludf.DUMMYFUNCTION("""COMPUTED_VALUE"""),28144)</f>
        <v>28144</v>
      </c>
    </row>
    <row r="1171" spans="1:50" ht="60" x14ac:dyDescent="0.2">
      <c r="A1171" s="8" t="str">
        <f ca="1">IFERROR(__xludf.DUMMYFUNCTION("""COMPUTED_VALUE"""),"20211217TXWOD")</f>
        <v>20211217TXWOD</v>
      </c>
      <c r="B1171" s="8">
        <f ca="1">IFERROR(__xludf.DUMMYFUNCTION("""COMPUTED_VALUE"""),12)</f>
        <v>12</v>
      </c>
      <c r="C1171" s="8">
        <f ca="1">IFERROR(__xludf.DUMMYFUNCTION("""COMPUTED_VALUE"""),17)</f>
        <v>17</v>
      </c>
      <c r="D1171" s="8">
        <f ca="1">IFERROR(__xludf.DUMMYFUNCTION("""COMPUTED_VALUE"""),2021)</f>
        <v>2021</v>
      </c>
      <c r="E1171" s="9">
        <f ca="1">IFERROR(__xludf.DUMMYFUNCTION("""COMPUTED_VALUE"""),44547)</f>
        <v>44547</v>
      </c>
      <c r="F1171" s="8" t="str">
        <f ca="1">IFERROR(__xludf.DUMMYFUNCTION("""COMPUTED_VALUE"""),"Woodrow Wilson Junior High")</f>
        <v>Woodrow Wilson Junior High</v>
      </c>
      <c r="G1171" s="8">
        <f ca="1">IFERROR(__xludf.DUMMYFUNCTION("""COMPUTED_VALUE"""),0)</f>
        <v>0</v>
      </c>
      <c r="H1171" s="8">
        <f ca="1">IFERROR(__xludf.DUMMYFUNCTION("""COMPUTED_VALUE"""),0)</f>
        <v>0</v>
      </c>
      <c r="I1171" s="8">
        <f ca="1">IFERROR(__xludf.DUMMYFUNCTION("""COMPUTED_VALUE"""),0)</f>
        <v>0</v>
      </c>
      <c r="J1171" s="8">
        <f ca="1">IFERROR(__xludf.DUMMYFUNCTION("""COMPUTED_VALUE"""),0)</f>
        <v>0</v>
      </c>
      <c r="K1171" s="8" t="str">
        <f ca="1">IFERROR(__xludf.DUMMYFUNCTION("""COMPUTED_VALUE"""),"https://nypost.com/2021/12/20/dayton-independent-school-district-investigating-suspect-appearing-to-point-gun-at-bus/ https://www.click2houston.com/news/local/2021/12/18/video-dayton-isd-student-captures-video-of-person-pointing-what-appears-to-be-a-gun-a"&amp;"t-school-bus/ https://www.kait8.com/2021/12/19/caught-camera-teen-with-bb-gun-menaces-school-bus-texas/ https://www.kmov.com/caught-on-camera-teen-with-bb-gun-menaces-school-bus-in-texas/article_feaaf64f-08e8-55cf-83f9-65a00472fcca.html")</f>
        <v>https://nypost.com/2021/12/20/dayton-independent-school-district-investigating-suspect-appearing-to-point-gun-at-bus/ https://www.click2houston.com/news/local/2021/12/18/video-dayton-isd-student-captures-video-of-person-pointing-what-appears-to-be-a-gun-at-school-bus/ https://www.kait8.com/2021/12/19/caught-camera-teen-with-bb-gun-menaces-school-bus-texas/ https://www.kmov.com/caught-on-camera-teen-with-bb-gun-menaces-school-bus-in-texas/article_feaaf64f-08e8-55cf-83f9-65a00472fcca.html</v>
      </c>
      <c r="L1171" s="8">
        <f ca="1">IFERROR(__xludf.DUMMYFUNCTION("""COMPUTED_VALUE"""),10)</f>
        <v>10</v>
      </c>
      <c r="M1171" s="8" t="str">
        <f ca="1">IFERROR(__xludf.DUMMYFUNCTION("""COMPUTED_VALUE"""),"National")</f>
        <v>National</v>
      </c>
      <c r="N1171" s="8">
        <f ca="1">IFERROR(__xludf.DUMMYFUNCTION("""COMPUTED_VALUE"""),4)</f>
        <v>4</v>
      </c>
      <c r="O1171" s="8" t="str">
        <f ca="1">IFERROR(__xludf.DUMMYFUNCTION("""COMPUTED_VALUE"""),"Fall")</f>
        <v>Fall</v>
      </c>
      <c r="P1171" s="8" t="str">
        <f ca="1">IFERROR(__xludf.DUMMYFUNCTION("""COMPUTED_VALUE"""),"Dayton")</f>
        <v>Dayton</v>
      </c>
      <c r="Q1171" s="8" t="str">
        <f ca="1">IFERROR(__xludf.DUMMYFUNCTION("""COMPUTED_VALUE"""),"TX")</f>
        <v>TX</v>
      </c>
      <c r="R1171" s="8" t="str">
        <f ca="1">IFERROR(__xludf.DUMMYFUNCTION("""COMPUTED_VALUE"""),"High")</f>
        <v>High</v>
      </c>
      <c r="S1171" s="8" t="str">
        <f ca="1">IFERROR(__xludf.DUMMYFUNCTION("""COMPUTED_VALUE"""),"School Bus")</f>
        <v>School Bus</v>
      </c>
      <c r="T1171" s="8" t="str">
        <f ca="1">IFERROR(__xludf.DUMMYFUNCTION("""COMPUTED_VALUE"""),"School Bus")</f>
        <v>School Bus</v>
      </c>
      <c r="U1171" s="8" t="str">
        <f ca="1">IFERROR(__xludf.DUMMYFUNCTION("""COMPUTED_VALUE"""),"Yes")</f>
        <v>Yes</v>
      </c>
      <c r="V1171" s="8" t="str">
        <f ca="1">IFERROR(__xludf.DUMMYFUNCTION("""COMPUTED_VALUE"""),"Dismissal")</f>
        <v>Dismissal</v>
      </c>
      <c r="W1171" s="11">
        <f ca="1">IFERROR(__xludf.DUMMYFUNCTION("""COMPUTED_VALUE"""),0.625)</f>
        <v>0.625</v>
      </c>
      <c r="X1171" s="8">
        <f ca="1">IFERROR(__xludf.DUMMYFUNCTION("""COMPUTED_VALUE"""),1)</f>
        <v>1</v>
      </c>
      <c r="Y1171" s="12" t="str">
        <f ca="1">IFERROR(__xludf.DUMMYFUNCTION("""COMPUTED_VALUE"""),"Student in vehicle pointed BB rifle at school bus causing panic aboard")</f>
        <v>Student in vehicle pointed BB rifle at school bus causing panic aboard</v>
      </c>
      <c r="Z1171" s="12"/>
      <c r="AA1171" s="8" t="str">
        <f ca="1">IFERROR(__xludf.DUMMYFUNCTION("""COMPUTED_VALUE"""),"Drive-by Shooting")</f>
        <v>Drive-by Shooting</v>
      </c>
      <c r="AB1171" s="8"/>
      <c r="AC1171" s="8" t="str">
        <f ca="1">IFERROR(__xludf.DUMMYFUNCTION("""COMPUTED_VALUE"""),"Yes")</f>
        <v>Yes</v>
      </c>
      <c r="AD1171" s="8" t="str">
        <f ca="1">IFERROR(__xludf.DUMMYFUNCTION("""COMPUTED_VALUE"""),"Neither")</f>
        <v>Neither</v>
      </c>
      <c r="AE1171" s="8" t="str">
        <f ca="1">IFERROR(__xludf.DUMMYFUNCTION("""COMPUTED_VALUE"""),"Yes")</f>
        <v>Yes</v>
      </c>
      <c r="AF1171" s="8" t="str">
        <f ca="1">IFERROR(__xludf.DUMMYFUNCTION("""COMPUTED_VALUE"""),"Vehicle driver")</f>
        <v>Vehicle driver</v>
      </c>
      <c r="AG1171" s="8" t="str">
        <f ca="1">IFERROR(__xludf.DUMMYFUNCTION("""COMPUTED_VALUE"""),"No")</f>
        <v>No</v>
      </c>
      <c r="AH1171" s="8" t="str">
        <f ca="1">IFERROR(__xludf.DUMMYFUNCTION("""COMPUTED_VALUE"""),"No")</f>
        <v>No</v>
      </c>
      <c r="AI1171" s="8" t="str">
        <f ca="1">IFERROR(__xludf.DUMMYFUNCTION("""COMPUTED_VALUE"""),"No")</f>
        <v>No</v>
      </c>
      <c r="AJ1171" s="8" t="str">
        <f ca="1">IFERROR(__xludf.DUMMYFUNCTION("""COMPUTED_VALUE"""),"No")</f>
        <v>No</v>
      </c>
      <c r="AK1171" s="8" t="str">
        <f ca="1">IFERROR(__xludf.DUMMYFUNCTION("""COMPUTED_VALUE"""),"No")</f>
        <v>No</v>
      </c>
      <c r="AL1171" s="8" t="str">
        <f ca="1">IFERROR(__xludf.DUMMYFUNCTION("""COMPUTED_VALUE"""),"No")</f>
        <v>No</v>
      </c>
      <c r="AM1171" s="8" t="str">
        <f ca="1">IFERROR(__xludf.DUMMYFUNCTION("""COMPUTED_VALUE"""),"No")</f>
        <v>No</v>
      </c>
      <c r="AN1171" s="8"/>
      <c r="AO1171" s="8" t="str">
        <f ca="1">IFERROR(__xludf.DUMMYFUNCTION("""COMPUTED_VALUE"""),"No")</f>
        <v>No</v>
      </c>
      <c r="AP1171" s="8" t="str">
        <f ca="1">IFERROR(__xludf.DUMMYFUNCTION("""COMPUTED_VALUE"""),"No")</f>
        <v>No</v>
      </c>
      <c r="AQ1171" s="8"/>
      <c r="AR1171" s="8"/>
      <c r="AS1171" s="8">
        <f ca="1">IFERROR(__xludf.DUMMYFUNCTION("""COMPUTED_VALUE"""),0)</f>
        <v>0</v>
      </c>
      <c r="AT1171" s="8"/>
      <c r="AU1171" s="8">
        <f ca="1">IFERROR(__xludf.DUMMYFUNCTION("""COMPUTED_VALUE"""),30.038118)</f>
        <v>30.038118000000001</v>
      </c>
      <c r="AV1171" s="8">
        <f ca="1">IFERROR(__xludf.DUMMYFUNCTION("""COMPUTED_VALUE"""),-94.892728)</f>
        <v>-94.892728000000005</v>
      </c>
      <c r="AW1171" s="8"/>
      <c r="AX1171" s="8">
        <f ca="1">IFERROR(__xludf.DUMMYFUNCTION("""COMPUTED_VALUE"""),77535)</f>
        <v>77535</v>
      </c>
    </row>
    <row r="1172" spans="1:50" ht="90" x14ac:dyDescent="0.2">
      <c r="A1172" s="8" t="str">
        <f ca="1">IFERROR(__xludf.DUMMYFUNCTION("""COMPUTED_VALUE"""),"20211216SCEAC")</f>
        <v>20211216SCEAC</v>
      </c>
      <c r="B1172" s="8">
        <f ca="1">IFERROR(__xludf.DUMMYFUNCTION("""COMPUTED_VALUE"""),12)</f>
        <v>12</v>
      </c>
      <c r="C1172" s="8">
        <f ca="1">IFERROR(__xludf.DUMMYFUNCTION("""COMPUTED_VALUE"""),16)</f>
        <v>16</v>
      </c>
      <c r="D1172" s="8">
        <f ca="1">IFERROR(__xludf.DUMMYFUNCTION("""COMPUTED_VALUE"""),2021)</f>
        <v>2021</v>
      </c>
      <c r="E1172" s="9">
        <f ca="1">IFERROR(__xludf.DUMMYFUNCTION("""COMPUTED_VALUE"""),44546)</f>
        <v>44546</v>
      </c>
      <c r="F1172" s="8" t="str">
        <f ca="1">IFERROR(__xludf.DUMMYFUNCTION("""COMPUTED_VALUE"""),"Eau Claire High School")</f>
        <v>Eau Claire High School</v>
      </c>
      <c r="G1172" s="8">
        <f ca="1">IFERROR(__xludf.DUMMYFUNCTION("""COMPUTED_VALUE"""),0)</f>
        <v>0</v>
      </c>
      <c r="H1172" s="8">
        <f ca="1">IFERROR(__xludf.DUMMYFUNCTION("""COMPUTED_VALUE"""),0)</f>
        <v>0</v>
      </c>
      <c r="I1172" s="8">
        <f ca="1">IFERROR(__xludf.DUMMYFUNCTION("""COMPUTED_VALUE"""),0)</f>
        <v>0</v>
      </c>
      <c r="J1172" s="8">
        <f ca="1">IFERROR(__xludf.DUMMYFUNCTION("""COMPUTED_VALUE"""),0)</f>
        <v>0</v>
      </c>
      <c r="K1172" s="8" t="str">
        <f ca="1">IFERROR(__xludf.DUMMYFUNCTION("""COMPUTED_VALUE"""),"https://wach.com/news/local/police-15-year-old-arrested-after-shooting-incident-at-eau-claire-high-school https://www.wltx.com/article/news/crime/students-allowed-leave-reported-gunfire-near-eau-claire/101-e62293bb-29e9-4853-b6b4-55a69c69b477 https://www."&amp;"wistv.com/2021/12/16/police-presence-near-eau-claire-high-school-reports-shots-being-fired-according-richland-one-officials/ https://wach.com/news/local/officers-respond-to-shots-fired-near-eau-claire-high-school")</f>
        <v>https://wach.com/news/local/police-15-year-old-arrested-after-shooting-incident-at-eau-claire-high-school https://www.wltx.com/article/news/crime/students-allowed-leave-reported-gunfire-near-eau-claire/101-e62293bb-29e9-4853-b6b4-55a69c69b477 https://www.wistv.com/2021/12/16/police-presence-near-eau-claire-high-school-reports-shots-being-fired-according-richland-one-officials/ https://wach.com/news/local/officers-respond-to-shots-fired-near-eau-claire-high-school</v>
      </c>
      <c r="L1172" s="8">
        <f ca="1">IFERROR(__xludf.DUMMYFUNCTION("""COMPUTED_VALUE"""),5)</f>
        <v>5</v>
      </c>
      <c r="M1172" s="8" t="str">
        <f ca="1">IFERROR(__xludf.DUMMYFUNCTION("""COMPUTED_VALUE"""),"Local")</f>
        <v>Local</v>
      </c>
      <c r="N1172" s="8">
        <f ca="1">IFERROR(__xludf.DUMMYFUNCTION("""COMPUTED_VALUE"""),4)</f>
        <v>4</v>
      </c>
      <c r="O1172" s="8" t="str">
        <f ca="1">IFERROR(__xludf.DUMMYFUNCTION("""COMPUTED_VALUE"""),"Winter")</f>
        <v>Winter</v>
      </c>
      <c r="P1172" s="8" t="str">
        <f ca="1">IFERROR(__xludf.DUMMYFUNCTION("""COMPUTED_VALUE"""),"Columbia")</f>
        <v>Columbia</v>
      </c>
      <c r="Q1172" s="8" t="str">
        <f ca="1">IFERROR(__xludf.DUMMYFUNCTION("""COMPUTED_VALUE"""),"SC")</f>
        <v>SC</v>
      </c>
      <c r="R1172" s="8" t="str">
        <f ca="1">IFERROR(__xludf.DUMMYFUNCTION("""COMPUTED_VALUE"""),"High")</f>
        <v>High</v>
      </c>
      <c r="S1172" s="8" t="str">
        <f ca="1">IFERROR(__xludf.DUMMYFUNCTION("""COMPUTED_VALUE"""),"Parking Lot")</f>
        <v>Parking Lot</v>
      </c>
      <c r="T1172" s="8" t="str">
        <f ca="1">IFERROR(__xludf.DUMMYFUNCTION("""COMPUTED_VALUE"""),"Outside on School Property")</f>
        <v>Outside on School Property</v>
      </c>
      <c r="U1172" s="8" t="str">
        <f ca="1">IFERROR(__xludf.DUMMYFUNCTION("""COMPUTED_VALUE"""),"Yes")</f>
        <v>Yes</v>
      </c>
      <c r="V1172" s="8" t="str">
        <f ca="1">IFERROR(__xludf.DUMMYFUNCTION("""COMPUTED_VALUE"""),"Dismissal")</f>
        <v>Dismissal</v>
      </c>
      <c r="W1172" s="11">
        <f ca="1">IFERROR(__xludf.DUMMYFUNCTION("""COMPUTED_VALUE"""),0.625)</f>
        <v>0.625</v>
      </c>
      <c r="X1172" s="8">
        <f ca="1">IFERROR(__xludf.DUMMYFUNCTION("""COMPUTED_VALUE"""),1)</f>
        <v>1</v>
      </c>
      <c r="Y1172" s="12" t="str">
        <f ca="1">IFERROR(__xludf.DUMMYFUNCTION("""COMPUTED_VALUE"""),"Student fired shots during dismissal then fled")</f>
        <v>Student fired shots during dismissal then fled</v>
      </c>
      <c r="Z1172" s="12" t="str">
        <f ca="1">IFERROR(__xludf.DUMMYFUNCTION("""COMPUTED_VALUE"""),"Police responded for ShotSpotter alert at the high school. A teen student fired shots in the parking lot during dismissal and fled. No injuries. Remaining students still inside the school were locked down. 15-year-old student arrested on 12/22 and charged"&amp;" with multiple felonies including attempted murder.")</f>
        <v>Police responded for ShotSpotter alert at the high school. A teen student fired shots in the parking lot during dismissal and fled. No injuries. Remaining students still inside the school were locked down. 15-year-old student arrested on 12/22 and charged with multiple felonies including attempted murder.</v>
      </c>
      <c r="AA1172" s="8" t="str">
        <f ca="1">IFERROR(__xludf.DUMMYFUNCTION("""COMPUTED_VALUE"""),"Escalation of Dispute")</f>
        <v>Escalation of Dispute</v>
      </c>
      <c r="AB1172" s="8"/>
      <c r="AC1172" s="8" t="str">
        <f ca="1">IFERROR(__xludf.DUMMYFUNCTION("""COMPUTED_VALUE"""),"Yes")</f>
        <v>Yes</v>
      </c>
      <c r="AD1172" s="8" t="str">
        <f ca="1">IFERROR(__xludf.DUMMYFUNCTION("""COMPUTED_VALUE"""),"Victims Targeted")</f>
        <v>Victims Targeted</v>
      </c>
      <c r="AE1172" s="8" t="str">
        <f ca="1">IFERROR(__xludf.DUMMYFUNCTION("""COMPUTED_VALUE"""),"No")</f>
        <v>No</v>
      </c>
      <c r="AF1172" s="8"/>
      <c r="AG1172" s="8" t="str">
        <f ca="1">IFERROR(__xludf.DUMMYFUNCTION("""COMPUTED_VALUE"""),"No")</f>
        <v>No</v>
      </c>
      <c r="AH1172" s="8" t="str">
        <f ca="1">IFERROR(__xludf.DUMMYFUNCTION("""COMPUTED_VALUE"""),"No")</f>
        <v>No</v>
      </c>
      <c r="AI1172" s="8" t="str">
        <f ca="1">IFERROR(__xludf.DUMMYFUNCTION("""COMPUTED_VALUE"""),"No")</f>
        <v>No</v>
      </c>
      <c r="AJ1172" s="8"/>
      <c r="AK1172" s="8" t="str">
        <f ca="1">IFERROR(__xludf.DUMMYFUNCTION("""COMPUTED_VALUE"""),"No")</f>
        <v>No</v>
      </c>
      <c r="AL1172" s="8"/>
      <c r="AM1172" s="8" t="str">
        <f ca="1">IFERROR(__xludf.DUMMYFUNCTION("""COMPUTED_VALUE"""),"No")</f>
        <v>No</v>
      </c>
      <c r="AN1172" s="8"/>
      <c r="AO1172" s="8" t="str">
        <f ca="1">IFERROR(__xludf.DUMMYFUNCTION("""COMPUTED_VALUE"""),"No")</f>
        <v>No</v>
      </c>
      <c r="AP1172" s="8"/>
      <c r="AQ1172" s="8"/>
      <c r="AR1172" s="8" t="str">
        <f ca="1">IFERROR(__xludf.DUMMYFUNCTION("""COMPUTED_VALUE"""),"Outside/Off-Property")</f>
        <v>Outside/Off-Property</v>
      </c>
      <c r="AS1172" s="8"/>
      <c r="AT1172" s="8" t="str">
        <f ca="1">IFERROR(__xludf.DUMMYFUNCTION("""COMPUTED_VALUE"""),"Yes")</f>
        <v>Yes</v>
      </c>
      <c r="AU1172" s="8">
        <f ca="1">IFERROR(__xludf.DUMMYFUNCTION("""COMPUTED_VALUE"""),34.047785)</f>
        <v>34.047784999999998</v>
      </c>
      <c r="AV1172" s="8">
        <f ca="1">IFERROR(__xludf.DUMMYFUNCTION("""COMPUTED_VALUE"""),-81.042646)</f>
        <v>-81.042646000000005</v>
      </c>
      <c r="AW1172" s="8"/>
      <c r="AX1172" s="8">
        <f ca="1">IFERROR(__xludf.DUMMYFUNCTION("""COMPUTED_VALUE"""),29203)</f>
        <v>29203</v>
      </c>
    </row>
    <row r="1173" spans="1:50" ht="45" x14ac:dyDescent="0.2">
      <c r="A1173" s="8" t="str">
        <f ca="1">IFERROR(__xludf.DUMMYFUNCTION("""COMPUTED_VALUE"""),"20211216NYPSB")</f>
        <v>20211216NYPSB</v>
      </c>
      <c r="B1173" s="8">
        <f ca="1">IFERROR(__xludf.DUMMYFUNCTION("""COMPUTED_VALUE"""),12)</f>
        <v>12</v>
      </c>
      <c r="C1173" s="8">
        <f ca="1">IFERROR(__xludf.DUMMYFUNCTION("""COMPUTED_VALUE"""),16)</f>
        <v>16</v>
      </c>
      <c r="D1173" s="8">
        <f ca="1">IFERROR(__xludf.DUMMYFUNCTION("""COMPUTED_VALUE"""),2021)</f>
        <v>2021</v>
      </c>
      <c r="E1173" s="9">
        <f ca="1">IFERROR(__xludf.DUMMYFUNCTION("""COMPUTED_VALUE"""),44546)</f>
        <v>44546</v>
      </c>
      <c r="F1173" s="8" t="str">
        <f ca="1">IFERROR(__xludf.DUMMYFUNCTION("""COMPUTED_VALUE"""),"P.S. 026 Jesse Owens")</f>
        <v>P.S. 026 Jesse Owens</v>
      </c>
      <c r="G1173" s="8">
        <f ca="1">IFERROR(__xludf.DUMMYFUNCTION("""COMPUTED_VALUE"""),0)</f>
        <v>0</v>
      </c>
      <c r="H1173" s="8">
        <f ca="1">IFERROR(__xludf.DUMMYFUNCTION("""COMPUTED_VALUE"""),0)</f>
        <v>0</v>
      </c>
      <c r="I1173" s="8">
        <f ca="1">IFERROR(__xludf.DUMMYFUNCTION("""COMPUTED_VALUE"""),0)</f>
        <v>0</v>
      </c>
      <c r="J1173" s="8">
        <f ca="1">IFERROR(__xludf.DUMMYFUNCTION("""COMPUTED_VALUE"""),0)</f>
        <v>0</v>
      </c>
      <c r="K1173" s="10" t="str">
        <f ca="1">IFERROR(__xludf.DUMMYFUNCTION("""COMPUTED_VALUE"""),"https://bronx.news12.com/nypd-shots-fired-outside-of-p-s-26-in-brooklyn-no-injuries-reported")</f>
        <v>https://bronx.news12.com/nypd-shots-fired-outside-of-p-s-26-in-brooklyn-no-injuries-reported</v>
      </c>
      <c r="L1173" s="8">
        <f ca="1">IFERROR(__xludf.DUMMYFUNCTION("""COMPUTED_VALUE"""),1)</f>
        <v>1</v>
      </c>
      <c r="M1173" s="8" t="str">
        <f ca="1">IFERROR(__xludf.DUMMYFUNCTION("""COMPUTED_VALUE"""),"Local")</f>
        <v>Local</v>
      </c>
      <c r="N1173" s="8">
        <f ca="1">IFERROR(__xludf.DUMMYFUNCTION("""COMPUTED_VALUE"""),3)</f>
        <v>3</v>
      </c>
      <c r="O1173" s="8" t="str">
        <f ca="1">IFERROR(__xludf.DUMMYFUNCTION("""COMPUTED_VALUE"""),"Winter")</f>
        <v>Winter</v>
      </c>
      <c r="P1173" s="8" t="str">
        <f ca="1">IFERROR(__xludf.DUMMYFUNCTION("""COMPUTED_VALUE"""),"Brooklyn")</f>
        <v>Brooklyn</v>
      </c>
      <c r="Q1173" s="8" t="str">
        <f ca="1">IFERROR(__xludf.DUMMYFUNCTION("""COMPUTED_VALUE"""),"NY")</f>
        <v>NY</v>
      </c>
      <c r="R1173" s="8" t="str">
        <f ca="1">IFERROR(__xludf.DUMMYFUNCTION("""COMPUTED_VALUE"""),"Elementary")</f>
        <v>Elementary</v>
      </c>
      <c r="S1173" s="8" t="str">
        <f ca="1">IFERROR(__xludf.DUMMYFUNCTION("""COMPUTED_VALUE"""),"Front of School")</f>
        <v>Front of School</v>
      </c>
      <c r="T1173" s="8" t="str">
        <f ca="1">IFERROR(__xludf.DUMMYFUNCTION("""COMPUTED_VALUE"""),"Outside on School Property")</f>
        <v>Outside on School Property</v>
      </c>
      <c r="U1173" s="8" t="str">
        <f ca="1">IFERROR(__xludf.DUMMYFUNCTION("""COMPUTED_VALUE"""),"Yes")</f>
        <v>Yes</v>
      </c>
      <c r="V1173" s="8" t="str">
        <f ca="1">IFERROR(__xludf.DUMMYFUNCTION("""COMPUTED_VALUE"""),"Morning Classes")</f>
        <v>Morning Classes</v>
      </c>
      <c r="W1173" s="11">
        <f ca="1">IFERROR(__xludf.DUMMYFUNCTION("""COMPUTED_VALUE"""),0.371527777777777)</f>
        <v>0.37152777777777701</v>
      </c>
      <c r="X1173" s="8">
        <f ca="1">IFERROR(__xludf.DUMMYFUNCTION("""COMPUTED_VALUE"""),1)</f>
        <v>1</v>
      </c>
      <c r="Y1173" s="12" t="str">
        <f ca="1">IFERROR(__xludf.DUMMYFUNCTION("""COMPUTED_VALUE"""),"Shots fired in front of school")</f>
        <v>Shots fired in front of school</v>
      </c>
      <c r="Z1173" s="12" t="str">
        <f ca="1">IFERROR(__xludf.DUMMYFUNCTION("""COMPUTED_VALUE"""),"An adult male fired multiple shots in front of the school and then fled the area. No students or staff were injured or involved.")</f>
        <v>An adult male fired multiple shots in front of the school and then fled the area. No students or staff were injured or involved.</v>
      </c>
      <c r="AA1173" s="8"/>
      <c r="AB1173" s="8"/>
      <c r="AC1173" s="8" t="str">
        <f ca="1">IFERROR(__xludf.DUMMYFUNCTION("""COMPUTED_VALUE"""),"Yes")</f>
        <v>Yes</v>
      </c>
      <c r="AD1173" s="8"/>
      <c r="AE1173" s="8" t="str">
        <f ca="1">IFERROR(__xludf.DUMMYFUNCTION("""COMPUTED_VALUE"""),"No")</f>
        <v>No</v>
      </c>
      <c r="AF1173" s="8"/>
      <c r="AG1173" s="8" t="str">
        <f ca="1">IFERROR(__xludf.DUMMYFUNCTION("""COMPUTED_VALUE"""),"No")</f>
        <v>No</v>
      </c>
      <c r="AH1173" s="8" t="str">
        <f ca="1">IFERROR(__xludf.DUMMYFUNCTION("""COMPUTED_VALUE"""),"No")</f>
        <v>No</v>
      </c>
      <c r="AI1173" s="8" t="str">
        <f ca="1">IFERROR(__xludf.DUMMYFUNCTION("""COMPUTED_VALUE"""),"No")</f>
        <v>No</v>
      </c>
      <c r="AJ1173" s="8" t="str">
        <f ca="1">IFERROR(__xludf.DUMMYFUNCTION("""COMPUTED_VALUE"""),"No")</f>
        <v>No</v>
      </c>
      <c r="AK1173" s="8" t="str">
        <f ca="1">IFERROR(__xludf.DUMMYFUNCTION("""COMPUTED_VALUE"""),"No")</f>
        <v>No</v>
      </c>
      <c r="AL1173" s="8"/>
      <c r="AM1173" s="8" t="str">
        <f ca="1">IFERROR(__xludf.DUMMYFUNCTION("""COMPUTED_VALUE"""),"No")</f>
        <v>No</v>
      </c>
      <c r="AN1173" s="8"/>
      <c r="AO1173" s="8" t="str">
        <f ca="1">IFERROR(__xludf.DUMMYFUNCTION("""COMPUTED_VALUE"""),"No")</f>
        <v>No</v>
      </c>
      <c r="AP1173" s="8"/>
      <c r="AQ1173" s="8"/>
      <c r="AR1173" s="8" t="str">
        <f ca="1">IFERROR(__xludf.DUMMYFUNCTION("""COMPUTED_VALUE"""),"Outside/Off-Property")</f>
        <v>Outside/Off-Property</v>
      </c>
      <c r="AS1173" s="8"/>
      <c r="AT1173" s="8"/>
      <c r="AU1173" s="8">
        <f ca="1">IFERROR(__xludf.DUMMYFUNCTION("""COMPUTED_VALUE"""),40.691855)</f>
        <v>40.691854999999997</v>
      </c>
      <c r="AV1173" s="8">
        <f ca="1">IFERROR(__xludf.DUMMYFUNCTION("""COMPUTED_VALUE"""),-73.930939)</f>
        <v>-73.930938999999995</v>
      </c>
      <c r="AW1173" s="8"/>
      <c r="AX1173" s="8">
        <f ca="1">IFERROR(__xludf.DUMMYFUNCTION("""COMPUTED_VALUE"""),11233)</f>
        <v>11233</v>
      </c>
    </row>
    <row r="1174" spans="1:50" ht="210" x14ac:dyDescent="0.2">
      <c r="A1174" s="8" t="str">
        <f ca="1">IFERROR(__xludf.DUMMYFUNCTION("""COMPUTED_VALUE"""),"20211214WISOM")</f>
        <v>20211214WISOM</v>
      </c>
      <c r="B1174" s="8">
        <f ca="1">IFERROR(__xludf.DUMMYFUNCTION("""COMPUTED_VALUE"""),12)</f>
        <v>12</v>
      </c>
      <c r="C1174" s="8">
        <f ca="1">IFERROR(__xludf.DUMMYFUNCTION("""COMPUTED_VALUE"""),14)</f>
        <v>14</v>
      </c>
      <c r="D1174" s="8">
        <f ca="1">IFERROR(__xludf.DUMMYFUNCTION("""COMPUTED_VALUE"""),2021)</f>
        <v>2021</v>
      </c>
      <c r="E1174" s="9">
        <f ca="1">IFERROR(__xludf.DUMMYFUNCTION("""COMPUTED_VALUE"""),44544)</f>
        <v>44544</v>
      </c>
      <c r="F1174" s="8" t="str">
        <f ca="1">IFERROR(__xludf.DUMMYFUNCTION("""COMPUTED_VALUE"""),"South Division High School")</f>
        <v>South Division High School</v>
      </c>
      <c r="G1174" s="8">
        <f ca="1">IFERROR(__xludf.DUMMYFUNCTION("""COMPUTED_VALUE"""),0)</f>
        <v>0</v>
      </c>
      <c r="H1174" s="8">
        <f ca="1">IFERROR(__xludf.DUMMYFUNCTION("""COMPUTED_VALUE"""),0)</f>
        <v>0</v>
      </c>
      <c r="I1174" s="8">
        <f ca="1">IFERROR(__xludf.DUMMYFUNCTION("""COMPUTED_VALUE"""),0)</f>
        <v>0</v>
      </c>
      <c r="J1174" s="8">
        <f ca="1">IFERROR(__xludf.DUMMYFUNCTION("""COMPUTED_VALUE"""),0)</f>
        <v>0</v>
      </c>
      <c r="K1174" s="8" t="str">
        <f ca="1">IFERROR(__xludf.DUMMYFUNCTION("""COMPUTED_VALUE"""),"https://www.fox6now.com/news/milwaukee-man-accused-shots-south-division-high-school https://www.fox6now.com/news/milwaukee-police-south-division-high-school https://www.tmj4.com/news/local-news/shots-fired-outside-south-division-high-school-no-injures-rep"&amp;"orted")</f>
        <v>https://www.fox6now.com/news/milwaukee-man-accused-shots-south-division-high-school https://www.fox6now.com/news/milwaukee-police-south-division-high-school https://www.tmj4.com/news/local-news/shots-fired-outside-south-division-high-school-no-injures-reported</v>
      </c>
      <c r="L1174" s="8">
        <f ca="1">IFERROR(__xludf.DUMMYFUNCTION("""COMPUTED_VALUE"""),3)</f>
        <v>3</v>
      </c>
      <c r="M1174" s="8" t="str">
        <f ca="1">IFERROR(__xludf.DUMMYFUNCTION("""COMPUTED_VALUE"""),"Local")</f>
        <v>Local</v>
      </c>
      <c r="N1174" s="8">
        <f ca="1">IFERROR(__xludf.DUMMYFUNCTION("""COMPUTED_VALUE"""),4)</f>
        <v>4</v>
      </c>
      <c r="O1174" s="8" t="str">
        <f ca="1">IFERROR(__xludf.DUMMYFUNCTION("""COMPUTED_VALUE"""),"Winter")</f>
        <v>Winter</v>
      </c>
      <c r="P1174" s="8" t="str">
        <f ca="1">IFERROR(__xludf.DUMMYFUNCTION("""COMPUTED_VALUE"""),"Milwaukee")</f>
        <v>Milwaukee</v>
      </c>
      <c r="Q1174" s="8" t="str">
        <f ca="1">IFERROR(__xludf.DUMMYFUNCTION("""COMPUTED_VALUE"""),"WI")</f>
        <v>WI</v>
      </c>
      <c r="R1174" s="8" t="str">
        <f ca="1">IFERROR(__xludf.DUMMYFUNCTION("""COMPUTED_VALUE"""),"High")</f>
        <v>High</v>
      </c>
      <c r="S1174" s="8" t="str">
        <f ca="1">IFERROR(__xludf.DUMMYFUNCTION("""COMPUTED_VALUE"""),"Front of School")</f>
        <v>Front of School</v>
      </c>
      <c r="T1174" s="8" t="str">
        <f ca="1">IFERROR(__xludf.DUMMYFUNCTION("""COMPUTED_VALUE"""),"Outside on School Property")</f>
        <v>Outside on School Property</v>
      </c>
      <c r="U1174" s="8" t="str">
        <f ca="1">IFERROR(__xludf.DUMMYFUNCTION("""COMPUTED_VALUE"""),"Yes")</f>
        <v>Yes</v>
      </c>
      <c r="V1174" s="8" t="str">
        <f ca="1">IFERROR(__xludf.DUMMYFUNCTION("""COMPUTED_VALUE"""),"Lunch")</f>
        <v>Lunch</v>
      </c>
      <c r="W1174" s="11">
        <f ca="1">IFERROR(__xludf.DUMMYFUNCTION("""COMPUTED_VALUE"""),0.479166666666666)</f>
        <v>0.47916666666666602</v>
      </c>
      <c r="X1174" s="8">
        <f ca="1">IFERROR(__xludf.DUMMYFUNCTION("""COMPUTED_VALUE"""),1)</f>
        <v>1</v>
      </c>
      <c r="Y1174" s="12" t="str">
        <f ca="1">IFERROR(__xludf.DUMMYFUNCTION("""COMPUTED_VALUE"""),"Student fired shots into the air by the front door of the school")</f>
        <v>Student fired shots into the air by the front door of the school</v>
      </c>
      <c r="Z1174" s="12" t="str">
        <f ca="1">IFERROR(__xludf.DUMMYFUNCTION("""COMPUTED_VALUE"""),"According to the criminal complaint, a Milwaukee police officer was dispatched to South Division High School on Tuesday, Dec. 14. The officer spoke with a 40-year-old man who stated that a student, who he identified as Alexander, ""got into an argument in"&amp;" the school with another student. The defendant left the school without permission and called for a ride."" The complaint says when a vehicle arrived to pick up the defendant, Alexander ""retrieved a firearm from the vehicle and fired several rounds into "&amp;"the air. The defendant then fled from the scene."" When the principal approached the student, he fired multiple shots into the air. The principal and other students ran into the school and the building went on lockdown. School district later reported that"&amp;" the school did not go on lockdown. Shooter fled. No injuries.")</f>
        <v>According to the criminal complaint, a Milwaukee police officer was dispatched to South Division High School on Tuesday, Dec. 14. The officer spoke with a 40-year-old man who stated that a student, who he identified as Alexander, "got into an argument in the school with another student. The defendant left the school without permission and called for a ride." The complaint says when a vehicle arrived to pick up the defendant, Alexander "retrieved a firearm from the vehicle and fired several rounds into the air. The defendant then fled from the scene." When the principal approached the student, he fired multiple shots into the air. The principal and other students ran into the school and the building went on lockdown. School district later reported that the school did not go on lockdown. Shooter fled. No injuries.</v>
      </c>
      <c r="AA1174" s="8" t="str">
        <f ca="1">IFERROR(__xludf.DUMMYFUNCTION("""COMPUTED_VALUE"""),"Escalation of Dispute")</f>
        <v>Escalation of Dispute</v>
      </c>
      <c r="AB1174" s="8"/>
      <c r="AC1174" s="8" t="str">
        <f ca="1">IFERROR(__xludf.DUMMYFUNCTION("""COMPUTED_VALUE"""),"Yes")</f>
        <v>Yes</v>
      </c>
      <c r="AD1174" s="8" t="str">
        <f ca="1">IFERROR(__xludf.DUMMYFUNCTION("""COMPUTED_VALUE"""),"Neither")</f>
        <v>Neither</v>
      </c>
      <c r="AE1174" s="8" t="str">
        <f ca="1">IFERROR(__xludf.DUMMYFUNCTION("""COMPUTED_VALUE"""),"No")</f>
        <v>No</v>
      </c>
      <c r="AF1174" s="8"/>
      <c r="AG1174" s="8" t="str">
        <f ca="1">IFERROR(__xludf.DUMMYFUNCTION("""COMPUTED_VALUE"""),"No")</f>
        <v>No</v>
      </c>
      <c r="AH1174" s="8" t="str">
        <f ca="1">IFERROR(__xludf.DUMMYFUNCTION("""COMPUTED_VALUE"""),"No")</f>
        <v>No</v>
      </c>
      <c r="AI1174" s="8" t="str">
        <f ca="1">IFERROR(__xludf.DUMMYFUNCTION("""COMPUTED_VALUE"""),"No")</f>
        <v>No</v>
      </c>
      <c r="AJ1174" s="8" t="str">
        <f ca="1">IFERROR(__xludf.DUMMYFUNCTION("""COMPUTED_VALUE"""),"No")</f>
        <v>No</v>
      </c>
      <c r="AK1174" s="8" t="str">
        <f ca="1">IFERROR(__xludf.DUMMYFUNCTION("""COMPUTED_VALUE"""),"No")</f>
        <v>No</v>
      </c>
      <c r="AL1174" s="8"/>
      <c r="AM1174" s="8" t="str">
        <f ca="1">IFERROR(__xludf.DUMMYFUNCTION("""COMPUTED_VALUE"""),"No")</f>
        <v>No</v>
      </c>
      <c r="AN1174" s="8"/>
      <c r="AO1174" s="8" t="str">
        <f ca="1">IFERROR(__xludf.DUMMYFUNCTION("""COMPUTED_VALUE"""),"No")</f>
        <v>No</v>
      </c>
      <c r="AP1174" s="8"/>
      <c r="AQ1174" s="8"/>
      <c r="AR1174" s="8" t="str">
        <f ca="1">IFERROR(__xludf.DUMMYFUNCTION("""COMPUTED_VALUE"""),"Outside/Off-Property")</f>
        <v>Outside/Off-Property</v>
      </c>
      <c r="AS1174" s="8">
        <f ca="1">IFERROR(__xludf.DUMMYFUNCTION("""COMPUTED_VALUE"""),5)</f>
        <v>5</v>
      </c>
      <c r="AT1174" s="8" t="str">
        <f ca="1">IFERROR(__xludf.DUMMYFUNCTION("""COMPUTED_VALUE"""),"Yes")</f>
        <v>Yes</v>
      </c>
      <c r="AU1174" s="8">
        <f ca="1">IFERROR(__xludf.DUMMYFUNCTION("""COMPUTED_VALUE"""),43.013499)</f>
        <v>43.013499000000003</v>
      </c>
      <c r="AV1174" s="8">
        <f ca="1">IFERROR(__xludf.DUMMYFUNCTION("""COMPUTED_VALUE"""),-87.931291)</f>
        <v>-87.931291000000002</v>
      </c>
      <c r="AW1174" s="8"/>
      <c r="AX1174" s="8">
        <f ca="1">IFERROR(__xludf.DUMMYFUNCTION("""COMPUTED_VALUE"""),53204)</f>
        <v>53204</v>
      </c>
    </row>
    <row r="1175" spans="1:50" ht="135" x14ac:dyDescent="0.2">
      <c r="A1175" s="8" t="str">
        <f ca="1">IFERROR(__xludf.DUMMYFUNCTION("""COMPUTED_VALUE"""),"20211214VAMEN")</f>
        <v>20211214VAMEN</v>
      </c>
      <c r="B1175" s="8">
        <f ca="1">IFERROR(__xludf.DUMMYFUNCTION("""COMPUTED_VALUE"""),12)</f>
        <v>12</v>
      </c>
      <c r="C1175" s="8">
        <f ca="1">IFERROR(__xludf.DUMMYFUNCTION("""COMPUTED_VALUE"""),14)</f>
        <v>14</v>
      </c>
      <c r="D1175" s="8">
        <f ca="1">IFERROR(__xludf.DUMMYFUNCTION("""COMPUTED_VALUE"""),2021)</f>
        <v>2021</v>
      </c>
      <c r="E1175" s="9">
        <f ca="1">IFERROR(__xludf.DUMMYFUNCTION("""COMPUTED_VALUE"""),44544)</f>
        <v>44544</v>
      </c>
      <c r="F1175" s="8" t="str">
        <f ca="1">IFERROR(__xludf.DUMMYFUNCTION("""COMPUTED_VALUE"""),"Menchville High School")</f>
        <v>Menchville High School</v>
      </c>
      <c r="G1175" s="8">
        <f ca="1">IFERROR(__xludf.DUMMYFUNCTION("""COMPUTED_VALUE"""),1)</f>
        <v>1</v>
      </c>
      <c r="H1175" s="8">
        <f ca="1">IFERROR(__xludf.DUMMYFUNCTION("""COMPUTED_VALUE"""),0)</f>
        <v>0</v>
      </c>
      <c r="I1175" s="8">
        <f ca="1">IFERROR(__xludf.DUMMYFUNCTION("""COMPUTED_VALUE"""),1)</f>
        <v>1</v>
      </c>
      <c r="J1175" s="8">
        <f ca="1">IFERROR(__xludf.DUMMYFUNCTION("""COMPUTED_VALUE"""),0)</f>
        <v>0</v>
      </c>
      <c r="K1175" s="10" t="str">
        <f ca="1">IFERROR(__xludf.DUMMYFUNCTION("""COMPUTED_VALUE"""),"https://www.13newsnow.com/article/news/local/mycity/newport-news/jury-finds-suspect-not-guilty-fatal-menchville-high-school-shooting/291-d656181e-e50e-4e80-8eb4-640ac983a789
https://www.wtkr.com/warwick-high-school-student-arrested-after-murder-of-woodsid"&amp;"e-high-school-student-following-basketball-game https://www.pilotonline.com/news/crime/vp-nw-newport-news-basketball-game-shooting-20211215-2txl5qnt3vbijo4ve3iyxujjf4-story.html https://www.wtkr.com/news/teen-shot-killed-after-basketball-game-at-menchvill"&amp;"e-high-school-in-newport-news https://www.wavy.com/news/local-news/newport-news/newport-news-police-teen-shot-and-killed-after-basketball-game-at-menchville-high-school/")</f>
        <v>https://www.13newsnow.com/article/news/local/mycity/newport-news/jury-finds-suspect-not-guilty-fatal-menchville-high-school-shooting/291-d656181e-e50e-4e80-8eb4-640ac983a789
https://www.wtkr.com/warwick-high-school-student-arrested-after-murder-of-woodside-high-school-student-following-basketball-game https://www.pilotonline.com/news/crime/vp-nw-newport-news-basketball-game-shooting-20211215-2txl5qnt3vbijo4ve3iyxujjf4-story.html https://www.wtkr.com/news/teen-shot-killed-after-basketball-game-at-menchville-high-school-in-newport-news https://www.wavy.com/news/local-news/newport-news/newport-news-police-teen-shot-and-killed-after-basketball-game-at-menchville-high-school/</v>
      </c>
      <c r="L1175" s="8">
        <f ca="1">IFERROR(__xludf.DUMMYFUNCTION("""COMPUTED_VALUE"""),10)</f>
        <v>10</v>
      </c>
      <c r="M1175" s="8" t="str">
        <f ca="1">IFERROR(__xludf.DUMMYFUNCTION("""COMPUTED_VALUE"""),"Regional")</f>
        <v>Regional</v>
      </c>
      <c r="N1175" s="8">
        <f ca="1">IFERROR(__xludf.DUMMYFUNCTION("""COMPUTED_VALUE"""),4)</f>
        <v>4</v>
      </c>
      <c r="O1175" s="8" t="str">
        <f ca="1">IFERROR(__xludf.DUMMYFUNCTION("""COMPUTED_VALUE"""),"Winter")</f>
        <v>Winter</v>
      </c>
      <c r="P1175" s="8" t="str">
        <f ca="1">IFERROR(__xludf.DUMMYFUNCTION("""COMPUTED_VALUE"""),"Newport News")</f>
        <v>Newport News</v>
      </c>
      <c r="Q1175" s="8" t="str">
        <f ca="1">IFERROR(__xludf.DUMMYFUNCTION("""COMPUTED_VALUE"""),"VA")</f>
        <v>VA</v>
      </c>
      <c r="R1175" s="8" t="str">
        <f ca="1">IFERROR(__xludf.DUMMYFUNCTION("""COMPUTED_VALUE"""),"High")</f>
        <v>High</v>
      </c>
      <c r="S1175" s="8" t="str">
        <f ca="1">IFERROR(__xludf.DUMMYFUNCTION("""COMPUTED_VALUE"""),"Parking Lot")</f>
        <v>Parking Lot</v>
      </c>
      <c r="T1175" s="8" t="str">
        <f ca="1">IFERROR(__xludf.DUMMYFUNCTION("""COMPUTED_VALUE"""),"Outside on School Property")</f>
        <v>Outside on School Property</v>
      </c>
      <c r="U1175" s="8" t="str">
        <f ca="1">IFERROR(__xludf.DUMMYFUNCTION("""COMPUTED_VALUE"""),"No")</f>
        <v>No</v>
      </c>
      <c r="V1175" s="8" t="str">
        <f ca="1">IFERROR(__xludf.DUMMYFUNCTION("""COMPUTED_VALUE"""),"Sport Event")</f>
        <v>Sport Event</v>
      </c>
      <c r="W1175" s="11">
        <f ca="1">IFERROR(__xludf.DUMMYFUNCTION("""COMPUTED_VALUE"""),0.861111111111111)</f>
        <v>0.86111111111111105</v>
      </c>
      <c r="X1175" s="8">
        <f ca="1">IFERROR(__xludf.DUMMYFUNCTION("""COMPUTED_VALUE"""),1)</f>
        <v>1</v>
      </c>
      <c r="Y1175" s="12" t="str">
        <f ca="1">IFERROR(__xludf.DUMMYFUNCTION("""COMPUTED_VALUE"""),"Student fatally shot in school parking lot during basketball game")</f>
        <v>Student fatally shot in school parking lot during basketball game</v>
      </c>
      <c r="Z1175" s="12" t="str">
        <f ca="1">IFERROR(__xludf.DUMMYFUNCTION("""COMPUTED_VALUE"""),"A teenage student was fatally shot during a fight in the school parking lot during a high school basketball game. Teen had left the game early and was waiting outside next to a vehicle. He was spotted by a group of teens from a rival group and they jumped"&amp;" him. He was shot while trying to get into the vehicle. In addition to the gun used to shoot the victim, 2 guns were recovered from inside the car he was entering. In January 2024, a jurry found the shooter not guilty.")</f>
        <v>A teenage student was fatally shot during a fight in the school parking lot during a high school basketball game. Teen had left the game early and was waiting outside next to a vehicle. He was spotted by a group of teens from a rival group and they jumped him. He was shot while trying to get into the vehicle. In addition to the gun used to shoot the victim, 2 guns were recovered from inside the car he was entering. In January 2024, a jurry found the shooter not guilty.</v>
      </c>
      <c r="AA1175" s="8" t="str">
        <f ca="1">IFERROR(__xludf.DUMMYFUNCTION("""COMPUTED_VALUE"""),"Escalation of Dispute")</f>
        <v>Escalation of Dispute</v>
      </c>
      <c r="AB1175" s="8"/>
      <c r="AC1175" s="8" t="str">
        <f ca="1">IFERROR(__xludf.DUMMYFUNCTION("""COMPUTED_VALUE"""),"Yes")</f>
        <v>Yes</v>
      </c>
      <c r="AD1175" s="8" t="str">
        <f ca="1">IFERROR(__xludf.DUMMYFUNCTION("""COMPUTED_VALUE"""),"Victims Targeted")</f>
        <v>Victims Targeted</v>
      </c>
      <c r="AE1175" s="8" t="str">
        <f ca="1">IFERROR(__xludf.DUMMYFUNCTION("""COMPUTED_VALUE"""),"Yes")</f>
        <v>Yes</v>
      </c>
      <c r="AF1175" s="8" t="str">
        <f ca="1">IFERROR(__xludf.DUMMYFUNCTION("""COMPUTED_VALUE"""),"Group of teens from rival group")</f>
        <v>Group of teens from rival group</v>
      </c>
      <c r="AG1175" s="8" t="str">
        <f ca="1">IFERROR(__xludf.DUMMYFUNCTION("""COMPUTED_VALUE"""),"No")</f>
        <v>No</v>
      </c>
      <c r="AH1175" s="8" t="str">
        <f ca="1">IFERROR(__xludf.DUMMYFUNCTION("""COMPUTED_VALUE"""),"No")</f>
        <v>No</v>
      </c>
      <c r="AI1175" s="8" t="str">
        <f ca="1">IFERROR(__xludf.DUMMYFUNCTION("""COMPUTED_VALUE"""),"No")</f>
        <v>No</v>
      </c>
      <c r="AJ1175" s="8" t="str">
        <f ca="1">IFERROR(__xludf.DUMMYFUNCTION("""COMPUTED_VALUE"""),"No")</f>
        <v>No</v>
      </c>
      <c r="AK1175" s="8" t="str">
        <f ca="1">IFERROR(__xludf.DUMMYFUNCTION("""COMPUTED_VALUE"""),"No")</f>
        <v>No</v>
      </c>
      <c r="AL1175" s="8" t="str">
        <f ca="1">IFERROR(__xludf.DUMMYFUNCTION("""COMPUTED_VALUE"""),"Yes")</f>
        <v>Yes</v>
      </c>
      <c r="AM1175" s="8" t="str">
        <f ca="1">IFERROR(__xludf.DUMMYFUNCTION("""COMPUTED_VALUE"""),"No")</f>
        <v>No</v>
      </c>
      <c r="AN1175" s="8"/>
      <c r="AO1175" s="8" t="str">
        <f ca="1">IFERROR(__xludf.DUMMYFUNCTION("""COMPUTED_VALUE"""),"No")</f>
        <v>No</v>
      </c>
      <c r="AP1175" s="8"/>
      <c r="AQ1175" s="8"/>
      <c r="AR1175" s="8" t="str">
        <f ca="1">IFERROR(__xludf.DUMMYFUNCTION("""COMPUTED_VALUE"""),"Outside/Off-Property")</f>
        <v>Outside/Off-Property</v>
      </c>
      <c r="AS1175" s="8"/>
      <c r="AT1175" s="8"/>
      <c r="AU1175" s="8">
        <f ca="1">IFERROR(__xludf.DUMMYFUNCTION("""COMPUTED_VALUE"""),37.095662)</f>
        <v>37.095661999999997</v>
      </c>
      <c r="AV1175" s="8">
        <f ca="1">IFERROR(__xludf.DUMMYFUNCTION("""COMPUTED_VALUE"""),-76.530578)</f>
        <v>-76.530578000000006</v>
      </c>
      <c r="AW1175" s="8"/>
      <c r="AX1175" s="8">
        <f ca="1">IFERROR(__xludf.DUMMYFUNCTION("""COMPUTED_VALUE"""),23602)</f>
        <v>23602</v>
      </c>
    </row>
    <row r="1176" spans="1:50" ht="75" x14ac:dyDescent="0.2">
      <c r="A1176" s="8" t="str">
        <f ca="1">IFERROR(__xludf.DUMMYFUNCTION("""COMPUTED_VALUE"""),"20211213NCWEC")</f>
        <v>20211213NCWEC</v>
      </c>
      <c r="B1176" s="8">
        <f ca="1">IFERROR(__xludf.DUMMYFUNCTION("""COMPUTED_VALUE"""),12)</f>
        <v>12</v>
      </c>
      <c r="C1176" s="8">
        <f ca="1">IFERROR(__xludf.DUMMYFUNCTION("""COMPUTED_VALUE"""),13)</f>
        <v>13</v>
      </c>
      <c r="D1176" s="8">
        <f ca="1">IFERROR(__xludf.DUMMYFUNCTION("""COMPUTED_VALUE"""),2021)</f>
        <v>2021</v>
      </c>
      <c r="E1176" s="9">
        <f ca="1">IFERROR(__xludf.DUMMYFUNCTION("""COMPUTED_VALUE"""),44543)</f>
        <v>44543</v>
      </c>
      <c r="F1176" s="8" t="str">
        <f ca="1">IFERROR(__xludf.DUMMYFUNCTION("""COMPUTED_VALUE"""),"West Charlotte High School")</f>
        <v>West Charlotte High School</v>
      </c>
      <c r="G1176" s="8">
        <f ca="1">IFERROR(__xludf.DUMMYFUNCTION("""COMPUTED_VALUE"""),0)</f>
        <v>0</v>
      </c>
      <c r="H1176" s="8">
        <f ca="1">IFERROR(__xludf.DUMMYFUNCTION("""COMPUTED_VALUE"""),0)</f>
        <v>0</v>
      </c>
      <c r="I1176" s="8">
        <f ca="1">IFERROR(__xludf.DUMMYFUNCTION("""COMPUTED_VALUE"""),0)</f>
        <v>0</v>
      </c>
      <c r="J1176" s="8">
        <f ca="1">IFERROR(__xludf.DUMMYFUNCTION("""COMPUTED_VALUE"""),0)</f>
        <v>0</v>
      </c>
      <c r="K1176" s="8" t="str">
        <f ca="1">IFERROR(__xludf.DUMMYFUNCTION("""COMPUTED_VALUE"""),"https://www.wistv.com/2021/12/13/shots-west-charlotte-hs-campus-cmpd-responding/ https://www.cbs17.com/news/north-carolina-news/police-argument-over-backpack-sparks-shooting-outside-west-charlotte-high-school-no-injuries-reported/ https://www.wbtv.com/202"&amp;"1/12/13/cmpd-responding-shots-fired-call-west-charlotte-hs-campus/ https://www.wfae.org/crime-justice/2021-12-13/student-fires-a-gun-outside-west-charlotte-high-as-cms-breaks-record-for-guns-at-schools https://www.wsoctv.com/news/local/police-respond-west"&amp;"-charlotte-hs-after-shots-fired-outside-school-cmpd-says/UXBSJ5KJ7FA6DGPXW7WPVNU7FE/")</f>
        <v>https://www.wistv.com/2021/12/13/shots-west-charlotte-hs-campus-cmpd-responding/ https://www.cbs17.com/news/north-carolina-news/police-argument-over-backpack-sparks-shooting-outside-west-charlotte-high-school-no-injuries-reported/ https://www.wbtv.com/2021/12/13/cmpd-responding-shots-fired-call-west-charlotte-hs-campus/ https://www.wfae.org/crime-justice/2021-12-13/student-fires-a-gun-outside-west-charlotte-high-as-cms-breaks-record-for-guns-at-schools https://www.wsoctv.com/news/local/police-respond-west-charlotte-hs-after-shots-fired-outside-school-cmpd-says/UXBSJ5KJ7FA6DGPXW7WPVNU7FE/</v>
      </c>
      <c r="L1176" s="8">
        <f ca="1">IFERROR(__xludf.DUMMYFUNCTION("""COMPUTED_VALUE"""),10)</f>
        <v>10</v>
      </c>
      <c r="M1176" s="8" t="str">
        <f ca="1">IFERROR(__xludf.DUMMYFUNCTION("""COMPUTED_VALUE"""),"Regional")</f>
        <v>Regional</v>
      </c>
      <c r="N1176" s="8">
        <f ca="1">IFERROR(__xludf.DUMMYFUNCTION("""COMPUTED_VALUE"""),4)</f>
        <v>4</v>
      </c>
      <c r="O1176" s="8" t="str">
        <f ca="1">IFERROR(__xludf.DUMMYFUNCTION("""COMPUTED_VALUE"""),"Winter")</f>
        <v>Winter</v>
      </c>
      <c r="P1176" s="8" t="str">
        <f ca="1">IFERROR(__xludf.DUMMYFUNCTION("""COMPUTED_VALUE"""),"Charlotte")</f>
        <v>Charlotte</v>
      </c>
      <c r="Q1176" s="8" t="str">
        <f ca="1">IFERROR(__xludf.DUMMYFUNCTION("""COMPUTED_VALUE"""),"NC")</f>
        <v>NC</v>
      </c>
      <c r="R1176" s="8" t="str">
        <f ca="1">IFERROR(__xludf.DUMMYFUNCTION("""COMPUTED_VALUE"""),"High")</f>
        <v>High</v>
      </c>
      <c r="S1176" s="8" t="str">
        <f ca="1">IFERROR(__xludf.DUMMYFUNCTION("""COMPUTED_VALUE"""),"Parking Lot")</f>
        <v>Parking Lot</v>
      </c>
      <c r="T1176" s="8" t="str">
        <f ca="1">IFERROR(__xludf.DUMMYFUNCTION("""COMPUTED_VALUE"""),"Outside on School Property")</f>
        <v>Outside on School Property</v>
      </c>
      <c r="U1176" s="8" t="str">
        <f ca="1">IFERROR(__xludf.DUMMYFUNCTION("""COMPUTED_VALUE"""),"Yes")</f>
        <v>Yes</v>
      </c>
      <c r="V1176" s="8" t="str">
        <f ca="1">IFERROR(__xludf.DUMMYFUNCTION("""COMPUTED_VALUE"""),"Dismissal")</f>
        <v>Dismissal</v>
      </c>
      <c r="W1176" s="11">
        <f ca="1">IFERROR(__xludf.DUMMYFUNCTION("""COMPUTED_VALUE"""),0.594444444444444)</f>
        <v>0.594444444444444</v>
      </c>
      <c r="X1176" s="8">
        <f ca="1">IFERROR(__xludf.DUMMYFUNCTION("""COMPUTED_VALUE"""),1)</f>
        <v>1</v>
      </c>
      <c r="Y1176" s="12" t="str">
        <f ca="1">IFERROR(__xludf.DUMMYFUNCTION("""COMPUTED_VALUE"""),"Shot fired during fight at dismissal")</f>
        <v>Shot fired during fight at dismissal</v>
      </c>
      <c r="Z1176" s="12" t="str">
        <f ca="1">IFERROR(__xludf.DUMMYFUNCTION("""COMPUTED_VALUE"""),"A teen student fired at shot at another student during a fight in the parking lot at dismissal. The fight was over a bookbag. Shooter fled and was arrested away from the school. No injuries. School switched to virtual learning the following day.")</f>
        <v>A teen student fired at shot at another student during a fight in the parking lot at dismissal. The fight was over a bookbag. Shooter fled and was arrested away from the school. No injuries. School switched to virtual learning the following day.</v>
      </c>
      <c r="AA1176" s="8" t="str">
        <f ca="1">IFERROR(__xludf.DUMMYFUNCTION("""COMPUTED_VALUE"""),"Escalation of Dispute")</f>
        <v>Escalation of Dispute</v>
      </c>
      <c r="AB1176" s="8"/>
      <c r="AC1176" s="8" t="str">
        <f ca="1">IFERROR(__xludf.DUMMYFUNCTION("""COMPUTED_VALUE"""),"Yes")</f>
        <v>Yes</v>
      </c>
      <c r="AD1176" s="8" t="str">
        <f ca="1">IFERROR(__xludf.DUMMYFUNCTION("""COMPUTED_VALUE"""),"Victims Targeted")</f>
        <v>Victims Targeted</v>
      </c>
      <c r="AE1176" s="8" t="str">
        <f ca="1">IFERROR(__xludf.DUMMYFUNCTION("""COMPUTED_VALUE"""),"No")</f>
        <v>No</v>
      </c>
      <c r="AF1176" s="8"/>
      <c r="AG1176" s="8" t="str">
        <f ca="1">IFERROR(__xludf.DUMMYFUNCTION("""COMPUTED_VALUE"""),"No")</f>
        <v>No</v>
      </c>
      <c r="AH1176" s="8" t="str">
        <f ca="1">IFERROR(__xludf.DUMMYFUNCTION("""COMPUTED_VALUE"""),"No")</f>
        <v>No</v>
      </c>
      <c r="AI1176" s="8" t="str">
        <f ca="1">IFERROR(__xludf.DUMMYFUNCTION("""COMPUTED_VALUE"""),"No")</f>
        <v>No</v>
      </c>
      <c r="AJ1176" s="8" t="str">
        <f ca="1">IFERROR(__xludf.DUMMYFUNCTION("""COMPUTED_VALUE"""),"No")</f>
        <v>No</v>
      </c>
      <c r="AK1176" s="8" t="str">
        <f ca="1">IFERROR(__xludf.DUMMYFUNCTION("""COMPUTED_VALUE"""),"No")</f>
        <v>No</v>
      </c>
      <c r="AL1176" s="8" t="str">
        <f ca="1">IFERROR(__xludf.DUMMYFUNCTION("""COMPUTED_VALUE"""),"No")</f>
        <v>No</v>
      </c>
      <c r="AM1176" s="8" t="str">
        <f ca="1">IFERROR(__xludf.DUMMYFUNCTION("""COMPUTED_VALUE"""),"No")</f>
        <v>No</v>
      </c>
      <c r="AN1176" s="8"/>
      <c r="AO1176" s="8" t="str">
        <f ca="1">IFERROR(__xludf.DUMMYFUNCTION("""COMPUTED_VALUE"""),"No")</f>
        <v>No</v>
      </c>
      <c r="AP1176" s="8"/>
      <c r="AQ1176" s="8"/>
      <c r="AR1176" s="8" t="str">
        <f ca="1">IFERROR(__xludf.DUMMYFUNCTION("""COMPUTED_VALUE"""),"Outside/Off-Property")</f>
        <v>Outside/Off-Property</v>
      </c>
      <c r="AS1176" s="8">
        <f ca="1">IFERROR(__xludf.DUMMYFUNCTION("""COMPUTED_VALUE"""),1)</f>
        <v>1</v>
      </c>
      <c r="AT1176" s="8" t="str">
        <f ca="1">IFERROR(__xludf.DUMMYFUNCTION("""COMPUTED_VALUE"""),"Yes")</f>
        <v>Yes</v>
      </c>
      <c r="AU1176" s="8">
        <f ca="1">IFERROR(__xludf.DUMMYFUNCTION("""COMPUTED_VALUE"""),35.265848)</f>
        <v>35.265847999999998</v>
      </c>
      <c r="AV1176" s="8">
        <f ca="1">IFERROR(__xludf.DUMMYFUNCTION("""COMPUTED_VALUE"""),-80.859066)</f>
        <v>-80.859065999999999</v>
      </c>
      <c r="AW1176" s="8"/>
      <c r="AX1176" s="8">
        <f ca="1">IFERROR(__xludf.DUMMYFUNCTION("""COMPUTED_VALUE"""),28216)</f>
        <v>28216</v>
      </c>
    </row>
    <row r="1177" spans="1:50" ht="60" x14ac:dyDescent="0.2">
      <c r="A1177" s="8" t="str">
        <f ca="1">IFERROR(__xludf.DUMMYFUNCTION("""COMPUTED_VALUE"""),"20211213FLEAO")</f>
        <v>20211213FLEAO</v>
      </c>
      <c r="B1177" s="8">
        <f ca="1">IFERROR(__xludf.DUMMYFUNCTION("""COMPUTED_VALUE"""),12)</f>
        <v>12</v>
      </c>
      <c r="C1177" s="8">
        <f ca="1">IFERROR(__xludf.DUMMYFUNCTION("""COMPUTED_VALUE"""),13)</f>
        <v>13</v>
      </c>
      <c r="D1177" s="8">
        <f ca="1">IFERROR(__xludf.DUMMYFUNCTION("""COMPUTED_VALUE"""),2021)</f>
        <v>2021</v>
      </c>
      <c r="E1177" s="9">
        <f ca="1">IFERROR(__xludf.DUMMYFUNCTION("""COMPUTED_VALUE"""),44543)</f>
        <v>44543</v>
      </c>
      <c r="F1177" s="8" t="str">
        <f ca="1">IFERROR(__xludf.DUMMYFUNCTION("""COMPUTED_VALUE"""),"East River High School")</f>
        <v>East River High School</v>
      </c>
      <c r="G1177" s="8">
        <f ca="1">IFERROR(__xludf.DUMMYFUNCTION("""COMPUTED_VALUE"""),0)</f>
        <v>0</v>
      </c>
      <c r="H1177" s="8">
        <f ca="1">IFERROR(__xludf.DUMMYFUNCTION("""COMPUTED_VALUE"""),0)</f>
        <v>0</v>
      </c>
      <c r="I1177" s="8">
        <f ca="1">IFERROR(__xludf.DUMMYFUNCTION("""COMPUTED_VALUE"""),0)</f>
        <v>0</v>
      </c>
      <c r="J1177" s="8">
        <f ca="1">IFERROR(__xludf.DUMMYFUNCTION("""COMPUTED_VALUE"""),0)</f>
        <v>0</v>
      </c>
      <c r="K1177" s="8" t="str">
        <f ca="1">IFERROR(__xludf.DUMMYFUNCTION("""COMPUTED_VALUE"""),"https://www.orlandosentinel.com/news/orange-county/os-ne-shots-fired-east-river-high-school-20211213-dv35bdxeqvbubc5p33o55eg5iu-story.html https://www.wftv.com/news/local/no-injuries-reported-after-gunfire-east-river-high-school-principal-says/FECBPDJE6JB"&amp;"2LFYN2UA5ZJ4MCY/ https://www.clickorlando.com/news/local/2021/12/13/watch-live-sky-flies-over-large-law-enforcement-presence-at-east-river-high-school/")</f>
        <v>https://www.orlandosentinel.com/news/orange-county/os-ne-shots-fired-east-river-high-school-20211213-dv35bdxeqvbubc5p33o55eg5iu-story.html https://www.wftv.com/news/local/no-injuries-reported-after-gunfire-east-river-high-school-principal-says/FECBPDJE6JB2LFYN2UA5ZJ4MCY/ https://www.clickorlando.com/news/local/2021/12/13/watch-live-sky-flies-over-large-law-enforcement-presence-at-east-river-high-school/</v>
      </c>
      <c r="L1177" s="8">
        <f ca="1">IFERROR(__xludf.DUMMYFUNCTION("""COMPUTED_VALUE"""),10)</f>
        <v>10</v>
      </c>
      <c r="M1177" s="8" t="str">
        <f ca="1">IFERROR(__xludf.DUMMYFUNCTION("""COMPUTED_VALUE"""),"Regional")</f>
        <v>Regional</v>
      </c>
      <c r="N1177" s="8">
        <f ca="1">IFERROR(__xludf.DUMMYFUNCTION("""COMPUTED_VALUE"""),4)</f>
        <v>4</v>
      </c>
      <c r="O1177" s="8" t="str">
        <f ca="1">IFERROR(__xludf.DUMMYFUNCTION("""COMPUTED_VALUE"""),"Winter")</f>
        <v>Winter</v>
      </c>
      <c r="P1177" s="8" t="str">
        <f ca="1">IFERROR(__xludf.DUMMYFUNCTION("""COMPUTED_VALUE"""),"Orlando")</f>
        <v>Orlando</v>
      </c>
      <c r="Q1177" s="8" t="str">
        <f ca="1">IFERROR(__xludf.DUMMYFUNCTION("""COMPUTED_VALUE"""),"FL")</f>
        <v>FL</v>
      </c>
      <c r="R1177" s="8" t="str">
        <f ca="1">IFERROR(__xludf.DUMMYFUNCTION("""COMPUTED_VALUE"""),"High")</f>
        <v>High</v>
      </c>
      <c r="S1177" s="8" t="str">
        <f ca="1">IFERROR(__xludf.DUMMYFUNCTION("""COMPUTED_VALUE"""),"Parking Lot")</f>
        <v>Parking Lot</v>
      </c>
      <c r="T1177" s="8" t="str">
        <f ca="1">IFERROR(__xludf.DUMMYFUNCTION("""COMPUTED_VALUE"""),"Outside on School Property")</f>
        <v>Outside on School Property</v>
      </c>
      <c r="U1177" s="8" t="str">
        <f ca="1">IFERROR(__xludf.DUMMYFUNCTION("""COMPUTED_VALUE"""),"Yes")</f>
        <v>Yes</v>
      </c>
      <c r="V1177" s="8" t="str">
        <f ca="1">IFERROR(__xludf.DUMMYFUNCTION("""COMPUTED_VALUE"""),"Dismissal")</f>
        <v>Dismissal</v>
      </c>
      <c r="W1177" s="11">
        <f ca="1">IFERROR(__xludf.DUMMYFUNCTION("""COMPUTED_VALUE"""),0.625)</f>
        <v>0.625</v>
      </c>
      <c r="X1177" s="8">
        <f ca="1">IFERROR(__xludf.DUMMYFUNCTION("""COMPUTED_VALUE"""),1)</f>
        <v>1</v>
      </c>
      <c r="Y1177" s="12" t="str">
        <f ca="1">IFERROR(__xludf.DUMMYFUNCTION("""COMPUTED_VALUE"""),"Shot fired in the school parking lot during dismissal")</f>
        <v>Shot fired in the school parking lot during dismissal</v>
      </c>
      <c r="Z1177" s="12" t="str">
        <f ca="1">IFERROR(__xludf.DUMMYFUNCTION("""COMPUTED_VALUE"""),"Shot fired in the school parking lot during dismissal. No injuries. Shooter fled. School went into lockdown and notified parents. Basketball game scheduled for later in the evening was cancelled.")</f>
        <v>Shot fired in the school parking lot during dismissal. No injuries. Shooter fled. School went into lockdown and notified parents. Basketball game scheduled for later in the evening was cancelled.</v>
      </c>
      <c r="AA1177" s="8"/>
      <c r="AB1177" s="8"/>
      <c r="AC1177" s="8" t="str">
        <f ca="1">IFERROR(__xludf.DUMMYFUNCTION("""COMPUTED_VALUE"""),"Yes")</f>
        <v>Yes</v>
      </c>
      <c r="AD1177" s="8"/>
      <c r="AE1177" s="8" t="str">
        <f ca="1">IFERROR(__xludf.DUMMYFUNCTION("""COMPUTED_VALUE"""),"No")</f>
        <v>No</v>
      </c>
      <c r="AF1177" s="8"/>
      <c r="AG1177" s="8" t="str">
        <f ca="1">IFERROR(__xludf.DUMMYFUNCTION("""COMPUTED_VALUE"""),"No")</f>
        <v>No</v>
      </c>
      <c r="AH1177" s="8" t="str">
        <f ca="1">IFERROR(__xludf.DUMMYFUNCTION("""COMPUTED_VALUE"""),"No")</f>
        <v>No</v>
      </c>
      <c r="AI1177" s="8" t="str">
        <f ca="1">IFERROR(__xludf.DUMMYFUNCTION("""COMPUTED_VALUE"""),"No")</f>
        <v>No</v>
      </c>
      <c r="AJ1177" s="8" t="str">
        <f ca="1">IFERROR(__xludf.DUMMYFUNCTION("""COMPUTED_VALUE"""),"No")</f>
        <v>No</v>
      </c>
      <c r="AK1177" s="8" t="str">
        <f ca="1">IFERROR(__xludf.DUMMYFUNCTION("""COMPUTED_VALUE"""),"No")</f>
        <v>No</v>
      </c>
      <c r="AL1177" s="8"/>
      <c r="AM1177" s="8" t="str">
        <f ca="1">IFERROR(__xludf.DUMMYFUNCTION("""COMPUTED_VALUE"""),"No")</f>
        <v>No</v>
      </c>
      <c r="AN1177" s="8"/>
      <c r="AO1177" s="8" t="str">
        <f ca="1">IFERROR(__xludf.DUMMYFUNCTION("""COMPUTED_VALUE"""),"No")</f>
        <v>No</v>
      </c>
      <c r="AP1177" s="8"/>
      <c r="AQ1177" s="8"/>
      <c r="AR1177" s="8" t="str">
        <f ca="1">IFERROR(__xludf.DUMMYFUNCTION("""COMPUTED_VALUE"""),"Outside/Off-Property")</f>
        <v>Outside/Off-Property</v>
      </c>
      <c r="AS1177" s="8">
        <f ca="1">IFERROR(__xludf.DUMMYFUNCTION("""COMPUTED_VALUE"""),1)</f>
        <v>1</v>
      </c>
      <c r="AT1177" s="8" t="str">
        <f ca="1">IFERROR(__xludf.DUMMYFUNCTION("""COMPUTED_VALUE"""),"Yes")</f>
        <v>Yes</v>
      </c>
      <c r="AU1177" s="8">
        <f ca="1">IFERROR(__xludf.DUMMYFUNCTION("""COMPUTED_VALUE"""),28.556789)</f>
        <v>28.556788999999998</v>
      </c>
      <c r="AV1177" s="8">
        <f ca="1">IFERROR(__xludf.DUMMYFUNCTION("""COMPUTED_VALUE"""),-81.130877)</f>
        <v>-81.130876999999998</v>
      </c>
      <c r="AW1177" s="8"/>
      <c r="AX1177" s="8">
        <f ca="1">IFERROR(__xludf.DUMMYFUNCTION("""COMPUTED_VALUE"""),32833)</f>
        <v>32833</v>
      </c>
    </row>
    <row r="1178" spans="1:50" ht="75" x14ac:dyDescent="0.2">
      <c r="A1178" s="8" t="str">
        <f ca="1">IFERROR(__xludf.DUMMYFUNCTION("""COMPUTED_VALUE"""),"20211212NYSCR")</f>
        <v>20211212NYSCR</v>
      </c>
      <c r="B1178" s="8">
        <f ca="1">IFERROR(__xludf.DUMMYFUNCTION("""COMPUTED_VALUE"""),12)</f>
        <v>12</v>
      </c>
      <c r="C1178" s="8">
        <f ca="1">IFERROR(__xludf.DUMMYFUNCTION("""COMPUTED_VALUE"""),12)</f>
        <v>12</v>
      </c>
      <c r="D1178" s="8">
        <f ca="1">IFERROR(__xludf.DUMMYFUNCTION("""COMPUTED_VALUE"""),2021)</f>
        <v>2021</v>
      </c>
      <c r="E1178" s="9">
        <f ca="1">IFERROR(__xludf.DUMMYFUNCTION("""COMPUTED_VALUE"""),44542)</f>
        <v>44542</v>
      </c>
      <c r="F1178" s="8" t="str">
        <f ca="1">IFERROR(__xludf.DUMMYFUNCTION("""COMPUTED_VALUE"""),"School No. 17")</f>
        <v>School No. 17</v>
      </c>
      <c r="G1178" s="8">
        <f ca="1">IFERROR(__xludf.DUMMYFUNCTION("""COMPUTED_VALUE"""),1)</f>
        <v>1</v>
      </c>
      <c r="H1178" s="8">
        <f ca="1">IFERROR(__xludf.DUMMYFUNCTION("""COMPUTED_VALUE"""),0)</f>
        <v>0</v>
      </c>
      <c r="I1178" s="8">
        <f ca="1">IFERROR(__xludf.DUMMYFUNCTION("""COMPUTED_VALUE"""),1)</f>
        <v>1</v>
      </c>
      <c r="J1178" s="8">
        <f ca="1">IFERROR(__xludf.DUMMYFUNCTION("""COMPUTED_VALUE"""),0)</f>
        <v>0</v>
      </c>
      <c r="K1178" s="8" t="str">
        <f ca="1">IFERROR(__xludf.DUMMYFUNCTION("""COMPUTED_VALUE"""),"https://news.yahoo.com/shooting-near-school-playground-leaves-101541934.html https://www.democratandchronicle.com/story/news/2021/12/13/shooting-near-school-17-playground-leaves-one-dead-in-rochester-ny/6491240001/ https://www.rochesterfirst.com/crime/roc"&amp;"hester-man-shot-dead-on-campbell-st-citys-80th-homicide/")</f>
        <v>https://news.yahoo.com/shooting-near-school-playground-leaves-101541934.html https://www.democratandchronicle.com/story/news/2021/12/13/shooting-near-school-17-playground-leaves-one-dead-in-rochester-ny/6491240001/ https://www.rochesterfirst.com/crime/rochester-man-shot-dead-on-campbell-st-citys-80th-homicide/</v>
      </c>
      <c r="L1178" s="8">
        <f ca="1">IFERROR(__xludf.DUMMYFUNCTION("""COMPUTED_VALUE"""),2)</f>
        <v>2</v>
      </c>
      <c r="M1178" s="8" t="str">
        <f ca="1">IFERROR(__xludf.DUMMYFUNCTION("""COMPUTED_VALUE"""),"Local")</f>
        <v>Local</v>
      </c>
      <c r="N1178" s="8">
        <f ca="1">IFERROR(__xludf.DUMMYFUNCTION("""COMPUTED_VALUE"""),4)</f>
        <v>4</v>
      </c>
      <c r="O1178" s="8" t="str">
        <f ca="1">IFERROR(__xludf.DUMMYFUNCTION("""COMPUTED_VALUE"""),"Winter")</f>
        <v>Winter</v>
      </c>
      <c r="P1178" s="8" t="str">
        <f ca="1">IFERROR(__xludf.DUMMYFUNCTION("""COMPUTED_VALUE"""),"Rochester")</f>
        <v>Rochester</v>
      </c>
      <c r="Q1178" s="8" t="str">
        <f ca="1">IFERROR(__xludf.DUMMYFUNCTION("""COMPUTED_VALUE"""),"NY")</f>
        <v>NY</v>
      </c>
      <c r="R1178" s="8" t="str">
        <f ca="1">IFERROR(__xludf.DUMMYFUNCTION("""COMPUTED_VALUE"""),"K-8")</f>
        <v>K-8</v>
      </c>
      <c r="S1178" s="8" t="str">
        <f ca="1">IFERROR(__xludf.DUMMYFUNCTION("""COMPUTED_VALUE"""),"Playground")</f>
        <v>Playground</v>
      </c>
      <c r="T1178" s="8" t="str">
        <f ca="1">IFERROR(__xludf.DUMMYFUNCTION("""COMPUTED_VALUE"""),"Outside on School Property")</f>
        <v>Outside on School Property</v>
      </c>
      <c r="U1178" s="8" t="str">
        <f ca="1">IFERROR(__xludf.DUMMYFUNCTION("""COMPUTED_VALUE"""),"No")</f>
        <v>No</v>
      </c>
      <c r="V1178" s="8" t="str">
        <f ca="1">IFERROR(__xludf.DUMMYFUNCTION("""COMPUTED_VALUE"""),"Evening")</f>
        <v>Evening</v>
      </c>
      <c r="W1178" s="11">
        <f ca="1">IFERROR(__xludf.DUMMYFUNCTION("""COMPUTED_VALUE"""),0.770833333333333)</f>
        <v>0.77083333333333304</v>
      </c>
      <c r="X1178" s="8">
        <f ca="1">IFERROR(__xludf.DUMMYFUNCTION("""COMPUTED_VALUE"""),1)</f>
        <v>1</v>
      </c>
      <c r="Y1178" s="12" t="str">
        <f ca="1">IFERROR(__xludf.DUMMYFUNCTION("""COMPUTED_VALUE"""),"Adult male fatally shot during dispute on school playground")</f>
        <v>Adult male fatally shot during dispute on school playground</v>
      </c>
      <c r="Z1178" s="12" t="str">
        <f ca="1">IFERROR(__xludf.DUMMYFUNCTION("""COMPUTED_VALUE"""),"A 25-year-old man was fatally shot during a dispute with another man on the school playground. Shooter fled. The victim was transported to the hospital in a private vehicle. A 21-year-old male was arrested 2 days later and charged with murder.")</f>
        <v>A 25-year-old man was fatally shot during a dispute with another man on the school playground. Shooter fled. The victim was transported to the hospital in a private vehicle. A 21-year-old male was arrested 2 days later and charged with murder.</v>
      </c>
      <c r="AA1178" s="8" t="str">
        <f ca="1">IFERROR(__xludf.DUMMYFUNCTION("""COMPUTED_VALUE"""),"Escalation of Dispute")</f>
        <v>Escalation of Dispute</v>
      </c>
      <c r="AB1178" s="8"/>
      <c r="AC1178" s="8" t="str">
        <f ca="1">IFERROR(__xludf.DUMMYFUNCTION("""COMPUTED_VALUE"""),"No")</f>
        <v>No</v>
      </c>
      <c r="AD1178" s="8" t="str">
        <f ca="1">IFERROR(__xludf.DUMMYFUNCTION("""COMPUTED_VALUE"""),"Victims Targeted")</f>
        <v>Victims Targeted</v>
      </c>
      <c r="AE1178" s="8" t="str">
        <f ca="1">IFERROR(__xludf.DUMMYFUNCTION("""COMPUTED_VALUE"""),"No")</f>
        <v>No</v>
      </c>
      <c r="AF1178" s="8"/>
      <c r="AG1178" s="8" t="str">
        <f ca="1">IFERROR(__xludf.DUMMYFUNCTION("""COMPUTED_VALUE"""),"No")</f>
        <v>No</v>
      </c>
      <c r="AH1178" s="8" t="str">
        <f ca="1">IFERROR(__xludf.DUMMYFUNCTION("""COMPUTED_VALUE"""),"No")</f>
        <v>No</v>
      </c>
      <c r="AI1178" s="8" t="str">
        <f ca="1">IFERROR(__xludf.DUMMYFUNCTION("""COMPUTED_VALUE"""),"No")</f>
        <v>No</v>
      </c>
      <c r="AJ1178" s="8" t="str">
        <f ca="1">IFERROR(__xludf.DUMMYFUNCTION("""COMPUTED_VALUE"""),"No")</f>
        <v>No</v>
      </c>
      <c r="AK1178" s="8" t="str">
        <f ca="1">IFERROR(__xludf.DUMMYFUNCTION("""COMPUTED_VALUE"""),"No")</f>
        <v>No</v>
      </c>
      <c r="AL1178" s="8" t="str">
        <f ca="1">IFERROR(__xludf.DUMMYFUNCTION("""COMPUTED_VALUE"""),"No")</f>
        <v>No</v>
      </c>
      <c r="AM1178" s="8" t="str">
        <f ca="1">IFERROR(__xludf.DUMMYFUNCTION("""COMPUTED_VALUE"""),"No")</f>
        <v>No</v>
      </c>
      <c r="AN1178" s="8"/>
      <c r="AO1178" s="8" t="str">
        <f ca="1">IFERROR(__xludf.DUMMYFUNCTION("""COMPUTED_VALUE"""),"No")</f>
        <v>No</v>
      </c>
      <c r="AP1178" s="8"/>
      <c r="AQ1178" s="8"/>
      <c r="AR1178" s="8" t="str">
        <f ca="1">IFERROR(__xludf.DUMMYFUNCTION("""COMPUTED_VALUE"""),"Outside/Off-Property")</f>
        <v>Outside/Off-Property</v>
      </c>
      <c r="AS1178" s="8"/>
      <c r="AT1178" s="8"/>
      <c r="AU1178" s="8">
        <f ca="1">IFERROR(__xludf.DUMMYFUNCTION("""COMPUTED_VALUE"""),43.158012)</f>
        <v>43.158011999999999</v>
      </c>
      <c r="AV1178" s="8">
        <f ca="1">IFERROR(__xludf.DUMMYFUNCTION("""COMPUTED_VALUE"""),-77.634106)</f>
        <v>-77.634106000000003</v>
      </c>
      <c r="AW1178" s="8"/>
      <c r="AX1178" s="8">
        <f ca="1">IFERROR(__xludf.DUMMYFUNCTION("""COMPUTED_VALUE"""),14611)</f>
        <v>14611</v>
      </c>
    </row>
    <row r="1179" spans="1:50" ht="60" x14ac:dyDescent="0.2">
      <c r="A1179" s="8" t="str">
        <f ca="1">IFERROR(__xludf.DUMMYFUNCTION("""COMPUTED_VALUE"""),"20211211GAJOG")</f>
        <v>20211211GAJOG</v>
      </c>
      <c r="B1179" s="8">
        <f ca="1">IFERROR(__xludf.DUMMYFUNCTION("""COMPUTED_VALUE"""),12)</f>
        <v>12</v>
      </c>
      <c r="C1179" s="8">
        <f ca="1">IFERROR(__xludf.DUMMYFUNCTION("""COMPUTED_VALUE"""),11)</f>
        <v>11</v>
      </c>
      <c r="D1179" s="8">
        <f ca="1">IFERROR(__xludf.DUMMYFUNCTION("""COMPUTED_VALUE"""),2021)</f>
        <v>2021</v>
      </c>
      <c r="E1179" s="9">
        <f ca="1">IFERROR(__xludf.DUMMYFUNCTION("""COMPUTED_VALUE"""),44541)</f>
        <v>44541</v>
      </c>
      <c r="F1179" s="8" t="str">
        <f ca="1">IFERROR(__xludf.DUMMYFUNCTION("""COMPUTED_VALUE"""),"Jones County High School")</f>
        <v>Jones County High School</v>
      </c>
      <c r="G1179" s="8">
        <f ca="1">IFERROR(__xludf.DUMMYFUNCTION("""COMPUTED_VALUE"""),0)</f>
        <v>0</v>
      </c>
      <c r="H1179" s="8">
        <f ca="1">IFERROR(__xludf.DUMMYFUNCTION("""COMPUTED_VALUE"""),0)</f>
        <v>0</v>
      </c>
      <c r="I1179" s="8">
        <f ca="1">IFERROR(__xludf.DUMMYFUNCTION("""COMPUTED_VALUE"""),0)</f>
        <v>0</v>
      </c>
      <c r="J1179" s="8">
        <f ca="1">IFERROR(__xludf.DUMMYFUNCTION("""COMPUTED_VALUE"""),0)</f>
        <v>0</v>
      </c>
      <c r="K1179" s="8" t="str">
        <f ca="1">IFERROR(__xludf.DUMMYFUNCTION("""COMPUTED_VALUE"""),"https://www.13wmaz.com/article/news/local/shooting-during-jones-county-high-basketball-game/93-1fe72b16-4515-4a35-b9e2-c6220c4113b1 https://www.unionrecorder.com/news/investigation-underway-into-shooting-at-bhs-jones-co-basketball-game/article_fdc2d244-5a"&amp;"fd-11ec-aec0-d366b61d0394.html")</f>
        <v>https://www.13wmaz.com/article/news/local/shooting-during-jones-county-high-basketball-game/93-1fe72b16-4515-4a35-b9e2-c6220c4113b1 https://www.unionrecorder.com/news/investigation-underway-into-shooting-at-bhs-jones-co-basketball-game/article_fdc2d244-5afd-11ec-aec0-d366b61d0394.html</v>
      </c>
      <c r="L1179" s="8">
        <f ca="1">IFERROR(__xludf.DUMMYFUNCTION("""COMPUTED_VALUE"""),2)</f>
        <v>2</v>
      </c>
      <c r="M1179" s="8" t="str">
        <f ca="1">IFERROR(__xludf.DUMMYFUNCTION("""COMPUTED_VALUE"""),"Local")</f>
        <v>Local</v>
      </c>
      <c r="N1179" s="8">
        <f ca="1">IFERROR(__xludf.DUMMYFUNCTION("""COMPUTED_VALUE"""),4)</f>
        <v>4</v>
      </c>
      <c r="O1179" s="8" t="str">
        <f ca="1">IFERROR(__xludf.DUMMYFUNCTION("""COMPUTED_VALUE"""),"Winter")</f>
        <v>Winter</v>
      </c>
      <c r="P1179" s="8" t="str">
        <f ca="1">IFERROR(__xludf.DUMMYFUNCTION("""COMPUTED_VALUE"""),"Gray")</f>
        <v>Gray</v>
      </c>
      <c r="Q1179" s="8" t="str">
        <f ca="1">IFERROR(__xludf.DUMMYFUNCTION("""COMPUTED_VALUE"""),"GA")</f>
        <v>GA</v>
      </c>
      <c r="R1179" s="8" t="str">
        <f ca="1">IFERROR(__xludf.DUMMYFUNCTION("""COMPUTED_VALUE"""),"High")</f>
        <v>High</v>
      </c>
      <c r="S1179" s="8" t="str">
        <f ca="1">IFERROR(__xludf.DUMMYFUNCTION("""COMPUTED_VALUE"""),"Gym")</f>
        <v>Gym</v>
      </c>
      <c r="T1179" s="8" t="str">
        <f ca="1">IFERROR(__xludf.DUMMYFUNCTION("""COMPUTED_VALUE"""),"Inside School Building")</f>
        <v>Inside School Building</v>
      </c>
      <c r="U1179" s="8" t="str">
        <f ca="1">IFERROR(__xludf.DUMMYFUNCTION("""COMPUTED_VALUE"""),"No")</f>
        <v>No</v>
      </c>
      <c r="V1179" s="8" t="str">
        <f ca="1">IFERROR(__xludf.DUMMYFUNCTION("""COMPUTED_VALUE"""),"Sport Event")</f>
        <v>Sport Event</v>
      </c>
      <c r="W1179" s="11">
        <f ca="1">IFERROR(__xludf.DUMMYFUNCTION("""COMPUTED_VALUE"""),0.84375)</f>
        <v>0.84375</v>
      </c>
      <c r="X1179" s="8">
        <f ca="1">IFERROR(__xludf.DUMMYFUNCTION("""COMPUTED_VALUE"""),1)</f>
        <v>1</v>
      </c>
      <c r="Y1179" s="12" t="str">
        <f ca="1">IFERROR(__xludf.DUMMYFUNCTION("""COMPUTED_VALUE"""),"Shot fired in the gym during high school basketball game")</f>
        <v>Shot fired in the gym during high school basketball game</v>
      </c>
      <c r="Z1179" s="12" t="str">
        <f ca="1">IFERROR(__xludf.DUMMYFUNCTION("""COMPUTED_VALUE"""),"A shot was fired in the gym during fight between teens at a high school basketball game. Gym was evacuated. No injuries. 4 teens were arrested in a vehicle in possession of a handgun and marijuana.")</f>
        <v>A shot was fired in the gym during fight between teens at a high school basketball game. Gym was evacuated. No injuries. 4 teens were arrested in a vehicle in possession of a handgun and marijuana.</v>
      </c>
      <c r="AA1179" s="8" t="str">
        <f ca="1">IFERROR(__xludf.DUMMYFUNCTION("""COMPUTED_VALUE"""),"Escalation of Dispute")</f>
        <v>Escalation of Dispute</v>
      </c>
      <c r="AB1179" s="8"/>
      <c r="AC1179" s="8" t="str">
        <f ca="1">IFERROR(__xludf.DUMMYFUNCTION("""COMPUTED_VALUE"""),"Y")</f>
        <v>Y</v>
      </c>
      <c r="AD1179" s="8" t="str">
        <f ca="1">IFERROR(__xludf.DUMMYFUNCTION("""COMPUTED_VALUE"""),"Victims Targeted")</f>
        <v>Victims Targeted</v>
      </c>
      <c r="AE1179" s="8" t="str">
        <f ca="1">IFERROR(__xludf.DUMMYFUNCTION("""COMPUTED_VALUE"""),"Yes")</f>
        <v>Yes</v>
      </c>
      <c r="AF1179" s="8" t="str">
        <f ca="1">IFERROR(__xludf.DUMMYFUNCTION("""COMPUTED_VALUE"""),"4 teens arrested")</f>
        <v>4 teens arrested</v>
      </c>
      <c r="AG1179" s="8" t="str">
        <f ca="1">IFERROR(__xludf.DUMMYFUNCTION("""COMPUTED_VALUE"""),"No")</f>
        <v>No</v>
      </c>
      <c r="AH1179" s="8" t="str">
        <f ca="1">IFERROR(__xludf.DUMMYFUNCTION("""COMPUTED_VALUE"""),"No")</f>
        <v>No</v>
      </c>
      <c r="AI1179" s="8" t="str">
        <f ca="1">IFERROR(__xludf.DUMMYFUNCTION("""COMPUTED_VALUE"""),"No")</f>
        <v>No</v>
      </c>
      <c r="AJ1179" s="8" t="str">
        <f ca="1">IFERROR(__xludf.DUMMYFUNCTION("""COMPUTED_VALUE"""),"No")</f>
        <v>No</v>
      </c>
      <c r="AK1179" s="8" t="str">
        <f ca="1">IFERROR(__xludf.DUMMYFUNCTION("""COMPUTED_VALUE"""),"No")</f>
        <v>No</v>
      </c>
      <c r="AL1179" s="8" t="str">
        <f ca="1">IFERROR(__xludf.DUMMYFUNCTION("""COMPUTED_VALUE"""),"No")</f>
        <v>No</v>
      </c>
      <c r="AM1179" s="8" t="str">
        <f ca="1">IFERROR(__xludf.DUMMYFUNCTION("""COMPUTED_VALUE"""),"No")</f>
        <v>No</v>
      </c>
      <c r="AN1179" s="8"/>
      <c r="AO1179" s="8" t="str">
        <f ca="1">IFERROR(__xludf.DUMMYFUNCTION("""COMPUTED_VALUE"""),"No")</f>
        <v>No</v>
      </c>
      <c r="AP1179" s="8"/>
      <c r="AQ1179" s="8"/>
      <c r="AR1179" s="8"/>
      <c r="AS1179" s="8">
        <f ca="1">IFERROR(__xludf.DUMMYFUNCTION("""COMPUTED_VALUE"""),1)</f>
        <v>1</v>
      </c>
      <c r="AT1179" s="8" t="str">
        <f ca="1">IFERROR(__xludf.DUMMYFUNCTION("""COMPUTED_VALUE"""),"Yes")</f>
        <v>Yes</v>
      </c>
      <c r="AU1179" s="8">
        <f ca="1">IFERROR(__xludf.DUMMYFUNCTION("""COMPUTED_VALUE"""),32.990957)</f>
        <v>32.990957000000002</v>
      </c>
      <c r="AV1179" s="8">
        <f ca="1">IFERROR(__xludf.DUMMYFUNCTION("""COMPUTED_VALUE"""),-83.530545)</f>
        <v>-83.530545000000004</v>
      </c>
      <c r="AW1179" s="8"/>
      <c r="AX1179" s="8">
        <f ca="1">IFERROR(__xludf.DUMMYFUNCTION("""COMPUTED_VALUE"""),31032)</f>
        <v>31032</v>
      </c>
    </row>
    <row r="1180" spans="1:50" ht="60" x14ac:dyDescent="0.2">
      <c r="A1180" s="8" t="str">
        <f ca="1">IFERROR(__xludf.DUMMYFUNCTION("""COMPUTED_VALUE"""),"20211211FLEDL")</f>
        <v>20211211FLEDL</v>
      </c>
      <c r="B1180" s="8">
        <f ca="1">IFERROR(__xludf.DUMMYFUNCTION("""COMPUTED_VALUE"""),12)</f>
        <v>12</v>
      </c>
      <c r="C1180" s="8">
        <f ca="1">IFERROR(__xludf.DUMMYFUNCTION("""COMPUTED_VALUE"""),11)</f>
        <v>11</v>
      </c>
      <c r="D1180" s="8">
        <f ca="1">IFERROR(__xludf.DUMMYFUNCTION("""COMPUTED_VALUE"""),2021)</f>
        <v>2021</v>
      </c>
      <c r="E1180" s="9">
        <f ca="1">IFERROR(__xludf.DUMMYFUNCTION("""COMPUTED_VALUE"""),44541)</f>
        <v>44541</v>
      </c>
      <c r="F1180" s="8" t="str">
        <f ca="1">IFERROR(__xludf.DUMMYFUNCTION("""COMPUTED_VALUE"""),"Edward A. Upthegrove Elementary School")</f>
        <v>Edward A. Upthegrove Elementary School</v>
      </c>
      <c r="G1180" s="8">
        <f ca="1">IFERROR(__xludf.DUMMYFUNCTION("""COMPUTED_VALUE"""),0)</f>
        <v>0</v>
      </c>
      <c r="H1180" s="8">
        <f ca="1">IFERROR(__xludf.DUMMYFUNCTION("""COMPUTED_VALUE"""),1)</f>
        <v>1</v>
      </c>
      <c r="I1180" s="8">
        <f ca="1">IFERROR(__xludf.DUMMYFUNCTION("""COMPUTED_VALUE"""),1)</f>
        <v>1</v>
      </c>
      <c r="J1180" s="8">
        <f ca="1">IFERROR(__xludf.DUMMYFUNCTION("""COMPUTED_VALUE"""),0)</f>
        <v>0</v>
      </c>
      <c r="K1180" s="8" t="str">
        <f ca="1">IFERROR(__xludf.DUMMYFUNCTION("""COMPUTED_VALUE"""),"https://www.facebook.com/hendrysheriff/posts/6635865173122755 https://www.winknews.com/2021/12/11/shots-fired-at-edward-a-upthegrove-elementary-school-in-hendry-county/ https://nbc-2.com/news/crime/2021/12/12/deputies-search-for-suspect-after-shots-fired-"&amp;"at-upthegrove-elementary-school/")</f>
        <v>https://www.facebook.com/hendrysheriff/posts/6635865173122755 https://www.winknews.com/2021/12/11/shots-fired-at-edward-a-upthegrove-elementary-school-in-hendry-county/ https://nbc-2.com/news/crime/2021/12/12/deputies-search-for-suspect-after-shots-fired-at-upthegrove-elementary-school/</v>
      </c>
      <c r="L1180" s="8">
        <f ca="1">IFERROR(__xludf.DUMMYFUNCTION("""COMPUTED_VALUE"""),3)</f>
        <v>3</v>
      </c>
      <c r="M1180" s="8" t="str">
        <f ca="1">IFERROR(__xludf.DUMMYFUNCTION("""COMPUTED_VALUE"""),"Local")</f>
        <v>Local</v>
      </c>
      <c r="N1180" s="8">
        <f ca="1">IFERROR(__xludf.DUMMYFUNCTION("""COMPUTED_VALUE"""),4)</f>
        <v>4</v>
      </c>
      <c r="O1180" s="8" t="str">
        <f ca="1">IFERROR(__xludf.DUMMYFUNCTION("""COMPUTED_VALUE"""),"Winter")</f>
        <v>Winter</v>
      </c>
      <c r="P1180" s="8" t="str">
        <f ca="1">IFERROR(__xludf.DUMMYFUNCTION("""COMPUTED_VALUE"""),"LaBelle")</f>
        <v>LaBelle</v>
      </c>
      <c r="Q1180" s="8" t="str">
        <f ca="1">IFERROR(__xludf.DUMMYFUNCTION("""COMPUTED_VALUE"""),"FL")</f>
        <v>FL</v>
      </c>
      <c r="R1180" s="8" t="str">
        <f ca="1">IFERROR(__xludf.DUMMYFUNCTION("""COMPUTED_VALUE"""),"Elementary")</f>
        <v>Elementary</v>
      </c>
      <c r="S1180" s="8" t="str">
        <f ca="1">IFERROR(__xludf.DUMMYFUNCTION("""COMPUTED_VALUE"""),"Gym")</f>
        <v>Gym</v>
      </c>
      <c r="T1180" s="8" t="str">
        <f ca="1">IFERROR(__xludf.DUMMYFUNCTION("""COMPUTED_VALUE"""),"Inside School Building")</f>
        <v>Inside School Building</v>
      </c>
      <c r="U1180" s="8" t="str">
        <f ca="1">IFERROR(__xludf.DUMMYFUNCTION("""COMPUTED_VALUE"""),"No")</f>
        <v>No</v>
      </c>
      <c r="V1180" s="8" t="str">
        <f ca="1">IFERROR(__xludf.DUMMYFUNCTION("""COMPUTED_VALUE"""),"Sport Event")</f>
        <v>Sport Event</v>
      </c>
      <c r="W1180" s="11">
        <f ca="1">IFERROR(__xludf.DUMMYFUNCTION("""COMPUTED_VALUE"""),0.583333333333333)</f>
        <v>0.58333333333333304</v>
      </c>
      <c r="X1180" s="8">
        <f ca="1">IFERROR(__xludf.DUMMYFUNCTION("""COMPUTED_VALUE"""),1)</f>
        <v>1</v>
      </c>
      <c r="Y1180" s="12" t="str">
        <f ca="1">IFERROR(__xludf.DUMMYFUNCTION("""COMPUTED_VALUE"""),"Shots fired in the school gym during youth basketball game")</f>
        <v>Shots fired in the school gym during youth basketball game</v>
      </c>
      <c r="Z1180" s="12" t="str">
        <f ca="1">IFERROR(__xludf.DUMMYFUNCTION("""COMPUTED_VALUE"""),"A shots were fired in the gym during a youth basketball game. Shooter fled the area. An adult was injured and refused to cooperate with police. Motive unknown.")</f>
        <v>A shots were fired in the gym during a youth basketball game. Shooter fled the area. An adult was injured and refused to cooperate with police. Motive unknown.</v>
      </c>
      <c r="AA1180" s="8"/>
      <c r="AB1180" s="8"/>
      <c r="AC1180" s="8" t="str">
        <f ca="1">IFERROR(__xludf.DUMMYFUNCTION("""COMPUTED_VALUE"""),"Yes")</f>
        <v>Yes</v>
      </c>
      <c r="AD1180" s="8" t="str">
        <f ca="1">IFERROR(__xludf.DUMMYFUNCTION("""COMPUTED_VALUE"""),"Victims Targeted")</f>
        <v>Victims Targeted</v>
      </c>
      <c r="AE1180" s="8" t="str">
        <f ca="1">IFERROR(__xludf.DUMMYFUNCTION("""COMPUTED_VALUE"""),"No")</f>
        <v>No</v>
      </c>
      <c r="AF1180" s="8"/>
      <c r="AG1180" s="8" t="str">
        <f ca="1">IFERROR(__xludf.DUMMYFUNCTION("""COMPUTED_VALUE"""),"No")</f>
        <v>No</v>
      </c>
      <c r="AH1180" s="8" t="str">
        <f ca="1">IFERROR(__xludf.DUMMYFUNCTION("""COMPUTED_VALUE"""),"No")</f>
        <v>No</v>
      </c>
      <c r="AI1180" s="8" t="str">
        <f ca="1">IFERROR(__xludf.DUMMYFUNCTION("""COMPUTED_VALUE"""),"No")</f>
        <v>No</v>
      </c>
      <c r="AJ1180" s="8" t="str">
        <f ca="1">IFERROR(__xludf.DUMMYFUNCTION("""COMPUTED_VALUE"""),"No")</f>
        <v>No</v>
      </c>
      <c r="AK1180" s="8"/>
      <c r="AL1180" s="8"/>
      <c r="AM1180" s="8" t="str">
        <f ca="1">IFERROR(__xludf.DUMMYFUNCTION("""COMPUTED_VALUE"""),"No")</f>
        <v>No</v>
      </c>
      <c r="AN1180" s="8"/>
      <c r="AO1180" s="8" t="str">
        <f ca="1">IFERROR(__xludf.DUMMYFUNCTION("""COMPUTED_VALUE"""),"No")</f>
        <v>No</v>
      </c>
      <c r="AP1180" s="8" t="str">
        <f ca="1">IFERROR(__xludf.DUMMYFUNCTION("""COMPUTED_VALUE"""),"No")</f>
        <v>No</v>
      </c>
      <c r="AQ1180" s="8"/>
      <c r="AR1180" s="8"/>
      <c r="AS1180" s="8"/>
      <c r="AT1180" s="8"/>
      <c r="AU1180" s="8">
        <f ca="1">IFERROR(__xludf.DUMMYFUNCTION("""COMPUTED_VALUE"""),26.765281)</f>
        <v>26.765281000000002</v>
      </c>
      <c r="AV1180" s="8">
        <f ca="1">IFERROR(__xludf.DUMMYFUNCTION("""COMPUTED_VALUE"""),-81.439787)</f>
        <v>-81.439786999999995</v>
      </c>
      <c r="AW1180" s="8"/>
      <c r="AX1180" s="8">
        <f ca="1">IFERROR(__xludf.DUMMYFUNCTION("""COMPUTED_VALUE"""),33935)</f>
        <v>33935</v>
      </c>
    </row>
    <row r="1181" spans="1:50" ht="105" x14ac:dyDescent="0.2">
      <c r="A1181" s="8" t="str">
        <f ca="1">IFERROR(__xludf.DUMMYFUNCTION("""COMPUTED_VALUE"""),"20211210OHCAC")</f>
        <v>20211210OHCAC</v>
      </c>
      <c r="B1181" s="8">
        <f ca="1">IFERROR(__xludf.DUMMYFUNCTION("""COMPUTED_VALUE"""),12)</f>
        <v>12</v>
      </c>
      <c r="C1181" s="8">
        <f ca="1">IFERROR(__xludf.DUMMYFUNCTION("""COMPUTED_VALUE"""),10)</f>
        <v>10</v>
      </c>
      <c r="D1181" s="8">
        <f ca="1">IFERROR(__xludf.DUMMYFUNCTION("""COMPUTED_VALUE"""),2021)</f>
        <v>2021</v>
      </c>
      <c r="E1181" s="9">
        <f ca="1">IFERROR(__xludf.DUMMYFUNCTION("""COMPUTED_VALUE"""),44540)</f>
        <v>44540</v>
      </c>
      <c r="F1181" s="8" t="str">
        <f ca="1">IFERROR(__xludf.DUMMYFUNCTION("""COMPUTED_VALUE"""),"Canal Winchester High School")</f>
        <v>Canal Winchester High School</v>
      </c>
      <c r="G1181" s="8">
        <f ca="1">IFERROR(__xludf.DUMMYFUNCTION("""COMPUTED_VALUE"""),0)</f>
        <v>0</v>
      </c>
      <c r="H1181" s="8">
        <f ca="1">IFERROR(__xludf.DUMMYFUNCTION("""COMPUTED_VALUE"""),0)</f>
        <v>0</v>
      </c>
      <c r="I1181" s="8">
        <f ca="1">IFERROR(__xludf.DUMMYFUNCTION("""COMPUTED_VALUE"""),0)</f>
        <v>0</v>
      </c>
      <c r="J1181" s="8">
        <f ca="1">IFERROR(__xludf.DUMMYFUNCTION("""COMPUTED_VALUE"""),0)</f>
        <v>0</v>
      </c>
      <c r="K1181" s="8" t="str">
        <f ca="1">IFERROR(__xludf.DUMMYFUNCTION("""COMPUTED_VALUE"""),"https://myfox28columbus.com/news/local/canal-winchester-local-school-district-closed-friday-due-to-police-situation-12-10-2021 https://www.dispatch.com/story/news/local/2021/12/10/canal-winchester-schools-closed-after-high-school/6459627001/ https://abc6o"&amp;"nyourside.com/news/local/canal-winchester-local-school-district-closed-friday-due-to-police-situation-12-10-2021")</f>
        <v>https://myfox28columbus.com/news/local/canal-winchester-local-school-district-closed-friday-due-to-police-situation-12-10-2021 https://www.dispatch.com/story/news/local/2021/12/10/canal-winchester-schools-closed-after-high-school/6459627001/ https://abc6onyourside.com/news/local/canal-winchester-local-school-district-closed-friday-due-to-police-situation-12-10-2021</v>
      </c>
      <c r="L1181" s="8">
        <f ca="1">IFERROR(__xludf.DUMMYFUNCTION("""COMPUTED_VALUE"""),5)</f>
        <v>5</v>
      </c>
      <c r="M1181" s="8" t="str">
        <f ca="1">IFERROR(__xludf.DUMMYFUNCTION("""COMPUTED_VALUE"""),"Local")</f>
        <v>Local</v>
      </c>
      <c r="N1181" s="8">
        <f ca="1">IFERROR(__xludf.DUMMYFUNCTION("""COMPUTED_VALUE"""),4)</f>
        <v>4</v>
      </c>
      <c r="O1181" s="8" t="str">
        <f ca="1">IFERROR(__xludf.DUMMYFUNCTION("""COMPUTED_VALUE"""),"Winter")</f>
        <v>Winter</v>
      </c>
      <c r="P1181" s="8" t="str">
        <f ca="1">IFERROR(__xludf.DUMMYFUNCTION("""COMPUTED_VALUE"""),"Canal Winchester")</f>
        <v>Canal Winchester</v>
      </c>
      <c r="Q1181" s="8" t="str">
        <f ca="1">IFERROR(__xludf.DUMMYFUNCTION("""COMPUTED_VALUE"""),"OH")</f>
        <v>OH</v>
      </c>
      <c r="R1181" s="8" t="str">
        <f ca="1">IFERROR(__xludf.DUMMYFUNCTION("""COMPUTED_VALUE"""),"High")</f>
        <v>High</v>
      </c>
      <c r="S1181" s="8" t="str">
        <f ca="1">IFERROR(__xludf.DUMMYFUNCTION("""COMPUTED_VALUE"""),"Field (General)")</f>
        <v>Field (General)</v>
      </c>
      <c r="T1181" s="8" t="str">
        <f ca="1">IFERROR(__xludf.DUMMYFUNCTION("""COMPUTED_VALUE"""),"Outside on School Property")</f>
        <v>Outside on School Property</v>
      </c>
      <c r="U1181" s="8" t="str">
        <f ca="1">IFERROR(__xludf.DUMMYFUNCTION("""COMPUTED_VALUE"""),"No")</f>
        <v>No</v>
      </c>
      <c r="V1181" s="8" t="str">
        <f ca="1">IFERROR(__xludf.DUMMYFUNCTION("""COMPUTED_VALUE"""),"Before School")</f>
        <v>Before School</v>
      </c>
      <c r="W1181" s="11">
        <f ca="1">IFERROR(__xludf.DUMMYFUNCTION("""COMPUTED_VALUE"""),0.243055555555555)</f>
        <v>0.243055555555555</v>
      </c>
      <c r="X1181" s="8">
        <f ca="1">IFERROR(__xludf.DUMMYFUNCTION("""COMPUTED_VALUE"""),1)</f>
        <v>1</v>
      </c>
      <c r="Y1181" s="12" t="str">
        <f ca="1">IFERROR(__xludf.DUMMYFUNCTION("""COMPUTED_VALUE"""),"Man fired shots at officers and fled across campus")</f>
        <v>Man fired shots at officers and fled across campus</v>
      </c>
      <c r="Z1181" s="12" t="str">
        <f ca="1">IFERROR(__xludf.DUMMYFUNCTION("""COMPUTED_VALUE"""),"Officers responded to the school for a vehicle doing donuts on the athletic field. When officers approached, the adult male driver fired shot at them and then ran across the campus. Students had not arrived yet and school was cancelled. 3 hours later at 9"&amp;":30am, police located the man hiding nearby and arrested him. Police reported the truck was stolen.")</f>
        <v>Officers responded to the school for a vehicle doing donuts on the athletic field. When officers approached, the adult male driver fired shot at them and then ran across the campus. Students had not arrived yet and school was cancelled. 3 hours later at 9:30am, police located the man hiding nearby and arrested him. Police reported the truck was stolen.</v>
      </c>
      <c r="AA1181" s="8" t="str">
        <f ca="1">IFERROR(__xludf.DUMMYFUNCTION("""COMPUTED_VALUE"""),"Illegal Activity")</f>
        <v>Illegal Activity</v>
      </c>
      <c r="AB1181" s="8"/>
      <c r="AC1181" s="8" t="str">
        <f ca="1">IFERROR(__xludf.DUMMYFUNCTION("""COMPUTED_VALUE"""),"No")</f>
        <v>No</v>
      </c>
      <c r="AD1181" s="8" t="str">
        <f ca="1">IFERROR(__xludf.DUMMYFUNCTION("""COMPUTED_VALUE"""),"Random Shooting")</f>
        <v>Random Shooting</v>
      </c>
      <c r="AE1181" s="8" t="str">
        <f ca="1">IFERROR(__xludf.DUMMYFUNCTION("""COMPUTED_VALUE"""),"No")</f>
        <v>No</v>
      </c>
      <c r="AF1181" s="8"/>
      <c r="AG1181" s="8" t="str">
        <f ca="1">IFERROR(__xludf.DUMMYFUNCTION("""COMPUTED_VALUE"""),"No")</f>
        <v>No</v>
      </c>
      <c r="AH1181" s="8" t="str">
        <f ca="1">IFERROR(__xludf.DUMMYFUNCTION("""COMPUTED_VALUE"""),"No")</f>
        <v>No</v>
      </c>
      <c r="AI1181" s="8" t="str">
        <f ca="1">IFERROR(__xludf.DUMMYFUNCTION("""COMPUTED_VALUE"""),"No")</f>
        <v>No</v>
      </c>
      <c r="AJ1181" s="8" t="str">
        <f ca="1">IFERROR(__xludf.DUMMYFUNCTION("""COMPUTED_VALUE"""),"No")</f>
        <v>No</v>
      </c>
      <c r="AK1181" s="8" t="str">
        <f ca="1">IFERROR(__xludf.DUMMYFUNCTION("""COMPUTED_VALUE"""),"No")</f>
        <v>No</v>
      </c>
      <c r="AL1181" s="8" t="str">
        <f ca="1">IFERROR(__xludf.DUMMYFUNCTION("""COMPUTED_VALUE"""),"No")</f>
        <v>No</v>
      </c>
      <c r="AM1181" s="8" t="str">
        <f ca="1">IFERROR(__xludf.DUMMYFUNCTION("""COMPUTED_VALUE"""),"No")</f>
        <v>No</v>
      </c>
      <c r="AN1181" s="8"/>
      <c r="AO1181" s="8" t="str">
        <f ca="1">IFERROR(__xludf.DUMMYFUNCTION("""COMPUTED_VALUE"""),"No")</f>
        <v>No</v>
      </c>
      <c r="AP1181" s="8"/>
      <c r="AQ1181" s="8"/>
      <c r="AR1181" s="8" t="str">
        <f ca="1">IFERROR(__xludf.DUMMYFUNCTION("""COMPUTED_VALUE"""),"Outside/Off-Property")</f>
        <v>Outside/Off-Property</v>
      </c>
      <c r="AS1181" s="8"/>
      <c r="AT1181" s="8"/>
      <c r="AU1181" s="8">
        <f ca="1">IFERROR(__xludf.DUMMYFUNCTION("""COMPUTED_VALUE"""),39.836301)</f>
        <v>39.836300999999999</v>
      </c>
      <c r="AV1181" s="8">
        <f ca="1">IFERROR(__xludf.DUMMYFUNCTION("""COMPUTED_VALUE"""),-82.812629)</f>
        <v>-82.812629000000001</v>
      </c>
      <c r="AW1181" s="8"/>
      <c r="AX1181" s="8">
        <f ca="1">IFERROR(__xludf.DUMMYFUNCTION("""COMPUTED_VALUE"""),43110)</f>
        <v>43110</v>
      </c>
    </row>
    <row r="1182" spans="1:50" ht="60" x14ac:dyDescent="0.2">
      <c r="A1182" s="8" t="str">
        <f ca="1">IFERROR(__xludf.DUMMYFUNCTION("""COMPUTED_VALUE"""),"20211210NCJEC")</f>
        <v>20211210NCJEC</v>
      </c>
      <c r="B1182" s="8">
        <f ca="1">IFERROR(__xludf.DUMMYFUNCTION("""COMPUTED_VALUE"""),12)</f>
        <v>12</v>
      </c>
      <c r="C1182" s="8">
        <f ca="1">IFERROR(__xludf.DUMMYFUNCTION("""COMPUTED_VALUE"""),9)</f>
        <v>9</v>
      </c>
      <c r="D1182" s="8">
        <f ca="1">IFERROR(__xludf.DUMMYFUNCTION("""COMPUTED_VALUE"""),2021)</f>
        <v>2021</v>
      </c>
      <c r="E1182" s="9">
        <f ca="1">IFERROR(__xludf.DUMMYFUNCTION("""COMPUTED_VALUE"""),44539)</f>
        <v>44539</v>
      </c>
      <c r="F1182" s="8" t="str">
        <f ca="1">IFERROR(__xludf.DUMMYFUNCTION("""COMPUTED_VALUE"""),"Jesse C. Carson High")</f>
        <v>Jesse C. Carson High</v>
      </c>
      <c r="G1182" s="8">
        <f ca="1">IFERROR(__xludf.DUMMYFUNCTION("""COMPUTED_VALUE"""),0)</f>
        <v>0</v>
      </c>
      <c r="H1182" s="8">
        <f ca="1">IFERROR(__xludf.DUMMYFUNCTION("""COMPUTED_VALUE"""),0)</f>
        <v>0</v>
      </c>
      <c r="I1182" s="8">
        <f ca="1">IFERROR(__xludf.DUMMYFUNCTION("""COMPUTED_VALUE"""),0)</f>
        <v>0</v>
      </c>
      <c r="J1182" s="8">
        <f ca="1">IFERROR(__xludf.DUMMYFUNCTION("""COMPUTED_VALUE"""),0)</f>
        <v>0</v>
      </c>
      <c r="K1182" s="10" t="str">
        <f ca="1">IFERROR(__xludf.DUMMYFUNCTION("""COMPUTED_VALUE"""),"https://www.wbtv.com/2021/12/09/shots-hit-cars-high-school-parking-lot-rowan-county-prompting-lockdown/")</f>
        <v>https://www.wbtv.com/2021/12/09/shots-hit-cars-high-school-parking-lot-rowan-county-prompting-lockdown/</v>
      </c>
      <c r="L1182" s="8">
        <f ca="1">IFERROR(__xludf.DUMMYFUNCTION("""COMPUTED_VALUE"""),1)</f>
        <v>1</v>
      </c>
      <c r="M1182" s="8" t="str">
        <f ca="1">IFERROR(__xludf.DUMMYFUNCTION("""COMPUTED_VALUE"""),"Local")</f>
        <v>Local</v>
      </c>
      <c r="N1182" s="8">
        <f ca="1">IFERROR(__xludf.DUMMYFUNCTION("""COMPUTED_VALUE"""),4)</f>
        <v>4</v>
      </c>
      <c r="O1182" s="8" t="str">
        <f ca="1">IFERROR(__xludf.DUMMYFUNCTION("""COMPUTED_VALUE"""),"Winter")</f>
        <v>Winter</v>
      </c>
      <c r="P1182" s="8" t="str">
        <f ca="1">IFERROR(__xludf.DUMMYFUNCTION("""COMPUTED_VALUE"""),"China Grove")</f>
        <v>China Grove</v>
      </c>
      <c r="Q1182" s="8" t="str">
        <f ca="1">IFERROR(__xludf.DUMMYFUNCTION("""COMPUTED_VALUE"""),"NC")</f>
        <v>NC</v>
      </c>
      <c r="R1182" s="8" t="str">
        <f ca="1">IFERROR(__xludf.DUMMYFUNCTION("""COMPUTED_VALUE"""),"High")</f>
        <v>High</v>
      </c>
      <c r="S1182" s="8" t="str">
        <f ca="1">IFERROR(__xludf.DUMMYFUNCTION("""COMPUTED_VALUE"""),"Parking Lot")</f>
        <v>Parking Lot</v>
      </c>
      <c r="T1182" s="8" t="str">
        <f ca="1">IFERROR(__xludf.DUMMYFUNCTION("""COMPUTED_VALUE"""),"Outside on School Property")</f>
        <v>Outside on School Property</v>
      </c>
      <c r="U1182" s="8" t="str">
        <f ca="1">IFERROR(__xludf.DUMMYFUNCTION("""COMPUTED_VALUE"""),"Yes")</f>
        <v>Yes</v>
      </c>
      <c r="V1182" s="8" t="str">
        <f ca="1">IFERROR(__xludf.DUMMYFUNCTION("""COMPUTED_VALUE"""),"Afternoon Classes")</f>
        <v>Afternoon Classes</v>
      </c>
      <c r="W1182" s="11">
        <f ca="1">IFERROR(__xludf.DUMMYFUNCTION("""COMPUTED_VALUE"""),0.583333333333333)</f>
        <v>0.58333333333333304</v>
      </c>
      <c r="X1182" s="8">
        <f ca="1">IFERROR(__xludf.DUMMYFUNCTION("""COMPUTED_VALUE"""),1)</f>
        <v>1</v>
      </c>
      <c r="Y1182" s="12" t="str">
        <f ca="1">IFERROR(__xludf.DUMMYFUNCTION("""COMPUTED_VALUE"""),"Target shooters struck vehicles in the school parking lot")</f>
        <v>Target shooters struck vehicles in the school parking lot</v>
      </c>
      <c r="Z1182" s="12" t="str">
        <f ca="1">IFERROR(__xludf.DUMMYFUNCTION("""COMPUTED_VALUE"""),"Two men firing at targets behind the school struck 2 vehicles (one occupied) in the school parking lot. School went on lockdown. One shooter was arrested. No injuries.")</f>
        <v>Two men firing at targets behind the school struck 2 vehicles (one occupied) in the school parking lot. School went on lockdown. One shooter was arrested. No injuries.</v>
      </c>
      <c r="AA1182" s="8" t="str">
        <f ca="1">IFERROR(__xludf.DUMMYFUNCTION("""COMPUTED_VALUE"""),"Accidental")</f>
        <v>Accidental</v>
      </c>
      <c r="AB1182" s="8"/>
      <c r="AC1182" s="8" t="str">
        <f ca="1">IFERROR(__xludf.DUMMYFUNCTION("""COMPUTED_VALUE"""),"Yes")</f>
        <v>Yes</v>
      </c>
      <c r="AD1182" s="8" t="str">
        <f ca="1">IFERROR(__xludf.DUMMYFUNCTION("""COMPUTED_VALUE"""),"Neither")</f>
        <v>Neither</v>
      </c>
      <c r="AE1182" s="8" t="str">
        <f ca="1">IFERROR(__xludf.DUMMYFUNCTION("""COMPUTED_VALUE"""),"Yes")</f>
        <v>Yes</v>
      </c>
      <c r="AF1182" s="8" t="str">
        <f ca="1">IFERROR(__xludf.DUMMYFUNCTION("""COMPUTED_VALUE"""),"Target shooters")</f>
        <v>Target shooters</v>
      </c>
      <c r="AG1182" s="8" t="str">
        <f ca="1">IFERROR(__xludf.DUMMYFUNCTION("""COMPUTED_VALUE"""),"No")</f>
        <v>No</v>
      </c>
      <c r="AH1182" s="8" t="str">
        <f ca="1">IFERROR(__xludf.DUMMYFUNCTION("""COMPUTED_VALUE"""),"No")</f>
        <v>No</v>
      </c>
      <c r="AI1182" s="8" t="str">
        <f ca="1">IFERROR(__xludf.DUMMYFUNCTION("""COMPUTED_VALUE"""),"No")</f>
        <v>No</v>
      </c>
      <c r="AJ1182" s="8" t="str">
        <f ca="1">IFERROR(__xludf.DUMMYFUNCTION("""COMPUTED_VALUE"""),"No")</f>
        <v>No</v>
      </c>
      <c r="AK1182" s="8" t="str">
        <f ca="1">IFERROR(__xludf.DUMMYFUNCTION("""COMPUTED_VALUE"""),"No")</f>
        <v>No</v>
      </c>
      <c r="AL1182" s="8" t="str">
        <f ca="1">IFERROR(__xludf.DUMMYFUNCTION("""COMPUTED_VALUE"""),"No")</f>
        <v>No</v>
      </c>
      <c r="AM1182" s="8" t="str">
        <f ca="1">IFERROR(__xludf.DUMMYFUNCTION("""COMPUTED_VALUE"""),"No")</f>
        <v>No</v>
      </c>
      <c r="AN1182" s="8"/>
      <c r="AO1182" s="8" t="str">
        <f ca="1">IFERROR(__xludf.DUMMYFUNCTION("""COMPUTED_VALUE"""),"No")</f>
        <v>No</v>
      </c>
      <c r="AP1182" s="8"/>
      <c r="AQ1182" s="8"/>
      <c r="AR1182" s="8" t="str">
        <f ca="1">IFERROR(__xludf.DUMMYFUNCTION("""COMPUTED_VALUE"""),"Outside/Off-Property")</f>
        <v>Outside/Off-Property</v>
      </c>
      <c r="AS1182" s="8"/>
      <c r="AT1182" s="8" t="str">
        <f ca="1">IFERROR(__xludf.DUMMYFUNCTION("""COMPUTED_VALUE"""),"Yes")</f>
        <v>Yes</v>
      </c>
      <c r="AU1182" s="8">
        <f ca="1">IFERROR(__xludf.DUMMYFUNCTION("""COMPUTED_VALUE"""),35.562498)</f>
        <v>35.562497999999998</v>
      </c>
      <c r="AV1182" s="8">
        <f ca="1">IFERROR(__xludf.DUMMYFUNCTION("""COMPUTED_VALUE"""),-80.544462)</f>
        <v>-80.544461999999996</v>
      </c>
      <c r="AW1182" s="8"/>
      <c r="AX1182" s="8">
        <f ca="1">IFERROR(__xludf.DUMMYFUNCTION("""COMPUTED_VALUE"""),28416)</f>
        <v>28416</v>
      </c>
    </row>
    <row r="1183" spans="1:50" ht="60" x14ac:dyDescent="0.2">
      <c r="A1183" s="8" t="str">
        <f ca="1">IFERROR(__xludf.DUMMYFUNCTION("""COMPUTED_VALUE"""),"20211209NYGRN")</f>
        <v>20211209NYGRN</v>
      </c>
      <c r="B1183" s="8">
        <f ca="1">IFERROR(__xludf.DUMMYFUNCTION("""COMPUTED_VALUE"""),12)</f>
        <v>12</v>
      </c>
      <c r="C1183" s="8">
        <f ca="1">IFERROR(__xludf.DUMMYFUNCTION("""COMPUTED_VALUE"""),9)</f>
        <v>9</v>
      </c>
      <c r="D1183" s="8">
        <f ca="1">IFERROR(__xludf.DUMMYFUNCTION("""COMPUTED_VALUE"""),2021)</f>
        <v>2021</v>
      </c>
      <c r="E1183" s="9">
        <f ca="1">IFERROR(__xludf.DUMMYFUNCTION("""COMPUTED_VALUE"""),44539)</f>
        <v>44539</v>
      </c>
      <c r="F1183" s="8" t="str">
        <f ca="1">IFERROR(__xludf.DUMMYFUNCTION("""COMPUTED_VALUE"""),"Greater Oaks Charter School")</f>
        <v>Greater Oaks Charter School</v>
      </c>
      <c r="G1183" s="8">
        <f ca="1">IFERROR(__xludf.DUMMYFUNCTION("""COMPUTED_VALUE"""),0)</f>
        <v>0</v>
      </c>
      <c r="H1183" s="8">
        <f ca="1">IFERROR(__xludf.DUMMYFUNCTION("""COMPUTED_VALUE"""),0)</f>
        <v>0</v>
      </c>
      <c r="I1183" s="8">
        <f ca="1">IFERROR(__xludf.DUMMYFUNCTION("""COMPUTED_VALUE"""),0)</f>
        <v>0</v>
      </c>
      <c r="J1183" s="8">
        <f ca="1">IFERROR(__xludf.DUMMYFUNCTION("""COMPUTED_VALUE"""),0)</f>
        <v>0</v>
      </c>
      <c r="K1183" s="8" t="str">
        <f ca="1">IFERROR(__xludf.DUMMYFUNCTION("""COMPUTED_VALUE"""),"https://nypost.com/2021/12/09/stray-bullet-shatters-window-at-nyc-charter-school/ https://pix11.com/news/local-news/stray-bullet-shatters-manhattan-charter-school-window-nypd/ https://abc7ny.com/bullet-classroom-school-lower-east-side/11316823/")</f>
        <v>https://nypost.com/2021/12/09/stray-bullet-shatters-window-at-nyc-charter-school/ https://pix11.com/news/local-news/stray-bullet-shatters-manhattan-charter-school-window-nypd/ https://abc7ny.com/bullet-classroom-school-lower-east-side/11316823/</v>
      </c>
      <c r="L1183" s="8">
        <f ca="1">IFERROR(__xludf.DUMMYFUNCTION("""COMPUTED_VALUE"""),10)</f>
        <v>10</v>
      </c>
      <c r="M1183" s="8" t="str">
        <f ca="1">IFERROR(__xludf.DUMMYFUNCTION("""COMPUTED_VALUE"""),"Local")</f>
        <v>Local</v>
      </c>
      <c r="N1183" s="8">
        <f ca="1">IFERROR(__xludf.DUMMYFUNCTION("""COMPUTED_VALUE"""),4)</f>
        <v>4</v>
      </c>
      <c r="O1183" s="8" t="str">
        <f ca="1">IFERROR(__xludf.DUMMYFUNCTION("""COMPUTED_VALUE"""),"Winter")</f>
        <v>Winter</v>
      </c>
      <c r="P1183" s="8" t="str">
        <f ca="1">IFERROR(__xludf.DUMMYFUNCTION("""COMPUTED_VALUE"""),"New York")</f>
        <v>New York</v>
      </c>
      <c r="Q1183" s="8" t="str">
        <f ca="1">IFERROR(__xludf.DUMMYFUNCTION("""COMPUTED_VALUE"""),"NY")</f>
        <v>NY</v>
      </c>
      <c r="R1183" s="8" t="str">
        <f ca="1">IFERROR(__xludf.DUMMYFUNCTION("""COMPUTED_VALUE"""),"Elementary")</f>
        <v>Elementary</v>
      </c>
      <c r="S1183" s="8" t="str">
        <f ca="1">IFERROR(__xludf.DUMMYFUNCTION("""COMPUTED_VALUE"""),"Front of School")</f>
        <v>Front of School</v>
      </c>
      <c r="T1183" s="8" t="str">
        <f ca="1">IFERROR(__xludf.DUMMYFUNCTION("""COMPUTED_VALUE"""),"Outside on School Property")</f>
        <v>Outside on School Property</v>
      </c>
      <c r="U1183" s="8" t="str">
        <f ca="1">IFERROR(__xludf.DUMMYFUNCTION("""COMPUTED_VALUE"""),"Yes")</f>
        <v>Yes</v>
      </c>
      <c r="V1183" s="8" t="str">
        <f ca="1">IFERROR(__xludf.DUMMYFUNCTION("""COMPUTED_VALUE"""),"Morning Classes")</f>
        <v>Morning Classes</v>
      </c>
      <c r="W1183" s="11">
        <f ca="1">IFERROR(__xludf.DUMMYFUNCTION("""COMPUTED_VALUE"""),0.395833333333333)</f>
        <v>0.39583333333333298</v>
      </c>
      <c r="X1183" s="8">
        <f ca="1">IFERROR(__xludf.DUMMYFUNCTION("""COMPUTED_VALUE"""),1)</f>
        <v>1</v>
      </c>
      <c r="Y1183" s="12" t="str">
        <f ca="1">IFERROR(__xludf.DUMMYFUNCTION("""COMPUTED_VALUE"""),"Bullet broke classroom window")</f>
        <v>Bullet broke classroom window</v>
      </c>
      <c r="Z1183" s="12" t="str">
        <f ca="1">IFERROR(__xludf.DUMMYFUNCTION("""COMPUTED_VALUE"""),"Multiple shots were fired outside the school during dispute between 2 men. One bullet shattered a classroom window. School was open but students were not inside the classroom. No injuries.")</f>
        <v>Multiple shots were fired outside the school during dispute between 2 men. One bullet shattered a classroom window. School was open but students were not inside the classroom. No injuries.</v>
      </c>
      <c r="AA1183" s="8" t="str">
        <f ca="1">IFERROR(__xludf.DUMMYFUNCTION("""COMPUTED_VALUE"""),"Escalation of Dispute")</f>
        <v>Escalation of Dispute</v>
      </c>
      <c r="AB1183" s="8"/>
      <c r="AC1183" s="8" t="str">
        <f ca="1">IFERROR(__xludf.DUMMYFUNCTION("""COMPUTED_VALUE"""),"Yes")</f>
        <v>Yes</v>
      </c>
      <c r="AD1183" s="8" t="str">
        <f ca="1">IFERROR(__xludf.DUMMYFUNCTION("""COMPUTED_VALUE"""),"Victims Targeted")</f>
        <v>Victims Targeted</v>
      </c>
      <c r="AE1183" s="8" t="str">
        <f ca="1">IFERROR(__xludf.DUMMYFUNCTION("""COMPUTED_VALUE"""),"No")</f>
        <v>No</v>
      </c>
      <c r="AF1183" s="8"/>
      <c r="AG1183" s="8" t="str">
        <f ca="1">IFERROR(__xludf.DUMMYFUNCTION("""COMPUTED_VALUE"""),"No")</f>
        <v>No</v>
      </c>
      <c r="AH1183" s="8" t="str">
        <f ca="1">IFERROR(__xludf.DUMMYFUNCTION("""COMPUTED_VALUE"""),"No")</f>
        <v>No</v>
      </c>
      <c r="AI1183" s="8" t="str">
        <f ca="1">IFERROR(__xludf.DUMMYFUNCTION("""COMPUTED_VALUE"""),"No")</f>
        <v>No</v>
      </c>
      <c r="AJ1183" s="8" t="str">
        <f ca="1">IFERROR(__xludf.DUMMYFUNCTION("""COMPUTED_VALUE"""),"No")</f>
        <v>No</v>
      </c>
      <c r="AK1183" s="8" t="str">
        <f ca="1">IFERROR(__xludf.DUMMYFUNCTION("""COMPUTED_VALUE"""),"No")</f>
        <v>No</v>
      </c>
      <c r="AL1183" s="8" t="str">
        <f ca="1">IFERROR(__xludf.DUMMYFUNCTION("""COMPUTED_VALUE"""),"No")</f>
        <v>No</v>
      </c>
      <c r="AM1183" s="8" t="str">
        <f ca="1">IFERROR(__xludf.DUMMYFUNCTION("""COMPUTED_VALUE"""),"No")</f>
        <v>No</v>
      </c>
      <c r="AN1183" s="8"/>
      <c r="AO1183" s="8" t="str">
        <f ca="1">IFERROR(__xludf.DUMMYFUNCTION("""COMPUTED_VALUE"""),"No")</f>
        <v>No</v>
      </c>
      <c r="AP1183" s="8"/>
      <c r="AQ1183" s="8"/>
      <c r="AR1183" s="8" t="str">
        <f ca="1">IFERROR(__xludf.DUMMYFUNCTION("""COMPUTED_VALUE"""),"Outside/Off-Property")</f>
        <v>Outside/Off-Property</v>
      </c>
      <c r="AS1183" s="8"/>
      <c r="AT1183" s="8"/>
      <c r="AU1183" s="8">
        <f ca="1">IFERROR(__xludf.DUMMYFUNCTION("""COMPUTED_VALUE"""),40.720035)</f>
        <v>40.720035000000003</v>
      </c>
      <c r="AV1183" s="8">
        <f ca="1">IFERROR(__xludf.DUMMYFUNCTION("""COMPUTED_VALUE"""),-73.992006)</f>
        <v>-73.992006000000003</v>
      </c>
      <c r="AW1183" s="8"/>
      <c r="AX1183" s="8">
        <f ca="1">IFERROR(__xludf.DUMMYFUNCTION("""COMPUTED_VALUE"""),10002)</f>
        <v>10002</v>
      </c>
    </row>
    <row r="1184" spans="1:50" ht="60" x14ac:dyDescent="0.2">
      <c r="A1184" s="8" t="str">
        <f ca="1">IFERROR(__xludf.DUMMYFUNCTION("""COMPUTED_VALUE"""),"20211208MOEWK")</f>
        <v>20211208MOEWK</v>
      </c>
      <c r="B1184" s="8">
        <f ca="1">IFERROR(__xludf.DUMMYFUNCTION("""COMPUTED_VALUE"""),12)</f>
        <v>12</v>
      </c>
      <c r="C1184" s="8">
        <f ca="1">IFERROR(__xludf.DUMMYFUNCTION("""COMPUTED_VALUE"""),8)</f>
        <v>8</v>
      </c>
      <c r="D1184" s="8">
        <f ca="1">IFERROR(__xludf.DUMMYFUNCTION("""COMPUTED_VALUE"""),2021)</f>
        <v>2021</v>
      </c>
      <c r="E1184" s="9">
        <f ca="1">IFERROR(__xludf.DUMMYFUNCTION("""COMPUTED_VALUE"""),44538)</f>
        <v>44538</v>
      </c>
      <c r="F1184" s="8" t="str">
        <f ca="1">IFERROR(__xludf.DUMMYFUNCTION("""COMPUTED_VALUE"""),"Ewing Marion Kauffman School")</f>
        <v>Ewing Marion Kauffman School</v>
      </c>
      <c r="G1184" s="8">
        <f ca="1">IFERROR(__xludf.DUMMYFUNCTION("""COMPUTED_VALUE"""),0)</f>
        <v>0</v>
      </c>
      <c r="H1184" s="8">
        <f ca="1">IFERROR(__xludf.DUMMYFUNCTION("""COMPUTED_VALUE"""),2)</f>
        <v>2</v>
      </c>
      <c r="I1184" s="8">
        <f ca="1">IFERROR(__xludf.DUMMYFUNCTION("""COMPUTED_VALUE"""),2)</f>
        <v>2</v>
      </c>
      <c r="J1184" s="8">
        <f ca="1">IFERROR(__xludf.DUMMYFUNCTION("""COMPUTED_VALUE"""),0)</f>
        <v>0</v>
      </c>
      <c r="K1184" s="8" t="str">
        <f ca="1">IFERROR(__xludf.DUMMYFUNCTION("""COMPUTED_VALUE"""),"https://www.kshb.com/news/crime/2-wounded-in-shooting-wednesday-outside-of-ewing-marion-kauffman-school https://fox4kc.com/news/police-investigating-after-two-people-shot-near-kansas-city-school/ https://www.kmbc.com/article/kansas-city-police-say-2-teens"&amp;"-wounded-in-shooting-at-kauffman-school-parking-lot/38466834#")</f>
        <v>https://www.kshb.com/news/crime/2-wounded-in-shooting-wednesday-outside-of-ewing-marion-kauffman-school https://fox4kc.com/news/police-investigating-after-two-people-shot-near-kansas-city-school/ https://www.kmbc.com/article/kansas-city-police-say-2-teens-wounded-in-shooting-at-kauffman-school-parking-lot/38466834#</v>
      </c>
      <c r="L1184" s="8">
        <f ca="1">IFERROR(__xludf.DUMMYFUNCTION("""COMPUTED_VALUE"""),10)</f>
        <v>10</v>
      </c>
      <c r="M1184" s="8" t="str">
        <f ca="1">IFERROR(__xludf.DUMMYFUNCTION("""COMPUTED_VALUE"""),"Regional")</f>
        <v>Regional</v>
      </c>
      <c r="N1184" s="8">
        <f ca="1">IFERROR(__xludf.DUMMYFUNCTION("""COMPUTED_VALUE"""),4)</f>
        <v>4</v>
      </c>
      <c r="O1184" s="8" t="str">
        <f ca="1">IFERROR(__xludf.DUMMYFUNCTION("""COMPUTED_VALUE"""),"Winter")</f>
        <v>Winter</v>
      </c>
      <c r="P1184" s="8" t="str">
        <f ca="1">IFERROR(__xludf.DUMMYFUNCTION("""COMPUTED_VALUE"""),"Kansas City")</f>
        <v>Kansas City</v>
      </c>
      <c r="Q1184" s="8" t="str">
        <f ca="1">IFERROR(__xludf.DUMMYFUNCTION("""COMPUTED_VALUE"""),"MO")</f>
        <v>MO</v>
      </c>
      <c r="R1184" s="8" t="str">
        <f ca="1">IFERROR(__xludf.DUMMYFUNCTION("""COMPUTED_VALUE"""),"High")</f>
        <v>High</v>
      </c>
      <c r="S1184" s="8" t="str">
        <f ca="1">IFERROR(__xludf.DUMMYFUNCTION("""COMPUTED_VALUE"""),"Parking Lot")</f>
        <v>Parking Lot</v>
      </c>
      <c r="T1184" s="8" t="str">
        <f ca="1">IFERROR(__xludf.DUMMYFUNCTION("""COMPUTED_VALUE"""),"Outside on School Property")</f>
        <v>Outside on School Property</v>
      </c>
      <c r="U1184" s="8" t="str">
        <f ca="1">IFERROR(__xludf.DUMMYFUNCTION("""COMPUTED_VALUE"""),"No")</f>
        <v>No</v>
      </c>
      <c r="V1184" s="8" t="str">
        <f ca="1">IFERROR(__xludf.DUMMYFUNCTION("""COMPUTED_VALUE"""),"Sport Event")</f>
        <v>Sport Event</v>
      </c>
      <c r="W1184" s="11">
        <f ca="1">IFERROR(__xludf.DUMMYFUNCTION("""COMPUTED_VALUE"""),0.854166666666666)</f>
        <v>0.85416666666666596</v>
      </c>
      <c r="X1184" s="8">
        <f ca="1">IFERROR(__xludf.DUMMYFUNCTION("""COMPUTED_VALUE"""),1)</f>
        <v>1</v>
      </c>
      <c r="Y1184" s="12" t="str">
        <f ca="1">IFERROR(__xludf.DUMMYFUNCTION("""COMPUTED_VALUE"""),"Two teens shot in school parking lot during basketball game")</f>
        <v>Two teens shot in school parking lot during basketball game</v>
      </c>
      <c r="Z1184" s="12" t="str">
        <f ca="1">IFERROR(__xludf.DUMMYFUNCTION("""COMPUTED_VALUE"""),"Two teen were shot in the parking lot of the school while a high school basketball game was taking place inside. The victims were not students at the school. Shooter fled. An off-duty officer attending the game secured the scene.")</f>
        <v>Two teen were shot in the parking lot of the school while a high school basketball game was taking place inside. The victims were not students at the school. Shooter fled. An off-duty officer attending the game secured the scene.</v>
      </c>
      <c r="AA1184" s="8"/>
      <c r="AB1184" s="8"/>
      <c r="AC1184" s="8" t="str">
        <f ca="1">IFERROR(__xludf.DUMMYFUNCTION("""COMPUTED_VALUE"""),"Yes")</f>
        <v>Yes</v>
      </c>
      <c r="AD1184" s="8"/>
      <c r="AE1184" s="8"/>
      <c r="AF1184" s="8"/>
      <c r="AG1184" s="8" t="str">
        <f ca="1">IFERROR(__xludf.DUMMYFUNCTION("""COMPUTED_VALUE"""),"No")</f>
        <v>No</v>
      </c>
      <c r="AH1184" s="8" t="str">
        <f ca="1">IFERROR(__xludf.DUMMYFUNCTION("""COMPUTED_VALUE"""),"No")</f>
        <v>No</v>
      </c>
      <c r="AI1184" s="8" t="str">
        <f ca="1">IFERROR(__xludf.DUMMYFUNCTION("""COMPUTED_VALUE"""),"No")</f>
        <v>No</v>
      </c>
      <c r="AJ1184" s="8" t="str">
        <f ca="1">IFERROR(__xludf.DUMMYFUNCTION("""COMPUTED_VALUE"""),"No")</f>
        <v>No</v>
      </c>
      <c r="AK1184" s="8" t="str">
        <f ca="1">IFERROR(__xludf.DUMMYFUNCTION("""COMPUTED_VALUE"""),"No")</f>
        <v>No</v>
      </c>
      <c r="AL1184" s="8"/>
      <c r="AM1184" s="8" t="str">
        <f ca="1">IFERROR(__xludf.DUMMYFUNCTION("""COMPUTED_VALUE"""),"No")</f>
        <v>No</v>
      </c>
      <c r="AN1184" s="8"/>
      <c r="AO1184" s="8" t="str">
        <f ca="1">IFERROR(__xludf.DUMMYFUNCTION("""COMPUTED_VALUE"""),"No")</f>
        <v>No</v>
      </c>
      <c r="AP1184" s="8"/>
      <c r="AQ1184" s="8"/>
      <c r="AR1184" s="8" t="str">
        <f ca="1">IFERROR(__xludf.DUMMYFUNCTION("""COMPUTED_VALUE"""),"Outside/Off-Property")</f>
        <v>Outside/Off-Property</v>
      </c>
      <c r="AS1184" s="8"/>
      <c r="AT1184" s="8"/>
      <c r="AU1184" s="8">
        <f ca="1">IFERROR(__xludf.DUMMYFUNCTION("""COMPUTED_VALUE"""),39.011021)</f>
        <v>39.011021</v>
      </c>
      <c r="AV1184" s="8">
        <f ca="1">IFERROR(__xludf.DUMMYFUNCTION("""COMPUTED_VALUE"""),-94.56725)</f>
        <v>-94.567250000000001</v>
      </c>
      <c r="AW1184" s="8"/>
      <c r="AX1184" s="8">
        <f ca="1">IFERROR(__xludf.DUMMYFUNCTION("""COMPUTED_VALUE"""),64131)</f>
        <v>64131</v>
      </c>
    </row>
    <row r="1185" spans="1:50" ht="60" x14ac:dyDescent="0.2">
      <c r="A1185" s="8" t="str">
        <f ca="1">IFERROR(__xludf.DUMMYFUNCTION("""COMPUTED_VALUE"""),"20211208KYSTL")</f>
        <v>20211208KYSTL</v>
      </c>
      <c r="B1185" s="8">
        <f ca="1">IFERROR(__xludf.DUMMYFUNCTION("""COMPUTED_VALUE"""),12)</f>
        <v>12</v>
      </c>
      <c r="C1185" s="8">
        <f ca="1">IFERROR(__xludf.DUMMYFUNCTION("""COMPUTED_VALUE"""),8)</f>
        <v>8</v>
      </c>
      <c r="D1185" s="8">
        <f ca="1">IFERROR(__xludf.DUMMYFUNCTION("""COMPUTED_VALUE"""),2021)</f>
        <v>2021</v>
      </c>
      <c r="E1185" s="9">
        <f ca="1">IFERROR(__xludf.DUMMYFUNCTION("""COMPUTED_VALUE"""),44538)</f>
        <v>44538</v>
      </c>
      <c r="F1185" s="8" t="str">
        <f ca="1">IFERROR(__xludf.DUMMYFUNCTION("""COMPUTED_VALUE"""),"St. Matthews Elementary School")</f>
        <v>St. Matthews Elementary School</v>
      </c>
      <c r="G1185" s="8">
        <f ca="1">IFERROR(__xludf.DUMMYFUNCTION("""COMPUTED_VALUE"""),0)</f>
        <v>0</v>
      </c>
      <c r="H1185" s="8">
        <f ca="1">IFERROR(__xludf.DUMMYFUNCTION("""COMPUTED_VALUE"""),0)</f>
        <v>0</v>
      </c>
      <c r="I1185" s="8">
        <f ca="1">IFERROR(__xludf.DUMMYFUNCTION("""COMPUTED_VALUE"""),0)</f>
        <v>0</v>
      </c>
      <c r="J1185" s="8">
        <f ca="1">IFERROR(__xludf.DUMMYFUNCTION("""COMPUTED_VALUE"""),0)</f>
        <v>0</v>
      </c>
      <c r="K1185" s="10" t="str">
        <f ca="1">IFERROR(__xludf.DUMMYFUNCTION("""COMPUTED_VALUE"""),"https://www.wave3.com/2021/12/08/shooting-near-st-matthews-elementary-school-under-investigation/")</f>
        <v>https://www.wave3.com/2021/12/08/shooting-near-st-matthews-elementary-school-under-investigation/</v>
      </c>
      <c r="L1185" s="8">
        <f ca="1">IFERROR(__xludf.DUMMYFUNCTION("""COMPUTED_VALUE"""),1)</f>
        <v>1</v>
      </c>
      <c r="M1185" s="8" t="str">
        <f ca="1">IFERROR(__xludf.DUMMYFUNCTION("""COMPUTED_VALUE"""),"Local")</f>
        <v>Local</v>
      </c>
      <c r="N1185" s="8">
        <f ca="1">IFERROR(__xludf.DUMMYFUNCTION("""COMPUTED_VALUE"""),3)</f>
        <v>3</v>
      </c>
      <c r="O1185" s="8" t="str">
        <f ca="1">IFERROR(__xludf.DUMMYFUNCTION("""COMPUTED_VALUE"""),"Winter")</f>
        <v>Winter</v>
      </c>
      <c r="P1185" s="8" t="str">
        <f ca="1">IFERROR(__xludf.DUMMYFUNCTION("""COMPUTED_VALUE"""),"Louisville")</f>
        <v>Louisville</v>
      </c>
      <c r="Q1185" s="8" t="str">
        <f ca="1">IFERROR(__xludf.DUMMYFUNCTION("""COMPUTED_VALUE"""),"KY")</f>
        <v>KY</v>
      </c>
      <c r="R1185" s="8" t="str">
        <f ca="1">IFERROR(__xludf.DUMMYFUNCTION("""COMPUTED_VALUE"""),"Elementary")</f>
        <v>Elementary</v>
      </c>
      <c r="S1185" s="8" t="str">
        <f ca="1">IFERROR(__xludf.DUMMYFUNCTION("""COMPUTED_VALUE"""),"Parking Lot")</f>
        <v>Parking Lot</v>
      </c>
      <c r="T1185" s="8" t="str">
        <f ca="1">IFERROR(__xludf.DUMMYFUNCTION("""COMPUTED_VALUE"""),"Outside on School Property")</f>
        <v>Outside on School Property</v>
      </c>
      <c r="U1185" s="8" t="str">
        <f ca="1">IFERROR(__xludf.DUMMYFUNCTION("""COMPUTED_VALUE"""),"No")</f>
        <v>No</v>
      </c>
      <c r="V1185" s="8" t="str">
        <f ca="1">IFERROR(__xludf.DUMMYFUNCTION("""COMPUTED_VALUE"""),"Night")</f>
        <v>Night</v>
      </c>
      <c r="W1185" s="11">
        <f ca="1">IFERROR(__xludf.DUMMYFUNCTION("""COMPUTED_VALUE"""),0.895833333333333)</f>
        <v>0.89583333333333304</v>
      </c>
      <c r="X1185" s="8">
        <f ca="1">IFERROR(__xludf.DUMMYFUNCTION("""COMPUTED_VALUE"""),1)</f>
        <v>1</v>
      </c>
      <c r="Y1185" s="12" t="str">
        <f ca="1">IFERROR(__xludf.DUMMYFUNCTION("""COMPUTED_VALUE"""),"Person inside a car was shot at several times in school parking lot")</f>
        <v>Person inside a car was shot at several times in school parking lot</v>
      </c>
      <c r="Z1185" s="12" t="str">
        <f ca="1">IFERROR(__xludf.DUMMYFUNCTION("""COMPUTED_VALUE"""),"Shooter approached a vehicle, fired multiple shots, and fled the area. Targeted victim driving was not injured. Vehicle was shot multiple times. Shooter fled in a vehicle.")</f>
        <v>Shooter approached a vehicle, fired multiple shots, and fled the area. Targeted victim driving was not injured. Vehicle was shot multiple times. Shooter fled in a vehicle.</v>
      </c>
      <c r="AA1185" s="8"/>
      <c r="AB1185" s="8"/>
      <c r="AC1185" s="8" t="str">
        <f ca="1">IFERROR(__xludf.DUMMYFUNCTION("""COMPUTED_VALUE"""),"No")</f>
        <v>No</v>
      </c>
      <c r="AD1185" s="8" t="str">
        <f ca="1">IFERROR(__xludf.DUMMYFUNCTION("""COMPUTED_VALUE"""),"Victims Targeted")</f>
        <v>Victims Targeted</v>
      </c>
      <c r="AE1185" s="8"/>
      <c r="AF1185" s="8"/>
      <c r="AG1185" s="8" t="str">
        <f ca="1">IFERROR(__xludf.DUMMYFUNCTION("""COMPUTED_VALUE"""),"No")</f>
        <v>No</v>
      </c>
      <c r="AH1185" s="8" t="str">
        <f ca="1">IFERROR(__xludf.DUMMYFUNCTION("""COMPUTED_VALUE"""),"No")</f>
        <v>No</v>
      </c>
      <c r="AI1185" s="8" t="str">
        <f ca="1">IFERROR(__xludf.DUMMYFUNCTION("""COMPUTED_VALUE"""),"No")</f>
        <v>No</v>
      </c>
      <c r="AJ1185" s="8" t="str">
        <f ca="1">IFERROR(__xludf.DUMMYFUNCTION("""COMPUTED_VALUE"""),"No")</f>
        <v>No</v>
      </c>
      <c r="AK1185" s="8"/>
      <c r="AL1185" s="8"/>
      <c r="AM1185" s="8" t="str">
        <f ca="1">IFERROR(__xludf.DUMMYFUNCTION("""COMPUTED_VALUE"""),"No")</f>
        <v>No</v>
      </c>
      <c r="AN1185" s="8"/>
      <c r="AO1185" s="8" t="str">
        <f ca="1">IFERROR(__xludf.DUMMYFUNCTION("""COMPUTED_VALUE"""),"No")</f>
        <v>No</v>
      </c>
      <c r="AP1185" s="8"/>
      <c r="AQ1185" s="8"/>
      <c r="AR1185" s="8" t="str">
        <f ca="1">IFERROR(__xludf.DUMMYFUNCTION("""COMPUTED_VALUE"""),"Outside/Off-Property")</f>
        <v>Outside/Off-Property</v>
      </c>
      <c r="AS1185" s="8"/>
      <c r="AT1185" s="8"/>
      <c r="AU1185" s="8">
        <f ca="1">IFERROR(__xludf.DUMMYFUNCTION("""COMPUTED_VALUE"""),38.24576)</f>
        <v>38.245759999999997</v>
      </c>
      <c r="AV1185" s="8">
        <f ca="1">IFERROR(__xludf.DUMMYFUNCTION("""COMPUTED_VALUE"""),-85.641166)</f>
        <v>-85.641165999999998</v>
      </c>
      <c r="AW1185" s="8"/>
      <c r="AX1185" s="8">
        <f ca="1">IFERROR(__xludf.DUMMYFUNCTION("""COMPUTED_VALUE"""),40207)</f>
        <v>40207</v>
      </c>
    </row>
    <row r="1186" spans="1:50" ht="120" x14ac:dyDescent="0.2">
      <c r="A1186" s="8" t="str">
        <f ca="1">IFERROR(__xludf.DUMMYFUNCTION("""COMPUTED_VALUE"""),"20211207ILHAC")</f>
        <v>20211207ILHAC</v>
      </c>
      <c r="B1186" s="8">
        <f ca="1">IFERROR(__xludf.DUMMYFUNCTION("""COMPUTED_VALUE"""),12)</f>
        <v>12</v>
      </c>
      <c r="C1186" s="8">
        <f ca="1">IFERROR(__xludf.DUMMYFUNCTION("""COMPUTED_VALUE"""),7)</f>
        <v>7</v>
      </c>
      <c r="D1186" s="8">
        <f ca="1">IFERROR(__xludf.DUMMYFUNCTION("""COMPUTED_VALUE"""),2021)</f>
        <v>2021</v>
      </c>
      <c r="E1186" s="9">
        <f ca="1">IFERROR(__xludf.DUMMYFUNCTION("""COMPUTED_VALUE"""),44537)</f>
        <v>44537</v>
      </c>
      <c r="F1186" s="8" t="str">
        <f ca="1">IFERROR(__xludf.DUMMYFUNCTION("""COMPUTED_VALUE"""),"Haines Elementary School")</f>
        <v>Haines Elementary School</v>
      </c>
      <c r="G1186" s="8">
        <f ca="1">IFERROR(__xludf.DUMMYFUNCTION("""COMPUTED_VALUE"""),1)</f>
        <v>1</v>
      </c>
      <c r="H1186" s="8">
        <f ca="1">IFERROR(__xludf.DUMMYFUNCTION("""COMPUTED_VALUE"""),0)</f>
        <v>0</v>
      </c>
      <c r="I1186" s="8">
        <f ca="1">IFERROR(__xludf.DUMMYFUNCTION("""COMPUTED_VALUE"""),1)</f>
        <v>1</v>
      </c>
      <c r="J1186" s="8">
        <f ca="1">IFERROR(__xludf.DUMMYFUNCTION("""COMPUTED_VALUE"""),0)</f>
        <v>0</v>
      </c>
      <c r="K1186" s="8" t="str">
        <f ca="1">IFERROR(__xludf.DUMMYFUNCTION("""COMPUTED_VALUE"""),"https://wgntv.com/news/chicagocrime/man-shot-killed-near-chinatown-elementary-school/ https://abc7chicago.com/chicago-shooting-man-killed-shot-outside-school/11308807/")</f>
        <v>https://wgntv.com/news/chicagocrime/man-shot-killed-near-chinatown-elementary-school/ https://abc7chicago.com/chicago-shooting-man-killed-shot-outside-school/11308807/</v>
      </c>
      <c r="L1186" s="8">
        <f ca="1">IFERROR(__xludf.DUMMYFUNCTION("""COMPUTED_VALUE"""),5)</f>
        <v>5</v>
      </c>
      <c r="M1186" s="8" t="str">
        <f ca="1">IFERROR(__xludf.DUMMYFUNCTION("""COMPUTED_VALUE"""),"Local")</f>
        <v>Local</v>
      </c>
      <c r="N1186" s="8">
        <f ca="1">IFERROR(__xludf.DUMMYFUNCTION("""COMPUTED_VALUE"""),4)</f>
        <v>4</v>
      </c>
      <c r="O1186" s="8" t="str">
        <f ca="1">IFERROR(__xludf.DUMMYFUNCTION("""COMPUTED_VALUE"""),"Winter")</f>
        <v>Winter</v>
      </c>
      <c r="P1186" s="8" t="str">
        <f ca="1">IFERROR(__xludf.DUMMYFUNCTION("""COMPUTED_VALUE"""),"Chicago")</f>
        <v>Chicago</v>
      </c>
      <c r="Q1186" s="8" t="str">
        <f ca="1">IFERROR(__xludf.DUMMYFUNCTION("""COMPUTED_VALUE"""),"IL")</f>
        <v>IL</v>
      </c>
      <c r="R1186" s="8" t="str">
        <f ca="1">IFERROR(__xludf.DUMMYFUNCTION("""COMPUTED_VALUE"""),"Elementary")</f>
        <v>Elementary</v>
      </c>
      <c r="S1186" s="8" t="str">
        <f ca="1">IFERROR(__xludf.DUMMYFUNCTION("""COMPUTED_VALUE"""),"Front of School")</f>
        <v>Front of School</v>
      </c>
      <c r="T1186" s="8" t="str">
        <f ca="1">IFERROR(__xludf.DUMMYFUNCTION("""COMPUTED_VALUE"""),"Off School Property")</f>
        <v>Off School Property</v>
      </c>
      <c r="U1186" s="8" t="str">
        <f ca="1">IFERROR(__xludf.DUMMYFUNCTION("""COMPUTED_VALUE"""),"Yes")</f>
        <v>Yes</v>
      </c>
      <c r="V1186" s="8" t="str">
        <f ca="1">IFERROR(__xludf.DUMMYFUNCTION("""COMPUTED_VALUE"""),"Lunch")</f>
        <v>Lunch</v>
      </c>
      <c r="W1186" s="11">
        <f ca="1">IFERROR(__xludf.DUMMYFUNCTION("""COMPUTED_VALUE"""),0.520833333333333)</f>
        <v>0.52083333333333304</v>
      </c>
      <c r="X1186" s="8">
        <f ca="1">IFERROR(__xludf.DUMMYFUNCTION("""COMPUTED_VALUE"""),1)</f>
        <v>1</v>
      </c>
      <c r="Y1186" s="12" t="str">
        <f ca="1">IFERROR(__xludf.DUMMYFUNCTION("""COMPUTED_VALUE"""),"Man shot multiple times in front of school")</f>
        <v>Man shot multiple times in front of school</v>
      </c>
      <c r="Z1186" s="12" t="str">
        <f ca="1">IFERROR(__xludf.DUMMYFUNCTION("""COMPUTED_VALUE"""),"While students were on the playground for recess, multiple shots were from from a vehicle at a 71-year-old man on the sidewalk in front of the school. The shooter exited the vehicle and shot the victim multiple times ""execution style"". Teachers moved st"&amp;"udents into the school and went into lockdown. Shooter fled the scene and were apprehended a short distance away. Shooting was captured on CCTV footage.")</f>
        <v>While students were on the playground for recess, multiple shots were from from a vehicle at a 71-year-old man on the sidewalk in front of the school. The shooter exited the vehicle and shot the victim multiple times "execution style". Teachers moved students into the school and went into lockdown. Shooter fled the scene and were apprehended a short distance away. Shooting was captured on CCTV footage.</v>
      </c>
      <c r="AA1186" s="8" t="str">
        <f ca="1">IFERROR(__xludf.DUMMYFUNCTION("""COMPUTED_VALUE"""),"Illegal Activity")</f>
        <v>Illegal Activity</v>
      </c>
      <c r="AB1186" s="8"/>
      <c r="AC1186" s="8" t="str">
        <f ca="1">IFERROR(__xludf.DUMMYFUNCTION("""COMPUTED_VALUE"""),"Yes")</f>
        <v>Yes</v>
      </c>
      <c r="AD1186" s="8" t="str">
        <f ca="1">IFERROR(__xludf.DUMMYFUNCTION("""COMPUTED_VALUE"""),"Victims Targeted")</f>
        <v>Victims Targeted</v>
      </c>
      <c r="AE1186" s="8" t="str">
        <f ca="1">IFERROR(__xludf.DUMMYFUNCTION("""COMPUTED_VALUE"""),"No")</f>
        <v>No</v>
      </c>
      <c r="AF1186" s="8"/>
      <c r="AG1186" s="8"/>
      <c r="AH1186" s="8" t="str">
        <f ca="1">IFERROR(__xludf.DUMMYFUNCTION("""COMPUTED_VALUE"""),"No")</f>
        <v>No</v>
      </c>
      <c r="AI1186" s="8" t="str">
        <f ca="1">IFERROR(__xludf.DUMMYFUNCTION("""COMPUTED_VALUE"""),"No")</f>
        <v>No</v>
      </c>
      <c r="AJ1186" s="8" t="str">
        <f ca="1">IFERROR(__xludf.DUMMYFUNCTION("""COMPUTED_VALUE"""),"No")</f>
        <v>No</v>
      </c>
      <c r="AK1186" s="8" t="str">
        <f ca="1">IFERROR(__xludf.DUMMYFUNCTION("""COMPUTED_VALUE"""),"No")</f>
        <v>No</v>
      </c>
      <c r="AL1186" s="8"/>
      <c r="AM1186" s="8" t="str">
        <f ca="1">IFERROR(__xludf.DUMMYFUNCTION("""COMPUTED_VALUE"""),"No")</f>
        <v>No</v>
      </c>
      <c r="AN1186" s="8"/>
      <c r="AO1186" s="8" t="str">
        <f ca="1">IFERROR(__xludf.DUMMYFUNCTION("""COMPUTED_VALUE"""),"No")</f>
        <v>No</v>
      </c>
      <c r="AP1186" s="8"/>
      <c r="AQ1186" s="8"/>
      <c r="AR1186" s="8" t="str">
        <f ca="1">IFERROR(__xludf.DUMMYFUNCTION("""COMPUTED_VALUE"""),"Outside/Off-Property")</f>
        <v>Outside/Off-Property</v>
      </c>
      <c r="AS1186" s="8">
        <f ca="1">IFERROR(__xludf.DUMMYFUNCTION("""COMPUTED_VALUE"""),12)</f>
        <v>12</v>
      </c>
      <c r="AT1186" s="8" t="str">
        <f ca="1">IFERROR(__xludf.DUMMYFUNCTION("""COMPUTED_VALUE"""),"Yes")</f>
        <v>Yes</v>
      </c>
      <c r="AU1186" s="8">
        <f ca="1">IFERROR(__xludf.DUMMYFUNCTION("""COMPUTED_VALUE"""),41.849997)</f>
        <v>41.849997000000002</v>
      </c>
      <c r="AV1186" s="8">
        <f ca="1">IFERROR(__xludf.DUMMYFUNCTION("""COMPUTED_VALUE"""),-87.633961)</f>
        <v>-87.633960999999999</v>
      </c>
      <c r="AW1186" s="8"/>
      <c r="AX1186" s="8">
        <f ca="1">IFERROR(__xludf.DUMMYFUNCTION("""COMPUTED_VALUE"""),60616)</f>
        <v>60616</v>
      </c>
    </row>
    <row r="1187" spans="1:50" ht="120" x14ac:dyDescent="0.2">
      <c r="A1187" s="8" t="str">
        <f ca="1">IFERROR(__xludf.DUMMYFUNCTION("""COMPUTED_VALUE"""),"20211206NYSUS")</f>
        <v>20211206NYSUS</v>
      </c>
      <c r="B1187" s="8">
        <f ca="1">IFERROR(__xludf.DUMMYFUNCTION("""COMPUTED_VALUE"""),12)</f>
        <v>12</v>
      </c>
      <c r="C1187" s="8">
        <f ca="1">IFERROR(__xludf.DUMMYFUNCTION("""COMPUTED_VALUE"""),6)</f>
        <v>6</v>
      </c>
      <c r="D1187" s="8">
        <f ca="1">IFERROR(__xludf.DUMMYFUNCTION("""COMPUTED_VALUE"""),2021)</f>
        <v>2021</v>
      </c>
      <c r="E1187" s="9">
        <f ca="1">IFERROR(__xludf.DUMMYFUNCTION("""COMPUTED_VALUE"""),44536)</f>
        <v>44536</v>
      </c>
      <c r="F1187" s="8" t="str">
        <f ca="1">IFERROR(__xludf.DUMMYFUNCTION("""COMPUTED_VALUE"""),"Susan E. Wagner High School")</f>
        <v>Susan E. Wagner High School</v>
      </c>
      <c r="G1187" s="8">
        <f ca="1">IFERROR(__xludf.DUMMYFUNCTION("""COMPUTED_VALUE"""),0)</f>
        <v>0</v>
      </c>
      <c r="H1187" s="8">
        <f ca="1">IFERROR(__xludf.DUMMYFUNCTION("""COMPUTED_VALUE"""),1)</f>
        <v>1</v>
      </c>
      <c r="I1187" s="8">
        <f ca="1">IFERROR(__xludf.DUMMYFUNCTION("""COMPUTED_VALUE"""),1)</f>
        <v>1</v>
      </c>
      <c r="J1187" s="8">
        <f ca="1">IFERROR(__xludf.DUMMYFUNCTION("""COMPUTED_VALUE"""),0)</f>
        <v>0</v>
      </c>
      <c r="K1187" s="8" t="str">
        <f ca="1">IFERROR(__xludf.DUMMYFUNCTION("""COMPUTED_VALUE"""),"https://abc7ny.com/wagner-high-school-susan-e-staten-island/11310969/ https://www.silive.com/crime-safety/2021/12/cops-16-year-old-arrested-amid-safety-concerns-at-susan-wagner-high-school.html https://www.nydailynews.com/new-york/ny-staten-island-student"&amp;"-gun-scare-lockdown-20211207-wgfypndf5rdt5igmucd2f2tjzm-story.html")</f>
        <v>https://abc7ny.com/wagner-high-school-susan-e-staten-island/11310969/ https://www.silive.com/crime-safety/2021/12/cops-16-year-old-arrested-amid-safety-concerns-at-susan-wagner-high-school.html https://www.nydailynews.com/new-york/ny-staten-island-student-gun-scare-lockdown-20211207-wgfypndf5rdt5igmucd2f2tjzm-story.html</v>
      </c>
      <c r="L1187" s="8">
        <f ca="1">IFERROR(__xludf.DUMMYFUNCTION("""COMPUTED_VALUE"""),10)</f>
        <v>10</v>
      </c>
      <c r="M1187" s="8" t="str">
        <f ca="1">IFERROR(__xludf.DUMMYFUNCTION("""COMPUTED_VALUE"""),"Regional")</f>
        <v>Regional</v>
      </c>
      <c r="N1187" s="8">
        <f ca="1">IFERROR(__xludf.DUMMYFUNCTION("""COMPUTED_VALUE"""),4)</f>
        <v>4</v>
      </c>
      <c r="O1187" s="8" t="str">
        <f ca="1">IFERROR(__xludf.DUMMYFUNCTION("""COMPUTED_VALUE"""),"Winter")</f>
        <v>Winter</v>
      </c>
      <c r="P1187" s="8" t="str">
        <f ca="1">IFERROR(__xludf.DUMMYFUNCTION("""COMPUTED_VALUE"""),"Staten Island")</f>
        <v>Staten Island</v>
      </c>
      <c r="Q1187" s="8" t="str">
        <f ca="1">IFERROR(__xludf.DUMMYFUNCTION("""COMPUTED_VALUE"""),"NY")</f>
        <v>NY</v>
      </c>
      <c r="R1187" s="8" t="str">
        <f ca="1">IFERROR(__xludf.DUMMYFUNCTION("""COMPUTED_VALUE"""),"High")</f>
        <v>High</v>
      </c>
      <c r="S1187" s="8" t="str">
        <f ca="1">IFERROR(__xludf.DUMMYFUNCTION("""COMPUTED_VALUE"""),"Front of School")</f>
        <v>Front of School</v>
      </c>
      <c r="T1187" s="8" t="str">
        <f ca="1">IFERROR(__xludf.DUMMYFUNCTION("""COMPUTED_VALUE"""),"Outside on School Property")</f>
        <v>Outside on School Property</v>
      </c>
      <c r="U1187" s="8" t="str">
        <f ca="1">IFERROR(__xludf.DUMMYFUNCTION("""COMPUTED_VALUE"""),"Yes")</f>
        <v>Yes</v>
      </c>
      <c r="V1187" s="8" t="str">
        <f ca="1">IFERROR(__xludf.DUMMYFUNCTION("""COMPUTED_VALUE"""),"Dismissal")</f>
        <v>Dismissal</v>
      </c>
      <c r="W1187" s="11">
        <f ca="1">IFERROR(__xludf.DUMMYFUNCTION("""COMPUTED_VALUE"""),0.625)</f>
        <v>0.625</v>
      </c>
      <c r="X1187" s="8">
        <f ca="1">IFERROR(__xludf.DUMMYFUNCTION("""COMPUTED_VALUE"""),1)</f>
        <v>1</v>
      </c>
      <c r="Y1187" s="12" t="str">
        <f ca="1">IFERROR(__xludf.DUMMYFUNCTION("""COMPUTED_VALUE"""),"Student waiting for bus was attacked and pistol whipped by 2 teens")</f>
        <v>Student waiting for bus was attacked and pistol whipped by 2 teens</v>
      </c>
      <c r="Z1187" s="12" t="str">
        <f ca="1">IFERROR(__xludf.DUMMYFUNCTION("""COMPUTED_VALUE"""),"A 16-year-old male student was waiting for a bus in front of the school when two teens got out of a vehicle and assaulted him. One teen brandished a handgun and pistol whipped the victim with it. Teens fled and were apprehended 1 mile away from the scene "&amp;"with handgun. Incident was captured on video. Initially reported as shots fired and school cancelled dismissal and locked down for 2 hours.")</f>
        <v>A 16-year-old male student was waiting for a bus in front of the school when two teens got out of a vehicle and assaulted him. One teen brandished a handgun and pistol whipped the victim with it. Teens fled and were apprehended 1 mile away from the scene with handgun. Incident was captured on video. Initially reported as shots fired and school cancelled dismissal and locked down for 2 hours.</v>
      </c>
      <c r="AA1187" s="8"/>
      <c r="AB1187" s="8"/>
      <c r="AC1187" s="8" t="str">
        <f ca="1">IFERROR(__xludf.DUMMYFUNCTION("""COMPUTED_VALUE"""),"Yes")</f>
        <v>Yes</v>
      </c>
      <c r="AD1187" s="8" t="str">
        <f ca="1">IFERROR(__xludf.DUMMYFUNCTION("""COMPUTED_VALUE"""),"Victims Targeted")</f>
        <v>Victims Targeted</v>
      </c>
      <c r="AE1187" s="8" t="str">
        <f ca="1">IFERROR(__xludf.DUMMYFUNCTION("""COMPUTED_VALUE"""),"Yes")</f>
        <v>Yes</v>
      </c>
      <c r="AF1187" s="8" t="str">
        <f ca="1">IFERROR(__xludf.DUMMYFUNCTION("""COMPUTED_VALUE"""),"Two teens")</f>
        <v>Two teens</v>
      </c>
      <c r="AG1187" s="8" t="str">
        <f ca="1">IFERROR(__xludf.DUMMYFUNCTION("""COMPUTED_VALUE"""),"No")</f>
        <v>No</v>
      </c>
      <c r="AH1187" s="8" t="str">
        <f ca="1">IFERROR(__xludf.DUMMYFUNCTION("""COMPUTED_VALUE"""),"No")</f>
        <v>No</v>
      </c>
      <c r="AI1187" s="8" t="str">
        <f ca="1">IFERROR(__xludf.DUMMYFUNCTION("""COMPUTED_VALUE"""),"No")</f>
        <v>No</v>
      </c>
      <c r="AJ1187" s="8"/>
      <c r="AK1187" s="8" t="str">
        <f ca="1">IFERROR(__xludf.DUMMYFUNCTION("""COMPUTED_VALUE"""),"No")</f>
        <v>No</v>
      </c>
      <c r="AL1187" s="8"/>
      <c r="AM1187" s="8" t="str">
        <f ca="1">IFERROR(__xludf.DUMMYFUNCTION("""COMPUTED_VALUE"""),"No")</f>
        <v>No</v>
      </c>
      <c r="AN1187" s="8"/>
      <c r="AO1187" s="8" t="str">
        <f ca="1">IFERROR(__xludf.DUMMYFUNCTION("""COMPUTED_VALUE"""),"No")</f>
        <v>No</v>
      </c>
      <c r="AP1187" s="8"/>
      <c r="AQ1187" s="8"/>
      <c r="AR1187" s="8" t="str">
        <f ca="1">IFERROR(__xludf.DUMMYFUNCTION("""COMPUTED_VALUE"""),"Outside/Off-Property")</f>
        <v>Outside/Off-Property</v>
      </c>
      <c r="AS1187" s="8">
        <f ca="1">IFERROR(__xludf.DUMMYFUNCTION("""COMPUTED_VALUE"""),0)</f>
        <v>0</v>
      </c>
      <c r="AT1187" s="8" t="str">
        <f ca="1">IFERROR(__xludf.DUMMYFUNCTION("""COMPUTED_VALUE"""),"Yes")</f>
        <v>Yes</v>
      </c>
      <c r="AU1187" s="8">
        <f ca="1">IFERROR(__xludf.DUMMYFUNCTION("""COMPUTED_VALUE"""),40.597689)</f>
        <v>40.597689000000003</v>
      </c>
      <c r="AV1187" s="8">
        <f ca="1">IFERROR(__xludf.DUMMYFUNCTION("""COMPUTED_VALUE"""),-74.123991)</f>
        <v>-74.123991000000004</v>
      </c>
      <c r="AW1187" s="8"/>
      <c r="AX1187" s="8">
        <f ca="1">IFERROR(__xludf.DUMMYFUNCTION("""COMPUTED_VALUE"""),10314)</f>
        <v>10314</v>
      </c>
    </row>
    <row r="1188" spans="1:50" ht="75" x14ac:dyDescent="0.2">
      <c r="A1188" s="8" t="str">
        <f ca="1">IFERROR(__xludf.DUMMYFUNCTION("""COMPUTED_VALUE"""),"20211206CAWIW")</f>
        <v>20211206CAWIW</v>
      </c>
      <c r="B1188" s="8">
        <f ca="1">IFERROR(__xludf.DUMMYFUNCTION("""COMPUTED_VALUE"""),12)</f>
        <v>12</v>
      </c>
      <c r="C1188" s="8">
        <f ca="1">IFERROR(__xludf.DUMMYFUNCTION("""COMPUTED_VALUE"""),6)</f>
        <v>6</v>
      </c>
      <c r="D1188" s="8">
        <f ca="1">IFERROR(__xludf.DUMMYFUNCTION("""COMPUTED_VALUE"""),2021)</f>
        <v>2021</v>
      </c>
      <c r="E1188" s="9">
        <f ca="1">IFERROR(__xludf.DUMMYFUNCTION("""COMPUTED_VALUE"""),44536)</f>
        <v>44536</v>
      </c>
      <c r="F1188" s="8" t="str">
        <f ca="1">IFERROR(__xludf.DUMMYFUNCTION("""COMPUTED_VALUE"""),"Wilmington Park Elementary School")</f>
        <v>Wilmington Park Elementary School</v>
      </c>
      <c r="G1188" s="8">
        <f ca="1">IFERROR(__xludf.DUMMYFUNCTION("""COMPUTED_VALUE"""),1)</f>
        <v>1</v>
      </c>
      <c r="H1188" s="8">
        <f ca="1">IFERROR(__xludf.DUMMYFUNCTION("""COMPUTED_VALUE"""),2)</f>
        <v>2</v>
      </c>
      <c r="I1188" s="8">
        <f ca="1">IFERROR(__xludf.DUMMYFUNCTION("""COMPUTED_VALUE"""),3)</f>
        <v>3</v>
      </c>
      <c r="J1188" s="8">
        <f ca="1">IFERROR(__xludf.DUMMYFUNCTION("""COMPUTED_VALUE"""),0)</f>
        <v>0</v>
      </c>
      <c r="K1188" s="8" t="str">
        <f ca="1">IFERROR(__xludf.DUMMYFUNCTION("""COMPUTED_VALUE"""),"https://abc7.com/wilmington-shooting-triple-lapd-shootings-leave-girl-and-boy-wounded/11306738/ https://ktla.com/news/local-news/3-kids-wounded-in-separate-wilmington-shootings/ https://abc7.com/wilmington-shooting-triple-lapd-shootings-leave-girl-and-boy"&amp;"-wounded/11306738/")</f>
        <v>https://abc7.com/wilmington-shooting-triple-lapd-shootings-leave-girl-and-boy-wounded/11306738/ https://ktla.com/news/local-news/3-kids-wounded-in-separate-wilmington-shootings/ https://abc7.com/wilmington-shooting-triple-lapd-shootings-leave-girl-and-boy-wounded/11306738/</v>
      </c>
      <c r="L1188" s="8">
        <f ca="1">IFERROR(__xludf.DUMMYFUNCTION("""COMPUTED_VALUE"""),10)</f>
        <v>10</v>
      </c>
      <c r="M1188" s="8" t="str">
        <f ca="1">IFERROR(__xludf.DUMMYFUNCTION("""COMPUTED_VALUE"""),"Regional")</f>
        <v>Regional</v>
      </c>
      <c r="N1188" s="8">
        <f ca="1">IFERROR(__xludf.DUMMYFUNCTION("""COMPUTED_VALUE"""),4)</f>
        <v>4</v>
      </c>
      <c r="O1188" s="8" t="str">
        <f ca="1">IFERROR(__xludf.DUMMYFUNCTION("""COMPUTED_VALUE"""),"Winter")</f>
        <v>Winter</v>
      </c>
      <c r="P1188" s="8" t="str">
        <f ca="1">IFERROR(__xludf.DUMMYFUNCTION("""COMPUTED_VALUE"""),"Wilmington")</f>
        <v>Wilmington</v>
      </c>
      <c r="Q1188" s="8" t="str">
        <f ca="1">IFERROR(__xludf.DUMMYFUNCTION("""COMPUTED_VALUE"""),"CA")</f>
        <v>CA</v>
      </c>
      <c r="R1188" s="8" t="str">
        <f ca="1">IFERROR(__xludf.DUMMYFUNCTION("""COMPUTED_VALUE"""),"Elementary")</f>
        <v>Elementary</v>
      </c>
      <c r="S1188" s="8" t="str">
        <f ca="1">IFERROR(__xludf.DUMMYFUNCTION("""COMPUTED_VALUE"""),"Playground")</f>
        <v>Playground</v>
      </c>
      <c r="T1188" s="8" t="str">
        <f ca="1">IFERROR(__xludf.DUMMYFUNCTION("""COMPUTED_VALUE"""),"Outside on School Property")</f>
        <v>Outside on School Property</v>
      </c>
      <c r="U1188" s="8" t="str">
        <f ca="1">IFERROR(__xludf.DUMMYFUNCTION("""COMPUTED_VALUE"""),"Yes")</f>
        <v>Yes</v>
      </c>
      <c r="V1188" s="8" t="str">
        <f ca="1">IFERROR(__xludf.DUMMYFUNCTION("""COMPUTED_VALUE"""),"After School")</f>
        <v>After School</v>
      </c>
      <c r="W1188" s="11">
        <f ca="1">IFERROR(__xludf.DUMMYFUNCTION("""COMPUTED_VALUE"""),0.698611111111111)</f>
        <v>0.69861111111111096</v>
      </c>
      <c r="X1188" s="8">
        <f ca="1">IFERROR(__xludf.DUMMYFUNCTION("""COMPUTED_VALUE"""),1)</f>
        <v>1</v>
      </c>
      <c r="Y1188" s="12" t="str">
        <f ca="1">IFERROR(__xludf.DUMMYFUNCTION("""COMPUTED_VALUE"""),"9-year-old girl critically injured by stray shot while on school playground")</f>
        <v>9-year-old girl critically injured by stray shot while on school playground</v>
      </c>
      <c r="Z1188" s="12" t="str">
        <f ca="1">IFERROR(__xludf.DUMMYFUNCTION("""COMPUTED_VALUE"""),"Two shooters fired multiple shots at a vehicle in front of the elementary school. A 13-year-old boy inside the vehicle was killed and 20-year-old woman was injured. A stray shot struck a 9-year-old female student on the playground of the school, criticall"&amp;"y injuring her.")</f>
        <v>Two shooters fired multiple shots at a vehicle in front of the elementary school. A 13-year-old boy inside the vehicle was killed and 20-year-old woman was injured. A stray shot struck a 9-year-old female student on the playground of the school, critically injuring her.</v>
      </c>
      <c r="AA1188" s="8"/>
      <c r="AB1188" s="8"/>
      <c r="AC1188" s="8" t="str">
        <f ca="1">IFERROR(__xludf.DUMMYFUNCTION("""COMPUTED_VALUE"""),"Yes")</f>
        <v>Yes</v>
      </c>
      <c r="AD1188" s="8" t="str">
        <f ca="1">IFERROR(__xludf.DUMMYFUNCTION("""COMPUTED_VALUE"""),"Both")</f>
        <v>Both</v>
      </c>
      <c r="AE1188" s="8" t="str">
        <f ca="1">IFERROR(__xludf.DUMMYFUNCTION("""COMPUTED_VALUE"""),"Yes")</f>
        <v>Yes</v>
      </c>
      <c r="AF1188" s="8" t="str">
        <f ca="1">IFERROR(__xludf.DUMMYFUNCTION("""COMPUTED_VALUE"""),"2 shooters")</f>
        <v>2 shooters</v>
      </c>
      <c r="AG1188" s="8" t="str">
        <f ca="1">IFERROR(__xludf.DUMMYFUNCTION("""COMPUTED_VALUE"""),"No")</f>
        <v>No</v>
      </c>
      <c r="AH1188" s="8" t="str">
        <f ca="1">IFERROR(__xludf.DUMMYFUNCTION("""COMPUTED_VALUE"""),"No")</f>
        <v>No</v>
      </c>
      <c r="AI1188" s="8" t="str">
        <f ca="1">IFERROR(__xludf.DUMMYFUNCTION("""COMPUTED_VALUE"""),"No")</f>
        <v>No</v>
      </c>
      <c r="AJ1188" s="8" t="str">
        <f ca="1">IFERROR(__xludf.DUMMYFUNCTION("""COMPUTED_VALUE"""),"No")</f>
        <v>No</v>
      </c>
      <c r="AK1188" s="8"/>
      <c r="AL1188" s="8"/>
      <c r="AM1188" s="8" t="str">
        <f ca="1">IFERROR(__xludf.DUMMYFUNCTION("""COMPUTED_VALUE"""),"No")</f>
        <v>No</v>
      </c>
      <c r="AN1188" s="8"/>
      <c r="AO1188" s="8"/>
      <c r="AP1188" s="8"/>
      <c r="AQ1188" s="8"/>
      <c r="AR1188" s="8" t="str">
        <f ca="1">IFERROR(__xludf.DUMMYFUNCTION("""COMPUTED_VALUE"""),"Outside/Off-Property")</f>
        <v>Outside/Off-Property</v>
      </c>
      <c r="AS1188" s="8"/>
      <c r="AT1188" s="8"/>
      <c r="AU1188" s="8">
        <f ca="1">IFERROR(__xludf.DUMMYFUNCTION("""COMPUTED_VALUE"""),33.785787)</f>
        <v>33.785786999999999</v>
      </c>
      <c r="AV1188" s="8">
        <f ca="1">IFERROR(__xludf.DUMMYFUNCTION("""COMPUTED_VALUE"""),-118.246328)</f>
        <v>-118.24632800000001</v>
      </c>
      <c r="AW1188" s="8"/>
      <c r="AX1188" s="8">
        <f ca="1">IFERROR(__xludf.DUMMYFUNCTION("""COMPUTED_VALUE"""),90749)</f>
        <v>90749</v>
      </c>
    </row>
    <row r="1189" spans="1:50" ht="90" x14ac:dyDescent="0.2">
      <c r="A1189" s="8" t="str">
        <f ca="1">IFERROR(__xludf.DUMMYFUNCTION("""COMPUTED_VALUE"""),"20211203ARBLB")</f>
        <v>20211203ARBLB</v>
      </c>
      <c r="B1189" s="8">
        <f ca="1">IFERROR(__xludf.DUMMYFUNCTION("""COMPUTED_VALUE"""),12)</f>
        <v>12</v>
      </c>
      <c r="C1189" s="8">
        <f ca="1">IFERROR(__xludf.DUMMYFUNCTION("""COMPUTED_VALUE"""),3)</f>
        <v>3</v>
      </c>
      <c r="D1189" s="8">
        <f ca="1">IFERROR(__xludf.DUMMYFUNCTION("""COMPUTED_VALUE"""),2021)</f>
        <v>2021</v>
      </c>
      <c r="E1189" s="9">
        <f ca="1">IFERROR(__xludf.DUMMYFUNCTION("""COMPUTED_VALUE"""),44533)</f>
        <v>44533</v>
      </c>
      <c r="F1189" s="8" t="str">
        <f ca="1">IFERROR(__xludf.DUMMYFUNCTION("""COMPUTED_VALUE"""),"Blytheville High School")</f>
        <v>Blytheville High School</v>
      </c>
      <c r="G1189" s="8">
        <f ca="1">IFERROR(__xludf.DUMMYFUNCTION("""COMPUTED_VALUE"""),0)</f>
        <v>0</v>
      </c>
      <c r="H1189" s="8">
        <f ca="1">IFERROR(__xludf.DUMMYFUNCTION("""COMPUTED_VALUE"""),0)</f>
        <v>0</v>
      </c>
      <c r="I1189" s="8">
        <f ca="1">IFERROR(__xludf.DUMMYFUNCTION("""COMPUTED_VALUE"""),0)</f>
        <v>0</v>
      </c>
      <c r="J1189" s="8">
        <f ca="1">IFERROR(__xludf.DUMMYFUNCTION("""COMPUTED_VALUE"""),0)</f>
        <v>0</v>
      </c>
      <c r="K1189" s="10" t="str">
        <f ca="1">IFERROR(__xludf.DUMMYFUNCTION("""COMPUTED_VALUE"""),"https://www.kait8.com/2021/12/06/man-arrested-following-school-parking-lot-shooting/")</f>
        <v>https://www.kait8.com/2021/12/06/man-arrested-following-school-parking-lot-shooting/</v>
      </c>
      <c r="L1189" s="8">
        <f ca="1">IFERROR(__xludf.DUMMYFUNCTION("""COMPUTED_VALUE"""),1)</f>
        <v>1</v>
      </c>
      <c r="M1189" s="8" t="str">
        <f ca="1">IFERROR(__xludf.DUMMYFUNCTION("""COMPUTED_VALUE"""),"Local")</f>
        <v>Local</v>
      </c>
      <c r="N1189" s="8">
        <f ca="1">IFERROR(__xludf.DUMMYFUNCTION("""COMPUTED_VALUE"""),4)</f>
        <v>4</v>
      </c>
      <c r="O1189" s="8" t="str">
        <f ca="1">IFERROR(__xludf.DUMMYFUNCTION("""COMPUTED_VALUE"""),"Winter")</f>
        <v>Winter</v>
      </c>
      <c r="P1189" s="8" t="str">
        <f ca="1">IFERROR(__xludf.DUMMYFUNCTION("""COMPUTED_VALUE"""),"Blytheville")</f>
        <v>Blytheville</v>
      </c>
      <c r="Q1189" s="8" t="str">
        <f ca="1">IFERROR(__xludf.DUMMYFUNCTION("""COMPUTED_VALUE"""),"AR")</f>
        <v>AR</v>
      </c>
      <c r="R1189" s="8" t="str">
        <f ca="1">IFERROR(__xludf.DUMMYFUNCTION("""COMPUTED_VALUE"""),"High")</f>
        <v>High</v>
      </c>
      <c r="S1189" s="8" t="str">
        <f ca="1">IFERROR(__xludf.DUMMYFUNCTION("""COMPUTED_VALUE"""),"Parking Lot")</f>
        <v>Parking Lot</v>
      </c>
      <c r="T1189" s="8" t="str">
        <f ca="1">IFERROR(__xludf.DUMMYFUNCTION("""COMPUTED_VALUE"""),"Outside on School Property")</f>
        <v>Outside on School Property</v>
      </c>
      <c r="U1189" s="8" t="str">
        <f ca="1">IFERROR(__xludf.DUMMYFUNCTION("""COMPUTED_VALUE"""),"No")</f>
        <v>No</v>
      </c>
      <c r="V1189" s="8" t="str">
        <f ca="1">IFERROR(__xludf.DUMMYFUNCTION("""COMPUTED_VALUE"""),"Night")</f>
        <v>Night</v>
      </c>
      <c r="W1189" s="11">
        <f ca="1">IFERROR(__xludf.DUMMYFUNCTION("""COMPUTED_VALUE"""),0.885416666666666)</f>
        <v>0.88541666666666596</v>
      </c>
      <c r="X1189" s="8">
        <f ca="1">IFERROR(__xludf.DUMMYFUNCTION("""COMPUTED_VALUE"""),1)</f>
        <v>1</v>
      </c>
      <c r="Y1189" s="12" t="str">
        <f ca="1">IFERROR(__xludf.DUMMYFUNCTION("""COMPUTED_VALUE"""),"Teen fired multiple shots at person inside vehicle in the parking lot")</f>
        <v>Teen fired multiple shots at person inside vehicle in the parking lot</v>
      </c>
      <c r="Z1189" s="12" t="str">
        <f ca="1">IFERROR(__xludf.DUMMYFUNCTION("""COMPUTED_VALUE"""),"A 19-year-old non-student fired multiple shots at another non-student inside a vehicle in the school parking lot. The shooter fled and was identified by CCTV footage, then arrested the next day. Targeted victim was not injured. Teen charged with terrorist"&amp;"ic act. Shooting related to a prior fight between shooter and victim.")</f>
        <v>A 19-year-old non-student fired multiple shots at another non-student inside a vehicle in the school parking lot. The shooter fled and was identified by CCTV footage, then arrested the next day. Targeted victim was not injured. Teen charged with terroristic act. Shooting related to a prior fight between shooter and victim.</v>
      </c>
      <c r="AA1189" s="8" t="str">
        <f ca="1">IFERROR(__xludf.DUMMYFUNCTION("""COMPUTED_VALUE"""),"Escalation of Dispute")</f>
        <v>Escalation of Dispute</v>
      </c>
      <c r="AB1189" s="8"/>
      <c r="AC1189" s="8" t="str">
        <f ca="1">IFERROR(__xludf.DUMMYFUNCTION("""COMPUTED_VALUE"""),"No")</f>
        <v>No</v>
      </c>
      <c r="AD1189" s="8" t="str">
        <f ca="1">IFERROR(__xludf.DUMMYFUNCTION("""COMPUTED_VALUE"""),"Victims Targeted")</f>
        <v>Victims Targeted</v>
      </c>
      <c r="AE1189" s="8" t="str">
        <f ca="1">IFERROR(__xludf.DUMMYFUNCTION("""COMPUTED_VALUE"""),"No")</f>
        <v>No</v>
      </c>
      <c r="AF1189" s="8"/>
      <c r="AG1189" s="8" t="str">
        <f ca="1">IFERROR(__xludf.DUMMYFUNCTION("""COMPUTED_VALUE"""),"No")</f>
        <v>No</v>
      </c>
      <c r="AH1189" s="8" t="str">
        <f ca="1">IFERROR(__xludf.DUMMYFUNCTION("""COMPUTED_VALUE"""),"No")</f>
        <v>No</v>
      </c>
      <c r="AI1189" s="8" t="str">
        <f ca="1">IFERROR(__xludf.DUMMYFUNCTION("""COMPUTED_VALUE"""),"No")</f>
        <v>No</v>
      </c>
      <c r="AJ1189" s="8" t="str">
        <f ca="1">IFERROR(__xludf.DUMMYFUNCTION("""COMPUTED_VALUE"""),"No")</f>
        <v>No</v>
      </c>
      <c r="AK1189" s="8" t="str">
        <f ca="1">IFERROR(__xludf.DUMMYFUNCTION("""COMPUTED_VALUE"""),"No")</f>
        <v>No</v>
      </c>
      <c r="AL1189" s="8" t="str">
        <f ca="1">IFERROR(__xludf.DUMMYFUNCTION("""COMPUTED_VALUE"""),"No")</f>
        <v>No</v>
      </c>
      <c r="AM1189" s="8" t="str">
        <f ca="1">IFERROR(__xludf.DUMMYFUNCTION("""COMPUTED_VALUE"""),"No")</f>
        <v>No</v>
      </c>
      <c r="AN1189" s="8"/>
      <c r="AO1189" s="8" t="str">
        <f ca="1">IFERROR(__xludf.DUMMYFUNCTION("""COMPUTED_VALUE"""),"No")</f>
        <v>No</v>
      </c>
      <c r="AP1189" s="8"/>
      <c r="AQ1189" s="8"/>
      <c r="AR1189" s="8" t="str">
        <f ca="1">IFERROR(__xludf.DUMMYFUNCTION("""COMPUTED_VALUE"""),"Outside/Off-Property")</f>
        <v>Outside/Off-Property</v>
      </c>
      <c r="AS1189" s="8"/>
      <c r="AT1189" s="8"/>
      <c r="AU1189" s="8">
        <f ca="1">IFERROR(__xludf.DUMMYFUNCTION("""COMPUTED_VALUE"""),35.93348)</f>
        <v>35.933480000000003</v>
      </c>
      <c r="AV1189" s="8">
        <f ca="1">IFERROR(__xludf.DUMMYFUNCTION("""COMPUTED_VALUE"""),-89.911227)</f>
        <v>-89.911226999999997</v>
      </c>
      <c r="AW1189" s="8"/>
      <c r="AX1189" s="8">
        <f ca="1">IFERROR(__xludf.DUMMYFUNCTION("""COMPUTED_VALUE"""),72315)</f>
        <v>72315</v>
      </c>
    </row>
    <row r="1190" spans="1:50" ht="75" x14ac:dyDescent="0.2">
      <c r="A1190" s="8" t="str">
        <f ca="1">IFERROR(__xludf.DUMMYFUNCTION("""COMPUTED_VALUE"""),"20211202WAGAS")</f>
        <v>20211202WAGAS</v>
      </c>
      <c r="B1190" s="8">
        <f ca="1">IFERROR(__xludf.DUMMYFUNCTION("""COMPUTED_VALUE"""),12)</f>
        <v>12</v>
      </c>
      <c r="C1190" s="8">
        <f ca="1">IFERROR(__xludf.DUMMYFUNCTION("""COMPUTED_VALUE"""),3)</f>
        <v>3</v>
      </c>
      <c r="D1190" s="8">
        <f ca="1">IFERROR(__xludf.DUMMYFUNCTION("""COMPUTED_VALUE"""),2021)</f>
        <v>2021</v>
      </c>
      <c r="E1190" s="9">
        <f ca="1">IFERROR(__xludf.DUMMYFUNCTION("""COMPUTED_VALUE"""),44533)</f>
        <v>44533</v>
      </c>
      <c r="F1190" s="8" t="str">
        <f ca="1">IFERROR(__xludf.DUMMYFUNCTION("""COMPUTED_VALUE"""),"Garfield High School")</f>
        <v>Garfield High School</v>
      </c>
      <c r="G1190" s="8">
        <f ca="1">IFERROR(__xludf.DUMMYFUNCTION("""COMPUTED_VALUE"""),0)</f>
        <v>0</v>
      </c>
      <c r="H1190" s="8">
        <f ca="1">IFERROR(__xludf.DUMMYFUNCTION("""COMPUTED_VALUE"""),0)</f>
        <v>0</v>
      </c>
      <c r="I1190" s="8">
        <f ca="1">IFERROR(__xludf.DUMMYFUNCTION("""COMPUTED_VALUE"""),0)</f>
        <v>0</v>
      </c>
      <c r="J1190" s="8">
        <f ca="1">IFERROR(__xludf.DUMMYFUNCTION("""COMPUTED_VALUE"""),0)</f>
        <v>0</v>
      </c>
      <c r="K1190" s="8" t="str">
        <f ca="1">IFERROR(__xludf.DUMMYFUNCTION("""COMPUTED_VALUE"""),"https://www.seattletimes.com/seattle-news/law-justice/police-investigate-shooting-near-seattles-garfield-high/ https://www.capitolhillseattle.com/2021/11/threat-forces-evacuation-at-garfield-high-school/ https://www.capitolhillseattle.com/2021/12/police-f"&amp;"ind-lots-of-shell-casings-no-victims-after-gunfire-in-garfield-high-school-parking-lot/")</f>
        <v>https://www.seattletimes.com/seattle-news/law-justice/police-investigate-shooting-near-seattles-garfield-high/ https://www.capitolhillseattle.com/2021/11/threat-forces-evacuation-at-garfield-high-school/ https://www.capitolhillseattle.com/2021/12/police-find-lots-of-shell-casings-no-victims-after-gunfire-in-garfield-high-school-parking-lot/</v>
      </c>
      <c r="L1190" s="8">
        <f ca="1">IFERROR(__xludf.DUMMYFUNCTION("""COMPUTED_VALUE"""),2)</f>
        <v>2</v>
      </c>
      <c r="M1190" s="8" t="str">
        <f ca="1">IFERROR(__xludf.DUMMYFUNCTION("""COMPUTED_VALUE"""),"Local")</f>
        <v>Local</v>
      </c>
      <c r="N1190" s="8">
        <f ca="1">IFERROR(__xludf.DUMMYFUNCTION("""COMPUTED_VALUE"""),3)</f>
        <v>3</v>
      </c>
      <c r="O1190" s="8" t="str">
        <f ca="1">IFERROR(__xludf.DUMMYFUNCTION("""COMPUTED_VALUE"""),"Winter")</f>
        <v>Winter</v>
      </c>
      <c r="P1190" s="8" t="str">
        <f ca="1">IFERROR(__xludf.DUMMYFUNCTION("""COMPUTED_VALUE"""),"Seattle")</f>
        <v>Seattle</v>
      </c>
      <c r="Q1190" s="8" t="str">
        <f ca="1">IFERROR(__xludf.DUMMYFUNCTION("""COMPUTED_VALUE"""),"WA")</f>
        <v>WA</v>
      </c>
      <c r="R1190" s="8" t="str">
        <f ca="1">IFERROR(__xludf.DUMMYFUNCTION("""COMPUTED_VALUE"""),"High")</f>
        <v>High</v>
      </c>
      <c r="S1190" s="8" t="str">
        <f ca="1">IFERROR(__xludf.DUMMYFUNCTION("""COMPUTED_VALUE"""),"Parking Lot")</f>
        <v>Parking Lot</v>
      </c>
      <c r="T1190" s="8" t="str">
        <f ca="1">IFERROR(__xludf.DUMMYFUNCTION("""COMPUTED_VALUE"""),"Outside on School Property")</f>
        <v>Outside on School Property</v>
      </c>
      <c r="U1190" s="8" t="str">
        <f ca="1">IFERROR(__xludf.DUMMYFUNCTION("""COMPUTED_VALUE"""),"No")</f>
        <v>No</v>
      </c>
      <c r="V1190" s="8" t="str">
        <f ca="1">IFERROR(__xludf.DUMMYFUNCTION("""COMPUTED_VALUE"""),"After School")</f>
        <v>After School</v>
      </c>
      <c r="W1190" s="11">
        <f ca="1">IFERROR(__xludf.DUMMYFUNCTION("""COMPUTED_VALUE"""),0.6875)</f>
        <v>0.6875</v>
      </c>
      <c r="X1190" s="8">
        <f ca="1">IFERROR(__xludf.DUMMYFUNCTION("""COMPUTED_VALUE"""),1)</f>
        <v>1</v>
      </c>
      <c r="Y1190" s="12" t="str">
        <f ca="1">IFERROR(__xludf.DUMMYFUNCTION("""COMPUTED_VALUE"""),"30 shots fired in school parking lot during basketball practice")</f>
        <v>30 shots fired in school parking lot during basketball practice</v>
      </c>
      <c r="Z1190" s="12" t="str">
        <f ca="1">IFERROR(__xludf.DUMMYFUNCTION("""COMPUTED_VALUE"""),"A teen shooter fired 30 shots in the parking lot of the high school. Basketball practice was occurring at the time of the shooting and the school was locked down. No injuries. Shooter fled. A bomb threat evacuated the school earlier in the day.")</f>
        <v>A teen shooter fired 30 shots in the parking lot of the high school. Basketball practice was occurring at the time of the shooting and the school was locked down. No injuries. Shooter fled. A bomb threat evacuated the school earlier in the day.</v>
      </c>
      <c r="AA1190" s="8"/>
      <c r="AB1190" s="8"/>
      <c r="AC1190" s="8" t="str">
        <f ca="1">IFERROR(__xludf.DUMMYFUNCTION("""COMPUTED_VALUE"""),"Yes")</f>
        <v>Yes</v>
      </c>
      <c r="AD1190" s="8" t="str">
        <f ca="1">IFERROR(__xludf.DUMMYFUNCTION("""COMPUTED_VALUE"""),"Both")</f>
        <v>Both</v>
      </c>
      <c r="AE1190" s="8" t="str">
        <f ca="1">IFERROR(__xludf.DUMMYFUNCTION("""COMPUTED_VALUE"""),"No")</f>
        <v>No</v>
      </c>
      <c r="AF1190" s="8"/>
      <c r="AG1190" s="8" t="str">
        <f ca="1">IFERROR(__xludf.DUMMYFUNCTION("""COMPUTED_VALUE"""),"No")</f>
        <v>No</v>
      </c>
      <c r="AH1190" s="8" t="str">
        <f ca="1">IFERROR(__xludf.DUMMYFUNCTION("""COMPUTED_VALUE"""),"No")</f>
        <v>No</v>
      </c>
      <c r="AI1190" s="8" t="str">
        <f ca="1">IFERROR(__xludf.DUMMYFUNCTION("""COMPUTED_VALUE"""),"No")</f>
        <v>No</v>
      </c>
      <c r="AJ1190" s="8"/>
      <c r="AK1190" s="8" t="str">
        <f ca="1">IFERROR(__xludf.DUMMYFUNCTION("""COMPUTED_VALUE"""),"No")</f>
        <v>No</v>
      </c>
      <c r="AL1190" s="8"/>
      <c r="AM1190" s="8" t="str">
        <f ca="1">IFERROR(__xludf.DUMMYFUNCTION("""COMPUTED_VALUE"""),"No")</f>
        <v>No</v>
      </c>
      <c r="AN1190" s="8"/>
      <c r="AO1190" s="8" t="str">
        <f ca="1">IFERROR(__xludf.DUMMYFUNCTION("""COMPUTED_VALUE"""),"No")</f>
        <v>No</v>
      </c>
      <c r="AP1190" s="8"/>
      <c r="AQ1190" s="8"/>
      <c r="AR1190" s="8" t="str">
        <f ca="1">IFERROR(__xludf.DUMMYFUNCTION("""COMPUTED_VALUE"""),"Outside/Off-Property")</f>
        <v>Outside/Off-Property</v>
      </c>
      <c r="AS1190" s="8">
        <f ca="1">IFERROR(__xludf.DUMMYFUNCTION("""COMPUTED_VALUE"""),30)</f>
        <v>30</v>
      </c>
      <c r="AT1190" s="8" t="str">
        <f ca="1">IFERROR(__xludf.DUMMYFUNCTION("""COMPUTED_VALUE"""),"Yes")</f>
        <v>Yes</v>
      </c>
      <c r="AU1190" s="8">
        <f ca="1">IFERROR(__xludf.DUMMYFUNCTION("""COMPUTED_VALUE"""),47.60569)</f>
        <v>47.605690000000003</v>
      </c>
      <c r="AV1190" s="8">
        <f ca="1">IFERROR(__xludf.DUMMYFUNCTION("""COMPUTED_VALUE"""),-122.302178)</f>
        <v>-122.302178</v>
      </c>
      <c r="AW1190" s="8"/>
      <c r="AX1190" s="8">
        <f ca="1">IFERROR(__xludf.DUMMYFUNCTION("""COMPUTED_VALUE"""),98122)</f>
        <v>98122</v>
      </c>
    </row>
    <row r="1191" spans="1:50" ht="45" x14ac:dyDescent="0.2">
      <c r="A1191" s="8" t="str">
        <f ca="1">IFERROR(__xludf.DUMMYFUNCTION("""COMPUTED_VALUE"""),"20211202PAWIP")</f>
        <v>20211202PAWIP</v>
      </c>
      <c r="B1191" s="8">
        <f ca="1">IFERROR(__xludf.DUMMYFUNCTION("""COMPUTED_VALUE"""),12)</f>
        <v>12</v>
      </c>
      <c r="C1191" s="8">
        <f ca="1">IFERROR(__xludf.DUMMYFUNCTION("""COMPUTED_VALUE"""),2)</f>
        <v>2</v>
      </c>
      <c r="D1191" s="8">
        <f ca="1">IFERROR(__xludf.DUMMYFUNCTION("""COMPUTED_VALUE"""),2021)</f>
        <v>2021</v>
      </c>
      <c r="E1191" s="9">
        <f ca="1">IFERROR(__xludf.DUMMYFUNCTION("""COMPUTED_VALUE"""),44532)</f>
        <v>44532</v>
      </c>
      <c r="F1191" s="8" t="str">
        <f ca="1">IFERROR(__xludf.DUMMYFUNCTION("""COMPUTED_VALUE"""),"William Dick School")</f>
        <v>William Dick School</v>
      </c>
      <c r="G1191" s="8">
        <f ca="1">IFERROR(__xludf.DUMMYFUNCTION("""COMPUTED_VALUE"""),1)</f>
        <v>1</v>
      </c>
      <c r="H1191" s="8">
        <f ca="1">IFERROR(__xludf.DUMMYFUNCTION("""COMPUTED_VALUE"""),0)</f>
        <v>0</v>
      </c>
      <c r="I1191" s="8">
        <f ca="1">IFERROR(__xludf.DUMMYFUNCTION("""COMPUTED_VALUE"""),1)</f>
        <v>1</v>
      </c>
      <c r="J1191" s="8">
        <f ca="1">IFERROR(__xludf.DUMMYFUNCTION("""COMPUTED_VALUE"""),0)</f>
        <v>0</v>
      </c>
      <c r="K1191" s="10" t="str">
        <f ca="1">IFERROR(__xludf.DUMMYFUNCTION("""COMPUTED_VALUE"""),"https://www.cbsnews.com/philadelphia/news/police-woman-killed-north-philadelphia-shooting-william-dick-school-lockdown/")</f>
        <v>https://www.cbsnews.com/philadelphia/news/police-woman-killed-north-philadelphia-shooting-william-dick-school-lockdown/</v>
      </c>
      <c r="L1191" s="8"/>
      <c r="M1191" s="8" t="str">
        <f ca="1">IFERROR(__xludf.DUMMYFUNCTION("""COMPUTED_VALUE"""),"Local")</f>
        <v>Local</v>
      </c>
      <c r="N1191" s="8">
        <f ca="1">IFERROR(__xludf.DUMMYFUNCTION("""COMPUTED_VALUE"""),3)</f>
        <v>3</v>
      </c>
      <c r="O1191" s="8" t="str">
        <f ca="1">IFERROR(__xludf.DUMMYFUNCTION("""COMPUTED_VALUE"""),"Winter")</f>
        <v>Winter</v>
      </c>
      <c r="P1191" s="8" t="str">
        <f ca="1">IFERROR(__xludf.DUMMYFUNCTION("""COMPUTED_VALUE"""),"Philadelphia")</f>
        <v>Philadelphia</v>
      </c>
      <c r="Q1191" s="8" t="str">
        <f ca="1">IFERROR(__xludf.DUMMYFUNCTION("""COMPUTED_VALUE"""),"PA")</f>
        <v>PA</v>
      </c>
      <c r="R1191" s="8" t="str">
        <f ca="1">IFERROR(__xludf.DUMMYFUNCTION("""COMPUTED_VALUE"""),"K-8")</f>
        <v>K-8</v>
      </c>
      <c r="S1191" s="8" t="str">
        <f ca="1">IFERROR(__xludf.DUMMYFUNCTION("""COMPUTED_VALUE"""),"Parking Lot")</f>
        <v>Parking Lot</v>
      </c>
      <c r="T1191" s="8" t="str">
        <f ca="1">IFERROR(__xludf.DUMMYFUNCTION("""COMPUTED_VALUE"""),"Outside on School Property")</f>
        <v>Outside on School Property</v>
      </c>
      <c r="U1191" s="8" t="str">
        <f ca="1">IFERROR(__xludf.DUMMYFUNCTION("""COMPUTED_VALUE"""),"Yes")</f>
        <v>Yes</v>
      </c>
      <c r="V1191" s="8" t="str">
        <f ca="1">IFERROR(__xludf.DUMMYFUNCTION("""COMPUTED_VALUE"""),"Afternoon Classes")</f>
        <v>Afternoon Classes</v>
      </c>
      <c r="W1191" s="11">
        <f ca="1">IFERROR(__xludf.DUMMYFUNCTION("""COMPUTED_VALUE"""),0.541666666666666)</f>
        <v>0.54166666666666596</v>
      </c>
      <c r="X1191" s="8">
        <f ca="1">IFERROR(__xludf.DUMMYFUNCTION("""COMPUTED_VALUE"""),1)</f>
        <v>1</v>
      </c>
      <c r="Y1191" s="12" t="str">
        <f ca="1">IFERROR(__xludf.DUMMYFUNCTION("""COMPUTED_VALUE"""),"Woman shot 8 times in parking lot behind school")</f>
        <v>Woman shot 8 times in parking lot behind school</v>
      </c>
      <c r="Z1191" s="12" t="str">
        <f ca="1">IFERROR(__xludf.DUMMYFUNCTION("""COMPUTED_VALUE"""),"Woman shot 8 times in the parking lot of the school during afternoon classes. School went on lockdown. She was taken to the hospital in a private vehicle and died.")</f>
        <v>Woman shot 8 times in the parking lot of the school during afternoon classes. School went on lockdown. She was taken to the hospital in a private vehicle and died.</v>
      </c>
      <c r="AA1191" s="8"/>
      <c r="AB1191" s="8"/>
      <c r="AC1191" s="8" t="str">
        <f ca="1">IFERROR(__xludf.DUMMYFUNCTION("""COMPUTED_VALUE"""),"Yes")</f>
        <v>Yes</v>
      </c>
      <c r="AD1191" s="8" t="str">
        <f ca="1">IFERROR(__xludf.DUMMYFUNCTION("""COMPUTED_VALUE"""),"Victims Targeted")</f>
        <v>Victims Targeted</v>
      </c>
      <c r="AE1191" s="8" t="str">
        <f ca="1">IFERROR(__xludf.DUMMYFUNCTION("""COMPUTED_VALUE"""),"No")</f>
        <v>No</v>
      </c>
      <c r="AF1191" s="8"/>
      <c r="AG1191" s="8" t="str">
        <f ca="1">IFERROR(__xludf.DUMMYFUNCTION("""COMPUTED_VALUE"""),"No")</f>
        <v>No</v>
      </c>
      <c r="AH1191" s="8" t="str">
        <f ca="1">IFERROR(__xludf.DUMMYFUNCTION("""COMPUTED_VALUE"""),"No")</f>
        <v>No</v>
      </c>
      <c r="AI1191" s="8" t="str">
        <f ca="1">IFERROR(__xludf.DUMMYFUNCTION("""COMPUTED_VALUE"""),"No")</f>
        <v>No</v>
      </c>
      <c r="AJ1191" s="8" t="str">
        <f ca="1">IFERROR(__xludf.DUMMYFUNCTION("""COMPUTED_VALUE"""),"No")</f>
        <v>No</v>
      </c>
      <c r="AK1191" s="8"/>
      <c r="AL1191" s="8"/>
      <c r="AM1191" s="8" t="str">
        <f ca="1">IFERROR(__xludf.DUMMYFUNCTION("""COMPUTED_VALUE"""),"No")</f>
        <v>No</v>
      </c>
      <c r="AN1191" s="8"/>
      <c r="AO1191" s="8" t="str">
        <f ca="1">IFERROR(__xludf.DUMMYFUNCTION("""COMPUTED_VALUE"""),"No")</f>
        <v>No</v>
      </c>
      <c r="AP1191" s="8"/>
      <c r="AQ1191" s="8"/>
      <c r="AR1191" s="8" t="str">
        <f ca="1">IFERROR(__xludf.DUMMYFUNCTION("""COMPUTED_VALUE"""),"Outside/Off-Property")</f>
        <v>Outside/Off-Property</v>
      </c>
      <c r="AS1191" s="8">
        <f ca="1">IFERROR(__xludf.DUMMYFUNCTION("""COMPUTED_VALUE"""),8)</f>
        <v>8</v>
      </c>
      <c r="AT1191" s="8" t="str">
        <f ca="1">IFERROR(__xludf.DUMMYFUNCTION("""COMPUTED_VALUE"""),"Yes")</f>
        <v>Yes</v>
      </c>
      <c r="AU1191" s="8">
        <f ca="1">IFERROR(__xludf.DUMMYFUNCTION("""COMPUTED_VALUE"""),39.986543)</f>
        <v>39.986542999999998</v>
      </c>
      <c r="AV1191" s="8">
        <f ca="1">IFERROR(__xludf.DUMMYFUNCTION("""COMPUTED_VALUE"""),-75.174066)</f>
        <v>-75.174065999999996</v>
      </c>
      <c r="AW1191" s="8"/>
      <c r="AX1191" s="8">
        <f ca="1">IFERROR(__xludf.DUMMYFUNCTION("""COMPUTED_VALUE"""),19121)</f>
        <v>19121</v>
      </c>
    </row>
    <row r="1192" spans="1:50" ht="75" x14ac:dyDescent="0.2">
      <c r="A1192" s="8" t="str">
        <f ca="1">IFERROR(__xludf.DUMMYFUNCTION("""COMPUTED_VALUE"""),"20211201TXSAP")</f>
        <v>20211201TXSAP</v>
      </c>
      <c r="B1192" s="8">
        <f ca="1">IFERROR(__xludf.DUMMYFUNCTION("""COMPUTED_VALUE"""),12)</f>
        <v>12</v>
      </c>
      <c r="C1192" s="8">
        <f ca="1">IFERROR(__xludf.DUMMYFUNCTION("""COMPUTED_VALUE"""),1)</f>
        <v>1</v>
      </c>
      <c r="D1192" s="8">
        <f ca="1">IFERROR(__xludf.DUMMYFUNCTION("""COMPUTED_VALUE"""),2021)</f>
        <v>2021</v>
      </c>
      <c r="E1192" s="9">
        <f ca="1">IFERROR(__xludf.DUMMYFUNCTION("""COMPUTED_VALUE"""),44531)</f>
        <v>44531</v>
      </c>
      <c r="F1192" s="8" t="str">
        <f ca="1">IFERROR(__xludf.DUMMYFUNCTION("""COMPUTED_VALUE"""),"Sam Rayburn High School")</f>
        <v>Sam Rayburn High School</v>
      </c>
      <c r="G1192" s="8">
        <f ca="1">IFERROR(__xludf.DUMMYFUNCTION("""COMPUTED_VALUE"""),0)</f>
        <v>0</v>
      </c>
      <c r="H1192" s="8">
        <f ca="1">IFERROR(__xludf.DUMMYFUNCTION("""COMPUTED_VALUE"""),0)</f>
        <v>0</v>
      </c>
      <c r="I1192" s="8">
        <f ca="1">IFERROR(__xludf.DUMMYFUNCTION("""COMPUTED_VALUE"""),0)</f>
        <v>0</v>
      </c>
      <c r="J1192" s="8">
        <f ca="1">IFERROR(__xludf.DUMMYFUNCTION("""COMPUTED_VALUE"""),0)</f>
        <v>0</v>
      </c>
      <c r="K1192" s="10" t="str">
        <f ca="1">IFERROR(__xludf.DUMMYFUNCTION("""COMPUTED_VALUE"""),"https://www.khou.com/article/news/crime/armed-robbery-sam-rayburn-high-school/285-06becca9-eb0b-46ce-85e6-b710d108e7dc")</f>
        <v>https://www.khou.com/article/news/crime/armed-robbery-sam-rayburn-high-school/285-06becca9-eb0b-46ce-85e6-b710d108e7dc</v>
      </c>
      <c r="L1192" s="8"/>
      <c r="M1192" s="8" t="str">
        <f ca="1">IFERROR(__xludf.DUMMYFUNCTION("""COMPUTED_VALUE"""),"Local")</f>
        <v>Local</v>
      </c>
      <c r="N1192" s="8">
        <f ca="1">IFERROR(__xludf.DUMMYFUNCTION("""COMPUTED_VALUE"""),4)</f>
        <v>4</v>
      </c>
      <c r="O1192" s="8" t="str">
        <f ca="1">IFERROR(__xludf.DUMMYFUNCTION("""COMPUTED_VALUE"""),"Winter")</f>
        <v>Winter</v>
      </c>
      <c r="P1192" s="8" t="str">
        <f ca="1">IFERROR(__xludf.DUMMYFUNCTION("""COMPUTED_VALUE"""),"Pasadena")</f>
        <v>Pasadena</v>
      </c>
      <c r="Q1192" s="8" t="str">
        <f ca="1">IFERROR(__xludf.DUMMYFUNCTION("""COMPUTED_VALUE"""),"TX")</f>
        <v>TX</v>
      </c>
      <c r="R1192" s="8" t="str">
        <f ca="1">IFERROR(__xludf.DUMMYFUNCTION("""COMPUTED_VALUE"""),"High")</f>
        <v>High</v>
      </c>
      <c r="S1192" s="8" t="str">
        <f ca="1">IFERROR(__xludf.DUMMYFUNCTION("""COMPUTED_VALUE"""),"Football Field/Track")</f>
        <v>Football Field/Track</v>
      </c>
      <c r="T1192" s="8" t="str">
        <f ca="1">IFERROR(__xludf.DUMMYFUNCTION("""COMPUTED_VALUE"""),"Outside on School Property")</f>
        <v>Outside on School Property</v>
      </c>
      <c r="U1192" s="8" t="str">
        <f ca="1">IFERROR(__xludf.DUMMYFUNCTION("""COMPUTED_VALUE"""),"Yes")</f>
        <v>Yes</v>
      </c>
      <c r="V1192" s="8" t="str">
        <f ca="1">IFERROR(__xludf.DUMMYFUNCTION("""COMPUTED_VALUE"""),"Morning Classes")</f>
        <v>Morning Classes</v>
      </c>
      <c r="W1192" s="11">
        <f ca="1">IFERROR(__xludf.DUMMYFUNCTION("""COMPUTED_VALUE"""),0.458333333333333)</f>
        <v>0.45833333333333298</v>
      </c>
      <c r="X1192" s="8">
        <f ca="1">IFERROR(__xludf.DUMMYFUNCTION("""COMPUTED_VALUE"""),1)</f>
        <v>1</v>
      </c>
      <c r="Y1192" s="12" t="str">
        <f ca="1">IFERROR(__xludf.DUMMYFUNCTION("""COMPUTED_VALUE"""),"Adult man robbed student at gunpoint and fired shot on the athletic field")</f>
        <v>Adult man robbed student at gunpoint and fired shot on the athletic field</v>
      </c>
      <c r="Z1192" s="12" t="str">
        <f ca="1">IFERROR(__xludf.DUMMYFUNCTION("""COMPUTED_VALUE"""),"21-year-old male robbed a student at gunpoint during morning classes on the athletic field of the school. The shooter demanded the student's phone and when the student refused, he fired one shot. SRO responded, arrested the shooter, and recovered the phon"&amp;"e.")</f>
        <v>21-year-old male robbed a student at gunpoint during morning classes on the athletic field of the school. The shooter demanded the student's phone and when the student refused, he fired one shot. SRO responded, arrested the shooter, and recovered the phone.</v>
      </c>
      <c r="AA1192" s="8" t="str">
        <f ca="1">IFERROR(__xludf.DUMMYFUNCTION("""COMPUTED_VALUE"""),"Illegal Activity")</f>
        <v>Illegal Activity</v>
      </c>
      <c r="AB1192" s="8"/>
      <c r="AC1192" s="8" t="str">
        <f ca="1">IFERROR(__xludf.DUMMYFUNCTION("""COMPUTED_VALUE"""),"Yes")</f>
        <v>Yes</v>
      </c>
      <c r="AD1192" s="8" t="str">
        <f ca="1">IFERROR(__xludf.DUMMYFUNCTION("""COMPUTED_VALUE"""),"Victims Targeted")</f>
        <v>Victims Targeted</v>
      </c>
      <c r="AE1192" s="8" t="str">
        <f ca="1">IFERROR(__xludf.DUMMYFUNCTION("""COMPUTED_VALUE"""),"No")</f>
        <v>No</v>
      </c>
      <c r="AF1192" s="8"/>
      <c r="AG1192" s="8" t="str">
        <f ca="1">IFERROR(__xludf.DUMMYFUNCTION("""COMPUTED_VALUE"""),"No")</f>
        <v>No</v>
      </c>
      <c r="AH1192" s="8" t="str">
        <f ca="1">IFERROR(__xludf.DUMMYFUNCTION("""COMPUTED_VALUE"""),"No")</f>
        <v>No</v>
      </c>
      <c r="AI1192" s="8" t="str">
        <f ca="1">IFERROR(__xludf.DUMMYFUNCTION("""COMPUTED_VALUE"""),"No")</f>
        <v>No</v>
      </c>
      <c r="AJ1192" s="8" t="str">
        <f ca="1">IFERROR(__xludf.DUMMYFUNCTION("""COMPUTED_VALUE"""),"No")</f>
        <v>No</v>
      </c>
      <c r="AK1192" s="8" t="str">
        <f ca="1">IFERROR(__xludf.DUMMYFUNCTION("""COMPUTED_VALUE"""),"No")</f>
        <v>No</v>
      </c>
      <c r="AL1192" s="8" t="str">
        <f ca="1">IFERROR(__xludf.DUMMYFUNCTION("""COMPUTED_VALUE"""),"No")</f>
        <v>No</v>
      </c>
      <c r="AM1192" s="8" t="str">
        <f ca="1">IFERROR(__xludf.DUMMYFUNCTION("""COMPUTED_VALUE"""),"No")</f>
        <v>No</v>
      </c>
      <c r="AN1192" s="8"/>
      <c r="AO1192" s="8" t="str">
        <f ca="1">IFERROR(__xludf.DUMMYFUNCTION("""COMPUTED_VALUE"""),"No")</f>
        <v>No</v>
      </c>
      <c r="AP1192" s="8" t="str">
        <f ca="1">IFERROR(__xludf.DUMMYFUNCTION("""COMPUTED_VALUE"""),"Yes")</f>
        <v>Yes</v>
      </c>
      <c r="AQ1192" s="8"/>
      <c r="AR1192" s="8" t="str">
        <f ca="1">IFERROR(__xludf.DUMMYFUNCTION("""COMPUTED_VALUE"""),"Outside/Off-Property")</f>
        <v>Outside/Off-Property</v>
      </c>
      <c r="AS1192" s="8">
        <f ca="1">IFERROR(__xludf.DUMMYFUNCTION("""COMPUTED_VALUE"""),1)</f>
        <v>1</v>
      </c>
      <c r="AT1192" s="8" t="str">
        <f ca="1">IFERROR(__xludf.DUMMYFUNCTION("""COMPUTED_VALUE"""),"No")</f>
        <v>No</v>
      </c>
      <c r="AU1192" s="8">
        <f ca="1">IFERROR(__xludf.DUMMYFUNCTION("""COMPUTED_VALUE"""),29.677671)</f>
        <v>29.677671</v>
      </c>
      <c r="AV1192" s="8">
        <f ca="1">IFERROR(__xludf.DUMMYFUNCTION("""COMPUTED_VALUE"""),-95.180648)</f>
        <v>-95.180648000000005</v>
      </c>
      <c r="AW1192" s="8"/>
      <c r="AX1192" s="8">
        <f ca="1">IFERROR(__xludf.DUMMYFUNCTION("""COMPUTED_VALUE"""),77502)</f>
        <v>77502</v>
      </c>
    </row>
    <row r="1193" spans="1:50" ht="105" x14ac:dyDescent="0.2">
      <c r="A1193" s="8" t="str">
        <f ca="1">IFERROR(__xludf.DUMMYFUNCTION("""COMPUTED_VALUE"""),"20211130TNHUH")</f>
        <v>20211130TNHUH</v>
      </c>
      <c r="B1193" s="8">
        <f ca="1">IFERROR(__xludf.DUMMYFUNCTION("""COMPUTED_VALUE"""),11)</f>
        <v>11</v>
      </c>
      <c r="C1193" s="8">
        <f ca="1">IFERROR(__xludf.DUMMYFUNCTION("""COMPUTED_VALUE"""),30)</f>
        <v>30</v>
      </c>
      <c r="D1193" s="8">
        <f ca="1">IFERROR(__xludf.DUMMYFUNCTION("""COMPUTED_VALUE"""),2021)</f>
        <v>2021</v>
      </c>
      <c r="E1193" s="9">
        <f ca="1">IFERROR(__xludf.DUMMYFUNCTION("""COMPUTED_VALUE"""),44530)</f>
        <v>44530</v>
      </c>
      <c r="F1193" s="8" t="str">
        <f ca="1">IFERROR(__xludf.DUMMYFUNCTION("""COMPUTED_VALUE"""),"Humboldt High School")</f>
        <v>Humboldt High School</v>
      </c>
      <c r="G1193" s="8">
        <f ca="1">IFERROR(__xludf.DUMMYFUNCTION("""COMPUTED_VALUE"""),1)</f>
        <v>1</v>
      </c>
      <c r="H1193" s="8">
        <f ca="1">IFERROR(__xludf.DUMMYFUNCTION("""COMPUTED_VALUE"""),2)</f>
        <v>2</v>
      </c>
      <c r="I1193" s="8">
        <f ca="1">IFERROR(__xludf.DUMMYFUNCTION("""COMPUTED_VALUE"""),3)</f>
        <v>3</v>
      </c>
      <c r="J1193" s="8">
        <f ca="1">IFERROR(__xludf.DUMMYFUNCTION("""COMPUTED_VALUE"""),0)</f>
        <v>0</v>
      </c>
      <c r="K1193" s="8" t="str">
        <f ca="1">IFERROR(__xludf.DUMMYFUNCTION("""COMPUTED_VALUE"""),"https://www.fox13memphis.com/news/local/man-shot-killed-during-basketball-game-tennessee-high-school-officials-say/6Y22I3RS5FEETA5UJ52IHUYEV4/ https://abcnews.go.com/Sports/wireStory/teen-charged-shooting-high-school-basketball-game-81516044 https://www.n"&amp;"ewschannel5.com/news/1-killed-in-shooting-after-high-school-basketball-games-in-humboldt")</f>
        <v>https://www.fox13memphis.com/news/local/man-shot-killed-during-basketball-game-tennessee-high-school-officials-say/6Y22I3RS5FEETA5UJ52IHUYEV4/ https://abcnews.go.com/Sports/wireStory/teen-charged-shooting-high-school-basketball-game-81516044 https://www.newschannel5.com/news/1-killed-in-shooting-after-high-school-basketball-games-in-humboldt</v>
      </c>
      <c r="L1193" s="8">
        <f ca="1">IFERROR(__xludf.DUMMYFUNCTION("""COMPUTED_VALUE"""),5)</f>
        <v>5</v>
      </c>
      <c r="M1193" s="8" t="str">
        <f ca="1">IFERROR(__xludf.DUMMYFUNCTION("""COMPUTED_VALUE"""),"Regional")</f>
        <v>Regional</v>
      </c>
      <c r="N1193" s="8">
        <f ca="1">IFERROR(__xludf.DUMMYFUNCTION("""COMPUTED_VALUE"""),4)</f>
        <v>4</v>
      </c>
      <c r="O1193" s="8" t="str">
        <f ca="1">IFERROR(__xludf.DUMMYFUNCTION("""COMPUTED_VALUE"""),"Fall")</f>
        <v>Fall</v>
      </c>
      <c r="P1193" s="8" t="str">
        <f ca="1">IFERROR(__xludf.DUMMYFUNCTION("""COMPUTED_VALUE"""),"Humboldt")</f>
        <v>Humboldt</v>
      </c>
      <c r="Q1193" s="8" t="str">
        <f ca="1">IFERROR(__xludf.DUMMYFUNCTION("""COMPUTED_VALUE"""),"TN")</f>
        <v>TN</v>
      </c>
      <c r="R1193" s="8" t="str">
        <f ca="1">IFERROR(__xludf.DUMMYFUNCTION("""COMPUTED_VALUE"""),"High")</f>
        <v>High</v>
      </c>
      <c r="S1193" s="8" t="str">
        <f ca="1">IFERROR(__xludf.DUMMYFUNCTION("""COMPUTED_VALUE"""),"Gym")</f>
        <v>Gym</v>
      </c>
      <c r="T1193" s="8" t="str">
        <f ca="1">IFERROR(__xludf.DUMMYFUNCTION("""COMPUTED_VALUE"""),"Inside School Building")</f>
        <v>Inside School Building</v>
      </c>
      <c r="U1193" s="8" t="str">
        <f ca="1">IFERROR(__xludf.DUMMYFUNCTION("""COMPUTED_VALUE"""),"No")</f>
        <v>No</v>
      </c>
      <c r="V1193" s="8" t="str">
        <f ca="1">IFERROR(__xludf.DUMMYFUNCTION("""COMPUTED_VALUE"""),"Sport Event")</f>
        <v>Sport Event</v>
      </c>
      <c r="W1193" s="11">
        <f ca="1">IFERROR(__xludf.DUMMYFUNCTION("""COMPUTED_VALUE"""),0.854166666666666)</f>
        <v>0.85416666666666596</v>
      </c>
      <c r="X1193" s="8">
        <f ca="1">IFERROR(__xludf.DUMMYFUNCTION("""COMPUTED_VALUE"""),1)</f>
        <v>1</v>
      </c>
      <c r="Y1193" s="12" t="str">
        <f ca="1">IFERROR(__xludf.DUMMYFUNCTION("""COMPUTED_VALUE"""),"3 people shot during high school basketball game")</f>
        <v>3 people shot during high school basketball game</v>
      </c>
      <c r="Z1193" s="12" t="str">
        <f ca="1">IFERROR(__xludf.DUMMYFUNCTION("""COMPUTED_VALUE"""),"Following an altercation, an 18-year-old male fired shot during a high school basketball game. An SRO responded and secured the scene. A 21-year-old male died at the scene. An 18-year-old male was transported in critical condition. Another person was trea"&amp;"ted and released. Shooter fled and turn himself in to police with his attorney the following day.")</f>
        <v>Following an altercation, an 18-year-old male fired shot during a high school basketball game. An SRO responded and secured the scene. A 21-year-old male died at the scene. An 18-year-old male was transported in critical condition. Another person was treated and released. Shooter fled and turn himself in to police with his attorney the following day.</v>
      </c>
      <c r="AA1193" s="8" t="str">
        <f ca="1">IFERROR(__xludf.DUMMYFUNCTION("""COMPUTED_VALUE"""),"Escalation of Dispute")</f>
        <v>Escalation of Dispute</v>
      </c>
      <c r="AB1193" s="8"/>
      <c r="AC1193" s="8" t="str">
        <f ca="1">IFERROR(__xludf.DUMMYFUNCTION("""COMPUTED_VALUE"""),"Yes")</f>
        <v>Yes</v>
      </c>
      <c r="AD1193" s="8" t="str">
        <f ca="1">IFERROR(__xludf.DUMMYFUNCTION("""COMPUTED_VALUE"""),"Both")</f>
        <v>Both</v>
      </c>
      <c r="AE1193" s="8" t="str">
        <f ca="1">IFERROR(__xludf.DUMMYFUNCTION("""COMPUTED_VALUE"""),"No")</f>
        <v>No</v>
      </c>
      <c r="AF1193" s="8"/>
      <c r="AG1193" s="8" t="str">
        <f ca="1">IFERROR(__xludf.DUMMYFUNCTION("""COMPUTED_VALUE"""),"No")</f>
        <v>No</v>
      </c>
      <c r="AH1193" s="8" t="str">
        <f ca="1">IFERROR(__xludf.DUMMYFUNCTION("""COMPUTED_VALUE"""),"No")</f>
        <v>No</v>
      </c>
      <c r="AI1193" s="8" t="str">
        <f ca="1">IFERROR(__xludf.DUMMYFUNCTION("""COMPUTED_VALUE"""),"No")</f>
        <v>No</v>
      </c>
      <c r="AJ1193" s="8" t="str">
        <f ca="1">IFERROR(__xludf.DUMMYFUNCTION("""COMPUTED_VALUE"""),"No")</f>
        <v>No</v>
      </c>
      <c r="AK1193" s="8" t="str">
        <f ca="1">IFERROR(__xludf.DUMMYFUNCTION("""COMPUTED_VALUE"""),"No")</f>
        <v>No</v>
      </c>
      <c r="AL1193" s="8"/>
      <c r="AM1193" s="8" t="str">
        <f ca="1">IFERROR(__xludf.DUMMYFUNCTION("""COMPUTED_VALUE"""),"No")</f>
        <v>No</v>
      </c>
      <c r="AN1193" s="8"/>
      <c r="AO1193" s="8" t="str">
        <f ca="1">IFERROR(__xludf.DUMMYFUNCTION("""COMPUTED_VALUE"""),"No")</f>
        <v>No</v>
      </c>
      <c r="AP1193" s="8" t="str">
        <f ca="1">IFERROR(__xludf.DUMMYFUNCTION("""COMPUTED_VALUE"""),"Yes")</f>
        <v>Yes</v>
      </c>
      <c r="AQ1193" s="8" t="str">
        <f ca="1">IFERROR(__xludf.DUMMYFUNCTION("""COMPUTED_VALUE"""),"Armed Guards")</f>
        <v>Armed Guards</v>
      </c>
      <c r="AR1193" s="8" t="str">
        <f ca="1">IFERROR(__xludf.DUMMYFUNCTION("""COMPUTED_VALUE"""),"Failed")</f>
        <v>Failed</v>
      </c>
      <c r="AS1193" s="8"/>
      <c r="AT1193" s="8" t="str">
        <f ca="1">IFERROR(__xludf.DUMMYFUNCTION("""COMPUTED_VALUE"""),"No")</f>
        <v>No</v>
      </c>
      <c r="AU1193" s="8">
        <f ca="1">IFERROR(__xludf.DUMMYFUNCTION("""COMPUTED_VALUE"""),35.840298)</f>
        <v>35.840297999999997</v>
      </c>
      <c r="AV1193" s="8">
        <f ca="1">IFERROR(__xludf.DUMMYFUNCTION("""COMPUTED_VALUE"""),-88.906644)</f>
        <v>-88.906644</v>
      </c>
      <c r="AW1193" s="8"/>
      <c r="AX1193" s="8">
        <f ca="1">IFERROR(__xludf.DUMMYFUNCTION("""COMPUTED_VALUE"""),38343)</f>
        <v>38343</v>
      </c>
    </row>
    <row r="1194" spans="1:50" ht="75" x14ac:dyDescent="0.2">
      <c r="A1194" s="8" t="str">
        <f ca="1">IFERROR(__xludf.DUMMYFUNCTION("""COMPUTED_VALUE"""),"20211130OHWHW")</f>
        <v>20211130OHWHW</v>
      </c>
      <c r="B1194" s="8">
        <f ca="1">IFERROR(__xludf.DUMMYFUNCTION("""COMPUTED_VALUE"""),11)</f>
        <v>11</v>
      </c>
      <c r="C1194" s="8">
        <f ca="1">IFERROR(__xludf.DUMMYFUNCTION("""COMPUTED_VALUE"""),30)</f>
        <v>30</v>
      </c>
      <c r="D1194" s="8">
        <f ca="1">IFERROR(__xludf.DUMMYFUNCTION("""COMPUTED_VALUE"""),2021)</f>
        <v>2021</v>
      </c>
      <c r="E1194" s="9">
        <f ca="1">IFERROR(__xludf.DUMMYFUNCTION("""COMPUTED_VALUE"""),44530)</f>
        <v>44530</v>
      </c>
      <c r="F1194" s="8" t="str">
        <f ca="1">IFERROR(__xludf.DUMMYFUNCTION("""COMPUTED_VALUE"""),"Whitehall Yearling High School")</f>
        <v>Whitehall Yearling High School</v>
      </c>
      <c r="G1194" s="8">
        <f ca="1">IFERROR(__xludf.DUMMYFUNCTION("""COMPUTED_VALUE"""),0)</f>
        <v>0</v>
      </c>
      <c r="H1194" s="8">
        <f ca="1">IFERROR(__xludf.DUMMYFUNCTION("""COMPUTED_VALUE"""),0)</f>
        <v>0</v>
      </c>
      <c r="I1194" s="8">
        <f ca="1">IFERROR(__xludf.DUMMYFUNCTION("""COMPUTED_VALUE"""),0)</f>
        <v>0</v>
      </c>
      <c r="J1194" s="8">
        <f ca="1">IFERROR(__xludf.DUMMYFUNCTION("""COMPUTED_VALUE"""),0)</f>
        <v>0</v>
      </c>
      <c r="K1194" s="8" t="str">
        <f ca="1">IFERROR(__xludf.DUMMYFUNCTION("""COMPUTED_VALUE"""),"https://www.10tv.com/article/news/local/18-year-old-accidentally-shoots-self-playing-with-gun-outside-whitehall-high-school/530-5948f34e-ad8a-4941-979f-6e34ddc9a573 https://abc6onyourside.com/news/local/18-year-old-injured-after-accidentally-shooting-hims"&amp;"elf-outside-whitehall-high-school-11-30-2021")</f>
        <v>https://www.10tv.com/article/news/local/18-year-old-accidentally-shoots-self-playing-with-gun-outside-whitehall-high-school/530-5948f34e-ad8a-4941-979f-6e34ddc9a573 https://abc6onyourside.com/news/local/18-year-old-injured-after-accidentally-shooting-himself-outside-whitehall-high-school-11-30-2021</v>
      </c>
      <c r="L1194" s="8">
        <f ca="1">IFERROR(__xludf.DUMMYFUNCTION("""COMPUTED_VALUE"""),2)</f>
        <v>2</v>
      </c>
      <c r="M1194" s="8" t="str">
        <f ca="1">IFERROR(__xludf.DUMMYFUNCTION("""COMPUTED_VALUE"""),"Local")</f>
        <v>Local</v>
      </c>
      <c r="N1194" s="8">
        <f ca="1">IFERROR(__xludf.DUMMYFUNCTION("""COMPUTED_VALUE"""),4)</f>
        <v>4</v>
      </c>
      <c r="O1194" s="8" t="str">
        <f ca="1">IFERROR(__xludf.DUMMYFUNCTION("""COMPUTED_VALUE"""),"Fall")</f>
        <v>Fall</v>
      </c>
      <c r="P1194" s="8" t="str">
        <f ca="1">IFERROR(__xludf.DUMMYFUNCTION("""COMPUTED_VALUE"""),"Whitehall")</f>
        <v>Whitehall</v>
      </c>
      <c r="Q1194" s="8" t="str">
        <f ca="1">IFERROR(__xludf.DUMMYFUNCTION("""COMPUTED_VALUE"""),"OH")</f>
        <v>OH</v>
      </c>
      <c r="R1194" s="8" t="str">
        <f ca="1">IFERROR(__xludf.DUMMYFUNCTION("""COMPUTED_VALUE"""),"High")</f>
        <v>High</v>
      </c>
      <c r="S1194" s="8" t="str">
        <f ca="1">IFERROR(__xludf.DUMMYFUNCTION("""COMPUTED_VALUE"""),"Parking Lot")</f>
        <v>Parking Lot</v>
      </c>
      <c r="T1194" s="8" t="str">
        <f ca="1">IFERROR(__xludf.DUMMYFUNCTION("""COMPUTED_VALUE"""),"Outside on School Property")</f>
        <v>Outside on School Property</v>
      </c>
      <c r="U1194" s="8" t="str">
        <f ca="1">IFERROR(__xludf.DUMMYFUNCTION("""COMPUTED_VALUE"""),"No")</f>
        <v>No</v>
      </c>
      <c r="V1194" s="8" t="str">
        <f ca="1">IFERROR(__xludf.DUMMYFUNCTION("""COMPUTED_VALUE"""),"Evening")</f>
        <v>Evening</v>
      </c>
      <c r="W1194" s="11">
        <f ca="1">IFERROR(__xludf.DUMMYFUNCTION("""COMPUTED_VALUE"""),0.75)</f>
        <v>0.75</v>
      </c>
      <c r="X1194" s="8">
        <f ca="1">IFERROR(__xludf.DUMMYFUNCTION("""COMPUTED_VALUE"""),1)</f>
        <v>1</v>
      </c>
      <c r="Y1194" s="12" t="str">
        <f ca="1">IFERROR(__xludf.DUMMYFUNCTION("""COMPUTED_VALUE"""),"Teen shot himself while engaged in horseplay with two other teens")</f>
        <v>Teen shot himself while engaged in horseplay with two other teens</v>
      </c>
      <c r="Z1194" s="12" t="str">
        <f ca="1">IFERROR(__xludf.DUMMYFUNCTION("""COMPUTED_VALUE"""),"An 18-year-old male shot himself in the leg while ""engaged in horseplay"" with a 13-year-old and 16-year-old. Shooting occurred in a school parking lot near the football field. Victim asked one of the other teens to hide the gun and claim the situation w"&amp;"as a robbery.")</f>
        <v>An 18-year-old male shot himself in the leg while "engaged in horseplay" with a 13-year-old and 16-year-old. Shooting occurred in a school parking lot near the football field. Victim asked one of the other teens to hide the gun and claim the situation was a robbery.</v>
      </c>
      <c r="AA1194" s="8" t="str">
        <f ca="1">IFERROR(__xludf.DUMMYFUNCTION("""COMPUTED_VALUE"""),"Accidental")</f>
        <v>Accidental</v>
      </c>
      <c r="AB1194" s="8"/>
      <c r="AC1194" s="8" t="str">
        <f ca="1">IFERROR(__xludf.DUMMYFUNCTION("""COMPUTED_VALUE"""),"Yes")</f>
        <v>Yes</v>
      </c>
      <c r="AD1194" s="8" t="str">
        <f ca="1">IFERROR(__xludf.DUMMYFUNCTION("""COMPUTED_VALUE"""),"Neither")</f>
        <v>Neither</v>
      </c>
      <c r="AE1194" s="8" t="str">
        <f ca="1">IFERROR(__xludf.DUMMYFUNCTION("""COMPUTED_VALUE"""),"Yes")</f>
        <v>Yes</v>
      </c>
      <c r="AF1194" s="8" t="str">
        <f ca="1">IFERROR(__xludf.DUMMYFUNCTION("""COMPUTED_VALUE"""),"Asked other teen to hide gun")</f>
        <v>Asked other teen to hide gun</v>
      </c>
      <c r="AG1194" s="8" t="str">
        <f ca="1">IFERROR(__xludf.DUMMYFUNCTION("""COMPUTED_VALUE"""),"No")</f>
        <v>No</v>
      </c>
      <c r="AH1194" s="8" t="str">
        <f ca="1">IFERROR(__xludf.DUMMYFUNCTION("""COMPUTED_VALUE"""),"No")</f>
        <v>No</v>
      </c>
      <c r="AI1194" s="8" t="str">
        <f ca="1">IFERROR(__xludf.DUMMYFUNCTION("""COMPUTED_VALUE"""),"No")</f>
        <v>No</v>
      </c>
      <c r="AJ1194" s="8" t="str">
        <f ca="1">IFERROR(__xludf.DUMMYFUNCTION("""COMPUTED_VALUE"""),"No")</f>
        <v>No</v>
      </c>
      <c r="AK1194" s="8" t="str">
        <f ca="1">IFERROR(__xludf.DUMMYFUNCTION("""COMPUTED_VALUE"""),"No")</f>
        <v>No</v>
      </c>
      <c r="AL1194" s="8" t="str">
        <f ca="1">IFERROR(__xludf.DUMMYFUNCTION("""COMPUTED_VALUE"""),"No")</f>
        <v>No</v>
      </c>
      <c r="AM1194" s="8" t="str">
        <f ca="1">IFERROR(__xludf.DUMMYFUNCTION("""COMPUTED_VALUE"""),"No")</f>
        <v>No</v>
      </c>
      <c r="AN1194" s="8"/>
      <c r="AO1194" s="8" t="str">
        <f ca="1">IFERROR(__xludf.DUMMYFUNCTION("""COMPUTED_VALUE"""),"No")</f>
        <v>No</v>
      </c>
      <c r="AP1194" s="8"/>
      <c r="AQ1194" s="8"/>
      <c r="AR1194" s="8" t="str">
        <f ca="1">IFERROR(__xludf.DUMMYFUNCTION("""COMPUTED_VALUE"""),"Outside/Off-Property")</f>
        <v>Outside/Off-Property</v>
      </c>
      <c r="AS1194" s="8">
        <f ca="1">IFERROR(__xludf.DUMMYFUNCTION("""COMPUTED_VALUE"""),1)</f>
        <v>1</v>
      </c>
      <c r="AT1194" s="8"/>
      <c r="AU1194" s="8">
        <f ca="1">IFERROR(__xludf.DUMMYFUNCTION("""COMPUTED_VALUE"""),39.960061)</f>
        <v>39.960061000000003</v>
      </c>
      <c r="AV1194" s="8">
        <f ca="1">IFERROR(__xludf.DUMMYFUNCTION("""COMPUTED_VALUE"""),-82.886586)</f>
        <v>-82.886585999999994</v>
      </c>
      <c r="AW1194" s="8"/>
      <c r="AX1194" s="8">
        <f ca="1">IFERROR(__xludf.DUMMYFUNCTION("""COMPUTED_VALUE"""),43227)</f>
        <v>43227</v>
      </c>
    </row>
    <row r="1195" spans="1:50" ht="75" x14ac:dyDescent="0.2">
      <c r="A1195" s="8" t="str">
        <f ca="1">IFERROR(__xludf.DUMMYFUNCTION("""COMPUTED_VALUE"""),"20211130MIOXO")</f>
        <v>20211130MIOXO</v>
      </c>
      <c r="B1195" s="8">
        <f ca="1">IFERROR(__xludf.DUMMYFUNCTION("""COMPUTED_VALUE"""),11)</f>
        <v>11</v>
      </c>
      <c r="C1195" s="8">
        <f ca="1">IFERROR(__xludf.DUMMYFUNCTION("""COMPUTED_VALUE"""),30)</f>
        <v>30</v>
      </c>
      <c r="D1195" s="8">
        <f ca="1">IFERROR(__xludf.DUMMYFUNCTION("""COMPUTED_VALUE"""),2021)</f>
        <v>2021</v>
      </c>
      <c r="E1195" s="9">
        <f ca="1">IFERROR(__xludf.DUMMYFUNCTION("""COMPUTED_VALUE"""),44530)</f>
        <v>44530</v>
      </c>
      <c r="F1195" s="8" t="str">
        <f ca="1">IFERROR(__xludf.DUMMYFUNCTION("""COMPUTED_VALUE"""),"Oxford High School")</f>
        <v>Oxford High School</v>
      </c>
      <c r="G1195" s="8">
        <f ca="1">IFERROR(__xludf.DUMMYFUNCTION("""COMPUTED_VALUE"""),4)</f>
        <v>4</v>
      </c>
      <c r="H1195" s="8">
        <f ca="1">IFERROR(__xludf.DUMMYFUNCTION("""COMPUTED_VALUE"""),7)</f>
        <v>7</v>
      </c>
      <c r="I1195" s="8">
        <f ca="1">IFERROR(__xludf.DUMMYFUNCTION("""COMPUTED_VALUE"""),11)</f>
        <v>11</v>
      </c>
      <c r="J1195" s="8">
        <f ca="1">IFERROR(__xludf.DUMMYFUNCTION("""COMPUTED_VALUE"""),0)</f>
        <v>0</v>
      </c>
      <c r="K1195" s="10" t="str">
        <f ca="1">IFERROR(__xludf.DUMMYFUNCTION("""COMPUTED_VALUE"""),"https://www.cnn.com/2021/12/04/us/michigan-oxford-high-school-shooting-timeline/index.html
https://www.fox2detroit.com/news/ethan-crumbley-journal-search-history-oxford-high-school-shooting
https://www.freep.com/story/news/local/michigan/oakland/2021/11/3"&amp;"0/oxford-high-school-shooting-suspect-used-gun-dad-bought/8817406002/ https://www.cnn.com/2021/11/30/us/michigan-oxford-high-school-incident/index.html https://www.nytimes.com/live/2021/11/30/us/school-shooting-michigan")</f>
        <v>https://www.cnn.com/2021/12/04/us/michigan-oxford-high-school-shooting-timeline/index.html
https://www.fox2detroit.com/news/ethan-crumbley-journal-search-history-oxford-high-school-shooting
https://www.freep.com/story/news/local/michigan/oakland/2021/11/30/oxford-high-school-shooting-suspect-used-gun-dad-bought/8817406002/ https://www.cnn.com/2021/11/30/us/michigan-oxford-high-school-incident/index.html https://www.nytimes.com/live/2021/11/30/us/school-shooting-michigan</v>
      </c>
      <c r="L1195" s="8">
        <f ca="1">IFERROR(__xludf.DUMMYFUNCTION("""COMPUTED_VALUE"""),999)</f>
        <v>999</v>
      </c>
      <c r="M1195" s="8" t="str">
        <f ca="1">IFERROR(__xludf.DUMMYFUNCTION("""COMPUTED_VALUE"""),"International")</f>
        <v>International</v>
      </c>
      <c r="N1195" s="8">
        <f ca="1">IFERROR(__xludf.DUMMYFUNCTION("""COMPUTED_VALUE"""),4)</f>
        <v>4</v>
      </c>
      <c r="O1195" s="8" t="str">
        <f ca="1">IFERROR(__xludf.DUMMYFUNCTION("""COMPUTED_VALUE"""),"Fall")</f>
        <v>Fall</v>
      </c>
      <c r="P1195" s="8" t="str">
        <f ca="1">IFERROR(__xludf.DUMMYFUNCTION("""COMPUTED_VALUE"""),"Oxford")</f>
        <v>Oxford</v>
      </c>
      <c r="Q1195" s="8" t="str">
        <f ca="1">IFERROR(__xludf.DUMMYFUNCTION("""COMPUTED_VALUE"""),"MI")</f>
        <v>MI</v>
      </c>
      <c r="R1195" s="8" t="str">
        <f ca="1">IFERROR(__xludf.DUMMYFUNCTION("""COMPUTED_VALUE"""),"High")</f>
        <v>High</v>
      </c>
      <c r="S1195" s="8" t="str">
        <f ca="1">IFERROR(__xludf.DUMMYFUNCTION("""COMPUTED_VALUE"""),"Inside School Building")</f>
        <v>Inside School Building</v>
      </c>
      <c r="T1195" s="8" t="str">
        <f ca="1">IFERROR(__xludf.DUMMYFUNCTION("""COMPUTED_VALUE"""),"Inside School Building")</f>
        <v>Inside School Building</v>
      </c>
      <c r="U1195" s="8" t="str">
        <f ca="1">IFERROR(__xludf.DUMMYFUNCTION("""COMPUTED_VALUE"""),"Yes")</f>
        <v>Yes</v>
      </c>
      <c r="V1195" s="8" t="str">
        <f ca="1">IFERROR(__xludf.DUMMYFUNCTION("""COMPUTED_VALUE"""),"Afternoon Classes")</f>
        <v>Afternoon Classes</v>
      </c>
      <c r="W1195" s="11">
        <f ca="1">IFERROR(__xludf.DUMMYFUNCTION("""COMPUTED_VALUE"""),0.535416666666666)</f>
        <v>0.53541666666666599</v>
      </c>
      <c r="X1195" s="8">
        <f ca="1">IFERROR(__xludf.DUMMYFUNCTION("""COMPUTED_VALUE"""),10)</f>
        <v>10</v>
      </c>
      <c r="Y1195" s="12" t="str">
        <f ca="1">IFERROR(__xludf.DUMMYFUNCTION("""COMPUTED_VALUE"""),"11 students shot during planned attack at school")</f>
        <v>11 students shot during planned attack at school</v>
      </c>
      <c r="Z1195" s="12" t="str">
        <f ca="1">IFERROR(__xludf.DUMMYFUNCTION("""COMPUTED_VALUE"""),"A 15-year-old male student fired 15-20 shots inside the high school killing 4 students, and injuring 6 students and 1 teacher. School went on lockdown and students barricaded classroom doors. Shooter was was not injured and was arrested by police after ex"&amp;"iting bathroom.")</f>
        <v>A 15-year-old male student fired 15-20 shots inside the high school killing 4 students, and injuring 6 students and 1 teacher. School went on lockdown and students barricaded classroom doors. Shooter was was not injured and was arrested by police after exiting bathroom.</v>
      </c>
      <c r="AA1195" s="8" t="str">
        <f ca="1">IFERROR(__xludf.DUMMYFUNCTION("""COMPUTED_VALUE"""),"Indiscriminate Shooting")</f>
        <v>Indiscriminate Shooting</v>
      </c>
      <c r="AB1195" s="8"/>
      <c r="AC1195" s="8" t="str">
        <f ca="1">IFERROR(__xludf.DUMMYFUNCTION("""COMPUTED_VALUE"""),"Yes")</f>
        <v>Yes</v>
      </c>
      <c r="AD1195" s="8" t="str">
        <f ca="1">IFERROR(__xludf.DUMMYFUNCTION("""COMPUTED_VALUE"""),"Both")</f>
        <v>Both</v>
      </c>
      <c r="AE1195" s="8" t="str">
        <f ca="1">IFERROR(__xludf.DUMMYFUNCTION("""COMPUTED_VALUE"""),"No")</f>
        <v>No</v>
      </c>
      <c r="AF1195" s="8"/>
      <c r="AG1195" s="8" t="str">
        <f ca="1">IFERROR(__xludf.DUMMYFUNCTION("""COMPUTED_VALUE"""),"No")</f>
        <v>No</v>
      </c>
      <c r="AH1195" s="8" t="str">
        <f ca="1">IFERROR(__xludf.DUMMYFUNCTION("""COMPUTED_VALUE"""),"No")</f>
        <v>No</v>
      </c>
      <c r="AI1195" s="8" t="str">
        <f ca="1">IFERROR(__xludf.DUMMYFUNCTION("""COMPUTED_VALUE"""),"No")</f>
        <v>No</v>
      </c>
      <c r="AJ1195" s="8"/>
      <c r="AK1195" s="8" t="str">
        <f ca="1">IFERROR(__xludf.DUMMYFUNCTION("""COMPUTED_VALUE"""),"No")</f>
        <v>No</v>
      </c>
      <c r="AL1195" s="8" t="str">
        <f ca="1">IFERROR(__xludf.DUMMYFUNCTION("""COMPUTED_VALUE"""),"No")</f>
        <v>No</v>
      </c>
      <c r="AM1195" s="8" t="str">
        <f ca="1">IFERROR(__xludf.DUMMYFUNCTION("""COMPUTED_VALUE"""),"Yes")</f>
        <v>Yes</v>
      </c>
      <c r="AN1195" s="8" t="str">
        <f ca="1">IFERROR(__xludf.DUMMYFUNCTION("""COMPUTED_VALUE"""),"Multiple Rooms")</f>
        <v>Multiple Rooms</v>
      </c>
      <c r="AO1195" s="8" t="str">
        <f ca="1">IFERROR(__xludf.DUMMYFUNCTION("""COMPUTED_VALUE"""),"Yes")</f>
        <v>Yes</v>
      </c>
      <c r="AP1195" s="8" t="str">
        <f ca="1">IFERROR(__xludf.DUMMYFUNCTION("""COMPUTED_VALUE"""),"Yes")</f>
        <v>Yes</v>
      </c>
      <c r="AQ1195" s="8" t="str">
        <f ca="1">IFERROR(__xludf.DUMMYFUNCTION("""COMPUTED_VALUE"""),"Armed Guards")</f>
        <v>Armed Guards</v>
      </c>
      <c r="AR1195" s="8"/>
      <c r="AS1195" s="8">
        <f ca="1">IFERROR(__xludf.DUMMYFUNCTION("""COMPUTED_VALUE"""),20)</f>
        <v>20</v>
      </c>
      <c r="AT1195" s="8" t="str">
        <f ca="1">IFERROR(__xludf.DUMMYFUNCTION("""COMPUTED_VALUE"""),"Yes")</f>
        <v>Yes</v>
      </c>
      <c r="AU1195" s="8">
        <f ca="1">IFERROR(__xludf.DUMMYFUNCTION("""COMPUTED_VALUE"""),42.837894)</f>
        <v>42.837893999999999</v>
      </c>
      <c r="AV1195" s="8">
        <f ca="1">IFERROR(__xludf.DUMMYFUNCTION("""COMPUTED_VALUE"""),-83.260906)</f>
        <v>-83.260906000000006</v>
      </c>
      <c r="AW1195" s="8"/>
      <c r="AX1195" s="8">
        <f ca="1">IFERROR(__xludf.DUMMYFUNCTION("""COMPUTED_VALUE"""),48371)</f>
        <v>48371</v>
      </c>
    </row>
    <row r="1196" spans="1:50" ht="45" x14ac:dyDescent="0.2">
      <c r="A1196" s="8" t="str">
        <f ca="1">IFERROR(__xludf.DUMMYFUNCTION("""COMPUTED_VALUE"""),"20211130CALOL")</f>
        <v>20211130CALOL</v>
      </c>
      <c r="B1196" s="8">
        <f ca="1">IFERROR(__xludf.DUMMYFUNCTION("""COMPUTED_VALUE"""),11)</f>
        <v>11</v>
      </c>
      <c r="C1196" s="8">
        <f ca="1">IFERROR(__xludf.DUMMYFUNCTION("""COMPUTED_VALUE"""),30)</f>
        <v>30</v>
      </c>
      <c r="D1196" s="8">
        <f ca="1">IFERROR(__xludf.DUMMYFUNCTION("""COMPUTED_VALUE"""),2021)</f>
        <v>2021</v>
      </c>
      <c r="E1196" s="9">
        <f ca="1">IFERROR(__xludf.DUMMYFUNCTION("""COMPUTED_VALUE"""),44530)</f>
        <v>44530</v>
      </c>
      <c r="F1196" s="8" t="str">
        <f ca="1">IFERROR(__xludf.DUMMYFUNCTION("""COMPUTED_VALUE"""),"Los Angeles School Bus")</f>
        <v>Los Angeles School Bus</v>
      </c>
      <c r="G1196" s="8">
        <f ca="1">IFERROR(__xludf.DUMMYFUNCTION("""COMPUTED_VALUE"""),0)</f>
        <v>0</v>
      </c>
      <c r="H1196" s="8">
        <f ca="1">IFERROR(__xludf.DUMMYFUNCTION("""COMPUTED_VALUE"""),0)</f>
        <v>0</v>
      </c>
      <c r="I1196" s="8">
        <f ca="1">IFERROR(__xludf.DUMMYFUNCTION("""COMPUTED_VALUE"""),0)</f>
        <v>0</v>
      </c>
      <c r="J1196" s="8">
        <f ca="1">IFERROR(__xludf.DUMMYFUNCTION("""COMPUTED_VALUE"""),0)</f>
        <v>0</v>
      </c>
      <c r="K1196" s="10" t="str">
        <f ca="1">IFERROR(__xludf.DUMMYFUNCTION("""COMPUTED_VALUE"""),"https://losangeles.cbslocal.com/video/6166005-school-bus-hit-by-bb-gun/")</f>
        <v>https://losangeles.cbslocal.com/video/6166005-school-bus-hit-by-bb-gun/</v>
      </c>
      <c r="L1196" s="8">
        <f ca="1">IFERROR(__xludf.DUMMYFUNCTION("""COMPUTED_VALUE"""),1)</f>
        <v>1</v>
      </c>
      <c r="M1196" s="8" t="str">
        <f ca="1">IFERROR(__xludf.DUMMYFUNCTION("""COMPUTED_VALUE"""),"Local")</f>
        <v>Local</v>
      </c>
      <c r="N1196" s="8">
        <f ca="1">IFERROR(__xludf.DUMMYFUNCTION("""COMPUTED_VALUE"""),3)</f>
        <v>3</v>
      </c>
      <c r="O1196" s="8" t="str">
        <f ca="1">IFERROR(__xludf.DUMMYFUNCTION("""COMPUTED_VALUE"""),"Fall")</f>
        <v>Fall</v>
      </c>
      <c r="P1196" s="8" t="str">
        <f ca="1">IFERROR(__xludf.DUMMYFUNCTION("""COMPUTED_VALUE"""),"Los Angeles")</f>
        <v>Los Angeles</v>
      </c>
      <c r="Q1196" s="8" t="str">
        <f ca="1">IFERROR(__xludf.DUMMYFUNCTION("""COMPUTED_VALUE"""),"CA")</f>
        <v>CA</v>
      </c>
      <c r="R1196" s="8"/>
      <c r="S1196" s="8" t="str">
        <f ca="1">IFERROR(__xludf.DUMMYFUNCTION("""COMPUTED_VALUE"""),"School Bus")</f>
        <v>School Bus</v>
      </c>
      <c r="T1196" s="8" t="str">
        <f ca="1">IFERROR(__xludf.DUMMYFUNCTION("""COMPUTED_VALUE"""),"School Bus")</f>
        <v>School Bus</v>
      </c>
      <c r="U1196" s="8" t="str">
        <f ca="1">IFERROR(__xludf.DUMMYFUNCTION("""COMPUTED_VALUE"""),"No")</f>
        <v>No</v>
      </c>
      <c r="V1196" s="8" t="str">
        <f ca="1">IFERROR(__xludf.DUMMYFUNCTION("""COMPUTED_VALUE"""),"Evening")</f>
        <v>Evening</v>
      </c>
      <c r="W1196" s="11">
        <f ca="1">IFERROR(__xludf.DUMMYFUNCTION("""COMPUTED_VALUE"""),0.729166666666666)</f>
        <v>0.72916666666666596</v>
      </c>
      <c r="X1196" s="8">
        <f ca="1">IFERROR(__xludf.DUMMYFUNCTION("""COMPUTED_VALUE"""),1)</f>
        <v>1</v>
      </c>
      <c r="Y1196" s="12" t="str">
        <f ca="1">IFERROR(__xludf.DUMMYFUNCTION("""COMPUTED_VALUE"""),"Back window of school bus shot out while driving")</f>
        <v>Back window of school bus shot out while driving</v>
      </c>
      <c r="Z1196" s="12" t="str">
        <f ca="1">IFERROR(__xludf.DUMMYFUNCTION("""COMPUTED_VALUE"""),"The back window of a school bus was shot out while driving. No students were on the bus. Police determined a BB gun was fired. Shooter fled.")</f>
        <v>The back window of a school bus was shot out while driving. No students were on the bus. Police determined a BB gun was fired. Shooter fled.</v>
      </c>
      <c r="AA1196" s="8" t="str">
        <f ca="1">IFERROR(__xludf.DUMMYFUNCTION("""COMPUTED_VALUE"""),"Intentional Property Damage")</f>
        <v>Intentional Property Damage</v>
      </c>
      <c r="AB1196" s="8"/>
      <c r="AC1196" s="8" t="str">
        <f ca="1">IFERROR(__xludf.DUMMYFUNCTION("""COMPUTED_VALUE"""),"Yes")</f>
        <v>Yes</v>
      </c>
      <c r="AD1196" s="8" t="str">
        <f ca="1">IFERROR(__xludf.DUMMYFUNCTION("""COMPUTED_VALUE"""),"Neither")</f>
        <v>Neither</v>
      </c>
      <c r="AE1196" s="8" t="str">
        <f ca="1">IFERROR(__xludf.DUMMYFUNCTION("""COMPUTED_VALUE"""),"No")</f>
        <v>No</v>
      </c>
      <c r="AF1196" s="8"/>
      <c r="AG1196" s="8" t="str">
        <f ca="1">IFERROR(__xludf.DUMMYFUNCTION("""COMPUTED_VALUE"""),"No")</f>
        <v>No</v>
      </c>
      <c r="AH1196" s="8" t="str">
        <f ca="1">IFERROR(__xludf.DUMMYFUNCTION("""COMPUTED_VALUE"""),"No")</f>
        <v>No</v>
      </c>
      <c r="AI1196" s="8" t="str">
        <f ca="1">IFERROR(__xludf.DUMMYFUNCTION("""COMPUTED_VALUE"""),"No")</f>
        <v>No</v>
      </c>
      <c r="AJ1196" s="8" t="str">
        <f ca="1">IFERROR(__xludf.DUMMYFUNCTION("""COMPUTED_VALUE"""),"No")</f>
        <v>No</v>
      </c>
      <c r="AK1196" s="8" t="str">
        <f ca="1">IFERROR(__xludf.DUMMYFUNCTION("""COMPUTED_VALUE"""),"No")</f>
        <v>No</v>
      </c>
      <c r="AL1196" s="8" t="str">
        <f ca="1">IFERROR(__xludf.DUMMYFUNCTION("""COMPUTED_VALUE"""),"No")</f>
        <v>No</v>
      </c>
      <c r="AM1196" s="8" t="str">
        <f ca="1">IFERROR(__xludf.DUMMYFUNCTION("""COMPUTED_VALUE"""),"No")</f>
        <v>No</v>
      </c>
      <c r="AN1196" s="8"/>
      <c r="AO1196" s="8" t="str">
        <f ca="1">IFERROR(__xludf.DUMMYFUNCTION("""COMPUTED_VALUE"""),"No")</f>
        <v>No</v>
      </c>
      <c r="AP1196" s="8"/>
      <c r="AQ1196" s="8"/>
      <c r="AR1196" s="8" t="str">
        <f ca="1">IFERROR(__xludf.DUMMYFUNCTION("""COMPUTED_VALUE"""),"Outside/Off-Property")</f>
        <v>Outside/Off-Property</v>
      </c>
      <c r="AS1196" s="8"/>
      <c r="AT1196" s="8"/>
      <c r="AU1196" s="8">
        <f ca="1">IFERROR(__xludf.DUMMYFUNCTION("""COMPUTED_VALUE"""),34.063632)</f>
        <v>34.063631999999998</v>
      </c>
      <c r="AV1196" s="8">
        <f ca="1">IFERROR(__xludf.DUMMYFUNCTION("""COMPUTED_VALUE"""),-118.301993)</f>
        <v>-118.301993</v>
      </c>
      <c r="AW1196" s="8"/>
      <c r="AX1196" s="8">
        <f ca="1">IFERROR(__xludf.DUMMYFUNCTION("""COMPUTED_VALUE"""),90020)</f>
        <v>90020</v>
      </c>
    </row>
    <row r="1197" spans="1:50" ht="45" x14ac:dyDescent="0.2">
      <c r="A1197" s="8" t="str">
        <f ca="1">IFERROR(__xludf.DUMMYFUNCTION("""COMPUTED_VALUE"""),"20211129ILWER")</f>
        <v>20211129ILWER</v>
      </c>
      <c r="B1197" s="8">
        <f ca="1">IFERROR(__xludf.DUMMYFUNCTION("""COMPUTED_VALUE"""),11)</f>
        <v>11</v>
      </c>
      <c r="C1197" s="8">
        <f ca="1">IFERROR(__xludf.DUMMYFUNCTION("""COMPUTED_VALUE"""),29)</f>
        <v>29</v>
      </c>
      <c r="D1197" s="8">
        <f ca="1">IFERROR(__xludf.DUMMYFUNCTION("""COMPUTED_VALUE"""),2021)</f>
        <v>2021</v>
      </c>
      <c r="E1197" s="9">
        <f ca="1">IFERROR(__xludf.DUMMYFUNCTION("""COMPUTED_VALUE"""),44529)</f>
        <v>44529</v>
      </c>
      <c r="F1197" s="8" t="str">
        <f ca="1">IFERROR(__xludf.DUMMYFUNCTION("""COMPUTED_VALUE"""),"West Middle School")</f>
        <v>West Middle School</v>
      </c>
      <c r="G1197" s="8">
        <f ca="1">IFERROR(__xludf.DUMMYFUNCTION("""COMPUTED_VALUE"""),0)</f>
        <v>0</v>
      </c>
      <c r="H1197" s="8">
        <f ca="1">IFERROR(__xludf.DUMMYFUNCTION("""COMPUTED_VALUE"""),0)</f>
        <v>0</v>
      </c>
      <c r="I1197" s="8">
        <f ca="1">IFERROR(__xludf.DUMMYFUNCTION("""COMPUTED_VALUE"""),0)</f>
        <v>0</v>
      </c>
      <c r="J1197" s="8">
        <f ca="1">IFERROR(__xludf.DUMMYFUNCTION("""COMPUTED_VALUE"""),0)</f>
        <v>0</v>
      </c>
      <c r="K1197" s="10" t="str">
        <f ca="1">IFERROR(__xludf.DUMMYFUNCTION("""COMPUTED_VALUE"""),"https://www.wifr.com/2021/11/29/shots-fired-behind-west-middle-school/")</f>
        <v>https://www.wifr.com/2021/11/29/shots-fired-behind-west-middle-school/</v>
      </c>
      <c r="L1197" s="8">
        <f ca="1">IFERROR(__xludf.DUMMYFUNCTION("""COMPUTED_VALUE"""),1)</f>
        <v>1</v>
      </c>
      <c r="M1197" s="8" t="str">
        <f ca="1">IFERROR(__xludf.DUMMYFUNCTION("""COMPUTED_VALUE"""),"Local")</f>
        <v>Local</v>
      </c>
      <c r="N1197" s="8">
        <f ca="1">IFERROR(__xludf.DUMMYFUNCTION("""COMPUTED_VALUE"""),2)</f>
        <v>2</v>
      </c>
      <c r="O1197" s="8" t="str">
        <f ca="1">IFERROR(__xludf.DUMMYFUNCTION("""COMPUTED_VALUE"""),"Fall")</f>
        <v>Fall</v>
      </c>
      <c r="P1197" s="8" t="str">
        <f ca="1">IFERROR(__xludf.DUMMYFUNCTION("""COMPUTED_VALUE"""),"Rockford")</f>
        <v>Rockford</v>
      </c>
      <c r="Q1197" s="8" t="str">
        <f ca="1">IFERROR(__xludf.DUMMYFUNCTION("""COMPUTED_VALUE"""),"IL")</f>
        <v>IL</v>
      </c>
      <c r="R1197" s="8" t="str">
        <f ca="1">IFERROR(__xludf.DUMMYFUNCTION("""COMPUTED_VALUE"""),"Middle")</f>
        <v>Middle</v>
      </c>
      <c r="S1197" s="8" t="str">
        <f ca="1">IFERROR(__xludf.DUMMYFUNCTION("""COMPUTED_VALUE"""),"Beside Building")</f>
        <v>Beside Building</v>
      </c>
      <c r="T1197" s="8" t="str">
        <f ca="1">IFERROR(__xludf.DUMMYFUNCTION("""COMPUTED_VALUE"""),"Outside on School Property")</f>
        <v>Outside on School Property</v>
      </c>
      <c r="U1197" s="8" t="str">
        <f ca="1">IFERROR(__xludf.DUMMYFUNCTION("""COMPUTED_VALUE"""),"No")</f>
        <v>No</v>
      </c>
      <c r="V1197" s="8" t="str">
        <f ca="1">IFERROR(__xludf.DUMMYFUNCTION("""COMPUTED_VALUE"""),"After School")</f>
        <v>After School</v>
      </c>
      <c r="W1197" s="11">
        <f ca="1">IFERROR(__xludf.DUMMYFUNCTION("""COMPUTED_VALUE"""),0.666666666666666)</f>
        <v>0.66666666666666596</v>
      </c>
      <c r="X1197" s="8">
        <f ca="1">IFERROR(__xludf.DUMMYFUNCTION("""COMPUTED_VALUE"""),1)</f>
        <v>1</v>
      </c>
      <c r="Y1197" s="12" t="str">
        <f ca="1">IFERROR(__xludf.DUMMYFUNCTION("""COMPUTED_VALUE"""),"Shot fired behind the school, 4 teens seen running away")</f>
        <v>Shot fired behind the school, 4 teens seen running away</v>
      </c>
      <c r="Z1197" s="12" t="str">
        <f ca="1">IFERROR(__xludf.DUMMYFUNCTION("""COMPUTED_VALUE"""),"Shots were fired behind the school. 4 teens were seen running away. No injuries reported. A teen was shot during a fight outside the school in August 2021.")</f>
        <v>Shots were fired behind the school. 4 teens were seen running away. No injuries reported. A teen was shot during a fight outside the school in August 2021.</v>
      </c>
      <c r="AA1197" s="8"/>
      <c r="AB1197" s="8"/>
      <c r="AC1197" s="8" t="str">
        <f ca="1">IFERROR(__xludf.DUMMYFUNCTION("""COMPUTED_VALUE"""),"Yes")</f>
        <v>Yes</v>
      </c>
      <c r="AD1197" s="8"/>
      <c r="AE1197" s="8" t="str">
        <f ca="1">IFERROR(__xludf.DUMMYFUNCTION("""COMPUTED_VALUE"""),"No")</f>
        <v>No</v>
      </c>
      <c r="AF1197" s="8"/>
      <c r="AG1197" s="8" t="str">
        <f ca="1">IFERROR(__xludf.DUMMYFUNCTION("""COMPUTED_VALUE"""),"No")</f>
        <v>No</v>
      </c>
      <c r="AH1197" s="8" t="str">
        <f ca="1">IFERROR(__xludf.DUMMYFUNCTION("""COMPUTED_VALUE"""),"No")</f>
        <v>No</v>
      </c>
      <c r="AI1197" s="8" t="str">
        <f ca="1">IFERROR(__xludf.DUMMYFUNCTION("""COMPUTED_VALUE"""),"No")</f>
        <v>No</v>
      </c>
      <c r="AJ1197" s="8" t="str">
        <f ca="1">IFERROR(__xludf.DUMMYFUNCTION("""COMPUTED_VALUE"""),"No")</f>
        <v>No</v>
      </c>
      <c r="AK1197" s="8" t="str">
        <f ca="1">IFERROR(__xludf.DUMMYFUNCTION("""COMPUTED_VALUE"""),"No")</f>
        <v>No</v>
      </c>
      <c r="AL1197" s="8"/>
      <c r="AM1197" s="8" t="str">
        <f ca="1">IFERROR(__xludf.DUMMYFUNCTION("""COMPUTED_VALUE"""),"No")</f>
        <v>No</v>
      </c>
      <c r="AN1197" s="8"/>
      <c r="AO1197" s="8" t="str">
        <f ca="1">IFERROR(__xludf.DUMMYFUNCTION("""COMPUTED_VALUE"""),"No")</f>
        <v>No</v>
      </c>
      <c r="AP1197" s="8"/>
      <c r="AQ1197" s="8"/>
      <c r="AR1197" s="8" t="str">
        <f ca="1">IFERROR(__xludf.DUMMYFUNCTION("""COMPUTED_VALUE"""),"Outside/Off-Property")</f>
        <v>Outside/Off-Property</v>
      </c>
      <c r="AS1197" s="8"/>
      <c r="AT1197" s="8"/>
      <c r="AU1197" s="8">
        <f ca="1">IFERROR(__xludf.DUMMYFUNCTION("""COMPUTED_VALUE"""),42.294128)</f>
        <v>42.294128000000001</v>
      </c>
      <c r="AV1197" s="8">
        <f ca="1">IFERROR(__xludf.DUMMYFUNCTION("""COMPUTED_VALUE"""),-89.098176)</f>
        <v>-89.098175999999995</v>
      </c>
      <c r="AW1197" s="8"/>
      <c r="AX1197" s="8">
        <f ca="1">IFERROR(__xludf.DUMMYFUNCTION("""COMPUTED_VALUE"""),61103)</f>
        <v>61103</v>
      </c>
    </row>
    <row r="1198" spans="1:50" ht="90" x14ac:dyDescent="0.2">
      <c r="A1198" s="8" t="str">
        <f ca="1">IFERROR(__xludf.DUMMYFUNCTION("""COMPUTED_VALUE"""),"20211129AZCHP")</f>
        <v>20211129AZCHP</v>
      </c>
      <c r="B1198" s="8">
        <f ca="1">IFERROR(__xludf.DUMMYFUNCTION("""COMPUTED_VALUE"""),11)</f>
        <v>11</v>
      </c>
      <c r="C1198" s="8">
        <f ca="1">IFERROR(__xludf.DUMMYFUNCTION("""COMPUTED_VALUE"""),29)</f>
        <v>29</v>
      </c>
      <c r="D1198" s="8">
        <f ca="1">IFERROR(__xludf.DUMMYFUNCTION("""COMPUTED_VALUE"""),2021)</f>
        <v>2021</v>
      </c>
      <c r="E1198" s="9">
        <f ca="1">IFERROR(__xludf.DUMMYFUNCTION("""COMPUTED_VALUE"""),44529)</f>
        <v>44529</v>
      </c>
      <c r="F1198" s="8" t="str">
        <f ca="1">IFERROR(__xludf.DUMMYFUNCTION("""COMPUTED_VALUE"""),"Cesar Chavez High School")</f>
        <v>Cesar Chavez High School</v>
      </c>
      <c r="G1198" s="8">
        <f ca="1">IFERROR(__xludf.DUMMYFUNCTION("""COMPUTED_VALUE"""),0)</f>
        <v>0</v>
      </c>
      <c r="H1198" s="8">
        <f ca="1">IFERROR(__xludf.DUMMYFUNCTION("""COMPUTED_VALUE"""),1)</f>
        <v>1</v>
      </c>
      <c r="I1198" s="8">
        <f ca="1">IFERROR(__xludf.DUMMYFUNCTION("""COMPUTED_VALUE"""),1)</f>
        <v>1</v>
      </c>
      <c r="J1198" s="8">
        <f ca="1">IFERROR(__xludf.DUMMYFUNCTION("""COMPUTED_VALUE"""),0)</f>
        <v>0</v>
      </c>
      <c r="K1198" s="8" t="str">
        <f ca="1">IFERROR(__xludf.DUMMYFUNCTION("""COMPUTED_VALUE"""),"https://www.azcentral.com/story/news/local/phoenix-breaking/2021/11/29/one-teen-shot-cesar-chavez-high-school-not-active-shooter/8801295002/ https://www.kgun9.com/news/state/student-hurt-in-shooting-at-cesar-chavez-high-school-in-phoenix https://www.12new"&amp;"s.com/article/news/crime/teen-injured-after-being-shot-at-cesar-chavez-high-school-in-laveen/75-4038832e-000a-4f39-941d-c3d919993530")</f>
        <v>https://www.azcentral.com/story/news/local/phoenix-breaking/2021/11/29/one-teen-shot-cesar-chavez-high-school-not-active-shooter/8801295002/ https://www.kgun9.com/news/state/student-hurt-in-shooting-at-cesar-chavez-high-school-in-phoenix https://www.12news.com/article/news/crime/teen-injured-after-being-shot-at-cesar-chavez-high-school-in-laveen/75-4038832e-000a-4f39-941d-c3d919993530</v>
      </c>
      <c r="L1198" s="8">
        <f ca="1">IFERROR(__xludf.DUMMYFUNCTION("""COMPUTED_VALUE"""),10)</f>
        <v>10</v>
      </c>
      <c r="M1198" s="8" t="str">
        <f ca="1">IFERROR(__xludf.DUMMYFUNCTION("""COMPUTED_VALUE"""),"Regional")</f>
        <v>Regional</v>
      </c>
      <c r="N1198" s="8">
        <f ca="1">IFERROR(__xludf.DUMMYFUNCTION("""COMPUTED_VALUE"""),4)</f>
        <v>4</v>
      </c>
      <c r="O1198" s="8" t="str">
        <f ca="1">IFERROR(__xludf.DUMMYFUNCTION("""COMPUTED_VALUE"""),"Fall")</f>
        <v>Fall</v>
      </c>
      <c r="P1198" s="8" t="str">
        <f ca="1">IFERROR(__xludf.DUMMYFUNCTION("""COMPUTED_VALUE"""),"Phoenix")</f>
        <v>Phoenix</v>
      </c>
      <c r="Q1198" s="8" t="str">
        <f ca="1">IFERROR(__xludf.DUMMYFUNCTION("""COMPUTED_VALUE"""),"AZ")</f>
        <v>AZ</v>
      </c>
      <c r="R1198" s="8" t="str">
        <f ca="1">IFERROR(__xludf.DUMMYFUNCTION("""COMPUTED_VALUE"""),"High")</f>
        <v>High</v>
      </c>
      <c r="S1198" s="8" t="str">
        <f ca="1">IFERROR(__xludf.DUMMYFUNCTION("""COMPUTED_VALUE"""),"Bathroom")</f>
        <v>Bathroom</v>
      </c>
      <c r="T1198" s="8" t="str">
        <f ca="1">IFERROR(__xludf.DUMMYFUNCTION("""COMPUTED_VALUE"""),"Inside School Building")</f>
        <v>Inside School Building</v>
      </c>
      <c r="U1198" s="8" t="str">
        <f ca="1">IFERROR(__xludf.DUMMYFUNCTION("""COMPUTED_VALUE"""),"Yes")</f>
        <v>Yes</v>
      </c>
      <c r="V1198" s="8" t="str">
        <f ca="1">IFERROR(__xludf.DUMMYFUNCTION("""COMPUTED_VALUE"""),"Afternoon Classes")</f>
        <v>Afternoon Classes</v>
      </c>
      <c r="W1198" s="11">
        <f ca="1">IFERROR(__xludf.DUMMYFUNCTION("""COMPUTED_VALUE"""),0.625)</f>
        <v>0.625</v>
      </c>
      <c r="X1198" s="8">
        <f ca="1">IFERROR(__xludf.DUMMYFUNCTION("""COMPUTED_VALUE"""),1)</f>
        <v>1</v>
      </c>
      <c r="Y1198" s="12" t="str">
        <f ca="1">IFERROR(__xludf.DUMMYFUNCTION("""COMPUTED_VALUE"""),"Student shot during fight in bathroom")</f>
        <v>Student shot during fight in bathroom</v>
      </c>
      <c r="Z1198" s="12" t="str">
        <f ca="1">IFERROR(__xludf.DUMMYFUNCTION("""COMPUTED_VALUE"""),"A 16-year-old male student was shot during a fight in the school bathroom. The shooter fled. School was locked down and police responded for an active shooter. Students were evacuated to an alternate location. School district announced backpacks will be b"&amp;"anned until further notice following the shooting.")</f>
        <v>A 16-year-old male student was shot during a fight in the school bathroom. The shooter fled. School was locked down and police responded for an active shooter. Students were evacuated to an alternate location. School district announced backpacks will be banned until further notice following the shooting.</v>
      </c>
      <c r="AA1198" s="8" t="str">
        <f ca="1">IFERROR(__xludf.DUMMYFUNCTION("""COMPUTED_VALUE"""),"Escalation of Dispute")</f>
        <v>Escalation of Dispute</v>
      </c>
      <c r="AB1198" s="8"/>
      <c r="AC1198" s="8" t="str">
        <f ca="1">IFERROR(__xludf.DUMMYFUNCTION("""COMPUTED_VALUE"""),"Yes")</f>
        <v>Yes</v>
      </c>
      <c r="AD1198" s="8" t="str">
        <f ca="1">IFERROR(__xludf.DUMMYFUNCTION("""COMPUTED_VALUE"""),"Victims Targeted")</f>
        <v>Victims Targeted</v>
      </c>
      <c r="AE1198" s="8" t="str">
        <f ca="1">IFERROR(__xludf.DUMMYFUNCTION("""COMPUTED_VALUE"""),"No")</f>
        <v>No</v>
      </c>
      <c r="AF1198" s="8"/>
      <c r="AG1198" s="8" t="str">
        <f ca="1">IFERROR(__xludf.DUMMYFUNCTION("""COMPUTED_VALUE"""),"No")</f>
        <v>No</v>
      </c>
      <c r="AH1198" s="8" t="str">
        <f ca="1">IFERROR(__xludf.DUMMYFUNCTION("""COMPUTED_VALUE"""),"No")</f>
        <v>No</v>
      </c>
      <c r="AI1198" s="8" t="str">
        <f ca="1">IFERROR(__xludf.DUMMYFUNCTION("""COMPUTED_VALUE"""),"No")</f>
        <v>No</v>
      </c>
      <c r="AJ1198" s="8"/>
      <c r="AK1198" s="8" t="str">
        <f ca="1">IFERROR(__xludf.DUMMYFUNCTION("""COMPUTED_VALUE"""),"No")</f>
        <v>No</v>
      </c>
      <c r="AL1198" s="8" t="str">
        <f ca="1">IFERROR(__xludf.DUMMYFUNCTION("""COMPUTED_VALUE"""),"No")</f>
        <v>No</v>
      </c>
      <c r="AM1198" s="8" t="str">
        <f ca="1">IFERROR(__xludf.DUMMYFUNCTION("""COMPUTED_VALUE"""),"No")</f>
        <v>No</v>
      </c>
      <c r="AN1198" s="8"/>
      <c r="AO1198" s="8" t="str">
        <f ca="1">IFERROR(__xludf.DUMMYFUNCTION("""COMPUTED_VALUE"""),"No")</f>
        <v>No</v>
      </c>
      <c r="AP1198" s="8"/>
      <c r="AQ1198" s="8"/>
      <c r="AR1198" s="8"/>
      <c r="AS1198" s="8"/>
      <c r="AT1198" s="8" t="str">
        <f ca="1">IFERROR(__xludf.DUMMYFUNCTION("""COMPUTED_VALUE"""),"Yes")</f>
        <v>Yes</v>
      </c>
      <c r="AU1198" s="8">
        <f ca="1">IFERROR(__xludf.DUMMYFUNCTION("""COMPUTED_VALUE"""),33.375941)</f>
        <v>33.375940999999997</v>
      </c>
      <c r="AV1198" s="8">
        <f ca="1">IFERROR(__xludf.DUMMYFUNCTION("""COMPUTED_VALUE"""),-112.146194)</f>
        <v>-112.14619399999999</v>
      </c>
      <c r="AW1198" s="8"/>
      <c r="AX1198" s="8">
        <f ca="1">IFERROR(__xludf.DUMMYFUNCTION("""COMPUTED_VALUE"""),85339)</f>
        <v>85339</v>
      </c>
    </row>
    <row r="1199" spans="1:50" ht="105" x14ac:dyDescent="0.2">
      <c r="A1199" s="8" t="str">
        <f ca="1">IFERROR(__xludf.DUMMYFUNCTION("""COMPUTED_VALUE"""),"20211126CAWES")</f>
        <v>20211126CAWES</v>
      </c>
      <c r="B1199" s="8">
        <f ca="1">IFERROR(__xludf.DUMMYFUNCTION("""COMPUTED_VALUE"""),11)</f>
        <v>11</v>
      </c>
      <c r="C1199" s="8">
        <f ca="1">IFERROR(__xludf.DUMMYFUNCTION("""COMPUTED_VALUE"""),26)</f>
        <v>26</v>
      </c>
      <c r="D1199" s="8">
        <f ca="1">IFERROR(__xludf.DUMMYFUNCTION("""COMPUTED_VALUE"""),2021)</f>
        <v>2021</v>
      </c>
      <c r="E1199" s="9">
        <f ca="1">IFERROR(__xludf.DUMMYFUNCTION("""COMPUTED_VALUE"""),44526)</f>
        <v>44526</v>
      </c>
      <c r="F1199" s="8" t="str">
        <f ca="1">IFERROR(__xludf.DUMMYFUNCTION("""COMPUTED_VALUE"""),"Westmount High School")</f>
        <v>Westmount High School</v>
      </c>
      <c r="G1199" s="8">
        <f ca="1">IFERROR(__xludf.DUMMYFUNCTION("""COMPUTED_VALUE"""),0)</f>
        <v>0</v>
      </c>
      <c r="H1199" s="8">
        <f ca="1">IFERROR(__xludf.DUMMYFUNCTION("""COMPUTED_VALUE"""),2)</f>
        <v>2</v>
      </c>
      <c r="I1199" s="8">
        <f ca="1">IFERROR(__xludf.DUMMYFUNCTION("""COMPUTED_VALUE"""),2)</f>
        <v>2</v>
      </c>
      <c r="J1199" s="8">
        <f ca="1">IFERROR(__xludf.DUMMYFUNCTION("""COMPUTED_VALUE"""),0)</f>
        <v>0</v>
      </c>
      <c r="K1199" s="8" t="str">
        <f ca="1">IFERROR(__xludf.DUMMYFUNCTION("""COMPUTED_VALUE"""),"https://www.mercurynews.com/2021/11/26/gunshots-halt-st-francis-vs-serra-ccs-division-i-championship-game/ https://sfist.com/2021/11/27/gunshots-at-san-jose-high-school-stadium-sends-football-game-into-chaos-two-people-injured-during-shooting/ https://san"&amp;"francisco.cbslocal.com/2021/11/27/shooting-campbell-westmont-high-game/ https://www.ktvu.com/news/double-shooting-in-parking-lot-of-south-bay-high-school-football-game")</f>
        <v>https://www.mercurynews.com/2021/11/26/gunshots-halt-st-francis-vs-serra-ccs-division-i-championship-game/ https://sfist.com/2021/11/27/gunshots-at-san-jose-high-school-stadium-sends-football-game-into-chaos-two-people-injured-during-shooting/ https://sanfrancisco.cbslocal.com/2021/11/27/shooting-campbell-westmont-high-game/ https://www.ktvu.com/news/double-shooting-in-parking-lot-of-south-bay-high-school-football-game</v>
      </c>
      <c r="L1199" s="8">
        <f ca="1">IFERROR(__xludf.DUMMYFUNCTION("""COMPUTED_VALUE"""),50)</f>
        <v>50</v>
      </c>
      <c r="M1199" s="8" t="str">
        <f ca="1">IFERROR(__xludf.DUMMYFUNCTION("""COMPUTED_VALUE"""),"Regional")</f>
        <v>Regional</v>
      </c>
      <c r="N1199" s="8">
        <f ca="1">IFERROR(__xludf.DUMMYFUNCTION("""COMPUTED_VALUE"""),4)</f>
        <v>4</v>
      </c>
      <c r="O1199" s="8" t="str">
        <f ca="1">IFERROR(__xludf.DUMMYFUNCTION("""COMPUTED_VALUE"""),"Fall")</f>
        <v>Fall</v>
      </c>
      <c r="P1199" s="8" t="str">
        <f ca="1">IFERROR(__xludf.DUMMYFUNCTION("""COMPUTED_VALUE"""),"San Jose")</f>
        <v>San Jose</v>
      </c>
      <c r="Q1199" s="8" t="str">
        <f ca="1">IFERROR(__xludf.DUMMYFUNCTION("""COMPUTED_VALUE"""),"CA")</f>
        <v>CA</v>
      </c>
      <c r="R1199" s="8" t="str">
        <f ca="1">IFERROR(__xludf.DUMMYFUNCTION("""COMPUTED_VALUE"""),"High")</f>
        <v>High</v>
      </c>
      <c r="S1199" s="8" t="str">
        <f ca="1">IFERROR(__xludf.DUMMYFUNCTION("""COMPUTED_VALUE"""),"Parking Lot")</f>
        <v>Parking Lot</v>
      </c>
      <c r="T1199" s="8" t="str">
        <f ca="1">IFERROR(__xludf.DUMMYFUNCTION("""COMPUTED_VALUE"""),"Outside on School Property")</f>
        <v>Outside on School Property</v>
      </c>
      <c r="U1199" s="8" t="str">
        <f ca="1">IFERROR(__xludf.DUMMYFUNCTION("""COMPUTED_VALUE"""),"No")</f>
        <v>No</v>
      </c>
      <c r="V1199" s="8" t="str">
        <f ca="1">IFERROR(__xludf.DUMMYFUNCTION("""COMPUTED_VALUE"""),"Sport Event")</f>
        <v>Sport Event</v>
      </c>
      <c r="W1199" s="11">
        <f ca="1">IFERROR(__xludf.DUMMYFUNCTION("""COMPUTED_VALUE"""),0.875)</f>
        <v>0.875</v>
      </c>
      <c r="X1199" s="8">
        <f ca="1">IFERROR(__xludf.DUMMYFUNCTION("""COMPUTED_VALUE"""),1)</f>
        <v>1</v>
      </c>
      <c r="Y1199" s="12" t="str">
        <f ca="1">IFERROR(__xludf.DUMMYFUNCTION("""COMPUTED_VALUE"""),"Two men shot in the parking lot during playoff football game, stadium evacuated")</f>
        <v>Two men shot in the parking lot during playoff football game, stadium evacuated</v>
      </c>
      <c r="Z1199" s="12" t="str">
        <f ca="1">IFERROR(__xludf.DUMMYFUNCTION("""COMPUTED_VALUE"""),"Rival schools (St. Francis and Serra high schools) were playing a playoff football game at West Mount High School. With 2:00 left in the game, shots were fired in the parking lot injuring 2 adult men. Fans believed an active shooter was in the stadium and"&amp;" evacuated. Players ran off the field when the shots were fired. After an all clear was given, the end of the game resumed. Shooter fled.")</f>
        <v>Rival schools (St. Francis and Serra high schools) were playing a playoff football game at West Mount High School. With 2:00 left in the game, shots were fired in the parking lot injuring 2 adult men. Fans believed an active shooter was in the stadium and evacuated. Players ran off the field when the shots were fired. After an all clear was given, the end of the game resumed. Shooter fled.</v>
      </c>
      <c r="AA1199" s="8" t="str">
        <f ca="1">IFERROR(__xludf.DUMMYFUNCTION("""COMPUTED_VALUE"""),"Escalation of Dispute")</f>
        <v>Escalation of Dispute</v>
      </c>
      <c r="AB1199" s="8"/>
      <c r="AC1199" s="8" t="str">
        <f ca="1">IFERROR(__xludf.DUMMYFUNCTION("""COMPUTED_VALUE"""),"Yes")</f>
        <v>Yes</v>
      </c>
      <c r="AD1199" s="8" t="str">
        <f ca="1">IFERROR(__xludf.DUMMYFUNCTION("""COMPUTED_VALUE"""),"Victims Targeted")</f>
        <v>Victims Targeted</v>
      </c>
      <c r="AE1199" s="8" t="str">
        <f ca="1">IFERROR(__xludf.DUMMYFUNCTION("""COMPUTED_VALUE"""),"No")</f>
        <v>No</v>
      </c>
      <c r="AF1199" s="8"/>
      <c r="AG1199" s="8" t="str">
        <f ca="1">IFERROR(__xludf.DUMMYFUNCTION("""COMPUTED_VALUE"""),"No")</f>
        <v>No</v>
      </c>
      <c r="AH1199" s="8" t="str">
        <f ca="1">IFERROR(__xludf.DUMMYFUNCTION("""COMPUTED_VALUE"""),"No")</f>
        <v>No</v>
      </c>
      <c r="AI1199" s="8" t="str">
        <f ca="1">IFERROR(__xludf.DUMMYFUNCTION("""COMPUTED_VALUE"""),"No")</f>
        <v>No</v>
      </c>
      <c r="AJ1199" s="8" t="str">
        <f ca="1">IFERROR(__xludf.DUMMYFUNCTION("""COMPUTED_VALUE"""),"No")</f>
        <v>No</v>
      </c>
      <c r="AK1199" s="8" t="str">
        <f ca="1">IFERROR(__xludf.DUMMYFUNCTION("""COMPUTED_VALUE"""),"No")</f>
        <v>No</v>
      </c>
      <c r="AL1199" s="8"/>
      <c r="AM1199" s="8" t="str">
        <f ca="1">IFERROR(__xludf.DUMMYFUNCTION("""COMPUTED_VALUE"""),"No")</f>
        <v>No</v>
      </c>
      <c r="AN1199" s="8"/>
      <c r="AO1199" s="8" t="str">
        <f ca="1">IFERROR(__xludf.DUMMYFUNCTION("""COMPUTED_VALUE"""),"No")</f>
        <v>No</v>
      </c>
      <c r="AP1199" s="8"/>
      <c r="AQ1199" s="8"/>
      <c r="AR1199" s="8" t="str">
        <f ca="1">IFERROR(__xludf.DUMMYFUNCTION("""COMPUTED_VALUE"""),"Outside/Off-Property")</f>
        <v>Outside/Off-Property</v>
      </c>
      <c r="AS1199" s="8"/>
      <c r="AT1199" s="8"/>
      <c r="AU1199" s="8">
        <f ca="1">IFERROR(__xludf.DUMMYFUNCTION("""COMPUTED_VALUE"""),37.270516)</f>
        <v>37.270516000000001</v>
      </c>
      <c r="AV1199" s="8">
        <f ca="1">IFERROR(__xludf.DUMMYFUNCTION("""COMPUTED_VALUE"""),-121.98535)</f>
        <v>-121.98535</v>
      </c>
      <c r="AW1199" s="8"/>
      <c r="AX1199" s="8">
        <f ca="1">IFERROR(__xludf.DUMMYFUNCTION("""COMPUTED_VALUE"""),95008)</f>
        <v>95008</v>
      </c>
    </row>
    <row r="1200" spans="1:50" ht="45" x14ac:dyDescent="0.2">
      <c r="A1200" s="8" t="str">
        <f ca="1">IFERROR(__xludf.DUMMYFUNCTION("""COMPUTED_VALUE"""),"20211125SCCEP")</f>
        <v>20211125SCCEP</v>
      </c>
      <c r="B1200" s="8">
        <f ca="1">IFERROR(__xludf.DUMMYFUNCTION("""COMPUTED_VALUE"""),11)</f>
        <v>11</v>
      </c>
      <c r="C1200" s="8">
        <f ca="1">IFERROR(__xludf.DUMMYFUNCTION("""COMPUTED_VALUE"""),24)</f>
        <v>24</v>
      </c>
      <c r="D1200" s="8">
        <f ca="1">IFERROR(__xludf.DUMMYFUNCTION("""COMPUTED_VALUE"""),2021)</f>
        <v>2021</v>
      </c>
      <c r="E1200" s="9">
        <f ca="1">IFERROR(__xludf.DUMMYFUNCTION("""COMPUTED_VALUE"""),44525)</f>
        <v>44525</v>
      </c>
      <c r="F1200" s="8" t="str">
        <f ca="1">IFERROR(__xludf.DUMMYFUNCTION("""COMPUTED_VALUE"""),"Central High School")</f>
        <v>Central High School</v>
      </c>
      <c r="G1200" s="8">
        <f ca="1">IFERROR(__xludf.DUMMYFUNCTION("""COMPUTED_VALUE"""),0)</f>
        <v>0</v>
      </c>
      <c r="H1200" s="8">
        <f ca="1">IFERROR(__xludf.DUMMYFUNCTION("""COMPUTED_VALUE"""),0)</f>
        <v>0</v>
      </c>
      <c r="I1200" s="8">
        <f ca="1">IFERROR(__xludf.DUMMYFUNCTION("""COMPUTED_VALUE"""),0)</f>
        <v>0</v>
      </c>
      <c r="J1200" s="8">
        <f ca="1">IFERROR(__xludf.DUMMYFUNCTION("""COMPUTED_VALUE"""),0)</f>
        <v>0</v>
      </c>
      <c r="K1200" s="8" t="str">
        <f ca="1">IFERROR(__xludf.DUMMYFUNCTION("""COMPUTED_VALUE"""),"https://www.wbtw.com/news/state-regional-news/sheriff-several-goats-and-chickens-shot-at-south-carolina-high-school/ https://www.wspa.com/news/state-news/sheriff-several-goats-and-chickens-shot-at-sc-high-school/ https://www.cbs17.com/news/south/several-g"&amp;"oats-and-chickens-shot-at-sc-high-school-sheriff-said/")</f>
        <v>https://www.wbtw.com/news/state-regional-news/sheriff-several-goats-and-chickens-shot-at-south-carolina-high-school/ https://www.wspa.com/news/state-news/sheriff-several-goats-and-chickens-shot-at-sc-high-school/ https://www.cbs17.com/news/south/several-goats-and-chickens-shot-at-sc-high-school-sheriff-said/</v>
      </c>
      <c r="L1200" s="8">
        <f ca="1">IFERROR(__xludf.DUMMYFUNCTION("""COMPUTED_VALUE"""),3)</f>
        <v>3</v>
      </c>
      <c r="M1200" s="8" t="str">
        <f ca="1">IFERROR(__xludf.DUMMYFUNCTION("""COMPUTED_VALUE"""),"Local")</f>
        <v>Local</v>
      </c>
      <c r="N1200" s="8">
        <f ca="1">IFERROR(__xludf.DUMMYFUNCTION("""COMPUTED_VALUE"""),4)</f>
        <v>4</v>
      </c>
      <c r="O1200" s="8" t="str">
        <f ca="1">IFERROR(__xludf.DUMMYFUNCTION("""COMPUTED_VALUE"""),"Fall")</f>
        <v>Fall</v>
      </c>
      <c r="P1200" s="8" t="str">
        <f ca="1">IFERROR(__xludf.DUMMYFUNCTION("""COMPUTED_VALUE"""),"Pageland")</f>
        <v>Pageland</v>
      </c>
      <c r="Q1200" s="8" t="str">
        <f ca="1">IFERROR(__xludf.DUMMYFUNCTION("""COMPUTED_VALUE"""),"SC")</f>
        <v>SC</v>
      </c>
      <c r="R1200" s="8" t="str">
        <f ca="1">IFERROR(__xludf.DUMMYFUNCTION("""COMPUTED_VALUE"""),"High")</f>
        <v>High</v>
      </c>
      <c r="S1200" s="8" t="str">
        <f ca="1">IFERROR(__xludf.DUMMYFUNCTION("""COMPUTED_VALUE"""),"Outside on School Property")</f>
        <v>Outside on School Property</v>
      </c>
      <c r="T1200" s="8" t="str">
        <f ca="1">IFERROR(__xludf.DUMMYFUNCTION("""COMPUTED_VALUE"""),"Outside on School Property")</f>
        <v>Outside on School Property</v>
      </c>
      <c r="U1200" s="8" t="str">
        <f ca="1">IFERROR(__xludf.DUMMYFUNCTION("""COMPUTED_VALUE"""),"No")</f>
        <v>No</v>
      </c>
      <c r="V1200" s="8" t="str">
        <f ca="1">IFERROR(__xludf.DUMMYFUNCTION("""COMPUTED_VALUE"""),"Night")</f>
        <v>Night</v>
      </c>
      <c r="W1200" s="8"/>
      <c r="X1200" s="8">
        <f ca="1">IFERROR(__xludf.DUMMYFUNCTION("""COMPUTED_VALUE"""),1)</f>
        <v>1</v>
      </c>
      <c r="Y1200" s="12" t="str">
        <f ca="1">IFERROR(__xludf.DUMMYFUNCTION("""COMPUTED_VALUE"""),"Multiple FFA goats and chickens shot")</f>
        <v>Multiple FFA goats and chickens shot</v>
      </c>
      <c r="Z1200" s="12" t="str">
        <f ca="1">IFERROR(__xludf.DUMMYFUNCTION("""COMPUTED_VALUE"""),"An unknown shooter killed multiple Future Farmers of America goats and chickens being raised by students at the school.")</f>
        <v>An unknown shooter killed multiple Future Farmers of America goats and chickens being raised by students at the school.</v>
      </c>
      <c r="AA1200" s="8"/>
      <c r="AB1200" s="8"/>
      <c r="AC1200" s="8" t="str">
        <f ca="1">IFERROR(__xludf.DUMMYFUNCTION("""COMPUTED_VALUE"""),"Yes")</f>
        <v>Yes</v>
      </c>
      <c r="AD1200" s="8"/>
      <c r="AE1200" s="8"/>
      <c r="AF1200" s="8"/>
      <c r="AG1200" s="8" t="str">
        <f ca="1">IFERROR(__xludf.DUMMYFUNCTION("""COMPUTED_VALUE"""),"No")</f>
        <v>No</v>
      </c>
      <c r="AH1200" s="8" t="str">
        <f ca="1">IFERROR(__xludf.DUMMYFUNCTION("""COMPUTED_VALUE"""),"No")</f>
        <v>No</v>
      </c>
      <c r="AI1200" s="8" t="str">
        <f ca="1">IFERROR(__xludf.DUMMYFUNCTION("""COMPUTED_VALUE"""),"No")</f>
        <v>No</v>
      </c>
      <c r="AJ1200" s="8"/>
      <c r="AK1200" s="8" t="str">
        <f ca="1">IFERROR(__xludf.DUMMYFUNCTION("""COMPUTED_VALUE"""),"No")</f>
        <v>No</v>
      </c>
      <c r="AL1200" s="8" t="str">
        <f ca="1">IFERROR(__xludf.DUMMYFUNCTION("""COMPUTED_VALUE"""),"No")</f>
        <v>No</v>
      </c>
      <c r="AM1200" s="8" t="str">
        <f ca="1">IFERROR(__xludf.DUMMYFUNCTION("""COMPUTED_VALUE"""),"No")</f>
        <v>No</v>
      </c>
      <c r="AN1200" s="8"/>
      <c r="AO1200" s="8" t="str">
        <f ca="1">IFERROR(__xludf.DUMMYFUNCTION("""COMPUTED_VALUE"""),"No")</f>
        <v>No</v>
      </c>
      <c r="AP1200" s="8"/>
      <c r="AQ1200" s="8"/>
      <c r="AR1200" s="8"/>
      <c r="AS1200" s="8"/>
      <c r="AT1200" s="8"/>
      <c r="AU1200" s="8">
        <f ca="1">IFERROR(__xludf.DUMMYFUNCTION("""COMPUTED_VALUE"""),34.754193)</f>
        <v>34.754193000000001</v>
      </c>
      <c r="AV1200" s="8">
        <f ca="1">IFERROR(__xludf.DUMMYFUNCTION("""COMPUTED_VALUE"""),-80.357098)</f>
        <v>-80.357097999999993</v>
      </c>
      <c r="AW1200" s="8"/>
      <c r="AX1200" s="8">
        <f ca="1">IFERROR(__xludf.DUMMYFUNCTION("""COMPUTED_VALUE"""),29728)</f>
        <v>29728</v>
      </c>
    </row>
    <row r="1201" spans="1:50" ht="30" x14ac:dyDescent="0.2">
      <c r="A1201" s="8" t="str">
        <f ca="1">IFERROR(__xludf.DUMMYFUNCTION("""COMPUTED_VALUE"""),"20211124ILTHH")</f>
        <v>20211124ILTHH</v>
      </c>
      <c r="B1201" s="8">
        <f ca="1">IFERROR(__xludf.DUMMYFUNCTION("""COMPUTED_VALUE"""),11)</f>
        <v>11</v>
      </c>
      <c r="C1201" s="8">
        <f ca="1">IFERROR(__xludf.DUMMYFUNCTION("""COMPUTED_VALUE"""),24)</f>
        <v>24</v>
      </c>
      <c r="D1201" s="8">
        <f ca="1">IFERROR(__xludf.DUMMYFUNCTION("""COMPUTED_VALUE"""),2021)</f>
        <v>2021</v>
      </c>
      <c r="E1201" s="9">
        <f ca="1">IFERROR(__xludf.DUMMYFUNCTION("""COMPUTED_VALUE"""),44524)</f>
        <v>44524</v>
      </c>
      <c r="F1201" s="8" t="str">
        <f ca="1">IFERROR(__xludf.DUMMYFUNCTION("""COMPUTED_VALUE"""),"Thornton Township High School")</f>
        <v>Thornton Township High School</v>
      </c>
      <c r="G1201" s="8">
        <f ca="1">IFERROR(__xludf.DUMMYFUNCTION("""COMPUTED_VALUE"""),0)</f>
        <v>0</v>
      </c>
      <c r="H1201" s="8">
        <f ca="1">IFERROR(__xludf.DUMMYFUNCTION("""COMPUTED_VALUE"""),0)</f>
        <v>0</v>
      </c>
      <c r="I1201" s="8">
        <f ca="1">IFERROR(__xludf.DUMMYFUNCTION("""COMPUTED_VALUE"""),0)</f>
        <v>0</v>
      </c>
      <c r="J1201" s="8">
        <f ca="1">IFERROR(__xludf.DUMMYFUNCTION("""COMPUTED_VALUE"""),0)</f>
        <v>0</v>
      </c>
      <c r="K1201" s="10" t="str">
        <f ca="1">IFERROR(__xludf.DUMMYFUNCTION("""COMPUTED_VALUE"""),"https://www.chicagotribune.com/suburbs/daily-southtown/ct-sta-thornton-high-school-shots-fired-st-1125-20211124-23o46c2tavacvn4g6agtukzej4-story.html")</f>
        <v>https://www.chicagotribune.com/suburbs/daily-southtown/ct-sta-thornton-high-school-shots-fired-st-1125-20211124-23o46c2tavacvn4g6agtukzej4-story.html</v>
      </c>
      <c r="L1201" s="8">
        <f ca="1">IFERROR(__xludf.DUMMYFUNCTION("""COMPUTED_VALUE"""),1)</f>
        <v>1</v>
      </c>
      <c r="M1201" s="8" t="str">
        <f ca="1">IFERROR(__xludf.DUMMYFUNCTION("""COMPUTED_VALUE"""),"Local")</f>
        <v>Local</v>
      </c>
      <c r="N1201" s="8">
        <f ca="1">IFERROR(__xludf.DUMMYFUNCTION("""COMPUTED_VALUE"""),3)</f>
        <v>3</v>
      </c>
      <c r="O1201" s="8" t="str">
        <f ca="1">IFERROR(__xludf.DUMMYFUNCTION("""COMPUTED_VALUE"""),"Fall")</f>
        <v>Fall</v>
      </c>
      <c r="P1201" s="8" t="str">
        <f ca="1">IFERROR(__xludf.DUMMYFUNCTION("""COMPUTED_VALUE"""),"Harvey")</f>
        <v>Harvey</v>
      </c>
      <c r="Q1201" s="8" t="str">
        <f ca="1">IFERROR(__xludf.DUMMYFUNCTION("""COMPUTED_VALUE"""),"IL")</f>
        <v>IL</v>
      </c>
      <c r="R1201" s="8" t="str">
        <f ca="1">IFERROR(__xludf.DUMMYFUNCTION("""COMPUTED_VALUE"""),"High")</f>
        <v>High</v>
      </c>
      <c r="S1201" s="8" t="str">
        <f ca="1">IFERROR(__xludf.DUMMYFUNCTION("""COMPUTED_VALUE"""),"Front of School")</f>
        <v>Front of School</v>
      </c>
      <c r="T1201" s="8" t="str">
        <f ca="1">IFERROR(__xludf.DUMMYFUNCTION("""COMPUTED_VALUE"""),"Outside on School Property")</f>
        <v>Outside on School Property</v>
      </c>
      <c r="U1201" s="8" t="str">
        <f ca="1">IFERROR(__xludf.DUMMYFUNCTION("""COMPUTED_VALUE"""),"Yes")</f>
        <v>Yes</v>
      </c>
      <c r="V1201" s="8" t="str">
        <f ca="1">IFERROR(__xludf.DUMMYFUNCTION("""COMPUTED_VALUE"""),"Dismissal")</f>
        <v>Dismissal</v>
      </c>
      <c r="W1201" s="11">
        <f ca="1">IFERROR(__xludf.DUMMYFUNCTION("""COMPUTED_VALUE"""),0.625)</f>
        <v>0.625</v>
      </c>
      <c r="X1201" s="8">
        <f ca="1">IFERROR(__xludf.DUMMYFUNCTION("""COMPUTED_VALUE"""),1)</f>
        <v>1</v>
      </c>
      <c r="Y1201" s="12" t="str">
        <f ca="1">IFERROR(__xludf.DUMMYFUNCTION("""COMPUTED_VALUE"""),"Shots fired outside school at dismissal")</f>
        <v>Shots fired outside school at dismissal</v>
      </c>
      <c r="Z1201" s="12" t="str">
        <f ca="1">IFERROR(__xludf.DUMMYFUNCTION("""COMPUTED_VALUE"""),"Shots were fired outside the school at dismissal. Staff and students ran back into the building to take cover. No injuries.")</f>
        <v>Shots were fired outside the school at dismissal. Staff and students ran back into the building to take cover. No injuries.</v>
      </c>
      <c r="AA1201" s="8"/>
      <c r="AB1201" s="8"/>
      <c r="AC1201" s="8" t="str">
        <f ca="1">IFERROR(__xludf.DUMMYFUNCTION("""COMPUTED_VALUE"""),"Yes")</f>
        <v>Yes</v>
      </c>
      <c r="AD1201" s="8"/>
      <c r="AE1201" s="8" t="str">
        <f ca="1">IFERROR(__xludf.DUMMYFUNCTION("""COMPUTED_VALUE"""),"No")</f>
        <v>No</v>
      </c>
      <c r="AF1201" s="8"/>
      <c r="AG1201" s="8" t="str">
        <f ca="1">IFERROR(__xludf.DUMMYFUNCTION("""COMPUTED_VALUE"""),"No")</f>
        <v>No</v>
      </c>
      <c r="AH1201" s="8" t="str">
        <f ca="1">IFERROR(__xludf.DUMMYFUNCTION("""COMPUTED_VALUE"""),"No")</f>
        <v>No</v>
      </c>
      <c r="AI1201" s="8" t="str">
        <f ca="1">IFERROR(__xludf.DUMMYFUNCTION("""COMPUTED_VALUE"""),"No")</f>
        <v>No</v>
      </c>
      <c r="AJ1201" s="8" t="str">
        <f ca="1">IFERROR(__xludf.DUMMYFUNCTION("""COMPUTED_VALUE"""),"No")</f>
        <v>No</v>
      </c>
      <c r="AK1201" s="8" t="str">
        <f ca="1">IFERROR(__xludf.DUMMYFUNCTION("""COMPUTED_VALUE"""),"No")</f>
        <v>No</v>
      </c>
      <c r="AL1201" s="8"/>
      <c r="AM1201" s="8" t="str">
        <f ca="1">IFERROR(__xludf.DUMMYFUNCTION("""COMPUTED_VALUE"""),"No")</f>
        <v>No</v>
      </c>
      <c r="AN1201" s="8"/>
      <c r="AO1201" s="8" t="str">
        <f ca="1">IFERROR(__xludf.DUMMYFUNCTION("""COMPUTED_VALUE"""),"No")</f>
        <v>No</v>
      </c>
      <c r="AP1201" s="8"/>
      <c r="AQ1201" s="8"/>
      <c r="AR1201" s="8"/>
      <c r="AS1201" s="8"/>
      <c r="AT1201" s="8" t="str">
        <f ca="1">IFERROR(__xludf.DUMMYFUNCTION("""COMPUTED_VALUE"""),"Yes")</f>
        <v>Yes</v>
      </c>
      <c r="AU1201" s="8">
        <f ca="1">IFERROR(__xludf.DUMMYFUNCTION("""COMPUTED_VALUE"""),41.615494)</f>
        <v>41.615493999999998</v>
      </c>
      <c r="AV1201" s="8">
        <f ca="1">IFERROR(__xludf.DUMMYFUNCTION("""COMPUTED_VALUE"""),-87.644293)</f>
        <v>-87.644293000000005</v>
      </c>
      <c r="AW1201" s="8"/>
      <c r="AX1201" s="8">
        <f ca="1">IFERROR(__xludf.DUMMYFUNCTION("""COMPUTED_VALUE"""),60426)</f>
        <v>60426</v>
      </c>
    </row>
    <row r="1202" spans="1:50" ht="45" x14ac:dyDescent="0.2">
      <c r="A1202" s="8" t="str">
        <f ca="1">IFERROR(__xludf.DUMMYFUNCTION("""COMPUTED_VALUE"""),"20211123OHCLC")</f>
        <v>20211123OHCLC</v>
      </c>
      <c r="B1202" s="8">
        <f ca="1">IFERROR(__xludf.DUMMYFUNCTION("""COMPUTED_VALUE"""),11)</f>
        <v>11</v>
      </c>
      <c r="C1202" s="8">
        <f ca="1">IFERROR(__xludf.DUMMYFUNCTION("""COMPUTED_VALUE"""),23)</f>
        <v>23</v>
      </c>
      <c r="D1202" s="8">
        <f ca="1">IFERROR(__xludf.DUMMYFUNCTION("""COMPUTED_VALUE"""),2021)</f>
        <v>2021</v>
      </c>
      <c r="E1202" s="9">
        <f ca="1">IFERROR(__xludf.DUMMYFUNCTION("""COMPUTED_VALUE"""),44523)</f>
        <v>44523</v>
      </c>
      <c r="F1202" s="8" t="str">
        <f ca="1">IFERROR(__xludf.DUMMYFUNCTION("""COMPUTED_VALUE"""),"Cleveland School Bus")</f>
        <v>Cleveland School Bus</v>
      </c>
      <c r="G1202" s="8">
        <f ca="1">IFERROR(__xludf.DUMMYFUNCTION("""COMPUTED_VALUE"""),0)</f>
        <v>0</v>
      </c>
      <c r="H1202" s="8">
        <f ca="1">IFERROR(__xludf.DUMMYFUNCTION("""COMPUTED_VALUE"""),0)</f>
        <v>0</v>
      </c>
      <c r="I1202" s="8">
        <f ca="1">IFERROR(__xludf.DUMMYFUNCTION("""COMPUTED_VALUE"""),0)</f>
        <v>0</v>
      </c>
      <c r="J1202" s="8">
        <f ca="1">IFERROR(__xludf.DUMMYFUNCTION("""COMPUTED_VALUE"""),0)</f>
        <v>0</v>
      </c>
      <c r="K1202" s="10" t="str">
        <f ca="1">IFERROR(__xludf.DUMMYFUNCTION("""COMPUTED_VALUE"""),"https://fox8.com/news/cleveland-school-bus-driver-robbed-at-gunpoint/")</f>
        <v>https://fox8.com/news/cleveland-school-bus-driver-robbed-at-gunpoint/</v>
      </c>
      <c r="L1202" s="8">
        <f ca="1">IFERROR(__xludf.DUMMYFUNCTION("""COMPUTED_VALUE"""),1)</f>
        <v>1</v>
      </c>
      <c r="M1202" s="8" t="str">
        <f ca="1">IFERROR(__xludf.DUMMYFUNCTION("""COMPUTED_VALUE"""),"Local")</f>
        <v>Local</v>
      </c>
      <c r="N1202" s="8">
        <f ca="1">IFERROR(__xludf.DUMMYFUNCTION("""COMPUTED_VALUE"""),3)</f>
        <v>3</v>
      </c>
      <c r="O1202" s="8" t="str">
        <f ca="1">IFERROR(__xludf.DUMMYFUNCTION("""COMPUTED_VALUE"""),"Fall")</f>
        <v>Fall</v>
      </c>
      <c r="P1202" s="8" t="str">
        <f ca="1">IFERROR(__xludf.DUMMYFUNCTION("""COMPUTED_VALUE"""),"Cleveland")</f>
        <v>Cleveland</v>
      </c>
      <c r="Q1202" s="8" t="str">
        <f ca="1">IFERROR(__xludf.DUMMYFUNCTION("""COMPUTED_VALUE"""),"OH")</f>
        <v>OH</v>
      </c>
      <c r="R1202" s="8"/>
      <c r="S1202" s="8" t="str">
        <f ca="1">IFERROR(__xludf.DUMMYFUNCTION("""COMPUTED_VALUE"""),"School Bus")</f>
        <v>School Bus</v>
      </c>
      <c r="T1202" s="8" t="str">
        <f ca="1">IFERROR(__xludf.DUMMYFUNCTION("""COMPUTED_VALUE"""),"School Bus")</f>
        <v>School Bus</v>
      </c>
      <c r="U1202" s="8" t="str">
        <f ca="1">IFERROR(__xludf.DUMMYFUNCTION("""COMPUTED_VALUE"""),"Yes")</f>
        <v>Yes</v>
      </c>
      <c r="V1202" s="8" t="str">
        <f ca="1">IFERROR(__xludf.DUMMYFUNCTION("""COMPUTED_VALUE"""),"Before School")</f>
        <v>Before School</v>
      </c>
      <c r="W1202" s="11">
        <f ca="1">IFERROR(__xludf.DUMMYFUNCTION("""COMPUTED_VALUE"""),0.3125)</f>
        <v>0.3125</v>
      </c>
      <c r="X1202" s="8">
        <f ca="1">IFERROR(__xludf.DUMMYFUNCTION("""COMPUTED_VALUE"""),1)</f>
        <v>1</v>
      </c>
      <c r="Y1202" s="12" t="str">
        <f ca="1">IFERROR(__xludf.DUMMYFUNCTION("""COMPUTED_VALUE"""),"Man robbed school bus driver at gunpoint")</f>
        <v>Man robbed school bus driver at gunpoint</v>
      </c>
      <c r="Z1202" s="12" t="str">
        <f ca="1">IFERROR(__xludf.DUMMYFUNCTION("""COMPUTED_VALUE"""),"A adult male robbed a school bus driver at gunpoint as he started the morning route. No students were on the bus during the robbery.")</f>
        <v>A adult male robbed a school bus driver at gunpoint as he started the morning route. No students were on the bus during the robbery.</v>
      </c>
      <c r="AA1202" s="8" t="str">
        <f ca="1">IFERROR(__xludf.DUMMYFUNCTION("""COMPUTED_VALUE"""),"Illegal Activity")</f>
        <v>Illegal Activity</v>
      </c>
      <c r="AB1202" s="8"/>
      <c r="AC1202" s="8" t="str">
        <f ca="1">IFERROR(__xludf.DUMMYFUNCTION("""COMPUTED_VALUE"""),"Yes")</f>
        <v>Yes</v>
      </c>
      <c r="AD1202" s="8" t="str">
        <f ca="1">IFERROR(__xludf.DUMMYFUNCTION("""COMPUTED_VALUE"""),"Neither")</f>
        <v>Neither</v>
      </c>
      <c r="AE1202" s="8" t="str">
        <f ca="1">IFERROR(__xludf.DUMMYFUNCTION("""COMPUTED_VALUE"""),"No")</f>
        <v>No</v>
      </c>
      <c r="AF1202" s="8"/>
      <c r="AG1202" s="8" t="str">
        <f ca="1">IFERROR(__xludf.DUMMYFUNCTION("""COMPUTED_VALUE"""),"No")</f>
        <v>No</v>
      </c>
      <c r="AH1202" s="8" t="str">
        <f ca="1">IFERROR(__xludf.DUMMYFUNCTION("""COMPUTED_VALUE"""),"No")</f>
        <v>No</v>
      </c>
      <c r="AI1202" s="8" t="str">
        <f ca="1">IFERROR(__xludf.DUMMYFUNCTION("""COMPUTED_VALUE"""),"No")</f>
        <v>No</v>
      </c>
      <c r="AJ1202" s="8" t="str">
        <f ca="1">IFERROR(__xludf.DUMMYFUNCTION("""COMPUTED_VALUE"""),"No")</f>
        <v>No</v>
      </c>
      <c r="AK1202" s="8" t="str">
        <f ca="1">IFERROR(__xludf.DUMMYFUNCTION("""COMPUTED_VALUE"""),"No")</f>
        <v>No</v>
      </c>
      <c r="AL1202" s="8" t="str">
        <f ca="1">IFERROR(__xludf.DUMMYFUNCTION("""COMPUTED_VALUE"""),"No")</f>
        <v>No</v>
      </c>
      <c r="AM1202" s="8" t="str">
        <f ca="1">IFERROR(__xludf.DUMMYFUNCTION("""COMPUTED_VALUE"""),"No")</f>
        <v>No</v>
      </c>
      <c r="AN1202" s="8"/>
      <c r="AO1202" s="8" t="str">
        <f ca="1">IFERROR(__xludf.DUMMYFUNCTION("""COMPUTED_VALUE"""),"No")</f>
        <v>No</v>
      </c>
      <c r="AP1202" s="8"/>
      <c r="AQ1202" s="8"/>
      <c r="AR1202" s="8" t="str">
        <f ca="1">IFERROR(__xludf.DUMMYFUNCTION("""COMPUTED_VALUE"""),"Outside/Off-Property")</f>
        <v>Outside/Off-Property</v>
      </c>
      <c r="AS1202" s="8"/>
      <c r="AT1202" s="8"/>
      <c r="AU1202" s="8">
        <f ca="1">IFERROR(__xludf.DUMMYFUNCTION("""COMPUTED_VALUE"""),41.470054)</f>
        <v>41.470053999999998</v>
      </c>
      <c r="AV1202" s="8">
        <f ca="1">IFERROR(__xludf.DUMMYFUNCTION("""COMPUTED_VALUE"""),-81.691441)</f>
        <v>-81.691440999999998</v>
      </c>
      <c r="AW1202" s="8"/>
      <c r="AX1202" s="8">
        <f ca="1">IFERROR(__xludf.DUMMYFUNCTION("""COMPUTED_VALUE"""),44109)</f>
        <v>44109</v>
      </c>
    </row>
    <row r="1203" spans="1:50" ht="150" x14ac:dyDescent="0.2">
      <c r="A1203" s="8" t="str">
        <f ca="1">IFERROR(__xludf.DUMMYFUNCTION("""COMPUTED_VALUE"""),"20211119COHIA")</f>
        <v>20211119COHIA</v>
      </c>
      <c r="B1203" s="8">
        <f ca="1">IFERROR(__xludf.DUMMYFUNCTION("""COMPUTED_VALUE"""),11)</f>
        <v>11</v>
      </c>
      <c r="C1203" s="8">
        <f ca="1">IFERROR(__xludf.DUMMYFUNCTION("""COMPUTED_VALUE"""),19)</f>
        <v>19</v>
      </c>
      <c r="D1203" s="8">
        <f ca="1">IFERROR(__xludf.DUMMYFUNCTION("""COMPUTED_VALUE"""),2021)</f>
        <v>2021</v>
      </c>
      <c r="E1203" s="9">
        <f ca="1">IFERROR(__xludf.DUMMYFUNCTION("""COMPUTED_VALUE"""),44519)</f>
        <v>44519</v>
      </c>
      <c r="F1203" s="8" t="str">
        <f ca="1">IFERROR(__xludf.DUMMYFUNCTION("""COMPUTED_VALUE"""),"Hinkley High School")</f>
        <v>Hinkley High School</v>
      </c>
      <c r="G1203" s="8">
        <f ca="1">IFERROR(__xludf.DUMMYFUNCTION("""COMPUTED_VALUE"""),0)</f>
        <v>0</v>
      </c>
      <c r="H1203" s="8">
        <f ca="1">IFERROR(__xludf.DUMMYFUNCTION("""COMPUTED_VALUE"""),3)</f>
        <v>3</v>
      </c>
      <c r="I1203" s="8">
        <f ca="1">IFERROR(__xludf.DUMMYFUNCTION("""COMPUTED_VALUE"""),3)</f>
        <v>3</v>
      </c>
      <c r="J1203" s="8">
        <f ca="1">IFERROR(__xludf.DUMMYFUNCTION("""COMPUTED_VALUE"""),0)</f>
        <v>0</v>
      </c>
      <c r="K1203" s="10" t="str">
        <f ca="1">IFERROR(__xludf.DUMMYFUNCTION("""COMPUTED_VALUE"""),"https://www.cbsnews.com/colorado/news/four-teens-avoid-prison-after-shooting-in-hinkley-parking-lot/
https://www.cbsnews.com/colorado/news/2-sentenced-hinkley-high-school-parking-lot-shooting/
https://www.denverpost.com/2021/11/19/aurora-high-school-shoot"&amp;"ing-central-hinkley-gun-violence-colorado/ https://www.thedenverchannel.com/news/local-news/2-injured-in-shooting-in-hinkley-high-school-parking-lot-aurora-police-say https://kdvr.com/news/local/aps-security-officer-heroically-returned-fire-at-hinkley-hs-"&amp;"parking-lot-shooting-chief-wilson-said/ https://www.cnn.com/2021/11/20/us/colorado-high-school-shooting-attempted-murder-charge/index.html")</f>
        <v>https://www.cbsnews.com/colorado/news/four-teens-avoid-prison-after-shooting-in-hinkley-parking-lot/
https://www.cbsnews.com/colorado/news/2-sentenced-hinkley-high-school-parking-lot-shooting/
https://www.denverpost.com/2021/11/19/aurora-high-school-shooting-central-hinkley-gun-violence-colorado/ https://www.thedenverchannel.com/news/local-news/2-injured-in-shooting-in-hinkley-high-school-parking-lot-aurora-police-say https://kdvr.com/news/local/aps-security-officer-heroically-returned-fire-at-hinkley-hs-parking-lot-shooting-chief-wilson-said/ https://www.cnn.com/2021/11/20/us/colorado-high-school-shooting-attempted-murder-charge/index.html</v>
      </c>
      <c r="L1203" s="8">
        <f ca="1">IFERROR(__xludf.DUMMYFUNCTION("""COMPUTED_VALUE"""),999)</f>
        <v>999</v>
      </c>
      <c r="M1203" s="8" t="str">
        <f ca="1">IFERROR(__xludf.DUMMYFUNCTION("""COMPUTED_VALUE"""),"International")</f>
        <v>International</v>
      </c>
      <c r="N1203" s="8">
        <f ca="1">IFERROR(__xludf.DUMMYFUNCTION("""COMPUTED_VALUE"""),4)</f>
        <v>4</v>
      </c>
      <c r="O1203" s="8" t="str">
        <f ca="1">IFERROR(__xludf.DUMMYFUNCTION("""COMPUTED_VALUE"""),"Fall")</f>
        <v>Fall</v>
      </c>
      <c r="P1203" s="8" t="str">
        <f ca="1">IFERROR(__xludf.DUMMYFUNCTION("""COMPUTED_VALUE"""),"Aurora")</f>
        <v>Aurora</v>
      </c>
      <c r="Q1203" s="8" t="str">
        <f ca="1">IFERROR(__xludf.DUMMYFUNCTION("""COMPUTED_VALUE"""),"CO")</f>
        <v>CO</v>
      </c>
      <c r="R1203" s="8" t="str">
        <f ca="1">IFERROR(__xludf.DUMMYFUNCTION("""COMPUTED_VALUE"""),"High")</f>
        <v>High</v>
      </c>
      <c r="S1203" s="8" t="str">
        <f ca="1">IFERROR(__xludf.DUMMYFUNCTION("""COMPUTED_VALUE"""),"Parking Lot")</f>
        <v>Parking Lot</v>
      </c>
      <c r="T1203" s="8" t="str">
        <f ca="1">IFERROR(__xludf.DUMMYFUNCTION("""COMPUTED_VALUE"""),"Outside on School Property")</f>
        <v>Outside on School Property</v>
      </c>
      <c r="U1203" s="8"/>
      <c r="V1203" s="8"/>
      <c r="W1203" s="11">
        <f ca="1">IFERROR(__xludf.DUMMYFUNCTION("""COMPUTED_VALUE"""),0.576388888888888)</f>
        <v>0.57638888888888795</v>
      </c>
      <c r="X1203" s="8">
        <f ca="1">IFERROR(__xludf.DUMMYFUNCTION("""COMPUTED_VALUE"""),1)</f>
        <v>1</v>
      </c>
      <c r="Y1203" s="12" t="str">
        <f ca="1">IFERROR(__xludf.DUMMYFUNCTION("""COMPUTED_VALUE"""),"3 students shot in the school parking lot during fight")</f>
        <v>3 students shot in the school parking lot during fight</v>
      </c>
      <c r="Z1203" s="12" t="str">
        <f ca="1">IFERROR(__xludf.DUMMYFUNCTION("""COMPUTED_VALUE"""),"3 teenage students were shot in the school parking lot. Shortly after the physical fight involving multiple teens, a white pickup truck with several people inside drove through the parking lot and people from inside it started shooting. There were numerou"&amp;"s shell casings, of different calibers, that were found on scene. Armed school security officer returned fired and then applied a tourniquet to an injured student. Shooter fled. 4 days prior to the shooting, 6 students were shot in a park across the stree"&amp;"t from another Aurora High School.")</f>
        <v>3 teenage students were shot in the school parking lot. Shortly after the physical fight involving multiple teens, a white pickup truck with several people inside drove through the parking lot and people from inside it started shooting. There were numerous shell casings, of different calibers, that were found on scene. Armed school security officer returned fired and then applied a tourniquet to an injured student. Shooter fled. 4 days prior to the shooting, 6 students were shot in a park across the street from another Aurora High School.</v>
      </c>
      <c r="AA1203" s="8" t="str">
        <f ca="1">IFERROR(__xludf.DUMMYFUNCTION("""COMPUTED_VALUE"""),"Escalation of Dispute")</f>
        <v>Escalation of Dispute</v>
      </c>
      <c r="AB1203" s="8"/>
      <c r="AC1203" s="8" t="str">
        <f ca="1">IFERROR(__xludf.DUMMYFUNCTION("""COMPUTED_VALUE"""),"Yes")</f>
        <v>Yes</v>
      </c>
      <c r="AD1203" s="8" t="str">
        <f ca="1">IFERROR(__xludf.DUMMYFUNCTION("""COMPUTED_VALUE"""),"Victims Targeted")</f>
        <v>Victims Targeted</v>
      </c>
      <c r="AE1203" s="8" t="str">
        <f ca="1">IFERROR(__xludf.DUMMYFUNCTION("""COMPUTED_VALUE"""),"Yes")</f>
        <v>Yes</v>
      </c>
      <c r="AF1203" s="8" t="str">
        <f ca="1">IFERROR(__xludf.DUMMYFUNCTION("""COMPUTED_VALUE"""),"Two shooters")</f>
        <v>Two shooters</v>
      </c>
      <c r="AG1203" s="8" t="str">
        <f ca="1">IFERROR(__xludf.DUMMYFUNCTION("""COMPUTED_VALUE"""),"No")</f>
        <v>No</v>
      </c>
      <c r="AH1203" s="8" t="str">
        <f ca="1">IFERROR(__xludf.DUMMYFUNCTION("""COMPUTED_VALUE"""),"No")</f>
        <v>No</v>
      </c>
      <c r="AI1203" s="8" t="str">
        <f ca="1">IFERROR(__xludf.DUMMYFUNCTION("""COMPUTED_VALUE"""),"No")</f>
        <v>No</v>
      </c>
      <c r="AJ1203" s="8" t="str">
        <f ca="1">IFERROR(__xludf.DUMMYFUNCTION("""COMPUTED_VALUE"""),"No")</f>
        <v>No</v>
      </c>
      <c r="AK1203" s="8" t="str">
        <f ca="1">IFERROR(__xludf.DUMMYFUNCTION("""COMPUTED_VALUE"""),"No")</f>
        <v>No</v>
      </c>
      <c r="AL1203" s="8"/>
      <c r="AM1203" s="8" t="str">
        <f ca="1">IFERROR(__xludf.DUMMYFUNCTION("""COMPUTED_VALUE"""),"No")</f>
        <v>No</v>
      </c>
      <c r="AN1203" s="8"/>
      <c r="AO1203" s="8" t="str">
        <f ca="1">IFERROR(__xludf.DUMMYFUNCTION("""COMPUTED_VALUE"""),"No")</f>
        <v>No</v>
      </c>
      <c r="AP1203" s="8" t="str">
        <f ca="1">IFERROR(__xludf.DUMMYFUNCTION("""COMPUTED_VALUE"""),"Yes")</f>
        <v>Yes</v>
      </c>
      <c r="AQ1203" s="8" t="str">
        <f ca="1">IFERROR(__xludf.DUMMYFUNCTION("""COMPUTED_VALUE"""),"Armed Guards")</f>
        <v>Armed Guards</v>
      </c>
      <c r="AR1203" s="8" t="str">
        <f ca="1">IFERROR(__xludf.DUMMYFUNCTION("""COMPUTED_VALUE"""),"Outside/Off-Property")</f>
        <v>Outside/Off-Property</v>
      </c>
      <c r="AS1203" s="8"/>
      <c r="AT1203" s="8" t="str">
        <f ca="1">IFERROR(__xludf.DUMMYFUNCTION("""COMPUTED_VALUE"""),"Yes")</f>
        <v>Yes</v>
      </c>
      <c r="AU1203" s="8">
        <f ca="1">IFERROR(__xludf.DUMMYFUNCTION("""COMPUTED_VALUE"""),39.734046)</f>
        <v>39.734045999999999</v>
      </c>
      <c r="AV1203" s="8">
        <f ca="1">IFERROR(__xludf.DUMMYFUNCTION("""COMPUTED_VALUE"""),-104.809151)</f>
        <v>-104.809151</v>
      </c>
      <c r="AW1203" s="8"/>
      <c r="AX1203" s="8">
        <f ca="1">IFERROR(__xludf.DUMMYFUNCTION("""COMPUTED_VALUE"""),80011)</f>
        <v>80011</v>
      </c>
    </row>
    <row r="1204" spans="1:50" ht="45" x14ac:dyDescent="0.2">
      <c r="A1204" s="8" t="str">
        <f ca="1">IFERROR(__xludf.DUMMYFUNCTION("""COMPUTED_VALUE"""),"20211119MDGIB")</f>
        <v>20211119MDGIB</v>
      </c>
      <c r="B1204" s="8">
        <f ca="1">IFERROR(__xludf.DUMMYFUNCTION("""COMPUTED_VALUE"""),11)</f>
        <v>11</v>
      </c>
      <c r="C1204" s="8">
        <f ca="1">IFERROR(__xludf.DUMMYFUNCTION("""COMPUTED_VALUE"""),18)</f>
        <v>18</v>
      </c>
      <c r="D1204" s="8">
        <f ca="1">IFERROR(__xludf.DUMMYFUNCTION("""COMPUTED_VALUE"""),2021)</f>
        <v>2021</v>
      </c>
      <c r="E1204" s="9">
        <f ca="1">IFERROR(__xludf.DUMMYFUNCTION("""COMPUTED_VALUE"""),44518)</f>
        <v>44518</v>
      </c>
      <c r="F1204" s="8" t="str">
        <f ca="1">IFERROR(__xludf.DUMMYFUNCTION("""COMPUTED_VALUE"""),"Gilmor Elementary School")</f>
        <v>Gilmor Elementary School</v>
      </c>
      <c r="G1204" s="8">
        <f ca="1">IFERROR(__xludf.DUMMYFUNCTION("""COMPUTED_VALUE"""),1)</f>
        <v>1</v>
      </c>
      <c r="H1204" s="8">
        <f ca="1">IFERROR(__xludf.DUMMYFUNCTION("""COMPUTED_VALUE"""),0)</f>
        <v>0</v>
      </c>
      <c r="I1204" s="8">
        <f ca="1">IFERROR(__xludf.DUMMYFUNCTION("""COMPUTED_VALUE"""),1)</f>
        <v>1</v>
      </c>
      <c r="J1204" s="8">
        <f ca="1">IFERROR(__xludf.DUMMYFUNCTION("""COMPUTED_VALUE"""),0)</f>
        <v>0</v>
      </c>
      <c r="K1204" s="8" t="str">
        <f ca="1">IFERROR(__xludf.DUMMYFUNCTION("""COMPUTED_VALUE"""),"https://baltimore.cbslocal.com/2021/11/18/13-year-old-shot-killed-in-west-baltimore/ https://foxbaltimore.com/news/local/13-year-old-girl-killed-in-west-baltimore")</f>
        <v>https://baltimore.cbslocal.com/2021/11/18/13-year-old-shot-killed-in-west-baltimore/ https://foxbaltimore.com/news/local/13-year-old-girl-killed-in-west-baltimore</v>
      </c>
      <c r="L1204" s="8">
        <f ca="1">IFERROR(__xludf.DUMMYFUNCTION("""COMPUTED_VALUE"""),5)</f>
        <v>5</v>
      </c>
      <c r="M1204" s="8" t="str">
        <f ca="1">IFERROR(__xludf.DUMMYFUNCTION("""COMPUTED_VALUE"""),"Local")</f>
        <v>Local</v>
      </c>
      <c r="N1204" s="8">
        <f ca="1">IFERROR(__xludf.DUMMYFUNCTION("""COMPUTED_VALUE"""),4)</f>
        <v>4</v>
      </c>
      <c r="O1204" s="8" t="str">
        <f ca="1">IFERROR(__xludf.DUMMYFUNCTION("""COMPUTED_VALUE"""),"Fall")</f>
        <v>Fall</v>
      </c>
      <c r="P1204" s="8" t="str">
        <f ca="1">IFERROR(__xludf.DUMMYFUNCTION("""COMPUTED_VALUE"""),"Baltimore")</f>
        <v>Baltimore</v>
      </c>
      <c r="Q1204" s="8" t="str">
        <f ca="1">IFERROR(__xludf.DUMMYFUNCTION("""COMPUTED_VALUE"""),"MD")</f>
        <v>MD</v>
      </c>
      <c r="R1204" s="8" t="str">
        <f ca="1">IFERROR(__xludf.DUMMYFUNCTION("""COMPUTED_VALUE"""),"Elementary")</f>
        <v>Elementary</v>
      </c>
      <c r="S1204" s="8" t="str">
        <f ca="1">IFERROR(__xludf.DUMMYFUNCTION("""COMPUTED_VALUE"""),"Front of School")</f>
        <v>Front of School</v>
      </c>
      <c r="T1204" s="8" t="str">
        <f ca="1">IFERROR(__xludf.DUMMYFUNCTION("""COMPUTED_VALUE"""),"Outside on School Property")</f>
        <v>Outside on School Property</v>
      </c>
      <c r="U1204" s="8" t="str">
        <f ca="1">IFERROR(__xludf.DUMMYFUNCTION("""COMPUTED_VALUE"""),"No")</f>
        <v>No</v>
      </c>
      <c r="V1204" s="8" t="str">
        <f ca="1">IFERROR(__xludf.DUMMYFUNCTION("""COMPUTED_VALUE"""),"Evening")</f>
        <v>Evening</v>
      </c>
      <c r="W1204" s="11">
        <f ca="1">IFERROR(__xludf.DUMMYFUNCTION("""COMPUTED_VALUE"""),0.794444444444444)</f>
        <v>0.79444444444444395</v>
      </c>
      <c r="X1204" s="8">
        <f ca="1">IFERROR(__xludf.DUMMYFUNCTION("""COMPUTED_VALUE"""),1)</f>
        <v>1</v>
      </c>
      <c r="Y1204" s="12" t="str">
        <f ca="1">IFERROR(__xludf.DUMMYFUNCTION("""COMPUTED_VALUE"""),"13-year-old girl shot outside of school")</f>
        <v>13-year-old girl shot outside of school</v>
      </c>
      <c r="Z1204" s="12" t="str">
        <f ca="1">IFERROR(__xludf.DUMMYFUNCTION("""COMPUTED_VALUE"""),"13-year-old girl was shot multiple times outside of elementary school and died at hospital. No other information available.")</f>
        <v>13-year-old girl was shot multiple times outside of elementary school and died at hospital. No other information available.</v>
      </c>
      <c r="AA1204" s="8"/>
      <c r="AB1204" s="8"/>
      <c r="AC1204" s="8" t="str">
        <f ca="1">IFERROR(__xludf.DUMMYFUNCTION("""COMPUTED_VALUE"""),"Yes")</f>
        <v>Yes</v>
      </c>
      <c r="AD1204" s="8" t="str">
        <f ca="1">IFERROR(__xludf.DUMMYFUNCTION("""COMPUTED_VALUE"""),"Victims Targeted")</f>
        <v>Victims Targeted</v>
      </c>
      <c r="AE1204" s="8"/>
      <c r="AF1204" s="8"/>
      <c r="AG1204" s="8" t="str">
        <f ca="1">IFERROR(__xludf.DUMMYFUNCTION("""COMPUTED_VALUE"""),"No")</f>
        <v>No</v>
      </c>
      <c r="AH1204" s="8" t="str">
        <f ca="1">IFERROR(__xludf.DUMMYFUNCTION("""COMPUTED_VALUE"""),"No")</f>
        <v>No</v>
      </c>
      <c r="AI1204" s="8" t="str">
        <f ca="1">IFERROR(__xludf.DUMMYFUNCTION("""COMPUTED_VALUE"""),"No")</f>
        <v>No</v>
      </c>
      <c r="AJ1204" s="8" t="str">
        <f ca="1">IFERROR(__xludf.DUMMYFUNCTION("""COMPUTED_VALUE"""),"No")</f>
        <v>No</v>
      </c>
      <c r="AK1204" s="8"/>
      <c r="AL1204" s="8"/>
      <c r="AM1204" s="8" t="str">
        <f ca="1">IFERROR(__xludf.DUMMYFUNCTION("""COMPUTED_VALUE"""),"No")</f>
        <v>No</v>
      </c>
      <c r="AN1204" s="8"/>
      <c r="AO1204" s="8" t="str">
        <f ca="1">IFERROR(__xludf.DUMMYFUNCTION("""COMPUTED_VALUE"""),"No")</f>
        <v>No</v>
      </c>
      <c r="AP1204" s="8"/>
      <c r="AQ1204" s="8"/>
      <c r="AR1204" s="8" t="str">
        <f ca="1">IFERROR(__xludf.DUMMYFUNCTION("""COMPUTED_VALUE"""),"Outside/Off-Property")</f>
        <v>Outside/Off-Property</v>
      </c>
      <c r="AS1204" s="8"/>
      <c r="AT1204" s="8"/>
      <c r="AU1204" s="8">
        <f ca="1">IFERROR(__xludf.DUMMYFUNCTION("""COMPUTED_VALUE"""),39.304056)</f>
        <v>39.304056000000003</v>
      </c>
      <c r="AV1204" s="8">
        <f ca="1">IFERROR(__xludf.DUMMYFUNCTION("""COMPUTED_VALUE"""),-76.642303)</f>
        <v>-76.642302999999998</v>
      </c>
      <c r="AW1204" s="8"/>
      <c r="AX1204" s="8">
        <f ca="1">IFERROR(__xludf.DUMMYFUNCTION("""COMPUTED_VALUE"""),21217)</f>
        <v>21217</v>
      </c>
    </row>
    <row r="1205" spans="1:50" ht="45" x14ac:dyDescent="0.2">
      <c r="A1205" s="8" t="str">
        <f ca="1">IFERROR(__xludf.DUMMYFUNCTION("""COMPUTED_VALUE"""),"20211117CAORA")</f>
        <v>20211117CAORA</v>
      </c>
      <c r="B1205" s="8">
        <f ca="1">IFERROR(__xludf.DUMMYFUNCTION("""COMPUTED_VALUE"""),11)</f>
        <v>11</v>
      </c>
      <c r="C1205" s="8">
        <f ca="1">IFERROR(__xludf.DUMMYFUNCTION("""COMPUTED_VALUE"""),17)</f>
        <v>17</v>
      </c>
      <c r="D1205" s="8">
        <f ca="1">IFERROR(__xludf.DUMMYFUNCTION("""COMPUTED_VALUE"""),2021)</f>
        <v>2021</v>
      </c>
      <c r="E1205" s="9">
        <f ca="1">IFERROR(__xludf.DUMMYFUNCTION("""COMPUTED_VALUE"""),44517)</f>
        <v>44517</v>
      </c>
      <c r="F1205" s="8" t="str">
        <f ca="1">IFERROR(__xludf.DUMMYFUNCTION("""COMPUTED_VALUE"""),"Orangeview Junior High School")</f>
        <v>Orangeview Junior High School</v>
      </c>
      <c r="G1205" s="8">
        <f ca="1">IFERROR(__xludf.DUMMYFUNCTION("""COMPUTED_VALUE"""),0)</f>
        <v>0</v>
      </c>
      <c r="H1205" s="8">
        <f ca="1">IFERROR(__xludf.DUMMYFUNCTION("""COMPUTED_VALUE"""),1)</f>
        <v>1</v>
      </c>
      <c r="I1205" s="8">
        <f ca="1">IFERROR(__xludf.DUMMYFUNCTION("""COMPUTED_VALUE"""),0)</f>
        <v>0</v>
      </c>
      <c r="J1205" s="8">
        <f ca="1">IFERROR(__xludf.DUMMYFUNCTION("""COMPUTED_VALUE"""),0)</f>
        <v>0</v>
      </c>
      <c r="K1205" s="10" t="str">
        <f ca="1">IFERROR(__xludf.DUMMYFUNCTION("""COMPUTED_VALUE"""),"https://mynewsla.com/crime/2021/11/17/teens-attempted-suicide-prompts-anaheim-school-to-dismiss-classes/")</f>
        <v>https://mynewsla.com/crime/2021/11/17/teens-attempted-suicide-prompts-anaheim-school-to-dismiss-classes/</v>
      </c>
      <c r="L1205" s="8">
        <f ca="1">IFERROR(__xludf.DUMMYFUNCTION("""COMPUTED_VALUE"""),1)</f>
        <v>1</v>
      </c>
      <c r="M1205" s="8" t="str">
        <f ca="1">IFERROR(__xludf.DUMMYFUNCTION("""COMPUTED_VALUE"""),"Local")</f>
        <v>Local</v>
      </c>
      <c r="N1205" s="8">
        <f ca="1">IFERROR(__xludf.DUMMYFUNCTION("""COMPUTED_VALUE"""),3)</f>
        <v>3</v>
      </c>
      <c r="O1205" s="8" t="str">
        <f ca="1">IFERROR(__xludf.DUMMYFUNCTION("""COMPUTED_VALUE"""),"Fall")</f>
        <v>Fall</v>
      </c>
      <c r="P1205" s="8" t="str">
        <f ca="1">IFERROR(__xludf.DUMMYFUNCTION("""COMPUTED_VALUE"""),"Anaheim")</f>
        <v>Anaheim</v>
      </c>
      <c r="Q1205" s="8" t="str">
        <f ca="1">IFERROR(__xludf.DUMMYFUNCTION("""COMPUTED_VALUE"""),"CA")</f>
        <v>CA</v>
      </c>
      <c r="R1205" s="8" t="str">
        <f ca="1">IFERROR(__xludf.DUMMYFUNCTION("""COMPUTED_VALUE"""),"Middle")</f>
        <v>Middle</v>
      </c>
      <c r="S1205" s="8" t="str">
        <f ca="1">IFERROR(__xludf.DUMMYFUNCTION("""COMPUTED_VALUE"""),"Inside School Building")</f>
        <v>Inside School Building</v>
      </c>
      <c r="T1205" s="8" t="str">
        <f ca="1">IFERROR(__xludf.DUMMYFUNCTION("""COMPUTED_VALUE"""),"Inside School Building")</f>
        <v>Inside School Building</v>
      </c>
      <c r="U1205" s="8" t="str">
        <f ca="1">IFERROR(__xludf.DUMMYFUNCTION("""COMPUTED_VALUE"""),"No")</f>
        <v>No</v>
      </c>
      <c r="V1205" s="8" t="str">
        <f ca="1">IFERROR(__xludf.DUMMYFUNCTION("""COMPUTED_VALUE"""),"Morning Classes")</f>
        <v>Morning Classes</v>
      </c>
      <c r="W1205" s="11">
        <f ca="1">IFERROR(__xludf.DUMMYFUNCTION("""COMPUTED_VALUE"""),0.354166666666666)</f>
        <v>0.35416666666666602</v>
      </c>
      <c r="X1205" s="8">
        <f ca="1">IFERROR(__xludf.DUMMYFUNCTION("""COMPUTED_VALUE"""),1)</f>
        <v>1</v>
      </c>
      <c r="Y1205" s="12" t="str">
        <f ca="1">IFERROR(__xludf.DUMMYFUNCTION("""COMPUTED_VALUE"""),"Female student attempted suicide, critical condition")</f>
        <v>Female student attempted suicide, critical condition</v>
      </c>
      <c r="Z1205" s="12" t="str">
        <f ca="1">IFERROR(__xludf.DUMMYFUNCTION("""COMPUTED_VALUE"""),"Female student attempted suicide, critical condition. School went on lockdown.")</f>
        <v>Female student attempted suicide, critical condition. School went on lockdown.</v>
      </c>
      <c r="AA1205" s="8" t="str">
        <f ca="1">IFERROR(__xludf.DUMMYFUNCTION("""COMPUTED_VALUE"""),"Suicide/Attempted")</f>
        <v>Suicide/Attempted</v>
      </c>
      <c r="AB1205" s="8" t="str">
        <f ca="1">IFERROR(__xludf.DUMMYFUNCTION("""COMPUTED_VALUE"""),"Targeted")</f>
        <v>Targeted</v>
      </c>
      <c r="AC1205" s="8" t="str">
        <f ca="1">IFERROR(__xludf.DUMMYFUNCTION("""COMPUTED_VALUE"""),"Yes")</f>
        <v>Yes</v>
      </c>
      <c r="AD1205" s="8" t="str">
        <f ca="1">IFERROR(__xludf.DUMMYFUNCTION("""COMPUTED_VALUE"""),"Victims Targeted")</f>
        <v>Victims Targeted</v>
      </c>
      <c r="AE1205" s="8"/>
      <c r="AF1205" s="8"/>
      <c r="AG1205" s="8" t="str">
        <f ca="1">IFERROR(__xludf.DUMMYFUNCTION("""COMPUTED_VALUE"""),"No")</f>
        <v>No</v>
      </c>
      <c r="AH1205" s="8" t="str">
        <f ca="1">IFERROR(__xludf.DUMMYFUNCTION("""COMPUTED_VALUE"""),"No")</f>
        <v>No</v>
      </c>
      <c r="AI1205" s="8" t="str">
        <f ca="1">IFERROR(__xludf.DUMMYFUNCTION("""COMPUTED_VALUE"""),"No")</f>
        <v>No</v>
      </c>
      <c r="AJ1205" s="8"/>
      <c r="AK1205" s="8" t="str">
        <f ca="1">IFERROR(__xludf.DUMMYFUNCTION("""COMPUTED_VALUE"""),"No")</f>
        <v>No</v>
      </c>
      <c r="AL1205" s="8" t="str">
        <f ca="1">IFERROR(__xludf.DUMMYFUNCTION("""COMPUTED_VALUE"""),"No")</f>
        <v>No</v>
      </c>
      <c r="AM1205" s="8" t="str">
        <f ca="1">IFERROR(__xludf.DUMMYFUNCTION("""COMPUTED_VALUE"""),"No")</f>
        <v>No</v>
      </c>
      <c r="AN1205" s="8" t="str">
        <f ca="1">IFERROR(__xludf.DUMMYFUNCTION("""COMPUTED_VALUE"""),"Single Room")</f>
        <v>Single Room</v>
      </c>
      <c r="AO1205" s="8" t="str">
        <f ca="1">IFERROR(__xludf.DUMMYFUNCTION("""COMPUTED_VALUE"""),"No")</f>
        <v>No</v>
      </c>
      <c r="AP1205" s="8"/>
      <c r="AQ1205" s="8"/>
      <c r="AR1205" s="8" t="str">
        <f ca="1">IFERROR(__xludf.DUMMYFUNCTION("""COMPUTED_VALUE"""),"Failed")</f>
        <v>Failed</v>
      </c>
      <c r="AS1205" s="8">
        <f ca="1">IFERROR(__xludf.DUMMYFUNCTION("""COMPUTED_VALUE"""),1)</f>
        <v>1</v>
      </c>
      <c r="AT1205" s="8"/>
      <c r="AU1205" s="8">
        <f ca="1">IFERROR(__xludf.DUMMYFUNCTION("""COMPUTED_VALUE"""),33.826212)</f>
        <v>33.826211999999998</v>
      </c>
      <c r="AV1205" s="8">
        <f ca="1">IFERROR(__xludf.DUMMYFUNCTION("""COMPUTED_VALUE"""),-118.01371)</f>
        <v>-118.01371</v>
      </c>
      <c r="AW1205" s="8"/>
      <c r="AX1205" s="8">
        <f ca="1">IFERROR(__xludf.DUMMYFUNCTION("""COMPUTED_VALUE"""),92804)</f>
        <v>92804</v>
      </c>
    </row>
    <row r="1206" spans="1:50" ht="60" x14ac:dyDescent="0.2">
      <c r="A1206" s="8" t="str">
        <f ca="1">IFERROR(__xludf.DUMMYFUNCTION("""COMPUTED_VALUE"""),"20211116LAABA")</f>
        <v>20211116LAABA</v>
      </c>
      <c r="B1206" s="8">
        <f ca="1">IFERROR(__xludf.DUMMYFUNCTION("""COMPUTED_VALUE"""),11)</f>
        <v>11</v>
      </c>
      <c r="C1206" s="8">
        <f ca="1">IFERROR(__xludf.DUMMYFUNCTION("""COMPUTED_VALUE"""),16)</f>
        <v>16</v>
      </c>
      <c r="D1206" s="8">
        <f ca="1">IFERROR(__xludf.DUMMYFUNCTION("""COMPUTED_VALUE"""),2021)</f>
        <v>2021</v>
      </c>
      <c r="E1206" s="9">
        <f ca="1">IFERROR(__xludf.DUMMYFUNCTION("""COMPUTED_VALUE"""),44516)</f>
        <v>44516</v>
      </c>
      <c r="F1206" s="8" t="str">
        <f ca="1">IFERROR(__xludf.DUMMYFUNCTION("""COMPUTED_VALUE"""),"Abbeville School Bus")</f>
        <v>Abbeville School Bus</v>
      </c>
      <c r="G1206" s="8">
        <f ca="1">IFERROR(__xludf.DUMMYFUNCTION("""COMPUTED_VALUE"""),1)</f>
        <v>1</v>
      </c>
      <c r="H1206" s="8">
        <f ca="1">IFERROR(__xludf.DUMMYFUNCTION("""COMPUTED_VALUE"""),0)</f>
        <v>0</v>
      </c>
      <c r="I1206" s="8">
        <f ca="1">IFERROR(__xludf.DUMMYFUNCTION("""COMPUTED_VALUE"""),1)</f>
        <v>1</v>
      </c>
      <c r="J1206" s="8">
        <f ca="1">IFERROR(__xludf.DUMMYFUNCTION("""COMPUTED_VALUE"""),0)</f>
        <v>0</v>
      </c>
      <c r="K1206" s="10" t="str">
        <f ca="1">IFERROR(__xludf.DUMMYFUNCTION("""COMPUTED_VALUE"""),"https://www.klfy.com/local/vermilion-parish/teen-shot-in-head-getting-off-school-bus-in-abbeville-undergoes-hours-of-surgery/")</f>
        <v>https://www.klfy.com/local/vermilion-parish/teen-shot-in-head-getting-off-school-bus-in-abbeville-undergoes-hours-of-surgery/</v>
      </c>
      <c r="L1206" s="8">
        <f ca="1">IFERROR(__xludf.DUMMYFUNCTION("""COMPUTED_VALUE"""),5)</f>
        <v>5</v>
      </c>
      <c r="M1206" s="8" t="str">
        <f ca="1">IFERROR(__xludf.DUMMYFUNCTION("""COMPUTED_VALUE"""),"Local")</f>
        <v>Local</v>
      </c>
      <c r="N1206" s="8">
        <f ca="1">IFERROR(__xludf.DUMMYFUNCTION("""COMPUTED_VALUE"""),4)</f>
        <v>4</v>
      </c>
      <c r="O1206" s="8" t="str">
        <f ca="1">IFERROR(__xludf.DUMMYFUNCTION("""COMPUTED_VALUE"""),"Fall")</f>
        <v>Fall</v>
      </c>
      <c r="P1206" s="8" t="str">
        <f ca="1">IFERROR(__xludf.DUMMYFUNCTION("""COMPUTED_VALUE"""),"Abbeville")</f>
        <v>Abbeville</v>
      </c>
      <c r="Q1206" s="8" t="str">
        <f ca="1">IFERROR(__xludf.DUMMYFUNCTION("""COMPUTED_VALUE"""),"LA")</f>
        <v>LA</v>
      </c>
      <c r="R1206" s="8"/>
      <c r="S1206" s="8" t="str">
        <f ca="1">IFERROR(__xludf.DUMMYFUNCTION("""COMPUTED_VALUE"""),"School Bus")</f>
        <v>School Bus</v>
      </c>
      <c r="T1206" s="8" t="str">
        <f ca="1">IFERROR(__xludf.DUMMYFUNCTION("""COMPUTED_VALUE"""),"School Bus")</f>
        <v>School Bus</v>
      </c>
      <c r="U1206" s="8" t="str">
        <f ca="1">IFERROR(__xludf.DUMMYFUNCTION("""COMPUTED_VALUE"""),"Yes")</f>
        <v>Yes</v>
      </c>
      <c r="V1206" s="8" t="str">
        <f ca="1">IFERROR(__xludf.DUMMYFUNCTION("""COMPUTED_VALUE"""),"Dismissal")</f>
        <v>Dismissal</v>
      </c>
      <c r="W1206" s="11">
        <f ca="1">IFERROR(__xludf.DUMMYFUNCTION("""COMPUTED_VALUE"""),0.645833333333333)</f>
        <v>0.64583333333333304</v>
      </c>
      <c r="X1206" s="8">
        <f ca="1">IFERROR(__xludf.DUMMYFUNCTION("""COMPUTED_VALUE"""),1)</f>
        <v>1</v>
      </c>
      <c r="Y1206" s="12" t="str">
        <f ca="1">IFERROR(__xludf.DUMMYFUNCTION("""COMPUTED_VALUE"""),"Student shot in the back of the head while getting of the school bus")</f>
        <v>Student shot in the back of the head while getting of the school bus</v>
      </c>
      <c r="Z1206" s="12" t="str">
        <f ca="1">IFERROR(__xludf.DUMMYFUNCTION("""COMPUTED_VALUE"""),"Student shot in the back of the head while getting of the school bus")</f>
        <v>Student shot in the back of the head while getting of the school bus</v>
      </c>
      <c r="AA1206" s="8"/>
      <c r="AB1206" s="8" t="str">
        <f ca="1">IFERROR(__xludf.DUMMYFUNCTION("""COMPUTED_VALUE"""),"Targeted")</f>
        <v>Targeted</v>
      </c>
      <c r="AC1206" s="8" t="str">
        <f ca="1">IFERROR(__xludf.DUMMYFUNCTION("""COMPUTED_VALUE"""),"Yes")</f>
        <v>Yes</v>
      </c>
      <c r="AD1206" s="8" t="str">
        <f ca="1">IFERROR(__xludf.DUMMYFUNCTION("""COMPUTED_VALUE"""),"Victims Targeted")</f>
        <v>Victims Targeted</v>
      </c>
      <c r="AE1206" s="8"/>
      <c r="AF1206" s="8"/>
      <c r="AG1206" s="8" t="str">
        <f ca="1">IFERROR(__xludf.DUMMYFUNCTION("""COMPUTED_VALUE"""),"No")</f>
        <v>No</v>
      </c>
      <c r="AH1206" s="8" t="str">
        <f ca="1">IFERROR(__xludf.DUMMYFUNCTION("""COMPUTED_VALUE"""),"No")</f>
        <v>No</v>
      </c>
      <c r="AI1206" s="8" t="str">
        <f ca="1">IFERROR(__xludf.DUMMYFUNCTION("""COMPUTED_VALUE"""),"No")</f>
        <v>No</v>
      </c>
      <c r="AJ1206" s="8" t="str">
        <f ca="1">IFERROR(__xludf.DUMMYFUNCTION("""COMPUTED_VALUE"""),"No")</f>
        <v>No</v>
      </c>
      <c r="AK1206" s="8" t="str">
        <f ca="1">IFERROR(__xludf.DUMMYFUNCTION("""COMPUTED_VALUE"""),"No")</f>
        <v>No</v>
      </c>
      <c r="AL1206" s="8"/>
      <c r="AM1206" s="8" t="str">
        <f ca="1">IFERROR(__xludf.DUMMYFUNCTION("""COMPUTED_VALUE"""),"No")</f>
        <v>No</v>
      </c>
      <c r="AN1206" s="8" t="str">
        <f ca="1">IFERROR(__xludf.DUMMYFUNCTION("""COMPUTED_VALUE"""),"Outside")</f>
        <v>Outside</v>
      </c>
      <c r="AO1206" s="8" t="str">
        <f ca="1">IFERROR(__xludf.DUMMYFUNCTION("""COMPUTED_VALUE"""),"No")</f>
        <v>No</v>
      </c>
      <c r="AP1206" s="8"/>
      <c r="AQ1206" s="8"/>
      <c r="AR1206" s="8"/>
      <c r="AS1206" s="8"/>
      <c r="AT1206" s="8"/>
      <c r="AU1206" s="8">
        <f ca="1">IFERROR(__xludf.DUMMYFUNCTION("""COMPUTED_VALUE"""),29.971222)</f>
        <v>29.971222000000001</v>
      </c>
      <c r="AV1206" s="8">
        <f ca="1">IFERROR(__xludf.DUMMYFUNCTION("""COMPUTED_VALUE"""),-92.132933)</f>
        <v>-92.132932999999994</v>
      </c>
      <c r="AW1206" s="8"/>
      <c r="AX1206" s="8">
        <f ca="1">IFERROR(__xludf.DUMMYFUNCTION("""COMPUTED_VALUE"""),70510)</f>
        <v>70510</v>
      </c>
    </row>
    <row r="1207" spans="1:50" ht="75" x14ac:dyDescent="0.2">
      <c r="A1207" s="8" t="str">
        <f ca="1">IFERROR(__xludf.DUMMYFUNCTION("""COMPUTED_VALUE"""),"20211116NYPSB")</f>
        <v>20211116NYPSB</v>
      </c>
      <c r="B1207" s="8">
        <f ca="1">IFERROR(__xludf.DUMMYFUNCTION("""COMPUTED_VALUE"""),11)</f>
        <v>11</v>
      </c>
      <c r="C1207" s="8">
        <f ca="1">IFERROR(__xludf.DUMMYFUNCTION("""COMPUTED_VALUE"""),16)</f>
        <v>16</v>
      </c>
      <c r="D1207" s="8">
        <f ca="1">IFERROR(__xludf.DUMMYFUNCTION("""COMPUTED_VALUE"""),2021)</f>
        <v>2021</v>
      </c>
      <c r="E1207" s="9">
        <f ca="1">IFERROR(__xludf.DUMMYFUNCTION("""COMPUTED_VALUE"""),44516)</f>
        <v>44516</v>
      </c>
      <c r="F1207" s="8" t="str">
        <f ca="1">IFERROR(__xludf.DUMMYFUNCTION("""COMPUTED_VALUE"""),"P.S. 44")</f>
        <v>P.S. 44</v>
      </c>
      <c r="G1207" s="8">
        <f ca="1">IFERROR(__xludf.DUMMYFUNCTION("""COMPUTED_VALUE"""),0)</f>
        <v>0</v>
      </c>
      <c r="H1207" s="8">
        <f ca="1">IFERROR(__xludf.DUMMYFUNCTION("""COMPUTED_VALUE"""),0)</f>
        <v>0</v>
      </c>
      <c r="I1207" s="8">
        <f ca="1">IFERROR(__xludf.DUMMYFUNCTION("""COMPUTED_VALUE"""),0)</f>
        <v>0</v>
      </c>
      <c r="J1207" s="8">
        <f ca="1">IFERROR(__xludf.DUMMYFUNCTION("""COMPUTED_VALUE"""),0)</f>
        <v>0</v>
      </c>
      <c r="K1207" s="10" t="str">
        <f ca="1">IFERROR(__xludf.DUMMYFUNCTION("""COMPUTED_VALUE"""),"https://nypost.com/2021/11/18/cops-arrest-gunman-who-fired-outside-nyc-school-police-say/")</f>
        <v>https://nypost.com/2021/11/18/cops-arrest-gunman-who-fired-outside-nyc-school-police-say/</v>
      </c>
      <c r="L1207" s="8">
        <f ca="1">IFERROR(__xludf.DUMMYFUNCTION("""COMPUTED_VALUE"""),1)</f>
        <v>1</v>
      </c>
      <c r="M1207" s="8" t="str">
        <f ca="1">IFERROR(__xludf.DUMMYFUNCTION("""COMPUTED_VALUE"""),"Local")</f>
        <v>Local</v>
      </c>
      <c r="N1207" s="8">
        <f ca="1">IFERROR(__xludf.DUMMYFUNCTION("""COMPUTED_VALUE"""),3)</f>
        <v>3</v>
      </c>
      <c r="O1207" s="8" t="str">
        <f ca="1">IFERROR(__xludf.DUMMYFUNCTION("""COMPUTED_VALUE"""),"Fall")</f>
        <v>Fall</v>
      </c>
      <c r="P1207" s="8" t="str">
        <f ca="1">IFERROR(__xludf.DUMMYFUNCTION("""COMPUTED_VALUE"""),"Bronx")</f>
        <v>Bronx</v>
      </c>
      <c r="Q1207" s="8" t="str">
        <f ca="1">IFERROR(__xludf.DUMMYFUNCTION("""COMPUTED_VALUE"""),"NY")</f>
        <v>NY</v>
      </c>
      <c r="R1207" s="8" t="str">
        <f ca="1">IFERROR(__xludf.DUMMYFUNCTION("""COMPUTED_VALUE"""),"Elementary")</f>
        <v>Elementary</v>
      </c>
      <c r="S1207" s="8" t="str">
        <f ca="1">IFERROR(__xludf.DUMMYFUNCTION("""COMPUTED_VALUE"""),"Front of School")</f>
        <v>Front of School</v>
      </c>
      <c r="T1207" s="8" t="str">
        <f ca="1">IFERROR(__xludf.DUMMYFUNCTION("""COMPUTED_VALUE"""),"Outside on School Property")</f>
        <v>Outside on School Property</v>
      </c>
      <c r="U1207" s="8" t="str">
        <f ca="1">IFERROR(__xludf.DUMMYFUNCTION("""COMPUTED_VALUE"""),"Yes")</f>
        <v>Yes</v>
      </c>
      <c r="V1207" s="8" t="str">
        <f ca="1">IFERROR(__xludf.DUMMYFUNCTION("""COMPUTED_VALUE"""),"Dismissal")</f>
        <v>Dismissal</v>
      </c>
      <c r="W1207" s="11">
        <f ca="1">IFERROR(__xludf.DUMMYFUNCTION("""COMPUTED_VALUE"""),0.59375)</f>
        <v>0.59375</v>
      </c>
      <c r="X1207" s="8">
        <f ca="1">IFERROR(__xludf.DUMMYFUNCTION("""COMPUTED_VALUE"""),1)</f>
        <v>1</v>
      </c>
      <c r="Y1207" s="12" t="str">
        <f ca="1">IFERROR(__xludf.DUMMYFUNCTION("""COMPUTED_VALUE"""),"Shots fired outside school at dismissal by adult male")</f>
        <v>Shots fired outside school at dismissal by adult male</v>
      </c>
      <c r="Z1207" s="12" t="str">
        <f ca="1">IFERROR(__xludf.DUMMYFUNCTION("""COMPUTED_VALUE"""),"A 45-year-old male fired multiple shot outside of the school at dismissal. One shot struck a vehicle. A NYPD Youth Coordination Officer assigned to the school detained the shooter. He was charged with multiple crimes including possession of a weapon at a "&amp;"school.")</f>
        <v>A 45-year-old male fired multiple shot outside of the school at dismissal. One shot struck a vehicle. A NYPD Youth Coordination Officer assigned to the school detained the shooter. He was charged with multiple crimes including possession of a weapon at a school.</v>
      </c>
      <c r="AA1207" s="8"/>
      <c r="AB1207" s="8"/>
      <c r="AC1207" s="8" t="str">
        <f ca="1">IFERROR(__xludf.DUMMYFUNCTION("""COMPUTED_VALUE"""),"Yes")</f>
        <v>Yes</v>
      </c>
      <c r="AD1207" s="8" t="str">
        <f ca="1">IFERROR(__xludf.DUMMYFUNCTION("""COMPUTED_VALUE"""),"Victims Targeted")</f>
        <v>Victims Targeted</v>
      </c>
      <c r="AE1207" s="8" t="str">
        <f ca="1">IFERROR(__xludf.DUMMYFUNCTION("""COMPUTED_VALUE"""),"No")</f>
        <v>No</v>
      </c>
      <c r="AF1207" s="8"/>
      <c r="AG1207" s="8" t="str">
        <f ca="1">IFERROR(__xludf.DUMMYFUNCTION("""COMPUTED_VALUE"""),"No")</f>
        <v>No</v>
      </c>
      <c r="AH1207" s="8" t="str">
        <f ca="1">IFERROR(__xludf.DUMMYFUNCTION("""COMPUTED_VALUE"""),"No")</f>
        <v>No</v>
      </c>
      <c r="AI1207" s="8" t="str">
        <f ca="1">IFERROR(__xludf.DUMMYFUNCTION("""COMPUTED_VALUE"""),"No")</f>
        <v>No</v>
      </c>
      <c r="AJ1207" s="8" t="str">
        <f ca="1">IFERROR(__xludf.DUMMYFUNCTION("""COMPUTED_VALUE"""),"No")</f>
        <v>No</v>
      </c>
      <c r="AK1207" s="8" t="str">
        <f ca="1">IFERROR(__xludf.DUMMYFUNCTION("""COMPUTED_VALUE"""),"No")</f>
        <v>No</v>
      </c>
      <c r="AL1207" s="8"/>
      <c r="AM1207" s="8" t="str">
        <f ca="1">IFERROR(__xludf.DUMMYFUNCTION("""COMPUTED_VALUE"""),"No")</f>
        <v>No</v>
      </c>
      <c r="AN1207" s="8"/>
      <c r="AO1207" s="8" t="str">
        <f ca="1">IFERROR(__xludf.DUMMYFUNCTION("""COMPUTED_VALUE"""),"No")</f>
        <v>No</v>
      </c>
      <c r="AP1207" s="8" t="str">
        <f ca="1">IFERROR(__xludf.DUMMYFUNCTION("""COMPUTED_VALUE"""),"Yes")</f>
        <v>Yes</v>
      </c>
      <c r="AQ1207" s="8" t="str">
        <f ca="1">IFERROR(__xludf.DUMMYFUNCTION("""COMPUTED_VALUE"""),"Guards")</f>
        <v>Guards</v>
      </c>
      <c r="AR1207" s="8" t="str">
        <f ca="1">IFERROR(__xludf.DUMMYFUNCTION("""COMPUTED_VALUE"""),"Outside/Off-Property")</f>
        <v>Outside/Off-Property</v>
      </c>
      <c r="AS1207" s="8"/>
      <c r="AT1207" s="8"/>
      <c r="AU1207" s="8">
        <f ca="1">IFERROR(__xludf.DUMMYFUNCTION("""COMPUTED_VALUE"""),40.842204)</f>
        <v>40.842204000000002</v>
      </c>
      <c r="AV1207" s="8">
        <f ca="1">IFERROR(__xludf.DUMMYFUNCTION("""COMPUTED_VALUE"""),-73.890976)</f>
        <v>-73.890975999999995</v>
      </c>
      <c r="AW1207" s="8"/>
      <c r="AX1207" s="8">
        <f ca="1">IFERROR(__xludf.DUMMYFUNCTION("""COMPUTED_VALUE"""),10457)</f>
        <v>10457</v>
      </c>
    </row>
    <row r="1208" spans="1:50" ht="75" x14ac:dyDescent="0.2">
      <c r="A1208" s="8" t="str">
        <f ca="1">IFERROR(__xludf.DUMMYFUNCTION("""COMPUTED_VALUE"""),"20211116FLJAJ")</f>
        <v>20211116FLJAJ</v>
      </c>
      <c r="B1208" s="8">
        <f ca="1">IFERROR(__xludf.DUMMYFUNCTION("""COMPUTED_VALUE"""),11)</f>
        <v>11</v>
      </c>
      <c r="C1208" s="8">
        <f ca="1">IFERROR(__xludf.DUMMYFUNCTION("""COMPUTED_VALUE"""),16)</f>
        <v>16</v>
      </c>
      <c r="D1208" s="8">
        <f ca="1">IFERROR(__xludf.DUMMYFUNCTION("""COMPUTED_VALUE"""),2021)</f>
        <v>2021</v>
      </c>
      <c r="E1208" s="9">
        <f ca="1">IFERROR(__xludf.DUMMYFUNCTION("""COMPUTED_VALUE"""),44516)</f>
        <v>44516</v>
      </c>
      <c r="F1208" s="8" t="str">
        <f ca="1">IFERROR(__xludf.DUMMYFUNCTION("""COMPUTED_VALUE"""),"Jacksonville School Bus")</f>
        <v>Jacksonville School Bus</v>
      </c>
      <c r="G1208" s="8">
        <f ca="1">IFERROR(__xludf.DUMMYFUNCTION("""COMPUTED_VALUE"""),0)</f>
        <v>0</v>
      </c>
      <c r="H1208" s="8">
        <f ca="1">IFERROR(__xludf.DUMMYFUNCTION("""COMPUTED_VALUE"""),0)</f>
        <v>0</v>
      </c>
      <c r="I1208" s="8">
        <f ca="1">IFERROR(__xludf.DUMMYFUNCTION("""COMPUTED_VALUE"""),0)</f>
        <v>0</v>
      </c>
      <c r="J1208" s="8">
        <f ca="1">IFERROR(__xludf.DUMMYFUNCTION("""COMPUTED_VALUE"""),0)</f>
        <v>0</v>
      </c>
      <c r="K1208" s="10" t="str">
        <f ca="1">IFERROR(__xludf.DUMMYFUNCTION("""COMPUTED_VALUE"""),"https://www.firstcoastnews.com/article/news/crime/jso-2-critically-wounded-after-moncrief-area-shooting-school-bus-hit-by-gunfire-jacksonville/77-3869f63b-d473-4a45-9724-e3fb6b7ba011")</f>
        <v>https://www.firstcoastnews.com/article/news/crime/jso-2-critically-wounded-after-moncrief-area-shooting-school-bus-hit-by-gunfire-jacksonville/77-3869f63b-d473-4a45-9724-e3fb6b7ba011</v>
      </c>
      <c r="L1208" s="8">
        <f ca="1">IFERROR(__xludf.DUMMYFUNCTION("""COMPUTED_VALUE"""),1)</f>
        <v>1</v>
      </c>
      <c r="M1208" s="8" t="str">
        <f ca="1">IFERROR(__xludf.DUMMYFUNCTION("""COMPUTED_VALUE"""),"Local")</f>
        <v>Local</v>
      </c>
      <c r="N1208" s="8">
        <f ca="1">IFERROR(__xludf.DUMMYFUNCTION("""COMPUTED_VALUE"""),3)</f>
        <v>3</v>
      </c>
      <c r="O1208" s="8" t="str">
        <f ca="1">IFERROR(__xludf.DUMMYFUNCTION("""COMPUTED_VALUE"""),"Fall")</f>
        <v>Fall</v>
      </c>
      <c r="P1208" s="8" t="str">
        <f ca="1">IFERROR(__xludf.DUMMYFUNCTION("""COMPUTED_VALUE"""),"Jacksonville")</f>
        <v>Jacksonville</v>
      </c>
      <c r="Q1208" s="8" t="str">
        <f ca="1">IFERROR(__xludf.DUMMYFUNCTION("""COMPUTED_VALUE"""),"FL")</f>
        <v>FL</v>
      </c>
      <c r="R1208" s="8"/>
      <c r="S1208" s="8" t="str">
        <f ca="1">IFERROR(__xludf.DUMMYFUNCTION("""COMPUTED_VALUE"""),"School Bus")</f>
        <v>School Bus</v>
      </c>
      <c r="T1208" s="8" t="str">
        <f ca="1">IFERROR(__xludf.DUMMYFUNCTION("""COMPUTED_VALUE"""),"School Bus")</f>
        <v>School Bus</v>
      </c>
      <c r="U1208" s="8" t="str">
        <f ca="1">IFERROR(__xludf.DUMMYFUNCTION("""COMPUTED_VALUE"""),"Yes")</f>
        <v>Yes</v>
      </c>
      <c r="V1208" s="8" t="str">
        <f ca="1">IFERROR(__xludf.DUMMYFUNCTION("""COMPUTED_VALUE"""),"Evening")</f>
        <v>Evening</v>
      </c>
      <c r="W1208" s="11">
        <f ca="1">IFERROR(__xludf.DUMMYFUNCTION("""COMPUTED_VALUE"""),0.75)</f>
        <v>0.75</v>
      </c>
      <c r="X1208" s="8">
        <f ca="1">IFERROR(__xludf.DUMMYFUNCTION("""COMPUTED_VALUE"""),1)</f>
        <v>1</v>
      </c>
      <c r="Y1208" s="12" t="str">
        <f ca="1">IFERROR(__xludf.DUMMYFUNCTION("""COMPUTED_VALUE"""),"Occupied school bus struck by bullets")</f>
        <v>Occupied school bus struck by bullets</v>
      </c>
      <c r="Z1208" s="12" t="str">
        <f ca="1">IFERROR(__xludf.DUMMYFUNCTION("""COMPUTED_VALUE"""),"A school bus with a driver and two students aboard was struck by bullets while driving in a residential street. The bus was caught in the crossfire and two adult men on the street were critically injured. The driver and students were not injured.")</f>
        <v>A school bus with a driver and two students aboard was struck by bullets while driving in a residential street. The bus was caught in the crossfire and two adult men on the street were critically injured. The driver and students were not injured.</v>
      </c>
      <c r="AA1208" s="8"/>
      <c r="AB1208" s="8"/>
      <c r="AC1208" s="8" t="str">
        <f ca="1">IFERROR(__xludf.DUMMYFUNCTION("""COMPUTED_VALUE"""),"Yes")</f>
        <v>Yes</v>
      </c>
      <c r="AD1208" s="8" t="str">
        <f ca="1">IFERROR(__xludf.DUMMYFUNCTION("""COMPUTED_VALUE"""),"Both")</f>
        <v>Both</v>
      </c>
      <c r="AE1208" s="8"/>
      <c r="AF1208" s="8"/>
      <c r="AG1208" s="8" t="str">
        <f ca="1">IFERROR(__xludf.DUMMYFUNCTION("""COMPUTED_VALUE"""),"No")</f>
        <v>No</v>
      </c>
      <c r="AH1208" s="8" t="str">
        <f ca="1">IFERROR(__xludf.DUMMYFUNCTION("""COMPUTED_VALUE"""),"No")</f>
        <v>No</v>
      </c>
      <c r="AI1208" s="8" t="str">
        <f ca="1">IFERROR(__xludf.DUMMYFUNCTION("""COMPUTED_VALUE"""),"No")</f>
        <v>No</v>
      </c>
      <c r="AJ1208" s="8" t="str">
        <f ca="1">IFERROR(__xludf.DUMMYFUNCTION("""COMPUTED_VALUE"""),"No")</f>
        <v>No</v>
      </c>
      <c r="AK1208" s="8" t="str">
        <f ca="1">IFERROR(__xludf.DUMMYFUNCTION("""COMPUTED_VALUE"""),"No")</f>
        <v>No</v>
      </c>
      <c r="AL1208" s="8"/>
      <c r="AM1208" s="8" t="str">
        <f ca="1">IFERROR(__xludf.DUMMYFUNCTION("""COMPUTED_VALUE"""),"No")</f>
        <v>No</v>
      </c>
      <c r="AN1208" s="8"/>
      <c r="AO1208" s="8" t="str">
        <f ca="1">IFERROR(__xludf.DUMMYFUNCTION("""COMPUTED_VALUE"""),"No")</f>
        <v>No</v>
      </c>
      <c r="AP1208" s="8"/>
      <c r="AQ1208" s="8"/>
      <c r="AR1208" s="8" t="str">
        <f ca="1">IFERROR(__xludf.DUMMYFUNCTION("""COMPUTED_VALUE"""),"Outside/Off-Property")</f>
        <v>Outside/Off-Property</v>
      </c>
      <c r="AS1208" s="8"/>
      <c r="AT1208" s="8"/>
      <c r="AU1208" s="8">
        <f ca="1">IFERROR(__xludf.DUMMYFUNCTION("""COMPUTED_VALUE"""),30.359743)</f>
        <v>30.359743000000002</v>
      </c>
      <c r="AV1208" s="8">
        <f ca="1">IFERROR(__xludf.DUMMYFUNCTION("""COMPUTED_VALUE"""),-81.67604)</f>
        <v>-81.67604</v>
      </c>
      <c r="AW1208" s="8"/>
      <c r="AX1208" s="8">
        <f ca="1">IFERROR(__xludf.DUMMYFUNCTION("""COMPUTED_VALUE"""),32209)</f>
        <v>32209</v>
      </c>
    </row>
    <row r="1209" spans="1:50" ht="105" x14ac:dyDescent="0.2">
      <c r="A1209" s="8" t="str">
        <f ca="1">IFERROR(__xludf.DUMMYFUNCTION("""COMPUTED_VALUE"""),"20211115NYPOP")</f>
        <v>20211115NYPOP</v>
      </c>
      <c r="B1209" s="8">
        <f ca="1">IFERROR(__xludf.DUMMYFUNCTION("""COMPUTED_VALUE"""),11)</f>
        <v>11</v>
      </c>
      <c r="C1209" s="8">
        <f ca="1">IFERROR(__xludf.DUMMYFUNCTION("""COMPUTED_VALUE"""),15)</f>
        <v>15</v>
      </c>
      <c r="D1209" s="8">
        <f ca="1">IFERROR(__xludf.DUMMYFUNCTION("""COMPUTED_VALUE"""),2021)</f>
        <v>2021</v>
      </c>
      <c r="E1209" s="9">
        <f ca="1">IFERROR(__xludf.DUMMYFUNCTION("""COMPUTED_VALUE"""),44515)</f>
        <v>44515</v>
      </c>
      <c r="F1209" s="8" t="str">
        <f ca="1">IFERROR(__xludf.DUMMYFUNCTION("""COMPUTED_VALUE"""),"Poughkeepsie High School")</f>
        <v>Poughkeepsie High School</v>
      </c>
      <c r="G1209" s="8">
        <f ca="1">IFERROR(__xludf.DUMMYFUNCTION("""COMPUTED_VALUE"""),0)</f>
        <v>0</v>
      </c>
      <c r="H1209" s="8">
        <f ca="1">IFERROR(__xludf.DUMMYFUNCTION("""COMPUTED_VALUE"""),0)</f>
        <v>0</v>
      </c>
      <c r="I1209" s="8">
        <f ca="1">IFERROR(__xludf.DUMMYFUNCTION("""COMPUTED_VALUE"""),0)</f>
        <v>0</v>
      </c>
      <c r="J1209" s="8">
        <f ca="1">IFERROR(__xludf.DUMMYFUNCTION("""COMPUTED_VALUE"""),0)</f>
        <v>0</v>
      </c>
      <c r="K1209" s="8" t="str">
        <f ca="1">IFERROR(__xludf.DUMMYFUNCTION("""COMPUTED_VALUE"""),"https://www.poughkeepsiejournal.com/story/news/education/2021/11/16/shooting-outside-poughkeepsie-high-school-report/8635464002/ https://bronx.news12.com/gunfire-outside-poughkeepsie-hs-cancels-school-for-the-day https://midhudsonnews.com/2021/11/15/class"&amp;"es-and-meeting-canceled-after-high-school-shooting/ https://midhudsonnews.com/2021/11/15/shooting-at-high-school-subjects-in-custody/")</f>
        <v>https://www.poughkeepsiejournal.com/story/news/education/2021/11/16/shooting-outside-poughkeepsie-high-school-report/8635464002/ https://bronx.news12.com/gunfire-outside-poughkeepsie-hs-cancels-school-for-the-day https://midhudsonnews.com/2021/11/15/classes-and-meeting-canceled-after-high-school-shooting/ https://midhudsonnews.com/2021/11/15/shooting-at-high-school-subjects-in-custody/</v>
      </c>
      <c r="L1209" s="8">
        <f ca="1">IFERROR(__xludf.DUMMYFUNCTION("""COMPUTED_VALUE"""),5)</f>
        <v>5</v>
      </c>
      <c r="M1209" s="8" t="str">
        <f ca="1">IFERROR(__xludf.DUMMYFUNCTION("""COMPUTED_VALUE"""),"Regional")</f>
        <v>Regional</v>
      </c>
      <c r="N1209" s="8">
        <f ca="1">IFERROR(__xludf.DUMMYFUNCTION("""COMPUTED_VALUE"""),4)</f>
        <v>4</v>
      </c>
      <c r="O1209" s="8" t="str">
        <f ca="1">IFERROR(__xludf.DUMMYFUNCTION("""COMPUTED_VALUE"""),"Fall")</f>
        <v>Fall</v>
      </c>
      <c r="P1209" s="8" t="str">
        <f ca="1">IFERROR(__xludf.DUMMYFUNCTION("""COMPUTED_VALUE"""),"Poughkeepsie")</f>
        <v>Poughkeepsie</v>
      </c>
      <c r="Q1209" s="8" t="str">
        <f ca="1">IFERROR(__xludf.DUMMYFUNCTION("""COMPUTED_VALUE"""),"NY")</f>
        <v>NY</v>
      </c>
      <c r="R1209" s="8" t="str">
        <f ca="1">IFERROR(__xludf.DUMMYFUNCTION("""COMPUTED_VALUE"""),"High")</f>
        <v>High</v>
      </c>
      <c r="S1209" s="8" t="str">
        <f ca="1">IFERROR(__xludf.DUMMYFUNCTION("""COMPUTED_VALUE"""),"Front of School")</f>
        <v>Front of School</v>
      </c>
      <c r="T1209" s="8" t="str">
        <f ca="1">IFERROR(__xludf.DUMMYFUNCTION("""COMPUTED_VALUE"""),"Outside on School Property")</f>
        <v>Outside on School Property</v>
      </c>
      <c r="U1209" s="8" t="str">
        <f ca="1">IFERROR(__xludf.DUMMYFUNCTION("""COMPUTED_VALUE"""),"Yes")</f>
        <v>Yes</v>
      </c>
      <c r="V1209" s="8" t="str">
        <f ca="1">IFERROR(__xludf.DUMMYFUNCTION("""COMPUTED_VALUE"""),"Dismissal")</f>
        <v>Dismissal</v>
      </c>
      <c r="W1209" s="11">
        <f ca="1">IFERROR(__xludf.DUMMYFUNCTION("""COMPUTED_VALUE"""),0.635416666666666)</f>
        <v>0.63541666666666596</v>
      </c>
      <c r="X1209" s="8">
        <f ca="1">IFERROR(__xludf.DUMMYFUNCTION("""COMPUTED_VALUE"""),1)</f>
        <v>1</v>
      </c>
      <c r="Y1209" s="12" t="str">
        <f ca="1">IFERROR(__xludf.DUMMYFUNCTION("""COMPUTED_VALUE"""),"Shots fired during fight in front of the school at dismissal")</f>
        <v>Shots fired during fight in front of the school at dismissal</v>
      </c>
      <c r="Z1209" s="12" t="str">
        <f ca="1">IFERROR(__xludf.DUMMYFUNCTION("""COMPUTED_VALUE"""),"Multiple shots were fired in front of the school during a fight between students. Multiple students ran from the area. None of the students involved were shot. Vehicles parked in the faculty lot sustained damage. Police recovered multiple .380 shell casin"&amp;"gs and arrested a 13-year-old male student at his home with an empty .380 handgun. School closed the two days following the shooting to update the security plan.")</f>
        <v>Multiple shots were fired in front of the school during a fight between students. Multiple students ran from the area. None of the students involved were shot. Vehicles parked in the faculty lot sustained damage. Police recovered multiple .380 shell casings and arrested a 13-year-old male student at his home with an empty .380 handgun. School closed the two days following the shooting to update the security plan.</v>
      </c>
      <c r="AA1209" s="8" t="str">
        <f ca="1">IFERROR(__xludf.DUMMYFUNCTION("""COMPUTED_VALUE"""),"Escalation of Dispute")</f>
        <v>Escalation of Dispute</v>
      </c>
      <c r="AB1209" s="8"/>
      <c r="AC1209" s="8" t="str">
        <f ca="1">IFERROR(__xludf.DUMMYFUNCTION("""COMPUTED_VALUE"""),"Yes")</f>
        <v>Yes</v>
      </c>
      <c r="AD1209" s="8" t="str">
        <f ca="1">IFERROR(__xludf.DUMMYFUNCTION("""COMPUTED_VALUE"""),"Victims Targeted")</f>
        <v>Victims Targeted</v>
      </c>
      <c r="AE1209" s="8" t="str">
        <f ca="1">IFERROR(__xludf.DUMMYFUNCTION("""COMPUTED_VALUE"""),"Yes")</f>
        <v>Yes</v>
      </c>
      <c r="AF1209" s="8" t="str">
        <f ca="1">IFERROR(__xludf.DUMMYFUNCTION("""COMPUTED_VALUE"""),"15-year-old also questioned")</f>
        <v>15-year-old also questioned</v>
      </c>
      <c r="AG1209" s="8" t="str">
        <f ca="1">IFERROR(__xludf.DUMMYFUNCTION("""COMPUTED_VALUE"""),"No")</f>
        <v>No</v>
      </c>
      <c r="AH1209" s="8" t="str">
        <f ca="1">IFERROR(__xludf.DUMMYFUNCTION("""COMPUTED_VALUE"""),"No")</f>
        <v>No</v>
      </c>
      <c r="AI1209" s="8" t="str">
        <f ca="1">IFERROR(__xludf.DUMMYFUNCTION("""COMPUTED_VALUE"""),"No")</f>
        <v>No</v>
      </c>
      <c r="AJ1209" s="8" t="str">
        <f ca="1">IFERROR(__xludf.DUMMYFUNCTION("""COMPUTED_VALUE"""),"No")</f>
        <v>No</v>
      </c>
      <c r="AK1209" s="8" t="str">
        <f ca="1">IFERROR(__xludf.DUMMYFUNCTION("""COMPUTED_VALUE"""),"No")</f>
        <v>No</v>
      </c>
      <c r="AL1209" s="8" t="str">
        <f ca="1">IFERROR(__xludf.DUMMYFUNCTION("""COMPUTED_VALUE"""),"No")</f>
        <v>No</v>
      </c>
      <c r="AM1209" s="8" t="str">
        <f ca="1">IFERROR(__xludf.DUMMYFUNCTION("""COMPUTED_VALUE"""),"No")</f>
        <v>No</v>
      </c>
      <c r="AN1209" s="8"/>
      <c r="AO1209" s="8" t="str">
        <f ca="1">IFERROR(__xludf.DUMMYFUNCTION("""COMPUTED_VALUE"""),"No")</f>
        <v>No</v>
      </c>
      <c r="AP1209" s="8"/>
      <c r="AQ1209" s="8"/>
      <c r="AR1209" s="8" t="str">
        <f ca="1">IFERROR(__xludf.DUMMYFUNCTION("""COMPUTED_VALUE"""),"Outside/Off-Property")</f>
        <v>Outside/Off-Property</v>
      </c>
      <c r="AS1209" s="8">
        <f ca="1">IFERROR(__xludf.DUMMYFUNCTION("""COMPUTED_VALUE"""),6)</f>
        <v>6</v>
      </c>
      <c r="AT1209" s="8"/>
      <c r="AU1209" s="8">
        <f ca="1">IFERROR(__xludf.DUMMYFUNCTION("""COMPUTED_VALUE"""),41.694493)</f>
        <v>41.694493000000001</v>
      </c>
      <c r="AV1209" s="8">
        <f ca="1">IFERROR(__xludf.DUMMYFUNCTION("""COMPUTED_VALUE"""),-73.91407)</f>
        <v>-73.914069999999995</v>
      </c>
      <c r="AW1209" s="8"/>
      <c r="AX1209" s="8">
        <f ca="1">IFERROR(__xludf.DUMMYFUNCTION("""COMPUTED_VALUE"""),12603)</f>
        <v>12603</v>
      </c>
    </row>
    <row r="1210" spans="1:50" ht="90" x14ac:dyDescent="0.2">
      <c r="A1210" s="8" t="str">
        <f ca="1">IFERROR(__xludf.DUMMYFUNCTION("""COMPUTED_VALUE"""),"2021110MOBAP")</f>
        <v>2021110MOBAP</v>
      </c>
      <c r="B1210" s="8">
        <f ca="1">IFERROR(__xludf.DUMMYFUNCTION("""COMPUTED_VALUE"""),11)</f>
        <v>11</v>
      </c>
      <c r="C1210" s="8">
        <f ca="1">IFERROR(__xludf.DUMMYFUNCTION("""COMPUTED_VALUE"""),10)</f>
        <v>10</v>
      </c>
      <c r="D1210" s="8">
        <f ca="1">IFERROR(__xludf.DUMMYFUNCTION("""COMPUTED_VALUE"""),2021)</f>
        <v>2021</v>
      </c>
      <c r="E1210" s="9">
        <f ca="1">IFERROR(__xludf.DUMMYFUNCTION("""COMPUTED_VALUE"""),44510)</f>
        <v>44510</v>
      </c>
      <c r="F1210" s="8" t="str">
        <f ca="1">IFERROR(__xludf.DUMMYFUNCTION("""COMPUTED_VALUE"""),"Barack Obama Elementary School")</f>
        <v>Barack Obama Elementary School</v>
      </c>
      <c r="G1210" s="8">
        <f ca="1">IFERROR(__xludf.DUMMYFUNCTION("""COMPUTED_VALUE"""),1)</f>
        <v>1</v>
      </c>
      <c r="H1210" s="8">
        <f ca="1">IFERROR(__xludf.DUMMYFUNCTION("""COMPUTED_VALUE"""),0)</f>
        <v>0</v>
      </c>
      <c r="I1210" s="8">
        <f ca="1">IFERROR(__xludf.DUMMYFUNCTION("""COMPUTED_VALUE"""),1)</f>
        <v>1</v>
      </c>
      <c r="J1210" s="8">
        <f ca="1">IFERROR(__xludf.DUMMYFUNCTION("""COMPUTED_VALUE"""),0)</f>
        <v>0</v>
      </c>
      <c r="K1210" s="10" t="str">
        <f ca="1">IFERROR(__xludf.DUMMYFUNCTION("""COMPUTED_VALUE"""),"https://fox2now.com/news/fox-files/dying-words-tie-teen-to-murder-outside-elementary-school/")</f>
        <v>https://fox2now.com/news/fox-files/dying-words-tie-teen-to-murder-outside-elementary-school/</v>
      </c>
      <c r="L1210" s="8">
        <f ca="1">IFERROR(__xludf.DUMMYFUNCTION("""COMPUTED_VALUE"""),1)</f>
        <v>1</v>
      </c>
      <c r="M1210" s="8" t="str">
        <f ca="1">IFERROR(__xludf.DUMMYFUNCTION("""COMPUTED_VALUE"""),"Local")</f>
        <v>Local</v>
      </c>
      <c r="N1210" s="8">
        <f ca="1">IFERROR(__xludf.DUMMYFUNCTION("""COMPUTED_VALUE"""),3)</f>
        <v>3</v>
      </c>
      <c r="O1210" s="8" t="str">
        <f ca="1">IFERROR(__xludf.DUMMYFUNCTION("""COMPUTED_VALUE"""),"Fall")</f>
        <v>Fall</v>
      </c>
      <c r="P1210" s="8" t="str">
        <f ca="1">IFERROR(__xludf.DUMMYFUNCTION("""COMPUTED_VALUE"""),"Pine Lawn")</f>
        <v>Pine Lawn</v>
      </c>
      <c r="Q1210" s="8" t="str">
        <f ca="1">IFERROR(__xludf.DUMMYFUNCTION("""COMPUTED_VALUE"""),"MO")</f>
        <v>MO</v>
      </c>
      <c r="R1210" s="8" t="str">
        <f ca="1">IFERROR(__xludf.DUMMYFUNCTION("""COMPUTED_VALUE"""),"Elementary")</f>
        <v>Elementary</v>
      </c>
      <c r="S1210" s="8" t="str">
        <f ca="1">IFERROR(__xludf.DUMMYFUNCTION("""COMPUTED_VALUE"""),"Front of School")</f>
        <v>Front of School</v>
      </c>
      <c r="T1210" s="8" t="str">
        <f ca="1">IFERROR(__xludf.DUMMYFUNCTION("""COMPUTED_VALUE"""),"Outside on School Property")</f>
        <v>Outside on School Property</v>
      </c>
      <c r="U1210" s="8" t="str">
        <f ca="1">IFERROR(__xludf.DUMMYFUNCTION("""COMPUTED_VALUE"""),"Yes")</f>
        <v>Yes</v>
      </c>
      <c r="V1210" s="8"/>
      <c r="W1210" s="8"/>
      <c r="X1210" s="8">
        <f ca="1">IFERROR(__xludf.DUMMYFUNCTION("""COMPUTED_VALUE"""),1)</f>
        <v>1</v>
      </c>
      <c r="Y1210" s="12" t="str">
        <f ca="1">IFERROR(__xludf.DUMMYFUNCTION("""COMPUTED_VALUE"""),"Man fatally shot at front of school while class was in session")</f>
        <v>Man fatally shot at front of school while class was in session</v>
      </c>
      <c r="Z1210" s="12" t="str">
        <f ca="1">IFERROR(__xludf.DUMMYFUNCTION("""COMPUTED_VALUE"""),"Outside Barack Obama Elementary School on Jennings Station Road—42-year-old Christoper Chaney was shot and killed. The police report describes a resource officer hearing the shots when letting a fifth grader in the school. The victim reportedly named a te"&amp;"enager he knew as the shooter.")</f>
        <v>Outside Barack Obama Elementary School on Jennings Station Road—42-year-old Christoper Chaney was shot and killed. The police report describes a resource officer hearing the shots when letting a fifth grader in the school. The victim reportedly named a teenager he knew as the shooter.</v>
      </c>
      <c r="AA1210" s="8" t="str">
        <f ca="1">IFERROR(__xludf.DUMMYFUNCTION("""COMPUTED_VALUE"""),"Murder/Assassination")</f>
        <v>Murder/Assassination</v>
      </c>
      <c r="AB1210" s="8" t="str">
        <f ca="1">IFERROR(__xludf.DUMMYFUNCTION("""COMPUTED_VALUE"""),"Targeted")</f>
        <v>Targeted</v>
      </c>
      <c r="AC1210" s="8" t="str">
        <f ca="1">IFERROR(__xludf.DUMMYFUNCTION("""COMPUTED_VALUE"""),"Yes")</f>
        <v>Yes</v>
      </c>
      <c r="AD1210" s="8" t="str">
        <f ca="1">IFERROR(__xludf.DUMMYFUNCTION("""COMPUTED_VALUE"""),"Victims Targeted")</f>
        <v>Victims Targeted</v>
      </c>
      <c r="AE1210" s="8" t="str">
        <f ca="1">IFERROR(__xludf.DUMMYFUNCTION("""COMPUTED_VALUE"""),"No")</f>
        <v>No</v>
      </c>
      <c r="AF1210" s="8"/>
      <c r="AG1210" s="8" t="str">
        <f ca="1">IFERROR(__xludf.DUMMYFUNCTION("""COMPUTED_VALUE"""),"No")</f>
        <v>No</v>
      </c>
      <c r="AH1210" s="8" t="str">
        <f ca="1">IFERROR(__xludf.DUMMYFUNCTION("""COMPUTED_VALUE"""),"No")</f>
        <v>No</v>
      </c>
      <c r="AI1210" s="8" t="str">
        <f ca="1">IFERROR(__xludf.DUMMYFUNCTION("""COMPUTED_VALUE"""),"No")</f>
        <v>No</v>
      </c>
      <c r="AJ1210" s="8" t="str">
        <f ca="1">IFERROR(__xludf.DUMMYFUNCTION("""COMPUTED_VALUE"""),"No")</f>
        <v>No</v>
      </c>
      <c r="AK1210" s="8" t="str">
        <f ca="1">IFERROR(__xludf.DUMMYFUNCTION("""COMPUTED_VALUE"""),"No")</f>
        <v>No</v>
      </c>
      <c r="AL1210" s="8"/>
      <c r="AM1210" s="8" t="str">
        <f ca="1">IFERROR(__xludf.DUMMYFUNCTION("""COMPUTED_VALUE"""),"No")</f>
        <v>No</v>
      </c>
      <c r="AN1210" s="8"/>
      <c r="AO1210" s="8" t="str">
        <f ca="1">IFERROR(__xludf.DUMMYFUNCTION("""COMPUTED_VALUE"""),"No")</f>
        <v>No</v>
      </c>
      <c r="AP1210" s="8" t="str">
        <f ca="1">IFERROR(__xludf.DUMMYFUNCTION("""COMPUTED_VALUE"""),"Yes")</f>
        <v>Yes</v>
      </c>
      <c r="AQ1210" s="8" t="str">
        <f ca="1">IFERROR(__xludf.DUMMYFUNCTION("""COMPUTED_VALUE"""),"Armed Guards")</f>
        <v>Armed Guards</v>
      </c>
      <c r="AR1210" s="8" t="str">
        <f ca="1">IFERROR(__xludf.DUMMYFUNCTION("""COMPUTED_VALUE"""),"Outside/Off-Property")</f>
        <v>Outside/Off-Property</v>
      </c>
      <c r="AS1210" s="8">
        <f ca="1">IFERROR(__xludf.DUMMYFUNCTION("""COMPUTED_VALUE"""),99)</f>
        <v>99</v>
      </c>
      <c r="AT1210" s="8" t="str">
        <f ca="1">IFERROR(__xludf.DUMMYFUNCTION("""COMPUTED_VALUE"""),"Yes")</f>
        <v>Yes</v>
      </c>
      <c r="AU1210" s="8">
        <f ca="1">IFERROR(__xludf.DUMMYFUNCTION("""COMPUTED_VALUE"""),38.693332)</f>
        <v>38.693331999999998</v>
      </c>
      <c r="AV1210" s="8">
        <f ca="1">IFERROR(__xludf.DUMMYFUNCTION("""COMPUTED_VALUE"""),-90.277108)</f>
        <v>-90.277107999999998</v>
      </c>
      <c r="AW1210" s="8" t="str">
        <f ca="1">IFERROR(__xludf.DUMMYFUNCTION("""COMPUTED_VALUE"""),"Single building indoor hallway")</f>
        <v>Single building indoor hallway</v>
      </c>
      <c r="AX1210" s="8">
        <f ca="1">IFERROR(__xludf.DUMMYFUNCTION("""COMPUTED_VALUE"""),63121)</f>
        <v>63121</v>
      </c>
    </row>
    <row r="1211" spans="1:50" ht="45" x14ac:dyDescent="0.2">
      <c r="A1211" s="8" t="str">
        <f ca="1">IFERROR(__xludf.DUMMYFUNCTION("""COMPUTED_VALUE"""),"20211110NCMOM")</f>
        <v>20211110NCMOM</v>
      </c>
      <c r="B1211" s="8">
        <f ca="1">IFERROR(__xludf.DUMMYFUNCTION("""COMPUTED_VALUE"""),11)</f>
        <v>11</v>
      </c>
      <c r="C1211" s="8">
        <f ca="1">IFERROR(__xludf.DUMMYFUNCTION("""COMPUTED_VALUE"""),10)</f>
        <v>10</v>
      </c>
      <c r="D1211" s="8">
        <f ca="1">IFERROR(__xludf.DUMMYFUNCTION("""COMPUTED_VALUE"""),2021)</f>
        <v>2021</v>
      </c>
      <c r="E1211" s="9">
        <f ca="1">IFERROR(__xludf.DUMMYFUNCTION("""COMPUTED_VALUE"""),44510)</f>
        <v>44510</v>
      </c>
      <c r="F1211" s="8" t="str">
        <f ca="1">IFERROR(__xludf.DUMMYFUNCTION("""COMPUTED_VALUE"""),"Mooresville High School")</f>
        <v>Mooresville High School</v>
      </c>
      <c r="G1211" s="8">
        <f ca="1">IFERROR(__xludf.DUMMYFUNCTION("""COMPUTED_VALUE"""),0)</f>
        <v>0</v>
      </c>
      <c r="H1211" s="8">
        <f ca="1">IFERROR(__xludf.DUMMYFUNCTION("""COMPUTED_VALUE"""),0)</f>
        <v>0</v>
      </c>
      <c r="I1211" s="8">
        <f ca="1">IFERROR(__xludf.DUMMYFUNCTION("""COMPUTED_VALUE"""),0)</f>
        <v>0</v>
      </c>
      <c r="J1211" s="8">
        <f ca="1">IFERROR(__xludf.DUMMYFUNCTION("""COMPUTED_VALUE"""),1)</f>
        <v>1</v>
      </c>
      <c r="K1211" s="10" t="str">
        <f ca="1">IFERROR(__xludf.DUMMYFUNCTION("""COMPUTED_VALUE"""),"https://www.wbtv.com/2021/11/10/mooresville-high-school-releases-students-early-after-apparent-suicide-campus-district-says/")</f>
        <v>https://www.wbtv.com/2021/11/10/mooresville-high-school-releases-students-early-after-apparent-suicide-campus-district-says/</v>
      </c>
      <c r="L1211" s="8">
        <f ca="1">IFERROR(__xludf.DUMMYFUNCTION("""COMPUTED_VALUE"""),10)</f>
        <v>10</v>
      </c>
      <c r="M1211" s="8" t="str">
        <f ca="1">IFERROR(__xludf.DUMMYFUNCTION("""COMPUTED_VALUE"""),"Local")</f>
        <v>Local</v>
      </c>
      <c r="N1211" s="8">
        <f ca="1">IFERROR(__xludf.DUMMYFUNCTION("""COMPUTED_VALUE"""),4)</f>
        <v>4</v>
      </c>
      <c r="O1211" s="8" t="str">
        <f ca="1">IFERROR(__xludf.DUMMYFUNCTION("""COMPUTED_VALUE"""),"Fall")</f>
        <v>Fall</v>
      </c>
      <c r="P1211" s="8" t="str">
        <f ca="1">IFERROR(__xludf.DUMMYFUNCTION("""COMPUTED_VALUE"""),"Mooresville")</f>
        <v>Mooresville</v>
      </c>
      <c r="Q1211" s="8" t="str">
        <f ca="1">IFERROR(__xludf.DUMMYFUNCTION("""COMPUTED_VALUE"""),"NC")</f>
        <v>NC</v>
      </c>
      <c r="R1211" s="8" t="str">
        <f ca="1">IFERROR(__xludf.DUMMYFUNCTION("""COMPUTED_VALUE"""),"High")</f>
        <v>High</v>
      </c>
      <c r="S1211" s="8" t="str">
        <f ca="1">IFERROR(__xludf.DUMMYFUNCTION("""COMPUTED_VALUE"""),"Bathroom")</f>
        <v>Bathroom</v>
      </c>
      <c r="T1211" s="8" t="str">
        <f ca="1">IFERROR(__xludf.DUMMYFUNCTION("""COMPUTED_VALUE"""),"Inside School Building")</f>
        <v>Inside School Building</v>
      </c>
      <c r="U1211" s="8" t="str">
        <f ca="1">IFERROR(__xludf.DUMMYFUNCTION("""COMPUTED_VALUE"""),"Yes")</f>
        <v>Yes</v>
      </c>
      <c r="V1211" s="8" t="str">
        <f ca="1">IFERROR(__xludf.DUMMYFUNCTION("""COMPUTED_VALUE"""),"Morning Classes")</f>
        <v>Morning Classes</v>
      </c>
      <c r="W1211" s="11">
        <f ca="1">IFERROR(__xludf.DUMMYFUNCTION("""COMPUTED_VALUE"""),0.375)</f>
        <v>0.375</v>
      </c>
      <c r="X1211" s="8">
        <f ca="1">IFERROR(__xludf.DUMMYFUNCTION("""COMPUTED_VALUE"""),1)</f>
        <v>1</v>
      </c>
      <c r="Y1211" s="12" t="str">
        <f ca="1">IFERROR(__xludf.DUMMYFUNCTION("""COMPUTED_VALUE"""),"Student commit suicide in school bathroom")</f>
        <v>Student commit suicide in school bathroom</v>
      </c>
      <c r="Z1211" s="12" t="str">
        <f ca="1">IFERROR(__xludf.DUMMYFUNCTION("""COMPUTED_VALUE"""),"Student commit suicide in school bathroom")</f>
        <v>Student commit suicide in school bathroom</v>
      </c>
      <c r="AA1211" s="8" t="str">
        <f ca="1">IFERROR(__xludf.DUMMYFUNCTION("""COMPUTED_VALUE"""),"Suicide/Attempted")</f>
        <v>Suicide/Attempted</v>
      </c>
      <c r="AB1211" s="8" t="str">
        <f ca="1">IFERROR(__xludf.DUMMYFUNCTION("""COMPUTED_VALUE"""),"Targeted")</f>
        <v>Targeted</v>
      </c>
      <c r="AC1211" s="8" t="str">
        <f ca="1">IFERROR(__xludf.DUMMYFUNCTION("""COMPUTED_VALUE"""),"Yes")</f>
        <v>Yes</v>
      </c>
      <c r="AD1211" s="8" t="str">
        <f ca="1">IFERROR(__xludf.DUMMYFUNCTION("""COMPUTED_VALUE"""),"Victims Targeted")</f>
        <v>Victims Targeted</v>
      </c>
      <c r="AE1211" s="8" t="str">
        <f ca="1">IFERROR(__xludf.DUMMYFUNCTION("""COMPUTED_VALUE"""),"No")</f>
        <v>No</v>
      </c>
      <c r="AF1211" s="8"/>
      <c r="AG1211" s="8" t="str">
        <f ca="1">IFERROR(__xludf.DUMMYFUNCTION("""COMPUTED_VALUE"""),"No")</f>
        <v>No</v>
      </c>
      <c r="AH1211" s="8" t="str">
        <f ca="1">IFERROR(__xludf.DUMMYFUNCTION("""COMPUTED_VALUE"""),"No")</f>
        <v>No</v>
      </c>
      <c r="AI1211" s="8" t="str">
        <f ca="1">IFERROR(__xludf.DUMMYFUNCTION("""COMPUTED_VALUE"""),"No")</f>
        <v>No</v>
      </c>
      <c r="AJ1211" s="8" t="str">
        <f ca="1">IFERROR(__xludf.DUMMYFUNCTION("""COMPUTED_VALUE"""),"No")</f>
        <v>No</v>
      </c>
      <c r="AK1211" s="8" t="str">
        <f ca="1">IFERROR(__xludf.DUMMYFUNCTION("""COMPUTED_VALUE"""),"No")</f>
        <v>No</v>
      </c>
      <c r="AL1211" s="8" t="str">
        <f ca="1">IFERROR(__xludf.DUMMYFUNCTION("""COMPUTED_VALUE"""),"No")</f>
        <v>No</v>
      </c>
      <c r="AM1211" s="8" t="str">
        <f ca="1">IFERROR(__xludf.DUMMYFUNCTION("""COMPUTED_VALUE"""),"No")</f>
        <v>No</v>
      </c>
      <c r="AN1211" s="8" t="str">
        <f ca="1">IFERROR(__xludf.DUMMYFUNCTION("""COMPUTED_VALUE"""),"Single Room")</f>
        <v>Single Room</v>
      </c>
      <c r="AO1211" s="8" t="str">
        <f ca="1">IFERROR(__xludf.DUMMYFUNCTION("""COMPUTED_VALUE"""),"No")</f>
        <v>No</v>
      </c>
      <c r="AP1211" s="8"/>
      <c r="AQ1211" s="8"/>
      <c r="AR1211" s="8" t="str">
        <f ca="1">IFERROR(__xludf.DUMMYFUNCTION("""COMPUTED_VALUE"""),"Failed")</f>
        <v>Failed</v>
      </c>
      <c r="AS1211" s="8">
        <f ca="1">IFERROR(__xludf.DUMMYFUNCTION("""COMPUTED_VALUE"""),1)</f>
        <v>1</v>
      </c>
      <c r="AT1211" s="8" t="str">
        <f ca="1">IFERROR(__xludf.DUMMYFUNCTION("""COMPUTED_VALUE"""),"Yes")</f>
        <v>Yes</v>
      </c>
      <c r="AU1211" s="8">
        <f ca="1">IFERROR(__xludf.DUMMYFUNCTION("""COMPUTED_VALUE"""),35.578808)</f>
        <v>35.578808000000002</v>
      </c>
      <c r="AV1211" s="8">
        <f ca="1">IFERROR(__xludf.DUMMYFUNCTION("""COMPUTED_VALUE"""),-80.80218)</f>
        <v>-80.802180000000007</v>
      </c>
      <c r="AW1211" s="8"/>
      <c r="AX1211" s="8">
        <f ca="1">IFERROR(__xludf.DUMMYFUNCTION("""COMPUTED_VALUE"""),28115)</f>
        <v>28115</v>
      </c>
    </row>
    <row r="1212" spans="1:50" ht="45" x14ac:dyDescent="0.2">
      <c r="A1212" s="8" t="str">
        <f ca="1">IFERROR(__xludf.DUMMYFUNCTION("""COMPUTED_VALUE"""),"20211110NYITI")</f>
        <v>20211110NYITI</v>
      </c>
      <c r="B1212" s="8">
        <f ca="1">IFERROR(__xludf.DUMMYFUNCTION("""COMPUTED_VALUE"""),11)</f>
        <v>11</v>
      </c>
      <c r="C1212" s="8">
        <f ca="1">IFERROR(__xludf.DUMMYFUNCTION("""COMPUTED_VALUE"""),10)</f>
        <v>10</v>
      </c>
      <c r="D1212" s="8">
        <f ca="1">IFERROR(__xludf.DUMMYFUNCTION("""COMPUTED_VALUE"""),2021)</f>
        <v>2021</v>
      </c>
      <c r="E1212" s="9">
        <f ca="1">IFERROR(__xludf.DUMMYFUNCTION("""COMPUTED_VALUE"""),44510)</f>
        <v>44510</v>
      </c>
      <c r="F1212" s="8" t="str">
        <f ca="1">IFERROR(__xludf.DUMMYFUNCTION("""COMPUTED_VALUE"""),"Ithaca High School")</f>
        <v>Ithaca High School</v>
      </c>
      <c r="G1212" s="8">
        <f ca="1">IFERROR(__xludf.DUMMYFUNCTION("""COMPUTED_VALUE"""),0)</f>
        <v>0</v>
      </c>
      <c r="H1212" s="8">
        <f ca="1">IFERROR(__xludf.DUMMYFUNCTION("""COMPUTED_VALUE"""),0)</f>
        <v>0</v>
      </c>
      <c r="I1212" s="8">
        <f ca="1">IFERROR(__xludf.DUMMYFUNCTION("""COMPUTED_VALUE"""),0)</f>
        <v>0</v>
      </c>
      <c r="J1212" s="8">
        <f ca="1">IFERROR(__xludf.DUMMYFUNCTION("""COMPUTED_VALUE"""),0)</f>
        <v>0</v>
      </c>
      <c r="K1212" s="8" t="str">
        <f ca="1">IFERROR(__xludf.DUMMYFUNCTION("""COMPUTED_VALUE"""),"https://www.weny.com/story/45168174/ithaca-school-bus-hit-by-bullet-shots-fired-under-investigation https://wxhc.com/empty-school-bus-hit-with-gunfire-in-ithaca/")</f>
        <v>https://www.weny.com/story/45168174/ithaca-school-bus-hit-by-bullet-shots-fired-under-investigation https://wxhc.com/empty-school-bus-hit-with-gunfire-in-ithaca/</v>
      </c>
      <c r="L1212" s="8">
        <f ca="1">IFERROR(__xludf.DUMMYFUNCTION("""COMPUTED_VALUE"""),5)</f>
        <v>5</v>
      </c>
      <c r="M1212" s="8" t="str">
        <f ca="1">IFERROR(__xludf.DUMMYFUNCTION("""COMPUTED_VALUE"""),"Local")</f>
        <v>Local</v>
      </c>
      <c r="N1212" s="8">
        <f ca="1">IFERROR(__xludf.DUMMYFUNCTION("""COMPUTED_VALUE"""),4)</f>
        <v>4</v>
      </c>
      <c r="O1212" s="8" t="str">
        <f ca="1">IFERROR(__xludf.DUMMYFUNCTION("""COMPUTED_VALUE"""),"Fall")</f>
        <v>Fall</v>
      </c>
      <c r="P1212" s="8" t="str">
        <f ca="1">IFERROR(__xludf.DUMMYFUNCTION("""COMPUTED_VALUE"""),"Ithaca")</f>
        <v>Ithaca</v>
      </c>
      <c r="Q1212" s="8" t="str">
        <f ca="1">IFERROR(__xludf.DUMMYFUNCTION("""COMPUTED_VALUE"""),"NY")</f>
        <v>NY</v>
      </c>
      <c r="R1212" s="8" t="str">
        <f ca="1">IFERROR(__xludf.DUMMYFUNCTION("""COMPUTED_VALUE"""),"High")</f>
        <v>High</v>
      </c>
      <c r="S1212" s="8" t="str">
        <f ca="1">IFERROR(__xludf.DUMMYFUNCTION("""COMPUTED_VALUE"""),"School Bus")</f>
        <v>School Bus</v>
      </c>
      <c r="T1212" s="8" t="str">
        <f ca="1">IFERROR(__xludf.DUMMYFUNCTION("""COMPUTED_VALUE"""),"School Bus")</f>
        <v>School Bus</v>
      </c>
      <c r="U1212" s="8" t="str">
        <f ca="1">IFERROR(__xludf.DUMMYFUNCTION("""COMPUTED_VALUE"""),"No")</f>
        <v>No</v>
      </c>
      <c r="V1212" s="8" t="str">
        <f ca="1">IFERROR(__xludf.DUMMYFUNCTION("""COMPUTED_VALUE"""),"Evening")</f>
        <v>Evening</v>
      </c>
      <c r="W1212" s="11">
        <f ca="1">IFERROR(__xludf.DUMMYFUNCTION("""COMPUTED_VALUE"""),0.770833333333333)</f>
        <v>0.77083333333333304</v>
      </c>
      <c r="X1212" s="8">
        <f ca="1">IFERROR(__xludf.DUMMYFUNCTION("""COMPUTED_VALUE"""),1)</f>
        <v>1</v>
      </c>
      <c r="Y1212" s="12" t="str">
        <f ca="1">IFERROR(__xludf.DUMMYFUNCTION("""COMPUTED_VALUE"""),"Door of school bus shot, driver not injured")</f>
        <v>Door of school bus shot, driver not injured</v>
      </c>
      <c r="Z1212" s="12" t="str">
        <f ca="1">IFERROR(__xludf.DUMMYFUNCTION("""COMPUTED_VALUE"""),"Door of the school bus was shot while the driver was returning to the bus depot. No students were aboard the bus. The driver was not injured.")</f>
        <v>Door of the school bus was shot while the driver was returning to the bus depot. No students were aboard the bus. The driver was not injured.</v>
      </c>
      <c r="AA1212" s="8"/>
      <c r="AB1212" s="8"/>
      <c r="AC1212" s="8" t="str">
        <f ca="1">IFERROR(__xludf.DUMMYFUNCTION("""COMPUTED_VALUE"""),"Yes")</f>
        <v>Yes</v>
      </c>
      <c r="AD1212" s="8"/>
      <c r="AE1212" s="8" t="str">
        <f ca="1">IFERROR(__xludf.DUMMYFUNCTION("""COMPUTED_VALUE"""),"No")</f>
        <v>No</v>
      </c>
      <c r="AF1212" s="8"/>
      <c r="AG1212" s="8" t="str">
        <f ca="1">IFERROR(__xludf.DUMMYFUNCTION("""COMPUTED_VALUE"""),"No")</f>
        <v>No</v>
      </c>
      <c r="AH1212" s="8" t="str">
        <f ca="1">IFERROR(__xludf.DUMMYFUNCTION("""COMPUTED_VALUE"""),"No")</f>
        <v>No</v>
      </c>
      <c r="AI1212" s="8" t="str">
        <f ca="1">IFERROR(__xludf.DUMMYFUNCTION("""COMPUTED_VALUE"""),"No")</f>
        <v>No</v>
      </c>
      <c r="AJ1212" s="8" t="str">
        <f ca="1">IFERROR(__xludf.DUMMYFUNCTION("""COMPUTED_VALUE"""),"No")</f>
        <v>No</v>
      </c>
      <c r="AK1212" s="8" t="str">
        <f ca="1">IFERROR(__xludf.DUMMYFUNCTION("""COMPUTED_VALUE"""),"No")</f>
        <v>No</v>
      </c>
      <c r="AL1212" s="8"/>
      <c r="AM1212" s="8" t="str">
        <f ca="1">IFERROR(__xludf.DUMMYFUNCTION("""COMPUTED_VALUE"""),"No")</f>
        <v>No</v>
      </c>
      <c r="AN1212" s="8"/>
      <c r="AO1212" s="8" t="str">
        <f ca="1">IFERROR(__xludf.DUMMYFUNCTION("""COMPUTED_VALUE"""),"No")</f>
        <v>No</v>
      </c>
      <c r="AP1212" s="8"/>
      <c r="AQ1212" s="8"/>
      <c r="AR1212" s="8" t="str">
        <f ca="1">IFERROR(__xludf.DUMMYFUNCTION("""COMPUTED_VALUE"""),"Outside/Off-Property")</f>
        <v>Outside/Off-Property</v>
      </c>
      <c r="AS1212" s="8"/>
      <c r="AT1212" s="8"/>
      <c r="AU1212" s="8">
        <f ca="1">IFERROR(__xludf.DUMMYFUNCTION("""COMPUTED_VALUE"""),42.456014)</f>
        <v>42.456014000000003</v>
      </c>
      <c r="AV1212" s="8">
        <f ca="1">IFERROR(__xludf.DUMMYFUNCTION("""COMPUTED_VALUE"""),-76.498784)</f>
        <v>-76.498784000000001</v>
      </c>
      <c r="AW1212" s="8"/>
      <c r="AX1212" s="8">
        <f ca="1">IFERROR(__xludf.DUMMYFUNCTION("""COMPUTED_VALUE"""),14850)</f>
        <v>14850</v>
      </c>
    </row>
    <row r="1213" spans="1:50" ht="90" x14ac:dyDescent="0.2">
      <c r="A1213" s="8" t="str">
        <f ca="1">IFERROR(__xludf.DUMMYFUNCTION("""COMPUTED_VALUE"""),"20211109NMMEL")</f>
        <v>20211109NMMEL</v>
      </c>
      <c r="B1213" s="8">
        <f ca="1">IFERROR(__xludf.DUMMYFUNCTION("""COMPUTED_VALUE"""),11)</f>
        <v>11</v>
      </c>
      <c r="C1213" s="8">
        <f ca="1">IFERROR(__xludf.DUMMYFUNCTION("""COMPUTED_VALUE"""),9)</f>
        <v>9</v>
      </c>
      <c r="D1213" s="8">
        <f ca="1">IFERROR(__xludf.DUMMYFUNCTION("""COMPUTED_VALUE"""),2021)</f>
        <v>2021</v>
      </c>
      <c r="E1213" s="9">
        <f ca="1">IFERROR(__xludf.DUMMYFUNCTION("""COMPUTED_VALUE"""),44509)</f>
        <v>44509</v>
      </c>
      <c r="F1213" s="8" t="str">
        <f ca="1">IFERROR(__xludf.DUMMYFUNCTION("""COMPUTED_VALUE"""),"Mesilla Valley Leadership Academy")</f>
        <v>Mesilla Valley Leadership Academy</v>
      </c>
      <c r="G1213" s="8">
        <f ca="1">IFERROR(__xludf.DUMMYFUNCTION("""COMPUTED_VALUE"""),0)</f>
        <v>0</v>
      </c>
      <c r="H1213" s="8">
        <f ca="1">IFERROR(__xludf.DUMMYFUNCTION("""COMPUTED_VALUE"""),0)</f>
        <v>0</v>
      </c>
      <c r="I1213" s="8">
        <f ca="1">IFERROR(__xludf.DUMMYFUNCTION("""COMPUTED_VALUE"""),0)</f>
        <v>0</v>
      </c>
      <c r="J1213" s="8">
        <f ca="1">IFERROR(__xludf.DUMMYFUNCTION("""COMPUTED_VALUE"""),1)</f>
        <v>1</v>
      </c>
      <c r="K1213" s="8" t="str">
        <f ca="1">IFERROR(__xludf.DUMMYFUNCTION("""COMPUTED_VALUE"""),"https://www.lcsun-news.com/story/news/crime/2021/11/09/lcpd-avoid-almendra-and-lohman-due-police-related-incident/6352372001/ https://kvia.com/news/crime/2021/11/09/police-say-man-fatally-shot-self-after-crashing-las-cruces-officers-stolen-car-into-school"&amp;"/")</f>
        <v>https://www.lcsun-news.com/story/news/crime/2021/11/09/lcpd-avoid-almendra-and-lohman-due-police-related-incident/6352372001/ https://kvia.com/news/crime/2021/11/09/police-say-man-fatally-shot-self-after-crashing-las-cruces-officers-stolen-car-into-school/</v>
      </c>
      <c r="L1213" s="8">
        <f ca="1">IFERROR(__xludf.DUMMYFUNCTION("""COMPUTED_VALUE"""),5)</f>
        <v>5</v>
      </c>
      <c r="M1213" s="8" t="str">
        <f ca="1">IFERROR(__xludf.DUMMYFUNCTION("""COMPUTED_VALUE"""),"Local")</f>
        <v>Local</v>
      </c>
      <c r="N1213" s="8">
        <f ca="1">IFERROR(__xludf.DUMMYFUNCTION("""COMPUTED_VALUE"""),4)</f>
        <v>4</v>
      </c>
      <c r="O1213" s="8" t="str">
        <f ca="1">IFERROR(__xludf.DUMMYFUNCTION("""COMPUTED_VALUE"""),"Fall")</f>
        <v>Fall</v>
      </c>
      <c r="P1213" s="8" t="str">
        <f ca="1">IFERROR(__xludf.DUMMYFUNCTION("""COMPUTED_VALUE"""),"Las Cruces")</f>
        <v>Las Cruces</v>
      </c>
      <c r="Q1213" s="8" t="str">
        <f ca="1">IFERROR(__xludf.DUMMYFUNCTION("""COMPUTED_VALUE"""),"NM")</f>
        <v>NM</v>
      </c>
      <c r="R1213" s="8"/>
      <c r="S1213" s="8" t="str">
        <f ca="1">IFERROR(__xludf.DUMMYFUNCTION("""COMPUTED_VALUE"""),"Beside Building")</f>
        <v>Beside Building</v>
      </c>
      <c r="T1213" s="8" t="str">
        <f ca="1">IFERROR(__xludf.DUMMYFUNCTION("""COMPUTED_VALUE"""),"Outside on School Property")</f>
        <v>Outside on School Property</v>
      </c>
      <c r="U1213" s="8" t="str">
        <f ca="1">IFERROR(__xludf.DUMMYFUNCTION("""COMPUTED_VALUE"""),"Yes")</f>
        <v>Yes</v>
      </c>
      <c r="V1213" s="8" t="str">
        <f ca="1">IFERROR(__xludf.DUMMYFUNCTION("""COMPUTED_VALUE"""),"Morning Classes")</f>
        <v>Morning Classes</v>
      </c>
      <c r="W1213" s="11">
        <f ca="1">IFERROR(__xludf.DUMMYFUNCTION("""COMPUTED_VALUE"""),0.333333333333333)</f>
        <v>0.33333333333333298</v>
      </c>
      <c r="X1213" s="8">
        <f ca="1">IFERROR(__xludf.DUMMYFUNCTION("""COMPUTED_VALUE"""),210)</f>
        <v>210</v>
      </c>
      <c r="Y1213" s="12" t="str">
        <f ca="1">IFERROR(__xludf.DUMMYFUNCTION("""COMPUTED_VALUE"""),"SWAT standoff after man crashed stolen police car into school")</f>
        <v>SWAT standoff after man crashed stolen police car into school</v>
      </c>
      <c r="Z1213" s="12" t="str">
        <f ca="1">IFERROR(__xludf.DUMMYFUNCTION("""COMPUTED_VALUE"""),"A man with a knife stole an unmarked police car at the scene of a traffic stop. During a police pursuit, he crashed through a fence and into the side of the school building. School was in session and went on lockdown. The man stayed inside the vehicle and"&amp;" fatally shot himself after a 3.5 hour standoff with police.")</f>
        <v>A man with a knife stole an unmarked police car at the scene of a traffic stop. During a police pursuit, he crashed through a fence and into the side of the school building. School was in session and went on lockdown. The man stayed inside the vehicle and fatally shot himself after a 3.5 hour standoff with police.</v>
      </c>
      <c r="AA1213" s="8" t="str">
        <f ca="1">IFERROR(__xludf.DUMMYFUNCTION("""COMPUTED_VALUE"""),"Hostage/Standoff")</f>
        <v>Hostage/Standoff</v>
      </c>
      <c r="AB1213" s="8"/>
      <c r="AC1213" s="8" t="str">
        <f ca="1">IFERROR(__xludf.DUMMYFUNCTION("""COMPUTED_VALUE"""),"Yes")</f>
        <v>Yes</v>
      </c>
      <c r="AD1213" s="8" t="str">
        <f ca="1">IFERROR(__xludf.DUMMYFUNCTION("""COMPUTED_VALUE"""),"Neither")</f>
        <v>Neither</v>
      </c>
      <c r="AE1213" s="8" t="str">
        <f ca="1">IFERROR(__xludf.DUMMYFUNCTION("""COMPUTED_VALUE"""),"No")</f>
        <v>No</v>
      </c>
      <c r="AF1213" s="8"/>
      <c r="AG1213" s="8" t="str">
        <f ca="1">IFERROR(__xludf.DUMMYFUNCTION("""COMPUTED_VALUE"""),"No")</f>
        <v>No</v>
      </c>
      <c r="AH1213" s="8" t="str">
        <f ca="1">IFERROR(__xludf.DUMMYFUNCTION("""COMPUTED_VALUE"""),"No")</f>
        <v>No</v>
      </c>
      <c r="AI1213" s="8" t="str">
        <f ca="1">IFERROR(__xludf.DUMMYFUNCTION("""COMPUTED_VALUE"""),"No")</f>
        <v>No</v>
      </c>
      <c r="AJ1213" s="8" t="str">
        <f ca="1">IFERROR(__xludf.DUMMYFUNCTION("""COMPUTED_VALUE"""),"No")</f>
        <v>No</v>
      </c>
      <c r="AK1213" s="8" t="str">
        <f ca="1">IFERROR(__xludf.DUMMYFUNCTION("""COMPUTED_VALUE"""),"No")</f>
        <v>No</v>
      </c>
      <c r="AL1213" s="8" t="str">
        <f ca="1">IFERROR(__xludf.DUMMYFUNCTION("""COMPUTED_VALUE"""),"No")</f>
        <v>No</v>
      </c>
      <c r="AM1213" s="8" t="str">
        <f ca="1">IFERROR(__xludf.DUMMYFUNCTION("""COMPUTED_VALUE"""),"No")</f>
        <v>No</v>
      </c>
      <c r="AN1213" s="8"/>
      <c r="AO1213" s="8" t="str">
        <f ca="1">IFERROR(__xludf.DUMMYFUNCTION("""COMPUTED_VALUE"""),"No")</f>
        <v>No</v>
      </c>
      <c r="AP1213" s="8"/>
      <c r="AQ1213" s="8"/>
      <c r="AR1213" s="8" t="str">
        <f ca="1">IFERROR(__xludf.DUMMYFUNCTION("""COMPUTED_VALUE"""),"Outside/Off-Property")</f>
        <v>Outside/Off-Property</v>
      </c>
      <c r="AS1213" s="8">
        <f ca="1">IFERROR(__xludf.DUMMYFUNCTION("""COMPUTED_VALUE"""),1)</f>
        <v>1</v>
      </c>
      <c r="AT1213" s="8"/>
      <c r="AU1213" s="8">
        <f ca="1">IFERROR(__xludf.DUMMYFUNCTION("""COMPUTED_VALUE"""),32.275398)</f>
        <v>32.275398000000003</v>
      </c>
      <c r="AV1213" s="8">
        <f ca="1">IFERROR(__xludf.DUMMYFUNCTION("""COMPUTED_VALUE"""),-106.793612)</f>
        <v>-106.793612</v>
      </c>
      <c r="AW1213" s="8"/>
      <c r="AX1213" s="8">
        <f ca="1">IFERROR(__xludf.DUMMYFUNCTION("""COMPUTED_VALUE"""),88046)</f>
        <v>88046</v>
      </c>
    </row>
    <row r="1214" spans="1:50" ht="75" x14ac:dyDescent="0.2">
      <c r="A1214" s="8" t="str">
        <f ca="1">IFERROR(__xludf.DUMMYFUNCTION("""COMPUTED_VALUE"""),"20211108NYTHB")</f>
        <v>20211108NYTHB</v>
      </c>
      <c r="B1214" s="8">
        <f ca="1">IFERROR(__xludf.DUMMYFUNCTION("""COMPUTED_VALUE"""),11)</f>
        <v>11</v>
      </c>
      <c r="C1214" s="8">
        <f ca="1">IFERROR(__xludf.DUMMYFUNCTION("""COMPUTED_VALUE"""),8)</f>
        <v>8</v>
      </c>
      <c r="D1214" s="8">
        <f ca="1">IFERROR(__xludf.DUMMYFUNCTION("""COMPUTED_VALUE"""),2021)</f>
        <v>2021</v>
      </c>
      <c r="E1214" s="9">
        <f ca="1">IFERROR(__xludf.DUMMYFUNCTION("""COMPUTED_VALUE"""),44508)</f>
        <v>44508</v>
      </c>
      <c r="F1214" s="8" t="str">
        <f ca="1">IFERROR(__xludf.DUMMYFUNCTION("""COMPUTED_VALUE"""),"Theodore Roosevelt High School")</f>
        <v>Theodore Roosevelt High School</v>
      </c>
      <c r="G1214" s="8">
        <f ca="1">IFERROR(__xludf.DUMMYFUNCTION("""COMPUTED_VALUE"""),0)</f>
        <v>0</v>
      </c>
      <c r="H1214" s="8">
        <f ca="1">IFERROR(__xludf.DUMMYFUNCTION("""COMPUTED_VALUE"""),1)</f>
        <v>1</v>
      </c>
      <c r="I1214" s="8">
        <f ca="1">IFERROR(__xludf.DUMMYFUNCTION("""COMPUTED_VALUE"""),1)</f>
        <v>1</v>
      </c>
      <c r="J1214" s="8">
        <f ca="1">IFERROR(__xludf.DUMMYFUNCTION("""COMPUTED_VALUE"""),0)</f>
        <v>0</v>
      </c>
      <c r="K1214" s="8" t="str">
        <f ca="1">IFERROR(__xludf.DUMMYFUNCTION("""COMPUTED_VALUE"""),"https://www.nydailynews.com/new-york/nyc-crime/ny-bronx-teen-shot-outside-school-dismissal-20211109-tmwo77lsi5aixgkmssckxm6bfa-story.html https://newyork.cbslocal.com/2021/11/08/police-student-shot-outside-roosevelt-high-school-in-the-bronx/ https://www.a"&amp;"mny.com/education/teenager-shot-in-the-leg-steps-away-from-high-school-in-bronx-nypd/")</f>
        <v>https://www.nydailynews.com/new-york/nyc-crime/ny-bronx-teen-shot-outside-school-dismissal-20211109-tmwo77lsi5aixgkmssckxm6bfa-story.html https://newyork.cbslocal.com/2021/11/08/police-student-shot-outside-roosevelt-high-school-in-the-bronx/ https://www.amny.com/education/teenager-shot-in-the-leg-steps-away-from-high-school-in-bronx-nypd/</v>
      </c>
      <c r="L1214" s="8">
        <f ca="1">IFERROR(__xludf.DUMMYFUNCTION("""COMPUTED_VALUE"""),3)</f>
        <v>3</v>
      </c>
      <c r="M1214" s="8" t="str">
        <f ca="1">IFERROR(__xludf.DUMMYFUNCTION("""COMPUTED_VALUE"""),"Local")</f>
        <v>Local</v>
      </c>
      <c r="N1214" s="8">
        <f ca="1">IFERROR(__xludf.DUMMYFUNCTION("""COMPUTED_VALUE"""),4)</f>
        <v>4</v>
      </c>
      <c r="O1214" s="8" t="str">
        <f ca="1">IFERROR(__xludf.DUMMYFUNCTION("""COMPUTED_VALUE"""),"Fall")</f>
        <v>Fall</v>
      </c>
      <c r="P1214" s="8" t="str">
        <f ca="1">IFERROR(__xludf.DUMMYFUNCTION("""COMPUTED_VALUE"""),"Bronx")</f>
        <v>Bronx</v>
      </c>
      <c r="Q1214" s="8" t="str">
        <f ca="1">IFERROR(__xludf.DUMMYFUNCTION("""COMPUTED_VALUE"""),"NY")</f>
        <v>NY</v>
      </c>
      <c r="R1214" s="8" t="str">
        <f ca="1">IFERROR(__xludf.DUMMYFUNCTION("""COMPUTED_VALUE"""),"High")</f>
        <v>High</v>
      </c>
      <c r="S1214" s="8" t="str">
        <f ca="1">IFERROR(__xludf.DUMMYFUNCTION("""COMPUTED_VALUE"""),"Front of School")</f>
        <v>Front of School</v>
      </c>
      <c r="T1214" s="8" t="str">
        <f ca="1">IFERROR(__xludf.DUMMYFUNCTION("""COMPUTED_VALUE"""),"Outside on School Property")</f>
        <v>Outside on School Property</v>
      </c>
      <c r="U1214" s="8" t="str">
        <f ca="1">IFERROR(__xludf.DUMMYFUNCTION("""COMPUTED_VALUE"""),"Yes")</f>
        <v>Yes</v>
      </c>
      <c r="V1214" s="8" t="str">
        <f ca="1">IFERROR(__xludf.DUMMYFUNCTION("""COMPUTED_VALUE"""),"Dismissal")</f>
        <v>Dismissal</v>
      </c>
      <c r="W1214" s="11">
        <f ca="1">IFERROR(__xludf.DUMMYFUNCTION("""COMPUTED_VALUE"""),0.611111111111111)</f>
        <v>0.61111111111111105</v>
      </c>
      <c r="X1214" s="8">
        <f ca="1">IFERROR(__xludf.DUMMYFUNCTION("""COMPUTED_VALUE"""),1)</f>
        <v>1</v>
      </c>
      <c r="Y1214" s="12" t="str">
        <f ca="1">IFERROR(__xludf.DUMMYFUNCTION("""COMPUTED_VALUE"""),"Student shot at dismissal on sidewalk in front of school")</f>
        <v>Student shot at dismissal on sidewalk in front of school</v>
      </c>
      <c r="Z1214" s="12" t="str">
        <f ca="1">IFERROR(__xludf.DUMMYFUNCTION("""COMPUTED_VALUE"""),"A 17-year-old student was shot in the leg outside of the school during dismissal. The student was with a group of other students and was shot by a student inside an SUV. Multiple students were inside the vehicle. The shooter fled the scene.")</f>
        <v>A 17-year-old student was shot in the leg outside of the school during dismissal. The student was with a group of other students and was shot by a student inside an SUV. Multiple students were inside the vehicle. The shooter fled the scene.</v>
      </c>
      <c r="AA1214" s="8" t="str">
        <f ca="1">IFERROR(__xludf.DUMMYFUNCTION("""COMPUTED_VALUE"""),"Drive-by Shooting")</f>
        <v>Drive-by Shooting</v>
      </c>
      <c r="AB1214" s="8"/>
      <c r="AC1214" s="8" t="str">
        <f ca="1">IFERROR(__xludf.DUMMYFUNCTION("""COMPUTED_VALUE"""),"Yes")</f>
        <v>Yes</v>
      </c>
      <c r="AD1214" s="8" t="str">
        <f ca="1">IFERROR(__xludf.DUMMYFUNCTION("""COMPUTED_VALUE"""),"Victims Targeted")</f>
        <v>Victims Targeted</v>
      </c>
      <c r="AE1214" s="8" t="str">
        <f ca="1">IFERROR(__xludf.DUMMYFUNCTION("""COMPUTED_VALUE"""),"Yes")</f>
        <v>Yes</v>
      </c>
      <c r="AF1214" s="8" t="str">
        <f ca="1">IFERROR(__xludf.DUMMYFUNCTION("""COMPUTED_VALUE"""),"Driver, other students in vehicle")</f>
        <v>Driver, other students in vehicle</v>
      </c>
      <c r="AG1214" s="8" t="str">
        <f ca="1">IFERROR(__xludf.DUMMYFUNCTION("""COMPUTED_VALUE"""),"No")</f>
        <v>No</v>
      </c>
      <c r="AH1214" s="8" t="str">
        <f ca="1">IFERROR(__xludf.DUMMYFUNCTION("""COMPUTED_VALUE"""),"No")</f>
        <v>No</v>
      </c>
      <c r="AI1214" s="8" t="str">
        <f ca="1">IFERROR(__xludf.DUMMYFUNCTION("""COMPUTED_VALUE"""),"No")</f>
        <v>No</v>
      </c>
      <c r="AJ1214" s="8" t="str">
        <f ca="1">IFERROR(__xludf.DUMMYFUNCTION("""COMPUTED_VALUE"""),"No")</f>
        <v>No</v>
      </c>
      <c r="AK1214" s="8" t="str">
        <f ca="1">IFERROR(__xludf.DUMMYFUNCTION("""COMPUTED_VALUE"""),"No")</f>
        <v>No</v>
      </c>
      <c r="AL1214" s="8"/>
      <c r="AM1214" s="8" t="str">
        <f ca="1">IFERROR(__xludf.DUMMYFUNCTION("""COMPUTED_VALUE"""),"No")</f>
        <v>No</v>
      </c>
      <c r="AN1214" s="8"/>
      <c r="AO1214" s="8" t="str">
        <f ca="1">IFERROR(__xludf.DUMMYFUNCTION("""COMPUTED_VALUE"""),"No")</f>
        <v>No</v>
      </c>
      <c r="AP1214" s="8"/>
      <c r="AQ1214" s="8"/>
      <c r="AR1214" s="8" t="str">
        <f ca="1">IFERROR(__xludf.DUMMYFUNCTION("""COMPUTED_VALUE"""),"Outside/Off-Property")</f>
        <v>Outside/Off-Property</v>
      </c>
      <c r="AS1214" s="8"/>
      <c r="AT1214" s="8"/>
      <c r="AU1214" s="8">
        <f ca="1">IFERROR(__xludf.DUMMYFUNCTION("""COMPUTED_VALUE"""),40.859605)</f>
        <v>40.859605000000002</v>
      </c>
      <c r="AV1214" s="8">
        <f ca="1">IFERROR(__xludf.DUMMYFUNCTION("""COMPUTED_VALUE"""),-73.887689)</f>
        <v>-73.887688999999995</v>
      </c>
      <c r="AW1214" s="8"/>
      <c r="AX1214" s="8">
        <f ca="1">IFERROR(__xludf.DUMMYFUNCTION("""COMPUTED_VALUE"""),10458)</f>
        <v>10458</v>
      </c>
    </row>
    <row r="1215" spans="1:50" ht="105" x14ac:dyDescent="0.2">
      <c r="A1215" s="8" t="str">
        <f ca="1">IFERROR(__xludf.DUMMYFUNCTION("""COMPUTED_VALUE"""),"20211106FLOVO")</f>
        <v>20211106FLOVO</v>
      </c>
      <c r="B1215" s="8">
        <f ca="1">IFERROR(__xludf.DUMMYFUNCTION("""COMPUTED_VALUE"""),11)</f>
        <v>11</v>
      </c>
      <c r="C1215" s="8">
        <f ca="1">IFERROR(__xludf.DUMMYFUNCTION("""COMPUTED_VALUE"""),6)</f>
        <v>6</v>
      </c>
      <c r="D1215" s="8">
        <f ca="1">IFERROR(__xludf.DUMMYFUNCTION("""COMPUTED_VALUE"""),2021)</f>
        <v>2021</v>
      </c>
      <c r="E1215" s="9">
        <f ca="1">IFERROR(__xludf.DUMMYFUNCTION("""COMPUTED_VALUE"""),44506)</f>
        <v>44506</v>
      </c>
      <c r="F1215" s="8" t="str">
        <f ca="1">IFERROR(__xludf.DUMMYFUNCTION("""COMPUTED_VALUE"""),"Oviedo High School")</f>
        <v>Oviedo High School</v>
      </c>
      <c r="G1215" s="8">
        <f ca="1">IFERROR(__xludf.DUMMYFUNCTION("""COMPUTED_VALUE"""),0)</f>
        <v>0</v>
      </c>
      <c r="H1215" s="8">
        <f ca="1">IFERROR(__xludf.DUMMYFUNCTION("""COMPUTED_VALUE"""),0)</f>
        <v>0</v>
      </c>
      <c r="I1215" s="8">
        <f ca="1">IFERROR(__xludf.DUMMYFUNCTION("""COMPUTED_VALUE"""),0)</f>
        <v>0</v>
      </c>
      <c r="J1215" s="8">
        <f ca="1">IFERROR(__xludf.DUMMYFUNCTION("""COMPUTED_VALUE"""),0)</f>
        <v>0</v>
      </c>
      <c r="K1215" s="8" t="str">
        <f ca="1">IFERROR(__xludf.DUMMYFUNCTION("""COMPUTED_VALUE"""),"https://www.clickorlando.com/news/local/2021/11/09/student-now-faces-gun-charge-in-oviedo-homecoming-scare/ https://www.fox35orlando.com/news/police-student-faces-multiple-charges-after-gun-scare-at-oviedo-high-schools-homecoming-dance https://www.wesh.co"&amp;"m/article/oviedo-high-school-homecoming-dance/38198632#")</f>
        <v>https://www.clickorlando.com/news/local/2021/11/09/student-now-faces-gun-charge-in-oviedo-homecoming-scare/ https://www.fox35orlando.com/news/police-student-faces-multiple-charges-after-gun-scare-at-oviedo-high-schools-homecoming-dance https://www.wesh.com/article/oviedo-high-school-homecoming-dance/38198632#</v>
      </c>
      <c r="L1215" s="8">
        <f ca="1">IFERROR(__xludf.DUMMYFUNCTION("""COMPUTED_VALUE"""),10)</f>
        <v>10</v>
      </c>
      <c r="M1215" s="8" t="str">
        <f ca="1">IFERROR(__xludf.DUMMYFUNCTION("""COMPUTED_VALUE"""),"Local")</f>
        <v>Local</v>
      </c>
      <c r="N1215" s="8">
        <f ca="1">IFERROR(__xludf.DUMMYFUNCTION("""COMPUTED_VALUE"""),4)</f>
        <v>4</v>
      </c>
      <c r="O1215" s="8" t="str">
        <f ca="1">IFERROR(__xludf.DUMMYFUNCTION("""COMPUTED_VALUE"""),"Fall")</f>
        <v>Fall</v>
      </c>
      <c r="P1215" s="8" t="str">
        <f ca="1">IFERROR(__xludf.DUMMYFUNCTION("""COMPUTED_VALUE"""),"Oviedo")</f>
        <v>Oviedo</v>
      </c>
      <c r="Q1215" s="8" t="str">
        <f ca="1">IFERROR(__xludf.DUMMYFUNCTION("""COMPUTED_VALUE"""),"FL")</f>
        <v>FL</v>
      </c>
      <c r="R1215" s="8" t="str">
        <f ca="1">IFERROR(__xludf.DUMMYFUNCTION("""COMPUTED_VALUE"""),"High")</f>
        <v>High</v>
      </c>
      <c r="S1215" s="8" t="str">
        <f ca="1">IFERROR(__xludf.DUMMYFUNCTION("""COMPUTED_VALUE"""),"Gym")</f>
        <v>Gym</v>
      </c>
      <c r="T1215" s="8" t="str">
        <f ca="1">IFERROR(__xludf.DUMMYFUNCTION("""COMPUTED_VALUE"""),"Inside School Building")</f>
        <v>Inside School Building</v>
      </c>
      <c r="U1215" s="8" t="str">
        <f ca="1">IFERROR(__xludf.DUMMYFUNCTION("""COMPUTED_VALUE"""),"No")</f>
        <v>No</v>
      </c>
      <c r="V1215" s="8" t="str">
        <f ca="1">IFERROR(__xludf.DUMMYFUNCTION("""COMPUTED_VALUE"""),"School Event")</f>
        <v>School Event</v>
      </c>
      <c r="W1215" s="11">
        <f ca="1">IFERROR(__xludf.DUMMYFUNCTION("""COMPUTED_VALUE"""),0.916666666666666)</f>
        <v>0.91666666666666596</v>
      </c>
      <c r="X1215" s="8">
        <f ca="1">IFERROR(__xludf.DUMMYFUNCTION("""COMPUTED_VALUE"""),1)</f>
        <v>1</v>
      </c>
      <c r="Y1215" s="12" t="str">
        <f ca="1">IFERROR(__xludf.DUMMYFUNCTION("""COMPUTED_VALUE"""),"Student brandish gun during fight at homecoming dance")</f>
        <v>Student brandish gun during fight at homecoming dance</v>
      </c>
      <c r="Z1215" s="12" t="str">
        <f ca="1">IFERROR(__xludf.DUMMYFUNCTION("""COMPUTED_VALUE"""),"Students evacuated the homecoming dance when they believed a gun had been fired. Police investigated and determined that no shots were fired. A student was charged with brandish a gun during a fight at the dance. A second student had been reported with a "&amp;"gun when he was detained entry to the dance but police did not find a weapon when they searched the person.")</f>
        <v>Students evacuated the homecoming dance when they believed a gun had been fired. Police investigated and determined that no shots were fired. A student was charged with brandish a gun during a fight at the dance. A second student had been reported with a gun when he was detained entry to the dance but police did not find a weapon when they searched the person.</v>
      </c>
      <c r="AA1215" s="8" t="str">
        <f ca="1">IFERROR(__xludf.DUMMYFUNCTION("""COMPUTED_VALUE"""),"Escalation of Dispute")</f>
        <v>Escalation of Dispute</v>
      </c>
      <c r="AB1215" s="8"/>
      <c r="AC1215" s="8" t="str">
        <f ca="1">IFERROR(__xludf.DUMMYFUNCTION("""COMPUTED_VALUE"""),"Yes")</f>
        <v>Yes</v>
      </c>
      <c r="AD1215" s="8" t="str">
        <f ca="1">IFERROR(__xludf.DUMMYFUNCTION("""COMPUTED_VALUE"""),"Neither")</f>
        <v>Neither</v>
      </c>
      <c r="AE1215" s="8" t="str">
        <f ca="1">IFERROR(__xludf.DUMMYFUNCTION("""COMPUTED_VALUE"""),"No")</f>
        <v>No</v>
      </c>
      <c r="AF1215" s="8"/>
      <c r="AG1215" s="8" t="str">
        <f ca="1">IFERROR(__xludf.DUMMYFUNCTION("""COMPUTED_VALUE"""),"No")</f>
        <v>No</v>
      </c>
      <c r="AH1215" s="8" t="str">
        <f ca="1">IFERROR(__xludf.DUMMYFUNCTION("""COMPUTED_VALUE"""),"No")</f>
        <v>No</v>
      </c>
      <c r="AI1215" s="8" t="str">
        <f ca="1">IFERROR(__xludf.DUMMYFUNCTION("""COMPUTED_VALUE"""),"No")</f>
        <v>No</v>
      </c>
      <c r="AJ1215" s="8" t="str">
        <f ca="1">IFERROR(__xludf.DUMMYFUNCTION("""COMPUTED_VALUE"""),"No")</f>
        <v>No</v>
      </c>
      <c r="AK1215" s="8" t="str">
        <f ca="1">IFERROR(__xludf.DUMMYFUNCTION("""COMPUTED_VALUE"""),"No")</f>
        <v>No</v>
      </c>
      <c r="AL1215" s="8"/>
      <c r="AM1215" s="8" t="str">
        <f ca="1">IFERROR(__xludf.DUMMYFUNCTION("""COMPUTED_VALUE"""),"No")</f>
        <v>No</v>
      </c>
      <c r="AN1215" s="8"/>
      <c r="AO1215" s="8" t="str">
        <f ca="1">IFERROR(__xludf.DUMMYFUNCTION("""COMPUTED_VALUE"""),"No")</f>
        <v>No</v>
      </c>
      <c r="AP1215" s="8"/>
      <c r="AQ1215" s="8"/>
      <c r="AR1215" s="8"/>
      <c r="AS1215" s="8">
        <f ca="1">IFERROR(__xludf.DUMMYFUNCTION("""COMPUTED_VALUE"""),0)</f>
        <v>0</v>
      </c>
      <c r="AT1215" s="8"/>
      <c r="AU1215" s="8">
        <f ca="1">IFERROR(__xludf.DUMMYFUNCTION("""COMPUTED_VALUE"""),28.672719)</f>
        <v>28.672719000000001</v>
      </c>
      <c r="AV1215" s="8">
        <f ca="1">IFERROR(__xludf.DUMMYFUNCTION("""COMPUTED_VALUE"""),-81.217814)</f>
        <v>-81.217814000000004</v>
      </c>
      <c r="AW1215" s="8"/>
      <c r="AX1215" s="8">
        <f ca="1">IFERROR(__xludf.DUMMYFUNCTION("""COMPUTED_VALUE"""),32765)</f>
        <v>32765</v>
      </c>
    </row>
    <row r="1216" spans="1:50" ht="105" x14ac:dyDescent="0.2">
      <c r="A1216" s="8" t="str">
        <f ca="1">IFERROR(__xludf.DUMMYFUNCTION("""COMPUTED_VALUE"""),"20211102NMHIH")</f>
        <v>20211102NMHIH</v>
      </c>
      <c r="B1216" s="8">
        <f ca="1">IFERROR(__xludf.DUMMYFUNCTION("""COMPUTED_VALUE"""),11)</f>
        <v>11</v>
      </c>
      <c r="C1216" s="8">
        <f ca="1">IFERROR(__xludf.DUMMYFUNCTION("""COMPUTED_VALUE"""),2)</f>
        <v>2</v>
      </c>
      <c r="D1216" s="8">
        <f ca="1">IFERROR(__xludf.DUMMYFUNCTION("""COMPUTED_VALUE"""),2021)</f>
        <v>2021</v>
      </c>
      <c r="E1216" s="9">
        <f ca="1">IFERROR(__xludf.DUMMYFUNCTION("""COMPUTED_VALUE"""),44502)</f>
        <v>44502</v>
      </c>
      <c r="F1216" s="8" t="str">
        <f ca="1">IFERROR(__xludf.DUMMYFUNCTION("""COMPUTED_VALUE"""),"Highland Middle School")</f>
        <v>Highland Middle School</v>
      </c>
      <c r="G1216" s="8">
        <f ca="1">IFERROR(__xludf.DUMMYFUNCTION("""COMPUTED_VALUE"""),0)</f>
        <v>0</v>
      </c>
      <c r="H1216" s="8">
        <f ca="1">IFERROR(__xludf.DUMMYFUNCTION("""COMPUTED_VALUE"""),3)</f>
        <v>3</v>
      </c>
      <c r="I1216" s="8">
        <f ca="1">IFERROR(__xludf.DUMMYFUNCTION("""COMPUTED_VALUE"""),3)</f>
        <v>3</v>
      </c>
      <c r="J1216" s="8">
        <f ca="1">IFERROR(__xludf.DUMMYFUNCTION("""COMPUTED_VALUE"""),0)</f>
        <v>0</v>
      </c>
      <c r="K1216" s="8" t="str">
        <f ca="1">IFERROR(__xludf.DUMMYFUNCTION("""COMPUTED_VALUE"""),"https://www.hobbsnews.com/2021/12/04/juvenile-arrested-in-middle-school-shooting/ https://www.krqe.com/news/crime/hobbs-woman-2-juveniles-facing-charges-after-pellet-gun-shot-toward-school/")</f>
        <v>https://www.hobbsnews.com/2021/12/04/juvenile-arrested-in-middle-school-shooting/ https://www.krqe.com/news/crime/hobbs-woman-2-juveniles-facing-charges-after-pellet-gun-shot-toward-school/</v>
      </c>
      <c r="L1216" s="8">
        <f ca="1">IFERROR(__xludf.DUMMYFUNCTION("""COMPUTED_VALUE"""),2)</f>
        <v>2</v>
      </c>
      <c r="M1216" s="8" t="str">
        <f ca="1">IFERROR(__xludf.DUMMYFUNCTION("""COMPUTED_VALUE"""),"Local")</f>
        <v>Local</v>
      </c>
      <c r="N1216" s="8">
        <f ca="1">IFERROR(__xludf.DUMMYFUNCTION("""COMPUTED_VALUE"""),4)</f>
        <v>4</v>
      </c>
      <c r="O1216" s="8" t="str">
        <f ca="1">IFERROR(__xludf.DUMMYFUNCTION("""COMPUTED_VALUE"""),"Fall")</f>
        <v>Fall</v>
      </c>
      <c r="P1216" s="8" t="str">
        <f ca="1">IFERROR(__xludf.DUMMYFUNCTION("""COMPUTED_VALUE"""),"Hobbs")</f>
        <v>Hobbs</v>
      </c>
      <c r="Q1216" s="8" t="str">
        <f ca="1">IFERROR(__xludf.DUMMYFUNCTION("""COMPUTED_VALUE"""),"NM")</f>
        <v>NM</v>
      </c>
      <c r="R1216" s="8" t="str">
        <f ca="1">IFERROR(__xludf.DUMMYFUNCTION("""COMPUTED_VALUE"""),"Middle")</f>
        <v>Middle</v>
      </c>
      <c r="S1216" s="8" t="str">
        <f ca="1">IFERROR(__xludf.DUMMYFUNCTION("""COMPUTED_VALUE"""),"Parking Lot")</f>
        <v>Parking Lot</v>
      </c>
      <c r="T1216" s="8" t="str">
        <f ca="1">IFERROR(__xludf.DUMMYFUNCTION("""COMPUTED_VALUE"""),"Outside on School Property")</f>
        <v>Outside on School Property</v>
      </c>
      <c r="U1216" s="8" t="str">
        <f ca="1">IFERROR(__xludf.DUMMYFUNCTION("""COMPUTED_VALUE"""),"Yes")</f>
        <v>Yes</v>
      </c>
      <c r="V1216" s="8" t="str">
        <f ca="1">IFERROR(__xludf.DUMMYFUNCTION("""COMPUTED_VALUE"""),"Dismissal")</f>
        <v>Dismissal</v>
      </c>
      <c r="W1216" s="11">
        <f ca="1">IFERROR(__xludf.DUMMYFUNCTION("""COMPUTED_VALUE"""),0.625)</f>
        <v>0.625</v>
      </c>
      <c r="X1216" s="8">
        <f ca="1">IFERROR(__xludf.DUMMYFUNCTION("""COMPUTED_VALUE"""),1)</f>
        <v>1</v>
      </c>
      <c r="Y1216" s="12" t="str">
        <f ca="1">IFERROR(__xludf.DUMMYFUNCTION("""COMPUTED_VALUE"""),"12-year-old and friend shot at students outside the school with BB gun")</f>
        <v>12-year-old and friend shot at students outside the school with BB gun</v>
      </c>
      <c r="Z1216" s="12" t="str">
        <f ca="1">IFERROR(__xludf.DUMMYFUNCTION("""COMPUTED_VALUE"""),"A 12-year-old male and his friend fired a BB rifle from an apartment building at students outside of the school across the street. Three students reported injuries. One student required surgery to remove a BB from his scalp. Both children charged as minor"&amp;"s with aggravated battery. Mother charged with felon in possession of a firearm, three counts of child abuse and contributing to a delinquency of a minor.")</f>
        <v>A 12-year-old male and his friend fired a BB rifle from an apartment building at students outside of the school across the street. Three students reported injuries. One student required surgery to remove a BB from his scalp. Both children charged as minors with aggravated battery. Mother charged with felon in possession of a firearm, three counts of child abuse and contributing to a delinquency of a minor.</v>
      </c>
      <c r="AA1216" s="8" t="str">
        <f ca="1">IFERROR(__xludf.DUMMYFUNCTION("""COMPUTED_VALUE"""),"Indiscriminate Shooting")</f>
        <v>Indiscriminate Shooting</v>
      </c>
      <c r="AB1216" s="8"/>
      <c r="AC1216" s="8" t="str">
        <f ca="1">IFERROR(__xludf.DUMMYFUNCTION("""COMPUTED_VALUE"""),"Yes")</f>
        <v>Yes</v>
      </c>
      <c r="AD1216" s="8" t="str">
        <f ca="1">IFERROR(__xludf.DUMMYFUNCTION("""COMPUTED_VALUE"""),"Random Shooting")</f>
        <v>Random Shooting</v>
      </c>
      <c r="AE1216" s="8" t="str">
        <f ca="1">IFERROR(__xludf.DUMMYFUNCTION("""COMPUTED_VALUE"""),"Yes")</f>
        <v>Yes</v>
      </c>
      <c r="AF1216" s="8" t="str">
        <f ca="1">IFERROR(__xludf.DUMMYFUNCTION("""COMPUTED_VALUE"""),"12YOM male friend, mother")</f>
        <v>12YOM male friend, mother</v>
      </c>
      <c r="AG1216" s="8" t="str">
        <f ca="1">IFERROR(__xludf.DUMMYFUNCTION("""COMPUTED_VALUE"""),"No")</f>
        <v>No</v>
      </c>
      <c r="AH1216" s="8" t="str">
        <f ca="1">IFERROR(__xludf.DUMMYFUNCTION("""COMPUTED_VALUE"""),"No")</f>
        <v>No</v>
      </c>
      <c r="AI1216" s="8" t="str">
        <f ca="1">IFERROR(__xludf.DUMMYFUNCTION("""COMPUTED_VALUE"""),"No")</f>
        <v>No</v>
      </c>
      <c r="AJ1216" s="8" t="str">
        <f ca="1">IFERROR(__xludf.DUMMYFUNCTION("""COMPUTED_VALUE"""),"No")</f>
        <v>No</v>
      </c>
      <c r="AK1216" s="8" t="str">
        <f ca="1">IFERROR(__xludf.DUMMYFUNCTION("""COMPUTED_VALUE"""),"No")</f>
        <v>No</v>
      </c>
      <c r="AL1216" s="8" t="str">
        <f ca="1">IFERROR(__xludf.DUMMYFUNCTION("""COMPUTED_VALUE"""),"No")</f>
        <v>No</v>
      </c>
      <c r="AM1216" s="8" t="str">
        <f ca="1">IFERROR(__xludf.DUMMYFUNCTION("""COMPUTED_VALUE"""),"No")</f>
        <v>No</v>
      </c>
      <c r="AN1216" s="8"/>
      <c r="AO1216" s="8" t="str">
        <f ca="1">IFERROR(__xludf.DUMMYFUNCTION("""COMPUTED_VALUE"""),"No")</f>
        <v>No</v>
      </c>
      <c r="AP1216" s="8"/>
      <c r="AQ1216" s="8"/>
      <c r="AR1216" s="8" t="str">
        <f ca="1">IFERROR(__xludf.DUMMYFUNCTION("""COMPUTED_VALUE"""),"Outside/Off-Property")</f>
        <v>Outside/Off-Property</v>
      </c>
      <c r="AS1216" s="8"/>
      <c r="AT1216" s="8"/>
      <c r="AU1216" s="8">
        <f ca="1">IFERROR(__xludf.DUMMYFUNCTION("""COMPUTED_VALUE"""),32.728664)</f>
        <v>32.728664000000002</v>
      </c>
      <c r="AV1216" s="8">
        <f ca="1">IFERROR(__xludf.DUMMYFUNCTION("""COMPUTED_VALUE"""),-103.122843)</f>
        <v>-103.122843</v>
      </c>
      <c r="AW1216" s="8"/>
      <c r="AX1216" s="8">
        <f ca="1">IFERROR(__xludf.DUMMYFUNCTION("""COMPUTED_VALUE"""),88240)</f>
        <v>88240</v>
      </c>
    </row>
    <row r="1217" spans="1:50" ht="75" x14ac:dyDescent="0.2">
      <c r="A1217" s="8" t="str">
        <f ca="1">IFERROR(__xludf.DUMMYFUNCTION("""COMPUTED_VALUE"""),"20211030PASTM")</f>
        <v>20211030PASTM</v>
      </c>
      <c r="B1217" s="8">
        <f ca="1">IFERROR(__xludf.DUMMYFUNCTION("""COMPUTED_VALUE"""),10)</f>
        <v>10</v>
      </c>
      <c r="C1217" s="8">
        <f ca="1">IFERROR(__xludf.DUMMYFUNCTION("""COMPUTED_VALUE"""),30)</f>
        <v>30</v>
      </c>
      <c r="D1217" s="8">
        <f ca="1">IFERROR(__xludf.DUMMYFUNCTION("""COMPUTED_VALUE"""),2021)</f>
        <v>2021</v>
      </c>
      <c r="E1217" s="9">
        <f ca="1">IFERROR(__xludf.DUMMYFUNCTION("""COMPUTED_VALUE"""),44499)</f>
        <v>44499</v>
      </c>
      <c r="F1217" s="8" t="str">
        <f ca="1">IFERROR(__xludf.DUMMYFUNCTION("""COMPUTED_VALUE"""),"Sto Rox High School")</f>
        <v>Sto Rox High School</v>
      </c>
      <c r="G1217" s="8">
        <f ca="1">IFERROR(__xludf.DUMMYFUNCTION("""COMPUTED_VALUE"""),0)</f>
        <v>0</v>
      </c>
      <c r="H1217" s="8">
        <f ca="1">IFERROR(__xludf.DUMMYFUNCTION("""COMPUTED_VALUE"""),1)</f>
        <v>1</v>
      </c>
      <c r="I1217" s="8">
        <f ca="1">IFERROR(__xludf.DUMMYFUNCTION("""COMPUTED_VALUE"""),1)</f>
        <v>1</v>
      </c>
      <c r="J1217" s="8">
        <f ca="1">IFERROR(__xludf.DUMMYFUNCTION("""COMPUTED_VALUE"""),0)</f>
        <v>0</v>
      </c>
      <c r="K1217" s="8" t="str">
        <f ca="1">IFERROR(__xludf.DUMMYFUNCTION("""COMPUTED_VALUE"""),"https://www.wpxi.com/news/top-stories/1-man-transported-hospital-after-shooting-near-sto-rox-high-school/7RGTLISA6NCY3PTUBBKFYZCTJA/ https://www.wtae.com/article/one-injured-after-shooting-near-sto-rox-junior-senior-high-school/38114320# https://pittsburg"&amp;"h.cbslocal.com/2021/10/30/shooting-near-sto-rox-high-school-football-stadium-sends-1-person-to-hospital/")</f>
        <v>https://www.wpxi.com/news/top-stories/1-man-transported-hospital-after-shooting-near-sto-rox-high-school/7RGTLISA6NCY3PTUBBKFYZCTJA/ https://www.wtae.com/article/one-injured-after-shooting-near-sto-rox-junior-senior-high-school/38114320# https://pittsburgh.cbslocal.com/2021/10/30/shooting-near-sto-rox-high-school-football-stadium-sends-1-person-to-hospital/</v>
      </c>
      <c r="L1217" s="8">
        <f ca="1">IFERROR(__xludf.DUMMYFUNCTION("""COMPUTED_VALUE"""),5)</f>
        <v>5</v>
      </c>
      <c r="M1217" s="8" t="str">
        <f ca="1">IFERROR(__xludf.DUMMYFUNCTION("""COMPUTED_VALUE"""),"Regional")</f>
        <v>Regional</v>
      </c>
      <c r="N1217" s="8">
        <f ca="1">IFERROR(__xludf.DUMMYFUNCTION("""COMPUTED_VALUE"""),4)</f>
        <v>4</v>
      </c>
      <c r="O1217" s="8" t="str">
        <f ca="1">IFERROR(__xludf.DUMMYFUNCTION("""COMPUTED_VALUE"""),"Fall")</f>
        <v>Fall</v>
      </c>
      <c r="P1217" s="8" t="str">
        <f ca="1">IFERROR(__xludf.DUMMYFUNCTION("""COMPUTED_VALUE"""),"McKees Rock")</f>
        <v>McKees Rock</v>
      </c>
      <c r="Q1217" s="8" t="str">
        <f ca="1">IFERROR(__xludf.DUMMYFUNCTION("""COMPUTED_VALUE"""),"PA")</f>
        <v>PA</v>
      </c>
      <c r="R1217" s="8" t="str">
        <f ca="1">IFERROR(__xludf.DUMMYFUNCTION("""COMPUTED_VALUE"""),"High")</f>
        <v>High</v>
      </c>
      <c r="S1217" s="8" t="str">
        <f ca="1">IFERROR(__xludf.DUMMYFUNCTION("""COMPUTED_VALUE"""),"Parking Lot")</f>
        <v>Parking Lot</v>
      </c>
      <c r="T1217" s="8" t="str">
        <f ca="1">IFERROR(__xludf.DUMMYFUNCTION("""COMPUTED_VALUE"""),"Outside on School Property")</f>
        <v>Outside on School Property</v>
      </c>
      <c r="U1217" s="8" t="str">
        <f ca="1">IFERROR(__xludf.DUMMYFUNCTION("""COMPUTED_VALUE"""),"No")</f>
        <v>No</v>
      </c>
      <c r="V1217" s="8" t="str">
        <f ca="1">IFERROR(__xludf.DUMMYFUNCTION("""COMPUTED_VALUE"""),"Sport Event")</f>
        <v>Sport Event</v>
      </c>
      <c r="W1217" s="11">
        <f ca="1">IFERROR(__xludf.DUMMYFUNCTION("""COMPUTED_VALUE"""),0.697916666666666)</f>
        <v>0.69791666666666596</v>
      </c>
      <c r="X1217" s="8">
        <f ca="1">IFERROR(__xludf.DUMMYFUNCTION("""COMPUTED_VALUE"""),1)</f>
        <v>1</v>
      </c>
      <c r="Y1217" s="12" t="str">
        <f ca="1">IFERROR(__xludf.DUMMYFUNCTION("""COMPUTED_VALUE"""),"Man shot outside football stadium during dispute over parking")</f>
        <v>Man shot outside football stadium during dispute over parking</v>
      </c>
      <c r="Z1217" s="12" t="str">
        <f ca="1">IFERROR(__xludf.DUMMYFUNCTION("""COMPUTED_VALUE"""),"An adult male was shot during a dispute over parking outside the football stadium. The little league super bowl was being held at the stadium. 10-12 shots were fired. Police evacuated fans inside the stadium. Remainder of the game was cancelled.")</f>
        <v>An adult male was shot during a dispute over parking outside the football stadium. The little league super bowl was being held at the stadium. 10-12 shots were fired. Police evacuated fans inside the stadium. Remainder of the game was cancelled.</v>
      </c>
      <c r="AA1217" s="8" t="str">
        <f ca="1">IFERROR(__xludf.DUMMYFUNCTION("""COMPUTED_VALUE"""),"Escalation of Dispute")</f>
        <v>Escalation of Dispute</v>
      </c>
      <c r="AB1217" s="8"/>
      <c r="AC1217" s="8" t="str">
        <f ca="1">IFERROR(__xludf.DUMMYFUNCTION("""COMPUTED_VALUE"""),"Yes")</f>
        <v>Yes</v>
      </c>
      <c r="AD1217" s="8" t="str">
        <f ca="1">IFERROR(__xludf.DUMMYFUNCTION("""COMPUTED_VALUE"""),"Victims Targeted")</f>
        <v>Victims Targeted</v>
      </c>
      <c r="AE1217" s="8" t="str">
        <f ca="1">IFERROR(__xludf.DUMMYFUNCTION("""COMPUTED_VALUE"""),"No")</f>
        <v>No</v>
      </c>
      <c r="AF1217" s="8"/>
      <c r="AG1217" s="8" t="str">
        <f ca="1">IFERROR(__xludf.DUMMYFUNCTION("""COMPUTED_VALUE"""),"No")</f>
        <v>No</v>
      </c>
      <c r="AH1217" s="8" t="str">
        <f ca="1">IFERROR(__xludf.DUMMYFUNCTION("""COMPUTED_VALUE"""),"No")</f>
        <v>No</v>
      </c>
      <c r="AI1217" s="8" t="str">
        <f ca="1">IFERROR(__xludf.DUMMYFUNCTION("""COMPUTED_VALUE"""),"No")</f>
        <v>No</v>
      </c>
      <c r="AJ1217" s="8" t="str">
        <f ca="1">IFERROR(__xludf.DUMMYFUNCTION("""COMPUTED_VALUE"""),"No")</f>
        <v>No</v>
      </c>
      <c r="AK1217" s="8" t="str">
        <f ca="1">IFERROR(__xludf.DUMMYFUNCTION("""COMPUTED_VALUE"""),"No")</f>
        <v>No</v>
      </c>
      <c r="AL1217" s="8" t="str">
        <f ca="1">IFERROR(__xludf.DUMMYFUNCTION("""COMPUTED_VALUE"""),"No")</f>
        <v>No</v>
      </c>
      <c r="AM1217" s="8" t="str">
        <f ca="1">IFERROR(__xludf.DUMMYFUNCTION("""COMPUTED_VALUE"""),"No")</f>
        <v>No</v>
      </c>
      <c r="AN1217" s="8"/>
      <c r="AO1217" s="8" t="str">
        <f ca="1">IFERROR(__xludf.DUMMYFUNCTION("""COMPUTED_VALUE"""),"No")</f>
        <v>No</v>
      </c>
      <c r="AP1217" s="8"/>
      <c r="AQ1217" s="8"/>
      <c r="AR1217" s="8" t="str">
        <f ca="1">IFERROR(__xludf.DUMMYFUNCTION("""COMPUTED_VALUE"""),"Outside/Off-Property")</f>
        <v>Outside/Off-Property</v>
      </c>
      <c r="AS1217" s="8">
        <f ca="1">IFERROR(__xludf.DUMMYFUNCTION("""COMPUTED_VALUE"""),12)</f>
        <v>12</v>
      </c>
      <c r="AT1217" s="8"/>
      <c r="AU1217" s="8">
        <f ca="1">IFERROR(__xludf.DUMMYFUNCTION("""COMPUTED_VALUE"""),40.469983)</f>
        <v>40.469982999999999</v>
      </c>
      <c r="AV1217" s="8">
        <f ca="1">IFERROR(__xludf.DUMMYFUNCTION("""COMPUTED_VALUE"""),-80.073548)</f>
        <v>-80.073548000000002</v>
      </c>
      <c r="AW1217" s="8"/>
      <c r="AX1217" s="8">
        <f ca="1">IFERROR(__xludf.DUMMYFUNCTION("""COMPUTED_VALUE"""),15136)</f>
        <v>15136</v>
      </c>
    </row>
    <row r="1218" spans="1:50" ht="75" x14ac:dyDescent="0.2">
      <c r="A1218" s="8" t="str">
        <f ca="1">IFERROR(__xludf.DUMMYFUNCTION("""COMPUTED_VALUE"""),"20211027SCCAS")</f>
        <v>20211027SCCAS</v>
      </c>
      <c r="B1218" s="8">
        <f ca="1">IFERROR(__xludf.DUMMYFUNCTION("""COMPUTED_VALUE"""),10)</f>
        <v>10</v>
      </c>
      <c r="C1218" s="8">
        <f ca="1">IFERROR(__xludf.DUMMYFUNCTION("""COMPUTED_VALUE"""),27)</f>
        <v>27</v>
      </c>
      <c r="D1218" s="8">
        <f ca="1">IFERROR(__xludf.DUMMYFUNCTION("""COMPUTED_VALUE"""),2021)</f>
        <v>2021</v>
      </c>
      <c r="E1218" s="9">
        <f ca="1">IFERROR(__xludf.DUMMYFUNCTION("""COMPUTED_VALUE"""),44496)</f>
        <v>44496</v>
      </c>
      <c r="F1218" s="8" t="str">
        <f ca="1">IFERROR(__xludf.DUMMYFUNCTION("""COMPUTED_VALUE"""),"Calhoun County High School")</f>
        <v>Calhoun County High School</v>
      </c>
      <c r="G1218" s="8">
        <f ca="1">IFERROR(__xludf.DUMMYFUNCTION("""COMPUTED_VALUE"""),0)</f>
        <v>0</v>
      </c>
      <c r="H1218" s="8">
        <f ca="1">IFERROR(__xludf.DUMMYFUNCTION("""COMPUTED_VALUE"""),0)</f>
        <v>0</v>
      </c>
      <c r="I1218" s="8">
        <f ca="1">IFERROR(__xludf.DUMMYFUNCTION("""COMPUTED_VALUE"""),0)</f>
        <v>0</v>
      </c>
      <c r="J1218" s="8">
        <f ca="1">IFERROR(__xludf.DUMMYFUNCTION("""COMPUTED_VALUE"""),0)</f>
        <v>0</v>
      </c>
      <c r="K1218" s="10" t="str">
        <f ca="1">IFERROR(__xludf.DUMMYFUNCTION("""COMPUTED_VALUE"""),"https://www.wltx.com/article/news/crime/calhoun-county-gunfire-teen-arrested/101-f7c8bca9-d90a-4583-a83e-0ceb27a6bd67")</f>
        <v>https://www.wltx.com/article/news/crime/calhoun-county-gunfire-teen-arrested/101-f7c8bca9-d90a-4583-a83e-0ceb27a6bd67</v>
      </c>
      <c r="L1218" s="8">
        <f ca="1">IFERROR(__xludf.DUMMYFUNCTION("""COMPUTED_VALUE"""),1)</f>
        <v>1</v>
      </c>
      <c r="M1218" s="8" t="str">
        <f ca="1">IFERROR(__xludf.DUMMYFUNCTION("""COMPUTED_VALUE"""),"Local")</f>
        <v>Local</v>
      </c>
      <c r="N1218" s="8">
        <f ca="1">IFERROR(__xludf.DUMMYFUNCTION("""COMPUTED_VALUE"""),4)</f>
        <v>4</v>
      </c>
      <c r="O1218" s="8" t="str">
        <f ca="1">IFERROR(__xludf.DUMMYFUNCTION("""COMPUTED_VALUE"""),"Fall")</f>
        <v>Fall</v>
      </c>
      <c r="P1218" s="8" t="str">
        <f ca="1">IFERROR(__xludf.DUMMYFUNCTION("""COMPUTED_VALUE"""),"St. Matthews")</f>
        <v>St. Matthews</v>
      </c>
      <c r="Q1218" s="8" t="str">
        <f ca="1">IFERROR(__xludf.DUMMYFUNCTION("""COMPUTED_VALUE"""),"SC")</f>
        <v>SC</v>
      </c>
      <c r="R1218" s="8" t="str">
        <f ca="1">IFERROR(__xludf.DUMMYFUNCTION("""COMPUTED_VALUE"""),"High")</f>
        <v>High</v>
      </c>
      <c r="S1218" s="8" t="str">
        <f ca="1">IFERROR(__xludf.DUMMYFUNCTION("""COMPUTED_VALUE"""),"Parking Lot")</f>
        <v>Parking Lot</v>
      </c>
      <c r="T1218" s="8" t="str">
        <f ca="1">IFERROR(__xludf.DUMMYFUNCTION("""COMPUTED_VALUE"""),"Outside on School Property")</f>
        <v>Outside on School Property</v>
      </c>
      <c r="U1218" s="8" t="str">
        <f ca="1">IFERROR(__xludf.DUMMYFUNCTION("""COMPUTED_VALUE"""),"No")</f>
        <v>No</v>
      </c>
      <c r="V1218" s="8" t="str">
        <f ca="1">IFERROR(__xludf.DUMMYFUNCTION("""COMPUTED_VALUE"""),"Evening")</f>
        <v>Evening</v>
      </c>
      <c r="W1218" s="11">
        <f ca="1">IFERROR(__xludf.DUMMYFUNCTION("""COMPUTED_VALUE"""),0.833333333333333)</f>
        <v>0.83333333333333304</v>
      </c>
      <c r="X1218" s="8">
        <f ca="1">IFERROR(__xludf.DUMMYFUNCTION("""COMPUTED_VALUE"""),1)</f>
        <v>1</v>
      </c>
      <c r="Y1218" s="12" t="str">
        <f ca="1">IFERROR(__xludf.DUMMYFUNCTION("""COMPUTED_VALUE"""),"Student fired shots during fight following football game")</f>
        <v>Student fired shots during fight following football game</v>
      </c>
      <c r="Z1218" s="12" t="str">
        <f ca="1">IFERROR(__xludf.DUMMYFUNCTION("""COMPUTED_VALUE"""),"A 17-year-old student fired shots in the parking lot during a fight following a football game at the school. After the fight was broken up, the student went to his vehicle and retrieved a gun that he fired in the direction of multiple people involved in t"&amp;"he fight. No one was struck.")</f>
        <v>A 17-year-old student fired shots in the parking lot during a fight following a football game at the school. After the fight was broken up, the student went to his vehicle and retrieved a gun that he fired in the direction of multiple people involved in the fight. No one was struck.</v>
      </c>
      <c r="AA1218" s="8" t="str">
        <f ca="1">IFERROR(__xludf.DUMMYFUNCTION("""COMPUTED_VALUE"""),"Escalation of Dispute")</f>
        <v>Escalation of Dispute</v>
      </c>
      <c r="AB1218" s="8"/>
      <c r="AC1218" s="8" t="str">
        <f ca="1">IFERROR(__xludf.DUMMYFUNCTION("""COMPUTED_VALUE"""),"Yes")</f>
        <v>Yes</v>
      </c>
      <c r="AD1218" s="8" t="str">
        <f ca="1">IFERROR(__xludf.DUMMYFUNCTION("""COMPUTED_VALUE"""),"Victims Targeted")</f>
        <v>Victims Targeted</v>
      </c>
      <c r="AE1218" s="8" t="str">
        <f ca="1">IFERROR(__xludf.DUMMYFUNCTION("""COMPUTED_VALUE"""),"No")</f>
        <v>No</v>
      </c>
      <c r="AF1218" s="8"/>
      <c r="AG1218" s="8" t="str">
        <f ca="1">IFERROR(__xludf.DUMMYFUNCTION("""COMPUTED_VALUE"""),"No")</f>
        <v>No</v>
      </c>
      <c r="AH1218" s="8" t="str">
        <f ca="1">IFERROR(__xludf.DUMMYFUNCTION("""COMPUTED_VALUE"""),"No")</f>
        <v>No</v>
      </c>
      <c r="AI1218" s="8" t="str">
        <f ca="1">IFERROR(__xludf.DUMMYFUNCTION("""COMPUTED_VALUE"""),"No")</f>
        <v>No</v>
      </c>
      <c r="AJ1218" s="8" t="str">
        <f ca="1">IFERROR(__xludf.DUMMYFUNCTION("""COMPUTED_VALUE"""),"No")</f>
        <v>No</v>
      </c>
      <c r="AK1218" s="8" t="str">
        <f ca="1">IFERROR(__xludf.DUMMYFUNCTION("""COMPUTED_VALUE"""),"No")</f>
        <v>No</v>
      </c>
      <c r="AL1218" s="8"/>
      <c r="AM1218" s="8" t="str">
        <f ca="1">IFERROR(__xludf.DUMMYFUNCTION("""COMPUTED_VALUE"""),"No")</f>
        <v>No</v>
      </c>
      <c r="AN1218" s="8"/>
      <c r="AO1218" s="8" t="str">
        <f ca="1">IFERROR(__xludf.DUMMYFUNCTION("""COMPUTED_VALUE"""),"No")</f>
        <v>No</v>
      </c>
      <c r="AP1218" s="8"/>
      <c r="AQ1218" s="8"/>
      <c r="AR1218" s="8" t="str">
        <f ca="1">IFERROR(__xludf.DUMMYFUNCTION("""COMPUTED_VALUE"""),"Outside/Off-Property")</f>
        <v>Outside/Off-Property</v>
      </c>
      <c r="AS1218" s="8"/>
      <c r="AT1218" s="8"/>
      <c r="AU1218" s="8">
        <f ca="1">IFERROR(__xludf.DUMMYFUNCTION("""COMPUTED_VALUE"""),33.664487)</f>
        <v>33.664487000000001</v>
      </c>
      <c r="AV1218" s="8">
        <f ca="1">IFERROR(__xludf.DUMMYFUNCTION("""COMPUTED_VALUE"""),-80.798322)</f>
        <v>-80.798321999999999</v>
      </c>
      <c r="AW1218" s="8"/>
      <c r="AX1218" s="8">
        <f ca="1">IFERROR(__xludf.DUMMYFUNCTION("""COMPUTED_VALUE"""),29135)</f>
        <v>29135</v>
      </c>
    </row>
    <row r="1219" spans="1:50" ht="60" x14ac:dyDescent="0.2">
      <c r="A1219" s="8" t="str">
        <f ca="1">IFERROR(__xludf.DUMMYFUNCTION("""COMPUTED_VALUE"""),"20211026MSCAN")</f>
        <v>20211026MSCAN</v>
      </c>
      <c r="B1219" s="8">
        <f ca="1">IFERROR(__xludf.DUMMYFUNCTION("""COMPUTED_VALUE"""),10)</f>
        <v>10</v>
      </c>
      <c r="C1219" s="8">
        <f ca="1">IFERROR(__xludf.DUMMYFUNCTION("""COMPUTED_VALUE"""),26)</f>
        <v>26</v>
      </c>
      <c r="D1219" s="8">
        <f ca="1">IFERROR(__xludf.DUMMYFUNCTION("""COMPUTED_VALUE"""),2021)</f>
        <v>2021</v>
      </c>
      <c r="E1219" s="9">
        <f ca="1">IFERROR(__xludf.DUMMYFUNCTION("""COMPUTED_VALUE"""),44495)</f>
        <v>44495</v>
      </c>
      <c r="F1219" s="8" t="str">
        <f ca="1">IFERROR(__xludf.DUMMYFUNCTION("""COMPUTED_VALUE"""),"Cathedral School")</f>
        <v>Cathedral School</v>
      </c>
      <c r="G1219" s="8">
        <f ca="1">IFERROR(__xludf.DUMMYFUNCTION("""COMPUTED_VALUE"""),0)</f>
        <v>0</v>
      </c>
      <c r="H1219" s="8">
        <f ca="1">IFERROR(__xludf.DUMMYFUNCTION("""COMPUTED_VALUE"""),0)</f>
        <v>0</v>
      </c>
      <c r="I1219" s="8">
        <f ca="1">IFERROR(__xludf.DUMMYFUNCTION("""COMPUTED_VALUE"""),0)</f>
        <v>0</v>
      </c>
      <c r="J1219" s="8">
        <f ca="1">IFERROR(__xludf.DUMMYFUNCTION("""COMPUTED_VALUE"""),0)</f>
        <v>0</v>
      </c>
      <c r="K1219" s="8" t="str">
        <f ca="1">IFERROR(__xludf.DUMMYFUNCTION("""COMPUTED_VALUE"""),"https://www.wjtv.com/news/local/shot-fired-into-cathedral-school-in-natchez-no-injuries-reported/ https://www.natchezdemocrat.com/2021/10/26/update-police-shooting-near-school-not-intentional/")</f>
        <v>https://www.wjtv.com/news/local/shot-fired-into-cathedral-school-in-natchez-no-injuries-reported/ https://www.natchezdemocrat.com/2021/10/26/update-police-shooting-near-school-not-intentional/</v>
      </c>
      <c r="L1219" s="8">
        <f ca="1">IFERROR(__xludf.DUMMYFUNCTION("""COMPUTED_VALUE"""),2)</f>
        <v>2</v>
      </c>
      <c r="M1219" s="8" t="str">
        <f ca="1">IFERROR(__xludf.DUMMYFUNCTION("""COMPUTED_VALUE"""),"Local")</f>
        <v>Local</v>
      </c>
      <c r="N1219" s="8">
        <f ca="1">IFERROR(__xludf.DUMMYFUNCTION("""COMPUTED_VALUE"""),4)</f>
        <v>4</v>
      </c>
      <c r="O1219" s="8" t="str">
        <f ca="1">IFERROR(__xludf.DUMMYFUNCTION("""COMPUTED_VALUE"""),"Fall")</f>
        <v>Fall</v>
      </c>
      <c r="P1219" s="8" t="str">
        <f ca="1">IFERROR(__xludf.DUMMYFUNCTION("""COMPUTED_VALUE"""),"Natchez")</f>
        <v>Natchez</v>
      </c>
      <c r="Q1219" s="8" t="str">
        <f ca="1">IFERROR(__xludf.DUMMYFUNCTION("""COMPUTED_VALUE"""),"MS")</f>
        <v>MS</v>
      </c>
      <c r="R1219" s="8" t="str">
        <f ca="1">IFERROR(__xludf.DUMMYFUNCTION("""COMPUTED_VALUE"""),"K-12")</f>
        <v>K-12</v>
      </c>
      <c r="S1219" s="8" t="str">
        <f ca="1">IFERROR(__xludf.DUMMYFUNCTION("""COMPUTED_VALUE"""),"Classroom")</f>
        <v>Classroom</v>
      </c>
      <c r="T1219" s="8" t="str">
        <f ca="1">IFERROR(__xludf.DUMMYFUNCTION("""COMPUTED_VALUE"""),"Outside on School Property")</f>
        <v>Outside on School Property</v>
      </c>
      <c r="U1219" s="8" t="str">
        <f ca="1">IFERROR(__xludf.DUMMYFUNCTION("""COMPUTED_VALUE"""),"Yes")</f>
        <v>Yes</v>
      </c>
      <c r="V1219" s="8" t="str">
        <f ca="1">IFERROR(__xludf.DUMMYFUNCTION("""COMPUTED_VALUE"""),"Morning Classes")</f>
        <v>Morning Classes</v>
      </c>
      <c r="W1219" s="11">
        <f ca="1">IFERROR(__xludf.DUMMYFUNCTION("""COMPUTED_VALUE"""),0.388888888888888)</f>
        <v>0.38888888888888801</v>
      </c>
      <c r="X1219" s="8">
        <f ca="1">IFERROR(__xludf.DUMMYFUNCTION("""COMPUTED_VALUE"""),1)</f>
        <v>1</v>
      </c>
      <c r="Y1219" s="12" t="str">
        <f ca="1">IFERROR(__xludf.DUMMYFUNCTION("""COMPUTED_VALUE"""),"Shot fired from shotgun broke occupied classroom window")</f>
        <v>Shot fired from shotgun broke occupied classroom window</v>
      </c>
      <c r="Z1219" s="12" t="str">
        <f ca="1">IFERROR(__xludf.DUMMYFUNCTION("""COMPUTED_VALUE"""),"A shell fired from a shotgun broke an occupied classroom window. School went on lockdown. None of the students or staff in the classroom were injured. Police believe the shot was unintentional and fired away from the school.")</f>
        <v>A shell fired from a shotgun broke an occupied classroom window. School went on lockdown. None of the students or staff in the classroom were injured. Police believe the shot was unintentional and fired away from the school.</v>
      </c>
      <c r="AA1219" s="8" t="str">
        <f ca="1">IFERROR(__xludf.DUMMYFUNCTION("""COMPUTED_VALUE"""),"Accidental")</f>
        <v>Accidental</v>
      </c>
      <c r="AB1219" s="8"/>
      <c r="AC1219" s="8" t="str">
        <f ca="1">IFERROR(__xludf.DUMMYFUNCTION("""COMPUTED_VALUE"""),"Yes")</f>
        <v>Yes</v>
      </c>
      <c r="AD1219" s="8" t="str">
        <f ca="1">IFERROR(__xludf.DUMMYFUNCTION("""COMPUTED_VALUE"""),"Neither")</f>
        <v>Neither</v>
      </c>
      <c r="AE1219" s="8" t="str">
        <f ca="1">IFERROR(__xludf.DUMMYFUNCTION("""COMPUTED_VALUE"""),"No")</f>
        <v>No</v>
      </c>
      <c r="AF1219" s="8"/>
      <c r="AG1219" s="8" t="str">
        <f ca="1">IFERROR(__xludf.DUMMYFUNCTION("""COMPUTED_VALUE"""),"No")</f>
        <v>No</v>
      </c>
      <c r="AH1219" s="8" t="str">
        <f ca="1">IFERROR(__xludf.DUMMYFUNCTION("""COMPUTED_VALUE"""),"No")</f>
        <v>No</v>
      </c>
      <c r="AI1219" s="8" t="str">
        <f ca="1">IFERROR(__xludf.DUMMYFUNCTION("""COMPUTED_VALUE"""),"No")</f>
        <v>No</v>
      </c>
      <c r="AJ1219" s="8" t="str">
        <f ca="1">IFERROR(__xludf.DUMMYFUNCTION("""COMPUTED_VALUE"""),"No")</f>
        <v>No</v>
      </c>
      <c r="AK1219" s="8" t="str">
        <f ca="1">IFERROR(__xludf.DUMMYFUNCTION("""COMPUTED_VALUE"""),"No")</f>
        <v>No</v>
      </c>
      <c r="AL1219" s="8" t="str">
        <f ca="1">IFERROR(__xludf.DUMMYFUNCTION("""COMPUTED_VALUE"""),"No")</f>
        <v>No</v>
      </c>
      <c r="AM1219" s="8" t="str">
        <f ca="1">IFERROR(__xludf.DUMMYFUNCTION("""COMPUTED_VALUE"""),"No")</f>
        <v>No</v>
      </c>
      <c r="AN1219" s="8"/>
      <c r="AO1219" s="8" t="str">
        <f ca="1">IFERROR(__xludf.DUMMYFUNCTION("""COMPUTED_VALUE"""),"No")</f>
        <v>No</v>
      </c>
      <c r="AP1219" s="8" t="str">
        <f ca="1">IFERROR(__xludf.DUMMYFUNCTION("""COMPUTED_VALUE"""),"Yes")</f>
        <v>Yes</v>
      </c>
      <c r="AQ1219" s="8"/>
      <c r="AR1219" s="8" t="str">
        <f ca="1">IFERROR(__xludf.DUMMYFUNCTION("""COMPUTED_VALUE"""),"Outside/Off-Property")</f>
        <v>Outside/Off-Property</v>
      </c>
      <c r="AS1219" s="8">
        <f ca="1">IFERROR(__xludf.DUMMYFUNCTION("""COMPUTED_VALUE"""),1)</f>
        <v>1</v>
      </c>
      <c r="AT1219" s="8" t="str">
        <f ca="1">IFERROR(__xludf.DUMMYFUNCTION("""COMPUTED_VALUE"""),"Yes")</f>
        <v>Yes</v>
      </c>
      <c r="AU1219" s="8">
        <f ca="1">IFERROR(__xludf.DUMMYFUNCTION("""COMPUTED_VALUE"""),31.561947)</f>
        <v>31.561947</v>
      </c>
      <c r="AV1219" s="8">
        <f ca="1">IFERROR(__xludf.DUMMYFUNCTION("""COMPUTED_VALUE"""),-91.395322)</f>
        <v>-91.395321999999993</v>
      </c>
      <c r="AW1219" s="8"/>
      <c r="AX1219" s="8">
        <f ca="1">IFERROR(__xludf.DUMMYFUNCTION("""COMPUTED_VALUE"""),39122)</f>
        <v>39122</v>
      </c>
    </row>
    <row r="1220" spans="1:50" ht="75" x14ac:dyDescent="0.2">
      <c r="A1220" s="8" t="str">
        <f ca="1">IFERROR(__xludf.DUMMYFUNCTION("""COMPUTED_VALUE"""),"20211026ILWIC")</f>
        <v>20211026ILWIC</v>
      </c>
      <c r="B1220" s="8">
        <f ca="1">IFERROR(__xludf.DUMMYFUNCTION("""COMPUTED_VALUE"""),10)</f>
        <v>10</v>
      </c>
      <c r="C1220" s="8">
        <f ca="1">IFERROR(__xludf.DUMMYFUNCTION("""COMPUTED_VALUE"""),26)</f>
        <v>26</v>
      </c>
      <c r="D1220" s="8">
        <f ca="1">IFERROR(__xludf.DUMMYFUNCTION("""COMPUTED_VALUE"""),2021)</f>
        <v>2021</v>
      </c>
      <c r="E1220" s="9">
        <f ca="1">IFERROR(__xludf.DUMMYFUNCTION("""COMPUTED_VALUE"""),44495)</f>
        <v>44495</v>
      </c>
      <c r="F1220" s="8" t="str">
        <f ca="1">IFERROR(__xludf.DUMMYFUNCTION("""COMPUTED_VALUE"""),"Jose de Diego Community Academy")</f>
        <v>Jose de Diego Community Academy</v>
      </c>
      <c r="G1220" s="8">
        <f ca="1">IFERROR(__xludf.DUMMYFUNCTION("""COMPUTED_VALUE"""),0)</f>
        <v>0</v>
      </c>
      <c r="H1220" s="8">
        <f ca="1">IFERROR(__xludf.DUMMYFUNCTION("""COMPUTED_VALUE"""),0)</f>
        <v>0</v>
      </c>
      <c r="I1220" s="8">
        <f ca="1">IFERROR(__xludf.DUMMYFUNCTION("""COMPUTED_VALUE"""),0)</f>
        <v>0</v>
      </c>
      <c r="J1220" s="8">
        <f ca="1">IFERROR(__xludf.DUMMYFUNCTION("""COMPUTED_VALUE"""),0)</f>
        <v>0</v>
      </c>
      <c r="K1220" s="10" t="str">
        <f ca="1">IFERROR(__xludf.DUMMYFUNCTION("""COMPUTED_VALUE"""),"https://blockclubchicago.org/2021/10/26/shots-fired-during-fight-outside-west-town-school/")</f>
        <v>https://blockclubchicago.org/2021/10/26/shots-fired-during-fight-outside-west-town-school/</v>
      </c>
      <c r="L1220" s="8">
        <f ca="1">IFERROR(__xludf.DUMMYFUNCTION("""COMPUTED_VALUE"""),1)</f>
        <v>1</v>
      </c>
      <c r="M1220" s="8" t="str">
        <f ca="1">IFERROR(__xludf.DUMMYFUNCTION("""COMPUTED_VALUE"""),"Local")</f>
        <v>Local</v>
      </c>
      <c r="N1220" s="8">
        <f ca="1">IFERROR(__xludf.DUMMYFUNCTION("""COMPUTED_VALUE"""),3)</f>
        <v>3</v>
      </c>
      <c r="O1220" s="8"/>
      <c r="P1220" s="8" t="str">
        <f ca="1">IFERROR(__xludf.DUMMYFUNCTION("""COMPUTED_VALUE"""),"Chicago")</f>
        <v>Chicago</v>
      </c>
      <c r="Q1220" s="8" t="str">
        <f ca="1">IFERROR(__xludf.DUMMYFUNCTION("""COMPUTED_VALUE"""),"IL")</f>
        <v>IL</v>
      </c>
      <c r="R1220" s="8" t="str">
        <f ca="1">IFERROR(__xludf.DUMMYFUNCTION("""COMPUTED_VALUE"""),"K-12")</f>
        <v>K-12</v>
      </c>
      <c r="S1220" s="8" t="str">
        <f ca="1">IFERROR(__xludf.DUMMYFUNCTION("""COMPUTED_VALUE"""),"Front of School")</f>
        <v>Front of School</v>
      </c>
      <c r="T1220" s="8" t="str">
        <f ca="1">IFERROR(__xludf.DUMMYFUNCTION("""COMPUTED_VALUE"""),"Outside on School Property")</f>
        <v>Outside on School Property</v>
      </c>
      <c r="U1220" s="8" t="str">
        <f ca="1">IFERROR(__xludf.DUMMYFUNCTION("""COMPUTED_VALUE"""),"No")</f>
        <v>No</v>
      </c>
      <c r="V1220" s="8" t="str">
        <f ca="1">IFERROR(__xludf.DUMMYFUNCTION("""COMPUTED_VALUE"""),"After School")</f>
        <v>After School</v>
      </c>
      <c r="W1220" s="11">
        <f ca="1">IFERROR(__xludf.DUMMYFUNCTION("""COMPUTED_VALUE"""),0.656944444444444)</f>
        <v>0.656944444444444</v>
      </c>
      <c r="X1220" s="8">
        <f ca="1">IFERROR(__xludf.DUMMYFUNCTION("""COMPUTED_VALUE"""),1)</f>
        <v>1</v>
      </c>
      <c r="Y1220" s="12" t="str">
        <f ca="1">IFERROR(__xludf.DUMMYFUNCTION("""COMPUTED_VALUE"""),"Two shots fired during fight between two men")</f>
        <v>Two shots fired during fight between two men</v>
      </c>
      <c r="Z1220" s="12" t="str">
        <f ca="1">IFERROR(__xludf.DUMMYFUNCTION("""COMPUTED_VALUE"""),"Two shots were fired in front of the school after students dismissed. Shooter fled. No one was struck by the gunshots. A man was hit with a baseball bat and refused treatment. A ""safe passage"" worker at the school witnessed the incident and called polic"&amp;"e.")</f>
        <v>Two shots were fired in front of the school after students dismissed. Shooter fled. No one was struck by the gunshots. A man was hit with a baseball bat and refused treatment. A "safe passage" worker at the school witnessed the incident and called police.</v>
      </c>
      <c r="AA1220" s="8" t="str">
        <f ca="1">IFERROR(__xludf.DUMMYFUNCTION("""COMPUTED_VALUE"""),"Escalation of Dispute")</f>
        <v>Escalation of Dispute</v>
      </c>
      <c r="AB1220" s="8"/>
      <c r="AC1220" s="8" t="str">
        <f ca="1">IFERROR(__xludf.DUMMYFUNCTION("""COMPUTED_VALUE"""),"Yes")</f>
        <v>Yes</v>
      </c>
      <c r="AD1220" s="8" t="str">
        <f ca="1">IFERROR(__xludf.DUMMYFUNCTION("""COMPUTED_VALUE"""),"Victims Targeted")</f>
        <v>Victims Targeted</v>
      </c>
      <c r="AE1220" s="8" t="str">
        <f ca="1">IFERROR(__xludf.DUMMYFUNCTION("""COMPUTED_VALUE"""),"No")</f>
        <v>No</v>
      </c>
      <c r="AF1220" s="8"/>
      <c r="AG1220" s="8" t="str">
        <f ca="1">IFERROR(__xludf.DUMMYFUNCTION("""COMPUTED_VALUE"""),"No")</f>
        <v>No</v>
      </c>
      <c r="AH1220" s="8" t="str">
        <f ca="1">IFERROR(__xludf.DUMMYFUNCTION("""COMPUTED_VALUE"""),"No")</f>
        <v>No</v>
      </c>
      <c r="AI1220" s="8" t="str">
        <f ca="1">IFERROR(__xludf.DUMMYFUNCTION("""COMPUTED_VALUE"""),"No")</f>
        <v>No</v>
      </c>
      <c r="AJ1220" s="8" t="str">
        <f ca="1">IFERROR(__xludf.DUMMYFUNCTION("""COMPUTED_VALUE"""),"No")</f>
        <v>No</v>
      </c>
      <c r="AK1220" s="8" t="str">
        <f ca="1">IFERROR(__xludf.DUMMYFUNCTION("""COMPUTED_VALUE"""),"No")</f>
        <v>No</v>
      </c>
      <c r="AL1220" s="8" t="str">
        <f ca="1">IFERROR(__xludf.DUMMYFUNCTION("""COMPUTED_VALUE"""),"No")</f>
        <v>No</v>
      </c>
      <c r="AM1220" s="8" t="str">
        <f ca="1">IFERROR(__xludf.DUMMYFUNCTION("""COMPUTED_VALUE"""),"No")</f>
        <v>No</v>
      </c>
      <c r="AN1220" s="8"/>
      <c r="AO1220" s="8" t="str">
        <f ca="1">IFERROR(__xludf.DUMMYFUNCTION("""COMPUTED_VALUE"""),"No")</f>
        <v>No</v>
      </c>
      <c r="AP1220" s="8"/>
      <c r="AQ1220" s="8"/>
      <c r="AR1220" s="8" t="str">
        <f ca="1">IFERROR(__xludf.DUMMYFUNCTION("""COMPUTED_VALUE"""),"Outside/Off-Property")</f>
        <v>Outside/Off-Property</v>
      </c>
      <c r="AS1220" s="8">
        <f ca="1">IFERROR(__xludf.DUMMYFUNCTION("""COMPUTED_VALUE"""),2)</f>
        <v>2</v>
      </c>
      <c r="AT1220" s="8"/>
      <c r="AU1220" s="8">
        <f ca="1">IFERROR(__xludf.DUMMYFUNCTION("""COMPUTED_VALUE"""),41.904914)</f>
        <v>41.904913999999998</v>
      </c>
      <c r="AV1220" s="8">
        <f ca="1">IFERROR(__xludf.DUMMYFUNCTION("""COMPUTED_VALUE"""),-87.685808)</f>
        <v>-87.685807999999994</v>
      </c>
      <c r="AW1220" s="8"/>
      <c r="AX1220" s="8">
        <f ca="1">IFERROR(__xludf.DUMMYFUNCTION("""COMPUTED_VALUE"""),60622)</f>
        <v>60622</v>
      </c>
    </row>
    <row r="1221" spans="1:50" ht="150" x14ac:dyDescent="0.2">
      <c r="A1221" s="8" t="str">
        <f ca="1">IFERROR(__xludf.DUMMYFUNCTION("""COMPUTED_VALUE"""),"20211022PAPHP")</f>
        <v>20211022PAPHP</v>
      </c>
      <c r="B1221" s="8">
        <f ca="1">IFERROR(__xludf.DUMMYFUNCTION("""COMPUTED_VALUE"""),10)</f>
        <v>10</v>
      </c>
      <c r="C1221" s="8">
        <f ca="1">IFERROR(__xludf.DUMMYFUNCTION("""COMPUTED_VALUE"""),22)</f>
        <v>22</v>
      </c>
      <c r="D1221" s="8">
        <f ca="1">IFERROR(__xludf.DUMMYFUNCTION("""COMPUTED_VALUE"""),2021)</f>
        <v>2021</v>
      </c>
      <c r="E1221" s="9">
        <f ca="1">IFERROR(__xludf.DUMMYFUNCTION("""COMPUTED_VALUE"""),44491)</f>
        <v>44491</v>
      </c>
      <c r="F1221" s="8" t="str">
        <f ca="1">IFERROR(__xludf.DUMMYFUNCTION("""COMPUTED_VALUE"""),"Philadelphia Learning Academy South")</f>
        <v>Philadelphia Learning Academy South</v>
      </c>
      <c r="G1221" s="8">
        <f ca="1">IFERROR(__xludf.DUMMYFUNCTION("""COMPUTED_VALUE"""),0)</f>
        <v>0</v>
      </c>
      <c r="H1221" s="8">
        <f ca="1">IFERROR(__xludf.DUMMYFUNCTION("""COMPUTED_VALUE"""),0)</f>
        <v>0</v>
      </c>
      <c r="I1221" s="8">
        <f ca="1">IFERROR(__xludf.DUMMYFUNCTION("""COMPUTED_VALUE"""),0)</f>
        <v>0</v>
      </c>
      <c r="J1221" s="8">
        <f ca="1">IFERROR(__xludf.DUMMYFUNCTION("""COMPUTED_VALUE"""),0)</f>
        <v>0</v>
      </c>
      <c r="K1221" s="8" t="str">
        <f ca="1">IFERROR(__xludf.DUMMYFUNCTION("""COMPUTED_VALUE"""),"https://philadelphia.cbslocal.com/2021/10/22/student-self-inflicted-gunshot-wound-philadelphia-learning-academy/ https://6abc.com/philadelphia-learning-academy-south-west-shooting-teen-shoots-self-in-school-shot-fired/11155849/ https://www.nbcphiladelphia"&amp;".com/news/local/student-shoots-self-in-leg-in-west-philadelphia-school/3008430/")</f>
        <v>https://philadelphia.cbslocal.com/2021/10/22/student-self-inflicted-gunshot-wound-philadelphia-learning-academy/ https://6abc.com/philadelphia-learning-academy-south-west-shooting-teen-shoots-self-in-school-shot-fired/11155849/ https://www.nbcphiladelphia.com/news/local/student-shoots-self-in-leg-in-west-philadelphia-school/3008430/</v>
      </c>
      <c r="L1221" s="8">
        <f ca="1">IFERROR(__xludf.DUMMYFUNCTION("""COMPUTED_VALUE"""),10)</f>
        <v>10</v>
      </c>
      <c r="M1221" s="8" t="str">
        <f ca="1">IFERROR(__xludf.DUMMYFUNCTION("""COMPUTED_VALUE"""),"Local")</f>
        <v>Local</v>
      </c>
      <c r="N1221" s="8">
        <f ca="1">IFERROR(__xludf.DUMMYFUNCTION("""COMPUTED_VALUE"""),4)</f>
        <v>4</v>
      </c>
      <c r="O1221" s="8" t="str">
        <f ca="1">IFERROR(__xludf.DUMMYFUNCTION("""COMPUTED_VALUE"""),"Fall")</f>
        <v>Fall</v>
      </c>
      <c r="P1221" s="8" t="str">
        <f ca="1">IFERROR(__xludf.DUMMYFUNCTION("""COMPUTED_VALUE"""),"Philadelphia")</f>
        <v>Philadelphia</v>
      </c>
      <c r="Q1221" s="8" t="str">
        <f ca="1">IFERROR(__xludf.DUMMYFUNCTION("""COMPUTED_VALUE"""),"PA")</f>
        <v>PA</v>
      </c>
      <c r="R1221" s="8" t="str">
        <f ca="1">IFERROR(__xludf.DUMMYFUNCTION("""COMPUTED_VALUE"""),"High")</f>
        <v>High</v>
      </c>
      <c r="S1221" s="8" t="str">
        <f ca="1">IFERROR(__xludf.DUMMYFUNCTION("""COMPUTED_VALUE"""),"Gym")</f>
        <v>Gym</v>
      </c>
      <c r="T1221" s="8" t="str">
        <f ca="1">IFERROR(__xludf.DUMMYFUNCTION("""COMPUTED_VALUE"""),"Inside School Building")</f>
        <v>Inside School Building</v>
      </c>
      <c r="U1221" s="8" t="str">
        <f ca="1">IFERROR(__xludf.DUMMYFUNCTION("""COMPUTED_VALUE"""),"Yes")</f>
        <v>Yes</v>
      </c>
      <c r="V1221" s="8" t="str">
        <f ca="1">IFERROR(__xludf.DUMMYFUNCTION("""COMPUTED_VALUE"""),"Afternoon Classes")</f>
        <v>Afternoon Classes</v>
      </c>
      <c r="W1221" s="11">
        <f ca="1">IFERROR(__xludf.DUMMYFUNCTION("""COMPUTED_VALUE"""),0.541666666666666)</f>
        <v>0.54166666666666596</v>
      </c>
      <c r="X1221" s="8">
        <f ca="1">IFERROR(__xludf.DUMMYFUNCTION("""COMPUTED_VALUE"""),1)</f>
        <v>1</v>
      </c>
      <c r="Y1221" s="12" t="str">
        <f ca="1">IFERROR(__xludf.DUMMYFUNCTION("""COMPUTED_VALUE"""),"Student shot himself in the leg in the gym")</f>
        <v>Student shot himself in the leg in the gym</v>
      </c>
      <c r="Z1221" s="12" t="str">
        <f ca="1">IFERROR(__xludf.DUMMYFUNCTION("""COMPUTED_VALUE"""),"An 18-year-old student shot himself in the leg inside the gym. 30 students were present at the time of the shooting. Unclear of the circumstances that lead up to the shooting. Police responded for an active shooter and searched the school for the weapon. "&amp;"The weapon was located off campus, unclear who took the the weapon there. The student who shot himself was transported to the hospital. The school has metal detectors. Police believe the student's ankle monitor activated the metal detector and then staff "&amp;"did not search him for a weapon.")</f>
        <v>An 18-year-old student shot himself in the leg inside the gym. 30 students were present at the time of the shooting. Unclear of the circumstances that lead up to the shooting. Police responded for an active shooter and searched the school for the weapon. The weapon was located off campus, unclear who took the the weapon there. The student who shot himself was transported to the hospital. The school has metal detectors. Police believe the student's ankle monitor activated the metal detector and then staff did not search him for a weapon.</v>
      </c>
      <c r="AA1221" s="8" t="str">
        <f ca="1">IFERROR(__xludf.DUMMYFUNCTION("""COMPUTED_VALUE"""),"Accidental")</f>
        <v>Accidental</v>
      </c>
      <c r="AB1221" s="8"/>
      <c r="AC1221" s="8" t="str">
        <f ca="1">IFERROR(__xludf.DUMMYFUNCTION("""COMPUTED_VALUE"""),"Yes")</f>
        <v>Yes</v>
      </c>
      <c r="AD1221" s="8" t="str">
        <f ca="1">IFERROR(__xludf.DUMMYFUNCTION("""COMPUTED_VALUE"""),"Neither")</f>
        <v>Neither</v>
      </c>
      <c r="AE1221" s="8" t="str">
        <f ca="1">IFERROR(__xludf.DUMMYFUNCTION("""COMPUTED_VALUE"""),"Yes")</f>
        <v>Yes</v>
      </c>
      <c r="AF1221" s="8" t="str">
        <f ca="1">IFERROR(__xludf.DUMMYFUNCTION("""COMPUTED_VALUE"""),"Someone took the weapon out of the school")</f>
        <v>Someone took the weapon out of the school</v>
      </c>
      <c r="AG1221" s="8" t="str">
        <f ca="1">IFERROR(__xludf.DUMMYFUNCTION("""COMPUTED_VALUE"""),"No")</f>
        <v>No</v>
      </c>
      <c r="AH1221" s="8" t="str">
        <f ca="1">IFERROR(__xludf.DUMMYFUNCTION("""COMPUTED_VALUE"""),"No")</f>
        <v>No</v>
      </c>
      <c r="AI1221" s="8" t="str">
        <f ca="1">IFERROR(__xludf.DUMMYFUNCTION("""COMPUTED_VALUE"""),"No")</f>
        <v>No</v>
      </c>
      <c r="AJ1221" s="8" t="str">
        <f ca="1">IFERROR(__xludf.DUMMYFUNCTION("""COMPUTED_VALUE"""),"No")</f>
        <v>No</v>
      </c>
      <c r="AK1221" s="8" t="str">
        <f ca="1">IFERROR(__xludf.DUMMYFUNCTION("""COMPUTED_VALUE"""),"No")</f>
        <v>No</v>
      </c>
      <c r="AL1221" s="8"/>
      <c r="AM1221" s="8" t="str">
        <f ca="1">IFERROR(__xludf.DUMMYFUNCTION("""COMPUTED_VALUE"""),"No")</f>
        <v>No</v>
      </c>
      <c r="AN1221" s="8"/>
      <c r="AO1221" s="8" t="str">
        <f ca="1">IFERROR(__xludf.DUMMYFUNCTION("""COMPUTED_VALUE"""),"No")</f>
        <v>No</v>
      </c>
      <c r="AP1221" s="8"/>
      <c r="AQ1221" s="8" t="str">
        <f ca="1">IFERROR(__xludf.DUMMYFUNCTION("""COMPUTED_VALUE"""),"Metal Detectors Bypassed")</f>
        <v>Metal Detectors Bypassed</v>
      </c>
      <c r="AR1221" s="8" t="str">
        <f ca="1">IFERROR(__xludf.DUMMYFUNCTION("""COMPUTED_VALUE"""),"Failed")</f>
        <v>Failed</v>
      </c>
      <c r="AS1221" s="8">
        <f ca="1">IFERROR(__xludf.DUMMYFUNCTION("""COMPUTED_VALUE"""),1)</f>
        <v>1</v>
      </c>
      <c r="AT1221" s="8" t="str">
        <f ca="1">IFERROR(__xludf.DUMMYFUNCTION("""COMPUTED_VALUE"""),"Yes")</f>
        <v>Yes</v>
      </c>
      <c r="AU1221" s="8">
        <f ca="1">IFERROR(__xludf.DUMMYFUNCTION("""COMPUTED_VALUE"""),39.969092)</f>
        <v>39.969092000000003</v>
      </c>
      <c r="AV1221" s="8">
        <f ca="1">IFERROR(__xludf.DUMMYFUNCTION("""COMPUTED_VALUE"""),-75.210898)</f>
        <v>-75.210898</v>
      </c>
      <c r="AW1221" s="8"/>
      <c r="AX1221" s="8">
        <f ca="1">IFERROR(__xludf.DUMMYFUNCTION("""COMPUTED_VALUE"""),19104)</f>
        <v>19104</v>
      </c>
    </row>
    <row r="1222" spans="1:50" ht="60" x14ac:dyDescent="0.2">
      <c r="A1222" s="8" t="str">
        <f ca="1">IFERROR(__xludf.DUMMYFUNCTION("""COMPUTED_VALUE"""),"20211021NYPSB")</f>
        <v>20211021NYPSB</v>
      </c>
      <c r="B1222" s="8">
        <f ca="1">IFERROR(__xludf.DUMMYFUNCTION("""COMPUTED_VALUE"""),10)</f>
        <v>10</v>
      </c>
      <c r="C1222" s="8">
        <f ca="1">IFERROR(__xludf.DUMMYFUNCTION("""COMPUTED_VALUE"""),21)</f>
        <v>21</v>
      </c>
      <c r="D1222" s="8">
        <f ca="1">IFERROR(__xludf.DUMMYFUNCTION("""COMPUTED_VALUE"""),2021)</f>
        <v>2021</v>
      </c>
      <c r="E1222" s="9">
        <f ca="1">IFERROR(__xludf.DUMMYFUNCTION("""COMPUTED_VALUE"""),44490)</f>
        <v>44490</v>
      </c>
      <c r="F1222" s="8" t="str">
        <f ca="1">IFERROR(__xludf.DUMMYFUNCTION("""COMPUTED_VALUE"""),"P. S. 65 Mother Hale Academy")</f>
        <v>P. S. 65 Mother Hale Academy</v>
      </c>
      <c r="G1222" s="8">
        <f ca="1">IFERROR(__xludf.DUMMYFUNCTION("""COMPUTED_VALUE"""),0)</f>
        <v>0</v>
      </c>
      <c r="H1222" s="8">
        <f ca="1">IFERROR(__xludf.DUMMYFUNCTION("""COMPUTED_VALUE"""),1)</f>
        <v>1</v>
      </c>
      <c r="I1222" s="8">
        <f ca="1">IFERROR(__xludf.DUMMYFUNCTION("""COMPUTED_VALUE"""),1)</f>
        <v>1</v>
      </c>
      <c r="J1222" s="8">
        <f ca="1">IFERROR(__xludf.DUMMYFUNCTION("""COMPUTED_VALUE"""),0)</f>
        <v>0</v>
      </c>
      <c r="K1222" s="8" t="str">
        <f ca="1">IFERROR(__xludf.DUMMYFUNCTION("""COMPUTED_VALUE"""),"https://www.yahoo.com/now/eyewitness-news-afternoon-204846961.html https://abc7ny.com/new-york-city-bronx-the-school-shooting/11152403/ https://newyork.cbslocal.com/2021/10/21/shooting-near-bronx-school-mott-haven/")</f>
        <v>https://www.yahoo.com/now/eyewitness-news-afternoon-204846961.html https://abc7ny.com/new-york-city-bronx-the-school-shooting/11152403/ https://newyork.cbslocal.com/2021/10/21/shooting-near-bronx-school-mott-haven/</v>
      </c>
      <c r="L1222" s="8">
        <f ca="1">IFERROR(__xludf.DUMMYFUNCTION("""COMPUTED_VALUE"""),3)</f>
        <v>3</v>
      </c>
      <c r="M1222" s="8" t="str">
        <f ca="1">IFERROR(__xludf.DUMMYFUNCTION("""COMPUTED_VALUE"""),"Local")</f>
        <v>Local</v>
      </c>
      <c r="N1222" s="8">
        <f ca="1">IFERROR(__xludf.DUMMYFUNCTION("""COMPUTED_VALUE"""),3)</f>
        <v>3</v>
      </c>
      <c r="O1222" s="8" t="str">
        <f ca="1">IFERROR(__xludf.DUMMYFUNCTION("""COMPUTED_VALUE"""),"Fall")</f>
        <v>Fall</v>
      </c>
      <c r="P1222" s="8" t="str">
        <f ca="1">IFERROR(__xludf.DUMMYFUNCTION("""COMPUTED_VALUE"""),"Bronx")</f>
        <v>Bronx</v>
      </c>
      <c r="Q1222" s="8" t="str">
        <f ca="1">IFERROR(__xludf.DUMMYFUNCTION("""COMPUTED_VALUE"""),"NY")</f>
        <v>NY</v>
      </c>
      <c r="R1222" s="8" t="str">
        <f ca="1">IFERROR(__xludf.DUMMYFUNCTION("""COMPUTED_VALUE"""),"Elementary")</f>
        <v>Elementary</v>
      </c>
      <c r="S1222" s="8" t="str">
        <f ca="1">IFERROR(__xludf.DUMMYFUNCTION("""COMPUTED_VALUE"""),"Beside Building")</f>
        <v>Beside Building</v>
      </c>
      <c r="T1222" s="8" t="str">
        <f ca="1">IFERROR(__xludf.DUMMYFUNCTION("""COMPUTED_VALUE"""),"Outside on School Property")</f>
        <v>Outside on School Property</v>
      </c>
      <c r="U1222" s="8" t="str">
        <f ca="1">IFERROR(__xludf.DUMMYFUNCTION("""COMPUTED_VALUE"""),"Yes")</f>
        <v>Yes</v>
      </c>
      <c r="V1222" s="8" t="str">
        <f ca="1">IFERROR(__xludf.DUMMYFUNCTION("""COMPUTED_VALUE"""),"Dismissal")</f>
        <v>Dismissal</v>
      </c>
      <c r="W1222" s="11">
        <f ca="1">IFERROR(__xludf.DUMMYFUNCTION("""COMPUTED_VALUE"""),0.583333333333333)</f>
        <v>0.58333333333333304</v>
      </c>
      <c r="X1222" s="8">
        <f ca="1">IFERROR(__xludf.DUMMYFUNCTION("""COMPUTED_VALUE"""),1)</f>
        <v>1</v>
      </c>
      <c r="Y1222" s="12" t="str">
        <f ca="1">IFERROR(__xludf.DUMMYFUNCTION("""COMPUTED_VALUE"""),"Shot fired during argument between two men")</f>
        <v>Shot fired during argument between two men</v>
      </c>
      <c r="Z1222" s="12" t="str">
        <f ca="1">IFERROR(__xludf.DUMMYFUNCTION("""COMPUTED_VALUE"""),"Man was shot in the leg outside of the school during an argument between two men. Students were dismissing when the shooting occurred. Shooter fled and was arrested a few blocks away.")</f>
        <v>Man was shot in the leg outside of the school during an argument between two men. Students were dismissing when the shooting occurred. Shooter fled and was arrested a few blocks away.</v>
      </c>
      <c r="AA1222" s="8" t="str">
        <f ca="1">IFERROR(__xludf.DUMMYFUNCTION("""COMPUTED_VALUE"""),"Escalation of Dispute")</f>
        <v>Escalation of Dispute</v>
      </c>
      <c r="AB1222" s="8"/>
      <c r="AC1222" s="8" t="str">
        <f ca="1">IFERROR(__xludf.DUMMYFUNCTION("""COMPUTED_VALUE"""),"Yes")</f>
        <v>Yes</v>
      </c>
      <c r="AD1222" s="8" t="str">
        <f ca="1">IFERROR(__xludf.DUMMYFUNCTION("""COMPUTED_VALUE"""),"Victims Targeted")</f>
        <v>Victims Targeted</v>
      </c>
      <c r="AE1222" s="8" t="str">
        <f ca="1">IFERROR(__xludf.DUMMYFUNCTION("""COMPUTED_VALUE"""),"No")</f>
        <v>No</v>
      </c>
      <c r="AF1222" s="8"/>
      <c r="AG1222" s="8" t="str">
        <f ca="1">IFERROR(__xludf.DUMMYFUNCTION("""COMPUTED_VALUE"""),"No")</f>
        <v>No</v>
      </c>
      <c r="AH1222" s="8" t="str">
        <f ca="1">IFERROR(__xludf.DUMMYFUNCTION("""COMPUTED_VALUE"""),"No")</f>
        <v>No</v>
      </c>
      <c r="AI1222" s="8" t="str">
        <f ca="1">IFERROR(__xludf.DUMMYFUNCTION("""COMPUTED_VALUE"""),"No")</f>
        <v>No</v>
      </c>
      <c r="AJ1222" s="8" t="str">
        <f ca="1">IFERROR(__xludf.DUMMYFUNCTION("""COMPUTED_VALUE"""),"No")</f>
        <v>No</v>
      </c>
      <c r="AK1222" s="8" t="str">
        <f ca="1">IFERROR(__xludf.DUMMYFUNCTION("""COMPUTED_VALUE"""),"No")</f>
        <v>No</v>
      </c>
      <c r="AL1222" s="8" t="str">
        <f ca="1">IFERROR(__xludf.DUMMYFUNCTION("""COMPUTED_VALUE"""),"No")</f>
        <v>No</v>
      </c>
      <c r="AM1222" s="8" t="str">
        <f ca="1">IFERROR(__xludf.DUMMYFUNCTION("""COMPUTED_VALUE"""),"No")</f>
        <v>No</v>
      </c>
      <c r="AN1222" s="8"/>
      <c r="AO1222" s="8" t="str">
        <f ca="1">IFERROR(__xludf.DUMMYFUNCTION("""COMPUTED_VALUE"""),"No")</f>
        <v>No</v>
      </c>
      <c r="AP1222" s="8"/>
      <c r="AQ1222" s="8"/>
      <c r="AR1222" s="8" t="str">
        <f ca="1">IFERROR(__xludf.DUMMYFUNCTION("""COMPUTED_VALUE"""),"Outside/Off-Property")</f>
        <v>Outside/Off-Property</v>
      </c>
      <c r="AS1222" s="8">
        <f ca="1">IFERROR(__xludf.DUMMYFUNCTION("""COMPUTED_VALUE"""),1)</f>
        <v>1</v>
      </c>
      <c r="AT1222" s="8"/>
      <c r="AU1222" s="8">
        <f ca="1">IFERROR(__xludf.DUMMYFUNCTION("""COMPUTED_VALUE"""),40.807386)</f>
        <v>40.807386000000001</v>
      </c>
      <c r="AV1222" s="8">
        <f ca="1">IFERROR(__xludf.DUMMYFUNCTION("""COMPUTED_VALUE"""),-73.912615)</f>
        <v>-73.912615000000002</v>
      </c>
      <c r="AW1222" s="8"/>
      <c r="AX1222" s="8">
        <f ca="1">IFERROR(__xludf.DUMMYFUNCTION("""COMPUTED_VALUE"""),10454)</f>
        <v>10454</v>
      </c>
    </row>
    <row r="1223" spans="1:50" ht="105" x14ac:dyDescent="0.2">
      <c r="A1223" s="8" t="str">
        <f ca="1">IFERROR(__xludf.DUMMYFUNCTION("""COMPUTED_VALUE"""),"20211021GABES")</f>
        <v>20211021GABES</v>
      </c>
      <c r="B1223" s="8">
        <f ca="1">IFERROR(__xludf.DUMMYFUNCTION("""COMPUTED_VALUE"""),10)</f>
        <v>10</v>
      </c>
      <c r="C1223" s="8">
        <f ca="1">IFERROR(__xludf.DUMMYFUNCTION("""COMPUTED_VALUE"""),21)</f>
        <v>21</v>
      </c>
      <c r="D1223" s="8">
        <f ca="1">IFERROR(__xludf.DUMMYFUNCTION("""COMPUTED_VALUE"""),2021)</f>
        <v>2021</v>
      </c>
      <c r="E1223" s="9">
        <f ca="1">IFERROR(__xludf.DUMMYFUNCTION("""COMPUTED_VALUE"""),44490)</f>
        <v>44490</v>
      </c>
      <c r="F1223" s="8" t="str">
        <f ca="1">IFERROR(__xludf.DUMMYFUNCTION("""COMPUTED_VALUE"""),"Bethesda Academy")</f>
        <v>Bethesda Academy</v>
      </c>
      <c r="G1223" s="8">
        <f ca="1">IFERROR(__xludf.DUMMYFUNCTION("""COMPUTED_VALUE"""),0)</f>
        <v>0</v>
      </c>
      <c r="H1223" s="8">
        <f ca="1">IFERROR(__xludf.DUMMYFUNCTION("""COMPUTED_VALUE"""),0)</f>
        <v>0</v>
      </c>
      <c r="I1223" s="8">
        <f ca="1">IFERROR(__xludf.DUMMYFUNCTION("""COMPUTED_VALUE"""),0)</f>
        <v>0</v>
      </c>
      <c r="J1223" s="8">
        <f ca="1">IFERROR(__xludf.DUMMYFUNCTION("""COMPUTED_VALUE"""),0)</f>
        <v>0</v>
      </c>
      <c r="K1223" s="8" t="str">
        <f ca="1">IFERROR(__xludf.DUMMYFUNCTION("""COMPUTED_VALUE"""),"https://fox28media.com/news/local/ccpd-man-arrested-after-he-fired-shots-at-occupied-vehicles-at-bethesda-academy https://www.wsav.com/crime-safety/police-arrest-suspect-accused-of-firing-gunshots-outside-of-bethesda-academy/ https://abcnews4.com/news/loc"&amp;"al/ccpd-man-arrested-after-he-fired-shots-at-occupied-vehicles-at-bethesda-academy https://www.wjcl.com/article/savannah-bethesda-academy-shooting/38035594")</f>
        <v>https://fox28media.com/news/local/ccpd-man-arrested-after-he-fired-shots-at-occupied-vehicles-at-bethesda-academy https://www.wsav.com/crime-safety/police-arrest-suspect-accused-of-firing-gunshots-outside-of-bethesda-academy/ https://abcnews4.com/news/local/ccpd-man-arrested-after-he-fired-shots-at-occupied-vehicles-at-bethesda-academy https://www.wjcl.com/article/savannah-bethesda-academy-shooting/38035594</v>
      </c>
      <c r="L1223" s="8">
        <f ca="1">IFERROR(__xludf.DUMMYFUNCTION("""COMPUTED_VALUE"""),10)</f>
        <v>10</v>
      </c>
      <c r="M1223" s="8" t="str">
        <f ca="1">IFERROR(__xludf.DUMMYFUNCTION("""COMPUTED_VALUE"""),"Local")</f>
        <v>Local</v>
      </c>
      <c r="N1223" s="8">
        <f ca="1">IFERROR(__xludf.DUMMYFUNCTION("""COMPUTED_VALUE"""),4)</f>
        <v>4</v>
      </c>
      <c r="O1223" s="8" t="str">
        <f ca="1">IFERROR(__xludf.DUMMYFUNCTION("""COMPUTED_VALUE"""),"Fall")</f>
        <v>Fall</v>
      </c>
      <c r="P1223" s="8" t="str">
        <f ca="1">IFERROR(__xludf.DUMMYFUNCTION("""COMPUTED_VALUE"""),"Savannah")</f>
        <v>Savannah</v>
      </c>
      <c r="Q1223" s="8" t="str">
        <f ca="1">IFERROR(__xludf.DUMMYFUNCTION("""COMPUTED_VALUE"""),"GA")</f>
        <v>GA</v>
      </c>
      <c r="R1223" s="13">
        <f ca="1">IFERROR(__xludf.DUMMYFUNCTION("""COMPUTED_VALUE"""),44724)</f>
        <v>44724</v>
      </c>
      <c r="S1223" s="8" t="str">
        <f ca="1">IFERROR(__xludf.DUMMYFUNCTION("""COMPUTED_VALUE"""),"Parking Lot")</f>
        <v>Parking Lot</v>
      </c>
      <c r="T1223" s="8" t="str">
        <f ca="1">IFERROR(__xludf.DUMMYFUNCTION("""COMPUTED_VALUE"""),"Outside on School Property")</f>
        <v>Outside on School Property</v>
      </c>
      <c r="U1223" s="8" t="str">
        <f ca="1">IFERROR(__xludf.DUMMYFUNCTION("""COMPUTED_VALUE"""),"No")</f>
        <v>No</v>
      </c>
      <c r="V1223" s="8" t="str">
        <f ca="1">IFERROR(__xludf.DUMMYFUNCTION("""COMPUTED_VALUE"""),"Evening")</f>
        <v>Evening</v>
      </c>
      <c r="W1223" s="11">
        <f ca="1">IFERROR(__xludf.DUMMYFUNCTION("""COMPUTED_VALUE"""),0.791666666666666)</f>
        <v>0.79166666666666596</v>
      </c>
      <c r="X1223" s="8">
        <f ca="1">IFERROR(__xludf.DUMMYFUNCTION("""COMPUTED_VALUE"""),1)</f>
        <v>1</v>
      </c>
      <c r="Y1223" s="12" t="str">
        <f ca="1">IFERROR(__xludf.DUMMYFUNCTION("""COMPUTED_VALUE"""),"Man fired shots at occupied vehicles in the school parking lot")</f>
        <v>Man fired shots at occupied vehicles in the school parking lot</v>
      </c>
      <c r="Z1223" s="12" t="str">
        <f ca="1">IFERROR(__xludf.DUMMYFUNCTION("""COMPUTED_VALUE"""),"A 33-year-old man fired shots at random occupied vehicles in the school parking lot. When police arrived, he fired more shots at other vehicles. Police arrested him. One person was injured by broken glass. Police said the shooting was random and the man h"&amp;"as no connection to the school. Prior arrests for domestic violence, battery, and false imprisonment.")</f>
        <v>A 33-year-old man fired shots at random occupied vehicles in the school parking lot. When police arrived, he fired more shots at other vehicles. Police arrested him. One person was injured by broken glass. Police said the shooting was random and the man has no connection to the school. Prior arrests for domestic violence, battery, and false imprisonment.</v>
      </c>
      <c r="AA1223" s="8" t="str">
        <f ca="1">IFERROR(__xludf.DUMMYFUNCTION("""COMPUTED_VALUE"""),"Indiscriminate Shooting")</f>
        <v>Indiscriminate Shooting</v>
      </c>
      <c r="AB1223" s="8"/>
      <c r="AC1223" s="8" t="str">
        <f ca="1">IFERROR(__xludf.DUMMYFUNCTION("""COMPUTED_VALUE"""),"No")</f>
        <v>No</v>
      </c>
      <c r="AD1223" s="8" t="str">
        <f ca="1">IFERROR(__xludf.DUMMYFUNCTION("""COMPUTED_VALUE"""),"Random Shooting")</f>
        <v>Random Shooting</v>
      </c>
      <c r="AE1223" s="8" t="str">
        <f ca="1">IFERROR(__xludf.DUMMYFUNCTION("""COMPUTED_VALUE"""),"No")</f>
        <v>No</v>
      </c>
      <c r="AF1223" s="8"/>
      <c r="AG1223" s="8" t="str">
        <f ca="1">IFERROR(__xludf.DUMMYFUNCTION("""COMPUTED_VALUE"""),"No")</f>
        <v>No</v>
      </c>
      <c r="AH1223" s="8" t="str">
        <f ca="1">IFERROR(__xludf.DUMMYFUNCTION("""COMPUTED_VALUE"""),"No")</f>
        <v>No</v>
      </c>
      <c r="AI1223" s="8" t="str">
        <f ca="1">IFERROR(__xludf.DUMMYFUNCTION("""COMPUTED_VALUE"""),"No")</f>
        <v>No</v>
      </c>
      <c r="AJ1223" s="8" t="str">
        <f ca="1">IFERROR(__xludf.DUMMYFUNCTION("""COMPUTED_VALUE"""),"No")</f>
        <v>No</v>
      </c>
      <c r="AK1223" s="8" t="str">
        <f ca="1">IFERROR(__xludf.DUMMYFUNCTION("""COMPUTED_VALUE"""),"No")</f>
        <v>No</v>
      </c>
      <c r="AL1223" s="8" t="str">
        <f ca="1">IFERROR(__xludf.DUMMYFUNCTION("""COMPUTED_VALUE"""),"No")</f>
        <v>No</v>
      </c>
      <c r="AM1223" s="8" t="str">
        <f ca="1">IFERROR(__xludf.DUMMYFUNCTION("""COMPUTED_VALUE"""),"Yes")</f>
        <v>Yes</v>
      </c>
      <c r="AN1223" s="8" t="str">
        <f ca="1">IFERROR(__xludf.DUMMYFUNCTION("""COMPUTED_VALUE"""),"Outside")</f>
        <v>Outside</v>
      </c>
      <c r="AO1223" s="8" t="str">
        <f ca="1">IFERROR(__xludf.DUMMYFUNCTION("""COMPUTED_VALUE"""),"No")</f>
        <v>No</v>
      </c>
      <c r="AP1223" s="8"/>
      <c r="AQ1223" s="8"/>
      <c r="AR1223" s="8" t="str">
        <f ca="1">IFERROR(__xludf.DUMMYFUNCTION("""COMPUTED_VALUE"""),"Failed")</f>
        <v>Failed</v>
      </c>
      <c r="AS1223" s="8"/>
      <c r="AT1223" s="8"/>
      <c r="AU1223" s="8">
        <f ca="1">IFERROR(__xludf.DUMMYFUNCTION("""COMPUTED_VALUE"""),31.958462)</f>
        <v>31.958462000000001</v>
      </c>
      <c r="AV1223" s="8">
        <f ca="1">IFERROR(__xludf.DUMMYFUNCTION("""COMPUTED_VALUE"""),-81.094517)</f>
        <v>-81.094516999999996</v>
      </c>
      <c r="AW1223" s="8"/>
      <c r="AX1223" s="8">
        <f ca="1">IFERROR(__xludf.DUMMYFUNCTION("""COMPUTED_VALUE"""),31406)</f>
        <v>31406</v>
      </c>
    </row>
    <row r="1224" spans="1:50" ht="90" x14ac:dyDescent="0.2">
      <c r="A1224" s="8" t="str">
        <f ca="1">IFERROR(__xludf.DUMMYFUNCTION("""COMPUTED_VALUE"""),"20211018PALIP")</f>
        <v>20211018PALIP</v>
      </c>
      <c r="B1224" s="8">
        <f ca="1">IFERROR(__xludf.DUMMYFUNCTION("""COMPUTED_VALUE"""),10)</f>
        <v>10</v>
      </c>
      <c r="C1224" s="8">
        <f ca="1">IFERROR(__xludf.DUMMYFUNCTION("""COMPUTED_VALUE"""),18)</f>
        <v>18</v>
      </c>
      <c r="D1224" s="8">
        <f ca="1">IFERROR(__xludf.DUMMYFUNCTION("""COMPUTED_VALUE"""),2021)</f>
        <v>2021</v>
      </c>
      <c r="E1224" s="9">
        <f ca="1">IFERROR(__xludf.DUMMYFUNCTION("""COMPUTED_VALUE"""),44487)</f>
        <v>44487</v>
      </c>
      <c r="F1224" s="8" t="str">
        <f ca="1">IFERROR(__xludf.DUMMYFUNCTION("""COMPUTED_VALUE"""),"Lincoln High School")</f>
        <v>Lincoln High School</v>
      </c>
      <c r="G1224" s="8">
        <f ca="1">IFERROR(__xludf.DUMMYFUNCTION("""COMPUTED_VALUE"""),0)</f>
        <v>0</v>
      </c>
      <c r="H1224" s="8">
        <f ca="1">IFERROR(__xludf.DUMMYFUNCTION("""COMPUTED_VALUE"""),2)</f>
        <v>2</v>
      </c>
      <c r="I1224" s="8">
        <f ca="1">IFERROR(__xludf.DUMMYFUNCTION("""COMPUTED_VALUE"""),2)</f>
        <v>2</v>
      </c>
      <c r="J1224" s="8">
        <f ca="1">IFERROR(__xludf.DUMMYFUNCTION("""COMPUTED_VALUE"""),0)</f>
        <v>0</v>
      </c>
      <c r="K1224" s="8" t="str">
        <f ca="1">IFERROR(__xludf.DUMMYFUNCTION("""COMPUTED_VALUE"""),"https://6abc.com/philadelphia-shooting-lincoln-high-school-today-ryan-rowland-avenues/11140664/ https://philadelphia.cbslocal.com/2021/10/19/16-year-old-boy-man-shot-head-near-lincoln-high-school-philadelphia-police-say/")</f>
        <v>https://6abc.com/philadelphia-shooting-lincoln-high-school-today-ryan-rowland-avenues/11140664/ https://philadelphia.cbslocal.com/2021/10/19/16-year-old-boy-man-shot-head-near-lincoln-high-school-philadelphia-police-say/</v>
      </c>
      <c r="L1224" s="8">
        <f ca="1">IFERROR(__xludf.DUMMYFUNCTION("""COMPUTED_VALUE"""),5)</f>
        <v>5</v>
      </c>
      <c r="M1224" s="8" t="str">
        <f ca="1">IFERROR(__xludf.DUMMYFUNCTION("""COMPUTED_VALUE"""),"Local")</f>
        <v>Local</v>
      </c>
      <c r="N1224" s="8">
        <f ca="1">IFERROR(__xludf.DUMMYFUNCTION("""COMPUTED_VALUE"""),4)</f>
        <v>4</v>
      </c>
      <c r="O1224" s="8" t="str">
        <f ca="1">IFERROR(__xludf.DUMMYFUNCTION("""COMPUTED_VALUE"""),"Fall")</f>
        <v>Fall</v>
      </c>
      <c r="P1224" s="8" t="str">
        <f ca="1">IFERROR(__xludf.DUMMYFUNCTION("""COMPUTED_VALUE"""),"Philadelphia")</f>
        <v>Philadelphia</v>
      </c>
      <c r="Q1224" s="8" t="str">
        <f ca="1">IFERROR(__xludf.DUMMYFUNCTION("""COMPUTED_VALUE"""),"PA")</f>
        <v>PA</v>
      </c>
      <c r="R1224" s="8" t="str">
        <f ca="1">IFERROR(__xludf.DUMMYFUNCTION("""COMPUTED_VALUE"""),"High")</f>
        <v>High</v>
      </c>
      <c r="S1224" s="8" t="str">
        <f ca="1">IFERROR(__xludf.DUMMYFUNCTION("""COMPUTED_VALUE"""),"Field (General)")</f>
        <v>Field (General)</v>
      </c>
      <c r="T1224" s="8" t="str">
        <f ca="1">IFERROR(__xludf.DUMMYFUNCTION("""COMPUTED_VALUE"""),"Outside on School Property")</f>
        <v>Outside on School Property</v>
      </c>
      <c r="U1224" s="8" t="str">
        <f ca="1">IFERROR(__xludf.DUMMYFUNCTION("""COMPUTED_VALUE"""),"Yes")</f>
        <v>Yes</v>
      </c>
      <c r="V1224" s="8" t="str">
        <f ca="1">IFERROR(__xludf.DUMMYFUNCTION("""COMPUTED_VALUE"""),"Dismissal")</f>
        <v>Dismissal</v>
      </c>
      <c r="W1224" s="11">
        <f ca="1">IFERROR(__xludf.DUMMYFUNCTION("""COMPUTED_VALUE"""),0.614583333333333)</f>
        <v>0.61458333333333304</v>
      </c>
      <c r="X1224" s="8">
        <f ca="1">IFERROR(__xludf.DUMMYFUNCTION("""COMPUTED_VALUE"""),1)</f>
        <v>1</v>
      </c>
      <c r="Y1224" s="12" t="str">
        <f ca="1">IFERROR(__xludf.DUMMYFUNCTION("""COMPUTED_VALUE"""),"Brother of student fired 15 shots at group of students during fight")</f>
        <v>Brother of student fired 15 shots at group of students during fight</v>
      </c>
      <c r="Z1224" s="12" t="str">
        <f ca="1">IFERROR(__xludf.DUMMYFUNCTION("""COMPUTED_VALUE"""),"At dismissal, a 21-year-old male (brother of a student), fired 5 shots at a group of students involved in a fight outside the school. One shot fatally struck a 66-year-old male in a vehicle who crashed through a fence onto the school's athletic field. Two"&amp;" police officers witnessed the shooting and arrested the shooter.")</f>
        <v>At dismissal, a 21-year-old male (brother of a student), fired 5 shots at a group of students involved in a fight outside the school. One shot fatally struck a 66-year-old male in a vehicle who crashed through a fence onto the school's athletic field. Two police officers witnessed the shooting and arrested the shooter.</v>
      </c>
      <c r="AA1224" s="8" t="str">
        <f ca="1">IFERROR(__xludf.DUMMYFUNCTION("""COMPUTED_VALUE"""),"Escalation of Dispute")</f>
        <v>Escalation of Dispute</v>
      </c>
      <c r="AB1224" s="8"/>
      <c r="AC1224" s="8" t="str">
        <f ca="1">IFERROR(__xludf.DUMMYFUNCTION("""COMPUTED_VALUE"""),"Yes")</f>
        <v>Yes</v>
      </c>
      <c r="AD1224" s="8" t="str">
        <f ca="1">IFERROR(__xludf.DUMMYFUNCTION("""COMPUTED_VALUE"""),"Both")</f>
        <v>Both</v>
      </c>
      <c r="AE1224" s="8" t="str">
        <f ca="1">IFERROR(__xludf.DUMMYFUNCTION("""COMPUTED_VALUE"""),"No")</f>
        <v>No</v>
      </c>
      <c r="AF1224" s="8"/>
      <c r="AG1224" s="8" t="str">
        <f ca="1">IFERROR(__xludf.DUMMYFUNCTION("""COMPUTED_VALUE"""),"No")</f>
        <v>No</v>
      </c>
      <c r="AH1224" s="8" t="str">
        <f ca="1">IFERROR(__xludf.DUMMYFUNCTION("""COMPUTED_VALUE"""),"No")</f>
        <v>No</v>
      </c>
      <c r="AI1224" s="8" t="str">
        <f ca="1">IFERROR(__xludf.DUMMYFUNCTION("""COMPUTED_VALUE"""),"No")</f>
        <v>No</v>
      </c>
      <c r="AJ1224" s="8" t="str">
        <f ca="1">IFERROR(__xludf.DUMMYFUNCTION("""COMPUTED_VALUE"""),"No")</f>
        <v>No</v>
      </c>
      <c r="AK1224" s="8" t="str">
        <f ca="1">IFERROR(__xludf.DUMMYFUNCTION("""COMPUTED_VALUE"""),"No")</f>
        <v>No</v>
      </c>
      <c r="AL1224" s="8"/>
      <c r="AM1224" s="8" t="str">
        <f ca="1">IFERROR(__xludf.DUMMYFUNCTION("""COMPUTED_VALUE"""),"No")</f>
        <v>No</v>
      </c>
      <c r="AN1224" s="8"/>
      <c r="AO1224" s="8" t="str">
        <f ca="1">IFERROR(__xludf.DUMMYFUNCTION("""COMPUTED_VALUE"""),"No")</f>
        <v>No</v>
      </c>
      <c r="AP1224" s="8"/>
      <c r="AQ1224" s="8"/>
      <c r="AR1224" s="8" t="str">
        <f ca="1">IFERROR(__xludf.DUMMYFUNCTION("""COMPUTED_VALUE"""),"Outside/Off-Property")</f>
        <v>Outside/Off-Property</v>
      </c>
      <c r="AS1224" s="8">
        <f ca="1">IFERROR(__xludf.DUMMYFUNCTION("""COMPUTED_VALUE"""),15)</f>
        <v>15</v>
      </c>
      <c r="AT1224" s="8"/>
      <c r="AU1224" s="8">
        <f ca="1">IFERROR(__xludf.DUMMYFUNCTION("""COMPUTED_VALUE"""),40.041113)</f>
        <v>40.041113000000003</v>
      </c>
      <c r="AV1224" s="8">
        <f ca="1">IFERROR(__xludf.DUMMYFUNCTION("""COMPUTED_VALUE"""),-75.042536)</f>
        <v>-75.042535999999998</v>
      </c>
      <c r="AW1224" s="8"/>
      <c r="AX1224" s="8">
        <f ca="1">IFERROR(__xludf.DUMMYFUNCTION("""COMPUTED_VALUE"""),19136)</f>
        <v>19136</v>
      </c>
    </row>
    <row r="1225" spans="1:50" ht="135" x14ac:dyDescent="0.2">
      <c r="A1225" s="8" t="str">
        <f ca="1">IFERROR(__xludf.DUMMYFUNCTION("""COMPUTED_VALUE"""),"20211017ARROR")</f>
        <v>20211017ARROR</v>
      </c>
      <c r="B1225" s="8">
        <f ca="1">IFERROR(__xludf.DUMMYFUNCTION("""COMPUTED_VALUE"""),10)</f>
        <v>10</v>
      </c>
      <c r="C1225" s="8">
        <f ca="1">IFERROR(__xludf.DUMMYFUNCTION("""COMPUTED_VALUE"""),17)</f>
        <v>17</v>
      </c>
      <c r="D1225" s="8">
        <f ca="1">IFERROR(__xludf.DUMMYFUNCTION("""COMPUTED_VALUE"""),2021)</f>
        <v>2021</v>
      </c>
      <c r="E1225" s="9">
        <f ca="1">IFERROR(__xludf.DUMMYFUNCTION("""COMPUTED_VALUE"""),44486)</f>
        <v>44486</v>
      </c>
      <c r="F1225" s="8" t="str">
        <f ca="1">IFERROR(__xludf.DUMMYFUNCTION("""COMPUTED_VALUE"""),"Rogers High School")</f>
        <v>Rogers High School</v>
      </c>
      <c r="G1225" s="8">
        <f ca="1">IFERROR(__xludf.DUMMYFUNCTION("""COMPUTED_VALUE"""),0)</f>
        <v>0</v>
      </c>
      <c r="H1225" s="8">
        <f ca="1">IFERROR(__xludf.DUMMYFUNCTION("""COMPUTED_VALUE"""),0)</f>
        <v>0</v>
      </c>
      <c r="I1225" s="8">
        <f ca="1">IFERROR(__xludf.DUMMYFUNCTION("""COMPUTED_VALUE"""),0)</f>
        <v>0</v>
      </c>
      <c r="J1225" s="8">
        <f ca="1">IFERROR(__xludf.DUMMYFUNCTION("""COMPUTED_VALUE"""),0)</f>
        <v>0</v>
      </c>
      <c r="K1225" s="8" t="str">
        <f ca="1">IFERROR(__xludf.DUMMYFUNCTION("""COMPUTED_VALUE"""),"https://www.fox16.com/news/state-news/man-jailed-for-firing-shots-at-academy-sports-rogers-high-school-press-box/ https://www.nwaonline.com/news/2021/oct/19/rogers-man-accused-of-shooting-at-store-high/")</f>
        <v>https://www.fox16.com/news/state-news/man-jailed-for-firing-shots-at-academy-sports-rogers-high-school-press-box/ https://www.nwaonline.com/news/2021/oct/19/rogers-man-accused-of-shooting-at-store-high/</v>
      </c>
      <c r="L1225" s="8">
        <f ca="1">IFERROR(__xludf.DUMMYFUNCTION("""COMPUTED_VALUE"""),5)</f>
        <v>5</v>
      </c>
      <c r="M1225" s="8" t="str">
        <f ca="1">IFERROR(__xludf.DUMMYFUNCTION("""COMPUTED_VALUE"""),"Local")</f>
        <v>Local</v>
      </c>
      <c r="N1225" s="8">
        <f ca="1">IFERROR(__xludf.DUMMYFUNCTION("""COMPUTED_VALUE"""),4)</f>
        <v>4</v>
      </c>
      <c r="O1225" s="8"/>
      <c r="P1225" s="8" t="str">
        <f ca="1">IFERROR(__xludf.DUMMYFUNCTION("""COMPUTED_VALUE"""),"Rogers")</f>
        <v>Rogers</v>
      </c>
      <c r="Q1225" s="8" t="str">
        <f ca="1">IFERROR(__xludf.DUMMYFUNCTION("""COMPUTED_VALUE"""),"AR")</f>
        <v>AR</v>
      </c>
      <c r="R1225" s="8" t="str">
        <f ca="1">IFERROR(__xludf.DUMMYFUNCTION("""COMPUTED_VALUE"""),"High")</f>
        <v>High</v>
      </c>
      <c r="S1225" s="8" t="str">
        <f ca="1">IFERROR(__xludf.DUMMYFUNCTION("""COMPUTED_VALUE"""),"Football Field/Track")</f>
        <v>Football Field/Track</v>
      </c>
      <c r="T1225" s="8" t="str">
        <f ca="1">IFERROR(__xludf.DUMMYFUNCTION("""COMPUTED_VALUE"""),"Outside on School Property")</f>
        <v>Outside on School Property</v>
      </c>
      <c r="U1225" s="8" t="str">
        <f ca="1">IFERROR(__xludf.DUMMYFUNCTION("""COMPUTED_VALUE"""),"No")</f>
        <v>No</v>
      </c>
      <c r="V1225" s="8" t="str">
        <f ca="1">IFERROR(__xludf.DUMMYFUNCTION("""COMPUTED_VALUE"""),"Evening")</f>
        <v>Evening</v>
      </c>
      <c r="W1225" s="11">
        <f ca="1">IFERROR(__xludf.DUMMYFUNCTION("""COMPUTED_VALUE"""),0.836805555555555)</f>
        <v>0.83680555555555503</v>
      </c>
      <c r="X1225" s="8">
        <f ca="1">IFERROR(__xludf.DUMMYFUNCTION("""COMPUTED_VALUE"""),1)</f>
        <v>1</v>
      </c>
      <c r="Y1225" s="12" t="str">
        <f ca="1">IFERROR(__xludf.DUMMYFUNCTION("""COMPUTED_VALUE"""),"Man fired 16 shots at stadium press box")</f>
        <v>Man fired 16 shots at stadium press box</v>
      </c>
      <c r="Z1225" s="12" t="str">
        <f ca="1">IFERROR(__xludf.DUMMYFUNCTION("""COMPUTED_VALUE"""),"A 28-year-old male fired 16 shots at the stadium press box causing $30,000 in damage. Stadium was empty at the time of the shooting. He was identified and pulled over in a vehicle after leaving the school. He was arrested and police found multiple rifles "&amp;"and ammunition inside his van. Involved in a dispute prior to the shooting when a gun store did not allow him to purchase another weapon. He fired 4 shots outside the store before going to the high school. Charged with multiple felonies and held without b"&amp;"ond.")</f>
        <v>A 28-year-old male fired 16 shots at the stadium press box causing $30,000 in damage. Stadium was empty at the time of the shooting. He was identified and pulled over in a vehicle after leaving the school. He was arrested and police found multiple rifles and ammunition inside his van. Involved in a dispute prior to the shooting when a gun store did not allow him to purchase another weapon. He fired 4 shots outside the store before going to the high school. Charged with multiple felonies and held without bond.</v>
      </c>
      <c r="AA1225" s="8" t="str">
        <f ca="1">IFERROR(__xludf.DUMMYFUNCTION("""COMPUTED_VALUE"""),"Intentional Property Damage")</f>
        <v>Intentional Property Damage</v>
      </c>
      <c r="AB1225" s="8"/>
      <c r="AC1225" s="8" t="str">
        <f ca="1">IFERROR(__xludf.DUMMYFUNCTION("""COMPUTED_VALUE"""),"No")</f>
        <v>No</v>
      </c>
      <c r="AD1225" s="8" t="str">
        <f ca="1">IFERROR(__xludf.DUMMYFUNCTION("""COMPUTED_VALUE"""),"Neither")</f>
        <v>Neither</v>
      </c>
      <c r="AE1225" s="8" t="str">
        <f ca="1">IFERROR(__xludf.DUMMYFUNCTION("""COMPUTED_VALUE"""),"No")</f>
        <v>No</v>
      </c>
      <c r="AF1225" s="8"/>
      <c r="AG1225" s="8" t="str">
        <f ca="1">IFERROR(__xludf.DUMMYFUNCTION("""COMPUTED_VALUE"""),"No")</f>
        <v>No</v>
      </c>
      <c r="AH1225" s="8" t="str">
        <f ca="1">IFERROR(__xludf.DUMMYFUNCTION("""COMPUTED_VALUE"""),"No")</f>
        <v>No</v>
      </c>
      <c r="AI1225" s="8" t="str">
        <f ca="1">IFERROR(__xludf.DUMMYFUNCTION("""COMPUTED_VALUE"""),"No")</f>
        <v>No</v>
      </c>
      <c r="AJ1225" s="8" t="str">
        <f ca="1">IFERROR(__xludf.DUMMYFUNCTION("""COMPUTED_VALUE"""),"No")</f>
        <v>No</v>
      </c>
      <c r="AK1225" s="8" t="str">
        <f ca="1">IFERROR(__xludf.DUMMYFUNCTION("""COMPUTED_VALUE"""),"No")</f>
        <v>No</v>
      </c>
      <c r="AL1225" s="8" t="str">
        <f ca="1">IFERROR(__xludf.DUMMYFUNCTION("""COMPUTED_VALUE"""),"No")</f>
        <v>No</v>
      </c>
      <c r="AM1225" s="8" t="str">
        <f ca="1">IFERROR(__xludf.DUMMYFUNCTION("""COMPUTED_VALUE"""),"No")</f>
        <v>No</v>
      </c>
      <c r="AN1225" s="8"/>
      <c r="AO1225" s="8" t="str">
        <f ca="1">IFERROR(__xludf.DUMMYFUNCTION("""COMPUTED_VALUE"""),"No")</f>
        <v>No</v>
      </c>
      <c r="AP1225" s="8"/>
      <c r="AQ1225" s="8"/>
      <c r="AR1225" s="8" t="str">
        <f ca="1">IFERROR(__xludf.DUMMYFUNCTION("""COMPUTED_VALUE"""),"Outside/Off-Property")</f>
        <v>Outside/Off-Property</v>
      </c>
      <c r="AS1225" s="8">
        <f ca="1">IFERROR(__xludf.DUMMYFUNCTION("""COMPUTED_VALUE"""),16)</f>
        <v>16</v>
      </c>
      <c r="AT1225" s="8"/>
      <c r="AU1225" s="8">
        <f ca="1">IFERROR(__xludf.DUMMYFUNCTION("""COMPUTED_VALUE"""),36.300868)</f>
        <v>36.300868000000001</v>
      </c>
      <c r="AV1225" s="8">
        <f ca="1">IFERROR(__xludf.DUMMYFUNCTION("""COMPUTED_VALUE"""),-94.145556)</f>
        <v>-94.145555999999999</v>
      </c>
      <c r="AW1225" s="8"/>
      <c r="AX1225" s="8">
        <f ca="1">IFERROR(__xludf.DUMMYFUNCTION("""COMPUTED_VALUE"""),72758)</f>
        <v>72758</v>
      </c>
    </row>
    <row r="1226" spans="1:50" ht="120" x14ac:dyDescent="0.2">
      <c r="A1226" s="8" t="str">
        <f ca="1">IFERROR(__xludf.DUMMYFUNCTION("""COMPUTED_VALUE"""),"20211015CAKEF")</f>
        <v>20211015CAKEF</v>
      </c>
      <c r="B1226" s="8">
        <f ca="1">IFERROR(__xludf.DUMMYFUNCTION("""COMPUTED_VALUE"""),10)</f>
        <v>10</v>
      </c>
      <c r="C1226" s="8">
        <f ca="1">IFERROR(__xludf.DUMMYFUNCTION("""COMPUTED_VALUE"""),15)</f>
        <v>15</v>
      </c>
      <c r="D1226" s="8">
        <f ca="1">IFERROR(__xludf.DUMMYFUNCTION("""COMPUTED_VALUE"""),2021)</f>
        <v>2021</v>
      </c>
      <c r="E1226" s="9">
        <f ca="1">IFERROR(__xludf.DUMMYFUNCTION("""COMPUTED_VALUE"""),44484)</f>
        <v>44484</v>
      </c>
      <c r="F1226" s="8" t="str">
        <f ca="1">IFERROR(__xludf.DUMMYFUNCTION("""COMPUTED_VALUE"""),"Kepler Community School")</f>
        <v>Kepler Community School</v>
      </c>
      <c r="G1226" s="8">
        <f ca="1">IFERROR(__xludf.DUMMYFUNCTION("""COMPUTED_VALUE"""),0)</f>
        <v>0</v>
      </c>
      <c r="H1226" s="8">
        <f ca="1">IFERROR(__xludf.DUMMYFUNCTION("""COMPUTED_VALUE"""),1)</f>
        <v>1</v>
      </c>
      <c r="I1226" s="8">
        <f ca="1">IFERROR(__xludf.DUMMYFUNCTION("""COMPUTED_VALUE"""),1)</f>
        <v>1</v>
      </c>
      <c r="J1226" s="8">
        <f ca="1">IFERROR(__xludf.DUMMYFUNCTION("""COMPUTED_VALUE"""),0)</f>
        <v>0</v>
      </c>
      <c r="K1226" s="8" t="str">
        <f ca="1">IFERROR(__xludf.DUMMYFUNCTION("""COMPUTED_VALUE"""),"https://kmph.com/news/local/standoff-ends-peacefully-at-school-playground-thanks-to-schools-pe-teacher https://abc30.com/man-brings-gun-to-school-gunman-fresno-shooting-shots-fired-downtown/11130175/")</f>
        <v>https://kmph.com/news/local/standoff-ends-peacefully-at-school-playground-thanks-to-schools-pe-teacher https://abc30.com/man-brings-gun-to-school-gunman-fresno-shooting-shots-fired-downtown/11130175/</v>
      </c>
      <c r="L1226" s="8">
        <f ca="1">IFERROR(__xludf.DUMMYFUNCTION("""COMPUTED_VALUE"""),5)</f>
        <v>5</v>
      </c>
      <c r="M1226" s="8" t="str">
        <f ca="1">IFERROR(__xludf.DUMMYFUNCTION("""COMPUTED_VALUE"""),"Local")</f>
        <v>Local</v>
      </c>
      <c r="N1226" s="8">
        <f ca="1">IFERROR(__xludf.DUMMYFUNCTION("""COMPUTED_VALUE"""),4)</f>
        <v>4</v>
      </c>
      <c r="O1226" s="8" t="str">
        <f ca="1">IFERROR(__xludf.DUMMYFUNCTION("""COMPUTED_VALUE"""),"Fall")</f>
        <v>Fall</v>
      </c>
      <c r="P1226" s="8" t="str">
        <f ca="1">IFERROR(__xludf.DUMMYFUNCTION("""COMPUTED_VALUE"""),"Fresno")</f>
        <v>Fresno</v>
      </c>
      <c r="Q1226" s="8" t="str">
        <f ca="1">IFERROR(__xludf.DUMMYFUNCTION("""COMPUTED_VALUE"""),"CA")</f>
        <v>CA</v>
      </c>
      <c r="R1226" s="8" t="str">
        <f ca="1">IFERROR(__xludf.DUMMYFUNCTION("""COMPUTED_VALUE"""),"Elementary")</f>
        <v>Elementary</v>
      </c>
      <c r="S1226" s="8" t="str">
        <f ca="1">IFERROR(__xludf.DUMMYFUNCTION("""COMPUTED_VALUE"""),"Playground")</f>
        <v>Playground</v>
      </c>
      <c r="T1226" s="8" t="str">
        <f ca="1">IFERROR(__xludf.DUMMYFUNCTION("""COMPUTED_VALUE"""),"Outside on School Property")</f>
        <v>Outside on School Property</v>
      </c>
      <c r="U1226" s="8" t="str">
        <f ca="1">IFERROR(__xludf.DUMMYFUNCTION("""COMPUTED_VALUE"""),"Yes")</f>
        <v>Yes</v>
      </c>
      <c r="V1226" s="8" t="str">
        <f ca="1">IFERROR(__xludf.DUMMYFUNCTION("""COMPUTED_VALUE"""),"Morning Classes")</f>
        <v>Morning Classes</v>
      </c>
      <c r="W1226" s="11">
        <f ca="1">IFERROR(__xludf.DUMMYFUNCTION("""COMPUTED_VALUE"""),0.430555555555555)</f>
        <v>0.43055555555555503</v>
      </c>
      <c r="X1226" s="8">
        <f ca="1">IFERROR(__xludf.DUMMYFUNCTION("""COMPUTED_VALUE"""),1)</f>
        <v>1</v>
      </c>
      <c r="Y1226" s="12" t="str">
        <f ca="1">IFERROR(__xludf.DUMMYFUNCTION("""COMPUTED_VALUE"""),"Gym teacher talked down man with gun on school playground")</f>
        <v>Gym teacher talked down man with gun on school playground</v>
      </c>
      <c r="Z1226" s="12" t="str">
        <f ca="1">IFERROR(__xludf.DUMMYFUNCTION("""COMPUTED_VALUE"""),"A 33-year-old male was involved in a shooting inside a home near the campus where he threatened to kill 4 people. He then walked onto the school playground and was told to leave the campus by the gym teacher (retired police officer). The man refused to le"&amp;"ave and showed the teacher a gun he was holding in his pocket. After a 45 minute standoff, the man surrendered to police. No shots were fired. School was locked down during the incident.")</f>
        <v>A 33-year-old male was involved in a shooting inside a home near the campus where he threatened to kill 4 people. He then walked onto the school playground and was told to leave the campus by the gym teacher (retired police officer). The man refused to leave and showed the teacher a gun he was holding in his pocket. After a 45 minute standoff, the man surrendered to police. No shots were fired. School was locked down during the incident.</v>
      </c>
      <c r="AA1226" s="8" t="str">
        <f ca="1">IFERROR(__xludf.DUMMYFUNCTION("""COMPUTED_VALUE"""),"Hostage/Standoff")</f>
        <v>Hostage/Standoff</v>
      </c>
      <c r="AB1226" s="8"/>
      <c r="AC1226" s="8" t="str">
        <f ca="1">IFERROR(__xludf.DUMMYFUNCTION("""COMPUTED_VALUE"""),"Yes")</f>
        <v>Yes</v>
      </c>
      <c r="AD1226" s="8" t="str">
        <f ca="1">IFERROR(__xludf.DUMMYFUNCTION("""COMPUTED_VALUE"""),"Neither")</f>
        <v>Neither</v>
      </c>
      <c r="AE1226" s="8" t="str">
        <f ca="1">IFERROR(__xludf.DUMMYFUNCTION("""COMPUTED_VALUE"""),"No")</f>
        <v>No</v>
      </c>
      <c r="AF1226" s="8"/>
      <c r="AG1226" s="8" t="str">
        <f ca="1">IFERROR(__xludf.DUMMYFUNCTION("""COMPUTED_VALUE"""),"No")</f>
        <v>No</v>
      </c>
      <c r="AH1226" s="8" t="str">
        <f ca="1">IFERROR(__xludf.DUMMYFUNCTION("""COMPUTED_VALUE"""),"No")</f>
        <v>No</v>
      </c>
      <c r="AI1226" s="8" t="str">
        <f ca="1">IFERROR(__xludf.DUMMYFUNCTION("""COMPUTED_VALUE"""),"No")</f>
        <v>No</v>
      </c>
      <c r="AJ1226" s="8" t="str">
        <f ca="1">IFERROR(__xludf.DUMMYFUNCTION("""COMPUTED_VALUE"""),"No")</f>
        <v>No</v>
      </c>
      <c r="AK1226" s="8" t="str">
        <f ca="1">IFERROR(__xludf.DUMMYFUNCTION("""COMPUTED_VALUE"""),"No")</f>
        <v>No</v>
      </c>
      <c r="AL1226" s="8" t="str">
        <f ca="1">IFERROR(__xludf.DUMMYFUNCTION("""COMPUTED_VALUE"""),"No")</f>
        <v>No</v>
      </c>
      <c r="AM1226" s="8" t="str">
        <f ca="1">IFERROR(__xludf.DUMMYFUNCTION("""COMPUTED_VALUE"""),"No")</f>
        <v>No</v>
      </c>
      <c r="AN1226" s="8"/>
      <c r="AO1226" s="8" t="str">
        <f ca="1">IFERROR(__xludf.DUMMYFUNCTION("""COMPUTED_VALUE"""),"No")</f>
        <v>No</v>
      </c>
      <c r="AP1226" s="8" t="str">
        <f ca="1">IFERROR(__xludf.DUMMYFUNCTION("""COMPUTED_VALUE"""),"No")</f>
        <v>No</v>
      </c>
      <c r="AQ1226" s="8"/>
      <c r="AR1226" s="8" t="str">
        <f ca="1">IFERROR(__xludf.DUMMYFUNCTION("""COMPUTED_VALUE"""),"Outside/Off-Property")</f>
        <v>Outside/Off-Property</v>
      </c>
      <c r="AS1226" s="8">
        <f ca="1">IFERROR(__xludf.DUMMYFUNCTION("""COMPUTED_VALUE"""),0)</f>
        <v>0</v>
      </c>
      <c r="AT1226" s="8" t="str">
        <f ca="1">IFERROR(__xludf.DUMMYFUNCTION("""COMPUTED_VALUE"""),"Yes")</f>
        <v>Yes</v>
      </c>
      <c r="AU1226" s="8">
        <f ca="1">IFERROR(__xludf.DUMMYFUNCTION("""COMPUTED_VALUE"""),36.738067)</f>
        <v>36.738067000000001</v>
      </c>
      <c r="AV1226" s="8">
        <f ca="1">IFERROR(__xludf.DUMMYFUNCTION("""COMPUTED_VALUE"""),-119.796415)</f>
        <v>-119.796415</v>
      </c>
      <c r="AW1226" s="8"/>
      <c r="AX1226" s="8">
        <f ca="1">IFERROR(__xludf.DUMMYFUNCTION("""COMPUTED_VALUE"""),93721)</f>
        <v>93721</v>
      </c>
    </row>
    <row r="1227" spans="1:50" ht="120" x14ac:dyDescent="0.2">
      <c r="A1227" s="8" t="str">
        <f ca="1">IFERROR(__xludf.DUMMYFUNCTION("""COMPUTED_VALUE"""),"20211015ALWIM")</f>
        <v>20211015ALWIM</v>
      </c>
      <c r="B1227" s="8">
        <f ca="1">IFERROR(__xludf.DUMMYFUNCTION("""COMPUTED_VALUE"""),10)</f>
        <v>10</v>
      </c>
      <c r="C1227" s="8">
        <f ca="1">IFERROR(__xludf.DUMMYFUNCTION("""COMPUTED_VALUE"""),15)</f>
        <v>15</v>
      </c>
      <c r="D1227" s="8">
        <f ca="1">IFERROR(__xludf.DUMMYFUNCTION("""COMPUTED_VALUE"""),2021)</f>
        <v>2021</v>
      </c>
      <c r="E1227" s="9">
        <f ca="1">IFERROR(__xludf.DUMMYFUNCTION("""COMPUTED_VALUE"""),44484)</f>
        <v>44484</v>
      </c>
      <c r="F1227" s="8" t="str">
        <f ca="1">IFERROR(__xludf.DUMMYFUNCTION("""COMPUTED_VALUE"""),"Williamson High School")</f>
        <v>Williamson High School</v>
      </c>
      <c r="G1227" s="8">
        <f ca="1">IFERROR(__xludf.DUMMYFUNCTION("""COMPUTED_VALUE"""),0)</f>
        <v>0</v>
      </c>
      <c r="H1227" s="8">
        <f ca="1">IFERROR(__xludf.DUMMYFUNCTION("""COMPUTED_VALUE"""),4)</f>
        <v>4</v>
      </c>
      <c r="I1227" s="8">
        <f ca="1">IFERROR(__xludf.DUMMYFUNCTION("""COMPUTED_VALUE"""),4)</f>
        <v>4</v>
      </c>
      <c r="J1227" s="8">
        <f ca="1">IFERROR(__xludf.DUMMYFUNCTION("""COMPUTED_VALUE"""),0)</f>
        <v>0</v>
      </c>
      <c r="K1227" s="8" t="str">
        <f ca="1">IFERROR(__xludf.DUMMYFUNCTION("""COMPUTED_VALUE"""),"https://www.cnn.com/2021/10/16/us/al-mobile-hs-football-game-shooting/index.html https://whnt.com/news/breaking-at-least-one-person-shot-during-football-game-at-ladd-peebles-stadium/ https://www.the-sun.com/news/3868369/ladd-peebles-shooting-horror-moment"&amp;"-high-school-football/")</f>
        <v>https://www.cnn.com/2021/10/16/us/al-mobile-hs-football-game-shooting/index.html https://whnt.com/news/breaking-at-least-one-person-shot-during-football-game-at-ladd-peebles-stadium/ https://www.the-sun.com/news/3868369/ladd-peebles-shooting-horror-moment-high-school-football/</v>
      </c>
      <c r="L1227" s="8">
        <f ca="1">IFERROR(__xludf.DUMMYFUNCTION("""COMPUTED_VALUE"""),100)</f>
        <v>100</v>
      </c>
      <c r="M1227" s="8" t="str">
        <f ca="1">IFERROR(__xludf.DUMMYFUNCTION("""COMPUTED_VALUE"""),"International")</f>
        <v>International</v>
      </c>
      <c r="N1227" s="8">
        <f ca="1">IFERROR(__xludf.DUMMYFUNCTION("""COMPUTED_VALUE"""),4)</f>
        <v>4</v>
      </c>
      <c r="O1227" s="8"/>
      <c r="P1227" s="8" t="str">
        <f ca="1">IFERROR(__xludf.DUMMYFUNCTION("""COMPUTED_VALUE"""),"Mobile")</f>
        <v>Mobile</v>
      </c>
      <c r="Q1227" s="8" t="str">
        <f ca="1">IFERROR(__xludf.DUMMYFUNCTION("""COMPUTED_VALUE"""),"AL")</f>
        <v>AL</v>
      </c>
      <c r="R1227" s="13">
        <f ca="1">IFERROR(__xludf.DUMMYFUNCTION("""COMPUTED_VALUE"""),44724)</f>
        <v>44724</v>
      </c>
      <c r="S1227" s="8" t="str">
        <f ca="1">IFERROR(__xludf.DUMMYFUNCTION("""COMPUTED_VALUE"""),"Football Field/Track")</f>
        <v>Football Field/Track</v>
      </c>
      <c r="T1227" s="8" t="str">
        <f ca="1">IFERROR(__xludf.DUMMYFUNCTION("""COMPUTED_VALUE"""),"Outside on School Property")</f>
        <v>Outside on School Property</v>
      </c>
      <c r="U1227" s="8" t="str">
        <f ca="1">IFERROR(__xludf.DUMMYFUNCTION("""COMPUTED_VALUE"""),"No")</f>
        <v>No</v>
      </c>
      <c r="V1227" s="8" t="str">
        <f ca="1">IFERROR(__xludf.DUMMYFUNCTION("""COMPUTED_VALUE"""),"Sport Event")</f>
        <v>Sport Event</v>
      </c>
      <c r="W1227" s="11">
        <f ca="1">IFERROR(__xludf.DUMMYFUNCTION("""COMPUTED_VALUE"""),0.913888888888888)</f>
        <v>0.91388888888888797</v>
      </c>
      <c r="X1227" s="8">
        <f ca="1">IFERROR(__xludf.DUMMYFUNCTION("""COMPUTED_VALUE"""),1)</f>
        <v>1</v>
      </c>
      <c r="Y1227" s="12" t="str">
        <f ca="1">IFERROR(__xludf.DUMMYFUNCTION("""COMPUTED_VALUE"""),"4 shot inside the football stadium during game")</f>
        <v>4 shot inside the football stadium during game</v>
      </c>
      <c r="Z1227" s="12" t="str">
        <f ca="1">IFERROR(__xludf.DUMMYFUNCTION("""COMPUTED_VALUE"""),"4 people were shot in the concourse of the stadium during the 4th quarter of the high school football game. The PA announcer told fans to take cover and defend themselves. Players evacuated the field. The remainder of the game was cancelled. Shooter and s"&amp;"econd suspect fled the area in a vehicle. Two victims were transported to the hospital, one in critical condition. The stadium has metal detectors at the gates following 9 people shot in 2019.")</f>
        <v>4 people were shot in the concourse of the stadium during the 4th quarter of the high school football game. The PA announcer told fans to take cover and defend themselves. Players evacuated the field. The remainder of the game was cancelled. Shooter and second suspect fled the area in a vehicle. Two victims were transported to the hospital, one in critical condition. The stadium has metal detectors at the gates following 9 people shot in 2019.</v>
      </c>
      <c r="AA1227" s="8"/>
      <c r="AB1227" s="8"/>
      <c r="AC1227" s="8" t="str">
        <f ca="1">IFERROR(__xludf.DUMMYFUNCTION("""COMPUTED_VALUE"""),"Yes")</f>
        <v>Yes</v>
      </c>
      <c r="AD1227" s="8" t="str">
        <f ca="1">IFERROR(__xludf.DUMMYFUNCTION("""COMPUTED_VALUE"""),"Both")</f>
        <v>Both</v>
      </c>
      <c r="AE1227" s="8" t="str">
        <f ca="1">IFERROR(__xludf.DUMMYFUNCTION("""COMPUTED_VALUE"""),"Yes")</f>
        <v>Yes</v>
      </c>
      <c r="AF1227" s="8" t="str">
        <f ca="1">IFERROR(__xludf.DUMMYFUNCTION("""COMPUTED_VALUE"""),"Two suspects fled")</f>
        <v>Two suspects fled</v>
      </c>
      <c r="AG1227" s="8" t="str">
        <f ca="1">IFERROR(__xludf.DUMMYFUNCTION("""COMPUTED_VALUE"""),"No")</f>
        <v>No</v>
      </c>
      <c r="AH1227" s="8" t="str">
        <f ca="1">IFERROR(__xludf.DUMMYFUNCTION("""COMPUTED_VALUE"""),"No")</f>
        <v>No</v>
      </c>
      <c r="AI1227" s="8" t="str">
        <f ca="1">IFERROR(__xludf.DUMMYFUNCTION("""COMPUTED_VALUE"""),"No")</f>
        <v>No</v>
      </c>
      <c r="AJ1227" s="8" t="str">
        <f ca="1">IFERROR(__xludf.DUMMYFUNCTION("""COMPUTED_VALUE"""),"No")</f>
        <v>No</v>
      </c>
      <c r="AK1227" s="8" t="str">
        <f ca="1">IFERROR(__xludf.DUMMYFUNCTION("""COMPUTED_VALUE"""),"No")</f>
        <v>No</v>
      </c>
      <c r="AL1227" s="8"/>
      <c r="AM1227" s="8" t="str">
        <f ca="1">IFERROR(__xludf.DUMMYFUNCTION("""COMPUTED_VALUE"""),"No")</f>
        <v>No</v>
      </c>
      <c r="AN1227" s="8"/>
      <c r="AO1227" s="8" t="str">
        <f ca="1">IFERROR(__xludf.DUMMYFUNCTION("""COMPUTED_VALUE"""),"No")</f>
        <v>No</v>
      </c>
      <c r="AP1227" s="8" t="str">
        <f ca="1">IFERROR(__xludf.DUMMYFUNCTION("""COMPUTED_VALUE"""),"Yes")</f>
        <v>Yes</v>
      </c>
      <c r="AQ1227" s="8" t="str">
        <f ca="1">IFERROR(__xludf.DUMMYFUNCTION("""COMPUTED_VALUE"""),"Metal Detectors All Entrances")</f>
        <v>Metal Detectors All Entrances</v>
      </c>
      <c r="AR1227" s="8" t="str">
        <f ca="1">IFERROR(__xludf.DUMMYFUNCTION("""COMPUTED_VALUE"""),"Failed")</f>
        <v>Failed</v>
      </c>
      <c r="AS1227" s="8"/>
      <c r="AT1227" s="8"/>
      <c r="AU1227" s="8">
        <f ca="1">IFERROR(__xludf.DUMMYFUNCTION("""COMPUTED_VALUE"""),30.672007)</f>
        <v>30.672007000000001</v>
      </c>
      <c r="AV1227" s="8">
        <f ca="1">IFERROR(__xludf.DUMMYFUNCTION("""COMPUTED_VALUE"""),-88.075104)</f>
        <v>-88.075103999999996</v>
      </c>
      <c r="AW1227" s="8"/>
      <c r="AX1227" s="8">
        <f ca="1">IFERROR(__xludf.DUMMYFUNCTION("""COMPUTED_VALUE"""),36604)</f>
        <v>36604</v>
      </c>
    </row>
    <row r="1228" spans="1:50" ht="90" x14ac:dyDescent="0.2">
      <c r="A1228" s="8" t="str">
        <f ca="1">IFERROR(__xludf.DUMMYFUNCTION("""COMPUTED_VALUE"""),"20211014MEREP")</f>
        <v>20211014MEREP</v>
      </c>
      <c r="B1228" s="8">
        <f ca="1">IFERROR(__xludf.DUMMYFUNCTION("""COMPUTED_VALUE"""),10)</f>
        <v>10</v>
      </c>
      <c r="C1228" s="8">
        <f ca="1">IFERROR(__xludf.DUMMYFUNCTION("""COMPUTED_VALUE"""),14)</f>
        <v>14</v>
      </c>
      <c r="D1228" s="8">
        <f ca="1">IFERROR(__xludf.DUMMYFUNCTION("""COMPUTED_VALUE"""),2021)</f>
        <v>2021</v>
      </c>
      <c r="E1228" s="9">
        <f ca="1">IFERROR(__xludf.DUMMYFUNCTION("""COMPUTED_VALUE"""),44483)</f>
        <v>44483</v>
      </c>
      <c r="F1228" s="8" t="str">
        <f ca="1">IFERROR(__xludf.DUMMYFUNCTION("""COMPUTED_VALUE"""),"Reiche Community School")</f>
        <v>Reiche Community School</v>
      </c>
      <c r="G1228" s="8">
        <f ca="1">IFERROR(__xludf.DUMMYFUNCTION("""COMPUTED_VALUE"""),1)</f>
        <v>1</v>
      </c>
      <c r="H1228" s="8">
        <f ca="1">IFERROR(__xludf.DUMMYFUNCTION("""COMPUTED_VALUE"""),0)</f>
        <v>0</v>
      </c>
      <c r="I1228" s="8">
        <f ca="1">IFERROR(__xludf.DUMMYFUNCTION("""COMPUTED_VALUE"""),1)</f>
        <v>1</v>
      </c>
      <c r="J1228" s="8">
        <f ca="1">IFERROR(__xludf.DUMMYFUNCTION("""COMPUTED_VALUE"""),0)</f>
        <v>0</v>
      </c>
      <c r="K1228" s="8" t="str">
        <f ca="1">IFERROR(__xludf.DUMMYFUNCTION("""COMPUTED_VALUE"""),"https://www.pressherald.com/2021/10/15/portland-police-investigate-reported-shooting-in-west-end/ https://www.newscentermaine.com/article/news/local/portland/portland-police-investigating-reports-of-overnight-shooting-near-reiche-community-school-brackett"&amp;"-street-maine/97-82a97aa7-2f75-4b90-96ac-7c1d2b74a149")</f>
        <v>https://www.pressherald.com/2021/10/15/portland-police-investigate-reported-shooting-in-west-end/ https://www.newscentermaine.com/article/news/local/portland/portland-police-investigating-reports-of-overnight-shooting-near-reiche-community-school-brackett-street-maine/97-82a97aa7-2f75-4b90-96ac-7c1d2b74a149</v>
      </c>
      <c r="L1228" s="8">
        <f ca="1">IFERROR(__xludf.DUMMYFUNCTION("""COMPUTED_VALUE"""),2)</f>
        <v>2</v>
      </c>
      <c r="M1228" s="8" t="str">
        <f ca="1">IFERROR(__xludf.DUMMYFUNCTION("""COMPUTED_VALUE"""),"Local")</f>
        <v>Local</v>
      </c>
      <c r="N1228" s="8">
        <f ca="1">IFERROR(__xludf.DUMMYFUNCTION("""COMPUTED_VALUE"""),3)</f>
        <v>3</v>
      </c>
      <c r="O1228" s="8" t="str">
        <f ca="1">IFERROR(__xludf.DUMMYFUNCTION("""COMPUTED_VALUE"""),"Fall")</f>
        <v>Fall</v>
      </c>
      <c r="P1228" s="8" t="str">
        <f ca="1">IFERROR(__xludf.DUMMYFUNCTION("""COMPUTED_VALUE"""),"Portland")</f>
        <v>Portland</v>
      </c>
      <c r="Q1228" s="8" t="str">
        <f ca="1">IFERROR(__xludf.DUMMYFUNCTION("""COMPUTED_VALUE"""),"ME")</f>
        <v>ME</v>
      </c>
      <c r="R1228" s="8" t="str">
        <f ca="1">IFERROR(__xludf.DUMMYFUNCTION("""COMPUTED_VALUE"""),"Elementary")</f>
        <v>Elementary</v>
      </c>
      <c r="S1228" s="8" t="str">
        <f ca="1">IFERROR(__xludf.DUMMYFUNCTION("""COMPUTED_VALUE"""),"Playground")</f>
        <v>Playground</v>
      </c>
      <c r="T1228" s="8" t="str">
        <f ca="1">IFERROR(__xludf.DUMMYFUNCTION("""COMPUTED_VALUE"""),"Outside on School Property")</f>
        <v>Outside on School Property</v>
      </c>
      <c r="U1228" s="8" t="str">
        <f ca="1">IFERROR(__xludf.DUMMYFUNCTION("""COMPUTED_VALUE"""),"No")</f>
        <v>No</v>
      </c>
      <c r="V1228" s="8" t="str">
        <f ca="1">IFERROR(__xludf.DUMMYFUNCTION("""COMPUTED_VALUE"""),"Night")</f>
        <v>Night</v>
      </c>
      <c r="W1228" s="11">
        <f ca="1">IFERROR(__xludf.DUMMYFUNCTION("""COMPUTED_VALUE"""),0.96875)</f>
        <v>0.96875</v>
      </c>
      <c r="X1228" s="8">
        <f ca="1">IFERROR(__xludf.DUMMYFUNCTION("""COMPUTED_VALUE"""),1)</f>
        <v>1</v>
      </c>
      <c r="Y1228" s="12" t="str">
        <f ca="1">IFERROR(__xludf.DUMMYFUNCTION("""COMPUTED_VALUE"""),"Person shot on the school playground")</f>
        <v>Person shot on the school playground</v>
      </c>
      <c r="Z1228" s="12" t="str">
        <f ca="1">IFERROR(__xludf.DUMMYFUNCTION("""COMPUTED_VALUE"""),"At 11:15PM, police were called for shots fired near the school and did not find anything. The following morning, police were called for a shooting victim on the playground of the school. School held classes. Students were not allowed on the playground unt"&amp;"il the investigation was concluded. Person shot was not affiliated with the school.")</f>
        <v>At 11:15PM, police were called for shots fired near the school and did not find anything. The following morning, police were called for a shooting victim on the playground of the school. School held classes. Students were not allowed on the playground until the investigation was concluded. Person shot was not affiliated with the school.</v>
      </c>
      <c r="AA1228" s="8"/>
      <c r="AB1228" s="8"/>
      <c r="AC1228" s="8" t="str">
        <f ca="1">IFERROR(__xludf.DUMMYFUNCTION("""COMPUTED_VALUE"""),"Yes")</f>
        <v>Yes</v>
      </c>
      <c r="AD1228" s="8" t="str">
        <f ca="1">IFERROR(__xludf.DUMMYFUNCTION("""COMPUTED_VALUE"""),"Victims Targeted")</f>
        <v>Victims Targeted</v>
      </c>
      <c r="AE1228" s="8" t="str">
        <f ca="1">IFERROR(__xludf.DUMMYFUNCTION("""COMPUTED_VALUE"""),"No")</f>
        <v>No</v>
      </c>
      <c r="AF1228" s="8"/>
      <c r="AG1228" s="8" t="str">
        <f ca="1">IFERROR(__xludf.DUMMYFUNCTION("""COMPUTED_VALUE"""),"No")</f>
        <v>No</v>
      </c>
      <c r="AH1228" s="8" t="str">
        <f ca="1">IFERROR(__xludf.DUMMYFUNCTION("""COMPUTED_VALUE"""),"No")</f>
        <v>No</v>
      </c>
      <c r="AI1228" s="8" t="str">
        <f ca="1">IFERROR(__xludf.DUMMYFUNCTION("""COMPUTED_VALUE"""),"No")</f>
        <v>No</v>
      </c>
      <c r="AJ1228" s="8" t="str">
        <f ca="1">IFERROR(__xludf.DUMMYFUNCTION("""COMPUTED_VALUE"""),"No")</f>
        <v>No</v>
      </c>
      <c r="AK1228" s="8" t="str">
        <f ca="1">IFERROR(__xludf.DUMMYFUNCTION("""COMPUTED_VALUE"""),"No")</f>
        <v>No</v>
      </c>
      <c r="AL1228" s="8"/>
      <c r="AM1228" s="8" t="str">
        <f ca="1">IFERROR(__xludf.DUMMYFUNCTION("""COMPUTED_VALUE"""),"No")</f>
        <v>No</v>
      </c>
      <c r="AN1228" s="8"/>
      <c r="AO1228" s="8" t="str">
        <f ca="1">IFERROR(__xludf.DUMMYFUNCTION("""COMPUTED_VALUE"""),"No")</f>
        <v>No</v>
      </c>
      <c r="AP1228" s="8"/>
      <c r="AQ1228" s="8"/>
      <c r="AR1228" s="8" t="str">
        <f ca="1">IFERROR(__xludf.DUMMYFUNCTION("""COMPUTED_VALUE"""),"Outside/Off-Property")</f>
        <v>Outside/Off-Property</v>
      </c>
      <c r="AS1228" s="8"/>
      <c r="AT1228" s="8"/>
      <c r="AU1228" s="8">
        <f ca="1">IFERROR(__xludf.DUMMYFUNCTION("""COMPUTED_VALUE"""),43.650279)</f>
        <v>43.650278999999998</v>
      </c>
      <c r="AV1228" s="8">
        <f ca="1">IFERROR(__xludf.DUMMYFUNCTION("""COMPUTED_VALUE"""),-70.266451)</f>
        <v>-70.266451000000004</v>
      </c>
      <c r="AW1228" s="8"/>
      <c r="AX1228" s="8">
        <f ca="1">IFERROR(__xludf.DUMMYFUNCTION("""COMPUTED_VALUE"""),4102)</f>
        <v>4102</v>
      </c>
    </row>
    <row r="1229" spans="1:50" ht="120" x14ac:dyDescent="0.2">
      <c r="A1229" s="8" t="str">
        <f ca="1">IFERROR(__xludf.DUMMYFUNCTION("""COMPUTED_VALUE"""),"20211013PACHD")</f>
        <v>20211013PACHD</v>
      </c>
      <c r="B1229" s="8">
        <f ca="1">IFERROR(__xludf.DUMMYFUNCTION("""COMPUTED_VALUE"""),10)</f>
        <v>10</v>
      </c>
      <c r="C1229" s="8">
        <f ca="1">IFERROR(__xludf.DUMMYFUNCTION("""COMPUTED_VALUE"""),13)</f>
        <v>13</v>
      </c>
      <c r="D1229" s="8">
        <f ca="1">IFERROR(__xludf.DUMMYFUNCTION("""COMPUTED_VALUE"""),2021)</f>
        <v>2021</v>
      </c>
      <c r="E1229" s="9">
        <f ca="1">IFERROR(__xludf.DUMMYFUNCTION("""COMPUTED_VALUE"""),44482)</f>
        <v>44482</v>
      </c>
      <c r="F1229" s="8" t="str">
        <f ca="1">IFERROR(__xludf.DUMMYFUNCTION("""COMPUTED_VALUE"""),"Charles Kelly Elementary")</f>
        <v>Charles Kelly Elementary</v>
      </c>
      <c r="G1229" s="8">
        <f ca="1">IFERROR(__xludf.DUMMYFUNCTION("""COMPUTED_VALUE"""),0)</f>
        <v>0</v>
      </c>
      <c r="H1229" s="8">
        <f ca="1">IFERROR(__xludf.DUMMYFUNCTION("""COMPUTED_VALUE"""),0)</f>
        <v>0</v>
      </c>
      <c r="I1229" s="8">
        <f ca="1">IFERROR(__xludf.DUMMYFUNCTION("""COMPUTED_VALUE"""),0)</f>
        <v>0</v>
      </c>
      <c r="J1229" s="8">
        <f ca="1">IFERROR(__xludf.DUMMYFUNCTION("""COMPUTED_VALUE"""),0)</f>
        <v>0</v>
      </c>
      <c r="K1229" s="8" t="str">
        <f ca="1">IFERROR(__xludf.DUMMYFUNCTION("""COMPUTED_VALUE"""),"https://www.pennlive.com/news/2021/10/pa-elementary-school-students-suspended-after-firing-air-soft-gun-at-other-children-report.html https://6abc.com/upper-darby-school-district-delaware-county-schools-students-pellet-gun/11126426/")</f>
        <v>https://www.pennlive.com/news/2021/10/pa-elementary-school-students-suspended-after-firing-air-soft-gun-at-other-children-report.html https://6abc.com/upper-darby-school-district-delaware-county-schools-students-pellet-gun/11126426/</v>
      </c>
      <c r="L1229" s="8">
        <f ca="1">IFERROR(__xludf.DUMMYFUNCTION("""COMPUTED_VALUE"""),2)</f>
        <v>2</v>
      </c>
      <c r="M1229" s="8" t="str">
        <f ca="1">IFERROR(__xludf.DUMMYFUNCTION("""COMPUTED_VALUE"""),"Local")</f>
        <v>Local</v>
      </c>
      <c r="N1229" s="8">
        <f ca="1">IFERROR(__xludf.DUMMYFUNCTION("""COMPUTED_VALUE"""),4)</f>
        <v>4</v>
      </c>
      <c r="O1229" s="8" t="str">
        <f ca="1">IFERROR(__xludf.DUMMYFUNCTION("""COMPUTED_VALUE"""),"Fall")</f>
        <v>Fall</v>
      </c>
      <c r="P1229" s="8" t="str">
        <f ca="1">IFERROR(__xludf.DUMMYFUNCTION("""COMPUTED_VALUE"""),"Drexel Hill")</f>
        <v>Drexel Hill</v>
      </c>
      <c r="Q1229" s="8" t="str">
        <f ca="1">IFERROR(__xludf.DUMMYFUNCTION("""COMPUTED_VALUE"""),"PA")</f>
        <v>PA</v>
      </c>
      <c r="R1229" s="8" t="str">
        <f ca="1">IFERROR(__xludf.DUMMYFUNCTION("""COMPUTED_VALUE"""),"Elementary")</f>
        <v>Elementary</v>
      </c>
      <c r="S1229" s="8" t="str">
        <f ca="1">IFERROR(__xludf.DUMMYFUNCTION("""COMPUTED_VALUE"""),"School Bus")</f>
        <v>School Bus</v>
      </c>
      <c r="T1229" s="8" t="str">
        <f ca="1">IFERROR(__xludf.DUMMYFUNCTION("""COMPUTED_VALUE"""),"School Bus")</f>
        <v>School Bus</v>
      </c>
      <c r="U1229" s="8" t="str">
        <f ca="1">IFERROR(__xludf.DUMMYFUNCTION("""COMPUTED_VALUE"""),"Yes")</f>
        <v>Yes</v>
      </c>
      <c r="V1229" s="8" t="str">
        <f ca="1">IFERROR(__xludf.DUMMYFUNCTION("""COMPUTED_VALUE"""),"School Start")</f>
        <v>School Start</v>
      </c>
      <c r="W1229" s="11">
        <f ca="1">IFERROR(__xludf.DUMMYFUNCTION("""COMPUTED_VALUE"""),0.333333333333333)</f>
        <v>0.33333333333333298</v>
      </c>
      <c r="X1229" s="8">
        <f ca="1">IFERROR(__xludf.DUMMYFUNCTION("""COMPUTED_VALUE"""),10)</f>
        <v>10</v>
      </c>
      <c r="Y1229" s="12" t="str">
        <f ca="1">IFERROR(__xludf.DUMMYFUNCTION("""COMPUTED_VALUE"""),"Two students shot 4 classmates with pellet gun")</f>
        <v>Two students shot 4 classmates with pellet gun</v>
      </c>
      <c r="Z1229" s="12" t="str">
        <f ca="1">IFERROR(__xludf.DUMMYFUNCTION("""COMPUTED_VALUE"""),"A 4th grade student with a pellet gun shot 3 students at the bus stop with a pellet gun. The students all got on the school bus and the student fired at a 4th victim. The student then passed the pellet gun to a 2nd student who fired at the 4th victim agai"&amp;"n. The bus driver was notified about the weapon, took it away, and drove to the school. Police and parents were notified. Both students who fired the gun were suspended.")</f>
        <v>A 4th grade student with a pellet gun shot 3 students at the bus stop with a pellet gun. The students all got on the school bus and the student fired at a 4th victim. The student then passed the pellet gun to a 2nd student who fired at the 4th victim again. The bus driver was notified about the weapon, took it away, and drove to the school. Police and parents were notified. Both students who fired the gun were suspended.</v>
      </c>
      <c r="AA1229" s="8" t="str">
        <f ca="1">IFERROR(__xludf.DUMMYFUNCTION("""COMPUTED_VALUE"""),"Indiscriminate Shooting")</f>
        <v>Indiscriminate Shooting</v>
      </c>
      <c r="AB1229" s="8"/>
      <c r="AC1229" s="8" t="str">
        <f ca="1">IFERROR(__xludf.DUMMYFUNCTION("""COMPUTED_VALUE"""),"Yes")</f>
        <v>Yes</v>
      </c>
      <c r="AD1229" s="8" t="str">
        <f ca="1">IFERROR(__xludf.DUMMYFUNCTION("""COMPUTED_VALUE"""),"Both")</f>
        <v>Both</v>
      </c>
      <c r="AE1229" s="8" t="str">
        <f ca="1">IFERROR(__xludf.DUMMYFUNCTION("""COMPUTED_VALUE"""),"Yes")</f>
        <v>Yes</v>
      </c>
      <c r="AF1229" s="8" t="str">
        <f ca="1">IFERROR(__xludf.DUMMYFUNCTION("""COMPUTED_VALUE"""),"Two students fired weapon")</f>
        <v>Two students fired weapon</v>
      </c>
      <c r="AG1229" s="8" t="str">
        <f ca="1">IFERROR(__xludf.DUMMYFUNCTION("""COMPUTED_VALUE"""),"No")</f>
        <v>No</v>
      </c>
      <c r="AH1229" s="8" t="str">
        <f ca="1">IFERROR(__xludf.DUMMYFUNCTION("""COMPUTED_VALUE"""),"No")</f>
        <v>No</v>
      </c>
      <c r="AI1229" s="8" t="str">
        <f ca="1">IFERROR(__xludf.DUMMYFUNCTION("""COMPUTED_VALUE"""),"No")</f>
        <v>No</v>
      </c>
      <c r="AJ1229" s="8" t="str">
        <f ca="1">IFERROR(__xludf.DUMMYFUNCTION("""COMPUTED_VALUE"""),"No")</f>
        <v>No</v>
      </c>
      <c r="AK1229" s="8" t="str">
        <f ca="1">IFERROR(__xludf.DUMMYFUNCTION("""COMPUTED_VALUE"""),"No")</f>
        <v>No</v>
      </c>
      <c r="AL1229" s="8" t="str">
        <f ca="1">IFERROR(__xludf.DUMMYFUNCTION("""COMPUTED_VALUE"""),"No")</f>
        <v>No</v>
      </c>
      <c r="AM1229" s="8" t="str">
        <f ca="1">IFERROR(__xludf.DUMMYFUNCTION("""COMPUTED_VALUE"""),"No")</f>
        <v>No</v>
      </c>
      <c r="AN1229" s="8"/>
      <c r="AO1229" s="8" t="str">
        <f ca="1">IFERROR(__xludf.DUMMYFUNCTION("""COMPUTED_VALUE"""),"No")</f>
        <v>No</v>
      </c>
      <c r="AP1229" s="8"/>
      <c r="AQ1229" s="8"/>
      <c r="AR1229" s="8" t="str">
        <f ca="1">IFERROR(__xludf.DUMMYFUNCTION("""COMPUTED_VALUE"""),"Outside/Off-Property")</f>
        <v>Outside/Off-Property</v>
      </c>
      <c r="AS1229" s="8"/>
      <c r="AT1229" s="8"/>
      <c r="AU1229" s="8">
        <f ca="1">IFERROR(__xludf.DUMMYFUNCTION("""COMPUTED_VALUE"""),39.936102)</f>
        <v>39.936101999999998</v>
      </c>
      <c r="AV1229" s="8">
        <f ca="1">IFERROR(__xludf.DUMMYFUNCTION("""COMPUTED_VALUE"""),-75.287834)</f>
        <v>-75.287834000000004</v>
      </c>
      <c r="AW1229" s="8"/>
      <c r="AX1229" s="8">
        <f ca="1">IFERROR(__xludf.DUMMYFUNCTION("""COMPUTED_VALUE"""),19026)</f>
        <v>19026</v>
      </c>
    </row>
    <row r="1230" spans="1:50" ht="60" x14ac:dyDescent="0.2">
      <c r="A1230" s="8" t="str">
        <f ca="1">IFERROR(__xludf.DUMMYFUNCTION("""COMPUTED_VALUE"""),"20211013ILMCC")</f>
        <v>20211013ILMCC</v>
      </c>
      <c r="B1230" s="8">
        <f ca="1">IFERROR(__xludf.DUMMYFUNCTION("""COMPUTED_VALUE"""),10)</f>
        <v>10</v>
      </c>
      <c r="C1230" s="8">
        <f ca="1">IFERROR(__xludf.DUMMYFUNCTION("""COMPUTED_VALUE"""),13)</f>
        <v>13</v>
      </c>
      <c r="D1230" s="8">
        <f ca="1">IFERROR(__xludf.DUMMYFUNCTION("""COMPUTED_VALUE"""),2021)</f>
        <v>2021</v>
      </c>
      <c r="E1230" s="9">
        <f ca="1">IFERROR(__xludf.DUMMYFUNCTION("""COMPUTED_VALUE"""),44482)</f>
        <v>44482</v>
      </c>
      <c r="F1230" s="8" t="str">
        <f ca="1">IFERROR(__xludf.DUMMYFUNCTION("""COMPUTED_VALUE"""),"McDade Classical Elementary School")</f>
        <v>McDade Classical Elementary School</v>
      </c>
      <c r="G1230" s="8">
        <f ca="1">IFERROR(__xludf.DUMMYFUNCTION("""COMPUTED_VALUE"""),0)</f>
        <v>0</v>
      </c>
      <c r="H1230" s="8">
        <f ca="1">IFERROR(__xludf.DUMMYFUNCTION("""COMPUTED_VALUE"""),0)</f>
        <v>0</v>
      </c>
      <c r="I1230" s="8">
        <f ca="1">IFERROR(__xludf.DUMMYFUNCTION("""COMPUTED_VALUE"""),0)</f>
        <v>0</v>
      </c>
      <c r="J1230" s="8">
        <f ca="1">IFERROR(__xludf.DUMMYFUNCTION("""COMPUTED_VALUE"""),0)</f>
        <v>0</v>
      </c>
      <c r="K1230" s="10" t="str">
        <f ca="1">IFERROR(__xludf.DUMMYFUNCTION("""COMPUTED_VALUE"""),"https://wgntv.com/news/chicagocrime/separate-shooting-incidents-outside-cps-schools-has-parents-on-edge/")</f>
        <v>https://wgntv.com/news/chicagocrime/separate-shooting-incidents-outside-cps-schools-has-parents-on-edge/</v>
      </c>
      <c r="L1230" s="8">
        <f ca="1">IFERROR(__xludf.DUMMYFUNCTION("""COMPUTED_VALUE"""),5)</f>
        <v>5</v>
      </c>
      <c r="M1230" s="8" t="str">
        <f ca="1">IFERROR(__xludf.DUMMYFUNCTION("""COMPUTED_VALUE"""),"Local")</f>
        <v>Local</v>
      </c>
      <c r="N1230" s="8">
        <f ca="1">IFERROR(__xludf.DUMMYFUNCTION("""COMPUTED_VALUE"""),4)</f>
        <v>4</v>
      </c>
      <c r="O1230" s="8" t="str">
        <f ca="1">IFERROR(__xludf.DUMMYFUNCTION("""COMPUTED_VALUE"""),"Fall")</f>
        <v>Fall</v>
      </c>
      <c r="P1230" s="8" t="str">
        <f ca="1">IFERROR(__xludf.DUMMYFUNCTION("""COMPUTED_VALUE"""),"Chicago")</f>
        <v>Chicago</v>
      </c>
      <c r="Q1230" s="8" t="str">
        <f ca="1">IFERROR(__xludf.DUMMYFUNCTION("""COMPUTED_VALUE"""),"IL")</f>
        <v>IL</v>
      </c>
      <c r="R1230" s="8" t="str">
        <f ca="1">IFERROR(__xludf.DUMMYFUNCTION("""COMPUTED_VALUE"""),"Elementary")</f>
        <v>Elementary</v>
      </c>
      <c r="S1230" s="8" t="str">
        <f ca="1">IFERROR(__xludf.DUMMYFUNCTION("""COMPUTED_VALUE"""),"Front of School")</f>
        <v>Front of School</v>
      </c>
      <c r="T1230" s="8" t="str">
        <f ca="1">IFERROR(__xludf.DUMMYFUNCTION("""COMPUTED_VALUE"""),"Outside on School Property")</f>
        <v>Outside on School Property</v>
      </c>
      <c r="U1230" s="8" t="str">
        <f ca="1">IFERROR(__xludf.DUMMYFUNCTION("""COMPUTED_VALUE"""),"Yes")</f>
        <v>Yes</v>
      </c>
      <c r="V1230" s="8" t="str">
        <f ca="1">IFERROR(__xludf.DUMMYFUNCTION("""COMPUTED_VALUE"""),"School Start")</f>
        <v>School Start</v>
      </c>
      <c r="W1230" s="11">
        <f ca="1">IFERROR(__xludf.DUMMYFUNCTION("""COMPUTED_VALUE"""),0.360416666666666)</f>
        <v>0.360416666666666</v>
      </c>
      <c r="X1230" s="8">
        <f ca="1">IFERROR(__xludf.DUMMYFUNCTION("""COMPUTED_VALUE"""),1)</f>
        <v>1</v>
      </c>
      <c r="Y1230" s="12" t="str">
        <f ca="1">IFERROR(__xludf.DUMMYFUNCTION("""COMPUTED_VALUE"""),"28 shots fired from a vehicle, multiple bullets hit school building")</f>
        <v>28 shots fired from a vehicle, multiple bullets hit school building</v>
      </c>
      <c r="Z1230" s="12" t="str">
        <f ca="1">IFERROR(__xludf.DUMMYFUNCTION("""COMPUTED_VALUE"""),"As the school was opening, 28 shots were fired from a passing vehicle and multiple bullets hit the school building. Multiple bullets hit the cafeteria windows. School was locked down. No injuries to students or staff.")</f>
        <v>As the school was opening, 28 shots were fired from a passing vehicle and multiple bullets hit the school building. Multiple bullets hit the cafeteria windows. School was locked down. No injuries to students or staff.</v>
      </c>
      <c r="AA1230" s="8" t="str">
        <f ca="1">IFERROR(__xludf.DUMMYFUNCTION("""COMPUTED_VALUE"""),"Drive-by Shooting")</f>
        <v>Drive-by Shooting</v>
      </c>
      <c r="AB1230" s="8"/>
      <c r="AC1230" s="8" t="str">
        <f ca="1">IFERROR(__xludf.DUMMYFUNCTION("""COMPUTED_VALUE"""),"Yes")</f>
        <v>Yes</v>
      </c>
      <c r="AD1230" s="8" t="str">
        <f ca="1">IFERROR(__xludf.DUMMYFUNCTION("""COMPUTED_VALUE"""),"Random Shooting")</f>
        <v>Random Shooting</v>
      </c>
      <c r="AE1230" s="8"/>
      <c r="AF1230" s="8"/>
      <c r="AG1230" s="8" t="str">
        <f ca="1">IFERROR(__xludf.DUMMYFUNCTION("""COMPUTED_VALUE"""),"No")</f>
        <v>No</v>
      </c>
      <c r="AH1230" s="8" t="str">
        <f ca="1">IFERROR(__xludf.DUMMYFUNCTION("""COMPUTED_VALUE"""),"No")</f>
        <v>No</v>
      </c>
      <c r="AI1230" s="8" t="str">
        <f ca="1">IFERROR(__xludf.DUMMYFUNCTION("""COMPUTED_VALUE"""),"No")</f>
        <v>No</v>
      </c>
      <c r="AJ1230" s="8" t="str">
        <f ca="1">IFERROR(__xludf.DUMMYFUNCTION("""COMPUTED_VALUE"""),"No")</f>
        <v>No</v>
      </c>
      <c r="AK1230" s="8" t="str">
        <f ca="1">IFERROR(__xludf.DUMMYFUNCTION("""COMPUTED_VALUE"""),"No")</f>
        <v>No</v>
      </c>
      <c r="AL1230" s="8"/>
      <c r="AM1230" s="8" t="str">
        <f ca="1">IFERROR(__xludf.DUMMYFUNCTION("""COMPUTED_VALUE"""),"No")</f>
        <v>No</v>
      </c>
      <c r="AN1230" s="8"/>
      <c r="AO1230" s="8" t="str">
        <f ca="1">IFERROR(__xludf.DUMMYFUNCTION("""COMPUTED_VALUE"""),"No")</f>
        <v>No</v>
      </c>
      <c r="AP1230" s="8"/>
      <c r="AQ1230" s="8"/>
      <c r="AR1230" s="8" t="str">
        <f ca="1">IFERROR(__xludf.DUMMYFUNCTION("""COMPUTED_VALUE"""),"Outside/Off-Property")</f>
        <v>Outside/Off-Property</v>
      </c>
      <c r="AS1230" s="8">
        <f ca="1">IFERROR(__xludf.DUMMYFUNCTION("""COMPUTED_VALUE"""),28)</f>
        <v>28</v>
      </c>
      <c r="AT1230" s="8" t="str">
        <f ca="1">IFERROR(__xludf.DUMMYFUNCTION("""COMPUTED_VALUE"""),"Yes")</f>
        <v>Yes</v>
      </c>
      <c r="AU1230" s="8">
        <f ca="1">IFERROR(__xludf.DUMMYFUNCTION("""COMPUTED_VALUE"""),41.734206)</f>
        <v>41.734206</v>
      </c>
      <c r="AV1230" s="8">
        <f ca="1">IFERROR(__xludf.DUMMYFUNCTION("""COMPUTED_VALUE"""),-87.619121)</f>
        <v>-87.619121000000007</v>
      </c>
      <c r="AW1230" s="8"/>
      <c r="AX1230" s="8">
        <f ca="1">IFERROR(__xludf.DUMMYFUNCTION("""COMPUTED_VALUE"""),60619)</f>
        <v>60619</v>
      </c>
    </row>
    <row r="1231" spans="1:50" ht="135" x14ac:dyDescent="0.2">
      <c r="A1231" s="8" t="str">
        <f ca="1">IFERROR(__xludf.DUMMYFUNCTION("""COMPUTED_VALUE"""),"20211012OKUNT")</f>
        <v>20211012OKUNT</v>
      </c>
      <c r="B1231" s="8">
        <f ca="1">IFERROR(__xludf.DUMMYFUNCTION("""COMPUTED_VALUE"""),10)</f>
        <v>10</v>
      </c>
      <c r="C1231" s="8">
        <f ca="1">IFERROR(__xludf.DUMMYFUNCTION("""COMPUTED_VALUE"""),12)</f>
        <v>12</v>
      </c>
      <c r="D1231" s="8">
        <f ca="1">IFERROR(__xludf.DUMMYFUNCTION("""COMPUTED_VALUE"""),2021)</f>
        <v>2021</v>
      </c>
      <c r="E1231" s="9">
        <f ca="1">IFERROR(__xludf.DUMMYFUNCTION("""COMPUTED_VALUE"""),44481)</f>
        <v>44481</v>
      </c>
      <c r="F1231" s="8" t="str">
        <f ca="1">IFERROR(__xludf.DUMMYFUNCTION("""COMPUTED_VALUE"""),"Union High School")</f>
        <v>Union High School</v>
      </c>
      <c r="G1231" s="8">
        <f ca="1">IFERROR(__xludf.DUMMYFUNCTION("""COMPUTED_VALUE"""),0)</f>
        <v>0</v>
      </c>
      <c r="H1231" s="8">
        <f ca="1">IFERROR(__xludf.DUMMYFUNCTION("""COMPUTED_VALUE"""),0)</f>
        <v>0</v>
      </c>
      <c r="I1231" s="8">
        <f ca="1">IFERROR(__xludf.DUMMYFUNCTION("""COMPUTED_VALUE"""),0)</f>
        <v>0</v>
      </c>
      <c r="J1231" s="8">
        <f ca="1">IFERROR(__xludf.DUMMYFUNCTION("""COMPUTED_VALUE"""),0)</f>
        <v>0</v>
      </c>
      <c r="K1231" s="8" t="str">
        <f ca="1">IFERROR(__xludf.DUMMYFUNCTION("""COMPUTED_VALUE"""),"https://www.fox23.com/news/local/union-public-schools-tulsa-police-investigating-after-group-students-shot-with-airsoft-gun/BZATDDYSCFDB5AFPAJDEWLQERA/ https://ktul.com/news/local/tpd-warns-of-using-gel-shooters-after-union-shooting-incident https://tulsa"&amp;"world.com/news/local/education/two-union-high-school-students-suspended-after-toy-gun-incident-at-other-campus/article_7039f578-2c5a-11ec-ad75-27b3fc7c7a07.html")</f>
        <v>https://www.fox23.com/news/local/union-public-schools-tulsa-police-investigating-after-group-students-shot-with-airsoft-gun/BZATDDYSCFDB5AFPAJDEWLQERA/ https://ktul.com/news/local/tpd-warns-of-using-gel-shooters-after-union-shooting-incident https://tulsaworld.com/news/local/education/two-union-high-school-students-suspended-after-toy-gun-incident-at-other-campus/article_7039f578-2c5a-11ec-ad75-27b3fc7c7a07.html</v>
      </c>
      <c r="L1231" s="8">
        <f ca="1">IFERROR(__xludf.DUMMYFUNCTION("""COMPUTED_VALUE"""),5)</f>
        <v>5</v>
      </c>
      <c r="M1231" s="8" t="str">
        <f ca="1">IFERROR(__xludf.DUMMYFUNCTION("""COMPUTED_VALUE"""),"Local")</f>
        <v>Local</v>
      </c>
      <c r="N1231" s="8">
        <f ca="1">IFERROR(__xludf.DUMMYFUNCTION("""COMPUTED_VALUE"""),4)</f>
        <v>4</v>
      </c>
      <c r="O1231" s="8" t="str">
        <f ca="1">IFERROR(__xludf.DUMMYFUNCTION("""COMPUTED_VALUE"""),"Fall")</f>
        <v>Fall</v>
      </c>
      <c r="P1231" s="8" t="str">
        <f ca="1">IFERROR(__xludf.DUMMYFUNCTION("""COMPUTED_VALUE"""),"Tulsa")</f>
        <v>Tulsa</v>
      </c>
      <c r="Q1231" s="8" t="str">
        <f ca="1">IFERROR(__xludf.DUMMYFUNCTION("""COMPUTED_VALUE"""),"OK")</f>
        <v>OK</v>
      </c>
      <c r="R1231" s="8" t="str">
        <f ca="1">IFERROR(__xludf.DUMMYFUNCTION("""COMPUTED_VALUE"""),"High")</f>
        <v>High</v>
      </c>
      <c r="S1231" s="8" t="str">
        <f ca="1">IFERROR(__xludf.DUMMYFUNCTION("""COMPUTED_VALUE"""),"Front of School")</f>
        <v>Front of School</v>
      </c>
      <c r="T1231" s="8" t="str">
        <f ca="1">IFERROR(__xludf.DUMMYFUNCTION("""COMPUTED_VALUE"""),"Outside on School Property")</f>
        <v>Outside on School Property</v>
      </c>
      <c r="U1231" s="8" t="str">
        <f ca="1">IFERROR(__xludf.DUMMYFUNCTION("""COMPUTED_VALUE"""),"Yes")</f>
        <v>Yes</v>
      </c>
      <c r="V1231" s="8" t="str">
        <f ca="1">IFERROR(__xludf.DUMMYFUNCTION("""COMPUTED_VALUE"""),"Dismissal")</f>
        <v>Dismissal</v>
      </c>
      <c r="W1231" s="11">
        <f ca="1">IFERROR(__xludf.DUMMYFUNCTION("""COMPUTED_VALUE"""),0.604166666666666)</f>
        <v>0.60416666666666596</v>
      </c>
      <c r="X1231" s="8">
        <f ca="1">IFERROR(__xludf.DUMMYFUNCTION("""COMPUTED_VALUE"""),1)</f>
        <v>1</v>
      </c>
      <c r="Y1231" s="12" t="str">
        <f ca="1">IFERROR(__xludf.DUMMYFUNCTION("""COMPUTED_VALUE"""),"Student fired plastic projectile gun at group of students and staff waiting for the buses")</f>
        <v>Student fired plastic projectile gun at group of students and staff waiting for the buses</v>
      </c>
      <c r="Z1231" s="12" t="str">
        <f ca="1">IFERROR(__xludf.DUMMYFUNCTION("""COMPUTED_VALUE"""),"A student in a vehicle fired a plastic projectile gun at 12 students and 2 staff members who were waiting for the buses in front of the school. Police described the weapon as a fully automatic gel projectile weapon. Students were evaluated by the school n"&amp;"urse and did not have any injuries. Police were called for a shooting at the school. Both students (driver and shooter) were detained and suspended, but no charges were filed. The plastic gun was purchased at the fair.")</f>
        <v>A student in a vehicle fired a plastic projectile gun at 12 students and 2 staff members who were waiting for the buses in front of the school. Police described the weapon as a fully automatic gel projectile weapon. Students were evaluated by the school nurse and did not have any injuries. Police were called for a shooting at the school. Both students (driver and shooter) were detained and suspended, but no charges were filed. The plastic gun was purchased at the fair.</v>
      </c>
      <c r="AA1231" s="8" t="str">
        <f ca="1">IFERROR(__xludf.DUMMYFUNCTION("""COMPUTED_VALUE"""),"Drive-by Shooting")</f>
        <v>Drive-by Shooting</v>
      </c>
      <c r="AB1231" s="8"/>
      <c r="AC1231" s="8" t="str">
        <f ca="1">IFERROR(__xludf.DUMMYFUNCTION("""COMPUTED_VALUE"""),"Yes")</f>
        <v>Yes</v>
      </c>
      <c r="AD1231" s="8" t="str">
        <f ca="1">IFERROR(__xludf.DUMMYFUNCTION("""COMPUTED_VALUE"""),"Random Shooting")</f>
        <v>Random Shooting</v>
      </c>
      <c r="AE1231" s="8" t="str">
        <f ca="1">IFERROR(__xludf.DUMMYFUNCTION("""COMPUTED_VALUE"""),"Yes")</f>
        <v>Yes</v>
      </c>
      <c r="AF1231" s="8" t="str">
        <f ca="1">IFERROR(__xludf.DUMMYFUNCTION("""COMPUTED_VALUE"""),"Shooter and driver")</f>
        <v>Shooter and driver</v>
      </c>
      <c r="AG1231" s="8" t="str">
        <f ca="1">IFERROR(__xludf.DUMMYFUNCTION("""COMPUTED_VALUE"""),"No")</f>
        <v>No</v>
      </c>
      <c r="AH1231" s="8" t="str">
        <f ca="1">IFERROR(__xludf.DUMMYFUNCTION("""COMPUTED_VALUE"""),"No")</f>
        <v>No</v>
      </c>
      <c r="AI1231" s="8" t="str">
        <f ca="1">IFERROR(__xludf.DUMMYFUNCTION("""COMPUTED_VALUE"""),"No")</f>
        <v>No</v>
      </c>
      <c r="AJ1231" s="8" t="str">
        <f ca="1">IFERROR(__xludf.DUMMYFUNCTION("""COMPUTED_VALUE"""),"No")</f>
        <v>No</v>
      </c>
      <c r="AK1231" s="8" t="str">
        <f ca="1">IFERROR(__xludf.DUMMYFUNCTION("""COMPUTED_VALUE"""),"No")</f>
        <v>No</v>
      </c>
      <c r="AL1231" s="8" t="str">
        <f ca="1">IFERROR(__xludf.DUMMYFUNCTION("""COMPUTED_VALUE"""),"No")</f>
        <v>No</v>
      </c>
      <c r="AM1231" s="8" t="str">
        <f ca="1">IFERROR(__xludf.DUMMYFUNCTION("""COMPUTED_VALUE"""),"No")</f>
        <v>No</v>
      </c>
      <c r="AN1231" s="8"/>
      <c r="AO1231" s="8" t="str">
        <f ca="1">IFERROR(__xludf.DUMMYFUNCTION("""COMPUTED_VALUE"""),"No")</f>
        <v>No</v>
      </c>
      <c r="AP1231" s="8"/>
      <c r="AQ1231" s="8"/>
      <c r="AR1231" s="8" t="str">
        <f ca="1">IFERROR(__xludf.DUMMYFUNCTION("""COMPUTED_VALUE"""),"Outside/Off-Property")</f>
        <v>Outside/Off-Property</v>
      </c>
      <c r="AS1231" s="8"/>
      <c r="AT1231" s="8" t="str">
        <f ca="1">IFERROR(__xludf.DUMMYFUNCTION("""COMPUTED_VALUE"""),"No")</f>
        <v>No</v>
      </c>
      <c r="AU1231" s="8">
        <f ca="1">IFERROR(__xludf.DUMMYFUNCTION("""COMPUTED_VALUE"""),36.066237)</f>
        <v>36.066237000000001</v>
      </c>
      <c r="AV1231" s="8">
        <f ca="1">IFERROR(__xludf.DUMMYFUNCTION("""COMPUTED_VALUE"""),-95.869308)</f>
        <v>-95.869308000000004</v>
      </c>
      <c r="AW1231" s="8"/>
      <c r="AX1231" s="8">
        <f ca="1">IFERROR(__xludf.DUMMYFUNCTION("""COMPUTED_VALUE"""),74133)</f>
        <v>74133</v>
      </c>
    </row>
    <row r="1232" spans="1:50" ht="60" x14ac:dyDescent="0.2">
      <c r="A1232" s="8" t="str">
        <f ca="1">IFERROR(__xludf.DUMMYFUNCTION("""COMPUTED_VALUE"""),"20211012MIELK")</f>
        <v>20211012MIELK</v>
      </c>
      <c r="B1232" s="8">
        <f ca="1">IFERROR(__xludf.DUMMYFUNCTION("""COMPUTED_VALUE"""),10)</f>
        <v>10</v>
      </c>
      <c r="C1232" s="8">
        <f ca="1">IFERROR(__xludf.DUMMYFUNCTION("""COMPUTED_VALUE"""),12)</f>
        <v>12</v>
      </c>
      <c r="D1232" s="8">
        <f ca="1">IFERROR(__xludf.DUMMYFUNCTION("""COMPUTED_VALUE"""),2021)</f>
        <v>2021</v>
      </c>
      <c r="E1232" s="9">
        <f ca="1">IFERROR(__xludf.DUMMYFUNCTION("""COMPUTED_VALUE"""),44481)</f>
        <v>44481</v>
      </c>
      <c r="F1232" s="8" t="str">
        <f ca="1">IFERROR(__xludf.DUMMYFUNCTION("""COMPUTED_VALUE"""),"El Sol Academy")</f>
        <v>El Sol Academy</v>
      </c>
      <c r="G1232" s="8">
        <f ca="1">IFERROR(__xludf.DUMMYFUNCTION("""COMPUTED_VALUE"""),0)</f>
        <v>0</v>
      </c>
      <c r="H1232" s="8">
        <f ca="1">IFERROR(__xludf.DUMMYFUNCTION("""COMPUTED_VALUE"""),2)</f>
        <v>2</v>
      </c>
      <c r="I1232" s="8">
        <f ca="1">IFERROR(__xludf.DUMMYFUNCTION("""COMPUTED_VALUE"""),2)</f>
        <v>2</v>
      </c>
      <c r="J1232" s="8">
        <f ca="1">IFERROR(__xludf.DUMMYFUNCTION("""COMPUTED_VALUE"""),0)</f>
        <v>0</v>
      </c>
      <c r="K1232" s="8" t="str">
        <f ca="1">IFERROR(__xludf.DUMMYFUNCTION("""COMPUTED_VALUE"""),"https://wwmt.com/news/local/two-teen-boys-shot-in-kalamazoo https://www.mlive.com/news/kalamazoo/2021/10/two-teenage-boys-shot-tuesday-afternoon-in-kalamazoo-both-still-alive-police-say.html")</f>
        <v>https://wwmt.com/news/local/two-teen-boys-shot-in-kalamazoo https://www.mlive.com/news/kalamazoo/2021/10/two-teenage-boys-shot-tuesday-afternoon-in-kalamazoo-both-still-alive-police-say.html</v>
      </c>
      <c r="L1232" s="8">
        <f ca="1">IFERROR(__xludf.DUMMYFUNCTION("""COMPUTED_VALUE"""),5)</f>
        <v>5</v>
      </c>
      <c r="M1232" s="8" t="str">
        <f ca="1">IFERROR(__xludf.DUMMYFUNCTION("""COMPUTED_VALUE"""),"Local")</f>
        <v>Local</v>
      </c>
      <c r="N1232" s="8">
        <f ca="1">IFERROR(__xludf.DUMMYFUNCTION("""COMPUTED_VALUE"""),4)</f>
        <v>4</v>
      </c>
      <c r="O1232" s="8" t="str">
        <f ca="1">IFERROR(__xludf.DUMMYFUNCTION("""COMPUTED_VALUE"""),"Fall")</f>
        <v>Fall</v>
      </c>
      <c r="P1232" s="8" t="str">
        <f ca="1">IFERROR(__xludf.DUMMYFUNCTION("""COMPUTED_VALUE"""),"Kalamazoo")</f>
        <v>Kalamazoo</v>
      </c>
      <c r="Q1232" s="8" t="str">
        <f ca="1">IFERROR(__xludf.DUMMYFUNCTION("""COMPUTED_VALUE"""),"MI")</f>
        <v>MI</v>
      </c>
      <c r="R1232" s="8" t="str">
        <f ca="1">IFERROR(__xludf.DUMMYFUNCTION("""COMPUTED_VALUE"""),"Elementary")</f>
        <v>Elementary</v>
      </c>
      <c r="S1232" s="8" t="str">
        <f ca="1">IFERROR(__xludf.DUMMYFUNCTION("""COMPUTED_VALUE"""),"Parking Lot")</f>
        <v>Parking Lot</v>
      </c>
      <c r="T1232" s="8" t="str">
        <f ca="1">IFERROR(__xludf.DUMMYFUNCTION("""COMPUTED_VALUE"""),"Outside on School Property")</f>
        <v>Outside on School Property</v>
      </c>
      <c r="U1232" s="8" t="str">
        <f ca="1">IFERROR(__xludf.DUMMYFUNCTION("""COMPUTED_VALUE"""),"No")</f>
        <v>No</v>
      </c>
      <c r="V1232" s="8" t="str">
        <f ca="1">IFERROR(__xludf.DUMMYFUNCTION("""COMPUTED_VALUE"""),"After School")</f>
        <v>After School</v>
      </c>
      <c r="W1232" s="11">
        <f ca="1">IFERROR(__xludf.DUMMYFUNCTION("""COMPUTED_VALUE"""),0.666666666666666)</f>
        <v>0.66666666666666596</v>
      </c>
      <c r="X1232" s="8">
        <f ca="1">IFERROR(__xludf.DUMMYFUNCTION("""COMPUTED_VALUE"""),1)</f>
        <v>1</v>
      </c>
      <c r="Y1232" s="12" t="str">
        <f ca="1">IFERROR(__xludf.DUMMYFUNCTION("""COMPUTED_VALUE"""),"Group of teens was shot by a masked gunman")</f>
        <v>Group of teens was shot by a masked gunman</v>
      </c>
      <c r="Z1232" s="12" t="str">
        <f ca="1">IFERROR(__xludf.DUMMYFUNCTION("""COMPUTED_VALUE"""),"A group of teens walking near the gate to the school parking lot were shot at by a masked gunman. 15-year-old and 17-year-old were shot, one critical condition. Neither of the victims were students at the school. Gunman fled.")</f>
        <v>A group of teens walking near the gate to the school parking lot were shot at by a masked gunman. 15-year-old and 17-year-old were shot, one critical condition. Neither of the victims were students at the school. Gunman fled.</v>
      </c>
      <c r="AA1232" s="8"/>
      <c r="AB1232" s="8"/>
      <c r="AC1232" s="8" t="str">
        <f ca="1">IFERROR(__xludf.DUMMYFUNCTION("""COMPUTED_VALUE"""),"Yes")</f>
        <v>Yes</v>
      </c>
      <c r="AD1232" s="8" t="str">
        <f ca="1">IFERROR(__xludf.DUMMYFUNCTION("""COMPUTED_VALUE"""),"Victims Targeted")</f>
        <v>Victims Targeted</v>
      </c>
      <c r="AE1232" s="8" t="str">
        <f ca="1">IFERROR(__xludf.DUMMYFUNCTION("""COMPUTED_VALUE"""),"No")</f>
        <v>No</v>
      </c>
      <c r="AF1232" s="8"/>
      <c r="AG1232" s="8" t="str">
        <f ca="1">IFERROR(__xludf.DUMMYFUNCTION("""COMPUTED_VALUE"""),"No")</f>
        <v>No</v>
      </c>
      <c r="AH1232" s="8" t="str">
        <f ca="1">IFERROR(__xludf.DUMMYFUNCTION("""COMPUTED_VALUE"""),"No")</f>
        <v>No</v>
      </c>
      <c r="AI1232" s="8" t="str">
        <f ca="1">IFERROR(__xludf.DUMMYFUNCTION("""COMPUTED_VALUE"""),"No")</f>
        <v>No</v>
      </c>
      <c r="AJ1232" s="8" t="str">
        <f ca="1">IFERROR(__xludf.DUMMYFUNCTION("""COMPUTED_VALUE"""),"No")</f>
        <v>No</v>
      </c>
      <c r="AK1232" s="8" t="str">
        <f ca="1">IFERROR(__xludf.DUMMYFUNCTION("""COMPUTED_VALUE"""),"No")</f>
        <v>No</v>
      </c>
      <c r="AL1232" s="8"/>
      <c r="AM1232" s="8" t="str">
        <f ca="1">IFERROR(__xludf.DUMMYFUNCTION("""COMPUTED_VALUE"""),"No")</f>
        <v>No</v>
      </c>
      <c r="AN1232" s="8"/>
      <c r="AO1232" s="8"/>
      <c r="AP1232" s="8"/>
      <c r="AQ1232" s="8"/>
      <c r="AR1232" s="8" t="str">
        <f ca="1">IFERROR(__xludf.DUMMYFUNCTION("""COMPUTED_VALUE"""),"Outside/Off-Property")</f>
        <v>Outside/Off-Property</v>
      </c>
      <c r="AS1232" s="8"/>
      <c r="AT1232" s="8"/>
      <c r="AU1232" s="8">
        <f ca="1">IFERROR(__xludf.DUMMYFUNCTION("""COMPUTED_VALUE"""),42.285119)</f>
        <v>42.285119000000002</v>
      </c>
      <c r="AV1232" s="8">
        <f ca="1">IFERROR(__xludf.DUMMYFUNCTION("""COMPUTED_VALUE"""),-85.591342)</f>
        <v>-85.591341999999997</v>
      </c>
      <c r="AW1232" s="8"/>
      <c r="AX1232" s="8">
        <f ca="1">IFERROR(__xludf.DUMMYFUNCTION("""COMPUTED_VALUE"""),49008)</f>
        <v>49008</v>
      </c>
    </row>
    <row r="1233" spans="1:50" ht="105" x14ac:dyDescent="0.2">
      <c r="A1233" s="8" t="str">
        <f ca="1">IFERROR(__xludf.DUMMYFUNCTION("""COMPUTED_VALUE"""),"20211012ILWEC")</f>
        <v>20211012ILWEC</v>
      </c>
      <c r="B1233" s="8">
        <f ca="1">IFERROR(__xludf.DUMMYFUNCTION("""COMPUTED_VALUE"""),10)</f>
        <v>10</v>
      </c>
      <c r="C1233" s="8">
        <f ca="1">IFERROR(__xludf.DUMMYFUNCTION("""COMPUTED_VALUE"""),12)</f>
        <v>12</v>
      </c>
      <c r="D1233" s="8">
        <f ca="1">IFERROR(__xludf.DUMMYFUNCTION("""COMPUTED_VALUE"""),2021)</f>
        <v>2021</v>
      </c>
      <c r="E1233" s="9">
        <f ca="1">IFERROR(__xludf.DUMMYFUNCTION("""COMPUTED_VALUE"""),44481)</f>
        <v>44481</v>
      </c>
      <c r="F1233" s="8" t="str">
        <f ca="1">IFERROR(__xludf.DUMMYFUNCTION("""COMPUTED_VALUE"""),"Wendell Phillips Academy High School")</f>
        <v>Wendell Phillips Academy High School</v>
      </c>
      <c r="G1233" s="8">
        <f ca="1">IFERROR(__xludf.DUMMYFUNCTION("""COMPUTED_VALUE"""),0)</f>
        <v>0</v>
      </c>
      <c r="H1233" s="8">
        <f ca="1">IFERROR(__xludf.DUMMYFUNCTION("""COMPUTED_VALUE"""),2)</f>
        <v>2</v>
      </c>
      <c r="I1233" s="8">
        <f ca="1">IFERROR(__xludf.DUMMYFUNCTION("""COMPUTED_VALUE"""),2)</f>
        <v>2</v>
      </c>
      <c r="J1233" s="8">
        <f ca="1">IFERROR(__xludf.DUMMYFUNCTION("""COMPUTED_VALUE"""),0)</f>
        <v>0</v>
      </c>
      <c r="K1233" s="8" t="str">
        <f ca="1">IFERROR(__xludf.DUMMYFUNCTION("""COMPUTED_VALUE"""),"https://abc7chicago.com/chicago-shooting-wendell-phillips-academy-high-school-bronzeville-pershing/11120421/ https://www.chicagotribune.com/news/breaking/ct-phillips-academy-shooting-st-sabina-family-speaks-20211013-2wmzyt3lmvgwhi7bytzjduqym4-story.html h"&amp;"ttps://chicago.cbslocal.com/2021/10/12/student-school-resource-officer-shot-wendell-phillips-academy-high-school-shooting-bronzeville/ https://chicago.suntimes.com/crime/2021/10/12/22723253/wendell-phillips-academy-high-school-shooting")</f>
        <v>https://abc7chicago.com/chicago-shooting-wendell-phillips-academy-high-school-bronzeville-pershing/11120421/ https://www.chicagotribune.com/news/breaking/ct-phillips-academy-shooting-st-sabina-family-speaks-20211013-2wmzyt3lmvgwhi7bytzjduqym4-story.html https://chicago.cbslocal.com/2021/10/12/student-school-resource-officer-shot-wendell-phillips-academy-high-school-shooting-bronzeville/ https://chicago.suntimes.com/crime/2021/10/12/22723253/wendell-phillips-academy-high-school-shooting</v>
      </c>
      <c r="L1233" s="8">
        <f ca="1">IFERROR(__xludf.DUMMYFUNCTION("""COMPUTED_VALUE"""),10)</f>
        <v>10</v>
      </c>
      <c r="M1233" s="8" t="str">
        <f ca="1">IFERROR(__xludf.DUMMYFUNCTION("""COMPUTED_VALUE"""),"Regional")</f>
        <v>Regional</v>
      </c>
      <c r="N1233" s="8">
        <f ca="1">IFERROR(__xludf.DUMMYFUNCTION("""COMPUTED_VALUE"""),4)</f>
        <v>4</v>
      </c>
      <c r="O1233" s="8" t="str">
        <f ca="1">IFERROR(__xludf.DUMMYFUNCTION("""COMPUTED_VALUE"""),"Fall")</f>
        <v>Fall</v>
      </c>
      <c r="P1233" s="8" t="str">
        <f ca="1">IFERROR(__xludf.DUMMYFUNCTION("""COMPUTED_VALUE"""),"Chicago")</f>
        <v>Chicago</v>
      </c>
      <c r="Q1233" s="8" t="str">
        <f ca="1">IFERROR(__xludf.DUMMYFUNCTION("""COMPUTED_VALUE"""),"IL")</f>
        <v>IL</v>
      </c>
      <c r="R1233" s="8" t="str">
        <f ca="1">IFERROR(__xludf.DUMMYFUNCTION("""COMPUTED_VALUE"""),"High")</f>
        <v>High</v>
      </c>
      <c r="S1233" s="8" t="str">
        <f ca="1">IFERROR(__xludf.DUMMYFUNCTION("""COMPUTED_VALUE"""),"Entryway")</f>
        <v>Entryway</v>
      </c>
      <c r="T1233" s="8" t="str">
        <f ca="1">IFERROR(__xludf.DUMMYFUNCTION("""COMPUTED_VALUE"""),"Outside on School Property")</f>
        <v>Outside on School Property</v>
      </c>
      <c r="U1233" s="8" t="str">
        <f ca="1">IFERROR(__xludf.DUMMYFUNCTION("""COMPUTED_VALUE"""),"Yes")</f>
        <v>Yes</v>
      </c>
      <c r="V1233" s="8" t="str">
        <f ca="1">IFERROR(__xludf.DUMMYFUNCTION("""COMPUTED_VALUE"""),"Dismissal")</f>
        <v>Dismissal</v>
      </c>
      <c r="W1233" s="11">
        <f ca="1">IFERROR(__xludf.DUMMYFUNCTION("""COMPUTED_VALUE"""),0.604166666666666)</f>
        <v>0.60416666666666596</v>
      </c>
      <c r="X1233" s="8">
        <f ca="1">IFERROR(__xludf.DUMMYFUNCTION("""COMPUTED_VALUE"""),1)</f>
        <v>1</v>
      </c>
      <c r="Y1233" s="12" t="str">
        <f ca="1">IFERROR(__xludf.DUMMYFUNCTION("""COMPUTED_VALUE"""),"SRO and student shot multiple times when they exited school at dismissal")</f>
        <v>SRO and student shot multiple times when they exited school at dismissal</v>
      </c>
      <c r="Z1233" s="12" t="str">
        <f ca="1">IFERROR(__xludf.DUMMYFUNCTION("""COMPUTED_VALUE"""),"When the SRO opened the locked front door to the school at dismissal, a masked gunman fired 8 shots striking him 5 times and a 14-year-old student 3 times. The student was critically injured. Both were transported to the hospital. Shooter fled in a vehicl"&amp;"e. School was locked down and students were released individually to their parents. Motive unknown. No suspect identified.")</f>
        <v>When the SRO opened the locked front door to the school at dismissal, a masked gunman fired 8 shots striking him 5 times and a 14-year-old student 3 times. The student was critically injured. Both were transported to the hospital. Shooter fled in a vehicle. School was locked down and students were released individually to their parents. Motive unknown. No suspect identified.</v>
      </c>
      <c r="AA1233" s="8" t="str">
        <f ca="1">IFERROR(__xludf.DUMMYFUNCTION("""COMPUTED_VALUE"""),"Murder/Assassination")</f>
        <v>Murder/Assassination</v>
      </c>
      <c r="AB1233" s="8"/>
      <c r="AC1233" s="8" t="str">
        <f ca="1">IFERROR(__xludf.DUMMYFUNCTION("""COMPUTED_VALUE"""),"Yes")</f>
        <v>Yes</v>
      </c>
      <c r="AD1233" s="8" t="str">
        <f ca="1">IFERROR(__xludf.DUMMYFUNCTION("""COMPUTED_VALUE"""),"Both")</f>
        <v>Both</v>
      </c>
      <c r="AE1233" s="8" t="str">
        <f ca="1">IFERROR(__xludf.DUMMYFUNCTION("""COMPUTED_VALUE"""),"No")</f>
        <v>No</v>
      </c>
      <c r="AF1233" s="8"/>
      <c r="AG1233" s="8" t="str">
        <f ca="1">IFERROR(__xludf.DUMMYFUNCTION("""COMPUTED_VALUE"""),"No")</f>
        <v>No</v>
      </c>
      <c r="AH1233" s="8" t="str">
        <f ca="1">IFERROR(__xludf.DUMMYFUNCTION("""COMPUTED_VALUE"""),"No")</f>
        <v>No</v>
      </c>
      <c r="AI1233" s="8" t="str">
        <f ca="1">IFERROR(__xludf.DUMMYFUNCTION("""COMPUTED_VALUE"""),"No")</f>
        <v>No</v>
      </c>
      <c r="AJ1233" s="8" t="str">
        <f ca="1">IFERROR(__xludf.DUMMYFUNCTION("""COMPUTED_VALUE"""),"No")</f>
        <v>No</v>
      </c>
      <c r="AK1233" s="8" t="str">
        <f ca="1">IFERROR(__xludf.DUMMYFUNCTION("""COMPUTED_VALUE"""),"No")</f>
        <v>No</v>
      </c>
      <c r="AL1233" s="8"/>
      <c r="AM1233" s="8" t="str">
        <f ca="1">IFERROR(__xludf.DUMMYFUNCTION("""COMPUTED_VALUE"""),"No")</f>
        <v>No</v>
      </c>
      <c r="AN1233" s="8"/>
      <c r="AO1233" s="8" t="str">
        <f ca="1">IFERROR(__xludf.DUMMYFUNCTION("""COMPUTED_VALUE"""),"Yes")</f>
        <v>Yes</v>
      </c>
      <c r="AP1233" s="8"/>
      <c r="AQ1233" s="8" t="str">
        <f ca="1">IFERROR(__xludf.DUMMYFUNCTION("""COMPUTED_VALUE"""),"Guards")</f>
        <v>Guards</v>
      </c>
      <c r="AR1233" s="8" t="str">
        <f ca="1">IFERROR(__xludf.DUMMYFUNCTION("""COMPUTED_VALUE"""),"Outside/Off-Property")</f>
        <v>Outside/Off-Property</v>
      </c>
      <c r="AS1233" s="8">
        <f ca="1">IFERROR(__xludf.DUMMYFUNCTION("""COMPUTED_VALUE"""),8)</f>
        <v>8</v>
      </c>
      <c r="AT1233" s="8" t="str">
        <f ca="1">IFERROR(__xludf.DUMMYFUNCTION("""COMPUTED_VALUE"""),"Yes")</f>
        <v>Yes</v>
      </c>
      <c r="AU1233" s="8">
        <f ca="1">IFERROR(__xludf.DUMMYFUNCTION("""COMPUTED_VALUE"""),41.823848)</f>
        <v>41.823847999999998</v>
      </c>
      <c r="AV1233" s="8">
        <f ca="1">IFERROR(__xludf.DUMMYFUNCTION("""COMPUTED_VALUE"""),-87.61969)</f>
        <v>-87.619690000000006</v>
      </c>
      <c r="AW1233" s="8"/>
      <c r="AX1233" s="8">
        <f ca="1">IFERROR(__xludf.DUMMYFUNCTION("""COMPUTED_VALUE"""),60653)</f>
        <v>60653</v>
      </c>
    </row>
    <row r="1234" spans="1:50" ht="120" x14ac:dyDescent="0.2">
      <c r="A1234" s="8" t="str">
        <f ca="1">IFERROR(__xludf.DUMMYFUNCTION("""COMPUTED_VALUE"""),"20211012ARLIL")</f>
        <v>20211012ARLIL</v>
      </c>
      <c r="B1234" s="8">
        <f ca="1">IFERROR(__xludf.DUMMYFUNCTION("""COMPUTED_VALUE"""),10)</f>
        <v>10</v>
      </c>
      <c r="C1234" s="8">
        <f ca="1">IFERROR(__xludf.DUMMYFUNCTION("""COMPUTED_VALUE"""),12)</f>
        <v>12</v>
      </c>
      <c r="D1234" s="8">
        <f ca="1">IFERROR(__xludf.DUMMYFUNCTION("""COMPUTED_VALUE"""),2021)</f>
        <v>2021</v>
      </c>
      <c r="E1234" s="9">
        <f ca="1">IFERROR(__xludf.DUMMYFUNCTION("""COMPUTED_VALUE"""),44481)</f>
        <v>44481</v>
      </c>
      <c r="F1234" s="8" t="str">
        <f ca="1">IFERROR(__xludf.DUMMYFUNCTION("""COMPUTED_VALUE"""),"Little Rock Central High School")</f>
        <v>Little Rock Central High School</v>
      </c>
      <c r="G1234" s="8">
        <f ca="1">IFERROR(__xludf.DUMMYFUNCTION("""COMPUTED_VALUE"""),0)</f>
        <v>0</v>
      </c>
      <c r="H1234" s="8">
        <f ca="1">IFERROR(__xludf.DUMMYFUNCTION("""COMPUTED_VALUE"""),0)</f>
        <v>0</v>
      </c>
      <c r="I1234" s="8">
        <f ca="1">IFERROR(__xludf.DUMMYFUNCTION("""COMPUTED_VALUE"""),0)</f>
        <v>0</v>
      </c>
      <c r="J1234" s="8">
        <f ca="1">IFERROR(__xludf.DUMMYFUNCTION("""COMPUTED_VALUE"""),0)</f>
        <v>0</v>
      </c>
      <c r="K1234" s="8" t="str">
        <f ca="1">IFERROR(__xludf.DUMMYFUNCTION("""COMPUTED_VALUE"""),"https://www.arkansasonline.com/news/2021/oct/12/little-rock-central-high-put-temporary-lockdown-af/ https://www.thv11.com/article/news/crime/little-rock-central-lockdown-shooting-near-campus/91-21226e32-cf70-444e-b8fe-04fd6f90b7cf https://www.kark.com/new"&amp;"s/local-news/little-rock-central-high-school-on-precautionary-lockdown/ https://www.google.com/search?rlz=1C1VDKB_enUS974US974&amp;sxsrf=AOaemvKsqOdyIrD9kgUyd_VjB8L7qZHTwA:1634169801253&amp;q=little+rock+central+high+school&amp;tbm=nws&amp;source=univ&amp;tbo=u&amp;sa=X&amp;sqi=2&amp;ve"&amp;"d=2ahUKEwifhYb0zMjzAhWzSfEDHQQeDxUQt8YBegQICBAG&amp;biw=1077&amp;bih=736&amp;dpr=1")</f>
        <v>https://www.arkansasonline.com/news/2021/oct/12/little-rock-central-high-put-temporary-lockdown-af/ https://www.thv11.com/article/news/crime/little-rock-central-lockdown-shooting-near-campus/91-21226e32-cf70-444e-b8fe-04fd6f90b7cf https://www.kark.com/news/local-news/little-rock-central-high-school-on-precautionary-lockdown/ https://www.google.com/search?rlz=1C1VDKB_enUS974US974&amp;sxsrf=AOaemvKsqOdyIrD9kgUyd_VjB8L7qZHTwA:1634169801253&amp;q=little+rock+central+high+school&amp;tbm=nws&amp;source=univ&amp;tbo=u&amp;sa=X&amp;sqi=2&amp;ved=2ahUKEwifhYb0zMjzAhWzSfEDHQQeDxUQt8YBegQICBAG&amp;biw=1077&amp;bih=736&amp;dpr=1</v>
      </c>
      <c r="L1234" s="8">
        <f ca="1">IFERROR(__xludf.DUMMYFUNCTION("""COMPUTED_VALUE"""),5)</f>
        <v>5</v>
      </c>
      <c r="M1234" s="8" t="str">
        <f ca="1">IFERROR(__xludf.DUMMYFUNCTION("""COMPUTED_VALUE"""),"Local")</f>
        <v>Local</v>
      </c>
      <c r="N1234" s="8">
        <f ca="1">IFERROR(__xludf.DUMMYFUNCTION("""COMPUTED_VALUE"""),4)</f>
        <v>4</v>
      </c>
      <c r="O1234" s="8" t="str">
        <f ca="1">IFERROR(__xludf.DUMMYFUNCTION("""COMPUTED_VALUE"""),"Fall")</f>
        <v>Fall</v>
      </c>
      <c r="P1234" s="8" t="str">
        <f ca="1">IFERROR(__xludf.DUMMYFUNCTION("""COMPUTED_VALUE"""),"Little Rock")</f>
        <v>Little Rock</v>
      </c>
      <c r="Q1234" s="8" t="str">
        <f ca="1">IFERROR(__xludf.DUMMYFUNCTION("""COMPUTED_VALUE"""),"AR")</f>
        <v>AR</v>
      </c>
      <c r="R1234" s="8" t="str">
        <f ca="1">IFERROR(__xludf.DUMMYFUNCTION("""COMPUTED_VALUE"""),"High")</f>
        <v>High</v>
      </c>
      <c r="S1234" s="8" t="str">
        <f ca="1">IFERROR(__xludf.DUMMYFUNCTION("""COMPUTED_VALUE"""),"Front of School")</f>
        <v>Front of School</v>
      </c>
      <c r="T1234" s="8" t="str">
        <f ca="1">IFERROR(__xludf.DUMMYFUNCTION("""COMPUTED_VALUE"""),"Outside on School Property")</f>
        <v>Outside on School Property</v>
      </c>
      <c r="U1234" s="8" t="str">
        <f ca="1">IFERROR(__xludf.DUMMYFUNCTION("""COMPUTED_VALUE"""),"Yes")</f>
        <v>Yes</v>
      </c>
      <c r="V1234" s="8" t="str">
        <f ca="1">IFERROR(__xludf.DUMMYFUNCTION("""COMPUTED_VALUE"""),"Morning Classes")</f>
        <v>Morning Classes</v>
      </c>
      <c r="W1234" s="11">
        <f ca="1">IFERROR(__xludf.DUMMYFUNCTION("""COMPUTED_VALUE"""),0.493055555555555)</f>
        <v>0.49305555555555503</v>
      </c>
      <c r="X1234" s="8">
        <f ca="1">IFERROR(__xludf.DUMMYFUNCTION("""COMPUTED_VALUE"""),1)</f>
        <v>1</v>
      </c>
      <c r="Y1234" s="12" t="str">
        <f ca="1">IFERROR(__xludf.DUMMYFUNCTION("""COMPUTED_VALUE"""),"Multiple bullets struck school and broke an occupied classroom window")</f>
        <v>Multiple bullets struck school and broke an occupied classroom window</v>
      </c>
      <c r="Z1234" s="12" t="str">
        <f ca="1">IFERROR(__xludf.DUMMYFUNCTION("""COMPUTED_VALUE"""),"The school building was struck by multiple gunshots fired from one block down the street. One bullet broke the window of an occupied classroom. Students and staff heard multiple shots and believed there was an active shooter. School was locked down and di"&amp;"smissed. School switched to virtual classes the following day. Police said the shooting did not target the school. Shots were fired from a vehicle that fled the area. No injuries to students or staff.")</f>
        <v>The school building was struck by multiple gunshots fired from one block down the street. One bullet broke the window of an occupied classroom. Students and staff heard multiple shots and believed there was an active shooter. School was locked down and dismissed. School switched to virtual classes the following day. Police said the shooting did not target the school. Shots were fired from a vehicle that fled the area. No injuries to students or staff.</v>
      </c>
      <c r="AA1234" s="8" t="str">
        <f ca="1">IFERROR(__xludf.DUMMYFUNCTION("""COMPUTED_VALUE"""),"Drive-by Shooting")</f>
        <v>Drive-by Shooting</v>
      </c>
      <c r="AB1234" s="8"/>
      <c r="AC1234" s="8" t="str">
        <f ca="1">IFERROR(__xludf.DUMMYFUNCTION("""COMPUTED_VALUE"""),"Yes")</f>
        <v>Yes</v>
      </c>
      <c r="AD1234" s="8" t="str">
        <f ca="1">IFERROR(__xludf.DUMMYFUNCTION("""COMPUTED_VALUE"""),"Random Shooting")</f>
        <v>Random Shooting</v>
      </c>
      <c r="AE1234" s="8"/>
      <c r="AF1234" s="8"/>
      <c r="AG1234" s="8" t="str">
        <f ca="1">IFERROR(__xludf.DUMMYFUNCTION("""COMPUTED_VALUE"""),"No")</f>
        <v>No</v>
      </c>
      <c r="AH1234" s="8" t="str">
        <f ca="1">IFERROR(__xludf.DUMMYFUNCTION("""COMPUTED_VALUE"""),"No")</f>
        <v>No</v>
      </c>
      <c r="AI1234" s="8" t="str">
        <f ca="1">IFERROR(__xludf.DUMMYFUNCTION("""COMPUTED_VALUE"""),"No")</f>
        <v>No</v>
      </c>
      <c r="AJ1234" s="8" t="str">
        <f ca="1">IFERROR(__xludf.DUMMYFUNCTION("""COMPUTED_VALUE"""),"No")</f>
        <v>No</v>
      </c>
      <c r="AK1234" s="8" t="str">
        <f ca="1">IFERROR(__xludf.DUMMYFUNCTION("""COMPUTED_VALUE"""),"No")</f>
        <v>No</v>
      </c>
      <c r="AL1234" s="8"/>
      <c r="AM1234" s="8" t="str">
        <f ca="1">IFERROR(__xludf.DUMMYFUNCTION("""COMPUTED_VALUE"""),"No")</f>
        <v>No</v>
      </c>
      <c r="AN1234" s="8"/>
      <c r="AO1234" s="8" t="str">
        <f ca="1">IFERROR(__xludf.DUMMYFUNCTION("""COMPUTED_VALUE"""),"No")</f>
        <v>No</v>
      </c>
      <c r="AP1234" s="8"/>
      <c r="AQ1234" s="8"/>
      <c r="AR1234" s="8" t="str">
        <f ca="1">IFERROR(__xludf.DUMMYFUNCTION("""COMPUTED_VALUE"""),"Outside/Off-Property")</f>
        <v>Outside/Off-Property</v>
      </c>
      <c r="AS1234" s="8"/>
      <c r="AT1234" s="8" t="str">
        <f ca="1">IFERROR(__xludf.DUMMYFUNCTION("""COMPUTED_VALUE"""),"Yes")</f>
        <v>Yes</v>
      </c>
      <c r="AU1234" s="8">
        <f ca="1">IFERROR(__xludf.DUMMYFUNCTION("""COMPUTED_VALUE"""),34.735892)</f>
        <v>34.735892</v>
      </c>
      <c r="AV1234" s="8">
        <f ca="1">IFERROR(__xludf.DUMMYFUNCTION("""COMPUTED_VALUE"""),-92.297949)</f>
        <v>-92.297949000000003</v>
      </c>
      <c r="AW1234" s="8"/>
      <c r="AX1234" s="8">
        <f ca="1">IFERROR(__xludf.DUMMYFUNCTION("""COMPUTED_VALUE"""),72202)</f>
        <v>72202</v>
      </c>
    </row>
    <row r="1235" spans="1:50" ht="60" x14ac:dyDescent="0.2">
      <c r="A1235" s="8" t="str">
        <f ca="1">IFERROR(__xludf.DUMMYFUNCTION("""COMPUTED_VALUE"""),"20211011ORROP")</f>
        <v>20211011ORROP</v>
      </c>
      <c r="B1235" s="8">
        <f ca="1">IFERROR(__xludf.DUMMYFUNCTION("""COMPUTED_VALUE"""),10)</f>
        <v>10</v>
      </c>
      <c r="C1235" s="8">
        <f ca="1">IFERROR(__xludf.DUMMYFUNCTION("""COMPUTED_VALUE"""),11)</f>
        <v>11</v>
      </c>
      <c r="D1235" s="8">
        <f ca="1">IFERROR(__xludf.DUMMYFUNCTION("""COMPUTED_VALUE"""),2021)</f>
        <v>2021</v>
      </c>
      <c r="E1235" s="9">
        <f ca="1">IFERROR(__xludf.DUMMYFUNCTION("""COMPUTED_VALUE"""),44480)</f>
        <v>44480</v>
      </c>
      <c r="F1235" s="8" t="str">
        <f ca="1">IFERROR(__xludf.DUMMYFUNCTION("""COMPUTED_VALUE"""),"Rosemary Anderson High School")</f>
        <v>Rosemary Anderson High School</v>
      </c>
      <c r="G1235" s="8">
        <f ca="1">IFERROR(__xludf.DUMMYFUNCTION("""COMPUTED_VALUE"""),0)</f>
        <v>0</v>
      </c>
      <c r="H1235" s="8">
        <f ca="1">IFERROR(__xludf.DUMMYFUNCTION("""COMPUTED_VALUE"""),1)</f>
        <v>1</v>
      </c>
      <c r="I1235" s="8">
        <f ca="1">IFERROR(__xludf.DUMMYFUNCTION("""COMPUTED_VALUE"""),1)</f>
        <v>1</v>
      </c>
      <c r="J1235" s="8">
        <f ca="1">IFERROR(__xludf.DUMMYFUNCTION("""COMPUTED_VALUE"""),0)</f>
        <v>0</v>
      </c>
      <c r="K1235" s="8" t="str">
        <f ca="1">IFERROR(__xludf.DUMMYFUNCTION("""COMPUTED_VALUE"""),"https://www.koin.com/news/crime/student-shot-near-school-in-gresham-police-investigating/ https://www.koin.com/news/crime/student-shot-near-school-in-gresham-police-investigating/")</f>
        <v>https://www.koin.com/news/crime/student-shot-near-school-in-gresham-police-investigating/ https://www.koin.com/news/crime/student-shot-near-school-in-gresham-police-investigating/</v>
      </c>
      <c r="L1235" s="8">
        <f ca="1">IFERROR(__xludf.DUMMYFUNCTION("""COMPUTED_VALUE"""),2)</f>
        <v>2</v>
      </c>
      <c r="M1235" s="8" t="str">
        <f ca="1">IFERROR(__xludf.DUMMYFUNCTION("""COMPUTED_VALUE"""),"Local")</f>
        <v>Local</v>
      </c>
      <c r="N1235" s="8">
        <f ca="1">IFERROR(__xludf.DUMMYFUNCTION("""COMPUTED_VALUE"""),3)</f>
        <v>3</v>
      </c>
      <c r="O1235" s="8" t="str">
        <f ca="1">IFERROR(__xludf.DUMMYFUNCTION("""COMPUTED_VALUE"""),"Fall")</f>
        <v>Fall</v>
      </c>
      <c r="P1235" s="8" t="str">
        <f ca="1">IFERROR(__xludf.DUMMYFUNCTION("""COMPUTED_VALUE"""),"Portland")</f>
        <v>Portland</v>
      </c>
      <c r="Q1235" s="8" t="str">
        <f ca="1">IFERROR(__xludf.DUMMYFUNCTION("""COMPUTED_VALUE"""),"OR")</f>
        <v>OR</v>
      </c>
      <c r="R1235" s="8" t="str">
        <f ca="1">IFERROR(__xludf.DUMMYFUNCTION("""COMPUTED_VALUE"""),"High")</f>
        <v>High</v>
      </c>
      <c r="S1235" s="8" t="str">
        <f ca="1">IFERROR(__xludf.DUMMYFUNCTION("""COMPUTED_VALUE"""),"Off School Property")</f>
        <v>Off School Property</v>
      </c>
      <c r="T1235" s="8" t="str">
        <f ca="1">IFERROR(__xludf.DUMMYFUNCTION("""COMPUTED_VALUE"""),"Off School Property")</f>
        <v>Off School Property</v>
      </c>
      <c r="U1235" s="8" t="str">
        <f ca="1">IFERROR(__xludf.DUMMYFUNCTION("""COMPUTED_VALUE"""),"Yes")</f>
        <v>Yes</v>
      </c>
      <c r="V1235" s="8" t="str">
        <f ca="1">IFERROR(__xludf.DUMMYFUNCTION("""COMPUTED_VALUE"""),"Morning Classes")</f>
        <v>Morning Classes</v>
      </c>
      <c r="W1235" s="11">
        <f ca="1">IFERROR(__xludf.DUMMYFUNCTION("""COMPUTED_VALUE"""),0.375)</f>
        <v>0.375</v>
      </c>
      <c r="X1235" s="8">
        <f ca="1">IFERROR(__xludf.DUMMYFUNCTION("""COMPUTED_VALUE"""),1)</f>
        <v>1</v>
      </c>
      <c r="Y1235" s="12" t="str">
        <f ca="1">IFERROR(__xludf.DUMMYFUNCTION("""COMPUTED_VALUE"""),"Teen student was shot at shopping center, to school for assistance")</f>
        <v>Teen student was shot at shopping center, to school for assistance</v>
      </c>
      <c r="Z1235" s="12" t="str">
        <f ca="1">IFERROR(__xludf.DUMMYFUNCTION("""COMPUTED_VALUE"""),"A teen student was shot at the shopping center across from the school. Ran to the school for assistance. School staff called 911 and student was transported to the hospital.")</f>
        <v>A teen student was shot at the shopping center across from the school. Ran to the school for assistance. School staff called 911 and student was transported to the hospital.</v>
      </c>
      <c r="AA1235" s="8"/>
      <c r="AB1235" s="8"/>
      <c r="AC1235" s="8" t="str">
        <f ca="1">IFERROR(__xludf.DUMMYFUNCTION("""COMPUTED_VALUE"""),"Yes")</f>
        <v>Yes</v>
      </c>
      <c r="AD1235" s="8"/>
      <c r="AE1235" s="8" t="str">
        <f ca="1">IFERROR(__xludf.DUMMYFUNCTION("""COMPUTED_VALUE"""),"No")</f>
        <v>No</v>
      </c>
      <c r="AF1235" s="8"/>
      <c r="AG1235" s="8" t="str">
        <f ca="1">IFERROR(__xludf.DUMMYFUNCTION("""COMPUTED_VALUE"""),"No")</f>
        <v>No</v>
      </c>
      <c r="AH1235" s="8" t="str">
        <f ca="1">IFERROR(__xludf.DUMMYFUNCTION("""COMPUTED_VALUE"""),"No")</f>
        <v>No</v>
      </c>
      <c r="AI1235" s="8" t="str">
        <f ca="1">IFERROR(__xludf.DUMMYFUNCTION("""COMPUTED_VALUE"""),"No")</f>
        <v>No</v>
      </c>
      <c r="AJ1235" s="8" t="str">
        <f ca="1">IFERROR(__xludf.DUMMYFUNCTION("""COMPUTED_VALUE"""),"No")</f>
        <v>No</v>
      </c>
      <c r="AK1235" s="8" t="str">
        <f ca="1">IFERROR(__xludf.DUMMYFUNCTION("""COMPUTED_VALUE"""),"No")</f>
        <v>No</v>
      </c>
      <c r="AL1235" s="8"/>
      <c r="AM1235" s="8" t="str">
        <f ca="1">IFERROR(__xludf.DUMMYFUNCTION("""COMPUTED_VALUE"""),"No")</f>
        <v>No</v>
      </c>
      <c r="AN1235" s="8"/>
      <c r="AO1235" s="8" t="str">
        <f ca="1">IFERROR(__xludf.DUMMYFUNCTION("""COMPUTED_VALUE"""),"No")</f>
        <v>No</v>
      </c>
      <c r="AP1235" s="8"/>
      <c r="AQ1235" s="8"/>
      <c r="AR1235" s="8" t="str">
        <f ca="1">IFERROR(__xludf.DUMMYFUNCTION("""COMPUTED_VALUE"""),"Outside/Off-Property")</f>
        <v>Outside/Off-Property</v>
      </c>
      <c r="AS1235" s="8"/>
      <c r="AT1235" s="8"/>
      <c r="AU1235" s="8">
        <f ca="1">IFERROR(__xludf.DUMMYFUNCTION("""COMPUTED_VALUE"""),45.505248)</f>
        <v>45.505248000000002</v>
      </c>
      <c r="AV1235" s="8">
        <f ca="1">IFERROR(__xludf.DUMMYFUNCTION("""COMPUTED_VALUE"""),-122.567968)</f>
        <v>-122.56796799999999</v>
      </c>
      <c r="AW1235" s="8"/>
      <c r="AX1235" s="8">
        <f ca="1">IFERROR(__xludf.DUMMYFUNCTION("""COMPUTED_VALUE"""),97266)</f>
        <v>97266</v>
      </c>
    </row>
    <row r="1236" spans="1:50" ht="75" x14ac:dyDescent="0.2">
      <c r="A1236" s="8" t="str">
        <f ca="1">IFERROR(__xludf.DUMMYFUNCTION("""COMPUTED_VALUE"""),"20211008OKCOC")</f>
        <v>20211008OKCOC</v>
      </c>
      <c r="B1236" s="8">
        <f ca="1">IFERROR(__xludf.DUMMYFUNCTION("""COMPUTED_VALUE"""),10)</f>
        <v>10</v>
      </c>
      <c r="C1236" s="8">
        <f ca="1">IFERROR(__xludf.DUMMYFUNCTION("""COMPUTED_VALUE"""),8)</f>
        <v>8</v>
      </c>
      <c r="D1236" s="8">
        <f ca="1">IFERROR(__xludf.DUMMYFUNCTION("""COMPUTED_VALUE"""),2021)</f>
        <v>2021</v>
      </c>
      <c r="E1236" s="9">
        <f ca="1">IFERROR(__xludf.DUMMYFUNCTION("""COMPUTED_VALUE"""),44477)</f>
        <v>44477</v>
      </c>
      <c r="F1236" s="8" t="str">
        <f ca="1">IFERROR(__xludf.DUMMYFUNCTION("""COMPUTED_VALUE"""),"Comanche Middle School")</f>
        <v>Comanche Middle School</v>
      </c>
      <c r="G1236" s="8">
        <f ca="1">IFERROR(__xludf.DUMMYFUNCTION("""COMPUTED_VALUE"""),0)</f>
        <v>0</v>
      </c>
      <c r="H1236" s="8">
        <f ca="1">IFERROR(__xludf.DUMMYFUNCTION("""COMPUTED_VALUE"""),0)</f>
        <v>0</v>
      </c>
      <c r="I1236" s="8">
        <f ca="1">IFERROR(__xludf.DUMMYFUNCTION("""COMPUTED_VALUE"""),0)</f>
        <v>0</v>
      </c>
      <c r="J1236" s="8">
        <f ca="1">IFERROR(__xludf.DUMMYFUNCTION("""COMPUTED_VALUE"""),0)</f>
        <v>0</v>
      </c>
      <c r="K1236" s="8" t="str">
        <f ca="1">IFERROR(__xludf.DUMMYFUNCTION("""COMPUTED_VALUE"""),"https://www.kswo.com/2021/10/09/student-apprehended-after-shooting-incident-comanche/ https://www.duncanbanner.com/community/cps-superintendent-suspect-who-allegedly-shot-out-door-to-middle-school-in-custody/article_c8be2eb8-288f-11ec-aa6d-1f966631e60d.ht"&amp;"ml")</f>
        <v>https://www.kswo.com/2021/10/09/student-apprehended-after-shooting-incident-comanche/ https://www.duncanbanner.com/community/cps-superintendent-suspect-who-allegedly-shot-out-door-to-middle-school-in-custody/article_c8be2eb8-288f-11ec-aa6d-1f966631e60d.html</v>
      </c>
      <c r="L1236" s="8">
        <f ca="1">IFERROR(__xludf.DUMMYFUNCTION("""COMPUTED_VALUE"""),2)</f>
        <v>2</v>
      </c>
      <c r="M1236" s="8" t="str">
        <f ca="1">IFERROR(__xludf.DUMMYFUNCTION("""COMPUTED_VALUE"""),"Local")</f>
        <v>Local</v>
      </c>
      <c r="N1236" s="8">
        <f ca="1">IFERROR(__xludf.DUMMYFUNCTION("""COMPUTED_VALUE"""),4)</f>
        <v>4</v>
      </c>
      <c r="O1236" s="8" t="str">
        <f ca="1">IFERROR(__xludf.DUMMYFUNCTION("""COMPUTED_VALUE"""),"Fall")</f>
        <v>Fall</v>
      </c>
      <c r="P1236" s="8" t="str">
        <f ca="1">IFERROR(__xludf.DUMMYFUNCTION("""COMPUTED_VALUE"""),"Comanche")</f>
        <v>Comanche</v>
      </c>
      <c r="Q1236" s="8" t="str">
        <f ca="1">IFERROR(__xludf.DUMMYFUNCTION("""COMPUTED_VALUE"""),"OK")</f>
        <v>OK</v>
      </c>
      <c r="R1236" s="8" t="str">
        <f ca="1">IFERROR(__xludf.DUMMYFUNCTION("""COMPUTED_VALUE"""),"Middle")</f>
        <v>Middle</v>
      </c>
      <c r="S1236" s="8" t="str">
        <f ca="1">IFERROR(__xludf.DUMMYFUNCTION("""COMPUTED_VALUE"""),"Cafeteria")</f>
        <v>Cafeteria</v>
      </c>
      <c r="T1236" s="8" t="str">
        <f ca="1">IFERROR(__xludf.DUMMYFUNCTION("""COMPUTED_VALUE"""),"Outside on School Property")</f>
        <v>Outside on School Property</v>
      </c>
      <c r="U1236" s="8" t="str">
        <f ca="1">IFERROR(__xludf.DUMMYFUNCTION("""COMPUTED_VALUE"""),"No")</f>
        <v>No</v>
      </c>
      <c r="V1236" s="8" t="str">
        <f ca="1">IFERROR(__xludf.DUMMYFUNCTION("""COMPUTED_VALUE"""),"After School")</f>
        <v>After School</v>
      </c>
      <c r="W1236" s="11">
        <f ca="1">IFERROR(__xludf.DUMMYFUNCTION("""COMPUTED_VALUE"""),0.6875)</f>
        <v>0.6875</v>
      </c>
      <c r="X1236" s="8">
        <f ca="1">IFERROR(__xludf.DUMMYFUNCTION("""COMPUTED_VALUE"""),1)</f>
        <v>1</v>
      </c>
      <c r="Y1236" s="12" t="str">
        <f ca="1">IFERROR(__xludf.DUMMYFUNCTION("""COMPUTED_VALUE"""),"Student shot out glass door to cafeteria, staff member was inside")</f>
        <v>Student shot out glass door to cafeteria, staff member was inside</v>
      </c>
      <c r="Z1236" s="12" t="str">
        <f ca="1">IFERROR(__xludf.DUMMYFUNCTION("""COMPUTED_VALUE"""),"A student fired shots breaking the glass door to the cafeteria. School had dismissed, staff were still inside. A staff member inside the cafeteria took cover when the shots were fired. The student was arrested outside of the school. Motive unknown.")</f>
        <v>A student fired shots breaking the glass door to the cafeteria. School had dismissed, staff were still inside. A staff member inside the cafeteria took cover when the shots were fired. The student was arrested outside of the school. Motive unknown.</v>
      </c>
      <c r="AA1236" s="8"/>
      <c r="AB1236" s="8"/>
      <c r="AC1236" s="8" t="str">
        <f ca="1">IFERROR(__xludf.DUMMYFUNCTION("""COMPUTED_VALUE"""),"Yes")</f>
        <v>Yes</v>
      </c>
      <c r="AD1236" s="8" t="str">
        <f ca="1">IFERROR(__xludf.DUMMYFUNCTION("""COMPUTED_VALUE"""),"Random Shooting")</f>
        <v>Random Shooting</v>
      </c>
      <c r="AE1236" s="8" t="str">
        <f ca="1">IFERROR(__xludf.DUMMYFUNCTION("""COMPUTED_VALUE"""),"No")</f>
        <v>No</v>
      </c>
      <c r="AF1236" s="8"/>
      <c r="AG1236" s="8" t="str">
        <f ca="1">IFERROR(__xludf.DUMMYFUNCTION("""COMPUTED_VALUE"""),"No")</f>
        <v>No</v>
      </c>
      <c r="AH1236" s="8" t="str">
        <f ca="1">IFERROR(__xludf.DUMMYFUNCTION("""COMPUTED_VALUE"""),"No")</f>
        <v>No</v>
      </c>
      <c r="AI1236" s="8" t="str">
        <f ca="1">IFERROR(__xludf.DUMMYFUNCTION("""COMPUTED_VALUE"""),"No")</f>
        <v>No</v>
      </c>
      <c r="AJ1236" s="8" t="str">
        <f ca="1">IFERROR(__xludf.DUMMYFUNCTION("""COMPUTED_VALUE"""),"No")</f>
        <v>No</v>
      </c>
      <c r="AK1236" s="8" t="str">
        <f ca="1">IFERROR(__xludf.DUMMYFUNCTION("""COMPUTED_VALUE"""),"No")</f>
        <v>No</v>
      </c>
      <c r="AL1236" s="8" t="str">
        <f ca="1">IFERROR(__xludf.DUMMYFUNCTION("""COMPUTED_VALUE"""),"No")</f>
        <v>No</v>
      </c>
      <c r="AM1236" s="8" t="str">
        <f ca="1">IFERROR(__xludf.DUMMYFUNCTION("""COMPUTED_VALUE"""),"No")</f>
        <v>No</v>
      </c>
      <c r="AN1236" s="8"/>
      <c r="AO1236" s="8"/>
      <c r="AP1236" s="8"/>
      <c r="AQ1236" s="8"/>
      <c r="AR1236" s="8" t="str">
        <f ca="1">IFERROR(__xludf.DUMMYFUNCTION("""COMPUTED_VALUE"""),"Outside/Off-Property")</f>
        <v>Outside/Off-Property</v>
      </c>
      <c r="AS1236" s="8"/>
      <c r="AT1236" s="8" t="str">
        <f ca="1">IFERROR(__xludf.DUMMYFUNCTION("""COMPUTED_VALUE"""),"No")</f>
        <v>No</v>
      </c>
      <c r="AU1236" s="8">
        <f ca="1">IFERROR(__xludf.DUMMYFUNCTION("""COMPUTED_VALUE"""),34.362505)</f>
        <v>34.362504999999999</v>
      </c>
      <c r="AV1236" s="8">
        <f ca="1">IFERROR(__xludf.DUMMYFUNCTION("""COMPUTED_VALUE"""),-97.975933)</f>
        <v>-97.975932999999998</v>
      </c>
      <c r="AW1236" s="8"/>
      <c r="AX1236" s="8">
        <f ca="1">IFERROR(__xludf.DUMMYFUNCTION("""COMPUTED_VALUE"""),73529)</f>
        <v>73529</v>
      </c>
    </row>
    <row r="1237" spans="1:50" ht="90" x14ac:dyDescent="0.2">
      <c r="A1237" s="8" t="str">
        <f ca="1">IFERROR(__xludf.DUMMYFUNCTION("""COMPUTED_VALUE"""),"20211007TXEAW")</f>
        <v>20211007TXEAW</v>
      </c>
      <c r="B1237" s="8">
        <f ca="1">IFERROR(__xludf.DUMMYFUNCTION("""COMPUTED_VALUE"""),10)</f>
        <v>10</v>
      </c>
      <c r="C1237" s="8">
        <f ca="1">IFERROR(__xludf.DUMMYFUNCTION("""COMPUTED_VALUE"""),7)</f>
        <v>7</v>
      </c>
      <c r="D1237" s="8">
        <f ca="1">IFERROR(__xludf.DUMMYFUNCTION("""COMPUTED_VALUE"""),2021)</f>
        <v>2021</v>
      </c>
      <c r="E1237" s="9">
        <f ca="1">IFERROR(__xludf.DUMMYFUNCTION("""COMPUTED_VALUE"""),44476)</f>
        <v>44476</v>
      </c>
      <c r="F1237" s="8" t="str">
        <f ca="1">IFERROR(__xludf.DUMMYFUNCTION("""COMPUTED_VALUE"""),"East Chambers High School")</f>
        <v>East Chambers High School</v>
      </c>
      <c r="G1237" s="8">
        <f ca="1">IFERROR(__xludf.DUMMYFUNCTION("""COMPUTED_VALUE"""),0)</f>
        <v>0</v>
      </c>
      <c r="H1237" s="8">
        <f ca="1">IFERROR(__xludf.DUMMYFUNCTION("""COMPUTED_VALUE"""),1)</f>
        <v>1</v>
      </c>
      <c r="I1237" s="8">
        <f ca="1">IFERROR(__xludf.DUMMYFUNCTION("""COMPUTED_VALUE"""),1)</f>
        <v>1</v>
      </c>
      <c r="J1237" s="8">
        <f ca="1">IFERROR(__xludf.DUMMYFUNCTION("""COMPUTED_VALUE"""),0)</f>
        <v>0</v>
      </c>
      <c r="K1237" s="8" t="str">
        <f ca="1">IFERROR(__xludf.DUMMYFUNCTION("""COMPUTED_VALUE"""),"https://abc13.com/chambers-county-stray-bullet-accidental-shooting-teen-shot-girl/11099709/ https://www.12newsnow.com/article/news/crime/girl-shot-in-leg-by-22-during-football-game-east-chambers-high-school/502-7ed703bb-232b-47f0-b76b-9bb0baece783")</f>
        <v>https://abc13.com/chambers-county-stray-bullet-accidental-shooting-teen-shot-girl/11099709/ https://www.12newsnow.com/article/news/crime/girl-shot-in-leg-by-22-during-football-game-east-chambers-high-school/502-7ed703bb-232b-47f0-b76b-9bb0baece783</v>
      </c>
      <c r="L1237" s="8">
        <f ca="1">IFERROR(__xludf.DUMMYFUNCTION("""COMPUTED_VALUE"""),2)</f>
        <v>2</v>
      </c>
      <c r="M1237" s="8" t="str">
        <f ca="1">IFERROR(__xludf.DUMMYFUNCTION("""COMPUTED_VALUE"""),"Local")</f>
        <v>Local</v>
      </c>
      <c r="N1237" s="8">
        <f ca="1">IFERROR(__xludf.DUMMYFUNCTION("""COMPUTED_VALUE"""),4)</f>
        <v>4</v>
      </c>
      <c r="O1237" s="8" t="str">
        <f ca="1">IFERROR(__xludf.DUMMYFUNCTION("""COMPUTED_VALUE"""),"Fall")</f>
        <v>Fall</v>
      </c>
      <c r="P1237" s="8" t="str">
        <f ca="1">IFERROR(__xludf.DUMMYFUNCTION("""COMPUTED_VALUE"""),"Winnie")</f>
        <v>Winnie</v>
      </c>
      <c r="Q1237" s="8" t="str">
        <f ca="1">IFERROR(__xludf.DUMMYFUNCTION("""COMPUTED_VALUE"""),"TX")</f>
        <v>TX</v>
      </c>
      <c r="R1237" s="8" t="str">
        <f ca="1">IFERROR(__xludf.DUMMYFUNCTION("""COMPUTED_VALUE"""),"High")</f>
        <v>High</v>
      </c>
      <c r="S1237" s="8" t="str">
        <f ca="1">IFERROR(__xludf.DUMMYFUNCTION("""COMPUTED_VALUE"""),"Football Field/Track")</f>
        <v>Football Field/Track</v>
      </c>
      <c r="T1237" s="8" t="str">
        <f ca="1">IFERROR(__xludf.DUMMYFUNCTION("""COMPUTED_VALUE"""),"Outside on School Property")</f>
        <v>Outside on School Property</v>
      </c>
      <c r="U1237" s="8" t="str">
        <f ca="1">IFERROR(__xludf.DUMMYFUNCTION("""COMPUTED_VALUE"""),"No")</f>
        <v>No</v>
      </c>
      <c r="V1237" s="8" t="str">
        <f ca="1">IFERROR(__xludf.DUMMYFUNCTION("""COMPUTED_VALUE"""),"Sport Event")</f>
        <v>Sport Event</v>
      </c>
      <c r="W1237" s="11">
        <f ca="1">IFERROR(__xludf.DUMMYFUNCTION("""COMPUTED_VALUE"""),0.833333333333333)</f>
        <v>0.83333333333333304</v>
      </c>
      <c r="X1237" s="8">
        <f ca="1">IFERROR(__xludf.DUMMYFUNCTION("""COMPUTED_VALUE"""),1)</f>
        <v>1</v>
      </c>
      <c r="Y1237" s="12" t="str">
        <f ca="1">IFERROR(__xludf.DUMMYFUNCTION("""COMPUTED_VALUE"""),"Teen girl hit by stray bullet")</f>
        <v>Teen girl hit by stray bullet</v>
      </c>
      <c r="Z1237" s="12" t="str">
        <f ca="1">IFERROR(__xludf.DUMMYFUNCTION("""COMPUTED_VALUE"""),"A female teen student was sitting in the stands at a football game when she was struck in the leg by a bullet. She did not realize it was a gun shot and no one hear the sound of a gun fire. She was taken to the hospital where they realized the nature of t"&amp;"he injury. Police said the bullet was likely fired into the air away from the stadium.")</f>
        <v>A female teen student was sitting in the stands at a football game when she was struck in the leg by a bullet. She did not realize it was a gun shot and no one hear the sound of a gun fire. She was taken to the hospital where they realized the nature of the injury. Police said the bullet was likely fired into the air away from the stadium.</v>
      </c>
      <c r="AA1237" s="8" t="str">
        <f ca="1">IFERROR(__xludf.DUMMYFUNCTION("""COMPUTED_VALUE"""),"Accidental")</f>
        <v>Accidental</v>
      </c>
      <c r="AB1237" s="8"/>
      <c r="AC1237" s="8" t="str">
        <f ca="1">IFERROR(__xludf.DUMMYFUNCTION("""COMPUTED_VALUE"""),"Yes")</f>
        <v>Yes</v>
      </c>
      <c r="AD1237" s="8" t="str">
        <f ca="1">IFERROR(__xludf.DUMMYFUNCTION("""COMPUTED_VALUE"""),"Random Shooting")</f>
        <v>Random Shooting</v>
      </c>
      <c r="AE1237" s="8" t="str">
        <f ca="1">IFERROR(__xludf.DUMMYFUNCTION("""COMPUTED_VALUE"""),"No")</f>
        <v>No</v>
      </c>
      <c r="AF1237" s="8"/>
      <c r="AG1237" s="8" t="str">
        <f ca="1">IFERROR(__xludf.DUMMYFUNCTION("""COMPUTED_VALUE"""),"No")</f>
        <v>No</v>
      </c>
      <c r="AH1237" s="8" t="str">
        <f ca="1">IFERROR(__xludf.DUMMYFUNCTION("""COMPUTED_VALUE"""),"No")</f>
        <v>No</v>
      </c>
      <c r="AI1237" s="8" t="str">
        <f ca="1">IFERROR(__xludf.DUMMYFUNCTION("""COMPUTED_VALUE"""),"No")</f>
        <v>No</v>
      </c>
      <c r="AJ1237" s="8" t="str">
        <f ca="1">IFERROR(__xludf.DUMMYFUNCTION("""COMPUTED_VALUE"""),"No")</f>
        <v>No</v>
      </c>
      <c r="AK1237" s="8" t="str">
        <f ca="1">IFERROR(__xludf.DUMMYFUNCTION("""COMPUTED_VALUE"""),"No")</f>
        <v>No</v>
      </c>
      <c r="AL1237" s="8" t="str">
        <f ca="1">IFERROR(__xludf.DUMMYFUNCTION("""COMPUTED_VALUE"""),"No")</f>
        <v>No</v>
      </c>
      <c r="AM1237" s="8" t="str">
        <f ca="1">IFERROR(__xludf.DUMMYFUNCTION("""COMPUTED_VALUE"""),"No")</f>
        <v>No</v>
      </c>
      <c r="AN1237" s="8"/>
      <c r="AO1237" s="8" t="str">
        <f ca="1">IFERROR(__xludf.DUMMYFUNCTION("""COMPUTED_VALUE"""),"No")</f>
        <v>No</v>
      </c>
      <c r="AP1237" s="8"/>
      <c r="AQ1237" s="8"/>
      <c r="AR1237" s="8" t="str">
        <f ca="1">IFERROR(__xludf.DUMMYFUNCTION("""COMPUTED_VALUE"""),"Outside/Off-Property")</f>
        <v>Outside/Off-Property</v>
      </c>
      <c r="AS1237" s="8"/>
      <c r="AT1237" s="8"/>
      <c r="AU1237" s="8">
        <f ca="1">IFERROR(__xludf.DUMMYFUNCTION("""COMPUTED_VALUE"""),29.804045)</f>
        <v>29.804044999999999</v>
      </c>
      <c r="AV1237" s="8">
        <f ca="1">IFERROR(__xludf.DUMMYFUNCTION("""COMPUTED_VALUE"""),-94.380757)</f>
        <v>-94.380757000000003</v>
      </c>
      <c r="AW1237" s="8"/>
      <c r="AX1237" s="8">
        <f ca="1">IFERROR(__xludf.DUMMYFUNCTION("""COMPUTED_VALUE"""),77661)</f>
        <v>77661</v>
      </c>
    </row>
    <row r="1238" spans="1:50" ht="60" x14ac:dyDescent="0.2">
      <c r="A1238" s="8" t="str">
        <f ca="1">IFERROR(__xludf.DUMMYFUNCTION("""COMPUTED_VALUE"""),"20211007PAANP")</f>
        <v>20211007PAANP</v>
      </c>
      <c r="B1238" s="8">
        <f ca="1">IFERROR(__xludf.DUMMYFUNCTION("""COMPUTED_VALUE"""),10)</f>
        <v>10</v>
      </c>
      <c r="C1238" s="8">
        <f ca="1">IFERROR(__xludf.DUMMYFUNCTION("""COMPUTED_VALUE"""),7)</f>
        <v>7</v>
      </c>
      <c r="D1238" s="8">
        <f ca="1">IFERROR(__xludf.DUMMYFUNCTION("""COMPUTED_VALUE"""),2021)</f>
        <v>2021</v>
      </c>
      <c r="E1238" s="9">
        <f ca="1">IFERROR(__xludf.DUMMYFUNCTION("""COMPUTED_VALUE"""),44476)</f>
        <v>44476</v>
      </c>
      <c r="F1238" s="8" t="str">
        <f ca="1">IFERROR(__xludf.DUMMYFUNCTION("""COMPUTED_VALUE"""),"Antonia Pantoja Charter School")</f>
        <v>Antonia Pantoja Charter School</v>
      </c>
      <c r="G1238" s="8">
        <f ca="1">IFERROR(__xludf.DUMMYFUNCTION("""COMPUTED_VALUE"""),0)</f>
        <v>0</v>
      </c>
      <c r="H1238" s="8">
        <f ca="1">IFERROR(__xludf.DUMMYFUNCTION("""COMPUTED_VALUE"""),0)</f>
        <v>0</v>
      </c>
      <c r="I1238" s="8">
        <f ca="1">IFERROR(__xludf.DUMMYFUNCTION("""COMPUTED_VALUE"""),0)</f>
        <v>0</v>
      </c>
      <c r="J1238" s="8">
        <f ca="1">IFERROR(__xludf.DUMMYFUNCTION("""COMPUTED_VALUE"""),0)</f>
        <v>0</v>
      </c>
      <c r="K1238" s="8" t="str">
        <f ca="1">IFERROR(__xludf.DUMMYFUNCTION("""COMPUTED_VALUE"""),"https://6abc.com/philadelphia-shooting-antonia-pantoja-charter-school-shot-north-american-street/11095552/ https://philadelphia.cbslocal.com/video/6076428-antonia-pantoja-charter-staff-finds-bullet-holes-fragments-in-cafeteria/")</f>
        <v>https://6abc.com/philadelphia-shooting-antonia-pantoja-charter-school-shot-north-american-street/11095552/ https://philadelphia.cbslocal.com/video/6076428-antonia-pantoja-charter-staff-finds-bullet-holes-fragments-in-cafeteria/</v>
      </c>
      <c r="L1238" s="8">
        <f ca="1">IFERROR(__xludf.DUMMYFUNCTION("""COMPUTED_VALUE"""),4)</f>
        <v>4</v>
      </c>
      <c r="M1238" s="8" t="str">
        <f ca="1">IFERROR(__xludf.DUMMYFUNCTION("""COMPUTED_VALUE"""),"Local")</f>
        <v>Local</v>
      </c>
      <c r="N1238" s="8">
        <f ca="1">IFERROR(__xludf.DUMMYFUNCTION("""COMPUTED_VALUE"""),4)</f>
        <v>4</v>
      </c>
      <c r="O1238" s="8" t="str">
        <f ca="1">IFERROR(__xludf.DUMMYFUNCTION("""COMPUTED_VALUE"""),"Fall")</f>
        <v>Fall</v>
      </c>
      <c r="P1238" s="8" t="str">
        <f ca="1">IFERROR(__xludf.DUMMYFUNCTION("""COMPUTED_VALUE"""),"Philadelphia")</f>
        <v>Philadelphia</v>
      </c>
      <c r="Q1238" s="8" t="str">
        <f ca="1">IFERROR(__xludf.DUMMYFUNCTION("""COMPUTED_VALUE"""),"PA")</f>
        <v>PA</v>
      </c>
      <c r="R1238" s="8" t="str">
        <f ca="1">IFERROR(__xludf.DUMMYFUNCTION("""COMPUTED_VALUE"""),"K-8")</f>
        <v>K-8</v>
      </c>
      <c r="S1238" s="8" t="str">
        <f ca="1">IFERROR(__xludf.DUMMYFUNCTION("""COMPUTED_VALUE"""),"Cafeteria")</f>
        <v>Cafeteria</v>
      </c>
      <c r="T1238" s="8" t="str">
        <f ca="1">IFERROR(__xludf.DUMMYFUNCTION("""COMPUTED_VALUE"""),"Both Inside/Outside")</f>
        <v>Both Inside/Outside</v>
      </c>
      <c r="U1238" s="8" t="str">
        <f ca="1">IFERROR(__xludf.DUMMYFUNCTION("""COMPUTED_VALUE"""),"No")</f>
        <v>No</v>
      </c>
      <c r="V1238" s="8" t="str">
        <f ca="1">IFERROR(__xludf.DUMMYFUNCTION("""COMPUTED_VALUE"""),"Night")</f>
        <v>Night</v>
      </c>
      <c r="W1238" s="8"/>
      <c r="X1238" s="8">
        <f ca="1">IFERROR(__xludf.DUMMYFUNCTION("""COMPUTED_VALUE"""),1)</f>
        <v>1</v>
      </c>
      <c r="Y1238" s="12" t="str">
        <f ca="1">IFERROR(__xludf.DUMMYFUNCTION("""COMPUTED_VALUE"""),"Multiple shots broke windows of the cafeteria, bullets found inside")</f>
        <v>Multiple shots broke windows of the cafeteria, bullets found inside</v>
      </c>
      <c r="Z1238" s="12" t="str">
        <f ca="1">IFERROR(__xludf.DUMMYFUNCTION("""COMPUTED_VALUE"""),"Multiple shots were fired at the school breaking windows during the night. When staff arrived in the morning, they reported the damage to police. Bullet fragments were recovered inside the school.")</f>
        <v>Multiple shots were fired at the school breaking windows during the night. When staff arrived in the morning, they reported the damage to police. Bullet fragments were recovered inside the school.</v>
      </c>
      <c r="AA1238" s="8" t="str">
        <f ca="1">IFERROR(__xludf.DUMMYFUNCTION("""COMPUTED_VALUE"""),"Intentional Property Damage")</f>
        <v>Intentional Property Damage</v>
      </c>
      <c r="AB1238" s="8"/>
      <c r="AC1238" s="8" t="str">
        <f ca="1">IFERROR(__xludf.DUMMYFUNCTION("""COMPUTED_VALUE"""),"No")</f>
        <v>No</v>
      </c>
      <c r="AD1238" s="8" t="str">
        <f ca="1">IFERROR(__xludf.DUMMYFUNCTION("""COMPUTED_VALUE"""),"Neither")</f>
        <v>Neither</v>
      </c>
      <c r="AE1238" s="8"/>
      <c r="AF1238" s="8"/>
      <c r="AG1238" s="8" t="str">
        <f ca="1">IFERROR(__xludf.DUMMYFUNCTION("""COMPUTED_VALUE"""),"No")</f>
        <v>No</v>
      </c>
      <c r="AH1238" s="8" t="str">
        <f ca="1">IFERROR(__xludf.DUMMYFUNCTION("""COMPUTED_VALUE"""),"No")</f>
        <v>No</v>
      </c>
      <c r="AI1238" s="8" t="str">
        <f ca="1">IFERROR(__xludf.DUMMYFUNCTION("""COMPUTED_VALUE"""),"No")</f>
        <v>No</v>
      </c>
      <c r="AJ1238" s="8" t="str">
        <f ca="1">IFERROR(__xludf.DUMMYFUNCTION("""COMPUTED_VALUE"""),"No")</f>
        <v>No</v>
      </c>
      <c r="AK1238" s="8" t="str">
        <f ca="1">IFERROR(__xludf.DUMMYFUNCTION("""COMPUTED_VALUE"""),"No")</f>
        <v>No</v>
      </c>
      <c r="AL1238" s="8"/>
      <c r="AM1238" s="8" t="str">
        <f ca="1">IFERROR(__xludf.DUMMYFUNCTION("""COMPUTED_VALUE"""),"No")</f>
        <v>No</v>
      </c>
      <c r="AN1238" s="8"/>
      <c r="AO1238" s="8" t="str">
        <f ca="1">IFERROR(__xludf.DUMMYFUNCTION("""COMPUTED_VALUE"""),"No")</f>
        <v>No</v>
      </c>
      <c r="AP1238" s="8"/>
      <c r="AQ1238" s="8"/>
      <c r="AR1238" s="8" t="str">
        <f ca="1">IFERROR(__xludf.DUMMYFUNCTION("""COMPUTED_VALUE"""),"Outside/Off-Property")</f>
        <v>Outside/Off-Property</v>
      </c>
      <c r="AS1238" s="8"/>
      <c r="AT1238" s="8"/>
      <c r="AU1238" s="8">
        <f ca="1">IFERROR(__xludf.DUMMYFUNCTION("""COMPUTED_VALUE"""),40.012627)</f>
        <v>40.012627000000002</v>
      </c>
      <c r="AV1238" s="8">
        <f ca="1">IFERROR(__xludf.DUMMYFUNCTION("""COMPUTED_VALUE"""),-75.1315)</f>
        <v>-75.131500000000003</v>
      </c>
      <c r="AW1238" s="8"/>
      <c r="AX1238" s="8">
        <f ca="1">IFERROR(__xludf.DUMMYFUNCTION("""COMPUTED_VALUE"""),19140)</f>
        <v>19140</v>
      </c>
    </row>
    <row r="1239" spans="1:50" ht="105" x14ac:dyDescent="0.2">
      <c r="A1239" s="8" t="str">
        <f ca="1">IFERROR(__xludf.DUMMYFUNCTION("""COMPUTED_VALUE"""),"20211007NCEAD")</f>
        <v>20211007NCEAD</v>
      </c>
      <c r="B1239" s="8">
        <f ca="1">IFERROR(__xludf.DUMMYFUNCTION("""COMPUTED_VALUE"""),10)</f>
        <v>10</v>
      </c>
      <c r="C1239" s="8">
        <f ca="1">IFERROR(__xludf.DUMMYFUNCTION("""COMPUTED_VALUE"""),7)</f>
        <v>7</v>
      </c>
      <c r="D1239" s="8">
        <f ca="1">IFERROR(__xludf.DUMMYFUNCTION("""COMPUTED_VALUE"""),2021)</f>
        <v>2021</v>
      </c>
      <c r="E1239" s="9">
        <f ca="1">IFERROR(__xludf.DUMMYFUNCTION("""COMPUTED_VALUE"""),44476)</f>
        <v>44476</v>
      </c>
      <c r="F1239" s="8" t="str">
        <f ca="1">IFERROR(__xludf.DUMMYFUNCTION("""COMPUTED_VALUE"""),"Eastway Elementary School")</f>
        <v>Eastway Elementary School</v>
      </c>
      <c r="G1239" s="8">
        <f ca="1">IFERROR(__xludf.DUMMYFUNCTION("""COMPUTED_VALUE"""),0)</f>
        <v>0</v>
      </c>
      <c r="H1239" s="8">
        <f ca="1">IFERROR(__xludf.DUMMYFUNCTION("""COMPUTED_VALUE"""),0)</f>
        <v>0</v>
      </c>
      <c r="I1239" s="8">
        <f ca="1">IFERROR(__xludf.DUMMYFUNCTION("""COMPUTED_VALUE"""),0)</f>
        <v>0</v>
      </c>
      <c r="J1239" s="8">
        <f ca="1">IFERROR(__xludf.DUMMYFUNCTION("""COMPUTED_VALUE"""),1)</f>
        <v>1</v>
      </c>
      <c r="K1239" s="8" t="str">
        <f ca="1">IFERROR(__xludf.DUMMYFUNCTION("""COMPUTED_VALUE"""),"https://www.wral.com/man-wanted-on-virginia-murder-charge-killed-himself-outside-durham-school-police-say/19916395/ https://www.newsobserver.com/news/local/crime/article254873522.html")</f>
        <v>https://www.wral.com/man-wanted-on-virginia-murder-charge-killed-himself-outside-durham-school-police-say/19916395/ https://www.newsobserver.com/news/local/crime/article254873522.html</v>
      </c>
      <c r="L1239" s="8">
        <f ca="1">IFERROR(__xludf.DUMMYFUNCTION("""COMPUTED_VALUE"""),10)</f>
        <v>10</v>
      </c>
      <c r="M1239" s="8" t="str">
        <f ca="1">IFERROR(__xludf.DUMMYFUNCTION("""COMPUTED_VALUE"""),"Regional")</f>
        <v>Regional</v>
      </c>
      <c r="N1239" s="8">
        <f ca="1">IFERROR(__xludf.DUMMYFUNCTION("""COMPUTED_VALUE"""),4)</f>
        <v>4</v>
      </c>
      <c r="O1239" s="8" t="str">
        <f ca="1">IFERROR(__xludf.DUMMYFUNCTION("""COMPUTED_VALUE"""),"Fall")</f>
        <v>Fall</v>
      </c>
      <c r="P1239" s="8" t="str">
        <f ca="1">IFERROR(__xludf.DUMMYFUNCTION("""COMPUTED_VALUE"""),"Durham")</f>
        <v>Durham</v>
      </c>
      <c r="Q1239" s="8" t="str">
        <f ca="1">IFERROR(__xludf.DUMMYFUNCTION("""COMPUTED_VALUE"""),"NC")</f>
        <v>NC</v>
      </c>
      <c r="R1239" s="8" t="str">
        <f ca="1">IFERROR(__xludf.DUMMYFUNCTION("""COMPUTED_VALUE"""),"Elementary")</f>
        <v>Elementary</v>
      </c>
      <c r="S1239" s="8" t="str">
        <f ca="1">IFERROR(__xludf.DUMMYFUNCTION("""COMPUTED_VALUE"""),"Parking Lot")</f>
        <v>Parking Lot</v>
      </c>
      <c r="T1239" s="8" t="str">
        <f ca="1">IFERROR(__xludf.DUMMYFUNCTION("""COMPUTED_VALUE"""),"Outside on School Property")</f>
        <v>Outside on School Property</v>
      </c>
      <c r="U1239" s="8" t="str">
        <f ca="1">IFERROR(__xludf.DUMMYFUNCTION("""COMPUTED_VALUE"""),"No")</f>
        <v>No</v>
      </c>
      <c r="V1239" s="8" t="str">
        <f ca="1">IFERROR(__xludf.DUMMYFUNCTION("""COMPUTED_VALUE"""),"After School")</f>
        <v>After School</v>
      </c>
      <c r="W1239" s="11">
        <f ca="1">IFERROR(__xludf.DUMMYFUNCTION("""COMPUTED_VALUE"""),0.6875)</f>
        <v>0.6875</v>
      </c>
      <c r="X1239" s="8">
        <f ca="1">IFERROR(__xludf.DUMMYFUNCTION("""COMPUTED_VALUE"""),1)</f>
        <v>1</v>
      </c>
      <c r="Y1239" s="12" t="str">
        <f ca="1">IFERROR(__xludf.DUMMYFUNCTION("""COMPUTED_VALUE"""),"Man found dead in vehicle in the school parking lot")</f>
        <v>Man found dead in vehicle in the school parking lot</v>
      </c>
      <c r="Z1239" s="12" t="str">
        <f ca="1">IFERROR(__xludf.DUMMYFUNCTION("""COMPUTED_VALUE"""),"A 39-year-old man was found dead (suicide) in a vehicle in the school parking lot. Students had already dismissed. Police said the vehicle had been parked for at least a day before the body was discovered. The man was wanted for a homicide and Newport New"&amp;"s, VA and considered ""armed and dangerous"". Unknown why the man parked at the school.")</f>
        <v>A 39-year-old man was found dead (suicide) in a vehicle in the school parking lot. Students had already dismissed. Police said the vehicle had been parked for at least a day before the body was discovered. The man was wanted for a homicide and Newport News, VA and considered "armed and dangerous". Unknown why the man parked at the school.</v>
      </c>
      <c r="AA1239" s="8" t="str">
        <f ca="1">IFERROR(__xludf.DUMMYFUNCTION("""COMPUTED_VALUE"""),"Suicide/Attempted")</f>
        <v>Suicide/Attempted</v>
      </c>
      <c r="AB1239" s="8"/>
      <c r="AC1239" s="8" t="str">
        <f ca="1">IFERROR(__xludf.DUMMYFUNCTION("""COMPUTED_VALUE"""),"No")</f>
        <v>No</v>
      </c>
      <c r="AD1239" s="8" t="str">
        <f ca="1">IFERROR(__xludf.DUMMYFUNCTION("""COMPUTED_VALUE"""),"Victims Targeted")</f>
        <v>Victims Targeted</v>
      </c>
      <c r="AE1239" s="8" t="str">
        <f ca="1">IFERROR(__xludf.DUMMYFUNCTION("""COMPUTED_VALUE"""),"No")</f>
        <v>No</v>
      </c>
      <c r="AF1239" s="8"/>
      <c r="AG1239" s="8" t="str">
        <f ca="1">IFERROR(__xludf.DUMMYFUNCTION("""COMPUTED_VALUE"""),"No")</f>
        <v>No</v>
      </c>
      <c r="AH1239" s="8" t="str">
        <f ca="1">IFERROR(__xludf.DUMMYFUNCTION("""COMPUTED_VALUE"""),"No")</f>
        <v>No</v>
      </c>
      <c r="AI1239" s="8" t="str">
        <f ca="1">IFERROR(__xludf.DUMMYFUNCTION("""COMPUTED_VALUE"""),"No")</f>
        <v>No</v>
      </c>
      <c r="AJ1239" s="8" t="str">
        <f ca="1">IFERROR(__xludf.DUMMYFUNCTION("""COMPUTED_VALUE"""),"No")</f>
        <v>No</v>
      </c>
      <c r="AK1239" s="8" t="str">
        <f ca="1">IFERROR(__xludf.DUMMYFUNCTION("""COMPUTED_VALUE"""),"No")</f>
        <v>No</v>
      </c>
      <c r="AL1239" s="8" t="str">
        <f ca="1">IFERROR(__xludf.DUMMYFUNCTION("""COMPUTED_VALUE"""),"No")</f>
        <v>No</v>
      </c>
      <c r="AM1239" s="8" t="str">
        <f ca="1">IFERROR(__xludf.DUMMYFUNCTION("""COMPUTED_VALUE"""),"No")</f>
        <v>No</v>
      </c>
      <c r="AN1239" s="8"/>
      <c r="AO1239" s="8" t="str">
        <f ca="1">IFERROR(__xludf.DUMMYFUNCTION("""COMPUTED_VALUE"""),"No")</f>
        <v>No</v>
      </c>
      <c r="AP1239" s="8"/>
      <c r="AQ1239" s="8"/>
      <c r="AR1239" s="8" t="str">
        <f ca="1">IFERROR(__xludf.DUMMYFUNCTION("""COMPUTED_VALUE"""),"Outside/Off-Property")</f>
        <v>Outside/Off-Property</v>
      </c>
      <c r="AS1239" s="8">
        <f ca="1">IFERROR(__xludf.DUMMYFUNCTION("""COMPUTED_VALUE"""),1)</f>
        <v>1</v>
      </c>
      <c r="AT1239" s="8"/>
      <c r="AU1239" s="8">
        <f ca="1">IFERROR(__xludf.DUMMYFUNCTION("""COMPUTED_VALUE"""),35.99046)</f>
        <v>35.990459999999999</v>
      </c>
      <c r="AV1239" s="8">
        <f ca="1">IFERROR(__xludf.DUMMYFUNCTION("""COMPUTED_VALUE"""),-78.884749)</f>
        <v>-78.884748999999999</v>
      </c>
      <c r="AW1239" s="8"/>
      <c r="AX1239" s="8">
        <f ca="1">IFERROR(__xludf.DUMMYFUNCTION("""COMPUTED_VALUE"""),27701)</f>
        <v>27701</v>
      </c>
    </row>
    <row r="1240" spans="1:50" ht="120" x14ac:dyDescent="0.2">
      <c r="A1240" s="8" t="str">
        <f ca="1">IFERROR(__xludf.DUMMYFUNCTION("""COMPUTED_VALUE"""),"20211007DCWAW")</f>
        <v>20211007DCWAW</v>
      </c>
      <c r="B1240" s="8">
        <f ca="1">IFERROR(__xludf.DUMMYFUNCTION("""COMPUTED_VALUE"""),10)</f>
        <v>10</v>
      </c>
      <c r="C1240" s="8">
        <f ca="1">IFERROR(__xludf.DUMMYFUNCTION("""COMPUTED_VALUE"""),7)</f>
        <v>7</v>
      </c>
      <c r="D1240" s="8">
        <f ca="1">IFERROR(__xludf.DUMMYFUNCTION("""COMPUTED_VALUE"""),2021)</f>
        <v>2021</v>
      </c>
      <c r="E1240" s="9">
        <f ca="1">IFERROR(__xludf.DUMMYFUNCTION("""COMPUTED_VALUE"""),44476)</f>
        <v>44476</v>
      </c>
      <c r="F1240" s="8" t="str">
        <f ca="1">IFERROR(__xludf.DUMMYFUNCTION("""COMPUTED_VALUE"""),"Walkins Elementary School")</f>
        <v>Walkins Elementary School</v>
      </c>
      <c r="G1240" s="8">
        <f ca="1">IFERROR(__xludf.DUMMYFUNCTION("""COMPUTED_VALUE"""),1)</f>
        <v>1</v>
      </c>
      <c r="H1240" s="8">
        <f ca="1">IFERROR(__xludf.DUMMYFUNCTION("""COMPUTED_VALUE"""),0)</f>
        <v>0</v>
      </c>
      <c r="I1240" s="8">
        <f ca="1">IFERROR(__xludf.DUMMYFUNCTION("""COMPUTED_VALUE"""),1)</f>
        <v>1</v>
      </c>
      <c r="J1240" s="8">
        <f ca="1">IFERROR(__xludf.DUMMYFUNCTION("""COMPUTED_VALUE"""),0)</f>
        <v>0</v>
      </c>
      <c r="K1240" s="8" t="str">
        <f ca="1">IFERROR(__xludf.DUMMYFUNCTION("""COMPUTED_VALUE"""),"https://www.washingtonpost.com/local/public-safety/shooting-capitol-hill-dc/2021/10/07/9c11665a-2772-11ec-8d53-67cfb452aa60_story.html https://www.hillrag.com/2021/10/07/man-shot-near-watkins-elementary/")</f>
        <v>https://www.washingtonpost.com/local/public-safety/shooting-capitol-hill-dc/2021/10/07/9c11665a-2772-11ec-8d53-67cfb452aa60_story.html https://www.hillrag.com/2021/10/07/man-shot-near-watkins-elementary/</v>
      </c>
      <c r="L1240" s="8">
        <f ca="1">IFERROR(__xludf.DUMMYFUNCTION("""COMPUTED_VALUE"""),3)</f>
        <v>3</v>
      </c>
      <c r="M1240" s="8" t="str">
        <f ca="1">IFERROR(__xludf.DUMMYFUNCTION("""COMPUTED_VALUE"""),"Local")</f>
        <v>Local</v>
      </c>
      <c r="N1240" s="8">
        <f ca="1">IFERROR(__xludf.DUMMYFUNCTION("""COMPUTED_VALUE"""),4)</f>
        <v>4</v>
      </c>
      <c r="O1240" s="8" t="str">
        <f ca="1">IFERROR(__xludf.DUMMYFUNCTION("""COMPUTED_VALUE"""),"Fall")</f>
        <v>Fall</v>
      </c>
      <c r="P1240" s="8" t="str">
        <f ca="1">IFERROR(__xludf.DUMMYFUNCTION("""COMPUTED_VALUE"""),"Washington")</f>
        <v>Washington</v>
      </c>
      <c r="Q1240" s="8" t="str">
        <f ca="1">IFERROR(__xludf.DUMMYFUNCTION("""COMPUTED_VALUE"""),"DC")</f>
        <v>DC</v>
      </c>
      <c r="R1240" s="8" t="str">
        <f ca="1">IFERROR(__xludf.DUMMYFUNCTION("""COMPUTED_VALUE"""),"Elementary")</f>
        <v>Elementary</v>
      </c>
      <c r="S1240" s="8" t="str">
        <f ca="1">IFERROR(__xludf.DUMMYFUNCTION("""COMPUTED_VALUE"""),"Football Field/Track")</f>
        <v>Football Field/Track</v>
      </c>
      <c r="T1240" s="8" t="str">
        <f ca="1">IFERROR(__xludf.DUMMYFUNCTION("""COMPUTED_VALUE"""),"Outside on School Property")</f>
        <v>Outside on School Property</v>
      </c>
      <c r="U1240" s="8" t="str">
        <f ca="1">IFERROR(__xludf.DUMMYFUNCTION("""COMPUTED_VALUE"""),"No")</f>
        <v>No</v>
      </c>
      <c r="V1240" s="8" t="str">
        <f ca="1">IFERROR(__xludf.DUMMYFUNCTION("""COMPUTED_VALUE"""),"Sport Event")</f>
        <v>Sport Event</v>
      </c>
      <c r="W1240" s="11">
        <f ca="1">IFERROR(__xludf.DUMMYFUNCTION("""COMPUTED_VALUE"""),0.907638888888888)</f>
        <v>0.907638888888888</v>
      </c>
      <c r="X1240" s="8">
        <f ca="1">IFERROR(__xludf.DUMMYFUNCTION("""COMPUTED_VALUE"""),1)</f>
        <v>1</v>
      </c>
      <c r="Y1240" s="12" t="str">
        <f ca="1">IFERROR(__xludf.DUMMYFUNCTION("""COMPUTED_VALUE"""),"Man shot following flag football game")</f>
        <v>Man shot following flag football game</v>
      </c>
      <c r="Z1240" s="12" t="str">
        <f ca="1">IFERROR(__xludf.DUMMYFUNCTION("""COMPUTED_VALUE"""),"A 26-year-old man was fatally shot at the end of a flag football game on the school field. There was an argument at the end of the game and an unidentified man went to his bag, pulled out a gun, and shot the victim in front of his family members. Neighbor"&amp;"s reported hearing 12 shots fired. The shooter fled in a vehicle. Youth football practice ended 1 hour before the shooting. A letter was sent to parent of students at the school explaining the situation.")</f>
        <v>A 26-year-old man was fatally shot at the end of a flag football game on the school field. There was an argument at the end of the game and an unidentified man went to his bag, pulled out a gun, and shot the victim in front of his family members. Neighbors reported hearing 12 shots fired. The shooter fled in a vehicle. Youth football practice ended 1 hour before the shooting. A letter was sent to parent of students at the school explaining the situation.</v>
      </c>
      <c r="AA1240" s="8" t="str">
        <f ca="1">IFERROR(__xludf.DUMMYFUNCTION("""COMPUTED_VALUE"""),"Escalation of Dispute")</f>
        <v>Escalation of Dispute</v>
      </c>
      <c r="AB1240" s="8"/>
      <c r="AC1240" s="8" t="str">
        <f ca="1">IFERROR(__xludf.DUMMYFUNCTION("""COMPUTED_VALUE"""),"No")</f>
        <v>No</v>
      </c>
      <c r="AD1240" s="8" t="str">
        <f ca="1">IFERROR(__xludf.DUMMYFUNCTION("""COMPUTED_VALUE"""),"Victims Targeted")</f>
        <v>Victims Targeted</v>
      </c>
      <c r="AE1240" s="8"/>
      <c r="AF1240" s="8"/>
      <c r="AG1240" s="8" t="str">
        <f ca="1">IFERROR(__xludf.DUMMYFUNCTION("""COMPUTED_VALUE"""),"No")</f>
        <v>No</v>
      </c>
      <c r="AH1240" s="8" t="str">
        <f ca="1">IFERROR(__xludf.DUMMYFUNCTION("""COMPUTED_VALUE"""),"No")</f>
        <v>No</v>
      </c>
      <c r="AI1240" s="8" t="str">
        <f ca="1">IFERROR(__xludf.DUMMYFUNCTION("""COMPUTED_VALUE"""),"No")</f>
        <v>No</v>
      </c>
      <c r="AJ1240" s="8" t="str">
        <f ca="1">IFERROR(__xludf.DUMMYFUNCTION("""COMPUTED_VALUE"""),"No")</f>
        <v>No</v>
      </c>
      <c r="AK1240" s="8" t="str">
        <f ca="1">IFERROR(__xludf.DUMMYFUNCTION("""COMPUTED_VALUE"""),"No")</f>
        <v>No</v>
      </c>
      <c r="AL1240" s="8"/>
      <c r="AM1240" s="8" t="str">
        <f ca="1">IFERROR(__xludf.DUMMYFUNCTION("""COMPUTED_VALUE"""),"No")</f>
        <v>No</v>
      </c>
      <c r="AN1240" s="8"/>
      <c r="AO1240" s="8" t="str">
        <f ca="1">IFERROR(__xludf.DUMMYFUNCTION("""COMPUTED_VALUE"""),"No")</f>
        <v>No</v>
      </c>
      <c r="AP1240" s="8"/>
      <c r="AQ1240" s="8"/>
      <c r="AR1240" s="8" t="str">
        <f ca="1">IFERROR(__xludf.DUMMYFUNCTION("""COMPUTED_VALUE"""),"Outside/Off-Property")</f>
        <v>Outside/Off-Property</v>
      </c>
      <c r="AS1240" s="8">
        <f ca="1">IFERROR(__xludf.DUMMYFUNCTION("""COMPUTED_VALUE"""),12)</f>
        <v>12</v>
      </c>
      <c r="AT1240" s="8"/>
      <c r="AU1240" s="8">
        <f ca="1">IFERROR(__xludf.DUMMYFUNCTION("""COMPUTED_VALUE"""),25.978074)</f>
        <v>25.978073999999999</v>
      </c>
      <c r="AV1240" s="8">
        <f ca="1">IFERROR(__xludf.DUMMYFUNCTION("""COMPUTED_VALUE"""),-80.19625)</f>
        <v>-80.196250000000006</v>
      </c>
      <c r="AW1240" s="8"/>
      <c r="AX1240" s="8">
        <f ca="1">IFERROR(__xludf.DUMMYFUNCTION("""COMPUTED_VALUE"""),33023)</f>
        <v>33023</v>
      </c>
    </row>
    <row r="1241" spans="1:50" ht="210" x14ac:dyDescent="0.2">
      <c r="A1241" s="8" t="str">
        <f ca="1">IFERROR(__xludf.DUMMYFUNCTION("""COMPUTED_VALUE"""),"20211006TXTIA")</f>
        <v>20211006TXTIA</v>
      </c>
      <c r="B1241" s="8">
        <f ca="1">IFERROR(__xludf.DUMMYFUNCTION("""COMPUTED_VALUE"""),10)</f>
        <v>10</v>
      </c>
      <c r="C1241" s="8">
        <f ca="1">IFERROR(__xludf.DUMMYFUNCTION("""COMPUTED_VALUE"""),6)</f>
        <v>6</v>
      </c>
      <c r="D1241" s="8">
        <f ca="1">IFERROR(__xludf.DUMMYFUNCTION("""COMPUTED_VALUE"""),2021)</f>
        <v>2021</v>
      </c>
      <c r="E1241" s="9">
        <f ca="1">IFERROR(__xludf.DUMMYFUNCTION("""COMPUTED_VALUE"""),44475)</f>
        <v>44475</v>
      </c>
      <c r="F1241" s="8" t="str">
        <f ca="1">IFERROR(__xludf.DUMMYFUNCTION("""COMPUTED_VALUE"""),"Timberview High School")</f>
        <v>Timberview High School</v>
      </c>
      <c r="G1241" s="8">
        <f ca="1">IFERROR(__xludf.DUMMYFUNCTION("""COMPUTED_VALUE"""),0)</f>
        <v>0</v>
      </c>
      <c r="H1241" s="8">
        <f ca="1">IFERROR(__xludf.DUMMYFUNCTION("""COMPUTED_VALUE"""),3)</f>
        <v>3</v>
      </c>
      <c r="I1241" s="8">
        <f ca="1">IFERROR(__xludf.DUMMYFUNCTION("""COMPUTED_VALUE"""),3)</f>
        <v>3</v>
      </c>
      <c r="J1241" s="8">
        <f ca="1">IFERROR(__xludf.DUMMYFUNCTION("""COMPUTED_VALUE"""),0)</f>
        <v>0</v>
      </c>
      <c r="K1241" s="8" t="str">
        <f ca="1">IFERROR(__xludf.DUMMYFUNCTION("""COMPUTED_VALUE"""),"https://www.star-telegram.com/news/local/crime/article255930861.html https://dfw.cbslocal.com/2021/10/21/parents-safety-concerns-mansfield-isd-town-hall-campus-security-school-shooting/ https://www.star-telegram.com/news/local/crime/article254804532.html "&amp;"https://www.cnn.com/2021/10/06/us/timberview-high-school-shooting-texas/index.html https://www.npr.org/2021/10/06/1043697781/texas-high-school-timberview-shooting")</f>
        <v>https://www.star-telegram.com/news/local/crime/article255930861.html https://dfw.cbslocal.com/2021/10/21/parents-safety-concerns-mansfield-isd-town-hall-campus-security-school-shooting/ https://www.star-telegram.com/news/local/crime/article254804532.html https://www.cnn.com/2021/10/06/us/timberview-high-school-shooting-texas/index.html https://www.npr.org/2021/10/06/1043697781/texas-high-school-timberview-shooting</v>
      </c>
      <c r="L1241" s="8">
        <f ca="1">IFERROR(__xludf.DUMMYFUNCTION("""COMPUTED_VALUE"""),999)</f>
        <v>999</v>
      </c>
      <c r="M1241" s="8" t="str">
        <f ca="1">IFERROR(__xludf.DUMMYFUNCTION("""COMPUTED_VALUE"""),"International")</f>
        <v>International</v>
      </c>
      <c r="N1241" s="8">
        <f ca="1">IFERROR(__xludf.DUMMYFUNCTION("""COMPUTED_VALUE"""),4)</f>
        <v>4</v>
      </c>
      <c r="O1241" s="8" t="str">
        <f ca="1">IFERROR(__xludf.DUMMYFUNCTION("""COMPUTED_VALUE"""),"Fall")</f>
        <v>Fall</v>
      </c>
      <c r="P1241" s="8" t="str">
        <f ca="1">IFERROR(__xludf.DUMMYFUNCTION("""COMPUTED_VALUE"""),"Arlington")</f>
        <v>Arlington</v>
      </c>
      <c r="Q1241" s="8" t="str">
        <f ca="1">IFERROR(__xludf.DUMMYFUNCTION("""COMPUTED_VALUE"""),"TX")</f>
        <v>TX</v>
      </c>
      <c r="R1241" s="8" t="str">
        <f ca="1">IFERROR(__xludf.DUMMYFUNCTION("""COMPUTED_VALUE"""),"High")</f>
        <v>High</v>
      </c>
      <c r="S1241" s="8" t="str">
        <f ca="1">IFERROR(__xludf.DUMMYFUNCTION("""COMPUTED_VALUE"""),"Classroom")</f>
        <v>Classroom</v>
      </c>
      <c r="T1241" s="8" t="str">
        <f ca="1">IFERROR(__xludf.DUMMYFUNCTION("""COMPUTED_VALUE"""),"Inside School Building")</f>
        <v>Inside School Building</v>
      </c>
      <c r="U1241" s="8" t="str">
        <f ca="1">IFERROR(__xludf.DUMMYFUNCTION("""COMPUTED_VALUE"""),"Yes")</f>
        <v>Yes</v>
      </c>
      <c r="V1241" s="8" t="str">
        <f ca="1">IFERROR(__xludf.DUMMYFUNCTION("""COMPUTED_VALUE"""),"Morning Classes")</f>
        <v>Morning Classes</v>
      </c>
      <c r="W1241" s="11">
        <f ca="1">IFERROR(__xludf.DUMMYFUNCTION("""COMPUTED_VALUE"""),0.385416666666666)</f>
        <v>0.38541666666666602</v>
      </c>
      <c r="X1241" s="8">
        <f ca="1">IFERROR(__xludf.DUMMYFUNCTION("""COMPUTED_VALUE"""),1)</f>
        <v>1</v>
      </c>
      <c r="Y1241" s="12" t="str">
        <f ca="1">IFERROR(__xludf.DUMMYFUNCTION("""COMPUTED_VALUE"""),"Shots fired during fight inside a classroom")</f>
        <v>Shots fired during fight inside a classroom</v>
      </c>
      <c r="Z1241" s="12" t="str">
        <f ca="1">IFERROR(__xludf.DUMMYFUNCTION("""COMPUTED_VALUE"""),"Shots were fired by an 18-year-old student during a fight inside the classroom. Shooter was in a classroom when another student, 15-year-old male, walked in and started to fight with the shooter, witnesses said, according to an arrest warrant affidavit su"&amp;"pporting shooters’ arrest. 15-year-old student was critically injured. A 25-year-old teacher was shot in the back. A female student was grazed. A student also sustained a none gunshot injury. Four people were transported to the hospital. Shooter fled the "&amp;"scene and was arrested away from the school. School was placed on lockdown, searched by police, and students were evacuated from the building to an alternate location to reunite with parents. Police investigation showed no signs of bullying prior to the s"&amp;"hooting.")</f>
        <v>Shots were fired by an 18-year-old student during a fight inside the classroom. Shooter was in a classroom when another student, 15-year-old male, walked in and started to fight with the shooter, witnesses said, according to an arrest warrant affidavit supporting shooters’ arrest. 15-year-old student was critically injured. A 25-year-old teacher was shot in the back. A female student was grazed. A student also sustained a none gunshot injury. Four people were transported to the hospital. Shooter fled the scene and was arrested away from the school. School was placed on lockdown, searched by police, and students were evacuated from the building to an alternate location to reunite with parents. Police investigation showed no signs of bullying prior to the shooting.</v>
      </c>
      <c r="AA1241" s="8" t="str">
        <f ca="1">IFERROR(__xludf.DUMMYFUNCTION("""COMPUTED_VALUE"""),"Escalation of Dispute")</f>
        <v>Escalation of Dispute</v>
      </c>
      <c r="AB1241" s="8"/>
      <c r="AC1241" s="8" t="str">
        <f ca="1">IFERROR(__xludf.DUMMYFUNCTION("""COMPUTED_VALUE"""),"Yes")</f>
        <v>Yes</v>
      </c>
      <c r="AD1241" s="8" t="str">
        <f ca="1">IFERROR(__xludf.DUMMYFUNCTION("""COMPUTED_VALUE"""),"Both")</f>
        <v>Both</v>
      </c>
      <c r="AE1241" s="8" t="str">
        <f ca="1">IFERROR(__xludf.DUMMYFUNCTION("""COMPUTED_VALUE"""),"No")</f>
        <v>No</v>
      </c>
      <c r="AF1241" s="8"/>
      <c r="AG1241" s="8" t="str">
        <f ca="1">IFERROR(__xludf.DUMMYFUNCTION("""COMPUTED_VALUE"""),"No")</f>
        <v>No</v>
      </c>
      <c r="AH1241" s="8" t="str">
        <f ca="1">IFERROR(__xludf.DUMMYFUNCTION("""COMPUTED_VALUE"""),"No")</f>
        <v>No</v>
      </c>
      <c r="AI1241" s="8" t="str">
        <f ca="1">IFERROR(__xludf.DUMMYFUNCTION("""COMPUTED_VALUE"""),"No")</f>
        <v>No</v>
      </c>
      <c r="AJ1241" s="8" t="str">
        <f ca="1">IFERROR(__xludf.DUMMYFUNCTION("""COMPUTED_VALUE"""),"No")</f>
        <v>No</v>
      </c>
      <c r="AK1241" s="8" t="str">
        <f ca="1">IFERROR(__xludf.DUMMYFUNCTION("""COMPUTED_VALUE"""),"No")</f>
        <v>No</v>
      </c>
      <c r="AL1241" s="8" t="str">
        <f ca="1">IFERROR(__xludf.DUMMYFUNCTION("""COMPUTED_VALUE"""),"No")</f>
        <v>No</v>
      </c>
      <c r="AM1241" s="8" t="str">
        <f ca="1">IFERROR(__xludf.DUMMYFUNCTION("""COMPUTED_VALUE"""),"No")</f>
        <v>No</v>
      </c>
      <c r="AN1241" s="8"/>
      <c r="AO1241" s="8" t="str">
        <f ca="1">IFERROR(__xludf.DUMMYFUNCTION("""COMPUTED_VALUE"""),"No")</f>
        <v>No</v>
      </c>
      <c r="AP1241" s="8" t="str">
        <f ca="1">IFERROR(__xludf.DUMMYFUNCTION("""COMPUTED_VALUE"""),"Yes")</f>
        <v>Yes</v>
      </c>
      <c r="AQ1241" s="8"/>
      <c r="AR1241" s="8" t="str">
        <f ca="1">IFERROR(__xludf.DUMMYFUNCTION("""COMPUTED_VALUE"""),"Failed")</f>
        <v>Failed</v>
      </c>
      <c r="AS1241" s="8">
        <f ca="1">IFERROR(__xludf.DUMMYFUNCTION("""COMPUTED_VALUE"""),6)</f>
        <v>6</v>
      </c>
      <c r="AT1241" s="8" t="str">
        <f ca="1">IFERROR(__xludf.DUMMYFUNCTION("""COMPUTED_VALUE"""),"Yes")</f>
        <v>Yes</v>
      </c>
      <c r="AU1241" s="8">
        <f ca="1">IFERROR(__xludf.DUMMYFUNCTION("""COMPUTED_VALUE"""),32.621383)</f>
        <v>32.621383000000002</v>
      </c>
      <c r="AV1241" s="8">
        <f ca="1">IFERROR(__xludf.DUMMYFUNCTION("""COMPUTED_VALUE"""),-97.076397)</f>
        <v>-97.076397</v>
      </c>
      <c r="AW1241" s="8"/>
      <c r="AX1241" s="8">
        <f ca="1">IFERROR(__xludf.DUMMYFUNCTION("""COMPUTED_VALUE"""),76002)</f>
        <v>76002</v>
      </c>
    </row>
    <row r="1242" spans="1:50" ht="60" x14ac:dyDescent="0.2">
      <c r="A1242" s="8" t="str">
        <f ca="1">IFERROR(__xludf.DUMMYFUNCTION("""COMPUTED_VALUE"""),"20211005NDHEH")</f>
        <v>20211005NDHEH</v>
      </c>
      <c r="B1242" s="8">
        <f ca="1">IFERROR(__xludf.DUMMYFUNCTION("""COMPUTED_VALUE"""),10)</f>
        <v>10</v>
      </c>
      <c r="C1242" s="8">
        <f ca="1">IFERROR(__xludf.DUMMYFUNCTION("""COMPUTED_VALUE"""),5)</f>
        <v>5</v>
      </c>
      <c r="D1242" s="8">
        <f ca="1">IFERROR(__xludf.DUMMYFUNCTION("""COMPUTED_VALUE"""),2021)</f>
        <v>2021</v>
      </c>
      <c r="E1242" s="9">
        <f ca="1">IFERROR(__xludf.DUMMYFUNCTION("""COMPUTED_VALUE"""),44474)</f>
        <v>44474</v>
      </c>
      <c r="F1242" s="8" t="str">
        <f ca="1">IFERROR(__xludf.DUMMYFUNCTION("""COMPUTED_VALUE"""),"Hettinger Public School")</f>
        <v>Hettinger Public School</v>
      </c>
      <c r="G1242" s="8">
        <f ca="1">IFERROR(__xludf.DUMMYFUNCTION("""COMPUTED_VALUE"""),0)</f>
        <v>0</v>
      </c>
      <c r="H1242" s="8">
        <f ca="1">IFERROR(__xludf.DUMMYFUNCTION("""COMPUTED_VALUE"""),0)</f>
        <v>0</v>
      </c>
      <c r="I1242" s="8">
        <f ca="1">IFERROR(__xludf.DUMMYFUNCTION("""COMPUTED_VALUE"""),0)</f>
        <v>0</v>
      </c>
      <c r="J1242" s="8">
        <f ca="1">IFERROR(__xludf.DUMMYFUNCTION("""COMPUTED_VALUE"""),0)</f>
        <v>0</v>
      </c>
      <c r="K1242" s="8" t="str">
        <f ca="1">IFERROR(__xludf.DUMMYFUNCTION("""COMPUTED_VALUE"""),"https://www.kxnet.com/news/local-news/active-shooting-incident-reported-at-hettinger-public-school-one-student-involved/ https://www.valleynewslive.com/2021/10/04/one-student-hospitalized-after-shooting-hettinger-public-school/ https://hot975fm.com/hettin"&amp;"ger-public-school-shooting/ https://bismarcktribune.com/news/state-and-regional/student-injured-in-hettinger-shooting-suffered-self-inflicted-wound-counseling-offered-to-other-students/article_9550140c-b21b-5867-a1ad-2e6f2c02e09a.html")</f>
        <v>https://www.kxnet.com/news/local-news/active-shooting-incident-reported-at-hettinger-public-school-one-student-involved/ https://www.valleynewslive.com/2021/10/04/one-student-hospitalized-after-shooting-hettinger-public-school/ https://hot975fm.com/hettinger-public-school-shooting/ https://bismarcktribune.com/news/state-and-regional/student-injured-in-hettinger-shooting-suffered-self-inflicted-wound-counseling-offered-to-other-students/article_9550140c-b21b-5867-a1ad-2e6f2c02e09a.html</v>
      </c>
      <c r="L1242" s="8">
        <f ca="1">IFERROR(__xludf.DUMMYFUNCTION("""COMPUTED_VALUE"""),5)</f>
        <v>5</v>
      </c>
      <c r="M1242" s="8" t="str">
        <f ca="1">IFERROR(__xludf.DUMMYFUNCTION("""COMPUTED_VALUE"""),"Local")</f>
        <v>Local</v>
      </c>
      <c r="N1242" s="8">
        <f ca="1">IFERROR(__xludf.DUMMYFUNCTION("""COMPUTED_VALUE"""),4)</f>
        <v>4</v>
      </c>
      <c r="O1242" s="8" t="str">
        <f ca="1">IFERROR(__xludf.DUMMYFUNCTION("""COMPUTED_VALUE"""),"Fall")</f>
        <v>Fall</v>
      </c>
      <c r="P1242" s="8" t="str">
        <f ca="1">IFERROR(__xludf.DUMMYFUNCTION("""COMPUTED_VALUE"""),"Hettinger")</f>
        <v>Hettinger</v>
      </c>
      <c r="Q1242" s="8" t="str">
        <f ca="1">IFERROR(__xludf.DUMMYFUNCTION("""COMPUTED_VALUE"""),"ND")</f>
        <v>ND</v>
      </c>
      <c r="R1242" s="8" t="str">
        <f ca="1">IFERROR(__xludf.DUMMYFUNCTION("""COMPUTED_VALUE"""),"K-12")</f>
        <v>K-12</v>
      </c>
      <c r="S1242" s="8" t="str">
        <f ca="1">IFERROR(__xludf.DUMMYFUNCTION("""COMPUTED_VALUE"""),"Classroom")</f>
        <v>Classroom</v>
      </c>
      <c r="T1242" s="8" t="str">
        <f ca="1">IFERROR(__xludf.DUMMYFUNCTION("""COMPUTED_VALUE"""),"Inside School Building")</f>
        <v>Inside School Building</v>
      </c>
      <c r="U1242" s="8" t="str">
        <f ca="1">IFERROR(__xludf.DUMMYFUNCTION("""COMPUTED_VALUE"""),"Yes")</f>
        <v>Yes</v>
      </c>
      <c r="V1242" s="8" t="str">
        <f ca="1">IFERROR(__xludf.DUMMYFUNCTION("""COMPUTED_VALUE"""),"Morning Classes")</f>
        <v>Morning Classes</v>
      </c>
      <c r="W1242" s="11">
        <f ca="1">IFERROR(__xludf.DUMMYFUNCTION("""COMPUTED_VALUE"""),0.402083333333333)</f>
        <v>0.40208333333333302</v>
      </c>
      <c r="X1242" s="8">
        <f ca="1">IFERROR(__xludf.DUMMYFUNCTION("""COMPUTED_VALUE"""),1)</f>
        <v>1</v>
      </c>
      <c r="Y1242" s="12" t="str">
        <f ca="1">IFERROR(__xludf.DUMMYFUNCTION("""COMPUTED_VALUE"""),"Student walked into classroom and shot self in front of the class")</f>
        <v>Student walked into classroom and shot self in front of the class</v>
      </c>
      <c r="Z1242" s="12" t="str">
        <f ca="1">IFERROR(__xludf.DUMMYFUNCTION("""COMPUTED_VALUE"""),"A student walked into a classroom and shot him/herself in front of the class. School was locked down and then dismissed. Classes cancelled the following day.")</f>
        <v>A student walked into a classroom and shot him/herself in front of the class. School was locked down and then dismissed. Classes cancelled the following day.</v>
      </c>
      <c r="AA1242" s="8" t="str">
        <f ca="1">IFERROR(__xludf.DUMMYFUNCTION("""COMPUTED_VALUE"""),"Suicide/Attempted")</f>
        <v>Suicide/Attempted</v>
      </c>
      <c r="AB1242" s="8"/>
      <c r="AC1242" s="8" t="str">
        <f ca="1">IFERROR(__xludf.DUMMYFUNCTION("""COMPUTED_VALUE"""),"Yes")</f>
        <v>Yes</v>
      </c>
      <c r="AD1242" s="8" t="str">
        <f ca="1">IFERROR(__xludf.DUMMYFUNCTION("""COMPUTED_VALUE"""),"Victims Targeted")</f>
        <v>Victims Targeted</v>
      </c>
      <c r="AE1242" s="8" t="str">
        <f ca="1">IFERROR(__xludf.DUMMYFUNCTION("""COMPUTED_VALUE"""),"No")</f>
        <v>No</v>
      </c>
      <c r="AF1242" s="8"/>
      <c r="AG1242" s="8" t="str">
        <f ca="1">IFERROR(__xludf.DUMMYFUNCTION("""COMPUTED_VALUE"""),"No")</f>
        <v>No</v>
      </c>
      <c r="AH1242" s="8" t="str">
        <f ca="1">IFERROR(__xludf.DUMMYFUNCTION("""COMPUTED_VALUE"""),"No")</f>
        <v>No</v>
      </c>
      <c r="AI1242" s="8" t="str">
        <f ca="1">IFERROR(__xludf.DUMMYFUNCTION("""COMPUTED_VALUE"""),"No")</f>
        <v>No</v>
      </c>
      <c r="AJ1242" s="8"/>
      <c r="AK1242" s="8" t="str">
        <f ca="1">IFERROR(__xludf.DUMMYFUNCTION("""COMPUTED_VALUE"""),"No")</f>
        <v>No</v>
      </c>
      <c r="AL1242" s="8" t="str">
        <f ca="1">IFERROR(__xludf.DUMMYFUNCTION("""COMPUTED_VALUE"""),"No")</f>
        <v>No</v>
      </c>
      <c r="AM1242" s="8" t="str">
        <f ca="1">IFERROR(__xludf.DUMMYFUNCTION("""COMPUTED_VALUE"""),"No")</f>
        <v>No</v>
      </c>
      <c r="AN1242" s="8"/>
      <c r="AO1242" s="8" t="str">
        <f ca="1">IFERROR(__xludf.DUMMYFUNCTION("""COMPUTED_VALUE"""),"No")</f>
        <v>No</v>
      </c>
      <c r="AP1242" s="8"/>
      <c r="AQ1242" s="8"/>
      <c r="AR1242" s="8"/>
      <c r="AS1242" s="8">
        <f ca="1">IFERROR(__xludf.DUMMYFUNCTION("""COMPUTED_VALUE"""),1)</f>
        <v>1</v>
      </c>
      <c r="AT1242" s="8" t="str">
        <f ca="1">IFERROR(__xludf.DUMMYFUNCTION("""COMPUTED_VALUE"""),"Yes")</f>
        <v>Yes</v>
      </c>
      <c r="AU1242" s="8">
        <f ca="1">IFERROR(__xludf.DUMMYFUNCTION("""COMPUTED_VALUE"""),45.999573)</f>
        <v>45.999572999999998</v>
      </c>
      <c r="AV1242" s="8">
        <f ca="1">IFERROR(__xludf.DUMMYFUNCTION("""COMPUTED_VALUE"""),-102.634273)</f>
        <v>-102.63427299999999</v>
      </c>
      <c r="AW1242" s="8"/>
      <c r="AX1242" s="8">
        <f ca="1">IFERROR(__xludf.DUMMYFUNCTION("""COMPUTED_VALUE"""),58639)</f>
        <v>58639</v>
      </c>
    </row>
    <row r="1243" spans="1:50" ht="90" x14ac:dyDescent="0.2">
      <c r="A1243" s="8" t="str">
        <f ca="1">IFERROR(__xludf.DUMMYFUNCTION("""COMPUTED_VALUE"""),"20211005NCGAC")</f>
        <v>20211005NCGAC</v>
      </c>
      <c r="B1243" s="8">
        <f ca="1">IFERROR(__xludf.DUMMYFUNCTION("""COMPUTED_VALUE"""),10)</f>
        <v>10</v>
      </c>
      <c r="C1243" s="8">
        <f ca="1">IFERROR(__xludf.DUMMYFUNCTION("""COMPUTED_VALUE"""),5)</f>
        <v>5</v>
      </c>
      <c r="D1243" s="8">
        <f ca="1">IFERROR(__xludf.DUMMYFUNCTION("""COMPUTED_VALUE"""),2021)</f>
        <v>2021</v>
      </c>
      <c r="E1243" s="9">
        <f ca="1">IFERROR(__xludf.DUMMYFUNCTION("""COMPUTED_VALUE"""),44474)</f>
        <v>44474</v>
      </c>
      <c r="F1243" s="8" t="str">
        <f ca="1">IFERROR(__xludf.DUMMYFUNCTION("""COMPUTED_VALUE"""),"Garinger High School")</f>
        <v>Garinger High School</v>
      </c>
      <c r="G1243" s="8">
        <f ca="1">IFERROR(__xludf.DUMMYFUNCTION("""COMPUTED_VALUE"""),0)</f>
        <v>0</v>
      </c>
      <c r="H1243" s="8">
        <f ca="1">IFERROR(__xludf.DUMMYFUNCTION("""COMPUTED_VALUE"""),0)</f>
        <v>0</v>
      </c>
      <c r="I1243" s="8">
        <f ca="1">IFERROR(__xludf.DUMMYFUNCTION("""COMPUTED_VALUE"""),0)</f>
        <v>0</v>
      </c>
      <c r="J1243" s="8">
        <f ca="1">IFERROR(__xludf.DUMMYFUNCTION("""COMPUTED_VALUE"""),0)</f>
        <v>0</v>
      </c>
      <c r="K1243" s="8" t="str">
        <f ca="1">IFERROR(__xludf.DUMMYFUNCTION("""COMPUTED_VALUE"""),"https://www.wcnc.com/article/news/crime/garinger-high-school-lockdown-police-activity/275-eaf117ce-5111-49d9-9fd9-95631a450dce https://www.charlotteobserver.com/news/local/article254768892.html https://www.wbtv.com/2021/10/05/school-officials-gun-found-ch"&amp;"arlotte-high-school-during-lockdown-after-shots-fired-near-school/")</f>
        <v>https://www.wcnc.com/article/news/crime/garinger-high-school-lockdown-police-activity/275-eaf117ce-5111-49d9-9fd9-95631a450dce https://www.charlotteobserver.com/news/local/article254768892.html https://www.wbtv.com/2021/10/05/school-officials-gun-found-charlotte-high-school-during-lockdown-after-shots-fired-near-school/</v>
      </c>
      <c r="L1243" s="8">
        <f ca="1">IFERROR(__xludf.DUMMYFUNCTION("""COMPUTED_VALUE"""),10)</f>
        <v>10</v>
      </c>
      <c r="M1243" s="8" t="str">
        <f ca="1">IFERROR(__xludf.DUMMYFUNCTION("""COMPUTED_VALUE"""),"Local")</f>
        <v>Local</v>
      </c>
      <c r="N1243" s="8">
        <f ca="1">IFERROR(__xludf.DUMMYFUNCTION("""COMPUTED_VALUE"""),4)</f>
        <v>4</v>
      </c>
      <c r="O1243" s="8" t="str">
        <f ca="1">IFERROR(__xludf.DUMMYFUNCTION("""COMPUTED_VALUE"""),"Fall")</f>
        <v>Fall</v>
      </c>
      <c r="P1243" s="8" t="str">
        <f ca="1">IFERROR(__xludf.DUMMYFUNCTION("""COMPUTED_VALUE"""),"Charlotte")</f>
        <v>Charlotte</v>
      </c>
      <c r="Q1243" s="8" t="str">
        <f ca="1">IFERROR(__xludf.DUMMYFUNCTION("""COMPUTED_VALUE"""),"NC")</f>
        <v>NC</v>
      </c>
      <c r="R1243" s="8" t="str">
        <f ca="1">IFERROR(__xludf.DUMMYFUNCTION("""COMPUTED_VALUE"""),"High")</f>
        <v>High</v>
      </c>
      <c r="S1243" s="8" t="str">
        <f ca="1">IFERROR(__xludf.DUMMYFUNCTION("""COMPUTED_VALUE"""),"Front of School")</f>
        <v>Front of School</v>
      </c>
      <c r="T1243" s="8" t="str">
        <f ca="1">IFERROR(__xludf.DUMMYFUNCTION("""COMPUTED_VALUE"""),"Outside on School Property")</f>
        <v>Outside on School Property</v>
      </c>
      <c r="U1243" s="8" t="str">
        <f ca="1">IFERROR(__xludf.DUMMYFUNCTION("""COMPUTED_VALUE"""),"Yes")</f>
        <v>Yes</v>
      </c>
      <c r="V1243" s="8" t="str">
        <f ca="1">IFERROR(__xludf.DUMMYFUNCTION("""COMPUTED_VALUE"""),"Morning Classes")</f>
        <v>Morning Classes</v>
      </c>
      <c r="W1243" s="11">
        <f ca="1">IFERROR(__xludf.DUMMYFUNCTION("""COMPUTED_VALUE"""),0.291666666666666)</f>
        <v>0.29166666666666602</v>
      </c>
      <c r="X1243" s="8">
        <f ca="1">IFERROR(__xludf.DUMMYFUNCTION("""COMPUTED_VALUE"""),1)</f>
        <v>1</v>
      </c>
      <c r="Y1243" s="12" t="str">
        <f ca="1">IFERROR(__xludf.DUMMYFUNCTION("""COMPUTED_VALUE"""),"Student fired shot at vehicle and then ran inside the school, lockdown, gun recovered")</f>
        <v>Student fired shot at vehicle and then ran inside the school, lockdown, gun recovered</v>
      </c>
      <c r="Z1243" s="12" t="str">
        <f ca="1">IFERROR(__xludf.DUMMYFUNCTION("""COMPUTED_VALUE"""),"A teenage student fired shots at a vehicle on the street in front of the school. Shot may have been fired from the vehicle at the student. The shooter then ran into the school. The school was locked down and search by police. Police recovered a loaded han"&amp;"dgun and 2 magazines. Student was arrested.")</f>
        <v>A teenage student fired shots at a vehicle on the street in front of the school. Shot may have been fired from the vehicle at the student. The shooter then ran into the school. The school was locked down and search by police. Police recovered a loaded handgun and 2 magazines. Student was arrested.</v>
      </c>
      <c r="AA1243" s="8" t="str">
        <f ca="1">IFERROR(__xludf.DUMMYFUNCTION("""COMPUTED_VALUE"""),"Drive-by Shooting")</f>
        <v>Drive-by Shooting</v>
      </c>
      <c r="AB1243" s="8"/>
      <c r="AC1243" s="8" t="str">
        <f ca="1">IFERROR(__xludf.DUMMYFUNCTION("""COMPUTED_VALUE"""),"Yes")</f>
        <v>Yes</v>
      </c>
      <c r="AD1243" s="8" t="str">
        <f ca="1">IFERROR(__xludf.DUMMYFUNCTION("""COMPUTED_VALUE"""),"Victims Targeted")</f>
        <v>Victims Targeted</v>
      </c>
      <c r="AE1243" s="8" t="str">
        <f ca="1">IFERROR(__xludf.DUMMYFUNCTION("""COMPUTED_VALUE"""),"Yes")</f>
        <v>Yes</v>
      </c>
      <c r="AF1243" s="8"/>
      <c r="AG1243" s="8"/>
      <c r="AH1243" s="8" t="str">
        <f ca="1">IFERROR(__xludf.DUMMYFUNCTION("""COMPUTED_VALUE"""),"No")</f>
        <v>No</v>
      </c>
      <c r="AI1243" s="8" t="str">
        <f ca="1">IFERROR(__xludf.DUMMYFUNCTION("""COMPUTED_VALUE"""),"No")</f>
        <v>No</v>
      </c>
      <c r="AJ1243" s="8" t="str">
        <f ca="1">IFERROR(__xludf.DUMMYFUNCTION("""COMPUTED_VALUE"""),"No")</f>
        <v>No</v>
      </c>
      <c r="AK1243" s="8" t="str">
        <f ca="1">IFERROR(__xludf.DUMMYFUNCTION("""COMPUTED_VALUE"""),"No")</f>
        <v>No</v>
      </c>
      <c r="AL1243" s="8"/>
      <c r="AM1243" s="8" t="str">
        <f ca="1">IFERROR(__xludf.DUMMYFUNCTION("""COMPUTED_VALUE"""),"No")</f>
        <v>No</v>
      </c>
      <c r="AN1243" s="8"/>
      <c r="AO1243" s="8" t="str">
        <f ca="1">IFERROR(__xludf.DUMMYFUNCTION("""COMPUTED_VALUE"""),"No")</f>
        <v>No</v>
      </c>
      <c r="AP1243" s="8"/>
      <c r="AQ1243" s="8"/>
      <c r="AR1243" s="8"/>
      <c r="AS1243" s="8"/>
      <c r="AT1243" s="8" t="str">
        <f ca="1">IFERROR(__xludf.DUMMYFUNCTION("""COMPUTED_VALUE"""),"Yes")</f>
        <v>Yes</v>
      </c>
      <c r="AU1243" s="8">
        <f ca="1">IFERROR(__xludf.DUMMYFUNCTION("""COMPUTED_VALUE"""),35.24193)</f>
        <v>35.241930000000004</v>
      </c>
      <c r="AV1243" s="8">
        <f ca="1">IFERROR(__xludf.DUMMYFUNCTION("""COMPUTED_VALUE"""),-80.780729)</f>
        <v>-80.780728999999994</v>
      </c>
      <c r="AW1243" s="8"/>
      <c r="AX1243" s="8">
        <f ca="1">IFERROR(__xludf.DUMMYFUNCTION("""COMPUTED_VALUE"""),28205)</f>
        <v>28205</v>
      </c>
    </row>
    <row r="1244" spans="1:50" ht="90" x14ac:dyDescent="0.2">
      <c r="A1244" s="8" t="str">
        <f ca="1">IFERROR(__xludf.DUMMYFUNCTION("""COMPUTED_VALUE"""),"20211004PASCP")</f>
        <v>20211004PASCP</v>
      </c>
      <c r="B1244" s="8">
        <f ca="1">IFERROR(__xludf.DUMMYFUNCTION("""COMPUTED_VALUE"""),10)</f>
        <v>10</v>
      </c>
      <c r="C1244" s="8">
        <f ca="1">IFERROR(__xludf.DUMMYFUNCTION("""COMPUTED_VALUE"""),4)</f>
        <v>4</v>
      </c>
      <c r="D1244" s="8">
        <f ca="1">IFERROR(__xludf.DUMMYFUNCTION("""COMPUTED_VALUE"""),2021)</f>
        <v>2021</v>
      </c>
      <c r="E1244" s="9">
        <f ca="1">IFERROR(__xludf.DUMMYFUNCTION("""COMPUTED_VALUE"""),44473)</f>
        <v>44473</v>
      </c>
      <c r="F1244" s="8" t="str">
        <f ca="1">IFERROR(__xludf.DUMMYFUNCTION("""COMPUTED_VALUE"""),"School of the Future")</f>
        <v>School of the Future</v>
      </c>
      <c r="G1244" s="8">
        <f ca="1">IFERROR(__xludf.DUMMYFUNCTION("""COMPUTED_VALUE"""),0)</f>
        <v>0</v>
      </c>
      <c r="H1244" s="8">
        <f ca="1">IFERROR(__xludf.DUMMYFUNCTION("""COMPUTED_VALUE"""),2)</f>
        <v>2</v>
      </c>
      <c r="I1244" s="8">
        <f ca="1">IFERROR(__xludf.DUMMYFUNCTION("""COMPUTED_VALUE"""),2)</f>
        <v>2</v>
      </c>
      <c r="J1244" s="8">
        <f ca="1">IFERROR(__xludf.DUMMYFUNCTION("""COMPUTED_VALUE"""),0)</f>
        <v>0</v>
      </c>
      <c r="K1244" s="8" t="str">
        <f ca="1">IFERROR(__xludf.DUMMYFUNCTION("""COMPUTED_VALUE"""),"https://www.wrex.com/news/top-stories/two-officers-shot-near-philadelphia-school-related-shooting-at-nearby-hospital/article_7b3f5b44-24e8-11ec-b4d3-ef1ba88d79d7.html https://www.nbcphiladelphia.com/news/local/person-shot-inside-jefferson-hospital-shooter"&amp;"-flees/2979652/ https://6abc.com/philadelphia-hospital-shooting-thomas-jefferson-university-center-city-philly/11077698/")</f>
        <v>https://www.wrex.com/news/top-stories/two-officers-shot-near-philadelphia-school-related-shooting-at-nearby-hospital/article_7b3f5b44-24e8-11ec-b4d3-ef1ba88d79d7.html https://www.nbcphiladelphia.com/news/local/person-shot-inside-jefferson-hospital-shooter-flees/2979652/ https://6abc.com/philadelphia-hospital-shooting-thomas-jefferson-university-center-city-philly/11077698/</v>
      </c>
      <c r="L1244" s="8">
        <f ca="1">IFERROR(__xludf.DUMMYFUNCTION("""COMPUTED_VALUE"""),10)</f>
        <v>10</v>
      </c>
      <c r="M1244" s="8" t="str">
        <f ca="1">IFERROR(__xludf.DUMMYFUNCTION("""COMPUTED_VALUE"""),"Regional")</f>
        <v>Regional</v>
      </c>
      <c r="N1244" s="8">
        <f ca="1">IFERROR(__xludf.DUMMYFUNCTION("""COMPUTED_VALUE"""),4)</f>
        <v>4</v>
      </c>
      <c r="O1244" s="8" t="str">
        <f ca="1">IFERROR(__xludf.DUMMYFUNCTION("""COMPUTED_VALUE"""),"Fall")</f>
        <v>Fall</v>
      </c>
      <c r="P1244" s="8" t="str">
        <f ca="1">IFERROR(__xludf.DUMMYFUNCTION("""COMPUTED_VALUE"""),"Philadelphia")</f>
        <v>Philadelphia</v>
      </c>
      <c r="Q1244" s="8" t="str">
        <f ca="1">IFERROR(__xludf.DUMMYFUNCTION("""COMPUTED_VALUE"""),"PA")</f>
        <v>PA</v>
      </c>
      <c r="R1244" s="8" t="str">
        <f ca="1">IFERROR(__xludf.DUMMYFUNCTION("""COMPUTED_VALUE"""),"High")</f>
        <v>High</v>
      </c>
      <c r="S1244" s="8" t="str">
        <f ca="1">IFERROR(__xludf.DUMMYFUNCTION("""COMPUTED_VALUE"""),"Outside on School Property")</f>
        <v>Outside on School Property</v>
      </c>
      <c r="T1244" s="8" t="str">
        <f ca="1">IFERROR(__xludf.DUMMYFUNCTION("""COMPUTED_VALUE"""),"Outside on School Property")</f>
        <v>Outside on School Property</v>
      </c>
      <c r="U1244" s="8" t="str">
        <f ca="1">IFERROR(__xludf.DUMMYFUNCTION("""COMPUTED_VALUE"""),"No")</f>
        <v>No</v>
      </c>
      <c r="V1244" s="8" t="str">
        <f ca="1">IFERROR(__xludf.DUMMYFUNCTION("""COMPUTED_VALUE"""),"Night")</f>
        <v>Night</v>
      </c>
      <c r="W1244" s="11">
        <f ca="1">IFERROR(__xludf.DUMMYFUNCTION("""COMPUTED_VALUE"""),0.0590277777777777)</f>
        <v>5.90277777777777E-2</v>
      </c>
      <c r="X1244" s="8">
        <f ca="1">IFERROR(__xludf.DUMMYFUNCTION("""COMPUTED_VALUE"""),1)</f>
        <v>1</v>
      </c>
      <c r="Y1244" s="12" t="str">
        <f ca="1">IFERROR(__xludf.DUMMYFUNCTION("""COMPUTED_VALUE"""),"Active shooter fled workplace shooting scene, shootout with police behind school")</f>
        <v>Active shooter fled workplace shooting scene, shootout with police behind school</v>
      </c>
      <c r="Z1244" s="12" t="str">
        <f ca="1">IFERROR(__xludf.DUMMYFUNCTION("""COMPUTED_VALUE"""),"An adult male with a semi-auto rifle, handgun, and wearing body armor shot 2 coworkers at Center City Hospital. He fled on foot and was engaged by 4 officers behind the high school. Two officers were shot. Shooter was shot multiple times and transported i"&amp;"n critical condition. School was switched to virtual learning due to shooting.")</f>
        <v>An adult male with a semi-auto rifle, handgun, and wearing body armor shot 2 coworkers at Center City Hospital. He fled on foot and was engaged by 4 officers behind the high school. Two officers were shot. Shooter was shot multiple times and transported in critical condition. School was switched to virtual learning due to shooting.</v>
      </c>
      <c r="AA1244" s="8"/>
      <c r="AB1244" s="8"/>
      <c r="AC1244" s="8" t="str">
        <f ca="1">IFERROR(__xludf.DUMMYFUNCTION("""COMPUTED_VALUE"""),"No")</f>
        <v>No</v>
      </c>
      <c r="AD1244" s="8" t="str">
        <f ca="1">IFERROR(__xludf.DUMMYFUNCTION("""COMPUTED_VALUE"""),"Both")</f>
        <v>Both</v>
      </c>
      <c r="AE1244" s="8" t="str">
        <f ca="1">IFERROR(__xludf.DUMMYFUNCTION("""COMPUTED_VALUE"""),"No")</f>
        <v>No</v>
      </c>
      <c r="AF1244" s="8"/>
      <c r="AG1244" s="8" t="str">
        <f ca="1">IFERROR(__xludf.DUMMYFUNCTION("""COMPUTED_VALUE"""),"No")</f>
        <v>No</v>
      </c>
      <c r="AH1244" s="8" t="str">
        <f ca="1">IFERROR(__xludf.DUMMYFUNCTION("""COMPUTED_VALUE"""),"No")</f>
        <v>No</v>
      </c>
      <c r="AI1244" s="8" t="str">
        <f ca="1">IFERROR(__xludf.DUMMYFUNCTION("""COMPUTED_VALUE"""),"No")</f>
        <v>No</v>
      </c>
      <c r="AJ1244" s="8" t="str">
        <f ca="1">IFERROR(__xludf.DUMMYFUNCTION("""COMPUTED_VALUE"""),"No")</f>
        <v>No</v>
      </c>
      <c r="AK1244" s="8"/>
      <c r="AL1244" s="8" t="str">
        <f ca="1">IFERROR(__xludf.DUMMYFUNCTION("""COMPUTED_VALUE"""),"No")</f>
        <v>No</v>
      </c>
      <c r="AM1244" s="8" t="str">
        <f ca="1">IFERROR(__xludf.DUMMYFUNCTION("""COMPUTED_VALUE"""),"Yes")</f>
        <v>Yes</v>
      </c>
      <c r="AN1244" s="8" t="str">
        <f ca="1">IFERROR(__xludf.DUMMYFUNCTION("""COMPUTED_VALUE"""),"Outside")</f>
        <v>Outside</v>
      </c>
      <c r="AO1244" s="8" t="str">
        <f ca="1">IFERROR(__xludf.DUMMYFUNCTION("""COMPUTED_VALUE"""),"No")</f>
        <v>No</v>
      </c>
      <c r="AP1244" s="8"/>
      <c r="AQ1244" s="8"/>
      <c r="AR1244" s="8" t="str">
        <f ca="1">IFERROR(__xludf.DUMMYFUNCTION("""COMPUTED_VALUE"""),"Outside/Off-Property")</f>
        <v>Outside/Off-Property</v>
      </c>
      <c r="AS1244" s="8">
        <f ca="1">IFERROR(__xludf.DUMMYFUNCTION("""COMPUTED_VALUE"""),100)</f>
        <v>100</v>
      </c>
      <c r="AT1244" s="8"/>
      <c r="AU1244" s="8">
        <f ca="1">IFERROR(__xludf.DUMMYFUNCTION("""COMPUTED_VALUE"""),39.976009)</f>
        <v>39.976008999999998</v>
      </c>
      <c r="AV1244" s="8">
        <f ca="1">IFERROR(__xludf.DUMMYFUNCTION("""COMPUTED_VALUE"""),-75.203006)</f>
        <v>-75.203006000000002</v>
      </c>
      <c r="AW1244" s="8"/>
      <c r="AX1244" s="8">
        <f ca="1">IFERROR(__xludf.DUMMYFUNCTION("""COMPUTED_VALUE"""),19104)</f>
        <v>19104</v>
      </c>
    </row>
    <row r="1245" spans="1:50" ht="90" x14ac:dyDescent="0.2">
      <c r="A1245" s="8" t="str">
        <f ca="1">IFERROR(__xludf.DUMMYFUNCTION("""COMPUTED_VALUE"""),"20211004OHWOT")</f>
        <v>20211004OHWOT</v>
      </c>
      <c r="B1245" s="8">
        <f ca="1">IFERROR(__xludf.DUMMYFUNCTION("""COMPUTED_VALUE"""),10)</f>
        <v>10</v>
      </c>
      <c r="C1245" s="8">
        <f ca="1">IFERROR(__xludf.DUMMYFUNCTION("""COMPUTED_VALUE"""),4)</f>
        <v>4</v>
      </c>
      <c r="D1245" s="8">
        <f ca="1">IFERROR(__xludf.DUMMYFUNCTION("""COMPUTED_VALUE"""),2021)</f>
        <v>2021</v>
      </c>
      <c r="E1245" s="9">
        <f ca="1">IFERROR(__xludf.DUMMYFUNCTION("""COMPUTED_VALUE"""),44473)</f>
        <v>44473</v>
      </c>
      <c r="F1245" s="8" t="str">
        <f ca="1">IFERROR(__xludf.DUMMYFUNCTION("""COMPUTED_VALUE"""),"Woodward High School")</f>
        <v>Woodward High School</v>
      </c>
      <c r="G1245" s="8">
        <f ca="1">IFERROR(__xludf.DUMMYFUNCTION("""COMPUTED_VALUE"""),0)</f>
        <v>0</v>
      </c>
      <c r="H1245" s="8">
        <f ca="1">IFERROR(__xludf.DUMMYFUNCTION("""COMPUTED_VALUE"""),1)</f>
        <v>1</v>
      </c>
      <c r="I1245" s="8">
        <f ca="1">IFERROR(__xludf.DUMMYFUNCTION("""COMPUTED_VALUE"""),1)</f>
        <v>1</v>
      </c>
      <c r="J1245" s="8">
        <f ca="1">IFERROR(__xludf.DUMMYFUNCTION("""COMPUTED_VALUE"""),0)</f>
        <v>0</v>
      </c>
      <c r="K1245" s="8" t="str">
        <f ca="1">IFERROR(__xludf.DUMMYFUNCTION("""COMPUTED_VALUE"""),"https://www.wlwt.com/article/police-student-shot-in-arm-outside-of-woodward-high-school/37858634# https://www.fox19.com/2021/10/04/shooting-reported-outside-woodward-high-school-police-say/")</f>
        <v>https://www.wlwt.com/article/police-student-shot-in-arm-outside-of-woodward-high-school/37858634# https://www.fox19.com/2021/10/04/shooting-reported-outside-woodward-high-school-police-say/</v>
      </c>
      <c r="L1245" s="8">
        <f ca="1">IFERROR(__xludf.DUMMYFUNCTION("""COMPUTED_VALUE"""),2)</f>
        <v>2</v>
      </c>
      <c r="M1245" s="8" t="str">
        <f ca="1">IFERROR(__xludf.DUMMYFUNCTION("""COMPUTED_VALUE"""),"Local")</f>
        <v>Local</v>
      </c>
      <c r="N1245" s="8">
        <f ca="1">IFERROR(__xludf.DUMMYFUNCTION("""COMPUTED_VALUE"""),4)</f>
        <v>4</v>
      </c>
      <c r="O1245" s="8" t="str">
        <f ca="1">IFERROR(__xludf.DUMMYFUNCTION("""COMPUTED_VALUE"""),"Fall")</f>
        <v>Fall</v>
      </c>
      <c r="P1245" s="8" t="str">
        <f ca="1">IFERROR(__xludf.DUMMYFUNCTION("""COMPUTED_VALUE"""),"Toledo")</f>
        <v>Toledo</v>
      </c>
      <c r="Q1245" s="8" t="str">
        <f ca="1">IFERROR(__xludf.DUMMYFUNCTION("""COMPUTED_VALUE"""),"OH")</f>
        <v>OH</v>
      </c>
      <c r="R1245" s="8" t="str">
        <f ca="1">IFERROR(__xludf.DUMMYFUNCTION("""COMPUTED_VALUE"""),"High")</f>
        <v>High</v>
      </c>
      <c r="S1245" s="8" t="str">
        <f ca="1">IFERROR(__xludf.DUMMYFUNCTION("""COMPUTED_VALUE"""),"Off School Property")</f>
        <v>Off School Property</v>
      </c>
      <c r="T1245" s="8" t="str">
        <f ca="1">IFERROR(__xludf.DUMMYFUNCTION("""COMPUTED_VALUE"""),"Off School Property")</f>
        <v>Off School Property</v>
      </c>
      <c r="U1245" s="8" t="str">
        <f ca="1">IFERROR(__xludf.DUMMYFUNCTION("""COMPUTED_VALUE"""),"No")</f>
        <v>No</v>
      </c>
      <c r="V1245" s="8" t="str">
        <f ca="1">IFERROR(__xludf.DUMMYFUNCTION("""COMPUTED_VALUE"""),"After School")</f>
        <v>After School</v>
      </c>
      <c r="W1245" s="11">
        <f ca="1">IFERROR(__xludf.DUMMYFUNCTION("""COMPUTED_VALUE"""),0.6875)</f>
        <v>0.6875</v>
      </c>
      <c r="X1245" s="8">
        <f ca="1">IFERROR(__xludf.DUMMYFUNCTION("""COMPUTED_VALUE"""),1)</f>
        <v>1</v>
      </c>
      <c r="Y1245" s="12" t="str">
        <f ca="1">IFERROR(__xludf.DUMMYFUNCTION("""COMPUTED_VALUE"""),"Student shot across the street, ran to school for assistance")</f>
        <v>Student shot across the street, ran to school for assistance</v>
      </c>
      <c r="Z1245" s="12" t="str">
        <f ca="1">IFERROR(__xludf.DUMMYFUNCTION("""COMPUTED_VALUE"""),"A 17-year-old student was with a group of student in the parking lot across from the high school when he was shot. The shooter fled. The student ran to the school for assistance. Teachers and staff still at the school locked down the building. Police and "&amp;"EMS responded to the school and the student was transported to the hospital.")</f>
        <v>A 17-year-old student was with a group of student in the parking lot across from the high school when he was shot. The shooter fled. The student ran to the school for assistance. Teachers and staff still at the school locked down the building. Police and EMS responded to the school and the student was transported to the hospital.</v>
      </c>
      <c r="AA1245" s="8"/>
      <c r="AB1245" s="8"/>
      <c r="AC1245" s="8" t="str">
        <f ca="1">IFERROR(__xludf.DUMMYFUNCTION("""COMPUTED_VALUE"""),"Yes")</f>
        <v>Yes</v>
      </c>
      <c r="AD1245" s="8"/>
      <c r="AE1245" s="8" t="str">
        <f ca="1">IFERROR(__xludf.DUMMYFUNCTION("""COMPUTED_VALUE"""),"No")</f>
        <v>No</v>
      </c>
      <c r="AF1245" s="8"/>
      <c r="AG1245" s="8" t="str">
        <f ca="1">IFERROR(__xludf.DUMMYFUNCTION("""COMPUTED_VALUE"""),"No")</f>
        <v>No</v>
      </c>
      <c r="AH1245" s="8" t="str">
        <f ca="1">IFERROR(__xludf.DUMMYFUNCTION("""COMPUTED_VALUE"""),"No")</f>
        <v>No</v>
      </c>
      <c r="AI1245" s="8" t="str">
        <f ca="1">IFERROR(__xludf.DUMMYFUNCTION("""COMPUTED_VALUE"""),"No")</f>
        <v>No</v>
      </c>
      <c r="AJ1245" s="8" t="str">
        <f ca="1">IFERROR(__xludf.DUMMYFUNCTION("""COMPUTED_VALUE"""),"No")</f>
        <v>No</v>
      </c>
      <c r="AK1245" s="8" t="str">
        <f ca="1">IFERROR(__xludf.DUMMYFUNCTION("""COMPUTED_VALUE"""),"No")</f>
        <v>No</v>
      </c>
      <c r="AL1245" s="8"/>
      <c r="AM1245" s="8" t="str">
        <f ca="1">IFERROR(__xludf.DUMMYFUNCTION("""COMPUTED_VALUE"""),"No")</f>
        <v>No</v>
      </c>
      <c r="AN1245" s="8"/>
      <c r="AO1245" s="8" t="str">
        <f ca="1">IFERROR(__xludf.DUMMYFUNCTION("""COMPUTED_VALUE"""),"No")</f>
        <v>No</v>
      </c>
      <c r="AP1245" s="8"/>
      <c r="AQ1245" s="8"/>
      <c r="AR1245" s="8" t="str">
        <f ca="1">IFERROR(__xludf.DUMMYFUNCTION("""COMPUTED_VALUE"""),"Outside/Off-Property")</f>
        <v>Outside/Off-Property</v>
      </c>
      <c r="AS1245" s="8"/>
      <c r="AT1245" s="8" t="str">
        <f ca="1">IFERROR(__xludf.DUMMYFUNCTION("""COMPUTED_VALUE"""),"Yes")</f>
        <v>Yes</v>
      </c>
      <c r="AU1245" s="8">
        <f ca="1">IFERROR(__xludf.DUMMYFUNCTION("""COMPUTED_VALUE"""),41.679009)</f>
        <v>41.679009000000001</v>
      </c>
      <c r="AV1245" s="8">
        <f ca="1">IFERROR(__xludf.DUMMYFUNCTION("""COMPUTED_VALUE"""),-83.526718)</f>
        <v>-83.526718000000002</v>
      </c>
      <c r="AW1245" s="8"/>
      <c r="AX1245" s="8">
        <f ca="1">IFERROR(__xludf.DUMMYFUNCTION("""COMPUTED_VALUE"""),43608)</f>
        <v>43608</v>
      </c>
    </row>
    <row r="1246" spans="1:50" ht="75" x14ac:dyDescent="0.2">
      <c r="A1246" s="8" t="str">
        <f ca="1">IFERROR(__xludf.DUMMYFUNCTION("""COMPUTED_VALUE"""),"20211004NMSAS")</f>
        <v>20211004NMSAS</v>
      </c>
      <c r="B1246" s="8">
        <f ca="1">IFERROR(__xludf.DUMMYFUNCTION("""COMPUTED_VALUE"""),10)</f>
        <v>10</v>
      </c>
      <c r="C1246" s="8">
        <f ca="1">IFERROR(__xludf.DUMMYFUNCTION("""COMPUTED_VALUE"""),4)</f>
        <v>4</v>
      </c>
      <c r="D1246" s="8">
        <f ca="1">IFERROR(__xludf.DUMMYFUNCTION("""COMPUTED_VALUE"""),2021)</f>
        <v>2021</v>
      </c>
      <c r="E1246" s="9">
        <f ca="1">IFERROR(__xludf.DUMMYFUNCTION("""COMPUTED_VALUE"""),44473)</f>
        <v>44473</v>
      </c>
      <c r="F1246" s="8" t="str">
        <f ca="1">IFERROR(__xludf.DUMMYFUNCTION("""COMPUTED_VALUE"""),"Santa Fe Indian School")</f>
        <v>Santa Fe Indian School</v>
      </c>
      <c r="G1246" s="8">
        <f ca="1">IFERROR(__xludf.DUMMYFUNCTION("""COMPUTED_VALUE"""),0)</f>
        <v>0</v>
      </c>
      <c r="H1246" s="8">
        <f ca="1">IFERROR(__xludf.DUMMYFUNCTION("""COMPUTED_VALUE"""),0)</f>
        <v>0</v>
      </c>
      <c r="I1246" s="8">
        <f ca="1">IFERROR(__xludf.DUMMYFUNCTION("""COMPUTED_VALUE"""),0)</f>
        <v>0</v>
      </c>
      <c r="J1246" s="8">
        <f ca="1">IFERROR(__xludf.DUMMYFUNCTION("""COMPUTED_VALUE"""),0)</f>
        <v>0</v>
      </c>
      <c r="K1246" s="10" t="str">
        <f ca="1">IFERROR(__xludf.DUMMYFUNCTION("""COMPUTED_VALUE"""),"https://www.santafenewmexican.com/news/local_news/suspect-in-shooting-spree-near-santa-fe-indian-school-charged-with-murder/article_29ff33f0-5e89-11ec-b003-9f6af4c814ff.html")</f>
        <v>https://www.santafenewmexican.com/news/local_news/suspect-in-shooting-spree-near-santa-fe-indian-school-charged-with-murder/article_29ff33f0-5e89-11ec-b003-9f6af4c814ff.html</v>
      </c>
      <c r="L1246" s="8">
        <f ca="1">IFERROR(__xludf.DUMMYFUNCTION("""COMPUTED_VALUE"""),1)</f>
        <v>1</v>
      </c>
      <c r="M1246" s="8" t="str">
        <f ca="1">IFERROR(__xludf.DUMMYFUNCTION("""COMPUTED_VALUE"""),"Local")</f>
        <v>Local</v>
      </c>
      <c r="N1246" s="8">
        <f ca="1">IFERROR(__xludf.DUMMYFUNCTION("""COMPUTED_VALUE"""),3)</f>
        <v>3</v>
      </c>
      <c r="O1246" s="8" t="str">
        <f ca="1">IFERROR(__xludf.DUMMYFUNCTION("""COMPUTED_VALUE"""),"Winter")</f>
        <v>Winter</v>
      </c>
      <c r="P1246" s="8" t="str">
        <f ca="1">IFERROR(__xludf.DUMMYFUNCTION("""COMPUTED_VALUE"""),"Santa Fe")</f>
        <v>Santa Fe</v>
      </c>
      <c r="Q1246" s="8" t="str">
        <f ca="1">IFERROR(__xludf.DUMMYFUNCTION("""COMPUTED_VALUE"""),"NM")</f>
        <v>NM</v>
      </c>
      <c r="R1246" s="13">
        <f ca="1">IFERROR(__xludf.DUMMYFUNCTION("""COMPUTED_VALUE"""),44724)</f>
        <v>44724</v>
      </c>
      <c r="S1246" s="8" t="str">
        <f ca="1">IFERROR(__xludf.DUMMYFUNCTION("""COMPUTED_VALUE"""),"Outside on School Property")</f>
        <v>Outside on School Property</v>
      </c>
      <c r="T1246" s="8" t="str">
        <f ca="1">IFERROR(__xludf.DUMMYFUNCTION("""COMPUTED_VALUE"""),"Outside on School Property")</f>
        <v>Outside on School Property</v>
      </c>
      <c r="U1246" s="8" t="str">
        <f ca="1">IFERROR(__xludf.DUMMYFUNCTION("""COMPUTED_VALUE"""),"Yes")</f>
        <v>Yes</v>
      </c>
      <c r="V1246" s="8"/>
      <c r="W1246" s="8"/>
      <c r="X1246" s="8"/>
      <c r="Y1246" s="12" t="str">
        <f ca="1">IFERROR(__xludf.DUMMYFUNCTION("""COMPUTED_VALUE"""),"Man fired shots and attempted to steal vehicles, arrested on school property")</f>
        <v>Man fired shots and attempted to steal vehicles, arrested on school property</v>
      </c>
      <c r="Z1246" s="12" t="str">
        <f ca="1">IFERROR(__xludf.DUMMYFUNCTION("""COMPUTED_VALUE"""),"A wanted felon committed multiple crimes in a 12 hour period. He was arrested on school property after firing multiple times and attempting to steal vehicles. Charged for a murder the day prior and 13 other felonies. No students injured.")</f>
        <v>A wanted felon committed multiple crimes in a 12 hour period. He was arrested on school property after firing multiple times and attempting to steal vehicles. Charged for a murder the day prior and 13 other felonies. No students injured.</v>
      </c>
      <c r="AA1246" s="8" t="str">
        <f ca="1">IFERROR(__xludf.DUMMYFUNCTION("""COMPUTED_VALUE"""),"Illegal Activity")</f>
        <v>Illegal Activity</v>
      </c>
      <c r="AB1246" s="8"/>
      <c r="AC1246" s="8" t="str">
        <f ca="1">IFERROR(__xludf.DUMMYFUNCTION("""COMPUTED_VALUE"""),"Yes")</f>
        <v>Yes</v>
      </c>
      <c r="AD1246" s="8" t="str">
        <f ca="1">IFERROR(__xludf.DUMMYFUNCTION("""COMPUTED_VALUE"""),"Random Shooting")</f>
        <v>Random Shooting</v>
      </c>
      <c r="AE1246" s="8" t="str">
        <f ca="1">IFERROR(__xludf.DUMMYFUNCTION("""COMPUTED_VALUE"""),"No")</f>
        <v>No</v>
      </c>
      <c r="AF1246" s="8"/>
      <c r="AG1246" s="8" t="str">
        <f ca="1">IFERROR(__xludf.DUMMYFUNCTION("""COMPUTED_VALUE"""),"No")</f>
        <v>No</v>
      </c>
      <c r="AH1246" s="8" t="str">
        <f ca="1">IFERROR(__xludf.DUMMYFUNCTION("""COMPUTED_VALUE"""),"No")</f>
        <v>No</v>
      </c>
      <c r="AI1246" s="8" t="str">
        <f ca="1">IFERROR(__xludf.DUMMYFUNCTION("""COMPUTED_VALUE"""),"No")</f>
        <v>No</v>
      </c>
      <c r="AJ1246" s="8" t="str">
        <f ca="1">IFERROR(__xludf.DUMMYFUNCTION("""COMPUTED_VALUE"""),"No")</f>
        <v>No</v>
      </c>
      <c r="AK1246" s="8" t="str">
        <f ca="1">IFERROR(__xludf.DUMMYFUNCTION("""COMPUTED_VALUE"""),"No")</f>
        <v>No</v>
      </c>
      <c r="AL1246" s="8" t="str">
        <f ca="1">IFERROR(__xludf.DUMMYFUNCTION("""COMPUTED_VALUE"""),"No")</f>
        <v>No</v>
      </c>
      <c r="AM1246" s="8" t="str">
        <f ca="1">IFERROR(__xludf.DUMMYFUNCTION("""COMPUTED_VALUE"""),"No")</f>
        <v>No</v>
      </c>
      <c r="AN1246" s="8"/>
      <c r="AO1246" s="8" t="str">
        <f ca="1">IFERROR(__xludf.DUMMYFUNCTION("""COMPUTED_VALUE"""),"No")</f>
        <v>No</v>
      </c>
      <c r="AP1246" s="8"/>
      <c r="AQ1246" s="8"/>
      <c r="AR1246" s="8" t="str">
        <f ca="1">IFERROR(__xludf.DUMMYFUNCTION("""COMPUTED_VALUE"""),"Outside/Off-Property")</f>
        <v>Outside/Off-Property</v>
      </c>
      <c r="AS1246" s="8"/>
      <c r="AT1246" s="8"/>
      <c r="AU1246" s="8">
        <f ca="1">IFERROR(__xludf.DUMMYFUNCTION("""COMPUTED_VALUE"""),35.671728)</f>
        <v>35.671728000000002</v>
      </c>
      <c r="AV1246" s="8">
        <f ca="1">IFERROR(__xludf.DUMMYFUNCTION("""COMPUTED_VALUE"""),-105.967696)</f>
        <v>-105.967696</v>
      </c>
      <c r="AW1246" s="8"/>
      <c r="AX1246" s="8">
        <f ca="1">IFERROR(__xludf.DUMMYFUNCTION("""COMPUTED_VALUE"""),87505)</f>
        <v>87505</v>
      </c>
    </row>
    <row r="1247" spans="1:50" ht="30" x14ac:dyDescent="0.2">
      <c r="A1247" s="8" t="str">
        <f ca="1">IFERROR(__xludf.DUMMYFUNCTION("""COMPUTED_VALUE"""),"20211004ILLAC")</f>
        <v>20211004ILLAC</v>
      </c>
      <c r="B1247" s="8">
        <f ca="1">IFERROR(__xludf.DUMMYFUNCTION("""COMPUTED_VALUE"""),10)</f>
        <v>10</v>
      </c>
      <c r="C1247" s="8">
        <f ca="1">IFERROR(__xludf.DUMMYFUNCTION("""COMPUTED_VALUE"""),4)</f>
        <v>4</v>
      </c>
      <c r="D1247" s="8">
        <f ca="1">IFERROR(__xludf.DUMMYFUNCTION("""COMPUTED_VALUE"""),2021)</f>
        <v>2021</v>
      </c>
      <c r="E1247" s="9">
        <f ca="1">IFERROR(__xludf.DUMMYFUNCTION("""COMPUTED_VALUE"""),44473)</f>
        <v>44473</v>
      </c>
      <c r="F1247" s="8" t="str">
        <f ca="1">IFERROR(__xludf.DUMMYFUNCTION("""COMPUTED_VALUE"""),"Lakeview High School")</f>
        <v>Lakeview High School</v>
      </c>
      <c r="G1247" s="8">
        <f ca="1">IFERROR(__xludf.DUMMYFUNCTION("""COMPUTED_VALUE"""),0)</f>
        <v>0</v>
      </c>
      <c r="H1247" s="8">
        <f ca="1">IFERROR(__xludf.DUMMYFUNCTION("""COMPUTED_VALUE"""),0)</f>
        <v>0</v>
      </c>
      <c r="I1247" s="8">
        <f ca="1">IFERROR(__xludf.DUMMYFUNCTION("""COMPUTED_VALUE"""),0)</f>
        <v>0</v>
      </c>
      <c r="J1247" s="8">
        <f ca="1">IFERROR(__xludf.DUMMYFUNCTION("""COMPUTED_VALUE"""),0)</f>
        <v>0</v>
      </c>
      <c r="K1247" s="10" t="str">
        <f ca="1">IFERROR(__xludf.DUMMYFUNCTION("""COMPUTED_VALUE"""),"https://chicago.cbslocal.com/video/6072449-video-of-shooting-outside-lakeview-high-school/")</f>
        <v>https://chicago.cbslocal.com/video/6072449-video-of-shooting-outside-lakeview-high-school/</v>
      </c>
      <c r="L1247" s="8">
        <f ca="1">IFERROR(__xludf.DUMMYFUNCTION("""COMPUTED_VALUE"""),1)</f>
        <v>1</v>
      </c>
      <c r="M1247" s="8" t="str">
        <f ca="1">IFERROR(__xludf.DUMMYFUNCTION("""COMPUTED_VALUE"""),"Local")</f>
        <v>Local</v>
      </c>
      <c r="N1247" s="8">
        <f ca="1">IFERROR(__xludf.DUMMYFUNCTION("""COMPUTED_VALUE"""),4)</f>
        <v>4</v>
      </c>
      <c r="O1247" s="8" t="str">
        <f ca="1">IFERROR(__xludf.DUMMYFUNCTION("""COMPUTED_VALUE"""),"Fall")</f>
        <v>Fall</v>
      </c>
      <c r="P1247" s="8" t="str">
        <f ca="1">IFERROR(__xludf.DUMMYFUNCTION("""COMPUTED_VALUE"""),"Chicago")</f>
        <v>Chicago</v>
      </c>
      <c r="Q1247" s="8" t="str">
        <f ca="1">IFERROR(__xludf.DUMMYFUNCTION("""COMPUTED_VALUE"""),"IL")</f>
        <v>IL</v>
      </c>
      <c r="R1247" s="8" t="str">
        <f ca="1">IFERROR(__xludf.DUMMYFUNCTION("""COMPUTED_VALUE"""),"High")</f>
        <v>High</v>
      </c>
      <c r="S1247" s="8" t="str">
        <f ca="1">IFERROR(__xludf.DUMMYFUNCTION("""COMPUTED_VALUE"""),"Parking Lot")</f>
        <v>Parking Lot</v>
      </c>
      <c r="T1247" s="8" t="str">
        <f ca="1">IFERROR(__xludf.DUMMYFUNCTION("""COMPUTED_VALUE"""),"Outside on School Property")</f>
        <v>Outside on School Property</v>
      </c>
      <c r="U1247" s="8"/>
      <c r="V1247" s="8"/>
      <c r="W1247" s="8"/>
      <c r="X1247" s="8">
        <f ca="1">IFERROR(__xludf.DUMMYFUNCTION("""COMPUTED_VALUE"""),1)</f>
        <v>1</v>
      </c>
      <c r="Y1247" s="12" t="str">
        <f ca="1">IFERROR(__xludf.DUMMYFUNCTION("""COMPUTED_VALUE"""),"Shots fired in school parking lot")</f>
        <v>Shots fired in school parking lot</v>
      </c>
      <c r="Z1247" s="12" t="str">
        <f ca="1">IFERROR(__xludf.DUMMYFUNCTION("""COMPUTED_VALUE"""),"CCTV footage shows more than 12 shots fired in the school parking lot. No other information available.")</f>
        <v>CCTV footage shows more than 12 shots fired in the school parking lot. No other information available.</v>
      </c>
      <c r="AA1247" s="8"/>
      <c r="AB1247" s="8"/>
      <c r="AC1247" s="8" t="str">
        <f ca="1">IFERROR(__xludf.DUMMYFUNCTION("""COMPUTED_VALUE"""),"No")</f>
        <v>No</v>
      </c>
      <c r="AD1247" s="8"/>
      <c r="AE1247" s="8"/>
      <c r="AF1247" s="8"/>
      <c r="AG1247" s="8" t="str">
        <f ca="1">IFERROR(__xludf.DUMMYFUNCTION("""COMPUTED_VALUE"""),"No")</f>
        <v>No</v>
      </c>
      <c r="AH1247" s="8" t="str">
        <f ca="1">IFERROR(__xludf.DUMMYFUNCTION("""COMPUTED_VALUE"""),"No")</f>
        <v>No</v>
      </c>
      <c r="AI1247" s="8" t="str">
        <f ca="1">IFERROR(__xludf.DUMMYFUNCTION("""COMPUTED_VALUE"""),"No")</f>
        <v>No</v>
      </c>
      <c r="AJ1247" s="8" t="str">
        <f ca="1">IFERROR(__xludf.DUMMYFUNCTION("""COMPUTED_VALUE"""),"No")</f>
        <v>No</v>
      </c>
      <c r="AK1247" s="8" t="str">
        <f ca="1">IFERROR(__xludf.DUMMYFUNCTION("""COMPUTED_VALUE"""),"No")</f>
        <v>No</v>
      </c>
      <c r="AL1247" s="8"/>
      <c r="AM1247" s="8" t="str">
        <f ca="1">IFERROR(__xludf.DUMMYFUNCTION("""COMPUTED_VALUE"""),"No")</f>
        <v>No</v>
      </c>
      <c r="AN1247" s="8"/>
      <c r="AO1247" s="8" t="str">
        <f ca="1">IFERROR(__xludf.DUMMYFUNCTION("""COMPUTED_VALUE"""),"No")</f>
        <v>No</v>
      </c>
      <c r="AP1247" s="8"/>
      <c r="AQ1247" s="8"/>
      <c r="AR1247" s="8" t="str">
        <f ca="1">IFERROR(__xludf.DUMMYFUNCTION("""COMPUTED_VALUE"""),"Outside/Off-Property")</f>
        <v>Outside/Off-Property</v>
      </c>
      <c r="AS1247" s="8">
        <f ca="1">IFERROR(__xludf.DUMMYFUNCTION("""COMPUTED_VALUE"""),12)</f>
        <v>12</v>
      </c>
      <c r="AT1247" s="8"/>
      <c r="AU1247" s="8">
        <f ca="1">IFERROR(__xludf.DUMMYFUNCTION("""COMPUTED_VALUE"""),41.954705)</f>
        <v>41.954704999999997</v>
      </c>
      <c r="AV1247" s="8">
        <f ca="1">IFERROR(__xludf.DUMMYFUNCTION("""COMPUTED_VALUE"""),-87.668203)</f>
        <v>-87.668203000000005</v>
      </c>
      <c r="AW1247" s="8"/>
      <c r="AX1247" s="8">
        <f ca="1">IFERROR(__xludf.DUMMYFUNCTION("""COMPUTED_VALUE"""),60613)</f>
        <v>60613</v>
      </c>
    </row>
    <row r="1248" spans="1:50" ht="165" x14ac:dyDescent="0.2">
      <c r="A1248" s="8" t="str">
        <f ca="1">IFERROR(__xludf.DUMMYFUNCTION("""COMPUTED_VALUE"""),"20211001TXYEH")</f>
        <v>20211001TXYEH</v>
      </c>
      <c r="B1248" s="8">
        <f ca="1">IFERROR(__xludf.DUMMYFUNCTION("""COMPUTED_VALUE"""),10)</f>
        <v>10</v>
      </c>
      <c r="C1248" s="8">
        <f ca="1">IFERROR(__xludf.DUMMYFUNCTION("""COMPUTED_VALUE"""),1)</f>
        <v>1</v>
      </c>
      <c r="D1248" s="8">
        <f ca="1">IFERROR(__xludf.DUMMYFUNCTION("""COMPUTED_VALUE"""),2021)</f>
        <v>2021</v>
      </c>
      <c r="E1248" s="9">
        <f ca="1">IFERROR(__xludf.DUMMYFUNCTION("""COMPUTED_VALUE"""),44470)</f>
        <v>44470</v>
      </c>
      <c r="F1248" s="8" t="str">
        <f ca="1">IFERROR(__xludf.DUMMYFUNCTION("""COMPUTED_VALUE"""),"YES Prep")</f>
        <v>YES Prep</v>
      </c>
      <c r="G1248" s="8">
        <f ca="1">IFERROR(__xludf.DUMMYFUNCTION("""COMPUTED_VALUE"""),0)</f>
        <v>0</v>
      </c>
      <c r="H1248" s="8">
        <f ca="1">IFERROR(__xludf.DUMMYFUNCTION("""COMPUTED_VALUE"""),1)</f>
        <v>1</v>
      </c>
      <c r="I1248" s="8">
        <f ca="1">IFERROR(__xludf.DUMMYFUNCTION("""COMPUTED_VALUE"""),1)</f>
        <v>1</v>
      </c>
      <c r="J1248" s="8">
        <f ca="1">IFERROR(__xludf.DUMMYFUNCTION("""COMPUTED_VALUE"""),0)</f>
        <v>0</v>
      </c>
      <c r="K1248" s="8" t="str">
        <f ca="1">IFERROR(__xludf.DUMMYFUNCTION("""COMPUTED_VALUE"""),"https://www.khou.com/article/news/local/houston-school-shooting-report/285-55f3db2d-9784-48db-b496-3e1941d8e211 https://www.click2houston.com/news/local/2021/10/01/active-shooter-reported-at-yes-prep-southwest-secondary-authorities-say/ https://abc13.com/"&amp;"yes-prep-southwest-houston-school-active-shooting-today-whats-happening-at/11069057/")</f>
        <v>https://www.khou.com/article/news/local/houston-school-shooting-report/285-55f3db2d-9784-48db-b496-3e1941d8e211 https://www.click2houston.com/news/local/2021/10/01/active-shooter-reported-at-yes-prep-southwest-secondary-authorities-say/ https://abc13.com/yes-prep-southwest-houston-school-active-shooting-today-whats-happening-at/11069057/</v>
      </c>
      <c r="L1248" s="8">
        <f ca="1">IFERROR(__xludf.DUMMYFUNCTION("""COMPUTED_VALUE"""),100)</f>
        <v>100</v>
      </c>
      <c r="M1248" s="8" t="str">
        <f ca="1">IFERROR(__xludf.DUMMYFUNCTION("""COMPUTED_VALUE"""),"Regional")</f>
        <v>Regional</v>
      </c>
      <c r="N1248" s="8">
        <f ca="1">IFERROR(__xludf.DUMMYFUNCTION("""COMPUTED_VALUE"""),4)</f>
        <v>4</v>
      </c>
      <c r="O1248" s="8" t="str">
        <f ca="1">IFERROR(__xludf.DUMMYFUNCTION("""COMPUTED_VALUE"""),"Fall")</f>
        <v>Fall</v>
      </c>
      <c r="P1248" s="8" t="str">
        <f ca="1">IFERROR(__xludf.DUMMYFUNCTION("""COMPUTED_VALUE"""),"Houston")</f>
        <v>Houston</v>
      </c>
      <c r="Q1248" s="8" t="str">
        <f ca="1">IFERROR(__xludf.DUMMYFUNCTION("""COMPUTED_VALUE"""),"TX")</f>
        <v>TX</v>
      </c>
      <c r="R1248" s="8" t="str">
        <f ca="1">IFERROR(__xludf.DUMMYFUNCTION("""COMPUTED_VALUE"""),"High")</f>
        <v>High</v>
      </c>
      <c r="S1248" s="8" t="str">
        <f ca="1">IFERROR(__xludf.DUMMYFUNCTION("""COMPUTED_VALUE"""),"Entryway")</f>
        <v>Entryway</v>
      </c>
      <c r="T1248" s="8" t="str">
        <f ca="1">IFERROR(__xludf.DUMMYFUNCTION("""COMPUTED_VALUE"""),"Inside School Building")</f>
        <v>Inside School Building</v>
      </c>
      <c r="U1248" s="8" t="str">
        <f ca="1">IFERROR(__xludf.DUMMYFUNCTION("""COMPUTED_VALUE"""),"Yes")</f>
        <v>Yes</v>
      </c>
      <c r="V1248" s="8" t="str">
        <f ca="1">IFERROR(__xludf.DUMMYFUNCTION("""COMPUTED_VALUE"""),"Morning Classes")</f>
        <v>Morning Classes</v>
      </c>
      <c r="W1248" s="11">
        <f ca="1">IFERROR(__xludf.DUMMYFUNCTION("""COMPUTED_VALUE"""),0.489583333333333)</f>
        <v>0.48958333333333298</v>
      </c>
      <c r="X1248" s="8"/>
      <c r="Y1248" s="12" t="str">
        <f ca="1">IFERROR(__xludf.DUMMYFUNCTION("""COMPUTED_VALUE"""),"Former student attacked school targeting specific staff member")</f>
        <v>Former student attacked school targeting specific staff member</v>
      </c>
      <c r="Z1248" s="12" t="str">
        <f ca="1">IFERROR(__xludf.DUMMYFUNCTION("""COMPUTED_VALUE"""),"A 25-year-old male former student, armed with a rifle, tried to open locked doors and then fired shots to break the glass front door. He then fired shots at the school principal. Family reported he had a history of mental illness and was hearing voices at"&amp;" the time of the shooting. Shooter admitted shooting to police and said that the principal was not his target, he was looking for another staff member. Shooter surrendered when officers arrived. No students were injured. School was locked down and then ev"&amp;"acuated. Principal was transported to hospital with graze wound to the back. Classes cancelled for next 3 days.")</f>
        <v>A 25-year-old male former student, armed with a rifle, tried to open locked doors and then fired shots to break the glass front door. He then fired shots at the school principal. Family reported he had a history of mental illness and was hearing voices at the time of the shooting. Shooter admitted shooting to police and said that the principal was not his target, he was looking for another staff member. Shooter surrendered when officers arrived. No students were injured. School was locked down and then evacuated. Principal was transported to hospital with graze wound to the back. Classes cancelled for next 3 days.</v>
      </c>
      <c r="AA1248" s="8" t="str">
        <f ca="1">IFERROR(__xludf.DUMMYFUNCTION("""COMPUTED_VALUE"""),"Psychosis")</f>
        <v>Psychosis</v>
      </c>
      <c r="AB1248" s="8"/>
      <c r="AC1248" s="8" t="str">
        <f ca="1">IFERROR(__xludf.DUMMYFUNCTION("""COMPUTED_VALUE"""),"Yes")</f>
        <v>Yes</v>
      </c>
      <c r="AD1248" s="8" t="str">
        <f ca="1">IFERROR(__xludf.DUMMYFUNCTION("""COMPUTED_VALUE"""),"Both")</f>
        <v>Both</v>
      </c>
      <c r="AE1248" s="8" t="str">
        <f ca="1">IFERROR(__xludf.DUMMYFUNCTION("""COMPUTED_VALUE"""),"No")</f>
        <v>No</v>
      </c>
      <c r="AF1248" s="8" t="str">
        <f ca="1">IFERROR(__xludf.DUMMYFUNCTION("""COMPUTED_VALUE"""),"No")</f>
        <v>No</v>
      </c>
      <c r="AG1248" s="8" t="str">
        <f ca="1">IFERROR(__xludf.DUMMYFUNCTION("""COMPUTED_VALUE"""),"No")</f>
        <v>No</v>
      </c>
      <c r="AH1248" s="8" t="str">
        <f ca="1">IFERROR(__xludf.DUMMYFUNCTION("""COMPUTED_VALUE"""),"No")</f>
        <v>No</v>
      </c>
      <c r="AI1248" s="8" t="str">
        <f ca="1">IFERROR(__xludf.DUMMYFUNCTION("""COMPUTED_VALUE"""),"No")</f>
        <v>No</v>
      </c>
      <c r="AJ1248" s="8" t="str">
        <f ca="1">IFERROR(__xludf.DUMMYFUNCTION("""COMPUTED_VALUE"""),"No")</f>
        <v>No</v>
      </c>
      <c r="AK1248" s="8" t="str">
        <f ca="1">IFERROR(__xludf.DUMMYFUNCTION("""COMPUTED_VALUE"""),"No")</f>
        <v>No</v>
      </c>
      <c r="AL1248" s="8" t="str">
        <f ca="1">IFERROR(__xludf.DUMMYFUNCTION("""COMPUTED_VALUE"""),"No")</f>
        <v>No</v>
      </c>
      <c r="AM1248" s="8" t="str">
        <f ca="1">IFERROR(__xludf.DUMMYFUNCTION("""COMPUTED_VALUE"""),"Yes")</f>
        <v>Yes</v>
      </c>
      <c r="AN1248" s="8" t="str">
        <f ca="1">IFERROR(__xludf.DUMMYFUNCTION("""COMPUTED_VALUE"""),"Hallway")</f>
        <v>Hallway</v>
      </c>
      <c r="AO1248" s="8" t="str">
        <f ca="1">IFERROR(__xludf.DUMMYFUNCTION("""COMPUTED_VALUE"""),"No")</f>
        <v>No</v>
      </c>
      <c r="AP1248" s="8" t="str">
        <f ca="1">IFERROR(__xludf.DUMMYFUNCTION("""COMPUTED_VALUE"""),"No")</f>
        <v>No</v>
      </c>
      <c r="AQ1248" s="8"/>
      <c r="AR1248" s="8" t="str">
        <f ca="1">IFERROR(__xludf.DUMMYFUNCTION("""COMPUTED_VALUE"""),"Failed")</f>
        <v>Failed</v>
      </c>
      <c r="AS1248" s="8">
        <f ca="1">IFERROR(__xludf.DUMMYFUNCTION("""COMPUTED_VALUE"""),4)</f>
        <v>4</v>
      </c>
      <c r="AT1248" s="8" t="str">
        <f ca="1">IFERROR(__xludf.DUMMYFUNCTION("""COMPUTED_VALUE"""),"Yes")</f>
        <v>Yes</v>
      </c>
      <c r="AU1248" s="8">
        <f ca="1">IFERROR(__xludf.DUMMYFUNCTION("""COMPUTED_VALUE"""),29.604936)</f>
        <v>29.604935999999999</v>
      </c>
      <c r="AV1248" s="8">
        <f ca="1">IFERROR(__xludf.DUMMYFUNCTION("""COMPUTED_VALUE"""),-95.444797)</f>
        <v>-95.444796999999994</v>
      </c>
      <c r="AW1248" s="8"/>
      <c r="AX1248" s="8">
        <f ca="1">IFERROR(__xludf.DUMMYFUNCTION("""COMPUTED_VALUE"""),77053)</f>
        <v>77053</v>
      </c>
    </row>
    <row r="1249" spans="1:50" ht="60" x14ac:dyDescent="0.2">
      <c r="A1249" s="8" t="str">
        <f ca="1">IFERROR(__xludf.DUMMYFUNCTION("""COMPUTED_VALUE"""),"20211001NJCHC")</f>
        <v>20211001NJCHC</v>
      </c>
      <c r="B1249" s="8">
        <f ca="1">IFERROR(__xludf.DUMMYFUNCTION("""COMPUTED_VALUE"""),10)</f>
        <v>10</v>
      </c>
      <c r="C1249" s="8">
        <f ca="1">IFERROR(__xludf.DUMMYFUNCTION("""COMPUTED_VALUE"""),1)</f>
        <v>1</v>
      </c>
      <c r="D1249" s="8">
        <f ca="1">IFERROR(__xludf.DUMMYFUNCTION("""COMPUTED_VALUE"""),2021)</f>
        <v>2021</v>
      </c>
      <c r="E1249" s="9">
        <f ca="1">IFERROR(__xludf.DUMMYFUNCTION("""COMPUTED_VALUE"""),44470)</f>
        <v>44470</v>
      </c>
      <c r="F1249" s="8" t="str">
        <f ca="1">IFERROR(__xludf.DUMMYFUNCTION("""COMPUTED_VALUE"""),"Cherry Hill West High School")</f>
        <v>Cherry Hill West High School</v>
      </c>
      <c r="G1249" s="8">
        <f ca="1">IFERROR(__xludf.DUMMYFUNCTION("""COMPUTED_VALUE"""),0)</f>
        <v>0</v>
      </c>
      <c r="H1249" s="8">
        <f ca="1">IFERROR(__xludf.DUMMYFUNCTION("""COMPUTED_VALUE"""),0)</f>
        <v>0</v>
      </c>
      <c r="I1249" s="8">
        <f ca="1">IFERROR(__xludf.DUMMYFUNCTION("""COMPUTED_VALUE"""),0)</f>
        <v>0</v>
      </c>
      <c r="J1249" s="8">
        <f ca="1">IFERROR(__xludf.DUMMYFUNCTION("""COMPUTED_VALUE"""),0)</f>
        <v>0</v>
      </c>
      <c r="K1249" s="8" t="str">
        <f ca="1">IFERROR(__xludf.DUMMYFUNCTION("""COMPUTED_VALUE"""),"https://www.inquirer.com/news/shooting-cherry-hill-west-high-school-20211002.html https://6abc.com/cherry-hill-police-shots-fire-shooting/11072449/ https://philadelphia.cbslocal.com/2021/10/02/cherry-hill-west-high-school-football-game-shooting/")</f>
        <v>https://www.inquirer.com/news/shooting-cherry-hill-west-high-school-20211002.html https://6abc.com/cherry-hill-police-shots-fire-shooting/11072449/ https://philadelphia.cbslocal.com/2021/10/02/cherry-hill-west-high-school-football-game-shooting/</v>
      </c>
      <c r="L1249" s="8">
        <f ca="1">IFERROR(__xludf.DUMMYFUNCTION("""COMPUTED_VALUE"""),3)</f>
        <v>3</v>
      </c>
      <c r="M1249" s="8" t="str">
        <f ca="1">IFERROR(__xludf.DUMMYFUNCTION("""COMPUTED_VALUE"""),"Regional")</f>
        <v>Regional</v>
      </c>
      <c r="N1249" s="8">
        <f ca="1">IFERROR(__xludf.DUMMYFUNCTION("""COMPUTED_VALUE"""),4)</f>
        <v>4</v>
      </c>
      <c r="O1249" s="8" t="str">
        <f ca="1">IFERROR(__xludf.DUMMYFUNCTION("""COMPUTED_VALUE"""),"Fall")</f>
        <v>Fall</v>
      </c>
      <c r="P1249" s="8" t="str">
        <f ca="1">IFERROR(__xludf.DUMMYFUNCTION("""COMPUTED_VALUE"""),"Cherry Hill")</f>
        <v>Cherry Hill</v>
      </c>
      <c r="Q1249" s="8" t="str">
        <f ca="1">IFERROR(__xludf.DUMMYFUNCTION("""COMPUTED_VALUE"""),"NJ")</f>
        <v>NJ</v>
      </c>
      <c r="R1249" s="8" t="str">
        <f ca="1">IFERROR(__xludf.DUMMYFUNCTION("""COMPUTED_VALUE"""),"High")</f>
        <v>High</v>
      </c>
      <c r="S1249" s="8" t="str">
        <f ca="1">IFERROR(__xludf.DUMMYFUNCTION("""COMPUTED_VALUE"""),"Football Field/Track")</f>
        <v>Football Field/Track</v>
      </c>
      <c r="T1249" s="8" t="str">
        <f ca="1">IFERROR(__xludf.DUMMYFUNCTION("""COMPUTED_VALUE"""),"Off School Property")</f>
        <v>Off School Property</v>
      </c>
      <c r="U1249" s="8" t="str">
        <f ca="1">IFERROR(__xludf.DUMMYFUNCTION("""COMPUTED_VALUE"""),"No")</f>
        <v>No</v>
      </c>
      <c r="V1249" s="8" t="str">
        <f ca="1">IFERROR(__xludf.DUMMYFUNCTION("""COMPUTED_VALUE"""),"Sport Event")</f>
        <v>Sport Event</v>
      </c>
      <c r="W1249" s="11">
        <f ca="1">IFERROR(__xludf.DUMMYFUNCTION("""COMPUTED_VALUE"""),0.864583333333333)</f>
        <v>0.86458333333333304</v>
      </c>
      <c r="X1249" s="8">
        <f ca="1">IFERROR(__xludf.DUMMYFUNCTION("""COMPUTED_VALUE"""),1)</f>
        <v>1</v>
      </c>
      <c r="Y1249" s="12" t="str">
        <f ca="1">IFERROR(__xludf.DUMMYFUNCTION("""COMPUTED_VALUE"""),"Male fired 8 shots at the football stadium stands then fled")</f>
        <v>Male fired 8 shots at the football stadium stands then fled</v>
      </c>
      <c r="Z1249" s="12" t="str">
        <f ca="1">IFERROR(__xludf.DUMMYFUNCTION("""COMPUTED_VALUE"""),"An unidentified male fired 8 shots from outside the stadium in the direction of the football stadium visitor side stands and then fled. No one was struck. Police recovered shell casings.")</f>
        <v>An unidentified male fired 8 shots from outside the stadium in the direction of the football stadium visitor side stands and then fled. No one was struck. Police recovered shell casings.</v>
      </c>
      <c r="AA1249" s="8" t="str">
        <f ca="1">IFERROR(__xludf.DUMMYFUNCTION("""COMPUTED_VALUE"""),"Indiscriminate Shooting")</f>
        <v>Indiscriminate Shooting</v>
      </c>
      <c r="AB1249" s="8"/>
      <c r="AC1249" s="8" t="str">
        <f ca="1">IFERROR(__xludf.DUMMYFUNCTION("""COMPUTED_VALUE"""),"Yes")</f>
        <v>Yes</v>
      </c>
      <c r="AD1249" s="8" t="str">
        <f ca="1">IFERROR(__xludf.DUMMYFUNCTION("""COMPUTED_VALUE"""),"Random Shooting")</f>
        <v>Random Shooting</v>
      </c>
      <c r="AE1249" s="8" t="str">
        <f ca="1">IFERROR(__xludf.DUMMYFUNCTION("""COMPUTED_VALUE"""),"No")</f>
        <v>No</v>
      </c>
      <c r="AF1249" s="8"/>
      <c r="AG1249" s="8" t="str">
        <f ca="1">IFERROR(__xludf.DUMMYFUNCTION("""COMPUTED_VALUE"""),"No")</f>
        <v>No</v>
      </c>
      <c r="AH1249" s="8" t="str">
        <f ca="1">IFERROR(__xludf.DUMMYFUNCTION("""COMPUTED_VALUE"""),"No")</f>
        <v>No</v>
      </c>
      <c r="AI1249" s="8" t="str">
        <f ca="1">IFERROR(__xludf.DUMMYFUNCTION("""COMPUTED_VALUE"""),"No")</f>
        <v>No</v>
      </c>
      <c r="AJ1249" s="8" t="str">
        <f ca="1">IFERROR(__xludf.DUMMYFUNCTION("""COMPUTED_VALUE"""),"No")</f>
        <v>No</v>
      </c>
      <c r="AK1249" s="8" t="str">
        <f ca="1">IFERROR(__xludf.DUMMYFUNCTION("""COMPUTED_VALUE"""),"No")</f>
        <v>No</v>
      </c>
      <c r="AL1249" s="8"/>
      <c r="AM1249" s="8" t="str">
        <f ca="1">IFERROR(__xludf.DUMMYFUNCTION("""COMPUTED_VALUE"""),"No")</f>
        <v>No</v>
      </c>
      <c r="AN1249" s="8"/>
      <c r="AO1249" s="8" t="str">
        <f ca="1">IFERROR(__xludf.DUMMYFUNCTION("""COMPUTED_VALUE"""),"No")</f>
        <v>No</v>
      </c>
      <c r="AP1249" s="8" t="str">
        <f ca="1">IFERROR(__xludf.DUMMYFUNCTION("""COMPUTED_VALUE"""),"Yes")</f>
        <v>Yes</v>
      </c>
      <c r="AQ1249" s="8" t="str">
        <f ca="1">IFERROR(__xludf.DUMMYFUNCTION("""COMPUTED_VALUE"""),"Armed Guards")</f>
        <v>Armed Guards</v>
      </c>
      <c r="AR1249" s="8"/>
      <c r="AS1249" s="8">
        <f ca="1">IFERROR(__xludf.DUMMYFUNCTION("""COMPUTED_VALUE"""),8)</f>
        <v>8</v>
      </c>
      <c r="AT1249" s="8"/>
      <c r="AU1249" s="8">
        <f ca="1">IFERROR(__xludf.DUMMYFUNCTION("""COMPUTED_VALUE"""),39.929)</f>
        <v>39.929000000000002</v>
      </c>
      <c r="AV1249" s="8">
        <f ca="1">IFERROR(__xludf.DUMMYFUNCTION("""COMPUTED_VALUE"""),-75.018888)</f>
        <v>-75.018888000000004</v>
      </c>
      <c r="AW1249" s="8"/>
      <c r="AX1249" s="8">
        <f ca="1">IFERROR(__xludf.DUMMYFUNCTION("""COMPUTED_VALUE"""),8002)</f>
        <v>8002</v>
      </c>
    </row>
    <row r="1250" spans="1:50" ht="75" x14ac:dyDescent="0.2">
      <c r="A1250" s="8" t="str">
        <f ca="1">IFERROR(__xludf.DUMMYFUNCTION("""COMPUTED_VALUE"""),"20211001NCSEF")</f>
        <v>20211001NCSEF</v>
      </c>
      <c r="B1250" s="8">
        <f ca="1">IFERROR(__xludf.DUMMYFUNCTION("""COMPUTED_VALUE"""),10)</f>
        <v>10</v>
      </c>
      <c r="C1250" s="8">
        <f ca="1">IFERROR(__xludf.DUMMYFUNCTION("""COMPUTED_VALUE"""),1)</f>
        <v>1</v>
      </c>
      <c r="D1250" s="8">
        <f ca="1">IFERROR(__xludf.DUMMYFUNCTION("""COMPUTED_VALUE"""),2021)</f>
        <v>2021</v>
      </c>
      <c r="E1250" s="9">
        <f ca="1">IFERROR(__xludf.DUMMYFUNCTION("""COMPUTED_VALUE"""),44470)</f>
        <v>44470</v>
      </c>
      <c r="F1250" s="8" t="str">
        <f ca="1">IFERROR(__xludf.DUMMYFUNCTION("""COMPUTED_VALUE"""),"Seventy-First High School")</f>
        <v>Seventy-First High School</v>
      </c>
      <c r="G1250" s="8">
        <f ca="1">IFERROR(__xludf.DUMMYFUNCTION("""COMPUTED_VALUE"""),0)</f>
        <v>0</v>
      </c>
      <c r="H1250" s="8">
        <f ca="1">IFERROR(__xludf.DUMMYFUNCTION("""COMPUTED_VALUE"""),2)</f>
        <v>2</v>
      </c>
      <c r="I1250" s="8">
        <f ca="1">IFERROR(__xludf.DUMMYFUNCTION("""COMPUTED_VALUE"""),2)</f>
        <v>2</v>
      </c>
      <c r="J1250" s="8">
        <f ca="1">IFERROR(__xludf.DUMMYFUNCTION("""COMPUTED_VALUE"""),0)</f>
        <v>0</v>
      </c>
      <c r="K1250" s="8" t="str">
        <f ca="1">IFERROR(__xludf.DUMMYFUNCTION("""COMPUTED_VALUE"""),"https://abc11.com/seventy-first-high-school-71st-shooting-football/11070742/ https://www.wral.com/2-teens-hurt-in-shooting-following-high-school-football-game-in-fayetteville/19905531/ https://www.fayobserver.com/story/news/2021/10/02/fayetteville-footbal"&amp;"l-game-shooting-2-injured-after-seventy-first-game-friday-night/5967044001/")</f>
        <v>https://abc11.com/seventy-first-high-school-71st-shooting-football/11070742/ https://www.wral.com/2-teens-hurt-in-shooting-following-high-school-football-game-in-fayetteville/19905531/ https://www.fayobserver.com/story/news/2021/10/02/fayetteville-football-game-shooting-2-injured-after-seventy-first-game-friday-night/5967044001/</v>
      </c>
      <c r="L1250" s="8">
        <f ca="1">IFERROR(__xludf.DUMMYFUNCTION("""COMPUTED_VALUE"""),5)</f>
        <v>5</v>
      </c>
      <c r="M1250" s="8" t="str">
        <f ca="1">IFERROR(__xludf.DUMMYFUNCTION("""COMPUTED_VALUE"""),"Local")</f>
        <v>Local</v>
      </c>
      <c r="N1250" s="8">
        <f ca="1">IFERROR(__xludf.DUMMYFUNCTION("""COMPUTED_VALUE"""),4)</f>
        <v>4</v>
      </c>
      <c r="O1250" s="8" t="str">
        <f ca="1">IFERROR(__xludf.DUMMYFUNCTION("""COMPUTED_VALUE"""),"Fall")</f>
        <v>Fall</v>
      </c>
      <c r="P1250" s="8" t="str">
        <f ca="1">IFERROR(__xludf.DUMMYFUNCTION("""COMPUTED_VALUE"""),"Fayetteville")</f>
        <v>Fayetteville</v>
      </c>
      <c r="Q1250" s="8" t="str">
        <f ca="1">IFERROR(__xludf.DUMMYFUNCTION("""COMPUTED_VALUE"""),"NC")</f>
        <v>NC</v>
      </c>
      <c r="R1250" s="8" t="str">
        <f ca="1">IFERROR(__xludf.DUMMYFUNCTION("""COMPUTED_VALUE"""),"High")</f>
        <v>High</v>
      </c>
      <c r="S1250" s="8" t="str">
        <f ca="1">IFERROR(__xludf.DUMMYFUNCTION("""COMPUTED_VALUE"""),"Parking Lot")</f>
        <v>Parking Lot</v>
      </c>
      <c r="T1250" s="8" t="str">
        <f ca="1">IFERROR(__xludf.DUMMYFUNCTION("""COMPUTED_VALUE"""),"Outside on School Property")</f>
        <v>Outside on School Property</v>
      </c>
      <c r="U1250" s="8" t="str">
        <f ca="1">IFERROR(__xludf.DUMMYFUNCTION("""COMPUTED_VALUE"""),"No")</f>
        <v>No</v>
      </c>
      <c r="V1250" s="8" t="str">
        <f ca="1">IFERROR(__xludf.DUMMYFUNCTION("""COMPUTED_VALUE"""),"Sport Event")</f>
        <v>Sport Event</v>
      </c>
      <c r="W1250" s="11">
        <f ca="1">IFERROR(__xludf.DUMMYFUNCTION("""COMPUTED_VALUE"""),0.916666666666666)</f>
        <v>0.91666666666666596</v>
      </c>
      <c r="X1250" s="8">
        <f ca="1">IFERROR(__xludf.DUMMYFUNCTION("""COMPUTED_VALUE"""),1)</f>
        <v>1</v>
      </c>
      <c r="Y1250" s="12" t="str">
        <f ca="1">IFERROR(__xludf.DUMMYFUNCTION("""COMPUTED_VALUE"""),"Two teens shot in parking lot following football game")</f>
        <v>Two teens shot in parking lot following football game</v>
      </c>
      <c r="Z1250" s="12" t="str">
        <f ca="1">IFERROR(__xludf.DUMMYFUNCTION("""COMPUTED_VALUE"""),"A 19-year-old and 18-year-old were shot in the parking lot following the high school football game. A vehicle was also struck. Shooter fled. The following day, a 15-year-old was arrested for threating a mass shooting at the school in retaliation for the s"&amp;"hooting.")</f>
        <v>A 19-year-old and 18-year-old were shot in the parking lot following the high school football game. A vehicle was also struck. Shooter fled. The following day, a 15-year-old was arrested for threating a mass shooting at the school in retaliation for the shooting.</v>
      </c>
      <c r="AA1250" s="8" t="str">
        <f ca="1">IFERROR(__xludf.DUMMYFUNCTION("""COMPUTED_VALUE"""),"Escalation of Dispute")</f>
        <v>Escalation of Dispute</v>
      </c>
      <c r="AB1250" s="8"/>
      <c r="AC1250" s="8" t="str">
        <f ca="1">IFERROR(__xludf.DUMMYFUNCTION("""COMPUTED_VALUE"""),"Yes")</f>
        <v>Yes</v>
      </c>
      <c r="AD1250" s="8" t="str">
        <f ca="1">IFERROR(__xludf.DUMMYFUNCTION("""COMPUTED_VALUE"""),"Victims Targeted")</f>
        <v>Victims Targeted</v>
      </c>
      <c r="AE1250" s="8" t="str">
        <f ca="1">IFERROR(__xludf.DUMMYFUNCTION("""COMPUTED_VALUE"""),"No")</f>
        <v>No</v>
      </c>
      <c r="AF1250" s="8"/>
      <c r="AG1250" s="8" t="str">
        <f ca="1">IFERROR(__xludf.DUMMYFUNCTION("""COMPUTED_VALUE"""),"No")</f>
        <v>No</v>
      </c>
      <c r="AH1250" s="8" t="str">
        <f ca="1">IFERROR(__xludf.DUMMYFUNCTION("""COMPUTED_VALUE"""),"No")</f>
        <v>No</v>
      </c>
      <c r="AI1250" s="8" t="str">
        <f ca="1">IFERROR(__xludf.DUMMYFUNCTION("""COMPUTED_VALUE"""),"No")</f>
        <v>No</v>
      </c>
      <c r="AJ1250" s="8" t="str">
        <f ca="1">IFERROR(__xludf.DUMMYFUNCTION("""COMPUTED_VALUE"""),"No")</f>
        <v>No</v>
      </c>
      <c r="AK1250" s="8" t="str">
        <f ca="1">IFERROR(__xludf.DUMMYFUNCTION("""COMPUTED_VALUE"""),"No")</f>
        <v>No</v>
      </c>
      <c r="AL1250" s="8" t="str">
        <f ca="1">IFERROR(__xludf.DUMMYFUNCTION("""COMPUTED_VALUE"""),"Yes")</f>
        <v>Yes</v>
      </c>
      <c r="AM1250" s="8" t="str">
        <f ca="1">IFERROR(__xludf.DUMMYFUNCTION("""COMPUTED_VALUE"""),"No")</f>
        <v>No</v>
      </c>
      <c r="AN1250" s="8"/>
      <c r="AO1250" s="8" t="str">
        <f ca="1">IFERROR(__xludf.DUMMYFUNCTION("""COMPUTED_VALUE"""),"No")</f>
        <v>No</v>
      </c>
      <c r="AP1250" s="8" t="str">
        <f ca="1">IFERROR(__xludf.DUMMYFUNCTION("""COMPUTED_VALUE"""),"Yes")</f>
        <v>Yes</v>
      </c>
      <c r="AQ1250" s="8" t="str">
        <f ca="1">IFERROR(__xludf.DUMMYFUNCTION("""COMPUTED_VALUE"""),"Armed Guards")</f>
        <v>Armed Guards</v>
      </c>
      <c r="AR1250" s="8" t="str">
        <f ca="1">IFERROR(__xludf.DUMMYFUNCTION("""COMPUTED_VALUE"""),"Outside/Off-Property")</f>
        <v>Outside/Off-Property</v>
      </c>
      <c r="AS1250" s="8"/>
      <c r="AT1250" s="8"/>
      <c r="AU1250" s="8">
        <f ca="1">IFERROR(__xludf.DUMMYFUNCTION("""COMPUTED_VALUE"""),35.039288)</f>
        <v>35.039287999999999</v>
      </c>
      <c r="AV1250" s="8">
        <f ca="1">IFERROR(__xludf.DUMMYFUNCTION("""COMPUTED_VALUE"""),-79.006425)</f>
        <v>-79.006424999999993</v>
      </c>
      <c r="AW1250" s="8"/>
      <c r="AX1250" s="8">
        <f ca="1">IFERROR(__xludf.DUMMYFUNCTION("""COMPUTED_VALUE"""),28314)</f>
        <v>28314</v>
      </c>
    </row>
    <row r="1251" spans="1:50" ht="75" x14ac:dyDescent="0.2">
      <c r="A1251" s="8" t="str">
        <f ca="1">IFERROR(__xludf.DUMMYFUNCTION("""COMPUTED_VALUE"""),"20211001NCNOD")</f>
        <v>20211001NCNOD</v>
      </c>
      <c r="B1251" s="8">
        <f ca="1">IFERROR(__xludf.DUMMYFUNCTION("""COMPUTED_VALUE"""),10)</f>
        <v>10</v>
      </c>
      <c r="C1251" s="8">
        <f ca="1">IFERROR(__xludf.DUMMYFUNCTION("""COMPUTED_VALUE"""),1)</f>
        <v>1</v>
      </c>
      <c r="D1251" s="8">
        <f ca="1">IFERROR(__xludf.DUMMYFUNCTION("""COMPUTED_VALUE"""),2021)</f>
        <v>2021</v>
      </c>
      <c r="E1251" s="9">
        <f ca="1">IFERROR(__xludf.DUMMYFUNCTION("""COMPUTED_VALUE"""),44470)</f>
        <v>44470</v>
      </c>
      <c r="F1251" s="8" t="str">
        <f ca="1">IFERROR(__xludf.DUMMYFUNCTION("""COMPUTED_VALUE"""),"Northern High School")</f>
        <v>Northern High School</v>
      </c>
      <c r="G1251" s="8">
        <f ca="1">IFERROR(__xludf.DUMMYFUNCTION("""COMPUTED_VALUE"""),0)</f>
        <v>0</v>
      </c>
      <c r="H1251" s="8">
        <f ca="1">IFERROR(__xludf.DUMMYFUNCTION("""COMPUTED_VALUE"""),1)</f>
        <v>1</v>
      </c>
      <c r="I1251" s="8">
        <f ca="1">IFERROR(__xludf.DUMMYFUNCTION("""COMPUTED_VALUE"""),1)</f>
        <v>1</v>
      </c>
      <c r="J1251" s="8">
        <f ca="1">IFERROR(__xludf.DUMMYFUNCTION("""COMPUTED_VALUE"""),0)</f>
        <v>0</v>
      </c>
      <c r="K1251" s="8" t="str">
        <f ca="1">IFERROR(__xludf.DUMMYFUNCTION("""COMPUTED_VALUE"""),"https://www.cbs17.com/news/local-news/durham-county-news/17-year-old-shot-following-durham-high-school-football-game/ https://abc11.com/durham-shooting-stadium-drive-county-northern-hs-football/11072500/ https://www.newsobserver.com/news/local/crime/artic"&amp;"le254710472.html https://www.wavy.com/news/north-carolina/17-year-old-shot-after-durham-high-school-football-game-up-to-15-gunshots-fired-parent-says/")</f>
        <v>https://www.cbs17.com/news/local-news/durham-county-news/17-year-old-shot-following-durham-high-school-football-game/ https://abc11.com/durham-shooting-stadium-drive-county-northern-hs-football/11072500/ https://www.newsobserver.com/news/local/crime/article254710472.html https://www.wavy.com/news/north-carolina/17-year-old-shot-after-durham-high-school-football-game-up-to-15-gunshots-fired-parent-says/</v>
      </c>
      <c r="L1251" s="8">
        <f ca="1">IFERROR(__xludf.DUMMYFUNCTION("""COMPUTED_VALUE"""),5)</f>
        <v>5</v>
      </c>
      <c r="M1251" s="8" t="str">
        <f ca="1">IFERROR(__xludf.DUMMYFUNCTION("""COMPUTED_VALUE"""),"Local")</f>
        <v>Local</v>
      </c>
      <c r="N1251" s="8">
        <f ca="1">IFERROR(__xludf.DUMMYFUNCTION("""COMPUTED_VALUE"""),4)</f>
        <v>4</v>
      </c>
      <c r="O1251" s="8" t="str">
        <f ca="1">IFERROR(__xludf.DUMMYFUNCTION("""COMPUTED_VALUE"""),"Fall")</f>
        <v>Fall</v>
      </c>
      <c r="P1251" s="8" t="str">
        <f ca="1">IFERROR(__xludf.DUMMYFUNCTION("""COMPUTED_VALUE"""),"Durham")</f>
        <v>Durham</v>
      </c>
      <c r="Q1251" s="8" t="str">
        <f ca="1">IFERROR(__xludf.DUMMYFUNCTION("""COMPUTED_VALUE"""),"NC")</f>
        <v>NC</v>
      </c>
      <c r="R1251" s="8" t="str">
        <f ca="1">IFERROR(__xludf.DUMMYFUNCTION("""COMPUTED_VALUE"""),"High")</f>
        <v>High</v>
      </c>
      <c r="S1251" s="8" t="str">
        <f ca="1">IFERROR(__xludf.DUMMYFUNCTION("""COMPUTED_VALUE"""),"Football Field/Track")</f>
        <v>Football Field/Track</v>
      </c>
      <c r="T1251" s="8" t="str">
        <f ca="1">IFERROR(__xludf.DUMMYFUNCTION("""COMPUTED_VALUE"""),"Outside on School Property")</f>
        <v>Outside on School Property</v>
      </c>
      <c r="U1251" s="8" t="str">
        <f ca="1">IFERROR(__xludf.DUMMYFUNCTION("""COMPUTED_VALUE"""),"No")</f>
        <v>No</v>
      </c>
      <c r="V1251" s="8" t="str">
        <f ca="1">IFERROR(__xludf.DUMMYFUNCTION("""COMPUTED_VALUE"""),"Sport Event")</f>
        <v>Sport Event</v>
      </c>
      <c r="W1251" s="11">
        <f ca="1">IFERROR(__xludf.DUMMYFUNCTION("""COMPUTED_VALUE"""),0.904166666666666)</f>
        <v>0.90416666666666601</v>
      </c>
      <c r="X1251" s="8">
        <f ca="1">IFERROR(__xludf.DUMMYFUNCTION("""COMPUTED_VALUE"""),1)</f>
        <v>1</v>
      </c>
      <c r="Y1251" s="12" t="str">
        <f ca="1">IFERROR(__xludf.DUMMYFUNCTION("""COMPUTED_VALUE"""),"Vehicle drove onto grass near stadium and fired 10-15 shots as crowd was exiting")</f>
        <v>Vehicle drove onto grass near stadium and fired 10-15 shots as crowd was exiting</v>
      </c>
      <c r="Z1251" s="12" t="str">
        <f ca="1">IFERROR(__xludf.DUMMYFUNCTION("""COMPUTED_VALUE"""),"A vehicle drove onto the grass near the stadium exit and fired 10-15 shots as fans were exiting. A 17-year-old was wounded and multiple vehicle were struck. Shooter fled.")</f>
        <v>A vehicle drove onto the grass near the stadium exit and fired 10-15 shots as fans were exiting. A 17-year-old was wounded and multiple vehicle were struck. Shooter fled.</v>
      </c>
      <c r="AA1251" s="8" t="str">
        <f ca="1">IFERROR(__xludf.DUMMYFUNCTION("""COMPUTED_VALUE"""),"Drive-by Shooting")</f>
        <v>Drive-by Shooting</v>
      </c>
      <c r="AB1251" s="8"/>
      <c r="AC1251" s="8" t="str">
        <f ca="1">IFERROR(__xludf.DUMMYFUNCTION("""COMPUTED_VALUE"""),"Yes")</f>
        <v>Yes</v>
      </c>
      <c r="AD1251" s="8" t="str">
        <f ca="1">IFERROR(__xludf.DUMMYFUNCTION("""COMPUTED_VALUE"""),"Random Shooting")</f>
        <v>Random Shooting</v>
      </c>
      <c r="AE1251" s="8"/>
      <c r="AF1251" s="8"/>
      <c r="AG1251" s="8" t="str">
        <f ca="1">IFERROR(__xludf.DUMMYFUNCTION("""COMPUTED_VALUE"""),"No")</f>
        <v>No</v>
      </c>
      <c r="AH1251" s="8" t="str">
        <f ca="1">IFERROR(__xludf.DUMMYFUNCTION("""COMPUTED_VALUE"""),"No")</f>
        <v>No</v>
      </c>
      <c r="AI1251" s="8" t="str">
        <f ca="1">IFERROR(__xludf.DUMMYFUNCTION("""COMPUTED_VALUE"""),"No")</f>
        <v>No</v>
      </c>
      <c r="AJ1251" s="8" t="str">
        <f ca="1">IFERROR(__xludf.DUMMYFUNCTION("""COMPUTED_VALUE"""),"No")</f>
        <v>No</v>
      </c>
      <c r="AK1251" s="8" t="str">
        <f ca="1">IFERROR(__xludf.DUMMYFUNCTION("""COMPUTED_VALUE"""),"No")</f>
        <v>No</v>
      </c>
      <c r="AL1251" s="8"/>
      <c r="AM1251" s="8" t="str">
        <f ca="1">IFERROR(__xludf.DUMMYFUNCTION("""COMPUTED_VALUE"""),"No")</f>
        <v>No</v>
      </c>
      <c r="AN1251" s="8"/>
      <c r="AO1251" s="8" t="str">
        <f ca="1">IFERROR(__xludf.DUMMYFUNCTION("""COMPUTED_VALUE"""),"No")</f>
        <v>No</v>
      </c>
      <c r="AP1251" s="8" t="str">
        <f ca="1">IFERROR(__xludf.DUMMYFUNCTION("""COMPUTED_VALUE"""),"No")</f>
        <v>No</v>
      </c>
      <c r="AQ1251" s="8"/>
      <c r="AR1251" s="8" t="str">
        <f ca="1">IFERROR(__xludf.DUMMYFUNCTION("""COMPUTED_VALUE"""),"Outside/Off-Property")</f>
        <v>Outside/Off-Property</v>
      </c>
      <c r="AS1251" s="8">
        <f ca="1">IFERROR(__xludf.DUMMYFUNCTION("""COMPUTED_VALUE"""),15)</f>
        <v>15</v>
      </c>
      <c r="AT1251" s="8"/>
      <c r="AU1251" s="8">
        <f ca="1">IFERROR(__xludf.DUMMYFUNCTION("""COMPUTED_VALUE"""),36.092902)</f>
        <v>36.092902000000002</v>
      </c>
      <c r="AV1251" s="8">
        <f ca="1">IFERROR(__xludf.DUMMYFUNCTION("""COMPUTED_VALUE"""),-78.913391)</f>
        <v>-78.913391000000004</v>
      </c>
      <c r="AW1251" s="8"/>
      <c r="AX1251" s="8">
        <f ca="1">IFERROR(__xludf.DUMMYFUNCTION("""COMPUTED_VALUE"""),27712)</f>
        <v>27712</v>
      </c>
    </row>
    <row r="1252" spans="1:50" ht="150" x14ac:dyDescent="0.2">
      <c r="A1252" s="8" t="str">
        <f ca="1">IFERROR(__xludf.DUMMYFUNCTION("""COMPUTED_VALUE"""),"20211001INBEI")</f>
        <v>20211001INBEI</v>
      </c>
      <c r="B1252" s="8">
        <f ca="1">IFERROR(__xludf.DUMMYFUNCTION("""COMPUTED_VALUE"""),10)</f>
        <v>10</v>
      </c>
      <c r="C1252" s="8">
        <f ca="1">IFERROR(__xludf.DUMMYFUNCTION("""COMPUTED_VALUE"""),1)</f>
        <v>1</v>
      </c>
      <c r="D1252" s="8">
        <f ca="1">IFERROR(__xludf.DUMMYFUNCTION("""COMPUTED_VALUE"""),2021)</f>
        <v>2021</v>
      </c>
      <c r="E1252" s="9">
        <f ca="1">IFERROR(__xludf.DUMMYFUNCTION("""COMPUTED_VALUE"""),44470)</f>
        <v>44470</v>
      </c>
      <c r="F1252" s="8" t="str">
        <f ca="1">IFERROR(__xludf.DUMMYFUNCTION("""COMPUTED_VALUE"""),"Ben Davis High School")</f>
        <v>Ben Davis High School</v>
      </c>
      <c r="G1252" s="8">
        <f ca="1">IFERROR(__xludf.DUMMYFUNCTION("""COMPUTED_VALUE"""),0)</f>
        <v>0</v>
      </c>
      <c r="H1252" s="8">
        <f ca="1">IFERROR(__xludf.DUMMYFUNCTION("""COMPUTED_VALUE"""),1)</f>
        <v>1</v>
      </c>
      <c r="I1252" s="8">
        <f ca="1">IFERROR(__xludf.DUMMYFUNCTION("""COMPUTED_VALUE"""),1)</f>
        <v>1</v>
      </c>
      <c r="J1252" s="8">
        <f ca="1">IFERROR(__xludf.DUMMYFUNCTION("""COMPUTED_VALUE"""),0)</f>
        <v>0</v>
      </c>
      <c r="K1252" s="8" t="str">
        <f ca="1">IFERROR(__xludf.DUMMYFUNCTION("""COMPUTED_VALUE"""),"https://www.wrtv.com/news/local-news/crime/bond-revoked-for-man-accused-in-shooting-outside-ben-davis-hs-football-game-city-official
https://www.wishtv.com/news/crime-watch-8/teen-shot-at-ben-davis-hs-football-game-against-carmel-another-teen-in-custody/ "&amp;"https://fox59.com/news/ben-davis-coach-responds-after-shooting-outside-football-stadium-cuts-game-short/ https://www.wdrb.com/news/16-year-old-boy-shot-outside-high-school-football-game-in-indianapolis/article_a1ce5398-23c9-11ec-9d00-1f90653e1288.html")</f>
        <v>https://www.wrtv.com/news/local-news/crime/bond-revoked-for-man-accused-in-shooting-outside-ben-davis-hs-football-game-city-official
https://www.wishtv.com/news/crime-watch-8/teen-shot-at-ben-davis-hs-football-game-against-carmel-another-teen-in-custody/ https://fox59.com/news/ben-davis-coach-responds-after-shooting-outside-football-stadium-cuts-game-short/ https://www.wdrb.com/news/16-year-old-boy-shot-outside-high-school-football-game-in-indianapolis/article_a1ce5398-23c9-11ec-9d00-1f90653e1288.html</v>
      </c>
      <c r="L1252" s="8">
        <f ca="1">IFERROR(__xludf.DUMMYFUNCTION("""COMPUTED_VALUE"""),5)</f>
        <v>5</v>
      </c>
      <c r="M1252" s="8" t="str">
        <f ca="1">IFERROR(__xludf.DUMMYFUNCTION("""COMPUTED_VALUE"""),"Local")</f>
        <v>Local</v>
      </c>
      <c r="N1252" s="8">
        <f ca="1">IFERROR(__xludf.DUMMYFUNCTION("""COMPUTED_VALUE"""),4)</f>
        <v>4</v>
      </c>
      <c r="O1252" s="8" t="str">
        <f ca="1">IFERROR(__xludf.DUMMYFUNCTION("""COMPUTED_VALUE"""),"Fall")</f>
        <v>Fall</v>
      </c>
      <c r="P1252" s="8" t="str">
        <f ca="1">IFERROR(__xludf.DUMMYFUNCTION("""COMPUTED_VALUE"""),"Indianapolis")</f>
        <v>Indianapolis</v>
      </c>
      <c r="Q1252" s="8" t="str">
        <f ca="1">IFERROR(__xludf.DUMMYFUNCTION("""COMPUTED_VALUE"""),"IN")</f>
        <v>IN</v>
      </c>
      <c r="R1252" s="8" t="str">
        <f ca="1">IFERROR(__xludf.DUMMYFUNCTION("""COMPUTED_VALUE"""),"High")</f>
        <v>High</v>
      </c>
      <c r="S1252" s="8" t="str">
        <f ca="1">IFERROR(__xludf.DUMMYFUNCTION("""COMPUTED_VALUE"""),"Football Field/Track")</f>
        <v>Football Field/Track</v>
      </c>
      <c r="T1252" s="8" t="str">
        <f ca="1">IFERROR(__xludf.DUMMYFUNCTION("""COMPUTED_VALUE"""),"Outside on School Property")</f>
        <v>Outside on School Property</v>
      </c>
      <c r="U1252" s="8" t="str">
        <f ca="1">IFERROR(__xludf.DUMMYFUNCTION("""COMPUTED_VALUE"""),"No")</f>
        <v>No</v>
      </c>
      <c r="V1252" s="8" t="str">
        <f ca="1">IFERROR(__xludf.DUMMYFUNCTION("""COMPUTED_VALUE"""),"Sport Event")</f>
        <v>Sport Event</v>
      </c>
      <c r="W1252" s="11">
        <f ca="1">IFERROR(__xludf.DUMMYFUNCTION("""COMPUTED_VALUE"""),0.875)</f>
        <v>0.875</v>
      </c>
      <c r="X1252" s="8">
        <f ca="1">IFERROR(__xludf.DUMMYFUNCTION("""COMPUTED_VALUE"""),1)</f>
        <v>1</v>
      </c>
      <c r="Y1252" s="12" t="str">
        <f ca="1">IFERROR(__xludf.DUMMYFUNCTION("""COMPUTED_VALUE"""),"Teen shot by another teen at the stadium gate during a football game")</f>
        <v>Teen shot by another teen at the stadium gate during a football game</v>
      </c>
      <c r="Z1252" s="12" t="str">
        <f ca="1">IFERROR(__xludf.DUMMYFUNCTION("""COMPUTED_VALUE"""),"An 18-year-old teen shot a 16-year-old teen need the gate to the football stadium. 5-6 shots were fired. Players ran off the field and the stands were evacuated. Game was televised and the shots could be heard on the TV broadcast. Police said neither were"&amp;" students at the school. Stadium had metal detectors, shooting occurred by the ticket office before the screening. The shooter fled and was chased by campus police. He was arrested near the campus. Shooter involved in two prior shootings in area and other"&amp;" violent incidents.")</f>
        <v>An 18-year-old teen shot a 16-year-old teen need the gate to the football stadium. 5-6 shots were fired. Players ran off the field and the stands were evacuated. Game was televised and the shots could be heard on the TV broadcast. Police said neither were students at the school. Stadium had metal detectors, shooting occurred by the ticket office before the screening. The shooter fled and was chased by campus police. He was arrested near the campus. Shooter involved in two prior shootings in area and other violent incidents.</v>
      </c>
      <c r="AA1252" s="8" t="str">
        <f ca="1">IFERROR(__xludf.DUMMYFUNCTION("""COMPUTED_VALUE"""),"Illegal Activity")</f>
        <v>Illegal Activity</v>
      </c>
      <c r="AB1252" s="8"/>
      <c r="AC1252" s="8" t="str">
        <f ca="1">IFERROR(__xludf.DUMMYFUNCTION("""COMPUTED_VALUE"""),"Yes")</f>
        <v>Yes</v>
      </c>
      <c r="AD1252" s="8" t="str">
        <f ca="1">IFERROR(__xludf.DUMMYFUNCTION("""COMPUTED_VALUE"""),"Victims Targeted")</f>
        <v>Victims Targeted</v>
      </c>
      <c r="AE1252" s="8" t="str">
        <f ca="1">IFERROR(__xludf.DUMMYFUNCTION("""COMPUTED_VALUE"""),"No")</f>
        <v>No</v>
      </c>
      <c r="AF1252" s="8"/>
      <c r="AG1252" s="8" t="str">
        <f ca="1">IFERROR(__xludf.DUMMYFUNCTION("""COMPUTED_VALUE"""),"No")</f>
        <v>No</v>
      </c>
      <c r="AH1252" s="8" t="str">
        <f ca="1">IFERROR(__xludf.DUMMYFUNCTION("""COMPUTED_VALUE"""),"No")</f>
        <v>No</v>
      </c>
      <c r="AI1252" s="8" t="str">
        <f ca="1">IFERROR(__xludf.DUMMYFUNCTION("""COMPUTED_VALUE"""),"No")</f>
        <v>No</v>
      </c>
      <c r="AJ1252" s="8" t="str">
        <f ca="1">IFERROR(__xludf.DUMMYFUNCTION("""COMPUTED_VALUE"""),"No")</f>
        <v>No</v>
      </c>
      <c r="AK1252" s="8" t="str">
        <f ca="1">IFERROR(__xludf.DUMMYFUNCTION("""COMPUTED_VALUE"""),"No")</f>
        <v>No</v>
      </c>
      <c r="AL1252" s="8"/>
      <c r="AM1252" s="8" t="str">
        <f ca="1">IFERROR(__xludf.DUMMYFUNCTION("""COMPUTED_VALUE"""),"No")</f>
        <v>No</v>
      </c>
      <c r="AN1252" s="8"/>
      <c r="AO1252" s="8" t="str">
        <f ca="1">IFERROR(__xludf.DUMMYFUNCTION("""COMPUTED_VALUE"""),"No")</f>
        <v>No</v>
      </c>
      <c r="AP1252" s="8" t="str">
        <f ca="1">IFERROR(__xludf.DUMMYFUNCTION("""COMPUTED_VALUE"""),"Yes")</f>
        <v>Yes</v>
      </c>
      <c r="AQ1252" s="8" t="str">
        <f ca="1">IFERROR(__xludf.DUMMYFUNCTION("""COMPUTED_VALUE"""),"Metal Detectors Stadium")</f>
        <v>Metal Detectors Stadium</v>
      </c>
      <c r="AR1252" s="8" t="str">
        <f ca="1">IFERROR(__xludf.DUMMYFUNCTION("""COMPUTED_VALUE"""),"Outside/Off-Property")</f>
        <v>Outside/Off-Property</v>
      </c>
      <c r="AS1252" s="8">
        <f ca="1">IFERROR(__xludf.DUMMYFUNCTION("""COMPUTED_VALUE"""),6)</f>
        <v>6</v>
      </c>
      <c r="AT1252" s="8"/>
      <c r="AU1252" s="8">
        <f ca="1">IFERROR(__xludf.DUMMYFUNCTION("""COMPUTED_VALUE"""),39.783873)</f>
        <v>39.783873</v>
      </c>
      <c r="AV1252" s="8">
        <f ca="1">IFERROR(__xludf.DUMMYFUNCTION("""COMPUTED_VALUE"""),-86.290711)</f>
        <v>-86.290711000000002</v>
      </c>
      <c r="AW1252" s="8"/>
      <c r="AX1252" s="8">
        <f ca="1">IFERROR(__xludf.DUMMYFUNCTION("""COMPUTED_VALUE"""),46214)</f>
        <v>46214</v>
      </c>
    </row>
    <row r="1253" spans="1:50" ht="120" x14ac:dyDescent="0.2">
      <c r="A1253" s="8" t="str">
        <f ca="1">IFERROR(__xludf.DUMMYFUNCTION("""COMPUTED_VALUE"""),"20210930TNCUM")</f>
        <v>20210930TNCUM</v>
      </c>
      <c r="B1253" s="8">
        <f ca="1">IFERROR(__xludf.DUMMYFUNCTION("""COMPUTED_VALUE"""),9)</f>
        <v>9</v>
      </c>
      <c r="C1253" s="8">
        <f ca="1">IFERROR(__xludf.DUMMYFUNCTION("""COMPUTED_VALUE"""),30)</f>
        <v>30</v>
      </c>
      <c r="D1253" s="8">
        <f ca="1">IFERROR(__xludf.DUMMYFUNCTION("""COMPUTED_VALUE"""),2021)</f>
        <v>2021</v>
      </c>
      <c r="E1253" s="9">
        <f ca="1">IFERROR(__xludf.DUMMYFUNCTION("""COMPUTED_VALUE"""),44469)</f>
        <v>44469</v>
      </c>
      <c r="F1253" s="8" t="str">
        <f ca="1">IFERROR(__xludf.DUMMYFUNCTION("""COMPUTED_VALUE"""),"Cummings Elementary School")</f>
        <v>Cummings Elementary School</v>
      </c>
      <c r="G1253" s="8">
        <f ca="1">IFERROR(__xludf.DUMMYFUNCTION("""COMPUTED_VALUE"""),0)</f>
        <v>0</v>
      </c>
      <c r="H1253" s="8">
        <f ca="1">IFERROR(__xludf.DUMMYFUNCTION("""COMPUTED_VALUE"""),1)</f>
        <v>1</v>
      </c>
      <c r="I1253" s="8">
        <f ca="1">IFERROR(__xludf.DUMMYFUNCTION("""COMPUTED_VALUE"""),1)</f>
        <v>1</v>
      </c>
      <c r="J1253" s="8">
        <f ca="1">IFERROR(__xludf.DUMMYFUNCTION("""COMPUTED_VALUE"""),0)</f>
        <v>0</v>
      </c>
      <c r="K1253" s="8" t="str">
        <f ca="1">IFERROR(__xludf.DUMMYFUNCTION("""COMPUTED_VALUE"""),"https://www.wreg.com/news/fight-prompted-shooting-at-memphis-elementary-school/ https://abcnews.go.com/US/boy-shot-memphis-school-critical-condition-suspect-large/story?id=80328357 https://dailymemphian.com/article/24432/child-shot-soulsville-cummings-ele"&amp;"mentary-school https://www.commercialappeal.com/story/news/crime/2021/09/30/one-injured-shooting-memphis-cummings-elementary-school/5929880001/")</f>
        <v>https://www.wreg.com/news/fight-prompted-shooting-at-memphis-elementary-school/ https://abcnews.go.com/US/boy-shot-memphis-school-critical-condition-suspect-large/story?id=80328357 https://dailymemphian.com/article/24432/child-shot-soulsville-cummings-elementary-school https://www.commercialappeal.com/story/news/crime/2021/09/30/one-injured-shooting-memphis-cummings-elementary-school/5929880001/</v>
      </c>
      <c r="L1253" s="8">
        <f ca="1">IFERROR(__xludf.DUMMYFUNCTION("""COMPUTED_VALUE"""),100)</f>
        <v>100</v>
      </c>
      <c r="M1253" s="8" t="str">
        <f ca="1">IFERROR(__xludf.DUMMYFUNCTION("""COMPUTED_VALUE"""),"National")</f>
        <v>National</v>
      </c>
      <c r="N1253" s="8">
        <f ca="1">IFERROR(__xludf.DUMMYFUNCTION("""COMPUTED_VALUE"""),4)</f>
        <v>4</v>
      </c>
      <c r="O1253" s="8" t="str">
        <f ca="1">IFERROR(__xludf.DUMMYFUNCTION("""COMPUTED_VALUE"""),"Fall")</f>
        <v>Fall</v>
      </c>
      <c r="P1253" s="8" t="str">
        <f ca="1">IFERROR(__xludf.DUMMYFUNCTION("""COMPUTED_VALUE"""),"Memphis")</f>
        <v>Memphis</v>
      </c>
      <c r="Q1253" s="8" t="str">
        <f ca="1">IFERROR(__xludf.DUMMYFUNCTION("""COMPUTED_VALUE"""),"TN")</f>
        <v>TN</v>
      </c>
      <c r="R1253" s="8" t="str">
        <f ca="1">IFERROR(__xludf.DUMMYFUNCTION("""COMPUTED_VALUE"""),"K-8")</f>
        <v>K-8</v>
      </c>
      <c r="S1253" s="8" t="str">
        <f ca="1">IFERROR(__xludf.DUMMYFUNCTION("""COMPUTED_VALUE"""),"Hallway")</f>
        <v>Hallway</v>
      </c>
      <c r="T1253" s="8" t="str">
        <f ca="1">IFERROR(__xludf.DUMMYFUNCTION("""COMPUTED_VALUE"""),"Inside School Building")</f>
        <v>Inside School Building</v>
      </c>
      <c r="U1253" s="8" t="str">
        <f ca="1">IFERROR(__xludf.DUMMYFUNCTION("""COMPUTED_VALUE"""),"Yes")</f>
        <v>Yes</v>
      </c>
      <c r="V1253" s="8" t="str">
        <f ca="1">IFERROR(__xludf.DUMMYFUNCTION("""COMPUTED_VALUE"""),"Morning Classes")</f>
        <v>Morning Classes</v>
      </c>
      <c r="W1253" s="11">
        <f ca="1">IFERROR(__xludf.DUMMYFUNCTION("""COMPUTED_VALUE"""),0.385416666666666)</f>
        <v>0.38541666666666602</v>
      </c>
      <c r="X1253" s="8">
        <f ca="1">IFERROR(__xludf.DUMMYFUNCTION("""COMPUTED_VALUE"""),1)</f>
        <v>1</v>
      </c>
      <c r="Y1253" s="12" t="str">
        <f ca="1">IFERROR(__xludf.DUMMYFUNCTION("""COMPUTED_VALUE"""),"Student shot student in the stairwell then fled in vehicle")</f>
        <v>Student shot student in the stairwell then fled in vehicle</v>
      </c>
      <c r="Z1253" s="12" t="str">
        <f ca="1">IFERROR(__xludf.DUMMYFUNCTION("""COMPUTED_VALUE"""),"A 13-year-old male student shot another 13-year-old male student during a fight in the stairwell of the school during morning classes, then fled in a vehicle. No other students were in the stairwell when the shooting occurred. It was recorded on CCTV. The"&amp;" school was placed on lockdown. Students were evacuated by police to a church across the street where they were released to their parents. Shooter turned himself in at the police station.")</f>
        <v>A 13-year-old male student shot another 13-year-old male student during a fight in the stairwell of the school during morning classes, then fled in a vehicle. No other students were in the stairwell when the shooting occurred. It was recorded on CCTV. The school was placed on lockdown. Students were evacuated by police to a church across the street where they were released to their parents. Shooter turned himself in at the police station.</v>
      </c>
      <c r="AA1253" s="8" t="str">
        <f ca="1">IFERROR(__xludf.DUMMYFUNCTION("""COMPUTED_VALUE"""),"Escalation of Dispute")</f>
        <v>Escalation of Dispute</v>
      </c>
      <c r="AB1253" s="8"/>
      <c r="AC1253" s="8" t="str">
        <f ca="1">IFERROR(__xludf.DUMMYFUNCTION("""COMPUTED_VALUE"""),"Yes")</f>
        <v>Yes</v>
      </c>
      <c r="AD1253" s="8" t="str">
        <f ca="1">IFERROR(__xludf.DUMMYFUNCTION("""COMPUTED_VALUE"""),"Victims Targeted")</f>
        <v>Victims Targeted</v>
      </c>
      <c r="AE1253" s="8" t="str">
        <f ca="1">IFERROR(__xludf.DUMMYFUNCTION("""COMPUTED_VALUE"""),"Yes")</f>
        <v>Yes</v>
      </c>
      <c r="AF1253" s="8" t="str">
        <f ca="1">IFERROR(__xludf.DUMMYFUNCTION("""COMPUTED_VALUE"""),"Fled in vehicle")</f>
        <v>Fled in vehicle</v>
      </c>
      <c r="AG1253" s="8" t="str">
        <f ca="1">IFERROR(__xludf.DUMMYFUNCTION("""COMPUTED_VALUE"""),"No")</f>
        <v>No</v>
      </c>
      <c r="AH1253" s="8" t="str">
        <f ca="1">IFERROR(__xludf.DUMMYFUNCTION("""COMPUTED_VALUE"""),"No")</f>
        <v>No</v>
      </c>
      <c r="AI1253" s="8" t="str">
        <f ca="1">IFERROR(__xludf.DUMMYFUNCTION("""COMPUTED_VALUE"""),"No")</f>
        <v>No</v>
      </c>
      <c r="AJ1253" s="8"/>
      <c r="AK1253" s="8" t="str">
        <f ca="1">IFERROR(__xludf.DUMMYFUNCTION("""COMPUTED_VALUE"""),"No")</f>
        <v>No</v>
      </c>
      <c r="AL1253" s="8"/>
      <c r="AM1253" s="8" t="str">
        <f ca="1">IFERROR(__xludf.DUMMYFUNCTION("""COMPUTED_VALUE"""),"No")</f>
        <v>No</v>
      </c>
      <c r="AN1253" s="8"/>
      <c r="AO1253" s="8"/>
      <c r="AP1253" s="8" t="str">
        <f ca="1">IFERROR(__xludf.DUMMYFUNCTION("""COMPUTED_VALUE"""),"No")</f>
        <v>No</v>
      </c>
      <c r="AQ1253" s="8" t="str">
        <f ca="1">IFERROR(__xludf.DUMMYFUNCTION("""COMPUTED_VALUE"""),"Metal Detectors Intermittent")</f>
        <v>Metal Detectors Intermittent</v>
      </c>
      <c r="AR1253" s="8" t="str">
        <f ca="1">IFERROR(__xludf.DUMMYFUNCTION("""COMPUTED_VALUE"""),"Failed")</f>
        <v>Failed</v>
      </c>
      <c r="AS1253" s="8">
        <f ca="1">IFERROR(__xludf.DUMMYFUNCTION("""COMPUTED_VALUE"""),1)</f>
        <v>1</v>
      </c>
      <c r="AT1253" s="8" t="str">
        <f ca="1">IFERROR(__xludf.DUMMYFUNCTION("""COMPUTED_VALUE"""),"Yes")</f>
        <v>Yes</v>
      </c>
      <c r="AU1253" s="8">
        <f ca="1">IFERROR(__xludf.DUMMYFUNCTION("""COMPUTED_VALUE"""),35.119092)</f>
        <v>35.119092000000002</v>
      </c>
      <c r="AV1253" s="8">
        <f ca="1">IFERROR(__xludf.DUMMYFUNCTION("""COMPUTED_VALUE"""),-90.027406)</f>
        <v>-90.027405999999999</v>
      </c>
      <c r="AW1253" s="8"/>
      <c r="AX1253" s="8">
        <f ca="1">IFERROR(__xludf.DUMMYFUNCTION("""COMPUTED_VALUE"""),38106)</f>
        <v>38106</v>
      </c>
    </row>
    <row r="1254" spans="1:50" ht="60" x14ac:dyDescent="0.2">
      <c r="A1254" s="8" t="str">
        <f ca="1">IFERROR(__xludf.DUMMYFUNCTION("""COMPUTED_VALUE"""),"20210930MSNEN")</f>
        <v>20210930MSNEN</v>
      </c>
      <c r="B1254" s="8">
        <f ca="1">IFERROR(__xludf.DUMMYFUNCTION("""COMPUTED_VALUE"""),9)</f>
        <v>9</v>
      </c>
      <c r="C1254" s="8">
        <f ca="1">IFERROR(__xludf.DUMMYFUNCTION("""COMPUTED_VALUE"""),30)</f>
        <v>30</v>
      </c>
      <c r="D1254" s="8">
        <f ca="1">IFERROR(__xludf.DUMMYFUNCTION("""COMPUTED_VALUE"""),2021)</f>
        <v>2021</v>
      </c>
      <c r="E1254" s="9">
        <f ca="1">IFERROR(__xludf.DUMMYFUNCTION("""COMPUTED_VALUE"""),44469)</f>
        <v>44469</v>
      </c>
      <c r="F1254" s="8" t="str">
        <f ca="1">IFERROR(__xludf.DUMMYFUNCTION("""COMPUTED_VALUE"""),"Newton Elementary School")</f>
        <v>Newton Elementary School</v>
      </c>
      <c r="G1254" s="8">
        <f ca="1">IFERROR(__xludf.DUMMYFUNCTION("""COMPUTED_VALUE"""),0)</f>
        <v>0</v>
      </c>
      <c r="H1254" s="8">
        <f ca="1">IFERROR(__xludf.DUMMYFUNCTION("""COMPUTED_VALUE"""),1)</f>
        <v>1</v>
      </c>
      <c r="I1254" s="8">
        <f ca="1">IFERROR(__xludf.DUMMYFUNCTION("""COMPUTED_VALUE"""),1)</f>
        <v>1</v>
      </c>
      <c r="J1254" s="8">
        <f ca="1">IFERROR(__xludf.DUMMYFUNCTION("""COMPUTED_VALUE"""),0)</f>
        <v>0</v>
      </c>
      <c r="K1254" s="8" t="str">
        <f ca="1">IFERROR(__xludf.DUMMYFUNCTION("""COMPUTED_VALUE"""),"https://www.wjtv.com/news/local/child-airlifted-to-hospital-after-shooting-at-newton-elementary-school/ https://www.wsaz.com/2021/09/30/child-shot-elementary-school-mississippi/ https://www.the-sun.com/news/3770610/newton-elementary-school-shooting-child/")</f>
        <v>https://www.wjtv.com/news/local/child-airlifted-to-hospital-after-shooting-at-newton-elementary-school/ https://www.wsaz.com/2021/09/30/child-shot-elementary-school-mississippi/ https://www.the-sun.com/news/3770610/newton-elementary-school-shooting-child/</v>
      </c>
      <c r="L1254" s="8">
        <f ca="1">IFERROR(__xludf.DUMMYFUNCTION("""COMPUTED_VALUE"""),3)</f>
        <v>3</v>
      </c>
      <c r="M1254" s="8" t="str">
        <f ca="1">IFERROR(__xludf.DUMMYFUNCTION("""COMPUTED_VALUE"""),"Local")</f>
        <v>Local</v>
      </c>
      <c r="N1254" s="8">
        <f ca="1">IFERROR(__xludf.DUMMYFUNCTION("""COMPUTED_VALUE"""),4)</f>
        <v>4</v>
      </c>
      <c r="O1254" s="8" t="str">
        <f ca="1">IFERROR(__xludf.DUMMYFUNCTION("""COMPUTED_VALUE"""),"Fall")</f>
        <v>Fall</v>
      </c>
      <c r="P1254" s="8" t="str">
        <f ca="1">IFERROR(__xludf.DUMMYFUNCTION("""COMPUTED_VALUE"""),"Newton")</f>
        <v>Newton</v>
      </c>
      <c r="Q1254" s="8" t="str">
        <f ca="1">IFERROR(__xludf.DUMMYFUNCTION("""COMPUTED_VALUE"""),"MS")</f>
        <v>MS</v>
      </c>
      <c r="R1254" s="8" t="str">
        <f ca="1">IFERROR(__xludf.DUMMYFUNCTION("""COMPUTED_VALUE"""),"Elementary")</f>
        <v>Elementary</v>
      </c>
      <c r="S1254" s="8" t="str">
        <f ca="1">IFERROR(__xludf.DUMMYFUNCTION("""COMPUTED_VALUE"""),"Outside on School Property")</f>
        <v>Outside on School Property</v>
      </c>
      <c r="T1254" s="8" t="str">
        <f ca="1">IFERROR(__xludf.DUMMYFUNCTION("""COMPUTED_VALUE"""),"Outside on School Property")</f>
        <v>Outside on School Property</v>
      </c>
      <c r="U1254" s="8" t="str">
        <f ca="1">IFERROR(__xludf.DUMMYFUNCTION("""COMPUTED_VALUE"""),"Yes")</f>
        <v>Yes</v>
      </c>
      <c r="V1254" s="8" t="str">
        <f ca="1">IFERROR(__xludf.DUMMYFUNCTION("""COMPUTED_VALUE"""),"Dismissal")</f>
        <v>Dismissal</v>
      </c>
      <c r="W1254" s="11">
        <f ca="1">IFERROR(__xludf.DUMMYFUNCTION("""COMPUTED_VALUE"""),0.6875)</f>
        <v>0.6875</v>
      </c>
      <c r="X1254" s="8">
        <f ca="1">IFERROR(__xludf.DUMMYFUNCTION("""COMPUTED_VALUE"""),1)</f>
        <v>1</v>
      </c>
      <c r="Y1254" s="12" t="str">
        <f ca="1">IFERROR(__xludf.DUMMYFUNCTION("""COMPUTED_VALUE"""),"1st grader shot when gun inside backpack discharged")</f>
        <v>1st grader shot when gun inside backpack discharged</v>
      </c>
      <c r="Z1254" s="12" t="str">
        <f ca="1">IFERROR(__xludf.DUMMYFUNCTION("""COMPUTED_VALUE"""),"A 1st grade student was shot during dismissal when a gun in the backpack of another 1st grade student discharged. Victim was struck in the leg and airlifted to a trauma center. Police said the shooting was accidental.")</f>
        <v>A 1st grade student was shot during dismissal when a gun in the backpack of another 1st grade student discharged. Victim was struck in the leg and airlifted to a trauma center. Police said the shooting was accidental.</v>
      </c>
      <c r="AA1254" s="8" t="str">
        <f ca="1">IFERROR(__xludf.DUMMYFUNCTION("""COMPUTED_VALUE"""),"Accidental")</f>
        <v>Accidental</v>
      </c>
      <c r="AB1254" s="8"/>
      <c r="AC1254" s="8" t="str">
        <f ca="1">IFERROR(__xludf.DUMMYFUNCTION("""COMPUTED_VALUE"""),"Yes")</f>
        <v>Yes</v>
      </c>
      <c r="AD1254" s="8" t="str">
        <f ca="1">IFERROR(__xludf.DUMMYFUNCTION("""COMPUTED_VALUE"""),"Random Shooting")</f>
        <v>Random Shooting</v>
      </c>
      <c r="AE1254" s="8" t="str">
        <f ca="1">IFERROR(__xludf.DUMMYFUNCTION("""COMPUTED_VALUE"""),"No")</f>
        <v>No</v>
      </c>
      <c r="AF1254" s="8"/>
      <c r="AG1254" s="8" t="str">
        <f ca="1">IFERROR(__xludf.DUMMYFUNCTION("""COMPUTED_VALUE"""),"No")</f>
        <v>No</v>
      </c>
      <c r="AH1254" s="8" t="str">
        <f ca="1">IFERROR(__xludf.DUMMYFUNCTION("""COMPUTED_VALUE"""),"No")</f>
        <v>No</v>
      </c>
      <c r="AI1254" s="8" t="str">
        <f ca="1">IFERROR(__xludf.DUMMYFUNCTION("""COMPUTED_VALUE"""),"No")</f>
        <v>No</v>
      </c>
      <c r="AJ1254" s="8" t="str">
        <f ca="1">IFERROR(__xludf.DUMMYFUNCTION("""COMPUTED_VALUE"""),"No")</f>
        <v>No</v>
      </c>
      <c r="AK1254" s="8" t="str">
        <f ca="1">IFERROR(__xludf.DUMMYFUNCTION("""COMPUTED_VALUE"""),"No")</f>
        <v>No</v>
      </c>
      <c r="AL1254" s="8" t="str">
        <f ca="1">IFERROR(__xludf.DUMMYFUNCTION("""COMPUTED_VALUE"""),"No")</f>
        <v>No</v>
      </c>
      <c r="AM1254" s="8" t="str">
        <f ca="1">IFERROR(__xludf.DUMMYFUNCTION("""COMPUTED_VALUE"""),"No")</f>
        <v>No</v>
      </c>
      <c r="AN1254" s="8"/>
      <c r="AO1254" s="8" t="str">
        <f ca="1">IFERROR(__xludf.DUMMYFUNCTION("""COMPUTED_VALUE"""),"No")</f>
        <v>No</v>
      </c>
      <c r="AP1254" s="8"/>
      <c r="AQ1254" s="8"/>
      <c r="AR1254" s="8"/>
      <c r="AS1254" s="8">
        <f ca="1">IFERROR(__xludf.DUMMYFUNCTION("""COMPUTED_VALUE"""),1)</f>
        <v>1</v>
      </c>
      <c r="AT1254" s="8" t="str">
        <f ca="1">IFERROR(__xludf.DUMMYFUNCTION("""COMPUTED_VALUE"""),"No")</f>
        <v>No</v>
      </c>
      <c r="AU1254" s="8">
        <f ca="1">IFERROR(__xludf.DUMMYFUNCTION("""COMPUTED_VALUE"""),32.31519)</f>
        <v>32.315190000000001</v>
      </c>
      <c r="AV1254" s="8">
        <f ca="1">IFERROR(__xludf.DUMMYFUNCTION("""COMPUTED_VALUE"""),-89.167685)</f>
        <v>-89.167685000000006</v>
      </c>
      <c r="AW1254" s="8"/>
      <c r="AX1254" s="8">
        <f ca="1">IFERROR(__xludf.DUMMYFUNCTION("""COMPUTED_VALUE"""),39345)</f>
        <v>39345</v>
      </c>
    </row>
    <row r="1255" spans="1:50" ht="105" x14ac:dyDescent="0.2">
      <c r="A1255" s="8" t="str">
        <f ca="1">IFERROR(__xludf.DUMMYFUNCTION("""COMPUTED_VALUE"""),"20210929OHSHS")</f>
        <v>20210929OHSHS</v>
      </c>
      <c r="B1255" s="8">
        <f ca="1">IFERROR(__xludf.DUMMYFUNCTION("""COMPUTED_VALUE"""),9)</f>
        <v>9</v>
      </c>
      <c r="C1255" s="8">
        <f ca="1">IFERROR(__xludf.DUMMYFUNCTION("""COMPUTED_VALUE"""),29)</f>
        <v>29</v>
      </c>
      <c r="D1255" s="8">
        <f ca="1">IFERROR(__xludf.DUMMYFUNCTION("""COMPUTED_VALUE"""),2021)</f>
        <v>2021</v>
      </c>
      <c r="E1255" s="9">
        <f ca="1">IFERROR(__xludf.DUMMYFUNCTION("""COMPUTED_VALUE"""),44468)</f>
        <v>44468</v>
      </c>
      <c r="F1255" s="8" t="str">
        <f ca="1">IFERROR(__xludf.DUMMYFUNCTION("""COMPUTED_VALUE"""),"Shaker Heights Middle School")</f>
        <v>Shaker Heights Middle School</v>
      </c>
      <c r="G1255" s="8">
        <f ca="1">IFERROR(__xludf.DUMMYFUNCTION("""COMPUTED_VALUE"""),0)</f>
        <v>0</v>
      </c>
      <c r="H1255" s="8">
        <f ca="1">IFERROR(__xludf.DUMMYFUNCTION("""COMPUTED_VALUE"""),0)</f>
        <v>0</v>
      </c>
      <c r="I1255" s="8">
        <f ca="1">IFERROR(__xludf.DUMMYFUNCTION("""COMPUTED_VALUE"""),0)</f>
        <v>0</v>
      </c>
      <c r="J1255" s="8">
        <f ca="1">IFERROR(__xludf.DUMMYFUNCTION("""COMPUTED_VALUE"""),0)</f>
        <v>0</v>
      </c>
      <c r="K1255" s="10" t="str">
        <f ca="1">IFERROR(__xludf.DUMMYFUNCTION("""COMPUTED_VALUE"""),"https://www.cleveland19.com/2021/09/30/shot-fired-after-middle-school-football-game-east-cleveland/")</f>
        <v>https://www.cleveland19.com/2021/09/30/shot-fired-after-middle-school-football-game-east-cleveland/</v>
      </c>
      <c r="L1255" s="8">
        <f ca="1">IFERROR(__xludf.DUMMYFUNCTION("""COMPUTED_VALUE"""),1)</f>
        <v>1</v>
      </c>
      <c r="M1255" s="8" t="str">
        <f ca="1">IFERROR(__xludf.DUMMYFUNCTION("""COMPUTED_VALUE"""),"Local")</f>
        <v>Local</v>
      </c>
      <c r="N1255" s="8">
        <f ca="1">IFERROR(__xludf.DUMMYFUNCTION("""COMPUTED_VALUE"""),4)</f>
        <v>4</v>
      </c>
      <c r="O1255" s="8" t="str">
        <f ca="1">IFERROR(__xludf.DUMMYFUNCTION("""COMPUTED_VALUE"""),"Fall")</f>
        <v>Fall</v>
      </c>
      <c r="P1255" s="8" t="str">
        <f ca="1">IFERROR(__xludf.DUMMYFUNCTION("""COMPUTED_VALUE"""),"Shaker Heights")</f>
        <v>Shaker Heights</v>
      </c>
      <c r="Q1255" s="8" t="str">
        <f ca="1">IFERROR(__xludf.DUMMYFUNCTION("""COMPUTED_VALUE"""),"OH")</f>
        <v>OH</v>
      </c>
      <c r="R1255" s="8" t="str">
        <f ca="1">IFERROR(__xludf.DUMMYFUNCTION("""COMPUTED_VALUE"""),"Middle")</f>
        <v>Middle</v>
      </c>
      <c r="S1255" s="8" t="str">
        <f ca="1">IFERROR(__xludf.DUMMYFUNCTION("""COMPUTED_VALUE"""),"Parking Lot")</f>
        <v>Parking Lot</v>
      </c>
      <c r="T1255" s="8" t="str">
        <f ca="1">IFERROR(__xludf.DUMMYFUNCTION("""COMPUTED_VALUE"""),"Outside on School Property")</f>
        <v>Outside on School Property</v>
      </c>
      <c r="U1255" s="8" t="str">
        <f ca="1">IFERROR(__xludf.DUMMYFUNCTION("""COMPUTED_VALUE"""),"No")</f>
        <v>No</v>
      </c>
      <c r="V1255" s="8" t="str">
        <f ca="1">IFERROR(__xludf.DUMMYFUNCTION("""COMPUTED_VALUE"""),"Sport Event")</f>
        <v>Sport Event</v>
      </c>
      <c r="W1255" s="11">
        <f ca="1">IFERROR(__xludf.DUMMYFUNCTION("""COMPUTED_VALUE"""),0.770833333333333)</f>
        <v>0.77083333333333304</v>
      </c>
      <c r="X1255" s="8">
        <f ca="1">IFERROR(__xludf.DUMMYFUNCTION("""COMPUTED_VALUE"""),1)</f>
        <v>1</v>
      </c>
      <c r="Y1255" s="12" t="str">
        <f ca="1">IFERROR(__xludf.DUMMYFUNCTION("""COMPUTED_VALUE"""),"Shot fired in school parking lot during football game")</f>
        <v>Shot fired in school parking lot during football game</v>
      </c>
      <c r="Z1255" s="12" t="str">
        <f ca="1">IFERROR(__xludf.DUMMYFUNCTION("""COMPUTED_VALUE"""),"A shot was fired during a large fight in the parking lot of the school during a middle school football game. Police received a description of the vehicle with the shooter and stopped it nearby. Female shooter did not have a permit for the weapon and said "&amp;"she fired into the air to breakup the fight. A handgun with a round that misfired was recovered. No injuries reported. Game was suspended.")</f>
        <v>A shot was fired during a large fight in the parking lot of the school during a middle school football game. Police received a description of the vehicle with the shooter and stopped it nearby. Female shooter did not have a permit for the weapon and said she fired into the air to breakup the fight. A handgun with a round that misfired was recovered. No injuries reported. Game was suspended.</v>
      </c>
      <c r="AA1255" s="8" t="str">
        <f ca="1">IFERROR(__xludf.DUMMYFUNCTION("""COMPUTED_VALUE"""),"Escalation of Dispute")</f>
        <v>Escalation of Dispute</v>
      </c>
      <c r="AB1255" s="8"/>
      <c r="AC1255" s="8" t="str">
        <f ca="1">IFERROR(__xludf.DUMMYFUNCTION("""COMPUTED_VALUE"""),"Yes")</f>
        <v>Yes</v>
      </c>
      <c r="AD1255" s="8" t="str">
        <f ca="1">IFERROR(__xludf.DUMMYFUNCTION("""COMPUTED_VALUE"""),"Neither")</f>
        <v>Neither</v>
      </c>
      <c r="AE1255" s="8" t="str">
        <f ca="1">IFERROR(__xludf.DUMMYFUNCTION("""COMPUTED_VALUE"""),"No")</f>
        <v>No</v>
      </c>
      <c r="AF1255" s="8"/>
      <c r="AG1255" s="8" t="str">
        <f ca="1">IFERROR(__xludf.DUMMYFUNCTION("""COMPUTED_VALUE"""),"No")</f>
        <v>No</v>
      </c>
      <c r="AH1255" s="8" t="str">
        <f ca="1">IFERROR(__xludf.DUMMYFUNCTION("""COMPUTED_VALUE"""),"No")</f>
        <v>No</v>
      </c>
      <c r="AI1255" s="8" t="str">
        <f ca="1">IFERROR(__xludf.DUMMYFUNCTION("""COMPUTED_VALUE"""),"No")</f>
        <v>No</v>
      </c>
      <c r="AJ1255" s="8" t="str">
        <f ca="1">IFERROR(__xludf.DUMMYFUNCTION("""COMPUTED_VALUE"""),"No")</f>
        <v>No</v>
      </c>
      <c r="AK1255" s="8" t="str">
        <f ca="1">IFERROR(__xludf.DUMMYFUNCTION("""COMPUTED_VALUE"""),"No")</f>
        <v>No</v>
      </c>
      <c r="AL1255" s="8" t="str">
        <f ca="1">IFERROR(__xludf.DUMMYFUNCTION("""COMPUTED_VALUE"""),"No")</f>
        <v>No</v>
      </c>
      <c r="AM1255" s="8" t="str">
        <f ca="1">IFERROR(__xludf.DUMMYFUNCTION("""COMPUTED_VALUE"""),"No")</f>
        <v>No</v>
      </c>
      <c r="AN1255" s="8"/>
      <c r="AO1255" s="8" t="str">
        <f ca="1">IFERROR(__xludf.DUMMYFUNCTION("""COMPUTED_VALUE"""),"No")</f>
        <v>No</v>
      </c>
      <c r="AP1255" s="8"/>
      <c r="AQ1255" s="8"/>
      <c r="AR1255" s="8" t="str">
        <f ca="1">IFERROR(__xludf.DUMMYFUNCTION("""COMPUTED_VALUE"""),"Outside/Off-Property")</f>
        <v>Outside/Off-Property</v>
      </c>
      <c r="AS1255" s="8">
        <f ca="1">IFERROR(__xludf.DUMMYFUNCTION("""COMPUTED_VALUE"""),1)</f>
        <v>1</v>
      </c>
      <c r="AT1255" s="8"/>
      <c r="AU1255" s="8">
        <f ca="1">IFERROR(__xludf.DUMMYFUNCTION("""COMPUTED_VALUE"""),41.47714)</f>
        <v>41.477139999999999</v>
      </c>
      <c r="AV1255" s="8">
        <f ca="1">IFERROR(__xludf.DUMMYFUNCTION("""COMPUTED_VALUE"""),-81.53231)</f>
        <v>-81.532309999999995</v>
      </c>
      <c r="AW1255" s="8"/>
      <c r="AX1255" s="8">
        <f ca="1">IFERROR(__xludf.DUMMYFUNCTION("""COMPUTED_VALUE"""),44122)</f>
        <v>44122</v>
      </c>
    </row>
    <row r="1256" spans="1:50" ht="45" x14ac:dyDescent="0.2">
      <c r="A1256" s="8" t="str">
        <f ca="1">IFERROR(__xludf.DUMMYFUNCTION("""COMPUTED_VALUE"""),"20210928MESOS")</f>
        <v>20210928MESOS</v>
      </c>
      <c r="B1256" s="8">
        <f ca="1">IFERROR(__xludf.DUMMYFUNCTION("""COMPUTED_VALUE"""),9)</f>
        <v>9</v>
      </c>
      <c r="C1256" s="8">
        <f ca="1">IFERROR(__xludf.DUMMYFUNCTION("""COMPUTED_VALUE"""),28)</f>
        <v>28</v>
      </c>
      <c r="D1256" s="8">
        <f ca="1">IFERROR(__xludf.DUMMYFUNCTION("""COMPUTED_VALUE"""),2021)</f>
        <v>2021</v>
      </c>
      <c r="E1256" s="9">
        <f ca="1">IFERROR(__xludf.DUMMYFUNCTION("""COMPUTED_VALUE"""),44467)</f>
        <v>44467</v>
      </c>
      <c r="F1256" s="8" t="str">
        <f ca="1">IFERROR(__xludf.DUMMYFUNCTION("""COMPUTED_VALUE"""),"South Portland High School")</f>
        <v>South Portland High School</v>
      </c>
      <c r="G1256" s="8">
        <f ca="1">IFERROR(__xludf.DUMMYFUNCTION("""COMPUTED_VALUE"""),0)</f>
        <v>0</v>
      </c>
      <c r="H1256" s="8">
        <f ca="1">IFERROR(__xludf.DUMMYFUNCTION("""COMPUTED_VALUE"""),1)</f>
        <v>1</v>
      </c>
      <c r="I1256" s="8">
        <f ca="1">IFERROR(__xludf.DUMMYFUNCTION("""COMPUTED_VALUE"""),1)</f>
        <v>1</v>
      </c>
      <c r="J1256" s="8">
        <f ca="1">IFERROR(__xludf.DUMMYFUNCTION("""COMPUTED_VALUE"""),0)</f>
        <v>0</v>
      </c>
      <c r="K1256" s="8" t="str">
        <f ca="1">IFERROR(__xludf.DUMMYFUNCTION("""COMPUTED_VALUE"""),"https://wgme.com/news/local/south-portland-police-on-scene-near-high-school https://www.pressherald.com/2021/09/28/person-found-with-gunshot-wound-near-south-portland-high-school/ https://www.newscentermaine.com/article/news/crime/person-shot-near-south-p"&amp;"ortland-high-school-official-says/97-afe151d5-1805-4c40-a31a-5291d8dde3a9 https://www.wmtw.com/article/person-shot-near-south-portland-high-school/37781378#")</f>
        <v>https://wgme.com/news/local/south-portland-police-on-scene-near-high-school https://www.pressherald.com/2021/09/28/person-found-with-gunshot-wound-near-south-portland-high-school/ https://www.newscentermaine.com/article/news/crime/person-shot-near-south-portland-high-school-official-says/97-afe151d5-1805-4c40-a31a-5291d8dde3a9 https://www.wmtw.com/article/person-shot-near-south-portland-high-school/37781378#</v>
      </c>
      <c r="L1256" s="8">
        <f ca="1">IFERROR(__xludf.DUMMYFUNCTION("""COMPUTED_VALUE"""),4)</f>
        <v>4</v>
      </c>
      <c r="M1256" s="8" t="str">
        <f ca="1">IFERROR(__xludf.DUMMYFUNCTION("""COMPUTED_VALUE"""),"Local")</f>
        <v>Local</v>
      </c>
      <c r="N1256" s="8">
        <f ca="1">IFERROR(__xludf.DUMMYFUNCTION("""COMPUTED_VALUE"""),4)</f>
        <v>4</v>
      </c>
      <c r="O1256" s="8" t="str">
        <f ca="1">IFERROR(__xludf.DUMMYFUNCTION("""COMPUTED_VALUE"""),"Fall")</f>
        <v>Fall</v>
      </c>
      <c r="P1256" s="8" t="str">
        <f ca="1">IFERROR(__xludf.DUMMYFUNCTION("""COMPUTED_VALUE"""),"South Portland")</f>
        <v>South Portland</v>
      </c>
      <c r="Q1256" s="8" t="str">
        <f ca="1">IFERROR(__xludf.DUMMYFUNCTION("""COMPUTED_VALUE"""),"ME")</f>
        <v>ME</v>
      </c>
      <c r="R1256" s="8" t="str">
        <f ca="1">IFERROR(__xludf.DUMMYFUNCTION("""COMPUTED_VALUE"""),"High")</f>
        <v>High</v>
      </c>
      <c r="S1256" s="8" t="str">
        <f ca="1">IFERROR(__xludf.DUMMYFUNCTION("""COMPUTED_VALUE"""),"Parking Lot")</f>
        <v>Parking Lot</v>
      </c>
      <c r="T1256" s="8" t="str">
        <f ca="1">IFERROR(__xludf.DUMMYFUNCTION("""COMPUTED_VALUE"""),"Outside on School Property")</f>
        <v>Outside on School Property</v>
      </c>
      <c r="U1256" s="8" t="str">
        <f ca="1">IFERROR(__xludf.DUMMYFUNCTION("""COMPUTED_VALUE"""),"No")</f>
        <v>No</v>
      </c>
      <c r="V1256" s="8" t="str">
        <f ca="1">IFERROR(__xludf.DUMMYFUNCTION("""COMPUTED_VALUE"""),"Evening")</f>
        <v>Evening</v>
      </c>
      <c r="W1256" s="11">
        <f ca="1">IFERROR(__xludf.DUMMYFUNCTION("""COMPUTED_VALUE"""),0.859722222222222)</f>
        <v>0.85972222222222205</v>
      </c>
      <c r="X1256" s="8">
        <f ca="1">IFERROR(__xludf.DUMMYFUNCTION("""COMPUTED_VALUE"""),1)</f>
        <v>1</v>
      </c>
      <c r="Y1256" s="12" t="str">
        <f ca="1">IFERROR(__xludf.DUMMYFUNCTION("""COMPUTED_VALUE"""),"Teen shot in school parking lot")</f>
        <v>Teen shot in school parking lot</v>
      </c>
      <c r="Z1256" s="12" t="str">
        <f ca="1">IFERROR(__xludf.DUMMYFUNCTION("""COMPUTED_VALUE"""),"A teen was shot in the parking lot of the school. Shooter fled. Police said the shooting was targeted and isolated to just the shooter and the victim.")</f>
        <v>A teen was shot in the parking lot of the school. Shooter fled. Police said the shooting was targeted and isolated to just the shooter and the victim.</v>
      </c>
      <c r="AA1256" s="8"/>
      <c r="AB1256" s="8"/>
      <c r="AC1256" s="8" t="str">
        <f ca="1">IFERROR(__xludf.DUMMYFUNCTION("""COMPUTED_VALUE"""),"Yes")</f>
        <v>Yes</v>
      </c>
      <c r="AD1256" s="8" t="str">
        <f ca="1">IFERROR(__xludf.DUMMYFUNCTION("""COMPUTED_VALUE"""),"Victims Targeted")</f>
        <v>Victims Targeted</v>
      </c>
      <c r="AE1256" s="8" t="str">
        <f ca="1">IFERROR(__xludf.DUMMYFUNCTION("""COMPUTED_VALUE"""),"No")</f>
        <v>No</v>
      </c>
      <c r="AF1256" s="8"/>
      <c r="AG1256" s="8" t="str">
        <f ca="1">IFERROR(__xludf.DUMMYFUNCTION("""COMPUTED_VALUE"""),"No")</f>
        <v>No</v>
      </c>
      <c r="AH1256" s="8" t="str">
        <f ca="1">IFERROR(__xludf.DUMMYFUNCTION("""COMPUTED_VALUE"""),"No")</f>
        <v>No</v>
      </c>
      <c r="AI1256" s="8" t="str">
        <f ca="1">IFERROR(__xludf.DUMMYFUNCTION("""COMPUTED_VALUE"""),"No")</f>
        <v>No</v>
      </c>
      <c r="AJ1256" s="8" t="str">
        <f ca="1">IFERROR(__xludf.DUMMYFUNCTION("""COMPUTED_VALUE"""),"No")</f>
        <v>No</v>
      </c>
      <c r="AK1256" s="8" t="str">
        <f ca="1">IFERROR(__xludf.DUMMYFUNCTION("""COMPUTED_VALUE"""),"No")</f>
        <v>No</v>
      </c>
      <c r="AL1256" s="8" t="str">
        <f ca="1">IFERROR(__xludf.DUMMYFUNCTION("""COMPUTED_VALUE"""),"No")</f>
        <v>No</v>
      </c>
      <c r="AM1256" s="8" t="str">
        <f ca="1">IFERROR(__xludf.DUMMYFUNCTION("""COMPUTED_VALUE"""),"No")</f>
        <v>No</v>
      </c>
      <c r="AN1256" s="8"/>
      <c r="AO1256" s="8" t="str">
        <f ca="1">IFERROR(__xludf.DUMMYFUNCTION("""COMPUTED_VALUE"""),"No")</f>
        <v>No</v>
      </c>
      <c r="AP1256" s="8"/>
      <c r="AQ1256" s="8"/>
      <c r="AR1256" s="8" t="str">
        <f ca="1">IFERROR(__xludf.DUMMYFUNCTION("""COMPUTED_VALUE"""),"Outside/Off-Property")</f>
        <v>Outside/Off-Property</v>
      </c>
      <c r="AS1256" s="8"/>
      <c r="AT1256" s="8"/>
      <c r="AU1256" s="8">
        <f ca="1">IFERROR(__xludf.DUMMYFUNCTION("""COMPUTED_VALUE"""),43.620883)</f>
        <v>43.620882999999999</v>
      </c>
      <c r="AV1256" s="8">
        <f ca="1">IFERROR(__xludf.DUMMYFUNCTION("""COMPUTED_VALUE"""),-70.268443)</f>
        <v>-70.268443000000005</v>
      </c>
      <c r="AW1256" s="8"/>
      <c r="AX1256" s="8">
        <f ca="1">IFERROR(__xludf.DUMMYFUNCTION("""COMPUTED_VALUE"""),4106)</f>
        <v>4106</v>
      </c>
    </row>
    <row r="1257" spans="1:50" ht="75" x14ac:dyDescent="0.2">
      <c r="A1257" s="8" t="str">
        <f ca="1">IFERROR(__xludf.DUMMYFUNCTION("""COMPUTED_VALUE"""),"20210927ILCAC")</f>
        <v>20210927ILCAC</v>
      </c>
      <c r="B1257" s="8">
        <f ca="1">IFERROR(__xludf.DUMMYFUNCTION("""COMPUTED_VALUE"""),9)</f>
        <v>9</v>
      </c>
      <c r="C1257" s="8">
        <f ca="1">IFERROR(__xludf.DUMMYFUNCTION("""COMPUTED_VALUE"""),27)</f>
        <v>27</v>
      </c>
      <c r="D1257" s="8">
        <f ca="1">IFERROR(__xludf.DUMMYFUNCTION("""COMPUTED_VALUE"""),2021)</f>
        <v>2021</v>
      </c>
      <c r="E1257" s="9">
        <f ca="1">IFERROR(__xludf.DUMMYFUNCTION("""COMPUTED_VALUE"""),44466)</f>
        <v>44466</v>
      </c>
      <c r="F1257" s="8" t="str">
        <f ca="1">IFERROR(__xludf.DUMMYFUNCTION("""COMPUTED_VALUE"""),"Canterbury Elementary School")</f>
        <v>Canterbury Elementary School</v>
      </c>
      <c r="G1257" s="8">
        <f ca="1">IFERROR(__xludf.DUMMYFUNCTION("""COMPUTED_VALUE"""),0)</f>
        <v>0</v>
      </c>
      <c r="H1257" s="8">
        <f ca="1">IFERROR(__xludf.DUMMYFUNCTION("""COMPUTED_VALUE"""),0)</f>
        <v>0</v>
      </c>
      <c r="I1257" s="8">
        <f ca="1">IFERROR(__xludf.DUMMYFUNCTION("""COMPUTED_VALUE"""),0)</f>
        <v>0</v>
      </c>
      <c r="J1257" s="8">
        <f ca="1">IFERROR(__xludf.DUMMYFUNCTION("""COMPUTED_VALUE"""),0)</f>
        <v>0</v>
      </c>
      <c r="K1257" s="10" t="str">
        <f ca="1">IFERROR(__xludf.DUMMYFUNCTION("""COMPUTED_VALUE"""),"https://www.lakemchenryscanner.com/2021/09/24/police-arrest-juvenile-who-brought-bb-gun-to-crystal-lake-elementary-school-shot-other-kids/")</f>
        <v>https://www.lakemchenryscanner.com/2021/09/24/police-arrest-juvenile-who-brought-bb-gun-to-crystal-lake-elementary-school-shot-other-kids/</v>
      </c>
      <c r="L1257" s="8">
        <f ca="1">IFERROR(__xludf.DUMMYFUNCTION("""COMPUTED_VALUE"""),1)</f>
        <v>1</v>
      </c>
      <c r="M1257" s="8" t="str">
        <f ca="1">IFERROR(__xludf.DUMMYFUNCTION("""COMPUTED_VALUE"""),"Local")</f>
        <v>Local</v>
      </c>
      <c r="N1257" s="8">
        <f ca="1">IFERROR(__xludf.DUMMYFUNCTION("""COMPUTED_VALUE"""),4)</f>
        <v>4</v>
      </c>
      <c r="O1257" s="8" t="str">
        <f ca="1">IFERROR(__xludf.DUMMYFUNCTION("""COMPUTED_VALUE"""),"Fall")</f>
        <v>Fall</v>
      </c>
      <c r="P1257" s="8" t="str">
        <f ca="1">IFERROR(__xludf.DUMMYFUNCTION("""COMPUTED_VALUE"""),"Crystal Lake")</f>
        <v>Crystal Lake</v>
      </c>
      <c r="Q1257" s="8" t="str">
        <f ca="1">IFERROR(__xludf.DUMMYFUNCTION("""COMPUTED_VALUE"""),"IL")</f>
        <v>IL</v>
      </c>
      <c r="R1257" s="8" t="str">
        <f ca="1">IFERROR(__xludf.DUMMYFUNCTION("""COMPUTED_VALUE"""),"Elementary")</f>
        <v>Elementary</v>
      </c>
      <c r="S1257" s="8" t="str">
        <f ca="1">IFERROR(__xludf.DUMMYFUNCTION("""COMPUTED_VALUE"""),"Playground")</f>
        <v>Playground</v>
      </c>
      <c r="T1257" s="8" t="str">
        <f ca="1">IFERROR(__xludf.DUMMYFUNCTION("""COMPUTED_VALUE"""),"Outside on School Property")</f>
        <v>Outside on School Property</v>
      </c>
      <c r="U1257" s="8" t="str">
        <f ca="1">IFERROR(__xludf.DUMMYFUNCTION("""COMPUTED_VALUE"""),"Yes")</f>
        <v>Yes</v>
      </c>
      <c r="V1257" s="8" t="str">
        <f ca="1">IFERROR(__xludf.DUMMYFUNCTION("""COMPUTED_VALUE"""),"Lunch")</f>
        <v>Lunch</v>
      </c>
      <c r="W1257" s="11">
        <f ca="1">IFERROR(__xludf.DUMMYFUNCTION("""COMPUTED_VALUE"""),0.5)</f>
        <v>0.5</v>
      </c>
      <c r="X1257" s="8"/>
      <c r="Y1257" s="12" t="str">
        <f ca="1">IFERROR(__xludf.DUMMYFUNCTION("""COMPUTED_VALUE"""),"Police called for student with gun on the playground, arrested student with BB gun")</f>
        <v>Police called for student with gun on the playground, arrested student with BB gun</v>
      </c>
      <c r="Z1257" s="12" t="str">
        <f ca="1">IFERROR(__xludf.DUMMYFUNCTION("""COMPUTED_VALUE"""),"Police were called for a student with a gun on the playground. Police arrested a juvenile in possession of a BB gun. Multiple students were shot and sustained minor injuries.")</f>
        <v>Police were called for a student with a gun on the playground. Police arrested a juvenile in possession of a BB gun. Multiple students were shot and sustained minor injuries.</v>
      </c>
      <c r="AA1257" s="8"/>
      <c r="AB1257" s="8"/>
      <c r="AC1257" s="8" t="str">
        <f ca="1">IFERROR(__xludf.DUMMYFUNCTION("""COMPUTED_VALUE"""),"Yes")</f>
        <v>Yes</v>
      </c>
      <c r="AD1257" s="8"/>
      <c r="AE1257" s="8" t="str">
        <f ca="1">IFERROR(__xludf.DUMMYFUNCTION("""COMPUTED_VALUE"""),"No")</f>
        <v>No</v>
      </c>
      <c r="AF1257" s="8"/>
      <c r="AG1257" s="8" t="str">
        <f ca="1">IFERROR(__xludf.DUMMYFUNCTION("""COMPUTED_VALUE"""),"No")</f>
        <v>No</v>
      </c>
      <c r="AH1257" s="8" t="str">
        <f ca="1">IFERROR(__xludf.DUMMYFUNCTION("""COMPUTED_VALUE"""),"No")</f>
        <v>No</v>
      </c>
      <c r="AI1257" s="8" t="str">
        <f ca="1">IFERROR(__xludf.DUMMYFUNCTION("""COMPUTED_VALUE"""),"No")</f>
        <v>No</v>
      </c>
      <c r="AJ1257" s="8"/>
      <c r="AK1257" s="8" t="str">
        <f ca="1">IFERROR(__xludf.DUMMYFUNCTION("""COMPUTED_VALUE"""),"No")</f>
        <v>No</v>
      </c>
      <c r="AL1257" s="8" t="str">
        <f ca="1">IFERROR(__xludf.DUMMYFUNCTION("""COMPUTED_VALUE"""),"No")</f>
        <v>No</v>
      </c>
      <c r="AM1257" s="8" t="str">
        <f ca="1">IFERROR(__xludf.DUMMYFUNCTION("""COMPUTED_VALUE"""),"No")</f>
        <v>No</v>
      </c>
      <c r="AN1257" s="8"/>
      <c r="AO1257" s="8" t="str">
        <f ca="1">IFERROR(__xludf.DUMMYFUNCTION("""COMPUTED_VALUE"""),"No")</f>
        <v>No</v>
      </c>
      <c r="AP1257" s="8"/>
      <c r="AQ1257" s="8"/>
      <c r="AR1257" s="8" t="str">
        <f ca="1">IFERROR(__xludf.DUMMYFUNCTION("""COMPUTED_VALUE"""),"Failed")</f>
        <v>Failed</v>
      </c>
      <c r="AS1257" s="8"/>
      <c r="AT1257" s="8"/>
      <c r="AU1257" s="8">
        <f ca="1">IFERROR(__xludf.DUMMYFUNCTION("""COMPUTED_VALUE"""),42.216555)</f>
        <v>42.216555</v>
      </c>
      <c r="AV1257" s="8">
        <f ca="1">IFERROR(__xludf.DUMMYFUNCTION("""COMPUTED_VALUE"""),-88.320445)</f>
        <v>-88.320445000000007</v>
      </c>
      <c r="AW1257" s="8"/>
      <c r="AX1257" s="8">
        <f ca="1">IFERROR(__xludf.DUMMYFUNCTION("""COMPUTED_VALUE"""),60014)</f>
        <v>60014</v>
      </c>
    </row>
    <row r="1258" spans="1:50" ht="90" x14ac:dyDescent="0.2">
      <c r="A1258" s="8" t="str">
        <f ca="1">IFERROR(__xludf.DUMMYFUNCTION("""COMPUTED_VALUE"""),"20210924VAESE")</f>
        <v>20210924VAESE</v>
      </c>
      <c r="B1258" s="8">
        <f ca="1">IFERROR(__xludf.DUMMYFUNCTION("""COMPUTED_VALUE"""),9)</f>
        <v>9</v>
      </c>
      <c r="C1258" s="8">
        <f ca="1">IFERROR(__xludf.DUMMYFUNCTION("""COMPUTED_VALUE"""),24)</f>
        <v>24</v>
      </c>
      <c r="D1258" s="8">
        <f ca="1">IFERROR(__xludf.DUMMYFUNCTION("""COMPUTED_VALUE"""),2021)</f>
        <v>2021</v>
      </c>
      <c r="E1258" s="9">
        <f ca="1">IFERROR(__xludf.DUMMYFUNCTION("""COMPUTED_VALUE"""),44463)</f>
        <v>44463</v>
      </c>
      <c r="F1258" s="8" t="str">
        <f ca="1">IFERROR(__xludf.DUMMYFUNCTION("""COMPUTED_VALUE"""),"Essex High School")</f>
        <v>Essex High School</v>
      </c>
      <c r="G1258" s="8">
        <f ca="1">IFERROR(__xludf.DUMMYFUNCTION("""COMPUTED_VALUE"""),0)</f>
        <v>0</v>
      </c>
      <c r="H1258" s="8">
        <f ca="1">IFERROR(__xludf.DUMMYFUNCTION("""COMPUTED_VALUE"""),0)</f>
        <v>0</v>
      </c>
      <c r="I1258" s="8">
        <f ca="1">IFERROR(__xludf.DUMMYFUNCTION("""COMPUTED_VALUE"""),0)</f>
        <v>0</v>
      </c>
      <c r="J1258" s="8">
        <f ca="1">IFERROR(__xludf.DUMMYFUNCTION("""COMPUTED_VALUE"""),0)</f>
        <v>0</v>
      </c>
      <c r="K1258" s="8" t="str">
        <f ca="1">IFERROR(__xludf.DUMMYFUNCTION("""COMPUTED_VALUE"""),"https://fredericksburg.com/news/local/crime-and-courts/gunfire-shuts-down-essex-football-game-in-tappahannock/article_fc41645f-1e55-5548-8b72-3f533d6f4c26.html https://www.wric.com/news/crime/gunfire-disrupts-essex-high-school-football-game/ https://frede"&amp;"ricksburg.today/2021/09/25/shots-fired-in-essex-high-school-parking-lot-stops-friday-night-football-game/ https://www.wtvr.com/news/local-news/essex-football-game-violence")</f>
        <v>https://fredericksburg.com/news/local/crime-and-courts/gunfire-shuts-down-essex-football-game-in-tappahannock/article_fc41645f-1e55-5548-8b72-3f533d6f4c26.html https://www.wric.com/news/crime/gunfire-disrupts-essex-high-school-football-game/ https://fredericksburg.today/2021/09/25/shots-fired-in-essex-high-school-parking-lot-stops-friday-night-football-game/ https://www.wtvr.com/news/local-news/essex-football-game-violence</v>
      </c>
      <c r="L1258" s="8">
        <f ca="1">IFERROR(__xludf.DUMMYFUNCTION("""COMPUTED_VALUE"""),10)</f>
        <v>10</v>
      </c>
      <c r="M1258" s="8" t="str">
        <f ca="1">IFERROR(__xludf.DUMMYFUNCTION("""COMPUTED_VALUE"""),"Local")</f>
        <v>Local</v>
      </c>
      <c r="N1258" s="8">
        <f ca="1">IFERROR(__xludf.DUMMYFUNCTION("""COMPUTED_VALUE"""),4)</f>
        <v>4</v>
      </c>
      <c r="O1258" s="8" t="str">
        <f ca="1">IFERROR(__xludf.DUMMYFUNCTION("""COMPUTED_VALUE"""),"Fall")</f>
        <v>Fall</v>
      </c>
      <c r="P1258" s="8" t="str">
        <f ca="1">IFERROR(__xludf.DUMMYFUNCTION("""COMPUTED_VALUE"""),"Essex")</f>
        <v>Essex</v>
      </c>
      <c r="Q1258" s="8" t="str">
        <f ca="1">IFERROR(__xludf.DUMMYFUNCTION("""COMPUTED_VALUE"""),"VA")</f>
        <v>VA</v>
      </c>
      <c r="R1258" s="8" t="str">
        <f ca="1">IFERROR(__xludf.DUMMYFUNCTION("""COMPUTED_VALUE"""),"High")</f>
        <v>High</v>
      </c>
      <c r="S1258" s="8" t="str">
        <f ca="1">IFERROR(__xludf.DUMMYFUNCTION("""COMPUTED_VALUE"""),"Football Field/Track")</f>
        <v>Football Field/Track</v>
      </c>
      <c r="T1258" s="8" t="str">
        <f ca="1">IFERROR(__xludf.DUMMYFUNCTION("""COMPUTED_VALUE"""),"Outside on School Property")</f>
        <v>Outside on School Property</v>
      </c>
      <c r="U1258" s="8" t="str">
        <f ca="1">IFERROR(__xludf.DUMMYFUNCTION("""COMPUTED_VALUE"""),"No")</f>
        <v>No</v>
      </c>
      <c r="V1258" s="8" t="str">
        <f ca="1">IFERROR(__xludf.DUMMYFUNCTION("""COMPUTED_VALUE"""),"Sport Event")</f>
        <v>Sport Event</v>
      </c>
      <c r="W1258" s="11">
        <f ca="1">IFERROR(__xludf.DUMMYFUNCTION("""COMPUTED_VALUE"""),0.847222222222222)</f>
        <v>0.84722222222222199</v>
      </c>
      <c r="X1258" s="8">
        <f ca="1">IFERROR(__xludf.DUMMYFUNCTION("""COMPUTED_VALUE"""),10)</f>
        <v>10</v>
      </c>
      <c r="Y1258" s="12" t="str">
        <f ca="1">IFERROR(__xludf.DUMMYFUNCTION("""COMPUTED_VALUE"""),"Shots fired near ticket booth and softball field during football game")</f>
        <v>Shots fired near ticket booth and softball field during football game</v>
      </c>
      <c r="Z1258" s="12" t="str">
        <f ca="1">IFERROR(__xludf.DUMMYFUNCTION("""COMPUTED_VALUE"""),"Shots were fired when a fight broke out near the ticket booth at the football stadium. Police stopped the football game and stadium followed emergencies procedures. The fight continued and shots were fired near the softball field 10 minutes later. 2 deput"&amp;"ies were injured breaking up the fight. No one was struck by gunfire. Shooter fled.")</f>
        <v>Shots were fired when a fight broke out near the ticket booth at the football stadium. Police stopped the football game and stadium followed emergencies procedures. The fight continued and shots were fired near the softball field 10 minutes later. 2 deputies were injured breaking up the fight. No one was struck by gunfire. Shooter fled.</v>
      </c>
      <c r="AA1258" s="8" t="str">
        <f ca="1">IFERROR(__xludf.DUMMYFUNCTION("""COMPUTED_VALUE"""),"Escalation of Dispute")</f>
        <v>Escalation of Dispute</v>
      </c>
      <c r="AB1258" s="8"/>
      <c r="AC1258" s="8" t="str">
        <f ca="1">IFERROR(__xludf.DUMMYFUNCTION("""COMPUTED_VALUE"""),"Yes")</f>
        <v>Yes</v>
      </c>
      <c r="AD1258" s="8" t="str">
        <f ca="1">IFERROR(__xludf.DUMMYFUNCTION("""COMPUTED_VALUE"""),"Neither")</f>
        <v>Neither</v>
      </c>
      <c r="AE1258" s="8" t="str">
        <f ca="1">IFERROR(__xludf.DUMMYFUNCTION("""COMPUTED_VALUE"""),"No")</f>
        <v>No</v>
      </c>
      <c r="AF1258" s="8"/>
      <c r="AG1258" s="8" t="str">
        <f ca="1">IFERROR(__xludf.DUMMYFUNCTION("""COMPUTED_VALUE"""),"No")</f>
        <v>No</v>
      </c>
      <c r="AH1258" s="8" t="str">
        <f ca="1">IFERROR(__xludf.DUMMYFUNCTION("""COMPUTED_VALUE"""),"No")</f>
        <v>No</v>
      </c>
      <c r="AI1258" s="8" t="str">
        <f ca="1">IFERROR(__xludf.DUMMYFUNCTION("""COMPUTED_VALUE"""),"No")</f>
        <v>No</v>
      </c>
      <c r="AJ1258" s="8" t="str">
        <f ca="1">IFERROR(__xludf.DUMMYFUNCTION("""COMPUTED_VALUE"""),"No")</f>
        <v>No</v>
      </c>
      <c r="AK1258" s="8" t="str">
        <f ca="1">IFERROR(__xludf.DUMMYFUNCTION("""COMPUTED_VALUE"""),"No")</f>
        <v>No</v>
      </c>
      <c r="AL1258" s="8"/>
      <c r="AM1258" s="8" t="str">
        <f ca="1">IFERROR(__xludf.DUMMYFUNCTION("""COMPUTED_VALUE"""),"No")</f>
        <v>No</v>
      </c>
      <c r="AN1258" s="8"/>
      <c r="AO1258" s="8" t="str">
        <f ca="1">IFERROR(__xludf.DUMMYFUNCTION("""COMPUTED_VALUE"""),"No")</f>
        <v>No</v>
      </c>
      <c r="AP1258" s="8" t="str">
        <f ca="1">IFERROR(__xludf.DUMMYFUNCTION("""COMPUTED_VALUE"""),"Yes")</f>
        <v>Yes</v>
      </c>
      <c r="AQ1258" s="8" t="str">
        <f ca="1">IFERROR(__xludf.DUMMYFUNCTION("""COMPUTED_VALUE"""),"Armed Guards")</f>
        <v>Armed Guards</v>
      </c>
      <c r="AR1258" s="8" t="str">
        <f ca="1">IFERROR(__xludf.DUMMYFUNCTION("""COMPUTED_VALUE"""),"Outside/Off-Property")</f>
        <v>Outside/Off-Property</v>
      </c>
      <c r="AS1258" s="8">
        <f ca="1">IFERROR(__xludf.DUMMYFUNCTION("""COMPUTED_VALUE"""),10)</f>
        <v>10</v>
      </c>
      <c r="AT1258" s="8" t="str">
        <f ca="1">IFERROR(__xludf.DUMMYFUNCTION("""COMPUTED_VALUE"""),"Yes")</f>
        <v>Yes</v>
      </c>
      <c r="AU1258" s="8">
        <f ca="1">IFERROR(__xludf.DUMMYFUNCTION("""COMPUTED_VALUE"""),37.923614)</f>
        <v>37.923614000000001</v>
      </c>
      <c r="AV1258" s="8">
        <f ca="1">IFERROR(__xludf.DUMMYFUNCTION("""COMPUTED_VALUE"""),-76.8744)</f>
        <v>-76.874399999999994</v>
      </c>
      <c r="AW1258" s="8"/>
      <c r="AX1258" s="8">
        <f ca="1">IFERROR(__xludf.DUMMYFUNCTION("""COMPUTED_VALUE"""),22560)</f>
        <v>22560</v>
      </c>
    </row>
    <row r="1259" spans="1:50" ht="90" x14ac:dyDescent="0.2">
      <c r="A1259" s="8" t="str">
        <f ca="1">IFERROR(__xludf.DUMMYFUNCTION("""COMPUTED_VALUE"""),"20210924TNSTS")</f>
        <v>20210924TNSTS</v>
      </c>
      <c r="B1259" s="8">
        <f ca="1">IFERROR(__xludf.DUMMYFUNCTION("""COMPUTED_VALUE"""),9)</f>
        <v>9</v>
      </c>
      <c r="C1259" s="8">
        <f ca="1">IFERROR(__xludf.DUMMYFUNCTION("""COMPUTED_VALUE"""),24)</f>
        <v>24</v>
      </c>
      <c r="D1259" s="8">
        <f ca="1">IFERROR(__xludf.DUMMYFUNCTION("""COMPUTED_VALUE"""),2021)</f>
        <v>2021</v>
      </c>
      <c r="E1259" s="9">
        <f ca="1">IFERROR(__xludf.DUMMYFUNCTION("""COMPUTED_VALUE"""),44463)</f>
        <v>44463</v>
      </c>
      <c r="F1259" s="8" t="str">
        <f ca="1">IFERROR(__xludf.DUMMYFUNCTION("""COMPUTED_VALUE"""),"Stewarts Creek High School")</f>
        <v>Stewarts Creek High School</v>
      </c>
      <c r="G1259" s="8">
        <f ca="1">IFERROR(__xludf.DUMMYFUNCTION("""COMPUTED_VALUE"""),0)</f>
        <v>0</v>
      </c>
      <c r="H1259" s="8">
        <f ca="1">IFERROR(__xludf.DUMMYFUNCTION("""COMPUTED_VALUE"""),0)</f>
        <v>0</v>
      </c>
      <c r="I1259" s="8">
        <f ca="1">IFERROR(__xludf.DUMMYFUNCTION("""COMPUTED_VALUE"""),0)</f>
        <v>0</v>
      </c>
      <c r="J1259" s="8">
        <f ca="1">IFERROR(__xludf.DUMMYFUNCTION("""COMPUTED_VALUE"""),0)</f>
        <v>0</v>
      </c>
      <c r="K1259" s="8" t="str">
        <f ca="1">IFERROR(__xludf.DUMMYFUNCTION("""COMPUTED_VALUE"""),"https://rutherfordsource.com/suspects-arrested-gunfire-school-parking-lot-friday/ https://www.wkrn.com/news/crime-tracker/no-one-hurt-after-shots-fired-in-parking-lot-at-stewarts-creek-high-school-football-game/ https://www.wsmv.com/news/two-arrested-for-"&amp;"after-shots-fired-in-school-parking-lot/article_767a6532-216d-11ec-b3ba-73829a6dc668.html")</f>
        <v>https://rutherfordsource.com/suspects-arrested-gunfire-school-parking-lot-friday/ https://www.wkrn.com/news/crime-tracker/no-one-hurt-after-shots-fired-in-parking-lot-at-stewarts-creek-high-school-football-game/ https://www.wsmv.com/news/two-arrested-for-after-shots-fired-in-school-parking-lot/article_767a6532-216d-11ec-b3ba-73829a6dc668.html</v>
      </c>
      <c r="L1259" s="8">
        <f ca="1">IFERROR(__xludf.DUMMYFUNCTION("""COMPUTED_VALUE"""),3)</f>
        <v>3</v>
      </c>
      <c r="M1259" s="8" t="str">
        <f ca="1">IFERROR(__xludf.DUMMYFUNCTION("""COMPUTED_VALUE"""),"Local")</f>
        <v>Local</v>
      </c>
      <c r="N1259" s="8">
        <f ca="1">IFERROR(__xludf.DUMMYFUNCTION("""COMPUTED_VALUE"""),4)</f>
        <v>4</v>
      </c>
      <c r="O1259" s="8" t="str">
        <f ca="1">IFERROR(__xludf.DUMMYFUNCTION("""COMPUTED_VALUE"""),"Fall")</f>
        <v>Fall</v>
      </c>
      <c r="P1259" s="8" t="str">
        <f ca="1">IFERROR(__xludf.DUMMYFUNCTION("""COMPUTED_VALUE"""),"Smyrna")</f>
        <v>Smyrna</v>
      </c>
      <c r="Q1259" s="8" t="str">
        <f ca="1">IFERROR(__xludf.DUMMYFUNCTION("""COMPUTED_VALUE"""),"TN")</f>
        <v>TN</v>
      </c>
      <c r="R1259" s="8" t="str">
        <f ca="1">IFERROR(__xludf.DUMMYFUNCTION("""COMPUTED_VALUE"""),"High")</f>
        <v>High</v>
      </c>
      <c r="S1259" s="8" t="str">
        <f ca="1">IFERROR(__xludf.DUMMYFUNCTION("""COMPUTED_VALUE"""),"Parking Lot")</f>
        <v>Parking Lot</v>
      </c>
      <c r="T1259" s="8" t="str">
        <f ca="1">IFERROR(__xludf.DUMMYFUNCTION("""COMPUTED_VALUE"""),"Outside on School Property")</f>
        <v>Outside on School Property</v>
      </c>
      <c r="U1259" s="8" t="str">
        <f ca="1">IFERROR(__xludf.DUMMYFUNCTION("""COMPUTED_VALUE"""),"No")</f>
        <v>No</v>
      </c>
      <c r="V1259" s="8" t="str">
        <f ca="1">IFERROR(__xludf.DUMMYFUNCTION("""COMPUTED_VALUE"""),"Sport Event")</f>
        <v>Sport Event</v>
      </c>
      <c r="W1259" s="11">
        <f ca="1">IFERROR(__xludf.DUMMYFUNCTION("""COMPUTED_VALUE"""),0.854166666666666)</f>
        <v>0.85416666666666596</v>
      </c>
      <c r="X1259" s="8">
        <f ca="1">IFERROR(__xludf.DUMMYFUNCTION("""COMPUTED_VALUE"""),1)</f>
        <v>1</v>
      </c>
      <c r="Y1259" s="12" t="str">
        <f ca="1">IFERROR(__xludf.DUMMYFUNCTION("""COMPUTED_VALUE"""),"Teen fired shots into the air during a fight in the parking lot during a football game")</f>
        <v>Teen fired shots into the air during a fight in the parking lot during a football game</v>
      </c>
      <c r="Z1259" s="12" t="str">
        <f ca="1">IFERROR(__xludf.DUMMYFUNCTION("""COMPUTED_VALUE"""),"An 18-year-old male fired shots from a handgun into the air during a fight in the school parking lot near the football field. A SRO saw the muzzle flashes and was able to identify the shooter. A 17-year-old teen was seen with a rifle running from the area"&amp;" but did not fired the weapon. Both teens were arrested the week after the incident.")</f>
        <v>An 18-year-old male fired shots from a handgun into the air during a fight in the school parking lot near the football field. A SRO saw the muzzle flashes and was able to identify the shooter. A 17-year-old teen was seen with a rifle running from the area but did not fired the weapon. Both teens were arrested the week after the incident.</v>
      </c>
      <c r="AA1259" s="8" t="str">
        <f ca="1">IFERROR(__xludf.DUMMYFUNCTION("""COMPUTED_VALUE"""),"Escalation of Dispute")</f>
        <v>Escalation of Dispute</v>
      </c>
      <c r="AB1259" s="8"/>
      <c r="AC1259" s="8" t="str">
        <f ca="1">IFERROR(__xludf.DUMMYFUNCTION("""COMPUTED_VALUE"""),"Yes")</f>
        <v>Yes</v>
      </c>
      <c r="AD1259" s="8" t="str">
        <f ca="1">IFERROR(__xludf.DUMMYFUNCTION("""COMPUTED_VALUE"""),"Neither")</f>
        <v>Neither</v>
      </c>
      <c r="AE1259" s="8" t="str">
        <f ca="1">IFERROR(__xludf.DUMMYFUNCTION("""COMPUTED_VALUE"""),"No")</f>
        <v>No</v>
      </c>
      <c r="AF1259" s="8"/>
      <c r="AG1259" s="8"/>
      <c r="AH1259" s="8" t="str">
        <f ca="1">IFERROR(__xludf.DUMMYFUNCTION("""COMPUTED_VALUE"""),"No")</f>
        <v>No</v>
      </c>
      <c r="AI1259" s="8" t="str">
        <f ca="1">IFERROR(__xludf.DUMMYFUNCTION("""COMPUTED_VALUE"""),"No")</f>
        <v>No</v>
      </c>
      <c r="AJ1259" s="8" t="str">
        <f ca="1">IFERROR(__xludf.DUMMYFUNCTION("""COMPUTED_VALUE"""),"No")</f>
        <v>No</v>
      </c>
      <c r="AK1259" s="8" t="str">
        <f ca="1">IFERROR(__xludf.DUMMYFUNCTION("""COMPUTED_VALUE"""),"No")</f>
        <v>No</v>
      </c>
      <c r="AL1259" s="8" t="str">
        <f ca="1">IFERROR(__xludf.DUMMYFUNCTION("""COMPUTED_VALUE"""),"No")</f>
        <v>No</v>
      </c>
      <c r="AM1259" s="8" t="str">
        <f ca="1">IFERROR(__xludf.DUMMYFUNCTION("""COMPUTED_VALUE"""),"No")</f>
        <v>No</v>
      </c>
      <c r="AN1259" s="8"/>
      <c r="AO1259" s="8" t="str">
        <f ca="1">IFERROR(__xludf.DUMMYFUNCTION("""COMPUTED_VALUE"""),"No")</f>
        <v>No</v>
      </c>
      <c r="AP1259" s="8" t="str">
        <f ca="1">IFERROR(__xludf.DUMMYFUNCTION("""COMPUTED_VALUE"""),"Yes")</f>
        <v>Yes</v>
      </c>
      <c r="AQ1259" s="8" t="str">
        <f ca="1">IFERROR(__xludf.DUMMYFUNCTION("""COMPUTED_VALUE"""),"Armed Guards")</f>
        <v>Armed Guards</v>
      </c>
      <c r="AR1259" s="8" t="str">
        <f ca="1">IFERROR(__xludf.DUMMYFUNCTION("""COMPUTED_VALUE"""),"Outside/Off-Property")</f>
        <v>Outside/Off-Property</v>
      </c>
      <c r="AS1259" s="8"/>
      <c r="AT1259" s="8"/>
      <c r="AU1259" s="8">
        <f ca="1">IFERROR(__xludf.DUMMYFUNCTION("""COMPUTED_VALUE"""),35.927355)</f>
        <v>35.927354999999999</v>
      </c>
      <c r="AV1259" s="8">
        <f ca="1">IFERROR(__xludf.DUMMYFUNCTION("""COMPUTED_VALUE"""),-86.559986)</f>
        <v>-86.559985999999995</v>
      </c>
      <c r="AW1259" s="8"/>
      <c r="AX1259" s="8">
        <f ca="1">IFERROR(__xludf.DUMMYFUNCTION("""COMPUTED_VALUE"""),37167)</f>
        <v>37167</v>
      </c>
    </row>
    <row r="1260" spans="1:50" ht="30" x14ac:dyDescent="0.2">
      <c r="A1260" s="8" t="str">
        <f ca="1">IFERROR(__xludf.DUMMYFUNCTION("""COMPUTED_VALUE"""),"20210924MDWIB")</f>
        <v>20210924MDWIB</v>
      </c>
      <c r="B1260" s="8">
        <f ca="1">IFERROR(__xludf.DUMMYFUNCTION("""COMPUTED_VALUE"""),9)</f>
        <v>9</v>
      </c>
      <c r="C1260" s="8">
        <f ca="1">IFERROR(__xludf.DUMMYFUNCTION("""COMPUTED_VALUE"""),24)</f>
        <v>24</v>
      </c>
      <c r="D1260" s="8">
        <f ca="1">IFERROR(__xludf.DUMMYFUNCTION("""COMPUTED_VALUE"""),2021)</f>
        <v>2021</v>
      </c>
      <c r="E1260" s="9">
        <f ca="1">IFERROR(__xludf.DUMMYFUNCTION("""COMPUTED_VALUE"""),44463)</f>
        <v>44463</v>
      </c>
      <c r="F1260" s="8" t="str">
        <f ca="1">IFERROR(__xludf.DUMMYFUNCTION("""COMPUTED_VALUE"""),"Wildwood Elementary/Middle School")</f>
        <v>Wildwood Elementary/Middle School</v>
      </c>
      <c r="G1260" s="8">
        <f ca="1">IFERROR(__xludf.DUMMYFUNCTION("""COMPUTED_VALUE"""),0)</f>
        <v>0</v>
      </c>
      <c r="H1260" s="8">
        <f ca="1">IFERROR(__xludf.DUMMYFUNCTION("""COMPUTED_VALUE"""),1)</f>
        <v>1</v>
      </c>
      <c r="I1260" s="8">
        <f ca="1">IFERROR(__xludf.DUMMYFUNCTION("""COMPUTED_VALUE"""),1)</f>
        <v>1</v>
      </c>
      <c r="J1260" s="8">
        <f ca="1">IFERROR(__xludf.DUMMYFUNCTION("""COMPUTED_VALUE"""),0)</f>
        <v>0</v>
      </c>
      <c r="K1260" s="10" t="str">
        <f ca="1">IFERROR(__xludf.DUMMYFUNCTION("""COMPUTED_VALUE"""),"https://www.baltimoresun.com/maryland/baltimore-city/bs-md-ci-wildwood-parkway-shooting-20210925-foif3yhuzjahniqo7u35vophv4-story.html")</f>
        <v>https://www.baltimoresun.com/maryland/baltimore-city/bs-md-ci-wildwood-parkway-shooting-20210925-foif3yhuzjahniqo7u35vophv4-story.html</v>
      </c>
      <c r="L1260" s="8">
        <f ca="1">IFERROR(__xludf.DUMMYFUNCTION("""COMPUTED_VALUE"""),1)</f>
        <v>1</v>
      </c>
      <c r="M1260" s="8" t="str">
        <f ca="1">IFERROR(__xludf.DUMMYFUNCTION("""COMPUTED_VALUE"""),"Local")</f>
        <v>Local</v>
      </c>
      <c r="N1260" s="8">
        <f ca="1">IFERROR(__xludf.DUMMYFUNCTION("""COMPUTED_VALUE"""),3)</f>
        <v>3</v>
      </c>
      <c r="O1260" s="8" t="str">
        <f ca="1">IFERROR(__xludf.DUMMYFUNCTION("""COMPUTED_VALUE"""),"Fall")</f>
        <v>Fall</v>
      </c>
      <c r="P1260" s="8" t="str">
        <f ca="1">IFERROR(__xludf.DUMMYFUNCTION("""COMPUTED_VALUE"""),"Baltimore")</f>
        <v>Baltimore</v>
      </c>
      <c r="Q1260" s="8" t="str">
        <f ca="1">IFERROR(__xludf.DUMMYFUNCTION("""COMPUTED_VALUE"""),"MD")</f>
        <v>MD</v>
      </c>
      <c r="R1260" s="8" t="str">
        <f ca="1">IFERROR(__xludf.DUMMYFUNCTION("""COMPUTED_VALUE"""),"K-8")</f>
        <v>K-8</v>
      </c>
      <c r="S1260" s="8" t="str">
        <f ca="1">IFERROR(__xludf.DUMMYFUNCTION("""COMPUTED_VALUE"""),"Outside on School Property")</f>
        <v>Outside on School Property</v>
      </c>
      <c r="T1260" s="8" t="str">
        <f ca="1">IFERROR(__xludf.DUMMYFUNCTION("""COMPUTED_VALUE"""),"Outside on School Property")</f>
        <v>Outside on School Property</v>
      </c>
      <c r="U1260" s="8" t="str">
        <f ca="1">IFERROR(__xludf.DUMMYFUNCTION("""COMPUTED_VALUE"""),"No")</f>
        <v>No</v>
      </c>
      <c r="V1260" s="8" t="str">
        <f ca="1">IFERROR(__xludf.DUMMYFUNCTION("""COMPUTED_VALUE"""),"Evening")</f>
        <v>Evening</v>
      </c>
      <c r="W1260" s="11">
        <f ca="1">IFERROR(__xludf.DUMMYFUNCTION("""COMPUTED_VALUE"""),0.799305555555555)</f>
        <v>0.79930555555555505</v>
      </c>
      <c r="X1260" s="8">
        <f ca="1">IFERROR(__xludf.DUMMYFUNCTION("""COMPUTED_VALUE"""),1)</f>
        <v>1</v>
      </c>
      <c r="Y1260" s="12" t="str">
        <f ca="1">IFERROR(__xludf.DUMMYFUNCTION("""COMPUTED_VALUE"""),"Teen shot outside of school")</f>
        <v>Teen shot outside of school</v>
      </c>
      <c r="Z1260" s="12" t="str">
        <f ca="1">IFERROR(__xludf.DUMMYFUNCTION("""COMPUTED_VALUE"""),"18-year-old male was shot outside of the school. Shooter fled.")</f>
        <v>18-year-old male was shot outside of the school. Shooter fled.</v>
      </c>
      <c r="AA1260" s="8"/>
      <c r="AB1260" s="8"/>
      <c r="AC1260" s="8" t="str">
        <f ca="1">IFERROR(__xludf.DUMMYFUNCTION("""COMPUTED_VALUE"""),"No")</f>
        <v>No</v>
      </c>
      <c r="AD1260" s="8" t="str">
        <f ca="1">IFERROR(__xludf.DUMMYFUNCTION("""COMPUTED_VALUE"""),"Victims Targeted")</f>
        <v>Victims Targeted</v>
      </c>
      <c r="AE1260" s="8" t="str">
        <f ca="1">IFERROR(__xludf.DUMMYFUNCTION("""COMPUTED_VALUE"""),"No")</f>
        <v>No</v>
      </c>
      <c r="AF1260" s="8"/>
      <c r="AG1260" s="8" t="str">
        <f ca="1">IFERROR(__xludf.DUMMYFUNCTION("""COMPUTED_VALUE"""),"No")</f>
        <v>No</v>
      </c>
      <c r="AH1260" s="8" t="str">
        <f ca="1">IFERROR(__xludf.DUMMYFUNCTION("""COMPUTED_VALUE"""),"No")</f>
        <v>No</v>
      </c>
      <c r="AI1260" s="8" t="str">
        <f ca="1">IFERROR(__xludf.DUMMYFUNCTION("""COMPUTED_VALUE"""),"No")</f>
        <v>No</v>
      </c>
      <c r="AJ1260" s="8" t="str">
        <f ca="1">IFERROR(__xludf.DUMMYFUNCTION("""COMPUTED_VALUE"""),"No")</f>
        <v>No</v>
      </c>
      <c r="AK1260" s="8" t="str">
        <f ca="1">IFERROR(__xludf.DUMMYFUNCTION("""COMPUTED_VALUE"""),"No")</f>
        <v>No</v>
      </c>
      <c r="AL1260" s="8"/>
      <c r="AM1260" s="8" t="str">
        <f ca="1">IFERROR(__xludf.DUMMYFUNCTION("""COMPUTED_VALUE"""),"No")</f>
        <v>No</v>
      </c>
      <c r="AN1260" s="8"/>
      <c r="AO1260" s="8" t="str">
        <f ca="1">IFERROR(__xludf.DUMMYFUNCTION("""COMPUTED_VALUE"""),"No")</f>
        <v>No</v>
      </c>
      <c r="AP1260" s="8"/>
      <c r="AQ1260" s="8"/>
      <c r="AR1260" s="8" t="str">
        <f ca="1">IFERROR(__xludf.DUMMYFUNCTION("""COMPUTED_VALUE"""),"Outside/Off-Property")</f>
        <v>Outside/Off-Property</v>
      </c>
      <c r="AS1260" s="8"/>
      <c r="AT1260" s="8"/>
      <c r="AU1260" s="8">
        <f ca="1">IFERROR(__xludf.DUMMYFUNCTION("""COMPUTED_VALUE"""),39.294615)</f>
        <v>39.294615</v>
      </c>
      <c r="AV1260" s="8">
        <f ca="1">IFERROR(__xludf.DUMMYFUNCTION("""COMPUTED_VALUE"""),-76.683286)</f>
        <v>-76.683285999999995</v>
      </c>
      <c r="AW1260" s="8"/>
      <c r="AX1260" s="8">
        <f ca="1">IFERROR(__xludf.DUMMYFUNCTION("""COMPUTED_VALUE"""),21229)</f>
        <v>21229</v>
      </c>
    </row>
    <row r="1261" spans="1:50" ht="90" x14ac:dyDescent="0.2">
      <c r="A1261" s="8" t="str">
        <f ca="1">IFERROR(__xludf.DUMMYFUNCTION("""COMPUTED_VALUE"""),"20210924ALFAF")</f>
        <v>20210924ALFAF</v>
      </c>
      <c r="B1261" s="8">
        <f ca="1">IFERROR(__xludf.DUMMYFUNCTION("""COMPUTED_VALUE"""),9)</f>
        <v>9</v>
      </c>
      <c r="C1261" s="8">
        <f ca="1">IFERROR(__xludf.DUMMYFUNCTION("""COMPUTED_VALUE"""),24)</f>
        <v>24</v>
      </c>
      <c r="D1261" s="8">
        <f ca="1">IFERROR(__xludf.DUMMYFUNCTION("""COMPUTED_VALUE"""),2021)</f>
        <v>2021</v>
      </c>
      <c r="E1261" s="9">
        <f ca="1">IFERROR(__xludf.DUMMYFUNCTION("""COMPUTED_VALUE"""),44463)</f>
        <v>44463</v>
      </c>
      <c r="F1261" s="8" t="str">
        <f ca="1">IFERROR(__xludf.DUMMYFUNCTION("""COMPUTED_VALUE"""),"Fairfield High Preparatory School")</f>
        <v>Fairfield High Preparatory School</v>
      </c>
      <c r="G1261" s="8">
        <f ca="1">IFERROR(__xludf.DUMMYFUNCTION("""COMPUTED_VALUE"""),0)</f>
        <v>0</v>
      </c>
      <c r="H1261" s="8">
        <f ca="1">IFERROR(__xludf.DUMMYFUNCTION("""COMPUTED_VALUE"""),1)</f>
        <v>1</v>
      </c>
      <c r="I1261" s="8">
        <f ca="1">IFERROR(__xludf.DUMMYFUNCTION("""COMPUTED_VALUE"""),1)</f>
        <v>1</v>
      </c>
      <c r="J1261" s="8">
        <f ca="1">IFERROR(__xludf.DUMMYFUNCTION("""COMPUTED_VALUE"""),0)</f>
        <v>0</v>
      </c>
      <c r="K1261" s="8" t="str">
        <f ca="1">IFERROR(__xludf.DUMMYFUNCTION("""COMPUTED_VALUE"""),"https://www.cnn.com/2021/09/25/us/fairfield-alabama-football-game-shooting/index.html https://www.wkrg.com/news/one-injured-after-shots-fired-near-alabama-high-school-football-game/ https://www.saturdaydownsouth.com/sports/high-school-football-game-in-ala"&amp;"bama-shut-down-after-shooting-at-stadium/")</f>
        <v>https://www.cnn.com/2021/09/25/us/fairfield-alabama-football-game-shooting/index.html https://www.wkrg.com/news/one-injured-after-shots-fired-near-alabama-high-school-football-game/ https://www.saturdaydownsouth.com/sports/high-school-football-game-in-alabama-shut-down-after-shooting-at-stadium/</v>
      </c>
      <c r="L1261" s="8">
        <f ca="1">IFERROR(__xludf.DUMMYFUNCTION("""COMPUTED_VALUE"""),100)</f>
        <v>100</v>
      </c>
      <c r="M1261" s="8" t="str">
        <f ca="1">IFERROR(__xludf.DUMMYFUNCTION("""COMPUTED_VALUE"""),"National")</f>
        <v>National</v>
      </c>
      <c r="N1261" s="8">
        <f ca="1">IFERROR(__xludf.DUMMYFUNCTION("""COMPUTED_VALUE"""),4)</f>
        <v>4</v>
      </c>
      <c r="O1261" s="8" t="str">
        <f ca="1">IFERROR(__xludf.DUMMYFUNCTION("""COMPUTED_VALUE"""),"Fall")</f>
        <v>Fall</v>
      </c>
      <c r="P1261" s="8" t="str">
        <f ca="1">IFERROR(__xludf.DUMMYFUNCTION("""COMPUTED_VALUE"""),"Fairfield")</f>
        <v>Fairfield</v>
      </c>
      <c r="Q1261" s="8" t="str">
        <f ca="1">IFERROR(__xludf.DUMMYFUNCTION("""COMPUTED_VALUE"""),"AL")</f>
        <v>AL</v>
      </c>
      <c r="R1261" s="8" t="str">
        <f ca="1">IFERROR(__xludf.DUMMYFUNCTION("""COMPUTED_VALUE"""),"High")</f>
        <v>High</v>
      </c>
      <c r="S1261" s="8" t="str">
        <f ca="1">IFERROR(__xludf.DUMMYFUNCTION("""COMPUTED_VALUE"""),"Parking Lot")</f>
        <v>Parking Lot</v>
      </c>
      <c r="T1261" s="8" t="str">
        <f ca="1">IFERROR(__xludf.DUMMYFUNCTION("""COMPUTED_VALUE"""),"Outside on School Property")</f>
        <v>Outside on School Property</v>
      </c>
      <c r="U1261" s="8" t="str">
        <f ca="1">IFERROR(__xludf.DUMMYFUNCTION("""COMPUTED_VALUE"""),"No")</f>
        <v>No</v>
      </c>
      <c r="V1261" s="8" t="str">
        <f ca="1">IFERROR(__xludf.DUMMYFUNCTION("""COMPUTED_VALUE"""),"Sport Event")</f>
        <v>Sport Event</v>
      </c>
      <c r="W1261" s="11">
        <f ca="1">IFERROR(__xludf.DUMMYFUNCTION("""COMPUTED_VALUE"""),0.907638888888888)</f>
        <v>0.907638888888888</v>
      </c>
      <c r="X1261" s="8">
        <f ca="1">IFERROR(__xludf.DUMMYFUNCTION("""COMPUTED_VALUE"""),1)</f>
        <v>1</v>
      </c>
      <c r="Y1261" s="12" t="str">
        <f ca="1">IFERROR(__xludf.DUMMYFUNCTION("""COMPUTED_VALUE"""),"Shots fired at visiting fans in the parking lot")</f>
        <v>Shots fired at visiting fans in the parking lot</v>
      </c>
      <c r="Z1261" s="12" t="str">
        <f ca="1">IFERROR(__xludf.DUMMYFUNCTION("""COMPUTED_VALUE"""),"Multiple shots were fired at visiting fans in the parking lot outside of the football stadium. Shots were fired from an abandon house across the street. An adult male was struck and transported to the hospital. Police inside the stadium told players and f"&amp;"ans to get down and take cover. The game was cancelled.")</f>
        <v>Multiple shots were fired at visiting fans in the parking lot outside of the football stadium. Shots were fired from an abandon house across the street. An adult male was struck and transported to the hospital. Police inside the stadium told players and fans to get down and take cover. The game was cancelled.</v>
      </c>
      <c r="AA1261" s="8" t="str">
        <f ca="1">IFERROR(__xludf.DUMMYFUNCTION("""COMPUTED_VALUE"""),"Indiscriminate Shooting")</f>
        <v>Indiscriminate Shooting</v>
      </c>
      <c r="AB1261" s="8"/>
      <c r="AC1261" s="8" t="str">
        <f ca="1">IFERROR(__xludf.DUMMYFUNCTION("""COMPUTED_VALUE"""),"Yes")</f>
        <v>Yes</v>
      </c>
      <c r="AD1261" s="8" t="str">
        <f ca="1">IFERROR(__xludf.DUMMYFUNCTION("""COMPUTED_VALUE"""),"Random Shooting")</f>
        <v>Random Shooting</v>
      </c>
      <c r="AE1261" s="8" t="str">
        <f ca="1">IFERROR(__xludf.DUMMYFUNCTION("""COMPUTED_VALUE"""),"No")</f>
        <v>No</v>
      </c>
      <c r="AF1261" s="8"/>
      <c r="AG1261" s="8" t="str">
        <f ca="1">IFERROR(__xludf.DUMMYFUNCTION("""COMPUTED_VALUE"""),"No")</f>
        <v>No</v>
      </c>
      <c r="AH1261" s="8" t="str">
        <f ca="1">IFERROR(__xludf.DUMMYFUNCTION("""COMPUTED_VALUE"""),"No")</f>
        <v>No</v>
      </c>
      <c r="AI1261" s="8" t="str">
        <f ca="1">IFERROR(__xludf.DUMMYFUNCTION("""COMPUTED_VALUE"""),"No")</f>
        <v>No</v>
      </c>
      <c r="AJ1261" s="8" t="str">
        <f ca="1">IFERROR(__xludf.DUMMYFUNCTION("""COMPUTED_VALUE"""),"No")</f>
        <v>No</v>
      </c>
      <c r="AK1261" s="8" t="str">
        <f ca="1">IFERROR(__xludf.DUMMYFUNCTION("""COMPUTED_VALUE"""),"No")</f>
        <v>No</v>
      </c>
      <c r="AL1261" s="8" t="str">
        <f ca="1">IFERROR(__xludf.DUMMYFUNCTION("""COMPUTED_VALUE"""),"No")</f>
        <v>No</v>
      </c>
      <c r="AM1261" s="8" t="str">
        <f ca="1">IFERROR(__xludf.DUMMYFUNCTION("""COMPUTED_VALUE"""),"No")</f>
        <v>No</v>
      </c>
      <c r="AN1261" s="8"/>
      <c r="AO1261" s="8" t="str">
        <f ca="1">IFERROR(__xludf.DUMMYFUNCTION("""COMPUTED_VALUE"""),"No")</f>
        <v>No</v>
      </c>
      <c r="AP1261" s="8" t="str">
        <f ca="1">IFERROR(__xludf.DUMMYFUNCTION("""COMPUTED_VALUE"""),"Yes")</f>
        <v>Yes</v>
      </c>
      <c r="AQ1261" s="8" t="str">
        <f ca="1">IFERROR(__xludf.DUMMYFUNCTION("""COMPUTED_VALUE"""),"Armed Guards")</f>
        <v>Armed Guards</v>
      </c>
      <c r="AR1261" s="8" t="str">
        <f ca="1">IFERROR(__xludf.DUMMYFUNCTION("""COMPUTED_VALUE"""),"Outside/Off-Property")</f>
        <v>Outside/Off-Property</v>
      </c>
      <c r="AS1261" s="8"/>
      <c r="AT1261" s="8"/>
      <c r="AU1261" s="8">
        <f ca="1">IFERROR(__xludf.DUMMYFUNCTION("""COMPUTED_VALUE"""),33.490872)</f>
        <v>33.490872000000003</v>
      </c>
      <c r="AV1261" s="8">
        <f ca="1">IFERROR(__xludf.DUMMYFUNCTION("""COMPUTED_VALUE"""),-86.907918)</f>
        <v>-86.907917999999995</v>
      </c>
      <c r="AW1261" s="8"/>
      <c r="AX1261" s="8">
        <f ca="1">IFERROR(__xludf.DUMMYFUNCTION("""COMPUTED_VALUE"""),35604)</f>
        <v>35604</v>
      </c>
    </row>
    <row r="1262" spans="1:50" ht="90" x14ac:dyDescent="0.2">
      <c r="A1262" s="8" t="str">
        <f ca="1">IFERROR(__xludf.DUMMYFUNCTION("""COMPUTED_VALUE"""),"20210923IDRIR")</f>
        <v>20210923IDRIR</v>
      </c>
      <c r="B1262" s="8">
        <f ca="1">IFERROR(__xludf.DUMMYFUNCTION("""COMPUTED_VALUE"""),9)</f>
        <v>9</v>
      </c>
      <c r="C1262" s="8">
        <f ca="1">IFERROR(__xludf.DUMMYFUNCTION("""COMPUTED_VALUE"""),23)</f>
        <v>23</v>
      </c>
      <c r="D1262" s="8">
        <f ca="1">IFERROR(__xludf.DUMMYFUNCTION("""COMPUTED_VALUE"""),2021)</f>
        <v>2021</v>
      </c>
      <c r="E1262" s="9">
        <f ca="1">IFERROR(__xludf.DUMMYFUNCTION("""COMPUTED_VALUE"""),44462)</f>
        <v>44462</v>
      </c>
      <c r="F1262" s="8" t="str">
        <f ca="1">IFERROR(__xludf.DUMMYFUNCTION("""COMPUTED_VALUE"""),"Rigby Middle School")</f>
        <v>Rigby Middle School</v>
      </c>
      <c r="G1262" s="8">
        <f ca="1">IFERROR(__xludf.DUMMYFUNCTION("""COMPUTED_VALUE"""),0)</f>
        <v>0</v>
      </c>
      <c r="H1262" s="8">
        <f ca="1">IFERROR(__xludf.DUMMYFUNCTION("""COMPUTED_VALUE"""),0)</f>
        <v>0</v>
      </c>
      <c r="I1262" s="8">
        <f ca="1">IFERROR(__xludf.DUMMYFUNCTION("""COMPUTED_VALUE"""),0)</f>
        <v>0</v>
      </c>
      <c r="J1262" s="8">
        <f ca="1">IFERROR(__xludf.DUMMYFUNCTION("""COMPUTED_VALUE"""),0)</f>
        <v>0</v>
      </c>
      <c r="K1262" s="10" t="str">
        <f ca="1">IFERROR(__xludf.DUMMYFUNCTION("""COMPUTED_VALUE"""),"https://www.postregister.com/star/news/jefferson-joint-school-dist-moving-forward-after-another-gun-incident/article_e7b6f146-3426-5c60-a8c7-4668519062a5.html")</f>
        <v>https://www.postregister.com/star/news/jefferson-joint-school-dist-moving-forward-after-another-gun-incident/article_e7b6f146-3426-5c60-a8c7-4668519062a5.html</v>
      </c>
      <c r="L1262" s="8">
        <f ca="1">IFERROR(__xludf.DUMMYFUNCTION("""COMPUTED_VALUE"""),5)</f>
        <v>5</v>
      </c>
      <c r="M1262" s="8" t="str">
        <f ca="1">IFERROR(__xludf.DUMMYFUNCTION("""COMPUTED_VALUE"""),"Local")</f>
        <v>Local</v>
      </c>
      <c r="N1262" s="8">
        <f ca="1">IFERROR(__xludf.DUMMYFUNCTION("""COMPUTED_VALUE"""),4)</f>
        <v>4</v>
      </c>
      <c r="O1262" s="8" t="str">
        <f ca="1">IFERROR(__xludf.DUMMYFUNCTION("""COMPUTED_VALUE"""),"Fall")</f>
        <v>Fall</v>
      </c>
      <c r="P1262" s="8" t="str">
        <f ca="1">IFERROR(__xludf.DUMMYFUNCTION("""COMPUTED_VALUE"""),"Rigby")</f>
        <v>Rigby</v>
      </c>
      <c r="Q1262" s="8" t="str">
        <f ca="1">IFERROR(__xludf.DUMMYFUNCTION("""COMPUTED_VALUE"""),"ID")</f>
        <v>ID</v>
      </c>
      <c r="R1262" s="8" t="str">
        <f ca="1">IFERROR(__xludf.DUMMYFUNCTION("""COMPUTED_VALUE"""),"Middle")</f>
        <v>Middle</v>
      </c>
      <c r="S1262" s="8" t="str">
        <f ca="1">IFERROR(__xludf.DUMMYFUNCTION("""COMPUTED_VALUE"""),"Bathroom")</f>
        <v>Bathroom</v>
      </c>
      <c r="T1262" s="8" t="str">
        <f ca="1">IFERROR(__xludf.DUMMYFUNCTION("""COMPUTED_VALUE"""),"Inside School Building")</f>
        <v>Inside School Building</v>
      </c>
      <c r="U1262" s="8" t="str">
        <f ca="1">IFERROR(__xludf.DUMMYFUNCTION("""COMPUTED_VALUE"""),"Yes")</f>
        <v>Yes</v>
      </c>
      <c r="V1262" s="8" t="str">
        <f ca="1">IFERROR(__xludf.DUMMYFUNCTION("""COMPUTED_VALUE"""),"Morning Classes")</f>
        <v>Morning Classes</v>
      </c>
      <c r="W1262" s="8"/>
      <c r="X1262" s="8">
        <f ca="1">IFERROR(__xludf.DUMMYFUNCTION("""COMPUTED_VALUE"""),1)</f>
        <v>1</v>
      </c>
      <c r="Y1262" s="12" t="str">
        <f ca="1">IFERROR(__xludf.DUMMYFUNCTION("""COMPUTED_VALUE"""),"Emotionally distressed student with a gun in the bathroom detained by SRO")</f>
        <v>Emotionally distressed student with a gun in the bathroom detained by SRO</v>
      </c>
      <c r="Z1262" s="12" t="str">
        <f ca="1">IFERROR(__xludf.DUMMYFUNCTION("""COMPUTED_VALUE"""),"Staff members were notified of an emotionally distressed female student in the bathroom. When a staff member checked on the student, they saw a gun and notified the SRO. The SRO was able to deescalate the situation, secure the weapon, and detain the stude"&amp;"nt. The school was locked down during the incident.")</f>
        <v>Staff members were notified of an emotionally distressed female student in the bathroom. When a staff member checked on the student, they saw a gun and notified the SRO. The SRO was able to deescalate the situation, secure the weapon, and detain the student. The school was locked down during the incident.</v>
      </c>
      <c r="AA1262" s="8" t="str">
        <f ca="1">IFERROR(__xludf.DUMMYFUNCTION("""COMPUTED_VALUE"""),"Suicide/Attempted")</f>
        <v>Suicide/Attempted</v>
      </c>
      <c r="AB1262" s="8"/>
      <c r="AC1262" s="8" t="str">
        <f ca="1">IFERROR(__xludf.DUMMYFUNCTION("""COMPUTED_VALUE"""),"Yes")</f>
        <v>Yes</v>
      </c>
      <c r="AD1262" s="8" t="str">
        <f ca="1">IFERROR(__xludf.DUMMYFUNCTION("""COMPUTED_VALUE"""),"Victims Targeted")</f>
        <v>Victims Targeted</v>
      </c>
      <c r="AE1262" s="8" t="str">
        <f ca="1">IFERROR(__xludf.DUMMYFUNCTION("""COMPUTED_VALUE"""),"No")</f>
        <v>No</v>
      </c>
      <c r="AF1262" s="8"/>
      <c r="AG1262" s="8" t="str">
        <f ca="1">IFERROR(__xludf.DUMMYFUNCTION("""COMPUTED_VALUE"""),"No")</f>
        <v>No</v>
      </c>
      <c r="AH1262" s="8" t="str">
        <f ca="1">IFERROR(__xludf.DUMMYFUNCTION("""COMPUTED_VALUE"""),"No")</f>
        <v>No</v>
      </c>
      <c r="AI1262" s="8" t="str">
        <f ca="1">IFERROR(__xludf.DUMMYFUNCTION("""COMPUTED_VALUE"""),"No")</f>
        <v>No</v>
      </c>
      <c r="AJ1262" s="8" t="str">
        <f ca="1">IFERROR(__xludf.DUMMYFUNCTION("""COMPUTED_VALUE"""),"No")</f>
        <v>No</v>
      </c>
      <c r="AK1262" s="8" t="str">
        <f ca="1">IFERROR(__xludf.DUMMYFUNCTION("""COMPUTED_VALUE"""),"No")</f>
        <v>No</v>
      </c>
      <c r="AL1262" s="8" t="str">
        <f ca="1">IFERROR(__xludf.DUMMYFUNCTION("""COMPUTED_VALUE"""),"No")</f>
        <v>No</v>
      </c>
      <c r="AM1262" s="8" t="str">
        <f ca="1">IFERROR(__xludf.DUMMYFUNCTION("""COMPUTED_VALUE"""),"No")</f>
        <v>No</v>
      </c>
      <c r="AN1262" s="8"/>
      <c r="AO1262" s="8" t="str">
        <f ca="1">IFERROR(__xludf.DUMMYFUNCTION("""COMPUTED_VALUE"""),"No")</f>
        <v>No</v>
      </c>
      <c r="AP1262" s="8" t="str">
        <f ca="1">IFERROR(__xludf.DUMMYFUNCTION("""COMPUTED_VALUE"""),"Yes")</f>
        <v>Yes</v>
      </c>
      <c r="AQ1262" s="8" t="str">
        <f ca="1">IFERROR(__xludf.DUMMYFUNCTION("""COMPUTED_VALUE"""),"Armed Guards")</f>
        <v>Armed Guards</v>
      </c>
      <c r="AR1262" s="8" t="str">
        <f ca="1">IFERROR(__xludf.DUMMYFUNCTION("""COMPUTED_VALUE"""),"Failed")</f>
        <v>Failed</v>
      </c>
      <c r="AS1262" s="8">
        <f ca="1">IFERROR(__xludf.DUMMYFUNCTION("""COMPUTED_VALUE"""),0)</f>
        <v>0</v>
      </c>
      <c r="AT1262" s="8" t="str">
        <f ca="1">IFERROR(__xludf.DUMMYFUNCTION("""COMPUTED_VALUE"""),"Yes")</f>
        <v>Yes</v>
      </c>
      <c r="AU1262" s="8">
        <f ca="1">IFERROR(__xludf.DUMMYFUNCTION("""COMPUTED_VALUE"""),43.66832)</f>
        <v>43.668320000000001</v>
      </c>
      <c r="AV1262" s="8">
        <f ca="1">IFERROR(__xludf.DUMMYFUNCTION("""COMPUTED_VALUE"""),-111.941632)</f>
        <v>-111.941632</v>
      </c>
      <c r="AW1262" s="8"/>
      <c r="AX1262" s="8">
        <f ca="1">IFERROR(__xludf.DUMMYFUNCTION("""COMPUTED_VALUE"""),83442)</f>
        <v>83442</v>
      </c>
    </row>
    <row r="1263" spans="1:50" ht="45" x14ac:dyDescent="0.2">
      <c r="A1263" s="8" t="str">
        <f ca="1">IFERROR(__xludf.DUMMYFUNCTION("""COMPUTED_VALUE"""),"20210922NYSOB")</f>
        <v>20210922NYSOB</v>
      </c>
      <c r="B1263" s="8">
        <f ca="1">IFERROR(__xludf.DUMMYFUNCTION("""COMPUTED_VALUE"""),9)</f>
        <v>9</v>
      </c>
      <c r="C1263" s="8">
        <f ca="1">IFERROR(__xludf.DUMMYFUNCTION("""COMPUTED_VALUE"""),22)</f>
        <v>22</v>
      </c>
      <c r="D1263" s="8">
        <f ca="1">IFERROR(__xludf.DUMMYFUNCTION("""COMPUTED_VALUE"""),2021)</f>
        <v>2021</v>
      </c>
      <c r="E1263" s="9">
        <f ca="1">IFERROR(__xludf.DUMMYFUNCTION("""COMPUTED_VALUE"""),44461)</f>
        <v>44461</v>
      </c>
      <c r="F1263" s="8" t="str">
        <f ca="1">IFERROR(__xludf.DUMMYFUNCTION("""COMPUTED_VALUE"""),"South Shore High School")</f>
        <v>South Shore High School</v>
      </c>
      <c r="G1263" s="8">
        <f ca="1">IFERROR(__xludf.DUMMYFUNCTION("""COMPUTED_VALUE"""),0)</f>
        <v>0</v>
      </c>
      <c r="H1263" s="8">
        <f ca="1">IFERROR(__xludf.DUMMYFUNCTION("""COMPUTED_VALUE"""),1)</f>
        <v>1</v>
      </c>
      <c r="I1263" s="8">
        <f ca="1">IFERROR(__xludf.DUMMYFUNCTION("""COMPUTED_VALUE"""),1)</f>
        <v>1</v>
      </c>
      <c r="J1263" s="8">
        <f ca="1">IFERROR(__xludf.DUMMYFUNCTION("""COMPUTED_VALUE"""),0)</f>
        <v>0</v>
      </c>
      <c r="K1263" s="10" t="str">
        <f ca="1">IFERROR(__xludf.DUMMYFUNCTION("""COMPUTED_VALUE"""),"https://newyork.cbslocal.com/2021/09/22/teen-shot-near-brooklyn-schools/")</f>
        <v>https://newyork.cbslocal.com/2021/09/22/teen-shot-near-brooklyn-schools/</v>
      </c>
      <c r="L1263" s="8">
        <f ca="1">IFERROR(__xludf.DUMMYFUNCTION("""COMPUTED_VALUE"""),1)</f>
        <v>1</v>
      </c>
      <c r="M1263" s="8" t="str">
        <f ca="1">IFERROR(__xludf.DUMMYFUNCTION("""COMPUTED_VALUE"""),"Local")</f>
        <v>Local</v>
      </c>
      <c r="N1263" s="8">
        <f ca="1">IFERROR(__xludf.DUMMYFUNCTION("""COMPUTED_VALUE"""),3)</f>
        <v>3</v>
      </c>
      <c r="O1263" s="8" t="str">
        <f ca="1">IFERROR(__xludf.DUMMYFUNCTION("""COMPUTED_VALUE"""),"Fall")</f>
        <v>Fall</v>
      </c>
      <c r="P1263" s="8" t="str">
        <f ca="1">IFERROR(__xludf.DUMMYFUNCTION("""COMPUTED_VALUE"""),"Brooklyn")</f>
        <v>Brooklyn</v>
      </c>
      <c r="Q1263" s="8" t="str">
        <f ca="1">IFERROR(__xludf.DUMMYFUNCTION("""COMPUTED_VALUE"""),"NY")</f>
        <v>NY</v>
      </c>
      <c r="R1263" s="8" t="str">
        <f ca="1">IFERROR(__xludf.DUMMYFUNCTION("""COMPUTED_VALUE"""),"High")</f>
        <v>High</v>
      </c>
      <c r="S1263" s="8" t="str">
        <f ca="1">IFERROR(__xludf.DUMMYFUNCTION("""COMPUTED_VALUE"""),"Front of School")</f>
        <v>Front of School</v>
      </c>
      <c r="T1263" s="8" t="str">
        <f ca="1">IFERROR(__xludf.DUMMYFUNCTION("""COMPUTED_VALUE"""),"Outside on School Property")</f>
        <v>Outside on School Property</v>
      </c>
      <c r="U1263" s="8" t="str">
        <f ca="1">IFERROR(__xludf.DUMMYFUNCTION("""COMPUTED_VALUE"""),"Yes")</f>
        <v>Yes</v>
      </c>
      <c r="V1263" s="8" t="str">
        <f ca="1">IFERROR(__xludf.DUMMYFUNCTION("""COMPUTED_VALUE"""),"School Start")</f>
        <v>School Start</v>
      </c>
      <c r="W1263" s="11">
        <f ca="1">IFERROR(__xludf.DUMMYFUNCTION("""COMPUTED_VALUE"""),0.364583333333333)</f>
        <v>0.36458333333333298</v>
      </c>
      <c r="X1263" s="8">
        <f ca="1">IFERROR(__xludf.DUMMYFUNCTION("""COMPUTED_VALUE"""),1)</f>
        <v>1</v>
      </c>
      <c r="Y1263" s="12" t="str">
        <f ca="1">IFERROR(__xludf.DUMMYFUNCTION("""COMPUTED_VALUE"""),"Teen shot outside school, ran inside for help")</f>
        <v>Teen shot outside school, ran inside for help</v>
      </c>
      <c r="Z1263" s="12" t="str">
        <f ca="1">IFERROR(__xludf.DUMMYFUNCTION("""COMPUTED_VALUE"""),"A 17-year-old teen was shot outside of the school. He ran into the building for help. Shooter fled. Police responded to the school and victim was transported to the hospital.")</f>
        <v>A 17-year-old teen was shot outside of the school. He ran into the building for help. Shooter fled. Police responded to the school and victim was transported to the hospital.</v>
      </c>
      <c r="AA1263" s="8"/>
      <c r="AB1263" s="8"/>
      <c r="AC1263" s="8" t="str">
        <f ca="1">IFERROR(__xludf.DUMMYFUNCTION("""COMPUTED_VALUE"""),"Yes")</f>
        <v>Yes</v>
      </c>
      <c r="AD1263" s="8"/>
      <c r="AE1263" s="8" t="str">
        <f ca="1">IFERROR(__xludf.DUMMYFUNCTION("""COMPUTED_VALUE"""),"No")</f>
        <v>No</v>
      </c>
      <c r="AF1263" s="8"/>
      <c r="AG1263" s="8" t="str">
        <f ca="1">IFERROR(__xludf.DUMMYFUNCTION("""COMPUTED_VALUE"""),"No")</f>
        <v>No</v>
      </c>
      <c r="AH1263" s="8" t="str">
        <f ca="1">IFERROR(__xludf.DUMMYFUNCTION("""COMPUTED_VALUE"""),"No")</f>
        <v>No</v>
      </c>
      <c r="AI1263" s="8" t="str">
        <f ca="1">IFERROR(__xludf.DUMMYFUNCTION("""COMPUTED_VALUE"""),"No")</f>
        <v>No</v>
      </c>
      <c r="AJ1263" s="8" t="str">
        <f ca="1">IFERROR(__xludf.DUMMYFUNCTION("""COMPUTED_VALUE"""),"No")</f>
        <v>No</v>
      </c>
      <c r="AK1263" s="8" t="str">
        <f ca="1">IFERROR(__xludf.DUMMYFUNCTION("""COMPUTED_VALUE"""),"No")</f>
        <v>No</v>
      </c>
      <c r="AL1263" s="8"/>
      <c r="AM1263" s="8" t="str">
        <f ca="1">IFERROR(__xludf.DUMMYFUNCTION("""COMPUTED_VALUE"""),"No")</f>
        <v>No</v>
      </c>
      <c r="AN1263" s="8"/>
      <c r="AO1263" s="8" t="str">
        <f ca="1">IFERROR(__xludf.DUMMYFUNCTION("""COMPUTED_VALUE"""),"No")</f>
        <v>No</v>
      </c>
      <c r="AP1263" s="8"/>
      <c r="AQ1263" s="8"/>
      <c r="AR1263" s="8" t="str">
        <f ca="1">IFERROR(__xludf.DUMMYFUNCTION("""COMPUTED_VALUE"""),"Outside/Off-Property")</f>
        <v>Outside/Off-Property</v>
      </c>
      <c r="AS1263" s="8"/>
      <c r="AT1263" s="8"/>
      <c r="AU1263" s="8">
        <f ca="1">IFERROR(__xludf.DUMMYFUNCTION("""COMPUTED_VALUE"""),40.633531)</f>
        <v>40.633530999999998</v>
      </c>
      <c r="AV1263" s="8">
        <f ca="1">IFERROR(__xludf.DUMMYFUNCTION("""COMPUTED_VALUE"""),-73.916539)</f>
        <v>-73.916539</v>
      </c>
      <c r="AW1263" s="8"/>
      <c r="AX1263" s="8">
        <f ca="1">IFERROR(__xludf.DUMMYFUNCTION("""COMPUTED_VALUE"""),11236)</f>
        <v>11236</v>
      </c>
    </row>
    <row r="1264" spans="1:50" ht="60" x14ac:dyDescent="0.2">
      <c r="A1264" s="8" t="str">
        <f ca="1">IFERROR(__xludf.DUMMYFUNCTION("""COMPUTED_VALUE"""),"20210922CTLIN")</f>
        <v>20210922CTLIN</v>
      </c>
      <c r="B1264" s="8">
        <f ca="1">IFERROR(__xludf.DUMMYFUNCTION("""COMPUTED_VALUE"""),9)</f>
        <v>9</v>
      </c>
      <c r="C1264" s="8">
        <f ca="1">IFERROR(__xludf.DUMMYFUNCTION("""COMPUTED_VALUE"""),22)</f>
        <v>22</v>
      </c>
      <c r="D1264" s="8">
        <f ca="1">IFERROR(__xludf.DUMMYFUNCTION("""COMPUTED_VALUE"""),2021)</f>
        <v>2021</v>
      </c>
      <c r="E1264" s="9">
        <f ca="1">IFERROR(__xludf.DUMMYFUNCTION("""COMPUTED_VALUE"""),44461)</f>
        <v>44461</v>
      </c>
      <c r="F1264" s="8" t="str">
        <f ca="1">IFERROR(__xludf.DUMMYFUNCTION("""COMPUTED_VALUE"""),"Lincoln-Bassett Community School")</f>
        <v>Lincoln-Bassett Community School</v>
      </c>
      <c r="G1264" s="8">
        <f ca="1">IFERROR(__xludf.DUMMYFUNCTION("""COMPUTED_VALUE"""),0)</f>
        <v>0</v>
      </c>
      <c r="H1264" s="8">
        <f ca="1">IFERROR(__xludf.DUMMYFUNCTION("""COMPUTED_VALUE"""),0)</f>
        <v>0</v>
      </c>
      <c r="I1264" s="8">
        <f ca="1">IFERROR(__xludf.DUMMYFUNCTION("""COMPUTED_VALUE"""),0)</f>
        <v>0</v>
      </c>
      <c r="J1264" s="8">
        <f ca="1">IFERROR(__xludf.DUMMYFUNCTION("""COMPUTED_VALUE"""),0)</f>
        <v>0</v>
      </c>
      <c r="K1264" s="8" t="str">
        <f ca="1">IFERROR(__xludf.DUMMYFUNCTION("""COMPUTED_VALUE"""),"https://www.nhregister.com/news/article/Official-Shots-fired-outside-New-Haven-school-16479194.php#photo-21496632 https://www.wfsb.com/news/shots-fired-outside-new-haven-school-while-children-were-outside-for-recess/article_c9159638-1bdf-11ec-bb35-7becf93"&amp;"0a489.html")</f>
        <v>https://www.nhregister.com/news/article/Official-Shots-fired-outside-New-Haven-school-16479194.php#photo-21496632 https://www.wfsb.com/news/shots-fired-outside-new-haven-school-while-children-were-outside-for-recess/article_c9159638-1bdf-11ec-bb35-7becf930a489.html</v>
      </c>
      <c r="L1264" s="8">
        <f ca="1">IFERROR(__xludf.DUMMYFUNCTION("""COMPUTED_VALUE"""),2)</f>
        <v>2</v>
      </c>
      <c r="M1264" s="8" t="str">
        <f ca="1">IFERROR(__xludf.DUMMYFUNCTION("""COMPUTED_VALUE"""),"Local")</f>
        <v>Local</v>
      </c>
      <c r="N1264" s="8">
        <f ca="1">IFERROR(__xludf.DUMMYFUNCTION("""COMPUTED_VALUE"""),3)</f>
        <v>3</v>
      </c>
      <c r="O1264" s="8" t="str">
        <f ca="1">IFERROR(__xludf.DUMMYFUNCTION("""COMPUTED_VALUE"""),"Fall")</f>
        <v>Fall</v>
      </c>
      <c r="P1264" s="8" t="str">
        <f ca="1">IFERROR(__xludf.DUMMYFUNCTION("""COMPUTED_VALUE"""),"New Haven")</f>
        <v>New Haven</v>
      </c>
      <c r="Q1264" s="8" t="str">
        <f ca="1">IFERROR(__xludf.DUMMYFUNCTION("""COMPUTED_VALUE"""),"CT")</f>
        <v>CT</v>
      </c>
      <c r="R1264" s="8" t="str">
        <f ca="1">IFERROR(__xludf.DUMMYFUNCTION("""COMPUTED_VALUE"""),"Elementary")</f>
        <v>Elementary</v>
      </c>
      <c r="S1264" s="8" t="str">
        <f ca="1">IFERROR(__xludf.DUMMYFUNCTION("""COMPUTED_VALUE"""),"Off School Property")</f>
        <v>Off School Property</v>
      </c>
      <c r="T1264" s="8" t="str">
        <f ca="1">IFERROR(__xludf.DUMMYFUNCTION("""COMPUTED_VALUE"""),"Outside on School Property")</f>
        <v>Outside on School Property</v>
      </c>
      <c r="U1264" s="8" t="str">
        <f ca="1">IFERROR(__xludf.DUMMYFUNCTION("""COMPUTED_VALUE"""),"Yes")</f>
        <v>Yes</v>
      </c>
      <c r="V1264" s="8" t="str">
        <f ca="1">IFERROR(__xludf.DUMMYFUNCTION("""COMPUTED_VALUE"""),"Lunch")</f>
        <v>Lunch</v>
      </c>
      <c r="W1264" s="11">
        <f ca="1">IFERROR(__xludf.DUMMYFUNCTION("""COMPUTED_VALUE"""),0.458333333333333)</f>
        <v>0.45833333333333298</v>
      </c>
      <c r="X1264" s="8">
        <f ca="1">IFERROR(__xludf.DUMMYFUNCTION("""COMPUTED_VALUE"""),1)</f>
        <v>1</v>
      </c>
      <c r="Y1264" s="12" t="str">
        <f ca="1">IFERROR(__xludf.DUMMYFUNCTION("""COMPUTED_VALUE"""),"Shots fired while students were outside for recess")</f>
        <v>Shots fired while students were outside for recess</v>
      </c>
      <c r="Z1264" s="12" t="str">
        <f ca="1">IFERROR(__xludf.DUMMYFUNCTION("""COMPUTED_VALUE"""),"Shots were fired from a vehicle near the school while children were outside for recess. Security officers and staff moved students inside and locked down until police arrived. No students or staff were injured.")</f>
        <v>Shots were fired from a vehicle near the school while children were outside for recess. Security officers and staff moved students inside and locked down until police arrived. No students or staff were injured.</v>
      </c>
      <c r="AA1264" s="8" t="str">
        <f ca="1">IFERROR(__xludf.DUMMYFUNCTION("""COMPUTED_VALUE"""),"Drive-by Shooting")</f>
        <v>Drive-by Shooting</v>
      </c>
      <c r="AB1264" s="8"/>
      <c r="AC1264" s="8" t="str">
        <f ca="1">IFERROR(__xludf.DUMMYFUNCTION("""COMPUTED_VALUE"""),"Yes")</f>
        <v>Yes</v>
      </c>
      <c r="AD1264" s="8" t="str">
        <f ca="1">IFERROR(__xludf.DUMMYFUNCTION("""COMPUTED_VALUE"""),"Neither")</f>
        <v>Neither</v>
      </c>
      <c r="AE1264" s="8" t="str">
        <f ca="1">IFERROR(__xludf.DUMMYFUNCTION("""COMPUTED_VALUE"""),"No")</f>
        <v>No</v>
      </c>
      <c r="AF1264" s="8"/>
      <c r="AG1264" s="8" t="str">
        <f ca="1">IFERROR(__xludf.DUMMYFUNCTION("""COMPUTED_VALUE"""),"No")</f>
        <v>No</v>
      </c>
      <c r="AH1264" s="8" t="str">
        <f ca="1">IFERROR(__xludf.DUMMYFUNCTION("""COMPUTED_VALUE"""),"No")</f>
        <v>No</v>
      </c>
      <c r="AI1264" s="8" t="str">
        <f ca="1">IFERROR(__xludf.DUMMYFUNCTION("""COMPUTED_VALUE"""),"No")</f>
        <v>No</v>
      </c>
      <c r="AJ1264" s="8" t="str">
        <f ca="1">IFERROR(__xludf.DUMMYFUNCTION("""COMPUTED_VALUE"""),"No")</f>
        <v>No</v>
      </c>
      <c r="AK1264" s="8" t="str">
        <f ca="1">IFERROR(__xludf.DUMMYFUNCTION("""COMPUTED_VALUE"""),"No")</f>
        <v>No</v>
      </c>
      <c r="AL1264" s="8"/>
      <c r="AM1264" s="8" t="str">
        <f ca="1">IFERROR(__xludf.DUMMYFUNCTION("""COMPUTED_VALUE"""),"No")</f>
        <v>No</v>
      </c>
      <c r="AN1264" s="8"/>
      <c r="AO1264" s="8" t="str">
        <f ca="1">IFERROR(__xludf.DUMMYFUNCTION("""COMPUTED_VALUE"""),"No")</f>
        <v>No</v>
      </c>
      <c r="AP1264" s="8" t="str">
        <f ca="1">IFERROR(__xludf.DUMMYFUNCTION("""COMPUTED_VALUE"""),"Yes")</f>
        <v>Yes</v>
      </c>
      <c r="AQ1264" s="8" t="str">
        <f ca="1">IFERROR(__xludf.DUMMYFUNCTION("""COMPUTED_VALUE"""),"Guards")</f>
        <v>Guards</v>
      </c>
      <c r="AR1264" s="8" t="str">
        <f ca="1">IFERROR(__xludf.DUMMYFUNCTION("""COMPUTED_VALUE"""),"Outside/Off-Property")</f>
        <v>Outside/Off-Property</v>
      </c>
      <c r="AS1264" s="8"/>
      <c r="AT1264" s="8" t="str">
        <f ca="1">IFERROR(__xludf.DUMMYFUNCTION("""COMPUTED_VALUE"""),"Yes")</f>
        <v>Yes</v>
      </c>
      <c r="AU1264" s="8">
        <f ca="1">IFERROR(__xludf.DUMMYFUNCTION("""COMPUTED_VALUE"""),41.330939)</f>
        <v>41.330939000000001</v>
      </c>
      <c r="AV1264" s="8">
        <f ca="1">IFERROR(__xludf.DUMMYFUNCTION("""COMPUTED_VALUE"""),-72.930529)</f>
        <v>-72.930529000000007</v>
      </c>
      <c r="AW1264" s="8"/>
      <c r="AX1264" s="8">
        <f ca="1">IFERROR(__xludf.DUMMYFUNCTION("""COMPUTED_VALUE"""),6511)</f>
        <v>6511</v>
      </c>
    </row>
    <row r="1265" spans="1:50" ht="45" x14ac:dyDescent="0.2">
      <c r="A1265" s="8" t="str">
        <f ca="1">IFERROR(__xludf.DUMMYFUNCTION("""COMPUTED_VALUE"""),"20210921PAVAP")</f>
        <v>20210921PAVAP</v>
      </c>
      <c r="B1265" s="8">
        <f ca="1">IFERROR(__xludf.DUMMYFUNCTION("""COMPUTED_VALUE"""),9)</f>
        <v>9</v>
      </c>
      <c r="C1265" s="8">
        <f ca="1">IFERROR(__xludf.DUMMYFUNCTION("""COMPUTED_VALUE"""),21)</f>
        <v>21</v>
      </c>
      <c r="D1265" s="8">
        <f ca="1">IFERROR(__xludf.DUMMYFUNCTION("""COMPUTED_VALUE"""),2021)</f>
        <v>2021</v>
      </c>
      <c r="E1265" s="9">
        <f ca="1">IFERROR(__xludf.DUMMYFUNCTION("""COMPUTED_VALUE"""),44460)</f>
        <v>44460</v>
      </c>
      <c r="F1265" s="8" t="str">
        <f ca="1">IFERROR(__xludf.DUMMYFUNCTION("""COMPUTED_VALUE"""),"Vaux Big Picture High School")</f>
        <v>Vaux Big Picture High School</v>
      </c>
      <c r="G1265" s="8">
        <f ca="1">IFERROR(__xludf.DUMMYFUNCTION("""COMPUTED_VALUE"""),0)</f>
        <v>0</v>
      </c>
      <c r="H1265" s="8">
        <f ca="1">IFERROR(__xludf.DUMMYFUNCTION("""COMPUTED_VALUE"""),1)</f>
        <v>1</v>
      </c>
      <c r="I1265" s="8">
        <f ca="1">IFERROR(__xludf.DUMMYFUNCTION("""COMPUTED_VALUE"""),1)</f>
        <v>1</v>
      </c>
      <c r="J1265" s="8">
        <f ca="1">IFERROR(__xludf.DUMMYFUNCTION("""COMPUTED_VALUE"""),0)</f>
        <v>0</v>
      </c>
      <c r="K1265" s="10" t="str">
        <f ca="1">IFERROR(__xludf.DUMMYFUNCTION("""COMPUTED_VALUE"""),"https://www.fox29.com/news/15-year-old-boy-shot-outside-school-in-north-philadelphia-police-say")</f>
        <v>https://www.fox29.com/news/15-year-old-boy-shot-outside-school-in-north-philadelphia-police-say</v>
      </c>
      <c r="L1265" s="8">
        <f ca="1">IFERROR(__xludf.DUMMYFUNCTION("""COMPUTED_VALUE"""),2)</f>
        <v>2</v>
      </c>
      <c r="M1265" s="8" t="str">
        <f ca="1">IFERROR(__xludf.DUMMYFUNCTION("""COMPUTED_VALUE"""),"Local")</f>
        <v>Local</v>
      </c>
      <c r="N1265" s="8">
        <f ca="1">IFERROR(__xludf.DUMMYFUNCTION("""COMPUTED_VALUE"""),3)</f>
        <v>3</v>
      </c>
      <c r="O1265" s="8" t="str">
        <f ca="1">IFERROR(__xludf.DUMMYFUNCTION("""COMPUTED_VALUE"""),"Fall")</f>
        <v>Fall</v>
      </c>
      <c r="P1265" s="8" t="str">
        <f ca="1">IFERROR(__xludf.DUMMYFUNCTION("""COMPUTED_VALUE"""),"Philadelphia")</f>
        <v>Philadelphia</v>
      </c>
      <c r="Q1265" s="8" t="str">
        <f ca="1">IFERROR(__xludf.DUMMYFUNCTION("""COMPUTED_VALUE"""),"PA")</f>
        <v>PA</v>
      </c>
      <c r="R1265" s="8" t="str">
        <f ca="1">IFERROR(__xludf.DUMMYFUNCTION("""COMPUTED_VALUE"""),"High")</f>
        <v>High</v>
      </c>
      <c r="S1265" s="8" t="str">
        <f ca="1">IFERROR(__xludf.DUMMYFUNCTION("""COMPUTED_VALUE"""),"Front of School")</f>
        <v>Front of School</v>
      </c>
      <c r="T1265" s="8" t="str">
        <f ca="1">IFERROR(__xludf.DUMMYFUNCTION("""COMPUTED_VALUE"""),"Outside on School Property")</f>
        <v>Outside on School Property</v>
      </c>
      <c r="U1265" s="8" t="str">
        <f ca="1">IFERROR(__xludf.DUMMYFUNCTION("""COMPUTED_VALUE"""),"Yes")</f>
        <v>Yes</v>
      </c>
      <c r="V1265" s="8" t="str">
        <f ca="1">IFERROR(__xludf.DUMMYFUNCTION("""COMPUTED_VALUE"""),"Dismissal")</f>
        <v>Dismissal</v>
      </c>
      <c r="W1265" s="11">
        <f ca="1">IFERROR(__xludf.DUMMYFUNCTION("""COMPUTED_VALUE"""),0.622916666666666)</f>
        <v>0.62291666666666601</v>
      </c>
      <c r="X1265" s="8">
        <f ca="1">IFERROR(__xludf.DUMMYFUNCTION("""COMPUTED_VALUE"""),1)</f>
        <v>1</v>
      </c>
      <c r="Y1265" s="12" t="str">
        <f ca="1">IFERROR(__xludf.DUMMYFUNCTION("""COMPUTED_VALUE"""),"Student shot in front of school during dismissal")</f>
        <v>Student shot in front of school during dismissal</v>
      </c>
      <c r="Z1265" s="12" t="str">
        <f ca="1">IFERROR(__xludf.DUMMYFUNCTION("""COMPUTED_VALUE"""),"A 15-year-old male student was shot in the leg during dismissal. Shooter fled.")</f>
        <v>A 15-year-old male student was shot in the leg during dismissal. Shooter fled.</v>
      </c>
      <c r="AA1265" s="8"/>
      <c r="AB1265" s="8"/>
      <c r="AC1265" s="8" t="str">
        <f ca="1">IFERROR(__xludf.DUMMYFUNCTION("""COMPUTED_VALUE"""),"Yes")</f>
        <v>Yes</v>
      </c>
      <c r="AD1265" s="8" t="str">
        <f ca="1">IFERROR(__xludf.DUMMYFUNCTION("""COMPUTED_VALUE"""),"Victims Targeted")</f>
        <v>Victims Targeted</v>
      </c>
      <c r="AE1265" s="8" t="str">
        <f ca="1">IFERROR(__xludf.DUMMYFUNCTION("""COMPUTED_VALUE"""),"No")</f>
        <v>No</v>
      </c>
      <c r="AF1265" s="8"/>
      <c r="AG1265" s="8" t="str">
        <f ca="1">IFERROR(__xludf.DUMMYFUNCTION("""COMPUTED_VALUE"""),"No")</f>
        <v>No</v>
      </c>
      <c r="AH1265" s="8" t="str">
        <f ca="1">IFERROR(__xludf.DUMMYFUNCTION("""COMPUTED_VALUE"""),"No")</f>
        <v>No</v>
      </c>
      <c r="AI1265" s="8" t="str">
        <f ca="1">IFERROR(__xludf.DUMMYFUNCTION("""COMPUTED_VALUE"""),"No")</f>
        <v>No</v>
      </c>
      <c r="AJ1265" s="8" t="str">
        <f ca="1">IFERROR(__xludf.DUMMYFUNCTION("""COMPUTED_VALUE"""),"No")</f>
        <v>No</v>
      </c>
      <c r="AK1265" s="8" t="str">
        <f ca="1">IFERROR(__xludf.DUMMYFUNCTION("""COMPUTED_VALUE"""),"No")</f>
        <v>No</v>
      </c>
      <c r="AL1265" s="8"/>
      <c r="AM1265" s="8" t="str">
        <f ca="1">IFERROR(__xludf.DUMMYFUNCTION("""COMPUTED_VALUE"""),"No")</f>
        <v>No</v>
      </c>
      <c r="AN1265" s="8"/>
      <c r="AO1265" s="8" t="str">
        <f ca="1">IFERROR(__xludf.DUMMYFUNCTION("""COMPUTED_VALUE"""),"No")</f>
        <v>No</v>
      </c>
      <c r="AP1265" s="8"/>
      <c r="AQ1265" s="8"/>
      <c r="AR1265" s="8" t="str">
        <f ca="1">IFERROR(__xludf.DUMMYFUNCTION("""COMPUTED_VALUE"""),"Outside/Off-Property")</f>
        <v>Outside/Off-Property</v>
      </c>
      <c r="AS1265" s="8"/>
      <c r="AT1265" s="8"/>
      <c r="AU1265" s="8">
        <f ca="1">IFERROR(__xludf.DUMMYFUNCTION("""COMPUTED_VALUE"""),39.976464)</f>
        <v>39.976464</v>
      </c>
      <c r="AV1265" s="8">
        <f ca="1">IFERROR(__xludf.DUMMYFUNCTION("""COMPUTED_VALUE"""),-75.174399)</f>
        <v>-75.174398999999994</v>
      </c>
      <c r="AW1265" s="8"/>
      <c r="AX1265" s="8">
        <f ca="1">IFERROR(__xludf.DUMMYFUNCTION("""COMPUTED_VALUE"""),19121)</f>
        <v>19121</v>
      </c>
    </row>
    <row r="1266" spans="1:50" ht="60" x14ac:dyDescent="0.2">
      <c r="A1266" s="8" t="str">
        <f ca="1">IFERROR(__xludf.DUMMYFUNCTION("""COMPUTED_VALUE"""),"20210921OHMIM")</f>
        <v>20210921OHMIM</v>
      </c>
      <c r="B1266" s="8">
        <f ca="1">IFERROR(__xludf.DUMMYFUNCTION("""COMPUTED_VALUE"""),9)</f>
        <v>9</v>
      </c>
      <c r="C1266" s="8">
        <f ca="1">IFERROR(__xludf.DUMMYFUNCTION("""COMPUTED_VALUE"""),21)</f>
        <v>21</v>
      </c>
      <c r="D1266" s="8">
        <f ca="1">IFERROR(__xludf.DUMMYFUNCTION("""COMPUTED_VALUE"""),2021)</f>
        <v>2021</v>
      </c>
      <c r="E1266" s="9">
        <f ca="1">IFERROR(__xludf.DUMMYFUNCTION("""COMPUTED_VALUE"""),44460)</f>
        <v>44460</v>
      </c>
      <c r="F1266" s="8" t="str">
        <f ca="1">IFERROR(__xludf.DUMMYFUNCTION("""COMPUTED_VALUE"""),"Middletown Preparatory and Fitness Academy")</f>
        <v>Middletown Preparatory and Fitness Academy</v>
      </c>
      <c r="G1266" s="8">
        <f ca="1">IFERROR(__xludf.DUMMYFUNCTION("""COMPUTED_VALUE"""),0)</f>
        <v>0</v>
      </c>
      <c r="H1266" s="8">
        <f ca="1">IFERROR(__xludf.DUMMYFUNCTION("""COMPUTED_VALUE"""),0)</f>
        <v>0</v>
      </c>
      <c r="I1266" s="8">
        <f ca="1">IFERROR(__xludf.DUMMYFUNCTION("""COMPUTED_VALUE"""),0)</f>
        <v>0</v>
      </c>
      <c r="J1266" s="8">
        <f ca="1">IFERROR(__xludf.DUMMYFUNCTION("""COMPUTED_VALUE"""),0)</f>
        <v>0</v>
      </c>
      <c r="K1266" s="10" t="str">
        <f ca="1">IFERROR(__xludf.DUMMYFUNCTION("""COMPUTED_VALUE"""),"https://www.fox19.com/2021/09/22/middletown-school-bus-hit-with-bb-gun-fire/")</f>
        <v>https://www.fox19.com/2021/09/22/middletown-school-bus-hit-with-bb-gun-fire/</v>
      </c>
      <c r="L1266" s="8">
        <f ca="1">IFERROR(__xludf.DUMMYFUNCTION("""COMPUTED_VALUE"""),1)</f>
        <v>1</v>
      </c>
      <c r="M1266" s="8" t="str">
        <f ca="1">IFERROR(__xludf.DUMMYFUNCTION("""COMPUTED_VALUE"""),"Local")</f>
        <v>Local</v>
      </c>
      <c r="N1266" s="8">
        <f ca="1">IFERROR(__xludf.DUMMYFUNCTION("""COMPUTED_VALUE"""),3)</f>
        <v>3</v>
      </c>
      <c r="O1266" s="8" t="str">
        <f ca="1">IFERROR(__xludf.DUMMYFUNCTION("""COMPUTED_VALUE"""),"Fall")</f>
        <v>Fall</v>
      </c>
      <c r="P1266" s="8" t="str">
        <f ca="1">IFERROR(__xludf.DUMMYFUNCTION("""COMPUTED_VALUE"""),"Middletown")</f>
        <v>Middletown</v>
      </c>
      <c r="Q1266" s="8" t="str">
        <f ca="1">IFERROR(__xludf.DUMMYFUNCTION("""COMPUTED_VALUE"""),"OH")</f>
        <v>OH</v>
      </c>
      <c r="R1266" s="8" t="str">
        <f ca="1">IFERROR(__xludf.DUMMYFUNCTION("""COMPUTED_VALUE"""),"High")</f>
        <v>High</v>
      </c>
      <c r="S1266" s="8" t="str">
        <f ca="1">IFERROR(__xludf.DUMMYFUNCTION("""COMPUTED_VALUE"""),"School Bus")</f>
        <v>School Bus</v>
      </c>
      <c r="T1266" s="8" t="str">
        <f ca="1">IFERROR(__xludf.DUMMYFUNCTION("""COMPUTED_VALUE"""),"School Bus")</f>
        <v>School Bus</v>
      </c>
      <c r="U1266" s="8" t="str">
        <f ca="1">IFERROR(__xludf.DUMMYFUNCTION("""COMPUTED_VALUE"""),"Yes")</f>
        <v>Yes</v>
      </c>
      <c r="V1266" s="8" t="str">
        <f ca="1">IFERROR(__xludf.DUMMYFUNCTION("""COMPUTED_VALUE"""),"Dismissal")</f>
        <v>Dismissal</v>
      </c>
      <c r="W1266" s="11">
        <f ca="1">IFERROR(__xludf.DUMMYFUNCTION("""COMPUTED_VALUE"""),0.625)</f>
        <v>0.625</v>
      </c>
      <c r="X1266" s="8">
        <f ca="1">IFERROR(__xludf.DUMMYFUNCTION("""COMPUTED_VALUE"""),1)</f>
        <v>1</v>
      </c>
      <c r="Y1266" s="12" t="str">
        <f ca="1">IFERROR(__xludf.DUMMYFUNCTION("""COMPUTED_VALUE"""),"Occupied school bus shot by multiple BBs")</f>
        <v>Occupied school bus shot by multiple BBs</v>
      </c>
      <c r="Z1266" s="12" t="str">
        <f ca="1">IFERROR(__xludf.DUMMYFUNCTION("""COMPUTED_VALUE"""),"An occupied school bus leaving the school was shot with multiple BBs. The school bus driver stopped and notified police. No students were injured. Parents drove to the bus to pick their children up. Shooter fled.")</f>
        <v>An occupied school bus leaving the school was shot with multiple BBs. The school bus driver stopped and notified police. No students were injured. Parents drove to the bus to pick their children up. Shooter fled.</v>
      </c>
      <c r="AA1266" s="8" t="str">
        <f ca="1">IFERROR(__xludf.DUMMYFUNCTION("""COMPUTED_VALUE"""),"Intentional Property Damage")</f>
        <v>Intentional Property Damage</v>
      </c>
      <c r="AB1266" s="8"/>
      <c r="AC1266" s="8" t="str">
        <f ca="1">IFERROR(__xludf.DUMMYFUNCTION("""COMPUTED_VALUE"""),"Yes")</f>
        <v>Yes</v>
      </c>
      <c r="AD1266" s="8" t="str">
        <f ca="1">IFERROR(__xludf.DUMMYFUNCTION("""COMPUTED_VALUE"""),"Neither")</f>
        <v>Neither</v>
      </c>
      <c r="AE1266" s="8" t="str">
        <f ca="1">IFERROR(__xludf.DUMMYFUNCTION("""COMPUTED_VALUE"""),"No")</f>
        <v>No</v>
      </c>
      <c r="AF1266" s="8"/>
      <c r="AG1266" s="8" t="str">
        <f ca="1">IFERROR(__xludf.DUMMYFUNCTION("""COMPUTED_VALUE"""),"No")</f>
        <v>No</v>
      </c>
      <c r="AH1266" s="8" t="str">
        <f ca="1">IFERROR(__xludf.DUMMYFUNCTION("""COMPUTED_VALUE"""),"No")</f>
        <v>No</v>
      </c>
      <c r="AI1266" s="8" t="str">
        <f ca="1">IFERROR(__xludf.DUMMYFUNCTION("""COMPUTED_VALUE"""),"No")</f>
        <v>No</v>
      </c>
      <c r="AJ1266" s="8" t="str">
        <f ca="1">IFERROR(__xludf.DUMMYFUNCTION("""COMPUTED_VALUE"""),"No")</f>
        <v>No</v>
      </c>
      <c r="AK1266" s="8" t="str">
        <f ca="1">IFERROR(__xludf.DUMMYFUNCTION("""COMPUTED_VALUE"""),"No")</f>
        <v>No</v>
      </c>
      <c r="AL1266" s="8" t="str">
        <f ca="1">IFERROR(__xludf.DUMMYFUNCTION("""COMPUTED_VALUE"""),"No")</f>
        <v>No</v>
      </c>
      <c r="AM1266" s="8" t="str">
        <f ca="1">IFERROR(__xludf.DUMMYFUNCTION("""COMPUTED_VALUE"""),"No")</f>
        <v>No</v>
      </c>
      <c r="AN1266" s="8"/>
      <c r="AO1266" s="8" t="str">
        <f ca="1">IFERROR(__xludf.DUMMYFUNCTION("""COMPUTED_VALUE"""),"No")</f>
        <v>No</v>
      </c>
      <c r="AP1266" s="8"/>
      <c r="AQ1266" s="8"/>
      <c r="AR1266" s="8" t="str">
        <f ca="1">IFERROR(__xludf.DUMMYFUNCTION("""COMPUTED_VALUE"""),"Outside/Off-Property")</f>
        <v>Outside/Off-Property</v>
      </c>
      <c r="AS1266" s="8"/>
      <c r="AT1266" s="8"/>
      <c r="AU1266" s="8">
        <f ca="1">IFERROR(__xludf.DUMMYFUNCTION("""COMPUTED_VALUE"""),39.514811)</f>
        <v>39.514811000000002</v>
      </c>
      <c r="AV1266" s="8">
        <f ca="1">IFERROR(__xludf.DUMMYFUNCTION("""COMPUTED_VALUE"""),-84.408463)</f>
        <v>-84.408462999999998</v>
      </c>
      <c r="AW1266" s="8"/>
      <c r="AX1266" s="8">
        <f ca="1">IFERROR(__xludf.DUMMYFUNCTION("""COMPUTED_VALUE"""),45044)</f>
        <v>45044</v>
      </c>
    </row>
    <row r="1267" spans="1:50" ht="75" x14ac:dyDescent="0.2">
      <c r="A1267" s="8" t="str">
        <f ca="1">IFERROR(__xludf.DUMMYFUNCTION("""COMPUTED_VALUE"""),"20210921KSEAW")</f>
        <v>20210921KSEAW</v>
      </c>
      <c r="B1267" s="8">
        <f ca="1">IFERROR(__xludf.DUMMYFUNCTION("""COMPUTED_VALUE"""),9)</f>
        <v>9</v>
      </c>
      <c r="C1267" s="8">
        <f ca="1">IFERROR(__xludf.DUMMYFUNCTION("""COMPUTED_VALUE"""),21)</f>
        <v>21</v>
      </c>
      <c r="D1267" s="8">
        <f ca="1">IFERROR(__xludf.DUMMYFUNCTION("""COMPUTED_VALUE"""),2021)</f>
        <v>2021</v>
      </c>
      <c r="E1267" s="9">
        <f ca="1">IFERROR(__xludf.DUMMYFUNCTION("""COMPUTED_VALUE"""),44460)</f>
        <v>44460</v>
      </c>
      <c r="F1267" s="8" t="str">
        <f ca="1">IFERROR(__xludf.DUMMYFUNCTION("""COMPUTED_VALUE"""),"East High School")</f>
        <v>East High School</v>
      </c>
      <c r="G1267" s="8">
        <f ca="1">IFERROR(__xludf.DUMMYFUNCTION("""COMPUTED_VALUE"""),0)</f>
        <v>0</v>
      </c>
      <c r="H1267" s="8">
        <f ca="1">IFERROR(__xludf.DUMMYFUNCTION("""COMPUTED_VALUE"""),3)</f>
        <v>3</v>
      </c>
      <c r="I1267" s="8">
        <f ca="1">IFERROR(__xludf.DUMMYFUNCTION("""COMPUTED_VALUE"""),3)</f>
        <v>3</v>
      </c>
      <c r="J1267" s="8">
        <f ca="1">IFERROR(__xludf.DUMMYFUNCTION("""COMPUTED_VALUE"""),0)</f>
        <v>0</v>
      </c>
      <c r="K1267" s="8" t="str">
        <f ca="1">IFERROR(__xludf.DUMMYFUNCTION("""COMPUTED_VALUE"""),"https://www.ksn.com/news/crime/daytime-shooting-near-east-high-bold-and-disturbing/ https://www.kansas.com/news/local/crime/article254417103.html https://www.kwch.com/2021/09/21/shooting-near-wichita-east-high-school/ https://www.ksn.com/news/local/2-shot"&amp;"-near-east-high-school/")</f>
        <v>https://www.ksn.com/news/crime/daytime-shooting-near-east-high-bold-and-disturbing/ https://www.kansas.com/news/local/crime/article254417103.html https://www.kwch.com/2021/09/21/shooting-near-wichita-east-high-school/ https://www.ksn.com/news/local/2-shot-near-east-high-school/</v>
      </c>
      <c r="L1267" s="8">
        <f ca="1">IFERROR(__xludf.DUMMYFUNCTION("""COMPUTED_VALUE"""),10)</f>
        <v>10</v>
      </c>
      <c r="M1267" s="8" t="str">
        <f ca="1">IFERROR(__xludf.DUMMYFUNCTION("""COMPUTED_VALUE"""),"Local")</f>
        <v>Local</v>
      </c>
      <c r="N1267" s="8">
        <f ca="1">IFERROR(__xludf.DUMMYFUNCTION("""COMPUTED_VALUE"""),4)</f>
        <v>4</v>
      </c>
      <c r="O1267" s="8" t="str">
        <f ca="1">IFERROR(__xludf.DUMMYFUNCTION("""COMPUTED_VALUE"""),"Fall")</f>
        <v>Fall</v>
      </c>
      <c r="P1267" s="8" t="str">
        <f ca="1">IFERROR(__xludf.DUMMYFUNCTION("""COMPUTED_VALUE"""),"Wichita")</f>
        <v>Wichita</v>
      </c>
      <c r="Q1267" s="8" t="str">
        <f ca="1">IFERROR(__xludf.DUMMYFUNCTION("""COMPUTED_VALUE"""),"KS")</f>
        <v>KS</v>
      </c>
      <c r="R1267" s="8" t="str">
        <f ca="1">IFERROR(__xludf.DUMMYFUNCTION("""COMPUTED_VALUE"""),"High")</f>
        <v>High</v>
      </c>
      <c r="S1267" s="8" t="str">
        <f ca="1">IFERROR(__xludf.DUMMYFUNCTION("""COMPUTED_VALUE"""),"Front of School")</f>
        <v>Front of School</v>
      </c>
      <c r="T1267" s="8" t="str">
        <f ca="1">IFERROR(__xludf.DUMMYFUNCTION("""COMPUTED_VALUE"""),"Outside on School Property")</f>
        <v>Outside on School Property</v>
      </c>
      <c r="U1267" s="8" t="str">
        <f ca="1">IFERROR(__xludf.DUMMYFUNCTION("""COMPUTED_VALUE"""),"Yes")</f>
        <v>Yes</v>
      </c>
      <c r="V1267" s="8" t="str">
        <f ca="1">IFERROR(__xludf.DUMMYFUNCTION("""COMPUTED_VALUE"""),"Lunch")</f>
        <v>Lunch</v>
      </c>
      <c r="W1267" s="11">
        <f ca="1">IFERROR(__xludf.DUMMYFUNCTION("""COMPUTED_VALUE"""),0.520833333333333)</f>
        <v>0.52083333333333304</v>
      </c>
      <c r="X1267" s="8">
        <f ca="1">IFERROR(__xludf.DUMMYFUNCTION("""COMPUTED_VALUE"""),1)</f>
        <v>1</v>
      </c>
      <c r="Y1267" s="12" t="str">
        <f ca="1">IFERROR(__xludf.DUMMYFUNCTION("""COMPUTED_VALUE"""),"Three students shot outside school during lunch")</f>
        <v>Three students shot outside school during lunch</v>
      </c>
      <c r="Z1267" s="12" t="str">
        <f ca="1">IFERROR(__xludf.DUMMYFUNCTION("""COMPUTED_VALUE"""),"Shots were fired from off the school campus in the direction of the school during lunch time. Three students were wounded and bullets struck the school building. Three teen suspects were arrested. The shooting was related to an ongoing dispute. The victim"&amp;"s were targeted.")</f>
        <v>Shots were fired from off the school campus in the direction of the school during lunch time. Three students were wounded and bullets struck the school building. Three teen suspects were arrested. The shooting was related to an ongoing dispute. The victims were targeted.</v>
      </c>
      <c r="AA1267" s="8" t="str">
        <f ca="1">IFERROR(__xludf.DUMMYFUNCTION("""COMPUTED_VALUE"""),"Escalation of Dispute")</f>
        <v>Escalation of Dispute</v>
      </c>
      <c r="AB1267" s="8"/>
      <c r="AC1267" s="8" t="str">
        <f ca="1">IFERROR(__xludf.DUMMYFUNCTION("""COMPUTED_VALUE"""),"Yes")</f>
        <v>Yes</v>
      </c>
      <c r="AD1267" s="8" t="str">
        <f ca="1">IFERROR(__xludf.DUMMYFUNCTION("""COMPUTED_VALUE"""),"Both")</f>
        <v>Both</v>
      </c>
      <c r="AE1267" s="8" t="str">
        <f ca="1">IFERROR(__xludf.DUMMYFUNCTION("""COMPUTED_VALUE"""),"Yes")</f>
        <v>Yes</v>
      </c>
      <c r="AF1267" s="8" t="str">
        <f ca="1">IFERROR(__xludf.DUMMYFUNCTION("""COMPUTED_VALUE"""),"3 teens arrested")</f>
        <v>3 teens arrested</v>
      </c>
      <c r="AG1267" s="8" t="str">
        <f ca="1">IFERROR(__xludf.DUMMYFUNCTION("""COMPUTED_VALUE"""),"No")</f>
        <v>No</v>
      </c>
      <c r="AH1267" s="8" t="str">
        <f ca="1">IFERROR(__xludf.DUMMYFUNCTION("""COMPUTED_VALUE"""),"No")</f>
        <v>No</v>
      </c>
      <c r="AI1267" s="8" t="str">
        <f ca="1">IFERROR(__xludf.DUMMYFUNCTION("""COMPUTED_VALUE"""),"No")</f>
        <v>No</v>
      </c>
      <c r="AJ1267" s="8" t="str">
        <f ca="1">IFERROR(__xludf.DUMMYFUNCTION("""COMPUTED_VALUE"""),"No")</f>
        <v>No</v>
      </c>
      <c r="AK1267" s="8" t="str">
        <f ca="1">IFERROR(__xludf.DUMMYFUNCTION("""COMPUTED_VALUE"""),"No")</f>
        <v>No</v>
      </c>
      <c r="AL1267" s="8" t="str">
        <f ca="1">IFERROR(__xludf.DUMMYFUNCTION("""COMPUTED_VALUE"""),"No")</f>
        <v>No</v>
      </c>
      <c r="AM1267" s="8" t="str">
        <f ca="1">IFERROR(__xludf.DUMMYFUNCTION("""COMPUTED_VALUE"""),"No")</f>
        <v>No</v>
      </c>
      <c r="AN1267" s="8"/>
      <c r="AO1267" s="8" t="str">
        <f ca="1">IFERROR(__xludf.DUMMYFUNCTION("""COMPUTED_VALUE"""),"No")</f>
        <v>No</v>
      </c>
      <c r="AP1267" s="8"/>
      <c r="AQ1267" s="8"/>
      <c r="AR1267" s="8" t="str">
        <f ca="1">IFERROR(__xludf.DUMMYFUNCTION("""COMPUTED_VALUE"""),"Outside/Off-Property")</f>
        <v>Outside/Off-Property</v>
      </c>
      <c r="AS1267" s="8"/>
      <c r="AT1267" s="8" t="str">
        <f ca="1">IFERROR(__xludf.DUMMYFUNCTION("""COMPUTED_VALUE"""),"Yes")</f>
        <v>Yes</v>
      </c>
      <c r="AU1267" s="8">
        <f ca="1">IFERROR(__xludf.DUMMYFUNCTION("""COMPUTED_VALUE"""),37.684097)</f>
        <v>37.684097000000001</v>
      </c>
      <c r="AV1267" s="8">
        <f ca="1">IFERROR(__xludf.DUMMYFUNCTION("""COMPUTED_VALUE"""),-97.308553)</f>
        <v>-97.308553000000003</v>
      </c>
      <c r="AW1267" s="8"/>
      <c r="AX1267" s="8">
        <f ca="1">IFERROR(__xludf.DUMMYFUNCTION("""COMPUTED_VALUE"""),67214)</f>
        <v>67214</v>
      </c>
    </row>
    <row r="1268" spans="1:50" ht="45" x14ac:dyDescent="0.2">
      <c r="A1268" s="8" t="str">
        <f ca="1">IFERROR(__xludf.DUMMYFUNCTION("""COMPUTED_VALUE"""),"20210921GAFRA")</f>
        <v>20210921GAFRA</v>
      </c>
      <c r="B1268" s="8">
        <f ca="1">IFERROR(__xludf.DUMMYFUNCTION("""COMPUTED_VALUE"""),9)</f>
        <v>9</v>
      </c>
      <c r="C1268" s="8">
        <f ca="1">IFERROR(__xludf.DUMMYFUNCTION("""COMPUTED_VALUE"""),21)</f>
        <v>21</v>
      </c>
      <c r="D1268" s="8">
        <f ca="1">IFERROR(__xludf.DUMMYFUNCTION("""COMPUTED_VALUE"""),2021)</f>
        <v>2021</v>
      </c>
      <c r="E1268" s="9">
        <f ca="1">IFERROR(__xludf.DUMMYFUNCTION("""COMPUTED_VALUE"""),44460)</f>
        <v>44460</v>
      </c>
      <c r="F1268" s="8" t="str">
        <f ca="1">IFERROR(__xludf.DUMMYFUNCTION("""COMPUTED_VALUE"""),"Fred A. Toomer Elementary School")</f>
        <v>Fred A. Toomer Elementary School</v>
      </c>
      <c r="G1268" s="8">
        <f ca="1">IFERROR(__xludf.DUMMYFUNCTION("""COMPUTED_VALUE"""),0)</f>
        <v>0</v>
      </c>
      <c r="H1268" s="8">
        <f ca="1">IFERROR(__xludf.DUMMYFUNCTION("""COMPUTED_VALUE"""),0)</f>
        <v>0</v>
      </c>
      <c r="I1268" s="8">
        <f ca="1">IFERROR(__xludf.DUMMYFUNCTION("""COMPUTED_VALUE"""),0)</f>
        <v>0</v>
      </c>
      <c r="J1268" s="8">
        <f ca="1">IFERROR(__xludf.DUMMYFUNCTION("""COMPUTED_VALUE"""),0)</f>
        <v>0</v>
      </c>
      <c r="K1268" s="10" t="str">
        <f ca="1">IFERROR(__xludf.DUMMYFUNCTION("""COMPUTED_VALUE"""),"https://decaturish.com/2021/09/argument-outside-toomer-elementary-leads-to-shots-fired-temporary-lockdown/")</f>
        <v>https://decaturish.com/2021/09/argument-outside-toomer-elementary-leads-to-shots-fired-temporary-lockdown/</v>
      </c>
      <c r="L1268" s="8">
        <f ca="1">IFERROR(__xludf.DUMMYFUNCTION("""COMPUTED_VALUE"""),1)</f>
        <v>1</v>
      </c>
      <c r="M1268" s="8" t="str">
        <f ca="1">IFERROR(__xludf.DUMMYFUNCTION("""COMPUTED_VALUE"""),"Local")</f>
        <v>Local</v>
      </c>
      <c r="N1268" s="8">
        <f ca="1">IFERROR(__xludf.DUMMYFUNCTION("""COMPUTED_VALUE"""),3)</f>
        <v>3</v>
      </c>
      <c r="O1268" s="8" t="str">
        <f ca="1">IFERROR(__xludf.DUMMYFUNCTION("""COMPUTED_VALUE"""),"Fall")</f>
        <v>Fall</v>
      </c>
      <c r="P1268" s="8" t="str">
        <f ca="1">IFERROR(__xludf.DUMMYFUNCTION("""COMPUTED_VALUE"""),"Atlanta")</f>
        <v>Atlanta</v>
      </c>
      <c r="Q1268" s="8" t="str">
        <f ca="1">IFERROR(__xludf.DUMMYFUNCTION("""COMPUTED_VALUE"""),"GA")</f>
        <v>GA</v>
      </c>
      <c r="R1268" s="8" t="str">
        <f ca="1">IFERROR(__xludf.DUMMYFUNCTION("""COMPUTED_VALUE"""),"Elementary")</f>
        <v>Elementary</v>
      </c>
      <c r="S1268" s="8" t="str">
        <f ca="1">IFERROR(__xludf.DUMMYFUNCTION("""COMPUTED_VALUE"""),"Outside on School Property")</f>
        <v>Outside on School Property</v>
      </c>
      <c r="T1268" s="8" t="str">
        <f ca="1">IFERROR(__xludf.DUMMYFUNCTION("""COMPUTED_VALUE"""),"Outside on School Property")</f>
        <v>Outside on School Property</v>
      </c>
      <c r="U1268" s="8" t="str">
        <f ca="1">IFERROR(__xludf.DUMMYFUNCTION("""COMPUTED_VALUE"""),"Yes")</f>
        <v>Yes</v>
      </c>
      <c r="V1268" s="8" t="str">
        <f ca="1">IFERROR(__xludf.DUMMYFUNCTION("""COMPUTED_VALUE"""),"School Start")</f>
        <v>School Start</v>
      </c>
      <c r="W1268" s="11">
        <f ca="1">IFERROR(__xludf.DUMMYFUNCTION("""COMPUTED_VALUE"""),0.322916666666666)</f>
        <v>0.32291666666666602</v>
      </c>
      <c r="X1268" s="8">
        <f ca="1">IFERROR(__xludf.DUMMYFUNCTION("""COMPUTED_VALUE"""),1)</f>
        <v>1</v>
      </c>
      <c r="Y1268" s="12" t="str">
        <f ca="1">IFERROR(__xludf.DUMMYFUNCTION("""COMPUTED_VALUE"""),"Shots fired during argument between parents")</f>
        <v>Shots fired during argument between parents</v>
      </c>
      <c r="Z1268" s="12" t="str">
        <f ca="1">IFERROR(__xludf.DUMMYFUNCTION("""COMPUTED_VALUE"""),"Shots were fired outside of the school during an argument between parents. School was locked down. Shooter fled but was identified by police.")</f>
        <v>Shots were fired outside of the school during an argument between parents. School was locked down. Shooter fled but was identified by police.</v>
      </c>
      <c r="AA1268" s="8" t="str">
        <f ca="1">IFERROR(__xludf.DUMMYFUNCTION("""COMPUTED_VALUE"""),"Escalation of Dispute")</f>
        <v>Escalation of Dispute</v>
      </c>
      <c r="AB1268" s="8"/>
      <c r="AC1268" s="8" t="str">
        <f ca="1">IFERROR(__xludf.DUMMYFUNCTION("""COMPUTED_VALUE"""),"Yes")</f>
        <v>Yes</v>
      </c>
      <c r="AD1268" s="8" t="str">
        <f ca="1">IFERROR(__xludf.DUMMYFUNCTION("""COMPUTED_VALUE"""),"Victims Targeted")</f>
        <v>Victims Targeted</v>
      </c>
      <c r="AE1268" s="8" t="str">
        <f ca="1">IFERROR(__xludf.DUMMYFUNCTION("""COMPUTED_VALUE"""),"No")</f>
        <v>No</v>
      </c>
      <c r="AF1268" s="8"/>
      <c r="AG1268" s="8" t="str">
        <f ca="1">IFERROR(__xludf.DUMMYFUNCTION("""COMPUTED_VALUE"""),"No")</f>
        <v>No</v>
      </c>
      <c r="AH1268" s="8" t="str">
        <f ca="1">IFERROR(__xludf.DUMMYFUNCTION("""COMPUTED_VALUE"""),"No")</f>
        <v>No</v>
      </c>
      <c r="AI1268" s="8" t="str">
        <f ca="1">IFERROR(__xludf.DUMMYFUNCTION("""COMPUTED_VALUE"""),"No")</f>
        <v>No</v>
      </c>
      <c r="AJ1268" s="8" t="str">
        <f ca="1">IFERROR(__xludf.DUMMYFUNCTION("""COMPUTED_VALUE"""),"No")</f>
        <v>No</v>
      </c>
      <c r="AK1268" s="8" t="str">
        <f ca="1">IFERROR(__xludf.DUMMYFUNCTION("""COMPUTED_VALUE"""),"No")</f>
        <v>No</v>
      </c>
      <c r="AL1268" s="8" t="str">
        <f ca="1">IFERROR(__xludf.DUMMYFUNCTION("""COMPUTED_VALUE"""),"No")</f>
        <v>No</v>
      </c>
      <c r="AM1268" s="8" t="str">
        <f ca="1">IFERROR(__xludf.DUMMYFUNCTION("""COMPUTED_VALUE"""),"No")</f>
        <v>No</v>
      </c>
      <c r="AN1268" s="8"/>
      <c r="AO1268" s="8" t="str">
        <f ca="1">IFERROR(__xludf.DUMMYFUNCTION("""COMPUTED_VALUE"""),"No")</f>
        <v>No</v>
      </c>
      <c r="AP1268" s="8" t="str">
        <f ca="1">IFERROR(__xludf.DUMMYFUNCTION("""COMPUTED_VALUE"""),"No")</f>
        <v>No</v>
      </c>
      <c r="AQ1268" s="8"/>
      <c r="AR1268" s="8" t="str">
        <f ca="1">IFERROR(__xludf.DUMMYFUNCTION("""COMPUTED_VALUE"""),"Outside/Off-Property")</f>
        <v>Outside/Off-Property</v>
      </c>
      <c r="AS1268" s="8"/>
      <c r="AT1268" s="8" t="str">
        <f ca="1">IFERROR(__xludf.DUMMYFUNCTION("""COMPUTED_VALUE"""),"Yes")</f>
        <v>Yes</v>
      </c>
      <c r="AU1268" s="8">
        <f ca="1">IFERROR(__xludf.DUMMYFUNCTION("""COMPUTED_VALUE"""),33.754411)</f>
        <v>33.754410999999998</v>
      </c>
      <c r="AV1268" s="8">
        <f ca="1">IFERROR(__xludf.DUMMYFUNCTION("""COMPUTED_VALUE"""),-84.328198)</f>
        <v>-84.328198</v>
      </c>
      <c r="AW1268" s="8"/>
      <c r="AX1268" s="8">
        <f ca="1">IFERROR(__xludf.DUMMYFUNCTION("""COMPUTED_VALUE"""),30317)</f>
        <v>30317</v>
      </c>
    </row>
    <row r="1269" spans="1:50" ht="75" x14ac:dyDescent="0.2">
      <c r="A1269" s="8" t="str">
        <f ca="1">IFERROR(__xludf.DUMMYFUNCTION("""COMPUTED_VALUE"""),"20210921FLLAL")</f>
        <v>20210921FLLAL</v>
      </c>
      <c r="B1269" s="8">
        <f ca="1">IFERROR(__xludf.DUMMYFUNCTION("""COMPUTED_VALUE"""),9)</f>
        <v>9</v>
      </c>
      <c r="C1269" s="8">
        <f ca="1">IFERROR(__xludf.DUMMYFUNCTION("""COMPUTED_VALUE"""),21)</f>
        <v>21</v>
      </c>
      <c r="D1269" s="8">
        <f ca="1">IFERROR(__xludf.DUMMYFUNCTION("""COMPUTED_VALUE"""),2021)</f>
        <v>2021</v>
      </c>
      <c r="E1269" s="9">
        <f ca="1">IFERROR(__xludf.DUMMYFUNCTION("""COMPUTED_VALUE"""),44460)</f>
        <v>44460</v>
      </c>
      <c r="F1269" s="8" t="str">
        <f ca="1">IFERROR(__xludf.DUMMYFUNCTION("""COMPUTED_VALUE"""),"Lake Asbury Elementary School")</f>
        <v>Lake Asbury Elementary School</v>
      </c>
      <c r="G1269" s="8">
        <f ca="1">IFERROR(__xludf.DUMMYFUNCTION("""COMPUTED_VALUE"""),0)</f>
        <v>0</v>
      </c>
      <c r="H1269" s="8">
        <f ca="1">IFERROR(__xludf.DUMMYFUNCTION("""COMPUTED_VALUE"""),0)</f>
        <v>0</v>
      </c>
      <c r="I1269" s="8">
        <f ca="1">IFERROR(__xludf.DUMMYFUNCTION("""COMPUTED_VALUE"""),0)</f>
        <v>0</v>
      </c>
      <c r="J1269" s="8">
        <f ca="1">IFERROR(__xludf.DUMMYFUNCTION("""COMPUTED_VALUE"""),0)</f>
        <v>0</v>
      </c>
      <c r="K1269" s="8" t="str">
        <f ca="1">IFERROR(__xludf.DUMMYFUNCTION("""COMPUTED_VALUE"""),"https://www.actionnewsjax.com/news/local/search-person-who-shot-school-buses-with-bb-gun/f0db9bc2-2500-4047-963a-c3fcb2acd99f/ https://www.news4jax.com/news/local/2021/09/21/two-school-buses-shot-with-a-bb-gun-tuesday-morning/")</f>
        <v>https://www.actionnewsjax.com/news/local/search-person-who-shot-school-buses-with-bb-gun/f0db9bc2-2500-4047-963a-c3fcb2acd99f/ https://www.news4jax.com/news/local/2021/09/21/two-school-buses-shot-with-a-bb-gun-tuesday-morning/</v>
      </c>
      <c r="L1269" s="8">
        <f ca="1">IFERROR(__xludf.DUMMYFUNCTION("""COMPUTED_VALUE"""),2)</f>
        <v>2</v>
      </c>
      <c r="M1269" s="8" t="str">
        <f ca="1">IFERROR(__xludf.DUMMYFUNCTION("""COMPUTED_VALUE"""),"Local")</f>
        <v>Local</v>
      </c>
      <c r="N1269" s="8">
        <f ca="1">IFERROR(__xludf.DUMMYFUNCTION("""COMPUTED_VALUE"""),4)</f>
        <v>4</v>
      </c>
      <c r="O1269" s="8" t="str">
        <f ca="1">IFERROR(__xludf.DUMMYFUNCTION("""COMPUTED_VALUE"""),"Fall")</f>
        <v>Fall</v>
      </c>
      <c r="P1269" s="8" t="str">
        <f ca="1">IFERROR(__xludf.DUMMYFUNCTION("""COMPUTED_VALUE"""),"Lake Asbury")</f>
        <v>Lake Asbury</v>
      </c>
      <c r="Q1269" s="8" t="str">
        <f ca="1">IFERROR(__xludf.DUMMYFUNCTION("""COMPUTED_VALUE"""),"FL")</f>
        <v>FL</v>
      </c>
      <c r="R1269" s="8" t="str">
        <f ca="1">IFERROR(__xludf.DUMMYFUNCTION("""COMPUTED_VALUE"""),"Elementary")</f>
        <v>Elementary</v>
      </c>
      <c r="S1269" s="8" t="str">
        <f ca="1">IFERROR(__xludf.DUMMYFUNCTION("""COMPUTED_VALUE"""),"School Bus")</f>
        <v>School Bus</v>
      </c>
      <c r="T1269" s="8" t="str">
        <f ca="1">IFERROR(__xludf.DUMMYFUNCTION("""COMPUTED_VALUE"""),"School Bus")</f>
        <v>School Bus</v>
      </c>
      <c r="U1269" s="8" t="str">
        <f ca="1">IFERROR(__xludf.DUMMYFUNCTION("""COMPUTED_VALUE"""),"Yes")</f>
        <v>Yes</v>
      </c>
      <c r="V1269" s="8" t="str">
        <f ca="1">IFERROR(__xludf.DUMMYFUNCTION("""COMPUTED_VALUE"""),"School Start")</f>
        <v>School Start</v>
      </c>
      <c r="W1269" s="11">
        <f ca="1">IFERROR(__xludf.DUMMYFUNCTION("""COMPUTED_VALUE"""),0.246527777777777)</f>
        <v>0.24652777777777701</v>
      </c>
      <c r="X1269" s="8">
        <f ca="1">IFERROR(__xludf.DUMMYFUNCTION("""COMPUTED_VALUE"""),10)</f>
        <v>10</v>
      </c>
      <c r="Y1269" s="12" t="str">
        <f ca="1">IFERROR(__xludf.DUMMYFUNCTION("""COMPUTED_VALUE"""),"Windows of two occupied school buses broken by BBs")</f>
        <v>Windows of two occupied school buses broken by BBs</v>
      </c>
      <c r="Z1269" s="12" t="str">
        <f ca="1">IFERROR(__xludf.DUMMYFUNCTION("""COMPUTED_VALUE"""),"Two school buses were shot with BBs 10 minutes apart near Lake Asbury Elementary School. The first bus was shot while parked. The second was shot on a nearby street. Both buses had a driver, monitor, and student on board. Shooter fled. No injuries.")</f>
        <v>Two school buses were shot with BBs 10 minutes apart near Lake Asbury Elementary School. The first bus was shot while parked. The second was shot on a nearby street. Both buses had a driver, monitor, and student on board. Shooter fled. No injuries.</v>
      </c>
      <c r="AA1269" s="8" t="str">
        <f ca="1">IFERROR(__xludf.DUMMYFUNCTION("""COMPUTED_VALUE"""),"Intentional Property Damage")</f>
        <v>Intentional Property Damage</v>
      </c>
      <c r="AB1269" s="8"/>
      <c r="AC1269" s="8" t="str">
        <f ca="1">IFERROR(__xludf.DUMMYFUNCTION("""COMPUTED_VALUE"""),"Yes")</f>
        <v>Yes</v>
      </c>
      <c r="AD1269" s="8" t="str">
        <f ca="1">IFERROR(__xludf.DUMMYFUNCTION("""COMPUTED_VALUE"""),"Neither")</f>
        <v>Neither</v>
      </c>
      <c r="AE1269" s="8" t="str">
        <f ca="1">IFERROR(__xludf.DUMMYFUNCTION("""COMPUTED_VALUE"""),"No")</f>
        <v>No</v>
      </c>
      <c r="AF1269" s="8"/>
      <c r="AG1269" s="8" t="str">
        <f ca="1">IFERROR(__xludf.DUMMYFUNCTION("""COMPUTED_VALUE"""),"No")</f>
        <v>No</v>
      </c>
      <c r="AH1269" s="8" t="str">
        <f ca="1">IFERROR(__xludf.DUMMYFUNCTION("""COMPUTED_VALUE"""),"No")</f>
        <v>No</v>
      </c>
      <c r="AI1269" s="8" t="str">
        <f ca="1">IFERROR(__xludf.DUMMYFUNCTION("""COMPUTED_VALUE"""),"No")</f>
        <v>No</v>
      </c>
      <c r="AJ1269" s="8" t="str">
        <f ca="1">IFERROR(__xludf.DUMMYFUNCTION("""COMPUTED_VALUE"""),"No")</f>
        <v>No</v>
      </c>
      <c r="AK1269" s="8" t="str">
        <f ca="1">IFERROR(__xludf.DUMMYFUNCTION("""COMPUTED_VALUE"""),"No")</f>
        <v>No</v>
      </c>
      <c r="AL1269" s="8" t="str">
        <f ca="1">IFERROR(__xludf.DUMMYFUNCTION("""COMPUTED_VALUE"""),"No")</f>
        <v>No</v>
      </c>
      <c r="AM1269" s="8" t="str">
        <f ca="1">IFERROR(__xludf.DUMMYFUNCTION("""COMPUTED_VALUE"""),"No")</f>
        <v>No</v>
      </c>
      <c r="AN1269" s="8"/>
      <c r="AO1269" s="8" t="str">
        <f ca="1">IFERROR(__xludf.DUMMYFUNCTION("""COMPUTED_VALUE"""),"No")</f>
        <v>No</v>
      </c>
      <c r="AP1269" s="8"/>
      <c r="AQ1269" s="8"/>
      <c r="AR1269" s="8" t="str">
        <f ca="1">IFERROR(__xludf.DUMMYFUNCTION("""COMPUTED_VALUE"""),"Outside/Off-Property")</f>
        <v>Outside/Off-Property</v>
      </c>
      <c r="AS1269" s="8"/>
      <c r="AT1269" s="8"/>
      <c r="AU1269" s="8">
        <f ca="1">IFERROR(__xludf.DUMMYFUNCTION("""COMPUTED_VALUE"""),30.045293)</f>
        <v>30.045293000000001</v>
      </c>
      <c r="AV1269" s="8">
        <f ca="1">IFERROR(__xludf.DUMMYFUNCTION("""COMPUTED_VALUE"""),-81.807341)</f>
        <v>-81.807340999999994</v>
      </c>
      <c r="AW1269" s="8"/>
      <c r="AX1269" s="8">
        <f ca="1">IFERROR(__xludf.DUMMYFUNCTION("""COMPUTED_VALUE"""),32050)</f>
        <v>32050</v>
      </c>
    </row>
    <row r="1270" spans="1:50" ht="210" x14ac:dyDescent="0.2">
      <c r="A1270" s="8" t="str">
        <f ca="1">IFERROR(__xludf.DUMMYFUNCTION("""COMPUTED_VALUE"""),"20210920VAHEN")</f>
        <v>20210920VAHEN</v>
      </c>
      <c r="B1270" s="8">
        <f ca="1">IFERROR(__xludf.DUMMYFUNCTION("""COMPUTED_VALUE"""),9)</f>
        <v>9</v>
      </c>
      <c r="C1270" s="8">
        <f ca="1">IFERROR(__xludf.DUMMYFUNCTION("""COMPUTED_VALUE"""),20)</f>
        <v>20</v>
      </c>
      <c r="D1270" s="8">
        <f ca="1">IFERROR(__xludf.DUMMYFUNCTION("""COMPUTED_VALUE"""),2021)</f>
        <v>2021</v>
      </c>
      <c r="E1270" s="9">
        <f ca="1">IFERROR(__xludf.DUMMYFUNCTION("""COMPUTED_VALUE"""),44459)</f>
        <v>44459</v>
      </c>
      <c r="F1270" s="8" t="str">
        <f ca="1">IFERROR(__xludf.DUMMYFUNCTION("""COMPUTED_VALUE"""),"Heritage High School")</f>
        <v>Heritage High School</v>
      </c>
      <c r="G1270" s="8">
        <f ca="1">IFERROR(__xludf.DUMMYFUNCTION("""COMPUTED_VALUE"""),0)</f>
        <v>0</v>
      </c>
      <c r="H1270" s="8">
        <f ca="1">IFERROR(__xludf.DUMMYFUNCTION("""COMPUTED_VALUE"""),2)</f>
        <v>2</v>
      </c>
      <c r="I1270" s="8">
        <f ca="1">IFERROR(__xludf.DUMMYFUNCTION("""COMPUTED_VALUE"""),2)</f>
        <v>2</v>
      </c>
      <c r="J1270" s="8">
        <f ca="1">IFERROR(__xludf.DUMMYFUNCTION("""COMPUTED_VALUE"""),0)</f>
        <v>0</v>
      </c>
      <c r="K1270" s="8" t="str">
        <f ca="1">IFERROR(__xludf.DUMMYFUNCTION("""COMPUTED_VALUE"""),"https://www.13newsnow.com/article/news/local/mycity/newport-news/heritage-high-school-newport-news-shooting/291-e693fea3-4515-4b3d-a3a9-79363c7bc4e5 https://www.blackhillsfox.com/2021/09/21/police-teen-charged-high-school-shooting-that-wounded-2/ https://"&amp;"www.ksn.com/news/local/2-shot-near-east-high-school/ https://www.wavy.com/news/investigative/accused-heritage-high-shooter-fought-victim-was-wearing-tracking-bracelet-court-docs-show/")</f>
        <v>https://www.13newsnow.com/article/news/local/mycity/newport-news/heritage-high-school-newport-news-shooting/291-e693fea3-4515-4b3d-a3a9-79363c7bc4e5 https://www.blackhillsfox.com/2021/09/21/police-teen-charged-high-school-shooting-that-wounded-2/ https://www.ksn.com/news/local/2-shot-near-east-high-school/ https://www.wavy.com/news/investigative/accused-heritage-high-shooter-fought-victim-was-wearing-tracking-bracelet-court-docs-show/</v>
      </c>
      <c r="L1270" s="8">
        <f ca="1">IFERROR(__xludf.DUMMYFUNCTION("""COMPUTED_VALUE"""),999)</f>
        <v>999</v>
      </c>
      <c r="M1270" s="8" t="str">
        <f ca="1">IFERROR(__xludf.DUMMYFUNCTION("""COMPUTED_VALUE"""),"International")</f>
        <v>International</v>
      </c>
      <c r="N1270" s="8">
        <f ca="1">IFERROR(__xludf.DUMMYFUNCTION("""COMPUTED_VALUE"""),4)</f>
        <v>4</v>
      </c>
      <c r="O1270" s="8" t="str">
        <f ca="1">IFERROR(__xludf.DUMMYFUNCTION("""COMPUTED_VALUE"""),"Fall")</f>
        <v>Fall</v>
      </c>
      <c r="P1270" s="8" t="str">
        <f ca="1">IFERROR(__xludf.DUMMYFUNCTION("""COMPUTED_VALUE"""),"Newport News")</f>
        <v>Newport News</v>
      </c>
      <c r="Q1270" s="8" t="str">
        <f ca="1">IFERROR(__xludf.DUMMYFUNCTION("""COMPUTED_VALUE"""),"VA")</f>
        <v>VA</v>
      </c>
      <c r="R1270" s="8" t="str">
        <f ca="1">IFERROR(__xludf.DUMMYFUNCTION("""COMPUTED_VALUE"""),"High")</f>
        <v>High</v>
      </c>
      <c r="S1270" s="8" t="str">
        <f ca="1">IFERROR(__xludf.DUMMYFUNCTION("""COMPUTED_VALUE"""),"Hallway")</f>
        <v>Hallway</v>
      </c>
      <c r="T1270" s="8" t="str">
        <f ca="1">IFERROR(__xludf.DUMMYFUNCTION("""COMPUTED_VALUE"""),"Inside School Building")</f>
        <v>Inside School Building</v>
      </c>
      <c r="U1270" s="8" t="str">
        <f ca="1">IFERROR(__xludf.DUMMYFUNCTION("""COMPUTED_VALUE"""),"Yes")</f>
        <v>Yes</v>
      </c>
      <c r="V1270" s="8" t="str">
        <f ca="1">IFERROR(__xludf.DUMMYFUNCTION("""COMPUTED_VALUE"""),"Lunch")</f>
        <v>Lunch</v>
      </c>
      <c r="W1270" s="11">
        <f ca="1">IFERROR(__xludf.DUMMYFUNCTION("""COMPUTED_VALUE"""),0.486111111111111)</f>
        <v>0.48611111111111099</v>
      </c>
      <c r="X1270" s="8">
        <f ca="1">IFERROR(__xludf.DUMMYFUNCTION("""COMPUTED_VALUE"""),1)</f>
        <v>1</v>
      </c>
      <c r="Y1270" s="12" t="str">
        <f ca="1">IFERROR(__xludf.DUMMYFUNCTION("""COMPUTED_VALUE"""),"Student shot two other students during fight in hallway then fled")</f>
        <v>Student shot two other students during fight in hallway then fled</v>
      </c>
      <c r="Z1270" s="12" t="str">
        <f ca="1">IFERROR(__xludf.DUMMYFUNCTION("""COMPUTED_VALUE"""),"A 15-year-old student had a physical altercation with a 17-year-old student in the hallway. A staff member broke up the fight. The 15-year-old then pulled a gun from his waistband and fired multiple shots at the 17-year-old victim striking him in the head"&amp;", leg, and hand. One shot struck a 17-year-old female student in the leg who was walking in the hallway. Shooter fled the scene, put gun inside of a backpack and threw it in a trashcan outside of the school, and ran to his house. The shooter was identifie"&amp;"d from CCTV footage and personal documents in the backpack with the gun. The shooter was wearing an ankle monitor from a Juvenile Detention program and was tracked to his home with GPS. School was locked down and dismissed. Classes were cancelled the foll"&amp;"owing day.")</f>
        <v>A 15-year-old student had a physical altercation with a 17-year-old student in the hallway. A staff member broke up the fight. The 15-year-old then pulled a gun from his waistband and fired multiple shots at the 17-year-old victim striking him in the head, leg, and hand. One shot struck a 17-year-old female student in the leg who was walking in the hallway. Shooter fled the scene, put gun inside of a backpack and threw it in a trashcan outside of the school, and ran to his house. The shooter was identified from CCTV footage and personal documents in the backpack with the gun. The shooter was wearing an ankle monitor from a Juvenile Detention program and was tracked to his home with GPS. School was locked down and dismissed. Classes were cancelled the following day.</v>
      </c>
      <c r="AA1270" s="8" t="str">
        <f ca="1">IFERROR(__xludf.DUMMYFUNCTION("""COMPUTED_VALUE"""),"Escalation of Dispute")</f>
        <v>Escalation of Dispute</v>
      </c>
      <c r="AB1270" s="8"/>
      <c r="AC1270" s="8" t="str">
        <f ca="1">IFERROR(__xludf.DUMMYFUNCTION("""COMPUTED_VALUE"""),"Yes")</f>
        <v>Yes</v>
      </c>
      <c r="AD1270" s="8" t="str">
        <f ca="1">IFERROR(__xludf.DUMMYFUNCTION("""COMPUTED_VALUE"""),"Both")</f>
        <v>Both</v>
      </c>
      <c r="AE1270" s="8" t="str">
        <f ca="1">IFERROR(__xludf.DUMMYFUNCTION("""COMPUTED_VALUE"""),"No")</f>
        <v>No</v>
      </c>
      <c r="AF1270" s="8"/>
      <c r="AG1270" s="8" t="str">
        <f ca="1">IFERROR(__xludf.DUMMYFUNCTION("""COMPUTED_VALUE"""),"No")</f>
        <v>No</v>
      </c>
      <c r="AH1270" s="8" t="str">
        <f ca="1">IFERROR(__xludf.DUMMYFUNCTION("""COMPUTED_VALUE"""),"No")</f>
        <v>No</v>
      </c>
      <c r="AI1270" s="8" t="str">
        <f ca="1">IFERROR(__xludf.DUMMYFUNCTION("""COMPUTED_VALUE"""),"No")</f>
        <v>No</v>
      </c>
      <c r="AJ1270" s="8" t="str">
        <f ca="1">IFERROR(__xludf.DUMMYFUNCTION("""COMPUTED_VALUE"""),"No")</f>
        <v>No</v>
      </c>
      <c r="AK1270" s="8" t="str">
        <f ca="1">IFERROR(__xludf.DUMMYFUNCTION("""COMPUTED_VALUE"""),"No")</f>
        <v>No</v>
      </c>
      <c r="AL1270" s="8"/>
      <c r="AM1270" s="8" t="str">
        <f ca="1">IFERROR(__xludf.DUMMYFUNCTION("""COMPUTED_VALUE"""),"No")</f>
        <v>No</v>
      </c>
      <c r="AN1270" s="8"/>
      <c r="AO1270" s="8" t="str">
        <f ca="1">IFERROR(__xludf.DUMMYFUNCTION("""COMPUTED_VALUE"""),"No")</f>
        <v>No</v>
      </c>
      <c r="AP1270" s="8" t="str">
        <f ca="1">IFERROR(__xludf.DUMMYFUNCTION("""COMPUTED_VALUE"""),"No")</f>
        <v>No</v>
      </c>
      <c r="AQ1270" s="8"/>
      <c r="AR1270" s="8" t="str">
        <f ca="1">IFERROR(__xludf.DUMMYFUNCTION("""COMPUTED_VALUE"""),"Failed")</f>
        <v>Failed</v>
      </c>
      <c r="AS1270" s="8">
        <f ca="1">IFERROR(__xludf.DUMMYFUNCTION("""COMPUTED_VALUE"""),5)</f>
        <v>5</v>
      </c>
      <c r="AT1270" s="8" t="str">
        <f ca="1">IFERROR(__xludf.DUMMYFUNCTION("""COMPUTED_VALUE"""),"Yes")</f>
        <v>Yes</v>
      </c>
      <c r="AU1270" s="8">
        <f ca="1">IFERROR(__xludf.DUMMYFUNCTION("""COMPUTED_VALUE"""),37.005893)</f>
        <v>37.005893</v>
      </c>
      <c r="AV1270" s="8">
        <f ca="1">IFERROR(__xludf.DUMMYFUNCTION("""COMPUTED_VALUE"""),-76.427225)</f>
        <v>-76.427225000000007</v>
      </c>
      <c r="AW1270" s="8"/>
      <c r="AX1270" s="8">
        <f ca="1">IFERROR(__xludf.DUMMYFUNCTION("""COMPUTED_VALUE"""),23605)</f>
        <v>23605</v>
      </c>
    </row>
    <row r="1271" spans="1:50" ht="45" x14ac:dyDescent="0.2">
      <c r="A1271" s="8" t="str">
        <f ca="1">IFERROR(__xludf.DUMMYFUNCTION("""COMPUTED_VALUE"""),"20210920OHEAC")</f>
        <v>20210920OHEAC</v>
      </c>
      <c r="B1271" s="8">
        <f ca="1">IFERROR(__xludf.DUMMYFUNCTION("""COMPUTED_VALUE"""),9)</f>
        <v>9</v>
      </c>
      <c r="C1271" s="8">
        <f ca="1">IFERROR(__xludf.DUMMYFUNCTION("""COMPUTED_VALUE"""),20)</f>
        <v>20</v>
      </c>
      <c r="D1271" s="8">
        <f ca="1">IFERROR(__xludf.DUMMYFUNCTION("""COMPUTED_VALUE"""),2021)</f>
        <v>2021</v>
      </c>
      <c r="E1271" s="9">
        <f ca="1">IFERROR(__xludf.DUMMYFUNCTION("""COMPUTED_VALUE"""),44459)</f>
        <v>44459</v>
      </c>
      <c r="F1271" s="8" t="str">
        <f ca="1">IFERROR(__xludf.DUMMYFUNCTION("""COMPUTED_VALUE"""),"Eastside Arts Academy")</f>
        <v>Eastside Arts Academy</v>
      </c>
      <c r="G1271" s="8">
        <f ca="1">IFERROR(__xludf.DUMMYFUNCTION("""COMPUTED_VALUE"""),0)</f>
        <v>0</v>
      </c>
      <c r="H1271" s="8">
        <f ca="1">IFERROR(__xludf.DUMMYFUNCTION("""COMPUTED_VALUE"""),3)</f>
        <v>3</v>
      </c>
      <c r="I1271" s="8">
        <f ca="1">IFERROR(__xludf.DUMMYFUNCTION("""COMPUTED_VALUE"""),3)</f>
        <v>3</v>
      </c>
      <c r="J1271" s="8">
        <f ca="1">IFERROR(__xludf.DUMMYFUNCTION("""COMPUTED_VALUE"""),0)</f>
        <v>0</v>
      </c>
      <c r="K1271" s="10" t="str">
        <f ca="1">IFERROR(__xludf.DUMMYFUNCTION("""COMPUTED_VALUE"""),"https://www.news5cleveland.com/news/local-news/cleveland-metro/teens-shot-near-k-6-school-in-clevelands-broadway-slavic-village-neighborhood")</f>
        <v>https://www.news5cleveland.com/news/local-news/cleveland-metro/teens-shot-near-k-6-school-in-clevelands-broadway-slavic-village-neighborhood</v>
      </c>
      <c r="L1271" s="8">
        <f ca="1">IFERROR(__xludf.DUMMYFUNCTION("""COMPUTED_VALUE"""),1)</f>
        <v>1</v>
      </c>
      <c r="M1271" s="8" t="str">
        <f ca="1">IFERROR(__xludf.DUMMYFUNCTION("""COMPUTED_VALUE"""),"Local")</f>
        <v>Local</v>
      </c>
      <c r="N1271" s="8">
        <f ca="1">IFERROR(__xludf.DUMMYFUNCTION("""COMPUTED_VALUE"""),3)</f>
        <v>3</v>
      </c>
      <c r="O1271" s="8" t="str">
        <f ca="1">IFERROR(__xludf.DUMMYFUNCTION("""COMPUTED_VALUE"""),"Fall")</f>
        <v>Fall</v>
      </c>
      <c r="P1271" s="8" t="str">
        <f ca="1">IFERROR(__xludf.DUMMYFUNCTION("""COMPUTED_VALUE"""),"Cleveland")</f>
        <v>Cleveland</v>
      </c>
      <c r="Q1271" s="8" t="str">
        <f ca="1">IFERROR(__xludf.DUMMYFUNCTION("""COMPUTED_VALUE"""),"OH")</f>
        <v>OH</v>
      </c>
      <c r="R1271" s="8" t="str">
        <f ca="1">IFERROR(__xludf.DUMMYFUNCTION("""COMPUTED_VALUE"""),"Elementary")</f>
        <v>Elementary</v>
      </c>
      <c r="S1271" s="8" t="str">
        <f ca="1">IFERROR(__xludf.DUMMYFUNCTION("""COMPUTED_VALUE"""),"Playground")</f>
        <v>Playground</v>
      </c>
      <c r="T1271" s="8" t="str">
        <f ca="1">IFERROR(__xludf.DUMMYFUNCTION("""COMPUTED_VALUE"""),"Outside on School Property")</f>
        <v>Outside on School Property</v>
      </c>
      <c r="U1271" s="8" t="str">
        <f ca="1">IFERROR(__xludf.DUMMYFUNCTION("""COMPUTED_VALUE"""),"No")</f>
        <v>No</v>
      </c>
      <c r="V1271" s="8" t="str">
        <f ca="1">IFERROR(__xludf.DUMMYFUNCTION("""COMPUTED_VALUE"""),"Evening")</f>
        <v>Evening</v>
      </c>
      <c r="W1271" s="11">
        <f ca="1">IFERROR(__xludf.DUMMYFUNCTION("""COMPUTED_VALUE"""),0.751388888888888)</f>
        <v>0.751388888888888</v>
      </c>
      <c r="X1271" s="8">
        <f ca="1">IFERROR(__xludf.DUMMYFUNCTION("""COMPUTED_VALUE"""),1)</f>
        <v>1</v>
      </c>
      <c r="Y1271" s="12" t="str">
        <f ca="1">IFERROR(__xludf.DUMMYFUNCTION("""COMPUTED_VALUE"""),"Three teens shot on the school playground")</f>
        <v>Three teens shot on the school playground</v>
      </c>
      <c r="Z1271" s="12" t="str">
        <f ca="1">IFERROR(__xludf.DUMMYFUNCTION("""COMPUTED_VALUE"""),"Three male teens (14, 15, and 19) shot on the playground of the school. Two male shooters fled the scene.")</f>
        <v>Three male teens (14, 15, and 19) shot on the playground of the school. Two male shooters fled the scene.</v>
      </c>
      <c r="AA1271" s="8"/>
      <c r="AB1271" s="8"/>
      <c r="AC1271" s="8" t="str">
        <f ca="1">IFERROR(__xludf.DUMMYFUNCTION("""COMPUTED_VALUE"""),"Yes")</f>
        <v>Yes</v>
      </c>
      <c r="AD1271" s="8"/>
      <c r="AE1271" s="8" t="str">
        <f ca="1">IFERROR(__xludf.DUMMYFUNCTION("""COMPUTED_VALUE"""),"Yes")</f>
        <v>Yes</v>
      </c>
      <c r="AF1271" s="8" t="str">
        <f ca="1">IFERROR(__xludf.DUMMYFUNCTION("""COMPUTED_VALUE"""),"Two shooters")</f>
        <v>Two shooters</v>
      </c>
      <c r="AG1271" s="8" t="str">
        <f ca="1">IFERROR(__xludf.DUMMYFUNCTION("""COMPUTED_VALUE"""),"No")</f>
        <v>No</v>
      </c>
      <c r="AH1271" s="8" t="str">
        <f ca="1">IFERROR(__xludf.DUMMYFUNCTION("""COMPUTED_VALUE"""),"No")</f>
        <v>No</v>
      </c>
      <c r="AI1271" s="8" t="str">
        <f ca="1">IFERROR(__xludf.DUMMYFUNCTION("""COMPUTED_VALUE"""),"No")</f>
        <v>No</v>
      </c>
      <c r="AJ1271" s="8" t="str">
        <f ca="1">IFERROR(__xludf.DUMMYFUNCTION("""COMPUTED_VALUE"""),"No")</f>
        <v>No</v>
      </c>
      <c r="AK1271" s="8" t="str">
        <f ca="1">IFERROR(__xludf.DUMMYFUNCTION("""COMPUTED_VALUE"""),"No")</f>
        <v>No</v>
      </c>
      <c r="AL1271" s="8"/>
      <c r="AM1271" s="8" t="str">
        <f ca="1">IFERROR(__xludf.DUMMYFUNCTION("""COMPUTED_VALUE"""),"No")</f>
        <v>No</v>
      </c>
      <c r="AN1271" s="8"/>
      <c r="AO1271" s="8" t="str">
        <f ca="1">IFERROR(__xludf.DUMMYFUNCTION("""COMPUTED_VALUE"""),"No")</f>
        <v>No</v>
      </c>
      <c r="AP1271" s="8" t="str">
        <f ca="1">IFERROR(__xludf.DUMMYFUNCTION("""COMPUTED_VALUE"""),"No")</f>
        <v>No</v>
      </c>
      <c r="AQ1271" s="8"/>
      <c r="AR1271" s="8" t="str">
        <f ca="1">IFERROR(__xludf.DUMMYFUNCTION("""COMPUTED_VALUE"""),"Outside/Off-Property")</f>
        <v>Outside/Off-Property</v>
      </c>
      <c r="AS1271" s="8"/>
      <c r="AT1271" s="8"/>
      <c r="AU1271" s="8">
        <f ca="1">IFERROR(__xludf.DUMMYFUNCTION("""COMPUTED_VALUE"""),41.451922)</f>
        <v>41.451922000000003</v>
      </c>
      <c r="AV1271" s="8">
        <f ca="1">IFERROR(__xludf.DUMMYFUNCTION("""COMPUTED_VALUE"""),-81.642654)</f>
        <v>-81.642653999999993</v>
      </c>
      <c r="AW1271" s="8"/>
      <c r="AX1271" s="8">
        <f ca="1">IFERROR(__xludf.DUMMYFUNCTION("""COMPUTED_VALUE"""),44105)</f>
        <v>44105</v>
      </c>
    </row>
    <row r="1272" spans="1:50" ht="60" x14ac:dyDescent="0.2">
      <c r="A1272" s="8" t="str">
        <f ca="1">IFERROR(__xludf.DUMMYFUNCTION("""COMPUTED_VALUE"""),"20210918COWIC")</f>
        <v>20210918COWIC</v>
      </c>
      <c r="B1272" s="8">
        <f ca="1">IFERROR(__xludf.DUMMYFUNCTION("""COMPUTED_VALUE"""),9)</f>
        <v>9</v>
      </c>
      <c r="C1272" s="8">
        <f ca="1">IFERROR(__xludf.DUMMYFUNCTION("""COMPUTED_VALUE"""),18)</f>
        <v>18</v>
      </c>
      <c r="D1272" s="8">
        <f ca="1">IFERROR(__xludf.DUMMYFUNCTION("""COMPUTED_VALUE"""),2021)</f>
        <v>2021</v>
      </c>
      <c r="E1272" s="9">
        <f ca="1">IFERROR(__xludf.DUMMYFUNCTION("""COMPUTED_VALUE"""),44457)</f>
        <v>44457</v>
      </c>
      <c r="F1272" s="8" t="str">
        <f ca="1">IFERROR(__xludf.DUMMYFUNCTION("""COMPUTED_VALUE"""),"Widefield High School")</f>
        <v>Widefield High School</v>
      </c>
      <c r="G1272" s="8">
        <f ca="1">IFERROR(__xludf.DUMMYFUNCTION("""COMPUTED_VALUE"""),0)</f>
        <v>0</v>
      </c>
      <c r="H1272" s="8">
        <f ca="1">IFERROR(__xludf.DUMMYFUNCTION("""COMPUTED_VALUE"""),3)</f>
        <v>3</v>
      </c>
      <c r="I1272" s="8">
        <f ca="1">IFERROR(__xludf.DUMMYFUNCTION("""COMPUTED_VALUE"""),3)</f>
        <v>3</v>
      </c>
      <c r="J1272" s="8">
        <f ca="1">IFERROR(__xludf.DUMMYFUNCTION("""COMPUTED_VALUE"""),0)</f>
        <v>0</v>
      </c>
      <c r="K1272" s="8" t="str">
        <f ca="1">IFERROR(__xludf.DUMMYFUNCTION("""COMPUTED_VALUE"""),"https://gazette.com/news/crime/shooting-reported-near-widefield-high-school/article_e947c64a-18e4-11ec-93c7-f3fbaa5d47b1.html https://www.koaa.com/news/covering-colorado/law-enforcement-investigating-shooting-near-widefield-high-school https://www.kktv.co"&amp;"m/2021/09/19/law-enforcement-respond-shooting-near-widefield-high-school/ https://krdo.com/news/2021/09/18/two-juveniles-shot-near-widefield-high-school-saturday-afternoon/")</f>
        <v>https://gazette.com/news/crime/shooting-reported-near-widefield-high-school/article_e947c64a-18e4-11ec-93c7-f3fbaa5d47b1.html https://www.koaa.com/news/covering-colorado/law-enforcement-investigating-shooting-near-widefield-high-school https://www.kktv.com/2021/09/19/law-enforcement-respond-shooting-near-widefield-high-school/ https://krdo.com/news/2021/09/18/two-juveniles-shot-near-widefield-high-school-saturday-afternoon/</v>
      </c>
      <c r="L1272" s="8">
        <f ca="1">IFERROR(__xludf.DUMMYFUNCTION("""COMPUTED_VALUE"""),10)</f>
        <v>10</v>
      </c>
      <c r="M1272" s="8" t="str">
        <f ca="1">IFERROR(__xludf.DUMMYFUNCTION("""COMPUTED_VALUE"""),"Local")</f>
        <v>Local</v>
      </c>
      <c r="N1272" s="8">
        <f ca="1">IFERROR(__xludf.DUMMYFUNCTION("""COMPUTED_VALUE"""),4)</f>
        <v>4</v>
      </c>
      <c r="O1272" s="8" t="str">
        <f ca="1">IFERROR(__xludf.DUMMYFUNCTION("""COMPUTED_VALUE"""),"Fall")</f>
        <v>Fall</v>
      </c>
      <c r="P1272" s="8" t="str">
        <f ca="1">IFERROR(__xludf.DUMMYFUNCTION("""COMPUTED_VALUE"""),"Colorado Springs")</f>
        <v>Colorado Springs</v>
      </c>
      <c r="Q1272" s="8" t="str">
        <f ca="1">IFERROR(__xludf.DUMMYFUNCTION("""COMPUTED_VALUE"""),"CO")</f>
        <v>CO</v>
      </c>
      <c r="R1272" s="8" t="str">
        <f ca="1">IFERROR(__xludf.DUMMYFUNCTION("""COMPUTED_VALUE"""),"High")</f>
        <v>High</v>
      </c>
      <c r="S1272" s="8" t="str">
        <f ca="1">IFERROR(__xludf.DUMMYFUNCTION("""COMPUTED_VALUE"""),"Parking Lot")</f>
        <v>Parking Lot</v>
      </c>
      <c r="T1272" s="8" t="str">
        <f ca="1">IFERROR(__xludf.DUMMYFUNCTION("""COMPUTED_VALUE"""),"Outside on School Property")</f>
        <v>Outside on School Property</v>
      </c>
      <c r="U1272" s="8" t="str">
        <f ca="1">IFERROR(__xludf.DUMMYFUNCTION("""COMPUTED_VALUE"""),"No")</f>
        <v>No</v>
      </c>
      <c r="V1272" s="8" t="str">
        <f ca="1">IFERROR(__xludf.DUMMYFUNCTION("""COMPUTED_VALUE"""),"Sport Event")</f>
        <v>Sport Event</v>
      </c>
      <c r="W1272" s="11">
        <f ca="1">IFERROR(__xludf.DUMMYFUNCTION("""COMPUTED_VALUE"""),0.68125)</f>
        <v>0.68125000000000002</v>
      </c>
      <c r="X1272" s="8">
        <f ca="1">IFERROR(__xludf.DUMMYFUNCTION("""COMPUTED_VALUE"""),1)</f>
        <v>1</v>
      </c>
      <c r="Y1272" s="12" t="str">
        <f ca="1">IFERROR(__xludf.DUMMYFUNCTION("""COMPUTED_VALUE"""),"2 teens and 1 adult shot in the parking lot at the end of a football game")</f>
        <v>2 teens and 1 adult shot in the parking lot at the end of a football game</v>
      </c>
      <c r="Z1272" s="12" t="str">
        <f ca="1">IFERROR(__xludf.DUMMYFUNCTION("""COMPUTED_VALUE"""),"Two teens and one adult were shot in the parking lot of the high school at the end of a football game. Motive unknown. Shooter fled.")</f>
        <v>Two teens and one adult were shot in the parking lot of the high school at the end of a football game. Motive unknown. Shooter fled.</v>
      </c>
      <c r="AA1272" s="8"/>
      <c r="AB1272" s="8"/>
      <c r="AC1272" s="8" t="str">
        <f ca="1">IFERROR(__xludf.DUMMYFUNCTION("""COMPUTED_VALUE"""),"Yes")</f>
        <v>Yes</v>
      </c>
      <c r="AD1272" s="8" t="str">
        <f ca="1">IFERROR(__xludf.DUMMYFUNCTION("""COMPUTED_VALUE"""),"Both")</f>
        <v>Both</v>
      </c>
      <c r="AE1272" s="8" t="str">
        <f ca="1">IFERROR(__xludf.DUMMYFUNCTION("""COMPUTED_VALUE"""),"No")</f>
        <v>No</v>
      </c>
      <c r="AF1272" s="8"/>
      <c r="AG1272" s="8" t="str">
        <f ca="1">IFERROR(__xludf.DUMMYFUNCTION("""COMPUTED_VALUE"""),"No")</f>
        <v>No</v>
      </c>
      <c r="AH1272" s="8" t="str">
        <f ca="1">IFERROR(__xludf.DUMMYFUNCTION("""COMPUTED_VALUE"""),"No")</f>
        <v>No</v>
      </c>
      <c r="AI1272" s="8" t="str">
        <f ca="1">IFERROR(__xludf.DUMMYFUNCTION("""COMPUTED_VALUE"""),"No")</f>
        <v>No</v>
      </c>
      <c r="AJ1272" s="8" t="str">
        <f ca="1">IFERROR(__xludf.DUMMYFUNCTION("""COMPUTED_VALUE"""),"No")</f>
        <v>No</v>
      </c>
      <c r="AK1272" s="8" t="str">
        <f ca="1">IFERROR(__xludf.DUMMYFUNCTION("""COMPUTED_VALUE"""),"No")</f>
        <v>No</v>
      </c>
      <c r="AL1272" s="8"/>
      <c r="AM1272" s="8" t="str">
        <f ca="1">IFERROR(__xludf.DUMMYFUNCTION("""COMPUTED_VALUE"""),"No")</f>
        <v>No</v>
      </c>
      <c r="AN1272" s="8"/>
      <c r="AO1272" s="8" t="str">
        <f ca="1">IFERROR(__xludf.DUMMYFUNCTION("""COMPUTED_VALUE"""),"No")</f>
        <v>No</v>
      </c>
      <c r="AP1272" s="8" t="str">
        <f ca="1">IFERROR(__xludf.DUMMYFUNCTION("""COMPUTED_VALUE"""),"No")</f>
        <v>No</v>
      </c>
      <c r="AQ1272" s="8"/>
      <c r="AR1272" s="8" t="str">
        <f ca="1">IFERROR(__xludf.DUMMYFUNCTION("""COMPUTED_VALUE"""),"Outside/Off-Property")</f>
        <v>Outside/Off-Property</v>
      </c>
      <c r="AS1272" s="8"/>
      <c r="AT1272" s="8"/>
      <c r="AU1272" s="8">
        <f ca="1">IFERROR(__xludf.DUMMYFUNCTION("""COMPUTED_VALUE"""),38.754623)</f>
        <v>38.754623000000002</v>
      </c>
      <c r="AV1272" s="8">
        <f ca="1">IFERROR(__xludf.DUMMYFUNCTION("""COMPUTED_VALUE"""),-104.735167)</f>
        <v>-104.735167</v>
      </c>
      <c r="AW1272" s="8"/>
      <c r="AX1272" s="8">
        <f ca="1">IFERROR(__xludf.DUMMYFUNCTION("""COMPUTED_VALUE"""),80911)</f>
        <v>80911</v>
      </c>
    </row>
    <row r="1273" spans="1:50" ht="60" x14ac:dyDescent="0.2">
      <c r="A1273" s="8" t="str">
        <f ca="1">IFERROR(__xludf.DUMMYFUNCTION("""COMPUTED_VALUE"""),"20210917VAHEH")</f>
        <v>20210917VAHEH</v>
      </c>
      <c r="B1273" s="8">
        <f ca="1">IFERROR(__xludf.DUMMYFUNCTION("""COMPUTED_VALUE"""),9)</f>
        <v>9</v>
      </c>
      <c r="C1273" s="8">
        <f ca="1">IFERROR(__xludf.DUMMYFUNCTION("""COMPUTED_VALUE"""),17)</f>
        <v>17</v>
      </c>
      <c r="D1273" s="8">
        <f ca="1">IFERROR(__xludf.DUMMYFUNCTION("""COMPUTED_VALUE"""),2021)</f>
        <v>2021</v>
      </c>
      <c r="E1273" s="9">
        <f ca="1">IFERROR(__xludf.DUMMYFUNCTION("""COMPUTED_VALUE"""),44456)</f>
        <v>44456</v>
      </c>
      <c r="F1273" s="8" t="str">
        <f ca="1">IFERROR(__xludf.DUMMYFUNCTION("""COMPUTED_VALUE"""),"Hermitage High School")</f>
        <v>Hermitage High School</v>
      </c>
      <c r="G1273" s="8">
        <f ca="1">IFERROR(__xludf.DUMMYFUNCTION("""COMPUTED_VALUE"""),0)</f>
        <v>0</v>
      </c>
      <c r="H1273" s="8">
        <f ca="1">IFERROR(__xludf.DUMMYFUNCTION("""COMPUTED_VALUE"""),0)</f>
        <v>0</v>
      </c>
      <c r="I1273" s="8">
        <f ca="1">IFERROR(__xludf.DUMMYFUNCTION("""COMPUTED_VALUE"""),0)</f>
        <v>0</v>
      </c>
      <c r="J1273" s="8">
        <f ca="1">IFERROR(__xludf.DUMMYFUNCTION("""COMPUTED_VALUE"""),0)</f>
        <v>0</v>
      </c>
      <c r="K1273" s="8" t="str">
        <f ca="1">IFERROR(__xludf.DUMMYFUNCTION("""COMPUTED_VALUE"""),"https://www.wric.com/news/crime/shots-fired-in-area-adjacent-to-hermitage-high-school-moments-after-football-game/ https://www.wtvr.com/news/local-news/shots-fired-near-hermitage-game")</f>
        <v>https://www.wric.com/news/crime/shots-fired-in-area-adjacent-to-hermitage-high-school-moments-after-football-game/ https://www.wtvr.com/news/local-news/shots-fired-near-hermitage-game</v>
      </c>
      <c r="L1273" s="8">
        <f ca="1">IFERROR(__xludf.DUMMYFUNCTION("""COMPUTED_VALUE"""),2)</f>
        <v>2</v>
      </c>
      <c r="M1273" s="8" t="str">
        <f ca="1">IFERROR(__xludf.DUMMYFUNCTION("""COMPUTED_VALUE"""),"Local")</f>
        <v>Local</v>
      </c>
      <c r="N1273" s="8">
        <f ca="1">IFERROR(__xludf.DUMMYFUNCTION("""COMPUTED_VALUE"""),3)</f>
        <v>3</v>
      </c>
      <c r="O1273" s="8" t="str">
        <f ca="1">IFERROR(__xludf.DUMMYFUNCTION("""COMPUTED_VALUE"""),"Fall")</f>
        <v>Fall</v>
      </c>
      <c r="P1273" s="8" t="str">
        <f ca="1">IFERROR(__xludf.DUMMYFUNCTION("""COMPUTED_VALUE"""),"Henrico")</f>
        <v>Henrico</v>
      </c>
      <c r="Q1273" s="8" t="str">
        <f ca="1">IFERROR(__xludf.DUMMYFUNCTION("""COMPUTED_VALUE"""),"VA")</f>
        <v>VA</v>
      </c>
      <c r="R1273" s="8" t="str">
        <f ca="1">IFERROR(__xludf.DUMMYFUNCTION("""COMPUTED_VALUE"""),"High")</f>
        <v>High</v>
      </c>
      <c r="S1273" s="8" t="str">
        <f ca="1">IFERROR(__xludf.DUMMYFUNCTION("""COMPUTED_VALUE"""),"Parking Lot")</f>
        <v>Parking Lot</v>
      </c>
      <c r="T1273" s="8" t="str">
        <f ca="1">IFERROR(__xludf.DUMMYFUNCTION("""COMPUTED_VALUE"""),"Outside on School Property")</f>
        <v>Outside on School Property</v>
      </c>
      <c r="U1273" s="8" t="str">
        <f ca="1">IFERROR(__xludf.DUMMYFUNCTION("""COMPUTED_VALUE"""),"No")</f>
        <v>No</v>
      </c>
      <c r="V1273" s="8" t="str">
        <f ca="1">IFERROR(__xludf.DUMMYFUNCTION("""COMPUTED_VALUE"""),"Sport Event")</f>
        <v>Sport Event</v>
      </c>
      <c r="W1273" s="11">
        <f ca="1">IFERROR(__xludf.DUMMYFUNCTION("""COMPUTED_VALUE"""),0.958333333333333)</f>
        <v>0.95833333333333304</v>
      </c>
      <c r="X1273" s="8">
        <f ca="1">IFERROR(__xludf.DUMMYFUNCTION("""COMPUTED_VALUE"""),1)</f>
        <v>1</v>
      </c>
      <c r="Y1273" s="12" t="str">
        <f ca="1">IFERROR(__xludf.DUMMYFUNCTION("""COMPUTED_VALUE"""),"Shots fired during a fight in the parking lot following football game")</f>
        <v>Shots fired during a fight in the parking lot following football game</v>
      </c>
      <c r="Z1273" s="12" t="str">
        <f ca="1">IFERROR(__xludf.DUMMYFUNCTION("""COMPUTED_VALUE"""),"Shots were fired during a fight in the parking lot following the football game. Police were already in the area trying to clear the remaining attendees out of the parking lot. No injuries. Shooter fled the scene.")</f>
        <v>Shots were fired during a fight in the parking lot following the football game. Police were already in the area trying to clear the remaining attendees out of the parking lot. No injuries. Shooter fled the scene.</v>
      </c>
      <c r="AA1273" s="8" t="str">
        <f ca="1">IFERROR(__xludf.DUMMYFUNCTION("""COMPUTED_VALUE"""),"Escalation of Dispute")</f>
        <v>Escalation of Dispute</v>
      </c>
      <c r="AB1273" s="8"/>
      <c r="AC1273" s="8" t="str">
        <f ca="1">IFERROR(__xludf.DUMMYFUNCTION("""COMPUTED_VALUE"""),"Yes")</f>
        <v>Yes</v>
      </c>
      <c r="AD1273" s="8" t="str">
        <f ca="1">IFERROR(__xludf.DUMMYFUNCTION("""COMPUTED_VALUE"""),"Neither")</f>
        <v>Neither</v>
      </c>
      <c r="AE1273" s="8" t="str">
        <f ca="1">IFERROR(__xludf.DUMMYFUNCTION("""COMPUTED_VALUE"""),"No")</f>
        <v>No</v>
      </c>
      <c r="AF1273" s="8"/>
      <c r="AG1273" s="8" t="str">
        <f ca="1">IFERROR(__xludf.DUMMYFUNCTION("""COMPUTED_VALUE"""),"No")</f>
        <v>No</v>
      </c>
      <c r="AH1273" s="8" t="str">
        <f ca="1">IFERROR(__xludf.DUMMYFUNCTION("""COMPUTED_VALUE"""),"No")</f>
        <v>No</v>
      </c>
      <c r="AI1273" s="8" t="str">
        <f ca="1">IFERROR(__xludf.DUMMYFUNCTION("""COMPUTED_VALUE"""),"No")</f>
        <v>No</v>
      </c>
      <c r="AJ1273" s="8" t="str">
        <f ca="1">IFERROR(__xludf.DUMMYFUNCTION("""COMPUTED_VALUE"""),"No")</f>
        <v>No</v>
      </c>
      <c r="AK1273" s="8" t="str">
        <f ca="1">IFERROR(__xludf.DUMMYFUNCTION("""COMPUTED_VALUE"""),"No")</f>
        <v>No</v>
      </c>
      <c r="AL1273" s="8" t="str">
        <f ca="1">IFERROR(__xludf.DUMMYFUNCTION("""COMPUTED_VALUE"""),"No")</f>
        <v>No</v>
      </c>
      <c r="AM1273" s="8" t="str">
        <f ca="1">IFERROR(__xludf.DUMMYFUNCTION("""COMPUTED_VALUE"""),"No")</f>
        <v>No</v>
      </c>
      <c r="AN1273" s="8"/>
      <c r="AO1273" s="8" t="str">
        <f ca="1">IFERROR(__xludf.DUMMYFUNCTION("""COMPUTED_VALUE"""),"No")</f>
        <v>No</v>
      </c>
      <c r="AP1273" s="8" t="str">
        <f ca="1">IFERROR(__xludf.DUMMYFUNCTION("""COMPUTED_VALUE"""),"Yes")</f>
        <v>Yes</v>
      </c>
      <c r="AQ1273" s="8"/>
      <c r="AR1273" s="8" t="str">
        <f ca="1">IFERROR(__xludf.DUMMYFUNCTION("""COMPUTED_VALUE"""),"Outside/Off-Property")</f>
        <v>Outside/Off-Property</v>
      </c>
      <c r="AS1273" s="8"/>
      <c r="AT1273" s="8"/>
      <c r="AU1273" s="8">
        <f ca="1">IFERROR(__xludf.DUMMYFUNCTION("""COMPUTED_VALUE"""),37.632745)</f>
        <v>37.632745</v>
      </c>
      <c r="AV1273" s="8">
        <f ca="1">IFERROR(__xludf.DUMMYFUNCTION("""COMPUTED_VALUE"""),-77.516433)</f>
        <v>-77.516433000000006</v>
      </c>
      <c r="AW1273" s="8"/>
      <c r="AX1273" s="8">
        <f ca="1">IFERROR(__xludf.DUMMYFUNCTION("""COMPUTED_VALUE"""),23228)</f>
        <v>23228</v>
      </c>
    </row>
    <row r="1274" spans="1:50" ht="60" x14ac:dyDescent="0.2">
      <c r="A1274" s="8" t="str">
        <f ca="1">IFERROR(__xludf.DUMMYFUNCTION("""COMPUTED_VALUE"""),"20210917TNAUK")</f>
        <v>20210917TNAUK</v>
      </c>
      <c r="B1274" s="8">
        <f ca="1">IFERROR(__xludf.DUMMYFUNCTION("""COMPUTED_VALUE"""),9)</f>
        <v>9</v>
      </c>
      <c r="C1274" s="8">
        <f ca="1">IFERROR(__xludf.DUMMYFUNCTION("""COMPUTED_VALUE"""),17)</f>
        <v>17</v>
      </c>
      <c r="D1274" s="8">
        <f ca="1">IFERROR(__xludf.DUMMYFUNCTION("""COMPUTED_VALUE"""),2021)</f>
        <v>2021</v>
      </c>
      <c r="E1274" s="9">
        <f ca="1">IFERROR(__xludf.DUMMYFUNCTION("""COMPUTED_VALUE"""),44456)</f>
        <v>44456</v>
      </c>
      <c r="F1274" s="8" t="str">
        <f ca="1">IFERROR(__xludf.DUMMYFUNCTION("""COMPUTED_VALUE"""),"Austin-East High School")</f>
        <v>Austin-East High School</v>
      </c>
      <c r="G1274" s="8">
        <f ca="1">IFERROR(__xludf.DUMMYFUNCTION("""COMPUTED_VALUE"""),0)</f>
        <v>0</v>
      </c>
      <c r="H1274" s="8">
        <f ca="1">IFERROR(__xludf.DUMMYFUNCTION("""COMPUTED_VALUE"""),1)</f>
        <v>1</v>
      </c>
      <c r="I1274" s="8">
        <f ca="1">IFERROR(__xludf.DUMMYFUNCTION("""COMPUTED_VALUE"""),1)</f>
        <v>1</v>
      </c>
      <c r="J1274" s="8">
        <f ca="1">IFERROR(__xludf.DUMMYFUNCTION("""COMPUTED_VALUE"""),0)</f>
        <v>0</v>
      </c>
      <c r="K1274" s="8" t="str">
        <f ca="1">IFERROR(__xludf.DUMMYFUNCTION("""COMPUTED_VALUE"""),"https://www.wbir.com/article/news/crime/kpd-one-person-shot-and-taken-to-hospital-during-austin-east-high-school-homecoming-football-game/51-557383aa-ce54-4794-b13b-7b8f12671925 https://www.newsweek.com/one-shot-head-near-high-school-football-game-knoxvil"&amp;"le-tennessee-1630437")</f>
        <v>https://www.wbir.com/article/news/crime/kpd-one-person-shot-and-taken-to-hospital-during-austin-east-high-school-homecoming-football-game/51-557383aa-ce54-4794-b13b-7b8f12671925 https://www.newsweek.com/one-shot-head-near-high-school-football-game-knoxville-tennessee-1630437</v>
      </c>
      <c r="L1274" s="8">
        <f ca="1">IFERROR(__xludf.DUMMYFUNCTION("""COMPUTED_VALUE"""),5)</f>
        <v>5</v>
      </c>
      <c r="M1274" s="8" t="str">
        <f ca="1">IFERROR(__xludf.DUMMYFUNCTION("""COMPUTED_VALUE"""),"National")</f>
        <v>National</v>
      </c>
      <c r="N1274" s="8">
        <f ca="1">IFERROR(__xludf.DUMMYFUNCTION("""COMPUTED_VALUE"""),4)</f>
        <v>4</v>
      </c>
      <c r="O1274" s="8" t="str">
        <f ca="1">IFERROR(__xludf.DUMMYFUNCTION("""COMPUTED_VALUE"""),"Fall")</f>
        <v>Fall</v>
      </c>
      <c r="P1274" s="8" t="str">
        <f ca="1">IFERROR(__xludf.DUMMYFUNCTION("""COMPUTED_VALUE"""),"Knoxville")</f>
        <v>Knoxville</v>
      </c>
      <c r="Q1274" s="8" t="str">
        <f ca="1">IFERROR(__xludf.DUMMYFUNCTION("""COMPUTED_VALUE"""),"TN")</f>
        <v>TN</v>
      </c>
      <c r="R1274" s="8" t="str">
        <f ca="1">IFERROR(__xludf.DUMMYFUNCTION("""COMPUTED_VALUE"""),"High")</f>
        <v>High</v>
      </c>
      <c r="S1274" s="8" t="str">
        <f ca="1">IFERROR(__xludf.DUMMYFUNCTION("""COMPUTED_VALUE"""),"Off School Property")</f>
        <v>Off School Property</v>
      </c>
      <c r="T1274" s="8" t="str">
        <f ca="1">IFERROR(__xludf.DUMMYFUNCTION("""COMPUTED_VALUE"""),"Off School Property")</f>
        <v>Off School Property</v>
      </c>
      <c r="U1274" s="8" t="str">
        <f ca="1">IFERROR(__xludf.DUMMYFUNCTION("""COMPUTED_VALUE"""),"No")</f>
        <v>No</v>
      </c>
      <c r="V1274" s="8" t="str">
        <f ca="1">IFERROR(__xludf.DUMMYFUNCTION("""COMPUTED_VALUE"""),"Sport Event")</f>
        <v>Sport Event</v>
      </c>
      <c r="W1274" s="11">
        <f ca="1">IFERROR(__xludf.DUMMYFUNCTION("""COMPUTED_VALUE"""),0.867361111111111)</f>
        <v>0.86736111111111103</v>
      </c>
      <c r="X1274" s="8">
        <f ca="1">IFERROR(__xludf.DUMMYFUNCTION("""COMPUTED_VALUE"""),1)</f>
        <v>1</v>
      </c>
      <c r="Y1274" s="12" t="str">
        <f ca="1">IFERROR(__xludf.DUMMYFUNCTION("""COMPUTED_VALUE"""),"Teen shot outside football stadium, field cleared")</f>
        <v>Teen shot outside football stadium, field cleared</v>
      </c>
      <c r="Z1274" s="12" t="str">
        <f ca="1">IFERROR(__xludf.DUMMYFUNCTION("""COMPUTED_VALUE"""),"A teen was shot in the head outside of the football stadium during the homecoming football game. Shots were heard inside the stadium and officials cleared the field. Teen was transported to the hospital. Shooter fled the scene.")</f>
        <v>A teen was shot in the head outside of the football stadium during the homecoming football game. Shots were heard inside the stadium and officials cleared the field. Teen was transported to the hospital. Shooter fled the scene.</v>
      </c>
      <c r="AA1274" s="8"/>
      <c r="AB1274" s="8"/>
      <c r="AC1274" s="8" t="str">
        <f ca="1">IFERROR(__xludf.DUMMYFUNCTION("""COMPUTED_VALUE"""),"Yes")</f>
        <v>Yes</v>
      </c>
      <c r="AD1274" s="8"/>
      <c r="AE1274" s="8" t="str">
        <f ca="1">IFERROR(__xludf.DUMMYFUNCTION("""COMPUTED_VALUE"""),"No")</f>
        <v>No</v>
      </c>
      <c r="AF1274" s="8"/>
      <c r="AG1274" s="8" t="str">
        <f ca="1">IFERROR(__xludf.DUMMYFUNCTION("""COMPUTED_VALUE"""),"No")</f>
        <v>No</v>
      </c>
      <c r="AH1274" s="8" t="str">
        <f ca="1">IFERROR(__xludf.DUMMYFUNCTION("""COMPUTED_VALUE"""),"No")</f>
        <v>No</v>
      </c>
      <c r="AI1274" s="8" t="str">
        <f ca="1">IFERROR(__xludf.DUMMYFUNCTION("""COMPUTED_VALUE"""),"No")</f>
        <v>No</v>
      </c>
      <c r="AJ1274" s="8" t="str">
        <f ca="1">IFERROR(__xludf.DUMMYFUNCTION("""COMPUTED_VALUE"""),"No")</f>
        <v>No</v>
      </c>
      <c r="AK1274" s="8" t="str">
        <f ca="1">IFERROR(__xludf.DUMMYFUNCTION("""COMPUTED_VALUE"""),"No")</f>
        <v>No</v>
      </c>
      <c r="AL1274" s="8"/>
      <c r="AM1274" s="8" t="str">
        <f ca="1">IFERROR(__xludf.DUMMYFUNCTION("""COMPUTED_VALUE"""),"No")</f>
        <v>No</v>
      </c>
      <c r="AN1274" s="8"/>
      <c r="AO1274" s="8" t="str">
        <f ca="1">IFERROR(__xludf.DUMMYFUNCTION("""COMPUTED_VALUE"""),"No")</f>
        <v>No</v>
      </c>
      <c r="AP1274" s="8"/>
      <c r="AQ1274" s="8"/>
      <c r="AR1274" s="8" t="str">
        <f ca="1">IFERROR(__xludf.DUMMYFUNCTION("""COMPUTED_VALUE"""),"Outside/Off-Property")</f>
        <v>Outside/Off-Property</v>
      </c>
      <c r="AS1274" s="8"/>
      <c r="AT1274" s="8" t="str">
        <f ca="1">IFERROR(__xludf.DUMMYFUNCTION("""COMPUTED_VALUE"""),"Yes")</f>
        <v>Yes</v>
      </c>
      <c r="AU1274" s="8">
        <f ca="1">IFERROR(__xludf.DUMMYFUNCTION("""COMPUTED_VALUE"""),35.989485)</f>
        <v>35.989485000000002</v>
      </c>
      <c r="AV1274" s="8">
        <f ca="1">IFERROR(__xludf.DUMMYFUNCTION("""COMPUTED_VALUE"""),-83.887784)</f>
        <v>-83.887783999999996</v>
      </c>
      <c r="AW1274" s="8"/>
      <c r="AX1274" s="8">
        <f ca="1">IFERROR(__xludf.DUMMYFUNCTION("""COMPUTED_VALUE"""),37914)</f>
        <v>37914</v>
      </c>
    </row>
    <row r="1275" spans="1:50" ht="90" x14ac:dyDescent="0.2">
      <c r="A1275" s="8" t="str">
        <f ca="1">IFERROR(__xludf.DUMMYFUNCTION("""COMPUTED_VALUE"""),"20210917PAWEP")</f>
        <v>20210917PAWEP</v>
      </c>
      <c r="B1275" s="8">
        <f ca="1">IFERROR(__xludf.DUMMYFUNCTION("""COMPUTED_VALUE"""),9)</f>
        <v>9</v>
      </c>
      <c r="C1275" s="8">
        <f ca="1">IFERROR(__xludf.DUMMYFUNCTION("""COMPUTED_VALUE"""),17)</f>
        <v>17</v>
      </c>
      <c r="D1275" s="8">
        <f ca="1">IFERROR(__xludf.DUMMYFUNCTION("""COMPUTED_VALUE"""),2021)</f>
        <v>2021</v>
      </c>
      <c r="E1275" s="9">
        <f ca="1">IFERROR(__xludf.DUMMYFUNCTION("""COMPUTED_VALUE"""),44456)</f>
        <v>44456</v>
      </c>
      <c r="F1275" s="8" t="str">
        <f ca="1">IFERROR(__xludf.DUMMYFUNCTION("""COMPUTED_VALUE"""),"West Philadelphia High School")</f>
        <v>West Philadelphia High School</v>
      </c>
      <c r="G1275" s="8">
        <f ca="1">IFERROR(__xludf.DUMMYFUNCTION("""COMPUTED_VALUE"""),0)</f>
        <v>0</v>
      </c>
      <c r="H1275" s="8">
        <f ca="1">IFERROR(__xludf.DUMMYFUNCTION("""COMPUTED_VALUE"""),2)</f>
        <v>2</v>
      </c>
      <c r="I1275" s="8">
        <f ca="1">IFERROR(__xludf.DUMMYFUNCTION("""COMPUTED_VALUE"""),2)</f>
        <v>2</v>
      </c>
      <c r="J1275" s="8">
        <f ca="1">IFERROR(__xludf.DUMMYFUNCTION("""COMPUTED_VALUE"""),0)</f>
        <v>0</v>
      </c>
      <c r="K1275" s="8" t="str">
        <f ca="1">IFERROR(__xludf.DUMMYFUNCTION("""COMPUTED_VALUE"""),"https://philadelphia.cbslocal.com/2021/09/19/philadelphia-gun-violence-spruce-street-teenagers-shooting-walnut-hill/ https://6abc.com/shooting-philadelphia-west-philly-police/11029521/")</f>
        <v>https://philadelphia.cbslocal.com/2021/09/19/philadelphia-gun-violence-spruce-street-teenagers-shooting-walnut-hill/ https://6abc.com/shooting-philadelphia-west-philly-police/11029521/</v>
      </c>
      <c r="L1275" s="8">
        <f ca="1">IFERROR(__xludf.DUMMYFUNCTION("""COMPUTED_VALUE"""),3)</f>
        <v>3</v>
      </c>
      <c r="M1275" s="8" t="str">
        <f ca="1">IFERROR(__xludf.DUMMYFUNCTION("""COMPUTED_VALUE"""),"Local")</f>
        <v>Local</v>
      </c>
      <c r="N1275" s="8">
        <f ca="1">IFERROR(__xludf.DUMMYFUNCTION("""COMPUTED_VALUE"""),4)</f>
        <v>4</v>
      </c>
      <c r="O1275" s="8" t="str">
        <f ca="1">IFERROR(__xludf.DUMMYFUNCTION("""COMPUTED_VALUE"""),"Fall")</f>
        <v>Fall</v>
      </c>
      <c r="P1275" s="8" t="str">
        <f ca="1">IFERROR(__xludf.DUMMYFUNCTION("""COMPUTED_VALUE"""),"Philadelphia")</f>
        <v>Philadelphia</v>
      </c>
      <c r="Q1275" s="8" t="str">
        <f ca="1">IFERROR(__xludf.DUMMYFUNCTION("""COMPUTED_VALUE"""),"PA")</f>
        <v>PA</v>
      </c>
      <c r="R1275" s="8" t="str">
        <f ca="1">IFERROR(__xludf.DUMMYFUNCTION("""COMPUTED_VALUE"""),"High")</f>
        <v>High</v>
      </c>
      <c r="S1275" s="8" t="str">
        <f ca="1">IFERROR(__xludf.DUMMYFUNCTION("""COMPUTED_VALUE"""),"Football Field/Track")</f>
        <v>Football Field/Track</v>
      </c>
      <c r="T1275" s="8" t="str">
        <f ca="1">IFERROR(__xludf.DUMMYFUNCTION("""COMPUTED_VALUE"""),"Outside on School Property")</f>
        <v>Outside on School Property</v>
      </c>
      <c r="U1275" s="8" t="str">
        <f ca="1">IFERROR(__xludf.DUMMYFUNCTION("""COMPUTED_VALUE"""),"No")</f>
        <v>No</v>
      </c>
      <c r="V1275" s="8" t="str">
        <f ca="1">IFERROR(__xludf.DUMMYFUNCTION("""COMPUTED_VALUE"""),"Sport Event")</f>
        <v>Sport Event</v>
      </c>
      <c r="W1275" s="11">
        <f ca="1">IFERROR(__xludf.DUMMYFUNCTION("""COMPUTED_VALUE"""),0.833333333333333)</f>
        <v>0.83333333333333304</v>
      </c>
      <c r="X1275" s="8">
        <f ca="1">IFERROR(__xludf.DUMMYFUNCTION("""COMPUTED_VALUE"""),1)</f>
        <v>1</v>
      </c>
      <c r="Y1275" s="12" t="str">
        <f ca="1">IFERROR(__xludf.DUMMYFUNCTION("""COMPUTED_VALUE"""),"20 shots fired during football game, teens involved ran across the field")</f>
        <v>20 shots fired during football game, teens involved ran across the field</v>
      </c>
      <c r="Z1275" s="12" t="str">
        <f ca="1">IFERROR(__xludf.DUMMYFUNCTION("""COMPUTED_VALUE"""),"20 shots were fired during the Central High School and West Philadelphia High School football game. Teens involved in the shooting jumped the fences and ran across the field. The remainder of the game was cancelled. a 14-year-old and 16-year-old were woun"&amp;"ded. Officers assigned to the game heard the shots and immediately responded.")</f>
        <v>20 shots were fired during the Central High School and West Philadelphia High School football game. Teens involved in the shooting jumped the fences and ran across the field. The remainder of the game was cancelled. a 14-year-old and 16-year-old were wounded. Officers assigned to the game heard the shots and immediately responded.</v>
      </c>
      <c r="AA1275" s="8" t="str">
        <f ca="1">IFERROR(__xludf.DUMMYFUNCTION("""COMPUTED_VALUE"""),"Escalation of Dispute")</f>
        <v>Escalation of Dispute</v>
      </c>
      <c r="AB1275" s="8"/>
      <c r="AC1275" s="8" t="str">
        <f ca="1">IFERROR(__xludf.DUMMYFUNCTION("""COMPUTED_VALUE"""),"Yes")</f>
        <v>Yes</v>
      </c>
      <c r="AD1275" s="8"/>
      <c r="AE1275" s="8" t="str">
        <f ca="1">IFERROR(__xludf.DUMMYFUNCTION("""COMPUTED_VALUE"""),"No")</f>
        <v>No</v>
      </c>
      <c r="AF1275" s="8"/>
      <c r="AG1275" s="8" t="str">
        <f ca="1">IFERROR(__xludf.DUMMYFUNCTION("""COMPUTED_VALUE"""),"No")</f>
        <v>No</v>
      </c>
      <c r="AH1275" s="8" t="str">
        <f ca="1">IFERROR(__xludf.DUMMYFUNCTION("""COMPUTED_VALUE"""),"No")</f>
        <v>No</v>
      </c>
      <c r="AI1275" s="8" t="str">
        <f ca="1">IFERROR(__xludf.DUMMYFUNCTION("""COMPUTED_VALUE"""),"No")</f>
        <v>No</v>
      </c>
      <c r="AJ1275" s="8" t="str">
        <f ca="1">IFERROR(__xludf.DUMMYFUNCTION("""COMPUTED_VALUE"""),"No")</f>
        <v>No</v>
      </c>
      <c r="AK1275" s="8" t="str">
        <f ca="1">IFERROR(__xludf.DUMMYFUNCTION("""COMPUTED_VALUE"""),"No")</f>
        <v>No</v>
      </c>
      <c r="AL1275" s="8"/>
      <c r="AM1275" s="8" t="str">
        <f ca="1">IFERROR(__xludf.DUMMYFUNCTION("""COMPUTED_VALUE"""),"No")</f>
        <v>No</v>
      </c>
      <c r="AN1275" s="8"/>
      <c r="AO1275" s="8" t="str">
        <f ca="1">IFERROR(__xludf.DUMMYFUNCTION("""COMPUTED_VALUE"""),"No")</f>
        <v>No</v>
      </c>
      <c r="AP1275" s="8" t="str">
        <f ca="1">IFERROR(__xludf.DUMMYFUNCTION("""COMPUTED_VALUE"""),"Yes")</f>
        <v>Yes</v>
      </c>
      <c r="AQ1275" s="8"/>
      <c r="AR1275" s="8" t="str">
        <f ca="1">IFERROR(__xludf.DUMMYFUNCTION("""COMPUTED_VALUE"""),"Outside/Off-Property")</f>
        <v>Outside/Off-Property</v>
      </c>
      <c r="AS1275" s="8">
        <f ca="1">IFERROR(__xludf.DUMMYFUNCTION("""COMPUTED_VALUE"""),20)</f>
        <v>20</v>
      </c>
      <c r="AT1275" s="8"/>
      <c r="AU1275" s="8">
        <f ca="1">IFERROR(__xludf.DUMMYFUNCTION("""COMPUTED_VALUE"""),39.95821)</f>
        <v>39.958210000000001</v>
      </c>
      <c r="AV1275" s="8">
        <f ca="1">IFERROR(__xludf.DUMMYFUNCTION("""COMPUTED_VALUE"""),-75.21918)</f>
        <v>-75.219179999999994</v>
      </c>
      <c r="AW1275" s="8"/>
      <c r="AX1275" s="8" t="str">
        <f ca="1">IFERROR(__xludf.DUMMYFUNCTION("""COMPUTED_VALUE"""),"19139-3513")</f>
        <v>19139-3513</v>
      </c>
    </row>
    <row r="1276" spans="1:50" ht="60" x14ac:dyDescent="0.2">
      <c r="A1276" s="8" t="str">
        <f ca="1">IFERROR(__xludf.DUMMYFUNCTION("""COMPUTED_VALUE"""),"20210917NCPAW")</f>
        <v>20210917NCPAW</v>
      </c>
      <c r="B1276" s="8">
        <f ca="1">IFERROR(__xludf.DUMMYFUNCTION("""COMPUTED_VALUE"""),9)</f>
        <v>9</v>
      </c>
      <c r="C1276" s="8">
        <f ca="1">IFERROR(__xludf.DUMMYFUNCTION("""COMPUTED_VALUE"""),17)</f>
        <v>17</v>
      </c>
      <c r="D1276" s="8">
        <f ca="1">IFERROR(__xludf.DUMMYFUNCTION("""COMPUTED_VALUE"""),2021)</f>
        <v>2021</v>
      </c>
      <c r="E1276" s="9">
        <f ca="1">IFERROR(__xludf.DUMMYFUNCTION("""COMPUTED_VALUE"""),44456)</f>
        <v>44456</v>
      </c>
      <c r="F1276" s="8" t="str">
        <f ca="1">IFERROR(__xludf.DUMMYFUNCTION("""COMPUTED_VALUE"""),"Parkland High School")</f>
        <v>Parkland High School</v>
      </c>
      <c r="G1276" s="8">
        <f ca="1">IFERROR(__xludf.DUMMYFUNCTION("""COMPUTED_VALUE"""),0)</f>
        <v>0</v>
      </c>
      <c r="H1276" s="8">
        <f ca="1">IFERROR(__xludf.DUMMYFUNCTION("""COMPUTED_VALUE"""),0)</f>
        <v>0</v>
      </c>
      <c r="I1276" s="8">
        <f ca="1">IFERROR(__xludf.DUMMYFUNCTION("""COMPUTED_VALUE"""),0)</f>
        <v>0</v>
      </c>
      <c r="J1276" s="8">
        <f ca="1">IFERROR(__xludf.DUMMYFUNCTION("""COMPUTED_VALUE"""),0)</f>
        <v>0</v>
      </c>
      <c r="K1276" s="8" t="str">
        <f ca="1">IFERROR(__xludf.DUMMYFUNCTION("""COMPUTED_VALUE"""),"https://journalnow.com/news/local/crime-and-courts/police-respond-to-report-of-shots-fired-at-parkland-high-school-in-winston-salem/article_0fc90d20-17f4-11ec-97fb-6f678d3492db.html https://myfox8.com/news/north-carolina/piedmont-triad/parkland-high-schoo"&amp;"l-on-lockdown-as-police-investigate-in-area/ https://www.wect.com/2021/09/17/gunman-opens-fire-toward-students-winston-salem-high-school/")</f>
        <v>https://journalnow.com/news/local/crime-and-courts/police-respond-to-report-of-shots-fired-at-parkland-high-school-in-winston-salem/article_0fc90d20-17f4-11ec-97fb-6f678d3492db.html https://myfox8.com/news/north-carolina/piedmont-triad/parkland-high-school-on-lockdown-as-police-investigate-in-area/ https://www.wect.com/2021/09/17/gunman-opens-fire-toward-students-winston-salem-high-school/</v>
      </c>
      <c r="L1276" s="8">
        <f ca="1">IFERROR(__xludf.DUMMYFUNCTION("""COMPUTED_VALUE"""),5)</f>
        <v>5</v>
      </c>
      <c r="M1276" s="8" t="str">
        <f ca="1">IFERROR(__xludf.DUMMYFUNCTION("""COMPUTED_VALUE"""),"Local")</f>
        <v>Local</v>
      </c>
      <c r="N1276" s="8">
        <f ca="1">IFERROR(__xludf.DUMMYFUNCTION("""COMPUTED_VALUE"""),4)</f>
        <v>4</v>
      </c>
      <c r="O1276" s="8" t="str">
        <f ca="1">IFERROR(__xludf.DUMMYFUNCTION("""COMPUTED_VALUE"""),"Fall")</f>
        <v>Fall</v>
      </c>
      <c r="P1276" s="8" t="str">
        <f ca="1">IFERROR(__xludf.DUMMYFUNCTION("""COMPUTED_VALUE"""),"Winston-Salem")</f>
        <v>Winston-Salem</v>
      </c>
      <c r="Q1276" s="8" t="str">
        <f ca="1">IFERROR(__xludf.DUMMYFUNCTION("""COMPUTED_VALUE"""),"NC")</f>
        <v>NC</v>
      </c>
      <c r="R1276" s="8" t="str">
        <f ca="1">IFERROR(__xludf.DUMMYFUNCTION("""COMPUTED_VALUE"""),"High")</f>
        <v>High</v>
      </c>
      <c r="S1276" s="8" t="str">
        <f ca="1">IFERROR(__xludf.DUMMYFUNCTION("""COMPUTED_VALUE"""),"Field (General)")</f>
        <v>Field (General)</v>
      </c>
      <c r="T1276" s="8" t="str">
        <f ca="1">IFERROR(__xludf.DUMMYFUNCTION("""COMPUTED_VALUE"""),"Outside on School Property")</f>
        <v>Outside on School Property</v>
      </c>
      <c r="U1276" s="8" t="str">
        <f ca="1">IFERROR(__xludf.DUMMYFUNCTION("""COMPUTED_VALUE"""),"Yes")</f>
        <v>Yes</v>
      </c>
      <c r="V1276" s="8" t="str">
        <f ca="1">IFERROR(__xludf.DUMMYFUNCTION("""COMPUTED_VALUE"""),"After School")</f>
        <v>After School</v>
      </c>
      <c r="W1276" s="11">
        <f ca="1">IFERROR(__xludf.DUMMYFUNCTION("""COMPUTED_VALUE"""),0.666666666666666)</f>
        <v>0.66666666666666596</v>
      </c>
      <c r="X1276" s="8">
        <f ca="1">IFERROR(__xludf.DUMMYFUNCTION("""COMPUTED_VALUE"""),1)</f>
        <v>1</v>
      </c>
      <c r="Y1276" s="12" t="str">
        <f ca="1">IFERROR(__xludf.DUMMYFUNCTION("""COMPUTED_VALUE"""),"Shots fired toward the school building during a fight between 30 teens")</f>
        <v>Shots fired toward the school building during a fight between 30 teens</v>
      </c>
      <c r="Z1276" s="12" t="str">
        <f ca="1">IFERROR(__xludf.DUMMYFUNCTION("""COMPUTED_VALUE"""),"Students were outside of the school for after school activities when a gunman fired shots during a fight between 30 people. Students ran back inside the school building to lockdown. Shooter fled the area.")</f>
        <v>Students were outside of the school for after school activities when a gunman fired shots during a fight between 30 people. Students ran back inside the school building to lockdown. Shooter fled the area.</v>
      </c>
      <c r="AA1276" s="8" t="str">
        <f ca="1">IFERROR(__xludf.DUMMYFUNCTION("""COMPUTED_VALUE"""),"Escalation of Dispute")</f>
        <v>Escalation of Dispute</v>
      </c>
      <c r="AB1276" s="8"/>
      <c r="AC1276" s="8" t="str">
        <f ca="1">IFERROR(__xludf.DUMMYFUNCTION("""COMPUTED_VALUE"""),"Yes")</f>
        <v>Yes</v>
      </c>
      <c r="AD1276" s="8" t="str">
        <f ca="1">IFERROR(__xludf.DUMMYFUNCTION("""COMPUTED_VALUE"""),"Random Shooting")</f>
        <v>Random Shooting</v>
      </c>
      <c r="AE1276" s="8" t="str">
        <f ca="1">IFERROR(__xludf.DUMMYFUNCTION("""COMPUTED_VALUE"""),"No")</f>
        <v>No</v>
      </c>
      <c r="AF1276" s="8"/>
      <c r="AG1276" s="8" t="str">
        <f ca="1">IFERROR(__xludf.DUMMYFUNCTION("""COMPUTED_VALUE"""),"No")</f>
        <v>No</v>
      </c>
      <c r="AH1276" s="8" t="str">
        <f ca="1">IFERROR(__xludf.DUMMYFUNCTION("""COMPUTED_VALUE"""),"No")</f>
        <v>No</v>
      </c>
      <c r="AI1276" s="8" t="str">
        <f ca="1">IFERROR(__xludf.DUMMYFUNCTION("""COMPUTED_VALUE"""),"No")</f>
        <v>No</v>
      </c>
      <c r="AJ1276" s="8" t="str">
        <f ca="1">IFERROR(__xludf.DUMMYFUNCTION("""COMPUTED_VALUE"""),"No")</f>
        <v>No</v>
      </c>
      <c r="AK1276" s="8" t="str">
        <f ca="1">IFERROR(__xludf.DUMMYFUNCTION("""COMPUTED_VALUE"""),"No")</f>
        <v>No</v>
      </c>
      <c r="AL1276" s="8"/>
      <c r="AM1276" s="8" t="str">
        <f ca="1">IFERROR(__xludf.DUMMYFUNCTION("""COMPUTED_VALUE"""),"No")</f>
        <v>No</v>
      </c>
      <c r="AN1276" s="8"/>
      <c r="AO1276" s="8" t="str">
        <f ca="1">IFERROR(__xludf.DUMMYFUNCTION("""COMPUTED_VALUE"""),"No")</f>
        <v>No</v>
      </c>
      <c r="AP1276" s="8"/>
      <c r="AQ1276" s="8"/>
      <c r="AR1276" s="8" t="str">
        <f ca="1">IFERROR(__xludf.DUMMYFUNCTION("""COMPUTED_VALUE"""),"Outside/Off-Property")</f>
        <v>Outside/Off-Property</v>
      </c>
      <c r="AS1276" s="8"/>
      <c r="AT1276" s="8" t="str">
        <f ca="1">IFERROR(__xludf.DUMMYFUNCTION("""COMPUTED_VALUE"""),"Yes")</f>
        <v>Yes</v>
      </c>
      <c r="AU1276" s="8">
        <f ca="1">IFERROR(__xludf.DUMMYFUNCTION("""COMPUTED_VALUE"""),36.056541)</f>
        <v>36.056541000000003</v>
      </c>
      <c r="AV1276" s="8">
        <f ca="1">IFERROR(__xludf.DUMMYFUNCTION("""COMPUTED_VALUE"""),-80.257525)</f>
        <v>-80.257525000000001</v>
      </c>
      <c r="AW1276" s="8"/>
      <c r="AX1276" s="8">
        <f ca="1">IFERROR(__xludf.DUMMYFUNCTION("""COMPUTED_VALUE"""),27127)</f>
        <v>27127</v>
      </c>
    </row>
    <row r="1277" spans="1:50" ht="60" x14ac:dyDescent="0.2">
      <c r="A1277" s="8" t="str">
        <f ca="1">IFERROR(__xludf.DUMMYFUNCTION("""COMPUTED_VALUE"""),"20210917GASWS")</f>
        <v>20210917GASWS</v>
      </c>
      <c r="B1277" s="8">
        <f ca="1">IFERROR(__xludf.DUMMYFUNCTION("""COMPUTED_VALUE"""),9)</f>
        <v>9</v>
      </c>
      <c r="C1277" s="8">
        <f ca="1">IFERROR(__xludf.DUMMYFUNCTION("""COMPUTED_VALUE"""),17)</f>
        <v>17</v>
      </c>
      <c r="D1277" s="8">
        <f ca="1">IFERROR(__xludf.DUMMYFUNCTION("""COMPUTED_VALUE"""),2021)</f>
        <v>2021</v>
      </c>
      <c r="E1277" s="9">
        <f ca="1">IFERROR(__xludf.DUMMYFUNCTION("""COMPUTED_VALUE"""),44456)</f>
        <v>44456</v>
      </c>
      <c r="F1277" s="8" t="str">
        <f ca="1">IFERROR(__xludf.DUMMYFUNCTION("""COMPUTED_VALUE"""),"Swainsboro High School")</f>
        <v>Swainsboro High School</v>
      </c>
      <c r="G1277" s="8">
        <f ca="1">IFERROR(__xludf.DUMMYFUNCTION("""COMPUTED_VALUE"""),0)</f>
        <v>0</v>
      </c>
      <c r="H1277" s="8">
        <f ca="1">IFERROR(__xludf.DUMMYFUNCTION("""COMPUTED_VALUE"""),0)</f>
        <v>0</v>
      </c>
      <c r="I1277" s="8">
        <f ca="1">IFERROR(__xludf.DUMMYFUNCTION("""COMPUTED_VALUE"""),0)</f>
        <v>0</v>
      </c>
      <c r="J1277" s="8">
        <f ca="1">IFERROR(__xludf.DUMMYFUNCTION("""COMPUTED_VALUE"""),0)</f>
        <v>0</v>
      </c>
      <c r="K1277" s="8" t="str">
        <f ca="1">IFERROR(__xludf.DUMMYFUNCTION("""COMPUTED_VALUE"""),"https://www.facebook.com/plugins/post.php?href=https%3A%2F%2Fwww.facebook.com%2Femanuelcountyso%2Fposts%2F247814710595640 https://www.13wmaz.com/article/news/local/witnesses-remember-shot-fired-dublin-swainsboro-football-game/93-33671eb5-f218-4183-947f-ee"&amp;"c927759eec https://www.wtoc.com/2021/09/18/shots-fired-parking-lot-after-swainsboro-high-football-game/ https://www.wrdw.com/2021/09/18/shots-fired-swainsboro-high-school-football-stadium/")</f>
        <v>https://www.facebook.com/plugins/post.php?href=https%3A%2F%2Fwww.facebook.com%2Femanuelcountyso%2Fposts%2F247814710595640 https://www.13wmaz.com/article/news/local/witnesses-remember-shot-fired-dublin-swainsboro-football-game/93-33671eb5-f218-4183-947f-eec927759eec https://www.wtoc.com/2021/09/18/shots-fired-parking-lot-after-swainsboro-high-football-game/ https://www.wrdw.com/2021/09/18/shots-fired-swainsboro-high-school-football-stadium/</v>
      </c>
      <c r="L1277" s="8">
        <f ca="1">IFERROR(__xludf.DUMMYFUNCTION("""COMPUTED_VALUE"""),3)</f>
        <v>3</v>
      </c>
      <c r="M1277" s="8" t="str">
        <f ca="1">IFERROR(__xludf.DUMMYFUNCTION("""COMPUTED_VALUE"""),"Local")</f>
        <v>Local</v>
      </c>
      <c r="N1277" s="8">
        <f ca="1">IFERROR(__xludf.DUMMYFUNCTION("""COMPUTED_VALUE"""),4)</f>
        <v>4</v>
      </c>
      <c r="O1277" s="8" t="str">
        <f ca="1">IFERROR(__xludf.DUMMYFUNCTION("""COMPUTED_VALUE"""),"Fall")</f>
        <v>Fall</v>
      </c>
      <c r="P1277" s="8" t="str">
        <f ca="1">IFERROR(__xludf.DUMMYFUNCTION("""COMPUTED_VALUE"""),"Swainsboro")</f>
        <v>Swainsboro</v>
      </c>
      <c r="Q1277" s="8" t="str">
        <f ca="1">IFERROR(__xludf.DUMMYFUNCTION("""COMPUTED_VALUE"""),"GA")</f>
        <v>GA</v>
      </c>
      <c r="R1277" s="8" t="str">
        <f ca="1">IFERROR(__xludf.DUMMYFUNCTION("""COMPUTED_VALUE"""),"High")</f>
        <v>High</v>
      </c>
      <c r="S1277" s="8" t="str">
        <f ca="1">IFERROR(__xludf.DUMMYFUNCTION("""COMPUTED_VALUE"""),"Football Field/Track")</f>
        <v>Football Field/Track</v>
      </c>
      <c r="T1277" s="8" t="str">
        <f ca="1">IFERROR(__xludf.DUMMYFUNCTION("""COMPUTED_VALUE"""),"Outside on School Property")</f>
        <v>Outside on School Property</v>
      </c>
      <c r="U1277" s="8" t="str">
        <f ca="1">IFERROR(__xludf.DUMMYFUNCTION("""COMPUTED_VALUE"""),"No")</f>
        <v>No</v>
      </c>
      <c r="V1277" s="8" t="str">
        <f ca="1">IFERROR(__xludf.DUMMYFUNCTION("""COMPUTED_VALUE"""),"Sport Event")</f>
        <v>Sport Event</v>
      </c>
      <c r="W1277" s="11">
        <f ca="1">IFERROR(__xludf.DUMMYFUNCTION("""COMPUTED_VALUE"""),0.875)</f>
        <v>0.875</v>
      </c>
      <c r="X1277" s="8">
        <f ca="1">IFERROR(__xludf.DUMMYFUNCTION("""COMPUTED_VALUE"""),1)</f>
        <v>1</v>
      </c>
      <c r="Y1277" s="12" t="str">
        <f ca="1">IFERROR(__xludf.DUMMYFUNCTION("""COMPUTED_VALUE"""),"Shots fired in the stands of the football stadium during a fight")</f>
        <v>Shots fired in the stands of the football stadium during a fight</v>
      </c>
      <c r="Z1277" s="12" t="str">
        <f ca="1">IFERROR(__xludf.DUMMYFUNCTION("""COMPUTED_VALUE"""),"Shots were fired at the end of the football game during a fight in the stands. The PA announcer notified the crowd to get down and take cover. Shooter fled the scene. No injuries reported.")</f>
        <v>Shots were fired at the end of the football game during a fight in the stands. The PA announcer notified the crowd to get down and take cover. Shooter fled the scene. No injuries reported.</v>
      </c>
      <c r="AA1277" s="8" t="str">
        <f ca="1">IFERROR(__xludf.DUMMYFUNCTION("""COMPUTED_VALUE"""),"Escalation of Dispute")</f>
        <v>Escalation of Dispute</v>
      </c>
      <c r="AB1277" s="8"/>
      <c r="AC1277" s="8" t="str">
        <f ca="1">IFERROR(__xludf.DUMMYFUNCTION("""COMPUTED_VALUE"""),"Yes")</f>
        <v>Yes</v>
      </c>
      <c r="AD1277" s="8" t="str">
        <f ca="1">IFERROR(__xludf.DUMMYFUNCTION("""COMPUTED_VALUE"""),"Neither")</f>
        <v>Neither</v>
      </c>
      <c r="AE1277" s="8" t="str">
        <f ca="1">IFERROR(__xludf.DUMMYFUNCTION("""COMPUTED_VALUE"""),"No")</f>
        <v>No</v>
      </c>
      <c r="AF1277" s="8"/>
      <c r="AG1277" s="8" t="str">
        <f ca="1">IFERROR(__xludf.DUMMYFUNCTION("""COMPUTED_VALUE"""),"No")</f>
        <v>No</v>
      </c>
      <c r="AH1277" s="8" t="str">
        <f ca="1">IFERROR(__xludf.DUMMYFUNCTION("""COMPUTED_VALUE"""),"No")</f>
        <v>No</v>
      </c>
      <c r="AI1277" s="8" t="str">
        <f ca="1">IFERROR(__xludf.DUMMYFUNCTION("""COMPUTED_VALUE"""),"No")</f>
        <v>No</v>
      </c>
      <c r="AJ1277" s="8" t="str">
        <f ca="1">IFERROR(__xludf.DUMMYFUNCTION("""COMPUTED_VALUE"""),"No")</f>
        <v>No</v>
      </c>
      <c r="AK1277" s="8" t="str">
        <f ca="1">IFERROR(__xludf.DUMMYFUNCTION("""COMPUTED_VALUE"""),"No")</f>
        <v>No</v>
      </c>
      <c r="AL1277" s="8"/>
      <c r="AM1277" s="8" t="str">
        <f ca="1">IFERROR(__xludf.DUMMYFUNCTION("""COMPUTED_VALUE"""),"No")</f>
        <v>No</v>
      </c>
      <c r="AN1277" s="8"/>
      <c r="AO1277" s="8" t="str">
        <f ca="1">IFERROR(__xludf.DUMMYFUNCTION("""COMPUTED_VALUE"""),"No")</f>
        <v>No</v>
      </c>
      <c r="AP1277" s="8" t="str">
        <f ca="1">IFERROR(__xludf.DUMMYFUNCTION("""COMPUTED_VALUE"""),"Yes")</f>
        <v>Yes</v>
      </c>
      <c r="AQ1277" s="8" t="str">
        <f ca="1">IFERROR(__xludf.DUMMYFUNCTION("""COMPUTED_VALUE"""),"Armed Guards")</f>
        <v>Armed Guards</v>
      </c>
      <c r="AR1277" s="8" t="str">
        <f ca="1">IFERROR(__xludf.DUMMYFUNCTION("""COMPUTED_VALUE"""),"Failed")</f>
        <v>Failed</v>
      </c>
      <c r="AS1277" s="8">
        <f ca="1">IFERROR(__xludf.DUMMYFUNCTION("""COMPUTED_VALUE"""),3)</f>
        <v>3</v>
      </c>
      <c r="AT1277" s="8"/>
      <c r="AU1277" s="8">
        <f ca="1">IFERROR(__xludf.DUMMYFUNCTION("""COMPUTED_VALUE"""),32.57173)</f>
        <v>32.571730000000002</v>
      </c>
      <c r="AV1277" s="8">
        <f ca="1">IFERROR(__xludf.DUMMYFUNCTION("""COMPUTED_VALUE"""),-82.31354)</f>
        <v>-82.313540000000003</v>
      </c>
      <c r="AW1277" s="8"/>
      <c r="AX1277" s="8">
        <f ca="1">IFERROR(__xludf.DUMMYFUNCTION("""COMPUTED_VALUE"""),30401)</f>
        <v>30401</v>
      </c>
    </row>
    <row r="1278" spans="1:50" ht="45" x14ac:dyDescent="0.2">
      <c r="A1278" s="8" t="str">
        <f ca="1">IFERROR(__xludf.DUMMYFUNCTION("""COMPUTED_VALUE"""),"20210916WIORM")</f>
        <v>20210916WIORM</v>
      </c>
      <c r="B1278" s="8">
        <f ca="1">IFERROR(__xludf.DUMMYFUNCTION("""COMPUTED_VALUE"""),9)</f>
        <v>9</v>
      </c>
      <c r="C1278" s="8">
        <f ca="1">IFERROR(__xludf.DUMMYFUNCTION("""COMPUTED_VALUE"""),16)</f>
        <v>16</v>
      </c>
      <c r="D1278" s="8">
        <f ca="1">IFERROR(__xludf.DUMMYFUNCTION("""COMPUTED_VALUE"""),2021)</f>
        <v>2021</v>
      </c>
      <c r="E1278" s="9">
        <f ca="1">IFERROR(__xludf.DUMMYFUNCTION("""COMPUTED_VALUE"""),44455)</f>
        <v>44455</v>
      </c>
      <c r="F1278" s="8" t="str">
        <f ca="1">IFERROR(__xludf.DUMMYFUNCTION("""COMPUTED_VALUE"""),"Orchard Ridge Elementary School")</f>
        <v>Orchard Ridge Elementary School</v>
      </c>
      <c r="G1278" s="8">
        <f ca="1">IFERROR(__xludf.DUMMYFUNCTION("""COMPUTED_VALUE"""),0)</f>
        <v>0</v>
      </c>
      <c r="H1278" s="8">
        <f ca="1">IFERROR(__xludf.DUMMYFUNCTION("""COMPUTED_VALUE"""),0)</f>
        <v>0</v>
      </c>
      <c r="I1278" s="8">
        <f ca="1">IFERROR(__xludf.DUMMYFUNCTION("""COMPUTED_VALUE"""),0)</f>
        <v>0</v>
      </c>
      <c r="J1278" s="8">
        <f ca="1">IFERROR(__xludf.DUMMYFUNCTION("""COMPUTED_VALUE"""),0)</f>
        <v>0</v>
      </c>
      <c r="K1278" s="10" t="str">
        <f ca="1">IFERROR(__xludf.DUMMYFUNCTION("""COMPUTED_VALUE"""),"https://www.nbc15.com/2021/09/16/reports-shots-fired-near-orchard-ridge-elementary-school/")</f>
        <v>https://www.nbc15.com/2021/09/16/reports-shots-fired-near-orchard-ridge-elementary-school/</v>
      </c>
      <c r="L1278" s="8">
        <f ca="1">IFERROR(__xludf.DUMMYFUNCTION("""COMPUTED_VALUE"""),1)</f>
        <v>1</v>
      </c>
      <c r="M1278" s="8" t="str">
        <f ca="1">IFERROR(__xludf.DUMMYFUNCTION("""COMPUTED_VALUE"""),"Local")</f>
        <v>Local</v>
      </c>
      <c r="N1278" s="8">
        <f ca="1">IFERROR(__xludf.DUMMYFUNCTION("""COMPUTED_VALUE"""),3)</f>
        <v>3</v>
      </c>
      <c r="O1278" s="8" t="str">
        <f ca="1">IFERROR(__xludf.DUMMYFUNCTION("""COMPUTED_VALUE"""),"Fall")</f>
        <v>Fall</v>
      </c>
      <c r="P1278" s="8" t="str">
        <f ca="1">IFERROR(__xludf.DUMMYFUNCTION("""COMPUTED_VALUE"""),"Madison")</f>
        <v>Madison</v>
      </c>
      <c r="Q1278" s="8" t="str">
        <f ca="1">IFERROR(__xludf.DUMMYFUNCTION("""COMPUTED_VALUE"""),"WI")</f>
        <v>WI</v>
      </c>
      <c r="R1278" s="8" t="str">
        <f ca="1">IFERROR(__xludf.DUMMYFUNCTION("""COMPUTED_VALUE"""),"Elementary")</f>
        <v>Elementary</v>
      </c>
      <c r="S1278" s="8" t="str">
        <f ca="1">IFERROR(__xludf.DUMMYFUNCTION("""COMPUTED_VALUE"""),"Beside Building")</f>
        <v>Beside Building</v>
      </c>
      <c r="T1278" s="8" t="str">
        <f ca="1">IFERROR(__xludf.DUMMYFUNCTION("""COMPUTED_VALUE"""),"Outside on School Property")</f>
        <v>Outside on School Property</v>
      </c>
      <c r="U1278" s="8" t="str">
        <f ca="1">IFERROR(__xludf.DUMMYFUNCTION("""COMPUTED_VALUE"""),"No")</f>
        <v>No</v>
      </c>
      <c r="V1278" s="8" t="str">
        <f ca="1">IFERROR(__xludf.DUMMYFUNCTION("""COMPUTED_VALUE"""),"Night")</f>
        <v>Night</v>
      </c>
      <c r="W1278" s="11">
        <f ca="1">IFERROR(__xludf.DUMMYFUNCTION("""COMPUTED_VALUE"""),0.125)</f>
        <v>0.125</v>
      </c>
      <c r="X1278" s="8">
        <f ca="1">IFERROR(__xludf.DUMMYFUNCTION("""COMPUTED_VALUE"""),1)</f>
        <v>1</v>
      </c>
      <c r="Y1278" s="12" t="str">
        <f ca="1">IFERROR(__xludf.DUMMYFUNCTION("""COMPUTED_VALUE"""),"Shot fired near school, police found shell casings")</f>
        <v>Shot fired near school, police found shell casings</v>
      </c>
      <c r="Z1278" s="12" t="str">
        <f ca="1">IFERROR(__xludf.DUMMYFUNCTION("""COMPUTED_VALUE"""),"Police were called for shots fired near the elementary school. Witnesses said the shooter fled the scene. Police found shell casings near the building. No injuries reported.")</f>
        <v>Police were called for shots fired near the elementary school. Witnesses said the shooter fled the scene. Police found shell casings near the building. No injuries reported.</v>
      </c>
      <c r="AA1278" s="8"/>
      <c r="AB1278" s="8"/>
      <c r="AC1278" s="8" t="str">
        <f ca="1">IFERROR(__xludf.DUMMYFUNCTION("""COMPUTED_VALUE"""),"No")</f>
        <v>No</v>
      </c>
      <c r="AD1278" s="8"/>
      <c r="AE1278" s="8" t="str">
        <f ca="1">IFERROR(__xludf.DUMMYFUNCTION("""COMPUTED_VALUE"""),"No")</f>
        <v>No</v>
      </c>
      <c r="AF1278" s="8"/>
      <c r="AG1278" s="8" t="str">
        <f ca="1">IFERROR(__xludf.DUMMYFUNCTION("""COMPUTED_VALUE"""),"No")</f>
        <v>No</v>
      </c>
      <c r="AH1278" s="8" t="str">
        <f ca="1">IFERROR(__xludf.DUMMYFUNCTION("""COMPUTED_VALUE"""),"No")</f>
        <v>No</v>
      </c>
      <c r="AI1278" s="8" t="str">
        <f ca="1">IFERROR(__xludf.DUMMYFUNCTION("""COMPUTED_VALUE"""),"No")</f>
        <v>No</v>
      </c>
      <c r="AJ1278" s="8" t="str">
        <f ca="1">IFERROR(__xludf.DUMMYFUNCTION("""COMPUTED_VALUE"""),"No")</f>
        <v>No</v>
      </c>
      <c r="AK1278" s="8" t="str">
        <f ca="1">IFERROR(__xludf.DUMMYFUNCTION("""COMPUTED_VALUE"""),"No")</f>
        <v>No</v>
      </c>
      <c r="AL1278" s="8"/>
      <c r="AM1278" s="8" t="str">
        <f ca="1">IFERROR(__xludf.DUMMYFUNCTION("""COMPUTED_VALUE"""),"No")</f>
        <v>No</v>
      </c>
      <c r="AN1278" s="8"/>
      <c r="AO1278" s="8" t="str">
        <f ca="1">IFERROR(__xludf.DUMMYFUNCTION("""COMPUTED_VALUE"""),"No")</f>
        <v>No</v>
      </c>
      <c r="AP1278" s="8" t="str">
        <f ca="1">IFERROR(__xludf.DUMMYFUNCTION("""COMPUTED_VALUE"""),"No")</f>
        <v>No</v>
      </c>
      <c r="AQ1278" s="8"/>
      <c r="AR1278" s="8" t="str">
        <f ca="1">IFERROR(__xludf.DUMMYFUNCTION("""COMPUTED_VALUE"""),"Outside/Off-Property")</f>
        <v>Outside/Off-Property</v>
      </c>
      <c r="AS1278" s="8"/>
      <c r="AT1278" s="8"/>
      <c r="AU1278" s="8">
        <f ca="1">IFERROR(__xludf.DUMMYFUNCTION("""COMPUTED_VALUE"""),43.033282)</f>
        <v>43.033282</v>
      </c>
      <c r="AV1278" s="8">
        <f ca="1">IFERROR(__xludf.DUMMYFUNCTION("""COMPUTED_VALUE"""),-89.475216)</f>
        <v>-89.475216000000003</v>
      </c>
      <c r="AW1278" s="8"/>
      <c r="AX1278" s="8">
        <f ca="1">IFERROR(__xludf.DUMMYFUNCTION("""COMPUTED_VALUE"""),53711)</f>
        <v>53711</v>
      </c>
    </row>
    <row r="1279" spans="1:50" ht="90" x14ac:dyDescent="0.2">
      <c r="A1279" s="8" t="str">
        <f ca="1">IFERROR(__xludf.DUMMYFUNCTION("""COMPUTED_VALUE"""),"20210916UTPRP")</f>
        <v>20210916UTPRP</v>
      </c>
      <c r="B1279" s="8">
        <f ca="1">IFERROR(__xludf.DUMMYFUNCTION("""COMPUTED_VALUE"""),9)</f>
        <v>9</v>
      </c>
      <c r="C1279" s="8">
        <f ca="1">IFERROR(__xludf.DUMMYFUNCTION("""COMPUTED_VALUE"""),16)</f>
        <v>16</v>
      </c>
      <c r="D1279" s="8">
        <f ca="1">IFERROR(__xludf.DUMMYFUNCTION("""COMPUTED_VALUE"""),2021)</f>
        <v>2021</v>
      </c>
      <c r="E1279" s="9">
        <f ca="1">IFERROR(__xludf.DUMMYFUNCTION("""COMPUTED_VALUE"""),44455)</f>
        <v>44455</v>
      </c>
      <c r="F1279" s="8" t="str">
        <f ca="1">IFERROR(__xludf.DUMMYFUNCTION("""COMPUTED_VALUE"""),"Provo High School")</f>
        <v>Provo High School</v>
      </c>
      <c r="G1279" s="8">
        <f ca="1">IFERROR(__xludf.DUMMYFUNCTION("""COMPUTED_VALUE"""),0)</f>
        <v>0</v>
      </c>
      <c r="H1279" s="8">
        <f ca="1">IFERROR(__xludf.DUMMYFUNCTION("""COMPUTED_VALUE"""),0)</f>
        <v>0</v>
      </c>
      <c r="I1279" s="8">
        <f ca="1">IFERROR(__xludf.DUMMYFUNCTION("""COMPUTED_VALUE"""),0)</f>
        <v>0</v>
      </c>
      <c r="J1279" s="8">
        <f ca="1">IFERROR(__xludf.DUMMYFUNCTION("""COMPUTED_VALUE"""),0)</f>
        <v>0</v>
      </c>
      <c r="K1279" s="8" t="str">
        <f ca="1">IFERROR(__xludf.DUMMYFUNCTION("""COMPUTED_VALUE"""),"https://www.heraldextra.com/news/local/2021/sep/16/no-injuries-after-weapon-incident-at-provo-high-school/ https://www.fox13now.com/news/local-news/provo-high-school-on-lockdown-as-police-investigate-reports-of-man-with-weapon https://kjzz.com/news/local/"&amp;"police-respond-to-possible-weapons-offense-at-provo-high-school")</f>
        <v>https://www.heraldextra.com/news/local/2021/sep/16/no-injuries-after-weapon-incident-at-provo-high-school/ https://www.fox13now.com/news/local-news/provo-high-school-on-lockdown-as-police-investigate-reports-of-man-with-weapon https://kjzz.com/news/local/police-respond-to-possible-weapons-offense-at-provo-high-school</v>
      </c>
      <c r="L1279" s="8">
        <f ca="1">IFERROR(__xludf.DUMMYFUNCTION("""COMPUTED_VALUE"""),10)</f>
        <v>10</v>
      </c>
      <c r="M1279" s="8" t="str">
        <f ca="1">IFERROR(__xludf.DUMMYFUNCTION("""COMPUTED_VALUE"""),"International")</f>
        <v>International</v>
      </c>
      <c r="N1279" s="8">
        <f ca="1">IFERROR(__xludf.DUMMYFUNCTION("""COMPUTED_VALUE"""),4)</f>
        <v>4</v>
      </c>
      <c r="O1279" s="8" t="str">
        <f ca="1">IFERROR(__xludf.DUMMYFUNCTION("""COMPUTED_VALUE"""),"Fall")</f>
        <v>Fall</v>
      </c>
      <c r="P1279" s="8" t="str">
        <f ca="1">IFERROR(__xludf.DUMMYFUNCTION("""COMPUTED_VALUE"""),"Provo")</f>
        <v>Provo</v>
      </c>
      <c r="Q1279" s="8" t="str">
        <f ca="1">IFERROR(__xludf.DUMMYFUNCTION("""COMPUTED_VALUE"""),"UT")</f>
        <v>UT</v>
      </c>
      <c r="R1279" s="8" t="str">
        <f ca="1">IFERROR(__xludf.DUMMYFUNCTION("""COMPUTED_VALUE"""),"High")</f>
        <v>High</v>
      </c>
      <c r="S1279" s="8" t="str">
        <f ca="1">IFERROR(__xludf.DUMMYFUNCTION("""COMPUTED_VALUE"""),"Hallway")</f>
        <v>Hallway</v>
      </c>
      <c r="T1279" s="8" t="str">
        <f ca="1">IFERROR(__xludf.DUMMYFUNCTION("""COMPUTED_VALUE"""),"Inside School Building")</f>
        <v>Inside School Building</v>
      </c>
      <c r="U1279" s="8" t="str">
        <f ca="1">IFERROR(__xludf.DUMMYFUNCTION("""COMPUTED_VALUE"""),"Yes")</f>
        <v>Yes</v>
      </c>
      <c r="V1279" s="8" t="str">
        <f ca="1">IFERROR(__xludf.DUMMYFUNCTION("""COMPUTED_VALUE"""),"Night")</f>
        <v>Night</v>
      </c>
      <c r="W1279" s="11">
        <f ca="1">IFERROR(__xludf.DUMMYFUNCTION("""COMPUTED_VALUE"""),0.525694444444444)</f>
        <v>0.52569444444444402</v>
      </c>
      <c r="X1279" s="8">
        <f ca="1">IFERROR(__xludf.DUMMYFUNCTION("""COMPUTED_VALUE"""),1)</f>
        <v>1</v>
      </c>
      <c r="Y1279" s="12" t="str">
        <f ca="1">IFERROR(__xludf.DUMMYFUNCTION("""COMPUTED_VALUE"""),"Student brandished handgun during fight in the hallway")</f>
        <v>Student brandished handgun during fight in the hallway</v>
      </c>
      <c r="Z1279" s="12" t="str">
        <f ca="1">IFERROR(__xludf.DUMMYFUNCTION("""COMPUTED_VALUE"""),"A student brandished a handgun during a fight in the hallway. Another student reported the gun to a teacher and the school was locked down for multiple hours. Police were dispatched for an active shooter and searched the building. Police located the stude"&amp;"nt with the weapon and determined that it was a realistic airsoft pistol.")</f>
        <v>A student brandished a handgun during a fight in the hallway. Another student reported the gun to a teacher and the school was locked down for multiple hours. Police were dispatched for an active shooter and searched the building. Police located the student with the weapon and determined that it was a realistic airsoft pistol.</v>
      </c>
      <c r="AA1279" s="8" t="str">
        <f ca="1">IFERROR(__xludf.DUMMYFUNCTION("""COMPUTED_VALUE"""),"Escalation of Dispute")</f>
        <v>Escalation of Dispute</v>
      </c>
      <c r="AB1279" s="8"/>
      <c r="AC1279" s="8" t="str">
        <f ca="1">IFERROR(__xludf.DUMMYFUNCTION("""COMPUTED_VALUE"""),"Yes")</f>
        <v>Yes</v>
      </c>
      <c r="AD1279" s="8" t="str">
        <f ca="1">IFERROR(__xludf.DUMMYFUNCTION("""COMPUTED_VALUE"""),"Victims Targeted")</f>
        <v>Victims Targeted</v>
      </c>
      <c r="AE1279" s="8" t="str">
        <f ca="1">IFERROR(__xludf.DUMMYFUNCTION("""COMPUTED_VALUE"""),"No")</f>
        <v>No</v>
      </c>
      <c r="AF1279" s="8"/>
      <c r="AG1279" s="8" t="str">
        <f ca="1">IFERROR(__xludf.DUMMYFUNCTION("""COMPUTED_VALUE"""),"No")</f>
        <v>No</v>
      </c>
      <c r="AH1279" s="8" t="str">
        <f ca="1">IFERROR(__xludf.DUMMYFUNCTION("""COMPUTED_VALUE"""),"No")</f>
        <v>No</v>
      </c>
      <c r="AI1279" s="8" t="str">
        <f ca="1">IFERROR(__xludf.DUMMYFUNCTION("""COMPUTED_VALUE"""),"No")</f>
        <v>No</v>
      </c>
      <c r="AJ1279" s="8" t="str">
        <f ca="1">IFERROR(__xludf.DUMMYFUNCTION("""COMPUTED_VALUE"""),"No")</f>
        <v>No</v>
      </c>
      <c r="AK1279" s="8" t="str">
        <f ca="1">IFERROR(__xludf.DUMMYFUNCTION("""COMPUTED_VALUE"""),"No")</f>
        <v>No</v>
      </c>
      <c r="AL1279" s="8" t="str">
        <f ca="1">IFERROR(__xludf.DUMMYFUNCTION("""COMPUTED_VALUE"""),"No")</f>
        <v>No</v>
      </c>
      <c r="AM1279" s="8" t="str">
        <f ca="1">IFERROR(__xludf.DUMMYFUNCTION("""COMPUTED_VALUE"""),"No")</f>
        <v>No</v>
      </c>
      <c r="AN1279" s="8"/>
      <c r="AO1279" s="8" t="str">
        <f ca="1">IFERROR(__xludf.DUMMYFUNCTION("""COMPUTED_VALUE"""),"No")</f>
        <v>No</v>
      </c>
      <c r="AP1279" s="8"/>
      <c r="AQ1279" s="8"/>
      <c r="AR1279" s="8" t="str">
        <f ca="1">IFERROR(__xludf.DUMMYFUNCTION("""COMPUTED_VALUE"""),"Failed")</f>
        <v>Failed</v>
      </c>
      <c r="AS1279" s="8">
        <f ca="1">IFERROR(__xludf.DUMMYFUNCTION("""COMPUTED_VALUE"""),0)</f>
        <v>0</v>
      </c>
      <c r="AT1279" s="8" t="str">
        <f ca="1">IFERROR(__xludf.DUMMYFUNCTION("""COMPUTED_VALUE"""),"Yes")</f>
        <v>Yes</v>
      </c>
      <c r="AU1279" s="8">
        <f ca="1">IFERROR(__xludf.DUMMYFUNCTION("""COMPUTED_VALUE"""),40.250214)</f>
        <v>40.250214</v>
      </c>
      <c r="AV1279" s="8">
        <f ca="1">IFERROR(__xludf.DUMMYFUNCTION("""COMPUTED_VALUE"""),-111.715152)</f>
        <v>-111.715152</v>
      </c>
      <c r="AW1279" s="8"/>
      <c r="AX1279" s="8">
        <f ca="1">IFERROR(__xludf.DUMMYFUNCTION("""COMPUTED_VALUE"""),84601)</f>
        <v>84601</v>
      </c>
    </row>
    <row r="1280" spans="1:50" ht="60" x14ac:dyDescent="0.2">
      <c r="A1280" s="8" t="str">
        <f ca="1">IFERROR(__xludf.DUMMYFUNCTION("""COMPUTED_VALUE"""),"20210916OHBEC")</f>
        <v>20210916OHBEC</v>
      </c>
      <c r="B1280" s="8">
        <f ca="1">IFERROR(__xludf.DUMMYFUNCTION("""COMPUTED_VALUE"""),9)</f>
        <v>9</v>
      </c>
      <c r="C1280" s="8">
        <f ca="1">IFERROR(__xludf.DUMMYFUNCTION("""COMPUTED_VALUE"""),16)</f>
        <v>16</v>
      </c>
      <c r="D1280" s="8">
        <f ca="1">IFERROR(__xludf.DUMMYFUNCTION("""COMPUTED_VALUE"""),2021)</f>
        <v>2021</v>
      </c>
      <c r="E1280" s="9">
        <f ca="1">IFERROR(__xludf.DUMMYFUNCTION("""COMPUTED_VALUE"""),44455)</f>
        <v>44455</v>
      </c>
      <c r="F1280" s="8" t="str">
        <f ca="1">IFERROR(__xludf.DUMMYFUNCTION("""COMPUTED_VALUE"""),"Beechcroft High School")</f>
        <v>Beechcroft High School</v>
      </c>
      <c r="G1280" s="8">
        <f ca="1">IFERROR(__xludf.DUMMYFUNCTION("""COMPUTED_VALUE"""),0)</f>
        <v>0</v>
      </c>
      <c r="H1280" s="8">
        <f ca="1">IFERROR(__xludf.DUMMYFUNCTION("""COMPUTED_VALUE"""),0)</f>
        <v>0</v>
      </c>
      <c r="I1280" s="8">
        <f ca="1">IFERROR(__xludf.DUMMYFUNCTION("""COMPUTED_VALUE"""),0)</f>
        <v>0</v>
      </c>
      <c r="J1280" s="8">
        <f ca="1">IFERROR(__xludf.DUMMYFUNCTION("""COMPUTED_VALUE"""),0)</f>
        <v>0</v>
      </c>
      <c r="K1280" s="10" t="str">
        <f ca="1">IFERROR(__xludf.DUMMYFUNCTION("""COMPUTED_VALUE"""),"https://www.thesussireport.com/reports/car-windows-shot-out-at-high-school-football-game")</f>
        <v>https://www.thesussireport.com/reports/car-windows-shot-out-at-high-school-football-game</v>
      </c>
      <c r="L1280" s="8">
        <f ca="1">IFERROR(__xludf.DUMMYFUNCTION("""COMPUTED_VALUE"""),1)</f>
        <v>1</v>
      </c>
      <c r="M1280" s="8" t="str">
        <f ca="1">IFERROR(__xludf.DUMMYFUNCTION("""COMPUTED_VALUE"""),"Local")</f>
        <v>Local</v>
      </c>
      <c r="N1280" s="8">
        <f ca="1">IFERROR(__xludf.DUMMYFUNCTION("""COMPUTED_VALUE"""),3)</f>
        <v>3</v>
      </c>
      <c r="O1280" s="8" t="str">
        <f ca="1">IFERROR(__xludf.DUMMYFUNCTION("""COMPUTED_VALUE"""),"Fall")</f>
        <v>Fall</v>
      </c>
      <c r="P1280" s="8" t="str">
        <f ca="1">IFERROR(__xludf.DUMMYFUNCTION("""COMPUTED_VALUE"""),"Columbus")</f>
        <v>Columbus</v>
      </c>
      <c r="Q1280" s="8" t="str">
        <f ca="1">IFERROR(__xludf.DUMMYFUNCTION("""COMPUTED_VALUE"""),"OH")</f>
        <v>OH</v>
      </c>
      <c r="R1280" s="8" t="str">
        <f ca="1">IFERROR(__xludf.DUMMYFUNCTION("""COMPUTED_VALUE"""),"High")</f>
        <v>High</v>
      </c>
      <c r="S1280" s="8" t="str">
        <f ca="1">IFERROR(__xludf.DUMMYFUNCTION("""COMPUTED_VALUE"""),"Parking Lot")</f>
        <v>Parking Lot</v>
      </c>
      <c r="T1280" s="8" t="str">
        <f ca="1">IFERROR(__xludf.DUMMYFUNCTION("""COMPUTED_VALUE"""),"Outside on School Property")</f>
        <v>Outside on School Property</v>
      </c>
      <c r="U1280" s="8" t="str">
        <f ca="1">IFERROR(__xludf.DUMMYFUNCTION("""COMPUTED_VALUE"""),"No")</f>
        <v>No</v>
      </c>
      <c r="V1280" s="8" t="str">
        <f ca="1">IFERROR(__xludf.DUMMYFUNCTION("""COMPUTED_VALUE"""),"Sport Event")</f>
        <v>Sport Event</v>
      </c>
      <c r="W1280" s="11">
        <f ca="1">IFERROR(__xludf.DUMMYFUNCTION("""COMPUTED_VALUE"""),0.911805555555555)</f>
        <v>0.91180555555555498</v>
      </c>
      <c r="X1280" s="8">
        <f ca="1">IFERROR(__xludf.DUMMYFUNCTION("""COMPUTED_VALUE"""),1)</f>
        <v>1</v>
      </c>
      <c r="Y1280" s="12" t="str">
        <f ca="1">IFERROR(__xludf.DUMMYFUNCTION("""COMPUTED_VALUE"""),"Seven shots fired when fans were leaving the football game")</f>
        <v>Seven shots fired when fans were leaving the football game</v>
      </c>
      <c r="Z1280" s="12" t="str">
        <f ca="1">IFERROR(__xludf.DUMMYFUNCTION("""COMPUTED_VALUE"""),"Multiple car windows were broken when seven shots were fired after a high school football game. No injuries. Shooter fled the scene. Columbus schools ended the SRO program last school year, private security was working at the game.")</f>
        <v>Multiple car windows were broken when seven shots were fired after a high school football game. No injuries. Shooter fled the scene. Columbus schools ended the SRO program last school year, private security was working at the game.</v>
      </c>
      <c r="AA1280" s="8"/>
      <c r="AB1280" s="8"/>
      <c r="AC1280" s="8" t="str">
        <f ca="1">IFERROR(__xludf.DUMMYFUNCTION("""COMPUTED_VALUE"""),"Yes")</f>
        <v>Yes</v>
      </c>
      <c r="AD1280" s="8" t="str">
        <f ca="1">IFERROR(__xludf.DUMMYFUNCTION("""COMPUTED_VALUE"""),"Neither")</f>
        <v>Neither</v>
      </c>
      <c r="AE1280" s="8" t="str">
        <f ca="1">IFERROR(__xludf.DUMMYFUNCTION("""COMPUTED_VALUE"""),"No")</f>
        <v>No</v>
      </c>
      <c r="AF1280" s="8"/>
      <c r="AG1280" s="8" t="str">
        <f ca="1">IFERROR(__xludf.DUMMYFUNCTION("""COMPUTED_VALUE"""),"No")</f>
        <v>No</v>
      </c>
      <c r="AH1280" s="8" t="str">
        <f ca="1">IFERROR(__xludf.DUMMYFUNCTION("""COMPUTED_VALUE"""),"No")</f>
        <v>No</v>
      </c>
      <c r="AI1280" s="8" t="str">
        <f ca="1">IFERROR(__xludf.DUMMYFUNCTION("""COMPUTED_VALUE"""),"No")</f>
        <v>No</v>
      </c>
      <c r="AJ1280" s="8" t="str">
        <f ca="1">IFERROR(__xludf.DUMMYFUNCTION("""COMPUTED_VALUE"""),"No")</f>
        <v>No</v>
      </c>
      <c r="AK1280" s="8" t="str">
        <f ca="1">IFERROR(__xludf.DUMMYFUNCTION("""COMPUTED_VALUE"""),"No")</f>
        <v>No</v>
      </c>
      <c r="AL1280" s="8"/>
      <c r="AM1280" s="8" t="str">
        <f ca="1">IFERROR(__xludf.DUMMYFUNCTION("""COMPUTED_VALUE"""),"No")</f>
        <v>No</v>
      </c>
      <c r="AN1280" s="8"/>
      <c r="AO1280" s="8" t="str">
        <f ca="1">IFERROR(__xludf.DUMMYFUNCTION("""COMPUTED_VALUE"""),"No")</f>
        <v>No</v>
      </c>
      <c r="AP1280" s="8" t="str">
        <f ca="1">IFERROR(__xludf.DUMMYFUNCTION("""COMPUTED_VALUE"""),"No")</f>
        <v>No</v>
      </c>
      <c r="AQ1280" s="8" t="str">
        <f ca="1">IFERROR(__xludf.DUMMYFUNCTION("""COMPUTED_VALUE"""),"Guards")</f>
        <v>Guards</v>
      </c>
      <c r="AR1280" s="8" t="str">
        <f ca="1">IFERROR(__xludf.DUMMYFUNCTION("""COMPUTED_VALUE"""),"Outside/Off-Property")</f>
        <v>Outside/Off-Property</v>
      </c>
      <c r="AS1280" s="8">
        <f ca="1">IFERROR(__xludf.DUMMYFUNCTION("""COMPUTED_VALUE"""),7)</f>
        <v>7</v>
      </c>
      <c r="AT1280" s="8"/>
      <c r="AU1280" s="8">
        <f ca="1">IFERROR(__xludf.DUMMYFUNCTION("""COMPUTED_VALUE"""),40.094655)</f>
        <v>40.094655000000003</v>
      </c>
      <c r="AV1280" s="8">
        <f ca="1">IFERROR(__xludf.DUMMYFUNCTION("""COMPUTED_VALUE"""),-82.9656)</f>
        <v>-82.965599999999995</v>
      </c>
      <c r="AW1280" s="8"/>
      <c r="AX1280" s="8">
        <f ca="1">IFERROR(__xludf.DUMMYFUNCTION("""COMPUTED_VALUE"""),43229)</f>
        <v>43229</v>
      </c>
    </row>
    <row r="1281" spans="1:50" ht="105" x14ac:dyDescent="0.2">
      <c r="A1281" s="8" t="str">
        <f ca="1">IFERROR(__xludf.DUMMYFUNCTION("""COMPUTED_VALUE"""),"20210915VASPS")</f>
        <v>20210915VASPS</v>
      </c>
      <c r="B1281" s="8">
        <f ca="1">IFERROR(__xludf.DUMMYFUNCTION("""COMPUTED_VALUE"""),9)</f>
        <v>9</v>
      </c>
      <c r="C1281" s="8">
        <f ca="1">IFERROR(__xludf.DUMMYFUNCTION("""COMPUTED_VALUE"""),15)</f>
        <v>15</v>
      </c>
      <c r="D1281" s="8">
        <f ca="1">IFERROR(__xludf.DUMMYFUNCTION("""COMPUTED_VALUE"""),2021)</f>
        <v>2021</v>
      </c>
      <c r="E1281" s="9">
        <f ca="1">IFERROR(__xludf.DUMMYFUNCTION("""COMPUTED_VALUE"""),44454)</f>
        <v>44454</v>
      </c>
      <c r="F1281" s="8" t="str">
        <f ca="1">IFERROR(__xludf.DUMMYFUNCTION("""COMPUTED_VALUE"""),"Springfield Estates Elementary")</f>
        <v>Springfield Estates Elementary</v>
      </c>
      <c r="G1281" s="8">
        <f ca="1">IFERROR(__xludf.DUMMYFUNCTION("""COMPUTED_VALUE"""),0)</f>
        <v>0</v>
      </c>
      <c r="H1281" s="8">
        <f ca="1">IFERROR(__xludf.DUMMYFUNCTION("""COMPUTED_VALUE"""),0)</f>
        <v>0</v>
      </c>
      <c r="I1281" s="8">
        <f ca="1">IFERROR(__xludf.DUMMYFUNCTION("""COMPUTED_VALUE"""),0)</f>
        <v>0</v>
      </c>
      <c r="J1281" s="8">
        <f ca="1">IFERROR(__xludf.DUMMYFUNCTION("""COMPUTED_VALUE"""),0)</f>
        <v>0</v>
      </c>
      <c r="K1281" s="8" t="str">
        <f ca="1">IFERROR(__xludf.DUMMYFUNCTION("""COMPUTED_VALUE"""),"https://wjla.com/news/local/virginia-woman-charged-after-child-brings-stun-gun-to-elementary-school https://www.wusa9.com/article/news/local/virginia/child-brought-stun-gun-to-fcps-school-used-it-on-classmates/65-fd9a8726-3799-4bdb-ae6a-a65b994386d5 https"&amp;"://www.msn.com/en-us/news/crime/police-child-brought-stun-gun-to-fcps-elementary-school-used-it-on-classmates/ar-AAODLQn?ocid=st")</f>
        <v>https://wjla.com/news/local/virginia-woman-charged-after-child-brings-stun-gun-to-elementary-school https://www.wusa9.com/article/news/local/virginia/child-brought-stun-gun-to-fcps-school-used-it-on-classmates/65-fd9a8726-3799-4bdb-ae6a-a65b994386d5 https://www.msn.com/en-us/news/crime/police-child-brought-stun-gun-to-fcps-elementary-school-used-it-on-classmates/ar-AAODLQn?ocid=st</v>
      </c>
      <c r="L1281" s="8">
        <f ca="1">IFERROR(__xludf.DUMMYFUNCTION("""COMPUTED_VALUE"""),3)</f>
        <v>3</v>
      </c>
      <c r="M1281" s="8" t="str">
        <f ca="1">IFERROR(__xludf.DUMMYFUNCTION("""COMPUTED_VALUE"""),"Local")</f>
        <v>Local</v>
      </c>
      <c r="N1281" s="8">
        <f ca="1">IFERROR(__xludf.DUMMYFUNCTION("""COMPUTED_VALUE"""),4)</f>
        <v>4</v>
      </c>
      <c r="O1281" s="8" t="str">
        <f ca="1">IFERROR(__xludf.DUMMYFUNCTION("""COMPUTED_VALUE"""),"Fall")</f>
        <v>Fall</v>
      </c>
      <c r="P1281" s="8" t="str">
        <f ca="1">IFERROR(__xludf.DUMMYFUNCTION("""COMPUTED_VALUE"""),"Springfield")</f>
        <v>Springfield</v>
      </c>
      <c r="Q1281" s="8" t="str">
        <f ca="1">IFERROR(__xludf.DUMMYFUNCTION("""COMPUTED_VALUE"""),"VA")</f>
        <v>VA</v>
      </c>
      <c r="R1281" s="8" t="str">
        <f ca="1">IFERROR(__xludf.DUMMYFUNCTION("""COMPUTED_VALUE"""),"Elementary")</f>
        <v>Elementary</v>
      </c>
      <c r="S1281" s="8" t="str">
        <f ca="1">IFERROR(__xludf.DUMMYFUNCTION("""COMPUTED_VALUE"""),"Inside School Building")</f>
        <v>Inside School Building</v>
      </c>
      <c r="T1281" s="8" t="str">
        <f ca="1">IFERROR(__xludf.DUMMYFUNCTION("""COMPUTED_VALUE"""),"Inside School Building")</f>
        <v>Inside School Building</v>
      </c>
      <c r="U1281" s="8" t="str">
        <f ca="1">IFERROR(__xludf.DUMMYFUNCTION("""COMPUTED_VALUE"""),"Yes")</f>
        <v>Yes</v>
      </c>
      <c r="V1281" s="8" t="str">
        <f ca="1">IFERROR(__xludf.DUMMYFUNCTION("""COMPUTED_VALUE"""),"Morning Classes")</f>
        <v>Morning Classes</v>
      </c>
      <c r="W1281" s="8"/>
      <c r="X1281" s="8"/>
      <c r="Y1281" s="12" t="str">
        <f ca="1">IFERROR(__xludf.DUMMYFUNCTION("""COMPUTED_VALUE"""),"Student used stungun on 3 classmates in the school")</f>
        <v>Student used stungun on 3 classmates in the school</v>
      </c>
      <c r="Z1281" s="12" t="str">
        <f ca="1">IFERROR(__xludf.DUMMYFUNCTION("""COMPUTED_VALUE"""),"An elementary school student used a stungun on 3 classmates inside the school at different times during the school day. Multiple students were seen with the weapon. Police were notified the following day. The 27-year-old female owner of the weapon was cha"&amp;"rged with delinquency of a minor for allowing access to the stun gun. None of the students stunned were injured.")</f>
        <v>An elementary school student used a stungun on 3 classmates inside the school at different times during the school day. Multiple students were seen with the weapon. Police were notified the following day. The 27-year-old female owner of the weapon was charged with delinquency of a minor for allowing access to the stun gun. None of the students stunned were injured.</v>
      </c>
      <c r="AA1281" s="8"/>
      <c r="AB1281" s="8"/>
      <c r="AC1281" s="8" t="str">
        <f ca="1">IFERROR(__xludf.DUMMYFUNCTION("""COMPUTED_VALUE"""),"Yes")</f>
        <v>Yes</v>
      </c>
      <c r="AD1281" s="8"/>
      <c r="AE1281" s="8"/>
      <c r="AF1281" s="8"/>
      <c r="AG1281" s="8" t="str">
        <f ca="1">IFERROR(__xludf.DUMMYFUNCTION("""COMPUTED_VALUE"""),"No")</f>
        <v>No</v>
      </c>
      <c r="AH1281" s="8" t="str">
        <f ca="1">IFERROR(__xludf.DUMMYFUNCTION("""COMPUTED_VALUE"""),"No")</f>
        <v>No</v>
      </c>
      <c r="AI1281" s="8" t="str">
        <f ca="1">IFERROR(__xludf.DUMMYFUNCTION("""COMPUTED_VALUE"""),"No")</f>
        <v>No</v>
      </c>
      <c r="AJ1281" s="8" t="str">
        <f ca="1">IFERROR(__xludf.DUMMYFUNCTION("""COMPUTED_VALUE"""),"No")</f>
        <v>No</v>
      </c>
      <c r="AK1281" s="8" t="str">
        <f ca="1">IFERROR(__xludf.DUMMYFUNCTION("""COMPUTED_VALUE"""),"No")</f>
        <v>No</v>
      </c>
      <c r="AL1281" s="8" t="str">
        <f ca="1">IFERROR(__xludf.DUMMYFUNCTION("""COMPUTED_VALUE"""),"No")</f>
        <v>No</v>
      </c>
      <c r="AM1281" s="8" t="str">
        <f ca="1">IFERROR(__xludf.DUMMYFUNCTION("""COMPUTED_VALUE"""),"No")</f>
        <v>No</v>
      </c>
      <c r="AN1281" s="8"/>
      <c r="AO1281" s="8" t="str">
        <f ca="1">IFERROR(__xludf.DUMMYFUNCTION("""COMPUTED_VALUE"""),"No")</f>
        <v>No</v>
      </c>
      <c r="AP1281" s="8" t="str">
        <f ca="1">IFERROR(__xludf.DUMMYFUNCTION("""COMPUTED_VALUE"""),"No")</f>
        <v>No</v>
      </c>
      <c r="AQ1281" s="8"/>
      <c r="AR1281" s="8" t="str">
        <f ca="1">IFERROR(__xludf.DUMMYFUNCTION("""COMPUTED_VALUE"""),"Failed")</f>
        <v>Failed</v>
      </c>
      <c r="AS1281" s="8"/>
      <c r="AT1281" s="8"/>
      <c r="AU1281" s="8">
        <f ca="1">IFERROR(__xludf.DUMMYFUNCTION("""COMPUTED_VALUE"""),38.783761)</f>
        <v>38.783760999999998</v>
      </c>
      <c r="AV1281" s="8">
        <f ca="1">IFERROR(__xludf.DUMMYFUNCTION("""COMPUTED_VALUE"""),-77.164003)</f>
        <v>-77.164002999999994</v>
      </c>
      <c r="AW1281" s="8"/>
      <c r="AX1281" s="8">
        <f ca="1">IFERROR(__xludf.DUMMYFUNCTION("""COMPUTED_VALUE"""),22150)</f>
        <v>22150</v>
      </c>
    </row>
    <row r="1282" spans="1:50" ht="45" x14ac:dyDescent="0.2">
      <c r="A1282" s="8" t="str">
        <f ca="1">IFERROR(__xludf.DUMMYFUNCTION("""COMPUTED_VALUE"""),"20210915KYMAL")</f>
        <v>20210915KYMAL</v>
      </c>
      <c r="B1282" s="8">
        <f ca="1">IFERROR(__xludf.DUMMYFUNCTION("""COMPUTED_VALUE"""),9)</f>
        <v>9</v>
      </c>
      <c r="C1282" s="8">
        <f ca="1">IFERROR(__xludf.DUMMYFUNCTION("""COMPUTED_VALUE"""),15)</f>
        <v>15</v>
      </c>
      <c r="D1282" s="8">
        <f ca="1">IFERROR(__xludf.DUMMYFUNCTION("""COMPUTED_VALUE"""),2021)</f>
        <v>2021</v>
      </c>
      <c r="E1282" s="9">
        <f ca="1">IFERROR(__xludf.DUMMYFUNCTION("""COMPUTED_VALUE"""),44454)</f>
        <v>44454</v>
      </c>
      <c r="F1282" s="8" t="str">
        <f ca="1">IFERROR(__xludf.DUMMYFUNCTION("""COMPUTED_VALUE"""),"Mary Todd Elementary School")</f>
        <v>Mary Todd Elementary School</v>
      </c>
      <c r="G1282" s="8">
        <f ca="1">IFERROR(__xludf.DUMMYFUNCTION("""COMPUTED_VALUE"""),0)</f>
        <v>0</v>
      </c>
      <c r="H1282" s="8">
        <f ca="1">IFERROR(__xludf.DUMMYFUNCTION("""COMPUTED_VALUE"""),1)</f>
        <v>1</v>
      </c>
      <c r="I1282" s="8">
        <f ca="1">IFERROR(__xludf.DUMMYFUNCTION("""COMPUTED_VALUE"""),1)</f>
        <v>1</v>
      </c>
      <c r="J1282" s="8">
        <f ca="1">IFERROR(__xludf.DUMMYFUNCTION("""COMPUTED_VALUE"""),0)</f>
        <v>0</v>
      </c>
      <c r="K1282" s="8" t="str">
        <f ca="1">IFERROR(__xludf.DUMMYFUNCTION("""COMPUTED_VALUE"""),"https://www.lex18.com/news/crime/police-called-to-shooting-scene-on-freeman-drive-near-lexington-elementary-school https://www.wkyt.com/2021/09/15/police-investigating-shooting-lexington/ https://www.kentucky.com/news/local/crime/article254256313.html")</f>
        <v>https://www.lex18.com/news/crime/police-called-to-shooting-scene-on-freeman-drive-near-lexington-elementary-school https://www.wkyt.com/2021/09/15/police-investigating-shooting-lexington/ https://www.kentucky.com/news/local/crime/article254256313.html</v>
      </c>
      <c r="L1282" s="8">
        <f ca="1">IFERROR(__xludf.DUMMYFUNCTION("""COMPUTED_VALUE"""),3)</f>
        <v>3</v>
      </c>
      <c r="M1282" s="8" t="str">
        <f ca="1">IFERROR(__xludf.DUMMYFUNCTION("""COMPUTED_VALUE"""),"Local")</f>
        <v>Local</v>
      </c>
      <c r="N1282" s="8">
        <f ca="1">IFERROR(__xludf.DUMMYFUNCTION("""COMPUTED_VALUE"""),4)</f>
        <v>4</v>
      </c>
      <c r="O1282" s="8" t="str">
        <f ca="1">IFERROR(__xludf.DUMMYFUNCTION("""COMPUTED_VALUE"""),"Fall")</f>
        <v>Fall</v>
      </c>
      <c r="P1282" s="8" t="str">
        <f ca="1">IFERROR(__xludf.DUMMYFUNCTION("""COMPUTED_VALUE"""),"Lexington")</f>
        <v>Lexington</v>
      </c>
      <c r="Q1282" s="8" t="str">
        <f ca="1">IFERROR(__xludf.DUMMYFUNCTION("""COMPUTED_VALUE"""),"KY")</f>
        <v>KY</v>
      </c>
      <c r="R1282" s="8" t="str">
        <f ca="1">IFERROR(__xludf.DUMMYFUNCTION("""COMPUTED_VALUE"""),"Elementary")</f>
        <v>Elementary</v>
      </c>
      <c r="S1282" s="8" t="str">
        <f ca="1">IFERROR(__xludf.DUMMYFUNCTION("""COMPUTED_VALUE"""),"Parking Lot")</f>
        <v>Parking Lot</v>
      </c>
      <c r="T1282" s="8" t="str">
        <f ca="1">IFERROR(__xludf.DUMMYFUNCTION("""COMPUTED_VALUE"""),"Off School Property")</f>
        <v>Off School Property</v>
      </c>
      <c r="U1282" s="8" t="str">
        <f ca="1">IFERROR(__xludf.DUMMYFUNCTION("""COMPUTED_VALUE"""),"No")</f>
        <v>No</v>
      </c>
      <c r="V1282" s="8" t="str">
        <f ca="1">IFERROR(__xludf.DUMMYFUNCTION("""COMPUTED_VALUE"""),"After School")</f>
        <v>After School</v>
      </c>
      <c r="W1282" s="11">
        <f ca="1">IFERROR(__xludf.DUMMYFUNCTION("""COMPUTED_VALUE"""),0.666666666666666)</f>
        <v>0.66666666666666596</v>
      </c>
      <c r="X1282" s="8">
        <f ca="1">IFERROR(__xludf.DUMMYFUNCTION("""COMPUTED_VALUE"""),1)</f>
        <v>1</v>
      </c>
      <c r="Y1282" s="12" t="str">
        <f ca="1">IFERROR(__xludf.DUMMYFUNCTION("""COMPUTED_VALUE"""),"Man shot and ran to elementary school for assistance")</f>
        <v>Man shot and ran to elementary school for assistance</v>
      </c>
      <c r="Z1282" s="12" t="str">
        <f ca="1">IFERROR(__xludf.DUMMYFUNCTION("""COMPUTED_VALUE"""),"An adult male was shot near the school and ran to the elementary school for assistance. Police and EMS responded and assisted him in the parking lot of the school.")</f>
        <v>An adult male was shot near the school and ran to the elementary school for assistance. Police and EMS responded and assisted him in the parking lot of the school.</v>
      </c>
      <c r="AA1282" s="8"/>
      <c r="AB1282" s="8"/>
      <c r="AC1282" s="8" t="str">
        <f ca="1">IFERROR(__xludf.DUMMYFUNCTION("""COMPUTED_VALUE"""),"Yes")</f>
        <v>Yes</v>
      </c>
      <c r="AD1282" s="8" t="str">
        <f ca="1">IFERROR(__xludf.DUMMYFUNCTION("""COMPUTED_VALUE"""),"Victims Targeted")</f>
        <v>Victims Targeted</v>
      </c>
      <c r="AE1282" s="8" t="str">
        <f ca="1">IFERROR(__xludf.DUMMYFUNCTION("""COMPUTED_VALUE"""),"No")</f>
        <v>No</v>
      </c>
      <c r="AF1282" s="8"/>
      <c r="AG1282" s="8" t="str">
        <f ca="1">IFERROR(__xludf.DUMMYFUNCTION("""COMPUTED_VALUE"""),"No")</f>
        <v>No</v>
      </c>
      <c r="AH1282" s="8" t="str">
        <f ca="1">IFERROR(__xludf.DUMMYFUNCTION("""COMPUTED_VALUE"""),"No")</f>
        <v>No</v>
      </c>
      <c r="AI1282" s="8" t="str">
        <f ca="1">IFERROR(__xludf.DUMMYFUNCTION("""COMPUTED_VALUE"""),"No")</f>
        <v>No</v>
      </c>
      <c r="AJ1282" s="8" t="str">
        <f ca="1">IFERROR(__xludf.DUMMYFUNCTION("""COMPUTED_VALUE"""),"No")</f>
        <v>No</v>
      </c>
      <c r="AK1282" s="8" t="str">
        <f ca="1">IFERROR(__xludf.DUMMYFUNCTION("""COMPUTED_VALUE"""),"No")</f>
        <v>No</v>
      </c>
      <c r="AL1282" s="8" t="str">
        <f ca="1">IFERROR(__xludf.DUMMYFUNCTION("""COMPUTED_VALUE"""),"No")</f>
        <v>No</v>
      </c>
      <c r="AM1282" s="8" t="str">
        <f ca="1">IFERROR(__xludf.DUMMYFUNCTION("""COMPUTED_VALUE"""),"No")</f>
        <v>No</v>
      </c>
      <c r="AN1282" s="8"/>
      <c r="AO1282" s="8" t="str">
        <f ca="1">IFERROR(__xludf.DUMMYFUNCTION("""COMPUTED_VALUE"""),"No")</f>
        <v>No</v>
      </c>
      <c r="AP1282" s="8"/>
      <c r="AQ1282" s="8"/>
      <c r="AR1282" s="8" t="str">
        <f ca="1">IFERROR(__xludf.DUMMYFUNCTION("""COMPUTED_VALUE"""),"Outside/Off-Property")</f>
        <v>Outside/Off-Property</v>
      </c>
      <c r="AS1282" s="8"/>
      <c r="AT1282" s="8"/>
      <c r="AU1282" s="8">
        <f ca="1">IFERROR(__xludf.DUMMYFUNCTION("""COMPUTED_VALUE"""),38.082738)</f>
        <v>38.082737999999999</v>
      </c>
      <c r="AV1282" s="8">
        <f ca="1">IFERROR(__xludf.DUMMYFUNCTION("""COMPUTED_VALUE"""),-84.453646)</f>
        <v>-84.453646000000006</v>
      </c>
      <c r="AW1282" s="8"/>
      <c r="AX1282" s="8">
        <f ca="1">IFERROR(__xludf.DUMMYFUNCTION("""COMPUTED_VALUE"""),40505)</f>
        <v>40505</v>
      </c>
    </row>
    <row r="1283" spans="1:50" ht="135" x14ac:dyDescent="0.2">
      <c r="A1283" s="8" t="str">
        <f ca="1">IFERROR(__xludf.DUMMYFUNCTION("""COMPUTED_VALUE"""),"20210915ILCEC")</f>
        <v>20210915ILCEC</v>
      </c>
      <c r="B1283" s="8">
        <f ca="1">IFERROR(__xludf.DUMMYFUNCTION("""COMPUTED_VALUE"""),9)</f>
        <v>9</v>
      </c>
      <c r="C1283" s="8">
        <f ca="1">IFERROR(__xludf.DUMMYFUNCTION("""COMPUTED_VALUE"""),15)</f>
        <v>15</v>
      </c>
      <c r="D1283" s="8">
        <f ca="1">IFERROR(__xludf.DUMMYFUNCTION("""COMPUTED_VALUE"""),2021)</f>
        <v>2021</v>
      </c>
      <c r="E1283" s="9">
        <f ca="1">IFERROR(__xludf.DUMMYFUNCTION("""COMPUTED_VALUE"""),44454)</f>
        <v>44454</v>
      </c>
      <c r="F1283" s="8" t="str">
        <f ca="1">IFERROR(__xludf.DUMMYFUNCTION("""COMPUTED_VALUE"""),"Centennial High School")</f>
        <v>Centennial High School</v>
      </c>
      <c r="G1283" s="8">
        <f ca="1">IFERROR(__xludf.DUMMYFUNCTION("""COMPUTED_VALUE"""),0)</f>
        <v>0</v>
      </c>
      <c r="H1283" s="8">
        <f ca="1">IFERROR(__xludf.DUMMYFUNCTION("""COMPUTED_VALUE"""),0)</f>
        <v>0</v>
      </c>
      <c r="I1283" s="8">
        <f ca="1">IFERROR(__xludf.DUMMYFUNCTION("""COMPUTED_VALUE"""),0)</f>
        <v>0</v>
      </c>
      <c r="J1283" s="8">
        <f ca="1">IFERROR(__xludf.DUMMYFUNCTION("""COMPUTED_VALUE"""),0)</f>
        <v>0</v>
      </c>
      <c r="K1283" s="8" t="str">
        <f ca="1">IFERROR(__xludf.DUMMYFUNCTION("""COMPUTED_VALUE"""),"https://newschannel20.com/news/local/teen-sentenced-for-firing-gun-near-centennial-high-school
https://www.wcia.com/news/champaign-police-arrest-16-year-old-boy-in-connection-to-shots-fired-near-centennial-high-school-search-continues-for-other-suspect/ h"&amp;"ttps://www.wcia.com/news/students-react-to-shots-fired-outside-school/")</f>
        <v>https://newschannel20.com/news/local/teen-sentenced-for-firing-gun-near-centennial-high-school
https://www.wcia.com/news/champaign-police-arrest-16-year-old-boy-in-connection-to-shots-fired-near-centennial-high-school-search-continues-for-other-suspect/ https://www.wcia.com/news/students-react-to-shots-fired-outside-school/</v>
      </c>
      <c r="L1283" s="8">
        <f ca="1">IFERROR(__xludf.DUMMYFUNCTION("""COMPUTED_VALUE"""),2)</f>
        <v>2</v>
      </c>
      <c r="M1283" s="8" t="str">
        <f ca="1">IFERROR(__xludf.DUMMYFUNCTION("""COMPUTED_VALUE"""),"Local")</f>
        <v>Local</v>
      </c>
      <c r="N1283" s="8">
        <f ca="1">IFERROR(__xludf.DUMMYFUNCTION("""COMPUTED_VALUE"""),4)</f>
        <v>4</v>
      </c>
      <c r="O1283" s="8" t="str">
        <f ca="1">IFERROR(__xludf.DUMMYFUNCTION("""COMPUTED_VALUE"""),"Fall")</f>
        <v>Fall</v>
      </c>
      <c r="P1283" s="8" t="str">
        <f ca="1">IFERROR(__xludf.DUMMYFUNCTION("""COMPUTED_VALUE"""),"Champaign")</f>
        <v>Champaign</v>
      </c>
      <c r="Q1283" s="8" t="str">
        <f ca="1">IFERROR(__xludf.DUMMYFUNCTION("""COMPUTED_VALUE"""),"IL")</f>
        <v>IL</v>
      </c>
      <c r="R1283" s="8" t="str">
        <f ca="1">IFERROR(__xludf.DUMMYFUNCTION("""COMPUTED_VALUE"""),"High")</f>
        <v>High</v>
      </c>
      <c r="S1283" s="8" t="str">
        <f ca="1">IFERROR(__xludf.DUMMYFUNCTION("""COMPUTED_VALUE"""),"Field (General)")</f>
        <v>Field (General)</v>
      </c>
      <c r="T1283" s="8" t="str">
        <f ca="1">IFERROR(__xludf.DUMMYFUNCTION("""COMPUTED_VALUE"""),"Outside on School Property")</f>
        <v>Outside on School Property</v>
      </c>
      <c r="U1283" s="8" t="str">
        <f ca="1">IFERROR(__xludf.DUMMYFUNCTION("""COMPUTED_VALUE"""),"Yes")</f>
        <v>Yes</v>
      </c>
      <c r="V1283" s="8" t="str">
        <f ca="1">IFERROR(__xludf.DUMMYFUNCTION("""COMPUTED_VALUE"""),"Afternoon Classes")</f>
        <v>Afternoon Classes</v>
      </c>
      <c r="W1283" s="11">
        <f ca="1">IFERROR(__xludf.DUMMYFUNCTION("""COMPUTED_VALUE"""),0.5625)</f>
        <v>0.5625</v>
      </c>
      <c r="X1283" s="8">
        <f ca="1">IFERROR(__xludf.DUMMYFUNCTION("""COMPUTED_VALUE"""),1)</f>
        <v>1</v>
      </c>
      <c r="Y1283" s="12" t="str">
        <f ca="1">IFERROR(__xludf.DUMMYFUNCTION("""COMPUTED_VALUE"""),"Shots fired outside of school, no injuries")</f>
        <v>Shots fired outside of school, no injuries</v>
      </c>
      <c r="Z1283" s="12" t="str">
        <f ca="1">IFERROR(__xludf.DUMMYFUNCTION("""COMPUTED_VALUE"""),"Shots were fired outside of the school during afternoon classes. Students in gym class on the field ran into the school. Other students took cover behind vehicles in the parking lot. High school and two other nearby schools were placed on lockdown. Police"&amp;" recovered 13 shell casings in two locations showing two different people fired shots. No injuries reported and shooter fled. 16-year-old shooter arrested on 9/30. A 17-year-old male who was the second shooter was arrested on 10/13.")</f>
        <v>Shots were fired outside of the school during afternoon classes. Students in gym class on the field ran into the school. Other students took cover behind vehicles in the parking lot. High school and two other nearby schools were placed on lockdown. Police recovered 13 shell casings in two locations showing two different people fired shots. No injuries reported and shooter fled. 16-year-old shooter arrested on 9/30. A 17-year-old male who was the second shooter was arrested on 10/13.</v>
      </c>
      <c r="AA1283" s="8"/>
      <c r="AB1283" s="8"/>
      <c r="AC1283" s="8" t="str">
        <f ca="1">IFERROR(__xludf.DUMMYFUNCTION("""COMPUTED_VALUE"""),"Yes")</f>
        <v>Yes</v>
      </c>
      <c r="AD1283" s="8"/>
      <c r="AE1283" s="8" t="str">
        <f ca="1">IFERROR(__xludf.DUMMYFUNCTION("""COMPUTED_VALUE"""),"No")</f>
        <v>No</v>
      </c>
      <c r="AF1283" s="8"/>
      <c r="AG1283" s="8" t="str">
        <f ca="1">IFERROR(__xludf.DUMMYFUNCTION("""COMPUTED_VALUE"""),"No")</f>
        <v>No</v>
      </c>
      <c r="AH1283" s="8" t="str">
        <f ca="1">IFERROR(__xludf.DUMMYFUNCTION("""COMPUTED_VALUE"""),"No")</f>
        <v>No</v>
      </c>
      <c r="AI1283" s="8" t="str">
        <f ca="1">IFERROR(__xludf.DUMMYFUNCTION("""COMPUTED_VALUE"""),"No")</f>
        <v>No</v>
      </c>
      <c r="AJ1283" s="8" t="str">
        <f ca="1">IFERROR(__xludf.DUMMYFUNCTION("""COMPUTED_VALUE"""),"No")</f>
        <v>No</v>
      </c>
      <c r="AK1283" s="8" t="str">
        <f ca="1">IFERROR(__xludf.DUMMYFUNCTION("""COMPUTED_VALUE"""),"No")</f>
        <v>No</v>
      </c>
      <c r="AL1283" s="8"/>
      <c r="AM1283" s="8" t="str">
        <f ca="1">IFERROR(__xludf.DUMMYFUNCTION("""COMPUTED_VALUE"""),"No")</f>
        <v>No</v>
      </c>
      <c r="AN1283" s="8"/>
      <c r="AO1283" s="8" t="str">
        <f ca="1">IFERROR(__xludf.DUMMYFUNCTION("""COMPUTED_VALUE"""),"No")</f>
        <v>No</v>
      </c>
      <c r="AP1283" s="8"/>
      <c r="AQ1283" s="8"/>
      <c r="AR1283" s="8" t="str">
        <f ca="1">IFERROR(__xludf.DUMMYFUNCTION("""COMPUTED_VALUE"""),"Outside/Off-Property")</f>
        <v>Outside/Off-Property</v>
      </c>
      <c r="AS1283" s="8">
        <f ca="1">IFERROR(__xludf.DUMMYFUNCTION("""COMPUTED_VALUE"""),13)</f>
        <v>13</v>
      </c>
      <c r="AT1283" s="8" t="str">
        <f ca="1">IFERROR(__xludf.DUMMYFUNCTION("""COMPUTED_VALUE"""),"Yes")</f>
        <v>Yes</v>
      </c>
      <c r="AU1283" s="8">
        <f ca="1">IFERROR(__xludf.DUMMYFUNCTION("""COMPUTED_VALUE"""),40.105655)</f>
        <v>40.105654999999999</v>
      </c>
      <c r="AV1283" s="8">
        <f ca="1">IFERROR(__xludf.DUMMYFUNCTION("""COMPUTED_VALUE"""),-88.282496)</f>
        <v>-88.282495999999995</v>
      </c>
      <c r="AW1283" s="8"/>
      <c r="AX1283" s="8">
        <f ca="1">IFERROR(__xludf.DUMMYFUNCTION("""COMPUTED_VALUE"""),61821)</f>
        <v>61821</v>
      </c>
    </row>
    <row r="1284" spans="1:50" ht="90" x14ac:dyDescent="0.2">
      <c r="A1284" s="8" t="str">
        <f ca="1">IFERROR(__xludf.DUMMYFUNCTION("""COMPUTED_VALUE"""),"20210914TNLAL")</f>
        <v>20210914TNLAL</v>
      </c>
      <c r="B1284" s="8">
        <f ca="1">IFERROR(__xludf.DUMMYFUNCTION("""COMPUTED_VALUE"""),9)</f>
        <v>9</v>
      </c>
      <c r="C1284" s="8">
        <f ca="1">IFERROR(__xludf.DUMMYFUNCTION("""COMPUTED_VALUE"""),14)</f>
        <v>14</v>
      </c>
      <c r="D1284" s="8">
        <f ca="1">IFERROR(__xludf.DUMMYFUNCTION("""COMPUTED_VALUE"""),2021)</f>
        <v>2021</v>
      </c>
      <c r="E1284" s="9">
        <f ca="1">IFERROR(__xludf.DUMMYFUNCTION("""COMPUTED_VALUE"""),44453)</f>
        <v>44453</v>
      </c>
      <c r="F1284" s="8" t="str">
        <f ca="1">IFERROR(__xludf.DUMMYFUNCTION("""COMPUTED_VALUE"""),"La Vergne High School")</f>
        <v>La Vergne High School</v>
      </c>
      <c r="G1284" s="8">
        <f ca="1">IFERROR(__xludf.DUMMYFUNCTION("""COMPUTED_VALUE"""),0)</f>
        <v>0</v>
      </c>
      <c r="H1284" s="8">
        <f ca="1">IFERROR(__xludf.DUMMYFUNCTION("""COMPUTED_VALUE"""),0)</f>
        <v>0</v>
      </c>
      <c r="I1284" s="8">
        <f ca="1">IFERROR(__xludf.DUMMYFUNCTION("""COMPUTED_VALUE"""),0)</f>
        <v>0</v>
      </c>
      <c r="J1284" s="8">
        <f ca="1">IFERROR(__xludf.DUMMYFUNCTION("""COMPUTED_VALUE"""),0)</f>
        <v>0</v>
      </c>
      <c r="K1284" s="8" t="str">
        <f ca="1">IFERROR(__xludf.DUMMYFUNCTION("""COMPUTED_VALUE"""),"n https://www.mainstreet-nashville.com/communities/2-male-suspects-arrested-after-la-vergne-high-school-shooting/article_9423f27c-1490-11ec-a3f8-57c0c3c567cf.html")</f>
        <v>n https://www.mainstreet-nashville.com/communities/2-male-suspects-arrested-after-la-vergne-high-school-shooting/article_9423f27c-1490-11ec-a3f8-57c0c3c567cf.html</v>
      </c>
      <c r="L1284" s="8">
        <f ca="1">IFERROR(__xludf.DUMMYFUNCTION("""COMPUTED_VALUE"""),3)</f>
        <v>3</v>
      </c>
      <c r="M1284" s="8" t="str">
        <f ca="1">IFERROR(__xludf.DUMMYFUNCTION("""COMPUTED_VALUE"""),"Local")</f>
        <v>Local</v>
      </c>
      <c r="N1284" s="8">
        <f ca="1">IFERROR(__xludf.DUMMYFUNCTION("""COMPUTED_VALUE"""),4)</f>
        <v>4</v>
      </c>
      <c r="O1284" s="8" t="str">
        <f ca="1">IFERROR(__xludf.DUMMYFUNCTION("""COMPUTED_VALUE"""),"Fall")</f>
        <v>Fall</v>
      </c>
      <c r="P1284" s="8" t="str">
        <f ca="1">IFERROR(__xludf.DUMMYFUNCTION("""COMPUTED_VALUE"""),"La Vergne")</f>
        <v>La Vergne</v>
      </c>
      <c r="Q1284" s="8" t="str">
        <f ca="1">IFERROR(__xludf.DUMMYFUNCTION("""COMPUTED_VALUE"""),"TN")</f>
        <v>TN</v>
      </c>
      <c r="R1284" s="8" t="str">
        <f ca="1">IFERROR(__xludf.DUMMYFUNCTION("""COMPUTED_VALUE"""),"High")</f>
        <v>High</v>
      </c>
      <c r="S1284" s="8" t="str">
        <f ca="1">IFERROR(__xludf.DUMMYFUNCTION("""COMPUTED_VALUE"""),"Parking Lot")</f>
        <v>Parking Lot</v>
      </c>
      <c r="T1284" s="8" t="str">
        <f ca="1">IFERROR(__xludf.DUMMYFUNCTION("""COMPUTED_VALUE"""),"Outside on School Property")</f>
        <v>Outside on School Property</v>
      </c>
      <c r="U1284" s="8" t="str">
        <f ca="1">IFERROR(__xludf.DUMMYFUNCTION("""COMPUTED_VALUE"""),"Yes")</f>
        <v>Yes</v>
      </c>
      <c r="V1284" s="8" t="str">
        <f ca="1">IFERROR(__xludf.DUMMYFUNCTION("""COMPUTED_VALUE"""),"Dismissal")</f>
        <v>Dismissal</v>
      </c>
      <c r="W1284" s="11">
        <f ca="1">IFERROR(__xludf.DUMMYFUNCTION("""COMPUTED_VALUE"""),0.614583333333333)</f>
        <v>0.61458333333333304</v>
      </c>
      <c r="X1284" s="8">
        <f ca="1">IFERROR(__xludf.DUMMYFUNCTION("""COMPUTED_VALUE"""),1)</f>
        <v>1</v>
      </c>
      <c r="Y1284" s="12" t="str">
        <f ca="1">IFERROR(__xludf.DUMMYFUNCTION("""COMPUTED_VALUE"""),"Teen fired 3 shots in the parking lot during dismissal")</f>
        <v>Teen fired 3 shots in the parking lot during dismissal</v>
      </c>
      <c r="Z1284" s="12" t="str">
        <f ca="1">IFERROR(__xludf.DUMMYFUNCTION("""COMPUTED_VALUE"""),"A 15-year-old student fired 3 shots in the parking lot at dismissal and then fled the area. The SRO was able to identify the student, notify police of the vehicle description, and the shooter was arrested with a 18-year-old male who also had a handgun. No"&amp;" injuries reported. Additional officers were assigned to the school the following day.")</f>
        <v>A 15-year-old student fired 3 shots in the parking lot at dismissal and then fled the area. The SRO was able to identify the student, notify police of the vehicle description, and the shooter was arrested with a 18-year-old male who also had a handgun. No injuries reported. Additional officers were assigned to the school the following day.</v>
      </c>
      <c r="AA1284" s="8"/>
      <c r="AB1284" s="8"/>
      <c r="AC1284" s="8" t="str">
        <f ca="1">IFERROR(__xludf.DUMMYFUNCTION("""COMPUTED_VALUE"""),"Yes")</f>
        <v>Yes</v>
      </c>
      <c r="AD1284" s="8" t="str">
        <f ca="1">IFERROR(__xludf.DUMMYFUNCTION("""COMPUTED_VALUE"""),"Random Shooting")</f>
        <v>Random Shooting</v>
      </c>
      <c r="AE1284" s="8" t="str">
        <f ca="1">IFERROR(__xludf.DUMMYFUNCTION("""COMPUTED_VALUE"""),"Yes")</f>
        <v>Yes</v>
      </c>
      <c r="AF1284" s="8" t="str">
        <f ca="1">IFERROR(__xludf.DUMMYFUNCTION("""COMPUTED_VALUE"""),"Second teen arrested in vehicle with handgun")</f>
        <v>Second teen arrested in vehicle with handgun</v>
      </c>
      <c r="AG1284" s="8" t="str">
        <f ca="1">IFERROR(__xludf.DUMMYFUNCTION("""COMPUTED_VALUE"""),"No")</f>
        <v>No</v>
      </c>
      <c r="AH1284" s="8" t="str">
        <f ca="1">IFERROR(__xludf.DUMMYFUNCTION("""COMPUTED_VALUE"""),"No")</f>
        <v>No</v>
      </c>
      <c r="AI1284" s="8" t="str">
        <f ca="1">IFERROR(__xludf.DUMMYFUNCTION("""COMPUTED_VALUE"""),"No")</f>
        <v>No</v>
      </c>
      <c r="AJ1284" s="8" t="str">
        <f ca="1">IFERROR(__xludf.DUMMYFUNCTION("""COMPUTED_VALUE"""),"No")</f>
        <v>No</v>
      </c>
      <c r="AK1284" s="8" t="str">
        <f ca="1">IFERROR(__xludf.DUMMYFUNCTION("""COMPUTED_VALUE"""),"No")</f>
        <v>No</v>
      </c>
      <c r="AL1284" s="8"/>
      <c r="AM1284" s="8" t="str">
        <f ca="1">IFERROR(__xludf.DUMMYFUNCTION("""COMPUTED_VALUE"""),"No")</f>
        <v>No</v>
      </c>
      <c r="AN1284" s="8"/>
      <c r="AO1284" s="8" t="str">
        <f ca="1">IFERROR(__xludf.DUMMYFUNCTION("""COMPUTED_VALUE"""),"No")</f>
        <v>No</v>
      </c>
      <c r="AP1284" s="8" t="str">
        <f ca="1">IFERROR(__xludf.DUMMYFUNCTION("""COMPUTED_VALUE"""),"Yes")</f>
        <v>Yes</v>
      </c>
      <c r="AQ1284" s="8"/>
      <c r="AR1284" s="8" t="str">
        <f ca="1">IFERROR(__xludf.DUMMYFUNCTION("""COMPUTED_VALUE"""),"Outside/Off-Property")</f>
        <v>Outside/Off-Property</v>
      </c>
      <c r="AS1284" s="8">
        <f ca="1">IFERROR(__xludf.DUMMYFUNCTION("""COMPUTED_VALUE"""),3)</f>
        <v>3</v>
      </c>
      <c r="AT1284" s="8"/>
      <c r="AU1284" s="8">
        <f ca="1">IFERROR(__xludf.DUMMYFUNCTION("""COMPUTED_VALUE"""),35.989332)</f>
        <v>35.989331999999997</v>
      </c>
      <c r="AV1284" s="8">
        <f ca="1">IFERROR(__xludf.DUMMYFUNCTION("""COMPUTED_VALUE"""),-86.559669)</f>
        <v>-86.559669</v>
      </c>
      <c r="AW1284" s="8"/>
      <c r="AX1284" s="8">
        <f ca="1">IFERROR(__xludf.DUMMYFUNCTION("""COMPUTED_VALUE"""),37086)</f>
        <v>37086</v>
      </c>
    </row>
    <row r="1285" spans="1:50" ht="75" x14ac:dyDescent="0.2">
      <c r="A1285" s="8" t="str">
        <f ca="1">IFERROR(__xludf.DUMMYFUNCTION("""COMPUTED_VALUE"""),"20210914MOMCH")</f>
        <v>20210914MOMCH</v>
      </c>
      <c r="B1285" s="8">
        <f ca="1">IFERROR(__xludf.DUMMYFUNCTION("""COMPUTED_VALUE"""),9)</f>
        <v>9</v>
      </c>
      <c r="C1285" s="8">
        <f ca="1">IFERROR(__xludf.DUMMYFUNCTION("""COMPUTED_VALUE"""),14)</f>
        <v>14</v>
      </c>
      <c r="D1285" s="8">
        <f ca="1">IFERROR(__xludf.DUMMYFUNCTION("""COMPUTED_VALUE"""),2021)</f>
        <v>2021</v>
      </c>
      <c r="E1285" s="9">
        <f ca="1">IFERROR(__xludf.DUMMYFUNCTION("""COMPUTED_VALUE"""),44453)</f>
        <v>44453</v>
      </c>
      <c r="F1285" s="8" t="str">
        <f ca="1">IFERROR(__xludf.DUMMYFUNCTION("""COMPUTED_VALUE"""),"McNair Elementary School")</f>
        <v>McNair Elementary School</v>
      </c>
      <c r="G1285" s="8">
        <f ca="1">IFERROR(__xludf.DUMMYFUNCTION("""COMPUTED_VALUE"""),0)</f>
        <v>0</v>
      </c>
      <c r="H1285" s="8">
        <f ca="1">IFERROR(__xludf.DUMMYFUNCTION("""COMPUTED_VALUE"""),0)</f>
        <v>0</v>
      </c>
      <c r="I1285" s="8">
        <f ca="1">IFERROR(__xludf.DUMMYFUNCTION("""COMPUTED_VALUE"""),0)</f>
        <v>0</v>
      </c>
      <c r="J1285" s="8">
        <f ca="1">IFERROR(__xludf.DUMMYFUNCTION("""COMPUTED_VALUE"""),0)</f>
        <v>0</v>
      </c>
      <c r="K1285" s="10" t="str">
        <f ca="1">IFERROR(__xludf.DUMMYFUNCTION("""COMPUTED_VALUE"""),"https://www.ksdk.com/article/news/local/hazelwood-parents-bring-gun-school/63-858a7bac-0311-4c92-8471-c2770c2c7716")</f>
        <v>https://www.ksdk.com/article/news/local/hazelwood-parents-bring-gun-school/63-858a7bac-0311-4c92-8471-c2770c2c7716</v>
      </c>
      <c r="L1285" s="8">
        <f ca="1">IFERROR(__xludf.DUMMYFUNCTION("""COMPUTED_VALUE"""),1)</f>
        <v>1</v>
      </c>
      <c r="M1285" s="8" t="str">
        <f ca="1">IFERROR(__xludf.DUMMYFUNCTION("""COMPUTED_VALUE"""),"Local")</f>
        <v>Local</v>
      </c>
      <c r="N1285" s="8">
        <f ca="1">IFERROR(__xludf.DUMMYFUNCTION("""COMPUTED_VALUE"""),3)</f>
        <v>3</v>
      </c>
      <c r="O1285" s="8" t="str">
        <f ca="1">IFERROR(__xludf.DUMMYFUNCTION("""COMPUTED_VALUE"""),"Fall")</f>
        <v>Fall</v>
      </c>
      <c r="P1285" s="8" t="str">
        <f ca="1">IFERROR(__xludf.DUMMYFUNCTION("""COMPUTED_VALUE"""),"Hazelwood")</f>
        <v>Hazelwood</v>
      </c>
      <c r="Q1285" s="8" t="str">
        <f ca="1">IFERROR(__xludf.DUMMYFUNCTION("""COMPUTED_VALUE"""),"MO")</f>
        <v>MO</v>
      </c>
      <c r="R1285" s="8" t="str">
        <f ca="1">IFERROR(__xludf.DUMMYFUNCTION("""COMPUTED_VALUE"""),"Elementary")</f>
        <v>Elementary</v>
      </c>
      <c r="S1285" s="8" t="str">
        <f ca="1">IFERROR(__xludf.DUMMYFUNCTION("""COMPUTED_VALUE"""),"Parking Lot")</f>
        <v>Parking Lot</v>
      </c>
      <c r="T1285" s="8" t="str">
        <f ca="1">IFERROR(__xludf.DUMMYFUNCTION("""COMPUTED_VALUE"""),"Outside on School Property")</f>
        <v>Outside on School Property</v>
      </c>
      <c r="U1285" s="8" t="str">
        <f ca="1">IFERROR(__xludf.DUMMYFUNCTION("""COMPUTED_VALUE"""),"Yes")</f>
        <v>Yes</v>
      </c>
      <c r="V1285" s="8" t="str">
        <f ca="1">IFERROR(__xludf.DUMMYFUNCTION("""COMPUTED_VALUE"""),"School Start")</f>
        <v>School Start</v>
      </c>
      <c r="W1285" s="11">
        <f ca="1">IFERROR(__xludf.DUMMYFUNCTION("""COMPUTED_VALUE"""),0.364583333333333)</f>
        <v>0.36458333333333298</v>
      </c>
      <c r="X1285" s="8">
        <f ca="1">IFERROR(__xludf.DUMMYFUNCTION("""COMPUTED_VALUE"""),1)</f>
        <v>1</v>
      </c>
      <c r="Y1285" s="12" t="str">
        <f ca="1">IFERROR(__xludf.DUMMYFUNCTION("""COMPUTED_VALUE"""),"Two parents brandished handguns during an argument in the drop-off line")</f>
        <v>Two parents brandished handguns during an argument in the drop-off line</v>
      </c>
      <c r="Z1285" s="12" t="str">
        <f ca="1">IFERROR(__xludf.DUMMYFUNCTION("""COMPUTED_VALUE"""),"Two mothers each pulled handguns during a argument in the drop off line of the elementary school. School officials were able to defuse the situation and both parents left the area. Police were notified afterwards and charges are pending.")</f>
        <v>Two mothers each pulled handguns during a argument in the drop off line of the elementary school. School officials were able to defuse the situation and both parents left the area. Police were notified afterwards and charges are pending.</v>
      </c>
      <c r="AA1285" s="8" t="str">
        <f ca="1">IFERROR(__xludf.DUMMYFUNCTION("""COMPUTED_VALUE"""),"Escalation of Dispute")</f>
        <v>Escalation of Dispute</v>
      </c>
      <c r="AB1285" s="8"/>
      <c r="AC1285" s="8" t="str">
        <f ca="1">IFERROR(__xludf.DUMMYFUNCTION("""COMPUTED_VALUE"""),"Yes")</f>
        <v>Yes</v>
      </c>
      <c r="AD1285" s="8" t="str">
        <f ca="1">IFERROR(__xludf.DUMMYFUNCTION("""COMPUTED_VALUE"""),"Victims Targeted")</f>
        <v>Victims Targeted</v>
      </c>
      <c r="AE1285" s="8" t="str">
        <f ca="1">IFERROR(__xludf.DUMMYFUNCTION("""COMPUTED_VALUE"""),"No")</f>
        <v>No</v>
      </c>
      <c r="AF1285" s="8"/>
      <c r="AG1285" s="8" t="str">
        <f ca="1">IFERROR(__xludf.DUMMYFUNCTION("""COMPUTED_VALUE"""),"No")</f>
        <v>No</v>
      </c>
      <c r="AH1285" s="8" t="str">
        <f ca="1">IFERROR(__xludf.DUMMYFUNCTION("""COMPUTED_VALUE"""),"No")</f>
        <v>No</v>
      </c>
      <c r="AI1285" s="8" t="str">
        <f ca="1">IFERROR(__xludf.DUMMYFUNCTION("""COMPUTED_VALUE"""),"No")</f>
        <v>No</v>
      </c>
      <c r="AJ1285" s="8" t="str">
        <f ca="1">IFERROR(__xludf.DUMMYFUNCTION("""COMPUTED_VALUE"""),"No")</f>
        <v>No</v>
      </c>
      <c r="AK1285" s="8" t="str">
        <f ca="1">IFERROR(__xludf.DUMMYFUNCTION("""COMPUTED_VALUE"""),"No")</f>
        <v>No</v>
      </c>
      <c r="AL1285" s="8" t="str">
        <f ca="1">IFERROR(__xludf.DUMMYFUNCTION("""COMPUTED_VALUE"""),"No")</f>
        <v>No</v>
      </c>
      <c r="AM1285" s="8" t="str">
        <f ca="1">IFERROR(__xludf.DUMMYFUNCTION("""COMPUTED_VALUE"""),"No")</f>
        <v>No</v>
      </c>
      <c r="AN1285" s="8"/>
      <c r="AO1285" s="8" t="str">
        <f ca="1">IFERROR(__xludf.DUMMYFUNCTION("""COMPUTED_VALUE"""),"No")</f>
        <v>No</v>
      </c>
      <c r="AP1285" s="8" t="str">
        <f ca="1">IFERROR(__xludf.DUMMYFUNCTION("""COMPUTED_VALUE"""),"No")</f>
        <v>No</v>
      </c>
      <c r="AQ1285" s="8"/>
      <c r="AR1285" s="8" t="str">
        <f ca="1">IFERROR(__xludf.DUMMYFUNCTION("""COMPUTED_VALUE"""),"Outside/Off-Property")</f>
        <v>Outside/Off-Property</v>
      </c>
      <c r="AS1285" s="8">
        <f ca="1">IFERROR(__xludf.DUMMYFUNCTION("""COMPUTED_VALUE"""),0)</f>
        <v>0</v>
      </c>
      <c r="AT1285" s="8" t="str">
        <f ca="1">IFERROR(__xludf.DUMMYFUNCTION("""COMPUTED_VALUE"""),"No")</f>
        <v>No</v>
      </c>
      <c r="AU1285" s="8">
        <f ca="1">IFERROR(__xludf.DUMMYFUNCTION("""COMPUTED_VALUE"""),38.791023)</f>
        <v>38.791023000000003</v>
      </c>
      <c r="AV1285" s="8">
        <f ca="1">IFERROR(__xludf.DUMMYFUNCTION("""COMPUTED_VALUE"""),-90.358514)</f>
        <v>-90.358514</v>
      </c>
      <c r="AW1285" s="8"/>
      <c r="AX1285" s="8">
        <f ca="1">IFERROR(__xludf.DUMMYFUNCTION("""COMPUTED_VALUE"""),63042)</f>
        <v>63042</v>
      </c>
    </row>
    <row r="1286" spans="1:50" ht="75" x14ac:dyDescent="0.2">
      <c r="A1286" s="8" t="str">
        <f ca="1">IFERROR(__xludf.DUMMYFUNCTION("""COMPUTED_VALUE"""),"20210913SCEDC")</f>
        <v>20210913SCEDC</v>
      </c>
      <c r="B1286" s="8">
        <f ca="1">IFERROR(__xludf.DUMMYFUNCTION("""COMPUTED_VALUE"""),9)</f>
        <v>9</v>
      </c>
      <c r="C1286" s="8">
        <f ca="1">IFERROR(__xludf.DUMMYFUNCTION("""COMPUTED_VALUE"""),13)</f>
        <v>13</v>
      </c>
      <c r="D1286" s="8">
        <f ca="1">IFERROR(__xludf.DUMMYFUNCTION("""COMPUTED_VALUE"""),2021)</f>
        <v>2021</v>
      </c>
      <c r="E1286" s="9">
        <f ca="1">IFERROR(__xludf.DUMMYFUNCTION("""COMPUTED_VALUE"""),44452)</f>
        <v>44452</v>
      </c>
      <c r="F1286" s="8" t="str">
        <f ca="1">IFERROR(__xludf.DUMMYFUNCTION("""COMPUTED_VALUE"""),"Edwards Elementary School")</f>
        <v>Edwards Elementary School</v>
      </c>
      <c r="G1286" s="8">
        <f ca="1">IFERROR(__xludf.DUMMYFUNCTION("""COMPUTED_VALUE"""),0)</f>
        <v>0</v>
      </c>
      <c r="H1286" s="8">
        <f ca="1">IFERROR(__xludf.DUMMYFUNCTION("""COMPUTED_VALUE"""),1)</f>
        <v>1</v>
      </c>
      <c r="I1286" s="8">
        <f ca="1">IFERROR(__xludf.DUMMYFUNCTION("""COMPUTED_VALUE"""),1)</f>
        <v>1</v>
      </c>
      <c r="J1286" s="8">
        <f ca="1">IFERROR(__xludf.DUMMYFUNCTION("""COMPUTED_VALUE"""),0)</f>
        <v>0</v>
      </c>
      <c r="K1286" s="8" t="str">
        <f ca="1">IFERROR(__xludf.DUMMYFUNCTION("""COMPUTED_VALUE"""),"https://wpde.com/news/local/person-shot-parking-lot-of-chesterfield-county-school https://www.wbtv.com/2021/03/11/woman-wanted-school-parking-lot-shooting-chesterfield-turns-herself/ https://www.wsoctv.com/news/local/domestic-situation-leads-shooting-ches"&amp;"terfield-county-elementary-school-parking-lot/42ZNUCYQDZDWROWFM3K5XM73OM/")</f>
        <v>https://wpde.com/news/local/person-shot-parking-lot-of-chesterfield-county-school https://www.wbtv.com/2021/03/11/woman-wanted-school-parking-lot-shooting-chesterfield-turns-herself/ https://www.wsoctv.com/news/local/domestic-situation-leads-shooting-chesterfield-county-elementary-school-parking-lot/42ZNUCYQDZDWROWFM3K5XM73OM/</v>
      </c>
      <c r="L1286" s="8">
        <f ca="1">IFERROR(__xludf.DUMMYFUNCTION("""COMPUTED_VALUE"""),5)</f>
        <v>5</v>
      </c>
      <c r="M1286" s="8" t="str">
        <f ca="1">IFERROR(__xludf.DUMMYFUNCTION("""COMPUTED_VALUE"""),"Local")</f>
        <v>Local</v>
      </c>
      <c r="N1286" s="8">
        <f ca="1">IFERROR(__xludf.DUMMYFUNCTION("""COMPUTED_VALUE"""),4)</f>
        <v>4</v>
      </c>
      <c r="O1286" s="8" t="str">
        <f ca="1">IFERROR(__xludf.DUMMYFUNCTION("""COMPUTED_VALUE"""),"Fall")</f>
        <v>Fall</v>
      </c>
      <c r="P1286" s="8" t="str">
        <f ca="1">IFERROR(__xludf.DUMMYFUNCTION("""COMPUTED_VALUE"""),"Chesterfield County")</f>
        <v>Chesterfield County</v>
      </c>
      <c r="Q1286" s="8" t="str">
        <f ca="1">IFERROR(__xludf.DUMMYFUNCTION("""COMPUTED_VALUE"""),"SC")</f>
        <v>SC</v>
      </c>
      <c r="R1286" s="8" t="str">
        <f ca="1">IFERROR(__xludf.DUMMYFUNCTION("""COMPUTED_VALUE"""),"Elementary")</f>
        <v>Elementary</v>
      </c>
      <c r="S1286" s="8" t="str">
        <f ca="1">IFERROR(__xludf.DUMMYFUNCTION("""COMPUTED_VALUE"""),"Parking Lot")</f>
        <v>Parking Lot</v>
      </c>
      <c r="T1286" s="8" t="str">
        <f ca="1">IFERROR(__xludf.DUMMYFUNCTION("""COMPUTED_VALUE"""),"Outside on School Property")</f>
        <v>Outside on School Property</v>
      </c>
      <c r="U1286" s="8" t="str">
        <f ca="1">IFERROR(__xludf.DUMMYFUNCTION("""COMPUTED_VALUE"""),"Yes")</f>
        <v>Yes</v>
      </c>
      <c r="V1286" s="8" t="str">
        <f ca="1">IFERROR(__xludf.DUMMYFUNCTION("""COMPUTED_VALUE"""),"Afternoon Classes")</f>
        <v>Afternoon Classes</v>
      </c>
      <c r="W1286" s="11">
        <f ca="1">IFERROR(__xludf.DUMMYFUNCTION("""COMPUTED_VALUE"""),0.5625)</f>
        <v>0.5625</v>
      </c>
      <c r="X1286" s="8">
        <f ca="1">IFERROR(__xludf.DUMMYFUNCTION("""COMPUTED_VALUE"""),1)</f>
        <v>1</v>
      </c>
      <c r="Y1286" s="12" t="str">
        <f ca="1">IFERROR(__xludf.DUMMYFUNCTION("""COMPUTED_VALUE"""),"Woman shot her adult son-in-law during a domestic dispute in the parking lot")</f>
        <v>Woman shot her adult son-in-law during a domestic dispute in the parking lot</v>
      </c>
      <c r="Z1286" s="12" t="str">
        <f ca="1">IFERROR(__xludf.DUMMYFUNCTION("""COMPUTED_VALUE"""),"A 54-year-old woman shot her adult son-in-law in the parking lot of the elementary school while classes were in session. The school was placed on lockdown and she fled the area. She was identified and arrested away from the school.")</f>
        <v>A 54-year-old woman shot her adult son-in-law in the parking lot of the elementary school while classes were in session. The school was placed on lockdown and she fled the area. She was identified and arrested away from the school.</v>
      </c>
      <c r="AA1286" s="8" t="str">
        <f ca="1">IFERROR(__xludf.DUMMYFUNCTION("""COMPUTED_VALUE"""),"Domestic w/ Targeted Victim")</f>
        <v>Domestic w/ Targeted Victim</v>
      </c>
      <c r="AB1286" s="8"/>
      <c r="AC1286" s="8" t="str">
        <f ca="1">IFERROR(__xludf.DUMMYFUNCTION("""COMPUTED_VALUE"""),"Yes")</f>
        <v>Yes</v>
      </c>
      <c r="AD1286" s="8" t="str">
        <f ca="1">IFERROR(__xludf.DUMMYFUNCTION("""COMPUTED_VALUE"""),"Victims Targeted")</f>
        <v>Victims Targeted</v>
      </c>
      <c r="AE1286" s="8" t="str">
        <f ca="1">IFERROR(__xludf.DUMMYFUNCTION("""COMPUTED_VALUE"""),"No")</f>
        <v>No</v>
      </c>
      <c r="AF1286" s="8"/>
      <c r="AG1286" s="8" t="str">
        <f ca="1">IFERROR(__xludf.DUMMYFUNCTION("""COMPUTED_VALUE"""),"No")</f>
        <v>No</v>
      </c>
      <c r="AH1286" s="8" t="str">
        <f ca="1">IFERROR(__xludf.DUMMYFUNCTION("""COMPUTED_VALUE"""),"No")</f>
        <v>No</v>
      </c>
      <c r="AI1286" s="8" t="str">
        <f ca="1">IFERROR(__xludf.DUMMYFUNCTION("""COMPUTED_VALUE"""),"No")</f>
        <v>No</v>
      </c>
      <c r="AJ1286" s="8" t="str">
        <f ca="1">IFERROR(__xludf.DUMMYFUNCTION("""COMPUTED_VALUE"""),"No")</f>
        <v>No</v>
      </c>
      <c r="AK1286" s="8" t="str">
        <f ca="1">IFERROR(__xludf.DUMMYFUNCTION("""COMPUTED_VALUE"""),"Yes")</f>
        <v>Yes</v>
      </c>
      <c r="AL1286" s="8" t="str">
        <f ca="1">IFERROR(__xludf.DUMMYFUNCTION("""COMPUTED_VALUE"""),"No")</f>
        <v>No</v>
      </c>
      <c r="AM1286" s="8" t="str">
        <f ca="1">IFERROR(__xludf.DUMMYFUNCTION("""COMPUTED_VALUE"""),"No")</f>
        <v>No</v>
      </c>
      <c r="AN1286" s="8"/>
      <c r="AO1286" s="8" t="str">
        <f ca="1">IFERROR(__xludf.DUMMYFUNCTION("""COMPUTED_VALUE"""),"No")</f>
        <v>No</v>
      </c>
      <c r="AP1286" s="8" t="str">
        <f ca="1">IFERROR(__xludf.DUMMYFUNCTION("""COMPUTED_VALUE"""),"No")</f>
        <v>No</v>
      </c>
      <c r="AQ1286" s="8"/>
      <c r="AR1286" s="8" t="str">
        <f ca="1">IFERROR(__xludf.DUMMYFUNCTION("""COMPUTED_VALUE"""),"Outside/Off-Property")</f>
        <v>Outside/Off-Property</v>
      </c>
      <c r="AS1286" s="8">
        <f ca="1">IFERROR(__xludf.DUMMYFUNCTION("""COMPUTED_VALUE"""),1)</f>
        <v>1</v>
      </c>
      <c r="AT1286" s="8" t="str">
        <f ca="1">IFERROR(__xludf.DUMMYFUNCTION("""COMPUTED_VALUE"""),"Yes")</f>
        <v>Yes</v>
      </c>
      <c r="AU1286" s="8">
        <f ca="1">IFERROR(__xludf.DUMMYFUNCTION("""COMPUTED_VALUE"""),34.73854)</f>
        <v>34.73854</v>
      </c>
      <c r="AV1286" s="8">
        <f ca="1">IFERROR(__xludf.DUMMYFUNCTION("""COMPUTED_VALUE"""),-80.117012)</f>
        <v>-80.117012000000003</v>
      </c>
      <c r="AW1286" s="8"/>
      <c r="AX1286" s="8">
        <f ca="1">IFERROR(__xludf.DUMMYFUNCTION("""COMPUTED_VALUE"""),29709)</f>
        <v>29709</v>
      </c>
    </row>
    <row r="1287" spans="1:50" ht="75" x14ac:dyDescent="0.2">
      <c r="A1287" s="8" t="str">
        <f ca="1">IFERROR(__xludf.DUMMYFUNCTION("""COMPUTED_VALUE"""),"20210910CONOA")</f>
        <v>20210910CONOA</v>
      </c>
      <c r="B1287" s="8">
        <f ca="1">IFERROR(__xludf.DUMMYFUNCTION("""COMPUTED_VALUE"""),9)</f>
        <v>9</v>
      </c>
      <c r="C1287" s="8">
        <f ca="1">IFERROR(__xludf.DUMMYFUNCTION("""COMPUTED_VALUE"""),10)</f>
        <v>10</v>
      </c>
      <c r="D1287" s="8">
        <f ca="1">IFERROR(__xludf.DUMMYFUNCTION("""COMPUTED_VALUE"""),2021)</f>
        <v>2021</v>
      </c>
      <c r="E1287" s="9">
        <f ca="1">IFERROR(__xludf.DUMMYFUNCTION("""COMPUTED_VALUE"""),44449)</f>
        <v>44449</v>
      </c>
      <c r="F1287" s="8" t="str">
        <f ca="1">IFERROR(__xludf.DUMMYFUNCTION("""COMPUTED_VALUE"""),"North Area Athletic Complex")</f>
        <v>North Area Athletic Complex</v>
      </c>
      <c r="G1287" s="8">
        <f ca="1">IFERROR(__xludf.DUMMYFUNCTION("""COMPUTED_VALUE"""),0)</f>
        <v>0</v>
      </c>
      <c r="H1287" s="8">
        <f ca="1">IFERROR(__xludf.DUMMYFUNCTION("""COMPUTED_VALUE"""),0)</f>
        <v>0</v>
      </c>
      <c r="I1287" s="8">
        <f ca="1">IFERROR(__xludf.DUMMYFUNCTION("""COMPUTED_VALUE"""),0)</f>
        <v>0</v>
      </c>
      <c r="J1287" s="8">
        <f ca="1">IFERROR(__xludf.DUMMYFUNCTION("""COMPUTED_VALUE"""),0)</f>
        <v>0</v>
      </c>
      <c r="K1287" s="8" t="str">
        <f ca="1">IFERROR(__xludf.DUMMYFUNCTION("""COMPUTED_VALUE"""),"https://www.9news.com/article/news/crime/shots-heard-athletic-complex-arvada-police/73-9ce06b04-2099-444f-834b-476125db48a8 https://kdvr.com/news/local/police-investigate-possible-shots-fired-near-arvada-football-game/")</f>
        <v>https://www.9news.com/article/news/crime/shots-heard-athletic-complex-arvada-police/73-9ce06b04-2099-444f-834b-476125db48a8 https://kdvr.com/news/local/police-investigate-possible-shots-fired-near-arvada-football-game/</v>
      </c>
      <c r="L1287" s="8">
        <f ca="1">IFERROR(__xludf.DUMMYFUNCTION("""COMPUTED_VALUE"""),2)</f>
        <v>2</v>
      </c>
      <c r="M1287" s="8" t="str">
        <f ca="1">IFERROR(__xludf.DUMMYFUNCTION("""COMPUTED_VALUE"""),"Local")</f>
        <v>Local</v>
      </c>
      <c r="N1287" s="8">
        <f ca="1">IFERROR(__xludf.DUMMYFUNCTION("""COMPUTED_VALUE"""),4)</f>
        <v>4</v>
      </c>
      <c r="O1287" s="8" t="str">
        <f ca="1">IFERROR(__xludf.DUMMYFUNCTION("""COMPUTED_VALUE"""),"Fall")</f>
        <v>Fall</v>
      </c>
      <c r="P1287" s="8" t="str">
        <f ca="1">IFERROR(__xludf.DUMMYFUNCTION("""COMPUTED_VALUE"""),"Arvada")</f>
        <v>Arvada</v>
      </c>
      <c r="Q1287" s="8" t="str">
        <f ca="1">IFERROR(__xludf.DUMMYFUNCTION("""COMPUTED_VALUE"""),"CO")</f>
        <v>CO</v>
      </c>
      <c r="R1287" s="8" t="str">
        <f ca="1">IFERROR(__xludf.DUMMYFUNCTION("""COMPUTED_VALUE"""),"High")</f>
        <v>High</v>
      </c>
      <c r="S1287" s="8" t="str">
        <f ca="1">IFERROR(__xludf.DUMMYFUNCTION("""COMPUTED_VALUE"""),"Parking Lot")</f>
        <v>Parking Lot</v>
      </c>
      <c r="T1287" s="8" t="str">
        <f ca="1">IFERROR(__xludf.DUMMYFUNCTION("""COMPUTED_VALUE"""),"Outside on School Property")</f>
        <v>Outside on School Property</v>
      </c>
      <c r="U1287" s="8" t="str">
        <f ca="1">IFERROR(__xludf.DUMMYFUNCTION("""COMPUTED_VALUE"""),"No")</f>
        <v>No</v>
      </c>
      <c r="V1287" s="8" t="str">
        <f ca="1">IFERROR(__xludf.DUMMYFUNCTION("""COMPUTED_VALUE"""),"Sport Event")</f>
        <v>Sport Event</v>
      </c>
      <c r="W1287" s="11">
        <f ca="1">IFERROR(__xludf.DUMMYFUNCTION("""COMPUTED_VALUE"""),0.854166666666666)</f>
        <v>0.85416666666666596</v>
      </c>
      <c r="X1287" s="8">
        <f ca="1">IFERROR(__xludf.DUMMYFUNCTION("""COMPUTED_VALUE"""),1)</f>
        <v>1</v>
      </c>
      <c r="Y1287" s="12" t="str">
        <f ca="1">IFERROR(__xludf.DUMMYFUNCTION("""COMPUTED_VALUE"""),"Shots fired in the parking lot during high school football game")</f>
        <v>Shots fired in the parking lot during high school football game</v>
      </c>
      <c r="Z1287" s="12" t="str">
        <f ca="1">IFERROR(__xludf.DUMMYFUNCTION("""COMPUTED_VALUE"""),"4 shots were fired in the parking lot of the athletic complex during a high school football game. Officers were assigned to the game and responded to the area. Witnesses said a man fired the shots from a vehicle. No victims were found and the shooter fled"&amp;".")</f>
        <v>4 shots were fired in the parking lot of the athletic complex during a high school football game. Officers were assigned to the game and responded to the area. Witnesses said a man fired the shots from a vehicle. No victims were found and the shooter fled.</v>
      </c>
      <c r="AA1287" s="8" t="str">
        <f ca="1">IFERROR(__xludf.DUMMYFUNCTION("""COMPUTED_VALUE"""),"Drive-by Shooting")</f>
        <v>Drive-by Shooting</v>
      </c>
      <c r="AB1287" s="8"/>
      <c r="AC1287" s="8" t="str">
        <f ca="1">IFERROR(__xludf.DUMMYFUNCTION("""COMPUTED_VALUE"""),"Yes")</f>
        <v>Yes</v>
      </c>
      <c r="AD1287" s="8" t="str">
        <f ca="1">IFERROR(__xludf.DUMMYFUNCTION("""COMPUTED_VALUE"""),"Victims Targeted")</f>
        <v>Victims Targeted</v>
      </c>
      <c r="AE1287" s="8" t="str">
        <f ca="1">IFERROR(__xludf.DUMMYFUNCTION("""COMPUTED_VALUE"""),"No")</f>
        <v>No</v>
      </c>
      <c r="AF1287" s="8"/>
      <c r="AG1287" s="8" t="str">
        <f ca="1">IFERROR(__xludf.DUMMYFUNCTION("""COMPUTED_VALUE"""),"No")</f>
        <v>No</v>
      </c>
      <c r="AH1287" s="8" t="str">
        <f ca="1">IFERROR(__xludf.DUMMYFUNCTION("""COMPUTED_VALUE"""),"No")</f>
        <v>No</v>
      </c>
      <c r="AI1287" s="8" t="str">
        <f ca="1">IFERROR(__xludf.DUMMYFUNCTION("""COMPUTED_VALUE"""),"No")</f>
        <v>No</v>
      </c>
      <c r="AJ1287" s="8" t="str">
        <f ca="1">IFERROR(__xludf.DUMMYFUNCTION("""COMPUTED_VALUE"""),"No")</f>
        <v>No</v>
      </c>
      <c r="AK1287" s="8" t="str">
        <f ca="1">IFERROR(__xludf.DUMMYFUNCTION("""COMPUTED_VALUE"""),"No")</f>
        <v>No</v>
      </c>
      <c r="AL1287" s="8"/>
      <c r="AM1287" s="8" t="str">
        <f ca="1">IFERROR(__xludf.DUMMYFUNCTION("""COMPUTED_VALUE"""),"No")</f>
        <v>No</v>
      </c>
      <c r="AN1287" s="8"/>
      <c r="AO1287" s="8" t="str">
        <f ca="1">IFERROR(__xludf.DUMMYFUNCTION("""COMPUTED_VALUE"""),"No")</f>
        <v>No</v>
      </c>
      <c r="AP1287" s="8" t="str">
        <f ca="1">IFERROR(__xludf.DUMMYFUNCTION("""COMPUTED_VALUE"""),"Yes")</f>
        <v>Yes</v>
      </c>
      <c r="AQ1287" s="8" t="str">
        <f ca="1">IFERROR(__xludf.DUMMYFUNCTION("""COMPUTED_VALUE"""),"Armed Guards")</f>
        <v>Armed Guards</v>
      </c>
      <c r="AR1287" s="8" t="str">
        <f ca="1">IFERROR(__xludf.DUMMYFUNCTION("""COMPUTED_VALUE"""),"Outside/Off-Property")</f>
        <v>Outside/Off-Property</v>
      </c>
      <c r="AS1287" s="8">
        <f ca="1">IFERROR(__xludf.DUMMYFUNCTION("""COMPUTED_VALUE"""),4)</f>
        <v>4</v>
      </c>
      <c r="AT1287" s="8"/>
      <c r="AU1287" s="8">
        <f ca="1">IFERROR(__xludf.DUMMYFUNCTION("""COMPUTED_VALUE"""),39.814642)</f>
        <v>39.814641999999999</v>
      </c>
      <c r="AV1287" s="8">
        <f ca="1">IFERROR(__xludf.DUMMYFUNCTION("""COMPUTED_VALUE"""),-105.21718)</f>
        <v>-105.21718</v>
      </c>
      <c r="AW1287" s="8"/>
      <c r="AX1287" s="8">
        <f ca="1">IFERROR(__xludf.DUMMYFUNCTION("""COMPUTED_VALUE"""),80403)</f>
        <v>80403</v>
      </c>
    </row>
    <row r="1288" spans="1:50" ht="105" x14ac:dyDescent="0.2">
      <c r="A1288" s="8" t="str">
        <f ca="1">IFERROR(__xludf.DUMMYFUNCTION("""COMPUTED_VALUE"""),"20210910CASTP")</f>
        <v>20210910CASTP</v>
      </c>
      <c r="B1288" s="8">
        <f ca="1">IFERROR(__xludf.DUMMYFUNCTION("""COMPUTED_VALUE"""),9)</f>
        <v>9</v>
      </c>
      <c r="C1288" s="8">
        <f ca="1">IFERROR(__xludf.DUMMYFUNCTION("""COMPUTED_VALUE"""),10)</f>
        <v>10</v>
      </c>
      <c r="D1288" s="8">
        <f ca="1">IFERROR(__xludf.DUMMYFUNCTION("""COMPUTED_VALUE"""),2021)</f>
        <v>2021</v>
      </c>
      <c r="E1288" s="9">
        <f ca="1">IFERROR(__xludf.DUMMYFUNCTION("""COMPUTED_VALUE"""),44449)</f>
        <v>44449</v>
      </c>
      <c r="F1288" s="8" t="str">
        <f ca="1">IFERROR(__xludf.DUMMYFUNCTION("""COMPUTED_VALUE"""),"Stratford School")</f>
        <v>Stratford School</v>
      </c>
      <c r="G1288" s="8">
        <f ca="1">IFERROR(__xludf.DUMMYFUNCTION("""COMPUTED_VALUE"""),0)</f>
        <v>0</v>
      </c>
      <c r="H1288" s="8">
        <f ca="1">IFERROR(__xludf.DUMMYFUNCTION("""COMPUTED_VALUE"""),0)</f>
        <v>0</v>
      </c>
      <c r="I1288" s="8">
        <f ca="1">IFERROR(__xludf.DUMMYFUNCTION("""COMPUTED_VALUE"""),0)</f>
        <v>0</v>
      </c>
      <c r="J1288" s="8">
        <f ca="1">IFERROR(__xludf.DUMMYFUNCTION("""COMPUTED_VALUE"""),0)</f>
        <v>0</v>
      </c>
      <c r="K1288" s="10" t="str">
        <f ca="1">IFERROR(__xludf.DUMMYFUNCTION("""COMPUTED_VALUE"""),"https://sanfrancisco.cbslocal.com/2021/09/03/palo-alto-man-arrested-shooting-child-school-air-rifle/")</f>
        <v>https://sanfrancisco.cbslocal.com/2021/09/03/palo-alto-man-arrested-shooting-child-school-air-rifle/</v>
      </c>
      <c r="L1288" s="8">
        <f ca="1">IFERROR(__xludf.DUMMYFUNCTION("""COMPUTED_VALUE"""),1)</f>
        <v>1</v>
      </c>
      <c r="M1288" s="8" t="str">
        <f ca="1">IFERROR(__xludf.DUMMYFUNCTION("""COMPUTED_VALUE"""),"Local")</f>
        <v>Local</v>
      </c>
      <c r="N1288" s="8">
        <f ca="1">IFERROR(__xludf.DUMMYFUNCTION("""COMPUTED_VALUE"""),4)</f>
        <v>4</v>
      </c>
      <c r="O1288" s="8" t="str">
        <f ca="1">IFERROR(__xludf.DUMMYFUNCTION("""COMPUTED_VALUE"""),"Fall")</f>
        <v>Fall</v>
      </c>
      <c r="P1288" s="8" t="str">
        <f ca="1">IFERROR(__xludf.DUMMYFUNCTION("""COMPUTED_VALUE"""),"Palo Alto")</f>
        <v>Palo Alto</v>
      </c>
      <c r="Q1288" s="8" t="str">
        <f ca="1">IFERROR(__xludf.DUMMYFUNCTION("""COMPUTED_VALUE"""),"CA")</f>
        <v>CA</v>
      </c>
      <c r="R1288" s="8" t="str">
        <f ca="1">IFERROR(__xludf.DUMMYFUNCTION("""COMPUTED_VALUE"""),"Elementary")</f>
        <v>Elementary</v>
      </c>
      <c r="S1288" s="8" t="str">
        <f ca="1">IFERROR(__xludf.DUMMYFUNCTION("""COMPUTED_VALUE"""),"Playground")</f>
        <v>Playground</v>
      </c>
      <c r="T1288" s="8" t="str">
        <f ca="1">IFERROR(__xludf.DUMMYFUNCTION("""COMPUTED_VALUE"""),"Outside on School Property")</f>
        <v>Outside on School Property</v>
      </c>
      <c r="U1288" s="8" t="str">
        <f ca="1">IFERROR(__xludf.DUMMYFUNCTION("""COMPUTED_VALUE"""),"Yes")</f>
        <v>Yes</v>
      </c>
      <c r="V1288" s="8" t="str">
        <f ca="1">IFERROR(__xludf.DUMMYFUNCTION("""COMPUTED_VALUE"""),"Lunch")</f>
        <v>Lunch</v>
      </c>
      <c r="W1288" s="11">
        <f ca="1">IFERROR(__xludf.DUMMYFUNCTION("""COMPUTED_VALUE"""),0.519444444444444)</f>
        <v>0.51944444444444404</v>
      </c>
      <c r="X1288" s="8">
        <f ca="1">IFERROR(__xludf.DUMMYFUNCTION("""COMPUTED_VALUE"""),1)</f>
        <v>1</v>
      </c>
      <c r="Y1288" s="12" t="str">
        <f ca="1">IFERROR(__xludf.DUMMYFUNCTION("""COMPUTED_VALUE"""),"Man shot air rifle at a random student on the playground")</f>
        <v>Man shot air rifle at a random student on the playground</v>
      </c>
      <c r="Z1288" s="12" t="str">
        <f ca="1">IFERROR(__xludf.DUMMYFUNCTION("""COMPUTED_VALUE"""),"A 62-year-old man fired a single shot from an air rifle at a child on the school playground. A neighbor witnessed the shooting and called police. The shooter intentionally fired at the student but did not have any connection to the victim or specifically "&amp;"target the victim. The student was not injured. Shooter was arrested and charged with multiple felonies. School was locked down and nearby schools were notified.")</f>
        <v>A 62-year-old man fired a single shot from an air rifle at a child on the school playground. A neighbor witnessed the shooting and called police. The shooter intentionally fired at the student but did not have any connection to the victim or specifically target the victim. The student was not injured. Shooter was arrested and charged with multiple felonies. School was locked down and nearby schools were notified.</v>
      </c>
      <c r="AA1288" s="8" t="str">
        <f ca="1">IFERROR(__xludf.DUMMYFUNCTION("""COMPUTED_VALUE"""),"Indiscriminate Shooting")</f>
        <v>Indiscriminate Shooting</v>
      </c>
      <c r="AB1288" s="8"/>
      <c r="AC1288" s="8" t="str">
        <f ca="1">IFERROR(__xludf.DUMMYFUNCTION("""COMPUTED_VALUE"""),"Yes")</f>
        <v>Yes</v>
      </c>
      <c r="AD1288" s="8" t="str">
        <f ca="1">IFERROR(__xludf.DUMMYFUNCTION("""COMPUTED_VALUE"""),"Random Shooting")</f>
        <v>Random Shooting</v>
      </c>
      <c r="AE1288" s="8" t="str">
        <f ca="1">IFERROR(__xludf.DUMMYFUNCTION("""COMPUTED_VALUE"""),"No")</f>
        <v>No</v>
      </c>
      <c r="AF1288" s="8"/>
      <c r="AG1288" s="8" t="str">
        <f ca="1">IFERROR(__xludf.DUMMYFUNCTION("""COMPUTED_VALUE"""),"No")</f>
        <v>No</v>
      </c>
      <c r="AH1288" s="8" t="str">
        <f ca="1">IFERROR(__xludf.DUMMYFUNCTION("""COMPUTED_VALUE"""),"No")</f>
        <v>No</v>
      </c>
      <c r="AI1288" s="8" t="str">
        <f ca="1">IFERROR(__xludf.DUMMYFUNCTION("""COMPUTED_VALUE"""),"No")</f>
        <v>No</v>
      </c>
      <c r="AJ1288" s="8" t="str">
        <f ca="1">IFERROR(__xludf.DUMMYFUNCTION("""COMPUTED_VALUE"""),"No")</f>
        <v>No</v>
      </c>
      <c r="AK1288" s="8" t="str">
        <f ca="1">IFERROR(__xludf.DUMMYFUNCTION("""COMPUTED_VALUE"""),"No")</f>
        <v>No</v>
      </c>
      <c r="AL1288" s="8" t="str">
        <f ca="1">IFERROR(__xludf.DUMMYFUNCTION("""COMPUTED_VALUE"""),"No")</f>
        <v>No</v>
      </c>
      <c r="AM1288" s="8" t="str">
        <f ca="1">IFERROR(__xludf.DUMMYFUNCTION("""COMPUTED_VALUE"""),"No")</f>
        <v>No</v>
      </c>
      <c r="AN1288" s="8"/>
      <c r="AO1288" s="8" t="str">
        <f ca="1">IFERROR(__xludf.DUMMYFUNCTION("""COMPUTED_VALUE"""),"No")</f>
        <v>No</v>
      </c>
      <c r="AP1288" s="8" t="str">
        <f ca="1">IFERROR(__xludf.DUMMYFUNCTION("""COMPUTED_VALUE"""),"No")</f>
        <v>No</v>
      </c>
      <c r="AQ1288" s="8"/>
      <c r="AR1288" s="8" t="str">
        <f ca="1">IFERROR(__xludf.DUMMYFUNCTION("""COMPUTED_VALUE"""),"Outside/Off-Property")</f>
        <v>Outside/Off-Property</v>
      </c>
      <c r="AS1288" s="8">
        <f ca="1">IFERROR(__xludf.DUMMYFUNCTION("""COMPUTED_VALUE"""),1)</f>
        <v>1</v>
      </c>
      <c r="AT1288" s="8" t="str">
        <f ca="1">IFERROR(__xludf.DUMMYFUNCTION("""COMPUTED_VALUE"""),"Yes")</f>
        <v>Yes</v>
      </c>
      <c r="AU1288" s="8">
        <f ca="1">IFERROR(__xludf.DUMMYFUNCTION("""COMPUTED_VALUE"""),37.44085)</f>
        <v>37.440849999999998</v>
      </c>
      <c r="AV1288" s="8">
        <f ca="1">IFERROR(__xludf.DUMMYFUNCTION("""COMPUTED_VALUE"""),-122.131827)</f>
        <v>-122.131827</v>
      </c>
      <c r="AW1288" s="8"/>
      <c r="AX1288" s="8">
        <f ca="1">IFERROR(__xludf.DUMMYFUNCTION("""COMPUTED_VALUE"""),94303)</f>
        <v>94303</v>
      </c>
    </row>
    <row r="1289" spans="1:50" ht="45" x14ac:dyDescent="0.2">
      <c r="A1289" s="8" t="str">
        <f ca="1">IFERROR(__xludf.DUMMYFUNCTION("""COMPUTED_VALUE"""),"20210909NCSHE")</f>
        <v>20210909NCSHE</v>
      </c>
      <c r="B1289" s="8">
        <f ca="1">IFERROR(__xludf.DUMMYFUNCTION("""COMPUTED_VALUE"""),9)</f>
        <v>9</v>
      </c>
      <c r="C1289" s="8">
        <f ca="1">IFERROR(__xludf.DUMMYFUNCTION("""COMPUTED_VALUE"""),9)</f>
        <v>9</v>
      </c>
      <c r="D1289" s="8">
        <f ca="1">IFERROR(__xludf.DUMMYFUNCTION("""COMPUTED_VALUE"""),2021)</f>
        <v>2021</v>
      </c>
      <c r="E1289" s="9">
        <f ca="1">IFERROR(__xludf.DUMMYFUNCTION("""COMPUTED_VALUE"""),44448)</f>
        <v>44448</v>
      </c>
      <c r="F1289" s="8" t="str">
        <f ca="1">IFERROR(__xludf.DUMMYFUNCTION("""COMPUTED_VALUE"""),"Sheep-Harney Elementary School")</f>
        <v>Sheep-Harney Elementary School</v>
      </c>
      <c r="G1289" s="8">
        <f ca="1">IFERROR(__xludf.DUMMYFUNCTION("""COMPUTED_VALUE"""),0)</f>
        <v>0</v>
      </c>
      <c r="H1289" s="8">
        <f ca="1">IFERROR(__xludf.DUMMYFUNCTION("""COMPUTED_VALUE"""),0)</f>
        <v>0</v>
      </c>
      <c r="I1289" s="8">
        <f ca="1">IFERROR(__xludf.DUMMYFUNCTION("""COMPUTED_VALUE"""),0)</f>
        <v>0</v>
      </c>
      <c r="J1289" s="8">
        <f ca="1">IFERROR(__xludf.DUMMYFUNCTION("""COMPUTED_VALUE"""),0)</f>
        <v>0</v>
      </c>
      <c r="K1289" s="10" t="str">
        <f ca="1">IFERROR(__xludf.DUMMYFUNCTION("""COMPUTED_VALUE"""),"https://www.wavy.com/news/crime/shooting-shatters-windows-at-elizabeth-city-elementary-school/")</f>
        <v>https://www.wavy.com/news/crime/shooting-shatters-windows-at-elizabeth-city-elementary-school/</v>
      </c>
      <c r="L1289" s="8">
        <f ca="1">IFERROR(__xludf.DUMMYFUNCTION("""COMPUTED_VALUE"""),1)</f>
        <v>1</v>
      </c>
      <c r="M1289" s="8" t="str">
        <f ca="1">IFERROR(__xludf.DUMMYFUNCTION("""COMPUTED_VALUE"""),"Local")</f>
        <v>Local</v>
      </c>
      <c r="N1289" s="8">
        <f ca="1">IFERROR(__xludf.DUMMYFUNCTION("""COMPUTED_VALUE"""),4)</f>
        <v>4</v>
      </c>
      <c r="O1289" s="8"/>
      <c r="P1289" s="8" t="str">
        <f ca="1">IFERROR(__xludf.DUMMYFUNCTION("""COMPUTED_VALUE"""),"Elizabeth City")</f>
        <v>Elizabeth City</v>
      </c>
      <c r="Q1289" s="8" t="str">
        <f ca="1">IFERROR(__xludf.DUMMYFUNCTION("""COMPUTED_VALUE"""),"NC")</f>
        <v>NC</v>
      </c>
      <c r="R1289" s="8" t="str">
        <f ca="1">IFERROR(__xludf.DUMMYFUNCTION("""COMPUTED_VALUE"""),"Elementary")</f>
        <v>Elementary</v>
      </c>
      <c r="S1289" s="8" t="str">
        <f ca="1">IFERROR(__xludf.DUMMYFUNCTION("""COMPUTED_VALUE"""),"Front of School")</f>
        <v>Front of School</v>
      </c>
      <c r="T1289" s="8" t="str">
        <f ca="1">IFERROR(__xludf.DUMMYFUNCTION("""COMPUTED_VALUE"""),"Outside on School Property")</f>
        <v>Outside on School Property</v>
      </c>
      <c r="U1289" s="8" t="str">
        <f ca="1">IFERROR(__xludf.DUMMYFUNCTION("""COMPUTED_VALUE"""),"No")</f>
        <v>No</v>
      </c>
      <c r="V1289" s="8" t="str">
        <f ca="1">IFERROR(__xludf.DUMMYFUNCTION("""COMPUTED_VALUE"""),"Night")</f>
        <v>Night</v>
      </c>
      <c r="W1289" s="11">
        <f ca="1">IFERROR(__xludf.DUMMYFUNCTION("""COMPUTED_VALUE"""),0.979166666666666)</f>
        <v>0.97916666666666596</v>
      </c>
      <c r="X1289" s="8">
        <f ca="1">IFERROR(__xludf.DUMMYFUNCTION("""COMPUTED_VALUE"""),1)</f>
        <v>1</v>
      </c>
      <c r="Y1289" s="12" t="str">
        <f ca="1">IFERROR(__xludf.DUMMYFUNCTION("""COMPUTED_VALUE"""),"Multiple windows of the school were shot and broken")</f>
        <v>Multiple windows of the school were shot and broken</v>
      </c>
      <c r="Z1289" s="12" t="str">
        <f ca="1">IFERROR(__xludf.DUMMYFUNCTION("""COMPUTED_VALUE"""),"Multiple windows of the school were shot and broken. Bullet fragments were found inside the school. School was closed at the time of the shooting.")</f>
        <v>Multiple windows of the school were shot and broken. Bullet fragments were found inside the school. School was closed at the time of the shooting.</v>
      </c>
      <c r="AA1289" s="8" t="str">
        <f ca="1">IFERROR(__xludf.DUMMYFUNCTION("""COMPUTED_VALUE"""),"Intentional Property Damage")</f>
        <v>Intentional Property Damage</v>
      </c>
      <c r="AB1289" s="8"/>
      <c r="AC1289" s="8" t="str">
        <f ca="1">IFERROR(__xludf.DUMMYFUNCTION("""COMPUTED_VALUE"""),"No")</f>
        <v>No</v>
      </c>
      <c r="AD1289" s="8" t="str">
        <f ca="1">IFERROR(__xludf.DUMMYFUNCTION("""COMPUTED_VALUE"""),"Random Shooting")</f>
        <v>Random Shooting</v>
      </c>
      <c r="AE1289" s="8"/>
      <c r="AF1289" s="8"/>
      <c r="AG1289" s="8" t="str">
        <f ca="1">IFERROR(__xludf.DUMMYFUNCTION("""COMPUTED_VALUE"""),"No")</f>
        <v>No</v>
      </c>
      <c r="AH1289" s="8" t="str">
        <f ca="1">IFERROR(__xludf.DUMMYFUNCTION("""COMPUTED_VALUE"""),"No")</f>
        <v>No</v>
      </c>
      <c r="AI1289" s="8" t="str">
        <f ca="1">IFERROR(__xludf.DUMMYFUNCTION("""COMPUTED_VALUE"""),"No")</f>
        <v>No</v>
      </c>
      <c r="AJ1289" s="8" t="str">
        <f ca="1">IFERROR(__xludf.DUMMYFUNCTION("""COMPUTED_VALUE"""),"No")</f>
        <v>No</v>
      </c>
      <c r="AK1289" s="8" t="str">
        <f ca="1">IFERROR(__xludf.DUMMYFUNCTION("""COMPUTED_VALUE"""),"No")</f>
        <v>No</v>
      </c>
      <c r="AL1289" s="8" t="str">
        <f ca="1">IFERROR(__xludf.DUMMYFUNCTION("""COMPUTED_VALUE"""),"No")</f>
        <v>No</v>
      </c>
      <c r="AM1289" s="8" t="str">
        <f ca="1">IFERROR(__xludf.DUMMYFUNCTION("""COMPUTED_VALUE"""),"No")</f>
        <v>No</v>
      </c>
      <c r="AN1289" s="8"/>
      <c r="AO1289" s="8" t="str">
        <f ca="1">IFERROR(__xludf.DUMMYFUNCTION("""COMPUTED_VALUE"""),"No")</f>
        <v>No</v>
      </c>
      <c r="AP1289" s="8"/>
      <c r="AQ1289" s="8"/>
      <c r="AR1289" s="8" t="str">
        <f ca="1">IFERROR(__xludf.DUMMYFUNCTION("""COMPUTED_VALUE"""),"Outside/Off-Property")</f>
        <v>Outside/Off-Property</v>
      </c>
      <c r="AS1289" s="8"/>
      <c r="AT1289" s="8"/>
      <c r="AU1289" s="8">
        <f ca="1">IFERROR(__xludf.DUMMYFUNCTION("""COMPUTED_VALUE"""),36.303194)</f>
        <v>36.303193999999998</v>
      </c>
      <c r="AV1289" s="8">
        <f ca="1">IFERROR(__xludf.DUMMYFUNCTION("""COMPUTED_VALUE"""),-76.225021)</f>
        <v>-76.225020999999998</v>
      </c>
      <c r="AW1289" s="8"/>
      <c r="AX1289" s="8">
        <f ca="1">IFERROR(__xludf.DUMMYFUNCTION("""COMPUTED_VALUE"""),27909)</f>
        <v>27909</v>
      </c>
    </row>
    <row r="1290" spans="1:50" ht="90" x14ac:dyDescent="0.2">
      <c r="A1290" s="8" t="str">
        <f ca="1">IFERROR(__xludf.DUMMYFUNCTION("""COMPUTED_VALUE"""),"20210909MITRF")</f>
        <v>20210909MITRF</v>
      </c>
      <c r="B1290" s="8">
        <f ca="1">IFERROR(__xludf.DUMMYFUNCTION("""COMPUTED_VALUE"""),9)</f>
        <v>9</v>
      </c>
      <c r="C1290" s="8">
        <f ca="1">IFERROR(__xludf.DUMMYFUNCTION("""COMPUTED_VALUE"""),9)</f>
        <v>9</v>
      </c>
      <c r="D1290" s="8">
        <f ca="1">IFERROR(__xludf.DUMMYFUNCTION("""COMPUTED_VALUE"""),2021)</f>
        <v>2021</v>
      </c>
      <c r="E1290" s="9">
        <f ca="1">IFERROR(__xludf.DUMMYFUNCTION("""COMPUTED_VALUE"""),44448)</f>
        <v>44448</v>
      </c>
      <c r="F1290" s="8" t="str">
        <f ca="1">IFERROR(__xludf.DUMMYFUNCTION("""COMPUTED_VALUE"""),"Tri-County Education Center")</f>
        <v>Tri-County Education Center</v>
      </c>
      <c r="G1290" s="8">
        <f ca="1">IFERROR(__xludf.DUMMYFUNCTION("""COMPUTED_VALUE"""),0)</f>
        <v>0</v>
      </c>
      <c r="H1290" s="8">
        <f ca="1">IFERROR(__xludf.DUMMYFUNCTION("""COMPUTED_VALUE"""),0)</f>
        <v>0</v>
      </c>
      <c r="I1290" s="8">
        <f ca="1">IFERROR(__xludf.DUMMYFUNCTION("""COMPUTED_VALUE"""),0)</f>
        <v>0</v>
      </c>
      <c r="J1290" s="8">
        <f ca="1">IFERROR(__xludf.DUMMYFUNCTION("""COMPUTED_VALUE"""),0)</f>
        <v>0</v>
      </c>
      <c r="K1290" s="10" t="str">
        <f ca="1">IFERROR(__xludf.DUMMYFUNCTION("""COMPUTED_VALUE"""),"https://www.detroitnews.com/story/news/local/oakland-county/2021/09/09/2-teens-arrested-school-parking-lot-shooting-royal-oak-twp/5781664001/")</f>
        <v>https://www.detroitnews.com/story/news/local/oakland-county/2021/09/09/2-teens-arrested-school-parking-lot-shooting-royal-oak-twp/5781664001/</v>
      </c>
      <c r="L1290" s="8">
        <f ca="1">IFERROR(__xludf.DUMMYFUNCTION("""COMPUTED_VALUE"""),1)</f>
        <v>1</v>
      </c>
      <c r="M1290" s="8" t="str">
        <f ca="1">IFERROR(__xludf.DUMMYFUNCTION("""COMPUTED_VALUE"""),"Local")</f>
        <v>Local</v>
      </c>
      <c r="N1290" s="8">
        <f ca="1">IFERROR(__xludf.DUMMYFUNCTION("""COMPUTED_VALUE"""),4)</f>
        <v>4</v>
      </c>
      <c r="O1290" s="8" t="str">
        <f ca="1">IFERROR(__xludf.DUMMYFUNCTION("""COMPUTED_VALUE"""),"Fall")</f>
        <v>Fall</v>
      </c>
      <c r="P1290" s="8" t="str">
        <f ca="1">IFERROR(__xludf.DUMMYFUNCTION("""COMPUTED_VALUE"""),"Ferndale")</f>
        <v>Ferndale</v>
      </c>
      <c r="Q1290" s="8" t="str">
        <f ca="1">IFERROR(__xludf.DUMMYFUNCTION("""COMPUTED_VALUE"""),"MI")</f>
        <v>MI</v>
      </c>
      <c r="R1290" s="13">
        <f ca="1">IFERROR(__xludf.DUMMYFUNCTION("""COMPUTED_VALUE"""),44724)</f>
        <v>44724</v>
      </c>
      <c r="S1290" s="8" t="str">
        <f ca="1">IFERROR(__xludf.DUMMYFUNCTION("""COMPUTED_VALUE"""),"Parking Lot")</f>
        <v>Parking Lot</v>
      </c>
      <c r="T1290" s="8" t="str">
        <f ca="1">IFERROR(__xludf.DUMMYFUNCTION("""COMPUTED_VALUE"""),"Outside on School Property")</f>
        <v>Outside on School Property</v>
      </c>
      <c r="U1290" s="8" t="str">
        <f ca="1">IFERROR(__xludf.DUMMYFUNCTION("""COMPUTED_VALUE"""),"Yes")</f>
        <v>Yes</v>
      </c>
      <c r="V1290" s="8" t="str">
        <f ca="1">IFERROR(__xludf.DUMMYFUNCTION("""COMPUTED_VALUE"""),"Dismissal")</f>
        <v>Dismissal</v>
      </c>
      <c r="W1290" s="11">
        <f ca="1">IFERROR(__xludf.DUMMYFUNCTION("""COMPUTED_VALUE"""),0.604166666666666)</f>
        <v>0.60416666666666596</v>
      </c>
      <c r="X1290" s="8">
        <f ca="1">IFERROR(__xludf.DUMMYFUNCTION("""COMPUTED_VALUE"""),1)</f>
        <v>1</v>
      </c>
      <c r="Y1290" s="12" t="str">
        <f ca="1">IFERROR(__xludf.DUMMYFUNCTION("""COMPUTED_VALUE"""),"Teen fired shot into the ground during a fight in the parking lot")</f>
        <v>Teen fired shot into the ground during a fight in the parking lot</v>
      </c>
      <c r="Z1290" s="12" t="str">
        <f ca="1">IFERROR(__xludf.DUMMYFUNCTION("""COMPUTED_VALUE"""),"A teen fired a single shot into the ground during a fight in the parking lot between two groups of teens. A group of a teens had surrounded another teen who pulled a knife. After pulling the knife, the shooter retrieved a handgun from a nearby house and c"&amp;"ame back to the school parking lot where the fight resumed. Two teens arrested at the scene.")</f>
        <v>A teen fired a single shot into the ground during a fight in the parking lot between two groups of teens. A group of a teens had surrounded another teen who pulled a knife. After pulling the knife, the shooter retrieved a handgun from a nearby house and came back to the school parking lot where the fight resumed. Two teens arrested at the scene.</v>
      </c>
      <c r="AA1290" s="8" t="str">
        <f ca="1">IFERROR(__xludf.DUMMYFUNCTION("""COMPUTED_VALUE"""),"Escalation of Dispute")</f>
        <v>Escalation of Dispute</v>
      </c>
      <c r="AB1290" s="8"/>
      <c r="AC1290" s="8" t="str">
        <f ca="1">IFERROR(__xludf.DUMMYFUNCTION("""COMPUTED_VALUE"""),"Yes")</f>
        <v>Yes</v>
      </c>
      <c r="AD1290" s="8" t="str">
        <f ca="1">IFERROR(__xludf.DUMMYFUNCTION("""COMPUTED_VALUE"""),"Neither")</f>
        <v>Neither</v>
      </c>
      <c r="AE1290" s="8" t="str">
        <f ca="1">IFERROR(__xludf.DUMMYFUNCTION("""COMPUTED_VALUE"""),"Yes")</f>
        <v>Yes</v>
      </c>
      <c r="AF1290" s="8" t="str">
        <f ca="1">IFERROR(__xludf.DUMMYFUNCTION("""COMPUTED_VALUE"""),"Two teens arrested")</f>
        <v>Two teens arrested</v>
      </c>
      <c r="AG1290" s="8" t="str">
        <f ca="1">IFERROR(__xludf.DUMMYFUNCTION("""COMPUTED_VALUE"""),"No")</f>
        <v>No</v>
      </c>
      <c r="AH1290" s="8" t="str">
        <f ca="1">IFERROR(__xludf.DUMMYFUNCTION("""COMPUTED_VALUE"""),"No")</f>
        <v>No</v>
      </c>
      <c r="AI1290" s="8" t="str">
        <f ca="1">IFERROR(__xludf.DUMMYFUNCTION("""COMPUTED_VALUE"""),"No")</f>
        <v>No</v>
      </c>
      <c r="AJ1290" s="8" t="str">
        <f ca="1">IFERROR(__xludf.DUMMYFUNCTION("""COMPUTED_VALUE"""),"No")</f>
        <v>No</v>
      </c>
      <c r="AK1290" s="8" t="str">
        <f ca="1">IFERROR(__xludf.DUMMYFUNCTION("""COMPUTED_VALUE"""),"No")</f>
        <v>No</v>
      </c>
      <c r="AL1290" s="8"/>
      <c r="AM1290" s="8" t="str">
        <f ca="1">IFERROR(__xludf.DUMMYFUNCTION("""COMPUTED_VALUE"""),"No")</f>
        <v>No</v>
      </c>
      <c r="AN1290" s="8"/>
      <c r="AO1290" s="8" t="str">
        <f ca="1">IFERROR(__xludf.DUMMYFUNCTION("""COMPUTED_VALUE"""),"No")</f>
        <v>No</v>
      </c>
      <c r="AP1290" s="8" t="str">
        <f ca="1">IFERROR(__xludf.DUMMYFUNCTION("""COMPUTED_VALUE"""),"No")</f>
        <v>No</v>
      </c>
      <c r="AQ1290" s="8"/>
      <c r="AR1290" s="8" t="str">
        <f ca="1">IFERROR(__xludf.DUMMYFUNCTION("""COMPUTED_VALUE"""),"Outside/Off-Property")</f>
        <v>Outside/Off-Property</v>
      </c>
      <c r="AS1290" s="8">
        <f ca="1">IFERROR(__xludf.DUMMYFUNCTION("""COMPUTED_VALUE"""),1)</f>
        <v>1</v>
      </c>
      <c r="AT1290" s="8"/>
      <c r="AU1290" s="8">
        <f ca="1">IFERROR(__xludf.DUMMYFUNCTION("""COMPUTED_VALUE"""),42.450196)</f>
        <v>42.450195999999998</v>
      </c>
      <c r="AV1290" s="8">
        <f ca="1">IFERROR(__xludf.DUMMYFUNCTION("""COMPUTED_VALUE"""),-83.159059)</f>
        <v>-83.159058999999999</v>
      </c>
      <c r="AW1290" s="8"/>
      <c r="AX1290" s="8">
        <f ca="1">IFERROR(__xludf.DUMMYFUNCTION("""COMPUTED_VALUE"""),48220)</f>
        <v>48220</v>
      </c>
    </row>
    <row r="1291" spans="1:50" ht="75" x14ac:dyDescent="0.2">
      <c r="A1291" s="8" t="str">
        <f ca="1">IFERROR(__xludf.DUMMYFUNCTION("""COMPUTED_VALUE"""),"20210909ILCHC")</f>
        <v>20210909ILCHC</v>
      </c>
      <c r="B1291" s="8">
        <f ca="1">IFERROR(__xludf.DUMMYFUNCTION("""COMPUTED_VALUE"""),9)</f>
        <v>9</v>
      </c>
      <c r="C1291" s="8">
        <f ca="1">IFERROR(__xludf.DUMMYFUNCTION("""COMPUTED_VALUE"""),9)</f>
        <v>9</v>
      </c>
      <c r="D1291" s="8">
        <f ca="1">IFERROR(__xludf.DUMMYFUNCTION("""COMPUTED_VALUE"""),2021)</f>
        <v>2021</v>
      </c>
      <c r="E1291" s="9">
        <f ca="1">IFERROR(__xludf.DUMMYFUNCTION("""COMPUTED_VALUE"""),44448)</f>
        <v>44448</v>
      </c>
      <c r="F1291" s="8" t="str">
        <f ca="1">IFERROR(__xludf.DUMMYFUNCTION("""COMPUTED_VALUE"""),"Champaign School Bus")</f>
        <v>Champaign School Bus</v>
      </c>
      <c r="G1291" s="8">
        <f ca="1">IFERROR(__xludf.DUMMYFUNCTION("""COMPUTED_VALUE"""),0)</f>
        <v>0</v>
      </c>
      <c r="H1291" s="8">
        <f ca="1">IFERROR(__xludf.DUMMYFUNCTION("""COMPUTED_VALUE"""),1)</f>
        <v>1</v>
      </c>
      <c r="I1291" s="8">
        <f ca="1">IFERROR(__xludf.DUMMYFUNCTION("""COMPUTED_VALUE"""),1)</f>
        <v>1</v>
      </c>
      <c r="J1291" s="8">
        <f ca="1">IFERROR(__xludf.DUMMYFUNCTION("""COMPUTED_VALUE"""),0)</f>
        <v>0</v>
      </c>
      <c r="K1291" s="8" t="str">
        <f ca="1">IFERROR(__xludf.DUMMYFUNCTION("""COMPUTED_VALUE"""),"https://www.wcia.com/news/school-bus-shot-mother-reacts/ https://newschannel20.com/news/local/school-bus-with-kids-inside-struck-by-gunfire-in-champaign")</f>
        <v>https://www.wcia.com/news/school-bus-shot-mother-reacts/ https://newschannel20.com/news/local/school-bus-with-kids-inside-struck-by-gunfire-in-champaign</v>
      </c>
      <c r="L1291" s="8">
        <f ca="1">IFERROR(__xludf.DUMMYFUNCTION("""COMPUTED_VALUE"""),2)</f>
        <v>2</v>
      </c>
      <c r="M1291" s="8" t="str">
        <f ca="1">IFERROR(__xludf.DUMMYFUNCTION("""COMPUTED_VALUE"""),"Local")</f>
        <v>Local</v>
      </c>
      <c r="N1291" s="8">
        <f ca="1">IFERROR(__xludf.DUMMYFUNCTION("""COMPUTED_VALUE"""),3)</f>
        <v>3</v>
      </c>
      <c r="O1291" s="8" t="str">
        <f ca="1">IFERROR(__xludf.DUMMYFUNCTION("""COMPUTED_VALUE"""),"Fall")</f>
        <v>Fall</v>
      </c>
      <c r="P1291" s="8" t="str">
        <f ca="1">IFERROR(__xludf.DUMMYFUNCTION("""COMPUTED_VALUE"""),"Champaign")</f>
        <v>Champaign</v>
      </c>
      <c r="Q1291" s="8" t="str">
        <f ca="1">IFERROR(__xludf.DUMMYFUNCTION("""COMPUTED_VALUE"""),"IL")</f>
        <v>IL</v>
      </c>
      <c r="R1291" s="8" t="str">
        <f ca="1">IFERROR(__xludf.DUMMYFUNCTION("""COMPUTED_VALUE"""),"Elementary")</f>
        <v>Elementary</v>
      </c>
      <c r="S1291" s="8" t="str">
        <f ca="1">IFERROR(__xludf.DUMMYFUNCTION("""COMPUTED_VALUE"""),"School Bus")</f>
        <v>School Bus</v>
      </c>
      <c r="T1291" s="8" t="str">
        <f ca="1">IFERROR(__xludf.DUMMYFUNCTION("""COMPUTED_VALUE"""),"School Bus")</f>
        <v>School Bus</v>
      </c>
      <c r="U1291" s="8" t="str">
        <f ca="1">IFERROR(__xludf.DUMMYFUNCTION("""COMPUTED_VALUE"""),"Yes")</f>
        <v>Yes</v>
      </c>
      <c r="V1291" s="8" t="str">
        <f ca="1">IFERROR(__xludf.DUMMYFUNCTION("""COMPUTED_VALUE"""),"Dismissal")</f>
        <v>Dismissal</v>
      </c>
      <c r="W1291" s="11">
        <f ca="1">IFERROR(__xludf.DUMMYFUNCTION("""COMPUTED_VALUE"""),0.6125)</f>
        <v>0.61250000000000004</v>
      </c>
      <c r="X1291" s="8">
        <f ca="1">IFERROR(__xludf.DUMMYFUNCTION("""COMPUTED_VALUE"""),1)</f>
        <v>1</v>
      </c>
      <c r="Y1291" s="12" t="str">
        <f ca="1">IFERROR(__xludf.DUMMYFUNCTION("""COMPUTED_VALUE"""),"Occupied school bus was struck by bullet during drive-by")</f>
        <v>Occupied school bus was struck by bullet during drive-by</v>
      </c>
      <c r="Z1291" s="12" t="str">
        <f ca="1">IFERROR(__xludf.DUMMYFUNCTION("""COMPUTED_VALUE"""),"A school bus taking kids home from school was struck by one bullet during a drive-by shooting involving another vehicle that was the target. The driver of the targeted vehicle was struck and transported to the hospital. The students and staff on the bus w"&amp;"ere not injured. Shooter fled the scene.")</f>
        <v>A school bus taking kids home from school was struck by one bullet during a drive-by shooting involving another vehicle that was the target. The driver of the targeted vehicle was struck and transported to the hospital. The students and staff on the bus were not injured. Shooter fled the scene.</v>
      </c>
      <c r="AA1291" s="8" t="str">
        <f ca="1">IFERROR(__xludf.DUMMYFUNCTION("""COMPUTED_VALUE"""),"Drive-by Shooting")</f>
        <v>Drive-by Shooting</v>
      </c>
      <c r="AB1291" s="8"/>
      <c r="AC1291" s="8" t="str">
        <f ca="1">IFERROR(__xludf.DUMMYFUNCTION("""COMPUTED_VALUE"""),"Yes")</f>
        <v>Yes</v>
      </c>
      <c r="AD1291" s="8" t="str">
        <f ca="1">IFERROR(__xludf.DUMMYFUNCTION("""COMPUTED_VALUE"""),"Both")</f>
        <v>Both</v>
      </c>
      <c r="AE1291" s="8" t="str">
        <f ca="1">IFERROR(__xludf.DUMMYFUNCTION("""COMPUTED_VALUE"""),"No")</f>
        <v>No</v>
      </c>
      <c r="AF1291" s="8"/>
      <c r="AG1291" s="8" t="str">
        <f ca="1">IFERROR(__xludf.DUMMYFUNCTION("""COMPUTED_VALUE"""),"No")</f>
        <v>No</v>
      </c>
      <c r="AH1291" s="8" t="str">
        <f ca="1">IFERROR(__xludf.DUMMYFUNCTION("""COMPUTED_VALUE"""),"No")</f>
        <v>No</v>
      </c>
      <c r="AI1291" s="8" t="str">
        <f ca="1">IFERROR(__xludf.DUMMYFUNCTION("""COMPUTED_VALUE"""),"No")</f>
        <v>No</v>
      </c>
      <c r="AJ1291" s="8" t="str">
        <f ca="1">IFERROR(__xludf.DUMMYFUNCTION("""COMPUTED_VALUE"""),"No")</f>
        <v>No</v>
      </c>
      <c r="AK1291" s="8" t="str">
        <f ca="1">IFERROR(__xludf.DUMMYFUNCTION("""COMPUTED_VALUE"""),"No")</f>
        <v>No</v>
      </c>
      <c r="AL1291" s="8"/>
      <c r="AM1291" s="8" t="str">
        <f ca="1">IFERROR(__xludf.DUMMYFUNCTION("""COMPUTED_VALUE"""),"No")</f>
        <v>No</v>
      </c>
      <c r="AN1291" s="8"/>
      <c r="AO1291" s="8" t="str">
        <f ca="1">IFERROR(__xludf.DUMMYFUNCTION("""COMPUTED_VALUE"""),"No")</f>
        <v>No</v>
      </c>
      <c r="AP1291" s="8"/>
      <c r="AQ1291" s="8"/>
      <c r="AR1291" s="8" t="str">
        <f ca="1">IFERROR(__xludf.DUMMYFUNCTION("""COMPUTED_VALUE"""),"Outside/Off-Property")</f>
        <v>Outside/Off-Property</v>
      </c>
      <c r="AS1291" s="8"/>
      <c r="AT1291" s="8"/>
      <c r="AU1291" s="8">
        <f ca="1">IFERROR(__xludf.DUMMYFUNCTION("""COMPUTED_VALUE"""),40.129914)</f>
        <v>40.129913999999999</v>
      </c>
      <c r="AV1291" s="8">
        <f ca="1">IFERROR(__xludf.DUMMYFUNCTION("""COMPUTED_VALUE"""),-88.243613)</f>
        <v>-88.243612999999996</v>
      </c>
      <c r="AW1291" s="8"/>
      <c r="AX1291" s="8">
        <f ca="1">IFERROR(__xludf.DUMMYFUNCTION("""COMPUTED_VALUE"""),61820)</f>
        <v>61820</v>
      </c>
    </row>
    <row r="1292" spans="1:50" ht="60" x14ac:dyDescent="0.2">
      <c r="A1292" s="8" t="str">
        <f ca="1">IFERROR(__xludf.DUMMYFUNCTION("""COMPUTED_VALUE"""),"20210908MNPRB")</f>
        <v>20210908MNPRB</v>
      </c>
      <c r="B1292" s="8">
        <f ca="1">IFERROR(__xludf.DUMMYFUNCTION("""COMPUTED_VALUE"""),9)</f>
        <v>9</v>
      </c>
      <c r="C1292" s="8">
        <f ca="1">IFERROR(__xludf.DUMMYFUNCTION("""COMPUTED_VALUE"""),9)</f>
        <v>9</v>
      </c>
      <c r="D1292" s="8">
        <f ca="1">IFERROR(__xludf.DUMMYFUNCTION("""COMPUTED_VALUE"""),2021)</f>
        <v>2021</v>
      </c>
      <c r="E1292" s="9">
        <f ca="1">IFERROR(__xludf.DUMMYFUNCTION("""COMPUTED_VALUE"""),44448)</f>
        <v>44448</v>
      </c>
      <c r="F1292" s="8" t="str">
        <f ca="1">IFERROR(__xludf.DUMMYFUNCTION("""COMPUTED_VALUE"""),"Prairie Seeds Academy")</f>
        <v>Prairie Seeds Academy</v>
      </c>
      <c r="G1292" s="8">
        <f ca="1">IFERROR(__xludf.DUMMYFUNCTION("""COMPUTED_VALUE"""),0)</f>
        <v>0</v>
      </c>
      <c r="H1292" s="8">
        <f ca="1">IFERROR(__xludf.DUMMYFUNCTION("""COMPUTED_VALUE"""),1)</f>
        <v>1</v>
      </c>
      <c r="I1292" s="8">
        <f ca="1">IFERROR(__xludf.DUMMYFUNCTION("""COMPUTED_VALUE"""),1)</f>
        <v>1</v>
      </c>
      <c r="J1292" s="8">
        <f ca="1">IFERROR(__xludf.DUMMYFUNCTION("""COMPUTED_VALUE"""),0)</f>
        <v>0</v>
      </c>
      <c r="K1292" s="10" t="str">
        <f ca="1">IFERROR(__xludf.DUMMYFUNCTION("""COMPUTED_VALUE"""),"https://bringmethenews.com/minnesota-news/brooklyn-park-school-hit-by-bullets-cancels-classes-thursday")</f>
        <v>https://bringmethenews.com/minnesota-news/brooklyn-park-school-hit-by-bullets-cancels-classes-thursday</v>
      </c>
      <c r="L1292" s="8">
        <f ca="1">IFERROR(__xludf.DUMMYFUNCTION("""COMPUTED_VALUE"""),1)</f>
        <v>1</v>
      </c>
      <c r="M1292" s="8" t="str">
        <f ca="1">IFERROR(__xludf.DUMMYFUNCTION("""COMPUTED_VALUE"""),"Local")</f>
        <v>Local</v>
      </c>
      <c r="N1292" s="8">
        <f ca="1">IFERROR(__xludf.DUMMYFUNCTION("""COMPUTED_VALUE"""),4)</f>
        <v>4</v>
      </c>
      <c r="O1292" s="8" t="str">
        <f ca="1">IFERROR(__xludf.DUMMYFUNCTION("""COMPUTED_VALUE"""),"Fall")</f>
        <v>Fall</v>
      </c>
      <c r="P1292" s="8" t="str">
        <f ca="1">IFERROR(__xludf.DUMMYFUNCTION("""COMPUTED_VALUE"""),"Brooklyn Park")</f>
        <v>Brooklyn Park</v>
      </c>
      <c r="Q1292" s="8" t="str">
        <f ca="1">IFERROR(__xludf.DUMMYFUNCTION("""COMPUTED_VALUE"""),"MN")</f>
        <v>MN</v>
      </c>
      <c r="R1292" s="8" t="str">
        <f ca="1">IFERROR(__xludf.DUMMYFUNCTION("""COMPUTED_VALUE"""),"High")</f>
        <v>High</v>
      </c>
      <c r="S1292" s="8" t="str">
        <f ca="1">IFERROR(__xludf.DUMMYFUNCTION("""COMPUTED_VALUE"""),"Front of School")</f>
        <v>Front of School</v>
      </c>
      <c r="T1292" s="8" t="str">
        <f ca="1">IFERROR(__xludf.DUMMYFUNCTION("""COMPUTED_VALUE"""),"Off School Property")</f>
        <v>Off School Property</v>
      </c>
      <c r="U1292" s="8" t="str">
        <f ca="1">IFERROR(__xludf.DUMMYFUNCTION("""COMPUTED_VALUE"""),"No")</f>
        <v>No</v>
      </c>
      <c r="V1292" s="8" t="str">
        <f ca="1">IFERROR(__xludf.DUMMYFUNCTION("""COMPUTED_VALUE"""),"Evening")</f>
        <v>Evening</v>
      </c>
      <c r="W1292" s="11">
        <f ca="1">IFERROR(__xludf.DUMMYFUNCTION("""COMPUTED_VALUE"""),0.798611111111111)</f>
        <v>0.79861111111111105</v>
      </c>
      <c r="X1292" s="8">
        <f ca="1">IFERROR(__xludf.DUMMYFUNCTION("""COMPUTED_VALUE"""),1)</f>
        <v>1</v>
      </c>
      <c r="Y1292" s="12" t="str">
        <f ca="1">IFERROR(__xludf.DUMMYFUNCTION("""COMPUTED_VALUE"""),"Multiple people shooting, bullets struck the school building")</f>
        <v>Multiple people shooting, bullets struck the school building</v>
      </c>
      <c r="Z1292" s="12" t="str">
        <f ca="1">IFERROR(__xludf.DUMMYFUNCTION("""COMPUTED_VALUE"""),"Police were called for multiple people shooting near the school. Shooters fled the area. School building was struck by multiple bullets and damaged. Classes were cancelled the following day.")</f>
        <v>Police were called for multiple people shooting near the school. Shooters fled the area. School building was struck by multiple bullets and damaged. Classes were cancelled the following day.</v>
      </c>
      <c r="AA1292" s="8"/>
      <c r="AB1292" s="8"/>
      <c r="AC1292" s="8" t="str">
        <f ca="1">IFERROR(__xludf.DUMMYFUNCTION("""COMPUTED_VALUE"""),"Yes")</f>
        <v>Yes</v>
      </c>
      <c r="AD1292" s="8" t="str">
        <f ca="1">IFERROR(__xludf.DUMMYFUNCTION("""COMPUTED_VALUE"""),"Both")</f>
        <v>Both</v>
      </c>
      <c r="AE1292" s="8" t="str">
        <f ca="1">IFERROR(__xludf.DUMMYFUNCTION("""COMPUTED_VALUE"""),"Yes")</f>
        <v>Yes</v>
      </c>
      <c r="AF1292" s="8" t="str">
        <f ca="1">IFERROR(__xludf.DUMMYFUNCTION("""COMPUTED_VALUE"""),"Multiple people shootings")</f>
        <v>Multiple people shootings</v>
      </c>
      <c r="AG1292" s="8" t="str">
        <f ca="1">IFERROR(__xludf.DUMMYFUNCTION("""COMPUTED_VALUE"""),"No")</f>
        <v>No</v>
      </c>
      <c r="AH1292" s="8" t="str">
        <f ca="1">IFERROR(__xludf.DUMMYFUNCTION("""COMPUTED_VALUE"""),"No")</f>
        <v>No</v>
      </c>
      <c r="AI1292" s="8" t="str">
        <f ca="1">IFERROR(__xludf.DUMMYFUNCTION("""COMPUTED_VALUE"""),"No")</f>
        <v>No</v>
      </c>
      <c r="AJ1292" s="8" t="str">
        <f ca="1">IFERROR(__xludf.DUMMYFUNCTION("""COMPUTED_VALUE"""),"No")</f>
        <v>No</v>
      </c>
      <c r="AK1292" s="8" t="str">
        <f ca="1">IFERROR(__xludf.DUMMYFUNCTION("""COMPUTED_VALUE"""),"No")</f>
        <v>No</v>
      </c>
      <c r="AL1292" s="8"/>
      <c r="AM1292" s="8" t="str">
        <f ca="1">IFERROR(__xludf.DUMMYFUNCTION("""COMPUTED_VALUE"""),"No")</f>
        <v>No</v>
      </c>
      <c r="AN1292" s="8"/>
      <c r="AO1292" s="8" t="str">
        <f ca="1">IFERROR(__xludf.DUMMYFUNCTION("""COMPUTED_VALUE"""),"No")</f>
        <v>No</v>
      </c>
      <c r="AP1292" s="8"/>
      <c r="AQ1292" s="8"/>
      <c r="AR1292" s="8" t="str">
        <f ca="1">IFERROR(__xludf.DUMMYFUNCTION("""COMPUTED_VALUE"""),"Outside/Off-Property")</f>
        <v>Outside/Off-Property</v>
      </c>
      <c r="AS1292" s="8"/>
      <c r="AT1292" s="8"/>
      <c r="AU1292" s="8">
        <f ca="1">IFERROR(__xludf.DUMMYFUNCTION("""COMPUTED_VALUE"""),45.065819)</f>
        <v>45.065818999999998</v>
      </c>
      <c r="AV1292" s="8">
        <f ca="1">IFERROR(__xludf.DUMMYFUNCTION("""COMPUTED_VALUE"""),-93.373105)</f>
        <v>-93.373104999999995</v>
      </c>
      <c r="AW1292" s="8"/>
      <c r="AX1292" s="8">
        <f ca="1">IFERROR(__xludf.DUMMYFUNCTION("""COMPUTED_VALUE"""),55428)</f>
        <v>55428</v>
      </c>
    </row>
    <row r="1293" spans="1:50" ht="60" x14ac:dyDescent="0.2">
      <c r="A1293" s="8" t="str">
        <f ca="1">IFERROR(__xludf.DUMMYFUNCTION("""COMPUTED_VALUE"""),"20210908ILCEC")</f>
        <v>20210908ILCEC</v>
      </c>
      <c r="B1293" s="8">
        <f ca="1">IFERROR(__xludf.DUMMYFUNCTION("""COMPUTED_VALUE"""),9)</f>
        <v>9</v>
      </c>
      <c r="C1293" s="8">
        <f ca="1">IFERROR(__xludf.DUMMYFUNCTION("""COMPUTED_VALUE"""),8)</f>
        <v>8</v>
      </c>
      <c r="D1293" s="8">
        <f ca="1">IFERROR(__xludf.DUMMYFUNCTION("""COMPUTED_VALUE"""),2021)</f>
        <v>2021</v>
      </c>
      <c r="E1293" s="9">
        <f ca="1">IFERROR(__xludf.DUMMYFUNCTION("""COMPUTED_VALUE"""),44447)</f>
        <v>44447</v>
      </c>
      <c r="F1293" s="8" t="str">
        <f ca="1">IFERROR(__xludf.DUMMYFUNCTION("""COMPUTED_VALUE"""),"Centennial High School")</f>
        <v>Centennial High School</v>
      </c>
      <c r="G1293" s="8">
        <f ca="1">IFERROR(__xludf.DUMMYFUNCTION("""COMPUTED_VALUE"""),0)</f>
        <v>0</v>
      </c>
      <c r="H1293" s="8">
        <f ca="1">IFERROR(__xludf.DUMMYFUNCTION("""COMPUTED_VALUE"""),0)</f>
        <v>0</v>
      </c>
      <c r="I1293" s="8">
        <f ca="1">IFERROR(__xludf.DUMMYFUNCTION("""COMPUTED_VALUE"""),0)</f>
        <v>0</v>
      </c>
      <c r="J1293" s="8">
        <f ca="1">IFERROR(__xludf.DUMMYFUNCTION("""COMPUTED_VALUE"""),0)</f>
        <v>0</v>
      </c>
      <c r="K1293" s="8" t="str">
        <f ca="1">IFERROR(__xludf.DUMMYFUNCTION("""COMPUTED_VALUE"""),"https://www.wcia.com/news/students-react-to-shots-fired-outside-school/ https://www.wandtv.com/news/centennial-high-school-student-wanted-by-police-after-pulling-out-a-gun-during-school-altercation/article_ea3b34d0-1658-11ec-8840-872abcecb1a6.html")</f>
        <v>https://www.wcia.com/news/students-react-to-shots-fired-outside-school/ https://www.wandtv.com/news/centennial-high-school-student-wanted-by-police-after-pulling-out-a-gun-during-school-altercation/article_ea3b34d0-1658-11ec-8840-872abcecb1a6.html</v>
      </c>
      <c r="L1293" s="8">
        <f ca="1">IFERROR(__xludf.DUMMYFUNCTION("""COMPUTED_VALUE"""),2)</f>
        <v>2</v>
      </c>
      <c r="M1293" s="8" t="str">
        <f ca="1">IFERROR(__xludf.DUMMYFUNCTION("""COMPUTED_VALUE"""),"Local")</f>
        <v>Local</v>
      </c>
      <c r="N1293" s="8">
        <f ca="1">IFERROR(__xludf.DUMMYFUNCTION("""COMPUTED_VALUE"""),4)</f>
        <v>4</v>
      </c>
      <c r="O1293" s="8" t="str">
        <f ca="1">IFERROR(__xludf.DUMMYFUNCTION("""COMPUTED_VALUE"""),"Fall")</f>
        <v>Fall</v>
      </c>
      <c r="P1293" s="8" t="str">
        <f ca="1">IFERROR(__xludf.DUMMYFUNCTION("""COMPUTED_VALUE"""),"Champaign")</f>
        <v>Champaign</v>
      </c>
      <c r="Q1293" s="8" t="str">
        <f ca="1">IFERROR(__xludf.DUMMYFUNCTION("""COMPUTED_VALUE"""),"IL")</f>
        <v>IL</v>
      </c>
      <c r="R1293" s="8" t="str">
        <f ca="1">IFERROR(__xludf.DUMMYFUNCTION("""COMPUTED_VALUE"""),"High")</f>
        <v>High</v>
      </c>
      <c r="S1293" s="8" t="str">
        <f ca="1">IFERROR(__xludf.DUMMYFUNCTION("""COMPUTED_VALUE"""),"Hallway")</f>
        <v>Hallway</v>
      </c>
      <c r="T1293" s="8" t="str">
        <f ca="1">IFERROR(__xludf.DUMMYFUNCTION("""COMPUTED_VALUE"""),"Inside School Building")</f>
        <v>Inside School Building</v>
      </c>
      <c r="U1293" s="8" t="str">
        <f ca="1">IFERROR(__xludf.DUMMYFUNCTION("""COMPUTED_VALUE"""),"Yes")</f>
        <v>Yes</v>
      </c>
      <c r="V1293" s="8" t="str">
        <f ca="1">IFERROR(__xludf.DUMMYFUNCTION("""COMPUTED_VALUE"""),"Afternoon Classes")</f>
        <v>Afternoon Classes</v>
      </c>
      <c r="W1293" s="11">
        <f ca="1">IFERROR(__xludf.DUMMYFUNCTION("""COMPUTED_VALUE"""),0.541666666666666)</f>
        <v>0.54166666666666596</v>
      </c>
      <c r="X1293" s="8">
        <f ca="1">IFERROR(__xludf.DUMMYFUNCTION("""COMPUTED_VALUE"""),1)</f>
        <v>1</v>
      </c>
      <c r="Y1293" s="12" t="str">
        <f ca="1">IFERROR(__xludf.DUMMYFUNCTION("""COMPUTED_VALUE"""),"Student pulled gun during fight in hallway then fled the school")</f>
        <v>Student pulled gun during fight in hallway then fled the school</v>
      </c>
      <c r="Z1293" s="12" t="str">
        <f ca="1">IFERROR(__xludf.DUMMYFUNCTION("""COMPUTED_VALUE"""),"An 18-year-old student pulled a gun in the school hallway during a fight and then fled the school. School was placed on lockdown. Student was identified by police.")</f>
        <v>An 18-year-old student pulled a gun in the school hallway during a fight and then fled the school. School was placed on lockdown. Student was identified by police.</v>
      </c>
      <c r="AA1293" s="8" t="str">
        <f ca="1">IFERROR(__xludf.DUMMYFUNCTION("""COMPUTED_VALUE"""),"Escalation of Dispute")</f>
        <v>Escalation of Dispute</v>
      </c>
      <c r="AB1293" s="8"/>
      <c r="AC1293" s="8" t="str">
        <f ca="1">IFERROR(__xludf.DUMMYFUNCTION("""COMPUTED_VALUE"""),"Yes")</f>
        <v>Yes</v>
      </c>
      <c r="AD1293" s="8" t="str">
        <f ca="1">IFERROR(__xludf.DUMMYFUNCTION("""COMPUTED_VALUE"""),"Victims Targeted")</f>
        <v>Victims Targeted</v>
      </c>
      <c r="AE1293" s="8" t="str">
        <f ca="1">IFERROR(__xludf.DUMMYFUNCTION("""COMPUTED_VALUE"""),"No")</f>
        <v>No</v>
      </c>
      <c r="AF1293" s="8"/>
      <c r="AG1293" s="8" t="str">
        <f ca="1">IFERROR(__xludf.DUMMYFUNCTION("""COMPUTED_VALUE"""),"No")</f>
        <v>No</v>
      </c>
      <c r="AH1293" s="8" t="str">
        <f ca="1">IFERROR(__xludf.DUMMYFUNCTION("""COMPUTED_VALUE"""),"No")</f>
        <v>No</v>
      </c>
      <c r="AI1293" s="8" t="str">
        <f ca="1">IFERROR(__xludf.DUMMYFUNCTION("""COMPUTED_VALUE"""),"No")</f>
        <v>No</v>
      </c>
      <c r="AJ1293" s="8" t="str">
        <f ca="1">IFERROR(__xludf.DUMMYFUNCTION("""COMPUTED_VALUE"""),"No")</f>
        <v>No</v>
      </c>
      <c r="AK1293" s="8" t="str">
        <f ca="1">IFERROR(__xludf.DUMMYFUNCTION("""COMPUTED_VALUE"""),"No")</f>
        <v>No</v>
      </c>
      <c r="AL1293" s="8" t="str">
        <f ca="1">IFERROR(__xludf.DUMMYFUNCTION("""COMPUTED_VALUE"""),"No")</f>
        <v>No</v>
      </c>
      <c r="AM1293" s="8" t="str">
        <f ca="1">IFERROR(__xludf.DUMMYFUNCTION("""COMPUTED_VALUE"""),"No")</f>
        <v>No</v>
      </c>
      <c r="AN1293" s="8"/>
      <c r="AO1293" s="8" t="str">
        <f ca="1">IFERROR(__xludf.DUMMYFUNCTION("""COMPUTED_VALUE"""),"No")</f>
        <v>No</v>
      </c>
      <c r="AP1293" s="8"/>
      <c r="AQ1293" s="8"/>
      <c r="AR1293" s="8" t="str">
        <f ca="1">IFERROR(__xludf.DUMMYFUNCTION("""COMPUTED_VALUE"""),"Failed")</f>
        <v>Failed</v>
      </c>
      <c r="AS1293" s="8">
        <f ca="1">IFERROR(__xludf.DUMMYFUNCTION("""COMPUTED_VALUE"""),0)</f>
        <v>0</v>
      </c>
      <c r="AT1293" s="8" t="str">
        <f ca="1">IFERROR(__xludf.DUMMYFUNCTION("""COMPUTED_VALUE"""),"Yes")</f>
        <v>Yes</v>
      </c>
      <c r="AU1293" s="8">
        <f ca="1">IFERROR(__xludf.DUMMYFUNCTION("""COMPUTED_VALUE"""),40.105655)</f>
        <v>40.105654999999999</v>
      </c>
      <c r="AV1293" s="8">
        <f ca="1">IFERROR(__xludf.DUMMYFUNCTION("""COMPUTED_VALUE"""),-88.282496)</f>
        <v>-88.282495999999995</v>
      </c>
      <c r="AW1293" s="8"/>
      <c r="AX1293" s="8">
        <f ca="1">IFERROR(__xludf.DUMMYFUNCTION("""COMPUTED_VALUE"""),61821)</f>
        <v>61821</v>
      </c>
    </row>
    <row r="1294" spans="1:50" ht="75" x14ac:dyDescent="0.2">
      <c r="A1294" s="8" t="str">
        <f ca="1">IFERROR(__xludf.DUMMYFUNCTION("""COMPUTED_VALUE"""),"20210907TNLAL")</f>
        <v>20210907TNLAL</v>
      </c>
      <c r="B1294" s="8">
        <f ca="1">IFERROR(__xludf.DUMMYFUNCTION("""COMPUTED_VALUE"""),9)</f>
        <v>9</v>
      </c>
      <c r="C1294" s="8">
        <f ca="1">IFERROR(__xludf.DUMMYFUNCTION("""COMPUTED_VALUE"""),7)</f>
        <v>7</v>
      </c>
      <c r="D1294" s="8">
        <f ca="1">IFERROR(__xludf.DUMMYFUNCTION("""COMPUTED_VALUE"""),2021)</f>
        <v>2021</v>
      </c>
      <c r="E1294" s="9">
        <f ca="1">IFERROR(__xludf.DUMMYFUNCTION("""COMPUTED_VALUE"""),44446)</f>
        <v>44446</v>
      </c>
      <c r="F1294" s="8" t="str">
        <f ca="1">IFERROR(__xludf.DUMMYFUNCTION("""COMPUTED_VALUE"""),"La Vergne High School")</f>
        <v>La Vergne High School</v>
      </c>
      <c r="G1294" s="8">
        <f ca="1">IFERROR(__xludf.DUMMYFUNCTION("""COMPUTED_VALUE"""),0)</f>
        <v>0</v>
      </c>
      <c r="H1294" s="8">
        <f ca="1">IFERROR(__xludf.DUMMYFUNCTION("""COMPUTED_VALUE"""),0)</f>
        <v>0</v>
      </c>
      <c r="I1294" s="8">
        <f ca="1">IFERROR(__xludf.DUMMYFUNCTION("""COMPUTED_VALUE"""),0)</f>
        <v>0</v>
      </c>
      <c r="J1294" s="8">
        <f ca="1">IFERROR(__xludf.DUMMYFUNCTION("""COMPUTED_VALUE"""),0)</f>
        <v>0</v>
      </c>
      <c r="K1294" s="8" t="str">
        <f ca="1">IFERROR(__xludf.DUMMYFUNCTION("""COMPUTED_VALUE"""),"https://fox17.com/news/local/shots-fired-toward-la-vergne-high-school-two-teens-arrested-tennessee-crime-alert-rutherford-county https://www.wkrn.com/news/2-charged-after-shots-fired-near-la-vergne-high-school/ https://www.newschannel5.com/news/two-charge"&amp;"d-in-shooting-outside-la-vergne-high-school-no-injuries-reported")</f>
        <v>https://fox17.com/news/local/shots-fired-toward-la-vergne-high-school-two-teens-arrested-tennessee-crime-alert-rutherford-county https://www.wkrn.com/news/2-charged-after-shots-fired-near-la-vergne-high-school/ https://www.newschannel5.com/news/two-charged-in-shooting-outside-la-vergne-high-school-no-injuries-reported</v>
      </c>
      <c r="L1294" s="8">
        <f ca="1">IFERROR(__xludf.DUMMYFUNCTION("""COMPUTED_VALUE"""),5)</f>
        <v>5</v>
      </c>
      <c r="M1294" s="8" t="str">
        <f ca="1">IFERROR(__xludf.DUMMYFUNCTION("""COMPUTED_VALUE"""),"Local")</f>
        <v>Local</v>
      </c>
      <c r="N1294" s="8">
        <f ca="1">IFERROR(__xludf.DUMMYFUNCTION("""COMPUTED_VALUE"""),4)</f>
        <v>4</v>
      </c>
      <c r="O1294" s="8" t="str">
        <f ca="1">IFERROR(__xludf.DUMMYFUNCTION("""COMPUTED_VALUE"""),"Fall")</f>
        <v>Fall</v>
      </c>
      <c r="P1294" s="8" t="str">
        <f ca="1">IFERROR(__xludf.DUMMYFUNCTION("""COMPUTED_VALUE"""),"La Vergne")</f>
        <v>La Vergne</v>
      </c>
      <c r="Q1294" s="8" t="str">
        <f ca="1">IFERROR(__xludf.DUMMYFUNCTION("""COMPUTED_VALUE"""),"TN")</f>
        <v>TN</v>
      </c>
      <c r="R1294" s="8" t="str">
        <f ca="1">IFERROR(__xludf.DUMMYFUNCTION("""COMPUTED_VALUE"""),"High")</f>
        <v>High</v>
      </c>
      <c r="S1294" s="8" t="str">
        <f ca="1">IFERROR(__xludf.DUMMYFUNCTION("""COMPUTED_VALUE"""),"Parking Lot")</f>
        <v>Parking Lot</v>
      </c>
      <c r="T1294" s="8" t="str">
        <f ca="1">IFERROR(__xludf.DUMMYFUNCTION("""COMPUTED_VALUE"""),"Outside on School Property")</f>
        <v>Outside on School Property</v>
      </c>
      <c r="U1294" s="8" t="str">
        <f ca="1">IFERROR(__xludf.DUMMYFUNCTION("""COMPUTED_VALUE"""),"Yes")</f>
        <v>Yes</v>
      </c>
      <c r="V1294" s="8" t="str">
        <f ca="1">IFERROR(__xludf.DUMMYFUNCTION("""COMPUTED_VALUE"""),"Dismissal")</f>
        <v>Dismissal</v>
      </c>
      <c r="W1294" s="11">
        <f ca="1">IFERROR(__xludf.DUMMYFUNCTION("""COMPUTED_VALUE"""),0.625)</f>
        <v>0.625</v>
      </c>
      <c r="X1294" s="8">
        <f ca="1">IFERROR(__xludf.DUMMYFUNCTION("""COMPUTED_VALUE"""),1)</f>
        <v>1</v>
      </c>
      <c r="Y1294" s="12" t="str">
        <f ca="1">IFERROR(__xludf.DUMMYFUNCTION("""COMPUTED_VALUE"""),"Teen fired shots in parking lot during dismissal")</f>
        <v>Teen fired shots in parking lot during dismissal</v>
      </c>
      <c r="Z1294" s="12" t="str">
        <f ca="1">IFERROR(__xludf.DUMMYFUNCTION("""COMPUTED_VALUE"""),"A 15-year-old student fired three shots in the school parking lot during dismissal. No students were injured. A vehicle was struck. The SRO responded and stopped a vehicle near the school with the suspect inside. A second student was also arrested with a "&amp;"second handgun.")</f>
        <v>A 15-year-old student fired three shots in the school parking lot during dismissal. No students were injured. A vehicle was struck. The SRO responded and stopped a vehicle near the school with the suspect inside. A second student was also arrested with a second handgun.</v>
      </c>
      <c r="AA1294" s="8" t="str">
        <f ca="1">IFERROR(__xludf.DUMMYFUNCTION("""COMPUTED_VALUE"""),"Escalation of Dispute")</f>
        <v>Escalation of Dispute</v>
      </c>
      <c r="AB1294" s="8"/>
      <c r="AC1294" s="8" t="str">
        <f ca="1">IFERROR(__xludf.DUMMYFUNCTION("""COMPUTED_VALUE"""),"Yes")</f>
        <v>Yes</v>
      </c>
      <c r="AD1294" s="8" t="str">
        <f ca="1">IFERROR(__xludf.DUMMYFUNCTION("""COMPUTED_VALUE"""),"Random Shooting")</f>
        <v>Random Shooting</v>
      </c>
      <c r="AE1294" s="8" t="str">
        <f ca="1">IFERROR(__xludf.DUMMYFUNCTION("""COMPUTED_VALUE"""),"No")</f>
        <v>No</v>
      </c>
      <c r="AF1294" s="8"/>
      <c r="AG1294" s="8" t="str">
        <f ca="1">IFERROR(__xludf.DUMMYFUNCTION("""COMPUTED_VALUE"""),"No")</f>
        <v>No</v>
      </c>
      <c r="AH1294" s="8" t="str">
        <f ca="1">IFERROR(__xludf.DUMMYFUNCTION("""COMPUTED_VALUE"""),"No")</f>
        <v>No</v>
      </c>
      <c r="AI1294" s="8" t="str">
        <f ca="1">IFERROR(__xludf.DUMMYFUNCTION("""COMPUTED_VALUE"""),"No")</f>
        <v>No</v>
      </c>
      <c r="AJ1294" s="8" t="str">
        <f ca="1">IFERROR(__xludf.DUMMYFUNCTION("""COMPUTED_VALUE"""),"No")</f>
        <v>No</v>
      </c>
      <c r="AK1294" s="8" t="str">
        <f ca="1">IFERROR(__xludf.DUMMYFUNCTION("""COMPUTED_VALUE"""),"No")</f>
        <v>No</v>
      </c>
      <c r="AL1294" s="8"/>
      <c r="AM1294" s="8" t="str">
        <f ca="1">IFERROR(__xludf.DUMMYFUNCTION("""COMPUTED_VALUE"""),"No")</f>
        <v>No</v>
      </c>
      <c r="AN1294" s="8"/>
      <c r="AO1294" s="8" t="str">
        <f ca="1">IFERROR(__xludf.DUMMYFUNCTION("""COMPUTED_VALUE"""),"No")</f>
        <v>No</v>
      </c>
      <c r="AP1294" s="8" t="str">
        <f ca="1">IFERROR(__xludf.DUMMYFUNCTION("""COMPUTED_VALUE"""),"Yes")</f>
        <v>Yes</v>
      </c>
      <c r="AQ1294" s="8" t="str">
        <f ca="1">IFERROR(__xludf.DUMMYFUNCTION("""COMPUTED_VALUE"""),"Armed Guards")</f>
        <v>Armed Guards</v>
      </c>
      <c r="AR1294" s="8" t="str">
        <f ca="1">IFERROR(__xludf.DUMMYFUNCTION("""COMPUTED_VALUE"""),"Outside/Off-Property")</f>
        <v>Outside/Off-Property</v>
      </c>
      <c r="AS1294" s="8">
        <f ca="1">IFERROR(__xludf.DUMMYFUNCTION("""COMPUTED_VALUE"""),3)</f>
        <v>3</v>
      </c>
      <c r="AT1294" s="8"/>
      <c r="AU1294" s="8">
        <f ca="1">IFERROR(__xludf.DUMMYFUNCTION("""COMPUTED_VALUE"""),35.989237)</f>
        <v>35.989237000000003</v>
      </c>
      <c r="AV1294" s="8">
        <f ca="1">IFERROR(__xludf.DUMMYFUNCTION("""COMPUTED_VALUE"""),-86.560042)</f>
        <v>-86.560041999999996</v>
      </c>
      <c r="AW1294" s="8"/>
      <c r="AX1294" s="8">
        <f ca="1">IFERROR(__xludf.DUMMYFUNCTION("""COMPUTED_VALUE"""),37086)</f>
        <v>37086</v>
      </c>
    </row>
    <row r="1295" spans="1:50" ht="60" x14ac:dyDescent="0.2">
      <c r="A1295" s="8" t="str">
        <f ca="1">IFERROR(__xludf.DUMMYFUNCTION("""COMPUTED_VALUE"""),"20210907PAHAH")</f>
        <v>20210907PAHAH</v>
      </c>
      <c r="B1295" s="8">
        <f ca="1">IFERROR(__xludf.DUMMYFUNCTION("""COMPUTED_VALUE"""),9)</f>
        <v>9</v>
      </c>
      <c r="C1295" s="8">
        <f ca="1">IFERROR(__xludf.DUMMYFUNCTION("""COMPUTED_VALUE"""),7)</f>
        <v>7</v>
      </c>
      <c r="D1295" s="8">
        <f ca="1">IFERROR(__xludf.DUMMYFUNCTION("""COMPUTED_VALUE"""),2021)</f>
        <v>2021</v>
      </c>
      <c r="E1295" s="9">
        <f ca="1">IFERROR(__xludf.DUMMYFUNCTION("""COMPUTED_VALUE"""),44446)</f>
        <v>44446</v>
      </c>
      <c r="F1295" s="8" t="str">
        <f ca="1">IFERROR(__xludf.DUMMYFUNCTION("""COMPUTED_VALUE"""),"Harrisburg High School")</f>
        <v>Harrisburg High School</v>
      </c>
      <c r="G1295" s="8">
        <f ca="1">IFERROR(__xludf.DUMMYFUNCTION("""COMPUTED_VALUE"""),0)</f>
        <v>0</v>
      </c>
      <c r="H1295" s="8">
        <f ca="1">IFERROR(__xludf.DUMMYFUNCTION("""COMPUTED_VALUE"""),0)</f>
        <v>0</v>
      </c>
      <c r="I1295" s="8">
        <f ca="1">IFERROR(__xludf.DUMMYFUNCTION("""COMPUTED_VALUE"""),0)</f>
        <v>0</v>
      </c>
      <c r="J1295" s="8">
        <f ca="1">IFERROR(__xludf.DUMMYFUNCTION("""COMPUTED_VALUE"""),0)</f>
        <v>0</v>
      </c>
      <c r="K1295" s="8" t="str">
        <f ca="1">IFERROR(__xludf.DUMMYFUNCTION("""COMPUTED_VALUE"""),"https://www.wgal.com/article/police-at-the-scene-of-a-shots-fired-incident-at-john-harris-high-school-in-harrisburg/37502796# https://www.abc27.com/news/local/harrisburg/gunshots-fired-at-john-harris-high-school-in-harrisburg/ https://www.abc27.com/news/l"&amp;"ocal/harrisburg/harrisburg-police-continue-investigation-into-shooting-on-harrisburg-high-school-grounds/ https://www.pennlive.com/news/2021/09/shooting-reported-at-harrisburg-high-school-police.html")</f>
        <v>https://www.wgal.com/article/police-at-the-scene-of-a-shots-fired-incident-at-john-harris-high-school-in-harrisburg/37502796# https://www.abc27.com/news/local/harrisburg/gunshots-fired-at-john-harris-high-school-in-harrisburg/ https://www.abc27.com/news/local/harrisburg/harrisburg-police-continue-investigation-into-shooting-on-harrisburg-high-school-grounds/ https://www.pennlive.com/news/2021/09/shooting-reported-at-harrisburg-high-school-police.html</v>
      </c>
      <c r="L1295" s="8">
        <f ca="1">IFERROR(__xludf.DUMMYFUNCTION("""COMPUTED_VALUE"""),5)</f>
        <v>5</v>
      </c>
      <c r="M1295" s="8" t="str">
        <f ca="1">IFERROR(__xludf.DUMMYFUNCTION("""COMPUTED_VALUE"""),"Local")</f>
        <v>Local</v>
      </c>
      <c r="N1295" s="8">
        <f ca="1">IFERROR(__xludf.DUMMYFUNCTION("""COMPUTED_VALUE"""),4)</f>
        <v>4</v>
      </c>
      <c r="O1295" s="8" t="str">
        <f ca="1">IFERROR(__xludf.DUMMYFUNCTION("""COMPUTED_VALUE"""),"Fall")</f>
        <v>Fall</v>
      </c>
      <c r="P1295" s="8" t="str">
        <f ca="1">IFERROR(__xludf.DUMMYFUNCTION("""COMPUTED_VALUE"""),"Harrisburg")</f>
        <v>Harrisburg</v>
      </c>
      <c r="Q1295" s="8" t="str">
        <f ca="1">IFERROR(__xludf.DUMMYFUNCTION("""COMPUTED_VALUE"""),"PA")</f>
        <v>PA</v>
      </c>
      <c r="R1295" s="8" t="str">
        <f ca="1">IFERROR(__xludf.DUMMYFUNCTION("""COMPUTED_VALUE"""),"High")</f>
        <v>High</v>
      </c>
      <c r="S1295" s="8" t="str">
        <f ca="1">IFERROR(__xludf.DUMMYFUNCTION("""COMPUTED_VALUE"""),"Parking Lot")</f>
        <v>Parking Lot</v>
      </c>
      <c r="T1295" s="8" t="str">
        <f ca="1">IFERROR(__xludf.DUMMYFUNCTION("""COMPUTED_VALUE"""),"Outside on School Property")</f>
        <v>Outside on School Property</v>
      </c>
      <c r="U1295" s="8" t="str">
        <f ca="1">IFERROR(__xludf.DUMMYFUNCTION("""COMPUTED_VALUE"""),"Yes")</f>
        <v>Yes</v>
      </c>
      <c r="V1295" s="8" t="str">
        <f ca="1">IFERROR(__xludf.DUMMYFUNCTION("""COMPUTED_VALUE"""),"Dismissal")</f>
        <v>Dismissal</v>
      </c>
      <c r="W1295" s="11">
        <f ca="1">IFERROR(__xludf.DUMMYFUNCTION("""COMPUTED_VALUE"""),0.125)</f>
        <v>0.125</v>
      </c>
      <c r="X1295" s="8">
        <f ca="1">IFERROR(__xludf.DUMMYFUNCTION("""COMPUTED_VALUE"""),1)</f>
        <v>1</v>
      </c>
      <c r="Y1295" s="12" t="str">
        <f ca="1">IFERROR(__xludf.DUMMYFUNCTION("""COMPUTED_VALUE"""),"Shots fired during fight in the parking lot")</f>
        <v>Shots fired during fight in the parking lot</v>
      </c>
      <c r="Z1295" s="12" t="str">
        <f ca="1">IFERROR(__xludf.DUMMYFUNCTION("""COMPUTED_VALUE"""),"Shots fired during a fight in the school parking lot. Shooter and others involved fled before police arrived. Police found a shell casing on school property. School switched to virtual classes the following day while police investigated.")</f>
        <v>Shots fired during a fight in the school parking lot. Shooter and others involved fled before police arrived. Police found a shell casing on school property. School switched to virtual classes the following day while police investigated.</v>
      </c>
      <c r="AA1295" s="8" t="str">
        <f ca="1">IFERROR(__xludf.DUMMYFUNCTION("""COMPUTED_VALUE"""),"Escalation of Dispute")</f>
        <v>Escalation of Dispute</v>
      </c>
      <c r="AB1295" s="8"/>
      <c r="AC1295" s="8" t="str">
        <f ca="1">IFERROR(__xludf.DUMMYFUNCTION("""COMPUTED_VALUE"""),"Yes")</f>
        <v>Yes</v>
      </c>
      <c r="AD1295" s="8" t="str">
        <f ca="1">IFERROR(__xludf.DUMMYFUNCTION("""COMPUTED_VALUE"""),"Neither")</f>
        <v>Neither</v>
      </c>
      <c r="AE1295" s="8" t="str">
        <f ca="1">IFERROR(__xludf.DUMMYFUNCTION("""COMPUTED_VALUE"""),"No")</f>
        <v>No</v>
      </c>
      <c r="AF1295" s="8"/>
      <c r="AG1295" s="8" t="str">
        <f ca="1">IFERROR(__xludf.DUMMYFUNCTION("""COMPUTED_VALUE"""),"No")</f>
        <v>No</v>
      </c>
      <c r="AH1295" s="8" t="str">
        <f ca="1">IFERROR(__xludf.DUMMYFUNCTION("""COMPUTED_VALUE"""),"No")</f>
        <v>No</v>
      </c>
      <c r="AI1295" s="8" t="str">
        <f ca="1">IFERROR(__xludf.DUMMYFUNCTION("""COMPUTED_VALUE"""),"No")</f>
        <v>No</v>
      </c>
      <c r="AJ1295" s="8" t="str">
        <f ca="1">IFERROR(__xludf.DUMMYFUNCTION("""COMPUTED_VALUE"""),"No")</f>
        <v>No</v>
      </c>
      <c r="AK1295" s="8" t="str">
        <f ca="1">IFERROR(__xludf.DUMMYFUNCTION("""COMPUTED_VALUE"""),"No")</f>
        <v>No</v>
      </c>
      <c r="AL1295" s="8" t="str">
        <f ca="1">IFERROR(__xludf.DUMMYFUNCTION("""COMPUTED_VALUE"""),"No")</f>
        <v>No</v>
      </c>
      <c r="AM1295" s="8" t="str">
        <f ca="1">IFERROR(__xludf.DUMMYFUNCTION("""COMPUTED_VALUE"""),"No")</f>
        <v>No</v>
      </c>
      <c r="AN1295" s="8"/>
      <c r="AO1295" s="8" t="str">
        <f ca="1">IFERROR(__xludf.DUMMYFUNCTION("""COMPUTED_VALUE"""),"No")</f>
        <v>No</v>
      </c>
      <c r="AP1295" s="8" t="str">
        <f ca="1">IFERROR(__xludf.DUMMYFUNCTION("""COMPUTED_VALUE"""),"No")</f>
        <v>No</v>
      </c>
      <c r="AQ1295" s="8"/>
      <c r="AR1295" s="8" t="str">
        <f ca="1">IFERROR(__xludf.DUMMYFUNCTION("""COMPUTED_VALUE"""),"Outside/Off-Property")</f>
        <v>Outside/Off-Property</v>
      </c>
      <c r="AS1295" s="8"/>
      <c r="AT1295" s="8" t="str">
        <f ca="1">IFERROR(__xludf.DUMMYFUNCTION("""COMPUTED_VALUE"""),"No")</f>
        <v>No</v>
      </c>
      <c r="AU1295" s="8">
        <f ca="1">IFERROR(__xludf.DUMMYFUNCTION("""COMPUTED_VALUE"""),40.270895)</f>
        <v>40.270895000000003</v>
      </c>
      <c r="AV1295" s="8">
        <f ca="1">IFERROR(__xludf.DUMMYFUNCTION("""COMPUTED_VALUE"""),-76.846307)</f>
        <v>-76.846306999999996</v>
      </c>
      <c r="AW1295" s="8"/>
      <c r="AX1295" s="8">
        <f ca="1">IFERROR(__xludf.DUMMYFUNCTION("""COMPUTED_VALUE"""),17104)</f>
        <v>17104</v>
      </c>
    </row>
    <row r="1296" spans="1:50" ht="105" x14ac:dyDescent="0.2">
      <c r="A1296" s="8" t="str">
        <f ca="1">IFERROR(__xludf.DUMMYFUNCTION("""COMPUTED_VALUE"""),"20210907MAOMG")</f>
        <v>20210907MAOMG</v>
      </c>
      <c r="B1296" s="8">
        <f ca="1">IFERROR(__xludf.DUMMYFUNCTION("""COMPUTED_VALUE"""),9)</f>
        <v>9</v>
      </c>
      <c r="C1296" s="8">
        <f ca="1">IFERROR(__xludf.DUMMYFUNCTION("""COMPUTED_VALUE"""),7)</f>
        <v>7</v>
      </c>
      <c r="D1296" s="8">
        <f ca="1">IFERROR(__xludf.DUMMYFUNCTION("""COMPUTED_VALUE"""),2021)</f>
        <v>2021</v>
      </c>
      <c r="E1296" s="9">
        <f ca="1">IFERROR(__xludf.DUMMYFUNCTION("""COMPUTED_VALUE"""),44446)</f>
        <v>44446</v>
      </c>
      <c r="F1296" s="8" t="str">
        <f ca="1">IFERROR(__xludf.DUMMYFUNCTION("""COMPUTED_VALUE"""),"O’Maley Innovation Middle School")</f>
        <v>O’Maley Innovation Middle School</v>
      </c>
      <c r="G1296" s="8">
        <f ca="1">IFERROR(__xludf.DUMMYFUNCTION("""COMPUTED_VALUE"""),0)</f>
        <v>0</v>
      </c>
      <c r="H1296" s="8">
        <f ca="1">IFERROR(__xludf.DUMMYFUNCTION("""COMPUTED_VALUE"""),0)</f>
        <v>0</v>
      </c>
      <c r="I1296" s="8">
        <f ca="1">IFERROR(__xludf.DUMMYFUNCTION("""COMPUTED_VALUE"""),0)</f>
        <v>0</v>
      </c>
      <c r="J1296" s="8">
        <f ca="1">IFERROR(__xludf.DUMMYFUNCTION("""COMPUTED_VALUE"""),0)</f>
        <v>0</v>
      </c>
      <c r="K1296" s="10" t="str">
        <f ca="1">IFERROR(__xludf.DUMMYFUNCTION("""COMPUTED_VALUE"""),"https://whdh.com/news/police-2-teens-facing-charges-after-shooting-bar-school-bus-more-than-40-cars-with-bb-guns-on-north-shore/")</f>
        <v>https://whdh.com/news/police-2-teens-facing-charges-after-shooting-bar-school-bus-more-than-40-cars-with-bb-guns-on-north-shore/</v>
      </c>
      <c r="L1296" s="8">
        <f ca="1">IFERROR(__xludf.DUMMYFUNCTION("""COMPUTED_VALUE"""),1)</f>
        <v>1</v>
      </c>
      <c r="M1296" s="8"/>
      <c r="N1296" s="8">
        <f ca="1">IFERROR(__xludf.DUMMYFUNCTION("""COMPUTED_VALUE"""),4)</f>
        <v>4</v>
      </c>
      <c r="O1296" s="8" t="str">
        <f ca="1">IFERROR(__xludf.DUMMYFUNCTION("""COMPUTED_VALUE"""),"Fall")</f>
        <v>Fall</v>
      </c>
      <c r="P1296" s="8" t="str">
        <f ca="1">IFERROR(__xludf.DUMMYFUNCTION("""COMPUTED_VALUE"""),"Gloucester")</f>
        <v>Gloucester</v>
      </c>
      <c r="Q1296" s="8" t="str">
        <f ca="1">IFERROR(__xludf.DUMMYFUNCTION("""COMPUTED_VALUE"""),"MA")</f>
        <v>MA</v>
      </c>
      <c r="R1296" s="8" t="str">
        <f ca="1">IFERROR(__xludf.DUMMYFUNCTION("""COMPUTED_VALUE"""),"Middle")</f>
        <v>Middle</v>
      </c>
      <c r="S1296" s="8" t="str">
        <f ca="1">IFERROR(__xludf.DUMMYFUNCTION("""COMPUTED_VALUE"""),"Parking Lot")</f>
        <v>Parking Lot</v>
      </c>
      <c r="T1296" s="8" t="str">
        <f ca="1">IFERROR(__xludf.DUMMYFUNCTION("""COMPUTED_VALUE"""),"Outside on School Property")</f>
        <v>Outside on School Property</v>
      </c>
      <c r="U1296" s="8" t="str">
        <f ca="1">IFERROR(__xludf.DUMMYFUNCTION("""COMPUTED_VALUE"""),"No")</f>
        <v>No</v>
      </c>
      <c r="V1296" s="8" t="str">
        <f ca="1">IFERROR(__xludf.DUMMYFUNCTION("""COMPUTED_VALUE"""),"Night")</f>
        <v>Night</v>
      </c>
      <c r="W1296" s="11">
        <f ca="1">IFERROR(__xludf.DUMMYFUNCTION("""COMPUTED_VALUE"""),0.104166666666666)</f>
        <v>0.10416666666666601</v>
      </c>
      <c r="X1296" s="8"/>
      <c r="Y1296" s="12" t="str">
        <f ca="1">IFERROR(__xludf.DUMMYFUNCTION("""COMPUTED_VALUE"""),"Teens damaged 46 cars, 7 businesses, and broke 10 windows on a school bus during BB gun shooting spree")</f>
        <v>Teens damaged 46 cars, 7 businesses, and broke 10 windows on a school bus during BB gun shooting spree</v>
      </c>
      <c r="Z1296" s="12" t="str">
        <f ca="1">IFERROR(__xludf.DUMMYFUNCTION("""COMPUTED_VALUE"""),"Two 18-year-olds damaged 46 cars, 7 businesses, and broke 10 windows on a school bus during their BB gun shooting spree. Charged with having a weapon on school property and multiple other crimes. Teens were under the influence of alcohol during the shooti"&amp;"ngs.")</f>
        <v>Two 18-year-olds damaged 46 cars, 7 businesses, and broke 10 windows on a school bus during their BB gun shooting spree. Charged with having a weapon on school property and multiple other crimes. Teens were under the influence of alcohol during the shootings.</v>
      </c>
      <c r="AA1296" s="8" t="str">
        <f ca="1">IFERROR(__xludf.DUMMYFUNCTION("""COMPUTED_VALUE"""),"Intentional Property Damage")</f>
        <v>Intentional Property Damage</v>
      </c>
      <c r="AB1296" s="8"/>
      <c r="AC1296" s="8" t="str">
        <f ca="1">IFERROR(__xludf.DUMMYFUNCTION("""COMPUTED_VALUE"""),"No")</f>
        <v>No</v>
      </c>
      <c r="AD1296" s="8" t="str">
        <f ca="1">IFERROR(__xludf.DUMMYFUNCTION("""COMPUTED_VALUE"""),"Random Shooting")</f>
        <v>Random Shooting</v>
      </c>
      <c r="AE1296" s="8" t="str">
        <f ca="1">IFERROR(__xludf.DUMMYFUNCTION("""COMPUTED_VALUE"""),"Yes")</f>
        <v>Yes</v>
      </c>
      <c r="AF1296" s="8" t="str">
        <f ca="1">IFERROR(__xludf.DUMMYFUNCTION("""COMPUTED_VALUE"""),"Two 18YOMs")</f>
        <v>Two 18YOMs</v>
      </c>
      <c r="AG1296" s="8" t="str">
        <f ca="1">IFERROR(__xludf.DUMMYFUNCTION("""COMPUTED_VALUE"""),"No")</f>
        <v>No</v>
      </c>
      <c r="AH1296" s="8" t="str">
        <f ca="1">IFERROR(__xludf.DUMMYFUNCTION("""COMPUTED_VALUE"""),"No")</f>
        <v>No</v>
      </c>
      <c r="AI1296" s="8" t="str">
        <f ca="1">IFERROR(__xludf.DUMMYFUNCTION("""COMPUTED_VALUE"""),"No")</f>
        <v>No</v>
      </c>
      <c r="AJ1296" s="8" t="str">
        <f ca="1">IFERROR(__xludf.DUMMYFUNCTION("""COMPUTED_VALUE"""),"No")</f>
        <v>No</v>
      </c>
      <c r="AK1296" s="8" t="str">
        <f ca="1">IFERROR(__xludf.DUMMYFUNCTION("""COMPUTED_VALUE"""),"No")</f>
        <v>No</v>
      </c>
      <c r="AL1296" s="8" t="str">
        <f ca="1">IFERROR(__xludf.DUMMYFUNCTION("""COMPUTED_VALUE"""),"No")</f>
        <v>No</v>
      </c>
      <c r="AM1296" s="8" t="str">
        <f ca="1">IFERROR(__xludf.DUMMYFUNCTION("""COMPUTED_VALUE"""),"No")</f>
        <v>No</v>
      </c>
      <c r="AN1296" s="8"/>
      <c r="AO1296" s="8" t="str">
        <f ca="1">IFERROR(__xludf.DUMMYFUNCTION("""COMPUTED_VALUE"""),"No")</f>
        <v>No</v>
      </c>
      <c r="AP1296" s="8"/>
      <c r="AQ1296" s="8"/>
      <c r="AR1296" s="8" t="str">
        <f ca="1">IFERROR(__xludf.DUMMYFUNCTION("""COMPUTED_VALUE"""),"Outside/Off-Property")</f>
        <v>Outside/Off-Property</v>
      </c>
      <c r="AS1296" s="8">
        <f ca="1">IFERROR(__xludf.DUMMYFUNCTION("""COMPUTED_VALUE"""),100)</f>
        <v>100</v>
      </c>
      <c r="AT1296" s="8"/>
      <c r="AU1296" s="8">
        <f ca="1">IFERROR(__xludf.DUMMYFUNCTION("""COMPUTED_VALUE"""),42.62914)</f>
        <v>42.62914</v>
      </c>
      <c r="AV1296" s="8">
        <f ca="1">IFERROR(__xludf.DUMMYFUNCTION("""COMPUTED_VALUE"""),-70.673511)</f>
        <v>-70.673511000000005</v>
      </c>
      <c r="AW1296" s="8"/>
      <c r="AX1296" s="8">
        <f ca="1">IFERROR(__xludf.DUMMYFUNCTION("""COMPUTED_VALUE"""),1930)</f>
        <v>1930</v>
      </c>
    </row>
    <row r="1297" spans="1:50" ht="75" x14ac:dyDescent="0.2">
      <c r="A1297" s="8" t="str">
        <f ca="1">IFERROR(__xludf.DUMMYFUNCTION("""COMPUTED_VALUE"""),"20210903NVDEL")</f>
        <v>20210903NVDEL</v>
      </c>
      <c r="B1297" s="8">
        <f ca="1">IFERROR(__xludf.DUMMYFUNCTION("""COMPUTED_VALUE"""),9)</f>
        <v>9</v>
      </c>
      <c r="C1297" s="8">
        <f ca="1">IFERROR(__xludf.DUMMYFUNCTION("""COMPUTED_VALUE"""),3)</f>
        <v>3</v>
      </c>
      <c r="D1297" s="8">
        <f ca="1">IFERROR(__xludf.DUMMYFUNCTION("""COMPUTED_VALUE"""),2021)</f>
        <v>2021</v>
      </c>
      <c r="E1297" s="9">
        <f ca="1">IFERROR(__xludf.DUMMYFUNCTION("""COMPUTED_VALUE"""),44442)</f>
        <v>44442</v>
      </c>
      <c r="F1297" s="8" t="str">
        <f ca="1">IFERROR(__xludf.DUMMYFUNCTION("""COMPUTED_VALUE"""),"Desert Oasis High School")</f>
        <v>Desert Oasis High School</v>
      </c>
      <c r="G1297" s="8">
        <f ca="1">IFERROR(__xludf.DUMMYFUNCTION("""COMPUTED_VALUE"""),0)</f>
        <v>0</v>
      </c>
      <c r="H1297" s="8">
        <f ca="1">IFERROR(__xludf.DUMMYFUNCTION("""COMPUTED_VALUE"""),0)</f>
        <v>0</v>
      </c>
      <c r="I1297" s="8">
        <f ca="1">IFERROR(__xludf.DUMMYFUNCTION("""COMPUTED_VALUE"""),0)</f>
        <v>0</v>
      </c>
      <c r="J1297" s="8">
        <f ca="1">IFERROR(__xludf.DUMMYFUNCTION("""COMPUTED_VALUE"""),0)</f>
        <v>0</v>
      </c>
      <c r="K1297" s="8" t="str">
        <f ca="1">IFERROR(__xludf.DUMMYFUNCTION("""COMPUTED_VALUE"""),"https://www.8newsnow.com/news/local-news/families-share-mixed-feelings-as-desert-oasis-high-school-steps-up-security-after-fight-leads-to-gunfire/ https://www.fox5vegas.com/news/las-vegas-police-investigate-shooting-at-desert-oasis-high-school-following-f"&amp;"ootball-game/article_57995e8c-0d42-11ec-a45c-47a24cb55336.html")</f>
        <v>https://www.8newsnow.com/news/local-news/families-share-mixed-feelings-as-desert-oasis-high-school-steps-up-security-after-fight-leads-to-gunfire/ https://www.fox5vegas.com/news/las-vegas-police-investigate-shooting-at-desert-oasis-high-school-following-football-game/article_57995e8c-0d42-11ec-a45c-47a24cb55336.html</v>
      </c>
      <c r="L1297" s="8">
        <f ca="1">IFERROR(__xludf.DUMMYFUNCTION("""COMPUTED_VALUE"""),10)</f>
        <v>10</v>
      </c>
      <c r="M1297" s="8" t="str">
        <f ca="1">IFERROR(__xludf.DUMMYFUNCTION("""COMPUTED_VALUE"""),"Local")</f>
        <v>Local</v>
      </c>
      <c r="N1297" s="8">
        <f ca="1">IFERROR(__xludf.DUMMYFUNCTION("""COMPUTED_VALUE"""),4)</f>
        <v>4</v>
      </c>
      <c r="O1297" s="8" t="str">
        <f ca="1">IFERROR(__xludf.DUMMYFUNCTION("""COMPUTED_VALUE"""),"Fall")</f>
        <v>Fall</v>
      </c>
      <c r="P1297" s="8" t="str">
        <f ca="1">IFERROR(__xludf.DUMMYFUNCTION("""COMPUTED_VALUE"""),"Las Vegas")</f>
        <v>Las Vegas</v>
      </c>
      <c r="Q1297" s="8" t="str">
        <f ca="1">IFERROR(__xludf.DUMMYFUNCTION("""COMPUTED_VALUE"""),"NV")</f>
        <v>NV</v>
      </c>
      <c r="R1297" s="8" t="str">
        <f ca="1">IFERROR(__xludf.DUMMYFUNCTION("""COMPUTED_VALUE"""),"High")</f>
        <v>High</v>
      </c>
      <c r="S1297" s="8" t="str">
        <f ca="1">IFERROR(__xludf.DUMMYFUNCTION("""COMPUTED_VALUE"""),"Parking Lot")</f>
        <v>Parking Lot</v>
      </c>
      <c r="T1297" s="8" t="str">
        <f ca="1">IFERROR(__xludf.DUMMYFUNCTION("""COMPUTED_VALUE"""),"Outside on School Property")</f>
        <v>Outside on School Property</v>
      </c>
      <c r="U1297" s="8" t="str">
        <f ca="1">IFERROR(__xludf.DUMMYFUNCTION("""COMPUTED_VALUE"""),"No")</f>
        <v>No</v>
      </c>
      <c r="V1297" s="8" t="str">
        <f ca="1">IFERROR(__xludf.DUMMYFUNCTION("""COMPUTED_VALUE"""),"Sport Event")</f>
        <v>Sport Event</v>
      </c>
      <c r="W1297" s="11">
        <f ca="1">IFERROR(__xludf.DUMMYFUNCTION("""COMPUTED_VALUE"""),0.875)</f>
        <v>0.875</v>
      </c>
      <c r="X1297" s="8">
        <f ca="1">IFERROR(__xludf.DUMMYFUNCTION("""COMPUTED_VALUE"""),1)</f>
        <v>1</v>
      </c>
      <c r="Y1297" s="12" t="str">
        <f ca="1">IFERROR(__xludf.DUMMYFUNCTION("""COMPUTED_VALUE"""),"Shots fired into air during fight following football game")</f>
        <v>Shots fired into air during fight following football game</v>
      </c>
      <c r="Z1297" s="12" t="str">
        <f ca="1">IFERROR(__xludf.DUMMYFUNCTION("""COMPUTED_VALUE"""),"Shots were fired into the air during a fight in the parking lot at the end of a football game. Police were assigned to the school for the game. Shooter fled the area. No victims. Police and school officials announced increased security for future games.")</f>
        <v>Shots were fired into the air during a fight in the parking lot at the end of a football game. Police were assigned to the school for the game. Shooter fled the area. No victims. Police and school officials announced increased security for future games.</v>
      </c>
      <c r="AA1297" s="8" t="str">
        <f ca="1">IFERROR(__xludf.DUMMYFUNCTION("""COMPUTED_VALUE"""),"Escalation of Dispute")</f>
        <v>Escalation of Dispute</v>
      </c>
      <c r="AB1297" s="8"/>
      <c r="AC1297" s="8" t="str">
        <f ca="1">IFERROR(__xludf.DUMMYFUNCTION("""COMPUTED_VALUE"""),"Yes")</f>
        <v>Yes</v>
      </c>
      <c r="AD1297" s="8" t="str">
        <f ca="1">IFERROR(__xludf.DUMMYFUNCTION("""COMPUTED_VALUE"""),"Neither")</f>
        <v>Neither</v>
      </c>
      <c r="AE1297" s="8" t="str">
        <f ca="1">IFERROR(__xludf.DUMMYFUNCTION("""COMPUTED_VALUE"""),"No")</f>
        <v>No</v>
      </c>
      <c r="AF1297" s="8"/>
      <c r="AG1297" s="8" t="str">
        <f ca="1">IFERROR(__xludf.DUMMYFUNCTION("""COMPUTED_VALUE"""),"No")</f>
        <v>No</v>
      </c>
      <c r="AH1297" s="8" t="str">
        <f ca="1">IFERROR(__xludf.DUMMYFUNCTION("""COMPUTED_VALUE"""),"No")</f>
        <v>No</v>
      </c>
      <c r="AI1297" s="8" t="str">
        <f ca="1">IFERROR(__xludf.DUMMYFUNCTION("""COMPUTED_VALUE"""),"No")</f>
        <v>No</v>
      </c>
      <c r="AJ1297" s="8" t="str">
        <f ca="1">IFERROR(__xludf.DUMMYFUNCTION("""COMPUTED_VALUE"""),"No")</f>
        <v>No</v>
      </c>
      <c r="AK1297" s="8" t="str">
        <f ca="1">IFERROR(__xludf.DUMMYFUNCTION("""COMPUTED_VALUE"""),"No")</f>
        <v>No</v>
      </c>
      <c r="AL1297" s="8"/>
      <c r="AM1297" s="8" t="str">
        <f ca="1">IFERROR(__xludf.DUMMYFUNCTION("""COMPUTED_VALUE"""),"No")</f>
        <v>No</v>
      </c>
      <c r="AN1297" s="8"/>
      <c r="AO1297" s="8" t="str">
        <f ca="1">IFERROR(__xludf.DUMMYFUNCTION("""COMPUTED_VALUE"""),"No")</f>
        <v>No</v>
      </c>
      <c r="AP1297" s="8" t="str">
        <f ca="1">IFERROR(__xludf.DUMMYFUNCTION("""COMPUTED_VALUE"""),"Yes")</f>
        <v>Yes</v>
      </c>
      <c r="AQ1297" s="8" t="str">
        <f ca="1">IFERROR(__xludf.DUMMYFUNCTION("""COMPUTED_VALUE"""),"Armed Guards")</f>
        <v>Armed Guards</v>
      </c>
      <c r="AR1297" s="8" t="str">
        <f ca="1">IFERROR(__xludf.DUMMYFUNCTION("""COMPUTED_VALUE"""),"Outside/Off-Property")</f>
        <v>Outside/Off-Property</v>
      </c>
      <c r="AS1297" s="8"/>
      <c r="AT1297" s="8" t="str">
        <f ca="1">IFERROR(__xludf.DUMMYFUNCTION("""COMPUTED_VALUE"""),"No")</f>
        <v>No</v>
      </c>
      <c r="AU1297" s="8">
        <f ca="1">IFERROR(__xludf.DUMMYFUNCTION("""COMPUTED_VALUE"""),35.994295)</f>
        <v>35.994295000000001</v>
      </c>
      <c r="AV1297" s="8">
        <f ca="1">IFERROR(__xludf.DUMMYFUNCTION("""COMPUTED_VALUE"""),-115.23658)</f>
        <v>-115.23658</v>
      </c>
      <c r="AW1297" s="8"/>
      <c r="AX1297" s="8">
        <f ca="1">IFERROR(__xludf.DUMMYFUNCTION("""COMPUTED_VALUE"""),89179)</f>
        <v>89179</v>
      </c>
    </row>
    <row r="1298" spans="1:50" ht="90" x14ac:dyDescent="0.2">
      <c r="A1298" s="8" t="str">
        <f ca="1">IFERROR(__xludf.DUMMYFUNCTION("""COMPUTED_VALUE"""),"20210903NCJUC")</f>
        <v>20210903NCJUC</v>
      </c>
      <c r="B1298" s="8">
        <f ca="1">IFERROR(__xludf.DUMMYFUNCTION("""COMPUTED_VALUE"""),9)</f>
        <v>9</v>
      </c>
      <c r="C1298" s="8">
        <f ca="1">IFERROR(__xludf.DUMMYFUNCTION("""COMPUTED_VALUE"""),3)</f>
        <v>3</v>
      </c>
      <c r="D1298" s="8">
        <f ca="1">IFERROR(__xludf.DUMMYFUNCTION("""COMPUTED_VALUE"""),2021)</f>
        <v>2021</v>
      </c>
      <c r="E1298" s="9">
        <f ca="1">IFERROR(__xludf.DUMMYFUNCTION("""COMPUTED_VALUE"""),44442)</f>
        <v>44442</v>
      </c>
      <c r="F1298" s="8" t="str">
        <f ca="1">IFERROR(__xludf.DUMMYFUNCTION("""COMPUTED_VALUE"""),"Julius Chambers High School")</f>
        <v>Julius Chambers High School</v>
      </c>
      <c r="G1298" s="8">
        <f ca="1">IFERROR(__xludf.DUMMYFUNCTION("""COMPUTED_VALUE"""),0)</f>
        <v>0</v>
      </c>
      <c r="H1298" s="8">
        <f ca="1">IFERROR(__xludf.DUMMYFUNCTION("""COMPUTED_VALUE"""),0)</f>
        <v>0</v>
      </c>
      <c r="I1298" s="8">
        <f ca="1">IFERROR(__xludf.DUMMYFUNCTION("""COMPUTED_VALUE"""),0)</f>
        <v>0</v>
      </c>
      <c r="J1298" s="8">
        <f ca="1">IFERROR(__xludf.DUMMYFUNCTION("""COMPUTED_VALUE"""),0)</f>
        <v>0</v>
      </c>
      <c r="K1298" s="8" t="str">
        <f ca="1">IFERROR(__xludf.DUMMYFUNCTION("""COMPUTED_VALUE"""),"https://www.wsoctv.com/news/local/gunfire-erupts-end-high-school-football-game-police-say/RSMEYEGDR5HEHEKHZ3YPQ2QLLY/ https://www.wral.com/shots-fired-during-high-school-football-game-in-charlotte/19858153/")</f>
        <v>https://www.wsoctv.com/news/local/gunfire-erupts-end-high-school-football-game-police-say/RSMEYEGDR5HEHEKHZ3YPQ2QLLY/ https://www.wral.com/shots-fired-during-high-school-football-game-in-charlotte/19858153/</v>
      </c>
      <c r="L1298" s="8">
        <f ca="1">IFERROR(__xludf.DUMMYFUNCTION("""COMPUTED_VALUE"""),2)</f>
        <v>2</v>
      </c>
      <c r="M1298" s="8" t="str">
        <f ca="1">IFERROR(__xludf.DUMMYFUNCTION("""COMPUTED_VALUE"""),"Local")</f>
        <v>Local</v>
      </c>
      <c r="N1298" s="8">
        <f ca="1">IFERROR(__xludf.DUMMYFUNCTION("""COMPUTED_VALUE"""),4)</f>
        <v>4</v>
      </c>
      <c r="O1298" s="8" t="str">
        <f ca="1">IFERROR(__xludf.DUMMYFUNCTION("""COMPUTED_VALUE"""),"Fall")</f>
        <v>Fall</v>
      </c>
      <c r="P1298" s="8" t="str">
        <f ca="1">IFERROR(__xludf.DUMMYFUNCTION("""COMPUTED_VALUE"""),"Charlotte")</f>
        <v>Charlotte</v>
      </c>
      <c r="Q1298" s="8" t="str">
        <f ca="1">IFERROR(__xludf.DUMMYFUNCTION("""COMPUTED_VALUE"""),"NC")</f>
        <v>NC</v>
      </c>
      <c r="R1298" s="8" t="str">
        <f ca="1">IFERROR(__xludf.DUMMYFUNCTION("""COMPUTED_VALUE"""),"High")</f>
        <v>High</v>
      </c>
      <c r="S1298" s="8" t="str">
        <f ca="1">IFERROR(__xludf.DUMMYFUNCTION("""COMPUTED_VALUE"""),"Football Field/Track")</f>
        <v>Football Field/Track</v>
      </c>
      <c r="T1298" s="8" t="str">
        <f ca="1">IFERROR(__xludf.DUMMYFUNCTION("""COMPUTED_VALUE"""),"Outside on School Property")</f>
        <v>Outside on School Property</v>
      </c>
      <c r="U1298" s="8" t="str">
        <f ca="1">IFERROR(__xludf.DUMMYFUNCTION("""COMPUTED_VALUE"""),"No")</f>
        <v>No</v>
      </c>
      <c r="V1298" s="8" t="str">
        <f ca="1">IFERROR(__xludf.DUMMYFUNCTION("""COMPUTED_VALUE"""),"Sport Event")</f>
        <v>Sport Event</v>
      </c>
      <c r="W1298" s="11">
        <f ca="1">IFERROR(__xludf.DUMMYFUNCTION("""COMPUTED_VALUE"""),0.895833333333333)</f>
        <v>0.89583333333333304</v>
      </c>
      <c r="X1298" s="8">
        <f ca="1">IFERROR(__xludf.DUMMYFUNCTION("""COMPUTED_VALUE"""),1)</f>
        <v>1</v>
      </c>
      <c r="Y1298" s="12" t="str">
        <f ca="1">IFERROR(__xludf.DUMMYFUNCTION("""COMPUTED_VALUE"""),"Multiple shots fired near stadium gate following football game")</f>
        <v>Multiple shots fired near stadium gate following football game</v>
      </c>
      <c r="Z1298" s="12" t="str">
        <f ca="1">IFERROR(__xludf.DUMMYFUNCTION("""COMPUTED_VALUE"""),"Multiple shots were fired at the end of the high school football game while the parking lot was being cleared. Attendees and players still inside the stadium self-evacuated or took cover. Shooter fled. No injuries. Police recovered 4 shell casings near th"&amp;"e visitor gate. No fights or issues were reported during the game.")</f>
        <v>Multiple shots were fired at the end of the high school football game while the parking lot was being cleared. Attendees and players still inside the stadium self-evacuated or took cover. Shooter fled. No injuries. Police recovered 4 shell casings near the visitor gate. No fights or issues were reported during the game.</v>
      </c>
      <c r="AA1298" s="8"/>
      <c r="AB1298" s="8"/>
      <c r="AC1298" s="8" t="str">
        <f ca="1">IFERROR(__xludf.DUMMYFUNCTION("""COMPUTED_VALUE"""),"Yes")</f>
        <v>Yes</v>
      </c>
      <c r="AD1298" s="8" t="str">
        <f ca="1">IFERROR(__xludf.DUMMYFUNCTION("""COMPUTED_VALUE"""),"Neither")</f>
        <v>Neither</v>
      </c>
      <c r="AE1298" s="8" t="str">
        <f ca="1">IFERROR(__xludf.DUMMYFUNCTION("""COMPUTED_VALUE"""),"No")</f>
        <v>No</v>
      </c>
      <c r="AF1298" s="8"/>
      <c r="AG1298" s="8" t="str">
        <f ca="1">IFERROR(__xludf.DUMMYFUNCTION("""COMPUTED_VALUE"""),"No")</f>
        <v>No</v>
      </c>
      <c r="AH1298" s="8" t="str">
        <f ca="1">IFERROR(__xludf.DUMMYFUNCTION("""COMPUTED_VALUE"""),"No")</f>
        <v>No</v>
      </c>
      <c r="AI1298" s="8" t="str">
        <f ca="1">IFERROR(__xludf.DUMMYFUNCTION("""COMPUTED_VALUE"""),"No")</f>
        <v>No</v>
      </c>
      <c r="AJ1298" s="8" t="str">
        <f ca="1">IFERROR(__xludf.DUMMYFUNCTION("""COMPUTED_VALUE"""),"No")</f>
        <v>No</v>
      </c>
      <c r="AK1298" s="8" t="str">
        <f ca="1">IFERROR(__xludf.DUMMYFUNCTION("""COMPUTED_VALUE"""),"No")</f>
        <v>No</v>
      </c>
      <c r="AL1298" s="8" t="str">
        <f ca="1">IFERROR(__xludf.DUMMYFUNCTION("""COMPUTED_VALUE"""),"No")</f>
        <v>No</v>
      </c>
      <c r="AM1298" s="8" t="str">
        <f ca="1">IFERROR(__xludf.DUMMYFUNCTION("""COMPUTED_VALUE"""),"No")</f>
        <v>No</v>
      </c>
      <c r="AN1298" s="8"/>
      <c r="AO1298" s="8" t="str">
        <f ca="1">IFERROR(__xludf.DUMMYFUNCTION("""COMPUTED_VALUE"""),"No")</f>
        <v>No</v>
      </c>
      <c r="AP1298" s="8"/>
      <c r="AQ1298" s="8" t="str">
        <f ca="1">IFERROR(__xludf.DUMMYFUNCTION("""COMPUTED_VALUE"""),"Armed Guards")</f>
        <v>Armed Guards</v>
      </c>
      <c r="AR1298" s="8" t="str">
        <f ca="1">IFERROR(__xludf.DUMMYFUNCTION("""COMPUTED_VALUE"""),"Outside/Off-Property")</f>
        <v>Outside/Off-Property</v>
      </c>
      <c r="AS1298" s="8">
        <f ca="1">IFERROR(__xludf.DUMMYFUNCTION("""COMPUTED_VALUE"""),4)</f>
        <v>4</v>
      </c>
      <c r="AT1298" s="8"/>
      <c r="AU1298" s="8">
        <f ca="1">IFERROR(__xludf.DUMMYFUNCTION("""COMPUTED_VALUE"""),35.30099)</f>
        <v>35.300989999999999</v>
      </c>
      <c r="AV1298" s="8">
        <f ca="1">IFERROR(__xludf.DUMMYFUNCTION("""COMPUTED_VALUE"""),-80.767261)</f>
        <v>-80.767261000000005</v>
      </c>
      <c r="AW1298" s="8"/>
      <c r="AX1298" s="8">
        <f ca="1">IFERROR(__xludf.DUMMYFUNCTION("""COMPUTED_VALUE"""),28223)</f>
        <v>28223</v>
      </c>
    </row>
    <row r="1299" spans="1:50" ht="90" x14ac:dyDescent="0.2">
      <c r="A1299" s="8" t="str">
        <f ca="1">IFERROR(__xludf.DUMMYFUNCTION("""COMPUTED_VALUE"""),"20210903CAMTH")</f>
        <v>20210903CAMTH</v>
      </c>
      <c r="B1299" s="8">
        <f ca="1">IFERROR(__xludf.DUMMYFUNCTION("""COMPUTED_VALUE"""),9)</f>
        <v>9</v>
      </c>
      <c r="C1299" s="8">
        <f ca="1">IFERROR(__xludf.DUMMYFUNCTION("""COMPUTED_VALUE"""),3)</f>
        <v>3</v>
      </c>
      <c r="D1299" s="8">
        <f ca="1">IFERROR(__xludf.DUMMYFUNCTION("""COMPUTED_VALUE"""),2021)</f>
        <v>2021</v>
      </c>
      <c r="E1299" s="9">
        <f ca="1">IFERROR(__xludf.DUMMYFUNCTION("""COMPUTED_VALUE"""),44442)</f>
        <v>44442</v>
      </c>
      <c r="F1299" s="8" t="str">
        <f ca="1">IFERROR(__xludf.DUMMYFUNCTION("""COMPUTED_VALUE"""),"Mt. Eden High School")</f>
        <v>Mt. Eden High School</v>
      </c>
      <c r="G1299" s="8">
        <f ca="1">IFERROR(__xludf.DUMMYFUNCTION("""COMPUTED_VALUE"""),0)</f>
        <v>0</v>
      </c>
      <c r="H1299" s="8">
        <f ca="1">IFERROR(__xludf.DUMMYFUNCTION("""COMPUTED_VALUE"""),0)</f>
        <v>0</v>
      </c>
      <c r="I1299" s="8">
        <f ca="1">IFERROR(__xludf.DUMMYFUNCTION("""COMPUTED_VALUE"""),0)</f>
        <v>0</v>
      </c>
      <c r="J1299" s="8">
        <f ca="1">IFERROR(__xludf.DUMMYFUNCTION("""COMPUTED_VALUE"""),0)</f>
        <v>0</v>
      </c>
      <c r="K1299" s="8" t="str">
        <f ca="1">IFERROR(__xludf.DUMMYFUNCTION("""COMPUTED_VALUE"""),"https://www.kron4.com/news/bay-area/16-year-old-student-arrested-for-shooting-near-hayward-high-school-police/ https://www.sfchronicle.com/bayarea/article/Mt-Eden-High-School-student-arrested-in-Hayward-16435234.php https://www.kron4.com/news/bay-area/16-"&amp;"year-old-student-arrested-for-shooting-near-hayward-high-school-police/")</f>
        <v>https://www.kron4.com/news/bay-area/16-year-old-student-arrested-for-shooting-near-hayward-high-school-police/ https://www.sfchronicle.com/bayarea/article/Mt-Eden-High-School-student-arrested-in-Hayward-16435234.php https://www.kron4.com/news/bay-area/16-year-old-student-arrested-for-shooting-near-hayward-high-school-police/</v>
      </c>
      <c r="L1299" s="8">
        <f ca="1">IFERROR(__xludf.DUMMYFUNCTION("""COMPUTED_VALUE"""),2)</f>
        <v>2</v>
      </c>
      <c r="M1299" s="8" t="str">
        <f ca="1">IFERROR(__xludf.DUMMYFUNCTION("""COMPUTED_VALUE"""),"Local")</f>
        <v>Local</v>
      </c>
      <c r="N1299" s="8">
        <f ca="1">IFERROR(__xludf.DUMMYFUNCTION("""COMPUTED_VALUE"""),4)</f>
        <v>4</v>
      </c>
      <c r="O1299" s="8" t="str">
        <f ca="1">IFERROR(__xludf.DUMMYFUNCTION("""COMPUTED_VALUE"""),"Fall")</f>
        <v>Fall</v>
      </c>
      <c r="P1299" s="8" t="str">
        <f ca="1">IFERROR(__xludf.DUMMYFUNCTION("""COMPUTED_VALUE"""),"Hayward")</f>
        <v>Hayward</v>
      </c>
      <c r="Q1299" s="8" t="str">
        <f ca="1">IFERROR(__xludf.DUMMYFUNCTION("""COMPUTED_VALUE"""),"CA")</f>
        <v>CA</v>
      </c>
      <c r="R1299" s="8" t="str">
        <f ca="1">IFERROR(__xludf.DUMMYFUNCTION("""COMPUTED_VALUE"""),"High")</f>
        <v>High</v>
      </c>
      <c r="S1299" s="8" t="str">
        <f ca="1">IFERROR(__xludf.DUMMYFUNCTION("""COMPUTED_VALUE"""),"Front of School")</f>
        <v>Front of School</v>
      </c>
      <c r="T1299" s="8" t="str">
        <f ca="1">IFERROR(__xludf.DUMMYFUNCTION("""COMPUTED_VALUE"""),"Outside on School Property")</f>
        <v>Outside on School Property</v>
      </c>
      <c r="U1299" s="8" t="str">
        <f ca="1">IFERROR(__xludf.DUMMYFUNCTION("""COMPUTED_VALUE"""),"Yes")</f>
        <v>Yes</v>
      </c>
      <c r="V1299" s="8" t="str">
        <f ca="1">IFERROR(__xludf.DUMMYFUNCTION("""COMPUTED_VALUE"""),"School Start")</f>
        <v>School Start</v>
      </c>
      <c r="W1299" s="11">
        <f ca="1">IFERROR(__xludf.DUMMYFUNCTION("""COMPUTED_VALUE"""),0.375)</f>
        <v>0.375</v>
      </c>
      <c r="X1299" s="8">
        <f ca="1">IFERROR(__xludf.DUMMYFUNCTION("""COMPUTED_VALUE"""),1)</f>
        <v>1</v>
      </c>
      <c r="Y1299" s="12" t="str">
        <f ca="1">IFERROR(__xludf.DUMMYFUNCTION("""COMPUTED_VALUE"""),"Teen fired shots a vehicle on campus, fled, and then attempted to re-enter school with handgun")</f>
        <v>Teen fired shots a vehicle on campus, fled, and then attempted to re-enter school with handgun</v>
      </c>
      <c r="Z1299" s="12" t="str">
        <f ca="1">IFERROR(__xludf.DUMMYFUNCTION("""COMPUTED_VALUE"""),"A 16-year-old student fired shots at a vehicle on the school campus and then fled the area. The school was notified and given description of the shooter. A few minutes later, the shooter was spotted on campus and arrested with a handgun.")</f>
        <v>A 16-year-old student fired shots at a vehicle on the school campus and then fled the area. The school was notified and given description of the shooter. A few minutes later, the shooter was spotted on campus and arrested with a handgun.</v>
      </c>
      <c r="AA1299" s="8"/>
      <c r="AB1299" s="8"/>
      <c r="AC1299" s="8" t="str">
        <f ca="1">IFERROR(__xludf.DUMMYFUNCTION("""COMPUTED_VALUE"""),"Yes")</f>
        <v>Yes</v>
      </c>
      <c r="AD1299" s="8" t="str">
        <f ca="1">IFERROR(__xludf.DUMMYFUNCTION("""COMPUTED_VALUE"""),"Victims Targeted")</f>
        <v>Victims Targeted</v>
      </c>
      <c r="AE1299" s="8" t="str">
        <f ca="1">IFERROR(__xludf.DUMMYFUNCTION("""COMPUTED_VALUE"""),"No")</f>
        <v>No</v>
      </c>
      <c r="AF1299" s="8"/>
      <c r="AG1299" s="8" t="str">
        <f ca="1">IFERROR(__xludf.DUMMYFUNCTION("""COMPUTED_VALUE"""),"No")</f>
        <v>No</v>
      </c>
      <c r="AH1299" s="8" t="str">
        <f ca="1">IFERROR(__xludf.DUMMYFUNCTION("""COMPUTED_VALUE"""),"No")</f>
        <v>No</v>
      </c>
      <c r="AI1299" s="8" t="str">
        <f ca="1">IFERROR(__xludf.DUMMYFUNCTION("""COMPUTED_VALUE"""),"No")</f>
        <v>No</v>
      </c>
      <c r="AJ1299" s="8" t="str">
        <f ca="1">IFERROR(__xludf.DUMMYFUNCTION("""COMPUTED_VALUE"""),"No")</f>
        <v>No</v>
      </c>
      <c r="AK1299" s="8" t="str">
        <f ca="1">IFERROR(__xludf.DUMMYFUNCTION("""COMPUTED_VALUE"""),"No")</f>
        <v>No</v>
      </c>
      <c r="AL1299" s="8"/>
      <c r="AM1299" s="8" t="str">
        <f ca="1">IFERROR(__xludf.DUMMYFUNCTION("""COMPUTED_VALUE"""),"No")</f>
        <v>No</v>
      </c>
      <c r="AN1299" s="8"/>
      <c r="AO1299" s="8" t="str">
        <f ca="1">IFERROR(__xludf.DUMMYFUNCTION("""COMPUTED_VALUE"""),"No")</f>
        <v>No</v>
      </c>
      <c r="AP1299" s="8" t="str">
        <f ca="1">IFERROR(__xludf.DUMMYFUNCTION("""COMPUTED_VALUE"""),"No")</f>
        <v>No</v>
      </c>
      <c r="AQ1299" s="8"/>
      <c r="AR1299" s="8" t="str">
        <f ca="1">IFERROR(__xludf.DUMMYFUNCTION("""COMPUTED_VALUE"""),"Outside/Off-Property")</f>
        <v>Outside/Off-Property</v>
      </c>
      <c r="AS1299" s="8"/>
      <c r="AT1299" s="8" t="str">
        <f ca="1">IFERROR(__xludf.DUMMYFUNCTION("""COMPUTED_VALUE"""),"Yes")</f>
        <v>Yes</v>
      </c>
      <c r="AU1299" s="8">
        <f ca="1">IFERROR(__xludf.DUMMYFUNCTION("""COMPUTED_VALUE"""),37.625602)</f>
        <v>37.625602000000001</v>
      </c>
      <c r="AV1299" s="8">
        <f ca="1">IFERROR(__xludf.DUMMYFUNCTION("""COMPUTED_VALUE"""),-122.089499)</f>
        <v>-122.089499</v>
      </c>
      <c r="AW1299" s="8"/>
      <c r="AX1299" s="8">
        <f ca="1">IFERROR(__xludf.DUMMYFUNCTION("""COMPUTED_VALUE"""),94545)</f>
        <v>94545</v>
      </c>
    </row>
    <row r="1300" spans="1:50" ht="135" x14ac:dyDescent="0.2">
      <c r="A1300" s="8" t="str">
        <f ca="1">IFERROR(__xludf.DUMMYFUNCTION("""COMPUTED_VALUE"""),"20210903CABUB")</f>
        <v>20210903CABUB</v>
      </c>
      <c r="B1300" s="8">
        <f ca="1">IFERROR(__xludf.DUMMYFUNCTION("""COMPUTED_VALUE"""),9)</f>
        <v>9</v>
      </c>
      <c r="C1300" s="8">
        <f ca="1">IFERROR(__xludf.DUMMYFUNCTION("""COMPUTED_VALUE"""),3)</f>
        <v>3</v>
      </c>
      <c r="D1300" s="8">
        <f ca="1">IFERROR(__xludf.DUMMYFUNCTION("""COMPUTED_VALUE"""),2021)</f>
        <v>2021</v>
      </c>
      <c r="E1300" s="9">
        <f ca="1">IFERROR(__xludf.DUMMYFUNCTION("""COMPUTED_VALUE"""),44442)</f>
        <v>44442</v>
      </c>
      <c r="F1300" s="8" t="str">
        <f ca="1">IFERROR(__xludf.DUMMYFUNCTION("""COMPUTED_VALUE"""),"Buena Park School District Bus")</f>
        <v>Buena Park School District Bus</v>
      </c>
      <c r="G1300" s="8">
        <f ca="1">IFERROR(__xludf.DUMMYFUNCTION("""COMPUTED_VALUE"""),0)</f>
        <v>0</v>
      </c>
      <c r="H1300" s="8">
        <f ca="1">IFERROR(__xludf.DUMMYFUNCTION("""COMPUTED_VALUE"""),0)</f>
        <v>0</v>
      </c>
      <c r="I1300" s="8">
        <f ca="1">IFERROR(__xludf.DUMMYFUNCTION("""COMPUTED_VALUE"""),0)</f>
        <v>0</v>
      </c>
      <c r="J1300" s="8">
        <f ca="1">IFERROR(__xludf.DUMMYFUNCTION("""COMPUTED_VALUE"""),1)</f>
        <v>1</v>
      </c>
      <c r="K1300" s="8" t="str">
        <f ca="1">IFERROR(__xludf.DUMMYFUNCTION("""COMPUTED_VALUE"""),"https://abc7.com/body-cam-video-released-buena-park-officer-involved-shooting-man-shoots-at-school-bus-police-chase/11251250/ https://www.foxla.com/news/bus-driver-was-shooters-estranged-husband-buena-park https://mynewsla.com/crime/2021/09/07/buena-park-"&amp;"police-suspect-killed-in-shooting-at-bus-was-compton-man/ https://www.nbclosangeles.com/news/local/police-fatally-shoot-pursuit-suspect-who-crashed-into-buena-park-school-district-parking-lot/2686134/ https://www.latimes.com/california/story/2021-09-03/on"&amp;"e-person-dead-after-shooting-involving-buena-park-police")</f>
        <v>https://abc7.com/body-cam-video-released-buena-park-officer-involved-shooting-man-shoots-at-school-bus-police-chase/11251250/ https://www.foxla.com/news/bus-driver-was-shooters-estranged-husband-buena-park https://mynewsla.com/crime/2021/09/07/buena-park-police-suspect-killed-in-shooting-at-bus-was-compton-man/ https://www.nbclosangeles.com/news/local/police-fatally-shoot-pursuit-suspect-who-crashed-into-buena-park-school-district-parking-lot/2686134/ https://www.latimes.com/california/story/2021-09-03/one-person-dead-after-shooting-involving-buena-park-police</v>
      </c>
      <c r="L1300" s="8">
        <f ca="1">IFERROR(__xludf.DUMMYFUNCTION("""COMPUTED_VALUE"""),10)</f>
        <v>10</v>
      </c>
      <c r="M1300" s="8" t="str">
        <f ca="1">IFERROR(__xludf.DUMMYFUNCTION("""COMPUTED_VALUE"""),"Regional")</f>
        <v>Regional</v>
      </c>
      <c r="N1300" s="8">
        <f ca="1">IFERROR(__xludf.DUMMYFUNCTION("""COMPUTED_VALUE"""),4)</f>
        <v>4</v>
      </c>
      <c r="O1300" s="8" t="str">
        <f ca="1">IFERROR(__xludf.DUMMYFUNCTION("""COMPUTED_VALUE"""),"Fall")</f>
        <v>Fall</v>
      </c>
      <c r="P1300" s="8" t="str">
        <f ca="1">IFERROR(__xludf.DUMMYFUNCTION("""COMPUTED_VALUE"""),"Buena Park")</f>
        <v>Buena Park</v>
      </c>
      <c r="Q1300" s="8" t="str">
        <f ca="1">IFERROR(__xludf.DUMMYFUNCTION("""COMPUTED_VALUE"""),"CA")</f>
        <v>CA</v>
      </c>
      <c r="R1300" s="8"/>
      <c r="S1300" s="8" t="str">
        <f ca="1">IFERROR(__xludf.DUMMYFUNCTION("""COMPUTED_VALUE"""),"School Bus")</f>
        <v>School Bus</v>
      </c>
      <c r="T1300" s="8" t="str">
        <f ca="1">IFERROR(__xludf.DUMMYFUNCTION("""COMPUTED_VALUE"""),"School Bus")</f>
        <v>School Bus</v>
      </c>
      <c r="U1300" s="8" t="str">
        <f ca="1">IFERROR(__xludf.DUMMYFUNCTION("""COMPUTED_VALUE"""),"Yes")</f>
        <v>Yes</v>
      </c>
      <c r="V1300" s="8" t="str">
        <f ca="1">IFERROR(__xludf.DUMMYFUNCTION("""COMPUTED_VALUE"""),"Dismissal")</f>
        <v>Dismissal</v>
      </c>
      <c r="W1300" s="11">
        <f ca="1">IFERROR(__xludf.DUMMYFUNCTION("""COMPUTED_VALUE"""),0.581944444444444)</f>
        <v>0.58194444444444404</v>
      </c>
      <c r="X1300" s="8">
        <f ca="1">IFERROR(__xludf.DUMMYFUNCTION("""COMPUTED_VALUE"""),1)</f>
        <v>1</v>
      </c>
      <c r="Y1300" s="12" t="str">
        <f ca="1">IFERROR(__xludf.DUMMYFUNCTION("""COMPUTED_VALUE"""),"Man fired shot at occupied school bus, attempting to kill wife (bus driver)")</f>
        <v>Man fired shot at occupied school bus, attempting to kill wife (bus driver)</v>
      </c>
      <c r="Z1300" s="12" t="str">
        <f ca="1">IFERROR(__xludf.DUMMYFUNCTION("""COMPUTED_VALUE"""),"A man fired multiple shots from his vehicle at an occupied school bus. An officer witnessed the shooting and pursued the vehicle. After a brief chase, the bus crashed through a locked gate onto school district property. The officer fired shots at the arme"&amp;"d driver and fatally struck him. The shooter was attempting to kill his estranged wife who was the bus driver. A student was on the bus during the shooting. Driver active domestic violence restraining order against the shooter.")</f>
        <v>A man fired multiple shots from his vehicle at an occupied school bus. An officer witnessed the shooting and pursued the vehicle. After a brief chase, the bus crashed through a locked gate onto school district property. The officer fired shots at the armed driver and fatally struck him. The shooter was attempting to kill his estranged wife who was the bus driver. A student was on the bus during the shooting. Driver active domestic violence restraining order against the shooter.</v>
      </c>
      <c r="AA1300" s="8" t="str">
        <f ca="1">IFERROR(__xludf.DUMMYFUNCTION("""COMPUTED_VALUE"""),"Domestic w/ Targeted Victim")</f>
        <v>Domestic w/ Targeted Victim</v>
      </c>
      <c r="AB1300" s="8"/>
      <c r="AC1300" s="8" t="str">
        <f ca="1">IFERROR(__xludf.DUMMYFUNCTION("""COMPUTED_VALUE"""),"Yes")</f>
        <v>Yes</v>
      </c>
      <c r="AD1300" s="8" t="str">
        <f ca="1">IFERROR(__xludf.DUMMYFUNCTION("""COMPUTED_VALUE"""),"Victims Targeted")</f>
        <v>Victims Targeted</v>
      </c>
      <c r="AE1300" s="8" t="str">
        <f ca="1">IFERROR(__xludf.DUMMYFUNCTION("""COMPUTED_VALUE"""),"No")</f>
        <v>No</v>
      </c>
      <c r="AF1300" s="8"/>
      <c r="AG1300" s="8" t="str">
        <f ca="1">IFERROR(__xludf.DUMMYFUNCTION("""COMPUTED_VALUE"""),"No")</f>
        <v>No</v>
      </c>
      <c r="AH1300" s="8" t="str">
        <f ca="1">IFERROR(__xludf.DUMMYFUNCTION("""COMPUTED_VALUE"""),"No")</f>
        <v>No</v>
      </c>
      <c r="AI1300" s="8" t="str">
        <f ca="1">IFERROR(__xludf.DUMMYFUNCTION("""COMPUTED_VALUE"""),"No")</f>
        <v>No</v>
      </c>
      <c r="AJ1300" s="8" t="str">
        <f ca="1">IFERROR(__xludf.DUMMYFUNCTION("""COMPUTED_VALUE"""),"No")</f>
        <v>No</v>
      </c>
      <c r="AK1300" s="8" t="str">
        <f ca="1">IFERROR(__xludf.DUMMYFUNCTION("""COMPUTED_VALUE"""),"Yes")</f>
        <v>Yes</v>
      </c>
      <c r="AL1300" s="8" t="str">
        <f ca="1">IFERROR(__xludf.DUMMYFUNCTION("""COMPUTED_VALUE"""),"No")</f>
        <v>No</v>
      </c>
      <c r="AM1300" s="8" t="str">
        <f ca="1">IFERROR(__xludf.DUMMYFUNCTION("""COMPUTED_VALUE"""),"No")</f>
        <v>No</v>
      </c>
      <c r="AN1300" s="8"/>
      <c r="AO1300" s="8" t="str">
        <f ca="1">IFERROR(__xludf.DUMMYFUNCTION("""COMPUTED_VALUE"""),"No")</f>
        <v>No</v>
      </c>
      <c r="AP1300" s="8"/>
      <c r="AQ1300" s="8"/>
      <c r="AR1300" s="8" t="str">
        <f ca="1">IFERROR(__xludf.DUMMYFUNCTION("""COMPUTED_VALUE"""),"Outside/Off-Property")</f>
        <v>Outside/Off-Property</v>
      </c>
      <c r="AS1300" s="8"/>
      <c r="AT1300" s="8"/>
      <c r="AU1300" s="8">
        <f ca="1">IFERROR(__xludf.DUMMYFUNCTION("""COMPUTED_VALUE"""),33.862784)</f>
        <v>33.862783999999998</v>
      </c>
      <c r="AV1300" s="8">
        <f ca="1">IFERROR(__xludf.DUMMYFUNCTION("""COMPUTED_VALUE"""),-117.9976)</f>
        <v>-117.99760000000001</v>
      </c>
      <c r="AW1300" s="8"/>
      <c r="AX1300" s="8">
        <f ca="1">IFERROR(__xludf.DUMMYFUNCTION("""COMPUTED_VALUE"""),90621)</f>
        <v>90621</v>
      </c>
    </row>
    <row r="1301" spans="1:50" ht="135" x14ac:dyDescent="0.2">
      <c r="A1301" s="8" t="str">
        <f ca="1">IFERROR(__xludf.DUMMYFUNCTION("""COMPUTED_VALUE"""),"20210902NMALA")</f>
        <v>20210902NMALA</v>
      </c>
      <c r="B1301" s="8">
        <f ca="1">IFERROR(__xludf.DUMMYFUNCTION("""COMPUTED_VALUE"""),9)</f>
        <v>9</v>
      </c>
      <c r="C1301" s="8">
        <f ca="1">IFERROR(__xludf.DUMMYFUNCTION("""COMPUTED_VALUE"""),2)</f>
        <v>2</v>
      </c>
      <c r="D1301" s="8">
        <f ca="1">IFERROR(__xludf.DUMMYFUNCTION("""COMPUTED_VALUE"""),2021)</f>
        <v>2021</v>
      </c>
      <c r="E1301" s="9">
        <f ca="1">IFERROR(__xludf.DUMMYFUNCTION("""COMPUTED_VALUE"""),44441)</f>
        <v>44441</v>
      </c>
      <c r="F1301" s="8" t="str">
        <f ca="1">IFERROR(__xludf.DUMMYFUNCTION("""COMPUTED_VALUE"""),"Albuquerque Christ Lutheran Church and School")</f>
        <v>Albuquerque Christ Lutheran Church and School</v>
      </c>
      <c r="G1301" s="8">
        <f ca="1">IFERROR(__xludf.DUMMYFUNCTION("""COMPUTED_VALUE"""),0)</f>
        <v>0</v>
      </c>
      <c r="H1301" s="8">
        <f ca="1">IFERROR(__xludf.DUMMYFUNCTION("""COMPUTED_VALUE"""),0)</f>
        <v>0</v>
      </c>
      <c r="I1301" s="8">
        <f ca="1">IFERROR(__xludf.DUMMYFUNCTION("""COMPUTED_VALUE"""),0)</f>
        <v>0</v>
      </c>
      <c r="J1301" s="8">
        <f ca="1">IFERROR(__xludf.DUMMYFUNCTION("""COMPUTED_VALUE"""),0)</f>
        <v>0</v>
      </c>
      <c r="K1301" s="8" t="str">
        <f ca="1">IFERROR(__xludf.DUMMYFUNCTION("""COMPUTED_VALUE"""),"https://www.kob.com/albuquerque-news/apd-responding-to-shots-fired-at-ne-albuquerque-school/6225079/ https://www.krqe.com/news/albuquerque-metro/sandia-high-teen-accused-of-opening-fire-outside-school/")</f>
        <v>https://www.kob.com/albuquerque-news/apd-responding-to-shots-fired-at-ne-albuquerque-school/6225079/ https://www.krqe.com/news/albuquerque-metro/sandia-high-teen-accused-of-opening-fire-outside-school/</v>
      </c>
      <c r="L1301" s="8">
        <f ca="1">IFERROR(__xludf.DUMMYFUNCTION("""COMPUTED_VALUE"""),2)</f>
        <v>2</v>
      </c>
      <c r="M1301" s="8" t="str">
        <f ca="1">IFERROR(__xludf.DUMMYFUNCTION("""COMPUTED_VALUE"""),"Local")</f>
        <v>Local</v>
      </c>
      <c r="N1301" s="8">
        <f ca="1">IFERROR(__xludf.DUMMYFUNCTION("""COMPUTED_VALUE"""),4)</f>
        <v>4</v>
      </c>
      <c r="O1301" s="8" t="str">
        <f ca="1">IFERROR(__xludf.DUMMYFUNCTION("""COMPUTED_VALUE"""),"Fall")</f>
        <v>Fall</v>
      </c>
      <c r="P1301" s="8" t="str">
        <f ca="1">IFERROR(__xludf.DUMMYFUNCTION("""COMPUTED_VALUE"""),"Albuquerque")</f>
        <v>Albuquerque</v>
      </c>
      <c r="Q1301" s="8" t="str">
        <f ca="1">IFERROR(__xludf.DUMMYFUNCTION("""COMPUTED_VALUE"""),"NM")</f>
        <v>NM</v>
      </c>
      <c r="R1301" s="8" t="str">
        <f ca="1">IFERROR(__xludf.DUMMYFUNCTION("""COMPUTED_VALUE"""),"K-8")</f>
        <v>K-8</v>
      </c>
      <c r="S1301" s="8" t="str">
        <f ca="1">IFERROR(__xludf.DUMMYFUNCTION("""COMPUTED_VALUE"""),"Parking Lot")</f>
        <v>Parking Lot</v>
      </c>
      <c r="T1301" s="8" t="str">
        <f ca="1">IFERROR(__xludf.DUMMYFUNCTION("""COMPUTED_VALUE"""),"Outside on School Property")</f>
        <v>Outside on School Property</v>
      </c>
      <c r="U1301" s="8" t="str">
        <f ca="1">IFERROR(__xludf.DUMMYFUNCTION("""COMPUTED_VALUE"""),"Yes")</f>
        <v>Yes</v>
      </c>
      <c r="V1301" s="8" t="str">
        <f ca="1">IFERROR(__xludf.DUMMYFUNCTION("""COMPUTED_VALUE"""),"Lunch")</f>
        <v>Lunch</v>
      </c>
      <c r="W1301" s="11">
        <f ca="1">IFERROR(__xludf.DUMMYFUNCTION("""COMPUTED_VALUE"""),0.520833333333333)</f>
        <v>0.52083333333333304</v>
      </c>
      <c r="X1301" s="8">
        <f ca="1">IFERROR(__xludf.DUMMYFUNCTION("""COMPUTED_VALUE"""),1)</f>
        <v>1</v>
      </c>
      <c r="Y1301" s="12" t="str">
        <f ca="1">IFERROR(__xludf.DUMMYFUNCTION("""COMPUTED_VALUE"""),"Student fired shots at vehicle in the parking lot")</f>
        <v>Student fired shots at vehicle in the parking lot</v>
      </c>
      <c r="Z1301" s="12" t="str">
        <f ca="1">IFERROR(__xludf.DUMMYFUNCTION("""COMPUTED_VALUE"""),"A 16-year-old student at Sandia High School walked across the street to Christ Lutheran School to engage a group of teens who were coming to fight him. Teen fired multiple shots at a vehicle. Someone also fired from the vehicle at the teen. Shooter was sh"&amp;"ot in the leg. Shooter was transported to hospital in a personal vehicle. Gunshots were heard at the high school and the building went into lockdown. Shooter was known to carry a weapon on a regular basis.")</f>
        <v>A 16-year-old student at Sandia High School walked across the street to Christ Lutheran School to engage a group of teens who were coming to fight him. Teen fired multiple shots at a vehicle. Someone also fired from the vehicle at the teen. Shooter was shot in the leg. Shooter was transported to hospital in a personal vehicle. Gunshots were heard at the high school and the building went into lockdown. Shooter was known to carry a weapon on a regular basis.</v>
      </c>
      <c r="AA1301" s="8" t="str">
        <f ca="1">IFERROR(__xludf.DUMMYFUNCTION("""COMPUTED_VALUE"""),"Escalation of Dispute")</f>
        <v>Escalation of Dispute</v>
      </c>
      <c r="AB1301" s="8"/>
      <c r="AC1301" s="8" t="str">
        <f ca="1">IFERROR(__xludf.DUMMYFUNCTION("""COMPUTED_VALUE"""),"Yes")</f>
        <v>Yes</v>
      </c>
      <c r="AD1301" s="8" t="str">
        <f ca="1">IFERROR(__xludf.DUMMYFUNCTION("""COMPUTED_VALUE"""),"Victims Targeted")</f>
        <v>Victims Targeted</v>
      </c>
      <c r="AE1301" s="8" t="str">
        <f ca="1">IFERROR(__xludf.DUMMYFUNCTION("""COMPUTED_VALUE"""),"No")</f>
        <v>No</v>
      </c>
      <c r="AF1301" s="8"/>
      <c r="AG1301" s="8" t="str">
        <f ca="1">IFERROR(__xludf.DUMMYFUNCTION("""COMPUTED_VALUE"""),"No")</f>
        <v>No</v>
      </c>
      <c r="AH1301" s="8" t="str">
        <f ca="1">IFERROR(__xludf.DUMMYFUNCTION("""COMPUTED_VALUE"""),"No")</f>
        <v>No</v>
      </c>
      <c r="AI1301" s="8" t="str">
        <f ca="1">IFERROR(__xludf.DUMMYFUNCTION("""COMPUTED_VALUE"""),"No")</f>
        <v>No</v>
      </c>
      <c r="AJ1301" s="8" t="str">
        <f ca="1">IFERROR(__xludf.DUMMYFUNCTION("""COMPUTED_VALUE"""),"No")</f>
        <v>No</v>
      </c>
      <c r="AK1301" s="8" t="str">
        <f ca="1">IFERROR(__xludf.DUMMYFUNCTION("""COMPUTED_VALUE"""),"No")</f>
        <v>No</v>
      </c>
      <c r="AL1301" s="8"/>
      <c r="AM1301" s="8" t="str">
        <f ca="1">IFERROR(__xludf.DUMMYFUNCTION("""COMPUTED_VALUE"""),"No")</f>
        <v>No</v>
      </c>
      <c r="AN1301" s="8"/>
      <c r="AO1301" s="8" t="str">
        <f ca="1">IFERROR(__xludf.DUMMYFUNCTION("""COMPUTED_VALUE"""),"No")</f>
        <v>No</v>
      </c>
      <c r="AP1301" s="8"/>
      <c r="AQ1301" s="8"/>
      <c r="AR1301" s="8" t="str">
        <f ca="1">IFERROR(__xludf.DUMMYFUNCTION("""COMPUTED_VALUE"""),"Outside/Off-Property")</f>
        <v>Outside/Off-Property</v>
      </c>
      <c r="AS1301" s="8"/>
      <c r="AT1301" s="8" t="str">
        <f ca="1">IFERROR(__xludf.DUMMYFUNCTION("""COMPUTED_VALUE"""),"Yes")</f>
        <v>Yes</v>
      </c>
      <c r="AU1301" s="8">
        <f ca="1">IFERROR(__xludf.DUMMYFUNCTION("""COMPUTED_VALUE"""),35.117165)</f>
        <v>35.117165</v>
      </c>
      <c r="AV1301" s="8">
        <f ca="1">IFERROR(__xludf.DUMMYFUNCTION("""COMPUTED_VALUE"""),-106.5603)</f>
        <v>-106.5603</v>
      </c>
      <c r="AW1301" s="8"/>
      <c r="AX1301" s="8">
        <f ca="1">IFERROR(__xludf.DUMMYFUNCTION("""COMPUTED_VALUE"""),87110)</f>
        <v>87110</v>
      </c>
    </row>
    <row r="1302" spans="1:50" ht="75" x14ac:dyDescent="0.2">
      <c r="A1302" s="8" t="str">
        <f ca="1">IFERROR(__xludf.DUMMYFUNCTION("""COMPUTED_VALUE"""),"20210902INWEG")</f>
        <v>20210902INWEG</v>
      </c>
      <c r="B1302" s="8">
        <f ca="1">IFERROR(__xludf.DUMMYFUNCTION("""COMPUTED_VALUE"""),9)</f>
        <v>9</v>
      </c>
      <c r="C1302" s="8">
        <f ca="1">IFERROR(__xludf.DUMMYFUNCTION("""COMPUTED_VALUE"""),2)</f>
        <v>2</v>
      </c>
      <c r="D1302" s="8">
        <f ca="1">IFERROR(__xludf.DUMMYFUNCTION("""COMPUTED_VALUE"""),2021)</f>
        <v>2021</v>
      </c>
      <c r="E1302" s="9">
        <f ca="1">IFERROR(__xludf.DUMMYFUNCTION("""COMPUTED_VALUE"""),44441)</f>
        <v>44441</v>
      </c>
      <c r="F1302" s="8" t="str">
        <f ca="1">IFERROR(__xludf.DUMMYFUNCTION("""COMPUTED_VALUE"""),"West Side Leadership Academy")</f>
        <v>West Side Leadership Academy</v>
      </c>
      <c r="G1302" s="8">
        <f ca="1">IFERROR(__xludf.DUMMYFUNCTION("""COMPUTED_VALUE"""),0)</f>
        <v>0</v>
      </c>
      <c r="H1302" s="8">
        <f ca="1">IFERROR(__xludf.DUMMYFUNCTION("""COMPUTED_VALUE"""),1)</f>
        <v>1</v>
      </c>
      <c r="I1302" s="8">
        <f ca="1">IFERROR(__xludf.DUMMYFUNCTION("""COMPUTED_VALUE"""),1)</f>
        <v>1</v>
      </c>
      <c r="J1302" s="8">
        <f ca="1">IFERROR(__xludf.DUMMYFUNCTION("""COMPUTED_VALUE"""),0)</f>
        <v>0</v>
      </c>
      <c r="K1302" s="10" t="str">
        <f ca="1">IFERROR(__xludf.DUMMYFUNCTION("""COMPUTED_VALUE"""),"https://www.fox32chicago.com/news/gary-students-to-return-to-class-after-classmate-shot")</f>
        <v>https://www.fox32chicago.com/news/gary-students-to-return-to-class-after-classmate-shot</v>
      </c>
      <c r="L1302" s="8">
        <f ca="1">IFERROR(__xludf.DUMMYFUNCTION("""COMPUTED_VALUE"""),1)</f>
        <v>1</v>
      </c>
      <c r="M1302" s="8" t="str">
        <f ca="1">IFERROR(__xludf.DUMMYFUNCTION("""COMPUTED_VALUE"""),"Local")</f>
        <v>Local</v>
      </c>
      <c r="N1302" s="8">
        <f ca="1">IFERROR(__xludf.DUMMYFUNCTION("""COMPUTED_VALUE"""),3)</f>
        <v>3</v>
      </c>
      <c r="O1302" s="8" t="str">
        <f ca="1">IFERROR(__xludf.DUMMYFUNCTION("""COMPUTED_VALUE"""),"Fall")</f>
        <v>Fall</v>
      </c>
      <c r="P1302" s="8" t="str">
        <f ca="1">IFERROR(__xludf.DUMMYFUNCTION("""COMPUTED_VALUE"""),"Gary")</f>
        <v>Gary</v>
      </c>
      <c r="Q1302" s="8" t="str">
        <f ca="1">IFERROR(__xludf.DUMMYFUNCTION("""COMPUTED_VALUE"""),"IN")</f>
        <v>IN</v>
      </c>
      <c r="R1302" s="8" t="str">
        <f ca="1">IFERROR(__xludf.DUMMYFUNCTION("""COMPUTED_VALUE"""),"High")</f>
        <v>High</v>
      </c>
      <c r="S1302" s="8" t="str">
        <f ca="1">IFERROR(__xludf.DUMMYFUNCTION("""COMPUTED_VALUE"""),"School Bus")</f>
        <v>School Bus</v>
      </c>
      <c r="T1302" s="8" t="str">
        <f ca="1">IFERROR(__xludf.DUMMYFUNCTION("""COMPUTED_VALUE"""),"School Bus")</f>
        <v>School Bus</v>
      </c>
      <c r="U1302" s="8" t="str">
        <f ca="1">IFERROR(__xludf.DUMMYFUNCTION("""COMPUTED_VALUE"""),"Yes")</f>
        <v>Yes</v>
      </c>
      <c r="V1302" s="8" t="str">
        <f ca="1">IFERROR(__xludf.DUMMYFUNCTION("""COMPUTED_VALUE"""),"Dismissal")</f>
        <v>Dismissal</v>
      </c>
      <c r="W1302" s="11">
        <f ca="1">IFERROR(__xludf.DUMMYFUNCTION("""COMPUTED_VALUE"""),0.625)</f>
        <v>0.625</v>
      </c>
      <c r="X1302" s="8">
        <f ca="1">IFERROR(__xludf.DUMMYFUNCTION("""COMPUTED_VALUE"""),1)</f>
        <v>1</v>
      </c>
      <c r="Y1302" s="12" t="str">
        <f ca="1">IFERROR(__xludf.DUMMYFUNCTION("""COMPUTED_VALUE"""),"Student shot getting off school bus")</f>
        <v>Student shot getting off school bus</v>
      </c>
      <c r="Z1302" s="12" t="str">
        <f ca="1">IFERROR(__xludf.DUMMYFUNCTION("""COMPUTED_VALUE"""),"A vehicle trailed a school bus at dismissal. When a student got off the bus, someone got out of the vehicle, shot him, and fled the scene. The school switched back to remote learning following the shooting to develop a new security plan.")</f>
        <v>A vehicle trailed a school bus at dismissal. When a student got off the bus, someone got out of the vehicle, shot him, and fled the scene. The school switched back to remote learning following the shooting to develop a new security plan.</v>
      </c>
      <c r="AA1302" s="8" t="str">
        <f ca="1">IFERROR(__xludf.DUMMYFUNCTION("""COMPUTED_VALUE"""),"Murder/Assassination")</f>
        <v>Murder/Assassination</v>
      </c>
      <c r="AB1302" s="8"/>
      <c r="AC1302" s="8" t="str">
        <f ca="1">IFERROR(__xludf.DUMMYFUNCTION("""COMPUTED_VALUE"""),"Yes")</f>
        <v>Yes</v>
      </c>
      <c r="AD1302" s="8" t="str">
        <f ca="1">IFERROR(__xludf.DUMMYFUNCTION("""COMPUTED_VALUE"""),"Victims Targeted")</f>
        <v>Victims Targeted</v>
      </c>
      <c r="AE1302" s="8" t="str">
        <f ca="1">IFERROR(__xludf.DUMMYFUNCTION("""COMPUTED_VALUE"""),"No")</f>
        <v>No</v>
      </c>
      <c r="AF1302" s="8"/>
      <c r="AG1302" s="8" t="str">
        <f ca="1">IFERROR(__xludf.DUMMYFUNCTION("""COMPUTED_VALUE"""),"No")</f>
        <v>No</v>
      </c>
      <c r="AH1302" s="8" t="str">
        <f ca="1">IFERROR(__xludf.DUMMYFUNCTION("""COMPUTED_VALUE"""),"No")</f>
        <v>No</v>
      </c>
      <c r="AI1302" s="8" t="str">
        <f ca="1">IFERROR(__xludf.DUMMYFUNCTION("""COMPUTED_VALUE"""),"No")</f>
        <v>No</v>
      </c>
      <c r="AJ1302" s="8" t="str">
        <f ca="1">IFERROR(__xludf.DUMMYFUNCTION("""COMPUTED_VALUE"""),"No")</f>
        <v>No</v>
      </c>
      <c r="AK1302" s="8" t="str">
        <f ca="1">IFERROR(__xludf.DUMMYFUNCTION("""COMPUTED_VALUE"""),"No")</f>
        <v>No</v>
      </c>
      <c r="AL1302" s="8"/>
      <c r="AM1302" s="8" t="str">
        <f ca="1">IFERROR(__xludf.DUMMYFUNCTION("""COMPUTED_VALUE"""),"No")</f>
        <v>No</v>
      </c>
      <c r="AN1302" s="8"/>
      <c r="AO1302" s="8" t="str">
        <f ca="1">IFERROR(__xludf.DUMMYFUNCTION("""COMPUTED_VALUE"""),"No")</f>
        <v>No</v>
      </c>
      <c r="AP1302" s="8"/>
      <c r="AQ1302" s="8"/>
      <c r="AR1302" s="8" t="str">
        <f ca="1">IFERROR(__xludf.DUMMYFUNCTION("""COMPUTED_VALUE"""),"Outside/Off-Property")</f>
        <v>Outside/Off-Property</v>
      </c>
      <c r="AS1302" s="8"/>
      <c r="AT1302" s="8"/>
      <c r="AU1302" s="8">
        <f ca="1">IFERROR(__xludf.DUMMYFUNCTION("""COMPUTED_VALUE"""),41.594646)</f>
        <v>41.594645999999997</v>
      </c>
      <c r="AV1302" s="8">
        <f ca="1">IFERROR(__xludf.DUMMYFUNCTION("""COMPUTED_VALUE"""),-87.408331)</f>
        <v>-87.408331000000004</v>
      </c>
      <c r="AW1302" s="8"/>
      <c r="AX1302" s="8">
        <f ca="1">IFERROR(__xludf.DUMMYFUNCTION("""COMPUTED_VALUE"""),46406)</f>
        <v>46406</v>
      </c>
    </row>
    <row r="1303" spans="1:50" ht="90" x14ac:dyDescent="0.2">
      <c r="A1303" s="8" t="str">
        <f ca="1">IFERROR(__xludf.DUMMYFUNCTION("""COMPUTED_VALUE"""),"20210902GAWOS")</f>
        <v>20210902GAWOS</v>
      </c>
      <c r="B1303" s="8">
        <f ca="1">IFERROR(__xludf.DUMMYFUNCTION("""COMPUTED_VALUE"""),9)</f>
        <v>9</v>
      </c>
      <c r="C1303" s="8">
        <f ca="1">IFERROR(__xludf.DUMMYFUNCTION("""COMPUTED_VALUE"""),2)</f>
        <v>2</v>
      </c>
      <c r="D1303" s="8">
        <f ca="1">IFERROR(__xludf.DUMMYFUNCTION("""COMPUTED_VALUE"""),2021)</f>
        <v>2021</v>
      </c>
      <c r="E1303" s="9">
        <f ca="1">IFERROR(__xludf.DUMMYFUNCTION("""COMPUTED_VALUE"""),44441)</f>
        <v>44441</v>
      </c>
      <c r="F1303" s="8" t="str">
        <f ca="1">IFERROR(__xludf.DUMMYFUNCTION("""COMPUTED_VALUE"""),"Woodland High School")</f>
        <v>Woodland High School</v>
      </c>
      <c r="G1303" s="8">
        <f ca="1">IFERROR(__xludf.DUMMYFUNCTION("""COMPUTED_VALUE"""),0)</f>
        <v>0</v>
      </c>
      <c r="H1303" s="8">
        <f ca="1">IFERROR(__xludf.DUMMYFUNCTION("""COMPUTED_VALUE"""),0)</f>
        <v>0</v>
      </c>
      <c r="I1303" s="8">
        <f ca="1">IFERROR(__xludf.DUMMYFUNCTION("""COMPUTED_VALUE"""),0)</f>
        <v>0</v>
      </c>
      <c r="J1303" s="8">
        <f ca="1">IFERROR(__xludf.DUMMYFUNCTION("""COMPUTED_VALUE"""),0)</f>
        <v>0</v>
      </c>
      <c r="K1303" s="10" t="str">
        <f ca="1">IFERROR(__xludf.DUMMYFUNCTION("""COMPUTED_VALUE"""),"https://www.ajc.com/news/breaking-3-henry-schools-on-lockdown-due-to-suspicious-person/J6LSPTV7XVALNDGZOJVBSZJK2E/")</f>
        <v>https://www.ajc.com/news/breaking-3-henry-schools-on-lockdown-due-to-suspicious-person/J6LSPTV7XVALNDGZOJVBSZJK2E/</v>
      </c>
      <c r="L1303" s="8">
        <f ca="1">IFERROR(__xludf.DUMMYFUNCTION("""COMPUTED_VALUE"""),1)</f>
        <v>1</v>
      </c>
      <c r="M1303" s="8" t="str">
        <f ca="1">IFERROR(__xludf.DUMMYFUNCTION("""COMPUTED_VALUE"""),"Local")</f>
        <v>Local</v>
      </c>
      <c r="N1303" s="8">
        <f ca="1">IFERROR(__xludf.DUMMYFUNCTION("""COMPUTED_VALUE"""),3)</f>
        <v>3</v>
      </c>
      <c r="O1303" s="8" t="str">
        <f ca="1">IFERROR(__xludf.DUMMYFUNCTION("""COMPUTED_VALUE"""),"Fall")</f>
        <v>Fall</v>
      </c>
      <c r="P1303" s="8" t="str">
        <f ca="1">IFERROR(__xludf.DUMMYFUNCTION("""COMPUTED_VALUE"""),"Stockbridge")</f>
        <v>Stockbridge</v>
      </c>
      <c r="Q1303" s="8" t="str">
        <f ca="1">IFERROR(__xludf.DUMMYFUNCTION("""COMPUTED_VALUE"""),"GA")</f>
        <v>GA</v>
      </c>
      <c r="R1303" s="8" t="str">
        <f ca="1">IFERROR(__xludf.DUMMYFUNCTION("""COMPUTED_VALUE"""),"High")</f>
        <v>High</v>
      </c>
      <c r="S1303" s="8" t="str">
        <f ca="1">IFERROR(__xludf.DUMMYFUNCTION("""COMPUTED_VALUE"""),"Outside on School Property")</f>
        <v>Outside on School Property</v>
      </c>
      <c r="T1303" s="8" t="str">
        <f ca="1">IFERROR(__xludf.DUMMYFUNCTION("""COMPUTED_VALUE"""),"Outside on School Property")</f>
        <v>Outside on School Property</v>
      </c>
      <c r="U1303" s="8" t="str">
        <f ca="1">IFERROR(__xludf.DUMMYFUNCTION("""COMPUTED_VALUE"""),"Yes")</f>
        <v>Yes</v>
      </c>
      <c r="V1303" s="8" t="str">
        <f ca="1">IFERROR(__xludf.DUMMYFUNCTION("""COMPUTED_VALUE"""),"Morning Classes")</f>
        <v>Morning Classes</v>
      </c>
      <c r="W1303" s="11">
        <f ca="1">IFERROR(__xludf.DUMMYFUNCTION("""COMPUTED_VALUE"""),0.4375)</f>
        <v>0.4375</v>
      </c>
      <c r="X1303" s="8"/>
      <c r="Y1303" s="12" t="str">
        <f ca="1">IFERROR(__xludf.DUMMYFUNCTION("""COMPUTED_VALUE"""),"Man outside of school waving gun, school locked down")</f>
        <v>Man outside of school waving gun, school locked down</v>
      </c>
      <c r="Z1303" s="12" t="str">
        <f ca="1">IFERROR(__xludf.DUMMYFUNCTION("""COMPUTED_VALUE"""),"An adult male was walking around the outside of the school waving a handgun. School went on lockdown and police were dispatched for an active shooter. Police arrested the man and recovered a handgun. No shots were fired. He was under the influence of narc"&amp;"otics at the time of the incident. School was locked down for 3.5 hours and then dismissed.")</f>
        <v>An adult male was walking around the outside of the school waving a handgun. School went on lockdown and police were dispatched for an active shooter. Police arrested the man and recovered a handgun. No shots were fired. He was under the influence of narcotics at the time of the incident. School was locked down for 3.5 hours and then dismissed.</v>
      </c>
      <c r="AA1303" s="8" t="str">
        <f ca="1">IFERROR(__xludf.DUMMYFUNCTION("""COMPUTED_VALUE"""),"Illegal Activity")</f>
        <v>Illegal Activity</v>
      </c>
      <c r="AB1303" s="8"/>
      <c r="AC1303" s="8" t="str">
        <f ca="1">IFERROR(__xludf.DUMMYFUNCTION("""COMPUTED_VALUE"""),"Yes")</f>
        <v>Yes</v>
      </c>
      <c r="AD1303" s="8" t="str">
        <f ca="1">IFERROR(__xludf.DUMMYFUNCTION("""COMPUTED_VALUE"""),"Neither")</f>
        <v>Neither</v>
      </c>
      <c r="AE1303" s="8" t="str">
        <f ca="1">IFERROR(__xludf.DUMMYFUNCTION("""COMPUTED_VALUE"""),"No")</f>
        <v>No</v>
      </c>
      <c r="AF1303" s="8"/>
      <c r="AG1303" s="8" t="str">
        <f ca="1">IFERROR(__xludf.DUMMYFUNCTION("""COMPUTED_VALUE"""),"No")</f>
        <v>No</v>
      </c>
      <c r="AH1303" s="8" t="str">
        <f ca="1">IFERROR(__xludf.DUMMYFUNCTION("""COMPUTED_VALUE"""),"No")</f>
        <v>No</v>
      </c>
      <c r="AI1303" s="8" t="str">
        <f ca="1">IFERROR(__xludf.DUMMYFUNCTION("""COMPUTED_VALUE"""),"No")</f>
        <v>No</v>
      </c>
      <c r="AJ1303" s="8" t="str">
        <f ca="1">IFERROR(__xludf.DUMMYFUNCTION("""COMPUTED_VALUE"""),"No")</f>
        <v>No</v>
      </c>
      <c r="AK1303" s="8" t="str">
        <f ca="1">IFERROR(__xludf.DUMMYFUNCTION("""COMPUTED_VALUE"""),"No")</f>
        <v>No</v>
      </c>
      <c r="AL1303" s="8" t="str">
        <f ca="1">IFERROR(__xludf.DUMMYFUNCTION("""COMPUTED_VALUE"""),"No")</f>
        <v>No</v>
      </c>
      <c r="AM1303" s="8" t="str">
        <f ca="1">IFERROR(__xludf.DUMMYFUNCTION("""COMPUTED_VALUE"""),"No")</f>
        <v>No</v>
      </c>
      <c r="AN1303" s="8"/>
      <c r="AO1303" s="8" t="str">
        <f ca="1">IFERROR(__xludf.DUMMYFUNCTION("""COMPUTED_VALUE"""),"No")</f>
        <v>No</v>
      </c>
      <c r="AP1303" s="8"/>
      <c r="AQ1303" s="8"/>
      <c r="AR1303" s="8" t="str">
        <f ca="1">IFERROR(__xludf.DUMMYFUNCTION("""COMPUTED_VALUE"""),"Outside/Off-Property")</f>
        <v>Outside/Off-Property</v>
      </c>
      <c r="AS1303" s="8">
        <f ca="1">IFERROR(__xludf.DUMMYFUNCTION("""COMPUTED_VALUE"""),0)</f>
        <v>0</v>
      </c>
      <c r="AT1303" s="8" t="str">
        <f ca="1">IFERROR(__xludf.DUMMYFUNCTION("""COMPUTED_VALUE"""),"Yes")</f>
        <v>Yes</v>
      </c>
      <c r="AU1303" s="8">
        <f ca="1">IFERROR(__xludf.DUMMYFUNCTION("""COMPUTED_VALUE"""),33.562438)</f>
        <v>33.562438</v>
      </c>
      <c r="AV1303" s="8">
        <f ca="1">IFERROR(__xludf.DUMMYFUNCTION("""COMPUTED_VALUE"""),-84.152252)</f>
        <v>-84.152252000000004</v>
      </c>
      <c r="AW1303" s="8"/>
      <c r="AX1303" s="8">
        <f ca="1">IFERROR(__xludf.DUMMYFUNCTION("""COMPUTED_VALUE"""),30281)</f>
        <v>30281</v>
      </c>
    </row>
    <row r="1304" spans="1:50" ht="120" x14ac:dyDescent="0.2">
      <c r="A1304" s="8" t="str">
        <f ca="1">IFERROR(__xludf.DUMMYFUNCTION("""COMPUTED_VALUE"""),"20210902CASAL")</f>
        <v>20210902CASAL</v>
      </c>
      <c r="B1304" s="8">
        <f ca="1">IFERROR(__xludf.DUMMYFUNCTION("""COMPUTED_VALUE"""),9)</f>
        <v>9</v>
      </c>
      <c r="C1304" s="8">
        <f ca="1">IFERROR(__xludf.DUMMYFUNCTION("""COMPUTED_VALUE"""),2)</f>
        <v>2</v>
      </c>
      <c r="D1304" s="8">
        <f ca="1">IFERROR(__xludf.DUMMYFUNCTION("""COMPUTED_VALUE"""),2021)</f>
        <v>2021</v>
      </c>
      <c r="E1304" s="9">
        <f ca="1">IFERROR(__xludf.DUMMYFUNCTION("""COMPUTED_VALUE"""),44441)</f>
        <v>44441</v>
      </c>
      <c r="F1304" s="8" t="str">
        <f ca="1">IFERROR(__xludf.DUMMYFUNCTION("""COMPUTED_VALUE"""),"Santee High School")</f>
        <v>Santee High School</v>
      </c>
      <c r="G1304" s="8">
        <f ca="1">IFERROR(__xludf.DUMMYFUNCTION("""COMPUTED_VALUE"""),0)</f>
        <v>0</v>
      </c>
      <c r="H1304" s="8">
        <f ca="1">IFERROR(__xludf.DUMMYFUNCTION("""COMPUTED_VALUE"""),2)</f>
        <v>2</v>
      </c>
      <c r="I1304" s="8">
        <f ca="1">IFERROR(__xludf.DUMMYFUNCTION("""COMPUTED_VALUE"""),2)</f>
        <v>2</v>
      </c>
      <c r="J1304" s="8">
        <f ca="1">IFERROR(__xludf.DUMMYFUNCTION("""COMPUTED_VALUE"""),0)</f>
        <v>0</v>
      </c>
      <c r="K1304" s="8" t="str">
        <f ca="1">IFERROR(__xludf.DUMMYFUNCTION("""COMPUTED_VALUE"""),"https://www.foxla.com/news/suspects-arrested-in-shooting-outside-high-school-in-south-la https://www.nbclosangeles.com/news/local/suspects-arrested-in-shooting-outside-school-near-downtown-la/2692347/ https://www.nbclosangeles.com/news/local/school-in-sou"&amp;"th-la-locked-down-as-police-respond-to-reports-of-shots-fired/2685232/")</f>
        <v>https://www.foxla.com/news/suspects-arrested-in-shooting-outside-high-school-in-south-la https://www.nbclosangeles.com/news/local/suspects-arrested-in-shooting-outside-school-near-downtown-la/2692347/ https://www.nbclosangeles.com/news/local/school-in-south-la-locked-down-as-police-respond-to-reports-of-shots-fired/2685232/</v>
      </c>
      <c r="L1304" s="8">
        <f ca="1">IFERROR(__xludf.DUMMYFUNCTION("""COMPUTED_VALUE"""),10)</f>
        <v>10</v>
      </c>
      <c r="M1304" s="8" t="str">
        <f ca="1">IFERROR(__xludf.DUMMYFUNCTION("""COMPUTED_VALUE"""),"Regional")</f>
        <v>Regional</v>
      </c>
      <c r="N1304" s="8">
        <f ca="1">IFERROR(__xludf.DUMMYFUNCTION("""COMPUTED_VALUE"""),4)</f>
        <v>4</v>
      </c>
      <c r="O1304" s="8" t="str">
        <f ca="1">IFERROR(__xludf.DUMMYFUNCTION("""COMPUTED_VALUE"""),"Fall")</f>
        <v>Fall</v>
      </c>
      <c r="P1304" s="8" t="str">
        <f ca="1">IFERROR(__xludf.DUMMYFUNCTION("""COMPUTED_VALUE"""),"Los Angeles")</f>
        <v>Los Angeles</v>
      </c>
      <c r="Q1304" s="8" t="str">
        <f ca="1">IFERROR(__xludf.DUMMYFUNCTION("""COMPUTED_VALUE"""),"CA")</f>
        <v>CA</v>
      </c>
      <c r="R1304" s="8" t="str">
        <f ca="1">IFERROR(__xludf.DUMMYFUNCTION("""COMPUTED_VALUE"""),"High")</f>
        <v>High</v>
      </c>
      <c r="S1304" s="8" t="str">
        <f ca="1">IFERROR(__xludf.DUMMYFUNCTION("""COMPUTED_VALUE"""),"Football Field/Track")</f>
        <v>Football Field/Track</v>
      </c>
      <c r="T1304" s="8" t="str">
        <f ca="1">IFERROR(__xludf.DUMMYFUNCTION("""COMPUTED_VALUE"""),"Outside on School Property")</f>
        <v>Outside on School Property</v>
      </c>
      <c r="U1304" s="8" t="str">
        <f ca="1">IFERROR(__xludf.DUMMYFUNCTION("""COMPUTED_VALUE"""),"Yes")</f>
        <v>Yes</v>
      </c>
      <c r="V1304" s="8" t="str">
        <f ca="1">IFERROR(__xludf.DUMMYFUNCTION("""COMPUTED_VALUE"""),"Afternoon Classes")</f>
        <v>Afternoon Classes</v>
      </c>
      <c r="W1304" s="11">
        <f ca="1">IFERROR(__xludf.DUMMYFUNCTION("""COMPUTED_VALUE"""),0.583333333333333)</f>
        <v>0.58333333333333304</v>
      </c>
      <c r="X1304" s="8">
        <f ca="1">IFERROR(__xludf.DUMMYFUNCTION("""COMPUTED_VALUE"""),1)</f>
        <v>1</v>
      </c>
      <c r="Y1304" s="12" t="str">
        <f ca="1">IFERROR(__xludf.DUMMYFUNCTION("""COMPUTED_VALUE"""),"Two students shot during fight on football field")</f>
        <v>Two students shot during fight on football field</v>
      </c>
      <c r="Z1304" s="12" t="str">
        <f ca="1">IFERROR(__xludf.DUMMYFUNCTION("""COMPUTED_VALUE"""),"Two teens were shot during a fight on the football field of the school during afternoon classes. The high school and a neighboring primary school were locked down while police searched for the shooter. A teenage victim was found on the football field and "&amp;"a second victim was found on the street near the school. Shooter fled the scene and was arrested 12 days later. Police are still searching for multiple co-conspirators.")</f>
        <v>Two teens were shot during a fight on the football field of the school during afternoon classes. The high school and a neighboring primary school were locked down while police searched for the shooter. A teenage victim was found on the football field and a second victim was found on the street near the school. Shooter fled the scene and was arrested 12 days later. Police are still searching for multiple co-conspirators.</v>
      </c>
      <c r="AA1304" s="8" t="str">
        <f ca="1">IFERROR(__xludf.DUMMYFUNCTION("""COMPUTED_VALUE"""),"Escalation of Dispute")</f>
        <v>Escalation of Dispute</v>
      </c>
      <c r="AB1304" s="8"/>
      <c r="AC1304" s="8" t="str">
        <f ca="1">IFERROR(__xludf.DUMMYFUNCTION("""COMPUTED_VALUE"""),"Yes")</f>
        <v>Yes</v>
      </c>
      <c r="AD1304" s="8" t="str">
        <f ca="1">IFERROR(__xludf.DUMMYFUNCTION("""COMPUTED_VALUE"""),"Both")</f>
        <v>Both</v>
      </c>
      <c r="AE1304" s="8" t="str">
        <f ca="1">IFERROR(__xludf.DUMMYFUNCTION("""COMPUTED_VALUE"""),"Yes")</f>
        <v>Yes</v>
      </c>
      <c r="AF1304" s="8" t="str">
        <f ca="1">IFERROR(__xludf.DUMMYFUNCTION("""COMPUTED_VALUE"""),"Multiple co conspirators")</f>
        <v>Multiple co conspirators</v>
      </c>
      <c r="AG1304" s="8" t="str">
        <f ca="1">IFERROR(__xludf.DUMMYFUNCTION("""COMPUTED_VALUE"""),"No")</f>
        <v>No</v>
      </c>
      <c r="AH1304" s="8" t="str">
        <f ca="1">IFERROR(__xludf.DUMMYFUNCTION("""COMPUTED_VALUE"""),"No")</f>
        <v>No</v>
      </c>
      <c r="AI1304" s="8" t="str">
        <f ca="1">IFERROR(__xludf.DUMMYFUNCTION("""COMPUTED_VALUE"""),"No")</f>
        <v>No</v>
      </c>
      <c r="AJ1304" s="8" t="str">
        <f ca="1">IFERROR(__xludf.DUMMYFUNCTION("""COMPUTED_VALUE"""),"No")</f>
        <v>No</v>
      </c>
      <c r="AK1304" s="8" t="str">
        <f ca="1">IFERROR(__xludf.DUMMYFUNCTION("""COMPUTED_VALUE"""),"No")</f>
        <v>No</v>
      </c>
      <c r="AL1304" s="8"/>
      <c r="AM1304" s="8" t="str">
        <f ca="1">IFERROR(__xludf.DUMMYFUNCTION("""COMPUTED_VALUE"""),"No")</f>
        <v>No</v>
      </c>
      <c r="AN1304" s="8"/>
      <c r="AO1304" s="8" t="str">
        <f ca="1">IFERROR(__xludf.DUMMYFUNCTION("""COMPUTED_VALUE"""),"No")</f>
        <v>No</v>
      </c>
      <c r="AP1304" s="8" t="str">
        <f ca="1">IFERROR(__xludf.DUMMYFUNCTION("""COMPUTED_VALUE"""),"Yes")</f>
        <v>Yes</v>
      </c>
      <c r="AQ1304" s="8"/>
      <c r="AR1304" s="8" t="str">
        <f ca="1">IFERROR(__xludf.DUMMYFUNCTION("""COMPUTED_VALUE"""),"Outside/Off-Property")</f>
        <v>Outside/Off-Property</v>
      </c>
      <c r="AS1304" s="8"/>
      <c r="AT1304" s="8" t="str">
        <f ca="1">IFERROR(__xludf.DUMMYFUNCTION("""COMPUTED_VALUE"""),"Yes")</f>
        <v>Yes</v>
      </c>
      <c r="AU1304" s="8">
        <f ca="1">IFERROR(__xludf.DUMMYFUNCTION("""COMPUTED_VALUE"""),34.02811)</f>
        <v>34.028109999999998</v>
      </c>
      <c r="AV1304" s="8">
        <f ca="1">IFERROR(__xludf.DUMMYFUNCTION("""COMPUTED_VALUE"""),-118.26319)</f>
        <v>-118.26318999999999</v>
      </c>
      <c r="AW1304" s="8"/>
      <c r="AX1304" s="8">
        <f ca="1">IFERROR(__xludf.DUMMYFUNCTION("""COMPUTED_VALUE"""),90015)</f>
        <v>90015</v>
      </c>
    </row>
    <row r="1305" spans="1:50" ht="60" x14ac:dyDescent="0.2">
      <c r="A1305" s="8" t="str">
        <f ca="1">IFERROR(__xludf.DUMMYFUNCTION("""COMPUTED_VALUE"""),"20210902ARLIL")</f>
        <v>20210902ARLIL</v>
      </c>
      <c r="B1305" s="8">
        <f ca="1">IFERROR(__xludf.DUMMYFUNCTION("""COMPUTED_VALUE"""),9)</f>
        <v>9</v>
      </c>
      <c r="C1305" s="8">
        <f ca="1">IFERROR(__xludf.DUMMYFUNCTION("""COMPUTED_VALUE"""),2)</f>
        <v>2</v>
      </c>
      <c r="D1305" s="8">
        <f ca="1">IFERROR(__xludf.DUMMYFUNCTION("""COMPUTED_VALUE"""),2021)</f>
        <v>2021</v>
      </c>
      <c r="E1305" s="9">
        <f ca="1">IFERROR(__xludf.DUMMYFUNCTION("""COMPUTED_VALUE"""),44441)</f>
        <v>44441</v>
      </c>
      <c r="F1305" s="8" t="str">
        <f ca="1">IFERROR(__xludf.DUMMYFUNCTION("""COMPUTED_VALUE"""),"Little Rock Central High School")</f>
        <v>Little Rock Central High School</v>
      </c>
      <c r="G1305" s="8">
        <f ca="1">IFERROR(__xludf.DUMMYFUNCTION("""COMPUTED_VALUE"""),0)</f>
        <v>0</v>
      </c>
      <c r="H1305" s="8">
        <f ca="1">IFERROR(__xludf.DUMMYFUNCTION("""COMPUTED_VALUE"""),0)</f>
        <v>0</v>
      </c>
      <c r="I1305" s="8">
        <f ca="1">IFERROR(__xludf.DUMMYFUNCTION("""COMPUTED_VALUE"""),0)</f>
        <v>0</v>
      </c>
      <c r="J1305" s="8">
        <f ca="1">IFERROR(__xludf.DUMMYFUNCTION("""COMPUTED_VALUE"""),0)</f>
        <v>0</v>
      </c>
      <c r="K1305" s="10" t="str">
        <f ca="1">IFERROR(__xludf.DUMMYFUNCTION("""COMPUTED_VALUE"""),"https://arktimes.com/arkansas-blog/2021/09/02/a-gun-brandished-at-little-rock-central-high-this-morning-but-no-shots-fired")</f>
        <v>https://arktimes.com/arkansas-blog/2021/09/02/a-gun-brandished-at-little-rock-central-high-this-morning-but-no-shots-fired</v>
      </c>
      <c r="L1305" s="8">
        <f ca="1">IFERROR(__xludf.DUMMYFUNCTION("""COMPUTED_VALUE"""),1)</f>
        <v>1</v>
      </c>
      <c r="M1305" s="8" t="str">
        <f ca="1">IFERROR(__xludf.DUMMYFUNCTION("""COMPUTED_VALUE"""),"Local")</f>
        <v>Local</v>
      </c>
      <c r="N1305" s="8">
        <f ca="1">IFERROR(__xludf.DUMMYFUNCTION("""COMPUTED_VALUE"""),4)</f>
        <v>4</v>
      </c>
      <c r="O1305" s="8" t="str">
        <f ca="1">IFERROR(__xludf.DUMMYFUNCTION("""COMPUTED_VALUE"""),"Fall")</f>
        <v>Fall</v>
      </c>
      <c r="P1305" s="8" t="str">
        <f ca="1">IFERROR(__xludf.DUMMYFUNCTION("""COMPUTED_VALUE"""),"Little Rock")</f>
        <v>Little Rock</v>
      </c>
      <c r="Q1305" s="8" t="str">
        <f ca="1">IFERROR(__xludf.DUMMYFUNCTION("""COMPUTED_VALUE"""),"AR")</f>
        <v>AR</v>
      </c>
      <c r="R1305" s="8" t="str">
        <f ca="1">IFERROR(__xludf.DUMMYFUNCTION("""COMPUTED_VALUE"""),"High")</f>
        <v>High</v>
      </c>
      <c r="S1305" s="8" t="str">
        <f ca="1">IFERROR(__xludf.DUMMYFUNCTION("""COMPUTED_VALUE"""),"Front of School")</f>
        <v>Front of School</v>
      </c>
      <c r="T1305" s="8" t="str">
        <f ca="1">IFERROR(__xludf.DUMMYFUNCTION("""COMPUTED_VALUE"""),"Outside on School Property")</f>
        <v>Outside on School Property</v>
      </c>
      <c r="U1305" s="8" t="str">
        <f ca="1">IFERROR(__xludf.DUMMYFUNCTION("""COMPUTED_VALUE"""),"Yes")</f>
        <v>Yes</v>
      </c>
      <c r="V1305" s="8" t="str">
        <f ca="1">IFERROR(__xludf.DUMMYFUNCTION("""COMPUTED_VALUE"""),"School Start")</f>
        <v>School Start</v>
      </c>
      <c r="W1305" s="11">
        <f ca="1">IFERROR(__xludf.DUMMYFUNCTION("""COMPUTED_VALUE"""),0.333333333333333)</f>
        <v>0.33333333333333298</v>
      </c>
      <c r="X1305" s="8">
        <f ca="1">IFERROR(__xludf.DUMMYFUNCTION("""COMPUTED_VALUE"""),1)</f>
        <v>1</v>
      </c>
      <c r="Y1305" s="12" t="str">
        <f ca="1">IFERROR(__xludf.DUMMYFUNCTION("""COMPUTED_VALUE"""),"Parent of student brandished gun during fight in front of school")</f>
        <v>Parent of student brandished gun during fight in front of school</v>
      </c>
      <c r="Z1305" s="12" t="str">
        <f ca="1">IFERROR(__xludf.DUMMYFUNCTION("""COMPUTED_VALUE"""),"Parent pulled a gun during a large fight between multiple students in front of the school. The SRO quickly responded and took the parent into custody. School was not locked down. Parent charged with multiple felonies.")</f>
        <v>Parent pulled a gun during a large fight between multiple students in front of the school. The SRO quickly responded and took the parent into custody. School was not locked down. Parent charged with multiple felonies.</v>
      </c>
      <c r="AA1305" s="8" t="str">
        <f ca="1">IFERROR(__xludf.DUMMYFUNCTION("""COMPUTED_VALUE"""),"Escalation of Dispute")</f>
        <v>Escalation of Dispute</v>
      </c>
      <c r="AB1305" s="8"/>
      <c r="AC1305" s="8" t="str">
        <f ca="1">IFERROR(__xludf.DUMMYFUNCTION("""COMPUTED_VALUE"""),"Yes")</f>
        <v>Yes</v>
      </c>
      <c r="AD1305" s="8" t="str">
        <f ca="1">IFERROR(__xludf.DUMMYFUNCTION("""COMPUTED_VALUE"""),"Neither")</f>
        <v>Neither</v>
      </c>
      <c r="AE1305" s="8" t="str">
        <f ca="1">IFERROR(__xludf.DUMMYFUNCTION("""COMPUTED_VALUE"""),"No")</f>
        <v>No</v>
      </c>
      <c r="AF1305" s="8"/>
      <c r="AG1305" s="8" t="str">
        <f ca="1">IFERROR(__xludf.DUMMYFUNCTION("""COMPUTED_VALUE"""),"No")</f>
        <v>No</v>
      </c>
      <c r="AH1305" s="8" t="str">
        <f ca="1">IFERROR(__xludf.DUMMYFUNCTION("""COMPUTED_VALUE"""),"No")</f>
        <v>No</v>
      </c>
      <c r="AI1305" s="8" t="str">
        <f ca="1">IFERROR(__xludf.DUMMYFUNCTION("""COMPUTED_VALUE"""),"No")</f>
        <v>No</v>
      </c>
      <c r="AJ1305" s="8" t="str">
        <f ca="1">IFERROR(__xludf.DUMMYFUNCTION("""COMPUTED_VALUE"""),"No")</f>
        <v>No</v>
      </c>
      <c r="AK1305" s="8" t="str">
        <f ca="1">IFERROR(__xludf.DUMMYFUNCTION("""COMPUTED_VALUE"""),"No")</f>
        <v>No</v>
      </c>
      <c r="AL1305" s="8" t="str">
        <f ca="1">IFERROR(__xludf.DUMMYFUNCTION("""COMPUTED_VALUE"""),"No")</f>
        <v>No</v>
      </c>
      <c r="AM1305" s="8" t="str">
        <f ca="1">IFERROR(__xludf.DUMMYFUNCTION("""COMPUTED_VALUE"""),"No")</f>
        <v>No</v>
      </c>
      <c r="AN1305" s="8"/>
      <c r="AO1305" s="8" t="str">
        <f ca="1">IFERROR(__xludf.DUMMYFUNCTION("""COMPUTED_VALUE"""),"No")</f>
        <v>No</v>
      </c>
      <c r="AP1305" s="8" t="str">
        <f ca="1">IFERROR(__xludf.DUMMYFUNCTION("""COMPUTED_VALUE"""),"Yes")</f>
        <v>Yes</v>
      </c>
      <c r="AQ1305" s="8" t="str">
        <f ca="1">IFERROR(__xludf.DUMMYFUNCTION("""COMPUTED_VALUE"""),"Armed Guards")</f>
        <v>Armed Guards</v>
      </c>
      <c r="AR1305" s="8" t="str">
        <f ca="1">IFERROR(__xludf.DUMMYFUNCTION("""COMPUTED_VALUE"""),"Outside/Off-Property")</f>
        <v>Outside/Off-Property</v>
      </c>
      <c r="AS1305" s="8">
        <f ca="1">IFERROR(__xludf.DUMMYFUNCTION("""COMPUTED_VALUE"""),0)</f>
        <v>0</v>
      </c>
      <c r="AT1305" s="8" t="str">
        <f ca="1">IFERROR(__xludf.DUMMYFUNCTION("""COMPUTED_VALUE"""),"No")</f>
        <v>No</v>
      </c>
      <c r="AU1305" s="8">
        <f ca="1">IFERROR(__xludf.DUMMYFUNCTION("""COMPUTED_VALUE"""),34.736452)</f>
        <v>34.736452</v>
      </c>
      <c r="AV1305" s="8">
        <f ca="1">IFERROR(__xludf.DUMMYFUNCTION("""COMPUTED_VALUE"""),-92.297994)</f>
        <v>-92.297994000000003</v>
      </c>
      <c r="AW1305" s="8"/>
      <c r="AX1305" s="8">
        <f ca="1">IFERROR(__xludf.DUMMYFUNCTION("""COMPUTED_VALUE"""),72202)</f>
        <v>72202</v>
      </c>
    </row>
    <row r="1306" spans="1:50" ht="105" x14ac:dyDescent="0.2">
      <c r="A1306" s="8" t="str">
        <f ca="1">IFERROR(__xludf.DUMMYFUNCTION("""COMPUTED_VALUE"""),"20210901NCMTW")</f>
        <v>20210901NCMTW</v>
      </c>
      <c r="B1306" s="8">
        <f ca="1">IFERROR(__xludf.DUMMYFUNCTION("""COMPUTED_VALUE"""),9)</f>
        <v>9</v>
      </c>
      <c r="C1306" s="8">
        <f ca="1">IFERROR(__xludf.DUMMYFUNCTION("""COMPUTED_VALUE"""),1)</f>
        <v>1</v>
      </c>
      <c r="D1306" s="8">
        <f ca="1">IFERROR(__xludf.DUMMYFUNCTION("""COMPUTED_VALUE"""),2021)</f>
        <v>2021</v>
      </c>
      <c r="E1306" s="9">
        <f ca="1">IFERROR(__xludf.DUMMYFUNCTION("""COMPUTED_VALUE"""),44440)</f>
        <v>44440</v>
      </c>
      <c r="F1306" s="8" t="str">
        <f ca="1">IFERROR(__xludf.DUMMYFUNCTION("""COMPUTED_VALUE"""),"Mt. Tabor High School")</f>
        <v>Mt. Tabor High School</v>
      </c>
      <c r="G1306" s="8">
        <f ca="1">IFERROR(__xludf.DUMMYFUNCTION("""COMPUTED_VALUE"""),1)</f>
        <v>1</v>
      </c>
      <c r="H1306" s="8">
        <f ca="1">IFERROR(__xludf.DUMMYFUNCTION("""COMPUTED_VALUE"""),0)</f>
        <v>0</v>
      </c>
      <c r="I1306" s="8">
        <f ca="1">IFERROR(__xludf.DUMMYFUNCTION("""COMPUTED_VALUE"""),1)</f>
        <v>1</v>
      </c>
      <c r="J1306" s="8">
        <f ca="1">IFERROR(__xludf.DUMMYFUNCTION("""COMPUTED_VALUE"""),0)</f>
        <v>0</v>
      </c>
      <c r="K1306" s="8" t="str">
        <f ca="1">IFERROR(__xludf.DUMMYFUNCTION("""COMPUTED_VALUE"""),"https://www.foxcarolina.com/news/deputies-confirm-arrest-of-deadly-mount-tabor-high-school-shooting-suspect/article_d39e089e-0b48-11ec-8dbc-73e07812f5d1.html?block_id=996028 https://www.wfmynews2.com/article/news/local/2-wants-to-know/will-the-mt-tabor-hs"&amp;"-shooting-suspect-be-tried-as-an-adult-or-a-juvenile-penalties-are-time-served-to-21-years-old-or-life-in-prison-district-attorney/83-bb59e16f-38aa-4ea8-ae37-ad946c52473d https://www.wfmynews2.com/article/news/local/2-wants-to-know/will-the-mt-tabor-hs-sh"&amp;"ooting-suspect-be-tried-as-an-adult-or-a-juvenile-penalties-are-time-served-to-21-years-old-or-life-in-prison-district-attorney/83-bb59e16f-38aa-4ea8-ae37-ad946c52473d https://www.wral.com/teen-shot-killed-at-winston-salem-high-school-another-student-arre"&amp;"sted/19853265/")</f>
        <v>https://www.foxcarolina.com/news/deputies-confirm-arrest-of-deadly-mount-tabor-high-school-shooting-suspect/article_d39e089e-0b48-11ec-8dbc-73e07812f5d1.html?block_id=996028 https://www.wfmynews2.com/article/news/local/2-wants-to-know/will-the-mt-tabor-hs-shooting-suspect-be-tried-as-an-adult-or-a-juvenile-penalties-are-time-served-to-21-years-old-or-life-in-prison-district-attorney/83-bb59e16f-38aa-4ea8-ae37-ad946c52473d https://www.wfmynews2.com/article/news/local/2-wants-to-know/will-the-mt-tabor-hs-shooting-suspect-be-tried-as-an-adult-or-a-juvenile-penalties-are-time-served-to-21-years-old-or-life-in-prison-district-attorney/83-bb59e16f-38aa-4ea8-ae37-ad946c52473d https://www.wral.com/teen-shot-killed-at-winston-salem-high-school-another-student-arrested/19853265/</v>
      </c>
      <c r="L1306" s="8">
        <f ca="1">IFERROR(__xludf.DUMMYFUNCTION("""COMPUTED_VALUE"""),999)</f>
        <v>999</v>
      </c>
      <c r="M1306" s="8" t="str">
        <f ca="1">IFERROR(__xludf.DUMMYFUNCTION("""COMPUTED_VALUE"""),"International")</f>
        <v>International</v>
      </c>
      <c r="N1306" s="8">
        <f ca="1">IFERROR(__xludf.DUMMYFUNCTION("""COMPUTED_VALUE"""),4)</f>
        <v>4</v>
      </c>
      <c r="O1306" s="8" t="str">
        <f ca="1">IFERROR(__xludf.DUMMYFUNCTION("""COMPUTED_VALUE"""),"Fall")</f>
        <v>Fall</v>
      </c>
      <c r="P1306" s="8" t="str">
        <f ca="1">IFERROR(__xludf.DUMMYFUNCTION("""COMPUTED_VALUE"""),"Winston-Salem")</f>
        <v>Winston-Salem</v>
      </c>
      <c r="Q1306" s="8" t="str">
        <f ca="1">IFERROR(__xludf.DUMMYFUNCTION("""COMPUTED_VALUE"""),"NC")</f>
        <v>NC</v>
      </c>
      <c r="R1306" s="8" t="str">
        <f ca="1">IFERROR(__xludf.DUMMYFUNCTION("""COMPUTED_VALUE"""),"High")</f>
        <v>High</v>
      </c>
      <c r="S1306" s="8" t="str">
        <f ca="1">IFERROR(__xludf.DUMMYFUNCTION("""COMPUTED_VALUE"""),"Hallway")</f>
        <v>Hallway</v>
      </c>
      <c r="T1306" s="8" t="str">
        <f ca="1">IFERROR(__xludf.DUMMYFUNCTION("""COMPUTED_VALUE"""),"Inside School Building")</f>
        <v>Inside School Building</v>
      </c>
      <c r="U1306" s="8" t="str">
        <f ca="1">IFERROR(__xludf.DUMMYFUNCTION("""COMPUTED_VALUE"""),"Yes")</f>
        <v>Yes</v>
      </c>
      <c r="V1306" s="8" t="str">
        <f ca="1">IFERROR(__xludf.DUMMYFUNCTION("""COMPUTED_VALUE"""),"Lunch")</f>
        <v>Lunch</v>
      </c>
      <c r="W1306" s="11">
        <f ca="1">IFERROR(__xludf.DUMMYFUNCTION("""COMPUTED_VALUE"""),0.504861111111111)</f>
        <v>0.50486111111111098</v>
      </c>
      <c r="X1306" s="8">
        <f ca="1">IFERROR(__xludf.DUMMYFUNCTION("""COMPUTED_VALUE"""),1)</f>
        <v>1</v>
      </c>
      <c r="Y1306" s="12" t="str">
        <f ca="1">IFERROR(__xludf.DUMMYFUNCTION("""COMPUTED_VALUE"""),"Student shot another student inside the school and fled the area")</f>
        <v>Student shot another student inside the school and fled the area</v>
      </c>
      <c r="Z1306" s="12" t="str">
        <f ca="1">IFERROR(__xludf.DUMMYFUNCTION("""COMPUTED_VALUE"""),"A 15-year-old student fatally shot another 15-year-old student in the hallway. Shooter fled the scene and was arrested 6 hours later. SRO responded and school was locked down. Police active shooter response locked down area and students were evacuated by "&amp;"officers to another location. Police have not released details on motive or other circumstances.")</f>
        <v>A 15-year-old student fatally shot another 15-year-old student in the hallway. Shooter fled the scene and was arrested 6 hours later. SRO responded and school was locked down. Police active shooter response locked down area and students were evacuated by officers to another location. Police have not released details on motive or other circumstances.</v>
      </c>
      <c r="AA1306" s="8"/>
      <c r="AB1306" s="8"/>
      <c r="AC1306" s="8" t="str">
        <f ca="1">IFERROR(__xludf.DUMMYFUNCTION("""COMPUTED_VALUE"""),"Yes")</f>
        <v>Yes</v>
      </c>
      <c r="AD1306" s="8" t="str">
        <f ca="1">IFERROR(__xludf.DUMMYFUNCTION("""COMPUTED_VALUE"""),"Victims Targeted")</f>
        <v>Victims Targeted</v>
      </c>
      <c r="AE1306" s="8"/>
      <c r="AF1306" s="8"/>
      <c r="AG1306" s="8" t="str">
        <f ca="1">IFERROR(__xludf.DUMMYFUNCTION("""COMPUTED_VALUE"""),"No")</f>
        <v>No</v>
      </c>
      <c r="AH1306" s="8" t="str">
        <f ca="1">IFERROR(__xludf.DUMMYFUNCTION("""COMPUTED_VALUE"""),"No")</f>
        <v>No</v>
      </c>
      <c r="AI1306" s="8" t="str">
        <f ca="1">IFERROR(__xludf.DUMMYFUNCTION("""COMPUTED_VALUE"""),"No")</f>
        <v>No</v>
      </c>
      <c r="AJ1306" s="8"/>
      <c r="AK1306" s="8" t="str">
        <f ca="1">IFERROR(__xludf.DUMMYFUNCTION("""COMPUTED_VALUE"""),"No")</f>
        <v>No</v>
      </c>
      <c r="AL1306" s="8" t="str">
        <f ca="1">IFERROR(__xludf.DUMMYFUNCTION("""COMPUTED_VALUE"""),"No")</f>
        <v>No</v>
      </c>
      <c r="AM1306" s="8" t="str">
        <f ca="1">IFERROR(__xludf.DUMMYFUNCTION("""COMPUTED_VALUE"""),"No")</f>
        <v>No</v>
      </c>
      <c r="AN1306" s="8"/>
      <c r="AO1306" s="8" t="str">
        <f ca="1">IFERROR(__xludf.DUMMYFUNCTION("""COMPUTED_VALUE"""),"No")</f>
        <v>No</v>
      </c>
      <c r="AP1306" s="8" t="str">
        <f ca="1">IFERROR(__xludf.DUMMYFUNCTION("""COMPUTED_VALUE"""),"Yes")</f>
        <v>Yes</v>
      </c>
      <c r="AQ1306" s="8" t="str">
        <f ca="1">IFERROR(__xludf.DUMMYFUNCTION("""COMPUTED_VALUE"""),"Armed Guards")</f>
        <v>Armed Guards</v>
      </c>
      <c r="AR1306" s="8" t="str">
        <f ca="1">IFERROR(__xludf.DUMMYFUNCTION("""COMPUTED_VALUE"""),"Failed")</f>
        <v>Failed</v>
      </c>
      <c r="AS1306" s="8"/>
      <c r="AT1306" s="8" t="str">
        <f ca="1">IFERROR(__xludf.DUMMYFUNCTION("""COMPUTED_VALUE"""),"Yes")</f>
        <v>Yes</v>
      </c>
      <c r="AU1306" s="8">
        <f ca="1">IFERROR(__xludf.DUMMYFUNCTION("""COMPUTED_VALUE"""),36.127024)</f>
        <v>36.127023999999999</v>
      </c>
      <c r="AV1306" s="8">
        <f ca="1">IFERROR(__xludf.DUMMYFUNCTION("""COMPUTED_VALUE"""),-80.314758)</f>
        <v>-80.314757999999998</v>
      </c>
      <c r="AW1306" s="8"/>
      <c r="AX1306" s="8">
        <f ca="1">IFERROR(__xludf.DUMMYFUNCTION("""COMPUTED_VALUE"""),27106)</f>
        <v>27106</v>
      </c>
    </row>
    <row r="1307" spans="1:50" ht="60" x14ac:dyDescent="0.2">
      <c r="A1307" s="8" t="str">
        <f ca="1">IFERROR(__xludf.DUMMYFUNCTION("""COMPUTED_VALUE"""),"20210901ILFRC")</f>
        <v>20210901ILFRC</v>
      </c>
      <c r="B1307" s="8">
        <f ca="1">IFERROR(__xludf.DUMMYFUNCTION("""COMPUTED_VALUE"""),9)</f>
        <v>9</v>
      </c>
      <c r="C1307" s="8">
        <f ca="1">IFERROR(__xludf.DUMMYFUNCTION("""COMPUTED_VALUE"""),1)</f>
        <v>1</v>
      </c>
      <c r="D1307" s="8">
        <f ca="1">IFERROR(__xludf.DUMMYFUNCTION("""COMPUTED_VALUE"""),2021)</f>
        <v>2021</v>
      </c>
      <c r="E1307" s="9">
        <f ca="1">IFERROR(__xludf.DUMMYFUNCTION("""COMPUTED_VALUE"""),44440)</f>
        <v>44440</v>
      </c>
      <c r="F1307" s="8" t="str">
        <f ca="1">IFERROR(__xludf.DUMMYFUNCTION("""COMPUTED_VALUE"""),"Frazier International Magnet School")</f>
        <v>Frazier International Magnet School</v>
      </c>
      <c r="G1307" s="8">
        <f ca="1">IFERROR(__xludf.DUMMYFUNCTION("""COMPUTED_VALUE"""),1)</f>
        <v>1</v>
      </c>
      <c r="H1307" s="8">
        <f ca="1">IFERROR(__xludf.DUMMYFUNCTION("""COMPUTED_VALUE"""),0)</f>
        <v>0</v>
      </c>
      <c r="I1307" s="8">
        <f ca="1">IFERROR(__xludf.DUMMYFUNCTION("""COMPUTED_VALUE"""),1)</f>
        <v>1</v>
      </c>
      <c r="J1307" s="8">
        <f ca="1">IFERROR(__xludf.DUMMYFUNCTION("""COMPUTED_VALUE"""),0)</f>
        <v>0</v>
      </c>
      <c r="K1307" s="8" t="str">
        <f ca="1">IFERROR(__xludf.DUMMYFUNCTION("""COMPUTED_VALUE"""),"https://chicago.suntimes.com/crime/2021/9/2/22653675/13-shot-3-fatally-wednesday-in-chicago-including-13-year-old-boy https://chicago.suntimes.com/crime/2021/9/1/22651978/lawndale-shooting-frazier-international-magnet-school-dexter-derrell-dardon")</f>
        <v>https://chicago.suntimes.com/crime/2021/9/2/22653675/13-shot-3-fatally-wednesday-in-chicago-including-13-year-old-boy https://chicago.suntimes.com/crime/2021/9/1/22651978/lawndale-shooting-frazier-international-magnet-school-dexter-derrell-dardon</v>
      </c>
      <c r="L1307" s="8">
        <f ca="1">IFERROR(__xludf.DUMMYFUNCTION("""COMPUTED_VALUE"""),2)</f>
        <v>2</v>
      </c>
      <c r="M1307" s="8" t="str">
        <f ca="1">IFERROR(__xludf.DUMMYFUNCTION("""COMPUTED_VALUE"""),"Local")</f>
        <v>Local</v>
      </c>
      <c r="N1307" s="8">
        <f ca="1">IFERROR(__xludf.DUMMYFUNCTION("""COMPUTED_VALUE"""),3)</f>
        <v>3</v>
      </c>
      <c r="O1307" s="8" t="str">
        <f ca="1">IFERROR(__xludf.DUMMYFUNCTION("""COMPUTED_VALUE"""),"Fall")</f>
        <v>Fall</v>
      </c>
      <c r="P1307" s="8" t="str">
        <f ca="1">IFERROR(__xludf.DUMMYFUNCTION("""COMPUTED_VALUE"""),"Chicago")</f>
        <v>Chicago</v>
      </c>
      <c r="Q1307" s="8" t="str">
        <f ca="1">IFERROR(__xludf.DUMMYFUNCTION("""COMPUTED_VALUE"""),"IL")</f>
        <v>IL</v>
      </c>
      <c r="R1307" s="8" t="str">
        <f ca="1">IFERROR(__xludf.DUMMYFUNCTION("""COMPUTED_VALUE"""),"Elementary")</f>
        <v>Elementary</v>
      </c>
      <c r="S1307" s="8" t="str">
        <f ca="1">IFERROR(__xludf.DUMMYFUNCTION("""COMPUTED_VALUE"""),"Front of School")</f>
        <v>Front of School</v>
      </c>
      <c r="T1307" s="8" t="str">
        <f ca="1">IFERROR(__xludf.DUMMYFUNCTION("""COMPUTED_VALUE"""),"Outside on School Property")</f>
        <v>Outside on School Property</v>
      </c>
      <c r="U1307" s="8" t="str">
        <f ca="1">IFERROR(__xludf.DUMMYFUNCTION("""COMPUTED_VALUE"""),"No")</f>
        <v>No</v>
      </c>
      <c r="V1307" s="8" t="str">
        <f ca="1">IFERROR(__xludf.DUMMYFUNCTION("""COMPUTED_VALUE"""),"Before School")</f>
        <v>Before School</v>
      </c>
      <c r="W1307" s="11">
        <f ca="1">IFERROR(__xludf.DUMMYFUNCTION("""COMPUTED_VALUE"""),0.21875)</f>
        <v>0.21875</v>
      </c>
      <c r="X1307" s="8">
        <f ca="1">IFERROR(__xludf.DUMMYFUNCTION("""COMPUTED_VALUE"""),1)</f>
        <v>1</v>
      </c>
      <c r="Y1307" s="12" t="str">
        <f ca="1">IFERROR(__xludf.DUMMYFUNCTION("""COMPUTED_VALUE"""),"Adult man fatally shot in front of the school")</f>
        <v>Adult man fatally shot in front of the school</v>
      </c>
      <c r="Z1307" s="12" t="str">
        <f ca="1">IFERROR(__xludf.DUMMYFUNCTION("""COMPUTED_VALUE"""),"A 41-year-old man was shot multiple times in front the school prior to opening. Parents were advised to use the rear door of the school due to the homicide investigation in front of the building.")</f>
        <v>A 41-year-old man was shot multiple times in front the school prior to opening. Parents were advised to use the rear door of the school due to the homicide investigation in front of the building.</v>
      </c>
      <c r="AA1307" s="8"/>
      <c r="AB1307" s="8"/>
      <c r="AC1307" s="8" t="str">
        <f ca="1">IFERROR(__xludf.DUMMYFUNCTION("""COMPUTED_VALUE"""),"Yes")</f>
        <v>Yes</v>
      </c>
      <c r="AD1307" s="8" t="str">
        <f ca="1">IFERROR(__xludf.DUMMYFUNCTION("""COMPUTED_VALUE"""),"Victims Targeted")</f>
        <v>Victims Targeted</v>
      </c>
      <c r="AE1307" s="8" t="str">
        <f ca="1">IFERROR(__xludf.DUMMYFUNCTION("""COMPUTED_VALUE"""),"No")</f>
        <v>No</v>
      </c>
      <c r="AF1307" s="8"/>
      <c r="AG1307" s="8" t="str">
        <f ca="1">IFERROR(__xludf.DUMMYFUNCTION("""COMPUTED_VALUE"""),"No")</f>
        <v>No</v>
      </c>
      <c r="AH1307" s="8" t="str">
        <f ca="1">IFERROR(__xludf.DUMMYFUNCTION("""COMPUTED_VALUE"""),"No")</f>
        <v>No</v>
      </c>
      <c r="AI1307" s="8" t="str">
        <f ca="1">IFERROR(__xludf.DUMMYFUNCTION("""COMPUTED_VALUE"""),"No")</f>
        <v>No</v>
      </c>
      <c r="AJ1307" s="8" t="str">
        <f ca="1">IFERROR(__xludf.DUMMYFUNCTION("""COMPUTED_VALUE"""),"No")</f>
        <v>No</v>
      </c>
      <c r="AK1307" s="8" t="str">
        <f ca="1">IFERROR(__xludf.DUMMYFUNCTION("""COMPUTED_VALUE"""),"No")</f>
        <v>No</v>
      </c>
      <c r="AL1307" s="8"/>
      <c r="AM1307" s="8" t="str">
        <f ca="1">IFERROR(__xludf.DUMMYFUNCTION("""COMPUTED_VALUE"""),"No")</f>
        <v>No</v>
      </c>
      <c r="AN1307" s="8"/>
      <c r="AO1307" s="8" t="str">
        <f ca="1">IFERROR(__xludf.DUMMYFUNCTION("""COMPUTED_VALUE"""),"No")</f>
        <v>No</v>
      </c>
      <c r="AP1307" s="8"/>
      <c r="AQ1307" s="8"/>
      <c r="AR1307" s="8" t="str">
        <f ca="1">IFERROR(__xludf.DUMMYFUNCTION("""COMPUTED_VALUE"""),"Outside/Off-Property")</f>
        <v>Outside/Off-Property</v>
      </c>
      <c r="AS1307" s="8"/>
      <c r="AT1307" s="8"/>
      <c r="AU1307" s="8">
        <f ca="1">IFERROR(__xludf.DUMMYFUNCTION("""COMPUTED_VALUE"""),41.866659)</f>
        <v>41.866658999999999</v>
      </c>
      <c r="AV1307" s="8">
        <f ca="1">IFERROR(__xludf.DUMMYFUNCTION("""COMPUTED_VALUE"""),-87.725336)</f>
        <v>-87.725335999999999</v>
      </c>
      <c r="AW1307" s="8"/>
      <c r="AX1307" s="8">
        <f ca="1">IFERROR(__xludf.DUMMYFUNCTION("""COMPUTED_VALUE"""),60624)</f>
        <v>60624</v>
      </c>
    </row>
    <row r="1308" spans="1:50" ht="60" x14ac:dyDescent="0.2">
      <c r="A1308" s="8" t="str">
        <f ca="1">IFERROR(__xludf.DUMMYFUNCTION("""COMPUTED_VALUE"""),"20210830NJWEN")</f>
        <v>20210830NJWEN</v>
      </c>
      <c r="B1308" s="8">
        <f ca="1">IFERROR(__xludf.DUMMYFUNCTION("""COMPUTED_VALUE"""),8)</f>
        <v>8</v>
      </c>
      <c r="C1308" s="8">
        <f ca="1">IFERROR(__xludf.DUMMYFUNCTION("""COMPUTED_VALUE"""),30)</f>
        <v>30</v>
      </c>
      <c r="D1308" s="8">
        <f ca="1">IFERROR(__xludf.DUMMYFUNCTION("""COMPUTED_VALUE"""),2021)</f>
        <v>2021</v>
      </c>
      <c r="E1308" s="9">
        <f ca="1">IFERROR(__xludf.DUMMYFUNCTION("""COMPUTED_VALUE"""),44438)</f>
        <v>44438</v>
      </c>
      <c r="F1308" s="8" t="str">
        <f ca="1">IFERROR(__xludf.DUMMYFUNCTION("""COMPUTED_VALUE"""),"West Side High School")</f>
        <v>West Side High School</v>
      </c>
      <c r="G1308" s="8">
        <f ca="1">IFERROR(__xludf.DUMMYFUNCTION("""COMPUTED_VALUE"""),1)</f>
        <v>1</v>
      </c>
      <c r="H1308" s="8">
        <f ca="1">IFERROR(__xludf.DUMMYFUNCTION("""COMPUTED_VALUE"""),0)</f>
        <v>0</v>
      </c>
      <c r="I1308" s="8">
        <f ca="1">IFERROR(__xludf.DUMMYFUNCTION("""COMPUTED_VALUE"""),1)</f>
        <v>1</v>
      </c>
      <c r="J1308" s="8">
        <f ca="1">IFERROR(__xludf.DUMMYFUNCTION("""COMPUTED_VALUE"""),0)</f>
        <v>0</v>
      </c>
      <c r="K1308" s="8" t="str">
        <f ca="1">IFERROR(__xludf.DUMMYFUNCTION("""COMPUTED_VALUE"""),"https://www.nj.com/crime/2021/08/teen-fatally-shot-in-newark-was-on-his-way-home-from-safe-space-program-mayor-says.html https://www.rlsmedia.com/article/shooting-near-newarks-west-side-high-school-leaves-teen-boy-dead")</f>
        <v>https://www.nj.com/crime/2021/08/teen-fatally-shot-in-newark-was-on-his-way-home-from-safe-space-program-mayor-says.html https://www.rlsmedia.com/article/shooting-near-newarks-west-side-high-school-leaves-teen-boy-dead</v>
      </c>
      <c r="L1308" s="8">
        <f ca="1">IFERROR(__xludf.DUMMYFUNCTION("""COMPUTED_VALUE"""),2)</f>
        <v>2</v>
      </c>
      <c r="M1308" s="8" t="str">
        <f ca="1">IFERROR(__xludf.DUMMYFUNCTION("""COMPUTED_VALUE"""),"Local")</f>
        <v>Local</v>
      </c>
      <c r="N1308" s="8">
        <f ca="1">IFERROR(__xludf.DUMMYFUNCTION("""COMPUTED_VALUE"""),4)</f>
        <v>4</v>
      </c>
      <c r="O1308" s="8" t="str">
        <f ca="1">IFERROR(__xludf.DUMMYFUNCTION("""COMPUTED_VALUE"""),"Fall")</f>
        <v>Fall</v>
      </c>
      <c r="P1308" s="8" t="str">
        <f ca="1">IFERROR(__xludf.DUMMYFUNCTION("""COMPUTED_VALUE"""),"Newark")</f>
        <v>Newark</v>
      </c>
      <c r="Q1308" s="8" t="str">
        <f ca="1">IFERROR(__xludf.DUMMYFUNCTION("""COMPUTED_VALUE"""),"NJ")</f>
        <v>NJ</v>
      </c>
      <c r="R1308" s="8" t="str">
        <f ca="1">IFERROR(__xludf.DUMMYFUNCTION("""COMPUTED_VALUE"""),"High")</f>
        <v>High</v>
      </c>
      <c r="S1308" s="8" t="str">
        <f ca="1">IFERROR(__xludf.DUMMYFUNCTION("""COMPUTED_VALUE"""),"Front of School")</f>
        <v>Front of School</v>
      </c>
      <c r="T1308" s="8" t="str">
        <f ca="1">IFERROR(__xludf.DUMMYFUNCTION("""COMPUTED_VALUE"""),"Outside on School Property")</f>
        <v>Outside on School Property</v>
      </c>
      <c r="U1308" s="8" t="str">
        <f ca="1">IFERROR(__xludf.DUMMYFUNCTION("""COMPUTED_VALUE"""),"Yes")</f>
        <v>Yes</v>
      </c>
      <c r="V1308" s="8" t="str">
        <f ca="1">IFERROR(__xludf.DUMMYFUNCTION("""COMPUTED_VALUE"""),"Evening")</f>
        <v>Evening</v>
      </c>
      <c r="W1308" s="11">
        <f ca="1">IFERROR(__xludf.DUMMYFUNCTION("""COMPUTED_VALUE"""),0.854166666666666)</f>
        <v>0.85416666666666596</v>
      </c>
      <c r="X1308" s="8">
        <f ca="1">IFERROR(__xludf.DUMMYFUNCTION("""COMPUTED_VALUE"""),1)</f>
        <v>1</v>
      </c>
      <c r="Y1308" s="12" t="str">
        <f ca="1">IFERROR(__xludf.DUMMYFUNCTION("""COMPUTED_VALUE"""),"Teen fatally shot leaving night program at the school")</f>
        <v>Teen fatally shot leaving night program at the school</v>
      </c>
      <c r="Z1308" s="12" t="str">
        <f ca="1">IFERROR(__xludf.DUMMYFUNCTION("""COMPUTED_VALUE"""),"A teenage student was fatally shot leaving a night program at the school. He was shot multiple times in front of the school and ran 1/2 block before collapsing in the street. Shooter fled.")</f>
        <v>A teenage student was fatally shot leaving a night program at the school. He was shot multiple times in front of the school and ran 1/2 block before collapsing in the street. Shooter fled.</v>
      </c>
      <c r="AA1308" s="8"/>
      <c r="AB1308" s="8"/>
      <c r="AC1308" s="8" t="str">
        <f ca="1">IFERROR(__xludf.DUMMYFUNCTION("""COMPUTED_VALUE"""),"Yes")</f>
        <v>Yes</v>
      </c>
      <c r="AD1308" s="8" t="str">
        <f ca="1">IFERROR(__xludf.DUMMYFUNCTION("""COMPUTED_VALUE"""),"Victims Targeted")</f>
        <v>Victims Targeted</v>
      </c>
      <c r="AE1308" s="8" t="str">
        <f ca="1">IFERROR(__xludf.DUMMYFUNCTION("""COMPUTED_VALUE"""),"No")</f>
        <v>No</v>
      </c>
      <c r="AF1308" s="8"/>
      <c r="AG1308" s="8" t="str">
        <f ca="1">IFERROR(__xludf.DUMMYFUNCTION("""COMPUTED_VALUE"""),"No")</f>
        <v>No</v>
      </c>
      <c r="AH1308" s="8" t="str">
        <f ca="1">IFERROR(__xludf.DUMMYFUNCTION("""COMPUTED_VALUE"""),"No")</f>
        <v>No</v>
      </c>
      <c r="AI1308" s="8" t="str">
        <f ca="1">IFERROR(__xludf.DUMMYFUNCTION("""COMPUTED_VALUE"""),"No")</f>
        <v>No</v>
      </c>
      <c r="AJ1308" s="8" t="str">
        <f ca="1">IFERROR(__xludf.DUMMYFUNCTION("""COMPUTED_VALUE"""),"No")</f>
        <v>No</v>
      </c>
      <c r="AK1308" s="8" t="str">
        <f ca="1">IFERROR(__xludf.DUMMYFUNCTION("""COMPUTED_VALUE"""),"No")</f>
        <v>No</v>
      </c>
      <c r="AL1308" s="8"/>
      <c r="AM1308" s="8" t="str">
        <f ca="1">IFERROR(__xludf.DUMMYFUNCTION("""COMPUTED_VALUE"""),"No")</f>
        <v>No</v>
      </c>
      <c r="AN1308" s="8"/>
      <c r="AO1308" s="8" t="str">
        <f ca="1">IFERROR(__xludf.DUMMYFUNCTION("""COMPUTED_VALUE"""),"No")</f>
        <v>No</v>
      </c>
      <c r="AP1308" s="8"/>
      <c r="AQ1308" s="8"/>
      <c r="AR1308" s="8" t="str">
        <f ca="1">IFERROR(__xludf.DUMMYFUNCTION("""COMPUTED_VALUE"""),"Outside/Off-Property")</f>
        <v>Outside/Off-Property</v>
      </c>
      <c r="AS1308" s="8"/>
      <c r="AT1308" s="8"/>
      <c r="AU1308" s="8">
        <f ca="1">IFERROR(__xludf.DUMMYFUNCTION("""COMPUTED_VALUE"""),40.741734)</f>
        <v>40.741734000000001</v>
      </c>
      <c r="AV1308" s="8">
        <f ca="1">IFERROR(__xludf.DUMMYFUNCTION("""COMPUTED_VALUE"""),-74.203283)</f>
        <v>-74.203282999999999</v>
      </c>
      <c r="AW1308" s="8"/>
      <c r="AX1308" s="8">
        <f ca="1">IFERROR(__xludf.DUMMYFUNCTION("""COMPUTED_VALUE"""),7099)</f>
        <v>7099</v>
      </c>
    </row>
    <row r="1309" spans="1:50" ht="30" x14ac:dyDescent="0.2">
      <c r="A1309" s="8" t="str">
        <f ca="1">IFERROR(__xludf.DUMMYFUNCTION("""COMPUTED_VALUE"""),"20210830NCNEW")</f>
        <v>20210830NCNEW</v>
      </c>
      <c r="B1309" s="8">
        <f ca="1">IFERROR(__xludf.DUMMYFUNCTION("""COMPUTED_VALUE"""),8)</f>
        <v>8</v>
      </c>
      <c r="C1309" s="8">
        <f ca="1">IFERROR(__xludf.DUMMYFUNCTION("""COMPUTED_VALUE"""),30)</f>
        <v>30</v>
      </c>
      <c r="D1309" s="8">
        <f ca="1">IFERROR(__xludf.DUMMYFUNCTION("""COMPUTED_VALUE"""),2021)</f>
        <v>2021</v>
      </c>
      <c r="E1309" s="9">
        <f ca="1">IFERROR(__xludf.DUMMYFUNCTION("""COMPUTED_VALUE"""),44438)</f>
        <v>44438</v>
      </c>
      <c r="F1309" s="8" t="str">
        <f ca="1">IFERROR(__xludf.DUMMYFUNCTION("""COMPUTED_VALUE"""),"New Hanover High School")</f>
        <v>New Hanover High School</v>
      </c>
      <c r="G1309" s="8">
        <f ca="1">IFERROR(__xludf.DUMMYFUNCTION("""COMPUTED_VALUE"""),0)</f>
        <v>0</v>
      </c>
      <c r="H1309" s="8">
        <f ca="1">IFERROR(__xludf.DUMMYFUNCTION("""COMPUTED_VALUE"""),1)</f>
        <v>1</v>
      </c>
      <c r="I1309" s="8">
        <f ca="1">IFERROR(__xludf.DUMMYFUNCTION("""COMPUTED_VALUE"""),1)</f>
        <v>1</v>
      </c>
      <c r="J1309" s="8">
        <f ca="1">IFERROR(__xludf.DUMMYFUNCTION("""COMPUTED_VALUE"""),0)</f>
        <v>0</v>
      </c>
      <c r="K1309" s="8" t="str">
        <f ca="1">IFERROR(__xludf.DUMMYFUNCTION("""COMPUTED_VALUE"""),"https://www.wwaytv3.com/2021/09/01/911-calls-reveal-new-details-in-new-hanover-high-school-shooting/ https://www.charlotteobserver.com/news/state/north-carolina/article253854048.html https://www.charlotteobserver.com/news/state/north-carolina/article25385"&amp;"4048.html https://www.starnewsonline.com/story/news/2021/08/31/new-hanover-high-school-shooting-wilmington-nc-officials-react-gun-violence-schools-safety/5663068001/ https://www.wsoctv.com/news/local/nc-sheriffs-office-student-shot-school-shooter-sought/4"&amp;"BRPDCXUYFEGDBFGZ6OUTKHFXU/")</f>
        <v>https://www.wwaytv3.com/2021/09/01/911-calls-reveal-new-details-in-new-hanover-high-school-shooting/ https://www.charlotteobserver.com/news/state/north-carolina/article253854048.html https://www.charlotteobserver.com/news/state/north-carolina/article253854048.html https://www.starnewsonline.com/story/news/2021/08/31/new-hanover-high-school-shooting-wilmington-nc-officials-react-gun-violence-schools-safety/5663068001/ https://www.wsoctv.com/news/local/nc-sheriffs-office-student-shot-school-shooter-sought/4BRPDCXUYFEGDBFGZ6OUTKHFXU/</v>
      </c>
      <c r="L1309" s="8">
        <f ca="1">IFERROR(__xludf.DUMMYFUNCTION("""COMPUTED_VALUE"""),100)</f>
        <v>100</v>
      </c>
      <c r="M1309" s="8" t="str">
        <f ca="1">IFERROR(__xludf.DUMMYFUNCTION("""COMPUTED_VALUE"""),"National")</f>
        <v>National</v>
      </c>
      <c r="N1309" s="8">
        <f ca="1">IFERROR(__xludf.DUMMYFUNCTION("""COMPUTED_VALUE"""),4)</f>
        <v>4</v>
      </c>
      <c r="O1309" s="8" t="str">
        <f ca="1">IFERROR(__xludf.DUMMYFUNCTION("""COMPUTED_VALUE"""),"Fall")</f>
        <v>Fall</v>
      </c>
      <c r="P1309" s="8" t="str">
        <f ca="1">IFERROR(__xludf.DUMMYFUNCTION("""COMPUTED_VALUE"""),"Wilmington")</f>
        <v>Wilmington</v>
      </c>
      <c r="Q1309" s="8" t="str">
        <f ca="1">IFERROR(__xludf.DUMMYFUNCTION("""COMPUTED_VALUE"""),"NC")</f>
        <v>NC</v>
      </c>
      <c r="R1309" s="8" t="str">
        <f ca="1">IFERROR(__xludf.DUMMYFUNCTION("""COMPUTED_VALUE"""),"High")</f>
        <v>High</v>
      </c>
      <c r="S1309" s="8" t="str">
        <f ca="1">IFERROR(__xludf.DUMMYFUNCTION("""COMPUTED_VALUE"""),"Hallway")</f>
        <v>Hallway</v>
      </c>
      <c r="T1309" s="8" t="str">
        <f ca="1">IFERROR(__xludf.DUMMYFUNCTION("""COMPUTED_VALUE"""),"Inside School Building")</f>
        <v>Inside School Building</v>
      </c>
      <c r="U1309" s="8" t="str">
        <f ca="1">IFERROR(__xludf.DUMMYFUNCTION("""COMPUTED_VALUE"""),"Yes")</f>
        <v>Yes</v>
      </c>
      <c r="V1309" s="8" t="str">
        <f ca="1">IFERROR(__xludf.DUMMYFUNCTION("""COMPUTED_VALUE"""),"Morning Classes")</f>
        <v>Morning Classes</v>
      </c>
      <c r="W1309" s="11">
        <f ca="1">IFERROR(__xludf.DUMMYFUNCTION("""COMPUTED_VALUE"""),0.475)</f>
        <v>0.47499999999999998</v>
      </c>
      <c r="X1309" s="8">
        <f ca="1">IFERROR(__xludf.DUMMYFUNCTION("""COMPUTED_VALUE"""),1)</f>
        <v>1</v>
      </c>
      <c r="Y1309" s="12" t="str">
        <f ca="1">IFERROR(__xludf.DUMMYFUNCTION("""COMPUTED_VALUE"""),"Student shot during large fight in hallway")</f>
        <v>Student shot during large fight in hallway</v>
      </c>
      <c r="Z1309" s="12" t="str">
        <f ca="1">IFERROR(__xludf.DUMMYFUNCTION("""COMPUTED_VALUE"""),"Student shot during large fight in hallway")</f>
        <v>Student shot during large fight in hallway</v>
      </c>
      <c r="AA1309" s="8" t="str">
        <f ca="1">IFERROR(__xludf.DUMMYFUNCTION("""COMPUTED_VALUE"""),"Escalation of Dispute")</f>
        <v>Escalation of Dispute</v>
      </c>
      <c r="AB1309" s="8"/>
      <c r="AC1309" s="8" t="str">
        <f ca="1">IFERROR(__xludf.DUMMYFUNCTION("""COMPUTED_VALUE"""),"Yes")</f>
        <v>Yes</v>
      </c>
      <c r="AD1309" s="8" t="str">
        <f ca="1">IFERROR(__xludf.DUMMYFUNCTION("""COMPUTED_VALUE"""),"Victims Targeted")</f>
        <v>Victims Targeted</v>
      </c>
      <c r="AE1309" s="8" t="str">
        <f ca="1">IFERROR(__xludf.DUMMYFUNCTION("""COMPUTED_VALUE"""),"No")</f>
        <v>No</v>
      </c>
      <c r="AF1309" s="8"/>
      <c r="AG1309" s="8" t="str">
        <f ca="1">IFERROR(__xludf.DUMMYFUNCTION("""COMPUTED_VALUE"""),"No")</f>
        <v>No</v>
      </c>
      <c r="AH1309" s="8" t="str">
        <f ca="1">IFERROR(__xludf.DUMMYFUNCTION("""COMPUTED_VALUE"""),"No")</f>
        <v>No</v>
      </c>
      <c r="AI1309" s="8" t="str">
        <f ca="1">IFERROR(__xludf.DUMMYFUNCTION("""COMPUTED_VALUE"""),"No")</f>
        <v>No</v>
      </c>
      <c r="AJ1309" s="8" t="str">
        <f ca="1">IFERROR(__xludf.DUMMYFUNCTION("""COMPUTED_VALUE"""),"Yes")</f>
        <v>Yes</v>
      </c>
      <c r="AK1309" s="8" t="str">
        <f ca="1">IFERROR(__xludf.DUMMYFUNCTION("""COMPUTED_VALUE"""),"No")</f>
        <v>No</v>
      </c>
      <c r="AL1309" s="8" t="str">
        <f ca="1">IFERROR(__xludf.DUMMYFUNCTION("""COMPUTED_VALUE"""),"No")</f>
        <v>No</v>
      </c>
      <c r="AM1309" s="8" t="str">
        <f ca="1">IFERROR(__xludf.DUMMYFUNCTION("""COMPUTED_VALUE"""),"No")</f>
        <v>No</v>
      </c>
      <c r="AN1309" s="8"/>
      <c r="AO1309" s="8" t="str">
        <f ca="1">IFERROR(__xludf.DUMMYFUNCTION("""COMPUTED_VALUE"""),"No")</f>
        <v>No</v>
      </c>
      <c r="AP1309" s="8" t="str">
        <f ca="1">IFERROR(__xludf.DUMMYFUNCTION("""COMPUTED_VALUE"""),"Yes")</f>
        <v>Yes</v>
      </c>
      <c r="AQ1309" s="8" t="str">
        <f ca="1">IFERROR(__xludf.DUMMYFUNCTION("""COMPUTED_VALUE"""),"Armed Guards")</f>
        <v>Armed Guards</v>
      </c>
      <c r="AR1309" s="8" t="str">
        <f ca="1">IFERROR(__xludf.DUMMYFUNCTION("""COMPUTED_VALUE"""),"Failed")</f>
        <v>Failed</v>
      </c>
      <c r="AS1309" s="8"/>
      <c r="AT1309" s="8" t="str">
        <f ca="1">IFERROR(__xludf.DUMMYFUNCTION("""COMPUTED_VALUE"""),"Yes")</f>
        <v>Yes</v>
      </c>
      <c r="AU1309" s="8">
        <f ca="1">IFERROR(__xludf.DUMMYFUNCTION("""COMPUTED_VALUE"""),34.236992)</f>
        <v>34.236992000000001</v>
      </c>
      <c r="AV1309" s="8">
        <f ca="1">IFERROR(__xludf.DUMMYFUNCTION("""COMPUTED_VALUE"""),-77.932348)</f>
        <v>-77.932348000000005</v>
      </c>
      <c r="AW1309" s="8"/>
      <c r="AX1309" s="8">
        <f ca="1">IFERROR(__xludf.DUMMYFUNCTION("""COMPUTED_VALUE"""),28401)</f>
        <v>28401</v>
      </c>
    </row>
    <row r="1310" spans="1:50" ht="45" x14ac:dyDescent="0.2">
      <c r="A1310" s="8" t="str">
        <f ca="1">IFERROR(__xludf.DUMMYFUNCTION("""COMPUTED_VALUE"""),"20210830MDNEO")</f>
        <v>20210830MDNEO</v>
      </c>
      <c r="B1310" s="8">
        <f ca="1">IFERROR(__xludf.DUMMYFUNCTION("""COMPUTED_VALUE"""),8)</f>
        <v>8</v>
      </c>
      <c r="C1310" s="8">
        <f ca="1">IFERROR(__xludf.DUMMYFUNCTION("""COMPUTED_VALUE"""),30)</f>
        <v>30</v>
      </c>
      <c r="D1310" s="8">
        <f ca="1">IFERROR(__xludf.DUMMYFUNCTION("""COMPUTED_VALUE"""),2021)</f>
        <v>2021</v>
      </c>
      <c r="E1310" s="9">
        <f ca="1">IFERROR(__xludf.DUMMYFUNCTION("""COMPUTED_VALUE"""),44438)</f>
        <v>44438</v>
      </c>
      <c r="F1310" s="8" t="str">
        <f ca="1">IFERROR(__xludf.DUMMYFUNCTION("""COMPUTED_VALUE"""),"New Town High School")</f>
        <v>New Town High School</v>
      </c>
      <c r="G1310" s="8">
        <f ca="1">IFERROR(__xludf.DUMMYFUNCTION("""COMPUTED_VALUE"""),0)</f>
        <v>0</v>
      </c>
      <c r="H1310" s="8">
        <f ca="1">IFERROR(__xludf.DUMMYFUNCTION("""COMPUTED_VALUE"""),0)</f>
        <v>0</v>
      </c>
      <c r="I1310" s="8">
        <f ca="1">IFERROR(__xludf.DUMMYFUNCTION("""COMPUTED_VALUE"""),0)</f>
        <v>0</v>
      </c>
      <c r="J1310" s="8">
        <f ca="1">IFERROR(__xludf.DUMMYFUNCTION("""COMPUTED_VALUE"""),0)</f>
        <v>0</v>
      </c>
      <c r="K1310" s="10" t="str">
        <f ca="1">IFERROR(__xludf.DUMMYFUNCTION("""COMPUTED_VALUE"""),"https://www.wmar2news.com/news/local-news/police-investigating-shots-fired-in-owings-mills-monday-afternoon")</f>
        <v>https://www.wmar2news.com/news/local-news/police-investigating-shots-fired-in-owings-mills-monday-afternoon</v>
      </c>
      <c r="L1310" s="8">
        <f ca="1">IFERROR(__xludf.DUMMYFUNCTION("""COMPUTED_VALUE"""),1)</f>
        <v>1</v>
      </c>
      <c r="M1310" s="8" t="str">
        <f ca="1">IFERROR(__xludf.DUMMYFUNCTION("""COMPUTED_VALUE"""),"Local")</f>
        <v>Local</v>
      </c>
      <c r="N1310" s="8">
        <f ca="1">IFERROR(__xludf.DUMMYFUNCTION("""COMPUTED_VALUE"""),3)</f>
        <v>3</v>
      </c>
      <c r="O1310" s="8" t="str">
        <f ca="1">IFERROR(__xludf.DUMMYFUNCTION("""COMPUTED_VALUE"""),"Fall")</f>
        <v>Fall</v>
      </c>
      <c r="P1310" s="8" t="str">
        <f ca="1">IFERROR(__xludf.DUMMYFUNCTION("""COMPUTED_VALUE"""),"Owings Mills")</f>
        <v>Owings Mills</v>
      </c>
      <c r="Q1310" s="8" t="str">
        <f ca="1">IFERROR(__xludf.DUMMYFUNCTION("""COMPUTED_VALUE"""),"MD")</f>
        <v>MD</v>
      </c>
      <c r="R1310" s="8" t="str">
        <f ca="1">IFERROR(__xludf.DUMMYFUNCTION("""COMPUTED_VALUE"""),"High")</f>
        <v>High</v>
      </c>
      <c r="S1310" s="8" t="str">
        <f ca="1">IFERROR(__xludf.DUMMYFUNCTION("""COMPUTED_VALUE"""),"Outside on School Property")</f>
        <v>Outside on School Property</v>
      </c>
      <c r="T1310" s="8" t="str">
        <f ca="1">IFERROR(__xludf.DUMMYFUNCTION("""COMPUTED_VALUE"""),"Outside on School Property")</f>
        <v>Outside on School Property</v>
      </c>
      <c r="U1310" s="8" t="str">
        <f ca="1">IFERROR(__xludf.DUMMYFUNCTION("""COMPUTED_VALUE"""),"Yes")</f>
        <v>Yes</v>
      </c>
      <c r="V1310" s="8" t="str">
        <f ca="1">IFERROR(__xludf.DUMMYFUNCTION("""COMPUTED_VALUE"""),"Dismissal")</f>
        <v>Dismissal</v>
      </c>
      <c r="W1310" s="11">
        <f ca="1">IFERROR(__xludf.DUMMYFUNCTION("""COMPUTED_VALUE"""),0.625)</f>
        <v>0.625</v>
      </c>
      <c r="X1310" s="8">
        <f ca="1">IFERROR(__xludf.DUMMYFUNCTION("""COMPUTED_VALUE"""),1)</f>
        <v>1</v>
      </c>
      <c r="Y1310" s="12" t="str">
        <f ca="1">IFERROR(__xludf.DUMMYFUNCTION("""COMPUTED_VALUE"""),"Adult male fired shots during fight outside the school")</f>
        <v>Adult male fired shots during fight outside the school</v>
      </c>
      <c r="Z1310" s="12" t="str">
        <f ca="1">IFERROR(__xludf.DUMMYFUNCTION("""COMPUTED_VALUE"""),"A 34-year-old male fired shots during a fight outside the school. No one was injured. Shooter was arrested.")</f>
        <v>A 34-year-old male fired shots during a fight outside the school. No one was injured. Shooter was arrested.</v>
      </c>
      <c r="AA1310" s="8" t="str">
        <f ca="1">IFERROR(__xludf.DUMMYFUNCTION("""COMPUTED_VALUE"""),"Escalation of Dispute")</f>
        <v>Escalation of Dispute</v>
      </c>
      <c r="AB1310" s="8"/>
      <c r="AC1310" s="8" t="str">
        <f ca="1">IFERROR(__xludf.DUMMYFUNCTION("""COMPUTED_VALUE"""),"Yes")</f>
        <v>Yes</v>
      </c>
      <c r="AD1310" s="8" t="str">
        <f ca="1">IFERROR(__xludf.DUMMYFUNCTION("""COMPUTED_VALUE"""),"Neither")</f>
        <v>Neither</v>
      </c>
      <c r="AE1310" s="8" t="str">
        <f ca="1">IFERROR(__xludf.DUMMYFUNCTION("""COMPUTED_VALUE"""),"No")</f>
        <v>No</v>
      </c>
      <c r="AF1310" s="8"/>
      <c r="AG1310" s="8" t="str">
        <f ca="1">IFERROR(__xludf.DUMMYFUNCTION("""COMPUTED_VALUE"""),"No")</f>
        <v>No</v>
      </c>
      <c r="AH1310" s="8" t="str">
        <f ca="1">IFERROR(__xludf.DUMMYFUNCTION("""COMPUTED_VALUE"""),"No")</f>
        <v>No</v>
      </c>
      <c r="AI1310" s="8" t="str">
        <f ca="1">IFERROR(__xludf.DUMMYFUNCTION("""COMPUTED_VALUE"""),"No")</f>
        <v>No</v>
      </c>
      <c r="AJ1310" s="8" t="str">
        <f ca="1">IFERROR(__xludf.DUMMYFUNCTION("""COMPUTED_VALUE"""),"No")</f>
        <v>No</v>
      </c>
      <c r="AK1310" s="8" t="str">
        <f ca="1">IFERROR(__xludf.DUMMYFUNCTION("""COMPUTED_VALUE"""),"No")</f>
        <v>No</v>
      </c>
      <c r="AL1310" s="8"/>
      <c r="AM1310" s="8" t="str">
        <f ca="1">IFERROR(__xludf.DUMMYFUNCTION("""COMPUTED_VALUE"""),"No")</f>
        <v>No</v>
      </c>
      <c r="AN1310" s="8"/>
      <c r="AO1310" s="8" t="str">
        <f ca="1">IFERROR(__xludf.DUMMYFUNCTION("""COMPUTED_VALUE"""),"No")</f>
        <v>No</v>
      </c>
      <c r="AP1310" s="8"/>
      <c r="AQ1310" s="8"/>
      <c r="AR1310" s="8" t="str">
        <f ca="1">IFERROR(__xludf.DUMMYFUNCTION("""COMPUTED_VALUE"""),"Outside/Off-Property")</f>
        <v>Outside/Off-Property</v>
      </c>
      <c r="AS1310" s="8"/>
      <c r="AT1310" s="8"/>
      <c r="AU1310" s="8">
        <f ca="1">IFERROR(__xludf.DUMMYFUNCTION("""COMPUTED_VALUE"""),39.403092)</f>
        <v>39.403092000000001</v>
      </c>
      <c r="AV1310" s="8">
        <f ca="1">IFERROR(__xludf.DUMMYFUNCTION("""COMPUTED_VALUE"""),-76.81249)</f>
        <v>-76.812489999999997</v>
      </c>
      <c r="AW1310" s="8"/>
      <c r="AX1310" s="8">
        <f ca="1">IFERROR(__xludf.DUMMYFUNCTION("""COMPUTED_VALUE"""),21133)</f>
        <v>21133</v>
      </c>
    </row>
    <row r="1311" spans="1:50" ht="60" x14ac:dyDescent="0.2">
      <c r="A1311" s="8" t="str">
        <f ca="1">IFERROR(__xludf.DUMMYFUNCTION("""COMPUTED_VALUE"""),"20210830FLOKW")</f>
        <v>20210830FLOKW</v>
      </c>
      <c r="B1311" s="8">
        <f ca="1">IFERROR(__xludf.DUMMYFUNCTION("""COMPUTED_VALUE"""),8)</f>
        <v>8</v>
      </c>
      <c r="C1311" s="8">
        <f ca="1">IFERROR(__xludf.DUMMYFUNCTION("""COMPUTED_VALUE"""),30)</f>
        <v>30</v>
      </c>
      <c r="D1311" s="8">
        <f ca="1">IFERROR(__xludf.DUMMYFUNCTION("""COMPUTED_VALUE"""),2021)</f>
        <v>2021</v>
      </c>
      <c r="E1311" s="9">
        <f ca="1">IFERROR(__xludf.DUMMYFUNCTION("""COMPUTED_VALUE"""),44438)</f>
        <v>44438</v>
      </c>
      <c r="F1311" s="8" t="str">
        <f ca="1">IFERROR(__xludf.DUMMYFUNCTION("""COMPUTED_VALUE"""),"Okeeheelee Middle School")</f>
        <v>Okeeheelee Middle School</v>
      </c>
      <c r="G1311" s="8">
        <f ca="1">IFERROR(__xludf.DUMMYFUNCTION("""COMPUTED_VALUE"""),0)</f>
        <v>0</v>
      </c>
      <c r="H1311" s="8">
        <f ca="1">IFERROR(__xludf.DUMMYFUNCTION("""COMPUTED_VALUE"""),0)</f>
        <v>0</v>
      </c>
      <c r="I1311" s="8">
        <f ca="1">IFERROR(__xludf.DUMMYFUNCTION("""COMPUTED_VALUE"""),0)</f>
        <v>0</v>
      </c>
      <c r="J1311" s="8">
        <f ca="1">IFERROR(__xludf.DUMMYFUNCTION("""COMPUTED_VALUE"""),0)</f>
        <v>0</v>
      </c>
      <c r="K1311" s="10" t="str">
        <f ca="1">IFERROR(__xludf.DUMMYFUNCTION("""COMPUTED_VALUE"""),"https://cbs12.com/news/local/pbc-mom-complains-about-safety-on-buses-after-her-daughter-was-shot-with-a-pellet-gun")</f>
        <v>https://cbs12.com/news/local/pbc-mom-complains-about-safety-on-buses-after-her-daughter-was-shot-with-a-pellet-gun</v>
      </c>
      <c r="L1311" s="8">
        <f ca="1">IFERROR(__xludf.DUMMYFUNCTION("""COMPUTED_VALUE"""),1)</f>
        <v>1</v>
      </c>
      <c r="M1311" s="8" t="str">
        <f ca="1">IFERROR(__xludf.DUMMYFUNCTION("""COMPUTED_VALUE"""),"Local")</f>
        <v>Local</v>
      </c>
      <c r="N1311" s="8">
        <f ca="1">IFERROR(__xludf.DUMMYFUNCTION("""COMPUTED_VALUE"""),3)</f>
        <v>3</v>
      </c>
      <c r="O1311" s="8" t="str">
        <f ca="1">IFERROR(__xludf.DUMMYFUNCTION("""COMPUTED_VALUE"""),"Fall")</f>
        <v>Fall</v>
      </c>
      <c r="P1311" s="8" t="str">
        <f ca="1">IFERROR(__xludf.DUMMYFUNCTION("""COMPUTED_VALUE"""),"West Palm Beach")</f>
        <v>West Palm Beach</v>
      </c>
      <c r="Q1311" s="8" t="str">
        <f ca="1">IFERROR(__xludf.DUMMYFUNCTION("""COMPUTED_VALUE"""),"FL")</f>
        <v>FL</v>
      </c>
      <c r="R1311" s="8" t="str">
        <f ca="1">IFERROR(__xludf.DUMMYFUNCTION("""COMPUTED_VALUE"""),"Middle")</f>
        <v>Middle</v>
      </c>
      <c r="S1311" s="8" t="str">
        <f ca="1">IFERROR(__xludf.DUMMYFUNCTION("""COMPUTED_VALUE"""),"School Bus")</f>
        <v>School Bus</v>
      </c>
      <c r="T1311" s="8" t="str">
        <f ca="1">IFERROR(__xludf.DUMMYFUNCTION("""COMPUTED_VALUE"""),"School Bus")</f>
        <v>School Bus</v>
      </c>
      <c r="U1311" s="8" t="str">
        <f ca="1">IFERROR(__xludf.DUMMYFUNCTION("""COMPUTED_VALUE"""),"Yes")</f>
        <v>Yes</v>
      </c>
      <c r="V1311" s="8" t="str">
        <f ca="1">IFERROR(__xludf.DUMMYFUNCTION("""COMPUTED_VALUE"""),"Dismissal")</f>
        <v>Dismissal</v>
      </c>
      <c r="W1311" s="11">
        <f ca="1">IFERROR(__xludf.DUMMYFUNCTION("""COMPUTED_VALUE"""),0.604166666666666)</f>
        <v>0.60416666666666596</v>
      </c>
      <c r="X1311" s="8">
        <f ca="1">IFERROR(__xludf.DUMMYFUNCTION("""COMPUTED_VALUE"""),1)</f>
        <v>1</v>
      </c>
      <c r="Y1311" s="12" t="str">
        <f ca="1">IFERROR(__xludf.DUMMYFUNCTION("""COMPUTED_VALUE"""),"Female student shot in the neck with a pellet gun on the school bus")</f>
        <v>Female student shot in the neck with a pellet gun on the school bus</v>
      </c>
      <c r="Z1311" s="12" t="str">
        <f ca="1">IFERROR(__xludf.DUMMYFUNCTION("""COMPUTED_VALUE"""),"A female student was shot in the neck with a pellet gun on the school bus. The incident was not reported by the bus driver. The shooter was suspended multiple days later after the school investigated at the request of the victim's parent.")</f>
        <v>A female student was shot in the neck with a pellet gun on the school bus. The incident was not reported by the bus driver. The shooter was suspended multiple days later after the school investigated at the request of the victim's parent.</v>
      </c>
      <c r="AA1311" s="8"/>
      <c r="AB1311" s="8"/>
      <c r="AC1311" s="8" t="str">
        <f ca="1">IFERROR(__xludf.DUMMYFUNCTION("""COMPUTED_VALUE"""),"Yes")</f>
        <v>Yes</v>
      </c>
      <c r="AD1311" s="8"/>
      <c r="AE1311" s="8"/>
      <c r="AF1311" s="8"/>
      <c r="AG1311" s="8" t="str">
        <f ca="1">IFERROR(__xludf.DUMMYFUNCTION("""COMPUTED_VALUE"""),"No")</f>
        <v>No</v>
      </c>
      <c r="AH1311" s="8" t="str">
        <f ca="1">IFERROR(__xludf.DUMMYFUNCTION("""COMPUTED_VALUE"""),"No")</f>
        <v>No</v>
      </c>
      <c r="AI1311" s="8" t="str">
        <f ca="1">IFERROR(__xludf.DUMMYFUNCTION("""COMPUTED_VALUE"""),"No")</f>
        <v>No</v>
      </c>
      <c r="AJ1311" s="8" t="str">
        <f ca="1">IFERROR(__xludf.DUMMYFUNCTION("""COMPUTED_VALUE"""),"No")</f>
        <v>No</v>
      </c>
      <c r="AK1311" s="8" t="str">
        <f ca="1">IFERROR(__xludf.DUMMYFUNCTION("""COMPUTED_VALUE"""),"No")</f>
        <v>No</v>
      </c>
      <c r="AL1311" s="8" t="str">
        <f ca="1">IFERROR(__xludf.DUMMYFUNCTION("""COMPUTED_VALUE"""),"No")</f>
        <v>No</v>
      </c>
      <c r="AM1311" s="8" t="str">
        <f ca="1">IFERROR(__xludf.DUMMYFUNCTION("""COMPUTED_VALUE"""),"No")</f>
        <v>No</v>
      </c>
      <c r="AN1311" s="8"/>
      <c r="AO1311" s="8" t="str">
        <f ca="1">IFERROR(__xludf.DUMMYFUNCTION("""COMPUTED_VALUE"""),"No")</f>
        <v>No</v>
      </c>
      <c r="AP1311" s="8"/>
      <c r="AQ1311" s="8"/>
      <c r="AR1311" s="8"/>
      <c r="AS1311" s="8"/>
      <c r="AT1311" s="8"/>
      <c r="AU1311" s="8">
        <f ca="1">IFERROR(__xludf.DUMMYFUNCTION("""COMPUTED_VALUE"""),26.648041)</f>
        <v>26.648040999999999</v>
      </c>
      <c r="AV1311" s="8">
        <f ca="1">IFERROR(__xludf.DUMMYFUNCTION("""COMPUTED_VALUE"""),-80.155622)</f>
        <v>-80.155621999999994</v>
      </c>
      <c r="AW1311" s="8"/>
      <c r="AX1311" s="8">
        <f ca="1">IFERROR(__xludf.DUMMYFUNCTION("""COMPUTED_VALUE"""),33467)</f>
        <v>33467</v>
      </c>
    </row>
    <row r="1312" spans="1:50" ht="75" x14ac:dyDescent="0.2">
      <c r="A1312" s="8" t="str">
        <f ca="1">IFERROR(__xludf.DUMMYFUNCTION("""COMPUTED_VALUE"""),"20210828CASAS")</f>
        <v>20210828CASAS</v>
      </c>
      <c r="B1312" s="8">
        <f ca="1">IFERROR(__xludf.DUMMYFUNCTION("""COMPUTED_VALUE"""),8)</f>
        <v>8</v>
      </c>
      <c r="C1312" s="8">
        <f ca="1">IFERROR(__xludf.DUMMYFUNCTION("""COMPUTED_VALUE"""),28)</f>
        <v>28</v>
      </c>
      <c r="D1312" s="8">
        <f ca="1">IFERROR(__xludf.DUMMYFUNCTION("""COMPUTED_VALUE"""),2021)</f>
        <v>2021</v>
      </c>
      <c r="E1312" s="9">
        <f ca="1">IFERROR(__xludf.DUMMYFUNCTION("""COMPUTED_VALUE"""),44436)</f>
        <v>44436</v>
      </c>
      <c r="F1312" s="8" t="str">
        <f ca="1">IFERROR(__xludf.DUMMYFUNCTION("""COMPUTED_VALUE"""),"Santa Maria High School")</f>
        <v>Santa Maria High School</v>
      </c>
      <c r="G1312" s="8">
        <f ca="1">IFERROR(__xludf.DUMMYFUNCTION("""COMPUTED_VALUE"""),0)</f>
        <v>0</v>
      </c>
      <c r="H1312" s="8">
        <f ca="1">IFERROR(__xludf.DUMMYFUNCTION("""COMPUTED_VALUE"""),0)</f>
        <v>0</v>
      </c>
      <c r="I1312" s="8">
        <f ca="1">IFERROR(__xludf.DUMMYFUNCTION("""COMPUTED_VALUE"""),0)</f>
        <v>0</v>
      </c>
      <c r="J1312" s="8">
        <f ca="1">IFERROR(__xludf.DUMMYFUNCTION("""COMPUTED_VALUE"""),0)</f>
        <v>0</v>
      </c>
      <c r="K1312" s="10" t="str">
        <f ca="1">IFERROR(__xludf.DUMMYFUNCTION("""COMPUTED_VALUE"""),"https://keyt.com/news/crime/2021/08/28/police-investigating-shots-fired-at-santa-maria-high-school/")</f>
        <v>https://keyt.com/news/crime/2021/08/28/police-investigating-shots-fired-at-santa-maria-high-school/</v>
      </c>
      <c r="L1312" s="8">
        <f ca="1">IFERROR(__xludf.DUMMYFUNCTION("""COMPUTED_VALUE"""),1)</f>
        <v>1</v>
      </c>
      <c r="M1312" s="8" t="str">
        <f ca="1">IFERROR(__xludf.DUMMYFUNCTION("""COMPUTED_VALUE"""),"Local")</f>
        <v>Local</v>
      </c>
      <c r="N1312" s="8">
        <f ca="1">IFERROR(__xludf.DUMMYFUNCTION("""COMPUTED_VALUE"""),3)</f>
        <v>3</v>
      </c>
      <c r="O1312" s="8" t="str">
        <f ca="1">IFERROR(__xludf.DUMMYFUNCTION("""COMPUTED_VALUE"""),"Fall")</f>
        <v>Fall</v>
      </c>
      <c r="P1312" s="8" t="str">
        <f ca="1">IFERROR(__xludf.DUMMYFUNCTION("""COMPUTED_VALUE"""),"Santa Maria")</f>
        <v>Santa Maria</v>
      </c>
      <c r="Q1312" s="8" t="str">
        <f ca="1">IFERROR(__xludf.DUMMYFUNCTION("""COMPUTED_VALUE"""),"CA")</f>
        <v>CA</v>
      </c>
      <c r="R1312" s="8" t="str">
        <f ca="1">IFERROR(__xludf.DUMMYFUNCTION("""COMPUTED_VALUE"""),"High")</f>
        <v>High</v>
      </c>
      <c r="S1312" s="8" t="str">
        <f ca="1">IFERROR(__xludf.DUMMYFUNCTION("""COMPUTED_VALUE"""),"Football Field/Track")</f>
        <v>Football Field/Track</v>
      </c>
      <c r="T1312" s="8" t="str">
        <f ca="1">IFERROR(__xludf.DUMMYFUNCTION("""COMPUTED_VALUE"""),"Outside on School Property")</f>
        <v>Outside on School Property</v>
      </c>
      <c r="U1312" s="8" t="str">
        <f ca="1">IFERROR(__xludf.DUMMYFUNCTION("""COMPUTED_VALUE"""),"No")</f>
        <v>No</v>
      </c>
      <c r="V1312" s="8" t="str">
        <f ca="1">IFERROR(__xludf.DUMMYFUNCTION("""COMPUTED_VALUE"""),"Sport Event")</f>
        <v>Sport Event</v>
      </c>
      <c r="W1312" s="11">
        <f ca="1">IFERROR(__xludf.DUMMYFUNCTION("""COMPUTED_VALUE"""),0.666666666666666)</f>
        <v>0.66666666666666596</v>
      </c>
      <c r="X1312" s="8">
        <f ca="1">IFERROR(__xludf.DUMMYFUNCTION("""COMPUTED_VALUE"""),1)</f>
        <v>1</v>
      </c>
      <c r="Y1312" s="12" t="str">
        <f ca="1">IFERROR(__xludf.DUMMYFUNCTION("""COMPUTED_VALUE"""),"Police called for shots fired at football game, police recovered gun")</f>
        <v>Police called for shots fired at football game, police recovered gun</v>
      </c>
      <c r="Z1312" s="12" t="str">
        <f ca="1">IFERROR(__xludf.DUMMYFUNCTION("""COMPUTED_VALUE"""),"Police were called for shots fired at a football game. Police searched the area and recovered a handgun. Shooter was not identified and fled the area. No injuries.")</f>
        <v>Police were called for shots fired at a football game. Police searched the area and recovered a handgun. Shooter was not identified and fled the area. No injuries.</v>
      </c>
      <c r="AA1312" s="8"/>
      <c r="AB1312" s="8"/>
      <c r="AC1312" s="8" t="str">
        <f ca="1">IFERROR(__xludf.DUMMYFUNCTION("""COMPUTED_VALUE"""),"Yes")</f>
        <v>Yes</v>
      </c>
      <c r="AD1312" s="8"/>
      <c r="AE1312" s="8" t="str">
        <f ca="1">IFERROR(__xludf.DUMMYFUNCTION("""COMPUTED_VALUE"""),"No")</f>
        <v>No</v>
      </c>
      <c r="AF1312" s="8"/>
      <c r="AG1312" s="8" t="str">
        <f ca="1">IFERROR(__xludf.DUMMYFUNCTION("""COMPUTED_VALUE"""),"No")</f>
        <v>No</v>
      </c>
      <c r="AH1312" s="8" t="str">
        <f ca="1">IFERROR(__xludf.DUMMYFUNCTION("""COMPUTED_VALUE"""),"No")</f>
        <v>No</v>
      </c>
      <c r="AI1312" s="8" t="str">
        <f ca="1">IFERROR(__xludf.DUMMYFUNCTION("""COMPUTED_VALUE"""),"No")</f>
        <v>No</v>
      </c>
      <c r="AJ1312" s="8" t="str">
        <f ca="1">IFERROR(__xludf.DUMMYFUNCTION("""COMPUTED_VALUE"""),"No")</f>
        <v>No</v>
      </c>
      <c r="AK1312" s="8" t="str">
        <f ca="1">IFERROR(__xludf.DUMMYFUNCTION("""COMPUTED_VALUE"""),"No")</f>
        <v>No</v>
      </c>
      <c r="AL1312" s="8"/>
      <c r="AM1312" s="8" t="str">
        <f ca="1">IFERROR(__xludf.DUMMYFUNCTION("""COMPUTED_VALUE"""),"No")</f>
        <v>No</v>
      </c>
      <c r="AN1312" s="8"/>
      <c r="AO1312" s="8" t="str">
        <f ca="1">IFERROR(__xludf.DUMMYFUNCTION("""COMPUTED_VALUE"""),"No")</f>
        <v>No</v>
      </c>
      <c r="AP1312" s="8" t="str">
        <f ca="1">IFERROR(__xludf.DUMMYFUNCTION("""COMPUTED_VALUE"""),"No")</f>
        <v>No</v>
      </c>
      <c r="AQ1312" s="8"/>
      <c r="AR1312" s="8" t="str">
        <f ca="1">IFERROR(__xludf.DUMMYFUNCTION("""COMPUTED_VALUE"""),"Outside/Off-Property")</f>
        <v>Outside/Off-Property</v>
      </c>
      <c r="AS1312" s="8"/>
      <c r="AT1312" s="8"/>
      <c r="AU1312" s="8">
        <f ca="1">IFERROR(__xludf.DUMMYFUNCTION("""COMPUTED_VALUE"""),34.941877)</f>
        <v>34.941876999999998</v>
      </c>
      <c r="AV1312" s="8">
        <f ca="1">IFERROR(__xludf.DUMMYFUNCTION("""COMPUTED_VALUE"""),-120.438932)</f>
        <v>-120.43893199999999</v>
      </c>
      <c r="AW1312" s="8"/>
      <c r="AX1312" s="8">
        <f ca="1">IFERROR(__xludf.DUMMYFUNCTION("""COMPUTED_VALUE"""),93548)</f>
        <v>93548</v>
      </c>
    </row>
    <row r="1313" spans="1:50" ht="60" x14ac:dyDescent="0.2">
      <c r="A1313" s="8" t="str">
        <f ca="1">IFERROR(__xludf.DUMMYFUNCTION("""COMPUTED_VALUE"""),"20210827VTEDB")</f>
        <v>20210827VTEDB</v>
      </c>
      <c r="B1313" s="8">
        <f ca="1">IFERROR(__xludf.DUMMYFUNCTION("""COMPUTED_VALUE"""),8)</f>
        <v>8</v>
      </c>
      <c r="C1313" s="8">
        <f ca="1">IFERROR(__xludf.DUMMYFUNCTION("""COMPUTED_VALUE"""),27)</f>
        <v>27</v>
      </c>
      <c r="D1313" s="8">
        <f ca="1">IFERROR(__xludf.DUMMYFUNCTION("""COMPUTED_VALUE"""),2021)</f>
        <v>2021</v>
      </c>
      <c r="E1313" s="9">
        <f ca="1">IFERROR(__xludf.DUMMYFUNCTION("""COMPUTED_VALUE"""),44435)</f>
        <v>44435</v>
      </c>
      <c r="F1313" s="8" t="str">
        <f ca="1">IFERROR(__xludf.DUMMYFUNCTION("""COMPUTED_VALUE"""),"Edmunds Middle School")</f>
        <v>Edmunds Middle School</v>
      </c>
      <c r="G1313" s="8">
        <f ca="1">IFERROR(__xludf.DUMMYFUNCTION("""COMPUTED_VALUE"""),0)</f>
        <v>0</v>
      </c>
      <c r="H1313" s="8">
        <f ca="1">IFERROR(__xludf.DUMMYFUNCTION("""COMPUTED_VALUE"""),0)</f>
        <v>0</v>
      </c>
      <c r="I1313" s="8">
        <f ca="1">IFERROR(__xludf.DUMMYFUNCTION("""COMPUTED_VALUE"""),0)</f>
        <v>0</v>
      </c>
      <c r="J1313" s="8">
        <f ca="1">IFERROR(__xludf.DUMMYFUNCTION("""COMPUTED_VALUE"""),0)</f>
        <v>0</v>
      </c>
      <c r="K1313" s="10" t="str">
        <f ca="1">IFERROR(__xludf.DUMMYFUNCTION("""COMPUTED_VALUE"""),"https://www.wcax.com/2021/08/27/burlington-schools-canceled-due-police-incident/")</f>
        <v>https://www.wcax.com/2021/08/27/burlington-schools-canceled-due-police-incident/</v>
      </c>
      <c r="L1313" s="8">
        <f ca="1">IFERROR(__xludf.DUMMYFUNCTION("""COMPUTED_VALUE"""),1)</f>
        <v>1</v>
      </c>
      <c r="M1313" s="8" t="str">
        <f ca="1">IFERROR(__xludf.DUMMYFUNCTION("""COMPUTED_VALUE"""),"Local")</f>
        <v>Local</v>
      </c>
      <c r="N1313" s="8">
        <f ca="1">IFERROR(__xludf.DUMMYFUNCTION("""COMPUTED_VALUE"""),4)</f>
        <v>4</v>
      </c>
      <c r="O1313" s="8" t="str">
        <f ca="1">IFERROR(__xludf.DUMMYFUNCTION("""COMPUTED_VALUE"""),"Fall")</f>
        <v>Fall</v>
      </c>
      <c r="P1313" s="8" t="str">
        <f ca="1">IFERROR(__xludf.DUMMYFUNCTION("""COMPUTED_VALUE"""),"Burlington")</f>
        <v>Burlington</v>
      </c>
      <c r="Q1313" s="8" t="str">
        <f ca="1">IFERROR(__xludf.DUMMYFUNCTION("""COMPUTED_VALUE"""),"VT")</f>
        <v>VT</v>
      </c>
      <c r="R1313" s="8" t="str">
        <f ca="1">IFERROR(__xludf.DUMMYFUNCTION("""COMPUTED_VALUE"""),"Middle")</f>
        <v>Middle</v>
      </c>
      <c r="S1313" s="8" t="str">
        <f ca="1">IFERROR(__xludf.DUMMYFUNCTION("""COMPUTED_VALUE"""),"Front of School")</f>
        <v>Front of School</v>
      </c>
      <c r="T1313" s="8" t="str">
        <f ca="1">IFERROR(__xludf.DUMMYFUNCTION("""COMPUTED_VALUE"""),"Both Inside/Outside")</f>
        <v>Both Inside/Outside</v>
      </c>
      <c r="U1313" s="8" t="str">
        <f ca="1">IFERROR(__xludf.DUMMYFUNCTION("""COMPUTED_VALUE"""),"No")</f>
        <v>No</v>
      </c>
      <c r="V1313" s="8" t="str">
        <f ca="1">IFERROR(__xludf.DUMMYFUNCTION("""COMPUTED_VALUE"""),"Before School")</f>
        <v>Before School</v>
      </c>
      <c r="W1313" s="8"/>
      <c r="X1313" s="8">
        <f ca="1">IFERROR(__xludf.DUMMYFUNCTION("""COMPUTED_VALUE"""),1)</f>
        <v>1</v>
      </c>
      <c r="Y1313" s="12" t="str">
        <f ca="1">IFERROR(__xludf.DUMMYFUNCTION("""COMPUTED_VALUE"""),"Bullet hole found in school window, classes cancelled at 2 schools")</f>
        <v>Bullet hole found in school window, classes cancelled at 2 schools</v>
      </c>
      <c r="Z1313" s="12" t="str">
        <f ca="1">IFERROR(__xludf.DUMMYFUNCTION("""COMPUTED_VALUE"""),"Police were called to the school for a bullet hole found in a 3rd floor window prior to the school opening. Police determined the shot was fired from 700 feet away and decided to cancel classes. No suspect was identified.")</f>
        <v>Police were called to the school for a bullet hole found in a 3rd floor window prior to the school opening. Police determined the shot was fired from 700 feet away and decided to cancel classes. No suspect was identified.</v>
      </c>
      <c r="AA1313" s="8" t="str">
        <f ca="1">IFERROR(__xludf.DUMMYFUNCTION("""COMPUTED_VALUE"""),"Intentional Property Damage")</f>
        <v>Intentional Property Damage</v>
      </c>
      <c r="AB1313" s="8"/>
      <c r="AC1313" s="8" t="str">
        <f ca="1">IFERROR(__xludf.DUMMYFUNCTION("""COMPUTED_VALUE"""),"No")</f>
        <v>No</v>
      </c>
      <c r="AD1313" s="8" t="str">
        <f ca="1">IFERROR(__xludf.DUMMYFUNCTION("""COMPUTED_VALUE"""),"Neither")</f>
        <v>Neither</v>
      </c>
      <c r="AE1313" s="8" t="str">
        <f ca="1">IFERROR(__xludf.DUMMYFUNCTION("""COMPUTED_VALUE"""),"No")</f>
        <v>No</v>
      </c>
      <c r="AF1313" s="8"/>
      <c r="AG1313" s="8" t="str">
        <f ca="1">IFERROR(__xludf.DUMMYFUNCTION("""COMPUTED_VALUE"""),"No")</f>
        <v>No</v>
      </c>
      <c r="AH1313" s="8" t="str">
        <f ca="1">IFERROR(__xludf.DUMMYFUNCTION("""COMPUTED_VALUE"""),"No")</f>
        <v>No</v>
      </c>
      <c r="AI1313" s="8" t="str">
        <f ca="1">IFERROR(__xludf.DUMMYFUNCTION("""COMPUTED_VALUE"""),"No")</f>
        <v>No</v>
      </c>
      <c r="AJ1313" s="8" t="str">
        <f ca="1">IFERROR(__xludf.DUMMYFUNCTION("""COMPUTED_VALUE"""),"No")</f>
        <v>No</v>
      </c>
      <c r="AK1313" s="8" t="str">
        <f ca="1">IFERROR(__xludf.DUMMYFUNCTION("""COMPUTED_VALUE"""),"No")</f>
        <v>No</v>
      </c>
      <c r="AL1313" s="8" t="str">
        <f ca="1">IFERROR(__xludf.DUMMYFUNCTION("""COMPUTED_VALUE"""),"No")</f>
        <v>No</v>
      </c>
      <c r="AM1313" s="8" t="str">
        <f ca="1">IFERROR(__xludf.DUMMYFUNCTION("""COMPUTED_VALUE"""),"No")</f>
        <v>No</v>
      </c>
      <c r="AN1313" s="8"/>
      <c r="AO1313" s="8" t="str">
        <f ca="1">IFERROR(__xludf.DUMMYFUNCTION("""COMPUTED_VALUE"""),"No")</f>
        <v>No</v>
      </c>
      <c r="AP1313" s="8"/>
      <c r="AQ1313" s="8"/>
      <c r="AR1313" s="8" t="str">
        <f ca="1">IFERROR(__xludf.DUMMYFUNCTION("""COMPUTED_VALUE"""),"Outside/Off-Property")</f>
        <v>Outside/Off-Property</v>
      </c>
      <c r="AS1313" s="8">
        <f ca="1">IFERROR(__xludf.DUMMYFUNCTION("""COMPUTED_VALUE"""),1)</f>
        <v>1</v>
      </c>
      <c r="AT1313" s="8" t="str">
        <f ca="1">IFERROR(__xludf.DUMMYFUNCTION("""COMPUTED_VALUE"""),"Yes")</f>
        <v>Yes</v>
      </c>
      <c r="AU1313" s="8">
        <f ca="1">IFERROR(__xludf.DUMMYFUNCTION("""COMPUTED_VALUE"""),44.475254)</f>
        <v>44.475254</v>
      </c>
      <c r="AV1313" s="8">
        <f ca="1">IFERROR(__xludf.DUMMYFUNCTION("""COMPUTED_VALUE"""),-73.207528)</f>
        <v>-73.207527999999996</v>
      </c>
      <c r="AW1313" s="8"/>
      <c r="AX1313" s="8">
        <f ca="1">IFERROR(__xludf.DUMMYFUNCTION("""COMPUTED_VALUE"""),5401)</f>
        <v>5401</v>
      </c>
    </row>
    <row r="1314" spans="1:50" ht="105" x14ac:dyDescent="0.2">
      <c r="A1314" s="8" t="str">
        <f ca="1">IFERROR(__xludf.DUMMYFUNCTION("""COMPUTED_VALUE"""),"20210827VAFRW")</f>
        <v>20210827VAFRW</v>
      </c>
      <c r="B1314" s="8">
        <f ca="1">IFERROR(__xludf.DUMMYFUNCTION("""COMPUTED_VALUE"""),8)</f>
        <v>8</v>
      </c>
      <c r="C1314" s="8">
        <f ca="1">IFERROR(__xludf.DUMMYFUNCTION("""COMPUTED_VALUE"""),27)</f>
        <v>27</v>
      </c>
      <c r="D1314" s="8">
        <f ca="1">IFERROR(__xludf.DUMMYFUNCTION("""COMPUTED_VALUE"""),2021)</f>
        <v>2021</v>
      </c>
      <c r="E1314" s="9">
        <f ca="1">IFERROR(__xludf.DUMMYFUNCTION("""COMPUTED_VALUE"""),44435)</f>
        <v>44435</v>
      </c>
      <c r="F1314" s="8" t="str">
        <f ca="1">IFERROR(__xludf.DUMMYFUNCTION("""COMPUTED_VALUE"""),"Freedom High School")</f>
        <v>Freedom High School</v>
      </c>
      <c r="G1314" s="8">
        <f ca="1">IFERROR(__xludf.DUMMYFUNCTION("""COMPUTED_VALUE"""),0)</f>
        <v>0</v>
      </c>
      <c r="H1314" s="8">
        <f ca="1">IFERROR(__xludf.DUMMYFUNCTION("""COMPUTED_VALUE"""),2)</f>
        <v>2</v>
      </c>
      <c r="I1314" s="8">
        <f ca="1">IFERROR(__xludf.DUMMYFUNCTION("""COMPUTED_VALUE"""),2)</f>
        <v>2</v>
      </c>
      <c r="J1314" s="8">
        <f ca="1">IFERROR(__xludf.DUMMYFUNCTION("""COMPUTED_VALUE"""),0)</f>
        <v>0</v>
      </c>
      <c r="K1314" s="8" t="str">
        <f ca="1">IFERROR(__xludf.DUMMYFUNCTION("""COMPUTED_VALUE"""),"https://www.wric.com/news/crime/woodbridge-teenager-arrested-in-nc-for-shooting-into-a-crowd-at-freedom-high-school/ https://www.nbcwashington.com/news/local/northern-virginia/17-year-old-charged-with-shooting-2-teens-after-high-school-football-game-in-vi"&amp;"rginia/2792728/ https://wtop.com/prince-william-county/2021/08/police-investigate-shooting-in-parking-lot-of-woodbridge-high-school-after-football-game/")</f>
        <v>https://www.wric.com/news/crime/woodbridge-teenager-arrested-in-nc-for-shooting-into-a-crowd-at-freedom-high-school/ https://www.nbcwashington.com/news/local/northern-virginia/17-year-old-charged-with-shooting-2-teens-after-high-school-football-game-in-virginia/2792728/ https://wtop.com/prince-william-county/2021/08/police-investigate-shooting-in-parking-lot-of-woodbridge-high-school-after-football-game/</v>
      </c>
      <c r="L1314" s="8">
        <f ca="1">IFERROR(__xludf.DUMMYFUNCTION("""COMPUTED_VALUE"""),50)</f>
        <v>50</v>
      </c>
      <c r="M1314" s="8" t="str">
        <f ca="1">IFERROR(__xludf.DUMMYFUNCTION("""COMPUTED_VALUE"""),"Regional")</f>
        <v>Regional</v>
      </c>
      <c r="N1314" s="8">
        <f ca="1">IFERROR(__xludf.DUMMYFUNCTION("""COMPUTED_VALUE"""),4)</f>
        <v>4</v>
      </c>
      <c r="O1314" s="8" t="str">
        <f ca="1">IFERROR(__xludf.DUMMYFUNCTION("""COMPUTED_VALUE"""),"Fall")</f>
        <v>Fall</v>
      </c>
      <c r="P1314" s="8" t="str">
        <f ca="1">IFERROR(__xludf.DUMMYFUNCTION("""COMPUTED_VALUE"""),"Woodbridge")</f>
        <v>Woodbridge</v>
      </c>
      <c r="Q1314" s="8" t="str">
        <f ca="1">IFERROR(__xludf.DUMMYFUNCTION("""COMPUTED_VALUE"""),"VA")</f>
        <v>VA</v>
      </c>
      <c r="R1314" s="8" t="str">
        <f ca="1">IFERROR(__xludf.DUMMYFUNCTION("""COMPUTED_VALUE"""),"High")</f>
        <v>High</v>
      </c>
      <c r="S1314" s="8" t="str">
        <f ca="1">IFERROR(__xludf.DUMMYFUNCTION("""COMPUTED_VALUE"""),"Parking Lot")</f>
        <v>Parking Lot</v>
      </c>
      <c r="T1314" s="8" t="str">
        <f ca="1">IFERROR(__xludf.DUMMYFUNCTION("""COMPUTED_VALUE"""),"Outside on School Property")</f>
        <v>Outside on School Property</v>
      </c>
      <c r="U1314" s="8" t="str">
        <f ca="1">IFERROR(__xludf.DUMMYFUNCTION("""COMPUTED_VALUE"""),"No")</f>
        <v>No</v>
      </c>
      <c r="V1314" s="8" t="str">
        <f ca="1">IFERROR(__xludf.DUMMYFUNCTION("""COMPUTED_VALUE"""),"Sport Event")</f>
        <v>Sport Event</v>
      </c>
      <c r="W1314" s="11">
        <f ca="1">IFERROR(__xludf.DUMMYFUNCTION("""COMPUTED_VALUE"""),0.881944444444444)</f>
        <v>0.88194444444444398</v>
      </c>
      <c r="X1314" s="8">
        <f ca="1">IFERROR(__xludf.DUMMYFUNCTION("""COMPUTED_VALUE"""),1)</f>
        <v>1</v>
      </c>
      <c r="Y1314" s="12" t="str">
        <f ca="1">IFERROR(__xludf.DUMMYFUNCTION("""COMPUTED_VALUE"""),"Teen fired shots into the crowd following football game")</f>
        <v>Teen fired shots into the crowd following football game</v>
      </c>
      <c r="Z1314" s="12" t="str">
        <f ca="1">IFERROR(__xludf.DUMMYFUNCTION("""COMPUTED_VALUE"""),"17-year-old student was involved with fight between two groups of students in the parking lot as the football game ended. Shooter fired shots into the crowd striking two bystanders. A 15-year-old male student and 14-year-old female student were wounded. T"&amp;"he shooter fled the scene and was arrested in North Carolina with his family on vacation the following week.")</f>
        <v>17-year-old student was involved with fight between two groups of students in the parking lot as the football game ended. Shooter fired shots into the crowd striking two bystanders. A 15-year-old male student and 14-year-old female student were wounded. The shooter fled the scene and was arrested in North Carolina with his family on vacation the following week.</v>
      </c>
      <c r="AA1314" s="8" t="str">
        <f ca="1">IFERROR(__xludf.DUMMYFUNCTION("""COMPUTED_VALUE"""),"Escalation of Dispute")</f>
        <v>Escalation of Dispute</v>
      </c>
      <c r="AB1314" s="8"/>
      <c r="AC1314" s="8" t="str">
        <f ca="1">IFERROR(__xludf.DUMMYFUNCTION("""COMPUTED_VALUE"""),"Yes")</f>
        <v>Yes</v>
      </c>
      <c r="AD1314" s="8" t="str">
        <f ca="1">IFERROR(__xludf.DUMMYFUNCTION("""COMPUTED_VALUE"""),"Both")</f>
        <v>Both</v>
      </c>
      <c r="AE1314" s="8"/>
      <c r="AF1314" s="8"/>
      <c r="AG1314" s="8" t="str">
        <f ca="1">IFERROR(__xludf.DUMMYFUNCTION("""COMPUTED_VALUE"""),"No")</f>
        <v>No</v>
      </c>
      <c r="AH1314" s="8" t="str">
        <f ca="1">IFERROR(__xludf.DUMMYFUNCTION("""COMPUTED_VALUE"""),"No")</f>
        <v>No</v>
      </c>
      <c r="AI1314" s="8" t="str">
        <f ca="1">IFERROR(__xludf.DUMMYFUNCTION("""COMPUTED_VALUE"""),"No")</f>
        <v>No</v>
      </c>
      <c r="AJ1314" s="8" t="str">
        <f ca="1">IFERROR(__xludf.DUMMYFUNCTION("""COMPUTED_VALUE"""),"No")</f>
        <v>No</v>
      </c>
      <c r="AK1314" s="8" t="str">
        <f ca="1">IFERROR(__xludf.DUMMYFUNCTION("""COMPUTED_VALUE"""),"No")</f>
        <v>No</v>
      </c>
      <c r="AL1314" s="8" t="str">
        <f ca="1">IFERROR(__xludf.DUMMYFUNCTION("""COMPUTED_VALUE"""),"No")</f>
        <v>No</v>
      </c>
      <c r="AM1314" s="8" t="str">
        <f ca="1">IFERROR(__xludf.DUMMYFUNCTION("""COMPUTED_VALUE"""),"No")</f>
        <v>No</v>
      </c>
      <c r="AN1314" s="8"/>
      <c r="AO1314" s="8" t="str">
        <f ca="1">IFERROR(__xludf.DUMMYFUNCTION("""COMPUTED_VALUE"""),"No")</f>
        <v>No</v>
      </c>
      <c r="AP1314" s="8"/>
      <c r="AQ1314" s="8"/>
      <c r="AR1314" s="8" t="str">
        <f ca="1">IFERROR(__xludf.DUMMYFUNCTION("""COMPUTED_VALUE"""),"Outside/Off-Property")</f>
        <v>Outside/Off-Property</v>
      </c>
      <c r="AS1314" s="8"/>
      <c r="AT1314" s="8"/>
      <c r="AU1314" s="8">
        <f ca="1">IFERROR(__xludf.DUMMYFUNCTION("""COMPUTED_VALUE"""),38.621785)</f>
        <v>38.621785000000003</v>
      </c>
      <c r="AV1314" s="8">
        <f ca="1">IFERROR(__xludf.DUMMYFUNCTION("""COMPUTED_VALUE"""),-77.289426)</f>
        <v>-77.289426000000006</v>
      </c>
      <c r="AW1314" s="8"/>
      <c r="AX1314" s="8">
        <f ca="1">IFERROR(__xludf.DUMMYFUNCTION("""COMPUTED_VALUE"""),22191)</f>
        <v>22191</v>
      </c>
    </row>
    <row r="1315" spans="1:50" ht="165" x14ac:dyDescent="0.2">
      <c r="A1315" s="8" t="str">
        <f ca="1">IFERROR(__xludf.DUMMYFUNCTION("""COMPUTED_VALUE"""),"20210827PAACS")</f>
        <v>20210827PAACS</v>
      </c>
      <c r="B1315" s="8">
        <f ca="1">IFERROR(__xludf.DUMMYFUNCTION("""COMPUTED_VALUE"""),8)</f>
        <v>8</v>
      </c>
      <c r="C1315" s="8">
        <f ca="1">IFERROR(__xludf.DUMMYFUNCTION("""COMPUTED_VALUE"""),27)</f>
        <v>27</v>
      </c>
      <c r="D1315" s="8">
        <f ca="1">IFERROR(__xludf.DUMMYFUNCTION("""COMPUTED_VALUE"""),2021)</f>
        <v>2021</v>
      </c>
      <c r="E1315" s="9">
        <f ca="1">IFERROR(__xludf.DUMMYFUNCTION("""COMPUTED_VALUE"""),44435)</f>
        <v>44435</v>
      </c>
      <c r="F1315" s="8" t="str">
        <f ca="1">IFERROR(__xludf.DUMMYFUNCTION("""COMPUTED_VALUE"""),"Academy Park High School")</f>
        <v>Academy Park High School</v>
      </c>
      <c r="G1315" s="8">
        <f ca="1">IFERROR(__xludf.DUMMYFUNCTION("""COMPUTED_VALUE"""),1)</f>
        <v>1</v>
      </c>
      <c r="H1315" s="8">
        <f ca="1">IFERROR(__xludf.DUMMYFUNCTION("""COMPUTED_VALUE"""),4)</f>
        <v>4</v>
      </c>
      <c r="I1315" s="8">
        <f ca="1">IFERROR(__xludf.DUMMYFUNCTION("""COMPUTED_VALUE"""),5)</f>
        <v>5</v>
      </c>
      <c r="J1315" s="8">
        <f ca="1">IFERROR(__xludf.DUMMYFUNCTION("""COMPUTED_VALUE"""),0)</f>
        <v>0</v>
      </c>
      <c r="K1315" s="8" t="str">
        <f ca="1">IFERROR(__xludf.DUMMYFUNCTION("""COMPUTED_VALUE"""),"https://www.nbcphiladelphia.com/news/local/2-charged-in-gunfire-outside-high-school-football-game-that-killed-little-girl/3042762/ https://abc7chicago.com/academy-park-high-school-shooting-fanta-bility-pa-pennsylvania/10988723/ https://6abc.com/fanta-bili"&amp;"ty-shooting-academy-park-high-school-football-sharon-hill-police-officers-district-attorney-jack-stollsteimer/11053543/ https://www.bgdailynews.com/news/national/prosecutor-police-shots-hit-4-outside-game-killing-girl-8/article_e5fff831-e588-5b34-b421-091"&amp;"1a1ad85d5.html")</f>
        <v>https://www.nbcphiladelphia.com/news/local/2-charged-in-gunfire-outside-high-school-football-game-that-killed-little-girl/3042762/ https://abc7chicago.com/academy-park-high-school-shooting-fanta-bility-pa-pennsylvania/10988723/ https://6abc.com/fanta-bility-shooting-academy-park-high-school-football-sharon-hill-police-officers-district-attorney-jack-stollsteimer/11053543/ https://www.bgdailynews.com/news/national/prosecutor-police-shots-hit-4-outside-game-killing-girl-8/article_e5fff831-e588-5b34-b421-0911a1ad85d5.html</v>
      </c>
      <c r="L1315" s="8">
        <f ca="1">IFERROR(__xludf.DUMMYFUNCTION("""COMPUTED_VALUE"""),100)</f>
        <v>100</v>
      </c>
      <c r="M1315" s="8" t="str">
        <f ca="1">IFERROR(__xludf.DUMMYFUNCTION("""COMPUTED_VALUE"""),"National")</f>
        <v>National</v>
      </c>
      <c r="N1315" s="8">
        <f ca="1">IFERROR(__xludf.DUMMYFUNCTION("""COMPUTED_VALUE"""),4)</f>
        <v>4</v>
      </c>
      <c r="O1315" s="8" t="str">
        <f ca="1">IFERROR(__xludf.DUMMYFUNCTION("""COMPUTED_VALUE"""),"Fall")</f>
        <v>Fall</v>
      </c>
      <c r="P1315" s="8" t="str">
        <f ca="1">IFERROR(__xludf.DUMMYFUNCTION("""COMPUTED_VALUE"""),"Sharon Hill")</f>
        <v>Sharon Hill</v>
      </c>
      <c r="Q1315" s="8" t="str">
        <f ca="1">IFERROR(__xludf.DUMMYFUNCTION("""COMPUTED_VALUE"""),"PA")</f>
        <v>PA</v>
      </c>
      <c r="R1315" s="8" t="str">
        <f ca="1">IFERROR(__xludf.DUMMYFUNCTION("""COMPUTED_VALUE"""),"High")</f>
        <v>High</v>
      </c>
      <c r="S1315" s="8" t="str">
        <f ca="1">IFERROR(__xludf.DUMMYFUNCTION("""COMPUTED_VALUE"""),"Football Field/Track")</f>
        <v>Football Field/Track</v>
      </c>
      <c r="T1315" s="8" t="str">
        <f ca="1">IFERROR(__xludf.DUMMYFUNCTION("""COMPUTED_VALUE"""),"Outside on School Property")</f>
        <v>Outside on School Property</v>
      </c>
      <c r="U1315" s="8" t="str">
        <f ca="1">IFERROR(__xludf.DUMMYFUNCTION("""COMPUTED_VALUE"""),"No")</f>
        <v>No</v>
      </c>
      <c r="V1315" s="8" t="str">
        <f ca="1">IFERROR(__xludf.DUMMYFUNCTION("""COMPUTED_VALUE"""),"Sport Event")</f>
        <v>Sport Event</v>
      </c>
      <c r="W1315" s="11">
        <f ca="1">IFERROR(__xludf.DUMMYFUNCTION("""COMPUTED_VALUE"""),0.875)</f>
        <v>0.875</v>
      </c>
      <c r="X1315" s="8">
        <f ca="1">IFERROR(__xludf.DUMMYFUNCTION("""COMPUTED_VALUE"""),1)</f>
        <v>1</v>
      </c>
      <c r="Y1315" s="12" t="str">
        <f ca="1">IFERROR(__xludf.DUMMYFUNCTION("""COMPUTED_VALUE"""),"Three officers fired into crowd following football game")</f>
        <v>Three officers fired into crowd following football game</v>
      </c>
      <c r="Z1315" s="12" t="str">
        <f ca="1">IFERROR(__xludf.DUMMYFUNCTION("""COMPUTED_VALUE"""),"Two teens, 16 and 18, fired shots at each other near the exit to the football field. One bystander was struck in the crossfire. Three police officers responded to the shots by firing multiple shots into the crowd that was exiting the football game. Shots "&amp;"were fired a block away from the stadium just prior to the officers' firing and a fight also occurred between multiple young males nearby. An 8-year-old female was fatally shot. 2 juveniles and 2 unidentified persons were wounded. Initial ballistics analy"&amp;"sis showed 4 of the 5 victims were struck by shots fire by the officers. Area was searched and no other weapons were recovered.")</f>
        <v>Two teens, 16 and 18, fired shots at each other near the exit to the football field. One bystander was struck in the crossfire. Three police officers responded to the shots by firing multiple shots into the crowd that was exiting the football game. Shots were fired a block away from the stadium just prior to the officers' firing and a fight also occurred between multiple young males nearby. An 8-year-old female was fatally shot. 2 juveniles and 2 unidentified persons were wounded. Initial ballistics analysis showed 4 of the 5 victims were struck by shots fire by the officers. Area was searched and no other weapons were recovered.</v>
      </c>
      <c r="AA1315" s="8" t="str">
        <f ca="1">IFERROR(__xludf.DUMMYFUNCTION("""COMPUTED_VALUE"""),"Escalation of Dispute")</f>
        <v>Escalation of Dispute</v>
      </c>
      <c r="AB1315" s="8"/>
      <c r="AC1315" s="8" t="str">
        <f ca="1">IFERROR(__xludf.DUMMYFUNCTION("""COMPUTED_VALUE"""),"Yes")</f>
        <v>Yes</v>
      </c>
      <c r="AD1315" s="8" t="str">
        <f ca="1">IFERROR(__xludf.DUMMYFUNCTION("""COMPUTED_VALUE"""),"Random Shooting")</f>
        <v>Random Shooting</v>
      </c>
      <c r="AE1315" s="8"/>
      <c r="AF1315" s="8"/>
      <c r="AG1315" s="8" t="str">
        <f ca="1">IFERROR(__xludf.DUMMYFUNCTION("""COMPUTED_VALUE"""),"No")</f>
        <v>No</v>
      </c>
      <c r="AH1315" s="8" t="str">
        <f ca="1">IFERROR(__xludf.DUMMYFUNCTION("""COMPUTED_VALUE"""),"No")</f>
        <v>No</v>
      </c>
      <c r="AI1315" s="8" t="str">
        <f ca="1">IFERROR(__xludf.DUMMYFUNCTION("""COMPUTED_VALUE"""),"Yes")</f>
        <v>Yes</v>
      </c>
      <c r="AJ1315" s="8" t="str">
        <f ca="1">IFERROR(__xludf.DUMMYFUNCTION("""COMPUTED_VALUE"""),"No")</f>
        <v>No</v>
      </c>
      <c r="AK1315" s="8" t="str">
        <f ca="1">IFERROR(__xludf.DUMMYFUNCTION("""COMPUTED_VALUE"""),"No")</f>
        <v>No</v>
      </c>
      <c r="AL1315" s="8" t="str">
        <f ca="1">IFERROR(__xludf.DUMMYFUNCTION("""COMPUTED_VALUE"""),"No")</f>
        <v>No</v>
      </c>
      <c r="AM1315" s="8" t="str">
        <f ca="1">IFERROR(__xludf.DUMMYFUNCTION("""COMPUTED_VALUE"""),"No")</f>
        <v>No</v>
      </c>
      <c r="AN1315" s="8"/>
      <c r="AO1315" s="8" t="str">
        <f ca="1">IFERROR(__xludf.DUMMYFUNCTION("""COMPUTED_VALUE"""),"No")</f>
        <v>No</v>
      </c>
      <c r="AP1315" s="8"/>
      <c r="AQ1315" s="8"/>
      <c r="AR1315" s="8"/>
      <c r="AS1315" s="8"/>
      <c r="AT1315" s="8"/>
      <c r="AU1315" s="8">
        <f ca="1">IFERROR(__xludf.DUMMYFUNCTION("""COMPUTED_VALUE"""),39.908552)</f>
        <v>39.908552</v>
      </c>
      <c r="AV1315" s="8">
        <f ca="1">IFERROR(__xludf.DUMMYFUNCTION("""COMPUTED_VALUE"""),-75.269168)</f>
        <v>-75.269167999999993</v>
      </c>
      <c r="AW1315" s="8"/>
      <c r="AX1315" s="8">
        <f ca="1">IFERROR(__xludf.DUMMYFUNCTION("""COMPUTED_VALUE"""),19079)</f>
        <v>19079</v>
      </c>
    </row>
    <row r="1316" spans="1:50" ht="75" x14ac:dyDescent="0.2">
      <c r="A1316" s="8" t="str">
        <f ca="1">IFERROR(__xludf.DUMMYFUNCTION("""COMPUTED_VALUE"""),"20210827KYAPO")</f>
        <v>20210827KYAPO</v>
      </c>
      <c r="B1316" s="8">
        <f ca="1">IFERROR(__xludf.DUMMYFUNCTION("""COMPUTED_VALUE"""),8)</f>
        <v>8</v>
      </c>
      <c r="C1316" s="8">
        <f ca="1">IFERROR(__xludf.DUMMYFUNCTION("""COMPUTED_VALUE"""),27)</f>
        <v>27</v>
      </c>
      <c r="D1316" s="8">
        <f ca="1">IFERROR(__xludf.DUMMYFUNCTION("""COMPUTED_VALUE"""),2021)</f>
        <v>2021</v>
      </c>
      <c r="E1316" s="9">
        <f ca="1">IFERROR(__xludf.DUMMYFUNCTION("""COMPUTED_VALUE"""),44435)</f>
        <v>44435</v>
      </c>
      <c r="F1316" s="8" t="str">
        <f ca="1">IFERROR(__xludf.DUMMYFUNCTION("""COMPUTED_VALUE"""),"Apollo High School")</f>
        <v>Apollo High School</v>
      </c>
      <c r="G1316" s="8">
        <f ca="1">IFERROR(__xludf.DUMMYFUNCTION("""COMPUTED_VALUE"""),0)</f>
        <v>0</v>
      </c>
      <c r="H1316" s="8">
        <f ca="1">IFERROR(__xludf.DUMMYFUNCTION("""COMPUTED_VALUE"""),1)</f>
        <v>1</v>
      </c>
      <c r="I1316" s="8">
        <f ca="1">IFERROR(__xludf.DUMMYFUNCTION("""COMPUTED_VALUE"""),1)</f>
        <v>1</v>
      </c>
      <c r="J1316" s="8">
        <f ca="1">IFERROR(__xludf.DUMMYFUNCTION("""COMPUTED_VALUE"""),0)</f>
        <v>0</v>
      </c>
      <c r="K1316" s="8" t="str">
        <f ca="1">IFERROR(__xludf.DUMMYFUNCTION("""COMPUTED_VALUE"""),"https://www.facebook.com/DaviessCountyPublicSchools/posts/3094849274081755 https://www.14news.com/2021/08/28/dcso-1-person-shot-following-altercation-apollo-high-school-parking-lot/")</f>
        <v>https://www.facebook.com/DaviessCountyPublicSchools/posts/3094849274081755 https://www.14news.com/2021/08/28/dcso-1-person-shot-following-altercation-apollo-high-school-parking-lot/</v>
      </c>
      <c r="L1316" s="8">
        <f ca="1">IFERROR(__xludf.DUMMYFUNCTION("""COMPUTED_VALUE"""),1)</f>
        <v>1</v>
      </c>
      <c r="M1316" s="8" t="str">
        <f ca="1">IFERROR(__xludf.DUMMYFUNCTION("""COMPUTED_VALUE"""),"Local")</f>
        <v>Local</v>
      </c>
      <c r="N1316" s="8">
        <f ca="1">IFERROR(__xludf.DUMMYFUNCTION("""COMPUTED_VALUE"""),4)</f>
        <v>4</v>
      </c>
      <c r="O1316" s="8" t="str">
        <f ca="1">IFERROR(__xludf.DUMMYFUNCTION("""COMPUTED_VALUE"""),"Fall")</f>
        <v>Fall</v>
      </c>
      <c r="P1316" s="8" t="str">
        <f ca="1">IFERROR(__xludf.DUMMYFUNCTION("""COMPUTED_VALUE"""),"Owensboro")</f>
        <v>Owensboro</v>
      </c>
      <c r="Q1316" s="8" t="str">
        <f ca="1">IFERROR(__xludf.DUMMYFUNCTION("""COMPUTED_VALUE"""),"KY")</f>
        <v>KY</v>
      </c>
      <c r="R1316" s="8" t="str">
        <f ca="1">IFERROR(__xludf.DUMMYFUNCTION("""COMPUTED_VALUE"""),"High")</f>
        <v>High</v>
      </c>
      <c r="S1316" s="8" t="str">
        <f ca="1">IFERROR(__xludf.DUMMYFUNCTION("""COMPUTED_VALUE"""),"Parking Lot")</f>
        <v>Parking Lot</v>
      </c>
      <c r="T1316" s="8" t="str">
        <f ca="1">IFERROR(__xludf.DUMMYFUNCTION("""COMPUTED_VALUE"""),"Outside on School Property")</f>
        <v>Outside on School Property</v>
      </c>
      <c r="U1316" s="8" t="str">
        <f ca="1">IFERROR(__xludf.DUMMYFUNCTION("""COMPUTED_VALUE"""),"No")</f>
        <v>No</v>
      </c>
      <c r="V1316" s="8" t="str">
        <f ca="1">IFERROR(__xludf.DUMMYFUNCTION("""COMPUTED_VALUE"""),"Sport Event")</f>
        <v>Sport Event</v>
      </c>
      <c r="W1316" s="11">
        <f ca="1">IFERROR(__xludf.DUMMYFUNCTION("""COMPUTED_VALUE"""),0.902777777777777)</f>
        <v>0.90277777777777701</v>
      </c>
      <c r="X1316" s="8">
        <f ca="1">IFERROR(__xludf.DUMMYFUNCTION("""COMPUTED_VALUE"""),1)</f>
        <v>1</v>
      </c>
      <c r="Y1316" s="12" t="str">
        <f ca="1">IFERROR(__xludf.DUMMYFUNCTION("""COMPUTED_VALUE"""),"Man shot during fight following football game")</f>
        <v>Man shot during fight following football game</v>
      </c>
      <c r="Z1316" s="12" t="str">
        <f ca="1">IFERROR(__xludf.DUMMYFUNCTION("""COMPUTED_VALUE"""),"An adult male was shot in the parking lot during a fight between four nonstudents who were attending a high school football game. Police were assigned to the school and quickly took the shooter into custody. Police said the shooting was unintentional.")</f>
        <v>An adult male was shot in the parking lot during a fight between four nonstudents who were attending a high school football game. Police were assigned to the school and quickly took the shooter into custody. Police said the shooting was unintentional.</v>
      </c>
      <c r="AA1316" s="8" t="str">
        <f ca="1">IFERROR(__xludf.DUMMYFUNCTION("""COMPUTED_VALUE"""),"Escalation of Dispute")</f>
        <v>Escalation of Dispute</v>
      </c>
      <c r="AB1316" s="8"/>
      <c r="AC1316" s="8" t="str">
        <f ca="1">IFERROR(__xludf.DUMMYFUNCTION("""COMPUTED_VALUE"""),"Yes")</f>
        <v>Yes</v>
      </c>
      <c r="AD1316" s="8" t="str">
        <f ca="1">IFERROR(__xludf.DUMMYFUNCTION("""COMPUTED_VALUE"""),"Victims Targeted")</f>
        <v>Victims Targeted</v>
      </c>
      <c r="AE1316" s="8" t="str">
        <f ca="1">IFERROR(__xludf.DUMMYFUNCTION("""COMPUTED_VALUE"""),"No")</f>
        <v>No</v>
      </c>
      <c r="AF1316" s="8"/>
      <c r="AG1316" s="8" t="str">
        <f ca="1">IFERROR(__xludf.DUMMYFUNCTION("""COMPUTED_VALUE"""),"No")</f>
        <v>No</v>
      </c>
      <c r="AH1316" s="8" t="str">
        <f ca="1">IFERROR(__xludf.DUMMYFUNCTION("""COMPUTED_VALUE"""),"No")</f>
        <v>No</v>
      </c>
      <c r="AI1316" s="8" t="str">
        <f ca="1">IFERROR(__xludf.DUMMYFUNCTION("""COMPUTED_VALUE"""),"No")</f>
        <v>No</v>
      </c>
      <c r="AJ1316" s="8" t="str">
        <f ca="1">IFERROR(__xludf.DUMMYFUNCTION("""COMPUTED_VALUE"""),"No")</f>
        <v>No</v>
      </c>
      <c r="AK1316" s="8" t="str">
        <f ca="1">IFERROR(__xludf.DUMMYFUNCTION("""COMPUTED_VALUE"""),"No")</f>
        <v>No</v>
      </c>
      <c r="AL1316" s="8" t="str">
        <f ca="1">IFERROR(__xludf.DUMMYFUNCTION("""COMPUTED_VALUE"""),"No")</f>
        <v>No</v>
      </c>
      <c r="AM1316" s="8" t="str">
        <f ca="1">IFERROR(__xludf.DUMMYFUNCTION("""COMPUTED_VALUE"""),"No")</f>
        <v>No</v>
      </c>
      <c r="AN1316" s="8"/>
      <c r="AO1316" s="8" t="str">
        <f ca="1">IFERROR(__xludf.DUMMYFUNCTION("""COMPUTED_VALUE"""),"No")</f>
        <v>No</v>
      </c>
      <c r="AP1316" s="8" t="str">
        <f ca="1">IFERROR(__xludf.DUMMYFUNCTION("""COMPUTED_VALUE"""),"Yes")</f>
        <v>Yes</v>
      </c>
      <c r="AQ1316" s="8" t="str">
        <f ca="1">IFERROR(__xludf.DUMMYFUNCTION("""COMPUTED_VALUE"""),"Armed Guards")</f>
        <v>Armed Guards</v>
      </c>
      <c r="AR1316" s="8" t="str">
        <f ca="1">IFERROR(__xludf.DUMMYFUNCTION("""COMPUTED_VALUE"""),"Outside/Off-Property")</f>
        <v>Outside/Off-Property</v>
      </c>
      <c r="AS1316" s="8">
        <f ca="1">IFERROR(__xludf.DUMMYFUNCTION("""COMPUTED_VALUE"""),1)</f>
        <v>1</v>
      </c>
      <c r="AT1316" s="8"/>
      <c r="AU1316" s="8">
        <f ca="1">IFERROR(__xludf.DUMMYFUNCTION("""COMPUTED_VALUE"""),37.730285)</f>
        <v>37.730285000000002</v>
      </c>
      <c r="AV1316" s="8">
        <f ca="1">IFERROR(__xludf.DUMMYFUNCTION("""COMPUTED_VALUE"""),-87.144291)</f>
        <v>-87.144290999999996</v>
      </c>
      <c r="AW1316" s="8"/>
      <c r="AX1316" s="8">
        <f ca="1">IFERROR(__xludf.DUMMYFUNCTION("""COMPUTED_VALUE"""),42301)</f>
        <v>42301</v>
      </c>
    </row>
    <row r="1317" spans="1:50" ht="150" x14ac:dyDescent="0.2">
      <c r="A1317" s="8" t="str">
        <f ca="1">IFERROR(__xludf.DUMMYFUNCTION("""COMPUTED_VALUE"""),"20210827INHAH")</f>
        <v>20210827INHAH</v>
      </c>
      <c r="B1317" s="8">
        <f ca="1">IFERROR(__xludf.DUMMYFUNCTION("""COMPUTED_VALUE"""),8)</f>
        <v>8</v>
      </c>
      <c r="C1317" s="8">
        <f ca="1">IFERROR(__xludf.DUMMYFUNCTION("""COMPUTED_VALUE"""),27)</f>
        <v>27</v>
      </c>
      <c r="D1317" s="8">
        <f ca="1">IFERROR(__xludf.DUMMYFUNCTION("""COMPUTED_VALUE"""),2021)</f>
        <v>2021</v>
      </c>
      <c r="E1317" s="9">
        <f ca="1">IFERROR(__xludf.DUMMYFUNCTION("""COMPUTED_VALUE"""),44435)</f>
        <v>44435</v>
      </c>
      <c r="F1317" s="8" t="str">
        <f ca="1">IFERROR(__xludf.DUMMYFUNCTION("""COMPUTED_VALUE"""),"Hammond Central High School")</f>
        <v>Hammond Central High School</v>
      </c>
      <c r="G1317" s="8">
        <f ca="1">IFERROR(__xludf.DUMMYFUNCTION("""COMPUTED_VALUE"""),0)</f>
        <v>0</v>
      </c>
      <c r="H1317" s="8">
        <f ca="1">IFERROR(__xludf.DUMMYFUNCTION("""COMPUTED_VALUE"""),2)</f>
        <v>2</v>
      </c>
      <c r="I1317" s="8">
        <f ca="1">IFERROR(__xludf.DUMMYFUNCTION("""COMPUTED_VALUE"""),2)</f>
        <v>2</v>
      </c>
      <c r="J1317" s="8">
        <f ca="1">IFERROR(__xludf.DUMMYFUNCTION("""COMPUTED_VALUE"""),0)</f>
        <v>0</v>
      </c>
      <c r="K1317" s="8" t="str">
        <f ca="1">IFERROR(__xludf.DUMMYFUNCTION("""COMPUTED_VALUE"""),"https://www.nwitimes.com/news/local/crime-and-courts/judge-teen-charged-as-adult-in-school-shooting-must-be-held-at-juvenile-lockup-for/article_35e18498-d9ec-5870-b37e-31436776423c.html https://www.nwitimes.com/news/local/crime-and-courts/teen-charged-in-"&amp;"school-shooting-was-known-to-police-court-records-show/article_c0d2abcc-de50-5075-840c-7d932c154abd.html https://www.nwitimes.com/news/local/crime-and-courts/watch-now-1-in-custody-after-2-students-shot-at-hammond-central-high-school-officials/article_b78"&amp;"bfd75-8e8d-598c-b06e-70684e567b1a.html https://chicago.cbslocal.com/2021/08/27/two-students-shot-outside-hammond-central-high-school-in-northwest-indiana/")</f>
        <v>https://www.nwitimes.com/news/local/crime-and-courts/judge-teen-charged-as-adult-in-school-shooting-must-be-held-at-juvenile-lockup-for/article_35e18498-d9ec-5870-b37e-31436776423c.html https://www.nwitimes.com/news/local/crime-and-courts/teen-charged-in-school-shooting-was-known-to-police-court-records-show/article_c0d2abcc-de50-5075-840c-7d932c154abd.html https://www.nwitimes.com/news/local/crime-and-courts/watch-now-1-in-custody-after-2-students-shot-at-hammond-central-high-school-officials/article_b78bfd75-8e8d-598c-b06e-70684e567b1a.html https://chicago.cbslocal.com/2021/08/27/two-students-shot-outside-hammond-central-high-school-in-northwest-indiana/</v>
      </c>
      <c r="L1317" s="8">
        <f ca="1">IFERROR(__xludf.DUMMYFUNCTION("""COMPUTED_VALUE"""),5)</f>
        <v>5</v>
      </c>
      <c r="M1317" s="8" t="str">
        <f ca="1">IFERROR(__xludf.DUMMYFUNCTION("""COMPUTED_VALUE"""),"Local")</f>
        <v>Local</v>
      </c>
      <c r="N1317" s="8">
        <f ca="1">IFERROR(__xludf.DUMMYFUNCTION("""COMPUTED_VALUE"""),4)</f>
        <v>4</v>
      </c>
      <c r="O1317" s="8" t="str">
        <f ca="1">IFERROR(__xludf.DUMMYFUNCTION("""COMPUTED_VALUE"""),"Fall")</f>
        <v>Fall</v>
      </c>
      <c r="P1317" s="8" t="str">
        <f ca="1">IFERROR(__xludf.DUMMYFUNCTION("""COMPUTED_VALUE"""),"Hammond")</f>
        <v>Hammond</v>
      </c>
      <c r="Q1317" s="8" t="str">
        <f ca="1">IFERROR(__xludf.DUMMYFUNCTION("""COMPUTED_VALUE"""),"IN")</f>
        <v>IN</v>
      </c>
      <c r="R1317" s="8" t="str">
        <f ca="1">IFERROR(__xludf.DUMMYFUNCTION("""COMPUTED_VALUE"""),"High")</f>
        <v>High</v>
      </c>
      <c r="S1317" s="8" t="str">
        <f ca="1">IFERROR(__xludf.DUMMYFUNCTION("""COMPUTED_VALUE"""),"Beside Building")</f>
        <v>Beside Building</v>
      </c>
      <c r="T1317" s="8" t="str">
        <f ca="1">IFERROR(__xludf.DUMMYFUNCTION("""COMPUTED_VALUE"""),"Outside on School Property")</f>
        <v>Outside on School Property</v>
      </c>
      <c r="U1317" s="8" t="str">
        <f ca="1">IFERROR(__xludf.DUMMYFUNCTION("""COMPUTED_VALUE"""),"Yes")</f>
        <v>Yes</v>
      </c>
      <c r="V1317" s="8" t="str">
        <f ca="1">IFERROR(__xludf.DUMMYFUNCTION("""COMPUTED_VALUE"""),"Dismissal")</f>
        <v>Dismissal</v>
      </c>
      <c r="W1317" s="11">
        <f ca="1">IFERROR(__xludf.DUMMYFUNCTION("""COMPUTED_VALUE"""),0.600694444444444)</f>
        <v>0.60069444444444398</v>
      </c>
      <c r="X1317" s="8">
        <f ca="1">IFERROR(__xludf.DUMMYFUNCTION("""COMPUTED_VALUE"""),1)</f>
        <v>1</v>
      </c>
      <c r="Y1317" s="12" t="str">
        <f ca="1">IFERROR(__xludf.DUMMYFUNCTION("""COMPUTED_VALUE"""),"Two student shot beside the school building")</f>
        <v>Two student shot beside the school building</v>
      </c>
      <c r="Z1317" s="12" t="str">
        <f ca="1">IFERROR(__xludf.DUMMYFUNCTION("""COMPUTED_VALUE"""),"Teen student fired at a group of students next to the school building during dismissal. Shooter was not a student and was seen on CCTV footage waiting outside the school prior to the shooting. Shooter fled the scene and was arrested at 8pm (5.5 hours afte"&amp;"r). A bullet fired struck one student, passed through him and struck a second student. CCTV video recorded the incident and allowed police to identify the shooter. Police gang unit was aware of the identity of the shooter. Shooter had prior criminal histo"&amp;"ry and was known to police.")</f>
        <v>Teen student fired at a group of students next to the school building during dismissal. Shooter was not a student and was seen on CCTV footage waiting outside the school prior to the shooting. Shooter fled the scene and was arrested at 8pm (5.5 hours after). A bullet fired struck one student, passed through him and struck a second student. CCTV video recorded the incident and allowed police to identify the shooter. Police gang unit was aware of the identity of the shooter. Shooter had prior criminal history and was known to police.</v>
      </c>
      <c r="AA1317" s="8" t="str">
        <f ca="1">IFERROR(__xludf.DUMMYFUNCTION("""COMPUTED_VALUE"""),"Illegal Activity")</f>
        <v>Illegal Activity</v>
      </c>
      <c r="AB1317" s="8"/>
      <c r="AC1317" s="8" t="str">
        <f ca="1">IFERROR(__xludf.DUMMYFUNCTION("""COMPUTED_VALUE"""),"Yes")</f>
        <v>Yes</v>
      </c>
      <c r="AD1317" s="8" t="str">
        <f ca="1">IFERROR(__xludf.DUMMYFUNCTION("""COMPUTED_VALUE"""),"Both")</f>
        <v>Both</v>
      </c>
      <c r="AE1317" s="8" t="str">
        <f ca="1">IFERROR(__xludf.DUMMYFUNCTION("""COMPUTED_VALUE"""),"Yes")</f>
        <v>Yes</v>
      </c>
      <c r="AF1317" s="8"/>
      <c r="AG1317" s="8" t="str">
        <f ca="1">IFERROR(__xludf.DUMMYFUNCTION("""COMPUTED_VALUE"""),"No")</f>
        <v>No</v>
      </c>
      <c r="AH1317" s="8" t="str">
        <f ca="1">IFERROR(__xludf.DUMMYFUNCTION("""COMPUTED_VALUE"""),"No")</f>
        <v>No</v>
      </c>
      <c r="AI1317" s="8" t="str">
        <f ca="1">IFERROR(__xludf.DUMMYFUNCTION("""COMPUTED_VALUE"""),"No")</f>
        <v>No</v>
      </c>
      <c r="AJ1317" s="8" t="str">
        <f ca="1">IFERROR(__xludf.DUMMYFUNCTION("""COMPUTED_VALUE"""),"No")</f>
        <v>No</v>
      </c>
      <c r="AK1317" s="8" t="str">
        <f ca="1">IFERROR(__xludf.DUMMYFUNCTION("""COMPUTED_VALUE"""),"No")</f>
        <v>No</v>
      </c>
      <c r="AL1317" s="8" t="str">
        <f ca="1">IFERROR(__xludf.DUMMYFUNCTION("""COMPUTED_VALUE"""),"Yes")</f>
        <v>Yes</v>
      </c>
      <c r="AM1317" s="8" t="str">
        <f ca="1">IFERROR(__xludf.DUMMYFUNCTION("""COMPUTED_VALUE"""),"No")</f>
        <v>No</v>
      </c>
      <c r="AN1317" s="8"/>
      <c r="AO1317" s="8" t="str">
        <f ca="1">IFERROR(__xludf.DUMMYFUNCTION("""COMPUTED_VALUE"""),"No")</f>
        <v>No</v>
      </c>
      <c r="AP1317" s="8"/>
      <c r="AQ1317" s="8"/>
      <c r="AR1317" s="8"/>
      <c r="AS1317" s="8"/>
      <c r="AT1317" s="8" t="str">
        <f ca="1">IFERROR(__xludf.DUMMYFUNCTION("""COMPUTED_VALUE"""),"Yes")</f>
        <v>Yes</v>
      </c>
      <c r="AU1317" s="8">
        <f ca="1">IFERROR(__xludf.DUMMYFUNCTION("""COMPUTED_VALUE"""),41.58466)</f>
        <v>41.58466</v>
      </c>
      <c r="AV1317" s="8">
        <f ca="1">IFERROR(__xludf.DUMMYFUNCTION("""COMPUTED_VALUE"""),-87.50016)</f>
        <v>-87.500159999999994</v>
      </c>
      <c r="AW1317" s="8"/>
      <c r="AX1317" s="8">
        <f ca="1">IFERROR(__xludf.DUMMYFUNCTION("""COMPUTED_VALUE"""),46324)</f>
        <v>46324</v>
      </c>
    </row>
    <row r="1318" spans="1:50" ht="75" x14ac:dyDescent="0.2">
      <c r="A1318" s="8" t="str">
        <f ca="1">IFERROR(__xludf.DUMMYFUNCTION("""COMPUTED_VALUE"""),"20210826WAAKS")</f>
        <v>20210826WAAKS</v>
      </c>
      <c r="B1318" s="8">
        <f ca="1">IFERROR(__xludf.DUMMYFUNCTION("""COMPUTED_VALUE"""),8)</f>
        <v>8</v>
      </c>
      <c r="C1318" s="8">
        <f ca="1">IFERROR(__xludf.DUMMYFUNCTION("""COMPUTED_VALUE"""),26)</f>
        <v>26</v>
      </c>
      <c r="D1318" s="8">
        <f ca="1">IFERROR(__xludf.DUMMYFUNCTION("""COMPUTED_VALUE"""),2021)</f>
        <v>2021</v>
      </c>
      <c r="E1318" s="9">
        <f ca="1">IFERROR(__xludf.DUMMYFUNCTION("""COMPUTED_VALUE"""),44434)</f>
        <v>44434</v>
      </c>
      <c r="F1318" s="8" t="str">
        <f ca="1">IFERROR(__xludf.DUMMYFUNCTION("""COMPUTED_VALUE"""),"Aki Kurose Middle School")</f>
        <v>Aki Kurose Middle School</v>
      </c>
      <c r="G1318" s="8">
        <f ca="1">IFERROR(__xludf.DUMMYFUNCTION("""COMPUTED_VALUE"""),0)</f>
        <v>0</v>
      </c>
      <c r="H1318" s="8">
        <f ca="1">IFERROR(__xludf.DUMMYFUNCTION("""COMPUTED_VALUE"""),0)</f>
        <v>0</v>
      </c>
      <c r="I1318" s="8">
        <f ca="1">IFERROR(__xludf.DUMMYFUNCTION("""COMPUTED_VALUE"""),0)</f>
        <v>0</v>
      </c>
      <c r="J1318" s="8">
        <f ca="1">IFERROR(__xludf.DUMMYFUNCTION("""COMPUTED_VALUE"""),0)</f>
        <v>0</v>
      </c>
      <c r="K1318" s="10" t="str">
        <f ca="1">IFERROR(__xludf.DUMMYFUNCTION("""COMPUTED_VALUE"""),"https://www.seattletimes.com/seattle-news/crime/14-year-old-in-critical-condition-teen-in-custody-after-gunfire-erupts-outside-seattle-middle-school/")</f>
        <v>https://www.seattletimes.com/seattle-news/crime/14-year-old-in-critical-condition-teen-in-custody-after-gunfire-erupts-outside-seattle-middle-school/</v>
      </c>
      <c r="L1318" s="8">
        <f ca="1">IFERROR(__xludf.DUMMYFUNCTION("""COMPUTED_VALUE"""),1)</f>
        <v>1</v>
      </c>
      <c r="M1318" s="8" t="str">
        <f ca="1">IFERROR(__xludf.DUMMYFUNCTION("""COMPUTED_VALUE"""),"Local")</f>
        <v>Local</v>
      </c>
      <c r="N1318" s="8">
        <f ca="1">IFERROR(__xludf.DUMMYFUNCTION("""COMPUTED_VALUE"""),4)</f>
        <v>4</v>
      </c>
      <c r="O1318" s="8" t="str">
        <f ca="1">IFERROR(__xludf.DUMMYFUNCTION("""COMPUTED_VALUE"""),"Fall")</f>
        <v>Fall</v>
      </c>
      <c r="P1318" s="8" t="str">
        <f ca="1">IFERROR(__xludf.DUMMYFUNCTION("""COMPUTED_VALUE"""),"Seattle")</f>
        <v>Seattle</v>
      </c>
      <c r="Q1318" s="8" t="str">
        <f ca="1">IFERROR(__xludf.DUMMYFUNCTION("""COMPUTED_VALUE"""),"WA")</f>
        <v>WA</v>
      </c>
      <c r="R1318" s="8" t="str">
        <f ca="1">IFERROR(__xludf.DUMMYFUNCTION("""COMPUTED_VALUE"""),"Middle")</f>
        <v>Middle</v>
      </c>
      <c r="S1318" s="8" t="str">
        <f ca="1">IFERROR(__xludf.DUMMYFUNCTION("""COMPUTED_VALUE"""),"Front of School")</f>
        <v>Front of School</v>
      </c>
      <c r="T1318" s="8" t="str">
        <f ca="1">IFERROR(__xludf.DUMMYFUNCTION("""COMPUTED_VALUE"""),"Outside on School Property")</f>
        <v>Outside on School Property</v>
      </c>
      <c r="U1318" s="8" t="str">
        <f ca="1">IFERROR(__xludf.DUMMYFUNCTION("""COMPUTED_VALUE"""),"No")</f>
        <v>No</v>
      </c>
      <c r="V1318" s="8" t="str">
        <f ca="1">IFERROR(__xludf.DUMMYFUNCTION("""COMPUTED_VALUE"""),"Evening")</f>
        <v>Evening</v>
      </c>
      <c r="W1318" s="11">
        <f ca="1">IFERROR(__xludf.DUMMYFUNCTION("""COMPUTED_VALUE"""),0.770833333333333)</f>
        <v>0.77083333333333304</v>
      </c>
      <c r="X1318" s="8">
        <f ca="1">IFERROR(__xludf.DUMMYFUNCTION("""COMPUTED_VALUE"""),1)</f>
        <v>1</v>
      </c>
      <c r="Y1318" s="12" t="str">
        <f ca="1">IFERROR(__xludf.DUMMYFUNCTION("""COMPUTED_VALUE"""),"Teen was sitting on front steps of school when he was shot multiple times by another teen")</f>
        <v>Teen was sitting on front steps of school when he was shot multiple times by another teen</v>
      </c>
      <c r="Z1318" s="12" t="str">
        <f ca="1">IFERROR(__xludf.DUMMYFUNCTION("""COMPUTED_VALUE"""),"A 17-year-old teen was sitting on the front steps of the school when he was shot multiple times by a 14-year-old teen. The 17-year-old shot back at the 14-year-old who fled the area. The 17-year-old was critically injured and found by police outside the s"&amp;"chool.")</f>
        <v>A 17-year-old teen was sitting on the front steps of the school when he was shot multiple times by a 14-year-old teen. The 17-year-old shot back at the 14-year-old who fled the area. The 17-year-old was critically injured and found by police outside the school.</v>
      </c>
      <c r="AA1318" s="8"/>
      <c r="AB1318" s="8"/>
      <c r="AC1318" s="8" t="str">
        <f ca="1">IFERROR(__xludf.DUMMYFUNCTION("""COMPUTED_VALUE"""),"Yes")</f>
        <v>Yes</v>
      </c>
      <c r="AD1318" s="8" t="str">
        <f ca="1">IFERROR(__xludf.DUMMYFUNCTION("""COMPUTED_VALUE"""),"Victims Targeted")</f>
        <v>Victims Targeted</v>
      </c>
      <c r="AE1318" s="8" t="str">
        <f ca="1">IFERROR(__xludf.DUMMYFUNCTION("""COMPUTED_VALUE"""),"No")</f>
        <v>No</v>
      </c>
      <c r="AF1318" s="8"/>
      <c r="AG1318" s="8" t="str">
        <f ca="1">IFERROR(__xludf.DUMMYFUNCTION("""COMPUTED_VALUE"""),"No")</f>
        <v>No</v>
      </c>
      <c r="AH1318" s="8" t="str">
        <f ca="1">IFERROR(__xludf.DUMMYFUNCTION("""COMPUTED_VALUE"""),"No")</f>
        <v>No</v>
      </c>
      <c r="AI1318" s="8" t="str">
        <f ca="1">IFERROR(__xludf.DUMMYFUNCTION("""COMPUTED_VALUE"""),"No")</f>
        <v>No</v>
      </c>
      <c r="AJ1318" s="8" t="str">
        <f ca="1">IFERROR(__xludf.DUMMYFUNCTION("""COMPUTED_VALUE"""),"No")</f>
        <v>No</v>
      </c>
      <c r="AK1318" s="8" t="str">
        <f ca="1">IFERROR(__xludf.DUMMYFUNCTION("""COMPUTED_VALUE"""),"No")</f>
        <v>No</v>
      </c>
      <c r="AL1318" s="8" t="str">
        <f ca="1">IFERROR(__xludf.DUMMYFUNCTION("""COMPUTED_VALUE"""),"No")</f>
        <v>No</v>
      </c>
      <c r="AM1318" s="8" t="str">
        <f ca="1">IFERROR(__xludf.DUMMYFUNCTION("""COMPUTED_VALUE"""),"No")</f>
        <v>No</v>
      </c>
      <c r="AN1318" s="8"/>
      <c r="AO1318" s="8" t="str">
        <f ca="1">IFERROR(__xludf.DUMMYFUNCTION("""COMPUTED_VALUE"""),"No")</f>
        <v>No</v>
      </c>
      <c r="AP1318" s="8"/>
      <c r="AQ1318" s="8"/>
      <c r="AR1318" s="8" t="str">
        <f ca="1">IFERROR(__xludf.DUMMYFUNCTION("""COMPUTED_VALUE"""),"Outside/Off-Property")</f>
        <v>Outside/Off-Property</v>
      </c>
      <c r="AS1318" s="8"/>
      <c r="AT1318" s="8"/>
      <c r="AU1318" s="8">
        <f ca="1">IFERROR(__xludf.DUMMYFUNCTION("""COMPUTED_VALUE"""),47.545998)</f>
        <v>47.545997999999997</v>
      </c>
      <c r="AV1318" s="8">
        <f ca="1">IFERROR(__xludf.DUMMYFUNCTION("""COMPUTED_VALUE"""),-122.281294)</f>
        <v>-122.281294</v>
      </c>
      <c r="AW1318" s="8"/>
      <c r="AX1318" s="8">
        <f ca="1">IFERROR(__xludf.DUMMYFUNCTION("""COMPUTED_VALUE"""),98118)</f>
        <v>98118</v>
      </c>
    </row>
    <row r="1319" spans="1:50" ht="75" x14ac:dyDescent="0.2">
      <c r="A1319" s="8" t="str">
        <f ca="1">IFERROR(__xludf.DUMMYFUNCTION("""COMPUTED_VALUE"""),"20210826OHNOT")</f>
        <v>20210826OHNOT</v>
      </c>
      <c r="B1319" s="8">
        <f ca="1">IFERROR(__xludf.DUMMYFUNCTION("""COMPUTED_VALUE"""),8)</f>
        <v>8</v>
      </c>
      <c r="C1319" s="8">
        <f ca="1">IFERROR(__xludf.DUMMYFUNCTION("""COMPUTED_VALUE"""),26)</f>
        <v>26</v>
      </c>
      <c r="D1319" s="8">
        <f ca="1">IFERROR(__xludf.DUMMYFUNCTION("""COMPUTED_VALUE"""),2021)</f>
        <v>2021</v>
      </c>
      <c r="E1319" s="9">
        <f ca="1">IFERROR(__xludf.DUMMYFUNCTION("""COMPUTED_VALUE"""),44434)</f>
        <v>44434</v>
      </c>
      <c r="F1319" s="8" t="str">
        <f ca="1">IFERROR(__xludf.DUMMYFUNCTION("""COMPUTED_VALUE"""),"Northpointe Academy Elementary School")</f>
        <v>Northpointe Academy Elementary School</v>
      </c>
      <c r="G1319" s="8">
        <f ca="1">IFERROR(__xludf.DUMMYFUNCTION("""COMPUTED_VALUE"""),0)</f>
        <v>0</v>
      </c>
      <c r="H1319" s="8">
        <f ca="1">IFERROR(__xludf.DUMMYFUNCTION("""COMPUTED_VALUE"""),0)</f>
        <v>0</v>
      </c>
      <c r="I1319" s="8">
        <f ca="1">IFERROR(__xludf.DUMMYFUNCTION("""COMPUTED_VALUE"""),0)</f>
        <v>0</v>
      </c>
      <c r="J1319" s="8">
        <f ca="1">IFERROR(__xludf.DUMMYFUNCTION("""COMPUTED_VALUE"""),0)</f>
        <v>0</v>
      </c>
      <c r="K1319" s="10" t="str">
        <f ca="1">IFERROR(__xludf.DUMMYFUNCTION("""COMPUTED_VALUE"""),"https://www.wtol.com/article/news/local/fight-shots-fired-during-youth-football-game-at-northpointe-academy-elementary/512-86c1c571-4188-43c4-898e-3930ac7721aa")</f>
        <v>https://www.wtol.com/article/news/local/fight-shots-fired-during-youth-football-game-at-northpointe-academy-elementary/512-86c1c571-4188-43c4-898e-3930ac7721aa</v>
      </c>
      <c r="L1319" s="8">
        <f ca="1">IFERROR(__xludf.DUMMYFUNCTION("""COMPUTED_VALUE"""),1)</f>
        <v>1</v>
      </c>
      <c r="M1319" s="8" t="str">
        <f ca="1">IFERROR(__xludf.DUMMYFUNCTION("""COMPUTED_VALUE"""),"Local")</f>
        <v>Local</v>
      </c>
      <c r="N1319" s="8">
        <f ca="1">IFERROR(__xludf.DUMMYFUNCTION("""COMPUTED_VALUE"""),3)</f>
        <v>3</v>
      </c>
      <c r="O1319" s="8" t="str">
        <f ca="1">IFERROR(__xludf.DUMMYFUNCTION("""COMPUTED_VALUE"""),"Fall")</f>
        <v>Fall</v>
      </c>
      <c r="P1319" s="8" t="str">
        <f ca="1">IFERROR(__xludf.DUMMYFUNCTION("""COMPUTED_VALUE"""),"Toledo")</f>
        <v>Toledo</v>
      </c>
      <c r="Q1319" s="8" t="str">
        <f ca="1">IFERROR(__xludf.DUMMYFUNCTION("""COMPUTED_VALUE"""),"OH")</f>
        <v>OH</v>
      </c>
      <c r="R1319" s="8" t="str">
        <f ca="1">IFERROR(__xludf.DUMMYFUNCTION("""COMPUTED_VALUE"""),"Elementary")</f>
        <v>Elementary</v>
      </c>
      <c r="S1319" s="8" t="str">
        <f ca="1">IFERROR(__xludf.DUMMYFUNCTION("""COMPUTED_VALUE"""),"Football Field/Track")</f>
        <v>Football Field/Track</v>
      </c>
      <c r="T1319" s="8" t="str">
        <f ca="1">IFERROR(__xludf.DUMMYFUNCTION("""COMPUTED_VALUE"""),"Outside on School Property")</f>
        <v>Outside on School Property</v>
      </c>
      <c r="U1319" s="8" t="str">
        <f ca="1">IFERROR(__xludf.DUMMYFUNCTION("""COMPUTED_VALUE"""),"No")</f>
        <v>No</v>
      </c>
      <c r="V1319" s="8" t="str">
        <f ca="1">IFERROR(__xludf.DUMMYFUNCTION("""COMPUTED_VALUE"""),"Sport Event")</f>
        <v>Sport Event</v>
      </c>
      <c r="W1319" s="11">
        <f ca="1">IFERROR(__xludf.DUMMYFUNCTION("""COMPUTED_VALUE"""),0.795138888888888)</f>
        <v>0.79513888888888795</v>
      </c>
      <c r="X1319" s="8">
        <f ca="1">IFERROR(__xludf.DUMMYFUNCTION("""COMPUTED_VALUE"""),1)</f>
        <v>1</v>
      </c>
      <c r="Y1319" s="12" t="str">
        <f ca="1">IFERROR(__xludf.DUMMYFUNCTION("""COMPUTED_VALUE"""),"Coach fired shots into the air during fight at football game")</f>
        <v>Coach fired shots into the air during fight at football game</v>
      </c>
      <c r="Z1319" s="12" t="str">
        <f ca="1">IFERROR(__xludf.DUMMYFUNCTION("""COMPUTED_VALUE"""),"Adult football coach fired shots into the air during fight between multiple people at a youth football game. When police arrived, 150 people were fleeing the area. Witnesses did not cooperate with police. Coach was not identified and fled the scene prior "&amp;"to police arriving.")</f>
        <v>Adult football coach fired shots into the air during fight between multiple people at a youth football game. When police arrived, 150 people were fleeing the area. Witnesses did not cooperate with police. Coach was not identified and fled the scene prior to police arriving.</v>
      </c>
      <c r="AA1319" s="8" t="str">
        <f ca="1">IFERROR(__xludf.DUMMYFUNCTION("""COMPUTED_VALUE"""),"Escalation of Dispute")</f>
        <v>Escalation of Dispute</v>
      </c>
      <c r="AB1319" s="8"/>
      <c r="AC1319" s="8" t="str">
        <f ca="1">IFERROR(__xludf.DUMMYFUNCTION("""COMPUTED_VALUE"""),"Yes")</f>
        <v>Yes</v>
      </c>
      <c r="AD1319" s="8" t="str">
        <f ca="1">IFERROR(__xludf.DUMMYFUNCTION("""COMPUTED_VALUE"""),"Neither")</f>
        <v>Neither</v>
      </c>
      <c r="AE1319" s="8" t="str">
        <f ca="1">IFERROR(__xludf.DUMMYFUNCTION("""COMPUTED_VALUE"""),"No")</f>
        <v>No</v>
      </c>
      <c r="AF1319" s="8"/>
      <c r="AG1319" s="8" t="str">
        <f ca="1">IFERROR(__xludf.DUMMYFUNCTION("""COMPUTED_VALUE"""),"No")</f>
        <v>No</v>
      </c>
      <c r="AH1319" s="8" t="str">
        <f ca="1">IFERROR(__xludf.DUMMYFUNCTION("""COMPUTED_VALUE"""),"No")</f>
        <v>No</v>
      </c>
      <c r="AI1319" s="8" t="str">
        <f ca="1">IFERROR(__xludf.DUMMYFUNCTION("""COMPUTED_VALUE"""),"No")</f>
        <v>No</v>
      </c>
      <c r="AJ1319" s="8" t="str">
        <f ca="1">IFERROR(__xludf.DUMMYFUNCTION("""COMPUTED_VALUE"""),"No")</f>
        <v>No</v>
      </c>
      <c r="AK1319" s="8" t="str">
        <f ca="1">IFERROR(__xludf.DUMMYFUNCTION("""COMPUTED_VALUE"""),"No")</f>
        <v>No</v>
      </c>
      <c r="AL1319" s="8" t="str">
        <f ca="1">IFERROR(__xludf.DUMMYFUNCTION("""COMPUTED_VALUE"""),"No")</f>
        <v>No</v>
      </c>
      <c r="AM1319" s="8" t="str">
        <f ca="1">IFERROR(__xludf.DUMMYFUNCTION("""COMPUTED_VALUE"""),"No")</f>
        <v>No</v>
      </c>
      <c r="AN1319" s="8"/>
      <c r="AO1319" s="8" t="str">
        <f ca="1">IFERROR(__xludf.DUMMYFUNCTION("""COMPUTED_VALUE"""),"No")</f>
        <v>No</v>
      </c>
      <c r="AP1319" s="8" t="str">
        <f ca="1">IFERROR(__xludf.DUMMYFUNCTION("""COMPUTED_VALUE"""),"No")</f>
        <v>No</v>
      </c>
      <c r="AQ1319" s="8"/>
      <c r="AR1319" s="8" t="str">
        <f ca="1">IFERROR(__xludf.DUMMYFUNCTION("""COMPUTED_VALUE"""),"Outside/Off-Property")</f>
        <v>Outside/Off-Property</v>
      </c>
      <c r="AS1319" s="8"/>
      <c r="AT1319" s="8"/>
      <c r="AU1319" s="8">
        <f ca="1">IFERROR(__xludf.DUMMYFUNCTION("""COMPUTED_VALUE"""),41.647854)</f>
        <v>41.647854000000002</v>
      </c>
      <c r="AV1319" s="8">
        <f ca="1">IFERROR(__xludf.DUMMYFUNCTION("""COMPUTED_VALUE"""),-83.630062)</f>
        <v>-83.630061999999995</v>
      </c>
      <c r="AW1319" s="8"/>
      <c r="AX1319" s="8">
        <f ca="1">IFERROR(__xludf.DUMMYFUNCTION("""COMPUTED_VALUE"""),43607)</f>
        <v>43607</v>
      </c>
    </row>
    <row r="1320" spans="1:50" ht="60" x14ac:dyDescent="0.2">
      <c r="A1320" s="8" t="str">
        <f ca="1">IFERROR(__xludf.DUMMYFUNCTION("""COMPUTED_VALUE"""),"20210826NYHAH")</f>
        <v>20210826NYHAH</v>
      </c>
      <c r="B1320" s="8">
        <f ca="1">IFERROR(__xludf.DUMMYFUNCTION("""COMPUTED_VALUE"""),8)</f>
        <v>8</v>
      </c>
      <c r="C1320" s="8">
        <f ca="1">IFERROR(__xludf.DUMMYFUNCTION("""COMPUTED_VALUE"""),26)</f>
        <v>26</v>
      </c>
      <c r="D1320" s="8">
        <f ca="1">IFERROR(__xludf.DUMMYFUNCTION("""COMPUTED_VALUE"""),2021)</f>
        <v>2021</v>
      </c>
      <c r="E1320" s="9">
        <f ca="1">IFERROR(__xludf.DUMMYFUNCTION("""COMPUTED_VALUE"""),44434)</f>
        <v>44434</v>
      </c>
      <c r="F1320" s="8" t="str">
        <f ca="1">IFERROR(__xludf.DUMMYFUNCTION("""COMPUTED_VALUE"""),"Hauppauge Middle School")</f>
        <v>Hauppauge Middle School</v>
      </c>
      <c r="G1320" s="8">
        <f ca="1">IFERROR(__xludf.DUMMYFUNCTION("""COMPUTED_VALUE"""),0)</f>
        <v>0</v>
      </c>
      <c r="H1320" s="8">
        <f ca="1">IFERROR(__xludf.DUMMYFUNCTION("""COMPUTED_VALUE"""),0)</f>
        <v>0</v>
      </c>
      <c r="I1320" s="8">
        <f ca="1">IFERROR(__xludf.DUMMYFUNCTION("""COMPUTED_VALUE"""),0)</f>
        <v>0</v>
      </c>
      <c r="J1320" s="8">
        <f ca="1">IFERROR(__xludf.DUMMYFUNCTION("""COMPUTED_VALUE"""),0)</f>
        <v>0</v>
      </c>
      <c r="K1320" s="10" t="str">
        <f ca="1">IFERROR(__xludf.DUMMYFUNCTION("""COMPUTED_VALUE"""),"https://bronx.news12.com/police-suspect-arrested-for-firing-shots-during-dispute-on-grounds-of-hauppauge-middle-school")</f>
        <v>https://bronx.news12.com/police-suspect-arrested-for-firing-shots-during-dispute-on-grounds-of-hauppauge-middle-school</v>
      </c>
      <c r="L1320" s="8">
        <f ca="1">IFERROR(__xludf.DUMMYFUNCTION("""COMPUTED_VALUE"""),1)</f>
        <v>1</v>
      </c>
      <c r="M1320" s="8" t="str">
        <f ca="1">IFERROR(__xludf.DUMMYFUNCTION("""COMPUTED_VALUE"""),"Local")</f>
        <v>Local</v>
      </c>
      <c r="N1320" s="8">
        <f ca="1">IFERROR(__xludf.DUMMYFUNCTION("""COMPUTED_VALUE"""),3)</f>
        <v>3</v>
      </c>
      <c r="O1320" s="8" t="str">
        <f ca="1">IFERROR(__xludf.DUMMYFUNCTION("""COMPUTED_VALUE"""),"Fall")</f>
        <v>Fall</v>
      </c>
      <c r="P1320" s="8" t="str">
        <f ca="1">IFERROR(__xludf.DUMMYFUNCTION("""COMPUTED_VALUE"""),"Hauppauge")</f>
        <v>Hauppauge</v>
      </c>
      <c r="Q1320" s="8" t="str">
        <f ca="1">IFERROR(__xludf.DUMMYFUNCTION("""COMPUTED_VALUE"""),"NY")</f>
        <v>NY</v>
      </c>
      <c r="R1320" s="8" t="str">
        <f ca="1">IFERROR(__xludf.DUMMYFUNCTION("""COMPUTED_VALUE"""),"Middle")</f>
        <v>Middle</v>
      </c>
      <c r="S1320" s="8" t="str">
        <f ca="1">IFERROR(__xludf.DUMMYFUNCTION("""COMPUTED_VALUE"""),"Beside Building")</f>
        <v>Beside Building</v>
      </c>
      <c r="T1320" s="8" t="str">
        <f ca="1">IFERROR(__xludf.DUMMYFUNCTION("""COMPUTED_VALUE"""),"Outside on School Property")</f>
        <v>Outside on School Property</v>
      </c>
      <c r="U1320" s="8" t="str">
        <f ca="1">IFERROR(__xludf.DUMMYFUNCTION("""COMPUTED_VALUE"""),"Yes")</f>
        <v>Yes</v>
      </c>
      <c r="V1320" s="8" t="str">
        <f ca="1">IFERROR(__xludf.DUMMYFUNCTION("""COMPUTED_VALUE"""),"Morning Classes")</f>
        <v>Morning Classes</v>
      </c>
      <c r="W1320" s="11">
        <f ca="1">IFERROR(__xludf.DUMMYFUNCTION("""COMPUTED_VALUE"""),0.489583333333333)</f>
        <v>0.48958333333333298</v>
      </c>
      <c r="X1320" s="8">
        <f ca="1">IFERROR(__xludf.DUMMYFUNCTION("""COMPUTED_VALUE"""),1)</f>
        <v>1</v>
      </c>
      <c r="Y1320" s="12" t="str">
        <f ca="1">IFERROR(__xludf.DUMMYFUNCTION("""COMPUTED_VALUE"""),"Man fired shots during dispute, then fired at security officer")</f>
        <v>Man fired shots during dispute, then fired at security officer</v>
      </c>
      <c r="Z1320" s="12" t="str">
        <f ca="1">IFERROR(__xludf.DUMMYFUNCTION("""COMPUTED_VALUE"""),"A man fired shots during a dispute outside the school. The school security officer heard shots and approached the man. He fired shots at the officer and fled. Police located the man and arrested him a short distance from the school.")</f>
        <v>A man fired shots during a dispute outside the school. The school security officer heard shots and approached the man. He fired shots at the officer and fled. Police located the man and arrested him a short distance from the school.</v>
      </c>
      <c r="AA1320" s="8" t="str">
        <f ca="1">IFERROR(__xludf.DUMMYFUNCTION("""COMPUTED_VALUE"""),"Escalation of Dispute")</f>
        <v>Escalation of Dispute</v>
      </c>
      <c r="AB1320" s="8"/>
      <c r="AC1320" s="8" t="str">
        <f ca="1">IFERROR(__xludf.DUMMYFUNCTION("""COMPUTED_VALUE"""),"Yes")</f>
        <v>Yes</v>
      </c>
      <c r="AD1320" s="8" t="str">
        <f ca="1">IFERROR(__xludf.DUMMYFUNCTION("""COMPUTED_VALUE"""),"Both")</f>
        <v>Both</v>
      </c>
      <c r="AE1320" s="8" t="str">
        <f ca="1">IFERROR(__xludf.DUMMYFUNCTION("""COMPUTED_VALUE"""),"No")</f>
        <v>No</v>
      </c>
      <c r="AF1320" s="8"/>
      <c r="AG1320" s="8" t="str">
        <f ca="1">IFERROR(__xludf.DUMMYFUNCTION("""COMPUTED_VALUE"""),"No")</f>
        <v>No</v>
      </c>
      <c r="AH1320" s="8" t="str">
        <f ca="1">IFERROR(__xludf.DUMMYFUNCTION("""COMPUTED_VALUE"""),"No")</f>
        <v>No</v>
      </c>
      <c r="AI1320" s="8" t="str">
        <f ca="1">IFERROR(__xludf.DUMMYFUNCTION("""COMPUTED_VALUE"""),"No")</f>
        <v>No</v>
      </c>
      <c r="AJ1320" s="8" t="str">
        <f ca="1">IFERROR(__xludf.DUMMYFUNCTION("""COMPUTED_VALUE"""),"No")</f>
        <v>No</v>
      </c>
      <c r="AK1320" s="8" t="str">
        <f ca="1">IFERROR(__xludf.DUMMYFUNCTION("""COMPUTED_VALUE"""),"No")</f>
        <v>No</v>
      </c>
      <c r="AL1320" s="8" t="str">
        <f ca="1">IFERROR(__xludf.DUMMYFUNCTION("""COMPUTED_VALUE"""),"No")</f>
        <v>No</v>
      </c>
      <c r="AM1320" s="8" t="str">
        <f ca="1">IFERROR(__xludf.DUMMYFUNCTION("""COMPUTED_VALUE"""),"No")</f>
        <v>No</v>
      </c>
      <c r="AN1320" s="8"/>
      <c r="AO1320" s="8" t="str">
        <f ca="1">IFERROR(__xludf.DUMMYFUNCTION("""COMPUTED_VALUE"""),"No")</f>
        <v>No</v>
      </c>
      <c r="AP1320" s="8"/>
      <c r="AQ1320" s="8" t="str">
        <f ca="1">IFERROR(__xludf.DUMMYFUNCTION("""COMPUTED_VALUE"""),"Guards")</f>
        <v>Guards</v>
      </c>
      <c r="AR1320" s="8" t="str">
        <f ca="1">IFERROR(__xludf.DUMMYFUNCTION("""COMPUTED_VALUE"""),"Outside/Off-Property")</f>
        <v>Outside/Off-Property</v>
      </c>
      <c r="AS1320" s="8"/>
      <c r="AT1320" s="8"/>
      <c r="AU1320" s="8">
        <f ca="1">IFERROR(__xludf.DUMMYFUNCTION("""COMPUTED_VALUE"""),40.825334)</f>
        <v>40.825333999999998</v>
      </c>
      <c r="AV1320" s="8">
        <f ca="1">IFERROR(__xludf.DUMMYFUNCTION("""COMPUTED_VALUE"""),-73.197666)</f>
        <v>-73.197665999999998</v>
      </c>
      <c r="AW1320" s="8"/>
      <c r="AX1320" s="8">
        <f ca="1">IFERROR(__xludf.DUMMYFUNCTION("""COMPUTED_VALUE"""),11788)</f>
        <v>11788</v>
      </c>
    </row>
    <row r="1321" spans="1:50" ht="60" x14ac:dyDescent="0.2">
      <c r="A1321" s="8" t="str">
        <f ca="1">IFERROR(__xludf.DUMMYFUNCTION("""COMPUTED_VALUE"""),"20210822ILWER")</f>
        <v>20210822ILWER</v>
      </c>
      <c r="B1321" s="8">
        <f ca="1">IFERROR(__xludf.DUMMYFUNCTION("""COMPUTED_VALUE"""),8)</f>
        <v>8</v>
      </c>
      <c r="C1321" s="8">
        <f ca="1">IFERROR(__xludf.DUMMYFUNCTION("""COMPUTED_VALUE"""),22)</f>
        <v>22</v>
      </c>
      <c r="D1321" s="8">
        <f ca="1">IFERROR(__xludf.DUMMYFUNCTION("""COMPUTED_VALUE"""),2021)</f>
        <v>2021</v>
      </c>
      <c r="E1321" s="9">
        <f ca="1">IFERROR(__xludf.DUMMYFUNCTION("""COMPUTED_VALUE"""),44430)</f>
        <v>44430</v>
      </c>
      <c r="F1321" s="8" t="str">
        <f ca="1">IFERROR(__xludf.DUMMYFUNCTION("""COMPUTED_VALUE"""),"West Middle School")</f>
        <v>West Middle School</v>
      </c>
      <c r="G1321" s="8">
        <f ca="1">IFERROR(__xludf.DUMMYFUNCTION("""COMPUTED_VALUE"""),0)</f>
        <v>0</v>
      </c>
      <c r="H1321" s="8">
        <f ca="1">IFERROR(__xludf.DUMMYFUNCTION("""COMPUTED_VALUE"""),1)</f>
        <v>1</v>
      </c>
      <c r="I1321" s="8">
        <f ca="1">IFERROR(__xludf.DUMMYFUNCTION("""COMPUTED_VALUE"""),1)</f>
        <v>1</v>
      </c>
      <c r="J1321" s="8">
        <f ca="1">IFERROR(__xludf.DUMMYFUNCTION("""COMPUTED_VALUE"""),0)</f>
        <v>0</v>
      </c>
      <c r="K1321" s="8" t="str">
        <f ca="1">IFERROR(__xludf.DUMMYFUNCTION("""COMPUTED_VALUE"""),"https://wrex.com/2021/08/30/17-year-old-arrested-accused-of-shooting-13-year-old-boy/ https://www.mystateline.com/news/local-news/17-year-old-arrested-for-shooting-13-year-old-rockford-boy/ https://www.mystateline.com/news/local-news/13-year-old-shot-in-p"&amp;"arking-lot-of-rockford-middle-school/")</f>
        <v>https://wrex.com/2021/08/30/17-year-old-arrested-accused-of-shooting-13-year-old-boy/ https://www.mystateline.com/news/local-news/17-year-old-arrested-for-shooting-13-year-old-rockford-boy/ https://www.mystateline.com/news/local-news/13-year-old-shot-in-parking-lot-of-rockford-middle-school/</v>
      </c>
      <c r="L1321" s="8">
        <f ca="1">IFERROR(__xludf.DUMMYFUNCTION("""COMPUTED_VALUE"""),3)</f>
        <v>3</v>
      </c>
      <c r="M1321" s="8" t="str">
        <f ca="1">IFERROR(__xludf.DUMMYFUNCTION("""COMPUTED_VALUE"""),"Local")</f>
        <v>Local</v>
      </c>
      <c r="N1321" s="8">
        <f ca="1">IFERROR(__xludf.DUMMYFUNCTION("""COMPUTED_VALUE"""),4)</f>
        <v>4</v>
      </c>
      <c r="O1321" s="8" t="str">
        <f ca="1">IFERROR(__xludf.DUMMYFUNCTION("""COMPUTED_VALUE"""),"Fall")</f>
        <v>Fall</v>
      </c>
      <c r="P1321" s="8" t="str">
        <f ca="1">IFERROR(__xludf.DUMMYFUNCTION("""COMPUTED_VALUE"""),"Rockford")</f>
        <v>Rockford</v>
      </c>
      <c r="Q1321" s="8" t="str">
        <f ca="1">IFERROR(__xludf.DUMMYFUNCTION("""COMPUTED_VALUE"""),"IL")</f>
        <v>IL</v>
      </c>
      <c r="R1321" s="8" t="str">
        <f ca="1">IFERROR(__xludf.DUMMYFUNCTION("""COMPUTED_VALUE"""),"Middle")</f>
        <v>Middle</v>
      </c>
      <c r="S1321" s="8" t="str">
        <f ca="1">IFERROR(__xludf.DUMMYFUNCTION("""COMPUTED_VALUE"""),"Parking Lot")</f>
        <v>Parking Lot</v>
      </c>
      <c r="T1321" s="8" t="str">
        <f ca="1">IFERROR(__xludf.DUMMYFUNCTION("""COMPUTED_VALUE"""),"Outside on School Property")</f>
        <v>Outside on School Property</v>
      </c>
      <c r="U1321" s="8" t="str">
        <f ca="1">IFERROR(__xludf.DUMMYFUNCTION("""COMPUTED_VALUE"""),"No")</f>
        <v>No</v>
      </c>
      <c r="V1321" s="8" t="str">
        <f ca="1">IFERROR(__xludf.DUMMYFUNCTION("""COMPUTED_VALUE"""),"Not a School Day")</f>
        <v>Not a School Day</v>
      </c>
      <c r="W1321" s="11">
        <f ca="1">IFERROR(__xludf.DUMMYFUNCTION("""COMPUTED_VALUE"""),0.583333333333333)</f>
        <v>0.58333333333333304</v>
      </c>
      <c r="X1321" s="8">
        <f ca="1">IFERROR(__xludf.DUMMYFUNCTION("""COMPUTED_VALUE"""),1)</f>
        <v>1</v>
      </c>
      <c r="Y1321" s="12" t="str">
        <f ca="1">IFERROR(__xludf.DUMMYFUNCTION("""COMPUTED_VALUE"""),"Teen shot during fight in the school parking lot")</f>
        <v>Teen shot during fight in the school parking lot</v>
      </c>
      <c r="Z1321" s="12" t="str">
        <f ca="1">IFERROR(__xludf.DUMMYFUNCTION("""COMPUTED_VALUE"""),"A 13-year-old teen was shot during a fight between multiple teens in the school parking lot. Shooter fled the scene. 17-year-old shooter was arrested the following week and charged with aggravated battery.")</f>
        <v>A 13-year-old teen was shot during a fight between multiple teens in the school parking lot. Shooter fled the scene. 17-year-old shooter was arrested the following week and charged with aggravated battery.</v>
      </c>
      <c r="AA1321" s="8" t="str">
        <f ca="1">IFERROR(__xludf.DUMMYFUNCTION("""COMPUTED_VALUE"""),"Escalation of Dispute")</f>
        <v>Escalation of Dispute</v>
      </c>
      <c r="AB1321" s="8"/>
      <c r="AC1321" s="8" t="str">
        <f ca="1">IFERROR(__xludf.DUMMYFUNCTION("""COMPUTED_VALUE"""),"Yes")</f>
        <v>Yes</v>
      </c>
      <c r="AD1321" s="8" t="str">
        <f ca="1">IFERROR(__xludf.DUMMYFUNCTION("""COMPUTED_VALUE"""),"Victims Targeted")</f>
        <v>Victims Targeted</v>
      </c>
      <c r="AE1321" s="8"/>
      <c r="AF1321" s="8"/>
      <c r="AG1321" s="8" t="str">
        <f ca="1">IFERROR(__xludf.DUMMYFUNCTION("""COMPUTED_VALUE"""),"No")</f>
        <v>No</v>
      </c>
      <c r="AH1321" s="8" t="str">
        <f ca="1">IFERROR(__xludf.DUMMYFUNCTION("""COMPUTED_VALUE"""),"No")</f>
        <v>No</v>
      </c>
      <c r="AI1321" s="8" t="str">
        <f ca="1">IFERROR(__xludf.DUMMYFUNCTION("""COMPUTED_VALUE"""),"No")</f>
        <v>No</v>
      </c>
      <c r="AJ1321" s="8"/>
      <c r="AK1321" s="8" t="str">
        <f ca="1">IFERROR(__xludf.DUMMYFUNCTION("""COMPUTED_VALUE"""),"No")</f>
        <v>No</v>
      </c>
      <c r="AL1321" s="8"/>
      <c r="AM1321" s="8" t="str">
        <f ca="1">IFERROR(__xludf.DUMMYFUNCTION("""COMPUTED_VALUE"""),"No")</f>
        <v>No</v>
      </c>
      <c r="AN1321" s="8"/>
      <c r="AO1321" s="8" t="str">
        <f ca="1">IFERROR(__xludf.DUMMYFUNCTION("""COMPUTED_VALUE"""),"No")</f>
        <v>No</v>
      </c>
      <c r="AP1321" s="8"/>
      <c r="AQ1321" s="8"/>
      <c r="AR1321" s="8" t="str">
        <f ca="1">IFERROR(__xludf.DUMMYFUNCTION("""COMPUTED_VALUE"""),"Outside/Off-Property")</f>
        <v>Outside/Off-Property</v>
      </c>
      <c r="AS1321" s="8"/>
      <c r="AT1321" s="8"/>
      <c r="AU1321" s="8">
        <f ca="1">IFERROR(__xludf.DUMMYFUNCTION("""COMPUTED_VALUE"""),42.293767)</f>
        <v>42.293767000000003</v>
      </c>
      <c r="AV1321" s="8">
        <f ca="1">IFERROR(__xludf.DUMMYFUNCTION("""COMPUTED_VALUE"""),-89.097921)</f>
        <v>-89.097920999999999</v>
      </c>
      <c r="AW1321" s="8"/>
      <c r="AX1321" s="8">
        <f ca="1">IFERROR(__xludf.DUMMYFUNCTION("""COMPUTED_VALUE"""),61103)</f>
        <v>61103</v>
      </c>
    </row>
    <row r="1322" spans="1:50" ht="75" x14ac:dyDescent="0.2">
      <c r="A1322" s="8" t="str">
        <f ca="1">IFERROR(__xludf.DUMMYFUNCTION("""COMPUTED_VALUE"""),"20210820NEMIO")</f>
        <v>20210820NEMIO</v>
      </c>
      <c r="B1322" s="8">
        <f ca="1">IFERROR(__xludf.DUMMYFUNCTION("""COMPUTED_VALUE"""),8)</f>
        <v>8</v>
      </c>
      <c r="C1322" s="8">
        <f ca="1">IFERROR(__xludf.DUMMYFUNCTION("""COMPUTED_VALUE"""),20)</f>
        <v>20</v>
      </c>
      <c r="D1322" s="8">
        <f ca="1">IFERROR(__xludf.DUMMYFUNCTION("""COMPUTED_VALUE"""),2021)</f>
        <v>2021</v>
      </c>
      <c r="E1322" s="9">
        <f ca="1">IFERROR(__xludf.DUMMYFUNCTION("""COMPUTED_VALUE"""),44428)</f>
        <v>44428</v>
      </c>
      <c r="F1322" s="8" t="str">
        <f ca="1">IFERROR(__xludf.DUMMYFUNCTION("""COMPUTED_VALUE"""),"Miller Park Elementary")</f>
        <v>Miller Park Elementary</v>
      </c>
      <c r="G1322" s="8">
        <f ca="1">IFERROR(__xludf.DUMMYFUNCTION("""COMPUTED_VALUE"""),0)</f>
        <v>0</v>
      </c>
      <c r="H1322" s="8">
        <f ca="1">IFERROR(__xludf.DUMMYFUNCTION("""COMPUTED_VALUE"""),2)</f>
        <v>2</v>
      </c>
      <c r="I1322" s="8">
        <f ca="1">IFERROR(__xludf.DUMMYFUNCTION("""COMPUTED_VALUE"""),2)</f>
        <v>2</v>
      </c>
      <c r="J1322" s="8">
        <f ca="1">IFERROR(__xludf.DUMMYFUNCTION("""COMPUTED_VALUE"""),0)</f>
        <v>0</v>
      </c>
      <c r="K1322" s="8" t="str">
        <f ca="1">IFERROR(__xludf.DUMMYFUNCTION("""COMPUTED_VALUE"""),"https://www.wowt.com/2021/08/19/two-shot-overnight-near-omaha-school/ https://www.ketv.com/article/police-2-injured-in-shooting-near-miller-park-elementary/37346754")</f>
        <v>https://www.wowt.com/2021/08/19/two-shot-overnight-near-omaha-school/ https://www.ketv.com/article/police-2-injured-in-shooting-near-miller-park-elementary/37346754</v>
      </c>
      <c r="L1322" s="8">
        <f ca="1">IFERROR(__xludf.DUMMYFUNCTION("""COMPUTED_VALUE"""),2)</f>
        <v>2</v>
      </c>
      <c r="M1322" s="8" t="str">
        <f ca="1">IFERROR(__xludf.DUMMYFUNCTION("""COMPUTED_VALUE"""),"Local")</f>
        <v>Local</v>
      </c>
      <c r="N1322" s="8">
        <f ca="1">IFERROR(__xludf.DUMMYFUNCTION("""COMPUTED_VALUE"""),4)</f>
        <v>4</v>
      </c>
      <c r="O1322" s="8" t="str">
        <f ca="1">IFERROR(__xludf.DUMMYFUNCTION("""COMPUTED_VALUE"""),"Fall")</f>
        <v>Fall</v>
      </c>
      <c r="P1322" s="8" t="str">
        <f ca="1">IFERROR(__xludf.DUMMYFUNCTION("""COMPUTED_VALUE"""),"Omaha")</f>
        <v>Omaha</v>
      </c>
      <c r="Q1322" s="8" t="str">
        <f ca="1">IFERROR(__xludf.DUMMYFUNCTION("""COMPUTED_VALUE"""),"NE")</f>
        <v>NE</v>
      </c>
      <c r="R1322" s="8" t="str">
        <f ca="1">IFERROR(__xludf.DUMMYFUNCTION("""COMPUTED_VALUE"""),"Elementary")</f>
        <v>Elementary</v>
      </c>
      <c r="S1322" s="8" t="str">
        <f ca="1">IFERROR(__xludf.DUMMYFUNCTION("""COMPUTED_VALUE"""),"Playground")</f>
        <v>Playground</v>
      </c>
      <c r="T1322" s="8" t="str">
        <f ca="1">IFERROR(__xludf.DUMMYFUNCTION("""COMPUTED_VALUE"""),"Outside on School Property")</f>
        <v>Outside on School Property</v>
      </c>
      <c r="U1322" s="8" t="str">
        <f ca="1">IFERROR(__xludf.DUMMYFUNCTION("""COMPUTED_VALUE"""),"No")</f>
        <v>No</v>
      </c>
      <c r="V1322" s="8" t="str">
        <f ca="1">IFERROR(__xludf.DUMMYFUNCTION("""COMPUTED_VALUE"""),"Night")</f>
        <v>Night</v>
      </c>
      <c r="W1322" s="11">
        <f ca="1">IFERROR(__xludf.DUMMYFUNCTION("""COMPUTED_VALUE"""),0.104166666666666)</f>
        <v>0.10416666666666601</v>
      </c>
      <c r="X1322" s="8">
        <f ca="1">IFERROR(__xludf.DUMMYFUNCTION("""COMPUTED_VALUE"""),1)</f>
        <v>1</v>
      </c>
      <c r="Y1322" s="12" t="str">
        <f ca="1">IFERROR(__xludf.DUMMYFUNCTION("""COMPUTED_VALUE"""),"Two adults shot in front of elementary school")</f>
        <v>Two adults shot in front of elementary school</v>
      </c>
      <c r="Z1322" s="12" t="str">
        <f ca="1">IFERROR(__xludf.DUMMYFUNCTION("""COMPUTED_VALUE"""),"Two adults were shot in front of the elementary school. Crime scene extended across the front lawn of the school and playground. 27 shots were fired. School was closed at the time of the shooting. Crime scene investigation was active as students and paren"&amp;"ts arrived at the school.")</f>
        <v>Two adults were shot in front of the elementary school. Crime scene extended across the front lawn of the school and playground. 27 shots were fired. School was closed at the time of the shooting. Crime scene investigation was active as students and parents arrived at the school.</v>
      </c>
      <c r="AA1322" s="8"/>
      <c r="AB1322" s="8"/>
      <c r="AC1322" s="8" t="str">
        <f ca="1">IFERROR(__xludf.DUMMYFUNCTION("""COMPUTED_VALUE"""),"No")</f>
        <v>No</v>
      </c>
      <c r="AD1322" s="8" t="str">
        <f ca="1">IFERROR(__xludf.DUMMYFUNCTION("""COMPUTED_VALUE"""),"Victims Targeted")</f>
        <v>Victims Targeted</v>
      </c>
      <c r="AE1322" s="8"/>
      <c r="AF1322" s="8"/>
      <c r="AG1322" s="8" t="str">
        <f ca="1">IFERROR(__xludf.DUMMYFUNCTION("""COMPUTED_VALUE"""),"No")</f>
        <v>No</v>
      </c>
      <c r="AH1322" s="8" t="str">
        <f ca="1">IFERROR(__xludf.DUMMYFUNCTION("""COMPUTED_VALUE"""),"No")</f>
        <v>No</v>
      </c>
      <c r="AI1322" s="8" t="str">
        <f ca="1">IFERROR(__xludf.DUMMYFUNCTION("""COMPUTED_VALUE"""),"No")</f>
        <v>No</v>
      </c>
      <c r="AJ1322" s="8" t="str">
        <f ca="1">IFERROR(__xludf.DUMMYFUNCTION("""COMPUTED_VALUE"""),"No")</f>
        <v>No</v>
      </c>
      <c r="AK1322" s="8"/>
      <c r="AL1322" s="8"/>
      <c r="AM1322" s="8" t="str">
        <f ca="1">IFERROR(__xludf.DUMMYFUNCTION("""COMPUTED_VALUE"""),"No")</f>
        <v>No</v>
      </c>
      <c r="AN1322" s="8"/>
      <c r="AO1322" s="8" t="str">
        <f ca="1">IFERROR(__xludf.DUMMYFUNCTION("""COMPUTED_VALUE"""),"No")</f>
        <v>No</v>
      </c>
      <c r="AP1322" s="8"/>
      <c r="AQ1322" s="8"/>
      <c r="AR1322" s="8" t="str">
        <f ca="1">IFERROR(__xludf.DUMMYFUNCTION("""COMPUTED_VALUE"""),"Outside/Off-Property")</f>
        <v>Outside/Off-Property</v>
      </c>
      <c r="AS1322" s="8">
        <f ca="1">IFERROR(__xludf.DUMMYFUNCTION("""COMPUTED_VALUE"""),27)</f>
        <v>27</v>
      </c>
      <c r="AT1322" s="8"/>
      <c r="AU1322" s="8">
        <f ca="1">IFERROR(__xludf.DUMMYFUNCTION("""COMPUTED_VALUE"""),41.31038)</f>
        <v>41.310380000000002</v>
      </c>
      <c r="AV1322" s="8">
        <f ca="1">IFERROR(__xludf.DUMMYFUNCTION("""COMPUTED_VALUE"""),-95.954032)</f>
        <v>-95.954031999999998</v>
      </c>
      <c r="AW1322" s="8"/>
      <c r="AX1322" s="8">
        <f ca="1">IFERROR(__xludf.DUMMYFUNCTION("""COMPUTED_VALUE"""),68111)</f>
        <v>68111</v>
      </c>
    </row>
    <row r="1323" spans="1:50" ht="105" x14ac:dyDescent="0.2">
      <c r="A1323" s="8" t="str">
        <f ca="1">IFERROR(__xludf.DUMMYFUNCTION("""COMPUTED_VALUE"""),"20210820CACEF")</f>
        <v>20210820CACEF</v>
      </c>
      <c r="B1323" s="8">
        <f ca="1">IFERROR(__xludf.DUMMYFUNCTION("""COMPUTED_VALUE"""),8)</f>
        <v>8</v>
      </c>
      <c r="C1323" s="8">
        <f ca="1">IFERROR(__xludf.DUMMYFUNCTION("""COMPUTED_VALUE"""),20)</f>
        <v>20</v>
      </c>
      <c r="D1323" s="8">
        <f ca="1">IFERROR(__xludf.DUMMYFUNCTION("""COMPUTED_VALUE"""),2021)</f>
        <v>2021</v>
      </c>
      <c r="E1323" s="9">
        <f ca="1">IFERROR(__xludf.DUMMYFUNCTION("""COMPUTED_VALUE"""),44428)</f>
        <v>44428</v>
      </c>
      <c r="F1323" s="8" t="str">
        <f ca="1">IFERROR(__xludf.DUMMYFUNCTION("""COMPUTED_VALUE"""),"Central High-Bullard High")</f>
        <v>Central High-Bullard High</v>
      </c>
      <c r="G1323" s="8">
        <f ca="1">IFERROR(__xludf.DUMMYFUNCTION("""COMPUTED_VALUE"""),0)</f>
        <v>0</v>
      </c>
      <c r="H1323" s="8">
        <f ca="1">IFERROR(__xludf.DUMMYFUNCTION("""COMPUTED_VALUE"""),1)</f>
        <v>1</v>
      </c>
      <c r="I1323" s="8">
        <f ca="1">IFERROR(__xludf.DUMMYFUNCTION("""COMPUTED_VALUE"""),1)</f>
        <v>1</v>
      </c>
      <c r="J1323" s="8">
        <f ca="1">IFERROR(__xludf.DUMMYFUNCTION("""COMPUTED_VALUE"""),0)</f>
        <v>0</v>
      </c>
      <c r="K1323" s="8" t="str">
        <f ca="1">IFERROR(__xludf.DUMMYFUNCTION("""COMPUTED_VALUE"""),"https://abc30.com/koligian-stadium-fresno-police-activity/10965467/ https://www.fresnobee.com/news/local/crime/article253652078.html https://www.kmjnow.com/2021/08/21/suspect-cuffed-for-shooting-outside-high-school-football-game/")</f>
        <v>https://abc30.com/koligian-stadium-fresno-police-activity/10965467/ https://www.fresnobee.com/news/local/crime/article253652078.html https://www.kmjnow.com/2021/08/21/suspect-cuffed-for-shooting-outside-high-school-football-game/</v>
      </c>
      <c r="L1323" s="8">
        <f ca="1">IFERROR(__xludf.DUMMYFUNCTION("""COMPUTED_VALUE"""),3)</f>
        <v>3</v>
      </c>
      <c r="M1323" s="8" t="str">
        <f ca="1">IFERROR(__xludf.DUMMYFUNCTION("""COMPUTED_VALUE"""),"Local")</f>
        <v>Local</v>
      </c>
      <c r="N1323" s="8">
        <f ca="1">IFERROR(__xludf.DUMMYFUNCTION("""COMPUTED_VALUE"""),4)</f>
        <v>4</v>
      </c>
      <c r="O1323" s="8" t="str">
        <f ca="1">IFERROR(__xludf.DUMMYFUNCTION("""COMPUTED_VALUE"""),"Fall")</f>
        <v>Fall</v>
      </c>
      <c r="P1323" s="8" t="str">
        <f ca="1">IFERROR(__xludf.DUMMYFUNCTION("""COMPUTED_VALUE"""),"Fresno")</f>
        <v>Fresno</v>
      </c>
      <c r="Q1323" s="8" t="str">
        <f ca="1">IFERROR(__xludf.DUMMYFUNCTION("""COMPUTED_VALUE"""),"CA")</f>
        <v>CA</v>
      </c>
      <c r="R1323" s="8" t="str">
        <f ca="1">IFERROR(__xludf.DUMMYFUNCTION("""COMPUTED_VALUE"""),"High")</f>
        <v>High</v>
      </c>
      <c r="S1323" s="8" t="str">
        <f ca="1">IFERROR(__xludf.DUMMYFUNCTION("""COMPUTED_VALUE"""),"Parking Lot")</f>
        <v>Parking Lot</v>
      </c>
      <c r="T1323" s="8" t="str">
        <f ca="1">IFERROR(__xludf.DUMMYFUNCTION("""COMPUTED_VALUE"""),"Outside on School Property")</f>
        <v>Outside on School Property</v>
      </c>
      <c r="U1323" s="8" t="str">
        <f ca="1">IFERROR(__xludf.DUMMYFUNCTION("""COMPUTED_VALUE"""),"No")</f>
        <v>No</v>
      </c>
      <c r="V1323" s="8" t="str">
        <f ca="1">IFERROR(__xludf.DUMMYFUNCTION("""COMPUTED_VALUE"""),"Sport Event")</f>
        <v>Sport Event</v>
      </c>
      <c r="W1323" s="11">
        <f ca="1">IFERROR(__xludf.DUMMYFUNCTION("""COMPUTED_VALUE"""),0.920138888888888)</f>
        <v>0.92013888888888795</v>
      </c>
      <c r="X1323" s="8">
        <f ca="1">IFERROR(__xludf.DUMMYFUNCTION("""COMPUTED_VALUE"""),1)</f>
        <v>1</v>
      </c>
      <c r="Y1323" s="12" t="str">
        <f ca="1">IFERROR(__xludf.DUMMYFUNCTION("""COMPUTED_VALUE"""),"Teen shot multiple times in the parking lot following football game")</f>
        <v>Teen shot multiple times in the parking lot following football game</v>
      </c>
      <c r="Z1323" s="12" t="str">
        <f ca="1">IFERROR(__xludf.DUMMYFUNCTION("""COMPUTED_VALUE"""),"A 19-year-old teen was shot by another 19-year-old teen in the parking lot of the high school when fans were leaving after a football game. Students and parents ran from the area. Police officers assigned to the game were already in the parking lot and de"&amp;"tained the shooter who attempted to run. Police reported the shooter and victim were gang members and not students at the school.")</f>
        <v>A 19-year-old teen was shot by another 19-year-old teen in the parking lot of the high school when fans were leaving after a football game. Students and parents ran from the area. Police officers assigned to the game were already in the parking lot and detained the shooter who attempted to run. Police reported the shooter and victim were gang members and not students at the school.</v>
      </c>
      <c r="AA1323" s="8" t="str">
        <f ca="1">IFERROR(__xludf.DUMMYFUNCTION("""COMPUTED_VALUE"""),"Escalation of Dispute")</f>
        <v>Escalation of Dispute</v>
      </c>
      <c r="AB1323" s="8"/>
      <c r="AC1323" s="8" t="str">
        <f ca="1">IFERROR(__xludf.DUMMYFUNCTION("""COMPUTED_VALUE"""),"Yes")</f>
        <v>Yes</v>
      </c>
      <c r="AD1323" s="8" t="str">
        <f ca="1">IFERROR(__xludf.DUMMYFUNCTION("""COMPUTED_VALUE"""),"Victims Targeted")</f>
        <v>Victims Targeted</v>
      </c>
      <c r="AE1323" s="8" t="str">
        <f ca="1">IFERROR(__xludf.DUMMYFUNCTION("""COMPUTED_VALUE"""),"No")</f>
        <v>No</v>
      </c>
      <c r="AF1323" s="8"/>
      <c r="AG1323" s="8" t="str">
        <f ca="1">IFERROR(__xludf.DUMMYFUNCTION("""COMPUTED_VALUE"""),"No")</f>
        <v>No</v>
      </c>
      <c r="AH1323" s="8" t="str">
        <f ca="1">IFERROR(__xludf.DUMMYFUNCTION("""COMPUTED_VALUE"""),"No")</f>
        <v>No</v>
      </c>
      <c r="AI1323" s="8" t="str">
        <f ca="1">IFERROR(__xludf.DUMMYFUNCTION("""COMPUTED_VALUE"""),"No")</f>
        <v>No</v>
      </c>
      <c r="AJ1323" s="8" t="str">
        <f ca="1">IFERROR(__xludf.DUMMYFUNCTION("""COMPUTED_VALUE"""),"No")</f>
        <v>No</v>
      </c>
      <c r="AK1323" s="8" t="str">
        <f ca="1">IFERROR(__xludf.DUMMYFUNCTION("""COMPUTED_VALUE"""),"No")</f>
        <v>No</v>
      </c>
      <c r="AL1323" s="8" t="str">
        <f ca="1">IFERROR(__xludf.DUMMYFUNCTION("""COMPUTED_VALUE"""),"Yes")</f>
        <v>Yes</v>
      </c>
      <c r="AM1323" s="8" t="str">
        <f ca="1">IFERROR(__xludf.DUMMYFUNCTION("""COMPUTED_VALUE"""),"No")</f>
        <v>No</v>
      </c>
      <c r="AN1323" s="8"/>
      <c r="AO1323" s="8" t="str">
        <f ca="1">IFERROR(__xludf.DUMMYFUNCTION("""COMPUTED_VALUE"""),"No")</f>
        <v>No</v>
      </c>
      <c r="AP1323" s="8" t="str">
        <f ca="1">IFERROR(__xludf.DUMMYFUNCTION("""COMPUTED_VALUE"""),"Yes")</f>
        <v>Yes</v>
      </c>
      <c r="AQ1323" s="8" t="str">
        <f ca="1">IFERROR(__xludf.DUMMYFUNCTION("""COMPUTED_VALUE"""),"Armed Guards")</f>
        <v>Armed Guards</v>
      </c>
      <c r="AR1323" s="8" t="str">
        <f ca="1">IFERROR(__xludf.DUMMYFUNCTION("""COMPUTED_VALUE"""),"Outside/Off-Property")</f>
        <v>Outside/Off-Property</v>
      </c>
      <c r="AS1323" s="8"/>
      <c r="AT1323" s="8"/>
      <c r="AU1323" s="8">
        <f ca="1">IFERROR(__xludf.DUMMYFUNCTION("""COMPUTED_VALUE"""),36.817145)</f>
        <v>36.817144999999996</v>
      </c>
      <c r="AV1323" s="8">
        <f ca="1">IFERROR(__xludf.DUMMYFUNCTION("""COMPUTED_VALUE"""),-119.81102)</f>
        <v>-119.81102</v>
      </c>
      <c r="AW1323" s="8"/>
      <c r="AX1323" s="8">
        <f ca="1">IFERROR(__xludf.DUMMYFUNCTION("""COMPUTED_VALUE"""),93704)</f>
        <v>93704</v>
      </c>
    </row>
    <row r="1324" spans="1:50" ht="150" x14ac:dyDescent="0.2">
      <c r="A1324" s="8" t="str">
        <f ca="1">IFERROR(__xludf.DUMMYFUNCTION("""COMPUTED_VALUE"""),"20210818SCORO")</f>
        <v>20210818SCORO</v>
      </c>
      <c r="B1324" s="8">
        <f ca="1">IFERROR(__xludf.DUMMYFUNCTION("""COMPUTED_VALUE"""),8)</f>
        <v>8</v>
      </c>
      <c r="C1324" s="8">
        <f ca="1">IFERROR(__xludf.DUMMYFUNCTION("""COMPUTED_VALUE"""),18)</f>
        <v>18</v>
      </c>
      <c r="D1324" s="8">
        <f ca="1">IFERROR(__xludf.DUMMYFUNCTION("""COMPUTED_VALUE"""),2021)</f>
        <v>2021</v>
      </c>
      <c r="E1324" s="9">
        <f ca="1">IFERROR(__xludf.DUMMYFUNCTION("""COMPUTED_VALUE"""),44426)</f>
        <v>44426</v>
      </c>
      <c r="F1324" s="8" t="str">
        <f ca="1">IFERROR(__xludf.DUMMYFUNCTION("""COMPUTED_VALUE"""),"Orangeburg-Wilkinson High School")</f>
        <v>Orangeburg-Wilkinson High School</v>
      </c>
      <c r="G1324" s="8">
        <f ca="1">IFERROR(__xludf.DUMMYFUNCTION("""COMPUTED_VALUE"""),0)</f>
        <v>0</v>
      </c>
      <c r="H1324" s="8">
        <f ca="1">IFERROR(__xludf.DUMMYFUNCTION("""COMPUTED_VALUE"""),3)</f>
        <v>3</v>
      </c>
      <c r="I1324" s="8">
        <f ca="1">IFERROR(__xludf.DUMMYFUNCTION("""COMPUTED_VALUE"""),3)</f>
        <v>3</v>
      </c>
      <c r="J1324" s="8">
        <f ca="1">IFERROR(__xludf.DUMMYFUNCTION("""COMPUTED_VALUE"""),0)</f>
        <v>0</v>
      </c>
      <c r="K1324" s="8" t="str">
        <f ca="1">IFERROR(__xludf.DUMMYFUNCTION("""COMPUTED_VALUE"""),"https://www.thestate.com/news/local/crime/article253587544.html https://www.wistv.com/2021/08/19/sheriff-school-district-provide-update-orangeburg-wilkinson-high-school-shooting/ https://www.wspa.com/news/state-news/14-year-old-arrested-after-3-shot-in-sc"&amp;"-high-school-parking-lot/
https://www.wistv.com/2022/08/18/court-records-show-alleged-orangeburg-wilkinson-shooter-claims-other-guns-were-campus-well/")</f>
        <v>https://www.thestate.com/news/local/crime/article253587544.html https://www.wistv.com/2021/08/19/sheriff-school-district-provide-update-orangeburg-wilkinson-high-school-shooting/ https://www.wspa.com/news/state-news/14-year-old-arrested-after-3-shot-in-sc-high-school-parking-lot/
https://www.wistv.com/2022/08/18/court-records-show-alleged-orangeburg-wilkinson-shooter-claims-other-guns-were-campus-well/</v>
      </c>
      <c r="L1324" s="8">
        <f ca="1">IFERROR(__xludf.DUMMYFUNCTION("""COMPUTED_VALUE"""),10)</f>
        <v>10</v>
      </c>
      <c r="M1324" s="8" t="str">
        <f ca="1">IFERROR(__xludf.DUMMYFUNCTION("""COMPUTED_VALUE"""),"Regional")</f>
        <v>Regional</v>
      </c>
      <c r="N1324" s="8">
        <f ca="1">IFERROR(__xludf.DUMMYFUNCTION("""COMPUTED_VALUE"""),4)</f>
        <v>4</v>
      </c>
      <c r="O1324" s="8" t="str">
        <f ca="1">IFERROR(__xludf.DUMMYFUNCTION("""COMPUTED_VALUE"""),"Fall")</f>
        <v>Fall</v>
      </c>
      <c r="P1324" s="8" t="str">
        <f ca="1">IFERROR(__xludf.DUMMYFUNCTION("""COMPUTED_VALUE"""),"Orangeburg")</f>
        <v>Orangeburg</v>
      </c>
      <c r="Q1324" s="8" t="str">
        <f ca="1">IFERROR(__xludf.DUMMYFUNCTION("""COMPUTED_VALUE"""),"SC")</f>
        <v>SC</v>
      </c>
      <c r="R1324" s="8" t="str">
        <f ca="1">IFERROR(__xludf.DUMMYFUNCTION("""COMPUTED_VALUE"""),"High")</f>
        <v>High</v>
      </c>
      <c r="S1324" s="8" t="str">
        <f ca="1">IFERROR(__xludf.DUMMYFUNCTION("""COMPUTED_VALUE"""),"Parking Lot")</f>
        <v>Parking Lot</v>
      </c>
      <c r="T1324" s="8" t="str">
        <f ca="1">IFERROR(__xludf.DUMMYFUNCTION("""COMPUTED_VALUE"""),"Outside on School Property")</f>
        <v>Outside on School Property</v>
      </c>
      <c r="U1324" s="8" t="str">
        <f ca="1">IFERROR(__xludf.DUMMYFUNCTION("""COMPUTED_VALUE"""),"Yes")</f>
        <v>Yes</v>
      </c>
      <c r="V1324" s="8" t="str">
        <f ca="1">IFERROR(__xludf.DUMMYFUNCTION("""COMPUTED_VALUE"""),"Dismissal")</f>
        <v>Dismissal</v>
      </c>
      <c r="W1324" s="11">
        <f ca="1">IFERROR(__xludf.DUMMYFUNCTION("""COMPUTED_VALUE"""),0.666666666666666)</f>
        <v>0.66666666666666596</v>
      </c>
      <c r="X1324" s="8">
        <f ca="1">IFERROR(__xludf.DUMMYFUNCTION("""COMPUTED_VALUE"""),1)</f>
        <v>1</v>
      </c>
      <c r="Y1324" s="12" t="str">
        <f ca="1">IFERROR(__xludf.DUMMYFUNCTION("""COMPUTED_VALUE"""),"Teen shot 3 students in school parking lot during dismissal")</f>
        <v>Teen shot 3 students in school parking lot during dismissal</v>
      </c>
      <c r="Z1324" s="12" t="str">
        <f ca="1">IFERROR(__xludf.DUMMYFUNCTION("""COMPUTED_VALUE"""),"A 14-year-old male shot 3 students in the parking lot outside of the school during dismissal. Shooter fled the scene and was arrested the following day. Principal credited ""stop the bleed"" training with saving the lives of the victims. Police increased "&amp;"presence at the school. Shooter obtained the gun in Atlanta while visiting the family, that the shooting was pre-meditated, that Glover bragged about the shooting before it happened, and he strategically waited for the victims. Shooter claims multiple stu"&amp;"dents had weapons on campus the day of the shooting.")</f>
        <v>A 14-year-old male shot 3 students in the parking lot outside of the school during dismissal. Shooter fled the scene and was arrested the following day. Principal credited "stop the bleed" training with saving the lives of the victims. Police increased presence at the school. Shooter obtained the gun in Atlanta while visiting the family, that the shooting was pre-meditated, that Glover bragged about the shooting before it happened, and he strategically waited for the victims. Shooter claims multiple students had weapons on campus the day of the shooting.</v>
      </c>
      <c r="AA1324" s="8" t="str">
        <f ca="1">IFERROR(__xludf.DUMMYFUNCTION("""COMPUTED_VALUE"""),"Escalation of Dispute")</f>
        <v>Escalation of Dispute</v>
      </c>
      <c r="AB1324" s="8"/>
      <c r="AC1324" s="8" t="str">
        <f ca="1">IFERROR(__xludf.DUMMYFUNCTION("""COMPUTED_VALUE"""),"Yes")</f>
        <v>Yes</v>
      </c>
      <c r="AD1324" s="8" t="str">
        <f ca="1">IFERROR(__xludf.DUMMYFUNCTION("""COMPUTED_VALUE"""),"Both")</f>
        <v>Both</v>
      </c>
      <c r="AE1324" s="8" t="str">
        <f ca="1">IFERROR(__xludf.DUMMYFUNCTION("""COMPUTED_VALUE"""),"No")</f>
        <v>No</v>
      </c>
      <c r="AF1324" s="8"/>
      <c r="AG1324" s="8" t="str">
        <f ca="1">IFERROR(__xludf.DUMMYFUNCTION("""COMPUTED_VALUE"""),"No")</f>
        <v>No</v>
      </c>
      <c r="AH1324" s="8" t="str">
        <f ca="1">IFERROR(__xludf.DUMMYFUNCTION("""COMPUTED_VALUE"""),"No")</f>
        <v>No</v>
      </c>
      <c r="AI1324" s="8" t="str">
        <f ca="1">IFERROR(__xludf.DUMMYFUNCTION("""COMPUTED_VALUE"""),"No")</f>
        <v>No</v>
      </c>
      <c r="AJ1324" s="8" t="str">
        <f ca="1">IFERROR(__xludf.DUMMYFUNCTION("""COMPUTED_VALUE"""),"Yes")</f>
        <v>Yes</v>
      </c>
      <c r="AK1324" s="8" t="str">
        <f ca="1">IFERROR(__xludf.DUMMYFUNCTION("""COMPUTED_VALUE"""),"No")</f>
        <v>No</v>
      </c>
      <c r="AL1324" s="8"/>
      <c r="AM1324" s="8" t="str">
        <f ca="1">IFERROR(__xludf.DUMMYFUNCTION("""COMPUTED_VALUE"""),"No")</f>
        <v>No</v>
      </c>
      <c r="AN1324" s="8"/>
      <c r="AO1324" s="8" t="str">
        <f ca="1">IFERROR(__xludf.DUMMYFUNCTION("""COMPUTED_VALUE"""),"No")</f>
        <v>No</v>
      </c>
      <c r="AP1324" s="8"/>
      <c r="AQ1324" s="8"/>
      <c r="AR1324" s="8" t="str">
        <f ca="1">IFERROR(__xludf.DUMMYFUNCTION("""COMPUTED_VALUE"""),"Outside/Off-Property")</f>
        <v>Outside/Off-Property</v>
      </c>
      <c r="AS1324" s="8">
        <f ca="1">IFERROR(__xludf.DUMMYFUNCTION("""COMPUTED_VALUE"""),99)</f>
        <v>99</v>
      </c>
      <c r="AT1324" s="8" t="str">
        <f ca="1">IFERROR(__xludf.DUMMYFUNCTION("""COMPUTED_VALUE"""),"Yes")</f>
        <v>Yes</v>
      </c>
      <c r="AU1324" s="8">
        <f ca="1">IFERROR(__xludf.DUMMYFUNCTION("""COMPUTED_VALUE"""),33.523462)</f>
        <v>33.523462000000002</v>
      </c>
      <c r="AV1324" s="8">
        <f ca="1">IFERROR(__xludf.DUMMYFUNCTION("""COMPUTED_VALUE"""),-80.837527)</f>
        <v>-80.837526999999994</v>
      </c>
      <c r="AW1324" s="8"/>
      <c r="AX1324" s="8">
        <f ca="1">IFERROR(__xludf.DUMMYFUNCTION("""COMPUTED_VALUE"""),29115)</f>
        <v>29115</v>
      </c>
    </row>
    <row r="1325" spans="1:50" ht="90" x14ac:dyDescent="0.2">
      <c r="A1325" s="8" t="str">
        <f ca="1">IFERROR(__xludf.DUMMYFUNCTION("""COMPUTED_VALUE"""),"20210817COYED")</f>
        <v>20210817COYED</v>
      </c>
      <c r="B1325" s="8">
        <f ca="1">IFERROR(__xludf.DUMMYFUNCTION("""COMPUTED_VALUE"""),8)</f>
        <v>8</v>
      </c>
      <c r="C1325" s="8">
        <f ca="1">IFERROR(__xludf.DUMMYFUNCTION("""COMPUTED_VALUE"""),17)</f>
        <v>17</v>
      </c>
      <c r="D1325" s="8">
        <f ca="1">IFERROR(__xludf.DUMMYFUNCTION("""COMPUTED_VALUE"""),2021)</f>
        <v>2021</v>
      </c>
      <c r="E1325" s="9">
        <f ca="1">IFERROR(__xludf.DUMMYFUNCTION("""COMPUTED_VALUE"""),44425)</f>
        <v>44425</v>
      </c>
      <c r="F1325" s="8" t="str">
        <f ca="1">IFERROR(__xludf.DUMMYFUNCTION("""COMPUTED_VALUE"""),"Yeshiva Toras Chaim High School")</f>
        <v>Yeshiva Toras Chaim High School</v>
      </c>
      <c r="G1325" s="8">
        <f ca="1">IFERROR(__xludf.DUMMYFUNCTION("""COMPUTED_VALUE"""),1)</f>
        <v>1</v>
      </c>
      <c r="H1325" s="8">
        <f ca="1">IFERROR(__xludf.DUMMYFUNCTION("""COMPUTED_VALUE"""),0)</f>
        <v>0</v>
      </c>
      <c r="I1325" s="8">
        <f ca="1">IFERROR(__xludf.DUMMYFUNCTION("""COMPUTED_VALUE"""),1)</f>
        <v>1</v>
      </c>
      <c r="J1325" s="8">
        <f ca="1">IFERROR(__xludf.DUMMYFUNCTION("""COMPUTED_VALUE"""),0)</f>
        <v>0</v>
      </c>
      <c r="K1325" s="8" t="str">
        <f ca="1">IFERROR(__xludf.DUMMYFUNCTION("""COMPUTED_VALUE"""),"https://www.cleveland19.com/2021/08/19/18-year-old-student-cleveland-killed-outside-yeshiva-denver/ https://kdvr.com/news/local/man-shot-and-killed-near-yeshiva-toras-chaim-in-denver-police-searching-for-3-vehicles-connected-to-crime-spree/
https://www.de"&amp;"nverpost.com/2023/04/21/guilty-pleas-fatal-shooting-shmuel-silverberg-isaiah-freeman-samuel-fussell/")</f>
        <v>https://www.cleveland19.com/2021/08/19/18-year-old-student-cleveland-killed-outside-yeshiva-denver/ https://kdvr.com/news/local/man-shot-and-killed-near-yeshiva-toras-chaim-in-denver-police-searching-for-3-vehicles-connected-to-crime-spree/
https://www.denverpost.com/2023/04/21/guilty-pleas-fatal-shooting-shmuel-silverberg-isaiah-freeman-samuel-fussell/</v>
      </c>
      <c r="L1325" s="8">
        <f ca="1">IFERROR(__xludf.DUMMYFUNCTION("""COMPUTED_VALUE"""),5)</f>
        <v>5</v>
      </c>
      <c r="M1325" s="8" t="str">
        <f ca="1">IFERROR(__xludf.DUMMYFUNCTION("""COMPUTED_VALUE"""),"Regional")</f>
        <v>Regional</v>
      </c>
      <c r="N1325" s="8">
        <f ca="1">IFERROR(__xludf.DUMMYFUNCTION("""COMPUTED_VALUE"""),4)</f>
        <v>4</v>
      </c>
      <c r="O1325" s="8" t="str">
        <f ca="1">IFERROR(__xludf.DUMMYFUNCTION("""COMPUTED_VALUE"""),"Fall")</f>
        <v>Fall</v>
      </c>
      <c r="P1325" s="8" t="str">
        <f ca="1">IFERROR(__xludf.DUMMYFUNCTION("""COMPUTED_VALUE"""),"Denver")</f>
        <v>Denver</v>
      </c>
      <c r="Q1325" s="8" t="str">
        <f ca="1">IFERROR(__xludf.DUMMYFUNCTION("""COMPUTED_VALUE"""),"CO")</f>
        <v>CO</v>
      </c>
      <c r="R1325" s="8" t="str">
        <f ca="1">IFERROR(__xludf.DUMMYFUNCTION("""COMPUTED_VALUE"""),"High")</f>
        <v>High</v>
      </c>
      <c r="S1325" s="8" t="str">
        <f ca="1">IFERROR(__xludf.DUMMYFUNCTION("""COMPUTED_VALUE"""),"Front of School")</f>
        <v>Front of School</v>
      </c>
      <c r="T1325" s="8" t="str">
        <f ca="1">IFERROR(__xludf.DUMMYFUNCTION("""COMPUTED_VALUE"""),"Outside on School Property")</f>
        <v>Outside on School Property</v>
      </c>
      <c r="U1325" s="8" t="str">
        <f ca="1">IFERROR(__xludf.DUMMYFUNCTION("""COMPUTED_VALUE"""),"Yes")</f>
        <v>Yes</v>
      </c>
      <c r="V1325" s="8" t="str">
        <f ca="1">IFERROR(__xludf.DUMMYFUNCTION("""COMPUTED_VALUE"""),"Night")</f>
        <v>Night</v>
      </c>
      <c r="W1325" s="11">
        <f ca="1">IFERROR(__xludf.DUMMYFUNCTION("""COMPUTED_VALUE"""),0.982638888888888)</f>
        <v>0.98263888888888795</v>
      </c>
      <c r="X1325" s="8">
        <f ca="1">IFERROR(__xludf.DUMMYFUNCTION("""COMPUTED_VALUE"""),1)</f>
        <v>1</v>
      </c>
      <c r="Y1325" s="12" t="str">
        <f ca="1">IFERROR(__xludf.DUMMYFUNCTION("""COMPUTED_VALUE"""),"Student fatally shot during robbery in front of school")</f>
        <v>Student fatally shot during robbery in front of school</v>
      </c>
      <c r="Z1325" s="12" t="str">
        <f ca="1">IFERROR(__xludf.DUMMYFUNCTION("""COMPUTED_VALUE"""),"An 18-year-old student was making a phone call outside of the Orthodox Jewish High School when he was fatally shot during a robbery. The shooter was involved in 2 other armed robberies just prior to the shooting. Shooter fled the scene and was arrested th"&amp;"e next day. Four suspects were arrested for their role in the shooting and other crimes prior to it.")</f>
        <v>An 18-year-old student was making a phone call outside of the Orthodox Jewish High School when he was fatally shot during a robbery. The shooter was involved in 2 other armed robberies just prior to the shooting. Shooter fled the scene and was arrested the next day. Four suspects were arrested for their role in the shooting and other crimes prior to it.</v>
      </c>
      <c r="AA1325" s="8" t="str">
        <f ca="1">IFERROR(__xludf.DUMMYFUNCTION("""COMPUTED_VALUE"""),"Illegal Activity")</f>
        <v>Illegal Activity</v>
      </c>
      <c r="AB1325" s="8"/>
      <c r="AC1325" s="8" t="str">
        <f ca="1">IFERROR(__xludf.DUMMYFUNCTION("""COMPUTED_VALUE"""),"Yes")</f>
        <v>Yes</v>
      </c>
      <c r="AD1325" s="8" t="str">
        <f ca="1">IFERROR(__xludf.DUMMYFUNCTION("""COMPUTED_VALUE"""),"Victims Targeted")</f>
        <v>Victims Targeted</v>
      </c>
      <c r="AE1325" s="8" t="str">
        <f ca="1">IFERROR(__xludf.DUMMYFUNCTION("""COMPUTED_VALUE"""),"Yes")</f>
        <v>Yes</v>
      </c>
      <c r="AF1325" s="8" t="str">
        <f ca="1">IFERROR(__xludf.DUMMYFUNCTION("""COMPUTED_VALUE"""),"4 suspects arrested")</f>
        <v>4 suspects arrested</v>
      </c>
      <c r="AG1325" s="8" t="str">
        <f ca="1">IFERROR(__xludf.DUMMYFUNCTION("""COMPUTED_VALUE"""),"No")</f>
        <v>No</v>
      </c>
      <c r="AH1325" s="8" t="str">
        <f ca="1">IFERROR(__xludf.DUMMYFUNCTION("""COMPUTED_VALUE"""),"No")</f>
        <v>No</v>
      </c>
      <c r="AI1325" s="8" t="str">
        <f ca="1">IFERROR(__xludf.DUMMYFUNCTION("""COMPUTED_VALUE"""),"No")</f>
        <v>No</v>
      </c>
      <c r="AJ1325" s="8" t="str">
        <f ca="1">IFERROR(__xludf.DUMMYFUNCTION("""COMPUTED_VALUE"""),"No")</f>
        <v>No</v>
      </c>
      <c r="AK1325" s="8" t="str">
        <f ca="1">IFERROR(__xludf.DUMMYFUNCTION("""COMPUTED_VALUE"""),"No")</f>
        <v>No</v>
      </c>
      <c r="AL1325" s="8" t="str">
        <f ca="1">IFERROR(__xludf.DUMMYFUNCTION("""COMPUTED_VALUE"""),"No")</f>
        <v>No</v>
      </c>
      <c r="AM1325" s="8" t="str">
        <f ca="1">IFERROR(__xludf.DUMMYFUNCTION("""COMPUTED_VALUE"""),"No")</f>
        <v>No</v>
      </c>
      <c r="AN1325" s="8"/>
      <c r="AO1325" s="8" t="str">
        <f ca="1">IFERROR(__xludf.DUMMYFUNCTION("""COMPUTED_VALUE"""),"No")</f>
        <v>No</v>
      </c>
      <c r="AP1325" s="8"/>
      <c r="AQ1325" s="8"/>
      <c r="AR1325" s="8" t="str">
        <f ca="1">IFERROR(__xludf.DUMMYFUNCTION("""COMPUTED_VALUE"""),"Outside/Off-Property")</f>
        <v>Outside/Off-Property</v>
      </c>
      <c r="AS1325" s="8"/>
      <c r="AT1325" s="8"/>
      <c r="AU1325" s="8">
        <f ca="1">IFERROR(__xludf.DUMMYFUNCTION("""COMPUTED_VALUE"""),39.741617)</f>
        <v>39.741616999999998</v>
      </c>
      <c r="AV1325" s="8">
        <f ca="1">IFERROR(__xludf.DUMMYFUNCTION("""COMPUTED_VALUE"""),-105.044022)</f>
        <v>-105.044022</v>
      </c>
      <c r="AW1325" s="8"/>
      <c r="AX1325" s="8">
        <f ca="1">IFERROR(__xludf.DUMMYFUNCTION("""COMPUTED_VALUE"""),80204)</f>
        <v>80204</v>
      </c>
    </row>
    <row r="1326" spans="1:50" ht="75" x14ac:dyDescent="0.2">
      <c r="A1326" s="8" t="str">
        <f ca="1">IFERROR(__xludf.DUMMYFUNCTION("""COMPUTED_VALUE"""),"20210815VAROD")</f>
        <v>20210815VAROD</v>
      </c>
      <c r="B1326" s="8">
        <f ca="1">IFERROR(__xludf.DUMMYFUNCTION("""COMPUTED_VALUE"""),8)</f>
        <v>8</v>
      </c>
      <c r="C1326" s="8">
        <f ca="1">IFERROR(__xludf.DUMMYFUNCTION("""COMPUTED_VALUE"""),15)</f>
        <v>15</v>
      </c>
      <c r="D1326" s="8">
        <f ca="1">IFERROR(__xludf.DUMMYFUNCTION("""COMPUTED_VALUE"""),2021)</f>
        <v>2021</v>
      </c>
      <c r="E1326" s="9">
        <f ca="1">IFERROR(__xludf.DUMMYFUNCTION("""COMPUTED_VALUE"""),44423)</f>
        <v>44423</v>
      </c>
      <c r="F1326" s="8" t="str">
        <f ca="1">IFERROR(__xludf.DUMMYFUNCTION("""COMPUTED_VALUE"""),"Rosa Park Elementary School")</f>
        <v>Rosa Park Elementary School</v>
      </c>
      <c r="G1326" s="8">
        <f ca="1">IFERROR(__xludf.DUMMYFUNCTION("""COMPUTED_VALUE"""),0)</f>
        <v>0</v>
      </c>
      <c r="H1326" s="8">
        <f ca="1">IFERROR(__xludf.DUMMYFUNCTION("""COMPUTED_VALUE"""),0)</f>
        <v>0</v>
      </c>
      <c r="I1326" s="8">
        <f ca="1">IFERROR(__xludf.DUMMYFUNCTION("""COMPUTED_VALUE"""),0)</f>
        <v>0</v>
      </c>
      <c r="J1326" s="8">
        <f ca="1">IFERROR(__xludf.DUMMYFUNCTION("""COMPUTED_VALUE"""),0)</f>
        <v>0</v>
      </c>
      <c r="K1326" s="10" t="str">
        <f ca="1">IFERROR(__xludf.DUMMYFUNCTION("""COMPUTED_VALUE"""),"https://www.insidenova.com/news/crime_police/police-investigate-shots-fired-in-dale-city-school-parking-lot/article_ffda50d0-0061-11ec-945a-9343d5248cec.html")</f>
        <v>https://www.insidenova.com/news/crime_police/police-investigate-shots-fired-in-dale-city-school-parking-lot/article_ffda50d0-0061-11ec-945a-9343d5248cec.html</v>
      </c>
      <c r="L1326" s="8">
        <f ca="1">IFERROR(__xludf.DUMMYFUNCTION("""COMPUTED_VALUE"""),1)</f>
        <v>1</v>
      </c>
      <c r="M1326" s="8" t="str">
        <f ca="1">IFERROR(__xludf.DUMMYFUNCTION("""COMPUTED_VALUE"""),"Local")</f>
        <v>Local</v>
      </c>
      <c r="N1326" s="8">
        <f ca="1">IFERROR(__xludf.DUMMYFUNCTION("""COMPUTED_VALUE"""),3)</f>
        <v>3</v>
      </c>
      <c r="O1326" s="8" t="str">
        <f ca="1">IFERROR(__xludf.DUMMYFUNCTION("""COMPUTED_VALUE"""),"Summer")</f>
        <v>Summer</v>
      </c>
      <c r="P1326" s="8" t="str">
        <f ca="1">IFERROR(__xludf.DUMMYFUNCTION("""COMPUTED_VALUE"""),"Dale City")</f>
        <v>Dale City</v>
      </c>
      <c r="Q1326" s="8" t="str">
        <f ca="1">IFERROR(__xludf.DUMMYFUNCTION("""COMPUTED_VALUE"""),"VA")</f>
        <v>VA</v>
      </c>
      <c r="R1326" s="8" t="str">
        <f ca="1">IFERROR(__xludf.DUMMYFUNCTION("""COMPUTED_VALUE"""),"Elementary")</f>
        <v>Elementary</v>
      </c>
      <c r="S1326" s="8" t="str">
        <f ca="1">IFERROR(__xludf.DUMMYFUNCTION("""COMPUTED_VALUE"""),"Parking Lot")</f>
        <v>Parking Lot</v>
      </c>
      <c r="T1326" s="8" t="str">
        <f ca="1">IFERROR(__xludf.DUMMYFUNCTION("""COMPUTED_VALUE"""),"Outside on School Property")</f>
        <v>Outside on School Property</v>
      </c>
      <c r="U1326" s="8" t="str">
        <f ca="1">IFERROR(__xludf.DUMMYFUNCTION("""COMPUTED_VALUE"""),"No")</f>
        <v>No</v>
      </c>
      <c r="V1326" s="8" t="str">
        <f ca="1">IFERROR(__xludf.DUMMYFUNCTION("""COMPUTED_VALUE"""),"Not a School Day")</f>
        <v>Not a School Day</v>
      </c>
      <c r="W1326" s="11">
        <f ca="1">IFERROR(__xludf.DUMMYFUNCTION("""COMPUTED_VALUE"""),0.767361111111111)</f>
        <v>0.76736111111111105</v>
      </c>
      <c r="X1326" s="8">
        <f ca="1">IFERROR(__xludf.DUMMYFUNCTION("""COMPUTED_VALUE"""),1)</f>
        <v>1</v>
      </c>
      <c r="Y1326" s="12" t="str">
        <f ca="1">IFERROR(__xludf.DUMMYFUNCTION("""COMPUTED_VALUE"""),"Shots fired in school parking lot during fight between a group of people")</f>
        <v>Shots fired in school parking lot during fight between a group of people</v>
      </c>
      <c r="Z1326" s="12" t="str">
        <f ca="1">IFERROR(__xludf.DUMMYFUNCTION("""COMPUTED_VALUE"""),"Shots were fired in the school parking lot during a fight between a group of people. All persons involved fled the scene before police arrived. Police recovered shell casing from the parking lot. No injuries reported. School was closed at the time of the "&amp;"shooting.")</f>
        <v>Shots were fired in the school parking lot during a fight between a group of people. All persons involved fled the scene before police arrived. Police recovered shell casing from the parking lot. No injuries reported. School was closed at the time of the shooting.</v>
      </c>
      <c r="AA1326" s="8" t="str">
        <f ca="1">IFERROR(__xludf.DUMMYFUNCTION("""COMPUTED_VALUE"""),"Escalation of Dispute")</f>
        <v>Escalation of Dispute</v>
      </c>
      <c r="AB1326" s="8"/>
      <c r="AC1326" s="8" t="str">
        <f ca="1">IFERROR(__xludf.DUMMYFUNCTION("""COMPUTED_VALUE"""),"No")</f>
        <v>No</v>
      </c>
      <c r="AD1326" s="8" t="str">
        <f ca="1">IFERROR(__xludf.DUMMYFUNCTION("""COMPUTED_VALUE"""),"Neither")</f>
        <v>Neither</v>
      </c>
      <c r="AE1326" s="8" t="str">
        <f ca="1">IFERROR(__xludf.DUMMYFUNCTION("""COMPUTED_VALUE"""),"No")</f>
        <v>No</v>
      </c>
      <c r="AF1326" s="8"/>
      <c r="AG1326" s="8" t="str">
        <f ca="1">IFERROR(__xludf.DUMMYFUNCTION("""COMPUTED_VALUE"""),"No")</f>
        <v>No</v>
      </c>
      <c r="AH1326" s="8" t="str">
        <f ca="1">IFERROR(__xludf.DUMMYFUNCTION("""COMPUTED_VALUE"""),"No")</f>
        <v>No</v>
      </c>
      <c r="AI1326" s="8" t="str">
        <f ca="1">IFERROR(__xludf.DUMMYFUNCTION("""COMPUTED_VALUE"""),"No")</f>
        <v>No</v>
      </c>
      <c r="AJ1326" s="8" t="str">
        <f ca="1">IFERROR(__xludf.DUMMYFUNCTION("""COMPUTED_VALUE"""),"No")</f>
        <v>No</v>
      </c>
      <c r="AK1326" s="8" t="str">
        <f ca="1">IFERROR(__xludf.DUMMYFUNCTION("""COMPUTED_VALUE"""),"No")</f>
        <v>No</v>
      </c>
      <c r="AL1326" s="8"/>
      <c r="AM1326" s="8" t="str">
        <f ca="1">IFERROR(__xludf.DUMMYFUNCTION("""COMPUTED_VALUE"""),"No")</f>
        <v>No</v>
      </c>
      <c r="AN1326" s="8"/>
      <c r="AO1326" s="8" t="str">
        <f ca="1">IFERROR(__xludf.DUMMYFUNCTION("""COMPUTED_VALUE"""),"No")</f>
        <v>No</v>
      </c>
      <c r="AP1326" s="8"/>
      <c r="AQ1326" s="8"/>
      <c r="AR1326" s="8" t="str">
        <f ca="1">IFERROR(__xludf.DUMMYFUNCTION("""COMPUTED_VALUE"""),"Outside/Off-Property")</f>
        <v>Outside/Off-Property</v>
      </c>
      <c r="AS1326" s="8"/>
      <c r="AT1326" s="8"/>
      <c r="AU1326" s="8">
        <f ca="1">IFERROR(__xludf.DUMMYFUNCTION("""COMPUTED_VALUE"""),38.659176)</f>
        <v>38.659176000000002</v>
      </c>
      <c r="AV1326" s="8">
        <f ca="1">IFERROR(__xludf.DUMMYFUNCTION("""COMPUTED_VALUE"""),-77.38575)</f>
        <v>-77.385750000000002</v>
      </c>
      <c r="AW1326" s="8"/>
      <c r="AX1326" s="8">
        <f ca="1">IFERROR(__xludf.DUMMYFUNCTION("""COMPUTED_VALUE"""),22193)</f>
        <v>22193</v>
      </c>
    </row>
    <row r="1327" spans="1:50" ht="45" x14ac:dyDescent="0.2">
      <c r="A1327" s="8" t="str">
        <f ca="1">IFERROR(__xludf.DUMMYFUNCTION("""COMPUTED_VALUE"""),"20210814SCDAH")</f>
        <v>20210814SCDAH</v>
      </c>
      <c r="B1327" s="8">
        <f ca="1">IFERROR(__xludf.DUMMYFUNCTION("""COMPUTED_VALUE"""),8)</f>
        <v>8</v>
      </c>
      <c r="C1327" s="8">
        <f ca="1">IFERROR(__xludf.DUMMYFUNCTION("""COMPUTED_VALUE"""),14)</f>
        <v>14</v>
      </c>
      <c r="D1327" s="8">
        <f ca="1">IFERROR(__xludf.DUMMYFUNCTION("""COMPUTED_VALUE"""),2021)</f>
        <v>2021</v>
      </c>
      <c r="E1327" s="9">
        <f ca="1">IFERROR(__xludf.DUMMYFUNCTION("""COMPUTED_VALUE"""),44422)</f>
        <v>44422</v>
      </c>
      <c r="F1327" s="8" t="str">
        <f ca="1">IFERROR(__xludf.DUMMYFUNCTION("""COMPUTED_VALUE"""),"Darlington County School District Buses")</f>
        <v>Darlington County School District Buses</v>
      </c>
      <c r="G1327" s="8">
        <f ca="1">IFERROR(__xludf.DUMMYFUNCTION("""COMPUTED_VALUE"""),0)</f>
        <v>0</v>
      </c>
      <c r="H1327" s="8">
        <f ca="1">IFERROR(__xludf.DUMMYFUNCTION("""COMPUTED_VALUE"""),0)</f>
        <v>0</v>
      </c>
      <c r="I1327" s="8">
        <f ca="1">IFERROR(__xludf.DUMMYFUNCTION("""COMPUTED_VALUE"""),0)</f>
        <v>0</v>
      </c>
      <c r="J1327" s="8">
        <f ca="1">IFERROR(__xludf.DUMMYFUNCTION("""COMPUTED_VALUE"""),0)</f>
        <v>0</v>
      </c>
      <c r="K1327" s="10" t="str">
        <f ca="1">IFERROR(__xludf.DUMMYFUNCTION("""COMPUTED_VALUE"""),"https://wpde.com/news/local/school-bus-windows-shot-out-with-bb-pellet-gun-in-hartsville")</f>
        <v>https://wpde.com/news/local/school-bus-windows-shot-out-with-bb-pellet-gun-in-hartsville</v>
      </c>
      <c r="L1327" s="8">
        <f ca="1">IFERROR(__xludf.DUMMYFUNCTION("""COMPUTED_VALUE"""),1)</f>
        <v>1</v>
      </c>
      <c r="M1327" s="8"/>
      <c r="N1327" s="8">
        <f ca="1">IFERROR(__xludf.DUMMYFUNCTION("""COMPUTED_VALUE"""),3)</f>
        <v>3</v>
      </c>
      <c r="O1327" s="8" t="str">
        <f ca="1">IFERROR(__xludf.DUMMYFUNCTION("""COMPUTED_VALUE"""),"Summer")</f>
        <v>Summer</v>
      </c>
      <c r="P1327" s="8" t="str">
        <f ca="1">IFERROR(__xludf.DUMMYFUNCTION("""COMPUTED_VALUE"""),"Hartsville")</f>
        <v>Hartsville</v>
      </c>
      <c r="Q1327" s="8" t="str">
        <f ca="1">IFERROR(__xludf.DUMMYFUNCTION("""COMPUTED_VALUE"""),"SC")</f>
        <v>SC</v>
      </c>
      <c r="R1327" s="8"/>
      <c r="S1327" s="8" t="str">
        <f ca="1">IFERROR(__xludf.DUMMYFUNCTION("""COMPUTED_VALUE"""),"School Bus")</f>
        <v>School Bus</v>
      </c>
      <c r="T1327" s="8" t="str">
        <f ca="1">IFERROR(__xludf.DUMMYFUNCTION("""COMPUTED_VALUE"""),"School Bus")</f>
        <v>School Bus</v>
      </c>
      <c r="U1327" s="8"/>
      <c r="V1327" s="8" t="str">
        <f ca="1">IFERROR(__xludf.DUMMYFUNCTION("""COMPUTED_VALUE"""),"Not a School Day")</f>
        <v>Not a School Day</v>
      </c>
      <c r="W1327" s="8"/>
      <c r="X1327" s="8"/>
      <c r="Y1327" s="12" t="str">
        <f ca="1">IFERROR(__xludf.DUMMYFUNCTION("""COMPUTED_VALUE"""),"Windows of 6 school buses shot with BBs")</f>
        <v>Windows of 6 school buses shot with BBs</v>
      </c>
      <c r="Z1327" s="12" t="str">
        <f ca="1">IFERROR(__xludf.DUMMYFUNCTION("""COMPUTED_VALUE"""),"The windows of 6 school buses that were parked were shot with BBs or pellets over the weekend. No students or staff were injured.")</f>
        <v>The windows of 6 school buses that were parked were shot with BBs or pellets over the weekend. No students or staff were injured.</v>
      </c>
      <c r="AA1327" s="8" t="str">
        <f ca="1">IFERROR(__xludf.DUMMYFUNCTION("""COMPUTED_VALUE"""),"Intentional Property Damage")</f>
        <v>Intentional Property Damage</v>
      </c>
      <c r="AB1327" s="8"/>
      <c r="AC1327" s="8" t="str">
        <f ca="1">IFERROR(__xludf.DUMMYFUNCTION("""COMPUTED_VALUE"""),"No")</f>
        <v>No</v>
      </c>
      <c r="AD1327" s="8" t="str">
        <f ca="1">IFERROR(__xludf.DUMMYFUNCTION("""COMPUTED_VALUE"""),"Neither")</f>
        <v>Neither</v>
      </c>
      <c r="AE1327" s="8"/>
      <c r="AF1327" s="8"/>
      <c r="AG1327" s="8" t="str">
        <f ca="1">IFERROR(__xludf.DUMMYFUNCTION("""COMPUTED_VALUE"""),"No")</f>
        <v>No</v>
      </c>
      <c r="AH1327" s="8" t="str">
        <f ca="1">IFERROR(__xludf.DUMMYFUNCTION("""COMPUTED_VALUE"""),"No")</f>
        <v>No</v>
      </c>
      <c r="AI1327" s="8" t="str">
        <f ca="1">IFERROR(__xludf.DUMMYFUNCTION("""COMPUTED_VALUE"""),"No")</f>
        <v>No</v>
      </c>
      <c r="AJ1327" s="8"/>
      <c r="AK1327" s="8" t="str">
        <f ca="1">IFERROR(__xludf.DUMMYFUNCTION("""COMPUTED_VALUE"""),"No")</f>
        <v>No</v>
      </c>
      <c r="AL1327" s="8" t="str">
        <f ca="1">IFERROR(__xludf.DUMMYFUNCTION("""COMPUTED_VALUE"""),"No")</f>
        <v>No</v>
      </c>
      <c r="AM1327" s="8" t="str">
        <f ca="1">IFERROR(__xludf.DUMMYFUNCTION("""COMPUTED_VALUE"""),"No")</f>
        <v>No</v>
      </c>
      <c r="AN1327" s="8"/>
      <c r="AO1327" s="8" t="str">
        <f ca="1">IFERROR(__xludf.DUMMYFUNCTION("""COMPUTED_VALUE"""),"No")</f>
        <v>No</v>
      </c>
      <c r="AP1327" s="8"/>
      <c r="AQ1327" s="8"/>
      <c r="AR1327" s="8"/>
      <c r="AS1327" s="8"/>
      <c r="AT1327" s="8"/>
      <c r="AU1327" s="8">
        <f ca="1">IFERROR(__xludf.DUMMYFUNCTION("""COMPUTED_VALUE"""),34.3176)</f>
        <v>34.317599999999999</v>
      </c>
      <c r="AV1327" s="8">
        <f ca="1">IFERROR(__xludf.DUMMYFUNCTION("""COMPUTED_VALUE"""),-79.881982)</f>
        <v>-79.881981999999994</v>
      </c>
      <c r="AW1327" s="8"/>
      <c r="AX1327" s="8">
        <f ca="1">IFERROR(__xludf.DUMMYFUNCTION("""COMPUTED_VALUE"""),29532)</f>
        <v>29532</v>
      </c>
    </row>
    <row r="1328" spans="1:50" ht="45" x14ac:dyDescent="0.2">
      <c r="A1328" s="8" t="str">
        <f ca="1">IFERROR(__xludf.DUMMYFUNCTION("""COMPUTED_VALUE"""),"20210814ILMAC")</f>
        <v>20210814ILMAC</v>
      </c>
      <c r="B1328" s="8">
        <f ca="1">IFERROR(__xludf.DUMMYFUNCTION("""COMPUTED_VALUE"""),8)</f>
        <v>8</v>
      </c>
      <c r="C1328" s="8">
        <f ca="1">IFERROR(__xludf.DUMMYFUNCTION("""COMPUTED_VALUE"""),14)</f>
        <v>14</v>
      </c>
      <c r="D1328" s="8">
        <f ca="1">IFERROR(__xludf.DUMMYFUNCTION("""COMPUTED_VALUE"""),2021)</f>
        <v>2021</v>
      </c>
      <c r="E1328" s="9">
        <f ca="1">IFERROR(__xludf.DUMMYFUNCTION("""COMPUTED_VALUE"""),44422)</f>
        <v>44422</v>
      </c>
      <c r="F1328" s="8" t="str">
        <f ca="1">IFERROR(__xludf.DUMMYFUNCTION("""COMPUTED_VALUE"""),"Mary E. McDowell Elementary School")</f>
        <v>Mary E. McDowell Elementary School</v>
      </c>
      <c r="G1328" s="8">
        <f ca="1">IFERROR(__xludf.DUMMYFUNCTION("""COMPUTED_VALUE"""),0)</f>
        <v>0</v>
      </c>
      <c r="H1328" s="8">
        <f ca="1">IFERROR(__xludf.DUMMYFUNCTION("""COMPUTED_VALUE"""),1)</f>
        <v>1</v>
      </c>
      <c r="I1328" s="8">
        <f ca="1">IFERROR(__xludf.DUMMYFUNCTION("""COMPUTED_VALUE"""),1)</f>
        <v>1</v>
      </c>
      <c r="J1328" s="8">
        <f ca="1">IFERROR(__xludf.DUMMYFUNCTION("""COMPUTED_VALUE"""),0)</f>
        <v>0</v>
      </c>
      <c r="K1328" s="10" t="str">
        <f ca="1">IFERROR(__xludf.DUMMYFUNCTION("""COMPUTED_VALUE"""),"https://chicago.cbslocal.com/2021/08/14/15-year-old-boy-shot-near-elementary-school-calumet-heights/")</f>
        <v>https://chicago.cbslocal.com/2021/08/14/15-year-old-boy-shot-near-elementary-school-calumet-heights/</v>
      </c>
      <c r="L1328" s="8">
        <f ca="1">IFERROR(__xludf.DUMMYFUNCTION("""COMPUTED_VALUE"""),2)</f>
        <v>2</v>
      </c>
      <c r="M1328" s="8" t="str">
        <f ca="1">IFERROR(__xludf.DUMMYFUNCTION("""COMPUTED_VALUE"""),"Local")</f>
        <v>Local</v>
      </c>
      <c r="N1328" s="8">
        <f ca="1">IFERROR(__xludf.DUMMYFUNCTION("""COMPUTED_VALUE"""),3)</f>
        <v>3</v>
      </c>
      <c r="O1328" s="8" t="str">
        <f ca="1">IFERROR(__xludf.DUMMYFUNCTION("""COMPUTED_VALUE"""),"Summer")</f>
        <v>Summer</v>
      </c>
      <c r="P1328" s="8" t="str">
        <f ca="1">IFERROR(__xludf.DUMMYFUNCTION("""COMPUTED_VALUE"""),"Chicago")</f>
        <v>Chicago</v>
      </c>
      <c r="Q1328" s="8" t="str">
        <f ca="1">IFERROR(__xludf.DUMMYFUNCTION("""COMPUTED_VALUE"""),"IL")</f>
        <v>IL</v>
      </c>
      <c r="R1328" s="8" t="str">
        <f ca="1">IFERROR(__xludf.DUMMYFUNCTION("""COMPUTED_VALUE"""),"Elementary")</f>
        <v>Elementary</v>
      </c>
      <c r="S1328" s="8" t="str">
        <f ca="1">IFERROR(__xludf.DUMMYFUNCTION("""COMPUTED_VALUE"""),"Outside on School Property")</f>
        <v>Outside on School Property</v>
      </c>
      <c r="T1328" s="8" t="str">
        <f ca="1">IFERROR(__xludf.DUMMYFUNCTION("""COMPUTED_VALUE"""),"Outside on School Property")</f>
        <v>Outside on School Property</v>
      </c>
      <c r="U1328" s="8" t="str">
        <f ca="1">IFERROR(__xludf.DUMMYFUNCTION("""COMPUTED_VALUE"""),"No")</f>
        <v>No</v>
      </c>
      <c r="V1328" s="8" t="str">
        <f ca="1">IFERROR(__xludf.DUMMYFUNCTION("""COMPUTED_VALUE"""),"Not a School Day")</f>
        <v>Not a School Day</v>
      </c>
      <c r="W1328" s="11">
        <f ca="1">IFERROR(__xludf.DUMMYFUNCTION("""COMPUTED_VALUE"""),0.693055555555555)</f>
        <v>0.69305555555555498</v>
      </c>
      <c r="X1328" s="8">
        <f ca="1">IFERROR(__xludf.DUMMYFUNCTION("""COMPUTED_VALUE"""),1)</f>
        <v>1</v>
      </c>
      <c r="Y1328" s="12" t="str">
        <f ca="1">IFERROR(__xludf.DUMMYFUNCTION("""COMPUTED_VALUE"""),"Teen shot during drive-by outside elementary school")</f>
        <v>Teen shot during drive-by outside elementary school</v>
      </c>
      <c r="Z1328" s="12" t="str">
        <f ca="1">IFERROR(__xludf.DUMMYFUNCTION("""COMPUTED_VALUE"""),"A 15-year-old teen was sitting outside of an elementary school when someone fired shots at him from a vehicle. He was wounded and transported to the hospital. Shooter fled.")</f>
        <v>A 15-year-old teen was sitting outside of an elementary school when someone fired shots at him from a vehicle. He was wounded and transported to the hospital. Shooter fled.</v>
      </c>
      <c r="AA1328" s="8" t="str">
        <f ca="1">IFERROR(__xludf.DUMMYFUNCTION("""COMPUTED_VALUE"""),"Drive-by Shooting")</f>
        <v>Drive-by Shooting</v>
      </c>
      <c r="AB1328" s="8"/>
      <c r="AC1328" s="8" t="str">
        <f ca="1">IFERROR(__xludf.DUMMYFUNCTION("""COMPUTED_VALUE"""),"Yes")</f>
        <v>Yes</v>
      </c>
      <c r="AD1328" s="8" t="str">
        <f ca="1">IFERROR(__xludf.DUMMYFUNCTION("""COMPUTED_VALUE"""),"Victims Targeted")</f>
        <v>Victims Targeted</v>
      </c>
      <c r="AE1328" s="8"/>
      <c r="AF1328" s="8"/>
      <c r="AG1328" s="8" t="str">
        <f ca="1">IFERROR(__xludf.DUMMYFUNCTION("""COMPUTED_VALUE"""),"No")</f>
        <v>No</v>
      </c>
      <c r="AH1328" s="8" t="str">
        <f ca="1">IFERROR(__xludf.DUMMYFUNCTION("""COMPUTED_VALUE"""),"No")</f>
        <v>No</v>
      </c>
      <c r="AI1328" s="8" t="str">
        <f ca="1">IFERROR(__xludf.DUMMYFUNCTION("""COMPUTED_VALUE"""),"No")</f>
        <v>No</v>
      </c>
      <c r="AJ1328" s="8" t="str">
        <f ca="1">IFERROR(__xludf.DUMMYFUNCTION("""COMPUTED_VALUE"""),"No")</f>
        <v>No</v>
      </c>
      <c r="AK1328" s="8" t="str">
        <f ca="1">IFERROR(__xludf.DUMMYFUNCTION("""COMPUTED_VALUE"""),"No")</f>
        <v>No</v>
      </c>
      <c r="AL1328" s="8"/>
      <c r="AM1328" s="8" t="str">
        <f ca="1">IFERROR(__xludf.DUMMYFUNCTION("""COMPUTED_VALUE"""),"No")</f>
        <v>No</v>
      </c>
      <c r="AN1328" s="8"/>
      <c r="AO1328" s="8" t="str">
        <f ca="1">IFERROR(__xludf.DUMMYFUNCTION("""COMPUTED_VALUE"""),"No")</f>
        <v>No</v>
      </c>
      <c r="AP1328" s="8"/>
      <c r="AQ1328" s="8"/>
      <c r="AR1328" s="8" t="str">
        <f ca="1">IFERROR(__xludf.DUMMYFUNCTION("""COMPUTED_VALUE"""),"Outside/Off-Property")</f>
        <v>Outside/Off-Property</v>
      </c>
      <c r="AS1328" s="8"/>
      <c r="AT1328" s="8"/>
      <c r="AU1328" s="8">
        <f ca="1">IFERROR(__xludf.DUMMYFUNCTION("""COMPUTED_VALUE"""),41.732893)</f>
        <v>41.732892999999997</v>
      </c>
      <c r="AV1328" s="8">
        <f ca="1">IFERROR(__xludf.DUMMYFUNCTION("""COMPUTED_VALUE"""),-87.590148)</f>
        <v>-87.590147999999999</v>
      </c>
      <c r="AW1328" s="8"/>
      <c r="AX1328" s="8">
        <f ca="1">IFERROR(__xludf.DUMMYFUNCTION("""COMPUTED_VALUE"""),60619)</f>
        <v>60619</v>
      </c>
    </row>
    <row r="1329" spans="1:50" ht="165" x14ac:dyDescent="0.2">
      <c r="A1329" s="8" t="str">
        <f ca="1">IFERROR(__xludf.DUMMYFUNCTION("""COMPUTED_VALUE"""),"20210813NMWAA")</f>
        <v>20210813NMWAA</v>
      </c>
      <c r="B1329" s="8">
        <f ca="1">IFERROR(__xludf.DUMMYFUNCTION("""COMPUTED_VALUE"""),8)</f>
        <v>8</v>
      </c>
      <c r="C1329" s="8">
        <f ca="1">IFERROR(__xludf.DUMMYFUNCTION("""COMPUTED_VALUE"""),13)</f>
        <v>13</v>
      </c>
      <c r="D1329" s="8">
        <f ca="1">IFERROR(__xludf.DUMMYFUNCTION("""COMPUTED_VALUE"""),2021)</f>
        <v>2021</v>
      </c>
      <c r="E1329" s="9">
        <f ca="1">IFERROR(__xludf.DUMMYFUNCTION("""COMPUTED_VALUE"""),44421)</f>
        <v>44421</v>
      </c>
      <c r="F1329" s="8" t="str">
        <f ca="1">IFERROR(__xludf.DUMMYFUNCTION("""COMPUTED_VALUE"""),"Washington Middle School")</f>
        <v>Washington Middle School</v>
      </c>
      <c r="G1329" s="8">
        <f ca="1">IFERROR(__xludf.DUMMYFUNCTION("""COMPUTED_VALUE"""),1)</f>
        <v>1</v>
      </c>
      <c r="H1329" s="8">
        <f ca="1">IFERROR(__xludf.DUMMYFUNCTION("""COMPUTED_VALUE"""),0)</f>
        <v>0</v>
      </c>
      <c r="I1329" s="8">
        <f ca="1">IFERROR(__xludf.DUMMYFUNCTION("""COMPUTED_VALUE"""),1)</f>
        <v>1</v>
      </c>
      <c r="J1329" s="8">
        <f ca="1">IFERROR(__xludf.DUMMYFUNCTION("""COMPUTED_VALUE"""),0)</f>
        <v>0</v>
      </c>
      <c r="K1329" s="10" t="str">
        <f ca="1">IFERROR(__xludf.DUMMYFUNCTION("""COMPUTED_VALUE"""),"https://www.koat.com/article/bennie-hargrove-shooting-settlement/45811653#
https://www.krqe.com/news/albuquerque-metro/albuquerque-teen-pleads-no-contest-in-fatal-washington-middle-school-shooting/
https://www.koat.com/article/police-multiple-students-kne"&amp;"w-school-shooter-had-a-gun/37321357# https://www.yourbasin.com/news/national/1-dies-in-albuquerque-school-shooting-student-detained/ https://www.kob.com/albuquerque-news/apd-student-killed-in-shooting-on-washington-middle-school-campus/6206622/")</f>
        <v>https://www.koat.com/article/bennie-hargrove-shooting-settlement/45811653#
https://www.krqe.com/news/albuquerque-metro/albuquerque-teen-pleads-no-contest-in-fatal-washington-middle-school-shooting/
https://www.koat.com/article/police-multiple-students-knew-school-shooter-had-a-gun/37321357# https://www.yourbasin.com/news/national/1-dies-in-albuquerque-school-shooting-student-detained/ https://www.kob.com/albuquerque-news/apd-student-killed-in-shooting-on-washington-middle-school-campus/6206622/</v>
      </c>
      <c r="L1329" s="8">
        <f ca="1">IFERROR(__xludf.DUMMYFUNCTION("""COMPUTED_VALUE"""),50)</f>
        <v>50</v>
      </c>
      <c r="M1329" s="8" t="str">
        <f ca="1">IFERROR(__xludf.DUMMYFUNCTION("""COMPUTED_VALUE"""),"National")</f>
        <v>National</v>
      </c>
      <c r="N1329" s="8">
        <f ca="1">IFERROR(__xludf.DUMMYFUNCTION("""COMPUTED_VALUE"""),4)</f>
        <v>4</v>
      </c>
      <c r="O1329" s="8" t="str">
        <f ca="1">IFERROR(__xludf.DUMMYFUNCTION("""COMPUTED_VALUE"""),"Fall")</f>
        <v>Fall</v>
      </c>
      <c r="P1329" s="8" t="str">
        <f ca="1">IFERROR(__xludf.DUMMYFUNCTION("""COMPUTED_VALUE"""),"Albuquerque")</f>
        <v>Albuquerque</v>
      </c>
      <c r="Q1329" s="8" t="str">
        <f ca="1">IFERROR(__xludf.DUMMYFUNCTION("""COMPUTED_VALUE"""),"NM")</f>
        <v>NM</v>
      </c>
      <c r="R1329" s="8" t="str">
        <f ca="1">IFERROR(__xludf.DUMMYFUNCTION("""COMPUTED_VALUE"""),"Middle")</f>
        <v>Middle</v>
      </c>
      <c r="S1329" s="8" t="str">
        <f ca="1">IFERROR(__xludf.DUMMYFUNCTION("""COMPUTED_VALUE"""),"Playground")</f>
        <v>Playground</v>
      </c>
      <c r="T1329" s="8" t="str">
        <f ca="1">IFERROR(__xludf.DUMMYFUNCTION("""COMPUTED_VALUE"""),"Outside on School Property")</f>
        <v>Outside on School Property</v>
      </c>
      <c r="U1329" s="8" t="str">
        <f ca="1">IFERROR(__xludf.DUMMYFUNCTION("""COMPUTED_VALUE"""),"Yes")</f>
        <v>Yes</v>
      </c>
      <c r="V1329" s="8" t="str">
        <f ca="1">IFERROR(__xludf.DUMMYFUNCTION("""COMPUTED_VALUE"""),"Lunch")</f>
        <v>Lunch</v>
      </c>
      <c r="W1329" s="11">
        <f ca="1">IFERROR(__xludf.DUMMYFUNCTION("""COMPUTED_VALUE"""),0.53125)</f>
        <v>0.53125</v>
      </c>
      <c r="X1329" s="8">
        <f ca="1">IFERROR(__xludf.DUMMYFUNCTION("""COMPUTED_VALUE"""),1)</f>
        <v>1</v>
      </c>
      <c r="Y1329" s="12" t="str">
        <f ca="1">IFERROR(__xludf.DUMMYFUNCTION("""COMPUTED_VALUE"""),"Student shot another student during recess following a prior dispute")</f>
        <v>Student shot another student during recess following a prior dispute</v>
      </c>
      <c r="Z1329" s="12" t="str">
        <f ca="1">IFERROR(__xludf.DUMMYFUNCTION("""COMPUTED_VALUE"""),"A 13-year-old student fired 6 shots at another 13-year-old student on the playground of the school during recess. Other students witnessed the shooting and said the victim was attempting to de-escalate a conflict between other students when he was shot. A"&amp;" SRO was nearby and able to quickly detain the shooter. School went into lockdown and then dismissed. Multiple students reported to police that the shooter had shown them a gun prior to the shooting. Two years later, the school system paid a $900,000 sett"&amp;"lement to the victim's family. Gun was reported to an SRO but failed to take action.")</f>
        <v>A 13-year-old student fired 6 shots at another 13-year-old student on the playground of the school during recess. Other students witnessed the shooting and said the victim was attempting to de-escalate a conflict between other students when he was shot. A SRO was nearby and able to quickly detain the shooter. School went into lockdown and then dismissed. Multiple students reported to police that the shooter had shown them a gun prior to the shooting. Two years later, the school system paid a $900,000 settlement to the victim's family. Gun was reported to an SRO but failed to take action.</v>
      </c>
      <c r="AA1329" s="8" t="str">
        <f ca="1">IFERROR(__xludf.DUMMYFUNCTION("""COMPUTED_VALUE"""),"Escalation of Dispute")</f>
        <v>Escalation of Dispute</v>
      </c>
      <c r="AB1329" s="8" t="str">
        <f ca="1">IFERROR(__xludf.DUMMYFUNCTION("""COMPUTED_VALUE"""),"Spontaneous")</f>
        <v>Spontaneous</v>
      </c>
      <c r="AC1329" s="8" t="str">
        <f ca="1">IFERROR(__xludf.DUMMYFUNCTION("""COMPUTED_VALUE"""),"Yes")</f>
        <v>Yes</v>
      </c>
      <c r="AD1329" s="8" t="str">
        <f ca="1">IFERROR(__xludf.DUMMYFUNCTION("""COMPUTED_VALUE"""),"Victims Targeted")</f>
        <v>Victims Targeted</v>
      </c>
      <c r="AE1329" s="8" t="str">
        <f ca="1">IFERROR(__xludf.DUMMYFUNCTION("""COMPUTED_VALUE"""),"No")</f>
        <v>No</v>
      </c>
      <c r="AF1329" s="8"/>
      <c r="AG1329" s="8" t="str">
        <f ca="1">IFERROR(__xludf.DUMMYFUNCTION("""COMPUTED_VALUE"""),"No")</f>
        <v>No</v>
      </c>
      <c r="AH1329" s="8" t="str">
        <f ca="1">IFERROR(__xludf.DUMMYFUNCTION("""COMPUTED_VALUE"""),"No")</f>
        <v>No</v>
      </c>
      <c r="AI1329" s="8" t="str">
        <f ca="1">IFERROR(__xludf.DUMMYFUNCTION("""COMPUTED_VALUE"""),"No")</f>
        <v>No</v>
      </c>
      <c r="AJ1329" s="8" t="str">
        <f ca="1">IFERROR(__xludf.DUMMYFUNCTION("""COMPUTED_VALUE"""),"Yes")</f>
        <v>Yes</v>
      </c>
      <c r="AK1329" s="8" t="str">
        <f ca="1">IFERROR(__xludf.DUMMYFUNCTION("""COMPUTED_VALUE"""),"No")</f>
        <v>No</v>
      </c>
      <c r="AL1329" s="8" t="str">
        <f ca="1">IFERROR(__xludf.DUMMYFUNCTION("""COMPUTED_VALUE"""),"No")</f>
        <v>No</v>
      </c>
      <c r="AM1329" s="8" t="str">
        <f ca="1">IFERROR(__xludf.DUMMYFUNCTION("""COMPUTED_VALUE"""),"No")</f>
        <v>No</v>
      </c>
      <c r="AN1329" s="8"/>
      <c r="AO1329" s="8" t="str">
        <f ca="1">IFERROR(__xludf.DUMMYFUNCTION("""COMPUTED_VALUE"""),"No")</f>
        <v>No</v>
      </c>
      <c r="AP1329" s="8" t="str">
        <f ca="1">IFERROR(__xludf.DUMMYFUNCTION("""COMPUTED_VALUE"""),"Yes")</f>
        <v>Yes</v>
      </c>
      <c r="AQ1329" s="8" t="str">
        <f ca="1">IFERROR(__xludf.DUMMYFUNCTION("""COMPUTED_VALUE"""),"Armed Guards")</f>
        <v>Armed Guards</v>
      </c>
      <c r="AR1329" s="8" t="str">
        <f ca="1">IFERROR(__xludf.DUMMYFUNCTION("""COMPUTED_VALUE"""),"Failed")</f>
        <v>Failed</v>
      </c>
      <c r="AS1329" s="8">
        <f ca="1">IFERROR(__xludf.DUMMYFUNCTION("""COMPUTED_VALUE"""),6)</f>
        <v>6</v>
      </c>
      <c r="AT1329" s="8" t="str">
        <f ca="1">IFERROR(__xludf.DUMMYFUNCTION("""COMPUTED_VALUE"""),"Yes")</f>
        <v>Yes</v>
      </c>
      <c r="AU1329" s="8">
        <f ca="1">IFERROR(__xludf.DUMMYFUNCTION("""COMPUTED_VALUE"""),35.08614)</f>
        <v>35.08614</v>
      </c>
      <c r="AV1329" s="8">
        <f ca="1">IFERROR(__xludf.DUMMYFUNCTION("""COMPUTED_VALUE"""),-106.660791)</f>
        <v>-106.660791</v>
      </c>
      <c r="AW1329" s="8"/>
      <c r="AX1329" s="8">
        <f ca="1">IFERROR(__xludf.DUMMYFUNCTION("""COMPUTED_VALUE"""),87102)</f>
        <v>87102</v>
      </c>
    </row>
    <row r="1330" spans="1:50" ht="75" x14ac:dyDescent="0.2">
      <c r="A1330" s="8" t="str">
        <f ca="1">IFERROR(__xludf.DUMMYFUNCTION("""COMPUTED_VALUE"""),"20210813GACAS")</f>
        <v>20210813GACAS</v>
      </c>
      <c r="B1330" s="8">
        <f ca="1">IFERROR(__xludf.DUMMYFUNCTION("""COMPUTED_VALUE"""),8)</f>
        <v>8</v>
      </c>
      <c r="C1330" s="8">
        <f ca="1">IFERROR(__xludf.DUMMYFUNCTION("""COMPUTED_VALUE"""),13)</f>
        <v>13</v>
      </c>
      <c r="D1330" s="8">
        <f ca="1">IFERROR(__xludf.DUMMYFUNCTION("""COMPUTED_VALUE"""),2021)</f>
        <v>2021</v>
      </c>
      <c r="E1330" s="9">
        <f ca="1">IFERROR(__xludf.DUMMYFUNCTION("""COMPUTED_VALUE"""),44421)</f>
        <v>44421</v>
      </c>
      <c r="F1330" s="8" t="str">
        <f ca="1">IFERROR(__xludf.DUMMYFUNCTION("""COMPUTED_VALUE"""),"Campbell High SChool")</f>
        <v>Campbell High SChool</v>
      </c>
      <c r="G1330" s="8">
        <f ca="1">IFERROR(__xludf.DUMMYFUNCTION("""COMPUTED_VALUE"""),0)</f>
        <v>0</v>
      </c>
      <c r="H1330" s="8">
        <f ca="1">IFERROR(__xludf.DUMMYFUNCTION("""COMPUTED_VALUE"""),0)</f>
        <v>0</v>
      </c>
      <c r="I1330" s="8">
        <f ca="1">IFERROR(__xludf.DUMMYFUNCTION("""COMPUTED_VALUE"""),0)</f>
        <v>0</v>
      </c>
      <c r="J1330" s="8">
        <f ca="1">IFERROR(__xludf.DUMMYFUNCTION("""COMPUTED_VALUE"""),0)</f>
        <v>0</v>
      </c>
      <c r="K1330" s="8" t="str">
        <f ca="1">IFERROR(__xludf.DUMMYFUNCTION("""COMPUTED_VALUE"""),"https://www.wsbtv.com/news/local/cobb-county/shots-fired-after-high-school-football-scrimmage-smyrna-friday-night/UWEGAJMNMBFP7LZIIB6MUMHSAE/ https://www.fox5atlanta.com/news/shots-fired-outside-high-school-football-game-in-smyrna-police-say https://www.c"&amp;"bs46.com/news/smyrna-police-investigating-shooting-at-high-school-football-game/article_46663e44-fcaa-11eb-b292-f312855cbd3f.html")</f>
        <v>https://www.wsbtv.com/news/local/cobb-county/shots-fired-after-high-school-football-scrimmage-smyrna-friday-night/UWEGAJMNMBFP7LZIIB6MUMHSAE/ https://www.fox5atlanta.com/news/shots-fired-outside-high-school-football-game-in-smyrna-police-say https://www.cbs46.com/news/smyrna-police-investigating-shooting-at-high-school-football-game/article_46663e44-fcaa-11eb-b292-f312855cbd3f.html</v>
      </c>
      <c r="L1330" s="8">
        <f ca="1">IFERROR(__xludf.DUMMYFUNCTION("""COMPUTED_VALUE"""),5)</f>
        <v>5</v>
      </c>
      <c r="M1330" s="8" t="str">
        <f ca="1">IFERROR(__xludf.DUMMYFUNCTION("""COMPUTED_VALUE"""),"Regional")</f>
        <v>Regional</v>
      </c>
      <c r="N1330" s="8">
        <f ca="1">IFERROR(__xludf.DUMMYFUNCTION("""COMPUTED_VALUE"""),4)</f>
        <v>4</v>
      </c>
      <c r="O1330" s="8" t="str">
        <f ca="1">IFERROR(__xludf.DUMMYFUNCTION("""COMPUTED_VALUE"""),"Fall")</f>
        <v>Fall</v>
      </c>
      <c r="P1330" s="8" t="str">
        <f ca="1">IFERROR(__xludf.DUMMYFUNCTION("""COMPUTED_VALUE"""),"Smyrna")</f>
        <v>Smyrna</v>
      </c>
      <c r="Q1330" s="8" t="str">
        <f ca="1">IFERROR(__xludf.DUMMYFUNCTION("""COMPUTED_VALUE"""),"GA")</f>
        <v>GA</v>
      </c>
      <c r="R1330" s="8" t="str">
        <f ca="1">IFERROR(__xludf.DUMMYFUNCTION("""COMPUTED_VALUE"""),"High")</f>
        <v>High</v>
      </c>
      <c r="S1330" s="8" t="str">
        <f ca="1">IFERROR(__xludf.DUMMYFUNCTION("""COMPUTED_VALUE"""),"Football Field/Track")</f>
        <v>Football Field/Track</v>
      </c>
      <c r="T1330" s="8" t="str">
        <f ca="1">IFERROR(__xludf.DUMMYFUNCTION("""COMPUTED_VALUE"""),"Outside on School Property")</f>
        <v>Outside on School Property</v>
      </c>
      <c r="U1330" s="8" t="str">
        <f ca="1">IFERROR(__xludf.DUMMYFUNCTION("""COMPUTED_VALUE"""),"No")</f>
        <v>No</v>
      </c>
      <c r="V1330" s="8" t="str">
        <f ca="1">IFERROR(__xludf.DUMMYFUNCTION("""COMPUTED_VALUE"""),"Sport Event")</f>
        <v>Sport Event</v>
      </c>
      <c r="W1330" s="11">
        <f ca="1">IFERROR(__xludf.DUMMYFUNCTION("""COMPUTED_VALUE"""),0.885416666666666)</f>
        <v>0.88541666666666596</v>
      </c>
      <c r="X1330" s="8">
        <f ca="1">IFERROR(__xludf.DUMMYFUNCTION("""COMPUTED_VALUE"""),1)</f>
        <v>1</v>
      </c>
      <c r="Y1330" s="12" t="str">
        <f ca="1">IFERROR(__xludf.DUMMYFUNCTION("""COMPUTED_VALUE"""),"Shots fired during fight following high school football game")</f>
        <v>Shots fired during fight following high school football game</v>
      </c>
      <c r="Z1330" s="12" t="str">
        <f ca="1">IFERROR(__xludf.DUMMYFUNCTION("""COMPUTED_VALUE"""),"Shots were figured during a fight between multiple people at the end of a high school football game. No injuries. Shooter fled. Students and attendees ran from the stadium. After the shooting, threats were posted on Snapchat warning students not to come t"&amp;"o school on Monday.")</f>
        <v>Shots were figured during a fight between multiple people at the end of a high school football game. No injuries. Shooter fled. Students and attendees ran from the stadium. After the shooting, threats were posted on Snapchat warning students not to come to school on Monday.</v>
      </c>
      <c r="AA1330" s="8" t="str">
        <f ca="1">IFERROR(__xludf.DUMMYFUNCTION("""COMPUTED_VALUE"""),"Escalation of Dispute")</f>
        <v>Escalation of Dispute</v>
      </c>
      <c r="AB1330" s="8"/>
      <c r="AC1330" s="8" t="str">
        <f ca="1">IFERROR(__xludf.DUMMYFUNCTION("""COMPUTED_VALUE"""),"Yes")</f>
        <v>Yes</v>
      </c>
      <c r="AD1330" s="8" t="str">
        <f ca="1">IFERROR(__xludf.DUMMYFUNCTION("""COMPUTED_VALUE"""),"Neither")</f>
        <v>Neither</v>
      </c>
      <c r="AE1330" s="8" t="str">
        <f ca="1">IFERROR(__xludf.DUMMYFUNCTION("""COMPUTED_VALUE"""),"No")</f>
        <v>No</v>
      </c>
      <c r="AF1330" s="8"/>
      <c r="AG1330" s="8" t="str">
        <f ca="1">IFERROR(__xludf.DUMMYFUNCTION("""COMPUTED_VALUE"""),"No")</f>
        <v>No</v>
      </c>
      <c r="AH1330" s="8" t="str">
        <f ca="1">IFERROR(__xludf.DUMMYFUNCTION("""COMPUTED_VALUE"""),"No")</f>
        <v>No</v>
      </c>
      <c r="AI1330" s="8" t="str">
        <f ca="1">IFERROR(__xludf.DUMMYFUNCTION("""COMPUTED_VALUE"""),"No")</f>
        <v>No</v>
      </c>
      <c r="AJ1330" s="8" t="str">
        <f ca="1">IFERROR(__xludf.DUMMYFUNCTION("""COMPUTED_VALUE"""),"No")</f>
        <v>No</v>
      </c>
      <c r="AK1330" s="8" t="str">
        <f ca="1">IFERROR(__xludf.DUMMYFUNCTION("""COMPUTED_VALUE"""),"No")</f>
        <v>No</v>
      </c>
      <c r="AL1330" s="8"/>
      <c r="AM1330" s="8" t="str">
        <f ca="1">IFERROR(__xludf.DUMMYFUNCTION("""COMPUTED_VALUE"""),"No")</f>
        <v>No</v>
      </c>
      <c r="AN1330" s="8"/>
      <c r="AO1330" s="8" t="str">
        <f ca="1">IFERROR(__xludf.DUMMYFUNCTION("""COMPUTED_VALUE"""),"No")</f>
        <v>No</v>
      </c>
      <c r="AP1330" s="8"/>
      <c r="AQ1330" s="8"/>
      <c r="AR1330" s="8"/>
      <c r="AS1330" s="8"/>
      <c r="AT1330" s="8" t="str">
        <f ca="1">IFERROR(__xludf.DUMMYFUNCTION("""COMPUTED_VALUE"""),"No")</f>
        <v>No</v>
      </c>
      <c r="AU1330" s="8">
        <f ca="1">IFERROR(__xludf.DUMMYFUNCTION("""COMPUTED_VALUE"""),33.889422)</f>
        <v>33.889422000000003</v>
      </c>
      <c r="AV1330" s="8">
        <f ca="1">IFERROR(__xludf.DUMMYFUNCTION("""COMPUTED_VALUE"""),-84.526298)</f>
        <v>-84.526297999999997</v>
      </c>
      <c r="AW1330" s="8"/>
      <c r="AX1330" s="8">
        <f ca="1">IFERROR(__xludf.DUMMYFUNCTION("""COMPUTED_VALUE"""),30080)</f>
        <v>30080</v>
      </c>
    </row>
    <row r="1331" spans="1:50" ht="105" x14ac:dyDescent="0.2">
      <c r="A1331" s="8" t="str">
        <f ca="1">IFERROR(__xludf.DUMMYFUNCTION("""COMPUTED_VALUE"""),"20210812GALIL")</f>
        <v>20210812GALIL</v>
      </c>
      <c r="B1331" s="8">
        <f ca="1">IFERROR(__xludf.DUMMYFUNCTION("""COMPUTED_VALUE"""),8)</f>
        <v>8</v>
      </c>
      <c r="C1331" s="8">
        <f ca="1">IFERROR(__xludf.DUMMYFUNCTION("""COMPUTED_VALUE"""),12)</f>
        <v>12</v>
      </c>
      <c r="D1331" s="8">
        <f ca="1">IFERROR(__xludf.DUMMYFUNCTION("""COMPUTED_VALUE"""),2021)</f>
        <v>2021</v>
      </c>
      <c r="E1331" s="9">
        <f ca="1">IFERROR(__xludf.DUMMYFUNCTION("""COMPUTED_VALUE"""),44420)</f>
        <v>44420</v>
      </c>
      <c r="F1331" s="8" t="str">
        <f ca="1">IFERROR(__xludf.DUMMYFUNCTION("""COMPUTED_VALUE"""),"Lithonia High School")</f>
        <v>Lithonia High School</v>
      </c>
      <c r="G1331" s="8">
        <f ca="1">IFERROR(__xludf.DUMMYFUNCTION("""COMPUTED_VALUE"""),0)</f>
        <v>0</v>
      </c>
      <c r="H1331" s="8">
        <f ca="1">IFERROR(__xludf.DUMMYFUNCTION("""COMPUTED_VALUE"""),1)</f>
        <v>1</v>
      </c>
      <c r="I1331" s="8">
        <f ca="1">IFERROR(__xludf.DUMMYFUNCTION("""COMPUTED_VALUE"""),1)</f>
        <v>1</v>
      </c>
      <c r="J1331" s="8">
        <f ca="1">IFERROR(__xludf.DUMMYFUNCTION("""COMPUTED_VALUE"""),0)</f>
        <v>0</v>
      </c>
      <c r="K1331" s="8" t="str">
        <f ca="1">IFERROR(__xludf.DUMMYFUNCTION("""COMPUTED_VALUE"""),"https://www.11alive.com/article/news/crime/lithonia-high-school-resource-officer-involved-in-shooting/85-bfbcd697-d9dd-4cb4-bd59-0bdbcf81a64c https://www.wsbtv.com/news/local/dekalb-county/breaking-news-police-investigate-incident-lithonia-high-school/GDX"&amp;"J4NJIKJHUNC3OHHPRCP45R4/ https://www.ajc.com/news/breaking-large-police-presence-at-lithonia-high-school/EECHMWRMOBGLVJW4SPDUGR5W5Q/")</f>
        <v>https://www.11alive.com/article/news/crime/lithonia-high-school-resource-officer-involved-in-shooting/85-bfbcd697-d9dd-4cb4-bd59-0bdbcf81a64c https://www.wsbtv.com/news/local/dekalb-county/breaking-news-police-investigate-incident-lithonia-high-school/GDXJ4NJIKJHUNC3OHHPRCP45R4/ https://www.ajc.com/news/breaking-large-police-presence-at-lithonia-high-school/EECHMWRMOBGLVJW4SPDUGR5W5Q/</v>
      </c>
      <c r="L1331" s="8">
        <f ca="1">IFERROR(__xludf.DUMMYFUNCTION("""COMPUTED_VALUE"""),10)</f>
        <v>10</v>
      </c>
      <c r="M1331" s="8" t="str">
        <f ca="1">IFERROR(__xludf.DUMMYFUNCTION("""COMPUTED_VALUE"""),"Regional")</f>
        <v>Regional</v>
      </c>
      <c r="N1331" s="8">
        <f ca="1">IFERROR(__xludf.DUMMYFUNCTION("""COMPUTED_VALUE"""),4)</f>
        <v>4</v>
      </c>
      <c r="O1331" s="8" t="str">
        <f ca="1">IFERROR(__xludf.DUMMYFUNCTION("""COMPUTED_VALUE"""),"Fall")</f>
        <v>Fall</v>
      </c>
      <c r="P1331" s="8" t="str">
        <f ca="1">IFERROR(__xludf.DUMMYFUNCTION("""COMPUTED_VALUE"""),"Lithonia")</f>
        <v>Lithonia</v>
      </c>
      <c r="Q1331" s="8" t="str">
        <f ca="1">IFERROR(__xludf.DUMMYFUNCTION("""COMPUTED_VALUE"""),"GA")</f>
        <v>GA</v>
      </c>
      <c r="R1331" s="8" t="str">
        <f ca="1">IFERROR(__xludf.DUMMYFUNCTION("""COMPUTED_VALUE"""),"High")</f>
        <v>High</v>
      </c>
      <c r="S1331" s="8" t="str">
        <f ca="1">IFERROR(__xludf.DUMMYFUNCTION("""COMPUTED_VALUE"""),"Parking Lot")</f>
        <v>Parking Lot</v>
      </c>
      <c r="T1331" s="8" t="str">
        <f ca="1">IFERROR(__xludf.DUMMYFUNCTION("""COMPUTED_VALUE"""),"Outside on School Property")</f>
        <v>Outside on School Property</v>
      </c>
      <c r="U1331" s="8" t="str">
        <f ca="1">IFERROR(__xludf.DUMMYFUNCTION("""COMPUTED_VALUE"""),"Yes")</f>
        <v>Yes</v>
      </c>
      <c r="V1331" s="8" t="str">
        <f ca="1">IFERROR(__xludf.DUMMYFUNCTION("""COMPUTED_VALUE"""),"Afternoon Classes")</f>
        <v>Afternoon Classes</v>
      </c>
      <c r="W1331" s="11">
        <f ca="1">IFERROR(__xludf.DUMMYFUNCTION("""COMPUTED_VALUE"""),0.625)</f>
        <v>0.625</v>
      </c>
      <c r="X1331" s="8">
        <f ca="1">IFERROR(__xludf.DUMMYFUNCTION("""COMPUTED_VALUE"""),1)</f>
        <v>1</v>
      </c>
      <c r="Y1331" s="12" t="str">
        <f ca="1">IFERROR(__xludf.DUMMYFUNCTION("""COMPUTED_VALUE"""),"SRO attempted to stop 2 men, they fled in vehicle, and SRO fired shots at the vehicle")</f>
        <v>SRO attempted to stop 2 men, they fled in vehicle, and SRO fired shots at the vehicle</v>
      </c>
      <c r="Z1331" s="12" t="str">
        <f ca="1">IFERROR(__xludf.DUMMYFUNCTION("""COMPUTED_VALUE"""),"Teachers alerted the SRO about 2 unauthorized men on the campus. The SRO attempted to stop the men in the school parking lot and they ran to a vehicle. Once in the vehicle, the men drove toward the SRO. He fired multiple shots striking the vehicle and the"&amp;" driver. Both men were arrested and a handgun was recovered from the vehicle. School was locked down. No students were injured.")</f>
        <v>Teachers alerted the SRO about 2 unauthorized men on the campus. The SRO attempted to stop the men in the school parking lot and they ran to a vehicle. Once in the vehicle, the men drove toward the SRO. He fired multiple shots striking the vehicle and the driver. Both men were arrested and a handgun was recovered from the vehicle. School was locked down. No students were injured.</v>
      </c>
      <c r="AA1331" s="8" t="str">
        <f ca="1">IFERROR(__xludf.DUMMYFUNCTION("""COMPUTED_VALUE"""),"Officer-Involved Shooting")</f>
        <v>Officer-Involved Shooting</v>
      </c>
      <c r="AB1331" s="8"/>
      <c r="AC1331" s="8" t="str">
        <f ca="1">IFERROR(__xludf.DUMMYFUNCTION("""COMPUTED_VALUE"""),"Yes")</f>
        <v>Yes</v>
      </c>
      <c r="AD1331" s="8"/>
      <c r="AE1331" s="8"/>
      <c r="AF1331" s="8"/>
      <c r="AG1331" s="8"/>
      <c r="AH1331" s="8"/>
      <c r="AI1331" s="8" t="str">
        <f ca="1">IFERROR(__xludf.DUMMYFUNCTION("""COMPUTED_VALUE"""),"Yes")</f>
        <v>Yes</v>
      </c>
      <c r="AJ1331" s="8"/>
      <c r="AK1331" s="8"/>
      <c r="AL1331" s="8"/>
      <c r="AM1331" s="8"/>
      <c r="AN1331" s="8"/>
      <c r="AO1331" s="8"/>
      <c r="AP1331" s="8" t="str">
        <f ca="1">IFERROR(__xludf.DUMMYFUNCTION("""COMPUTED_VALUE"""),"Yes")</f>
        <v>Yes</v>
      </c>
      <c r="AQ1331" s="8"/>
      <c r="AR1331" s="8"/>
      <c r="AS1331" s="8"/>
      <c r="AT1331" s="8" t="str">
        <f ca="1">IFERROR(__xludf.DUMMYFUNCTION("""COMPUTED_VALUE"""),"Yes")</f>
        <v>Yes</v>
      </c>
      <c r="AU1331" s="8">
        <f ca="1">IFERROR(__xludf.DUMMYFUNCTION("""COMPUTED_VALUE"""),33.724713)</f>
        <v>33.724713000000001</v>
      </c>
      <c r="AV1331" s="8">
        <f ca="1">IFERROR(__xludf.DUMMYFUNCTION("""COMPUTED_VALUE"""),-84.128056)</f>
        <v>-84.128056000000001</v>
      </c>
      <c r="AW1331" s="8"/>
      <c r="AX1331" s="8">
        <f ca="1">IFERROR(__xludf.DUMMYFUNCTION("""COMPUTED_VALUE"""),30058)</f>
        <v>30058</v>
      </c>
    </row>
    <row r="1332" spans="1:50" ht="105" x14ac:dyDescent="0.2">
      <c r="A1332" s="8" t="str">
        <f ca="1">IFERROR(__xludf.DUMMYFUNCTION("""COMPUTED_VALUE"""),"20210812CANOS")</f>
        <v>20210812CANOS</v>
      </c>
      <c r="B1332" s="8">
        <f ca="1">IFERROR(__xludf.DUMMYFUNCTION("""COMPUTED_VALUE"""),8)</f>
        <v>8</v>
      </c>
      <c r="C1332" s="8">
        <f ca="1">IFERROR(__xludf.DUMMYFUNCTION("""COMPUTED_VALUE"""),12)</f>
        <v>12</v>
      </c>
      <c r="D1332" s="8">
        <f ca="1">IFERROR(__xludf.DUMMYFUNCTION("""COMPUTED_VALUE"""),2021)</f>
        <v>2021</v>
      </c>
      <c r="E1332" s="9">
        <f ca="1">IFERROR(__xludf.DUMMYFUNCTION("""COMPUTED_VALUE"""),44420)</f>
        <v>44420</v>
      </c>
      <c r="F1332" s="8" t="str">
        <f ca="1">IFERROR(__xludf.DUMMYFUNCTION("""COMPUTED_VALUE"""),"North Mountain Middle School")</f>
        <v>North Mountain Middle School</v>
      </c>
      <c r="G1332" s="8">
        <f ca="1">IFERROR(__xludf.DUMMYFUNCTION("""COMPUTED_VALUE"""),0)</f>
        <v>0</v>
      </c>
      <c r="H1332" s="8">
        <f ca="1">IFERROR(__xludf.DUMMYFUNCTION("""COMPUTED_VALUE"""),0)</f>
        <v>0</v>
      </c>
      <c r="I1332" s="8">
        <f ca="1">IFERROR(__xludf.DUMMYFUNCTION("""COMPUTED_VALUE"""),0)</f>
        <v>0</v>
      </c>
      <c r="J1332" s="8">
        <f ca="1">IFERROR(__xludf.DUMMYFUNCTION("""COMPUTED_VALUE"""),0)</f>
        <v>0</v>
      </c>
      <c r="K1332" s="10" t="str">
        <f ca="1">IFERROR(__xludf.DUMMYFUNCTION("""COMPUTED_VALUE"""),"https://www.pe.com/2021/08/12/early-morning-gunshot-locks-down-san-jacintos-north-mountain-middle-school/")</f>
        <v>https://www.pe.com/2021/08/12/early-morning-gunshot-locks-down-san-jacintos-north-mountain-middle-school/</v>
      </c>
      <c r="L1332" s="8">
        <f ca="1">IFERROR(__xludf.DUMMYFUNCTION("""COMPUTED_VALUE"""),1)</f>
        <v>1</v>
      </c>
      <c r="M1332" s="8" t="str">
        <f ca="1">IFERROR(__xludf.DUMMYFUNCTION("""COMPUTED_VALUE"""),"Local")</f>
        <v>Local</v>
      </c>
      <c r="N1332" s="8">
        <f ca="1">IFERROR(__xludf.DUMMYFUNCTION("""COMPUTED_VALUE"""),4)</f>
        <v>4</v>
      </c>
      <c r="O1332" s="8" t="str">
        <f ca="1">IFERROR(__xludf.DUMMYFUNCTION("""COMPUTED_VALUE"""),"Fall")</f>
        <v>Fall</v>
      </c>
      <c r="P1332" s="8" t="str">
        <f ca="1">IFERROR(__xludf.DUMMYFUNCTION("""COMPUTED_VALUE"""),"San Jacinto")</f>
        <v>San Jacinto</v>
      </c>
      <c r="Q1332" s="8" t="str">
        <f ca="1">IFERROR(__xludf.DUMMYFUNCTION("""COMPUTED_VALUE"""),"CA")</f>
        <v>CA</v>
      </c>
      <c r="R1332" s="8" t="str">
        <f ca="1">IFERROR(__xludf.DUMMYFUNCTION("""COMPUTED_VALUE"""),"Middle")</f>
        <v>Middle</v>
      </c>
      <c r="S1332" s="8" t="str">
        <f ca="1">IFERROR(__xludf.DUMMYFUNCTION("""COMPUTED_VALUE"""),"Bathroom")</f>
        <v>Bathroom</v>
      </c>
      <c r="T1332" s="8" t="str">
        <f ca="1">IFERROR(__xludf.DUMMYFUNCTION("""COMPUTED_VALUE"""),"Inside School Building")</f>
        <v>Inside School Building</v>
      </c>
      <c r="U1332" s="8" t="str">
        <f ca="1">IFERROR(__xludf.DUMMYFUNCTION("""COMPUTED_VALUE"""),"Yes")</f>
        <v>Yes</v>
      </c>
      <c r="V1332" s="8" t="str">
        <f ca="1">IFERROR(__xludf.DUMMYFUNCTION("""COMPUTED_VALUE"""),"School Start")</f>
        <v>School Start</v>
      </c>
      <c r="W1332" s="11">
        <f ca="1">IFERROR(__xludf.DUMMYFUNCTION("""COMPUTED_VALUE"""),0.299305555555555)</f>
        <v>0.29930555555555499</v>
      </c>
      <c r="X1332" s="8">
        <f ca="1">IFERROR(__xludf.DUMMYFUNCTION("""COMPUTED_VALUE"""),1)</f>
        <v>1</v>
      </c>
      <c r="Y1332" s="12" t="str">
        <f ca="1">IFERROR(__xludf.DUMMYFUNCTION("""COMPUTED_VALUE"""),"Student fired shot in the school bathroom")</f>
        <v>Student fired shot in the school bathroom</v>
      </c>
      <c r="Z1332" s="12" t="str">
        <f ca="1">IFERROR(__xludf.DUMMYFUNCTION("""COMPUTED_VALUE"""),"As the school opened, a student fired a shot inside a bathroom of the school. The student was the only person in the bathroom at the time of the shooting. School used active shooter plan and went into lockdown. 4 minutes later, sheriff's deputies located "&amp;"the student, secured the firearm, and released the lockdown. Student was arrested. Motive unknown.")</f>
        <v>As the school opened, a student fired a shot inside a bathroom of the school. The student was the only person in the bathroom at the time of the shooting. School used active shooter plan and went into lockdown. 4 minutes later, sheriff's deputies located the student, secured the firearm, and released the lockdown. Student was arrested. Motive unknown.</v>
      </c>
      <c r="AA1332" s="8"/>
      <c r="AB1332" s="8"/>
      <c r="AC1332" s="8" t="str">
        <f ca="1">IFERROR(__xludf.DUMMYFUNCTION("""COMPUTED_VALUE"""),"Yes")</f>
        <v>Yes</v>
      </c>
      <c r="AD1332" s="8" t="str">
        <f ca="1">IFERROR(__xludf.DUMMYFUNCTION("""COMPUTED_VALUE"""),"Neither")</f>
        <v>Neither</v>
      </c>
      <c r="AE1332" s="8" t="str">
        <f ca="1">IFERROR(__xludf.DUMMYFUNCTION("""COMPUTED_VALUE"""),"No")</f>
        <v>No</v>
      </c>
      <c r="AF1332" s="8"/>
      <c r="AG1332" s="8" t="str">
        <f ca="1">IFERROR(__xludf.DUMMYFUNCTION("""COMPUTED_VALUE"""),"No")</f>
        <v>No</v>
      </c>
      <c r="AH1332" s="8" t="str">
        <f ca="1">IFERROR(__xludf.DUMMYFUNCTION("""COMPUTED_VALUE"""),"No")</f>
        <v>No</v>
      </c>
      <c r="AI1332" s="8" t="str">
        <f ca="1">IFERROR(__xludf.DUMMYFUNCTION("""COMPUTED_VALUE"""),"No")</f>
        <v>No</v>
      </c>
      <c r="AJ1332" s="8"/>
      <c r="AK1332" s="8" t="str">
        <f ca="1">IFERROR(__xludf.DUMMYFUNCTION("""COMPUTED_VALUE"""),"No")</f>
        <v>No</v>
      </c>
      <c r="AL1332" s="8" t="str">
        <f ca="1">IFERROR(__xludf.DUMMYFUNCTION("""COMPUTED_VALUE"""),"No")</f>
        <v>No</v>
      </c>
      <c r="AM1332" s="8" t="str">
        <f ca="1">IFERROR(__xludf.DUMMYFUNCTION("""COMPUTED_VALUE"""),"No")</f>
        <v>No</v>
      </c>
      <c r="AN1332" s="8"/>
      <c r="AO1332" s="8"/>
      <c r="AP1332" s="8" t="str">
        <f ca="1">IFERROR(__xludf.DUMMYFUNCTION("""COMPUTED_VALUE"""),"Yes")</f>
        <v>Yes</v>
      </c>
      <c r="AQ1332" s="8"/>
      <c r="AR1332" s="8"/>
      <c r="AS1332" s="8">
        <f ca="1">IFERROR(__xludf.DUMMYFUNCTION("""COMPUTED_VALUE"""),1)</f>
        <v>1</v>
      </c>
      <c r="AT1332" s="8" t="str">
        <f ca="1">IFERROR(__xludf.DUMMYFUNCTION("""COMPUTED_VALUE"""),"Yes")</f>
        <v>Yes</v>
      </c>
      <c r="AU1332" s="8">
        <f ca="1">IFERROR(__xludf.DUMMYFUNCTION("""COMPUTED_VALUE"""),33.779013)</f>
        <v>33.779012999999999</v>
      </c>
      <c r="AV1332" s="8">
        <f ca="1">IFERROR(__xludf.DUMMYFUNCTION("""COMPUTED_VALUE"""),-116.938647)</f>
        <v>-116.938647</v>
      </c>
      <c r="AW1332" s="8"/>
      <c r="AX1332" s="8">
        <f ca="1">IFERROR(__xludf.DUMMYFUNCTION("""COMPUTED_VALUE"""),92644)</f>
        <v>92644</v>
      </c>
    </row>
    <row r="1333" spans="1:50" ht="45" x14ac:dyDescent="0.2">
      <c r="A1333" s="8" t="str">
        <f ca="1">IFERROR(__xludf.DUMMYFUNCTION("""COMPUTED_VALUE"""),"20210811COMAC")</f>
        <v>20210811COMAC</v>
      </c>
      <c r="B1333" s="8">
        <f ca="1">IFERROR(__xludf.DUMMYFUNCTION("""COMPUTED_VALUE"""),8)</f>
        <v>8</v>
      </c>
      <c r="C1333" s="8">
        <f ca="1">IFERROR(__xludf.DUMMYFUNCTION("""COMPUTED_VALUE"""),11)</f>
        <v>11</v>
      </c>
      <c r="D1333" s="8">
        <f ca="1">IFERROR(__xludf.DUMMYFUNCTION("""COMPUTED_VALUE"""),2021)</f>
        <v>2021</v>
      </c>
      <c r="E1333" s="9">
        <f ca="1">IFERROR(__xludf.DUMMYFUNCTION("""COMPUTED_VALUE"""),44419)</f>
        <v>44419</v>
      </c>
      <c r="F1333" s="8" t="str">
        <f ca="1">IFERROR(__xludf.DUMMYFUNCTION("""COMPUTED_VALUE"""),"Mark Twain Elementary School")</f>
        <v>Mark Twain Elementary School</v>
      </c>
      <c r="G1333" s="8">
        <f ca="1">IFERROR(__xludf.DUMMYFUNCTION("""COMPUTED_VALUE"""),0)</f>
        <v>0</v>
      </c>
      <c r="H1333" s="8">
        <f ca="1">IFERROR(__xludf.DUMMYFUNCTION("""COMPUTED_VALUE"""),1)</f>
        <v>1</v>
      </c>
      <c r="I1333" s="8">
        <f ca="1">IFERROR(__xludf.DUMMYFUNCTION("""COMPUTED_VALUE"""),1)</f>
        <v>1</v>
      </c>
      <c r="J1333" s="8">
        <f ca="1">IFERROR(__xludf.DUMMYFUNCTION("""COMPUTED_VALUE"""),0)</f>
        <v>0</v>
      </c>
      <c r="K1333" s="8" t="str">
        <f ca="1">IFERROR(__xludf.DUMMYFUNCTION("""COMPUTED_VALUE"""),"https://www.koaa.com/news/covering-colorado/one-person-shot-near-mark-twain-elementary-wednesday-morning https://www.kktv.com/2021/08/11/one-person-shot-outside-colorado-springs-elementary-school-wednesday-morning/ https://gazette.com/news/one-seriously-w"&amp;"ounded-in-shooting-near-colorado-springs-elementary-school/article_aa8617d2-fa9d-11eb-80d9-e729e24e8452.html")</f>
        <v>https://www.koaa.com/news/covering-colorado/one-person-shot-near-mark-twain-elementary-wednesday-morning https://www.kktv.com/2021/08/11/one-person-shot-outside-colorado-springs-elementary-school-wednesday-morning/ https://gazette.com/news/one-seriously-wounded-in-shooting-near-colorado-springs-elementary-school/article_aa8617d2-fa9d-11eb-80d9-e729e24e8452.html</v>
      </c>
      <c r="L1333" s="8">
        <f ca="1">IFERROR(__xludf.DUMMYFUNCTION("""COMPUTED_VALUE"""),3)</f>
        <v>3</v>
      </c>
      <c r="M1333" s="8" t="str">
        <f ca="1">IFERROR(__xludf.DUMMYFUNCTION("""COMPUTED_VALUE"""),"Local")</f>
        <v>Local</v>
      </c>
      <c r="N1333" s="8">
        <f ca="1">IFERROR(__xludf.DUMMYFUNCTION("""COMPUTED_VALUE"""),3)</f>
        <v>3</v>
      </c>
      <c r="O1333" s="8" t="str">
        <f ca="1">IFERROR(__xludf.DUMMYFUNCTION("""COMPUTED_VALUE"""),"Summer")</f>
        <v>Summer</v>
      </c>
      <c r="P1333" s="8" t="str">
        <f ca="1">IFERROR(__xludf.DUMMYFUNCTION("""COMPUTED_VALUE"""),"Colorado Springs")</f>
        <v>Colorado Springs</v>
      </c>
      <c r="Q1333" s="8" t="str">
        <f ca="1">IFERROR(__xludf.DUMMYFUNCTION("""COMPUTED_VALUE"""),"CO")</f>
        <v>CO</v>
      </c>
      <c r="R1333" s="8" t="str">
        <f ca="1">IFERROR(__xludf.DUMMYFUNCTION("""COMPUTED_VALUE"""),"Elementary")</f>
        <v>Elementary</v>
      </c>
      <c r="S1333" s="8" t="str">
        <f ca="1">IFERROR(__xludf.DUMMYFUNCTION("""COMPUTED_VALUE"""),"Outside on School Property")</f>
        <v>Outside on School Property</v>
      </c>
      <c r="T1333" s="8" t="str">
        <f ca="1">IFERROR(__xludf.DUMMYFUNCTION("""COMPUTED_VALUE"""),"Outside on School Property")</f>
        <v>Outside on School Property</v>
      </c>
      <c r="U1333" s="8" t="str">
        <f ca="1">IFERROR(__xludf.DUMMYFUNCTION("""COMPUTED_VALUE"""),"No")</f>
        <v>No</v>
      </c>
      <c r="V1333" s="8" t="str">
        <f ca="1">IFERROR(__xludf.DUMMYFUNCTION("""COMPUTED_VALUE"""),"Night")</f>
        <v>Night</v>
      </c>
      <c r="W1333" s="11">
        <f ca="1">IFERROR(__xludf.DUMMYFUNCTION("""COMPUTED_VALUE"""),0.0416666666666666)</f>
        <v>4.1666666666666602E-2</v>
      </c>
      <c r="X1333" s="8">
        <f ca="1">IFERROR(__xludf.DUMMYFUNCTION("""COMPUTED_VALUE"""),1)</f>
        <v>1</v>
      </c>
      <c r="Y1333" s="12" t="str">
        <f ca="1">IFERROR(__xludf.DUMMYFUNCTION("""COMPUTED_VALUE"""),"Man shot outside of the school")</f>
        <v>Man shot outside of the school</v>
      </c>
      <c r="Z1333" s="12" t="str">
        <f ca="1">IFERROR(__xludf.DUMMYFUNCTION("""COMPUTED_VALUE"""),"An adult male was shot outside of the school and walked several blocks before telling officers he was shot. School was closed at the time of the shooting.")</f>
        <v>An adult male was shot outside of the school and walked several blocks before telling officers he was shot. School was closed at the time of the shooting.</v>
      </c>
      <c r="AA1333" s="8"/>
      <c r="AB1333" s="8"/>
      <c r="AC1333" s="8" t="str">
        <f ca="1">IFERROR(__xludf.DUMMYFUNCTION("""COMPUTED_VALUE"""),"No")</f>
        <v>No</v>
      </c>
      <c r="AD1333" s="8"/>
      <c r="AE1333" s="8" t="str">
        <f ca="1">IFERROR(__xludf.DUMMYFUNCTION("""COMPUTED_VALUE"""),"No")</f>
        <v>No</v>
      </c>
      <c r="AF1333" s="8"/>
      <c r="AG1333" s="8" t="str">
        <f ca="1">IFERROR(__xludf.DUMMYFUNCTION("""COMPUTED_VALUE"""),"No")</f>
        <v>No</v>
      </c>
      <c r="AH1333" s="8" t="str">
        <f ca="1">IFERROR(__xludf.DUMMYFUNCTION("""COMPUTED_VALUE"""),"No")</f>
        <v>No</v>
      </c>
      <c r="AI1333" s="8" t="str">
        <f ca="1">IFERROR(__xludf.DUMMYFUNCTION("""COMPUTED_VALUE"""),"No")</f>
        <v>No</v>
      </c>
      <c r="AJ1333" s="8" t="str">
        <f ca="1">IFERROR(__xludf.DUMMYFUNCTION("""COMPUTED_VALUE"""),"No")</f>
        <v>No</v>
      </c>
      <c r="AK1333" s="8" t="str">
        <f ca="1">IFERROR(__xludf.DUMMYFUNCTION("""COMPUTED_VALUE"""),"No")</f>
        <v>No</v>
      </c>
      <c r="AL1333" s="8"/>
      <c r="AM1333" s="8" t="str">
        <f ca="1">IFERROR(__xludf.DUMMYFUNCTION("""COMPUTED_VALUE"""),"No")</f>
        <v>No</v>
      </c>
      <c r="AN1333" s="8"/>
      <c r="AO1333" s="8" t="str">
        <f ca="1">IFERROR(__xludf.DUMMYFUNCTION("""COMPUTED_VALUE"""),"No")</f>
        <v>No</v>
      </c>
      <c r="AP1333" s="8"/>
      <c r="AQ1333" s="8"/>
      <c r="AR1333" s="8" t="str">
        <f ca="1">IFERROR(__xludf.DUMMYFUNCTION("""COMPUTED_VALUE"""),"Outside/Off-Property")</f>
        <v>Outside/Off-Property</v>
      </c>
      <c r="AS1333" s="8"/>
      <c r="AT1333" s="8"/>
      <c r="AU1333" s="8">
        <f ca="1">IFERROR(__xludf.DUMMYFUNCTION("""COMPUTED_VALUE"""),38.851703)</f>
        <v>38.851703000000001</v>
      </c>
      <c r="AV1333" s="8">
        <f ca="1">IFERROR(__xludf.DUMMYFUNCTION("""COMPUTED_VALUE"""),-104.767291)</f>
        <v>-104.767291</v>
      </c>
      <c r="AW1333" s="8"/>
      <c r="AX1333" s="8">
        <f ca="1">IFERROR(__xludf.DUMMYFUNCTION("""COMPUTED_VALUE"""),80909)</f>
        <v>80909</v>
      </c>
    </row>
    <row r="1334" spans="1:50" ht="75" x14ac:dyDescent="0.2">
      <c r="A1334" s="8" t="str">
        <f ca="1">IFERROR(__xludf.DUMMYFUNCTION("""COMPUTED_VALUE"""),"20210811CAOAO")</f>
        <v>20210811CAOAO</v>
      </c>
      <c r="B1334" s="8">
        <f ca="1">IFERROR(__xludf.DUMMYFUNCTION("""COMPUTED_VALUE"""),8)</f>
        <v>8</v>
      </c>
      <c r="C1334" s="8">
        <f ca="1">IFERROR(__xludf.DUMMYFUNCTION("""COMPUTED_VALUE"""),11)</f>
        <v>11</v>
      </c>
      <c r="D1334" s="8">
        <f ca="1">IFERROR(__xludf.DUMMYFUNCTION("""COMPUTED_VALUE"""),2021)</f>
        <v>2021</v>
      </c>
      <c r="E1334" s="9">
        <f ca="1">IFERROR(__xludf.DUMMYFUNCTION("""COMPUTED_VALUE"""),44419)</f>
        <v>44419</v>
      </c>
      <c r="F1334" s="8" t="str">
        <f ca="1">IFERROR(__xludf.DUMMYFUNCTION("""COMPUTED_VALUE"""),"Oakland Tech High School")</f>
        <v>Oakland Tech High School</v>
      </c>
      <c r="G1334" s="8">
        <f ca="1">IFERROR(__xludf.DUMMYFUNCTION("""COMPUTED_VALUE"""),0)</f>
        <v>0</v>
      </c>
      <c r="H1334" s="8">
        <f ca="1">IFERROR(__xludf.DUMMYFUNCTION("""COMPUTED_VALUE"""),0)</f>
        <v>0</v>
      </c>
      <c r="I1334" s="8">
        <f ca="1">IFERROR(__xludf.DUMMYFUNCTION("""COMPUTED_VALUE"""),0)</f>
        <v>0</v>
      </c>
      <c r="J1334" s="8">
        <f ca="1">IFERROR(__xludf.DUMMYFUNCTION("""COMPUTED_VALUE"""),0)</f>
        <v>0</v>
      </c>
      <c r="K1334" s="8" t="str">
        <f ca="1">IFERROR(__xludf.DUMMYFUNCTION("""COMPUTED_VALUE"""),"https://www.kron4.com/news/bay-area/shots-fired-near-oakland-tech-high-school/ https://sanfrancisco.cbslocal.com/2021/08/13/after-school-shooting-near-oakland-tech/")</f>
        <v>https://www.kron4.com/news/bay-area/shots-fired-near-oakland-tech-high-school/ https://sanfrancisco.cbslocal.com/2021/08/13/after-school-shooting-near-oakland-tech/</v>
      </c>
      <c r="L1334" s="8">
        <f ca="1">IFERROR(__xludf.DUMMYFUNCTION("""COMPUTED_VALUE"""),3)</f>
        <v>3</v>
      </c>
      <c r="M1334" s="8" t="str">
        <f ca="1">IFERROR(__xludf.DUMMYFUNCTION("""COMPUTED_VALUE"""),"Local")</f>
        <v>Local</v>
      </c>
      <c r="N1334" s="8">
        <f ca="1">IFERROR(__xludf.DUMMYFUNCTION("""COMPUTED_VALUE"""),4)</f>
        <v>4</v>
      </c>
      <c r="O1334" s="8" t="str">
        <f ca="1">IFERROR(__xludf.DUMMYFUNCTION("""COMPUTED_VALUE"""),"Fall")</f>
        <v>Fall</v>
      </c>
      <c r="P1334" s="8" t="str">
        <f ca="1">IFERROR(__xludf.DUMMYFUNCTION("""COMPUTED_VALUE"""),"Oakland")</f>
        <v>Oakland</v>
      </c>
      <c r="Q1334" s="8" t="str">
        <f ca="1">IFERROR(__xludf.DUMMYFUNCTION("""COMPUTED_VALUE"""),"CA")</f>
        <v>CA</v>
      </c>
      <c r="R1334" s="8" t="str">
        <f ca="1">IFERROR(__xludf.DUMMYFUNCTION("""COMPUTED_VALUE"""),"High")</f>
        <v>High</v>
      </c>
      <c r="S1334" s="8" t="str">
        <f ca="1">IFERROR(__xludf.DUMMYFUNCTION("""COMPUTED_VALUE"""),"Beside Building")</f>
        <v>Beside Building</v>
      </c>
      <c r="T1334" s="8" t="str">
        <f ca="1">IFERROR(__xludf.DUMMYFUNCTION("""COMPUTED_VALUE"""),"Outside on School Property")</f>
        <v>Outside on School Property</v>
      </c>
      <c r="U1334" s="8" t="str">
        <f ca="1">IFERROR(__xludf.DUMMYFUNCTION("""COMPUTED_VALUE"""),"Yes")</f>
        <v>Yes</v>
      </c>
      <c r="V1334" s="8" t="str">
        <f ca="1">IFERROR(__xludf.DUMMYFUNCTION("""COMPUTED_VALUE"""),"Dismissal")</f>
        <v>Dismissal</v>
      </c>
      <c r="W1334" s="11">
        <f ca="1">IFERROR(__xludf.DUMMYFUNCTION("""COMPUTED_VALUE"""),0.645833333333333)</f>
        <v>0.64583333333333304</v>
      </c>
      <c r="X1334" s="8">
        <f ca="1">IFERROR(__xludf.DUMMYFUNCTION("""COMPUTED_VALUE"""),1)</f>
        <v>1</v>
      </c>
      <c r="Y1334" s="12" t="str">
        <f ca="1">IFERROR(__xludf.DUMMYFUNCTION("""COMPUTED_VALUE"""),"Shots fired outside of the school during dismissal")</f>
        <v>Shots fired outside of the school during dismissal</v>
      </c>
      <c r="Z1334" s="12" t="str">
        <f ca="1">IFERROR(__xludf.DUMMYFUNCTION("""COMPUTED_VALUE"""),"10 shots were fired during dismissal of the school. Shooter fled the scene. Students who were still in the building were locked down and parents picked them up away from the campus. No injuries. Shell casing were recovered next to the building.")</f>
        <v>10 shots were fired during dismissal of the school. Shooter fled the scene. Students who were still in the building were locked down and parents picked them up away from the campus. No injuries. Shell casing were recovered next to the building.</v>
      </c>
      <c r="AA1334" s="8"/>
      <c r="AB1334" s="8"/>
      <c r="AC1334" s="8" t="str">
        <f ca="1">IFERROR(__xludf.DUMMYFUNCTION("""COMPUTED_VALUE"""),"Yes")</f>
        <v>Yes</v>
      </c>
      <c r="AD1334" s="8"/>
      <c r="AE1334" s="8" t="str">
        <f ca="1">IFERROR(__xludf.DUMMYFUNCTION("""COMPUTED_VALUE"""),"No")</f>
        <v>No</v>
      </c>
      <c r="AF1334" s="8"/>
      <c r="AG1334" s="8" t="str">
        <f ca="1">IFERROR(__xludf.DUMMYFUNCTION("""COMPUTED_VALUE"""),"No")</f>
        <v>No</v>
      </c>
      <c r="AH1334" s="8" t="str">
        <f ca="1">IFERROR(__xludf.DUMMYFUNCTION("""COMPUTED_VALUE"""),"No")</f>
        <v>No</v>
      </c>
      <c r="AI1334" s="8" t="str">
        <f ca="1">IFERROR(__xludf.DUMMYFUNCTION("""COMPUTED_VALUE"""),"No")</f>
        <v>No</v>
      </c>
      <c r="AJ1334" s="8" t="str">
        <f ca="1">IFERROR(__xludf.DUMMYFUNCTION("""COMPUTED_VALUE"""),"No")</f>
        <v>No</v>
      </c>
      <c r="AK1334" s="8" t="str">
        <f ca="1">IFERROR(__xludf.DUMMYFUNCTION("""COMPUTED_VALUE"""),"No")</f>
        <v>No</v>
      </c>
      <c r="AL1334" s="8"/>
      <c r="AM1334" s="8" t="str">
        <f ca="1">IFERROR(__xludf.DUMMYFUNCTION("""COMPUTED_VALUE"""),"No")</f>
        <v>No</v>
      </c>
      <c r="AN1334" s="8"/>
      <c r="AO1334" s="8" t="str">
        <f ca="1">IFERROR(__xludf.DUMMYFUNCTION("""COMPUTED_VALUE"""),"No")</f>
        <v>No</v>
      </c>
      <c r="AP1334" s="8"/>
      <c r="AQ1334" s="8"/>
      <c r="AR1334" s="8" t="str">
        <f ca="1">IFERROR(__xludf.DUMMYFUNCTION("""COMPUTED_VALUE"""),"Outside/Off-Property")</f>
        <v>Outside/Off-Property</v>
      </c>
      <c r="AS1334" s="8">
        <f ca="1">IFERROR(__xludf.DUMMYFUNCTION("""COMPUTED_VALUE"""),10)</f>
        <v>10</v>
      </c>
      <c r="AT1334" s="8" t="str">
        <f ca="1">IFERROR(__xludf.DUMMYFUNCTION("""COMPUTED_VALUE"""),"Yes")</f>
        <v>Yes</v>
      </c>
      <c r="AU1334" s="8">
        <f ca="1">IFERROR(__xludf.DUMMYFUNCTION("""COMPUTED_VALUE"""),37.832749)</f>
        <v>37.832749</v>
      </c>
      <c r="AV1334" s="8">
        <f ca="1">IFERROR(__xludf.DUMMYFUNCTION("""COMPUTED_VALUE"""),-122.256354)</f>
        <v>-122.256354</v>
      </c>
      <c r="AW1334" s="8"/>
      <c r="AX1334" s="8">
        <f ca="1">IFERROR(__xludf.DUMMYFUNCTION("""COMPUTED_VALUE"""),94609)</f>
        <v>94609</v>
      </c>
    </row>
    <row r="1335" spans="1:50" ht="75" x14ac:dyDescent="0.2">
      <c r="A1335" s="8" t="str">
        <f ca="1">IFERROR(__xludf.DUMMYFUNCTION("""COMPUTED_VALUE"""),"20210810OHEAC")</f>
        <v>20210810OHEAC</v>
      </c>
      <c r="B1335" s="8">
        <f ca="1">IFERROR(__xludf.DUMMYFUNCTION("""COMPUTED_VALUE"""),8)</f>
        <v>8</v>
      </c>
      <c r="C1335" s="8">
        <f ca="1">IFERROR(__xludf.DUMMYFUNCTION("""COMPUTED_VALUE"""),10)</f>
        <v>10</v>
      </c>
      <c r="D1335" s="8">
        <f ca="1">IFERROR(__xludf.DUMMYFUNCTION("""COMPUTED_VALUE"""),2021)</f>
        <v>2021</v>
      </c>
      <c r="E1335" s="9">
        <f ca="1">IFERROR(__xludf.DUMMYFUNCTION("""COMPUTED_VALUE"""),44418)</f>
        <v>44418</v>
      </c>
      <c r="F1335" s="8" t="str">
        <f ca="1">IFERROR(__xludf.DUMMYFUNCTION("""COMPUTED_VALUE"""),"East Linden Elementary School")</f>
        <v>East Linden Elementary School</v>
      </c>
      <c r="G1335" s="8">
        <f ca="1">IFERROR(__xludf.DUMMYFUNCTION("""COMPUTED_VALUE"""),0)</f>
        <v>0</v>
      </c>
      <c r="H1335" s="8">
        <f ca="1">IFERROR(__xludf.DUMMYFUNCTION("""COMPUTED_VALUE"""),1)</f>
        <v>1</v>
      </c>
      <c r="I1335" s="8">
        <f ca="1">IFERROR(__xludf.DUMMYFUNCTION("""COMPUTED_VALUE"""),1)</f>
        <v>1</v>
      </c>
      <c r="J1335" s="8">
        <f ca="1">IFERROR(__xludf.DUMMYFUNCTION("""COMPUTED_VALUE"""),0)</f>
        <v>0</v>
      </c>
      <c r="K1335" s="8" t="str">
        <f ca="1">IFERROR(__xludf.DUMMYFUNCTION("""COMPUTED_VALUE"""),"https://www.cleveland.com/crime/2021/08/boy-12-playing-with-gun-outside-columbus-elementary-school-accidentally-shoots-teen.html https://www.nbc4i.com/news/local-news/columbus/person-stable-after-being-found-shot-near-east-columbus-elementary-school/ http"&amp;"s://www.10tv.com/article/news/local/teen-injured-in-shooting-outside-east-linden-elementary/530-8bd0002b-4f06-46c0-a090-782563e20e0d https://abc6onyourside.com/news/local/shooting-near-east-linden-elementary-school-8-10-2021")</f>
        <v>https://www.cleveland.com/crime/2021/08/boy-12-playing-with-gun-outside-columbus-elementary-school-accidentally-shoots-teen.html https://www.nbc4i.com/news/local-news/columbus/person-stable-after-being-found-shot-near-east-columbus-elementary-school/ https://www.10tv.com/article/news/local/teen-injured-in-shooting-outside-east-linden-elementary/530-8bd0002b-4f06-46c0-a090-782563e20e0d https://abc6onyourside.com/news/local/shooting-near-east-linden-elementary-school-8-10-2021</v>
      </c>
      <c r="L1335" s="8">
        <f ca="1">IFERROR(__xludf.DUMMYFUNCTION("""COMPUTED_VALUE"""),4)</f>
        <v>4</v>
      </c>
      <c r="M1335" s="8" t="str">
        <f ca="1">IFERROR(__xludf.DUMMYFUNCTION("""COMPUTED_VALUE"""),"Local")</f>
        <v>Local</v>
      </c>
      <c r="N1335" s="8">
        <f ca="1">IFERROR(__xludf.DUMMYFUNCTION("""COMPUTED_VALUE"""),4)</f>
        <v>4</v>
      </c>
      <c r="O1335" s="8" t="str">
        <f ca="1">IFERROR(__xludf.DUMMYFUNCTION("""COMPUTED_VALUE"""),"Summer")</f>
        <v>Summer</v>
      </c>
      <c r="P1335" s="8" t="str">
        <f ca="1">IFERROR(__xludf.DUMMYFUNCTION("""COMPUTED_VALUE"""),"Columbus")</f>
        <v>Columbus</v>
      </c>
      <c r="Q1335" s="8" t="str">
        <f ca="1">IFERROR(__xludf.DUMMYFUNCTION("""COMPUTED_VALUE"""),"OH")</f>
        <v>OH</v>
      </c>
      <c r="R1335" s="8" t="str">
        <f ca="1">IFERROR(__xludf.DUMMYFUNCTION("""COMPUTED_VALUE"""),"Elementary")</f>
        <v>Elementary</v>
      </c>
      <c r="S1335" s="8" t="str">
        <f ca="1">IFERROR(__xludf.DUMMYFUNCTION("""COMPUTED_VALUE"""),"Beside Building")</f>
        <v>Beside Building</v>
      </c>
      <c r="T1335" s="8" t="str">
        <f ca="1">IFERROR(__xludf.DUMMYFUNCTION("""COMPUTED_VALUE"""),"Outside on School Property")</f>
        <v>Outside on School Property</v>
      </c>
      <c r="U1335" s="8" t="str">
        <f ca="1">IFERROR(__xludf.DUMMYFUNCTION("""COMPUTED_VALUE"""),"No")</f>
        <v>No</v>
      </c>
      <c r="V1335" s="8" t="str">
        <f ca="1">IFERROR(__xludf.DUMMYFUNCTION("""COMPUTED_VALUE"""),"Evening")</f>
        <v>Evening</v>
      </c>
      <c r="W1335" s="11">
        <f ca="1">IFERROR(__xludf.DUMMYFUNCTION("""COMPUTED_VALUE"""),0.716666666666666)</f>
        <v>0.71666666666666601</v>
      </c>
      <c r="X1335" s="8">
        <f ca="1">IFERROR(__xludf.DUMMYFUNCTION("""COMPUTED_VALUE"""),1)</f>
        <v>1</v>
      </c>
      <c r="Y1335" s="12" t="str">
        <f ca="1">IFERROR(__xludf.DUMMYFUNCTION("""COMPUTED_VALUE"""),"Group of teens was playing with gun, one shot was fired striking a teen")</f>
        <v>Group of teens was playing with gun, one shot was fired striking a teen</v>
      </c>
      <c r="Z1335" s="12" t="str">
        <f ca="1">IFERROR(__xludf.DUMMYFUNCTION("""COMPUTED_VALUE"""),"A 15-year-old teen was shot in the stomach. A group of teens were playing with the gun and a 12-year-old male fired the accidental shot. Police are reviewing the case to determine if charges will be filed. Victim was transported to the hospital.")</f>
        <v>A 15-year-old teen was shot in the stomach. A group of teens were playing with the gun and a 12-year-old male fired the accidental shot. Police are reviewing the case to determine if charges will be filed. Victim was transported to the hospital.</v>
      </c>
      <c r="AA1335" s="8" t="str">
        <f ca="1">IFERROR(__xludf.DUMMYFUNCTION("""COMPUTED_VALUE"""),"Accidental")</f>
        <v>Accidental</v>
      </c>
      <c r="AB1335" s="8"/>
      <c r="AC1335" s="8" t="str">
        <f ca="1">IFERROR(__xludf.DUMMYFUNCTION("""COMPUTED_VALUE"""),"Yes")</f>
        <v>Yes</v>
      </c>
      <c r="AD1335" s="8" t="str">
        <f ca="1">IFERROR(__xludf.DUMMYFUNCTION("""COMPUTED_VALUE"""),"Random Shooting")</f>
        <v>Random Shooting</v>
      </c>
      <c r="AE1335" s="8" t="str">
        <f ca="1">IFERROR(__xludf.DUMMYFUNCTION("""COMPUTED_VALUE"""),"No")</f>
        <v>No</v>
      </c>
      <c r="AF1335" s="8"/>
      <c r="AG1335" s="8" t="str">
        <f ca="1">IFERROR(__xludf.DUMMYFUNCTION("""COMPUTED_VALUE"""),"No")</f>
        <v>No</v>
      </c>
      <c r="AH1335" s="8" t="str">
        <f ca="1">IFERROR(__xludf.DUMMYFUNCTION("""COMPUTED_VALUE"""),"No")</f>
        <v>No</v>
      </c>
      <c r="AI1335" s="8" t="str">
        <f ca="1">IFERROR(__xludf.DUMMYFUNCTION("""COMPUTED_VALUE"""),"No")</f>
        <v>No</v>
      </c>
      <c r="AJ1335" s="8" t="str">
        <f ca="1">IFERROR(__xludf.DUMMYFUNCTION("""COMPUTED_VALUE"""),"No")</f>
        <v>No</v>
      </c>
      <c r="AK1335" s="8" t="str">
        <f ca="1">IFERROR(__xludf.DUMMYFUNCTION("""COMPUTED_VALUE"""),"No")</f>
        <v>No</v>
      </c>
      <c r="AL1335" s="8" t="str">
        <f ca="1">IFERROR(__xludf.DUMMYFUNCTION("""COMPUTED_VALUE"""),"No")</f>
        <v>No</v>
      </c>
      <c r="AM1335" s="8" t="str">
        <f ca="1">IFERROR(__xludf.DUMMYFUNCTION("""COMPUTED_VALUE"""),"No")</f>
        <v>No</v>
      </c>
      <c r="AN1335" s="8"/>
      <c r="AO1335" s="8" t="str">
        <f ca="1">IFERROR(__xludf.DUMMYFUNCTION("""COMPUTED_VALUE"""),"No")</f>
        <v>No</v>
      </c>
      <c r="AP1335" s="8"/>
      <c r="AQ1335" s="8"/>
      <c r="AR1335" s="8" t="str">
        <f ca="1">IFERROR(__xludf.DUMMYFUNCTION("""COMPUTED_VALUE"""),"Outside/Off-Property")</f>
        <v>Outside/Off-Property</v>
      </c>
      <c r="AS1335" s="8">
        <f ca="1">IFERROR(__xludf.DUMMYFUNCTION("""COMPUTED_VALUE"""),1)</f>
        <v>1</v>
      </c>
      <c r="AT1335" s="8"/>
      <c r="AU1335" s="8">
        <f ca="1">IFERROR(__xludf.DUMMYFUNCTION("""COMPUTED_VALUE"""),40.020088)</f>
        <v>40.020088000000001</v>
      </c>
      <c r="AV1335" s="8">
        <f ca="1">IFERROR(__xludf.DUMMYFUNCTION("""COMPUTED_VALUE"""),-82.948473)</f>
        <v>-82.948473000000007</v>
      </c>
      <c r="AW1335" s="8"/>
      <c r="AX1335" s="8">
        <f ca="1">IFERROR(__xludf.DUMMYFUNCTION("""COMPUTED_VALUE"""),43129)</f>
        <v>43129</v>
      </c>
    </row>
    <row r="1336" spans="1:50" ht="45" x14ac:dyDescent="0.2">
      <c r="A1336" s="8" t="str">
        <f ca="1">IFERROR(__xludf.DUMMYFUNCTION("""COMPUTED_VALUE"""),"20210807ORGIP")</f>
        <v>20210807ORGIP</v>
      </c>
      <c r="B1336" s="8">
        <f ca="1">IFERROR(__xludf.DUMMYFUNCTION("""COMPUTED_VALUE"""),8)</f>
        <v>8</v>
      </c>
      <c r="C1336" s="8">
        <f ca="1">IFERROR(__xludf.DUMMYFUNCTION("""COMPUTED_VALUE"""),7)</f>
        <v>7</v>
      </c>
      <c r="D1336" s="8">
        <f ca="1">IFERROR(__xludf.DUMMYFUNCTION("""COMPUTED_VALUE"""),2021)</f>
        <v>2021</v>
      </c>
      <c r="E1336" s="9">
        <f ca="1">IFERROR(__xludf.DUMMYFUNCTION("""COMPUTED_VALUE"""),44415)</f>
        <v>44415</v>
      </c>
      <c r="F1336" s="8" t="str">
        <f ca="1">IFERROR(__xludf.DUMMYFUNCTION("""COMPUTED_VALUE"""),"Gilbert Heights Elementary School")</f>
        <v>Gilbert Heights Elementary School</v>
      </c>
      <c r="G1336" s="8">
        <f ca="1">IFERROR(__xludf.DUMMYFUNCTION("""COMPUTED_VALUE"""),1)</f>
        <v>1</v>
      </c>
      <c r="H1336" s="8">
        <f ca="1">IFERROR(__xludf.DUMMYFUNCTION("""COMPUTED_VALUE"""),0)</f>
        <v>0</v>
      </c>
      <c r="I1336" s="8">
        <f ca="1">IFERROR(__xludf.DUMMYFUNCTION("""COMPUTED_VALUE"""),1)</f>
        <v>1</v>
      </c>
      <c r="J1336" s="8">
        <f ca="1">IFERROR(__xludf.DUMMYFUNCTION("""COMPUTED_VALUE"""),0)</f>
        <v>0</v>
      </c>
      <c r="K1336" s="10" t="str">
        <f ca="1">IFERROR(__xludf.DUMMYFUNCTION("""COMPUTED_VALUE"""),"https://www.oregonlive.com/portland/2021/08/man-found-dead-after-shooting-in-portlands-powellhurst-gilbert-neighborhood-police-say.html")</f>
        <v>https://www.oregonlive.com/portland/2021/08/man-found-dead-after-shooting-in-portlands-powellhurst-gilbert-neighborhood-police-say.html</v>
      </c>
      <c r="L1336" s="8">
        <f ca="1">IFERROR(__xludf.DUMMYFUNCTION("""COMPUTED_VALUE"""),1)</f>
        <v>1</v>
      </c>
      <c r="M1336" s="8" t="str">
        <f ca="1">IFERROR(__xludf.DUMMYFUNCTION("""COMPUTED_VALUE"""),"Local")</f>
        <v>Local</v>
      </c>
      <c r="N1336" s="8">
        <f ca="1">IFERROR(__xludf.DUMMYFUNCTION("""COMPUTED_VALUE"""),3)</f>
        <v>3</v>
      </c>
      <c r="O1336" s="8" t="str">
        <f ca="1">IFERROR(__xludf.DUMMYFUNCTION("""COMPUTED_VALUE"""),"Summer")</f>
        <v>Summer</v>
      </c>
      <c r="P1336" s="8" t="str">
        <f ca="1">IFERROR(__xludf.DUMMYFUNCTION("""COMPUTED_VALUE"""),"Portland")</f>
        <v>Portland</v>
      </c>
      <c r="Q1336" s="8" t="str">
        <f ca="1">IFERROR(__xludf.DUMMYFUNCTION("""COMPUTED_VALUE"""),"OR")</f>
        <v>OR</v>
      </c>
      <c r="R1336" s="8" t="str">
        <f ca="1">IFERROR(__xludf.DUMMYFUNCTION("""COMPUTED_VALUE"""),"Elementary")</f>
        <v>Elementary</v>
      </c>
      <c r="S1336" s="8" t="str">
        <f ca="1">IFERROR(__xludf.DUMMYFUNCTION("""COMPUTED_VALUE"""),"Parking Lot")</f>
        <v>Parking Lot</v>
      </c>
      <c r="T1336" s="8" t="str">
        <f ca="1">IFERROR(__xludf.DUMMYFUNCTION("""COMPUTED_VALUE"""),"Outside on School Property")</f>
        <v>Outside on School Property</v>
      </c>
      <c r="U1336" s="8" t="str">
        <f ca="1">IFERROR(__xludf.DUMMYFUNCTION("""COMPUTED_VALUE"""),"No")</f>
        <v>No</v>
      </c>
      <c r="V1336" s="8" t="str">
        <f ca="1">IFERROR(__xludf.DUMMYFUNCTION("""COMPUTED_VALUE"""),"Night")</f>
        <v>Night</v>
      </c>
      <c r="W1336" s="8"/>
      <c r="X1336" s="8"/>
      <c r="Y1336" s="12" t="str">
        <f ca="1">IFERROR(__xludf.DUMMYFUNCTION("""COMPUTED_VALUE"""),"Man found fatally shot in school parking lot")</f>
        <v>Man found fatally shot in school parking lot</v>
      </c>
      <c r="Z1336" s="12" t="str">
        <f ca="1">IFERROR(__xludf.DUMMYFUNCTION("""COMPUTED_VALUE"""),"A security guard found the body of a man who had been fatally shot in the parking lot behind the school.")</f>
        <v>A security guard found the body of a man who had been fatally shot in the parking lot behind the school.</v>
      </c>
      <c r="AA1336" s="8"/>
      <c r="AB1336" s="8"/>
      <c r="AC1336" s="8" t="str">
        <f ca="1">IFERROR(__xludf.DUMMYFUNCTION("""COMPUTED_VALUE"""),"No")</f>
        <v>No</v>
      </c>
      <c r="AD1336" s="8"/>
      <c r="AE1336" s="8"/>
      <c r="AF1336" s="8"/>
      <c r="AG1336" s="8" t="str">
        <f ca="1">IFERROR(__xludf.DUMMYFUNCTION("""COMPUTED_VALUE"""),"No")</f>
        <v>No</v>
      </c>
      <c r="AH1336" s="8" t="str">
        <f ca="1">IFERROR(__xludf.DUMMYFUNCTION("""COMPUTED_VALUE"""),"No")</f>
        <v>No</v>
      </c>
      <c r="AI1336" s="8" t="str">
        <f ca="1">IFERROR(__xludf.DUMMYFUNCTION("""COMPUTED_VALUE"""),"No")</f>
        <v>No</v>
      </c>
      <c r="AJ1336" s="8" t="str">
        <f ca="1">IFERROR(__xludf.DUMMYFUNCTION("""COMPUTED_VALUE"""),"No")</f>
        <v>No</v>
      </c>
      <c r="AK1336" s="8"/>
      <c r="AL1336" s="8"/>
      <c r="AM1336" s="8" t="str">
        <f ca="1">IFERROR(__xludf.DUMMYFUNCTION("""COMPUTED_VALUE"""),"No")</f>
        <v>No</v>
      </c>
      <c r="AN1336" s="8"/>
      <c r="AO1336" s="8" t="str">
        <f ca="1">IFERROR(__xludf.DUMMYFUNCTION("""COMPUTED_VALUE"""),"No")</f>
        <v>No</v>
      </c>
      <c r="AP1336" s="8"/>
      <c r="AQ1336" s="8"/>
      <c r="AR1336" s="8" t="str">
        <f ca="1">IFERROR(__xludf.DUMMYFUNCTION("""COMPUTED_VALUE"""),"Outside/Off-Property")</f>
        <v>Outside/Off-Property</v>
      </c>
      <c r="AS1336" s="8"/>
      <c r="AT1336" s="8"/>
      <c r="AU1336" s="8">
        <f ca="1">IFERROR(__xludf.DUMMYFUNCTION("""COMPUTED_VALUE"""),45.491071)</f>
        <v>45.491070999999998</v>
      </c>
      <c r="AV1336" s="8">
        <f ca="1">IFERROR(__xludf.DUMMYFUNCTION("""COMPUTED_VALUE"""),-122.530843)</f>
        <v>-122.530843</v>
      </c>
      <c r="AW1336" s="8"/>
      <c r="AX1336" s="8">
        <f ca="1">IFERROR(__xludf.DUMMYFUNCTION("""COMPUTED_VALUE"""),97236)</f>
        <v>97236</v>
      </c>
    </row>
    <row r="1337" spans="1:50" ht="75" x14ac:dyDescent="0.2">
      <c r="A1337" s="8" t="str">
        <f ca="1">IFERROR(__xludf.DUMMYFUNCTION("""COMPUTED_VALUE"""),"20210806LASTH")</f>
        <v>20210806LASTH</v>
      </c>
      <c r="B1337" s="8">
        <f ca="1">IFERROR(__xludf.DUMMYFUNCTION("""COMPUTED_VALUE"""),8)</f>
        <v>8</v>
      </c>
      <c r="C1337" s="8">
        <f ca="1">IFERROR(__xludf.DUMMYFUNCTION("""COMPUTED_VALUE"""),6)</f>
        <v>6</v>
      </c>
      <c r="D1337" s="8">
        <f ca="1">IFERROR(__xludf.DUMMYFUNCTION("""COMPUTED_VALUE"""),2021)</f>
        <v>2021</v>
      </c>
      <c r="E1337" s="9">
        <f ca="1">IFERROR(__xludf.DUMMYFUNCTION("""COMPUTED_VALUE"""),44414)</f>
        <v>44414</v>
      </c>
      <c r="F1337" s="8" t="str">
        <f ca="1">IFERROR(__xludf.DUMMYFUNCTION("""COMPUTED_VALUE"""),"St. Francis de Sales school")</f>
        <v>St. Francis de Sales school</v>
      </c>
      <c r="G1337" s="8">
        <f ca="1">IFERROR(__xludf.DUMMYFUNCTION("""COMPUTED_VALUE"""),0)</f>
        <v>0</v>
      </c>
      <c r="H1337" s="8">
        <f ca="1">IFERROR(__xludf.DUMMYFUNCTION("""COMPUTED_VALUE"""),1)</f>
        <v>1</v>
      </c>
      <c r="I1337" s="8">
        <f ca="1">IFERROR(__xludf.DUMMYFUNCTION("""COMPUTED_VALUE"""),1)</f>
        <v>1</v>
      </c>
      <c r="J1337" s="8">
        <f ca="1">IFERROR(__xludf.DUMMYFUNCTION("""COMPUTED_VALUE"""),0)</f>
        <v>0</v>
      </c>
      <c r="K1337" s="8" t="str">
        <f ca="1">IFERROR(__xludf.DUMMYFUNCTION("""COMPUTED_VALUE"""),"https://www.fox8live.com/2021/08/06/grandmother-shot-while-picking-up-grandkids-school/ https://www.wwltv.com/article/news/local/lafourche-terrebonne/houma-grandmother-shot-while-picking-up-grandkids-from-school-police-report/289-7613b278-3224-442a-9631-3"&amp;"17fc8286309 https://www.houmatoday.com/story/news/2021/08/06/woman-shot-while-picking-up-grandkids-houma-school-police-say/5517607001/")</f>
        <v>https://www.fox8live.com/2021/08/06/grandmother-shot-while-picking-up-grandkids-school/ https://www.wwltv.com/article/news/local/lafourche-terrebonne/houma-grandmother-shot-while-picking-up-grandkids-from-school-police-report/289-7613b278-3224-442a-9631-317fc8286309 https://www.houmatoday.com/story/news/2021/08/06/woman-shot-while-picking-up-grandkids-houma-school-police-say/5517607001/</v>
      </c>
      <c r="L1337" s="8">
        <f ca="1">IFERROR(__xludf.DUMMYFUNCTION("""COMPUTED_VALUE"""),3)</f>
        <v>3</v>
      </c>
      <c r="M1337" s="8" t="str">
        <f ca="1">IFERROR(__xludf.DUMMYFUNCTION("""COMPUTED_VALUE"""),"Local")</f>
        <v>Local</v>
      </c>
      <c r="N1337" s="8">
        <f ca="1">IFERROR(__xludf.DUMMYFUNCTION("""COMPUTED_VALUE"""),4)</f>
        <v>4</v>
      </c>
      <c r="O1337" s="8" t="str">
        <f ca="1">IFERROR(__xludf.DUMMYFUNCTION("""COMPUTED_VALUE"""),"Summer")</f>
        <v>Summer</v>
      </c>
      <c r="P1337" s="8" t="str">
        <f ca="1">IFERROR(__xludf.DUMMYFUNCTION("""COMPUTED_VALUE"""),"Houma")</f>
        <v>Houma</v>
      </c>
      <c r="Q1337" s="8" t="str">
        <f ca="1">IFERROR(__xludf.DUMMYFUNCTION("""COMPUTED_VALUE"""),"LA")</f>
        <v>LA</v>
      </c>
      <c r="R1337" s="8" t="str">
        <f ca="1">IFERROR(__xludf.DUMMYFUNCTION("""COMPUTED_VALUE"""),"K-8")</f>
        <v>K-8</v>
      </c>
      <c r="S1337" s="8" t="str">
        <f ca="1">IFERROR(__xludf.DUMMYFUNCTION("""COMPUTED_VALUE"""),"Front of School")</f>
        <v>Front of School</v>
      </c>
      <c r="T1337" s="8" t="str">
        <f ca="1">IFERROR(__xludf.DUMMYFUNCTION("""COMPUTED_VALUE"""),"Outside on School Property")</f>
        <v>Outside on School Property</v>
      </c>
      <c r="U1337" s="8" t="str">
        <f ca="1">IFERROR(__xludf.DUMMYFUNCTION("""COMPUTED_VALUE"""),"Yes")</f>
        <v>Yes</v>
      </c>
      <c r="V1337" s="8" t="str">
        <f ca="1">IFERROR(__xludf.DUMMYFUNCTION("""COMPUTED_VALUE"""),"Dismissal")</f>
        <v>Dismissal</v>
      </c>
      <c r="W1337" s="11">
        <f ca="1">IFERROR(__xludf.DUMMYFUNCTION("""COMPUTED_VALUE"""),0.541666666666666)</f>
        <v>0.54166666666666596</v>
      </c>
      <c r="X1337" s="8">
        <f ca="1">IFERROR(__xludf.DUMMYFUNCTION("""COMPUTED_VALUE"""),1)</f>
        <v>1</v>
      </c>
      <c r="Y1337" s="12" t="str">
        <f ca="1">IFERROR(__xludf.DUMMYFUNCTION("""COMPUTED_VALUE"""),"Woman shot inside her car in pick-up line during attempted robbery")</f>
        <v>Woman shot inside her car in pick-up line during attempted robbery</v>
      </c>
      <c r="Z1337" s="12" t="str">
        <f ca="1">IFERROR(__xludf.DUMMYFUNCTION("""COMPUTED_VALUE"""),"A 60-year-old woman was inside her vehicle in the pick-up line waiting for her grandchildren. A 17-year-old male opened her car door, attempted to steal property, and then shot her once in the abdomen. Shooter fled the scene. No students or staff were inj"&amp;"ured.")</f>
        <v>A 60-year-old woman was inside her vehicle in the pick-up line waiting for her grandchildren. A 17-year-old male opened her car door, attempted to steal property, and then shot her once in the abdomen. Shooter fled the scene. No students or staff were injured.</v>
      </c>
      <c r="AA1337" s="8" t="str">
        <f ca="1">IFERROR(__xludf.DUMMYFUNCTION("""COMPUTED_VALUE"""),"Illegal Activity")</f>
        <v>Illegal Activity</v>
      </c>
      <c r="AB1337" s="8"/>
      <c r="AC1337" s="8" t="str">
        <f ca="1">IFERROR(__xludf.DUMMYFUNCTION("""COMPUTED_VALUE"""),"Yes")</f>
        <v>Yes</v>
      </c>
      <c r="AD1337" s="8" t="str">
        <f ca="1">IFERROR(__xludf.DUMMYFUNCTION("""COMPUTED_VALUE"""),"Random Shooting")</f>
        <v>Random Shooting</v>
      </c>
      <c r="AE1337" s="8" t="str">
        <f ca="1">IFERROR(__xludf.DUMMYFUNCTION("""COMPUTED_VALUE"""),"No")</f>
        <v>No</v>
      </c>
      <c r="AF1337" s="8"/>
      <c r="AG1337" s="8" t="str">
        <f ca="1">IFERROR(__xludf.DUMMYFUNCTION("""COMPUTED_VALUE"""),"No")</f>
        <v>No</v>
      </c>
      <c r="AH1337" s="8" t="str">
        <f ca="1">IFERROR(__xludf.DUMMYFUNCTION("""COMPUTED_VALUE"""),"No")</f>
        <v>No</v>
      </c>
      <c r="AI1337" s="8" t="str">
        <f ca="1">IFERROR(__xludf.DUMMYFUNCTION("""COMPUTED_VALUE"""),"No")</f>
        <v>No</v>
      </c>
      <c r="AJ1337" s="8" t="str">
        <f ca="1">IFERROR(__xludf.DUMMYFUNCTION("""COMPUTED_VALUE"""),"No")</f>
        <v>No</v>
      </c>
      <c r="AK1337" s="8" t="str">
        <f ca="1">IFERROR(__xludf.DUMMYFUNCTION("""COMPUTED_VALUE"""),"No")</f>
        <v>No</v>
      </c>
      <c r="AL1337" s="8" t="str">
        <f ca="1">IFERROR(__xludf.DUMMYFUNCTION("""COMPUTED_VALUE"""),"No")</f>
        <v>No</v>
      </c>
      <c r="AM1337" s="8" t="str">
        <f ca="1">IFERROR(__xludf.DUMMYFUNCTION("""COMPUTED_VALUE"""),"No")</f>
        <v>No</v>
      </c>
      <c r="AN1337" s="8"/>
      <c r="AO1337" s="8" t="str">
        <f ca="1">IFERROR(__xludf.DUMMYFUNCTION("""COMPUTED_VALUE"""),"No")</f>
        <v>No</v>
      </c>
      <c r="AP1337" s="8"/>
      <c r="AQ1337" s="8"/>
      <c r="AR1337" s="8" t="str">
        <f ca="1">IFERROR(__xludf.DUMMYFUNCTION("""COMPUTED_VALUE"""),"Outside/Off-Property")</f>
        <v>Outside/Off-Property</v>
      </c>
      <c r="AS1337" s="8">
        <f ca="1">IFERROR(__xludf.DUMMYFUNCTION("""COMPUTED_VALUE"""),1)</f>
        <v>1</v>
      </c>
      <c r="AT1337" s="8"/>
      <c r="AU1337" s="8">
        <f ca="1">IFERROR(__xludf.DUMMYFUNCTION("""COMPUTED_VALUE"""),29.595105)</f>
        <v>29.595105</v>
      </c>
      <c r="AV1337" s="8">
        <f ca="1">IFERROR(__xludf.DUMMYFUNCTION("""COMPUTED_VALUE"""),-90.723337)</f>
        <v>-90.723337000000001</v>
      </c>
      <c r="AW1337" s="8"/>
      <c r="AX1337" s="8">
        <f ca="1">IFERROR(__xludf.DUMMYFUNCTION("""COMPUTED_VALUE"""),70360)</f>
        <v>70360</v>
      </c>
    </row>
    <row r="1338" spans="1:50" ht="75" x14ac:dyDescent="0.2">
      <c r="A1338" s="8" t="str">
        <f ca="1">IFERROR(__xludf.DUMMYFUNCTION("""COMPUTED_VALUE"""),"20210805GACHD")</f>
        <v>20210805GACHD</v>
      </c>
      <c r="B1338" s="8">
        <f ca="1">IFERROR(__xludf.DUMMYFUNCTION("""COMPUTED_VALUE"""),8)</f>
        <v>8</v>
      </c>
      <c r="C1338" s="8">
        <f ca="1">IFERROR(__xludf.DUMMYFUNCTION("""COMPUTED_VALUE"""),5)</f>
        <v>5</v>
      </c>
      <c r="D1338" s="8">
        <f ca="1">IFERROR(__xludf.DUMMYFUNCTION("""COMPUTED_VALUE"""),2021)</f>
        <v>2021</v>
      </c>
      <c r="E1338" s="9">
        <f ca="1">IFERROR(__xludf.DUMMYFUNCTION("""COMPUTED_VALUE"""),44413)</f>
        <v>44413</v>
      </c>
      <c r="F1338" s="8" t="str">
        <f ca="1">IFERROR(__xludf.DUMMYFUNCTION("""COMPUTED_VALUE"""),"Chapel Hill Middle School")</f>
        <v>Chapel Hill Middle School</v>
      </c>
      <c r="G1338" s="8">
        <f ca="1">IFERROR(__xludf.DUMMYFUNCTION("""COMPUTED_VALUE"""),0)</f>
        <v>0</v>
      </c>
      <c r="H1338" s="8">
        <f ca="1">IFERROR(__xludf.DUMMYFUNCTION("""COMPUTED_VALUE"""),0)</f>
        <v>0</v>
      </c>
      <c r="I1338" s="8">
        <f ca="1">IFERROR(__xludf.DUMMYFUNCTION("""COMPUTED_VALUE"""),0)</f>
        <v>0</v>
      </c>
      <c r="J1338" s="8">
        <f ca="1">IFERROR(__xludf.DUMMYFUNCTION("""COMPUTED_VALUE"""),0)</f>
        <v>0</v>
      </c>
      <c r="K1338" s="8" t="str">
        <f ca="1">IFERROR(__xludf.DUMMYFUNCTION("""COMPUTED_VALUE"""),"https://www.fox5atlanta.com/news/fire-damages-dekalb-county-school-teacher-charged-with-arson https://www.foxnews.com/us/georgia-teacher-faces-arson-charge-middle-school")</f>
        <v>https://www.fox5atlanta.com/news/fire-damages-dekalb-county-school-teacher-charged-with-arson https://www.foxnews.com/us/georgia-teacher-faces-arson-charge-middle-school</v>
      </c>
      <c r="L1338" s="8">
        <f ca="1">IFERROR(__xludf.DUMMYFUNCTION("""COMPUTED_VALUE"""),2)</f>
        <v>2</v>
      </c>
      <c r="M1338" s="8" t="str">
        <f ca="1">IFERROR(__xludf.DUMMYFUNCTION("""COMPUTED_VALUE"""),"National")</f>
        <v>National</v>
      </c>
      <c r="N1338" s="8">
        <f ca="1">IFERROR(__xludf.DUMMYFUNCTION("""COMPUTED_VALUE"""),4)</f>
        <v>4</v>
      </c>
      <c r="O1338" s="8" t="str">
        <f ca="1">IFERROR(__xludf.DUMMYFUNCTION("""COMPUTED_VALUE"""),"Summer")</f>
        <v>Summer</v>
      </c>
      <c r="P1338" s="8" t="str">
        <f ca="1">IFERROR(__xludf.DUMMYFUNCTION("""COMPUTED_VALUE"""),"Douglasville")</f>
        <v>Douglasville</v>
      </c>
      <c r="Q1338" s="8" t="str">
        <f ca="1">IFERROR(__xludf.DUMMYFUNCTION("""COMPUTED_VALUE"""),"GA")</f>
        <v>GA</v>
      </c>
      <c r="R1338" s="8" t="str">
        <f ca="1">IFERROR(__xludf.DUMMYFUNCTION("""COMPUTED_VALUE"""),"Middle")</f>
        <v>Middle</v>
      </c>
      <c r="S1338" s="8" t="str">
        <f ca="1">IFERROR(__xludf.DUMMYFUNCTION("""COMPUTED_VALUE"""),"Office")</f>
        <v>Office</v>
      </c>
      <c r="T1338" s="8" t="str">
        <f ca="1">IFERROR(__xludf.DUMMYFUNCTION("""COMPUTED_VALUE"""),"Inside School Building")</f>
        <v>Inside School Building</v>
      </c>
      <c r="U1338" s="8" t="str">
        <f ca="1">IFERROR(__xludf.DUMMYFUNCTION("""COMPUTED_VALUE"""),"No")</f>
        <v>No</v>
      </c>
      <c r="V1338" s="8" t="str">
        <f ca="1">IFERROR(__xludf.DUMMYFUNCTION("""COMPUTED_VALUE"""),"Night")</f>
        <v>Night</v>
      </c>
      <c r="W1338" s="8"/>
      <c r="X1338" s="8"/>
      <c r="Y1338" s="12" t="str">
        <f ca="1">IFERROR(__xludf.DUMMYFUNCTION("""COMPUTED_VALUE"""),"Teacher set fired to school office and fired shots, placed on admin leave day prior")</f>
        <v>Teacher set fired to school office and fired shots, placed on admin leave day prior</v>
      </c>
      <c r="Z1338" s="12" t="str">
        <f ca="1">IFERROR(__xludf.DUMMYFUNCTION("""COMPUTED_VALUE"""),"A 23-year-old male teacher set a fire in the office of the school building and fired 5 shots. He was arrested charged with first-degree arson, property damage, and gun charges. He was placed on administrative leave the day prior to the shooting.")</f>
        <v>A 23-year-old male teacher set a fire in the office of the school building and fired 5 shots. He was arrested charged with first-degree arson, property damage, and gun charges. He was placed on administrative leave the day prior to the shooting.</v>
      </c>
      <c r="AA1338" s="8" t="str">
        <f ca="1">IFERROR(__xludf.DUMMYFUNCTION("""COMPUTED_VALUE"""),"Intentional Property Damage")</f>
        <v>Intentional Property Damage</v>
      </c>
      <c r="AB1338" s="8"/>
      <c r="AC1338" s="8" t="str">
        <f ca="1">IFERROR(__xludf.DUMMYFUNCTION("""COMPUTED_VALUE"""),"Yes")</f>
        <v>Yes</v>
      </c>
      <c r="AD1338" s="8" t="str">
        <f ca="1">IFERROR(__xludf.DUMMYFUNCTION("""COMPUTED_VALUE"""),"Neither")</f>
        <v>Neither</v>
      </c>
      <c r="AE1338" s="8" t="str">
        <f ca="1">IFERROR(__xludf.DUMMYFUNCTION("""COMPUTED_VALUE"""),"No")</f>
        <v>No</v>
      </c>
      <c r="AF1338" s="8"/>
      <c r="AG1338" s="8" t="str">
        <f ca="1">IFERROR(__xludf.DUMMYFUNCTION("""COMPUTED_VALUE"""),"No")</f>
        <v>No</v>
      </c>
      <c r="AH1338" s="8" t="str">
        <f ca="1">IFERROR(__xludf.DUMMYFUNCTION("""COMPUTED_VALUE"""),"No")</f>
        <v>No</v>
      </c>
      <c r="AI1338" s="8" t="str">
        <f ca="1">IFERROR(__xludf.DUMMYFUNCTION("""COMPUTED_VALUE"""),"No")</f>
        <v>No</v>
      </c>
      <c r="AJ1338" s="8" t="str">
        <f ca="1">IFERROR(__xludf.DUMMYFUNCTION("""COMPUTED_VALUE"""),"No")</f>
        <v>No</v>
      </c>
      <c r="AK1338" s="8" t="str">
        <f ca="1">IFERROR(__xludf.DUMMYFUNCTION("""COMPUTED_VALUE"""),"No")</f>
        <v>No</v>
      </c>
      <c r="AL1338" s="8" t="str">
        <f ca="1">IFERROR(__xludf.DUMMYFUNCTION("""COMPUTED_VALUE"""),"No")</f>
        <v>No</v>
      </c>
      <c r="AM1338" s="8" t="str">
        <f ca="1">IFERROR(__xludf.DUMMYFUNCTION("""COMPUTED_VALUE"""),"No")</f>
        <v>No</v>
      </c>
      <c r="AN1338" s="8"/>
      <c r="AO1338" s="8"/>
      <c r="AP1338" s="8"/>
      <c r="AQ1338" s="8"/>
      <c r="AR1338" s="8"/>
      <c r="AS1338" s="8">
        <f ca="1">IFERROR(__xludf.DUMMYFUNCTION("""COMPUTED_VALUE"""),5)</f>
        <v>5</v>
      </c>
      <c r="AT1338" s="8"/>
      <c r="AU1338" s="8">
        <f ca="1">IFERROR(__xludf.DUMMYFUNCTION("""COMPUTED_VALUE"""),33.695887)</f>
        <v>33.695886999999999</v>
      </c>
      <c r="AV1338" s="8">
        <f ca="1">IFERROR(__xludf.DUMMYFUNCTION("""COMPUTED_VALUE"""),-84.71848)</f>
        <v>-84.71848</v>
      </c>
      <c r="AW1338" s="8"/>
      <c r="AX1338" s="8">
        <f ca="1">IFERROR(__xludf.DUMMYFUNCTION("""COMPUTED_VALUE"""),30135)</f>
        <v>30135</v>
      </c>
    </row>
    <row r="1339" spans="1:50" ht="60" x14ac:dyDescent="0.2">
      <c r="A1339" s="8" t="str">
        <f ca="1">IFERROR(__xludf.DUMMYFUNCTION("""COMPUTED_VALUE"""),"20210804ALBUM")</f>
        <v>20210804ALBUM</v>
      </c>
      <c r="B1339" s="8">
        <f ca="1">IFERROR(__xludf.DUMMYFUNCTION("""COMPUTED_VALUE"""),8)</f>
        <v>8</v>
      </c>
      <c r="C1339" s="8">
        <f ca="1">IFERROR(__xludf.DUMMYFUNCTION("""COMPUTED_VALUE"""),4)</f>
        <v>4</v>
      </c>
      <c r="D1339" s="8">
        <f ca="1">IFERROR(__xludf.DUMMYFUNCTION("""COMPUTED_VALUE"""),2021)</f>
        <v>2021</v>
      </c>
      <c r="E1339" s="9">
        <f ca="1">IFERROR(__xludf.DUMMYFUNCTION("""COMPUTED_VALUE"""),44412)</f>
        <v>44412</v>
      </c>
      <c r="F1339" s="8" t="str">
        <f ca="1">IFERROR(__xludf.DUMMYFUNCTION("""COMPUTED_VALUE"""),"Burns Middle School")</f>
        <v>Burns Middle School</v>
      </c>
      <c r="G1339" s="8">
        <f ca="1">IFERROR(__xludf.DUMMYFUNCTION("""COMPUTED_VALUE"""),0)</f>
        <v>0</v>
      </c>
      <c r="H1339" s="8">
        <f ca="1">IFERROR(__xludf.DUMMYFUNCTION("""COMPUTED_VALUE"""),2)</f>
        <v>2</v>
      </c>
      <c r="I1339" s="8">
        <f ca="1">IFERROR(__xludf.DUMMYFUNCTION("""COMPUTED_VALUE"""),2)</f>
        <v>2</v>
      </c>
      <c r="J1339" s="8">
        <f ca="1">IFERROR(__xludf.DUMMYFUNCTION("""COMPUTED_VALUE"""),0)</f>
        <v>0</v>
      </c>
      <c r="K1339" s="8" t="str">
        <f ca="1">IFERROR(__xludf.DUMMYFUNCTION("""COMPUTED_VALUE"""),"https://www.wkrg.com/top-stories/mobile-police-investigating-report-of-shots-fired-at-burns-middle-school/ https://www.fox10tv.com/news/mobile_county/mpd-investigates-early-morning-shooting-at-burns-middle-school/article_37508968-f5d5-11eb-8e04-1b58453661"&amp;"27.html")</f>
        <v>https://www.wkrg.com/top-stories/mobile-police-investigating-report-of-shots-fired-at-burns-middle-school/ https://www.fox10tv.com/news/mobile_county/mpd-investigates-early-morning-shooting-at-burns-middle-school/article_37508968-f5d5-11eb-8e04-1b5845366127.html</v>
      </c>
      <c r="L1339" s="8">
        <f ca="1">IFERROR(__xludf.DUMMYFUNCTION("""COMPUTED_VALUE"""),2)</f>
        <v>2</v>
      </c>
      <c r="M1339" s="8" t="str">
        <f ca="1">IFERROR(__xludf.DUMMYFUNCTION("""COMPUTED_VALUE"""),"Local")</f>
        <v>Local</v>
      </c>
      <c r="N1339" s="8">
        <f ca="1">IFERROR(__xludf.DUMMYFUNCTION("""COMPUTED_VALUE"""),4)</f>
        <v>4</v>
      </c>
      <c r="O1339" s="8" t="str">
        <f ca="1">IFERROR(__xludf.DUMMYFUNCTION("""COMPUTED_VALUE"""),"Summer")</f>
        <v>Summer</v>
      </c>
      <c r="P1339" s="8" t="str">
        <f ca="1">IFERROR(__xludf.DUMMYFUNCTION("""COMPUTED_VALUE"""),"Mobile")</f>
        <v>Mobile</v>
      </c>
      <c r="Q1339" s="8" t="str">
        <f ca="1">IFERROR(__xludf.DUMMYFUNCTION("""COMPUTED_VALUE"""),"AL")</f>
        <v>AL</v>
      </c>
      <c r="R1339" s="8" t="str">
        <f ca="1">IFERROR(__xludf.DUMMYFUNCTION("""COMPUTED_VALUE"""),"Middle")</f>
        <v>Middle</v>
      </c>
      <c r="S1339" s="8" t="str">
        <f ca="1">IFERROR(__xludf.DUMMYFUNCTION("""COMPUTED_VALUE"""),"Parking Lot")</f>
        <v>Parking Lot</v>
      </c>
      <c r="T1339" s="8" t="str">
        <f ca="1">IFERROR(__xludf.DUMMYFUNCTION("""COMPUTED_VALUE"""),"Outside on School Property")</f>
        <v>Outside on School Property</v>
      </c>
      <c r="U1339" s="8" t="str">
        <f ca="1">IFERROR(__xludf.DUMMYFUNCTION("""COMPUTED_VALUE"""),"No")</f>
        <v>No</v>
      </c>
      <c r="V1339" s="8" t="str">
        <f ca="1">IFERROR(__xludf.DUMMYFUNCTION("""COMPUTED_VALUE"""),"Night")</f>
        <v>Night</v>
      </c>
      <c r="W1339" s="11">
        <f ca="1">IFERROR(__xludf.DUMMYFUNCTION("""COMPUTED_VALUE"""),0.129166666666666)</f>
        <v>0.12916666666666601</v>
      </c>
      <c r="X1339" s="8">
        <f ca="1">IFERROR(__xludf.DUMMYFUNCTION("""COMPUTED_VALUE"""),1)</f>
        <v>1</v>
      </c>
      <c r="Y1339" s="12" t="str">
        <f ca="1">IFERROR(__xludf.DUMMYFUNCTION("""COMPUTED_VALUE"""),"Two teens shot in school parking lot")</f>
        <v>Two teens shot in school parking lot</v>
      </c>
      <c r="Z1339" s="12" t="str">
        <f ca="1">IFERROR(__xludf.DUMMYFUNCTION("""COMPUTED_VALUE"""),"Two teens were shot in the parking lot of the school. One victim was found at the scene. The other was dropped off at a local hospital. Shooter fled. School was closed at the time of the shooting.")</f>
        <v>Two teens were shot in the parking lot of the school. One victim was found at the scene. The other was dropped off at a local hospital. Shooter fled. School was closed at the time of the shooting.</v>
      </c>
      <c r="AA1339" s="8"/>
      <c r="AB1339" s="8"/>
      <c r="AC1339" s="8" t="str">
        <f ca="1">IFERROR(__xludf.DUMMYFUNCTION("""COMPUTED_VALUE"""),"No")</f>
        <v>No</v>
      </c>
      <c r="AD1339" s="8"/>
      <c r="AE1339" s="8"/>
      <c r="AF1339" s="8"/>
      <c r="AG1339" s="8" t="str">
        <f ca="1">IFERROR(__xludf.DUMMYFUNCTION("""COMPUTED_VALUE"""),"No")</f>
        <v>No</v>
      </c>
      <c r="AH1339" s="8" t="str">
        <f ca="1">IFERROR(__xludf.DUMMYFUNCTION("""COMPUTED_VALUE"""),"No")</f>
        <v>No</v>
      </c>
      <c r="AI1339" s="8" t="str">
        <f ca="1">IFERROR(__xludf.DUMMYFUNCTION("""COMPUTED_VALUE"""),"No")</f>
        <v>No</v>
      </c>
      <c r="AJ1339" s="8" t="str">
        <f ca="1">IFERROR(__xludf.DUMMYFUNCTION("""COMPUTED_VALUE"""),"No")</f>
        <v>No</v>
      </c>
      <c r="AK1339" s="8" t="str">
        <f ca="1">IFERROR(__xludf.DUMMYFUNCTION("""COMPUTED_VALUE"""),"No")</f>
        <v>No</v>
      </c>
      <c r="AL1339" s="8"/>
      <c r="AM1339" s="8" t="str">
        <f ca="1">IFERROR(__xludf.DUMMYFUNCTION("""COMPUTED_VALUE"""),"No")</f>
        <v>No</v>
      </c>
      <c r="AN1339" s="8"/>
      <c r="AO1339" s="8" t="str">
        <f ca="1">IFERROR(__xludf.DUMMYFUNCTION("""COMPUTED_VALUE"""),"No")</f>
        <v>No</v>
      </c>
      <c r="AP1339" s="8"/>
      <c r="AQ1339" s="8"/>
      <c r="AR1339" s="8" t="str">
        <f ca="1">IFERROR(__xludf.DUMMYFUNCTION("""COMPUTED_VALUE"""),"Outside/Off-Property")</f>
        <v>Outside/Off-Property</v>
      </c>
      <c r="AS1339" s="8"/>
      <c r="AT1339" s="8"/>
      <c r="AU1339" s="8">
        <f ca="1">IFERROR(__xludf.DUMMYFUNCTION("""COMPUTED_VALUE"""),30.617093)</f>
        <v>30.617093000000001</v>
      </c>
      <c r="AV1339" s="8">
        <f ca="1">IFERROR(__xludf.DUMMYFUNCTION("""COMPUTED_VALUE"""),-88.184171)</f>
        <v>-88.184171000000006</v>
      </c>
      <c r="AW1339" s="8"/>
      <c r="AX1339" s="8">
        <f ca="1">IFERROR(__xludf.DUMMYFUNCTION("""COMPUTED_VALUE"""),36619)</f>
        <v>36619</v>
      </c>
    </row>
    <row r="1340" spans="1:50" ht="45" x14ac:dyDescent="0.2">
      <c r="A1340" s="8" t="str">
        <f ca="1">IFERROR(__xludf.DUMMYFUNCTION("""COMPUTED_VALUE"""),"20210727WATYS")</f>
        <v>20210727WATYS</v>
      </c>
      <c r="B1340" s="8">
        <f ca="1">IFERROR(__xludf.DUMMYFUNCTION("""COMPUTED_VALUE"""),7)</f>
        <v>7</v>
      </c>
      <c r="C1340" s="8">
        <f ca="1">IFERROR(__xludf.DUMMYFUNCTION("""COMPUTED_VALUE"""),27)</f>
        <v>27</v>
      </c>
      <c r="D1340" s="8">
        <f ca="1">IFERROR(__xludf.DUMMYFUNCTION("""COMPUTED_VALUE"""),2021)</f>
        <v>2021</v>
      </c>
      <c r="E1340" s="9">
        <f ca="1">IFERROR(__xludf.DUMMYFUNCTION("""COMPUTED_VALUE"""),44404)</f>
        <v>44404</v>
      </c>
      <c r="F1340" s="8" t="str">
        <f ca="1">IFERROR(__xludf.DUMMYFUNCTION("""COMPUTED_VALUE"""),"Tyee High School")</f>
        <v>Tyee High School</v>
      </c>
      <c r="G1340" s="8">
        <f ca="1">IFERROR(__xludf.DUMMYFUNCTION("""COMPUTED_VALUE"""),1)</f>
        <v>1</v>
      </c>
      <c r="H1340" s="8">
        <f ca="1">IFERROR(__xludf.DUMMYFUNCTION("""COMPUTED_VALUE"""),0)</f>
        <v>0</v>
      </c>
      <c r="I1340" s="8">
        <f ca="1">IFERROR(__xludf.DUMMYFUNCTION("""COMPUTED_VALUE"""),1)</f>
        <v>1</v>
      </c>
      <c r="J1340" s="8">
        <f ca="1">IFERROR(__xludf.DUMMYFUNCTION("""COMPUTED_VALUE"""),0)</f>
        <v>0</v>
      </c>
      <c r="K1340" s="8" t="str">
        <f ca="1">IFERROR(__xludf.DUMMYFUNCTION("""COMPUTED_VALUE"""),"https://www.kiro7.com/news/local/deputies-investigate-shooting-seatac/KTWOOPAW45GZBMESMFPOCARTUQ/ https://seatacblog.com/2021/07/27/police-investigating-shooting-near-tyee-high-schoo-in-seatac-tuesday-night/ https://www.q13fox.com/news/deputies-investigat"&amp;"ing-shooting-at-tyee-high-school-in-seatac")</f>
        <v>https://www.kiro7.com/news/local/deputies-investigate-shooting-seatac/KTWOOPAW45GZBMESMFPOCARTUQ/ https://seatacblog.com/2021/07/27/police-investigating-shooting-near-tyee-high-schoo-in-seatac-tuesday-night/ https://www.q13fox.com/news/deputies-investigating-shooting-at-tyee-high-school-in-seatac</v>
      </c>
      <c r="L1340" s="8">
        <f ca="1">IFERROR(__xludf.DUMMYFUNCTION("""COMPUTED_VALUE"""),3)</f>
        <v>3</v>
      </c>
      <c r="M1340" s="8" t="str">
        <f ca="1">IFERROR(__xludf.DUMMYFUNCTION("""COMPUTED_VALUE"""),"Local")</f>
        <v>Local</v>
      </c>
      <c r="N1340" s="8">
        <f ca="1">IFERROR(__xludf.DUMMYFUNCTION("""COMPUTED_VALUE"""),4)</f>
        <v>4</v>
      </c>
      <c r="O1340" s="8" t="str">
        <f ca="1">IFERROR(__xludf.DUMMYFUNCTION("""COMPUTED_VALUE"""),"Summer")</f>
        <v>Summer</v>
      </c>
      <c r="P1340" s="8" t="str">
        <f ca="1">IFERROR(__xludf.DUMMYFUNCTION("""COMPUTED_VALUE"""),"SeaTac")</f>
        <v>SeaTac</v>
      </c>
      <c r="Q1340" s="8" t="str">
        <f ca="1">IFERROR(__xludf.DUMMYFUNCTION("""COMPUTED_VALUE"""),"WA")</f>
        <v>WA</v>
      </c>
      <c r="R1340" s="8" t="str">
        <f ca="1">IFERROR(__xludf.DUMMYFUNCTION("""COMPUTED_VALUE"""),"High")</f>
        <v>High</v>
      </c>
      <c r="S1340" s="8" t="str">
        <f ca="1">IFERROR(__xludf.DUMMYFUNCTION("""COMPUTED_VALUE"""),"Basketball Court")</f>
        <v>Basketball Court</v>
      </c>
      <c r="T1340" s="8" t="str">
        <f ca="1">IFERROR(__xludf.DUMMYFUNCTION("""COMPUTED_VALUE"""),"Outside on School Property")</f>
        <v>Outside on School Property</v>
      </c>
      <c r="U1340" s="8" t="str">
        <f ca="1">IFERROR(__xludf.DUMMYFUNCTION("""COMPUTED_VALUE"""),"No")</f>
        <v>No</v>
      </c>
      <c r="V1340" s="8" t="str">
        <f ca="1">IFERROR(__xludf.DUMMYFUNCTION("""COMPUTED_VALUE"""),"Night")</f>
        <v>Night</v>
      </c>
      <c r="W1340" s="11">
        <f ca="1">IFERROR(__xludf.DUMMYFUNCTION("""COMPUTED_VALUE"""),0.8875)</f>
        <v>0.88749999999999996</v>
      </c>
      <c r="X1340" s="8">
        <f ca="1">IFERROR(__xludf.DUMMYFUNCTION("""COMPUTED_VALUE"""),1)</f>
        <v>1</v>
      </c>
      <c r="Y1340" s="12" t="str">
        <f ca="1">IFERROR(__xludf.DUMMYFUNCTION("""COMPUTED_VALUE"""),"Adult man fatally shot on school basketball court")</f>
        <v>Adult man fatally shot on school basketball court</v>
      </c>
      <c r="Z1340" s="12" t="str">
        <f ca="1">IFERROR(__xludf.DUMMYFUNCTION("""COMPUTED_VALUE"""),"An adult male was fatally shot on the school's basketball court. Shooting had multiple witnesses. Shooter fled.")</f>
        <v>An adult male was fatally shot on the school's basketball court. Shooting had multiple witnesses. Shooter fled.</v>
      </c>
      <c r="AA1340" s="8"/>
      <c r="AB1340" s="8"/>
      <c r="AC1340" s="8" t="str">
        <f ca="1">IFERROR(__xludf.DUMMYFUNCTION("""COMPUTED_VALUE"""),"No")</f>
        <v>No</v>
      </c>
      <c r="AD1340" s="8"/>
      <c r="AE1340" s="8" t="str">
        <f ca="1">IFERROR(__xludf.DUMMYFUNCTION("""COMPUTED_VALUE"""),"No")</f>
        <v>No</v>
      </c>
      <c r="AF1340" s="8"/>
      <c r="AG1340" s="8" t="str">
        <f ca="1">IFERROR(__xludf.DUMMYFUNCTION("""COMPUTED_VALUE"""),"No")</f>
        <v>No</v>
      </c>
      <c r="AH1340" s="8" t="str">
        <f ca="1">IFERROR(__xludf.DUMMYFUNCTION("""COMPUTED_VALUE"""),"No")</f>
        <v>No</v>
      </c>
      <c r="AI1340" s="8" t="str">
        <f ca="1">IFERROR(__xludf.DUMMYFUNCTION("""COMPUTED_VALUE"""),"No")</f>
        <v>No</v>
      </c>
      <c r="AJ1340" s="8" t="str">
        <f ca="1">IFERROR(__xludf.DUMMYFUNCTION("""COMPUTED_VALUE"""),"No")</f>
        <v>No</v>
      </c>
      <c r="AK1340" s="8" t="str">
        <f ca="1">IFERROR(__xludf.DUMMYFUNCTION("""COMPUTED_VALUE"""),"No")</f>
        <v>No</v>
      </c>
      <c r="AL1340" s="8"/>
      <c r="AM1340" s="8" t="str">
        <f ca="1">IFERROR(__xludf.DUMMYFUNCTION("""COMPUTED_VALUE"""),"No")</f>
        <v>No</v>
      </c>
      <c r="AN1340" s="8"/>
      <c r="AO1340" s="8" t="str">
        <f ca="1">IFERROR(__xludf.DUMMYFUNCTION("""COMPUTED_VALUE"""),"No")</f>
        <v>No</v>
      </c>
      <c r="AP1340" s="8"/>
      <c r="AQ1340" s="8"/>
      <c r="AR1340" s="8" t="str">
        <f ca="1">IFERROR(__xludf.DUMMYFUNCTION("""COMPUTED_VALUE"""),"Outside/Off-Property")</f>
        <v>Outside/Off-Property</v>
      </c>
      <c r="AS1340" s="8"/>
      <c r="AT1340" s="8"/>
      <c r="AU1340" s="8">
        <f ca="1">IFERROR(__xludf.DUMMYFUNCTION("""COMPUTED_VALUE"""),47.434979)</f>
        <v>47.434978999999998</v>
      </c>
      <c r="AV1340" s="8">
        <f ca="1">IFERROR(__xludf.DUMMYFUNCTION("""COMPUTED_VALUE"""),-122.27766)</f>
        <v>-122.27766</v>
      </c>
      <c r="AW1340" s="8"/>
      <c r="AX1340" s="8">
        <f ca="1">IFERROR(__xludf.DUMMYFUNCTION("""COMPUTED_VALUE"""),98188)</f>
        <v>98188</v>
      </c>
    </row>
    <row r="1341" spans="1:50" ht="75" x14ac:dyDescent="0.2">
      <c r="A1341" s="8" t="str">
        <f ca="1">IFERROR(__xludf.DUMMYFUNCTION("""COMPUTED_VALUE"""),"20210721ILTHC")</f>
        <v>20210721ILTHC</v>
      </c>
      <c r="B1341" s="8">
        <f ca="1">IFERROR(__xludf.DUMMYFUNCTION("""COMPUTED_VALUE"""),7)</f>
        <v>7</v>
      </c>
      <c r="C1341" s="8">
        <f ca="1">IFERROR(__xludf.DUMMYFUNCTION("""COMPUTED_VALUE"""),21)</f>
        <v>21</v>
      </c>
      <c r="D1341" s="8">
        <f ca="1">IFERROR(__xludf.DUMMYFUNCTION("""COMPUTED_VALUE"""),2021)</f>
        <v>2021</v>
      </c>
      <c r="E1341" s="9">
        <f ca="1">IFERROR(__xludf.DUMMYFUNCTION("""COMPUTED_VALUE"""),44398)</f>
        <v>44398</v>
      </c>
      <c r="F1341" s="8" t="str">
        <f ca="1">IFERROR(__xludf.DUMMYFUNCTION("""COMPUTED_VALUE"""),"Theodore Herzl Elementary School")</f>
        <v>Theodore Herzl Elementary School</v>
      </c>
      <c r="G1341" s="8">
        <f ca="1">IFERROR(__xludf.DUMMYFUNCTION("""COMPUTED_VALUE"""),0)</f>
        <v>0</v>
      </c>
      <c r="H1341" s="8">
        <f ca="1">IFERROR(__xludf.DUMMYFUNCTION("""COMPUTED_VALUE"""),5)</f>
        <v>5</v>
      </c>
      <c r="I1341" s="8">
        <f ca="1">IFERROR(__xludf.DUMMYFUNCTION("""COMPUTED_VALUE"""),5)</f>
        <v>5</v>
      </c>
      <c r="J1341" s="8">
        <f ca="1">IFERROR(__xludf.DUMMYFUNCTION("""COMPUTED_VALUE"""),0)</f>
        <v>0</v>
      </c>
      <c r="K1341" s="8" t="str">
        <f ca="1">IFERROR(__xludf.DUMMYFUNCTION("""COMPUTED_VALUE"""),"https://www.fox32chicago.com/news/boy-killed-28-wounded-wednesday-in-chicago-city-sees-3-mass-shootings-in-single-day https://chicago.suntimes.com/crime/2021/7/22/22588357/1-killed-28-wounded-shootings-wednesday-chicago")</f>
        <v>https://www.fox32chicago.com/news/boy-killed-28-wounded-wednesday-in-chicago-city-sees-3-mass-shootings-in-single-day https://chicago.suntimes.com/crime/2021/7/22/22588357/1-killed-28-wounded-shootings-wednesday-chicago</v>
      </c>
      <c r="L1341" s="8">
        <f ca="1">IFERROR(__xludf.DUMMYFUNCTION("""COMPUTED_VALUE"""),2)</f>
        <v>2</v>
      </c>
      <c r="M1341" s="8" t="str">
        <f ca="1">IFERROR(__xludf.DUMMYFUNCTION("""COMPUTED_VALUE"""),"Local")</f>
        <v>Local</v>
      </c>
      <c r="N1341" s="8">
        <f ca="1">IFERROR(__xludf.DUMMYFUNCTION("""COMPUTED_VALUE"""),3)</f>
        <v>3</v>
      </c>
      <c r="O1341" s="8" t="str">
        <f ca="1">IFERROR(__xludf.DUMMYFUNCTION("""COMPUTED_VALUE"""),"Summer")</f>
        <v>Summer</v>
      </c>
      <c r="P1341" s="8" t="str">
        <f ca="1">IFERROR(__xludf.DUMMYFUNCTION("""COMPUTED_VALUE"""),"Chicago")</f>
        <v>Chicago</v>
      </c>
      <c r="Q1341" s="8" t="str">
        <f ca="1">IFERROR(__xludf.DUMMYFUNCTION("""COMPUTED_VALUE"""),"IL")</f>
        <v>IL</v>
      </c>
      <c r="R1341" s="8" t="str">
        <f ca="1">IFERROR(__xludf.DUMMYFUNCTION("""COMPUTED_VALUE"""),"Elementary")</f>
        <v>Elementary</v>
      </c>
      <c r="S1341" s="8" t="str">
        <f ca="1">IFERROR(__xludf.DUMMYFUNCTION("""COMPUTED_VALUE"""),"Front of School")</f>
        <v>Front of School</v>
      </c>
      <c r="T1341" s="8" t="str">
        <f ca="1">IFERROR(__xludf.DUMMYFUNCTION("""COMPUTED_VALUE"""),"Outside on School Property")</f>
        <v>Outside on School Property</v>
      </c>
      <c r="U1341" s="8" t="str">
        <f ca="1">IFERROR(__xludf.DUMMYFUNCTION("""COMPUTED_VALUE"""),"No")</f>
        <v>No</v>
      </c>
      <c r="V1341" s="8" t="str">
        <f ca="1">IFERROR(__xludf.DUMMYFUNCTION("""COMPUTED_VALUE"""),"Evening")</f>
        <v>Evening</v>
      </c>
      <c r="W1341" s="11">
        <f ca="1">IFERROR(__xludf.DUMMYFUNCTION("""COMPUTED_VALUE"""),0.753472222222222)</f>
        <v>0.75347222222222199</v>
      </c>
      <c r="X1341" s="8">
        <f ca="1">IFERROR(__xludf.DUMMYFUNCTION("""COMPUTED_VALUE"""),1)</f>
        <v>1</v>
      </c>
      <c r="Y1341" s="12" t="str">
        <f ca="1">IFERROR(__xludf.DUMMYFUNCTION("""COMPUTED_VALUE"""),"5 people shot outside of elementary school")</f>
        <v>5 people shot outside of elementary school</v>
      </c>
      <c r="Z1341" s="12" t="str">
        <f ca="1">IFERROR(__xludf.DUMMYFUNCTION("""COMPUTED_VALUE"""),"5 people were shot outside of the elementary school. Class was not in session. An 18-year-old male was critically injured. A 15-year-old male, 14-year-old male, 17-year-old male, and 22-year-old male were wounded and transported to the hospital.")</f>
        <v>5 people were shot outside of the elementary school. Class was not in session. An 18-year-old male was critically injured. A 15-year-old male, 14-year-old male, 17-year-old male, and 22-year-old male were wounded and transported to the hospital.</v>
      </c>
      <c r="AA1341" s="8" t="str">
        <f ca="1">IFERROR(__xludf.DUMMYFUNCTION("""COMPUTED_VALUE"""),"Drive-by Shooting")</f>
        <v>Drive-by Shooting</v>
      </c>
      <c r="AB1341" s="8"/>
      <c r="AC1341" s="8" t="str">
        <f ca="1">IFERROR(__xludf.DUMMYFUNCTION("""COMPUTED_VALUE"""),"No")</f>
        <v>No</v>
      </c>
      <c r="AD1341" s="8"/>
      <c r="AE1341" s="8"/>
      <c r="AF1341" s="8"/>
      <c r="AG1341" s="8" t="str">
        <f ca="1">IFERROR(__xludf.DUMMYFUNCTION("""COMPUTED_VALUE"""),"No")</f>
        <v>No</v>
      </c>
      <c r="AH1341" s="8" t="str">
        <f ca="1">IFERROR(__xludf.DUMMYFUNCTION("""COMPUTED_VALUE"""),"No")</f>
        <v>No</v>
      </c>
      <c r="AI1341" s="8" t="str">
        <f ca="1">IFERROR(__xludf.DUMMYFUNCTION("""COMPUTED_VALUE"""),"No")</f>
        <v>No</v>
      </c>
      <c r="AJ1341" s="8" t="str">
        <f ca="1">IFERROR(__xludf.DUMMYFUNCTION("""COMPUTED_VALUE"""),"No")</f>
        <v>No</v>
      </c>
      <c r="AK1341" s="8" t="str">
        <f ca="1">IFERROR(__xludf.DUMMYFUNCTION("""COMPUTED_VALUE"""),"No")</f>
        <v>No</v>
      </c>
      <c r="AL1341" s="8"/>
      <c r="AM1341" s="8" t="str">
        <f ca="1">IFERROR(__xludf.DUMMYFUNCTION("""COMPUTED_VALUE"""),"No")</f>
        <v>No</v>
      </c>
      <c r="AN1341" s="8"/>
      <c r="AO1341" s="8" t="str">
        <f ca="1">IFERROR(__xludf.DUMMYFUNCTION("""COMPUTED_VALUE"""),"No")</f>
        <v>No</v>
      </c>
      <c r="AP1341" s="8"/>
      <c r="AQ1341" s="8"/>
      <c r="AR1341" s="8" t="str">
        <f ca="1">IFERROR(__xludf.DUMMYFUNCTION("""COMPUTED_VALUE"""),"Outside/Off-Property")</f>
        <v>Outside/Off-Property</v>
      </c>
      <c r="AS1341" s="8"/>
      <c r="AT1341" s="8"/>
      <c r="AU1341" s="8">
        <f ca="1">IFERROR(__xludf.DUMMYFUNCTION("""COMPUTED_VALUE"""),41.862096)</f>
        <v>41.862096000000001</v>
      </c>
      <c r="AV1341" s="8">
        <f ca="1">IFERROR(__xludf.DUMMYFUNCTION("""COMPUTED_VALUE"""),-87.718692)</f>
        <v>-87.718692000000004</v>
      </c>
      <c r="AW1341" s="8"/>
      <c r="AX1341" s="8">
        <f ca="1">IFERROR(__xludf.DUMMYFUNCTION("""COMPUTED_VALUE"""),60623)</f>
        <v>60623</v>
      </c>
    </row>
    <row r="1342" spans="1:50" ht="105" x14ac:dyDescent="0.2">
      <c r="A1342" s="8" t="str">
        <f ca="1">IFERROR(__xludf.DUMMYFUNCTION("""COMPUTED_VALUE"""),"20210719TXCAC")</f>
        <v>20210719TXCAC</v>
      </c>
      <c r="B1342" s="8">
        <f ca="1">IFERROR(__xludf.DUMMYFUNCTION("""COMPUTED_VALUE"""),7)</f>
        <v>7</v>
      </c>
      <c r="C1342" s="8">
        <f ca="1">IFERROR(__xludf.DUMMYFUNCTION("""COMPUTED_VALUE"""),19)</f>
        <v>19</v>
      </c>
      <c r="D1342" s="8">
        <f ca="1">IFERROR(__xludf.DUMMYFUNCTION("""COMPUTED_VALUE"""),2021)</f>
        <v>2021</v>
      </c>
      <c r="E1342" s="9">
        <f ca="1">IFERROR(__xludf.DUMMYFUNCTION("""COMPUTED_VALUE"""),44396)</f>
        <v>44396</v>
      </c>
      <c r="F1342" s="8" t="str">
        <f ca="1">IFERROR(__xludf.DUMMYFUNCTION("""COMPUTED_VALUE"""),"Caldwell High School")</f>
        <v>Caldwell High School</v>
      </c>
      <c r="G1342" s="8">
        <f ca="1">IFERROR(__xludf.DUMMYFUNCTION("""COMPUTED_VALUE"""),0)</f>
        <v>0</v>
      </c>
      <c r="H1342" s="8">
        <f ca="1">IFERROR(__xludf.DUMMYFUNCTION("""COMPUTED_VALUE"""),0)</f>
        <v>0</v>
      </c>
      <c r="I1342" s="8">
        <f ca="1">IFERROR(__xludf.DUMMYFUNCTION("""COMPUTED_VALUE"""),0)</f>
        <v>0</v>
      </c>
      <c r="J1342" s="8">
        <f ca="1">IFERROR(__xludf.DUMMYFUNCTION("""COMPUTED_VALUE"""),0)</f>
        <v>0</v>
      </c>
      <c r="K1342" s="8" t="str">
        <f ca="1">IFERROR(__xludf.DUMMYFUNCTION("""COMPUTED_VALUE"""),"https://www.fox44news.com/news/local-news/projectile-fired-at-caldwell-high-school-students-in-parking-lot/ https://www.kwtx.com/2021/07/19/four-teens-accused-firing-projectiles-caldwell-high-school/ https://www.kxxv.com/news/local-news/four-teenagers-ide"&amp;"ntified-as-suspects-in-caldwell-hs-projectile-incident")</f>
        <v>https://www.fox44news.com/news/local-news/projectile-fired-at-caldwell-high-school-students-in-parking-lot/ https://www.kwtx.com/2021/07/19/four-teens-accused-firing-projectiles-caldwell-high-school/ https://www.kxxv.com/news/local-news/four-teenagers-identified-as-suspects-in-caldwell-hs-projectile-incident</v>
      </c>
      <c r="L1342" s="8">
        <f ca="1">IFERROR(__xludf.DUMMYFUNCTION("""COMPUTED_VALUE"""),3)</f>
        <v>3</v>
      </c>
      <c r="M1342" s="8" t="str">
        <f ca="1">IFERROR(__xludf.DUMMYFUNCTION("""COMPUTED_VALUE"""),"Local")</f>
        <v>Local</v>
      </c>
      <c r="N1342" s="8">
        <f ca="1">IFERROR(__xludf.DUMMYFUNCTION("""COMPUTED_VALUE"""),4)</f>
        <v>4</v>
      </c>
      <c r="O1342" s="8" t="str">
        <f ca="1">IFERROR(__xludf.DUMMYFUNCTION("""COMPUTED_VALUE"""),"Summer")</f>
        <v>Summer</v>
      </c>
      <c r="P1342" s="8" t="str">
        <f ca="1">IFERROR(__xludf.DUMMYFUNCTION("""COMPUTED_VALUE"""),"Caldwell")</f>
        <v>Caldwell</v>
      </c>
      <c r="Q1342" s="8" t="str">
        <f ca="1">IFERROR(__xludf.DUMMYFUNCTION("""COMPUTED_VALUE"""),"TX")</f>
        <v>TX</v>
      </c>
      <c r="R1342" s="8" t="str">
        <f ca="1">IFERROR(__xludf.DUMMYFUNCTION("""COMPUTED_VALUE"""),"High")</f>
        <v>High</v>
      </c>
      <c r="S1342" s="8" t="str">
        <f ca="1">IFERROR(__xludf.DUMMYFUNCTION("""COMPUTED_VALUE"""),"Parking Lot")</f>
        <v>Parking Lot</v>
      </c>
      <c r="T1342" s="8" t="str">
        <f ca="1">IFERROR(__xludf.DUMMYFUNCTION("""COMPUTED_VALUE"""),"Outside on School Property")</f>
        <v>Outside on School Property</v>
      </c>
      <c r="U1342" s="8" t="str">
        <f ca="1">IFERROR(__xludf.DUMMYFUNCTION("""COMPUTED_VALUE"""),"Yes")</f>
        <v>Yes</v>
      </c>
      <c r="V1342" s="8" t="str">
        <f ca="1">IFERROR(__xludf.DUMMYFUNCTION("""COMPUTED_VALUE"""),"Afternoon Classes")</f>
        <v>Afternoon Classes</v>
      </c>
      <c r="W1342" s="11">
        <f ca="1">IFERROR(__xludf.DUMMYFUNCTION("""COMPUTED_VALUE"""),0.542361111111111)</f>
        <v>0.54236111111111096</v>
      </c>
      <c r="X1342" s="8">
        <f ca="1">IFERROR(__xludf.DUMMYFUNCTION("""COMPUTED_VALUE"""),1)</f>
        <v>1</v>
      </c>
      <c r="Y1342" s="12" t="str">
        <f ca="1">IFERROR(__xludf.DUMMYFUNCTION("""COMPUTED_VALUE"""),"Teen in a vehicle fired ""hydroball"" gun at students in the parking lot")</f>
        <v>Teen in a vehicle fired "hydroball" gun at students in the parking lot</v>
      </c>
      <c r="Z1342" s="12" t="str">
        <f ca="1">IFERROR(__xludf.DUMMYFUNCTION("""COMPUTED_VALUE"""),"Four teens inside a vehicle, 16-year-old male, 16-year-old male, 16-year-old female, and 14-year-old female, fired shots from a ""hydroball"" gun at students in the parking lot. Two students sustained minor injuries. Police stopped the vehicle after it le"&amp;"ft the school. The gun had been painted black to look like a realistic firearm. All four teens were arrested.")</f>
        <v>Four teens inside a vehicle, 16-year-old male, 16-year-old male, 16-year-old female, and 14-year-old female, fired shots from a "hydroball" gun at students in the parking lot. Two students sustained minor injuries. Police stopped the vehicle after it left the school. The gun had been painted black to look like a realistic firearm. All four teens were arrested.</v>
      </c>
      <c r="AA1342" s="8" t="str">
        <f ca="1">IFERROR(__xludf.DUMMYFUNCTION("""COMPUTED_VALUE"""),"Drive-by Shooting")</f>
        <v>Drive-by Shooting</v>
      </c>
      <c r="AB1342" s="8"/>
      <c r="AC1342" s="8" t="str">
        <f ca="1">IFERROR(__xludf.DUMMYFUNCTION("""COMPUTED_VALUE"""),"Yes")</f>
        <v>Yes</v>
      </c>
      <c r="AD1342" s="8" t="str">
        <f ca="1">IFERROR(__xludf.DUMMYFUNCTION("""COMPUTED_VALUE"""),"Random Shooting")</f>
        <v>Random Shooting</v>
      </c>
      <c r="AE1342" s="8" t="str">
        <f ca="1">IFERROR(__xludf.DUMMYFUNCTION("""COMPUTED_VALUE"""),"Yes")</f>
        <v>Yes</v>
      </c>
      <c r="AF1342" s="8" t="str">
        <f ca="1">IFERROR(__xludf.DUMMYFUNCTION("""COMPUTED_VALUE"""),"4 teens arrested")</f>
        <v>4 teens arrested</v>
      </c>
      <c r="AG1342" s="8" t="str">
        <f ca="1">IFERROR(__xludf.DUMMYFUNCTION("""COMPUTED_VALUE"""),"No")</f>
        <v>No</v>
      </c>
      <c r="AH1342" s="8" t="str">
        <f ca="1">IFERROR(__xludf.DUMMYFUNCTION("""COMPUTED_VALUE"""),"No")</f>
        <v>No</v>
      </c>
      <c r="AI1342" s="8" t="str">
        <f ca="1">IFERROR(__xludf.DUMMYFUNCTION("""COMPUTED_VALUE"""),"No")</f>
        <v>No</v>
      </c>
      <c r="AJ1342" s="8" t="str">
        <f ca="1">IFERROR(__xludf.DUMMYFUNCTION("""COMPUTED_VALUE"""),"No")</f>
        <v>No</v>
      </c>
      <c r="AK1342" s="8" t="str">
        <f ca="1">IFERROR(__xludf.DUMMYFUNCTION("""COMPUTED_VALUE"""),"No")</f>
        <v>No</v>
      </c>
      <c r="AL1342" s="8" t="str">
        <f ca="1">IFERROR(__xludf.DUMMYFUNCTION("""COMPUTED_VALUE"""),"No")</f>
        <v>No</v>
      </c>
      <c r="AM1342" s="8" t="str">
        <f ca="1">IFERROR(__xludf.DUMMYFUNCTION("""COMPUTED_VALUE"""),"No")</f>
        <v>No</v>
      </c>
      <c r="AN1342" s="8"/>
      <c r="AO1342" s="8" t="str">
        <f ca="1">IFERROR(__xludf.DUMMYFUNCTION("""COMPUTED_VALUE"""),"No")</f>
        <v>No</v>
      </c>
      <c r="AP1342" s="8"/>
      <c r="AQ1342" s="8"/>
      <c r="AR1342" s="8" t="str">
        <f ca="1">IFERROR(__xludf.DUMMYFUNCTION("""COMPUTED_VALUE"""),"Outside/Off-Property")</f>
        <v>Outside/Off-Property</v>
      </c>
      <c r="AS1342" s="8"/>
      <c r="AT1342" s="8"/>
      <c r="AU1342" s="8">
        <f ca="1">IFERROR(__xludf.DUMMYFUNCTION("""COMPUTED_VALUE"""),30.549065)</f>
        <v>30.549064999999999</v>
      </c>
      <c r="AV1342" s="8">
        <f ca="1">IFERROR(__xludf.DUMMYFUNCTION("""COMPUTED_VALUE"""),-96.673854)</f>
        <v>-96.673854000000006</v>
      </c>
      <c r="AW1342" s="8"/>
      <c r="AX1342" s="8">
        <f ca="1">IFERROR(__xludf.DUMMYFUNCTION("""COMPUTED_VALUE"""),77836)</f>
        <v>77836</v>
      </c>
    </row>
    <row r="1343" spans="1:50" ht="45" x14ac:dyDescent="0.2">
      <c r="A1343" s="8" t="str">
        <f ca="1">IFERROR(__xludf.DUMMYFUNCTION("""COMPUTED_VALUE"""),"20210718ARFOL")</f>
        <v>20210718ARFOL</v>
      </c>
      <c r="B1343" s="8">
        <f ca="1">IFERROR(__xludf.DUMMYFUNCTION("""COMPUTED_VALUE"""),7)</f>
        <v>7</v>
      </c>
      <c r="C1343" s="8">
        <f ca="1">IFERROR(__xludf.DUMMYFUNCTION("""COMPUTED_VALUE"""),18)</f>
        <v>18</v>
      </c>
      <c r="D1343" s="8">
        <f ca="1">IFERROR(__xludf.DUMMYFUNCTION("""COMPUTED_VALUE"""),2021)</f>
        <v>2021</v>
      </c>
      <c r="E1343" s="9">
        <f ca="1">IFERROR(__xludf.DUMMYFUNCTION("""COMPUTED_VALUE"""),44395)</f>
        <v>44395</v>
      </c>
      <c r="F1343" s="8" t="str">
        <f ca="1">IFERROR(__xludf.DUMMYFUNCTION("""COMPUTED_VALUE"""),"Forest Park Elementary")</f>
        <v>Forest Park Elementary</v>
      </c>
      <c r="G1343" s="8">
        <f ca="1">IFERROR(__xludf.DUMMYFUNCTION("""COMPUTED_VALUE"""),0)</f>
        <v>0</v>
      </c>
      <c r="H1343" s="8">
        <f ca="1">IFERROR(__xludf.DUMMYFUNCTION("""COMPUTED_VALUE"""),0)</f>
        <v>0</v>
      </c>
      <c r="I1343" s="8">
        <f ca="1">IFERROR(__xludf.DUMMYFUNCTION("""COMPUTED_VALUE"""),0)</f>
        <v>0</v>
      </c>
      <c r="J1343" s="8">
        <f ca="1">IFERROR(__xludf.DUMMYFUNCTION("""COMPUTED_VALUE"""),0)</f>
        <v>0</v>
      </c>
      <c r="K1343" s="10" t="str">
        <f ca="1">IFERROR(__xludf.DUMMYFUNCTION("""COMPUTED_VALUE"""),"https://www.kark.com/news/local-news/little-rock-police-investigating-shooting-near-elementary-school-no-injuries-reported/")</f>
        <v>https://www.kark.com/news/local-news/little-rock-police-investigating-shooting-near-elementary-school-no-injuries-reported/</v>
      </c>
      <c r="L1343" s="8">
        <f ca="1">IFERROR(__xludf.DUMMYFUNCTION("""COMPUTED_VALUE"""),1)</f>
        <v>1</v>
      </c>
      <c r="M1343" s="8" t="str">
        <f ca="1">IFERROR(__xludf.DUMMYFUNCTION("""COMPUTED_VALUE"""),"Local")</f>
        <v>Local</v>
      </c>
      <c r="N1343" s="8">
        <f ca="1">IFERROR(__xludf.DUMMYFUNCTION("""COMPUTED_VALUE"""),3)</f>
        <v>3</v>
      </c>
      <c r="O1343" s="8" t="str">
        <f ca="1">IFERROR(__xludf.DUMMYFUNCTION("""COMPUTED_VALUE"""),"Summer")</f>
        <v>Summer</v>
      </c>
      <c r="P1343" s="8" t="str">
        <f ca="1">IFERROR(__xludf.DUMMYFUNCTION("""COMPUTED_VALUE"""),"Little Rock")</f>
        <v>Little Rock</v>
      </c>
      <c r="Q1343" s="8" t="str">
        <f ca="1">IFERROR(__xludf.DUMMYFUNCTION("""COMPUTED_VALUE"""),"AR")</f>
        <v>AR</v>
      </c>
      <c r="R1343" s="8" t="str">
        <f ca="1">IFERROR(__xludf.DUMMYFUNCTION("""COMPUTED_VALUE"""),"Elementary")</f>
        <v>Elementary</v>
      </c>
      <c r="S1343" s="8" t="str">
        <f ca="1">IFERROR(__xludf.DUMMYFUNCTION("""COMPUTED_VALUE"""),"Basketball Court")</f>
        <v>Basketball Court</v>
      </c>
      <c r="T1343" s="8" t="str">
        <f ca="1">IFERROR(__xludf.DUMMYFUNCTION("""COMPUTED_VALUE"""),"Outside on School Property")</f>
        <v>Outside on School Property</v>
      </c>
      <c r="U1343" s="8" t="str">
        <f ca="1">IFERROR(__xludf.DUMMYFUNCTION("""COMPUTED_VALUE"""),"No")</f>
        <v>No</v>
      </c>
      <c r="V1343" s="8" t="str">
        <f ca="1">IFERROR(__xludf.DUMMYFUNCTION("""COMPUTED_VALUE"""),"Not a School Day")</f>
        <v>Not a School Day</v>
      </c>
      <c r="W1343" s="11">
        <f ca="1">IFERROR(__xludf.DUMMYFUNCTION("""COMPUTED_VALUE"""),0.750694444444444)</f>
        <v>0.750694444444444</v>
      </c>
      <c r="X1343" s="8">
        <f ca="1">IFERROR(__xludf.DUMMYFUNCTION("""COMPUTED_VALUE"""),1)</f>
        <v>1</v>
      </c>
      <c r="Y1343" s="12" t="str">
        <f ca="1">IFERROR(__xludf.DUMMYFUNCTION("""COMPUTED_VALUE"""),"Shots fired on school basketball court")</f>
        <v>Shots fired on school basketball court</v>
      </c>
      <c r="Z1343" s="12" t="str">
        <f ca="1">IFERROR(__xludf.DUMMYFUNCTION("""COMPUTED_VALUE"""),"Shot were fired on the basketball court of the school. Two people were present at the time of the shooting, both fled before police arrived. No injuries reported.")</f>
        <v>Shot were fired on the basketball court of the school. Two people were present at the time of the shooting, both fled before police arrived. No injuries reported.</v>
      </c>
      <c r="AA1343" s="8"/>
      <c r="AB1343" s="8"/>
      <c r="AC1343" s="8" t="str">
        <f ca="1">IFERROR(__xludf.DUMMYFUNCTION("""COMPUTED_VALUE"""),"No")</f>
        <v>No</v>
      </c>
      <c r="AD1343" s="8"/>
      <c r="AE1343" s="8" t="str">
        <f ca="1">IFERROR(__xludf.DUMMYFUNCTION("""COMPUTED_VALUE"""),"No")</f>
        <v>No</v>
      </c>
      <c r="AF1343" s="8"/>
      <c r="AG1343" s="8" t="str">
        <f ca="1">IFERROR(__xludf.DUMMYFUNCTION("""COMPUTED_VALUE"""),"No")</f>
        <v>No</v>
      </c>
      <c r="AH1343" s="8" t="str">
        <f ca="1">IFERROR(__xludf.DUMMYFUNCTION("""COMPUTED_VALUE"""),"No")</f>
        <v>No</v>
      </c>
      <c r="AI1343" s="8" t="str">
        <f ca="1">IFERROR(__xludf.DUMMYFUNCTION("""COMPUTED_VALUE"""),"No")</f>
        <v>No</v>
      </c>
      <c r="AJ1343" s="8" t="str">
        <f ca="1">IFERROR(__xludf.DUMMYFUNCTION("""COMPUTED_VALUE"""),"No")</f>
        <v>No</v>
      </c>
      <c r="AK1343" s="8" t="str">
        <f ca="1">IFERROR(__xludf.DUMMYFUNCTION("""COMPUTED_VALUE"""),"No")</f>
        <v>No</v>
      </c>
      <c r="AL1343" s="8"/>
      <c r="AM1343" s="8" t="str">
        <f ca="1">IFERROR(__xludf.DUMMYFUNCTION("""COMPUTED_VALUE"""),"No")</f>
        <v>No</v>
      </c>
      <c r="AN1343" s="8"/>
      <c r="AO1343" s="8" t="str">
        <f ca="1">IFERROR(__xludf.DUMMYFUNCTION("""COMPUTED_VALUE"""),"No")</f>
        <v>No</v>
      </c>
      <c r="AP1343" s="8"/>
      <c r="AQ1343" s="8"/>
      <c r="AR1343" s="8" t="str">
        <f ca="1">IFERROR(__xludf.DUMMYFUNCTION("""COMPUTED_VALUE"""),"Outside/Off-Property")</f>
        <v>Outside/Off-Property</v>
      </c>
      <c r="AS1343" s="8"/>
      <c r="AT1343" s="8"/>
      <c r="AU1343" s="8">
        <f ca="1">IFERROR(__xludf.DUMMYFUNCTION("""COMPUTED_VALUE"""),34.766663)</f>
        <v>34.766663000000001</v>
      </c>
      <c r="AV1343" s="8">
        <f ca="1">IFERROR(__xludf.DUMMYFUNCTION("""COMPUTED_VALUE"""),-92.334216)</f>
        <v>-92.334215999999998</v>
      </c>
      <c r="AW1343" s="8"/>
      <c r="AX1343" s="8">
        <f ca="1">IFERROR(__xludf.DUMMYFUNCTION("""COMPUTED_VALUE"""),72207)</f>
        <v>72207</v>
      </c>
    </row>
    <row r="1344" spans="1:50" ht="105" x14ac:dyDescent="0.2">
      <c r="A1344" s="8" t="str">
        <f ca="1">IFERROR(__xludf.DUMMYFUNCTION("""COMPUTED_VALUE"""),"20210709KSCAW")</f>
        <v>20210709KSCAW</v>
      </c>
      <c r="B1344" s="8">
        <f ca="1">IFERROR(__xludf.DUMMYFUNCTION("""COMPUTED_VALUE"""),7)</f>
        <v>7</v>
      </c>
      <c r="C1344" s="8">
        <f ca="1">IFERROR(__xludf.DUMMYFUNCTION("""COMPUTED_VALUE"""),9)</f>
        <v>9</v>
      </c>
      <c r="D1344" s="8">
        <f ca="1">IFERROR(__xludf.DUMMYFUNCTION("""COMPUTED_VALUE"""),2021)</f>
        <v>2021</v>
      </c>
      <c r="E1344" s="9">
        <f ca="1">IFERROR(__xludf.DUMMYFUNCTION("""COMPUTED_VALUE"""),44386)</f>
        <v>44386</v>
      </c>
      <c r="F1344" s="8" t="str">
        <f ca="1">IFERROR(__xludf.DUMMYFUNCTION("""COMPUTED_VALUE"""),"Campus High School")</f>
        <v>Campus High School</v>
      </c>
      <c r="G1344" s="8">
        <f ca="1">IFERROR(__xludf.DUMMYFUNCTION("""COMPUTED_VALUE"""),0)</f>
        <v>0</v>
      </c>
      <c r="H1344" s="8">
        <f ca="1">IFERROR(__xludf.DUMMYFUNCTION("""COMPUTED_VALUE"""),0)</f>
        <v>0</v>
      </c>
      <c r="I1344" s="8">
        <f ca="1">IFERROR(__xludf.DUMMYFUNCTION("""COMPUTED_VALUE"""),0)</f>
        <v>0</v>
      </c>
      <c r="J1344" s="8">
        <f ca="1">IFERROR(__xludf.DUMMYFUNCTION("""COMPUTED_VALUE"""),1)</f>
        <v>1</v>
      </c>
      <c r="K1344" s="8" t="str">
        <f ca="1">IFERROR(__xludf.DUMMYFUNCTION("""COMPUTED_VALUE"""),"https://www.kake.com/story/44277095/authorities-searching-for-suspect-who-led-officers-on-chase-in-south-wichita https://www.kwch.com/2021/07/10/police-man-dies-vehicle-fire-following-chase-with-shots-fired-south-wichita/")</f>
        <v>https://www.kake.com/story/44277095/authorities-searching-for-suspect-who-led-officers-on-chase-in-south-wichita https://www.kwch.com/2021/07/10/police-man-dies-vehicle-fire-following-chase-with-shots-fired-south-wichita/</v>
      </c>
      <c r="L1344" s="8">
        <f ca="1">IFERROR(__xludf.DUMMYFUNCTION("""COMPUTED_VALUE"""),2)</f>
        <v>2</v>
      </c>
      <c r="M1344" s="8" t="str">
        <f ca="1">IFERROR(__xludf.DUMMYFUNCTION("""COMPUTED_VALUE"""),"Local")</f>
        <v>Local</v>
      </c>
      <c r="N1344" s="8">
        <f ca="1">IFERROR(__xludf.DUMMYFUNCTION("""COMPUTED_VALUE"""),4)</f>
        <v>4</v>
      </c>
      <c r="O1344" s="8" t="str">
        <f ca="1">IFERROR(__xludf.DUMMYFUNCTION("""COMPUTED_VALUE"""),"Summer")</f>
        <v>Summer</v>
      </c>
      <c r="P1344" s="8" t="str">
        <f ca="1">IFERROR(__xludf.DUMMYFUNCTION("""COMPUTED_VALUE"""),"Wichita")</f>
        <v>Wichita</v>
      </c>
      <c r="Q1344" s="8" t="str">
        <f ca="1">IFERROR(__xludf.DUMMYFUNCTION("""COMPUTED_VALUE"""),"KS")</f>
        <v>KS</v>
      </c>
      <c r="R1344" s="8" t="str">
        <f ca="1">IFERROR(__xludf.DUMMYFUNCTION("""COMPUTED_VALUE"""),"High")</f>
        <v>High</v>
      </c>
      <c r="S1344" s="8" t="str">
        <f ca="1">IFERROR(__xludf.DUMMYFUNCTION("""COMPUTED_VALUE"""),"Field (General)")</f>
        <v>Field (General)</v>
      </c>
      <c r="T1344" s="8" t="str">
        <f ca="1">IFERROR(__xludf.DUMMYFUNCTION("""COMPUTED_VALUE"""),"Outside on School Property")</f>
        <v>Outside on School Property</v>
      </c>
      <c r="U1344" s="8" t="str">
        <f ca="1">IFERROR(__xludf.DUMMYFUNCTION("""COMPUTED_VALUE"""),"No")</f>
        <v>No</v>
      </c>
      <c r="V1344" s="8" t="str">
        <f ca="1">IFERROR(__xludf.DUMMYFUNCTION("""COMPUTED_VALUE"""),"Not a School Day")</f>
        <v>Not a School Day</v>
      </c>
      <c r="W1344" s="11">
        <f ca="1">IFERROR(__xludf.DUMMYFUNCTION("""COMPUTED_VALUE"""),0.625)</f>
        <v>0.625</v>
      </c>
      <c r="X1344" s="8"/>
      <c r="Y1344" s="12" t="str">
        <f ca="1">IFERROR(__xludf.DUMMYFUNCTION("""COMPUTED_VALUE"""),"Following police chase, vehicle crashed and caught fire on the field in front of the high school, driver fired shots at officers")</f>
        <v>Following police chase, vehicle crashed and caught fire on the field in front of the high school, driver fired shots at officers</v>
      </c>
      <c r="Z1344" s="12" t="str">
        <f ca="1">IFERROR(__xludf.DUMMYFUNCTION("""COMPUTED_VALUE"""),"Following a police chase, a man driving a vehicle crashed onto the field in front of the high school. He fired shots from the vehicle at police officers. The vehicle caught fire and he died inside it. His wife said that he was suicidal.")</f>
        <v>Following a police chase, a man driving a vehicle crashed onto the field in front of the high school. He fired shots from the vehicle at police officers. The vehicle caught fire and he died inside it. His wife said that he was suicidal.</v>
      </c>
      <c r="AA1344" s="8" t="str">
        <f ca="1">IFERROR(__xludf.DUMMYFUNCTION("""COMPUTED_VALUE"""),"Suicide/Attempted")</f>
        <v>Suicide/Attempted</v>
      </c>
      <c r="AB1344" s="8"/>
      <c r="AC1344" s="8" t="str">
        <f ca="1">IFERROR(__xludf.DUMMYFUNCTION("""COMPUTED_VALUE"""),"No")</f>
        <v>No</v>
      </c>
      <c r="AD1344" s="8" t="str">
        <f ca="1">IFERROR(__xludf.DUMMYFUNCTION("""COMPUTED_VALUE"""),"Random Shooting")</f>
        <v>Random Shooting</v>
      </c>
      <c r="AE1344" s="8" t="str">
        <f ca="1">IFERROR(__xludf.DUMMYFUNCTION("""COMPUTED_VALUE"""),"No")</f>
        <v>No</v>
      </c>
      <c r="AF1344" s="8"/>
      <c r="AG1344" s="8" t="str">
        <f ca="1">IFERROR(__xludf.DUMMYFUNCTION("""COMPUTED_VALUE"""),"No")</f>
        <v>No</v>
      </c>
      <c r="AH1344" s="8" t="str">
        <f ca="1">IFERROR(__xludf.DUMMYFUNCTION("""COMPUTED_VALUE"""),"No")</f>
        <v>No</v>
      </c>
      <c r="AI1344" s="8" t="str">
        <f ca="1">IFERROR(__xludf.DUMMYFUNCTION("""COMPUTED_VALUE"""),"No")</f>
        <v>No</v>
      </c>
      <c r="AJ1344" s="8" t="str">
        <f ca="1">IFERROR(__xludf.DUMMYFUNCTION("""COMPUTED_VALUE"""),"No")</f>
        <v>No</v>
      </c>
      <c r="AK1344" s="8" t="str">
        <f ca="1">IFERROR(__xludf.DUMMYFUNCTION("""COMPUTED_VALUE"""),"No")</f>
        <v>No</v>
      </c>
      <c r="AL1344" s="8" t="str">
        <f ca="1">IFERROR(__xludf.DUMMYFUNCTION("""COMPUTED_VALUE"""),"No")</f>
        <v>No</v>
      </c>
      <c r="AM1344" s="8" t="str">
        <f ca="1">IFERROR(__xludf.DUMMYFUNCTION("""COMPUTED_VALUE"""),"No")</f>
        <v>No</v>
      </c>
      <c r="AN1344" s="8"/>
      <c r="AO1344" s="8" t="str">
        <f ca="1">IFERROR(__xludf.DUMMYFUNCTION("""COMPUTED_VALUE"""),"No")</f>
        <v>No</v>
      </c>
      <c r="AP1344" s="8"/>
      <c r="AQ1344" s="8"/>
      <c r="AR1344" s="8" t="str">
        <f ca="1">IFERROR(__xludf.DUMMYFUNCTION("""COMPUTED_VALUE"""),"Outside/Off-Property")</f>
        <v>Outside/Off-Property</v>
      </c>
      <c r="AS1344" s="8"/>
      <c r="AT1344" s="8"/>
      <c r="AU1344" s="8">
        <f ca="1">IFERROR(__xludf.DUMMYFUNCTION("""COMPUTED_VALUE"""),37.593749)</f>
        <v>37.593749000000003</v>
      </c>
      <c r="AV1344" s="8">
        <f ca="1">IFERROR(__xludf.DUMMYFUNCTION("""COMPUTED_VALUE"""),-97.367104)</f>
        <v>-97.367103999999998</v>
      </c>
      <c r="AW1344" s="8"/>
      <c r="AX1344" s="8">
        <f ca="1">IFERROR(__xludf.DUMMYFUNCTION("""COMPUTED_VALUE"""),67217)</f>
        <v>67217</v>
      </c>
    </row>
    <row r="1345" spans="1:50" ht="120" x14ac:dyDescent="0.2">
      <c r="A1345" s="8" t="str">
        <f ca="1">IFERROR(__xludf.DUMMYFUNCTION("""COMPUTED_VALUE"""),"20210708ILBEC")</f>
        <v>20210708ILBEC</v>
      </c>
      <c r="B1345" s="8">
        <f ca="1">IFERROR(__xludf.DUMMYFUNCTION("""COMPUTED_VALUE"""),7)</f>
        <v>7</v>
      </c>
      <c r="C1345" s="8">
        <f ca="1">IFERROR(__xludf.DUMMYFUNCTION("""COMPUTED_VALUE"""),8)</f>
        <v>8</v>
      </c>
      <c r="D1345" s="8">
        <f ca="1">IFERROR(__xludf.DUMMYFUNCTION("""COMPUTED_VALUE"""),2021)</f>
        <v>2021</v>
      </c>
      <c r="E1345" s="9">
        <f ca="1">IFERROR(__xludf.DUMMYFUNCTION("""COMPUTED_VALUE"""),44385)</f>
        <v>44385</v>
      </c>
      <c r="F1345" s="8" t="str">
        <f ca="1">IFERROR(__xludf.DUMMYFUNCTION("""COMPUTED_VALUE"""),"Benito Juarez Community Academy")</f>
        <v>Benito Juarez Community Academy</v>
      </c>
      <c r="G1345" s="8">
        <f ca="1">IFERROR(__xludf.DUMMYFUNCTION("""COMPUTED_VALUE"""),0)</f>
        <v>0</v>
      </c>
      <c r="H1345" s="8">
        <f ca="1">IFERROR(__xludf.DUMMYFUNCTION("""COMPUTED_VALUE"""),2)</f>
        <v>2</v>
      </c>
      <c r="I1345" s="8">
        <f ca="1">IFERROR(__xludf.DUMMYFUNCTION("""COMPUTED_VALUE"""),2)</f>
        <v>2</v>
      </c>
      <c r="J1345" s="8">
        <f ca="1">IFERROR(__xludf.DUMMYFUNCTION("""COMPUTED_VALUE"""),0)</f>
        <v>0</v>
      </c>
      <c r="K1345" s="8" t="str">
        <f ca="1">IFERROR(__xludf.DUMMYFUNCTION("""COMPUTED_VALUE"""),"https://chicago.cbslocal.com/2021/07/08/pilsen-shooting-near-juarez-high-school/ https://chicago.suntimes.com/2021/7/8/22568760/2-shot-near-juarez-high-school-on-west-side")</f>
        <v>https://chicago.cbslocal.com/2021/07/08/pilsen-shooting-near-juarez-high-school/ https://chicago.suntimes.com/2021/7/8/22568760/2-shot-near-juarez-high-school-on-west-side</v>
      </c>
      <c r="L1345" s="8">
        <f ca="1">IFERROR(__xludf.DUMMYFUNCTION("""COMPUTED_VALUE"""),2)</f>
        <v>2</v>
      </c>
      <c r="M1345" s="8" t="str">
        <f ca="1">IFERROR(__xludf.DUMMYFUNCTION("""COMPUTED_VALUE"""),"Local")</f>
        <v>Local</v>
      </c>
      <c r="N1345" s="8">
        <f ca="1">IFERROR(__xludf.DUMMYFUNCTION("""COMPUTED_VALUE"""),4)</f>
        <v>4</v>
      </c>
      <c r="O1345" s="8" t="str">
        <f ca="1">IFERROR(__xludf.DUMMYFUNCTION("""COMPUTED_VALUE"""),"Summer")</f>
        <v>Summer</v>
      </c>
      <c r="P1345" s="8" t="str">
        <f ca="1">IFERROR(__xludf.DUMMYFUNCTION("""COMPUTED_VALUE"""),"Chicago")</f>
        <v>Chicago</v>
      </c>
      <c r="Q1345" s="8" t="str">
        <f ca="1">IFERROR(__xludf.DUMMYFUNCTION("""COMPUTED_VALUE"""),"IL")</f>
        <v>IL</v>
      </c>
      <c r="R1345" s="8" t="str">
        <f ca="1">IFERROR(__xludf.DUMMYFUNCTION("""COMPUTED_VALUE"""),"High")</f>
        <v>High</v>
      </c>
      <c r="S1345" s="8" t="str">
        <f ca="1">IFERROR(__xludf.DUMMYFUNCTION("""COMPUTED_VALUE"""),"Front of School")</f>
        <v>Front of School</v>
      </c>
      <c r="T1345" s="8" t="str">
        <f ca="1">IFERROR(__xludf.DUMMYFUNCTION("""COMPUTED_VALUE"""),"Outside on School Property")</f>
        <v>Outside on School Property</v>
      </c>
      <c r="U1345" s="8" t="str">
        <f ca="1">IFERROR(__xludf.DUMMYFUNCTION("""COMPUTED_VALUE"""),"Yes")</f>
        <v>Yes</v>
      </c>
      <c r="V1345" s="8" t="str">
        <f ca="1">IFERROR(__xludf.DUMMYFUNCTION("""COMPUTED_VALUE"""),"Afternoon Classes")</f>
        <v>Afternoon Classes</v>
      </c>
      <c r="W1345" s="11">
        <f ca="1">IFERROR(__xludf.DUMMYFUNCTION("""COMPUTED_VALUE"""),0.50625)</f>
        <v>0.50624999999999998</v>
      </c>
      <c r="X1345" s="8">
        <f ca="1">IFERROR(__xludf.DUMMYFUNCTION("""COMPUTED_VALUE"""),1)</f>
        <v>1</v>
      </c>
      <c r="Y1345" s="12" t="str">
        <f ca="1">IFERROR(__xludf.DUMMYFUNCTION("""COMPUTED_VALUE"""),"Teen student bystander struck during shooting resulting from fight between 2 adult women")</f>
        <v>Teen student bystander struck during shooting resulting from fight between 2 adult women</v>
      </c>
      <c r="Z1345" s="12" t="str">
        <f ca="1">IFERROR(__xludf.DUMMYFUNCTION("""COMPUTED_VALUE"""),"Shots were fired during a fight between two adult women in front of the school. A vehicle stopped near them and someone inside started shooting. Students were attending summer programs at the time of the shooting. A 34-year-old female involved in the figh"&amp;"t was shot in the neck. A 16-year-old male student at the school was shot in the leg. School was locked down for one hour and then students were released to their parents.")</f>
        <v>Shots were fired during a fight between two adult women in front of the school. A vehicle stopped near them and someone inside started shooting. Students were attending summer programs at the time of the shooting. A 34-year-old female involved in the fight was shot in the neck. A 16-year-old male student at the school was shot in the leg. School was locked down for one hour and then students were released to their parents.</v>
      </c>
      <c r="AA1345" s="8" t="str">
        <f ca="1">IFERROR(__xludf.DUMMYFUNCTION("""COMPUTED_VALUE"""),"Drive-by Shooting")</f>
        <v>Drive-by Shooting</v>
      </c>
      <c r="AB1345" s="8"/>
      <c r="AC1345" s="8" t="str">
        <f ca="1">IFERROR(__xludf.DUMMYFUNCTION("""COMPUTED_VALUE"""),"Yes")</f>
        <v>Yes</v>
      </c>
      <c r="AD1345" s="8" t="str">
        <f ca="1">IFERROR(__xludf.DUMMYFUNCTION("""COMPUTED_VALUE"""),"Both")</f>
        <v>Both</v>
      </c>
      <c r="AE1345" s="8"/>
      <c r="AF1345" s="8"/>
      <c r="AG1345" s="8" t="str">
        <f ca="1">IFERROR(__xludf.DUMMYFUNCTION("""COMPUTED_VALUE"""),"No")</f>
        <v>No</v>
      </c>
      <c r="AH1345" s="8" t="str">
        <f ca="1">IFERROR(__xludf.DUMMYFUNCTION("""COMPUTED_VALUE"""),"No")</f>
        <v>No</v>
      </c>
      <c r="AI1345" s="8" t="str">
        <f ca="1">IFERROR(__xludf.DUMMYFUNCTION("""COMPUTED_VALUE"""),"No")</f>
        <v>No</v>
      </c>
      <c r="AJ1345" s="8" t="str">
        <f ca="1">IFERROR(__xludf.DUMMYFUNCTION("""COMPUTED_VALUE"""),"No")</f>
        <v>No</v>
      </c>
      <c r="AK1345" s="8" t="str">
        <f ca="1">IFERROR(__xludf.DUMMYFUNCTION("""COMPUTED_VALUE"""),"No")</f>
        <v>No</v>
      </c>
      <c r="AL1345" s="8"/>
      <c r="AM1345" s="8" t="str">
        <f ca="1">IFERROR(__xludf.DUMMYFUNCTION("""COMPUTED_VALUE"""),"No")</f>
        <v>No</v>
      </c>
      <c r="AN1345" s="8"/>
      <c r="AO1345" s="8" t="str">
        <f ca="1">IFERROR(__xludf.DUMMYFUNCTION("""COMPUTED_VALUE"""),"No")</f>
        <v>No</v>
      </c>
      <c r="AP1345" s="8"/>
      <c r="AQ1345" s="8"/>
      <c r="AR1345" s="8" t="str">
        <f ca="1">IFERROR(__xludf.DUMMYFUNCTION("""COMPUTED_VALUE"""),"Outside/Off-Property")</f>
        <v>Outside/Off-Property</v>
      </c>
      <c r="AS1345" s="8"/>
      <c r="AT1345" s="8" t="str">
        <f ca="1">IFERROR(__xludf.DUMMYFUNCTION("""COMPUTED_VALUE"""),"Yes")</f>
        <v>Yes</v>
      </c>
      <c r="AU1345" s="8">
        <f ca="1">IFERROR(__xludf.DUMMYFUNCTION("""COMPUTED_VALUE"""),41.852402)</f>
        <v>41.852401999999998</v>
      </c>
      <c r="AV1345" s="8">
        <f ca="1">IFERROR(__xludf.DUMMYFUNCTION("""COMPUTED_VALUE"""),-87.664355)</f>
        <v>-87.664355</v>
      </c>
      <c r="AW1345" s="8"/>
      <c r="AX1345" s="8">
        <f ca="1">IFERROR(__xludf.DUMMYFUNCTION("""COMPUTED_VALUE"""),60608)</f>
        <v>60608</v>
      </c>
    </row>
    <row r="1346" spans="1:50" ht="60" x14ac:dyDescent="0.2">
      <c r="A1346" s="8" t="str">
        <f ca="1">IFERROR(__xludf.DUMMYFUNCTION("""COMPUTED_VALUE"""),"20210704NYDRR")</f>
        <v>20210704NYDRR</v>
      </c>
      <c r="B1346" s="8">
        <f ca="1">IFERROR(__xludf.DUMMYFUNCTION("""COMPUTED_VALUE"""),7)</f>
        <v>7</v>
      </c>
      <c r="C1346" s="8">
        <f ca="1">IFERROR(__xludf.DUMMYFUNCTION("""COMPUTED_VALUE"""),4)</f>
        <v>4</v>
      </c>
      <c r="D1346" s="8">
        <f ca="1">IFERROR(__xludf.DUMMYFUNCTION("""COMPUTED_VALUE"""),2021)</f>
        <v>2021</v>
      </c>
      <c r="E1346" s="9">
        <f ca="1">IFERROR(__xludf.DUMMYFUNCTION("""COMPUTED_VALUE"""),44381)</f>
        <v>44381</v>
      </c>
      <c r="F1346" s="8" t="str">
        <f ca="1">IFERROR(__xludf.DUMMYFUNCTION("""COMPUTED_VALUE"""),"Dr. Louis A. Cerulli School No. 34")</f>
        <v>Dr. Louis A. Cerulli School No. 34</v>
      </c>
      <c r="G1346" s="8">
        <f ca="1">IFERROR(__xludf.DUMMYFUNCTION("""COMPUTED_VALUE"""),1)</f>
        <v>1</v>
      </c>
      <c r="H1346" s="8">
        <f ca="1">IFERROR(__xludf.DUMMYFUNCTION("""COMPUTED_VALUE"""),0)</f>
        <v>0</v>
      </c>
      <c r="I1346" s="8">
        <f ca="1">IFERROR(__xludf.DUMMYFUNCTION("""COMPUTED_VALUE"""),1)</f>
        <v>1</v>
      </c>
      <c r="J1346" s="8">
        <f ca="1">IFERROR(__xludf.DUMMYFUNCTION("""COMPUTED_VALUE"""),0)</f>
        <v>0</v>
      </c>
      <c r="K1346" s="8" t="str">
        <f ca="1">IFERROR(__xludf.DUMMYFUNCTION("""COMPUTED_VALUE"""),"https://www.democratandchronicle.com/story/news/2021/07/05/two-rochester-shootings-leave-four-victims-all-expected-live/7864450002/ https://www.democratandchronicle.com/story/news/2021/07/04/rochester-ny-shooting-teenage-boy-found-falmouth-street-greece-d"&amp;"riving-park-lark/7861094002/")</f>
        <v>https://www.democratandchronicle.com/story/news/2021/07/05/two-rochester-shootings-leave-four-victims-all-expected-live/7864450002/ https://www.democratandchronicle.com/story/news/2021/07/04/rochester-ny-shooting-teenage-boy-found-falmouth-street-greece-driving-park-lark/7861094002/</v>
      </c>
      <c r="L1346" s="8">
        <f ca="1">IFERROR(__xludf.DUMMYFUNCTION("""COMPUTED_VALUE"""),2)</f>
        <v>2</v>
      </c>
      <c r="M1346" s="8" t="str">
        <f ca="1">IFERROR(__xludf.DUMMYFUNCTION("""COMPUTED_VALUE"""),"Local")</f>
        <v>Local</v>
      </c>
      <c r="N1346" s="8">
        <f ca="1">IFERROR(__xludf.DUMMYFUNCTION("""COMPUTED_VALUE"""),3)</f>
        <v>3</v>
      </c>
      <c r="O1346" s="8" t="str">
        <f ca="1">IFERROR(__xludf.DUMMYFUNCTION("""COMPUTED_VALUE"""),"Summer")</f>
        <v>Summer</v>
      </c>
      <c r="P1346" s="8" t="str">
        <f ca="1">IFERROR(__xludf.DUMMYFUNCTION("""COMPUTED_VALUE"""),"Rochester")</f>
        <v>Rochester</v>
      </c>
      <c r="Q1346" s="8" t="str">
        <f ca="1">IFERROR(__xludf.DUMMYFUNCTION("""COMPUTED_VALUE"""),"NY")</f>
        <v>NY</v>
      </c>
      <c r="R1346" s="8" t="str">
        <f ca="1">IFERROR(__xludf.DUMMYFUNCTION("""COMPUTED_VALUE"""),"High")</f>
        <v>High</v>
      </c>
      <c r="S1346" s="8" t="str">
        <f ca="1">IFERROR(__xludf.DUMMYFUNCTION("""COMPUTED_VALUE"""),"Parking Lot")</f>
        <v>Parking Lot</v>
      </c>
      <c r="T1346" s="8" t="str">
        <f ca="1">IFERROR(__xludf.DUMMYFUNCTION("""COMPUTED_VALUE"""),"Outside on School Property")</f>
        <v>Outside on School Property</v>
      </c>
      <c r="U1346" s="8" t="str">
        <f ca="1">IFERROR(__xludf.DUMMYFUNCTION("""COMPUTED_VALUE"""),"No")</f>
        <v>No</v>
      </c>
      <c r="V1346" s="8" t="str">
        <f ca="1">IFERROR(__xludf.DUMMYFUNCTION("""COMPUTED_VALUE"""),"Night")</f>
        <v>Night</v>
      </c>
      <c r="W1346" s="11">
        <f ca="1">IFERROR(__xludf.DUMMYFUNCTION("""COMPUTED_VALUE"""),0.0416666666666666)</f>
        <v>4.1666666666666602E-2</v>
      </c>
      <c r="X1346" s="8">
        <f ca="1">IFERROR(__xludf.DUMMYFUNCTION("""COMPUTED_VALUE"""),1)</f>
        <v>1</v>
      </c>
      <c r="Y1346" s="12" t="str">
        <f ca="1">IFERROR(__xludf.DUMMYFUNCTION("""COMPUTED_VALUE"""),"Teen sitting in vehicle shot during drive-by in school parking lot")</f>
        <v>Teen sitting in vehicle shot during drive-by in school parking lot</v>
      </c>
      <c r="Z1346" s="12" t="str">
        <f ca="1">IFERROR(__xludf.DUMMYFUNCTION("""COMPUTED_VALUE"""),"A 16-year-old male was sitting inside a vehicle in the school parking lot when shots were fired from another vehicle. He was driven 2 miles from the scene before the other occupants called 9-1-1. Shooter fled.")</f>
        <v>A 16-year-old male was sitting inside a vehicle in the school parking lot when shots were fired from another vehicle. He was driven 2 miles from the scene before the other occupants called 9-1-1. Shooter fled.</v>
      </c>
      <c r="AA1346" s="8" t="str">
        <f ca="1">IFERROR(__xludf.DUMMYFUNCTION("""COMPUTED_VALUE"""),"Drive-by Shooting")</f>
        <v>Drive-by Shooting</v>
      </c>
      <c r="AB1346" s="8"/>
      <c r="AC1346" s="8" t="str">
        <f ca="1">IFERROR(__xludf.DUMMYFUNCTION("""COMPUTED_VALUE"""),"No")</f>
        <v>No</v>
      </c>
      <c r="AD1346" s="8"/>
      <c r="AE1346" s="8"/>
      <c r="AF1346" s="8"/>
      <c r="AG1346" s="8" t="str">
        <f ca="1">IFERROR(__xludf.DUMMYFUNCTION("""COMPUTED_VALUE"""),"No")</f>
        <v>No</v>
      </c>
      <c r="AH1346" s="8" t="str">
        <f ca="1">IFERROR(__xludf.DUMMYFUNCTION("""COMPUTED_VALUE"""),"No")</f>
        <v>No</v>
      </c>
      <c r="AI1346" s="8" t="str">
        <f ca="1">IFERROR(__xludf.DUMMYFUNCTION("""COMPUTED_VALUE"""),"No")</f>
        <v>No</v>
      </c>
      <c r="AJ1346" s="8" t="str">
        <f ca="1">IFERROR(__xludf.DUMMYFUNCTION("""COMPUTED_VALUE"""),"No")</f>
        <v>No</v>
      </c>
      <c r="AK1346" s="8" t="str">
        <f ca="1">IFERROR(__xludf.DUMMYFUNCTION("""COMPUTED_VALUE"""),"No")</f>
        <v>No</v>
      </c>
      <c r="AL1346" s="8"/>
      <c r="AM1346" s="8" t="str">
        <f ca="1">IFERROR(__xludf.DUMMYFUNCTION("""COMPUTED_VALUE"""),"No")</f>
        <v>No</v>
      </c>
      <c r="AN1346" s="8"/>
      <c r="AO1346" s="8" t="str">
        <f ca="1">IFERROR(__xludf.DUMMYFUNCTION("""COMPUTED_VALUE"""),"No")</f>
        <v>No</v>
      </c>
      <c r="AP1346" s="8"/>
      <c r="AQ1346" s="8"/>
      <c r="AR1346" s="8" t="str">
        <f ca="1">IFERROR(__xludf.DUMMYFUNCTION("""COMPUTED_VALUE"""),"Outside/Off-Property")</f>
        <v>Outside/Off-Property</v>
      </c>
      <c r="AS1346" s="8"/>
      <c r="AT1346" s="8"/>
      <c r="AU1346" s="8">
        <f ca="1">IFERROR(__xludf.DUMMYFUNCTION("""COMPUTED_VALUE"""),43.179676)</f>
        <v>43.179676000000001</v>
      </c>
      <c r="AV1346" s="8">
        <f ca="1">IFERROR(__xludf.DUMMYFUNCTION("""COMPUTED_VALUE"""),-77.643847)</f>
        <v>-77.643846999999994</v>
      </c>
      <c r="AW1346" s="8"/>
      <c r="AX1346" s="8">
        <f ca="1">IFERROR(__xludf.DUMMYFUNCTION("""COMPUTED_VALUE"""),14613)</f>
        <v>14613</v>
      </c>
    </row>
    <row r="1347" spans="1:50" ht="105" x14ac:dyDescent="0.2">
      <c r="A1347" s="8" t="str">
        <f ca="1">IFERROR(__xludf.DUMMYFUNCTION("""COMPUTED_VALUE"""),"20210628CASLF")</f>
        <v>20210628CASLF</v>
      </c>
      <c r="B1347" s="8">
        <f ca="1">IFERROR(__xludf.DUMMYFUNCTION("""COMPUTED_VALUE"""),6)</f>
        <v>6</v>
      </c>
      <c r="C1347" s="8">
        <f ca="1">IFERROR(__xludf.DUMMYFUNCTION("""COMPUTED_VALUE"""),28)</f>
        <v>28</v>
      </c>
      <c r="D1347" s="8">
        <f ca="1">IFERROR(__xludf.DUMMYFUNCTION("""COMPUTED_VALUE"""),2021)</f>
        <v>2021</v>
      </c>
      <c r="E1347" s="9">
        <f ca="1">IFERROR(__xludf.DUMMYFUNCTION("""COMPUTED_VALUE"""),44375)</f>
        <v>44375</v>
      </c>
      <c r="F1347" s="8" t="str">
        <f ca="1">IFERROR(__xludf.DUMMYFUNCTION("""COMPUTED_VALUE"""),"Slater Elementary School")</f>
        <v>Slater Elementary School</v>
      </c>
      <c r="G1347" s="8">
        <f ca="1">IFERROR(__xludf.DUMMYFUNCTION("""COMPUTED_VALUE"""),0)</f>
        <v>0</v>
      </c>
      <c r="H1347" s="8">
        <f ca="1">IFERROR(__xludf.DUMMYFUNCTION("""COMPUTED_VALUE"""),1)</f>
        <v>1</v>
      </c>
      <c r="I1347" s="8">
        <f ca="1">IFERROR(__xludf.DUMMYFUNCTION("""COMPUTED_VALUE"""),1)</f>
        <v>1</v>
      </c>
      <c r="J1347" s="8">
        <f ca="1">IFERROR(__xludf.DUMMYFUNCTION("""COMPUTED_VALUE"""),0)</f>
        <v>0</v>
      </c>
      <c r="K1347" s="10" t="str">
        <f ca="1">IFERROR(__xludf.DUMMYFUNCTION("""COMPUTED_VALUE"""),"https://www.yourcentralvalley.com/news/local-news/driver-crashes-into-central-fresno-school-fence-after-being-shot-police-say/")</f>
        <v>https://www.yourcentralvalley.com/news/local-news/driver-crashes-into-central-fresno-school-fence-after-being-shot-police-say/</v>
      </c>
      <c r="L1347" s="8">
        <f ca="1">IFERROR(__xludf.DUMMYFUNCTION("""COMPUTED_VALUE"""),3)</f>
        <v>3</v>
      </c>
      <c r="M1347" s="8" t="str">
        <f ca="1">IFERROR(__xludf.DUMMYFUNCTION("""COMPUTED_VALUE"""),"Local")</f>
        <v>Local</v>
      </c>
      <c r="N1347" s="8">
        <f ca="1">IFERROR(__xludf.DUMMYFUNCTION("""COMPUTED_VALUE"""),4)</f>
        <v>4</v>
      </c>
      <c r="O1347" s="8" t="str">
        <f ca="1">IFERROR(__xludf.DUMMYFUNCTION("""COMPUTED_VALUE"""),"Summer")</f>
        <v>Summer</v>
      </c>
      <c r="P1347" s="8" t="str">
        <f ca="1">IFERROR(__xludf.DUMMYFUNCTION("""COMPUTED_VALUE"""),"Fresno")</f>
        <v>Fresno</v>
      </c>
      <c r="Q1347" s="8" t="str">
        <f ca="1">IFERROR(__xludf.DUMMYFUNCTION("""COMPUTED_VALUE"""),"CA")</f>
        <v>CA</v>
      </c>
      <c r="R1347" s="8" t="str">
        <f ca="1">IFERROR(__xludf.DUMMYFUNCTION("""COMPUTED_VALUE"""),"Elementary")</f>
        <v>Elementary</v>
      </c>
      <c r="S1347" s="8" t="str">
        <f ca="1">IFERROR(__xludf.DUMMYFUNCTION("""COMPUTED_VALUE"""),"Field (General)")</f>
        <v>Field (General)</v>
      </c>
      <c r="T1347" s="8" t="str">
        <f ca="1">IFERROR(__xludf.DUMMYFUNCTION("""COMPUTED_VALUE"""),"Outside on School Property")</f>
        <v>Outside on School Property</v>
      </c>
      <c r="U1347" s="8" t="str">
        <f ca="1">IFERROR(__xludf.DUMMYFUNCTION("""COMPUTED_VALUE"""),"No")</f>
        <v>No</v>
      </c>
      <c r="V1347" s="8" t="str">
        <f ca="1">IFERROR(__xludf.DUMMYFUNCTION("""COMPUTED_VALUE"""),"Not a School Day")</f>
        <v>Not a School Day</v>
      </c>
      <c r="W1347" s="11">
        <f ca="1">IFERROR(__xludf.DUMMYFUNCTION("""COMPUTED_VALUE"""),0.375)</f>
        <v>0.375</v>
      </c>
      <c r="X1347" s="8">
        <f ca="1">IFERROR(__xludf.DUMMYFUNCTION("""COMPUTED_VALUE"""),1)</f>
        <v>1</v>
      </c>
      <c r="Y1347" s="12" t="str">
        <f ca="1">IFERROR(__xludf.DUMMYFUNCTION("""COMPUTED_VALUE"""),"Shot fired at vehicle that crashed through fence onto school property")</f>
        <v>Shot fired at vehicle that crashed through fence onto school property</v>
      </c>
      <c r="Z1347" s="12" t="str">
        <f ca="1">IFERROR(__xludf.DUMMYFUNCTION("""COMPUTED_VALUE"""),"Shot were fired by the occupants of one vehicle at another vehicle that crashed into the fence and onto school property. Driver of the crashed vehicle was shot and fled across the school grounds. He was picked up and driven to a local hospital. Police rec"&amp;"overed shell casings near the crashed vehicle. No students or staff were injured. School closed for summer break.")</f>
        <v>Shot were fired by the occupants of one vehicle at another vehicle that crashed into the fence and onto school property. Driver of the crashed vehicle was shot and fled across the school grounds. He was picked up and driven to a local hospital. Police recovered shell casings near the crashed vehicle. No students or staff were injured. School closed for summer break.</v>
      </c>
      <c r="AA1347" s="8" t="str">
        <f ca="1">IFERROR(__xludf.DUMMYFUNCTION("""COMPUTED_VALUE"""),"Drive-by Shooting")</f>
        <v>Drive-by Shooting</v>
      </c>
      <c r="AB1347" s="8"/>
      <c r="AC1347" s="8" t="str">
        <f ca="1">IFERROR(__xludf.DUMMYFUNCTION("""COMPUTED_VALUE"""),"No")</f>
        <v>No</v>
      </c>
      <c r="AD1347" s="8" t="str">
        <f ca="1">IFERROR(__xludf.DUMMYFUNCTION("""COMPUTED_VALUE"""),"Victims Targeted")</f>
        <v>Victims Targeted</v>
      </c>
      <c r="AE1347" s="8"/>
      <c r="AF1347" s="8"/>
      <c r="AG1347" s="8" t="str">
        <f ca="1">IFERROR(__xludf.DUMMYFUNCTION("""COMPUTED_VALUE"""),"No")</f>
        <v>No</v>
      </c>
      <c r="AH1347" s="8" t="str">
        <f ca="1">IFERROR(__xludf.DUMMYFUNCTION("""COMPUTED_VALUE"""),"No")</f>
        <v>No</v>
      </c>
      <c r="AI1347" s="8" t="str">
        <f ca="1">IFERROR(__xludf.DUMMYFUNCTION("""COMPUTED_VALUE"""),"No")</f>
        <v>No</v>
      </c>
      <c r="AJ1347" s="8" t="str">
        <f ca="1">IFERROR(__xludf.DUMMYFUNCTION("""COMPUTED_VALUE"""),"No")</f>
        <v>No</v>
      </c>
      <c r="AK1347" s="8" t="str">
        <f ca="1">IFERROR(__xludf.DUMMYFUNCTION("""COMPUTED_VALUE"""),"No")</f>
        <v>No</v>
      </c>
      <c r="AL1347" s="8"/>
      <c r="AM1347" s="8" t="str">
        <f ca="1">IFERROR(__xludf.DUMMYFUNCTION("""COMPUTED_VALUE"""),"No")</f>
        <v>No</v>
      </c>
      <c r="AN1347" s="8"/>
      <c r="AO1347" s="8" t="str">
        <f ca="1">IFERROR(__xludf.DUMMYFUNCTION("""COMPUTED_VALUE"""),"No")</f>
        <v>No</v>
      </c>
      <c r="AP1347" s="8"/>
      <c r="AQ1347" s="8"/>
      <c r="AR1347" s="8" t="str">
        <f ca="1">IFERROR(__xludf.DUMMYFUNCTION("""COMPUTED_VALUE"""),"Outside/Off-Property")</f>
        <v>Outside/Off-Property</v>
      </c>
      <c r="AS1347" s="8"/>
      <c r="AT1347" s="8"/>
      <c r="AU1347" s="8">
        <f ca="1">IFERROR(__xludf.DUMMYFUNCTION("""COMPUTED_VALUE"""),36.800915)</f>
        <v>36.800915000000003</v>
      </c>
      <c r="AV1347" s="8">
        <f ca="1">IFERROR(__xludf.DUMMYFUNCTION("""COMPUTED_VALUE"""),-119.840512)</f>
        <v>-119.840512</v>
      </c>
      <c r="AW1347" s="8"/>
      <c r="AX1347" s="8">
        <f ca="1">IFERROR(__xludf.DUMMYFUNCTION("""COMPUTED_VALUE"""),93705)</f>
        <v>93705</v>
      </c>
    </row>
    <row r="1348" spans="1:50" ht="75" x14ac:dyDescent="0.2">
      <c r="A1348" s="8" t="str">
        <f ca="1">IFERROR(__xludf.DUMMYFUNCTION("""COMPUTED_VALUE"""),"20210624ILABR")</f>
        <v>20210624ILABR</v>
      </c>
      <c r="B1348" s="8">
        <f ca="1">IFERROR(__xludf.DUMMYFUNCTION("""COMPUTED_VALUE"""),6)</f>
        <v>6</v>
      </c>
      <c r="C1348" s="8">
        <f ca="1">IFERROR(__xludf.DUMMYFUNCTION("""COMPUTED_VALUE"""),24)</f>
        <v>24</v>
      </c>
      <c r="D1348" s="8">
        <f ca="1">IFERROR(__xludf.DUMMYFUNCTION("""COMPUTED_VALUE"""),2021)</f>
        <v>2021</v>
      </c>
      <c r="E1348" s="9">
        <f ca="1">IFERROR(__xludf.DUMMYFUNCTION("""COMPUTED_VALUE"""),44371)</f>
        <v>44371</v>
      </c>
      <c r="F1348" s="8" t="str">
        <f ca="1">IFERROR(__xludf.DUMMYFUNCTION("""COMPUTED_VALUE"""),"Abraham Lincoln Middle School")</f>
        <v>Abraham Lincoln Middle School</v>
      </c>
      <c r="G1348" s="8">
        <f ca="1">IFERROR(__xludf.DUMMYFUNCTION("""COMPUTED_VALUE"""),0)</f>
        <v>0</v>
      </c>
      <c r="H1348" s="8">
        <f ca="1">IFERROR(__xludf.DUMMYFUNCTION("""COMPUTED_VALUE"""),1)</f>
        <v>1</v>
      </c>
      <c r="I1348" s="8">
        <f ca="1">IFERROR(__xludf.DUMMYFUNCTION("""COMPUTED_VALUE"""),1)</f>
        <v>1</v>
      </c>
      <c r="J1348" s="8">
        <f ca="1">IFERROR(__xludf.DUMMYFUNCTION("""COMPUTED_VALUE"""),0)</f>
        <v>0</v>
      </c>
      <c r="K1348" s="8" t="str">
        <f ca="1">IFERROR(__xludf.DUMMYFUNCTION("""COMPUTED_VALUE"""),"https://wrex.com/2021/06/24/man-shot-in-vehicle-in-front-of-lincoln-middle-school/ https://www.wifr.com/2021/06/25/man-shot-jaw-heading-home-work-near-rockford-school/")</f>
        <v>https://wrex.com/2021/06/24/man-shot-in-vehicle-in-front-of-lincoln-middle-school/ https://www.wifr.com/2021/06/25/man-shot-jaw-heading-home-work-near-rockford-school/</v>
      </c>
      <c r="L1348" s="8">
        <f ca="1">IFERROR(__xludf.DUMMYFUNCTION("""COMPUTED_VALUE"""),2)</f>
        <v>2</v>
      </c>
      <c r="M1348" s="8" t="str">
        <f ca="1">IFERROR(__xludf.DUMMYFUNCTION("""COMPUTED_VALUE"""),"Local")</f>
        <v>Local</v>
      </c>
      <c r="N1348" s="8">
        <f ca="1">IFERROR(__xludf.DUMMYFUNCTION("""COMPUTED_VALUE"""),3)</f>
        <v>3</v>
      </c>
      <c r="O1348" s="8" t="str">
        <f ca="1">IFERROR(__xludf.DUMMYFUNCTION("""COMPUTED_VALUE"""),"Summer")</f>
        <v>Summer</v>
      </c>
      <c r="P1348" s="8" t="str">
        <f ca="1">IFERROR(__xludf.DUMMYFUNCTION("""COMPUTED_VALUE"""),"Rockford")</f>
        <v>Rockford</v>
      </c>
      <c r="Q1348" s="8" t="str">
        <f ca="1">IFERROR(__xludf.DUMMYFUNCTION("""COMPUTED_VALUE"""),"IL")</f>
        <v>IL</v>
      </c>
      <c r="R1348" s="8" t="str">
        <f ca="1">IFERROR(__xludf.DUMMYFUNCTION("""COMPUTED_VALUE"""),"Middle")</f>
        <v>Middle</v>
      </c>
      <c r="S1348" s="8" t="str">
        <f ca="1">IFERROR(__xludf.DUMMYFUNCTION("""COMPUTED_VALUE"""),"Front of School")</f>
        <v>Front of School</v>
      </c>
      <c r="T1348" s="8" t="str">
        <f ca="1">IFERROR(__xludf.DUMMYFUNCTION("""COMPUTED_VALUE"""),"Outside on School Property")</f>
        <v>Outside on School Property</v>
      </c>
      <c r="U1348" s="8" t="str">
        <f ca="1">IFERROR(__xludf.DUMMYFUNCTION("""COMPUTED_VALUE"""),"No")</f>
        <v>No</v>
      </c>
      <c r="V1348" s="8" t="str">
        <f ca="1">IFERROR(__xludf.DUMMYFUNCTION("""COMPUTED_VALUE"""),"Evening")</f>
        <v>Evening</v>
      </c>
      <c r="W1348" s="11">
        <f ca="1">IFERROR(__xludf.DUMMYFUNCTION("""COMPUTED_VALUE"""),0.815972222222222)</f>
        <v>0.81597222222222199</v>
      </c>
      <c r="X1348" s="8">
        <f ca="1">IFERROR(__xludf.DUMMYFUNCTION("""COMPUTED_VALUE"""),1)</f>
        <v>1</v>
      </c>
      <c r="Y1348" s="12" t="str">
        <f ca="1">IFERROR(__xludf.DUMMYFUNCTION("""COMPUTED_VALUE"""),"Man shot while driving, crashed his vehicle on the front lawn of the school")</f>
        <v>Man shot while driving, crashed his vehicle on the front lawn of the school</v>
      </c>
      <c r="Z1348" s="12" t="str">
        <f ca="1">IFERROR(__xludf.DUMMYFUNCTION("""COMPUTED_VALUE"""),"An adult male was shot in the jaw while driving near the school. He lost control of his vehicle and ended up in the middle of the front lawn of the school. The shots were fired from another vehicle that fled the scene. No students or staff were involved.")</f>
        <v>An adult male was shot in the jaw while driving near the school. He lost control of his vehicle and ended up in the middle of the front lawn of the school. The shots were fired from another vehicle that fled the scene. No students or staff were involved.</v>
      </c>
      <c r="AA1348" s="8" t="str">
        <f ca="1">IFERROR(__xludf.DUMMYFUNCTION("""COMPUTED_VALUE"""),"Drive-by Shooting")</f>
        <v>Drive-by Shooting</v>
      </c>
      <c r="AB1348" s="8"/>
      <c r="AC1348" s="8" t="str">
        <f ca="1">IFERROR(__xludf.DUMMYFUNCTION("""COMPUTED_VALUE"""),"No")</f>
        <v>No</v>
      </c>
      <c r="AD1348" s="8"/>
      <c r="AE1348" s="8"/>
      <c r="AF1348" s="8"/>
      <c r="AG1348" s="8" t="str">
        <f ca="1">IFERROR(__xludf.DUMMYFUNCTION("""COMPUTED_VALUE"""),"No")</f>
        <v>No</v>
      </c>
      <c r="AH1348" s="8" t="str">
        <f ca="1">IFERROR(__xludf.DUMMYFUNCTION("""COMPUTED_VALUE"""),"No")</f>
        <v>No</v>
      </c>
      <c r="AI1348" s="8" t="str">
        <f ca="1">IFERROR(__xludf.DUMMYFUNCTION("""COMPUTED_VALUE"""),"No")</f>
        <v>No</v>
      </c>
      <c r="AJ1348" s="8" t="str">
        <f ca="1">IFERROR(__xludf.DUMMYFUNCTION("""COMPUTED_VALUE"""),"No")</f>
        <v>No</v>
      </c>
      <c r="AK1348" s="8" t="str">
        <f ca="1">IFERROR(__xludf.DUMMYFUNCTION("""COMPUTED_VALUE"""),"No")</f>
        <v>No</v>
      </c>
      <c r="AL1348" s="8"/>
      <c r="AM1348" s="8" t="str">
        <f ca="1">IFERROR(__xludf.DUMMYFUNCTION("""COMPUTED_VALUE"""),"No")</f>
        <v>No</v>
      </c>
      <c r="AN1348" s="8"/>
      <c r="AO1348" s="8" t="str">
        <f ca="1">IFERROR(__xludf.DUMMYFUNCTION("""COMPUTED_VALUE"""),"No")</f>
        <v>No</v>
      </c>
      <c r="AP1348" s="8"/>
      <c r="AQ1348" s="8"/>
      <c r="AR1348" s="8" t="str">
        <f ca="1">IFERROR(__xludf.DUMMYFUNCTION("""COMPUTED_VALUE"""),"Outside/Off-Property")</f>
        <v>Outside/Off-Property</v>
      </c>
      <c r="AS1348" s="8"/>
      <c r="AT1348" s="8"/>
      <c r="AU1348" s="8">
        <f ca="1">IFERROR(__xludf.DUMMYFUNCTION("""COMPUTED_VALUE"""),42.264158)</f>
        <v>42.264158000000002</v>
      </c>
      <c r="AV1348" s="8">
        <f ca="1">IFERROR(__xludf.DUMMYFUNCTION("""COMPUTED_VALUE"""),-89.070625)</f>
        <v>-89.070625000000007</v>
      </c>
      <c r="AW1348" s="8"/>
      <c r="AX1348" s="8">
        <f ca="1">IFERROR(__xludf.DUMMYFUNCTION("""COMPUTED_VALUE"""),61104)</f>
        <v>61104</v>
      </c>
    </row>
    <row r="1349" spans="1:50" ht="105" x14ac:dyDescent="0.2">
      <c r="A1349" s="8" t="str">
        <f ca="1">IFERROR(__xludf.DUMMYFUNCTION("""COMPUTED_VALUE"""),"20210620CAGRM")</f>
        <v>20210620CAGRM</v>
      </c>
      <c r="B1349" s="8">
        <f ca="1">IFERROR(__xludf.DUMMYFUNCTION("""COMPUTED_VALUE"""),6)</f>
        <v>6</v>
      </c>
      <c r="C1349" s="8">
        <f ca="1">IFERROR(__xludf.DUMMYFUNCTION("""COMPUTED_VALUE"""),20)</f>
        <v>20</v>
      </c>
      <c r="D1349" s="8">
        <f ca="1">IFERROR(__xludf.DUMMYFUNCTION("""COMPUTED_VALUE"""),2021)</f>
        <v>2021</v>
      </c>
      <c r="E1349" s="9">
        <f ca="1">IFERROR(__xludf.DUMMYFUNCTION("""COMPUTED_VALUE"""),44367)</f>
        <v>44367</v>
      </c>
      <c r="F1349" s="8" t="str">
        <f ca="1">IFERROR(__xludf.DUMMYFUNCTION("""COMPUTED_VALUE"""),"Modesto Christian School")</f>
        <v>Modesto Christian School</v>
      </c>
      <c r="G1349" s="8">
        <f ca="1">IFERROR(__xludf.DUMMYFUNCTION("""COMPUTED_VALUE"""),0)</f>
        <v>0</v>
      </c>
      <c r="H1349" s="8">
        <f ca="1">IFERROR(__xludf.DUMMYFUNCTION("""COMPUTED_VALUE"""),1)</f>
        <v>1</v>
      </c>
      <c r="I1349" s="8">
        <f ca="1">IFERROR(__xludf.DUMMYFUNCTION("""COMPUTED_VALUE"""),1)</f>
        <v>1</v>
      </c>
      <c r="J1349" s="8">
        <f ca="1">IFERROR(__xludf.DUMMYFUNCTION("""COMPUTED_VALUE"""),0)</f>
        <v>0</v>
      </c>
      <c r="K1349" s="8" t="str">
        <f ca="1">IFERROR(__xludf.DUMMYFUNCTION("""COMPUTED_VALUE"""),"https://www.abc10.com/article/news/crime/shooting-modesto-area-school/103-1e2417eb-7886-4cc7-a3f9-e1fa4e7435e4 https://www.modbee.com/news/local/crime/article252255833.html")</f>
        <v>https://www.abc10.com/article/news/crime/shooting-modesto-area-school/103-1e2417eb-7886-4cc7-a3f9-e1fa4e7435e4 https://www.modbee.com/news/local/crime/article252255833.html</v>
      </c>
      <c r="L1349" s="8">
        <f ca="1">IFERROR(__xludf.DUMMYFUNCTION("""COMPUTED_VALUE"""),3)</f>
        <v>3</v>
      </c>
      <c r="M1349" s="8" t="str">
        <f ca="1">IFERROR(__xludf.DUMMYFUNCTION("""COMPUTED_VALUE"""),"Local")</f>
        <v>Local</v>
      </c>
      <c r="N1349" s="8">
        <f ca="1">IFERROR(__xludf.DUMMYFUNCTION("""COMPUTED_VALUE"""),3)</f>
        <v>3</v>
      </c>
      <c r="O1349" s="8" t="str">
        <f ca="1">IFERROR(__xludf.DUMMYFUNCTION("""COMPUTED_VALUE"""),"Summer")</f>
        <v>Summer</v>
      </c>
      <c r="P1349" s="8" t="str">
        <f ca="1">IFERROR(__xludf.DUMMYFUNCTION("""COMPUTED_VALUE"""),"Modesto")</f>
        <v>Modesto</v>
      </c>
      <c r="Q1349" s="8" t="str">
        <f ca="1">IFERROR(__xludf.DUMMYFUNCTION("""COMPUTED_VALUE"""),"CA")</f>
        <v>CA</v>
      </c>
      <c r="R1349" s="8" t="str">
        <f ca="1">IFERROR(__xludf.DUMMYFUNCTION("""COMPUTED_VALUE"""),"K-12")</f>
        <v>K-12</v>
      </c>
      <c r="S1349" s="8" t="str">
        <f ca="1">IFERROR(__xludf.DUMMYFUNCTION("""COMPUTED_VALUE"""),"Parking Lot")</f>
        <v>Parking Lot</v>
      </c>
      <c r="T1349" s="8" t="str">
        <f ca="1">IFERROR(__xludf.DUMMYFUNCTION("""COMPUTED_VALUE"""),"Outside on School Property")</f>
        <v>Outside on School Property</v>
      </c>
      <c r="U1349" s="8" t="str">
        <f ca="1">IFERROR(__xludf.DUMMYFUNCTION("""COMPUTED_VALUE"""),"No")</f>
        <v>No</v>
      </c>
      <c r="V1349" s="8" t="str">
        <f ca="1">IFERROR(__xludf.DUMMYFUNCTION("""COMPUTED_VALUE"""),"Not a School Day")</f>
        <v>Not a School Day</v>
      </c>
      <c r="W1349" s="11">
        <f ca="1">IFERROR(__xludf.DUMMYFUNCTION("""COMPUTED_VALUE"""),0.270833333333333)</f>
        <v>0.27083333333333298</v>
      </c>
      <c r="X1349" s="8">
        <f ca="1">IFERROR(__xludf.DUMMYFUNCTION("""COMPUTED_VALUE"""),1)</f>
        <v>1</v>
      </c>
      <c r="Y1349" s="12" t="str">
        <f ca="1">IFERROR(__xludf.DUMMYFUNCTION("""COMPUTED_VALUE"""),"Armed security guard fired at man who attempted to run him over with vehicle")</f>
        <v>Armed security guard fired at man who attempted to run him over with vehicle</v>
      </c>
      <c r="Z1349" s="12" t="str">
        <f ca="1">IFERROR(__xludf.DUMMYFUNCTION("""COMPUTED_VALUE"""),"Two armed security guards approached a man who appeared to be stealing the catalytic converter of a school vehicle parking in the parking lot. The man got in a vehicle and attempted to run over the security officer. The security officer fired at him and t"&amp;"he man was detained. The school was closed at the time of the shooting and no students were present.")</f>
        <v>Two armed security guards approached a man who appeared to be stealing the catalytic converter of a school vehicle parking in the parking lot. The man got in a vehicle and attempted to run over the security officer. The security officer fired at him and the man was detained. The school was closed at the time of the shooting and no students were present.</v>
      </c>
      <c r="AA1349" s="8" t="str">
        <f ca="1">IFERROR(__xludf.DUMMYFUNCTION("""COMPUTED_VALUE"""),"Illegal Activity")</f>
        <v>Illegal Activity</v>
      </c>
      <c r="AB1349" s="8"/>
      <c r="AC1349" s="8" t="str">
        <f ca="1">IFERROR(__xludf.DUMMYFUNCTION("""COMPUTED_VALUE"""),"Yes")</f>
        <v>Yes</v>
      </c>
      <c r="AD1349" s="8" t="str">
        <f ca="1">IFERROR(__xludf.DUMMYFUNCTION("""COMPUTED_VALUE"""),"Neither")</f>
        <v>Neither</v>
      </c>
      <c r="AE1349" s="8" t="str">
        <f ca="1">IFERROR(__xludf.DUMMYFUNCTION("""COMPUTED_VALUE"""),"No")</f>
        <v>No</v>
      </c>
      <c r="AF1349" s="8"/>
      <c r="AG1349" s="8" t="str">
        <f ca="1">IFERROR(__xludf.DUMMYFUNCTION("""COMPUTED_VALUE"""),"No")</f>
        <v>No</v>
      </c>
      <c r="AH1349" s="8" t="str">
        <f ca="1">IFERROR(__xludf.DUMMYFUNCTION("""COMPUTED_VALUE"""),"No")</f>
        <v>No</v>
      </c>
      <c r="AI1349" s="8" t="str">
        <f ca="1">IFERROR(__xludf.DUMMYFUNCTION("""COMPUTED_VALUE"""),"No")</f>
        <v>No</v>
      </c>
      <c r="AJ1349" s="8" t="str">
        <f ca="1">IFERROR(__xludf.DUMMYFUNCTION("""COMPUTED_VALUE"""),"No")</f>
        <v>No</v>
      </c>
      <c r="AK1349" s="8" t="str">
        <f ca="1">IFERROR(__xludf.DUMMYFUNCTION("""COMPUTED_VALUE"""),"No")</f>
        <v>No</v>
      </c>
      <c r="AL1349" s="8" t="str">
        <f ca="1">IFERROR(__xludf.DUMMYFUNCTION("""COMPUTED_VALUE"""),"No")</f>
        <v>No</v>
      </c>
      <c r="AM1349" s="8" t="str">
        <f ca="1">IFERROR(__xludf.DUMMYFUNCTION("""COMPUTED_VALUE"""),"No")</f>
        <v>No</v>
      </c>
      <c r="AN1349" s="8"/>
      <c r="AO1349" s="8" t="str">
        <f ca="1">IFERROR(__xludf.DUMMYFUNCTION("""COMPUTED_VALUE"""),"No")</f>
        <v>No</v>
      </c>
      <c r="AP1349" s="8" t="str">
        <f ca="1">IFERROR(__xludf.DUMMYFUNCTION("""COMPUTED_VALUE"""),"Yes")</f>
        <v>Yes</v>
      </c>
      <c r="AQ1349" s="8" t="str">
        <f ca="1">IFERROR(__xludf.DUMMYFUNCTION("""COMPUTED_VALUE"""),"Armed Guards")</f>
        <v>Armed Guards</v>
      </c>
      <c r="AR1349" s="8" t="str">
        <f ca="1">IFERROR(__xludf.DUMMYFUNCTION("""COMPUTED_VALUE"""),"Outside/Off-Property")</f>
        <v>Outside/Off-Property</v>
      </c>
      <c r="AS1349" s="8"/>
      <c r="AT1349" s="8"/>
      <c r="AU1349" s="8">
        <f ca="1">IFERROR(__xludf.DUMMYFUNCTION("""COMPUTED_VALUE"""),37.72245)</f>
        <v>37.722450000000002</v>
      </c>
      <c r="AV1349" s="8">
        <f ca="1">IFERROR(__xludf.DUMMYFUNCTION("""COMPUTED_VALUE"""),-121.080483)</f>
        <v>-121.080483</v>
      </c>
      <c r="AW1349" s="8"/>
      <c r="AX1349" s="8">
        <f ca="1">IFERROR(__xludf.DUMMYFUNCTION("""COMPUTED_VALUE"""),95368)</f>
        <v>95368</v>
      </c>
    </row>
    <row r="1350" spans="1:50" ht="90" x14ac:dyDescent="0.2">
      <c r="A1350" s="8" t="str">
        <f ca="1">IFERROR(__xludf.DUMMYFUNCTION("""COMPUTED_VALUE"""),"20210614TXEAF")</f>
        <v>20210614TXEAF</v>
      </c>
      <c r="B1350" s="8">
        <f ca="1">IFERROR(__xludf.DUMMYFUNCTION("""COMPUTED_VALUE"""),6)</f>
        <v>6</v>
      </c>
      <c r="C1350" s="8">
        <f ca="1">IFERROR(__xludf.DUMMYFUNCTION("""COMPUTED_VALUE"""),14)</f>
        <v>14</v>
      </c>
      <c r="D1350" s="8">
        <f ca="1">IFERROR(__xludf.DUMMYFUNCTION("""COMPUTED_VALUE"""),2021)</f>
        <v>2021</v>
      </c>
      <c r="E1350" s="9">
        <f ca="1">IFERROR(__xludf.DUMMYFUNCTION("""COMPUTED_VALUE"""),44361)</f>
        <v>44361</v>
      </c>
      <c r="F1350" s="8" t="str">
        <f ca="1">IFERROR(__xludf.DUMMYFUNCTION("""COMPUTED_VALUE"""),"Eastern Hills High School")</f>
        <v>Eastern Hills High School</v>
      </c>
      <c r="G1350" s="8">
        <f ca="1">IFERROR(__xludf.DUMMYFUNCTION("""COMPUTED_VALUE"""),0)</f>
        <v>0</v>
      </c>
      <c r="H1350" s="8">
        <f ca="1">IFERROR(__xludf.DUMMYFUNCTION("""COMPUTED_VALUE"""),1)</f>
        <v>1</v>
      </c>
      <c r="I1350" s="8">
        <f ca="1">IFERROR(__xludf.DUMMYFUNCTION("""COMPUTED_VALUE"""),1)</f>
        <v>1</v>
      </c>
      <c r="J1350" s="8">
        <f ca="1">IFERROR(__xludf.DUMMYFUNCTION("""COMPUTED_VALUE"""),0)</f>
        <v>0</v>
      </c>
      <c r="K1350" s="8" t="str">
        <f ca="1">IFERROR(__xludf.DUMMYFUNCTION("""COMPUTED_VALUE"""),"https://www.dallasnews.com/news/crime/2021/06/15/robbery-results-in-2nd-shooting-in-a-week-outside-fort-worths-eastern-hills-high-school/ https://www.star-telegram.com/news/local/crime/article252126168.html")</f>
        <v>https://www.dallasnews.com/news/crime/2021/06/15/robbery-results-in-2nd-shooting-in-a-week-outside-fort-worths-eastern-hills-high-school/ https://www.star-telegram.com/news/local/crime/article252126168.html</v>
      </c>
      <c r="L1350" s="8">
        <f ca="1">IFERROR(__xludf.DUMMYFUNCTION("""COMPUTED_VALUE"""),2)</f>
        <v>2</v>
      </c>
      <c r="M1350" s="8" t="str">
        <f ca="1">IFERROR(__xludf.DUMMYFUNCTION("""COMPUTED_VALUE"""),"Local")</f>
        <v>Local</v>
      </c>
      <c r="N1350" s="8">
        <f ca="1">IFERROR(__xludf.DUMMYFUNCTION("""COMPUTED_VALUE"""),4)</f>
        <v>4</v>
      </c>
      <c r="O1350" s="8" t="str">
        <f ca="1">IFERROR(__xludf.DUMMYFUNCTION("""COMPUTED_VALUE"""),"Summer")</f>
        <v>Summer</v>
      </c>
      <c r="P1350" s="8" t="str">
        <f ca="1">IFERROR(__xludf.DUMMYFUNCTION("""COMPUTED_VALUE"""),"Fort Worth")</f>
        <v>Fort Worth</v>
      </c>
      <c r="Q1350" s="8" t="str">
        <f ca="1">IFERROR(__xludf.DUMMYFUNCTION("""COMPUTED_VALUE"""),"TX")</f>
        <v>TX</v>
      </c>
      <c r="R1350" s="8" t="str">
        <f ca="1">IFERROR(__xludf.DUMMYFUNCTION("""COMPUTED_VALUE"""),"High")</f>
        <v>High</v>
      </c>
      <c r="S1350" s="8" t="str">
        <f ca="1">IFERROR(__xludf.DUMMYFUNCTION("""COMPUTED_VALUE"""),"Parking Lot")</f>
        <v>Parking Lot</v>
      </c>
      <c r="T1350" s="8" t="str">
        <f ca="1">IFERROR(__xludf.DUMMYFUNCTION("""COMPUTED_VALUE"""),"Outside on School Property")</f>
        <v>Outside on School Property</v>
      </c>
      <c r="U1350" s="8" t="str">
        <f ca="1">IFERROR(__xludf.DUMMYFUNCTION("""COMPUTED_VALUE"""),"No")</f>
        <v>No</v>
      </c>
      <c r="V1350" s="8" t="str">
        <f ca="1">IFERROR(__xludf.DUMMYFUNCTION("""COMPUTED_VALUE"""),"Evening")</f>
        <v>Evening</v>
      </c>
      <c r="W1350" s="11">
        <f ca="1">IFERROR(__xludf.DUMMYFUNCTION("""COMPUTED_VALUE"""),0.8125)</f>
        <v>0.8125</v>
      </c>
      <c r="X1350" s="8">
        <f ca="1">IFERROR(__xludf.DUMMYFUNCTION("""COMPUTED_VALUE"""),1)</f>
        <v>1</v>
      </c>
      <c r="Y1350" s="12" t="str">
        <f ca="1">IFERROR(__xludf.DUMMYFUNCTION("""COMPUTED_VALUE"""),"Man shot during robbery in school parking lot")</f>
        <v>Man shot during robbery in school parking lot</v>
      </c>
      <c r="Z1350" s="12" t="str">
        <f ca="1">IFERROR(__xludf.DUMMYFUNCTION("""COMPUTED_VALUE"""),"A man was shot in the hand during an attempted robbery in the school parking lot. Shooter fled in a vehicle driven by an 18-year-old female who was arrested following a police chase. The shooter fled the vehicle on foot and escaped from police. Youth spor"&amp;"ts events were taking place at the school when the shooting occurred.")</f>
        <v>A man was shot in the hand during an attempted robbery in the school parking lot. Shooter fled in a vehicle driven by an 18-year-old female who was arrested following a police chase. The shooter fled the vehicle on foot and escaped from police. Youth sports events were taking place at the school when the shooting occurred.</v>
      </c>
      <c r="AA1350" s="8" t="str">
        <f ca="1">IFERROR(__xludf.DUMMYFUNCTION("""COMPUTED_VALUE"""),"Illegal Activity")</f>
        <v>Illegal Activity</v>
      </c>
      <c r="AB1350" s="8"/>
      <c r="AC1350" s="8" t="str">
        <f ca="1">IFERROR(__xludf.DUMMYFUNCTION("""COMPUTED_VALUE"""),"No")</f>
        <v>No</v>
      </c>
      <c r="AD1350" s="8" t="str">
        <f ca="1">IFERROR(__xludf.DUMMYFUNCTION("""COMPUTED_VALUE"""),"Victims Targeted")</f>
        <v>Victims Targeted</v>
      </c>
      <c r="AE1350" s="8" t="str">
        <f ca="1">IFERROR(__xludf.DUMMYFUNCTION("""COMPUTED_VALUE"""),"Yes")</f>
        <v>Yes</v>
      </c>
      <c r="AF1350" s="8" t="str">
        <f ca="1">IFERROR(__xludf.DUMMYFUNCTION("""COMPUTED_VALUE"""),"18YOF driving the vehicle arrested")</f>
        <v>18YOF driving the vehicle arrested</v>
      </c>
      <c r="AG1350" s="8" t="str">
        <f ca="1">IFERROR(__xludf.DUMMYFUNCTION("""COMPUTED_VALUE"""),"No")</f>
        <v>No</v>
      </c>
      <c r="AH1350" s="8" t="str">
        <f ca="1">IFERROR(__xludf.DUMMYFUNCTION("""COMPUTED_VALUE"""),"No")</f>
        <v>No</v>
      </c>
      <c r="AI1350" s="8" t="str">
        <f ca="1">IFERROR(__xludf.DUMMYFUNCTION("""COMPUTED_VALUE"""),"No")</f>
        <v>No</v>
      </c>
      <c r="AJ1350" s="8" t="str">
        <f ca="1">IFERROR(__xludf.DUMMYFUNCTION("""COMPUTED_VALUE"""),"No")</f>
        <v>No</v>
      </c>
      <c r="AK1350" s="8" t="str">
        <f ca="1">IFERROR(__xludf.DUMMYFUNCTION("""COMPUTED_VALUE"""),"No")</f>
        <v>No</v>
      </c>
      <c r="AL1350" s="8" t="str">
        <f ca="1">IFERROR(__xludf.DUMMYFUNCTION("""COMPUTED_VALUE"""),"No")</f>
        <v>No</v>
      </c>
      <c r="AM1350" s="8" t="str">
        <f ca="1">IFERROR(__xludf.DUMMYFUNCTION("""COMPUTED_VALUE"""),"No")</f>
        <v>No</v>
      </c>
      <c r="AN1350" s="8"/>
      <c r="AO1350" s="8" t="str">
        <f ca="1">IFERROR(__xludf.DUMMYFUNCTION("""COMPUTED_VALUE"""),"No")</f>
        <v>No</v>
      </c>
      <c r="AP1350" s="8"/>
      <c r="AQ1350" s="8"/>
      <c r="AR1350" s="8" t="str">
        <f ca="1">IFERROR(__xludf.DUMMYFUNCTION("""COMPUTED_VALUE"""),"Outside/Off-Property")</f>
        <v>Outside/Off-Property</v>
      </c>
      <c r="AS1350" s="8"/>
      <c r="AT1350" s="8"/>
      <c r="AU1350" s="8">
        <f ca="1">IFERROR(__xludf.DUMMYFUNCTION("""COMPUTED_VALUE"""),32.747734)</f>
        <v>32.747734000000001</v>
      </c>
      <c r="AV1350" s="8">
        <f ca="1">IFERROR(__xludf.DUMMYFUNCTION("""COMPUTED_VALUE"""),-97.23162)</f>
        <v>-97.231620000000007</v>
      </c>
      <c r="AW1350" s="8"/>
      <c r="AX1350" s="8">
        <f ca="1">IFERROR(__xludf.DUMMYFUNCTION("""COMPUTED_VALUE"""),76112)</f>
        <v>76112</v>
      </c>
    </row>
    <row r="1351" spans="1:50" ht="60" x14ac:dyDescent="0.2">
      <c r="A1351" s="8" t="str">
        <f ca="1">IFERROR(__xludf.DUMMYFUNCTION("""COMPUTED_VALUE"""),"20210614NCROR")</f>
        <v>20210614NCROR</v>
      </c>
      <c r="B1351" s="8">
        <f ca="1">IFERROR(__xludf.DUMMYFUNCTION("""COMPUTED_VALUE"""),6)</f>
        <v>6</v>
      </c>
      <c r="C1351" s="8">
        <f ca="1">IFERROR(__xludf.DUMMYFUNCTION("""COMPUTED_VALUE"""),14)</f>
        <v>14</v>
      </c>
      <c r="D1351" s="8">
        <f ca="1">IFERROR(__xludf.DUMMYFUNCTION("""COMPUTED_VALUE"""),2021)</f>
        <v>2021</v>
      </c>
      <c r="E1351" s="9">
        <f ca="1">IFERROR(__xludf.DUMMYFUNCTION("""COMPUTED_VALUE"""),44361)</f>
        <v>44361</v>
      </c>
      <c r="F1351" s="8" t="str">
        <f ca="1">IFERROR(__xludf.DUMMYFUNCTION("""COMPUTED_VALUE"""),"Rowland Middle School")</f>
        <v>Rowland Middle School</v>
      </c>
      <c r="G1351" s="8">
        <f ca="1">IFERROR(__xludf.DUMMYFUNCTION("""COMPUTED_VALUE"""),0)</f>
        <v>0</v>
      </c>
      <c r="H1351" s="8">
        <f ca="1">IFERROR(__xludf.DUMMYFUNCTION("""COMPUTED_VALUE"""),0)</f>
        <v>0</v>
      </c>
      <c r="I1351" s="8">
        <f ca="1">IFERROR(__xludf.DUMMYFUNCTION("""COMPUTED_VALUE"""),0)</f>
        <v>0</v>
      </c>
      <c r="J1351" s="8">
        <f ca="1">IFERROR(__xludf.DUMMYFUNCTION("""COMPUTED_VALUE"""),0)</f>
        <v>0</v>
      </c>
      <c r="K1351" s="8" t="str">
        <f ca="1">IFERROR(__xludf.DUMMYFUNCTION("""COMPUTED_VALUE"""),"https://www.robesonian.com/news/146889/police-in-rowland-investigate-shooting-of-cars-in-school-parking-lot https://news.yahoo.com/police-rowland-investigate-shooting-cars-191200021.html")</f>
        <v>https://www.robesonian.com/news/146889/police-in-rowland-investigate-shooting-of-cars-in-school-parking-lot https://news.yahoo.com/police-rowland-investigate-shooting-cars-191200021.html</v>
      </c>
      <c r="L1351" s="8">
        <f ca="1">IFERROR(__xludf.DUMMYFUNCTION("""COMPUTED_VALUE"""),2)</f>
        <v>2</v>
      </c>
      <c r="M1351" s="8" t="str">
        <f ca="1">IFERROR(__xludf.DUMMYFUNCTION("""COMPUTED_VALUE"""),"Local")</f>
        <v>Local</v>
      </c>
      <c r="N1351" s="8">
        <f ca="1">IFERROR(__xludf.DUMMYFUNCTION("""COMPUTED_VALUE"""),4)</f>
        <v>4</v>
      </c>
      <c r="O1351" s="8" t="str">
        <f ca="1">IFERROR(__xludf.DUMMYFUNCTION("""COMPUTED_VALUE"""),"Summer")</f>
        <v>Summer</v>
      </c>
      <c r="P1351" s="8" t="str">
        <f ca="1">IFERROR(__xludf.DUMMYFUNCTION("""COMPUTED_VALUE"""),"Rowland")</f>
        <v>Rowland</v>
      </c>
      <c r="Q1351" s="8" t="str">
        <f ca="1">IFERROR(__xludf.DUMMYFUNCTION("""COMPUTED_VALUE"""),"NC")</f>
        <v>NC</v>
      </c>
      <c r="R1351" s="8" t="str">
        <f ca="1">IFERROR(__xludf.DUMMYFUNCTION("""COMPUTED_VALUE"""),"Middle")</f>
        <v>Middle</v>
      </c>
      <c r="S1351" s="8" t="str">
        <f ca="1">IFERROR(__xludf.DUMMYFUNCTION("""COMPUTED_VALUE"""),"Parking Lot")</f>
        <v>Parking Lot</v>
      </c>
      <c r="T1351" s="8" t="str">
        <f ca="1">IFERROR(__xludf.DUMMYFUNCTION("""COMPUTED_VALUE"""),"Outside on School Property")</f>
        <v>Outside on School Property</v>
      </c>
      <c r="U1351" s="8" t="str">
        <f ca="1">IFERROR(__xludf.DUMMYFUNCTION("""COMPUTED_VALUE"""),"No")</f>
        <v>No</v>
      </c>
      <c r="V1351" s="8" t="str">
        <f ca="1">IFERROR(__xludf.DUMMYFUNCTION("""COMPUTED_VALUE"""),"Evening")</f>
        <v>Evening</v>
      </c>
      <c r="W1351" s="11">
        <f ca="1">IFERROR(__xludf.DUMMYFUNCTION("""COMPUTED_VALUE"""),0.75)</f>
        <v>0.75</v>
      </c>
      <c r="X1351" s="8">
        <f ca="1">IFERROR(__xludf.DUMMYFUNCTION("""COMPUTED_VALUE"""),1)</f>
        <v>1</v>
      </c>
      <c r="Y1351" s="12" t="str">
        <f ca="1">IFERROR(__xludf.DUMMYFUNCTION("""COMPUTED_VALUE"""),"6 vehicles shot in school parking lot, several individuals fired shots")</f>
        <v>6 vehicles shot in school parking lot, several individuals fired shots</v>
      </c>
      <c r="Z1351" s="12" t="str">
        <f ca="1">IFERROR(__xludf.DUMMYFUNCTION("""COMPUTED_VALUE"""),"Several people fired multiple shots in the school parking lot striking 6 different vehicles. Community members were playing basketball inside the open gym when the shooting occurred. No injures. Shooters fled. Motive unknown.")</f>
        <v>Several people fired multiple shots in the school parking lot striking 6 different vehicles. Community members were playing basketball inside the open gym when the shooting occurred. No injures. Shooters fled. Motive unknown.</v>
      </c>
      <c r="AA1351" s="8"/>
      <c r="AB1351" s="8"/>
      <c r="AC1351" s="8" t="str">
        <f ca="1">IFERROR(__xludf.DUMMYFUNCTION("""COMPUTED_VALUE"""),"No")</f>
        <v>No</v>
      </c>
      <c r="AD1351" s="8"/>
      <c r="AE1351" s="8" t="str">
        <f ca="1">IFERROR(__xludf.DUMMYFUNCTION("""COMPUTED_VALUE"""),"Yes")</f>
        <v>Yes</v>
      </c>
      <c r="AF1351" s="8" t="str">
        <f ca="1">IFERROR(__xludf.DUMMYFUNCTION("""COMPUTED_VALUE"""),"Several people fired shots")</f>
        <v>Several people fired shots</v>
      </c>
      <c r="AG1351" s="8" t="str">
        <f ca="1">IFERROR(__xludf.DUMMYFUNCTION("""COMPUTED_VALUE"""),"No")</f>
        <v>No</v>
      </c>
      <c r="AH1351" s="8" t="str">
        <f ca="1">IFERROR(__xludf.DUMMYFUNCTION("""COMPUTED_VALUE"""),"No")</f>
        <v>No</v>
      </c>
      <c r="AI1351" s="8" t="str">
        <f ca="1">IFERROR(__xludf.DUMMYFUNCTION("""COMPUTED_VALUE"""),"No")</f>
        <v>No</v>
      </c>
      <c r="AJ1351" s="8" t="str">
        <f ca="1">IFERROR(__xludf.DUMMYFUNCTION("""COMPUTED_VALUE"""),"No")</f>
        <v>No</v>
      </c>
      <c r="AK1351" s="8" t="str">
        <f ca="1">IFERROR(__xludf.DUMMYFUNCTION("""COMPUTED_VALUE"""),"No")</f>
        <v>No</v>
      </c>
      <c r="AL1351" s="8"/>
      <c r="AM1351" s="8" t="str">
        <f ca="1">IFERROR(__xludf.DUMMYFUNCTION("""COMPUTED_VALUE"""),"No")</f>
        <v>No</v>
      </c>
      <c r="AN1351" s="8"/>
      <c r="AO1351" s="8" t="str">
        <f ca="1">IFERROR(__xludf.DUMMYFUNCTION("""COMPUTED_VALUE"""),"No")</f>
        <v>No</v>
      </c>
      <c r="AP1351" s="8" t="str">
        <f ca="1">IFERROR(__xludf.DUMMYFUNCTION("""COMPUTED_VALUE"""),"No")</f>
        <v>No</v>
      </c>
      <c r="AQ1351" s="8"/>
      <c r="AR1351" s="8" t="str">
        <f ca="1">IFERROR(__xludf.DUMMYFUNCTION("""COMPUTED_VALUE"""),"Outside/Off-Property")</f>
        <v>Outside/Off-Property</v>
      </c>
      <c r="AS1351" s="8"/>
      <c r="AT1351" s="8"/>
      <c r="AU1351" s="8">
        <f ca="1">IFERROR(__xludf.DUMMYFUNCTION("""COMPUTED_VALUE"""),34.540219)</f>
        <v>34.540219</v>
      </c>
      <c r="AV1351" s="8">
        <f ca="1">IFERROR(__xludf.DUMMYFUNCTION("""COMPUTED_VALUE"""),-79.29583)</f>
        <v>-79.295829999999995</v>
      </c>
      <c r="AW1351" s="8"/>
      <c r="AX1351" s="8">
        <f ca="1">IFERROR(__xludf.DUMMYFUNCTION("""COMPUTED_VALUE"""),28383)</f>
        <v>28383</v>
      </c>
    </row>
    <row r="1352" spans="1:50" ht="135" x14ac:dyDescent="0.2">
      <c r="A1352" s="8" t="str">
        <f ca="1">IFERROR(__xludf.DUMMYFUNCTION("""COMPUTED_VALUE"""),"20210614NCRJW")</f>
        <v>20210614NCRJW</v>
      </c>
      <c r="B1352" s="8">
        <f ca="1">IFERROR(__xludf.DUMMYFUNCTION("""COMPUTED_VALUE"""),6)</f>
        <v>6</v>
      </c>
      <c r="C1352" s="8">
        <f ca="1">IFERROR(__xludf.DUMMYFUNCTION("""COMPUTED_VALUE"""),14)</f>
        <v>14</v>
      </c>
      <c r="D1352" s="8">
        <f ca="1">IFERROR(__xludf.DUMMYFUNCTION("""COMPUTED_VALUE"""),2021)</f>
        <v>2021</v>
      </c>
      <c r="E1352" s="9">
        <f ca="1">IFERROR(__xludf.DUMMYFUNCTION("""COMPUTED_VALUE"""),44361)</f>
        <v>44361</v>
      </c>
      <c r="F1352" s="8" t="str">
        <f ca="1">IFERROR(__xludf.DUMMYFUNCTION("""COMPUTED_VALUE"""),"R.J. Reynolds High School")</f>
        <v>R.J. Reynolds High School</v>
      </c>
      <c r="G1352" s="8">
        <f ca="1">IFERROR(__xludf.DUMMYFUNCTION("""COMPUTED_VALUE"""),0)</f>
        <v>0</v>
      </c>
      <c r="H1352" s="8">
        <f ca="1">IFERROR(__xludf.DUMMYFUNCTION("""COMPUTED_VALUE"""),0)</f>
        <v>0</v>
      </c>
      <c r="I1352" s="8">
        <f ca="1">IFERROR(__xludf.DUMMYFUNCTION("""COMPUTED_VALUE"""),0)</f>
        <v>0</v>
      </c>
      <c r="J1352" s="8">
        <f ca="1">IFERROR(__xludf.DUMMYFUNCTION("""COMPUTED_VALUE"""),1)</f>
        <v>1</v>
      </c>
      <c r="K1352" s="8" t="str">
        <f ca="1">IFERROR(__xludf.DUMMYFUNCTION("""COMPUTED_VALUE"""),"https://journalnow.com/news/local/crime-and-courts/suspect-in-hanes-park-shooting-has-long-criminal-history-charges-include-assault-and-armed-robbery/article_7fe1f468-cdf4-11eb-8906-6fc0f6b510ef.html https://www.wxii12.com/article/winston-salem-police-pre"&amp;"sence-near-hanes-park-west-end/36720594")</f>
        <v>https://journalnow.com/news/local/crime-and-courts/suspect-in-hanes-park-shooting-has-long-criminal-history-charges-include-assault-and-armed-robbery/article_7fe1f468-cdf4-11eb-8906-6fc0f6b510ef.html https://www.wxii12.com/article/winston-salem-police-presence-near-hanes-park-west-end/36720594</v>
      </c>
      <c r="L1352" s="8">
        <f ca="1">IFERROR(__xludf.DUMMYFUNCTION("""COMPUTED_VALUE"""),10)</f>
        <v>10</v>
      </c>
      <c r="M1352" s="8" t="str">
        <f ca="1">IFERROR(__xludf.DUMMYFUNCTION("""COMPUTED_VALUE"""),"Local")</f>
        <v>Local</v>
      </c>
      <c r="N1352" s="8">
        <f ca="1">IFERROR(__xludf.DUMMYFUNCTION("""COMPUTED_VALUE"""),4)</f>
        <v>4</v>
      </c>
      <c r="O1352" s="8" t="str">
        <f ca="1">IFERROR(__xludf.DUMMYFUNCTION("""COMPUTED_VALUE"""),"Summer")</f>
        <v>Summer</v>
      </c>
      <c r="P1352" s="8" t="str">
        <f ca="1">IFERROR(__xludf.DUMMYFUNCTION("""COMPUTED_VALUE"""),"Winston-Salem")</f>
        <v>Winston-Salem</v>
      </c>
      <c r="Q1352" s="8" t="str">
        <f ca="1">IFERROR(__xludf.DUMMYFUNCTION("""COMPUTED_VALUE"""),"NC")</f>
        <v>NC</v>
      </c>
      <c r="R1352" s="8" t="str">
        <f ca="1">IFERROR(__xludf.DUMMYFUNCTION("""COMPUTED_VALUE"""),"High")</f>
        <v>High</v>
      </c>
      <c r="S1352" s="8" t="str">
        <f ca="1">IFERROR(__xludf.DUMMYFUNCTION("""COMPUTED_VALUE"""),"Beside Building")</f>
        <v>Beside Building</v>
      </c>
      <c r="T1352" s="8" t="str">
        <f ca="1">IFERROR(__xludf.DUMMYFUNCTION("""COMPUTED_VALUE"""),"Outside on School Property")</f>
        <v>Outside on School Property</v>
      </c>
      <c r="U1352" s="8" t="str">
        <f ca="1">IFERROR(__xludf.DUMMYFUNCTION("""COMPUTED_VALUE"""),"No")</f>
        <v>No</v>
      </c>
      <c r="V1352" s="8" t="str">
        <f ca="1">IFERROR(__xludf.DUMMYFUNCTION("""COMPUTED_VALUE"""),"Not a School Day")</f>
        <v>Not a School Day</v>
      </c>
      <c r="W1352" s="11">
        <f ca="1">IFERROR(__xludf.DUMMYFUNCTION("""COMPUTED_VALUE"""),0.663194444444444)</f>
        <v>0.66319444444444398</v>
      </c>
      <c r="X1352" s="8">
        <f ca="1">IFERROR(__xludf.DUMMYFUNCTION("""COMPUTED_VALUE"""),15)</f>
        <v>15</v>
      </c>
      <c r="Y1352" s="12" t="str">
        <f ca="1">IFERROR(__xludf.DUMMYFUNCTION("""COMPUTED_VALUE"""),"Police chase ended at school, man fired shots at police and fled on foot across campus")</f>
        <v>Police chase ended at school, man fired shots at police and fled on foot across campus</v>
      </c>
      <c r="Z1352" s="12" t="str">
        <f ca="1">IFERROR(__xludf.DUMMYFUNCTION("""COMPUTED_VALUE"""),"A 26-year-old man killed his mother and grandmother in their home. Fired shots at police during 4-mile chase that concluded when he crashed near the gym at the school. Shooter fired shots from both a semi-automatic rifle and handgun at police officers and"&amp;" then fled across the school campus to a nearby park where he was fatally shot by officers. Shooter had prior felony convictions, history of mental illness, and history of violent behavior. School was closed at the time of the incident.")</f>
        <v>A 26-year-old man killed his mother and grandmother in their home. Fired shots at police during 4-mile chase that concluded when he crashed near the gym at the school. Shooter fired shots from both a semi-automatic rifle and handgun at police officers and then fled across the school campus to a nearby park where he was fatally shot by officers. Shooter had prior felony convictions, history of mental illness, and history of violent behavior. School was closed at the time of the incident.</v>
      </c>
      <c r="AA1352" s="8" t="str">
        <f ca="1">IFERROR(__xludf.DUMMYFUNCTION("""COMPUTED_VALUE"""),"Domestic w/ Targeted Victim")</f>
        <v>Domestic w/ Targeted Victim</v>
      </c>
      <c r="AB1352" s="8"/>
      <c r="AC1352" s="8" t="str">
        <f ca="1">IFERROR(__xludf.DUMMYFUNCTION("""COMPUTED_VALUE"""),"No")</f>
        <v>No</v>
      </c>
      <c r="AD1352" s="8" t="str">
        <f ca="1">IFERROR(__xludf.DUMMYFUNCTION("""COMPUTED_VALUE"""),"Both")</f>
        <v>Both</v>
      </c>
      <c r="AE1352" s="8" t="str">
        <f ca="1">IFERROR(__xludf.DUMMYFUNCTION("""COMPUTED_VALUE"""),"No")</f>
        <v>No</v>
      </c>
      <c r="AF1352" s="8"/>
      <c r="AG1352" s="8" t="str">
        <f ca="1">IFERROR(__xludf.DUMMYFUNCTION("""COMPUTED_VALUE"""),"No")</f>
        <v>No</v>
      </c>
      <c r="AH1352" s="8" t="str">
        <f ca="1">IFERROR(__xludf.DUMMYFUNCTION("""COMPUTED_VALUE"""),"No")</f>
        <v>No</v>
      </c>
      <c r="AI1352" s="8" t="str">
        <f ca="1">IFERROR(__xludf.DUMMYFUNCTION("""COMPUTED_VALUE"""),"No")</f>
        <v>No</v>
      </c>
      <c r="AJ1352" s="8" t="str">
        <f ca="1">IFERROR(__xludf.DUMMYFUNCTION("""COMPUTED_VALUE"""),"No")</f>
        <v>No</v>
      </c>
      <c r="AK1352" s="8" t="str">
        <f ca="1">IFERROR(__xludf.DUMMYFUNCTION("""COMPUTED_VALUE"""),"Yes")</f>
        <v>Yes</v>
      </c>
      <c r="AL1352" s="8" t="str">
        <f ca="1">IFERROR(__xludf.DUMMYFUNCTION("""COMPUTED_VALUE"""),"No")</f>
        <v>No</v>
      </c>
      <c r="AM1352" s="8" t="str">
        <f ca="1">IFERROR(__xludf.DUMMYFUNCTION("""COMPUTED_VALUE"""),"Yes")</f>
        <v>Yes</v>
      </c>
      <c r="AN1352" s="8" t="str">
        <f ca="1">IFERROR(__xludf.DUMMYFUNCTION("""COMPUTED_VALUE"""),"Outside")</f>
        <v>Outside</v>
      </c>
      <c r="AO1352" s="8" t="str">
        <f ca="1">IFERROR(__xludf.DUMMYFUNCTION("""COMPUTED_VALUE"""),"No")</f>
        <v>No</v>
      </c>
      <c r="AP1352" s="8"/>
      <c r="AQ1352" s="8"/>
      <c r="AR1352" s="8" t="str">
        <f ca="1">IFERROR(__xludf.DUMMYFUNCTION("""COMPUTED_VALUE"""),"Outside/Off-Property")</f>
        <v>Outside/Off-Property</v>
      </c>
      <c r="AS1352" s="8"/>
      <c r="AT1352" s="8"/>
      <c r="AU1352" s="8">
        <f ca="1">IFERROR(__xludf.DUMMYFUNCTION("""COMPUTED_VALUE"""),36.100754)</f>
        <v>36.100754000000002</v>
      </c>
      <c r="AV1352" s="8">
        <f ca="1">IFERROR(__xludf.DUMMYFUNCTION("""COMPUTED_VALUE"""),-80.265913)</f>
        <v>-80.265912999999998</v>
      </c>
      <c r="AW1352" s="8"/>
      <c r="AX1352" s="8">
        <f ca="1">IFERROR(__xludf.DUMMYFUNCTION("""COMPUTED_VALUE"""),27104)</f>
        <v>27104</v>
      </c>
    </row>
    <row r="1353" spans="1:50" ht="60" x14ac:dyDescent="0.2">
      <c r="A1353" s="8" t="str">
        <f ca="1">IFERROR(__xludf.DUMMYFUNCTION("""COMPUTED_VALUE"""),"20210613PAWIP")</f>
        <v>20210613PAWIP</v>
      </c>
      <c r="B1353" s="8">
        <f ca="1">IFERROR(__xludf.DUMMYFUNCTION("""COMPUTED_VALUE"""),6)</f>
        <v>6</v>
      </c>
      <c r="C1353" s="8">
        <f ca="1">IFERROR(__xludf.DUMMYFUNCTION("""COMPUTED_VALUE"""),13)</f>
        <v>13</v>
      </c>
      <c r="D1353" s="8">
        <f ca="1">IFERROR(__xludf.DUMMYFUNCTION("""COMPUTED_VALUE"""),2021)</f>
        <v>2021</v>
      </c>
      <c r="E1353" s="9">
        <f ca="1">IFERROR(__xludf.DUMMYFUNCTION("""COMPUTED_VALUE"""),44360)</f>
        <v>44360</v>
      </c>
      <c r="F1353" s="8" t="str">
        <f ca="1">IFERROR(__xludf.DUMMYFUNCTION("""COMPUTED_VALUE"""),"William Dick School")</f>
        <v>William Dick School</v>
      </c>
      <c r="G1353" s="8">
        <f ca="1">IFERROR(__xludf.DUMMYFUNCTION("""COMPUTED_VALUE"""),1)</f>
        <v>1</v>
      </c>
      <c r="H1353" s="8">
        <f ca="1">IFERROR(__xludf.DUMMYFUNCTION("""COMPUTED_VALUE"""),0)</f>
        <v>0</v>
      </c>
      <c r="I1353" s="8">
        <f ca="1">IFERROR(__xludf.DUMMYFUNCTION("""COMPUTED_VALUE"""),1)</f>
        <v>1</v>
      </c>
      <c r="J1353" s="8">
        <f ca="1">IFERROR(__xludf.DUMMYFUNCTION("""COMPUTED_VALUE"""),0)</f>
        <v>0</v>
      </c>
      <c r="K1353" s="10" t="str">
        <f ca="1">IFERROR(__xludf.DUMMYFUNCTION("""COMPUTED_VALUE"""),"https://6abc.com/young-man-shot-and-killed-near-philadelphia-school/10787708/")</f>
        <v>https://6abc.com/young-man-shot-and-killed-near-philadelphia-school/10787708/</v>
      </c>
      <c r="L1353" s="8">
        <f ca="1">IFERROR(__xludf.DUMMYFUNCTION("""COMPUTED_VALUE"""),1)</f>
        <v>1</v>
      </c>
      <c r="M1353" s="8" t="str">
        <f ca="1">IFERROR(__xludf.DUMMYFUNCTION("""COMPUTED_VALUE"""),"Local")</f>
        <v>Local</v>
      </c>
      <c r="N1353" s="8">
        <f ca="1">IFERROR(__xludf.DUMMYFUNCTION("""COMPUTED_VALUE"""),3)</f>
        <v>3</v>
      </c>
      <c r="O1353" s="8" t="str">
        <f ca="1">IFERROR(__xludf.DUMMYFUNCTION("""COMPUTED_VALUE"""),"Summer")</f>
        <v>Summer</v>
      </c>
      <c r="P1353" s="8" t="str">
        <f ca="1">IFERROR(__xludf.DUMMYFUNCTION("""COMPUTED_VALUE"""),"Philadelphia")</f>
        <v>Philadelphia</v>
      </c>
      <c r="Q1353" s="8" t="str">
        <f ca="1">IFERROR(__xludf.DUMMYFUNCTION("""COMPUTED_VALUE"""),"PA")</f>
        <v>PA</v>
      </c>
      <c r="R1353" s="8" t="str">
        <f ca="1">IFERROR(__xludf.DUMMYFUNCTION("""COMPUTED_VALUE"""),"K-8")</f>
        <v>K-8</v>
      </c>
      <c r="S1353" s="8" t="str">
        <f ca="1">IFERROR(__xludf.DUMMYFUNCTION("""COMPUTED_VALUE"""),"Basketball Court")</f>
        <v>Basketball Court</v>
      </c>
      <c r="T1353" s="8" t="str">
        <f ca="1">IFERROR(__xludf.DUMMYFUNCTION("""COMPUTED_VALUE"""),"Outside on School Property")</f>
        <v>Outside on School Property</v>
      </c>
      <c r="U1353" s="8" t="str">
        <f ca="1">IFERROR(__xludf.DUMMYFUNCTION("""COMPUTED_VALUE"""),"No")</f>
        <v>No</v>
      </c>
      <c r="V1353" s="8" t="str">
        <f ca="1">IFERROR(__xludf.DUMMYFUNCTION("""COMPUTED_VALUE"""),"Night")</f>
        <v>Night</v>
      </c>
      <c r="W1353" s="11">
        <f ca="1">IFERROR(__xludf.DUMMYFUNCTION("""COMPUTED_VALUE"""),0.979166666666666)</f>
        <v>0.97916666666666596</v>
      </c>
      <c r="X1353" s="8">
        <f ca="1">IFERROR(__xludf.DUMMYFUNCTION("""COMPUTED_VALUE"""),1)</f>
        <v>1</v>
      </c>
      <c r="Y1353" s="12" t="str">
        <f ca="1">IFERROR(__xludf.DUMMYFUNCTION("""COMPUTED_VALUE"""),"Man shot on the school basketball court")</f>
        <v>Man shot on the school basketball court</v>
      </c>
      <c r="Z1353" s="12" t="str">
        <f ca="1">IFERROR(__xludf.DUMMYFUNCTION("""COMPUTED_VALUE"""),"An unidentified male (young adult or teen) was fatally shot multiple times on the school basketball court. Shooter fled the scene. CCTV recorded the shooting. School was closed at the time of the shooting.")</f>
        <v>An unidentified male (young adult or teen) was fatally shot multiple times on the school basketball court. Shooter fled the scene. CCTV recorded the shooting. School was closed at the time of the shooting.</v>
      </c>
      <c r="AA1353" s="8"/>
      <c r="AB1353" s="8"/>
      <c r="AC1353" s="8" t="str">
        <f ca="1">IFERROR(__xludf.DUMMYFUNCTION("""COMPUTED_VALUE"""),"No")</f>
        <v>No</v>
      </c>
      <c r="AD1353" s="8" t="str">
        <f ca="1">IFERROR(__xludf.DUMMYFUNCTION("""COMPUTED_VALUE"""),"Victims Targeted")</f>
        <v>Victims Targeted</v>
      </c>
      <c r="AE1353" s="8" t="str">
        <f ca="1">IFERROR(__xludf.DUMMYFUNCTION("""COMPUTED_VALUE"""),"No")</f>
        <v>No</v>
      </c>
      <c r="AF1353" s="8"/>
      <c r="AG1353" s="8" t="str">
        <f ca="1">IFERROR(__xludf.DUMMYFUNCTION("""COMPUTED_VALUE"""),"No")</f>
        <v>No</v>
      </c>
      <c r="AH1353" s="8" t="str">
        <f ca="1">IFERROR(__xludf.DUMMYFUNCTION("""COMPUTED_VALUE"""),"No")</f>
        <v>No</v>
      </c>
      <c r="AI1353" s="8" t="str">
        <f ca="1">IFERROR(__xludf.DUMMYFUNCTION("""COMPUTED_VALUE"""),"No")</f>
        <v>No</v>
      </c>
      <c r="AJ1353" s="8" t="str">
        <f ca="1">IFERROR(__xludf.DUMMYFUNCTION("""COMPUTED_VALUE"""),"No")</f>
        <v>No</v>
      </c>
      <c r="AK1353" s="8" t="str">
        <f ca="1">IFERROR(__xludf.DUMMYFUNCTION("""COMPUTED_VALUE"""),"No")</f>
        <v>No</v>
      </c>
      <c r="AL1353" s="8"/>
      <c r="AM1353" s="8" t="str">
        <f ca="1">IFERROR(__xludf.DUMMYFUNCTION("""COMPUTED_VALUE"""),"No")</f>
        <v>No</v>
      </c>
      <c r="AN1353" s="8"/>
      <c r="AO1353" s="8" t="str">
        <f ca="1">IFERROR(__xludf.DUMMYFUNCTION("""COMPUTED_VALUE"""),"No")</f>
        <v>No</v>
      </c>
      <c r="AP1353" s="8"/>
      <c r="AQ1353" s="8"/>
      <c r="AR1353" s="8" t="str">
        <f ca="1">IFERROR(__xludf.DUMMYFUNCTION("""COMPUTED_VALUE"""),"Outside/Off-Property")</f>
        <v>Outside/Off-Property</v>
      </c>
      <c r="AS1353" s="8"/>
      <c r="AT1353" s="8"/>
      <c r="AU1353" s="8">
        <f ca="1">IFERROR(__xludf.DUMMYFUNCTION("""COMPUTED_VALUE"""),39.986527)</f>
        <v>39.986527000000002</v>
      </c>
      <c r="AV1353" s="8">
        <f ca="1">IFERROR(__xludf.DUMMYFUNCTION("""COMPUTED_VALUE"""),-75.174012)</f>
        <v>-75.174012000000005</v>
      </c>
      <c r="AW1353" s="8"/>
      <c r="AX1353" s="8">
        <f ca="1">IFERROR(__xludf.DUMMYFUNCTION("""COMPUTED_VALUE"""),19121)</f>
        <v>19121</v>
      </c>
    </row>
    <row r="1354" spans="1:50" ht="60" x14ac:dyDescent="0.2">
      <c r="A1354" s="8" t="str">
        <f ca="1">IFERROR(__xludf.DUMMYFUNCTION("""COMPUTED_VALUE"""),"20210613PAPAC")</f>
        <v>20210613PAPAC</v>
      </c>
      <c r="B1354" s="8">
        <f ca="1">IFERROR(__xludf.DUMMYFUNCTION("""COMPUTED_VALUE"""),6)</f>
        <v>6</v>
      </c>
      <c r="C1354" s="8">
        <f ca="1">IFERROR(__xludf.DUMMYFUNCTION("""COMPUTED_VALUE"""),13)</f>
        <v>13</v>
      </c>
      <c r="D1354" s="8">
        <f ca="1">IFERROR(__xludf.DUMMYFUNCTION("""COMPUTED_VALUE"""),2021)</f>
        <v>2021</v>
      </c>
      <c r="E1354" s="9">
        <f ca="1">IFERROR(__xludf.DUMMYFUNCTION("""COMPUTED_VALUE"""),44360)</f>
        <v>44360</v>
      </c>
      <c r="F1354" s="8" t="str">
        <f ca="1">IFERROR(__xludf.DUMMYFUNCTION("""COMPUTED_VALUE"""),"Park Elementary School")</f>
        <v>Park Elementary School</v>
      </c>
      <c r="G1354" s="8">
        <f ca="1">IFERROR(__xludf.DUMMYFUNCTION("""COMPUTED_VALUE"""),0)</f>
        <v>0</v>
      </c>
      <c r="H1354" s="8">
        <f ca="1">IFERROR(__xludf.DUMMYFUNCTION("""COMPUTED_VALUE"""),0)</f>
        <v>0</v>
      </c>
      <c r="I1354" s="8">
        <f ca="1">IFERROR(__xludf.DUMMYFUNCTION("""COMPUTED_VALUE"""),0)</f>
        <v>0</v>
      </c>
      <c r="J1354" s="8">
        <f ca="1">IFERROR(__xludf.DUMMYFUNCTION("""COMPUTED_VALUE"""),0)</f>
        <v>0</v>
      </c>
      <c r="K1354" s="10" t="str">
        <f ca="1">IFERROR(__xludf.DUMMYFUNCTION("""COMPUTED_VALUE"""),"https://www.wgal.com/article/man-found-shot-in-columbia/36709512")</f>
        <v>https://www.wgal.com/article/man-found-shot-in-columbia/36709512</v>
      </c>
      <c r="L1354" s="8">
        <f ca="1">IFERROR(__xludf.DUMMYFUNCTION("""COMPUTED_VALUE"""),1)</f>
        <v>1</v>
      </c>
      <c r="M1354" s="8" t="str">
        <f ca="1">IFERROR(__xludf.DUMMYFUNCTION("""COMPUTED_VALUE"""),"Local")</f>
        <v>Local</v>
      </c>
      <c r="N1354" s="8">
        <f ca="1">IFERROR(__xludf.DUMMYFUNCTION("""COMPUTED_VALUE"""),3)</f>
        <v>3</v>
      </c>
      <c r="O1354" s="8" t="str">
        <f ca="1">IFERROR(__xludf.DUMMYFUNCTION("""COMPUTED_VALUE"""),"Summer")</f>
        <v>Summer</v>
      </c>
      <c r="P1354" s="8" t="str">
        <f ca="1">IFERROR(__xludf.DUMMYFUNCTION("""COMPUTED_VALUE"""),"Columbia")</f>
        <v>Columbia</v>
      </c>
      <c r="Q1354" s="8" t="str">
        <f ca="1">IFERROR(__xludf.DUMMYFUNCTION("""COMPUTED_VALUE"""),"PA")</f>
        <v>PA</v>
      </c>
      <c r="R1354" s="8" t="str">
        <f ca="1">IFERROR(__xludf.DUMMYFUNCTION("""COMPUTED_VALUE"""),"Elementary")</f>
        <v>Elementary</v>
      </c>
      <c r="S1354" s="8" t="str">
        <f ca="1">IFERROR(__xludf.DUMMYFUNCTION("""COMPUTED_VALUE"""),"Parking Lot")</f>
        <v>Parking Lot</v>
      </c>
      <c r="T1354" s="8" t="str">
        <f ca="1">IFERROR(__xludf.DUMMYFUNCTION("""COMPUTED_VALUE"""),"Outside on School Property")</f>
        <v>Outside on School Property</v>
      </c>
      <c r="U1354" s="8" t="str">
        <f ca="1">IFERROR(__xludf.DUMMYFUNCTION("""COMPUTED_VALUE"""),"No")</f>
        <v>No</v>
      </c>
      <c r="V1354" s="8" t="str">
        <f ca="1">IFERROR(__xludf.DUMMYFUNCTION("""COMPUTED_VALUE"""),"Not a School Day")</f>
        <v>Not a School Day</v>
      </c>
      <c r="W1354" s="11">
        <f ca="1">IFERROR(__xludf.DUMMYFUNCTION("""COMPUTED_VALUE"""),0.333333333333333)</f>
        <v>0.33333333333333298</v>
      </c>
      <c r="X1354" s="8">
        <f ca="1">IFERROR(__xludf.DUMMYFUNCTION("""COMPUTED_VALUE"""),1)</f>
        <v>1</v>
      </c>
      <c r="Y1354" s="12" t="str">
        <f ca="1">IFERROR(__xludf.DUMMYFUNCTION("""COMPUTED_VALUE"""),"Elderly man shot himself in the school parking lot")</f>
        <v>Elderly man shot himself in the school parking lot</v>
      </c>
      <c r="Z1354" s="12" t="str">
        <f ca="1">IFERROR(__xludf.DUMMYFUNCTION("""COMPUTED_VALUE"""),"A 78-year-old man was found in the school parking lot with a self-inflicted gunshot wound to the chest. He was transported in critical condition. No students or staff were present.")</f>
        <v>A 78-year-old man was found in the school parking lot with a self-inflicted gunshot wound to the chest. He was transported in critical condition. No students or staff were present.</v>
      </c>
      <c r="AA1354" s="8" t="str">
        <f ca="1">IFERROR(__xludf.DUMMYFUNCTION("""COMPUTED_VALUE"""),"Suicide/Attempted")</f>
        <v>Suicide/Attempted</v>
      </c>
      <c r="AB1354" s="8"/>
      <c r="AC1354" s="8" t="str">
        <f ca="1">IFERROR(__xludf.DUMMYFUNCTION("""COMPUTED_VALUE"""),"No")</f>
        <v>No</v>
      </c>
      <c r="AD1354" s="8" t="str">
        <f ca="1">IFERROR(__xludf.DUMMYFUNCTION("""COMPUTED_VALUE"""),"Victims Targeted")</f>
        <v>Victims Targeted</v>
      </c>
      <c r="AE1354" s="8" t="str">
        <f ca="1">IFERROR(__xludf.DUMMYFUNCTION("""COMPUTED_VALUE"""),"No")</f>
        <v>No</v>
      </c>
      <c r="AF1354" s="8"/>
      <c r="AG1354" s="8" t="str">
        <f ca="1">IFERROR(__xludf.DUMMYFUNCTION("""COMPUTED_VALUE"""),"No")</f>
        <v>No</v>
      </c>
      <c r="AH1354" s="8" t="str">
        <f ca="1">IFERROR(__xludf.DUMMYFUNCTION("""COMPUTED_VALUE"""),"No")</f>
        <v>No</v>
      </c>
      <c r="AI1354" s="8" t="str">
        <f ca="1">IFERROR(__xludf.DUMMYFUNCTION("""COMPUTED_VALUE"""),"No")</f>
        <v>No</v>
      </c>
      <c r="AJ1354" s="8" t="str">
        <f ca="1">IFERROR(__xludf.DUMMYFUNCTION("""COMPUTED_VALUE"""),"No")</f>
        <v>No</v>
      </c>
      <c r="AK1354" s="8" t="str">
        <f ca="1">IFERROR(__xludf.DUMMYFUNCTION("""COMPUTED_VALUE"""),"No")</f>
        <v>No</v>
      </c>
      <c r="AL1354" s="8" t="str">
        <f ca="1">IFERROR(__xludf.DUMMYFUNCTION("""COMPUTED_VALUE"""),"No")</f>
        <v>No</v>
      </c>
      <c r="AM1354" s="8"/>
      <c r="AN1354" s="8"/>
      <c r="AO1354" s="8" t="str">
        <f ca="1">IFERROR(__xludf.DUMMYFUNCTION("""COMPUTED_VALUE"""),"No")</f>
        <v>No</v>
      </c>
      <c r="AP1354" s="8"/>
      <c r="AQ1354" s="8"/>
      <c r="AR1354" s="8" t="str">
        <f ca="1">IFERROR(__xludf.DUMMYFUNCTION("""COMPUTED_VALUE"""),"Outside/Off-Property")</f>
        <v>Outside/Off-Property</v>
      </c>
      <c r="AS1354" s="8">
        <f ca="1">IFERROR(__xludf.DUMMYFUNCTION("""COMPUTED_VALUE"""),1)</f>
        <v>1</v>
      </c>
      <c r="AT1354" s="8"/>
      <c r="AU1354" s="8">
        <f ca="1">IFERROR(__xludf.DUMMYFUNCTION("""COMPUTED_VALUE"""),40.03373)</f>
        <v>40.033729999999998</v>
      </c>
      <c r="AV1354" s="8">
        <f ca="1">IFERROR(__xludf.DUMMYFUNCTION("""COMPUTED_VALUE"""),-76.497862)</f>
        <v>-76.497861999999998</v>
      </c>
      <c r="AW1354" s="8"/>
      <c r="AX1354" s="8">
        <f ca="1">IFERROR(__xludf.DUMMYFUNCTION("""COMPUTED_VALUE"""),17512)</f>
        <v>17512</v>
      </c>
    </row>
    <row r="1355" spans="1:50" ht="75" x14ac:dyDescent="0.2">
      <c r="A1355" s="8" t="str">
        <f ca="1">IFERROR(__xludf.DUMMYFUNCTION("""COMPUTED_VALUE"""),"20210612MOMCF")</f>
        <v>20210612MOMCF</v>
      </c>
      <c r="B1355" s="8">
        <f ca="1">IFERROR(__xludf.DUMMYFUNCTION("""COMPUTED_VALUE"""),6)</f>
        <v>6</v>
      </c>
      <c r="C1355" s="8">
        <f ca="1">IFERROR(__xludf.DUMMYFUNCTION("""COMPUTED_VALUE"""),12)</f>
        <v>12</v>
      </c>
      <c r="D1355" s="8">
        <f ca="1">IFERROR(__xludf.DUMMYFUNCTION("""COMPUTED_VALUE"""),2021)</f>
        <v>2021</v>
      </c>
      <c r="E1355" s="9">
        <f ca="1">IFERROR(__xludf.DUMMYFUNCTION("""COMPUTED_VALUE"""),44359)</f>
        <v>44359</v>
      </c>
      <c r="F1355" s="8" t="str">
        <f ca="1">IFERROR(__xludf.DUMMYFUNCTION("""COMPUTED_VALUE"""),"McCluer North High School")</f>
        <v>McCluer North High School</v>
      </c>
      <c r="G1355" s="8">
        <f ca="1">IFERROR(__xludf.DUMMYFUNCTION("""COMPUTED_VALUE"""),1)</f>
        <v>1</v>
      </c>
      <c r="H1355" s="8">
        <f ca="1">IFERROR(__xludf.DUMMYFUNCTION("""COMPUTED_VALUE"""),0)</f>
        <v>0</v>
      </c>
      <c r="I1355" s="8">
        <f ca="1">IFERROR(__xludf.DUMMYFUNCTION("""COMPUTED_VALUE"""),1)</f>
        <v>1</v>
      </c>
      <c r="J1355" s="8">
        <f ca="1">IFERROR(__xludf.DUMMYFUNCTION("""COMPUTED_VALUE"""),0)</f>
        <v>0</v>
      </c>
      <c r="K1355" s="8" t="str">
        <f ca="1">IFERROR(__xludf.DUMMYFUNCTION("""COMPUTED_VALUE"""),"https://www.kansascity.com/news/state/missouri/article252076968.html https://www.stltoday.com/news/local/crime-and-courts/feud-leads-to-teens-murder-at-mccluer-north-high-school-police-say/article_620b0518-6f22-5342-973e-b803a26ca7b0.html https://www.kmov"&amp;".com/news/man-charged-after-18-year-old-found-shot-to-death-at-mccluer-north-high-school/article_c8c0144c-cb94-11eb-9744-9bdc5db88603.html")</f>
        <v>https://www.kansascity.com/news/state/missouri/article252076968.html https://www.stltoday.com/news/local/crime-and-courts/feud-leads-to-teens-murder-at-mccluer-north-high-school-police-say/article_620b0518-6f22-5342-973e-b803a26ca7b0.html https://www.kmov.com/news/man-charged-after-18-year-old-found-shot-to-death-at-mccluer-north-high-school/article_c8c0144c-cb94-11eb-9744-9bdc5db88603.html</v>
      </c>
      <c r="L1355" s="8">
        <f ca="1">IFERROR(__xludf.DUMMYFUNCTION("""COMPUTED_VALUE"""),3)</f>
        <v>3</v>
      </c>
      <c r="M1355" s="8" t="str">
        <f ca="1">IFERROR(__xludf.DUMMYFUNCTION("""COMPUTED_VALUE"""),"Local")</f>
        <v>Local</v>
      </c>
      <c r="N1355" s="8">
        <f ca="1">IFERROR(__xludf.DUMMYFUNCTION("""COMPUTED_VALUE"""),3)</f>
        <v>3</v>
      </c>
      <c r="O1355" s="8" t="str">
        <f ca="1">IFERROR(__xludf.DUMMYFUNCTION("""COMPUTED_VALUE"""),"Summer")</f>
        <v>Summer</v>
      </c>
      <c r="P1355" s="8" t="str">
        <f ca="1">IFERROR(__xludf.DUMMYFUNCTION("""COMPUTED_VALUE"""),"Florissant")</f>
        <v>Florissant</v>
      </c>
      <c r="Q1355" s="8" t="str">
        <f ca="1">IFERROR(__xludf.DUMMYFUNCTION("""COMPUTED_VALUE"""),"MO")</f>
        <v>MO</v>
      </c>
      <c r="R1355" s="8" t="str">
        <f ca="1">IFERROR(__xludf.DUMMYFUNCTION("""COMPUTED_VALUE"""),"High")</f>
        <v>High</v>
      </c>
      <c r="S1355" s="8" t="str">
        <f ca="1">IFERROR(__xludf.DUMMYFUNCTION("""COMPUTED_VALUE"""),"Outside on School Property")</f>
        <v>Outside on School Property</v>
      </c>
      <c r="T1355" s="8" t="str">
        <f ca="1">IFERROR(__xludf.DUMMYFUNCTION("""COMPUTED_VALUE"""),"Outside on School Property")</f>
        <v>Outside on School Property</v>
      </c>
      <c r="U1355" s="8" t="str">
        <f ca="1">IFERROR(__xludf.DUMMYFUNCTION("""COMPUTED_VALUE"""),"No")</f>
        <v>No</v>
      </c>
      <c r="V1355" s="8" t="str">
        <f ca="1">IFERROR(__xludf.DUMMYFUNCTION("""COMPUTED_VALUE"""),"Night")</f>
        <v>Night</v>
      </c>
      <c r="W1355" s="11">
        <f ca="1">IFERROR(__xludf.DUMMYFUNCTION("""COMPUTED_VALUE"""),0.0416666666666666)</f>
        <v>4.1666666666666602E-2</v>
      </c>
      <c r="X1355" s="8">
        <f ca="1">IFERROR(__xludf.DUMMYFUNCTION("""COMPUTED_VALUE"""),1)</f>
        <v>1</v>
      </c>
      <c r="Y1355" s="12" t="str">
        <f ca="1">IFERROR(__xludf.DUMMYFUNCTION("""COMPUTED_VALUE"""),"Teen shot and killed by another teen on school campus late at night")</f>
        <v>Teen shot and killed by another teen on school campus late at night</v>
      </c>
      <c r="Z1355" s="12" t="str">
        <f ca="1">IFERROR(__xludf.DUMMYFUNCTION("""COMPUTED_VALUE"""),"Police responded to shot fired and found an 18-year-old male who was fatally shot. The following day, an 18-year-old male was arrested and charged with first degree murder. The two teens had an on-going feud. No other details available.")</f>
        <v>Police responded to shot fired and found an 18-year-old male who was fatally shot. The following day, an 18-year-old male was arrested and charged with first degree murder. The two teens had an on-going feud. No other details available.</v>
      </c>
      <c r="AA1355" s="8" t="str">
        <f ca="1">IFERROR(__xludf.DUMMYFUNCTION("""COMPUTED_VALUE"""),"Escalation of Dispute")</f>
        <v>Escalation of Dispute</v>
      </c>
      <c r="AB1355" s="8"/>
      <c r="AC1355" s="8" t="str">
        <f ca="1">IFERROR(__xludf.DUMMYFUNCTION("""COMPUTED_VALUE"""),"No")</f>
        <v>No</v>
      </c>
      <c r="AD1355" s="8" t="str">
        <f ca="1">IFERROR(__xludf.DUMMYFUNCTION("""COMPUTED_VALUE"""),"Victims Targeted")</f>
        <v>Victims Targeted</v>
      </c>
      <c r="AE1355" s="8"/>
      <c r="AF1355" s="8"/>
      <c r="AG1355" s="8" t="str">
        <f ca="1">IFERROR(__xludf.DUMMYFUNCTION("""COMPUTED_VALUE"""),"No")</f>
        <v>No</v>
      </c>
      <c r="AH1355" s="8" t="str">
        <f ca="1">IFERROR(__xludf.DUMMYFUNCTION("""COMPUTED_VALUE"""),"No")</f>
        <v>No</v>
      </c>
      <c r="AI1355" s="8" t="str">
        <f ca="1">IFERROR(__xludf.DUMMYFUNCTION("""COMPUTED_VALUE"""),"No")</f>
        <v>No</v>
      </c>
      <c r="AJ1355" s="8"/>
      <c r="AK1355" s="8" t="str">
        <f ca="1">IFERROR(__xludf.DUMMYFUNCTION("""COMPUTED_VALUE"""),"No")</f>
        <v>No</v>
      </c>
      <c r="AL1355" s="8" t="str">
        <f ca="1">IFERROR(__xludf.DUMMYFUNCTION("""COMPUTED_VALUE"""),"No")</f>
        <v>No</v>
      </c>
      <c r="AM1355" s="8" t="str">
        <f ca="1">IFERROR(__xludf.DUMMYFUNCTION("""COMPUTED_VALUE"""),"No")</f>
        <v>No</v>
      </c>
      <c r="AN1355" s="8"/>
      <c r="AO1355" s="8" t="str">
        <f ca="1">IFERROR(__xludf.DUMMYFUNCTION("""COMPUTED_VALUE"""),"No")</f>
        <v>No</v>
      </c>
      <c r="AP1355" s="8"/>
      <c r="AQ1355" s="8"/>
      <c r="AR1355" s="8" t="str">
        <f ca="1">IFERROR(__xludf.DUMMYFUNCTION("""COMPUTED_VALUE"""),"Outside/Off-Property")</f>
        <v>Outside/Off-Property</v>
      </c>
      <c r="AS1355" s="8"/>
      <c r="AT1355" s="8"/>
      <c r="AU1355" s="8">
        <f ca="1">IFERROR(__xludf.DUMMYFUNCTION("""COMPUTED_VALUE"""),38.790078)</f>
        <v>38.790078000000001</v>
      </c>
      <c r="AV1355" s="8">
        <f ca="1">IFERROR(__xludf.DUMMYFUNCTION("""COMPUTED_VALUE"""),-90.303041)</f>
        <v>-90.303040999999993</v>
      </c>
      <c r="AW1355" s="8"/>
      <c r="AX1355" s="8">
        <f ca="1">IFERROR(__xludf.DUMMYFUNCTION("""COMPUTED_VALUE"""),63033)</f>
        <v>63033</v>
      </c>
    </row>
    <row r="1356" spans="1:50" ht="105" x14ac:dyDescent="0.2">
      <c r="A1356" s="8" t="str">
        <f ca="1">IFERROR(__xludf.DUMMYFUNCTION("""COMPUTED_VALUE"""),"20210610CTHOW")</f>
        <v>20210610CTHOW</v>
      </c>
      <c r="B1356" s="8">
        <f ca="1">IFERROR(__xludf.DUMMYFUNCTION("""COMPUTED_VALUE"""),6)</f>
        <v>6</v>
      </c>
      <c r="C1356" s="8">
        <f ca="1">IFERROR(__xludf.DUMMYFUNCTION("""COMPUTED_VALUE"""),10)</f>
        <v>10</v>
      </c>
      <c r="D1356" s="8">
        <f ca="1">IFERROR(__xludf.DUMMYFUNCTION("""COMPUTED_VALUE"""),2021)</f>
        <v>2021</v>
      </c>
      <c r="E1356" s="9">
        <f ca="1">IFERROR(__xludf.DUMMYFUNCTION("""COMPUTED_VALUE"""),44357)</f>
        <v>44357</v>
      </c>
      <c r="F1356" s="8" t="str">
        <f ca="1">IFERROR(__xludf.DUMMYFUNCTION("""COMPUTED_VALUE"""),"Holy Cross High School")</f>
        <v>Holy Cross High School</v>
      </c>
      <c r="G1356" s="8">
        <f ca="1">IFERROR(__xludf.DUMMYFUNCTION("""COMPUTED_VALUE"""),0)</f>
        <v>0</v>
      </c>
      <c r="H1356" s="8">
        <f ca="1">IFERROR(__xludf.DUMMYFUNCTION("""COMPUTED_VALUE"""),0)</f>
        <v>0</v>
      </c>
      <c r="I1356" s="8">
        <f ca="1">IFERROR(__xludf.DUMMYFUNCTION("""COMPUTED_VALUE"""),0)</f>
        <v>0</v>
      </c>
      <c r="J1356" s="8">
        <f ca="1">IFERROR(__xludf.DUMMYFUNCTION("""COMPUTED_VALUE"""),0)</f>
        <v>0</v>
      </c>
      <c r="K1356" s="8" t="str">
        <f ca="1">IFERROR(__xludf.DUMMYFUNCTION("""COMPUTED_VALUE"""),"https://www.ctpost.com/news/article/Police-2-arrested-after-gunfire-at-Waterbury-16241293.php https://www.fox61.com/article/news/local/waterbury-connecticut-shots-fired-school-holy-cross-high-school/520-971b6000-fe54-4aaa-a121-eccb97a93d00")</f>
        <v>https://www.ctpost.com/news/article/Police-2-arrested-after-gunfire-at-Waterbury-16241293.php https://www.fox61.com/article/news/local/waterbury-connecticut-shots-fired-school-holy-cross-high-school/520-971b6000-fe54-4aaa-a121-eccb97a93d00</v>
      </c>
      <c r="L1356" s="8">
        <f ca="1">IFERROR(__xludf.DUMMYFUNCTION("""COMPUTED_VALUE"""),2)</f>
        <v>2</v>
      </c>
      <c r="M1356" s="8" t="str">
        <f ca="1">IFERROR(__xludf.DUMMYFUNCTION("""COMPUTED_VALUE"""),"Local")</f>
        <v>Local</v>
      </c>
      <c r="N1356" s="8">
        <f ca="1">IFERROR(__xludf.DUMMYFUNCTION("""COMPUTED_VALUE"""),4)</f>
        <v>4</v>
      </c>
      <c r="O1356" s="8" t="str">
        <f ca="1">IFERROR(__xludf.DUMMYFUNCTION("""COMPUTED_VALUE"""),"Summer")</f>
        <v>Summer</v>
      </c>
      <c r="P1356" s="8" t="str">
        <f ca="1">IFERROR(__xludf.DUMMYFUNCTION("""COMPUTED_VALUE"""),"Waterbury")</f>
        <v>Waterbury</v>
      </c>
      <c r="Q1356" s="8" t="str">
        <f ca="1">IFERROR(__xludf.DUMMYFUNCTION("""COMPUTED_VALUE"""),"CT")</f>
        <v>CT</v>
      </c>
      <c r="R1356" s="8" t="str">
        <f ca="1">IFERROR(__xludf.DUMMYFUNCTION("""COMPUTED_VALUE"""),"High")</f>
        <v>High</v>
      </c>
      <c r="S1356" s="8" t="str">
        <f ca="1">IFERROR(__xludf.DUMMYFUNCTION("""COMPUTED_VALUE"""),"Field (General)")</f>
        <v>Field (General)</v>
      </c>
      <c r="T1356" s="8" t="str">
        <f ca="1">IFERROR(__xludf.DUMMYFUNCTION("""COMPUTED_VALUE"""),"Outside on School Property")</f>
        <v>Outside on School Property</v>
      </c>
      <c r="U1356" s="8" t="str">
        <f ca="1">IFERROR(__xludf.DUMMYFUNCTION("""COMPUTED_VALUE"""),"No")</f>
        <v>No</v>
      </c>
      <c r="V1356" s="8" t="str">
        <f ca="1">IFERROR(__xludf.DUMMYFUNCTION("""COMPUTED_VALUE"""),"Before School")</f>
        <v>Before School</v>
      </c>
      <c r="W1356" s="11">
        <f ca="1">IFERROR(__xludf.DUMMYFUNCTION("""COMPUTED_VALUE"""),0.25)</f>
        <v>0.25</v>
      </c>
      <c r="X1356" s="8">
        <f ca="1">IFERROR(__xludf.DUMMYFUNCTION("""COMPUTED_VALUE"""),1)</f>
        <v>1</v>
      </c>
      <c r="Y1356" s="12" t="str">
        <f ca="1">IFERROR(__xludf.DUMMYFUNCTION("""COMPUTED_VALUE"""),"Adult men fired multiple shots on school baseball field during illegal arms sale")</f>
        <v>Adult men fired multiple shots on school baseball field during illegal arms sale</v>
      </c>
      <c r="Z1356" s="12" t="str">
        <f ca="1">IFERROR(__xludf.DUMMYFUNCTION("""COMPUTED_VALUE"""),"Police responded for shots fired and found two adult men (41 and 45) walking around the baseball field. The men said they were looking for a child's toy. Police found evidence of gunfire and arrested both men. A handgun with an illegal high capacity magaz"&amp;"ine was found in their vehicle. Charged with firing a weapon and illegal sale of a weapon. No students or staff injured. No property damage at the school.")</f>
        <v>Police responded for shots fired and found two adult men (41 and 45) walking around the baseball field. The men said they were looking for a child's toy. Police found evidence of gunfire and arrested both men. A handgun with an illegal high capacity magazine was found in their vehicle. Charged with firing a weapon and illegal sale of a weapon. No students or staff injured. No property damage at the school.</v>
      </c>
      <c r="AA1356" s="8" t="str">
        <f ca="1">IFERROR(__xludf.DUMMYFUNCTION("""COMPUTED_VALUE"""),"Illegal Activity")</f>
        <v>Illegal Activity</v>
      </c>
      <c r="AB1356" s="8"/>
      <c r="AC1356" s="8" t="str">
        <f ca="1">IFERROR(__xludf.DUMMYFUNCTION("""COMPUTED_VALUE"""),"No")</f>
        <v>No</v>
      </c>
      <c r="AD1356" s="8" t="str">
        <f ca="1">IFERROR(__xludf.DUMMYFUNCTION("""COMPUTED_VALUE"""),"Neither")</f>
        <v>Neither</v>
      </c>
      <c r="AE1356" s="8" t="str">
        <f ca="1">IFERROR(__xludf.DUMMYFUNCTION("""COMPUTED_VALUE"""),"Yes")</f>
        <v>Yes</v>
      </c>
      <c r="AF1356" s="8" t="str">
        <f ca="1">IFERROR(__xludf.DUMMYFUNCTION("""COMPUTED_VALUE"""),"Two adult men")</f>
        <v>Two adult men</v>
      </c>
      <c r="AG1356" s="8" t="str">
        <f ca="1">IFERROR(__xludf.DUMMYFUNCTION("""COMPUTED_VALUE"""),"No")</f>
        <v>No</v>
      </c>
      <c r="AH1356" s="8" t="str">
        <f ca="1">IFERROR(__xludf.DUMMYFUNCTION("""COMPUTED_VALUE"""),"No")</f>
        <v>No</v>
      </c>
      <c r="AI1356" s="8" t="str">
        <f ca="1">IFERROR(__xludf.DUMMYFUNCTION("""COMPUTED_VALUE"""),"No")</f>
        <v>No</v>
      </c>
      <c r="AJ1356" s="8" t="str">
        <f ca="1">IFERROR(__xludf.DUMMYFUNCTION("""COMPUTED_VALUE"""),"No")</f>
        <v>No</v>
      </c>
      <c r="AK1356" s="8" t="str">
        <f ca="1">IFERROR(__xludf.DUMMYFUNCTION("""COMPUTED_VALUE"""),"No")</f>
        <v>No</v>
      </c>
      <c r="AL1356" s="8" t="str">
        <f ca="1">IFERROR(__xludf.DUMMYFUNCTION("""COMPUTED_VALUE"""),"No")</f>
        <v>No</v>
      </c>
      <c r="AM1356" s="8" t="str">
        <f ca="1">IFERROR(__xludf.DUMMYFUNCTION("""COMPUTED_VALUE"""),"No")</f>
        <v>No</v>
      </c>
      <c r="AN1356" s="8"/>
      <c r="AO1356" s="8" t="str">
        <f ca="1">IFERROR(__xludf.DUMMYFUNCTION("""COMPUTED_VALUE"""),"No")</f>
        <v>No</v>
      </c>
      <c r="AP1356" s="8"/>
      <c r="AQ1356" s="8"/>
      <c r="AR1356" s="8" t="str">
        <f ca="1">IFERROR(__xludf.DUMMYFUNCTION("""COMPUTED_VALUE"""),"Outside/Off-Property")</f>
        <v>Outside/Off-Property</v>
      </c>
      <c r="AS1356" s="8"/>
      <c r="AT1356" s="8"/>
      <c r="AU1356" s="8">
        <f ca="1">IFERROR(__xludf.DUMMYFUNCTION("""COMPUTED_VALUE"""),41.530955)</f>
        <v>41.530954999999999</v>
      </c>
      <c r="AV1356" s="8">
        <f ca="1">IFERROR(__xludf.DUMMYFUNCTION("""COMPUTED_VALUE"""),-73.064766)</f>
        <v>-73.064766000000006</v>
      </c>
      <c r="AW1356" s="8"/>
      <c r="AX1356" s="8">
        <f ca="1">IFERROR(__xludf.DUMMYFUNCTION("""COMPUTED_VALUE"""),6708)</f>
        <v>6708</v>
      </c>
    </row>
    <row r="1357" spans="1:50" ht="75" x14ac:dyDescent="0.2">
      <c r="A1357" s="8" t="str">
        <f ca="1">IFERROR(__xludf.DUMMYFUNCTION("""COMPUTED_VALUE"""),"20210609VAWIR")</f>
        <v>20210609VAWIR</v>
      </c>
      <c r="B1357" s="8">
        <f ca="1">IFERROR(__xludf.DUMMYFUNCTION("""COMPUTED_VALUE"""),6)</f>
        <v>6</v>
      </c>
      <c r="C1357" s="8">
        <f ca="1">IFERROR(__xludf.DUMMYFUNCTION("""COMPUTED_VALUE"""),9)</f>
        <v>9</v>
      </c>
      <c r="D1357" s="8">
        <f ca="1">IFERROR(__xludf.DUMMYFUNCTION("""COMPUTED_VALUE"""),2021)</f>
        <v>2021</v>
      </c>
      <c r="E1357" s="9">
        <f ca="1">IFERROR(__xludf.DUMMYFUNCTION("""COMPUTED_VALUE"""),44356)</f>
        <v>44356</v>
      </c>
      <c r="F1357" s="8" t="str">
        <f ca="1">IFERROR(__xludf.DUMMYFUNCTION("""COMPUTED_VALUE"""),"William Fleming High School")</f>
        <v>William Fleming High School</v>
      </c>
      <c r="G1357" s="8">
        <f ca="1">IFERROR(__xludf.DUMMYFUNCTION("""COMPUTED_VALUE"""),0)</f>
        <v>0</v>
      </c>
      <c r="H1357" s="8">
        <f ca="1">IFERROR(__xludf.DUMMYFUNCTION("""COMPUTED_VALUE"""),1)</f>
        <v>1</v>
      </c>
      <c r="I1357" s="8">
        <f ca="1">IFERROR(__xludf.DUMMYFUNCTION("""COMPUTED_VALUE"""),1)</f>
        <v>1</v>
      </c>
      <c r="J1357" s="8">
        <f ca="1">IFERROR(__xludf.DUMMYFUNCTION("""COMPUTED_VALUE"""),0)</f>
        <v>0</v>
      </c>
      <c r="K1357" s="8" t="str">
        <f ca="1">IFERROR(__xludf.DUMMYFUNCTION("""COMPUTED_VALUE"""),"https://roanoke.com/news/local/crime-and-courts/student-injured-in-shooting-outside-roanokes-berglund-center-before-high-school-graduation-practice/article_b85b6bf0-c95b-11eb-a683-8fad1e1b18c0.html https://www.wfxrtv.com/news/local-news/roanoke-valley-new"&amp;"s/roanoke-police-on-scene-of-incident-at-berglund-center/")</f>
        <v>https://roanoke.com/news/local/crime-and-courts/student-injured-in-shooting-outside-roanokes-berglund-center-before-high-school-graduation-practice/article_b85b6bf0-c95b-11eb-a683-8fad1e1b18c0.html https://www.wfxrtv.com/news/local-news/roanoke-valley-news/roanoke-police-on-scene-of-incident-at-berglund-center/</v>
      </c>
      <c r="L1357" s="8">
        <f ca="1">IFERROR(__xludf.DUMMYFUNCTION("""COMPUTED_VALUE"""),5)</f>
        <v>5</v>
      </c>
      <c r="M1357" s="8" t="str">
        <f ca="1">IFERROR(__xludf.DUMMYFUNCTION("""COMPUTED_VALUE"""),"National")</f>
        <v>National</v>
      </c>
      <c r="N1357" s="8">
        <f ca="1">IFERROR(__xludf.DUMMYFUNCTION("""COMPUTED_VALUE"""),4)</f>
        <v>4</v>
      </c>
      <c r="O1357" s="8"/>
      <c r="P1357" s="8" t="str">
        <f ca="1">IFERROR(__xludf.DUMMYFUNCTION("""COMPUTED_VALUE"""),"Roanoke")</f>
        <v>Roanoke</v>
      </c>
      <c r="Q1357" s="8" t="str">
        <f ca="1">IFERROR(__xludf.DUMMYFUNCTION("""COMPUTED_VALUE"""),"VA")</f>
        <v>VA</v>
      </c>
      <c r="R1357" s="8" t="str">
        <f ca="1">IFERROR(__xludf.DUMMYFUNCTION("""COMPUTED_VALUE"""),"High")</f>
        <v>High</v>
      </c>
      <c r="S1357" s="8" t="str">
        <f ca="1">IFERROR(__xludf.DUMMYFUNCTION("""COMPUTED_VALUE"""),"Parking Lot")</f>
        <v>Parking Lot</v>
      </c>
      <c r="T1357" s="8" t="str">
        <f ca="1">IFERROR(__xludf.DUMMYFUNCTION("""COMPUTED_VALUE"""),"Outside on School Property")</f>
        <v>Outside on School Property</v>
      </c>
      <c r="U1357" s="8" t="str">
        <f ca="1">IFERROR(__xludf.DUMMYFUNCTION("""COMPUTED_VALUE"""),"No")</f>
        <v>No</v>
      </c>
      <c r="V1357" s="8" t="str">
        <f ca="1">IFERROR(__xludf.DUMMYFUNCTION("""COMPUTED_VALUE"""),"Sport Event")</f>
        <v>Sport Event</v>
      </c>
      <c r="W1357" s="11">
        <f ca="1">IFERROR(__xludf.DUMMYFUNCTION("""COMPUTED_VALUE"""),0.583333333333333)</f>
        <v>0.58333333333333304</v>
      </c>
      <c r="X1357" s="8">
        <f ca="1">IFERROR(__xludf.DUMMYFUNCTION("""COMPUTED_VALUE"""),1)</f>
        <v>1</v>
      </c>
      <c r="Y1357" s="12" t="str">
        <f ca="1">IFERROR(__xludf.DUMMYFUNCTION("""COMPUTED_VALUE"""),"Student shot in parking lot during graduation rehearsal")</f>
        <v>Student shot in parking lot during graduation rehearsal</v>
      </c>
      <c r="Z1357" s="12" t="str">
        <f ca="1">IFERROR(__xludf.DUMMYFUNCTION("""COMPUTED_VALUE"""),"A student was shot and transported to the hospital following a fight in the parking lot during graduation rehearsal. 300 students were onsite at the time of the shooting. Students sheltered inside the auditorium for 90 minutes while police searched the sc"&amp;"ene. Shooter fled the scene.")</f>
        <v>A student was shot and transported to the hospital following a fight in the parking lot during graduation rehearsal. 300 students were onsite at the time of the shooting. Students sheltered inside the auditorium for 90 minutes while police searched the scene. Shooter fled the scene.</v>
      </c>
      <c r="AA1357" s="8" t="str">
        <f ca="1">IFERROR(__xludf.DUMMYFUNCTION("""COMPUTED_VALUE"""),"Escalation of Dispute")</f>
        <v>Escalation of Dispute</v>
      </c>
      <c r="AB1357" s="8"/>
      <c r="AC1357" s="8" t="str">
        <f ca="1">IFERROR(__xludf.DUMMYFUNCTION("""COMPUTED_VALUE"""),"Yes")</f>
        <v>Yes</v>
      </c>
      <c r="AD1357" s="8"/>
      <c r="AE1357" s="8" t="str">
        <f ca="1">IFERROR(__xludf.DUMMYFUNCTION("""COMPUTED_VALUE"""),"No")</f>
        <v>No</v>
      </c>
      <c r="AF1357" s="8"/>
      <c r="AG1357" s="8" t="str">
        <f ca="1">IFERROR(__xludf.DUMMYFUNCTION("""COMPUTED_VALUE"""),"No")</f>
        <v>No</v>
      </c>
      <c r="AH1357" s="8" t="str">
        <f ca="1">IFERROR(__xludf.DUMMYFUNCTION("""COMPUTED_VALUE"""),"No")</f>
        <v>No</v>
      </c>
      <c r="AI1357" s="8" t="str">
        <f ca="1">IFERROR(__xludf.DUMMYFUNCTION("""COMPUTED_VALUE"""),"No")</f>
        <v>No</v>
      </c>
      <c r="AJ1357" s="8" t="str">
        <f ca="1">IFERROR(__xludf.DUMMYFUNCTION("""COMPUTED_VALUE"""),"No")</f>
        <v>No</v>
      </c>
      <c r="AK1357" s="8" t="str">
        <f ca="1">IFERROR(__xludf.DUMMYFUNCTION("""COMPUTED_VALUE"""),"No")</f>
        <v>No</v>
      </c>
      <c r="AL1357" s="8"/>
      <c r="AM1357" s="8" t="str">
        <f ca="1">IFERROR(__xludf.DUMMYFUNCTION("""COMPUTED_VALUE"""),"No")</f>
        <v>No</v>
      </c>
      <c r="AN1357" s="8"/>
      <c r="AO1357" s="8" t="str">
        <f ca="1">IFERROR(__xludf.DUMMYFUNCTION("""COMPUTED_VALUE"""),"No")</f>
        <v>No</v>
      </c>
      <c r="AP1357" s="8"/>
      <c r="AQ1357" s="8"/>
      <c r="AR1357" s="8" t="str">
        <f ca="1">IFERROR(__xludf.DUMMYFUNCTION("""COMPUTED_VALUE"""),"Outside/Off-Property")</f>
        <v>Outside/Off-Property</v>
      </c>
      <c r="AS1357" s="8"/>
      <c r="AT1357" s="8" t="str">
        <f ca="1">IFERROR(__xludf.DUMMYFUNCTION("""COMPUTED_VALUE"""),"Yes")</f>
        <v>Yes</v>
      </c>
      <c r="AU1357" s="8">
        <f ca="1">IFERROR(__xludf.DUMMYFUNCTION("""COMPUTED_VALUE"""),37.309696)</f>
        <v>37.309696000000002</v>
      </c>
      <c r="AV1357" s="8">
        <f ca="1">IFERROR(__xludf.DUMMYFUNCTION("""COMPUTED_VALUE"""),-79.984233)</f>
        <v>-79.984233000000003</v>
      </c>
      <c r="AW1357" s="8"/>
      <c r="AX1357" s="8">
        <f ca="1">IFERROR(__xludf.DUMMYFUNCTION("""COMPUTED_VALUE"""),24017)</f>
        <v>24017</v>
      </c>
    </row>
    <row r="1358" spans="1:50" ht="120" x14ac:dyDescent="0.2">
      <c r="A1358" s="8" t="str">
        <f ca="1">IFERROR(__xludf.DUMMYFUNCTION("""COMPUTED_VALUE"""),"20210609TXNOH")</f>
        <v>20210609TXNOH</v>
      </c>
      <c r="B1358" s="8">
        <f ca="1">IFERROR(__xludf.DUMMYFUNCTION("""COMPUTED_VALUE"""),6)</f>
        <v>6</v>
      </c>
      <c r="C1358" s="8">
        <f ca="1">IFERROR(__xludf.DUMMYFUNCTION("""COMPUTED_VALUE"""),9)</f>
        <v>9</v>
      </c>
      <c r="D1358" s="8">
        <f ca="1">IFERROR(__xludf.DUMMYFUNCTION("""COMPUTED_VALUE"""),2021)</f>
        <v>2021</v>
      </c>
      <c r="E1358" s="9">
        <f ca="1">IFERROR(__xludf.DUMMYFUNCTION("""COMPUTED_VALUE"""),44356)</f>
        <v>44356</v>
      </c>
      <c r="F1358" s="8" t="str">
        <f ca="1">IFERROR(__xludf.DUMMYFUNCTION("""COMPUTED_VALUE"""),"North Forest High School")</f>
        <v>North Forest High School</v>
      </c>
      <c r="G1358" s="8">
        <f ca="1">IFERROR(__xludf.DUMMYFUNCTION("""COMPUTED_VALUE"""),0)</f>
        <v>0</v>
      </c>
      <c r="H1358" s="8">
        <f ca="1">IFERROR(__xludf.DUMMYFUNCTION("""COMPUTED_VALUE"""),1)</f>
        <v>1</v>
      </c>
      <c r="I1358" s="8">
        <f ca="1">IFERROR(__xludf.DUMMYFUNCTION("""COMPUTED_VALUE"""),1)</f>
        <v>1</v>
      </c>
      <c r="J1358" s="8">
        <f ca="1">IFERROR(__xludf.DUMMYFUNCTION("""COMPUTED_VALUE"""),0)</f>
        <v>0</v>
      </c>
      <c r="K1358" s="8" t="str">
        <f ca="1">IFERROR(__xludf.DUMMYFUNCTION("""COMPUTED_VALUE"""),"https://www.khou.com/article/news/crime/north-forest-school-shooting-student-shot-in-hand-suspect-flees/285-d5e61714-3b20-43bc-82ac-c31357310e69 https://abc13.com/student-shot-school-shooting-houston-police-north-forest-high/10766549/")</f>
        <v>https://www.khou.com/article/news/crime/north-forest-school-shooting-student-shot-in-hand-suspect-flees/285-d5e61714-3b20-43bc-82ac-c31357310e69 https://abc13.com/student-shot-school-shooting-houston-police-north-forest-high/10766549/</v>
      </c>
      <c r="L1358" s="8">
        <f ca="1">IFERROR(__xludf.DUMMYFUNCTION("""COMPUTED_VALUE"""),5)</f>
        <v>5</v>
      </c>
      <c r="M1358" s="8" t="str">
        <f ca="1">IFERROR(__xludf.DUMMYFUNCTION("""COMPUTED_VALUE"""),"Local")</f>
        <v>Local</v>
      </c>
      <c r="N1358" s="8">
        <f ca="1">IFERROR(__xludf.DUMMYFUNCTION("""COMPUTED_VALUE"""),4)</f>
        <v>4</v>
      </c>
      <c r="O1358" s="8" t="str">
        <f ca="1">IFERROR(__xludf.DUMMYFUNCTION("""COMPUTED_VALUE"""),"Summer")</f>
        <v>Summer</v>
      </c>
      <c r="P1358" s="8" t="str">
        <f ca="1">IFERROR(__xludf.DUMMYFUNCTION("""COMPUTED_VALUE"""),"Houston")</f>
        <v>Houston</v>
      </c>
      <c r="Q1358" s="8" t="str">
        <f ca="1">IFERROR(__xludf.DUMMYFUNCTION("""COMPUTED_VALUE"""),"TX")</f>
        <v>TX</v>
      </c>
      <c r="R1358" s="8" t="str">
        <f ca="1">IFERROR(__xludf.DUMMYFUNCTION("""COMPUTED_VALUE"""),"High")</f>
        <v>High</v>
      </c>
      <c r="S1358" s="8" t="str">
        <f ca="1">IFERROR(__xludf.DUMMYFUNCTION("""COMPUTED_VALUE"""),"Parking Lot")</f>
        <v>Parking Lot</v>
      </c>
      <c r="T1358" s="8" t="str">
        <f ca="1">IFERROR(__xludf.DUMMYFUNCTION("""COMPUTED_VALUE"""),"Outside on School Property")</f>
        <v>Outside on School Property</v>
      </c>
      <c r="U1358" s="8" t="str">
        <f ca="1">IFERROR(__xludf.DUMMYFUNCTION("""COMPUTED_VALUE"""),"Yes")</f>
        <v>Yes</v>
      </c>
      <c r="V1358" s="8" t="str">
        <f ca="1">IFERROR(__xludf.DUMMYFUNCTION("""COMPUTED_VALUE"""),"School Event")</f>
        <v>School Event</v>
      </c>
      <c r="W1358" s="11">
        <f ca="1">IFERROR(__xludf.DUMMYFUNCTION("""COMPUTED_VALUE"""),0.430555555555555)</f>
        <v>0.43055555555555503</v>
      </c>
      <c r="X1358" s="8">
        <f ca="1">IFERROR(__xludf.DUMMYFUNCTION("""COMPUTED_VALUE"""),1)</f>
        <v>1</v>
      </c>
      <c r="Y1358" s="12" t="str">
        <f ca="1">IFERROR(__xludf.DUMMYFUNCTION("""COMPUTED_VALUE"""),"Student bystander shot during fight following graduation rehearsal")</f>
        <v>Student bystander shot during fight following graduation rehearsal</v>
      </c>
      <c r="Z1358" s="12" t="str">
        <f ca="1">IFERROR(__xludf.DUMMYFUNCTION("""COMPUTED_VALUE"""),"An 18-year-old male student was sitting inside a vehicle in the school parking lot when he was shot in the hand. The shot was fired during a fight between students, the student struck was no involved. Graduation rehearsal had just finished and students we"&amp;"re leaving the school. An 18-year-old student was arrested and charged. SRO was present at the school and immediately reported that it was not an active shooter situation. School was not locked down.")</f>
        <v>An 18-year-old male student was sitting inside a vehicle in the school parking lot when he was shot in the hand. The shot was fired during a fight between students, the student struck was no involved. Graduation rehearsal had just finished and students were leaving the school. An 18-year-old student was arrested and charged. SRO was present at the school and immediately reported that it was not an active shooter situation. School was not locked down.</v>
      </c>
      <c r="AA1358" s="8" t="str">
        <f ca="1">IFERROR(__xludf.DUMMYFUNCTION("""COMPUTED_VALUE"""),"Escalation of Dispute")</f>
        <v>Escalation of Dispute</v>
      </c>
      <c r="AB1358" s="8"/>
      <c r="AC1358" s="8" t="str">
        <f ca="1">IFERROR(__xludf.DUMMYFUNCTION("""COMPUTED_VALUE"""),"Yes")</f>
        <v>Yes</v>
      </c>
      <c r="AD1358" s="8" t="str">
        <f ca="1">IFERROR(__xludf.DUMMYFUNCTION("""COMPUTED_VALUE"""),"Both")</f>
        <v>Both</v>
      </c>
      <c r="AE1358" s="8" t="str">
        <f ca="1">IFERROR(__xludf.DUMMYFUNCTION("""COMPUTED_VALUE"""),"No")</f>
        <v>No</v>
      </c>
      <c r="AF1358" s="8"/>
      <c r="AG1358" s="8" t="str">
        <f ca="1">IFERROR(__xludf.DUMMYFUNCTION("""COMPUTED_VALUE"""),"No")</f>
        <v>No</v>
      </c>
      <c r="AH1358" s="8" t="str">
        <f ca="1">IFERROR(__xludf.DUMMYFUNCTION("""COMPUTED_VALUE"""),"No")</f>
        <v>No</v>
      </c>
      <c r="AI1358" s="8" t="str">
        <f ca="1">IFERROR(__xludf.DUMMYFUNCTION("""COMPUTED_VALUE"""),"No")</f>
        <v>No</v>
      </c>
      <c r="AJ1358" s="8" t="str">
        <f ca="1">IFERROR(__xludf.DUMMYFUNCTION("""COMPUTED_VALUE"""),"No")</f>
        <v>No</v>
      </c>
      <c r="AK1358" s="8" t="str">
        <f ca="1">IFERROR(__xludf.DUMMYFUNCTION("""COMPUTED_VALUE"""),"No")</f>
        <v>No</v>
      </c>
      <c r="AL1358" s="8" t="str">
        <f ca="1">IFERROR(__xludf.DUMMYFUNCTION("""COMPUTED_VALUE"""),"No")</f>
        <v>No</v>
      </c>
      <c r="AM1358" s="8" t="str">
        <f ca="1">IFERROR(__xludf.DUMMYFUNCTION("""COMPUTED_VALUE"""),"No")</f>
        <v>No</v>
      </c>
      <c r="AN1358" s="8"/>
      <c r="AO1358" s="8" t="str">
        <f ca="1">IFERROR(__xludf.DUMMYFUNCTION("""COMPUTED_VALUE"""),"No")</f>
        <v>No</v>
      </c>
      <c r="AP1358" s="8" t="str">
        <f ca="1">IFERROR(__xludf.DUMMYFUNCTION("""COMPUTED_VALUE"""),"Yes")</f>
        <v>Yes</v>
      </c>
      <c r="AQ1358" s="8" t="str">
        <f ca="1">IFERROR(__xludf.DUMMYFUNCTION("""COMPUTED_VALUE"""),"Armed Guards")</f>
        <v>Armed Guards</v>
      </c>
      <c r="AR1358" s="8" t="str">
        <f ca="1">IFERROR(__xludf.DUMMYFUNCTION("""COMPUTED_VALUE"""),"Outside/Off-Property")</f>
        <v>Outside/Off-Property</v>
      </c>
      <c r="AS1358" s="8"/>
      <c r="AT1358" s="8" t="str">
        <f ca="1">IFERROR(__xludf.DUMMYFUNCTION("""COMPUTED_VALUE"""),"No")</f>
        <v>No</v>
      </c>
      <c r="AU1358" s="8">
        <f ca="1">IFERROR(__xludf.DUMMYFUNCTION("""COMPUTED_VALUE"""),29.868908)</f>
        <v>29.868908000000001</v>
      </c>
      <c r="AV1358" s="8">
        <f ca="1">IFERROR(__xludf.DUMMYFUNCTION("""COMPUTED_VALUE"""),-95.264)</f>
        <v>-95.263999999999996</v>
      </c>
      <c r="AW1358" s="8"/>
      <c r="AX1358" s="8">
        <f ca="1">IFERROR(__xludf.DUMMYFUNCTION("""COMPUTED_VALUE"""),77078)</f>
        <v>77078</v>
      </c>
    </row>
    <row r="1359" spans="1:50" ht="75" x14ac:dyDescent="0.2">
      <c r="A1359" s="8" t="str">
        <f ca="1">IFERROR(__xludf.DUMMYFUNCTION("""COMPUTED_VALUE"""),"20210608PAMUS")</f>
        <v>20210608PAMUS</v>
      </c>
      <c r="B1359" s="8">
        <f ca="1">IFERROR(__xludf.DUMMYFUNCTION("""COMPUTED_VALUE"""),6)</f>
        <v>6</v>
      </c>
      <c r="C1359" s="8">
        <f ca="1">IFERROR(__xludf.DUMMYFUNCTION("""COMPUTED_VALUE"""),8)</f>
        <v>8</v>
      </c>
      <c r="D1359" s="8">
        <f ca="1">IFERROR(__xludf.DUMMYFUNCTION("""COMPUTED_VALUE"""),2021)</f>
        <v>2021</v>
      </c>
      <c r="E1359" s="9">
        <f ca="1">IFERROR(__xludf.DUMMYFUNCTION("""COMPUTED_VALUE"""),44355)</f>
        <v>44355</v>
      </c>
      <c r="F1359" s="8" t="str">
        <f ca="1">IFERROR(__xludf.DUMMYFUNCTION("""COMPUTED_VALUE"""),"Musser Elementary School")</f>
        <v>Musser Elementary School</v>
      </c>
      <c r="G1359" s="8">
        <f ca="1">IFERROR(__xludf.DUMMYFUNCTION("""COMPUTED_VALUE"""),0)</f>
        <v>0</v>
      </c>
      <c r="H1359" s="8">
        <f ca="1">IFERROR(__xludf.DUMMYFUNCTION("""COMPUTED_VALUE"""),0)</f>
        <v>0</v>
      </c>
      <c r="I1359" s="8">
        <f ca="1">IFERROR(__xludf.DUMMYFUNCTION("""COMPUTED_VALUE"""),0)</f>
        <v>0</v>
      </c>
      <c r="J1359" s="8">
        <f ca="1">IFERROR(__xludf.DUMMYFUNCTION("""COMPUTED_VALUE"""),0)</f>
        <v>0</v>
      </c>
      <c r="K1359" s="8" t="str">
        <f ca="1">IFERROR(__xludf.DUMMYFUNCTION("""COMPUTED_VALUE"""),"https://www.yahoo.com/news/shooting-charges-against-teen-held-191600602.html https://www.sharonherald.com/news/local_news/teen-charged-in-shooting-near-musser-school/article_2e5f6a90-2c16-5ff2-b16b-1ff0cdda61a6.html")</f>
        <v>https://www.yahoo.com/news/shooting-charges-against-teen-held-191600602.html https://www.sharonherald.com/news/local_news/teen-charged-in-shooting-near-musser-school/article_2e5f6a90-2c16-5ff2-b16b-1ff0cdda61a6.html</v>
      </c>
      <c r="L1359" s="8">
        <f ca="1">IFERROR(__xludf.DUMMYFUNCTION("""COMPUTED_VALUE"""),5)</f>
        <v>5</v>
      </c>
      <c r="M1359" s="8" t="str">
        <f ca="1">IFERROR(__xludf.DUMMYFUNCTION("""COMPUTED_VALUE"""),"Local")</f>
        <v>Local</v>
      </c>
      <c r="N1359" s="8">
        <f ca="1">IFERROR(__xludf.DUMMYFUNCTION("""COMPUTED_VALUE"""),4)</f>
        <v>4</v>
      </c>
      <c r="O1359" s="8" t="str">
        <f ca="1">IFERROR(__xludf.DUMMYFUNCTION("""COMPUTED_VALUE"""),"Summer")</f>
        <v>Summer</v>
      </c>
      <c r="P1359" s="8" t="str">
        <f ca="1">IFERROR(__xludf.DUMMYFUNCTION("""COMPUTED_VALUE"""),"Sharon")</f>
        <v>Sharon</v>
      </c>
      <c r="Q1359" s="8" t="str">
        <f ca="1">IFERROR(__xludf.DUMMYFUNCTION("""COMPUTED_VALUE"""),"PA")</f>
        <v>PA</v>
      </c>
      <c r="R1359" s="8" t="str">
        <f ca="1">IFERROR(__xludf.DUMMYFUNCTION("""COMPUTED_VALUE"""),"Elementary")</f>
        <v>Elementary</v>
      </c>
      <c r="S1359" s="8" t="str">
        <f ca="1">IFERROR(__xludf.DUMMYFUNCTION("""COMPUTED_VALUE"""),"Parking Lot")</f>
        <v>Parking Lot</v>
      </c>
      <c r="T1359" s="8" t="str">
        <f ca="1">IFERROR(__xludf.DUMMYFUNCTION("""COMPUTED_VALUE"""),"Outside on School Property")</f>
        <v>Outside on School Property</v>
      </c>
      <c r="U1359" s="8" t="str">
        <f ca="1">IFERROR(__xludf.DUMMYFUNCTION("""COMPUTED_VALUE"""),"No")</f>
        <v>No</v>
      </c>
      <c r="V1359" s="8" t="str">
        <f ca="1">IFERROR(__xludf.DUMMYFUNCTION("""COMPUTED_VALUE"""),"Evening")</f>
        <v>Evening</v>
      </c>
      <c r="W1359" s="11">
        <f ca="1">IFERROR(__xludf.DUMMYFUNCTION("""COMPUTED_VALUE"""),0.8625)</f>
        <v>0.86250000000000004</v>
      </c>
      <c r="X1359" s="8">
        <f ca="1">IFERROR(__xludf.DUMMYFUNCTION("""COMPUTED_VALUE"""),1)</f>
        <v>1</v>
      </c>
      <c r="Y1359" s="12" t="str">
        <f ca="1">IFERROR(__xludf.DUMMYFUNCTION("""COMPUTED_VALUE"""),"Teen fired multiple shots during dispute with other teens")</f>
        <v>Teen fired multiple shots during dispute with other teens</v>
      </c>
      <c r="Z1359" s="12" t="str">
        <f ca="1">IFERROR(__xludf.DUMMYFUNCTION("""COMPUTED_VALUE"""),"A 17-year-old male fired multiple in the parking lot and alley area of the school during a dispute with other teens. Children were on the playground of the school during the shooting. Shooter fled in a vehicle driven by another teen. Vehicle was stopped a"&amp;"nd the shooter was arrested.")</f>
        <v>A 17-year-old male fired multiple in the parking lot and alley area of the school during a dispute with other teens. Children were on the playground of the school during the shooting. Shooter fled in a vehicle driven by another teen. Vehicle was stopped and the shooter was arrested.</v>
      </c>
      <c r="AA1359" s="8" t="str">
        <f ca="1">IFERROR(__xludf.DUMMYFUNCTION("""COMPUTED_VALUE"""),"Escalation of Dispute")</f>
        <v>Escalation of Dispute</v>
      </c>
      <c r="AB1359" s="8"/>
      <c r="AC1359" s="8" t="str">
        <f ca="1">IFERROR(__xludf.DUMMYFUNCTION("""COMPUTED_VALUE"""),"Yes")</f>
        <v>Yes</v>
      </c>
      <c r="AD1359" s="8" t="str">
        <f ca="1">IFERROR(__xludf.DUMMYFUNCTION("""COMPUTED_VALUE"""),"Victims Targeted")</f>
        <v>Victims Targeted</v>
      </c>
      <c r="AE1359" s="8" t="str">
        <f ca="1">IFERROR(__xludf.DUMMYFUNCTION("""COMPUTED_VALUE"""),"Yes")</f>
        <v>Yes</v>
      </c>
      <c r="AF1359" s="8" t="str">
        <f ca="1">IFERROR(__xludf.DUMMYFUNCTION("""COMPUTED_VALUE"""),"Driver")</f>
        <v>Driver</v>
      </c>
      <c r="AG1359" s="8" t="str">
        <f ca="1">IFERROR(__xludf.DUMMYFUNCTION("""COMPUTED_VALUE"""),"No")</f>
        <v>No</v>
      </c>
      <c r="AH1359" s="8" t="str">
        <f ca="1">IFERROR(__xludf.DUMMYFUNCTION("""COMPUTED_VALUE"""),"No")</f>
        <v>No</v>
      </c>
      <c r="AI1359" s="8" t="str">
        <f ca="1">IFERROR(__xludf.DUMMYFUNCTION("""COMPUTED_VALUE"""),"No")</f>
        <v>No</v>
      </c>
      <c r="AJ1359" s="8" t="str">
        <f ca="1">IFERROR(__xludf.DUMMYFUNCTION("""COMPUTED_VALUE"""),"No")</f>
        <v>No</v>
      </c>
      <c r="AK1359" s="8" t="str">
        <f ca="1">IFERROR(__xludf.DUMMYFUNCTION("""COMPUTED_VALUE"""),"No")</f>
        <v>No</v>
      </c>
      <c r="AL1359" s="8"/>
      <c r="AM1359" s="8" t="str">
        <f ca="1">IFERROR(__xludf.DUMMYFUNCTION("""COMPUTED_VALUE"""),"No")</f>
        <v>No</v>
      </c>
      <c r="AN1359" s="8"/>
      <c r="AO1359" s="8" t="str">
        <f ca="1">IFERROR(__xludf.DUMMYFUNCTION("""COMPUTED_VALUE"""),"No")</f>
        <v>No</v>
      </c>
      <c r="AP1359" s="8"/>
      <c r="AQ1359" s="8"/>
      <c r="AR1359" s="8" t="str">
        <f ca="1">IFERROR(__xludf.DUMMYFUNCTION("""COMPUTED_VALUE"""),"Outside/Off-Property")</f>
        <v>Outside/Off-Property</v>
      </c>
      <c r="AS1359" s="8">
        <f ca="1">IFERROR(__xludf.DUMMYFUNCTION("""COMPUTED_VALUE"""),10)</f>
        <v>10</v>
      </c>
      <c r="AT1359" s="8"/>
      <c r="AU1359" s="8">
        <f ca="1">IFERROR(__xludf.DUMMYFUNCTION("""COMPUTED_VALUE"""),41.226235)</f>
        <v>41.226235000000003</v>
      </c>
      <c r="AV1359" s="8">
        <f ca="1">IFERROR(__xludf.DUMMYFUNCTION("""COMPUTED_VALUE"""),-80.497859)</f>
        <v>-80.497859000000005</v>
      </c>
      <c r="AW1359" s="8"/>
      <c r="AX1359" s="8">
        <f ca="1">IFERROR(__xludf.DUMMYFUNCTION("""COMPUTED_VALUE"""),16146)</f>
        <v>16146</v>
      </c>
    </row>
    <row r="1360" spans="1:50" ht="105" x14ac:dyDescent="0.2">
      <c r="A1360" s="8" t="str">
        <f ca="1">IFERROR(__xludf.DUMMYFUNCTION("""COMPUTED_VALUE"""),"20210608KSHAK")</f>
        <v>20210608KSHAK</v>
      </c>
      <c r="B1360" s="8">
        <f ca="1">IFERROR(__xludf.DUMMYFUNCTION("""COMPUTED_VALUE"""),6)</f>
        <v>6</v>
      </c>
      <c r="C1360" s="8">
        <f ca="1">IFERROR(__xludf.DUMMYFUNCTION("""COMPUTED_VALUE"""),8)</f>
        <v>8</v>
      </c>
      <c r="D1360" s="8">
        <f ca="1">IFERROR(__xludf.DUMMYFUNCTION("""COMPUTED_VALUE"""),2021)</f>
        <v>2021</v>
      </c>
      <c r="E1360" s="9">
        <f ca="1">IFERROR(__xludf.DUMMYFUNCTION("""COMPUTED_VALUE"""),44355)</f>
        <v>44355</v>
      </c>
      <c r="F1360" s="8" t="str">
        <f ca="1">IFERROR(__xludf.DUMMYFUNCTION("""COMPUTED_VALUE"""),"Hazel Grove Elementary")</f>
        <v>Hazel Grove Elementary</v>
      </c>
      <c r="G1360" s="8">
        <f ca="1">IFERROR(__xludf.DUMMYFUNCTION("""COMPUTED_VALUE"""),1)</f>
        <v>1</v>
      </c>
      <c r="H1360" s="8">
        <f ca="1">IFERROR(__xludf.DUMMYFUNCTION("""COMPUTED_VALUE"""),0)</f>
        <v>0</v>
      </c>
      <c r="I1360" s="8">
        <f ca="1">IFERROR(__xludf.DUMMYFUNCTION("""COMPUTED_VALUE"""),1)</f>
        <v>1</v>
      </c>
      <c r="J1360" s="8">
        <f ca="1">IFERROR(__xludf.DUMMYFUNCTION("""COMPUTED_VALUE"""),0)</f>
        <v>0</v>
      </c>
      <c r="K1360" s="8" t="str">
        <f ca="1">IFERROR(__xludf.DUMMYFUNCTION("""COMPUTED_VALUE"""),"https://fox4kc.com/news/neighbors-shocked-to-hear-gunfire-outside-kck-elementary-leaving-15-year-old-dead/ https://fox4kc.com/news/teenager-injured-in-kansas-city-kansas-shooting-near-elementary-school/ https://www.kmbc.com/article/teen-suffers-life-threa"&amp;"tening-injuries-in-shooting-near-kck-elementary-school-1623185816/36665363")</f>
        <v>https://fox4kc.com/news/neighbors-shocked-to-hear-gunfire-outside-kck-elementary-leaving-15-year-old-dead/ https://fox4kc.com/news/teenager-injured-in-kansas-city-kansas-shooting-near-elementary-school/ https://www.kmbc.com/article/teen-suffers-life-threatening-injuries-in-shooting-near-kck-elementary-school-1623185816/36665363</v>
      </c>
      <c r="L1360" s="8">
        <f ca="1">IFERROR(__xludf.DUMMYFUNCTION("""COMPUTED_VALUE"""),3)</f>
        <v>3</v>
      </c>
      <c r="M1360" s="8" t="str">
        <f ca="1">IFERROR(__xludf.DUMMYFUNCTION("""COMPUTED_VALUE"""),"Local")</f>
        <v>Local</v>
      </c>
      <c r="N1360" s="8">
        <f ca="1">IFERROR(__xludf.DUMMYFUNCTION("""COMPUTED_VALUE"""),4)</f>
        <v>4</v>
      </c>
      <c r="O1360" s="8" t="str">
        <f ca="1">IFERROR(__xludf.DUMMYFUNCTION("""COMPUTED_VALUE"""),"Summer")</f>
        <v>Summer</v>
      </c>
      <c r="P1360" s="8" t="str">
        <f ca="1">IFERROR(__xludf.DUMMYFUNCTION("""COMPUTED_VALUE"""),"Kansas City")</f>
        <v>Kansas City</v>
      </c>
      <c r="Q1360" s="8" t="str">
        <f ca="1">IFERROR(__xludf.DUMMYFUNCTION("""COMPUTED_VALUE"""),"KS")</f>
        <v>KS</v>
      </c>
      <c r="R1360" s="8" t="str">
        <f ca="1">IFERROR(__xludf.DUMMYFUNCTION("""COMPUTED_VALUE"""),"Elementary")</f>
        <v>Elementary</v>
      </c>
      <c r="S1360" s="8" t="str">
        <f ca="1">IFERROR(__xludf.DUMMYFUNCTION("""COMPUTED_VALUE"""),"Front of School")</f>
        <v>Front of School</v>
      </c>
      <c r="T1360" s="8" t="str">
        <f ca="1">IFERROR(__xludf.DUMMYFUNCTION("""COMPUTED_VALUE"""),"Outside on School Property")</f>
        <v>Outside on School Property</v>
      </c>
      <c r="U1360" s="8" t="str">
        <f ca="1">IFERROR(__xludf.DUMMYFUNCTION("""COMPUTED_VALUE"""),"Yes")</f>
        <v>Yes</v>
      </c>
      <c r="V1360" s="8" t="str">
        <f ca="1">IFERROR(__xludf.DUMMYFUNCTION("""COMPUTED_VALUE"""),"Afternoon Classes")</f>
        <v>Afternoon Classes</v>
      </c>
      <c r="W1360" s="11">
        <f ca="1">IFERROR(__xludf.DUMMYFUNCTION("""COMPUTED_VALUE"""),0.5)</f>
        <v>0.5</v>
      </c>
      <c r="X1360" s="8">
        <f ca="1">IFERROR(__xludf.DUMMYFUNCTION("""COMPUTED_VALUE"""),1)</f>
        <v>1</v>
      </c>
      <c r="Y1360" s="12" t="str">
        <f ca="1">IFERROR(__xludf.DUMMYFUNCTION("""COMPUTED_VALUE"""),"Teen walking in front of school fatally shot by drive-by")</f>
        <v>Teen walking in front of school fatally shot by drive-by</v>
      </c>
      <c r="Z1360" s="12" t="str">
        <f ca="1">IFERROR(__xludf.DUMMYFUNCTION("""COMPUTED_VALUE"""),"A 15-year-old male was walking in front of the school when a vehicle stopped next to him. The shooter called out to the victim and then fatally shot him. Multiple people were in the vehicle. The shooter fled the scene. Students and staff outside of the sc"&amp;"hool witnessed the shooting. School went on lockdown for 30 minutes while police cleared the scene. School was dismissed early.")</f>
        <v>A 15-year-old male was walking in front of the school when a vehicle stopped next to him. The shooter called out to the victim and then fatally shot him. Multiple people were in the vehicle. The shooter fled the scene. Students and staff outside of the school witnessed the shooting. School went on lockdown for 30 minutes while police cleared the scene. School was dismissed early.</v>
      </c>
      <c r="AA1360" s="8" t="str">
        <f ca="1">IFERROR(__xludf.DUMMYFUNCTION("""COMPUTED_VALUE"""),"Drive-by Shooting")</f>
        <v>Drive-by Shooting</v>
      </c>
      <c r="AB1360" s="8"/>
      <c r="AC1360" s="8" t="str">
        <f ca="1">IFERROR(__xludf.DUMMYFUNCTION("""COMPUTED_VALUE"""),"Yes")</f>
        <v>Yes</v>
      </c>
      <c r="AD1360" s="8" t="str">
        <f ca="1">IFERROR(__xludf.DUMMYFUNCTION("""COMPUTED_VALUE"""),"Victims Targeted")</f>
        <v>Victims Targeted</v>
      </c>
      <c r="AE1360" s="8" t="str">
        <f ca="1">IFERROR(__xludf.DUMMYFUNCTION("""COMPUTED_VALUE"""),"Yes")</f>
        <v>Yes</v>
      </c>
      <c r="AF1360" s="8" t="str">
        <f ca="1">IFERROR(__xludf.DUMMYFUNCTION("""COMPUTED_VALUE"""),"Vehicle driver")</f>
        <v>Vehicle driver</v>
      </c>
      <c r="AG1360" s="8" t="str">
        <f ca="1">IFERROR(__xludf.DUMMYFUNCTION("""COMPUTED_VALUE"""),"No")</f>
        <v>No</v>
      </c>
      <c r="AH1360" s="8" t="str">
        <f ca="1">IFERROR(__xludf.DUMMYFUNCTION("""COMPUTED_VALUE"""),"No")</f>
        <v>No</v>
      </c>
      <c r="AI1360" s="8" t="str">
        <f ca="1">IFERROR(__xludf.DUMMYFUNCTION("""COMPUTED_VALUE"""),"No")</f>
        <v>No</v>
      </c>
      <c r="AJ1360" s="8" t="str">
        <f ca="1">IFERROR(__xludf.DUMMYFUNCTION("""COMPUTED_VALUE"""),"No")</f>
        <v>No</v>
      </c>
      <c r="AK1360" s="8" t="str">
        <f ca="1">IFERROR(__xludf.DUMMYFUNCTION("""COMPUTED_VALUE"""),"No")</f>
        <v>No</v>
      </c>
      <c r="AL1360" s="8"/>
      <c r="AM1360" s="8" t="str">
        <f ca="1">IFERROR(__xludf.DUMMYFUNCTION("""COMPUTED_VALUE"""),"No")</f>
        <v>No</v>
      </c>
      <c r="AN1360" s="8"/>
      <c r="AO1360" s="8" t="str">
        <f ca="1">IFERROR(__xludf.DUMMYFUNCTION("""COMPUTED_VALUE"""),"No")</f>
        <v>No</v>
      </c>
      <c r="AP1360" s="8"/>
      <c r="AQ1360" s="8"/>
      <c r="AR1360" s="8" t="str">
        <f ca="1">IFERROR(__xludf.DUMMYFUNCTION("""COMPUTED_VALUE"""),"Outside/Off-Property")</f>
        <v>Outside/Off-Property</v>
      </c>
      <c r="AS1360" s="8"/>
      <c r="AT1360" s="8" t="str">
        <f ca="1">IFERROR(__xludf.DUMMYFUNCTION("""COMPUTED_VALUE"""),"Yes")</f>
        <v>Yes</v>
      </c>
      <c r="AU1360" s="8">
        <f ca="1">IFERROR(__xludf.DUMMYFUNCTION("""COMPUTED_VALUE"""),39.132624)</f>
        <v>39.132624</v>
      </c>
      <c r="AV1360" s="8">
        <f ca="1">IFERROR(__xludf.DUMMYFUNCTION("""COMPUTED_VALUE"""),-94.732131)</f>
        <v>-94.732130999999995</v>
      </c>
      <c r="AW1360" s="8"/>
      <c r="AX1360" s="8">
        <f ca="1">IFERROR(__xludf.DUMMYFUNCTION("""COMPUTED_VALUE"""),66104)</f>
        <v>66104</v>
      </c>
    </row>
    <row r="1361" spans="1:50" ht="75" x14ac:dyDescent="0.2">
      <c r="A1361" s="8" t="str">
        <f ca="1">IFERROR(__xludf.DUMMYFUNCTION("""COMPUTED_VALUE"""),"20210607TXEAF")</f>
        <v>20210607TXEAF</v>
      </c>
      <c r="B1361" s="8">
        <f ca="1">IFERROR(__xludf.DUMMYFUNCTION("""COMPUTED_VALUE"""),6)</f>
        <v>6</v>
      </c>
      <c r="C1361" s="8">
        <f ca="1">IFERROR(__xludf.DUMMYFUNCTION("""COMPUTED_VALUE"""),7)</f>
        <v>7</v>
      </c>
      <c r="D1361" s="8">
        <f ca="1">IFERROR(__xludf.DUMMYFUNCTION("""COMPUTED_VALUE"""),2021)</f>
        <v>2021</v>
      </c>
      <c r="E1361" s="9">
        <f ca="1">IFERROR(__xludf.DUMMYFUNCTION("""COMPUTED_VALUE"""),44354)</f>
        <v>44354</v>
      </c>
      <c r="F1361" s="8" t="str">
        <f ca="1">IFERROR(__xludf.DUMMYFUNCTION("""COMPUTED_VALUE"""),"Eastern Hills High School")</f>
        <v>Eastern Hills High School</v>
      </c>
      <c r="G1361" s="8">
        <f ca="1">IFERROR(__xludf.DUMMYFUNCTION("""COMPUTED_VALUE"""),1)</f>
        <v>1</v>
      </c>
      <c r="H1361" s="8">
        <f ca="1">IFERROR(__xludf.DUMMYFUNCTION("""COMPUTED_VALUE"""),0)</f>
        <v>0</v>
      </c>
      <c r="I1361" s="8">
        <f ca="1">IFERROR(__xludf.DUMMYFUNCTION("""COMPUTED_VALUE"""),1)</f>
        <v>1</v>
      </c>
      <c r="J1361" s="8">
        <f ca="1">IFERROR(__xludf.DUMMYFUNCTION("""COMPUTED_VALUE"""),0)</f>
        <v>0</v>
      </c>
      <c r="K1361" s="10" t="str">
        <f ca="1">IFERROR(__xludf.DUMMYFUNCTION("""COMPUTED_VALUE"""),"https://www.nbcnews.com/news/us-news/16-year-old-critical-condition-after-getting-shot-outside-texas-n1269945")</f>
        <v>https://www.nbcnews.com/news/us-news/16-year-old-critical-condition-after-getting-shot-outside-texas-n1269945</v>
      </c>
      <c r="L1361" s="8">
        <f ca="1">IFERROR(__xludf.DUMMYFUNCTION("""COMPUTED_VALUE"""),10)</f>
        <v>10</v>
      </c>
      <c r="M1361" s="8" t="str">
        <f ca="1">IFERROR(__xludf.DUMMYFUNCTION("""COMPUTED_VALUE"""),"National")</f>
        <v>National</v>
      </c>
      <c r="N1361" s="8">
        <f ca="1">IFERROR(__xludf.DUMMYFUNCTION("""COMPUTED_VALUE"""),4)</f>
        <v>4</v>
      </c>
      <c r="O1361" s="8"/>
      <c r="P1361" s="8" t="str">
        <f ca="1">IFERROR(__xludf.DUMMYFUNCTION("""COMPUTED_VALUE"""),"Fort Worth")</f>
        <v>Fort Worth</v>
      </c>
      <c r="Q1361" s="8" t="str">
        <f ca="1">IFERROR(__xludf.DUMMYFUNCTION("""COMPUTED_VALUE"""),"TX")</f>
        <v>TX</v>
      </c>
      <c r="R1361" s="8" t="str">
        <f ca="1">IFERROR(__xludf.DUMMYFUNCTION("""COMPUTED_VALUE"""),"High")</f>
        <v>High</v>
      </c>
      <c r="S1361" s="8" t="str">
        <f ca="1">IFERROR(__xludf.DUMMYFUNCTION("""COMPUTED_VALUE"""),"Parking Lot")</f>
        <v>Parking Lot</v>
      </c>
      <c r="T1361" s="8" t="str">
        <f ca="1">IFERROR(__xludf.DUMMYFUNCTION("""COMPUTED_VALUE"""),"Outside on School Property")</f>
        <v>Outside on School Property</v>
      </c>
      <c r="U1361" s="8" t="str">
        <f ca="1">IFERROR(__xludf.DUMMYFUNCTION("""COMPUTED_VALUE"""),"No")</f>
        <v>No</v>
      </c>
      <c r="V1361" s="8" t="str">
        <f ca="1">IFERROR(__xludf.DUMMYFUNCTION("""COMPUTED_VALUE"""),"Sport Event")</f>
        <v>Sport Event</v>
      </c>
      <c r="W1361" s="11">
        <f ca="1">IFERROR(__xludf.DUMMYFUNCTION("""COMPUTED_VALUE"""),0.722222222222222)</f>
        <v>0.72222222222222199</v>
      </c>
      <c r="X1361" s="8">
        <f ca="1">IFERROR(__xludf.DUMMYFUNCTION("""COMPUTED_VALUE"""),1)</f>
        <v>1</v>
      </c>
      <c r="Y1361" s="12" t="str">
        <f ca="1">IFERROR(__xludf.DUMMYFUNCTION("""COMPUTED_VALUE"""),"Teen shot in the neck during fight outside school gym during sporting event")</f>
        <v>Teen shot in the neck during fight outside school gym during sporting event</v>
      </c>
      <c r="Z1361" s="12" t="str">
        <f ca="1">IFERROR(__xludf.DUMMYFUNCTION("""COMPUTED_VALUE"""),"A 17-year-old teen was shot in the neck during a fight in the school parking lot near the gym. A volleyball was about to begin and was cancelled. Shooter fled the scene.")</f>
        <v>A 17-year-old teen was shot in the neck during a fight in the school parking lot near the gym. A volleyball was about to begin and was cancelled. Shooter fled the scene.</v>
      </c>
      <c r="AA1361" s="8" t="str">
        <f ca="1">IFERROR(__xludf.DUMMYFUNCTION("""COMPUTED_VALUE"""),"Escalation of Dispute")</f>
        <v>Escalation of Dispute</v>
      </c>
      <c r="AB1361" s="8"/>
      <c r="AC1361" s="8" t="str">
        <f ca="1">IFERROR(__xludf.DUMMYFUNCTION("""COMPUTED_VALUE"""),"Yes")</f>
        <v>Yes</v>
      </c>
      <c r="AD1361" s="8" t="str">
        <f ca="1">IFERROR(__xludf.DUMMYFUNCTION("""COMPUTED_VALUE"""),"Victims Targeted")</f>
        <v>Victims Targeted</v>
      </c>
      <c r="AE1361" s="8" t="str">
        <f ca="1">IFERROR(__xludf.DUMMYFUNCTION("""COMPUTED_VALUE"""),"No")</f>
        <v>No</v>
      </c>
      <c r="AF1361" s="8"/>
      <c r="AG1361" s="8" t="str">
        <f ca="1">IFERROR(__xludf.DUMMYFUNCTION("""COMPUTED_VALUE"""),"No")</f>
        <v>No</v>
      </c>
      <c r="AH1361" s="8" t="str">
        <f ca="1">IFERROR(__xludf.DUMMYFUNCTION("""COMPUTED_VALUE"""),"No")</f>
        <v>No</v>
      </c>
      <c r="AI1361" s="8" t="str">
        <f ca="1">IFERROR(__xludf.DUMMYFUNCTION("""COMPUTED_VALUE"""),"No")</f>
        <v>No</v>
      </c>
      <c r="AJ1361" s="8" t="str">
        <f ca="1">IFERROR(__xludf.DUMMYFUNCTION("""COMPUTED_VALUE"""),"No")</f>
        <v>No</v>
      </c>
      <c r="AK1361" s="8" t="str">
        <f ca="1">IFERROR(__xludf.DUMMYFUNCTION("""COMPUTED_VALUE"""),"No")</f>
        <v>No</v>
      </c>
      <c r="AL1361" s="8"/>
      <c r="AM1361" s="8" t="str">
        <f ca="1">IFERROR(__xludf.DUMMYFUNCTION("""COMPUTED_VALUE"""),"No")</f>
        <v>No</v>
      </c>
      <c r="AN1361" s="8"/>
      <c r="AO1361" s="8" t="str">
        <f ca="1">IFERROR(__xludf.DUMMYFUNCTION("""COMPUTED_VALUE"""),"No")</f>
        <v>No</v>
      </c>
      <c r="AP1361" s="8" t="str">
        <f ca="1">IFERROR(__xludf.DUMMYFUNCTION("""COMPUTED_VALUE"""),"Yes")</f>
        <v>Yes</v>
      </c>
      <c r="AQ1361" s="8"/>
      <c r="AR1361" s="8" t="str">
        <f ca="1">IFERROR(__xludf.DUMMYFUNCTION("""COMPUTED_VALUE"""),"Outside/Off-Property")</f>
        <v>Outside/Off-Property</v>
      </c>
      <c r="AS1361" s="8"/>
      <c r="AT1361" s="8"/>
      <c r="AU1361" s="8">
        <f ca="1">IFERROR(__xludf.DUMMYFUNCTION("""COMPUTED_VALUE"""),32.747786)</f>
        <v>32.747785999999998</v>
      </c>
      <c r="AV1361" s="8">
        <f ca="1">IFERROR(__xludf.DUMMYFUNCTION("""COMPUTED_VALUE"""),-97.231964)</f>
        <v>-97.231964000000005</v>
      </c>
      <c r="AW1361" s="8"/>
      <c r="AX1361" s="8">
        <f ca="1">IFERROR(__xludf.DUMMYFUNCTION("""COMPUTED_VALUE"""),76112)</f>
        <v>76112</v>
      </c>
    </row>
    <row r="1362" spans="1:50" ht="60" x14ac:dyDescent="0.2">
      <c r="A1362" s="8" t="str">
        <f ca="1">IFERROR(__xludf.DUMMYFUNCTION("""COMPUTED_VALUE"""),"20210606VADRA")</f>
        <v>20210606VADRA</v>
      </c>
      <c r="B1362" s="8">
        <f ca="1">IFERROR(__xludf.DUMMYFUNCTION("""COMPUTED_VALUE"""),6)</f>
        <v>6</v>
      </c>
      <c r="C1362" s="8">
        <f ca="1">IFERROR(__xludf.DUMMYFUNCTION("""COMPUTED_VALUE"""),6)</f>
        <v>6</v>
      </c>
      <c r="D1362" s="8">
        <f ca="1">IFERROR(__xludf.DUMMYFUNCTION("""COMPUTED_VALUE"""),2021)</f>
        <v>2021</v>
      </c>
      <c r="E1362" s="9">
        <f ca="1">IFERROR(__xludf.DUMMYFUNCTION("""COMPUTED_VALUE"""),44353)</f>
        <v>44353</v>
      </c>
      <c r="F1362" s="8" t="str">
        <f ca="1">IFERROR(__xludf.DUMMYFUNCTION("""COMPUTED_VALUE"""),"Dr. Charles R. Drew Elementary School")</f>
        <v>Dr. Charles R. Drew Elementary School</v>
      </c>
      <c r="G1362" s="8">
        <f ca="1">IFERROR(__xludf.DUMMYFUNCTION("""COMPUTED_VALUE"""),0)</f>
        <v>0</v>
      </c>
      <c r="H1362" s="8">
        <f ca="1">IFERROR(__xludf.DUMMYFUNCTION("""COMPUTED_VALUE"""),0)</f>
        <v>0</v>
      </c>
      <c r="I1362" s="8">
        <f ca="1">IFERROR(__xludf.DUMMYFUNCTION("""COMPUTED_VALUE"""),0)</f>
        <v>0</v>
      </c>
      <c r="J1362" s="8">
        <f ca="1">IFERROR(__xludf.DUMMYFUNCTION("""COMPUTED_VALUE"""),0)</f>
        <v>0</v>
      </c>
      <c r="K1362" s="8" t="str">
        <f ca="1">IFERROR(__xludf.DUMMYFUNCTION("""COMPUTED_VALUE"""),"https://newsroom.arlingtonva.us/release/police-investigate-shots-fired-in-green-valley-neighborhood/ https://www.arlnow.com/2021/06/06/acpd-investigating-early-morning-gunfire-outside-elementary-school/")</f>
        <v>https://newsroom.arlingtonva.us/release/police-investigate-shots-fired-in-green-valley-neighborhood/ https://www.arlnow.com/2021/06/06/acpd-investigating-early-morning-gunfire-outside-elementary-school/</v>
      </c>
      <c r="L1362" s="8">
        <f ca="1">IFERROR(__xludf.DUMMYFUNCTION("""COMPUTED_VALUE"""),2)</f>
        <v>2</v>
      </c>
      <c r="M1362" s="8" t="str">
        <f ca="1">IFERROR(__xludf.DUMMYFUNCTION("""COMPUTED_VALUE"""),"Local")</f>
        <v>Local</v>
      </c>
      <c r="N1362" s="8">
        <f ca="1">IFERROR(__xludf.DUMMYFUNCTION("""COMPUTED_VALUE"""),4)</f>
        <v>4</v>
      </c>
      <c r="O1362" s="8"/>
      <c r="P1362" s="8" t="str">
        <f ca="1">IFERROR(__xludf.DUMMYFUNCTION("""COMPUTED_VALUE"""),"Arlington")</f>
        <v>Arlington</v>
      </c>
      <c r="Q1362" s="8" t="str">
        <f ca="1">IFERROR(__xludf.DUMMYFUNCTION("""COMPUTED_VALUE"""),"VA")</f>
        <v>VA</v>
      </c>
      <c r="R1362" s="8" t="str">
        <f ca="1">IFERROR(__xludf.DUMMYFUNCTION("""COMPUTED_VALUE"""),"Elementary")</f>
        <v>Elementary</v>
      </c>
      <c r="S1362" s="8" t="str">
        <f ca="1">IFERROR(__xludf.DUMMYFUNCTION("""COMPUTED_VALUE"""),"Parking Lot")</f>
        <v>Parking Lot</v>
      </c>
      <c r="T1362" s="8" t="str">
        <f ca="1">IFERROR(__xludf.DUMMYFUNCTION("""COMPUTED_VALUE"""),"Outside on School Property")</f>
        <v>Outside on School Property</v>
      </c>
      <c r="U1362" s="8" t="str">
        <f ca="1">IFERROR(__xludf.DUMMYFUNCTION("""COMPUTED_VALUE"""),"No")</f>
        <v>No</v>
      </c>
      <c r="V1362" s="8" t="str">
        <f ca="1">IFERROR(__xludf.DUMMYFUNCTION("""COMPUTED_VALUE"""),"Night")</f>
        <v>Night</v>
      </c>
      <c r="W1362" s="11">
        <f ca="1">IFERROR(__xludf.DUMMYFUNCTION("""COMPUTED_VALUE"""),0.0951388888888888)</f>
        <v>9.5138888888888801E-2</v>
      </c>
      <c r="X1362" s="8">
        <f ca="1">IFERROR(__xludf.DUMMYFUNCTION("""COMPUTED_VALUE"""),1)</f>
        <v>1</v>
      </c>
      <c r="Y1362" s="12" t="str">
        <f ca="1">IFERROR(__xludf.DUMMYFUNCTION("""COMPUTED_VALUE"""),"Shots fired in parking lot during fight involving large crowd")</f>
        <v>Shots fired in parking lot during fight involving large crowd</v>
      </c>
      <c r="Z1362" s="12" t="str">
        <f ca="1">IFERROR(__xludf.DUMMYFUNCTION("""COMPUTED_VALUE"""),"Shot were fired in the parking lot and field area of the school when a large crowd gathered. Shooter fled the scene. No injuries were reported. Police found shell casings from 2 different weapons.")</f>
        <v>Shot were fired in the parking lot and field area of the school when a large crowd gathered. Shooter fled the scene. No injuries were reported. Police found shell casings from 2 different weapons.</v>
      </c>
      <c r="AA1362" s="8" t="str">
        <f ca="1">IFERROR(__xludf.DUMMYFUNCTION("""COMPUTED_VALUE"""),"Escalation of Dispute")</f>
        <v>Escalation of Dispute</v>
      </c>
      <c r="AB1362" s="8"/>
      <c r="AC1362" s="8" t="str">
        <f ca="1">IFERROR(__xludf.DUMMYFUNCTION("""COMPUTED_VALUE"""),"No")</f>
        <v>No</v>
      </c>
      <c r="AD1362" s="8" t="str">
        <f ca="1">IFERROR(__xludf.DUMMYFUNCTION("""COMPUTED_VALUE"""),"Random Shooting")</f>
        <v>Random Shooting</v>
      </c>
      <c r="AE1362" s="8" t="str">
        <f ca="1">IFERROR(__xludf.DUMMYFUNCTION("""COMPUTED_VALUE"""),"Yes")</f>
        <v>Yes</v>
      </c>
      <c r="AF1362" s="8" t="str">
        <f ca="1">IFERROR(__xludf.DUMMYFUNCTION("""COMPUTED_VALUE"""),"Large crowd, 2 shooters")</f>
        <v>Large crowd, 2 shooters</v>
      </c>
      <c r="AG1362" s="8" t="str">
        <f ca="1">IFERROR(__xludf.DUMMYFUNCTION("""COMPUTED_VALUE"""),"No")</f>
        <v>No</v>
      </c>
      <c r="AH1362" s="8" t="str">
        <f ca="1">IFERROR(__xludf.DUMMYFUNCTION("""COMPUTED_VALUE"""),"No")</f>
        <v>No</v>
      </c>
      <c r="AI1362" s="8" t="str">
        <f ca="1">IFERROR(__xludf.DUMMYFUNCTION("""COMPUTED_VALUE"""),"No")</f>
        <v>No</v>
      </c>
      <c r="AJ1362" s="8" t="str">
        <f ca="1">IFERROR(__xludf.DUMMYFUNCTION("""COMPUTED_VALUE"""),"No")</f>
        <v>No</v>
      </c>
      <c r="AK1362" s="8" t="str">
        <f ca="1">IFERROR(__xludf.DUMMYFUNCTION("""COMPUTED_VALUE"""),"No")</f>
        <v>No</v>
      </c>
      <c r="AL1362" s="8"/>
      <c r="AM1362" s="8" t="str">
        <f ca="1">IFERROR(__xludf.DUMMYFUNCTION("""COMPUTED_VALUE"""),"No")</f>
        <v>No</v>
      </c>
      <c r="AN1362" s="8"/>
      <c r="AO1362" s="8" t="str">
        <f ca="1">IFERROR(__xludf.DUMMYFUNCTION("""COMPUTED_VALUE"""),"No")</f>
        <v>No</v>
      </c>
      <c r="AP1362" s="8"/>
      <c r="AQ1362" s="8"/>
      <c r="AR1362" s="8" t="str">
        <f ca="1">IFERROR(__xludf.DUMMYFUNCTION("""COMPUTED_VALUE"""),"Outside/Off-Property")</f>
        <v>Outside/Off-Property</v>
      </c>
      <c r="AS1362" s="8"/>
      <c r="AT1362" s="8"/>
      <c r="AU1362" s="8">
        <f ca="1">IFERROR(__xludf.DUMMYFUNCTION("""COMPUTED_VALUE"""),38.849318)</f>
        <v>38.849317999999997</v>
      </c>
      <c r="AV1362" s="8">
        <f ca="1">IFERROR(__xludf.DUMMYFUNCTION("""COMPUTED_VALUE"""),-77.086092)</f>
        <v>-77.086091999999994</v>
      </c>
      <c r="AW1362" s="8"/>
      <c r="AX1362" s="8">
        <f ca="1">IFERROR(__xludf.DUMMYFUNCTION("""COMPUTED_VALUE"""),22204)</f>
        <v>22204</v>
      </c>
    </row>
    <row r="1363" spans="1:50" ht="90" x14ac:dyDescent="0.2">
      <c r="A1363" s="8" t="str">
        <f ca="1">IFERROR(__xludf.DUMMYFUNCTION("""COMPUTED_VALUE"""),"20210601ILLIC")</f>
        <v>20210601ILLIC</v>
      </c>
      <c r="B1363" s="8">
        <f ca="1">IFERROR(__xludf.DUMMYFUNCTION("""COMPUTED_VALUE"""),6)</f>
        <v>6</v>
      </c>
      <c r="C1363" s="8">
        <f ca="1">IFERROR(__xludf.DUMMYFUNCTION("""COMPUTED_VALUE"""),1)</f>
        <v>1</v>
      </c>
      <c r="D1363" s="8">
        <f ca="1">IFERROR(__xludf.DUMMYFUNCTION("""COMPUTED_VALUE"""),2021)</f>
        <v>2021</v>
      </c>
      <c r="E1363" s="9">
        <f ca="1">IFERROR(__xludf.DUMMYFUNCTION("""COMPUTED_VALUE"""),44348)</f>
        <v>44348</v>
      </c>
      <c r="F1363" s="8" t="str">
        <f ca="1">IFERROR(__xludf.DUMMYFUNCTION("""COMPUTED_VALUE"""),"Lincoln Park High School")</f>
        <v>Lincoln Park High School</v>
      </c>
      <c r="G1363" s="8">
        <f ca="1">IFERROR(__xludf.DUMMYFUNCTION("""COMPUTED_VALUE"""),0)</f>
        <v>0</v>
      </c>
      <c r="H1363" s="8">
        <f ca="1">IFERROR(__xludf.DUMMYFUNCTION("""COMPUTED_VALUE"""),1)</f>
        <v>1</v>
      </c>
      <c r="I1363" s="8">
        <f ca="1">IFERROR(__xludf.DUMMYFUNCTION("""COMPUTED_VALUE"""),1)</f>
        <v>1</v>
      </c>
      <c r="J1363" s="8">
        <f ca="1">IFERROR(__xludf.DUMMYFUNCTION("""COMPUTED_VALUE"""),0)</f>
        <v>0</v>
      </c>
      <c r="K1363" s="8" t="str">
        <f ca="1">IFERROR(__xludf.DUMMYFUNCTION("""COMPUTED_VALUE"""),"https://chicago.cbslocal.com/2021/06/08/teen-boy-charged-shooting-lincoln-park-high-school/ https://chicago.suntimes.com/crime/2021/6/1/22464264/teen-boy-17-wounded-in-lincoln-park-shooting-gun-violence https://chicago.cbslocal.com/2021/06/01/lincoln-park"&amp;"-parking-lot-shooting/")</f>
        <v>https://chicago.cbslocal.com/2021/06/08/teen-boy-charged-shooting-lincoln-park-high-school/ https://chicago.suntimes.com/crime/2021/6/1/22464264/teen-boy-17-wounded-in-lincoln-park-shooting-gun-violence https://chicago.cbslocal.com/2021/06/01/lincoln-park-parking-lot-shooting/</v>
      </c>
      <c r="L1363" s="8">
        <f ca="1">IFERROR(__xludf.DUMMYFUNCTION("""COMPUTED_VALUE"""),3)</f>
        <v>3</v>
      </c>
      <c r="M1363" s="8" t="str">
        <f ca="1">IFERROR(__xludf.DUMMYFUNCTION("""COMPUTED_VALUE"""),"Local")</f>
        <v>Local</v>
      </c>
      <c r="N1363" s="8">
        <f ca="1">IFERROR(__xludf.DUMMYFUNCTION("""COMPUTED_VALUE"""),3)</f>
        <v>3</v>
      </c>
      <c r="O1363" s="8" t="str">
        <f ca="1">IFERROR(__xludf.DUMMYFUNCTION("""COMPUTED_VALUE"""),"Summer")</f>
        <v>Summer</v>
      </c>
      <c r="P1363" s="8" t="str">
        <f ca="1">IFERROR(__xludf.DUMMYFUNCTION("""COMPUTED_VALUE"""),"Chicago")</f>
        <v>Chicago</v>
      </c>
      <c r="Q1363" s="8" t="str">
        <f ca="1">IFERROR(__xludf.DUMMYFUNCTION("""COMPUTED_VALUE"""),"IL")</f>
        <v>IL</v>
      </c>
      <c r="R1363" s="8" t="str">
        <f ca="1">IFERROR(__xludf.DUMMYFUNCTION("""COMPUTED_VALUE"""),"High")</f>
        <v>High</v>
      </c>
      <c r="S1363" s="8" t="str">
        <f ca="1">IFERROR(__xludf.DUMMYFUNCTION("""COMPUTED_VALUE"""),"Parking Lot")</f>
        <v>Parking Lot</v>
      </c>
      <c r="T1363" s="8" t="str">
        <f ca="1">IFERROR(__xludf.DUMMYFUNCTION("""COMPUTED_VALUE"""),"Outside on School Property")</f>
        <v>Outside on School Property</v>
      </c>
      <c r="U1363" s="8" t="str">
        <f ca="1">IFERROR(__xludf.DUMMYFUNCTION("""COMPUTED_VALUE"""),"No")</f>
        <v>No</v>
      </c>
      <c r="V1363" s="8" t="str">
        <f ca="1">IFERROR(__xludf.DUMMYFUNCTION("""COMPUTED_VALUE"""),"Evening")</f>
        <v>Evening</v>
      </c>
      <c r="W1363" s="11">
        <f ca="1">IFERROR(__xludf.DUMMYFUNCTION("""COMPUTED_VALUE"""),0.8125)</f>
        <v>0.8125</v>
      </c>
      <c r="X1363" s="8">
        <f ca="1">IFERROR(__xludf.DUMMYFUNCTION("""COMPUTED_VALUE"""),1)</f>
        <v>1</v>
      </c>
      <c r="Y1363" s="12" t="str">
        <f ca="1">IFERROR(__xludf.DUMMYFUNCTION("""COMPUTED_VALUE"""),"Teen shot in school parking lot, shooter fled")</f>
        <v>Teen shot in school parking lot, shooter fled</v>
      </c>
      <c r="Z1363" s="12" t="str">
        <f ca="1">IFERROR(__xludf.DUMMYFUNCTION("""COMPUTED_VALUE"""),"A 17-year-old teen was grazed by a bullet in the school parking lot. Shooter fled. The school was closed at the time of the shooting. Police arrested a 17-year-old male on 6/8/2021 and charged him as a juvenile with illegal weapon possession and aggravate"&amp;"d discharge of a firearm based on CCTV footage.")</f>
        <v>A 17-year-old teen was grazed by a bullet in the school parking lot. Shooter fled. The school was closed at the time of the shooting. Police arrested a 17-year-old male on 6/8/2021 and charged him as a juvenile with illegal weapon possession and aggravated discharge of a firearm based on CCTV footage.</v>
      </c>
      <c r="AA1363" s="8"/>
      <c r="AB1363" s="8"/>
      <c r="AC1363" s="8" t="str">
        <f ca="1">IFERROR(__xludf.DUMMYFUNCTION("""COMPUTED_VALUE"""),"Yes")</f>
        <v>Yes</v>
      </c>
      <c r="AD1363" s="8"/>
      <c r="AE1363" s="8" t="str">
        <f ca="1">IFERROR(__xludf.DUMMYFUNCTION("""COMPUTED_VALUE"""),"No")</f>
        <v>No</v>
      </c>
      <c r="AF1363" s="8"/>
      <c r="AG1363" s="8" t="str">
        <f ca="1">IFERROR(__xludf.DUMMYFUNCTION("""COMPUTED_VALUE"""),"No")</f>
        <v>No</v>
      </c>
      <c r="AH1363" s="8" t="str">
        <f ca="1">IFERROR(__xludf.DUMMYFUNCTION("""COMPUTED_VALUE"""),"No")</f>
        <v>No</v>
      </c>
      <c r="AI1363" s="8" t="str">
        <f ca="1">IFERROR(__xludf.DUMMYFUNCTION("""COMPUTED_VALUE"""),"No")</f>
        <v>No</v>
      </c>
      <c r="AJ1363" s="8"/>
      <c r="AK1363" s="8" t="str">
        <f ca="1">IFERROR(__xludf.DUMMYFUNCTION("""COMPUTED_VALUE"""),"No")</f>
        <v>No</v>
      </c>
      <c r="AL1363" s="8"/>
      <c r="AM1363" s="8" t="str">
        <f ca="1">IFERROR(__xludf.DUMMYFUNCTION("""COMPUTED_VALUE"""),"No")</f>
        <v>No</v>
      </c>
      <c r="AN1363" s="8"/>
      <c r="AO1363" s="8" t="str">
        <f ca="1">IFERROR(__xludf.DUMMYFUNCTION("""COMPUTED_VALUE"""),"No")</f>
        <v>No</v>
      </c>
      <c r="AP1363" s="8"/>
      <c r="AQ1363" s="8"/>
      <c r="AR1363" s="8" t="str">
        <f ca="1">IFERROR(__xludf.DUMMYFUNCTION("""COMPUTED_VALUE"""),"Outside/Off-Property")</f>
        <v>Outside/Off-Property</v>
      </c>
      <c r="AS1363" s="8"/>
      <c r="AT1363" s="8"/>
      <c r="AU1363" s="8">
        <f ca="1">IFERROR(__xludf.DUMMYFUNCTION("""COMPUTED_VALUE"""),41.918595)</f>
        <v>41.918595000000003</v>
      </c>
      <c r="AV1363" s="8">
        <f ca="1">IFERROR(__xludf.DUMMYFUNCTION("""COMPUTED_VALUE"""),-87.646173)</f>
        <v>-87.646173000000005</v>
      </c>
      <c r="AW1363" s="8"/>
      <c r="AX1363" s="8">
        <f ca="1">IFERROR(__xludf.DUMMYFUNCTION("""COMPUTED_VALUE"""),60614)</f>
        <v>60614</v>
      </c>
    </row>
    <row r="1364" spans="1:50" ht="75" x14ac:dyDescent="0.2">
      <c r="A1364" s="8" t="str">
        <f ca="1">IFERROR(__xludf.DUMMYFUNCTION("""COMPUTED_VALUE"""),"20210525NJPAP")</f>
        <v>20210525NJPAP</v>
      </c>
      <c r="B1364" s="8">
        <f ca="1">IFERROR(__xludf.DUMMYFUNCTION("""COMPUTED_VALUE"""),5)</f>
        <v>5</v>
      </c>
      <c r="C1364" s="8">
        <f ca="1">IFERROR(__xludf.DUMMYFUNCTION("""COMPUTED_VALUE"""),25)</f>
        <v>25</v>
      </c>
      <c r="D1364" s="8">
        <f ca="1">IFERROR(__xludf.DUMMYFUNCTION("""COMPUTED_VALUE"""),2021)</f>
        <v>2021</v>
      </c>
      <c r="E1364" s="9">
        <f ca="1">IFERROR(__xludf.DUMMYFUNCTION("""COMPUTED_VALUE"""),44341)</f>
        <v>44341</v>
      </c>
      <c r="F1364" s="8" t="str">
        <f ca="1">IFERROR(__xludf.DUMMYFUNCTION("""COMPUTED_VALUE"""),"Paterson School 6")</f>
        <v>Paterson School 6</v>
      </c>
      <c r="G1364" s="8">
        <f ca="1">IFERROR(__xludf.DUMMYFUNCTION("""COMPUTED_VALUE"""),0)</f>
        <v>0</v>
      </c>
      <c r="H1364" s="8">
        <f ca="1">IFERROR(__xludf.DUMMYFUNCTION("""COMPUTED_VALUE"""),0)</f>
        <v>0</v>
      </c>
      <c r="I1364" s="8">
        <f ca="1">IFERROR(__xludf.DUMMYFUNCTION("""COMPUTED_VALUE"""),0)</f>
        <v>0</v>
      </c>
      <c r="J1364" s="8">
        <f ca="1">IFERROR(__xludf.DUMMYFUNCTION("""COMPUTED_VALUE"""),0)</f>
        <v>0</v>
      </c>
      <c r="K1364" s="8" t="str">
        <f ca="1">IFERROR(__xludf.DUMMYFUNCTION("""COMPUTED_VALUE"""),"https://www.tapinto.net/sections/police-and-fire/articles/paterson-police-foot-patrol-seize-high-powered-weapon-from-15-year-old-near-school https://pix11.com/news/local-news/new-jersey/high-powered-war-zone-weapon-confiscated-from-15-year-old-near-paters"&amp;"on-school/")</f>
        <v>https://www.tapinto.net/sections/police-and-fire/articles/paterson-police-foot-patrol-seize-high-powered-weapon-from-15-year-old-near-school https://pix11.com/news/local-news/new-jersey/high-powered-war-zone-weapon-confiscated-from-15-year-old-near-paterson-school/</v>
      </c>
      <c r="L1364" s="8">
        <f ca="1">IFERROR(__xludf.DUMMYFUNCTION("""COMPUTED_VALUE"""),2)</f>
        <v>2</v>
      </c>
      <c r="M1364" s="8" t="str">
        <f ca="1">IFERROR(__xludf.DUMMYFUNCTION("""COMPUTED_VALUE"""),"Local")</f>
        <v>Local</v>
      </c>
      <c r="N1364" s="8">
        <f ca="1">IFERROR(__xludf.DUMMYFUNCTION("""COMPUTED_VALUE"""),2)</f>
        <v>2</v>
      </c>
      <c r="O1364" s="8" t="str">
        <f ca="1">IFERROR(__xludf.DUMMYFUNCTION("""COMPUTED_VALUE"""),"Spring")</f>
        <v>Spring</v>
      </c>
      <c r="P1364" s="8" t="str">
        <f ca="1">IFERROR(__xludf.DUMMYFUNCTION("""COMPUTED_VALUE"""),"Paterson")</f>
        <v>Paterson</v>
      </c>
      <c r="Q1364" s="8" t="str">
        <f ca="1">IFERROR(__xludf.DUMMYFUNCTION("""COMPUTED_VALUE"""),"NJ")</f>
        <v>NJ</v>
      </c>
      <c r="R1364" s="8" t="str">
        <f ca="1">IFERROR(__xludf.DUMMYFUNCTION("""COMPUTED_VALUE"""),"Elementary")</f>
        <v>Elementary</v>
      </c>
      <c r="S1364" s="8" t="str">
        <f ca="1">IFERROR(__xludf.DUMMYFUNCTION("""COMPUTED_VALUE"""),"Front of School")</f>
        <v>Front of School</v>
      </c>
      <c r="T1364" s="8" t="str">
        <f ca="1">IFERROR(__xludf.DUMMYFUNCTION("""COMPUTED_VALUE"""),"Off School Property")</f>
        <v>Off School Property</v>
      </c>
      <c r="U1364" s="8" t="str">
        <f ca="1">IFERROR(__xludf.DUMMYFUNCTION("""COMPUTED_VALUE"""),"Yes")</f>
        <v>Yes</v>
      </c>
      <c r="V1364" s="8" t="str">
        <f ca="1">IFERROR(__xludf.DUMMYFUNCTION("""COMPUTED_VALUE"""),"Afternoon Classes")</f>
        <v>Afternoon Classes</v>
      </c>
      <c r="W1364" s="8"/>
      <c r="X1364" s="8">
        <f ca="1">IFERROR(__xludf.DUMMYFUNCTION("""COMPUTED_VALUE"""),1)</f>
        <v>1</v>
      </c>
      <c r="Y1364" s="12" t="str">
        <f ca="1">IFERROR(__xludf.DUMMYFUNCTION("""COMPUTED_VALUE"""),"Police responded for shots fired and detained teen with high-powered firearm")</f>
        <v>Police responded for shots fired and detained teen with high-powered firearm</v>
      </c>
      <c r="Z1364" s="12" t="str">
        <f ca="1">IFERROR(__xludf.DUMMYFUNCTION("""COMPUTED_VALUE"""),"Police working a foot patrol near the elementary school responded for gunshots fired. They detained a 15-year-old male with a high-powered firearm equipped with a pistol grip, scope, and extended magazine. No students or staff were involved or injured.")</f>
        <v>Police working a foot patrol near the elementary school responded for gunshots fired. They detained a 15-year-old male with a high-powered firearm equipped with a pistol grip, scope, and extended magazine. No students or staff were involved or injured.</v>
      </c>
      <c r="AA1364" s="8"/>
      <c r="AB1364" s="8"/>
      <c r="AC1364" s="8" t="str">
        <f ca="1">IFERROR(__xludf.DUMMYFUNCTION("""COMPUTED_VALUE"""),"No")</f>
        <v>No</v>
      </c>
      <c r="AD1364" s="8" t="str">
        <f ca="1">IFERROR(__xludf.DUMMYFUNCTION("""COMPUTED_VALUE"""),"Random Shooting")</f>
        <v>Random Shooting</v>
      </c>
      <c r="AE1364" s="8" t="str">
        <f ca="1">IFERROR(__xludf.DUMMYFUNCTION("""COMPUTED_VALUE"""),"No")</f>
        <v>No</v>
      </c>
      <c r="AF1364" s="8"/>
      <c r="AG1364" s="8" t="str">
        <f ca="1">IFERROR(__xludf.DUMMYFUNCTION("""COMPUTED_VALUE"""),"No")</f>
        <v>No</v>
      </c>
      <c r="AH1364" s="8" t="str">
        <f ca="1">IFERROR(__xludf.DUMMYFUNCTION("""COMPUTED_VALUE"""),"No")</f>
        <v>No</v>
      </c>
      <c r="AI1364" s="8" t="str">
        <f ca="1">IFERROR(__xludf.DUMMYFUNCTION("""COMPUTED_VALUE"""),"No")</f>
        <v>No</v>
      </c>
      <c r="AJ1364" s="8" t="str">
        <f ca="1">IFERROR(__xludf.DUMMYFUNCTION("""COMPUTED_VALUE"""),"No")</f>
        <v>No</v>
      </c>
      <c r="AK1364" s="8" t="str">
        <f ca="1">IFERROR(__xludf.DUMMYFUNCTION("""COMPUTED_VALUE"""),"No")</f>
        <v>No</v>
      </c>
      <c r="AL1364" s="8"/>
      <c r="AM1364" s="8" t="str">
        <f ca="1">IFERROR(__xludf.DUMMYFUNCTION("""COMPUTED_VALUE"""),"No")</f>
        <v>No</v>
      </c>
      <c r="AN1364" s="8"/>
      <c r="AO1364" s="8" t="str">
        <f ca="1">IFERROR(__xludf.DUMMYFUNCTION("""COMPUTED_VALUE"""),"No")</f>
        <v>No</v>
      </c>
      <c r="AP1364" s="8"/>
      <c r="AQ1364" s="8"/>
      <c r="AR1364" s="8" t="str">
        <f ca="1">IFERROR(__xludf.DUMMYFUNCTION("""COMPUTED_VALUE"""),"Outside/Off-Property")</f>
        <v>Outside/Off-Property</v>
      </c>
      <c r="AS1364" s="8"/>
      <c r="AT1364" s="8"/>
      <c r="AU1364" s="8">
        <f ca="1">IFERROR(__xludf.DUMMYFUNCTION("""COMPUTED_VALUE"""),40.919987)</f>
        <v>40.919986999999999</v>
      </c>
      <c r="AV1364" s="8">
        <f ca="1">IFERROR(__xludf.DUMMYFUNCTION("""COMPUTED_VALUE"""),-74.161359)</f>
        <v>-74.161359000000004</v>
      </c>
      <c r="AW1364" s="8"/>
      <c r="AX1364" s="8">
        <f ca="1">IFERROR(__xludf.DUMMYFUNCTION("""COMPUTED_VALUE"""),7501)</f>
        <v>7501</v>
      </c>
    </row>
    <row r="1365" spans="1:50" ht="90" x14ac:dyDescent="0.2">
      <c r="A1365" s="8" t="str">
        <f ca="1">IFERROR(__xludf.DUMMYFUNCTION("""COMPUTED_VALUE"""),"20210517TXBRE")</f>
        <v>20210517TXBRE</v>
      </c>
      <c r="B1365" s="8">
        <f ca="1">IFERROR(__xludf.DUMMYFUNCTION("""COMPUTED_VALUE"""),5)</f>
        <v>5</v>
      </c>
      <c r="C1365" s="8">
        <f ca="1">IFERROR(__xludf.DUMMYFUNCTION("""COMPUTED_VALUE"""),17)</f>
        <v>17</v>
      </c>
      <c r="D1365" s="8">
        <f ca="1">IFERROR(__xludf.DUMMYFUNCTION("""COMPUTED_VALUE"""),2021)</f>
        <v>2021</v>
      </c>
      <c r="E1365" s="9">
        <f ca="1">IFERROR(__xludf.DUMMYFUNCTION("""COMPUTED_VALUE"""),44333)</f>
        <v>44333</v>
      </c>
      <c r="F1365" s="8" t="str">
        <f ca="1">IFERROR(__xludf.DUMMYFUNCTION("""COMPUTED_VALUE"""),"Brown Middle School")</f>
        <v>Brown Middle School</v>
      </c>
      <c r="G1365" s="8">
        <f ca="1">IFERROR(__xludf.DUMMYFUNCTION("""COMPUTED_VALUE"""),0)</f>
        <v>0</v>
      </c>
      <c r="H1365" s="8">
        <f ca="1">IFERROR(__xludf.DUMMYFUNCTION("""COMPUTED_VALUE"""),0)</f>
        <v>0</v>
      </c>
      <c r="I1365" s="8">
        <f ca="1">IFERROR(__xludf.DUMMYFUNCTION("""COMPUTED_VALUE"""),0)</f>
        <v>0</v>
      </c>
      <c r="J1365" s="8">
        <f ca="1">IFERROR(__xludf.DUMMYFUNCTION("""COMPUTED_VALUE"""),0)</f>
        <v>0</v>
      </c>
      <c r="K1365" s="8" t="str">
        <f ca="1">IFERROR(__xludf.DUMMYFUNCTION("""COMPUTED_VALUE"""),"https://www.elpasotimes.com/story/news/local/el-paso/2021/07/17/parents-plan-sue-episd-after-girl-shot-bb-gun-school/7982507002/ https://www.ktsm.com/news/local-news/parents-file-lawsuit-against-episd-after-middle-school-girl-shot-multiple-times-with-bb-g"&amp;"un-on-campus/")</f>
        <v>https://www.elpasotimes.com/story/news/local/el-paso/2021/07/17/parents-plan-sue-episd-after-girl-shot-bb-gun-school/7982507002/ https://www.ktsm.com/news/local-news/parents-file-lawsuit-against-episd-after-middle-school-girl-shot-multiple-times-with-bb-gun-on-campus/</v>
      </c>
      <c r="L1365" s="8">
        <f ca="1">IFERROR(__xludf.DUMMYFUNCTION("""COMPUTED_VALUE"""),2)</f>
        <v>2</v>
      </c>
      <c r="M1365" s="8" t="str">
        <f ca="1">IFERROR(__xludf.DUMMYFUNCTION("""COMPUTED_VALUE"""),"Local")</f>
        <v>Local</v>
      </c>
      <c r="N1365" s="8">
        <f ca="1">IFERROR(__xludf.DUMMYFUNCTION("""COMPUTED_VALUE"""),3)</f>
        <v>3</v>
      </c>
      <c r="O1365" s="8" t="str">
        <f ca="1">IFERROR(__xludf.DUMMYFUNCTION("""COMPUTED_VALUE"""),"Spring")</f>
        <v>Spring</v>
      </c>
      <c r="P1365" s="8" t="str">
        <f ca="1">IFERROR(__xludf.DUMMYFUNCTION("""COMPUTED_VALUE"""),"El Paso")</f>
        <v>El Paso</v>
      </c>
      <c r="Q1365" s="8" t="str">
        <f ca="1">IFERROR(__xludf.DUMMYFUNCTION("""COMPUTED_VALUE"""),"TX")</f>
        <v>TX</v>
      </c>
      <c r="R1365" s="8" t="str">
        <f ca="1">IFERROR(__xludf.DUMMYFUNCTION("""COMPUTED_VALUE"""),"Middle")</f>
        <v>Middle</v>
      </c>
      <c r="S1365" s="8" t="str">
        <f ca="1">IFERROR(__xludf.DUMMYFUNCTION("""COMPUTED_VALUE"""),"Classroom")</f>
        <v>Classroom</v>
      </c>
      <c r="T1365" s="8" t="str">
        <f ca="1">IFERROR(__xludf.DUMMYFUNCTION("""COMPUTED_VALUE"""),"Inside School Building")</f>
        <v>Inside School Building</v>
      </c>
      <c r="U1365" s="8" t="str">
        <f ca="1">IFERROR(__xludf.DUMMYFUNCTION("""COMPUTED_VALUE"""),"Yes")</f>
        <v>Yes</v>
      </c>
      <c r="V1365" s="8" t="str">
        <f ca="1">IFERROR(__xludf.DUMMYFUNCTION("""COMPUTED_VALUE"""),"Afternoon Classes")</f>
        <v>Afternoon Classes</v>
      </c>
      <c r="W1365" s="8"/>
      <c r="X1365" s="8">
        <f ca="1">IFERROR(__xludf.DUMMYFUNCTION("""COMPUTED_VALUE"""),30)</f>
        <v>30</v>
      </c>
      <c r="Y1365" s="12" t="str">
        <f ca="1">IFERROR(__xludf.DUMMYFUNCTION("""COMPUTED_VALUE"""),"Student pointed BB gun at a female student in the classroom and then fired at students in the hallway")</f>
        <v>Student pointed BB gun at a female student in the classroom and then fired at students in the hallway</v>
      </c>
      <c r="Z1365" s="12" t="str">
        <f ca="1">IFERROR(__xludf.DUMMYFUNCTION("""COMPUTED_VALUE"""),"A student pointed a black BB gun at a student inside a classroom. The teacher told him to put the gun away. 30 minutes later in the hallway, the shooter fired 7-8 shots at other students injuring 2 students.")</f>
        <v>A student pointed a black BB gun at a student inside a classroom. The teacher told him to put the gun away. 30 minutes later in the hallway, the shooter fired 7-8 shots at other students injuring 2 students.</v>
      </c>
      <c r="AA1365" s="8" t="str">
        <f ca="1">IFERROR(__xludf.DUMMYFUNCTION("""COMPUTED_VALUE"""),"Indiscriminate Shooting")</f>
        <v>Indiscriminate Shooting</v>
      </c>
      <c r="AB1365" s="8"/>
      <c r="AC1365" s="8" t="str">
        <f ca="1">IFERROR(__xludf.DUMMYFUNCTION("""COMPUTED_VALUE"""),"Yes")</f>
        <v>Yes</v>
      </c>
      <c r="AD1365" s="8" t="str">
        <f ca="1">IFERROR(__xludf.DUMMYFUNCTION("""COMPUTED_VALUE"""),"Both")</f>
        <v>Both</v>
      </c>
      <c r="AE1365" s="8" t="str">
        <f ca="1">IFERROR(__xludf.DUMMYFUNCTION("""COMPUTED_VALUE"""),"No")</f>
        <v>No</v>
      </c>
      <c r="AF1365" s="8"/>
      <c r="AG1365" s="8" t="str">
        <f ca="1">IFERROR(__xludf.DUMMYFUNCTION("""COMPUTED_VALUE"""),"No")</f>
        <v>No</v>
      </c>
      <c r="AH1365" s="8" t="str">
        <f ca="1">IFERROR(__xludf.DUMMYFUNCTION("""COMPUTED_VALUE"""),"No")</f>
        <v>No</v>
      </c>
      <c r="AI1365" s="8" t="str">
        <f ca="1">IFERROR(__xludf.DUMMYFUNCTION("""COMPUTED_VALUE"""),"No")</f>
        <v>No</v>
      </c>
      <c r="AJ1365" s="8"/>
      <c r="AK1365" s="8" t="str">
        <f ca="1">IFERROR(__xludf.DUMMYFUNCTION("""COMPUTED_VALUE"""),"No")</f>
        <v>No</v>
      </c>
      <c r="AL1365" s="8" t="str">
        <f ca="1">IFERROR(__xludf.DUMMYFUNCTION("""COMPUTED_VALUE"""),"No")</f>
        <v>No</v>
      </c>
      <c r="AM1365" s="8" t="str">
        <f ca="1">IFERROR(__xludf.DUMMYFUNCTION("""COMPUTED_VALUE"""),"No")</f>
        <v>No</v>
      </c>
      <c r="AN1365" s="8"/>
      <c r="AO1365" s="8"/>
      <c r="AP1365" s="8"/>
      <c r="AQ1365" s="8"/>
      <c r="AR1365" s="8" t="str">
        <f ca="1">IFERROR(__xludf.DUMMYFUNCTION("""COMPUTED_VALUE"""),"Failed")</f>
        <v>Failed</v>
      </c>
      <c r="AS1365" s="8">
        <f ca="1">IFERROR(__xludf.DUMMYFUNCTION("""COMPUTED_VALUE"""),8)</f>
        <v>8</v>
      </c>
      <c r="AT1365" s="8" t="str">
        <f ca="1">IFERROR(__xludf.DUMMYFUNCTION("""COMPUTED_VALUE"""),"No")</f>
        <v>No</v>
      </c>
      <c r="AU1365" s="8">
        <f ca="1">IFERROR(__xludf.DUMMYFUNCTION("""COMPUTED_VALUE"""),31.877621)</f>
        <v>31.877621000000001</v>
      </c>
      <c r="AV1365" s="8">
        <f ca="1">IFERROR(__xludf.DUMMYFUNCTION("""COMPUTED_VALUE"""),-106.573101)</f>
        <v>-106.57310099999999</v>
      </c>
      <c r="AW1365" s="8"/>
      <c r="AX1365" s="8">
        <f ca="1">IFERROR(__xludf.DUMMYFUNCTION("""COMPUTED_VALUE"""),79911)</f>
        <v>79911</v>
      </c>
    </row>
    <row r="1366" spans="1:50" ht="105" x14ac:dyDescent="0.2">
      <c r="A1366" s="8" t="str">
        <f ca="1">IFERROR(__xludf.DUMMYFUNCTION("""COMPUTED_VALUE"""),"20210517TNAUM")</f>
        <v>20210517TNAUM</v>
      </c>
      <c r="B1366" s="8">
        <f ca="1">IFERROR(__xludf.DUMMYFUNCTION("""COMPUTED_VALUE"""),5)</f>
        <v>5</v>
      </c>
      <c r="C1366" s="8">
        <f ca="1">IFERROR(__xludf.DUMMYFUNCTION("""COMPUTED_VALUE"""),17)</f>
        <v>17</v>
      </c>
      <c r="D1366" s="8">
        <f ca="1">IFERROR(__xludf.DUMMYFUNCTION("""COMPUTED_VALUE"""),2021)</f>
        <v>2021</v>
      </c>
      <c r="E1366" s="9">
        <f ca="1">IFERROR(__xludf.DUMMYFUNCTION("""COMPUTED_VALUE"""),44333)</f>
        <v>44333</v>
      </c>
      <c r="F1366" s="8" t="str">
        <f ca="1">IFERROR(__xludf.DUMMYFUNCTION("""COMPUTED_VALUE"""),"Aurora Collegiate Academy")</f>
        <v>Aurora Collegiate Academy</v>
      </c>
      <c r="G1366" s="8">
        <f ca="1">IFERROR(__xludf.DUMMYFUNCTION("""COMPUTED_VALUE"""),0)</f>
        <v>0</v>
      </c>
      <c r="H1366" s="8">
        <f ca="1">IFERROR(__xludf.DUMMYFUNCTION("""COMPUTED_VALUE"""),1)</f>
        <v>1</v>
      </c>
      <c r="I1366" s="8">
        <f ca="1">IFERROR(__xludf.DUMMYFUNCTION("""COMPUTED_VALUE"""),1)</f>
        <v>1</v>
      </c>
      <c r="J1366" s="8">
        <f ca="1">IFERROR(__xludf.DUMMYFUNCTION("""COMPUTED_VALUE"""),0)</f>
        <v>0</v>
      </c>
      <c r="K1366" s="8" t="str">
        <f ca="1">IFERROR(__xludf.DUMMYFUNCTION("""COMPUTED_VALUE"""),"https://www.localmemphis.com/article/news/crime/man-crashes-into-school-on-summer-ave-after-being-shot/522-fc5dc3b7-6b9c-4c40-8ad8-52874d9f331d https://wreg.com/news/police-man-crashes-into-summer-avenue-building-after-shooting/ https://www.fox13memphis.c"&amp;"om/news/local/mpd-man-crashes-into-building-after-being-shot-one-being-questioned/MQGVFMG37RD3JFJWEONK2LLNQU/")</f>
        <v>https://www.localmemphis.com/article/news/crime/man-crashes-into-school-on-summer-ave-after-being-shot/522-fc5dc3b7-6b9c-4c40-8ad8-52874d9f331d https://wreg.com/news/police-man-crashes-into-summer-avenue-building-after-shooting/ https://www.fox13memphis.com/news/local/mpd-man-crashes-into-building-after-being-shot-one-being-questioned/MQGVFMG37RD3JFJWEONK2LLNQU/</v>
      </c>
      <c r="L1366" s="8">
        <f ca="1">IFERROR(__xludf.DUMMYFUNCTION("""COMPUTED_VALUE"""),3)</f>
        <v>3</v>
      </c>
      <c r="M1366" s="8" t="str">
        <f ca="1">IFERROR(__xludf.DUMMYFUNCTION("""COMPUTED_VALUE"""),"Local")</f>
        <v>Local</v>
      </c>
      <c r="N1366" s="8">
        <f ca="1">IFERROR(__xludf.DUMMYFUNCTION("""COMPUTED_VALUE"""),4)</f>
        <v>4</v>
      </c>
      <c r="O1366" s="8" t="str">
        <f ca="1">IFERROR(__xludf.DUMMYFUNCTION("""COMPUTED_VALUE"""),"Spring")</f>
        <v>Spring</v>
      </c>
      <c r="P1366" s="8" t="str">
        <f ca="1">IFERROR(__xludf.DUMMYFUNCTION("""COMPUTED_VALUE"""),"Memphis")</f>
        <v>Memphis</v>
      </c>
      <c r="Q1366" s="8" t="str">
        <f ca="1">IFERROR(__xludf.DUMMYFUNCTION("""COMPUTED_VALUE"""),"TN")</f>
        <v>TN</v>
      </c>
      <c r="R1366" s="8" t="str">
        <f ca="1">IFERROR(__xludf.DUMMYFUNCTION("""COMPUTED_VALUE"""),"Elementary")</f>
        <v>Elementary</v>
      </c>
      <c r="S1366" s="8" t="str">
        <f ca="1">IFERROR(__xludf.DUMMYFUNCTION("""COMPUTED_VALUE"""),"Front of School")</f>
        <v>Front of School</v>
      </c>
      <c r="T1366" s="8" t="str">
        <f ca="1">IFERROR(__xludf.DUMMYFUNCTION("""COMPUTED_VALUE"""),"Off School Property")</f>
        <v>Off School Property</v>
      </c>
      <c r="U1366" s="8" t="str">
        <f ca="1">IFERROR(__xludf.DUMMYFUNCTION("""COMPUTED_VALUE"""),"Yes")</f>
        <v>Yes</v>
      </c>
      <c r="V1366" s="8" t="str">
        <f ca="1">IFERROR(__xludf.DUMMYFUNCTION("""COMPUTED_VALUE"""),"Morning Classes")</f>
        <v>Morning Classes</v>
      </c>
      <c r="W1366" s="11">
        <f ca="1">IFERROR(__xludf.DUMMYFUNCTION("""COMPUTED_VALUE"""),0.322916666666666)</f>
        <v>0.32291666666666602</v>
      </c>
      <c r="X1366" s="8">
        <f ca="1">IFERROR(__xludf.DUMMYFUNCTION("""COMPUTED_VALUE"""),1)</f>
        <v>1</v>
      </c>
      <c r="Y1366" s="12" t="str">
        <f ca="1">IFERROR(__xludf.DUMMYFUNCTION("""COMPUTED_VALUE"""),"Man in vehicle shot and crashed vehicle into the front of the school")</f>
        <v>Man in vehicle shot and crashed vehicle into the front of the school</v>
      </c>
      <c r="Z1366" s="12" t="str">
        <f ca="1">IFERROR(__xludf.DUMMYFUNCTION("""COMPUTED_VALUE"""),"A 51-year-old male was eating breakfast at a diner across the street from the school. He saw another man attempting to break into his vehicle. He confronted the man and then fired shots when the victim (attempted thief) fled the scene in a van. The victim"&amp;" was stuck and crashed into the front of the school building near the front door. No students or staff were injured. The school was locked down and dismissed.")</f>
        <v>A 51-year-old male was eating breakfast at a diner across the street from the school. He saw another man attempting to break into his vehicle. He confronted the man and then fired shots when the victim (attempted thief) fled the scene in a van. The victim was stuck and crashed into the front of the school building near the front door. No students or staff were injured. The school was locked down and dismissed.</v>
      </c>
      <c r="AA1366" s="8" t="str">
        <f ca="1">IFERROR(__xludf.DUMMYFUNCTION("""COMPUTED_VALUE"""),"Illegal Activity")</f>
        <v>Illegal Activity</v>
      </c>
      <c r="AB1366" s="8"/>
      <c r="AC1366" s="8" t="str">
        <f ca="1">IFERROR(__xludf.DUMMYFUNCTION("""COMPUTED_VALUE"""),"Yes")</f>
        <v>Yes</v>
      </c>
      <c r="AD1366" s="8" t="str">
        <f ca="1">IFERROR(__xludf.DUMMYFUNCTION("""COMPUTED_VALUE"""),"Victims Targeted")</f>
        <v>Victims Targeted</v>
      </c>
      <c r="AE1366" s="8" t="str">
        <f ca="1">IFERROR(__xludf.DUMMYFUNCTION("""COMPUTED_VALUE"""),"No")</f>
        <v>No</v>
      </c>
      <c r="AF1366" s="8"/>
      <c r="AG1366" s="8" t="str">
        <f ca="1">IFERROR(__xludf.DUMMYFUNCTION("""COMPUTED_VALUE"""),"No")</f>
        <v>No</v>
      </c>
      <c r="AH1366" s="8" t="str">
        <f ca="1">IFERROR(__xludf.DUMMYFUNCTION("""COMPUTED_VALUE"""),"No")</f>
        <v>No</v>
      </c>
      <c r="AI1366" s="8" t="str">
        <f ca="1">IFERROR(__xludf.DUMMYFUNCTION("""COMPUTED_VALUE"""),"No")</f>
        <v>No</v>
      </c>
      <c r="AJ1366" s="8" t="str">
        <f ca="1">IFERROR(__xludf.DUMMYFUNCTION("""COMPUTED_VALUE"""),"No")</f>
        <v>No</v>
      </c>
      <c r="AK1366" s="8" t="str">
        <f ca="1">IFERROR(__xludf.DUMMYFUNCTION("""COMPUTED_VALUE"""),"No")</f>
        <v>No</v>
      </c>
      <c r="AL1366" s="8" t="str">
        <f ca="1">IFERROR(__xludf.DUMMYFUNCTION("""COMPUTED_VALUE"""),"No")</f>
        <v>No</v>
      </c>
      <c r="AM1366" s="8" t="str">
        <f ca="1">IFERROR(__xludf.DUMMYFUNCTION("""COMPUTED_VALUE"""),"No")</f>
        <v>No</v>
      </c>
      <c r="AN1366" s="8"/>
      <c r="AO1366" s="8" t="str">
        <f ca="1">IFERROR(__xludf.DUMMYFUNCTION("""COMPUTED_VALUE"""),"No")</f>
        <v>No</v>
      </c>
      <c r="AP1366" s="8"/>
      <c r="AQ1366" s="8"/>
      <c r="AR1366" s="8"/>
      <c r="AS1366" s="8"/>
      <c r="AT1366" s="8" t="str">
        <f ca="1">IFERROR(__xludf.DUMMYFUNCTION("""COMPUTED_VALUE"""),"Yes")</f>
        <v>Yes</v>
      </c>
      <c r="AU1366" s="8">
        <f ca="1">IFERROR(__xludf.DUMMYFUNCTION("""COMPUTED_VALUE"""),35.147776)</f>
        <v>35.147776</v>
      </c>
      <c r="AV1366" s="8">
        <f ca="1">IFERROR(__xludf.DUMMYFUNCTION("""COMPUTED_VALUE"""),-89.899484)</f>
        <v>-89.899484000000001</v>
      </c>
      <c r="AW1366" s="8"/>
      <c r="AX1366" s="8">
        <f ca="1">IFERROR(__xludf.DUMMYFUNCTION("""COMPUTED_VALUE"""),38122)</f>
        <v>38122</v>
      </c>
    </row>
    <row r="1367" spans="1:50" ht="135" x14ac:dyDescent="0.2">
      <c r="A1367" s="8" t="str">
        <f ca="1">IFERROR(__xludf.DUMMYFUNCTION("""COMPUTED_VALUE"""),"20210517MDLOC")</f>
        <v>20210517MDLOC</v>
      </c>
      <c r="B1367" s="8">
        <f ca="1">IFERROR(__xludf.DUMMYFUNCTION("""COMPUTED_VALUE"""),5)</f>
        <v>5</v>
      </c>
      <c r="C1367" s="8">
        <f ca="1">IFERROR(__xludf.DUMMYFUNCTION("""COMPUTED_VALUE"""),17)</f>
        <v>17</v>
      </c>
      <c r="D1367" s="8">
        <f ca="1">IFERROR(__xludf.DUMMYFUNCTION("""COMPUTED_VALUE"""),2021)</f>
        <v>2021</v>
      </c>
      <c r="E1367" s="9">
        <f ca="1">IFERROR(__xludf.DUMMYFUNCTION("""COMPUTED_VALUE"""),44333)</f>
        <v>44333</v>
      </c>
      <c r="F1367" s="8" t="str">
        <f ca="1">IFERROR(__xludf.DUMMYFUNCTION("""COMPUTED_VALUE"""),"Long Reach High School")</f>
        <v>Long Reach High School</v>
      </c>
      <c r="G1367" s="8">
        <f ca="1">IFERROR(__xludf.DUMMYFUNCTION("""COMPUTED_VALUE"""),0)</f>
        <v>0</v>
      </c>
      <c r="H1367" s="8">
        <f ca="1">IFERROR(__xludf.DUMMYFUNCTION("""COMPUTED_VALUE"""),0)</f>
        <v>0</v>
      </c>
      <c r="I1367" s="8">
        <f ca="1">IFERROR(__xludf.DUMMYFUNCTION("""COMPUTED_VALUE"""),0)</f>
        <v>0</v>
      </c>
      <c r="J1367" s="8">
        <f ca="1">IFERROR(__xludf.DUMMYFUNCTION("""COMPUTED_VALUE"""),0)</f>
        <v>0</v>
      </c>
      <c r="K1367" s="8" t="str">
        <f ca="1">IFERROR(__xludf.DUMMYFUNCTION("""COMPUTED_VALUE"""),"https://www.howardcountymd.gov/LinkClick.aspx?fileticket=Qo_2iA1NhhM%3D&amp;tabid=1925&amp;portalid=0 https://baltimore.cbslocal.com/2021/05/17/2-arrested-with-loaded-gun-in-long-reach-high-schools-parking-lot/")</f>
        <v>https://www.howardcountymd.gov/LinkClick.aspx?fileticket=Qo_2iA1NhhM%3D&amp;tabid=1925&amp;portalid=0 https://baltimore.cbslocal.com/2021/05/17/2-arrested-with-loaded-gun-in-long-reach-high-schools-parking-lot/</v>
      </c>
      <c r="L1367" s="8">
        <f ca="1">IFERROR(__xludf.DUMMYFUNCTION("""COMPUTED_VALUE"""),2)</f>
        <v>2</v>
      </c>
      <c r="M1367" s="8" t="str">
        <f ca="1">IFERROR(__xludf.DUMMYFUNCTION("""COMPUTED_VALUE"""),"Local")</f>
        <v>Local</v>
      </c>
      <c r="N1367" s="8">
        <f ca="1">IFERROR(__xludf.DUMMYFUNCTION("""COMPUTED_VALUE"""),4)</f>
        <v>4</v>
      </c>
      <c r="O1367" s="8" t="str">
        <f ca="1">IFERROR(__xludf.DUMMYFUNCTION("""COMPUTED_VALUE"""),"Spring")</f>
        <v>Spring</v>
      </c>
      <c r="P1367" s="8" t="str">
        <f ca="1">IFERROR(__xludf.DUMMYFUNCTION("""COMPUTED_VALUE"""),"Columbia")</f>
        <v>Columbia</v>
      </c>
      <c r="Q1367" s="8" t="str">
        <f ca="1">IFERROR(__xludf.DUMMYFUNCTION("""COMPUTED_VALUE"""),"MD")</f>
        <v>MD</v>
      </c>
      <c r="R1367" s="8" t="str">
        <f ca="1">IFERROR(__xludf.DUMMYFUNCTION("""COMPUTED_VALUE"""),"High")</f>
        <v>High</v>
      </c>
      <c r="S1367" s="8" t="str">
        <f ca="1">IFERROR(__xludf.DUMMYFUNCTION("""COMPUTED_VALUE"""),"Parking Lot")</f>
        <v>Parking Lot</v>
      </c>
      <c r="T1367" s="8" t="str">
        <f ca="1">IFERROR(__xludf.DUMMYFUNCTION("""COMPUTED_VALUE"""),"Outside on School Property")</f>
        <v>Outside on School Property</v>
      </c>
      <c r="U1367" s="8" t="str">
        <f ca="1">IFERROR(__xludf.DUMMYFUNCTION("""COMPUTED_VALUE"""),"Yes")</f>
        <v>Yes</v>
      </c>
      <c r="V1367" s="8" t="str">
        <f ca="1">IFERROR(__xludf.DUMMYFUNCTION("""COMPUTED_VALUE"""),"Morning Classes")</f>
        <v>Morning Classes</v>
      </c>
      <c r="W1367" s="11">
        <f ca="1">IFERROR(__xludf.DUMMYFUNCTION("""COMPUTED_VALUE"""),0.392361111111111)</f>
        <v>0.39236111111111099</v>
      </c>
      <c r="X1367" s="8">
        <f ca="1">IFERROR(__xludf.DUMMYFUNCTION("""COMPUTED_VALUE"""),1)</f>
        <v>1</v>
      </c>
      <c r="Y1367" s="12" t="str">
        <f ca="1">IFERROR(__xludf.DUMMYFUNCTION("""COMPUTED_VALUE"""),"Domestic dispute in dropoff lane, both arrested with handguns")</f>
        <v>Domestic dispute in dropoff lane, both arrested with handguns</v>
      </c>
      <c r="Z1367" s="12" t="str">
        <f ca="1">IFERROR(__xludf.DUMMYFUNCTION("""COMPUTED_VALUE"""),"Police were notified of a domestic dispute with an armed person in the dropoff lane of the school. A police officer already at the school (not a SRO) responded and detained a 18-year-old male and a 20-year-old female. Both of had handguns are were arreste"&amp;"d for possession of guns on school property. One of the suspects was dropping off a student at the time of the incident. No shots were fired and no students or staff were injured. One of the handguns recovered was an unregistered ""ghost gun"".")</f>
        <v>Police were notified of a domestic dispute with an armed person in the dropoff lane of the school. A police officer already at the school (not a SRO) responded and detained a 18-year-old male and a 20-year-old female. Both of had handguns are were arrested for possession of guns on school property. One of the suspects was dropping off a student at the time of the incident. No shots were fired and no students or staff were injured. One of the handguns recovered was an unregistered "ghost gun".</v>
      </c>
      <c r="AA1367" s="8" t="str">
        <f ca="1">IFERROR(__xludf.DUMMYFUNCTION("""COMPUTED_VALUE"""),"Domestic w/ Targeted Victim")</f>
        <v>Domestic w/ Targeted Victim</v>
      </c>
      <c r="AB1367" s="8"/>
      <c r="AC1367" s="8" t="str">
        <f ca="1">IFERROR(__xludf.DUMMYFUNCTION("""COMPUTED_VALUE"""),"Yes")</f>
        <v>Yes</v>
      </c>
      <c r="AD1367" s="8" t="str">
        <f ca="1">IFERROR(__xludf.DUMMYFUNCTION("""COMPUTED_VALUE"""),"Victims Targeted")</f>
        <v>Victims Targeted</v>
      </c>
      <c r="AE1367" s="8" t="str">
        <f ca="1">IFERROR(__xludf.DUMMYFUNCTION("""COMPUTED_VALUE"""),"No")</f>
        <v>No</v>
      </c>
      <c r="AF1367" s="8"/>
      <c r="AG1367" s="8" t="str">
        <f ca="1">IFERROR(__xludf.DUMMYFUNCTION("""COMPUTED_VALUE"""),"No")</f>
        <v>No</v>
      </c>
      <c r="AH1367" s="8" t="str">
        <f ca="1">IFERROR(__xludf.DUMMYFUNCTION("""COMPUTED_VALUE"""),"No")</f>
        <v>No</v>
      </c>
      <c r="AI1367" s="8" t="str">
        <f ca="1">IFERROR(__xludf.DUMMYFUNCTION("""COMPUTED_VALUE"""),"No")</f>
        <v>No</v>
      </c>
      <c r="AJ1367" s="8" t="str">
        <f ca="1">IFERROR(__xludf.DUMMYFUNCTION("""COMPUTED_VALUE"""),"No")</f>
        <v>No</v>
      </c>
      <c r="AK1367" s="8" t="str">
        <f ca="1">IFERROR(__xludf.DUMMYFUNCTION("""COMPUTED_VALUE"""),"Yes")</f>
        <v>Yes</v>
      </c>
      <c r="AL1367" s="8" t="str">
        <f ca="1">IFERROR(__xludf.DUMMYFUNCTION("""COMPUTED_VALUE"""),"No")</f>
        <v>No</v>
      </c>
      <c r="AM1367" s="8" t="str">
        <f ca="1">IFERROR(__xludf.DUMMYFUNCTION("""COMPUTED_VALUE"""),"No")</f>
        <v>No</v>
      </c>
      <c r="AN1367" s="8"/>
      <c r="AO1367" s="8" t="str">
        <f ca="1">IFERROR(__xludf.DUMMYFUNCTION("""COMPUTED_VALUE"""),"No")</f>
        <v>No</v>
      </c>
      <c r="AP1367" s="8" t="str">
        <f ca="1">IFERROR(__xludf.DUMMYFUNCTION("""COMPUTED_VALUE"""),"No")</f>
        <v>No</v>
      </c>
      <c r="AQ1367" s="8"/>
      <c r="AR1367" s="8" t="str">
        <f ca="1">IFERROR(__xludf.DUMMYFUNCTION("""COMPUTED_VALUE"""),"Outside/Off-Property")</f>
        <v>Outside/Off-Property</v>
      </c>
      <c r="AS1367" s="8">
        <f ca="1">IFERROR(__xludf.DUMMYFUNCTION("""COMPUTED_VALUE"""),0)</f>
        <v>0</v>
      </c>
      <c r="AT1367" s="8" t="str">
        <f ca="1">IFERROR(__xludf.DUMMYFUNCTION("""COMPUTED_VALUE"""),"Yes")</f>
        <v>Yes</v>
      </c>
      <c r="AU1367" s="8">
        <f ca="1">IFERROR(__xludf.DUMMYFUNCTION("""COMPUTED_VALUE"""),39.20669)</f>
        <v>39.206690000000002</v>
      </c>
      <c r="AV1367" s="8">
        <f ca="1">IFERROR(__xludf.DUMMYFUNCTION("""COMPUTED_VALUE"""),-76.811892)</f>
        <v>-76.811892</v>
      </c>
      <c r="AW1367" s="8"/>
      <c r="AX1367" s="8">
        <f ca="1">IFERROR(__xludf.DUMMYFUNCTION("""COMPUTED_VALUE"""),21045)</f>
        <v>21045</v>
      </c>
    </row>
    <row r="1368" spans="1:50" ht="75" x14ac:dyDescent="0.2">
      <c r="A1368" s="8" t="str">
        <f ca="1">IFERROR(__xludf.DUMMYFUNCTION("""COMPUTED_VALUE"""),"20210514CASAS")</f>
        <v>20210514CASAS</v>
      </c>
      <c r="B1368" s="8">
        <f ca="1">IFERROR(__xludf.DUMMYFUNCTION("""COMPUTED_VALUE"""),5)</f>
        <v>5</v>
      </c>
      <c r="C1368" s="8">
        <f ca="1">IFERROR(__xludf.DUMMYFUNCTION("""COMPUTED_VALUE"""),14)</f>
        <v>14</v>
      </c>
      <c r="D1368" s="8">
        <f ca="1">IFERROR(__xludf.DUMMYFUNCTION("""COMPUTED_VALUE"""),2021)</f>
        <v>2021</v>
      </c>
      <c r="E1368" s="9">
        <f ca="1">IFERROR(__xludf.DUMMYFUNCTION("""COMPUTED_VALUE"""),44330)</f>
        <v>44330</v>
      </c>
      <c r="F1368" s="8" t="str">
        <f ca="1">IFERROR(__xludf.DUMMYFUNCTION("""COMPUTED_VALUE"""),"San Mateo High School")</f>
        <v>San Mateo High School</v>
      </c>
      <c r="G1368" s="8">
        <f ca="1">IFERROR(__xludf.DUMMYFUNCTION("""COMPUTED_VALUE"""),1)</f>
        <v>1</v>
      </c>
      <c r="H1368" s="8">
        <f ca="1">IFERROR(__xludf.DUMMYFUNCTION("""COMPUTED_VALUE"""),0)</f>
        <v>0</v>
      </c>
      <c r="I1368" s="8">
        <f ca="1">IFERROR(__xludf.DUMMYFUNCTION("""COMPUTED_VALUE"""),1)</f>
        <v>1</v>
      </c>
      <c r="J1368" s="8">
        <f ca="1">IFERROR(__xludf.DUMMYFUNCTION("""COMPUTED_VALUE"""),0)</f>
        <v>0</v>
      </c>
      <c r="K1368" s="8" t="str">
        <f ca="1">IFERROR(__xludf.DUMMYFUNCTION("""COMPUTED_VALUE"""),"https://www.yahoo.com/news/young-man-dies-protecting-girlfriend-171128499.html https://sanfrancisco.cbslocal.com/2021/05/14/suspects-sought-shooting-san-mateo/ https://www.mercurynews.com/2021/05/15/san-mateo-19-year-old-shot-and-killed-friday-night-near-"&amp;"high-school/")</f>
        <v>https://www.yahoo.com/news/young-man-dies-protecting-girlfriend-171128499.html https://sanfrancisco.cbslocal.com/2021/05/14/suspects-sought-shooting-san-mateo/ https://www.mercurynews.com/2021/05/15/san-mateo-19-year-old-shot-and-killed-friday-night-near-high-school/</v>
      </c>
      <c r="L1368" s="8">
        <f ca="1">IFERROR(__xludf.DUMMYFUNCTION("""COMPUTED_VALUE"""),10)</f>
        <v>10</v>
      </c>
      <c r="M1368" s="8" t="str">
        <f ca="1">IFERROR(__xludf.DUMMYFUNCTION("""COMPUTED_VALUE"""),"National")</f>
        <v>National</v>
      </c>
      <c r="N1368" s="8">
        <f ca="1">IFERROR(__xludf.DUMMYFUNCTION("""COMPUTED_VALUE"""),4)</f>
        <v>4</v>
      </c>
      <c r="O1368" s="8" t="str">
        <f ca="1">IFERROR(__xludf.DUMMYFUNCTION("""COMPUTED_VALUE"""),"Spring")</f>
        <v>Spring</v>
      </c>
      <c r="P1368" s="8" t="str">
        <f ca="1">IFERROR(__xludf.DUMMYFUNCTION("""COMPUTED_VALUE"""),"San Mateo")</f>
        <v>San Mateo</v>
      </c>
      <c r="Q1368" s="8" t="str">
        <f ca="1">IFERROR(__xludf.DUMMYFUNCTION("""COMPUTED_VALUE"""),"CA")</f>
        <v>CA</v>
      </c>
      <c r="R1368" s="8" t="str">
        <f ca="1">IFERROR(__xludf.DUMMYFUNCTION("""COMPUTED_VALUE"""),"High")</f>
        <v>High</v>
      </c>
      <c r="S1368" s="8" t="str">
        <f ca="1">IFERROR(__xludf.DUMMYFUNCTION("""COMPUTED_VALUE"""),"Parking Lot")</f>
        <v>Parking Lot</v>
      </c>
      <c r="T1368" s="8" t="str">
        <f ca="1">IFERROR(__xludf.DUMMYFUNCTION("""COMPUTED_VALUE"""),"Outside on School Property")</f>
        <v>Outside on School Property</v>
      </c>
      <c r="U1368" s="8" t="str">
        <f ca="1">IFERROR(__xludf.DUMMYFUNCTION("""COMPUTED_VALUE"""),"No")</f>
        <v>No</v>
      </c>
      <c r="V1368" s="8" t="str">
        <f ca="1">IFERROR(__xludf.DUMMYFUNCTION("""COMPUTED_VALUE"""),"Night")</f>
        <v>Night</v>
      </c>
      <c r="W1368" s="11">
        <f ca="1">IFERROR(__xludf.DUMMYFUNCTION("""COMPUTED_VALUE"""),0.875)</f>
        <v>0.875</v>
      </c>
      <c r="X1368" s="8">
        <f ca="1">IFERROR(__xludf.DUMMYFUNCTION("""COMPUTED_VALUE"""),1)</f>
        <v>1</v>
      </c>
      <c r="Y1368" s="12" t="str">
        <f ca="1">IFERROR(__xludf.DUMMYFUNCTION("""COMPUTED_VALUE"""),"Teen fatally shot inside car in the school parking lot during attempted carjacking")</f>
        <v>Teen fatally shot inside car in the school parking lot during attempted carjacking</v>
      </c>
      <c r="Z1368" s="12" t="str">
        <f ca="1">IFERROR(__xludf.DUMMYFUNCTION("""COMPUTED_VALUE"""),"A 19-year-old male was fatally shot inside a vehicle in the parking lot of the school. 3 suspects attempted carjacking and were seen running from the scene. School was closed at the time of the shooting. Victim's girlfriend was also inside the vehicle at "&amp;"the time of the shooting.")</f>
        <v>A 19-year-old male was fatally shot inside a vehicle in the parking lot of the school. 3 suspects attempted carjacking and were seen running from the scene. School was closed at the time of the shooting. Victim's girlfriend was also inside the vehicle at the time of the shooting.</v>
      </c>
      <c r="AA1368" s="8" t="str">
        <f ca="1">IFERROR(__xludf.DUMMYFUNCTION("""COMPUTED_VALUE"""),"Illegal Activity")</f>
        <v>Illegal Activity</v>
      </c>
      <c r="AB1368" s="8"/>
      <c r="AC1368" s="8" t="str">
        <f ca="1">IFERROR(__xludf.DUMMYFUNCTION("""COMPUTED_VALUE"""),"Yes")</f>
        <v>Yes</v>
      </c>
      <c r="AD1368" s="8" t="str">
        <f ca="1">IFERROR(__xludf.DUMMYFUNCTION("""COMPUTED_VALUE"""),"Victims Targeted")</f>
        <v>Victims Targeted</v>
      </c>
      <c r="AE1368" s="8" t="str">
        <f ca="1">IFERROR(__xludf.DUMMYFUNCTION("""COMPUTED_VALUE"""),"Yes")</f>
        <v>Yes</v>
      </c>
      <c r="AF1368" s="8" t="str">
        <f ca="1">IFERROR(__xludf.DUMMYFUNCTION("""COMPUTED_VALUE"""),"3 suspects ran from the scene")</f>
        <v>3 suspects ran from the scene</v>
      </c>
      <c r="AG1368" s="8" t="str">
        <f ca="1">IFERROR(__xludf.DUMMYFUNCTION("""COMPUTED_VALUE"""),"No")</f>
        <v>No</v>
      </c>
      <c r="AH1368" s="8" t="str">
        <f ca="1">IFERROR(__xludf.DUMMYFUNCTION("""COMPUTED_VALUE"""),"No")</f>
        <v>No</v>
      </c>
      <c r="AI1368" s="8" t="str">
        <f ca="1">IFERROR(__xludf.DUMMYFUNCTION("""COMPUTED_VALUE"""),"No")</f>
        <v>No</v>
      </c>
      <c r="AJ1368" s="8" t="str">
        <f ca="1">IFERROR(__xludf.DUMMYFUNCTION("""COMPUTED_VALUE"""),"No")</f>
        <v>No</v>
      </c>
      <c r="AK1368" s="8" t="str">
        <f ca="1">IFERROR(__xludf.DUMMYFUNCTION("""COMPUTED_VALUE"""),"No")</f>
        <v>No</v>
      </c>
      <c r="AL1368" s="8"/>
      <c r="AM1368" s="8" t="str">
        <f ca="1">IFERROR(__xludf.DUMMYFUNCTION("""COMPUTED_VALUE"""),"No")</f>
        <v>No</v>
      </c>
      <c r="AN1368" s="8"/>
      <c r="AO1368" s="8" t="str">
        <f ca="1">IFERROR(__xludf.DUMMYFUNCTION("""COMPUTED_VALUE"""),"No")</f>
        <v>No</v>
      </c>
      <c r="AP1368" s="8"/>
      <c r="AQ1368" s="8"/>
      <c r="AR1368" s="8" t="str">
        <f ca="1">IFERROR(__xludf.DUMMYFUNCTION("""COMPUTED_VALUE"""),"Outside/Off-Property")</f>
        <v>Outside/Off-Property</v>
      </c>
      <c r="AS1368" s="8"/>
      <c r="AT1368" s="8"/>
      <c r="AU1368" s="8">
        <f ca="1">IFERROR(__xludf.DUMMYFUNCTION("""COMPUTED_VALUE"""),37.576432)</f>
        <v>37.576431999999997</v>
      </c>
      <c r="AV1368" s="8">
        <f ca="1">IFERROR(__xludf.DUMMYFUNCTION("""COMPUTED_VALUE"""),-122.329024)</f>
        <v>-122.329024</v>
      </c>
      <c r="AW1368" s="8"/>
      <c r="AX1368" s="8">
        <f ca="1">IFERROR(__xludf.DUMMYFUNCTION("""COMPUTED_VALUE"""),94401)</f>
        <v>94401</v>
      </c>
    </row>
    <row r="1369" spans="1:50" ht="75" x14ac:dyDescent="0.2">
      <c r="A1369" s="8" t="str">
        <f ca="1">IFERROR(__xludf.DUMMYFUNCTION("""COMPUTED_VALUE"""),"20210511NYPSB")</f>
        <v>20210511NYPSB</v>
      </c>
      <c r="B1369" s="8">
        <f ca="1">IFERROR(__xludf.DUMMYFUNCTION("""COMPUTED_VALUE"""),5)</f>
        <v>5</v>
      </c>
      <c r="C1369" s="8">
        <f ca="1">IFERROR(__xludf.DUMMYFUNCTION("""COMPUTED_VALUE"""),11)</f>
        <v>11</v>
      </c>
      <c r="D1369" s="8">
        <f ca="1">IFERROR(__xludf.DUMMYFUNCTION("""COMPUTED_VALUE"""),2021)</f>
        <v>2021</v>
      </c>
      <c r="E1369" s="9">
        <f ca="1">IFERROR(__xludf.DUMMYFUNCTION("""COMPUTED_VALUE"""),44327)</f>
        <v>44327</v>
      </c>
      <c r="F1369" s="8" t="str">
        <f ca="1">IFERROR(__xludf.DUMMYFUNCTION("""COMPUTED_VALUE"""),"P.S. 178 Saint Clair Mckelway Grade School")</f>
        <v>P.S. 178 Saint Clair Mckelway Grade School</v>
      </c>
      <c r="G1369" s="8">
        <f ca="1">IFERROR(__xludf.DUMMYFUNCTION("""COMPUTED_VALUE"""),0)</f>
        <v>0</v>
      </c>
      <c r="H1369" s="8">
        <f ca="1">IFERROR(__xludf.DUMMYFUNCTION("""COMPUTED_VALUE"""),1)</f>
        <v>1</v>
      </c>
      <c r="I1369" s="8">
        <f ca="1">IFERROR(__xludf.DUMMYFUNCTION("""COMPUTED_VALUE"""),1)</f>
        <v>1</v>
      </c>
      <c r="J1369" s="8">
        <f ca="1">IFERROR(__xludf.DUMMYFUNCTION("""COMPUTED_VALUE"""),0)</f>
        <v>0</v>
      </c>
      <c r="K1369" s="8" t="str">
        <f ca="1">IFERROR(__xludf.DUMMYFUNCTION("""COMPUTED_VALUE"""),"https://nypost.com/2021/05/11/four-people-shot-including-two-teens-in-nyc-shootings/ https://twitter.com/NYPDnews/status/1397704104932220929 https://www.audacy.com/1010wins/news/local/police-search-for-teen-in-skull-mask-in-brooklyn-shooting https://pix11"&amp;".com/news/local-news/brooklyn/16-year-old-shot-outside-school-brownsville-suspect-images/")</f>
        <v>https://nypost.com/2021/05/11/four-people-shot-including-two-teens-in-nyc-shootings/ https://twitter.com/NYPDnews/status/1397704104932220929 https://www.audacy.com/1010wins/news/local/police-search-for-teen-in-skull-mask-in-brooklyn-shooting https://pix11.com/news/local-news/brooklyn/16-year-old-shot-outside-school-brownsville-suspect-images/</v>
      </c>
      <c r="L1369" s="8">
        <f ca="1">IFERROR(__xludf.DUMMYFUNCTION("""COMPUTED_VALUE"""),3)</f>
        <v>3</v>
      </c>
      <c r="M1369" s="8" t="str">
        <f ca="1">IFERROR(__xludf.DUMMYFUNCTION("""COMPUTED_VALUE"""),"Local")</f>
        <v>Local</v>
      </c>
      <c r="N1369" s="8">
        <f ca="1">IFERROR(__xludf.DUMMYFUNCTION("""COMPUTED_VALUE"""),4)</f>
        <v>4</v>
      </c>
      <c r="O1369" s="8" t="str">
        <f ca="1">IFERROR(__xludf.DUMMYFUNCTION("""COMPUTED_VALUE"""),"Spring")</f>
        <v>Spring</v>
      </c>
      <c r="P1369" s="8" t="str">
        <f ca="1">IFERROR(__xludf.DUMMYFUNCTION("""COMPUTED_VALUE"""),"Brooklyn")</f>
        <v>Brooklyn</v>
      </c>
      <c r="Q1369" s="8" t="str">
        <f ca="1">IFERROR(__xludf.DUMMYFUNCTION("""COMPUTED_VALUE"""),"NY")</f>
        <v>NY</v>
      </c>
      <c r="R1369" s="8" t="str">
        <f ca="1">IFERROR(__xludf.DUMMYFUNCTION("""COMPUTED_VALUE"""),"K-8")</f>
        <v>K-8</v>
      </c>
      <c r="S1369" s="8" t="str">
        <f ca="1">IFERROR(__xludf.DUMMYFUNCTION("""COMPUTED_VALUE"""),"Front of School")</f>
        <v>Front of School</v>
      </c>
      <c r="T1369" s="8" t="str">
        <f ca="1">IFERROR(__xludf.DUMMYFUNCTION("""COMPUTED_VALUE"""),"Outside on School Property")</f>
        <v>Outside on School Property</v>
      </c>
      <c r="U1369" s="8" t="str">
        <f ca="1">IFERROR(__xludf.DUMMYFUNCTION("""COMPUTED_VALUE"""),"No")</f>
        <v>No</v>
      </c>
      <c r="V1369" s="8" t="str">
        <f ca="1">IFERROR(__xludf.DUMMYFUNCTION("""COMPUTED_VALUE"""),"Evening")</f>
        <v>Evening</v>
      </c>
      <c r="W1369" s="11">
        <f ca="1">IFERROR(__xludf.DUMMYFUNCTION("""COMPUTED_VALUE"""),0.709722222222222)</f>
        <v>0.70972222222222203</v>
      </c>
      <c r="X1369" s="8">
        <f ca="1">IFERROR(__xludf.DUMMYFUNCTION("""COMPUTED_VALUE"""),1)</f>
        <v>1</v>
      </c>
      <c r="Y1369" s="12" t="str">
        <f ca="1">IFERROR(__xludf.DUMMYFUNCTION("""COMPUTED_VALUE"""),"Teen shot in front of school during fight that escalated into shooting")</f>
        <v>Teen shot in front of school during fight that escalated into shooting</v>
      </c>
      <c r="Z1369" s="12" t="str">
        <f ca="1">IFERROR(__xludf.DUMMYFUNCTION("""COMPUTED_VALUE"""),"16 year-old-male was involved in an argument with another teen. The teen pulled out a handgun, shot the victim in the leg, and then fled the scene. CCTV showed a shooter wearing a mask and police have not been able to identify the suspect.")</f>
        <v>16 year-old-male was involved in an argument with another teen. The teen pulled out a handgun, shot the victim in the leg, and then fled the scene. CCTV showed a shooter wearing a mask and police have not been able to identify the suspect.</v>
      </c>
      <c r="AA1369" s="8" t="str">
        <f ca="1">IFERROR(__xludf.DUMMYFUNCTION("""COMPUTED_VALUE"""),"Escalation of Dispute")</f>
        <v>Escalation of Dispute</v>
      </c>
      <c r="AB1369" s="8"/>
      <c r="AC1369" s="8" t="str">
        <f ca="1">IFERROR(__xludf.DUMMYFUNCTION("""COMPUTED_VALUE"""),"No")</f>
        <v>No</v>
      </c>
      <c r="AD1369" s="8" t="str">
        <f ca="1">IFERROR(__xludf.DUMMYFUNCTION("""COMPUTED_VALUE"""),"Victims Targeted")</f>
        <v>Victims Targeted</v>
      </c>
      <c r="AE1369" s="8" t="str">
        <f ca="1">IFERROR(__xludf.DUMMYFUNCTION("""COMPUTED_VALUE"""),"No")</f>
        <v>No</v>
      </c>
      <c r="AF1369" s="8"/>
      <c r="AG1369" s="8"/>
      <c r="AH1369" s="8" t="str">
        <f ca="1">IFERROR(__xludf.DUMMYFUNCTION("""COMPUTED_VALUE"""),"No")</f>
        <v>No</v>
      </c>
      <c r="AI1369" s="8" t="str">
        <f ca="1">IFERROR(__xludf.DUMMYFUNCTION("""COMPUTED_VALUE"""),"No")</f>
        <v>No</v>
      </c>
      <c r="AJ1369" s="8" t="str">
        <f ca="1">IFERROR(__xludf.DUMMYFUNCTION("""COMPUTED_VALUE"""),"No")</f>
        <v>No</v>
      </c>
      <c r="AK1369" s="8" t="str">
        <f ca="1">IFERROR(__xludf.DUMMYFUNCTION("""COMPUTED_VALUE"""),"No")</f>
        <v>No</v>
      </c>
      <c r="AL1369" s="8"/>
      <c r="AM1369" s="8" t="str">
        <f ca="1">IFERROR(__xludf.DUMMYFUNCTION("""COMPUTED_VALUE"""),"No")</f>
        <v>No</v>
      </c>
      <c r="AN1369" s="8"/>
      <c r="AO1369" s="8" t="str">
        <f ca="1">IFERROR(__xludf.DUMMYFUNCTION("""COMPUTED_VALUE"""),"No")</f>
        <v>No</v>
      </c>
      <c r="AP1369" s="8"/>
      <c r="AQ1369" s="8"/>
      <c r="AR1369" s="8" t="str">
        <f ca="1">IFERROR(__xludf.DUMMYFUNCTION("""COMPUTED_VALUE"""),"Outside/Off-Property")</f>
        <v>Outside/Off-Property</v>
      </c>
      <c r="AS1369" s="8">
        <f ca="1">IFERROR(__xludf.DUMMYFUNCTION("""COMPUTED_VALUE"""),1)</f>
        <v>1</v>
      </c>
      <c r="AT1369" s="8"/>
      <c r="AU1369" s="8">
        <f ca="1">IFERROR(__xludf.DUMMYFUNCTION("""COMPUTED_VALUE"""),40.675034)</f>
        <v>40.675033999999997</v>
      </c>
      <c r="AV1369" s="8">
        <f ca="1">IFERROR(__xludf.DUMMYFUNCTION("""COMPUTED_VALUE"""),-73.915533)</f>
        <v>-73.915532999999996</v>
      </c>
      <c r="AW1369" s="8"/>
      <c r="AX1369" s="8">
        <f ca="1">IFERROR(__xludf.DUMMYFUNCTION("""COMPUTED_VALUE"""),11233)</f>
        <v>11233</v>
      </c>
    </row>
    <row r="1370" spans="1:50" ht="60" x14ac:dyDescent="0.2">
      <c r="A1370" s="8" t="str">
        <f ca="1">IFERROR(__xludf.DUMMYFUNCTION("""COMPUTED_VALUE"""),"20210511CAVEL")</f>
        <v>20210511CAVEL</v>
      </c>
      <c r="B1370" s="8">
        <f ca="1">IFERROR(__xludf.DUMMYFUNCTION("""COMPUTED_VALUE"""),5)</f>
        <v>5</v>
      </c>
      <c r="C1370" s="8">
        <f ca="1">IFERROR(__xludf.DUMMYFUNCTION("""COMPUTED_VALUE"""),11)</f>
        <v>11</v>
      </c>
      <c r="D1370" s="8">
        <f ca="1">IFERROR(__xludf.DUMMYFUNCTION("""COMPUTED_VALUE"""),2021)</f>
        <v>2021</v>
      </c>
      <c r="E1370" s="9">
        <f ca="1">IFERROR(__xludf.DUMMYFUNCTION("""COMPUTED_VALUE"""),44327)</f>
        <v>44327</v>
      </c>
      <c r="F1370" s="8" t="str">
        <f ca="1">IFERROR(__xludf.DUMMYFUNCTION("""COMPUTED_VALUE"""),"Verbum Dei High School")</f>
        <v>Verbum Dei High School</v>
      </c>
      <c r="G1370" s="8">
        <f ca="1">IFERROR(__xludf.DUMMYFUNCTION("""COMPUTED_VALUE"""),0)</f>
        <v>0</v>
      </c>
      <c r="H1370" s="8">
        <f ca="1">IFERROR(__xludf.DUMMYFUNCTION("""COMPUTED_VALUE"""),0)</f>
        <v>0</v>
      </c>
      <c r="I1370" s="8">
        <f ca="1">IFERROR(__xludf.DUMMYFUNCTION("""COMPUTED_VALUE"""),0)</f>
        <v>0</v>
      </c>
      <c r="J1370" s="8">
        <f ca="1">IFERROR(__xludf.DUMMYFUNCTION("""COMPUTED_VALUE"""),0)</f>
        <v>0</v>
      </c>
      <c r="K1370" s="8" t="str">
        <f ca="1">IFERROR(__xludf.DUMMYFUNCTION("""COMPUTED_VALUE"""),"https://abc7.com/bus-carrying-high-school-students-shot-at-on-105-fwy/10627430/ https://www.loscerritosnews.net/2021/05/14/verbum-dei-hs-bus-carrying-shot-at-on-105-freeway-in-bellflower/")</f>
        <v>https://abc7.com/bus-carrying-high-school-students-shot-at-on-105-fwy/10627430/ https://www.loscerritosnews.net/2021/05/14/verbum-dei-hs-bus-carrying-shot-at-on-105-freeway-in-bellflower/</v>
      </c>
      <c r="L1370" s="8">
        <f ca="1">IFERROR(__xludf.DUMMYFUNCTION("""COMPUTED_VALUE"""),2)</f>
        <v>2</v>
      </c>
      <c r="M1370" s="8" t="str">
        <f ca="1">IFERROR(__xludf.DUMMYFUNCTION("""COMPUTED_VALUE"""),"Local")</f>
        <v>Local</v>
      </c>
      <c r="N1370" s="8">
        <f ca="1">IFERROR(__xludf.DUMMYFUNCTION("""COMPUTED_VALUE"""),4)</f>
        <v>4</v>
      </c>
      <c r="O1370" s="8" t="str">
        <f ca="1">IFERROR(__xludf.DUMMYFUNCTION("""COMPUTED_VALUE"""),"Spring")</f>
        <v>Spring</v>
      </c>
      <c r="P1370" s="8" t="str">
        <f ca="1">IFERROR(__xludf.DUMMYFUNCTION("""COMPUTED_VALUE"""),"Los Angeles")</f>
        <v>Los Angeles</v>
      </c>
      <c r="Q1370" s="8" t="str">
        <f ca="1">IFERROR(__xludf.DUMMYFUNCTION("""COMPUTED_VALUE"""),"CA")</f>
        <v>CA</v>
      </c>
      <c r="R1370" s="8" t="str">
        <f ca="1">IFERROR(__xludf.DUMMYFUNCTION("""COMPUTED_VALUE"""),"High")</f>
        <v>High</v>
      </c>
      <c r="S1370" s="8" t="str">
        <f ca="1">IFERROR(__xludf.DUMMYFUNCTION("""COMPUTED_VALUE"""),"School Bus")</f>
        <v>School Bus</v>
      </c>
      <c r="T1370" s="8" t="str">
        <f ca="1">IFERROR(__xludf.DUMMYFUNCTION("""COMPUTED_VALUE"""),"School Bus")</f>
        <v>School Bus</v>
      </c>
      <c r="U1370" s="8" t="str">
        <f ca="1">IFERROR(__xludf.DUMMYFUNCTION("""COMPUTED_VALUE"""),"Yes")</f>
        <v>Yes</v>
      </c>
      <c r="V1370" s="8" t="str">
        <f ca="1">IFERROR(__xludf.DUMMYFUNCTION("""COMPUTED_VALUE"""),"Afternoon Classes")</f>
        <v>Afternoon Classes</v>
      </c>
      <c r="W1370" s="11">
        <f ca="1">IFERROR(__xludf.DUMMYFUNCTION("""COMPUTED_VALUE"""),0.625)</f>
        <v>0.625</v>
      </c>
      <c r="X1370" s="8">
        <f ca="1">IFERROR(__xludf.DUMMYFUNCTION("""COMPUTED_VALUE"""),1)</f>
        <v>1</v>
      </c>
      <c r="Y1370" s="12" t="str">
        <f ca="1">IFERROR(__xludf.DUMMYFUNCTION("""COMPUTED_VALUE"""),"School bus windows shot by pellet gun on freeway")</f>
        <v>School bus windows shot by pellet gun on freeway</v>
      </c>
      <c r="Z1370" s="12" t="str">
        <f ca="1">IFERROR(__xludf.DUMMYFUNCTION("""COMPUTED_VALUE"""),"A charter bus carrying shot school students was shot by a pellet gun multiple times on the freeway. No injuries. $8,000 in damage to the bus.")</f>
        <v>A charter bus carrying shot school students was shot by a pellet gun multiple times on the freeway. No injuries. $8,000 in damage to the bus.</v>
      </c>
      <c r="AA1370" s="8" t="str">
        <f ca="1">IFERROR(__xludf.DUMMYFUNCTION("""COMPUTED_VALUE"""),"Intentional Property Damage")</f>
        <v>Intentional Property Damage</v>
      </c>
      <c r="AB1370" s="8"/>
      <c r="AC1370" s="8" t="str">
        <f ca="1">IFERROR(__xludf.DUMMYFUNCTION("""COMPUTED_VALUE"""),"Yes")</f>
        <v>Yes</v>
      </c>
      <c r="AD1370" s="8" t="str">
        <f ca="1">IFERROR(__xludf.DUMMYFUNCTION("""COMPUTED_VALUE"""),"Random Shooting")</f>
        <v>Random Shooting</v>
      </c>
      <c r="AE1370" s="8" t="str">
        <f ca="1">IFERROR(__xludf.DUMMYFUNCTION("""COMPUTED_VALUE"""),"No")</f>
        <v>No</v>
      </c>
      <c r="AF1370" s="8"/>
      <c r="AG1370" s="8" t="str">
        <f ca="1">IFERROR(__xludf.DUMMYFUNCTION("""COMPUTED_VALUE"""),"No")</f>
        <v>No</v>
      </c>
      <c r="AH1370" s="8" t="str">
        <f ca="1">IFERROR(__xludf.DUMMYFUNCTION("""COMPUTED_VALUE"""),"No")</f>
        <v>No</v>
      </c>
      <c r="AI1370" s="8" t="str">
        <f ca="1">IFERROR(__xludf.DUMMYFUNCTION("""COMPUTED_VALUE"""),"No")</f>
        <v>No</v>
      </c>
      <c r="AJ1370" s="8" t="str">
        <f ca="1">IFERROR(__xludf.DUMMYFUNCTION("""COMPUTED_VALUE"""),"No")</f>
        <v>No</v>
      </c>
      <c r="AK1370" s="8" t="str">
        <f ca="1">IFERROR(__xludf.DUMMYFUNCTION("""COMPUTED_VALUE"""),"No")</f>
        <v>No</v>
      </c>
      <c r="AL1370" s="8" t="str">
        <f ca="1">IFERROR(__xludf.DUMMYFUNCTION("""COMPUTED_VALUE"""),"No")</f>
        <v>No</v>
      </c>
      <c r="AM1370" s="8" t="str">
        <f ca="1">IFERROR(__xludf.DUMMYFUNCTION("""COMPUTED_VALUE"""),"No")</f>
        <v>No</v>
      </c>
      <c r="AN1370" s="8"/>
      <c r="AO1370" s="8" t="str">
        <f ca="1">IFERROR(__xludf.DUMMYFUNCTION("""COMPUTED_VALUE"""),"No")</f>
        <v>No</v>
      </c>
      <c r="AP1370" s="8"/>
      <c r="AQ1370" s="8"/>
      <c r="AR1370" s="8"/>
      <c r="AS1370" s="8"/>
      <c r="AT1370" s="8"/>
      <c r="AU1370" s="8">
        <f ca="1">IFERROR(__xludf.DUMMYFUNCTION("""COMPUTED_VALUE"""),33.933831)</f>
        <v>33.933830999999998</v>
      </c>
      <c r="AV1370" s="8">
        <f ca="1">IFERROR(__xludf.DUMMYFUNCTION("""COMPUTED_VALUE"""),-118.253387)</f>
        <v>-118.253387</v>
      </c>
      <c r="AW1370" s="8"/>
      <c r="AX1370" s="8">
        <f ca="1">IFERROR(__xludf.DUMMYFUNCTION("""COMPUTED_VALUE"""),90059)</f>
        <v>90059</v>
      </c>
    </row>
    <row r="1371" spans="1:50" ht="165" x14ac:dyDescent="0.2">
      <c r="A1371" s="8" t="str">
        <f ca="1">IFERROR(__xludf.DUMMYFUNCTION("""COMPUTED_VALUE"""),"20210506SCFOC")</f>
        <v>20210506SCFOC</v>
      </c>
      <c r="B1371" s="8">
        <f ca="1">IFERROR(__xludf.DUMMYFUNCTION("""COMPUTED_VALUE"""),5)</f>
        <v>5</v>
      </c>
      <c r="C1371" s="8">
        <f ca="1">IFERROR(__xludf.DUMMYFUNCTION("""COMPUTED_VALUE"""),6)</f>
        <v>6</v>
      </c>
      <c r="D1371" s="8">
        <f ca="1">IFERROR(__xludf.DUMMYFUNCTION("""COMPUTED_VALUE"""),2021)</f>
        <v>2021</v>
      </c>
      <c r="E1371" s="9">
        <f ca="1">IFERROR(__xludf.DUMMYFUNCTION("""COMPUTED_VALUE"""),44322)</f>
        <v>44322</v>
      </c>
      <c r="F1371" s="8" t="str">
        <f ca="1">IFERROR(__xludf.DUMMYFUNCTION("""COMPUTED_VALUE"""),"Forest Lake Elementary")</f>
        <v>Forest Lake Elementary</v>
      </c>
      <c r="G1371" s="8">
        <f ca="1">IFERROR(__xludf.DUMMYFUNCTION("""COMPUTED_VALUE"""),0)</f>
        <v>0</v>
      </c>
      <c r="H1371" s="8">
        <f ca="1">IFERROR(__xludf.DUMMYFUNCTION("""COMPUTED_VALUE"""),0)</f>
        <v>0</v>
      </c>
      <c r="I1371" s="8">
        <f ca="1">IFERROR(__xludf.DUMMYFUNCTION("""COMPUTED_VALUE"""),0)</f>
        <v>0</v>
      </c>
      <c r="J1371" s="8">
        <f ca="1">IFERROR(__xludf.DUMMYFUNCTION("""COMPUTED_VALUE"""),0)</f>
        <v>0</v>
      </c>
      <c r="K1371" s="10" t="str">
        <f ca="1">IFERROR(__xludf.DUMMYFUNCTION("""COMPUTED_VALUE"""),"https://www.wistv.com/2021/05/06/fort-jackson-trainee-arrested-after-emergency-incident-school-bus-full-children/ https://www.nbcnews.com/news/amp/ncna1266514
https://abcnews.go.com/US/wireStory/soldier-hijacked-school-bus-found-guilty-insanity-97829956")</f>
        <v>https://www.wistv.com/2021/05/06/fort-jackson-trainee-arrested-after-emergency-incident-school-bus-full-children/ https://www.nbcnews.com/news/amp/ncna1266514
https://abcnews.go.com/US/wireStory/soldier-hijacked-school-bus-found-guilty-insanity-97829956</v>
      </c>
      <c r="L1371" s="8">
        <f ca="1">IFERROR(__xludf.DUMMYFUNCTION("""COMPUTED_VALUE"""),100)</f>
        <v>100</v>
      </c>
      <c r="M1371" s="8" t="str">
        <f ca="1">IFERROR(__xludf.DUMMYFUNCTION("""COMPUTED_VALUE"""),"National")</f>
        <v>National</v>
      </c>
      <c r="N1371" s="8">
        <f ca="1">IFERROR(__xludf.DUMMYFUNCTION("""COMPUTED_VALUE"""),4)</f>
        <v>4</v>
      </c>
      <c r="O1371" s="8" t="str">
        <f ca="1">IFERROR(__xludf.DUMMYFUNCTION("""COMPUTED_VALUE"""),"Spring")</f>
        <v>Spring</v>
      </c>
      <c r="P1371" s="8" t="str">
        <f ca="1">IFERROR(__xludf.DUMMYFUNCTION("""COMPUTED_VALUE"""),"Columbia")</f>
        <v>Columbia</v>
      </c>
      <c r="Q1371" s="8" t="str">
        <f ca="1">IFERROR(__xludf.DUMMYFUNCTION("""COMPUTED_VALUE"""),"SC")</f>
        <v>SC</v>
      </c>
      <c r="R1371" s="8" t="str">
        <f ca="1">IFERROR(__xludf.DUMMYFUNCTION("""COMPUTED_VALUE"""),"Elementary")</f>
        <v>Elementary</v>
      </c>
      <c r="S1371" s="8" t="str">
        <f ca="1">IFERROR(__xludf.DUMMYFUNCTION("""COMPUTED_VALUE"""),"School Bus")</f>
        <v>School Bus</v>
      </c>
      <c r="T1371" s="8" t="str">
        <f ca="1">IFERROR(__xludf.DUMMYFUNCTION("""COMPUTED_VALUE"""),"School Bus")</f>
        <v>School Bus</v>
      </c>
      <c r="U1371" s="8" t="str">
        <f ca="1">IFERROR(__xludf.DUMMYFUNCTION("""COMPUTED_VALUE"""),"Yes")</f>
        <v>Yes</v>
      </c>
      <c r="V1371" s="8" t="str">
        <f ca="1">IFERROR(__xludf.DUMMYFUNCTION("""COMPUTED_VALUE"""),"Before School")</f>
        <v>Before School</v>
      </c>
      <c r="W1371" s="11">
        <f ca="1">IFERROR(__xludf.DUMMYFUNCTION("""COMPUTED_VALUE"""),0.291666666666666)</f>
        <v>0.29166666666666602</v>
      </c>
      <c r="X1371" s="8">
        <f ca="1">IFERROR(__xludf.DUMMYFUNCTION("""COMPUTED_VALUE"""),6)</f>
        <v>6</v>
      </c>
      <c r="Y1371" s="12" t="str">
        <f ca="1">IFERROR(__xludf.DUMMYFUNCTION("""COMPUTED_VALUE"""),"Army trainee jumped the fence of the fort with a rifle then hijacked school bus full of students")</f>
        <v>Army trainee jumped the fence of the fort with a rifle then hijacked school bus full of students</v>
      </c>
      <c r="Z1371" s="12" t="str">
        <f ca="1">IFERROR(__xludf.DUMMYFUNCTION("""COMPUTED_VALUE"""),"A 23-year-old Army trainee jumped over the fence of Fort Jackson wearing his physical training uniform and armed with a rifle. He stopped a school bus, got on the bus, and ordered the driver to take him to the next town. When the driver refused, the shoot"&amp;"er became frustrated. He forced all 18 students to come to the front of the bus and continued to threaten the driver. He then ordered the students and the driver off of the bus and drove it a short distance before abandoning it. He fled on foot and was ar"&amp;"rested. After the incident, officials determined that the rifle was not loaded. No shots were fired and no students were injured.")</f>
        <v>A 23-year-old Army trainee jumped over the fence of Fort Jackson wearing his physical training uniform and armed with a rifle. He stopped a school bus, got on the bus, and ordered the driver to take him to the next town. When the driver refused, the shooter became frustrated. He forced all 18 students to come to the front of the bus and continued to threaten the driver. He then ordered the students and the driver off of the bus and drove it a short distance before abandoning it. He fled on foot and was arrested. After the incident, officials determined that the rifle was not loaded. No shots were fired and no students were injured.</v>
      </c>
      <c r="AA1371" s="8" t="str">
        <f ca="1">IFERROR(__xludf.DUMMYFUNCTION("""COMPUTED_VALUE"""),"Hostage/Standoff")</f>
        <v>Hostage/Standoff</v>
      </c>
      <c r="AB1371" s="8"/>
      <c r="AC1371" s="8" t="str">
        <f ca="1">IFERROR(__xludf.DUMMYFUNCTION("""COMPUTED_VALUE"""),"Yes")</f>
        <v>Yes</v>
      </c>
      <c r="AD1371" s="8" t="str">
        <f ca="1">IFERROR(__xludf.DUMMYFUNCTION("""COMPUTED_VALUE"""),"Random Shooting")</f>
        <v>Random Shooting</v>
      </c>
      <c r="AE1371" s="8" t="str">
        <f ca="1">IFERROR(__xludf.DUMMYFUNCTION("""COMPUTED_VALUE"""),"No")</f>
        <v>No</v>
      </c>
      <c r="AF1371" s="8"/>
      <c r="AG1371" s="8" t="str">
        <f ca="1">IFERROR(__xludf.DUMMYFUNCTION("""COMPUTED_VALUE"""),"Yes")</f>
        <v>Yes</v>
      </c>
      <c r="AH1371" s="8" t="str">
        <f ca="1">IFERROR(__xludf.DUMMYFUNCTION("""COMPUTED_VALUE"""),"No")</f>
        <v>No</v>
      </c>
      <c r="AI1371" s="8" t="str">
        <f ca="1">IFERROR(__xludf.DUMMYFUNCTION("""COMPUTED_VALUE"""),"No")</f>
        <v>No</v>
      </c>
      <c r="AJ1371" s="8" t="str">
        <f ca="1">IFERROR(__xludf.DUMMYFUNCTION("""COMPUTED_VALUE"""),"No")</f>
        <v>No</v>
      </c>
      <c r="AK1371" s="8" t="str">
        <f ca="1">IFERROR(__xludf.DUMMYFUNCTION("""COMPUTED_VALUE"""),"No")</f>
        <v>No</v>
      </c>
      <c r="AL1371" s="8" t="str">
        <f ca="1">IFERROR(__xludf.DUMMYFUNCTION("""COMPUTED_VALUE"""),"No")</f>
        <v>No</v>
      </c>
      <c r="AM1371" s="8" t="str">
        <f ca="1">IFERROR(__xludf.DUMMYFUNCTION("""COMPUTED_VALUE"""),"Yes")</f>
        <v>Yes</v>
      </c>
      <c r="AN1371" s="8"/>
      <c r="AO1371" s="8" t="str">
        <f ca="1">IFERROR(__xludf.DUMMYFUNCTION("""COMPUTED_VALUE"""),"No")</f>
        <v>No</v>
      </c>
      <c r="AP1371" s="8"/>
      <c r="AQ1371" s="8"/>
      <c r="AR1371" s="8" t="str">
        <f ca="1">IFERROR(__xludf.DUMMYFUNCTION("""COMPUTED_VALUE"""),"Outside/Off-Property")</f>
        <v>Outside/Off-Property</v>
      </c>
      <c r="AS1371" s="8">
        <f ca="1">IFERROR(__xludf.DUMMYFUNCTION("""COMPUTED_VALUE"""),0)</f>
        <v>0</v>
      </c>
      <c r="AT1371" s="8"/>
      <c r="AU1371" s="8">
        <f ca="1">IFERROR(__xludf.DUMMYFUNCTION("""COMPUTED_VALUE"""),34.051306)</f>
        <v>34.051305999999997</v>
      </c>
      <c r="AV1371" s="8">
        <f ca="1">IFERROR(__xludf.DUMMYFUNCTION("""COMPUTED_VALUE"""),-80.950987)</f>
        <v>-80.950986999999998</v>
      </c>
      <c r="AW1371" s="8"/>
      <c r="AX1371" s="8">
        <f ca="1">IFERROR(__xludf.DUMMYFUNCTION("""COMPUTED_VALUE"""),29206)</f>
        <v>29206</v>
      </c>
    </row>
    <row r="1372" spans="1:50" ht="195" x14ac:dyDescent="0.2">
      <c r="A1372" s="8" t="str">
        <f ca="1">IFERROR(__xludf.DUMMYFUNCTION("""COMPUTED_VALUE"""),"20210506IDRIR")</f>
        <v>20210506IDRIR</v>
      </c>
      <c r="B1372" s="8">
        <f ca="1">IFERROR(__xludf.DUMMYFUNCTION("""COMPUTED_VALUE"""),5)</f>
        <v>5</v>
      </c>
      <c r="C1372" s="8">
        <f ca="1">IFERROR(__xludf.DUMMYFUNCTION("""COMPUTED_VALUE"""),6)</f>
        <v>6</v>
      </c>
      <c r="D1372" s="8">
        <f ca="1">IFERROR(__xludf.DUMMYFUNCTION("""COMPUTED_VALUE"""),2021)</f>
        <v>2021</v>
      </c>
      <c r="E1372" s="9">
        <f ca="1">IFERROR(__xludf.DUMMYFUNCTION("""COMPUTED_VALUE"""),44322)</f>
        <v>44322</v>
      </c>
      <c r="F1372" s="8" t="str">
        <f ca="1">IFERROR(__xludf.DUMMYFUNCTION("""COMPUTED_VALUE"""),"Rigby Middle School")</f>
        <v>Rigby Middle School</v>
      </c>
      <c r="G1372" s="8">
        <f ca="1">IFERROR(__xludf.DUMMYFUNCTION("""COMPUTED_VALUE"""),0)</f>
        <v>0</v>
      </c>
      <c r="H1372" s="8">
        <f ca="1">IFERROR(__xludf.DUMMYFUNCTION("""COMPUTED_VALUE"""),3)</f>
        <v>3</v>
      </c>
      <c r="I1372" s="8">
        <f ca="1">IFERROR(__xludf.DUMMYFUNCTION("""COMPUTED_VALUE"""),3)</f>
        <v>3</v>
      </c>
      <c r="J1372" s="8">
        <f ca="1">IFERROR(__xludf.DUMMYFUNCTION("""COMPUTED_VALUE"""),0)</f>
        <v>0</v>
      </c>
      <c r="K1372" s="8" t="str">
        <f ca="1">IFERROR(__xludf.DUMMYFUNCTION("""COMPUTED_VALUE"""),"https://localnews8.com/news/top-stories/2022/04/07/documents-shed-light-on-rigby-middle-school-shooting/ https://www.usatoday.com/story/news/nation/2021/05/06/rigby-middle-school-shooting-idaho-3-injured-student-custody/4973739001/ https://www.nbcnews.com"&amp;"/news/us-news/two-children-one-adult-wounded-idaho-middle-school-shooting-n1266544 https://apnews.com/article/idaho-rigby-middle-school-shooting-0f01cf5dc5aa04c3b2574a4c8379be9a?utm_medium=AP&amp;utm_source=Twitter&amp;utm_campaign=SocialFlow")</f>
        <v>https://localnews8.com/news/top-stories/2022/04/07/documents-shed-light-on-rigby-middle-school-shooting/ https://www.usatoday.com/story/news/nation/2021/05/06/rigby-middle-school-shooting-idaho-3-injured-student-custody/4973739001/ https://www.nbcnews.com/news/us-news/two-children-one-adult-wounded-idaho-middle-school-shooting-n1266544 https://apnews.com/article/idaho-rigby-middle-school-shooting-0f01cf5dc5aa04c3b2574a4c8379be9a?utm_medium=AP&amp;utm_source=Twitter&amp;utm_campaign=SocialFlow</v>
      </c>
      <c r="L1372" s="8">
        <f ca="1">IFERROR(__xludf.DUMMYFUNCTION("""COMPUTED_VALUE"""),500)</f>
        <v>500</v>
      </c>
      <c r="M1372" s="8" t="str">
        <f ca="1">IFERROR(__xludf.DUMMYFUNCTION("""COMPUTED_VALUE"""),"International")</f>
        <v>International</v>
      </c>
      <c r="N1372" s="8">
        <f ca="1">IFERROR(__xludf.DUMMYFUNCTION("""COMPUTED_VALUE"""),4)</f>
        <v>4</v>
      </c>
      <c r="O1372" s="8" t="str">
        <f ca="1">IFERROR(__xludf.DUMMYFUNCTION("""COMPUTED_VALUE"""),"Spring")</f>
        <v>Spring</v>
      </c>
      <c r="P1372" s="8" t="str">
        <f ca="1">IFERROR(__xludf.DUMMYFUNCTION("""COMPUTED_VALUE"""),"Rigby")</f>
        <v>Rigby</v>
      </c>
      <c r="Q1372" s="8" t="str">
        <f ca="1">IFERROR(__xludf.DUMMYFUNCTION("""COMPUTED_VALUE"""),"ID")</f>
        <v>ID</v>
      </c>
      <c r="R1372" s="8" t="str">
        <f ca="1">IFERROR(__xludf.DUMMYFUNCTION("""COMPUTED_VALUE"""),"Middle")</f>
        <v>Middle</v>
      </c>
      <c r="S1372" s="8" t="str">
        <f ca="1">IFERROR(__xludf.DUMMYFUNCTION("""COMPUTED_VALUE"""),"Inside School Building")</f>
        <v>Inside School Building</v>
      </c>
      <c r="T1372" s="8" t="str">
        <f ca="1">IFERROR(__xludf.DUMMYFUNCTION("""COMPUTED_VALUE"""),"Both Inside/Outside")</f>
        <v>Both Inside/Outside</v>
      </c>
      <c r="U1372" s="8" t="str">
        <f ca="1">IFERROR(__xludf.DUMMYFUNCTION("""COMPUTED_VALUE"""),"Yes")</f>
        <v>Yes</v>
      </c>
      <c r="V1372" s="8" t="str">
        <f ca="1">IFERROR(__xludf.DUMMYFUNCTION("""COMPUTED_VALUE"""),"Morning Classes")</f>
        <v>Morning Classes</v>
      </c>
      <c r="W1372" s="11">
        <f ca="1">IFERROR(__xludf.DUMMYFUNCTION("""COMPUTED_VALUE"""),0.385416666666666)</f>
        <v>0.38541666666666602</v>
      </c>
      <c r="X1372" s="8">
        <f ca="1">IFERROR(__xludf.DUMMYFUNCTION("""COMPUTED_VALUE"""),1)</f>
        <v>1</v>
      </c>
      <c r="Y1372" s="12" t="str">
        <f ca="1">IFERROR(__xludf.DUMMYFUNCTION("""COMPUTED_VALUE"""),"Female student pulled handgun from backpack and fired at 1 person inside the school and 2 people outside before being disarmed by a teacher")</f>
        <v>Female student pulled handgun from backpack and fired at 1 person inside the school and 2 people outside before being disarmed by a teacher</v>
      </c>
      <c r="Z1372" s="12" t="str">
        <f ca="1">IFERROR(__xludf.DUMMYFUNCTION("""COMPUTED_VALUE"""),"A 12-year-old female student pulled a handgun outside of her backpack inside the school and fired at one person. She then walked outside and fired at 2 more people. Students began to run away and she fired shots at them. Based on CCTV footage, she appeare"&amp;"d to target the first victims and then fire randomly at the fleeing students. Two students and the school janitor were injured. The shooter was disarmed by a female teacher who held her down until police arrived. All three victims were transported to the "&amp;"hospital in stable condition. She had a second gun and 2 knives in her backpack. Hitlist was found at her home with statements that she planned to kill 20 people and wound 40-60 others.")</f>
        <v>A 12-year-old female student pulled a handgun outside of her backpack inside the school and fired at one person. She then walked outside and fired at 2 more people. Students began to run away and she fired shots at them. Based on CCTV footage, she appeared to target the first victims and then fire randomly at the fleeing students. Two students and the school janitor were injured. The shooter was disarmed by a female teacher who held her down until police arrived. All three victims were transported to the hospital in stable condition. She had a second gun and 2 knives in her backpack. Hitlist was found at her home with statements that she planned to kill 20 people and wound 40-60 others.</v>
      </c>
      <c r="AA1372" s="8" t="str">
        <f ca="1">IFERROR(__xludf.DUMMYFUNCTION("""COMPUTED_VALUE"""),"Indiscriminate Shooting")</f>
        <v>Indiscriminate Shooting</v>
      </c>
      <c r="AB1372" s="8"/>
      <c r="AC1372" s="8" t="str">
        <f ca="1">IFERROR(__xludf.DUMMYFUNCTION("""COMPUTED_VALUE"""),"Yes")</f>
        <v>Yes</v>
      </c>
      <c r="AD1372" s="8" t="str">
        <f ca="1">IFERROR(__xludf.DUMMYFUNCTION("""COMPUTED_VALUE"""),"Both")</f>
        <v>Both</v>
      </c>
      <c r="AE1372" s="8" t="str">
        <f ca="1">IFERROR(__xludf.DUMMYFUNCTION("""COMPUTED_VALUE"""),"No")</f>
        <v>No</v>
      </c>
      <c r="AF1372" s="8"/>
      <c r="AG1372" s="8" t="str">
        <f ca="1">IFERROR(__xludf.DUMMYFUNCTION("""COMPUTED_VALUE"""),"No")</f>
        <v>No</v>
      </c>
      <c r="AH1372" s="8" t="str">
        <f ca="1">IFERROR(__xludf.DUMMYFUNCTION("""COMPUTED_VALUE"""),"No")</f>
        <v>No</v>
      </c>
      <c r="AI1372" s="8" t="str">
        <f ca="1">IFERROR(__xludf.DUMMYFUNCTION("""COMPUTED_VALUE"""),"No")</f>
        <v>No</v>
      </c>
      <c r="AJ1372" s="8"/>
      <c r="AK1372" s="8" t="str">
        <f ca="1">IFERROR(__xludf.DUMMYFUNCTION("""COMPUTED_VALUE"""),"No")</f>
        <v>No</v>
      </c>
      <c r="AL1372" s="8" t="str">
        <f ca="1">IFERROR(__xludf.DUMMYFUNCTION("""COMPUTED_VALUE"""),"No")</f>
        <v>No</v>
      </c>
      <c r="AM1372" s="8" t="str">
        <f ca="1">IFERROR(__xludf.DUMMYFUNCTION("""COMPUTED_VALUE"""),"Yes")</f>
        <v>Yes</v>
      </c>
      <c r="AN1372" s="8" t="str">
        <f ca="1">IFERROR(__xludf.DUMMYFUNCTION("""COMPUTED_VALUE"""),"Hallway")</f>
        <v>Hallway</v>
      </c>
      <c r="AO1372" s="8" t="str">
        <f ca="1">IFERROR(__xludf.DUMMYFUNCTION("""COMPUTED_VALUE"""),"Yes")</f>
        <v>Yes</v>
      </c>
      <c r="AP1372" s="8" t="str">
        <f ca="1">IFERROR(__xludf.DUMMYFUNCTION("""COMPUTED_VALUE"""),"No")</f>
        <v>No</v>
      </c>
      <c r="AQ1372" s="8"/>
      <c r="AR1372" s="8"/>
      <c r="AS1372" s="8">
        <f ca="1">IFERROR(__xludf.DUMMYFUNCTION("""COMPUTED_VALUE"""),99)</f>
        <v>99</v>
      </c>
      <c r="AT1372" s="8" t="str">
        <f ca="1">IFERROR(__xludf.DUMMYFUNCTION("""COMPUTED_VALUE"""),"Yes")</f>
        <v>Yes</v>
      </c>
      <c r="AU1372" s="8">
        <f ca="1">IFERROR(__xludf.DUMMYFUNCTION("""COMPUTED_VALUE"""),43.668413)</f>
        <v>43.668413000000001</v>
      </c>
      <c r="AV1372" s="8">
        <f ca="1">IFERROR(__xludf.DUMMYFUNCTION("""COMPUTED_VALUE"""),-111.940731)</f>
        <v>-111.940731</v>
      </c>
      <c r="AW1372" s="8"/>
      <c r="AX1372" s="8">
        <f ca="1">IFERROR(__xludf.DUMMYFUNCTION("""COMPUTED_VALUE"""),83442)</f>
        <v>83442</v>
      </c>
    </row>
    <row r="1373" spans="1:50" ht="120" x14ac:dyDescent="0.2">
      <c r="A1373" s="8" t="str">
        <f ca="1">IFERROR(__xludf.DUMMYFUNCTION("""COMPUTED_VALUE"""),"20210505SCWAW")</f>
        <v>20210505SCWAW</v>
      </c>
      <c r="B1373" s="8">
        <f ca="1">IFERROR(__xludf.DUMMYFUNCTION("""COMPUTED_VALUE"""),5)</f>
        <v>5</v>
      </c>
      <c r="C1373" s="8">
        <f ca="1">IFERROR(__xludf.DUMMYFUNCTION("""COMPUTED_VALUE"""),5)</f>
        <v>5</v>
      </c>
      <c r="D1373" s="8">
        <f ca="1">IFERROR(__xludf.DUMMYFUNCTION("""COMPUTED_VALUE"""),2021)</f>
        <v>2021</v>
      </c>
      <c r="E1373" s="9">
        <f ca="1">IFERROR(__xludf.DUMMYFUNCTION("""COMPUTED_VALUE"""),44321)</f>
        <v>44321</v>
      </c>
      <c r="F1373" s="8" t="str">
        <f ca="1">IFERROR(__xludf.DUMMYFUNCTION("""COMPUTED_VALUE"""),"Ware Shoals High School")</f>
        <v>Ware Shoals High School</v>
      </c>
      <c r="G1373" s="8">
        <f ca="1">IFERROR(__xludf.DUMMYFUNCTION("""COMPUTED_VALUE"""),0)</f>
        <v>0</v>
      </c>
      <c r="H1373" s="8">
        <f ca="1">IFERROR(__xludf.DUMMYFUNCTION("""COMPUTED_VALUE"""),0)</f>
        <v>0</v>
      </c>
      <c r="I1373" s="8">
        <f ca="1">IFERROR(__xludf.DUMMYFUNCTION("""COMPUTED_VALUE"""),0)</f>
        <v>0</v>
      </c>
      <c r="J1373" s="8">
        <f ca="1">IFERROR(__xludf.DUMMYFUNCTION("""COMPUTED_VALUE"""),1)</f>
        <v>1</v>
      </c>
      <c r="K1373" s="8" t="str">
        <f ca="1">IFERROR(__xludf.DUMMYFUNCTION("""COMPUTED_VALUE"""),"https://www.wyff4.com/article/student-dies-after-shooting-himself-in-ware-shoals-high-school-parking-lot/36341438# https://www.foxcarolina.com/update-on-student-who-shot-themselves-at-ware-shoals-high-school/video_6e9f8fe3-a145-5e14-8ba2-8c6ede8871ae.html"&amp;" https://www.foxcarolina.com/news/greenwood-co-high-school-on-lockdown-for-shooting/article_004aee4a-ada0-11eb-a1c9-cb163d9b6810.html?block_id=685196 https://www.foxcarolina.com/4-00pm-news-update/video_97bbf1da-2386-5c5c-aaa1-2a7fbcb0009b.html?block_id=9"&amp;"96030")</f>
        <v>https://www.wyff4.com/article/student-dies-after-shooting-himself-in-ware-shoals-high-school-parking-lot/36341438# https://www.foxcarolina.com/update-on-student-who-shot-themselves-at-ware-shoals-high-school/video_6e9f8fe3-a145-5e14-8ba2-8c6ede8871ae.html https://www.foxcarolina.com/news/greenwood-co-high-school-on-lockdown-for-shooting/article_004aee4a-ada0-11eb-a1c9-cb163d9b6810.html?block_id=685196 https://www.foxcarolina.com/4-00pm-news-update/video_97bbf1da-2386-5c5c-aaa1-2a7fbcb0009b.html?block_id=996030</v>
      </c>
      <c r="L1373" s="8">
        <f ca="1">IFERROR(__xludf.DUMMYFUNCTION("""COMPUTED_VALUE"""),10)</f>
        <v>10</v>
      </c>
      <c r="M1373" s="8" t="str">
        <f ca="1">IFERROR(__xludf.DUMMYFUNCTION("""COMPUTED_VALUE"""),"Regional")</f>
        <v>Regional</v>
      </c>
      <c r="N1373" s="8">
        <f ca="1">IFERROR(__xludf.DUMMYFUNCTION("""COMPUTED_VALUE"""),4)</f>
        <v>4</v>
      </c>
      <c r="O1373" s="8" t="str">
        <f ca="1">IFERROR(__xludf.DUMMYFUNCTION("""COMPUTED_VALUE"""),"Spring")</f>
        <v>Spring</v>
      </c>
      <c r="P1373" s="8" t="str">
        <f ca="1">IFERROR(__xludf.DUMMYFUNCTION("""COMPUTED_VALUE"""),"Ware Shoals")</f>
        <v>Ware Shoals</v>
      </c>
      <c r="Q1373" s="8" t="str">
        <f ca="1">IFERROR(__xludf.DUMMYFUNCTION("""COMPUTED_VALUE"""),"SC")</f>
        <v>SC</v>
      </c>
      <c r="R1373" s="8" t="str">
        <f ca="1">IFERROR(__xludf.DUMMYFUNCTION("""COMPUTED_VALUE"""),"High")</f>
        <v>High</v>
      </c>
      <c r="S1373" s="8" t="str">
        <f ca="1">IFERROR(__xludf.DUMMYFUNCTION("""COMPUTED_VALUE"""),"Parking Lot")</f>
        <v>Parking Lot</v>
      </c>
      <c r="T1373" s="8" t="str">
        <f ca="1">IFERROR(__xludf.DUMMYFUNCTION("""COMPUTED_VALUE"""),"Outside on School Property")</f>
        <v>Outside on School Property</v>
      </c>
      <c r="U1373" s="8" t="str">
        <f ca="1">IFERROR(__xludf.DUMMYFUNCTION("""COMPUTED_VALUE"""),"Yes")</f>
        <v>Yes</v>
      </c>
      <c r="V1373" s="8" t="str">
        <f ca="1">IFERROR(__xludf.DUMMYFUNCTION("""COMPUTED_VALUE"""),"School Start")</f>
        <v>School Start</v>
      </c>
      <c r="W1373" s="11">
        <f ca="1">IFERROR(__xludf.DUMMYFUNCTION("""COMPUTED_VALUE"""),0.336805555555555)</f>
        <v>0.33680555555555503</v>
      </c>
      <c r="X1373" s="8">
        <f ca="1">IFERROR(__xludf.DUMMYFUNCTION("""COMPUTED_VALUE"""),1)</f>
        <v>1</v>
      </c>
      <c r="Y1373" s="12" t="str">
        <f ca="1">IFERROR(__xludf.DUMMYFUNCTION("""COMPUTED_VALUE"""),"Student got out of his car with a handgun and then shot himself in the head")</f>
        <v>Student got out of his car with a handgun and then shot himself in the head</v>
      </c>
      <c r="Z1373" s="12" t="str">
        <f ca="1">IFERROR(__xludf.DUMMYFUNCTION("""COMPUTED_VALUE"""),"A student and his friend (also a student) were sit inside his car in the school parking lot. The school safety officer noticed them and told them to go inside because class had started. The safety officer noticed a vaping device in the car that he confisc"&amp;"ated. When the student got out of the car, the safety officer noticed a gun in his waistband. The student then ran up a hill and shot himself in the head. The principal and two students witnessed the shooting.")</f>
        <v>A student and his friend (also a student) were sit inside his car in the school parking lot. The school safety officer noticed them and told them to go inside because class had started. The safety officer noticed a vaping device in the car that he confiscated. When the student got out of the car, the safety officer noticed a gun in his waistband. The student then ran up a hill and shot himself in the head. The principal and two students witnessed the shooting.</v>
      </c>
      <c r="AA1373" s="8" t="str">
        <f ca="1">IFERROR(__xludf.DUMMYFUNCTION("""COMPUTED_VALUE"""),"Suicide/Attempted")</f>
        <v>Suicide/Attempted</v>
      </c>
      <c r="AB1373" s="8"/>
      <c r="AC1373" s="8" t="str">
        <f ca="1">IFERROR(__xludf.DUMMYFUNCTION("""COMPUTED_VALUE"""),"Yes")</f>
        <v>Yes</v>
      </c>
      <c r="AD1373" s="8"/>
      <c r="AE1373" s="8" t="str">
        <f ca="1">IFERROR(__xludf.DUMMYFUNCTION("""COMPUTED_VALUE"""),"No")</f>
        <v>No</v>
      </c>
      <c r="AF1373" s="8"/>
      <c r="AG1373" s="8" t="str">
        <f ca="1">IFERROR(__xludf.DUMMYFUNCTION("""COMPUTED_VALUE"""),"No")</f>
        <v>No</v>
      </c>
      <c r="AH1373" s="8" t="str">
        <f ca="1">IFERROR(__xludf.DUMMYFUNCTION("""COMPUTED_VALUE"""),"No")</f>
        <v>No</v>
      </c>
      <c r="AI1373" s="8" t="str">
        <f ca="1">IFERROR(__xludf.DUMMYFUNCTION("""COMPUTED_VALUE"""),"No")</f>
        <v>No</v>
      </c>
      <c r="AJ1373" s="8"/>
      <c r="AK1373" s="8" t="str">
        <f ca="1">IFERROR(__xludf.DUMMYFUNCTION("""COMPUTED_VALUE"""),"No")</f>
        <v>No</v>
      </c>
      <c r="AL1373" s="8" t="str">
        <f ca="1">IFERROR(__xludf.DUMMYFUNCTION("""COMPUTED_VALUE"""),"No")</f>
        <v>No</v>
      </c>
      <c r="AM1373" s="8" t="str">
        <f ca="1">IFERROR(__xludf.DUMMYFUNCTION("""COMPUTED_VALUE"""),"No")</f>
        <v>No</v>
      </c>
      <c r="AN1373" s="8"/>
      <c r="AO1373" s="8"/>
      <c r="AP1373" s="8" t="str">
        <f ca="1">IFERROR(__xludf.DUMMYFUNCTION("""COMPUTED_VALUE"""),"Yes")</f>
        <v>Yes</v>
      </c>
      <c r="AQ1373" s="8"/>
      <c r="AR1373" s="8" t="str">
        <f ca="1">IFERROR(__xludf.DUMMYFUNCTION("""COMPUTED_VALUE"""),"Outside/Off-Property")</f>
        <v>Outside/Off-Property</v>
      </c>
      <c r="AS1373" s="8">
        <f ca="1">IFERROR(__xludf.DUMMYFUNCTION("""COMPUTED_VALUE"""),1)</f>
        <v>1</v>
      </c>
      <c r="AT1373" s="8" t="str">
        <f ca="1">IFERROR(__xludf.DUMMYFUNCTION("""COMPUTED_VALUE"""),"Yes")</f>
        <v>Yes</v>
      </c>
      <c r="AU1373" s="8">
        <f ca="1">IFERROR(__xludf.DUMMYFUNCTION("""COMPUTED_VALUE"""),34.393332)</f>
        <v>34.393332000000001</v>
      </c>
      <c r="AV1373" s="8">
        <f ca="1">IFERROR(__xludf.DUMMYFUNCTION("""COMPUTED_VALUE"""),-82.239093)</f>
        <v>-82.239092999999997</v>
      </c>
      <c r="AW1373" s="8"/>
      <c r="AX1373" s="8">
        <f ca="1">IFERROR(__xludf.DUMMYFUNCTION("""COMPUTED_VALUE"""),29692)</f>
        <v>29692</v>
      </c>
    </row>
    <row r="1374" spans="1:50" ht="105" x14ac:dyDescent="0.2">
      <c r="A1374" s="8" t="str">
        <f ca="1">IFERROR(__xludf.DUMMYFUNCTION("""COMPUTED_VALUE"""),"20210505MICRC")</f>
        <v>20210505MICRC</v>
      </c>
      <c r="B1374" s="8">
        <f ca="1">IFERROR(__xludf.DUMMYFUNCTION("""COMPUTED_VALUE"""),5)</f>
        <v>5</v>
      </c>
      <c r="C1374" s="8">
        <f ca="1">IFERROR(__xludf.DUMMYFUNCTION("""COMPUTED_VALUE"""),5)</f>
        <v>5</v>
      </c>
      <c r="D1374" s="8">
        <f ca="1">IFERROR(__xludf.DUMMYFUNCTION("""COMPUTED_VALUE"""),2021)</f>
        <v>2021</v>
      </c>
      <c r="E1374" s="9">
        <f ca="1">IFERROR(__xludf.DUMMYFUNCTION("""COMPUTED_VALUE"""),44321)</f>
        <v>44321</v>
      </c>
      <c r="F1374" s="8" t="str">
        <f ca="1">IFERROR(__xludf.DUMMYFUNCTION("""COMPUTED_VALUE"""),"Crossroads Alternative High")</f>
        <v>Crossroads Alternative High</v>
      </c>
      <c r="G1374" s="8">
        <f ca="1">IFERROR(__xludf.DUMMYFUNCTION("""COMPUTED_VALUE"""),0)</f>
        <v>0</v>
      </c>
      <c r="H1374" s="8">
        <f ca="1">IFERROR(__xludf.DUMMYFUNCTION("""COMPUTED_VALUE"""),1)</f>
        <v>1</v>
      </c>
      <c r="I1374" s="8">
        <f ca="1">IFERROR(__xludf.DUMMYFUNCTION("""COMPUTED_VALUE"""),1)</f>
        <v>1</v>
      </c>
      <c r="J1374" s="8">
        <f ca="1">IFERROR(__xludf.DUMMYFUNCTION("""COMPUTED_VALUE"""),0)</f>
        <v>0</v>
      </c>
      <c r="K1374" s="8" t="str">
        <f ca="1">IFERROR(__xludf.DUMMYFUNCTION("""COMPUTED_VALUE"""),"https://www.fox17online.com/news/local-news/kent/police-investigating-shooting-near-kentwood-high-school https://www.woodtv.com/news/kent-county/deputies-investigate-shooting-on-s-division-outside-of-grand-rapids/")</f>
        <v>https://www.fox17online.com/news/local-news/kent/police-investigating-shooting-near-kentwood-high-school https://www.woodtv.com/news/kent-county/deputies-investigate-shooting-on-s-division-outside-of-grand-rapids/</v>
      </c>
      <c r="L1374" s="8">
        <f ca="1">IFERROR(__xludf.DUMMYFUNCTION("""COMPUTED_VALUE"""),3)</f>
        <v>3</v>
      </c>
      <c r="M1374" s="8" t="str">
        <f ca="1">IFERROR(__xludf.DUMMYFUNCTION("""COMPUTED_VALUE"""),"Local")</f>
        <v>Local</v>
      </c>
      <c r="N1374" s="8">
        <f ca="1">IFERROR(__xludf.DUMMYFUNCTION("""COMPUTED_VALUE"""),3)</f>
        <v>3</v>
      </c>
      <c r="O1374" s="8" t="str">
        <f ca="1">IFERROR(__xludf.DUMMYFUNCTION("""COMPUTED_VALUE"""),"Spring")</f>
        <v>Spring</v>
      </c>
      <c r="P1374" s="8" t="str">
        <f ca="1">IFERROR(__xludf.DUMMYFUNCTION("""COMPUTED_VALUE"""),"Cutlerville")</f>
        <v>Cutlerville</v>
      </c>
      <c r="Q1374" s="8" t="str">
        <f ca="1">IFERROR(__xludf.DUMMYFUNCTION("""COMPUTED_VALUE"""),"MI")</f>
        <v>MI</v>
      </c>
      <c r="R1374" s="8" t="str">
        <f ca="1">IFERROR(__xludf.DUMMYFUNCTION("""COMPUTED_VALUE"""),"High")</f>
        <v>High</v>
      </c>
      <c r="S1374" s="8" t="str">
        <f ca="1">IFERROR(__xludf.DUMMYFUNCTION("""COMPUTED_VALUE"""),"Front of School")</f>
        <v>Front of School</v>
      </c>
      <c r="T1374" s="8" t="str">
        <f ca="1">IFERROR(__xludf.DUMMYFUNCTION("""COMPUTED_VALUE"""),"Outside on School Property")</f>
        <v>Outside on School Property</v>
      </c>
      <c r="U1374" s="8" t="str">
        <f ca="1">IFERROR(__xludf.DUMMYFUNCTION("""COMPUTED_VALUE"""),"Yes")</f>
        <v>Yes</v>
      </c>
      <c r="V1374" s="8" t="str">
        <f ca="1">IFERROR(__xludf.DUMMYFUNCTION("""COMPUTED_VALUE"""),"Afternoon Classes")</f>
        <v>Afternoon Classes</v>
      </c>
      <c r="W1374" s="11">
        <f ca="1">IFERROR(__xludf.DUMMYFUNCTION("""COMPUTED_VALUE"""),0.583333333333333)</f>
        <v>0.58333333333333304</v>
      </c>
      <c r="X1374" s="8">
        <f ca="1">IFERROR(__xludf.DUMMYFUNCTION("""COMPUTED_VALUE"""),1)</f>
        <v>1</v>
      </c>
      <c r="Y1374" s="12" t="str">
        <f ca="1">IFERROR(__xludf.DUMMYFUNCTION("""COMPUTED_VALUE"""),"Man on scooter fired at another man on the sidewalk, then accidentally shot himself and collapsed in front of the school")</f>
        <v>Man on scooter fired at another man on the sidewalk, then accidentally shot himself and collapsed in front of the school</v>
      </c>
      <c r="Z1374" s="12" t="str">
        <f ca="1">IFERROR(__xludf.DUMMYFUNCTION("""COMPUTED_VALUE"""),"An adult male on scooter fired at another man on the sidewalk, then accidentally shot himself and collapsed in front of the school. Both men were transported to the hospital. The school were the shooting occurred and an elementary school next door were bo"&amp;"th in session at the time of the shooting.")</f>
        <v>An adult male on scooter fired at another man on the sidewalk, then accidentally shot himself and collapsed in front of the school. Both men were transported to the hospital. The school were the shooting occurred and an elementary school next door were both in session at the time of the shooting.</v>
      </c>
      <c r="AA1374" s="8" t="str">
        <f ca="1">IFERROR(__xludf.DUMMYFUNCTION("""COMPUTED_VALUE"""),"Drive-by Shooting")</f>
        <v>Drive-by Shooting</v>
      </c>
      <c r="AB1374" s="8"/>
      <c r="AC1374" s="8" t="str">
        <f ca="1">IFERROR(__xludf.DUMMYFUNCTION("""COMPUTED_VALUE"""),"Yes")</f>
        <v>Yes</v>
      </c>
      <c r="AD1374" s="8" t="str">
        <f ca="1">IFERROR(__xludf.DUMMYFUNCTION("""COMPUTED_VALUE"""),"Victims Targeted")</f>
        <v>Victims Targeted</v>
      </c>
      <c r="AE1374" s="8" t="str">
        <f ca="1">IFERROR(__xludf.DUMMYFUNCTION("""COMPUTED_VALUE"""),"No")</f>
        <v>No</v>
      </c>
      <c r="AF1374" s="8"/>
      <c r="AG1374" s="8" t="str">
        <f ca="1">IFERROR(__xludf.DUMMYFUNCTION("""COMPUTED_VALUE"""),"No")</f>
        <v>No</v>
      </c>
      <c r="AH1374" s="8" t="str">
        <f ca="1">IFERROR(__xludf.DUMMYFUNCTION("""COMPUTED_VALUE"""),"No")</f>
        <v>No</v>
      </c>
      <c r="AI1374" s="8" t="str">
        <f ca="1">IFERROR(__xludf.DUMMYFUNCTION("""COMPUTED_VALUE"""),"No")</f>
        <v>No</v>
      </c>
      <c r="AJ1374" s="8" t="str">
        <f ca="1">IFERROR(__xludf.DUMMYFUNCTION("""COMPUTED_VALUE"""),"No")</f>
        <v>No</v>
      </c>
      <c r="AK1374" s="8" t="str">
        <f ca="1">IFERROR(__xludf.DUMMYFUNCTION("""COMPUTED_VALUE"""),"No")</f>
        <v>No</v>
      </c>
      <c r="AL1374" s="8"/>
      <c r="AM1374" s="8" t="str">
        <f ca="1">IFERROR(__xludf.DUMMYFUNCTION("""COMPUTED_VALUE"""),"No")</f>
        <v>No</v>
      </c>
      <c r="AN1374" s="8"/>
      <c r="AO1374" s="8" t="str">
        <f ca="1">IFERROR(__xludf.DUMMYFUNCTION("""COMPUTED_VALUE"""),"No")</f>
        <v>No</v>
      </c>
      <c r="AP1374" s="8"/>
      <c r="AQ1374" s="8"/>
      <c r="AR1374" s="8" t="str">
        <f ca="1">IFERROR(__xludf.DUMMYFUNCTION("""COMPUTED_VALUE"""),"Outside/Off-Property")</f>
        <v>Outside/Off-Property</v>
      </c>
      <c r="AS1374" s="8"/>
      <c r="AT1374" s="8"/>
      <c r="AU1374" s="8">
        <f ca="1">IFERROR(__xludf.DUMMYFUNCTION("""COMPUTED_VALUE"""),42.854155)</f>
        <v>42.854154999999999</v>
      </c>
      <c r="AV1374" s="8">
        <f ca="1">IFERROR(__xludf.DUMMYFUNCTION("""COMPUTED_VALUE"""),-85.66347)</f>
        <v>-85.663470000000004</v>
      </c>
      <c r="AW1374" s="8"/>
      <c r="AX1374" s="8">
        <f ca="1">IFERROR(__xludf.DUMMYFUNCTION("""COMPUTED_VALUE"""),49548)</f>
        <v>49548</v>
      </c>
    </row>
    <row r="1375" spans="1:50" ht="60" x14ac:dyDescent="0.2">
      <c r="A1375" s="8" t="str">
        <f ca="1">IFERROR(__xludf.DUMMYFUNCTION("""COMPUTED_VALUE"""),"20210502ILCHC")</f>
        <v>20210502ILCHC</v>
      </c>
      <c r="B1375" s="8">
        <f ca="1">IFERROR(__xludf.DUMMYFUNCTION("""COMPUTED_VALUE"""),5)</f>
        <v>5</v>
      </c>
      <c r="C1375" s="8">
        <f ca="1">IFERROR(__xludf.DUMMYFUNCTION("""COMPUTED_VALUE"""),2)</f>
        <v>2</v>
      </c>
      <c r="D1375" s="8">
        <f ca="1">IFERROR(__xludf.DUMMYFUNCTION("""COMPUTED_VALUE"""),2021)</f>
        <v>2021</v>
      </c>
      <c r="E1375" s="9">
        <f ca="1">IFERROR(__xludf.DUMMYFUNCTION("""COMPUTED_VALUE"""),44318)</f>
        <v>44318</v>
      </c>
      <c r="F1375" s="8" t="str">
        <f ca="1">IFERROR(__xludf.DUMMYFUNCTION("""COMPUTED_VALUE"""),"Chicago Bulls College Prep High School")</f>
        <v>Chicago Bulls College Prep High School</v>
      </c>
      <c r="G1375" s="8">
        <f ca="1">IFERROR(__xludf.DUMMYFUNCTION("""COMPUTED_VALUE"""),0)</f>
        <v>0</v>
      </c>
      <c r="H1375" s="8">
        <f ca="1">IFERROR(__xludf.DUMMYFUNCTION("""COMPUTED_VALUE"""),5)</f>
        <v>5</v>
      </c>
      <c r="I1375" s="8">
        <f ca="1">IFERROR(__xludf.DUMMYFUNCTION("""COMPUTED_VALUE"""),5)</f>
        <v>5</v>
      </c>
      <c r="J1375" s="8">
        <f ca="1">IFERROR(__xludf.DUMMYFUNCTION("""COMPUTED_VALUE"""),0)</f>
        <v>0</v>
      </c>
      <c r="K1375" s="10" t="str">
        <f ca="1">IFERROR(__xludf.DUMMYFUNCTION("""COMPUTED_VALUE"""),"https://chicago.cbslocal.com/2021/05/03/near-west-side-shooting-2/")</f>
        <v>https://chicago.cbslocal.com/2021/05/03/near-west-side-shooting-2/</v>
      </c>
      <c r="L1375" s="8">
        <f ca="1">IFERROR(__xludf.DUMMYFUNCTION("""COMPUTED_VALUE"""),2)</f>
        <v>2</v>
      </c>
      <c r="M1375" s="8" t="str">
        <f ca="1">IFERROR(__xludf.DUMMYFUNCTION("""COMPUTED_VALUE"""),"Local")</f>
        <v>Local</v>
      </c>
      <c r="N1375" s="8">
        <f ca="1">IFERROR(__xludf.DUMMYFUNCTION("""COMPUTED_VALUE"""),3)</f>
        <v>3</v>
      </c>
      <c r="O1375" s="8" t="str">
        <f ca="1">IFERROR(__xludf.DUMMYFUNCTION("""COMPUTED_VALUE"""),"Spring")</f>
        <v>Spring</v>
      </c>
      <c r="P1375" s="8" t="str">
        <f ca="1">IFERROR(__xludf.DUMMYFUNCTION("""COMPUTED_VALUE"""),"Chicago")</f>
        <v>Chicago</v>
      </c>
      <c r="Q1375" s="8" t="str">
        <f ca="1">IFERROR(__xludf.DUMMYFUNCTION("""COMPUTED_VALUE"""),"IL")</f>
        <v>IL</v>
      </c>
      <c r="R1375" s="8" t="str">
        <f ca="1">IFERROR(__xludf.DUMMYFUNCTION("""COMPUTED_VALUE"""),"High")</f>
        <v>High</v>
      </c>
      <c r="S1375" s="8" t="str">
        <f ca="1">IFERROR(__xludf.DUMMYFUNCTION("""COMPUTED_VALUE"""),"Front of School")</f>
        <v>Front of School</v>
      </c>
      <c r="T1375" s="8" t="str">
        <f ca="1">IFERROR(__xludf.DUMMYFUNCTION("""COMPUTED_VALUE"""),"Outside on School Property")</f>
        <v>Outside on School Property</v>
      </c>
      <c r="U1375" s="8" t="str">
        <f ca="1">IFERROR(__xludf.DUMMYFUNCTION("""COMPUTED_VALUE"""),"No")</f>
        <v>No</v>
      </c>
      <c r="V1375" s="8" t="str">
        <f ca="1">IFERROR(__xludf.DUMMYFUNCTION("""COMPUTED_VALUE"""),"Night")</f>
        <v>Night</v>
      </c>
      <c r="W1375" s="11">
        <f ca="1">IFERROR(__xludf.DUMMYFUNCTION("""COMPUTED_VALUE"""),0.965277777777777)</f>
        <v>0.96527777777777701</v>
      </c>
      <c r="X1375" s="8">
        <f ca="1">IFERROR(__xludf.DUMMYFUNCTION("""COMPUTED_VALUE"""),1)</f>
        <v>1</v>
      </c>
      <c r="Y1375" s="12" t="str">
        <f ca="1">IFERROR(__xludf.DUMMYFUNCTION("""COMPUTED_VALUE"""),"5 people shot during drive-by shooting in front of the school")</f>
        <v>5 people shot during drive-by shooting in front of the school</v>
      </c>
      <c r="Z1375" s="12" t="str">
        <f ca="1">IFERROR(__xludf.DUMMYFUNCTION("""COMPUTED_VALUE"""),"Three people inside an SUV fired shots at a crowd standing in front of the high school. 3 adult women and 2 adult men were shot. The shooters fled the scene. No students or staff were at the school.")</f>
        <v>Three people inside an SUV fired shots at a crowd standing in front of the high school. 3 adult women and 2 adult men were shot. The shooters fled the scene. No students or staff were at the school.</v>
      </c>
      <c r="AA1375" s="8" t="str">
        <f ca="1">IFERROR(__xludf.DUMMYFUNCTION("""COMPUTED_VALUE"""),"Drive-by Shooting")</f>
        <v>Drive-by Shooting</v>
      </c>
      <c r="AB1375" s="8"/>
      <c r="AC1375" s="8" t="str">
        <f ca="1">IFERROR(__xludf.DUMMYFUNCTION("""COMPUTED_VALUE"""),"No")</f>
        <v>No</v>
      </c>
      <c r="AD1375" s="8" t="str">
        <f ca="1">IFERROR(__xludf.DUMMYFUNCTION("""COMPUTED_VALUE"""),"Both")</f>
        <v>Both</v>
      </c>
      <c r="AE1375" s="8" t="str">
        <f ca="1">IFERROR(__xludf.DUMMYFUNCTION("""COMPUTED_VALUE"""),"Yes")</f>
        <v>Yes</v>
      </c>
      <c r="AF1375" s="8" t="str">
        <f ca="1">IFERROR(__xludf.DUMMYFUNCTION("""COMPUTED_VALUE"""),"Three shooters in vehicle")</f>
        <v>Three shooters in vehicle</v>
      </c>
      <c r="AG1375" s="8"/>
      <c r="AH1375" s="8" t="str">
        <f ca="1">IFERROR(__xludf.DUMMYFUNCTION("""COMPUTED_VALUE"""),"No")</f>
        <v>No</v>
      </c>
      <c r="AI1375" s="8" t="str">
        <f ca="1">IFERROR(__xludf.DUMMYFUNCTION("""COMPUTED_VALUE"""),"No")</f>
        <v>No</v>
      </c>
      <c r="AJ1375" s="8" t="str">
        <f ca="1">IFERROR(__xludf.DUMMYFUNCTION("""COMPUTED_VALUE"""),"No")</f>
        <v>No</v>
      </c>
      <c r="AK1375" s="8" t="str">
        <f ca="1">IFERROR(__xludf.DUMMYFUNCTION("""COMPUTED_VALUE"""),"No")</f>
        <v>No</v>
      </c>
      <c r="AL1375" s="8"/>
      <c r="AM1375" s="8" t="str">
        <f ca="1">IFERROR(__xludf.DUMMYFUNCTION("""COMPUTED_VALUE"""),"No")</f>
        <v>No</v>
      </c>
      <c r="AN1375" s="8"/>
      <c r="AO1375" s="8" t="str">
        <f ca="1">IFERROR(__xludf.DUMMYFUNCTION("""COMPUTED_VALUE"""),"No")</f>
        <v>No</v>
      </c>
      <c r="AP1375" s="8"/>
      <c r="AQ1375" s="8"/>
      <c r="AR1375" s="8" t="str">
        <f ca="1">IFERROR(__xludf.DUMMYFUNCTION("""COMPUTED_VALUE"""),"Outside/Off-Property")</f>
        <v>Outside/Off-Property</v>
      </c>
      <c r="AS1375" s="8"/>
      <c r="AT1375" s="8"/>
      <c r="AU1375" s="8">
        <f ca="1">IFERROR(__xludf.DUMMYFUNCTION("""COMPUTED_VALUE"""),41.878723)</f>
        <v>41.878723000000001</v>
      </c>
      <c r="AV1375" s="8">
        <f ca="1">IFERROR(__xludf.DUMMYFUNCTION("""COMPUTED_VALUE"""),-87.67798)</f>
        <v>-87.677980000000005</v>
      </c>
      <c r="AW1375" s="8"/>
      <c r="AX1375" s="8">
        <f ca="1">IFERROR(__xludf.DUMMYFUNCTION("""COMPUTED_VALUE"""),60612)</f>
        <v>60612</v>
      </c>
    </row>
    <row r="1376" spans="1:50" ht="90" x14ac:dyDescent="0.2">
      <c r="A1376" s="8" t="str">
        <f ca="1">IFERROR(__xludf.DUMMYFUNCTION("""COMPUTED_VALUE"""),"20210501MNBES")</f>
        <v>20210501MNBES</v>
      </c>
      <c r="B1376" s="8">
        <f ca="1">IFERROR(__xludf.DUMMYFUNCTION("""COMPUTED_VALUE"""),5)</f>
        <v>5</v>
      </c>
      <c r="C1376" s="8">
        <f ca="1">IFERROR(__xludf.DUMMYFUNCTION("""COMPUTED_VALUE"""),1)</f>
        <v>1</v>
      </c>
      <c r="D1376" s="8">
        <f ca="1">IFERROR(__xludf.DUMMYFUNCTION("""COMPUTED_VALUE"""),2021)</f>
        <v>2021</v>
      </c>
      <c r="E1376" s="9">
        <f ca="1">IFERROR(__xludf.DUMMYFUNCTION("""COMPUTED_VALUE"""),44317)</f>
        <v>44317</v>
      </c>
      <c r="F1376" s="8" t="str">
        <f ca="1">IFERROR(__xludf.DUMMYFUNCTION("""COMPUTED_VALUE"""),"Benjamin E Mays School")</f>
        <v>Benjamin E Mays School</v>
      </c>
      <c r="G1376" s="8">
        <f ca="1">IFERROR(__xludf.DUMMYFUNCTION("""COMPUTED_VALUE"""),0)</f>
        <v>0</v>
      </c>
      <c r="H1376" s="8">
        <f ca="1">IFERROR(__xludf.DUMMYFUNCTION("""COMPUTED_VALUE"""),0)</f>
        <v>0</v>
      </c>
      <c r="I1376" s="8">
        <f ca="1">IFERROR(__xludf.DUMMYFUNCTION("""COMPUTED_VALUE"""),0)</f>
        <v>0</v>
      </c>
      <c r="J1376" s="8">
        <f ca="1">IFERROR(__xludf.DUMMYFUNCTION("""COMPUTED_VALUE"""),0)</f>
        <v>0</v>
      </c>
      <c r="K1376" s="8" t="str">
        <f ca="1">IFERROR(__xludf.DUMMYFUNCTION("""COMPUTED_VALUE"""),"https://www.startribune.com/police-say-7-people-were-injured-overnight-in-3-separate-st-paul-shootings/600052798/?refresh=true https://apnews.com/article/st-paul-shootings-d8fd608a0b03d25db7e741f469555684 https://www.kare11.com/article/news/local/three-se"&amp;"parate-overnight-shootings-injure-7-in-st-paul/89-c7a084e5-5ad0-4050-a5d6-612f19a8fb8d")</f>
        <v>https://www.startribune.com/police-say-7-people-were-injured-overnight-in-3-separate-st-paul-shootings/600052798/?refresh=true https://apnews.com/article/st-paul-shootings-d8fd608a0b03d25db7e741f469555684 https://www.kare11.com/article/news/local/three-separate-overnight-shootings-injure-7-in-st-paul/89-c7a084e5-5ad0-4050-a5d6-612f19a8fb8d</v>
      </c>
      <c r="L1376" s="8">
        <f ca="1">IFERROR(__xludf.DUMMYFUNCTION("""COMPUTED_VALUE"""),3)</f>
        <v>3</v>
      </c>
      <c r="M1376" s="8" t="str">
        <f ca="1">IFERROR(__xludf.DUMMYFUNCTION("""COMPUTED_VALUE"""),"Local")</f>
        <v>Local</v>
      </c>
      <c r="N1376" s="8">
        <f ca="1">IFERROR(__xludf.DUMMYFUNCTION("""COMPUTED_VALUE"""),4)</f>
        <v>4</v>
      </c>
      <c r="O1376" s="8" t="str">
        <f ca="1">IFERROR(__xludf.DUMMYFUNCTION("""COMPUTED_VALUE"""),"Spring")</f>
        <v>Spring</v>
      </c>
      <c r="P1376" s="8" t="str">
        <f ca="1">IFERROR(__xludf.DUMMYFUNCTION("""COMPUTED_VALUE"""),"St. Paul")</f>
        <v>St. Paul</v>
      </c>
      <c r="Q1376" s="8" t="str">
        <f ca="1">IFERROR(__xludf.DUMMYFUNCTION("""COMPUTED_VALUE"""),"MN")</f>
        <v>MN</v>
      </c>
      <c r="R1376" s="8" t="str">
        <f ca="1">IFERROR(__xludf.DUMMYFUNCTION("""COMPUTED_VALUE"""),"Elementary")</f>
        <v>Elementary</v>
      </c>
      <c r="S1376" s="8" t="str">
        <f ca="1">IFERROR(__xludf.DUMMYFUNCTION("""COMPUTED_VALUE"""),"Front of School")</f>
        <v>Front of School</v>
      </c>
      <c r="T1376" s="8" t="str">
        <f ca="1">IFERROR(__xludf.DUMMYFUNCTION("""COMPUTED_VALUE"""),"Outside on School Property")</f>
        <v>Outside on School Property</v>
      </c>
      <c r="U1376" s="8" t="str">
        <f ca="1">IFERROR(__xludf.DUMMYFUNCTION("""COMPUTED_VALUE"""),"No")</f>
        <v>No</v>
      </c>
      <c r="V1376" s="8" t="str">
        <f ca="1">IFERROR(__xludf.DUMMYFUNCTION("""COMPUTED_VALUE"""),"Night")</f>
        <v>Night</v>
      </c>
      <c r="W1376" s="11">
        <f ca="1">IFERROR(__xludf.DUMMYFUNCTION("""COMPUTED_VALUE"""),0.981944444444444)</f>
        <v>0.98194444444444395</v>
      </c>
      <c r="X1376" s="8">
        <f ca="1">IFERROR(__xludf.DUMMYFUNCTION("""COMPUTED_VALUE"""),1)</f>
        <v>1</v>
      </c>
      <c r="Y1376" s="12" t="str">
        <f ca="1">IFERROR(__xludf.DUMMYFUNCTION("""COMPUTED_VALUE"""),"Shots fired by 5 different armed men involved in a fight struck the school building")</f>
        <v>Shots fired by 5 different armed men involved in a fight struck the school building</v>
      </c>
      <c r="Z1376" s="12" t="str">
        <f ca="1">IFERROR(__xludf.DUMMYFUNCTION("""COMPUTED_VALUE"""),"Three armed men began firing at two men in a vehicle who were also armed. All five fired shots. Dozens of shots were fired striking 6 different vehicles and the school building. The shooting took place 2 blocks from the school. No students or staff were i"&amp;"nside the building at the time of the shooting.")</f>
        <v>Three armed men began firing at two men in a vehicle who were also armed. All five fired shots. Dozens of shots were fired striking 6 different vehicles and the school building. The shooting took place 2 blocks from the school. No students or staff were inside the building at the time of the shooting.</v>
      </c>
      <c r="AA1376" s="8"/>
      <c r="AB1376" s="8"/>
      <c r="AC1376" s="8" t="str">
        <f ca="1">IFERROR(__xludf.DUMMYFUNCTION("""COMPUTED_VALUE"""),"No")</f>
        <v>No</v>
      </c>
      <c r="AD1376" s="8" t="str">
        <f ca="1">IFERROR(__xludf.DUMMYFUNCTION("""COMPUTED_VALUE"""),"Victims Targeted")</f>
        <v>Victims Targeted</v>
      </c>
      <c r="AE1376" s="8" t="str">
        <f ca="1">IFERROR(__xludf.DUMMYFUNCTION("""COMPUTED_VALUE"""),"Yes")</f>
        <v>Yes</v>
      </c>
      <c r="AF1376" s="8" t="str">
        <f ca="1">IFERROR(__xludf.DUMMYFUNCTION("""COMPUTED_VALUE"""),"3 men involved with initial shooting")</f>
        <v>3 men involved with initial shooting</v>
      </c>
      <c r="AG1376" s="8" t="str">
        <f ca="1">IFERROR(__xludf.DUMMYFUNCTION("""COMPUTED_VALUE"""),"No")</f>
        <v>No</v>
      </c>
      <c r="AH1376" s="8" t="str">
        <f ca="1">IFERROR(__xludf.DUMMYFUNCTION("""COMPUTED_VALUE"""),"No")</f>
        <v>No</v>
      </c>
      <c r="AI1376" s="8"/>
      <c r="AJ1376" s="8" t="str">
        <f ca="1">IFERROR(__xludf.DUMMYFUNCTION("""COMPUTED_VALUE"""),"No")</f>
        <v>No</v>
      </c>
      <c r="AK1376" s="8" t="str">
        <f ca="1">IFERROR(__xludf.DUMMYFUNCTION("""COMPUTED_VALUE"""),"No")</f>
        <v>No</v>
      </c>
      <c r="AL1376" s="8"/>
      <c r="AM1376" s="8" t="str">
        <f ca="1">IFERROR(__xludf.DUMMYFUNCTION("""COMPUTED_VALUE"""),"No")</f>
        <v>No</v>
      </c>
      <c r="AN1376" s="8"/>
      <c r="AO1376" s="8" t="str">
        <f ca="1">IFERROR(__xludf.DUMMYFUNCTION("""COMPUTED_VALUE"""),"No")</f>
        <v>No</v>
      </c>
      <c r="AP1376" s="8"/>
      <c r="AQ1376" s="8"/>
      <c r="AR1376" s="8" t="str">
        <f ca="1">IFERROR(__xludf.DUMMYFUNCTION("""COMPUTED_VALUE"""),"Outside/Off-Property")</f>
        <v>Outside/Off-Property</v>
      </c>
      <c r="AS1376" s="8">
        <f ca="1">IFERROR(__xludf.DUMMYFUNCTION("""COMPUTED_VALUE"""),50)</f>
        <v>50</v>
      </c>
      <c r="AT1376" s="8"/>
      <c r="AU1376" s="8">
        <f ca="1">IFERROR(__xludf.DUMMYFUNCTION("""COMPUTED_VALUE"""),44.950424)</f>
        <v>44.950423999999998</v>
      </c>
      <c r="AV1376" s="8">
        <f ca="1">IFERROR(__xludf.DUMMYFUNCTION("""COMPUTED_VALUE"""),-93.123705)</f>
        <v>-93.123705000000001</v>
      </c>
      <c r="AW1376" s="8"/>
      <c r="AX1376" s="8">
        <f ca="1">IFERROR(__xludf.DUMMYFUNCTION("""COMPUTED_VALUE"""),55103)</f>
        <v>55103</v>
      </c>
    </row>
    <row r="1377" spans="1:50" ht="150" x14ac:dyDescent="0.2">
      <c r="A1377" s="8" t="str">
        <f ca="1">IFERROR(__xludf.DUMMYFUNCTION("""COMPUTED_VALUE"""),"20210430INMAI")</f>
        <v>20210430INMAI</v>
      </c>
      <c r="B1377" s="8">
        <f ca="1">IFERROR(__xludf.DUMMYFUNCTION("""COMPUTED_VALUE"""),4)</f>
        <v>4</v>
      </c>
      <c r="C1377" s="8">
        <f ca="1">IFERROR(__xludf.DUMMYFUNCTION("""COMPUTED_VALUE"""),30)</f>
        <v>30</v>
      </c>
      <c r="D1377" s="8">
        <f ca="1">IFERROR(__xludf.DUMMYFUNCTION("""COMPUTED_VALUE"""),2021)</f>
        <v>2021</v>
      </c>
      <c r="E1377" s="9">
        <f ca="1">IFERROR(__xludf.DUMMYFUNCTION("""COMPUTED_VALUE"""),44316)</f>
        <v>44316</v>
      </c>
      <c r="F1377" s="8" t="str">
        <f ca="1">IFERROR(__xludf.DUMMYFUNCTION("""COMPUTED_VALUE"""),"Mary Castle Elementary School")</f>
        <v>Mary Castle Elementary School</v>
      </c>
      <c r="G1377" s="8">
        <f ca="1">IFERROR(__xludf.DUMMYFUNCTION("""COMPUTED_VALUE"""),0)</f>
        <v>0</v>
      </c>
      <c r="H1377" s="8">
        <f ca="1">IFERROR(__xludf.DUMMYFUNCTION("""COMPUTED_VALUE"""),1)</f>
        <v>1</v>
      </c>
      <c r="I1377" s="8">
        <f ca="1">IFERROR(__xludf.DUMMYFUNCTION("""COMPUTED_VALUE"""),1)</f>
        <v>1</v>
      </c>
      <c r="J1377" s="8">
        <f ca="1">IFERROR(__xludf.DUMMYFUNCTION("""COMPUTED_VALUE"""),0)</f>
        <v>0</v>
      </c>
      <c r="K1377" s="8" t="str">
        <f ca="1">IFERROR(__xludf.DUMMYFUNCTION("""COMPUTED_VALUE"""),"https://www.wthr.com/article/news/crime/impd-investigating-shooting-near-school-on-northeast-side/531-4d099fdd-938a-4010-86a3-d3d9184dae48 https://www.msn.com/en-us/news/us/impd-investigating-shooting-near-school-on-northeast-side/ar-BB1ge4Oa")</f>
        <v>https://www.wthr.com/article/news/crime/impd-investigating-shooting-near-school-on-northeast-side/531-4d099fdd-938a-4010-86a3-d3d9184dae48 https://www.msn.com/en-us/news/us/impd-investigating-shooting-near-school-on-northeast-side/ar-BB1ge4Oa</v>
      </c>
      <c r="L1377" s="8">
        <f ca="1">IFERROR(__xludf.DUMMYFUNCTION("""COMPUTED_VALUE"""),10)</f>
        <v>10</v>
      </c>
      <c r="M1377" s="8" t="str">
        <f ca="1">IFERROR(__xludf.DUMMYFUNCTION("""COMPUTED_VALUE"""),"Regional")</f>
        <v>Regional</v>
      </c>
      <c r="N1377" s="8">
        <f ca="1">IFERROR(__xludf.DUMMYFUNCTION("""COMPUTED_VALUE"""),4)</f>
        <v>4</v>
      </c>
      <c r="O1377" s="8" t="str">
        <f ca="1">IFERROR(__xludf.DUMMYFUNCTION("""COMPUTED_VALUE"""),"Spring")</f>
        <v>Spring</v>
      </c>
      <c r="P1377" s="8" t="str">
        <f ca="1">IFERROR(__xludf.DUMMYFUNCTION("""COMPUTED_VALUE"""),"Indianapolis")</f>
        <v>Indianapolis</v>
      </c>
      <c r="Q1377" s="8" t="str">
        <f ca="1">IFERROR(__xludf.DUMMYFUNCTION("""COMPUTED_VALUE"""),"IN")</f>
        <v>IN</v>
      </c>
      <c r="R1377" s="8" t="str">
        <f ca="1">IFERROR(__xludf.DUMMYFUNCTION("""COMPUTED_VALUE"""),"Elementary")</f>
        <v>Elementary</v>
      </c>
      <c r="S1377" s="8" t="str">
        <f ca="1">IFERROR(__xludf.DUMMYFUNCTION("""COMPUTED_VALUE"""),"Parking Lot")</f>
        <v>Parking Lot</v>
      </c>
      <c r="T1377" s="8" t="str">
        <f ca="1">IFERROR(__xludf.DUMMYFUNCTION("""COMPUTED_VALUE"""),"Off School Property")</f>
        <v>Off School Property</v>
      </c>
      <c r="U1377" s="8" t="str">
        <f ca="1">IFERROR(__xludf.DUMMYFUNCTION("""COMPUTED_VALUE"""),"Yes")</f>
        <v>Yes</v>
      </c>
      <c r="V1377" s="8" t="str">
        <f ca="1">IFERROR(__xludf.DUMMYFUNCTION("""COMPUTED_VALUE"""),"Afternoon Classes")</f>
        <v>Afternoon Classes</v>
      </c>
      <c r="W1377" s="11">
        <f ca="1">IFERROR(__xludf.DUMMYFUNCTION("""COMPUTED_VALUE"""),0.541666666666666)</f>
        <v>0.54166666666666596</v>
      </c>
      <c r="X1377" s="8">
        <f ca="1">IFERROR(__xludf.DUMMYFUNCTION("""COMPUTED_VALUE"""),1)</f>
        <v>1</v>
      </c>
      <c r="Y1377" s="12" t="str">
        <f ca="1">IFERROR(__xludf.DUMMYFUNCTION("""COMPUTED_VALUE"""),"Parent shot during domestic incident in school parking lot while class was in session")</f>
        <v>Parent shot during domestic incident in school parking lot while class was in session</v>
      </c>
      <c r="Z1377" s="12" t="str">
        <f ca="1">IFERROR(__xludf.DUMMYFUNCTION("""COMPUTED_VALUE"""),"An adult female parent was shot during a domestic incident in the parking lot of the school. The school campus was locked down and the shooter did not enter the school building. Initial report to police of a student abducted by the shooter, that report wa"&amp;"s determined to be incorrect after students were accounted for. 950 students were on campus at the time of the shooting. Shooter fled the area. Victim was transported in critical condition. After searching the campus, parents were notified to pickup child"&amp;"ren and school was dismissed.")</f>
        <v>An adult female parent was shot during a domestic incident in the parking lot of the school. The school campus was locked down and the shooter did not enter the school building. Initial report to police of a student abducted by the shooter, that report was determined to be incorrect after students were accounted for. 950 students were on campus at the time of the shooting. Shooter fled the area. Victim was transported in critical condition. After searching the campus, parents were notified to pickup children and school was dismissed.</v>
      </c>
      <c r="AA1377" s="8" t="str">
        <f ca="1">IFERROR(__xludf.DUMMYFUNCTION("""COMPUTED_VALUE"""),"Domestic w/ Targeted Victim")</f>
        <v>Domestic w/ Targeted Victim</v>
      </c>
      <c r="AB1377" s="8"/>
      <c r="AC1377" s="8" t="str">
        <f ca="1">IFERROR(__xludf.DUMMYFUNCTION("""COMPUTED_VALUE"""),"Yes")</f>
        <v>Yes</v>
      </c>
      <c r="AD1377" s="8" t="str">
        <f ca="1">IFERROR(__xludf.DUMMYFUNCTION("""COMPUTED_VALUE"""),"Victims Targeted")</f>
        <v>Victims Targeted</v>
      </c>
      <c r="AE1377" s="8" t="str">
        <f ca="1">IFERROR(__xludf.DUMMYFUNCTION("""COMPUTED_VALUE"""),"No")</f>
        <v>No</v>
      </c>
      <c r="AF1377" s="8"/>
      <c r="AG1377" s="8" t="str">
        <f ca="1">IFERROR(__xludf.DUMMYFUNCTION("""COMPUTED_VALUE"""),"No")</f>
        <v>No</v>
      </c>
      <c r="AH1377" s="8" t="str">
        <f ca="1">IFERROR(__xludf.DUMMYFUNCTION("""COMPUTED_VALUE"""),"No")</f>
        <v>No</v>
      </c>
      <c r="AI1377" s="8" t="str">
        <f ca="1">IFERROR(__xludf.DUMMYFUNCTION("""COMPUTED_VALUE"""),"No")</f>
        <v>No</v>
      </c>
      <c r="AJ1377" s="8" t="str">
        <f ca="1">IFERROR(__xludf.DUMMYFUNCTION("""COMPUTED_VALUE"""),"No")</f>
        <v>No</v>
      </c>
      <c r="AK1377" s="8" t="str">
        <f ca="1">IFERROR(__xludf.DUMMYFUNCTION("""COMPUTED_VALUE"""),"Yes")</f>
        <v>Yes</v>
      </c>
      <c r="AL1377" s="8" t="str">
        <f ca="1">IFERROR(__xludf.DUMMYFUNCTION("""COMPUTED_VALUE"""),"No")</f>
        <v>No</v>
      </c>
      <c r="AM1377" s="8" t="str">
        <f ca="1">IFERROR(__xludf.DUMMYFUNCTION("""COMPUTED_VALUE"""),"No")</f>
        <v>No</v>
      </c>
      <c r="AN1377" s="8"/>
      <c r="AO1377" s="8" t="str">
        <f ca="1">IFERROR(__xludf.DUMMYFUNCTION("""COMPUTED_VALUE"""),"No")</f>
        <v>No</v>
      </c>
      <c r="AP1377" s="8" t="str">
        <f ca="1">IFERROR(__xludf.DUMMYFUNCTION("""COMPUTED_VALUE"""),"No")</f>
        <v>No</v>
      </c>
      <c r="AQ1377" s="8"/>
      <c r="AR1377" s="8"/>
      <c r="AS1377" s="8"/>
      <c r="AT1377" s="8" t="str">
        <f ca="1">IFERROR(__xludf.DUMMYFUNCTION("""COMPUTED_VALUE"""),"Yes")</f>
        <v>Yes</v>
      </c>
      <c r="AU1377" s="8">
        <f ca="1">IFERROR(__xludf.DUMMYFUNCTION("""COMPUTED_VALUE"""),39.909372)</f>
        <v>39.909371999999998</v>
      </c>
      <c r="AV1377" s="8">
        <f ca="1">IFERROR(__xludf.DUMMYFUNCTION("""COMPUTED_VALUE"""),-86.017278)</f>
        <v>-86.017278000000005</v>
      </c>
      <c r="AW1377" s="8"/>
      <c r="AX1377" s="8">
        <f ca="1">IFERROR(__xludf.DUMMYFUNCTION("""COMPUTED_VALUE"""),46256)</f>
        <v>46256</v>
      </c>
    </row>
    <row r="1378" spans="1:50" ht="45" x14ac:dyDescent="0.2">
      <c r="A1378" s="8" t="str">
        <f ca="1">IFERROR(__xludf.DUMMYFUNCTION("""COMPUTED_VALUE"""),"20210429NYURB")</f>
        <v>20210429NYURB</v>
      </c>
      <c r="B1378" s="8">
        <f ca="1">IFERROR(__xludf.DUMMYFUNCTION("""COMPUTED_VALUE"""),4)</f>
        <v>4</v>
      </c>
      <c r="C1378" s="8">
        <f ca="1">IFERROR(__xludf.DUMMYFUNCTION("""COMPUTED_VALUE"""),29)</f>
        <v>29</v>
      </c>
      <c r="D1378" s="8">
        <f ca="1">IFERROR(__xludf.DUMMYFUNCTION("""COMPUTED_VALUE"""),2021)</f>
        <v>2021</v>
      </c>
      <c r="E1378" s="9">
        <f ca="1">IFERROR(__xludf.DUMMYFUNCTION("""COMPUTED_VALUE"""),44315)</f>
        <v>44315</v>
      </c>
      <c r="F1378" s="8" t="str">
        <f ca="1">IFERROR(__xludf.DUMMYFUNCTION("""COMPUTED_VALUE"""),"Urban Dove Charter School")</f>
        <v>Urban Dove Charter School</v>
      </c>
      <c r="G1378" s="8">
        <f ca="1">IFERROR(__xludf.DUMMYFUNCTION("""COMPUTED_VALUE"""),1)</f>
        <v>1</v>
      </c>
      <c r="H1378" s="8">
        <f ca="1">IFERROR(__xludf.DUMMYFUNCTION("""COMPUTED_VALUE"""),0)</f>
        <v>0</v>
      </c>
      <c r="I1378" s="8">
        <f ca="1">IFERROR(__xludf.DUMMYFUNCTION("""COMPUTED_VALUE"""),1)</f>
        <v>1</v>
      </c>
      <c r="J1378" s="8">
        <f ca="1">IFERROR(__xludf.DUMMYFUNCTION("""COMPUTED_VALUE"""),0)</f>
        <v>0</v>
      </c>
      <c r="K1378" s="8" t="str">
        <f ca="1">IFERROR(__xludf.DUMMYFUNCTION("""COMPUTED_VALUE"""),"https://pix11.com/news/local-news/brooklyn/teens-arrested-in-shooting-death-of-17-year-old-outside-brooklyn-school/ https://www.nydailynews.com/new-york/nyc-crime/ny-nyc-charter-school-murder-teen-family-speaks-20210521-lenaidbv3rgfzlzme4yerzegwi-story.ht"&amp;"ml https://www.nydailynews.com/new-york/nyc-crime/ny-shooting-brooklyn-charter-school-20210429-c6gicn5epfdstkxh4lm7y3esiu-story.html https://nypost.com/2021/04/29/shooting-in-front-of-brooklyn-school-for-troubled-teens/ https://nypost.com/2021/04/30/17-ye"&amp;"ar-old-boy-fatally-shot-outside-nyc-charter-school/")</f>
        <v>https://pix11.com/news/local-news/brooklyn/teens-arrested-in-shooting-death-of-17-year-old-outside-brooklyn-school/ https://www.nydailynews.com/new-york/nyc-crime/ny-nyc-charter-school-murder-teen-family-speaks-20210521-lenaidbv3rgfzlzme4yerzegwi-story.html https://www.nydailynews.com/new-york/nyc-crime/ny-shooting-brooklyn-charter-school-20210429-c6gicn5epfdstkxh4lm7y3esiu-story.html https://nypost.com/2021/04/29/shooting-in-front-of-brooklyn-school-for-troubled-teens/ https://nypost.com/2021/04/30/17-year-old-boy-fatally-shot-outside-nyc-charter-school/</v>
      </c>
      <c r="L1378" s="8">
        <f ca="1">IFERROR(__xludf.DUMMYFUNCTION("""COMPUTED_VALUE"""),10)</f>
        <v>10</v>
      </c>
      <c r="M1378" s="8" t="str">
        <f ca="1">IFERROR(__xludf.DUMMYFUNCTION("""COMPUTED_VALUE"""),"Regional")</f>
        <v>Regional</v>
      </c>
      <c r="N1378" s="8">
        <f ca="1">IFERROR(__xludf.DUMMYFUNCTION("""COMPUTED_VALUE"""),4)</f>
        <v>4</v>
      </c>
      <c r="O1378" s="8" t="str">
        <f ca="1">IFERROR(__xludf.DUMMYFUNCTION("""COMPUTED_VALUE"""),"Spring")</f>
        <v>Spring</v>
      </c>
      <c r="P1378" s="8" t="str">
        <f ca="1">IFERROR(__xludf.DUMMYFUNCTION("""COMPUTED_VALUE"""),"Brooklyn")</f>
        <v>Brooklyn</v>
      </c>
      <c r="Q1378" s="8" t="str">
        <f ca="1">IFERROR(__xludf.DUMMYFUNCTION("""COMPUTED_VALUE"""),"NY")</f>
        <v>NY</v>
      </c>
      <c r="R1378" s="8" t="str">
        <f ca="1">IFERROR(__xludf.DUMMYFUNCTION("""COMPUTED_VALUE"""),"High")</f>
        <v>High</v>
      </c>
      <c r="S1378" s="8" t="str">
        <f ca="1">IFERROR(__xludf.DUMMYFUNCTION("""COMPUTED_VALUE"""),"Front of School")</f>
        <v>Front of School</v>
      </c>
      <c r="T1378" s="8" t="str">
        <f ca="1">IFERROR(__xludf.DUMMYFUNCTION("""COMPUTED_VALUE"""),"Outside on School Property")</f>
        <v>Outside on School Property</v>
      </c>
      <c r="U1378" s="8" t="str">
        <f ca="1">IFERROR(__xludf.DUMMYFUNCTION("""COMPUTED_VALUE"""),"Yes")</f>
        <v>Yes</v>
      </c>
      <c r="V1378" s="8" t="str">
        <f ca="1">IFERROR(__xludf.DUMMYFUNCTION("""COMPUTED_VALUE"""),"Dismissal")</f>
        <v>Dismissal</v>
      </c>
      <c r="W1378" s="11">
        <f ca="1">IFERROR(__xludf.DUMMYFUNCTION("""COMPUTED_VALUE"""),0.614583333333333)</f>
        <v>0.61458333333333304</v>
      </c>
      <c r="X1378" s="8">
        <f ca="1">IFERROR(__xludf.DUMMYFUNCTION("""COMPUTED_VALUE"""),1)</f>
        <v>1</v>
      </c>
      <c r="Y1378" s="12" t="str">
        <f ca="1">IFERROR(__xludf.DUMMYFUNCTION("""COMPUTED_VALUE"""),"Teen fatally shot on front steps leaving the school building")</f>
        <v>Teen fatally shot on front steps leaving the school building</v>
      </c>
      <c r="Z1378" s="12" t="str">
        <f ca="1">IFERROR(__xludf.DUMMYFUNCTION("""COMPUTED_VALUE"""),"Teen fatally shot on front steps leaving the school building")</f>
        <v>Teen fatally shot on front steps leaving the school building</v>
      </c>
      <c r="AA1378" s="8"/>
      <c r="AB1378" s="8"/>
      <c r="AC1378" s="8" t="str">
        <f ca="1">IFERROR(__xludf.DUMMYFUNCTION("""COMPUTED_VALUE"""),"Yes")</f>
        <v>Yes</v>
      </c>
      <c r="AD1378" s="8" t="str">
        <f ca="1">IFERROR(__xludf.DUMMYFUNCTION("""COMPUTED_VALUE"""),"Victims Targeted")</f>
        <v>Victims Targeted</v>
      </c>
      <c r="AE1378" s="8" t="str">
        <f ca="1">IFERROR(__xludf.DUMMYFUNCTION("""COMPUTED_VALUE"""),"Yes")</f>
        <v>Yes</v>
      </c>
      <c r="AF1378" s="8"/>
      <c r="AG1378" s="8" t="str">
        <f ca="1">IFERROR(__xludf.DUMMYFUNCTION("""COMPUTED_VALUE"""),"No")</f>
        <v>No</v>
      </c>
      <c r="AH1378" s="8" t="str">
        <f ca="1">IFERROR(__xludf.DUMMYFUNCTION("""COMPUTED_VALUE"""),"No")</f>
        <v>No</v>
      </c>
      <c r="AI1378" s="8" t="str">
        <f ca="1">IFERROR(__xludf.DUMMYFUNCTION("""COMPUTED_VALUE"""),"No")</f>
        <v>No</v>
      </c>
      <c r="AJ1378" s="8" t="str">
        <f ca="1">IFERROR(__xludf.DUMMYFUNCTION("""COMPUTED_VALUE"""),"No")</f>
        <v>No</v>
      </c>
      <c r="AK1378" s="8" t="str">
        <f ca="1">IFERROR(__xludf.DUMMYFUNCTION("""COMPUTED_VALUE"""),"No")</f>
        <v>No</v>
      </c>
      <c r="AL1378" s="8"/>
      <c r="AM1378" s="8" t="str">
        <f ca="1">IFERROR(__xludf.DUMMYFUNCTION("""COMPUTED_VALUE"""),"No")</f>
        <v>No</v>
      </c>
      <c r="AN1378" s="8"/>
      <c r="AO1378" s="8" t="str">
        <f ca="1">IFERROR(__xludf.DUMMYFUNCTION("""COMPUTED_VALUE"""),"No")</f>
        <v>No</v>
      </c>
      <c r="AP1378" s="8" t="str">
        <f ca="1">IFERROR(__xludf.DUMMYFUNCTION("""COMPUTED_VALUE"""),"Yes")</f>
        <v>Yes</v>
      </c>
      <c r="AQ1378" s="8" t="str">
        <f ca="1">IFERROR(__xludf.DUMMYFUNCTION("""COMPUTED_VALUE"""),"Guards")</f>
        <v>Guards</v>
      </c>
      <c r="AR1378" s="8" t="str">
        <f ca="1">IFERROR(__xludf.DUMMYFUNCTION("""COMPUTED_VALUE"""),"Outside/Off-Property")</f>
        <v>Outside/Off-Property</v>
      </c>
      <c r="AS1378" s="8">
        <f ca="1">IFERROR(__xludf.DUMMYFUNCTION("""COMPUTED_VALUE"""),10)</f>
        <v>10</v>
      </c>
      <c r="AT1378" s="8"/>
      <c r="AU1378" s="8">
        <f ca="1">IFERROR(__xludf.DUMMYFUNCTION("""COMPUTED_VALUE"""),40.622272)</f>
        <v>40.622272000000002</v>
      </c>
      <c r="AV1378" s="8">
        <f ca="1">IFERROR(__xludf.DUMMYFUNCTION("""COMPUTED_VALUE"""),-73.954861)</f>
        <v>-73.954860999999994</v>
      </c>
      <c r="AW1378" s="8"/>
      <c r="AX1378" s="8">
        <f ca="1">IFERROR(__xludf.DUMMYFUNCTION("""COMPUTED_VALUE"""),11210)</f>
        <v>11210</v>
      </c>
    </row>
    <row r="1379" spans="1:50" ht="120" x14ac:dyDescent="0.2">
      <c r="A1379" s="8" t="str">
        <f ca="1">IFERROR(__xludf.DUMMYFUNCTION("""COMPUTED_VALUE"""),"20210429CAVIV")</f>
        <v>20210429CAVIV</v>
      </c>
      <c r="B1379" s="8">
        <f ca="1">IFERROR(__xludf.DUMMYFUNCTION("""COMPUTED_VALUE"""),4)</f>
        <v>4</v>
      </c>
      <c r="C1379" s="8">
        <f ca="1">IFERROR(__xludf.DUMMYFUNCTION("""COMPUTED_VALUE"""),29)</f>
        <v>29</v>
      </c>
      <c r="D1379" s="8">
        <f ca="1">IFERROR(__xludf.DUMMYFUNCTION("""COMPUTED_VALUE"""),2021)</f>
        <v>2021</v>
      </c>
      <c r="E1379" s="9">
        <f ca="1">IFERROR(__xludf.DUMMYFUNCTION("""COMPUTED_VALUE"""),44315)</f>
        <v>44315</v>
      </c>
      <c r="F1379" s="8" t="str">
        <f ca="1">IFERROR(__xludf.DUMMYFUNCTION("""COMPUTED_VALUE"""),"Victor Valley High School")</f>
        <v>Victor Valley High School</v>
      </c>
      <c r="G1379" s="8">
        <f ca="1">IFERROR(__xludf.DUMMYFUNCTION("""COMPUTED_VALUE"""),0)</f>
        <v>0</v>
      </c>
      <c r="H1379" s="8">
        <f ca="1">IFERROR(__xludf.DUMMYFUNCTION("""COMPUTED_VALUE"""),1)</f>
        <v>1</v>
      </c>
      <c r="I1379" s="8">
        <f ca="1">IFERROR(__xludf.DUMMYFUNCTION("""COMPUTED_VALUE"""),1)</f>
        <v>1</v>
      </c>
      <c r="J1379" s="8">
        <f ca="1">IFERROR(__xludf.DUMMYFUNCTION("""COMPUTED_VALUE"""),0)</f>
        <v>0</v>
      </c>
      <c r="K1379" s="8" t="str">
        <f ca="1">IFERROR(__xludf.DUMMYFUNCTION("""COMPUTED_VALUE"""),"https://www.sbsun.com/2021/04/30/17-year-old-accused-of-attempted-murder-after-shooting-at-a-victorville-high-school/ https://www.foxla.com/news/17-year-old-arrested-following-shooting-near-high-school-in-victorville https://www.vvdailypress.com/story/new"&amp;"s/2021/04/29/victor-valley-high-school-locked-down-after-student-shot-nearby/7401969002/")</f>
        <v>https://www.sbsun.com/2021/04/30/17-year-old-accused-of-attempted-murder-after-shooting-at-a-victorville-high-school/ https://www.foxla.com/news/17-year-old-arrested-following-shooting-near-high-school-in-victorville https://www.vvdailypress.com/story/news/2021/04/29/victor-valley-high-school-locked-down-after-student-shot-nearby/7401969002/</v>
      </c>
      <c r="L1379" s="8">
        <f ca="1">IFERROR(__xludf.DUMMYFUNCTION("""COMPUTED_VALUE"""),5)</f>
        <v>5</v>
      </c>
      <c r="M1379" s="8" t="str">
        <f ca="1">IFERROR(__xludf.DUMMYFUNCTION("""COMPUTED_VALUE"""),"Regional")</f>
        <v>Regional</v>
      </c>
      <c r="N1379" s="8">
        <f ca="1">IFERROR(__xludf.DUMMYFUNCTION("""COMPUTED_VALUE"""),4)</f>
        <v>4</v>
      </c>
      <c r="O1379" s="8" t="str">
        <f ca="1">IFERROR(__xludf.DUMMYFUNCTION("""COMPUTED_VALUE"""),"Spring")</f>
        <v>Spring</v>
      </c>
      <c r="P1379" s="8" t="str">
        <f ca="1">IFERROR(__xludf.DUMMYFUNCTION("""COMPUTED_VALUE"""),"Victorville")</f>
        <v>Victorville</v>
      </c>
      <c r="Q1379" s="8" t="str">
        <f ca="1">IFERROR(__xludf.DUMMYFUNCTION("""COMPUTED_VALUE"""),"CA")</f>
        <v>CA</v>
      </c>
      <c r="R1379" s="8" t="str">
        <f ca="1">IFERROR(__xludf.DUMMYFUNCTION("""COMPUTED_VALUE"""),"High")</f>
        <v>High</v>
      </c>
      <c r="S1379" s="8" t="str">
        <f ca="1">IFERROR(__xludf.DUMMYFUNCTION("""COMPUTED_VALUE"""),"Parking Lot")</f>
        <v>Parking Lot</v>
      </c>
      <c r="T1379" s="8" t="str">
        <f ca="1">IFERROR(__xludf.DUMMYFUNCTION("""COMPUTED_VALUE"""),"Outside on School Property")</f>
        <v>Outside on School Property</v>
      </c>
      <c r="U1379" s="8" t="str">
        <f ca="1">IFERROR(__xludf.DUMMYFUNCTION("""COMPUTED_VALUE"""),"Yes")</f>
        <v>Yes</v>
      </c>
      <c r="V1379" s="8" t="str">
        <f ca="1">IFERROR(__xludf.DUMMYFUNCTION("""COMPUTED_VALUE"""),"Lunch")</f>
        <v>Lunch</v>
      </c>
      <c r="W1379" s="11">
        <f ca="1">IFERROR(__xludf.DUMMYFUNCTION("""COMPUTED_VALUE"""),0.504861111111111)</f>
        <v>0.50486111111111098</v>
      </c>
      <c r="X1379" s="8">
        <f ca="1">IFERROR(__xludf.DUMMYFUNCTION("""COMPUTED_VALUE"""),1)</f>
        <v>1</v>
      </c>
      <c r="Y1379" s="12" t="str">
        <f ca="1">IFERROR(__xludf.DUMMYFUNCTION("""COMPUTED_VALUE"""),"Teen fired into crowd during fight in school parking lot during lunch")</f>
        <v>Teen fired into crowd during fight in school parking lot during lunch</v>
      </c>
      <c r="Z1379" s="12" t="str">
        <f ca="1">IFERROR(__xludf.DUMMYFUNCTION("""COMPUTED_VALUE"""),"Police were called for shots fired in the school parking lot during a large fight between multiple teens. The fight took place in both the school parking lot and the street in front of the school. A 17-year-old male non-student fired three shots into the "&amp;"crowd during the fight, striking an 18-year-old student in the foot. The shooter fled the scene and was arrested in a nearby residence. The school was locked down.")</f>
        <v>Police were called for shots fired in the school parking lot during a large fight between multiple teens. The fight took place in both the school parking lot and the street in front of the school. A 17-year-old male non-student fired three shots into the crowd during the fight, striking an 18-year-old student in the foot. The shooter fled the scene and was arrested in a nearby residence. The school was locked down.</v>
      </c>
      <c r="AA1379" s="8" t="str">
        <f ca="1">IFERROR(__xludf.DUMMYFUNCTION("""COMPUTED_VALUE"""),"Escalation of Dispute")</f>
        <v>Escalation of Dispute</v>
      </c>
      <c r="AB1379" s="8"/>
      <c r="AC1379" s="8" t="str">
        <f ca="1">IFERROR(__xludf.DUMMYFUNCTION("""COMPUTED_VALUE"""),"Yes")</f>
        <v>Yes</v>
      </c>
      <c r="AD1379" s="8" t="str">
        <f ca="1">IFERROR(__xludf.DUMMYFUNCTION("""COMPUTED_VALUE"""),"Random Shooting")</f>
        <v>Random Shooting</v>
      </c>
      <c r="AE1379" s="8" t="str">
        <f ca="1">IFERROR(__xludf.DUMMYFUNCTION("""COMPUTED_VALUE"""),"No")</f>
        <v>No</v>
      </c>
      <c r="AF1379" s="8"/>
      <c r="AG1379" s="8" t="str">
        <f ca="1">IFERROR(__xludf.DUMMYFUNCTION("""COMPUTED_VALUE"""),"No")</f>
        <v>No</v>
      </c>
      <c r="AH1379" s="8" t="str">
        <f ca="1">IFERROR(__xludf.DUMMYFUNCTION("""COMPUTED_VALUE"""),"No")</f>
        <v>No</v>
      </c>
      <c r="AI1379" s="8" t="str">
        <f ca="1">IFERROR(__xludf.DUMMYFUNCTION("""COMPUTED_VALUE"""),"No")</f>
        <v>No</v>
      </c>
      <c r="AJ1379" s="8" t="str">
        <f ca="1">IFERROR(__xludf.DUMMYFUNCTION("""COMPUTED_VALUE"""),"No")</f>
        <v>No</v>
      </c>
      <c r="AK1379" s="8" t="str">
        <f ca="1">IFERROR(__xludf.DUMMYFUNCTION("""COMPUTED_VALUE"""),"No")</f>
        <v>No</v>
      </c>
      <c r="AL1379" s="8" t="str">
        <f ca="1">IFERROR(__xludf.DUMMYFUNCTION("""COMPUTED_VALUE"""),"No")</f>
        <v>No</v>
      </c>
      <c r="AM1379" s="8" t="str">
        <f ca="1">IFERROR(__xludf.DUMMYFUNCTION("""COMPUTED_VALUE"""),"No")</f>
        <v>No</v>
      </c>
      <c r="AN1379" s="8"/>
      <c r="AO1379" s="8" t="str">
        <f ca="1">IFERROR(__xludf.DUMMYFUNCTION("""COMPUTED_VALUE"""),"No")</f>
        <v>No</v>
      </c>
      <c r="AP1379" s="8" t="str">
        <f ca="1">IFERROR(__xludf.DUMMYFUNCTION("""COMPUTED_VALUE"""),"Yes")</f>
        <v>Yes</v>
      </c>
      <c r="AQ1379" s="8" t="str">
        <f ca="1">IFERROR(__xludf.DUMMYFUNCTION("""COMPUTED_VALUE"""),"Guards")</f>
        <v>Guards</v>
      </c>
      <c r="AR1379" s="8" t="str">
        <f ca="1">IFERROR(__xludf.DUMMYFUNCTION("""COMPUTED_VALUE"""),"Outside/Off-Property")</f>
        <v>Outside/Off-Property</v>
      </c>
      <c r="AS1379" s="8">
        <f ca="1">IFERROR(__xludf.DUMMYFUNCTION("""COMPUTED_VALUE"""),3)</f>
        <v>3</v>
      </c>
      <c r="AT1379" s="8" t="str">
        <f ca="1">IFERROR(__xludf.DUMMYFUNCTION("""COMPUTED_VALUE"""),"Yes")</f>
        <v>Yes</v>
      </c>
      <c r="AU1379" s="8">
        <f ca="1">IFERROR(__xludf.DUMMYFUNCTION("""COMPUTED_VALUE"""),34.529456)</f>
        <v>34.529456000000003</v>
      </c>
      <c r="AV1379" s="8">
        <f ca="1">IFERROR(__xludf.DUMMYFUNCTION("""COMPUTED_VALUE"""),-117.303085)</f>
        <v>-117.303085</v>
      </c>
      <c r="AW1379" s="8"/>
      <c r="AX1379" s="8">
        <f ca="1">IFERROR(__xludf.DUMMYFUNCTION("""COMPUTED_VALUE"""),92393)</f>
        <v>92393</v>
      </c>
    </row>
    <row r="1380" spans="1:50" ht="120" x14ac:dyDescent="0.2">
      <c r="A1380" s="8" t="str">
        <f ca="1">IFERROR(__xludf.DUMMYFUNCTION("""COMPUTED_VALUE"""),"20210427TNLAM")</f>
        <v>20210427TNLAM</v>
      </c>
      <c r="B1380" s="8">
        <f ca="1">IFERROR(__xludf.DUMMYFUNCTION("""COMPUTED_VALUE"""),4)</f>
        <v>4</v>
      </c>
      <c r="C1380" s="8">
        <f ca="1">IFERROR(__xludf.DUMMYFUNCTION("""COMPUTED_VALUE"""),27)</f>
        <v>27</v>
      </c>
      <c r="D1380" s="8">
        <f ca="1">IFERROR(__xludf.DUMMYFUNCTION("""COMPUTED_VALUE"""),2021)</f>
        <v>2021</v>
      </c>
      <c r="E1380" s="9">
        <f ca="1">IFERROR(__xludf.DUMMYFUNCTION("""COMPUTED_VALUE"""),44313)</f>
        <v>44313</v>
      </c>
      <c r="F1380" s="8" t="str">
        <f ca="1">IFERROR(__xludf.DUMMYFUNCTION("""COMPUTED_VALUE"""),"La Petite Academy")</f>
        <v>La Petite Academy</v>
      </c>
      <c r="G1380" s="8">
        <f ca="1">IFERROR(__xludf.DUMMYFUNCTION("""COMPUTED_VALUE"""),0)</f>
        <v>0</v>
      </c>
      <c r="H1380" s="8">
        <f ca="1">IFERROR(__xludf.DUMMYFUNCTION("""COMPUTED_VALUE"""),0)</f>
        <v>0</v>
      </c>
      <c r="I1380" s="8">
        <f ca="1">IFERROR(__xludf.DUMMYFUNCTION("""COMPUTED_VALUE"""),0)</f>
        <v>0</v>
      </c>
      <c r="J1380" s="8">
        <f ca="1">IFERROR(__xludf.DUMMYFUNCTION("""COMPUTED_VALUE"""),0)</f>
        <v>0</v>
      </c>
      <c r="K1380" s="8" t="str">
        <f ca="1">IFERROR(__xludf.DUMMYFUNCTION("""COMPUTED_VALUE"""),"https://www.wmcactionnews5.com/2021/04/27/police-investigating-shots-fired-memphis-day-care-facility/ https://www.wkrn.com/news/tennessee-news/police-mother-fired-shot-into-memphis-daycare-after-argument-over-payments/")</f>
        <v>https://www.wmcactionnews5.com/2021/04/27/police-investigating-shots-fired-memphis-day-care-facility/ https://www.wkrn.com/news/tennessee-news/police-mother-fired-shot-into-memphis-daycare-after-argument-over-payments/</v>
      </c>
      <c r="L1380" s="8">
        <f ca="1">IFERROR(__xludf.DUMMYFUNCTION("""COMPUTED_VALUE"""),2)</f>
        <v>2</v>
      </c>
      <c r="M1380" s="8" t="str">
        <f ca="1">IFERROR(__xludf.DUMMYFUNCTION("""COMPUTED_VALUE"""),"Local")</f>
        <v>Local</v>
      </c>
      <c r="N1380" s="8">
        <f ca="1">IFERROR(__xludf.DUMMYFUNCTION("""COMPUTED_VALUE"""),4)</f>
        <v>4</v>
      </c>
      <c r="O1380" s="8" t="str">
        <f ca="1">IFERROR(__xludf.DUMMYFUNCTION("""COMPUTED_VALUE"""),"Spring")</f>
        <v>Spring</v>
      </c>
      <c r="P1380" s="8" t="str">
        <f ca="1">IFERROR(__xludf.DUMMYFUNCTION("""COMPUTED_VALUE"""),"Memphis")</f>
        <v>Memphis</v>
      </c>
      <c r="Q1380" s="8" t="str">
        <f ca="1">IFERROR(__xludf.DUMMYFUNCTION("""COMPUTED_VALUE"""),"TN")</f>
        <v>TN</v>
      </c>
      <c r="R1380" s="8" t="str">
        <f ca="1">IFERROR(__xludf.DUMMYFUNCTION("""COMPUTED_VALUE"""),"Other")</f>
        <v>Other</v>
      </c>
      <c r="S1380" s="8" t="str">
        <f ca="1">IFERROR(__xludf.DUMMYFUNCTION("""COMPUTED_VALUE"""),"Front of School")</f>
        <v>Front of School</v>
      </c>
      <c r="T1380" s="8" t="str">
        <f ca="1">IFERROR(__xludf.DUMMYFUNCTION("""COMPUTED_VALUE"""),"Outside on School Property")</f>
        <v>Outside on School Property</v>
      </c>
      <c r="U1380" s="8" t="str">
        <f ca="1">IFERROR(__xludf.DUMMYFUNCTION("""COMPUTED_VALUE"""),"Yes")</f>
        <v>Yes</v>
      </c>
      <c r="V1380" s="8" t="str">
        <f ca="1">IFERROR(__xludf.DUMMYFUNCTION("""COMPUTED_VALUE"""),"Dismissal")</f>
        <v>Dismissal</v>
      </c>
      <c r="W1380" s="11">
        <f ca="1">IFERROR(__xludf.DUMMYFUNCTION("""COMPUTED_VALUE"""),0.666666666666666)</f>
        <v>0.66666666666666596</v>
      </c>
      <c r="X1380" s="8">
        <f ca="1">IFERROR(__xludf.DUMMYFUNCTION("""COMPUTED_VALUE"""),1)</f>
        <v>1</v>
      </c>
      <c r="Y1380" s="12" t="str">
        <f ca="1">IFERROR(__xludf.DUMMYFUNCTION("""COMPUTED_VALUE"""),"Following a dispute with staff about attendance, a parent fired a shot at the front door of the school")</f>
        <v>Following a dispute with staff about attendance, a parent fired a shot at the front door of the school</v>
      </c>
      <c r="Z1380" s="12" t="str">
        <f ca="1">IFERROR(__xludf.DUMMYFUNCTION("""COMPUTED_VALUE"""),"An adult female parent had a dispute with a staff member about the attendance requirements to maintain enrollment at the school (a private pre-K to elementary ""pre-STEM"" program). Following the dispute, the woman exited the building and locked the door."&amp;" The woman walked to her car, got a handgun, tapped on the glass with the barrel of the gun, and then fired a single shot breaking the glass. She then fled the scene and was later arrested.")</f>
        <v>An adult female parent had a dispute with a staff member about the attendance requirements to maintain enrollment at the school (a private pre-K to elementary "pre-STEM" program). Following the dispute, the woman exited the building and locked the door. The woman walked to her car, got a handgun, tapped on the glass with the barrel of the gun, and then fired a single shot breaking the glass. She then fled the scene and was later arrested.</v>
      </c>
      <c r="AA1380" s="8" t="str">
        <f ca="1">IFERROR(__xludf.DUMMYFUNCTION("""COMPUTED_VALUE"""),"Escalation of Dispute")</f>
        <v>Escalation of Dispute</v>
      </c>
      <c r="AB1380" s="8"/>
      <c r="AC1380" s="8" t="str">
        <f ca="1">IFERROR(__xludf.DUMMYFUNCTION("""COMPUTED_VALUE"""),"Yes")</f>
        <v>Yes</v>
      </c>
      <c r="AD1380" s="8" t="str">
        <f ca="1">IFERROR(__xludf.DUMMYFUNCTION("""COMPUTED_VALUE"""),"Random Shooting")</f>
        <v>Random Shooting</v>
      </c>
      <c r="AE1380" s="8" t="str">
        <f ca="1">IFERROR(__xludf.DUMMYFUNCTION("""COMPUTED_VALUE"""),"No")</f>
        <v>No</v>
      </c>
      <c r="AF1380" s="8"/>
      <c r="AG1380" s="8" t="str">
        <f ca="1">IFERROR(__xludf.DUMMYFUNCTION("""COMPUTED_VALUE"""),"No")</f>
        <v>No</v>
      </c>
      <c r="AH1380" s="8" t="str">
        <f ca="1">IFERROR(__xludf.DUMMYFUNCTION("""COMPUTED_VALUE"""),"No")</f>
        <v>No</v>
      </c>
      <c r="AI1380" s="8" t="str">
        <f ca="1">IFERROR(__xludf.DUMMYFUNCTION("""COMPUTED_VALUE"""),"No")</f>
        <v>No</v>
      </c>
      <c r="AJ1380" s="8" t="str">
        <f ca="1">IFERROR(__xludf.DUMMYFUNCTION("""COMPUTED_VALUE"""),"No")</f>
        <v>No</v>
      </c>
      <c r="AK1380" s="8" t="str">
        <f ca="1">IFERROR(__xludf.DUMMYFUNCTION("""COMPUTED_VALUE"""),"No")</f>
        <v>No</v>
      </c>
      <c r="AL1380" s="8" t="str">
        <f ca="1">IFERROR(__xludf.DUMMYFUNCTION("""COMPUTED_VALUE"""),"No")</f>
        <v>No</v>
      </c>
      <c r="AM1380" s="8" t="str">
        <f ca="1">IFERROR(__xludf.DUMMYFUNCTION("""COMPUTED_VALUE"""),"No")</f>
        <v>No</v>
      </c>
      <c r="AN1380" s="8"/>
      <c r="AO1380" s="8" t="str">
        <f ca="1">IFERROR(__xludf.DUMMYFUNCTION("""COMPUTED_VALUE"""),"No")</f>
        <v>No</v>
      </c>
      <c r="AP1380" s="8" t="str">
        <f ca="1">IFERROR(__xludf.DUMMYFUNCTION("""COMPUTED_VALUE"""),"Yes")</f>
        <v>Yes</v>
      </c>
      <c r="AQ1380" s="8"/>
      <c r="AR1380" s="8" t="str">
        <f ca="1">IFERROR(__xludf.DUMMYFUNCTION("""COMPUTED_VALUE"""),"Outside/Off-Property")</f>
        <v>Outside/Off-Property</v>
      </c>
      <c r="AS1380" s="8">
        <f ca="1">IFERROR(__xludf.DUMMYFUNCTION("""COMPUTED_VALUE"""),1)</f>
        <v>1</v>
      </c>
      <c r="AT1380" s="8" t="str">
        <f ca="1">IFERROR(__xludf.DUMMYFUNCTION("""COMPUTED_VALUE"""),"Yes")</f>
        <v>Yes</v>
      </c>
      <c r="AU1380" s="8">
        <f ca="1">IFERROR(__xludf.DUMMYFUNCTION("""COMPUTED_VALUE"""),35.238791)</f>
        <v>35.238790999999999</v>
      </c>
      <c r="AV1380" s="8">
        <f ca="1">IFERROR(__xludf.DUMMYFUNCTION("""COMPUTED_VALUE"""),-89.951175)</f>
        <v>-89.951175000000006</v>
      </c>
      <c r="AW1380" s="8"/>
      <c r="AX1380" s="8">
        <f ca="1">IFERROR(__xludf.DUMMYFUNCTION("""COMPUTED_VALUE"""),38128)</f>
        <v>38128</v>
      </c>
    </row>
    <row r="1381" spans="1:50" ht="90" x14ac:dyDescent="0.2">
      <c r="A1381" s="8" t="str">
        <f ca="1">IFERROR(__xludf.DUMMYFUNCTION("""COMPUTED_VALUE"""),"20210427DESMS")</f>
        <v>20210427DESMS</v>
      </c>
      <c r="B1381" s="8">
        <f ca="1">IFERROR(__xludf.DUMMYFUNCTION("""COMPUTED_VALUE"""),4)</f>
        <v>4</v>
      </c>
      <c r="C1381" s="8">
        <f ca="1">IFERROR(__xludf.DUMMYFUNCTION("""COMPUTED_VALUE"""),27)</f>
        <v>27</v>
      </c>
      <c r="D1381" s="8">
        <f ca="1">IFERROR(__xludf.DUMMYFUNCTION("""COMPUTED_VALUE"""),2021)</f>
        <v>2021</v>
      </c>
      <c r="E1381" s="9">
        <f ca="1">IFERROR(__xludf.DUMMYFUNCTION("""COMPUTED_VALUE"""),44313)</f>
        <v>44313</v>
      </c>
      <c r="F1381" s="8" t="str">
        <f ca="1">IFERROR(__xludf.DUMMYFUNCTION("""COMPUTED_VALUE"""),"Smyrna Middle School")</f>
        <v>Smyrna Middle School</v>
      </c>
      <c r="G1381" s="8">
        <f ca="1">IFERROR(__xludf.DUMMYFUNCTION("""COMPUTED_VALUE"""),1)</f>
        <v>1</v>
      </c>
      <c r="H1381" s="8">
        <f ca="1">IFERROR(__xludf.DUMMYFUNCTION("""COMPUTED_VALUE"""),0)</f>
        <v>0</v>
      </c>
      <c r="I1381" s="8">
        <f ca="1">IFERROR(__xludf.DUMMYFUNCTION("""COMPUTED_VALUE"""),1)</f>
        <v>1</v>
      </c>
      <c r="J1381" s="8">
        <f ca="1">IFERROR(__xludf.DUMMYFUNCTION("""COMPUTED_VALUE"""),1)</f>
        <v>1</v>
      </c>
      <c r="K1381" s="8" t="str">
        <f ca="1">IFERROR(__xludf.DUMMYFUNCTION("""COMPUTED_VALUE"""),"https://www.nbcphiladelphia.com/news/local/woman-shot-outside-smyrna-middle-school/2793670/ https://6abc.com/police-suspect-in-shooting-outside-delaware-school-involved-in-2nd-homicide/10556241/ https://www.wdel.com/smyrna-school-shooting/image_82583ad6-a"&amp;"76b-11eb-828d-9b489026d544.html https://whyy.org/articles/woman-shot-at-smyrna-middle-school-in-delaware/ https://www.delawareonline.com/story/news/crime/2021/04/28/smyrna-middle-school-shooting-police-release-new-information/4871123001/")</f>
        <v>https://www.nbcphiladelphia.com/news/local/woman-shot-outside-smyrna-middle-school/2793670/ https://6abc.com/police-suspect-in-shooting-outside-delaware-school-involved-in-2nd-homicide/10556241/ https://www.wdel.com/smyrna-school-shooting/image_82583ad6-a76b-11eb-828d-9b489026d544.html https://whyy.org/articles/woman-shot-at-smyrna-middle-school-in-delaware/ https://www.delawareonline.com/story/news/crime/2021/04/28/smyrna-middle-school-shooting-police-release-new-information/4871123001/</v>
      </c>
      <c r="L1381" s="8">
        <f ca="1">IFERROR(__xludf.DUMMYFUNCTION("""COMPUTED_VALUE"""),10)</f>
        <v>10</v>
      </c>
      <c r="M1381" s="8" t="str">
        <f ca="1">IFERROR(__xludf.DUMMYFUNCTION("""COMPUTED_VALUE"""),"Regional")</f>
        <v>Regional</v>
      </c>
      <c r="N1381" s="8">
        <f ca="1">IFERROR(__xludf.DUMMYFUNCTION("""COMPUTED_VALUE"""),4)</f>
        <v>4</v>
      </c>
      <c r="O1381" s="8" t="str">
        <f ca="1">IFERROR(__xludf.DUMMYFUNCTION("""COMPUTED_VALUE"""),"Spring")</f>
        <v>Spring</v>
      </c>
      <c r="P1381" s="8" t="str">
        <f ca="1">IFERROR(__xludf.DUMMYFUNCTION("""COMPUTED_VALUE"""),"Smyrna")</f>
        <v>Smyrna</v>
      </c>
      <c r="Q1381" s="8" t="str">
        <f ca="1">IFERROR(__xludf.DUMMYFUNCTION("""COMPUTED_VALUE"""),"DE")</f>
        <v>DE</v>
      </c>
      <c r="R1381" s="8" t="str">
        <f ca="1">IFERROR(__xludf.DUMMYFUNCTION("""COMPUTED_VALUE"""),"Middle")</f>
        <v>Middle</v>
      </c>
      <c r="S1381" s="8" t="str">
        <f ca="1">IFERROR(__xludf.DUMMYFUNCTION("""COMPUTED_VALUE"""),"Parking Lot")</f>
        <v>Parking Lot</v>
      </c>
      <c r="T1381" s="8" t="str">
        <f ca="1">IFERROR(__xludf.DUMMYFUNCTION("""COMPUTED_VALUE"""),"Outside on School Property")</f>
        <v>Outside on School Property</v>
      </c>
      <c r="U1381" s="8" t="str">
        <f ca="1">IFERROR(__xludf.DUMMYFUNCTION("""COMPUTED_VALUE"""),"Yes")</f>
        <v>Yes</v>
      </c>
      <c r="V1381" s="8" t="str">
        <f ca="1">IFERROR(__xludf.DUMMYFUNCTION("""COMPUTED_VALUE"""),"Morning Classes")</f>
        <v>Morning Classes</v>
      </c>
      <c r="W1381" s="11">
        <f ca="1">IFERROR(__xludf.DUMMYFUNCTION("""COMPUTED_VALUE"""),0.934027777777777)</f>
        <v>0.93402777777777701</v>
      </c>
      <c r="X1381" s="8">
        <f ca="1">IFERROR(__xludf.DUMMYFUNCTION("""COMPUTED_VALUE"""),1)</f>
        <v>1</v>
      </c>
      <c r="Y1381" s="12" t="str">
        <f ca="1">IFERROR(__xludf.DUMMYFUNCTION("""COMPUTED_VALUE"""),"Husband shot wife in school parking lot while she was waiting to pick-up child from medical appointment")</f>
        <v>Husband shot wife in school parking lot while she was waiting to pick-up child from medical appointment</v>
      </c>
      <c r="Z1381" s="12" t="str">
        <f ca="1">IFERROR(__xludf.DUMMYFUNCTION("""COMPUTED_VALUE"""),"Husband shot wife in school parking lot while she was waiting to pick-up child from medical appointment")</f>
        <v>Husband shot wife in school parking lot while she was waiting to pick-up child from medical appointment</v>
      </c>
      <c r="AA1381" s="8" t="str">
        <f ca="1">IFERROR(__xludf.DUMMYFUNCTION("""COMPUTED_VALUE"""),"Domestic w/ Targeted Victim")</f>
        <v>Domestic w/ Targeted Victim</v>
      </c>
      <c r="AB1381" s="8"/>
      <c r="AC1381" s="8" t="str">
        <f ca="1">IFERROR(__xludf.DUMMYFUNCTION("""COMPUTED_VALUE"""),"Yes")</f>
        <v>Yes</v>
      </c>
      <c r="AD1381" s="8" t="str">
        <f ca="1">IFERROR(__xludf.DUMMYFUNCTION("""COMPUTED_VALUE"""),"Victims Targeted")</f>
        <v>Victims Targeted</v>
      </c>
      <c r="AE1381" s="8" t="str">
        <f ca="1">IFERROR(__xludf.DUMMYFUNCTION("""COMPUTED_VALUE"""),"No")</f>
        <v>No</v>
      </c>
      <c r="AF1381" s="8"/>
      <c r="AG1381" s="8" t="str">
        <f ca="1">IFERROR(__xludf.DUMMYFUNCTION("""COMPUTED_VALUE"""),"No")</f>
        <v>No</v>
      </c>
      <c r="AH1381" s="8" t="str">
        <f ca="1">IFERROR(__xludf.DUMMYFUNCTION("""COMPUTED_VALUE"""),"No")</f>
        <v>No</v>
      </c>
      <c r="AI1381" s="8" t="str">
        <f ca="1">IFERROR(__xludf.DUMMYFUNCTION("""COMPUTED_VALUE"""),"No")</f>
        <v>No</v>
      </c>
      <c r="AJ1381" s="8" t="str">
        <f ca="1">IFERROR(__xludf.DUMMYFUNCTION("""COMPUTED_VALUE"""),"No")</f>
        <v>No</v>
      </c>
      <c r="AK1381" s="8" t="str">
        <f ca="1">IFERROR(__xludf.DUMMYFUNCTION("""COMPUTED_VALUE"""),"Yes")</f>
        <v>Yes</v>
      </c>
      <c r="AL1381" s="8" t="str">
        <f ca="1">IFERROR(__xludf.DUMMYFUNCTION("""COMPUTED_VALUE"""),"No")</f>
        <v>No</v>
      </c>
      <c r="AM1381" s="8" t="str">
        <f ca="1">IFERROR(__xludf.DUMMYFUNCTION("""COMPUTED_VALUE"""),"No")</f>
        <v>No</v>
      </c>
      <c r="AN1381" s="8"/>
      <c r="AO1381" s="8" t="str">
        <f ca="1">IFERROR(__xludf.DUMMYFUNCTION("""COMPUTED_VALUE"""),"No")</f>
        <v>No</v>
      </c>
      <c r="AP1381" s="8" t="str">
        <f ca="1">IFERROR(__xludf.DUMMYFUNCTION("""COMPUTED_VALUE"""),"Yes")</f>
        <v>Yes</v>
      </c>
      <c r="AQ1381" s="8" t="str">
        <f ca="1">IFERROR(__xludf.DUMMYFUNCTION("""COMPUTED_VALUE"""),"Armed Guards")</f>
        <v>Armed Guards</v>
      </c>
      <c r="AR1381" s="8" t="str">
        <f ca="1">IFERROR(__xludf.DUMMYFUNCTION("""COMPUTED_VALUE"""),"Outside/Off-Property")</f>
        <v>Outside/Off-Property</v>
      </c>
      <c r="AS1381" s="8"/>
      <c r="AT1381" s="8" t="str">
        <f ca="1">IFERROR(__xludf.DUMMYFUNCTION("""COMPUTED_VALUE"""),"Yes")</f>
        <v>Yes</v>
      </c>
      <c r="AU1381" s="8">
        <f ca="1">IFERROR(__xludf.DUMMYFUNCTION("""COMPUTED_VALUE"""),39.302971)</f>
        <v>39.302970999999999</v>
      </c>
      <c r="AV1381" s="8">
        <f ca="1">IFERROR(__xludf.DUMMYFUNCTION("""COMPUTED_VALUE"""),-75.624683)</f>
        <v>-75.624683000000005</v>
      </c>
      <c r="AW1381" s="8"/>
      <c r="AX1381" s="8">
        <f ca="1">IFERROR(__xludf.DUMMYFUNCTION("""COMPUTED_VALUE"""),19977)</f>
        <v>19977</v>
      </c>
    </row>
    <row r="1382" spans="1:50" ht="210" x14ac:dyDescent="0.2">
      <c r="A1382" s="8" t="str">
        <f ca="1">IFERROR(__xludf.DUMMYFUNCTION("""COMPUTED_VALUE"""),"20210426MNPLP")</f>
        <v>20210426MNPLP</v>
      </c>
      <c r="B1382" s="8">
        <f ca="1">IFERROR(__xludf.DUMMYFUNCTION("""COMPUTED_VALUE"""),4)</f>
        <v>4</v>
      </c>
      <c r="C1382" s="8">
        <f ca="1">IFERROR(__xludf.DUMMYFUNCTION("""COMPUTED_VALUE"""),26)</f>
        <v>26</v>
      </c>
      <c r="D1382" s="8">
        <f ca="1">IFERROR(__xludf.DUMMYFUNCTION("""COMPUTED_VALUE"""),2021)</f>
        <v>2021</v>
      </c>
      <c r="E1382" s="9">
        <f ca="1">IFERROR(__xludf.DUMMYFUNCTION("""COMPUTED_VALUE"""),44312)</f>
        <v>44312</v>
      </c>
      <c r="F1382" s="8" t="str">
        <f ca="1">IFERROR(__xludf.DUMMYFUNCTION("""COMPUTED_VALUE"""),"Plymouth Middle School")</f>
        <v>Plymouth Middle School</v>
      </c>
      <c r="G1382" s="8">
        <f ca="1">IFERROR(__xludf.DUMMYFUNCTION("""COMPUTED_VALUE"""),0)</f>
        <v>0</v>
      </c>
      <c r="H1382" s="8">
        <f ca="1">IFERROR(__xludf.DUMMYFUNCTION("""COMPUTED_VALUE"""),0)</f>
        <v>0</v>
      </c>
      <c r="I1382" s="8">
        <f ca="1">IFERROR(__xludf.DUMMYFUNCTION("""COMPUTED_VALUE"""),0)</f>
        <v>0</v>
      </c>
      <c r="J1382" s="8">
        <f ca="1">IFERROR(__xludf.DUMMYFUNCTION("""COMPUTED_VALUE"""),0)</f>
        <v>0</v>
      </c>
      <c r="K1382" s="8" t="str">
        <f ca="1">IFERROR(__xludf.DUMMYFUNCTION("""COMPUTED_VALUE"""),"https://kstp.com/news/plymouth-middle-school-on-lockdown-students-safe-after-serious-incident-under-investigation/6086786/ https://abcnews.go.com/US/shots-fired-inside-minnesota-middle-school-hurt-police/story?id=77321095 https://kstp.com/news/father-of-s"&amp;"tudent-who-fired-gun-inside-plymouth-middle-school-offers-apologies/6087489/ https://www.startribune.com/plymouth-6th-grader-fires-gun-in-school-dad-says-boy-took-gun-from-home/600050309/?refresh=true")</f>
        <v>https://kstp.com/news/plymouth-middle-school-on-lockdown-students-safe-after-serious-incident-under-investigation/6086786/ https://abcnews.go.com/US/shots-fired-inside-minnesota-middle-school-hurt-police/story?id=77321095 https://kstp.com/news/father-of-student-who-fired-gun-inside-plymouth-middle-school-offers-apologies/6087489/ https://www.startribune.com/plymouth-6th-grader-fires-gun-in-school-dad-says-boy-took-gun-from-home/600050309/?refresh=true</v>
      </c>
      <c r="L1382" s="8">
        <f ca="1">IFERROR(__xludf.DUMMYFUNCTION("""COMPUTED_VALUE"""),50)</f>
        <v>50</v>
      </c>
      <c r="M1382" s="8" t="str">
        <f ca="1">IFERROR(__xludf.DUMMYFUNCTION("""COMPUTED_VALUE"""),"National")</f>
        <v>National</v>
      </c>
      <c r="N1382" s="8">
        <f ca="1">IFERROR(__xludf.DUMMYFUNCTION("""COMPUTED_VALUE"""),4)</f>
        <v>4</v>
      </c>
      <c r="O1382" s="8" t="str">
        <f ca="1">IFERROR(__xludf.DUMMYFUNCTION("""COMPUTED_VALUE"""),"Spring")</f>
        <v>Spring</v>
      </c>
      <c r="P1382" s="8" t="str">
        <f ca="1">IFERROR(__xludf.DUMMYFUNCTION("""COMPUTED_VALUE"""),"Plymouth")</f>
        <v>Plymouth</v>
      </c>
      <c r="Q1382" s="8" t="str">
        <f ca="1">IFERROR(__xludf.DUMMYFUNCTION("""COMPUTED_VALUE"""),"MN")</f>
        <v>MN</v>
      </c>
      <c r="R1382" s="8" t="str">
        <f ca="1">IFERROR(__xludf.DUMMYFUNCTION("""COMPUTED_VALUE"""),"Middle")</f>
        <v>Middle</v>
      </c>
      <c r="S1382" s="8" t="str">
        <f ca="1">IFERROR(__xludf.DUMMYFUNCTION("""COMPUTED_VALUE"""),"Hallway")</f>
        <v>Hallway</v>
      </c>
      <c r="T1382" s="8" t="str">
        <f ca="1">IFERROR(__xludf.DUMMYFUNCTION("""COMPUTED_VALUE"""),"Inside School Building")</f>
        <v>Inside School Building</v>
      </c>
      <c r="U1382" s="8" t="str">
        <f ca="1">IFERROR(__xludf.DUMMYFUNCTION("""COMPUTED_VALUE"""),"Yes")</f>
        <v>Yes</v>
      </c>
      <c r="V1382" s="8" t="str">
        <f ca="1">IFERROR(__xludf.DUMMYFUNCTION("""COMPUTED_VALUE"""),"Morning Classes")</f>
        <v>Morning Classes</v>
      </c>
      <c r="W1382" s="11">
        <f ca="1">IFERROR(__xludf.DUMMYFUNCTION("""COMPUTED_VALUE"""),0.363888888888888)</f>
        <v>0.36388888888888798</v>
      </c>
      <c r="X1382" s="8">
        <f ca="1">IFERROR(__xludf.DUMMYFUNCTION("""COMPUTED_VALUE"""),1)</f>
        <v>1</v>
      </c>
      <c r="Y1382" s="12" t="str">
        <f ca="1">IFERROR(__xludf.DUMMYFUNCTION("""COMPUTED_VALUE"""),"Student fired multiple shots in the school hallway attempting suicide by cop")</f>
        <v>Student fired multiple shots in the school hallway attempting suicide by cop</v>
      </c>
      <c r="Z1382" s="12" t="str">
        <f ca="1">IFERROR(__xludf.DUMMYFUNCTION("""COMPUTED_VALUE"""),"A 12-year-old student fired multiple shots into the ceiling the hallway of the school near a bathroom while morning classes were in session. Other students witnessed the shooting but were not injured. The SRO responded and the student surrendered without "&amp;"force. School was locked down and students were dismissed to parents. The shooter's father said the gun had been taken from his bedroom without permission. Father said that his son was attempting ""suicide by cop"" and this was a cry for help. Father said"&amp;": ""It's the first year of middle school. He didn't keep in contact with friends from elementary school. The COVID. These kids are getting depressed. They have no friends. They don't know what to do. They're sitting on their computers. It's starting to fr"&amp;"y their brains.""")</f>
        <v>A 12-year-old student fired multiple shots into the ceiling the hallway of the school near a bathroom while morning classes were in session. Other students witnessed the shooting but were not injured. The SRO responded and the student surrendered without force. School was locked down and students were dismissed to parents. The shooter's father said the gun had been taken from his bedroom without permission. Father said that his son was attempting "suicide by cop" and this was a cry for help. Father said: "It's the first year of middle school. He didn't keep in contact with friends from elementary school. The COVID. These kids are getting depressed. They have no friends. They don't know what to do. They're sitting on their computers. It's starting to fry their brains."</v>
      </c>
      <c r="AA1382" s="8" t="str">
        <f ca="1">IFERROR(__xludf.DUMMYFUNCTION("""COMPUTED_VALUE"""),"Suicide/Attempted")</f>
        <v>Suicide/Attempted</v>
      </c>
      <c r="AB1382" s="8"/>
      <c r="AC1382" s="8" t="str">
        <f ca="1">IFERROR(__xludf.DUMMYFUNCTION("""COMPUTED_VALUE"""),"Yes")</f>
        <v>Yes</v>
      </c>
      <c r="AD1382" s="8" t="str">
        <f ca="1">IFERROR(__xludf.DUMMYFUNCTION("""COMPUTED_VALUE"""),"Random Shooting")</f>
        <v>Random Shooting</v>
      </c>
      <c r="AE1382" s="8" t="str">
        <f ca="1">IFERROR(__xludf.DUMMYFUNCTION("""COMPUTED_VALUE"""),"No")</f>
        <v>No</v>
      </c>
      <c r="AF1382" s="8"/>
      <c r="AG1382" s="8" t="str">
        <f ca="1">IFERROR(__xludf.DUMMYFUNCTION("""COMPUTED_VALUE"""),"No")</f>
        <v>No</v>
      </c>
      <c r="AH1382" s="8" t="str">
        <f ca="1">IFERROR(__xludf.DUMMYFUNCTION("""COMPUTED_VALUE"""),"No")</f>
        <v>No</v>
      </c>
      <c r="AI1382" s="8" t="str">
        <f ca="1">IFERROR(__xludf.DUMMYFUNCTION("""COMPUTED_VALUE"""),"No")</f>
        <v>No</v>
      </c>
      <c r="AJ1382" s="8"/>
      <c r="AK1382" s="8" t="str">
        <f ca="1">IFERROR(__xludf.DUMMYFUNCTION("""COMPUTED_VALUE"""),"No")</f>
        <v>No</v>
      </c>
      <c r="AL1382" s="8" t="str">
        <f ca="1">IFERROR(__xludf.DUMMYFUNCTION("""COMPUTED_VALUE"""),"No")</f>
        <v>No</v>
      </c>
      <c r="AM1382" s="8" t="str">
        <f ca="1">IFERROR(__xludf.DUMMYFUNCTION("""COMPUTED_VALUE"""),"No")</f>
        <v>No</v>
      </c>
      <c r="AN1382" s="8"/>
      <c r="AO1382" s="8"/>
      <c r="AP1382" s="8" t="str">
        <f ca="1">IFERROR(__xludf.DUMMYFUNCTION("""COMPUTED_VALUE"""),"Yes")</f>
        <v>Yes</v>
      </c>
      <c r="AQ1382" s="8"/>
      <c r="AR1382" s="8"/>
      <c r="AS1382" s="8"/>
      <c r="AT1382" s="8" t="str">
        <f ca="1">IFERROR(__xludf.DUMMYFUNCTION("""COMPUTED_VALUE"""),"Yes")</f>
        <v>Yes</v>
      </c>
      <c r="AU1382" s="8">
        <f ca="1">IFERROR(__xludf.DUMMYFUNCTION("""COMPUTED_VALUE"""),45.021765)</f>
        <v>45.021765000000002</v>
      </c>
      <c r="AV1382" s="8">
        <f ca="1">IFERROR(__xludf.DUMMYFUNCTION("""COMPUTED_VALUE"""),-93.407573)</f>
        <v>-93.407572999999999</v>
      </c>
      <c r="AW1382" s="8"/>
      <c r="AX1382" s="8">
        <f ca="1">IFERROR(__xludf.DUMMYFUNCTION("""COMPUTED_VALUE"""),55441)</f>
        <v>55441</v>
      </c>
    </row>
    <row r="1383" spans="1:50" ht="105" x14ac:dyDescent="0.2">
      <c r="A1383" s="8" t="str">
        <f ca="1">IFERROR(__xludf.DUMMYFUNCTION("""COMPUTED_VALUE"""),"20210420TXHAH")</f>
        <v>20210420TXHAH</v>
      </c>
      <c r="B1383" s="8">
        <f ca="1">IFERROR(__xludf.DUMMYFUNCTION("""COMPUTED_VALUE"""),4)</f>
        <v>4</v>
      </c>
      <c r="C1383" s="8">
        <f ca="1">IFERROR(__xludf.DUMMYFUNCTION("""COMPUTED_VALUE"""),20)</f>
        <v>20</v>
      </c>
      <c r="D1383" s="8">
        <f ca="1">IFERROR(__xludf.DUMMYFUNCTION("""COMPUTED_VALUE"""),2021)</f>
        <v>2021</v>
      </c>
      <c r="E1383" s="9">
        <f ca="1">IFERROR(__xludf.DUMMYFUNCTION("""COMPUTED_VALUE"""),44306)</f>
        <v>44306</v>
      </c>
      <c r="F1383" s="8" t="str">
        <f ca="1">IFERROR(__xludf.DUMMYFUNCTION("""COMPUTED_VALUE"""),"Harker Heights High School")</f>
        <v>Harker Heights High School</v>
      </c>
      <c r="G1383" s="8">
        <f ca="1">IFERROR(__xludf.DUMMYFUNCTION("""COMPUTED_VALUE"""),1)</f>
        <v>1</v>
      </c>
      <c r="H1383" s="8">
        <f ca="1">IFERROR(__xludf.DUMMYFUNCTION("""COMPUTED_VALUE"""),0)</f>
        <v>0</v>
      </c>
      <c r="I1383" s="8">
        <f ca="1">IFERROR(__xludf.DUMMYFUNCTION("""COMPUTED_VALUE"""),1)</f>
        <v>1</v>
      </c>
      <c r="J1383" s="8">
        <f ca="1">IFERROR(__xludf.DUMMYFUNCTION("""COMPUTED_VALUE"""),0)</f>
        <v>0</v>
      </c>
      <c r="K1383" s="8" t="str">
        <f ca="1">IFERROR(__xludf.DUMMYFUNCTION("""COMPUTED_VALUE"""),"https://www.fox44news.com/news/local-news/update-three-arrested-in-harker-heights-high-school-parking-lot-shooting/#/questions/3264283 https://www.fox44news.com/news/local-news/man-dies-in-harker-heights-high-school-parking-lot-shooting/#/questions/326428"&amp;"3")</f>
        <v>https://www.fox44news.com/news/local-news/update-three-arrested-in-harker-heights-high-school-parking-lot-shooting/#/questions/3264283 https://www.fox44news.com/news/local-news/man-dies-in-harker-heights-high-school-parking-lot-shooting/#/questions/3264283</v>
      </c>
      <c r="L1383" s="8">
        <f ca="1">IFERROR(__xludf.DUMMYFUNCTION("""COMPUTED_VALUE"""),10)</f>
        <v>10</v>
      </c>
      <c r="M1383" s="8" t="str">
        <f ca="1">IFERROR(__xludf.DUMMYFUNCTION("""COMPUTED_VALUE"""),"Local")</f>
        <v>Local</v>
      </c>
      <c r="N1383" s="8">
        <f ca="1">IFERROR(__xludf.DUMMYFUNCTION("""COMPUTED_VALUE"""),4)</f>
        <v>4</v>
      </c>
      <c r="O1383" s="8" t="str">
        <f ca="1">IFERROR(__xludf.DUMMYFUNCTION("""COMPUTED_VALUE"""),"Spring")</f>
        <v>Spring</v>
      </c>
      <c r="P1383" s="8" t="str">
        <f ca="1">IFERROR(__xludf.DUMMYFUNCTION("""COMPUTED_VALUE"""),"Harker Heights")</f>
        <v>Harker Heights</v>
      </c>
      <c r="Q1383" s="8" t="str">
        <f ca="1">IFERROR(__xludf.DUMMYFUNCTION("""COMPUTED_VALUE"""),"TX")</f>
        <v>TX</v>
      </c>
      <c r="R1383" s="8" t="str">
        <f ca="1">IFERROR(__xludf.DUMMYFUNCTION("""COMPUTED_VALUE"""),"High")</f>
        <v>High</v>
      </c>
      <c r="S1383" s="8" t="str">
        <f ca="1">IFERROR(__xludf.DUMMYFUNCTION("""COMPUTED_VALUE"""),"Parking Lot")</f>
        <v>Parking Lot</v>
      </c>
      <c r="T1383" s="8" t="str">
        <f ca="1">IFERROR(__xludf.DUMMYFUNCTION("""COMPUTED_VALUE"""),"Outside on School Property")</f>
        <v>Outside on School Property</v>
      </c>
      <c r="U1383" s="8" t="str">
        <f ca="1">IFERROR(__xludf.DUMMYFUNCTION("""COMPUTED_VALUE"""),"No")</f>
        <v>No</v>
      </c>
      <c r="V1383" s="8" t="str">
        <f ca="1">IFERROR(__xludf.DUMMYFUNCTION("""COMPUTED_VALUE"""),"Night")</f>
        <v>Night</v>
      </c>
      <c r="W1383" s="11">
        <f ca="1">IFERROR(__xludf.DUMMYFUNCTION("""COMPUTED_VALUE"""),0.964583333333333)</f>
        <v>0.96458333333333302</v>
      </c>
      <c r="X1383" s="8">
        <f ca="1">IFERROR(__xludf.DUMMYFUNCTION("""COMPUTED_VALUE"""),1)</f>
        <v>1</v>
      </c>
      <c r="Y1383" s="12" t="str">
        <f ca="1">IFERROR(__xludf.DUMMYFUNCTION("""COMPUTED_VALUE"""),"Teen shot and killed in school parking lot")</f>
        <v>Teen shot and killed in school parking lot</v>
      </c>
      <c r="Z1383" s="12" t="str">
        <f ca="1">IFERROR(__xludf.DUMMYFUNCTION("""COMPUTED_VALUE"""),"Police received 6 different 9-1-1 calls for shots fired in the school parking lot. Police found a 19YOM victim who had fled to a nearby wooded area. He had been shot multiple times and died at the hospital. Three other teens fled the area and were later a"&amp;"rrested. One was charged with discharging a firearm and the other two with aggravated robbery.")</f>
        <v>Police received 6 different 9-1-1 calls for shots fired in the school parking lot. Police found a 19YOM victim who had fled to a nearby wooded area. He had been shot multiple times and died at the hospital. Three other teens fled the area and were later arrested. One was charged with discharging a firearm and the other two with aggravated robbery.</v>
      </c>
      <c r="AA1383" s="8" t="str">
        <f ca="1">IFERROR(__xludf.DUMMYFUNCTION("""COMPUTED_VALUE"""),"Illegal Activity")</f>
        <v>Illegal Activity</v>
      </c>
      <c r="AB1383" s="8"/>
      <c r="AC1383" s="8" t="str">
        <f ca="1">IFERROR(__xludf.DUMMYFUNCTION("""COMPUTED_VALUE"""),"No")</f>
        <v>No</v>
      </c>
      <c r="AD1383" s="8" t="str">
        <f ca="1">IFERROR(__xludf.DUMMYFUNCTION("""COMPUTED_VALUE"""),"Victims Targeted")</f>
        <v>Victims Targeted</v>
      </c>
      <c r="AE1383" s="8" t="str">
        <f ca="1">IFERROR(__xludf.DUMMYFUNCTION("""COMPUTED_VALUE"""),"Yes")</f>
        <v>Yes</v>
      </c>
      <c r="AF1383" s="8" t="str">
        <f ca="1">IFERROR(__xludf.DUMMYFUNCTION("""COMPUTED_VALUE"""),"Three teens charged")</f>
        <v>Three teens charged</v>
      </c>
      <c r="AG1383" s="8" t="str">
        <f ca="1">IFERROR(__xludf.DUMMYFUNCTION("""COMPUTED_VALUE"""),"No")</f>
        <v>No</v>
      </c>
      <c r="AH1383" s="8" t="str">
        <f ca="1">IFERROR(__xludf.DUMMYFUNCTION("""COMPUTED_VALUE"""),"No")</f>
        <v>No</v>
      </c>
      <c r="AI1383" s="8" t="str">
        <f ca="1">IFERROR(__xludf.DUMMYFUNCTION("""COMPUTED_VALUE"""),"No")</f>
        <v>No</v>
      </c>
      <c r="AJ1383" s="8" t="str">
        <f ca="1">IFERROR(__xludf.DUMMYFUNCTION("""COMPUTED_VALUE"""),"No")</f>
        <v>No</v>
      </c>
      <c r="AK1383" s="8" t="str">
        <f ca="1">IFERROR(__xludf.DUMMYFUNCTION("""COMPUTED_VALUE"""),"No")</f>
        <v>No</v>
      </c>
      <c r="AL1383" s="8" t="str">
        <f ca="1">IFERROR(__xludf.DUMMYFUNCTION("""COMPUTED_VALUE"""),"No")</f>
        <v>No</v>
      </c>
      <c r="AM1383" s="8" t="str">
        <f ca="1">IFERROR(__xludf.DUMMYFUNCTION("""COMPUTED_VALUE"""),"No")</f>
        <v>No</v>
      </c>
      <c r="AN1383" s="8"/>
      <c r="AO1383" s="8" t="str">
        <f ca="1">IFERROR(__xludf.DUMMYFUNCTION("""COMPUTED_VALUE"""),"No")</f>
        <v>No</v>
      </c>
      <c r="AP1383" s="8"/>
      <c r="AQ1383" s="8"/>
      <c r="AR1383" s="8" t="str">
        <f ca="1">IFERROR(__xludf.DUMMYFUNCTION("""COMPUTED_VALUE"""),"Outside/Off-Property")</f>
        <v>Outside/Off-Property</v>
      </c>
      <c r="AS1383" s="8"/>
      <c r="AT1383" s="8"/>
      <c r="AU1383" s="8">
        <f ca="1">IFERROR(__xludf.DUMMYFUNCTION("""COMPUTED_VALUE"""),31.056491)</f>
        <v>31.056491000000001</v>
      </c>
      <c r="AV1383" s="8">
        <f ca="1">IFERROR(__xludf.DUMMYFUNCTION("""COMPUTED_VALUE"""),-97.651559)</f>
        <v>-97.651559000000006</v>
      </c>
      <c r="AW1383" s="8"/>
      <c r="AX1383" s="8">
        <f ca="1">IFERROR(__xludf.DUMMYFUNCTION("""COMPUTED_VALUE"""),76548)</f>
        <v>76548</v>
      </c>
    </row>
    <row r="1384" spans="1:50" ht="75" x14ac:dyDescent="0.2">
      <c r="A1384" s="8" t="str">
        <f ca="1">IFERROR(__xludf.DUMMYFUNCTION("""COMPUTED_VALUE"""),"20210418OHWED")</f>
        <v>20210418OHWED</v>
      </c>
      <c r="B1384" s="8">
        <f ca="1">IFERROR(__xludf.DUMMYFUNCTION("""COMPUTED_VALUE"""),4)</f>
        <v>4</v>
      </c>
      <c r="C1384" s="8">
        <f ca="1">IFERROR(__xludf.DUMMYFUNCTION("""COMPUTED_VALUE"""),18)</f>
        <v>18</v>
      </c>
      <c r="D1384" s="8">
        <f ca="1">IFERROR(__xludf.DUMMYFUNCTION("""COMPUTED_VALUE"""),2021)</f>
        <v>2021</v>
      </c>
      <c r="E1384" s="9">
        <f ca="1">IFERROR(__xludf.DUMMYFUNCTION("""COMPUTED_VALUE"""),44304)</f>
        <v>44304</v>
      </c>
      <c r="F1384" s="8" t="str">
        <f ca="1">IFERROR(__xludf.DUMMYFUNCTION("""COMPUTED_VALUE"""),"Westwood Elementary School")</f>
        <v>Westwood Elementary School</v>
      </c>
      <c r="G1384" s="8">
        <f ca="1">IFERROR(__xludf.DUMMYFUNCTION("""COMPUTED_VALUE"""),1)</f>
        <v>1</v>
      </c>
      <c r="H1384" s="8">
        <f ca="1">IFERROR(__xludf.DUMMYFUNCTION("""COMPUTED_VALUE"""),1)</f>
        <v>1</v>
      </c>
      <c r="I1384" s="8">
        <f ca="1">IFERROR(__xludf.DUMMYFUNCTION("""COMPUTED_VALUE"""),2)</f>
        <v>2</v>
      </c>
      <c r="J1384" s="8">
        <f ca="1">IFERROR(__xludf.DUMMYFUNCTION("""COMPUTED_VALUE"""),0)</f>
        <v>0</v>
      </c>
      <c r="K1384" s="8" t="str">
        <f ca="1">IFERROR(__xludf.DUMMYFUNCTION("""COMPUTED_VALUE"""),"https://www.whio.com/news/local/2-people-shot-n-upland-avenue/ZVXVPN6BXJAHFEWPOVTP4QBAFQ/ https://dayton247now.com/news/local/shooting-reported-on-upland-ave")</f>
        <v>https://www.whio.com/news/local/2-people-shot-n-upland-avenue/ZVXVPN6BXJAHFEWPOVTP4QBAFQ/ https://dayton247now.com/news/local/shooting-reported-on-upland-ave</v>
      </c>
      <c r="L1384" s="8">
        <f ca="1">IFERROR(__xludf.DUMMYFUNCTION("""COMPUTED_VALUE"""),2)</f>
        <v>2</v>
      </c>
      <c r="M1384" s="8" t="str">
        <f ca="1">IFERROR(__xludf.DUMMYFUNCTION("""COMPUTED_VALUE"""),"Local")</f>
        <v>Local</v>
      </c>
      <c r="N1384" s="8">
        <f ca="1">IFERROR(__xludf.DUMMYFUNCTION("""COMPUTED_VALUE"""),3)</f>
        <v>3</v>
      </c>
      <c r="O1384" s="8" t="str">
        <f ca="1">IFERROR(__xludf.DUMMYFUNCTION("""COMPUTED_VALUE"""),"Spring")</f>
        <v>Spring</v>
      </c>
      <c r="P1384" s="8" t="str">
        <f ca="1">IFERROR(__xludf.DUMMYFUNCTION("""COMPUTED_VALUE"""),"Dayton")</f>
        <v>Dayton</v>
      </c>
      <c r="Q1384" s="8" t="str">
        <f ca="1">IFERROR(__xludf.DUMMYFUNCTION("""COMPUTED_VALUE"""),"OH")</f>
        <v>OH</v>
      </c>
      <c r="R1384" s="8" t="str">
        <f ca="1">IFERROR(__xludf.DUMMYFUNCTION("""COMPUTED_VALUE"""),"Elementary")</f>
        <v>Elementary</v>
      </c>
      <c r="S1384" s="8" t="str">
        <f ca="1">IFERROR(__xludf.DUMMYFUNCTION("""COMPUTED_VALUE"""),"Playground")</f>
        <v>Playground</v>
      </c>
      <c r="T1384" s="8" t="str">
        <f ca="1">IFERROR(__xludf.DUMMYFUNCTION("""COMPUTED_VALUE"""),"Outside on School Property")</f>
        <v>Outside on School Property</v>
      </c>
      <c r="U1384" s="8" t="str">
        <f ca="1">IFERROR(__xludf.DUMMYFUNCTION("""COMPUTED_VALUE"""),"No")</f>
        <v>No</v>
      </c>
      <c r="V1384" s="8" t="str">
        <f ca="1">IFERROR(__xludf.DUMMYFUNCTION("""COMPUTED_VALUE"""),"Not a School Day")</f>
        <v>Not a School Day</v>
      </c>
      <c r="W1384" s="11">
        <f ca="1">IFERROR(__xludf.DUMMYFUNCTION("""COMPUTED_VALUE"""),0.677083333333333)</f>
        <v>0.67708333333333304</v>
      </c>
      <c r="X1384" s="8">
        <f ca="1">IFERROR(__xludf.DUMMYFUNCTION("""COMPUTED_VALUE"""),1)</f>
        <v>1</v>
      </c>
      <c r="Y1384" s="12" t="str">
        <f ca="1">IFERROR(__xludf.DUMMYFUNCTION("""COMPUTED_VALUE"""),"Two teens found shot inside a vehicle near the school playground")</f>
        <v>Two teens found shot inside a vehicle near the school playground</v>
      </c>
      <c r="Z1384" s="12" t="str">
        <f ca="1">IFERROR(__xludf.DUMMYFUNCTION("""COMPUTED_VALUE"""),"Two teens were found shot inside a vehicle near the school playground. One teen died at the hospital. Police found shell casings behind the elementary school and near the playground. Shooter fled the scene. No students or staff involved.")</f>
        <v>Two teens were found shot inside a vehicle near the school playground. One teen died at the hospital. Police found shell casings behind the elementary school and near the playground. Shooter fled the scene. No students or staff involved.</v>
      </c>
      <c r="AA1384" s="8"/>
      <c r="AB1384" s="8"/>
      <c r="AC1384" s="8" t="str">
        <f ca="1">IFERROR(__xludf.DUMMYFUNCTION("""COMPUTED_VALUE"""),"No")</f>
        <v>No</v>
      </c>
      <c r="AD1384" s="8" t="str">
        <f ca="1">IFERROR(__xludf.DUMMYFUNCTION("""COMPUTED_VALUE"""),"Victims Targeted")</f>
        <v>Victims Targeted</v>
      </c>
      <c r="AE1384" s="8"/>
      <c r="AF1384" s="8"/>
      <c r="AG1384" s="8" t="str">
        <f ca="1">IFERROR(__xludf.DUMMYFUNCTION("""COMPUTED_VALUE"""),"No")</f>
        <v>No</v>
      </c>
      <c r="AH1384" s="8" t="str">
        <f ca="1">IFERROR(__xludf.DUMMYFUNCTION("""COMPUTED_VALUE"""),"No")</f>
        <v>No</v>
      </c>
      <c r="AI1384" s="8" t="str">
        <f ca="1">IFERROR(__xludf.DUMMYFUNCTION("""COMPUTED_VALUE"""),"No")</f>
        <v>No</v>
      </c>
      <c r="AJ1384" s="8" t="str">
        <f ca="1">IFERROR(__xludf.DUMMYFUNCTION("""COMPUTED_VALUE"""),"No")</f>
        <v>No</v>
      </c>
      <c r="AK1384" s="8" t="str">
        <f ca="1">IFERROR(__xludf.DUMMYFUNCTION("""COMPUTED_VALUE"""),"No")</f>
        <v>No</v>
      </c>
      <c r="AL1384" s="8"/>
      <c r="AM1384" s="8" t="str">
        <f ca="1">IFERROR(__xludf.DUMMYFUNCTION("""COMPUTED_VALUE"""),"No")</f>
        <v>No</v>
      </c>
      <c r="AN1384" s="8"/>
      <c r="AO1384" s="8" t="str">
        <f ca="1">IFERROR(__xludf.DUMMYFUNCTION("""COMPUTED_VALUE"""),"No")</f>
        <v>No</v>
      </c>
      <c r="AP1384" s="8"/>
      <c r="AQ1384" s="8"/>
      <c r="AR1384" s="8" t="str">
        <f ca="1">IFERROR(__xludf.DUMMYFUNCTION("""COMPUTED_VALUE"""),"Outside/Off-Property")</f>
        <v>Outside/Off-Property</v>
      </c>
      <c r="AS1384" s="8"/>
      <c r="AT1384" s="8"/>
      <c r="AU1384" s="8">
        <f ca="1">IFERROR(__xludf.DUMMYFUNCTION("""COMPUTED_VALUE"""),39.759494)</f>
        <v>39.759493999999997</v>
      </c>
      <c r="AV1384" s="8">
        <f ca="1">IFERROR(__xludf.DUMMYFUNCTION("""COMPUTED_VALUE"""),-84.247068)</f>
        <v>-84.247067999999999</v>
      </c>
      <c r="AW1384" s="8"/>
      <c r="AX1384" s="8">
        <f ca="1">IFERROR(__xludf.DUMMYFUNCTION("""COMPUTED_VALUE"""),45417)</f>
        <v>45417</v>
      </c>
    </row>
    <row r="1385" spans="1:50" ht="105" x14ac:dyDescent="0.2">
      <c r="A1385" s="8" t="str">
        <f ca="1">IFERROR(__xludf.DUMMYFUNCTION("""COMPUTED_VALUE"""),"20210413TNMAC")</f>
        <v>20210413TNMAC</v>
      </c>
      <c r="B1385" s="8">
        <f ca="1">IFERROR(__xludf.DUMMYFUNCTION("""COMPUTED_VALUE"""),4)</f>
        <v>4</v>
      </c>
      <c r="C1385" s="8">
        <f ca="1">IFERROR(__xludf.DUMMYFUNCTION("""COMPUTED_VALUE"""),13)</f>
        <v>13</v>
      </c>
      <c r="D1385" s="8">
        <f ca="1">IFERROR(__xludf.DUMMYFUNCTION("""COMPUTED_VALUE"""),2021)</f>
        <v>2021</v>
      </c>
      <c r="E1385" s="9">
        <f ca="1">IFERROR(__xludf.DUMMYFUNCTION("""COMPUTED_VALUE"""),44299)</f>
        <v>44299</v>
      </c>
      <c r="F1385" s="8" t="str">
        <f ca="1">IFERROR(__xludf.DUMMYFUNCTION("""COMPUTED_VALUE"""),"Maury County Public Schools Bus No. 50")</f>
        <v>Maury County Public Schools Bus No. 50</v>
      </c>
      <c r="G1385" s="8">
        <f ca="1">IFERROR(__xludf.DUMMYFUNCTION("""COMPUTED_VALUE"""),0)</f>
        <v>0</v>
      </c>
      <c r="H1385" s="8">
        <f ca="1">IFERROR(__xludf.DUMMYFUNCTION("""COMPUTED_VALUE"""),0)</f>
        <v>0</v>
      </c>
      <c r="I1385" s="8">
        <f ca="1">IFERROR(__xludf.DUMMYFUNCTION("""COMPUTED_VALUE"""),0)</f>
        <v>0</v>
      </c>
      <c r="J1385" s="8">
        <f ca="1">IFERROR(__xludf.DUMMYFUNCTION("""COMPUTED_VALUE"""),0)</f>
        <v>0</v>
      </c>
      <c r="K1385" s="8" t="str">
        <f ca="1">IFERROR(__xludf.DUMMYFUNCTION("""COMPUTED_VALUE"""),"https://www.wsmv.com/news/maury_county/woman-arrested-after-pulling-gun-on-maury-county-school-bus/article_e2233d3e-9e20-11eb-8dfe-0b2859ab07ec.html https://www.wsmv.com/news/maury_county/woman-arrested-after-pulling-gun-on-maury-county-school-bus/article"&amp;"_e2233d3e-9e20-11eb-8dfe-0b2859ab07ec.html")</f>
        <v>https://www.wsmv.com/news/maury_county/woman-arrested-after-pulling-gun-on-maury-county-school-bus/article_e2233d3e-9e20-11eb-8dfe-0b2859ab07ec.html https://www.wsmv.com/news/maury_county/woman-arrested-after-pulling-gun-on-maury-county-school-bus/article_e2233d3e-9e20-11eb-8dfe-0b2859ab07ec.html</v>
      </c>
      <c r="L1385" s="8">
        <f ca="1">IFERROR(__xludf.DUMMYFUNCTION("""COMPUTED_VALUE"""),2)</f>
        <v>2</v>
      </c>
      <c r="M1385" s="8" t="str">
        <f ca="1">IFERROR(__xludf.DUMMYFUNCTION("""COMPUTED_VALUE"""),"Local")</f>
        <v>Local</v>
      </c>
      <c r="N1385" s="8">
        <f ca="1">IFERROR(__xludf.DUMMYFUNCTION("""COMPUTED_VALUE"""),3)</f>
        <v>3</v>
      </c>
      <c r="O1385" s="8" t="str">
        <f ca="1">IFERROR(__xludf.DUMMYFUNCTION("""COMPUTED_VALUE"""),"Spring")</f>
        <v>Spring</v>
      </c>
      <c r="P1385" s="8" t="str">
        <f ca="1">IFERROR(__xludf.DUMMYFUNCTION("""COMPUTED_VALUE"""),"Columbia")</f>
        <v>Columbia</v>
      </c>
      <c r="Q1385" s="8" t="str">
        <f ca="1">IFERROR(__xludf.DUMMYFUNCTION("""COMPUTED_VALUE"""),"TN")</f>
        <v>TN</v>
      </c>
      <c r="R1385" s="8"/>
      <c r="S1385" s="8" t="str">
        <f ca="1">IFERROR(__xludf.DUMMYFUNCTION("""COMPUTED_VALUE"""),"School Bus")</f>
        <v>School Bus</v>
      </c>
      <c r="T1385" s="8" t="str">
        <f ca="1">IFERROR(__xludf.DUMMYFUNCTION("""COMPUTED_VALUE"""),"School Bus")</f>
        <v>School Bus</v>
      </c>
      <c r="U1385" s="8" t="str">
        <f ca="1">IFERROR(__xludf.DUMMYFUNCTION("""COMPUTED_VALUE"""),"Yes")</f>
        <v>Yes</v>
      </c>
      <c r="V1385" s="8" t="str">
        <f ca="1">IFERROR(__xludf.DUMMYFUNCTION("""COMPUTED_VALUE"""),"Dismissal")</f>
        <v>Dismissal</v>
      </c>
      <c r="W1385" s="11">
        <f ca="1">IFERROR(__xludf.DUMMYFUNCTION("""COMPUTED_VALUE"""),0.666666666666666)</f>
        <v>0.66666666666666596</v>
      </c>
      <c r="X1385" s="8">
        <f ca="1">IFERROR(__xludf.DUMMYFUNCTION("""COMPUTED_VALUE"""),1)</f>
        <v>1</v>
      </c>
      <c r="Y1385" s="12" t="str">
        <f ca="1">IFERROR(__xludf.DUMMYFUNCTION("""COMPUTED_VALUE"""),"Woman was upset school bus was late and pulled gun during argument with bus driver")</f>
        <v>Woman was upset school bus was late and pulled gun during argument with bus driver</v>
      </c>
      <c r="Z1385" s="12" t="str">
        <f ca="1">IFERROR(__xludf.DUMMYFUNCTION("""COMPUTED_VALUE"""),"9 students and 2 staff members (bus driver and driver trainee) were on a school bus when a 32-year-old woman got onto the bus. She was upset about the bus being late and pulled a semi-automatic handgun. She did not fire the weapon and left the scene. Scho"&amp;"ol bus driver notified police to report the incident. No students or staff were injured. Woman was arrested.")</f>
        <v>9 students and 2 staff members (bus driver and driver trainee) were on a school bus when a 32-year-old woman got onto the bus. She was upset about the bus being late and pulled a semi-automatic handgun. She did not fire the weapon and left the scene. School bus driver notified police to report the incident. No students or staff were injured. Woman was arrested.</v>
      </c>
      <c r="AA1385" s="8" t="str">
        <f ca="1">IFERROR(__xludf.DUMMYFUNCTION("""COMPUTED_VALUE"""),"Escalation of Dispute")</f>
        <v>Escalation of Dispute</v>
      </c>
      <c r="AB1385" s="8"/>
      <c r="AC1385" s="8" t="str">
        <f ca="1">IFERROR(__xludf.DUMMYFUNCTION("""COMPUTED_VALUE"""),"Yes")</f>
        <v>Yes</v>
      </c>
      <c r="AD1385" s="8" t="str">
        <f ca="1">IFERROR(__xludf.DUMMYFUNCTION("""COMPUTED_VALUE"""),"Victims Targeted")</f>
        <v>Victims Targeted</v>
      </c>
      <c r="AE1385" s="8" t="str">
        <f ca="1">IFERROR(__xludf.DUMMYFUNCTION("""COMPUTED_VALUE"""),"No")</f>
        <v>No</v>
      </c>
      <c r="AF1385" s="8"/>
      <c r="AG1385" s="8" t="str">
        <f ca="1">IFERROR(__xludf.DUMMYFUNCTION("""COMPUTED_VALUE"""),"No")</f>
        <v>No</v>
      </c>
      <c r="AH1385" s="8" t="str">
        <f ca="1">IFERROR(__xludf.DUMMYFUNCTION("""COMPUTED_VALUE"""),"No")</f>
        <v>No</v>
      </c>
      <c r="AI1385" s="8" t="str">
        <f ca="1">IFERROR(__xludf.DUMMYFUNCTION("""COMPUTED_VALUE"""),"No")</f>
        <v>No</v>
      </c>
      <c r="AJ1385" s="8" t="str">
        <f ca="1">IFERROR(__xludf.DUMMYFUNCTION("""COMPUTED_VALUE"""),"No")</f>
        <v>No</v>
      </c>
      <c r="AK1385" s="8" t="str">
        <f ca="1">IFERROR(__xludf.DUMMYFUNCTION("""COMPUTED_VALUE"""),"No")</f>
        <v>No</v>
      </c>
      <c r="AL1385" s="8" t="str">
        <f ca="1">IFERROR(__xludf.DUMMYFUNCTION("""COMPUTED_VALUE"""),"No")</f>
        <v>No</v>
      </c>
      <c r="AM1385" s="8" t="str">
        <f ca="1">IFERROR(__xludf.DUMMYFUNCTION("""COMPUTED_VALUE"""),"No")</f>
        <v>No</v>
      </c>
      <c r="AN1385" s="8"/>
      <c r="AO1385" s="8" t="str">
        <f ca="1">IFERROR(__xludf.DUMMYFUNCTION("""COMPUTED_VALUE"""),"No")</f>
        <v>No</v>
      </c>
      <c r="AP1385" s="8"/>
      <c r="AQ1385" s="8"/>
      <c r="AR1385" s="8" t="str">
        <f ca="1">IFERROR(__xludf.DUMMYFUNCTION("""COMPUTED_VALUE"""),"Outside/Off-Property")</f>
        <v>Outside/Off-Property</v>
      </c>
      <c r="AS1385" s="8">
        <f ca="1">IFERROR(__xludf.DUMMYFUNCTION("""COMPUTED_VALUE"""),0)</f>
        <v>0</v>
      </c>
      <c r="AT1385" s="8"/>
      <c r="AU1385" s="8">
        <f ca="1">IFERROR(__xludf.DUMMYFUNCTION("""COMPUTED_VALUE"""),35.610373)</f>
        <v>35.610373000000003</v>
      </c>
      <c r="AV1385" s="8">
        <f ca="1">IFERROR(__xludf.DUMMYFUNCTION("""COMPUTED_VALUE"""),-87.045088)</f>
        <v>-87.045088000000007</v>
      </c>
      <c r="AW1385" s="8"/>
      <c r="AX1385" s="8">
        <f ca="1">IFERROR(__xludf.DUMMYFUNCTION("""COMPUTED_VALUE"""),38401)</f>
        <v>38401</v>
      </c>
    </row>
    <row r="1386" spans="1:50" ht="120" x14ac:dyDescent="0.2">
      <c r="A1386" s="8" t="str">
        <f ca="1">IFERROR(__xludf.DUMMYFUNCTION("""COMPUTED_VALUE"""),"20210412TNAUK")</f>
        <v>20210412TNAUK</v>
      </c>
      <c r="B1386" s="8">
        <f ca="1">IFERROR(__xludf.DUMMYFUNCTION("""COMPUTED_VALUE"""),4)</f>
        <v>4</v>
      </c>
      <c r="C1386" s="8">
        <f ca="1">IFERROR(__xludf.DUMMYFUNCTION("""COMPUTED_VALUE"""),12)</f>
        <v>12</v>
      </c>
      <c r="D1386" s="8">
        <f ca="1">IFERROR(__xludf.DUMMYFUNCTION("""COMPUTED_VALUE"""),2021)</f>
        <v>2021</v>
      </c>
      <c r="E1386" s="9">
        <f ca="1">IFERROR(__xludf.DUMMYFUNCTION("""COMPUTED_VALUE"""),44298)</f>
        <v>44298</v>
      </c>
      <c r="F1386" s="8" t="str">
        <f ca="1">IFERROR(__xludf.DUMMYFUNCTION("""COMPUTED_VALUE"""),"Austin-East Magnet High School")</f>
        <v>Austin-East Magnet High School</v>
      </c>
      <c r="G1386" s="8">
        <f ca="1">IFERROR(__xludf.DUMMYFUNCTION("""COMPUTED_VALUE"""),0)</f>
        <v>0</v>
      </c>
      <c r="H1386" s="8">
        <f ca="1">IFERROR(__xludf.DUMMYFUNCTION("""COMPUTED_VALUE"""),1)</f>
        <v>1</v>
      </c>
      <c r="I1386" s="8">
        <f ca="1">IFERROR(__xludf.DUMMYFUNCTION("""COMPUTED_VALUE"""),1)</f>
        <v>1</v>
      </c>
      <c r="J1386" s="8">
        <f ca="1">IFERROR(__xludf.DUMMYFUNCTION("""COMPUTED_VALUE"""),1)</f>
        <v>1</v>
      </c>
      <c r="K1386" s="8" t="str">
        <f ca="1">IFERROR(__xludf.DUMMYFUNCTION("""COMPUTED_VALUE"""),"https://newschannel9.com/news/local/police-tennessee-officers-involved-in-teens-shooting-in-school-bathroom-followed-policy
https://www.wate.com/news/questions-arise-after-anthony-thompson-jr-seen-roaming-campus-prior-to-austin-east-shooting-school-launch"&amp;"es-internal-investigation/ https://www.wsmv.com/news/tennessee/district-attorney-said-officer-acted-in-self-defense-in-knoxville-school-shooting/article_529696d8-a2e5-11eb-a307-4ff879e838b0.html https://kcby.com/news/nation-world/officer-hurt-in-tennessee"&amp;"-school-shooting-wasnt-shot-by-students-gun https://www.knoxnews.com/story/news/crime/2021/04/14/anthony-j-thompson-jr-austin-east-magnet-school-shooting-shooting/7199330002/ https://www.knoxnews.com/story/news/crime/2021/04/13/knoxville-austin-east-high-"&amp;"school-shooting-what-we-know/7197954002/ https://www.voanews.com/usa/one-dead-officer-wounded-tennessee-school-shooting https://www.cnn.com/2021/04/12/us/knoxville-school-shooting/index.html")</f>
        <v>https://newschannel9.com/news/local/police-tennessee-officers-involved-in-teens-shooting-in-school-bathroom-followed-policy
https://www.wate.com/news/questions-arise-after-anthony-thompson-jr-seen-roaming-campus-prior-to-austin-east-shooting-school-launches-internal-investigation/ https://www.wsmv.com/news/tennessee/district-attorney-said-officer-acted-in-self-defense-in-knoxville-school-shooting/article_529696d8-a2e5-11eb-a307-4ff879e838b0.html https://kcby.com/news/nation-world/officer-hurt-in-tennessee-school-shooting-wasnt-shot-by-students-gun https://www.knoxnews.com/story/news/crime/2021/04/14/anthony-j-thompson-jr-austin-east-magnet-school-shooting-shooting/7199330002/ https://www.knoxnews.com/story/news/crime/2021/04/13/knoxville-austin-east-high-school-shooting-what-we-know/7197954002/ https://www.voanews.com/usa/one-dead-officer-wounded-tennessee-school-shooting https://www.cnn.com/2021/04/12/us/knoxville-school-shooting/index.html</v>
      </c>
      <c r="L1386" s="8">
        <f ca="1">IFERROR(__xludf.DUMMYFUNCTION("""COMPUTED_VALUE"""),100)</f>
        <v>100</v>
      </c>
      <c r="M1386" s="8" t="str">
        <f ca="1">IFERROR(__xludf.DUMMYFUNCTION("""COMPUTED_VALUE"""),"International")</f>
        <v>International</v>
      </c>
      <c r="N1386" s="8">
        <f ca="1">IFERROR(__xludf.DUMMYFUNCTION("""COMPUTED_VALUE"""),4)</f>
        <v>4</v>
      </c>
      <c r="O1386" s="8" t="str">
        <f ca="1">IFERROR(__xludf.DUMMYFUNCTION("""COMPUTED_VALUE"""),"Spring")</f>
        <v>Spring</v>
      </c>
      <c r="P1386" s="8" t="str">
        <f ca="1">IFERROR(__xludf.DUMMYFUNCTION("""COMPUTED_VALUE"""),"Knoxville")</f>
        <v>Knoxville</v>
      </c>
      <c r="Q1386" s="8" t="str">
        <f ca="1">IFERROR(__xludf.DUMMYFUNCTION("""COMPUTED_VALUE"""),"TN")</f>
        <v>TN</v>
      </c>
      <c r="R1386" s="8" t="str">
        <f ca="1">IFERROR(__xludf.DUMMYFUNCTION("""COMPUTED_VALUE"""),"High")</f>
        <v>High</v>
      </c>
      <c r="S1386" s="8" t="str">
        <f ca="1">IFERROR(__xludf.DUMMYFUNCTION("""COMPUTED_VALUE"""),"Bathroom")</f>
        <v>Bathroom</v>
      </c>
      <c r="T1386" s="8" t="str">
        <f ca="1">IFERROR(__xludf.DUMMYFUNCTION("""COMPUTED_VALUE"""),"Inside School Building")</f>
        <v>Inside School Building</v>
      </c>
      <c r="U1386" s="8" t="str">
        <f ca="1">IFERROR(__xludf.DUMMYFUNCTION("""COMPUTED_VALUE"""),"Yes")</f>
        <v>Yes</v>
      </c>
      <c r="V1386" s="8" t="str">
        <f ca="1">IFERROR(__xludf.DUMMYFUNCTION("""COMPUTED_VALUE"""),"Afternoon Classes")</f>
        <v>Afternoon Classes</v>
      </c>
      <c r="W1386" s="11">
        <f ca="1">IFERROR(__xludf.DUMMYFUNCTION("""COMPUTED_VALUE"""),0.635416666666666)</f>
        <v>0.63541666666666596</v>
      </c>
      <c r="X1386" s="8">
        <f ca="1">IFERROR(__xludf.DUMMYFUNCTION("""COMPUTED_VALUE"""),1)</f>
        <v>1</v>
      </c>
      <c r="Y1386" s="12" t="str">
        <f ca="1">IFERROR(__xludf.DUMMYFUNCTION("""COMPUTED_VALUE"""),"Shots fired during struggle with police in school bathroom by armed student")</f>
        <v>Shots fired during struggle with police in school bathroom by armed student</v>
      </c>
      <c r="Z1386" s="12" t="str">
        <f ca="1">IFERROR(__xludf.DUMMYFUNCTION("""COMPUTED_VALUE"""),"Shots fired during struggle with police in school bathroom by armed student. During the struggle, a handgun in the sweatshirt pocket of the student discharged and the bullet struck a trashcan. Officer reacted to the shot, pulled his weapon and fatally sho"&amp;"t the student. Investigation found that officers acted correctly and were not charged. Police responded to the school after the shooter's girlfriend's mother called police to report domestic violence.")</f>
        <v>Shots fired during struggle with police in school bathroom by armed student. During the struggle, a handgun in the sweatshirt pocket of the student discharged and the bullet struck a trashcan. Officer reacted to the shot, pulled his weapon and fatally shot the student. Investigation found that officers acted correctly and were not charged. Police responded to the school after the shooter's girlfriend's mother called police to report domestic violence.</v>
      </c>
      <c r="AA1386" s="8"/>
      <c r="AB1386" s="8"/>
      <c r="AC1386" s="8" t="str">
        <f ca="1">IFERROR(__xludf.DUMMYFUNCTION("""COMPUTED_VALUE"""),"Yes")</f>
        <v>Yes</v>
      </c>
      <c r="AD1386" s="8" t="str">
        <f ca="1">IFERROR(__xludf.DUMMYFUNCTION("""COMPUTED_VALUE"""),"Victims Targeted")</f>
        <v>Victims Targeted</v>
      </c>
      <c r="AE1386" s="8" t="str">
        <f ca="1">IFERROR(__xludf.DUMMYFUNCTION("""COMPUTED_VALUE"""),"No")</f>
        <v>No</v>
      </c>
      <c r="AF1386" s="8"/>
      <c r="AG1386" s="8" t="str">
        <f ca="1">IFERROR(__xludf.DUMMYFUNCTION("""COMPUTED_VALUE"""),"No")</f>
        <v>No</v>
      </c>
      <c r="AH1386" s="8" t="str">
        <f ca="1">IFERROR(__xludf.DUMMYFUNCTION("""COMPUTED_VALUE"""),"Yes")</f>
        <v>Yes</v>
      </c>
      <c r="AI1386" s="8" t="str">
        <f ca="1">IFERROR(__xludf.DUMMYFUNCTION("""COMPUTED_VALUE"""),"No")</f>
        <v>No</v>
      </c>
      <c r="AJ1386" s="8" t="str">
        <f ca="1">IFERROR(__xludf.DUMMYFUNCTION("""COMPUTED_VALUE"""),"No")</f>
        <v>No</v>
      </c>
      <c r="AK1386" s="8" t="str">
        <f ca="1">IFERROR(__xludf.DUMMYFUNCTION("""COMPUTED_VALUE"""),"Yes")</f>
        <v>Yes</v>
      </c>
      <c r="AL1386" s="8" t="str">
        <f ca="1">IFERROR(__xludf.DUMMYFUNCTION("""COMPUTED_VALUE"""),"No")</f>
        <v>No</v>
      </c>
      <c r="AM1386" s="8" t="str">
        <f ca="1">IFERROR(__xludf.DUMMYFUNCTION("""COMPUTED_VALUE"""),"No")</f>
        <v>No</v>
      </c>
      <c r="AN1386" s="8" t="str">
        <f ca="1">IFERROR(__xludf.DUMMYFUNCTION("""COMPUTED_VALUE"""),"Single Room")</f>
        <v>Single Room</v>
      </c>
      <c r="AO1386" s="8" t="str">
        <f ca="1">IFERROR(__xludf.DUMMYFUNCTION("""COMPUTED_VALUE"""),"No")</f>
        <v>No</v>
      </c>
      <c r="AP1386" s="8" t="str">
        <f ca="1">IFERROR(__xludf.DUMMYFUNCTION("""COMPUTED_VALUE"""),"Yes")</f>
        <v>Yes</v>
      </c>
      <c r="AQ1386" s="8" t="str">
        <f ca="1">IFERROR(__xludf.DUMMYFUNCTION("""COMPUTED_VALUE"""),"Armed Guards")</f>
        <v>Armed Guards</v>
      </c>
      <c r="AR1386" s="8" t="str">
        <f ca="1">IFERROR(__xludf.DUMMYFUNCTION("""COMPUTED_VALUE"""),"Failed")</f>
        <v>Failed</v>
      </c>
      <c r="AS1386" s="8">
        <f ca="1">IFERROR(__xludf.DUMMYFUNCTION("""COMPUTED_VALUE"""),1)</f>
        <v>1</v>
      </c>
      <c r="AT1386" s="8" t="str">
        <f ca="1">IFERROR(__xludf.DUMMYFUNCTION("""COMPUTED_VALUE"""),"Yes")</f>
        <v>Yes</v>
      </c>
      <c r="AU1386" s="8">
        <f ca="1">IFERROR(__xludf.DUMMYFUNCTION("""COMPUTED_VALUE"""),35.989722)</f>
        <v>35.989722</v>
      </c>
      <c r="AV1386" s="8">
        <f ca="1">IFERROR(__xludf.DUMMYFUNCTION("""COMPUTED_VALUE"""),-83.887283)</f>
        <v>-83.887282999999996</v>
      </c>
      <c r="AW1386" s="8"/>
      <c r="AX1386" s="8">
        <f ca="1">IFERROR(__xludf.DUMMYFUNCTION("""COMPUTED_VALUE"""),37914)</f>
        <v>37914</v>
      </c>
    </row>
    <row r="1387" spans="1:50" ht="285" x14ac:dyDescent="0.2">
      <c r="A1387" s="8" t="str">
        <f ca="1">IFERROR(__xludf.DUMMYFUNCTION("""COMPUTED_VALUE"""),"20210412CASAS")</f>
        <v>20210412CASAS</v>
      </c>
      <c r="B1387" s="8">
        <f ca="1">IFERROR(__xludf.DUMMYFUNCTION("""COMPUTED_VALUE"""),4)</f>
        <v>4</v>
      </c>
      <c r="C1387" s="8">
        <f ca="1">IFERROR(__xludf.DUMMYFUNCTION("""COMPUTED_VALUE"""),12)</f>
        <v>12</v>
      </c>
      <c r="D1387" s="8">
        <f ca="1">IFERROR(__xludf.DUMMYFUNCTION("""COMPUTED_VALUE"""),2021)</f>
        <v>2021</v>
      </c>
      <c r="E1387" s="9">
        <f ca="1">IFERROR(__xludf.DUMMYFUNCTION("""COMPUTED_VALUE"""),44298)</f>
        <v>44298</v>
      </c>
      <c r="F1387" s="8" t="str">
        <f ca="1">IFERROR(__xludf.DUMMYFUNCTION("""COMPUTED_VALUE"""),"San Diego High School")</f>
        <v>San Diego High School</v>
      </c>
      <c r="G1387" s="8">
        <f ca="1">IFERROR(__xludf.DUMMYFUNCTION("""COMPUTED_VALUE"""),0)</f>
        <v>0</v>
      </c>
      <c r="H1387" s="8">
        <f ca="1">IFERROR(__xludf.DUMMYFUNCTION("""COMPUTED_VALUE"""),0)</f>
        <v>0</v>
      </c>
      <c r="I1387" s="8">
        <f ca="1">IFERROR(__xludf.DUMMYFUNCTION("""COMPUTED_VALUE"""),0)</f>
        <v>0</v>
      </c>
      <c r="J1387" s="8">
        <f ca="1">IFERROR(__xludf.DUMMYFUNCTION("""COMPUTED_VALUE"""),1)</f>
        <v>1</v>
      </c>
      <c r="K1387" s="8" t="str">
        <f ca="1">IFERROR(__xludf.DUMMYFUNCTION("""COMPUTED_VALUE"""),"https://www.nbcsandiego.com/news/local/woman-with-manhunt-suspect-during-hideout-on-san-diego-high-school-campus-arrested/2578138/ https://www.sandiegouniontribune.com/news/public-safety/story/2021-04-12/shots-reportedly-fired-in-ocean-beach-and-downtown-"&amp;"san-diego-during-police-chase-swat-standoff-underway https://www.kpbs.org/news/2021/apr/13/suspect-wanted-for-2-shootings-hiding-on-san/ https://www.10news.com/news/local-news/swat-team-responds-to-san-diego-high-school-following-pursuit https://www.nbcsa"&amp;"ndiego.com/news/local/pursuit-suspects-who-fired-at-officers-hiding-out-on-san-diego-hs-campus-sdpd/2574923/")</f>
        <v>https://www.nbcsandiego.com/news/local/woman-with-manhunt-suspect-during-hideout-on-san-diego-high-school-campus-arrested/2578138/ https://www.sandiegouniontribune.com/news/public-safety/story/2021-04-12/shots-reportedly-fired-in-ocean-beach-and-downtown-san-diego-during-police-chase-swat-standoff-underway https://www.kpbs.org/news/2021/apr/13/suspect-wanted-for-2-shootings-hiding-on-san/ https://www.10news.com/news/local-news/swat-team-responds-to-san-diego-high-school-following-pursuit https://www.nbcsandiego.com/news/local/pursuit-suspects-who-fired-at-officers-hiding-out-on-san-diego-hs-campus-sdpd/2574923/</v>
      </c>
      <c r="L1387" s="8">
        <f ca="1">IFERROR(__xludf.DUMMYFUNCTION("""COMPUTED_VALUE"""),10)</f>
        <v>10</v>
      </c>
      <c r="M1387" s="8" t="str">
        <f ca="1">IFERROR(__xludf.DUMMYFUNCTION("""COMPUTED_VALUE"""),"Regional")</f>
        <v>Regional</v>
      </c>
      <c r="N1387" s="8">
        <f ca="1">IFERROR(__xludf.DUMMYFUNCTION("""COMPUTED_VALUE"""),4)</f>
        <v>4</v>
      </c>
      <c r="O1387" s="8" t="str">
        <f ca="1">IFERROR(__xludf.DUMMYFUNCTION("""COMPUTED_VALUE"""),"Spring")</f>
        <v>Spring</v>
      </c>
      <c r="P1387" s="8" t="str">
        <f ca="1">IFERROR(__xludf.DUMMYFUNCTION("""COMPUTED_VALUE"""),"San Diego")</f>
        <v>San Diego</v>
      </c>
      <c r="Q1387" s="8" t="str">
        <f ca="1">IFERROR(__xludf.DUMMYFUNCTION("""COMPUTED_VALUE"""),"CA")</f>
        <v>CA</v>
      </c>
      <c r="R1387" s="8" t="str">
        <f ca="1">IFERROR(__xludf.DUMMYFUNCTION("""COMPUTED_VALUE"""),"High")</f>
        <v>High</v>
      </c>
      <c r="S1387" s="8" t="str">
        <f ca="1">IFERROR(__xludf.DUMMYFUNCTION("""COMPUTED_VALUE"""),"Football Field/Track")</f>
        <v>Football Field/Track</v>
      </c>
      <c r="T1387" s="8" t="str">
        <f ca="1">IFERROR(__xludf.DUMMYFUNCTION("""COMPUTED_VALUE"""),"Outside on School Property")</f>
        <v>Outside on School Property</v>
      </c>
      <c r="U1387" s="8" t="str">
        <f ca="1">IFERROR(__xludf.DUMMYFUNCTION("""COMPUTED_VALUE"""),"No")</f>
        <v>No</v>
      </c>
      <c r="V1387" s="8" t="str">
        <f ca="1">IFERROR(__xludf.DUMMYFUNCTION("""COMPUTED_VALUE"""),"Evening")</f>
        <v>Evening</v>
      </c>
      <c r="W1387" s="11">
        <f ca="1">IFERROR(__xludf.DUMMYFUNCTION("""COMPUTED_VALUE"""),0.864583333333333)</f>
        <v>0.86458333333333304</v>
      </c>
      <c r="X1387" s="8">
        <f ca="1">IFERROR(__xludf.DUMMYFUNCTION("""COMPUTED_VALUE"""),660)</f>
        <v>660</v>
      </c>
      <c r="Y1387" s="12" t="str">
        <f ca="1">IFERROR(__xludf.DUMMYFUNCTION("""COMPUTED_VALUE"""),"Hostage standoff inside dumpster near the football field")</f>
        <v>Hostage standoff inside dumpster near the football field</v>
      </c>
      <c r="Z1387" s="12" t="str">
        <f ca="1">IFERROR(__xludf.DUMMYFUNCTION("""COMPUTED_VALUE"""),"A 36-year-old male was wanted by police for 3 different shootings in the prior month involving officers and a private bail bondsman. Police attempted a traffic stop and the suspect fled. During the pursuit, the suspect fired shots at officers. At the end "&amp;"of the pursuit, the suspect drove through a gate onto the football field of San Diego High School and fled on foot with a 32-year-old female (his girlfriend) into a large garbage dumpster on the campus. There was an 11-hour standoff and negotiation with p"&amp;"olice. During the standoff, the woman tried to get out of the dumpster and the man pulled her back inside. When the suspect made a verbal threat and pushed the female who police believed was a hostage, SWAT officers fired and killed him. After the inciden"&amp;"t, police charged the 33-year-old woman (Janeth Iriarte) with vehicle theft and accessory to a crime after the fact. Three school campuses including San Diego High School, East Village Middle College High School, and Garfield High School were all switched"&amp;" to remote learning due to the incident.")</f>
        <v>A 36-year-old male was wanted by police for 3 different shootings in the prior month involving officers and a private bail bondsman. Police attempted a traffic stop and the suspect fled. During the pursuit, the suspect fired shots at officers. At the end of the pursuit, the suspect drove through a gate onto the football field of San Diego High School and fled on foot with a 32-year-old female (his girlfriend) into a large garbage dumpster on the campus. There was an 11-hour standoff and negotiation with police. During the standoff, the woman tried to get out of the dumpster and the man pulled her back inside. When the suspect made a verbal threat and pushed the female who police believed was a hostage, SWAT officers fired and killed him. After the incident, police charged the 33-year-old woman (Janeth Iriarte) with vehicle theft and accessory to a crime after the fact. Three school campuses including San Diego High School, East Village Middle College High School, and Garfield High School were all switched to remote learning due to the incident.</v>
      </c>
      <c r="AA1387" s="8" t="str">
        <f ca="1">IFERROR(__xludf.DUMMYFUNCTION("""COMPUTED_VALUE"""),"Hostage/Standoff")</f>
        <v>Hostage/Standoff</v>
      </c>
      <c r="AB1387" s="8"/>
      <c r="AC1387" s="8" t="str">
        <f ca="1">IFERROR(__xludf.DUMMYFUNCTION("""COMPUTED_VALUE"""),"No")</f>
        <v>No</v>
      </c>
      <c r="AD1387" s="8" t="str">
        <f ca="1">IFERROR(__xludf.DUMMYFUNCTION("""COMPUTED_VALUE"""),"Random Shooting")</f>
        <v>Random Shooting</v>
      </c>
      <c r="AE1387" s="8" t="str">
        <f ca="1">IFERROR(__xludf.DUMMYFUNCTION("""COMPUTED_VALUE"""),"Yes")</f>
        <v>Yes</v>
      </c>
      <c r="AF1387" s="8" t="str">
        <f ca="1">IFERROR(__xludf.DUMMYFUNCTION("""COMPUTED_VALUE"""),"Adult female who became a hostage")</f>
        <v>Adult female who became a hostage</v>
      </c>
      <c r="AG1387" s="8" t="str">
        <f ca="1">IFERROR(__xludf.DUMMYFUNCTION("""COMPUTED_VALUE"""),"Yes")</f>
        <v>Yes</v>
      </c>
      <c r="AH1387" s="8" t="str">
        <f ca="1">IFERROR(__xludf.DUMMYFUNCTION("""COMPUTED_VALUE"""),"Yes")</f>
        <v>Yes</v>
      </c>
      <c r="AI1387" s="8" t="str">
        <f ca="1">IFERROR(__xludf.DUMMYFUNCTION("""COMPUTED_VALUE"""),"No")</f>
        <v>No</v>
      </c>
      <c r="AJ1387" s="8" t="str">
        <f ca="1">IFERROR(__xludf.DUMMYFUNCTION("""COMPUTED_VALUE"""),"No")</f>
        <v>No</v>
      </c>
      <c r="AK1387" s="8" t="str">
        <f ca="1">IFERROR(__xludf.DUMMYFUNCTION("""COMPUTED_VALUE"""),"No")</f>
        <v>No</v>
      </c>
      <c r="AL1387" s="8" t="str">
        <f ca="1">IFERROR(__xludf.DUMMYFUNCTION("""COMPUTED_VALUE"""),"No")</f>
        <v>No</v>
      </c>
      <c r="AM1387" s="8" t="str">
        <f ca="1">IFERROR(__xludf.DUMMYFUNCTION("""COMPUTED_VALUE"""),"Yes")</f>
        <v>Yes</v>
      </c>
      <c r="AN1387" s="8" t="str">
        <f ca="1">IFERROR(__xludf.DUMMYFUNCTION("""COMPUTED_VALUE"""),"Outside")</f>
        <v>Outside</v>
      </c>
      <c r="AO1387" s="8" t="str">
        <f ca="1">IFERROR(__xludf.DUMMYFUNCTION("""COMPUTED_VALUE"""),"No")</f>
        <v>No</v>
      </c>
      <c r="AP1387" s="8"/>
      <c r="AQ1387" s="8"/>
      <c r="AR1387" s="8" t="str">
        <f ca="1">IFERROR(__xludf.DUMMYFUNCTION("""COMPUTED_VALUE"""),"Outside/Off-Property")</f>
        <v>Outside/Off-Property</v>
      </c>
      <c r="AS1387" s="8"/>
      <c r="AT1387" s="8" t="str">
        <f ca="1">IFERROR(__xludf.DUMMYFUNCTION("""COMPUTED_VALUE"""),"Yes")</f>
        <v>Yes</v>
      </c>
      <c r="AU1387" s="8">
        <f ca="1">IFERROR(__xludf.DUMMYFUNCTION("""COMPUTED_VALUE"""),32.72003)</f>
        <v>32.720030000000001</v>
      </c>
      <c r="AV1387" s="8">
        <f ca="1">IFERROR(__xludf.DUMMYFUNCTION("""COMPUTED_VALUE"""),-117.150762)</f>
        <v>-117.150762</v>
      </c>
      <c r="AW1387" s="8"/>
      <c r="AX1387" s="8">
        <f ca="1">IFERROR(__xludf.DUMMYFUNCTION("""COMPUTED_VALUE"""),92101)</f>
        <v>92101</v>
      </c>
    </row>
    <row r="1388" spans="1:50" ht="150" x14ac:dyDescent="0.2">
      <c r="A1388" s="8" t="str">
        <f ca="1">IFERROR(__xludf.DUMMYFUNCTION("""COMPUTED_VALUE"""),"20210411INBIH")</f>
        <v>20210411INBIH</v>
      </c>
      <c r="B1388" s="8">
        <f ca="1">IFERROR(__xludf.DUMMYFUNCTION("""COMPUTED_VALUE"""),4)</f>
        <v>4</v>
      </c>
      <c r="C1388" s="8">
        <f ca="1">IFERROR(__xludf.DUMMYFUNCTION("""COMPUTED_VALUE"""),11)</f>
        <v>11</v>
      </c>
      <c r="D1388" s="8">
        <f ca="1">IFERROR(__xludf.DUMMYFUNCTION("""COMPUTED_VALUE"""),2021)</f>
        <v>2021</v>
      </c>
      <c r="E1388" s="9">
        <f ca="1">IFERROR(__xludf.DUMMYFUNCTION("""COMPUTED_VALUE"""),44297)</f>
        <v>44297</v>
      </c>
      <c r="F1388" s="8" t="str">
        <f ca="1">IFERROR(__xludf.DUMMYFUNCTION("""COMPUTED_VALUE"""),"Bishop Noll Institute")</f>
        <v>Bishop Noll Institute</v>
      </c>
      <c r="G1388" s="8">
        <f ca="1">IFERROR(__xludf.DUMMYFUNCTION("""COMPUTED_VALUE"""),1)</f>
        <v>1</v>
      </c>
      <c r="H1388" s="8">
        <f ca="1">IFERROR(__xludf.DUMMYFUNCTION("""COMPUTED_VALUE"""),0)</f>
        <v>0</v>
      </c>
      <c r="I1388" s="8">
        <f ca="1">IFERROR(__xludf.DUMMYFUNCTION("""COMPUTED_VALUE"""),1)</f>
        <v>1</v>
      </c>
      <c r="J1388" s="8">
        <f ca="1">IFERROR(__xludf.DUMMYFUNCTION("""COMPUTED_VALUE"""),0)</f>
        <v>0</v>
      </c>
      <c r="K1388" s="8" t="str">
        <f ca="1">IFERROR(__xludf.DUMMYFUNCTION("""COMPUTED_VALUE"""),"https://www.nwitimes.com/news/local/crime-and-courts/man-charged-with-murder-in-womans-shooting-death-outside-bishop-noll-institute/article_7fc28132-9e39-576b-a152-d30859f14448.html https://chicago.suntimes.com/crime/2021/4/12/22380026/monica-mills-hammon"&amp;"d-shooting-bishop-noll-institute")</f>
        <v>https://www.nwitimes.com/news/local/crime-and-courts/man-charged-with-murder-in-womans-shooting-death-outside-bishop-noll-institute/article_7fc28132-9e39-576b-a152-d30859f14448.html https://chicago.suntimes.com/crime/2021/4/12/22380026/monica-mills-hammond-shooting-bishop-noll-institute</v>
      </c>
      <c r="L1388" s="8">
        <f ca="1">IFERROR(__xludf.DUMMYFUNCTION("""COMPUTED_VALUE"""),2)</f>
        <v>2</v>
      </c>
      <c r="M1388" s="8" t="str">
        <f ca="1">IFERROR(__xludf.DUMMYFUNCTION("""COMPUTED_VALUE"""),"Regional")</f>
        <v>Regional</v>
      </c>
      <c r="N1388" s="8">
        <f ca="1">IFERROR(__xludf.DUMMYFUNCTION("""COMPUTED_VALUE"""),3)</f>
        <v>3</v>
      </c>
      <c r="O1388" s="8" t="str">
        <f ca="1">IFERROR(__xludf.DUMMYFUNCTION("""COMPUTED_VALUE"""),"Spring")</f>
        <v>Spring</v>
      </c>
      <c r="P1388" s="8" t="str">
        <f ca="1">IFERROR(__xludf.DUMMYFUNCTION("""COMPUTED_VALUE"""),"Hammond")</f>
        <v>Hammond</v>
      </c>
      <c r="Q1388" s="8" t="str">
        <f ca="1">IFERROR(__xludf.DUMMYFUNCTION("""COMPUTED_VALUE"""),"IN")</f>
        <v>IN</v>
      </c>
      <c r="R1388" s="8" t="str">
        <f ca="1">IFERROR(__xludf.DUMMYFUNCTION("""COMPUTED_VALUE"""),"High")</f>
        <v>High</v>
      </c>
      <c r="S1388" s="8" t="str">
        <f ca="1">IFERROR(__xludf.DUMMYFUNCTION("""COMPUTED_VALUE"""),"Parking Lot")</f>
        <v>Parking Lot</v>
      </c>
      <c r="T1388" s="8" t="str">
        <f ca="1">IFERROR(__xludf.DUMMYFUNCTION("""COMPUTED_VALUE"""),"Outside on School Property")</f>
        <v>Outside on School Property</v>
      </c>
      <c r="U1388" s="8" t="str">
        <f ca="1">IFERROR(__xludf.DUMMYFUNCTION("""COMPUTED_VALUE"""),"No")</f>
        <v>No</v>
      </c>
      <c r="V1388" s="8" t="str">
        <f ca="1">IFERROR(__xludf.DUMMYFUNCTION("""COMPUTED_VALUE"""),"Night")</f>
        <v>Night</v>
      </c>
      <c r="W1388" s="11">
        <f ca="1">IFERROR(__xludf.DUMMYFUNCTION("""COMPUTED_VALUE"""),0.888888888888888)</f>
        <v>0.88888888888888795</v>
      </c>
      <c r="X1388" s="8">
        <f ca="1">IFERROR(__xludf.DUMMYFUNCTION("""COMPUTED_VALUE"""),1)</f>
        <v>1</v>
      </c>
      <c r="Y1388" s="12" t="str">
        <f ca="1">IFERROR(__xludf.DUMMYFUNCTION("""COMPUTED_VALUE"""),"Adult male shot adult female in the school parking lot")</f>
        <v>Adult male shot adult female in the school parking lot</v>
      </c>
      <c r="Z1388" s="12" t="str">
        <f ca="1">IFERROR(__xludf.DUMMYFUNCTION("""COMPUTED_VALUE"""),"Police responded to the school parking lot for a reported shooting and found a 43-year-old female fatally shot inside a vehicle. The 38-year-old male shooter fled to a nearby apartment complex where he was arrested 2 days later. A 9mm handgun was found at"&amp;" the property. The shooter had sent threatening text messages to the victim prior to the shooting. Shooter had prior felony convictions for drug dealing and was not permitted to own a handgun. No students or school staff were involved and the school was c"&amp;"losed at the time of the shooting.")</f>
        <v>Police responded to the school parking lot for a reported shooting and found a 43-year-old female fatally shot inside a vehicle. The 38-year-old male shooter fled to a nearby apartment complex where he was arrested 2 days later. A 9mm handgun was found at the property. The shooter had sent threatening text messages to the victim prior to the shooting. Shooter had prior felony convictions for drug dealing and was not permitted to own a handgun. No students or school staff were involved and the school was closed at the time of the shooting.</v>
      </c>
      <c r="AA1388" s="8" t="str">
        <f ca="1">IFERROR(__xludf.DUMMYFUNCTION("""COMPUTED_VALUE"""),"Domestic w/ Targeted Victim")</f>
        <v>Domestic w/ Targeted Victim</v>
      </c>
      <c r="AB1388" s="8"/>
      <c r="AC1388" s="8" t="str">
        <f ca="1">IFERROR(__xludf.DUMMYFUNCTION("""COMPUTED_VALUE"""),"No")</f>
        <v>No</v>
      </c>
      <c r="AD1388" s="8" t="str">
        <f ca="1">IFERROR(__xludf.DUMMYFUNCTION("""COMPUTED_VALUE"""),"Victims Targeted")</f>
        <v>Victims Targeted</v>
      </c>
      <c r="AE1388" s="8" t="str">
        <f ca="1">IFERROR(__xludf.DUMMYFUNCTION("""COMPUTED_VALUE"""),"No")</f>
        <v>No</v>
      </c>
      <c r="AF1388" s="8"/>
      <c r="AG1388" s="8" t="str">
        <f ca="1">IFERROR(__xludf.DUMMYFUNCTION("""COMPUTED_VALUE"""),"No")</f>
        <v>No</v>
      </c>
      <c r="AH1388" s="8" t="str">
        <f ca="1">IFERROR(__xludf.DUMMYFUNCTION("""COMPUTED_VALUE"""),"No")</f>
        <v>No</v>
      </c>
      <c r="AI1388" s="8" t="str">
        <f ca="1">IFERROR(__xludf.DUMMYFUNCTION("""COMPUTED_VALUE"""),"No")</f>
        <v>No</v>
      </c>
      <c r="AJ1388" s="8" t="str">
        <f ca="1">IFERROR(__xludf.DUMMYFUNCTION("""COMPUTED_VALUE"""),"No")</f>
        <v>No</v>
      </c>
      <c r="AK1388" s="8" t="str">
        <f ca="1">IFERROR(__xludf.DUMMYFUNCTION("""COMPUTED_VALUE"""),"Yes")</f>
        <v>Yes</v>
      </c>
      <c r="AL1388" s="8" t="str">
        <f ca="1">IFERROR(__xludf.DUMMYFUNCTION("""COMPUTED_VALUE"""),"No")</f>
        <v>No</v>
      </c>
      <c r="AM1388" s="8" t="str">
        <f ca="1">IFERROR(__xludf.DUMMYFUNCTION("""COMPUTED_VALUE"""),"No")</f>
        <v>No</v>
      </c>
      <c r="AN1388" s="8"/>
      <c r="AO1388" s="8" t="str">
        <f ca="1">IFERROR(__xludf.DUMMYFUNCTION("""COMPUTED_VALUE"""),"No")</f>
        <v>No</v>
      </c>
      <c r="AP1388" s="8"/>
      <c r="AQ1388" s="8"/>
      <c r="AR1388" s="8" t="str">
        <f ca="1">IFERROR(__xludf.DUMMYFUNCTION("""COMPUTED_VALUE"""),"Outside/Off-Property")</f>
        <v>Outside/Off-Property</v>
      </c>
      <c r="AS1388" s="8">
        <f ca="1">IFERROR(__xludf.DUMMYFUNCTION("""COMPUTED_VALUE"""),1)</f>
        <v>1</v>
      </c>
      <c r="AT1388" s="8"/>
      <c r="AU1388" s="8">
        <f ca="1">IFERROR(__xludf.DUMMYFUNCTION("""COMPUTED_VALUE"""),41.628574)</f>
        <v>41.628574</v>
      </c>
      <c r="AV1388" s="8">
        <f ca="1">IFERROR(__xludf.DUMMYFUNCTION("""COMPUTED_VALUE"""),-87.492602)</f>
        <v>-87.492602000000005</v>
      </c>
      <c r="AW1388" s="8"/>
      <c r="AX1388" s="8">
        <f ca="1">IFERROR(__xludf.DUMMYFUNCTION("""COMPUTED_VALUE"""),46327)</f>
        <v>46327</v>
      </c>
    </row>
    <row r="1389" spans="1:50" ht="120" x14ac:dyDescent="0.2">
      <c r="A1389" s="8" t="str">
        <f ca="1">IFERROR(__xludf.DUMMYFUNCTION("""COMPUTED_VALUE"""),"20210407ILPEP")</f>
        <v>20210407ILPEP</v>
      </c>
      <c r="B1389" s="8">
        <f ca="1">IFERROR(__xludf.DUMMYFUNCTION("""COMPUTED_VALUE"""),4)</f>
        <v>4</v>
      </c>
      <c r="C1389" s="8">
        <f ca="1">IFERROR(__xludf.DUMMYFUNCTION("""COMPUTED_VALUE"""),7)</f>
        <v>7</v>
      </c>
      <c r="D1389" s="8">
        <f ca="1">IFERROR(__xludf.DUMMYFUNCTION("""COMPUTED_VALUE"""),2021)</f>
        <v>2021</v>
      </c>
      <c r="E1389" s="9">
        <f ca="1">IFERROR(__xludf.DUMMYFUNCTION("""COMPUTED_VALUE"""),44293)</f>
        <v>44293</v>
      </c>
      <c r="F1389" s="8" t="str">
        <f ca="1">IFERROR(__xludf.DUMMYFUNCTION("""COMPUTED_VALUE"""),"Peoria High School")</f>
        <v>Peoria High School</v>
      </c>
      <c r="G1389" s="8">
        <f ca="1">IFERROR(__xludf.DUMMYFUNCTION("""COMPUTED_VALUE"""),0)</f>
        <v>0</v>
      </c>
      <c r="H1389" s="8">
        <f ca="1">IFERROR(__xludf.DUMMYFUNCTION("""COMPUTED_VALUE"""),0)</f>
        <v>0</v>
      </c>
      <c r="I1389" s="8">
        <f ca="1">IFERROR(__xludf.DUMMYFUNCTION("""COMPUTED_VALUE"""),0)</f>
        <v>0</v>
      </c>
      <c r="J1389" s="8">
        <f ca="1">IFERROR(__xludf.DUMMYFUNCTION("""COMPUTED_VALUE"""),0)</f>
        <v>0</v>
      </c>
      <c r="K1389" s="8" t="str">
        <f ca="1">IFERROR(__xludf.DUMMYFUNCTION("""COMPUTED_VALUE"""),"https://hoiabc.com/2021/04/07/14-year-old-arrested-for-having-gun-at-peoria-high-that-causes-school-lockdown-wednesday/ https://week.com/2021/04/07/peoria-high-school-placed-on-lockdown-tuesday-morning-after-incident-with-unloaded-gun/ https://www.central"&amp;"illinoisproud.com/news/local-news/incident-at-peoria-high-school-involving-unloaded-gun/")</f>
        <v>https://hoiabc.com/2021/04/07/14-year-old-arrested-for-having-gun-at-peoria-high-that-causes-school-lockdown-wednesday/ https://week.com/2021/04/07/peoria-high-school-placed-on-lockdown-tuesday-morning-after-incident-with-unloaded-gun/ https://www.centralillinoisproud.com/news/local-news/incident-at-peoria-high-school-involving-unloaded-gun/</v>
      </c>
      <c r="L1389" s="8">
        <f ca="1">IFERROR(__xludf.DUMMYFUNCTION("""COMPUTED_VALUE"""),3)</f>
        <v>3</v>
      </c>
      <c r="M1389" s="8" t="str">
        <f ca="1">IFERROR(__xludf.DUMMYFUNCTION("""COMPUTED_VALUE"""),"Local")</f>
        <v>Local</v>
      </c>
      <c r="N1389" s="8">
        <f ca="1">IFERROR(__xludf.DUMMYFUNCTION("""COMPUTED_VALUE"""),4)</f>
        <v>4</v>
      </c>
      <c r="O1389" s="8" t="str">
        <f ca="1">IFERROR(__xludf.DUMMYFUNCTION("""COMPUTED_VALUE"""),"Spring")</f>
        <v>Spring</v>
      </c>
      <c r="P1389" s="8" t="str">
        <f ca="1">IFERROR(__xludf.DUMMYFUNCTION("""COMPUTED_VALUE"""),"Peoria")</f>
        <v>Peoria</v>
      </c>
      <c r="Q1389" s="8" t="str">
        <f ca="1">IFERROR(__xludf.DUMMYFUNCTION("""COMPUTED_VALUE"""),"IL")</f>
        <v>IL</v>
      </c>
      <c r="R1389" s="8" t="str">
        <f ca="1">IFERROR(__xludf.DUMMYFUNCTION("""COMPUTED_VALUE"""),"High")</f>
        <v>High</v>
      </c>
      <c r="S1389" s="8" t="str">
        <f ca="1">IFERROR(__xludf.DUMMYFUNCTION("""COMPUTED_VALUE"""),"Inside School Building")</f>
        <v>Inside School Building</v>
      </c>
      <c r="T1389" s="8" t="str">
        <f ca="1">IFERROR(__xludf.DUMMYFUNCTION("""COMPUTED_VALUE"""),"Inside School Building")</f>
        <v>Inside School Building</v>
      </c>
      <c r="U1389" s="8" t="str">
        <f ca="1">IFERROR(__xludf.DUMMYFUNCTION("""COMPUTED_VALUE"""),"Yes")</f>
        <v>Yes</v>
      </c>
      <c r="V1389" s="8" t="str">
        <f ca="1">IFERROR(__xludf.DUMMYFUNCTION("""COMPUTED_VALUE"""),"Morning Classes")</f>
        <v>Morning Classes</v>
      </c>
      <c r="W1389" s="11">
        <f ca="1">IFERROR(__xludf.DUMMYFUNCTION("""COMPUTED_VALUE"""),0.416666666666666)</f>
        <v>0.41666666666666602</v>
      </c>
      <c r="X1389" s="8">
        <f ca="1">IFERROR(__xludf.DUMMYFUNCTION("""COMPUTED_VALUE"""),1)</f>
        <v>1</v>
      </c>
      <c r="Y1389" s="12" t="str">
        <f ca="1">IFERROR(__xludf.DUMMYFUNCTION("""COMPUTED_VALUE"""),"Student pointed a gun at another student during a fight inside the school")</f>
        <v>Student pointed a gun at another student during a fight inside the school</v>
      </c>
      <c r="Z1389" s="12" t="str">
        <f ca="1">IFERROR(__xludf.DUMMYFUNCTION("""COMPUTED_VALUE"""),"A 14-year-old student pulled a handgun and pointed it at a 16-year-old student during a fight inside the school. The gun was wrestled away from the shooter and a 3rd uninvolved student grabbed the gun then gave it to a teacher. The shooter was subdued and"&amp;" arrested by police. Police determined the gun was stolen and it was not loaded at the time of the incident. The school was locked down for 2 hours.")</f>
        <v>A 14-year-old student pulled a handgun and pointed it at a 16-year-old student during a fight inside the school. The gun was wrestled away from the shooter and a 3rd uninvolved student grabbed the gun then gave it to a teacher. The shooter was subdued and arrested by police. Police determined the gun was stolen and it was not loaded at the time of the incident. The school was locked down for 2 hours.</v>
      </c>
      <c r="AA1389" s="8" t="str">
        <f ca="1">IFERROR(__xludf.DUMMYFUNCTION("""COMPUTED_VALUE"""),"Escalation of Dispute")</f>
        <v>Escalation of Dispute</v>
      </c>
      <c r="AB1389" s="8"/>
      <c r="AC1389" s="8" t="str">
        <f ca="1">IFERROR(__xludf.DUMMYFUNCTION("""COMPUTED_VALUE"""),"Yes")</f>
        <v>Yes</v>
      </c>
      <c r="AD1389" s="8" t="str">
        <f ca="1">IFERROR(__xludf.DUMMYFUNCTION("""COMPUTED_VALUE"""),"Victims Targeted")</f>
        <v>Victims Targeted</v>
      </c>
      <c r="AE1389" s="8" t="str">
        <f ca="1">IFERROR(__xludf.DUMMYFUNCTION("""COMPUTED_VALUE"""),"No")</f>
        <v>No</v>
      </c>
      <c r="AF1389" s="8"/>
      <c r="AG1389" s="8" t="str">
        <f ca="1">IFERROR(__xludf.DUMMYFUNCTION("""COMPUTED_VALUE"""),"No")</f>
        <v>No</v>
      </c>
      <c r="AH1389" s="8" t="str">
        <f ca="1">IFERROR(__xludf.DUMMYFUNCTION("""COMPUTED_VALUE"""),"No")</f>
        <v>No</v>
      </c>
      <c r="AI1389" s="8" t="str">
        <f ca="1">IFERROR(__xludf.DUMMYFUNCTION("""COMPUTED_VALUE"""),"No")</f>
        <v>No</v>
      </c>
      <c r="AJ1389" s="8"/>
      <c r="AK1389" s="8" t="str">
        <f ca="1">IFERROR(__xludf.DUMMYFUNCTION("""COMPUTED_VALUE"""),"No")</f>
        <v>No</v>
      </c>
      <c r="AL1389" s="8"/>
      <c r="AM1389" s="8" t="str">
        <f ca="1">IFERROR(__xludf.DUMMYFUNCTION("""COMPUTED_VALUE"""),"No")</f>
        <v>No</v>
      </c>
      <c r="AN1389" s="8"/>
      <c r="AO1389" s="8" t="str">
        <f ca="1">IFERROR(__xludf.DUMMYFUNCTION("""COMPUTED_VALUE"""),"No")</f>
        <v>No</v>
      </c>
      <c r="AP1389" s="8"/>
      <c r="AQ1389" s="8"/>
      <c r="AR1389" s="8"/>
      <c r="AS1389" s="8">
        <f ca="1">IFERROR(__xludf.DUMMYFUNCTION("""COMPUTED_VALUE"""),0)</f>
        <v>0</v>
      </c>
      <c r="AT1389" s="8" t="str">
        <f ca="1">IFERROR(__xludf.DUMMYFUNCTION("""COMPUTED_VALUE"""),"Yes")</f>
        <v>Yes</v>
      </c>
      <c r="AU1389" s="8">
        <f ca="1">IFERROR(__xludf.DUMMYFUNCTION("""COMPUTED_VALUE"""),40.706618)</f>
        <v>40.706617999999999</v>
      </c>
      <c r="AV1389" s="8">
        <f ca="1">IFERROR(__xludf.DUMMYFUNCTION("""COMPUTED_VALUE"""),-89.599643)</f>
        <v>-89.599643</v>
      </c>
      <c r="AW1389" s="8"/>
      <c r="AX1389" s="8">
        <f ca="1">IFERROR(__xludf.DUMMYFUNCTION("""COMPUTED_VALUE"""),61604)</f>
        <v>61604</v>
      </c>
    </row>
    <row r="1390" spans="1:50" ht="120" x14ac:dyDescent="0.2">
      <c r="A1390" s="8" t="str">
        <f ca="1">IFERROR(__xludf.DUMMYFUNCTION("""COMPUTED_VALUE"""),"20210406ILBAC")</f>
        <v>20210406ILBAC</v>
      </c>
      <c r="B1390" s="8">
        <f ca="1">IFERROR(__xludf.DUMMYFUNCTION("""COMPUTED_VALUE"""),4)</f>
        <v>4</v>
      </c>
      <c r="C1390" s="8">
        <f ca="1">IFERROR(__xludf.DUMMYFUNCTION("""COMPUTED_VALUE"""),6)</f>
        <v>6</v>
      </c>
      <c r="D1390" s="8">
        <f ca="1">IFERROR(__xludf.DUMMYFUNCTION("""COMPUTED_VALUE"""),2021)</f>
        <v>2021</v>
      </c>
      <c r="E1390" s="9">
        <f ca="1">IFERROR(__xludf.DUMMYFUNCTION("""COMPUTED_VALUE"""),44292)</f>
        <v>44292</v>
      </c>
      <c r="F1390" s="8" t="str">
        <f ca="1">IFERROR(__xludf.DUMMYFUNCTION("""COMPUTED_VALUE"""),"Back of the Yards College Prep High School")</f>
        <v>Back of the Yards College Prep High School</v>
      </c>
      <c r="G1390" s="8">
        <f ca="1">IFERROR(__xludf.DUMMYFUNCTION("""COMPUTED_VALUE"""),0)</f>
        <v>0</v>
      </c>
      <c r="H1390" s="8">
        <f ca="1">IFERROR(__xludf.DUMMYFUNCTION("""COMPUTED_VALUE"""),0)</f>
        <v>0</v>
      </c>
      <c r="I1390" s="8">
        <f ca="1">IFERROR(__xludf.DUMMYFUNCTION("""COMPUTED_VALUE"""),0)</f>
        <v>0</v>
      </c>
      <c r="J1390" s="8">
        <f ca="1">IFERROR(__xludf.DUMMYFUNCTION("""COMPUTED_VALUE"""),0)</f>
        <v>0</v>
      </c>
      <c r="K1390" s="8" t="str">
        <f ca="1">IFERROR(__xludf.DUMMYFUNCTION("""COMPUTED_VALUE"""),"https://news.yahoo.com/back-yards-school-windows-shot-215925998.html https://abc7chicago.com/back-of-the-yards-chicago-cps-school-windows-shot-shooting/10492434/")</f>
        <v>https://news.yahoo.com/back-yards-school-windows-shot-215925998.html https://abc7chicago.com/back-of-the-yards-chicago-cps-school-windows-shot-shooting/10492434/</v>
      </c>
      <c r="L1390" s="8">
        <f ca="1">IFERROR(__xludf.DUMMYFUNCTION("""COMPUTED_VALUE"""),2)</f>
        <v>2</v>
      </c>
      <c r="M1390" s="8" t="str">
        <f ca="1">IFERROR(__xludf.DUMMYFUNCTION("""COMPUTED_VALUE"""),"Local")</f>
        <v>Local</v>
      </c>
      <c r="N1390" s="8">
        <f ca="1">IFERROR(__xludf.DUMMYFUNCTION("""COMPUTED_VALUE"""),3)</f>
        <v>3</v>
      </c>
      <c r="O1390" s="8" t="str">
        <f ca="1">IFERROR(__xludf.DUMMYFUNCTION("""COMPUTED_VALUE"""),"Spring")</f>
        <v>Spring</v>
      </c>
      <c r="P1390" s="8" t="str">
        <f ca="1">IFERROR(__xludf.DUMMYFUNCTION("""COMPUTED_VALUE"""),"Chicago")</f>
        <v>Chicago</v>
      </c>
      <c r="Q1390" s="8" t="str">
        <f ca="1">IFERROR(__xludf.DUMMYFUNCTION("""COMPUTED_VALUE"""),"IL")</f>
        <v>IL</v>
      </c>
      <c r="R1390" s="8" t="str">
        <f ca="1">IFERROR(__xludf.DUMMYFUNCTION("""COMPUTED_VALUE"""),"High")</f>
        <v>High</v>
      </c>
      <c r="S1390" s="8" t="str">
        <f ca="1">IFERROR(__xludf.DUMMYFUNCTION("""COMPUTED_VALUE"""),"Beside Building")</f>
        <v>Beside Building</v>
      </c>
      <c r="T1390" s="8" t="str">
        <f ca="1">IFERROR(__xludf.DUMMYFUNCTION("""COMPUTED_VALUE"""),"Outside on School Property")</f>
        <v>Outside on School Property</v>
      </c>
      <c r="U1390" s="8" t="str">
        <f ca="1">IFERROR(__xludf.DUMMYFUNCTION("""COMPUTED_VALUE"""),"Yes")</f>
        <v>Yes</v>
      </c>
      <c r="V1390" s="8" t="str">
        <f ca="1">IFERROR(__xludf.DUMMYFUNCTION("""COMPUTED_VALUE"""),"Afternoon Classes")</f>
        <v>Afternoon Classes</v>
      </c>
      <c r="W1390" s="11">
        <f ca="1">IFERROR(__xludf.DUMMYFUNCTION("""COMPUTED_VALUE"""),0.583333333333333)</f>
        <v>0.58333333333333304</v>
      </c>
      <c r="X1390" s="8">
        <f ca="1">IFERROR(__xludf.DUMMYFUNCTION("""COMPUTED_VALUE"""),1)</f>
        <v>1</v>
      </c>
      <c r="Y1390" s="12" t="str">
        <f ca="1">IFERROR(__xludf.DUMMYFUNCTION("""COMPUTED_VALUE"""),"Window of the school shot by BB during classes")</f>
        <v>Window of the school shot by BB during classes</v>
      </c>
      <c r="Z1390" s="12" t="str">
        <f ca="1">IFERROR(__xludf.DUMMYFUNCTION("""COMPUTED_VALUE"""),"Police were notified of an active shooter outside the school. A large window on the back of the school building was shattered by a BB. Staff were near the window and avoided injury from shattered glass. A 19-year-old male was arrested nearby with a BB gun"&amp;" that was designed to look like a semi-automatic ""assault style"" rifle. Police had received multiple reports the prior days of someone shooting BBs at the school. Damage estimated at $50,000.")</f>
        <v>Police were notified of an active shooter outside the school. A large window on the back of the school building was shattered by a BB. Staff were near the window and avoided injury from shattered glass. A 19-year-old male was arrested nearby with a BB gun that was designed to look like a semi-automatic "assault style" rifle. Police had received multiple reports the prior days of someone shooting BBs at the school. Damage estimated at $50,000.</v>
      </c>
      <c r="AA1390" s="8" t="str">
        <f ca="1">IFERROR(__xludf.DUMMYFUNCTION("""COMPUTED_VALUE"""),"Intentional Property Damage")</f>
        <v>Intentional Property Damage</v>
      </c>
      <c r="AB1390" s="8"/>
      <c r="AC1390" s="8" t="str">
        <f ca="1">IFERROR(__xludf.DUMMYFUNCTION("""COMPUTED_VALUE"""),"Yes")</f>
        <v>Yes</v>
      </c>
      <c r="AD1390" s="8" t="str">
        <f ca="1">IFERROR(__xludf.DUMMYFUNCTION("""COMPUTED_VALUE"""),"Neither")</f>
        <v>Neither</v>
      </c>
      <c r="AE1390" s="8" t="str">
        <f ca="1">IFERROR(__xludf.DUMMYFUNCTION("""COMPUTED_VALUE"""),"No")</f>
        <v>No</v>
      </c>
      <c r="AF1390" s="8"/>
      <c r="AG1390" s="8" t="str">
        <f ca="1">IFERROR(__xludf.DUMMYFUNCTION("""COMPUTED_VALUE"""),"No")</f>
        <v>No</v>
      </c>
      <c r="AH1390" s="8" t="str">
        <f ca="1">IFERROR(__xludf.DUMMYFUNCTION("""COMPUTED_VALUE"""),"No")</f>
        <v>No</v>
      </c>
      <c r="AI1390" s="8" t="str">
        <f ca="1">IFERROR(__xludf.DUMMYFUNCTION("""COMPUTED_VALUE"""),"No")</f>
        <v>No</v>
      </c>
      <c r="AJ1390" s="8" t="str">
        <f ca="1">IFERROR(__xludf.DUMMYFUNCTION("""COMPUTED_VALUE"""),"No")</f>
        <v>No</v>
      </c>
      <c r="AK1390" s="8" t="str">
        <f ca="1">IFERROR(__xludf.DUMMYFUNCTION("""COMPUTED_VALUE"""),"No")</f>
        <v>No</v>
      </c>
      <c r="AL1390" s="8" t="str">
        <f ca="1">IFERROR(__xludf.DUMMYFUNCTION("""COMPUTED_VALUE"""),"No")</f>
        <v>No</v>
      </c>
      <c r="AM1390" s="8" t="str">
        <f ca="1">IFERROR(__xludf.DUMMYFUNCTION("""COMPUTED_VALUE"""),"No")</f>
        <v>No</v>
      </c>
      <c r="AN1390" s="8"/>
      <c r="AO1390" s="8" t="str">
        <f ca="1">IFERROR(__xludf.DUMMYFUNCTION("""COMPUTED_VALUE"""),"No")</f>
        <v>No</v>
      </c>
      <c r="AP1390" s="8"/>
      <c r="AQ1390" s="8"/>
      <c r="AR1390" s="8" t="str">
        <f ca="1">IFERROR(__xludf.DUMMYFUNCTION("""COMPUTED_VALUE"""),"Outside/Off-Property")</f>
        <v>Outside/Off-Property</v>
      </c>
      <c r="AS1390" s="8"/>
      <c r="AT1390" s="8" t="str">
        <f ca="1">IFERROR(__xludf.DUMMYFUNCTION("""COMPUTED_VALUE"""),"Yes")</f>
        <v>Yes</v>
      </c>
      <c r="AU1390" s="8">
        <f ca="1">IFERROR(__xludf.DUMMYFUNCTION("""COMPUTED_VALUE"""),41.807334)</f>
        <v>41.807333999999997</v>
      </c>
      <c r="AV1390" s="8">
        <f ca="1">IFERROR(__xludf.DUMMYFUNCTION("""COMPUTED_VALUE"""),-87.677565)</f>
        <v>-87.677565000000001</v>
      </c>
      <c r="AW1390" s="8"/>
      <c r="AX1390" s="8">
        <f ca="1">IFERROR(__xludf.DUMMYFUNCTION("""COMPUTED_VALUE"""),60609)</f>
        <v>60609</v>
      </c>
    </row>
    <row r="1391" spans="1:50" ht="90" x14ac:dyDescent="0.2">
      <c r="A1391" s="8" t="str">
        <f ca="1">IFERROR(__xludf.DUMMYFUNCTION("""COMPUTED_VALUE"""),"20210401OKCLC")</f>
        <v>20210401OKCLC</v>
      </c>
      <c r="B1391" s="8">
        <f ca="1">IFERROR(__xludf.DUMMYFUNCTION("""COMPUTED_VALUE"""),4)</f>
        <v>4</v>
      </c>
      <c r="C1391" s="8">
        <f ca="1">IFERROR(__xludf.DUMMYFUNCTION("""COMPUTED_VALUE"""),1)</f>
        <v>1</v>
      </c>
      <c r="D1391" s="8">
        <f ca="1">IFERROR(__xludf.DUMMYFUNCTION("""COMPUTED_VALUE"""),2021)</f>
        <v>2021</v>
      </c>
      <c r="E1391" s="9">
        <f ca="1">IFERROR(__xludf.DUMMYFUNCTION("""COMPUTED_VALUE"""),44287)</f>
        <v>44287</v>
      </c>
      <c r="F1391" s="8" t="str">
        <f ca="1">IFERROR(__xludf.DUMMYFUNCTION("""COMPUTED_VALUE"""),"Cleveland High School")</f>
        <v>Cleveland High School</v>
      </c>
      <c r="G1391" s="8">
        <f ca="1">IFERROR(__xludf.DUMMYFUNCTION("""COMPUTED_VALUE"""),0)</f>
        <v>0</v>
      </c>
      <c r="H1391" s="8">
        <f ca="1">IFERROR(__xludf.DUMMYFUNCTION("""COMPUTED_VALUE"""),0)</f>
        <v>0</v>
      </c>
      <c r="I1391" s="8">
        <f ca="1">IFERROR(__xludf.DUMMYFUNCTION("""COMPUTED_VALUE"""),0)</f>
        <v>0</v>
      </c>
      <c r="J1391" s="8">
        <f ca="1">IFERROR(__xludf.DUMMYFUNCTION("""COMPUTED_VALUE"""),0)</f>
        <v>0</v>
      </c>
      <c r="K1391" s="8" t="str">
        <f ca="1">IFERROR(__xludf.DUMMYFUNCTION("""COMPUTED_VALUE"""),"https://www.news9.com/story/6067a5180e82920be227efd9/students-stunned-after-windows-shot-while-on-cleveland-public-schools-bus- https://kfor.com/news/local/oklahoma-school-bus-windows-shot-out-while-driving-down-oklahoma-city-highway-with-students-inside/")</f>
        <v>https://www.news9.com/story/6067a5180e82920be227efd9/students-stunned-after-windows-shot-while-on-cleveland-public-schools-bus- https://kfor.com/news/local/oklahoma-school-bus-windows-shot-out-while-driving-down-oklahoma-city-highway-with-students-inside/</v>
      </c>
      <c r="L1391" s="8">
        <f ca="1">IFERROR(__xludf.DUMMYFUNCTION("""COMPUTED_VALUE"""),5)</f>
        <v>5</v>
      </c>
      <c r="M1391" s="8" t="str">
        <f ca="1">IFERROR(__xludf.DUMMYFUNCTION("""COMPUTED_VALUE"""),"Local")</f>
        <v>Local</v>
      </c>
      <c r="N1391" s="8">
        <f ca="1">IFERROR(__xludf.DUMMYFUNCTION("""COMPUTED_VALUE"""),4)</f>
        <v>4</v>
      </c>
      <c r="O1391" s="8" t="str">
        <f ca="1">IFERROR(__xludf.DUMMYFUNCTION("""COMPUTED_VALUE"""),"Spring")</f>
        <v>Spring</v>
      </c>
      <c r="P1391" s="8" t="str">
        <f ca="1">IFERROR(__xludf.DUMMYFUNCTION("""COMPUTED_VALUE"""),"Oklahoma City")</f>
        <v>Oklahoma City</v>
      </c>
      <c r="Q1391" s="8" t="str">
        <f ca="1">IFERROR(__xludf.DUMMYFUNCTION("""COMPUTED_VALUE"""),"OK")</f>
        <v>OK</v>
      </c>
      <c r="R1391" s="8" t="str">
        <f ca="1">IFERROR(__xludf.DUMMYFUNCTION("""COMPUTED_VALUE"""),"High")</f>
        <v>High</v>
      </c>
      <c r="S1391" s="8" t="str">
        <f ca="1">IFERROR(__xludf.DUMMYFUNCTION("""COMPUTED_VALUE"""),"School Bus")</f>
        <v>School Bus</v>
      </c>
      <c r="T1391" s="8" t="str">
        <f ca="1">IFERROR(__xludf.DUMMYFUNCTION("""COMPUTED_VALUE"""),"School Bus")</f>
        <v>School Bus</v>
      </c>
      <c r="U1391" s="8" t="str">
        <f ca="1">IFERROR(__xludf.DUMMYFUNCTION("""COMPUTED_VALUE"""),"Yes")</f>
        <v>Yes</v>
      </c>
      <c r="V1391" s="8" t="str">
        <f ca="1">IFERROR(__xludf.DUMMYFUNCTION("""COMPUTED_VALUE"""),"Evening")</f>
        <v>Evening</v>
      </c>
      <c r="W1391" s="8"/>
      <c r="X1391" s="8">
        <f ca="1">IFERROR(__xludf.DUMMYFUNCTION("""COMPUTED_VALUE"""),1)</f>
        <v>1</v>
      </c>
      <c r="Y1391" s="12" t="str">
        <f ca="1">IFERROR(__xludf.DUMMYFUNCTION("""COMPUTED_VALUE"""),"5 windows shot and broken on moving school bus with students returning from field trip")</f>
        <v>5 windows shot and broken on moving school bus with students returning from field trip</v>
      </c>
      <c r="Z1391" s="12" t="str">
        <f ca="1">IFERROR(__xludf.DUMMYFUNCTION("""COMPUTED_VALUE"""),"A school bus with 11 students and 2 adults was driving on I-35 returning from a school field trip. A vehicle pulled up next to the school bus and fired multiple shots breaking 5 windows. No students were injured. The driver pulled over and contacted polic"&amp;"e. Police believe a BB or pellet gun was used because damage was not found inside the bus.")</f>
        <v>A school bus with 11 students and 2 adults was driving on I-35 returning from a school field trip. A vehicle pulled up next to the school bus and fired multiple shots breaking 5 windows. No students were injured. The driver pulled over and contacted police. Police believe a BB or pellet gun was used because damage was not found inside the bus.</v>
      </c>
      <c r="AA1391" s="8" t="str">
        <f ca="1">IFERROR(__xludf.DUMMYFUNCTION("""COMPUTED_VALUE"""),"Drive-by Shooting")</f>
        <v>Drive-by Shooting</v>
      </c>
      <c r="AB1391" s="8"/>
      <c r="AC1391" s="8" t="str">
        <f ca="1">IFERROR(__xludf.DUMMYFUNCTION("""COMPUTED_VALUE"""),"Yes")</f>
        <v>Yes</v>
      </c>
      <c r="AD1391" s="8" t="str">
        <f ca="1">IFERROR(__xludf.DUMMYFUNCTION("""COMPUTED_VALUE"""),"Neither")</f>
        <v>Neither</v>
      </c>
      <c r="AE1391" s="8"/>
      <c r="AF1391" s="8"/>
      <c r="AG1391" s="8" t="str">
        <f ca="1">IFERROR(__xludf.DUMMYFUNCTION("""COMPUTED_VALUE"""),"No")</f>
        <v>No</v>
      </c>
      <c r="AH1391" s="8" t="str">
        <f ca="1">IFERROR(__xludf.DUMMYFUNCTION("""COMPUTED_VALUE"""),"No")</f>
        <v>No</v>
      </c>
      <c r="AI1391" s="8" t="str">
        <f ca="1">IFERROR(__xludf.DUMMYFUNCTION("""COMPUTED_VALUE"""),"No")</f>
        <v>No</v>
      </c>
      <c r="AJ1391" s="8" t="str">
        <f ca="1">IFERROR(__xludf.DUMMYFUNCTION("""COMPUTED_VALUE"""),"No")</f>
        <v>No</v>
      </c>
      <c r="AK1391" s="8" t="str">
        <f ca="1">IFERROR(__xludf.DUMMYFUNCTION("""COMPUTED_VALUE"""),"No")</f>
        <v>No</v>
      </c>
      <c r="AL1391" s="8" t="str">
        <f ca="1">IFERROR(__xludf.DUMMYFUNCTION("""COMPUTED_VALUE"""),"No")</f>
        <v>No</v>
      </c>
      <c r="AM1391" s="8" t="str">
        <f ca="1">IFERROR(__xludf.DUMMYFUNCTION("""COMPUTED_VALUE"""),"No")</f>
        <v>No</v>
      </c>
      <c r="AN1391" s="8"/>
      <c r="AO1391" s="8" t="str">
        <f ca="1">IFERROR(__xludf.DUMMYFUNCTION("""COMPUTED_VALUE"""),"No")</f>
        <v>No</v>
      </c>
      <c r="AP1391" s="8"/>
      <c r="AQ1391" s="8"/>
      <c r="AR1391" s="8" t="str">
        <f ca="1">IFERROR(__xludf.DUMMYFUNCTION("""COMPUTED_VALUE"""),"Outside/Off-Property")</f>
        <v>Outside/Off-Property</v>
      </c>
      <c r="AS1391" s="8"/>
      <c r="AT1391" s="8"/>
      <c r="AU1391" s="8">
        <f ca="1">IFERROR(__xludf.DUMMYFUNCTION("""COMPUTED_VALUE"""),35.597952)</f>
        <v>35.597951999999999</v>
      </c>
      <c r="AV1391" s="8">
        <f ca="1">IFERROR(__xludf.DUMMYFUNCTION("""COMPUTED_VALUE"""),-97.429894)</f>
        <v>-97.429894000000004</v>
      </c>
      <c r="AW1391" s="8"/>
      <c r="AX1391" s="8">
        <f ca="1">IFERROR(__xludf.DUMMYFUNCTION("""COMPUTED_VALUE"""),73131)</f>
        <v>73131</v>
      </c>
    </row>
    <row r="1392" spans="1:50" ht="120" x14ac:dyDescent="0.2">
      <c r="A1392" s="8" t="str">
        <f ca="1">IFERROR(__xludf.DUMMYFUNCTION("""COMPUTED_VALUE"""),"20210401ALSES")</f>
        <v>20210401ALSES</v>
      </c>
      <c r="B1392" s="8">
        <f ca="1">IFERROR(__xludf.DUMMYFUNCTION("""COMPUTED_VALUE"""),4)</f>
        <v>4</v>
      </c>
      <c r="C1392" s="8">
        <f ca="1">IFERROR(__xludf.DUMMYFUNCTION("""COMPUTED_VALUE"""),1)</f>
        <v>1</v>
      </c>
      <c r="D1392" s="8">
        <f ca="1">IFERROR(__xludf.DUMMYFUNCTION("""COMPUTED_VALUE"""),2021)</f>
        <v>2021</v>
      </c>
      <c r="E1392" s="9">
        <f ca="1">IFERROR(__xludf.DUMMYFUNCTION("""COMPUTED_VALUE"""),44287)</f>
        <v>44287</v>
      </c>
      <c r="F1392" s="8" t="str">
        <f ca="1">IFERROR(__xludf.DUMMYFUNCTION("""COMPUTED_VALUE"""),"Selma High School")</f>
        <v>Selma High School</v>
      </c>
      <c r="G1392" s="8">
        <f ca="1">IFERROR(__xludf.DUMMYFUNCTION("""COMPUTED_VALUE"""),0)</f>
        <v>0</v>
      </c>
      <c r="H1392" s="8">
        <f ca="1">IFERROR(__xludf.DUMMYFUNCTION("""COMPUTED_VALUE"""),0)</f>
        <v>0</v>
      </c>
      <c r="I1392" s="8">
        <f ca="1">IFERROR(__xludf.DUMMYFUNCTION("""COMPUTED_VALUE"""),0)</f>
        <v>0</v>
      </c>
      <c r="J1392" s="8">
        <f ca="1">IFERROR(__xludf.DUMMYFUNCTION("""COMPUTED_VALUE"""),0)</f>
        <v>0</v>
      </c>
      <c r="K1392" s="8" t="str">
        <f ca="1">IFERROR(__xludf.DUMMYFUNCTION("""COMPUTED_VALUE"""),"https://www.al.com/news/montgomery/2021/04/shot-fired-during-fight-inside-alabama-high-school-cafeteria.html https://www.wsfa.com/2021/04/01/gun-fired-inside-selma-high-school-arrested/ https://www.alabamanews.net/2021/04/02/selma-high-school-returning-to"&amp;"-virtual-learning-following-shooting-inside-school/ https://www.wsfa.com/2021/04/02/superintendent-reacts-after-shot-fired-inside-selma-high-school/")</f>
        <v>https://www.al.com/news/montgomery/2021/04/shot-fired-during-fight-inside-alabama-high-school-cafeteria.html https://www.wsfa.com/2021/04/01/gun-fired-inside-selma-high-school-arrested/ https://www.alabamanews.net/2021/04/02/selma-high-school-returning-to-virtual-learning-following-shooting-inside-school/ https://www.wsfa.com/2021/04/02/superintendent-reacts-after-shot-fired-inside-selma-high-school/</v>
      </c>
      <c r="L1392" s="8">
        <f ca="1">IFERROR(__xludf.DUMMYFUNCTION("""COMPUTED_VALUE"""),10)</f>
        <v>10</v>
      </c>
      <c r="M1392" s="8" t="str">
        <f ca="1">IFERROR(__xludf.DUMMYFUNCTION("""COMPUTED_VALUE"""),"Regional")</f>
        <v>Regional</v>
      </c>
      <c r="N1392" s="8">
        <f ca="1">IFERROR(__xludf.DUMMYFUNCTION("""COMPUTED_VALUE"""),4)</f>
        <v>4</v>
      </c>
      <c r="O1392" s="8" t="str">
        <f ca="1">IFERROR(__xludf.DUMMYFUNCTION("""COMPUTED_VALUE"""),"Spring")</f>
        <v>Spring</v>
      </c>
      <c r="P1392" s="8" t="str">
        <f ca="1">IFERROR(__xludf.DUMMYFUNCTION("""COMPUTED_VALUE"""),"Selma")</f>
        <v>Selma</v>
      </c>
      <c r="Q1392" s="8" t="str">
        <f ca="1">IFERROR(__xludf.DUMMYFUNCTION("""COMPUTED_VALUE"""),"AL")</f>
        <v>AL</v>
      </c>
      <c r="R1392" s="8" t="str">
        <f ca="1">IFERROR(__xludf.DUMMYFUNCTION("""COMPUTED_VALUE"""),"High")</f>
        <v>High</v>
      </c>
      <c r="S1392" s="8" t="str">
        <f ca="1">IFERROR(__xludf.DUMMYFUNCTION("""COMPUTED_VALUE"""),"Cafeteria")</f>
        <v>Cafeteria</v>
      </c>
      <c r="T1392" s="8" t="str">
        <f ca="1">IFERROR(__xludf.DUMMYFUNCTION("""COMPUTED_VALUE"""),"Inside School Building")</f>
        <v>Inside School Building</v>
      </c>
      <c r="U1392" s="8" t="str">
        <f ca="1">IFERROR(__xludf.DUMMYFUNCTION("""COMPUTED_VALUE"""),"Yes")</f>
        <v>Yes</v>
      </c>
      <c r="V1392" s="8" t="str">
        <f ca="1">IFERROR(__xludf.DUMMYFUNCTION("""COMPUTED_VALUE"""),"Lunch")</f>
        <v>Lunch</v>
      </c>
      <c r="W1392" s="11">
        <f ca="1">IFERROR(__xludf.DUMMYFUNCTION("""COMPUTED_VALUE"""),0.541666666666666)</f>
        <v>0.54166666666666596</v>
      </c>
      <c r="X1392" s="8">
        <f ca="1">IFERROR(__xludf.DUMMYFUNCTION("""COMPUTED_VALUE"""),1)</f>
        <v>1</v>
      </c>
      <c r="Y1392" s="12" t="str">
        <f ca="1">IFERROR(__xludf.DUMMYFUNCTION("""COMPUTED_VALUE"""),"Student fired one shot at another student during a fight in the cafeteria")</f>
        <v>Student fired one shot at another student during a fight in the cafeteria</v>
      </c>
      <c r="Z1392" s="12" t="str">
        <f ca="1">IFERROR(__xludf.DUMMYFUNCTION("""COMPUTED_VALUE"""),"During a fight in the school cafeteria, a 15-year-old student pulled a handgun and fired one shot. The shot missed and no students were injured. A 17-year-old student was also charged with possession of the weapon. The shooter fled the school and was arre"&amp;"sted at a nearby apartment complex. School was locked down and searched by police. The school has metal detectors and armed SRO. School switched back to virtual learning to reassess security.")</f>
        <v>During a fight in the school cafeteria, a 15-year-old student pulled a handgun and fired one shot. The shot missed and no students were injured. A 17-year-old student was also charged with possession of the weapon. The shooter fled the school and was arrested at a nearby apartment complex. School was locked down and searched by police. The school has metal detectors and armed SRO. School switched back to virtual learning to reassess security.</v>
      </c>
      <c r="AA1392" s="8" t="str">
        <f ca="1">IFERROR(__xludf.DUMMYFUNCTION("""COMPUTED_VALUE"""),"Escalation of Dispute")</f>
        <v>Escalation of Dispute</v>
      </c>
      <c r="AB1392" s="8"/>
      <c r="AC1392" s="8" t="str">
        <f ca="1">IFERROR(__xludf.DUMMYFUNCTION("""COMPUTED_VALUE"""),"Yes")</f>
        <v>Yes</v>
      </c>
      <c r="AD1392" s="8" t="str">
        <f ca="1">IFERROR(__xludf.DUMMYFUNCTION("""COMPUTED_VALUE"""),"Victims Targeted")</f>
        <v>Victims Targeted</v>
      </c>
      <c r="AE1392" s="8" t="str">
        <f ca="1">IFERROR(__xludf.DUMMYFUNCTION("""COMPUTED_VALUE"""),"Yes")</f>
        <v>Yes</v>
      </c>
      <c r="AF1392" s="8" t="str">
        <f ca="1">IFERROR(__xludf.DUMMYFUNCTION("""COMPUTED_VALUE"""),"Two students charged")</f>
        <v>Two students charged</v>
      </c>
      <c r="AG1392" s="8" t="str">
        <f ca="1">IFERROR(__xludf.DUMMYFUNCTION("""COMPUTED_VALUE"""),"No")</f>
        <v>No</v>
      </c>
      <c r="AH1392" s="8" t="str">
        <f ca="1">IFERROR(__xludf.DUMMYFUNCTION("""COMPUTED_VALUE"""),"No")</f>
        <v>No</v>
      </c>
      <c r="AI1392" s="8" t="str">
        <f ca="1">IFERROR(__xludf.DUMMYFUNCTION("""COMPUTED_VALUE"""),"No")</f>
        <v>No</v>
      </c>
      <c r="AJ1392" s="8"/>
      <c r="AK1392" s="8" t="str">
        <f ca="1">IFERROR(__xludf.DUMMYFUNCTION("""COMPUTED_VALUE"""),"No")</f>
        <v>No</v>
      </c>
      <c r="AL1392" s="8"/>
      <c r="AM1392" s="8" t="str">
        <f ca="1">IFERROR(__xludf.DUMMYFUNCTION("""COMPUTED_VALUE"""),"No")</f>
        <v>No</v>
      </c>
      <c r="AN1392" s="8"/>
      <c r="AO1392" s="8" t="str">
        <f ca="1">IFERROR(__xludf.DUMMYFUNCTION("""COMPUTED_VALUE"""),"No")</f>
        <v>No</v>
      </c>
      <c r="AP1392" s="8" t="str">
        <f ca="1">IFERROR(__xludf.DUMMYFUNCTION("""COMPUTED_VALUE"""),"Yes")</f>
        <v>Yes</v>
      </c>
      <c r="AQ1392" s="8" t="str">
        <f ca="1">IFERROR(__xludf.DUMMYFUNCTION("""COMPUTED_VALUE"""),"Metal Detectors Bypassed")</f>
        <v>Metal Detectors Bypassed</v>
      </c>
      <c r="AR1392" s="8" t="str">
        <f ca="1">IFERROR(__xludf.DUMMYFUNCTION("""COMPUTED_VALUE"""),"Failed")</f>
        <v>Failed</v>
      </c>
      <c r="AS1392" s="8">
        <f ca="1">IFERROR(__xludf.DUMMYFUNCTION("""COMPUTED_VALUE"""),1)</f>
        <v>1</v>
      </c>
      <c r="AT1392" s="8" t="str">
        <f ca="1">IFERROR(__xludf.DUMMYFUNCTION("""COMPUTED_VALUE"""),"Yes")</f>
        <v>Yes</v>
      </c>
      <c r="AU1392" s="8">
        <f ca="1">IFERROR(__xludf.DUMMYFUNCTION("""COMPUTED_VALUE"""),32.42815)</f>
        <v>32.428150000000002</v>
      </c>
      <c r="AV1392" s="8">
        <f ca="1">IFERROR(__xludf.DUMMYFUNCTION("""COMPUTED_VALUE"""),-87.021606)</f>
        <v>-87.021606000000006</v>
      </c>
      <c r="AW1392" s="8"/>
      <c r="AX1392" s="8">
        <f ca="1">IFERROR(__xludf.DUMMYFUNCTION("""COMPUTED_VALUE"""),36702)</f>
        <v>36702</v>
      </c>
    </row>
    <row r="1393" spans="1:50" ht="45" x14ac:dyDescent="0.2">
      <c r="A1393" s="8" t="str">
        <f ca="1">IFERROR(__xludf.DUMMYFUNCTION("""COMPUTED_VALUE"""),"20210327MAPEC")</f>
        <v>20210327MAPEC</v>
      </c>
      <c r="B1393" s="8">
        <f ca="1">IFERROR(__xludf.DUMMYFUNCTION("""COMPUTED_VALUE"""),3)</f>
        <v>3</v>
      </c>
      <c r="C1393" s="8">
        <f ca="1">IFERROR(__xludf.DUMMYFUNCTION("""COMPUTED_VALUE"""),27)</f>
        <v>27</v>
      </c>
      <c r="D1393" s="8">
        <f ca="1">IFERROR(__xludf.DUMMYFUNCTION("""COMPUTED_VALUE"""),2021)</f>
        <v>2021</v>
      </c>
      <c r="E1393" s="9">
        <f ca="1">IFERROR(__xludf.DUMMYFUNCTION("""COMPUTED_VALUE"""),44282)</f>
        <v>44282</v>
      </c>
      <c r="F1393" s="8" t="str">
        <f ca="1">IFERROR(__xludf.DUMMYFUNCTION("""COMPUTED_VALUE"""),"Peabody Elementary School")</f>
        <v>Peabody Elementary School</v>
      </c>
      <c r="G1393" s="8">
        <f ca="1">IFERROR(__xludf.DUMMYFUNCTION("""COMPUTED_VALUE"""),1)</f>
        <v>1</v>
      </c>
      <c r="H1393" s="8">
        <f ca="1">IFERROR(__xludf.DUMMYFUNCTION("""COMPUTED_VALUE"""),0)</f>
        <v>0</v>
      </c>
      <c r="I1393" s="8">
        <f ca="1">IFERROR(__xludf.DUMMYFUNCTION("""COMPUTED_VALUE"""),1)</f>
        <v>1</v>
      </c>
      <c r="J1393" s="8">
        <f ca="1">IFERROR(__xludf.DUMMYFUNCTION("""COMPUTED_VALUE"""),0)</f>
        <v>0</v>
      </c>
      <c r="K1393" s="8" t="str">
        <f ca="1">IFERROR(__xludf.DUMMYFUNCTION("""COMPUTED_VALUE"""),"https://www.middlesexda.com/press-releases/news/fatal-shooting-under-investigation-cambridge https://www.nbcboston.com/news/local/19-year-old-man-dead-after-cambridge-shooting-police/2340447/")</f>
        <v>https://www.middlesexda.com/press-releases/news/fatal-shooting-under-investigation-cambridge https://www.nbcboston.com/news/local/19-year-old-man-dead-after-cambridge-shooting-police/2340447/</v>
      </c>
      <c r="L1393" s="8">
        <f ca="1">IFERROR(__xludf.DUMMYFUNCTION("""COMPUTED_VALUE"""),1)</f>
        <v>1</v>
      </c>
      <c r="M1393" s="8" t="str">
        <f ca="1">IFERROR(__xludf.DUMMYFUNCTION("""COMPUTED_VALUE"""),"Local")</f>
        <v>Local</v>
      </c>
      <c r="N1393" s="8">
        <f ca="1">IFERROR(__xludf.DUMMYFUNCTION("""COMPUTED_VALUE"""),4)</f>
        <v>4</v>
      </c>
      <c r="O1393" s="8" t="str">
        <f ca="1">IFERROR(__xludf.DUMMYFUNCTION("""COMPUTED_VALUE"""),"Spring")</f>
        <v>Spring</v>
      </c>
      <c r="P1393" s="8" t="str">
        <f ca="1">IFERROR(__xludf.DUMMYFUNCTION("""COMPUTED_VALUE"""),"Cambridge")</f>
        <v>Cambridge</v>
      </c>
      <c r="Q1393" s="8" t="str">
        <f ca="1">IFERROR(__xludf.DUMMYFUNCTION("""COMPUTED_VALUE"""),"MA")</f>
        <v>MA</v>
      </c>
      <c r="R1393" s="8" t="str">
        <f ca="1">IFERROR(__xludf.DUMMYFUNCTION("""COMPUTED_VALUE"""),"Elementary")</f>
        <v>Elementary</v>
      </c>
      <c r="S1393" s="8" t="str">
        <f ca="1">IFERROR(__xludf.DUMMYFUNCTION("""COMPUTED_VALUE"""),"Basketball Court")</f>
        <v>Basketball Court</v>
      </c>
      <c r="T1393" s="8" t="str">
        <f ca="1">IFERROR(__xludf.DUMMYFUNCTION("""COMPUTED_VALUE"""),"Outside on School Property")</f>
        <v>Outside on School Property</v>
      </c>
      <c r="U1393" s="8" t="str">
        <f ca="1">IFERROR(__xludf.DUMMYFUNCTION("""COMPUTED_VALUE"""),"No")</f>
        <v>No</v>
      </c>
      <c r="V1393" s="8" t="str">
        <f ca="1">IFERROR(__xludf.DUMMYFUNCTION("""COMPUTED_VALUE"""),"Night")</f>
        <v>Night</v>
      </c>
      <c r="W1393" s="11">
        <f ca="1">IFERROR(__xludf.DUMMYFUNCTION("""COMPUTED_VALUE"""),0.0277777777777777)</f>
        <v>2.77777777777777E-2</v>
      </c>
      <c r="X1393" s="8">
        <f ca="1">IFERROR(__xludf.DUMMYFUNCTION("""COMPUTED_VALUE"""),1)</f>
        <v>1</v>
      </c>
      <c r="Y1393" s="12" t="str">
        <f ca="1">IFERROR(__xludf.DUMMYFUNCTION("""COMPUTED_VALUE"""),"Man found fatally shot next to basketball court")</f>
        <v>Man found fatally shot next to basketball court</v>
      </c>
      <c r="Z1393" s="12" t="str">
        <f ca="1">IFERROR(__xludf.DUMMYFUNCTION("""COMPUTED_VALUE"""),"A 19-year-old man's body was found next to the basketball court. Shooter fled the scene. Motive unknown.")</f>
        <v>A 19-year-old man's body was found next to the basketball court. Shooter fled the scene. Motive unknown.</v>
      </c>
      <c r="AA1393" s="8"/>
      <c r="AB1393" s="8"/>
      <c r="AC1393" s="8" t="str">
        <f ca="1">IFERROR(__xludf.DUMMYFUNCTION("""COMPUTED_VALUE"""),"No")</f>
        <v>No</v>
      </c>
      <c r="AD1393" s="8" t="str">
        <f ca="1">IFERROR(__xludf.DUMMYFUNCTION("""COMPUTED_VALUE"""),"Victims Targeted")</f>
        <v>Victims Targeted</v>
      </c>
      <c r="AE1393" s="8"/>
      <c r="AF1393" s="8"/>
      <c r="AG1393" s="8" t="str">
        <f ca="1">IFERROR(__xludf.DUMMYFUNCTION("""COMPUTED_VALUE"""),"No")</f>
        <v>No</v>
      </c>
      <c r="AH1393" s="8" t="str">
        <f ca="1">IFERROR(__xludf.DUMMYFUNCTION("""COMPUTED_VALUE"""),"No")</f>
        <v>No</v>
      </c>
      <c r="AI1393" s="8" t="str">
        <f ca="1">IFERROR(__xludf.DUMMYFUNCTION("""COMPUTED_VALUE"""),"No")</f>
        <v>No</v>
      </c>
      <c r="AJ1393" s="8" t="str">
        <f ca="1">IFERROR(__xludf.DUMMYFUNCTION("""COMPUTED_VALUE"""),"No")</f>
        <v>No</v>
      </c>
      <c r="AK1393" s="8"/>
      <c r="AL1393" s="8"/>
      <c r="AM1393" s="8" t="str">
        <f ca="1">IFERROR(__xludf.DUMMYFUNCTION("""COMPUTED_VALUE"""),"No")</f>
        <v>No</v>
      </c>
      <c r="AN1393" s="8"/>
      <c r="AO1393" s="8" t="str">
        <f ca="1">IFERROR(__xludf.DUMMYFUNCTION("""COMPUTED_VALUE"""),"No")</f>
        <v>No</v>
      </c>
      <c r="AP1393" s="8"/>
      <c r="AQ1393" s="8"/>
      <c r="AR1393" s="8" t="str">
        <f ca="1">IFERROR(__xludf.DUMMYFUNCTION("""COMPUTED_VALUE"""),"Outside/Off-Property")</f>
        <v>Outside/Off-Property</v>
      </c>
      <c r="AS1393" s="8"/>
      <c r="AT1393" s="8"/>
      <c r="AU1393" s="8">
        <f ca="1">IFERROR(__xludf.DUMMYFUNCTION("""COMPUTED_VALUE"""),42.391425)</f>
        <v>42.391424999999998</v>
      </c>
      <c r="AV1393" s="8">
        <f ca="1">IFERROR(__xludf.DUMMYFUNCTION("""COMPUTED_VALUE"""),-71.128686)</f>
        <v>-71.128686000000002</v>
      </c>
      <c r="AW1393" s="8"/>
      <c r="AX1393" s="8">
        <f ca="1">IFERROR(__xludf.DUMMYFUNCTION("""COMPUTED_VALUE"""),2140)</f>
        <v>2140</v>
      </c>
    </row>
    <row r="1394" spans="1:50" ht="60" x14ac:dyDescent="0.2">
      <c r="A1394" s="8" t="str">
        <f ca="1">IFERROR(__xludf.DUMMYFUNCTION("""COMPUTED_VALUE"""),"20210326MOCAS")</f>
        <v>20210326MOCAS</v>
      </c>
      <c r="B1394" s="8">
        <f ca="1">IFERROR(__xludf.DUMMYFUNCTION("""COMPUTED_VALUE"""),3)</f>
        <v>3</v>
      </c>
      <c r="C1394" s="8">
        <f ca="1">IFERROR(__xludf.DUMMYFUNCTION("""COMPUTED_VALUE"""),26)</f>
        <v>26</v>
      </c>
      <c r="D1394" s="8">
        <f ca="1">IFERROR(__xludf.DUMMYFUNCTION("""COMPUTED_VALUE"""),2021)</f>
        <v>2021</v>
      </c>
      <c r="E1394" s="9">
        <f ca="1">IFERROR(__xludf.DUMMYFUNCTION("""COMPUTED_VALUE"""),44281)</f>
        <v>44281</v>
      </c>
      <c r="F1394" s="8" t="str">
        <f ca="1">IFERROR(__xludf.DUMMYFUNCTION("""COMPUTED_VALUE"""),"Castlio Elementary School")</f>
        <v>Castlio Elementary School</v>
      </c>
      <c r="G1394" s="8">
        <f ca="1">IFERROR(__xludf.DUMMYFUNCTION("""COMPUTED_VALUE"""),0)</f>
        <v>0</v>
      </c>
      <c r="H1394" s="8">
        <f ca="1">IFERROR(__xludf.DUMMYFUNCTION("""COMPUTED_VALUE"""),0)</f>
        <v>0</v>
      </c>
      <c r="I1394" s="8">
        <f ca="1">IFERROR(__xludf.DUMMYFUNCTION("""COMPUTED_VALUE"""),0)</f>
        <v>0</v>
      </c>
      <c r="J1394" s="8">
        <f ca="1">IFERROR(__xludf.DUMMYFUNCTION("""COMPUTED_VALUE"""),1)</f>
        <v>1</v>
      </c>
      <c r="K1394" s="8" t="str">
        <f ca="1">IFERROR(__xludf.DUMMYFUNCTION("""COMPUTED_VALUE"""),"https://www.stltoday.com/news/local/crime-and-courts/st-charles-county-police-shoot-kill-man-who-pointed-weapon-at-officer/article_bc04cd0a-1451-5433-83eb-899c3b911080.html https://wsiltv.com/2021/03/26/officials-st-charles-police-officer-shoots-kills-man"&amp;"/")</f>
        <v>https://www.stltoday.com/news/local/crime-and-courts/st-charles-county-police-shoot-kill-man-who-pointed-weapon-at-officer/article_bc04cd0a-1451-5433-83eb-899c3b911080.html https://wsiltv.com/2021/03/26/officials-st-charles-police-officer-shoots-kills-man/</v>
      </c>
      <c r="L1394" s="8">
        <f ca="1">IFERROR(__xludf.DUMMYFUNCTION("""COMPUTED_VALUE"""),2)</f>
        <v>2</v>
      </c>
      <c r="M1394" s="8" t="str">
        <f ca="1">IFERROR(__xludf.DUMMYFUNCTION("""COMPUTED_VALUE"""),"Local")</f>
        <v>Local</v>
      </c>
      <c r="N1394" s="8">
        <f ca="1">IFERROR(__xludf.DUMMYFUNCTION("""COMPUTED_VALUE"""),3)</f>
        <v>3</v>
      </c>
      <c r="O1394" s="8" t="str">
        <f ca="1">IFERROR(__xludf.DUMMYFUNCTION("""COMPUTED_VALUE"""),"Spring")</f>
        <v>Spring</v>
      </c>
      <c r="P1394" s="8" t="str">
        <f ca="1">IFERROR(__xludf.DUMMYFUNCTION("""COMPUTED_VALUE"""),"St Charles")</f>
        <v>St Charles</v>
      </c>
      <c r="Q1394" s="8" t="str">
        <f ca="1">IFERROR(__xludf.DUMMYFUNCTION("""COMPUTED_VALUE"""),"MO")</f>
        <v>MO</v>
      </c>
      <c r="R1394" s="8" t="str">
        <f ca="1">IFERROR(__xludf.DUMMYFUNCTION("""COMPUTED_VALUE"""),"Elementary")</f>
        <v>Elementary</v>
      </c>
      <c r="S1394" s="8" t="str">
        <f ca="1">IFERROR(__xludf.DUMMYFUNCTION("""COMPUTED_VALUE"""),"Parking Lot")</f>
        <v>Parking Lot</v>
      </c>
      <c r="T1394" s="8" t="str">
        <f ca="1">IFERROR(__xludf.DUMMYFUNCTION("""COMPUTED_VALUE"""),"Outside on School Property")</f>
        <v>Outside on School Property</v>
      </c>
      <c r="U1394" s="8" t="str">
        <f ca="1">IFERROR(__xludf.DUMMYFUNCTION("""COMPUTED_VALUE"""),"No")</f>
        <v>No</v>
      </c>
      <c r="V1394" s="8" t="str">
        <f ca="1">IFERROR(__xludf.DUMMYFUNCTION("""COMPUTED_VALUE"""),"Night")</f>
        <v>Night</v>
      </c>
      <c r="W1394" s="11">
        <f ca="1">IFERROR(__xludf.DUMMYFUNCTION("""COMPUTED_VALUE"""),0.0833333333333333)</f>
        <v>8.3333333333333301E-2</v>
      </c>
      <c r="X1394" s="8">
        <f ca="1">IFERROR(__xludf.DUMMYFUNCTION("""COMPUTED_VALUE"""),1)</f>
        <v>1</v>
      </c>
      <c r="Y1394" s="12" t="str">
        <f ca="1">IFERROR(__xludf.DUMMYFUNCTION("""COMPUTED_VALUE"""),"Suicidal man pointed gun at officer who then shot him")</f>
        <v>Suicidal man pointed gun at officer who then shot him</v>
      </c>
      <c r="Z1394" s="12" t="str">
        <f ca="1">IFERROR(__xludf.DUMMYFUNCTION("""COMPUTED_VALUE"""),"A 33-year-old man called 911 to say he was suicidal. When the first police officer arrived, the man pointed a gun at the officer in the school parking lot. The officer shot and killed him.")</f>
        <v>A 33-year-old man called 911 to say he was suicidal. When the first police officer arrived, the man pointed a gun at the officer in the school parking lot. The officer shot and killed him.</v>
      </c>
      <c r="AA1394" s="8" t="str">
        <f ca="1">IFERROR(__xludf.DUMMYFUNCTION("""COMPUTED_VALUE"""),"Suicide/Attempted")</f>
        <v>Suicide/Attempted</v>
      </c>
      <c r="AB1394" s="8"/>
      <c r="AC1394" s="8" t="str">
        <f ca="1">IFERROR(__xludf.DUMMYFUNCTION("""COMPUTED_VALUE"""),"No")</f>
        <v>No</v>
      </c>
      <c r="AD1394" s="8" t="str">
        <f ca="1">IFERROR(__xludf.DUMMYFUNCTION("""COMPUTED_VALUE"""),"Victims Targeted")</f>
        <v>Victims Targeted</v>
      </c>
      <c r="AE1394" s="8" t="str">
        <f ca="1">IFERROR(__xludf.DUMMYFUNCTION("""COMPUTED_VALUE"""),"No")</f>
        <v>No</v>
      </c>
      <c r="AF1394" s="8"/>
      <c r="AG1394" s="8" t="str">
        <f ca="1">IFERROR(__xludf.DUMMYFUNCTION("""COMPUTED_VALUE"""),"No")</f>
        <v>No</v>
      </c>
      <c r="AH1394" s="8" t="str">
        <f ca="1">IFERROR(__xludf.DUMMYFUNCTION("""COMPUTED_VALUE"""),"No")</f>
        <v>No</v>
      </c>
      <c r="AI1394" s="8" t="str">
        <f ca="1">IFERROR(__xludf.DUMMYFUNCTION("""COMPUTED_VALUE"""),"Yes")</f>
        <v>Yes</v>
      </c>
      <c r="AJ1394" s="8" t="str">
        <f ca="1">IFERROR(__xludf.DUMMYFUNCTION("""COMPUTED_VALUE"""),"No")</f>
        <v>No</v>
      </c>
      <c r="AK1394" s="8" t="str">
        <f ca="1">IFERROR(__xludf.DUMMYFUNCTION("""COMPUTED_VALUE"""),"No")</f>
        <v>No</v>
      </c>
      <c r="AL1394" s="8" t="str">
        <f ca="1">IFERROR(__xludf.DUMMYFUNCTION("""COMPUTED_VALUE"""),"No")</f>
        <v>No</v>
      </c>
      <c r="AM1394" s="8" t="str">
        <f ca="1">IFERROR(__xludf.DUMMYFUNCTION("""COMPUTED_VALUE"""),"No")</f>
        <v>No</v>
      </c>
      <c r="AN1394" s="8"/>
      <c r="AO1394" s="8" t="str">
        <f ca="1">IFERROR(__xludf.DUMMYFUNCTION("""COMPUTED_VALUE"""),"No")</f>
        <v>No</v>
      </c>
      <c r="AP1394" s="8"/>
      <c r="AQ1394" s="8"/>
      <c r="AR1394" s="8" t="str">
        <f ca="1">IFERROR(__xludf.DUMMYFUNCTION("""COMPUTED_VALUE"""),"Outside/Off-Property")</f>
        <v>Outside/Off-Property</v>
      </c>
      <c r="AS1394" s="8"/>
      <c r="AT1394" s="8"/>
      <c r="AU1394" s="8">
        <f ca="1">IFERROR(__xludf.DUMMYFUNCTION("""COMPUTED_VALUE"""),38.726924)</f>
        <v>38.726923999999997</v>
      </c>
      <c r="AV1394" s="8">
        <f ca="1">IFERROR(__xludf.DUMMYFUNCTION("""COMPUTED_VALUE"""),-90.598622)</f>
        <v>-90.598622000000006</v>
      </c>
      <c r="AW1394" s="8"/>
      <c r="AX1394" s="8">
        <f ca="1">IFERROR(__xludf.DUMMYFUNCTION("""COMPUTED_VALUE"""),63304)</f>
        <v>63304</v>
      </c>
    </row>
    <row r="1395" spans="1:50" ht="60" x14ac:dyDescent="0.2">
      <c r="A1395" s="8" t="str">
        <f ca="1">IFERROR(__xludf.DUMMYFUNCTION("""COMPUTED_VALUE"""),"20210324ORFOS")</f>
        <v>20210324ORFOS</v>
      </c>
      <c r="B1395" s="8">
        <f ca="1">IFERROR(__xludf.DUMMYFUNCTION("""COMPUTED_VALUE"""),3)</f>
        <v>3</v>
      </c>
      <c r="C1395" s="8">
        <f ca="1">IFERROR(__xludf.DUMMYFUNCTION("""COMPUTED_VALUE"""),24)</f>
        <v>24</v>
      </c>
      <c r="D1395" s="8">
        <f ca="1">IFERROR(__xludf.DUMMYFUNCTION("""COMPUTED_VALUE"""),2021)</f>
        <v>2021</v>
      </c>
      <c r="E1395" s="9">
        <f ca="1">IFERROR(__xludf.DUMMYFUNCTION("""COMPUTED_VALUE"""),44279)</f>
        <v>44279</v>
      </c>
      <c r="F1395" s="8" t="str">
        <f ca="1">IFERROR(__xludf.DUMMYFUNCTION("""COMPUTED_VALUE"""),"Four Corners Elementary School")</f>
        <v>Four Corners Elementary School</v>
      </c>
      <c r="G1395" s="8">
        <f ca="1">IFERROR(__xludf.DUMMYFUNCTION("""COMPUTED_VALUE"""),1)</f>
        <v>1</v>
      </c>
      <c r="H1395" s="8">
        <f ca="1">IFERROR(__xludf.DUMMYFUNCTION("""COMPUTED_VALUE"""),1)</f>
        <v>1</v>
      </c>
      <c r="I1395" s="8">
        <f ca="1">IFERROR(__xludf.DUMMYFUNCTION("""COMPUTED_VALUE"""),2)</f>
        <v>2</v>
      </c>
      <c r="J1395" s="8">
        <f ca="1">IFERROR(__xludf.DUMMYFUNCTION("""COMPUTED_VALUE"""),0)</f>
        <v>0</v>
      </c>
      <c r="K1395" s="8" t="str">
        <f ca="1">IFERROR(__xludf.DUMMYFUNCTION("""COMPUTED_VALUE"""),"https://www.oregonlive.com/crime/2021/03/teenager-dies-after-shooting-in-salem-elementary-school-parking-lot.html https://katu.com/news/local/two-teens-shot-two-others-in-custody-after-marijuana-robbery-in-se-salem-sheriff-says https://www.kxl.com/two-tee"&amp;"ns-shot-outside-salem-school-shooter-detained/")</f>
        <v>https://www.oregonlive.com/crime/2021/03/teenager-dies-after-shooting-in-salem-elementary-school-parking-lot.html https://katu.com/news/local/two-teens-shot-two-others-in-custody-after-marijuana-robbery-in-se-salem-sheriff-says https://www.kxl.com/two-teens-shot-outside-salem-school-shooter-detained/</v>
      </c>
      <c r="L1395" s="8">
        <f ca="1">IFERROR(__xludf.DUMMYFUNCTION("""COMPUTED_VALUE"""),2)</f>
        <v>2</v>
      </c>
      <c r="M1395" s="8" t="str">
        <f ca="1">IFERROR(__xludf.DUMMYFUNCTION("""COMPUTED_VALUE"""),"Local")</f>
        <v>Local</v>
      </c>
      <c r="N1395" s="8">
        <f ca="1">IFERROR(__xludf.DUMMYFUNCTION("""COMPUTED_VALUE"""),3)</f>
        <v>3</v>
      </c>
      <c r="O1395" s="8" t="str">
        <f ca="1">IFERROR(__xludf.DUMMYFUNCTION("""COMPUTED_VALUE"""),"Spring")</f>
        <v>Spring</v>
      </c>
      <c r="P1395" s="8" t="str">
        <f ca="1">IFERROR(__xludf.DUMMYFUNCTION("""COMPUTED_VALUE"""),"Salem")</f>
        <v>Salem</v>
      </c>
      <c r="Q1395" s="8" t="str">
        <f ca="1">IFERROR(__xludf.DUMMYFUNCTION("""COMPUTED_VALUE"""),"OR")</f>
        <v>OR</v>
      </c>
      <c r="R1395" s="8" t="str">
        <f ca="1">IFERROR(__xludf.DUMMYFUNCTION("""COMPUTED_VALUE"""),"Elementary")</f>
        <v>Elementary</v>
      </c>
      <c r="S1395" s="8" t="str">
        <f ca="1">IFERROR(__xludf.DUMMYFUNCTION("""COMPUTED_VALUE"""),"Parking Lot")</f>
        <v>Parking Lot</v>
      </c>
      <c r="T1395" s="8" t="str">
        <f ca="1">IFERROR(__xludf.DUMMYFUNCTION("""COMPUTED_VALUE"""),"Outside on School Property")</f>
        <v>Outside on School Property</v>
      </c>
      <c r="U1395" s="8" t="str">
        <f ca="1">IFERROR(__xludf.DUMMYFUNCTION("""COMPUTED_VALUE"""),"No")</f>
        <v>No</v>
      </c>
      <c r="V1395" s="8" t="str">
        <f ca="1">IFERROR(__xludf.DUMMYFUNCTION("""COMPUTED_VALUE"""),"Evening")</f>
        <v>Evening</v>
      </c>
      <c r="W1395" s="11">
        <f ca="1">IFERROR(__xludf.DUMMYFUNCTION("""COMPUTED_VALUE"""),0.680555555555555)</f>
        <v>0.68055555555555503</v>
      </c>
      <c r="X1395" s="8">
        <f ca="1">IFERROR(__xludf.DUMMYFUNCTION("""COMPUTED_VALUE"""),1)</f>
        <v>1</v>
      </c>
      <c r="Y1395" s="12" t="str">
        <f ca="1">IFERROR(__xludf.DUMMYFUNCTION("""COMPUTED_VALUE"""),"Two teens shot during drug deal in school parking lot")</f>
        <v>Two teens shot during drug deal in school parking lot</v>
      </c>
      <c r="Z1395" s="12" t="str">
        <f ca="1">IFERROR(__xludf.DUMMYFUNCTION("""COMPUTED_VALUE"""),"Two 17-year-old teens were shot during a drug deal in the parking lot behind the school. One of the victims was critically injured and died the following day at the hospital. Two teens were arrested and a gun was recovered.")</f>
        <v>Two 17-year-old teens were shot during a drug deal in the parking lot behind the school. One of the victims was critically injured and died the following day at the hospital. Two teens were arrested and a gun was recovered.</v>
      </c>
      <c r="AA1395" s="8" t="str">
        <f ca="1">IFERROR(__xludf.DUMMYFUNCTION("""COMPUTED_VALUE"""),"Illegal Activity")</f>
        <v>Illegal Activity</v>
      </c>
      <c r="AB1395" s="8"/>
      <c r="AC1395" s="8" t="str">
        <f ca="1">IFERROR(__xludf.DUMMYFUNCTION("""COMPUTED_VALUE"""),"No")</f>
        <v>No</v>
      </c>
      <c r="AD1395" s="8" t="str">
        <f ca="1">IFERROR(__xludf.DUMMYFUNCTION("""COMPUTED_VALUE"""),"Victims Targeted")</f>
        <v>Victims Targeted</v>
      </c>
      <c r="AE1395" s="8" t="str">
        <f ca="1">IFERROR(__xludf.DUMMYFUNCTION("""COMPUTED_VALUE"""),"Yes")</f>
        <v>Yes</v>
      </c>
      <c r="AF1395" s="8" t="str">
        <f ca="1">IFERROR(__xludf.DUMMYFUNCTION("""COMPUTED_VALUE"""),"Two teens arrested")</f>
        <v>Two teens arrested</v>
      </c>
      <c r="AG1395" s="8" t="str">
        <f ca="1">IFERROR(__xludf.DUMMYFUNCTION("""COMPUTED_VALUE"""),"No")</f>
        <v>No</v>
      </c>
      <c r="AH1395" s="8" t="str">
        <f ca="1">IFERROR(__xludf.DUMMYFUNCTION("""COMPUTED_VALUE"""),"No")</f>
        <v>No</v>
      </c>
      <c r="AI1395" s="8" t="str">
        <f ca="1">IFERROR(__xludf.DUMMYFUNCTION("""COMPUTED_VALUE"""),"No")</f>
        <v>No</v>
      </c>
      <c r="AJ1395" s="8" t="str">
        <f ca="1">IFERROR(__xludf.DUMMYFUNCTION("""COMPUTED_VALUE"""),"No")</f>
        <v>No</v>
      </c>
      <c r="AK1395" s="8" t="str">
        <f ca="1">IFERROR(__xludf.DUMMYFUNCTION("""COMPUTED_VALUE"""),"No")</f>
        <v>No</v>
      </c>
      <c r="AL1395" s="8" t="str">
        <f ca="1">IFERROR(__xludf.DUMMYFUNCTION("""COMPUTED_VALUE"""),"No")</f>
        <v>No</v>
      </c>
      <c r="AM1395" s="8" t="str">
        <f ca="1">IFERROR(__xludf.DUMMYFUNCTION("""COMPUTED_VALUE"""),"No")</f>
        <v>No</v>
      </c>
      <c r="AN1395" s="8"/>
      <c r="AO1395" s="8" t="str">
        <f ca="1">IFERROR(__xludf.DUMMYFUNCTION("""COMPUTED_VALUE"""),"No")</f>
        <v>No</v>
      </c>
      <c r="AP1395" s="8"/>
      <c r="AQ1395" s="8"/>
      <c r="AR1395" s="8" t="str">
        <f ca="1">IFERROR(__xludf.DUMMYFUNCTION("""COMPUTED_VALUE"""),"Outside/Off-Property")</f>
        <v>Outside/Off-Property</v>
      </c>
      <c r="AS1395" s="8"/>
      <c r="AT1395" s="8"/>
      <c r="AU1395" s="8">
        <f ca="1">IFERROR(__xludf.DUMMYFUNCTION("""COMPUTED_VALUE"""),44.922399)</f>
        <v>44.922398999999999</v>
      </c>
      <c r="AV1395" s="8">
        <f ca="1">IFERROR(__xludf.DUMMYFUNCTION("""COMPUTED_VALUE"""),-122.975965)</f>
        <v>-122.975965</v>
      </c>
      <c r="AW1395" s="8"/>
      <c r="AX1395" s="8">
        <f ca="1">IFERROR(__xludf.DUMMYFUNCTION("""COMPUTED_VALUE"""),97317)</f>
        <v>97317</v>
      </c>
    </row>
    <row r="1396" spans="1:50" ht="90" x14ac:dyDescent="0.2">
      <c r="A1396" s="8" t="str">
        <f ca="1">IFERROR(__xludf.DUMMYFUNCTION("""COMPUTED_VALUE"""),"20210319WVSPM")</f>
        <v>20210319WVSPM</v>
      </c>
      <c r="B1396" s="8">
        <f ca="1">IFERROR(__xludf.DUMMYFUNCTION("""COMPUTED_VALUE"""),3)</f>
        <v>3</v>
      </c>
      <c r="C1396" s="8">
        <f ca="1">IFERROR(__xludf.DUMMYFUNCTION("""COMPUTED_VALUE"""),19)</f>
        <v>19</v>
      </c>
      <c r="D1396" s="8">
        <f ca="1">IFERROR(__xludf.DUMMYFUNCTION("""COMPUTED_VALUE"""),2021)</f>
        <v>2021</v>
      </c>
      <c r="E1396" s="9">
        <f ca="1">IFERROR(__xludf.DUMMYFUNCTION("""COMPUTED_VALUE"""),44274)</f>
        <v>44274</v>
      </c>
      <c r="F1396" s="8" t="str">
        <f ca="1">IFERROR(__xludf.DUMMYFUNCTION("""COMPUTED_VALUE"""),"Spring Mills Middle School")</f>
        <v>Spring Mills Middle School</v>
      </c>
      <c r="G1396" s="8">
        <f ca="1">IFERROR(__xludf.DUMMYFUNCTION("""COMPUTED_VALUE"""),0)</f>
        <v>0</v>
      </c>
      <c r="H1396" s="8">
        <f ca="1">IFERROR(__xludf.DUMMYFUNCTION("""COMPUTED_VALUE"""),0)</f>
        <v>0</v>
      </c>
      <c r="I1396" s="8">
        <f ca="1">IFERROR(__xludf.DUMMYFUNCTION("""COMPUTED_VALUE"""),0)</f>
        <v>0</v>
      </c>
      <c r="J1396" s="8">
        <f ca="1">IFERROR(__xludf.DUMMYFUNCTION("""COMPUTED_VALUE"""),0)</f>
        <v>0</v>
      </c>
      <c r="K1396" s="8" t="str">
        <f ca="1">IFERROR(__xludf.DUMMYFUNCTION("""COMPUTED_VALUE"""),"https://www.heraldmailmedia.com/news/tri_state/west_virginia/police-identify-two-males-involved-in-shooting-a-school-bus-with-a-bb-gun-near/article_22396b99-f7ad-5100-a650-0241547d4239.html https://wjla.com/features/7-on-your-side/investigators-searching-"&amp;"for-2-minors-who-shot-at-school-bus-in-west-virginia")</f>
        <v>https://www.heraldmailmedia.com/news/tri_state/west_virginia/police-identify-two-males-involved-in-shooting-a-school-bus-with-a-bb-gun-near/article_22396b99-f7ad-5100-a650-0241547d4239.html https://wjla.com/features/7-on-your-side/investigators-searching-for-2-minors-who-shot-at-school-bus-in-west-virginia</v>
      </c>
      <c r="L1396" s="8">
        <f ca="1">IFERROR(__xludf.DUMMYFUNCTION("""COMPUTED_VALUE"""),2)</f>
        <v>2</v>
      </c>
      <c r="M1396" s="8" t="str">
        <f ca="1">IFERROR(__xludf.DUMMYFUNCTION("""COMPUTED_VALUE"""),"Local")</f>
        <v>Local</v>
      </c>
      <c r="N1396" s="8">
        <f ca="1">IFERROR(__xludf.DUMMYFUNCTION("""COMPUTED_VALUE"""),4)</f>
        <v>4</v>
      </c>
      <c r="O1396" s="8" t="str">
        <f ca="1">IFERROR(__xludf.DUMMYFUNCTION("""COMPUTED_VALUE"""),"Spring")</f>
        <v>Spring</v>
      </c>
      <c r="P1396" s="8" t="str">
        <f ca="1">IFERROR(__xludf.DUMMYFUNCTION("""COMPUTED_VALUE"""),"Martinsburg")</f>
        <v>Martinsburg</v>
      </c>
      <c r="Q1396" s="8" t="str">
        <f ca="1">IFERROR(__xludf.DUMMYFUNCTION("""COMPUTED_VALUE"""),"WV")</f>
        <v>WV</v>
      </c>
      <c r="R1396" s="8" t="str">
        <f ca="1">IFERROR(__xludf.DUMMYFUNCTION("""COMPUTED_VALUE"""),"Middle")</f>
        <v>Middle</v>
      </c>
      <c r="S1396" s="8" t="str">
        <f ca="1">IFERROR(__xludf.DUMMYFUNCTION("""COMPUTED_VALUE"""),"School Bus")</f>
        <v>School Bus</v>
      </c>
      <c r="T1396" s="8" t="str">
        <f ca="1">IFERROR(__xludf.DUMMYFUNCTION("""COMPUTED_VALUE"""),"School Bus")</f>
        <v>School Bus</v>
      </c>
      <c r="U1396" s="8" t="str">
        <f ca="1">IFERROR(__xludf.DUMMYFUNCTION("""COMPUTED_VALUE"""),"Yes")</f>
        <v>Yes</v>
      </c>
      <c r="V1396" s="8" t="str">
        <f ca="1">IFERROR(__xludf.DUMMYFUNCTION("""COMPUTED_VALUE"""),"Dismissal")</f>
        <v>Dismissal</v>
      </c>
      <c r="W1396" s="11">
        <f ca="1">IFERROR(__xludf.DUMMYFUNCTION("""COMPUTED_VALUE"""),0.625)</f>
        <v>0.625</v>
      </c>
      <c r="X1396" s="8">
        <f ca="1">IFERROR(__xludf.DUMMYFUNCTION("""COMPUTED_VALUE"""),2)</f>
        <v>2</v>
      </c>
      <c r="Y1396" s="12" t="str">
        <f ca="1">IFERROR(__xludf.DUMMYFUNCTION("""COMPUTED_VALUE"""),"Two teens fired BB guns at two school buses full of students leaving the school")</f>
        <v>Two teens fired BB guns at two school buses full of students leaving the school</v>
      </c>
      <c r="Z1396" s="12" t="str">
        <f ca="1">IFERROR(__xludf.DUMMYFUNCTION("""COMPUTED_VALUE"""),"At dismissal, two teenage shooters fired BB guns at two school buses occupied by students. A window was broken on one bus and the other was undamaged. No students were injured. The two shooters fled the scene. Video from the bus was used to identify the t"&amp;"eens who were questioned to police and referred for prosecution.")</f>
        <v>At dismissal, two teenage shooters fired BB guns at two school buses occupied by students. A window was broken on one bus and the other was undamaged. No students were injured. The two shooters fled the scene. Video from the bus was used to identify the teens who were questioned to police and referred for prosecution.</v>
      </c>
      <c r="AA1396" s="8" t="str">
        <f ca="1">IFERROR(__xludf.DUMMYFUNCTION("""COMPUTED_VALUE"""),"Intentional Property Damage")</f>
        <v>Intentional Property Damage</v>
      </c>
      <c r="AB1396" s="8"/>
      <c r="AC1396" s="8" t="str">
        <f ca="1">IFERROR(__xludf.DUMMYFUNCTION("""COMPUTED_VALUE"""),"Yes")</f>
        <v>Yes</v>
      </c>
      <c r="AD1396" s="8" t="str">
        <f ca="1">IFERROR(__xludf.DUMMYFUNCTION("""COMPUTED_VALUE"""),"Random Shooting")</f>
        <v>Random Shooting</v>
      </c>
      <c r="AE1396" s="8" t="str">
        <f ca="1">IFERROR(__xludf.DUMMYFUNCTION("""COMPUTED_VALUE"""),"Yes")</f>
        <v>Yes</v>
      </c>
      <c r="AF1396" s="8" t="str">
        <f ca="1">IFERROR(__xludf.DUMMYFUNCTION("""COMPUTED_VALUE"""),"Two teens fired shots")</f>
        <v>Two teens fired shots</v>
      </c>
      <c r="AG1396" s="8" t="str">
        <f ca="1">IFERROR(__xludf.DUMMYFUNCTION("""COMPUTED_VALUE"""),"No")</f>
        <v>No</v>
      </c>
      <c r="AH1396" s="8" t="str">
        <f ca="1">IFERROR(__xludf.DUMMYFUNCTION("""COMPUTED_VALUE"""),"No")</f>
        <v>No</v>
      </c>
      <c r="AI1396" s="8" t="str">
        <f ca="1">IFERROR(__xludf.DUMMYFUNCTION("""COMPUTED_VALUE"""),"No")</f>
        <v>No</v>
      </c>
      <c r="AJ1396" s="8"/>
      <c r="AK1396" s="8" t="str">
        <f ca="1">IFERROR(__xludf.DUMMYFUNCTION("""COMPUTED_VALUE"""),"No")</f>
        <v>No</v>
      </c>
      <c r="AL1396" s="8" t="str">
        <f ca="1">IFERROR(__xludf.DUMMYFUNCTION("""COMPUTED_VALUE"""),"No")</f>
        <v>No</v>
      </c>
      <c r="AM1396" s="8" t="str">
        <f ca="1">IFERROR(__xludf.DUMMYFUNCTION("""COMPUTED_VALUE"""),"No")</f>
        <v>No</v>
      </c>
      <c r="AN1396" s="8"/>
      <c r="AO1396" s="8" t="str">
        <f ca="1">IFERROR(__xludf.DUMMYFUNCTION("""COMPUTED_VALUE"""),"No")</f>
        <v>No</v>
      </c>
      <c r="AP1396" s="8"/>
      <c r="AQ1396" s="8"/>
      <c r="AR1396" s="8" t="str">
        <f ca="1">IFERROR(__xludf.DUMMYFUNCTION("""COMPUTED_VALUE"""),"Outside/Off-Property")</f>
        <v>Outside/Off-Property</v>
      </c>
      <c r="AS1396" s="8"/>
      <c r="AT1396" s="8"/>
      <c r="AU1396" s="8">
        <f ca="1">IFERROR(__xludf.DUMMYFUNCTION("""COMPUTED_VALUE"""),39.541432)</f>
        <v>39.541432</v>
      </c>
      <c r="AV1396" s="8">
        <f ca="1">IFERROR(__xludf.DUMMYFUNCTION("""COMPUTED_VALUE"""),-77.901915)</f>
        <v>-77.901915000000002</v>
      </c>
      <c r="AW1396" s="8"/>
      <c r="AX1396" s="8">
        <f ca="1">IFERROR(__xludf.DUMMYFUNCTION("""COMPUTED_VALUE"""),25404)</f>
        <v>25404</v>
      </c>
    </row>
    <row r="1397" spans="1:50" ht="105" x14ac:dyDescent="0.2">
      <c r="A1397" s="8" t="str">
        <f ca="1">IFERROR(__xludf.DUMMYFUNCTION("""COMPUTED_VALUE"""),"20210318KYGRL")</f>
        <v>20210318KYGRL</v>
      </c>
      <c r="B1397" s="8">
        <f ca="1">IFERROR(__xludf.DUMMYFUNCTION("""COMPUTED_VALUE"""),3)</f>
        <v>3</v>
      </c>
      <c r="C1397" s="8">
        <f ca="1">IFERROR(__xludf.DUMMYFUNCTION("""COMPUTED_VALUE"""),18)</f>
        <v>18</v>
      </c>
      <c r="D1397" s="8">
        <f ca="1">IFERROR(__xludf.DUMMYFUNCTION("""COMPUTED_VALUE"""),2021)</f>
        <v>2021</v>
      </c>
      <c r="E1397" s="9">
        <f ca="1">IFERROR(__xludf.DUMMYFUNCTION("""COMPUTED_VALUE"""),44273)</f>
        <v>44273</v>
      </c>
      <c r="F1397" s="8" t="str">
        <f ca="1">IFERROR(__xludf.DUMMYFUNCTION("""COMPUTED_VALUE"""),"Greenwood Elementary School")</f>
        <v>Greenwood Elementary School</v>
      </c>
      <c r="G1397" s="8">
        <f ca="1">IFERROR(__xludf.DUMMYFUNCTION("""COMPUTED_VALUE"""),0)</f>
        <v>0</v>
      </c>
      <c r="H1397" s="8">
        <f ca="1">IFERROR(__xludf.DUMMYFUNCTION("""COMPUTED_VALUE"""),0)</f>
        <v>0</v>
      </c>
      <c r="I1397" s="8">
        <f ca="1">IFERROR(__xludf.DUMMYFUNCTION("""COMPUTED_VALUE"""),0)</f>
        <v>0</v>
      </c>
      <c r="J1397" s="8">
        <f ca="1">IFERROR(__xludf.DUMMYFUNCTION("""COMPUTED_VALUE"""),0)</f>
        <v>0</v>
      </c>
      <c r="K1397" s="8" t="str">
        <f ca="1">IFERROR(__xludf.DUMMYFUNCTION("""COMPUTED_VALUE"""),"https://www.wave3.com/2021/03/18/irate-man-with-gun-arrested-grounds-jcps-elementary-school/ https://www.wlky.com/article/active-aggressor-in-custody-after-incident-outside-elementary-school-in-pleasure-ridge-park/35877635 https://www.wave3.com/2021/03/19"&amp;"/suspect-threatened-pointed-gun-greenwood-elementary-staff/")</f>
        <v>https://www.wave3.com/2021/03/18/irate-man-with-gun-arrested-grounds-jcps-elementary-school/ https://www.wlky.com/article/active-aggressor-in-custody-after-incident-outside-elementary-school-in-pleasure-ridge-park/35877635 https://www.wave3.com/2021/03/19/suspect-threatened-pointed-gun-greenwood-elementary-staff/</v>
      </c>
      <c r="L1397" s="8">
        <f ca="1">IFERROR(__xludf.DUMMYFUNCTION("""COMPUTED_VALUE"""),3)</f>
        <v>3</v>
      </c>
      <c r="M1397" s="8" t="str">
        <f ca="1">IFERROR(__xludf.DUMMYFUNCTION("""COMPUTED_VALUE"""),"Local")</f>
        <v>Local</v>
      </c>
      <c r="N1397" s="8">
        <f ca="1">IFERROR(__xludf.DUMMYFUNCTION("""COMPUTED_VALUE"""),4)</f>
        <v>4</v>
      </c>
      <c r="O1397" s="8" t="str">
        <f ca="1">IFERROR(__xludf.DUMMYFUNCTION("""COMPUTED_VALUE"""),"Spring")</f>
        <v>Spring</v>
      </c>
      <c r="P1397" s="8" t="str">
        <f ca="1">IFERROR(__xludf.DUMMYFUNCTION("""COMPUTED_VALUE"""),"Louisville")</f>
        <v>Louisville</v>
      </c>
      <c r="Q1397" s="8" t="str">
        <f ca="1">IFERROR(__xludf.DUMMYFUNCTION("""COMPUTED_VALUE"""),"KY")</f>
        <v>KY</v>
      </c>
      <c r="R1397" s="8" t="str">
        <f ca="1">IFERROR(__xludf.DUMMYFUNCTION("""COMPUTED_VALUE"""),"Elementary")</f>
        <v>Elementary</v>
      </c>
      <c r="S1397" s="8" t="str">
        <f ca="1">IFERROR(__xludf.DUMMYFUNCTION("""COMPUTED_VALUE"""),"Cafeteria")</f>
        <v>Cafeteria</v>
      </c>
      <c r="T1397" s="8" t="str">
        <f ca="1">IFERROR(__xludf.DUMMYFUNCTION("""COMPUTED_VALUE"""),"Outside on School Property")</f>
        <v>Outside on School Property</v>
      </c>
      <c r="U1397" s="8" t="str">
        <f ca="1">IFERROR(__xludf.DUMMYFUNCTION("""COMPUTED_VALUE"""),"Yes")</f>
        <v>Yes</v>
      </c>
      <c r="V1397" s="8" t="str">
        <f ca="1">IFERROR(__xludf.DUMMYFUNCTION("""COMPUTED_VALUE"""),"Lunch")</f>
        <v>Lunch</v>
      </c>
      <c r="W1397" s="11">
        <f ca="1">IFERROR(__xludf.DUMMYFUNCTION("""COMPUTED_VALUE"""),0.530555555555555)</f>
        <v>0.530555555555555</v>
      </c>
      <c r="X1397" s="8">
        <f ca="1">IFERROR(__xludf.DUMMYFUNCTION("""COMPUTED_VALUE"""),10)</f>
        <v>10</v>
      </c>
      <c r="Y1397" s="12" t="str">
        <f ca="1">IFERROR(__xludf.DUMMYFUNCTION("""COMPUTED_VALUE"""),"Adult male pointed gun and threatened school staff who did not allow him to enter")</f>
        <v>Adult male pointed gun and threatened school staff who did not allow him to enter</v>
      </c>
      <c r="Z1397" s="12" t="str">
        <f ca="1">IFERROR(__xludf.DUMMYFUNCTION("""COMPUTED_VALUE"""),"A 36-year-old male attempted to enter the school cafeteria during lunch. He was not authorized to be in the building and school staff did not allow him to enter. He pointed a gun at school staff and said they had 10 minutes to give him his child. The scho"&amp;"ol was locked down and students were sheltered. The man attempted to break into the school multiple times before being arrested by police.")</f>
        <v>A 36-year-old male attempted to enter the school cafeteria during lunch. He was not authorized to be in the building and school staff did not allow him to enter. He pointed a gun at school staff and said they had 10 minutes to give him his child. The school was locked down and students were sheltered. The man attempted to break into the school multiple times before being arrested by police.</v>
      </c>
      <c r="AA1397" s="8" t="str">
        <f ca="1">IFERROR(__xludf.DUMMYFUNCTION("""COMPUTED_VALUE"""),"Domestic w/ Targeted Victim")</f>
        <v>Domestic w/ Targeted Victim</v>
      </c>
      <c r="AB1397" s="8"/>
      <c r="AC1397" s="8" t="str">
        <f ca="1">IFERROR(__xludf.DUMMYFUNCTION("""COMPUTED_VALUE"""),"Yes")</f>
        <v>Yes</v>
      </c>
      <c r="AD1397" s="8" t="str">
        <f ca="1">IFERROR(__xludf.DUMMYFUNCTION("""COMPUTED_VALUE"""),"Neither")</f>
        <v>Neither</v>
      </c>
      <c r="AE1397" s="8" t="str">
        <f ca="1">IFERROR(__xludf.DUMMYFUNCTION("""COMPUTED_VALUE"""),"No")</f>
        <v>No</v>
      </c>
      <c r="AF1397" s="8"/>
      <c r="AG1397" s="8" t="str">
        <f ca="1">IFERROR(__xludf.DUMMYFUNCTION("""COMPUTED_VALUE"""),"No")</f>
        <v>No</v>
      </c>
      <c r="AH1397" s="8" t="str">
        <f ca="1">IFERROR(__xludf.DUMMYFUNCTION("""COMPUTED_VALUE"""),"No")</f>
        <v>No</v>
      </c>
      <c r="AI1397" s="8" t="str">
        <f ca="1">IFERROR(__xludf.DUMMYFUNCTION("""COMPUTED_VALUE"""),"No")</f>
        <v>No</v>
      </c>
      <c r="AJ1397" s="8" t="str">
        <f ca="1">IFERROR(__xludf.DUMMYFUNCTION("""COMPUTED_VALUE"""),"No")</f>
        <v>No</v>
      </c>
      <c r="AK1397" s="8" t="str">
        <f ca="1">IFERROR(__xludf.DUMMYFUNCTION("""COMPUTED_VALUE"""),"Yes")</f>
        <v>Yes</v>
      </c>
      <c r="AL1397" s="8" t="str">
        <f ca="1">IFERROR(__xludf.DUMMYFUNCTION("""COMPUTED_VALUE"""),"No")</f>
        <v>No</v>
      </c>
      <c r="AM1397" s="8" t="str">
        <f ca="1">IFERROR(__xludf.DUMMYFUNCTION("""COMPUTED_VALUE"""),"No")</f>
        <v>No</v>
      </c>
      <c r="AN1397" s="8"/>
      <c r="AO1397" s="8" t="str">
        <f ca="1">IFERROR(__xludf.DUMMYFUNCTION("""COMPUTED_VALUE"""),"No")</f>
        <v>No</v>
      </c>
      <c r="AP1397" s="8" t="str">
        <f ca="1">IFERROR(__xludf.DUMMYFUNCTION("""COMPUTED_VALUE"""),"No")</f>
        <v>No</v>
      </c>
      <c r="AQ1397" s="8"/>
      <c r="AR1397" s="8"/>
      <c r="AS1397" s="8">
        <f ca="1">IFERROR(__xludf.DUMMYFUNCTION("""COMPUTED_VALUE"""),0)</f>
        <v>0</v>
      </c>
      <c r="AT1397" s="8" t="str">
        <f ca="1">IFERROR(__xludf.DUMMYFUNCTION("""COMPUTED_VALUE"""),"Yes")</f>
        <v>Yes</v>
      </c>
      <c r="AU1397" s="8">
        <f ca="1">IFERROR(__xludf.DUMMYFUNCTION("""COMPUTED_VALUE"""),38.14543)</f>
        <v>38.145429999999998</v>
      </c>
      <c r="AV1397" s="8">
        <f ca="1">IFERROR(__xludf.DUMMYFUNCTION("""COMPUTED_VALUE"""),-85.861629)</f>
        <v>-85.861628999999994</v>
      </c>
      <c r="AW1397" s="8"/>
      <c r="AX1397" s="8">
        <f ca="1">IFERROR(__xludf.DUMMYFUNCTION("""COMPUTED_VALUE"""),40258)</f>
        <v>40258</v>
      </c>
    </row>
    <row r="1398" spans="1:50" ht="105" x14ac:dyDescent="0.2">
      <c r="A1398" s="8" t="str">
        <f ca="1">IFERROR(__xludf.DUMMYFUNCTION("""COMPUTED_VALUE"""),"20210315INMEM")</f>
        <v>20210315INMEM</v>
      </c>
      <c r="B1398" s="8">
        <f ca="1">IFERROR(__xludf.DUMMYFUNCTION("""COMPUTED_VALUE"""),3)</f>
        <v>3</v>
      </c>
      <c r="C1398" s="8">
        <f ca="1">IFERROR(__xludf.DUMMYFUNCTION("""COMPUTED_VALUE"""),15)</f>
        <v>15</v>
      </c>
      <c r="D1398" s="8">
        <f ca="1">IFERROR(__xludf.DUMMYFUNCTION("""COMPUTED_VALUE"""),2021)</f>
        <v>2021</v>
      </c>
      <c r="E1398" s="9">
        <f ca="1">IFERROR(__xludf.DUMMYFUNCTION("""COMPUTED_VALUE"""),44270)</f>
        <v>44270</v>
      </c>
      <c r="F1398" s="8" t="str">
        <f ca="1">IFERROR(__xludf.DUMMYFUNCTION("""COMPUTED_VALUE"""),"Merrillville High School")</f>
        <v>Merrillville High School</v>
      </c>
      <c r="G1398" s="8">
        <f ca="1">IFERROR(__xludf.DUMMYFUNCTION("""COMPUTED_VALUE"""),1)</f>
        <v>1</v>
      </c>
      <c r="H1398" s="8">
        <f ca="1">IFERROR(__xludf.DUMMYFUNCTION("""COMPUTED_VALUE"""),1)</f>
        <v>1</v>
      </c>
      <c r="I1398" s="8">
        <f ca="1">IFERROR(__xludf.DUMMYFUNCTION("""COMPUTED_VALUE"""),2)</f>
        <v>2</v>
      </c>
      <c r="J1398" s="8">
        <f ca="1">IFERROR(__xludf.DUMMYFUNCTION("""COMPUTED_VALUE"""),0)</f>
        <v>0</v>
      </c>
      <c r="K1398" s="10" t="str">
        <f ca="1">IFERROR(__xludf.DUMMYFUNCTION("""COMPUTED_VALUE"""),"https://www.chicagotribune.com/suburbs/post-tribune/ct-ptb-courts-riley-murder-st-0407-20210406-iuwci7kygfet5iwmiwcxasuwfa-story.html")</f>
        <v>https://www.chicagotribune.com/suburbs/post-tribune/ct-ptb-courts-riley-murder-st-0407-20210406-iuwci7kygfet5iwmiwcxasuwfa-story.html</v>
      </c>
      <c r="L1398" s="8">
        <f ca="1">IFERROR(__xludf.DUMMYFUNCTION("""COMPUTED_VALUE"""),1)</f>
        <v>1</v>
      </c>
      <c r="M1398" s="8" t="str">
        <f ca="1">IFERROR(__xludf.DUMMYFUNCTION("""COMPUTED_VALUE"""),"Regional")</f>
        <v>Regional</v>
      </c>
      <c r="N1398" s="8">
        <f ca="1">IFERROR(__xludf.DUMMYFUNCTION("""COMPUTED_VALUE"""),4)</f>
        <v>4</v>
      </c>
      <c r="O1398" s="8" t="str">
        <f ca="1">IFERROR(__xludf.DUMMYFUNCTION("""COMPUTED_VALUE"""),"Spring")</f>
        <v>Spring</v>
      </c>
      <c r="P1398" s="8" t="str">
        <f ca="1">IFERROR(__xludf.DUMMYFUNCTION("""COMPUTED_VALUE"""),"Merrillville")</f>
        <v>Merrillville</v>
      </c>
      <c r="Q1398" s="8" t="str">
        <f ca="1">IFERROR(__xludf.DUMMYFUNCTION("""COMPUTED_VALUE"""),"IN")</f>
        <v>IN</v>
      </c>
      <c r="R1398" s="8" t="str">
        <f ca="1">IFERROR(__xludf.DUMMYFUNCTION("""COMPUTED_VALUE"""),"High")</f>
        <v>High</v>
      </c>
      <c r="S1398" s="8" t="str">
        <f ca="1">IFERROR(__xludf.DUMMYFUNCTION("""COMPUTED_VALUE"""),"Parking Lot")</f>
        <v>Parking Lot</v>
      </c>
      <c r="T1398" s="8" t="str">
        <f ca="1">IFERROR(__xludf.DUMMYFUNCTION("""COMPUTED_VALUE"""),"Outside on School Property")</f>
        <v>Outside on School Property</v>
      </c>
      <c r="U1398" s="8" t="str">
        <f ca="1">IFERROR(__xludf.DUMMYFUNCTION("""COMPUTED_VALUE"""),"No")</f>
        <v>No</v>
      </c>
      <c r="V1398" s="8" t="str">
        <f ca="1">IFERROR(__xludf.DUMMYFUNCTION("""COMPUTED_VALUE"""),"Night")</f>
        <v>Night</v>
      </c>
      <c r="W1398" s="11">
        <f ca="1">IFERROR(__xludf.DUMMYFUNCTION("""COMPUTED_VALUE"""),0.0104166666666666)</f>
        <v>1.04166666666666E-2</v>
      </c>
      <c r="X1398" s="8">
        <f ca="1">IFERROR(__xludf.DUMMYFUNCTION("""COMPUTED_VALUE"""),1)</f>
        <v>1</v>
      </c>
      <c r="Y1398" s="12" t="str">
        <f ca="1">IFERROR(__xludf.DUMMYFUNCTION("""COMPUTED_VALUE"""),"Two men shot during planned fight in the school parking lot")</f>
        <v>Two men shot during planned fight in the school parking lot</v>
      </c>
      <c r="Z1398" s="12" t="str">
        <f ca="1">IFERROR(__xludf.DUMMYFUNCTION("""COMPUTED_VALUE"""),"Two groups met for a planned fight between two men in the parking lot of the school. After 3-5 minutes of fighting, two men got back in their car and then were shot at by two men as they drove away. An 18-year-old man in the vehicle was fatally shot and a"&amp;"nother was grazed. All involved parties fled the scene before police arrived. Police found multiple shell casings in the school parking lot.")</f>
        <v>Two groups met for a planned fight between two men in the parking lot of the school. After 3-5 minutes of fighting, two men got back in their car and then were shot at by two men as they drove away. An 18-year-old man in the vehicle was fatally shot and another was grazed. All involved parties fled the scene before police arrived. Police found multiple shell casings in the school parking lot.</v>
      </c>
      <c r="AA1398" s="8" t="str">
        <f ca="1">IFERROR(__xludf.DUMMYFUNCTION("""COMPUTED_VALUE"""),"Escalation of Dispute")</f>
        <v>Escalation of Dispute</v>
      </c>
      <c r="AB1398" s="8"/>
      <c r="AC1398" s="8" t="str">
        <f ca="1">IFERROR(__xludf.DUMMYFUNCTION("""COMPUTED_VALUE"""),"No")</f>
        <v>No</v>
      </c>
      <c r="AD1398" s="8" t="str">
        <f ca="1">IFERROR(__xludf.DUMMYFUNCTION("""COMPUTED_VALUE"""),"Victims Targeted")</f>
        <v>Victims Targeted</v>
      </c>
      <c r="AE1398" s="8" t="str">
        <f ca="1">IFERROR(__xludf.DUMMYFUNCTION("""COMPUTED_VALUE"""),"Yes")</f>
        <v>Yes</v>
      </c>
      <c r="AF1398" s="8" t="str">
        <f ca="1">IFERROR(__xludf.DUMMYFUNCTION("""COMPUTED_VALUE"""),"Two men fired shots")</f>
        <v>Two men fired shots</v>
      </c>
      <c r="AG1398" s="8" t="str">
        <f ca="1">IFERROR(__xludf.DUMMYFUNCTION("""COMPUTED_VALUE"""),"No")</f>
        <v>No</v>
      </c>
      <c r="AH1398" s="8" t="str">
        <f ca="1">IFERROR(__xludf.DUMMYFUNCTION("""COMPUTED_VALUE"""),"No")</f>
        <v>No</v>
      </c>
      <c r="AI1398" s="8" t="str">
        <f ca="1">IFERROR(__xludf.DUMMYFUNCTION("""COMPUTED_VALUE"""),"No")</f>
        <v>No</v>
      </c>
      <c r="AJ1398" s="8" t="str">
        <f ca="1">IFERROR(__xludf.DUMMYFUNCTION("""COMPUTED_VALUE"""),"No")</f>
        <v>No</v>
      </c>
      <c r="AK1398" s="8" t="str">
        <f ca="1">IFERROR(__xludf.DUMMYFUNCTION("""COMPUTED_VALUE"""),"No")</f>
        <v>No</v>
      </c>
      <c r="AL1398" s="8" t="str">
        <f ca="1">IFERROR(__xludf.DUMMYFUNCTION("""COMPUTED_VALUE"""),"No")</f>
        <v>No</v>
      </c>
      <c r="AM1398" s="8" t="str">
        <f ca="1">IFERROR(__xludf.DUMMYFUNCTION("""COMPUTED_VALUE"""),"No")</f>
        <v>No</v>
      </c>
      <c r="AN1398" s="8"/>
      <c r="AO1398" s="8" t="str">
        <f ca="1">IFERROR(__xludf.DUMMYFUNCTION("""COMPUTED_VALUE"""),"No")</f>
        <v>No</v>
      </c>
      <c r="AP1398" s="8"/>
      <c r="AQ1398" s="8"/>
      <c r="AR1398" s="8" t="str">
        <f ca="1">IFERROR(__xludf.DUMMYFUNCTION("""COMPUTED_VALUE"""),"Outside/Off-Property")</f>
        <v>Outside/Off-Property</v>
      </c>
      <c r="AS1398" s="8">
        <f ca="1">IFERROR(__xludf.DUMMYFUNCTION("""COMPUTED_VALUE"""),10)</f>
        <v>10</v>
      </c>
      <c r="AT1398" s="8"/>
      <c r="AU1398" s="8">
        <f ca="1">IFERROR(__xludf.DUMMYFUNCTION("""COMPUTED_VALUE"""),41.493624)</f>
        <v>41.493623999999997</v>
      </c>
      <c r="AV1398" s="8">
        <f ca="1">IFERROR(__xludf.DUMMYFUNCTION("""COMPUTED_VALUE"""),-87.328757)</f>
        <v>-87.328756999999996</v>
      </c>
      <c r="AW1398" s="8"/>
      <c r="AX1398" s="8">
        <f ca="1">IFERROR(__xludf.DUMMYFUNCTION("""COMPUTED_VALUE"""),46410)</f>
        <v>46410</v>
      </c>
    </row>
    <row r="1399" spans="1:50" ht="75" x14ac:dyDescent="0.2">
      <c r="A1399" s="8" t="str">
        <f ca="1">IFERROR(__xludf.DUMMYFUNCTION("""COMPUTED_VALUE"""),"20210313TXLEA")</f>
        <v>20210313TXLEA</v>
      </c>
      <c r="B1399" s="8">
        <f ca="1">IFERROR(__xludf.DUMMYFUNCTION("""COMPUTED_VALUE"""),3)</f>
        <v>3</v>
      </c>
      <c r="C1399" s="8">
        <f ca="1">IFERROR(__xludf.DUMMYFUNCTION("""COMPUTED_VALUE"""),13)</f>
        <v>13</v>
      </c>
      <c r="D1399" s="8">
        <f ca="1">IFERROR(__xludf.DUMMYFUNCTION("""COMPUTED_VALUE"""),2021)</f>
        <v>2021</v>
      </c>
      <c r="E1399" s="9">
        <f ca="1">IFERROR(__xludf.DUMMYFUNCTION("""COMPUTED_VALUE"""),44268)</f>
        <v>44268</v>
      </c>
      <c r="F1399" s="8" t="str">
        <f ca="1">IFERROR(__xludf.DUMMYFUNCTION("""COMPUTED_VALUE"""),"Lee Elementary School")</f>
        <v>Lee Elementary School</v>
      </c>
      <c r="G1399" s="8">
        <f ca="1">IFERROR(__xludf.DUMMYFUNCTION("""COMPUTED_VALUE"""),0)</f>
        <v>0</v>
      </c>
      <c r="H1399" s="8">
        <f ca="1">IFERROR(__xludf.DUMMYFUNCTION("""COMPUTED_VALUE"""),1)</f>
        <v>1</v>
      </c>
      <c r="I1399" s="8">
        <f ca="1">IFERROR(__xludf.DUMMYFUNCTION("""COMPUTED_VALUE"""),1)</f>
        <v>1</v>
      </c>
      <c r="J1399" s="8">
        <f ca="1">IFERROR(__xludf.DUMMYFUNCTION("""COMPUTED_VALUE"""),0)</f>
        <v>0</v>
      </c>
      <c r="K1399" s="8" t="str">
        <f ca="1">IFERROR(__xludf.DUMMYFUNCTION("""COMPUTED_VALUE"""),"https://ktxs.com/news/local/dallas-man-arrested-after-shooting-at-lee-complex-in-abilene https://ktxs.com/news/local/police-responding-to-shooting-near-lee-elementary")</f>
        <v>https://ktxs.com/news/local/dallas-man-arrested-after-shooting-at-lee-complex-in-abilene https://ktxs.com/news/local/police-responding-to-shooting-near-lee-elementary</v>
      </c>
      <c r="L1399" s="8">
        <f ca="1">IFERROR(__xludf.DUMMYFUNCTION("""COMPUTED_VALUE"""),2)</f>
        <v>2</v>
      </c>
      <c r="M1399" s="8" t="str">
        <f ca="1">IFERROR(__xludf.DUMMYFUNCTION("""COMPUTED_VALUE"""),"Local")</f>
        <v>Local</v>
      </c>
      <c r="N1399" s="8">
        <f ca="1">IFERROR(__xludf.DUMMYFUNCTION("""COMPUTED_VALUE"""),3)</f>
        <v>3</v>
      </c>
      <c r="O1399" s="8" t="str">
        <f ca="1">IFERROR(__xludf.DUMMYFUNCTION("""COMPUTED_VALUE"""),"Spring")</f>
        <v>Spring</v>
      </c>
      <c r="P1399" s="8" t="str">
        <f ca="1">IFERROR(__xludf.DUMMYFUNCTION("""COMPUTED_VALUE"""),"Abilene")</f>
        <v>Abilene</v>
      </c>
      <c r="Q1399" s="8" t="str">
        <f ca="1">IFERROR(__xludf.DUMMYFUNCTION("""COMPUTED_VALUE"""),"TX")</f>
        <v>TX</v>
      </c>
      <c r="R1399" s="8" t="str">
        <f ca="1">IFERROR(__xludf.DUMMYFUNCTION("""COMPUTED_VALUE"""),"Elementary")</f>
        <v>Elementary</v>
      </c>
      <c r="S1399" s="8" t="str">
        <f ca="1">IFERROR(__xludf.DUMMYFUNCTION("""COMPUTED_VALUE"""),"Football Field/Track")</f>
        <v>Football Field/Track</v>
      </c>
      <c r="T1399" s="8" t="str">
        <f ca="1">IFERROR(__xludf.DUMMYFUNCTION("""COMPUTED_VALUE"""),"Outside on School Property")</f>
        <v>Outside on School Property</v>
      </c>
      <c r="U1399" s="8" t="str">
        <f ca="1">IFERROR(__xludf.DUMMYFUNCTION("""COMPUTED_VALUE"""),"No")</f>
        <v>No</v>
      </c>
      <c r="V1399" s="8" t="str">
        <f ca="1">IFERROR(__xludf.DUMMYFUNCTION("""COMPUTED_VALUE"""),"Night")</f>
        <v>Night</v>
      </c>
      <c r="W1399" s="11">
        <f ca="1">IFERROR(__xludf.DUMMYFUNCTION("""COMPUTED_VALUE"""),0.875)</f>
        <v>0.875</v>
      </c>
      <c r="X1399" s="8">
        <f ca="1">IFERROR(__xludf.DUMMYFUNCTION("""COMPUTED_VALUE"""),1)</f>
        <v>1</v>
      </c>
      <c r="Y1399" s="12" t="str">
        <f ca="1">IFERROR(__xludf.DUMMYFUNCTION("""COMPUTED_VALUE"""),"Semi-pro football player shot by fan during game held at elementary school field")</f>
        <v>Semi-pro football player shot by fan during game held at elementary school field</v>
      </c>
      <c r="Z1399" s="12" t="str">
        <f ca="1">IFERROR(__xludf.DUMMYFUNCTION("""COMPUTED_VALUE"""),"A semi-pro football player was shot multiple times by a fan who walked on the field at the end of the game. The game was held at the sports complex on the school campus. The shooter fled the scene and was arrested the following day. The school was closed "&amp;"at the time of the shooting.")</f>
        <v>A semi-pro football player was shot multiple times by a fan who walked on the field at the end of the game. The game was held at the sports complex on the school campus. The shooter fled the scene and was arrested the following day. The school was closed at the time of the shooting.</v>
      </c>
      <c r="AA1399" s="8"/>
      <c r="AB1399" s="8"/>
      <c r="AC1399" s="8" t="str">
        <f ca="1">IFERROR(__xludf.DUMMYFUNCTION("""COMPUTED_VALUE"""),"No")</f>
        <v>No</v>
      </c>
      <c r="AD1399" s="8" t="str">
        <f ca="1">IFERROR(__xludf.DUMMYFUNCTION("""COMPUTED_VALUE"""),"Victims Targeted")</f>
        <v>Victims Targeted</v>
      </c>
      <c r="AE1399" s="8" t="str">
        <f ca="1">IFERROR(__xludf.DUMMYFUNCTION("""COMPUTED_VALUE"""),"No")</f>
        <v>No</v>
      </c>
      <c r="AF1399" s="8"/>
      <c r="AG1399" s="8" t="str">
        <f ca="1">IFERROR(__xludf.DUMMYFUNCTION("""COMPUTED_VALUE"""),"No")</f>
        <v>No</v>
      </c>
      <c r="AH1399" s="8" t="str">
        <f ca="1">IFERROR(__xludf.DUMMYFUNCTION("""COMPUTED_VALUE"""),"No")</f>
        <v>No</v>
      </c>
      <c r="AI1399" s="8" t="str">
        <f ca="1">IFERROR(__xludf.DUMMYFUNCTION("""COMPUTED_VALUE"""),"No")</f>
        <v>No</v>
      </c>
      <c r="AJ1399" s="8" t="str">
        <f ca="1">IFERROR(__xludf.DUMMYFUNCTION("""COMPUTED_VALUE"""),"No")</f>
        <v>No</v>
      </c>
      <c r="AK1399" s="8"/>
      <c r="AL1399" s="8"/>
      <c r="AM1399" s="8" t="str">
        <f ca="1">IFERROR(__xludf.DUMMYFUNCTION("""COMPUTED_VALUE"""),"No")</f>
        <v>No</v>
      </c>
      <c r="AN1399" s="8"/>
      <c r="AO1399" s="8" t="str">
        <f ca="1">IFERROR(__xludf.DUMMYFUNCTION("""COMPUTED_VALUE"""),"No")</f>
        <v>No</v>
      </c>
      <c r="AP1399" s="8" t="str">
        <f ca="1">IFERROR(__xludf.DUMMYFUNCTION("""COMPUTED_VALUE"""),"No")</f>
        <v>No</v>
      </c>
      <c r="AQ1399" s="8"/>
      <c r="AR1399" s="8" t="str">
        <f ca="1">IFERROR(__xludf.DUMMYFUNCTION("""COMPUTED_VALUE"""),"Outside/Off-Property")</f>
        <v>Outside/Off-Property</v>
      </c>
      <c r="AS1399" s="8"/>
      <c r="AT1399" s="8"/>
      <c r="AU1399" s="8">
        <f ca="1">IFERROR(__xludf.DUMMYFUNCTION("""COMPUTED_VALUE"""),32.462868)</f>
        <v>32.462868</v>
      </c>
      <c r="AV1399" s="8">
        <f ca="1">IFERROR(__xludf.DUMMYFUNCTION("""COMPUTED_VALUE"""),-99.780926)</f>
        <v>-99.780925999999994</v>
      </c>
      <c r="AW1399" s="8"/>
      <c r="AX1399" s="8">
        <f ca="1">IFERROR(__xludf.DUMMYFUNCTION("""COMPUTED_VALUE"""),79603)</f>
        <v>79603</v>
      </c>
    </row>
    <row r="1400" spans="1:50" ht="60" x14ac:dyDescent="0.2">
      <c r="A1400" s="8" t="str">
        <f ca="1">IFERROR(__xludf.DUMMYFUNCTION("""COMPUTED_VALUE"""),"20210311OHCIC")</f>
        <v>20210311OHCIC</v>
      </c>
      <c r="B1400" s="8">
        <f ca="1">IFERROR(__xludf.DUMMYFUNCTION("""COMPUTED_VALUE"""),3)</f>
        <v>3</v>
      </c>
      <c r="C1400" s="8">
        <f ca="1">IFERROR(__xludf.DUMMYFUNCTION("""COMPUTED_VALUE"""),11)</f>
        <v>11</v>
      </c>
      <c r="D1400" s="8">
        <f ca="1">IFERROR(__xludf.DUMMYFUNCTION("""COMPUTED_VALUE"""),2021)</f>
        <v>2021</v>
      </c>
      <c r="E1400" s="9">
        <f ca="1">IFERROR(__xludf.DUMMYFUNCTION("""COMPUTED_VALUE"""),44266)</f>
        <v>44266</v>
      </c>
      <c r="F1400" s="8" t="str">
        <f ca="1">IFERROR(__xludf.DUMMYFUNCTION("""COMPUTED_VALUE"""),"Cincinnati College Preparatory Academy")</f>
        <v>Cincinnati College Preparatory Academy</v>
      </c>
      <c r="G1400" s="8">
        <f ca="1">IFERROR(__xludf.DUMMYFUNCTION("""COMPUTED_VALUE"""),0)</f>
        <v>0</v>
      </c>
      <c r="H1400" s="8">
        <f ca="1">IFERROR(__xludf.DUMMYFUNCTION("""COMPUTED_VALUE"""),1)</f>
        <v>1</v>
      </c>
      <c r="I1400" s="8">
        <f ca="1">IFERROR(__xludf.DUMMYFUNCTION("""COMPUTED_VALUE"""),1)</f>
        <v>1</v>
      </c>
      <c r="J1400" s="8">
        <f ca="1">IFERROR(__xludf.DUMMYFUNCTION("""COMPUTED_VALUE"""),0)</f>
        <v>0</v>
      </c>
      <c r="K1400" s="8" t="str">
        <f ca="1">IFERROR(__xludf.DUMMYFUNCTION("""COMPUTED_VALUE"""),"https://local12.com/news/local/car-with-bullet-holes-stopped-in-front-of-west-end-charter-school https://www.fox19.com/2021/03/11/car-with-bullet-holes-found-outside-west-end-school/")</f>
        <v>https://local12.com/news/local/car-with-bullet-holes-stopped-in-front-of-west-end-charter-school https://www.fox19.com/2021/03/11/car-with-bullet-holes-found-outside-west-end-school/</v>
      </c>
      <c r="L1400" s="8">
        <f ca="1">IFERROR(__xludf.DUMMYFUNCTION("""COMPUTED_VALUE"""),2)</f>
        <v>2</v>
      </c>
      <c r="M1400" s="8"/>
      <c r="N1400" s="8">
        <f ca="1">IFERROR(__xludf.DUMMYFUNCTION("""COMPUTED_VALUE"""),3)</f>
        <v>3</v>
      </c>
      <c r="O1400" s="8" t="str">
        <f ca="1">IFERROR(__xludf.DUMMYFUNCTION("""COMPUTED_VALUE"""),"Spring")</f>
        <v>Spring</v>
      </c>
      <c r="P1400" s="8" t="str">
        <f ca="1">IFERROR(__xludf.DUMMYFUNCTION("""COMPUTED_VALUE"""),"Cincinnati")</f>
        <v>Cincinnati</v>
      </c>
      <c r="Q1400" s="8" t="str">
        <f ca="1">IFERROR(__xludf.DUMMYFUNCTION("""COMPUTED_VALUE"""),"OH")</f>
        <v>OH</v>
      </c>
      <c r="R1400" s="8" t="str">
        <f ca="1">IFERROR(__xludf.DUMMYFUNCTION("""COMPUTED_VALUE"""),"K-12")</f>
        <v>K-12</v>
      </c>
      <c r="S1400" s="8" t="str">
        <f ca="1">IFERROR(__xludf.DUMMYFUNCTION("""COMPUTED_VALUE"""),"Front of School")</f>
        <v>Front of School</v>
      </c>
      <c r="T1400" s="8" t="str">
        <f ca="1">IFERROR(__xludf.DUMMYFUNCTION("""COMPUTED_VALUE"""),"Outside on School Property")</f>
        <v>Outside on School Property</v>
      </c>
      <c r="U1400" s="8" t="str">
        <f ca="1">IFERROR(__xludf.DUMMYFUNCTION("""COMPUTED_VALUE"""),"Yes")</f>
        <v>Yes</v>
      </c>
      <c r="V1400" s="8" t="str">
        <f ca="1">IFERROR(__xludf.DUMMYFUNCTION("""COMPUTED_VALUE"""),"School Start")</f>
        <v>School Start</v>
      </c>
      <c r="W1400" s="11">
        <f ca="1">IFERROR(__xludf.DUMMYFUNCTION("""COMPUTED_VALUE"""),0.333333333333333)</f>
        <v>0.33333333333333298</v>
      </c>
      <c r="X1400" s="8">
        <f ca="1">IFERROR(__xludf.DUMMYFUNCTION("""COMPUTED_VALUE"""),1)</f>
        <v>1</v>
      </c>
      <c r="Y1400" s="12" t="str">
        <f ca="1">IFERROR(__xludf.DUMMYFUNCTION("""COMPUTED_VALUE"""),"Person in vehicle shot and crashed in front of school")</f>
        <v>Person in vehicle shot and crashed in front of school</v>
      </c>
      <c r="Z1400" s="12" t="str">
        <f ca="1">IFERROR(__xludf.DUMMYFUNCTION("""COMPUTED_VALUE"""),"An adult male in a vehicle was shot and the vehicle crashed into the sidewalk and sign in front of the school. No information on the motive. Shooter fled. No students or staff involved or injured.")</f>
        <v>An adult male in a vehicle was shot and the vehicle crashed into the sidewalk and sign in front of the school. No information on the motive. Shooter fled. No students or staff involved or injured.</v>
      </c>
      <c r="AA1400" s="8"/>
      <c r="AB1400" s="8"/>
      <c r="AC1400" s="8" t="str">
        <f ca="1">IFERROR(__xludf.DUMMYFUNCTION("""COMPUTED_VALUE"""),"No")</f>
        <v>No</v>
      </c>
      <c r="AD1400" s="8" t="str">
        <f ca="1">IFERROR(__xludf.DUMMYFUNCTION("""COMPUTED_VALUE"""),"Victims Targeted")</f>
        <v>Victims Targeted</v>
      </c>
      <c r="AE1400" s="8"/>
      <c r="AF1400" s="8"/>
      <c r="AG1400" s="8" t="str">
        <f ca="1">IFERROR(__xludf.DUMMYFUNCTION("""COMPUTED_VALUE"""),"No")</f>
        <v>No</v>
      </c>
      <c r="AH1400" s="8" t="str">
        <f ca="1">IFERROR(__xludf.DUMMYFUNCTION("""COMPUTED_VALUE"""),"No")</f>
        <v>No</v>
      </c>
      <c r="AI1400" s="8" t="str">
        <f ca="1">IFERROR(__xludf.DUMMYFUNCTION("""COMPUTED_VALUE"""),"No")</f>
        <v>No</v>
      </c>
      <c r="AJ1400" s="8" t="str">
        <f ca="1">IFERROR(__xludf.DUMMYFUNCTION("""COMPUTED_VALUE"""),"No")</f>
        <v>No</v>
      </c>
      <c r="AK1400" s="8" t="str">
        <f ca="1">IFERROR(__xludf.DUMMYFUNCTION("""COMPUTED_VALUE"""),"No")</f>
        <v>No</v>
      </c>
      <c r="AL1400" s="8"/>
      <c r="AM1400" s="8" t="str">
        <f ca="1">IFERROR(__xludf.DUMMYFUNCTION("""COMPUTED_VALUE"""),"No")</f>
        <v>No</v>
      </c>
      <c r="AN1400" s="8"/>
      <c r="AO1400" s="8" t="str">
        <f ca="1">IFERROR(__xludf.DUMMYFUNCTION("""COMPUTED_VALUE"""),"No")</f>
        <v>No</v>
      </c>
      <c r="AP1400" s="8"/>
      <c r="AQ1400" s="8"/>
      <c r="AR1400" s="8" t="str">
        <f ca="1">IFERROR(__xludf.DUMMYFUNCTION("""COMPUTED_VALUE"""),"Outside/Off-Property")</f>
        <v>Outside/Off-Property</v>
      </c>
      <c r="AS1400" s="8"/>
      <c r="AT1400" s="8"/>
      <c r="AU1400" s="8">
        <f ca="1">IFERROR(__xludf.DUMMYFUNCTION("""COMPUTED_VALUE"""),39.111275)</f>
        <v>39.111274999999999</v>
      </c>
      <c r="AV1400" s="8">
        <f ca="1">IFERROR(__xludf.DUMMYFUNCTION("""COMPUTED_VALUE"""),-84.529083)</f>
        <v>-84.529083</v>
      </c>
      <c r="AW1400" s="8"/>
      <c r="AX1400" s="8">
        <f ca="1">IFERROR(__xludf.DUMMYFUNCTION("""COMPUTED_VALUE"""),45214)</f>
        <v>45214</v>
      </c>
    </row>
    <row r="1401" spans="1:50" ht="165" x14ac:dyDescent="0.2">
      <c r="A1401" s="8" t="str">
        <f ca="1">IFERROR(__xludf.DUMMYFUNCTION("""COMPUTED_VALUE"""),"20210309TNSAK")</f>
        <v>20210309TNSAK</v>
      </c>
      <c r="B1401" s="8">
        <f ca="1">IFERROR(__xludf.DUMMYFUNCTION("""COMPUTED_VALUE"""),3)</f>
        <v>3</v>
      </c>
      <c r="C1401" s="8">
        <f ca="1">IFERROR(__xludf.DUMMYFUNCTION("""COMPUTED_VALUE"""),9)</f>
        <v>9</v>
      </c>
      <c r="D1401" s="8">
        <f ca="1">IFERROR(__xludf.DUMMYFUNCTION("""COMPUTED_VALUE"""),2021)</f>
        <v>2021</v>
      </c>
      <c r="E1401" s="9">
        <f ca="1">IFERROR(__xludf.DUMMYFUNCTION("""COMPUTED_VALUE"""),44264)</f>
        <v>44264</v>
      </c>
      <c r="F1401" s="8" t="str">
        <f ca="1">IFERROR(__xludf.DUMMYFUNCTION("""COMPUTED_VALUE"""),"Sarah Moore Greene Elementary")</f>
        <v>Sarah Moore Greene Elementary</v>
      </c>
      <c r="G1401" s="8">
        <f ca="1">IFERROR(__xludf.DUMMYFUNCTION("""COMPUTED_VALUE"""),0)</f>
        <v>0</v>
      </c>
      <c r="H1401" s="8">
        <f ca="1">IFERROR(__xludf.DUMMYFUNCTION("""COMPUTED_VALUE"""),0)</f>
        <v>0</v>
      </c>
      <c r="I1401" s="8">
        <f ca="1">IFERROR(__xludf.DUMMYFUNCTION("""COMPUTED_VALUE"""),0)</f>
        <v>0</v>
      </c>
      <c r="J1401" s="8">
        <f ca="1">IFERROR(__xludf.DUMMYFUNCTION("""COMPUTED_VALUE"""),0)</f>
        <v>0</v>
      </c>
      <c r="K1401" s="8" t="str">
        <f ca="1">IFERROR(__xludf.DUMMYFUNCTION("""COMPUTED_VALUE"""),"https://www.wbir.com/article/news/education/what-went-wrong-after-a-reported-shooting-at-sarah-moore-greene-elementary-knox-county-schools-wont-say/51-27202dcc-3be2-4b6e-a1d0-65457467b183 https://www.wbir.com/article/news/crime/district-will-review-how-it"&amp;"-reported-shooting-outside-east-knoxville-elementary-school/51-cb353948-8326-42bc-820e-11655b1beab8 https://www.wbir.com/article/news/crime/kpd-possible-shooting-in-sarah-moore-greene-elementary-parking-lot-tuesday-afternoon/51-3e2cfabb-eeec-46c7-ad18-78d"&amp;"10cc81918")</f>
        <v>https://www.wbir.com/article/news/education/what-went-wrong-after-a-reported-shooting-at-sarah-moore-greene-elementary-knox-county-schools-wont-say/51-27202dcc-3be2-4b6e-a1d0-65457467b183 https://www.wbir.com/article/news/crime/district-will-review-how-it-reported-shooting-outside-east-knoxville-elementary-school/51-cb353948-8326-42bc-820e-11655b1beab8 https://www.wbir.com/article/news/crime/kpd-possible-shooting-in-sarah-moore-greene-elementary-parking-lot-tuesday-afternoon/51-3e2cfabb-eeec-46c7-ad18-78d10cc81918</v>
      </c>
      <c r="L1401" s="8">
        <f ca="1">IFERROR(__xludf.DUMMYFUNCTION("""COMPUTED_VALUE"""),3)</f>
        <v>3</v>
      </c>
      <c r="M1401" s="8" t="str">
        <f ca="1">IFERROR(__xludf.DUMMYFUNCTION("""COMPUTED_VALUE"""),"Local")</f>
        <v>Local</v>
      </c>
      <c r="N1401" s="8">
        <f ca="1">IFERROR(__xludf.DUMMYFUNCTION("""COMPUTED_VALUE"""),4)</f>
        <v>4</v>
      </c>
      <c r="O1401" s="8" t="str">
        <f ca="1">IFERROR(__xludf.DUMMYFUNCTION("""COMPUTED_VALUE"""),"Spring")</f>
        <v>Spring</v>
      </c>
      <c r="P1401" s="8" t="str">
        <f ca="1">IFERROR(__xludf.DUMMYFUNCTION("""COMPUTED_VALUE"""),"Knoxville")</f>
        <v>Knoxville</v>
      </c>
      <c r="Q1401" s="8" t="str">
        <f ca="1">IFERROR(__xludf.DUMMYFUNCTION("""COMPUTED_VALUE"""),"TN")</f>
        <v>TN</v>
      </c>
      <c r="R1401" s="8" t="str">
        <f ca="1">IFERROR(__xludf.DUMMYFUNCTION("""COMPUTED_VALUE"""),"Elementary")</f>
        <v>Elementary</v>
      </c>
      <c r="S1401" s="8" t="str">
        <f ca="1">IFERROR(__xludf.DUMMYFUNCTION("""COMPUTED_VALUE"""),"Parking Lot")</f>
        <v>Parking Lot</v>
      </c>
      <c r="T1401" s="8" t="str">
        <f ca="1">IFERROR(__xludf.DUMMYFUNCTION("""COMPUTED_VALUE"""),"Outside on School Property")</f>
        <v>Outside on School Property</v>
      </c>
      <c r="U1401" s="8" t="str">
        <f ca="1">IFERROR(__xludf.DUMMYFUNCTION("""COMPUTED_VALUE"""),"Yes")</f>
        <v>Yes</v>
      </c>
      <c r="V1401" s="8" t="str">
        <f ca="1">IFERROR(__xludf.DUMMYFUNCTION("""COMPUTED_VALUE"""),"Afternoon Classes")</f>
        <v>Afternoon Classes</v>
      </c>
      <c r="W1401" s="11">
        <f ca="1">IFERROR(__xludf.DUMMYFUNCTION("""COMPUTED_VALUE"""),0.5625)</f>
        <v>0.5625</v>
      </c>
      <c r="X1401" s="8">
        <f ca="1">IFERROR(__xludf.DUMMYFUNCTION("""COMPUTED_VALUE"""),1)</f>
        <v>1</v>
      </c>
      <c r="Y1401" s="12" t="str">
        <f ca="1">IFERROR(__xludf.DUMMYFUNCTION("""COMPUTED_VALUE"""),"Shots fired from a vehicle in the school parking lot")</f>
        <v>Shots fired from a vehicle in the school parking lot</v>
      </c>
      <c r="Z1401" s="12" t="str">
        <f ca="1">IFERROR(__xludf.DUMMYFUNCTION("""COMPUTED_VALUE"""),"An adult female picked up her son from the nearby high school and noticed a car following them. She pulled into the elementary school parking lot and the vehicle followed her into the parking lot. School staff witnessed the drive open the door and fire th"&amp;"ree shots that missed her vehicle. Shots were fired in the direction of the school playground where students were outside. The woman then drove directly to the police station. The vehicle with the shooter fled the area. Police did not respond to the schoo"&amp;"l immediately due to confusion about the location of the shooting. School went on lockdown for 2 hours.")</f>
        <v>An adult female picked up her son from the nearby high school and noticed a car following them. She pulled into the elementary school parking lot and the vehicle followed her into the parking lot. School staff witnessed the drive open the door and fire three shots that missed her vehicle. Shots were fired in the direction of the school playground where students were outside. The woman then drove directly to the police station. The vehicle with the shooter fled the area. Police did not respond to the school immediately due to confusion about the location of the shooting. School went on lockdown for 2 hours.</v>
      </c>
      <c r="AA1401" s="8" t="str">
        <f ca="1">IFERROR(__xludf.DUMMYFUNCTION("""COMPUTED_VALUE"""),"Drive-by Shooting")</f>
        <v>Drive-by Shooting</v>
      </c>
      <c r="AB1401" s="8"/>
      <c r="AC1401" s="8" t="str">
        <f ca="1">IFERROR(__xludf.DUMMYFUNCTION("""COMPUTED_VALUE"""),"Yes")</f>
        <v>Yes</v>
      </c>
      <c r="AD1401" s="8" t="str">
        <f ca="1">IFERROR(__xludf.DUMMYFUNCTION("""COMPUTED_VALUE"""),"Victims Targeted")</f>
        <v>Victims Targeted</v>
      </c>
      <c r="AE1401" s="8"/>
      <c r="AF1401" s="8"/>
      <c r="AG1401" s="8" t="str">
        <f ca="1">IFERROR(__xludf.DUMMYFUNCTION("""COMPUTED_VALUE"""),"No")</f>
        <v>No</v>
      </c>
      <c r="AH1401" s="8" t="str">
        <f ca="1">IFERROR(__xludf.DUMMYFUNCTION("""COMPUTED_VALUE"""),"No")</f>
        <v>No</v>
      </c>
      <c r="AI1401" s="8" t="str">
        <f ca="1">IFERROR(__xludf.DUMMYFUNCTION("""COMPUTED_VALUE"""),"No")</f>
        <v>No</v>
      </c>
      <c r="AJ1401" s="8" t="str">
        <f ca="1">IFERROR(__xludf.DUMMYFUNCTION("""COMPUTED_VALUE"""),"No")</f>
        <v>No</v>
      </c>
      <c r="AK1401" s="8"/>
      <c r="AL1401" s="8"/>
      <c r="AM1401" s="8" t="str">
        <f ca="1">IFERROR(__xludf.DUMMYFUNCTION("""COMPUTED_VALUE"""),"No")</f>
        <v>No</v>
      </c>
      <c r="AN1401" s="8"/>
      <c r="AO1401" s="8" t="str">
        <f ca="1">IFERROR(__xludf.DUMMYFUNCTION("""COMPUTED_VALUE"""),"No")</f>
        <v>No</v>
      </c>
      <c r="AP1401" s="8" t="str">
        <f ca="1">IFERROR(__xludf.DUMMYFUNCTION("""COMPUTED_VALUE"""),"Yes")</f>
        <v>Yes</v>
      </c>
      <c r="AQ1401" s="8"/>
      <c r="AR1401" s="8" t="str">
        <f ca="1">IFERROR(__xludf.DUMMYFUNCTION("""COMPUTED_VALUE"""),"Outside/Off-Property")</f>
        <v>Outside/Off-Property</v>
      </c>
      <c r="AS1401" s="8">
        <f ca="1">IFERROR(__xludf.DUMMYFUNCTION("""COMPUTED_VALUE"""),3)</f>
        <v>3</v>
      </c>
      <c r="AT1401" s="8" t="str">
        <f ca="1">IFERROR(__xludf.DUMMYFUNCTION("""COMPUTED_VALUE"""),"Yes")</f>
        <v>Yes</v>
      </c>
      <c r="AU1401" s="8">
        <f ca="1">IFERROR(__xludf.DUMMYFUNCTION("""COMPUTED_VALUE"""),35.982751)</f>
        <v>35.982751</v>
      </c>
      <c r="AV1401" s="8">
        <f ca="1">IFERROR(__xludf.DUMMYFUNCTION("""COMPUTED_VALUE"""),-83.874941)</f>
        <v>-83.874941000000007</v>
      </c>
      <c r="AW1401" s="8"/>
      <c r="AX1401" s="8">
        <f ca="1">IFERROR(__xludf.DUMMYFUNCTION("""COMPUTED_VALUE"""),37914)</f>
        <v>37914</v>
      </c>
    </row>
    <row r="1402" spans="1:50" ht="75" x14ac:dyDescent="0.2">
      <c r="A1402" s="8" t="str">
        <f ca="1">IFERROR(__xludf.DUMMYFUNCTION("""COMPUTED_VALUE"""),"20210309OHBIC")</f>
        <v>20210309OHBIC</v>
      </c>
      <c r="B1402" s="8">
        <f ca="1">IFERROR(__xludf.DUMMYFUNCTION("""COMPUTED_VALUE"""),3)</f>
        <v>3</v>
      </c>
      <c r="C1402" s="8">
        <f ca="1">IFERROR(__xludf.DUMMYFUNCTION("""COMPUTED_VALUE"""),9)</f>
        <v>9</v>
      </c>
      <c r="D1402" s="8">
        <f ca="1">IFERROR(__xludf.DUMMYFUNCTION("""COMPUTED_VALUE"""),2021)</f>
        <v>2021</v>
      </c>
      <c r="E1402" s="9">
        <f ca="1">IFERROR(__xludf.DUMMYFUNCTION("""COMPUTED_VALUE"""),44264)</f>
        <v>44264</v>
      </c>
      <c r="F1402" s="8" t="str">
        <f ca="1">IFERROR(__xludf.DUMMYFUNCTION("""COMPUTED_VALUE"""),"Bishop Hartley High School")</f>
        <v>Bishop Hartley High School</v>
      </c>
      <c r="G1402" s="8">
        <f ca="1">IFERROR(__xludf.DUMMYFUNCTION("""COMPUTED_VALUE"""),0)</f>
        <v>0</v>
      </c>
      <c r="H1402" s="8">
        <f ca="1">IFERROR(__xludf.DUMMYFUNCTION("""COMPUTED_VALUE"""),0)</f>
        <v>0</v>
      </c>
      <c r="I1402" s="8">
        <f ca="1">IFERROR(__xludf.DUMMYFUNCTION("""COMPUTED_VALUE"""),0)</f>
        <v>0</v>
      </c>
      <c r="J1402" s="8">
        <f ca="1">IFERROR(__xludf.DUMMYFUNCTION("""COMPUTED_VALUE"""),0)</f>
        <v>0</v>
      </c>
      <c r="K1402" s="8" t="str">
        <f ca="1">IFERROR(__xludf.DUMMYFUNCTION("""COMPUTED_VALUE"""),"https://www.nbc4i.com/news/local-news/teen-injured-in-shooting-near-bishop-hartley-high-school/ https://abc6onyourside.com/news/local/shot-fired-into-bishop-hartley-high-school https://fox8.com/news/shot-fired-into-ohio-gym-where-dozens-of-students-were-t"&amp;"aking-test/")</f>
        <v>https://www.nbc4i.com/news/local-news/teen-injured-in-shooting-near-bishop-hartley-high-school/ https://abc6onyourside.com/news/local/shot-fired-into-bishop-hartley-high-school https://fox8.com/news/shot-fired-into-ohio-gym-where-dozens-of-students-were-taking-test/</v>
      </c>
      <c r="L1402" s="8">
        <f ca="1">IFERROR(__xludf.DUMMYFUNCTION("""COMPUTED_VALUE"""),3)</f>
        <v>3</v>
      </c>
      <c r="M1402" s="8" t="str">
        <f ca="1">IFERROR(__xludf.DUMMYFUNCTION("""COMPUTED_VALUE"""),"Local")</f>
        <v>Local</v>
      </c>
      <c r="N1402" s="8">
        <f ca="1">IFERROR(__xludf.DUMMYFUNCTION("""COMPUTED_VALUE"""),4)</f>
        <v>4</v>
      </c>
      <c r="O1402" s="8" t="str">
        <f ca="1">IFERROR(__xludf.DUMMYFUNCTION("""COMPUTED_VALUE"""),"Spring")</f>
        <v>Spring</v>
      </c>
      <c r="P1402" s="8" t="str">
        <f ca="1">IFERROR(__xludf.DUMMYFUNCTION("""COMPUTED_VALUE"""),"Columbus")</f>
        <v>Columbus</v>
      </c>
      <c r="Q1402" s="8" t="str">
        <f ca="1">IFERROR(__xludf.DUMMYFUNCTION("""COMPUTED_VALUE"""),"OH")</f>
        <v>OH</v>
      </c>
      <c r="R1402" s="8" t="str">
        <f ca="1">IFERROR(__xludf.DUMMYFUNCTION("""COMPUTED_VALUE"""),"High")</f>
        <v>High</v>
      </c>
      <c r="S1402" s="8" t="str">
        <f ca="1">IFERROR(__xludf.DUMMYFUNCTION("""COMPUTED_VALUE"""),"Gym")</f>
        <v>Gym</v>
      </c>
      <c r="T1402" s="8" t="str">
        <f ca="1">IFERROR(__xludf.DUMMYFUNCTION("""COMPUTED_VALUE"""),"Both Inside/Outside")</f>
        <v>Both Inside/Outside</v>
      </c>
      <c r="U1402" s="8" t="str">
        <f ca="1">IFERROR(__xludf.DUMMYFUNCTION("""COMPUTED_VALUE"""),"Yes")</f>
        <v>Yes</v>
      </c>
      <c r="V1402" s="8" t="str">
        <f ca="1">IFERROR(__xludf.DUMMYFUNCTION("""COMPUTED_VALUE"""),"Morning Classes")</f>
        <v>Morning Classes</v>
      </c>
      <c r="W1402" s="11">
        <f ca="1">IFERROR(__xludf.DUMMYFUNCTION("""COMPUTED_VALUE"""),0.368055555555555)</f>
        <v>0.36805555555555503</v>
      </c>
      <c r="X1402" s="8">
        <f ca="1">IFERROR(__xludf.DUMMYFUNCTION("""COMPUTED_VALUE"""),1)</f>
        <v>1</v>
      </c>
      <c r="Y1402" s="12" t="str">
        <f ca="1">IFERROR(__xludf.DUMMYFUNCTION("""COMPUTED_VALUE"""),"Bullet fired from outside the school went through the gym wall with 59 students inside")</f>
        <v>Bullet fired from outside the school went through the gym wall with 59 students inside</v>
      </c>
      <c r="Z1402" s="12" t="str">
        <f ca="1">IFERROR(__xludf.DUMMYFUNCTION("""COMPUTED_VALUE"""),"A bullet fired from across the street went through the gym wall and struck a metal beam. 59 students were inside the gym taking an exam when the shooting occurred. No students or staff were injured. No suspect or motive identified.")</f>
        <v>A bullet fired from across the street went through the gym wall and struck a metal beam. 59 students were inside the gym taking an exam when the shooting occurred. No students or staff were injured. No suspect or motive identified.</v>
      </c>
      <c r="AA1402" s="8"/>
      <c r="AB1402" s="8"/>
      <c r="AC1402" s="8" t="str">
        <f ca="1">IFERROR(__xludf.DUMMYFUNCTION("""COMPUTED_VALUE"""),"Yes")</f>
        <v>Yes</v>
      </c>
      <c r="AD1402" s="8"/>
      <c r="AE1402" s="8" t="str">
        <f ca="1">IFERROR(__xludf.DUMMYFUNCTION("""COMPUTED_VALUE"""),"No")</f>
        <v>No</v>
      </c>
      <c r="AF1402" s="8"/>
      <c r="AG1402" s="8" t="str">
        <f ca="1">IFERROR(__xludf.DUMMYFUNCTION("""COMPUTED_VALUE"""),"No")</f>
        <v>No</v>
      </c>
      <c r="AH1402" s="8" t="str">
        <f ca="1">IFERROR(__xludf.DUMMYFUNCTION("""COMPUTED_VALUE"""),"No")</f>
        <v>No</v>
      </c>
      <c r="AI1402" s="8" t="str">
        <f ca="1">IFERROR(__xludf.DUMMYFUNCTION("""COMPUTED_VALUE"""),"No")</f>
        <v>No</v>
      </c>
      <c r="AJ1402" s="8" t="str">
        <f ca="1">IFERROR(__xludf.DUMMYFUNCTION("""COMPUTED_VALUE"""),"No")</f>
        <v>No</v>
      </c>
      <c r="AK1402" s="8"/>
      <c r="AL1402" s="8"/>
      <c r="AM1402" s="8" t="str">
        <f ca="1">IFERROR(__xludf.DUMMYFUNCTION("""COMPUTED_VALUE"""),"No")</f>
        <v>No</v>
      </c>
      <c r="AN1402" s="8"/>
      <c r="AO1402" s="8" t="str">
        <f ca="1">IFERROR(__xludf.DUMMYFUNCTION("""COMPUTED_VALUE"""),"No")</f>
        <v>No</v>
      </c>
      <c r="AP1402" s="8" t="str">
        <f ca="1">IFERROR(__xludf.DUMMYFUNCTION("""COMPUTED_VALUE"""),"No")</f>
        <v>No</v>
      </c>
      <c r="AQ1402" s="8"/>
      <c r="AR1402" s="8" t="str">
        <f ca="1">IFERROR(__xludf.DUMMYFUNCTION("""COMPUTED_VALUE"""),"Outside/Off-Property")</f>
        <v>Outside/Off-Property</v>
      </c>
      <c r="AS1402" s="8">
        <f ca="1">IFERROR(__xludf.DUMMYFUNCTION("""COMPUTED_VALUE"""),1)</f>
        <v>1</v>
      </c>
      <c r="AT1402" s="8"/>
      <c r="AU1402" s="8">
        <f ca="1">IFERROR(__xludf.DUMMYFUNCTION("""COMPUTED_VALUE"""),39.94455)</f>
        <v>39.94455</v>
      </c>
      <c r="AV1402" s="8">
        <f ca="1">IFERROR(__xludf.DUMMYFUNCTION("""COMPUTED_VALUE"""),-82.911571)</f>
        <v>-82.911570999999995</v>
      </c>
      <c r="AW1402" s="8"/>
      <c r="AX1402" s="8">
        <f ca="1">IFERROR(__xludf.DUMMYFUNCTION("""COMPUTED_VALUE"""),43227)</f>
        <v>43227</v>
      </c>
    </row>
    <row r="1403" spans="1:50" ht="105" x14ac:dyDescent="0.2">
      <c r="A1403" s="8" t="str">
        <f ca="1">IFERROR(__xludf.DUMMYFUNCTION("""COMPUTED_VALUE"""),"20210308SCEDC")</f>
        <v>20210308SCEDC</v>
      </c>
      <c r="B1403" s="8">
        <f ca="1">IFERROR(__xludf.DUMMYFUNCTION("""COMPUTED_VALUE"""),3)</f>
        <v>3</v>
      </c>
      <c r="C1403" s="8">
        <f ca="1">IFERROR(__xludf.DUMMYFUNCTION("""COMPUTED_VALUE"""),8)</f>
        <v>8</v>
      </c>
      <c r="D1403" s="8">
        <f ca="1">IFERROR(__xludf.DUMMYFUNCTION("""COMPUTED_VALUE"""),2021)</f>
        <v>2021</v>
      </c>
      <c r="E1403" s="9">
        <f ca="1">IFERROR(__xludf.DUMMYFUNCTION("""COMPUTED_VALUE"""),44263)</f>
        <v>44263</v>
      </c>
      <c r="F1403" s="8" t="str">
        <f ca="1">IFERROR(__xludf.DUMMYFUNCTION("""COMPUTED_VALUE"""),"Edwards Elementary School")</f>
        <v>Edwards Elementary School</v>
      </c>
      <c r="G1403" s="8">
        <f ca="1">IFERROR(__xludf.DUMMYFUNCTION("""COMPUTED_VALUE"""),0)</f>
        <v>0</v>
      </c>
      <c r="H1403" s="8">
        <f ca="1">IFERROR(__xludf.DUMMYFUNCTION("""COMPUTED_VALUE"""),1)</f>
        <v>1</v>
      </c>
      <c r="I1403" s="8">
        <f ca="1">IFERROR(__xludf.DUMMYFUNCTION("""COMPUTED_VALUE"""),1)</f>
        <v>1</v>
      </c>
      <c r="J1403" s="8">
        <f ca="1">IFERROR(__xludf.DUMMYFUNCTION("""COMPUTED_VALUE"""),0)</f>
        <v>0</v>
      </c>
      <c r="K1403" s="10" t="str">
        <f ca="1">IFERROR(__xludf.DUMMYFUNCTION("""COMPUTED_VALUE"""),"https://www.wsoctv.com/news/local/domestic-situation-leads-shooting-chesterfield-county-elementary-school-parking-lot/42ZNUCYQDZDWROWFM3K5XM73OM/
https://www.wcnc.com/article/news/crime/dispute-leads-to-shooting-outside-chesterfield-county-school-says-dis"&amp;"trict/275-8d5ebec8-d72c-41e4-899f-f352580cc0c9")</f>
        <v>https://www.wsoctv.com/news/local/domestic-situation-leads-shooting-chesterfield-county-elementary-school-parking-lot/42ZNUCYQDZDWROWFM3K5XM73OM/
https://www.wcnc.com/article/news/crime/dispute-leads-to-shooting-outside-chesterfield-county-school-says-district/275-8d5ebec8-d72c-41e4-899f-f352580cc0c9</v>
      </c>
      <c r="L1403" s="8">
        <f ca="1">IFERROR(__xludf.DUMMYFUNCTION("""COMPUTED_VALUE"""),5)</f>
        <v>5</v>
      </c>
      <c r="M1403" s="8" t="str">
        <f ca="1">IFERROR(__xludf.DUMMYFUNCTION("""COMPUTED_VALUE"""),"Local")</f>
        <v>Local</v>
      </c>
      <c r="N1403" s="8">
        <f ca="1">IFERROR(__xludf.DUMMYFUNCTION("""COMPUTED_VALUE"""),4)</f>
        <v>4</v>
      </c>
      <c r="O1403" s="8" t="str">
        <f ca="1">IFERROR(__xludf.DUMMYFUNCTION("""COMPUTED_VALUE"""),"Spring")</f>
        <v>Spring</v>
      </c>
      <c r="P1403" s="8" t="str">
        <f ca="1">IFERROR(__xludf.DUMMYFUNCTION("""COMPUTED_VALUE"""),"Chesterfield")</f>
        <v>Chesterfield</v>
      </c>
      <c r="Q1403" s="8" t="str">
        <f ca="1">IFERROR(__xludf.DUMMYFUNCTION("""COMPUTED_VALUE"""),"SC")</f>
        <v>SC</v>
      </c>
      <c r="R1403" s="8" t="str">
        <f ca="1">IFERROR(__xludf.DUMMYFUNCTION("""COMPUTED_VALUE"""),"Elementary")</f>
        <v>Elementary</v>
      </c>
      <c r="S1403" s="8" t="str">
        <f ca="1">IFERROR(__xludf.DUMMYFUNCTION("""COMPUTED_VALUE"""),"Parking Lot")</f>
        <v>Parking Lot</v>
      </c>
      <c r="T1403" s="8" t="str">
        <f ca="1">IFERROR(__xludf.DUMMYFUNCTION("""COMPUTED_VALUE"""),"Outside on School Property")</f>
        <v>Outside on School Property</v>
      </c>
      <c r="U1403" s="8" t="str">
        <f ca="1">IFERROR(__xludf.DUMMYFUNCTION("""COMPUTED_VALUE"""),"Yes")</f>
        <v>Yes</v>
      </c>
      <c r="V1403" s="8" t="str">
        <f ca="1">IFERROR(__xludf.DUMMYFUNCTION("""COMPUTED_VALUE"""),"Afternoon Classes")</f>
        <v>Afternoon Classes</v>
      </c>
      <c r="W1403" s="11">
        <f ca="1">IFERROR(__xludf.DUMMYFUNCTION("""COMPUTED_VALUE"""),0.5625)</f>
        <v>0.5625</v>
      </c>
      <c r="X1403" s="8">
        <f ca="1">IFERROR(__xludf.DUMMYFUNCTION("""COMPUTED_VALUE"""),1)</f>
        <v>1</v>
      </c>
      <c r="Y1403" s="12" t="str">
        <f ca="1">IFERROR(__xludf.DUMMYFUNCTION("""COMPUTED_VALUE"""),"Woman shot her son-in-law in the parking lot during a dispute")</f>
        <v>Woman shot her son-in-law in the parking lot during a dispute</v>
      </c>
      <c r="Z1403" s="12" t="str">
        <f ca="1">IFERROR(__xludf.DUMMYFUNCTION("""COMPUTED_VALUE"""),"District leaders say a dispute between two family members lead to a shooting outside of a school. According to Chesterfield County Schools, it happened in front of Edwards Elementary School. The district says one parent shot the other, but neither were in"&amp;"side the school at any time. The campus went onto immediate lockdown and police were present. All students and staff were safe.")</f>
        <v>District leaders say a dispute between two family members lead to a shooting outside of a school. According to Chesterfield County Schools, it happened in front of Edwards Elementary School. The district says one parent shot the other, but neither were inside the school at any time. The campus went onto immediate lockdown and police were present. All students and staff were safe.</v>
      </c>
      <c r="AA1403" s="8" t="str">
        <f ca="1">IFERROR(__xludf.DUMMYFUNCTION("""COMPUTED_VALUE"""),"Domestic w/ Targeted Victim")</f>
        <v>Domestic w/ Targeted Victim</v>
      </c>
      <c r="AB1403" s="8" t="str">
        <f ca="1">IFERROR(__xludf.DUMMYFUNCTION("""COMPUTED_VALUE"""),"Targeted")</f>
        <v>Targeted</v>
      </c>
      <c r="AC1403" s="8" t="str">
        <f ca="1">IFERROR(__xludf.DUMMYFUNCTION("""COMPUTED_VALUE"""),"Yes")</f>
        <v>Yes</v>
      </c>
      <c r="AD1403" s="8" t="str">
        <f ca="1">IFERROR(__xludf.DUMMYFUNCTION("""COMPUTED_VALUE"""),"Victims Targeted")</f>
        <v>Victims Targeted</v>
      </c>
      <c r="AE1403" s="8" t="str">
        <f ca="1">IFERROR(__xludf.DUMMYFUNCTION("""COMPUTED_VALUE"""),"No")</f>
        <v>No</v>
      </c>
      <c r="AF1403" s="8"/>
      <c r="AG1403" s="8" t="str">
        <f ca="1">IFERROR(__xludf.DUMMYFUNCTION("""COMPUTED_VALUE"""),"No")</f>
        <v>No</v>
      </c>
      <c r="AH1403" s="8" t="str">
        <f ca="1">IFERROR(__xludf.DUMMYFUNCTION("""COMPUTED_VALUE"""),"No")</f>
        <v>No</v>
      </c>
      <c r="AI1403" s="8" t="str">
        <f ca="1">IFERROR(__xludf.DUMMYFUNCTION("""COMPUTED_VALUE"""),"No")</f>
        <v>No</v>
      </c>
      <c r="AJ1403" s="8" t="str">
        <f ca="1">IFERROR(__xludf.DUMMYFUNCTION("""COMPUTED_VALUE"""),"No")</f>
        <v>No</v>
      </c>
      <c r="AK1403" s="8" t="str">
        <f ca="1">IFERROR(__xludf.DUMMYFUNCTION("""COMPUTED_VALUE"""),"Yes")</f>
        <v>Yes</v>
      </c>
      <c r="AL1403" s="8" t="str">
        <f ca="1">IFERROR(__xludf.DUMMYFUNCTION("""COMPUTED_VALUE"""),"No")</f>
        <v>No</v>
      </c>
      <c r="AM1403" s="8" t="str">
        <f ca="1">IFERROR(__xludf.DUMMYFUNCTION("""COMPUTED_VALUE"""),"No")</f>
        <v>No</v>
      </c>
      <c r="AN1403" s="8"/>
      <c r="AO1403" s="8" t="str">
        <f ca="1">IFERROR(__xludf.DUMMYFUNCTION("""COMPUTED_VALUE"""),"No")</f>
        <v>No</v>
      </c>
      <c r="AP1403" s="8"/>
      <c r="AQ1403" s="8"/>
      <c r="AR1403" s="8" t="str">
        <f ca="1">IFERROR(__xludf.DUMMYFUNCTION("""COMPUTED_VALUE"""),"Outside/Off-Property")</f>
        <v>Outside/Off-Property</v>
      </c>
      <c r="AS1403" s="8">
        <f ca="1">IFERROR(__xludf.DUMMYFUNCTION("""COMPUTED_VALUE"""),1)</f>
        <v>1</v>
      </c>
      <c r="AT1403" s="8" t="str">
        <f ca="1">IFERROR(__xludf.DUMMYFUNCTION("""COMPUTED_VALUE"""),"Yes")</f>
        <v>Yes</v>
      </c>
      <c r="AU1403" s="8">
        <f ca="1">IFERROR(__xludf.DUMMYFUNCTION("""COMPUTED_VALUE"""),34.73763)</f>
        <v>34.737630000000003</v>
      </c>
      <c r="AV1403" s="8">
        <f ca="1">IFERROR(__xludf.DUMMYFUNCTION("""COMPUTED_VALUE"""),-80.1177)</f>
        <v>-80.117699999999999</v>
      </c>
      <c r="AW1403" s="8"/>
      <c r="AX1403" s="8">
        <f ca="1">IFERROR(__xludf.DUMMYFUNCTION("""COMPUTED_VALUE"""),29709)</f>
        <v>29709</v>
      </c>
    </row>
    <row r="1404" spans="1:50" ht="75" x14ac:dyDescent="0.2">
      <c r="A1404" s="8" t="str">
        <f ca="1">IFERROR(__xludf.DUMMYFUNCTION("""COMPUTED_VALUE"""),"20210304CTACN")</f>
        <v>20210304CTACN</v>
      </c>
      <c r="B1404" s="8">
        <f ca="1">IFERROR(__xludf.DUMMYFUNCTION("""COMPUTED_VALUE"""),3)</f>
        <v>3</v>
      </c>
      <c r="C1404" s="8">
        <f ca="1">IFERROR(__xludf.DUMMYFUNCTION("""COMPUTED_VALUE"""),4)</f>
        <v>4</v>
      </c>
      <c r="D1404" s="8">
        <f ca="1">IFERROR(__xludf.DUMMYFUNCTION("""COMPUTED_VALUE"""),2021)</f>
        <v>2021</v>
      </c>
      <c r="E1404" s="9">
        <f ca="1">IFERROR(__xludf.DUMMYFUNCTION("""COMPUTED_VALUE"""),44259)</f>
        <v>44259</v>
      </c>
      <c r="F1404" s="8" t="str">
        <f ca="1">IFERROR(__xludf.DUMMYFUNCTION("""COMPUTED_VALUE"""),"Achievement First Amistad High School")</f>
        <v>Achievement First Amistad High School</v>
      </c>
      <c r="G1404" s="8">
        <f ca="1">IFERROR(__xludf.DUMMYFUNCTION("""COMPUTED_VALUE"""),0)</f>
        <v>0</v>
      </c>
      <c r="H1404" s="8">
        <f ca="1">IFERROR(__xludf.DUMMYFUNCTION("""COMPUTED_VALUE"""),0)</f>
        <v>0</v>
      </c>
      <c r="I1404" s="8">
        <f ca="1">IFERROR(__xludf.DUMMYFUNCTION("""COMPUTED_VALUE"""),0)</f>
        <v>0</v>
      </c>
      <c r="J1404" s="8">
        <f ca="1">IFERROR(__xludf.DUMMYFUNCTION("""COMPUTED_VALUE"""),0)</f>
        <v>0</v>
      </c>
      <c r="K1404" s="10" t="str">
        <f ca="1">IFERROR(__xludf.DUMMYFUNCTION("""COMPUTED_VALUE"""),"https://www.nbcconnecticut.com/news/local/gunshot-hits-window-at-school-in-new-haven/2436862/
https://www.newhavenindependent.org/article/amistad1")</f>
        <v>https://www.nbcconnecticut.com/news/local/gunshot-hits-window-at-school-in-new-haven/2436862/
https://www.newhavenindependent.org/article/amistad1</v>
      </c>
      <c r="L1404" s="8">
        <f ca="1">IFERROR(__xludf.DUMMYFUNCTION("""COMPUTED_VALUE"""),5)</f>
        <v>5</v>
      </c>
      <c r="M1404" s="8" t="str">
        <f ca="1">IFERROR(__xludf.DUMMYFUNCTION("""COMPUTED_VALUE"""),"Local")</f>
        <v>Local</v>
      </c>
      <c r="N1404" s="8">
        <f ca="1">IFERROR(__xludf.DUMMYFUNCTION("""COMPUTED_VALUE"""),4)</f>
        <v>4</v>
      </c>
      <c r="O1404" s="8" t="str">
        <f ca="1">IFERROR(__xludf.DUMMYFUNCTION("""COMPUTED_VALUE"""),"Spring")</f>
        <v>Spring</v>
      </c>
      <c r="P1404" s="8" t="str">
        <f ca="1">IFERROR(__xludf.DUMMYFUNCTION("""COMPUTED_VALUE"""),"New Haven")</f>
        <v>New Haven</v>
      </c>
      <c r="Q1404" s="8" t="str">
        <f ca="1">IFERROR(__xludf.DUMMYFUNCTION("""COMPUTED_VALUE"""),"CT")</f>
        <v>CT</v>
      </c>
      <c r="R1404" s="8" t="str">
        <f ca="1">IFERROR(__xludf.DUMMYFUNCTION("""COMPUTED_VALUE"""),"High")</f>
        <v>High</v>
      </c>
      <c r="S1404" s="8" t="str">
        <f ca="1">IFERROR(__xludf.DUMMYFUNCTION("""COMPUTED_VALUE"""),"Classroom")</f>
        <v>Classroom</v>
      </c>
      <c r="T1404" s="8" t="str">
        <f ca="1">IFERROR(__xludf.DUMMYFUNCTION("""COMPUTED_VALUE"""),"Both Inside/Outside")</f>
        <v>Both Inside/Outside</v>
      </c>
      <c r="U1404" s="8" t="str">
        <f ca="1">IFERROR(__xludf.DUMMYFUNCTION("""COMPUTED_VALUE"""),"Yes")</f>
        <v>Yes</v>
      </c>
      <c r="V1404" s="8" t="str">
        <f ca="1">IFERROR(__xludf.DUMMYFUNCTION("""COMPUTED_VALUE"""),"Morning Classes")</f>
        <v>Morning Classes</v>
      </c>
      <c r="W1404" s="11">
        <f ca="1">IFERROR(__xludf.DUMMYFUNCTION("""COMPUTED_VALUE"""),0.340277777777777)</f>
        <v>0.34027777777777701</v>
      </c>
      <c r="X1404" s="8">
        <f ca="1">IFERROR(__xludf.DUMMYFUNCTION("""COMPUTED_VALUE"""),1)</f>
        <v>1</v>
      </c>
      <c r="Y1404" s="12" t="str">
        <f ca="1">IFERROR(__xludf.DUMMYFUNCTION("""COMPUTED_VALUE"""),"Shot fired from outside broke classroom window")</f>
        <v>Shot fired from outside broke classroom window</v>
      </c>
      <c r="Z1404" s="12" t="str">
        <f ca="1">IFERROR(__xludf.DUMMYFUNCTION("""COMPUTED_VALUE"""),"Gunfire hit a window at Achievement First Amistad High School in New Haven on Thursday morning. Police said a round hit a rear window of Achievement First Amistad High School at 580 Dixwell Ave. at 8:10 a.m. Students were inside at the time of the shootin"&amp;"g. No injuries.")</f>
        <v>Gunfire hit a window at Achievement First Amistad High School in New Haven on Thursday morning. Police said a round hit a rear window of Achievement First Amistad High School at 580 Dixwell Ave. at 8:10 a.m. Students were inside at the time of the shooting. No injuries.</v>
      </c>
      <c r="AA1404" s="8" t="str">
        <f ca="1">IFERROR(__xludf.DUMMYFUNCTION("""COMPUTED_VALUE"""),"Drive-by Shooting")</f>
        <v>Drive-by Shooting</v>
      </c>
      <c r="AB1404" s="8"/>
      <c r="AC1404" s="8" t="str">
        <f ca="1">IFERROR(__xludf.DUMMYFUNCTION("""COMPUTED_VALUE"""),"Yes")</f>
        <v>Yes</v>
      </c>
      <c r="AD1404" s="8"/>
      <c r="AE1404" s="8" t="str">
        <f ca="1">IFERROR(__xludf.DUMMYFUNCTION("""COMPUTED_VALUE"""),"No")</f>
        <v>No</v>
      </c>
      <c r="AF1404" s="8"/>
      <c r="AG1404" s="8" t="str">
        <f ca="1">IFERROR(__xludf.DUMMYFUNCTION("""COMPUTED_VALUE"""),"No")</f>
        <v>No</v>
      </c>
      <c r="AH1404" s="8" t="str">
        <f ca="1">IFERROR(__xludf.DUMMYFUNCTION("""COMPUTED_VALUE"""),"No")</f>
        <v>No</v>
      </c>
      <c r="AI1404" s="8" t="str">
        <f ca="1">IFERROR(__xludf.DUMMYFUNCTION("""COMPUTED_VALUE"""),"No")</f>
        <v>No</v>
      </c>
      <c r="AJ1404" s="8" t="str">
        <f ca="1">IFERROR(__xludf.DUMMYFUNCTION("""COMPUTED_VALUE"""),"No")</f>
        <v>No</v>
      </c>
      <c r="AK1404" s="8" t="str">
        <f ca="1">IFERROR(__xludf.DUMMYFUNCTION("""COMPUTED_VALUE"""),"No")</f>
        <v>No</v>
      </c>
      <c r="AL1404" s="8"/>
      <c r="AM1404" s="8" t="str">
        <f ca="1">IFERROR(__xludf.DUMMYFUNCTION("""COMPUTED_VALUE"""),"No")</f>
        <v>No</v>
      </c>
      <c r="AN1404" s="8"/>
      <c r="AO1404" s="8" t="str">
        <f ca="1">IFERROR(__xludf.DUMMYFUNCTION("""COMPUTED_VALUE"""),"No")</f>
        <v>No</v>
      </c>
      <c r="AP1404" s="8"/>
      <c r="AQ1404" s="8"/>
      <c r="AR1404" s="8" t="str">
        <f ca="1">IFERROR(__xludf.DUMMYFUNCTION("""COMPUTED_VALUE"""),"Outside/Off-Property")</f>
        <v>Outside/Off-Property</v>
      </c>
      <c r="AS1404" s="8">
        <f ca="1">IFERROR(__xludf.DUMMYFUNCTION("""COMPUTED_VALUE"""),99)</f>
        <v>99</v>
      </c>
      <c r="AT1404" s="8" t="str">
        <f ca="1">IFERROR(__xludf.DUMMYFUNCTION("""COMPUTED_VALUE"""),"Yes")</f>
        <v>Yes</v>
      </c>
      <c r="AU1404" s="8">
        <f ca="1">IFERROR(__xludf.DUMMYFUNCTION("""COMPUTED_VALUE"""),41.32982)</f>
        <v>41.329819999999998</v>
      </c>
      <c r="AV1404" s="8">
        <f ca="1">IFERROR(__xludf.DUMMYFUNCTION("""COMPUTED_VALUE"""),-72.9357)</f>
        <v>-72.935699999999997</v>
      </c>
      <c r="AW1404" s="8"/>
      <c r="AX1404" s="8">
        <f ca="1">IFERROR(__xludf.DUMMYFUNCTION("""COMPUTED_VALUE"""),6511)</f>
        <v>6511</v>
      </c>
    </row>
    <row r="1405" spans="1:50" ht="165" x14ac:dyDescent="0.2">
      <c r="A1405" s="8" t="str">
        <f ca="1">IFERROR(__xludf.DUMMYFUNCTION("""COMPUTED_VALUE"""),"20210301NYWAO")</f>
        <v>20210301NYWAO</v>
      </c>
      <c r="B1405" s="8">
        <f ca="1">IFERROR(__xludf.DUMMYFUNCTION("""COMPUTED_VALUE"""),3)</f>
        <v>3</v>
      </c>
      <c r="C1405" s="8">
        <f ca="1">IFERROR(__xludf.DUMMYFUNCTION("""COMPUTED_VALUE"""),1)</f>
        <v>1</v>
      </c>
      <c r="D1405" s="8">
        <f ca="1">IFERROR(__xludf.DUMMYFUNCTION("""COMPUTED_VALUE"""),2021)</f>
        <v>2021</v>
      </c>
      <c r="E1405" s="9">
        <f ca="1">IFERROR(__xludf.DUMMYFUNCTION("""COMPUTED_VALUE"""),44256)</f>
        <v>44256</v>
      </c>
      <c r="F1405" s="8" t="str">
        <f ca="1">IFERROR(__xludf.DUMMYFUNCTION("""COMPUTED_VALUE"""),"Wayne Central Middle School")</f>
        <v>Wayne Central Middle School</v>
      </c>
      <c r="G1405" s="8">
        <f ca="1">IFERROR(__xludf.DUMMYFUNCTION("""COMPUTED_VALUE"""),0)</f>
        <v>0</v>
      </c>
      <c r="H1405" s="8">
        <f ca="1">IFERROR(__xludf.DUMMYFUNCTION("""COMPUTED_VALUE"""),1)</f>
        <v>1</v>
      </c>
      <c r="I1405" s="8">
        <f ca="1">IFERROR(__xludf.DUMMYFUNCTION("""COMPUTED_VALUE"""),1)</f>
        <v>1</v>
      </c>
      <c r="J1405" s="8">
        <f ca="1">IFERROR(__xludf.DUMMYFUNCTION("""COMPUTED_VALUE"""),0)</f>
        <v>0</v>
      </c>
      <c r="K1405" s="10" t="str">
        <f ca="1">IFERROR(__xludf.DUMMYFUNCTION("""COMPUTED_VALUE"""),"https://spectrumlocalnews.com/nys/rochester/public-safety/2021/03/03/deputy-shot-in-foot-during-confrontation-at-wayne-central-middle-school
https://13wham.com/news/local/court-docs-wayne-central-employee-shot-deouty-in-foot-during-altercation")</f>
        <v>https://spectrumlocalnews.com/nys/rochester/public-safety/2021/03/03/deputy-shot-in-foot-during-confrontation-at-wayne-central-middle-school
https://13wham.com/news/local/court-docs-wayne-central-employee-shot-deouty-in-foot-during-altercation</v>
      </c>
      <c r="L1405" s="8">
        <f ca="1">IFERROR(__xludf.DUMMYFUNCTION("""COMPUTED_VALUE"""),3)</f>
        <v>3</v>
      </c>
      <c r="M1405" s="8" t="str">
        <f ca="1">IFERROR(__xludf.DUMMYFUNCTION("""COMPUTED_VALUE"""),"Local")</f>
        <v>Local</v>
      </c>
      <c r="N1405" s="8">
        <f ca="1">IFERROR(__xludf.DUMMYFUNCTION("""COMPUTED_VALUE"""),4)</f>
        <v>4</v>
      </c>
      <c r="O1405" s="8" t="str">
        <f ca="1">IFERROR(__xludf.DUMMYFUNCTION("""COMPUTED_VALUE"""),"Spring")</f>
        <v>Spring</v>
      </c>
      <c r="P1405" s="8" t="str">
        <f ca="1">IFERROR(__xludf.DUMMYFUNCTION("""COMPUTED_VALUE"""),"Ontario")</f>
        <v>Ontario</v>
      </c>
      <c r="Q1405" s="8" t="str">
        <f ca="1">IFERROR(__xludf.DUMMYFUNCTION("""COMPUTED_VALUE"""),"NY")</f>
        <v>NY</v>
      </c>
      <c r="R1405" s="8" t="str">
        <f ca="1">IFERROR(__xludf.DUMMYFUNCTION("""COMPUTED_VALUE"""),"Middle")</f>
        <v>Middle</v>
      </c>
      <c r="S1405" s="8" t="str">
        <f ca="1">IFERROR(__xludf.DUMMYFUNCTION("""COMPUTED_VALUE"""),"Inside School Building")</f>
        <v>Inside School Building</v>
      </c>
      <c r="T1405" s="8" t="str">
        <f ca="1">IFERROR(__xludf.DUMMYFUNCTION("""COMPUTED_VALUE"""),"Inside School Building")</f>
        <v>Inside School Building</v>
      </c>
      <c r="U1405" s="8" t="str">
        <f ca="1">IFERROR(__xludf.DUMMYFUNCTION("""COMPUTED_VALUE"""),"No")</f>
        <v>No</v>
      </c>
      <c r="V1405" s="8" t="str">
        <f ca="1">IFERROR(__xludf.DUMMYFUNCTION("""COMPUTED_VALUE"""),"Morning Classes")</f>
        <v>Morning Classes</v>
      </c>
      <c r="W1405" s="11">
        <f ca="1">IFERROR(__xludf.DUMMYFUNCTION("""COMPUTED_VALUE"""),0.402777777777777)</f>
        <v>0.40277777777777701</v>
      </c>
      <c r="X1405" s="8">
        <f ca="1">IFERROR(__xludf.DUMMYFUNCTION("""COMPUTED_VALUE"""),1)</f>
        <v>1</v>
      </c>
      <c r="Y1405" s="12" t="str">
        <f ca="1">IFERROR(__xludf.DUMMYFUNCTION("""COMPUTED_VALUE"""),"SRO shot in foot while trying to detain school janitor who was brandishing knife")</f>
        <v>SRO shot in foot while trying to detain school janitor who was brandishing knife</v>
      </c>
      <c r="Z1405" s="12" t="str">
        <f ca="1">IFERROR(__xludf.DUMMYFUNCTION("""COMPUTED_VALUE"""),"The Wayne County Sheriff’s Office says a deputy serving as a school resource officer responded to a fight between Franco, an employee of the school, and another staff member Monday, during which Franco had a knife. Investigators did not specify what kind "&amp;"of knife he had. Investigators said Monday both Franco and the deputy suffered non-life-threatening injuries in the incident. Court papers allege that Franco used a Smith and Wesson M&amp;P .45 caliber handgun to shoot Deputy Robert Mansell in the foot. It is"&amp;" not clear if the weapon allegedly used belonged to Franco or the deputy.")</f>
        <v>The Wayne County Sheriff’s Office says a deputy serving as a school resource officer responded to a fight between Franco, an employee of the school, and another staff member Monday, during which Franco had a knife. Investigators did not specify what kind of knife he had. Investigators said Monday both Franco and the deputy suffered non-life-threatening injuries in the incident. Court papers allege that Franco used a Smith and Wesson M&amp;P .45 caliber handgun to shoot Deputy Robert Mansell in the foot. It is not clear if the weapon allegedly used belonged to Franco or the deputy.</v>
      </c>
      <c r="AA1405" s="8"/>
      <c r="AB1405" s="8" t="str">
        <f ca="1">IFERROR(__xludf.DUMMYFUNCTION("""COMPUTED_VALUE"""),"Spontaneous")</f>
        <v>Spontaneous</v>
      </c>
      <c r="AC1405" s="8" t="str">
        <f ca="1">IFERROR(__xludf.DUMMYFUNCTION("""COMPUTED_VALUE"""),"Yes")</f>
        <v>Yes</v>
      </c>
      <c r="AD1405" s="8" t="str">
        <f ca="1">IFERROR(__xludf.DUMMYFUNCTION("""COMPUTED_VALUE"""),"Victims Targeted")</f>
        <v>Victims Targeted</v>
      </c>
      <c r="AE1405" s="8" t="str">
        <f ca="1">IFERROR(__xludf.DUMMYFUNCTION("""COMPUTED_VALUE"""),"No")</f>
        <v>No</v>
      </c>
      <c r="AF1405" s="8"/>
      <c r="AG1405" s="8" t="str">
        <f ca="1">IFERROR(__xludf.DUMMYFUNCTION("""COMPUTED_VALUE"""),"No")</f>
        <v>No</v>
      </c>
      <c r="AH1405" s="8" t="str">
        <f ca="1">IFERROR(__xludf.DUMMYFUNCTION("""COMPUTED_VALUE"""),"No")</f>
        <v>No</v>
      </c>
      <c r="AI1405" s="8" t="str">
        <f ca="1">IFERROR(__xludf.DUMMYFUNCTION("""COMPUTED_VALUE"""),"No")</f>
        <v>No</v>
      </c>
      <c r="AJ1405" s="8" t="str">
        <f ca="1">IFERROR(__xludf.DUMMYFUNCTION("""COMPUTED_VALUE"""),"No")</f>
        <v>No</v>
      </c>
      <c r="AK1405" s="8" t="str">
        <f ca="1">IFERROR(__xludf.DUMMYFUNCTION("""COMPUTED_VALUE"""),"No")</f>
        <v>No</v>
      </c>
      <c r="AL1405" s="8" t="str">
        <f ca="1">IFERROR(__xludf.DUMMYFUNCTION("""COMPUTED_VALUE"""),"No")</f>
        <v>No</v>
      </c>
      <c r="AM1405" s="8" t="str">
        <f ca="1">IFERROR(__xludf.DUMMYFUNCTION("""COMPUTED_VALUE"""),"No")</f>
        <v>No</v>
      </c>
      <c r="AN1405" s="8"/>
      <c r="AO1405" s="8" t="str">
        <f ca="1">IFERROR(__xludf.DUMMYFUNCTION("""COMPUTED_VALUE"""),"No")</f>
        <v>No</v>
      </c>
      <c r="AP1405" s="8" t="str">
        <f ca="1">IFERROR(__xludf.DUMMYFUNCTION("""COMPUTED_VALUE"""),"Yes")</f>
        <v>Yes</v>
      </c>
      <c r="AQ1405" s="8" t="str">
        <f ca="1">IFERROR(__xludf.DUMMYFUNCTION("""COMPUTED_VALUE"""),"Armed Guards")</f>
        <v>Armed Guards</v>
      </c>
      <c r="AR1405" s="8" t="str">
        <f ca="1">IFERROR(__xludf.DUMMYFUNCTION("""COMPUTED_VALUE"""),"Outside/Off-Property")</f>
        <v>Outside/Off-Property</v>
      </c>
      <c r="AS1405" s="8">
        <f ca="1">IFERROR(__xludf.DUMMYFUNCTION("""COMPUTED_VALUE"""),1)</f>
        <v>1</v>
      </c>
      <c r="AT1405" s="8" t="str">
        <f ca="1">IFERROR(__xludf.DUMMYFUNCTION("""COMPUTED_VALUE"""),"Yes")</f>
        <v>Yes</v>
      </c>
      <c r="AU1405" s="8">
        <f ca="1">IFERROR(__xludf.DUMMYFUNCTION("""COMPUTED_VALUE"""),43.2197)</f>
        <v>43.219700000000003</v>
      </c>
      <c r="AV1405" s="8">
        <f ca="1">IFERROR(__xludf.DUMMYFUNCTION("""COMPUTED_VALUE"""),-77.3036)</f>
        <v>-77.303600000000003</v>
      </c>
      <c r="AW1405" s="8"/>
      <c r="AX1405" s="8">
        <f ca="1">IFERROR(__xludf.DUMMYFUNCTION("""COMPUTED_VALUE"""),14519)</f>
        <v>14519</v>
      </c>
    </row>
    <row r="1406" spans="1:50" ht="180" x14ac:dyDescent="0.2">
      <c r="A1406" s="8" t="str">
        <f ca="1">IFERROR(__xludf.DUMMYFUNCTION("""COMPUTED_VALUE"""),"20210301ARWAP")</f>
        <v>20210301ARWAP</v>
      </c>
      <c r="B1406" s="8">
        <f ca="1">IFERROR(__xludf.DUMMYFUNCTION("""COMPUTED_VALUE"""),3)</f>
        <v>3</v>
      </c>
      <c r="C1406" s="8">
        <f ca="1">IFERROR(__xludf.DUMMYFUNCTION("""COMPUTED_VALUE"""),1)</f>
        <v>1</v>
      </c>
      <c r="D1406" s="8">
        <f ca="1">IFERROR(__xludf.DUMMYFUNCTION("""COMPUTED_VALUE"""),2021)</f>
        <v>2021</v>
      </c>
      <c r="E1406" s="9">
        <f ca="1">IFERROR(__xludf.DUMMYFUNCTION("""COMPUTED_VALUE"""),44256)</f>
        <v>44256</v>
      </c>
      <c r="F1406" s="8" t="str">
        <f ca="1">IFERROR(__xludf.DUMMYFUNCTION("""COMPUTED_VALUE"""),"Watson Chapel Junior High")</f>
        <v>Watson Chapel Junior High</v>
      </c>
      <c r="G1406" s="8">
        <f ca="1">IFERROR(__xludf.DUMMYFUNCTION("""COMPUTED_VALUE"""),1)</f>
        <v>1</v>
      </c>
      <c r="H1406" s="8">
        <f ca="1">IFERROR(__xludf.DUMMYFUNCTION("""COMPUTED_VALUE"""),0)</f>
        <v>0</v>
      </c>
      <c r="I1406" s="8">
        <f ca="1">IFERROR(__xludf.DUMMYFUNCTION("""COMPUTED_VALUE"""),1)</f>
        <v>1</v>
      </c>
      <c r="J1406" s="8">
        <f ca="1">IFERROR(__xludf.DUMMYFUNCTION("""COMPUTED_VALUE"""),0)</f>
        <v>0</v>
      </c>
      <c r="K1406" s="8" t="str">
        <f ca="1">IFERROR(__xludf.DUMMYFUNCTION("""COMPUTED_VALUE"""),"https://www.arkansasonline.com/news/2021/mar/04/pb-teen-dies-after-shooting-in-school-hall/ https://www.fox19.com/video/2021/03/02/police-believe-disagreement-between-teens-led-ark-school-shooting/ https://www.cnn.com/2021/03/01/us/school-shooting-pine-bl"&amp;"uff-arkansas-/index.html https://www.nbcnews.com/news/us-news/one-student-hurt-after-shooting-junior-high-school-arkansas-n1259154 https://abcnews.go.com/US/shooting-reported-junior-high-school-arkansas-school-district/story?id=76184186 https://katv.com/n"&amp;"ews/local/police-1-person-shot-at-watson-chapel-junior-high-in-pine-bluff")</f>
        <v>https://www.arkansasonline.com/news/2021/mar/04/pb-teen-dies-after-shooting-in-school-hall/ https://www.fox19.com/video/2021/03/02/police-believe-disagreement-between-teens-led-ark-school-shooting/ https://www.cnn.com/2021/03/01/us/school-shooting-pine-bluff-arkansas-/index.html https://www.nbcnews.com/news/us-news/one-student-hurt-after-shooting-junior-high-school-arkansas-n1259154 https://abcnews.go.com/US/shooting-reported-junior-high-school-arkansas-school-district/story?id=76184186 https://katv.com/news/local/police-1-person-shot-at-watson-chapel-junior-high-in-pine-bluff</v>
      </c>
      <c r="L1406" s="8">
        <f ca="1">IFERROR(__xludf.DUMMYFUNCTION("""COMPUTED_VALUE"""),100)</f>
        <v>100</v>
      </c>
      <c r="M1406" s="8" t="str">
        <f ca="1">IFERROR(__xludf.DUMMYFUNCTION("""COMPUTED_VALUE"""),"National")</f>
        <v>National</v>
      </c>
      <c r="N1406" s="8">
        <f ca="1">IFERROR(__xludf.DUMMYFUNCTION("""COMPUTED_VALUE"""),4)</f>
        <v>4</v>
      </c>
      <c r="O1406" s="8" t="str">
        <f ca="1">IFERROR(__xludf.DUMMYFUNCTION("""COMPUTED_VALUE"""),"Spring")</f>
        <v>Spring</v>
      </c>
      <c r="P1406" s="8" t="str">
        <f ca="1">IFERROR(__xludf.DUMMYFUNCTION("""COMPUTED_VALUE"""),"Pine Bluff")</f>
        <v>Pine Bluff</v>
      </c>
      <c r="Q1406" s="8" t="str">
        <f ca="1">IFERROR(__xludf.DUMMYFUNCTION("""COMPUTED_VALUE"""),"AR")</f>
        <v>AR</v>
      </c>
      <c r="R1406" s="8" t="str">
        <f ca="1">IFERROR(__xludf.DUMMYFUNCTION("""COMPUTED_VALUE"""),"Junior High")</f>
        <v>Junior High</v>
      </c>
      <c r="S1406" s="8" t="str">
        <f ca="1">IFERROR(__xludf.DUMMYFUNCTION("""COMPUTED_VALUE"""),"Hallway")</f>
        <v>Hallway</v>
      </c>
      <c r="T1406" s="8" t="str">
        <f ca="1">IFERROR(__xludf.DUMMYFUNCTION("""COMPUTED_VALUE"""),"Inside School Building")</f>
        <v>Inside School Building</v>
      </c>
      <c r="U1406" s="8" t="str">
        <f ca="1">IFERROR(__xludf.DUMMYFUNCTION("""COMPUTED_VALUE"""),"Yes")</f>
        <v>Yes</v>
      </c>
      <c r="V1406" s="8" t="str">
        <f ca="1">IFERROR(__xludf.DUMMYFUNCTION("""COMPUTED_VALUE"""),"Morning Classes")</f>
        <v>Morning Classes</v>
      </c>
      <c r="W1406" s="11">
        <f ca="1">IFERROR(__xludf.DUMMYFUNCTION("""COMPUTED_VALUE"""),0.415972222222222)</f>
        <v>0.41597222222222202</v>
      </c>
      <c r="X1406" s="8">
        <f ca="1">IFERROR(__xludf.DUMMYFUNCTION("""COMPUTED_VALUE"""),1)</f>
        <v>1</v>
      </c>
      <c r="Y1406" s="12" t="str">
        <f ca="1">IFERROR(__xludf.DUMMYFUNCTION("""COMPUTED_VALUE"""),"Student shot by another student in the hallway between classes")</f>
        <v>Student shot by another student in the hallway between classes</v>
      </c>
      <c r="Z1406" s="12" t="str">
        <f ca="1">IFERROR(__xludf.DUMMYFUNCTION("""COMPUTED_VALUE"""),"A 15-year-old student shot another 15-year-old student 3 times in the hallway as students changed classes. Many students were in the hallway at the time of the shooting and witnessed it. Injured student was flown to hospital in critical condition and died"&amp;" 2 days later (3/3/2021). Shooter fled the scene and was tracked by a police K-9 to the backyard of a house near the school where he was arrested. School was placed on lockdown for 1 hour and then dismissed. Police said the shooting was targeted and there"&amp;" was a dispute between the shooter and victim. The shooting occurred on the first day the school had resumed in-person learning following COVID-19 related closures and virtual learning.")</f>
        <v>A 15-year-old student shot another 15-year-old student 3 times in the hallway as students changed classes. Many students were in the hallway at the time of the shooting and witnessed it. Injured student was flown to hospital in critical condition and died 2 days later (3/3/2021). Shooter fled the scene and was tracked by a police K-9 to the backyard of a house near the school where he was arrested. School was placed on lockdown for 1 hour and then dismissed. Police said the shooting was targeted and there was a dispute between the shooter and victim. The shooting occurred on the first day the school had resumed in-person learning following COVID-19 related closures and virtual learning.</v>
      </c>
      <c r="AA1406" s="8" t="str">
        <f ca="1">IFERROR(__xludf.DUMMYFUNCTION("""COMPUTED_VALUE"""),"Escalation of Dispute")</f>
        <v>Escalation of Dispute</v>
      </c>
      <c r="AB1406" s="8"/>
      <c r="AC1406" s="8" t="str">
        <f ca="1">IFERROR(__xludf.DUMMYFUNCTION("""COMPUTED_VALUE"""),"Yes")</f>
        <v>Yes</v>
      </c>
      <c r="AD1406" s="8" t="str">
        <f ca="1">IFERROR(__xludf.DUMMYFUNCTION("""COMPUTED_VALUE"""),"Victims Targeted")</f>
        <v>Victims Targeted</v>
      </c>
      <c r="AE1406" s="8" t="str">
        <f ca="1">IFERROR(__xludf.DUMMYFUNCTION("""COMPUTED_VALUE"""),"No")</f>
        <v>No</v>
      </c>
      <c r="AF1406" s="8"/>
      <c r="AG1406" s="8" t="str">
        <f ca="1">IFERROR(__xludf.DUMMYFUNCTION("""COMPUTED_VALUE"""),"No")</f>
        <v>No</v>
      </c>
      <c r="AH1406" s="8" t="str">
        <f ca="1">IFERROR(__xludf.DUMMYFUNCTION("""COMPUTED_VALUE"""),"No")</f>
        <v>No</v>
      </c>
      <c r="AI1406" s="8" t="str">
        <f ca="1">IFERROR(__xludf.DUMMYFUNCTION("""COMPUTED_VALUE"""),"No")</f>
        <v>No</v>
      </c>
      <c r="AJ1406" s="8" t="str">
        <f ca="1">IFERROR(__xludf.DUMMYFUNCTION("""COMPUTED_VALUE"""),"No")</f>
        <v>No</v>
      </c>
      <c r="AK1406" s="8" t="str">
        <f ca="1">IFERROR(__xludf.DUMMYFUNCTION("""COMPUTED_VALUE"""),"No")</f>
        <v>No</v>
      </c>
      <c r="AL1406" s="8" t="str">
        <f ca="1">IFERROR(__xludf.DUMMYFUNCTION("""COMPUTED_VALUE"""),"No")</f>
        <v>No</v>
      </c>
      <c r="AM1406" s="8" t="str">
        <f ca="1">IFERROR(__xludf.DUMMYFUNCTION("""COMPUTED_VALUE"""),"No")</f>
        <v>No</v>
      </c>
      <c r="AN1406" s="8"/>
      <c r="AO1406" s="8" t="str">
        <f ca="1">IFERROR(__xludf.DUMMYFUNCTION("""COMPUTED_VALUE"""),"No")</f>
        <v>No</v>
      </c>
      <c r="AP1406" s="8" t="str">
        <f ca="1">IFERROR(__xludf.DUMMYFUNCTION("""COMPUTED_VALUE"""),"No")</f>
        <v>No</v>
      </c>
      <c r="AQ1406" s="8" t="str">
        <f ca="1">IFERROR(__xludf.DUMMYFUNCTION("""COMPUTED_VALUE"""),"None")</f>
        <v>None</v>
      </c>
      <c r="AR1406" s="8"/>
      <c r="AS1406" s="8">
        <f ca="1">IFERROR(__xludf.DUMMYFUNCTION("""COMPUTED_VALUE"""),3)</f>
        <v>3</v>
      </c>
      <c r="AT1406" s="8" t="str">
        <f ca="1">IFERROR(__xludf.DUMMYFUNCTION("""COMPUTED_VALUE"""),"Yes")</f>
        <v>Yes</v>
      </c>
      <c r="AU1406" s="8">
        <f ca="1">IFERROR(__xludf.DUMMYFUNCTION("""COMPUTED_VALUE"""),34.189888)</f>
        <v>34.189888000000003</v>
      </c>
      <c r="AV1406" s="8">
        <f ca="1">IFERROR(__xludf.DUMMYFUNCTION("""COMPUTED_VALUE"""),-92.065849)</f>
        <v>-92.065849</v>
      </c>
      <c r="AW1406" s="8"/>
      <c r="AX1406" s="8">
        <f ca="1">IFERROR(__xludf.DUMMYFUNCTION("""COMPUTED_VALUE"""),71603)</f>
        <v>71603</v>
      </c>
    </row>
    <row r="1407" spans="1:50" ht="165" x14ac:dyDescent="0.2">
      <c r="A1407" s="8" t="str">
        <f ca="1">IFERROR(__xludf.DUMMYFUNCTION("""COMPUTED_VALUE"""),"20210226LAGEN")</f>
        <v>20210226LAGEN</v>
      </c>
      <c r="B1407" s="8">
        <f ca="1">IFERROR(__xludf.DUMMYFUNCTION("""COMPUTED_VALUE"""),2)</f>
        <v>2</v>
      </c>
      <c r="C1407" s="8">
        <f ca="1">IFERROR(__xludf.DUMMYFUNCTION("""COMPUTED_VALUE"""),26)</f>
        <v>26</v>
      </c>
      <c r="D1407" s="8">
        <f ca="1">IFERROR(__xludf.DUMMYFUNCTION("""COMPUTED_VALUE"""),2021)</f>
        <v>2021</v>
      </c>
      <c r="E1407" s="9">
        <f ca="1">IFERROR(__xludf.DUMMYFUNCTION("""COMPUTED_VALUE"""),44253)</f>
        <v>44253</v>
      </c>
      <c r="F1407" s="8" t="str">
        <f ca="1">IFERROR(__xludf.DUMMYFUNCTION("""COMPUTED_VALUE"""),"George Washington Carver High School")</f>
        <v>George Washington Carver High School</v>
      </c>
      <c r="G1407" s="8">
        <f ca="1">IFERROR(__xludf.DUMMYFUNCTION("""COMPUTED_VALUE"""),1)</f>
        <v>1</v>
      </c>
      <c r="H1407" s="8">
        <f ca="1">IFERROR(__xludf.DUMMYFUNCTION("""COMPUTED_VALUE"""),0)</f>
        <v>0</v>
      </c>
      <c r="I1407" s="8">
        <f ca="1">IFERROR(__xludf.DUMMYFUNCTION("""COMPUTED_VALUE"""),1)</f>
        <v>1</v>
      </c>
      <c r="J1407" s="8">
        <f ca="1">IFERROR(__xludf.DUMMYFUNCTION("""COMPUTED_VALUE"""),0)</f>
        <v>0</v>
      </c>
      <c r="K1407" s="8" t="str">
        <f ca="1">IFERROR(__xludf.DUMMYFUNCTION("""COMPUTED_VALUE"""),"https://www.nbcnews.com/news/us-news/officer-working-security-high-school-basketball-game-fatally-shot-suspect-n1259070 https://www.cnn.com/2021/02/27/us/new-orleans-officer-killed-basketball-game/index.html https://www.wwltv.com/article/news/crime/office"&amp;"r-shot-at-carver-highl-during-basketball-game/289-e197f460-e5bd-4e06-99e7-0a6373f7eda1")</f>
        <v>https://www.nbcnews.com/news/us-news/officer-working-security-high-school-basketball-game-fatally-shot-suspect-n1259070 https://www.cnn.com/2021/02/27/us/new-orleans-officer-killed-basketball-game/index.html https://www.wwltv.com/article/news/crime/officer-shot-at-carver-highl-during-basketball-game/289-e197f460-e5bd-4e06-99e7-0a6373f7eda1</v>
      </c>
      <c r="L1407" s="8">
        <f ca="1">IFERROR(__xludf.DUMMYFUNCTION("""COMPUTED_VALUE"""),100)</f>
        <v>100</v>
      </c>
      <c r="M1407" s="8" t="str">
        <f ca="1">IFERROR(__xludf.DUMMYFUNCTION("""COMPUTED_VALUE"""),"National")</f>
        <v>National</v>
      </c>
      <c r="N1407" s="8">
        <f ca="1">IFERROR(__xludf.DUMMYFUNCTION("""COMPUTED_VALUE"""),4)</f>
        <v>4</v>
      </c>
      <c r="O1407" s="8"/>
      <c r="P1407" s="8" t="str">
        <f ca="1">IFERROR(__xludf.DUMMYFUNCTION("""COMPUTED_VALUE"""),"New Orleans")</f>
        <v>New Orleans</v>
      </c>
      <c r="Q1407" s="8" t="str">
        <f ca="1">IFERROR(__xludf.DUMMYFUNCTION("""COMPUTED_VALUE"""),"LA")</f>
        <v>LA</v>
      </c>
      <c r="R1407" s="8" t="str">
        <f ca="1">IFERROR(__xludf.DUMMYFUNCTION("""COMPUTED_VALUE"""),"High")</f>
        <v>High</v>
      </c>
      <c r="S1407" s="8" t="str">
        <f ca="1">IFERROR(__xludf.DUMMYFUNCTION("""COMPUTED_VALUE"""),"Hallway")</f>
        <v>Hallway</v>
      </c>
      <c r="T1407" s="8" t="str">
        <f ca="1">IFERROR(__xludf.DUMMYFUNCTION("""COMPUTED_VALUE"""),"Inside School Building")</f>
        <v>Inside School Building</v>
      </c>
      <c r="U1407" s="8" t="str">
        <f ca="1">IFERROR(__xludf.DUMMYFUNCTION("""COMPUTED_VALUE"""),"No")</f>
        <v>No</v>
      </c>
      <c r="V1407" s="8" t="str">
        <f ca="1">IFERROR(__xludf.DUMMYFUNCTION("""COMPUTED_VALUE"""),"Sport Event")</f>
        <v>Sport Event</v>
      </c>
      <c r="W1407" s="11">
        <f ca="1">IFERROR(__xludf.DUMMYFUNCTION("""COMPUTED_VALUE"""),0.760416666666666)</f>
        <v>0.76041666666666596</v>
      </c>
      <c r="X1407" s="8">
        <f ca="1">IFERROR(__xludf.DUMMYFUNCTION("""COMPUTED_VALUE"""),1)</f>
        <v>1</v>
      </c>
      <c r="Y1407" s="12" t="str">
        <f ca="1">IFERROR(__xludf.DUMMYFUNCTION("""COMPUTED_VALUE"""),"Police officer shot while escorting person out of high school basketball game")</f>
        <v>Police officer shot while escorting person out of high school basketball game</v>
      </c>
      <c r="Z1407" s="12" t="str">
        <f ca="1">IFERROR(__xludf.DUMMYFUNCTION("""COMPUTED_VALUE"""),"A Tulane University police officer was working security at the high school during a playoff basketball game. A 35-year-old male (shooter) had a confrontation with a school employee who denied him entry to the game for not wearing a mask. Police officer in"&amp;"tervened in the confrontation and escorted the shooter out of the building. Near the door, the shooter pulled a gun and fatally shot the officer twice in the chest. Shooter then put the gun on the ground and surrendered. Prior to the shooting, the shooter"&amp;" approached a man inside a vehicle in the school parking lot, showed a gun, and demanded his gold chain.")</f>
        <v>A Tulane University police officer was working security at the high school during a playoff basketball game. A 35-year-old male (shooter) had a confrontation with a school employee who denied him entry to the game for not wearing a mask. Police officer intervened in the confrontation and escorted the shooter out of the building. Near the door, the shooter pulled a gun and fatally shot the officer twice in the chest. Shooter then put the gun on the ground and surrendered. Prior to the shooting, the shooter approached a man inside a vehicle in the school parking lot, showed a gun, and demanded his gold chain.</v>
      </c>
      <c r="AA1407" s="8" t="str">
        <f ca="1">IFERROR(__xludf.DUMMYFUNCTION("""COMPUTED_VALUE"""),"Illegal Activity")</f>
        <v>Illegal Activity</v>
      </c>
      <c r="AB1407" s="8"/>
      <c r="AC1407" s="8" t="str">
        <f ca="1">IFERROR(__xludf.DUMMYFUNCTION("""COMPUTED_VALUE"""),"Yes")</f>
        <v>Yes</v>
      </c>
      <c r="AD1407" s="8" t="str">
        <f ca="1">IFERROR(__xludf.DUMMYFUNCTION("""COMPUTED_VALUE"""),"Random Shooting")</f>
        <v>Random Shooting</v>
      </c>
      <c r="AE1407" s="8" t="str">
        <f ca="1">IFERROR(__xludf.DUMMYFUNCTION("""COMPUTED_VALUE"""),"No")</f>
        <v>No</v>
      </c>
      <c r="AF1407" s="8"/>
      <c r="AG1407" s="8" t="str">
        <f ca="1">IFERROR(__xludf.DUMMYFUNCTION("""COMPUTED_VALUE"""),"No")</f>
        <v>No</v>
      </c>
      <c r="AH1407" s="8" t="str">
        <f ca="1">IFERROR(__xludf.DUMMYFUNCTION("""COMPUTED_VALUE"""),"No")</f>
        <v>No</v>
      </c>
      <c r="AI1407" s="8" t="str">
        <f ca="1">IFERROR(__xludf.DUMMYFUNCTION("""COMPUTED_VALUE"""),"No")</f>
        <v>No</v>
      </c>
      <c r="AJ1407" s="8" t="str">
        <f ca="1">IFERROR(__xludf.DUMMYFUNCTION("""COMPUTED_VALUE"""),"No")</f>
        <v>No</v>
      </c>
      <c r="AK1407" s="8" t="str">
        <f ca="1">IFERROR(__xludf.DUMMYFUNCTION("""COMPUTED_VALUE"""),"No")</f>
        <v>No</v>
      </c>
      <c r="AL1407" s="8" t="str">
        <f ca="1">IFERROR(__xludf.DUMMYFUNCTION("""COMPUTED_VALUE"""),"No")</f>
        <v>No</v>
      </c>
      <c r="AM1407" s="8" t="str">
        <f ca="1">IFERROR(__xludf.DUMMYFUNCTION("""COMPUTED_VALUE"""),"No")</f>
        <v>No</v>
      </c>
      <c r="AN1407" s="8"/>
      <c r="AO1407" s="8" t="str">
        <f ca="1">IFERROR(__xludf.DUMMYFUNCTION("""COMPUTED_VALUE"""),"No")</f>
        <v>No</v>
      </c>
      <c r="AP1407" s="8" t="str">
        <f ca="1">IFERROR(__xludf.DUMMYFUNCTION("""COMPUTED_VALUE"""),"Yes")</f>
        <v>Yes</v>
      </c>
      <c r="AQ1407" s="8" t="str">
        <f ca="1">IFERROR(__xludf.DUMMYFUNCTION("""COMPUTED_VALUE"""),"Armed Guards")</f>
        <v>Armed Guards</v>
      </c>
      <c r="AR1407" s="8" t="str">
        <f ca="1">IFERROR(__xludf.DUMMYFUNCTION("""COMPUTED_VALUE"""),"Failed")</f>
        <v>Failed</v>
      </c>
      <c r="AS1407" s="8">
        <f ca="1">IFERROR(__xludf.DUMMYFUNCTION("""COMPUTED_VALUE"""),2)</f>
        <v>2</v>
      </c>
      <c r="AT1407" s="8" t="str">
        <f ca="1">IFERROR(__xludf.DUMMYFUNCTION("""COMPUTED_VALUE"""),"No")</f>
        <v>No</v>
      </c>
      <c r="AU1407" s="8">
        <f ca="1">IFERROR(__xludf.DUMMYFUNCTION("""COMPUTED_VALUE"""),29.994791)</f>
        <v>29.994790999999999</v>
      </c>
      <c r="AV1407" s="8">
        <f ca="1">IFERROR(__xludf.DUMMYFUNCTION("""COMPUTED_VALUE"""),-90.038043)</f>
        <v>-90.038043000000002</v>
      </c>
      <c r="AW1407" s="8"/>
      <c r="AX1407" s="8">
        <f ca="1">IFERROR(__xludf.DUMMYFUNCTION("""COMPUTED_VALUE"""),70126)</f>
        <v>70126</v>
      </c>
    </row>
    <row r="1408" spans="1:50" ht="120" x14ac:dyDescent="0.2">
      <c r="A1408" s="8" t="str">
        <f ca="1">IFERROR(__xludf.DUMMYFUNCTION("""COMPUTED_VALUE"""),"20210224WAGAY")</f>
        <v>20210224WAGAY</v>
      </c>
      <c r="B1408" s="8">
        <f ca="1">IFERROR(__xludf.DUMMYFUNCTION("""COMPUTED_VALUE"""),2)</f>
        <v>2</v>
      </c>
      <c r="C1408" s="8">
        <f ca="1">IFERROR(__xludf.DUMMYFUNCTION("""COMPUTED_VALUE"""),24)</f>
        <v>24</v>
      </c>
      <c r="D1408" s="8">
        <f ca="1">IFERROR(__xludf.DUMMYFUNCTION("""COMPUTED_VALUE"""),2021)</f>
        <v>2021</v>
      </c>
      <c r="E1408" s="9">
        <f ca="1">IFERROR(__xludf.DUMMYFUNCTION("""COMPUTED_VALUE"""),44251)</f>
        <v>44251</v>
      </c>
      <c r="F1408" s="8" t="str">
        <f ca="1">IFERROR(__xludf.DUMMYFUNCTION("""COMPUTED_VALUE"""),"Garfield Elementary School")</f>
        <v>Garfield Elementary School</v>
      </c>
      <c r="G1408" s="8">
        <f ca="1">IFERROR(__xludf.DUMMYFUNCTION("""COMPUTED_VALUE"""),0)</f>
        <v>0</v>
      </c>
      <c r="H1408" s="8">
        <f ca="1">IFERROR(__xludf.DUMMYFUNCTION("""COMPUTED_VALUE"""),1)</f>
        <v>1</v>
      </c>
      <c r="I1408" s="8">
        <f ca="1">IFERROR(__xludf.DUMMYFUNCTION("""COMPUTED_VALUE"""),1)</f>
        <v>1</v>
      </c>
      <c r="J1408" s="8">
        <f ca="1">IFERROR(__xludf.DUMMYFUNCTION("""COMPUTED_VALUE"""),0)</f>
        <v>0</v>
      </c>
      <c r="K1408" s="8" t="str">
        <f ca="1">IFERROR(__xludf.DUMMYFUNCTION("""COMPUTED_VALUE"""),"https://kimatv.com/news/local/suspects-in-police-chase-crash-into-school-bus-in-yakima https://www.yakimaherald.com/yakima-police-say-17-year-old-injured-in-drive-by-shooting-by-garfield-elementary-school/article_aea38423-2080-50fc-93a1-dd9798d7d6c6.html "&amp;"https://komonews.com/news/local/teen-suspects-car-crashes-into-yakima-school-bus-after-shooting-100-mph-police-chase")</f>
        <v>https://kimatv.com/news/local/suspects-in-police-chase-crash-into-school-bus-in-yakima https://www.yakimaherald.com/yakima-police-say-17-year-old-injured-in-drive-by-shooting-by-garfield-elementary-school/article_aea38423-2080-50fc-93a1-dd9798d7d6c6.html https://komonews.com/news/local/teen-suspects-car-crashes-into-yakima-school-bus-after-shooting-100-mph-police-chase</v>
      </c>
      <c r="L1408" s="8">
        <f ca="1">IFERROR(__xludf.DUMMYFUNCTION("""COMPUTED_VALUE"""),4)</f>
        <v>4</v>
      </c>
      <c r="M1408" s="8" t="str">
        <f ca="1">IFERROR(__xludf.DUMMYFUNCTION("""COMPUTED_VALUE"""),"Local")</f>
        <v>Local</v>
      </c>
      <c r="N1408" s="8">
        <f ca="1">IFERROR(__xludf.DUMMYFUNCTION("""COMPUTED_VALUE"""),4)</f>
        <v>4</v>
      </c>
      <c r="O1408" s="8" t="str">
        <f ca="1">IFERROR(__xludf.DUMMYFUNCTION("""COMPUTED_VALUE"""),"Winter")</f>
        <v>Winter</v>
      </c>
      <c r="P1408" s="8" t="str">
        <f ca="1">IFERROR(__xludf.DUMMYFUNCTION("""COMPUTED_VALUE"""),"Yakima")</f>
        <v>Yakima</v>
      </c>
      <c r="Q1408" s="8" t="str">
        <f ca="1">IFERROR(__xludf.DUMMYFUNCTION("""COMPUTED_VALUE"""),"WA")</f>
        <v>WA</v>
      </c>
      <c r="R1408" s="8" t="str">
        <f ca="1">IFERROR(__xludf.DUMMYFUNCTION("""COMPUTED_VALUE"""),"Elementary")</f>
        <v>Elementary</v>
      </c>
      <c r="S1408" s="8" t="str">
        <f ca="1">IFERROR(__xludf.DUMMYFUNCTION("""COMPUTED_VALUE"""),"Parking Lot")</f>
        <v>Parking Lot</v>
      </c>
      <c r="T1408" s="8" t="str">
        <f ca="1">IFERROR(__xludf.DUMMYFUNCTION("""COMPUTED_VALUE"""),"Outside on School Property")</f>
        <v>Outside on School Property</v>
      </c>
      <c r="U1408" s="8" t="str">
        <f ca="1">IFERROR(__xludf.DUMMYFUNCTION("""COMPUTED_VALUE"""),"Yes")</f>
        <v>Yes</v>
      </c>
      <c r="V1408" s="8" t="str">
        <f ca="1">IFERROR(__xludf.DUMMYFUNCTION("""COMPUTED_VALUE"""),"Afternoon Classes")</f>
        <v>Afternoon Classes</v>
      </c>
      <c r="W1408" s="11">
        <f ca="1">IFERROR(__xludf.DUMMYFUNCTION("""COMPUTED_VALUE"""),0.506944444444444)</f>
        <v>0.50694444444444398</v>
      </c>
      <c r="X1408" s="8">
        <f ca="1">IFERROR(__xludf.DUMMYFUNCTION("""COMPUTED_VALUE"""),1)</f>
        <v>1</v>
      </c>
      <c r="Y1408" s="12" t="str">
        <f ca="1">IFERROR(__xludf.DUMMYFUNCTION("""COMPUTED_VALUE"""),"Teen shot in the parking lot of the school, shooter fled and crashed vehicle into school bus")</f>
        <v>Teen shot in the parking lot of the school, shooter fled and crashed vehicle into school bus</v>
      </c>
      <c r="Z1408" s="12" t="str">
        <f ca="1">IFERROR(__xludf.DUMMYFUNCTION("""COMPUTED_VALUE"""),"A 16-year-old male was shot twice during a fight with other teens in the school parking lot. Four teens who were involved, including the shooter, fled the area in a stolen vehicle. 2 hours later, police attempted to stop the stolen vehicle with the four t"&amp;"eens and during a pursuit, the vehicle crashed into a school bus. Teachers and staff were at the school at the time of the shooting while student were in remote learning.")</f>
        <v>A 16-year-old male was shot twice during a fight with other teens in the school parking lot. Four teens who were involved, including the shooter, fled the area in a stolen vehicle. 2 hours later, police attempted to stop the stolen vehicle with the four teens and during a pursuit, the vehicle crashed into a school bus. Teachers and staff were at the school at the time of the shooting while student were in remote learning.</v>
      </c>
      <c r="AA1408" s="8" t="str">
        <f ca="1">IFERROR(__xludf.DUMMYFUNCTION("""COMPUTED_VALUE"""),"Drive-by Shooting")</f>
        <v>Drive-by Shooting</v>
      </c>
      <c r="AB1408" s="8"/>
      <c r="AC1408" s="8" t="str">
        <f ca="1">IFERROR(__xludf.DUMMYFUNCTION("""COMPUTED_VALUE"""),"Yes")</f>
        <v>Yes</v>
      </c>
      <c r="AD1408" s="8" t="str">
        <f ca="1">IFERROR(__xludf.DUMMYFUNCTION("""COMPUTED_VALUE"""),"Victims Targeted")</f>
        <v>Victims Targeted</v>
      </c>
      <c r="AE1408" s="8" t="str">
        <f ca="1">IFERROR(__xludf.DUMMYFUNCTION("""COMPUTED_VALUE"""),"Yes")</f>
        <v>Yes</v>
      </c>
      <c r="AF1408" s="8" t="str">
        <f ca="1">IFERROR(__xludf.DUMMYFUNCTION("""COMPUTED_VALUE"""),"Four teens fled in vehicle")</f>
        <v>Four teens fled in vehicle</v>
      </c>
      <c r="AG1408" s="8" t="str">
        <f ca="1">IFERROR(__xludf.DUMMYFUNCTION("""COMPUTED_VALUE"""),"No")</f>
        <v>No</v>
      </c>
      <c r="AH1408" s="8" t="str">
        <f ca="1">IFERROR(__xludf.DUMMYFUNCTION("""COMPUTED_VALUE"""),"No")</f>
        <v>No</v>
      </c>
      <c r="AI1408" s="8" t="str">
        <f ca="1">IFERROR(__xludf.DUMMYFUNCTION("""COMPUTED_VALUE"""),"No")</f>
        <v>No</v>
      </c>
      <c r="AJ1408" s="8" t="str">
        <f ca="1">IFERROR(__xludf.DUMMYFUNCTION("""COMPUTED_VALUE"""),"No")</f>
        <v>No</v>
      </c>
      <c r="AK1408" s="8" t="str">
        <f ca="1">IFERROR(__xludf.DUMMYFUNCTION("""COMPUTED_VALUE"""),"No")</f>
        <v>No</v>
      </c>
      <c r="AL1408" s="8" t="str">
        <f ca="1">IFERROR(__xludf.DUMMYFUNCTION("""COMPUTED_VALUE"""),"Yes")</f>
        <v>Yes</v>
      </c>
      <c r="AM1408" s="8" t="str">
        <f ca="1">IFERROR(__xludf.DUMMYFUNCTION("""COMPUTED_VALUE"""),"No")</f>
        <v>No</v>
      </c>
      <c r="AN1408" s="8"/>
      <c r="AO1408" s="8" t="str">
        <f ca="1">IFERROR(__xludf.DUMMYFUNCTION("""COMPUTED_VALUE"""),"No")</f>
        <v>No</v>
      </c>
      <c r="AP1408" s="8"/>
      <c r="AQ1408" s="8"/>
      <c r="AR1408" s="8" t="str">
        <f ca="1">IFERROR(__xludf.DUMMYFUNCTION("""COMPUTED_VALUE"""),"Outside/Off-Property")</f>
        <v>Outside/Off-Property</v>
      </c>
      <c r="AS1408" s="8">
        <f ca="1">IFERROR(__xludf.DUMMYFUNCTION("""COMPUTED_VALUE"""),2)</f>
        <v>2</v>
      </c>
      <c r="AT1408" s="8"/>
      <c r="AU1408" s="8">
        <f ca="1">IFERROR(__xludf.DUMMYFUNCTION("""COMPUTED_VALUE"""),46.60834)</f>
        <v>46.608339999999998</v>
      </c>
      <c r="AV1408" s="8">
        <f ca="1">IFERROR(__xludf.DUMMYFUNCTION("""COMPUTED_VALUE"""),-120.522212)</f>
        <v>-120.522212</v>
      </c>
      <c r="AW1408" s="8"/>
      <c r="AX1408" s="8">
        <f ca="1">IFERROR(__xludf.DUMMYFUNCTION("""COMPUTED_VALUE"""),98902)</f>
        <v>98902</v>
      </c>
    </row>
    <row r="1409" spans="1:50" ht="60" x14ac:dyDescent="0.2">
      <c r="A1409" s="8" t="str">
        <f ca="1">IFERROR(__xludf.DUMMYFUNCTION("""COMPUTED_VALUE"""),"20210222CAHOV")</f>
        <v>20210222CAHOV</v>
      </c>
      <c r="B1409" s="8">
        <f ca="1">IFERROR(__xludf.DUMMYFUNCTION("""COMPUTED_VALUE"""),2)</f>
        <v>2</v>
      </c>
      <c r="C1409" s="8">
        <f ca="1">IFERROR(__xludf.DUMMYFUNCTION("""COMPUTED_VALUE"""),22)</f>
        <v>22</v>
      </c>
      <c r="D1409" s="8">
        <f ca="1">IFERROR(__xludf.DUMMYFUNCTION("""COMPUTED_VALUE"""),2021)</f>
        <v>2021</v>
      </c>
      <c r="E1409" s="9">
        <f ca="1">IFERROR(__xludf.DUMMYFUNCTION("""COMPUTED_VALUE"""),44249)</f>
        <v>44249</v>
      </c>
      <c r="F1409" s="8" t="str">
        <f ca="1">IFERROR(__xludf.DUMMYFUNCTION("""COMPUTED_VALUE"""),"Houston Elementary School")</f>
        <v>Houston Elementary School</v>
      </c>
      <c r="G1409" s="8">
        <f ca="1">IFERROR(__xludf.DUMMYFUNCTION("""COMPUTED_VALUE"""),0)</f>
        <v>0</v>
      </c>
      <c r="H1409" s="8">
        <f ca="1">IFERROR(__xludf.DUMMYFUNCTION("""COMPUTED_VALUE"""),1)</f>
        <v>1</v>
      </c>
      <c r="I1409" s="8">
        <f ca="1">IFERROR(__xludf.DUMMYFUNCTION("""COMPUTED_VALUE"""),1)</f>
        <v>1</v>
      </c>
      <c r="J1409" s="8">
        <f ca="1">IFERROR(__xludf.DUMMYFUNCTION("""COMPUTED_VALUE"""),0)</f>
        <v>0</v>
      </c>
      <c r="K1409" s="10" t="str">
        <f ca="1">IFERROR(__xludf.DUMMYFUNCTION("""COMPUTED_VALUE"""),"https://abc30.com/visalia-shooting-houston-elementary-school-police-man-shot/10361223/")</f>
        <v>https://abc30.com/visalia-shooting-houston-elementary-school-police-man-shot/10361223/</v>
      </c>
      <c r="L1409" s="8">
        <f ca="1">IFERROR(__xludf.DUMMYFUNCTION("""COMPUTED_VALUE"""),1)</f>
        <v>1</v>
      </c>
      <c r="M1409" s="8" t="str">
        <f ca="1">IFERROR(__xludf.DUMMYFUNCTION("""COMPUTED_VALUE"""),"Local")</f>
        <v>Local</v>
      </c>
      <c r="N1409" s="8">
        <f ca="1">IFERROR(__xludf.DUMMYFUNCTION("""COMPUTED_VALUE"""),3)</f>
        <v>3</v>
      </c>
      <c r="O1409" s="8" t="str">
        <f ca="1">IFERROR(__xludf.DUMMYFUNCTION("""COMPUTED_VALUE"""),"Winter")</f>
        <v>Winter</v>
      </c>
      <c r="P1409" s="8" t="str">
        <f ca="1">IFERROR(__xludf.DUMMYFUNCTION("""COMPUTED_VALUE"""),"Visalia")</f>
        <v>Visalia</v>
      </c>
      <c r="Q1409" s="8" t="str">
        <f ca="1">IFERROR(__xludf.DUMMYFUNCTION("""COMPUTED_VALUE"""),"CA")</f>
        <v>CA</v>
      </c>
      <c r="R1409" s="8" t="str">
        <f ca="1">IFERROR(__xludf.DUMMYFUNCTION("""COMPUTED_VALUE"""),"Elementary")</f>
        <v>Elementary</v>
      </c>
      <c r="S1409" s="8" t="str">
        <f ca="1">IFERROR(__xludf.DUMMYFUNCTION("""COMPUTED_VALUE"""),"Front of School")</f>
        <v>Front of School</v>
      </c>
      <c r="T1409" s="8" t="str">
        <f ca="1">IFERROR(__xludf.DUMMYFUNCTION("""COMPUTED_VALUE"""),"Outside on School Property")</f>
        <v>Outside on School Property</v>
      </c>
      <c r="U1409" s="8" t="str">
        <f ca="1">IFERROR(__xludf.DUMMYFUNCTION("""COMPUTED_VALUE"""),"No")</f>
        <v>No</v>
      </c>
      <c r="V1409" s="8" t="str">
        <f ca="1">IFERROR(__xludf.DUMMYFUNCTION("""COMPUTED_VALUE"""),"Night")</f>
        <v>Night</v>
      </c>
      <c r="W1409" s="11">
        <f ca="1">IFERROR(__xludf.DUMMYFUNCTION("""COMPUTED_VALUE"""),0.166666666666666)</f>
        <v>0.16666666666666599</v>
      </c>
      <c r="X1409" s="8">
        <f ca="1">IFERROR(__xludf.DUMMYFUNCTION("""COMPUTED_VALUE"""),1)</f>
        <v>1</v>
      </c>
      <c r="Y1409" s="12" t="str">
        <f ca="1">IFERROR(__xludf.DUMMYFUNCTION("""COMPUTED_VALUE"""),"Man shot in front of the school")</f>
        <v>Man shot in front of the school</v>
      </c>
      <c r="Z1409" s="12" t="str">
        <f ca="1">IFERROR(__xludf.DUMMYFUNCTION("""COMPUTED_VALUE"""),"An adult male was shot in the stomach while standing in front of the school. Shooter fled the scene. School was closed at the time of the shooting. The motive and identity of the shooter are unknown.")</f>
        <v>An adult male was shot in the stomach while standing in front of the school. Shooter fled the scene. School was closed at the time of the shooting. The motive and identity of the shooter are unknown.</v>
      </c>
      <c r="AA1409" s="8"/>
      <c r="AB1409" s="8"/>
      <c r="AC1409" s="8" t="str">
        <f ca="1">IFERROR(__xludf.DUMMYFUNCTION("""COMPUTED_VALUE"""),"No")</f>
        <v>No</v>
      </c>
      <c r="AD1409" s="8"/>
      <c r="AE1409" s="8"/>
      <c r="AF1409" s="8"/>
      <c r="AG1409" s="8" t="str">
        <f ca="1">IFERROR(__xludf.DUMMYFUNCTION("""COMPUTED_VALUE"""),"No")</f>
        <v>No</v>
      </c>
      <c r="AH1409" s="8" t="str">
        <f ca="1">IFERROR(__xludf.DUMMYFUNCTION("""COMPUTED_VALUE"""),"No")</f>
        <v>No</v>
      </c>
      <c r="AI1409" s="8" t="str">
        <f ca="1">IFERROR(__xludf.DUMMYFUNCTION("""COMPUTED_VALUE"""),"No")</f>
        <v>No</v>
      </c>
      <c r="AJ1409" s="8" t="str">
        <f ca="1">IFERROR(__xludf.DUMMYFUNCTION("""COMPUTED_VALUE"""),"No")</f>
        <v>No</v>
      </c>
      <c r="AK1409" s="8"/>
      <c r="AL1409" s="8"/>
      <c r="AM1409" s="8" t="str">
        <f ca="1">IFERROR(__xludf.DUMMYFUNCTION("""COMPUTED_VALUE"""),"No")</f>
        <v>No</v>
      </c>
      <c r="AN1409" s="8"/>
      <c r="AO1409" s="8" t="str">
        <f ca="1">IFERROR(__xludf.DUMMYFUNCTION("""COMPUTED_VALUE"""),"No")</f>
        <v>No</v>
      </c>
      <c r="AP1409" s="8"/>
      <c r="AQ1409" s="8"/>
      <c r="AR1409" s="8" t="str">
        <f ca="1">IFERROR(__xludf.DUMMYFUNCTION("""COMPUTED_VALUE"""),"Outside/Off-Property")</f>
        <v>Outside/Off-Property</v>
      </c>
      <c r="AS1409" s="8"/>
      <c r="AT1409" s="8"/>
      <c r="AU1409" s="8">
        <f ca="1">IFERROR(__xludf.DUMMYFUNCTION("""COMPUTED_VALUE"""),36.341765)</f>
        <v>36.341765000000002</v>
      </c>
      <c r="AV1409" s="8">
        <f ca="1">IFERROR(__xludf.DUMMYFUNCTION("""COMPUTED_VALUE"""),-119.304182)</f>
        <v>-119.304182</v>
      </c>
      <c r="AW1409" s="8"/>
      <c r="AX1409" s="8">
        <f ca="1">IFERROR(__xludf.DUMMYFUNCTION("""COMPUTED_VALUE"""),93291)</f>
        <v>93291</v>
      </c>
    </row>
    <row r="1410" spans="1:50" ht="75" x14ac:dyDescent="0.2">
      <c r="A1410" s="8" t="str">
        <f ca="1">IFERROR(__xludf.DUMMYFUNCTION("""COMPUTED_VALUE"""),"20210219ILLIR")</f>
        <v>20210219ILLIR</v>
      </c>
      <c r="B1410" s="8">
        <f ca="1">IFERROR(__xludf.DUMMYFUNCTION("""COMPUTED_VALUE"""),2)</f>
        <v>2</v>
      </c>
      <c r="C1410" s="8">
        <f ca="1">IFERROR(__xludf.DUMMYFUNCTION("""COMPUTED_VALUE"""),19)</f>
        <v>19</v>
      </c>
      <c r="D1410" s="8">
        <f ca="1">IFERROR(__xludf.DUMMYFUNCTION("""COMPUTED_VALUE"""),2021)</f>
        <v>2021</v>
      </c>
      <c r="E1410" s="9">
        <f ca="1">IFERROR(__xludf.DUMMYFUNCTION("""COMPUTED_VALUE"""),44246)</f>
        <v>44246</v>
      </c>
      <c r="F1410" s="8" t="str">
        <f ca="1">IFERROR(__xludf.DUMMYFUNCTION("""COMPUTED_VALUE"""),"Lincoln Middle School")</f>
        <v>Lincoln Middle School</v>
      </c>
      <c r="G1410" s="8">
        <f ca="1">IFERROR(__xludf.DUMMYFUNCTION("""COMPUTED_VALUE"""),1)</f>
        <v>1</v>
      </c>
      <c r="H1410" s="8">
        <f ca="1">IFERROR(__xludf.DUMMYFUNCTION("""COMPUTED_VALUE"""),0)</f>
        <v>0</v>
      </c>
      <c r="I1410" s="8">
        <f ca="1">IFERROR(__xludf.DUMMYFUNCTION("""COMPUTED_VALUE"""),1)</f>
        <v>1</v>
      </c>
      <c r="J1410" s="8">
        <f ca="1">IFERROR(__xludf.DUMMYFUNCTION("""COMPUTED_VALUE"""),0)</f>
        <v>0</v>
      </c>
      <c r="K1410" s="8" t="str">
        <f ca="1">IFERROR(__xludf.DUMMYFUNCTION("""COMPUTED_VALUE"""),"https://www.mystateline.com/news/local-news/rockford-police-investigate-shooting-near-lincoln-middle-school/ https://www.wifr.com/2021/02/19/shooting-investigation-near-lincoln-middle-school/ https://wrex.com/2021/02/19/rockford-police-investigate-shootin"&amp;"g-near-lincoln-middle-school/")</f>
        <v>https://www.mystateline.com/news/local-news/rockford-police-investigate-shooting-near-lincoln-middle-school/ https://www.wifr.com/2021/02/19/shooting-investigation-near-lincoln-middle-school/ https://wrex.com/2021/02/19/rockford-police-investigate-shooting-near-lincoln-middle-school/</v>
      </c>
      <c r="L1410" s="8">
        <f ca="1">IFERROR(__xludf.DUMMYFUNCTION("""COMPUTED_VALUE"""),3)</f>
        <v>3</v>
      </c>
      <c r="M1410" s="8" t="str">
        <f ca="1">IFERROR(__xludf.DUMMYFUNCTION("""COMPUTED_VALUE"""),"Local")</f>
        <v>Local</v>
      </c>
      <c r="N1410" s="8">
        <f ca="1">IFERROR(__xludf.DUMMYFUNCTION("""COMPUTED_VALUE"""),4)</f>
        <v>4</v>
      </c>
      <c r="O1410" s="8" t="str">
        <f ca="1">IFERROR(__xludf.DUMMYFUNCTION("""COMPUTED_VALUE"""),"Winter")</f>
        <v>Winter</v>
      </c>
      <c r="P1410" s="8" t="str">
        <f ca="1">IFERROR(__xludf.DUMMYFUNCTION("""COMPUTED_VALUE"""),"Rockford")</f>
        <v>Rockford</v>
      </c>
      <c r="Q1410" s="8" t="str">
        <f ca="1">IFERROR(__xludf.DUMMYFUNCTION("""COMPUTED_VALUE"""),"IL")</f>
        <v>IL</v>
      </c>
      <c r="R1410" s="8" t="str">
        <f ca="1">IFERROR(__xludf.DUMMYFUNCTION("""COMPUTED_VALUE"""),"Middle")</f>
        <v>Middle</v>
      </c>
      <c r="S1410" s="8" t="str">
        <f ca="1">IFERROR(__xludf.DUMMYFUNCTION("""COMPUTED_VALUE"""),"Front of School")</f>
        <v>Front of School</v>
      </c>
      <c r="T1410" s="8" t="str">
        <f ca="1">IFERROR(__xludf.DUMMYFUNCTION("""COMPUTED_VALUE"""),"Outside on School Property")</f>
        <v>Outside on School Property</v>
      </c>
      <c r="U1410" s="8" t="str">
        <f ca="1">IFERROR(__xludf.DUMMYFUNCTION("""COMPUTED_VALUE"""),"Yes")</f>
        <v>Yes</v>
      </c>
      <c r="V1410" s="8" t="str">
        <f ca="1">IFERROR(__xludf.DUMMYFUNCTION("""COMPUTED_VALUE"""),"Afternoon Classes")</f>
        <v>Afternoon Classes</v>
      </c>
      <c r="W1410" s="11">
        <f ca="1">IFERROR(__xludf.DUMMYFUNCTION("""COMPUTED_VALUE"""),0.534722222222222)</f>
        <v>0.53472222222222199</v>
      </c>
      <c r="X1410" s="8">
        <f ca="1">IFERROR(__xludf.DUMMYFUNCTION("""COMPUTED_VALUE"""),1)</f>
        <v>1</v>
      </c>
      <c r="Y1410" s="12" t="str">
        <f ca="1">IFERROR(__xludf.DUMMYFUNCTION("""COMPUTED_VALUE"""),"Man who was fatally shot found inside vehicle on the front yard of the school")</f>
        <v>Man who was fatally shot found inside vehicle on the front yard of the school</v>
      </c>
      <c r="Z1410" s="12" t="str">
        <f ca="1">IFERROR(__xludf.DUMMYFUNCTION("""COMPUTED_VALUE"""),"While class was in session, a vehicle drove onto the front yard of the school and stopped in front of the building. The adult male driver had been shot multiple times and died at the hospital (next door to the school). School was locked down. No motive or"&amp;" shooter identified.")</f>
        <v>While class was in session, a vehicle drove onto the front yard of the school and stopped in front of the building. The adult male driver had been shot multiple times and died at the hospital (next door to the school). School was locked down. No motive or shooter identified.</v>
      </c>
      <c r="AA1410" s="8"/>
      <c r="AB1410" s="8"/>
      <c r="AC1410" s="8" t="str">
        <f ca="1">IFERROR(__xludf.DUMMYFUNCTION("""COMPUTED_VALUE"""),"Yes")</f>
        <v>Yes</v>
      </c>
      <c r="AD1410" s="8" t="str">
        <f ca="1">IFERROR(__xludf.DUMMYFUNCTION("""COMPUTED_VALUE"""),"Victims Targeted")</f>
        <v>Victims Targeted</v>
      </c>
      <c r="AE1410" s="8"/>
      <c r="AF1410" s="8"/>
      <c r="AG1410" s="8" t="str">
        <f ca="1">IFERROR(__xludf.DUMMYFUNCTION("""COMPUTED_VALUE"""),"No")</f>
        <v>No</v>
      </c>
      <c r="AH1410" s="8" t="str">
        <f ca="1">IFERROR(__xludf.DUMMYFUNCTION("""COMPUTED_VALUE"""),"No")</f>
        <v>No</v>
      </c>
      <c r="AI1410" s="8"/>
      <c r="AJ1410" s="8" t="str">
        <f ca="1">IFERROR(__xludf.DUMMYFUNCTION("""COMPUTED_VALUE"""),"No")</f>
        <v>No</v>
      </c>
      <c r="AK1410" s="8"/>
      <c r="AL1410" s="8"/>
      <c r="AM1410" s="8" t="str">
        <f ca="1">IFERROR(__xludf.DUMMYFUNCTION("""COMPUTED_VALUE"""),"No")</f>
        <v>No</v>
      </c>
      <c r="AN1410" s="8"/>
      <c r="AO1410" s="8" t="str">
        <f ca="1">IFERROR(__xludf.DUMMYFUNCTION("""COMPUTED_VALUE"""),"No")</f>
        <v>No</v>
      </c>
      <c r="AP1410" s="8"/>
      <c r="AQ1410" s="8"/>
      <c r="AR1410" s="8"/>
      <c r="AS1410" s="8"/>
      <c r="AT1410" s="8" t="str">
        <f ca="1">IFERROR(__xludf.DUMMYFUNCTION("""COMPUTED_VALUE"""),"Yes")</f>
        <v>Yes</v>
      </c>
      <c r="AU1410" s="8">
        <f ca="1">IFERROR(__xludf.DUMMYFUNCTION("""COMPUTED_VALUE"""),42.264253)</f>
        <v>42.264252999999997</v>
      </c>
      <c r="AV1410" s="8">
        <f ca="1">IFERROR(__xludf.DUMMYFUNCTION("""COMPUTED_VALUE"""),-89.071011)</f>
        <v>-89.071010999999999</v>
      </c>
      <c r="AW1410" s="8"/>
      <c r="AX1410" s="8">
        <f ca="1">IFERROR(__xludf.DUMMYFUNCTION("""COMPUTED_VALUE"""),61104)</f>
        <v>61104</v>
      </c>
    </row>
    <row r="1411" spans="1:50" ht="60" x14ac:dyDescent="0.2">
      <c r="A1411" s="8" t="str">
        <f ca="1">IFERROR(__xludf.DUMMYFUNCTION("""COMPUTED_VALUE"""),"20210217TNKNK")</f>
        <v>20210217TNKNK</v>
      </c>
      <c r="B1411" s="8">
        <f ca="1">IFERROR(__xludf.DUMMYFUNCTION("""COMPUTED_VALUE"""),2)</f>
        <v>2</v>
      </c>
      <c r="C1411" s="8">
        <f ca="1">IFERROR(__xludf.DUMMYFUNCTION("""COMPUTED_VALUE"""),17)</f>
        <v>17</v>
      </c>
      <c r="D1411" s="8">
        <f ca="1">IFERROR(__xludf.DUMMYFUNCTION("""COMPUTED_VALUE"""),2021)</f>
        <v>2021</v>
      </c>
      <c r="E1411" s="9">
        <f ca="1">IFERROR(__xludf.DUMMYFUNCTION("""COMPUTED_VALUE"""),44244)</f>
        <v>44244</v>
      </c>
      <c r="F1411" s="8" t="str">
        <f ca="1">IFERROR(__xludf.DUMMYFUNCTION("""COMPUTED_VALUE"""),"Christenberry Elementary School")</f>
        <v>Christenberry Elementary School</v>
      </c>
      <c r="G1411" s="8">
        <f ca="1">IFERROR(__xludf.DUMMYFUNCTION("""COMPUTED_VALUE"""),0)</f>
        <v>0</v>
      </c>
      <c r="H1411" s="8">
        <f ca="1">IFERROR(__xludf.DUMMYFUNCTION("""COMPUTED_VALUE"""),0)</f>
        <v>0</v>
      </c>
      <c r="I1411" s="8">
        <f ca="1">IFERROR(__xludf.DUMMYFUNCTION("""COMPUTED_VALUE"""),0)</f>
        <v>0</v>
      </c>
      <c r="J1411" s="8">
        <f ca="1">IFERROR(__xludf.DUMMYFUNCTION("""COMPUTED_VALUE"""),0)</f>
        <v>0</v>
      </c>
      <c r="K1411" s="10" t="str">
        <f ca="1">IFERROR(__xludf.DUMMYFUNCTION("""COMPUTED_VALUE"""),"https://www.wate.com/news/local-news/dispatch-knoxville-police-respond-to-reported-shooting-in-north-knoxville/")</f>
        <v>https://www.wate.com/news/local-news/dispatch-knoxville-police-respond-to-reported-shooting-in-north-knoxville/</v>
      </c>
      <c r="L1411" s="8">
        <f ca="1">IFERROR(__xludf.DUMMYFUNCTION("""COMPUTED_VALUE"""),1)</f>
        <v>1</v>
      </c>
      <c r="M1411" s="8" t="str">
        <f ca="1">IFERROR(__xludf.DUMMYFUNCTION("""COMPUTED_VALUE"""),"Local")</f>
        <v>Local</v>
      </c>
      <c r="N1411" s="8">
        <f ca="1">IFERROR(__xludf.DUMMYFUNCTION("""COMPUTED_VALUE"""),3)</f>
        <v>3</v>
      </c>
      <c r="O1411" s="8" t="str">
        <f ca="1">IFERROR(__xludf.DUMMYFUNCTION("""COMPUTED_VALUE"""),"Winter")</f>
        <v>Winter</v>
      </c>
      <c r="P1411" s="8" t="str">
        <f ca="1">IFERROR(__xludf.DUMMYFUNCTION("""COMPUTED_VALUE"""),"Knoxville")</f>
        <v>Knoxville</v>
      </c>
      <c r="Q1411" s="8" t="str">
        <f ca="1">IFERROR(__xludf.DUMMYFUNCTION("""COMPUTED_VALUE"""),"TN")</f>
        <v>TN</v>
      </c>
      <c r="R1411" s="8" t="str">
        <f ca="1">IFERROR(__xludf.DUMMYFUNCTION("""COMPUTED_VALUE"""),"Elementary")</f>
        <v>Elementary</v>
      </c>
      <c r="S1411" s="8" t="str">
        <f ca="1">IFERROR(__xludf.DUMMYFUNCTION("""COMPUTED_VALUE"""),"School Bus")</f>
        <v>School Bus</v>
      </c>
      <c r="T1411" s="8" t="str">
        <f ca="1">IFERROR(__xludf.DUMMYFUNCTION("""COMPUTED_VALUE"""),"School Bus")</f>
        <v>School Bus</v>
      </c>
      <c r="U1411" s="8" t="str">
        <f ca="1">IFERROR(__xludf.DUMMYFUNCTION("""COMPUTED_VALUE"""),"Yes")</f>
        <v>Yes</v>
      </c>
      <c r="V1411" s="8" t="str">
        <f ca="1">IFERROR(__xludf.DUMMYFUNCTION("""COMPUTED_VALUE"""),"Dismissal")</f>
        <v>Dismissal</v>
      </c>
      <c r="W1411" s="11">
        <f ca="1">IFERROR(__xludf.DUMMYFUNCTION("""COMPUTED_VALUE"""),0.614583333333333)</f>
        <v>0.61458333333333304</v>
      </c>
      <c r="X1411" s="8">
        <f ca="1">IFERROR(__xludf.DUMMYFUNCTION("""COMPUTED_VALUE"""),1)</f>
        <v>1</v>
      </c>
      <c r="Y1411" s="12" t="str">
        <f ca="1">IFERROR(__xludf.DUMMYFUNCTION("""COMPUTED_VALUE"""),"School bus struck by bullet")</f>
        <v>School bus struck by bullet</v>
      </c>
      <c r="Z1411" s="12" t="str">
        <f ca="1">IFERROR(__xludf.DUMMYFUNCTION("""COMPUTED_VALUE"""),"A 30-year-old male fired multiple shot at a woman in a vehicle. She was critically injured and the vehicle crashed into a building. One of the shots struck a school bus with two staff members and one student on board.")</f>
        <v>A 30-year-old male fired multiple shot at a woman in a vehicle. She was critically injured and the vehicle crashed into a building. One of the shots struck a school bus with two staff members and one student on board.</v>
      </c>
      <c r="AA1411" s="8"/>
      <c r="AB1411" s="8"/>
      <c r="AC1411" s="8" t="str">
        <f ca="1">IFERROR(__xludf.DUMMYFUNCTION("""COMPUTED_VALUE"""),"Yes")</f>
        <v>Yes</v>
      </c>
      <c r="AD1411" s="8"/>
      <c r="AE1411" s="8" t="str">
        <f ca="1">IFERROR(__xludf.DUMMYFUNCTION("""COMPUTED_VALUE"""),"No")</f>
        <v>No</v>
      </c>
      <c r="AF1411" s="8"/>
      <c r="AG1411" s="8" t="str">
        <f ca="1">IFERROR(__xludf.DUMMYFUNCTION("""COMPUTED_VALUE"""),"No")</f>
        <v>No</v>
      </c>
      <c r="AH1411" s="8" t="str">
        <f ca="1">IFERROR(__xludf.DUMMYFUNCTION("""COMPUTED_VALUE"""),"No")</f>
        <v>No</v>
      </c>
      <c r="AI1411" s="8" t="str">
        <f ca="1">IFERROR(__xludf.DUMMYFUNCTION("""COMPUTED_VALUE"""),"No")</f>
        <v>No</v>
      </c>
      <c r="AJ1411" s="8" t="str">
        <f ca="1">IFERROR(__xludf.DUMMYFUNCTION("""COMPUTED_VALUE"""),"No")</f>
        <v>No</v>
      </c>
      <c r="AK1411" s="8"/>
      <c r="AL1411" s="8"/>
      <c r="AM1411" s="8" t="str">
        <f ca="1">IFERROR(__xludf.DUMMYFUNCTION("""COMPUTED_VALUE"""),"No")</f>
        <v>No</v>
      </c>
      <c r="AN1411" s="8"/>
      <c r="AO1411" s="8" t="str">
        <f ca="1">IFERROR(__xludf.DUMMYFUNCTION("""COMPUTED_VALUE"""),"No")</f>
        <v>No</v>
      </c>
      <c r="AP1411" s="8"/>
      <c r="AQ1411" s="8"/>
      <c r="AR1411" s="8" t="str">
        <f ca="1">IFERROR(__xludf.DUMMYFUNCTION("""COMPUTED_VALUE"""),"Outside/Off-Property")</f>
        <v>Outside/Off-Property</v>
      </c>
      <c r="AS1411" s="8"/>
      <c r="AT1411" s="8"/>
      <c r="AU1411" s="8">
        <f ca="1">IFERROR(__xludf.DUMMYFUNCTION("""COMPUTED_VALUE"""),35.993869)</f>
        <v>35.993868999999997</v>
      </c>
      <c r="AV1411" s="8">
        <f ca="1">IFERROR(__xludf.DUMMYFUNCTION("""COMPUTED_VALUE"""),-83.948391)</f>
        <v>-83.948391000000001</v>
      </c>
      <c r="AW1411" s="8"/>
      <c r="AX1411" s="8">
        <f ca="1">IFERROR(__xludf.DUMMYFUNCTION("""COMPUTED_VALUE"""),37917)</f>
        <v>37917</v>
      </c>
    </row>
    <row r="1412" spans="1:50" ht="90" x14ac:dyDescent="0.2">
      <c r="A1412" s="8" t="str">
        <f ca="1">IFERROR(__xludf.DUMMYFUNCTION("""COMPUTED_VALUE"""),"20210216NCTHS")</f>
        <v>20210216NCTHS</v>
      </c>
      <c r="B1412" s="8">
        <f ca="1">IFERROR(__xludf.DUMMYFUNCTION("""COMPUTED_VALUE"""),2)</f>
        <v>2</v>
      </c>
      <c r="C1412" s="8">
        <f ca="1">IFERROR(__xludf.DUMMYFUNCTION("""COMPUTED_VALUE"""),16)</f>
        <v>16</v>
      </c>
      <c r="D1412" s="8">
        <f ca="1">IFERROR(__xludf.DUMMYFUNCTION("""COMPUTED_VALUE"""),2021)</f>
        <v>2021</v>
      </c>
      <c r="E1412" s="9">
        <f ca="1">IFERROR(__xludf.DUMMYFUNCTION("""COMPUTED_VALUE"""),44243)</f>
        <v>44243</v>
      </c>
      <c r="F1412" s="8" t="str">
        <f ca="1">IFERROR(__xludf.DUMMYFUNCTION("""COMPUTED_VALUE"""),"Third Creek Elementary School")</f>
        <v>Third Creek Elementary School</v>
      </c>
      <c r="G1412" s="8">
        <f ca="1">IFERROR(__xludf.DUMMYFUNCTION("""COMPUTED_VALUE"""),0)</f>
        <v>0</v>
      </c>
      <c r="H1412" s="8">
        <f ca="1">IFERROR(__xludf.DUMMYFUNCTION("""COMPUTED_VALUE"""),0)</f>
        <v>0</v>
      </c>
      <c r="I1412" s="8">
        <f ca="1">IFERROR(__xludf.DUMMYFUNCTION("""COMPUTED_VALUE"""),0)</f>
        <v>0</v>
      </c>
      <c r="J1412" s="8">
        <f ca="1">IFERROR(__xludf.DUMMYFUNCTION("""COMPUTED_VALUE"""),0)</f>
        <v>0</v>
      </c>
      <c r="K1412" s="8" t="str">
        <f ca="1">IFERROR(__xludf.DUMMYFUNCTION("""COMPUTED_VALUE"""),"https://www.wsicweb.com/wsicnews/icso-incident-on-iss-school-bus-today/ https://statesville.com/news/local/sheriff-girl-shot-with-pellet-gun-on-school-bus-two-boys-to-be-charged/article_1768a500-7096-11eb-9ee0-fb706446405e.html https://patch.com/north-car"&amp;"olina/mooresville/two-face-charges-after-student-shot-pellet-gun-bus https://www.wbtv.com/2021/02/16/two-children-charged-after-elementary-school-student-shot-by-pellet-gun-school-bus/")</f>
        <v>https://www.wsicweb.com/wsicnews/icso-incident-on-iss-school-bus-today/ https://statesville.com/news/local/sheriff-girl-shot-with-pellet-gun-on-school-bus-two-boys-to-be-charged/article_1768a500-7096-11eb-9ee0-fb706446405e.html https://patch.com/north-carolina/mooresville/two-face-charges-after-student-shot-pellet-gun-bus https://www.wbtv.com/2021/02/16/two-children-charged-after-elementary-school-student-shot-by-pellet-gun-school-bus/</v>
      </c>
      <c r="L1412" s="8">
        <f ca="1">IFERROR(__xludf.DUMMYFUNCTION("""COMPUTED_VALUE"""),4)</f>
        <v>4</v>
      </c>
      <c r="M1412" s="8" t="str">
        <f ca="1">IFERROR(__xludf.DUMMYFUNCTION("""COMPUTED_VALUE"""),"Local")</f>
        <v>Local</v>
      </c>
      <c r="N1412" s="8">
        <f ca="1">IFERROR(__xludf.DUMMYFUNCTION("""COMPUTED_VALUE"""),4)</f>
        <v>4</v>
      </c>
      <c r="O1412" s="8" t="str">
        <f ca="1">IFERROR(__xludf.DUMMYFUNCTION("""COMPUTED_VALUE"""),"Winter")</f>
        <v>Winter</v>
      </c>
      <c r="P1412" s="8" t="str">
        <f ca="1">IFERROR(__xludf.DUMMYFUNCTION("""COMPUTED_VALUE"""),"Statesville")</f>
        <v>Statesville</v>
      </c>
      <c r="Q1412" s="8" t="str">
        <f ca="1">IFERROR(__xludf.DUMMYFUNCTION("""COMPUTED_VALUE"""),"NC")</f>
        <v>NC</v>
      </c>
      <c r="R1412" s="8" t="str">
        <f ca="1">IFERROR(__xludf.DUMMYFUNCTION("""COMPUTED_VALUE"""),"Elementary")</f>
        <v>Elementary</v>
      </c>
      <c r="S1412" s="8" t="str">
        <f ca="1">IFERROR(__xludf.DUMMYFUNCTION("""COMPUTED_VALUE"""),"School Bus")</f>
        <v>School Bus</v>
      </c>
      <c r="T1412" s="8" t="str">
        <f ca="1">IFERROR(__xludf.DUMMYFUNCTION("""COMPUTED_VALUE"""),"School Bus")</f>
        <v>School Bus</v>
      </c>
      <c r="U1412" s="8" t="str">
        <f ca="1">IFERROR(__xludf.DUMMYFUNCTION("""COMPUTED_VALUE"""),"Yes")</f>
        <v>Yes</v>
      </c>
      <c r="V1412" s="8" t="str">
        <f ca="1">IFERROR(__xludf.DUMMYFUNCTION("""COMPUTED_VALUE"""),"School Start")</f>
        <v>School Start</v>
      </c>
      <c r="W1412" s="11">
        <f ca="1">IFERROR(__xludf.DUMMYFUNCTION("""COMPUTED_VALUE"""),0.333333333333333)</f>
        <v>0.33333333333333298</v>
      </c>
      <c r="X1412" s="8">
        <f ca="1">IFERROR(__xludf.DUMMYFUNCTION("""COMPUTED_VALUE"""),1)</f>
        <v>1</v>
      </c>
      <c r="Y1412" s="12" t="str">
        <f ca="1">IFERROR(__xludf.DUMMYFUNCTION("""COMPUTED_VALUE"""),"Student shot another student with a pellet gun on the school bus")</f>
        <v>Student shot another student with a pellet gun on the school bus</v>
      </c>
      <c r="Z1412" s="12" t="str">
        <f ca="1">IFERROR(__xludf.DUMMYFUNCTION("""COMPUTED_VALUE"""),"Two male students had a pellet gun on the school bus. One of the students fired the pellet gun at a female student. She notified the school bus driver who then notified the school. The SRO detained the students when they arrived and found the weapon. Both"&amp;" male students were charged and referred to juvenile court.")</f>
        <v>Two male students had a pellet gun on the school bus. One of the students fired the pellet gun at a female student. She notified the school bus driver who then notified the school. The SRO detained the students when they arrived and found the weapon. Both male students were charged and referred to juvenile court.</v>
      </c>
      <c r="AA1412" s="8"/>
      <c r="AB1412" s="8"/>
      <c r="AC1412" s="8" t="str">
        <f ca="1">IFERROR(__xludf.DUMMYFUNCTION("""COMPUTED_VALUE"""),"Yes")</f>
        <v>Yes</v>
      </c>
      <c r="AD1412" s="8"/>
      <c r="AE1412" s="8" t="str">
        <f ca="1">IFERROR(__xludf.DUMMYFUNCTION("""COMPUTED_VALUE"""),"Yes")</f>
        <v>Yes</v>
      </c>
      <c r="AF1412" s="8" t="str">
        <f ca="1">IFERROR(__xludf.DUMMYFUNCTION("""COMPUTED_VALUE"""),"Two students charged")</f>
        <v>Two students charged</v>
      </c>
      <c r="AG1412" s="8" t="str">
        <f ca="1">IFERROR(__xludf.DUMMYFUNCTION("""COMPUTED_VALUE"""),"No")</f>
        <v>No</v>
      </c>
      <c r="AH1412" s="8" t="str">
        <f ca="1">IFERROR(__xludf.DUMMYFUNCTION("""COMPUTED_VALUE"""),"No")</f>
        <v>No</v>
      </c>
      <c r="AI1412" s="8" t="str">
        <f ca="1">IFERROR(__xludf.DUMMYFUNCTION("""COMPUTED_VALUE"""),"No")</f>
        <v>No</v>
      </c>
      <c r="AJ1412" s="8" t="str">
        <f ca="1">IFERROR(__xludf.DUMMYFUNCTION("""COMPUTED_VALUE"""),"No")</f>
        <v>No</v>
      </c>
      <c r="AK1412" s="8" t="str">
        <f ca="1">IFERROR(__xludf.DUMMYFUNCTION("""COMPUTED_VALUE"""),"No")</f>
        <v>No</v>
      </c>
      <c r="AL1412" s="8" t="str">
        <f ca="1">IFERROR(__xludf.DUMMYFUNCTION("""COMPUTED_VALUE"""),"No")</f>
        <v>No</v>
      </c>
      <c r="AM1412" s="8" t="str">
        <f ca="1">IFERROR(__xludf.DUMMYFUNCTION("""COMPUTED_VALUE"""),"No")</f>
        <v>No</v>
      </c>
      <c r="AN1412" s="8"/>
      <c r="AO1412" s="8" t="str">
        <f ca="1">IFERROR(__xludf.DUMMYFUNCTION("""COMPUTED_VALUE"""),"No")</f>
        <v>No</v>
      </c>
      <c r="AP1412" s="8" t="str">
        <f ca="1">IFERROR(__xludf.DUMMYFUNCTION("""COMPUTED_VALUE"""),"Yes")</f>
        <v>Yes</v>
      </c>
      <c r="AQ1412" s="8" t="str">
        <f ca="1">IFERROR(__xludf.DUMMYFUNCTION("""COMPUTED_VALUE"""),"Armed Guards")</f>
        <v>Armed Guards</v>
      </c>
      <c r="AR1412" s="8" t="str">
        <f ca="1">IFERROR(__xludf.DUMMYFUNCTION("""COMPUTED_VALUE"""),"Outside/Off-Property")</f>
        <v>Outside/Off-Property</v>
      </c>
      <c r="AS1412" s="8">
        <f ca="1">IFERROR(__xludf.DUMMYFUNCTION("""COMPUTED_VALUE"""),1)</f>
        <v>1</v>
      </c>
      <c r="AT1412" s="8" t="str">
        <f ca="1">IFERROR(__xludf.DUMMYFUNCTION("""COMPUTED_VALUE"""),"No")</f>
        <v>No</v>
      </c>
      <c r="AU1412" s="8">
        <f ca="1">IFERROR(__xludf.DUMMYFUNCTION("""COMPUTED_VALUE"""),35.749508)</f>
        <v>35.749507999999999</v>
      </c>
      <c r="AV1412" s="8">
        <f ca="1">IFERROR(__xludf.DUMMYFUNCTION("""COMPUTED_VALUE"""),-80.855327)</f>
        <v>-80.855327000000003</v>
      </c>
      <c r="AW1412" s="8"/>
      <c r="AX1412" s="8">
        <f ca="1">IFERROR(__xludf.DUMMYFUNCTION("""COMPUTED_VALUE"""),28677)</f>
        <v>28677</v>
      </c>
    </row>
    <row r="1413" spans="1:50" ht="60" x14ac:dyDescent="0.2">
      <c r="A1413" s="8" t="str">
        <f ca="1">IFERROR(__xludf.DUMMYFUNCTION("""COMPUTED_VALUE"""),"20210214MNROM")</f>
        <v>20210214MNROM</v>
      </c>
      <c r="B1413" s="8">
        <f ca="1">IFERROR(__xludf.DUMMYFUNCTION("""COMPUTED_VALUE"""),2)</f>
        <v>2</v>
      </c>
      <c r="C1413" s="8">
        <f ca="1">IFERROR(__xludf.DUMMYFUNCTION("""COMPUTED_VALUE"""),14)</f>
        <v>14</v>
      </c>
      <c r="D1413" s="8">
        <f ca="1">IFERROR(__xludf.DUMMYFUNCTION("""COMPUTED_VALUE"""),2021)</f>
        <v>2021</v>
      </c>
      <c r="E1413" s="9">
        <f ca="1">IFERROR(__xludf.DUMMYFUNCTION("""COMPUTED_VALUE"""),44241)</f>
        <v>44241</v>
      </c>
      <c r="F1413" s="8" t="str">
        <f ca="1">IFERROR(__xludf.DUMMYFUNCTION("""COMPUTED_VALUE"""),"Roosevelt High School")</f>
        <v>Roosevelt High School</v>
      </c>
      <c r="G1413" s="8">
        <f ca="1">IFERROR(__xludf.DUMMYFUNCTION("""COMPUTED_VALUE"""),2)</f>
        <v>2</v>
      </c>
      <c r="H1413" s="8">
        <f ca="1">IFERROR(__xludf.DUMMYFUNCTION("""COMPUTED_VALUE"""),1)</f>
        <v>1</v>
      </c>
      <c r="I1413" s="8">
        <f ca="1">IFERROR(__xludf.DUMMYFUNCTION("""COMPUTED_VALUE"""),3)</f>
        <v>3</v>
      </c>
      <c r="J1413" s="8">
        <f ca="1">IFERROR(__xludf.DUMMYFUNCTION("""COMPUTED_VALUE"""),0)</f>
        <v>0</v>
      </c>
      <c r="K1413" s="8" t="str">
        <f ca="1">IFERROR(__xludf.DUMMYFUNCTION("""COMPUTED_VALUE"""),"https://www.mprnews.org/story/2021/02/15/2-people-found-shot-dead-inside-car-in-south-minneapolis https://www.kare11.com/article/news/local/two-killed-minneapolis-shooting-2-14-21/89-f6d405fc-4b38-4e01-86de-60b6674ee768")</f>
        <v>https://www.mprnews.org/story/2021/02/15/2-people-found-shot-dead-inside-car-in-south-minneapolis https://www.kare11.com/article/news/local/two-killed-minneapolis-shooting-2-14-21/89-f6d405fc-4b38-4e01-86de-60b6674ee768</v>
      </c>
      <c r="L1413" s="8">
        <f ca="1">IFERROR(__xludf.DUMMYFUNCTION("""COMPUTED_VALUE"""),2)</f>
        <v>2</v>
      </c>
      <c r="M1413" s="8" t="str">
        <f ca="1">IFERROR(__xludf.DUMMYFUNCTION("""COMPUTED_VALUE"""),"Local")</f>
        <v>Local</v>
      </c>
      <c r="N1413" s="8">
        <f ca="1">IFERROR(__xludf.DUMMYFUNCTION("""COMPUTED_VALUE"""),3)</f>
        <v>3</v>
      </c>
      <c r="O1413" s="8" t="str">
        <f ca="1">IFERROR(__xludf.DUMMYFUNCTION("""COMPUTED_VALUE"""),"Winter")</f>
        <v>Winter</v>
      </c>
      <c r="P1413" s="8" t="str">
        <f ca="1">IFERROR(__xludf.DUMMYFUNCTION("""COMPUTED_VALUE"""),"Minneapolis")</f>
        <v>Minneapolis</v>
      </c>
      <c r="Q1413" s="8" t="str">
        <f ca="1">IFERROR(__xludf.DUMMYFUNCTION("""COMPUTED_VALUE"""),"MN")</f>
        <v>MN</v>
      </c>
      <c r="R1413" s="8" t="str">
        <f ca="1">IFERROR(__xludf.DUMMYFUNCTION("""COMPUTED_VALUE"""),"High")</f>
        <v>High</v>
      </c>
      <c r="S1413" s="8" t="str">
        <f ca="1">IFERROR(__xludf.DUMMYFUNCTION("""COMPUTED_VALUE"""),"Front of School")</f>
        <v>Front of School</v>
      </c>
      <c r="T1413" s="8" t="str">
        <f ca="1">IFERROR(__xludf.DUMMYFUNCTION("""COMPUTED_VALUE"""),"Outside on School Property")</f>
        <v>Outside on School Property</v>
      </c>
      <c r="U1413" s="8" t="str">
        <f ca="1">IFERROR(__xludf.DUMMYFUNCTION("""COMPUTED_VALUE"""),"No")</f>
        <v>No</v>
      </c>
      <c r="V1413" s="8" t="str">
        <f ca="1">IFERROR(__xludf.DUMMYFUNCTION("""COMPUTED_VALUE"""),"Night")</f>
        <v>Night</v>
      </c>
      <c r="W1413" s="11">
        <f ca="1">IFERROR(__xludf.DUMMYFUNCTION("""COMPUTED_VALUE"""),0.9375)</f>
        <v>0.9375</v>
      </c>
      <c r="X1413" s="8">
        <f ca="1">IFERROR(__xludf.DUMMYFUNCTION("""COMPUTED_VALUE"""),1)</f>
        <v>1</v>
      </c>
      <c r="Y1413" s="12" t="str">
        <f ca="1">IFERROR(__xludf.DUMMYFUNCTION("""COMPUTED_VALUE"""),"Two adults found fatally shot inside car in front of the school")</f>
        <v>Two adults found fatally shot inside car in front of the school</v>
      </c>
      <c r="Z1413" s="12" t="str">
        <f ca="1">IFERROR(__xludf.DUMMYFUNCTION("""COMPUTED_VALUE"""),"Two adults were found fatally shot inside a car that was stopped on top of the curb in front of the school building. A third person in the car was not shot and suffered minor injuries. Shooter fled. Motive unknown.")</f>
        <v>Two adults were found fatally shot inside a car that was stopped on top of the curb in front of the school building. A third person in the car was not shot and suffered minor injuries. Shooter fled. Motive unknown.</v>
      </c>
      <c r="AA1413" s="8"/>
      <c r="AB1413" s="8"/>
      <c r="AC1413" s="8" t="str">
        <f ca="1">IFERROR(__xludf.DUMMYFUNCTION("""COMPUTED_VALUE"""),"No")</f>
        <v>No</v>
      </c>
      <c r="AD1413" s="8" t="str">
        <f ca="1">IFERROR(__xludf.DUMMYFUNCTION("""COMPUTED_VALUE"""),"Victims Targeted")</f>
        <v>Victims Targeted</v>
      </c>
      <c r="AE1413" s="8"/>
      <c r="AF1413" s="8"/>
      <c r="AG1413" s="8" t="str">
        <f ca="1">IFERROR(__xludf.DUMMYFUNCTION("""COMPUTED_VALUE"""),"No")</f>
        <v>No</v>
      </c>
      <c r="AH1413" s="8" t="str">
        <f ca="1">IFERROR(__xludf.DUMMYFUNCTION("""COMPUTED_VALUE"""),"No")</f>
        <v>No</v>
      </c>
      <c r="AI1413" s="8" t="str">
        <f ca="1">IFERROR(__xludf.DUMMYFUNCTION("""COMPUTED_VALUE"""),"No")</f>
        <v>No</v>
      </c>
      <c r="AJ1413" s="8" t="str">
        <f ca="1">IFERROR(__xludf.DUMMYFUNCTION("""COMPUTED_VALUE"""),"No")</f>
        <v>No</v>
      </c>
      <c r="AK1413" s="8"/>
      <c r="AL1413" s="8"/>
      <c r="AM1413" s="8" t="str">
        <f ca="1">IFERROR(__xludf.DUMMYFUNCTION("""COMPUTED_VALUE"""),"No")</f>
        <v>No</v>
      </c>
      <c r="AN1413" s="8"/>
      <c r="AO1413" s="8" t="str">
        <f ca="1">IFERROR(__xludf.DUMMYFUNCTION("""COMPUTED_VALUE"""),"No")</f>
        <v>No</v>
      </c>
      <c r="AP1413" s="8"/>
      <c r="AQ1413" s="8"/>
      <c r="AR1413" s="8" t="str">
        <f ca="1">IFERROR(__xludf.DUMMYFUNCTION("""COMPUTED_VALUE"""),"Outside/Off-Property")</f>
        <v>Outside/Off-Property</v>
      </c>
      <c r="AS1413" s="8"/>
      <c r="AT1413" s="8"/>
      <c r="AU1413" s="8">
        <f ca="1">IFERROR(__xludf.DUMMYFUNCTION("""COMPUTED_VALUE"""),44.929872)</f>
        <v>44.929872000000003</v>
      </c>
      <c r="AV1413" s="8">
        <f ca="1">IFERROR(__xludf.DUMMYFUNCTION("""COMPUTED_VALUE"""),-93.231907)</f>
        <v>-93.231907000000007</v>
      </c>
      <c r="AW1413" s="8"/>
      <c r="AX1413" s="8">
        <f ca="1">IFERROR(__xludf.DUMMYFUNCTION("""COMPUTED_VALUE"""),55406)</f>
        <v>55406</v>
      </c>
    </row>
    <row r="1414" spans="1:50" ht="75" x14ac:dyDescent="0.2">
      <c r="A1414" s="8" t="str">
        <f ca="1">IFERROR(__xludf.DUMMYFUNCTION("""COMPUTED_VALUE"""),"20210210TXFOF")</f>
        <v>20210210TXFOF</v>
      </c>
      <c r="B1414" s="8">
        <f ca="1">IFERROR(__xludf.DUMMYFUNCTION("""COMPUTED_VALUE"""),2)</f>
        <v>2</v>
      </c>
      <c r="C1414" s="8">
        <f ca="1">IFERROR(__xludf.DUMMYFUNCTION("""COMPUTED_VALUE"""),10)</f>
        <v>10</v>
      </c>
      <c r="D1414" s="8">
        <f ca="1">IFERROR(__xludf.DUMMYFUNCTION("""COMPUTED_VALUE"""),2021)</f>
        <v>2021</v>
      </c>
      <c r="E1414" s="9">
        <f ca="1">IFERROR(__xludf.DUMMYFUNCTION("""COMPUTED_VALUE"""),44237)</f>
        <v>44237</v>
      </c>
      <c r="F1414" s="8" t="str">
        <f ca="1">IFERROR(__xludf.DUMMYFUNCTION("""COMPUTED_VALUE"""),"Forest Oak Middle School")</f>
        <v>Forest Oak Middle School</v>
      </c>
      <c r="G1414" s="8">
        <f ca="1">IFERROR(__xludf.DUMMYFUNCTION("""COMPUTED_VALUE"""),1)</f>
        <v>1</v>
      </c>
      <c r="H1414" s="8">
        <f ca="1">IFERROR(__xludf.DUMMYFUNCTION("""COMPUTED_VALUE"""),0)</f>
        <v>0</v>
      </c>
      <c r="I1414" s="8">
        <f ca="1">IFERROR(__xludf.DUMMYFUNCTION("""COMPUTED_VALUE"""),1)</f>
        <v>1</v>
      </c>
      <c r="J1414" s="8">
        <f ca="1">IFERROR(__xludf.DUMMYFUNCTION("""COMPUTED_VALUE"""),0)</f>
        <v>0</v>
      </c>
      <c r="K1414" s="8" t="str">
        <f ca="1">IFERROR(__xludf.DUMMYFUNCTION("""COMPUTED_VALUE"""),"https://www.nbcdfw.com/news/local/police-investigate-fatal-overnight-shooting-in-south-fort-worth/2548121/ https://www.wfaa.com/article/news/crime/man-found-shot-inside-vehicle-across-from-fort-worth-middle-school-police-say/287-ef294a6e-4503-4b98-9b35-aa"&amp;"19d0403717 https://www.fox4news.com/news/man-shot-to-death-near-middle-school-in-fort-worth https://www.star-telegram.com/news/local/fort-worth/article249145335.html")</f>
        <v>https://www.nbcdfw.com/news/local/police-investigate-fatal-overnight-shooting-in-south-fort-worth/2548121/ https://www.wfaa.com/article/news/crime/man-found-shot-inside-vehicle-across-from-fort-worth-middle-school-police-say/287-ef294a6e-4503-4b98-9b35-aa19d0403717 https://www.fox4news.com/news/man-shot-to-death-near-middle-school-in-fort-worth https://www.star-telegram.com/news/local/fort-worth/article249145335.html</v>
      </c>
      <c r="L1414" s="8">
        <f ca="1">IFERROR(__xludf.DUMMYFUNCTION("""COMPUTED_VALUE"""),3)</f>
        <v>3</v>
      </c>
      <c r="M1414" s="8" t="str">
        <f ca="1">IFERROR(__xludf.DUMMYFUNCTION("""COMPUTED_VALUE"""),"Local")</f>
        <v>Local</v>
      </c>
      <c r="N1414" s="8">
        <f ca="1">IFERROR(__xludf.DUMMYFUNCTION("""COMPUTED_VALUE"""),4)</f>
        <v>4</v>
      </c>
      <c r="O1414" s="8" t="str">
        <f ca="1">IFERROR(__xludf.DUMMYFUNCTION("""COMPUTED_VALUE"""),"Winter")</f>
        <v>Winter</v>
      </c>
      <c r="P1414" s="8" t="str">
        <f ca="1">IFERROR(__xludf.DUMMYFUNCTION("""COMPUTED_VALUE"""),"Fort Worth")</f>
        <v>Fort Worth</v>
      </c>
      <c r="Q1414" s="8" t="str">
        <f ca="1">IFERROR(__xludf.DUMMYFUNCTION("""COMPUTED_VALUE"""),"TX")</f>
        <v>TX</v>
      </c>
      <c r="R1414" s="8" t="str">
        <f ca="1">IFERROR(__xludf.DUMMYFUNCTION("""COMPUTED_VALUE"""),"Middle")</f>
        <v>Middle</v>
      </c>
      <c r="S1414" s="8" t="str">
        <f ca="1">IFERROR(__xludf.DUMMYFUNCTION("""COMPUTED_VALUE"""),"Front of School")</f>
        <v>Front of School</v>
      </c>
      <c r="T1414" s="8" t="str">
        <f ca="1">IFERROR(__xludf.DUMMYFUNCTION("""COMPUTED_VALUE"""),"Outside on School Property")</f>
        <v>Outside on School Property</v>
      </c>
      <c r="U1414" s="8" t="str">
        <f ca="1">IFERROR(__xludf.DUMMYFUNCTION("""COMPUTED_VALUE"""),"No")</f>
        <v>No</v>
      </c>
      <c r="V1414" s="8" t="str">
        <f ca="1">IFERROR(__xludf.DUMMYFUNCTION("""COMPUTED_VALUE"""),"Night")</f>
        <v>Night</v>
      </c>
      <c r="W1414" s="11">
        <f ca="1">IFERROR(__xludf.DUMMYFUNCTION("""COMPUTED_VALUE"""),0.0208333333333333)</f>
        <v>2.0833333333333301E-2</v>
      </c>
      <c r="X1414" s="8">
        <f ca="1">IFERROR(__xludf.DUMMYFUNCTION("""COMPUTED_VALUE"""),1)</f>
        <v>1</v>
      </c>
      <c r="Y1414" s="12" t="str">
        <f ca="1">IFERROR(__xludf.DUMMYFUNCTION("""COMPUTED_VALUE"""),"Adult male shot to death in vehicle in front of school")</f>
        <v>Adult male shot to death in vehicle in front of school</v>
      </c>
      <c r="Z1414" s="12" t="str">
        <f ca="1">IFERROR(__xludf.DUMMYFUNCTION("""COMPUTED_VALUE"""),"Police were called for a gun shot victim in front of the school. Officers found an adult male in a vehicle fatally shot multiple times. The vehicle had gone off the road and stopped in front of the school. Shell casings were found along the street next to"&amp;" the school. Suspect fled the scene.")</f>
        <v>Police were called for a gun shot victim in front of the school. Officers found an adult male in a vehicle fatally shot multiple times. The vehicle had gone off the road and stopped in front of the school. Shell casings were found along the street next to the school. Suspect fled the scene.</v>
      </c>
      <c r="AA1414" s="8"/>
      <c r="AB1414" s="8"/>
      <c r="AC1414" s="8" t="str">
        <f ca="1">IFERROR(__xludf.DUMMYFUNCTION("""COMPUTED_VALUE"""),"No")</f>
        <v>No</v>
      </c>
      <c r="AD1414" s="8" t="str">
        <f ca="1">IFERROR(__xludf.DUMMYFUNCTION("""COMPUTED_VALUE"""),"Victims Targeted")</f>
        <v>Victims Targeted</v>
      </c>
      <c r="AE1414" s="8"/>
      <c r="AF1414" s="8"/>
      <c r="AG1414" s="8" t="str">
        <f ca="1">IFERROR(__xludf.DUMMYFUNCTION("""COMPUTED_VALUE"""),"No")</f>
        <v>No</v>
      </c>
      <c r="AH1414" s="8" t="str">
        <f ca="1">IFERROR(__xludf.DUMMYFUNCTION("""COMPUTED_VALUE"""),"No")</f>
        <v>No</v>
      </c>
      <c r="AI1414" s="8" t="str">
        <f ca="1">IFERROR(__xludf.DUMMYFUNCTION("""COMPUTED_VALUE"""),"No")</f>
        <v>No</v>
      </c>
      <c r="AJ1414" s="8" t="str">
        <f ca="1">IFERROR(__xludf.DUMMYFUNCTION("""COMPUTED_VALUE"""),"No")</f>
        <v>No</v>
      </c>
      <c r="AK1414" s="8" t="str">
        <f ca="1">IFERROR(__xludf.DUMMYFUNCTION("""COMPUTED_VALUE"""),"No")</f>
        <v>No</v>
      </c>
      <c r="AL1414" s="8"/>
      <c r="AM1414" s="8" t="str">
        <f ca="1">IFERROR(__xludf.DUMMYFUNCTION("""COMPUTED_VALUE"""),"No")</f>
        <v>No</v>
      </c>
      <c r="AN1414" s="8"/>
      <c r="AO1414" s="8" t="str">
        <f ca="1">IFERROR(__xludf.DUMMYFUNCTION("""COMPUTED_VALUE"""),"No")</f>
        <v>No</v>
      </c>
      <c r="AP1414" s="8"/>
      <c r="AQ1414" s="8"/>
      <c r="AR1414" s="8" t="str">
        <f ca="1">IFERROR(__xludf.DUMMYFUNCTION("""COMPUTED_VALUE"""),"Outside/Off-Property")</f>
        <v>Outside/Off-Property</v>
      </c>
      <c r="AS1414" s="8"/>
      <c r="AT1414" s="8"/>
      <c r="AU1414" s="8">
        <f ca="1">IFERROR(__xludf.DUMMYFUNCTION("""COMPUTED_VALUE"""),32.688043)</f>
        <v>32.688043</v>
      </c>
      <c r="AV1414" s="8">
        <f ca="1">IFERROR(__xludf.DUMMYFUNCTION("""COMPUTED_VALUE"""),-97.27822)</f>
        <v>-97.278220000000005</v>
      </c>
      <c r="AW1414" s="8"/>
      <c r="AX1414" s="8">
        <f ca="1">IFERROR(__xludf.DUMMYFUNCTION("""COMPUTED_VALUE"""),76119)</f>
        <v>76119</v>
      </c>
    </row>
    <row r="1415" spans="1:50" ht="45" x14ac:dyDescent="0.2">
      <c r="A1415" s="8" t="str">
        <f ca="1">IFERROR(__xludf.DUMMYFUNCTION("""COMPUTED_VALUE"""),"20210210NJSCP")</f>
        <v>20210210NJSCP</v>
      </c>
      <c r="B1415" s="8">
        <f ca="1">IFERROR(__xludf.DUMMYFUNCTION("""COMPUTED_VALUE"""),2)</f>
        <v>2</v>
      </c>
      <c r="C1415" s="8">
        <f ca="1">IFERROR(__xludf.DUMMYFUNCTION("""COMPUTED_VALUE"""),10)</f>
        <v>10</v>
      </c>
      <c r="D1415" s="8">
        <f ca="1">IFERROR(__xludf.DUMMYFUNCTION("""COMPUTED_VALUE"""),2021)</f>
        <v>2021</v>
      </c>
      <c r="E1415" s="9">
        <f ca="1">IFERROR(__xludf.DUMMYFUNCTION("""COMPUTED_VALUE"""),44237)</f>
        <v>44237</v>
      </c>
      <c r="F1415" s="8" t="str">
        <f ca="1">IFERROR(__xludf.DUMMYFUNCTION("""COMPUTED_VALUE"""),"School Number 15")</f>
        <v>School Number 15</v>
      </c>
      <c r="G1415" s="8">
        <f ca="1">IFERROR(__xludf.DUMMYFUNCTION("""COMPUTED_VALUE"""),1)</f>
        <v>1</v>
      </c>
      <c r="H1415" s="8">
        <f ca="1">IFERROR(__xludf.DUMMYFUNCTION("""COMPUTED_VALUE"""),0)</f>
        <v>0</v>
      </c>
      <c r="I1415" s="8">
        <f ca="1">IFERROR(__xludf.DUMMYFUNCTION("""COMPUTED_VALUE"""),1)</f>
        <v>1</v>
      </c>
      <c r="J1415" s="8">
        <f ca="1">IFERROR(__xludf.DUMMYFUNCTION("""COMPUTED_VALUE"""),0)</f>
        <v>0</v>
      </c>
      <c r="K1415" s="8" t="str">
        <f ca="1">IFERROR(__xludf.DUMMYFUNCTION("""COMPUTED_VALUE"""),"https://www.nj.com/passaic-county/2021/09/man-charged-with-murder-of-woman-found-dead-near-school-parking-lot-police-say.html https://dailyvoice.com/new-jersey/southpassaic/news/update-who-gunned-down-hawthorne-woman-41-outside-paterson-school/803277/ htt"&amp;"ps://www.newsbreak.com/new-jersey/paterson/safety/2161349358577/hawthorne-woman-shot-several-times-in-paterson https://dailyvoice.com/new-jersey/fairlawn/news/hawthorne-woman-shot-several-times-in-paterson/803050/")</f>
        <v>https://www.nj.com/passaic-county/2021/09/man-charged-with-murder-of-woman-found-dead-near-school-parking-lot-police-say.html https://dailyvoice.com/new-jersey/southpassaic/news/update-who-gunned-down-hawthorne-woman-41-outside-paterson-school/803277/ https://www.newsbreak.com/new-jersey/paterson/safety/2161349358577/hawthorne-woman-shot-several-times-in-paterson https://dailyvoice.com/new-jersey/fairlawn/news/hawthorne-woman-shot-several-times-in-paterson/803050/</v>
      </c>
      <c r="L1415" s="8">
        <f ca="1">IFERROR(__xludf.DUMMYFUNCTION("""COMPUTED_VALUE"""),4)</f>
        <v>4</v>
      </c>
      <c r="M1415" s="8" t="str">
        <f ca="1">IFERROR(__xludf.DUMMYFUNCTION("""COMPUTED_VALUE"""),"Local")</f>
        <v>Local</v>
      </c>
      <c r="N1415" s="8">
        <f ca="1">IFERROR(__xludf.DUMMYFUNCTION("""COMPUTED_VALUE"""),4)</f>
        <v>4</v>
      </c>
      <c r="O1415" s="8" t="str">
        <f ca="1">IFERROR(__xludf.DUMMYFUNCTION("""COMPUTED_VALUE"""),"Winter")</f>
        <v>Winter</v>
      </c>
      <c r="P1415" s="8" t="str">
        <f ca="1">IFERROR(__xludf.DUMMYFUNCTION("""COMPUTED_VALUE"""),"Paterson")</f>
        <v>Paterson</v>
      </c>
      <c r="Q1415" s="8" t="str">
        <f ca="1">IFERROR(__xludf.DUMMYFUNCTION("""COMPUTED_VALUE"""),"NJ")</f>
        <v>NJ</v>
      </c>
      <c r="R1415" s="8" t="str">
        <f ca="1">IFERROR(__xludf.DUMMYFUNCTION("""COMPUTED_VALUE"""),"Elementary")</f>
        <v>Elementary</v>
      </c>
      <c r="S1415" s="8" t="str">
        <f ca="1">IFERROR(__xludf.DUMMYFUNCTION("""COMPUTED_VALUE"""),"Beside Building")</f>
        <v>Beside Building</v>
      </c>
      <c r="T1415" s="8" t="str">
        <f ca="1">IFERROR(__xludf.DUMMYFUNCTION("""COMPUTED_VALUE"""),"Outside on School Property")</f>
        <v>Outside on School Property</v>
      </c>
      <c r="U1415" s="8" t="str">
        <f ca="1">IFERROR(__xludf.DUMMYFUNCTION("""COMPUTED_VALUE"""),"No")</f>
        <v>No</v>
      </c>
      <c r="V1415" s="8" t="str">
        <f ca="1">IFERROR(__xludf.DUMMYFUNCTION("""COMPUTED_VALUE"""),"Night")</f>
        <v>Night</v>
      </c>
      <c r="W1415" s="11">
        <f ca="1">IFERROR(__xludf.DUMMYFUNCTION("""COMPUTED_VALUE"""),0.0770833333333333)</f>
        <v>7.7083333333333295E-2</v>
      </c>
      <c r="X1415" s="8">
        <f ca="1">IFERROR(__xludf.DUMMYFUNCTION("""COMPUTED_VALUE"""),1)</f>
        <v>1</v>
      </c>
      <c r="Y1415" s="12" t="str">
        <f ca="1">IFERROR(__xludf.DUMMYFUNCTION("""COMPUTED_VALUE"""),"Woman shot multiple times next to school")</f>
        <v>Woman shot multiple times next to school</v>
      </c>
      <c r="Z1415" s="12" t="str">
        <f ca="1">IFERROR(__xludf.DUMMYFUNCTION("""COMPUTED_VALUE"""),"A 41-year-old woman was shot multiple times next to the school. Shooter fled the scene. Motive unknown. Victim transported to the hospital in critical condition.")</f>
        <v>A 41-year-old woman was shot multiple times next to the school. Shooter fled the scene. Motive unknown. Victim transported to the hospital in critical condition.</v>
      </c>
      <c r="AA1415" s="8"/>
      <c r="AB1415" s="8"/>
      <c r="AC1415" s="8" t="str">
        <f ca="1">IFERROR(__xludf.DUMMYFUNCTION("""COMPUTED_VALUE"""),"No")</f>
        <v>No</v>
      </c>
      <c r="AD1415" s="8" t="str">
        <f ca="1">IFERROR(__xludf.DUMMYFUNCTION("""COMPUTED_VALUE"""),"Victims Targeted")</f>
        <v>Victims Targeted</v>
      </c>
      <c r="AE1415" s="8"/>
      <c r="AF1415" s="8"/>
      <c r="AG1415" s="8" t="str">
        <f ca="1">IFERROR(__xludf.DUMMYFUNCTION("""COMPUTED_VALUE"""),"No")</f>
        <v>No</v>
      </c>
      <c r="AH1415" s="8" t="str">
        <f ca="1">IFERROR(__xludf.DUMMYFUNCTION("""COMPUTED_VALUE"""),"No")</f>
        <v>No</v>
      </c>
      <c r="AI1415" s="8" t="str">
        <f ca="1">IFERROR(__xludf.DUMMYFUNCTION("""COMPUTED_VALUE"""),"No")</f>
        <v>No</v>
      </c>
      <c r="AJ1415" s="8" t="str">
        <f ca="1">IFERROR(__xludf.DUMMYFUNCTION("""COMPUTED_VALUE"""),"No")</f>
        <v>No</v>
      </c>
      <c r="AK1415" s="8"/>
      <c r="AL1415" s="8"/>
      <c r="AM1415" s="8" t="str">
        <f ca="1">IFERROR(__xludf.DUMMYFUNCTION("""COMPUTED_VALUE"""),"No")</f>
        <v>No</v>
      </c>
      <c r="AN1415" s="8"/>
      <c r="AO1415" s="8" t="str">
        <f ca="1">IFERROR(__xludf.DUMMYFUNCTION("""COMPUTED_VALUE"""),"No")</f>
        <v>No</v>
      </c>
      <c r="AP1415" s="8"/>
      <c r="AQ1415" s="8"/>
      <c r="AR1415" s="8" t="str">
        <f ca="1">IFERROR(__xludf.DUMMYFUNCTION("""COMPUTED_VALUE"""),"Outside/Off-Property")</f>
        <v>Outside/Off-Property</v>
      </c>
      <c r="AS1415" s="8"/>
      <c r="AT1415" s="8"/>
      <c r="AU1415" s="8">
        <f ca="1">IFERROR(__xludf.DUMMYFUNCTION("""COMPUTED_VALUE"""),40.911436)</f>
        <v>40.911436000000002</v>
      </c>
      <c r="AV1415" s="8">
        <f ca="1">IFERROR(__xludf.DUMMYFUNCTION("""COMPUTED_VALUE"""),-74.160882)</f>
        <v>-74.160882000000001</v>
      </c>
      <c r="AW1415" s="8"/>
      <c r="AX1415" s="8">
        <f ca="1">IFERROR(__xludf.DUMMYFUNCTION("""COMPUTED_VALUE"""),7501)</f>
        <v>7501</v>
      </c>
    </row>
    <row r="1416" spans="1:50" ht="75" x14ac:dyDescent="0.2">
      <c r="A1416" s="8" t="str">
        <f ca="1">IFERROR(__xludf.DUMMYFUNCTION("""COMPUTED_VALUE"""),"20210210LASTS")</f>
        <v>20210210LASTS</v>
      </c>
      <c r="B1416" s="8">
        <f ca="1">IFERROR(__xludf.DUMMYFUNCTION("""COMPUTED_VALUE"""),2)</f>
        <v>2</v>
      </c>
      <c r="C1416" s="8">
        <f ca="1">IFERROR(__xludf.DUMMYFUNCTION("""COMPUTED_VALUE"""),10)</f>
        <v>10</v>
      </c>
      <c r="D1416" s="8">
        <f ca="1">IFERROR(__xludf.DUMMYFUNCTION("""COMPUTED_VALUE"""),2021)</f>
        <v>2021</v>
      </c>
      <c r="E1416" s="9">
        <f ca="1">IFERROR(__xludf.DUMMYFUNCTION("""COMPUTED_VALUE"""),44237)</f>
        <v>44237</v>
      </c>
      <c r="F1416" s="8" t="str">
        <f ca="1">IFERROR(__xludf.DUMMYFUNCTION("""COMPUTED_VALUE"""),"St. Martinville Head Start Center")</f>
        <v>St. Martinville Head Start Center</v>
      </c>
      <c r="G1416" s="8">
        <f ca="1">IFERROR(__xludf.DUMMYFUNCTION("""COMPUTED_VALUE"""),0)</f>
        <v>0</v>
      </c>
      <c r="H1416" s="8">
        <f ca="1">IFERROR(__xludf.DUMMYFUNCTION("""COMPUTED_VALUE"""),0)</f>
        <v>0</v>
      </c>
      <c r="I1416" s="8">
        <f ca="1">IFERROR(__xludf.DUMMYFUNCTION("""COMPUTED_VALUE"""),0)</f>
        <v>0</v>
      </c>
      <c r="J1416" s="8">
        <f ca="1">IFERROR(__xludf.DUMMYFUNCTION("""COMPUTED_VALUE"""),0)</f>
        <v>0</v>
      </c>
      <c r="K1416" s="8" t="str">
        <f ca="1">IFERROR(__xludf.DUMMYFUNCTION("""COMPUTED_VALUE"""),"https://www.theadvocate.com/acadiana/news/crime_police/article_e051908c-6bda-11eb-804c-5ff7cfc02f95.html https://www.klfy.com/st-martin-parish/preschool-caught-in-crossfire-is-part-of-troubling-trend/ https://www.klfy.com/st-martin-parish/stray-bullet-alm"&amp;"ost-strikes-head-start-student-in-st-martinville-school-placed-on-lockdown/ https://wreg.com/news/stray-bullet-shatters-plate-in-preschoolers-hands-miraculously-missing-him/")</f>
        <v>https://www.theadvocate.com/acadiana/news/crime_police/article_e051908c-6bda-11eb-804c-5ff7cfc02f95.html https://www.klfy.com/st-martin-parish/preschool-caught-in-crossfire-is-part-of-troubling-trend/ https://www.klfy.com/st-martin-parish/stray-bullet-almost-strikes-head-start-student-in-st-martinville-school-placed-on-lockdown/ https://wreg.com/news/stray-bullet-shatters-plate-in-preschoolers-hands-miraculously-missing-him/</v>
      </c>
      <c r="L1416" s="8">
        <f ca="1">IFERROR(__xludf.DUMMYFUNCTION("""COMPUTED_VALUE"""),4)</f>
        <v>4</v>
      </c>
      <c r="M1416" s="8" t="str">
        <f ca="1">IFERROR(__xludf.DUMMYFUNCTION("""COMPUTED_VALUE"""),"Local")</f>
        <v>Local</v>
      </c>
      <c r="N1416" s="8">
        <f ca="1">IFERROR(__xludf.DUMMYFUNCTION("""COMPUTED_VALUE"""),4)</f>
        <v>4</v>
      </c>
      <c r="O1416" s="8" t="str">
        <f ca="1">IFERROR(__xludf.DUMMYFUNCTION("""COMPUTED_VALUE"""),"Winter")</f>
        <v>Winter</v>
      </c>
      <c r="P1416" s="8" t="str">
        <f ca="1">IFERROR(__xludf.DUMMYFUNCTION("""COMPUTED_VALUE"""),"St. Martinville")</f>
        <v>St. Martinville</v>
      </c>
      <c r="Q1416" s="8" t="str">
        <f ca="1">IFERROR(__xludf.DUMMYFUNCTION("""COMPUTED_VALUE"""),"LA")</f>
        <v>LA</v>
      </c>
      <c r="R1416" s="8" t="str">
        <f ca="1">IFERROR(__xludf.DUMMYFUNCTION("""COMPUTED_VALUE"""),"Other")</f>
        <v>Other</v>
      </c>
      <c r="S1416" s="8" t="str">
        <f ca="1">IFERROR(__xludf.DUMMYFUNCTION("""COMPUTED_VALUE"""),"Cafeteria")</f>
        <v>Cafeteria</v>
      </c>
      <c r="T1416" s="8" t="str">
        <f ca="1">IFERROR(__xludf.DUMMYFUNCTION("""COMPUTED_VALUE"""),"Inside School Building")</f>
        <v>Inside School Building</v>
      </c>
      <c r="U1416" s="8" t="str">
        <f ca="1">IFERROR(__xludf.DUMMYFUNCTION("""COMPUTED_VALUE"""),"Yes")</f>
        <v>Yes</v>
      </c>
      <c r="V1416" s="8" t="str">
        <f ca="1">IFERROR(__xludf.DUMMYFUNCTION("""COMPUTED_VALUE"""),"Lunch")</f>
        <v>Lunch</v>
      </c>
      <c r="W1416" s="11">
        <f ca="1">IFERROR(__xludf.DUMMYFUNCTION("""COMPUTED_VALUE"""),0.502777777777777)</f>
        <v>0.50277777777777699</v>
      </c>
      <c r="X1416" s="8">
        <f ca="1">IFERROR(__xludf.DUMMYFUNCTION("""COMPUTED_VALUE"""),1)</f>
        <v>1</v>
      </c>
      <c r="Y1416" s="12" t="str">
        <f ca="1">IFERROR(__xludf.DUMMYFUNCTION("""COMPUTED_VALUE"""),"Bullet from drive-by struck plate child was holding in cafeteria")</f>
        <v>Bullet from drive-by struck plate child was holding in cafeteria</v>
      </c>
      <c r="Z1416" s="12" t="str">
        <f ca="1">IFERROR(__xludf.DUMMYFUNCTION("""COMPUTED_VALUE"""),"A bullet fired during a drive-by shooting went through the wall of the school and struck a plate that a 4-year-old student was holding in the cafeteria. The victim had cuts from the broken plate but was not struck by the bullet. Shooter fled the area.")</f>
        <v>A bullet fired during a drive-by shooting went through the wall of the school and struck a plate that a 4-year-old student was holding in the cafeteria. The victim had cuts from the broken plate but was not struck by the bullet. Shooter fled the area.</v>
      </c>
      <c r="AA1416" s="8" t="str">
        <f ca="1">IFERROR(__xludf.DUMMYFUNCTION("""COMPUTED_VALUE"""),"Drive-by Shooting")</f>
        <v>Drive-by Shooting</v>
      </c>
      <c r="AB1416" s="8"/>
      <c r="AC1416" s="8" t="str">
        <f ca="1">IFERROR(__xludf.DUMMYFUNCTION("""COMPUTED_VALUE"""),"Yes")</f>
        <v>Yes</v>
      </c>
      <c r="AD1416" s="8" t="str">
        <f ca="1">IFERROR(__xludf.DUMMYFUNCTION("""COMPUTED_VALUE"""),"Both")</f>
        <v>Both</v>
      </c>
      <c r="AE1416" s="8" t="str">
        <f ca="1">IFERROR(__xludf.DUMMYFUNCTION("""COMPUTED_VALUE"""),"Yes")</f>
        <v>Yes</v>
      </c>
      <c r="AF1416" s="8" t="str">
        <f ca="1">IFERROR(__xludf.DUMMYFUNCTION("""COMPUTED_VALUE"""),"Two suspects in vehicle")</f>
        <v>Two suspects in vehicle</v>
      </c>
      <c r="AG1416" s="8" t="str">
        <f ca="1">IFERROR(__xludf.DUMMYFUNCTION("""COMPUTED_VALUE"""),"No")</f>
        <v>No</v>
      </c>
      <c r="AH1416" s="8" t="str">
        <f ca="1">IFERROR(__xludf.DUMMYFUNCTION("""COMPUTED_VALUE"""),"No")</f>
        <v>No</v>
      </c>
      <c r="AI1416" s="8" t="str">
        <f ca="1">IFERROR(__xludf.DUMMYFUNCTION("""COMPUTED_VALUE"""),"No")</f>
        <v>No</v>
      </c>
      <c r="AJ1416" s="8" t="str">
        <f ca="1">IFERROR(__xludf.DUMMYFUNCTION("""COMPUTED_VALUE"""),"No")</f>
        <v>No</v>
      </c>
      <c r="AK1416" s="8" t="str">
        <f ca="1">IFERROR(__xludf.DUMMYFUNCTION("""COMPUTED_VALUE"""),"No")</f>
        <v>No</v>
      </c>
      <c r="AL1416" s="8" t="str">
        <f ca="1">IFERROR(__xludf.DUMMYFUNCTION("""COMPUTED_VALUE"""),"Yes")</f>
        <v>Yes</v>
      </c>
      <c r="AM1416" s="8" t="str">
        <f ca="1">IFERROR(__xludf.DUMMYFUNCTION("""COMPUTED_VALUE"""),"No")</f>
        <v>No</v>
      </c>
      <c r="AN1416" s="8"/>
      <c r="AO1416" s="8" t="str">
        <f ca="1">IFERROR(__xludf.DUMMYFUNCTION("""COMPUTED_VALUE"""),"No")</f>
        <v>No</v>
      </c>
      <c r="AP1416" s="8"/>
      <c r="AQ1416" s="8"/>
      <c r="AR1416" s="8" t="str">
        <f ca="1">IFERROR(__xludf.DUMMYFUNCTION("""COMPUTED_VALUE"""),"Outside/Off-Property")</f>
        <v>Outside/Off-Property</v>
      </c>
      <c r="AS1416" s="8"/>
      <c r="AT1416" s="8"/>
      <c r="AU1416" s="8">
        <f ca="1">IFERROR(__xludf.DUMMYFUNCTION("""COMPUTED_VALUE"""),30.121088)</f>
        <v>30.121088</v>
      </c>
      <c r="AV1416" s="8">
        <f ca="1">IFERROR(__xludf.DUMMYFUNCTION("""COMPUTED_VALUE"""),-91.833078)</f>
        <v>-91.833078</v>
      </c>
      <c r="AW1416" s="8"/>
      <c r="AX1416" s="8">
        <f ca="1">IFERROR(__xludf.DUMMYFUNCTION("""COMPUTED_VALUE"""),70582)</f>
        <v>70582</v>
      </c>
    </row>
    <row r="1417" spans="1:50" ht="75" x14ac:dyDescent="0.2">
      <c r="A1417" s="8" t="str">
        <f ca="1">IFERROR(__xludf.DUMMYFUNCTION("""COMPUTED_VALUE"""),"20210208MISCG")</f>
        <v>20210208MISCG</v>
      </c>
      <c r="B1417" s="8">
        <f ca="1">IFERROR(__xludf.DUMMYFUNCTION("""COMPUTED_VALUE"""),2)</f>
        <v>2</v>
      </c>
      <c r="C1417" s="8">
        <f ca="1">IFERROR(__xludf.DUMMYFUNCTION("""COMPUTED_VALUE"""),8)</f>
        <v>8</v>
      </c>
      <c r="D1417" s="8">
        <f ca="1">IFERROR(__xludf.DUMMYFUNCTION("""COMPUTED_VALUE"""),2021)</f>
        <v>2021</v>
      </c>
      <c r="E1417" s="9">
        <f ca="1">IFERROR(__xludf.DUMMYFUNCTION("""COMPUTED_VALUE"""),44235)</f>
        <v>44235</v>
      </c>
      <c r="F1417" s="8" t="str">
        <f ca="1">IFERROR(__xludf.DUMMYFUNCTION("""COMPUTED_VALUE"""),"School Bus")</f>
        <v>School Bus</v>
      </c>
      <c r="G1417" s="8">
        <f ca="1">IFERROR(__xludf.DUMMYFUNCTION("""COMPUTED_VALUE"""),0)</f>
        <v>0</v>
      </c>
      <c r="H1417" s="8">
        <f ca="1">IFERROR(__xludf.DUMMYFUNCTION("""COMPUTED_VALUE"""),0)</f>
        <v>0</v>
      </c>
      <c r="I1417" s="8">
        <f ca="1">IFERROR(__xludf.DUMMYFUNCTION("""COMPUTED_VALUE"""),0)</f>
        <v>0</v>
      </c>
      <c r="J1417" s="8">
        <f ca="1">IFERROR(__xludf.DUMMYFUNCTION("""COMPUTED_VALUE"""),0)</f>
        <v>0</v>
      </c>
      <c r="K1417" s="8" t="str">
        <f ca="1">IFERROR(__xludf.DUMMYFUNCTION("""COMPUTED_VALUE"""),"https://www.fox17online.com/news/local-news/grand-rapids/grpd-responds-to-shooting-with-school-bus-caught-in-crossfire https://www.woodtv.com/news/grand-rapids/school-bus-shot-at-in-grand-rapids-no-injuries-reported/ http://cw7michigan.com/news/local/bull"&amp;"et-hits-grand-rapids-school-bus https://www.mlive.com/news/grand-rapids/2021/02/school-bus-hit-in-crossfire-during-drive-by-shooting-in-grand-rapids.html")</f>
        <v>https://www.fox17online.com/news/local-news/grand-rapids/grpd-responds-to-shooting-with-school-bus-caught-in-crossfire https://www.woodtv.com/news/grand-rapids/school-bus-shot-at-in-grand-rapids-no-injuries-reported/ http://cw7michigan.com/news/local/bullet-hits-grand-rapids-school-bus https://www.mlive.com/news/grand-rapids/2021/02/school-bus-hit-in-crossfire-during-drive-by-shooting-in-grand-rapids.html</v>
      </c>
      <c r="L1417" s="8">
        <f ca="1">IFERROR(__xludf.DUMMYFUNCTION("""COMPUTED_VALUE"""),4)</f>
        <v>4</v>
      </c>
      <c r="M1417" s="8" t="str">
        <f ca="1">IFERROR(__xludf.DUMMYFUNCTION("""COMPUTED_VALUE"""),"Local")</f>
        <v>Local</v>
      </c>
      <c r="N1417" s="8">
        <f ca="1">IFERROR(__xludf.DUMMYFUNCTION("""COMPUTED_VALUE"""),4)</f>
        <v>4</v>
      </c>
      <c r="O1417" s="8" t="str">
        <f ca="1">IFERROR(__xludf.DUMMYFUNCTION("""COMPUTED_VALUE"""),"Winter")</f>
        <v>Winter</v>
      </c>
      <c r="P1417" s="8" t="str">
        <f ca="1">IFERROR(__xludf.DUMMYFUNCTION("""COMPUTED_VALUE"""),"Grand Rapids")</f>
        <v>Grand Rapids</v>
      </c>
      <c r="Q1417" s="8" t="str">
        <f ca="1">IFERROR(__xludf.DUMMYFUNCTION("""COMPUTED_VALUE"""),"MI")</f>
        <v>MI</v>
      </c>
      <c r="R1417" s="8"/>
      <c r="S1417" s="8" t="str">
        <f ca="1">IFERROR(__xludf.DUMMYFUNCTION("""COMPUTED_VALUE"""),"School Bus")</f>
        <v>School Bus</v>
      </c>
      <c r="T1417" s="8" t="str">
        <f ca="1">IFERROR(__xludf.DUMMYFUNCTION("""COMPUTED_VALUE"""),"School Bus")</f>
        <v>School Bus</v>
      </c>
      <c r="U1417" s="8" t="str">
        <f ca="1">IFERROR(__xludf.DUMMYFUNCTION("""COMPUTED_VALUE"""),"Yes")</f>
        <v>Yes</v>
      </c>
      <c r="V1417" s="8" t="str">
        <f ca="1">IFERROR(__xludf.DUMMYFUNCTION("""COMPUTED_VALUE"""),"Dismissal")</f>
        <v>Dismissal</v>
      </c>
      <c r="W1417" s="11">
        <f ca="1">IFERROR(__xludf.DUMMYFUNCTION("""COMPUTED_VALUE"""),0.664583333333333)</f>
        <v>0.66458333333333297</v>
      </c>
      <c r="X1417" s="8">
        <f ca="1">IFERROR(__xludf.DUMMYFUNCTION("""COMPUTED_VALUE"""),1)</f>
        <v>1</v>
      </c>
      <c r="Y1417" s="12" t="str">
        <f ca="1">IFERROR(__xludf.DUMMYFUNCTION("""COMPUTED_VALUE"""),"School bus struck by bullet fired from another vehicle")</f>
        <v>School bus struck by bullet fired from another vehicle</v>
      </c>
      <c r="Z1417" s="12" t="str">
        <f ca="1">IFERROR(__xludf.DUMMYFUNCTION("""COMPUTED_VALUE"""),"A school bus was caught in the cross fire of a person firing from a moving vehicle at another vehicle. One student was on the bus and was not injured. A police officer in his personal vehicle witnessed the shooting but was not able to stop the suspect who"&amp;" fled the scene.")</f>
        <v>A school bus was caught in the cross fire of a person firing from a moving vehicle at another vehicle. One student was on the bus and was not injured. A police officer in his personal vehicle witnessed the shooting but was not able to stop the suspect who fled the scene.</v>
      </c>
      <c r="AA1417" s="8" t="str">
        <f ca="1">IFERROR(__xludf.DUMMYFUNCTION("""COMPUTED_VALUE"""),"Drive-by Shooting")</f>
        <v>Drive-by Shooting</v>
      </c>
      <c r="AB1417" s="8"/>
      <c r="AC1417" s="8" t="str">
        <f ca="1">IFERROR(__xludf.DUMMYFUNCTION("""COMPUTED_VALUE"""),"Yes")</f>
        <v>Yes</v>
      </c>
      <c r="AD1417" s="8" t="str">
        <f ca="1">IFERROR(__xludf.DUMMYFUNCTION("""COMPUTED_VALUE"""),"Victims Targeted")</f>
        <v>Victims Targeted</v>
      </c>
      <c r="AE1417" s="8"/>
      <c r="AF1417" s="8"/>
      <c r="AG1417" s="8" t="str">
        <f ca="1">IFERROR(__xludf.DUMMYFUNCTION("""COMPUTED_VALUE"""),"No")</f>
        <v>No</v>
      </c>
      <c r="AH1417" s="8" t="str">
        <f ca="1">IFERROR(__xludf.DUMMYFUNCTION("""COMPUTED_VALUE"""),"No")</f>
        <v>No</v>
      </c>
      <c r="AI1417" s="8" t="str">
        <f ca="1">IFERROR(__xludf.DUMMYFUNCTION("""COMPUTED_VALUE"""),"No")</f>
        <v>No</v>
      </c>
      <c r="AJ1417" s="8" t="str">
        <f ca="1">IFERROR(__xludf.DUMMYFUNCTION("""COMPUTED_VALUE"""),"No")</f>
        <v>No</v>
      </c>
      <c r="AK1417" s="8" t="str">
        <f ca="1">IFERROR(__xludf.DUMMYFUNCTION("""COMPUTED_VALUE"""),"No")</f>
        <v>No</v>
      </c>
      <c r="AL1417" s="8"/>
      <c r="AM1417" s="8" t="str">
        <f ca="1">IFERROR(__xludf.DUMMYFUNCTION("""COMPUTED_VALUE"""),"No")</f>
        <v>No</v>
      </c>
      <c r="AN1417" s="8"/>
      <c r="AO1417" s="8" t="str">
        <f ca="1">IFERROR(__xludf.DUMMYFUNCTION("""COMPUTED_VALUE"""),"No")</f>
        <v>No</v>
      </c>
      <c r="AP1417" s="8"/>
      <c r="AQ1417" s="8"/>
      <c r="AR1417" s="8" t="str">
        <f ca="1">IFERROR(__xludf.DUMMYFUNCTION("""COMPUTED_VALUE"""),"Outside/Off-Property")</f>
        <v>Outside/Off-Property</v>
      </c>
      <c r="AS1417" s="8"/>
      <c r="AT1417" s="8"/>
      <c r="AU1417" s="8">
        <f ca="1">IFERROR(__xludf.DUMMYFUNCTION("""COMPUTED_VALUE"""),42.898097)</f>
        <v>42.898097</v>
      </c>
      <c r="AV1417" s="8">
        <f ca="1">IFERROR(__xludf.DUMMYFUNCTION("""COMPUTED_VALUE"""),-85.626781)</f>
        <v>-85.626780999999994</v>
      </c>
      <c r="AW1417" s="8"/>
      <c r="AX1417" s="8">
        <f ca="1">IFERROR(__xludf.DUMMYFUNCTION("""COMPUTED_VALUE"""),49508)</f>
        <v>49508</v>
      </c>
    </row>
    <row r="1418" spans="1:50" ht="75" x14ac:dyDescent="0.2">
      <c r="A1418" s="8" t="str">
        <f ca="1">IFERROR(__xludf.DUMMYFUNCTION("""COMPUTED_VALUE"""),"20210205MDBEM")</f>
        <v>20210205MDBEM</v>
      </c>
      <c r="B1418" s="8">
        <f ca="1">IFERROR(__xludf.DUMMYFUNCTION("""COMPUTED_VALUE"""),2)</f>
        <v>2</v>
      </c>
      <c r="C1418" s="8">
        <f ca="1">IFERROR(__xludf.DUMMYFUNCTION("""COMPUTED_VALUE"""),5)</f>
        <v>5</v>
      </c>
      <c r="D1418" s="8">
        <f ca="1">IFERROR(__xludf.DUMMYFUNCTION("""COMPUTED_VALUE"""),2021)</f>
        <v>2021</v>
      </c>
      <c r="E1418" s="9">
        <f ca="1">IFERROR(__xludf.DUMMYFUNCTION("""COMPUTED_VALUE"""),44232)</f>
        <v>44232</v>
      </c>
      <c r="F1418" s="8" t="str">
        <f ca="1">IFERROR(__xludf.DUMMYFUNCTION("""COMPUTED_VALUE"""),"Benjamin Stoddert Middle School")</f>
        <v>Benjamin Stoddert Middle School</v>
      </c>
      <c r="G1418" s="8">
        <f ca="1">IFERROR(__xludf.DUMMYFUNCTION("""COMPUTED_VALUE"""),0)</f>
        <v>0</v>
      </c>
      <c r="H1418" s="8">
        <f ca="1">IFERROR(__xludf.DUMMYFUNCTION("""COMPUTED_VALUE"""),1)</f>
        <v>1</v>
      </c>
      <c r="I1418" s="8">
        <f ca="1">IFERROR(__xludf.DUMMYFUNCTION("""COMPUTED_VALUE"""),1)</f>
        <v>1</v>
      </c>
      <c r="J1418" s="8">
        <f ca="1">IFERROR(__xludf.DUMMYFUNCTION("""COMPUTED_VALUE"""),0)</f>
        <v>0</v>
      </c>
      <c r="K1418" s="8" t="str">
        <f ca="1">IFERROR(__xludf.DUMMYFUNCTION("""COMPUTED_VALUE"""),"https://southernmarylandchronicle.com/2021/02/06/police-investigating-shooting-behind-stoddert-middle-school-victim-recovering/ https://smnewsnet.com/archives/487029/police-investigating-male-shot-multiple-times-at-benjamin-stoddert-middle-school-in-waldo"&amp;"rf/")</f>
        <v>https://southernmarylandchronicle.com/2021/02/06/police-investigating-shooting-behind-stoddert-middle-school-victim-recovering/ https://smnewsnet.com/archives/487029/police-investigating-male-shot-multiple-times-at-benjamin-stoddert-middle-school-in-waldorf/</v>
      </c>
      <c r="L1418" s="8">
        <f ca="1">IFERROR(__xludf.DUMMYFUNCTION("""COMPUTED_VALUE"""),2)</f>
        <v>2</v>
      </c>
      <c r="M1418" s="8" t="str">
        <f ca="1">IFERROR(__xludf.DUMMYFUNCTION("""COMPUTED_VALUE"""),"Local")</f>
        <v>Local</v>
      </c>
      <c r="N1418" s="8">
        <f ca="1">IFERROR(__xludf.DUMMYFUNCTION("""COMPUTED_VALUE"""),3)</f>
        <v>3</v>
      </c>
      <c r="O1418" s="8" t="str">
        <f ca="1">IFERROR(__xludf.DUMMYFUNCTION("""COMPUTED_VALUE"""),"Winter")</f>
        <v>Winter</v>
      </c>
      <c r="P1418" s="8" t="str">
        <f ca="1">IFERROR(__xludf.DUMMYFUNCTION("""COMPUTED_VALUE"""),"Marlow Heights")</f>
        <v>Marlow Heights</v>
      </c>
      <c r="Q1418" s="8" t="str">
        <f ca="1">IFERROR(__xludf.DUMMYFUNCTION("""COMPUTED_VALUE"""),"MD")</f>
        <v>MD</v>
      </c>
      <c r="R1418" s="8" t="str">
        <f ca="1">IFERROR(__xludf.DUMMYFUNCTION("""COMPUTED_VALUE"""),"Middle")</f>
        <v>Middle</v>
      </c>
      <c r="S1418" s="8" t="str">
        <f ca="1">IFERROR(__xludf.DUMMYFUNCTION("""COMPUTED_VALUE"""),"Football Field/Track")</f>
        <v>Football Field/Track</v>
      </c>
      <c r="T1418" s="8" t="str">
        <f ca="1">IFERROR(__xludf.DUMMYFUNCTION("""COMPUTED_VALUE"""),"Outside on School Property")</f>
        <v>Outside on School Property</v>
      </c>
      <c r="U1418" s="8" t="str">
        <f ca="1">IFERROR(__xludf.DUMMYFUNCTION("""COMPUTED_VALUE"""),"No")</f>
        <v>No</v>
      </c>
      <c r="V1418" s="8" t="str">
        <f ca="1">IFERROR(__xludf.DUMMYFUNCTION("""COMPUTED_VALUE"""),"Evening")</f>
        <v>Evening</v>
      </c>
      <c r="W1418" s="11">
        <f ca="1">IFERROR(__xludf.DUMMYFUNCTION("""COMPUTED_VALUE"""),0.708333333333333)</f>
        <v>0.70833333333333304</v>
      </c>
      <c r="X1418" s="8"/>
      <c r="Y1418" s="12" t="str">
        <f ca="1">IFERROR(__xludf.DUMMYFUNCTION("""COMPUTED_VALUE"""),"Man shot near football field behind the school")</f>
        <v>Man shot near football field behind the school</v>
      </c>
      <c r="Z1418" s="12" t="str">
        <f ca="1">IFERROR(__xludf.DUMMYFUNCTION("""COMPUTED_VALUE"""),"A police officer making a traffic stop heard gun shots fired behind the school. Police located an adult victim with multiple gunshot wounds at a gas station 1/4 mile from the school. Victim he was shot behind the school. Victim did not provide any other i"&amp;"nformation. Shooter fled the area.")</f>
        <v>A police officer making a traffic stop heard gun shots fired behind the school. Police located an adult victim with multiple gunshot wounds at a gas station 1/4 mile from the school. Victim he was shot behind the school. Victim did not provide any other information. Shooter fled the area.</v>
      </c>
      <c r="AA1418" s="8"/>
      <c r="AB1418" s="8"/>
      <c r="AC1418" s="8" t="str">
        <f ca="1">IFERROR(__xludf.DUMMYFUNCTION("""COMPUTED_VALUE"""),"No")</f>
        <v>No</v>
      </c>
      <c r="AD1418" s="8" t="str">
        <f ca="1">IFERROR(__xludf.DUMMYFUNCTION("""COMPUTED_VALUE"""),"Victims Targeted")</f>
        <v>Victims Targeted</v>
      </c>
      <c r="AE1418" s="8"/>
      <c r="AF1418" s="8"/>
      <c r="AG1418" s="8" t="str">
        <f ca="1">IFERROR(__xludf.DUMMYFUNCTION("""COMPUTED_VALUE"""),"No")</f>
        <v>No</v>
      </c>
      <c r="AH1418" s="8" t="str">
        <f ca="1">IFERROR(__xludf.DUMMYFUNCTION("""COMPUTED_VALUE"""),"No")</f>
        <v>No</v>
      </c>
      <c r="AI1418" s="8" t="str">
        <f ca="1">IFERROR(__xludf.DUMMYFUNCTION("""COMPUTED_VALUE"""),"No")</f>
        <v>No</v>
      </c>
      <c r="AJ1418" s="8" t="str">
        <f ca="1">IFERROR(__xludf.DUMMYFUNCTION("""COMPUTED_VALUE"""),"No")</f>
        <v>No</v>
      </c>
      <c r="AK1418" s="8" t="str">
        <f ca="1">IFERROR(__xludf.DUMMYFUNCTION("""COMPUTED_VALUE"""),"No")</f>
        <v>No</v>
      </c>
      <c r="AL1418" s="8"/>
      <c r="AM1418" s="8" t="str">
        <f ca="1">IFERROR(__xludf.DUMMYFUNCTION("""COMPUTED_VALUE"""),"No")</f>
        <v>No</v>
      </c>
      <c r="AN1418" s="8"/>
      <c r="AO1418" s="8" t="str">
        <f ca="1">IFERROR(__xludf.DUMMYFUNCTION("""COMPUTED_VALUE"""),"No")</f>
        <v>No</v>
      </c>
      <c r="AP1418" s="8"/>
      <c r="AQ1418" s="8"/>
      <c r="AR1418" s="8" t="str">
        <f ca="1">IFERROR(__xludf.DUMMYFUNCTION("""COMPUTED_VALUE"""),"Outside/Off-Property")</f>
        <v>Outside/Off-Property</v>
      </c>
      <c r="AS1418" s="8"/>
      <c r="AT1418" s="8"/>
      <c r="AU1418" s="8">
        <f ca="1">IFERROR(__xludf.DUMMYFUNCTION("""COMPUTED_VALUE"""),38.829739)</f>
        <v>38.829738999999996</v>
      </c>
      <c r="AV1418" s="8">
        <f ca="1">IFERROR(__xludf.DUMMYFUNCTION("""COMPUTED_VALUE"""),-76.947824)</f>
        <v>-76.947823999999997</v>
      </c>
      <c r="AW1418" s="8"/>
      <c r="AX1418" s="8">
        <f ca="1">IFERROR(__xludf.DUMMYFUNCTION("""COMPUTED_VALUE"""),20748)</f>
        <v>20748</v>
      </c>
    </row>
    <row r="1419" spans="1:50" ht="75" x14ac:dyDescent="0.2">
      <c r="A1419" s="8" t="str">
        <f ca="1">IFERROR(__xludf.DUMMYFUNCTION("""COMPUTED_VALUE"""),"20210201MIMUD")</f>
        <v>20210201MIMUD</v>
      </c>
      <c r="B1419" s="8">
        <f ca="1">IFERROR(__xludf.DUMMYFUNCTION("""COMPUTED_VALUE"""),2)</f>
        <v>2</v>
      </c>
      <c r="C1419" s="8">
        <f ca="1">IFERROR(__xludf.DUMMYFUNCTION("""COMPUTED_VALUE"""),1)</f>
        <v>1</v>
      </c>
      <c r="D1419" s="8">
        <f ca="1">IFERROR(__xludf.DUMMYFUNCTION("""COMPUTED_VALUE"""),2021)</f>
        <v>2021</v>
      </c>
      <c r="E1419" s="9">
        <f ca="1">IFERROR(__xludf.DUMMYFUNCTION("""COMPUTED_VALUE"""),44228)</f>
        <v>44228</v>
      </c>
      <c r="F1419" s="8" t="str">
        <f ca="1">IFERROR(__xludf.DUMMYFUNCTION("""COMPUTED_VALUE"""),"Muslim American Youth Academy")</f>
        <v>Muslim American Youth Academy</v>
      </c>
      <c r="G1419" s="8">
        <f ca="1">IFERROR(__xludf.DUMMYFUNCTION("""COMPUTED_VALUE"""),0)</f>
        <v>0</v>
      </c>
      <c r="H1419" s="8">
        <f ca="1">IFERROR(__xludf.DUMMYFUNCTION("""COMPUTED_VALUE"""),1)</f>
        <v>1</v>
      </c>
      <c r="I1419" s="8">
        <f ca="1">IFERROR(__xludf.DUMMYFUNCTION("""COMPUTED_VALUE"""),1)</f>
        <v>1</v>
      </c>
      <c r="J1419" s="8">
        <f ca="1">IFERROR(__xludf.DUMMYFUNCTION("""COMPUTED_VALUE"""),0)</f>
        <v>0</v>
      </c>
      <c r="K1419" s="8" t="str">
        <f ca="1">IFERROR(__xludf.DUMMYFUNCTION("""COMPUTED_VALUE"""),"https://www.detroitnews.com/story/news/local/wayne-county/2021/02/03/tips-sought-shooting-dearborn-school-gym/4379432001/ https://www.pressandguide.com/news/police_fire/video-released-of-suspects-in-muslim-american-youth-academy-shooting/article_79072fba-"&amp;"670f-11eb-8905-2388f4c0263f.html https://www.miheadlines.com/2021/02/03/dearborn-police-seek-information-about-non-fatal-gymnasium-shooting/")</f>
        <v>https://www.detroitnews.com/story/news/local/wayne-county/2021/02/03/tips-sought-shooting-dearborn-school-gym/4379432001/ https://www.pressandguide.com/news/police_fire/video-released-of-suspects-in-muslim-american-youth-academy-shooting/article_79072fba-670f-11eb-8905-2388f4c0263f.html https://www.miheadlines.com/2021/02/03/dearborn-police-seek-information-about-non-fatal-gymnasium-shooting/</v>
      </c>
      <c r="L1419" s="8">
        <f ca="1">IFERROR(__xludf.DUMMYFUNCTION("""COMPUTED_VALUE"""),3)</f>
        <v>3</v>
      </c>
      <c r="M1419" s="8" t="str">
        <f ca="1">IFERROR(__xludf.DUMMYFUNCTION("""COMPUTED_VALUE"""),"Local")</f>
        <v>Local</v>
      </c>
      <c r="N1419" s="8">
        <f ca="1">IFERROR(__xludf.DUMMYFUNCTION("""COMPUTED_VALUE"""),4)</f>
        <v>4</v>
      </c>
      <c r="O1419" s="8" t="str">
        <f ca="1">IFERROR(__xludf.DUMMYFUNCTION("""COMPUTED_VALUE"""),"Winter")</f>
        <v>Winter</v>
      </c>
      <c r="P1419" s="8" t="str">
        <f ca="1">IFERROR(__xludf.DUMMYFUNCTION("""COMPUTED_VALUE"""),"Dearborn")</f>
        <v>Dearborn</v>
      </c>
      <c r="Q1419" s="8" t="str">
        <f ca="1">IFERROR(__xludf.DUMMYFUNCTION("""COMPUTED_VALUE"""),"MI")</f>
        <v>MI</v>
      </c>
      <c r="R1419" s="8" t="str">
        <f ca="1">IFERROR(__xludf.DUMMYFUNCTION("""COMPUTED_VALUE"""),"K-8")</f>
        <v>K-8</v>
      </c>
      <c r="S1419" s="8" t="str">
        <f ca="1">IFERROR(__xludf.DUMMYFUNCTION("""COMPUTED_VALUE"""),"Gym")</f>
        <v>Gym</v>
      </c>
      <c r="T1419" s="8" t="str">
        <f ca="1">IFERROR(__xludf.DUMMYFUNCTION("""COMPUTED_VALUE"""),"Inside School Building")</f>
        <v>Inside School Building</v>
      </c>
      <c r="U1419" s="8" t="str">
        <f ca="1">IFERROR(__xludf.DUMMYFUNCTION("""COMPUTED_VALUE"""),"No")</f>
        <v>No</v>
      </c>
      <c r="V1419" s="8" t="str">
        <f ca="1">IFERROR(__xludf.DUMMYFUNCTION("""COMPUTED_VALUE"""),"Night")</f>
        <v>Night</v>
      </c>
      <c r="W1419" s="11">
        <f ca="1">IFERROR(__xludf.DUMMYFUNCTION("""COMPUTED_VALUE"""),0.958333333333333)</f>
        <v>0.95833333333333304</v>
      </c>
      <c r="X1419" s="8">
        <f ca="1">IFERROR(__xludf.DUMMYFUNCTION("""COMPUTED_VALUE"""),1)</f>
        <v>1</v>
      </c>
      <c r="Y1419" s="12" t="str">
        <f ca="1">IFERROR(__xludf.DUMMYFUNCTION("""COMPUTED_VALUE"""),"Shooting inside school gym during dispute between two groups")</f>
        <v>Shooting inside school gym during dispute between two groups</v>
      </c>
      <c r="Z1419" s="12" t="str">
        <f ca="1">IFERROR(__xludf.DUMMYFUNCTION("""COMPUTED_VALUE"""),"Multiple people were involved in a dispute between two groups that resulted in a shooting in the school gym. One person was shot in the leg. Shooter fled the scene. School classes were not in session at the time of the shooting and the shooter and victim "&amp;"were not students at the school.")</f>
        <v>Multiple people were involved in a dispute between two groups that resulted in a shooting in the school gym. One person was shot in the leg. Shooter fled the scene. School classes were not in session at the time of the shooting and the shooter and victim were not students at the school.</v>
      </c>
      <c r="AA1419" s="8" t="str">
        <f ca="1">IFERROR(__xludf.DUMMYFUNCTION("""COMPUTED_VALUE"""),"Escalation of Dispute")</f>
        <v>Escalation of Dispute</v>
      </c>
      <c r="AB1419" s="8"/>
      <c r="AC1419" s="8" t="str">
        <f ca="1">IFERROR(__xludf.DUMMYFUNCTION("""COMPUTED_VALUE"""),"No")</f>
        <v>No</v>
      </c>
      <c r="AD1419" s="8" t="str">
        <f ca="1">IFERROR(__xludf.DUMMYFUNCTION("""COMPUTED_VALUE"""),"Victims Targeted")</f>
        <v>Victims Targeted</v>
      </c>
      <c r="AE1419" s="8" t="str">
        <f ca="1">IFERROR(__xludf.DUMMYFUNCTION("""COMPUTED_VALUE"""),"No")</f>
        <v>No</v>
      </c>
      <c r="AF1419" s="8"/>
      <c r="AG1419" s="8" t="str">
        <f ca="1">IFERROR(__xludf.DUMMYFUNCTION("""COMPUTED_VALUE"""),"No")</f>
        <v>No</v>
      </c>
      <c r="AH1419" s="8" t="str">
        <f ca="1">IFERROR(__xludf.DUMMYFUNCTION("""COMPUTED_VALUE"""),"No")</f>
        <v>No</v>
      </c>
      <c r="AI1419" s="8" t="str">
        <f ca="1">IFERROR(__xludf.DUMMYFUNCTION("""COMPUTED_VALUE"""),"No")</f>
        <v>No</v>
      </c>
      <c r="AJ1419" s="8" t="str">
        <f ca="1">IFERROR(__xludf.DUMMYFUNCTION("""COMPUTED_VALUE"""),"No")</f>
        <v>No</v>
      </c>
      <c r="AK1419" s="8" t="str">
        <f ca="1">IFERROR(__xludf.DUMMYFUNCTION("""COMPUTED_VALUE"""),"No")</f>
        <v>No</v>
      </c>
      <c r="AL1419" s="8"/>
      <c r="AM1419" s="8" t="str">
        <f ca="1">IFERROR(__xludf.DUMMYFUNCTION("""COMPUTED_VALUE"""),"No")</f>
        <v>No</v>
      </c>
      <c r="AN1419" s="8"/>
      <c r="AO1419" s="8" t="str">
        <f ca="1">IFERROR(__xludf.DUMMYFUNCTION("""COMPUTED_VALUE"""),"No")</f>
        <v>No</v>
      </c>
      <c r="AP1419" s="8"/>
      <c r="AQ1419" s="8"/>
      <c r="AR1419" s="8"/>
      <c r="AS1419" s="8"/>
      <c r="AT1419" s="8"/>
      <c r="AU1419" s="8">
        <f ca="1">IFERROR(__xludf.DUMMYFUNCTION("""COMPUTED_VALUE"""),42.330162)</f>
        <v>42.330162000000001</v>
      </c>
      <c r="AV1419" s="8">
        <f ca="1">IFERROR(__xludf.DUMMYFUNCTION("""COMPUTED_VALUE"""),-83.229122)</f>
        <v>-83.229122000000004</v>
      </c>
      <c r="AW1419" s="8"/>
      <c r="AX1419" s="8">
        <f ca="1">IFERROR(__xludf.DUMMYFUNCTION("""COMPUTED_VALUE"""),48128)</f>
        <v>48128</v>
      </c>
    </row>
    <row r="1420" spans="1:50" ht="150" x14ac:dyDescent="0.2">
      <c r="A1420" s="8" t="str">
        <f ca="1">IFERROR(__xludf.DUMMYFUNCTION("""COMPUTED_VALUE"""),"20210127MSHAH")</f>
        <v>20210127MSHAH</v>
      </c>
      <c r="B1420" s="8">
        <f ca="1">IFERROR(__xludf.DUMMYFUNCTION("""COMPUTED_VALUE"""),1)</f>
        <v>1</v>
      </c>
      <c r="C1420" s="8">
        <f ca="1">IFERROR(__xludf.DUMMYFUNCTION("""COMPUTED_VALUE"""),27)</f>
        <v>27</v>
      </c>
      <c r="D1420" s="8">
        <f ca="1">IFERROR(__xludf.DUMMYFUNCTION("""COMPUTED_VALUE"""),2021)</f>
        <v>2021</v>
      </c>
      <c r="E1420" s="9">
        <f ca="1">IFERROR(__xludf.DUMMYFUNCTION("""COMPUTED_VALUE"""),44223)</f>
        <v>44223</v>
      </c>
      <c r="F1420" s="8" t="str">
        <f ca="1">IFERROR(__xludf.DUMMYFUNCTION("""COMPUTED_VALUE"""),"Hattiesburg High School")</f>
        <v>Hattiesburg High School</v>
      </c>
      <c r="G1420" s="8">
        <f ca="1">IFERROR(__xludf.DUMMYFUNCTION("""COMPUTED_VALUE"""),0)</f>
        <v>0</v>
      </c>
      <c r="H1420" s="8">
        <f ca="1">IFERROR(__xludf.DUMMYFUNCTION("""COMPUTED_VALUE"""),0)</f>
        <v>0</v>
      </c>
      <c r="I1420" s="8">
        <f ca="1">IFERROR(__xludf.DUMMYFUNCTION("""COMPUTED_VALUE"""),0)</f>
        <v>0</v>
      </c>
      <c r="J1420" s="8">
        <f ca="1">IFERROR(__xludf.DUMMYFUNCTION("""COMPUTED_VALUE"""),0)</f>
        <v>0</v>
      </c>
      <c r="K1420" s="8" t="str">
        <f ca="1">IFERROR(__xludf.DUMMYFUNCTION("""COMPUTED_VALUE"""),"https://www.wapt.com/article/hattiesburg-police-shooting-near-high-school-under-investigation/35340013# https://www.hattiesburgamerican.com/story/news/local/hattiesburg/2021/02/11/hattiesburg-officers-shooting-armed-teen-injured/6723198002/")</f>
        <v>https://www.wapt.com/article/hattiesburg-police-shooting-near-high-school-under-investigation/35340013# https://www.hattiesburgamerican.com/story/news/local/hattiesburg/2021/02/11/hattiesburg-officers-shooting-armed-teen-injured/6723198002/</v>
      </c>
      <c r="L1420" s="8">
        <f ca="1">IFERROR(__xludf.DUMMYFUNCTION("""COMPUTED_VALUE"""),2)</f>
        <v>2</v>
      </c>
      <c r="M1420" s="8" t="str">
        <f ca="1">IFERROR(__xludf.DUMMYFUNCTION("""COMPUTED_VALUE"""),"Local")</f>
        <v>Local</v>
      </c>
      <c r="N1420" s="8">
        <f ca="1">IFERROR(__xludf.DUMMYFUNCTION("""COMPUTED_VALUE"""),4)</f>
        <v>4</v>
      </c>
      <c r="O1420" s="8" t="str">
        <f ca="1">IFERROR(__xludf.DUMMYFUNCTION("""COMPUTED_VALUE"""),"Winter")</f>
        <v>Winter</v>
      </c>
      <c r="P1420" s="8" t="str">
        <f ca="1">IFERROR(__xludf.DUMMYFUNCTION("""COMPUTED_VALUE"""),"Hattiesburg")</f>
        <v>Hattiesburg</v>
      </c>
      <c r="Q1420" s="8" t="str">
        <f ca="1">IFERROR(__xludf.DUMMYFUNCTION("""COMPUTED_VALUE"""),"MS")</f>
        <v>MS</v>
      </c>
      <c r="R1420" s="8" t="str">
        <f ca="1">IFERROR(__xludf.DUMMYFUNCTION("""COMPUTED_VALUE"""),"High")</f>
        <v>High</v>
      </c>
      <c r="S1420" s="8" t="str">
        <f ca="1">IFERROR(__xludf.DUMMYFUNCTION("""COMPUTED_VALUE"""),"Off School Property")</f>
        <v>Off School Property</v>
      </c>
      <c r="T1420" s="8" t="str">
        <f ca="1">IFERROR(__xludf.DUMMYFUNCTION("""COMPUTED_VALUE"""),"School Bus")</f>
        <v>School Bus</v>
      </c>
      <c r="U1420" s="8" t="str">
        <f ca="1">IFERROR(__xludf.DUMMYFUNCTION("""COMPUTED_VALUE"""),"Yes")</f>
        <v>Yes</v>
      </c>
      <c r="V1420" s="8" t="str">
        <f ca="1">IFERROR(__xludf.DUMMYFUNCTION("""COMPUTED_VALUE"""),"School Start")</f>
        <v>School Start</v>
      </c>
      <c r="W1420" s="11">
        <f ca="1">IFERROR(__xludf.DUMMYFUNCTION("""COMPUTED_VALUE"""),0.333333333333333)</f>
        <v>0.33333333333333298</v>
      </c>
      <c r="X1420" s="8">
        <f ca="1">IFERROR(__xludf.DUMMYFUNCTION("""COMPUTED_VALUE"""),21)</f>
        <v>21</v>
      </c>
      <c r="Y1420" s="12" t="str">
        <f ca="1">IFERROR(__xludf.DUMMYFUNCTION("""COMPUTED_VALUE"""),"Teen pointed gun at school bus and then fired shots into the air near the school")</f>
        <v>Teen pointed gun at school bus and then fired shots into the air near the school</v>
      </c>
      <c r="Z1420" s="12" t="str">
        <f ca="1">IFERROR(__xludf.DUMMYFUNCTION("""COMPUTED_VALUE"""),"During a 21 minute time period, multiple people called 911 to report a teen with a gun near the school. At 7:43 AM, the 14-year-old male pointed the gun at a school bus and then fired shots into the air near the school. When police officers arrived at 7:5"&amp;"0 AM, the teen pointed the weapon at officers and said he was going to shoot them. At 7:51 AM, the officers fired multiple shots and wounded the shooter. He was taken to the hospital, treated, and recovered from injuries. The shooting was recorded on body"&amp;" cameras worn by the officers. Motive unknown.")</f>
        <v>During a 21 minute time period, multiple people called 911 to report a teen with a gun near the school. At 7:43 AM, the 14-year-old male pointed the gun at a school bus and then fired shots into the air near the school. When police officers arrived at 7:50 AM, the teen pointed the weapon at officers and said he was going to shoot them. At 7:51 AM, the officers fired multiple shots and wounded the shooter. He was taken to the hospital, treated, and recovered from injuries. The shooting was recorded on body cameras worn by the officers. Motive unknown.</v>
      </c>
      <c r="AA1420" s="8"/>
      <c r="AB1420" s="8"/>
      <c r="AC1420" s="8" t="str">
        <f ca="1">IFERROR(__xludf.DUMMYFUNCTION("""COMPUTED_VALUE"""),"Yes")</f>
        <v>Yes</v>
      </c>
      <c r="AD1420" s="8" t="str">
        <f ca="1">IFERROR(__xludf.DUMMYFUNCTION("""COMPUTED_VALUE"""),"Random Shooting")</f>
        <v>Random Shooting</v>
      </c>
      <c r="AE1420" s="8" t="str">
        <f ca="1">IFERROR(__xludf.DUMMYFUNCTION("""COMPUTED_VALUE"""),"No")</f>
        <v>No</v>
      </c>
      <c r="AF1420" s="8"/>
      <c r="AG1420" s="8" t="str">
        <f ca="1">IFERROR(__xludf.DUMMYFUNCTION("""COMPUTED_VALUE"""),"No")</f>
        <v>No</v>
      </c>
      <c r="AH1420" s="8" t="str">
        <f ca="1">IFERROR(__xludf.DUMMYFUNCTION("""COMPUTED_VALUE"""),"No")</f>
        <v>No</v>
      </c>
      <c r="AI1420" s="8" t="str">
        <f ca="1">IFERROR(__xludf.DUMMYFUNCTION("""COMPUTED_VALUE"""),"Yes")</f>
        <v>Yes</v>
      </c>
      <c r="AJ1420" s="8" t="str">
        <f ca="1">IFERROR(__xludf.DUMMYFUNCTION("""COMPUTED_VALUE"""),"No")</f>
        <v>No</v>
      </c>
      <c r="AK1420" s="8" t="str">
        <f ca="1">IFERROR(__xludf.DUMMYFUNCTION("""COMPUTED_VALUE"""),"No")</f>
        <v>No</v>
      </c>
      <c r="AL1420" s="8" t="str">
        <f ca="1">IFERROR(__xludf.DUMMYFUNCTION("""COMPUTED_VALUE"""),"No")</f>
        <v>No</v>
      </c>
      <c r="AM1420" s="8" t="str">
        <f ca="1">IFERROR(__xludf.DUMMYFUNCTION("""COMPUTED_VALUE"""),"No")</f>
        <v>No</v>
      </c>
      <c r="AN1420" s="8"/>
      <c r="AO1420" s="8"/>
      <c r="AP1420" s="8"/>
      <c r="AQ1420" s="8"/>
      <c r="AR1420" s="8" t="str">
        <f ca="1">IFERROR(__xludf.DUMMYFUNCTION("""COMPUTED_VALUE"""),"Outside/Off-Property")</f>
        <v>Outside/Off-Property</v>
      </c>
      <c r="AS1420" s="8"/>
      <c r="AT1420" s="8"/>
      <c r="AU1420" s="8">
        <f ca="1">IFERROR(__xludf.DUMMYFUNCTION("""COMPUTED_VALUE"""),31.328659)</f>
        <v>31.328658999999998</v>
      </c>
      <c r="AV1420" s="8">
        <f ca="1">IFERROR(__xludf.DUMMYFUNCTION("""COMPUTED_VALUE"""),-89.309311)</f>
        <v>-89.309310999999994</v>
      </c>
      <c r="AW1420" s="8"/>
      <c r="AX1420" s="8">
        <f ca="1">IFERROR(__xludf.DUMMYFUNCTION("""COMPUTED_VALUE"""),39401)</f>
        <v>39401</v>
      </c>
    </row>
    <row r="1421" spans="1:50" ht="150" x14ac:dyDescent="0.2">
      <c r="A1421" s="8" t="str">
        <f ca="1">IFERROR(__xludf.DUMMYFUNCTION("""COMPUTED_VALUE"""),"20210127FLHOH")</f>
        <v>20210127FLHOH</v>
      </c>
      <c r="B1421" s="8">
        <f ca="1">IFERROR(__xludf.DUMMYFUNCTION("""COMPUTED_VALUE"""),1)</f>
        <v>1</v>
      </c>
      <c r="C1421" s="8">
        <f ca="1">IFERROR(__xludf.DUMMYFUNCTION("""COMPUTED_VALUE"""),27)</f>
        <v>27</v>
      </c>
      <c r="D1421" s="8">
        <f ca="1">IFERROR(__xludf.DUMMYFUNCTION("""COMPUTED_VALUE"""),2021)</f>
        <v>2021</v>
      </c>
      <c r="E1421" s="9">
        <f ca="1">IFERROR(__xludf.DUMMYFUNCTION("""COMPUTED_VALUE"""),44223)</f>
        <v>44223</v>
      </c>
      <c r="F1421" s="8" t="str">
        <f ca="1">IFERROR(__xludf.DUMMYFUNCTION("""COMPUTED_VALUE"""),"Holly Hill School")</f>
        <v>Holly Hill School</v>
      </c>
      <c r="G1421" s="8">
        <f ca="1">IFERROR(__xludf.DUMMYFUNCTION("""COMPUTED_VALUE"""),0)</f>
        <v>0</v>
      </c>
      <c r="H1421" s="8">
        <f ca="1">IFERROR(__xludf.DUMMYFUNCTION("""COMPUTED_VALUE"""),0)</f>
        <v>0</v>
      </c>
      <c r="I1421" s="8">
        <f ca="1">IFERROR(__xludf.DUMMYFUNCTION("""COMPUTED_VALUE"""),0)</f>
        <v>0</v>
      </c>
      <c r="J1421" s="8">
        <f ca="1">IFERROR(__xludf.DUMMYFUNCTION("""COMPUTED_VALUE"""),0)</f>
        <v>0</v>
      </c>
      <c r="K1421" s="8" t="str">
        <f ca="1">IFERROR(__xludf.DUMMYFUNCTION("""COMPUTED_VALUE"""),"https://www.orlandosentinel.com/news/volusia-county/os-ne-central-florida-students-charges-airsoft-guns-school-20210129-k6zg7s7nhzcnhbe6q4pntqhid4-story.html https://www.clickorlando.com/news/local/2021/01/28/kid-shot-with-airsoft-gun-at-holly-hill-school"&amp;"-2-students-face-charges-police-say/")</f>
        <v>https://www.orlandosentinel.com/news/volusia-county/os-ne-central-florida-students-charges-airsoft-guns-school-20210129-k6zg7s7nhzcnhbe6q4pntqhid4-story.html https://www.clickorlando.com/news/local/2021/01/28/kid-shot-with-airsoft-gun-at-holly-hill-school-2-students-face-charges-police-say/</v>
      </c>
      <c r="L1421" s="8">
        <f ca="1">IFERROR(__xludf.DUMMYFUNCTION("""COMPUTED_VALUE"""),2)</f>
        <v>2</v>
      </c>
      <c r="M1421" s="8" t="str">
        <f ca="1">IFERROR(__xludf.DUMMYFUNCTION("""COMPUTED_VALUE"""),"Local")</f>
        <v>Local</v>
      </c>
      <c r="N1421" s="8">
        <f ca="1">IFERROR(__xludf.DUMMYFUNCTION("""COMPUTED_VALUE"""),4)</f>
        <v>4</v>
      </c>
      <c r="O1421" s="8" t="str">
        <f ca="1">IFERROR(__xludf.DUMMYFUNCTION("""COMPUTED_VALUE"""),"Winter")</f>
        <v>Winter</v>
      </c>
      <c r="P1421" s="8" t="str">
        <f ca="1">IFERROR(__xludf.DUMMYFUNCTION("""COMPUTED_VALUE"""),"Holly Hill")</f>
        <v>Holly Hill</v>
      </c>
      <c r="Q1421" s="8" t="str">
        <f ca="1">IFERROR(__xludf.DUMMYFUNCTION("""COMPUTED_VALUE"""),"FL")</f>
        <v>FL</v>
      </c>
      <c r="R1421" s="8" t="str">
        <f ca="1">IFERROR(__xludf.DUMMYFUNCTION("""COMPUTED_VALUE"""),"K-8")</f>
        <v>K-8</v>
      </c>
      <c r="S1421" s="8" t="str">
        <f ca="1">IFERROR(__xludf.DUMMYFUNCTION("""COMPUTED_VALUE"""),"Gym")</f>
        <v>Gym</v>
      </c>
      <c r="T1421" s="8" t="str">
        <f ca="1">IFERROR(__xludf.DUMMYFUNCTION("""COMPUTED_VALUE"""),"Inside School Building")</f>
        <v>Inside School Building</v>
      </c>
      <c r="U1421" s="8" t="str">
        <f ca="1">IFERROR(__xludf.DUMMYFUNCTION("""COMPUTED_VALUE"""),"Yes")</f>
        <v>Yes</v>
      </c>
      <c r="V1421" s="8" t="str">
        <f ca="1">IFERROR(__xludf.DUMMYFUNCTION("""COMPUTED_VALUE"""),"Afternoon Classes")</f>
        <v>Afternoon Classes</v>
      </c>
      <c r="W1421" s="8"/>
      <c r="X1421" s="8">
        <f ca="1">IFERROR(__xludf.DUMMYFUNCTION("""COMPUTED_VALUE"""),1)</f>
        <v>1</v>
      </c>
      <c r="Y1421" s="12" t="str">
        <f ca="1">IFERROR(__xludf.DUMMYFUNCTION("""COMPUTED_VALUE"""),"Student shot with airsoft gun in locker room")</f>
        <v>Student shot with airsoft gun in locker room</v>
      </c>
      <c r="Z1421" s="12" t="str">
        <f ca="1">IFERROR(__xludf.DUMMYFUNCTION("""COMPUTED_VALUE"""),"Student (shooter 1) brought 2 airsoft replica pistols to school. In the gym locker room, another student (shooter 2) fired the airsoft gun at another student (victim 1). Shooter 1 also attempted to shoot victim 1 but the weapon failed to fire. The followi"&amp;"ng day, school officials were notified about the shooting and detailed the student who had both weapons. Shooter 1 and Shooter 2 admitted to the shooting. Both face weapons charges and shooter 2 faces aggravated battery. School was not locked down or awar"&amp;"e of the incident the day the shooting took place.")</f>
        <v>Student (shooter 1) brought 2 airsoft replica pistols to school. In the gym locker room, another student (shooter 2) fired the airsoft gun at another student (victim 1). Shooter 1 also attempted to shoot victim 1 but the weapon failed to fire. The following day, school officials were notified about the shooting and detailed the student who had both weapons. Shooter 1 and Shooter 2 admitted to the shooting. Both face weapons charges and shooter 2 faces aggravated battery. School was not locked down or aware of the incident the day the shooting took place.</v>
      </c>
      <c r="AA1421" s="8"/>
      <c r="AB1421" s="8"/>
      <c r="AC1421" s="8" t="str">
        <f ca="1">IFERROR(__xludf.DUMMYFUNCTION("""COMPUTED_VALUE"""),"Yes")</f>
        <v>Yes</v>
      </c>
      <c r="AD1421" s="8" t="str">
        <f ca="1">IFERROR(__xludf.DUMMYFUNCTION("""COMPUTED_VALUE"""),"Victims Targeted")</f>
        <v>Victims Targeted</v>
      </c>
      <c r="AE1421" s="8" t="str">
        <f ca="1">IFERROR(__xludf.DUMMYFUNCTION("""COMPUTED_VALUE"""),"Yes")</f>
        <v>Yes</v>
      </c>
      <c r="AF1421" s="8"/>
      <c r="AG1421" s="8" t="str">
        <f ca="1">IFERROR(__xludf.DUMMYFUNCTION("""COMPUTED_VALUE"""),"No")</f>
        <v>No</v>
      </c>
      <c r="AH1421" s="8" t="str">
        <f ca="1">IFERROR(__xludf.DUMMYFUNCTION("""COMPUTED_VALUE"""),"No")</f>
        <v>No</v>
      </c>
      <c r="AI1421" s="8" t="str">
        <f ca="1">IFERROR(__xludf.DUMMYFUNCTION("""COMPUTED_VALUE"""),"No")</f>
        <v>No</v>
      </c>
      <c r="AJ1421" s="8"/>
      <c r="AK1421" s="8" t="str">
        <f ca="1">IFERROR(__xludf.DUMMYFUNCTION("""COMPUTED_VALUE"""),"No")</f>
        <v>No</v>
      </c>
      <c r="AL1421" s="8"/>
      <c r="AM1421" s="8" t="str">
        <f ca="1">IFERROR(__xludf.DUMMYFUNCTION("""COMPUTED_VALUE"""),"No")</f>
        <v>No</v>
      </c>
      <c r="AN1421" s="8"/>
      <c r="AO1421" s="8" t="str">
        <f ca="1">IFERROR(__xludf.DUMMYFUNCTION("""COMPUTED_VALUE"""),"Yes")</f>
        <v>Yes</v>
      </c>
      <c r="AP1421" s="8" t="str">
        <f ca="1">IFERROR(__xludf.DUMMYFUNCTION("""COMPUTED_VALUE"""),"Yes")</f>
        <v>Yes</v>
      </c>
      <c r="AQ1421" s="8"/>
      <c r="AR1421" s="8" t="str">
        <f ca="1">IFERROR(__xludf.DUMMYFUNCTION("""COMPUTED_VALUE"""),"Failed")</f>
        <v>Failed</v>
      </c>
      <c r="AS1421" s="8"/>
      <c r="AT1421" s="8" t="str">
        <f ca="1">IFERROR(__xludf.DUMMYFUNCTION("""COMPUTED_VALUE"""),"No")</f>
        <v>No</v>
      </c>
      <c r="AU1421" s="8">
        <f ca="1">IFERROR(__xludf.DUMMYFUNCTION("""COMPUTED_VALUE"""),29.248414)</f>
        <v>29.248414</v>
      </c>
      <c r="AV1421" s="8">
        <f ca="1">IFERROR(__xludf.DUMMYFUNCTION("""COMPUTED_VALUE"""),-81.056011)</f>
        <v>-81.056010999999998</v>
      </c>
      <c r="AW1421" s="8"/>
      <c r="AX1421" s="8">
        <f ca="1">IFERROR(__xludf.DUMMYFUNCTION("""COMPUTED_VALUE"""),32117)</f>
        <v>32117</v>
      </c>
    </row>
    <row r="1422" spans="1:50" ht="60" x14ac:dyDescent="0.2">
      <c r="A1422" s="8" t="str">
        <f ca="1">IFERROR(__xludf.DUMMYFUNCTION("""COMPUTED_VALUE"""),"20210121OKLOG")</f>
        <v>20210121OKLOG</v>
      </c>
      <c r="B1422" s="8">
        <f ca="1">IFERROR(__xludf.DUMMYFUNCTION("""COMPUTED_VALUE"""),1)</f>
        <v>1</v>
      </c>
      <c r="C1422" s="8">
        <f ca="1">IFERROR(__xludf.DUMMYFUNCTION("""COMPUTED_VALUE"""),21)</f>
        <v>21</v>
      </c>
      <c r="D1422" s="8">
        <f ca="1">IFERROR(__xludf.DUMMYFUNCTION("""COMPUTED_VALUE"""),2021)</f>
        <v>2021</v>
      </c>
      <c r="E1422" s="9">
        <f ca="1">IFERROR(__xludf.DUMMYFUNCTION("""COMPUTED_VALUE"""),44217)</f>
        <v>44217</v>
      </c>
      <c r="F1422" s="8" t="str">
        <f ca="1">IFERROR(__xludf.DUMMYFUNCTION("""COMPUTED_VALUE"""),"Lower Elementary School")</f>
        <v>Lower Elementary School</v>
      </c>
      <c r="G1422" s="8">
        <f ca="1">IFERROR(__xludf.DUMMYFUNCTION("""COMPUTED_VALUE"""),0)</f>
        <v>0</v>
      </c>
      <c r="H1422" s="8">
        <f ca="1">IFERROR(__xludf.DUMMYFUNCTION("""COMPUTED_VALUE"""),0)</f>
        <v>0</v>
      </c>
      <c r="I1422" s="8">
        <f ca="1">IFERROR(__xludf.DUMMYFUNCTION("""COMPUTED_VALUE"""),0)</f>
        <v>0</v>
      </c>
      <c r="J1422" s="8">
        <f ca="1">IFERROR(__xludf.DUMMYFUNCTION("""COMPUTED_VALUE"""),0)</f>
        <v>0</v>
      </c>
      <c r="K1422" s="10" t="str">
        <f ca="1">IFERROR(__xludf.DUMMYFUNCTION("""COMPUTED_VALUE"""),"https://www.newson6.com/story/600ba2d50247a70bc6e22b8a/parent-accidentally-shoots-themself-while-picking-up-student-at-grove-lower-elementary")</f>
        <v>https://www.newson6.com/story/600ba2d50247a70bc6e22b8a/parent-accidentally-shoots-themself-while-picking-up-student-at-grove-lower-elementary</v>
      </c>
      <c r="L1422" s="8">
        <f ca="1">IFERROR(__xludf.DUMMYFUNCTION("""COMPUTED_VALUE"""),1)</f>
        <v>1</v>
      </c>
      <c r="M1422" s="8" t="str">
        <f ca="1">IFERROR(__xludf.DUMMYFUNCTION("""COMPUTED_VALUE"""),"Local")</f>
        <v>Local</v>
      </c>
      <c r="N1422" s="8">
        <f ca="1">IFERROR(__xludf.DUMMYFUNCTION("""COMPUTED_VALUE"""),4)</f>
        <v>4</v>
      </c>
      <c r="O1422" s="8" t="str">
        <f ca="1">IFERROR(__xludf.DUMMYFUNCTION("""COMPUTED_VALUE"""),"Winter")</f>
        <v>Winter</v>
      </c>
      <c r="P1422" s="8" t="str">
        <f ca="1">IFERROR(__xludf.DUMMYFUNCTION("""COMPUTED_VALUE"""),"Grove")</f>
        <v>Grove</v>
      </c>
      <c r="Q1422" s="8" t="str">
        <f ca="1">IFERROR(__xludf.DUMMYFUNCTION("""COMPUTED_VALUE"""),"OK")</f>
        <v>OK</v>
      </c>
      <c r="R1422" s="8" t="str">
        <f ca="1">IFERROR(__xludf.DUMMYFUNCTION("""COMPUTED_VALUE"""),"Elementary")</f>
        <v>Elementary</v>
      </c>
      <c r="S1422" s="8" t="str">
        <f ca="1">IFERROR(__xludf.DUMMYFUNCTION("""COMPUTED_VALUE"""),"Parking Lot")</f>
        <v>Parking Lot</v>
      </c>
      <c r="T1422" s="8" t="str">
        <f ca="1">IFERROR(__xludf.DUMMYFUNCTION("""COMPUTED_VALUE"""),"Outside on School Property")</f>
        <v>Outside on School Property</v>
      </c>
      <c r="U1422" s="8" t="str">
        <f ca="1">IFERROR(__xludf.DUMMYFUNCTION("""COMPUTED_VALUE"""),"Yes")</f>
        <v>Yes</v>
      </c>
      <c r="V1422" s="8" t="str">
        <f ca="1">IFERROR(__xludf.DUMMYFUNCTION("""COMPUTED_VALUE"""),"Dismissal")</f>
        <v>Dismissal</v>
      </c>
      <c r="W1422" s="11">
        <f ca="1">IFERROR(__xludf.DUMMYFUNCTION("""COMPUTED_VALUE"""),0.625)</f>
        <v>0.625</v>
      </c>
      <c r="X1422" s="8">
        <f ca="1">IFERROR(__xludf.DUMMYFUNCTION("""COMPUTED_VALUE"""),1)</f>
        <v>1</v>
      </c>
      <c r="Y1422" s="12" t="str">
        <f ca="1">IFERROR(__xludf.DUMMYFUNCTION("""COMPUTED_VALUE"""),"Parent shot self inside car while in pickup line at school")</f>
        <v>Parent shot self inside car while in pickup line at school</v>
      </c>
      <c r="Z1422" s="12" t="str">
        <f ca="1">IFERROR(__xludf.DUMMYFUNCTION("""COMPUTED_VALUE"""),"A parent waiting in the pickup line, accidentally shot himself inside his vehicle. He exited the pickup line and drove to the hospital. No students were involved or injured. Firearms are prohibited on the campus.")</f>
        <v>A parent waiting in the pickup line, accidentally shot himself inside his vehicle. He exited the pickup line and drove to the hospital. No students were involved or injured. Firearms are prohibited on the campus.</v>
      </c>
      <c r="AA1422" s="8" t="str">
        <f ca="1">IFERROR(__xludf.DUMMYFUNCTION("""COMPUTED_VALUE"""),"Accidental")</f>
        <v>Accidental</v>
      </c>
      <c r="AB1422" s="8"/>
      <c r="AC1422" s="8" t="str">
        <f ca="1">IFERROR(__xludf.DUMMYFUNCTION("""COMPUTED_VALUE"""),"Yes")</f>
        <v>Yes</v>
      </c>
      <c r="AD1422" s="8" t="str">
        <f ca="1">IFERROR(__xludf.DUMMYFUNCTION("""COMPUTED_VALUE"""),"Random Shooting")</f>
        <v>Random Shooting</v>
      </c>
      <c r="AE1422" s="8" t="str">
        <f ca="1">IFERROR(__xludf.DUMMYFUNCTION("""COMPUTED_VALUE"""),"No")</f>
        <v>No</v>
      </c>
      <c r="AF1422" s="8"/>
      <c r="AG1422" s="8" t="str">
        <f ca="1">IFERROR(__xludf.DUMMYFUNCTION("""COMPUTED_VALUE"""),"No")</f>
        <v>No</v>
      </c>
      <c r="AH1422" s="8" t="str">
        <f ca="1">IFERROR(__xludf.DUMMYFUNCTION("""COMPUTED_VALUE"""),"No")</f>
        <v>No</v>
      </c>
      <c r="AI1422" s="8" t="str">
        <f ca="1">IFERROR(__xludf.DUMMYFUNCTION("""COMPUTED_VALUE"""),"No")</f>
        <v>No</v>
      </c>
      <c r="AJ1422" s="8" t="str">
        <f ca="1">IFERROR(__xludf.DUMMYFUNCTION("""COMPUTED_VALUE"""),"No")</f>
        <v>No</v>
      </c>
      <c r="AK1422" s="8" t="str">
        <f ca="1">IFERROR(__xludf.DUMMYFUNCTION("""COMPUTED_VALUE"""),"No")</f>
        <v>No</v>
      </c>
      <c r="AL1422" s="8" t="str">
        <f ca="1">IFERROR(__xludf.DUMMYFUNCTION("""COMPUTED_VALUE"""),"No")</f>
        <v>No</v>
      </c>
      <c r="AM1422" s="8" t="str">
        <f ca="1">IFERROR(__xludf.DUMMYFUNCTION("""COMPUTED_VALUE"""),"No")</f>
        <v>No</v>
      </c>
      <c r="AN1422" s="8"/>
      <c r="AO1422" s="8" t="str">
        <f ca="1">IFERROR(__xludf.DUMMYFUNCTION("""COMPUTED_VALUE"""),"No")</f>
        <v>No</v>
      </c>
      <c r="AP1422" s="8"/>
      <c r="AQ1422" s="8"/>
      <c r="AR1422" s="8" t="str">
        <f ca="1">IFERROR(__xludf.DUMMYFUNCTION("""COMPUTED_VALUE"""),"Outside/Off-Property")</f>
        <v>Outside/Off-Property</v>
      </c>
      <c r="AS1422" s="8">
        <f ca="1">IFERROR(__xludf.DUMMYFUNCTION("""COMPUTED_VALUE"""),1)</f>
        <v>1</v>
      </c>
      <c r="AT1422" s="8" t="str">
        <f ca="1">IFERROR(__xludf.DUMMYFUNCTION("""COMPUTED_VALUE"""),"No")</f>
        <v>No</v>
      </c>
      <c r="AU1422" s="8">
        <f ca="1">IFERROR(__xludf.DUMMYFUNCTION("""COMPUTED_VALUE"""),36.586959)</f>
        <v>36.586959</v>
      </c>
      <c r="AV1422" s="8">
        <f ca="1">IFERROR(__xludf.DUMMYFUNCTION("""COMPUTED_VALUE"""),-94.779319)</f>
        <v>-94.779319000000001</v>
      </c>
      <c r="AW1422" s="8"/>
      <c r="AX1422" s="8">
        <f ca="1">IFERROR(__xludf.DUMMYFUNCTION("""COMPUTED_VALUE"""),74345)</f>
        <v>74345</v>
      </c>
    </row>
    <row r="1423" spans="1:50" ht="60" x14ac:dyDescent="0.2">
      <c r="A1423" s="8" t="str">
        <f ca="1">IFERROR(__xludf.DUMMYFUNCTION("""COMPUTED_VALUE"""),"20210121OHEAC")</f>
        <v>20210121OHEAC</v>
      </c>
      <c r="B1423" s="8">
        <f ca="1">IFERROR(__xludf.DUMMYFUNCTION("""COMPUTED_VALUE"""),1)</f>
        <v>1</v>
      </c>
      <c r="C1423" s="8">
        <f ca="1">IFERROR(__xludf.DUMMYFUNCTION("""COMPUTED_VALUE"""),21)</f>
        <v>21</v>
      </c>
      <c r="D1423" s="8">
        <f ca="1">IFERROR(__xludf.DUMMYFUNCTION("""COMPUTED_VALUE"""),2021)</f>
        <v>2021</v>
      </c>
      <c r="E1423" s="9">
        <f ca="1">IFERROR(__xludf.DUMMYFUNCTION("""COMPUTED_VALUE"""),44217)</f>
        <v>44217</v>
      </c>
      <c r="F1423" s="8" t="str">
        <f ca="1">IFERROR(__xludf.DUMMYFUNCTION("""COMPUTED_VALUE"""),"Eastmoor Academy")</f>
        <v>Eastmoor Academy</v>
      </c>
      <c r="G1423" s="8">
        <f ca="1">IFERROR(__xludf.DUMMYFUNCTION("""COMPUTED_VALUE"""),0)</f>
        <v>0</v>
      </c>
      <c r="H1423" s="8">
        <f ca="1">IFERROR(__xludf.DUMMYFUNCTION("""COMPUTED_VALUE"""),1)</f>
        <v>1</v>
      </c>
      <c r="I1423" s="8">
        <f ca="1">IFERROR(__xludf.DUMMYFUNCTION("""COMPUTED_VALUE"""),1)</f>
        <v>1</v>
      </c>
      <c r="J1423" s="8">
        <f ca="1">IFERROR(__xludf.DUMMYFUNCTION("""COMPUTED_VALUE"""),0)</f>
        <v>0</v>
      </c>
      <c r="K1423" s="10" t="str">
        <f ca="1">IFERROR(__xludf.DUMMYFUNCTION("""COMPUTED_VALUE"""),"https://www.nbc4i.com/news/local-news/cpd-school-fight-leads-to-shooting/")</f>
        <v>https://www.nbc4i.com/news/local-news/cpd-school-fight-leads-to-shooting/</v>
      </c>
      <c r="L1423" s="8">
        <f ca="1">IFERROR(__xludf.DUMMYFUNCTION("""COMPUTED_VALUE"""),1)</f>
        <v>1</v>
      </c>
      <c r="M1423" s="8" t="str">
        <f ca="1">IFERROR(__xludf.DUMMYFUNCTION("""COMPUTED_VALUE"""),"Local")</f>
        <v>Local</v>
      </c>
      <c r="N1423" s="8">
        <f ca="1">IFERROR(__xludf.DUMMYFUNCTION("""COMPUTED_VALUE"""),3)</f>
        <v>3</v>
      </c>
      <c r="O1423" s="8" t="str">
        <f ca="1">IFERROR(__xludf.DUMMYFUNCTION("""COMPUTED_VALUE"""),"Winter")</f>
        <v>Winter</v>
      </c>
      <c r="P1423" s="8" t="str">
        <f ca="1">IFERROR(__xludf.DUMMYFUNCTION("""COMPUTED_VALUE"""),"Columbus")</f>
        <v>Columbus</v>
      </c>
      <c r="Q1423" s="8" t="str">
        <f ca="1">IFERROR(__xludf.DUMMYFUNCTION("""COMPUTED_VALUE"""),"OH")</f>
        <v>OH</v>
      </c>
      <c r="R1423" s="8" t="str">
        <f ca="1">IFERROR(__xludf.DUMMYFUNCTION("""COMPUTED_VALUE"""),"High")</f>
        <v>High</v>
      </c>
      <c r="S1423" s="8" t="str">
        <f ca="1">IFERROR(__xludf.DUMMYFUNCTION("""COMPUTED_VALUE"""),"Parking Lot")</f>
        <v>Parking Lot</v>
      </c>
      <c r="T1423" s="8" t="str">
        <f ca="1">IFERROR(__xludf.DUMMYFUNCTION("""COMPUTED_VALUE"""),"Outside on School Property")</f>
        <v>Outside on School Property</v>
      </c>
      <c r="U1423" s="8" t="str">
        <f ca="1">IFERROR(__xludf.DUMMYFUNCTION("""COMPUTED_VALUE"""),"No")</f>
        <v>No</v>
      </c>
      <c r="V1423" s="8" t="str">
        <f ca="1">IFERROR(__xludf.DUMMYFUNCTION("""COMPUTED_VALUE"""),"Evening")</f>
        <v>Evening</v>
      </c>
      <c r="W1423" s="11">
        <f ca="1">IFERROR(__xludf.DUMMYFUNCTION("""COMPUTED_VALUE"""),0.8125)</f>
        <v>0.8125</v>
      </c>
      <c r="X1423" s="8">
        <f ca="1">IFERROR(__xludf.DUMMYFUNCTION("""COMPUTED_VALUE"""),1)</f>
        <v>1</v>
      </c>
      <c r="Y1423" s="12" t="str">
        <f ca="1">IFERROR(__xludf.DUMMYFUNCTION("""COMPUTED_VALUE"""),"Man shot while watching fight in school parking lot")</f>
        <v>Man shot while watching fight in school parking lot</v>
      </c>
      <c r="Z1423" s="12" t="str">
        <f ca="1">IFERROR(__xludf.DUMMYFUNCTION("""COMPUTED_VALUE"""),"A crowd was watching a fight in the school parking lot. A man fired a shot at another man in a vehicle. The shot missed and struck a 19 year old male victim in the crowd. Shooter fled the scene.")</f>
        <v>A crowd was watching a fight in the school parking lot. A man fired a shot at another man in a vehicle. The shot missed and struck a 19 year old male victim in the crowd. Shooter fled the scene.</v>
      </c>
      <c r="AA1423" s="8" t="str">
        <f ca="1">IFERROR(__xludf.DUMMYFUNCTION("""COMPUTED_VALUE"""),"Escalation of Dispute")</f>
        <v>Escalation of Dispute</v>
      </c>
      <c r="AB1423" s="8"/>
      <c r="AC1423" s="8" t="str">
        <f ca="1">IFERROR(__xludf.DUMMYFUNCTION("""COMPUTED_VALUE"""),"No")</f>
        <v>No</v>
      </c>
      <c r="AD1423" s="8" t="str">
        <f ca="1">IFERROR(__xludf.DUMMYFUNCTION("""COMPUTED_VALUE"""),"Both")</f>
        <v>Both</v>
      </c>
      <c r="AE1423" s="8" t="str">
        <f ca="1">IFERROR(__xludf.DUMMYFUNCTION("""COMPUTED_VALUE"""),"No")</f>
        <v>No</v>
      </c>
      <c r="AF1423" s="8"/>
      <c r="AG1423" s="8" t="str">
        <f ca="1">IFERROR(__xludf.DUMMYFUNCTION("""COMPUTED_VALUE"""),"No")</f>
        <v>No</v>
      </c>
      <c r="AH1423" s="8" t="str">
        <f ca="1">IFERROR(__xludf.DUMMYFUNCTION("""COMPUTED_VALUE"""),"No")</f>
        <v>No</v>
      </c>
      <c r="AI1423" s="8" t="str">
        <f ca="1">IFERROR(__xludf.DUMMYFUNCTION("""COMPUTED_VALUE"""),"No")</f>
        <v>No</v>
      </c>
      <c r="AJ1423" s="8" t="str">
        <f ca="1">IFERROR(__xludf.DUMMYFUNCTION("""COMPUTED_VALUE"""),"No")</f>
        <v>No</v>
      </c>
      <c r="AK1423" s="8" t="str">
        <f ca="1">IFERROR(__xludf.DUMMYFUNCTION("""COMPUTED_VALUE"""),"No")</f>
        <v>No</v>
      </c>
      <c r="AL1423" s="8"/>
      <c r="AM1423" s="8" t="str">
        <f ca="1">IFERROR(__xludf.DUMMYFUNCTION("""COMPUTED_VALUE"""),"No")</f>
        <v>No</v>
      </c>
      <c r="AN1423" s="8"/>
      <c r="AO1423" s="8" t="str">
        <f ca="1">IFERROR(__xludf.DUMMYFUNCTION("""COMPUTED_VALUE"""),"No")</f>
        <v>No</v>
      </c>
      <c r="AP1423" s="8"/>
      <c r="AQ1423" s="8"/>
      <c r="AR1423" s="8" t="str">
        <f ca="1">IFERROR(__xludf.DUMMYFUNCTION("""COMPUTED_VALUE"""),"Outside/Off-Property")</f>
        <v>Outside/Off-Property</v>
      </c>
      <c r="AS1423" s="8">
        <f ca="1">IFERROR(__xludf.DUMMYFUNCTION("""COMPUTED_VALUE"""),1)</f>
        <v>1</v>
      </c>
      <c r="AT1423" s="8"/>
      <c r="AU1423" s="8">
        <f ca="1">IFERROR(__xludf.DUMMYFUNCTION("""COMPUTED_VALUE"""),39.964168)</f>
        <v>39.964168000000001</v>
      </c>
      <c r="AV1423" s="8">
        <f ca="1">IFERROR(__xludf.DUMMYFUNCTION("""COMPUTED_VALUE"""),-82.909033)</f>
        <v>-82.909032999999994</v>
      </c>
      <c r="AW1423" s="8"/>
      <c r="AX1423" s="8">
        <f ca="1">IFERROR(__xludf.DUMMYFUNCTION("""COMPUTED_VALUE"""),43213)</f>
        <v>43213</v>
      </c>
    </row>
    <row r="1424" spans="1:50" ht="60" x14ac:dyDescent="0.2">
      <c r="A1424" s="8" t="str">
        <f ca="1">IFERROR(__xludf.DUMMYFUNCTION("""COMPUTED_VALUE"""),"20210114MDHIW")</f>
        <v>20210114MDHIW</v>
      </c>
      <c r="B1424" s="8">
        <f ca="1">IFERROR(__xludf.DUMMYFUNCTION("""COMPUTED_VALUE"""),1)</f>
        <v>1</v>
      </c>
      <c r="C1424" s="8">
        <f ca="1">IFERROR(__xludf.DUMMYFUNCTION("""COMPUTED_VALUE"""),14)</f>
        <v>14</v>
      </c>
      <c r="D1424" s="8">
        <f ca="1">IFERROR(__xludf.DUMMYFUNCTION("""COMPUTED_VALUE"""),2021)</f>
        <v>2021</v>
      </c>
      <c r="E1424" s="9">
        <f ca="1">IFERROR(__xludf.DUMMYFUNCTION("""COMPUTED_VALUE"""),44210)</f>
        <v>44210</v>
      </c>
      <c r="F1424" s="8" t="str">
        <f ca="1">IFERROR(__xludf.DUMMYFUNCTION("""COMPUTED_VALUE"""),"Highland Elementary School")</f>
        <v>Highland Elementary School</v>
      </c>
      <c r="G1424" s="8">
        <f ca="1">IFERROR(__xludf.DUMMYFUNCTION("""COMPUTED_VALUE"""),1)</f>
        <v>1</v>
      </c>
      <c r="H1424" s="8">
        <f ca="1">IFERROR(__xludf.DUMMYFUNCTION("""COMPUTED_VALUE"""),0)</f>
        <v>0</v>
      </c>
      <c r="I1424" s="8">
        <f ca="1">IFERROR(__xludf.DUMMYFUNCTION("""COMPUTED_VALUE"""),1)</f>
        <v>1</v>
      </c>
      <c r="J1424" s="8">
        <f ca="1">IFERROR(__xludf.DUMMYFUNCTION("""COMPUTED_VALUE"""),0)</f>
        <v>0</v>
      </c>
      <c r="K1424" s="10" t="str">
        <f ca="1">IFERROR(__xludf.DUMMYFUNCTION("""COMPUTED_VALUE"""),"https://www2.montgomerycountymd.gov/mcgportalapps/Press_Detail_Pol.aspx?Item_ID=32579 https://wtop.com/montgomery-county/2021/01/man-found-dead-at-parking-lot-near-montgomery-county-school/ https://www.washingtonpost.com/local/public-safety/montgomery-cou"&amp;"nty-homicide-spike/2021/01/14/b5ba8b7a-55d3-11eb-a817-e5e7f8a406d6_story.html
https://www.wusa9.com/article/news/crime/silver-spring-man-prison-sentence-deadly-shooting-in-school-parking-lot/65-f6894523-1cc6-4b8e-b7a6-ef9c1de60aa1")</f>
        <v>https://www2.montgomerycountymd.gov/mcgportalapps/Press_Detail_Pol.aspx?Item_ID=32579 https://wtop.com/montgomery-county/2021/01/man-found-dead-at-parking-lot-near-montgomery-county-school/ https://www.washingtonpost.com/local/public-safety/montgomery-county-homicide-spike/2021/01/14/b5ba8b7a-55d3-11eb-a817-e5e7f8a406d6_story.html
https://www.wusa9.com/article/news/crime/silver-spring-man-prison-sentence-deadly-shooting-in-school-parking-lot/65-f6894523-1cc6-4b8e-b7a6-ef9c1de60aa1</v>
      </c>
      <c r="L1424" s="8">
        <f ca="1">IFERROR(__xludf.DUMMYFUNCTION("""COMPUTED_VALUE"""),5)</f>
        <v>5</v>
      </c>
      <c r="M1424" s="8" t="str">
        <f ca="1">IFERROR(__xludf.DUMMYFUNCTION("""COMPUTED_VALUE"""),"Local")</f>
        <v>Local</v>
      </c>
      <c r="N1424" s="8">
        <f ca="1">IFERROR(__xludf.DUMMYFUNCTION("""COMPUTED_VALUE"""),4)</f>
        <v>4</v>
      </c>
      <c r="O1424" s="8" t="str">
        <f ca="1">IFERROR(__xludf.DUMMYFUNCTION("""COMPUTED_VALUE"""),"Winter")</f>
        <v>Winter</v>
      </c>
      <c r="P1424" s="8" t="str">
        <f ca="1">IFERROR(__xludf.DUMMYFUNCTION("""COMPUTED_VALUE"""),"Wheaton")</f>
        <v>Wheaton</v>
      </c>
      <c r="Q1424" s="8" t="str">
        <f ca="1">IFERROR(__xludf.DUMMYFUNCTION("""COMPUTED_VALUE"""),"MD")</f>
        <v>MD</v>
      </c>
      <c r="R1424" s="8" t="str">
        <f ca="1">IFERROR(__xludf.DUMMYFUNCTION("""COMPUTED_VALUE"""),"Elementary")</f>
        <v>Elementary</v>
      </c>
      <c r="S1424" s="8" t="str">
        <f ca="1">IFERROR(__xludf.DUMMYFUNCTION("""COMPUTED_VALUE"""),"Parking Lot")</f>
        <v>Parking Lot</v>
      </c>
      <c r="T1424" s="8" t="str">
        <f ca="1">IFERROR(__xludf.DUMMYFUNCTION("""COMPUTED_VALUE"""),"Outside on School Property")</f>
        <v>Outside on School Property</v>
      </c>
      <c r="U1424" s="8" t="str">
        <f ca="1">IFERROR(__xludf.DUMMYFUNCTION("""COMPUTED_VALUE"""),"No")</f>
        <v>No</v>
      </c>
      <c r="V1424" s="8" t="str">
        <f ca="1">IFERROR(__xludf.DUMMYFUNCTION("""COMPUTED_VALUE"""),"Before School")</f>
        <v>Before School</v>
      </c>
      <c r="W1424" s="11">
        <f ca="1">IFERROR(__xludf.DUMMYFUNCTION("""COMPUTED_VALUE"""),0.236111111111111)</f>
        <v>0.23611111111111099</v>
      </c>
      <c r="X1424" s="8">
        <f ca="1">IFERROR(__xludf.DUMMYFUNCTION("""COMPUTED_VALUE"""),1)</f>
        <v>1</v>
      </c>
      <c r="Y1424" s="12" t="str">
        <f ca="1">IFERROR(__xludf.DUMMYFUNCTION("""COMPUTED_VALUE"""),"Man found shot and killed inside vehicle in school parking lot")</f>
        <v>Man found shot and killed inside vehicle in school parking lot</v>
      </c>
      <c r="Z1424" s="12" t="str">
        <f ca="1">IFERROR(__xludf.DUMMYFUNCTION("""COMPUTED_VALUE"""),"Police were called for shots fired near the elementary school. Police found a man fatally shot inside a vehicle and he was declared dead at the scene. No motive or suspect identified. Investigated as homicide.")</f>
        <v>Police were called for shots fired near the elementary school. Police found a man fatally shot inside a vehicle and he was declared dead at the scene. No motive or suspect identified. Investigated as homicide.</v>
      </c>
      <c r="AA1424" s="8" t="str">
        <f ca="1">IFERROR(__xludf.DUMMYFUNCTION("""COMPUTED_VALUE"""),"Escalation of Dispute")</f>
        <v>Escalation of Dispute</v>
      </c>
      <c r="AB1424" s="8" t="str">
        <f ca="1">IFERROR(__xludf.DUMMYFUNCTION("""COMPUTED_VALUE"""),"Targeted")</f>
        <v>Targeted</v>
      </c>
      <c r="AC1424" s="8" t="str">
        <f ca="1">IFERROR(__xludf.DUMMYFUNCTION("""COMPUTED_VALUE"""),"No")</f>
        <v>No</v>
      </c>
      <c r="AD1424" s="8" t="str">
        <f ca="1">IFERROR(__xludf.DUMMYFUNCTION("""COMPUTED_VALUE"""),"Victims Targeted")</f>
        <v>Victims Targeted</v>
      </c>
      <c r="AE1424" s="8"/>
      <c r="AF1424" s="8"/>
      <c r="AG1424" s="8" t="str">
        <f ca="1">IFERROR(__xludf.DUMMYFUNCTION("""COMPUTED_VALUE"""),"No")</f>
        <v>No</v>
      </c>
      <c r="AH1424" s="8" t="str">
        <f ca="1">IFERROR(__xludf.DUMMYFUNCTION("""COMPUTED_VALUE"""),"No")</f>
        <v>No</v>
      </c>
      <c r="AI1424" s="8" t="str">
        <f ca="1">IFERROR(__xludf.DUMMYFUNCTION("""COMPUTED_VALUE"""),"No")</f>
        <v>No</v>
      </c>
      <c r="AJ1424" s="8" t="str">
        <f ca="1">IFERROR(__xludf.DUMMYFUNCTION("""COMPUTED_VALUE"""),"No")</f>
        <v>No</v>
      </c>
      <c r="AK1424" s="8" t="str">
        <f ca="1">IFERROR(__xludf.DUMMYFUNCTION("""COMPUTED_VALUE"""),"No")</f>
        <v>No</v>
      </c>
      <c r="AL1424" s="8"/>
      <c r="AM1424" s="8" t="str">
        <f ca="1">IFERROR(__xludf.DUMMYFUNCTION("""COMPUTED_VALUE"""),"No")</f>
        <v>No</v>
      </c>
      <c r="AN1424" s="8"/>
      <c r="AO1424" s="8" t="str">
        <f ca="1">IFERROR(__xludf.DUMMYFUNCTION("""COMPUTED_VALUE"""),"No")</f>
        <v>No</v>
      </c>
      <c r="AP1424" s="8"/>
      <c r="AQ1424" s="8"/>
      <c r="AR1424" s="8"/>
      <c r="AS1424" s="8"/>
      <c r="AT1424" s="8"/>
      <c r="AU1424" s="8">
        <f ca="1">IFERROR(__xludf.DUMMYFUNCTION("""COMPUTED_VALUE"""),39.051344)</f>
        <v>39.051344</v>
      </c>
      <c r="AV1424" s="8">
        <f ca="1">IFERROR(__xludf.DUMMYFUNCTION("""COMPUTED_VALUE"""),-77.063798)</f>
        <v>-77.063798000000006</v>
      </c>
      <c r="AW1424" s="8"/>
      <c r="AX1424" s="8">
        <f ca="1">IFERROR(__xludf.DUMMYFUNCTION("""COMPUTED_VALUE"""),20902)</f>
        <v>20902</v>
      </c>
    </row>
    <row r="1425" spans="1:50" ht="120" x14ac:dyDescent="0.2">
      <c r="A1425" s="8" t="str">
        <f ca="1">IFERROR(__xludf.DUMMYFUNCTION("""COMPUTED_VALUE"""),"20210110ILSOS")</f>
        <v>20210110ILSOS</v>
      </c>
      <c r="B1425" s="8">
        <f ca="1">IFERROR(__xludf.DUMMYFUNCTION("""COMPUTED_VALUE"""),1)</f>
        <v>1</v>
      </c>
      <c r="C1425" s="8">
        <f ca="1">IFERROR(__xludf.DUMMYFUNCTION("""COMPUTED_VALUE"""),10)</f>
        <v>10</v>
      </c>
      <c r="D1425" s="8">
        <f ca="1">IFERROR(__xludf.DUMMYFUNCTION("""COMPUTED_VALUE"""),2021)</f>
        <v>2021</v>
      </c>
      <c r="E1425" s="9">
        <f ca="1">IFERROR(__xludf.DUMMYFUNCTION("""COMPUTED_VALUE"""),44206)</f>
        <v>44206</v>
      </c>
      <c r="F1425" s="8" t="str">
        <f ca="1">IFERROR(__xludf.DUMMYFUNCTION("""COMPUTED_VALUE"""),"Southeast High School")</f>
        <v>Southeast High School</v>
      </c>
      <c r="G1425" s="8">
        <f ca="1">IFERROR(__xludf.DUMMYFUNCTION("""COMPUTED_VALUE"""),0)</f>
        <v>0</v>
      </c>
      <c r="H1425" s="8">
        <f ca="1">IFERROR(__xludf.DUMMYFUNCTION("""COMPUTED_VALUE"""),2)</f>
        <v>2</v>
      </c>
      <c r="I1425" s="8">
        <f ca="1">IFERROR(__xludf.DUMMYFUNCTION("""COMPUTED_VALUE"""),2)</f>
        <v>2</v>
      </c>
      <c r="J1425" s="8">
        <f ca="1">IFERROR(__xludf.DUMMYFUNCTION("""COMPUTED_VALUE"""),0)</f>
        <v>0</v>
      </c>
      <c r="K1425" s="8" t="str">
        <f ca="1">IFERROR(__xludf.DUMMYFUNCTION("""COMPUTED_VALUE"""),"https://www.wandtv.com/news/father-daughters-shot-while-learning-to-drive-in-springfield/article_2299847c-5b82-11eb-959b-af3e608f8464.html https://newschannel20.com/news/local/3-injured-in-shooting-in-southeast-high-school-parking-lot https://foxillinois."&amp;"com/news/local/3-injured-in-shooting-in-southeast-high-school-parking-lot")</f>
        <v>https://www.wandtv.com/news/father-daughters-shot-while-learning-to-drive-in-springfield/article_2299847c-5b82-11eb-959b-af3e608f8464.html https://newschannel20.com/news/local/3-injured-in-shooting-in-southeast-high-school-parking-lot https://foxillinois.com/news/local/3-injured-in-shooting-in-southeast-high-school-parking-lot</v>
      </c>
      <c r="L1425" s="8">
        <f ca="1">IFERROR(__xludf.DUMMYFUNCTION("""COMPUTED_VALUE"""),2)</f>
        <v>2</v>
      </c>
      <c r="M1425" s="8" t="str">
        <f ca="1">IFERROR(__xludf.DUMMYFUNCTION("""COMPUTED_VALUE"""),"Local")</f>
        <v>Local</v>
      </c>
      <c r="N1425" s="8">
        <f ca="1">IFERROR(__xludf.DUMMYFUNCTION("""COMPUTED_VALUE"""),3)</f>
        <v>3</v>
      </c>
      <c r="O1425" s="8" t="str">
        <f ca="1">IFERROR(__xludf.DUMMYFUNCTION("""COMPUTED_VALUE"""),"Winter")</f>
        <v>Winter</v>
      </c>
      <c r="P1425" s="8" t="str">
        <f ca="1">IFERROR(__xludf.DUMMYFUNCTION("""COMPUTED_VALUE"""),"Springfield")</f>
        <v>Springfield</v>
      </c>
      <c r="Q1425" s="8" t="str">
        <f ca="1">IFERROR(__xludf.DUMMYFUNCTION("""COMPUTED_VALUE"""),"IL")</f>
        <v>IL</v>
      </c>
      <c r="R1425" s="8" t="str">
        <f ca="1">IFERROR(__xludf.DUMMYFUNCTION("""COMPUTED_VALUE"""),"High")</f>
        <v>High</v>
      </c>
      <c r="S1425" s="8" t="str">
        <f ca="1">IFERROR(__xludf.DUMMYFUNCTION("""COMPUTED_VALUE"""),"Parking Lot")</f>
        <v>Parking Lot</v>
      </c>
      <c r="T1425" s="8" t="str">
        <f ca="1">IFERROR(__xludf.DUMMYFUNCTION("""COMPUTED_VALUE"""),"Outside on School Property")</f>
        <v>Outside on School Property</v>
      </c>
      <c r="U1425" s="8" t="str">
        <f ca="1">IFERROR(__xludf.DUMMYFUNCTION("""COMPUTED_VALUE"""),"No")</f>
        <v>No</v>
      </c>
      <c r="V1425" s="8" t="str">
        <f ca="1">IFERROR(__xludf.DUMMYFUNCTION("""COMPUTED_VALUE"""),"Not a School Day")</f>
        <v>Not a School Day</v>
      </c>
      <c r="W1425" s="11">
        <f ca="1">IFERROR(__xludf.DUMMYFUNCTION("""COMPUTED_VALUE"""),0.636805555555555)</f>
        <v>0.63680555555555496</v>
      </c>
      <c r="X1425" s="8">
        <f ca="1">IFERROR(__xludf.DUMMYFUNCTION("""COMPUTED_VALUE"""),1)</f>
        <v>1</v>
      </c>
      <c r="Y1425" s="12" t="str">
        <f ca="1">IFERROR(__xludf.DUMMYFUNCTION("""COMPUTED_VALUE"""),"Two women in vehicle shot in school parking lot")</f>
        <v>Two women in vehicle shot in school parking lot</v>
      </c>
      <c r="Z1425" s="12" t="str">
        <f ca="1">IFERROR(__xludf.DUMMYFUNCTION("""COMPUTED_VALUE"""),"Three people were inside a vehicle in the school parking lot. The 16 year old female driver was practicing driving. A male shooter fired 22 shots from the bushes nearby. 5 struck the vehicle hitting the 16 year old female and a 20 year old female. An 18 y"&amp;"ear old male in the back seat was not injured. Bullets struck signs in the parking lot and the school building. Shooter fled the scene. Police said the shooting was targeted.")</f>
        <v>Three people were inside a vehicle in the school parking lot. The 16 year old female driver was practicing driving. A male shooter fired 22 shots from the bushes nearby. 5 struck the vehicle hitting the 16 year old female and a 20 year old female. An 18 year old male in the back seat was not injured. Bullets struck signs in the parking lot and the school building. Shooter fled the scene. Police said the shooting was targeted.</v>
      </c>
      <c r="AA1425" s="8"/>
      <c r="AB1425" s="8"/>
      <c r="AC1425" s="8" t="str">
        <f ca="1">IFERROR(__xludf.DUMMYFUNCTION("""COMPUTED_VALUE"""),"No")</f>
        <v>No</v>
      </c>
      <c r="AD1425" s="8" t="str">
        <f ca="1">IFERROR(__xludf.DUMMYFUNCTION("""COMPUTED_VALUE"""),"Victims Targeted")</f>
        <v>Victims Targeted</v>
      </c>
      <c r="AE1425" s="8" t="str">
        <f ca="1">IFERROR(__xludf.DUMMYFUNCTION("""COMPUTED_VALUE"""),"No")</f>
        <v>No</v>
      </c>
      <c r="AF1425" s="8"/>
      <c r="AG1425" s="8" t="str">
        <f ca="1">IFERROR(__xludf.DUMMYFUNCTION("""COMPUTED_VALUE"""),"No")</f>
        <v>No</v>
      </c>
      <c r="AH1425" s="8" t="str">
        <f ca="1">IFERROR(__xludf.DUMMYFUNCTION("""COMPUTED_VALUE"""),"No")</f>
        <v>No</v>
      </c>
      <c r="AI1425" s="8"/>
      <c r="AJ1425" s="8" t="str">
        <f ca="1">IFERROR(__xludf.DUMMYFUNCTION("""COMPUTED_VALUE"""),"No")</f>
        <v>No</v>
      </c>
      <c r="AK1425" s="8"/>
      <c r="AL1425" s="8"/>
      <c r="AM1425" s="8" t="str">
        <f ca="1">IFERROR(__xludf.DUMMYFUNCTION("""COMPUTED_VALUE"""),"No")</f>
        <v>No</v>
      </c>
      <c r="AN1425" s="8"/>
      <c r="AO1425" s="8" t="str">
        <f ca="1">IFERROR(__xludf.DUMMYFUNCTION("""COMPUTED_VALUE"""),"No")</f>
        <v>No</v>
      </c>
      <c r="AP1425" s="8"/>
      <c r="AQ1425" s="8"/>
      <c r="AR1425" s="8" t="str">
        <f ca="1">IFERROR(__xludf.DUMMYFUNCTION("""COMPUTED_VALUE"""),"Outside/Off-Property")</f>
        <v>Outside/Off-Property</v>
      </c>
      <c r="AS1425" s="8">
        <f ca="1">IFERROR(__xludf.DUMMYFUNCTION("""COMPUTED_VALUE"""),22)</f>
        <v>22</v>
      </c>
      <c r="AT1425" s="8"/>
      <c r="AU1425" s="8">
        <f ca="1">IFERROR(__xludf.DUMMYFUNCTION("""COMPUTED_VALUE"""),39.778555)</f>
        <v>39.778554999999997</v>
      </c>
      <c r="AV1425" s="8">
        <f ca="1">IFERROR(__xludf.DUMMYFUNCTION("""COMPUTED_VALUE"""),-89.621611)</f>
        <v>-89.621611000000001</v>
      </c>
      <c r="AW1425" s="8"/>
      <c r="AX1425" s="8">
        <f ca="1">IFERROR(__xludf.DUMMYFUNCTION("""COMPUTED_VALUE"""),62703)</f>
        <v>62703</v>
      </c>
    </row>
    <row r="1426" spans="1:50" ht="105" x14ac:dyDescent="0.2">
      <c r="A1426" s="8" t="str">
        <f ca="1">IFERROR(__xludf.DUMMYFUNCTION("""COMPUTED_VALUE"""),"20210104NYPEJ")</f>
        <v>20210104NYPEJ</v>
      </c>
      <c r="B1426" s="8">
        <f ca="1">IFERROR(__xludf.DUMMYFUNCTION("""COMPUTED_VALUE"""),1)</f>
        <v>1</v>
      </c>
      <c r="C1426" s="8">
        <f ca="1">IFERROR(__xludf.DUMMYFUNCTION("""COMPUTED_VALUE"""),4)</f>
        <v>4</v>
      </c>
      <c r="D1426" s="8">
        <f ca="1">IFERROR(__xludf.DUMMYFUNCTION("""COMPUTED_VALUE"""),2021)</f>
        <v>2021</v>
      </c>
      <c r="E1426" s="9">
        <f ca="1">IFERROR(__xludf.DUMMYFUNCTION("""COMPUTED_VALUE"""),44200)</f>
        <v>44200</v>
      </c>
      <c r="F1426" s="8" t="str">
        <f ca="1">IFERROR(__xludf.DUMMYFUNCTION("""COMPUTED_VALUE"""),"Perth Bible Church and Christian Academy")</f>
        <v>Perth Bible Church and Christian Academy</v>
      </c>
      <c r="G1426" s="8">
        <f ca="1">IFERROR(__xludf.DUMMYFUNCTION("""COMPUTED_VALUE"""),0)</f>
        <v>0</v>
      </c>
      <c r="H1426" s="8">
        <f ca="1">IFERROR(__xludf.DUMMYFUNCTION("""COMPUTED_VALUE"""),0)</f>
        <v>0</v>
      </c>
      <c r="I1426" s="8">
        <f ca="1">IFERROR(__xludf.DUMMYFUNCTION("""COMPUTED_VALUE"""),0)</f>
        <v>0</v>
      </c>
      <c r="J1426" s="8">
        <f ca="1">IFERROR(__xludf.DUMMYFUNCTION("""COMPUTED_VALUE"""),0)</f>
        <v>0</v>
      </c>
      <c r="K1426" s="10" t="str">
        <f ca="1">IFERROR(__xludf.DUMMYFUNCTION("""COMPUTED_VALUE"""),"https://www.timesunion.com/news/article/Town-of-Perth-man-charged-for-alleged-animal-16084406.php#photo-20839860")</f>
        <v>https://www.timesunion.com/news/article/Town-of-Perth-man-charged-for-alleged-animal-16084406.php#photo-20839860</v>
      </c>
      <c r="L1426" s="8">
        <f ca="1">IFERROR(__xludf.DUMMYFUNCTION("""COMPUTED_VALUE"""),1)</f>
        <v>1</v>
      </c>
      <c r="M1426" s="8" t="str">
        <f ca="1">IFERROR(__xludf.DUMMYFUNCTION("""COMPUTED_VALUE"""),"Local")</f>
        <v>Local</v>
      </c>
      <c r="N1426" s="8">
        <f ca="1">IFERROR(__xludf.DUMMYFUNCTION("""COMPUTED_VALUE"""),3)</f>
        <v>3</v>
      </c>
      <c r="O1426" s="8" t="str">
        <f ca="1">IFERROR(__xludf.DUMMYFUNCTION("""COMPUTED_VALUE"""),"Winter")</f>
        <v>Winter</v>
      </c>
      <c r="P1426" s="8" t="str">
        <f ca="1">IFERROR(__xludf.DUMMYFUNCTION("""COMPUTED_VALUE"""),"Johnstown")</f>
        <v>Johnstown</v>
      </c>
      <c r="Q1426" s="8" t="str">
        <f ca="1">IFERROR(__xludf.DUMMYFUNCTION("""COMPUTED_VALUE"""),"NY")</f>
        <v>NY</v>
      </c>
      <c r="R1426" s="13">
        <f ca="1">IFERROR(__xludf.DUMMYFUNCTION("""COMPUTED_VALUE"""),44724)</f>
        <v>44724</v>
      </c>
      <c r="S1426" s="8" t="str">
        <f ca="1">IFERROR(__xludf.DUMMYFUNCTION("""COMPUTED_VALUE"""),"Field (General)")</f>
        <v>Field (General)</v>
      </c>
      <c r="T1426" s="8" t="str">
        <f ca="1">IFERROR(__xludf.DUMMYFUNCTION("""COMPUTED_VALUE"""),"Outside on School Property")</f>
        <v>Outside on School Property</v>
      </c>
      <c r="U1426" s="8" t="str">
        <f ca="1">IFERROR(__xludf.DUMMYFUNCTION("""COMPUTED_VALUE"""),"Yes")</f>
        <v>Yes</v>
      </c>
      <c r="V1426" s="8" t="str">
        <f ca="1">IFERROR(__xludf.DUMMYFUNCTION("""COMPUTED_VALUE"""),"Morning Classes")</f>
        <v>Morning Classes</v>
      </c>
      <c r="W1426" s="8"/>
      <c r="X1426" s="8">
        <f ca="1">IFERROR(__xludf.DUMMYFUNCTION("""COMPUTED_VALUE"""),1)</f>
        <v>1</v>
      </c>
      <c r="Y1426" s="12" t="str">
        <f ca="1">IFERROR(__xludf.DUMMYFUNCTION("""COMPUTED_VALUE"""),"Animal control officer fired personal handgun at animal on school property while school was in session")</f>
        <v>Animal control officer fired personal handgun at animal on school property while school was in session</v>
      </c>
      <c r="Z1426" s="12" t="str">
        <f ca="1">IFERROR(__xludf.DUMMYFUNCTION("""COMPUTED_VALUE"""),"An animal control officer was attempting to capture a dog on the property of the school. When he said the dog became aggressive, he fired his personal handgun at the animal which fled the area after being shot in the mouth. The animal control officer did "&amp;"not report the shooting. Based on social media reports, the animal control officer was investigated and charged 3 months after the incident.")</f>
        <v>An animal control officer was attempting to capture a dog on the property of the school. When he said the dog became aggressive, he fired his personal handgun at the animal which fled the area after being shot in the mouth. The animal control officer did not report the shooting. Based on social media reports, the animal control officer was investigated and charged 3 months after the incident.</v>
      </c>
      <c r="AA1426" s="8" t="str">
        <f ca="1">IFERROR(__xludf.DUMMYFUNCTION("""COMPUTED_VALUE"""),"Illegal Activity")</f>
        <v>Illegal Activity</v>
      </c>
      <c r="AB1426" s="8"/>
      <c r="AC1426" s="8" t="str">
        <f ca="1">IFERROR(__xludf.DUMMYFUNCTION("""COMPUTED_VALUE"""),"No")</f>
        <v>No</v>
      </c>
      <c r="AD1426" s="8" t="str">
        <f ca="1">IFERROR(__xludf.DUMMYFUNCTION("""COMPUTED_VALUE"""),"Neither")</f>
        <v>Neither</v>
      </c>
      <c r="AE1426" s="8" t="str">
        <f ca="1">IFERROR(__xludf.DUMMYFUNCTION("""COMPUTED_VALUE"""),"No")</f>
        <v>No</v>
      </c>
      <c r="AF1426" s="8"/>
      <c r="AG1426" s="8" t="str">
        <f ca="1">IFERROR(__xludf.DUMMYFUNCTION("""COMPUTED_VALUE"""),"No")</f>
        <v>No</v>
      </c>
      <c r="AH1426" s="8" t="str">
        <f ca="1">IFERROR(__xludf.DUMMYFUNCTION("""COMPUTED_VALUE"""),"No")</f>
        <v>No</v>
      </c>
      <c r="AI1426" s="8" t="str">
        <f ca="1">IFERROR(__xludf.DUMMYFUNCTION("""COMPUTED_VALUE"""),"No")</f>
        <v>No</v>
      </c>
      <c r="AJ1426" s="8" t="str">
        <f ca="1">IFERROR(__xludf.DUMMYFUNCTION("""COMPUTED_VALUE"""),"No")</f>
        <v>No</v>
      </c>
      <c r="AK1426" s="8" t="str">
        <f ca="1">IFERROR(__xludf.DUMMYFUNCTION("""COMPUTED_VALUE"""),"No")</f>
        <v>No</v>
      </c>
      <c r="AL1426" s="8" t="str">
        <f ca="1">IFERROR(__xludf.DUMMYFUNCTION("""COMPUTED_VALUE"""),"No")</f>
        <v>No</v>
      </c>
      <c r="AM1426" s="8" t="str">
        <f ca="1">IFERROR(__xludf.DUMMYFUNCTION("""COMPUTED_VALUE"""),"No")</f>
        <v>No</v>
      </c>
      <c r="AN1426" s="8"/>
      <c r="AO1426" s="8" t="str">
        <f ca="1">IFERROR(__xludf.DUMMYFUNCTION("""COMPUTED_VALUE"""),"No")</f>
        <v>No</v>
      </c>
      <c r="AP1426" s="8" t="str">
        <f ca="1">IFERROR(__xludf.DUMMYFUNCTION("""COMPUTED_VALUE"""),"No")</f>
        <v>No</v>
      </c>
      <c r="AQ1426" s="8"/>
      <c r="AR1426" s="8" t="str">
        <f ca="1">IFERROR(__xludf.DUMMYFUNCTION("""COMPUTED_VALUE"""),"Outside/Off-Property")</f>
        <v>Outside/Off-Property</v>
      </c>
      <c r="AS1426" s="8"/>
      <c r="AT1426" s="8"/>
      <c r="AU1426" s="8">
        <f ca="1">IFERROR(__xludf.DUMMYFUNCTION("""COMPUTED_VALUE"""),43.018749)</f>
        <v>43.018749</v>
      </c>
      <c r="AV1426" s="8">
        <f ca="1">IFERROR(__xludf.DUMMYFUNCTION("""COMPUTED_VALUE"""),-74.190785)</f>
        <v>-74.190785000000005</v>
      </c>
      <c r="AW1426" s="8"/>
      <c r="AX1426" s="8">
        <f ca="1">IFERROR(__xludf.DUMMYFUNCTION("""COMPUTED_VALUE"""),12010)</f>
        <v>12010</v>
      </c>
    </row>
    <row r="1427" spans="1:50" ht="75" x14ac:dyDescent="0.2">
      <c r="A1427" s="8" t="str">
        <f ca="1">IFERROR(__xludf.DUMMYFUNCTION("""COMPUTED_VALUE"""),"20201229WAROS")</f>
        <v>20201229WAROS</v>
      </c>
      <c r="B1427" s="8">
        <f ca="1">IFERROR(__xludf.DUMMYFUNCTION("""COMPUTED_VALUE"""),12)</f>
        <v>12</v>
      </c>
      <c r="C1427" s="8">
        <f ca="1">IFERROR(__xludf.DUMMYFUNCTION("""COMPUTED_VALUE"""),29)</f>
        <v>29</v>
      </c>
      <c r="D1427" s="8">
        <f ca="1">IFERROR(__xludf.DUMMYFUNCTION("""COMPUTED_VALUE"""),2020)</f>
        <v>2020</v>
      </c>
      <c r="E1427" s="9">
        <f ca="1">IFERROR(__xludf.DUMMYFUNCTION("""COMPUTED_VALUE"""),44194)</f>
        <v>44194</v>
      </c>
      <c r="F1427" s="8" t="str">
        <f ca="1">IFERROR(__xludf.DUMMYFUNCTION("""COMPUTED_VALUE"""),"Rogers High School")</f>
        <v>Rogers High School</v>
      </c>
      <c r="G1427" s="8">
        <f ca="1">IFERROR(__xludf.DUMMYFUNCTION("""COMPUTED_VALUE"""),0)</f>
        <v>0</v>
      </c>
      <c r="H1427" s="8">
        <f ca="1">IFERROR(__xludf.DUMMYFUNCTION("""COMPUTED_VALUE"""),2)</f>
        <v>2</v>
      </c>
      <c r="I1427" s="8">
        <f ca="1">IFERROR(__xludf.DUMMYFUNCTION("""COMPUTED_VALUE"""),2)</f>
        <v>2</v>
      </c>
      <c r="J1427" s="8">
        <f ca="1">IFERROR(__xludf.DUMMYFUNCTION("""COMPUTED_VALUE"""),0)</f>
        <v>0</v>
      </c>
      <c r="K1427" s="8" t="str">
        <f ca="1">IFERROR(__xludf.DUMMYFUNCTION("""COMPUTED_VALUE"""),"https://www.spokesman.com/stories/2020/dec/29/two-people-shot-at-rogers-high-school-tuesday-nigh/ https://www.khq.com/news/update-two-juveniles-suffer-non-life-threatening-gunshot-wounds-victims-statements-not-matching-up/article_c061deb0-4a44-11eb-ba84-4"&amp;"b03bcf20b40.html")</f>
        <v>https://www.spokesman.com/stories/2020/dec/29/two-people-shot-at-rogers-high-school-tuesday-nigh/ https://www.khq.com/news/update-two-juveniles-suffer-non-life-threatening-gunshot-wounds-victims-statements-not-matching-up/article_c061deb0-4a44-11eb-ba84-4b03bcf20b40.html</v>
      </c>
      <c r="L1427" s="8">
        <f ca="1">IFERROR(__xludf.DUMMYFUNCTION("""COMPUTED_VALUE"""),2)</f>
        <v>2</v>
      </c>
      <c r="M1427" s="8" t="str">
        <f ca="1">IFERROR(__xludf.DUMMYFUNCTION("""COMPUTED_VALUE"""),"Local")</f>
        <v>Local</v>
      </c>
      <c r="N1427" s="8">
        <f ca="1">IFERROR(__xludf.DUMMYFUNCTION("""COMPUTED_VALUE"""),4)</f>
        <v>4</v>
      </c>
      <c r="O1427" s="8" t="str">
        <f ca="1">IFERROR(__xludf.DUMMYFUNCTION("""COMPUTED_VALUE"""),"Winter")</f>
        <v>Winter</v>
      </c>
      <c r="P1427" s="8" t="str">
        <f ca="1">IFERROR(__xludf.DUMMYFUNCTION("""COMPUTED_VALUE"""),"Spokane")</f>
        <v>Spokane</v>
      </c>
      <c r="Q1427" s="8" t="str">
        <f ca="1">IFERROR(__xludf.DUMMYFUNCTION("""COMPUTED_VALUE"""),"WA")</f>
        <v>WA</v>
      </c>
      <c r="R1427" s="8" t="str">
        <f ca="1">IFERROR(__xludf.DUMMYFUNCTION("""COMPUTED_VALUE"""),"High")</f>
        <v>High</v>
      </c>
      <c r="S1427" s="8" t="str">
        <f ca="1">IFERROR(__xludf.DUMMYFUNCTION("""COMPUTED_VALUE"""),"Parking Lot")</f>
        <v>Parking Lot</v>
      </c>
      <c r="T1427" s="8" t="str">
        <f ca="1">IFERROR(__xludf.DUMMYFUNCTION("""COMPUTED_VALUE"""),"Outside on School Property")</f>
        <v>Outside on School Property</v>
      </c>
      <c r="U1427" s="8" t="str">
        <f ca="1">IFERROR(__xludf.DUMMYFUNCTION("""COMPUTED_VALUE"""),"No")</f>
        <v>No</v>
      </c>
      <c r="V1427" s="8" t="str">
        <f ca="1">IFERROR(__xludf.DUMMYFUNCTION("""COMPUTED_VALUE"""),"Evening")</f>
        <v>Evening</v>
      </c>
      <c r="W1427" s="11">
        <f ca="1">IFERROR(__xludf.DUMMYFUNCTION("""COMPUTED_VALUE"""),0.729166666666666)</f>
        <v>0.72916666666666596</v>
      </c>
      <c r="X1427" s="8">
        <f ca="1">IFERROR(__xludf.DUMMYFUNCTION("""COMPUTED_VALUE"""),1)</f>
        <v>1</v>
      </c>
      <c r="Y1427" s="12" t="str">
        <f ca="1">IFERROR(__xludf.DUMMYFUNCTION("""COMPUTED_VALUE"""),"Two teens shot in school parking lot")</f>
        <v>Two teens shot in school parking lot</v>
      </c>
      <c r="Z1427" s="12" t="str">
        <f ca="1">IFERROR(__xludf.DUMMYFUNCTION("""COMPUTED_VALUE"""),"Two teen shot during fight in the school parking lot. Shooter and victims fled the scene before police arrived. Police found shell casings, a knife, and brass knuckles in the school parking lot. Two teens arrived at a hospital an hour later with gunshot w"&amp;"ound injuries to their legs.")</f>
        <v>Two teen shot during fight in the school parking lot. Shooter and victims fled the scene before police arrived. Police found shell casings, a knife, and brass knuckles in the school parking lot. Two teens arrived at a hospital an hour later with gunshot wound injuries to their legs.</v>
      </c>
      <c r="AA1427" s="8" t="str">
        <f ca="1">IFERROR(__xludf.DUMMYFUNCTION("""COMPUTED_VALUE"""),"Escalation of Dispute")</f>
        <v>Escalation of Dispute</v>
      </c>
      <c r="AB1427" s="8"/>
      <c r="AC1427" s="8" t="str">
        <f ca="1">IFERROR(__xludf.DUMMYFUNCTION("""COMPUTED_VALUE"""),"No")</f>
        <v>No</v>
      </c>
      <c r="AD1427" s="8" t="str">
        <f ca="1">IFERROR(__xludf.DUMMYFUNCTION("""COMPUTED_VALUE"""),"Victims Targeted")</f>
        <v>Victims Targeted</v>
      </c>
      <c r="AE1427" s="8"/>
      <c r="AF1427" s="8"/>
      <c r="AG1427" s="8" t="str">
        <f ca="1">IFERROR(__xludf.DUMMYFUNCTION("""COMPUTED_VALUE"""),"No")</f>
        <v>No</v>
      </c>
      <c r="AH1427" s="8" t="str">
        <f ca="1">IFERROR(__xludf.DUMMYFUNCTION("""COMPUTED_VALUE"""),"No")</f>
        <v>No</v>
      </c>
      <c r="AI1427" s="8" t="str">
        <f ca="1">IFERROR(__xludf.DUMMYFUNCTION("""COMPUTED_VALUE"""),"No")</f>
        <v>No</v>
      </c>
      <c r="AJ1427" s="8" t="str">
        <f ca="1">IFERROR(__xludf.DUMMYFUNCTION("""COMPUTED_VALUE"""),"No")</f>
        <v>No</v>
      </c>
      <c r="AK1427" s="8" t="str">
        <f ca="1">IFERROR(__xludf.DUMMYFUNCTION("""COMPUTED_VALUE"""),"No")</f>
        <v>No</v>
      </c>
      <c r="AL1427" s="8"/>
      <c r="AM1427" s="8" t="str">
        <f ca="1">IFERROR(__xludf.DUMMYFUNCTION("""COMPUTED_VALUE"""),"No")</f>
        <v>No</v>
      </c>
      <c r="AN1427" s="8"/>
      <c r="AO1427" s="8" t="str">
        <f ca="1">IFERROR(__xludf.DUMMYFUNCTION("""COMPUTED_VALUE"""),"No")</f>
        <v>No</v>
      </c>
      <c r="AP1427" s="8"/>
      <c r="AQ1427" s="8"/>
      <c r="AR1427" s="8" t="str">
        <f ca="1">IFERROR(__xludf.DUMMYFUNCTION("""COMPUTED_VALUE"""),"Outside/Off-Property")</f>
        <v>Outside/Off-Property</v>
      </c>
      <c r="AS1427" s="8">
        <f ca="1">IFERROR(__xludf.DUMMYFUNCTION("""COMPUTED_VALUE"""),16)</f>
        <v>16</v>
      </c>
      <c r="AT1427" s="8"/>
      <c r="AU1427" s="8">
        <f ca="1">IFERROR(__xludf.DUMMYFUNCTION("""COMPUTED_VALUE"""),47.699859)</f>
        <v>47.699858999999996</v>
      </c>
      <c r="AV1427" s="8">
        <f ca="1">IFERROR(__xludf.DUMMYFUNCTION("""COMPUTED_VALUE"""),-117.384811)</f>
        <v>-117.384811</v>
      </c>
      <c r="AW1427" s="8"/>
      <c r="AX1427" s="8">
        <f ca="1">IFERROR(__xludf.DUMMYFUNCTION("""COMPUTED_VALUE"""),99207)</f>
        <v>99207</v>
      </c>
    </row>
    <row r="1428" spans="1:50" ht="75" x14ac:dyDescent="0.2">
      <c r="A1428" s="8" t="str">
        <f ca="1">IFERROR(__xludf.DUMMYFUNCTION("""COMPUTED_VALUE"""),"20201225FLYOP")</f>
        <v>20201225FLYOP</v>
      </c>
      <c r="B1428" s="8">
        <f ca="1">IFERROR(__xludf.DUMMYFUNCTION("""COMPUTED_VALUE"""),12)</f>
        <v>12</v>
      </c>
      <c r="C1428" s="8">
        <f ca="1">IFERROR(__xludf.DUMMYFUNCTION("""COMPUTED_VALUE"""),25)</f>
        <v>25</v>
      </c>
      <c r="D1428" s="8">
        <f ca="1">IFERROR(__xludf.DUMMYFUNCTION("""COMPUTED_VALUE"""),2020)</f>
        <v>2020</v>
      </c>
      <c r="E1428" s="9">
        <f ca="1">IFERROR(__xludf.DUMMYFUNCTION("""COMPUTED_VALUE"""),44190)</f>
        <v>44190</v>
      </c>
      <c r="F1428" s="8" t="str">
        <f ca="1">IFERROR(__xludf.DUMMYFUNCTION("""COMPUTED_VALUE"""),"Youth Under Construction Youth Center")</f>
        <v>Youth Under Construction Youth Center</v>
      </c>
      <c r="G1428" s="8">
        <f ca="1">IFERROR(__xludf.DUMMYFUNCTION("""COMPUTED_VALUE"""),0)</f>
        <v>0</v>
      </c>
      <c r="H1428" s="8">
        <f ca="1">IFERROR(__xludf.DUMMYFUNCTION("""COMPUTED_VALUE"""),0)</f>
        <v>0</v>
      </c>
      <c r="I1428" s="8">
        <f ca="1">IFERROR(__xludf.DUMMYFUNCTION("""COMPUTED_VALUE"""),0)</f>
        <v>0</v>
      </c>
      <c r="J1428" s="8">
        <f ca="1">IFERROR(__xludf.DUMMYFUNCTION("""COMPUTED_VALUE"""),0)</f>
        <v>0</v>
      </c>
      <c r="K1428" s="10" t="str">
        <f ca="1">IFERROR(__xludf.DUMMYFUNCTION("""COMPUTED_VALUE"""),"https://wsvn.com/news/special-reports/bso-investigating-shooting-incident-outside-holiday-party-hosted-by-pompano-beach-school-for-at-risk-youth/")</f>
        <v>https://wsvn.com/news/special-reports/bso-investigating-shooting-incident-outside-holiday-party-hosted-by-pompano-beach-school-for-at-risk-youth/</v>
      </c>
      <c r="L1428" s="8">
        <f ca="1">IFERROR(__xludf.DUMMYFUNCTION("""COMPUTED_VALUE"""),1)</f>
        <v>1</v>
      </c>
      <c r="M1428" s="8" t="str">
        <f ca="1">IFERROR(__xludf.DUMMYFUNCTION("""COMPUTED_VALUE"""),"Local")</f>
        <v>Local</v>
      </c>
      <c r="N1428" s="8">
        <f ca="1">IFERROR(__xludf.DUMMYFUNCTION("""COMPUTED_VALUE"""),4)</f>
        <v>4</v>
      </c>
      <c r="O1428" s="8" t="str">
        <f ca="1">IFERROR(__xludf.DUMMYFUNCTION("""COMPUTED_VALUE"""),"Winter")</f>
        <v>Winter</v>
      </c>
      <c r="P1428" s="8" t="str">
        <f ca="1">IFERROR(__xludf.DUMMYFUNCTION("""COMPUTED_VALUE"""),"Pompano Beach")</f>
        <v>Pompano Beach</v>
      </c>
      <c r="Q1428" s="8" t="str">
        <f ca="1">IFERROR(__xludf.DUMMYFUNCTION("""COMPUTED_VALUE"""),"FL")</f>
        <v>FL</v>
      </c>
      <c r="R1428" s="8" t="str">
        <f ca="1">IFERROR(__xludf.DUMMYFUNCTION("""COMPUTED_VALUE"""),"High")</f>
        <v>High</v>
      </c>
      <c r="S1428" s="8" t="str">
        <f ca="1">IFERROR(__xludf.DUMMYFUNCTION("""COMPUTED_VALUE"""),"Parking Lot")</f>
        <v>Parking Lot</v>
      </c>
      <c r="T1428" s="8" t="str">
        <f ca="1">IFERROR(__xludf.DUMMYFUNCTION("""COMPUTED_VALUE"""),"Outside on School Property")</f>
        <v>Outside on School Property</v>
      </c>
      <c r="U1428" s="8" t="str">
        <f ca="1">IFERROR(__xludf.DUMMYFUNCTION("""COMPUTED_VALUE"""),"No")</f>
        <v>No</v>
      </c>
      <c r="V1428" s="8" t="str">
        <f ca="1">IFERROR(__xludf.DUMMYFUNCTION("""COMPUTED_VALUE"""),"School Event")</f>
        <v>School Event</v>
      </c>
      <c r="W1428" s="11">
        <f ca="1">IFERROR(__xludf.DUMMYFUNCTION("""COMPUTED_VALUE"""),0.958333333333333)</f>
        <v>0.95833333333333304</v>
      </c>
      <c r="X1428" s="8">
        <f ca="1">IFERROR(__xludf.DUMMYFUNCTION("""COMPUTED_VALUE"""),1)</f>
        <v>1</v>
      </c>
      <c r="Y1428" s="12" t="str">
        <f ca="1">IFERROR(__xludf.DUMMYFUNCTION("""COMPUTED_VALUE"""),"Shots fired in the parking lot during school holiday party")</f>
        <v>Shots fired in the parking lot during school holiday party</v>
      </c>
      <c r="Z1428" s="12" t="str">
        <f ca="1">IFERROR(__xludf.DUMMYFUNCTION("""COMPUTED_VALUE"""),"15 shots were fired in the parking lot of the school during an evening holiday party attended by students of the school. Students inside the school called 911 and reported an active shooter. Police responded and searched the building. Shooter fled the sce"&amp;"ne. No injuries.")</f>
        <v>15 shots were fired in the parking lot of the school during an evening holiday party attended by students of the school. Students inside the school called 911 and reported an active shooter. Police responded and searched the building. Shooter fled the scene. No injuries.</v>
      </c>
      <c r="AA1428" s="8"/>
      <c r="AB1428" s="8"/>
      <c r="AC1428" s="8" t="str">
        <f ca="1">IFERROR(__xludf.DUMMYFUNCTION("""COMPUTED_VALUE"""),"Yes")</f>
        <v>Yes</v>
      </c>
      <c r="AD1428" s="8"/>
      <c r="AE1428" s="8" t="str">
        <f ca="1">IFERROR(__xludf.DUMMYFUNCTION("""COMPUTED_VALUE"""),"No")</f>
        <v>No</v>
      </c>
      <c r="AF1428" s="8"/>
      <c r="AG1428" s="8" t="str">
        <f ca="1">IFERROR(__xludf.DUMMYFUNCTION("""COMPUTED_VALUE"""),"No")</f>
        <v>No</v>
      </c>
      <c r="AH1428" s="8" t="str">
        <f ca="1">IFERROR(__xludf.DUMMYFUNCTION("""COMPUTED_VALUE"""),"No")</f>
        <v>No</v>
      </c>
      <c r="AI1428" s="8" t="str">
        <f ca="1">IFERROR(__xludf.DUMMYFUNCTION("""COMPUTED_VALUE"""),"No")</f>
        <v>No</v>
      </c>
      <c r="AJ1428" s="8"/>
      <c r="AK1428" s="8" t="str">
        <f ca="1">IFERROR(__xludf.DUMMYFUNCTION("""COMPUTED_VALUE"""),"No")</f>
        <v>No</v>
      </c>
      <c r="AL1428" s="8"/>
      <c r="AM1428" s="8" t="str">
        <f ca="1">IFERROR(__xludf.DUMMYFUNCTION("""COMPUTED_VALUE"""),"No")</f>
        <v>No</v>
      </c>
      <c r="AN1428" s="8"/>
      <c r="AO1428" s="8" t="str">
        <f ca="1">IFERROR(__xludf.DUMMYFUNCTION("""COMPUTED_VALUE"""),"No")</f>
        <v>No</v>
      </c>
      <c r="AP1428" s="8" t="str">
        <f ca="1">IFERROR(__xludf.DUMMYFUNCTION("""COMPUTED_VALUE"""),"No")</f>
        <v>No</v>
      </c>
      <c r="AQ1428" s="8"/>
      <c r="AR1428" s="8" t="str">
        <f ca="1">IFERROR(__xludf.DUMMYFUNCTION("""COMPUTED_VALUE"""),"Outside/Off-Property")</f>
        <v>Outside/Off-Property</v>
      </c>
      <c r="AS1428" s="8">
        <f ca="1">IFERROR(__xludf.DUMMYFUNCTION("""COMPUTED_VALUE"""),15)</f>
        <v>15</v>
      </c>
      <c r="AT1428" s="8" t="str">
        <f ca="1">IFERROR(__xludf.DUMMYFUNCTION("""COMPUTED_VALUE"""),"No")</f>
        <v>No</v>
      </c>
      <c r="AU1428" s="8">
        <f ca="1">IFERROR(__xludf.DUMMYFUNCTION("""COMPUTED_VALUE"""),26.232687)</f>
        <v>26.232686999999999</v>
      </c>
      <c r="AV1428" s="8">
        <f ca="1">IFERROR(__xludf.DUMMYFUNCTION("""COMPUTED_VALUE"""),-80.156212)</f>
        <v>-80.156211999999996</v>
      </c>
      <c r="AW1428" s="8"/>
      <c r="AX1428" s="8">
        <f ca="1">IFERROR(__xludf.DUMMYFUNCTION("""COMPUTED_VALUE"""),33069)</f>
        <v>33069</v>
      </c>
    </row>
    <row r="1429" spans="1:50" ht="75" x14ac:dyDescent="0.2">
      <c r="A1429" s="8" t="str">
        <f ca="1">IFERROR(__xludf.DUMMYFUNCTION("""COMPUTED_VALUE"""),"20201216ILDUC")</f>
        <v>20201216ILDUC</v>
      </c>
      <c r="B1429" s="8">
        <f ca="1">IFERROR(__xludf.DUMMYFUNCTION("""COMPUTED_VALUE"""),12)</f>
        <v>12</v>
      </c>
      <c r="C1429" s="8">
        <f ca="1">IFERROR(__xludf.DUMMYFUNCTION("""COMPUTED_VALUE"""),16)</f>
        <v>16</v>
      </c>
      <c r="D1429" s="8">
        <f ca="1">IFERROR(__xludf.DUMMYFUNCTION("""COMPUTED_VALUE"""),2020)</f>
        <v>2020</v>
      </c>
      <c r="E1429" s="9">
        <f ca="1">IFERROR(__xludf.DUMMYFUNCTION("""COMPUTED_VALUE"""),44181)</f>
        <v>44181</v>
      </c>
      <c r="F1429" s="8" t="str">
        <f ca="1">IFERROR(__xludf.DUMMYFUNCTION("""COMPUTED_VALUE"""),"Dubois Elementary School")</f>
        <v>Dubois Elementary School</v>
      </c>
      <c r="G1429" s="8">
        <f ca="1">IFERROR(__xludf.DUMMYFUNCTION("""COMPUTED_VALUE"""),1)</f>
        <v>1</v>
      </c>
      <c r="H1429" s="8">
        <f ca="1">IFERROR(__xludf.DUMMYFUNCTION("""COMPUTED_VALUE"""),0)</f>
        <v>0</v>
      </c>
      <c r="I1429" s="8">
        <f ca="1">IFERROR(__xludf.DUMMYFUNCTION("""COMPUTED_VALUE"""),1)</f>
        <v>1</v>
      </c>
      <c r="J1429" s="8">
        <f ca="1">IFERROR(__xludf.DUMMYFUNCTION("""COMPUTED_VALUE"""),0)</f>
        <v>0</v>
      </c>
      <c r="K1429" s="8" t="str">
        <f ca="1">IFERROR(__xludf.DUMMYFUNCTION("""COMPUTED_VALUE"""),"https://chicago.suntimes.com/crime/2020/12/17/22180063/man-found-fatally-shot-133rd-riverdale-police https://chicago.cbslocal.com/2020/12/17/man-shot-and-killed-in-school-parking-lot-on-far-south-side/ https://abc7chicago.com/man-shot-dead-near-riverdale-"&amp;"elementary-school-cpd/8840460/ https://wgntv.com/news/chicago-news/man-found-shot-to-death-near-school-on-far-south-side/")</f>
        <v>https://chicago.suntimes.com/crime/2020/12/17/22180063/man-found-fatally-shot-133rd-riverdale-police https://chicago.cbslocal.com/2020/12/17/man-shot-and-killed-in-school-parking-lot-on-far-south-side/ https://abc7chicago.com/man-shot-dead-near-riverdale-elementary-school-cpd/8840460/ https://wgntv.com/news/chicago-news/man-found-shot-to-death-near-school-on-far-south-side/</v>
      </c>
      <c r="L1429" s="8">
        <f ca="1">IFERROR(__xludf.DUMMYFUNCTION("""COMPUTED_VALUE"""),4)</f>
        <v>4</v>
      </c>
      <c r="M1429" s="8" t="str">
        <f ca="1">IFERROR(__xludf.DUMMYFUNCTION("""COMPUTED_VALUE"""),"Local")</f>
        <v>Local</v>
      </c>
      <c r="N1429" s="8">
        <f ca="1">IFERROR(__xludf.DUMMYFUNCTION("""COMPUTED_VALUE"""),4)</f>
        <v>4</v>
      </c>
      <c r="O1429" s="8" t="str">
        <f ca="1">IFERROR(__xludf.DUMMYFUNCTION("""COMPUTED_VALUE"""),"Winter")</f>
        <v>Winter</v>
      </c>
      <c r="P1429" s="8" t="str">
        <f ca="1">IFERROR(__xludf.DUMMYFUNCTION("""COMPUTED_VALUE"""),"Chicago")</f>
        <v>Chicago</v>
      </c>
      <c r="Q1429" s="8" t="str">
        <f ca="1">IFERROR(__xludf.DUMMYFUNCTION("""COMPUTED_VALUE"""),"IL")</f>
        <v>IL</v>
      </c>
      <c r="R1429" s="8" t="str">
        <f ca="1">IFERROR(__xludf.DUMMYFUNCTION("""COMPUTED_VALUE"""),"Elementary")</f>
        <v>Elementary</v>
      </c>
      <c r="S1429" s="8" t="str">
        <f ca="1">IFERROR(__xludf.DUMMYFUNCTION("""COMPUTED_VALUE"""),"Parking Lot")</f>
        <v>Parking Lot</v>
      </c>
      <c r="T1429" s="8" t="str">
        <f ca="1">IFERROR(__xludf.DUMMYFUNCTION("""COMPUTED_VALUE"""),"Outside on School Property")</f>
        <v>Outside on School Property</v>
      </c>
      <c r="U1429" s="8" t="str">
        <f ca="1">IFERROR(__xludf.DUMMYFUNCTION("""COMPUTED_VALUE"""),"No")</f>
        <v>No</v>
      </c>
      <c r="V1429" s="8" t="str">
        <f ca="1">IFERROR(__xludf.DUMMYFUNCTION("""COMPUTED_VALUE"""),"Night")</f>
        <v>Night</v>
      </c>
      <c r="W1429" s="11">
        <f ca="1">IFERROR(__xludf.DUMMYFUNCTION("""COMPUTED_VALUE"""),0.979166666666666)</f>
        <v>0.97916666666666596</v>
      </c>
      <c r="X1429" s="8">
        <f ca="1">IFERROR(__xludf.DUMMYFUNCTION("""COMPUTED_VALUE"""),1)</f>
        <v>1</v>
      </c>
      <c r="Y1429" s="12" t="str">
        <f ca="1">IFERROR(__xludf.DUMMYFUNCTION("""COMPUTED_VALUE"""),"Man fatally shot in parking lot of school")</f>
        <v>Man fatally shot in parking lot of school</v>
      </c>
      <c r="Z1429" s="12" t="str">
        <f ca="1">IFERROR(__xludf.DUMMYFUNCTION("""COMPUTED_VALUE"""),"Shot detection technology alerted police for a shooting at the school. Police found a man who had been fatally shot multiple times in the head, back, and leg. He was pronounced dead at the scene. Shooter fled the area before police arrived.")</f>
        <v>Shot detection technology alerted police for a shooting at the school. Police found a man who had been fatally shot multiple times in the head, back, and leg. He was pronounced dead at the scene. Shooter fled the area before police arrived.</v>
      </c>
      <c r="AA1429" s="8"/>
      <c r="AB1429" s="8"/>
      <c r="AC1429" s="8" t="str">
        <f ca="1">IFERROR(__xludf.DUMMYFUNCTION("""COMPUTED_VALUE"""),"No")</f>
        <v>No</v>
      </c>
      <c r="AD1429" s="8" t="str">
        <f ca="1">IFERROR(__xludf.DUMMYFUNCTION("""COMPUTED_VALUE"""),"Victims Targeted")</f>
        <v>Victims Targeted</v>
      </c>
      <c r="AE1429" s="8"/>
      <c r="AF1429" s="8"/>
      <c r="AG1429" s="8" t="str">
        <f ca="1">IFERROR(__xludf.DUMMYFUNCTION("""COMPUTED_VALUE"""),"No")</f>
        <v>No</v>
      </c>
      <c r="AH1429" s="8" t="str">
        <f ca="1">IFERROR(__xludf.DUMMYFUNCTION("""COMPUTED_VALUE"""),"No")</f>
        <v>No</v>
      </c>
      <c r="AI1429" s="8" t="str">
        <f ca="1">IFERROR(__xludf.DUMMYFUNCTION("""COMPUTED_VALUE"""),"No")</f>
        <v>No</v>
      </c>
      <c r="AJ1429" s="8" t="str">
        <f ca="1">IFERROR(__xludf.DUMMYFUNCTION("""COMPUTED_VALUE"""),"No")</f>
        <v>No</v>
      </c>
      <c r="AK1429" s="8" t="str">
        <f ca="1">IFERROR(__xludf.DUMMYFUNCTION("""COMPUTED_VALUE"""),"No")</f>
        <v>No</v>
      </c>
      <c r="AL1429" s="8"/>
      <c r="AM1429" s="8" t="str">
        <f ca="1">IFERROR(__xludf.DUMMYFUNCTION("""COMPUTED_VALUE"""),"No")</f>
        <v>No</v>
      </c>
      <c r="AN1429" s="8"/>
      <c r="AO1429" s="8" t="str">
        <f ca="1">IFERROR(__xludf.DUMMYFUNCTION("""COMPUTED_VALUE"""),"No")</f>
        <v>No</v>
      </c>
      <c r="AP1429" s="8"/>
      <c r="AQ1429" s="8"/>
      <c r="AR1429" s="8" t="str">
        <f ca="1">IFERROR(__xludf.DUMMYFUNCTION("""COMPUTED_VALUE"""),"Outside/Off-Property")</f>
        <v>Outside/Off-Property</v>
      </c>
      <c r="AS1429" s="8"/>
      <c r="AT1429" s="8"/>
      <c r="AU1429" s="8">
        <f ca="1">IFERROR(__xludf.DUMMYFUNCTION("""COMPUTED_VALUE"""),41.653944)</f>
        <v>41.653944000000003</v>
      </c>
      <c r="AV1429" s="8">
        <f ca="1">IFERROR(__xludf.DUMMYFUNCTION("""COMPUTED_VALUE"""),-87.614666)</f>
        <v>-87.614666</v>
      </c>
      <c r="AW1429" s="8"/>
      <c r="AX1429" s="8">
        <f ca="1">IFERROR(__xludf.DUMMYFUNCTION("""COMPUTED_VALUE"""),60827)</f>
        <v>60827</v>
      </c>
    </row>
    <row r="1430" spans="1:50" ht="60" x14ac:dyDescent="0.2">
      <c r="A1430" s="8" t="str">
        <f ca="1">IFERROR(__xludf.DUMMYFUNCTION("""COMPUTED_VALUE"""),"20201211VATAY")</f>
        <v>20201211VATAY</v>
      </c>
      <c r="B1430" s="8">
        <f ca="1">IFERROR(__xludf.DUMMYFUNCTION("""COMPUTED_VALUE"""),12)</f>
        <v>12</v>
      </c>
      <c r="C1430" s="8">
        <f ca="1">IFERROR(__xludf.DUMMYFUNCTION("""COMPUTED_VALUE"""),11)</f>
        <v>11</v>
      </c>
      <c r="D1430" s="8">
        <f ca="1">IFERROR(__xludf.DUMMYFUNCTION("""COMPUTED_VALUE"""),2020)</f>
        <v>2020</v>
      </c>
      <c r="E1430" s="9">
        <f ca="1">IFERROR(__xludf.DUMMYFUNCTION("""COMPUTED_VALUE"""),44176)</f>
        <v>44176</v>
      </c>
      <c r="F1430" s="8" t="str">
        <f ca="1">IFERROR(__xludf.DUMMYFUNCTION("""COMPUTED_VALUE"""),"Tabb Middle School")</f>
        <v>Tabb Middle School</v>
      </c>
      <c r="G1430" s="8">
        <f ca="1">IFERROR(__xludf.DUMMYFUNCTION("""COMPUTED_VALUE"""),0)</f>
        <v>0</v>
      </c>
      <c r="H1430" s="8">
        <f ca="1">IFERROR(__xludf.DUMMYFUNCTION("""COMPUTED_VALUE"""),0)</f>
        <v>0</v>
      </c>
      <c r="I1430" s="8">
        <f ca="1">IFERROR(__xludf.DUMMYFUNCTION("""COMPUTED_VALUE"""),0)</f>
        <v>0</v>
      </c>
      <c r="J1430" s="8">
        <f ca="1">IFERROR(__xludf.DUMMYFUNCTION("""COMPUTED_VALUE"""),0)</f>
        <v>0</v>
      </c>
      <c r="K1430" s="8" t="str">
        <f ca="1">IFERROR(__xludf.DUMMYFUNCTION("""COMPUTED_VALUE"""),"https://www.wtkr.com/news/deputies-investigating-report-of-possible-shooting-near-york-co-middle-school https://www.13newsnow.com/article/news/crime/deputies-investigate-shooting-outside-tabb-middle-school-in-york-county/291-794eef13-68c8-4f1e-ae83-d5cd23"&amp;"8d00d6")</f>
        <v>https://www.wtkr.com/news/deputies-investigating-report-of-possible-shooting-near-york-co-middle-school https://www.13newsnow.com/article/news/crime/deputies-investigate-shooting-outside-tabb-middle-school-in-york-county/291-794eef13-68c8-4f1e-ae83-d5cd238d00d6</v>
      </c>
      <c r="L1430" s="8">
        <f ca="1">IFERROR(__xludf.DUMMYFUNCTION("""COMPUTED_VALUE"""),2)</f>
        <v>2</v>
      </c>
      <c r="M1430" s="8" t="str">
        <f ca="1">IFERROR(__xludf.DUMMYFUNCTION("""COMPUTED_VALUE"""),"Local")</f>
        <v>Local</v>
      </c>
      <c r="N1430" s="8">
        <f ca="1">IFERROR(__xludf.DUMMYFUNCTION("""COMPUTED_VALUE"""),3)</f>
        <v>3</v>
      </c>
      <c r="O1430" s="8" t="str">
        <f ca="1">IFERROR(__xludf.DUMMYFUNCTION("""COMPUTED_VALUE"""),"Winter")</f>
        <v>Winter</v>
      </c>
      <c r="P1430" s="8" t="str">
        <f ca="1">IFERROR(__xludf.DUMMYFUNCTION("""COMPUTED_VALUE"""),"Yorktown")</f>
        <v>Yorktown</v>
      </c>
      <c r="Q1430" s="8" t="str">
        <f ca="1">IFERROR(__xludf.DUMMYFUNCTION("""COMPUTED_VALUE"""),"VA")</f>
        <v>VA</v>
      </c>
      <c r="R1430" s="8" t="str">
        <f ca="1">IFERROR(__xludf.DUMMYFUNCTION("""COMPUTED_VALUE"""),"Middle")</f>
        <v>Middle</v>
      </c>
      <c r="S1430" s="8" t="str">
        <f ca="1">IFERROR(__xludf.DUMMYFUNCTION("""COMPUTED_VALUE"""),"Basketball Court")</f>
        <v>Basketball Court</v>
      </c>
      <c r="T1430" s="8" t="str">
        <f ca="1">IFERROR(__xludf.DUMMYFUNCTION("""COMPUTED_VALUE"""),"Outside on School Property")</f>
        <v>Outside on School Property</v>
      </c>
      <c r="U1430" s="8" t="str">
        <f ca="1">IFERROR(__xludf.DUMMYFUNCTION("""COMPUTED_VALUE"""),"No")</f>
        <v>No</v>
      </c>
      <c r="V1430" s="8" t="str">
        <f ca="1">IFERROR(__xludf.DUMMYFUNCTION("""COMPUTED_VALUE"""),"Evening")</f>
        <v>Evening</v>
      </c>
      <c r="W1430" s="11">
        <f ca="1">IFERROR(__xludf.DUMMYFUNCTION("""COMPUTED_VALUE"""),0.693055555555555)</f>
        <v>0.69305555555555498</v>
      </c>
      <c r="X1430" s="8">
        <f ca="1">IFERROR(__xludf.DUMMYFUNCTION("""COMPUTED_VALUE"""),1)</f>
        <v>1</v>
      </c>
      <c r="Y1430" s="12" t="str">
        <f ca="1">IFERROR(__xludf.DUMMYFUNCTION("""COMPUTED_VALUE"""),"Shooting on school basketball court")</f>
        <v>Shooting on school basketball court</v>
      </c>
      <c r="Z1430" s="12" t="str">
        <f ca="1">IFERROR(__xludf.DUMMYFUNCTION("""COMPUTED_VALUE"""),"Police were notified by school employees of a shooting that occurred on the basketball court of the school. Shooter fled the scene. No injuries reported. Students were not in class at the time of the shooting.")</f>
        <v>Police were notified by school employees of a shooting that occurred on the basketball court of the school. Shooter fled the scene. No injuries reported. Students were not in class at the time of the shooting.</v>
      </c>
      <c r="AA1430" s="8"/>
      <c r="AB1430" s="8"/>
      <c r="AC1430" s="8" t="str">
        <f ca="1">IFERROR(__xludf.DUMMYFUNCTION("""COMPUTED_VALUE"""),"Yes")</f>
        <v>Yes</v>
      </c>
      <c r="AD1430" s="8"/>
      <c r="AE1430" s="8"/>
      <c r="AF1430" s="8"/>
      <c r="AG1430" s="8" t="str">
        <f ca="1">IFERROR(__xludf.DUMMYFUNCTION("""COMPUTED_VALUE"""),"No")</f>
        <v>No</v>
      </c>
      <c r="AH1430" s="8" t="str">
        <f ca="1">IFERROR(__xludf.DUMMYFUNCTION("""COMPUTED_VALUE"""),"No")</f>
        <v>No</v>
      </c>
      <c r="AI1430" s="8" t="str">
        <f ca="1">IFERROR(__xludf.DUMMYFUNCTION("""COMPUTED_VALUE"""),"No")</f>
        <v>No</v>
      </c>
      <c r="AJ1430" s="8" t="str">
        <f ca="1">IFERROR(__xludf.DUMMYFUNCTION("""COMPUTED_VALUE"""),"No")</f>
        <v>No</v>
      </c>
      <c r="AK1430" s="8" t="str">
        <f ca="1">IFERROR(__xludf.DUMMYFUNCTION("""COMPUTED_VALUE"""),"No")</f>
        <v>No</v>
      </c>
      <c r="AL1430" s="8"/>
      <c r="AM1430" s="8" t="str">
        <f ca="1">IFERROR(__xludf.DUMMYFUNCTION("""COMPUTED_VALUE"""),"No")</f>
        <v>No</v>
      </c>
      <c r="AN1430" s="8"/>
      <c r="AO1430" s="8" t="str">
        <f ca="1">IFERROR(__xludf.DUMMYFUNCTION("""COMPUTED_VALUE"""),"No")</f>
        <v>No</v>
      </c>
      <c r="AP1430" s="8" t="str">
        <f ca="1">IFERROR(__xludf.DUMMYFUNCTION("""COMPUTED_VALUE"""),"No")</f>
        <v>No</v>
      </c>
      <c r="AQ1430" s="8"/>
      <c r="AR1430" s="8" t="str">
        <f ca="1">IFERROR(__xludf.DUMMYFUNCTION("""COMPUTED_VALUE"""),"Outside/Off-Property")</f>
        <v>Outside/Off-Property</v>
      </c>
      <c r="AS1430" s="8"/>
      <c r="AT1430" s="8"/>
      <c r="AU1430" s="8">
        <f ca="1">IFERROR(__xludf.DUMMYFUNCTION("""COMPUTED_VALUE"""),37.125217)</f>
        <v>37.125216999999999</v>
      </c>
      <c r="AV1430" s="8">
        <f ca="1">IFERROR(__xludf.DUMMYFUNCTION("""COMPUTED_VALUE"""),-76.451331)</f>
        <v>-76.451330999999996</v>
      </c>
      <c r="AW1430" s="8"/>
      <c r="AX1430" s="8">
        <f ca="1">IFERROR(__xludf.DUMMYFUNCTION("""COMPUTED_VALUE"""),23693)</f>
        <v>23693</v>
      </c>
    </row>
    <row r="1431" spans="1:50" ht="90" x14ac:dyDescent="0.2">
      <c r="A1431" s="8" t="str">
        <f ca="1">IFERROR(__xludf.DUMMYFUNCTION("""COMPUTED_VALUE"""),"20201207ILEAC")</f>
        <v>20201207ILEAC</v>
      </c>
      <c r="B1431" s="8">
        <f ca="1">IFERROR(__xludf.DUMMYFUNCTION("""COMPUTED_VALUE"""),12)</f>
        <v>12</v>
      </c>
      <c r="C1431" s="8">
        <f ca="1">IFERROR(__xludf.DUMMYFUNCTION("""COMPUTED_VALUE"""),6)</f>
        <v>6</v>
      </c>
      <c r="D1431" s="8">
        <f ca="1">IFERROR(__xludf.DUMMYFUNCTION("""COMPUTED_VALUE"""),2020)</f>
        <v>2020</v>
      </c>
      <c r="E1431" s="9">
        <f ca="1">IFERROR(__xludf.DUMMYFUNCTION("""COMPUTED_VALUE"""),44171)</f>
        <v>44171</v>
      </c>
      <c r="F1431" s="8" t="str">
        <f ca="1">IFERROR(__xludf.DUMMYFUNCTION("""COMPUTED_VALUE"""),"East Chicago Academy of Visual and Performing Arts")</f>
        <v>East Chicago Academy of Visual and Performing Arts</v>
      </c>
      <c r="G1431" s="8">
        <f ca="1">IFERROR(__xludf.DUMMYFUNCTION("""COMPUTED_VALUE"""),1)</f>
        <v>1</v>
      </c>
      <c r="H1431" s="8">
        <f ca="1">IFERROR(__xludf.DUMMYFUNCTION("""COMPUTED_VALUE"""),0)</f>
        <v>0</v>
      </c>
      <c r="I1431" s="8">
        <f ca="1">IFERROR(__xludf.DUMMYFUNCTION("""COMPUTED_VALUE"""),1)</f>
        <v>1</v>
      </c>
      <c r="J1431" s="8">
        <f ca="1">IFERROR(__xludf.DUMMYFUNCTION("""COMPUTED_VALUE"""),0)</f>
        <v>0</v>
      </c>
      <c r="K1431" s="8" t="str">
        <f ca="1">IFERROR(__xludf.DUMMYFUNCTION("""COMPUTED_VALUE"""),"https://www.nwitimes.com/news/police-respond-to-gunshot-victim-found-in-east-chicago/article_1c8bd618-0344-5acb-bf1c-63f675544572.html https://wgntv.com/news/chicago-news/man-found-shot-to-death-outside-high-school-in-east-chicago-neighborhood/")</f>
        <v>https://www.nwitimes.com/news/police-respond-to-gunshot-victim-found-in-east-chicago/article_1c8bd618-0344-5acb-bf1c-63f675544572.html https://wgntv.com/news/chicago-news/man-found-shot-to-death-outside-high-school-in-east-chicago-neighborhood/</v>
      </c>
      <c r="L1431" s="8">
        <f ca="1">IFERROR(__xludf.DUMMYFUNCTION("""COMPUTED_VALUE"""),2)</f>
        <v>2</v>
      </c>
      <c r="M1431" s="8" t="str">
        <f ca="1">IFERROR(__xludf.DUMMYFUNCTION("""COMPUTED_VALUE"""),"Local")</f>
        <v>Local</v>
      </c>
      <c r="N1431" s="8">
        <f ca="1">IFERROR(__xludf.DUMMYFUNCTION("""COMPUTED_VALUE"""),3)</f>
        <v>3</v>
      </c>
      <c r="O1431" s="8" t="str">
        <f ca="1">IFERROR(__xludf.DUMMYFUNCTION("""COMPUTED_VALUE"""),"Winter")</f>
        <v>Winter</v>
      </c>
      <c r="P1431" s="8" t="str">
        <f ca="1">IFERROR(__xludf.DUMMYFUNCTION("""COMPUTED_VALUE"""),"East Chicago")</f>
        <v>East Chicago</v>
      </c>
      <c r="Q1431" s="8" t="str">
        <f ca="1">IFERROR(__xludf.DUMMYFUNCTION("""COMPUTED_VALUE"""),"IN")</f>
        <v>IN</v>
      </c>
      <c r="R1431" s="8" t="str">
        <f ca="1">IFERROR(__xludf.DUMMYFUNCTION("""COMPUTED_VALUE"""),"High")</f>
        <v>High</v>
      </c>
      <c r="S1431" s="8" t="str">
        <f ca="1">IFERROR(__xludf.DUMMYFUNCTION("""COMPUTED_VALUE"""),"Front of School")</f>
        <v>Front of School</v>
      </c>
      <c r="T1431" s="8" t="str">
        <f ca="1">IFERROR(__xludf.DUMMYFUNCTION("""COMPUTED_VALUE"""),"Outside on School Property")</f>
        <v>Outside on School Property</v>
      </c>
      <c r="U1431" s="8" t="str">
        <f ca="1">IFERROR(__xludf.DUMMYFUNCTION("""COMPUTED_VALUE"""),"No")</f>
        <v>No</v>
      </c>
      <c r="V1431" s="8" t="str">
        <f ca="1">IFERROR(__xludf.DUMMYFUNCTION("""COMPUTED_VALUE"""),"Night")</f>
        <v>Night</v>
      </c>
      <c r="W1431" s="8"/>
      <c r="X1431" s="8">
        <f ca="1">IFERROR(__xludf.DUMMYFUNCTION("""COMPUTED_VALUE"""),1)</f>
        <v>1</v>
      </c>
      <c r="Y1431" s="12" t="str">
        <f ca="1">IFERROR(__xludf.DUMMYFUNCTION("""COMPUTED_VALUE"""),"Man found dead in front of school from gunshot wound")</f>
        <v>Man found dead in front of school from gunshot wound</v>
      </c>
      <c r="Z1431" s="12" t="str">
        <f ca="1">IFERROR(__xludf.DUMMYFUNCTION("""COMPUTED_VALUE"""),"Police were notified at 8 AM in the morning for a man who was found with a gunshot wound to the head in the grass in front of the school. The shooting occurred overnight. Multiple 911 calls for different shots fired incidents in the nearby area had taken "&amp;"place recently. No suspect or motive identified by police.")</f>
        <v>Police were notified at 8 AM in the morning for a man who was found with a gunshot wound to the head in the grass in front of the school. The shooting occurred overnight. Multiple 911 calls for different shots fired incidents in the nearby area had taken place recently. No suspect or motive identified by police.</v>
      </c>
      <c r="AA1431" s="8"/>
      <c r="AB1431" s="8"/>
      <c r="AC1431" s="8" t="str">
        <f ca="1">IFERROR(__xludf.DUMMYFUNCTION("""COMPUTED_VALUE"""),"No")</f>
        <v>No</v>
      </c>
      <c r="AD1431" s="8"/>
      <c r="AE1431" s="8"/>
      <c r="AF1431" s="8"/>
      <c r="AG1431" s="8" t="str">
        <f ca="1">IFERROR(__xludf.DUMMYFUNCTION("""COMPUTED_VALUE"""),"No")</f>
        <v>No</v>
      </c>
      <c r="AH1431" s="8" t="str">
        <f ca="1">IFERROR(__xludf.DUMMYFUNCTION("""COMPUTED_VALUE"""),"No")</f>
        <v>No</v>
      </c>
      <c r="AI1431" s="8"/>
      <c r="AJ1431" s="8" t="str">
        <f ca="1">IFERROR(__xludf.DUMMYFUNCTION("""COMPUTED_VALUE"""),"No")</f>
        <v>No</v>
      </c>
      <c r="AK1431" s="8" t="str">
        <f ca="1">IFERROR(__xludf.DUMMYFUNCTION("""COMPUTED_VALUE"""),"No")</f>
        <v>No</v>
      </c>
      <c r="AL1431" s="8"/>
      <c r="AM1431" s="8" t="str">
        <f ca="1">IFERROR(__xludf.DUMMYFUNCTION("""COMPUTED_VALUE"""),"No")</f>
        <v>No</v>
      </c>
      <c r="AN1431" s="8"/>
      <c r="AO1431" s="8" t="str">
        <f ca="1">IFERROR(__xludf.DUMMYFUNCTION("""COMPUTED_VALUE"""),"No")</f>
        <v>No</v>
      </c>
      <c r="AP1431" s="8"/>
      <c r="AQ1431" s="8"/>
      <c r="AR1431" s="8" t="str">
        <f ca="1">IFERROR(__xludf.DUMMYFUNCTION("""COMPUTED_VALUE"""),"Outside/Off-Property")</f>
        <v>Outside/Off-Property</v>
      </c>
      <c r="AS1431" s="8"/>
      <c r="AT1431" s="8"/>
      <c r="AU1431" s="8">
        <f ca="1">IFERROR(__xludf.DUMMYFUNCTION("""COMPUTED_VALUE"""),41.902318)</f>
        <v>41.902318000000001</v>
      </c>
      <c r="AV1431" s="8">
        <f ca="1">IFERROR(__xludf.DUMMYFUNCTION("""COMPUTED_VALUE"""),-87.716994)</f>
        <v>-87.716994</v>
      </c>
      <c r="AW1431" s="8"/>
      <c r="AX1431" s="8">
        <f ca="1">IFERROR(__xludf.DUMMYFUNCTION("""COMPUTED_VALUE"""),60651)</f>
        <v>60651</v>
      </c>
    </row>
    <row r="1432" spans="1:50" ht="105" x14ac:dyDescent="0.2">
      <c r="A1432" s="8" t="str">
        <f ca="1">IFERROR(__xludf.DUMMYFUNCTION("""COMPUTED_VALUE"""),"20201125KSABG")</f>
        <v>20201125KSABG</v>
      </c>
      <c r="B1432" s="8">
        <f ca="1">IFERROR(__xludf.DUMMYFUNCTION("""COMPUTED_VALUE"""),11)</f>
        <v>11</v>
      </c>
      <c r="C1432" s="8">
        <f ca="1">IFERROR(__xludf.DUMMYFUNCTION("""COMPUTED_VALUE"""),25)</f>
        <v>25</v>
      </c>
      <c r="D1432" s="8">
        <f ca="1">IFERROR(__xludf.DUMMYFUNCTION("""COMPUTED_VALUE"""),2020)</f>
        <v>2020</v>
      </c>
      <c r="E1432" s="9">
        <f ca="1">IFERROR(__xludf.DUMMYFUNCTION("""COMPUTED_VALUE"""),44160)</f>
        <v>44160</v>
      </c>
      <c r="F1432" s="8" t="str">
        <f ca="1">IFERROR(__xludf.DUMMYFUNCTION("""COMPUTED_VALUE"""),"Abe Hubert Elementary School")</f>
        <v>Abe Hubert Elementary School</v>
      </c>
      <c r="G1432" s="8">
        <f ca="1">IFERROR(__xludf.DUMMYFUNCTION("""COMPUTED_VALUE"""),0)</f>
        <v>0</v>
      </c>
      <c r="H1432" s="8">
        <f ca="1">IFERROR(__xludf.DUMMYFUNCTION("""COMPUTED_VALUE"""),1)</f>
        <v>1</v>
      </c>
      <c r="I1432" s="8">
        <f ca="1">IFERROR(__xludf.DUMMYFUNCTION("""COMPUTED_VALUE"""),1)</f>
        <v>1</v>
      </c>
      <c r="J1432" s="8">
        <f ca="1">IFERROR(__xludf.DUMMYFUNCTION("""COMPUTED_VALUE"""),0)</f>
        <v>0</v>
      </c>
      <c r="K1432" s="8" t="str">
        <f ca="1">IFERROR(__xludf.DUMMYFUNCTION("""COMPUTED_VALUE"""),"https://hayspost.com/posts/5a4576f7-5a9e-4077-8738-03df850c4c8e https://www.ksn.com/news/local/4-year-old-girl-dies-from-gunshot-wound-in-garden-city-another-teenager-injured-in-shooting/ https://www.kwch.com/2020/11/25/police-4-year-old-killed-teen-injur"&amp;"ed-in-garden-city-shooting/ https://www.kake.com/story/42966364/4yearold-killed-16yearold-in-critical-condition-after-shooting-stemming-from-domestic-dispute https://knss.radio.com/articles/four-year-old-girl-dead-after-double-shooting-in-garden-city")</f>
        <v>https://hayspost.com/posts/5a4576f7-5a9e-4077-8738-03df850c4c8e https://www.ksn.com/news/local/4-year-old-girl-dies-from-gunshot-wound-in-garden-city-another-teenager-injured-in-shooting/ https://www.kwch.com/2020/11/25/police-4-year-old-killed-teen-injured-in-garden-city-shooting/ https://www.kake.com/story/42966364/4yearold-killed-16yearold-in-critical-condition-after-shooting-stemming-from-domestic-dispute https://knss.radio.com/articles/four-year-old-girl-dead-after-double-shooting-in-garden-city</v>
      </c>
      <c r="L1432" s="8">
        <f ca="1">IFERROR(__xludf.DUMMYFUNCTION("""COMPUTED_VALUE"""),6)</f>
        <v>6</v>
      </c>
      <c r="M1432" s="8" t="str">
        <f ca="1">IFERROR(__xludf.DUMMYFUNCTION("""COMPUTED_VALUE"""),"Local")</f>
        <v>Local</v>
      </c>
      <c r="N1432" s="8">
        <f ca="1">IFERROR(__xludf.DUMMYFUNCTION("""COMPUTED_VALUE"""),4)</f>
        <v>4</v>
      </c>
      <c r="O1432" s="8" t="str">
        <f ca="1">IFERROR(__xludf.DUMMYFUNCTION("""COMPUTED_VALUE"""),"Fall")</f>
        <v>Fall</v>
      </c>
      <c r="P1432" s="8" t="str">
        <f ca="1">IFERROR(__xludf.DUMMYFUNCTION("""COMPUTED_VALUE"""),"Garden City")</f>
        <v>Garden City</v>
      </c>
      <c r="Q1432" s="8" t="str">
        <f ca="1">IFERROR(__xludf.DUMMYFUNCTION("""COMPUTED_VALUE"""),"KS")</f>
        <v>KS</v>
      </c>
      <c r="R1432" s="8" t="str">
        <f ca="1">IFERROR(__xludf.DUMMYFUNCTION("""COMPUTED_VALUE"""),"Elementary")</f>
        <v>Elementary</v>
      </c>
      <c r="S1432" s="8" t="str">
        <f ca="1">IFERROR(__xludf.DUMMYFUNCTION("""COMPUTED_VALUE"""),"Parking Lot")</f>
        <v>Parking Lot</v>
      </c>
      <c r="T1432" s="8" t="str">
        <f ca="1">IFERROR(__xludf.DUMMYFUNCTION("""COMPUTED_VALUE"""),"Outside on School Property")</f>
        <v>Outside on School Property</v>
      </c>
      <c r="U1432" s="8" t="str">
        <f ca="1">IFERROR(__xludf.DUMMYFUNCTION("""COMPUTED_VALUE"""),"No")</f>
        <v>No</v>
      </c>
      <c r="V1432" s="8" t="str">
        <f ca="1">IFERROR(__xludf.DUMMYFUNCTION("""COMPUTED_VALUE"""),"Not a School Day")</f>
        <v>Not a School Day</v>
      </c>
      <c r="W1432" s="11">
        <f ca="1">IFERROR(__xludf.DUMMYFUNCTION("""COMPUTED_VALUE"""),0.53125)</f>
        <v>0.53125</v>
      </c>
      <c r="X1432" s="8">
        <f ca="1">IFERROR(__xludf.DUMMYFUNCTION("""COMPUTED_VALUE"""),1)</f>
        <v>1</v>
      </c>
      <c r="Y1432" s="12" t="str">
        <f ca="1">IFERROR(__xludf.DUMMYFUNCTION("""COMPUTED_VALUE"""),"Teen shot in parking lot of school")</f>
        <v>Teen shot in parking lot of school</v>
      </c>
      <c r="Z1432" s="12" t="str">
        <f ca="1">IFERROR(__xludf.DUMMYFUNCTION("""COMPUTED_VALUE"""),"Police were called for shots fired near the elementary school. Police found a 16 year-old male shot in the school parking lot. While investigating the shooting, police were called for a second shooting at a residence nearby. A 4 year-old female was fatall"&amp;"y shot and a 31 year-old male was arrested. Police said the shooting was not related to activities at the school and was domestic in nature.")</f>
        <v>Police were called for shots fired near the elementary school. Police found a 16 year-old male shot in the school parking lot. While investigating the shooting, police were called for a second shooting at a residence nearby. A 4 year-old female was fatally shot and a 31 year-old male was arrested. Police said the shooting was not related to activities at the school and was domestic in nature.</v>
      </c>
      <c r="AA1432" s="8" t="str">
        <f ca="1">IFERROR(__xludf.DUMMYFUNCTION("""COMPUTED_VALUE"""),"Domestic w/ Targeted Victim")</f>
        <v>Domestic w/ Targeted Victim</v>
      </c>
      <c r="AB1432" s="8"/>
      <c r="AC1432" s="8" t="str">
        <f ca="1">IFERROR(__xludf.DUMMYFUNCTION("""COMPUTED_VALUE"""),"No")</f>
        <v>No</v>
      </c>
      <c r="AD1432" s="8" t="str">
        <f ca="1">IFERROR(__xludf.DUMMYFUNCTION("""COMPUTED_VALUE"""),"Victims Targeted")</f>
        <v>Victims Targeted</v>
      </c>
      <c r="AE1432" s="8" t="str">
        <f ca="1">IFERROR(__xludf.DUMMYFUNCTION("""COMPUTED_VALUE"""),"No")</f>
        <v>No</v>
      </c>
      <c r="AF1432" s="8"/>
      <c r="AG1432" s="8" t="str">
        <f ca="1">IFERROR(__xludf.DUMMYFUNCTION("""COMPUTED_VALUE"""),"No")</f>
        <v>No</v>
      </c>
      <c r="AH1432" s="8" t="str">
        <f ca="1">IFERROR(__xludf.DUMMYFUNCTION("""COMPUTED_VALUE"""),"No")</f>
        <v>No</v>
      </c>
      <c r="AI1432" s="8" t="str">
        <f ca="1">IFERROR(__xludf.DUMMYFUNCTION("""COMPUTED_VALUE"""),"No")</f>
        <v>No</v>
      </c>
      <c r="AJ1432" s="8" t="str">
        <f ca="1">IFERROR(__xludf.DUMMYFUNCTION("""COMPUTED_VALUE"""),"No")</f>
        <v>No</v>
      </c>
      <c r="AK1432" s="8" t="str">
        <f ca="1">IFERROR(__xludf.DUMMYFUNCTION("""COMPUTED_VALUE"""),"Yes")</f>
        <v>Yes</v>
      </c>
      <c r="AL1432" s="8" t="str">
        <f ca="1">IFERROR(__xludf.DUMMYFUNCTION("""COMPUTED_VALUE"""),"No")</f>
        <v>No</v>
      </c>
      <c r="AM1432" s="8" t="str">
        <f ca="1">IFERROR(__xludf.DUMMYFUNCTION("""COMPUTED_VALUE"""),"No")</f>
        <v>No</v>
      </c>
      <c r="AN1432" s="8"/>
      <c r="AO1432" s="8" t="str">
        <f ca="1">IFERROR(__xludf.DUMMYFUNCTION("""COMPUTED_VALUE"""),"No")</f>
        <v>No</v>
      </c>
      <c r="AP1432" s="8"/>
      <c r="AQ1432" s="8"/>
      <c r="AR1432" s="8" t="str">
        <f ca="1">IFERROR(__xludf.DUMMYFUNCTION("""COMPUTED_VALUE"""),"Outside/Off-Property")</f>
        <v>Outside/Off-Property</v>
      </c>
      <c r="AS1432" s="8"/>
      <c r="AT1432" s="8"/>
      <c r="AU1432" s="8">
        <f ca="1">IFERROR(__xludf.DUMMYFUNCTION("""COMPUTED_VALUE"""),37.976728)</f>
        <v>37.976728000000001</v>
      </c>
      <c r="AV1432" s="8">
        <f ca="1">IFERROR(__xludf.DUMMYFUNCTION("""COMPUTED_VALUE"""),-100.874262)</f>
        <v>-100.874262</v>
      </c>
      <c r="AW1432" s="8"/>
      <c r="AX1432" s="8">
        <f ca="1">IFERROR(__xludf.DUMMYFUNCTION("""COMPUTED_VALUE"""),67846)</f>
        <v>67846</v>
      </c>
    </row>
    <row r="1433" spans="1:50" ht="135" x14ac:dyDescent="0.2">
      <c r="A1433" s="8" t="str">
        <f ca="1">IFERROR(__xludf.DUMMYFUNCTION("""COMPUTED_VALUE"""),"20201124NCHEH")</f>
        <v>20201124NCHEH</v>
      </c>
      <c r="B1433" s="8">
        <f ca="1">IFERROR(__xludf.DUMMYFUNCTION("""COMPUTED_VALUE"""),11)</f>
        <v>11</v>
      </c>
      <c r="C1433" s="8">
        <f ca="1">IFERROR(__xludf.DUMMYFUNCTION("""COMPUTED_VALUE"""),25)</f>
        <v>25</v>
      </c>
      <c r="D1433" s="8">
        <f ca="1">IFERROR(__xludf.DUMMYFUNCTION("""COMPUTED_VALUE"""),2020)</f>
        <v>2020</v>
      </c>
      <c r="E1433" s="9">
        <f ca="1">IFERROR(__xludf.DUMMYFUNCTION("""COMPUTED_VALUE"""),44160)</f>
        <v>44160</v>
      </c>
      <c r="F1433" s="8" t="str">
        <f ca="1">IFERROR(__xludf.DUMMYFUNCTION("""COMPUTED_VALUE"""),"Hendersonville Middle School")</f>
        <v>Hendersonville Middle School</v>
      </c>
      <c r="G1433" s="8">
        <f ca="1">IFERROR(__xludf.DUMMYFUNCTION("""COMPUTED_VALUE"""),0)</f>
        <v>0</v>
      </c>
      <c r="H1433" s="8">
        <f ca="1">IFERROR(__xludf.DUMMYFUNCTION("""COMPUTED_VALUE"""),1)</f>
        <v>1</v>
      </c>
      <c r="I1433" s="8">
        <f ca="1">IFERROR(__xludf.DUMMYFUNCTION("""COMPUTED_VALUE"""),1)</f>
        <v>1</v>
      </c>
      <c r="J1433" s="8">
        <f ca="1">IFERROR(__xludf.DUMMYFUNCTION("""COMPUTED_VALUE"""),0)</f>
        <v>0</v>
      </c>
      <c r="K1433" s="8" t="str">
        <f ca="1">IFERROR(__xludf.DUMMYFUNCTION("""COMPUTED_VALUE"""),"https://www.wyff4.com/article/update-on-condition-of-hendersonville-middle-school-student-who-was-shot/34786456 https://www.wspa.com/news/top-stories/henderson-middle-school-on-code-yellow-lockdown/ https://wlos.com/news/local/12-year-old-accused-of-shoot"&amp;"ing-classmate-faces-felony-charge https://www.hendersonvillelightning.com/news/9846-student-wounded-in-shooting-at-hendersonville-middle-school.html https://www.foxcarolina.com/news/one-student-in-custody-another-in-the-hospital-following-shooting-at-hend"&amp;"ersonville-middle-school/article_b3da78c0-2e59-11eb-84e3-577755c57b3c.html?block_id=994016 https://www.citizen-times.com/story/news/local/2020/11/24/school-shooting-student-shoots-classmate-hendersonville-middle/6406392002/")</f>
        <v>https://www.wyff4.com/article/update-on-condition-of-hendersonville-middle-school-student-who-was-shot/34786456 https://www.wspa.com/news/top-stories/henderson-middle-school-on-code-yellow-lockdown/ https://wlos.com/news/local/12-year-old-accused-of-shooting-classmate-faces-felony-charge https://www.hendersonvillelightning.com/news/9846-student-wounded-in-shooting-at-hendersonville-middle-school.html https://www.foxcarolina.com/news/one-student-in-custody-another-in-the-hospital-following-shooting-at-hendersonville-middle-school/article_b3da78c0-2e59-11eb-84e3-577755c57b3c.html?block_id=994016 https://www.citizen-times.com/story/news/local/2020/11/24/school-shooting-student-shoots-classmate-hendersonville-middle/6406392002/</v>
      </c>
      <c r="L1433" s="8">
        <f ca="1">IFERROR(__xludf.DUMMYFUNCTION("""COMPUTED_VALUE"""),10)</f>
        <v>10</v>
      </c>
      <c r="M1433" s="8" t="str">
        <f ca="1">IFERROR(__xludf.DUMMYFUNCTION("""COMPUTED_VALUE"""),"Regional")</f>
        <v>Regional</v>
      </c>
      <c r="N1433" s="8">
        <f ca="1">IFERROR(__xludf.DUMMYFUNCTION("""COMPUTED_VALUE"""),4)</f>
        <v>4</v>
      </c>
      <c r="O1433" s="8" t="str">
        <f ca="1">IFERROR(__xludf.DUMMYFUNCTION("""COMPUTED_VALUE"""),"Fall")</f>
        <v>Fall</v>
      </c>
      <c r="P1433" s="8" t="str">
        <f ca="1">IFERROR(__xludf.DUMMYFUNCTION("""COMPUTED_VALUE"""),"Hendersonville")</f>
        <v>Hendersonville</v>
      </c>
      <c r="Q1433" s="8" t="str">
        <f ca="1">IFERROR(__xludf.DUMMYFUNCTION("""COMPUTED_VALUE"""),"NC")</f>
        <v>NC</v>
      </c>
      <c r="R1433" s="8" t="str">
        <f ca="1">IFERROR(__xludf.DUMMYFUNCTION("""COMPUTED_VALUE"""),"Middle")</f>
        <v>Middle</v>
      </c>
      <c r="S1433" s="8" t="str">
        <f ca="1">IFERROR(__xludf.DUMMYFUNCTION("""COMPUTED_VALUE"""),"Gym")</f>
        <v>Gym</v>
      </c>
      <c r="T1433" s="8" t="str">
        <f ca="1">IFERROR(__xludf.DUMMYFUNCTION("""COMPUTED_VALUE"""),"Inside School Building")</f>
        <v>Inside School Building</v>
      </c>
      <c r="U1433" s="8" t="str">
        <f ca="1">IFERROR(__xludf.DUMMYFUNCTION("""COMPUTED_VALUE"""),"Yes")</f>
        <v>Yes</v>
      </c>
      <c r="V1433" s="8" t="str">
        <f ca="1">IFERROR(__xludf.DUMMYFUNCTION("""COMPUTED_VALUE"""),"Morning Classes")</f>
        <v>Morning Classes</v>
      </c>
      <c r="W1433" s="11">
        <f ca="1">IFERROR(__xludf.DUMMYFUNCTION("""COMPUTED_VALUE"""),0.322916666666666)</f>
        <v>0.32291666666666602</v>
      </c>
      <c r="X1433" s="8">
        <f ca="1">IFERROR(__xludf.DUMMYFUNCTION("""COMPUTED_VALUE"""),1)</f>
        <v>1</v>
      </c>
      <c r="Y1433" s="12" t="str">
        <f ca="1">IFERROR(__xludf.DUMMYFUNCTION("""COMPUTED_VALUE"""),"Student fired single shot at another student in the school gym")</f>
        <v>Student fired single shot at another student in the school gym</v>
      </c>
      <c r="Z1433" s="12" t="str">
        <f ca="1">IFERROR(__xludf.DUMMYFUNCTION("""COMPUTED_VALUE"""),"A 13 year-old male student pulled a gun out of his backpack and fired a single shot at a female student in the school gym. 35 other students witnessed the shooting. Victim was struck in the leg. After firing a single shot, the shooter put his hands on his"&amp;" head and surrendered to school staff. A SRO assigned to the school responded within 60 seconds and secured the handgun used. Victim was transported to a hospital. School was locked down and then dismissed early. Motive unknown.")</f>
        <v>A 13 year-old male student pulled a gun out of his backpack and fired a single shot at a female student in the school gym. 35 other students witnessed the shooting. Victim was struck in the leg. After firing a single shot, the shooter put his hands on his head and surrendered to school staff. A SRO assigned to the school responded within 60 seconds and secured the handgun used. Victim was transported to a hospital. School was locked down and then dismissed early. Motive unknown.</v>
      </c>
      <c r="AA1433" s="8"/>
      <c r="AB1433" s="8"/>
      <c r="AC1433" s="8" t="str">
        <f ca="1">IFERROR(__xludf.DUMMYFUNCTION("""COMPUTED_VALUE"""),"Yes")</f>
        <v>Yes</v>
      </c>
      <c r="AD1433" s="8" t="str">
        <f ca="1">IFERROR(__xludf.DUMMYFUNCTION("""COMPUTED_VALUE"""),"Victims Targeted")</f>
        <v>Victims Targeted</v>
      </c>
      <c r="AE1433" s="8" t="str">
        <f ca="1">IFERROR(__xludf.DUMMYFUNCTION("""COMPUTED_VALUE"""),"No")</f>
        <v>No</v>
      </c>
      <c r="AF1433" s="8"/>
      <c r="AG1433" s="8" t="str">
        <f ca="1">IFERROR(__xludf.DUMMYFUNCTION("""COMPUTED_VALUE"""),"No")</f>
        <v>No</v>
      </c>
      <c r="AH1433" s="8" t="str">
        <f ca="1">IFERROR(__xludf.DUMMYFUNCTION("""COMPUTED_VALUE"""),"No")</f>
        <v>No</v>
      </c>
      <c r="AI1433" s="8" t="str">
        <f ca="1">IFERROR(__xludf.DUMMYFUNCTION("""COMPUTED_VALUE"""),"No")</f>
        <v>No</v>
      </c>
      <c r="AJ1433" s="8"/>
      <c r="AK1433" s="8"/>
      <c r="AL1433" s="8" t="str">
        <f ca="1">IFERROR(__xludf.DUMMYFUNCTION("""COMPUTED_VALUE"""),"No")</f>
        <v>No</v>
      </c>
      <c r="AM1433" s="8" t="str">
        <f ca="1">IFERROR(__xludf.DUMMYFUNCTION("""COMPUTED_VALUE"""),"No")</f>
        <v>No</v>
      </c>
      <c r="AN1433" s="8"/>
      <c r="AO1433" s="8"/>
      <c r="AP1433" s="8" t="str">
        <f ca="1">IFERROR(__xludf.DUMMYFUNCTION("""COMPUTED_VALUE"""),"Yes")</f>
        <v>Yes</v>
      </c>
      <c r="AQ1433" s="8"/>
      <c r="AR1433" s="8" t="str">
        <f ca="1">IFERROR(__xludf.DUMMYFUNCTION("""COMPUTED_VALUE"""),"Failed")</f>
        <v>Failed</v>
      </c>
      <c r="AS1433" s="8">
        <f ca="1">IFERROR(__xludf.DUMMYFUNCTION("""COMPUTED_VALUE"""),1)</f>
        <v>1</v>
      </c>
      <c r="AT1433" s="8" t="str">
        <f ca="1">IFERROR(__xludf.DUMMYFUNCTION("""COMPUTED_VALUE"""),"Yes")</f>
        <v>Yes</v>
      </c>
      <c r="AU1433" s="8">
        <f ca="1">IFERROR(__xludf.DUMMYFUNCTION("""COMPUTED_VALUE"""),35.322052)</f>
        <v>35.322051999999999</v>
      </c>
      <c r="AV1433" s="8">
        <f ca="1">IFERROR(__xludf.DUMMYFUNCTION("""COMPUTED_VALUE"""),-82.473275)</f>
        <v>-82.473275000000001</v>
      </c>
      <c r="AW1433" s="8"/>
      <c r="AX1433" s="8">
        <f ca="1">IFERROR(__xludf.DUMMYFUNCTION("""COMPUTED_VALUE"""),28738)</f>
        <v>28738</v>
      </c>
    </row>
    <row r="1434" spans="1:50" ht="135" x14ac:dyDescent="0.2">
      <c r="A1434" s="8" t="str">
        <f ca="1">IFERROR(__xludf.DUMMYFUNCTION("""COMPUTED_VALUE"""),"20201117TXWEW")</f>
        <v>20201117TXWEW</v>
      </c>
      <c r="B1434" s="8">
        <f ca="1">IFERROR(__xludf.DUMMYFUNCTION("""COMPUTED_VALUE"""),11)</f>
        <v>11</v>
      </c>
      <c r="C1434" s="8">
        <f ca="1">IFERROR(__xludf.DUMMYFUNCTION("""COMPUTED_VALUE"""),17)</f>
        <v>17</v>
      </c>
      <c r="D1434" s="8">
        <f ca="1">IFERROR(__xludf.DUMMYFUNCTION("""COMPUTED_VALUE"""),2020)</f>
        <v>2020</v>
      </c>
      <c r="E1434" s="9">
        <f ca="1">IFERROR(__xludf.DUMMYFUNCTION("""COMPUTED_VALUE"""),44152)</f>
        <v>44152</v>
      </c>
      <c r="F1434" s="8" t="str">
        <f ca="1">IFERROR(__xludf.DUMMYFUNCTION("""COMPUTED_VALUE"""),"Weatherford High School")</f>
        <v>Weatherford High School</v>
      </c>
      <c r="G1434" s="8">
        <f ca="1">IFERROR(__xludf.DUMMYFUNCTION("""COMPUTED_VALUE"""),0)</f>
        <v>0</v>
      </c>
      <c r="H1434" s="8">
        <f ca="1">IFERROR(__xludf.DUMMYFUNCTION("""COMPUTED_VALUE"""),0)</f>
        <v>0</v>
      </c>
      <c r="I1434" s="8">
        <f ca="1">IFERROR(__xludf.DUMMYFUNCTION("""COMPUTED_VALUE"""),0)</f>
        <v>0</v>
      </c>
      <c r="J1434" s="8">
        <f ca="1">IFERROR(__xludf.DUMMYFUNCTION("""COMPUTED_VALUE"""),0)</f>
        <v>0</v>
      </c>
      <c r="K1434" s="8" t="str">
        <f ca="1">IFERROR(__xludf.DUMMYFUNCTION("""COMPUTED_VALUE"""),"https://www.weatherforddemocrat.com/news/whs-on-lockdown-following-active-situation-staff-and-students-safe-district-says/article_45efc954-2919-11eb-beb6-53d938cbb67e.html https://www.wfaa.com/article/news/local/weatherford-high-school-lockdown-due-to-act"&amp;"ive-situation-police/287-c8e00d2c-98d4-4fa3-bf21-475784680603 https://dfw.cbslocal.com/2020/11/17/boy-hospital-shooting-weatherford-high-school-lockdown/")</f>
        <v>https://www.weatherforddemocrat.com/news/whs-on-lockdown-following-active-situation-staff-and-students-safe-district-says/article_45efc954-2919-11eb-beb6-53d938cbb67e.html https://www.wfaa.com/article/news/local/weatherford-high-school-lockdown-due-to-active-situation-police/287-c8e00d2c-98d4-4fa3-bf21-475784680603 https://dfw.cbslocal.com/2020/11/17/boy-hospital-shooting-weatherford-high-school-lockdown/</v>
      </c>
      <c r="L1434" s="8">
        <f ca="1">IFERROR(__xludf.DUMMYFUNCTION("""COMPUTED_VALUE"""),3)</f>
        <v>3</v>
      </c>
      <c r="M1434" s="8" t="str">
        <f ca="1">IFERROR(__xludf.DUMMYFUNCTION("""COMPUTED_VALUE"""),"Regional")</f>
        <v>Regional</v>
      </c>
      <c r="N1434" s="8">
        <f ca="1">IFERROR(__xludf.DUMMYFUNCTION("""COMPUTED_VALUE"""),4)</f>
        <v>4</v>
      </c>
      <c r="O1434" s="8" t="str">
        <f ca="1">IFERROR(__xludf.DUMMYFUNCTION("""COMPUTED_VALUE"""),"Fall")</f>
        <v>Fall</v>
      </c>
      <c r="P1434" s="8" t="str">
        <f ca="1">IFERROR(__xludf.DUMMYFUNCTION("""COMPUTED_VALUE"""),"Weatherford")</f>
        <v>Weatherford</v>
      </c>
      <c r="Q1434" s="8" t="str">
        <f ca="1">IFERROR(__xludf.DUMMYFUNCTION("""COMPUTED_VALUE"""),"TX")</f>
        <v>TX</v>
      </c>
      <c r="R1434" s="8" t="str">
        <f ca="1">IFERROR(__xludf.DUMMYFUNCTION("""COMPUTED_VALUE"""),"High")</f>
        <v>High</v>
      </c>
      <c r="S1434" s="8" t="str">
        <f ca="1">IFERROR(__xludf.DUMMYFUNCTION("""COMPUTED_VALUE"""),"Beside Building")</f>
        <v>Beside Building</v>
      </c>
      <c r="T1434" s="8" t="str">
        <f ca="1">IFERROR(__xludf.DUMMYFUNCTION("""COMPUTED_VALUE"""),"Outside on School Property")</f>
        <v>Outside on School Property</v>
      </c>
      <c r="U1434" s="8" t="str">
        <f ca="1">IFERROR(__xludf.DUMMYFUNCTION("""COMPUTED_VALUE"""),"Yes")</f>
        <v>Yes</v>
      </c>
      <c r="V1434" s="8" t="str">
        <f ca="1">IFERROR(__xludf.DUMMYFUNCTION("""COMPUTED_VALUE"""),"Afternoon Classes")</f>
        <v>Afternoon Classes</v>
      </c>
      <c r="W1434" s="11">
        <f ca="1">IFERROR(__xludf.DUMMYFUNCTION("""COMPUTED_VALUE"""),0.583333333333333)</f>
        <v>0.58333333333333304</v>
      </c>
      <c r="X1434" s="8"/>
      <c r="Y1434" s="12" t="str">
        <f ca="1">IFERROR(__xludf.DUMMYFUNCTION("""COMPUTED_VALUE"""),"Teen with handgun shot himself when confronted by police")</f>
        <v>Teen with handgun shot himself when confronted by police</v>
      </c>
      <c r="Z1434" s="12" t="str">
        <f ca="1">IFERROR(__xludf.DUMMYFUNCTION("""COMPUTED_VALUE"""),"The school SRO and police were notified by a teen, believed to be a runaway, was scene on the campus. When police approached the teen near a school building, he pulled a handgun and he ran across the campus to the tree line at the edge of the school's pro"&amp;"perty. An active shooter situation was declared and the campus was locked down. The teen made statements about self harm and then shot himself in the abdomen. He was transported to a hospital. No students or staff were involved or injured.")</f>
        <v>The school SRO and police were notified by a teen, believed to be a runaway, was scene on the campus. When police approached the teen near a school building, he pulled a handgun and he ran across the campus to the tree line at the edge of the school's property. An active shooter situation was declared and the campus was locked down. The teen made statements about self harm and then shot himself in the abdomen. He was transported to a hospital. No students or staff were involved or injured.</v>
      </c>
      <c r="AA1434" s="8" t="str">
        <f ca="1">IFERROR(__xludf.DUMMYFUNCTION("""COMPUTED_VALUE"""),"Suicide/Attempted")</f>
        <v>Suicide/Attempted</v>
      </c>
      <c r="AB1434" s="8"/>
      <c r="AC1434" s="8" t="str">
        <f ca="1">IFERROR(__xludf.DUMMYFUNCTION("""COMPUTED_VALUE"""),"Yes")</f>
        <v>Yes</v>
      </c>
      <c r="AD1434" s="8" t="str">
        <f ca="1">IFERROR(__xludf.DUMMYFUNCTION("""COMPUTED_VALUE"""),"Victims Targeted")</f>
        <v>Victims Targeted</v>
      </c>
      <c r="AE1434" s="8" t="str">
        <f ca="1">IFERROR(__xludf.DUMMYFUNCTION("""COMPUTED_VALUE"""),"No")</f>
        <v>No</v>
      </c>
      <c r="AF1434" s="8"/>
      <c r="AG1434" s="8" t="str">
        <f ca="1">IFERROR(__xludf.DUMMYFUNCTION("""COMPUTED_VALUE"""),"No")</f>
        <v>No</v>
      </c>
      <c r="AH1434" s="8" t="str">
        <f ca="1">IFERROR(__xludf.DUMMYFUNCTION("""COMPUTED_VALUE"""),"No")</f>
        <v>No</v>
      </c>
      <c r="AI1434" s="8" t="str">
        <f ca="1">IFERROR(__xludf.DUMMYFUNCTION("""COMPUTED_VALUE"""),"No")</f>
        <v>No</v>
      </c>
      <c r="AJ1434" s="8"/>
      <c r="AK1434" s="8" t="str">
        <f ca="1">IFERROR(__xludf.DUMMYFUNCTION("""COMPUTED_VALUE"""),"No")</f>
        <v>No</v>
      </c>
      <c r="AL1434" s="8" t="str">
        <f ca="1">IFERROR(__xludf.DUMMYFUNCTION("""COMPUTED_VALUE"""),"No")</f>
        <v>No</v>
      </c>
      <c r="AM1434" s="8" t="str">
        <f ca="1">IFERROR(__xludf.DUMMYFUNCTION("""COMPUTED_VALUE"""),"No")</f>
        <v>No</v>
      </c>
      <c r="AN1434" s="8"/>
      <c r="AO1434" s="8" t="str">
        <f ca="1">IFERROR(__xludf.DUMMYFUNCTION("""COMPUTED_VALUE"""),"No")</f>
        <v>No</v>
      </c>
      <c r="AP1434" s="8" t="str">
        <f ca="1">IFERROR(__xludf.DUMMYFUNCTION("""COMPUTED_VALUE"""),"Yes")</f>
        <v>Yes</v>
      </c>
      <c r="AQ1434" s="8"/>
      <c r="AR1434" s="8" t="str">
        <f ca="1">IFERROR(__xludf.DUMMYFUNCTION("""COMPUTED_VALUE"""),"Outside/Off-Property")</f>
        <v>Outside/Off-Property</v>
      </c>
      <c r="AS1434" s="8">
        <f ca="1">IFERROR(__xludf.DUMMYFUNCTION("""COMPUTED_VALUE"""),1)</f>
        <v>1</v>
      </c>
      <c r="AT1434" s="8" t="str">
        <f ca="1">IFERROR(__xludf.DUMMYFUNCTION("""COMPUTED_VALUE"""),"Yes")</f>
        <v>Yes</v>
      </c>
      <c r="AU1434" s="8">
        <f ca="1">IFERROR(__xludf.DUMMYFUNCTION("""COMPUTED_VALUE"""),32.724763)</f>
        <v>32.724763000000003</v>
      </c>
      <c r="AV1434" s="8">
        <f ca="1">IFERROR(__xludf.DUMMYFUNCTION("""COMPUTED_VALUE"""),-97.806696)</f>
        <v>-97.806696000000002</v>
      </c>
      <c r="AW1434" s="8"/>
      <c r="AX1434" s="8">
        <f ca="1">IFERROR(__xludf.DUMMYFUNCTION("""COMPUTED_VALUE"""),76086)</f>
        <v>76086</v>
      </c>
    </row>
    <row r="1435" spans="1:50" ht="90" x14ac:dyDescent="0.2">
      <c r="A1435" s="8" t="str">
        <f ca="1">IFERROR(__xludf.DUMMYFUNCTION("""COMPUTED_VALUE"""),"20201117MTGRG")</f>
        <v>20201117MTGRG</v>
      </c>
      <c r="B1435" s="8">
        <f ca="1">IFERROR(__xludf.DUMMYFUNCTION("""COMPUTED_VALUE"""),11)</f>
        <v>11</v>
      </c>
      <c r="C1435" s="8">
        <f ca="1">IFERROR(__xludf.DUMMYFUNCTION("""COMPUTED_VALUE"""),17)</f>
        <v>17</v>
      </c>
      <c r="D1435" s="8">
        <f ca="1">IFERROR(__xludf.DUMMYFUNCTION("""COMPUTED_VALUE"""),2020)</f>
        <v>2020</v>
      </c>
      <c r="E1435" s="9">
        <f ca="1">IFERROR(__xludf.DUMMYFUNCTION("""COMPUTED_VALUE"""),44152)</f>
        <v>44152</v>
      </c>
      <c r="F1435" s="8" t="str">
        <f ca="1">IFERROR(__xludf.DUMMYFUNCTION("""COMPUTED_VALUE"""),"Great Falls High School")</f>
        <v>Great Falls High School</v>
      </c>
      <c r="G1435" s="8">
        <f ca="1">IFERROR(__xludf.DUMMYFUNCTION("""COMPUTED_VALUE"""),0)</f>
        <v>0</v>
      </c>
      <c r="H1435" s="8">
        <f ca="1">IFERROR(__xludf.DUMMYFUNCTION("""COMPUTED_VALUE"""),0)</f>
        <v>0</v>
      </c>
      <c r="I1435" s="8">
        <f ca="1">IFERROR(__xludf.DUMMYFUNCTION("""COMPUTED_VALUE"""),0)</f>
        <v>0</v>
      </c>
      <c r="J1435" s="8">
        <f ca="1">IFERROR(__xludf.DUMMYFUNCTION("""COMPUTED_VALUE"""),0)</f>
        <v>0</v>
      </c>
      <c r="K1435" s="10" t="str">
        <f ca="1">IFERROR(__xludf.DUMMYFUNCTION("""COMPUTED_VALUE"""),"https://www.krtv.com/news/crime-and-courts/ledford-charged-with-shooting-out-windows-at-great-falls-high-school")</f>
        <v>https://www.krtv.com/news/crime-and-courts/ledford-charged-with-shooting-out-windows-at-great-falls-high-school</v>
      </c>
      <c r="L1435" s="8">
        <f ca="1">IFERROR(__xludf.DUMMYFUNCTION("""COMPUTED_VALUE"""),1)</f>
        <v>1</v>
      </c>
      <c r="M1435" s="8" t="str">
        <f ca="1">IFERROR(__xludf.DUMMYFUNCTION("""COMPUTED_VALUE"""),"Local")</f>
        <v>Local</v>
      </c>
      <c r="N1435" s="8">
        <f ca="1">IFERROR(__xludf.DUMMYFUNCTION("""COMPUTED_VALUE"""),4)</f>
        <v>4</v>
      </c>
      <c r="O1435" s="8"/>
      <c r="P1435" s="8" t="str">
        <f ca="1">IFERROR(__xludf.DUMMYFUNCTION("""COMPUTED_VALUE"""),"Great Falls")</f>
        <v>Great Falls</v>
      </c>
      <c r="Q1435" s="8" t="str">
        <f ca="1">IFERROR(__xludf.DUMMYFUNCTION("""COMPUTED_VALUE"""),"MT")</f>
        <v>MT</v>
      </c>
      <c r="R1435" s="8" t="str">
        <f ca="1">IFERROR(__xludf.DUMMYFUNCTION("""COMPUTED_VALUE"""),"High")</f>
        <v>High</v>
      </c>
      <c r="S1435" s="8" t="str">
        <f ca="1">IFERROR(__xludf.DUMMYFUNCTION("""COMPUTED_VALUE"""),"Front of School")</f>
        <v>Front of School</v>
      </c>
      <c r="T1435" s="8" t="str">
        <f ca="1">IFERROR(__xludf.DUMMYFUNCTION("""COMPUTED_VALUE"""),"Outside on School Property")</f>
        <v>Outside on School Property</v>
      </c>
      <c r="U1435" s="8" t="str">
        <f ca="1">IFERROR(__xludf.DUMMYFUNCTION("""COMPUTED_VALUE"""),"No")</f>
        <v>No</v>
      </c>
      <c r="V1435" s="8" t="str">
        <f ca="1">IFERROR(__xludf.DUMMYFUNCTION("""COMPUTED_VALUE"""),"Evening")</f>
        <v>Evening</v>
      </c>
      <c r="W1435" s="11">
        <f ca="1">IFERROR(__xludf.DUMMYFUNCTION("""COMPUTED_VALUE"""),0.788194444444444)</f>
        <v>0.78819444444444398</v>
      </c>
      <c r="X1435" s="8">
        <f ca="1">IFERROR(__xludf.DUMMYFUNCTION("""COMPUTED_VALUE"""),1)</f>
        <v>1</v>
      </c>
      <c r="Y1435" s="12" t="str">
        <f ca="1">IFERROR(__xludf.DUMMYFUNCTION("""COMPUTED_VALUE"""),"Teen fired BB gun from vehicle breaking multiple windows")</f>
        <v>Teen fired BB gun from vehicle breaking multiple windows</v>
      </c>
      <c r="Z1435" s="12" t="str">
        <f ca="1">IFERROR(__xludf.DUMMYFUNCTION("""COMPUTED_VALUE"""),"Police responded to reports of a person with a gun firing from a vehicle at the school. A 19 year-old male was arrested for firing BB's from his vehicle and breaking multiple windows at the school. Shooter was detained and admitted to shootings. Said it "&amp;"""looked cool"" to see how the windows broke. Charged with felony.")</f>
        <v>Police responded to reports of a person with a gun firing from a vehicle at the school. A 19 year-old male was arrested for firing BB's from his vehicle and breaking multiple windows at the school. Shooter was detained and admitted to shootings. Said it "looked cool" to see how the windows broke. Charged with felony.</v>
      </c>
      <c r="AA1435" s="8" t="str">
        <f ca="1">IFERROR(__xludf.DUMMYFUNCTION("""COMPUTED_VALUE"""),"Intentional Property Damage")</f>
        <v>Intentional Property Damage</v>
      </c>
      <c r="AB1435" s="8"/>
      <c r="AC1435" s="8" t="str">
        <f ca="1">IFERROR(__xludf.DUMMYFUNCTION("""COMPUTED_VALUE"""),"No")</f>
        <v>No</v>
      </c>
      <c r="AD1435" s="8" t="str">
        <f ca="1">IFERROR(__xludf.DUMMYFUNCTION("""COMPUTED_VALUE"""),"Neither")</f>
        <v>Neither</v>
      </c>
      <c r="AE1435" s="8" t="str">
        <f ca="1">IFERROR(__xludf.DUMMYFUNCTION("""COMPUTED_VALUE"""),"No")</f>
        <v>No</v>
      </c>
      <c r="AF1435" s="8"/>
      <c r="AG1435" s="8" t="str">
        <f ca="1">IFERROR(__xludf.DUMMYFUNCTION("""COMPUTED_VALUE"""),"No")</f>
        <v>No</v>
      </c>
      <c r="AH1435" s="8" t="str">
        <f ca="1">IFERROR(__xludf.DUMMYFUNCTION("""COMPUTED_VALUE"""),"No")</f>
        <v>No</v>
      </c>
      <c r="AI1435" s="8" t="str">
        <f ca="1">IFERROR(__xludf.DUMMYFUNCTION("""COMPUTED_VALUE"""),"No")</f>
        <v>No</v>
      </c>
      <c r="AJ1435" s="8" t="str">
        <f ca="1">IFERROR(__xludf.DUMMYFUNCTION("""COMPUTED_VALUE"""),"No")</f>
        <v>No</v>
      </c>
      <c r="AK1435" s="8" t="str">
        <f ca="1">IFERROR(__xludf.DUMMYFUNCTION("""COMPUTED_VALUE"""),"No")</f>
        <v>No</v>
      </c>
      <c r="AL1435" s="8" t="str">
        <f ca="1">IFERROR(__xludf.DUMMYFUNCTION("""COMPUTED_VALUE"""),"No")</f>
        <v>No</v>
      </c>
      <c r="AM1435" s="8" t="str">
        <f ca="1">IFERROR(__xludf.DUMMYFUNCTION("""COMPUTED_VALUE"""),"No")</f>
        <v>No</v>
      </c>
      <c r="AN1435" s="8"/>
      <c r="AO1435" s="8" t="str">
        <f ca="1">IFERROR(__xludf.DUMMYFUNCTION("""COMPUTED_VALUE"""),"No")</f>
        <v>No</v>
      </c>
      <c r="AP1435" s="8"/>
      <c r="AQ1435" s="8"/>
      <c r="AR1435" s="8" t="str">
        <f ca="1">IFERROR(__xludf.DUMMYFUNCTION("""COMPUTED_VALUE"""),"Outside/Off-Property")</f>
        <v>Outside/Off-Property</v>
      </c>
      <c r="AS1435" s="8">
        <f ca="1">IFERROR(__xludf.DUMMYFUNCTION("""COMPUTED_VALUE"""),4)</f>
        <v>4</v>
      </c>
      <c r="AT1435" s="8"/>
      <c r="AU1435" s="8">
        <f ca="1">IFERROR(__xludf.DUMMYFUNCTION("""COMPUTED_VALUE"""),47.501715)</f>
        <v>47.501714999999997</v>
      </c>
      <c r="AV1435" s="8">
        <f ca="1">IFERROR(__xludf.DUMMYFUNCTION("""COMPUTED_VALUE"""),-111.27487)</f>
        <v>-111.27487000000001</v>
      </c>
      <c r="AW1435" s="8"/>
      <c r="AX1435" s="8">
        <f ca="1">IFERROR(__xludf.DUMMYFUNCTION("""COMPUTED_VALUE"""),59405)</f>
        <v>59405</v>
      </c>
    </row>
    <row r="1436" spans="1:50" ht="120" x14ac:dyDescent="0.2">
      <c r="A1436" s="8" t="str">
        <f ca="1">IFERROR(__xludf.DUMMYFUNCTION("""COMPUTED_VALUE"""),"20201116TNWIM")</f>
        <v>20201116TNWIM</v>
      </c>
      <c r="B1436" s="8">
        <f ca="1">IFERROR(__xludf.DUMMYFUNCTION("""COMPUTED_VALUE"""),11)</f>
        <v>11</v>
      </c>
      <c r="C1436" s="8">
        <f ca="1">IFERROR(__xludf.DUMMYFUNCTION("""COMPUTED_VALUE"""),16)</f>
        <v>16</v>
      </c>
      <c r="D1436" s="8">
        <f ca="1">IFERROR(__xludf.DUMMYFUNCTION("""COMPUTED_VALUE"""),2020)</f>
        <v>2020</v>
      </c>
      <c r="E1436" s="9">
        <f ca="1">IFERROR(__xludf.DUMMYFUNCTION("""COMPUTED_VALUE"""),44151)</f>
        <v>44151</v>
      </c>
      <c r="F1436" s="8" t="str">
        <f ca="1">IFERROR(__xludf.DUMMYFUNCTION("""COMPUTED_VALUE"""),"Winridge Elementary School")</f>
        <v>Winridge Elementary School</v>
      </c>
      <c r="G1436" s="8">
        <f ca="1">IFERROR(__xludf.DUMMYFUNCTION("""COMPUTED_VALUE"""),0)</f>
        <v>0</v>
      </c>
      <c r="H1436" s="8">
        <f ca="1">IFERROR(__xludf.DUMMYFUNCTION("""COMPUTED_VALUE"""),0)</f>
        <v>0</v>
      </c>
      <c r="I1436" s="8">
        <f ca="1">IFERROR(__xludf.DUMMYFUNCTION("""COMPUTED_VALUE"""),0)</f>
        <v>0</v>
      </c>
      <c r="J1436" s="8">
        <f ca="1">IFERROR(__xludf.DUMMYFUNCTION("""COMPUTED_VALUE"""),0)</f>
        <v>0</v>
      </c>
      <c r="K1436" s="8" t="str">
        <f ca="1">IFERROR(__xludf.DUMMYFUNCTION("""COMPUTED_VALUE"""),"https://www.wmcactionnews5.com/2020/11/18/man-arrested-firing-weapon-elementary-school-during-domestic-dispute/ https://wreg.com/news/memphis-man-accused-of-firing-gun-at-woman-small-children-on-school-property/")</f>
        <v>https://www.wmcactionnews5.com/2020/11/18/man-arrested-firing-weapon-elementary-school-during-domestic-dispute/ https://wreg.com/news/memphis-man-accused-of-firing-gun-at-woman-small-children-on-school-property/</v>
      </c>
      <c r="L1436" s="8">
        <f ca="1">IFERROR(__xludf.DUMMYFUNCTION("""COMPUTED_VALUE"""),1)</f>
        <v>1</v>
      </c>
      <c r="M1436" s="8" t="str">
        <f ca="1">IFERROR(__xludf.DUMMYFUNCTION("""COMPUTED_VALUE"""),"Local")</f>
        <v>Local</v>
      </c>
      <c r="N1436" s="8">
        <f ca="1">IFERROR(__xludf.DUMMYFUNCTION("""COMPUTED_VALUE"""),3)</f>
        <v>3</v>
      </c>
      <c r="O1436" s="8" t="str">
        <f ca="1">IFERROR(__xludf.DUMMYFUNCTION("""COMPUTED_VALUE"""),"Fall")</f>
        <v>Fall</v>
      </c>
      <c r="P1436" s="8" t="str">
        <f ca="1">IFERROR(__xludf.DUMMYFUNCTION("""COMPUTED_VALUE"""),"Memphis")</f>
        <v>Memphis</v>
      </c>
      <c r="Q1436" s="8" t="str">
        <f ca="1">IFERROR(__xludf.DUMMYFUNCTION("""COMPUTED_VALUE"""),"TN")</f>
        <v>TN</v>
      </c>
      <c r="R1436" s="8" t="str">
        <f ca="1">IFERROR(__xludf.DUMMYFUNCTION("""COMPUTED_VALUE"""),"Elementary")</f>
        <v>Elementary</v>
      </c>
      <c r="S1436" s="8" t="str">
        <f ca="1">IFERROR(__xludf.DUMMYFUNCTION("""COMPUTED_VALUE"""),"Beside Building")</f>
        <v>Beside Building</v>
      </c>
      <c r="T1436" s="8" t="str">
        <f ca="1">IFERROR(__xludf.DUMMYFUNCTION("""COMPUTED_VALUE"""),"Outside on School Property")</f>
        <v>Outside on School Property</v>
      </c>
      <c r="U1436" s="8" t="str">
        <f ca="1">IFERROR(__xludf.DUMMYFUNCTION("""COMPUTED_VALUE"""),"No")</f>
        <v>No</v>
      </c>
      <c r="V1436" s="8"/>
      <c r="W1436" s="8"/>
      <c r="X1436" s="8">
        <f ca="1">IFERROR(__xludf.DUMMYFUNCTION("""COMPUTED_VALUE"""),1)</f>
        <v>1</v>
      </c>
      <c r="Y1436" s="12" t="str">
        <f ca="1">IFERROR(__xludf.DUMMYFUNCTION("""COMPUTED_VALUE"""),"Man shot at woman with two children following robbery")</f>
        <v>Man shot at woman with two children following robbery</v>
      </c>
      <c r="Z1436" s="12" t="str">
        <f ca="1">IFERROR(__xludf.DUMMYFUNCTION("""COMPUTED_VALUE"""),"A dispute occurred inside a home when a 25 year-old male (boyfriend of the victim) grabbed $120 from the purse of the female victim. He left the house and she followed him in a vehicle, with 2 children inside, to a nearby elementary school. Behind the sch"&amp;"ool, the man pulled a handgun, threatened the women, fired a shot in the direction of her and the children, and then ran from the scene. Shooter was later arrested and charged with multiple felonies.")</f>
        <v>A dispute occurred inside a home when a 25 year-old male (boyfriend of the victim) grabbed $120 from the purse of the female victim. He left the house and she followed him in a vehicle, with 2 children inside, to a nearby elementary school. Behind the school, the man pulled a handgun, threatened the women, fired a shot in the direction of her and the children, and then ran from the scene. Shooter was later arrested and charged with multiple felonies.</v>
      </c>
      <c r="AA1436" s="8" t="str">
        <f ca="1">IFERROR(__xludf.DUMMYFUNCTION("""COMPUTED_VALUE"""),"Domestic w/ Targeted Victim")</f>
        <v>Domestic w/ Targeted Victim</v>
      </c>
      <c r="AB1436" s="8"/>
      <c r="AC1436" s="8" t="str">
        <f ca="1">IFERROR(__xludf.DUMMYFUNCTION("""COMPUTED_VALUE"""),"No")</f>
        <v>No</v>
      </c>
      <c r="AD1436" s="8" t="str">
        <f ca="1">IFERROR(__xludf.DUMMYFUNCTION("""COMPUTED_VALUE"""),"Victims Targeted")</f>
        <v>Victims Targeted</v>
      </c>
      <c r="AE1436" s="8" t="str">
        <f ca="1">IFERROR(__xludf.DUMMYFUNCTION("""COMPUTED_VALUE"""),"No")</f>
        <v>No</v>
      </c>
      <c r="AF1436" s="8"/>
      <c r="AG1436" s="8" t="str">
        <f ca="1">IFERROR(__xludf.DUMMYFUNCTION("""COMPUTED_VALUE"""),"No")</f>
        <v>No</v>
      </c>
      <c r="AH1436" s="8" t="str">
        <f ca="1">IFERROR(__xludf.DUMMYFUNCTION("""COMPUTED_VALUE"""),"No")</f>
        <v>No</v>
      </c>
      <c r="AI1436" s="8" t="str">
        <f ca="1">IFERROR(__xludf.DUMMYFUNCTION("""COMPUTED_VALUE"""),"No")</f>
        <v>No</v>
      </c>
      <c r="AJ1436" s="8" t="str">
        <f ca="1">IFERROR(__xludf.DUMMYFUNCTION("""COMPUTED_VALUE"""),"No")</f>
        <v>No</v>
      </c>
      <c r="AK1436" s="8" t="str">
        <f ca="1">IFERROR(__xludf.DUMMYFUNCTION("""COMPUTED_VALUE"""),"Yes")</f>
        <v>Yes</v>
      </c>
      <c r="AL1436" s="8" t="str">
        <f ca="1">IFERROR(__xludf.DUMMYFUNCTION("""COMPUTED_VALUE"""),"No")</f>
        <v>No</v>
      </c>
      <c r="AM1436" s="8" t="str">
        <f ca="1">IFERROR(__xludf.DUMMYFUNCTION("""COMPUTED_VALUE"""),"No")</f>
        <v>No</v>
      </c>
      <c r="AN1436" s="8"/>
      <c r="AO1436" s="8" t="str">
        <f ca="1">IFERROR(__xludf.DUMMYFUNCTION("""COMPUTED_VALUE"""),"No")</f>
        <v>No</v>
      </c>
      <c r="AP1436" s="8"/>
      <c r="AQ1436" s="8"/>
      <c r="AR1436" s="8" t="str">
        <f ca="1">IFERROR(__xludf.DUMMYFUNCTION("""COMPUTED_VALUE"""),"Outside/Off-Property")</f>
        <v>Outside/Off-Property</v>
      </c>
      <c r="AS1436" s="8">
        <f ca="1">IFERROR(__xludf.DUMMYFUNCTION("""COMPUTED_VALUE"""),1)</f>
        <v>1</v>
      </c>
      <c r="AT1436" s="8"/>
      <c r="AU1436" s="8">
        <f ca="1">IFERROR(__xludf.DUMMYFUNCTION("""COMPUTED_VALUE"""),35.051969)</f>
        <v>35.051969</v>
      </c>
      <c r="AV1436" s="8">
        <f ca="1">IFERROR(__xludf.DUMMYFUNCTION("""COMPUTED_VALUE"""),-89.856241)</f>
        <v>-89.856240999999997</v>
      </c>
      <c r="AW1436" s="8"/>
      <c r="AX1436" s="8">
        <f ca="1">IFERROR(__xludf.DUMMYFUNCTION("""COMPUTED_VALUE"""),38115)</f>
        <v>38115</v>
      </c>
    </row>
    <row r="1437" spans="1:50" ht="60" x14ac:dyDescent="0.2">
      <c r="A1437" s="8" t="str">
        <f ca="1">IFERROR(__xludf.DUMMYFUNCTION("""COMPUTED_VALUE"""),"20201113NCLIL")</f>
        <v>20201113NCLIL</v>
      </c>
      <c r="B1437" s="8">
        <f ca="1">IFERROR(__xludf.DUMMYFUNCTION("""COMPUTED_VALUE"""),11)</f>
        <v>11</v>
      </c>
      <c r="C1437" s="8">
        <f ca="1">IFERROR(__xludf.DUMMYFUNCTION("""COMPUTED_VALUE"""),13)</f>
        <v>13</v>
      </c>
      <c r="D1437" s="8">
        <f ca="1">IFERROR(__xludf.DUMMYFUNCTION("""COMPUTED_VALUE"""),2020)</f>
        <v>2020</v>
      </c>
      <c r="E1437" s="9">
        <f ca="1">IFERROR(__xludf.DUMMYFUNCTION("""COMPUTED_VALUE"""),44148)</f>
        <v>44148</v>
      </c>
      <c r="F1437" s="8" t="str">
        <f ca="1">IFERROR(__xludf.DUMMYFUNCTION("""COMPUTED_VALUE"""),"Lincoln Elementary School")</f>
        <v>Lincoln Elementary School</v>
      </c>
      <c r="G1437" s="8">
        <f ca="1">IFERROR(__xludf.DUMMYFUNCTION("""COMPUTED_VALUE"""),0)</f>
        <v>0</v>
      </c>
      <c r="H1437" s="8">
        <f ca="1">IFERROR(__xludf.DUMMYFUNCTION("""COMPUTED_VALUE"""),1)</f>
        <v>1</v>
      </c>
      <c r="I1437" s="8">
        <f ca="1">IFERROR(__xludf.DUMMYFUNCTION("""COMPUTED_VALUE"""),1)</f>
        <v>1</v>
      </c>
      <c r="J1437" s="8">
        <f ca="1">IFERROR(__xludf.DUMMYFUNCTION("""COMPUTED_VALUE"""),0)</f>
        <v>0</v>
      </c>
      <c r="K1437" s="8" t="str">
        <f ca="1">IFERROR(__xludf.DUMMYFUNCTION("""COMPUTED_VALUE"""),"https://www.dailymail.co.uk/news/article-8953839/Boy-6-North-Carolina-school-playground-shot-jaw-suspected-stray-bullet.html https://www.wect.com/2020/11/15/child-struck-by-bullet-lincoln-elementary-school-leland/ https://www.wwaytv3.com/2020/11/15/6-year"&amp;"-old-shot-at-lincoln-elementary-school-in-leland/ https://www.actionnewsjax.com/news/trending/boy-6-shot-jaw-while-north-carolina-elementary-school-grounds-deputies-say/WIQIMQZ4OJFGXJKU2IAF4AJW3I/")</f>
        <v>https://www.dailymail.co.uk/news/article-8953839/Boy-6-North-Carolina-school-playground-shot-jaw-suspected-stray-bullet.html https://www.wect.com/2020/11/15/child-struck-by-bullet-lincoln-elementary-school-leland/ https://www.wwaytv3.com/2020/11/15/6-year-old-shot-at-lincoln-elementary-school-in-leland/ https://www.actionnewsjax.com/news/trending/boy-6-shot-jaw-while-north-carolina-elementary-school-grounds-deputies-say/WIQIMQZ4OJFGXJKU2IAF4AJW3I/</v>
      </c>
      <c r="L1437" s="8">
        <f ca="1">IFERROR(__xludf.DUMMYFUNCTION("""COMPUTED_VALUE"""),10)</f>
        <v>10</v>
      </c>
      <c r="M1437" s="8" t="str">
        <f ca="1">IFERROR(__xludf.DUMMYFUNCTION("""COMPUTED_VALUE"""),"International")</f>
        <v>International</v>
      </c>
      <c r="N1437" s="8">
        <f ca="1">IFERROR(__xludf.DUMMYFUNCTION("""COMPUTED_VALUE"""),4)</f>
        <v>4</v>
      </c>
      <c r="O1437" s="8" t="str">
        <f ca="1">IFERROR(__xludf.DUMMYFUNCTION("""COMPUTED_VALUE"""),"Fall")</f>
        <v>Fall</v>
      </c>
      <c r="P1437" s="8" t="str">
        <f ca="1">IFERROR(__xludf.DUMMYFUNCTION("""COMPUTED_VALUE"""),"Leland")</f>
        <v>Leland</v>
      </c>
      <c r="Q1437" s="8" t="str">
        <f ca="1">IFERROR(__xludf.DUMMYFUNCTION("""COMPUTED_VALUE"""),"NC")</f>
        <v>NC</v>
      </c>
      <c r="R1437" s="8" t="str">
        <f ca="1">IFERROR(__xludf.DUMMYFUNCTION("""COMPUTED_VALUE"""),"Elementary")</f>
        <v>Elementary</v>
      </c>
      <c r="S1437" s="8" t="str">
        <f ca="1">IFERROR(__xludf.DUMMYFUNCTION("""COMPUTED_VALUE"""),"Playground")</f>
        <v>Playground</v>
      </c>
      <c r="T1437" s="8" t="str">
        <f ca="1">IFERROR(__xludf.DUMMYFUNCTION("""COMPUTED_VALUE"""),"Outside on School Property")</f>
        <v>Outside on School Property</v>
      </c>
      <c r="U1437" s="8" t="str">
        <f ca="1">IFERROR(__xludf.DUMMYFUNCTION("""COMPUTED_VALUE"""),"Yes")</f>
        <v>Yes</v>
      </c>
      <c r="V1437" s="8" t="str">
        <f ca="1">IFERROR(__xludf.DUMMYFUNCTION("""COMPUTED_VALUE"""),"Afternoon Classes")</f>
        <v>Afternoon Classes</v>
      </c>
      <c r="W1437" s="11">
        <f ca="1">IFERROR(__xludf.DUMMYFUNCTION("""COMPUTED_VALUE"""),0.59375)</f>
        <v>0.59375</v>
      </c>
      <c r="X1437" s="8">
        <f ca="1">IFERROR(__xludf.DUMMYFUNCTION("""COMPUTED_VALUE"""),1)</f>
        <v>1</v>
      </c>
      <c r="Y1437" s="12" t="str">
        <f ca="1">IFERROR(__xludf.DUMMYFUNCTION("""COMPUTED_VALUE"""),"Student struck by shot fired from long distance")</f>
        <v>Student struck by shot fired from long distance</v>
      </c>
      <c r="Z1437" s="12" t="str">
        <f ca="1">IFERROR(__xludf.DUMMYFUNCTION("""COMPUTED_VALUE"""),"A 6 year-old student was shot in the jaw by a bullet fired from a long distance. Police believe the shooting was an accident. The round was fired from private property and the shooter did not intend to shoot at the school.")</f>
        <v>A 6 year-old student was shot in the jaw by a bullet fired from a long distance. Police believe the shooting was an accident. The round was fired from private property and the shooter did not intend to shoot at the school.</v>
      </c>
      <c r="AA1437" s="8" t="str">
        <f ca="1">IFERROR(__xludf.DUMMYFUNCTION("""COMPUTED_VALUE"""),"Accidental")</f>
        <v>Accidental</v>
      </c>
      <c r="AB1437" s="8"/>
      <c r="AC1437" s="8" t="str">
        <f ca="1">IFERROR(__xludf.DUMMYFUNCTION("""COMPUTED_VALUE"""),"Yes")</f>
        <v>Yes</v>
      </c>
      <c r="AD1437" s="8" t="str">
        <f ca="1">IFERROR(__xludf.DUMMYFUNCTION("""COMPUTED_VALUE"""),"Random Shooting")</f>
        <v>Random Shooting</v>
      </c>
      <c r="AE1437" s="8" t="str">
        <f ca="1">IFERROR(__xludf.DUMMYFUNCTION("""COMPUTED_VALUE"""),"No")</f>
        <v>No</v>
      </c>
      <c r="AF1437" s="8"/>
      <c r="AG1437" s="8" t="str">
        <f ca="1">IFERROR(__xludf.DUMMYFUNCTION("""COMPUTED_VALUE"""),"No")</f>
        <v>No</v>
      </c>
      <c r="AH1437" s="8" t="str">
        <f ca="1">IFERROR(__xludf.DUMMYFUNCTION("""COMPUTED_VALUE"""),"No")</f>
        <v>No</v>
      </c>
      <c r="AI1437" s="8" t="str">
        <f ca="1">IFERROR(__xludf.DUMMYFUNCTION("""COMPUTED_VALUE"""),"No")</f>
        <v>No</v>
      </c>
      <c r="AJ1437" s="8" t="str">
        <f ca="1">IFERROR(__xludf.DUMMYFUNCTION("""COMPUTED_VALUE"""),"No")</f>
        <v>No</v>
      </c>
      <c r="AK1437" s="8" t="str">
        <f ca="1">IFERROR(__xludf.DUMMYFUNCTION("""COMPUTED_VALUE"""),"No")</f>
        <v>No</v>
      </c>
      <c r="AL1437" s="8" t="str">
        <f ca="1">IFERROR(__xludf.DUMMYFUNCTION("""COMPUTED_VALUE"""),"No")</f>
        <v>No</v>
      </c>
      <c r="AM1437" s="8" t="str">
        <f ca="1">IFERROR(__xludf.DUMMYFUNCTION("""COMPUTED_VALUE"""),"No")</f>
        <v>No</v>
      </c>
      <c r="AN1437" s="8"/>
      <c r="AO1437" s="8" t="str">
        <f ca="1">IFERROR(__xludf.DUMMYFUNCTION("""COMPUTED_VALUE"""),"No")</f>
        <v>No</v>
      </c>
      <c r="AP1437" s="8"/>
      <c r="AQ1437" s="8"/>
      <c r="AR1437" s="8" t="str">
        <f ca="1">IFERROR(__xludf.DUMMYFUNCTION("""COMPUTED_VALUE"""),"Outside/Off-Property")</f>
        <v>Outside/Off-Property</v>
      </c>
      <c r="AS1437" s="8"/>
      <c r="AT1437" s="8"/>
      <c r="AU1437" s="8">
        <f ca="1">IFERROR(__xludf.DUMMYFUNCTION("""COMPUTED_VALUE"""),34.261384)</f>
        <v>34.261384</v>
      </c>
      <c r="AV1437" s="8">
        <f ca="1">IFERROR(__xludf.DUMMYFUNCTION("""COMPUTED_VALUE"""),-78.043173)</f>
        <v>-78.043172999999996</v>
      </c>
      <c r="AW1437" s="8"/>
      <c r="AX1437" s="8">
        <f ca="1">IFERROR(__xludf.DUMMYFUNCTION("""COMPUTED_VALUE"""),28451)</f>
        <v>28451</v>
      </c>
    </row>
    <row r="1438" spans="1:50" ht="30" x14ac:dyDescent="0.2">
      <c r="A1438" s="8" t="str">
        <f ca="1">IFERROR(__xludf.DUMMYFUNCTION("""COMPUTED_VALUE"""),"20201112PANAH")</f>
        <v>20201112PANAH</v>
      </c>
      <c r="B1438" s="8">
        <f ca="1">IFERROR(__xludf.DUMMYFUNCTION("""COMPUTED_VALUE"""),11)</f>
        <v>11</v>
      </c>
      <c r="C1438" s="8">
        <f ca="1">IFERROR(__xludf.DUMMYFUNCTION("""COMPUTED_VALUE"""),12)</f>
        <v>12</v>
      </c>
      <c r="D1438" s="8">
        <f ca="1">IFERROR(__xludf.DUMMYFUNCTION("""COMPUTED_VALUE"""),2020)</f>
        <v>2020</v>
      </c>
      <c r="E1438" s="9">
        <f ca="1">IFERROR(__xludf.DUMMYFUNCTION("""COMPUTED_VALUE"""),44147)</f>
        <v>44147</v>
      </c>
      <c r="F1438" s="8" t="str">
        <f ca="1">IFERROR(__xludf.DUMMYFUNCTION("""COMPUTED_VALUE"""),"Nativity School of Harrisburg")</f>
        <v>Nativity School of Harrisburg</v>
      </c>
      <c r="G1438" s="8">
        <f ca="1">IFERROR(__xludf.DUMMYFUNCTION("""COMPUTED_VALUE"""),1)</f>
        <v>1</v>
      </c>
      <c r="H1438" s="8">
        <f ca="1">IFERROR(__xludf.DUMMYFUNCTION("""COMPUTED_VALUE"""),0)</f>
        <v>0</v>
      </c>
      <c r="I1438" s="8">
        <f ca="1">IFERROR(__xludf.DUMMYFUNCTION("""COMPUTED_VALUE"""),1)</f>
        <v>1</v>
      </c>
      <c r="J1438" s="8">
        <f ca="1">IFERROR(__xludf.DUMMYFUNCTION("""COMPUTED_VALUE"""),0)</f>
        <v>0</v>
      </c>
      <c r="K1438" s="8" t="str">
        <f ca="1">IFERROR(__xludf.DUMMYFUNCTION("""COMPUTED_VALUE"""),"https://www.pennlive.com/news/2020/11/teen-killed-in-harrisburg-shooting-officials.html https://www.pennlive.com/news/2020/11/police-investigating-harrisburg-shooting.html")</f>
        <v>https://www.pennlive.com/news/2020/11/teen-killed-in-harrisburg-shooting-officials.html https://www.pennlive.com/news/2020/11/police-investigating-harrisburg-shooting.html</v>
      </c>
      <c r="L1438" s="8">
        <f ca="1">IFERROR(__xludf.DUMMYFUNCTION("""COMPUTED_VALUE"""),2)</f>
        <v>2</v>
      </c>
      <c r="M1438" s="8" t="str">
        <f ca="1">IFERROR(__xludf.DUMMYFUNCTION("""COMPUTED_VALUE"""),"Local")</f>
        <v>Local</v>
      </c>
      <c r="N1438" s="8">
        <f ca="1">IFERROR(__xludf.DUMMYFUNCTION("""COMPUTED_VALUE"""),4)</f>
        <v>4</v>
      </c>
      <c r="O1438" s="8" t="str">
        <f ca="1">IFERROR(__xludf.DUMMYFUNCTION("""COMPUTED_VALUE"""),"Fall")</f>
        <v>Fall</v>
      </c>
      <c r="P1438" s="8" t="str">
        <f ca="1">IFERROR(__xludf.DUMMYFUNCTION("""COMPUTED_VALUE"""),"Harrisburg")</f>
        <v>Harrisburg</v>
      </c>
      <c r="Q1438" s="8" t="str">
        <f ca="1">IFERROR(__xludf.DUMMYFUNCTION("""COMPUTED_VALUE"""),"PA")</f>
        <v>PA</v>
      </c>
      <c r="R1438" s="8" t="str">
        <f ca="1">IFERROR(__xludf.DUMMYFUNCTION("""COMPUTED_VALUE"""),"Middle")</f>
        <v>Middle</v>
      </c>
      <c r="S1438" s="8" t="str">
        <f ca="1">IFERROR(__xludf.DUMMYFUNCTION("""COMPUTED_VALUE"""),"Parking Lot")</f>
        <v>Parking Lot</v>
      </c>
      <c r="T1438" s="8" t="str">
        <f ca="1">IFERROR(__xludf.DUMMYFUNCTION("""COMPUTED_VALUE"""),"Outside on School Property")</f>
        <v>Outside on School Property</v>
      </c>
      <c r="U1438" s="8" t="str">
        <f ca="1">IFERROR(__xludf.DUMMYFUNCTION("""COMPUTED_VALUE"""),"No")</f>
        <v>No</v>
      </c>
      <c r="V1438" s="8" t="str">
        <f ca="1">IFERROR(__xludf.DUMMYFUNCTION("""COMPUTED_VALUE"""),"Evening")</f>
        <v>Evening</v>
      </c>
      <c r="W1438" s="11">
        <f ca="1">IFERROR(__xludf.DUMMYFUNCTION("""COMPUTED_VALUE"""),0.729166666666666)</f>
        <v>0.72916666666666596</v>
      </c>
      <c r="X1438" s="8">
        <f ca="1">IFERROR(__xludf.DUMMYFUNCTION("""COMPUTED_VALUE"""),1)</f>
        <v>1</v>
      </c>
      <c r="Y1438" s="12" t="str">
        <f ca="1">IFERROR(__xludf.DUMMYFUNCTION("""COMPUTED_VALUE"""),"Teen shot and killed in school parking lot")</f>
        <v>Teen shot and killed in school parking lot</v>
      </c>
      <c r="Z1438" s="12" t="str">
        <f ca="1">IFERROR(__xludf.DUMMYFUNCTION("""COMPUTED_VALUE"""),"A 17 year-old teen was shot and killed in the school parking lot. Shooter fled the scene. No information on the motive.")</f>
        <v>A 17 year-old teen was shot and killed in the school parking lot. Shooter fled the scene. No information on the motive.</v>
      </c>
      <c r="AA1438" s="8"/>
      <c r="AB1438" s="8"/>
      <c r="AC1438" s="8" t="str">
        <f ca="1">IFERROR(__xludf.DUMMYFUNCTION("""COMPUTED_VALUE"""),"No")</f>
        <v>No</v>
      </c>
      <c r="AD1438" s="8"/>
      <c r="AE1438" s="8"/>
      <c r="AF1438" s="8"/>
      <c r="AG1438" s="8" t="str">
        <f ca="1">IFERROR(__xludf.DUMMYFUNCTION("""COMPUTED_VALUE"""),"No")</f>
        <v>No</v>
      </c>
      <c r="AH1438" s="8" t="str">
        <f ca="1">IFERROR(__xludf.DUMMYFUNCTION("""COMPUTED_VALUE"""),"No")</f>
        <v>No</v>
      </c>
      <c r="AI1438" s="8" t="str">
        <f ca="1">IFERROR(__xludf.DUMMYFUNCTION("""COMPUTED_VALUE"""),"No")</f>
        <v>No</v>
      </c>
      <c r="AJ1438" s="8" t="str">
        <f ca="1">IFERROR(__xludf.DUMMYFUNCTION("""COMPUTED_VALUE"""),"No")</f>
        <v>No</v>
      </c>
      <c r="AK1438" s="8" t="str">
        <f ca="1">IFERROR(__xludf.DUMMYFUNCTION("""COMPUTED_VALUE"""),"No")</f>
        <v>No</v>
      </c>
      <c r="AL1438" s="8"/>
      <c r="AM1438" s="8" t="str">
        <f ca="1">IFERROR(__xludf.DUMMYFUNCTION("""COMPUTED_VALUE"""),"No")</f>
        <v>No</v>
      </c>
      <c r="AN1438" s="8"/>
      <c r="AO1438" s="8" t="str">
        <f ca="1">IFERROR(__xludf.DUMMYFUNCTION("""COMPUTED_VALUE"""),"No")</f>
        <v>No</v>
      </c>
      <c r="AP1438" s="8"/>
      <c r="AQ1438" s="8"/>
      <c r="AR1438" s="8" t="str">
        <f ca="1">IFERROR(__xludf.DUMMYFUNCTION("""COMPUTED_VALUE"""),"Outside/Off-Property")</f>
        <v>Outside/Off-Property</v>
      </c>
      <c r="AS1438" s="8"/>
      <c r="AT1438" s="8"/>
      <c r="AU1438" s="8">
        <f ca="1">IFERROR(__xludf.DUMMYFUNCTION("""COMPUTED_VALUE"""),40.280335)</f>
        <v>40.280335000000001</v>
      </c>
      <c r="AV1438" s="8">
        <f ca="1">IFERROR(__xludf.DUMMYFUNCTION("""COMPUTED_VALUE"""),-76.892799)</f>
        <v>-76.892798999999997</v>
      </c>
      <c r="AW1438" s="8"/>
      <c r="AX1438" s="8">
        <f ca="1">IFERROR(__xludf.DUMMYFUNCTION("""COMPUTED_VALUE"""),17110)</f>
        <v>17110</v>
      </c>
    </row>
    <row r="1439" spans="1:50" ht="60" x14ac:dyDescent="0.2">
      <c r="A1439" s="8" t="str">
        <f ca="1">IFERROR(__xludf.DUMMYFUNCTION("""COMPUTED_VALUE"""),"20201112CACEU")</f>
        <v>20201112CACEU</v>
      </c>
      <c r="B1439" s="8">
        <f ca="1">IFERROR(__xludf.DUMMYFUNCTION("""COMPUTED_VALUE"""),11)</f>
        <v>11</v>
      </c>
      <c r="C1439" s="8">
        <f ca="1">IFERROR(__xludf.DUMMYFUNCTION("""COMPUTED_VALUE"""),12)</f>
        <v>12</v>
      </c>
      <c r="D1439" s="8">
        <f ca="1">IFERROR(__xludf.DUMMYFUNCTION("""COMPUTED_VALUE"""),2020)</f>
        <v>2020</v>
      </c>
      <c r="E1439" s="9">
        <f ca="1">IFERROR(__xludf.DUMMYFUNCTION("""COMPUTED_VALUE"""),44147)</f>
        <v>44147</v>
      </c>
      <c r="F1439" s="8" t="str">
        <f ca="1">IFERROR(__xludf.DUMMYFUNCTION("""COMPUTED_VALUE"""),"Cesar Chavez Middle School")</f>
        <v>Cesar Chavez Middle School</v>
      </c>
      <c r="G1439" s="8">
        <f ca="1">IFERROR(__xludf.DUMMYFUNCTION("""COMPUTED_VALUE"""),0)</f>
        <v>0</v>
      </c>
      <c r="H1439" s="8">
        <f ca="1">IFERROR(__xludf.DUMMYFUNCTION("""COMPUTED_VALUE"""),1)</f>
        <v>1</v>
      </c>
      <c r="I1439" s="8">
        <f ca="1">IFERROR(__xludf.DUMMYFUNCTION("""COMPUTED_VALUE"""),1)</f>
        <v>1</v>
      </c>
      <c r="J1439" s="8">
        <f ca="1">IFERROR(__xludf.DUMMYFUNCTION("""COMPUTED_VALUE"""),0)</f>
        <v>0</v>
      </c>
      <c r="K1439" s="10" t="str">
        <f ca="1">IFERROR(__xludf.DUMMYFUNCTION("""COMPUTED_VALUE"""),"https://www.eastbaytimes.com/2020/11/13/union-city-man-shot-near-cesar-chavez-middle-school/")</f>
        <v>https://www.eastbaytimes.com/2020/11/13/union-city-man-shot-near-cesar-chavez-middle-school/</v>
      </c>
      <c r="L1439" s="8">
        <f ca="1">IFERROR(__xludf.DUMMYFUNCTION("""COMPUTED_VALUE"""),1)</f>
        <v>1</v>
      </c>
      <c r="M1439" s="8" t="str">
        <f ca="1">IFERROR(__xludf.DUMMYFUNCTION("""COMPUTED_VALUE"""),"Local")</f>
        <v>Local</v>
      </c>
      <c r="N1439" s="8">
        <f ca="1">IFERROR(__xludf.DUMMYFUNCTION("""COMPUTED_VALUE"""),3)</f>
        <v>3</v>
      </c>
      <c r="O1439" s="8" t="str">
        <f ca="1">IFERROR(__xludf.DUMMYFUNCTION("""COMPUTED_VALUE"""),"Fall")</f>
        <v>Fall</v>
      </c>
      <c r="P1439" s="8" t="str">
        <f ca="1">IFERROR(__xludf.DUMMYFUNCTION("""COMPUTED_VALUE"""),"Union City")</f>
        <v>Union City</v>
      </c>
      <c r="Q1439" s="8" t="str">
        <f ca="1">IFERROR(__xludf.DUMMYFUNCTION("""COMPUTED_VALUE"""),"CA")</f>
        <v>CA</v>
      </c>
      <c r="R1439" s="8" t="str">
        <f ca="1">IFERROR(__xludf.DUMMYFUNCTION("""COMPUTED_VALUE"""),"Middle")</f>
        <v>Middle</v>
      </c>
      <c r="S1439" s="8" t="str">
        <f ca="1">IFERROR(__xludf.DUMMYFUNCTION("""COMPUTED_VALUE"""),"Parking Lot")</f>
        <v>Parking Lot</v>
      </c>
      <c r="T1439" s="8" t="str">
        <f ca="1">IFERROR(__xludf.DUMMYFUNCTION("""COMPUTED_VALUE"""),"Outside on School Property")</f>
        <v>Outside on School Property</v>
      </c>
      <c r="U1439" s="8" t="str">
        <f ca="1">IFERROR(__xludf.DUMMYFUNCTION("""COMPUTED_VALUE"""),"No")</f>
        <v>No</v>
      </c>
      <c r="V1439" s="8" t="str">
        <f ca="1">IFERROR(__xludf.DUMMYFUNCTION("""COMPUTED_VALUE"""),"Evening")</f>
        <v>Evening</v>
      </c>
      <c r="W1439" s="11">
        <f ca="1">IFERROR(__xludf.DUMMYFUNCTION("""COMPUTED_VALUE"""),0.732638888888888)</f>
        <v>0.73263888888888795</v>
      </c>
      <c r="X1439" s="8">
        <f ca="1">IFERROR(__xludf.DUMMYFUNCTION("""COMPUTED_VALUE"""),1)</f>
        <v>1</v>
      </c>
      <c r="Y1439" s="12" t="str">
        <f ca="1">IFERROR(__xludf.DUMMYFUNCTION("""COMPUTED_VALUE"""),"Man in vehicle shot in school parking lot, fled and crashed nearby")</f>
        <v>Man in vehicle shot in school parking lot, fled and crashed nearby</v>
      </c>
      <c r="Z1439" s="12" t="str">
        <f ca="1">IFERROR(__xludf.DUMMYFUNCTION("""COMPUTED_VALUE"""),"A man driving a vehicle was shot in the school parking lot, fled after being shot, and crashed into trees nearby. He was transported to the hospital. Shooter fled. Motive unknown.")</f>
        <v>A man driving a vehicle was shot in the school parking lot, fled after being shot, and crashed into trees nearby. He was transported to the hospital. Shooter fled. Motive unknown.</v>
      </c>
      <c r="AA1439" s="8"/>
      <c r="AB1439" s="8"/>
      <c r="AC1439" s="8" t="str">
        <f ca="1">IFERROR(__xludf.DUMMYFUNCTION("""COMPUTED_VALUE"""),"No")</f>
        <v>No</v>
      </c>
      <c r="AD1439" s="8" t="str">
        <f ca="1">IFERROR(__xludf.DUMMYFUNCTION("""COMPUTED_VALUE"""),"Victims Targeted")</f>
        <v>Victims Targeted</v>
      </c>
      <c r="AE1439" s="8"/>
      <c r="AF1439" s="8"/>
      <c r="AG1439" s="8" t="str">
        <f ca="1">IFERROR(__xludf.DUMMYFUNCTION("""COMPUTED_VALUE"""),"No")</f>
        <v>No</v>
      </c>
      <c r="AH1439" s="8" t="str">
        <f ca="1">IFERROR(__xludf.DUMMYFUNCTION("""COMPUTED_VALUE"""),"No")</f>
        <v>No</v>
      </c>
      <c r="AI1439" s="8" t="str">
        <f ca="1">IFERROR(__xludf.DUMMYFUNCTION("""COMPUTED_VALUE"""),"No")</f>
        <v>No</v>
      </c>
      <c r="AJ1439" s="8" t="str">
        <f ca="1">IFERROR(__xludf.DUMMYFUNCTION("""COMPUTED_VALUE"""),"No")</f>
        <v>No</v>
      </c>
      <c r="AK1439" s="8" t="str">
        <f ca="1">IFERROR(__xludf.DUMMYFUNCTION("""COMPUTED_VALUE"""),"No")</f>
        <v>No</v>
      </c>
      <c r="AL1439" s="8"/>
      <c r="AM1439" s="8" t="str">
        <f ca="1">IFERROR(__xludf.DUMMYFUNCTION("""COMPUTED_VALUE"""),"No")</f>
        <v>No</v>
      </c>
      <c r="AN1439" s="8"/>
      <c r="AO1439" s="8" t="str">
        <f ca="1">IFERROR(__xludf.DUMMYFUNCTION("""COMPUTED_VALUE"""),"No")</f>
        <v>No</v>
      </c>
      <c r="AP1439" s="8"/>
      <c r="AQ1439" s="8"/>
      <c r="AR1439" s="8" t="str">
        <f ca="1">IFERROR(__xludf.DUMMYFUNCTION("""COMPUTED_VALUE"""),"Outside/Off-Property")</f>
        <v>Outside/Off-Property</v>
      </c>
      <c r="AS1439" s="8"/>
      <c r="AT1439" s="8"/>
      <c r="AU1439" s="8">
        <f ca="1">IFERROR(__xludf.DUMMYFUNCTION("""COMPUTED_VALUE"""),37.591135)</f>
        <v>37.591135000000001</v>
      </c>
      <c r="AV1439" s="8">
        <f ca="1">IFERROR(__xludf.DUMMYFUNCTION("""COMPUTED_VALUE"""),-122.048156)</f>
        <v>-122.04815600000001</v>
      </c>
      <c r="AW1439" s="8"/>
      <c r="AX1439" s="8">
        <f ca="1">IFERROR(__xludf.DUMMYFUNCTION("""COMPUTED_VALUE"""),94587)</f>
        <v>94587</v>
      </c>
    </row>
    <row r="1440" spans="1:50" ht="75" x14ac:dyDescent="0.2">
      <c r="A1440" s="8" t="str">
        <f ca="1">IFERROR(__xludf.DUMMYFUNCTION("""COMPUTED_VALUE"""),"20201109TXCOH")</f>
        <v>20201109TXCOH</v>
      </c>
      <c r="B1440" s="8">
        <f ca="1">IFERROR(__xludf.DUMMYFUNCTION("""COMPUTED_VALUE"""),11)</f>
        <v>11</v>
      </c>
      <c r="C1440" s="8">
        <f ca="1">IFERROR(__xludf.DUMMYFUNCTION("""COMPUTED_VALUE"""),9)</f>
        <v>9</v>
      </c>
      <c r="D1440" s="8">
        <f ca="1">IFERROR(__xludf.DUMMYFUNCTION("""COMPUTED_VALUE"""),2020)</f>
        <v>2020</v>
      </c>
      <c r="E1440" s="9">
        <f ca="1">IFERROR(__xludf.DUMMYFUNCTION("""COMPUTED_VALUE"""),44144)</f>
        <v>44144</v>
      </c>
      <c r="F1440" s="8" t="str">
        <f ca="1">IFERROR(__xludf.DUMMYFUNCTION("""COMPUTED_VALUE"""),"Collins Elementary School")</f>
        <v>Collins Elementary School</v>
      </c>
      <c r="G1440" s="8">
        <f ca="1">IFERROR(__xludf.DUMMYFUNCTION("""COMPUTED_VALUE"""),1)</f>
        <v>1</v>
      </c>
      <c r="H1440" s="8">
        <f ca="1">IFERROR(__xludf.DUMMYFUNCTION("""COMPUTED_VALUE"""),0)</f>
        <v>0</v>
      </c>
      <c r="I1440" s="8">
        <f ca="1">IFERROR(__xludf.DUMMYFUNCTION("""COMPUTED_VALUE"""),1)</f>
        <v>1</v>
      </c>
      <c r="J1440" s="8">
        <f ca="1">IFERROR(__xludf.DUMMYFUNCTION("""COMPUTED_VALUE"""),0)</f>
        <v>0</v>
      </c>
      <c r="K1440" s="8" t="str">
        <f ca="1">IFERROR(__xludf.DUMMYFUNCTION("""COMPUTED_VALUE"""),"https://abc13.com/houston-crime-shootings-in-officer-killed-hotel-tajinn-north-man/7807860/ https://www.khou.com/article/news/local/body-found-at-alief-isds-collins-elementary-school-on-monday/285-b0799339-67fe-4b48-aabe-49351485754a")</f>
        <v>https://abc13.com/houston-crime-shootings-in-officer-killed-hotel-tajinn-north-man/7807860/ https://www.khou.com/article/news/local/body-found-at-alief-isds-collins-elementary-school-on-monday/285-b0799339-67fe-4b48-aabe-49351485754a</v>
      </c>
      <c r="L1440" s="8">
        <f ca="1">IFERROR(__xludf.DUMMYFUNCTION("""COMPUTED_VALUE"""),2)</f>
        <v>2</v>
      </c>
      <c r="M1440" s="8" t="str">
        <f ca="1">IFERROR(__xludf.DUMMYFUNCTION("""COMPUTED_VALUE"""),"Local")</f>
        <v>Local</v>
      </c>
      <c r="N1440" s="8">
        <f ca="1">IFERROR(__xludf.DUMMYFUNCTION("""COMPUTED_VALUE"""),4)</f>
        <v>4</v>
      </c>
      <c r="O1440" s="8" t="str">
        <f ca="1">IFERROR(__xludf.DUMMYFUNCTION("""COMPUTED_VALUE"""),"Fall")</f>
        <v>Fall</v>
      </c>
      <c r="P1440" s="8" t="str">
        <f ca="1">IFERROR(__xludf.DUMMYFUNCTION("""COMPUTED_VALUE"""),"Houston")</f>
        <v>Houston</v>
      </c>
      <c r="Q1440" s="8" t="str">
        <f ca="1">IFERROR(__xludf.DUMMYFUNCTION("""COMPUTED_VALUE"""),"TX")</f>
        <v>TX</v>
      </c>
      <c r="R1440" s="8" t="str">
        <f ca="1">IFERROR(__xludf.DUMMYFUNCTION("""COMPUTED_VALUE"""),"Elementary")</f>
        <v>Elementary</v>
      </c>
      <c r="S1440" s="8" t="str">
        <f ca="1">IFERROR(__xludf.DUMMYFUNCTION("""COMPUTED_VALUE"""),"Parking Lot")</f>
        <v>Parking Lot</v>
      </c>
      <c r="T1440" s="8" t="str">
        <f ca="1">IFERROR(__xludf.DUMMYFUNCTION("""COMPUTED_VALUE"""),"Outside on School Property")</f>
        <v>Outside on School Property</v>
      </c>
      <c r="U1440" s="8" t="str">
        <f ca="1">IFERROR(__xludf.DUMMYFUNCTION("""COMPUTED_VALUE"""),"No")</f>
        <v>No</v>
      </c>
      <c r="V1440" s="8" t="str">
        <f ca="1">IFERROR(__xludf.DUMMYFUNCTION("""COMPUTED_VALUE"""),"Night")</f>
        <v>Night</v>
      </c>
      <c r="W1440" s="8"/>
      <c r="X1440" s="8">
        <f ca="1">IFERROR(__xludf.DUMMYFUNCTION("""COMPUTED_VALUE"""),1)</f>
        <v>1</v>
      </c>
      <c r="Y1440" s="12" t="str">
        <f ca="1">IFERROR(__xludf.DUMMYFUNCTION("""COMPUTED_VALUE"""),"Man found fatally shot in school parking lot")</f>
        <v>Man found fatally shot in school parking lot</v>
      </c>
      <c r="Z1440" s="12" t="str">
        <f ca="1">IFERROR(__xludf.DUMMYFUNCTION("""COMPUTED_VALUE"""),"An adult male was found by school employees fatally shot in the parking lot of the school. School opened for classes and students were not allowed outside during lunch or recess while police investigated. Police said the shooting occurred overnight. Motiv"&amp;"e unknown.")</f>
        <v>An adult male was found by school employees fatally shot in the parking lot of the school. School opened for classes and students were not allowed outside during lunch or recess while police investigated. Police said the shooting occurred overnight. Motive unknown.</v>
      </c>
      <c r="AA1440" s="8"/>
      <c r="AB1440" s="8"/>
      <c r="AC1440" s="8" t="str">
        <f ca="1">IFERROR(__xludf.DUMMYFUNCTION("""COMPUTED_VALUE"""),"Yes")</f>
        <v>Yes</v>
      </c>
      <c r="AD1440" s="8" t="str">
        <f ca="1">IFERROR(__xludf.DUMMYFUNCTION("""COMPUTED_VALUE"""),"Victims Targeted")</f>
        <v>Victims Targeted</v>
      </c>
      <c r="AE1440" s="8"/>
      <c r="AF1440" s="8"/>
      <c r="AG1440" s="8" t="str">
        <f ca="1">IFERROR(__xludf.DUMMYFUNCTION("""COMPUTED_VALUE"""),"No")</f>
        <v>No</v>
      </c>
      <c r="AH1440" s="8" t="str">
        <f ca="1">IFERROR(__xludf.DUMMYFUNCTION("""COMPUTED_VALUE"""),"No")</f>
        <v>No</v>
      </c>
      <c r="AI1440" s="8" t="str">
        <f ca="1">IFERROR(__xludf.DUMMYFUNCTION("""COMPUTED_VALUE"""),"No")</f>
        <v>No</v>
      </c>
      <c r="AJ1440" s="8" t="str">
        <f ca="1">IFERROR(__xludf.DUMMYFUNCTION("""COMPUTED_VALUE"""),"No")</f>
        <v>No</v>
      </c>
      <c r="AK1440" s="8" t="str">
        <f ca="1">IFERROR(__xludf.DUMMYFUNCTION("""COMPUTED_VALUE"""),"No")</f>
        <v>No</v>
      </c>
      <c r="AL1440" s="8"/>
      <c r="AM1440" s="8" t="str">
        <f ca="1">IFERROR(__xludf.DUMMYFUNCTION("""COMPUTED_VALUE"""),"No")</f>
        <v>No</v>
      </c>
      <c r="AN1440" s="8"/>
      <c r="AO1440" s="8" t="str">
        <f ca="1">IFERROR(__xludf.DUMMYFUNCTION("""COMPUTED_VALUE"""),"No")</f>
        <v>No</v>
      </c>
      <c r="AP1440" s="8"/>
      <c r="AQ1440" s="8"/>
      <c r="AR1440" s="8" t="str">
        <f ca="1">IFERROR(__xludf.DUMMYFUNCTION("""COMPUTED_VALUE"""),"Outside/Off-Property")</f>
        <v>Outside/Off-Property</v>
      </c>
      <c r="AS1440" s="8"/>
      <c r="AT1440" s="8"/>
      <c r="AU1440" s="8">
        <f ca="1">IFERROR(__xludf.DUMMYFUNCTION("""COMPUTED_VALUE"""),29.710105)</f>
        <v>29.710104999999999</v>
      </c>
      <c r="AV1440" s="8">
        <f ca="1">IFERROR(__xludf.DUMMYFUNCTION("""COMPUTED_VALUE"""),-95.554573)</f>
        <v>-95.554573000000005</v>
      </c>
      <c r="AW1440" s="8"/>
      <c r="AX1440" s="8">
        <f ca="1">IFERROR(__xludf.DUMMYFUNCTION("""COMPUTED_VALUE"""),77036)</f>
        <v>77036</v>
      </c>
    </row>
    <row r="1441" spans="1:50" ht="120" x14ac:dyDescent="0.2">
      <c r="A1441" s="8" t="str">
        <f ca="1">IFERROR(__xludf.DUMMYFUNCTION("""COMPUTED_VALUE"""),"20201109CABAL")</f>
        <v>20201109CABAL</v>
      </c>
      <c r="B1441" s="8">
        <f ca="1">IFERROR(__xludf.DUMMYFUNCTION("""COMPUTED_VALUE"""),11)</f>
        <v>11</v>
      </c>
      <c r="C1441" s="8">
        <f ca="1">IFERROR(__xludf.DUMMYFUNCTION("""COMPUTED_VALUE"""),9)</f>
        <v>9</v>
      </c>
      <c r="D1441" s="8">
        <f ca="1">IFERROR(__xludf.DUMMYFUNCTION("""COMPUTED_VALUE"""),2020)</f>
        <v>2020</v>
      </c>
      <c r="E1441" s="9">
        <f ca="1">IFERROR(__xludf.DUMMYFUNCTION("""COMPUTED_VALUE"""),44144)</f>
        <v>44144</v>
      </c>
      <c r="F1441" s="8" t="str">
        <f ca="1">IFERROR(__xludf.DUMMYFUNCTION("""COMPUTED_VALUE"""),"Baldwin Elementary School")</f>
        <v>Baldwin Elementary School</v>
      </c>
      <c r="G1441" s="8">
        <f ca="1">IFERROR(__xludf.DUMMYFUNCTION("""COMPUTED_VALUE"""),0)</f>
        <v>0</v>
      </c>
      <c r="H1441" s="8">
        <f ca="1">IFERROR(__xludf.DUMMYFUNCTION("""COMPUTED_VALUE"""),0)</f>
        <v>0</v>
      </c>
      <c r="I1441" s="8">
        <f ca="1">IFERROR(__xludf.DUMMYFUNCTION("""COMPUTED_VALUE"""),0)</f>
        <v>0</v>
      </c>
      <c r="J1441" s="8">
        <f ca="1">IFERROR(__xludf.DUMMYFUNCTION("""COMPUTED_VALUE"""),1)</f>
        <v>1</v>
      </c>
      <c r="K1441" s="10" t="str">
        <f ca="1">IFERROR(__xludf.DUMMYFUNCTION("""COMPUTED_VALUE"""),"https://www.sgvtribune.com/2020/11/09/body-of-man-who-had-been-fatally-shot-is-found-at-school-near-la-puente/")</f>
        <v>https://www.sgvtribune.com/2020/11/09/body-of-man-who-had-been-fatally-shot-is-found-at-school-near-la-puente/</v>
      </c>
      <c r="L1441" s="8">
        <f ca="1">IFERROR(__xludf.DUMMYFUNCTION("""COMPUTED_VALUE"""),1)</f>
        <v>1</v>
      </c>
      <c r="M1441" s="8" t="str">
        <f ca="1">IFERROR(__xludf.DUMMYFUNCTION("""COMPUTED_VALUE"""),"Local")</f>
        <v>Local</v>
      </c>
      <c r="N1441" s="8">
        <f ca="1">IFERROR(__xludf.DUMMYFUNCTION("""COMPUTED_VALUE"""),4)</f>
        <v>4</v>
      </c>
      <c r="O1441" s="8" t="str">
        <f ca="1">IFERROR(__xludf.DUMMYFUNCTION("""COMPUTED_VALUE"""),"Fall")</f>
        <v>Fall</v>
      </c>
      <c r="P1441" s="8" t="str">
        <f ca="1">IFERROR(__xludf.DUMMYFUNCTION("""COMPUTED_VALUE"""),"La Puente")</f>
        <v>La Puente</v>
      </c>
      <c r="Q1441" s="8" t="str">
        <f ca="1">IFERROR(__xludf.DUMMYFUNCTION("""COMPUTED_VALUE"""),"CA")</f>
        <v>CA</v>
      </c>
      <c r="R1441" s="8" t="str">
        <f ca="1">IFERROR(__xludf.DUMMYFUNCTION("""COMPUTED_VALUE"""),"Elementary")</f>
        <v>Elementary</v>
      </c>
      <c r="S1441" s="8" t="str">
        <f ca="1">IFERROR(__xludf.DUMMYFUNCTION("""COMPUTED_VALUE"""),"Beside Building")</f>
        <v>Beside Building</v>
      </c>
      <c r="T1441" s="8" t="str">
        <f ca="1">IFERROR(__xludf.DUMMYFUNCTION("""COMPUTED_VALUE"""),"Outside on School Property")</f>
        <v>Outside on School Property</v>
      </c>
      <c r="U1441" s="8" t="str">
        <f ca="1">IFERROR(__xludf.DUMMYFUNCTION("""COMPUTED_VALUE"""),"No")</f>
        <v>No</v>
      </c>
      <c r="V1441" s="8" t="str">
        <f ca="1">IFERROR(__xludf.DUMMYFUNCTION("""COMPUTED_VALUE"""),"Night")</f>
        <v>Night</v>
      </c>
      <c r="W1441" s="8"/>
      <c r="X1441" s="8">
        <f ca="1">IFERROR(__xludf.DUMMYFUNCTION("""COMPUTED_VALUE"""),1)</f>
        <v>1</v>
      </c>
      <c r="Y1441" s="12" t="str">
        <f ca="1">IFERROR(__xludf.DUMMYFUNCTION("""COMPUTED_VALUE"""),"Janitor found man dead from gunshot wound next to the school")</f>
        <v>Janitor found man dead from gunshot wound next to the school</v>
      </c>
      <c r="Z1441" s="12" t="str">
        <f ca="1">IFERROR(__xludf.DUMMYFUNCTION("""COMPUTED_VALUE"""),"A janitor found a man with a gun shot wound to the head fatally shot next to the school just before the school opened. 5 children were at the school when the body was discovered. The victim had a single gun shot wound and the gun used was found next to th"&amp;"e victim. Victim was pronounced dead at the scene. Police said the same man was shooting into the air the night prior but fled before police arrived at the scene.")</f>
        <v>A janitor found a man with a gun shot wound to the head fatally shot next to the school just before the school opened. 5 children were at the school when the body was discovered. The victim had a single gun shot wound and the gun used was found next to the victim. Victim was pronounced dead at the scene. Police said the same man was shooting into the air the night prior but fled before police arrived at the scene.</v>
      </c>
      <c r="AA1441" s="8" t="str">
        <f ca="1">IFERROR(__xludf.DUMMYFUNCTION("""COMPUTED_VALUE"""),"Suicide/Attempted")</f>
        <v>Suicide/Attempted</v>
      </c>
      <c r="AB1441" s="8"/>
      <c r="AC1441" s="8" t="str">
        <f ca="1">IFERROR(__xludf.DUMMYFUNCTION("""COMPUTED_VALUE"""),"Yes")</f>
        <v>Yes</v>
      </c>
      <c r="AD1441" s="8" t="str">
        <f ca="1">IFERROR(__xludf.DUMMYFUNCTION("""COMPUTED_VALUE"""),"Victims Targeted")</f>
        <v>Victims Targeted</v>
      </c>
      <c r="AE1441" s="8" t="str">
        <f ca="1">IFERROR(__xludf.DUMMYFUNCTION("""COMPUTED_VALUE"""),"No")</f>
        <v>No</v>
      </c>
      <c r="AF1441" s="8"/>
      <c r="AG1441" s="8" t="str">
        <f ca="1">IFERROR(__xludf.DUMMYFUNCTION("""COMPUTED_VALUE"""),"No")</f>
        <v>No</v>
      </c>
      <c r="AH1441" s="8" t="str">
        <f ca="1">IFERROR(__xludf.DUMMYFUNCTION("""COMPUTED_VALUE"""),"No")</f>
        <v>No</v>
      </c>
      <c r="AI1441" s="8" t="str">
        <f ca="1">IFERROR(__xludf.DUMMYFUNCTION("""COMPUTED_VALUE"""),"No")</f>
        <v>No</v>
      </c>
      <c r="AJ1441" s="8" t="str">
        <f ca="1">IFERROR(__xludf.DUMMYFUNCTION("""COMPUTED_VALUE"""),"No")</f>
        <v>No</v>
      </c>
      <c r="AK1441" s="8" t="str">
        <f ca="1">IFERROR(__xludf.DUMMYFUNCTION("""COMPUTED_VALUE"""),"No")</f>
        <v>No</v>
      </c>
      <c r="AL1441" s="8" t="str">
        <f ca="1">IFERROR(__xludf.DUMMYFUNCTION("""COMPUTED_VALUE"""),"No")</f>
        <v>No</v>
      </c>
      <c r="AM1441" s="8" t="str">
        <f ca="1">IFERROR(__xludf.DUMMYFUNCTION("""COMPUTED_VALUE"""),"No")</f>
        <v>No</v>
      </c>
      <c r="AN1441" s="8"/>
      <c r="AO1441" s="8" t="str">
        <f ca="1">IFERROR(__xludf.DUMMYFUNCTION("""COMPUTED_VALUE"""),"No")</f>
        <v>No</v>
      </c>
      <c r="AP1441" s="8"/>
      <c r="AQ1441" s="8"/>
      <c r="AR1441" s="8" t="str">
        <f ca="1">IFERROR(__xludf.DUMMYFUNCTION("""COMPUTED_VALUE"""),"Outside/Off-Property")</f>
        <v>Outside/Off-Property</v>
      </c>
      <c r="AS1441" s="8">
        <f ca="1">IFERROR(__xludf.DUMMYFUNCTION("""COMPUTED_VALUE"""),1)</f>
        <v>1</v>
      </c>
      <c r="AT1441" s="8"/>
      <c r="AU1441" s="8">
        <f ca="1">IFERROR(__xludf.DUMMYFUNCTION("""COMPUTED_VALUE"""),34.048664)</f>
        <v>34.048664000000002</v>
      </c>
      <c r="AV1441" s="8">
        <f ca="1">IFERROR(__xludf.DUMMYFUNCTION("""COMPUTED_VALUE"""),-117.942655)</f>
        <v>-117.942655</v>
      </c>
      <c r="AW1441" s="8"/>
      <c r="AX1441" s="8">
        <f ca="1">IFERROR(__xludf.DUMMYFUNCTION("""COMPUTED_VALUE"""),91744)</f>
        <v>91744</v>
      </c>
    </row>
    <row r="1442" spans="1:50" ht="60" x14ac:dyDescent="0.2">
      <c r="A1442" s="8" t="str">
        <f ca="1">IFERROR(__xludf.DUMMYFUNCTION("""COMPUTED_VALUE"""),"20201108INTET")</f>
        <v>20201108INTET</v>
      </c>
      <c r="B1442" s="8">
        <f ca="1">IFERROR(__xludf.DUMMYFUNCTION("""COMPUTED_VALUE"""),11)</f>
        <v>11</v>
      </c>
      <c r="C1442" s="8">
        <f ca="1">IFERROR(__xludf.DUMMYFUNCTION("""COMPUTED_VALUE"""),8)</f>
        <v>8</v>
      </c>
      <c r="D1442" s="8">
        <f ca="1">IFERROR(__xludf.DUMMYFUNCTION("""COMPUTED_VALUE"""),2020)</f>
        <v>2020</v>
      </c>
      <c r="E1442" s="9">
        <f ca="1">IFERROR(__xludf.DUMMYFUNCTION("""COMPUTED_VALUE"""),44143)</f>
        <v>44143</v>
      </c>
      <c r="F1442" s="8" t="str">
        <f ca="1">IFERROR(__xludf.DUMMYFUNCTION("""COMPUTED_VALUE"""),"Terre Haute South Vigo High School")</f>
        <v>Terre Haute South Vigo High School</v>
      </c>
      <c r="G1442" s="8">
        <f ca="1">IFERROR(__xludf.DUMMYFUNCTION("""COMPUTED_VALUE"""),0)</f>
        <v>0</v>
      </c>
      <c r="H1442" s="8">
        <f ca="1">IFERROR(__xludf.DUMMYFUNCTION("""COMPUTED_VALUE"""),0)</f>
        <v>0</v>
      </c>
      <c r="I1442" s="8">
        <f ca="1">IFERROR(__xludf.DUMMYFUNCTION("""COMPUTED_VALUE"""),0)</f>
        <v>0</v>
      </c>
      <c r="J1442" s="8">
        <f ca="1">IFERROR(__xludf.DUMMYFUNCTION("""COMPUTED_VALUE"""),0)</f>
        <v>0</v>
      </c>
      <c r="K1442" s="10" t="str">
        <f ca="1">IFERROR(__xludf.DUMMYFUNCTION("""COMPUTED_VALUE"""),"https://www.mywabashvalley.com/top-news/thpd-shots-fired-at-terre-haute-high-school-no-injuries/")</f>
        <v>https://www.mywabashvalley.com/top-news/thpd-shots-fired-at-terre-haute-high-school-no-injuries/</v>
      </c>
      <c r="L1442" s="8">
        <f ca="1">IFERROR(__xludf.DUMMYFUNCTION("""COMPUTED_VALUE"""),1)</f>
        <v>1</v>
      </c>
      <c r="M1442" s="8" t="str">
        <f ca="1">IFERROR(__xludf.DUMMYFUNCTION("""COMPUTED_VALUE"""),"Local")</f>
        <v>Local</v>
      </c>
      <c r="N1442" s="8">
        <f ca="1">IFERROR(__xludf.DUMMYFUNCTION("""COMPUTED_VALUE"""),4)</f>
        <v>4</v>
      </c>
      <c r="O1442" s="8" t="str">
        <f ca="1">IFERROR(__xludf.DUMMYFUNCTION("""COMPUTED_VALUE"""),"Fall")</f>
        <v>Fall</v>
      </c>
      <c r="P1442" s="8" t="str">
        <f ca="1">IFERROR(__xludf.DUMMYFUNCTION("""COMPUTED_VALUE"""),"Terre Haute")</f>
        <v>Terre Haute</v>
      </c>
      <c r="Q1442" s="8" t="str">
        <f ca="1">IFERROR(__xludf.DUMMYFUNCTION("""COMPUTED_VALUE"""),"IN")</f>
        <v>IN</v>
      </c>
      <c r="R1442" s="8" t="str">
        <f ca="1">IFERROR(__xludf.DUMMYFUNCTION("""COMPUTED_VALUE"""),"High")</f>
        <v>High</v>
      </c>
      <c r="S1442" s="8" t="str">
        <f ca="1">IFERROR(__xludf.DUMMYFUNCTION("""COMPUTED_VALUE"""),"Parking Lot")</f>
        <v>Parking Lot</v>
      </c>
      <c r="T1442" s="8" t="str">
        <f ca="1">IFERROR(__xludf.DUMMYFUNCTION("""COMPUTED_VALUE"""),"Outside on School Property")</f>
        <v>Outside on School Property</v>
      </c>
      <c r="U1442" s="8" t="str">
        <f ca="1">IFERROR(__xludf.DUMMYFUNCTION("""COMPUTED_VALUE"""),"No")</f>
        <v>No</v>
      </c>
      <c r="V1442" s="8" t="str">
        <f ca="1">IFERROR(__xludf.DUMMYFUNCTION("""COMPUTED_VALUE"""),"Not a School Day")</f>
        <v>Not a School Day</v>
      </c>
      <c r="W1442" s="11">
        <f ca="1">IFERROR(__xludf.DUMMYFUNCTION("""COMPUTED_VALUE"""),0.69375)</f>
        <v>0.69374999999999998</v>
      </c>
      <c r="X1442" s="8">
        <f ca="1">IFERROR(__xludf.DUMMYFUNCTION("""COMPUTED_VALUE"""),1)</f>
        <v>1</v>
      </c>
      <c r="Y1442" s="12" t="str">
        <f ca="1">IFERROR(__xludf.DUMMYFUNCTION("""COMPUTED_VALUE"""),"Shots fired in the school parking lot")</f>
        <v>Shots fired in the school parking lot</v>
      </c>
      <c r="Z1442" s="12" t="str">
        <f ca="1">IFERROR(__xludf.DUMMYFUNCTION("""COMPUTED_VALUE"""),"23 year-old man fired shot in the school parking lot. No injuries. Shooter fled the scene and was arrested later that night. Motive unknown. School was closed at the time of the shooting.")</f>
        <v>23 year-old man fired shot in the school parking lot. No injuries. Shooter fled the scene and was arrested later that night. Motive unknown. School was closed at the time of the shooting.</v>
      </c>
      <c r="AA1442" s="8"/>
      <c r="AB1442" s="8"/>
      <c r="AC1442" s="8" t="str">
        <f ca="1">IFERROR(__xludf.DUMMYFUNCTION("""COMPUTED_VALUE"""),"No")</f>
        <v>No</v>
      </c>
      <c r="AD1442" s="8" t="str">
        <f ca="1">IFERROR(__xludf.DUMMYFUNCTION("""COMPUTED_VALUE"""),"Victims Targeted")</f>
        <v>Victims Targeted</v>
      </c>
      <c r="AE1442" s="8"/>
      <c r="AF1442" s="8"/>
      <c r="AG1442" s="8" t="str">
        <f ca="1">IFERROR(__xludf.DUMMYFUNCTION("""COMPUTED_VALUE"""),"No")</f>
        <v>No</v>
      </c>
      <c r="AH1442" s="8" t="str">
        <f ca="1">IFERROR(__xludf.DUMMYFUNCTION("""COMPUTED_VALUE"""),"No")</f>
        <v>No</v>
      </c>
      <c r="AI1442" s="8" t="str">
        <f ca="1">IFERROR(__xludf.DUMMYFUNCTION("""COMPUTED_VALUE"""),"No")</f>
        <v>No</v>
      </c>
      <c r="AJ1442" s="8" t="str">
        <f ca="1">IFERROR(__xludf.DUMMYFUNCTION("""COMPUTED_VALUE"""),"No")</f>
        <v>No</v>
      </c>
      <c r="AK1442" s="8" t="str">
        <f ca="1">IFERROR(__xludf.DUMMYFUNCTION("""COMPUTED_VALUE"""),"No")</f>
        <v>No</v>
      </c>
      <c r="AL1442" s="8"/>
      <c r="AM1442" s="8" t="str">
        <f ca="1">IFERROR(__xludf.DUMMYFUNCTION("""COMPUTED_VALUE"""),"No")</f>
        <v>No</v>
      </c>
      <c r="AN1442" s="8"/>
      <c r="AO1442" s="8" t="str">
        <f ca="1">IFERROR(__xludf.DUMMYFUNCTION("""COMPUTED_VALUE"""),"No")</f>
        <v>No</v>
      </c>
      <c r="AP1442" s="8"/>
      <c r="AQ1442" s="8"/>
      <c r="AR1442" s="8" t="str">
        <f ca="1">IFERROR(__xludf.DUMMYFUNCTION("""COMPUTED_VALUE"""),"Outside/Off-Property")</f>
        <v>Outside/Off-Property</v>
      </c>
      <c r="AS1442" s="8"/>
      <c r="AT1442" s="8"/>
      <c r="AU1442" s="8">
        <f ca="1">IFERROR(__xludf.DUMMYFUNCTION("""COMPUTED_VALUE"""),39.425393)</f>
        <v>39.425393</v>
      </c>
      <c r="AV1442" s="8">
        <f ca="1">IFERROR(__xludf.DUMMYFUNCTION("""COMPUTED_VALUE"""),-87.408379)</f>
        <v>-87.408378999999996</v>
      </c>
      <c r="AW1442" s="8"/>
      <c r="AX1442" s="8">
        <f ca="1">IFERROR(__xludf.DUMMYFUNCTION("""COMPUTED_VALUE"""),47802)</f>
        <v>47802</v>
      </c>
    </row>
    <row r="1443" spans="1:50" ht="120" x14ac:dyDescent="0.2">
      <c r="A1443" s="8" t="str">
        <f ca="1">IFERROR(__xludf.DUMMYFUNCTION("""COMPUTED_VALUE"""),"20201106AZKHT")</f>
        <v>20201106AZKHT</v>
      </c>
      <c r="B1443" s="8">
        <f ca="1">IFERROR(__xludf.DUMMYFUNCTION("""COMPUTED_VALUE"""),11)</f>
        <v>11</v>
      </c>
      <c r="C1443" s="8">
        <f ca="1">IFERROR(__xludf.DUMMYFUNCTION("""COMPUTED_VALUE"""),6)</f>
        <v>6</v>
      </c>
      <c r="D1443" s="8">
        <f ca="1">IFERROR(__xludf.DUMMYFUNCTION("""COMPUTED_VALUE"""),2020)</f>
        <v>2020</v>
      </c>
      <c r="E1443" s="9">
        <f ca="1">IFERROR(__xludf.DUMMYFUNCTION("""COMPUTED_VALUE"""),44141)</f>
        <v>44141</v>
      </c>
      <c r="F1443" s="8" t="str">
        <f ca="1">IFERROR(__xludf.DUMMYFUNCTION("""COMPUTED_VALUE"""),"Khalsa Montessori Charter")</f>
        <v>Khalsa Montessori Charter</v>
      </c>
      <c r="G1443" s="8">
        <f ca="1">IFERROR(__xludf.DUMMYFUNCTION("""COMPUTED_VALUE"""),0)</f>
        <v>0</v>
      </c>
      <c r="H1443" s="8">
        <f ca="1">IFERROR(__xludf.DUMMYFUNCTION("""COMPUTED_VALUE"""),0)</f>
        <v>0</v>
      </c>
      <c r="I1443" s="8">
        <f ca="1">IFERROR(__xludf.DUMMYFUNCTION("""COMPUTED_VALUE"""),0)</f>
        <v>0</v>
      </c>
      <c r="J1443" s="8">
        <f ca="1">IFERROR(__xludf.DUMMYFUNCTION("""COMPUTED_VALUE"""),0)</f>
        <v>0</v>
      </c>
      <c r="K1443" s="8" t="str">
        <f ca="1">IFERROR(__xludf.DUMMYFUNCTION("""COMPUTED_VALUE"""),"https://kvoa.com/news/top-stories/2020/11/06/barricade-situation-prompts-evacuation-in-midtown-police-say/ https://kvoa.com/news/2020/11/11/man-in-custody-after-firing-weapon-on-school-property/")</f>
        <v>https://kvoa.com/news/top-stories/2020/11/06/barricade-situation-prompts-evacuation-in-midtown-police-say/ https://kvoa.com/news/2020/11/11/man-in-custody-after-firing-weapon-on-school-property/</v>
      </c>
      <c r="L1443" s="8">
        <f ca="1">IFERROR(__xludf.DUMMYFUNCTION("""COMPUTED_VALUE"""),2)</f>
        <v>2</v>
      </c>
      <c r="M1443" s="8" t="str">
        <f ca="1">IFERROR(__xludf.DUMMYFUNCTION("""COMPUTED_VALUE"""),"Local")</f>
        <v>Local</v>
      </c>
      <c r="N1443" s="8">
        <f ca="1">IFERROR(__xludf.DUMMYFUNCTION("""COMPUTED_VALUE"""),3)</f>
        <v>3</v>
      </c>
      <c r="O1443" s="8" t="str">
        <f ca="1">IFERROR(__xludf.DUMMYFUNCTION("""COMPUTED_VALUE"""),"Fall")</f>
        <v>Fall</v>
      </c>
      <c r="P1443" s="8" t="str">
        <f ca="1">IFERROR(__xludf.DUMMYFUNCTION("""COMPUTED_VALUE"""),"Tuscon")</f>
        <v>Tuscon</v>
      </c>
      <c r="Q1443" s="8" t="str">
        <f ca="1">IFERROR(__xludf.DUMMYFUNCTION("""COMPUTED_VALUE"""),"AZ")</f>
        <v>AZ</v>
      </c>
      <c r="R1443" s="8" t="str">
        <f ca="1">IFERROR(__xludf.DUMMYFUNCTION("""COMPUTED_VALUE"""),"Elementary")</f>
        <v>Elementary</v>
      </c>
      <c r="S1443" s="8" t="str">
        <f ca="1">IFERROR(__xludf.DUMMYFUNCTION("""COMPUTED_VALUE"""),"Parking Lot")</f>
        <v>Parking Lot</v>
      </c>
      <c r="T1443" s="8" t="str">
        <f ca="1">IFERROR(__xludf.DUMMYFUNCTION("""COMPUTED_VALUE"""),"Outside on School Property")</f>
        <v>Outside on School Property</v>
      </c>
      <c r="U1443" s="8" t="str">
        <f ca="1">IFERROR(__xludf.DUMMYFUNCTION("""COMPUTED_VALUE"""),"Yes")</f>
        <v>Yes</v>
      </c>
      <c r="V1443" s="8" t="str">
        <f ca="1">IFERROR(__xludf.DUMMYFUNCTION("""COMPUTED_VALUE"""),"Morning Classes")</f>
        <v>Morning Classes</v>
      </c>
      <c r="W1443" s="11">
        <f ca="1">IFERROR(__xludf.DUMMYFUNCTION("""COMPUTED_VALUE"""),0.416666666666666)</f>
        <v>0.41666666666666602</v>
      </c>
      <c r="X1443" s="8"/>
      <c r="Y1443" s="12" t="str">
        <f ca="1">IFERROR(__xludf.DUMMYFUNCTION("""COMPUTED_VALUE"""),"Man fired shots at multiple vehicles in the school parking lot during standoff with police")</f>
        <v>Man fired shots at multiple vehicles in the school parking lot during standoff with police</v>
      </c>
      <c r="Z1443" s="12" t="str">
        <f ca="1">IFERROR(__xludf.DUMMYFUNCTION("""COMPUTED_VALUE"""),"A 73 year-old man fired multiple shot at vehicles parked in the school parking lot during a standoff with police. Teachers inside the school were locked down and residents in the neighborhood were evacuated. Teachers were leading virtual classes at the ti"&amp;"me of the incident. Man was arrested and charged with 14 felonies. Motive unknown. The shooter's home was searched by police and deemed unlivable by inspectors.")</f>
        <v>A 73 year-old man fired multiple shot at vehicles parked in the school parking lot during a standoff with police. Teachers inside the school were locked down and residents in the neighborhood were evacuated. Teachers were leading virtual classes at the time of the incident. Man was arrested and charged with 14 felonies. Motive unknown. The shooter's home was searched by police and deemed unlivable by inspectors.</v>
      </c>
      <c r="AA1443" s="8" t="str">
        <f ca="1">IFERROR(__xludf.DUMMYFUNCTION("""COMPUTED_VALUE"""),"Hostage/Standoff")</f>
        <v>Hostage/Standoff</v>
      </c>
      <c r="AB1443" s="8"/>
      <c r="AC1443" s="8" t="str">
        <f ca="1">IFERROR(__xludf.DUMMYFUNCTION("""COMPUTED_VALUE"""),"Yes")</f>
        <v>Yes</v>
      </c>
      <c r="AD1443" s="8" t="str">
        <f ca="1">IFERROR(__xludf.DUMMYFUNCTION("""COMPUTED_VALUE"""),"Neither")</f>
        <v>Neither</v>
      </c>
      <c r="AE1443" s="8" t="str">
        <f ca="1">IFERROR(__xludf.DUMMYFUNCTION("""COMPUTED_VALUE"""),"No")</f>
        <v>No</v>
      </c>
      <c r="AF1443" s="8"/>
      <c r="AG1443" s="8" t="str">
        <f ca="1">IFERROR(__xludf.DUMMYFUNCTION("""COMPUTED_VALUE"""),"No")</f>
        <v>No</v>
      </c>
      <c r="AH1443" s="8" t="str">
        <f ca="1">IFERROR(__xludf.DUMMYFUNCTION("""COMPUTED_VALUE"""),"No")</f>
        <v>No</v>
      </c>
      <c r="AI1443" s="8" t="str">
        <f ca="1">IFERROR(__xludf.DUMMYFUNCTION("""COMPUTED_VALUE"""),"No")</f>
        <v>No</v>
      </c>
      <c r="AJ1443" s="8" t="str">
        <f ca="1">IFERROR(__xludf.DUMMYFUNCTION("""COMPUTED_VALUE"""),"No")</f>
        <v>No</v>
      </c>
      <c r="AK1443" s="8" t="str">
        <f ca="1">IFERROR(__xludf.DUMMYFUNCTION("""COMPUTED_VALUE"""),"No")</f>
        <v>No</v>
      </c>
      <c r="AL1443" s="8" t="str">
        <f ca="1">IFERROR(__xludf.DUMMYFUNCTION("""COMPUTED_VALUE"""),"No")</f>
        <v>No</v>
      </c>
      <c r="AM1443" s="8" t="str">
        <f ca="1">IFERROR(__xludf.DUMMYFUNCTION("""COMPUTED_VALUE"""),"Yes")</f>
        <v>Yes</v>
      </c>
      <c r="AN1443" s="8" t="str">
        <f ca="1">IFERROR(__xludf.DUMMYFUNCTION("""COMPUTED_VALUE"""),"Outside")</f>
        <v>Outside</v>
      </c>
      <c r="AO1443" s="8" t="str">
        <f ca="1">IFERROR(__xludf.DUMMYFUNCTION("""COMPUTED_VALUE"""),"No")</f>
        <v>No</v>
      </c>
      <c r="AP1443" s="8"/>
      <c r="AQ1443" s="8"/>
      <c r="AR1443" s="8" t="str">
        <f ca="1">IFERROR(__xludf.DUMMYFUNCTION("""COMPUTED_VALUE"""),"Outside/Off-Property")</f>
        <v>Outside/Off-Property</v>
      </c>
      <c r="AS1443" s="8"/>
      <c r="AT1443" s="8" t="str">
        <f ca="1">IFERROR(__xludf.DUMMYFUNCTION("""COMPUTED_VALUE"""),"Yes")</f>
        <v>Yes</v>
      </c>
      <c r="AU1443" s="8">
        <f ca="1">IFERROR(__xludf.DUMMYFUNCTION("""COMPUTED_VALUE"""),32.276207)</f>
        <v>32.276206999999999</v>
      </c>
      <c r="AV1443" s="8">
        <f ca="1">IFERROR(__xludf.DUMMYFUNCTION("""COMPUTED_VALUE"""),-110.91437)</f>
        <v>-110.91437000000001</v>
      </c>
      <c r="AW1443" s="8"/>
      <c r="AX1443" s="8">
        <f ca="1">IFERROR(__xludf.DUMMYFUNCTION("""COMPUTED_VALUE"""),85718)</f>
        <v>85718</v>
      </c>
    </row>
    <row r="1444" spans="1:50" ht="45" x14ac:dyDescent="0.2">
      <c r="A1444" s="8" t="str">
        <f ca="1">IFERROR(__xludf.DUMMYFUNCTION("""COMPUTED_VALUE"""),"20201102COERE")</f>
        <v>20201102COERE</v>
      </c>
      <c r="B1444" s="8">
        <f ca="1">IFERROR(__xludf.DUMMYFUNCTION("""COMPUTED_VALUE"""),11)</f>
        <v>11</v>
      </c>
      <c r="C1444" s="8">
        <f ca="1">IFERROR(__xludf.DUMMYFUNCTION("""COMPUTED_VALUE"""),2)</f>
        <v>2</v>
      </c>
      <c r="D1444" s="8">
        <f ca="1">IFERROR(__xludf.DUMMYFUNCTION("""COMPUTED_VALUE"""),2020)</f>
        <v>2020</v>
      </c>
      <c r="E1444" s="9">
        <f ca="1">IFERROR(__xludf.DUMMYFUNCTION("""COMPUTED_VALUE"""),44137)</f>
        <v>44137</v>
      </c>
      <c r="F1444" s="8" t="str">
        <f ca="1">IFERROR(__xludf.DUMMYFUNCTION("""COMPUTED_VALUE"""),"Erie High School")</f>
        <v>Erie High School</v>
      </c>
      <c r="G1444" s="8">
        <f ca="1">IFERROR(__xludf.DUMMYFUNCTION("""COMPUTED_VALUE"""),0)</f>
        <v>0</v>
      </c>
      <c r="H1444" s="8">
        <f ca="1">IFERROR(__xludf.DUMMYFUNCTION("""COMPUTED_VALUE"""),0)</f>
        <v>0</v>
      </c>
      <c r="I1444" s="8">
        <f ca="1">IFERROR(__xludf.DUMMYFUNCTION("""COMPUTED_VALUE"""),0)</f>
        <v>0</v>
      </c>
      <c r="J1444" s="8">
        <f ca="1">IFERROR(__xludf.DUMMYFUNCTION("""COMPUTED_VALUE"""),0)</f>
        <v>0</v>
      </c>
      <c r="K1444" s="8" t="str">
        <f ca="1">IFERROR(__xludf.DUMMYFUNCTION("""COMPUTED_VALUE"""),"https://www.coloradohometownweekly.com/2020/11/02/erie-police-investigate-criminal-mischief-at-erie-high-school/ https://www.greeleytribune.com/2020/11/02/erie-police-investigate-projectile-shot-through-high-school-window-overnight/")</f>
        <v>https://www.coloradohometownweekly.com/2020/11/02/erie-police-investigate-criminal-mischief-at-erie-high-school/ https://www.greeleytribune.com/2020/11/02/erie-police-investigate-projectile-shot-through-high-school-window-overnight/</v>
      </c>
      <c r="L1444" s="8">
        <f ca="1">IFERROR(__xludf.DUMMYFUNCTION("""COMPUTED_VALUE"""),2)</f>
        <v>2</v>
      </c>
      <c r="M1444" s="8" t="str">
        <f ca="1">IFERROR(__xludf.DUMMYFUNCTION("""COMPUTED_VALUE"""),"Local")</f>
        <v>Local</v>
      </c>
      <c r="N1444" s="8">
        <f ca="1">IFERROR(__xludf.DUMMYFUNCTION("""COMPUTED_VALUE"""),2)</f>
        <v>2</v>
      </c>
      <c r="O1444" s="8" t="str">
        <f ca="1">IFERROR(__xludf.DUMMYFUNCTION("""COMPUTED_VALUE"""),"Fall")</f>
        <v>Fall</v>
      </c>
      <c r="P1444" s="8" t="str">
        <f ca="1">IFERROR(__xludf.DUMMYFUNCTION("""COMPUTED_VALUE"""),"Erie")</f>
        <v>Erie</v>
      </c>
      <c r="Q1444" s="8" t="str">
        <f ca="1">IFERROR(__xludf.DUMMYFUNCTION("""COMPUTED_VALUE"""),"CO")</f>
        <v>CO</v>
      </c>
      <c r="R1444" s="8" t="str">
        <f ca="1">IFERROR(__xludf.DUMMYFUNCTION("""COMPUTED_VALUE"""),"High")</f>
        <v>High</v>
      </c>
      <c r="S1444" s="8" t="str">
        <f ca="1">IFERROR(__xludf.DUMMYFUNCTION("""COMPUTED_VALUE"""),"Cafeteria")</f>
        <v>Cafeteria</v>
      </c>
      <c r="T1444" s="8" t="str">
        <f ca="1">IFERROR(__xludf.DUMMYFUNCTION("""COMPUTED_VALUE"""),"Outside on School Property")</f>
        <v>Outside on School Property</v>
      </c>
      <c r="U1444" s="8" t="str">
        <f ca="1">IFERROR(__xludf.DUMMYFUNCTION("""COMPUTED_VALUE"""),"No")</f>
        <v>No</v>
      </c>
      <c r="V1444" s="8" t="str">
        <f ca="1">IFERROR(__xludf.DUMMYFUNCTION("""COMPUTED_VALUE"""),"Night")</f>
        <v>Night</v>
      </c>
      <c r="W1444" s="11">
        <f ca="1">IFERROR(__xludf.DUMMYFUNCTION("""COMPUTED_VALUE"""),0.00347222222222222)</f>
        <v>3.4722222222222199E-3</v>
      </c>
      <c r="X1444" s="8">
        <f ca="1">IFERROR(__xludf.DUMMYFUNCTION("""COMPUTED_VALUE"""),1)</f>
        <v>1</v>
      </c>
      <c r="Y1444" s="12" t="str">
        <f ca="1">IFERROR(__xludf.DUMMYFUNCTION("""COMPUTED_VALUE"""),"Bullet shot at cafeteria window")</f>
        <v>Bullet shot at cafeteria window</v>
      </c>
      <c r="Z1444" s="12" t="str">
        <f ca="1">IFERROR(__xludf.DUMMYFUNCTION("""COMPUTED_VALUE"""),"School officials notified police when they found a projectile hole in a window in the school cafeteria at 7:30 AM. Police believe the shot was fired just after midnight. No suspect.")</f>
        <v>School officials notified police when they found a projectile hole in a window in the school cafeteria at 7:30 AM. Police believe the shot was fired just after midnight. No suspect.</v>
      </c>
      <c r="AA1444" s="8" t="str">
        <f ca="1">IFERROR(__xludf.DUMMYFUNCTION("""COMPUTED_VALUE"""),"Intentional Property Damage")</f>
        <v>Intentional Property Damage</v>
      </c>
      <c r="AB1444" s="8"/>
      <c r="AC1444" s="8" t="str">
        <f ca="1">IFERROR(__xludf.DUMMYFUNCTION("""COMPUTED_VALUE"""),"No")</f>
        <v>No</v>
      </c>
      <c r="AD1444" s="8" t="str">
        <f ca="1">IFERROR(__xludf.DUMMYFUNCTION("""COMPUTED_VALUE"""),"Neither")</f>
        <v>Neither</v>
      </c>
      <c r="AE1444" s="8"/>
      <c r="AF1444" s="8"/>
      <c r="AG1444" s="8" t="str">
        <f ca="1">IFERROR(__xludf.DUMMYFUNCTION("""COMPUTED_VALUE"""),"No")</f>
        <v>No</v>
      </c>
      <c r="AH1444" s="8" t="str">
        <f ca="1">IFERROR(__xludf.DUMMYFUNCTION("""COMPUTED_VALUE"""),"No")</f>
        <v>No</v>
      </c>
      <c r="AI1444" s="8" t="str">
        <f ca="1">IFERROR(__xludf.DUMMYFUNCTION("""COMPUTED_VALUE"""),"No")</f>
        <v>No</v>
      </c>
      <c r="AJ1444" s="8"/>
      <c r="AK1444" s="8" t="str">
        <f ca="1">IFERROR(__xludf.DUMMYFUNCTION("""COMPUTED_VALUE"""),"No")</f>
        <v>No</v>
      </c>
      <c r="AL1444" s="8" t="str">
        <f ca="1">IFERROR(__xludf.DUMMYFUNCTION("""COMPUTED_VALUE"""),"No")</f>
        <v>No</v>
      </c>
      <c r="AM1444" s="8" t="str">
        <f ca="1">IFERROR(__xludf.DUMMYFUNCTION("""COMPUTED_VALUE"""),"No")</f>
        <v>No</v>
      </c>
      <c r="AN1444" s="8"/>
      <c r="AO1444" s="8" t="str">
        <f ca="1">IFERROR(__xludf.DUMMYFUNCTION("""COMPUTED_VALUE"""),"No")</f>
        <v>No</v>
      </c>
      <c r="AP1444" s="8"/>
      <c r="AQ1444" s="8"/>
      <c r="AR1444" s="8" t="str">
        <f ca="1">IFERROR(__xludf.DUMMYFUNCTION("""COMPUTED_VALUE"""),"Outside/Off-Property")</f>
        <v>Outside/Off-Property</v>
      </c>
      <c r="AS1444" s="8">
        <f ca="1">IFERROR(__xludf.DUMMYFUNCTION("""COMPUTED_VALUE"""),1)</f>
        <v>1</v>
      </c>
      <c r="AT1444" s="8"/>
      <c r="AU1444" s="8">
        <f ca="1">IFERROR(__xludf.DUMMYFUNCTION("""COMPUTED_VALUE"""),40.048227)</f>
        <v>40.048226999999997</v>
      </c>
      <c r="AV1444" s="8">
        <f ca="1">IFERROR(__xludf.DUMMYFUNCTION("""COMPUTED_VALUE"""),-105.016655)</f>
        <v>-105.016655</v>
      </c>
      <c r="AW1444" s="8"/>
      <c r="AX1444" s="8">
        <f ca="1">IFERROR(__xludf.DUMMYFUNCTION("""COMPUTED_VALUE"""),80516)</f>
        <v>80516</v>
      </c>
    </row>
    <row r="1445" spans="1:50" ht="75" x14ac:dyDescent="0.2">
      <c r="A1445" s="8" t="str">
        <f ca="1">IFERROR(__xludf.DUMMYFUNCTION("""COMPUTED_VALUE"""),"20201029FLLAM")</f>
        <v>20201029FLLAM</v>
      </c>
      <c r="B1445" s="8">
        <f ca="1">IFERROR(__xludf.DUMMYFUNCTION("""COMPUTED_VALUE"""),10)</f>
        <v>10</v>
      </c>
      <c r="C1445" s="8">
        <f ca="1">IFERROR(__xludf.DUMMYFUNCTION("""COMPUTED_VALUE"""),29)</f>
        <v>29</v>
      </c>
      <c r="D1445" s="8">
        <f ca="1">IFERROR(__xludf.DUMMYFUNCTION("""COMPUTED_VALUE"""),2020)</f>
        <v>2020</v>
      </c>
      <c r="E1445" s="9">
        <f ca="1">IFERROR(__xludf.DUMMYFUNCTION("""COMPUTED_VALUE"""),44133)</f>
        <v>44133</v>
      </c>
      <c r="F1445" s="8" t="str">
        <f ca="1">IFERROR(__xludf.DUMMYFUNCTION("""COMPUTED_VALUE"""),"Lawton Chiles Middle School")</f>
        <v>Lawton Chiles Middle School</v>
      </c>
      <c r="G1445" s="8">
        <f ca="1">IFERROR(__xludf.DUMMYFUNCTION("""COMPUTED_VALUE"""),2)</f>
        <v>2</v>
      </c>
      <c r="H1445" s="8">
        <f ca="1">IFERROR(__xludf.DUMMYFUNCTION("""COMPUTED_VALUE"""),0)</f>
        <v>0</v>
      </c>
      <c r="I1445" s="8">
        <f ca="1">IFERROR(__xludf.DUMMYFUNCTION("""COMPUTED_VALUE"""),2)</f>
        <v>2</v>
      </c>
      <c r="J1445" s="8">
        <f ca="1">IFERROR(__xludf.DUMMYFUNCTION("""COMPUTED_VALUE"""),0)</f>
        <v>0</v>
      </c>
      <c r="K1445" s="8" t="str">
        <f ca="1">IFERROR(__xludf.DUMMYFUNCTION("""COMPUTED_VALUE"""),"https://www.nbcmiami.com/news/local/1-person-killed-after-late-night-shooting-in-northwest-miami-dade/2314045/ https://wsvn.com/news/local/2-killed-in-shooting-near-nw-miami-dade-school/")</f>
        <v>https://www.nbcmiami.com/news/local/1-person-killed-after-late-night-shooting-in-northwest-miami-dade/2314045/ https://wsvn.com/news/local/2-killed-in-shooting-near-nw-miami-dade-school/</v>
      </c>
      <c r="L1445" s="8">
        <f ca="1">IFERROR(__xludf.DUMMYFUNCTION("""COMPUTED_VALUE"""),10)</f>
        <v>10</v>
      </c>
      <c r="M1445" s="8" t="str">
        <f ca="1">IFERROR(__xludf.DUMMYFUNCTION("""COMPUTED_VALUE"""),"National")</f>
        <v>National</v>
      </c>
      <c r="N1445" s="8">
        <f ca="1">IFERROR(__xludf.DUMMYFUNCTION("""COMPUTED_VALUE"""),4)</f>
        <v>4</v>
      </c>
      <c r="O1445" s="8" t="str">
        <f ca="1">IFERROR(__xludf.DUMMYFUNCTION("""COMPUTED_VALUE"""),"Fall")</f>
        <v>Fall</v>
      </c>
      <c r="P1445" s="8" t="str">
        <f ca="1">IFERROR(__xludf.DUMMYFUNCTION("""COMPUTED_VALUE"""),"Miramar")</f>
        <v>Miramar</v>
      </c>
      <c r="Q1445" s="8" t="str">
        <f ca="1">IFERROR(__xludf.DUMMYFUNCTION("""COMPUTED_VALUE"""),"FL")</f>
        <v>FL</v>
      </c>
      <c r="R1445" s="8" t="str">
        <f ca="1">IFERROR(__xludf.DUMMYFUNCTION("""COMPUTED_VALUE"""),"Middle")</f>
        <v>Middle</v>
      </c>
      <c r="S1445" s="8" t="str">
        <f ca="1">IFERROR(__xludf.DUMMYFUNCTION("""COMPUTED_VALUE"""),"Parking Lot")</f>
        <v>Parking Lot</v>
      </c>
      <c r="T1445" s="8" t="str">
        <f ca="1">IFERROR(__xludf.DUMMYFUNCTION("""COMPUTED_VALUE"""),"Outside on School Property")</f>
        <v>Outside on School Property</v>
      </c>
      <c r="U1445" s="8" t="str">
        <f ca="1">IFERROR(__xludf.DUMMYFUNCTION("""COMPUTED_VALUE"""),"No")</f>
        <v>No</v>
      </c>
      <c r="V1445" s="8" t="str">
        <f ca="1">IFERROR(__xludf.DUMMYFUNCTION("""COMPUTED_VALUE"""),"Night")</f>
        <v>Night</v>
      </c>
      <c r="W1445" s="11">
        <f ca="1">IFERROR(__xludf.DUMMYFUNCTION("""COMPUTED_VALUE"""),0.96875)</f>
        <v>0.96875</v>
      </c>
      <c r="X1445" s="8">
        <f ca="1">IFERROR(__xludf.DUMMYFUNCTION("""COMPUTED_VALUE"""),1)</f>
        <v>1</v>
      </c>
      <c r="Y1445" s="12" t="str">
        <f ca="1">IFERROR(__xludf.DUMMYFUNCTION("""COMPUTED_VALUE"""),"Two men fatally shot in school parking lot")</f>
        <v>Two men fatally shot in school parking lot</v>
      </c>
      <c r="Z1445" s="12" t="str">
        <f ca="1">IFERROR(__xludf.DUMMYFUNCTION("""COMPUTED_VALUE"""),"Two men were fatally shot in the school parking lot. One man was found by police in the parking lot and flown to the hospital where he died. The second man was found fatally shot in a vehicle that crashed nearby. Unclear if the men shot at each other or i"&amp;"f there was another person involved.")</f>
        <v>Two men were fatally shot in the school parking lot. One man was found by police in the parking lot and flown to the hospital where he died. The second man was found fatally shot in a vehicle that crashed nearby. Unclear if the men shot at each other or if there was another person involved.</v>
      </c>
      <c r="AA1445" s="8"/>
      <c r="AB1445" s="8"/>
      <c r="AC1445" s="8" t="str">
        <f ca="1">IFERROR(__xludf.DUMMYFUNCTION("""COMPUTED_VALUE"""),"No")</f>
        <v>No</v>
      </c>
      <c r="AD1445" s="8" t="str">
        <f ca="1">IFERROR(__xludf.DUMMYFUNCTION("""COMPUTED_VALUE"""),"Victims Targeted")</f>
        <v>Victims Targeted</v>
      </c>
      <c r="AE1445" s="8"/>
      <c r="AF1445" s="8"/>
      <c r="AG1445" s="8" t="str">
        <f ca="1">IFERROR(__xludf.DUMMYFUNCTION("""COMPUTED_VALUE"""),"No")</f>
        <v>No</v>
      </c>
      <c r="AH1445" s="8" t="str">
        <f ca="1">IFERROR(__xludf.DUMMYFUNCTION("""COMPUTED_VALUE"""),"No")</f>
        <v>No</v>
      </c>
      <c r="AI1445" s="8" t="str">
        <f ca="1">IFERROR(__xludf.DUMMYFUNCTION("""COMPUTED_VALUE"""),"No")</f>
        <v>No</v>
      </c>
      <c r="AJ1445" s="8" t="str">
        <f ca="1">IFERROR(__xludf.DUMMYFUNCTION("""COMPUTED_VALUE"""),"No")</f>
        <v>No</v>
      </c>
      <c r="AK1445" s="8" t="str">
        <f ca="1">IFERROR(__xludf.DUMMYFUNCTION("""COMPUTED_VALUE"""),"No")</f>
        <v>No</v>
      </c>
      <c r="AL1445" s="8"/>
      <c r="AM1445" s="8" t="str">
        <f ca="1">IFERROR(__xludf.DUMMYFUNCTION("""COMPUTED_VALUE"""),"No")</f>
        <v>No</v>
      </c>
      <c r="AN1445" s="8"/>
      <c r="AO1445" s="8" t="str">
        <f ca="1">IFERROR(__xludf.DUMMYFUNCTION("""COMPUTED_VALUE"""),"No")</f>
        <v>No</v>
      </c>
      <c r="AP1445" s="8"/>
      <c r="AQ1445" s="8"/>
      <c r="AR1445" s="8" t="str">
        <f ca="1">IFERROR(__xludf.DUMMYFUNCTION("""COMPUTED_VALUE"""),"Outside/Off-Property")</f>
        <v>Outside/Off-Property</v>
      </c>
      <c r="AS1445" s="8"/>
      <c r="AT1445" s="8"/>
      <c r="AU1445" s="8">
        <f ca="1">IFERROR(__xludf.DUMMYFUNCTION("""COMPUTED_VALUE"""),25.95089)</f>
        <v>25.950890000000001</v>
      </c>
      <c r="AV1445" s="8">
        <f ca="1">IFERROR(__xludf.DUMMYFUNCTION("""COMPUTED_VALUE"""),-80.333702)</f>
        <v>-80.333702000000002</v>
      </c>
      <c r="AW1445" s="8"/>
      <c r="AX1445" s="8">
        <f ca="1">IFERROR(__xludf.DUMMYFUNCTION("""COMPUTED_VALUE"""),33015)</f>
        <v>33015</v>
      </c>
    </row>
    <row r="1446" spans="1:50" ht="45" x14ac:dyDescent="0.2">
      <c r="A1446" s="8" t="str">
        <f ca="1">IFERROR(__xludf.DUMMYFUNCTION("""COMPUTED_VALUE"""),"20201028NYROR")</f>
        <v>20201028NYROR</v>
      </c>
      <c r="B1446" s="8">
        <f ca="1">IFERROR(__xludf.DUMMYFUNCTION("""COMPUTED_VALUE"""),10)</f>
        <v>10</v>
      </c>
      <c r="C1446" s="8">
        <f ca="1">IFERROR(__xludf.DUMMYFUNCTION("""COMPUTED_VALUE"""),28)</f>
        <v>28</v>
      </c>
      <c r="D1446" s="8">
        <f ca="1">IFERROR(__xludf.DUMMYFUNCTION("""COMPUTED_VALUE"""),2020)</f>
        <v>2020</v>
      </c>
      <c r="E1446" s="9">
        <f ca="1">IFERROR(__xludf.DUMMYFUNCTION("""COMPUTED_VALUE"""),44132)</f>
        <v>44132</v>
      </c>
      <c r="F1446" s="8" t="str">
        <f ca="1">IFERROR(__xludf.DUMMYFUNCTION("""COMPUTED_VALUE"""),"Rochester Prep Charter School")</f>
        <v>Rochester Prep Charter School</v>
      </c>
      <c r="G1446" s="8">
        <f ca="1">IFERROR(__xludf.DUMMYFUNCTION("""COMPUTED_VALUE"""),0)</f>
        <v>0</v>
      </c>
      <c r="H1446" s="8">
        <f ca="1">IFERROR(__xludf.DUMMYFUNCTION("""COMPUTED_VALUE"""),0)</f>
        <v>0</v>
      </c>
      <c r="I1446" s="8">
        <f ca="1">IFERROR(__xludf.DUMMYFUNCTION("""COMPUTED_VALUE"""),0)</f>
        <v>0</v>
      </c>
      <c r="J1446" s="8">
        <f ca="1">IFERROR(__xludf.DUMMYFUNCTION("""COMPUTED_VALUE"""),0)</f>
        <v>0</v>
      </c>
      <c r="K1446" s="10" t="str">
        <f ca="1">IFERROR(__xludf.DUMMYFUNCTION("""COMPUTED_VALUE"""),"https://spectrumlocalnews.com/nys/rochester/public-safety/2020/10/29/rpd--bullet-hits-rochester-prep-charter-school-in-apparent-drive-by-shooting-")</f>
        <v>https://spectrumlocalnews.com/nys/rochester/public-safety/2020/10/29/rpd--bullet-hits-rochester-prep-charter-school-in-apparent-drive-by-shooting-</v>
      </c>
      <c r="L1446" s="8">
        <f ca="1">IFERROR(__xludf.DUMMYFUNCTION("""COMPUTED_VALUE"""),1)</f>
        <v>1</v>
      </c>
      <c r="M1446" s="8" t="str">
        <f ca="1">IFERROR(__xludf.DUMMYFUNCTION("""COMPUTED_VALUE"""),"Local")</f>
        <v>Local</v>
      </c>
      <c r="N1446" s="8">
        <f ca="1">IFERROR(__xludf.DUMMYFUNCTION("""COMPUTED_VALUE"""),3)</f>
        <v>3</v>
      </c>
      <c r="O1446" s="8" t="str">
        <f ca="1">IFERROR(__xludf.DUMMYFUNCTION("""COMPUTED_VALUE"""),"Fall")</f>
        <v>Fall</v>
      </c>
      <c r="P1446" s="8" t="str">
        <f ca="1">IFERROR(__xludf.DUMMYFUNCTION("""COMPUTED_VALUE"""),"Rochester")</f>
        <v>Rochester</v>
      </c>
      <c r="Q1446" s="8" t="str">
        <f ca="1">IFERROR(__xludf.DUMMYFUNCTION("""COMPUTED_VALUE"""),"NY")</f>
        <v>NY</v>
      </c>
      <c r="R1446" s="8" t="str">
        <f ca="1">IFERROR(__xludf.DUMMYFUNCTION("""COMPUTED_VALUE"""),"K-12")</f>
        <v>K-12</v>
      </c>
      <c r="S1446" s="8" t="str">
        <f ca="1">IFERROR(__xludf.DUMMYFUNCTION("""COMPUTED_VALUE"""),"Front of School")</f>
        <v>Front of School</v>
      </c>
      <c r="T1446" s="8" t="str">
        <f ca="1">IFERROR(__xludf.DUMMYFUNCTION("""COMPUTED_VALUE"""),"Off School Property")</f>
        <v>Off School Property</v>
      </c>
      <c r="U1446" s="8" t="str">
        <f ca="1">IFERROR(__xludf.DUMMYFUNCTION("""COMPUTED_VALUE"""),"No")</f>
        <v>No</v>
      </c>
      <c r="V1446" s="8" t="str">
        <f ca="1">IFERROR(__xludf.DUMMYFUNCTION("""COMPUTED_VALUE"""),"Evening")</f>
        <v>Evening</v>
      </c>
      <c r="W1446" s="11">
        <f ca="1">IFERROR(__xludf.DUMMYFUNCTION("""COMPUTED_VALUE"""),0.708333333333333)</f>
        <v>0.70833333333333304</v>
      </c>
      <c r="X1446" s="8">
        <f ca="1">IFERROR(__xludf.DUMMYFUNCTION("""COMPUTED_VALUE"""),1)</f>
        <v>1</v>
      </c>
      <c r="Y1446" s="12" t="str">
        <f ca="1">IFERROR(__xludf.DUMMYFUNCTION("""COMPUTED_VALUE"""),"School building struck by shot fired during drive-by")</f>
        <v>School building struck by shot fired during drive-by</v>
      </c>
      <c r="Z1446" s="12" t="str">
        <f ca="1">IFERROR(__xludf.DUMMYFUNCTION("""COMPUTED_VALUE"""),"Shots fired during a drive-by shooting struck the school building. No staff or students were inside the building at the time of the shooting.")</f>
        <v>Shots fired during a drive-by shooting struck the school building. No staff or students were inside the building at the time of the shooting.</v>
      </c>
      <c r="AA1446" s="8" t="str">
        <f ca="1">IFERROR(__xludf.DUMMYFUNCTION("""COMPUTED_VALUE"""),"Drive-by Shooting")</f>
        <v>Drive-by Shooting</v>
      </c>
      <c r="AB1446" s="8"/>
      <c r="AC1446" s="8" t="str">
        <f ca="1">IFERROR(__xludf.DUMMYFUNCTION("""COMPUTED_VALUE"""),"No")</f>
        <v>No</v>
      </c>
      <c r="AD1446" s="8" t="str">
        <f ca="1">IFERROR(__xludf.DUMMYFUNCTION("""COMPUTED_VALUE"""),"Victims Targeted")</f>
        <v>Victims Targeted</v>
      </c>
      <c r="AE1446" s="8"/>
      <c r="AF1446" s="8"/>
      <c r="AG1446" s="8" t="str">
        <f ca="1">IFERROR(__xludf.DUMMYFUNCTION("""COMPUTED_VALUE"""),"No")</f>
        <v>No</v>
      </c>
      <c r="AH1446" s="8" t="str">
        <f ca="1">IFERROR(__xludf.DUMMYFUNCTION("""COMPUTED_VALUE"""),"No")</f>
        <v>No</v>
      </c>
      <c r="AI1446" s="8" t="str">
        <f ca="1">IFERROR(__xludf.DUMMYFUNCTION("""COMPUTED_VALUE"""),"No")</f>
        <v>No</v>
      </c>
      <c r="AJ1446" s="8" t="str">
        <f ca="1">IFERROR(__xludf.DUMMYFUNCTION("""COMPUTED_VALUE"""),"No")</f>
        <v>No</v>
      </c>
      <c r="AK1446" s="8" t="str">
        <f ca="1">IFERROR(__xludf.DUMMYFUNCTION("""COMPUTED_VALUE"""),"No")</f>
        <v>No</v>
      </c>
      <c r="AL1446" s="8"/>
      <c r="AM1446" s="8" t="str">
        <f ca="1">IFERROR(__xludf.DUMMYFUNCTION("""COMPUTED_VALUE"""),"No")</f>
        <v>No</v>
      </c>
      <c r="AN1446" s="8"/>
      <c r="AO1446" s="8" t="str">
        <f ca="1">IFERROR(__xludf.DUMMYFUNCTION("""COMPUTED_VALUE"""),"No")</f>
        <v>No</v>
      </c>
      <c r="AP1446" s="8"/>
      <c r="AQ1446" s="8"/>
      <c r="AR1446" s="8" t="str">
        <f ca="1">IFERROR(__xludf.DUMMYFUNCTION("""COMPUTED_VALUE"""),"Outside/Off-Property")</f>
        <v>Outside/Off-Property</v>
      </c>
      <c r="AS1446" s="8"/>
      <c r="AT1446" s="8"/>
      <c r="AU1446" s="8">
        <f ca="1">IFERROR(__xludf.DUMMYFUNCTION("""COMPUTED_VALUE"""),43.160035)</f>
        <v>43.160035000000001</v>
      </c>
      <c r="AV1446" s="8">
        <f ca="1">IFERROR(__xludf.DUMMYFUNCTION("""COMPUTED_VALUE"""),-77.606599)</f>
        <v>-77.606599000000003</v>
      </c>
      <c r="AW1446" s="8"/>
      <c r="AX1446" s="8">
        <f ca="1">IFERROR(__xludf.DUMMYFUNCTION("""COMPUTED_VALUE"""),14604)</f>
        <v>14604</v>
      </c>
    </row>
    <row r="1447" spans="1:50" ht="75" x14ac:dyDescent="0.2">
      <c r="A1447" s="8" t="str">
        <f ca="1">IFERROR(__xludf.DUMMYFUNCTION("""COMPUTED_VALUE"""),"20201026GARIR")</f>
        <v>20201026GARIR</v>
      </c>
      <c r="B1447" s="8">
        <f ca="1">IFERROR(__xludf.DUMMYFUNCTION("""COMPUTED_VALUE"""),10)</f>
        <v>10</v>
      </c>
      <c r="C1447" s="8">
        <f ca="1">IFERROR(__xludf.DUMMYFUNCTION("""COMPUTED_VALUE"""),26)</f>
        <v>26</v>
      </c>
      <c r="D1447" s="8">
        <f ca="1">IFERROR(__xludf.DUMMYFUNCTION("""COMPUTED_VALUE"""),2020)</f>
        <v>2020</v>
      </c>
      <c r="E1447" s="9">
        <f ca="1">IFERROR(__xludf.DUMMYFUNCTION("""COMPUTED_VALUE"""),44130)</f>
        <v>44130</v>
      </c>
      <c r="F1447" s="8" t="str">
        <f ca="1">IFERROR(__xludf.DUMMYFUNCTION("""COMPUTED_VALUE"""),"Riverdale High School")</f>
        <v>Riverdale High School</v>
      </c>
      <c r="G1447" s="8">
        <f ca="1">IFERROR(__xludf.DUMMYFUNCTION("""COMPUTED_VALUE"""),1)</f>
        <v>1</v>
      </c>
      <c r="H1447" s="8">
        <f ca="1">IFERROR(__xludf.DUMMYFUNCTION("""COMPUTED_VALUE"""),0)</f>
        <v>0</v>
      </c>
      <c r="I1447" s="8">
        <f ca="1">IFERROR(__xludf.DUMMYFUNCTION("""COMPUTED_VALUE"""),1)</f>
        <v>1</v>
      </c>
      <c r="J1447" s="8">
        <f ca="1">IFERROR(__xludf.DUMMYFUNCTION("""COMPUTED_VALUE"""),0)</f>
        <v>0</v>
      </c>
      <c r="K1447" s="8" t="str">
        <f ca="1">IFERROR(__xludf.DUMMYFUNCTION("""COMPUTED_VALUE"""),"https://www.fox5atlanta.com/news/suspect-wanted-in-deadly-shooting-outside-riverdale-high-school https://www.fox5atlanta.com/news/suspect-wanted-in-deadly-shooting-outside-riverdale-high-school https://www.wsbtv.com/news/local/clayton-county/1-person-shot"&amp;"-killed-riverdale-high-school-authorities-say/PDEDAQDCXBDLZNI3FH7KTBBKCM/ https://www.11alive.com/article/news/local/riverdale/riverdale-high-school-shooting/85-c35d5768-7b0f-4dd3-86e6-5c396b10d57c https://www.cbs46.com/news/1-dead-in-riverdale-high-schoo"&amp;"l-shooting/article_098c55ca-17e1-11eb-80c3-8fcce50ab0b2.html https://www.fox5atlanta.com/news/police-shooting-on-riverdale-high-school-campus")</f>
        <v>https://www.fox5atlanta.com/news/suspect-wanted-in-deadly-shooting-outside-riverdale-high-school https://www.fox5atlanta.com/news/suspect-wanted-in-deadly-shooting-outside-riverdale-high-school https://www.wsbtv.com/news/local/clayton-county/1-person-shot-killed-riverdale-high-school-authorities-say/PDEDAQDCXBDLZNI3FH7KTBBKCM/ https://www.11alive.com/article/news/local/riverdale/riverdale-high-school-shooting/85-c35d5768-7b0f-4dd3-86e6-5c396b10d57c https://www.cbs46.com/news/1-dead-in-riverdale-high-school-shooting/article_098c55ca-17e1-11eb-80c3-8fcce50ab0b2.html https://www.fox5atlanta.com/news/police-shooting-on-riverdale-high-school-campus</v>
      </c>
      <c r="L1447" s="8">
        <f ca="1">IFERROR(__xludf.DUMMYFUNCTION("""COMPUTED_VALUE"""),6)</f>
        <v>6</v>
      </c>
      <c r="M1447" s="8" t="str">
        <f ca="1">IFERROR(__xludf.DUMMYFUNCTION("""COMPUTED_VALUE"""),"Local")</f>
        <v>Local</v>
      </c>
      <c r="N1447" s="8">
        <f ca="1">IFERROR(__xludf.DUMMYFUNCTION("""COMPUTED_VALUE"""),4)</f>
        <v>4</v>
      </c>
      <c r="O1447" s="8" t="str">
        <f ca="1">IFERROR(__xludf.DUMMYFUNCTION("""COMPUTED_VALUE"""),"Fall")</f>
        <v>Fall</v>
      </c>
      <c r="P1447" s="8" t="str">
        <f ca="1">IFERROR(__xludf.DUMMYFUNCTION("""COMPUTED_VALUE"""),"Riverdale")</f>
        <v>Riverdale</v>
      </c>
      <c r="Q1447" s="8" t="str">
        <f ca="1">IFERROR(__xludf.DUMMYFUNCTION("""COMPUTED_VALUE"""),"GA")</f>
        <v>GA</v>
      </c>
      <c r="R1447" s="8" t="str">
        <f ca="1">IFERROR(__xludf.DUMMYFUNCTION("""COMPUTED_VALUE"""),"High")</f>
        <v>High</v>
      </c>
      <c r="S1447" s="8" t="str">
        <f ca="1">IFERROR(__xludf.DUMMYFUNCTION("""COMPUTED_VALUE"""),"Parking Lot")</f>
        <v>Parking Lot</v>
      </c>
      <c r="T1447" s="8" t="str">
        <f ca="1">IFERROR(__xludf.DUMMYFUNCTION("""COMPUTED_VALUE"""),"Outside on School Property")</f>
        <v>Outside on School Property</v>
      </c>
      <c r="U1447" s="8" t="str">
        <f ca="1">IFERROR(__xludf.DUMMYFUNCTION("""COMPUTED_VALUE"""),"No")</f>
        <v>No</v>
      </c>
      <c r="V1447" s="8" t="str">
        <f ca="1">IFERROR(__xludf.DUMMYFUNCTION("""COMPUTED_VALUE"""),"Evening")</f>
        <v>Evening</v>
      </c>
      <c r="W1447" s="11">
        <f ca="1">IFERROR(__xludf.DUMMYFUNCTION("""COMPUTED_VALUE"""),0.723611111111111)</f>
        <v>0.72361111111111098</v>
      </c>
      <c r="X1447" s="8">
        <f ca="1">IFERROR(__xludf.DUMMYFUNCTION("""COMPUTED_VALUE"""),1)</f>
        <v>1</v>
      </c>
      <c r="Y1447" s="12" t="str">
        <f ca="1">IFERROR(__xludf.DUMMYFUNCTION("""COMPUTED_VALUE"""),"Man shot and killed in school parking lot")</f>
        <v>Man shot and killed in school parking lot</v>
      </c>
      <c r="Z1447" s="12" t="str">
        <f ca="1">IFERROR(__xludf.DUMMYFUNCTION("""COMPUTED_VALUE"""),"A 28 year-old man was shot and killed in the high school parking lot. The school is currently closed for COVID and no students or staff were involved. The shooter fled the scene. Police said the shooter and victims were not affiliated with the school.")</f>
        <v>A 28 year-old man was shot and killed in the high school parking lot. The school is currently closed for COVID and no students or staff were involved. The shooter fled the scene. Police said the shooter and victims were not affiliated with the school.</v>
      </c>
      <c r="AA1447" s="8" t="str">
        <f ca="1">IFERROR(__xludf.DUMMYFUNCTION("""COMPUTED_VALUE"""),"Illegal Activity")</f>
        <v>Illegal Activity</v>
      </c>
      <c r="AB1447" s="8"/>
      <c r="AC1447" s="8" t="str">
        <f ca="1">IFERROR(__xludf.DUMMYFUNCTION("""COMPUTED_VALUE"""),"No")</f>
        <v>No</v>
      </c>
      <c r="AD1447" s="8" t="str">
        <f ca="1">IFERROR(__xludf.DUMMYFUNCTION("""COMPUTED_VALUE"""),"Victims Targeted")</f>
        <v>Victims Targeted</v>
      </c>
      <c r="AE1447" s="8" t="str">
        <f ca="1">IFERROR(__xludf.DUMMYFUNCTION("""COMPUTED_VALUE"""),"Yes")</f>
        <v>Yes</v>
      </c>
      <c r="AF1447" s="8" t="str">
        <f ca="1">IFERROR(__xludf.DUMMYFUNCTION("""COMPUTED_VALUE"""),"Drive of vehicle, passenger was the shooter")</f>
        <v>Drive of vehicle, passenger was the shooter</v>
      </c>
      <c r="AG1447" s="8" t="str">
        <f ca="1">IFERROR(__xludf.DUMMYFUNCTION("""COMPUTED_VALUE"""),"No")</f>
        <v>No</v>
      </c>
      <c r="AH1447" s="8" t="str">
        <f ca="1">IFERROR(__xludf.DUMMYFUNCTION("""COMPUTED_VALUE"""),"No")</f>
        <v>No</v>
      </c>
      <c r="AI1447" s="8" t="str">
        <f ca="1">IFERROR(__xludf.DUMMYFUNCTION("""COMPUTED_VALUE"""),"No")</f>
        <v>No</v>
      </c>
      <c r="AJ1447" s="8" t="str">
        <f ca="1">IFERROR(__xludf.DUMMYFUNCTION("""COMPUTED_VALUE"""),"No")</f>
        <v>No</v>
      </c>
      <c r="AK1447" s="8" t="str">
        <f ca="1">IFERROR(__xludf.DUMMYFUNCTION("""COMPUTED_VALUE"""),"No")</f>
        <v>No</v>
      </c>
      <c r="AL1447" s="8" t="str">
        <f ca="1">IFERROR(__xludf.DUMMYFUNCTION("""COMPUTED_VALUE"""),"No")</f>
        <v>No</v>
      </c>
      <c r="AM1447" s="8" t="str">
        <f ca="1">IFERROR(__xludf.DUMMYFUNCTION("""COMPUTED_VALUE"""),"No")</f>
        <v>No</v>
      </c>
      <c r="AN1447" s="8"/>
      <c r="AO1447" s="8" t="str">
        <f ca="1">IFERROR(__xludf.DUMMYFUNCTION("""COMPUTED_VALUE"""),"No")</f>
        <v>No</v>
      </c>
      <c r="AP1447" s="8"/>
      <c r="AQ1447" s="8"/>
      <c r="AR1447" s="8" t="str">
        <f ca="1">IFERROR(__xludf.DUMMYFUNCTION("""COMPUTED_VALUE"""),"Outside/Off-Property")</f>
        <v>Outside/Off-Property</v>
      </c>
      <c r="AS1447" s="8"/>
      <c r="AT1447" s="8"/>
      <c r="AU1447" s="8">
        <f ca="1">IFERROR(__xludf.DUMMYFUNCTION("""COMPUTED_VALUE"""),33.556627)</f>
        <v>33.556626999999999</v>
      </c>
      <c r="AV1447" s="8">
        <f ca="1">IFERROR(__xludf.DUMMYFUNCTION("""COMPUTED_VALUE"""),-84.402129)</f>
        <v>-84.402129000000002</v>
      </c>
      <c r="AW1447" s="8"/>
      <c r="AX1447" s="8">
        <f ca="1">IFERROR(__xludf.DUMMYFUNCTION("""COMPUTED_VALUE"""),30274)</f>
        <v>30274</v>
      </c>
    </row>
    <row r="1448" spans="1:50" ht="75" x14ac:dyDescent="0.2">
      <c r="A1448" s="8" t="str">
        <f ca="1">IFERROR(__xludf.DUMMYFUNCTION("""COMPUTED_VALUE"""),"20201024CTSTS")</f>
        <v>20201024CTSTS</v>
      </c>
      <c r="B1448" s="8">
        <f ca="1">IFERROR(__xludf.DUMMYFUNCTION("""COMPUTED_VALUE"""),10)</f>
        <v>10</v>
      </c>
      <c r="C1448" s="8">
        <f ca="1">IFERROR(__xludf.DUMMYFUNCTION("""COMPUTED_VALUE"""),24)</f>
        <v>24</v>
      </c>
      <c r="D1448" s="8">
        <f ca="1">IFERROR(__xludf.DUMMYFUNCTION("""COMPUTED_VALUE"""),2020)</f>
        <v>2020</v>
      </c>
      <c r="E1448" s="9">
        <f ca="1">IFERROR(__xludf.DUMMYFUNCTION("""COMPUTED_VALUE"""),44128)</f>
        <v>44128</v>
      </c>
      <c r="F1448" s="8" t="str">
        <f ca="1">IFERROR(__xludf.DUMMYFUNCTION("""COMPUTED_VALUE"""),"Stillwater Elementary School")</f>
        <v>Stillwater Elementary School</v>
      </c>
      <c r="G1448" s="8">
        <f ca="1">IFERROR(__xludf.DUMMYFUNCTION("""COMPUTED_VALUE"""),0)</f>
        <v>0</v>
      </c>
      <c r="H1448" s="8">
        <f ca="1">IFERROR(__xludf.DUMMYFUNCTION("""COMPUTED_VALUE"""),0)</f>
        <v>0</v>
      </c>
      <c r="I1448" s="8">
        <f ca="1">IFERROR(__xludf.DUMMYFUNCTION("""COMPUTED_VALUE"""),0)</f>
        <v>0</v>
      </c>
      <c r="J1448" s="8">
        <f ca="1">IFERROR(__xludf.DUMMYFUNCTION("""COMPUTED_VALUE"""),0)</f>
        <v>0</v>
      </c>
      <c r="K1448" s="10" t="str">
        <f ca="1">IFERROR(__xludf.DUMMYFUNCTION("""COMPUTED_VALUE"""),"https://www.stamfordadvocate.com/policereports/article/Police-Man-shot-early-Tuesday-in-Stamford-15678594.php")</f>
        <v>https://www.stamfordadvocate.com/policereports/article/Police-Man-shot-early-Tuesday-in-Stamford-15678594.php</v>
      </c>
      <c r="L1448" s="8">
        <f ca="1">IFERROR(__xludf.DUMMYFUNCTION("""COMPUTED_VALUE"""),1)</f>
        <v>1</v>
      </c>
      <c r="M1448" s="8" t="str">
        <f ca="1">IFERROR(__xludf.DUMMYFUNCTION("""COMPUTED_VALUE"""),"Local")</f>
        <v>Local</v>
      </c>
      <c r="N1448" s="8">
        <f ca="1">IFERROR(__xludf.DUMMYFUNCTION("""COMPUTED_VALUE"""),3)</f>
        <v>3</v>
      </c>
      <c r="O1448" s="8" t="str">
        <f ca="1">IFERROR(__xludf.DUMMYFUNCTION("""COMPUTED_VALUE"""),"Fall")</f>
        <v>Fall</v>
      </c>
      <c r="P1448" s="8" t="str">
        <f ca="1">IFERROR(__xludf.DUMMYFUNCTION("""COMPUTED_VALUE"""),"Stamford")</f>
        <v>Stamford</v>
      </c>
      <c r="Q1448" s="8" t="str">
        <f ca="1">IFERROR(__xludf.DUMMYFUNCTION("""COMPUTED_VALUE"""),"CT")</f>
        <v>CT</v>
      </c>
      <c r="R1448" s="8" t="str">
        <f ca="1">IFERROR(__xludf.DUMMYFUNCTION("""COMPUTED_VALUE"""),"Elementary")</f>
        <v>Elementary</v>
      </c>
      <c r="S1448" s="8" t="str">
        <f ca="1">IFERROR(__xludf.DUMMYFUNCTION("""COMPUTED_VALUE"""),"Beside Building")</f>
        <v>Beside Building</v>
      </c>
      <c r="T1448" s="8" t="str">
        <f ca="1">IFERROR(__xludf.DUMMYFUNCTION("""COMPUTED_VALUE"""),"Outside on School Property")</f>
        <v>Outside on School Property</v>
      </c>
      <c r="U1448" s="8" t="str">
        <f ca="1">IFERROR(__xludf.DUMMYFUNCTION("""COMPUTED_VALUE"""),"No")</f>
        <v>No</v>
      </c>
      <c r="V1448" s="8" t="str">
        <f ca="1">IFERROR(__xludf.DUMMYFUNCTION("""COMPUTED_VALUE"""),"Night")</f>
        <v>Night</v>
      </c>
      <c r="W1448" s="11">
        <f ca="1">IFERROR(__xludf.DUMMYFUNCTION("""COMPUTED_VALUE"""),0.983333333333333)</f>
        <v>0.98333333333333295</v>
      </c>
      <c r="X1448" s="8">
        <f ca="1">IFERROR(__xludf.DUMMYFUNCTION("""COMPUTED_VALUE"""),1)</f>
        <v>1</v>
      </c>
      <c r="Y1448" s="12" t="str">
        <f ca="1">IFERROR(__xludf.DUMMYFUNCTION("""COMPUTED_VALUE"""),"Shots fired next to school building")</f>
        <v>Shots fired next to school building</v>
      </c>
      <c r="Z1448" s="12" t="str">
        <f ca="1">IFERROR(__xludf.DUMMYFUNCTION("""COMPUTED_VALUE"""),"Police were called for a report of gun shots fired near the school. Police searched the area and found 4 shell casings next to the building. No injuries or damage. No shooter or motive identified. School was closed at the time of the shooting.")</f>
        <v>Police were called for a report of gun shots fired near the school. Police searched the area and found 4 shell casings next to the building. No injuries or damage. No shooter or motive identified. School was closed at the time of the shooting.</v>
      </c>
      <c r="AA1448" s="8"/>
      <c r="AB1448" s="8"/>
      <c r="AC1448" s="8" t="str">
        <f ca="1">IFERROR(__xludf.DUMMYFUNCTION("""COMPUTED_VALUE"""),"No")</f>
        <v>No</v>
      </c>
      <c r="AD1448" s="8"/>
      <c r="AE1448" s="8"/>
      <c r="AF1448" s="8"/>
      <c r="AG1448" s="8" t="str">
        <f ca="1">IFERROR(__xludf.DUMMYFUNCTION("""COMPUTED_VALUE"""),"No")</f>
        <v>No</v>
      </c>
      <c r="AH1448" s="8" t="str">
        <f ca="1">IFERROR(__xludf.DUMMYFUNCTION("""COMPUTED_VALUE"""),"No")</f>
        <v>No</v>
      </c>
      <c r="AI1448" s="8" t="str">
        <f ca="1">IFERROR(__xludf.DUMMYFUNCTION("""COMPUTED_VALUE"""),"No")</f>
        <v>No</v>
      </c>
      <c r="AJ1448" s="8" t="str">
        <f ca="1">IFERROR(__xludf.DUMMYFUNCTION("""COMPUTED_VALUE"""),"No")</f>
        <v>No</v>
      </c>
      <c r="AK1448" s="8"/>
      <c r="AL1448" s="8"/>
      <c r="AM1448" s="8" t="str">
        <f ca="1">IFERROR(__xludf.DUMMYFUNCTION("""COMPUTED_VALUE"""),"No")</f>
        <v>No</v>
      </c>
      <c r="AN1448" s="8"/>
      <c r="AO1448" s="8" t="str">
        <f ca="1">IFERROR(__xludf.DUMMYFUNCTION("""COMPUTED_VALUE"""),"No")</f>
        <v>No</v>
      </c>
      <c r="AP1448" s="8"/>
      <c r="AQ1448" s="8"/>
      <c r="AR1448" s="8" t="str">
        <f ca="1">IFERROR(__xludf.DUMMYFUNCTION("""COMPUTED_VALUE"""),"Outside/Off-Property")</f>
        <v>Outside/Off-Property</v>
      </c>
      <c r="AS1448" s="8">
        <f ca="1">IFERROR(__xludf.DUMMYFUNCTION("""COMPUTED_VALUE"""),4)</f>
        <v>4</v>
      </c>
      <c r="AT1448" s="8"/>
      <c r="AU1448" s="8">
        <f ca="1">IFERROR(__xludf.DUMMYFUNCTION("""COMPUTED_VALUE"""),41.069604)</f>
        <v>41.069603999999998</v>
      </c>
      <c r="AV1448" s="8">
        <f ca="1">IFERROR(__xludf.DUMMYFUNCTION("""COMPUTED_VALUE"""),-73.558623)</f>
        <v>-73.558622999999997</v>
      </c>
      <c r="AW1448" s="8"/>
      <c r="AX1448" s="8">
        <f ca="1">IFERROR(__xludf.DUMMYFUNCTION("""COMPUTED_VALUE"""),6902)</f>
        <v>6902</v>
      </c>
    </row>
    <row r="1449" spans="1:50" ht="75" x14ac:dyDescent="0.2">
      <c r="A1449" s="8" t="str">
        <f ca="1">IFERROR(__xludf.DUMMYFUNCTION("""COMPUTED_VALUE"""),"20201020ARJAP")</f>
        <v>20201020ARJAP</v>
      </c>
      <c r="B1449" s="8">
        <f ca="1">IFERROR(__xludf.DUMMYFUNCTION("""COMPUTED_VALUE"""),10)</f>
        <v>10</v>
      </c>
      <c r="C1449" s="8">
        <f ca="1">IFERROR(__xludf.DUMMYFUNCTION("""COMPUTED_VALUE"""),20)</f>
        <v>20</v>
      </c>
      <c r="D1449" s="8">
        <f ca="1">IFERROR(__xludf.DUMMYFUNCTION("""COMPUTED_VALUE"""),2020)</f>
        <v>2020</v>
      </c>
      <c r="E1449" s="9">
        <f ca="1">IFERROR(__xludf.DUMMYFUNCTION("""COMPUTED_VALUE"""),44124)</f>
        <v>44124</v>
      </c>
      <c r="F1449" s="8" t="str">
        <f ca="1">IFERROR(__xludf.DUMMYFUNCTION("""COMPUTED_VALUE"""),"Jack Robey Junior High School")</f>
        <v>Jack Robey Junior High School</v>
      </c>
      <c r="G1449" s="8">
        <f ca="1">IFERROR(__xludf.DUMMYFUNCTION("""COMPUTED_VALUE"""),1)</f>
        <v>1</v>
      </c>
      <c r="H1449" s="8">
        <f ca="1">IFERROR(__xludf.DUMMYFUNCTION("""COMPUTED_VALUE"""),0)</f>
        <v>0</v>
      </c>
      <c r="I1449" s="8">
        <f ca="1">IFERROR(__xludf.DUMMYFUNCTION("""COMPUTED_VALUE"""),1)</f>
        <v>1</v>
      </c>
      <c r="J1449" s="8">
        <f ca="1">IFERROR(__xludf.DUMMYFUNCTION("""COMPUTED_VALUE"""),0)</f>
        <v>0</v>
      </c>
      <c r="K1449" s="8" t="str">
        <f ca="1">IFERROR(__xludf.DUMMYFUNCTION("""COMPUTED_VALUE"""),"https://www.arkansasonline.com/news/2020/oct/23/no-bail-set-for-teen-arrested-in-killing/ https://www.arkansasonline.com/news/2020/oct/22/teen-found-dead-2nd-boy-in-custody/ https://www.thv11.com/article/news/crime/16-year-old-male-found-dead-on-south-oli"&amp;"ve-street-in-pine-bluff/91-94d1c008-6a44-47e0-8909-3215e005fee2 https://www.newsweek.com/teenager-found-dead-outside-arkansas-junior-high-school-gunshot-wound-1541010 https://wreg.com/news/pine-bluff-police-16-year-old-found-shot-dead-inside-car-near-juni"&amp;"or-high-school-17-year-old-facing-capital-murder-charges/")</f>
        <v>https://www.arkansasonline.com/news/2020/oct/23/no-bail-set-for-teen-arrested-in-killing/ https://www.arkansasonline.com/news/2020/oct/22/teen-found-dead-2nd-boy-in-custody/ https://www.thv11.com/article/news/crime/16-year-old-male-found-dead-on-south-olive-street-in-pine-bluff/91-94d1c008-6a44-47e0-8909-3215e005fee2 https://www.newsweek.com/teenager-found-dead-outside-arkansas-junior-high-school-gunshot-wound-1541010 https://wreg.com/news/pine-bluff-police-16-year-old-found-shot-dead-inside-car-near-junior-high-school-17-year-old-facing-capital-murder-charges/</v>
      </c>
      <c r="L1449" s="8">
        <f ca="1">IFERROR(__xludf.DUMMYFUNCTION("""COMPUTED_VALUE"""),10)</f>
        <v>10</v>
      </c>
      <c r="M1449" s="8" t="str">
        <f ca="1">IFERROR(__xludf.DUMMYFUNCTION("""COMPUTED_VALUE"""),"National")</f>
        <v>National</v>
      </c>
      <c r="N1449" s="8">
        <f ca="1">IFERROR(__xludf.DUMMYFUNCTION("""COMPUTED_VALUE"""),4)</f>
        <v>4</v>
      </c>
      <c r="O1449" s="8" t="str">
        <f ca="1">IFERROR(__xludf.DUMMYFUNCTION("""COMPUTED_VALUE"""),"Fall")</f>
        <v>Fall</v>
      </c>
      <c r="P1449" s="8" t="str">
        <f ca="1">IFERROR(__xludf.DUMMYFUNCTION("""COMPUTED_VALUE"""),"Pine Bluff")</f>
        <v>Pine Bluff</v>
      </c>
      <c r="Q1449" s="8" t="str">
        <f ca="1">IFERROR(__xludf.DUMMYFUNCTION("""COMPUTED_VALUE"""),"AR")</f>
        <v>AR</v>
      </c>
      <c r="R1449" s="8" t="str">
        <f ca="1">IFERROR(__xludf.DUMMYFUNCTION("""COMPUTED_VALUE"""),"Junior High")</f>
        <v>Junior High</v>
      </c>
      <c r="S1449" s="8" t="str">
        <f ca="1">IFERROR(__xludf.DUMMYFUNCTION("""COMPUTED_VALUE"""),"Parking Lot")</f>
        <v>Parking Lot</v>
      </c>
      <c r="T1449" s="8" t="str">
        <f ca="1">IFERROR(__xludf.DUMMYFUNCTION("""COMPUTED_VALUE"""),"Outside on School Property")</f>
        <v>Outside on School Property</v>
      </c>
      <c r="U1449" s="8" t="str">
        <f ca="1">IFERROR(__xludf.DUMMYFUNCTION("""COMPUTED_VALUE"""),"No")</f>
        <v>No</v>
      </c>
      <c r="V1449" s="8" t="str">
        <f ca="1">IFERROR(__xludf.DUMMYFUNCTION("""COMPUTED_VALUE"""),"Night")</f>
        <v>Night</v>
      </c>
      <c r="W1449" s="11">
        <f ca="1">IFERROR(__xludf.DUMMYFUNCTION("""COMPUTED_VALUE"""),0.885416666666666)</f>
        <v>0.88541666666666596</v>
      </c>
      <c r="X1449" s="8">
        <f ca="1">IFERROR(__xludf.DUMMYFUNCTION("""COMPUTED_VALUE"""),1)</f>
        <v>1</v>
      </c>
      <c r="Y1449" s="12" t="str">
        <f ca="1">IFERROR(__xludf.DUMMYFUNCTION("""COMPUTED_VALUE"""),"Teen found shot and killed in vehicle in the school parking lot")</f>
        <v>Teen found shot and killed in vehicle in the school parking lot</v>
      </c>
      <c r="Z1449" s="12" t="str">
        <f ca="1">IFERROR(__xludf.DUMMYFUNCTION("""COMPUTED_VALUE"""),"A 16 year-old male was found fatally shot in the school parking lot. A 17 year-old male was arrested and charged with murder. No other details released by police. Police believe the shooting was retaliation for a fight earlier in the day at a nearby apart"&amp;"ment complex.")</f>
        <v>A 16 year-old male was found fatally shot in the school parking lot. A 17 year-old male was arrested and charged with murder. No other details released by police. Police believe the shooting was retaliation for a fight earlier in the day at a nearby apartment complex.</v>
      </c>
      <c r="AA1449" s="8" t="str">
        <f ca="1">IFERROR(__xludf.DUMMYFUNCTION("""COMPUTED_VALUE"""),"Escalation of Dispute")</f>
        <v>Escalation of Dispute</v>
      </c>
      <c r="AB1449" s="8"/>
      <c r="AC1449" s="8" t="str">
        <f ca="1">IFERROR(__xludf.DUMMYFUNCTION("""COMPUTED_VALUE"""),"No")</f>
        <v>No</v>
      </c>
      <c r="AD1449" s="8" t="str">
        <f ca="1">IFERROR(__xludf.DUMMYFUNCTION("""COMPUTED_VALUE"""),"Victims Targeted")</f>
        <v>Victims Targeted</v>
      </c>
      <c r="AE1449" s="8"/>
      <c r="AF1449" s="8"/>
      <c r="AG1449" s="8" t="str">
        <f ca="1">IFERROR(__xludf.DUMMYFUNCTION("""COMPUTED_VALUE"""),"No")</f>
        <v>No</v>
      </c>
      <c r="AH1449" s="8" t="str">
        <f ca="1">IFERROR(__xludf.DUMMYFUNCTION("""COMPUTED_VALUE"""),"No")</f>
        <v>No</v>
      </c>
      <c r="AI1449" s="8" t="str">
        <f ca="1">IFERROR(__xludf.DUMMYFUNCTION("""COMPUTED_VALUE"""),"No")</f>
        <v>No</v>
      </c>
      <c r="AJ1449" s="8" t="str">
        <f ca="1">IFERROR(__xludf.DUMMYFUNCTION("""COMPUTED_VALUE"""),"No")</f>
        <v>No</v>
      </c>
      <c r="AK1449" s="8" t="str">
        <f ca="1">IFERROR(__xludf.DUMMYFUNCTION("""COMPUTED_VALUE"""),"No")</f>
        <v>No</v>
      </c>
      <c r="AL1449" s="8" t="str">
        <f ca="1">IFERROR(__xludf.DUMMYFUNCTION("""COMPUTED_VALUE"""),"Yes")</f>
        <v>Yes</v>
      </c>
      <c r="AM1449" s="8" t="str">
        <f ca="1">IFERROR(__xludf.DUMMYFUNCTION("""COMPUTED_VALUE"""),"No")</f>
        <v>No</v>
      </c>
      <c r="AN1449" s="8"/>
      <c r="AO1449" s="8" t="str">
        <f ca="1">IFERROR(__xludf.DUMMYFUNCTION("""COMPUTED_VALUE"""),"No")</f>
        <v>No</v>
      </c>
      <c r="AP1449" s="8"/>
      <c r="AQ1449" s="8"/>
      <c r="AR1449" s="8" t="str">
        <f ca="1">IFERROR(__xludf.DUMMYFUNCTION("""COMPUTED_VALUE"""),"Outside/Off-Property")</f>
        <v>Outside/Off-Property</v>
      </c>
      <c r="AS1449" s="8"/>
      <c r="AT1449" s="8"/>
      <c r="AU1449" s="8">
        <f ca="1">IFERROR(__xludf.DUMMYFUNCTION("""COMPUTED_VALUE"""),34.189113)</f>
        <v>34.189112999999999</v>
      </c>
      <c r="AV1449" s="8">
        <f ca="1">IFERROR(__xludf.DUMMYFUNCTION("""COMPUTED_VALUE"""),-92.004448)</f>
        <v>-92.004447999999996</v>
      </c>
      <c r="AW1449" s="8"/>
      <c r="AX1449" s="8">
        <f ca="1">IFERROR(__xludf.DUMMYFUNCTION("""COMPUTED_VALUE"""),71603)</f>
        <v>71603</v>
      </c>
    </row>
    <row r="1450" spans="1:50" ht="60" x14ac:dyDescent="0.2">
      <c r="A1450" s="8" t="str">
        <f ca="1">IFERROR(__xludf.DUMMYFUNCTION("""COMPUTED_VALUE"""),"20201018KYSEL")</f>
        <v>20201018KYSEL</v>
      </c>
      <c r="B1450" s="8">
        <f ca="1">IFERROR(__xludf.DUMMYFUNCTION("""COMPUTED_VALUE"""),10)</f>
        <v>10</v>
      </c>
      <c r="C1450" s="8">
        <f ca="1">IFERROR(__xludf.DUMMYFUNCTION("""COMPUTED_VALUE"""),18)</f>
        <v>18</v>
      </c>
      <c r="D1450" s="8">
        <f ca="1">IFERROR(__xludf.DUMMYFUNCTION("""COMPUTED_VALUE"""),2020)</f>
        <v>2020</v>
      </c>
      <c r="E1450" s="9">
        <f ca="1">IFERROR(__xludf.DUMMYFUNCTION("""COMPUTED_VALUE"""),44122)</f>
        <v>44122</v>
      </c>
      <c r="F1450" s="8" t="str">
        <f ca="1">IFERROR(__xludf.DUMMYFUNCTION("""COMPUTED_VALUE"""),"Seneca High School")</f>
        <v>Seneca High School</v>
      </c>
      <c r="G1450" s="8">
        <f ca="1">IFERROR(__xludf.DUMMYFUNCTION("""COMPUTED_VALUE"""),0)</f>
        <v>0</v>
      </c>
      <c r="H1450" s="8">
        <f ca="1">IFERROR(__xludf.DUMMYFUNCTION("""COMPUTED_VALUE"""),3)</f>
        <v>3</v>
      </c>
      <c r="I1450" s="8">
        <f ca="1">IFERROR(__xludf.DUMMYFUNCTION("""COMPUTED_VALUE"""),3)</f>
        <v>3</v>
      </c>
      <c r="J1450" s="8">
        <f ca="1">IFERROR(__xludf.DUMMYFUNCTION("""COMPUTED_VALUE"""),0)</f>
        <v>0</v>
      </c>
      <c r="K1450" s="8" t="str">
        <f ca="1">IFERROR(__xludf.DUMMYFUNCTION("""COMPUTED_VALUE"""),"https://www.whas11.com/article/news/crime/multiple-shot-at-seneca-high-school-oct-18/417-015fa83b-e6b2-4efc-8829-306ae56b8d42 https://www.wdrb.com/news/wdrb-video/three-juveniles-shot-in-parking-lot-of-seneca-high-school-expected-to-recover-police-say/vid"&amp;"eo_fee090f5-5933-51df-977c-170d263d2410.html https://www.courier-journal.com/story/news/crime/2020/10/18/seneca-high-school-shooting-sunday-louisville/3704035001/")</f>
        <v>https://www.whas11.com/article/news/crime/multiple-shot-at-seneca-high-school-oct-18/417-015fa83b-e6b2-4efc-8829-306ae56b8d42 https://www.wdrb.com/news/wdrb-video/three-juveniles-shot-in-parking-lot-of-seneca-high-school-expected-to-recover-police-say/video_fee090f5-5933-51df-977c-170d263d2410.html https://www.courier-journal.com/story/news/crime/2020/10/18/seneca-high-school-shooting-sunday-louisville/3704035001/</v>
      </c>
      <c r="L1450" s="8">
        <f ca="1">IFERROR(__xludf.DUMMYFUNCTION("""COMPUTED_VALUE"""),3)</f>
        <v>3</v>
      </c>
      <c r="M1450" s="8" t="str">
        <f ca="1">IFERROR(__xludf.DUMMYFUNCTION("""COMPUTED_VALUE"""),"Local")</f>
        <v>Local</v>
      </c>
      <c r="N1450" s="8">
        <f ca="1">IFERROR(__xludf.DUMMYFUNCTION("""COMPUTED_VALUE"""),4)</f>
        <v>4</v>
      </c>
      <c r="O1450" s="8" t="str">
        <f ca="1">IFERROR(__xludf.DUMMYFUNCTION("""COMPUTED_VALUE"""),"Fall")</f>
        <v>Fall</v>
      </c>
      <c r="P1450" s="8" t="str">
        <f ca="1">IFERROR(__xludf.DUMMYFUNCTION("""COMPUTED_VALUE"""),"Louisville")</f>
        <v>Louisville</v>
      </c>
      <c r="Q1450" s="8" t="str">
        <f ca="1">IFERROR(__xludf.DUMMYFUNCTION("""COMPUTED_VALUE"""),"KY")</f>
        <v>KY</v>
      </c>
      <c r="R1450" s="8" t="str">
        <f ca="1">IFERROR(__xludf.DUMMYFUNCTION("""COMPUTED_VALUE"""),"High")</f>
        <v>High</v>
      </c>
      <c r="S1450" s="8" t="str">
        <f ca="1">IFERROR(__xludf.DUMMYFUNCTION("""COMPUTED_VALUE"""),"Parking Lot (Bus)")</f>
        <v>Parking Lot (Bus)</v>
      </c>
      <c r="T1450" s="8" t="str">
        <f ca="1">IFERROR(__xludf.DUMMYFUNCTION("""COMPUTED_VALUE"""),"Outside on School Property")</f>
        <v>Outside on School Property</v>
      </c>
      <c r="U1450" s="8" t="str">
        <f ca="1">IFERROR(__xludf.DUMMYFUNCTION("""COMPUTED_VALUE"""),"No")</f>
        <v>No</v>
      </c>
      <c r="V1450" s="8" t="str">
        <f ca="1">IFERROR(__xludf.DUMMYFUNCTION("""COMPUTED_VALUE"""),"Not a School Day")</f>
        <v>Not a School Day</v>
      </c>
      <c r="W1450" s="11">
        <f ca="1">IFERROR(__xludf.DUMMYFUNCTION("""COMPUTED_VALUE"""),0.559722222222222)</f>
        <v>0.55972222222222201</v>
      </c>
      <c r="X1450" s="8">
        <f ca="1">IFERROR(__xludf.DUMMYFUNCTION("""COMPUTED_VALUE"""),1)</f>
        <v>1</v>
      </c>
      <c r="Y1450" s="12" t="str">
        <f ca="1">IFERROR(__xludf.DUMMYFUNCTION("""COMPUTED_VALUE"""),"Three teens shot in school parking lot")</f>
        <v>Three teens shot in school parking lot</v>
      </c>
      <c r="Z1450" s="12" t="str">
        <f ca="1">IFERROR(__xludf.DUMMYFUNCTION("""COMPUTED_VALUE"""),"Three teens were shot and wounded in the parking lot of the school. The school is closed due to COVID and the shooting was not related to any school activities. Shooter fled the scene. Victims were transported to the hospital.")</f>
        <v>Three teens were shot and wounded in the parking lot of the school. The school is closed due to COVID and the shooting was not related to any school activities. Shooter fled the scene. Victims were transported to the hospital.</v>
      </c>
      <c r="AA1450" s="8"/>
      <c r="AB1450" s="8"/>
      <c r="AC1450" s="8" t="str">
        <f ca="1">IFERROR(__xludf.DUMMYFUNCTION("""COMPUTED_VALUE"""),"No")</f>
        <v>No</v>
      </c>
      <c r="AD1450" s="8"/>
      <c r="AE1450" s="8"/>
      <c r="AF1450" s="8"/>
      <c r="AG1450" s="8" t="str">
        <f ca="1">IFERROR(__xludf.DUMMYFUNCTION("""COMPUTED_VALUE"""),"No")</f>
        <v>No</v>
      </c>
      <c r="AH1450" s="8" t="str">
        <f ca="1">IFERROR(__xludf.DUMMYFUNCTION("""COMPUTED_VALUE"""),"No")</f>
        <v>No</v>
      </c>
      <c r="AI1450" s="8" t="str">
        <f ca="1">IFERROR(__xludf.DUMMYFUNCTION("""COMPUTED_VALUE"""),"No")</f>
        <v>No</v>
      </c>
      <c r="AJ1450" s="8" t="str">
        <f ca="1">IFERROR(__xludf.DUMMYFUNCTION("""COMPUTED_VALUE"""),"No")</f>
        <v>No</v>
      </c>
      <c r="AK1450" s="8" t="str">
        <f ca="1">IFERROR(__xludf.DUMMYFUNCTION("""COMPUTED_VALUE"""),"No")</f>
        <v>No</v>
      </c>
      <c r="AL1450" s="8"/>
      <c r="AM1450" s="8" t="str">
        <f ca="1">IFERROR(__xludf.DUMMYFUNCTION("""COMPUTED_VALUE"""),"No")</f>
        <v>No</v>
      </c>
      <c r="AN1450" s="8"/>
      <c r="AO1450" s="8" t="str">
        <f ca="1">IFERROR(__xludf.DUMMYFUNCTION("""COMPUTED_VALUE"""),"No")</f>
        <v>No</v>
      </c>
      <c r="AP1450" s="8"/>
      <c r="AQ1450" s="8"/>
      <c r="AR1450" s="8" t="str">
        <f ca="1">IFERROR(__xludf.DUMMYFUNCTION("""COMPUTED_VALUE"""),"Outside/Off-Property")</f>
        <v>Outside/Off-Property</v>
      </c>
      <c r="AS1450" s="8"/>
      <c r="AT1450" s="8"/>
      <c r="AU1450" s="8">
        <f ca="1">IFERROR(__xludf.DUMMYFUNCTION("""COMPUTED_VALUE"""),38.207416)</f>
        <v>38.207416000000002</v>
      </c>
      <c r="AV1450" s="8">
        <f ca="1">IFERROR(__xludf.DUMMYFUNCTION("""COMPUTED_VALUE"""),-85.655027)</f>
        <v>-85.655027000000004</v>
      </c>
      <c r="AW1450" s="8"/>
      <c r="AX1450" s="8">
        <f ca="1">IFERROR(__xludf.DUMMYFUNCTION("""COMPUTED_VALUE"""),40220)</f>
        <v>40220</v>
      </c>
    </row>
    <row r="1451" spans="1:50" ht="135" x14ac:dyDescent="0.2">
      <c r="A1451" s="8" t="str">
        <f ca="1">IFERROR(__xludf.DUMMYFUNCTION("""COMPUTED_VALUE"""),"20201014WAWAS")</f>
        <v>20201014WAWAS</v>
      </c>
      <c r="B1451" s="8">
        <f ca="1">IFERROR(__xludf.DUMMYFUNCTION("""COMPUTED_VALUE"""),10)</f>
        <v>10</v>
      </c>
      <c r="C1451" s="8">
        <f ca="1">IFERROR(__xludf.DUMMYFUNCTION("""COMPUTED_VALUE"""),14)</f>
        <v>14</v>
      </c>
      <c r="D1451" s="8">
        <f ca="1">IFERROR(__xludf.DUMMYFUNCTION("""COMPUTED_VALUE"""),2020)</f>
        <v>2020</v>
      </c>
      <c r="E1451" s="9">
        <f ca="1">IFERROR(__xludf.DUMMYFUNCTION("""COMPUTED_VALUE"""),44118)</f>
        <v>44118</v>
      </c>
      <c r="F1451" s="8" t="str">
        <f ca="1">IFERROR(__xludf.DUMMYFUNCTION("""COMPUTED_VALUE"""),"Washington Elementary School")</f>
        <v>Washington Elementary School</v>
      </c>
      <c r="G1451" s="8">
        <f ca="1">IFERROR(__xludf.DUMMYFUNCTION("""COMPUTED_VALUE"""),0)</f>
        <v>0</v>
      </c>
      <c r="H1451" s="8">
        <f ca="1">IFERROR(__xludf.DUMMYFUNCTION("""COMPUTED_VALUE"""),0)</f>
        <v>0</v>
      </c>
      <c r="I1451" s="8">
        <f ca="1">IFERROR(__xludf.DUMMYFUNCTION("""COMPUTED_VALUE"""),0)</f>
        <v>0</v>
      </c>
      <c r="J1451" s="8">
        <f ca="1">IFERROR(__xludf.DUMMYFUNCTION("""COMPUTED_VALUE"""),0)</f>
        <v>0</v>
      </c>
      <c r="K1451" s="8" t="str">
        <f ca="1">IFERROR(__xludf.DUMMYFUNCTION("""COMPUTED_VALUE"""),"https://www.yakimaherald.com/news/crime_and_courts/men-face-assault-charges-in-sunnyside-drive-by-shooting-that-threatened-students-school/article_e906b58d-6edc-5998-80f6-557a8fa6532a.html https://www.yakimaherald.com/news/crime_and_courts/police-say-sunn"&amp;"yside-drive-by-shooting-threatened-students-and-school-staff/article_e6024979-ea8e-57f6-b2aa-2fcb3512f67c.html https://www.yakimaherald.com/news/crime_and_courts/police-say-sunnyside-drive-by-shooting-threatened-students-and-school-staff/article_e6024979-"&amp;"ea8e-57f6-b2aa-2fcb3512f67c.html")</f>
        <v>https://www.yakimaherald.com/news/crime_and_courts/men-face-assault-charges-in-sunnyside-drive-by-shooting-that-threatened-students-school/article_e906b58d-6edc-5998-80f6-557a8fa6532a.html https://www.yakimaherald.com/news/crime_and_courts/police-say-sunnyside-drive-by-shooting-threatened-students-and-school-staff/article_e6024979-ea8e-57f6-b2aa-2fcb3512f67c.html https://www.yakimaherald.com/news/crime_and_courts/police-say-sunnyside-drive-by-shooting-threatened-students-and-school-staff/article_e6024979-ea8e-57f6-b2aa-2fcb3512f67c.html</v>
      </c>
      <c r="L1451" s="8">
        <f ca="1">IFERROR(__xludf.DUMMYFUNCTION("""COMPUTED_VALUE"""),2)</f>
        <v>2</v>
      </c>
      <c r="M1451" s="8" t="str">
        <f ca="1">IFERROR(__xludf.DUMMYFUNCTION("""COMPUTED_VALUE"""),"Local")</f>
        <v>Local</v>
      </c>
      <c r="N1451" s="8">
        <f ca="1">IFERROR(__xludf.DUMMYFUNCTION("""COMPUTED_VALUE"""),3)</f>
        <v>3</v>
      </c>
      <c r="O1451" s="8" t="str">
        <f ca="1">IFERROR(__xludf.DUMMYFUNCTION("""COMPUTED_VALUE"""),"Fall")</f>
        <v>Fall</v>
      </c>
      <c r="P1451" s="8" t="str">
        <f ca="1">IFERROR(__xludf.DUMMYFUNCTION("""COMPUTED_VALUE"""),"Sunnyside")</f>
        <v>Sunnyside</v>
      </c>
      <c r="Q1451" s="8" t="str">
        <f ca="1">IFERROR(__xludf.DUMMYFUNCTION("""COMPUTED_VALUE"""),"WA")</f>
        <v>WA</v>
      </c>
      <c r="R1451" s="8" t="str">
        <f ca="1">IFERROR(__xludf.DUMMYFUNCTION("""COMPUTED_VALUE"""),"Elementary")</f>
        <v>Elementary</v>
      </c>
      <c r="S1451" s="8" t="str">
        <f ca="1">IFERROR(__xludf.DUMMYFUNCTION("""COMPUTED_VALUE"""),"Front of School")</f>
        <v>Front of School</v>
      </c>
      <c r="T1451" s="8" t="str">
        <f ca="1">IFERROR(__xludf.DUMMYFUNCTION("""COMPUTED_VALUE"""),"Off School Property")</f>
        <v>Off School Property</v>
      </c>
      <c r="U1451" s="8" t="str">
        <f ca="1">IFERROR(__xludf.DUMMYFUNCTION("""COMPUTED_VALUE"""),"Yes")</f>
        <v>Yes</v>
      </c>
      <c r="V1451" s="8" t="str">
        <f ca="1">IFERROR(__xludf.DUMMYFUNCTION("""COMPUTED_VALUE"""),"Morning Classes")</f>
        <v>Morning Classes</v>
      </c>
      <c r="W1451" s="11">
        <f ca="1">IFERROR(__xludf.DUMMYFUNCTION("""COMPUTED_VALUE"""),0.444444444444444)</f>
        <v>0.44444444444444398</v>
      </c>
      <c r="X1451" s="8">
        <f ca="1">IFERROR(__xludf.DUMMYFUNCTION("""COMPUTED_VALUE"""),1)</f>
        <v>1</v>
      </c>
      <c r="Y1451" s="12" t="str">
        <f ca="1">IFERROR(__xludf.DUMMYFUNCTION("""COMPUTED_VALUE"""),"Shots from drive-by shooting struck occupied school building")</f>
        <v>Shots from drive-by shooting struck occupied school building</v>
      </c>
      <c r="Z1451" s="12" t="str">
        <f ca="1">IFERROR(__xludf.DUMMYFUNCTION("""COMPUTED_VALUE"""),"Two men in an SUV fired shots at a third man in a different vehicle following a traffic dispute. Shots struck the school building and broke a window of a classroom with a school employee inside near the window. 60 employees were inside the school at the t"&amp;"ime of the shooting. Shots fired also struck two different residences with students inside attending virtual classes. One bullet missed a child by inches. No students were inside the school and no school staff were injured.")</f>
        <v>Two men in an SUV fired shots at a third man in a different vehicle following a traffic dispute. Shots struck the school building and broke a window of a classroom with a school employee inside near the window. 60 employees were inside the school at the time of the shooting. Shots fired also struck two different residences with students inside attending virtual classes. One bullet missed a child by inches. No students were inside the school and no school staff were injured.</v>
      </c>
      <c r="AA1451" s="8" t="str">
        <f ca="1">IFERROR(__xludf.DUMMYFUNCTION("""COMPUTED_VALUE"""),"Drive-by Shooting")</f>
        <v>Drive-by Shooting</v>
      </c>
      <c r="AB1451" s="8"/>
      <c r="AC1451" s="8" t="str">
        <f ca="1">IFERROR(__xludf.DUMMYFUNCTION("""COMPUTED_VALUE"""),"No")</f>
        <v>No</v>
      </c>
      <c r="AD1451" s="8" t="str">
        <f ca="1">IFERROR(__xludf.DUMMYFUNCTION("""COMPUTED_VALUE"""),"Victims Targeted")</f>
        <v>Victims Targeted</v>
      </c>
      <c r="AE1451" s="8" t="str">
        <f ca="1">IFERROR(__xludf.DUMMYFUNCTION("""COMPUTED_VALUE"""),"Yes")</f>
        <v>Yes</v>
      </c>
      <c r="AF1451" s="8" t="str">
        <f ca="1">IFERROR(__xludf.DUMMYFUNCTION("""COMPUTED_VALUE"""),"Two men fired shots at a third man")</f>
        <v>Two men fired shots at a third man</v>
      </c>
      <c r="AG1451" s="8" t="str">
        <f ca="1">IFERROR(__xludf.DUMMYFUNCTION("""COMPUTED_VALUE"""),"No")</f>
        <v>No</v>
      </c>
      <c r="AH1451" s="8" t="str">
        <f ca="1">IFERROR(__xludf.DUMMYFUNCTION("""COMPUTED_VALUE"""),"No")</f>
        <v>No</v>
      </c>
      <c r="AI1451" s="8" t="str">
        <f ca="1">IFERROR(__xludf.DUMMYFUNCTION("""COMPUTED_VALUE"""),"No")</f>
        <v>No</v>
      </c>
      <c r="AJ1451" s="8" t="str">
        <f ca="1">IFERROR(__xludf.DUMMYFUNCTION("""COMPUTED_VALUE"""),"No")</f>
        <v>No</v>
      </c>
      <c r="AK1451" s="8" t="str">
        <f ca="1">IFERROR(__xludf.DUMMYFUNCTION("""COMPUTED_VALUE"""),"No")</f>
        <v>No</v>
      </c>
      <c r="AL1451" s="8" t="str">
        <f ca="1">IFERROR(__xludf.DUMMYFUNCTION("""COMPUTED_VALUE"""),"No")</f>
        <v>No</v>
      </c>
      <c r="AM1451" s="8" t="str">
        <f ca="1">IFERROR(__xludf.DUMMYFUNCTION("""COMPUTED_VALUE"""),"No")</f>
        <v>No</v>
      </c>
      <c r="AN1451" s="8"/>
      <c r="AO1451" s="8" t="str">
        <f ca="1">IFERROR(__xludf.DUMMYFUNCTION("""COMPUTED_VALUE"""),"No")</f>
        <v>No</v>
      </c>
      <c r="AP1451" s="8"/>
      <c r="AQ1451" s="8"/>
      <c r="AR1451" s="8" t="str">
        <f ca="1">IFERROR(__xludf.DUMMYFUNCTION("""COMPUTED_VALUE"""),"Outside/Off-Property")</f>
        <v>Outside/Off-Property</v>
      </c>
      <c r="AS1451" s="8">
        <f ca="1">IFERROR(__xludf.DUMMYFUNCTION("""COMPUTED_VALUE"""),40)</f>
        <v>40</v>
      </c>
      <c r="AT1451" s="8"/>
      <c r="AU1451" s="8">
        <f ca="1">IFERROR(__xludf.DUMMYFUNCTION("""COMPUTED_VALUE"""),46.320017)</f>
        <v>46.320017</v>
      </c>
      <c r="AV1451" s="8">
        <f ca="1">IFERROR(__xludf.DUMMYFUNCTION("""COMPUTED_VALUE"""),-120.008598)</f>
        <v>-120.00859800000001</v>
      </c>
      <c r="AW1451" s="8"/>
      <c r="AX1451" s="8">
        <f ca="1">IFERROR(__xludf.DUMMYFUNCTION("""COMPUTED_VALUE"""),98944)</f>
        <v>98944</v>
      </c>
    </row>
    <row r="1452" spans="1:50" ht="75" x14ac:dyDescent="0.2">
      <c r="A1452" s="8" t="str">
        <f ca="1">IFERROR(__xludf.DUMMYFUNCTION("""COMPUTED_VALUE"""),"20201014PABRB")</f>
        <v>20201014PABRB</v>
      </c>
      <c r="B1452" s="8">
        <f ca="1">IFERROR(__xludf.DUMMYFUNCTION("""COMPUTED_VALUE"""),10)</f>
        <v>10</v>
      </c>
      <c r="C1452" s="8">
        <f ca="1">IFERROR(__xludf.DUMMYFUNCTION("""COMPUTED_VALUE"""),14)</f>
        <v>14</v>
      </c>
      <c r="D1452" s="8">
        <f ca="1">IFERROR(__xludf.DUMMYFUNCTION("""COMPUTED_VALUE"""),2020)</f>
        <v>2020</v>
      </c>
      <c r="E1452" s="9">
        <f ca="1">IFERROR(__xludf.DUMMYFUNCTION("""COMPUTED_VALUE"""),44118)</f>
        <v>44118</v>
      </c>
      <c r="F1452" s="8" t="str">
        <f ca="1">IFERROR(__xludf.DUMMYFUNCTION("""COMPUTED_VALUE"""),"Bradford Area School District")</f>
        <v>Bradford Area School District</v>
      </c>
      <c r="G1452" s="8">
        <f ca="1">IFERROR(__xludf.DUMMYFUNCTION("""COMPUTED_VALUE"""),0)</f>
        <v>0</v>
      </c>
      <c r="H1452" s="8">
        <f ca="1">IFERROR(__xludf.DUMMYFUNCTION("""COMPUTED_VALUE"""),0)</f>
        <v>0</v>
      </c>
      <c r="I1452" s="8">
        <f ca="1">IFERROR(__xludf.DUMMYFUNCTION("""COMPUTED_VALUE"""),0)</f>
        <v>0</v>
      </c>
      <c r="J1452" s="8">
        <f ca="1">IFERROR(__xludf.DUMMYFUNCTION("""COMPUTED_VALUE"""),0)</f>
        <v>0</v>
      </c>
      <c r="K1452" s="10" t="str">
        <f ca="1">IFERROR(__xludf.DUMMYFUNCTION("""COMPUTED_VALUE"""),"http://www.bradfordera.com/news/local/no-injuries-when-school-bus-shot-by-bb-gun-wednesday/article_5e809a44-23b0-5f69-a54c-b2ae8799785b.html")</f>
        <v>http://www.bradfordera.com/news/local/no-injuries-when-school-bus-shot-by-bb-gun-wednesday/article_5e809a44-23b0-5f69-a54c-b2ae8799785b.html</v>
      </c>
      <c r="L1452" s="8">
        <f ca="1">IFERROR(__xludf.DUMMYFUNCTION("""COMPUTED_VALUE"""),1)</f>
        <v>1</v>
      </c>
      <c r="M1452" s="8" t="str">
        <f ca="1">IFERROR(__xludf.DUMMYFUNCTION("""COMPUTED_VALUE"""),"Local")</f>
        <v>Local</v>
      </c>
      <c r="N1452" s="8">
        <f ca="1">IFERROR(__xludf.DUMMYFUNCTION("""COMPUTED_VALUE"""),3)</f>
        <v>3</v>
      </c>
      <c r="O1452" s="8" t="str">
        <f ca="1">IFERROR(__xludf.DUMMYFUNCTION("""COMPUTED_VALUE"""),"Fall")</f>
        <v>Fall</v>
      </c>
      <c r="P1452" s="8" t="str">
        <f ca="1">IFERROR(__xludf.DUMMYFUNCTION("""COMPUTED_VALUE"""),"Bradford")</f>
        <v>Bradford</v>
      </c>
      <c r="Q1452" s="8" t="str">
        <f ca="1">IFERROR(__xludf.DUMMYFUNCTION("""COMPUTED_VALUE"""),"PA")</f>
        <v>PA</v>
      </c>
      <c r="R1452" s="8"/>
      <c r="S1452" s="8" t="str">
        <f ca="1">IFERROR(__xludf.DUMMYFUNCTION("""COMPUTED_VALUE"""),"School Bus")</f>
        <v>School Bus</v>
      </c>
      <c r="T1452" s="8" t="str">
        <f ca="1">IFERROR(__xludf.DUMMYFUNCTION("""COMPUTED_VALUE"""),"School Bus")</f>
        <v>School Bus</v>
      </c>
      <c r="U1452" s="8" t="str">
        <f ca="1">IFERROR(__xludf.DUMMYFUNCTION("""COMPUTED_VALUE"""),"Yes")</f>
        <v>Yes</v>
      </c>
      <c r="V1452" s="8" t="str">
        <f ca="1">IFERROR(__xludf.DUMMYFUNCTION("""COMPUTED_VALUE"""),"After School")</f>
        <v>After School</v>
      </c>
      <c r="W1452" s="8"/>
      <c r="X1452" s="8">
        <f ca="1">IFERROR(__xludf.DUMMYFUNCTION("""COMPUTED_VALUE"""),1)</f>
        <v>1</v>
      </c>
      <c r="Y1452" s="12" t="str">
        <f ca="1">IFERROR(__xludf.DUMMYFUNCTION("""COMPUTED_VALUE"""),"School bus window behind driver's head struck by BB")</f>
        <v>School bus window behind driver's head struck by BB</v>
      </c>
      <c r="Z1452" s="12" t="str">
        <f ca="1">IFERROR(__xludf.DUMMYFUNCTION("""COMPUTED_VALUE"""),"A school bus driver heard a crack and stopped the school bus. The driver found a bullet hole in the window behind the driver's seat. Police were notified and identified a 11 year-old boy with a BB gun nearby. No students were on the bus at the time of the"&amp;" shooting.")</f>
        <v>A school bus driver heard a crack and stopped the school bus. The driver found a bullet hole in the window behind the driver's seat. Police were notified and identified a 11 year-old boy with a BB gun nearby. No students were on the bus at the time of the shooting.</v>
      </c>
      <c r="AA1452" s="8" t="str">
        <f ca="1">IFERROR(__xludf.DUMMYFUNCTION("""COMPUTED_VALUE"""),"Intentional Property Damage")</f>
        <v>Intentional Property Damage</v>
      </c>
      <c r="AB1452" s="8"/>
      <c r="AC1452" s="8" t="str">
        <f ca="1">IFERROR(__xludf.DUMMYFUNCTION("""COMPUTED_VALUE"""),"Yes")</f>
        <v>Yes</v>
      </c>
      <c r="AD1452" s="8" t="str">
        <f ca="1">IFERROR(__xludf.DUMMYFUNCTION("""COMPUTED_VALUE"""),"Neither")</f>
        <v>Neither</v>
      </c>
      <c r="AE1452" s="8" t="str">
        <f ca="1">IFERROR(__xludf.DUMMYFUNCTION("""COMPUTED_VALUE"""),"No")</f>
        <v>No</v>
      </c>
      <c r="AF1452" s="8"/>
      <c r="AG1452" s="8" t="str">
        <f ca="1">IFERROR(__xludf.DUMMYFUNCTION("""COMPUTED_VALUE"""),"No")</f>
        <v>No</v>
      </c>
      <c r="AH1452" s="8" t="str">
        <f ca="1">IFERROR(__xludf.DUMMYFUNCTION("""COMPUTED_VALUE"""),"No")</f>
        <v>No</v>
      </c>
      <c r="AI1452" s="8" t="str">
        <f ca="1">IFERROR(__xludf.DUMMYFUNCTION("""COMPUTED_VALUE"""),"No")</f>
        <v>No</v>
      </c>
      <c r="AJ1452" s="8" t="str">
        <f ca="1">IFERROR(__xludf.DUMMYFUNCTION("""COMPUTED_VALUE"""),"No")</f>
        <v>No</v>
      </c>
      <c r="AK1452" s="8" t="str">
        <f ca="1">IFERROR(__xludf.DUMMYFUNCTION("""COMPUTED_VALUE"""),"No")</f>
        <v>No</v>
      </c>
      <c r="AL1452" s="8" t="str">
        <f ca="1">IFERROR(__xludf.DUMMYFUNCTION("""COMPUTED_VALUE"""),"No")</f>
        <v>No</v>
      </c>
      <c r="AM1452" s="8" t="str">
        <f ca="1">IFERROR(__xludf.DUMMYFUNCTION("""COMPUTED_VALUE"""),"No")</f>
        <v>No</v>
      </c>
      <c r="AN1452" s="8"/>
      <c r="AO1452" s="8" t="str">
        <f ca="1">IFERROR(__xludf.DUMMYFUNCTION("""COMPUTED_VALUE"""),"No")</f>
        <v>No</v>
      </c>
      <c r="AP1452" s="8"/>
      <c r="AQ1452" s="8"/>
      <c r="AR1452" s="8"/>
      <c r="AS1452" s="8"/>
      <c r="AT1452" s="8"/>
      <c r="AU1452" s="8">
        <f ca="1">IFERROR(__xludf.DUMMYFUNCTION("""COMPUTED_VALUE"""),41.929425)</f>
        <v>41.929425000000002</v>
      </c>
      <c r="AV1452" s="8">
        <f ca="1">IFERROR(__xludf.DUMMYFUNCTION("""COMPUTED_VALUE"""),-78.652903)</f>
        <v>-78.652902999999995</v>
      </c>
      <c r="AW1452" s="8"/>
      <c r="AX1452" s="8">
        <f ca="1">IFERROR(__xludf.DUMMYFUNCTION("""COMPUTED_VALUE"""),16701)</f>
        <v>16701</v>
      </c>
    </row>
    <row r="1453" spans="1:50" ht="75" x14ac:dyDescent="0.2">
      <c r="A1453" s="8" t="str">
        <f ca="1">IFERROR(__xludf.DUMMYFUNCTION("""COMPUTED_VALUE"""),"20201013RIRHP")</f>
        <v>20201013RIRHP</v>
      </c>
      <c r="B1453" s="8">
        <f ca="1">IFERROR(__xludf.DUMMYFUNCTION("""COMPUTED_VALUE"""),10)</f>
        <v>10</v>
      </c>
      <c r="C1453" s="8">
        <f ca="1">IFERROR(__xludf.DUMMYFUNCTION("""COMPUTED_VALUE"""),13)</f>
        <v>13</v>
      </c>
      <c r="D1453" s="8">
        <f ca="1">IFERROR(__xludf.DUMMYFUNCTION("""COMPUTED_VALUE"""),2020)</f>
        <v>2020</v>
      </c>
      <c r="E1453" s="9">
        <f ca="1">IFERROR(__xludf.DUMMYFUNCTION("""COMPUTED_VALUE"""),44117)</f>
        <v>44117</v>
      </c>
      <c r="F1453" s="8" t="str">
        <f ca="1">IFERROR(__xludf.DUMMYFUNCTION("""COMPUTED_VALUE"""),"Rhode Island School for the Deaf")</f>
        <v>Rhode Island School for the Deaf</v>
      </c>
      <c r="G1453" s="8">
        <f ca="1">IFERROR(__xludf.DUMMYFUNCTION("""COMPUTED_VALUE"""),1)</f>
        <v>1</v>
      </c>
      <c r="H1453" s="8">
        <f ca="1">IFERROR(__xludf.DUMMYFUNCTION("""COMPUTED_VALUE"""),2)</f>
        <v>2</v>
      </c>
      <c r="I1453" s="8">
        <f ca="1">IFERROR(__xludf.DUMMYFUNCTION("""COMPUTED_VALUE"""),3)</f>
        <v>3</v>
      </c>
      <c r="J1453" s="8">
        <f ca="1">IFERROR(__xludf.DUMMYFUNCTION("""COMPUTED_VALUE"""),0)</f>
        <v>0</v>
      </c>
      <c r="K1453" s="8" t="str">
        <f ca="1">IFERROR(__xludf.DUMMYFUNCTION("""COMPUTED_VALUE"""),"https://www.wpri.com/news/local-news/providence/police-3-people-shot-in-providence/ https://www.providencejournal.com/news/20201013/1-killed-2-injured-in-shooting-outside-ri-school-for-deaf-in-providence")</f>
        <v>https://www.wpri.com/news/local-news/providence/police-3-people-shot-in-providence/ https://www.providencejournal.com/news/20201013/1-killed-2-injured-in-shooting-outside-ri-school-for-deaf-in-providence</v>
      </c>
      <c r="L1453" s="8">
        <f ca="1">IFERROR(__xludf.DUMMYFUNCTION("""COMPUTED_VALUE"""),2)</f>
        <v>2</v>
      </c>
      <c r="M1453" s="8" t="str">
        <f ca="1">IFERROR(__xludf.DUMMYFUNCTION("""COMPUTED_VALUE"""),"Local")</f>
        <v>Local</v>
      </c>
      <c r="N1453" s="8">
        <f ca="1">IFERROR(__xludf.DUMMYFUNCTION("""COMPUTED_VALUE"""),4)</f>
        <v>4</v>
      </c>
      <c r="O1453" s="8" t="str">
        <f ca="1">IFERROR(__xludf.DUMMYFUNCTION("""COMPUTED_VALUE"""),"Fall")</f>
        <v>Fall</v>
      </c>
      <c r="P1453" s="8" t="str">
        <f ca="1">IFERROR(__xludf.DUMMYFUNCTION("""COMPUTED_VALUE"""),"Providence")</f>
        <v>Providence</v>
      </c>
      <c r="Q1453" s="8" t="str">
        <f ca="1">IFERROR(__xludf.DUMMYFUNCTION("""COMPUTED_VALUE"""),"RI")</f>
        <v>RI</v>
      </c>
      <c r="R1453" s="8" t="str">
        <f ca="1">IFERROR(__xludf.DUMMYFUNCTION("""COMPUTED_VALUE"""),"K-12")</f>
        <v>K-12</v>
      </c>
      <c r="S1453" s="8" t="str">
        <f ca="1">IFERROR(__xludf.DUMMYFUNCTION("""COMPUTED_VALUE"""),"Parking Lot")</f>
        <v>Parking Lot</v>
      </c>
      <c r="T1453" s="8" t="str">
        <f ca="1">IFERROR(__xludf.DUMMYFUNCTION("""COMPUTED_VALUE"""),"Outside on School Property")</f>
        <v>Outside on School Property</v>
      </c>
      <c r="U1453" s="8" t="str">
        <f ca="1">IFERROR(__xludf.DUMMYFUNCTION("""COMPUTED_VALUE"""),"No")</f>
        <v>No</v>
      </c>
      <c r="V1453" s="8" t="str">
        <f ca="1">IFERROR(__xludf.DUMMYFUNCTION("""COMPUTED_VALUE"""),"After School")</f>
        <v>After School</v>
      </c>
      <c r="W1453" s="11">
        <f ca="1">IFERROR(__xludf.DUMMYFUNCTION("""COMPUTED_VALUE"""),0.6875)</f>
        <v>0.6875</v>
      </c>
      <c r="X1453" s="8">
        <f ca="1">IFERROR(__xludf.DUMMYFUNCTION("""COMPUTED_VALUE"""),1)</f>
        <v>1</v>
      </c>
      <c r="Y1453" s="12" t="str">
        <f ca="1">IFERROR(__xludf.DUMMYFUNCTION("""COMPUTED_VALUE"""),"3 adult men shot in the school parking lot")</f>
        <v>3 adult men shot in the school parking lot</v>
      </c>
      <c r="Z1453" s="12" t="str">
        <f ca="1">IFERROR(__xludf.DUMMYFUNCTION("""COMPUTED_VALUE"""),"5 men inside a vehicle in the school parking lot were targeted in a shooting. One man was killed and two were wounded, an uninjured man drove the vehicle to the hospital. 20 shots were fired in the school parking lot in the direction of the school buildin"&amp;"g.")</f>
        <v>5 men inside a vehicle in the school parking lot were targeted in a shooting. One man was killed and two were wounded, an uninjured man drove the vehicle to the hospital. 20 shots were fired in the school parking lot in the direction of the school building.</v>
      </c>
      <c r="AA1453" s="8"/>
      <c r="AB1453" s="8"/>
      <c r="AC1453" s="8" t="str">
        <f ca="1">IFERROR(__xludf.DUMMYFUNCTION("""COMPUTED_VALUE"""),"No")</f>
        <v>No</v>
      </c>
      <c r="AD1453" s="8" t="str">
        <f ca="1">IFERROR(__xludf.DUMMYFUNCTION("""COMPUTED_VALUE"""),"Victims Targeted")</f>
        <v>Victims Targeted</v>
      </c>
      <c r="AE1453" s="8"/>
      <c r="AF1453" s="8"/>
      <c r="AG1453" s="8" t="str">
        <f ca="1">IFERROR(__xludf.DUMMYFUNCTION("""COMPUTED_VALUE"""),"No")</f>
        <v>No</v>
      </c>
      <c r="AH1453" s="8" t="str">
        <f ca="1">IFERROR(__xludf.DUMMYFUNCTION("""COMPUTED_VALUE"""),"No")</f>
        <v>No</v>
      </c>
      <c r="AI1453" s="8" t="str">
        <f ca="1">IFERROR(__xludf.DUMMYFUNCTION("""COMPUTED_VALUE"""),"No")</f>
        <v>No</v>
      </c>
      <c r="AJ1453" s="8" t="str">
        <f ca="1">IFERROR(__xludf.DUMMYFUNCTION("""COMPUTED_VALUE"""),"No")</f>
        <v>No</v>
      </c>
      <c r="AK1453" s="8" t="str">
        <f ca="1">IFERROR(__xludf.DUMMYFUNCTION("""COMPUTED_VALUE"""),"No")</f>
        <v>No</v>
      </c>
      <c r="AL1453" s="8"/>
      <c r="AM1453" s="8" t="str">
        <f ca="1">IFERROR(__xludf.DUMMYFUNCTION("""COMPUTED_VALUE"""),"No")</f>
        <v>No</v>
      </c>
      <c r="AN1453" s="8"/>
      <c r="AO1453" s="8" t="str">
        <f ca="1">IFERROR(__xludf.DUMMYFUNCTION("""COMPUTED_VALUE"""),"No")</f>
        <v>No</v>
      </c>
      <c r="AP1453" s="8"/>
      <c r="AQ1453" s="8"/>
      <c r="AR1453" s="8" t="str">
        <f ca="1">IFERROR(__xludf.DUMMYFUNCTION("""COMPUTED_VALUE"""),"Outside/Off-Property")</f>
        <v>Outside/Off-Property</v>
      </c>
      <c r="AS1453" s="8">
        <f ca="1">IFERROR(__xludf.DUMMYFUNCTION("""COMPUTED_VALUE"""),20)</f>
        <v>20</v>
      </c>
      <c r="AT1453" s="8"/>
      <c r="AU1453" s="8">
        <f ca="1">IFERROR(__xludf.DUMMYFUNCTION("""COMPUTED_VALUE"""),41.85069)</f>
        <v>41.85069</v>
      </c>
      <c r="AV1453" s="8">
        <f ca="1">IFERROR(__xludf.DUMMYFUNCTION("""COMPUTED_VALUE"""),-71.427379)</f>
        <v>-71.427379000000002</v>
      </c>
      <c r="AW1453" s="8"/>
      <c r="AX1453" s="8">
        <f ca="1">IFERROR(__xludf.DUMMYFUNCTION("""COMPUTED_VALUE"""),2918)</f>
        <v>2918</v>
      </c>
    </row>
    <row r="1454" spans="1:50" ht="75" x14ac:dyDescent="0.2">
      <c r="A1454" s="8" t="str">
        <f ca="1">IFERROR(__xludf.DUMMYFUNCTION("""COMPUTED_VALUE"""),"20201012TXNOD")</f>
        <v>20201012TXNOD</v>
      </c>
      <c r="B1454" s="8">
        <f ca="1">IFERROR(__xludf.DUMMYFUNCTION("""COMPUTED_VALUE"""),10)</f>
        <v>10</v>
      </c>
      <c r="C1454" s="8">
        <f ca="1">IFERROR(__xludf.DUMMYFUNCTION("""COMPUTED_VALUE"""),12)</f>
        <v>12</v>
      </c>
      <c r="D1454" s="8">
        <f ca="1">IFERROR(__xludf.DUMMYFUNCTION("""COMPUTED_VALUE"""),2020)</f>
        <v>2020</v>
      </c>
      <c r="E1454" s="9">
        <f ca="1">IFERROR(__xludf.DUMMYFUNCTION("""COMPUTED_VALUE"""),44116)</f>
        <v>44116</v>
      </c>
      <c r="F1454" s="8" t="str">
        <f ca="1">IFERROR(__xludf.DUMMYFUNCTION("""COMPUTED_VALUE"""),"North Dallas High School")</f>
        <v>North Dallas High School</v>
      </c>
      <c r="G1454" s="8">
        <f ca="1">IFERROR(__xludf.DUMMYFUNCTION("""COMPUTED_VALUE"""),0)</f>
        <v>0</v>
      </c>
      <c r="H1454" s="8">
        <f ca="1">IFERROR(__xludf.DUMMYFUNCTION("""COMPUTED_VALUE"""),0)</f>
        <v>0</v>
      </c>
      <c r="I1454" s="8">
        <f ca="1">IFERROR(__xludf.DUMMYFUNCTION("""COMPUTED_VALUE"""),0)</f>
        <v>0</v>
      </c>
      <c r="J1454" s="8">
        <f ca="1">IFERROR(__xludf.DUMMYFUNCTION("""COMPUTED_VALUE"""),0)</f>
        <v>0</v>
      </c>
      <c r="K1454" s="10" t="str">
        <f ca="1">IFERROR(__xludf.DUMMYFUNCTION("""COMPUTED_VALUE"""),"https://www.wfaa.com/article/news/crime/no-one-injured-verbal-altercation-escalates-shooting-north-dallas-high-school-parking-lot-district-officials-say/287-2a04b92a-88da-45cc-8ed3-b8a7ab58ee78")</f>
        <v>https://www.wfaa.com/article/news/crime/no-one-injured-verbal-altercation-escalates-shooting-north-dallas-high-school-parking-lot-district-officials-say/287-2a04b92a-88da-45cc-8ed3-b8a7ab58ee78</v>
      </c>
      <c r="L1454" s="8">
        <f ca="1">IFERROR(__xludf.DUMMYFUNCTION("""COMPUTED_VALUE"""),1)</f>
        <v>1</v>
      </c>
      <c r="M1454" s="8" t="str">
        <f ca="1">IFERROR(__xludf.DUMMYFUNCTION("""COMPUTED_VALUE"""),"Local")</f>
        <v>Local</v>
      </c>
      <c r="N1454" s="8">
        <f ca="1">IFERROR(__xludf.DUMMYFUNCTION("""COMPUTED_VALUE"""),3)</f>
        <v>3</v>
      </c>
      <c r="O1454" s="8" t="str">
        <f ca="1">IFERROR(__xludf.DUMMYFUNCTION("""COMPUTED_VALUE"""),"Fall")</f>
        <v>Fall</v>
      </c>
      <c r="P1454" s="8" t="str">
        <f ca="1">IFERROR(__xludf.DUMMYFUNCTION("""COMPUTED_VALUE"""),"Dallas")</f>
        <v>Dallas</v>
      </c>
      <c r="Q1454" s="8" t="str">
        <f ca="1">IFERROR(__xludf.DUMMYFUNCTION("""COMPUTED_VALUE"""),"TX")</f>
        <v>TX</v>
      </c>
      <c r="R1454" s="8" t="str">
        <f ca="1">IFERROR(__xludf.DUMMYFUNCTION("""COMPUTED_VALUE"""),"High")</f>
        <v>High</v>
      </c>
      <c r="S1454" s="8" t="str">
        <f ca="1">IFERROR(__xludf.DUMMYFUNCTION("""COMPUTED_VALUE"""),"Parking Lot")</f>
        <v>Parking Lot</v>
      </c>
      <c r="T1454" s="8" t="str">
        <f ca="1">IFERROR(__xludf.DUMMYFUNCTION("""COMPUTED_VALUE"""),"Outside on School Property")</f>
        <v>Outside on School Property</v>
      </c>
      <c r="U1454" s="8" t="str">
        <f ca="1">IFERROR(__xludf.DUMMYFUNCTION("""COMPUTED_VALUE"""),"Yes")</f>
        <v>Yes</v>
      </c>
      <c r="V1454" s="8" t="str">
        <f ca="1">IFERROR(__xludf.DUMMYFUNCTION("""COMPUTED_VALUE"""),"Afternoon Classes")</f>
        <v>Afternoon Classes</v>
      </c>
      <c r="W1454" s="8"/>
      <c r="X1454" s="8">
        <f ca="1">IFERROR(__xludf.DUMMYFUNCTION("""COMPUTED_VALUE"""),1)</f>
        <v>1</v>
      </c>
      <c r="Y1454" s="12" t="str">
        <f ca="1">IFERROR(__xludf.DUMMYFUNCTION("""COMPUTED_VALUE"""),"Shots fired during dispute in school parking lot")</f>
        <v>Shots fired during dispute in school parking lot</v>
      </c>
      <c r="Z1454" s="12" t="str">
        <f ca="1">IFERROR(__xludf.DUMMYFUNCTION("""COMPUTED_VALUE"""),"Shots were fired during a dispute between two adult men in the school parking lot. Shots missed and neither man was injured. No students were involved or injured. Both men were detained by Dallas school police and Dallas Police Department officers.")</f>
        <v>Shots were fired during a dispute between two adult men in the school parking lot. Shots missed and neither man was injured. No students were involved or injured. Both men were detained by Dallas school police and Dallas Police Department officers.</v>
      </c>
      <c r="AA1454" s="8" t="str">
        <f ca="1">IFERROR(__xludf.DUMMYFUNCTION("""COMPUTED_VALUE"""),"Escalation of Dispute")</f>
        <v>Escalation of Dispute</v>
      </c>
      <c r="AB1454" s="8"/>
      <c r="AC1454" s="8" t="str">
        <f ca="1">IFERROR(__xludf.DUMMYFUNCTION("""COMPUTED_VALUE"""),"No")</f>
        <v>No</v>
      </c>
      <c r="AD1454" s="8" t="str">
        <f ca="1">IFERROR(__xludf.DUMMYFUNCTION("""COMPUTED_VALUE"""),"Victims Targeted")</f>
        <v>Victims Targeted</v>
      </c>
      <c r="AE1454" s="8" t="str">
        <f ca="1">IFERROR(__xludf.DUMMYFUNCTION("""COMPUTED_VALUE"""),"No")</f>
        <v>No</v>
      </c>
      <c r="AF1454" s="8"/>
      <c r="AG1454" s="8" t="str">
        <f ca="1">IFERROR(__xludf.DUMMYFUNCTION("""COMPUTED_VALUE"""),"No")</f>
        <v>No</v>
      </c>
      <c r="AH1454" s="8" t="str">
        <f ca="1">IFERROR(__xludf.DUMMYFUNCTION("""COMPUTED_VALUE"""),"No")</f>
        <v>No</v>
      </c>
      <c r="AI1454" s="8" t="str">
        <f ca="1">IFERROR(__xludf.DUMMYFUNCTION("""COMPUTED_VALUE"""),"No")</f>
        <v>No</v>
      </c>
      <c r="AJ1454" s="8" t="str">
        <f ca="1">IFERROR(__xludf.DUMMYFUNCTION("""COMPUTED_VALUE"""),"No")</f>
        <v>No</v>
      </c>
      <c r="AK1454" s="8" t="str">
        <f ca="1">IFERROR(__xludf.DUMMYFUNCTION("""COMPUTED_VALUE"""),"No")</f>
        <v>No</v>
      </c>
      <c r="AL1454" s="8" t="str">
        <f ca="1">IFERROR(__xludf.DUMMYFUNCTION("""COMPUTED_VALUE"""),"No")</f>
        <v>No</v>
      </c>
      <c r="AM1454" s="8" t="str">
        <f ca="1">IFERROR(__xludf.DUMMYFUNCTION("""COMPUTED_VALUE"""),"No")</f>
        <v>No</v>
      </c>
      <c r="AN1454" s="8"/>
      <c r="AO1454" s="8" t="str">
        <f ca="1">IFERROR(__xludf.DUMMYFUNCTION("""COMPUTED_VALUE"""),"No")</f>
        <v>No</v>
      </c>
      <c r="AP1454" s="8" t="str">
        <f ca="1">IFERROR(__xludf.DUMMYFUNCTION("""COMPUTED_VALUE"""),"Yes")</f>
        <v>Yes</v>
      </c>
      <c r="AQ1454" s="8"/>
      <c r="AR1454" s="8" t="str">
        <f ca="1">IFERROR(__xludf.DUMMYFUNCTION("""COMPUTED_VALUE"""),"Outside/Off-Property")</f>
        <v>Outside/Off-Property</v>
      </c>
      <c r="AS1454" s="8"/>
      <c r="AT1454" s="8"/>
      <c r="AU1454" s="8">
        <f ca="1">IFERROR(__xludf.DUMMYFUNCTION("""COMPUTED_VALUE"""),32.810306)</f>
        <v>32.810305999999997</v>
      </c>
      <c r="AV1454" s="8">
        <f ca="1">IFERROR(__xludf.DUMMYFUNCTION("""COMPUTED_VALUE"""),-96.79509)</f>
        <v>-96.795090000000002</v>
      </c>
      <c r="AW1454" s="8"/>
      <c r="AX1454" s="8">
        <f ca="1">IFERROR(__xludf.DUMMYFUNCTION("""COMPUTED_VALUE"""),75204)</f>
        <v>75204</v>
      </c>
    </row>
    <row r="1455" spans="1:50" ht="75" x14ac:dyDescent="0.2">
      <c r="A1455" s="8" t="str">
        <f ca="1">IFERROR(__xludf.DUMMYFUNCTION("""COMPUTED_VALUE"""),"20201012MNSHS")</f>
        <v>20201012MNSHS</v>
      </c>
      <c r="B1455" s="8">
        <f ca="1">IFERROR(__xludf.DUMMYFUNCTION("""COMPUTED_VALUE"""),10)</f>
        <v>10</v>
      </c>
      <c r="C1455" s="8">
        <f ca="1">IFERROR(__xludf.DUMMYFUNCTION("""COMPUTED_VALUE"""),12)</f>
        <v>12</v>
      </c>
      <c r="D1455" s="8">
        <f ca="1">IFERROR(__xludf.DUMMYFUNCTION("""COMPUTED_VALUE"""),2020)</f>
        <v>2020</v>
      </c>
      <c r="E1455" s="9">
        <f ca="1">IFERROR(__xludf.DUMMYFUNCTION("""COMPUTED_VALUE"""),44116)</f>
        <v>44116</v>
      </c>
      <c r="F1455" s="8" t="str">
        <f ca="1">IFERROR(__xludf.DUMMYFUNCTION("""COMPUTED_VALUE"""),"Shakopee High School")</f>
        <v>Shakopee High School</v>
      </c>
      <c r="G1455" s="8">
        <f ca="1">IFERROR(__xludf.DUMMYFUNCTION("""COMPUTED_VALUE"""),0)</f>
        <v>0</v>
      </c>
      <c r="H1455" s="8">
        <f ca="1">IFERROR(__xludf.DUMMYFUNCTION("""COMPUTED_VALUE"""),0)</f>
        <v>0</v>
      </c>
      <c r="I1455" s="8">
        <f ca="1">IFERROR(__xludf.DUMMYFUNCTION("""COMPUTED_VALUE"""),0)</f>
        <v>0</v>
      </c>
      <c r="J1455" s="8">
        <f ca="1">IFERROR(__xludf.DUMMYFUNCTION("""COMPUTED_VALUE"""),0)</f>
        <v>0</v>
      </c>
      <c r="K1455" s="10" t="str">
        <f ca="1">IFERROR(__xludf.DUMMYFUNCTION("""COMPUTED_VALUE"""),"https://www.fox9.com/news/target-shooter-fires-accidental-shots-near-shakopee-sports-stadium")</f>
        <v>https://www.fox9.com/news/target-shooter-fires-accidental-shots-near-shakopee-sports-stadium</v>
      </c>
      <c r="L1455" s="8">
        <f ca="1">IFERROR(__xludf.DUMMYFUNCTION("""COMPUTED_VALUE"""),1)</f>
        <v>1</v>
      </c>
      <c r="M1455" s="8" t="str">
        <f ca="1">IFERROR(__xludf.DUMMYFUNCTION("""COMPUTED_VALUE"""),"Local")</f>
        <v>Local</v>
      </c>
      <c r="N1455" s="8">
        <f ca="1">IFERROR(__xludf.DUMMYFUNCTION("""COMPUTED_VALUE"""),4)</f>
        <v>4</v>
      </c>
      <c r="O1455" s="8" t="str">
        <f ca="1">IFERROR(__xludf.DUMMYFUNCTION("""COMPUTED_VALUE"""),"Fall")</f>
        <v>Fall</v>
      </c>
      <c r="P1455" s="8" t="str">
        <f ca="1">IFERROR(__xludf.DUMMYFUNCTION("""COMPUTED_VALUE"""),"Shakopee")</f>
        <v>Shakopee</v>
      </c>
      <c r="Q1455" s="8" t="str">
        <f ca="1">IFERROR(__xludf.DUMMYFUNCTION("""COMPUTED_VALUE"""),"MN")</f>
        <v>MN</v>
      </c>
      <c r="R1455" s="8" t="str">
        <f ca="1">IFERROR(__xludf.DUMMYFUNCTION("""COMPUTED_VALUE"""),"High")</f>
        <v>High</v>
      </c>
      <c r="S1455" s="8" t="str">
        <f ca="1">IFERROR(__xludf.DUMMYFUNCTION("""COMPUTED_VALUE"""),"Field (General)")</f>
        <v>Field (General)</v>
      </c>
      <c r="T1455" s="8" t="str">
        <f ca="1">IFERROR(__xludf.DUMMYFUNCTION("""COMPUTED_VALUE"""),"Off School Property")</f>
        <v>Off School Property</v>
      </c>
      <c r="U1455" s="8" t="str">
        <f ca="1">IFERROR(__xludf.DUMMYFUNCTION("""COMPUTED_VALUE"""),"No")</f>
        <v>No</v>
      </c>
      <c r="V1455" s="8" t="str">
        <f ca="1">IFERROR(__xludf.DUMMYFUNCTION("""COMPUTED_VALUE"""),"Sport Event")</f>
        <v>Sport Event</v>
      </c>
      <c r="W1455" s="11">
        <f ca="1">IFERROR(__xludf.DUMMYFUNCTION("""COMPUTED_VALUE"""),0.729166666666666)</f>
        <v>0.72916666666666596</v>
      </c>
      <c r="X1455" s="8"/>
      <c r="Y1455" s="12" t="str">
        <f ca="1">IFERROR(__xludf.DUMMYFUNCTION("""COMPUTED_VALUE"""),"Shots fired at field during high school baseball practice")</f>
        <v>Shots fired at field during high school baseball practice</v>
      </c>
      <c r="Z1455" s="12" t="str">
        <f ca="1">IFERROR(__xludf.DUMMYFUNCTION("""COMPUTED_VALUE"""),"Police were called for shots fired at a public park and baseball complex. High school baseball practice was taking place when the shooting occurred. Police determined that someone was target/trap shooting nearby without proper safety precautions and pelle"&amp;"ts were striking the athletic field.")</f>
        <v>Police were called for shots fired at a public park and baseball complex. High school baseball practice was taking place when the shooting occurred. Police determined that someone was target/trap shooting nearby without proper safety precautions and pellets were striking the athletic field.</v>
      </c>
      <c r="AA1455" s="8" t="str">
        <f ca="1">IFERROR(__xludf.DUMMYFUNCTION("""COMPUTED_VALUE"""),"Accidental")</f>
        <v>Accidental</v>
      </c>
      <c r="AB1455" s="8"/>
      <c r="AC1455" s="8" t="str">
        <f ca="1">IFERROR(__xludf.DUMMYFUNCTION("""COMPUTED_VALUE"""),"Yes")</f>
        <v>Yes</v>
      </c>
      <c r="AD1455" s="8" t="str">
        <f ca="1">IFERROR(__xludf.DUMMYFUNCTION("""COMPUTED_VALUE"""),"Neither")</f>
        <v>Neither</v>
      </c>
      <c r="AE1455" s="8" t="str">
        <f ca="1">IFERROR(__xludf.DUMMYFUNCTION("""COMPUTED_VALUE"""),"No")</f>
        <v>No</v>
      </c>
      <c r="AF1455" s="8"/>
      <c r="AG1455" s="8" t="str">
        <f ca="1">IFERROR(__xludf.DUMMYFUNCTION("""COMPUTED_VALUE"""),"No")</f>
        <v>No</v>
      </c>
      <c r="AH1455" s="8" t="str">
        <f ca="1">IFERROR(__xludf.DUMMYFUNCTION("""COMPUTED_VALUE"""),"No")</f>
        <v>No</v>
      </c>
      <c r="AI1455" s="8"/>
      <c r="AJ1455" s="8" t="str">
        <f ca="1">IFERROR(__xludf.DUMMYFUNCTION("""COMPUTED_VALUE"""),"No")</f>
        <v>No</v>
      </c>
      <c r="AK1455" s="8" t="str">
        <f ca="1">IFERROR(__xludf.DUMMYFUNCTION("""COMPUTED_VALUE"""),"No")</f>
        <v>No</v>
      </c>
      <c r="AL1455" s="8" t="str">
        <f ca="1">IFERROR(__xludf.DUMMYFUNCTION("""COMPUTED_VALUE"""),"No")</f>
        <v>No</v>
      </c>
      <c r="AM1455" s="8" t="str">
        <f ca="1">IFERROR(__xludf.DUMMYFUNCTION("""COMPUTED_VALUE"""),"No")</f>
        <v>No</v>
      </c>
      <c r="AN1455" s="8"/>
      <c r="AO1455" s="8" t="str">
        <f ca="1">IFERROR(__xludf.DUMMYFUNCTION("""COMPUTED_VALUE"""),"No")</f>
        <v>No</v>
      </c>
      <c r="AP1455" s="8"/>
      <c r="AQ1455" s="8"/>
      <c r="AR1455" s="8" t="str">
        <f ca="1">IFERROR(__xludf.DUMMYFUNCTION("""COMPUTED_VALUE"""),"Outside/Off-Property")</f>
        <v>Outside/Off-Property</v>
      </c>
      <c r="AS1455" s="8"/>
      <c r="AT1455" s="8"/>
      <c r="AU1455" s="8">
        <f ca="1">IFERROR(__xludf.DUMMYFUNCTION("""COMPUTED_VALUE"""),44.777797)</f>
        <v>44.777797</v>
      </c>
      <c r="AV1455" s="8">
        <f ca="1">IFERROR(__xludf.DUMMYFUNCTION("""COMPUTED_VALUE"""),-93.543395)</f>
        <v>-93.543395000000004</v>
      </c>
      <c r="AW1455" s="8"/>
      <c r="AX1455" s="8">
        <f ca="1">IFERROR(__xludf.DUMMYFUNCTION("""COMPUTED_VALUE"""),55379)</f>
        <v>55379</v>
      </c>
    </row>
    <row r="1456" spans="1:50" ht="60" x14ac:dyDescent="0.2">
      <c r="A1456" s="8" t="str">
        <f ca="1">IFERROR(__xludf.DUMMYFUNCTION("""COMPUTED_VALUE"""),"20201009FLJEJ")</f>
        <v>20201009FLJEJ</v>
      </c>
      <c r="B1456" s="8">
        <f ca="1">IFERROR(__xludf.DUMMYFUNCTION("""COMPUTED_VALUE"""),10)</f>
        <v>10</v>
      </c>
      <c r="C1456" s="8">
        <f ca="1">IFERROR(__xludf.DUMMYFUNCTION("""COMPUTED_VALUE"""),9)</f>
        <v>9</v>
      </c>
      <c r="D1456" s="8">
        <f ca="1">IFERROR(__xludf.DUMMYFUNCTION("""COMPUTED_VALUE"""),2020)</f>
        <v>2020</v>
      </c>
      <c r="E1456" s="9">
        <f ca="1">IFERROR(__xludf.DUMMYFUNCTION("""COMPUTED_VALUE"""),44113)</f>
        <v>44113</v>
      </c>
      <c r="F1456" s="8" t="str">
        <f ca="1">IFERROR(__xludf.DUMMYFUNCTION("""COMPUTED_VALUE"""),"Jean Ribault High School")</f>
        <v>Jean Ribault High School</v>
      </c>
      <c r="G1456" s="8">
        <f ca="1">IFERROR(__xludf.DUMMYFUNCTION("""COMPUTED_VALUE"""),0)</f>
        <v>0</v>
      </c>
      <c r="H1456" s="8">
        <f ca="1">IFERROR(__xludf.DUMMYFUNCTION("""COMPUTED_VALUE"""),1)</f>
        <v>1</v>
      </c>
      <c r="I1456" s="8">
        <f ca="1">IFERROR(__xludf.DUMMYFUNCTION("""COMPUTED_VALUE"""),1)</f>
        <v>1</v>
      </c>
      <c r="J1456" s="8">
        <f ca="1">IFERROR(__xludf.DUMMYFUNCTION("""COMPUTED_VALUE"""),0)</f>
        <v>0</v>
      </c>
      <c r="K1456" s="8" t="str">
        <f ca="1">IFERROR(__xludf.DUMMYFUNCTION("""COMPUTED_VALUE"""),"https://www.news4jax.com/news/local/2020/10/09/adult-shot-transported-from-ribault-high-school-jfrd-says/ https://www.actionnewsjax.com/news/local/duval-county/shots-fired-ribault-high-school-according-jso/2PXVLGF2JRCC7DHHI4XKI3F25E/ https://www.firstcoas"&amp;"tnews.com/article/news/crime/shooting-at-ribault-high-school/77-8a5f99f0-761b-4c02-9396-e27ddfbd5222 https://www.actionnewsjax.com/news/local/duval-county/ribault-high-implementing-metal-detectors-after-school-shooting/WRSDTI4OPNH4DDT5Q6UOLK6UQM/")</f>
        <v>https://www.news4jax.com/news/local/2020/10/09/adult-shot-transported-from-ribault-high-school-jfrd-says/ https://www.actionnewsjax.com/news/local/duval-county/shots-fired-ribault-high-school-according-jso/2PXVLGF2JRCC7DHHI4XKI3F25E/ https://www.firstcoastnews.com/article/news/crime/shooting-at-ribault-high-school/77-8a5f99f0-761b-4c02-9396-e27ddfbd5222 https://www.actionnewsjax.com/news/local/duval-county/ribault-high-implementing-metal-detectors-after-school-shooting/WRSDTI4OPNH4DDT5Q6UOLK6UQM/</v>
      </c>
      <c r="L1456" s="8">
        <f ca="1">IFERROR(__xludf.DUMMYFUNCTION("""COMPUTED_VALUE"""),5)</f>
        <v>5</v>
      </c>
      <c r="M1456" s="8" t="str">
        <f ca="1">IFERROR(__xludf.DUMMYFUNCTION("""COMPUTED_VALUE"""),"Local")</f>
        <v>Local</v>
      </c>
      <c r="N1456" s="8">
        <f ca="1">IFERROR(__xludf.DUMMYFUNCTION("""COMPUTED_VALUE"""),4)</f>
        <v>4</v>
      </c>
      <c r="O1456" s="8" t="str">
        <f ca="1">IFERROR(__xludf.DUMMYFUNCTION("""COMPUTED_VALUE"""),"Fall")</f>
        <v>Fall</v>
      </c>
      <c r="P1456" s="8" t="str">
        <f ca="1">IFERROR(__xludf.DUMMYFUNCTION("""COMPUTED_VALUE"""),"Jacksonville")</f>
        <v>Jacksonville</v>
      </c>
      <c r="Q1456" s="8" t="str">
        <f ca="1">IFERROR(__xludf.DUMMYFUNCTION("""COMPUTED_VALUE"""),"FL")</f>
        <v>FL</v>
      </c>
      <c r="R1456" s="8" t="str">
        <f ca="1">IFERROR(__xludf.DUMMYFUNCTION("""COMPUTED_VALUE"""),"High")</f>
        <v>High</v>
      </c>
      <c r="S1456" s="8"/>
      <c r="T1456" s="8"/>
      <c r="U1456" s="8"/>
      <c r="V1456" s="8"/>
      <c r="W1456" s="11">
        <f ca="1">IFERROR(__xludf.DUMMYFUNCTION("""COMPUTED_VALUE"""),0.583333333333333)</f>
        <v>0.58333333333333304</v>
      </c>
      <c r="X1456" s="8">
        <f ca="1">IFERROR(__xludf.DUMMYFUNCTION("""COMPUTED_VALUE"""),1)</f>
        <v>1</v>
      </c>
      <c r="Y1456" s="12" t="str">
        <f ca="1">IFERROR(__xludf.DUMMYFUNCTION("""COMPUTED_VALUE"""),"Student shot in the arm by another student")</f>
        <v>Student shot in the arm by another student</v>
      </c>
      <c r="Z1456" s="12" t="str">
        <f ca="1">IFERROR(__xludf.DUMMYFUNCTION("""COMPUTED_VALUE"""),"An 18 year-old student shot another 18 year-old student in the arm in or behind the school fieldhouse building. The SRO responded and arrested the shooter. School was not locked down. Police said the shooting was an accident.")</f>
        <v>An 18 year-old student shot another 18 year-old student in the arm in or behind the school fieldhouse building. The SRO responded and arrested the shooter. School was not locked down. Police said the shooting was an accident.</v>
      </c>
      <c r="AA1456" s="8" t="str">
        <f ca="1">IFERROR(__xludf.DUMMYFUNCTION("""COMPUTED_VALUE"""),"Accidental")</f>
        <v>Accidental</v>
      </c>
      <c r="AB1456" s="8"/>
      <c r="AC1456" s="8" t="str">
        <f ca="1">IFERROR(__xludf.DUMMYFUNCTION("""COMPUTED_VALUE"""),"Yes")</f>
        <v>Yes</v>
      </c>
      <c r="AD1456" s="8" t="str">
        <f ca="1">IFERROR(__xludf.DUMMYFUNCTION("""COMPUTED_VALUE"""),"Random Shooting")</f>
        <v>Random Shooting</v>
      </c>
      <c r="AE1456" s="8" t="str">
        <f ca="1">IFERROR(__xludf.DUMMYFUNCTION("""COMPUTED_VALUE"""),"No")</f>
        <v>No</v>
      </c>
      <c r="AF1456" s="8"/>
      <c r="AG1456" s="8" t="str">
        <f ca="1">IFERROR(__xludf.DUMMYFUNCTION("""COMPUTED_VALUE"""),"No")</f>
        <v>No</v>
      </c>
      <c r="AH1456" s="8" t="str">
        <f ca="1">IFERROR(__xludf.DUMMYFUNCTION("""COMPUTED_VALUE"""),"No")</f>
        <v>No</v>
      </c>
      <c r="AI1456" s="8" t="str">
        <f ca="1">IFERROR(__xludf.DUMMYFUNCTION("""COMPUTED_VALUE"""),"No")</f>
        <v>No</v>
      </c>
      <c r="AJ1456" s="8" t="str">
        <f ca="1">IFERROR(__xludf.DUMMYFUNCTION("""COMPUTED_VALUE"""),"No")</f>
        <v>No</v>
      </c>
      <c r="AK1456" s="8" t="str">
        <f ca="1">IFERROR(__xludf.DUMMYFUNCTION("""COMPUTED_VALUE"""),"No")</f>
        <v>No</v>
      </c>
      <c r="AL1456" s="8" t="str">
        <f ca="1">IFERROR(__xludf.DUMMYFUNCTION("""COMPUTED_VALUE"""),"No")</f>
        <v>No</v>
      </c>
      <c r="AM1456" s="8" t="str">
        <f ca="1">IFERROR(__xludf.DUMMYFUNCTION("""COMPUTED_VALUE"""),"No")</f>
        <v>No</v>
      </c>
      <c r="AN1456" s="8"/>
      <c r="AO1456" s="8" t="str">
        <f ca="1">IFERROR(__xludf.DUMMYFUNCTION("""COMPUTED_VALUE"""),"No")</f>
        <v>No</v>
      </c>
      <c r="AP1456" s="8" t="str">
        <f ca="1">IFERROR(__xludf.DUMMYFUNCTION("""COMPUTED_VALUE"""),"Yes")</f>
        <v>Yes</v>
      </c>
      <c r="AQ1456" s="8" t="str">
        <f ca="1">IFERROR(__xludf.DUMMYFUNCTION("""COMPUTED_VALUE"""),"Metal Detectors Intermittent")</f>
        <v>Metal Detectors Intermittent</v>
      </c>
      <c r="AR1456" s="8" t="str">
        <f ca="1">IFERROR(__xludf.DUMMYFUNCTION("""COMPUTED_VALUE"""),"Failed")</f>
        <v>Failed</v>
      </c>
      <c r="AS1456" s="8">
        <f ca="1">IFERROR(__xludf.DUMMYFUNCTION("""COMPUTED_VALUE"""),1)</f>
        <v>1</v>
      </c>
      <c r="AT1456" s="8" t="str">
        <f ca="1">IFERROR(__xludf.DUMMYFUNCTION("""COMPUTED_VALUE"""),"No")</f>
        <v>No</v>
      </c>
      <c r="AU1456" s="8">
        <f ca="1">IFERROR(__xludf.DUMMYFUNCTION("""COMPUTED_VALUE"""),30.390452)</f>
        <v>30.390452</v>
      </c>
      <c r="AV1456" s="8">
        <f ca="1">IFERROR(__xludf.DUMMYFUNCTION("""COMPUTED_VALUE"""),-81.707512)</f>
        <v>-81.707511999999994</v>
      </c>
      <c r="AW1456" s="8"/>
      <c r="AX1456" s="8">
        <f ca="1">IFERROR(__xludf.DUMMYFUNCTION("""COMPUTED_VALUE"""),32209)</f>
        <v>32209</v>
      </c>
    </row>
    <row r="1457" spans="1:50" ht="90" x14ac:dyDescent="0.2">
      <c r="A1457" s="8" t="str">
        <f ca="1">IFERROR(__xludf.DUMMYFUNCTION("""COMPUTED_VALUE"""),"20201005OKSOM")</f>
        <v>20201005OKSOM</v>
      </c>
      <c r="B1457" s="8">
        <f ca="1">IFERROR(__xludf.DUMMYFUNCTION("""COMPUTED_VALUE"""),10)</f>
        <v>10</v>
      </c>
      <c r="C1457" s="8">
        <f ca="1">IFERROR(__xludf.DUMMYFUNCTION("""COMPUTED_VALUE"""),5)</f>
        <v>5</v>
      </c>
      <c r="D1457" s="8">
        <f ca="1">IFERROR(__xludf.DUMMYFUNCTION("""COMPUTED_VALUE"""),2020)</f>
        <v>2020</v>
      </c>
      <c r="E1457" s="9">
        <f ca="1">IFERROR(__xludf.DUMMYFUNCTION("""COMPUTED_VALUE"""),44109)</f>
        <v>44109</v>
      </c>
      <c r="F1457" s="8" t="str">
        <f ca="1">IFERROR(__xludf.DUMMYFUNCTION("""COMPUTED_VALUE"""),"Southridge Junior High")</f>
        <v>Southridge Junior High</v>
      </c>
      <c r="G1457" s="8">
        <f ca="1">IFERROR(__xludf.DUMMYFUNCTION("""COMPUTED_VALUE"""),0)</f>
        <v>0</v>
      </c>
      <c r="H1457" s="8">
        <f ca="1">IFERROR(__xludf.DUMMYFUNCTION("""COMPUTED_VALUE"""),0)</f>
        <v>0</v>
      </c>
      <c r="I1457" s="8">
        <f ca="1">IFERROR(__xludf.DUMMYFUNCTION("""COMPUTED_VALUE"""),0)</f>
        <v>0</v>
      </c>
      <c r="J1457" s="8">
        <f ca="1">IFERROR(__xludf.DUMMYFUNCTION("""COMPUTED_VALUE"""),0)</f>
        <v>0</v>
      </c>
      <c r="K1457" s="8" t="str">
        <f ca="1">IFERROR(__xludf.DUMMYFUNCTION("""COMPUTED_VALUE"""),"https://kfor.com/news/local/oklahoma-student-arrested-after-allegedly-shooting-peer-on-bus-with-airsoft-pistol/ https://www.koco.com/article/moore-junior-high-student-arrested-after-firing-airsoft-pistol-on-school-bus/34273618#")</f>
        <v>https://kfor.com/news/local/oklahoma-student-arrested-after-allegedly-shooting-peer-on-bus-with-airsoft-pistol/ https://www.koco.com/article/moore-junior-high-student-arrested-after-firing-airsoft-pistol-on-school-bus/34273618#</v>
      </c>
      <c r="L1457" s="8">
        <f ca="1">IFERROR(__xludf.DUMMYFUNCTION("""COMPUTED_VALUE"""),3)</f>
        <v>3</v>
      </c>
      <c r="M1457" s="8" t="str">
        <f ca="1">IFERROR(__xludf.DUMMYFUNCTION("""COMPUTED_VALUE"""),"Local")</f>
        <v>Local</v>
      </c>
      <c r="N1457" s="8">
        <f ca="1">IFERROR(__xludf.DUMMYFUNCTION("""COMPUTED_VALUE"""),3)</f>
        <v>3</v>
      </c>
      <c r="O1457" s="8" t="str">
        <f ca="1">IFERROR(__xludf.DUMMYFUNCTION("""COMPUTED_VALUE"""),"Fall")</f>
        <v>Fall</v>
      </c>
      <c r="P1457" s="8" t="str">
        <f ca="1">IFERROR(__xludf.DUMMYFUNCTION("""COMPUTED_VALUE"""),"Moore")</f>
        <v>Moore</v>
      </c>
      <c r="Q1457" s="8" t="str">
        <f ca="1">IFERROR(__xludf.DUMMYFUNCTION("""COMPUTED_VALUE"""),"OK")</f>
        <v>OK</v>
      </c>
      <c r="R1457" s="8" t="str">
        <f ca="1">IFERROR(__xludf.DUMMYFUNCTION("""COMPUTED_VALUE"""),"High")</f>
        <v>High</v>
      </c>
      <c r="S1457" s="8" t="str">
        <f ca="1">IFERROR(__xludf.DUMMYFUNCTION("""COMPUTED_VALUE"""),"School Bus")</f>
        <v>School Bus</v>
      </c>
      <c r="T1457" s="8" t="str">
        <f ca="1">IFERROR(__xludf.DUMMYFUNCTION("""COMPUTED_VALUE"""),"School Bus")</f>
        <v>School Bus</v>
      </c>
      <c r="U1457" s="8" t="str">
        <f ca="1">IFERROR(__xludf.DUMMYFUNCTION("""COMPUTED_VALUE"""),"Yes")</f>
        <v>Yes</v>
      </c>
      <c r="V1457" s="8" t="str">
        <f ca="1">IFERROR(__xludf.DUMMYFUNCTION("""COMPUTED_VALUE"""),"Before School")</f>
        <v>Before School</v>
      </c>
      <c r="W1457" s="8"/>
      <c r="X1457" s="8">
        <f ca="1">IFERROR(__xludf.DUMMYFUNCTION("""COMPUTED_VALUE"""),1)</f>
        <v>1</v>
      </c>
      <c r="Y1457" s="12" t="str">
        <f ca="1">IFERROR(__xludf.DUMMYFUNCTION("""COMPUTED_VALUE"""),"Student with airsoft gun fired multiple shots at other students on school bus")</f>
        <v>Student with airsoft gun fired multiple shots at other students on school bus</v>
      </c>
      <c r="Z1457" s="12" t="str">
        <f ca="1">IFERROR(__xludf.DUMMYFUNCTION("""COMPUTED_VALUE"""),"A student got onto the school bus on the way to school, pulled out an airsoft gun, and fired a shot striking one student. The student then put the gun into his backpack and then exited the bus when it arrived at the school. Police were notified and the st"&amp;"udent was arrested at the school. Student has been expelled under the zero tolerance policy.")</f>
        <v>A student got onto the school bus on the way to school, pulled out an airsoft gun, and fired a shot striking one student. The student then put the gun into his backpack and then exited the bus when it arrived at the school. Police were notified and the student was arrested at the school. Student has been expelled under the zero tolerance policy.</v>
      </c>
      <c r="AA1457" s="8"/>
      <c r="AB1457" s="8"/>
      <c r="AC1457" s="8" t="str">
        <f ca="1">IFERROR(__xludf.DUMMYFUNCTION("""COMPUTED_VALUE"""),"Yes")</f>
        <v>Yes</v>
      </c>
      <c r="AD1457" s="8"/>
      <c r="AE1457" s="8" t="str">
        <f ca="1">IFERROR(__xludf.DUMMYFUNCTION("""COMPUTED_VALUE"""),"No")</f>
        <v>No</v>
      </c>
      <c r="AF1457" s="8"/>
      <c r="AG1457" s="8" t="str">
        <f ca="1">IFERROR(__xludf.DUMMYFUNCTION("""COMPUTED_VALUE"""),"No")</f>
        <v>No</v>
      </c>
      <c r="AH1457" s="8" t="str">
        <f ca="1">IFERROR(__xludf.DUMMYFUNCTION("""COMPUTED_VALUE"""),"No")</f>
        <v>No</v>
      </c>
      <c r="AI1457" s="8" t="str">
        <f ca="1">IFERROR(__xludf.DUMMYFUNCTION("""COMPUTED_VALUE"""),"No")</f>
        <v>No</v>
      </c>
      <c r="AJ1457" s="8"/>
      <c r="AK1457" s="8" t="str">
        <f ca="1">IFERROR(__xludf.DUMMYFUNCTION("""COMPUTED_VALUE"""),"No")</f>
        <v>No</v>
      </c>
      <c r="AL1457" s="8" t="str">
        <f ca="1">IFERROR(__xludf.DUMMYFUNCTION("""COMPUTED_VALUE"""),"No")</f>
        <v>No</v>
      </c>
      <c r="AM1457" s="8" t="str">
        <f ca="1">IFERROR(__xludf.DUMMYFUNCTION("""COMPUTED_VALUE"""),"No")</f>
        <v>No</v>
      </c>
      <c r="AN1457" s="8"/>
      <c r="AO1457" s="8" t="str">
        <f ca="1">IFERROR(__xludf.DUMMYFUNCTION("""COMPUTED_VALUE"""),"No")</f>
        <v>No</v>
      </c>
      <c r="AP1457" s="8" t="str">
        <f ca="1">IFERROR(__xludf.DUMMYFUNCTION("""COMPUTED_VALUE"""),"No")</f>
        <v>No</v>
      </c>
      <c r="AQ1457" s="8" t="str">
        <f ca="1">IFERROR(__xludf.DUMMYFUNCTION("""COMPUTED_VALUE"""),"None")</f>
        <v>None</v>
      </c>
      <c r="AR1457" s="8" t="str">
        <f ca="1">IFERROR(__xludf.DUMMYFUNCTION("""COMPUTED_VALUE"""),"Outside/Off-Property")</f>
        <v>Outside/Off-Property</v>
      </c>
      <c r="AS1457" s="8">
        <f ca="1">IFERROR(__xludf.DUMMYFUNCTION("""COMPUTED_VALUE"""),1)</f>
        <v>1</v>
      </c>
      <c r="AT1457" s="8"/>
      <c r="AU1457" s="8">
        <f ca="1">IFERROR(__xludf.DUMMYFUNCTION("""COMPUTED_VALUE"""),35.327532)</f>
        <v>35.327531999999998</v>
      </c>
      <c r="AV1457" s="8">
        <f ca="1">IFERROR(__xludf.DUMMYFUNCTION("""COMPUTED_VALUE"""),-97.549501)</f>
        <v>-97.549501000000006</v>
      </c>
      <c r="AW1457" s="8"/>
      <c r="AX1457" s="8">
        <f ca="1">IFERROR(__xludf.DUMMYFUNCTION("""COMPUTED_VALUE"""),73170)</f>
        <v>73170</v>
      </c>
    </row>
    <row r="1458" spans="1:50" ht="150" x14ac:dyDescent="0.2">
      <c r="A1458" s="8" t="str">
        <f ca="1">IFERROR(__xludf.DUMMYFUNCTION("""COMPUTED_VALUE"""),"20201005ARKIH")</f>
        <v>20201005ARKIH</v>
      </c>
      <c r="B1458" s="8">
        <f ca="1">IFERROR(__xludf.DUMMYFUNCTION("""COMPUTED_VALUE"""),10)</f>
        <v>10</v>
      </c>
      <c r="C1458" s="8">
        <f ca="1">IFERROR(__xludf.DUMMYFUNCTION("""COMPUTED_VALUE"""),5)</f>
        <v>5</v>
      </c>
      <c r="D1458" s="8">
        <f ca="1">IFERROR(__xludf.DUMMYFUNCTION("""COMPUTED_VALUE"""),2020)</f>
        <v>2020</v>
      </c>
      <c r="E1458" s="9">
        <f ca="1">IFERROR(__xludf.DUMMYFUNCTION("""COMPUTED_VALUE"""),44109)</f>
        <v>44109</v>
      </c>
      <c r="F1458" s="8" t="str">
        <f ca="1">IFERROR(__xludf.DUMMYFUNCTION("""COMPUTED_VALUE"""),"KIPP Delta Elementary School")</f>
        <v>KIPP Delta Elementary School</v>
      </c>
      <c r="G1458" s="8">
        <f ca="1">IFERROR(__xludf.DUMMYFUNCTION("""COMPUTED_VALUE"""),1)</f>
        <v>1</v>
      </c>
      <c r="H1458" s="8">
        <f ca="1">IFERROR(__xludf.DUMMYFUNCTION("""COMPUTED_VALUE"""),1)</f>
        <v>1</v>
      </c>
      <c r="I1458" s="8">
        <f ca="1">IFERROR(__xludf.DUMMYFUNCTION("""COMPUTED_VALUE"""),2)</f>
        <v>2</v>
      </c>
      <c r="J1458" s="8">
        <f ca="1">IFERROR(__xludf.DUMMYFUNCTION("""COMPUTED_VALUE"""),0)</f>
        <v>0</v>
      </c>
      <c r="K1458" s="8" t="str">
        <f ca="1">IFERROR(__xludf.DUMMYFUNCTION("""COMPUTED_VALUE"""),"https://wreg.com/news/arkansas-man-turns-himself-in-after-deadly-shooting-near-helena-west-helena-school/ https://wreg.com/news/1-killed-1-injured-in-shootings-near-helena-west-helena-school/")</f>
        <v>https://wreg.com/news/arkansas-man-turns-himself-in-after-deadly-shooting-near-helena-west-helena-school/ https://wreg.com/news/1-killed-1-injured-in-shootings-near-helena-west-helena-school/</v>
      </c>
      <c r="L1458" s="8">
        <f ca="1">IFERROR(__xludf.DUMMYFUNCTION("""COMPUTED_VALUE"""),2)</f>
        <v>2</v>
      </c>
      <c r="M1458" s="8" t="str">
        <f ca="1">IFERROR(__xludf.DUMMYFUNCTION("""COMPUTED_VALUE"""),"Local")</f>
        <v>Local</v>
      </c>
      <c r="N1458" s="8">
        <f ca="1">IFERROR(__xludf.DUMMYFUNCTION("""COMPUTED_VALUE"""),4)</f>
        <v>4</v>
      </c>
      <c r="O1458" s="8" t="str">
        <f ca="1">IFERROR(__xludf.DUMMYFUNCTION("""COMPUTED_VALUE"""),"Fall")</f>
        <v>Fall</v>
      </c>
      <c r="P1458" s="8" t="str">
        <f ca="1">IFERROR(__xludf.DUMMYFUNCTION("""COMPUTED_VALUE"""),"West Helena")</f>
        <v>West Helena</v>
      </c>
      <c r="Q1458" s="8" t="str">
        <f ca="1">IFERROR(__xludf.DUMMYFUNCTION("""COMPUTED_VALUE"""),"AR")</f>
        <v>AR</v>
      </c>
      <c r="R1458" s="8" t="str">
        <f ca="1">IFERROR(__xludf.DUMMYFUNCTION("""COMPUTED_VALUE"""),"Elementary")</f>
        <v>Elementary</v>
      </c>
      <c r="S1458" s="8" t="str">
        <f ca="1">IFERROR(__xludf.DUMMYFUNCTION("""COMPUTED_VALUE"""),"Front of School")</f>
        <v>Front of School</v>
      </c>
      <c r="T1458" s="8" t="str">
        <f ca="1">IFERROR(__xludf.DUMMYFUNCTION("""COMPUTED_VALUE"""),"Outside on School Property")</f>
        <v>Outside on School Property</v>
      </c>
      <c r="U1458" s="8" t="str">
        <f ca="1">IFERROR(__xludf.DUMMYFUNCTION("""COMPUTED_VALUE"""),"Yes")</f>
        <v>Yes</v>
      </c>
      <c r="V1458" s="8" t="str">
        <f ca="1">IFERROR(__xludf.DUMMYFUNCTION("""COMPUTED_VALUE"""),"Dismissal")</f>
        <v>Dismissal</v>
      </c>
      <c r="W1458" s="11">
        <f ca="1">IFERROR(__xludf.DUMMYFUNCTION("""COMPUTED_VALUE"""),0.625)</f>
        <v>0.625</v>
      </c>
      <c r="X1458" s="8"/>
      <c r="Y1458" s="12" t="str">
        <f ca="1">IFERROR(__xludf.DUMMYFUNCTION("""COMPUTED_VALUE"""),"Two men shot during domestic dispute in front of school during dismissal")</f>
        <v>Two men shot during domestic dispute in front of school during dismissal</v>
      </c>
      <c r="Z1458" s="12" t="str">
        <f ca="1">IFERROR(__xludf.DUMMYFUNCTION("""COMPUTED_VALUE"""),"Two men were shot during two shootings a few minutes apart related to a domestic dispute in front of the school. Students were dismissing at the time of the shooting and ran back into the school following lockdown procedures when the shots were fired. A m"&amp;"an was struck in the arm and fled the scene. While locked down, the second shooting occurred (man fatally shot). Assistant Police Chief James Mayfield said: “It’s gonna be a girlfriend-boyfriend, baby daddy, ex-boyfriend-new boyfriend type situation.” No "&amp;"students or staff were injured.")</f>
        <v>Two men were shot during two shootings a few minutes apart related to a domestic dispute in front of the school. Students were dismissing at the time of the shooting and ran back into the school following lockdown procedures when the shots were fired. A man was struck in the arm and fled the scene. While locked down, the second shooting occurred (man fatally shot). Assistant Police Chief James Mayfield said: “It’s gonna be a girlfriend-boyfriend, baby daddy, ex-boyfriend-new boyfriend type situation.” No students or staff were injured.</v>
      </c>
      <c r="AA1458" s="8" t="str">
        <f ca="1">IFERROR(__xludf.DUMMYFUNCTION("""COMPUTED_VALUE"""),"Domestic w/ Targeted Victim")</f>
        <v>Domestic w/ Targeted Victim</v>
      </c>
      <c r="AB1458" s="8"/>
      <c r="AC1458" s="8" t="str">
        <f ca="1">IFERROR(__xludf.DUMMYFUNCTION("""COMPUTED_VALUE"""),"Yes")</f>
        <v>Yes</v>
      </c>
      <c r="AD1458" s="8" t="str">
        <f ca="1">IFERROR(__xludf.DUMMYFUNCTION("""COMPUTED_VALUE"""),"Victims Targeted")</f>
        <v>Victims Targeted</v>
      </c>
      <c r="AE1458" s="8"/>
      <c r="AF1458" s="8"/>
      <c r="AG1458" s="8" t="str">
        <f ca="1">IFERROR(__xludf.DUMMYFUNCTION("""COMPUTED_VALUE"""),"No")</f>
        <v>No</v>
      </c>
      <c r="AH1458" s="8" t="str">
        <f ca="1">IFERROR(__xludf.DUMMYFUNCTION("""COMPUTED_VALUE"""),"No")</f>
        <v>No</v>
      </c>
      <c r="AI1458" s="8" t="str">
        <f ca="1">IFERROR(__xludf.DUMMYFUNCTION("""COMPUTED_VALUE"""),"No")</f>
        <v>No</v>
      </c>
      <c r="AJ1458" s="8" t="str">
        <f ca="1">IFERROR(__xludf.DUMMYFUNCTION("""COMPUTED_VALUE"""),"No")</f>
        <v>No</v>
      </c>
      <c r="AK1458" s="8" t="str">
        <f ca="1">IFERROR(__xludf.DUMMYFUNCTION("""COMPUTED_VALUE"""),"Yes")</f>
        <v>Yes</v>
      </c>
      <c r="AL1458" s="8" t="str">
        <f ca="1">IFERROR(__xludf.DUMMYFUNCTION("""COMPUTED_VALUE"""),"No")</f>
        <v>No</v>
      </c>
      <c r="AM1458" s="8" t="str">
        <f ca="1">IFERROR(__xludf.DUMMYFUNCTION("""COMPUTED_VALUE"""),"No")</f>
        <v>No</v>
      </c>
      <c r="AN1458" s="8"/>
      <c r="AO1458" s="8" t="str">
        <f ca="1">IFERROR(__xludf.DUMMYFUNCTION("""COMPUTED_VALUE"""),"No")</f>
        <v>No</v>
      </c>
      <c r="AP1458" s="8"/>
      <c r="AQ1458" s="8"/>
      <c r="AR1458" s="8" t="str">
        <f ca="1">IFERROR(__xludf.DUMMYFUNCTION("""COMPUTED_VALUE"""),"Outside/Off-Property")</f>
        <v>Outside/Off-Property</v>
      </c>
      <c r="AS1458" s="8"/>
      <c r="AT1458" s="8" t="str">
        <f ca="1">IFERROR(__xludf.DUMMYFUNCTION("""COMPUTED_VALUE"""),"Yes")</f>
        <v>Yes</v>
      </c>
      <c r="AU1458" s="8">
        <f ca="1">IFERROR(__xludf.DUMMYFUNCTION("""COMPUTED_VALUE"""),34.544621)</f>
        <v>34.544620999999999</v>
      </c>
      <c r="AV1458" s="8">
        <f ca="1">IFERROR(__xludf.DUMMYFUNCTION("""COMPUTED_VALUE"""),-90.633284)</f>
        <v>-90.633284000000003</v>
      </c>
      <c r="AW1458" s="8"/>
      <c r="AX1458" s="8">
        <f ca="1">IFERROR(__xludf.DUMMYFUNCTION("""COMPUTED_VALUE"""),72390)</f>
        <v>72390</v>
      </c>
    </row>
    <row r="1459" spans="1:50" ht="75" x14ac:dyDescent="0.2">
      <c r="A1459" s="8" t="str">
        <f ca="1">IFERROR(__xludf.DUMMYFUNCTION("""COMPUTED_VALUE"""),"20201004NEADL")</f>
        <v>20201004NEADL</v>
      </c>
      <c r="B1459" s="8">
        <f ca="1">IFERROR(__xludf.DUMMYFUNCTION("""COMPUTED_VALUE"""),10)</f>
        <v>10</v>
      </c>
      <c r="C1459" s="8">
        <f ca="1">IFERROR(__xludf.DUMMYFUNCTION("""COMPUTED_VALUE"""),4)</f>
        <v>4</v>
      </c>
      <c r="D1459" s="8">
        <f ca="1">IFERROR(__xludf.DUMMYFUNCTION("""COMPUTED_VALUE"""),2020)</f>
        <v>2020</v>
      </c>
      <c r="E1459" s="9">
        <f ca="1">IFERROR(__xludf.DUMMYFUNCTION("""COMPUTED_VALUE"""),44108)</f>
        <v>44108</v>
      </c>
      <c r="F1459" s="8" t="str">
        <f ca="1">IFERROR(__xludf.DUMMYFUNCTION("""COMPUTED_VALUE"""),"Adam’s Elementary School")</f>
        <v>Adam’s Elementary School</v>
      </c>
      <c r="G1459" s="8">
        <f ca="1">IFERROR(__xludf.DUMMYFUNCTION("""COMPUTED_VALUE"""),0)</f>
        <v>0</v>
      </c>
      <c r="H1459" s="8">
        <f ca="1">IFERROR(__xludf.DUMMYFUNCTION("""COMPUTED_VALUE"""),0)</f>
        <v>0</v>
      </c>
      <c r="I1459" s="8">
        <f ca="1">IFERROR(__xludf.DUMMYFUNCTION("""COMPUTED_VALUE"""),0)</f>
        <v>0</v>
      </c>
      <c r="J1459" s="8">
        <f ca="1">IFERROR(__xludf.DUMMYFUNCTION("""COMPUTED_VALUE"""),0)</f>
        <v>0</v>
      </c>
      <c r="K1459" s="10" t="str">
        <f ca="1">IFERROR(__xludf.DUMMYFUNCTION("""COMPUTED_VALUE"""),"https://www.klkntv.com/shots-fired-at-a-lincoln-elementary-school-officers-say-its-alarming/")</f>
        <v>https://www.klkntv.com/shots-fired-at-a-lincoln-elementary-school-officers-say-its-alarming/</v>
      </c>
      <c r="L1459" s="8">
        <f ca="1">IFERROR(__xludf.DUMMYFUNCTION("""COMPUTED_VALUE"""),1)</f>
        <v>1</v>
      </c>
      <c r="M1459" s="8" t="str">
        <f ca="1">IFERROR(__xludf.DUMMYFUNCTION("""COMPUTED_VALUE"""),"Local")</f>
        <v>Local</v>
      </c>
      <c r="N1459" s="8">
        <f ca="1">IFERROR(__xludf.DUMMYFUNCTION("""COMPUTED_VALUE"""),3)</f>
        <v>3</v>
      </c>
      <c r="O1459" s="8" t="str">
        <f ca="1">IFERROR(__xludf.DUMMYFUNCTION("""COMPUTED_VALUE"""),"Fall")</f>
        <v>Fall</v>
      </c>
      <c r="P1459" s="8" t="str">
        <f ca="1">IFERROR(__xludf.DUMMYFUNCTION("""COMPUTED_VALUE"""),"Lincoln")</f>
        <v>Lincoln</v>
      </c>
      <c r="Q1459" s="8" t="str">
        <f ca="1">IFERROR(__xludf.DUMMYFUNCTION("""COMPUTED_VALUE"""),"NE")</f>
        <v>NE</v>
      </c>
      <c r="R1459" s="8" t="str">
        <f ca="1">IFERROR(__xludf.DUMMYFUNCTION("""COMPUTED_VALUE"""),"Elementary")</f>
        <v>Elementary</v>
      </c>
      <c r="S1459" s="8" t="str">
        <f ca="1">IFERROR(__xludf.DUMMYFUNCTION("""COMPUTED_VALUE"""),"Parking Lot")</f>
        <v>Parking Lot</v>
      </c>
      <c r="T1459" s="8" t="str">
        <f ca="1">IFERROR(__xludf.DUMMYFUNCTION("""COMPUTED_VALUE"""),"Outside on School Property")</f>
        <v>Outside on School Property</v>
      </c>
      <c r="U1459" s="8" t="str">
        <f ca="1">IFERROR(__xludf.DUMMYFUNCTION("""COMPUTED_VALUE"""),"No")</f>
        <v>No</v>
      </c>
      <c r="V1459" s="8"/>
      <c r="W1459" s="8"/>
      <c r="X1459" s="8"/>
      <c r="Y1459" s="12" t="str">
        <f ca="1">IFERROR(__xludf.DUMMYFUNCTION("""COMPUTED_VALUE"""),"Police found shell casings near the elementary school playground")</f>
        <v>Police found shell casings near the elementary school playground</v>
      </c>
      <c r="Z1459" s="12" t="str">
        <f ca="1">IFERROR(__xludf.DUMMYFUNCTION("""COMPUTED_VALUE"""),"Following an anonymous tip, police found spent shell casing in the parking lot of the elementary school near the play ground 2 days after the shooting occurred. A witness said a car pulled up, fired shots and left the scene. No injuries or damage.")</f>
        <v>Following an anonymous tip, police found spent shell casing in the parking lot of the elementary school near the play ground 2 days after the shooting occurred. A witness said a car pulled up, fired shots and left the scene. No injuries or damage.</v>
      </c>
      <c r="AA1459" s="8" t="str">
        <f ca="1">IFERROR(__xludf.DUMMYFUNCTION("""COMPUTED_VALUE"""),"Drive-by Shooting")</f>
        <v>Drive-by Shooting</v>
      </c>
      <c r="AB1459" s="8"/>
      <c r="AC1459" s="8" t="str">
        <f ca="1">IFERROR(__xludf.DUMMYFUNCTION("""COMPUTED_VALUE"""),"No")</f>
        <v>No</v>
      </c>
      <c r="AD1459" s="8" t="str">
        <f ca="1">IFERROR(__xludf.DUMMYFUNCTION("""COMPUTED_VALUE"""),"Neither")</f>
        <v>Neither</v>
      </c>
      <c r="AE1459" s="8"/>
      <c r="AF1459" s="8"/>
      <c r="AG1459" s="8" t="str">
        <f ca="1">IFERROR(__xludf.DUMMYFUNCTION("""COMPUTED_VALUE"""),"No")</f>
        <v>No</v>
      </c>
      <c r="AH1459" s="8" t="str">
        <f ca="1">IFERROR(__xludf.DUMMYFUNCTION("""COMPUTED_VALUE"""),"No")</f>
        <v>No</v>
      </c>
      <c r="AI1459" s="8" t="str">
        <f ca="1">IFERROR(__xludf.DUMMYFUNCTION("""COMPUTED_VALUE"""),"No")</f>
        <v>No</v>
      </c>
      <c r="AJ1459" s="8" t="str">
        <f ca="1">IFERROR(__xludf.DUMMYFUNCTION("""COMPUTED_VALUE"""),"No")</f>
        <v>No</v>
      </c>
      <c r="AK1459" s="8" t="str">
        <f ca="1">IFERROR(__xludf.DUMMYFUNCTION("""COMPUTED_VALUE"""),"No")</f>
        <v>No</v>
      </c>
      <c r="AL1459" s="8"/>
      <c r="AM1459" s="8" t="str">
        <f ca="1">IFERROR(__xludf.DUMMYFUNCTION("""COMPUTED_VALUE"""),"No")</f>
        <v>No</v>
      </c>
      <c r="AN1459" s="8"/>
      <c r="AO1459" s="8" t="str">
        <f ca="1">IFERROR(__xludf.DUMMYFUNCTION("""COMPUTED_VALUE"""),"No")</f>
        <v>No</v>
      </c>
      <c r="AP1459" s="8"/>
      <c r="AQ1459" s="8"/>
      <c r="AR1459" s="8" t="str">
        <f ca="1">IFERROR(__xludf.DUMMYFUNCTION("""COMPUTED_VALUE"""),"Outside/Off-Property")</f>
        <v>Outside/Off-Property</v>
      </c>
      <c r="AS1459" s="8"/>
      <c r="AT1459" s="8"/>
      <c r="AU1459" s="8">
        <f ca="1">IFERROR(__xludf.DUMMYFUNCTION("""COMPUTED_VALUE"""),40.734957)</f>
        <v>40.734957000000001</v>
      </c>
      <c r="AV1459" s="8">
        <f ca="1">IFERROR(__xludf.DUMMYFUNCTION("""COMPUTED_VALUE"""),-96.687776)</f>
        <v>-96.687775999999999</v>
      </c>
      <c r="AW1459" s="8"/>
      <c r="AX1459" s="8">
        <f ca="1">IFERROR(__xludf.DUMMYFUNCTION("""COMPUTED_VALUE"""),68152)</f>
        <v>68152</v>
      </c>
    </row>
    <row r="1460" spans="1:50" ht="60" x14ac:dyDescent="0.2">
      <c r="A1460" s="8" t="str">
        <f ca="1">IFERROR(__xludf.DUMMYFUNCTION("""COMPUTED_VALUE"""),"20201002PAMAE")</f>
        <v>20201002PAMAE</v>
      </c>
      <c r="B1460" s="8">
        <f ca="1">IFERROR(__xludf.DUMMYFUNCTION("""COMPUTED_VALUE"""),10)</f>
        <v>10</v>
      </c>
      <c r="C1460" s="8">
        <f ca="1">IFERROR(__xludf.DUMMYFUNCTION("""COMPUTED_VALUE"""),2)</f>
        <v>2</v>
      </c>
      <c r="D1460" s="8">
        <f ca="1">IFERROR(__xludf.DUMMYFUNCTION("""COMPUTED_VALUE"""),2020)</f>
        <v>2020</v>
      </c>
      <c r="E1460" s="9">
        <f ca="1">IFERROR(__xludf.DUMMYFUNCTION("""COMPUTED_VALUE"""),44106)</f>
        <v>44106</v>
      </c>
      <c r="F1460" s="8" t="str">
        <f ca="1">IFERROR(__xludf.DUMMYFUNCTION("""COMPUTED_VALUE"""),"Marple-Newtown School Bus")</f>
        <v>Marple-Newtown School Bus</v>
      </c>
      <c r="G1460" s="8">
        <f ca="1">IFERROR(__xludf.DUMMYFUNCTION("""COMPUTED_VALUE"""),0)</f>
        <v>0</v>
      </c>
      <c r="H1460" s="8">
        <f ca="1">IFERROR(__xludf.DUMMYFUNCTION("""COMPUTED_VALUE"""),0)</f>
        <v>0</v>
      </c>
      <c r="I1460" s="8">
        <f ca="1">IFERROR(__xludf.DUMMYFUNCTION("""COMPUTED_VALUE"""),0)</f>
        <v>0</v>
      </c>
      <c r="J1460" s="8">
        <f ca="1">IFERROR(__xludf.DUMMYFUNCTION("""COMPUTED_VALUE"""),0)</f>
        <v>0</v>
      </c>
      <c r="K1460" s="10" t="str">
        <f ca="1">IFERROR(__xludf.DUMMYFUNCTION("""COMPUTED_VALUE"""),"https://www.mainlinemedianews.com/mainlinesuburbanlife/radnor-police-reports-shots-from-pellet-gun-hit-school-bus/article_a0646684-0c76-11eb-bae3-0702efefe48f.html")</f>
        <v>https://www.mainlinemedianews.com/mainlinesuburbanlife/radnor-police-reports-shots-from-pellet-gun-hit-school-bus/article_a0646684-0c76-11eb-bae3-0702efefe48f.html</v>
      </c>
      <c r="L1460" s="8">
        <f ca="1">IFERROR(__xludf.DUMMYFUNCTION("""COMPUTED_VALUE"""),1)</f>
        <v>1</v>
      </c>
      <c r="M1460" s="8" t="str">
        <f ca="1">IFERROR(__xludf.DUMMYFUNCTION("""COMPUTED_VALUE"""),"Local")</f>
        <v>Local</v>
      </c>
      <c r="N1460" s="8">
        <f ca="1">IFERROR(__xludf.DUMMYFUNCTION("""COMPUTED_VALUE"""),3)</f>
        <v>3</v>
      </c>
      <c r="O1460" s="8" t="str">
        <f ca="1">IFERROR(__xludf.DUMMYFUNCTION("""COMPUTED_VALUE"""),"Fall")</f>
        <v>Fall</v>
      </c>
      <c r="P1460" s="8" t="str">
        <f ca="1">IFERROR(__xludf.DUMMYFUNCTION("""COMPUTED_VALUE"""),"Exton")</f>
        <v>Exton</v>
      </c>
      <c r="Q1460" s="8" t="str">
        <f ca="1">IFERROR(__xludf.DUMMYFUNCTION("""COMPUTED_VALUE"""),"PA")</f>
        <v>PA</v>
      </c>
      <c r="R1460" s="8"/>
      <c r="S1460" s="8" t="str">
        <f ca="1">IFERROR(__xludf.DUMMYFUNCTION("""COMPUTED_VALUE"""),"School Bus")</f>
        <v>School Bus</v>
      </c>
      <c r="T1460" s="8" t="str">
        <f ca="1">IFERROR(__xludf.DUMMYFUNCTION("""COMPUTED_VALUE"""),"School Bus")</f>
        <v>School Bus</v>
      </c>
      <c r="U1460" s="8"/>
      <c r="V1460" s="8"/>
      <c r="W1460" s="8"/>
      <c r="X1460" s="8">
        <f ca="1">IFERROR(__xludf.DUMMYFUNCTION("""COMPUTED_VALUE"""),1)</f>
        <v>1</v>
      </c>
      <c r="Y1460" s="12" t="str">
        <f ca="1">IFERROR(__xludf.DUMMYFUNCTION("""COMPUTED_VALUE"""),"Multiple school bus windows shot while bus was driving on city street")</f>
        <v>Multiple school bus windows shot while bus was driving on city street</v>
      </c>
      <c r="Z1460" s="12" t="str">
        <f ca="1">IFERROR(__xludf.DUMMYFUNCTION("""COMPUTED_VALUE"""),"Multiple bus windows were broken while the school bus was being driven on a city street. Police said a pellet gun was used. No other information available.")</f>
        <v>Multiple bus windows were broken while the school bus was being driven on a city street. Police said a pellet gun was used. No other information available.</v>
      </c>
      <c r="AA1460" s="8" t="str">
        <f ca="1">IFERROR(__xludf.DUMMYFUNCTION("""COMPUTED_VALUE"""),"Intentional Property Damage")</f>
        <v>Intentional Property Damage</v>
      </c>
      <c r="AB1460" s="8"/>
      <c r="AC1460" s="8" t="str">
        <f ca="1">IFERROR(__xludf.DUMMYFUNCTION("""COMPUTED_VALUE"""),"Yes")</f>
        <v>Yes</v>
      </c>
      <c r="AD1460" s="8" t="str">
        <f ca="1">IFERROR(__xludf.DUMMYFUNCTION("""COMPUTED_VALUE"""),"Neither")</f>
        <v>Neither</v>
      </c>
      <c r="AE1460" s="8"/>
      <c r="AF1460" s="8"/>
      <c r="AG1460" s="8" t="str">
        <f ca="1">IFERROR(__xludf.DUMMYFUNCTION("""COMPUTED_VALUE"""),"No")</f>
        <v>No</v>
      </c>
      <c r="AH1460" s="8" t="str">
        <f ca="1">IFERROR(__xludf.DUMMYFUNCTION("""COMPUTED_VALUE"""),"No")</f>
        <v>No</v>
      </c>
      <c r="AI1460" s="8" t="str">
        <f ca="1">IFERROR(__xludf.DUMMYFUNCTION("""COMPUTED_VALUE"""),"No")</f>
        <v>No</v>
      </c>
      <c r="AJ1460" s="8" t="str">
        <f ca="1">IFERROR(__xludf.DUMMYFUNCTION("""COMPUTED_VALUE"""),"No")</f>
        <v>No</v>
      </c>
      <c r="AK1460" s="8" t="str">
        <f ca="1">IFERROR(__xludf.DUMMYFUNCTION("""COMPUTED_VALUE"""),"No")</f>
        <v>No</v>
      </c>
      <c r="AL1460" s="8" t="str">
        <f ca="1">IFERROR(__xludf.DUMMYFUNCTION("""COMPUTED_VALUE"""),"No")</f>
        <v>No</v>
      </c>
      <c r="AM1460" s="8" t="str">
        <f ca="1">IFERROR(__xludf.DUMMYFUNCTION("""COMPUTED_VALUE"""),"No")</f>
        <v>No</v>
      </c>
      <c r="AN1460" s="8"/>
      <c r="AO1460" s="8" t="str">
        <f ca="1">IFERROR(__xludf.DUMMYFUNCTION("""COMPUTED_VALUE"""),"No")</f>
        <v>No</v>
      </c>
      <c r="AP1460" s="8"/>
      <c r="AQ1460" s="8"/>
      <c r="AR1460" s="8" t="str">
        <f ca="1">IFERROR(__xludf.DUMMYFUNCTION("""COMPUTED_VALUE"""),"Outside/Off-Property")</f>
        <v>Outside/Off-Property</v>
      </c>
      <c r="AS1460" s="8"/>
      <c r="AT1460" s="8"/>
      <c r="AU1460" s="8">
        <f ca="1">IFERROR(__xludf.DUMMYFUNCTION("""COMPUTED_VALUE"""),40.028125)</f>
        <v>40.028125000000003</v>
      </c>
      <c r="AV1460" s="8">
        <f ca="1">IFERROR(__xludf.DUMMYFUNCTION("""COMPUTED_VALUE"""),-75.62848)</f>
        <v>-75.628479999999996</v>
      </c>
      <c r="AW1460" s="8"/>
      <c r="AX1460" s="8">
        <f ca="1">IFERROR(__xludf.DUMMYFUNCTION("""COMPUTED_VALUE"""),19341)</f>
        <v>19341</v>
      </c>
    </row>
    <row r="1461" spans="1:50" ht="90" x14ac:dyDescent="0.2">
      <c r="A1461" s="8" t="str">
        <f ca="1">IFERROR(__xludf.DUMMYFUNCTION("""COMPUTED_VALUE"""),"20200930CADYL")</f>
        <v>20200930CADYL</v>
      </c>
      <c r="B1461" s="8">
        <f ca="1">IFERROR(__xludf.DUMMYFUNCTION("""COMPUTED_VALUE"""),9)</f>
        <v>9</v>
      </c>
      <c r="C1461" s="8">
        <f ca="1">IFERROR(__xludf.DUMMYFUNCTION("""COMPUTED_VALUE"""),30)</f>
        <v>30</v>
      </c>
      <c r="D1461" s="8">
        <f ca="1">IFERROR(__xludf.DUMMYFUNCTION("""COMPUTED_VALUE"""),2020)</f>
        <v>2020</v>
      </c>
      <c r="E1461" s="9">
        <f ca="1">IFERROR(__xludf.DUMMYFUNCTION("""COMPUTED_VALUE"""),44104)</f>
        <v>44104</v>
      </c>
      <c r="F1461" s="8" t="str">
        <f ca="1">IFERROR(__xludf.DUMMYFUNCTION("""COMPUTED_VALUE"""),"Dymally High School")</f>
        <v>Dymally High School</v>
      </c>
      <c r="G1461" s="8">
        <f ca="1">IFERROR(__xludf.DUMMYFUNCTION("""COMPUTED_VALUE"""),0)</f>
        <v>0</v>
      </c>
      <c r="H1461" s="8">
        <f ca="1">IFERROR(__xludf.DUMMYFUNCTION("""COMPUTED_VALUE"""),2)</f>
        <v>2</v>
      </c>
      <c r="I1461" s="8">
        <f ca="1">IFERROR(__xludf.DUMMYFUNCTION("""COMPUTED_VALUE"""),2)</f>
        <v>2</v>
      </c>
      <c r="J1461" s="8">
        <f ca="1">IFERROR(__xludf.DUMMYFUNCTION("""COMPUTED_VALUE"""),0)</f>
        <v>0</v>
      </c>
      <c r="K1461" s="8" t="str">
        <f ca="1">IFERROR(__xludf.DUMMYFUNCTION("""COMPUTED_VALUE"""),"https://losangeles.cbslocal.com/2020/10/01/police-investigating-alleged-murder-of-westlake-high-school-football-star/ https://twitter.com/LASchoolPolice/status/1311442378075512832?s=20 https://www.instagram.com/p/CFxzvZOF416/?igshid=121a92bhc4dbt https://"&amp;"patch.com/california/los-angeles/shooting-forces-dymally-high-school-lockdown-2-wounded")</f>
        <v>https://losangeles.cbslocal.com/2020/10/01/police-investigating-alleged-murder-of-westlake-high-school-football-star/ https://twitter.com/LASchoolPolice/status/1311442378075512832?s=20 https://www.instagram.com/p/CFxzvZOF416/?igshid=121a92bhc4dbt https://patch.com/california/los-angeles/shooting-forces-dymally-high-school-lockdown-2-wounded</v>
      </c>
      <c r="L1461" s="8">
        <f ca="1">IFERROR(__xludf.DUMMYFUNCTION("""COMPUTED_VALUE"""),1)</f>
        <v>1</v>
      </c>
      <c r="M1461" s="8" t="str">
        <f ca="1">IFERROR(__xludf.DUMMYFUNCTION("""COMPUTED_VALUE"""),"Local")</f>
        <v>Local</v>
      </c>
      <c r="N1461" s="8">
        <f ca="1">IFERROR(__xludf.DUMMYFUNCTION("""COMPUTED_VALUE"""),4)</f>
        <v>4</v>
      </c>
      <c r="O1461" s="8" t="str">
        <f ca="1">IFERROR(__xludf.DUMMYFUNCTION("""COMPUTED_VALUE"""),"Fall")</f>
        <v>Fall</v>
      </c>
      <c r="P1461" s="8" t="str">
        <f ca="1">IFERROR(__xludf.DUMMYFUNCTION("""COMPUTED_VALUE"""),"Los Angeles")</f>
        <v>Los Angeles</v>
      </c>
      <c r="Q1461" s="8" t="str">
        <f ca="1">IFERROR(__xludf.DUMMYFUNCTION("""COMPUTED_VALUE"""),"CA")</f>
        <v>CA</v>
      </c>
      <c r="R1461" s="8" t="str">
        <f ca="1">IFERROR(__xludf.DUMMYFUNCTION("""COMPUTED_VALUE"""),"High")</f>
        <v>High</v>
      </c>
      <c r="S1461" s="8" t="str">
        <f ca="1">IFERROR(__xludf.DUMMYFUNCTION("""COMPUTED_VALUE"""),"Front of School")</f>
        <v>Front of School</v>
      </c>
      <c r="T1461" s="8" t="str">
        <f ca="1">IFERROR(__xludf.DUMMYFUNCTION("""COMPUTED_VALUE"""),"Outside on School Property")</f>
        <v>Outside on School Property</v>
      </c>
      <c r="U1461" s="8" t="str">
        <f ca="1">IFERROR(__xludf.DUMMYFUNCTION("""COMPUTED_VALUE"""),"Yes")</f>
        <v>Yes</v>
      </c>
      <c r="V1461" s="8" t="str">
        <f ca="1">IFERROR(__xludf.DUMMYFUNCTION("""COMPUTED_VALUE"""),"Afternoon Classes")</f>
        <v>Afternoon Classes</v>
      </c>
      <c r="W1461" s="8"/>
      <c r="X1461" s="8">
        <f ca="1">IFERROR(__xludf.DUMMYFUNCTION("""COMPUTED_VALUE"""),1)</f>
        <v>1</v>
      </c>
      <c r="Y1461" s="12" t="str">
        <f ca="1">IFERROR(__xludf.DUMMYFUNCTION("""COMPUTED_VALUE"""),"Two men were shot in front of the school")</f>
        <v>Two men were shot in front of the school</v>
      </c>
      <c r="Z1461" s="12" t="str">
        <f ca="1">IFERROR(__xludf.DUMMYFUNCTION("""COMPUTED_VALUE"""),"LA School Police assigned to the building responded to two men shot (one was a 18 year-old male student) in front of the school. Staff and students in the building were locked down. School police provided first aid to both victims who were not students. N"&amp;"o further information about the shooter or motive provided.")</f>
        <v>LA School Police assigned to the building responded to two men shot (one was a 18 year-old male student) in front of the school. Staff and students in the building were locked down. School police provided first aid to both victims who were not students. No further information about the shooter or motive provided.</v>
      </c>
      <c r="AA1461" s="8"/>
      <c r="AB1461" s="8"/>
      <c r="AC1461" s="8" t="str">
        <f ca="1">IFERROR(__xludf.DUMMYFUNCTION("""COMPUTED_VALUE"""),"Yes")</f>
        <v>Yes</v>
      </c>
      <c r="AD1461" s="8" t="str">
        <f ca="1">IFERROR(__xludf.DUMMYFUNCTION("""COMPUTED_VALUE"""),"Victims Targeted")</f>
        <v>Victims Targeted</v>
      </c>
      <c r="AE1461" s="8"/>
      <c r="AF1461" s="8"/>
      <c r="AG1461" s="8" t="str">
        <f ca="1">IFERROR(__xludf.DUMMYFUNCTION("""COMPUTED_VALUE"""),"No")</f>
        <v>No</v>
      </c>
      <c r="AH1461" s="8" t="str">
        <f ca="1">IFERROR(__xludf.DUMMYFUNCTION("""COMPUTED_VALUE"""),"No")</f>
        <v>No</v>
      </c>
      <c r="AI1461" s="8" t="str">
        <f ca="1">IFERROR(__xludf.DUMMYFUNCTION("""COMPUTED_VALUE"""),"No")</f>
        <v>No</v>
      </c>
      <c r="AJ1461" s="8" t="str">
        <f ca="1">IFERROR(__xludf.DUMMYFUNCTION("""COMPUTED_VALUE"""),"No")</f>
        <v>No</v>
      </c>
      <c r="AK1461" s="8" t="str">
        <f ca="1">IFERROR(__xludf.DUMMYFUNCTION("""COMPUTED_VALUE"""),"No")</f>
        <v>No</v>
      </c>
      <c r="AL1461" s="8"/>
      <c r="AM1461" s="8" t="str">
        <f ca="1">IFERROR(__xludf.DUMMYFUNCTION("""COMPUTED_VALUE"""),"No")</f>
        <v>No</v>
      </c>
      <c r="AN1461" s="8"/>
      <c r="AO1461" s="8" t="str">
        <f ca="1">IFERROR(__xludf.DUMMYFUNCTION("""COMPUTED_VALUE"""),"No")</f>
        <v>No</v>
      </c>
      <c r="AP1461" s="8" t="str">
        <f ca="1">IFERROR(__xludf.DUMMYFUNCTION("""COMPUTED_VALUE"""),"Yes")</f>
        <v>Yes</v>
      </c>
      <c r="AQ1461" s="8"/>
      <c r="AR1461" s="8" t="str">
        <f ca="1">IFERROR(__xludf.DUMMYFUNCTION("""COMPUTED_VALUE"""),"Outside/Off-Property")</f>
        <v>Outside/Off-Property</v>
      </c>
      <c r="AS1461" s="8"/>
      <c r="AT1461" s="8" t="str">
        <f ca="1">IFERROR(__xludf.DUMMYFUNCTION("""COMPUTED_VALUE"""),"Yes")</f>
        <v>Yes</v>
      </c>
      <c r="AU1461" s="8">
        <f ca="1">IFERROR(__xludf.DUMMYFUNCTION("""COMPUTED_VALUE"""),33.957635)</f>
        <v>33.957635000000003</v>
      </c>
      <c r="AV1461" s="8">
        <f ca="1">IFERROR(__xludf.DUMMYFUNCTION("""COMPUTED_VALUE"""),-118.269297)</f>
        <v>-118.26929699999999</v>
      </c>
      <c r="AW1461" s="8"/>
      <c r="AX1461" s="8">
        <f ca="1">IFERROR(__xludf.DUMMYFUNCTION("""COMPUTED_VALUE"""),90003)</f>
        <v>90003</v>
      </c>
    </row>
    <row r="1462" spans="1:50" ht="75" x14ac:dyDescent="0.2">
      <c r="A1462" s="8" t="str">
        <f ca="1">IFERROR(__xludf.DUMMYFUNCTION("""COMPUTED_VALUE"""),"20200928CTEAN")</f>
        <v>20200928CTEAN</v>
      </c>
      <c r="B1462" s="8">
        <f ca="1">IFERROR(__xludf.DUMMYFUNCTION("""COMPUTED_VALUE"""),9)</f>
        <v>9</v>
      </c>
      <c r="C1462" s="8">
        <f ca="1">IFERROR(__xludf.DUMMYFUNCTION("""COMPUTED_VALUE"""),28)</f>
        <v>28</v>
      </c>
      <c r="D1462" s="8">
        <f ca="1">IFERROR(__xludf.DUMMYFUNCTION("""COMPUTED_VALUE"""),2020)</f>
        <v>2020</v>
      </c>
      <c r="E1462" s="9">
        <f ca="1">IFERROR(__xludf.DUMMYFUNCTION("""COMPUTED_VALUE"""),44102)</f>
        <v>44102</v>
      </c>
      <c r="F1462" s="8" t="str">
        <f ca="1">IFERROR(__xludf.DUMMYFUNCTION("""COMPUTED_VALUE"""),"East Rock Community Magnet School")</f>
        <v>East Rock Community Magnet School</v>
      </c>
      <c r="G1462" s="8">
        <f ca="1">IFERROR(__xludf.DUMMYFUNCTION("""COMPUTED_VALUE"""),0)</f>
        <v>0</v>
      </c>
      <c r="H1462" s="8">
        <f ca="1">IFERROR(__xludf.DUMMYFUNCTION("""COMPUTED_VALUE"""),1)</f>
        <v>1</v>
      </c>
      <c r="I1462" s="8">
        <f ca="1">IFERROR(__xludf.DUMMYFUNCTION("""COMPUTED_VALUE"""),1)</f>
        <v>1</v>
      </c>
      <c r="J1462" s="8">
        <f ca="1">IFERROR(__xludf.DUMMYFUNCTION("""COMPUTED_VALUE"""),0)</f>
        <v>0</v>
      </c>
      <c r="K1462" s="8" t="str">
        <f ca="1">IFERROR(__xludf.DUMMYFUNCTION("""COMPUTED_VALUE"""),"https://www.nbcconnecticut.com/news/local/18-year-old-man-injured-in-new-haven-shooting/2338391/ https://www.fox61.com/article/news/local/new-haven-police-investigate-east-rock-shooting-that-injured-1/520-aeeaf359-78fa-429a-8798-534d5bf1b4d4")</f>
        <v>https://www.nbcconnecticut.com/news/local/18-year-old-man-injured-in-new-haven-shooting/2338391/ https://www.fox61.com/article/news/local/new-haven-police-investigate-east-rock-shooting-that-injured-1/520-aeeaf359-78fa-429a-8798-534d5bf1b4d4</v>
      </c>
      <c r="L1462" s="8">
        <f ca="1">IFERROR(__xludf.DUMMYFUNCTION("""COMPUTED_VALUE"""),2)</f>
        <v>2</v>
      </c>
      <c r="M1462" s="8" t="str">
        <f ca="1">IFERROR(__xludf.DUMMYFUNCTION("""COMPUTED_VALUE"""),"Local")</f>
        <v>Local</v>
      </c>
      <c r="N1462" s="8">
        <f ca="1">IFERROR(__xludf.DUMMYFUNCTION("""COMPUTED_VALUE"""),3)</f>
        <v>3</v>
      </c>
      <c r="O1462" s="8" t="str">
        <f ca="1">IFERROR(__xludf.DUMMYFUNCTION("""COMPUTED_VALUE"""),"Fall")</f>
        <v>Fall</v>
      </c>
      <c r="P1462" s="8" t="str">
        <f ca="1">IFERROR(__xludf.DUMMYFUNCTION("""COMPUTED_VALUE"""),"New Haven")</f>
        <v>New Haven</v>
      </c>
      <c r="Q1462" s="8" t="str">
        <f ca="1">IFERROR(__xludf.DUMMYFUNCTION("""COMPUTED_VALUE"""),"CT")</f>
        <v>CT</v>
      </c>
      <c r="R1462" s="8" t="str">
        <f ca="1">IFERROR(__xludf.DUMMYFUNCTION("""COMPUTED_VALUE"""),"K-8")</f>
        <v>K-8</v>
      </c>
      <c r="S1462" s="8" t="str">
        <f ca="1">IFERROR(__xludf.DUMMYFUNCTION("""COMPUTED_VALUE"""),"Beside Building")</f>
        <v>Beside Building</v>
      </c>
      <c r="T1462" s="8" t="str">
        <f ca="1">IFERROR(__xludf.DUMMYFUNCTION("""COMPUTED_VALUE"""),"Outside on School Property")</f>
        <v>Outside on School Property</v>
      </c>
      <c r="U1462" s="8" t="str">
        <f ca="1">IFERROR(__xludf.DUMMYFUNCTION("""COMPUTED_VALUE"""),"No")</f>
        <v>No</v>
      </c>
      <c r="V1462" s="8" t="str">
        <f ca="1">IFERROR(__xludf.DUMMYFUNCTION("""COMPUTED_VALUE"""),"Before School")</f>
        <v>Before School</v>
      </c>
      <c r="W1462" s="11">
        <f ca="1">IFERROR(__xludf.DUMMYFUNCTION("""COMPUTED_VALUE"""),0.259027777777777)</f>
        <v>0.25902777777777702</v>
      </c>
      <c r="X1462" s="8">
        <f ca="1">IFERROR(__xludf.DUMMYFUNCTION("""COMPUTED_VALUE"""),1)</f>
        <v>1</v>
      </c>
      <c r="Y1462" s="12" t="str">
        <f ca="1">IFERROR(__xludf.DUMMYFUNCTION("""COMPUTED_VALUE"""),"Man shot next to school building")</f>
        <v>Man shot next to school building</v>
      </c>
      <c r="Z1462" s="12" t="str">
        <f ca="1">IFERROR(__xludf.DUMMYFUNCTION("""COMPUTED_VALUE"""),"Police responded for a call of multiple shots fired. Officers found an 18 year-old male wounded next to the school. Shooter fled the scene. School is closed for COVID-19. No information about motive. A vehicle parked in the street was also struck by the g"&amp;"unfire.")</f>
        <v>Police responded for a call of multiple shots fired. Officers found an 18 year-old male wounded next to the school. Shooter fled the scene. School is closed for COVID-19. No information about motive. A vehicle parked in the street was also struck by the gunfire.</v>
      </c>
      <c r="AA1462" s="8"/>
      <c r="AB1462" s="8"/>
      <c r="AC1462" s="8" t="str">
        <f ca="1">IFERROR(__xludf.DUMMYFUNCTION("""COMPUTED_VALUE"""),"No")</f>
        <v>No</v>
      </c>
      <c r="AD1462" s="8" t="str">
        <f ca="1">IFERROR(__xludf.DUMMYFUNCTION("""COMPUTED_VALUE"""),"Victims Targeted")</f>
        <v>Victims Targeted</v>
      </c>
      <c r="AE1462" s="8"/>
      <c r="AF1462" s="8"/>
      <c r="AG1462" s="8" t="str">
        <f ca="1">IFERROR(__xludf.DUMMYFUNCTION("""COMPUTED_VALUE"""),"No")</f>
        <v>No</v>
      </c>
      <c r="AH1462" s="8" t="str">
        <f ca="1">IFERROR(__xludf.DUMMYFUNCTION("""COMPUTED_VALUE"""),"No")</f>
        <v>No</v>
      </c>
      <c r="AI1462" s="8" t="str">
        <f ca="1">IFERROR(__xludf.DUMMYFUNCTION("""COMPUTED_VALUE"""),"No")</f>
        <v>No</v>
      </c>
      <c r="AJ1462" s="8" t="str">
        <f ca="1">IFERROR(__xludf.DUMMYFUNCTION("""COMPUTED_VALUE"""),"No")</f>
        <v>No</v>
      </c>
      <c r="AK1462" s="8" t="str">
        <f ca="1">IFERROR(__xludf.DUMMYFUNCTION("""COMPUTED_VALUE"""),"No")</f>
        <v>No</v>
      </c>
      <c r="AL1462" s="8"/>
      <c r="AM1462" s="8" t="str">
        <f ca="1">IFERROR(__xludf.DUMMYFUNCTION("""COMPUTED_VALUE"""),"No")</f>
        <v>No</v>
      </c>
      <c r="AN1462" s="8"/>
      <c r="AO1462" s="8" t="str">
        <f ca="1">IFERROR(__xludf.DUMMYFUNCTION("""COMPUTED_VALUE"""),"No")</f>
        <v>No</v>
      </c>
      <c r="AP1462" s="8"/>
      <c r="AQ1462" s="8"/>
      <c r="AR1462" s="8" t="str">
        <f ca="1">IFERROR(__xludf.DUMMYFUNCTION("""COMPUTED_VALUE"""),"Outside/Off-Property")</f>
        <v>Outside/Off-Property</v>
      </c>
      <c r="AS1462" s="8"/>
      <c r="AT1462" s="8"/>
      <c r="AU1462" s="8">
        <f ca="1">IFERROR(__xludf.DUMMYFUNCTION("""COMPUTED_VALUE"""),41.319462)</f>
        <v>41.319462000000001</v>
      </c>
      <c r="AV1462" s="8">
        <f ca="1">IFERROR(__xludf.DUMMYFUNCTION("""COMPUTED_VALUE"""),-72.907166)</f>
        <v>-72.907166000000004</v>
      </c>
      <c r="AW1462" s="8"/>
      <c r="AX1462" s="8">
        <f ca="1">IFERROR(__xludf.DUMMYFUNCTION("""COMPUTED_VALUE"""),6511)</f>
        <v>6511</v>
      </c>
    </row>
    <row r="1463" spans="1:50" ht="45" x14ac:dyDescent="0.2">
      <c r="A1463" s="8" t="str">
        <f ca="1">IFERROR(__xludf.DUMMYFUNCTION("""COMPUTED_VALUE"""),"20200925NJHAH")</f>
        <v>20200925NJHAH</v>
      </c>
      <c r="B1463" s="8">
        <f ca="1">IFERROR(__xludf.DUMMYFUNCTION("""COMPUTED_VALUE"""),9)</f>
        <v>9</v>
      </c>
      <c r="C1463" s="8">
        <f ca="1">IFERROR(__xludf.DUMMYFUNCTION("""COMPUTED_VALUE"""),25)</f>
        <v>25</v>
      </c>
      <c r="D1463" s="8">
        <f ca="1">IFERROR(__xludf.DUMMYFUNCTION("""COMPUTED_VALUE"""),2020)</f>
        <v>2020</v>
      </c>
      <c r="E1463" s="9">
        <f ca="1">IFERROR(__xludf.DUMMYFUNCTION("""COMPUTED_VALUE"""),44099)</f>
        <v>44099</v>
      </c>
      <c r="F1463" s="8" t="str">
        <f ca="1">IFERROR(__xludf.DUMMYFUNCTION("""COMPUTED_VALUE"""),"Haledon Public School")</f>
        <v>Haledon Public School</v>
      </c>
      <c r="G1463" s="8">
        <f ca="1">IFERROR(__xludf.DUMMYFUNCTION("""COMPUTED_VALUE"""),0)</f>
        <v>0</v>
      </c>
      <c r="H1463" s="8">
        <f ca="1">IFERROR(__xludf.DUMMYFUNCTION("""COMPUTED_VALUE"""),1)</f>
        <v>1</v>
      </c>
      <c r="I1463" s="8">
        <f ca="1">IFERROR(__xludf.DUMMYFUNCTION("""COMPUTED_VALUE"""),1)</f>
        <v>1</v>
      </c>
      <c r="J1463" s="8">
        <f ca="1">IFERROR(__xludf.DUMMYFUNCTION("""COMPUTED_VALUE"""),0)</f>
        <v>0</v>
      </c>
      <c r="K1463" s="8" t="str">
        <f ca="1">IFERROR(__xludf.DUMMYFUNCTION("""COMPUTED_VALUE"""),"https://patersontimes.com/2020/09/26/long-branch-man-wounded-in-paterson-shooting/ https://www.northjersey.com/picture-gallery/news/passaic/2020/09/26/shooting-victim-found-near-haledon-nj-school-police-investigate/3538699001/")</f>
        <v>https://patersontimes.com/2020/09/26/long-branch-man-wounded-in-paterson-shooting/ https://www.northjersey.com/picture-gallery/news/passaic/2020/09/26/shooting-victim-found-near-haledon-nj-school-police-investigate/3538699001/</v>
      </c>
      <c r="L1463" s="8">
        <f ca="1">IFERROR(__xludf.DUMMYFUNCTION("""COMPUTED_VALUE"""),2)</f>
        <v>2</v>
      </c>
      <c r="M1463" s="8" t="str">
        <f ca="1">IFERROR(__xludf.DUMMYFUNCTION("""COMPUTED_VALUE"""),"Local")</f>
        <v>Local</v>
      </c>
      <c r="N1463" s="8">
        <f ca="1">IFERROR(__xludf.DUMMYFUNCTION("""COMPUTED_VALUE"""),3)</f>
        <v>3</v>
      </c>
      <c r="O1463" s="8" t="str">
        <f ca="1">IFERROR(__xludf.DUMMYFUNCTION("""COMPUTED_VALUE"""),"Fall")</f>
        <v>Fall</v>
      </c>
      <c r="P1463" s="8" t="str">
        <f ca="1">IFERROR(__xludf.DUMMYFUNCTION("""COMPUTED_VALUE"""),"Haledon")</f>
        <v>Haledon</v>
      </c>
      <c r="Q1463" s="8" t="str">
        <f ca="1">IFERROR(__xludf.DUMMYFUNCTION("""COMPUTED_VALUE"""),"NJ")</f>
        <v>NJ</v>
      </c>
      <c r="R1463" s="8" t="str">
        <f ca="1">IFERROR(__xludf.DUMMYFUNCTION("""COMPUTED_VALUE"""),"K-8")</f>
        <v>K-8</v>
      </c>
      <c r="S1463" s="8" t="str">
        <f ca="1">IFERROR(__xludf.DUMMYFUNCTION("""COMPUTED_VALUE"""),"Beside Building")</f>
        <v>Beside Building</v>
      </c>
      <c r="T1463" s="8" t="str">
        <f ca="1">IFERROR(__xludf.DUMMYFUNCTION("""COMPUTED_VALUE"""),"Outside on School Property")</f>
        <v>Outside on School Property</v>
      </c>
      <c r="U1463" s="8" t="str">
        <f ca="1">IFERROR(__xludf.DUMMYFUNCTION("""COMPUTED_VALUE"""),"No")</f>
        <v>No</v>
      </c>
      <c r="V1463" s="8" t="str">
        <f ca="1">IFERROR(__xludf.DUMMYFUNCTION("""COMPUTED_VALUE"""),"Evening")</f>
        <v>Evening</v>
      </c>
      <c r="W1463" s="11">
        <f ca="1">IFERROR(__xludf.DUMMYFUNCTION("""COMPUTED_VALUE"""),0.797222222222222)</f>
        <v>0.79722222222222205</v>
      </c>
      <c r="X1463" s="8">
        <f ca="1">IFERROR(__xludf.DUMMYFUNCTION("""COMPUTED_VALUE"""),1)</f>
        <v>1</v>
      </c>
      <c r="Y1463" s="12" t="str">
        <f ca="1">IFERROR(__xludf.DUMMYFUNCTION("""COMPUTED_VALUE"""),"Shooting victim found beside school building")</f>
        <v>Shooting victim found beside school building</v>
      </c>
      <c r="Z1463" s="12" t="str">
        <f ca="1">IFERROR(__xludf.DUMMYFUNCTION("""COMPUTED_VALUE"""),"41 year-old male shooting victim was found beside school building. Transported the hospital and survived. No other information available.")</f>
        <v>41 year-old male shooting victim was found beside school building. Transported the hospital and survived. No other information available.</v>
      </c>
      <c r="AA1463" s="8"/>
      <c r="AB1463" s="8"/>
      <c r="AC1463" s="8" t="str">
        <f ca="1">IFERROR(__xludf.DUMMYFUNCTION("""COMPUTED_VALUE"""),"No")</f>
        <v>No</v>
      </c>
      <c r="AD1463" s="8"/>
      <c r="AE1463" s="8"/>
      <c r="AF1463" s="8"/>
      <c r="AG1463" s="8" t="str">
        <f ca="1">IFERROR(__xludf.DUMMYFUNCTION("""COMPUTED_VALUE"""),"No")</f>
        <v>No</v>
      </c>
      <c r="AH1463" s="8" t="str">
        <f ca="1">IFERROR(__xludf.DUMMYFUNCTION("""COMPUTED_VALUE"""),"No")</f>
        <v>No</v>
      </c>
      <c r="AI1463" s="8" t="str">
        <f ca="1">IFERROR(__xludf.DUMMYFUNCTION("""COMPUTED_VALUE"""),"No")</f>
        <v>No</v>
      </c>
      <c r="AJ1463" s="8" t="str">
        <f ca="1">IFERROR(__xludf.DUMMYFUNCTION("""COMPUTED_VALUE"""),"No")</f>
        <v>No</v>
      </c>
      <c r="AK1463" s="8"/>
      <c r="AL1463" s="8"/>
      <c r="AM1463" s="8" t="str">
        <f ca="1">IFERROR(__xludf.DUMMYFUNCTION("""COMPUTED_VALUE"""),"No")</f>
        <v>No</v>
      </c>
      <c r="AN1463" s="8"/>
      <c r="AO1463" s="8" t="str">
        <f ca="1">IFERROR(__xludf.DUMMYFUNCTION("""COMPUTED_VALUE"""),"No")</f>
        <v>No</v>
      </c>
      <c r="AP1463" s="8"/>
      <c r="AQ1463" s="8"/>
      <c r="AR1463" s="8" t="str">
        <f ca="1">IFERROR(__xludf.DUMMYFUNCTION("""COMPUTED_VALUE"""),"Outside/Off-Property")</f>
        <v>Outside/Off-Property</v>
      </c>
      <c r="AS1463" s="8"/>
      <c r="AT1463" s="8"/>
      <c r="AU1463" s="8">
        <f ca="1">IFERROR(__xludf.DUMMYFUNCTION("""COMPUTED_VALUE"""),40.932575)</f>
        <v>40.932575</v>
      </c>
      <c r="AV1463" s="8">
        <f ca="1">IFERROR(__xludf.DUMMYFUNCTION("""COMPUTED_VALUE"""),-74.188623)</f>
        <v>-74.188623000000007</v>
      </c>
      <c r="AW1463" s="8"/>
      <c r="AX1463" s="8">
        <f ca="1">IFERROR(__xludf.DUMMYFUNCTION("""COMPUTED_VALUE"""),7508)</f>
        <v>7508</v>
      </c>
    </row>
    <row r="1464" spans="1:50" ht="75" x14ac:dyDescent="0.2">
      <c r="A1464" s="8" t="str">
        <f ca="1">IFERROR(__xludf.DUMMYFUNCTION("""COMPUTED_VALUE"""),"20200925ILROR")</f>
        <v>20200925ILROR</v>
      </c>
      <c r="B1464" s="8">
        <f ca="1">IFERROR(__xludf.DUMMYFUNCTION("""COMPUTED_VALUE"""),9)</f>
        <v>9</v>
      </c>
      <c r="C1464" s="8">
        <f ca="1">IFERROR(__xludf.DUMMYFUNCTION("""COMPUTED_VALUE"""),25)</f>
        <v>25</v>
      </c>
      <c r="D1464" s="8">
        <f ca="1">IFERROR(__xludf.DUMMYFUNCTION("""COMPUTED_VALUE"""),2020)</f>
        <v>2020</v>
      </c>
      <c r="E1464" s="9">
        <f ca="1">IFERROR(__xludf.DUMMYFUNCTION("""COMPUTED_VALUE"""),44099)</f>
        <v>44099</v>
      </c>
      <c r="F1464" s="8" t="str">
        <f ca="1">IFERROR(__xludf.DUMMYFUNCTION("""COMPUTED_VALUE"""),"Rock Island Academy")</f>
        <v>Rock Island Academy</v>
      </c>
      <c r="G1464" s="8">
        <f ca="1">IFERROR(__xludf.DUMMYFUNCTION("""COMPUTED_VALUE"""),0)</f>
        <v>0</v>
      </c>
      <c r="H1464" s="8">
        <f ca="1">IFERROR(__xludf.DUMMYFUNCTION("""COMPUTED_VALUE"""),0)</f>
        <v>0</v>
      </c>
      <c r="I1464" s="8">
        <f ca="1">IFERROR(__xludf.DUMMYFUNCTION("""COMPUTED_VALUE"""),0)</f>
        <v>0</v>
      </c>
      <c r="J1464" s="8">
        <f ca="1">IFERROR(__xludf.DUMMYFUNCTION("""COMPUTED_VALUE"""),0)</f>
        <v>0</v>
      </c>
      <c r="K1464" s="10" t="str">
        <f ca="1">IFERROR(__xludf.DUMMYFUNCTION("""COMPUTED_VALUE"""),"https://www.kwqc.com/2020/09/27/police-man-found-in-school-stairwell-and-arrested-after-shooting-friday-night/")</f>
        <v>https://www.kwqc.com/2020/09/27/police-man-found-in-school-stairwell-and-arrested-after-shooting-friday-night/</v>
      </c>
      <c r="L1464" s="8">
        <f ca="1">IFERROR(__xludf.DUMMYFUNCTION("""COMPUTED_VALUE"""),1)</f>
        <v>1</v>
      </c>
      <c r="M1464" s="8" t="str">
        <f ca="1">IFERROR(__xludf.DUMMYFUNCTION("""COMPUTED_VALUE"""),"Local")</f>
        <v>Local</v>
      </c>
      <c r="N1464" s="8">
        <f ca="1">IFERROR(__xludf.DUMMYFUNCTION("""COMPUTED_VALUE"""),3)</f>
        <v>3</v>
      </c>
      <c r="O1464" s="8" t="str">
        <f ca="1">IFERROR(__xludf.DUMMYFUNCTION("""COMPUTED_VALUE"""),"Fall")</f>
        <v>Fall</v>
      </c>
      <c r="P1464" s="8" t="str">
        <f ca="1">IFERROR(__xludf.DUMMYFUNCTION("""COMPUTED_VALUE"""),"Rock Island")</f>
        <v>Rock Island</v>
      </c>
      <c r="Q1464" s="8" t="str">
        <f ca="1">IFERROR(__xludf.DUMMYFUNCTION("""COMPUTED_VALUE"""),"IL")</f>
        <v>IL</v>
      </c>
      <c r="R1464" s="8" t="str">
        <f ca="1">IFERROR(__xludf.DUMMYFUNCTION("""COMPUTED_VALUE"""),"Elementary")</f>
        <v>Elementary</v>
      </c>
      <c r="S1464" s="8" t="str">
        <f ca="1">IFERROR(__xludf.DUMMYFUNCTION("""COMPUTED_VALUE"""),"Hallway")</f>
        <v>Hallway</v>
      </c>
      <c r="T1464" s="8" t="str">
        <f ca="1">IFERROR(__xludf.DUMMYFUNCTION("""COMPUTED_VALUE"""),"Inside School Building")</f>
        <v>Inside School Building</v>
      </c>
      <c r="U1464" s="8" t="str">
        <f ca="1">IFERROR(__xludf.DUMMYFUNCTION("""COMPUTED_VALUE"""),"No")</f>
        <v>No</v>
      </c>
      <c r="V1464" s="8"/>
      <c r="W1464" s="11">
        <f ca="1">IFERROR(__xludf.DUMMYFUNCTION("""COMPUTED_VALUE"""),0.958333333333333)</f>
        <v>0.95833333333333304</v>
      </c>
      <c r="X1464" s="8">
        <f ca="1">IFERROR(__xludf.DUMMYFUNCTION("""COMPUTED_VALUE"""),1)</f>
        <v>1</v>
      </c>
      <c r="Y1464" s="12" t="str">
        <f ca="1">IFERROR(__xludf.DUMMYFUNCTION("""COMPUTED_VALUE"""),"Armed man fled from police into the school where he was arrested")</f>
        <v>Armed man fled from police into the school where he was arrested</v>
      </c>
      <c r="Z1464" s="12" t="str">
        <f ca="1">IFERROR(__xludf.DUMMYFUNCTION("""COMPUTED_VALUE"""),"Police responded to 9-1-1 calls for shots fired and saw an adult male running from the shooting scene. Officers chased the man and he ran into the school building. Police found him with a loaded handgun in the school's stairwell. Arrested and charged with"&amp;" a felony.")</f>
        <v>Police responded to 9-1-1 calls for shots fired and saw an adult male running from the shooting scene. Officers chased the man and he ran into the school building. Police found him with a loaded handgun in the school's stairwell. Arrested and charged with a felony.</v>
      </c>
      <c r="AA1464" s="8"/>
      <c r="AB1464" s="8"/>
      <c r="AC1464" s="8" t="str">
        <f ca="1">IFERROR(__xludf.DUMMYFUNCTION("""COMPUTED_VALUE"""),"No")</f>
        <v>No</v>
      </c>
      <c r="AD1464" s="8"/>
      <c r="AE1464" s="8" t="str">
        <f ca="1">IFERROR(__xludf.DUMMYFUNCTION("""COMPUTED_VALUE"""),"No")</f>
        <v>No</v>
      </c>
      <c r="AF1464" s="8"/>
      <c r="AG1464" s="8"/>
      <c r="AH1464" s="8" t="str">
        <f ca="1">IFERROR(__xludf.DUMMYFUNCTION("""COMPUTED_VALUE"""),"No")</f>
        <v>No</v>
      </c>
      <c r="AI1464" s="8" t="str">
        <f ca="1">IFERROR(__xludf.DUMMYFUNCTION("""COMPUTED_VALUE"""),"No")</f>
        <v>No</v>
      </c>
      <c r="AJ1464" s="8" t="str">
        <f ca="1">IFERROR(__xludf.DUMMYFUNCTION("""COMPUTED_VALUE"""),"No")</f>
        <v>No</v>
      </c>
      <c r="AK1464" s="8" t="str">
        <f ca="1">IFERROR(__xludf.DUMMYFUNCTION("""COMPUTED_VALUE"""),"No")</f>
        <v>No</v>
      </c>
      <c r="AL1464" s="8"/>
      <c r="AM1464" s="8" t="str">
        <f ca="1">IFERROR(__xludf.DUMMYFUNCTION("""COMPUTED_VALUE"""),"No")</f>
        <v>No</v>
      </c>
      <c r="AN1464" s="8"/>
      <c r="AO1464" s="8" t="str">
        <f ca="1">IFERROR(__xludf.DUMMYFUNCTION("""COMPUTED_VALUE"""),"No")</f>
        <v>No</v>
      </c>
      <c r="AP1464" s="8"/>
      <c r="AQ1464" s="8"/>
      <c r="AR1464" s="8" t="str">
        <f ca="1">IFERROR(__xludf.DUMMYFUNCTION("""COMPUTED_VALUE"""),"N/A")</f>
        <v>N/A</v>
      </c>
      <c r="AS1464" s="8">
        <f ca="1">IFERROR(__xludf.DUMMYFUNCTION("""COMPUTED_VALUE"""),0)</f>
        <v>0</v>
      </c>
      <c r="AT1464" s="8"/>
      <c r="AU1464" s="8">
        <f ca="1">IFERROR(__xludf.DUMMYFUNCTION("""COMPUTED_VALUE"""),41.501573)</f>
        <v>41.501573</v>
      </c>
      <c r="AV1464" s="8">
        <f ca="1">IFERROR(__xludf.DUMMYFUNCTION("""COMPUTED_VALUE"""),-90.579663)</f>
        <v>-90.579662999999996</v>
      </c>
      <c r="AW1464" s="8"/>
      <c r="AX1464" s="8">
        <f ca="1">IFERROR(__xludf.DUMMYFUNCTION("""COMPUTED_VALUE"""),61201)</f>
        <v>61201</v>
      </c>
    </row>
    <row r="1465" spans="1:50" ht="120" x14ac:dyDescent="0.2">
      <c r="A1465" s="8" t="str">
        <f ca="1">IFERROR(__xludf.DUMMYFUNCTION("""COMPUTED_VALUE"""),"20200924ILMCS")</f>
        <v>20200924ILMCS</v>
      </c>
      <c r="B1465" s="8">
        <f ca="1">IFERROR(__xludf.DUMMYFUNCTION("""COMPUTED_VALUE"""),9)</f>
        <v>9</v>
      </c>
      <c r="C1465" s="8">
        <f ca="1">IFERROR(__xludf.DUMMYFUNCTION("""COMPUTED_VALUE"""),24)</f>
        <v>24</v>
      </c>
      <c r="D1465" s="8">
        <f ca="1">IFERROR(__xludf.DUMMYFUNCTION("""COMPUTED_VALUE"""),2020)</f>
        <v>2020</v>
      </c>
      <c r="E1465" s="9">
        <f ca="1">IFERROR(__xludf.DUMMYFUNCTION("""COMPUTED_VALUE"""),44098)</f>
        <v>44098</v>
      </c>
      <c r="F1465" s="8" t="str">
        <f ca="1">IFERROR(__xludf.DUMMYFUNCTION("""COMPUTED_VALUE"""),"McClernand Elementary School")</f>
        <v>McClernand Elementary School</v>
      </c>
      <c r="G1465" s="8">
        <f ca="1">IFERROR(__xludf.DUMMYFUNCTION("""COMPUTED_VALUE"""),0)</f>
        <v>0</v>
      </c>
      <c r="H1465" s="8">
        <f ca="1">IFERROR(__xludf.DUMMYFUNCTION("""COMPUTED_VALUE"""),0)</f>
        <v>0</v>
      </c>
      <c r="I1465" s="8">
        <f ca="1">IFERROR(__xludf.DUMMYFUNCTION("""COMPUTED_VALUE"""),0)</f>
        <v>0</v>
      </c>
      <c r="J1465" s="8">
        <f ca="1">IFERROR(__xludf.DUMMYFUNCTION("""COMPUTED_VALUE"""),0)</f>
        <v>0</v>
      </c>
      <c r="K1465" s="10" t="str">
        <f ca="1">IFERROR(__xludf.DUMMYFUNCTION("""COMPUTED_VALUE"""),"https://newschannel20.com/news/local/man-elementary-school-window-shot-by-bb-gun")</f>
        <v>https://newschannel20.com/news/local/man-elementary-school-window-shot-by-bb-gun</v>
      </c>
      <c r="L1465" s="8">
        <f ca="1">IFERROR(__xludf.DUMMYFUNCTION("""COMPUTED_VALUE"""),1)</f>
        <v>1</v>
      </c>
      <c r="M1465" s="8" t="str">
        <f ca="1">IFERROR(__xludf.DUMMYFUNCTION("""COMPUTED_VALUE"""),"Local")</f>
        <v>Local</v>
      </c>
      <c r="N1465" s="8">
        <f ca="1">IFERROR(__xludf.DUMMYFUNCTION("""COMPUTED_VALUE"""),3)</f>
        <v>3</v>
      </c>
      <c r="O1465" s="8" t="str">
        <f ca="1">IFERROR(__xludf.DUMMYFUNCTION("""COMPUTED_VALUE"""),"Fall")</f>
        <v>Fall</v>
      </c>
      <c r="P1465" s="8" t="str">
        <f ca="1">IFERROR(__xludf.DUMMYFUNCTION("""COMPUTED_VALUE"""),"Springfield")</f>
        <v>Springfield</v>
      </c>
      <c r="Q1465" s="8" t="str">
        <f ca="1">IFERROR(__xludf.DUMMYFUNCTION("""COMPUTED_VALUE"""),"IL")</f>
        <v>IL</v>
      </c>
      <c r="R1465" s="8" t="str">
        <f ca="1">IFERROR(__xludf.DUMMYFUNCTION("""COMPUTED_VALUE"""),"Elementary")</f>
        <v>Elementary</v>
      </c>
      <c r="S1465" s="8" t="str">
        <f ca="1">IFERROR(__xludf.DUMMYFUNCTION("""COMPUTED_VALUE"""),"Beside Building")</f>
        <v>Beside Building</v>
      </c>
      <c r="T1465" s="8" t="str">
        <f ca="1">IFERROR(__xludf.DUMMYFUNCTION("""COMPUTED_VALUE"""),"Outside on School Property")</f>
        <v>Outside on School Property</v>
      </c>
      <c r="U1465" s="8" t="str">
        <f ca="1">IFERROR(__xludf.DUMMYFUNCTION("""COMPUTED_VALUE"""),"Yes")</f>
        <v>Yes</v>
      </c>
      <c r="V1465" s="8" t="str">
        <f ca="1">IFERROR(__xludf.DUMMYFUNCTION("""COMPUTED_VALUE"""),"Afternoon Classes")</f>
        <v>Afternoon Classes</v>
      </c>
      <c r="W1465" s="11">
        <f ca="1">IFERROR(__xludf.DUMMYFUNCTION("""COMPUTED_VALUE"""),0.522916666666666)</f>
        <v>0.52291666666666603</v>
      </c>
      <c r="X1465" s="8"/>
      <c r="Y1465" s="12" t="str">
        <f ca="1">IFERROR(__xludf.DUMMYFUNCTION("""COMPUTED_VALUE"""),"Man fired shot that broke window then walked past classroom with BB gun")</f>
        <v>Man fired shot that broke window then walked past classroom with BB gun</v>
      </c>
      <c r="Z1465" s="12" t="str">
        <f ca="1">IFERROR(__xludf.DUMMYFUNCTION("""COMPUTED_VALUE"""),"Police received a report of a BB gun near the school. A window was shot out of the school. Police said there were people inside the school at the time. Police were also called by a person who lives on the same block as the school who said he was shot in t"&amp;"he back with what he believed to be a BB. A teacher said they saw someone in the background of a Zoom class with a black gun, which ended up being a BB gun. 2 juveniles and an 18 year-old were arrested.")</f>
        <v>Police received a report of a BB gun near the school. A window was shot out of the school. Police said there were people inside the school at the time. Police were also called by a person who lives on the same block as the school who said he was shot in the back with what he believed to be a BB. A teacher said they saw someone in the background of a Zoom class with a black gun, which ended up being a BB gun. 2 juveniles and an 18 year-old were arrested.</v>
      </c>
      <c r="AA1465" s="8" t="str">
        <f ca="1">IFERROR(__xludf.DUMMYFUNCTION("""COMPUTED_VALUE"""),"Intentional Property Damage")</f>
        <v>Intentional Property Damage</v>
      </c>
      <c r="AB1465" s="8"/>
      <c r="AC1465" s="8" t="str">
        <f ca="1">IFERROR(__xludf.DUMMYFUNCTION("""COMPUTED_VALUE"""),"Yes")</f>
        <v>Yes</v>
      </c>
      <c r="AD1465" s="8" t="str">
        <f ca="1">IFERROR(__xludf.DUMMYFUNCTION("""COMPUTED_VALUE"""),"Neither")</f>
        <v>Neither</v>
      </c>
      <c r="AE1465" s="8" t="str">
        <f ca="1">IFERROR(__xludf.DUMMYFUNCTION("""COMPUTED_VALUE"""),"No")</f>
        <v>No</v>
      </c>
      <c r="AF1465" s="8" t="str">
        <f ca="1">IFERROR(__xludf.DUMMYFUNCTION("""COMPUTED_VALUE"""),"One 18YO and 2 teens arrested")</f>
        <v>One 18YO and 2 teens arrested</v>
      </c>
      <c r="AG1465" s="8" t="str">
        <f ca="1">IFERROR(__xludf.DUMMYFUNCTION("""COMPUTED_VALUE"""),"No")</f>
        <v>No</v>
      </c>
      <c r="AH1465" s="8" t="str">
        <f ca="1">IFERROR(__xludf.DUMMYFUNCTION("""COMPUTED_VALUE"""),"No")</f>
        <v>No</v>
      </c>
      <c r="AI1465" s="8" t="str">
        <f ca="1">IFERROR(__xludf.DUMMYFUNCTION("""COMPUTED_VALUE"""),"No")</f>
        <v>No</v>
      </c>
      <c r="AJ1465" s="8" t="str">
        <f ca="1">IFERROR(__xludf.DUMMYFUNCTION("""COMPUTED_VALUE"""),"No")</f>
        <v>No</v>
      </c>
      <c r="AK1465" s="8" t="str">
        <f ca="1">IFERROR(__xludf.DUMMYFUNCTION("""COMPUTED_VALUE"""),"No")</f>
        <v>No</v>
      </c>
      <c r="AL1465" s="8" t="str">
        <f ca="1">IFERROR(__xludf.DUMMYFUNCTION("""COMPUTED_VALUE"""),"No")</f>
        <v>No</v>
      </c>
      <c r="AM1465" s="8" t="str">
        <f ca="1">IFERROR(__xludf.DUMMYFUNCTION("""COMPUTED_VALUE"""),"No")</f>
        <v>No</v>
      </c>
      <c r="AN1465" s="8"/>
      <c r="AO1465" s="8" t="str">
        <f ca="1">IFERROR(__xludf.DUMMYFUNCTION("""COMPUTED_VALUE"""),"No")</f>
        <v>No</v>
      </c>
      <c r="AP1465" s="8"/>
      <c r="AQ1465" s="8"/>
      <c r="AR1465" s="8" t="str">
        <f ca="1">IFERROR(__xludf.DUMMYFUNCTION("""COMPUTED_VALUE"""),"Outside/Off-Property")</f>
        <v>Outside/Off-Property</v>
      </c>
      <c r="AS1465" s="8"/>
      <c r="AT1465" s="8"/>
      <c r="AU1465" s="8">
        <f ca="1">IFERROR(__xludf.DUMMYFUNCTION("""COMPUTED_VALUE"""),39.810036)</f>
        <v>39.810035999999997</v>
      </c>
      <c r="AV1465" s="8">
        <f ca="1">IFERROR(__xludf.DUMMYFUNCTION("""COMPUTED_VALUE"""),-89.648079)</f>
        <v>-89.648078999999996</v>
      </c>
      <c r="AW1465" s="8"/>
      <c r="AX1465" s="8">
        <f ca="1">IFERROR(__xludf.DUMMYFUNCTION("""COMPUTED_VALUE"""),62702)</f>
        <v>62702</v>
      </c>
    </row>
    <row r="1466" spans="1:50" ht="105" x14ac:dyDescent="0.2">
      <c r="A1466" s="8" t="str">
        <f ca="1">IFERROR(__xludf.DUMMYFUNCTION("""COMPUTED_VALUE"""),"20200924CAWAC")</f>
        <v>20200924CAWAC</v>
      </c>
      <c r="B1466" s="8">
        <f ca="1">IFERROR(__xludf.DUMMYFUNCTION("""COMPUTED_VALUE"""),9)</f>
        <v>9</v>
      </c>
      <c r="C1466" s="8">
        <f ca="1">IFERROR(__xludf.DUMMYFUNCTION("""COMPUTED_VALUE"""),24)</f>
        <v>24</v>
      </c>
      <c r="D1466" s="8">
        <f ca="1">IFERROR(__xludf.DUMMYFUNCTION("""COMPUTED_VALUE"""),2020)</f>
        <v>2020</v>
      </c>
      <c r="E1466" s="9">
        <f ca="1">IFERROR(__xludf.DUMMYFUNCTION("""COMPUTED_VALUE"""),44098)</f>
        <v>44098</v>
      </c>
      <c r="F1466" s="8" t="str">
        <f ca="1">IFERROR(__xludf.DUMMYFUNCTION("""COMPUTED_VALUE"""),"Walt Hanline Middle School")</f>
        <v>Walt Hanline Middle School</v>
      </c>
      <c r="G1466" s="8">
        <f ca="1">IFERROR(__xludf.DUMMYFUNCTION("""COMPUTED_VALUE"""),0)</f>
        <v>0</v>
      </c>
      <c r="H1466" s="8">
        <f ca="1">IFERROR(__xludf.DUMMYFUNCTION("""COMPUTED_VALUE"""),0)</f>
        <v>0</v>
      </c>
      <c r="I1466" s="8">
        <f ca="1">IFERROR(__xludf.DUMMYFUNCTION("""COMPUTED_VALUE"""),0)</f>
        <v>0</v>
      </c>
      <c r="J1466" s="8">
        <f ca="1">IFERROR(__xludf.DUMMYFUNCTION("""COMPUTED_VALUE"""),0)</f>
        <v>0</v>
      </c>
      <c r="K1466" s="8" t="str">
        <f ca="1">IFERROR(__xludf.DUMMYFUNCTION("""COMPUTED_VALUE"""),"https://www.abc10.com/article/news/crime/3-men-arrested-for-shooting-into-ceres-elementary-school/103-60e1f519-3519-464b-92f9-13eceaf9ddfd https://campuslifesecurity.com/articles/2020/09/28/three-arrested-after-target-practice-hits-nearby-school-buildings"&amp;".aspx https://www.modbee.com/article246004895.html")</f>
        <v>https://www.abc10.com/article/news/crime/3-men-arrested-for-shooting-into-ceres-elementary-school/103-60e1f519-3519-464b-92f9-13eceaf9ddfd https://campuslifesecurity.com/articles/2020/09/28/three-arrested-after-target-practice-hits-nearby-school-buildings.aspx https://www.modbee.com/article246004895.html</v>
      </c>
      <c r="L1466" s="8">
        <f ca="1">IFERROR(__xludf.DUMMYFUNCTION("""COMPUTED_VALUE"""),3)</f>
        <v>3</v>
      </c>
      <c r="M1466" s="8" t="str">
        <f ca="1">IFERROR(__xludf.DUMMYFUNCTION("""COMPUTED_VALUE"""),"National")</f>
        <v>National</v>
      </c>
      <c r="N1466" s="8">
        <f ca="1">IFERROR(__xludf.DUMMYFUNCTION("""COMPUTED_VALUE"""),4)</f>
        <v>4</v>
      </c>
      <c r="O1466" s="8" t="str">
        <f ca="1">IFERROR(__xludf.DUMMYFUNCTION("""COMPUTED_VALUE"""),"Fall")</f>
        <v>Fall</v>
      </c>
      <c r="P1466" s="8" t="str">
        <f ca="1">IFERROR(__xludf.DUMMYFUNCTION("""COMPUTED_VALUE"""),"Ceres")</f>
        <v>Ceres</v>
      </c>
      <c r="Q1466" s="8" t="str">
        <f ca="1">IFERROR(__xludf.DUMMYFUNCTION("""COMPUTED_VALUE"""),"CA")</f>
        <v>CA</v>
      </c>
      <c r="R1466" s="8" t="str">
        <f ca="1">IFERROR(__xludf.DUMMYFUNCTION("""COMPUTED_VALUE"""),"Middle")</f>
        <v>Middle</v>
      </c>
      <c r="S1466" s="8" t="str">
        <f ca="1">IFERROR(__xludf.DUMMYFUNCTION("""COMPUTED_VALUE"""),"Classroom")</f>
        <v>Classroom</v>
      </c>
      <c r="T1466" s="8" t="str">
        <f ca="1">IFERROR(__xludf.DUMMYFUNCTION("""COMPUTED_VALUE"""),"Both Inside/Outside")</f>
        <v>Both Inside/Outside</v>
      </c>
      <c r="U1466" s="8" t="str">
        <f ca="1">IFERROR(__xludf.DUMMYFUNCTION("""COMPUTED_VALUE"""),"Yes")</f>
        <v>Yes</v>
      </c>
      <c r="V1466" s="8" t="str">
        <f ca="1">IFERROR(__xludf.DUMMYFUNCTION("""COMPUTED_VALUE"""),"Afternoon Classes")</f>
        <v>Afternoon Classes</v>
      </c>
      <c r="W1466" s="8"/>
      <c r="X1466" s="8"/>
      <c r="Y1466" s="12" t="str">
        <f ca="1">IFERROR(__xludf.DUMMYFUNCTION("""COMPUTED_VALUE"""),"Bullets struck classroom and gym occupied by teachers")</f>
        <v>Bullets struck classroom and gym occupied by teachers</v>
      </c>
      <c r="Z1466" s="12" t="str">
        <f ca="1">IFERROR(__xludf.DUMMYFUNCTION("""COMPUTED_VALUE"""),"One bullet struck a classroom wall and hit the classroom ceiling while a teach was in the room teaching a zoom class session. Two bullets struck the gym wall while a teacher was inside. Police arrested 3 men firing multiple weapons 300 yards from the scho"&amp;"ol. Claimed to be shooting for target practice. Police found 10 casing near the school. Men were arrested with 6 weapons.")</f>
        <v>One bullet struck a classroom wall and hit the classroom ceiling while a teach was in the room teaching a zoom class session. Two bullets struck the gym wall while a teacher was inside. Police arrested 3 men firing multiple weapons 300 yards from the school. Claimed to be shooting for target practice. Police found 10 casing near the school. Men were arrested with 6 weapons.</v>
      </c>
      <c r="AA1466" s="8" t="str">
        <f ca="1">IFERROR(__xludf.DUMMYFUNCTION("""COMPUTED_VALUE"""),"Illegal Activity")</f>
        <v>Illegal Activity</v>
      </c>
      <c r="AB1466" s="8"/>
      <c r="AC1466" s="8" t="str">
        <f ca="1">IFERROR(__xludf.DUMMYFUNCTION("""COMPUTED_VALUE"""),"Yes")</f>
        <v>Yes</v>
      </c>
      <c r="AD1466" s="8" t="str">
        <f ca="1">IFERROR(__xludf.DUMMYFUNCTION("""COMPUTED_VALUE"""),"Neither")</f>
        <v>Neither</v>
      </c>
      <c r="AE1466" s="8" t="str">
        <f ca="1">IFERROR(__xludf.DUMMYFUNCTION("""COMPUTED_VALUE"""),"Yes")</f>
        <v>Yes</v>
      </c>
      <c r="AF1466" s="8" t="str">
        <f ca="1">IFERROR(__xludf.DUMMYFUNCTION("""COMPUTED_VALUE"""),"Three men arrested")</f>
        <v>Three men arrested</v>
      </c>
      <c r="AG1466" s="8" t="str">
        <f ca="1">IFERROR(__xludf.DUMMYFUNCTION("""COMPUTED_VALUE"""),"No")</f>
        <v>No</v>
      </c>
      <c r="AH1466" s="8" t="str">
        <f ca="1">IFERROR(__xludf.DUMMYFUNCTION("""COMPUTED_VALUE"""),"No")</f>
        <v>No</v>
      </c>
      <c r="AI1466" s="8" t="str">
        <f ca="1">IFERROR(__xludf.DUMMYFUNCTION("""COMPUTED_VALUE"""),"No")</f>
        <v>No</v>
      </c>
      <c r="AJ1466" s="8" t="str">
        <f ca="1">IFERROR(__xludf.DUMMYFUNCTION("""COMPUTED_VALUE"""),"No")</f>
        <v>No</v>
      </c>
      <c r="AK1466" s="8" t="str">
        <f ca="1">IFERROR(__xludf.DUMMYFUNCTION("""COMPUTED_VALUE"""),"No")</f>
        <v>No</v>
      </c>
      <c r="AL1466" s="8"/>
      <c r="AM1466" s="8"/>
      <c r="AN1466" s="8"/>
      <c r="AO1466" s="8" t="str">
        <f ca="1">IFERROR(__xludf.DUMMYFUNCTION("""COMPUTED_VALUE"""),"No")</f>
        <v>No</v>
      </c>
      <c r="AP1466" s="8"/>
      <c r="AQ1466" s="8"/>
      <c r="AR1466" s="8" t="str">
        <f ca="1">IFERROR(__xludf.DUMMYFUNCTION("""COMPUTED_VALUE"""),"Outside/Off-Property")</f>
        <v>Outside/Off-Property</v>
      </c>
      <c r="AS1466" s="8">
        <f ca="1">IFERROR(__xludf.DUMMYFUNCTION("""COMPUTED_VALUE"""),10)</f>
        <v>10</v>
      </c>
      <c r="AT1466" s="8"/>
      <c r="AU1466" s="8">
        <f ca="1">IFERROR(__xludf.DUMMYFUNCTION("""COMPUTED_VALUE"""),37.577208)</f>
        <v>37.577207999999999</v>
      </c>
      <c r="AV1466" s="8">
        <f ca="1">IFERROR(__xludf.DUMMYFUNCTION("""COMPUTED_VALUE"""),-120.958233)</f>
        <v>-120.95823300000001</v>
      </c>
      <c r="AW1466" s="8"/>
      <c r="AX1466" s="8">
        <f ca="1">IFERROR(__xludf.DUMMYFUNCTION("""COMPUTED_VALUE"""),95328)</f>
        <v>95328</v>
      </c>
    </row>
    <row r="1467" spans="1:50" ht="120" x14ac:dyDescent="0.2">
      <c r="A1467" s="8" t="str">
        <f ca="1">IFERROR(__xludf.DUMMYFUNCTION("""COMPUTED_VALUE"""),"20200923PAWIW")</f>
        <v>20200923PAWIW</v>
      </c>
      <c r="B1467" s="8">
        <f ca="1">IFERROR(__xludf.DUMMYFUNCTION("""COMPUTED_VALUE"""),9)</f>
        <v>9</v>
      </c>
      <c r="C1467" s="8">
        <f ca="1">IFERROR(__xludf.DUMMYFUNCTION("""COMPUTED_VALUE"""),23)</f>
        <v>23</v>
      </c>
      <c r="D1467" s="8">
        <f ca="1">IFERROR(__xludf.DUMMYFUNCTION("""COMPUTED_VALUE"""),2020)</f>
        <v>2020</v>
      </c>
      <c r="E1467" s="9">
        <f ca="1">IFERROR(__xludf.DUMMYFUNCTION("""COMPUTED_VALUE"""),44097)</f>
        <v>44097</v>
      </c>
      <c r="F1467" s="8" t="str">
        <f ca="1">IFERROR(__xludf.DUMMYFUNCTION("""COMPUTED_VALUE"""),"William Tennent High School")</f>
        <v>William Tennent High School</v>
      </c>
      <c r="G1467" s="8">
        <f ca="1">IFERROR(__xludf.DUMMYFUNCTION("""COMPUTED_VALUE"""),0)</f>
        <v>0</v>
      </c>
      <c r="H1467" s="8">
        <f ca="1">IFERROR(__xludf.DUMMYFUNCTION("""COMPUTED_VALUE"""),0)</f>
        <v>0</v>
      </c>
      <c r="I1467" s="8">
        <f ca="1">IFERROR(__xludf.DUMMYFUNCTION("""COMPUTED_VALUE"""),0)</f>
        <v>0</v>
      </c>
      <c r="J1467" s="8">
        <f ca="1">IFERROR(__xludf.DUMMYFUNCTION("""COMPUTED_VALUE"""),0)</f>
        <v>0</v>
      </c>
      <c r="K1467" s="8" t="str">
        <f ca="1">IFERROR(__xludf.DUMMYFUNCTION("""COMPUTED_VALUE"""),"https://www.buckscountycouriertimes.com/story/news/2021/08/27/man-sentenced-probation-shooting-incident-behind-william-tennent/5607581001/ https://philadelphia.cbslocal.com/2020/10/06/22-year-old-man-arrested-for-shooting-outside-warminster-township-high-"&amp;"school-police-say/ https://www.buckscountycouriertimes.com/story/news/2020/10/06/man-charged-shooting-incident-behind-william-tennent-high-school-warminster/3637458001/ https://patch.com/pennsylvania/warminster/arrest-made-tennent-high-school-shooting htt"&amp;"ps://patch.com/pennsylvania/warminster/shooter-fired-gun-tennent-high-school-police https://6abc.com/william-tennent-high-school-gunfire-warminster-shooting-news/6535348/")</f>
        <v>https://www.buckscountycouriertimes.com/story/news/2021/08/27/man-sentenced-probation-shooting-incident-behind-william-tennent/5607581001/ https://philadelphia.cbslocal.com/2020/10/06/22-year-old-man-arrested-for-shooting-outside-warminster-township-high-school-police-say/ https://www.buckscountycouriertimes.com/story/news/2020/10/06/man-charged-shooting-incident-behind-william-tennent-high-school-warminster/3637458001/ https://patch.com/pennsylvania/warminster/arrest-made-tennent-high-school-shooting https://patch.com/pennsylvania/warminster/shooter-fired-gun-tennent-high-school-police https://6abc.com/william-tennent-high-school-gunfire-warminster-shooting-news/6535348/</v>
      </c>
      <c r="L1467" s="8">
        <f ca="1">IFERROR(__xludf.DUMMYFUNCTION("""COMPUTED_VALUE"""),6)</f>
        <v>6</v>
      </c>
      <c r="M1467" s="8" t="str">
        <f ca="1">IFERROR(__xludf.DUMMYFUNCTION("""COMPUTED_VALUE"""),"Local")</f>
        <v>Local</v>
      </c>
      <c r="N1467" s="8">
        <f ca="1">IFERROR(__xludf.DUMMYFUNCTION("""COMPUTED_VALUE"""),4)</f>
        <v>4</v>
      </c>
      <c r="O1467" s="8" t="str">
        <f ca="1">IFERROR(__xludf.DUMMYFUNCTION("""COMPUTED_VALUE"""),"Fall")</f>
        <v>Fall</v>
      </c>
      <c r="P1467" s="8" t="str">
        <f ca="1">IFERROR(__xludf.DUMMYFUNCTION("""COMPUTED_VALUE"""),"Warminster")</f>
        <v>Warminster</v>
      </c>
      <c r="Q1467" s="8" t="str">
        <f ca="1">IFERROR(__xludf.DUMMYFUNCTION("""COMPUTED_VALUE"""),"PA")</f>
        <v>PA</v>
      </c>
      <c r="R1467" s="8" t="str">
        <f ca="1">IFERROR(__xludf.DUMMYFUNCTION("""COMPUTED_VALUE"""),"High")</f>
        <v>High</v>
      </c>
      <c r="S1467" s="8" t="str">
        <f ca="1">IFERROR(__xludf.DUMMYFUNCTION("""COMPUTED_VALUE"""),"Parking Lot")</f>
        <v>Parking Lot</v>
      </c>
      <c r="T1467" s="8" t="str">
        <f ca="1">IFERROR(__xludf.DUMMYFUNCTION("""COMPUTED_VALUE"""),"Outside on School Property")</f>
        <v>Outside on School Property</v>
      </c>
      <c r="U1467" s="8" t="str">
        <f ca="1">IFERROR(__xludf.DUMMYFUNCTION("""COMPUTED_VALUE"""),"No")</f>
        <v>No</v>
      </c>
      <c r="V1467" s="8" t="str">
        <f ca="1">IFERROR(__xludf.DUMMYFUNCTION("""COMPUTED_VALUE"""),"After School")</f>
        <v>After School</v>
      </c>
      <c r="W1467" s="11">
        <f ca="1">IFERROR(__xludf.DUMMYFUNCTION("""COMPUTED_VALUE"""),0.704861111111111)</f>
        <v>0.70486111111111105</v>
      </c>
      <c r="X1467" s="8">
        <f ca="1">IFERROR(__xludf.DUMMYFUNCTION("""COMPUTED_VALUE"""),1)</f>
        <v>1</v>
      </c>
      <c r="Y1467" s="12" t="str">
        <f ca="1">IFERROR(__xludf.DUMMYFUNCTION("""COMPUTED_VALUE"""),"Shooting in parking lot during sports practice")</f>
        <v>Shooting in parking lot during sports practice</v>
      </c>
      <c r="Z1467" s="12" t="str">
        <f ca="1">IFERROR(__xludf.DUMMYFUNCTION("""COMPUTED_VALUE"""),"A man chasing another man fired 2 shots in the school parking lot. Both shots missed. The shooter and the targeted victim fled the areas. The shooter fled in a vehicle driven by another person. The school was locked down. The incident was recorded on the "&amp;"school's CCTV system. Suspect was arrested on October 6, 2020 in a neighboring county. Police said the shooting was related to a drug deal that went wrong.")</f>
        <v>A man chasing another man fired 2 shots in the school parking lot. Both shots missed. The shooter and the targeted victim fled the areas. The shooter fled in a vehicle driven by another person. The school was locked down. The incident was recorded on the school's CCTV system. Suspect was arrested on October 6, 2020 in a neighboring county. Police said the shooting was related to a drug deal that went wrong.</v>
      </c>
      <c r="AA1467" s="8" t="str">
        <f ca="1">IFERROR(__xludf.DUMMYFUNCTION("""COMPUTED_VALUE"""),"Illegal Activity")</f>
        <v>Illegal Activity</v>
      </c>
      <c r="AB1467" s="8"/>
      <c r="AC1467" s="8" t="str">
        <f ca="1">IFERROR(__xludf.DUMMYFUNCTION("""COMPUTED_VALUE"""),"Yes")</f>
        <v>Yes</v>
      </c>
      <c r="AD1467" s="8" t="str">
        <f ca="1">IFERROR(__xludf.DUMMYFUNCTION("""COMPUTED_VALUE"""),"Victims Targeted")</f>
        <v>Victims Targeted</v>
      </c>
      <c r="AE1467" s="8" t="str">
        <f ca="1">IFERROR(__xludf.DUMMYFUNCTION("""COMPUTED_VALUE"""),"Yes")</f>
        <v>Yes</v>
      </c>
      <c r="AF1467" s="8" t="str">
        <f ca="1">IFERROR(__xludf.DUMMYFUNCTION("""COMPUTED_VALUE"""),"Vehicle driver and shooter")</f>
        <v>Vehicle driver and shooter</v>
      </c>
      <c r="AG1467" s="8" t="str">
        <f ca="1">IFERROR(__xludf.DUMMYFUNCTION("""COMPUTED_VALUE"""),"No")</f>
        <v>No</v>
      </c>
      <c r="AH1467" s="8" t="str">
        <f ca="1">IFERROR(__xludf.DUMMYFUNCTION("""COMPUTED_VALUE"""),"No")</f>
        <v>No</v>
      </c>
      <c r="AI1467" s="8" t="str">
        <f ca="1">IFERROR(__xludf.DUMMYFUNCTION("""COMPUTED_VALUE"""),"No")</f>
        <v>No</v>
      </c>
      <c r="AJ1467" s="8" t="str">
        <f ca="1">IFERROR(__xludf.DUMMYFUNCTION("""COMPUTED_VALUE"""),"No")</f>
        <v>No</v>
      </c>
      <c r="AK1467" s="8" t="str">
        <f ca="1">IFERROR(__xludf.DUMMYFUNCTION("""COMPUTED_VALUE"""),"No")</f>
        <v>No</v>
      </c>
      <c r="AL1467" s="8" t="str">
        <f ca="1">IFERROR(__xludf.DUMMYFUNCTION("""COMPUTED_VALUE"""),"No")</f>
        <v>No</v>
      </c>
      <c r="AM1467" s="8" t="str">
        <f ca="1">IFERROR(__xludf.DUMMYFUNCTION("""COMPUTED_VALUE"""),"No")</f>
        <v>No</v>
      </c>
      <c r="AN1467" s="8"/>
      <c r="AO1467" s="8" t="str">
        <f ca="1">IFERROR(__xludf.DUMMYFUNCTION("""COMPUTED_VALUE"""),"No")</f>
        <v>No</v>
      </c>
      <c r="AP1467" s="8" t="str">
        <f ca="1">IFERROR(__xludf.DUMMYFUNCTION("""COMPUTED_VALUE"""),"No")</f>
        <v>No</v>
      </c>
      <c r="AQ1467" s="8"/>
      <c r="AR1467" s="8" t="str">
        <f ca="1">IFERROR(__xludf.DUMMYFUNCTION("""COMPUTED_VALUE"""),"Outside/Off-Property")</f>
        <v>Outside/Off-Property</v>
      </c>
      <c r="AS1467" s="8">
        <f ca="1">IFERROR(__xludf.DUMMYFUNCTION("""COMPUTED_VALUE"""),2)</f>
        <v>2</v>
      </c>
      <c r="AT1467" s="8" t="str">
        <f ca="1">IFERROR(__xludf.DUMMYFUNCTION("""COMPUTED_VALUE"""),"Yes")</f>
        <v>Yes</v>
      </c>
      <c r="AU1467" s="8">
        <f ca="1">IFERROR(__xludf.DUMMYFUNCTION("""COMPUTED_VALUE"""),40.183488)</f>
        <v>40.183487999999997</v>
      </c>
      <c r="AV1467" s="8">
        <f ca="1">IFERROR(__xludf.DUMMYFUNCTION("""COMPUTED_VALUE"""),-75.070129)</f>
        <v>-75.070128999999994</v>
      </c>
      <c r="AW1467" s="8"/>
      <c r="AX1467" s="8">
        <f ca="1">IFERROR(__xludf.DUMMYFUNCTION("""COMPUTED_VALUE"""),18974)</f>
        <v>18974</v>
      </c>
    </row>
    <row r="1468" spans="1:50" ht="60" x14ac:dyDescent="0.2">
      <c r="A1468" s="8" t="str">
        <f ca="1">IFERROR(__xludf.DUMMYFUNCTION("""COMPUTED_VALUE"""),"20200923FLHIJ")</f>
        <v>20200923FLHIJ</v>
      </c>
      <c r="B1468" s="8">
        <f ca="1">IFERROR(__xludf.DUMMYFUNCTION("""COMPUTED_VALUE"""),9)</f>
        <v>9</v>
      </c>
      <c r="C1468" s="8">
        <f ca="1">IFERROR(__xludf.DUMMYFUNCTION("""COMPUTED_VALUE"""),23)</f>
        <v>23</v>
      </c>
      <c r="D1468" s="8">
        <f ca="1">IFERROR(__xludf.DUMMYFUNCTION("""COMPUTED_VALUE"""),2020)</f>
        <v>2020</v>
      </c>
      <c r="E1468" s="9">
        <f ca="1">IFERROR(__xludf.DUMMYFUNCTION("""COMPUTED_VALUE"""),44097)</f>
        <v>44097</v>
      </c>
      <c r="F1468" s="8" t="str">
        <f ca="1">IFERROR(__xludf.DUMMYFUNCTION("""COMPUTED_VALUE"""),"Highlands Middle School")</f>
        <v>Highlands Middle School</v>
      </c>
      <c r="G1468" s="8">
        <f ca="1">IFERROR(__xludf.DUMMYFUNCTION("""COMPUTED_VALUE"""),0)</f>
        <v>0</v>
      </c>
      <c r="H1468" s="8">
        <f ca="1">IFERROR(__xludf.DUMMYFUNCTION("""COMPUTED_VALUE"""),0)</f>
        <v>0</v>
      </c>
      <c r="I1468" s="8">
        <f ca="1">IFERROR(__xludf.DUMMYFUNCTION("""COMPUTED_VALUE"""),0)</f>
        <v>0</v>
      </c>
      <c r="J1468" s="8">
        <f ca="1">IFERROR(__xludf.DUMMYFUNCTION("""COMPUTED_VALUE"""),0)</f>
        <v>0</v>
      </c>
      <c r="K1468" s="10" t="str">
        <f ca="1">IFERROR(__xludf.DUMMYFUNCTION("""COMPUTED_VALUE"""),"https://www.news4jax.com/news/local/2020/09/23/police-1-detained-after-shot-fired-at-duval-county-school-bus/")</f>
        <v>https://www.news4jax.com/news/local/2020/09/23/police-1-detained-after-shot-fired-at-duval-county-school-bus/</v>
      </c>
      <c r="L1468" s="8">
        <f ca="1">IFERROR(__xludf.DUMMYFUNCTION("""COMPUTED_VALUE"""),1)</f>
        <v>1</v>
      </c>
      <c r="M1468" s="8" t="str">
        <f ca="1">IFERROR(__xludf.DUMMYFUNCTION("""COMPUTED_VALUE"""),"Local")</f>
        <v>Local</v>
      </c>
      <c r="N1468" s="8">
        <f ca="1">IFERROR(__xludf.DUMMYFUNCTION("""COMPUTED_VALUE"""),4)</f>
        <v>4</v>
      </c>
      <c r="O1468" s="8" t="str">
        <f ca="1">IFERROR(__xludf.DUMMYFUNCTION("""COMPUTED_VALUE"""),"Fall")</f>
        <v>Fall</v>
      </c>
      <c r="P1468" s="8" t="str">
        <f ca="1">IFERROR(__xludf.DUMMYFUNCTION("""COMPUTED_VALUE"""),"Jacksonville")</f>
        <v>Jacksonville</v>
      </c>
      <c r="Q1468" s="8" t="str">
        <f ca="1">IFERROR(__xludf.DUMMYFUNCTION("""COMPUTED_VALUE"""),"FL")</f>
        <v>FL</v>
      </c>
      <c r="R1468" s="8" t="str">
        <f ca="1">IFERROR(__xludf.DUMMYFUNCTION("""COMPUTED_VALUE"""),"Middle")</f>
        <v>Middle</v>
      </c>
      <c r="S1468" s="8" t="str">
        <f ca="1">IFERROR(__xludf.DUMMYFUNCTION("""COMPUTED_VALUE"""),"School Bus")</f>
        <v>School Bus</v>
      </c>
      <c r="T1468" s="8" t="str">
        <f ca="1">IFERROR(__xludf.DUMMYFUNCTION("""COMPUTED_VALUE"""),"School Bus")</f>
        <v>School Bus</v>
      </c>
      <c r="U1468" s="8" t="str">
        <f ca="1">IFERROR(__xludf.DUMMYFUNCTION("""COMPUTED_VALUE"""),"Yes")</f>
        <v>Yes</v>
      </c>
      <c r="V1468" s="8" t="str">
        <f ca="1">IFERROR(__xludf.DUMMYFUNCTION("""COMPUTED_VALUE"""),"Dismissal")</f>
        <v>Dismissal</v>
      </c>
      <c r="W1468" s="11">
        <f ca="1">IFERROR(__xludf.DUMMYFUNCTION("""COMPUTED_VALUE"""),0.6875)</f>
        <v>0.6875</v>
      </c>
      <c r="X1468" s="8">
        <f ca="1">IFERROR(__xludf.DUMMYFUNCTION("""COMPUTED_VALUE"""),1)</f>
        <v>1</v>
      </c>
      <c r="Y1468" s="12" t="str">
        <f ca="1">IFERROR(__xludf.DUMMYFUNCTION("""COMPUTED_VALUE"""),"Teen shot BB breaking window of occupied school bus")</f>
        <v>Teen shot BB breaking window of occupied school bus</v>
      </c>
      <c r="Z1468" s="12" t="str">
        <f ca="1">IFERROR(__xludf.DUMMYFUNCTION("""COMPUTED_VALUE"""),"Teen fired a BB that broke the window of a school bus with 12 students and the drive. Police were notified for a shooting involving a school bus. 18 year-old male teen was arrested near the scene.")</f>
        <v>Teen fired a BB that broke the window of a school bus with 12 students and the drive. Police were notified for a shooting involving a school bus. 18 year-old male teen was arrested near the scene.</v>
      </c>
      <c r="AA1468" s="8" t="str">
        <f ca="1">IFERROR(__xludf.DUMMYFUNCTION("""COMPUTED_VALUE"""),"Intentional Property Damage")</f>
        <v>Intentional Property Damage</v>
      </c>
      <c r="AB1468" s="8"/>
      <c r="AC1468" s="8" t="str">
        <f ca="1">IFERROR(__xludf.DUMMYFUNCTION("""COMPUTED_VALUE"""),"Yes")</f>
        <v>Yes</v>
      </c>
      <c r="AD1468" s="8" t="str">
        <f ca="1">IFERROR(__xludf.DUMMYFUNCTION("""COMPUTED_VALUE"""),"Neither")</f>
        <v>Neither</v>
      </c>
      <c r="AE1468" s="8" t="str">
        <f ca="1">IFERROR(__xludf.DUMMYFUNCTION("""COMPUTED_VALUE"""),"No")</f>
        <v>No</v>
      </c>
      <c r="AF1468" s="8"/>
      <c r="AG1468" s="8" t="str">
        <f ca="1">IFERROR(__xludf.DUMMYFUNCTION("""COMPUTED_VALUE"""),"No")</f>
        <v>No</v>
      </c>
      <c r="AH1468" s="8" t="str">
        <f ca="1">IFERROR(__xludf.DUMMYFUNCTION("""COMPUTED_VALUE"""),"No")</f>
        <v>No</v>
      </c>
      <c r="AI1468" s="8" t="str">
        <f ca="1">IFERROR(__xludf.DUMMYFUNCTION("""COMPUTED_VALUE"""),"No")</f>
        <v>No</v>
      </c>
      <c r="AJ1468" s="8" t="str">
        <f ca="1">IFERROR(__xludf.DUMMYFUNCTION("""COMPUTED_VALUE"""),"No")</f>
        <v>No</v>
      </c>
      <c r="AK1468" s="8" t="str">
        <f ca="1">IFERROR(__xludf.DUMMYFUNCTION("""COMPUTED_VALUE"""),"No")</f>
        <v>No</v>
      </c>
      <c r="AL1468" s="8" t="str">
        <f ca="1">IFERROR(__xludf.DUMMYFUNCTION("""COMPUTED_VALUE"""),"No")</f>
        <v>No</v>
      </c>
      <c r="AM1468" s="8" t="str">
        <f ca="1">IFERROR(__xludf.DUMMYFUNCTION("""COMPUTED_VALUE"""),"No")</f>
        <v>No</v>
      </c>
      <c r="AN1468" s="8"/>
      <c r="AO1468" s="8" t="str">
        <f ca="1">IFERROR(__xludf.DUMMYFUNCTION("""COMPUTED_VALUE"""),"No")</f>
        <v>No</v>
      </c>
      <c r="AP1468" s="8"/>
      <c r="AQ1468" s="8"/>
      <c r="AR1468" s="8" t="str">
        <f ca="1">IFERROR(__xludf.DUMMYFUNCTION("""COMPUTED_VALUE"""),"Outside/Off-Property")</f>
        <v>Outside/Off-Property</v>
      </c>
      <c r="AS1468" s="8">
        <f ca="1">IFERROR(__xludf.DUMMYFUNCTION("""COMPUTED_VALUE"""),1)</f>
        <v>1</v>
      </c>
      <c r="AT1468" s="8"/>
      <c r="AU1468" s="8">
        <f ca="1">IFERROR(__xludf.DUMMYFUNCTION("""COMPUTED_VALUE"""),30.434458)</f>
        <v>30.434457999999999</v>
      </c>
      <c r="AV1468" s="8">
        <f ca="1">IFERROR(__xludf.DUMMYFUNCTION("""COMPUTED_VALUE"""),-81.682994)</f>
        <v>-81.682993999999994</v>
      </c>
      <c r="AW1468" s="8"/>
      <c r="AX1468" s="8">
        <f ca="1">IFERROR(__xludf.DUMMYFUNCTION("""COMPUTED_VALUE"""),32218)</f>
        <v>32218</v>
      </c>
    </row>
    <row r="1469" spans="1:50" ht="75" x14ac:dyDescent="0.2">
      <c r="A1469" s="8" t="str">
        <f ca="1">IFERROR(__xludf.DUMMYFUNCTION("""COMPUTED_VALUE"""),"20200921CAPLP")</f>
        <v>20200921CAPLP</v>
      </c>
      <c r="B1469" s="8">
        <f ca="1">IFERROR(__xludf.DUMMYFUNCTION("""COMPUTED_VALUE"""),9)</f>
        <v>9</v>
      </c>
      <c r="C1469" s="8">
        <f ca="1">IFERROR(__xludf.DUMMYFUNCTION("""COMPUTED_VALUE"""),21)</f>
        <v>21</v>
      </c>
      <c r="D1469" s="8">
        <f ca="1">IFERROR(__xludf.DUMMYFUNCTION("""COMPUTED_VALUE"""),2020)</f>
        <v>2020</v>
      </c>
      <c r="E1469" s="9">
        <f ca="1">IFERROR(__xludf.DUMMYFUNCTION("""COMPUTED_VALUE"""),44095)</f>
        <v>44095</v>
      </c>
      <c r="F1469" s="8" t="str">
        <f ca="1">IFERROR(__xludf.DUMMYFUNCTION("""COMPUTED_VALUE"""),"Pleasant Hill Elementary School")</f>
        <v>Pleasant Hill Elementary School</v>
      </c>
      <c r="G1469" s="8">
        <f ca="1">IFERROR(__xludf.DUMMYFUNCTION("""COMPUTED_VALUE"""),0)</f>
        <v>0</v>
      </c>
      <c r="H1469" s="8">
        <f ca="1">IFERROR(__xludf.DUMMYFUNCTION("""COMPUTED_VALUE"""),0)</f>
        <v>0</v>
      </c>
      <c r="I1469" s="8">
        <f ca="1">IFERROR(__xludf.DUMMYFUNCTION("""COMPUTED_VALUE"""),0)</f>
        <v>0</v>
      </c>
      <c r="J1469" s="8">
        <f ca="1">IFERROR(__xludf.DUMMYFUNCTION("""COMPUTED_VALUE"""),0)</f>
        <v>0</v>
      </c>
      <c r="K1469" s="8" t="str">
        <f ca="1">IFERROR(__xludf.DUMMYFUNCTION("""COMPUTED_VALUE"""),"https://sanfrancisco.cbslocal.com/2020/09/23/shooting-outside-pleasant-hill-elementary-school/ https://www.facebook.com/PleasantHillPD https://sanfrancisco.cbslocal.com/2020/09/21/shooting-outside-pleasant-hill-elementary-school/")</f>
        <v>https://sanfrancisco.cbslocal.com/2020/09/23/shooting-outside-pleasant-hill-elementary-school/ https://www.facebook.com/PleasantHillPD https://sanfrancisco.cbslocal.com/2020/09/21/shooting-outside-pleasant-hill-elementary-school/</v>
      </c>
      <c r="L1469" s="8">
        <f ca="1">IFERROR(__xludf.DUMMYFUNCTION("""COMPUTED_VALUE"""),3)</f>
        <v>3</v>
      </c>
      <c r="M1469" s="8" t="str">
        <f ca="1">IFERROR(__xludf.DUMMYFUNCTION("""COMPUTED_VALUE"""),"Local")</f>
        <v>Local</v>
      </c>
      <c r="N1469" s="8">
        <f ca="1">IFERROR(__xludf.DUMMYFUNCTION("""COMPUTED_VALUE"""),4)</f>
        <v>4</v>
      </c>
      <c r="O1469" s="8" t="str">
        <f ca="1">IFERROR(__xludf.DUMMYFUNCTION("""COMPUTED_VALUE"""),"Fall")</f>
        <v>Fall</v>
      </c>
      <c r="P1469" s="8" t="str">
        <f ca="1">IFERROR(__xludf.DUMMYFUNCTION("""COMPUTED_VALUE"""),"Pleasant Hill")</f>
        <v>Pleasant Hill</v>
      </c>
      <c r="Q1469" s="8" t="str">
        <f ca="1">IFERROR(__xludf.DUMMYFUNCTION("""COMPUTED_VALUE"""),"CA")</f>
        <v>CA</v>
      </c>
      <c r="R1469" s="8" t="str">
        <f ca="1">IFERROR(__xludf.DUMMYFUNCTION("""COMPUTED_VALUE"""),"Elementary")</f>
        <v>Elementary</v>
      </c>
      <c r="S1469" s="8" t="str">
        <f ca="1">IFERROR(__xludf.DUMMYFUNCTION("""COMPUTED_VALUE"""),"Beside Building")</f>
        <v>Beside Building</v>
      </c>
      <c r="T1469" s="8" t="str">
        <f ca="1">IFERROR(__xludf.DUMMYFUNCTION("""COMPUTED_VALUE"""),"Outside on School Property")</f>
        <v>Outside on School Property</v>
      </c>
      <c r="U1469" s="8" t="str">
        <f ca="1">IFERROR(__xludf.DUMMYFUNCTION("""COMPUTED_VALUE"""),"No")</f>
        <v>No</v>
      </c>
      <c r="V1469" s="8" t="str">
        <f ca="1">IFERROR(__xludf.DUMMYFUNCTION("""COMPUTED_VALUE"""),"Evening")</f>
        <v>Evening</v>
      </c>
      <c r="W1469" s="8"/>
      <c r="X1469" s="8">
        <f ca="1">IFERROR(__xludf.DUMMYFUNCTION("""COMPUTED_VALUE"""),1)</f>
        <v>1</v>
      </c>
      <c r="Y1469" s="12" t="str">
        <f ca="1">IFERROR(__xludf.DUMMYFUNCTION("""COMPUTED_VALUE"""),"Man attempted suicide behind school after firing at officers during pursuit")</f>
        <v>Man attempted suicide behind school after firing at officers during pursuit</v>
      </c>
      <c r="Z1469" s="12" t="str">
        <f ca="1">IFERROR(__xludf.DUMMYFUNCTION("""COMPUTED_VALUE"""),"Man attempted suicide behind school after firing at officers during pursuit")</f>
        <v>Man attempted suicide behind school after firing at officers during pursuit</v>
      </c>
      <c r="AA1469" s="8" t="str">
        <f ca="1">IFERROR(__xludf.DUMMYFUNCTION("""COMPUTED_VALUE"""),"Suicide/Attempted")</f>
        <v>Suicide/Attempted</v>
      </c>
      <c r="AB1469" s="8"/>
      <c r="AC1469" s="8" t="str">
        <f ca="1">IFERROR(__xludf.DUMMYFUNCTION("""COMPUTED_VALUE"""),"No")</f>
        <v>No</v>
      </c>
      <c r="AD1469" s="8" t="str">
        <f ca="1">IFERROR(__xludf.DUMMYFUNCTION("""COMPUTED_VALUE"""),"Neither")</f>
        <v>Neither</v>
      </c>
      <c r="AE1469" s="8" t="str">
        <f ca="1">IFERROR(__xludf.DUMMYFUNCTION("""COMPUTED_VALUE"""),"No")</f>
        <v>No</v>
      </c>
      <c r="AF1469" s="8"/>
      <c r="AG1469" s="8" t="str">
        <f ca="1">IFERROR(__xludf.DUMMYFUNCTION("""COMPUTED_VALUE"""),"No")</f>
        <v>No</v>
      </c>
      <c r="AH1469" s="8" t="str">
        <f ca="1">IFERROR(__xludf.DUMMYFUNCTION("""COMPUTED_VALUE"""),"No")</f>
        <v>No</v>
      </c>
      <c r="AI1469" s="8" t="str">
        <f ca="1">IFERROR(__xludf.DUMMYFUNCTION("""COMPUTED_VALUE"""),"No")</f>
        <v>No</v>
      </c>
      <c r="AJ1469" s="8" t="str">
        <f ca="1">IFERROR(__xludf.DUMMYFUNCTION("""COMPUTED_VALUE"""),"No")</f>
        <v>No</v>
      </c>
      <c r="AK1469" s="8" t="str">
        <f ca="1">IFERROR(__xludf.DUMMYFUNCTION("""COMPUTED_VALUE"""),"No")</f>
        <v>No</v>
      </c>
      <c r="AL1469" s="8" t="str">
        <f ca="1">IFERROR(__xludf.DUMMYFUNCTION("""COMPUTED_VALUE"""),"No")</f>
        <v>No</v>
      </c>
      <c r="AM1469" s="8" t="str">
        <f ca="1">IFERROR(__xludf.DUMMYFUNCTION("""COMPUTED_VALUE"""),"No")</f>
        <v>No</v>
      </c>
      <c r="AN1469" s="8"/>
      <c r="AO1469" s="8" t="str">
        <f ca="1">IFERROR(__xludf.DUMMYFUNCTION("""COMPUTED_VALUE"""),"No")</f>
        <v>No</v>
      </c>
      <c r="AP1469" s="8"/>
      <c r="AQ1469" s="8"/>
      <c r="AR1469" s="8" t="str">
        <f ca="1">IFERROR(__xludf.DUMMYFUNCTION("""COMPUTED_VALUE"""),"Outside/Off-Property")</f>
        <v>Outside/Off-Property</v>
      </c>
      <c r="AS1469" s="8">
        <f ca="1">IFERROR(__xludf.DUMMYFUNCTION("""COMPUTED_VALUE"""),1)</f>
        <v>1</v>
      </c>
      <c r="AT1469" s="8"/>
      <c r="AU1469" s="8">
        <f ca="1">IFERROR(__xludf.DUMMYFUNCTION("""COMPUTED_VALUE"""),37.932508)</f>
        <v>37.932507999999999</v>
      </c>
      <c r="AV1469" s="8">
        <f ca="1">IFERROR(__xludf.DUMMYFUNCTION("""COMPUTED_VALUE"""),-122.083238)</f>
        <v>-122.08323799999999</v>
      </c>
      <c r="AW1469" s="8"/>
      <c r="AX1469" s="8">
        <f ca="1">IFERROR(__xludf.DUMMYFUNCTION("""COMPUTED_VALUE"""),94597)</f>
        <v>94597</v>
      </c>
    </row>
    <row r="1470" spans="1:50" ht="90" x14ac:dyDescent="0.2">
      <c r="A1470" s="8" t="str">
        <f ca="1">IFERROR(__xludf.DUMMYFUNCTION("""COMPUTED_VALUE"""),"20200920UTLIS")</f>
        <v>20200920UTLIS</v>
      </c>
      <c r="B1470" s="8">
        <f ca="1">IFERROR(__xludf.DUMMYFUNCTION("""COMPUTED_VALUE"""),9)</f>
        <v>9</v>
      </c>
      <c r="C1470" s="8">
        <f ca="1">IFERROR(__xludf.DUMMYFUNCTION("""COMPUTED_VALUE"""),20)</f>
        <v>20</v>
      </c>
      <c r="D1470" s="8">
        <f ca="1">IFERROR(__xludf.DUMMYFUNCTION("""COMPUTED_VALUE"""),2020)</f>
        <v>2020</v>
      </c>
      <c r="E1470" s="9">
        <f ca="1">IFERROR(__xludf.DUMMYFUNCTION("""COMPUTED_VALUE"""),44094)</f>
        <v>44094</v>
      </c>
      <c r="F1470" s="8" t="str">
        <f ca="1">IFERROR(__xludf.DUMMYFUNCTION("""COMPUTED_VALUE"""),"Liberty Elementary School")</f>
        <v>Liberty Elementary School</v>
      </c>
      <c r="G1470" s="8">
        <f ca="1">IFERROR(__xludf.DUMMYFUNCTION("""COMPUTED_VALUE"""),0)</f>
        <v>0</v>
      </c>
      <c r="H1470" s="8">
        <f ca="1">IFERROR(__xludf.DUMMYFUNCTION("""COMPUTED_VALUE"""),0)</f>
        <v>0</v>
      </c>
      <c r="I1470" s="8">
        <f ca="1">IFERROR(__xludf.DUMMYFUNCTION("""COMPUTED_VALUE"""),0)</f>
        <v>0</v>
      </c>
      <c r="J1470" s="8">
        <f ca="1">IFERROR(__xludf.DUMMYFUNCTION("""COMPUTED_VALUE"""),0)</f>
        <v>0</v>
      </c>
      <c r="K1470" s="8" t="str">
        <f ca="1">IFERROR(__xludf.DUMMYFUNCTION("""COMPUTED_VALUE"""),"https://www.ksl.com/article/50019528/shots-fired-into-9-year-old-girls-bedroom-bullet-narrowly-misses-her https://www.fox13now.com/news/local-news/stray-bullet-narrowly-misses-young-girl-inside-slc-home")</f>
        <v>https://www.ksl.com/article/50019528/shots-fired-into-9-year-old-girls-bedroom-bullet-narrowly-misses-her https://www.fox13now.com/news/local-news/stray-bullet-narrowly-misses-young-girl-inside-slc-home</v>
      </c>
      <c r="L1470" s="8">
        <f ca="1">IFERROR(__xludf.DUMMYFUNCTION("""COMPUTED_VALUE"""),2)</f>
        <v>2</v>
      </c>
      <c r="M1470" s="8" t="str">
        <f ca="1">IFERROR(__xludf.DUMMYFUNCTION("""COMPUTED_VALUE"""),"Local")</f>
        <v>Local</v>
      </c>
      <c r="N1470" s="8">
        <f ca="1">IFERROR(__xludf.DUMMYFUNCTION("""COMPUTED_VALUE"""),4)</f>
        <v>4</v>
      </c>
      <c r="O1470" s="8" t="str">
        <f ca="1">IFERROR(__xludf.DUMMYFUNCTION("""COMPUTED_VALUE"""),"Fall")</f>
        <v>Fall</v>
      </c>
      <c r="P1470" s="8" t="str">
        <f ca="1">IFERROR(__xludf.DUMMYFUNCTION("""COMPUTED_VALUE"""),"Salt Lake City")</f>
        <v>Salt Lake City</v>
      </c>
      <c r="Q1470" s="8" t="str">
        <f ca="1">IFERROR(__xludf.DUMMYFUNCTION("""COMPUTED_VALUE"""),"UT")</f>
        <v>UT</v>
      </c>
      <c r="R1470" s="8" t="str">
        <f ca="1">IFERROR(__xludf.DUMMYFUNCTION("""COMPUTED_VALUE"""),"Elementary")</f>
        <v>Elementary</v>
      </c>
      <c r="S1470" s="8" t="str">
        <f ca="1">IFERROR(__xludf.DUMMYFUNCTION("""COMPUTED_VALUE"""),"Field (General)")</f>
        <v>Field (General)</v>
      </c>
      <c r="T1470" s="8" t="str">
        <f ca="1">IFERROR(__xludf.DUMMYFUNCTION("""COMPUTED_VALUE"""),"Outside on School Property")</f>
        <v>Outside on School Property</v>
      </c>
      <c r="U1470" s="8" t="str">
        <f ca="1">IFERROR(__xludf.DUMMYFUNCTION("""COMPUTED_VALUE"""),"No")</f>
        <v>No</v>
      </c>
      <c r="V1470" s="8" t="str">
        <f ca="1">IFERROR(__xludf.DUMMYFUNCTION("""COMPUTED_VALUE"""),"Not a School Day")</f>
        <v>Not a School Day</v>
      </c>
      <c r="W1470" s="11">
        <f ca="1">IFERROR(__xludf.DUMMYFUNCTION("""COMPUTED_VALUE"""),0.666666666666666)</f>
        <v>0.66666666666666596</v>
      </c>
      <c r="X1470" s="8">
        <f ca="1">IFERROR(__xludf.DUMMYFUNCTION("""COMPUTED_VALUE"""),1)</f>
        <v>1</v>
      </c>
      <c r="Y1470" s="12" t="str">
        <f ca="1">IFERROR(__xludf.DUMMYFUNCTION("""COMPUTED_VALUE"""),"8 shots fired on school soccer field")</f>
        <v>8 shots fired on school soccer field</v>
      </c>
      <c r="Z1470" s="12" t="str">
        <f ca="1">IFERROR(__xludf.DUMMYFUNCTION("""COMPUTED_VALUE"""),"8 shots were fired from the school soccer field. Police found shell casings near the soccer goal. One round struck the window of a nearby home with a 9-year-old girl sitting nearby. Father reported a dispute earlier in the day with an unknown male. Shoote"&amp;"r fled. Police did not identify a suspect.")</f>
        <v>8 shots were fired from the school soccer field. Police found shell casings near the soccer goal. One round struck the window of a nearby home with a 9-year-old girl sitting nearby. Father reported a dispute earlier in the day with an unknown male. Shooter fled. Police did not identify a suspect.</v>
      </c>
      <c r="AA1470" s="8"/>
      <c r="AB1470" s="8"/>
      <c r="AC1470" s="8" t="str">
        <f ca="1">IFERROR(__xludf.DUMMYFUNCTION("""COMPUTED_VALUE"""),"No")</f>
        <v>No</v>
      </c>
      <c r="AD1470" s="8"/>
      <c r="AE1470" s="8"/>
      <c r="AF1470" s="8"/>
      <c r="AG1470" s="8" t="str">
        <f ca="1">IFERROR(__xludf.DUMMYFUNCTION("""COMPUTED_VALUE"""),"No")</f>
        <v>No</v>
      </c>
      <c r="AH1470" s="8" t="str">
        <f ca="1">IFERROR(__xludf.DUMMYFUNCTION("""COMPUTED_VALUE"""),"No")</f>
        <v>No</v>
      </c>
      <c r="AI1470" s="8" t="str">
        <f ca="1">IFERROR(__xludf.DUMMYFUNCTION("""COMPUTED_VALUE"""),"No")</f>
        <v>No</v>
      </c>
      <c r="AJ1470" s="8" t="str">
        <f ca="1">IFERROR(__xludf.DUMMYFUNCTION("""COMPUTED_VALUE"""),"No")</f>
        <v>No</v>
      </c>
      <c r="AK1470" s="8" t="str">
        <f ca="1">IFERROR(__xludf.DUMMYFUNCTION("""COMPUTED_VALUE"""),"No")</f>
        <v>No</v>
      </c>
      <c r="AL1470" s="8"/>
      <c r="AM1470" s="8" t="str">
        <f ca="1">IFERROR(__xludf.DUMMYFUNCTION("""COMPUTED_VALUE"""),"No")</f>
        <v>No</v>
      </c>
      <c r="AN1470" s="8"/>
      <c r="AO1470" s="8" t="str">
        <f ca="1">IFERROR(__xludf.DUMMYFUNCTION("""COMPUTED_VALUE"""),"No")</f>
        <v>No</v>
      </c>
      <c r="AP1470" s="8"/>
      <c r="AQ1470" s="8"/>
      <c r="AR1470" s="8" t="str">
        <f ca="1">IFERROR(__xludf.DUMMYFUNCTION("""COMPUTED_VALUE"""),"Outside/Off-Property")</f>
        <v>Outside/Off-Property</v>
      </c>
      <c r="AS1470" s="8"/>
      <c r="AT1470" s="8"/>
      <c r="AU1470" s="8">
        <f ca="1">IFERROR(__xludf.DUMMYFUNCTION("""COMPUTED_VALUE"""),40.745174)</f>
        <v>40.745173999999999</v>
      </c>
      <c r="AV1470" s="8">
        <f ca="1">IFERROR(__xludf.DUMMYFUNCTION("""COMPUTED_VALUE"""),-111.88446)</f>
        <v>-111.88446</v>
      </c>
      <c r="AW1470" s="8"/>
      <c r="AX1470" s="8">
        <f ca="1">IFERROR(__xludf.DUMMYFUNCTION("""COMPUTED_VALUE"""),84111)</f>
        <v>84111</v>
      </c>
    </row>
    <row r="1471" spans="1:50" ht="60" x14ac:dyDescent="0.2">
      <c r="A1471" s="8" t="str">
        <f ca="1">IFERROR(__xludf.DUMMYFUNCTION("""COMPUTED_VALUE"""),"20200919CAKRS")</f>
        <v>20200919CAKRS</v>
      </c>
      <c r="B1471" s="8">
        <f ca="1">IFERROR(__xludf.DUMMYFUNCTION("""COMPUTED_VALUE"""),9)</f>
        <v>9</v>
      </c>
      <c r="C1471" s="8">
        <f ca="1">IFERROR(__xludf.DUMMYFUNCTION("""COMPUTED_VALUE"""),19)</f>
        <v>19</v>
      </c>
      <c r="D1471" s="8">
        <f ca="1">IFERROR(__xludf.DUMMYFUNCTION("""COMPUTED_VALUE"""),2020)</f>
        <v>2020</v>
      </c>
      <c r="E1471" s="9">
        <f ca="1">IFERROR(__xludf.DUMMYFUNCTION("""COMPUTED_VALUE"""),44093)</f>
        <v>44093</v>
      </c>
      <c r="F1471" s="8" t="str">
        <f ca="1">IFERROR(__xludf.DUMMYFUNCTION("""COMPUTED_VALUE"""),"Krouzian Zekarian Vasbouragan Armenian School")</f>
        <v>Krouzian Zekarian Vasbouragan Armenian School</v>
      </c>
      <c r="G1471" s="8">
        <f ca="1">IFERROR(__xludf.DUMMYFUNCTION("""COMPUTED_VALUE"""),0)</f>
        <v>0</v>
      </c>
      <c r="H1471" s="8">
        <f ca="1">IFERROR(__xludf.DUMMYFUNCTION("""COMPUTED_VALUE"""),0)</f>
        <v>0</v>
      </c>
      <c r="I1471" s="8">
        <f ca="1">IFERROR(__xludf.DUMMYFUNCTION("""COMPUTED_VALUE"""),0)</f>
        <v>0</v>
      </c>
      <c r="J1471" s="8">
        <f ca="1">IFERROR(__xludf.DUMMYFUNCTION("""COMPUTED_VALUE"""),0)</f>
        <v>0</v>
      </c>
      <c r="K1471" s="8" t="str">
        <f ca="1">IFERROR(__xludf.DUMMYFUNCTION("""COMPUTED_VALUE"""),"https://sfbayca.com/2020/09/22/armenian-community-suffers-third-hate-crime-incident-in-two-months/ http://asbarez.com/196959/shots-fired-at-kzv-school-in-san-francisco/ https://sanfrancisco.cbslocal.com/2020/09/21/gunfire-erupts-at-k-8-private-school-thir"&amp;"d-hate-crime-against-sf-armenians-in-2-months/")</f>
        <v>https://sfbayca.com/2020/09/22/armenian-community-suffers-third-hate-crime-incident-in-two-months/ http://asbarez.com/196959/shots-fired-at-kzv-school-in-san-francisco/ https://sanfrancisco.cbslocal.com/2020/09/21/gunfire-erupts-at-k-8-private-school-third-hate-crime-against-sf-armenians-in-2-months/</v>
      </c>
      <c r="L1471" s="8">
        <f ca="1">IFERROR(__xludf.DUMMYFUNCTION("""COMPUTED_VALUE"""),3)</f>
        <v>3</v>
      </c>
      <c r="M1471" s="8" t="str">
        <f ca="1">IFERROR(__xludf.DUMMYFUNCTION("""COMPUTED_VALUE"""),"Regional")</f>
        <v>Regional</v>
      </c>
      <c r="N1471" s="8">
        <f ca="1">IFERROR(__xludf.DUMMYFUNCTION("""COMPUTED_VALUE"""),4)</f>
        <v>4</v>
      </c>
      <c r="O1471" s="8"/>
      <c r="P1471" s="8" t="str">
        <f ca="1">IFERROR(__xludf.DUMMYFUNCTION("""COMPUTED_VALUE"""),"San Francisco")</f>
        <v>San Francisco</v>
      </c>
      <c r="Q1471" s="8" t="str">
        <f ca="1">IFERROR(__xludf.DUMMYFUNCTION("""COMPUTED_VALUE"""),"CA")</f>
        <v>CA</v>
      </c>
      <c r="R1471" s="8" t="str">
        <f ca="1">IFERROR(__xludf.DUMMYFUNCTION("""COMPUTED_VALUE"""),"K-8")</f>
        <v>K-8</v>
      </c>
      <c r="S1471" s="8" t="str">
        <f ca="1">IFERROR(__xludf.DUMMYFUNCTION("""COMPUTED_VALUE"""),"Outside on School Property")</f>
        <v>Outside on School Property</v>
      </c>
      <c r="T1471" s="8" t="str">
        <f ca="1">IFERROR(__xludf.DUMMYFUNCTION("""COMPUTED_VALUE"""),"Outside on School Property")</f>
        <v>Outside on School Property</v>
      </c>
      <c r="U1471" s="8" t="str">
        <f ca="1">IFERROR(__xludf.DUMMYFUNCTION("""COMPUTED_VALUE"""),"No")</f>
        <v>No</v>
      </c>
      <c r="V1471" s="8" t="str">
        <f ca="1">IFERROR(__xludf.DUMMYFUNCTION("""COMPUTED_VALUE"""),"Night")</f>
        <v>Night</v>
      </c>
      <c r="W1471" s="11">
        <f ca="1">IFERROR(__xludf.DUMMYFUNCTION("""COMPUTED_VALUE"""),0.600694444444444)</f>
        <v>0.60069444444444398</v>
      </c>
      <c r="X1471" s="8">
        <f ca="1">IFERROR(__xludf.DUMMYFUNCTION("""COMPUTED_VALUE"""),1)</f>
        <v>1</v>
      </c>
      <c r="Y1471" s="12" t="str">
        <f ca="1">IFERROR(__xludf.DUMMYFUNCTION("""COMPUTED_VALUE"""),"School sign damaged by gunshot")</f>
        <v>School sign damaged by gunshot</v>
      </c>
      <c r="Z1471" s="12" t="str">
        <f ca="1">IFERROR(__xludf.DUMMYFUNCTION("""COMPUTED_VALUE"""),"Police were called for the report of gunshots near the school. Police found a bullet hole in the sign of the school. The school was been vandalized twice in the past 2 months. Shooting is being investigated as a hate crime.")</f>
        <v>Police were called for the report of gunshots near the school. Police found a bullet hole in the sign of the school. The school was been vandalized twice in the past 2 months. Shooting is being investigated as a hate crime.</v>
      </c>
      <c r="AA1471" s="8" t="str">
        <f ca="1">IFERROR(__xludf.DUMMYFUNCTION("""COMPUTED_VALUE"""),"Intentional Property Damage")</f>
        <v>Intentional Property Damage</v>
      </c>
      <c r="AB1471" s="8"/>
      <c r="AC1471" s="8" t="str">
        <f ca="1">IFERROR(__xludf.DUMMYFUNCTION("""COMPUTED_VALUE"""),"No")</f>
        <v>No</v>
      </c>
      <c r="AD1471" s="8" t="str">
        <f ca="1">IFERROR(__xludf.DUMMYFUNCTION("""COMPUTED_VALUE"""),"Neither")</f>
        <v>Neither</v>
      </c>
      <c r="AE1471" s="8"/>
      <c r="AF1471" s="8"/>
      <c r="AG1471" s="8" t="str">
        <f ca="1">IFERROR(__xludf.DUMMYFUNCTION("""COMPUTED_VALUE"""),"No")</f>
        <v>No</v>
      </c>
      <c r="AH1471" s="8" t="str">
        <f ca="1">IFERROR(__xludf.DUMMYFUNCTION("""COMPUTED_VALUE"""),"No")</f>
        <v>No</v>
      </c>
      <c r="AI1471" s="8" t="str">
        <f ca="1">IFERROR(__xludf.DUMMYFUNCTION("""COMPUTED_VALUE"""),"No")</f>
        <v>No</v>
      </c>
      <c r="AJ1471" s="8" t="str">
        <f ca="1">IFERROR(__xludf.DUMMYFUNCTION("""COMPUTED_VALUE"""),"No")</f>
        <v>No</v>
      </c>
      <c r="AK1471" s="8" t="str">
        <f ca="1">IFERROR(__xludf.DUMMYFUNCTION("""COMPUTED_VALUE"""),"No")</f>
        <v>No</v>
      </c>
      <c r="AL1471" s="8"/>
      <c r="AM1471" s="8" t="str">
        <f ca="1">IFERROR(__xludf.DUMMYFUNCTION("""COMPUTED_VALUE"""),"No")</f>
        <v>No</v>
      </c>
      <c r="AN1471" s="8"/>
      <c r="AO1471" s="8" t="str">
        <f ca="1">IFERROR(__xludf.DUMMYFUNCTION("""COMPUTED_VALUE"""),"No")</f>
        <v>No</v>
      </c>
      <c r="AP1471" s="8"/>
      <c r="AQ1471" s="8"/>
      <c r="AR1471" s="8" t="str">
        <f ca="1">IFERROR(__xludf.DUMMYFUNCTION("""COMPUTED_VALUE"""),"Outside/Off-Property")</f>
        <v>Outside/Off-Property</v>
      </c>
      <c r="AS1471" s="8"/>
      <c r="AT1471" s="8"/>
      <c r="AU1471" s="8">
        <f ca="1">IFERROR(__xludf.DUMMYFUNCTION("""COMPUTED_VALUE"""),37.713929)</f>
        <v>37.713929</v>
      </c>
      <c r="AV1471" s="8">
        <f ca="1">IFERROR(__xludf.DUMMYFUNCTION("""COMPUTED_VALUE"""),-122.478411)</f>
        <v>-122.47841099999999</v>
      </c>
      <c r="AW1471" s="8"/>
      <c r="AX1471" s="8">
        <f ca="1">IFERROR(__xludf.DUMMYFUNCTION("""COMPUTED_VALUE"""),94132)</f>
        <v>94132</v>
      </c>
    </row>
    <row r="1472" spans="1:50" ht="45" x14ac:dyDescent="0.2">
      <c r="A1472" s="8" t="str">
        <f ca="1">IFERROR(__xludf.DUMMYFUNCTION("""COMPUTED_VALUE"""),"20200918KYWIL")</f>
        <v>20200918KYWIL</v>
      </c>
      <c r="B1472" s="8">
        <f ca="1">IFERROR(__xludf.DUMMYFUNCTION("""COMPUTED_VALUE"""),9)</f>
        <v>9</v>
      </c>
      <c r="C1472" s="8">
        <f ca="1">IFERROR(__xludf.DUMMYFUNCTION("""COMPUTED_VALUE"""),18)</f>
        <v>18</v>
      </c>
      <c r="D1472" s="8">
        <f ca="1">IFERROR(__xludf.DUMMYFUNCTION("""COMPUTED_VALUE"""),2020)</f>
        <v>2020</v>
      </c>
      <c r="E1472" s="9">
        <f ca="1">IFERROR(__xludf.DUMMYFUNCTION("""COMPUTED_VALUE"""),44092)</f>
        <v>44092</v>
      </c>
      <c r="F1472" s="8" t="str">
        <f ca="1">IFERROR(__xludf.DUMMYFUNCTION("""COMPUTED_VALUE"""),"Winburn Middle School")</f>
        <v>Winburn Middle School</v>
      </c>
      <c r="G1472" s="8">
        <f ca="1">IFERROR(__xludf.DUMMYFUNCTION("""COMPUTED_VALUE"""),0)</f>
        <v>0</v>
      </c>
      <c r="H1472" s="8">
        <f ca="1">IFERROR(__xludf.DUMMYFUNCTION("""COMPUTED_VALUE"""),1)</f>
        <v>1</v>
      </c>
      <c r="I1472" s="8">
        <f ca="1">IFERROR(__xludf.DUMMYFUNCTION("""COMPUTED_VALUE"""),1)</f>
        <v>1</v>
      </c>
      <c r="J1472" s="8">
        <f ca="1">IFERROR(__xludf.DUMMYFUNCTION("""COMPUTED_VALUE"""),0)</f>
        <v>0</v>
      </c>
      <c r="K1472" s="10" t="str">
        <f ca="1">IFERROR(__xludf.DUMMYFUNCTION("""COMPUTED_VALUE"""),"https://www.wkyt.com/2020/09/19/one-shot-near-lexington-school/")</f>
        <v>https://www.wkyt.com/2020/09/19/one-shot-near-lexington-school/</v>
      </c>
      <c r="L1472" s="8">
        <f ca="1">IFERROR(__xludf.DUMMYFUNCTION("""COMPUTED_VALUE"""),1)</f>
        <v>1</v>
      </c>
      <c r="M1472" s="8" t="str">
        <f ca="1">IFERROR(__xludf.DUMMYFUNCTION("""COMPUTED_VALUE"""),"Local")</f>
        <v>Local</v>
      </c>
      <c r="N1472" s="8">
        <f ca="1">IFERROR(__xludf.DUMMYFUNCTION("""COMPUTED_VALUE"""),3)</f>
        <v>3</v>
      </c>
      <c r="O1472" s="8" t="str">
        <f ca="1">IFERROR(__xludf.DUMMYFUNCTION("""COMPUTED_VALUE"""),"Fall")</f>
        <v>Fall</v>
      </c>
      <c r="P1472" s="8" t="str">
        <f ca="1">IFERROR(__xludf.DUMMYFUNCTION("""COMPUTED_VALUE"""),"Lexington")</f>
        <v>Lexington</v>
      </c>
      <c r="Q1472" s="8" t="str">
        <f ca="1">IFERROR(__xludf.DUMMYFUNCTION("""COMPUTED_VALUE"""),"KY")</f>
        <v>KY</v>
      </c>
      <c r="R1472" s="8" t="str">
        <f ca="1">IFERROR(__xludf.DUMMYFUNCTION("""COMPUTED_VALUE"""),"Middle")</f>
        <v>Middle</v>
      </c>
      <c r="S1472" s="8" t="str">
        <f ca="1">IFERROR(__xludf.DUMMYFUNCTION("""COMPUTED_VALUE"""),"Basketball Court")</f>
        <v>Basketball Court</v>
      </c>
      <c r="T1472" s="8" t="str">
        <f ca="1">IFERROR(__xludf.DUMMYFUNCTION("""COMPUTED_VALUE"""),"Outside on School Property")</f>
        <v>Outside on School Property</v>
      </c>
      <c r="U1472" s="8" t="str">
        <f ca="1">IFERROR(__xludf.DUMMYFUNCTION("""COMPUTED_VALUE"""),"No")</f>
        <v>No</v>
      </c>
      <c r="V1472" s="8" t="str">
        <f ca="1">IFERROR(__xludf.DUMMYFUNCTION("""COMPUTED_VALUE"""),"Evening")</f>
        <v>Evening</v>
      </c>
      <c r="W1472" s="11">
        <f ca="1">IFERROR(__xludf.DUMMYFUNCTION("""COMPUTED_VALUE"""),0.854166666666666)</f>
        <v>0.85416666666666596</v>
      </c>
      <c r="X1472" s="8">
        <f ca="1">IFERROR(__xludf.DUMMYFUNCTION("""COMPUTED_VALUE"""),1)</f>
        <v>1</v>
      </c>
      <c r="Y1472" s="12" t="str">
        <f ca="1">IFERROR(__xludf.DUMMYFUNCTION("""COMPUTED_VALUE"""),"Man shot near the school basketball court")</f>
        <v>Man shot near the school basketball court</v>
      </c>
      <c r="Z1472" s="12" t="str">
        <f ca="1">IFERROR(__xludf.DUMMYFUNCTION("""COMPUTED_VALUE"""),"Man was shot near the school basketball court. Police did not provide any other information.")</f>
        <v>Man was shot near the school basketball court. Police did not provide any other information.</v>
      </c>
      <c r="AA1472" s="8"/>
      <c r="AB1472" s="8"/>
      <c r="AC1472" s="8" t="str">
        <f ca="1">IFERROR(__xludf.DUMMYFUNCTION("""COMPUTED_VALUE"""),"No")</f>
        <v>No</v>
      </c>
      <c r="AD1472" s="8"/>
      <c r="AE1472" s="8"/>
      <c r="AF1472" s="8"/>
      <c r="AG1472" s="8" t="str">
        <f ca="1">IFERROR(__xludf.DUMMYFUNCTION("""COMPUTED_VALUE"""),"No")</f>
        <v>No</v>
      </c>
      <c r="AH1472" s="8" t="str">
        <f ca="1">IFERROR(__xludf.DUMMYFUNCTION("""COMPUTED_VALUE"""),"No")</f>
        <v>No</v>
      </c>
      <c r="AI1472" s="8" t="str">
        <f ca="1">IFERROR(__xludf.DUMMYFUNCTION("""COMPUTED_VALUE"""),"No")</f>
        <v>No</v>
      </c>
      <c r="AJ1472" s="8" t="str">
        <f ca="1">IFERROR(__xludf.DUMMYFUNCTION("""COMPUTED_VALUE"""),"No")</f>
        <v>No</v>
      </c>
      <c r="AK1472" s="8" t="str">
        <f ca="1">IFERROR(__xludf.DUMMYFUNCTION("""COMPUTED_VALUE"""),"No")</f>
        <v>No</v>
      </c>
      <c r="AL1472" s="8"/>
      <c r="AM1472" s="8" t="str">
        <f ca="1">IFERROR(__xludf.DUMMYFUNCTION("""COMPUTED_VALUE"""),"No")</f>
        <v>No</v>
      </c>
      <c r="AN1472" s="8"/>
      <c r="AO1472" s="8" t="str">
        <f ca="1">IFERROR(__xludf.DUMMYFUNCTION("""COMPUTED_VALUE"""),"No")</f>
        <v>No</v>
      </c>
      <c r="AP1472" s="8"/>
      <c r="AQ1472" s="8"/>
      <c r="AR1472" s="8" t="str">
        <f ca="1">IFERROR(__xludf.DUMMYFUNCTION("""COMPUTED_VALUE"""),"Outside/Off-Property")</f>
        <v>Outside/Off-Property</v>
      </c>
      <c r="AS1472" s="8"/>
      <c r="AT1472" s="8"/>
      <c r="AU1472" s="8">
        <f ca="1">IFERROR(__xludf.DUMMYFUNCTION("""COMPUTED_VALUE"""),38.087332)</f>
        <v>38.087332000000004</v>
      </c>
      <c r="AV1472" s="8">
        <f ca="1">IFERROR(__xludf.DUMMYFUNCTION("""COMPUTED_VALUE"""),-84.477796)</f>
        <v>-84.477795999999998</v>
      </c>
      <c r="AW1472" s="8"/>
      <c r="AX1472" s="8">
        <f ca="1">IFERROR(__xludf.DUMMYFUNCTION("""COMPUTED_VALUE"""),40512)</f>
        <v>40512</v>
      </c>
    </row>
    <row r="1473" spans="1:50" ht="60" x14ac:dyDescent="0.2">
      <c r="A1473" s="8" t="str">
        <f ca="1">IFERROR(__xludf.DUMMYFUNCTION("""COMPUTED_VALUE"""),"20200917ORDRP")</f>
        <v>20200917ORDRP</v>
      </c>
      <c r="B1473" s="8">
        <f ca="1">IFERROR(__xludf.DUMMYFUNCTION("""COMPUTED_VALUE"""),9)</f>
        <v>9</v>
      </c>
      <c r="C1473" s="8">
        <f ca="1">IFERROR(__xludf.DUMMYFUNCTION("""COMPUTED_VALUE"""),17)</f>
        <v>17</v>
      </c>
      <c r="D1473" s="8">
        <f ca="1">IFERROR(__xludf.DUMMYFUNCTION("""COMPUTED_VALUE"""),2020)</f>
        <v>2020</v>
      </c>
      <c r="E1473" s="9">
        <f ca="1">IFERROR(__xludf.DUMMYFUNCTION("""COMPUTED_VALUE"""),44091)</f>
        <v>44091</v>
      </c>
      <c r="F1473" s="8" t="str">
        <f ca="1">IFERROR(__xludf.DUMMYFUNCTION("""COMPUTED_VALUE"""),"Dr. Martin Luther King Jr. Elementary School")</f>
        <v>Dr. Martin Luther King Jr. Elementary School</v>
      </c>
      <c r="G1473" s="8">
        <f ca="1">IFERROR(__xludf.DUMMYFUNCTION("""COMPUTED_VALUE"""),0)</f>
        <v>0</v>
      </c>
      <c r="H1473" s="8">
        <f ca="1">IFERROR(__xludf.DUMMYFUNCTION("""COMPUTED_VALUE"""),1)</f>
        <v>1</v>
      </c>
      <c r="I1473" s="8">
        <f ca="1">IFERROR(__xludf.DUMMYFUNCTION("""COMPUTED_VALUE"""),1)</f>
        <v>1</v>
      </c>
      <c r="J1473" s="8">
        <f ca="1">IFERROR(__xludf.DUMMYFUNCTION("""COMPUTED_VALUE"""),0)</f>
        <v>0</v>
      </c>
      <c r="K1473" s="8" t="str">
        <f ca="1">IFERROR(__xludf.DUMMYFUNCTION("""COMPUTED_VALUE"""),"https://www.kxl.com/four-shootings-in-portland-in-7-hours/ https://pamplinmedia.com/pt/9-news/480506-387841-two-shot-in-southeast-portland-is-separate-incidents")</f>
        <v>https://www.kxl.com/four-shootings-in-portland-in-7-hours/ https://pamplinmedia.com/pt/9-news/480506-387841-two-shot-in-southeast-portland-is-separate-incidents</v>
      </c>
      <c r="L1473" s="8">
        <f ca="1">IFERROR(__xludf.DUMMYFUNCTION("""COMPUTED_VALUE"""),2)</f>
        <v>2</v>
      </c>
      <c r="M1473" s="8" t="str">
        <f ca="1">IFERROR(__xludf.DUMMYFUNCTION("""COMPUTED_VALUE"""),"Local")</f>
        <v>Local</v>
      </c>
      <c r="N1473" s="8">
        <f ca="1">IFERROR(__xludf.DUMMYFUNCTION("""COMPUTED_VALUE"""),3)</f>
        <v>3</v>
      </c>
      <c r="O1473" s="8" t="str">
        <f ca="1">IFERROR(__xludf.DUMMYFUNCTION("""COMPUTED_VALUE"""),"Fall")</f>
        <v>Fall</v>
      </c>
      <c r="P1473" s="8" t="str">
        <f ca="1">IFERROR(__xludf.DUMMYFUNCTION("""COMPUTED_VALUE"""),"Portland")</f>
        <v>Portland</v>
      </c>
      <c r="Q1473" s="8" t="str">
        <f ca="1">IFERROR(__xludf.DUMMYFUNCTION("""COMPUTED_VALUE"""),"OR")</f>
        <v>OR</v>
      </c>
      <c r="R1473" s="8" t="str">
        <f ca="1">IFERROR(__xludf.DUMMYFUNCTION("""COMPUTED_VALUE"""),"Elementary")</f>
        <v>Elementary</v>
      </c>
      <c r="S1473" s="8" t="str">
        <f ca="1">IFERROR(__xludf.DUMMYFUNCTION("""COMPUTED_VALUE"""),"Outside on School Property")</f>
        <v>Outside on School Property</v>
      </c>
      <c r="T1473" s="8" t="str">
        <f ca="1">IFERROR(__xludf.DUMMYFUNCTION("""COMPUTED_VALUE"""),"Outside on School Property")</f>
        <v>Outside on School Property</v>
      </c>
      <c r="U1473" s="8" t="str">
        <f ca="1">IFERROR(__xludf.DUMMYFUNCTION("""COMPUTED_VALUE"""),"No")</f>
        <v>No</v>
      </c>
      <c r="V1473" s="8" t="str">
        <f ca="1">IFERROR(__xludf.DUMMYFUNCTION("""COMPUTED_VALUE"""),"Night")</f>
        <v>Night</v>
      </c>
      <c r="W1473" s="11">
        <f ca="1">IFERROR(__xludf.DUMMYFUNCTION("""COMPUTED_VALUE"""),0.900694444444444)</f>
        <v>0.90069444444444402</v>
      </c>
      <c r="X1473" s="8">
        <f ca="1">IFERROR(__xludf.DUMMYFUNCTION("""COMPUTED_VALUE"""),1)</f>
        <v>1</v>
      </c>
      <c r="Y1473" s="12" t="str">
        <f ca="1">IFERROR(__xludf.DUMMYFUNCTION("""COMPUTED_VALUE"""),"Victim shot near school tennis court")</f>
        <v>Victim shot near school tennis court</v>
      </c>
      <c r="Z1473" s="12" t="str">
        <f ca="1">IFERROR(__xludf.DUMMYFUNCTION("""COMPUTED_VALUE"""),"Victim shot near school tennis court. Police were called for report of gunshot and did not find any victims. Victim was driven to the hospital and notified police that the shooting occurred near the school tennis court. Shooter fled.")</f>
        <v>Victim shot near school tennis court. Police were called for report of gunshot and did not find any victims. Victim was driven to the hospital and notified police that the shooting occurred near the school tennis court. Shooter fled.</v>
      </c>
      <c r="AA1473" s="8"/>
      <c r="AB1473" s="8"/>
      <c r="AC1473" s="8" t="str">
        <f ca="1">IFERROR(__xludf.DUMMYFUNCTION("""COMPUTED_VALUE"""),"No")</f>
        <v>No</v>
      </c>
      <c r="AD1473" s="8"/>
      <c r="AE1473" s="8"/>
      <c r="AF1473" s="8"/>
      <c r="AG1473" s="8" t="str">
        <f ca="1">IFERROR(__xludf.DUMMYFUNCTION("""COMPUTED_VALUE"""),"No")</f>
        <v>No</v>
      </c>
      <c r="AH1473" s="8" t="str">
        <f ca="1">IFERROR(__xludf.DUMMYFUNCTION("""COMPUTED_VALUE"""),"No")</f>
        <v>No</v>
      </c>
      <c r="AI1473" s="8" t="str">
        <f ca="1">IFERROR(__xludf.DUMMYFUNCTION("""COMPUTED_VALUE"""),"No")</f>
        <v>No</v>
      </c>
      <c r="AJ1473" s="8" t="str">
        <f ca="1">IFERROR(__xludf.DUMMYFUNCTION("""COMPUTED_VALUE"""),"No")</f>
        <v>No</v>
      </c>
      <c r="AK1473" s="8" t="str">
        <f ca="1">IFERROR(__xludf.DUMMYFUNCTION("""COMPUTED_VALUE"""),"No")</f>
        <v>No</v>
      </c>
      <c r="AL1473" s="8"/>
      <c r="AM1473" s="8" t="str">
        <f ca="1">IFERROR(__xludf.DUMMYFUNCTION("""COMPUTED_VALUE"""),"No")</f>
        <v>No</v>
      </c>
      <c r="AN1473" s="8"/>
      <c r="AO1473" s="8" t="str">
        <f ca="1">IFERROR(__xludf.DUMMYFUNCTION("""COMPUTED_VALUE"""),"No")</f>
        <v>No</v>
      </c>
      <c r="AP1473" s="8"/>
      <c r="AQ1473" s="8"/>
      <c r="AR1473" s="8" t="str">
        <f ca="1">IFERROR(__xludf.DUMMYFUNCTION("""COMPUTED_VALUE"""),"Outside/Off-Property")</f>
        <v>Outside/Off-Property</v>
      </c>
      <c r="AS1473" s="8"/>
      <c r="AT1473" s="8"/>
      <c r="AU1473" s="8">
        <f ca="1">IFERROR(__xludf.DUMMYFUNCTION("""COMPUTED_VALUE"""),45.558315)</f>
        <v>45.558315</v>
      </c>
      <c r="AV1473" s="8">
        <f ca="1">IFERROR(__xludf.DUMMYFUNCTION("""COMPUTED_VALUE"""),-122.658979)</f>
        <v>-122.658979</v>
      </c>
      <c r="AW1473" s="8"/>
      <c r="AX1473" s="8">
        <f ca="1">IFERROR(__xludf.DUMMYFUNCTION("""COMPUTED_VALUE"""),97211)</f>
        <v>97211</v>
      </c>
    </row>
    <row r="1474" spans="1:50" ht="60" x14ac:dyDescent="0.2">
      <c r="A1474" s="8" t="str">
        <f ca="1">IFERROR(__xludf.DUMMYFUNCTION("""COMPUTED_VALUE"""),"20200917OHELA")</f>
        <v>20200917OHELA</v>
      </c>
      <c r="B1474" s="8">
        <f ca="1">IFERROR(__xludf.DUMMYFUNCTION("""COMPUTED_VALUE"""),9)</f>
        <v>9</v>
      </c>
      <c r="C1474" s="8">
        <f ca="1">IFERROR(__xludf.DUMMYFUNCTION("""COMPUTED_VALUE"""),17)</f>
        <v>17</v>
      </c>
      <c r="D1474" s="8">
        <f ca="1">IFERROR(__xludf.DUMMYFUNCTION("""COMPUTED_VALUE"""),2020)</f>
        <v>2020</v>
      </c>
      <c r="E1474" s="9">
        <f ca="1">IFERROR(__xludf.DUMMYFUNCTION("""COMPUTED_VALUE"""),44091)</f>
        <v>44091</v>
      </c>
      <c r="F1474" s="8" t="str">
        <f ca="1">IFERROR(__xludf.DUMMYFUNCTION("""COMPUTED_VALUE"""),"Ellet High School")</f>
        <v>Ellet High School</v>
      </c>
      <c r="G1474" s="8">
        <f ca="1">IFERROR(__xludf.DUMMYFUNCTION("""COMPUTED_VALUE"""),0)</f>
        <v>0</v>
      </c>
      <c r="H1474" s="8">
        <f ca="1">IFERROR(__xludf.DUMMYFUNCTION("""COMPUTED_VALUE"""),2)</f>
        <v>2</v>
      </c>
      <c r="I1474" s="8">
        <f ca="1">IFERROR(__xludf.DUMMYFUNCTION("""COMPUTED_VALUE"""),2)</f>
        <v>2</v>
      </c>
      <c r="J1474" s="8">
        <f ca="1">IFERROR(__xludf.DUMMYFUNCTION("""COMPUTED_VALUE"""),0)</f>
        <v>0</v>
      </c>
      <c r="K1474" s="8" t="str">
        <f ca="1">IFERROR(__xludf.DUMMYFUNCTION("""COMPUTED_VALUE"""),"https://www.news5cleveland.com/news/local-news/akron-canton-news/2-shot-during-akron-high-school-football-game https://www.cleveland19.com/2020/09/17/shot-akron-football-game-between-east-high-school-firestone-clc/ https://www.wkyc.com/article/news/crime/"&amp;"two-injured-in-shooting-at-ellet-high-school-football-game/95-ca3ff63b-ac9f-470a-aec8-cd3ec89df79c")</f>
        <v>https://www.news5cleveland.com/news/local-news/akron-canton-news/2-shot-during-akron-high-school-football-game https://www.cleveland19.com/2020/09/17/shot-akron-football-game-between-east-high-school-firestone-clc/ https://www.wkyc.com/article/news/crime/two-injured-in-shooting-at-ellet-high-school-football-game/95-ca3ff63b-ac9f-470a-aec8-cd3ec89df79c</v>
      </c>
      <c r="L1474" s="8"/>
      <c r="M1474" s="8" t="str">
        <f ca="1">IFERROR(__xludf.DUMMYFUNCTION("""COMPUTED_VALUE"""),"Local")</f>
        <v>Local</v>
      </c>
      <c r="N1474" s="8">
        <f ca="1">IFERROR(__xludf.DUMMYFUNCTION("""COMPUTED_VALUE"""),4)</f>
        <v>4</v>
      </c>
      <c r="O1474" s="8" t="str">
        <f ca="1">IFERROR(__xludf.DUMMYFUNCTION("""COMPUTED_VALUE"""),"Fall")</f>
        <v>Fall</v>
      </c>
      <c r="P1474" s="8" t="str">
        <f ca="1">IFERROR(__xludf.DUMMYFUNCTION("""COMPUTED_VALUE"""),"Akron")</f>
        <v>Akron</v>
      </c>
      <c r="Q1474" s="8" t="str">
        <f ca="1">IFERROR(__xludf.DUMMYFUNCTION("""COMPUTED_VALUE"""),"OH")</f>
        <v>OH</v>
      </c>
      <c r="R1474" s="8" t="str">
        <f ca="1">IFERROR(__xludf.DUMMYFUNCTION("""COMPUTED_VALUE"""),"High")</f>
        <v>High</v>
      </c>
      <c r="S1474" s="8" t="str">
        <f ca="1">IFERROR(__xludf.DUMMYFUNCTION("""COMPUTED_VALUE"""),"Football Field/Track")</f>
        <v>Football Field/Track</v>
      </c>
      <c r="T1474" s="8" t="str">
        <f ca="1">IFERROR(__xludf.DUMMYFUNCTION("""COMPUTED_VALUE"""),"Outside on School Property")</f>
        <v>Outside on School Property</v>
      </c>
      <c r="U1474" s="8" t="str">
        <f ca="1">IFERROR(__xludf.DUMMYFUNCTION("""COMPUTED_VALUE"""),"No")</f>
        <v>No</v>
      </c>
      <c r="V1474" s="8" t="str">
        <f ca="1">IFERROR(__xludf.DUMMYFUNCTION("""COMPUTED_VALUE"""),"Sport Event")</f>
        <v>Sport Event</v>
      </c>
      <c r="W1474" s="11">
        <f ca="1">IFERROR(__xludf.DUMMYFUNCTION("""COMPUTED_VALUE"""),0.833333333333333)</f>
        <v>0.83333333333333304</v>
      </c>
      <c r="X1474" s="8">
        <f ca="1">IFERROR(__xludf.DUMMYFUNCTION("""COMPUTED_VALUE"""),1)</f>
        <v>1</v>
      </c>
      <c r="Y1474" s="12" t="str">
        <f ca="1">IFERROR(__xludf.DUMMYFUNCTION("""COMPUTED_VALUE"""),"Teen shot another teen and bystander during dispute at football game")</f>
        <v>Teen shot another teen and bystander during dispute at football game</v>
      </c>
      <c r="Z1474" s="12" t="str">
        <f ca="1">IFERROR(__xludf.DUMMYFUNCTION("""COMPUTED_VALUE"""),"An unidentified teen got into a dispute with a 19YOM (victim) in the stands during a high school football game. The teen shot the 19YOM victim and a woman in her 40's seated behind them. The shooter fled the area.")</f>
        <v>An unidentified teen got into a dispute with a 19YOM (victim) in the stands during a high school football game. The teen shot the 19YOM victim and a woman in her 40's seated behind them. The shooter fled the area.</v>
      </c>
      <c r="AA1474" s="8" t="str">
        <f ca="1">IFERROR(__xludf.DUMMYFUNCTION("""COMPUTED_VALUE"""),"Escalation of Dispute")</f>
        <v>Escalation of Dispute</v>
      </c>
      <c r="AB1474" s="8"/>
      <c r="AC1474" s="8" t="str">
        <f ca="1">IFERROR(__xludf.DUMMYFUNCTION("""COMPUTED_VALUE"""),"Yes")</f>
        <v>Yes</v>
      </c>
      <c r="AD1474" s="8" t="str">
        <f ca="1">IFERROR(__xludf.DUMMYFUNCTION("""COMPUTED_VALUE"""),"Both")</f>
        <v>Both</v>
      </c>
      <c r="AE1474" s="8" t="str">
        <f ca="1">IFERROR(__xludf.DUMMYFUNCTION("""COMPUTED_VALUE"""),"No")</f>
        <v>No</v>
      </c>
      <c r="AF1474" s="8"/>
      <c r="AG1474" s="8" t="str">
        <f ca="1">IFERROR(__xludf.DUMMYFUNCTION("""COMPUTED_VALUE"""),"No")</f>
        <v>No</v>
      </c>
      <c r="AH1474" s="8" t="str">
        <f ca="1">IFERROR(__xludf.DUMMYFUNCTION("""COMPUTED_VALUE"""),"No")</f>
        <v>No</v>
      </c>
      <c r="AI1474" s="8" t="str">
        <f ca="1">IFERROR(__xludf.DUMMYFUNCTION("""COMPUTED_VALUE"""),"No")</f>
        <v>No</v>
      </c>
      <c r="AJ1474" s="8" t="str">
        <f ca="1">IFERROR(__xludf.DUMMYFUNCTION("""COMPUTED_VALUE"""),"No")</f>
        <v>No</v>
      </c>
      <c r="AK1474" s="8" t="str">
        <f ca="1">IFERROR(__xludf.DUMMYFUNCTION("""COMPUTED_VALUE"""),"No")</f>
        <v>No</v>
      </c>
      <c r="AL1474" s="8"/>
      <c r="AM1474" s="8" t="str">
        <f ca="1">IFERROR(__xludf.DUMMYFUNCTION("""COMPUTED_VALUE"""),"No")</f>
        <v>No</v>
      </c>
      <c r="AN1474" s="8"/>
      <c r="AO1474" s="8" t="str">
        <f ca="1">IFERROR(__xludf.DUMMYFUNCTION("""COMPUTED_VALUE"""),"No")</f>
        <v>No</v>
      </c>
      <c r="AP1474" s="8"/>
      <c r="AQ1474" s="8"/>
      <c r="AR1474" s="8"/>
      <c r="AS1474" s="8"/>
      <c r="AT1474" s="8" t="str">
        <f ca="1">IFERROR(__xludf.DUMMYFUNCTION("""COMPUTED_VALUE"""),"No")</f>
        <v>No</v>
      </c>
      <c r="AU1474" s="8">
        <f ca="1">IFERROR(__xludf.DUMMYFUNCTION("""COMPUTED_VALUE"""),41.053704)</f>
        <v>41.053704000000003</v>
      </c>
      <c r="AV1474" s="8">
        <f ca="1">IFERROR(__xludf.DUMMYFUNCTION("""COMPUTED_VALUE"""),-81.433046)</f>
        <v>-81.433046000000004</v>
      </c>
      <c r="AW1474" s="8"/>
      <c r="AX1474" s="8">
        <f ca="1">IFERROR(__xludf.DUMMYFUNCTION("""COMPUTED_VALUE"""),44312)</f>
        <v>44312</v>
      </c>
    </row>
    <row r="1475" spans="1:50" ht="105" x14ac:dyDescent="0.2">
      <c r="A1475" s="8" t="str">
        <f ca="1">IFERROR(__xludf.DUMMYFUNCTION("""COMPUTED_VALUE"""),"20200916WAARG")</f>
        <v>20200916WAARG</v>
      </c>
      <c r="B1475" s="8">
        <f ca="1">IFERROR(__xludf.DUMMYFUNCTION("""COMPUTED_VALUE"""),9)</f>
        <v>9</v>
      </c>
      <c r="C1475" s="8">
        <f ca="1">IFERROR(__xludf.DUMMYFUNCTION("""COMPUTED_VALUE"""),15)</f>
        <v>15</v>
      </c>
      <c r="D1475" s="8">
        <f ca="1">IFERROR(__xludf.DUMMYFUNCTION("""COMPUTED_VALUE"""),2020)</f>
        <v>2020</v>
      </c>
      <c r="E1475" s="9">
        <f ca="1">IFERROR(__xludf.DUMMYFUNCTION("""COMPUTED_VALUE"""),44089)</f>
        <v>44089</v>
      </c>
      <c r="F1475" s="8" t="str">
        <f ca="1">IFERROR(__xludf.DUMMYFUNCTION("""COMPUTED_VALUE"""),"Artondale Elementary School")</f>
        <v>Artondale Elementary School</v>
      </c>
      <c r="G1475" s="8">
        <f ca="1">IFERROR(__xludf.DUMMYFUNCTION("""COMPUTED_VALUE"""),0)</f>
        <v>0</v>
      </c>
      <c r="H1475" s="8">
        <f ca="1">IFERROR(__xludf.DUMMYFUNCTION("""COMPUTED_VALUE"""),1)</f>
        <v>1</v>
      </c>
      <c r="I1475" s="8">
        <f ca="1">IFERROR(__xludf.DUMMYFUNCTION("""COMPUTED_VALUE"""),1)</f>
        <v>1</v>
      </c>
      <c r="J1475" s="8">
        <f ca="1">IFERROR(__xludf.DUMMYFUNCTION("""COMPUTED_VALUE"""),0)</f>
        <v>0</v>
      </c>
      <c r="K1475" s="10" t="str">
        <f ca="1">IFERROR(__xludf.DUMMYFUNCTION("""COMPUTED_VALUE"""),"https://www.kiro7.com/news/local/man-injured-gig-harbor-shooting/AMXZMA2TLZC53LAN53PMT5GNAE/")</f>
        <v>https://www.kiro7.com/news/local/man-injured-gig-harbor-shooting/AMXZMA2TLZC53LAN53PMT5GNAE/</v>
      </c>
      <c r="L1475" s="8">
        <f ca="1">IFERROR(__xludf.DUMMYFUNCTION("""COMPUTED_VALUE"""),3)</f>
        <v>3</v>
      </c>
      <c r="M1475" s="8" t="str">
        <f ca="1">IFERROR(__xludf.DUMMYFUNCTION("""COMPUTED_VALUE"""),"Local")</f>
        <v>Local</v>
      </c>
      <c r="N1475" s="8">
        <f ca="1">IFERROR(__xludf.DUMMYFUNCTION("""COMPUTED_VALUE"""),3)</f>
        <v>3</v>
      </c>
      <c r="O1475" s="8" t="str">
        <f ca="1">IFERROR(__xludf.DUMMYFUNCTION("""COMPUTED_VALUE"""),"Fall")</f>
        <v>Fall</v>
      </c>
      <c r="P1475" s="8" t="str">
        <f ca="1">IFERROR(__xludf.DUMMYFUNCTION("""COMPUTED_VALUE"""),"Gig Harbor")</f>
        <v>Gig Harbor</v>
      </c>
      <c r="Q1475" s="8" t="str">
        <f ca="1">IFERROR(__xludf.DUMMYFUNCTION("""COMPUTED_VALUE"""),"WA")</f>
        <v>WA</v>
      </c>
      <c r="R1475" s="8" t="str">
        <f ca="1">IFERROR(__xludf.DUMMYFUNCTION("""COMPUTED_VALUE"""),"Elementary")</f>
        <v>Elementary</v>
      </c>
      <c r="S1475" s="8" t="str">
        <f ca="1">IFERROR(__xludf.DUMMYFUNCTION("""COMPUTED_VALUE"""),"Beside Building")</f>
        <v>Beside Building</v>
      </c>
      <c r="T1475" s="8" t="str">
        <f ca="1">IFERROR(__xludf.DUMMYFUNCTION("""COMPUTED_VALUE"""),"Outside on School Property")</f>
        <v>Outside on School Property</v>
      </c>
      <c r="U1475" s="8" t="str">
        <f ca="1">IFERROR(__xludf.DUMMYFUNCTION("""COMPUTED_VALUE"""),"No")</f>
        <v>No</v>
      </c>
      <c r="V1475" s="8" t="str">
        <f ca="1">IFERROR(__xludf.DUMMYFUNCTION("""COMPUTED_VALUE"""),"Evening")</f>
        <v>Evening</v>
      </c>
      <c r="W1475" s="11">
        <f ca="1">IFERROR(__xludf.DUMMYFUNCTION("""COMPUTED_VALUE"""),0.354166666666666)</f>
        <v>0.35416666666666602</v>
      </c>
      <c r="X1475" s="8">
        <f ca="1">IFERROR(__xludf.DUMMYFUNCTION("""COMPUTED_VALUE"""),1)</f>
        <v>1</v>
      </c>
      <c r="Y1475" s="12" t="str">
        <f ca="1">IFERROR(__xludf.DUMMYFUNCTION("""COMPUTED_VALUE"""),"Neighbor shot man stealing construction materials from the school")</f>
        <v>Neighbor shot man stealing construction materials from the school</v>
      </c>
      <c r="Z1475" s="12" t="str">
        <f ca="1">IFERROR(__xludf.DUMMYFUNCTION("""COMPUTED_VALUE"""),"A homeowner near the school approached a man who was stealing construction materials from the school. The man had a baton, brass knuckles, and illegal drugs. The homeowner felt threatened and shot the man once then provided first aid and notified police. "&amp;"The homeowner who fired the shot was not arrested. The victim had an arrest warrant for another crime.")</f>
        <v>A homeowner near the school approached a man who was stealing construction materials from the school. The man had a baton, brass knuckles, and illegal drugs. The homeowner felt threatened and shot the man once then provided first aid and notified police. The homeowner who fired the shot was not arrested. The victim had an arrest warrant for another crime.</v>
      </c>
      <c r="AA1475" s="8" t="str">
        <f ca="1">IFERROR(__xludf.DUMMYFUNCTION("""COMPUTED_VALUE"""),"Illegal Activity")</f>
        <v>Illegal Activity</v>
      </c>
      <c r="AB1475" s="8"/>
      <c r="AC1475" s="8" t="str">
        <f ca="1">IFERROR(__xludf.DUMMYFUNCTION("""COMPUTED_VALUE"""),"No")</f>
        <v>No</v>
      </c>
      <c r="AD1475" s="8" t="str">
        <f ca="1">IFERROR(__xludf.DUMMYFUNCTION("""COMPUTED_VALUE"""),"Victims Targeted")</f>
        <v>Victims Targeted</v>
      </c>
      <c r="AE1475" s="8" t="str">
        <f ca="1">IFERROR(__xludf.DUMMYFUNCTION("""COMPUTED_VALUE"""),"No")</f>
        <v>No</v>
      </c>
      <c r="AF1475" s="8"/>
      <c r="AG1475" s="8" t="str">
        <f ca="1">IFERROR(__xludf.DUMMYFUNCTION("""COMPUTED_VALUE"""),"No")</f>
        <v>No</v>
      </c>
      <c r="AH1475" s="8" t="str">
        <f ca="1">IFERROR(__xludf.DUMMYFUNCTION("""COMPUTED_VALUE"""),"No")</f>
        <v>No</v>
      </c>
      <c r="AI1475" s="8" t="str">
        <f ca="1">IFERROR(__xludf.DUMMYFUNCTION("""COMPUTED_VALUE"""),"No")</f>
        <v>No</v>
      </c>
      <c r="AJ1475" s="8" t="str">
        <f ca="1">IFERROR(__xludf.DUMMYFUNCTION("""COMPUTED_VALUE"""),"No")</f>
        <v>No</v>
      </c>
      <c r="AK1475" s="8" t="str">
        <f ca="1">IFERROR(__xludf.DUMMYFUNCTION("""COMPUTED_VALUE"""),"No")</f>
        <v>No</v>
      </c>
      <c r="AL1475" s="8" t="str">
        <f ca="1">IFERROR(__xludf.DUMMYFUNCTION("""COMPUTED_VALUE"""),"No")</f>
        <v>No</v>
      </c>
      <c r="AM1475" s="8" t="str">
        <f ca="1">IFERROR(__xludf.DUMMYFUNCTION("""COMPUTED_VALUE"""),"No")</f>
        <v>No</v>
      </c>
      <c r="AN1475" s="8"/>
      <c r="AO1475" s="8" t="str">
        <f ca="1">IFERROR(__xludf.DUMMYFUNCTION("""COMPUTED_VALUE"""),"No")</f>
        <v>No</v>
      </c>
      <c r="AP1475" s="8"/>
      <c r="AQ1475" s="8"/>
      <c r="AR1475" s="8" t="str">
        <f ca="1">IFERROR(__xludf.DUMMYFUNCTION("""COMPUTED_VALUE"""),"Outside/Off-Property")</f>
        <v>Outside/Off-Property</v>
      </c>
      <c r="AS1475" s="8"/>
      <c r="AT1475" s="8"/>
      <c r="AU1475" s="8">
        <f ca="1">IFERROR(__xludf.DUMMYFUNCTION("""COMPUTED_VALUE"""),47.294517)</f>
        <v>47.294516999999999</v>
      </c>
      <c r="AV1475" s="8">
        <f ca="1">IFERROR(__xludf.DUMMYFUNCTION("""COMPUTED_VALUE"""),-122.621488)</f>
        <v>-122.621488</v>
      </c>
      <c r="AW1475" s="8"/>
      <c r="AX1475" s="8">
        <f ca="1">IFERROR(__xludf.DUMMYFUNCTION("""COMPUTED_VALUE"""),98335)</f>
        <v>98335</v>
      </c>
    </row>
    <row r="1476" spans="1:50" ht="90" x14ac:dyDescent="0.2">
      <c r="A1476" s="8" t="str">
        <f ca="1">IFERROR(__xludf.DUMMYFUNCTION("""COMPUTED_VALUE"""),"20200916CASOS")</f>
        <v>20200916CASOS</v>
      </c>
      <c r="B1476" s="8">
        <f ca="1">IFERROR(__xludf.DUMMYFUNCTION("""COMPUTED_VALUE"""),9)</f>
        <v>9</v>
      </c>
      <c r="C1476" s="8">
        <f ca="1">IFERROR(__xludf.DUMMYFUNCTION("""COMPUTED_VALUE"""),16)</f>
        <v>16</v>
      </c>
      <c r="D1476" s="8">
        <f ca="1">IFERROR(__xludf.DUMMYFUNCTION("""COMPUTED_VALUE"""),2020)</f>
        <v>2020</v>
      </c>
      <c r="E1476" s="9">
        <f ca="1">IFERROR(__xludf.DUMMYFUNCTION("""COMPUTED_VALUE"""),44090)</f>
        <v>44090</v>
      </c>
      <c r="F1476" s="8" t="str">
        <f ca="1">IFERROR(__xludf.DUMMYFUNCTION("""COMPUTED_VALUE"""),"Sonora High School")</f>
        <v>Sonora High School</v>
      </c>
      <c r="G1476" s="8">
        <f ca="1">IFERROR(__xludf.DUMMYFUNCTION("""COMPUTED_VALUE"""),1)</f>
        <v>1</v>
      </c>
      <c r="H1476" s="8">
        <f ca="1">IFERROR(__xludf.DUMMYFUNCTION("""COMPUTED_VALUE"""),0)</f>
        <v>0</v>
      </c>
      <c r="I1476" s="8">
        <f ca="1">IFERROR(__xludf.DUMMYFUNCTION("""COMPUTED_VALUE"""),1)</f>
        <v>1</v>
      </c>
      <c r="J1476" s="8">
        <f ca="1">IFERROR(__xludf.DUMMYFUNCTION("""COMPUTED_VALUE"""),0)</f>
        <v>0</v>
      </c>
      <c r="K1476" s="8" t="str">
        <f ca="1">IFERROR(__xludf.DUMMYFUNCTION("""COMPUTED_VALUE"""),"https://www.uniondemocrat.com/news/article_8643953a-f8f9-11ea-a90c-53c220f7f58c.html https://www.mymotherlode.com/news/local/1261277/homicide-investigation-in-sonora-following-death-of-teen.html")</f>
        <v>https://www.uniondemocrat.com/news/article_8643953a-f8f9-11ea-a90c-53c220f7f58c.html https://www.mymotherlode.com/news/local/1261277/homicide-investigation-in-sonora-following-death-of-teen.html</v>
      </c>
      <c r="L1476" s="8">
        <f ca="1">IFERROR(__xludf.DUMMYFUNCTION("""COMPUTED_VALUE"""),2)</f>
        <v>2</v>
      </c>
      <c r="M1476" s="8" t="str">
        <f ca="1">IFERROR(__xludf.DUMMYFUNCTION("""COMPUTED_VALUE"""),"Local")</f>
        <v>Local</v>
      </c>
      <c r="N1476" s="8">
        <f ca="1">IFERROR(__xludf.DUMMYFUNCTION("""COMPUTED_VALUE"""),4)</f>
        <v>4</v>
      </c>
      <c r="O1476" s="8" t="str">
        <f ca="1">IFERROR(__xludf.DUMMYFUNCTION("""COMPUTED_VALUE"""),"Fall")</f>
        <v>Fall</v>
      </c>
      <c r="P1476" s="8" t="str">
        <f ca="1">IFERROR(__xludf.DUMMYFUNCTION("""COMPUTED_VALUE"""),"Sonora")</f>
        <v>Sonora</v>
      </c>
      <c r="Q1476" s="8" t="str">
        <f ca="1">IFERROR(__xludf.DUMMYFUNCTION("""COMPUTED_VALUE"""),"CA")</f>
        <v>CA</v>
      </c>
      <c r="R1476" s="8" t="str">
        <f ca="1">IFERROR(__xludf.DUMMYFUNCTION("""COMPUTED_VALUE"""),"High")</f>
        <v>High</v>
      </c>
      <c r="S1476" s="8" t="str">
        <f ca="1">IFERROR(__xludf.DUMMYFUNCTION("""COMPUTED_VALUE"""),"Parking Lot")</f>
        <v>Parking Lot</v>
      </c>
      <c r="T1476" s="8" t="str">
        <f ca="1">IFERROR(__xludf.DUMMYFUNCTION("""COMPUTED_VALUE"""),"Outside on School Property")</f>
        <v>Outside on School Property</v>
      </c>
      <c r="U1476" s="8" t="str">
        <f ca="1">IFERROR(__xludf.DUMMYFUNCTION("""COMPUTED_VALUE"""),"No")</f>
        <v>No</v>
      </c>
      <c r="V1476" s="8" t="str">
        <f ca="1">IFERROR(__xludf.DUMMYFUNCTION("""COMPUTED_VALUE"""),"Night")</f>
        <v>Night</v>
      </c>
      <c r="W1476" s="11">
        <f ca="1">IFERROR(__xludf.DUMMYFUNCTION("""COMPUTED_VALUE"""),0.990277777777777)</f>
        <v>0.99027777777777704</v>
      </c>
      <c r="X1476" s="8">
        <f ca="1">IFERROR(__xludf.DUMMYFUNCTION("""COMPUTED_VALUE"""),1)</f>
        <v>1</v>
      </c>
      <c r="Y1476" s="12" t="str">
        <f ca="1">IFERROR(__xludf.DUMMYFUNCTION("""COMPUTED_VALUE"""),"17 year-old male killed in the school parking lot")</f>
        <v>17 year-old male killed in the school parking lot</v>
      </c>
      <c r="Z1476" s="12" t="str">
        <f ca="1">IFERROR(__xludf.DUMMYFUNCTION("""COMPUTED_VALUE"""),"Multiple shots were fired in the school parking lot and 3-4 vehicles fled the scene. When officers arrived, the shooters and victims had fled. Officers were notified by the local hospital that a 17YOM gun shot victim (fatal) had been brought in. Police sa"&amp;"id the shooting was not random and the victim and shooter(s) were known to each other.")</f>
        <v>Multiple shots were fired in the school parking lot and 3-4 vehicles fled the scene. When officers arrived, the shooters and victims had fled. Officers were notified by the local hospital that a 17YOM gun shot victim (fatal) had been brought in. Police said the shooting was not random and the victim and shooter(s) were known to each other.</v>
      </c>
      <c r="AA1476" s="8" t="str">
        <f ca="1">IFERROR(__xludf.DUMMYFUNCTION("""COMPUTED_VALUE"""),"Drive-by Shooting")</f>
        <v>Drive-by Shooting</v>
      </c>
      <c r="AB1476" s="8"/>
      <c r="AC1476" s="8" t="str">
        <f ca="1">IFERROR(__xludf.DUMMYFUNCTION("""COMPUTED_VALUE"""),"No")</f>
        <v>No</v>
      </c>
      <c r="AD1476" s="8" t="str">
        <f ca="1">IFERROR(__xludf.DUMMYFUNCTION("""COMPUTED_VALUE"""),"Victims Targeted")</f>
        <v>Victims Targeted</v>
      </c>
      <c r="AE1476" s="8" t="str">
        <f ca="1">IFERROR(__xludf.DUMMYFUNCTION("""COMPUTED_VALUE"""),"Yes")</f>
        <v>Yes</v>
      </c>
      <c r="AF1476" s="8" t="str">
        <f ca="1">IFERROR(__xludf.DUMMYFUNCTION("""COMPUTED_VALUE"""),"Multiple people and vehicles involved")</f>
        <v>Multiple people and vehicles involved</v>
      </c>
      <c r="AG1476" s="8" t="str">
        <f ca="1">IFERROR(__xludf.DUMMYFUNCTION("""COMPUTED_VALUE"""),"No")</f>
        <v>No</v>
      </c>
      <c r="AH1476" s="8" t="str">
        <f ca="1">IFERROR(__xludf.DUMMYFUNCTION("""COMPUTED_VALUE"""),"No")</f>
        <v>No</v>
      </c>
      <c r="AI1476" s="8" t="str">
        <f ca="1">IFERROR(__xludf.DUMMYFUNCTION("""COMPUTED_VALUE"""),"No")</f>
        <v>No</v>
      </c>
      <c r="AJ1476" s="8" t="str">
        <f ca="1">IFERROR(__xludf.DUMMYFUNCTION("""COMPUTED_VALUE"""),"No")</f>
        <v>No</v>
      </c>
      <c r="AK1476" s="8" t="str">
        <f ca="1">IFERROR(__xludf.DUMMYFUNCTION("""COMPUTED_VALUE"""),"No")</f>
        <v>No</v>
      </c>
      <c r="AL1476" s="8"/>
      <c r="AM1476" s="8" t="str">
        <f ca="1">IFERROR(__xludf.DUMMYFUNCTION("""COMPUTED_VALUE"""),"No")</f>
        <v>No</v>
      </c>
      <c r="AN1476" s="8"/>
      <c r="AO1476" s="8" t="str">
        <f ca="1">IFERROR(__xludf.DUMMYFUNCTION("""COMPUTED_VALUE"""),"No")</f>
        <v>No</v>
      </c>
      <c r="AP1476" s="8"/>
      <c r="AQ1476" s="8"/>
      <c r="AR1476" s="8" t="str">
        <f ca="1">IFERROR(__xludf.DUMMYFUNCTION("""COMPUTED_VALUE"""),"Outside/Off-Property")</f>
        <v>Outside/Off-Property</v>
      </c>
      <c r="AS1476" s="8">
        <f ca="1">IFERROR(__xludf.DUMMYFUNCTION("""COMPUTED_VALUE"""),8)</f>
        <v>8</v>
      </c>
      <c r="AT1476" s="8"/>
      <c r="AU1476" s="8">
        <f ca="1">IFERROR(__xludf.DUMMYFUNCTION("""COMPUTED_VALUE"""),37.990938)</f>
        <v>37.990938</v>
      </c>
      <c r="AV1476" s="8">
        <f ca="1">IFERROR(__xludf.DUMMYFUNCTION("""COMPUTED_VALUE"""),-120.386144)</f>
        <v>-120.386144</v>
      </c>
      <c r="AW1476" s="8"/>
      <c r="AX1476" s="8">
        <f ca="1">IFERROR(__xludf.DUMMYFUNCTION("""COMPUTED_VALUE"""),95370)</f>
        <v>95370</v>
      </c>
    </row>
    <row r="1477" spans="1:50" ht="135" x14ac:dyDescent="0.2">
      <c r="A1477" s="8" t="str">
        <f ca="1">IFERROR(__xludf.DUMMYFUNCTION("""COMPUTED_VALUE"""),"20200915UTVIB")</f>
        <v>20200915UTVIB</v>
      </c>
      <c r="B1477" s="8">
        <f ca="1">IFERROR(__xludf.DUMMYFUNCTION("""COMPUTED_VALUE"""),9)</f>
        <v>9</v>
      </c>
      <c r="C1477" s="8">
        <f ca="1">IFERROR(__xludf.DUMMYFUNCTION("""COMPUTED_VALUE"""),15)</f>
        <v>15</v>
      </c>
      <c r="D1477" s="8">
        <f ca="1">IFERROR(__xludf.DUMMYFUNCTION("""COMPUTED_VALUE"""),2020)</f>
        <v>2020</v>
      </c>
      <c r="E1477" s="9">
        <f ca="1">IFERROR(__xludf.DUMMYFUNCTION("""COMPUTED_VALUE"""),44089)</f>
        <v>44089</v>
      </c>
      <c r="F1477" s="8" t="str">
        <f ca="1">IFERROR(__xludf.DUMMYFUNCTION("""COMPUTED_VALUE"""),"Viewmont High School")</f>
        <v>Viewmont High School</v>
      </c>
      <c r="G1477" s="8">
        <f ca="1">IFERROR(__xludf.DUMMYFUNCTION("""COMPUTED_VALUE"""),0)</f>
        <v>0</v>
      </c>
      <c r="H1477" s="8">
        <f ca="1">IFERROR(__xludf.DUMMYFUNCTION("""COMPUTED_VALUE"""),0)</f>
        <v>0</v>
      </c>
      <c r="I1477" s="8">
        <f ca="1">IFERROR(__xludf.DUMMYFUNCTION("""COMPUTED_VALUE"""),0)</f>
        <v>0</v>
      </c>
      <c r="J1477" s="8">
        <f ca="1">IFERROR(__xludf.DUMMYFUNCTION("""COMPUTED_VALUE"""),1)</f>
        <v>1</v>
      </c>
      <c r="K1477" s="8" t="str">
        <f ca="1">IFERROR(__xludf.DUMMYFUNCTION("""COMPUTED_VALUE"""),"https://www.fox13now.com/news/local-news/man-armed-with-rifle-and-bow-and-arrow-shot-and-killed-outside-viewmont-high-school https://www.deseret.com/utah/2020/9/16/21439509/armed-man-shot-killed-by-police-near-viewmont-high-school")</f>
        <v>https://www.fox13now.com/news/local-news/man-armed-with-rifle-and-bow-and-arrow-shot-and-killed-outside-viewmont-high-school https://www.deseret.com/utah/2020/9/16/21439509/armed-man-shot-killed-by-police-near-viewmont-high-school</v>
      </c>
      <c r="L1477" s="8">
        <f ca="1">IFERROR(__xludf.DUMMYFUNCTION("""COMPUTED_VALUE"""),10)</f>
        <v>10</v>
      </c>
      <c r="M1477" s="8" t="str">
        <f ca="1">IFERROR(__xludf.DUMMYFUNCTION("""COMPUTED_VALUE"""),"Regional")</f>
        <v>Regional</v>
      </c>
      <c r="N1477" s="8">
        <f ca="1">IFERROR(__xludf.DUMMYFUNCTION("""COMPUTED_VALUE"""),4)</f>
        <v>4</v>
      </c>
      <c r="O1477" s="8" t="str">
        <f ca="1">IFERROR(__xludf.DUMMYFUNCTION("""COMPUTED_VALUE"""),"Fall")</f>
        <v>Fall</v>
      </c>
      <c r="P1477" s="8" t="str">
        <f ca="1">IFERROR(__xludf.DUMMYFUNCTION("""COMPUTED_VALUE"""),"Bountiful")</f>
        <v>Bountiful</v>
      </c>
      <c r="Q1477" s="8" t="str">
        <f ca="1">IFERROR(__xludf.DUMMYFUNCTION("""COMPUTED_VALUE"""),"UT")</f>
        <v>UT</v>
      </c>
      <c r="R1477" s="8" t="str">
        <f ca="1">IFERROR(__xludf.DUMMYFUNCTION("""COMPUTED_VALUE"""),"High")</f>
        <v>High</v>
      </c>
      <c r="S1477" s="8" t="str">
        <f ca="1">IFERROR(__xludf.DUMMYFUNCTION("""COMPUTED_VALUE"""),"Front of School")</f>
        <v>Front of School</v>
      </c>
      <c r="T1477" s="8" t="str">
        <f ca="1">IFERROR(__xludf.DUMMYFUNCTION("""COMPUTED_VALUE"""),"Outside on School Property")</f>
        <v>Outside on School Property</v>
      </c>
      <c r="U1477" s="8" t="str">
        <f ca="1">IFERROR(__xludf.DUMMYFUNCTION("""COMPUTED_VALUE"""),"No")</f>
        <v>No</v>
      </c>
      <c r="V1477" s="8" t="str">
        <f ca="1">IFERROR(__xludf.DUMMYFUNCTION("""COMPUTED_VALUE"""),"Night")</f>
        <v>Night</v>
      </c>
      <c r="W1477" s="11">
        <f ca="1">IFERROR(__xludf.DUMMYFUNCTION("""COMPUTED_VALUE"""),0.935416666666666)</f>
        <v>0.93541666666666601</v>
      </c>
      <c r="X1477" s="8">
        <f ca="1">IFERROR(__xludf.DUMMYFUNCTION("""COMPUTED_VALUE"""),1)</f>
        <v>1</v>
      </c>
      <c r="Y1477" s="12" t="str">
        <f ca="1">IFERROR(__xludf.DUMMYFUNCTION("""COMPUTED_VALUE"""),"Police shot a man armed with a rifle and bow in front of the school")</f>
        <v>Police shot a man armed with a rifle and bow in front of the school</v>
      </c>
      <c r="Z1477" s="12" t="str">
        <f ca="1">IFERROR(__xludf.DUMMYFUNCTION("""COMPUTED_VALUE"""),"Police responded to the high school for a 911 call about a man with a rifle. Police found an 27 year-old male with a rifle, bow, and knife in front of the school. When police approached the man, he reached for the weapon and was fatally shot by officers. "&amp;"The family of the man said had a history of mental illness and was experiencing a mental health crisis. Bullets stuck the school's windows causing damage. Classes were delayed the next day due to the shooting.")</f>
        <v>Police responded to the high school for a 911 call about a man with a rifle. Police found an 27 year-old male with a rifle, bow, and knife in front of the school. When police approached the man, he reached for the weapon and was fatally shot by officers. The family of the man said had a history of mental illness and was experiencing a mental health crisis. Bullets stuck the school's windows causing damage. Classes were delayed the next day due to the shooting.</v>
      </c>
      <c r="AA1477" s="8" t="str">
        <f ca="1">IFERROR(__xludf.DUMMYFUNCTION("""COMPUTED_VALUE"""),"Psychosis")</f>
        <v>Psychosis</v>
      </c>
      <c r="AB1477" s="8"/>
      <c r="AC1477" s="8" t="str">
        <f ca="1">IFERROR(__xludf.DUMMYFUNCTION("""COMPUTED_VALUE"""),"No")</f>
        <v>No</v>
      </c>
      <c r="AD1477" s="8" t="str">
        <f ca="1">IFERROR(__xludf.DUMMYFUNCTION("""COMPUTED_VALUE"""),"Neither")</f>
        <v>Neither</v>
      </c>
      <c r="AE1477" s="8" t="str">
        <f ca="1">IFERROR(__xludf.DUMMYFUNCTION("""COMPUTED_VALUE"""),"No")</f>
        <v>No</v>
      </c>
      <c r="AF1477" s="8"/>
      <c r="AG1477" s="8" t="str">
        <f ca="1">IFERROR(__xludf.DUMMYFUNCTION("""COMPUTED_VALUE"""),"No")</f>
        <v>No</v>
      </c>
      <c r="AH1477" s="8" t="str">
        <f ca="1">IFERROR(__xludf.DUMMYFUNCTION("""COMPUTED_VALUE"""),"No")</f>
        <v>No</v>
      </c>
      <c r="AI1477" s="8" t="str">
        <f ca="1">IFERROR(__xludf.DUMMYFUNCTION("""COMPUTED_VALUE"""),"No")</f>
        <v>No</v>
      </c>
      <c r="AJ1477" s="8" t="str">
        <f ca="1">IFERROR(__xludf.DUMMYFUNCTION("""COMPUTED_VALUE"""),"No")</f>
        <v>No</v>
      </c>
      <c r="AK1477" s="8" t="str">
        <f ca="1">IFERROR(__xludf.DUMMYFUNCTION("""COMPUTED_VALUE"""),"No")</f>
        <v>No</v>
      </c>
      <c r="AL1477" s="8" t="str">
        <f ca="1">IFERROR(__xludf.DUMMYFUNCTION("""COMPUTED_VALUE"""),"No")</f>
        <v>No</v>
      </c>
      <c r="AM1477" s="8" t="str">
        <f ca="1">IFERROR(__xludf.DUMMYFUNCTION("""COMPUTED_VALUE"""),"No")</f>
        <v>No</v>
      </c>
      <c r="AN1477" s="8"/>
      <c r="AO1477" s="8" t="str">
        <f ca="1">IFERROR(__xludf.DUMMYFUNCTION("""COMPUTED_VALUE"""),"No")</f>
        <v>No</v>
      </c>
      <c r="AP1477" s="8"/>
      <c r="AQ1477" s="8"/>
      <c r="AR1477" s="8" t="str">
        <f ca="1">IFERROR(__xludf.DUMMYFUNCTION("""COMPUTED_VALUE"""),"Outside/Off-Property")</f>
        <v>Outside/Off-Property</v>
      </c>
      <c r="AS1477" s="8"/>
      <c r="AT1477" s="8"/>
      <c r="AU1477" s="8">
        <f ca="1">IFERROR(__xludf.DUMMYFUNCTION("""COMPUTED_VALUE"""),40.900069)</f>
        <v>40.900069000000002</v>
      </c>
      <c r="AV1477" s="8">
        <f ca="1">IFERROR(__xludf.DUMMYFUNCTION("""COMPUTED_VALUE"""),-111.883167)</f>
        <v>-111.883167</v>
      </c>
      <c r="AW1477" s="8"/>
      <c r="AX1477" s="8">
        <f ca="1">IFERROR(__xludf.DUMMYFUNCTION("""COMPUTED_VALUE"""),84014)</f>
        <v>84014</v>
      </c>
    </row>
    <row r="1478" spans="1:50" ht="45" x14ac:dyDescent="0.2">
      <c r="A1478" s="8" t="str">
        <f ca="1">IFERROR(__xludf.DUMMYFUNCTION("""COMPUTED_VALUE"""),"20200915SCYOR")</f>
        <v>20200915SCYOR</v>
      </c>
      <c r="B1478" s="8">
        <f ca="1">IFERROR(__xludf.DUMMYFUNCTION("""COMPUTED_VALUE"""),9)</f>
        <v>9</v>
      </c>
      <c r="C1478" s="8">
        <f ca="1">IFERROR(__xludf.DUMMYFUNCTION("""COMPUTED_VALUE"""),15)</f>
        <v>15</v>
      </c>
      <c r="D1478" s="8">
        <f ca="1">IFERROR(__xludf.DUMMYFUNCTION("""COMPUTED_VALUE"""),2020)</f>
        <v>2020</v>
      </c>
      <c r="E1478" s="9">
        <f ca="1">IFERROR(__xludf.DUMMYFUNCTION("""COMPUTED_VALUE"""),44089)</f>
        <v>44089</v>
      </c>
      <c r="F1478" s="8" t="str">
        <f ca="1">IFERROR(__xludf.DUMMYFUNCTION("""COMPUTED_VALUE"""),"York County School Bus")</f>
        <v>York County School Bus</v>
      </c>
      <c r="G1478" s="8">
        <f ca="1">IFERROR(__xludf.DUMMYFUNCTION("""COMPUTED_VALUE"""),0)</f>
        <v>0</v>
      </c>
      <c r="H1478" s="8">
        <f ca="1">IFERROR(__xludf.DUMMYFUNCTION("""COMPUTED_VALUE"""),0)</f>
        <v>0</v>
      </c>
      <c r="I1478" s="8">
        <f ca="1">IFERROR(__xludf.DUMMYFUNCTION("""COMPUTED_VALUE"""),0)</f>
        <v>0</v>
      </c>
      <c r="J1478" s="8">
        <f ca="1">IFERROR(__xludf.DUMMYFUNCTION("""COMPUTED_VALUE"""),0)</f>
        <v>0</v>
      </c>
      <c r="K1478" s="10" t="str">
        <f ca="1">IFERROR(__xludf.DUMMYFUNCTION("""COMPUTED_VALUE"""),"https://www.heraldonline.com/news/local/crime/article245774640.html")</f>
        <v>https://www.heraldonline.com/news/local/crime/article245774640.html</v>
      </c>
      <c r="L1478" s="8">
        <f ca="1">IFERROR(__xludf.DUMMYFUNCTION("""COMPUTED_VALUE"""),2)</f>
        <v>2</v>
      </c>
      <c r="M1478" s="8" t="str">
        <f ca="1">IFERROR(__xludf.DUMMYFUNCTION("""COMPUTED_VALUE"""),"Local")</f>
        <v>Local</v>
      </c>
      <c r="N1478" s="8">
        <f ca="1">IFERROR(__xludf.DUMMYFUNCTION("""COMPUTED_VALUE"""),4)</f>
        <v>4</v>
      </c>
      <c r="O1478" s="8" t="str">
        <f ca="1">IFERROR(__xludf.DUMMYFUNCTION("""COMPUTED_VALUE"""),"Fall")</f>
        <v>Fall</v>
      </c>
      <c r="P1478" s="8" t="str">
        <f ca="1">IFERROR(__xludf.DUMMYFUNCTION("""COMPUTED_VALUE"""),"Rock Hill")</f>
        <v>Rock Hill</v>
      </c>
      <c r="Q1478" s="8" t="str">
        <f ca="1">IFERROR(__xludf.DUMMYFUNCTION("""COMPUTED_VALUE"""),"SC")</f>
        <v>SC</v>
      </c>
      <c r="R1478" s="8"/>
      <c r="S1478" s="8" t="str">
        <f ca="1">IFERROR(__xludf.DUMMYFUNCTION("""COMPUTED_VALUE"""),"School Bus")</f>
        <v>School Bus</v>
      </c>
      <c r="T1478" s="8" t="str">
        <f ca="1">IFERROR(__xludf.DUMMYFUNCTION("""COMPUTED_VALUE"""),"School Bus")</f>
        <v>School Bus</v>
      </c>
      <c r="U1478" s="8" t="str">
        <f ca="1">IFERROR(__xludf.DUMMYFUNCTION("""COMPUTED_VALUE"""),"Yes")</f>
        <v>Yes</v>
      </c>
      <c r="V1478" s="8" t="str">
        <f ca="1">IFERROR(__xludf.DUMMYFUNCTION("""COMPUTED_VALUE"""),"Dismissal")</f>
        <v>Dismissal</v>
      </c>
      <c r="W1478" s="11">
        <f ca="1">IFERROR(__xludf.DUMMYFUNCTION("""COMPUTED_VALUE"""),0.614583333333333)</f>
        <v>0.61458333333333304</v>
      </c>
      <c r="X1478" s="8">
        <f ca="1">IFERROR(__xludf.DUMMYFUNCTION("""COMPUTED_VALUE"""),1)</f>
        <v>1</v>
      </c>
      <c r="Y1478" s="12" t="str">
        <f ca="1">IFERROR(__xludf.DUMMYFUNCTION("""COMPUTED_VALUE"""),"BB shot at occupied school bus broke window")</f>
        <v>BB shot at occupied school bus broke window</v>
      </c>
      <c r="Z1478" s="12" t="str">
        <f ca="1">IFERROR(__xludf.DUMMYFUNCTION("""COMPUTED_VALUE"""),"A BB fired at a school bus occupied by one student broke the window. The student and driver were not injured. No suspect identified. Police are investigating.")</f>
        <v>A BB fired at a school bus occupied by one student broke the window. The student and driver were not injured. No suspect identified. Police are investigating.</v>
      </c>
      <c r="AA1478" s="8" t="str">
        <f ca="1">IFERROR(__xludf.DUMMYFUNCTION("""COMPUTED_VALUE"""),"Intentional Property Damage")</f>
        <v>Intentional Property Damage</v>
      </c>
      <c r="AB1478" s="8"/>
      <c r="AC1478" s="8" t="str">
        <f ca="1">IFERROR(__xludf.DUMMYFUNCTION("""COMPUTED_VALUE"""),"Yes")</f>
        <v>Yes</v>
      </c>
      <c r="AD1478" s="8" t="str">
        <f ca="1">IFERROR(__xludf.DUMMYFUNCTION("""COMPUTED_VALUE"""),"Neither")</f>
        <v>Neither</v>
      </c>
      <c r="AE1478" s="8"/>
      <c r="AF1478" s="8"/>
      <c r="AG1478" s="8" t="str">
        <f ca="1">IFERROR(__xludf.DUMMYFUNCTION("""COMPUTED_VALUE"""),"No")</f>
        <v>No</v>
      </c>
      <c r="AH1478" s="8" t="str">
        <f ca="1">IFERROR(__xludf.DUMMYFUNCTION("""COMPUTED_VALUE"""),"No")</f>
        <v>No</v>
      </c>
      <c r="AI1478" s="8" t="str">
        <f ca="1">IFERROR(__xludf.DUMMYFUNCTION("""COMPUTED_VALUE"""),"No")</f>
        <v>No</v>
      </c>
      <c r="AJ1478" s="8" t="str">
        <f ca="1">IFERROR(__xludf.DUMMYFUNCTION("""COMPUTED_VALUE"""),"No")</f>
        <v>No</v>
      </c>
      <c r="AK1478" s="8" t="str">
        <f ca="1">IFERROR(__xludf.DUMMYFUNCTION("""COMPUTED_VALUE"""),"No")</f>
        <v>No</v>
      </c>
      <c r="AL1478" s="8" t="str">
        <f ca="1">IFERROR(__xludf.DUMMYFUNCTION("""COMPUTED_VALUE"""),"No")</f>
        <v>No</v>
      </c>
      <c r="AM1478" s="8" t="str">
        <f ca="1">IFERROR(__xludf.DUMMYFUNCTION("""COMPUTED_VALUE"""),"No")</f>
        <v>No</v>
      </c>
      <c r="AN1478" s="8"/>
      <c r="AO1478" s="8" t="str">
        <f ca="1">IFERROR(__xludf.DUMMYFUNCTION("""COMPUTED_VALUE"""),"No")</f>
        <v>No</v>
      </c>
      <c r="AP1478" s="8"/>
      <c r="AQ1478" s="8"/>
      <c r="AR1478" s="8" t="str">
        <f ca="1">IFERROR(__xludf.DUMMYFUNCTION("""COMPUTED_VALUE"""),"Outside/Off-Property")</f>
        <v>Outside/Off-Property</v>
      </c>
      <c r="AS1478" s="8"/>
      <c r="AT1478" s="8"/>
      <c r="AU1478" s="8">
        <f ca="1">IFERROR(__xludf.DUMMYFUNCTION("""COMPUTED_VALUE"""),34.959944)</f>
        <v>34.959944</v>
      </c>
      <c r="AV1478" s="8">
        <f ca="1">IFERROR(__xludf.DUMMYFUNCTION("""COMPUTED_VALUE"""),-81.027218)</f>
        <v>-81.027218000000005</v>
      </c>
      <c r="AW1478" s="8"/>
      <c r="AX1478" s="8">
        <f ca="1">IFERROR(__xludf.DUMMYFUNCTION("""COMPUTED_VALUE"""),29732)</f>
        <v>29732</v>
      </c>
    </row>
    <row r="1479" spans="1:50" ht="60" x14ac:dyDescent="0.2">
      <c r="A1479" s="8" t="str">
        <f ca="1">IFERROR(__xludf.DUMMYFUNCTION("""COMPUTED_VALUE"""),"20200910OHSAC")</f>
        <v>20200910OHSAC</v>
      </c>
      <c r="B1479" s="8">
        <f ca="1">IFERROR(__xludf.DUMMYFUNCTION("""COMPUTED_VALUE"""),9)</f>
        <v>9</v>
      </c>
      <c r="C1479" s="8">
        <f ca="1">IFERROR(__xludf.DUMMYFUNCTION("""COMPUTED_VALUE"""),10)</f>
        <v>10</v>
      </c>
      <c r="D1479" s="8">
        <f ca="1">IFERROR(__xludf.DUMMYFUNCTION("""COMPUTED_VALUE"""),2020)</f>
        <v>2020</v>
      </c>
      <c r="E1479" s="9">
        <f ca="1">IFERROR(__xludf.DUMMYFUNCTION("""COMPUTED_VALUE"""),44084)</f>
        <v>44084</v>
      </c>
      <c r="F1479" s="8" t="str">
        <f ca="1">IFERROR(__xludf.DUMMYFUNCTION("""COMPUTED_VALUE"""),"Saint Francis DeSales High School")</f>
        <v>Saint Francis DeSales High School</v>
      </c>
      <c r="G1479" s="8">
        <f ca="1">IFERROR(__xludf.DUMMYFUNCTION("""COMPUTED_VALUE"""),0)</f>
        <v>0</v>
      </c>
      <c r="H1479" s="8">
        <f ca="1">IFERROR(__xludf.DUMMYFUNCTION("""COMPUTED_VALUE"""),0)</f>
        <v>0</v>
      </c>
      <c r="I1479" s="8">
        <f ca="1">IFERROR(__xludf.DUMMYFUNCTION("""COMPUTED_VALUE"""),0)</f>
        <v>0</v>
      </c>
      <c r="J1479" s="8">
        <f ca="1">IFERROR(__xludf.DUMMYFUNCTION("""COMPUTED_VALUE"""),0)</f>
        <v>0</v>
      </c>
      <c r="K1479" s="10" t="str">
        <f ca="1">IFERROR(__xludf.DUMMYFUNCTION("""COMPUTED_VALUE"""),"https://www.10tv.com/article/news/local/no-one-hurt-when-columbus-city-schools-bus-shot-in-northeast-columbus/530-16a8f216-efe8-4e7a-922d-4a9ba1c21493")</f>
        <v>https://www.10tv.com/article/news/local/no-one-hurt-when-columbus-city-schools-bus-shot-in-northeast-columbus/530-16a8f216-efe8-4e7a-922d-4a9ba1c21493</v>
      </c>
      <c r="L1479" s="8">
        <f ca="1">IFERROR(__xludf.DUMMYFUNCTION("""COMPUTED_VALUE"""),1)</f>
        <v>1</v>
      </c>
      <c r="M1479" s="8" t="str">
        <f ca="1">IFERROR(__xludf.DUMMYFUNCTION("""COMPUTED_VALUE"""),"Local")</f>
        <v>Local</v>
      </c>
      <c r="N1479" s="8">
        <f ca="1">IFERROR(__xludf.DUMMYFUNCTION("""COMPUTED_VALUE"""),3)</f>
        <v>3</v>
      </c>
      <c r="O1479" s="8" t="str">
        <f ca="1">IFERROR(__xludf.DUMMYFUNCTION("""COMPUTED_VALUE"""),"Fall")</f>
        <v>Fall</v>
      </c>
      <c r="P1479" s="8" t="str">
        <f ca="1">IFERROR(__xludf.DUMMYFUNCTION("""COMPUTED_VALUE"""),"Columbus")</f>
        <v>Columbus</v>
      </c>
      <c r="Q1479" s="8" t="str">
        <f ca="1">IFERROR(__xludf.DUMMYFUNCTION("""COMPUTED_VALUE"""),"OH")</f>
        <v>OH</v>
      </c>
      <c r="R1479" s="8" t="str">
        <f ca="1">IFERROR(__xludf.DUMMYFUNCTION("""COMPUTED_VALUE"""),"High")</f>
        <v>High</v>
      </c>
      <c r="S1479" s="8" t="str">
        <f ca="1">IFERROR(__xludf.DUMMYFUNCTION("""COMPUTED_VALUE"""),"School Bus")</f>
        <v>School Bus</v>
      </c>
      <c r="T1479" s="8" t="str">
        <f ca="1">IFERROR(__xludf.DUMMYFUNCTION("""COMPUTED_VALUE"""),"School Bus")</f>
        <v>School Bus</v>
      </c>
      <c r="U1479" s="8" t="str">
        <f ca="1">IFERROR(__xludf.DUMMYFUNCTION("""COMPUTED_VALUE"""),"Yes")</f>
        <v>Yes</v>
      </c>
      <c r="V1479" s="8" t="str">
        <f ca="1">IFERROR(__xludf.DUMMYFUNCTION("""COMPUTED_VALUE"""),"Dismissal")</f>
        <v>Dismissal</v>
      </c>
      <c r="W1479" s="11">
        <f ca="1">IFERROR(__xludf.DUMMYFUNCTION("""COMPUTED_VALUE"""),0.65625)</f>
        <v>0.65625</v>
      </c>
      <c r="X1479" s="8">
        <f ca="1">IFERROR(__xludf.DUMMYFUNCTION("""COMPUTED_VALUE"""),1)</f>
        <v>1</v>
      </c>
      <c r="Y1479" s="12" t="str">
        <f ca="1">IFERROR(__xludf.DUMMYFUNCTION("""COMPUTED_VALUE"""),"School bus struck by multiple shots fired from vehicle")</f>
        <v>School bus struck by multiple shots fired from vehicle</v>
      </c>
      <c r="Z1479" s="12" t="str">
        <f ca="1">IFERROR(__xludf.DUMMYFUNCTION("""COMPUTED_VALUE"""),"School bus occupied by 3 students was struck by 2 rounds fired from a vehicle at another vehicle (bus was not the target). Bus was damaged. Students and driver were not injured.")</f>
        <v>School bus occupied by 3 students was struck by 2 rounds fired from a vehicle at another vehicle (bus was not the target). Bus was damaged. Students and driver were not injured.</v>
      </c>
      <c r="AA1479" s="8" t="str">
        <f ca="1">IFERROR(__xludf.DUMMYFUNCTION("""COMPUTED_VALUE"""),"Drive-by Shooting")</f>
        <v>Drive-by Shooting</v>
      </c>
      <c r="AB1479" s="8"/>
      <c r="AC1479" s="8" t="str">
        <f ca="1">IFERROR(__xludf.DUMMYFUNCTION("""COMPUTED_VALUE"""),"Yes")</f>
        <v>Yes</v>
      </c>
      <c r="AD1479" s="8" t="str">
        <f ca="1">IFERROR(__xludf.DUMMYFUNCTION("""COMPUTED_VALUE"""),"Both")</f>
        <v>Both</v>
      </c>
      <c r="AE1479" s="8"/>
      <c r="AF1479" s="8"/>
      <c r="AG1479" s="8" t="str">
        <f ca="1">IFERROR(__xludf.DUMMYFUNCTION("""COMPUTED_VALUE"""),"No")</f>
        <v>No</v>
      </c>
      <c r="AH1479" s="8" t="str">
        <f ca="1">IFERROR(__xludf.DUMMYFUNCTION("""COMPUTED_VALUE"""),"No")</f>
        <v>No</v>
      </c>
      <c r="AI1479" s="8" t="str">
        <f ca="1">IFERROR(__xludf.DUMMYFUNCTION("""COMPUTED_VALUE"""),"No")</f>
        <v>No</v>
      </c>
      <c r="AJ1479" s="8" t="str">
        <f ca="1">IFERROR(__xludf.DUMMYFUNCTION("""COMPUTED_VALUE"""),"No")</f>
        <v>No</v>
      </c>
      <c r="AK1479" s="8" t="str">
        <f ca="1">IFERROR(__xludf.DUMMYFUNCTION("""COMPUTED_VALUE"""),"No")</f>
        <v>No</v>
      </c>
      <c r="AL1479" s="8"/>
      <c r="AM1479" s="8" t="str">
        <f ca="1">IFERROR(__xludf.DUMMYFUNCTION("""COMPUTED_VALUE"""),"No")</f>
        <v>No</v>
      </c>
      <c r="AN1479" s="8"/>
      <c r="AO1479" s="8" t="str">
        <f ca="1">IFERROR(__xludf.DUMMYFUNCTION("""COMPUTED_VALUE"""),"No")</f>
        <v>No</v>
      </c>
      <c r="AP1479" s="8"/>
      <c r="AQ1479" s="8"/>
      <c r="AR1479" s="8" t="str">
        <f ca="1">IFERROR(__xludf.DUMMYFUNCTION("""COMPUTED_VALUE"""),"Outside/Off-Property")</f>
        <v>Outside/Off-Property</v>
      </c>
      <c r="AS1479" s="8"/>
      <c r="AT1479" s="8"/>
      <c r="AU1479" s="8">
        <f ca="1">IFERROR(__xludf.DUMMYFUNCTION("""COMPUTED_VALUE"""),40.052784)</f>
        <v>40.052784000000003</v>
      </c>
      <c r="AV1479" s="8">
        <f ca="1">IFERROR(__xludf.DUMMYFUNCTION("""COMPUTED_VALUE"""),-82.975055)</f>
        <v>-82.975054999999998</v>
      </c>
      <c r="AW1479" s="8"/>
      <c r="AX1479" s="8">
        <f ca="1">IFERROR(__xludf.DUMMYFUNCTION("""COMPUTED_VALUE"""),43224)</f>
        <v>43224</v>
      </c>
    </row>
    <row r="1480" spans="1:50" ht="45" x14ac:dyDescent="0.2">
      <c r="A1480" s="8" t="str">
        <f ca="1">IFERROR(__xludf.DUMMYFUNCTION("""COMPUTED_VALUE"""),"20200910ILPEP")</f>
        <v>20200910ILPEP</v>
      </c>
      <c r="B1480" s="8">
        <f ca="1">IFERROR(__xludf.DUMMYFUNCTION("""COMPUTED_VALUE"""),9)</f>
        <v>9</v>
      </c>
      <c r="C1480" s="8">
        <f ca="1">IFERROR(__xludf.DUMMYFUNCTION("""COMPUTED_VALUE"""),14)</f>
        <v>14</v>
      </c>
      <c r="D1480" s="8">
        <f ca="1">IFERROR(__xludf.DUMMYFUNCTION("""COMPUTED_VALUE"""),2020)</f>
        <v>2020</v>
      </c>
      <c r="E1480" s="9">
        <f ca="1">IFERROR(__xludf.DUMMYFUNCTION("""COMPUTED_VALUE"""),44088)</f>
        <v>44088</v>
      </c>
      <c r="F1480" s="8" t="str">
        <f ca="1">IFERROR(__xludf.DUMMYFUNCTION("""COMPUTED_VALUE"""),"Peoria Public Schools Bus")</f>
        <v>Peoria Public Schools Bus</v>
      </c>
      <c r="G1480" s="8">
        <f ca="1">IFERROR(__xludf.DUMMYFUNCTION("""COMPUTED_VALUE"""),0)</f>
        <v>0</v>
      </c>
      <c r="H1480" s="8">
        <f ca="1">IFERROR(__xludf.DUMMYFUNCTION("""COMPUTED_VALUE"""),0)</f>
        <v>0</v>
      </c>
      <c r="I1480" s="8">
        <f ca="1">IFERROR(__xludf.DUMMYFUNCTION("""COMPUTED_VALUE"""),0)</f>
        <v>0</v>
      </c>
      <c r="J1480" s="8">
        <f ca="1">IFERROR(__xludf.DUMMYFUNCTION("""COMPUTED_VALUE"""),0)</f>
        <v>0</v>
      </c>
      <c r="K1480" s="10" t="str">
        <f ca="1">IFERROR(__xludf.DUMMYFUNCTION("""COMPUTED_VALUE"""),"https://www.centralillinoisproud.com/news/local-news/peoria-public-schools-emphasizing-student-safety-after-school-bus-was-struck-by-stray-bullet-thursday/")</f>
        <v>https://www.centralillinoisproud.com/news/local-news/peoria-public-schools-emphasizing-student-safety-after-school-bus-was-struck-by-stray-bullet-thursday/</v>
      </c>
      <c r="L1480" s="8">
        <f ca="1">IFERROR(__xludf.DUMMYFUNCTION("""COMPUTED_VALUE"""),2)</f>
        <v>2</v>
      </c>
      <c r="M1480" s="8" t="str">
        <f ca="1">IFERROR(__xludf.DUMMYFUNCTION("""COMPUTED_VALUE"""),"Local")</f>
        <v>Local</v>
      </c>
      <c r="N1480" s="8">
        <f ca="1">IFERROR(__xludf.DUMMYFUNCTION("""COMPUTED_VALUE"""),4)</f>
        <v>4</v>
      </c>
      <c r="O1480" s="8" t="str">
        <f ca="1">IFERROR(__xludf.DUMMYFUNCTION("""COMPUTED_VALUE"""),"Fall")</f>
        <v>Fall</v>
      </c>
      <c r="P1480" s="8" t="str">
        <f ca="1">IFERROR(__xludf.DUMMYFUNCTION("""COMPUTED_VALUE"""),"Peoria")</f>
        <v>Peoria</v>
      </c>
      <c r="Q1480" s="8" t="str">
        <f ca="1">IFERROR(__xludf.DUMMYFUNCTION("""COMPUTED_VALUE"""),"IL")</f>
        <v>IL</v>
      </c>
      <c r="R1480" s="8"/>
      <c r="S1480" s="8" t="str">
        <f ca="1">IFERROR(__xludf.DUMMYFUNCTION("""COMPUTED_VALUE"""),"School Bus")</f>
        <v>School Bus</v>
      </c>
      <c r="T1480" s="8" t="str">
        <f ca="1">IFERROR(__xludf.DUMMYFUNCTION("""COMPUTED_VALUE"""),"School Bus")</f>
        <v>School Bus</v>
      </c>
      <c r="U1480" s="8" t="str">
        <f ca="1">IFERROR(__xludf.DUMMYFUNCTION("""COMPUTED_VALUE"""),"Yes")</f>
        <v>Yes</v>
      </c>
      <c r="V1480" s="8" t="str">
        <f ca="1">IFERROR(__xludf.DUMMYFUNCTION("""COMPUTED_VALUE"""),"Afternoon Classes")</f>
        <v>Afternoon Classes</v>
      </c>
      <c r="W1480" s="11">
        <f ca="1">IFERROR(__xludf.DUMMYFUNCTION("""COMPUTED_VALUE"""),0.572916666666666)</f>
        <v>0.57291666666666596</v>
      </c>
      <c r="X1480" s="8">
        <f ca="1">IFERROR(__xludf.DUMMYFUNCTION("""COMPUTED_VALUE"""),1)</f>
        <v>1</v>
      </c>
      <c r="Y1480" s="12" t="str">
        <f ca="1">IFERROR(__xludf.DUMMYFUNCTION("""COMPUTED_VALUE"""),"Occupied school bus struck by gunfire")</f>
        <v>Occupied school bus struck by gunfire</v>
      </c>
      <c r="Z1480" s="12" t="str">
        <f ca="1">IFERROR(__xludf.DUMMYFUNCTION("""COMPUTED_VALUE"""),"School bus was hit by shot fired during drive-by. Bus driver, aid, and one student were on the bus. No injuries.")</f>
        <v>School bus was hit by shot fired during drive-by. Bus driver, aid, and one student were on the bus. No injuries.</v>
      </c>
      <c r="AA1480" s="8" t="str">
        <f ca="1">IFERROR(__xludf.DUMMYFUNCTION("""COMPUTED_VALUE"""),"Drive-by Shooting")</f>
        <v>Drive-by Shooting</v>
      </c>
      <c r="AB1480" s="8"/>
      <c r="AC1480" s="8" t="str">
        <f ca="1">IFERROR(__xludf.DUMMYFUNCTION("""COMPUTED_VALUE"""),"Yes")</f>
        <v>Yes</v>
      </c>
      <c r="AD1480" s="8" t="str">
        <f ca="1">IFERROR(__xludf.DUMMYFUNCTION("""COMPUTED_VALUE"""),"Victims Targeted")</f>
        <v>Victims Targeted</v>
      </c>
      <c r="AE1480" s="8"/>
      <c r="AF1480" s="8"/>
      <c r="AG1480" s="8" t="str">
        <f ca="1">IFERROR(__xludf.DUMMYFUNCTION("""COMPUTED_VALUE"""),"No")</f>
        <v>No</v>
      </c>
      <c r="AH1480" s="8" t="str">
        <f ca="1">IFERROR(__xludf.DUMMYFUNCTION("""COMPUTED_VALUE"""),"No")</f>
        <v>No</v>
      </c>
      <c r="AI1480" s="8"/>
      <c r="AJ1480" s="8" t="str">
        <f ca="1">IFERROR(__xludf.DUMMYFUNCTION("""COMPUTED_VALUE"""),"No")</f>
        <v>No</v>
      </c>
      <c r="AK1480" s="8" t="str">
        <f ca="1">IFERROR(__xludf.DUMMYFUNCTION("""COMPUTED_VALUE"""),"No")</f>
        <v>No</v>
      </c>
      <c r="AL1480" s="8"/>
      <c r="AM1480" s="8" t="str">
        <f ca="1">IFERROR(__xludf.DUMMYFUNCTION("""COMPUTED_VALUE"""),"No")</f>
        <v>No</v>
      </c>
      <c r="AN1480" s="8"/>
      <c r="AO1480" s="8" t="str">
        <f ca="1">IFERROR(__xludf.DUMMYFUNCTION("""COMPUTED_VALUE"""),"No")</f>
        <v>No</v>
      </c>
      <c r="AP1480" s="8"/>
      <c r="AQ1480" s="8"/>
      <c r="AR1480" s="8" t="str">
        <f ca="1">IFERROR(__xludf.DUMMYFUNCTION("""COMPUTED_VALUE"""),"Outside/Off-Property")</f>
        <v>Outside/Off-Property</v>
      </c>
      <c r="AS1480" s="8"/>
      <c r="AT1480" s="8"/>
      <c r="AU1480" s="8">
        <f ca="1">IFERROR(__xludf.DUMMYFUNCTION("""COMPUTED_VALUE"""),40.712329)</f>
        <v>40.712328999999997</v>
      </c>
      <c r="AV1480" s="8">
        <f ca="1">IFERROR(__xludf.DUMMYFUNCTION("""COMPUTED_VALUE"""),-89.5788)</f>
        <v>-89.578800000000001</v>
      </c>
      <c r="AW1480" s="8"/>
      <c r="AX1480" s="8">
        <f ca="1">IFERROR(__xludf.DUMMYFUNCTION("""COMPUTED_VALUE"""),61603)</f>
        <v>61603</v>
      </c>
    </row>
    <row r="1481" spans="1:50" ht="60" x14ac:dyDescent="0.2">
      <c r="A1481" s="8" t="str">
        <f ca="1">IFERROR(__xludf.DUMMYFUNCTION("""COMPUTED_VALUE"""),"20200909TXSOH")</f>
        <v>20200909TXSOH</v>
      </c>
      <c r="B1481" s="8">
        <f ca="1">IFERROR(__xludf.DUMMYFUNCTION("""COMPUTED_VALUE"""),9)</f>
        <v>9</v>
      </c>
      <c r="C1481" s="8">
        <f ca="1">IFERROR(__xludf.DUMMYFUNCTION("""COMPUTED_VALUE"""),9)</f>
        <v>9</v>
      </c>
      <c r="D1481" s="8">
        <f ca="1">IFERROR(__xludf.DUMMYFUNCTION("""COMPUTED_VALUE"""),2020)</f>
        <v>2020</v>
      </c>
      <c r="E1481" s="9">
        <f ca="1">IFERROR(__xludf.DUMMYFUNCTION("""COMPUTED_VALUE"""),44083)</f>
        <v>44083</v>
      </c>
      <c r="F1481" s="8" t="str">
        <f ca="1">IFERROR(__xludf.DUMMYFUNCTION("""COMPUTED_VALUE"""),"Southmayd Elementary School")</f>
        <v>Southmayd Elementary School</v>
      </c>
      <c r="G1481" s="8">
        <f ca="1">IFERROR(__xludf.DUMMYFUNCTION("""COMPUTED_VALUE"""),0)</f>
        <v>0</v>
      </c>
      <c r="H1481" s="8">
        <f ca="1">IFERROR(__xludf.DUMMYFUNCTION("""COMPUTED_VALUE"""),1)</f>
        <v>1</v>
      </c>
      <c r="I1481" s="8">
        <f ca="1">IFERROR(__xludf.DUMMYFUNCTION("""COMPUTED_VALUE"""),1)</f>
        <v>1</v>
      </c>
      <c r="J1481" s="8">
        <f ca="1">IFERROR(__xludf.DUMMYFUNCTION("""COMPUTED_VALUE"""),0)</f>
        <v>0</v>
      </c>
      <c r="K1481" s="8" t="str">
        <f ca="1">IFERROR(__xludf.DUMMYFUNCTION("""COMPUTED_VALUE"""),"https://www.click2houston.com/news/local/2020/09/09/1-person-injured-in-drive-by-shooting-near-school-playground-in-se-houston-police-say/ https://abc13.com/man-found-shot-outside-of-elementary-school-in-se-houston-/6415778/")</f>
        <v>https://www.click2houston.com/news/local/2020/09/09/1-person-injured-in-drive-by-shooting-near-school-playground-in-se-houston-police-say/ https://abc13.com/man-found-shot-outside-of-elementary-school-in-se-houston-/6415778/</v>
      </c>
      <c r="L1481" s="8">
        <f ca="1">IFERROR(__xludf.DUMMYFUNCTION("""COMPUTED_VALUE"""),2)</f>
        <v>2</v>
      </c>
      <c r="M1481" s="8" t="str">
        <f ca="1">IFERROR(__xludf.DUMMYFUNCTION("""COMPUTED_VALUE"""),"Regional")</f>
        <v>Regional</v>
      </c>
      <c r="N1481" s="8">
        <f ca="1">IFERROR(__xludf.DUMMYFUNCTION("""COMPUTED_VALUE"""),3)</f>
        <v>3</v>
      </c>
      <c r="O1481" s="8" t="str">
        <f ca="1">IFERROR(__xludf.DUMMYFUNCTION("""COMPUTED_VALUE"""),"Fall")</f>
        <v>Fall</v>
      </c>
      <c r="P1481" s="8" t="str">
        <f ca="1">IFERROR(__xludf.DUMMYFUNCTION("""COMPUTED_VALUE"""),"Houston")</f>
        <v>Houston</v>
      </c>
      <c r="Q1481" s="8" t="str">
        <f ca="1">IFERROR(__xludf.DUMMYFUNCTION("""COMPUTED_VALUE"""),"TX")</f>
        <v>TX</v>
      </c>
      <c r="R1481" s="8" t="str">
        <f ca="1">IFERROR(__xludf.DUMMYFUNCTION("""COMPUTED_VALUE"""),"Elementary")</f>
        <v>Elementary</v>
      </c>
      <c r="S1481" s="8" t="str">
        <f ca="1">IFERROR(__xludf.DUMMYFUNCTION("""COMPUTED_VALUE"""),"Front of School")</f>
        <v>Front of School</v>
      </c>
      <c r="T1481" s="8" t="str">
        <f ca="1">IFERROR(__xludf.DUMMYFUNCTION("""COMPUTED_VALUE"""),"Outside on School Property")</f>
        <v>Outside on School Property</v>
      </c>
      <c r="U1481" s="8" t="str">
        <f ca="1">IFERROR(__xludf.DUMMYFUNCTION("""COMPUTED_VALUE"""),"Yes")</f>
        <v>Yes</v>
      </c>
      <c r="V1481" s="8" t="str">
        <f ca="1">IFERROR(__xludf.DUMMYFUNCTION("""COMPUTED_VALUE"""),"Morning Classes")</f>
        <v>Morning Classes</v>
      </c>
      <c r="W1481" s="11">
        <f ca="1">IFERROR(__xludf.DUMMYFUNCTION("""COMPUTED_VALUE"""),0.909722222222222)</f>
        <v>0.90972222222222199</v>
      </c>
      <c r="X1481" s="8">
        <f ca="1">IFERROR(__xludf.DUMMYFUNCTION("""COMPUTED_VALUE"""),1)</f>
        <v>1</v>
      </c>
      <c r="Y1481" s="12" t="str">
        <f ca="1">IFERROR(__xludf.DUMMYFUNCTION("""COMPUTED_VALUE"""),"Teen shot during drive-by in front of school")</f>
        <v>Teen shot during drive-by in front of school</v>
      </c>
      <c r="Z1481" s="12" t="str">
        <f ca="1">IFERROR(__xludf.DUMMYFUNCTION("""COMPUTED_VALUE"""),"18 year-old male was shot during a drive-by in front of the elementary school. School officials provided aid and locked down the school. Police said the shooting was gang related. Shooter fled the scene in a vehicle.")</f>
        <v>18 year-old male was shot during a drive-by in front of the elementary school. School officials provided aid and locked down the school. Police said the shooting was gang related. Shooter fled the scene in a vehicle.</v>
      </c>
      <c r="AA1481" s="8" t="str">
        <f ca="1">IFERROR(__xludf.DUMMYFUNCTION("""COMPUTED_VALUE"""),"Drive-by Shooting")</f>
        <v>Drive-by Shooting</v>
      </c>
      <c r="AB1481" s="8"/>
      <c r="AC1481" s="8" t="str">
        <f ca="1">IFERROR(__xludf.DUMMYFUNCTION("""COMPUTED_VALUE"""),"Yes")</f>
        <v>Yes</v>
      </c>
      <c r="AD1481" s="8" t="str">
        <f ca="1">IFERROR(__xludf.DUMMYFUNCTION("""COMPUTED_VALUE"""),"Victims Targeted")</f>
        <v>Victims Targeted</v>
      </c>
      <c r="AE1481" s="8" t="str">
        <f ca="1">IFERROR(__xludf.DUMMYFUNCTION("""COMPUTED_VALUE"""),"Yes")</f>
        <v>Yes</v>
      </c>
      <c r="AF1481" s="8" t="str">
        <f ca="1">IFERROR(__xludf.DUMMYFUNCTION("""COMPUTED_VALUE"""),"Multiple males in vehicle that fled")</f>
        <v>Multiple males in vehicle that fled</v>
      </c>
      <c r="AG1481" s="8" t="str">
        <f ca="1">IFERROR(__xludf.DUMMYFUNCTION("""COMPUTED_VALUE"""),"No")</f>
        <v>No</v>
      </c>
      <c r="AH1481" s="8" t="str">
        <f ca="1">IFERROR(__xludf.DUMMYFUNCTION("""COMPUTED_VALUE"""),"No")</f>
        <v>No</v>
      </c>
      <c r="AI1481" s="8" t="str">
        <f ca="1">IFERROR(__xludf.DUMMYFUNCTION("""COMPUTED_VALUE"""),"No")</f>
        <v>No</v>
      </c>
      <c r="AJ1481" s="8" t="str">
        <f ca="1">IFERROR(__xludf.DUMMYFUNCTION("""COMPUTED_VALUE"""),"No")</f>
        <v>No</v>
      </c>
      <c r="AK1481" s="8" t="str">
        <f ca="1">IFERROR(__xludf.DUMMYFUNCTION("""COMPUTED_VALUE"""),"No")</f>
        <v>No</v>
      </c>
      <c r="AL1481" s="8" t="str">
        <f ca="1">IFERROR(__xludf.DUMMYFUNCTION("""COMPUTED_VALUE"""),"Yes")</f>
        <v>Yes</v>
      </c>
      <c r="AM1481" s="8" t="str">
        <f ca="1">IFERROR(__xludf.DUMMYFUNCTION("""COMPUTED_VALUE"""),"No")</f>
        <v>No</v>
      </c>
      <c r="AN1481" s="8"/>
      <c r="AO1481" s="8" t="str">
        <f ca="1">IFERROR(__xludf.DUMMYFUNCTION("""COMPUTED_VALUE"""),"No")</f>
        <v>No</v>
      </c>
      <c r="AP1481" s="8"/>
      <c r="AQ1481" s="8"/>
      <c r="AR1481" s="8" t="str">
        <f ca="1">IFERROR(__xludf.DUMMYFUNCTION("""COMPUTED_VALUE"""),"Outside/Off-Property")</f>
        <v>Outside/Off-Property</v>
      </c>
      <c r="AS1481" s="8"/>
      <c r="AT1481" s="8" t="str">
        <f ca="1">IFERROR(__xludf.DUMMYFUNCTION("""COMPUTED_VALUE"""),"Yes")</f>
        <v>Yes</v>
      </c>
      <c r="AU1481" s="8">
        <f ca="1">IFERROR(__xludf.DUMMYFUNCTION("""COMPUTED_VALUE"""),29.709946)</f>
        <v>29.709945999999999</v>
      </c>
      <c r="AV1481" s="8">
        <f ca="1">IFERROR(__xludf.DUMMYFUNCTION("""COMPUTED_VALUE"""),-95.28942)</f>
        <v>-95.289420000000007</v>
      </c>
      <c r="AW1481" s="8"/>
      <c r="AX1481" s="8">
        <f ca="1">IFERROR(__xludf.DUMMYFUNCTION("""COMPUTED_VALUE"""),77012)</f>
        <v>77012</v>
      </c>
    </row>
    <row r="1482" spans="1:50" ht="75" x14ac:dyDescent="0.2">
      <c r="A1482" s="8" t="str">
        <f ca="1">IFERROR(__xludf.DUMMYFUNCTION("""COMPUTED_VALUE"""),"20200909PAWEW")</f>
        <v>20200909PAWEW</v>
      </c>
      <c r="B1482" s="8">
        <f ca="1">IFERROR(__xludf.DUMMYFUNCTION("""COMPUTED_VALUE"""),9)</f>
        <v>9</v>
      </c>
      <c r="C1482" s="8">
        <f ca="1">IFERROR(__xludf.DUMMYFUNCTION("""COMPUTED_VALUE"""),9)</f>
        <v>9</v>
      </c>
      <c r="D1482" s="8">
        <f ca="1">IFERROR(__xludf.DUMMYFUNCTION("""COMPUTED_VALUE"""),2020)</f>
        <v>2020</v>
      </c>
      <c r="E1482" s="9">
        <f ca="1">IFERROR(__xludf.DUMMYFUNCTION("""COMPUTED_VALUE"""),44083)</f>
        <v>44083</v>
      </c>
      <c r="F1482" s="8" t="str">
        <f ca="1">IFERROR(__xludf.DUMMYFUNCTION("""COMPUTED_VALUE"""),"West Bradford Elementary School")</f>
        <v>West Bradford Elementary School</v>
      </c>
      <c r="G1482" s="8">
        <f ca="1">IFERROR(__xludf.DUMMYFUNCTION("""COMPUTED_VALUE"""),0)</f>
        <v>0</v>
      </c>
      <c r="H1482" s="8">
        <f ca="1">IFERROR(__xludf.DUMMYFUNCTION("""COMPUTED_VALUE"""),0)</f>
        <v>0</v>
      </c>
      <c r="I1482" s="8">
        <f ca="1">IFERROR(__xludf.DUMMYFUNCTION("""COMPUTED_VALUE"""),0)</f>
        <v>0</v>
      </c>
      <c r="J1482" s="8">
        <f ca="1">IFERROR(__xludf.DUMMYFUNCTION("""COMPUTED_VALUE"""),0)</f>
        <v>0</v>
      </c>
      <c r="K1482" s="8" t="str">
        <f ca="1">IFERROR(__xludf.DUMMYFUNCTION("""COMPUTED_VALUE"""),"https://twitter.com/PSPTroopJPIO/status/1308452442582011904?ref_src=twsrc%5Etfw%7Ctwcamp%5Etweetembed%7Ctwterm%5E1308452442582011904%7Ctwgr%5Eshare_3&amp;ref_url=https%3A%2F%2F6abc.com%2Froad-rage-shooting-west-bradford-elementary-school-township-pennsylvania"&amp;"-state-police%2F6517416%2F https://6abc.com/man-wanted-for-road-rage-shooting-at-elementary-school-/6517416/")</f>
        <v>https://twitter.com/PSPTroopJPIO/status/1308452442582011904?ref_src=twsrc%5Etfw%7Ctwcamp%5Etweetembed%7Ctwterm%5E1308452442582011904%7Ctwgr%5Eshare_3&amp;ref_url=https%3A%2F%2F6abc.com%2Froad-rage-shooting-west-bradford-elementary-school-township-pennsylvania-state-police%2F6517416%2F https://6abc.com/man-wanted-for-road-rage-shooting-at-elementary-school-/6517416/</v>
      </c>
      <c r="L1482" s="8">
        <f ca="1">IFERROR(__xludf.DUMMYFUNCTION("""COMPUTED_VALUE"""),2)</f>
        <v>2</v>
      </c>
      <c r="M1482" s="8" t="str">
        <f ca="1">IFERROR(__xludf.DUMMYFUNCTION("""COMPUTED_VALUE"""),"Local")</f>
        <v>Local</v>
      </c>
      <c r="N1482" s="8">
        <f ca="1">IFERROR(__xludf.DUMMYFUNCTION("""COMPUTED_VALUE"""),4)</f>
        <v>4</v>
      </c>
      <c r="O1482" s="8" t="str">
        <f ca="1">IFERROR(__xludf.DUMMYFUNCTION("""COMPUTED_VALUE"""),"Fall")</f>
        <v>Fall</v>
      </c>
      <c r="P1482" s="8" t="str">
        <f ca="1">IFERROR(__xludf.DUMMYFUNCTION("""COMPUTED_VALUE"""),"West Bradford Township")</f>
        <v>West Bradford Township</v>
      </c>
      <c r="Q1482" s="8" t="str">
        <f ca="1">IFERROR(__xludf.DUMMYFUNCTION("""COMPUTED_VALUE"""),"PA")</f>
        <v>PA</v>
      </c>
      <c r="R1482" s="8" t="str">
        <f ca="1">IFERROR(__xludf.DUMMYFUNCTION("""COMPUTED_VALUE"""),"Elementary")</f>
        <v>Elementary</v>
      </c>
      <c r="S1482" s="8" t="str">
        <f ca="1">IFERROR(__xludf.DUMMYFUNCTION("""COMPUTED_VALUE"""),"Parking Lot")</f>
        <v>Parking Lot</v>
      </c>
      <c r="T1482" s="8" t="str">
        <f ca="1">IFERROR(__xludf.DUMMYFUNCTION("""COMPUTED_VALUE"""),"Outside on School Property")</f>
        <v>Outside on School Property</v>
      </c>
      <c r="U1482" s="8" t="str">
        <f ca="1">IFERROR(__xludf.DUMMYFUNCTION("""COMPUTED_VALUE"""),"No")</f>
        <v>No</v>
      </c>
      <c r="V1482" s="8" t="str">
        <f ca="1">IFERROR(__xludf.DUMMYFUNCTION("""COMPUTED_VALUE"""),"Evening")</f>
        <v>Evening</v>
      </c>
      <c r="W1482" s="11">
        <f ca="1">IFERROR(__xludf.DUMMYFUNCTION("""COMPUTED_VALUE"""),0.774305555555555)</f>
        <v>0.77430555555555503</v>
      </c>
      <c r="X1482" s="8">
        <f ca="1">IFERROR(__xludf.DUMMYFUNCTION("""COMPUTED_VALUE"""),1)</f>
        <v>1</v>
      </c>
      <c r="Y1482" s="12" t="str">
        <f ca="1">IFERROR(__xludf.DUMMYFUNCTION("""COMPUTED_VALUE"""),"Shot fired in school parking lot following roadrage incident")</f>
        <v>Shot fired in school parking lot following roadrage incident</v>
      </c>
      <c r="Z1482" s="12" t="str">
        <f ca="1">IFERROR(__xludf.DUMMYFUNCTION("""COMPUTED_VALUE"""),"After a ""roadrage"" incident, an unknown adult man followed the victim's vehicle into the school parking lot. The unknown male fired one shot at the vehicle breaking his back window and then fled the scene. Police have not identified the shooter. No inju"&amp;"ries.")</f>
        <v>After a "roadrage" incident, an unknown adult man followed the victim's vehicle into the school parking lot. The unknown male fired one shot at the vehicle breaking his back window and then fled the scene. Police have not identified the shooter. No injuries.</v>
      </c>
      <c r="AA1482" s="8" t="str">
        <f ca="1">IFERROR(__xludf.DUMMYFUNCTION("""COMPUTED_VALUE"""),"Escalation of Dispute")</f>
        <v>Escalation of Dispute</v>
      </c>
      <c r="AB1482" s="8"/>
      <c r="AC1482" s="8" t="str">
        <f ca="1">IFERROR(__xludf.DUMMYFUNCTION("""COMPUTED_VALUE"""),"No")</f>
        <v>No</v>
      </c>
      <c r="AD1482" s="8" t="str">
        <f ca="1">IFERROR(__xludf.DUMMYFUNCTION("""COMPUTED_VALUE"""),"Victims Targeted")</f>
        <v>Victims Targeted</v>
      </c>
      <c r="AE1482" s="8" t="str">
        <f ca="1">IFERROR(__xludf.DUMMYFUNCTION("""COMPUTED_VALUE"""),"No")</f>
        <v>No</v>
      </c>
      <c r="AF1482" s="8"/>
      <c r="AG1482" s="8" t="str">
        <f ca="1">IFERROR(__xludf.DUMMYFUNCTION("""COMPUTED_VALUE"""),"No")</f>
        <v>No</v>
      </c>
      <c r="AH1482" s="8" t="str">
        <f ca="1">IFERROR(__xludf.DUMMYFUNCTION("""COMPUTED_VALUE"""),"No")</f>
        <v>No</v>
      </c>
      <c r="AI1482" s="8" t="str">
        <f ca="1">IFERROR(__xludf.DUMMYFUNCTION("""COMPUTED_VALUE"""),"No")</f>
        <v>No</v>
      </c>
      <c r="AJ1482" s="8" t="str">
        <f ca="1">IFERROR(__xludf.DUMMYFUNCTION("""COMPUTED_VALUE"""),"No")</f>
        <v>No</v>
      </c>
      <c r="AK1482" s="8" t="str">
        <f ca="1">IFERROR(__xludf.DUMMYFUNCTION("""COMPUTED_VALUE"""),"No")</f>
        <v>No</v>
      </c>
      <c r="AL1482" s="8" t="str">
        <f ca="1">IFERROR(__xludf.DUMMYFUNCTION("""COMPUTED_VALUE"""),"No")</f>
        <v>No</v>
      </c>
      <c r="AM1482" s="8" t="str">
        <f ca="1">IFERROR(__xludf.DUMMYFUNCTION("""COMPUTED_VALUE"""),"No")</f>
        <v>No</v>
      </c>
      <c r="AN1482" s="8"/>
      <c r="AO1482" s="8" t="str">
        <f ca="1">IFERROR(__xludf.DUMMYFUNCTION("""COMPUTED_VALUE"""),"No")</f>
        <v>No</v>
      </c>
      <c r="AP1482" s="8"/>
      <c r="AQ1482" s="8"/>
      <c r="AR1482" s="8" t="str">
        <f ca="1">IFERROR(__xludf.DUMMYFUNCTION("""COMPUTED_VALUE"""),"Outside/Off-Property")</f>
        <v>Outside/Off-Property</v>
      </c>
      <c r="AS1482" s="8">
        <f ca="1">IFERROR(__xludf.DUMMYFUNCTION("""COMPUTED_VALUE"""),1)</f>
        <v>1</v>
      </c>
      <c r="AT1482" s="8"/>
      <c r="AU1482" s="8">
        <f ca="1">IFERROR(__xludf.DUMMYFUNCTION("""COMPUTED_VALUE"""),39.971959)</f>
        <v>39.971958999999998</v>
      </c>
      <c r="AV1482" s="8">
        <f ca="1">IFERROR(__xludf.DUMMYFUNCTION("""COMPUTED_VALUE"""),-75.742803)</f>
        <v>-75.742802999999995</v>
      </c>
      <c r="AW1482" s="8"/>
      <c r="AX1482" s="8">
        <f ca="1">IFERROR(__xludf.DUMMYFUNCTION("""COMPUTED_VALUE"""),19335)</f>
        <v>19335</v>
      </c>
    </row>
    <row r="1483" spans="1:50" ht="60" x14ac:dyDescent="0.2">
      <c r="A1483" s="8" t="str">
        <f ca="1">IFERROR(__xludf.DUMMYFUNCTION("""COMPUTED_VALUE"""),"20200904FLLOJ")</f>
        <v>20200904FLLOJ</v>
      </c>
      <c r="B1483" s="8">
        <f ca="1">IFERROR(__xludf.DUMMYFUNCTION("""COMPUTED_VALUE"""),9)</f>
        <v>9</v>
      </c>
      <c r="C1483" s="8">
        <f ca="1">IFERROR(__xludf.DUMMYFUNCTION("""COMPUTED_VALUE"""),3)</f>
        <v>3</v>
      </c>
      <c r="D1483" s="8">
        <f ca="1">IFERROR(__xludf.DUMMYFUNCTION("""COMPUTED_VALUE"""),2020)</f>
        <v>2020</v>
      </c>
      <c r="E1483" s="9">
        <f ca="1">IFERROR(__xludf.DUMMYFUNCTION("""COMPUTED_VALUE"""),44077)</f>
        <v>44077</v>
      </c>
      <c r="F1483" s="8" t="str">
        <f ca="1">IFERROR(__xludf.DUMMYFUNCTION("""COMPUTED_VALUE"""),"Lone Star Elementary School")</f>
        <v>Lone Star Elementary School</v>
      </c>
      <c r="G1483" s="8">
        <f ca="1">IFERROR(__xludf.DUMMYFUNCTION("""COMPUTED_VALUE"""),0)</f>
        <v>0</v>
      </c>
      <c r="H1483" s="8">
        <f ca="1">IFERROR(__xludf.DUMMYFUNCTION("""COMPUTED_VALUE"""),1)</f>
        <v>1</v>
      </c>
      <c r="I1483" s="8">
        <f ca="1">IFERROR(__xludf.DUMMYFUNCTION("""COMPUTED_VALUE"""),1)</f>
        <v>1</v>
      </c>
      <c r="J1483" s="8">
        <f ca="1">IFERROR(__xludf.DUMMYFUNCTION("""COMPUTED_VALUE"""),0)</f>
        <v>0</v>
      </c>
      <c r="K1483" s="8" t="str">
        <f ca="1">IFERROR(__xludf.DUMMYFUNCTION("""COMPUTED_VALUE"""),"https://www.wokv.com/news/local/shooting-east-arlington-leaves-man-with-life-threatening-injuries/VLBRUTBETNHA3IFQLMQ2P6BY7I/ https://www.actionnewsjax.com/news/local/duval-county/man-found-shot-near-east-arlington-elementary-school/DE2Z6Q4SYNFOJP57FEPLVW"&amp;"G4BY/")</f>
        <v>https://www.wokv.com/news/local/shooting-east-arlington-leaves-man-with-life-threatening-injuries/VLBRUTBETNHA3IFQLMQ2P6BY7I/ https://www.actionnewsjax.com/news/local/duval-county/man-found-shot-near-east-arlington-elementary-school/DE2Z6Q4SYNFOJP57FEPLVWG4BY/</v>
      </c>
      <c r="L1483" s="8">
        <f ca="1">IFERROR(__xludf.DUMMYFUNCTION("""COMPUTED_VALUE"""),2)</f>
        <v>2</v>
      </c>
      <c r="M1483" s="8" t="str">
        <f ca="1">IFERROR(__xludf.DUMMYFUNCTION("""COMPUTED_VALUE"""),"Local")</f>
        <v>Local</v>
      </c>
      <c r="N1483" s="8">
        <f ca="1">IFERROR(__xludf.DUMMYFUNCTION("""COMPUTED_VALUE"""),3)</f>
        <v>3</v>
      </c>
      <c r="O1483" s="8" t="str">
        <f ca="1">IFERROR(__xludf.DUMMYFUNCTION("""COMPUTED_VALUE"""),"Fall")</f>
        <v>Fall</v>
      </c>
      <c r="P1483" s="8" t="str">
        <f ca="1">IFERROR(__xludf.DUMMYFUNCTION("""COMPUTED_VALUE"""),"Jacksonville")</f>
        <v>Jacksonville</v>
      </c>
      <c r="Q1483" s="8" t="str">
        <f ca="1">IFERROR(__xludf.DUMMYFUNCTION("""COMPUTED_VALUE"""),"FL")</f>
        <v>FL</v>
      </c>
      <c r="R1483" s="8" t="str">
        <f ca="1">IFERROR(__xludf.DUMMYFUNCTION("""COMPUTED_VALUE"""),"Elementary")</f>
        <v>Elementary</v>
      </c>
      <c r="S1483" s="8" t="str">
        <f ca="1">IFERROR(__xludf.DUMMYFUNCTION("""COMPUTED_VALUE"""),"Beside Building")</f>
        <v>Beside Building</v>
      </c>
      <c r="T1483" s="8" t="str">
        <f ca="1">IFERROR(__xludf.DUMMYFUNCTION("""COMPUTED_VALUE"""),"Outside on School Property")</f>
        <v>Outside on School Property</v>
      </c>
      <c r="U1483" s="8" t="str">
        <f ca="1">IFERROR(__xludf.DUMMYFUNCTION("""COMPUTED_VALUE"""),"No")</f>
        <v>No</v>
      </c>
      <c r="V1483" s="8" t="str">
        <f ca="1">IFERROR(__xludf.DUMMYFUNCTION("""COMPUTED_VALUE"""),"Night")</f>
        <v>Night</v>
      </c>
      <c r="W1483" s="11">
        <f ca="1">IFERROR(__xludf.DUMMYFUNCTION("""COMPUTED_VALUE"""),0.989583333333333)</f>
        <v>0.98958333333333304</v>
      </c>
      <c r="X1483" s="8">
        <f ca="1">IFERROR(__xludf.DUMMYFUNCTION("""COMPUTED_VALUE"""),1)</f>
        <v>1</v>
      </c>
      <c r="Y1483" s="12" t="str">
        <f ca="1">IFERROR(__xludf.DUMMYFUNCTION("""COMPUTED_VALUE"""),"Adult male found shot to death outside of school")</f>
        <v>Adult male found shot to death outside of school</v>
      </c>
      <c r="Z1483" s="12" t="str">
        <f ca="1">IFERROR(__xludf.DUMMYFUNCTION("""COMPUTED_VALUE"""),"A 27 year-old male was found laying in the grass near the school building following a shooting. He was taken to the hospital with life threatening injuries. No suspect or motive identified.")</f>
        <v>A 27 year-old male was found laying in the grass near the school building following a shooting. He was taken to the hospital with life threatening injuries. No suspect or motive identified.</v>
      </c>
      <c r="AA1483" s="8"/>
      <c r="AB1483" s="8"/>
      <c r="AC1483" s="8" t="str">
        <f ca="1">IFERROR(__xludf.DUMMYFUNCTION("""COMPUTED_VALUE"""),"No")</f>
        <v>No</v>
      </c>
      <c r="AD1483" s="8"/>
      <c r="AE1483" s="8"/>
      <c r="AF1483" s="8"/>
      <c r="AG1483" s="8" t="str">
        <f ca="1">IFERROR(__xludf.DUMMYFUNCTION("""COMPUTED_VALUE"""),"No")</f>
        <v>No</v>
      </c>
      <c r="AH1483" s="8" t="str">
        <f ca="1">IFERROR(__xludf.DUMMYFUNCTION("""COMPUTED_VALUE"""),"No")</f>
        <v>No</v>
      </c>
      <c r="AI1483" s="8" t="str">
        <f ca="1">IFERROR(__xludf.DUMMYFUNCTION("""COMPUTED_VALUE"""),"No")</f>
        <v>No</v>
      </c>
      <c r="AJ1483" s="8" t="str">
        <f ca="1">IFERROR(__xludf.DUMMYFUNCTION("""COMPUTED_VALUE"""),"No")</f>
        <v>No</v>
      </c>
      <c r="AK1483" s="8" t="str">
        <f ca="1">IFERROR(__xludf.DUMMYFUNCTION("""COMPUTED_VALUE"""),"No")</f>
        <v>No</v>
      </c>
      <c r="AL1483" s="8" t="str">
        <f ca="1">IFERROR(__xludf.DUMMYFUNCTION("""COMPUTED_VALUE"""),"No")</f>
        <v>No</v>
      </c>
      <c r="AM1483" s="8" t="str">
        <f ca="1">IFERROR(__xludf.DUMMYFUNCTION("""COMPUTED_VALUE"""),"No")</f>
        <v>No</v>
      </c>
      <c r="AN1483" s="8"/>
      <c r="AO1483" s="8" t="str">
        <f ca="1">IFERROR(__xludf.DUMMYFUNCTION("""COMPUTED_VALUE"""),"No")</f>
        <v>No</v>
      </c>
      <c r="AP1483" s="8"/>
      <c r="AQ1483" s="8"/>
      <c r="AR1483" s="8" t="str">
        <f ca="1">IFERROR(__xludf.DUMMYFUNCTION("""COMPUTED_VALUE"""),"Outside/Off-Property")</f>
        <v>Outside/Off-Property</v>
      </c>
      <c r="AS1483" s="8"/>
      <c r="AT1483" s="8"/>
      <c r="AU1483" s="8">
        <f ca="1">IFERROR(__xludf.DUMMYFUNCTION("""COMPUTED_VALUE"""),30.337357)</f>
        <v>30.337357000000001</v>
      </c>
      <c r="AV1483" s="8">
        <f ca="1">IFERROR(__xludf.DUMMYFUNCTION("""COMPUTED_VALUE"""),-81.528609)</f>
        <v>-81.528609000000003</v>
      </c>
      <c r="AW1483" s="8"/>
      <c r="AX1483" s="8">
        <f ca="1">IFERROR(__xludf.DUMMYFUNCTION("""COMPUTED_VALUE"""),32225)</f>
        <v>32225</v>
      </c>
    </row>
    <row r="1484" spans="1:50" ht="60" x14ac:dyDescent="0.2">
      <c r="A1484" s="8" t="str">
        <f ca="1">IFERROR(__xludf.DUMMYFUNCTION("""COMPUTED_VALUE"""),"20200903GADOA")</f>
        <v>20200903GADOA</v>
      </c>
      <c r="B1484" s="8">
        <f ca="1">IFERROR(__xludf.DUMMYFUNCTION("""COMPUTED_VALUE"""),9)</f>
        <v>9</v>
      </c>
      <c r="C1484" s="8">
        <f ca="1">IFERROR(__xludf.DUMMYFUNCTION("""COMPUTED_VALUE"""),3)</f>
        <v>3</v>
      </c>
      <c r="D1484" s="8">
        <f ca="1">IFERROR(__xludf.DUMMYFUNCTION("""COMPUTED_VALUE"""),2020)</f>
        <v>2020</v>
      </c>
      <c r="E1484" s="9">
        <f ca="1">IFERROR(__xludf.DUMMYFUNCTION("""COMPUTED_VALUE"""),44077)</f>
        <v>44077</v>
      </c>
      <c r="F1484" s="8" t="str">
        <f ca="1">IFERROR(__xludf.DUMMYFUNCTION("""COMPUTED_VALUE"""),"Dougherty Comprehensive High School")</f>
        <v>Dougherty Comprehensive High School</v>
      </c>
      <c r="G1484" s="8">
        <f ca="1">IFERROR(__xludf.DUMMYFUNCTION("""COMPUTED_VALUE"""),1)</f>
        <v>1</v>
      </c>
      <c r="H1484" s="8">
        <f ca="1">IFERROR(__xludf.DUMMYFUNCTION("""COMPUTED_VALUE"""),0)</f>
        <v>0</v>
      </c>
      <c r="I1484" s="8">
        <f ca="1">IFERROR(__xludf.DUMMYFUNCTION("""COMPUTED_VALUE"""),1)</f>
        <v>1</v>
      </c>
      <c r="J1484" s="8">
        <f ca="1">IFERROR(__xludf.DUMMYFUNCTION("""COMPUTED_VALUE"""),0)</f>
        <v>0</v>
      </c>
      <c r="K1484" s="8" t="str">
        <f ca="1">IFERROR(__xludf.DUMMYFUNCTION("""COMPUTED_VALUE"""),"https://www.walb.com/2020/09/03/homicide-investigation-underway-dougherty-high-school/ https://wfxl.com/news/local/death-investigation-underway-at-dougherty-comprehensive-high-school")</f>
        <v>https://www.walb.com/2020/09/03/homicide-investigation-underway-dougherty-high-school/ https://wfxl.com/news/local/death-investigation-underway-at-dougherty-comprehensive-high-school</v>
      </c>
      <c r="L1484" s="8">
        <f ca="1">IFERROR(__xludf.DUMMYFUNCTION("""COMPUTED_VALUE"""),2)</f>
        <v>2</v>
      </c>
      <c r="M1484" s="8" t="str">
        <f ca="1">IFERROR(__xludf.DUMMYFUNCTION("""COMPUTED_VALUE"""),"Local")</f>
        <v>Local</v>
      </c>
      <c r="N1484" s="8">
        <f ca="1">IFERROR(__xludf.DUMMYFUNCTION("""COMPUTED_VALUE"""),3)</f>
        <v>3</v>
      </c>
      <c r="O1484" s="8" t="str">
        <f ca="1">IFERROR(__xludf.DUMMYFUNCTION("""COMPUTED_VALUE"""),"Fall")</f>
        <v>Fall</v>
      </c>
      <c r="P1484" s="8" t="str">
        <f ca="1">IFERROR(__xludf.DUMMYFUNCTION("""COMPUTED_VALUE"""),"Albany")</f>
        <v>Albany</v>
      </c>
      <c r="Q1484" s="8" t="str">
        <f ca="1">IFERROR(__xludf.DUMMYFUNCTION("""COMPUTED_VALUE"""),"GA")</f>
        <v>GA</v>
      </c>
      <c r="R1484" s="8" t="str">
        <f ca="1">IFERROR(__xludf.DUMMYFUNCTION("""COMPUTED_VALUE"""),"High")</f>
        <v>High</v>
      </c>
      <c r="S1484" s="8" t="str">
        <f ca="1">IFERROR(__xludf.DUMMYFUNCTION("""COMPUTED_VALUE"""),"Parking Lot")</f>
        <v>Parking Lot</v>
      </c>
      <c r="T1484" s="8" t="str">
        <f ca="1">IFERROR(__xludf.DUMMYFUNCTION("""COMPUTED_VALUE"""),"Outside on School Property")</f>
        <v>Outside on School Property</v>
      </c>
      <c r="U1484" s="8" t="str">
        <f ca="1">IFERROR(__xludf.DUMMYFUNCTION("""COMPUTED_VALUE"""),"No")</f>
        <v>No</v>
      </c>
      <c r="V1484" s="8" t="str">
        <f ca="1">IFERROR(__xludf.DUMMYFUNCTION("""COMPUTED_VALUE"""),"Not a School Day")</f>
        <v>Not a School Day</v>
      </c>
      <c r="W1484" s="11">
        <f ca="1">IFERROR(__xludf.DUMMYFUNCTION("""COMPUTED_VALUE"""),0.34375)</f>
        <v>0.34375</v>
      </c>
      <c r="X1484" s="8">
        <f ca="1">IFERROR(__xludf.DUMMYFUNCTION("""COMPUTED_VALUE"""),1)</f>
        <v>1</v>
      </c>
      <c r="Y1484" s="12" t="str">
        <f ca="1">IFERROR(__xludf.DUMMYFUNCTION("""COMPUTED_VALUE"""),"18 year-old found shot and killed in vehicle in school parking lot")</f>
        <v>18 year-old found shot and killed in vehicle in school parking lot</v>
      </c>
      <c r="Z1484" s="12" t="str">
        <f ca="1">IFERROR(__xludf.DUMMYFUNCTION("""COMPUTED_VALUE"""),"18 year-old male was found shot and killed in the school parking lot. Death is being investigated as a homicide. School was closed due to COVID-19. No suspect or motive released.")</f>
        <v>18 year-old male was found shot and killed in the school parking lot. Death is being investigated as a homicide. School was closed due to COVID-19. No suspect or motive released.</v>
      </c>
      <c r="AA1484" s="8"/>
      <c r="AB1484" s="8"/>
      <c r="AC1484" s="8" t="str">
        <f ca="1">IFERROR(__xludf.DUMMYFUNCTION("""COMPUTED_VALUE"""),"No")</f>
        <v>No</v>
      </c>
      <c r="AD1484" s="8" t="str">
        <f ca="1">IFERROR(__xludf.DUMMYFUNCTION("""COMPUTED_VALUE"""),"Victims Targeted")</f>
        <v>Victims Targeted</v>
      </c>
      <c r="AE1484" s="8"/>
      <c r="AF1484" s="8"/>
      <c r="AG1484" s="8" t="str">
        <f ca="1">IFERROR(__xludf.DUMMYFUNCTION("""COMPUTED_VALUE"""),"No")</f>
        <v>No</v>
      </c>
      <c r="AH1484" s="8" t="str">
        <f ca="1">IFERROR(__xludf.DUMMYFUNCTION("""COMPUTED_VALUE"""),"No")</f>
        <v>No</v>
      </c>
      <c r="AI1484" s="8" t="str">
        <f ca="1">IFERROR(__xludf.DUMMYFUNCTION("""COMPUTED_VALUE"""),"No")</f>
        <v>No</v>
      </c>
      <c r="AJ1484" s="8" t="str">
        <f ca="1">IFERROR(__xludf.DUMMYFUNCTION("""COMPUTED_VALUE"""),"No")</f>
        <v>No</v>
      </c>
      <c r="AK1484" s="8" t="str">
        <f ca="1">IFERROR(__xludf.DUMMYFUNCTION("""COMPUTED_VALUE"""),"No")</f>
        <v>No</v>
      </c>
      <c r="AL1484" s="8"/>
      <c r="AM1484" s="8" t="str">
        <f ca="1">IFERROR(__xludf.DUMMYFUNCTION("""COMPUTED_VALUE"""),"No")</f>
        <v>No</v>
      </c>
      <c r="AN1484" s="8"/>
      <c r="AO1484" s="8" t="str">
        <f ca="1">IFERROR(__xludf.DUMMYFUNCTION("""COMPUTED_VALUE"""),"No")</f>
        <v>No</v>
      </c>
      <c r="AP1484" s="8"/>
      <c r="AQ1484" s="8"/>
      <c r="AR1484" s="8" t="str">
        <f ca="1">IFERROR(__xludf.DUMMYFUNCTION("""COMPUTED_VALUE"""),"Outside/Off-Property")</f>
        <v>Outside/Off-Property</v>
      </c>
      <c r="AS1484" s="8"/>
      <c r="AT1484" s="8"/>
      <c r="AU1484" s="8">
        <f ca="1">IFERROR(__xludf.DUMMYFUNCTION("""COMPUTED_VALUE"""),31.566556)</f>
        <v>31.566555999999999</v>
      </c>
      <c r="AV1484" s="8">
        <f ca="1">IFERROR(__xludf.DUMMYFUNCTION("""COMPUTED_VALUE"""),-84.102978)</f>
        <v>-84.102977999999993</v>
      </c>
      <c r="AW1484" s="8"/>
      <c r="AX1484" s="8">
        <f ca="1">IFERROR(__xludf.DUMMYFUNCTION("""COMPUTED_VALUE"""),31705)</f>
        <v>31705</v>
      </c>
    </row>
    <row r="1485" spans="1:50" ht="120" x14ac:dyDescent="0.2">
      <c r="A1485" s="8" t="str">
        <f ca="1">IFERROR(__xludf.DUMMYFUNCTION("""COMPUTED_VALUE"""),"20200830TXLOD")</f>
        <v>20200830TXLOD</v>
      </c>
      <c r="B1485" s="8">
        <f ca="1">IFERROR(__xludf.DUMMYFUNCTION("""COMPUTED_VALUE"""),8)</f>
        <v>8</v>
      </c>
      <c r="C1485" s="8">
        <f ca="1">IFERROR(__xludf.DUMMYFUNCTION("""COMPUTED_VALUE"""),30)</f>
        <v>30</v>
      </c>
      <c r="D1485" s="8">
        <f ca="1">IFERROR(__xludf.DUMMYFUNCTION("""COMPUTED_VALUE"""),2020)</f>
        <v>2020</v>
      </c>
      <c r="E1485" s="9">
        <f ca="1">IFERROR(__xludf.DUMMYFUNCTION("""COMPUTED_VALUE"""),44073)</f>
        <v>44073</v>
      </c>
      <c r="F1485" s="8" t="str">
        <f ca="1">IFERROR(__xludf.DUMMYFUNCTION("""COMPUTED_VALUE"""),"L.O. Donald Leadership Academy")</f>
        <v>L.O. Donald Leadership Academy</v>
      </c>
      <c r="G1485" s="8">
        <f ca="1">IFERROR(__xludf.DUMMYFUNCTION("""COMPUTED_VALUE"""),1)</f>
        <v>1</v>
      </c>
      <c r="H1485" s="8">
        <f ca="1">IFERROR(__xludf.DUMMYFUNCTION("""COMPUTED_VALUE"""),0)</f>
        <v>0</v>
      </c>
      <c r="I1485" s="8">
        <f ca="1">IFERROR(__xludf.DUMMYFUNCTION("""COMPUTED_VALUE"""),1)</f>
        <v>1</v>
      </c>
      <c r="J1485" s="8">
        <f ca="1">IFERROR(__xludf.DUMMYFUNCTION("""COMPUTED_VALUE"""),0)</f>
        <v>0</v>
      </c>
      <c r="K1485" s="8" t="str">
        <f ca="1">IFERROR(__xludf.DUMMYFUNCTION("""COMPUTED_VALUE"""),"https://www.dallasnews.com/news/crime/2020/10/26/teen-indicted-on-murder-charge-in-drug-deal-gone-wrong-at-west-oak-cliff-elementary-school/ https://www.wfaa.com/article/news/crime/man-shot-and-killed-at-elementary-school-playground-dallas-police-say/287-"&amp;"b7acfd4a-a5d4-4cfa-a36d-ee718548263a https://www.dallasnews.com/news/crime/2020/08/31/1-fatally-shot-in-west-oak-cliff-dallas-police-say/ https://www.wfaa.com/article/news/crime/man-shot-and-killed-at-elementary-school-playground-dallas-police-say/287-b7a"&amp;"cfd4a-a5d4-4cfa-a36d-ee718548263a")</f>
        <v>https://www.dallasnews.com/news/crime/2020/10/26/teen-indicted-on-murder-charge-in-drug-deal-gone-wrong-at-west-oak-cliff-elementary-school/ https://www.wfaa.com/article/news/crime/man-shot-and-killed-at-elementary-school-playground-dallas-police-say/287-b7acfd4a-a5d4-4cfa-a36d-ee718548263a https://www.dallasnews.com/news/crime/2020/08/31/1-fatally-shot-in-west-oak-cliff-dallas-police-say/ https://www.wfaa.com/article/news/crime/man-shot-and-killed-at-elementary-school-playground-dallas-police-say/287-b7acfd4a-a5d4-4cfa-a36d-ee718548263a</v>
      </c>
      <c r="L1485" s="8">
        <f ca="1">IFERROR(__xludf.DUMMYFUNCTION("""COMPUTED_VALUE"""),4)</f>
        <v>4</v>
      </c>
      <c r="M1485" s="8" t="str">
        <f ca="1">IFERROR(__xludf.DUMMYFUNCTION("""COMPUTED_VALUE"""),"Local")</f>
        <v>Local</v>
      </c>
      <c r="N1485" s="8">
        <f ca="1">IFERROR(__xludf.DUMMYFUNCTION("""COMPUTED_VALUE"""),4)</f>
        <v>4</v>
      </c>
      <c r="O1485" s="8" t="str">
        <f ca="1">IFERROR(__xludf.DUMMYFUNCTION("""COMPUTED_VALUE"""),"Summer")</f>
        <v>Summer</v>
      </c>
      <c r="P1485" s="8" t="str">
        <f ca="1">IFERROR(__xludf.DUMMYFUNCTION("""COMPUTED_VALUE"""),"Dallas")</f>
        <v>Dallas</v>
      </c>
      <c r="Q1485" s="8" t="str">
        <f ca="1">IFERROR(__xludf.DUMMYFUNCTION("""COMPUTED_VALUE"""),"TX")</f>
        <v>TX</v>
      </c>
      <c r="R1485" s="8" t="str">
        <f ca="1">IFERROR(__xludf.DUMMYFUNCTION("""COMPUTED_VALUE"""),"Elementary")</f>
        <v>Elementary</v>
      </c>
      <c r="S1485" s="8" t="str">
        <f ca="1">IFERROR(__xludf.DUMMYFUNCTION("""COMPUTED_VALUE"""),"Playground")</f>
        <v>Playground</v>
      </c>
      <c r="T1485" s="8" t="str">
        <f ca="1">IFERROR(__xludf.DUMMYFUNCTION("""COMPUTED_VALUE"""),"Outside on School Property")</f>
        <v>Outside on School Property</v>
      </c>
      <c r="U1485" s="8" t="str">
        <f ca="1">IFERROR(__xludf.DUMMYFUNCTION("""COMPUTED_VALUE"""),"No")</f>
        <v>No</v>
      </c>
      <c r="V1485" s="8" t="str">
        <f ca="1">IFERROR(__xludf.DUMMYFUNCTION("""COMPUTED_VALUE"""),"Night")</f>
        <v>Night</v>
      </c>
      <c r="W1485" s="11">
        <f ca="1">IFERROR(__xludf.DUMMYFUNCTION("""COMPUTED_VALUE"""),0.916666666666666)</f>
        <v>0.91666666666666596</v>
      </c>
      <c r="X1485" s="8">
        <f ca="1">IFERROR(__xludf.DUMMYFUNCTION("""COMPUTED_VALUE"""),1)</f>
        <v>1</v>
      </c>
      <c r="Y1485" s="12" t="str">
        <f ca="1">IFERROR(__xludf.DUMMYFUNCTION("""COMPUTED_VALUE"""),"Adult man shot and killed on school playground")</f>
        <v>Adult man shot and killed on school playground</v>
      </c>
      <c r="Z1485" s="12" t="str">
        <f ca="1">IFERROR(__xludf.DUMMYFUNCTION("""COMPUTED_VALUE"""),"A 27 year-old male was shot and killed on the school playground. Shooter fled the scene. 17 year-old man was later arrested and charged with murder. Police said the shooting was a result of a drug deal that went wrong. The victim pulled a knife and attemp"&amp;"ted to rob the shooter. The shooter fired as the victim ran away. Police determine it was not a shooting in self defense due to the distance between the shooter and the victim.")</f>
        <v>A 27 year-old male was shot and killed on the school playground. Shooter fled the scene. 17 year-old man was later arrested and charged with murder. Police said the shooting was a result of a drug deal that went wrong. The victim pulled a knife and attempted to rob the shooter. The shooter fired as the victim ran away. Police determine it was not a shooting in self defense due to the distance between the shooter and the victim.</v>
      </c>
      <c r="AA1485" s="8" t="str">
        <f ca="1">IFERROR(__xludf.DUMMYFUNCTION("""COMPUTED_VALUE"""),"Illegal Activity")</f>
        <v>Illegal Activity</v>
      </c>
      <c r="AB1485" s="8"/>
      <c r="AC1485" s="8" t="str">
        <f ca="1">IFERROR(__xludf.DUMMYFUNCTION("""COMPUTED_VALUE"""),"No")</f>
        <v>No</v>
      </c>
      <c r="AD1485" s="8" t="str">
        <f ca="1">IFERROR(__xludf.DUMMYFUNCTION("""COMPUTED_VALUE"""),"Victims Targeted")</f>
        <v>Victims Targeted</v>
      </c>
      <c r="AE1485" s="8" t="str">
        <f ca="1">IFERROR(__xludf.DUMMYFUNCTION("""COMPUTED_VALUE"""),"No")</f>
        <v>No</v>
      </c>
      <c r="AF1485" s="8"/>
      <c r="AG1485" s="8" t="str">
        <f ca="1">IFERROR(__xludf.DUMMYFUNCTION("""COMPUTED_VALUE"""),"No")</f>
        <v>No</v>
      </c>
      <c r="AH1485" s="8" t="str">
        <f ca="1">IFERROR(__xludf.DUMMYFUNCTION("""COMPUTED_VALUE"""),"No")</f>
        <v>No</v>
      </c>
      <c r="AI1485" s="8" t="str">
        <f ca="1">IFERROR(__xludf.DUMMYFUNCTION("""COMPUTED_VALUE"""),"No")</f>
        <v>No</v>
      </c>
      <c r="AJ1485" s="8" t="str">
        <f ca="1">IFERROR(__xludf.DUMMYFUNCTION("""COMPUTED_VALUE"""),"No")</f>
        <v>No</v>
      </c>
      <c r="AK1485" s="8" t="str">
        <f ca="1">IFERROR(__xludf.DUMMYFUNCTION("""COMPUTED_VALUE"""),"No")</f>
        <v>No</v>
      </c>
      <c r="AL1485" s="8" t="str">
        <f ca="1">IFERROR(__xludf.DUMMYFUNCTION("""COMPUTED_VALUE"""),"No")</f>
        <v>No</v>
      </c>
      <c r="AM1485" s="8" t="str">
        <f ca="1">IFERROR(__xludf.DUMMYFUNCTION("""COMPUTED_VALUE"""),"No")</f>
        <v>No</v>
      </c>
      <c r="AN1485" s="8"/>
      <c r="AO1485" s="8" t="str">
        <f ca="1">IFERROR(__xludf.DUMMYFUNCTION("""COMPUTED_VALUE"""),"No")</f>
        <v>No</v>
      </c>
      <c r="AP1485" s="8"/>
      <c r="AQ1485" s="8"/>
      <c r="AR1485" s="8" t="str">
        <f ca="1">IFERROR(__xludf.DUMMYFUNCTION("""COMPUTED_VALUE"""),"Outside/Off-Property")</f>
        <v>Outside/Off-Property</v>
      </c>
      <c r="AS1485" s="8">
        <f ca="1">IFERROR(__xludf.DUMMYFUNCTION("""COMPUTED_VALUE"""),5)</f>
        <v>5</v>
      </c>
      <c r="AT1485" s="8"/>
      <c r="AU1485" s="8">
        <f ca="1">IFERROR(__xludf.DUMMYFUNCTION("""COMPUTED_VALUE"""),32.732558)</f>
        <v>32.732557999999997</v>
      </c>
      <c r="AV1485" s="8">
        <f ca="1">IFERROR(__xludf.DUMMYFUNCTION("""COMPUTED_VALUE"""),-96.887384)</f>
        <v>-96.887383999999997</v>
      </c>
      <c r="AW1485" s="8"/>
      <c r="AX1485" s="8">
        <f ca="1">IFERROR(__xludf.DUMMYFUNCTION("""COMPUTED_VALUE"""),75211)</f>
        <v>75211</v>
      </c>
    </row>
    <row r="1486" spans="1:50" ht="45" x14ac:dyDescent="0.2">
      <c r="A1486" s="8" t="str">
        <f ca="1">IFERROR(__xludf.DUMMYFUNCTION("""COMPUTED_VALUE"""),"20200825MOWEC")</f>
        <v>20200825MOWEC</v>
      </c>
      <c r="B1486" s="8">
        <f ca="1">IFERROR(__xludf.DUMMYFUNCTION("""COMPUTED_VALUE"""),8)</f>
        <v>8</v>
      </c>
      <c r="C1486" s="8">
        <f ca="1">IFERROR(__xludf.DUMMYFUNCTION("""COMPUTED_VALUE"""),25)</f>
        <v>25</v>
      </c>
      <c r="D1486" s="8">
        <f ca="1">IFERROR(__xludf.DUMMYFUNCTION("""COMPUTED_VALUE"""),2020)</f>
        <v>2020</v>
      </c>
      <c r="E1486" s="9">
        <f ca="1">IFERROR(__xludf.DUMMYFUNCTION("""COMPUTED_VALUE"""),44068)</f>
        <v>44068</v>
      </c>
      <c r="F1486" s="8" t="str">
        <f ca="1">IFERROR(__xludf.DUMMYFUNCTION("""COMPUTED_VALUE"""),"West Middle School")</f>
        <v>West Middle School</v>
      </c>
      <c r="G1486" s="8">
        <f ca="1">IFERROR(__xludf.DUMMYFUNCTION("""COMPUTED_VALUE"""),0)</f>
        <v>0</v>
      </c>
      <c r="H1486" s="8">
        <f ca="1">IFERROR(__xludf.DUMMYFUNCTION("""COMPUTED_VALUE"""),1)</f>
        <v>1</v>
      </c>
      <c r="I1486" s="8">
        <f ca="1">IFERROR(__xludf.DUMMYFUNCTION("""COMPUTED_VALUE"""),1)</f>
        <v>1</v>
      </c>
      <c r="J1486" s="8">
        <f ca="1">IFERROR(__xludf.DUMMYFUNCTION("""COMPUTED_VALUE"""),0)</f>
        <v>0</v>
      </c>
      <c r="K1486" s="10" t="str">
        <f ca="1">IFERROR(__xludf.DUMMYFUNCTION("""COMPUTED_VALUE"""),"https://abc17news.com/news/crime/shooting/2020/08/25/one-person-shot-near-west-middle-school-in-columbia/")</f>
        <v>https://abc17news.com/news/crime/shooting/2020/08/25/one-person-shot-near-west-middle-school-in-columbia/</v>
      </c>
      <c r="L1486" s="8">
        <f ca="1">IFERROR(__xludf.DUMMYFUNCTION("""COMPUTED_VALUE"""),1)</f>
        <v>1</v>
      </c>
      <c r="M1486" s="8" t="str">
        <f ca="1">IFERROR(__xludf.DUMMYFUNCTION("""COMPUTED_VALUE"""),"Local")</f>
        <v>Local</v>
      </c>
      <c r="N1486" s="8">
        <f ca="1">IFERROR(__xludf.DUMMYFUNCTION("""COMPUTED_VALUE"""),3)</f>
        <v>3</v>
      </c>
      <c r="O1486" s="8" t="str">
        <f ca="1">IFERROR(__xludf.DUMMYFUNCTION("""COMPUTED_VALUE"""),"Summer")</f>
        <v>Summer</v>
      </c>
      <c r="P1486" s="8" t="str">
        <f ca="1">IFERROR(__xludf.DUMMYFUNCTION("""COMPUTED_VALUE"""),"Columbia")</f>
        <v>Columbia</v>
      </c>
      <c r="Q1486" s="8" t="str">
        <f ca="1">IFERROR(__xludf.DUMMYFUNCTION("""COMPUTED_VALUE"""),"MO")</f>
        <v>MO</v>
      </c>
      <c r="R1486" s="8" t="str">
        <f ca="1">IFERROR(__xludf.DUMMYFUNCTION("""COMPUTED_VALUE"""),"Middle")</f>
        <v>Middle</v>
      </c>
      <c r="S1486" s="8" t="str">
        <f ca="1">IFERROR(__xludf.DUMMYFUNCTION("""COMPUTED_VALUE"""),"Football Field/Track")</f>
        <v>Football Field/Track</v>
      </c>
      <c r="T1486" s="8" t="str">
        <f ca="1">IFERROR(__xludf.DUMMYFUNCTION("""COMPUTED_VALUE"""),"Outside on School Property")</f>
        <v>Outside on School Property</v>
      </c>
      <c r="U1486" s="8" t="str">
        <f ca="1">IFERROR(__xludf.DUMMYFUNCTION("""COMPUTED_VALUE"""),"No")</f>
        <v>No</v>
      </c>
      <c r="V1486" s="8" t="str">
        <f ca="1">IFERROR(__xludf.DUMMYFUNCTION("""COMPUTED_VALUE"""),"Night")</f>
        <v>Night</v>
      </c>
      <c r="W1486" s="11">
        <f ca="1">IFERROR(__xludf.DUMMYFUNCTION("""COMPUTED_VALUE"""),0.145833333333333)</f>
        <v>0.14583333333333301</v>
      </c>
      <c r="X1486" s="8">
        <f ca="1">IFERROR(__xludf.DUMMYFUNCTION("""COMPUTED_VALUE"""),1)</f>
        <v>1</v>
      </c>
      <c r="Y1486" s="12" t="str">
        <f ca="1">IFERROR(__xludf.DUMMYFUNCTION("""COMPUTED_VALUE"""),"Adult male shot on the school track")</f>
        <v>Adult male shot on the school track</v>
      </c>
      <c r="Z1486" s="12" t="str">
        <f ca="1">IFERROR(__xludf.DUMMYFUNCTION("""COMPUTED_VALUE"""),"An unidentified adult male was shot on the school track by an unknown shooter. Sustained non-life threatening injuries. Shooter fled the scene. No other information available.")</f>
        <v>An unidentified adult male was shot on the school track by an unknown shooter. Sustained non-life threatening injuries. Shooter fled the scene. No other information available.</v>
      </c>
      <c r="AA1486" s="8"/>
      <c r="AB1486" s="8"/>
      <c r="AC1486" s="8" t="str">
        <f ca="1">IFERROR(__xludf.DUMMYFUNCTION("""COMPUTED_VALUE"""),"No")</f>
        <v>No</v>
      </c>
      <c r="AD1486" s="8"/>
      <c r="AE1486" s="8"/>
      <c r="AF1486" s="8"/>
      <c r="AG1486" s="8" t="str">
        <f ca="1">IFERROR(__xludf.DUMMYFUNCTION("""COMPUTED_VALUE"""),"No")</f>
        <v>No</v>
      </c>
      <c r="AH1486" s="8" t="str">
        <f ca="1">IFERROR(__xludf.DUMMYFUNCTION("""COMPUTED_VALUE"""),"No")</f>
        <v>No</v>
      </c>
      <c r="AI1486" s="8" t="str">
        <f ca="1">IFERROR(__xludf.DUMMYFUNCTION("""COMPUTED_VALUE"""),"No")</f>
        <v>No</v>
      </c>
      <c r="AJ1486" s="8" t="str">
        <f ca="1">IFERROR(__xludf.DUMMYFUNCTION("""COMPUTED_VALUE"""),"No")</f>
        <v>No</v>
      </c>
      <c r="AK1486" s="8" t="str">
        <f ca="1">IFERROR(__xludf.DUMMYFUNCTION("""COMPUTED_VALUE"""),"No")</f>
        <v>No</v>
      </c>
      <c r="AL1486" s="8"/>
      <c r="AM1486" s="8" t="str">
        <f ca="1">IFERROR(__xludf.DUMMYFUNCTION("""COMPUTED_VALUE"""),"No")</f>
        <v>No</v>
      </c>
      <c r="AN1486" s="8"/>
      <c r="AO1486" s="8" t="str">
        <f ca="1">IFERROR(__xludf.DUMMYFUNCTION("""COMPUTED_VALUE"""),"No")</f>
        <v>No</v>
      </c>
      <c r="AP1486" s="8"/>
      <c r="AQ1486" s="8"/>
      <c r="AR1486" s="8" t="str">
        <f ca="1">IFERROR(__xludf.DUMMYFUNCTION("""COMPUTED_VALUE"""),"Outside/Off-Property")</f>
        <v>Outside/Off-Property</v>
      </c>
      <c r="AS1486" s="8"/>
      <c r="AT1486" s="8"/>
      <c r="AU1486" s="8">
        <f ca="1">IFERROR(__xludf.DUMMYFUNCTION("""COMPUTED_VALUE"""),38.959494)</f>
        <v>38.959493999999999</v>
      </c>
      <c r="AV1486" s="8">
        <f ca="1">IFERROR(__xludf.DUMMYFUNCTION("""COMPUTED_VALUE"""),-92.363596)</f>
        <v>-92.363596000000001</v>
      </c>
      <c r="AW1486" s="8"/>
      <c r="AX1486" s="8">
        <f ca="1">IFERROR(__xludf.DUMMYFUNCTION("""COMPUTED_VALUE"""),65203)</f>
        <v>65203</v>
      </c>
    </row>
    <row r="1487" spans="1:50" ht="60" x14ac:dyDescent="0.2">
      <c r="A1487" s="8" t="str">
        <f ca="1">IFERROR(__xludf.DUMMYFUNCTION("""COMPUTED_VALUE"""),"20200817MIABG")</f>
        <v>20200817MIABG</v>
      </c>
      <c r="B1487" s="8">
        <f ca="1">IFERROR(__xludf.DUMMYFUNCTION("""COMPUTED_VALUE"""),8)</f>
        <v>8</v>
      </c>
      <c r="C1487" s="8">
        <f ca="1">IFERROR(__xludf.DUMMYFUNCTION("""COMPUTED_VALUE"""),17)</f>
        <v>17</v>
      </c>
      <c r="D1487" s="8">
        <f ca="1">IFERROR(__xludf.DUMMYFUNCTION("""COMPUTED_VALUE"""),2020)</f>
        <v>2020</v>
      </c>
      <c r="E1487" s="9">
        <f ca="1">IFERROR(__xludf.DUMMYFUNCTION("""COMPUTED_VALUE"""),44060)</f>
        <v>44060</v>
      </c>
      <c r="F1487" s="8" t="str">
        <f ca="1">IFERROR(__xludf.DUMMYFUNCTION("""COMPUTED_VALUE"""),"Aberdeen K-8 School")</f>
        <v>Aberdeen K-8 School</v>
      </c>
      <c r="G1487" s="8">
        <f ca="1">IFERROR(__xludf.DUMMYFUNCTION("""COMPUTED_VALUE"""),0)</f>
        <v>0</v>
      </c>
      <c r="H1487" s="8">
        <f ca="1">IFERROR(__xludf.DUMMYFUNCTION("""COMPUTED_VALUE"""),1)</f>
        <v>1</v>
      </c>
      <c r="I1487" s="8">
        <f ca="1">IFERROR(__xludf.DUMMYFUNCTION("""COMPUTED_VALUE"""),1)</f>
        <v>1</v>
      </c>
      <c r="J1487" s="8">
        <f ca="1">IFERROR(__xludf.DUMMYFUNCTION("""COMPUTED_VALUE"""),0)</f>
        <v>0</v>
      </c>
      <c r="K1487" s="8" t="str">
        <f ca="1">IFERROR(__xludf.DUMMYFUNCTION("""COMPUTED_VALUE"""),"https://www.fox17online.com/news/local-news/grand-rapids/man-shot-in-hand-near-school-on-aberdeen-street https://www.woodtv.com/news/grand-rapids/grpd-1-person-shot-near-aberdeen-school/")</f>
        <v>https://www.fox17online.com/news/local-news/grand-rapids/man-shot-in-hand-near-school-on-aberdeen-street https://www.woodtv.com/news/grand-rapids/grpd-1-person-shot-near-aberdeen-school/</v>
      </c>
      <c r="L1487" s="8">
        <f ca="1">IFERROR(__xludf.DUMMYFUNCTION("""COMPUTED_VALUE"""),2)</f>
        <v>2</v>
      </c>
      <c r="M1487" s="8" t="str">
        <f ca="1">IFERROR(__xludf.DUMMYFUNCTION("""COMPUTED_VALUE"""),"Local")</f>
        <v>Local</v>
      </c>
      <c r="N1487" s="8">
        <f ca="1">IFERROR(__xludf.DUMMYFUNCTION("""COMPUTED_VALUE"""),3)</f>
        <v>3</v>
      </c>
      <c r="O1487" s="8" t="str">
        <f ca="1">IFERROR(__xludf.DUMMYFUNCTION("""COMPUTED_VALUE"""),"Summer")</f>
        <v>Summer</v>
      </c>
      <c r="P1487" s="8" t="str">
        <f ca="1">IFERROR(__xludf.DUMMYFUNCTION("""COMPUTED_VALUE"""),"Grand Rapids")</f>
        <v>Grand Rapids</v>
      </c>
      <c r="Q1487" s="8" t="str">
        <f ca="1">IFERROR(__xludf.DUMMYFUNCTION("""COMPUTED_VALUE"""),"MI")</f>
        <v>MI</v>
      </c>
      <c r="R1487" s="8" t="str">
        <f ca="1">IFERROR(__xludf.DUMMYFUNCTION("""COMPUTED_VALUE"""),"K-8")</f>
        <v>K-8</v>
      </c>
      <c r="S1487" s="8" t="str">
        <f ca="1">IFERROR(__xludf.DUMMYFUNCTION("""COMPUTED_VALUE"""),"Beside Building")</f>
        <v>Beside Building</v>
      </c>
      <c r="T1487" s="8" t="str">
        <f ca="1">IFERROR(__xludf.DUMMYFUNCTION("""COMPUTED_VALUE"""),"Outside on School Property")</f>
        <v>Outside on School Property</v>
      </c>
      <c r="U1487" s="8" t="str">
        <f ca="1">IFERROR(__xludf.DUMMYFUNCTION("""COMPUTED_VALUE"""),"No")</f>
        <v>No</v>
      </c>
      <c r="V1487" s="8" t="str">
        <f ca="1">IFERROR(__xludf.DUMMYFUNCTION("""COMPUTED_VALUE"""),"Not a School Day")</f>
        <v>Not a School Day</v>
      </c>
      <c r="W1487" s="11">
        <f ca="1">IFERROR(__xludf.DUMMYFUNCTION("""COMPUTED_VALUE"""),0.6875)</f>
        <v>0.6875</v>
      </c>
      <c r="X1487" s="8">
        <f ca="1">IFERROR(__xludf.DUMMYFUNCTION("""COMPUTED_VALUE"""),1)</f>
        <v>1</v>
      </c>
      <c r="Y1487" s="12" t="str">
        <f ca="1">IFERROR(__xludf.DUMMYFUNCTION("""COMPUTED_VALUE"""),"Adult male shot in hand next to school")</f>
        <v>Adult male shot in hand next to school</v>
      </c>
      <c r="Z1487" s="12" t="str">
        <f ca="1">IFERROR(__xludf.DUMMYFUNCTION("""COMPUTED_VALUE"""),"Adult male was shot in the hand next to the school. Police responded to 9-1-1 call for shots fired. Victim and shooter fled the scene. Victim was later found and did not cooperate with police. Identify of shooter and circumstances unknown.")</f>
        <v>Adult male was shot in the hand next to the school. Police responded to 9-1-1 call for shots fired. Victim and shooter fled the scene. Victim was later found and did not cooperate with police. Identify of shooter and circumstances unknown.</v>
      </c>
      <c r="AA1487" s="8"/>
      <c r="AB1487" s="8"/>
      <c r="AC1487" s="8" t="str">
        <f ca="1">IFERROR(__xludf.DUMMYFUNCTION("""COMPUTED_VALUE"""),"No")</f>
        <v>No</v>
      </c>
      <c r="AD1487" s="8"/>
      <c r="AE1487" s="8" t="str">
        <f ca="1">IFERROR(__xludf.DUMMYFUNCTION("""COMPUTED_VALUE"""),"No")</f>
        <v>No</v>
      </c>
      <c r="AF1487" s="8"/>
      <c r="AG1487" s="8" t="str">
        <f ca="1">IFERROR(__xludf.DUMMYFUNCTION("""COMPUTED_VALUE"""),"No")</f>
        <v>No</v>
      </c>
      <c r="AH1487" s="8" t="str">
        <f ca="1">IFERROR(__xludf.DUMMYFUNCTION("""COMPUTED_VALUE"""),"No")</f>
        <v>No</v>
      </c>
      <c r="AI1487" s="8" t="str">
        <f ca="1">IFERROR(__xludf.DUMMYFUNCTION("""COMPUTED_VALUE"""),"No")</f>
        <v>No</v>
      </c>
      <c r="AJ1487" s="8" t="str">
        <f ca="1">IFERROR(__xludf.DUMMYFUNCTION("""COMPUTED_VALUE"""),"No")</f>
        <v>No</v>
      </c>
      <c r="AK1487" s="8" t="str">
        <f ca="1">IFERROR(__xludf.DUMMYFUNCTION("""COMPUTED_VALUE"""),"No")</f>
        <v>No</v>
      </c>
      <c r="AL1487" s="8"/>
      <c r="AM1487" s="8" t="str">
        <f ca="1">IFERROR(__xludf.DUMMYFUNCTION("""COMPUTED_VALUE"""),"No")</f>
        <v>No</v>
      </c>
      <c r="AN1487" s="8"/>
      <c r="AO1487" s="8" t="str">
        <f ca="1">IFERROR(__xludf.DUMMYFUNCTION("""COMPUTED_VALUE"""),"No")</f>
        <v>No</v>
      </c>
      <c r="AP1487" s="8"/>
      <c r="AQ1487" s="8"/>
      <c r="AR1487" s="8" t="str">
        <f ca="1">IFERROR(__xludf.DUMMYFUNCTION("""COMPUTED_VALUE"""),"Outside/Off-Property")</f>
        <v>Outside/Off-Property</v>
      </c>
      <c r="AS1487" s="8"/>
      <c r="AT1487" s="8"/>
      <c r="AU1487" s="8">
        <f ca="1">IFERROR(__xludf.DUMMYFUNCTION("""COMPUTED_VALUE"""),43.005539)</f>
        <v>43.005538999999999</v>
      </c>
      <c r="AV1487" s="8">
        <f ca="1">IFERROR(__xludf.DUMMYFUNCTION("""COMPUTED_VALUE"""),-85.645408)</f>
        <v>-85.645408000000003</v>
      </c>
      <c r="AW1487" s="8"/>
      <c r="AX1487" s="8">
        <f ca="1">IFERROR(__xludf.DUMMYFUNCTION("""COMPUTED_VALUE"""),49505)</f>
        <v>49505</v>
      </c>
    </row>
    <row r="1488" spans="1:50" ht="60" x14ac:dyDescent="0.2">
      <c r="A1488" s="8" t="str">
        <f ca="1">IFERROR(__xludf.DUMMYFUNCTION("""COMPUTED_VALUE"""),"20200804PAKEP")</f>
        <v>20200804PAKEP</v>
      </c>
      <c r="B1488" s="8">
        <f ca="1">IFERROR(__xludf.DUMMYFUNCTION("""COMPUTED_VALUE"""),8)</f>
        <v>8</v>
      </c>
      <c r="C1488" s="8">
        <f ca="1">IFERROR(__xludf.DUMMYFUNCTION("""COMPUTED_VALUE"""),4)</f>
        <v>4</v>
      </c>
      <c r="D1488" s="8">
        <f ca="1">IFERROR(__xludf.DUMMYFUNCTION("""COMPUTED_VALUE"""),2020)</f>
        <v>2020</v>
      </c>
      <c r="E1488" s="9">
        <f ca="1">IFERROR(__xludf.DUMMYFUNCTION("""COMPUTED_VALUE"""),44047)</f>
        <v>44047</v>
      </c>
      <c r="F1488" s="8" t="str">
        <f ca="1">IFERROR(__xludf.DUMMYFUNCTION("""COMPUTED_VALUE"""),"Kelly Elementary School")</f>
        <v>Kelly Elementary School</v>
      </c>
      <c r="G1488" s="8">
        <f ca="1">IFERROR(__xludf.DUMMYFUNCTION("""COMPUTED_VALUE"""),1)</f>
        <v>1</v>
      </c>
      <c r="H1488" s="8">
        <f ca="1">IFERROR(__xludf.DUMMYFUNCTION("""COMPUTED_VALUE"""),0)</f>
        <v>0</v>
      </c>
      <c r="I1488" s="8">
        <f ca="1">IFERROR(__xludf.DUMMYFUNCTION("""COMPUTED_VALUE"""),1)</f>
        <v>1</v>
      </c>
      <c r="J1488" s="8">
        <f ca="1">IFERROR(__xludf.DUMMYFUNCTION("""COMPUTED_VALUE"""),0)</f>
        <v>0</v>
      </c>
      <c r="K1488" s="8" t="str">
        <f ca="1">IFERROR(__xludf.DUMMYFUNCTION("""COMPUTED_VALUE"""),"https://triblive.com/local/pittsburgh-allegheny/man-detained-after-shooting-near-wilkinsburg-school-victim-in-critical-condition/ https://www.wtae.com/article/person-shot-multiple-times-outside-of-kelly-primary-school-in-wilkinsburg/33512549# https://kdka"&amp;"radio.radio.com/articles/police-investigate-shooting-outside-wilkinsburg-school")</f>
        <v>https://triblive.com/local/pittsburgh-allegheny/man-detained-after-shooting-near-wilkinsburg-school-victim-in-critical-condition/ https://www.wtae.com/article/person-shot-multiple-times-outside-of-kelly-primary-school-in-wilkinsburg/33512549# https://kdkaradio.radio.com/articles/police-investigate-shooting-outside-wilkinsburg-school</v>
      </c>
      <c r="L1488" s="8">
        <f ca="1">IFERROR(__xludf.DUMMYFUNCTION("""COMPUTED_VALUE"""),3)</f>
        <v>3</v>
      </c>
      <c r="M1488" s="8" t="str">
        <f ca="1">IFERROR(__xludf.DUMMYFUNCTION("""COMPUTED_VALUE"""),"Local")</f>
        <v>Local</v>
      </c>
      <c r="N1488" s="8">
        <f ca="1">IFERROR(__xludf.DUMMYFUNCTION("""COMPUTED_VALUE"""),3)</f>
        <v>3</v>
      </c>
      <c r="O1488" s="8" t="str">
        <f ca="1">IFERROR(__xludf.DUMMYFUNCTION("""COMPUTED_VALUE"""),"Summer")</f>
        <v>Summer</v>
      </c>
      <c r="P1488" s="8" t="str">
        <f ca="1">IFERROR(__xludf.DUMMYFUNCTION("""COMPUTED_VALUE"""),"Pittsburg")</f>
        <v>Pittsburg</v>
      </c>
      <c r="Q1488" s="8" t="str">
        <f ca="1">IFERROR(__xludf.DUMMYFUNCTION("""COMPUTED_VALUE"""),"PA")</f>
        <v>PA</v>
      </c>
      <c r="R1488" s="8" t="str">
        <f ca="1">IFERROR(__xludf.DUMMYFUNCTION("""COMPUTED_VALUE"""),"Elementary")</f>
        <v>Elementary</v>
      </c>
      <c r="S1488" s="8" t="str">
        <f ca="1">IFERROR(__xludf.DUMMYFUNCTION("""COMPUTED_VALUE"""),"Beside Building")</f>
        <v>Beside Building</v>
      </c>
      <c r="T1488" s="8" t="str">
        <f ca="1">IFERROR(__xludf.DUMMYFUNCTION("""COMPUTED_VALUE"""),"Outside on School Property")</f>
        <v>Outside on School Property</v>
      </c>
      <c r="U1488" s="8" t="str">
        <f ca="1">IFERROR(__xludf.DUMMYFUNCTION("""COMPUTED_VALUE"""),"No")</f>
        <v>No</v>
      </c>
      <c r="V1488" s="8" t="str">
        <f ca="1">IFERROR(__xludf.DUMMYFUNCTION("""COMPUTED_VALUE"""),"Not A School Day")</f>
        <v>Not A School Day</v>
      </c>
      <c r="W1488" s="11">
        <f ca="1">IFERROR(__xludf.DUMMYFUNCTION("""COMPUTED_VALUE"""),0.510416666666666)</f>
        <v>0.51041666666666596</v>
      </c>
      <c r="X1488" s="8">
        <f ca="1">IFERROR(__xludf.DUMMYFUNCTION("""COMPUTED_VALUE"""),1)</f>
        <v>1</v>
      </c>
      <c r="Y1488" s="12" t="str">
        <f ca="1">IFERROR(__xludf.DUMMYFUNCTION("""COMPUTED_VALUE"""),"Adult male found shot next to school building")</f>
        <v>Adult male found shot next to school building</v>
      </c>
      <c r="Z1488" s="12" t="str">
        <f ca="1">IFERROR(__xludf.DUMMYFUNCTION("""COMPUTED_VALUE"""),"Adult male was found shot multiple times next to school building. Class was not in session, janitors were present cleaning the schools. Doors were locked and school was locked down. 29 year-old male arrested.")</f>
        <v>Adult male was found shot multiple times next to school building. Class was not in session, janitors were present cleaning the schools. Doors were locked and school was locked down. 29 year-old male arrested.</v>
      </c>
      <c r="AA1488" s="8" t="str">
        <f ca="1">IFERROR(__xludf.DUMMYFUNCTION("""COMPUTED_VALUE"""),"Unknown")</f>
        <v>Unknown</v>
      </c>
      <c r="AB1488" s="8"/>
      <c r="AC1488" s="8" t="str">
        <f ca="1">IFERROR(__xludf.DUMMYFUNCTION("""COMPUTED_VALUE"""),"No")</f>
        <v>No</v>
      </c>
      <c r="AD1488" s="8" t="str">
        <f ca="1">IFERROR(__xludf.DUMMYFUNCTION("""COMPUTED_VALUE"""),"Victims Targeted")</f>
        <v>Victims Targeted</v>
      </c>
      <c r="AE1488" s="8"/>
      <c r="AF1488" s="8"/>
      <c r="AG1488" s="8" t="str">
        <f ca="1">IFERROR(__xludf.DUMMYFUNCTION("""COMPUTED_VALUE"""),"No")</f>
        <v>No</v>
      </c>
      <c r="AH1488" s="8" t="str">
        <f ca="1">IFERROR(__xludf.DUMMYFUNCTION("""COMPUTED_VALUE"""),"No")</f>
        <v>No</v>
      </c>
      <c r="AI1488" s="8" t="str">
        <f ca="1">IFERROR(__xludf.DUMMYFUNCTION("""COMPUTED_VALUE"""),"No")</f>
        <v>No</v>
      </c>
      <c r="AJ1488" s="8" t="str">
        <f ca="1">IFERROR(__xludf.DUMMYFUNCTION("""COMPUTED_VALUE"""),"No")</f>
        <v>No</v>
      </c>
      <c r="AK1488" s="8" t="str">
        <f ca="1">IFERROR(__xludf.DUMMYFUNCTION("""COMPUTED_VALUE"""),"No")</f>
        <v>No</v>
      </c>
      <c r="AL1488" s="8" t="str">
        <f ca="1">IFERROR(__xludf.DUMMYFUNCTION("""COMPUTED_VALUE"""),"No")</f>
        <v>No</v>
      </c>
      <c r="AM1488" s="8"/>
      <c r="AN1488" s="8"/>
      <c r="AO1488" s="8" t="str">
        <f ca="1">IFERROR(__xludf.DUMMYFUNCTION("""COMPUTED_VALUE"""),"No")</f>
        <v>No</v>
      </c>
      <c r="AP1488" s="8"/>
      <c r="AQ1488" s="8"/>
      <c r="AR1488" s="8" t="str">
        <f ca="1">IFERROR(__xludf.DUMMYFUNCTION("""COMPUTED_VALUE"""),"Outside/Off-Property")</f>
        <v>Outside/Off-Property</v>
      </c>
      <c r="AS1488" s="8"/>
      <c r="AT1488" s="8"/>
      <c r="AU1488" s="8">
        <f ca="1">IFERROR(__xludf.DUMMYFUNCTION("""COMPUTED_VALUE"""),40.440122)</f>
        <v>40.440122000000002</v>
      </c>
      <c r="AV1488" s="8">
        <f ca="1">IFERROR(__xludf.DUMMYFUNCTION("""COMPUTED_VALUE"""),-79.890036)</f>
        <v>-79.890035999999995</v>
      </c>
      <c r="AW1488" s="8"/>
      <c r="AX1488" s="8">
        <f ca="1">IFERROR(__xludf.DUMMYFUNCTION("""COMPUTED_VALUE"""),15221)</f>
        <v>15221</v>
      </c>
    </row>
    <row r="1489" spans="1:50" ht="90" x14ac:dyDescent="0.2">
      <c r="A1489" s="8" t="str">
        <f ca="1">IFERROR(__xludf.DUMMYFUNCTION("""COMPUTED_VALUE"""),"20200729ILCOC")</f>
        <v>20200729ILCOC</v>
      </c>
      <c r="B1489" s="8">
        <f ca="1">IFERROR(__xludf.DUMMYFUNCTION("""COMPUTED_VALUE"""),7)</f>
        <v>7</v>
      </c>
      <c r="C1489" s="8">
        <f ca="1">IFERROR(__xludf.DUMMYFUNCTION("""COMPUTED_VALUE"""),29)</f>
        <v>29</v>
      </c>
      <c r="D1489" s="8">
        <f ca="1">IFERROR(__xludf.DUMMYFUNCTION("""COMPUTED_VALUE"""),2020)</f>
        <v>2020</v>
      </c>
      <c r="E1489" s="9">
        <f ca="1">IFERROR(__xludf.DUMMYFUNCTION("""COMPUTED_VALUE"""),44041)</f>
        <v>44041</v>
      </c>
      <c r="F1489" s="8" t="str">
        <f ca="1">IFERROR(__xludf.DUMMYFUNCTION("""COMPUTED_VALUE"""),"Collinsville High School")</f>
        <v>Collinsville High School</v>
      </c>
      <c r="G1489" s="8">
        <f ca="1">IFERROR(__xludf.DUMMYFUNCTION("""COMPUTED_VALUE"""),0)</f>
        <v>0</v>
      </c>
      <c r="H1489" s="8">
        <f ca="1">IFERROR(__xludf.DUMMYFUNCTION("""COMPUTED_VALUE"""),0)</f>
        <v>0</v>
      </c>
      <c r="I1489" s="8">
        <f ca="1">IFERROR(__xludf.DUMMYFUNCTION("""COMPUTED_VALUE"""),0)</f>
        <v>0</v>
      </c>
      <c r="J1489" s="8">
        <f ca="1">IFERROR(__xludf.DUMMYFUNCTION("""COMPUTED_VALUE"""),0)</f>
        <v>0</v>
      </c>
      <c r="K1489" s="8" t="str">
        <f ca="1">IFERROR(__xludf.DUMMYFUNCTION("""COMPUTED_VALUE"""),"https://www.bnd.com/news/local/crime/article244612797.html https://www.kmov.com/news/investigation-underway-after-17-year-old-with-gun-shot-by-police-at-collinsville-high-school/article_52142d78-d24e-11ea-88d6-83568384002c.html https://www.riverbender.com"&amp;"/articles/details/illinois-state-police-investigate-officer-involved-shooting-in-collinsville-43444.cfm")</f>
        <v>https://www.bnd.com/news/local/crime/article244612797.html https://www.kmov.com/news/investigation-underway-after-17-year-old-with-gun-shot-by-police-at-collinsville-high-school/article_52142d78-d24e-11ea-88d6-83568384002c.html https://www.riverbender.com/articles/details/illinois-state-police-investigate-officer-involved-shooting-in-collinsville-43444.cfm</v>
      </c>
      <c r="L1489" s="8">
        <f ca="1">IFERROR(__xludf.DUMMYFUNCTION("""COMPUTED_VALUE"""),3)</f>
        <v>3</v>
      </c>
      <c r="M1489" s="8" t="str">
        <f ca="1">IFERROR(__xludf.DUMMYFUNCTION("""COMPUTED_VALUE"""),"Local")</f>
        <v>Local</v>
      </c>
      <c r="N1489" s="8">
        <f ca="1">IFERROR(__xludf.DUMMYFUNCTION("""COMPUTED_VALUE"""),4)</f>
        <v>4</v>
      </c>
      <c r="O1489" s="8"/>
      <c r="P1489" s="8" t="str">
        <f ca="1">IFERROR(__xludf.DUMMYFUNCTION("""COMPUTED_VALUE"""),"Collinsville")</f>
        <v>Collinsville</v>
      </c>
      <c r="Q1489" s="8" t="str">
        <f ca="1">IFERROR(__xludf.DUMMYFUNCTION("""COMPUTED_VALUE"""),"IL")</f>
        <v>IL</v>
      </c>
      <c r="R1489" s="8" t="str">
        <f ca="1">IFERROR(__xludf.DUMMYFUNCTION("""COMPUTED_VALUE"""),"High")</f>
        <v>High</v>
      </c>
      <c r="S1489" s="8" t="str">
        <f ca="1">IFERROR(__xludf.DUMMYFUNCTION("""COMPUTED_VALUE"""),"Beside Building")</f>
        <v>Beside Building</v>
      </c>
      <c r="T1489" s="8" t="str">
        <f ca="1">IFERROR(__xludf.DUMMYFUNCTION("""COMPUTED_VALUE"""),"Outside on School Property")</f>
        <v>Outside on School Property</v>
      </c>
      <c r="U1489" s="8" t="str">
        <f ca="1">IFERROR(__xludf.DUMMYFUNCTION("""COMPUTED_VALUE"""),"No")</f>
        <v>No</v>
      </c>
      <c r="V1489" s="8" t="str">
        <f ca="1">IFERROR(__xludf.DUMMYFUNCTION("""COMPUTED_VALUE"""),"Night")</f>
        <v>Night</v>
      </c>
      <c r="W1489" s="11">
        <f ca="1">IFERROR(__xludf.DUMMYFUNCTION("""COMPUTED_VALUE"""),0.884722222222222)</f>
        <v>0.88472222222222197</v>
      </c>
      <c r="X1489" s="8">
        <f ca="1">IFERROR(__xludf.DUMMYFUNCTION("""COMPUTED_VALUE"""),1)</f>
        <v>1</v>
      </c>
      <c r="Y1489" s="12" t="str">
        <f ca="1">IFERROR(__xludf.DUMMYFUNCTION("""COMPUTED_VALUE"""),"Teen shot by police officer after pointing gun at the officers")</f>
        <v>Teen shot by police officer after pointing gun at the officers</v>
      </c>
      <c r="Z1489" s="12" t="str">
        <f ca="1">IFERROR(__xludf.DUMMYFUNCTION("""COMPUTED_VALUE"""),"Police responded to the school for a 911 hang-up call for a person in distress. Officers found a 17 year-old male with a gun near the school. When officers approached, the teen pointed the gun at the officers who then fired and injured him. Teen was trans"&amp;"ported to the hospital with minor injuries.")</f>
        <v>Police responded to the school for a 911 hang-up call for a person in distress. Officers found a 17 year-old male with a gun near the school. When officers approached, the teen pointed the gun at the officers who then fired and injured him. Teen was transported to the hospital with minor injuries.</v>
      </c>
      <c r="AA1489" s="8" t="str">
        <f ca="1">IFERROR(__xludf.DUMMYFUNCTION("""COMPUTED_VALUE"""),"Unknown")</f>
        <v>Unknown</v>
      </c>
      <c r="AB1489" s="8"/>
      <c r="AC1489" s="8" t="str">
        <f ca="1">IFERROR(__xludf.DUMMYFUNCTION("""COMPUTED_VALUE"""),"No")</f>
        <v>No</v>
      </c>
      <c r="AD1489" s="8" t="str">
        <f ca="1">IFERROR(__xludf.DUMMYFUNCTION("""COMPUTED_VALUE"""),"Neither")</f>
        <v>Neither</v>
      </c>
      <c r="AE1489" s="8" t="str">
        <f ca="1">IFERROR(__xludf.DUMMYFUNCTION("""COMPUTED_VALUE"""),"No")</f>
        <v>No</v>
      </c>
      <c r="AF1489" s="8"/>
      <c r="AG1489" s="8" t="str">
        <f ca="1">IFERROR(__xludf.DUMMYFUNCTION("""COMPUTED_VALUE"""),"No")</f>
        <v>No</v>
      </c>
      <c r="AH1489" s="8" t="str">
        <f ca="1">IFERROR(__xludf.DUMMYFUNCTION("""COMPUTED_VALUE"""),"No")</f>
        <v>No</v>
      </c>
      <c r="AI1489" s="8" t="str">
        <f ca="1">IFERROR(__xludf.DUMMYFUNCTION("""COMPUTED_VALUE"""),"Yes")</f>
        <v>Yes</v>
      </c>
      <c r="AJ1489" s="8"/>
      <c r="AK1489" s="8" t="str">
        <f ca="1">IFERROR(__xludf.DUMMYFUNCTION("""COMPUTED_VALUE"""),"No")</f>
        <v>No</v>
      </c>
      <c r="AL1489" s="8"/>
      <c r="AM1489" s="8" t="str">
        <f ca="1">IFERROR(__xludf.DUMMYFUNCTION("""COMPUTED_VALUE"""),"No")</f>
        <v>No</v>
      </c>
      <c r="AN1489" s="8"/>
      <c r="AO1489" s="8" t="str">
        <f ca="1">IFERROR(__xludf.DUMMYFUNCTION("""COMPUTED_VALUE"""),"No")</f>
        <v>No</v>
      </c>
      <c r="AP1489" s="8"/>
      <c r="AQ1489" s="8"/>
      <c r="AR1489" s="8" t="str">
        <f ca="1">IFERROR(__xludf.DUMMYFUNCTION("""COMPUTED_VALUE"""),"Outside/Off-Property")</f>
        <v>Outside/Off-Property</v>
      </c>
      <c r="AS1489" s="8">
        <f ca="1">IFERROR(__xludf.DUMMYFUNCTION("""COMPUTED_VALUE"""),0)</f>
        <v>0</v>
      </c>
      <c r="AT1489" s="8"/>
      <c r="AU1489" s="8">
        <f ca="1">IFERROR(__xludf.DUMMYFUNCTION("""COMPUTED_VALUE"""),38.646905)</f>
        <v>38.646904999999997</v>
      </c>
      <c r="AV1489" s="8">
        <f ca="1">IFERROR(__xludf.DUMMYFUNCTION("""COMPUTED_VALUE"""),-90.011418)</f>
        <v>-90.011418000000006</v>
      </c>
      <c r="AW1489" s="8"/>
      <c r="AX1489" s="8">
        <f ca="1">IFERROR(__xludf.DUMMYFUNCTION("""COMPUTED_VALUE"""),62234)</f>
        <v>62234</v>
      </c>
    </row>
    <row r="1490" spans="1:50" ht="60" x14ac:dyDescent="0.2">
      <c r="A1490" s="8" t="str">
        <f ca="1">IFERROR(__xludf.DUMMYFUNCTION("""COMPUTED_VALUE"""),"20200727AZCAO")</f>
        <v>20200727AZCAO</v>
      </c>
      <c r="B1490" s="8">
        <f ca="1">IFERROR(__xludf.DUMMYFUNCTION("""COMPUTED_VALUE"""),7)</f>
        <v>7</v>
      </c>
      <c r="C1490" s="8">
        <f ca="1">IFERROR(__xludf.DUMMYFUNCTION("""COMPUTED_VALUE"""),27)</f>
        <v>27</v>
      </c>
      <c r="D1490" s="8">
        <f ca="1">IFERROR(__xludf.DUMMYFUNCTION("""COMPUTED_VALUE"""),2020)</f>
        <v>2020</v>
      </c>
      <c r="E1490" s="9">
        <f ca="1">IFERROR(__xludf.DUMMYFUNCTION("""COMPUTED_VALUE"""),44039)</f>
        <v>44039</v>
      </c>
      <c r="F1490" s="8" t="str">
        <f ca="1">IFERROR(__xludf.DUMMYFUNCTION("""COMPUTED_VALUE"""),"Canyon del Oro High School")</f>
        <v>Canyon del Oro High School</v>
      </c>
      <c r="G1490" s="8">
        <f ca="1">IFERROR(__xludf.DUMMYFUNCTION("""COMPUTED_VALUE"""),0)</f>
        <v>0</v>
      </c>
      <c r="H1490" s="8">
        <f ca="1">IFERROR(__xludf.DUMMYFUNCTION("""COMPUTED_VALUE"""),0)</f>
        <v>0</v>
      </c>
      <c r="I1490" s="8">
        <f ca="1">IFERROR(__xludf.DUMMYFUNCTION("""COMPUTED_VALUE"""),0)</f>
        <v>0</v>
      </c>
      <c r="J1490" s="8">
        <f ca="1">IFERROR(__xludf.DUMMYFUNCTION("""COMPUTED_VALUE"""),1)</f>
        <v>1</v>
      </c>
      <c r="K1490" s="8" t="str">
        <f ca="1">IFERROR(__xludf.DUMMYFUNCTION("""COMPUTED_VALUE"""),"https://www.kgun9.com/news/education/man-dies-at-cdo-high-school-after-self-inflicted-shooting https://tucson.com/news/local/crime-and-courts/police-id-roofer-working-at-cdo-high-school-who-fatally-shot-himself/article_001c5c06-d038-11ea-adbb-936ea8f054c1"&amp;".html")</f>
        <v>https://www.kgun9.com/news/education/man-dies-at-cdo-high-school-after-self-inflicted-shooting https://tucson.com/news/local/crime-and-courts/police-id-roofer-working-at-cdo-high-school-who-fatally-shot-himself/article_001c5c06-d038-11ea-adbb-936ea8f054c1.html</v>
      </c>
      <c r="L1490" s="8">
        <f ca="1">IFERROR(__xludf.DUMMYFUNCTION("""COMPUTED_VALUE"""),3)</f>
        <v>3</v>
      </c>
      <c r="M1490" s="8" t="str">
        <f ca="1">IFERROR(__xludf.DUMMYFUNCTION("""COMPUTED_VALUE"""),"Local")</f>
        <v>Local</v>
      </c>
      <c r="N1490" s="8">
        <f ca="1">IFERROR(__xludf.DUMMYFUNCTION("""COMPUTED_VALUE"""),4)</f>
        <v>4</v>
      </c>
      <c r="O1490" s="8" t="str">
        <f ca="1">IFERROR(__xludf.DUMMYFUNCTION("""COMPUTED_VALUE"""),"Summer")</f>
        <v>Summer</v>
      </c>
      <c r="P1490" s="8" t="str">
        <f ca="1">IFERROR(__xludf.DUMMYFUNCTION("""COMPUTED_VALUE"""),"Oro Valley")</f>
        <v>Oro Valley</v>
      </c>
      <c r="Q1490" s="8" t="str">
        <f ca="1">IFERROR(__xludf.DUMMYFUNCTION("""COMPUTED_VALUE"""),"AZ")</f>
        <v>AZ</v>
      </c>
      <c r="R1490" s="8" t="str">
        <f ca="1">IFERROR(__xludf.DUMMYFUNCTION("""COMPUTED_VALUE"""),"High")</f>
        <v>High</v>
      </c>
      <c r="S1490" s="8" t="str">
        <f ca="1">IFERROR(__xludf.DUMMYFUNCTION("""COMPUTED_VALUE"""),"Beside Building")</f>
        <v>Beside Building</v>
      </c>
      <c r="T1490" s="8" t="str">
        <f ca="1">IFERROR(__xludf.DUMMYFUNCTION("""COMPUTED_VALUE"""),"Outside on School Property")</f>
        <v>Outside on School Property</v>
      </c>
      <c r="U1490" s="8" t="str">
        <f ca="1">IFERROR(__xludf.DUMMYFUNCTION("""COMPUTED_VALUE"""),"No")</f>
        <v>No</v>
      </c>
      <c r="V1490" s="8" t="str">
        <f ca="1">IFERROR(__xludf.DUMMYFUNCTION("""COMPUTED_VALUE"""),"Not a School Day")</f>
        <v>Not a School Day</v>
      </c>
      <c r="W1490" s="11">
        <f ca="1">IFERROR(__xludf.DUMMYFUNCTION("""COMPUTED_VALUE"""),0.666666666666666)</f>
        <v>0.66666666666666596</v>
      </c>
      <c r="X1490" s="8">
        <f ca="1">IFERROR(__xludf.DUMMYFUNCTION("""COMPUTED_VALUE"""),1)</f>
        <v>1</v>
      </c>
      <c r="Y1490" s="12" t="str">
        <f ca="1">IFERROR(__xludf.DUMMYFUNCTION("""COMPUTED_VALUE"""),"Adult male construction work fatal shot self in leg")</f>
        <v>Adult male construction work fatal shot self in leg</v>
      </c>
      <c r="Z1490" s="12" t="str">
        <f ca="1">IFERROR(__xludf.DUMMYFUNCTION("""COMPUTED_VALUE"""),"40 year-old male fatally shot himself (accident) while working on the roof of the school. School placed on lockdown when gun shot was reported. No students were present at the school.")</f>
        <v>40 year-old male fatally shot himself (accident) while working on the roof of the school. School placed on lockdown when gun shot was reported. No students were present at the school.</v>
      </c>
      <c r="AA1490" s="8" t="str">
        <f ca="1">IFERROR(__xludf.DUMMYFUNCTION("""COMPUTED_VALUE"""),"Accidental")</f>
        <v>Accidental</v>
      </c>
      <c r="AB1490" s="8"/>
      <c r="AC1490" s="8" t="str">
        <f ca="1">IFERROR(__xludf.DUMMYFUNCTION("""COMPUTED_VALUE"""),"No")</f>
        <v>No</v>
      </c>
      <c r="AD1490" s="8" t="str">
        <f ca="1">IFERROR(__xludf.DUMMYFUNCTION("""COMPUTED_VALUE"""),"Neither")</f>
        <v>Neither</v>
      </c>
      <c r="AE1490" s="8" t="str">
        <f ca="1">IFERROR(__xludf.DUMMYFUNCTION("""COMPUTED_VALUE"""),"No")</f>
        <v>No</v>
      </c>
      <c r="AF1490" s="8"/>
      <c r="AG1490" s="8" t="str">
        <f ca="1">IFERROR(__xludf.DUMMYFUNCTION("""COMPUTED_VALUE"""),"No")</f>
        <v>No</v>
      </c>
      <c r="AH1490" s="8" t="str">
        <f ca="1">IFERROR(__xludf.DUMMYFUNCTION("""COMPUTED_VALUE"""),"No")</f>
        <v>No</v>
      </c>
      <c r="AI1490" s="8" t="str">
        <f ca="1">IFERROR(__xludf.DUMMYFUNCTION("""COMPUTED_VALUE"""),"No")</f>
        <v>No</v>
      </c>
      <c r="AJ1490" s="8" t="str">
        <f ca="1">IFERROR(__xludf.DUMMYFUNCTION("""COMPUTED_VALUE"""),"No")</f>
        <v>No</v>
      </c>
      <c r="AK1490" s="8" t="str">
        <f ca="1">IFERROR(__xludf.DUMMYFUNCTION("""COMPUTED_VALUE"""),"No")</f>
        <v>No</v>
      </c>
      <c r="AL1490" s="8" t="str">
        <f ca="1">IFERROR(__xludf.DUMMYFUNCTION("""COMPUTED_VALUE"""),"No")</f>
        <v>No</v>
      </c>
      <c r="AM1490" s="8" t="str">
        <f ca="1">IFERROR(__xludf.DUMMYFUNCTION("""COMPUTED_VALUE"""),"No")</f>
        <v>No</v>
      </c>
      <c r="AN1490" s="8"/>
      <c r="AO1490" s="8" t="str">
        <f ca="1">IFERROR(__xludf.DUMMYFUNCTION("""COMPUTED_VALUE"""),"No")</f>
        <v>No</v>
      </c>
      <c r="AP1490" s="8"/>
      <c r="AQ1490" s="8" t="str">
        <f ca="1">IFERROR(__xludf.DUMMYFUNCTION("""COMPUTED_VALUE"""),"Unknown")</f>
        <v>Unknown</v>
      </c>
      <c r="AR1490" s="8" t="str">
        <f ca="1">IFERROR(__xludf.DUMMYFUNCTION("""COMPUTED_VALUE"""),"Outside/Off-Property")</f>
        <v>Outside/Off-Property</v>
      </c>
      <c r="AS1490" s="8"/>
      <c r="AT1490" s="8"/>
      <c r="AU1490" s="8">
        <f ca="1">IFERROR(__xludf.DUMMYFUNCTION("""COMPUTED_VALUE"""),32.374121)</f>
        <v>32.374121000000002</v>
      </c>
      <c r="AV1490" s="8">
        <f ca="1">IFERROR(__xludf.DUMMYFUNCTION("""COMPUTED_VALUE"""),-110.973995)</f>
        <v>-110.973995</v>
      </c>
      <c r="AW1490" s="8"/>
      <c r="AX1490" s="8">
        <f ca="1">IFERROR(__xludf.DUMMYFUNCTION("""COMPUTED_VALUE"""),85704)</f>
        <v>85704</v>
      </c>
    </row>
    <row r="1491" spans="1:50" ht="60" x14ac:dyDescent="0.2">
      <c r="A1491" s="8" t="str">
        <f ca="1">IFERROR(__xludf.DUMMYFUNCTION("""COMPUTED_VALUE"""),"20200721SCBRO")</f>
        <v>20200721SCBRO</v>
      </c>
      <c r="B1491" s="8">
        <f ca="1">IFERROR(__xludf.DUMMYFUNCTION("""COMPUTED_VALUE"""),7)</f>
        <v>7</v>
      </c>
      <c r="C1491" s="8">
        <f ca="1">IFERROR(__xludf.DUMMYFUNCTION("""COMPUTED_VALUE"""),21)</f>
        <v>21</v>
      </c>
      <c r="D1491" s="8">
        <f ca="1">IFERROR(__xludf.DUMMYFUNCTION("""COMPUTED_VALUE"""),2020)</f>
        <v>2020</v>
      </c>
      <c r="E1491" s="9">
        <f ca="1">IFERROR(__xludf.DUMMYFUNCTION("""COMPUTED_VALUE"""),44033)</f>
        <v>44033</v>
      </c>
      <c r="F1491" s="8" t="str">
        <f ca="1">IFERROR(__xludf.DUMMYFUNCTION("""COMPUTED_VALUE"""),"Brookdale Elementary School")</f>
        <v>Brookdale Elementary School</v>
      </c>
      <c r="G1491" s="8">
        <f ca="1">IFERROR(__xludf.DUMMYFUNCTION("""COMPUTED_VALUE"""),1)</f>
        <v>1</v>
      </c>
      <c r="H1491" s="8">
        <f ca="1">IFERROR(__xludf.DUMMYFUNCTION("""COMPUTED_VALUE"""),0)</f>
        <v>0</v>
      </c>
      <c r="I1491" s="8">
        <f ca="1">IFERROR(__xludf.DUMMYFUNCTION("""COMPUTED_VALUE"""),1)</f>
        <v>1</v>
      </c>
      <c r="J1491" s="8">
        <f ca="1">IFERROR(__xludf.DUMMYFUNCTION("""COMPUTED_VALUE"""),0)</f>
        <v>0</v>
      </c>
      <c r="K1491" s="8" t="str">
        <f ca="1">IFERROR(__xludf.DUMMYFUNCTION("""COMPUTED_VALUE"""),"https://abcnews4.com/news/crime-news/person-of-interest-sought-after-deadly-shooting-near-orangeburg-co-school https://www.wistv.com/2020/07/22/orangeburg-co-deputies-investigate-deadly-shooting-near-elementary-school/ https://abcnews4.com/news/crime-news"&amp;"/deputies-argument-over-orangeburg-co-basketball-game-leads-to-deadly-shooting")</f>
        <v>https://abcnews4.com/news/crime-news/person-of-interest-sought-after-deadly-shooting-near-orangeburg-co-school https://www.wistv.com/2020/07/22/orangeburg-co-deputies-investigate-deadly-shooting-near-elementary-school/ https://abcnews4.com/news/crime-news/deputies-argument-over-orangeburg-co-basketball-game-leads-to-deadly-shooting</v>
      </c>
      <c r="L1491" s="8">
        <f ca="1">IFERROR(__xludf.DUMMYFUNCTION("""COMPUTED_VALUE"""),2)</f>
        <v>2</v>
      </c>
      <c r="M1491" s="8" t="str">
        <f ca="1">IFERROR(__xludf.DUMMYFUNCTION("""COMPUTED_VALUE"""),"Local")</f>
        <v>Local</v>
      </c>
      <c r="N1491" s="8">
        <f ca="1">IFERROR(__xludf.DUMMYFUNCTION("""COMPUTED_VALUE"""),3)</f>
        <v>3</v>
      </c>
      <c r="O1491" s="8" t="str">
        <f ca="1">IFERROR(__xludf.DUMMYFUNCTION("""COMPUTED_VALUE"""),"Summer")</f>
        <v>Summer</v>
      </c>
      <c r="P1491" s="8" t="str">
        <f ca="1">IFERROR(__xludf.DUMMYFUNCTION("""COMPUTED_VALUE"""),"Orangeburg")</f>
        <v>Orangeburg</v>
      </c>
      <c r="Q1491" s="8" t="str">
        <f ca="1">IFERROR(__xludf.DUMMYFUNCTION("""COMPUTED_VALUE"""),"SC")</f>
        <v>SC</v>
      </c>
      <c r="R1491" s="8" t="str">
        <f ca="1">IFERROR(__xludf.DUMMYFUNCTION("""COMPUTED_VALUE"""),"Elementary")</f>
        <v>Elementary</v>
      </c>
      <c r="S1491" s="8" t="str">
        <f ca="1">IFERROR(__xludf.DUMMYFUNCTION("""COMPUTED_VALUE"""),"Basketball Court")</f>
        <v>Basketball Court</v>
      </c>
      <c r="T1491" s="8" t="str">
        <f ca="1">IFERROR(__xludf.DUMMYFUNCTION("""COMPUTED_VALUE"""),"Outside on School Property")</f>
        <v>Outside on School Property</v>
      </c>
      <c r="U1491" s="8" t="str">
        <f ca="1">IFERROR(__xludf.DUMMYFUNCTION("""COMPUTED_VALUE"""),"No")</f>
        <v>No</v>
      </c>
      <c r="V1491" s="8" t="str">
        <f ca="1">IFERROR(__xludf.DUMMYFUNCTION("""COMPUTED_VALUE"""),"Night")</f>
        <v>Night</v>
      </c>
      <c r="W1491" s="11">
        <f ca="1">IFERROR(__xludf.DUMMYFUNCTION("""COMPUTED_VALUE"""),0.875)</f>
        <v>0.875</v>
      </c>
      <c r="X1491" s="8">
        <f ca="1">IFERROR(__xludf.DUMMYFUNCTION("""COMPUTED_VALUE"""),1)</f>
        <v>1</v>
      </c>
      <c r="Y1491" s="12" t="str">
        <f ca="1">IFERROR(__xludf.DUMMYFUNCTION("""COMPUTED_VALUE"""),"Adult male shot on school basketball court")</f>
        <v>Adult male shot on school basketball court</v>
      </c>
      <c r="Z1491" s="12" t="str">
        <f ca="1">IFERROR(__xludf.DUMMYFUNCTION("""COMPUTED_VALUE"""),"28 year-old male victim was shot on the school basketball court. Shooter fled the area. Brother transported victim to the hospital where he died. Police searching for 21 year-old male shooter.")</f>
        <v>28 year-old male victim was shot on the school basketball court. Shooter fled the area. Brother transported victim to the hospital where he died. Police searching for 21 year-old male shooter.</v>
      </c>
      <c r="AA1491" s="8" t="str">
        <f ca="1">IFERROR(__xludf.DUMMYFUNCTION("""COMPUTED_VALUE"""),"Escalation of Dispute")</f>
        <v>Escalation of Dispute</v>
      </c>
      <c r="AB1491" s="8"/>
      <c r="AC1491" s="8" t="str">
        <f ca="1">IFERROR(__xludf.DUMMYFUNCTION("""COMPUTED_VALUE"""),"No")</f>
        <v>No</v>
      </c>
      <c r="AD1491" s="8"/>
      <c r="AE1491" s="8" t="str">
        <f ca="1">IFERROR(__xludf.DUMMYFUNCTION("""COMPUTED_VALUE"""),"No")</f>
        <v>No</v>
      </c>
      <c r="AF1491" s="8"/>
      <c r="AG1491" s="8" t="str">
        <f ca="1">IFERROR(__xludf.DUMMYFUNCTION("""COMPUTED_VALUE"""),"No")</f>
        <v>No</v>
      </c>
      <c r="AH1491" s="8" t="str">
        <f ca="1">IFERROR(__xludf.DUMMYFUNCTION("""COMPUTED_VALUE"""),"No")</f>
        <v>No</v>
      </c>
      <c r="AI1491" s="8" t="str">
        <f ca="1">IFERROR(__xludf.DUMMYFUNCTION("""COMPUTED_VALUE"""),"No")</f>
        <v>No</v>
      </c>
      <c r="AJ1491" s="8" t="str">
        <f ca="1">IFERROR(__xludf.DUMMYFUNCTION("""COMPUTED_VALUE"""),"No")</f>
        <v>No</v>
      </c>
      <c r="AK1491" s="8" t="str">
        <f ca="1">IFERROR(__xludf.DUMMYFUNCTION("""COMPUTED_VALUE"""),"No")</f>
        <v>No</v>
      </c>
      <c r="AL1491" s="8"/>
      <c r="AM1491" s="8" t="str">
        <f ca="1">IFERROR(__xludf.DUMMYFUNCTION("""COMPUTED_VALUE"""),"No")</f>
        <v>No</v>
      </c>
      <c r="AN1491" s="8"/>
      <c r="AO1491" s="8" t="str">
        <f ca="1">IFERROR(__xludf.DUMMYFUNCTION("""COMPUTED_VALUE"""),"No")</f>
        <v>No</v>
      </c>
      <c r="AP1491" s="8"/>
      <c r="AQ1491" s="8" t="str">
        <f ca="1">IFERROR(__xludf.DUMMYFUNCTION("""COMPUTED_VALUE"""),"Unknown")</f>
        <v>Unknown</v>
      </c>
      <c r="AR1491" s="8" t="str">
        <f ca="1">IFERROR(__xludf.DUMMYFUNCTION("""COMPUTED_VALUE"""),"Outside/Off-Property")</f>
        <v>Outside/Off-Property</v>
      </c>
      <c r="AS1491" s="8"/>
      <c r="AT1491" s="8"/>
      <c r="AU1491" s="8">
        <f ca="1">IFERROR(__xludf.DUMMYFUNCTION("""COMPUTED_VALUE"""),33.508002)</f>
        <v>33.508001999999998</v>
      </c>
      <c r="AV1491" s="8">
        <f ca="1">IFERROR(__xludf.DUMMYFUNCTION("""COMPUTED_VALUE"""),-80.827336)</f>
        <v>-80.827336000000003</v>
      </c>
      <c r="AW1491" s="8"/>
      <c r="AX1491" s="8">
        <f ca="1">IFERROR(__xludf.DUMMYFUNCTION("""COMPUTED_VALUE"""),29115)</f>
        <v>29115</v>
      </c>
    </row>
    <row r="1492" spans="1:50" ht="45" x14ac:dyDescent="0.2">
      <c r="A1492" s="8" t="str">
        <f ca="1">IFERROR(__xludf.DUMMYFUNCTION("""COMPUTED_VALUE"""),"20200714MIWID")</f>
        <v>20200714MIWID</v>
      </c>
      <c r="B1492" s="8">
        <f ca="1">IFERROR(__xludf.DUMMYFUNCTION("""COMPUTED_VALUE"""),7)</f>
        <v>7</v>
      </c>
      <c r="C1492" s="8">
        <f ca="1">IFERROR(__xludf.DUMMYFUNCTION("""COMPUTED_VALUE"""),14)</f>
        <v>14</v>
      </c>
      <c r="D1492" s="8">
        <f ca="1">IFERROR(__xludf.DUMMYFUNCTION("""COMPUTED_VALUE"""),2020)</f>
        <v>2020</v>
      </c>
      <c r="E1492" s="9">
        <f ca="1">IFERROR(__xludf.DUMMYFUNCTION("""COMPUTED_VALUE"""),44026)</f>
        <v>44026</v>
      </c>
      <c r="F1492" s="8" t="str">
        <f ca="1">IFERROR(__xludf.DUMMYFUNCTION("""COMPUTED_VALUE"""),"Willow Woods Elementary School")</f>
        <v>Willow Woods Elementary School</v>
      </c>
      <c r="G1492" s="8">
        <f ca="1">IFERROR(__xludf.DUMMYFUNCTION("""COMPUTED_VALUE"""),0)</f>
        <v>0</v>
      </c>
      <c r="H1492" s="8">
        <f ca="1">IFERROR(__xludf.DUMMYFUNCTION("""COMPUTED_VALUE"""),0)</f>
        <v>0</v>
      </c>
      <c r="I1492" s="8">
        <f ca="1">IFERROR(__xludf.DUMMYFUNCTION("""COMPUTED_VALUE"""),0)</f>
        <v>0</v>
      </c>
      <c r="J1492" s="8">
        <f ca="1">IFERROR(__xludf.DUMMYFUNCTION("""COMPUTED_VALUE"""),0)</f>
        <v>0</v>
      </c>
      <c r="K1492" s="10" t="str">
        <f ca="1">IFERROR(__xludf.DUMMYFUNCTION("""COMPUTED_VALUE"""),"https://www.detroitnews.com/story/news/local/macomb-county/2020/07/14/sterling-heights-police-fight-shot-fired-school-grounds/5435977002/")</f>
        <v>https://www.detroitnews.com/story/news/local/macomb-county/2020/07/14/sterling-heights-police-fight-shot-fired-school-grounds/5435977002/</v>
      </c>
      <c r="L1492" s="8">
        <f ca="1">IFERROR(__xludf.DUMMYFUNCTION("""COMPUTED_VALUE"""),1)</f>
        <v>1</v>
      </c>
      <c r="M1492" s="8" t="str">
        <f ca="1">IFERROR(__xludf.DUMMYFUNCTION("""COMPUTED_VALUE"""),"Local")</f>
        <v>Local</v>
      </c>
      <c r="N1492" s="8">
        <f ca="1">IFERROR(__xludf.DUMMYFUNCTION("""COMPUTED_VALUE"""),3)</f>
        <v>3</v>
      </c>
      <c r="O1492" s="8" t="str">
        <f ca="1">IFERROR(__xludf.DUMMYFUNCTION("""COMPUTED_VALUE"""),"Summer")</f>
        <v>Summer</v>
      </c>
      <c r="P1492" s="8" t="str">
        <f ca="1">IFERROR(__xludf.DUMMYFUNCTION("""COMPUTED_VALUE"""),"Detroit")</f>
        <v>Detroit</v>
      </c>
      <c r="Q1492" s="8" t="str">
        <f ca="1">IFERROR(__xludf.DUMMYFUNCTION("""COMPUTED_VALUE"""),"MI")</f>
        <v>MI</v>
      </c>
      <c r="R1492" s="8" t="str">
        <f ca="1">IFERROR(__xludf.DUMMYFUNCTION("""COMPUTED_VALUE"""),"Elementary")</f>
        <v>Elementary</v>
      </c>
      <c r="S1492" s="8" t="str">
        <f ca="1">IFERROR(__xludf.DUMMYFUNCTION("""COMPUTED_VALUE"""),"Parking Lot")</f>
        <v>Parking Lot</v>
      </c>
      <c r="T1492" s="8" t="str">
        <f ca="1">IFERROR(__xludf.DUMMYFUNCTION("""COMPUTED_VALUE"""),"Outside on School Property")</f>
        <v>Outside on School Property</v>
      </c>
      <c r="U1492" s="8" t="str">
        <f ca="1">IFERROR(__xludf.DUMMYFUNCTION("""COMPUTED_VALUE"""),"No")</f>
        <v>No</v>
      </c>
      <c r="V1492" s="8" t="str">
        <f ca="1">IFERROR(__xludf.DUMMYFUNCTION("""COMPUTED_VALUE"""),"Not a School Day")</f>
        <v>Not a School Day</v>
      </c>
      <c r="W1492" s="8"/>
      <c r="X1492" s="8">
        <f ca="1">IFERROR(__xludf.DUMMYFUNCTION("""COMPUTED_VALUE"""),1)</f>
        <v>1</v>
      </c>
      <c r="Y1492" s="12" t="str">
        <f ca="1">IFERROR(__xludf.DUMMYFUNCTION("""COMPUTED_VALUE"""),"Shots fired into the air during fight between two men")</f>
        <v>Shots fired into the air during fight between two men</v>
      </c>
      <c r="Z1492" s="12" t="str">
        <f ca="1">IFERROR(__xludf.DUMMYFUNCTION("""COMPUTED_VALUE"""),"Shots fired into the air between two men who police reported are not related to the school. School was not in session. Both men fled the scene.")</f>
        <v>Shots fired into the air between two men who police reported are not related to the school. School was not in session. Both men fled the scene.</v>
      </c>
      <c r="AA1492" s="8" t="str">
        <f ca="1">IFERROR(__xludf.DUMMYFUNCTION("""COMPUTED_VALUE"""),"Escalation of Dispute")</f>
        <v>Escalation of Dispute</v>
      </c>
      <c r="AB1492" s="8"/>
      <c r="AC1492" s="8" t="str">
        <f ca="1">IFERROR(__xludf.DUMMYFUNCTION("""COMPUTED_VALUE"""),"No")</f>
        <v>No</v>
      </c>
      <c r="AD1492" s="8" t="str">
        <f ca="1">IFERROR(__xludf.DUMMYFUNCTION("""COMPUTED_VALUE"""),"Neither")</f>
        <v>Neither</v>
      </c>
      <c r="AE1492" s="8" t="str">
        <f ca="1">IFERROR(__xludf.DUMMYFUNCTION("""COMPUTED_VALUE"""),"No")</f>
        <v>No</v>
      </c>
      <c r="AF1492" s="8"/>
      <c r="AG1492" s="8" t="str">
        <f ca="1">IFERROR(__xludf.DUMMYFUNCTION("""COMPUTED_VALUE"""),"No")</f>
        <v>No</v>
      </c>
      <c r="AH1492" s="8" t="str">
        <f ca="1">IFERROR(__xludf.DUMMYFUNCTION("""COMPUTED_VALUE"""),"No")</f>
        <v>No</v>
      </c>
      <c r="AI1492" s="8" t="str">
        <f ca="1">IFERROR(__xludf.DUMMYFUNCTION("""COMPUTED_VALUE"""),"No")</f>
        <v>No</v>
      </c>
      <c r="AJ1492" s="8" t="str">
        <f ca="1">IFERROR(__xludf.DUMMYFUNCTION("""COMPUTED_VALUE"""),"No")</f>
        <v>No</v>
      </c>
      <c r="AK1492" s="8" t="str">
        <f ca="1">IFERROR(__xludf.DUMMYFUNCTION("""COMPUTED_VALUE"""),"No")</f>
        <v>No</v>
      </c>
      <c r="AL1492" s="8" t="str">
        <f ca="1">IFERROR(__xludf.DUMMYFUNCTION("""COMPUTED_VALUE"""),"No")</f>
        <v>No</v>
      </c>
      <c r="AM1492" s="8" t="str">
        <f ca="1">IFERROR(__xludf.DUMMYFUNCTION("""COMPUTED_VALUE"""),"No")</f>
        <v>No</v>
      </c>
      <c r="AN1492" s="8"/>
      <c r="AO1492" s="8" t="str">
        <f ca="1">IFERROR(__xludf.DUMMYFUNCTION("""COMPUTED_VALUE"""),"No")</f>
        <v>No</v>
      </c>
      <c r="AP1492" s="8"/>
      <c r="AQ1492" s="8" t="str">
        <f ca="1">IFERROR(__xludf.DUMMYFUNCTION("""COMPUTED_VALUE"""),"Unknown")</f>
        <v>Unknown</v>
      </c>
      <c r="AR1492" s="8" t="str">
        <f ca="1">IFERROR(__xludf.DUMMYFUNCTION("""COMPUTED_VALUE"""),"Outside/Off-Property")</f>
        <v>Outside/Off-Property</v>
      </c>
      <c r="AS1492" s="8"/>
      <c r="AT1492" s="8"/>
      <c r="AU1492" s="8">
        <f ca="1">IFERROR(__xludf.DUMMYFUNCTION("""COMPUTED_VALUE"""),42.55636)</f>
        <v>42.556359999999998</v>
      </c>
      <c r="AV1492" s="8">
        <f ca="1">IFERROR(__xludf.DUMMYFUNCTION("""COMPUTED_VALUE"""),-83.019284)</f>
        <v>-83.019283999999999</v>
      </c>
      <c r="AW1492" s="8"/>
      <c r="AX1492" s="8">
        <f ca="1">IFERROR(__xludf.DUMMYFUNCTION("""COMPUTED_VALUE"""),48312)</f>
        <v>48312</v>
      </c>
    </row>
    <row r="1493" spans="1:50" ht="120" x14ac:dyDescent="0.2">
      <c r="A1493" s="8" t="str">
        <f ca="1">IFERROR(__xludf.DUMMYFUNCTION("""COMPUTED_VALUE"""),"20200704INLAM")</f>
        <v>20200704INLAM</v>
      </c>
      <c r="B1493" s="8">
        <f ca="1">IFERROR(__xludf.DUMMYFUNCTION("""COMPUTED_VALUE"""),7)</f>
        <v>7</v>
      </c>
      <c r="C1493" s="8">
        <f ca="1">IFERROR(__xludf.DUMMYFUNCTION("""COMPUTED_VALUE"""),4)</f>
        <v>4</v>
      </c>
      <c r="D1493" s="8">
        <f ca="1">IFERROR(__xludf.DUMMYFUNCTION("""COMPUTED_VALUE"""),2020)</f>
        <v>2020</v>
      </c>
      <c r="E1493" s="9">
        <f ca="1">IFERROR(__xludf.DUMMYFUNCTION("""COMPUTED_VALUE"""),44016)</f>
        <v>44016</v>
      </c>
      <c r="F1493" s="8" t="str">
        <f ca="1">IFERROR(__xludf.DUMMYFUNCTION("""COMPUTED_VALUE"""),"Lake Hills Elementary School")</f>
        <v>Lake Hills Elementary School</v>
      </c>
      <c r="G1493" s="8">
        <f ca="1">IFERROR(__xludf.DUMMYFUNCTION("""COMPUTED_VALUE"""),1)</f>
        <v>1</v>
      </c>
      <c r="H1493" s="8">
        <f ca="1">IFERROR(__xludf.DUMMYFUNCTION("""COMPUTED_VALUE"""),0)</f>
        <v>0</v>
      </c>
      <c r="I1493" s="8">
        <f ca="1">IFERROR(__xludf.DUMMYFUNCTION("""COMPUTED_VALUE"""),1)</f>
        <v>1</v>
      </c>
      <c r="J1493" s="8">
        <f ca="1">IFERROR(__xludf.DUMMYFUNCTION("""COMPUTED_VALUE"""),0)</f>
        <v>0</v>
      </c>
      <c r="K1493" s="8" t="str">
        <f ca="1">IFERROR(__xludf.DUMMYFUNCTION("""COMPUTED_VALUE"""),"https://www.abc57.com/news/murder-suspect-charged-in-fatal-shooting-near-washington-park https://www.nwitimes.com/news/local/laporte/cops-escort-jet-skier-to-shore-serve-michigan-city-murder-warrant/article_368fb153-b3ba-531e-aeb9-722119ab48f3.html")</f>
        <v>https://www.abc57.com/news/murder-suspect-charged-in-fatal-shooting-near-washington-park https://www.nwitimes.com/news/local/laporte/cops-escort-jet-skier-to-shore-serve-michigan-city-murder-warrant/article_368fb153-b3ba-531e-aeb9-722119ab48f3.html</v>
      </c>
      <c r="L1493" s="8">
        <f ca="1">IFERROR(__xludf.DUMMYFUNCTION("""COMPUTED_VALUE"""),2)</f>
        <v>2</v>
      </c>
      <c r="M1493" s="8" t="str">
        <f ca="1">IFERROR(__xludf.DUMMYFUNCTION("""COMPUTED_VALUE"""),"Local")</f>
        <v>Local</v>
      </c>
      <c r="N1493" s="8">
        <f ca="1">IFERROR(__xludf.DUMMYFUNCTION("""COMPUTED_VALUE"""),4)</f>
        <v>4</v>
      </c>
      <c r="O1493" s="8" t="str">
        <f ca="1">IFERROR(__xludf.DUMMYFUNCTION("""COMPUTED_VALUE"""),"Summer")</f>
        <v>Summer</v>
      </c>
      <c r="P1493" s="8" t="str">
        <f ca="1">IFERROR(__xludf.DUMMYFUNCTION("""COMPUTED_VALUE"""),"Michigan City")</f>
        <v>Michigan City</v>
      </c>
      <c r="Q1493" s="8" t="str">
        <f ca="1">IFERROR(__xludf.DUMMYFUNCTION("""COMPUTED_VALUE"""),"IN")</f>
        <v>IN</v>
      </c>
      <c r="R1493" s="8" t="str">
        <f ca="1">IFERROR(__xludf.DUMMYFUNCTION("""COMPUTED_VALUE"""),"Elementary")</f>
        <v>Elementary</v>
      </c>
      <c r="S1493" s="8" t="str">
        <f ca="1">IFERROR(__xludf.DUMMYFUNCTION("""COMPUTED_VALUE"""),"Parking Lot")</f>
        <v>Parking Lot</v>
      </c>
      <c r="T1493" s="8" t="str">
        <f ca="1">IFERROR(__xludf.DUMMYFUNCTION("""COMPUTED_VALUE"""),"Outside on School Property")</f>
        <v>Outside on School Property</v>
      </c>
      <c r="U1493" s="8" t="str">
        <f ca="1">IFERROR(__xludf.DUMMYFUNCTION("""COMPUTED_VALUE"""),"No")</f>
        <v>No</v>
      </c>
      <c r="V1493" s="8" t="str">
        <f ca="1">IFERROR(__xludf.DUMMYFUNCTION("""COMPUTED_VALUE"""),"Night")</f>
        <v>Night</v>
      </c>
      <c r="W1493" s="8"/>
      <c r="X1493" s="8">
        <f ca="1">IFERROR(__xludf.DUMMYFUNCTION("""COMPUTED_VALUE"""),1)</f>
        <v>1</v>
      </c>
      <c r="Y1493" s="12" t="str">
        <f ca="1">IFERROR(__xludf.DUMMYFUNCTION("""COMPUTED_VALUE"""),"Adult male fired shot during exchange of stolen cellphone")</f>
        <v>Adult male fired shot during exchange of stolen cellphone</v>
      </c>
      <c r="Z1493" s="12" t="str">
        <f ca="1">IFERROR(__xludf.DUMMYFUNCTION("""COMPUTED_VALUE"""),"22 year-old male was involved in a prior assualt and theft of a cell phone. The victim tracked the phone and arranged to meet the shooter in the school parking lot. During the exchange of the phone, he fired a shot at a 22 year-old male victim who was wit"&amp;"h the woman. Shooter than chased the victim in his vehicle. The victim was fatally shot and crashed his vehicle away from the school. Shooter was arrested 2 weeks later after investigation.")</f>
        <v>22 year-old male was involved in a prior assualt and theft of a cell phone. The victim tracked the phone and arranged to meet the shooter in the school parking lot. During the exchange of the phone, he fired a shot at a 22 year-old male victim who was with the woman. Shooter than chased the victim in his vehicle. The victim was fatally shot and crashed his vehicle away from the school. Shooter was arrested 2 weeks later after investigation.</v>
      </c>
      <c r="AA1493" s="8" t="str">
        <f ca="1">IFERROR(__xludf.DUMMYFUNCTION("""COMPUTED_VALUE"""),"Illegal Activity")</f>
        <v>Illegal Activity</v>
      </c>
      <c r="AB1493" s="8"/>
      <c r="AC1493" s="8" t="str">
        <f ca="1">IFERROR(__xludf.DUMMYFUNCTION("""COMPUTED_VALUE"""),"No")</f>
        <v>No</v>
      </c>
      <c r="AD1493" s="8" t="str">
        <f ca="1">IFERROR(__xludf.DUMMYFUNCTION("""COMPUTED_VALUE"""),"Victims Targeted")</f>
        <v>Victims Targeted</v>
      </c>
      <c r="AE1493" s="8" t="str">
        <f ca="1">IFERROR(__xludf.DUMMYFUNCTION("""COMPUTED_VALUE"""),"No")</f>
        <v>No</v>
      </c>
      <c r="AF1493" s="8"/>
      <c r="AG1493" s="8" t="str">
        <f ca="1">IFERROR(__xludf.DUMMYFUNCTION("""COMPUTED_VALUE"""),"No")</f>
        <v>No</v>
      </c>
      <c r="AH1493" s="8" t="str">
        <f ca="1">IFERROR(__xludf.DUMMYFUNCTION("""COMPUTED_VALUE"""),"No")</f>
        <v>No</v>
      </c>
      <c r="AI1493" s="8" t="str">
        <f ca="1">IFERROR(__xludf.DUMMYFUNCTION("""COMPUTED_VALUE"""),"No")</f>
        <v>No</v>
      </c>
      <c r="AJ1493" s="8" t="str">
        <f ca="1">IFERROR(__xludf.DUMMYFUNCTION("""COMPUTED_VALUE"""),"No")</f>
        <v>No</v>
      </c>
      <c r="AK1493" s="8" t="str">
        <f ca="1">IFERROR(__xludf.DUMMYFUNCTION("""COMPUTED_VALUE"""),"No")</f>
        <v>No</v>
      </c>
      <c r="AL1493" s="8" t="str">
        <f ca="1">IFERROR(__xludf.DUMMYFUNCTION("""COMPUTED_VALUE"""),"No")</f>
        <v>No</v>
      </c>
      <c r="AM1493" s="8" t="str">
        <f ca="1">IFERROR(__xludf.DUMMYFUNCTION("""COMPUTED_VALUE"""),"No")</f>
        <v>No</v>
      </c>
      <c r="AN1493" s="8"/>
      <c r="AO1493" s="8" t="str">
        <f ca="1">IFERROR(__xludf.DUMMYFUNCTION("""COMPUTED_VALUE"""),"No")</f>
        <v>No</v>
      </c>
      <c r="AP1493" s="8"/>
      <c r="AQ1493" s="8" t="str">
        <f ca="1">IFERROR(__xludf.DUMMYFUNCTION("""COMPUTED_VALUE"""),"Unknown")</f>
        <v>Unknown</v>
      </c>
      <c r="AR1493" s="8" t="str">
        <f ca="1">IFERROR(__xludf.DUMMYFUNCTION("""COMPUTED_VALUE"""),"Outside/Off-Property")</f>
        <v>Outside/Off-Property</v>
      </c>
      <c r="AS1493" s="8"/>
      <c r="AT1493" s="8"/>
      <c r="AU1493" s="8">
        <f ca="1">IFERROR(__xludf.DUMMYFUNCTION("""COMPUTED_VALUE"""),41.728586)</f>
        <v>41.728586</v>
      </c>
      <c r="AV1493" s="8">
        <f ca="1">IFERROR(__xludf.DUMMYFUNCTION("""COMPUTED_VALUE"""),-86.886775)</f>
        <v>-86.886775</v>
      </c>
      <c r="AW1493" s="8"/>
      <c r="AX1493" s="8">
        <f ca="1">IFERROR(__xludf.DUMMYFUNCTION("""COMPUTED_VALUE"""),46360)</f>
        <v>46360</v>
      </c>
    </row>
    <row r="1494" spans="1:50" ht="45" x14ac:dyDescent="0.2">
      <c r="A1494" s="8" t="str">
        <f ca="1">IFERROR(__xludf.DUMMYFUNCTION("""COMPUTED_VALUE"""),"20200701ILFRP")</f>
        <v>20200701ILFRP</v>
      </c>
      <c r="B1494" s="8">
        <f ca="1">IFERROR(__xludf.DUMMYFUNCTION("""COMPUTED_VALUE"""),7)</f>
        <v>7</v>
      </c>
      <c r="C1494" s="8">
        <f ca="1">IFERROR(__xludf.DUMMYFUNCTION("""COMPUTED_VALUE"""),1)</f>
        <v>1</v>
      </c>
      <c r="D1494" s="8">
        <f ca="1">IFERROR(__xludf.DUMMYFUNCTION("""COMPUTED_VALUE"""),2020)</f>
        <v>2020</v>
      </c>
      <c r="E1494" s="9">
        <f ca="1">IFERROR(__xludf.DUMMYFUNCTION("""COMPUTED_VALUE"""),44013)</f>
        <v>44013</v>
      </c>
      <c r="F1494" s="8" t="str">
        <f ca="1">IFERROR(__xludf.DUMMYFUNCTION("""COMPUTED_VALUE"""),"Frost Elementary School")</f>
        <v>Frost Elementary School</v>
      </c>
      <c r="G1494" s="8">
        <f ca="1">IFERROR(__xludf.DUMMYFUNCTION("""COMPUTED_VALUE"""),0)</f>
        <v>0</v>
      </c>
      <c r="H1494" s="8">
        <f ca="1">IFERROR(__xludf.DUMMYFUNCTION("""COMPUTED_VALUE"""),0)</f>
        <v>0</v>
      </c>
      <c r="I1494" s="8">
        <f ca="1">IFERROR(__xludf.DUMMYFUNCTION("""COMPUTED_VALUE"""),0)</f>
        <v>0</v>
      </c>
      <c r="J1494" s="8">
        <f ca="1">IFERROR(__xludf.DUMMYFUNCTION("""COMPUTED_VALUE"""),0)</f>
        <v>0</v>
      </c>
      <c r="K1494" s="10" t="str">
        <f ca="1">IFERROR(__xludf.DUMMYFUNCTION("""COMPUTED_VALUE"""),"https://www.dailyherald.com/news/20200714/prospect-heights-man-charged-after-shooting-near-frost-elementary-school")</f>
        <v>https://www.dailyherald.com/news/20200714/prospect-heights-man-charged-after-shooting-near-frost-elementary-school</v>
      </c>
      <c r="L1494" s="8">
        <f ca="1">IFERROR(__xludf.DUMMYFUNCTION("""COMPUTED_VALUE"""),1)</f>
        <v>1</v>
      </c>
      <c r="M1494" s="8" t="str">
        <f ca="1">IFERROR(__xludf.DUMMYFUNCTION("""COMPUTED_VALUE"""),"Local")</f>
        <v>Local</v>
      </c>
      <c r="N1494" s="8">
        <f ca="1">IFERROR(__xludf.DUMMYFUNCTION("""COMPUTED_VALUE"""),3)</f>
        <v>3</v>
      </c>
      <c r="O1494" s="8" t="str">
        <f ca="1">IFERROR(__xludf.DUMMYFUNCTION("""COMPUTED_VALUE"""),"Summer")</f>
        <v>Summer</v>
      </c>
      <c r="P1494" s="8" t="str">
        <f ca="1">IFERROR(__xludf.DUMMYFUNCTION("""COMPUTED_VALUE"""),"Prospect Heights")</f>
        <v>Prospect Heights</v>
      </c>
      <c r="Q1494" s="8" t="str">
        <f ca="1">IFERROR(__xludf.DUMMYFUNCTION("""COMPUTED_VALUE"""),"IL")</f>
        <v>IL</v>
      </c>
      <c r="R1494" s="8" t="str">
        <f ca="1">IFERROR(__xludf.DUMMYFUNCTION("""COMPUTED_VALUE"""),"Elementary")</f>
        <v>Elementary</v>
      </c>
      <c r="S1494" s="8" t="str">
        <f ca="1">IFERROR(__xludf.DUMMYFUNCTION("""COMPUTED_VALUE"""),"Parking Lot")</f>
        <v>Parking Lot</v>
      </c>
      <c r="T1494" s="8" t="str">
        <f ca="1">IFERROR(__xludf.DUMMYFUNCTION("""COMPUTED_VALUE"""),"Outside on School Property")</f>
        <v>Outside on School Property</v>
      </c>
      <c r="U1494" s="8" t="str">
        <f ca="1">IFERROR(__xludf.DUMMYFUNCTION("""COMPUTED_VALUE"""),"No")</f>
        <v>No</v>
      </c>
      <c r="V1494" s="8" t="str">
        <f ca="1">IFERROR(__xludf.DUMMYFUNCTION("""COMPUTED_VALUE"""),"Not a School Day")</f>
        <v>Not a School Day</v>
      </c>
      <c r="W1494" s="11">
        <f ca="1">IFERROR(__xludf.DUMMYFUNCTION("""COMPUTED_VALUE"""),0.690972222222222)</f>
        <v>0.69097222222222199</v>
      </c>
      <c r="X1494" s="8">
        <f ca="1">IFERROR(__xludf.DUMMYFUNCTION("""COMPUTED_VALUE"""),1)</f>
        <v>1</v>
      </c>
      <c r="Y1494" s="12" t="str">
        <f ca="1">IFERROR(__xludf.DUMMYFUNCTION("""COMPUTED_VALUE"""),"Adult male fired shot from vehicle at 4 people")</f>
        <v>Adult male fired shot from vehicle at 4 people</v>
      </c>
      <c r="Z1494" s="12" t="str">
        <f ca="1">IFERROR(__xludf.DUMMYFUNCTION("""COMPUTED_VALUE"""),"25 year-old male fired shots from a vehicle at 4 people near the school and then fled the scene. Later arrested. Driver also charged. Police said the shooting is gang related.")</f>
        <v>25 year-old male fired shots from a vehicle at 4 people near the school and then fled the scene. Later arrested. Driver also charged. Police said the shooting is gang related.</v>
      </c>
      <c r="AA1494" s="8" t="str">
        <f ca="1">IFERROR(__xludf.DUMMYFUNCTION("""COMPUTED_VALUE"""),"Drive-by Shooting")</f>
        <v>Drive-by Shooting</v>
      </c>
      <c r="AB1494" s="8"/>
      <c r="AC1494" s="8" t="str">
        <f ca="1">IFERROR(__xludf.DUMMYFUNCTION("""COMPUTED_VALUE"""),"No")</f>
        <v>No</v>
      </c>
      <c r="AD1494" s="8"/>
      <c r="AE1494" s="8" t="str">
        <f ca="1">IFERROR(__xludf.DUMMYFUNCTION("""COMPUTED_VALUE"""),"Yes")</f>
        <v>Yes</v>
      </c>
      <c r="AF1494" s="8" t="str">
        <f ca="1">IFERROR(__xludf.DUMMYFUNCTION("""COMPUTED_VALUE"""),"Unnamed driver charged")</f>
        <v>Unnamed driver charged</v>
      </c>
      <c r="AG1494" s="8" t="str">
        <f ca="1">IFERROR(__xludf.DUMMYFUNCTION("""COMPUTED_VALUE"""),"No")</f>
        <v>No</v>
      </c>
      <c r="AH1494" s="8" t="str">
        <f ca="1">IFERROR(__xludf.DUMMYFUNCTION("""COMPUTED_VALUE"""),"No")</f>
        <v>No</v>
      </c>
      <c r="AI1494" s="8" t="str">
        <f ca="1">IFERROR(__xludf.DUMMYFUNCTION("""COMPUTED_VALUE"""),"No")</f>
        <v>No</v>
      </c>
      <c r="AJ1494" s="8" t="str">
        <f ca="1">IFERROR(__xludf.DUMMYFUNCTION("""COMPUTED_VALUE"""),"No")</f>
        <v>No</v>
      </c>
      <c r="AK1494" s="8" t="str">
        <f ca="1">IFERROR(__xludf.DUMMYFUNCTION("""COMPUTED_VALUE"""),"No")</f>
        <v>No</v>
      </c>
      <c r="AL1494" s="8" t="str">
        <f ca="1">IFERROR(__xludf.DUMMYFUNCTION("""COMPUTED_VALUE"""),"Yes")</f>
        <v>Yes</v>
      </c>
      <c r="AM1494" s="8" t="str">
        <f ca="1">IFERROR(__xludf.DUMMYFUNCTION("""COMPUTED_VALUE"""),"No")</f>
        <v>No</v>
      </c>
      <c r="AN1494" s="8"/>
      <c r="AO1494" s="8" t="str">
        <f ca="1">IFERROR(__xludf.DUMMYFUNCTION("""COMPUTED_VALUE"""),"No")</f>
        <v>No</v>
      </c>
      <c r="AP1494" s="8"/>
      <c r="AQ1494" s="8" t="str">
        <f ca="1">IFERROR(__xludf.DUMMYFUNCTION("""COMPUTED_VALUE"""),"Unknown")</f>
        <v>Unknown</v>
      </c>
      <c r="AR1494" s="8" t="str">
        <f ca="1">IFERROR(__xludf.DUMMYFUNCTION("""COMPUTED_VALUE"""),"Outside/Off-Property")</f>
        <v>Outside/Off-Property</v>
      </c>
      <c r="AS1494" s="8"/>
      <c r="AT1494" s="8"/>
      <c r="AU1494" s="8">
        <f ca="1">IFERROR(__xludf.DUMMYFUNCTION("""COMPUTED_VALUE"""),42.099685)</f>
        <v>42.099685000000001</v>
      </c>
      <c r="AV1494" s="8">
        <f ca="1">IFERROR(__xludf.DUMMYFUNCTION("""COMPUTED_VALUE"""),-87.899156)</f>
        <v>-87.899156000000005</v>
      </c>
      <c r="AW1494" s="8"/>
      <c r="AX1494" s="8">
        <f ca="1">IFERROR(__xludf.DUMMYFUNCTION("""COMPUTED_VALUE"""),60056)</f>
        <v>60056</v>
      </c>
    </row>
    <row r="1495" spans="1:50" ht="105" x14ac:dyDescent="0.2">
      <c r="A1495" s="8" t="str">
        <f ca="1">IFERROR(__xludf.DUMMYFUNCTION("""COMPUTED_VALUE"""),"20200630OHLAW")</f>
        <v>20200630OHLAW</v>
      </c>
      <c r="B1495" s="8">
        <f ca="1">IFERROR(__xludf.DUMMYFUNCTION("""COMPUTED_VALUE"""),6)</f>
        <v>6</v>
      </c>
      <c r="C1495" s="8">
        <f ca="1">IFERROR(__xludf.DUMMYFUNCTION("""COMPUTED_VALUE"""),30)</f>
        <v>30</v>
      </c>
      <c r="D1495" s="8">
        <f ca="1">IFERROR(__xludf.DUMMYFUNCTION("""COMPUTED_VALUE"""),2020)</f>
        <v>2020</v>
      </c>
      <c r="E1495" s="9">
        <f ca="1">IFERROR(__xludf.DUMMYFUNCTION("""COMPUTED_VALUE"""),44012)</f>
        <v>44012</v>
      </c>
      <c r="F1495" s="8" t="str">
        <f ca="1">IFERROR(__xludf.DUMMYFUNCTION("""COMPUTED_VALUE"""),"Lakota Career Readiness Academy")</f>
        <v>Lakota Career Readiness Academy</v>
      </c>
      <c r="G1495" s="8">
        <f ca="1">IFERROR(__xludf.DUMMYFUNCTION("""COMPUTED_VALUE"""),0)</f>
        <v>0</v>
      </c>
      <c r="H1495" s="8">
        <f ca="1">IFERROR(__xludf.DUMMYFUNCTION("""COMPUTED_VALUE"""),0)</f>
        <v>0</v>
      </c>
      <c r="I1495" s="8">
        <f ca="1">IFERROR(__xludf.DUMMYFUNCTION("""COMPUTED_VALUE"""),0)</f>
        <v>0</v>
      </c>
      <c r="J1495" s="8">
        <f ca="1">IFERROR(__xludf.DUMMYFUNCTION("""COMPUTED_VALUE"""),0)</f>
        <v>0</v>
      </c>
      <c r="K1495" s="8" t="str">
        <f ca="1">IFERROR(__xludf.DUMMYFUNCTION("""COMPUTED_VALUE"""),"https://www.wlwt.com/article/police-19-year-old-arrested-after-firing-rifle-at-lakota-career-readiness-academy/33074703 https://local12.com/news/local/lakota-school-building-vandalized-cincinnati https://local12.com/news/local/man-accused-of-shooting-up-a"&amp;"-school-building-in-butler-county")</f>
        <v>https://www.wlwt.com/article/police-19-year-old-arrested-after-firing-rifle-at-lakota-career-readiness-academy/33074703 https://local12.com/news/local/lakota-school-building-vandalized-cincinnati https://local12.com/news/local/man-accused-of-shooting-up-a-school-building-in-butler-county</v>
      </c>
      <c r="L1495" s="8">
        <f ca="1">IFERROR(__xludf.DUMMYFUNCTION("""COMPUTED_VALUE"""),3)</f>
        <v>3</v>
      </c>
      <c r="M1495" s="8" t="str">
        <f ca="1">IFERROR(__xludf.DUMMYFUNCTION("""COMPUTED_VALUE"""),"Local")</f>
        <v>Local</v>
      </c>
      <c r="N1495" s="8">
        <f ca="1">IFERROR(__xludf.DUMMYFUNCTION("""COMPUTED_VALUE"""),4)</f>
        <v>4</v>
      </c>
      <c r="O1495" s="8" t="str">
        <f ca="1">IFERROR(__xludf.DUMMYFUNCTION("""COMPUTED_VALUE"""),"Summer")</f>
        <v>Summer</v>
      </c>
      <c r="P1495" s="8" t="str">
        <f ca="1">IFERROR(__xludf.DUMMYFUNCTION("""COMPUTED_VALUE"""),"West Chester Township")</f>
        <v>West Chester Township</v>
      </c>
      <c r="Q1495" s="8" t="str">
        <f ca="1">IFERROR(__xludf.DUMMYFUNCTION("""COMPUTED_VALUE"""),"OH")</f>
        <v>OH</v>
      </c>
      <c r="R1495" s="8" t="str">
        <f ca="1">IFERROR(__xludf.DUMMYFUNCTION("""COMPUTED_VALUE"""),"K-12")</f>
        <v>K-12</v>
      </c>
      <c r="S1495" s="8" t="str">
        <f ca="1">IFERROR(__xludf.DUMMYFUNCTION("""COMPUTED_VALUE"""),"Front of School")</f>
        <v>Front of School</v>
      </c>
      <c r="T1495" s="8" t="str">
        <f ca="1">IFERROR(__xludf.DUMMYFUNCTION("""COMPUTED_VALUE"""),"Outside on School Property")</f>
        <v>Outside on School Property</v>
      </c>
      <c r="U1495" s="8" t="str">
        <f ca="1">IFERROR(__xludf.DUMMYFUNCTION("""COMPUTED_VALUE"""),"No")</f>
        <v>No</v>
      </c>
      <c r="V1495" s="8" t="str">
        <f ca="1">IFERROR(__xludf.DUMMYFUNCTION("""COMPUTED_VALUE"""),"Before School")</f>
        <v>Before School</v>
      </c>
      <c r="W1495" s="8"/>
      <c r="X1495" s="8"/>
      <c r="Y1495" s="12" t="str">
        <f ca="1">IFERROR(__xludf.DUMMYFUNCTION("""COMPUTED_VALUE"""),"Adult male with AK-47 shot the front glass doors of the school")</f>
        <v>Adult male with AK-47 shot the front glass doors of the school</v>
      </c>
      <c r="Z1495" s="12" t="str">
        <f ca="1">IFERROR(__xludf.DUMMYFUNCTION("""COMPUTED_VALUE"""),"19 year-old male fired shot with an AK-47 style rifle breaking the glass front doors to the school. Shooting occurred in the early morning before the school opened. No injuries. Shooter charged of improperly discharging a firearm into a school, vandalism,"&amp;" and a gun charge. Shooter fled the scene and arrested later following identification with CCTV footage.")</f>
        <v>19 year-old male fired shot with an AK-47 style rifle breaking the glass front doors to the school. Shooting occurred in the early morning before the school opened. No injuries. Shooter charged of improperly discharging a firearm into a school, vandalism, and a gun charge. Shooter fled the scene and arrested later following identification with CCTV footage.</v>
      </c>
      <c r="AA1495" s="8" t="str">
        <f ca="1">IFERROR(__xludf.DUMMYFUNCTION("""COMPUTED_VALUE"""),"Intentional Property Damage")</f>
        <v>Intentional Property Damage</v>
      </c>
      <c r="AB1495" s="8"/>
      <c r="AC1495" s="8" t="str">
        <f ca="1">IFERROR(__xludf.DUMMYFUNCTION("""COMPUTED_VALUE"""),"Yes")</f>
        <v>Yes</v>
      </c>
      <c r="AD1495" s="8" t="str">
        <f ca="1">IFERROR(__xludf.DUMMYFUNCTION("""COMPUTED_VALUE"""),"Neither")</f>
        <v>Neither</v>
      </c>
      <c r="AE1495" s="8" t="str">
        <f ca="1">IFERROR(__xludf.DUMMYFUNCTION("""COMPUTED_VALUE"""),"No")</f>
        <v>No</v>
      </c>
      <c r="AF1495" s="8"/>
      <c r="AG1495" s="8" t="str">
        <f ca="1">IFERROR(__xludf.DUMMYFUNCTION("""COMPUTED_VALUE"""),"No")</f>
        <v>No</v>
      </c>
      <c r="AH1495" s="8" t="str">
        <f ca="1">IFERROR(__xludf.DUMMYFUNCTION("""COMPUTED_VALUE"""),"No")</f>
        <v>No</v>
      </c>
      <c r="AI1495" s="8" t="str">
        <f ca="1">IFERROR(__xludf.DUMMYFUNCTION("""COMPUTED_VALUE"""),"No")</f>
        <v>No</v>
      </c>
      <c r="AJ1495" s="8" t="str">
        <f ca="1">IFERROR(__xludf.DUMMYFUNCTION("""COMPUTED_VALUE"""),"No")</f>
        <v>No</v>
      </c>
      <c r="AK1495" s="8" t="str">
        <f ca="1">IFERROR(__xludf.DUMMYFUNCTION("""COMPUTED_VALUE"""),"No")</f>
        <v>No</v>
      </c>
      <c r="AL1495" s="8" t="str">
        <f ca="1">IFERROR(__xludf.DUMMYFUNCTION("""COMPUTED_VALUE"""),"No")</f>
        <v>No</v>
      </c>
      <c r="AM1495" s="8" t="str">
        <f ca="1">IFERROR(__xludf.DUMMYFUNCTION("""COMPUTED_VALUE"""),"No")</f>
        <v>No</v>
      </c>
      <c r="AN1495" s="8"/>
      <c r="AO1495" s="8" t="str">
        <f ca="1">IFERROR(__xludf.DUMMYFUNCTION("""COMPUTED_VALUE"""),"No")</f>
        <v>No</v>
      </c>
      <c r="AP1495" s="8"/>
      <c r="AQ1495" s="8"/>
      <c r="AR1495" s="8" t="str">
        <f ca="1">IFERROR(__xludf.DUMMYFUNCTION("""COMPUTED_VALUE"""),"Outside/Off-Property")</f>
        <v>Outside/Off-Property</v>
      </c>
      <c r="AS1495" s="8"/>
      <c r="AT1495" s="8"/>
      <c r="AU1495" s="8">
        <f ca="1">IFERROR(__xludf.DUMMYFUNCTION("""COMPUTED_VALUE"""),39.362506)</f>
        <v>39.362506000000003</v>
      </c>
      <c r="AV1495" s="8">
        <f ca="1">IFERROR(__xludf.DUMMYFUNCTION("""COMPUTED_VALUE"""),-84.45278)</f>
        <v>-84.452780000000004</v>
      </c>
      <c r="AW1495" s="8"/>
      <c r="AX1495" s="8">
        <f ca="1">IFERROR(__xludf.DUMMYFUNCTION("""COMPUTED_VALUE"""),45069)</f>
        <v>45069</v>
      </c>
    </row>
    <row r="1496" spans="1:50" ht="75" x14ac:dyDescent="0.2">
      <c r="A1496" s="8" t="str">
        <f ca="1">IFERROR(__xludf.DUMMYFUNCTION("""COMPUTED_VALUE"""),"20200627VAHAS")</f>
        <v>20200627VAHAS</v>
      </c>
      <c r="B1496" s="8">
        <f ca="1">IFERROR(__xludf.DUMMYFUNCTION("""COMPUTED_VALUE"""),6)</f>
        <v>6</v>
      </c>
      <c r="C1496" s="8">
        <f ca="1">IFERROR(__xludf.DUMMYFUNCTION("""COMPUTED_VALUE"""),27)</f>
        <v>27</v>
      </c>
      <c r="D1496" s="8">
        <f ca="1">IFERROR(__xludf.DUMMYFUNCTION("""COMPUTED_VALUE"""),2020)</f>
        <v>2020</v>
      </c>
      <c r="E1496" s="9">
        <f ca="1">IFERROR(__xludf.DUMMYFUNCTION("""COMPUTED_VALUE"""),44009)</f>
        <v>44009</v>
      </c>
      <c r="F1496" s="8" t="str">
        <f ca="1">IFERROR(__xludf.DUMMYFUNCTION("""COMPUTED_VALUE"""),"Halifax County Middle School")</f>
        <v>Halifax County Middle School</v>
      </c>
      <c r="G1496" s="8">
        <f ca="1">IFERROR(__xludf.DUMMYFUNCTION("""COMPUTED_VALUE"""),0)</f>
        <v>0</v>
      </c>
      <c r="H1496" s="8">
        <f ca="1">IFERROR(__xludf.DUMMYFUNCTION("""COMPUTED_VALUE"""),0)</f>
        <v>0</v>
      </c>
      <c r="I1496" s="8">
        <f ca="1">IFERROR(__xludf.DUMMYFUNCTION("""COMPUTED_VALUE"""),0)</f>
        <v>0</v>
      </c>
      <c r="J1496" s="8">
        <f ca="1">IFERROR(__xludf.DUMMYFUNCTION("""COMPUTED_VALUE"""),0)</f>
        <v>0</v>
      </c>
      <c r="K1496" s="8" t="str">
        <f ca="1">IFERROR(__xludf.DUMMYFUNCTION("""COMPUTED_VALUE"""),"https://www.rochesterfirst.com/news/virginia-teen-faces-multiple-charges-after-shooting-near-middle-school/
 Halifax County Middle School")</f>
        <v>https://www.rochesterfirst.com/news/virginia-teen-faces-multiple-charges-after-shooting-near-middle-school/
 Halifax County Middle School</v>
      </c>
      <c r="L1496" s="8">
        <f ca="1">IFERROR(__xludf.DUMMYFUNCTION("""COMPUTED_VALUE"""),2)</f>
        <v>2</v>
      </c>
      <c r="M1496" s="8" t="str">
        <f ca="1">IFERROR(__xludf.DUMMYFUNCTION("""COMPUTED_VALUE"""),"Local")</f>
        <v>Local</v>
      </c>
      <c r="N1496" s="8">
        <f ca="1">IFERROR(__xludf.DUMMYFUNCTION("""COMPUTED_VALUE"""),4)</f>
        <v>4</v>
      </c>
      <c r="O1496" s="8" t="str">
        <f ca="1">IFERROR(__xludf.DUMMYFUNCTION("""COMPUTED_VALUE"""),"Summer")</f>
        <v>Summer</v>
      </c>
      <c r="P1496" s="8" t="str">
        <f ca="1">IFERROR(__xludf.DUMMYFUNCTION("""COMPUTED_VALUE"""),"South Boston")</f>
        <v>South Boston</v>
      </c>
      <c r="Q1496" s="8" t="str">
        <f ca="1">IFERROR(__xludf.DUMMYFUNCTION("""COMPUTED_VALUE"""),"VA")</f>
        <v>VA</v>
      </c>
      <c r="R1496" s="8" t="str">
        <f ca="1">IFERROR(__xludf.DUMMYFUNCTION("""COMPUTED_VALUE"""),"Middle")</f>
        <v>Middle</v>
      </c>
      <c r="S1496" s="8" t="str">
        <f ca="1">IFERROR(__xludf.DUMMYFUNCTION("""COMPUTED_VALUE"""),"Football Field/Track")</f>
        <v>Football Field/Track</v>
      </c>
      <c r="T1496" s="8" t="str">
        <f ca="1">IFERROR(__xludf.DUMMYFUNCTION("""COMPUTED_VALUE"""),"Outside on School Property")</f>
        <v>Outside on School Property</v>
      </c>
      <c r="U1496" s="8" t="str">
        <f ca="1">IFERROR(__xludf.DUMMYFUNCTION("""COMPUTED_VALUE"""),"No")</f>
        <v>No</v>
      </c>
      <c r="V1496" s="8" t="str">
        <f ca="1">IFERROR(__xludf.DUMMYFUNCTION("""COMPUTED_VALUE"""),"Night")</f>
        <v>Night</v>
      </c>
      <c r="W1496" s="11">
        <f ca="1">IFERROR(__xludf.DUMMYFUNCTION("""COMPUTED_VALUE"""),0.916666666666666)</f>
        <v>0.91666666666666596</v>
      </c>
      <c r="X1496" s="8">
        <f ca="1">IFERROR(__xludf.DUMMYFUNCTION("""COMPUTED_VALUE"""),1)</f>
        <v>1</v>
      </c>
      <c r="Y1496" s="12" t="str">
        <f ca="1">IFERROR(__xludf.DUMMYFUNCTION("""COMPUTED_VALUE"""),"Teen fired shot during large fight between multiple teens and adults on school football field")</f>
        <v>Teen fired shot during large fight between multiple teens and adults on school football field</v>
      </c>
      <c r="Z1496" s="12" t="str">
        <f ca="1">IFERROR(__xludf.DUMMYFUNCTION("""COMPUTED_VALUE"""),"A 17 year-old male fired multiple shots during a large fight between multiple teens and adults on the school football field. A vehicle was struck twice. No one was injured.")</f>
        <v>A 17 year-old male fired multiple shots during a large fight between multiple teens and adults on the school football field. A vehicle was struck twice. No one was injured.</v>
      </c>
      <c r="AA1496" s="8" t="str">
        <f ca="1">IFERROR(__xludf.DUMMYFUNCTION("""COMPUTED_VALUE"""),"Escalation of Dispute")</f>
        <v>Escalation of Dispute</v>
      </c>
      <c r="AB1496" s="8"/>
      <c r="AC1496" s="8" t="str">
        <f ca="1">IFERROR(__xludf.DUMMYFUNCTION("""COMPUTED_VALUE"""),"No")</f>
        <v>No</v>
      </c>
      <c r="AD1496" s="8"/>
      <c r="AE1496" s="8" t="str">
        <f ca="1">IFERROR(__xludf.DUMMYFUNCTION("""COMPUTED_VALUE"""),"No")</f>
        <v>No</v>
      </c>
      <c r="AF1496" s="8"/>
      <c r="AG1496" s="8" t="str">
        <f ca="1">IFERROR(__xludf.DUMMYFUNCTION("""COMPUTED_VALUE"""),"No")</f>
        <v>No</v>
      </c>
      <c r="AH1496" s="8" t="str">
        <f ca="1">IFERROR(__xludf.DUMMYFUNCTION("""COMPUTED_VALUE"""),"No")</f>
        <v>No</v>
      </c>
      <c r="AI1496" s="8" t="str">
        <f ca="1">IFERROR(__xludf.DUMMYFUNCTION("""COMPUTED_VALUE"""),"No")</f>
        <v>No</v>
      </c>
      <c r="AJ1496" s="8" t="str">
        <f ca="1">IFERROR(__xludf.DUMMYFUNCTION("""COMPUTED_VALUE"""),"No")</f>
        <v>No</v>
      </c>
      <c r="AK1496" s="8" t="str">
        <f ca="1">IFERROR(__xludf.DUMMYFUNCTION("""COMPUTED_VALUE"""),"No")</f>
        <v>No</v>
      </c>
      <c r="AL1496" s="8"/>
      <c r="AM1496" s="8" t="str">
        <f ca="1">IFERROR(__xludf.DUMMYFUNCTION("""COMPUTED_VALUE"""),"No")</f>
        <v>No</v>
      </c>
      <c r="AN1496" s="8"/>
      <c r="AO1496" s="8" t="str">
        <f ca="1">IFERROR(__xludf.DUMMYFUNCTION("""COMPUTED_VALUE"""),"No")</f>
        <v>No</v>
      </c>
      <c r="AP1496" s="8"/>
      <c r="AQ1496" s="8" t="str">
        <f ca="1">IFERROR(__xludf.DUMMYFUNCTION("""COMPUTED_VALUE"""),"Unknown")</f>
        <v>Unknown</v>
      </c>
      <c r="AR1496" s="8" t="str">
        <f ca="1">IFERROR(__xludf.DUMMYFUNCTION("""COMPUTED_VALUE"""),"Outside/Off-Property")</f>
        <v>Outside/Off-Property</v>
      </c>
      <c r="AS1496" s="8"/>
      <c r="AT1496" s="8"/>
      <c r="AU1496" s="8">
        <f ca="1">IFERROR(__xludf.DUMMYFUNCTION("""COMPUTED_VALUE"""),36.724746)</f>
        <v>36.724746000000003</v>
      </c>
      <c r="AV1496" s="8">
        <f ca="1">IFERROR(__xludf.DUMMYFUNCTION("""COMPUTED_VALUE"""),-78.917088)</f>
        <v>-78.917088000000007</v>
      </c>
      <c r="AW1496" s="8"/>
      <c r="AX1496" s="8">
        <f ca="1">IFERROR(__xludf.DUMMYFUNCTION("""COMPUTED_VALUE"""),24592)</f>
        <v>24592</v>
      </c>
    </row>
    <row r="1497" spans="1:50" ht="75" x14ac:dyDescent="0.2">
      <c r="A1497" s="8" t="str">
        <f ca="1">IFERROR(__xludf.DUMMYFUNCTION("""COMPUTED_VALUE"""),"20200621INCOC")</f>
        <v>20200621INCOC</v>
      </c>
      <c r="B1497" s="8">
        <f ca="1">IFERROR(__xludf.DUMMYFUNCTION("""COMPUTED_VALUE"""),6)</f>
        <v>6</v>
      </c>
      <c r="C1497" s="8">
        <f ca="1">IFERROR(__xludf.DUMMYFUNCTION("""COMPUTED_VALUE"""),21)</f>
        <v>21</v>
      </c>
      <c r="D1497" s="8">
        <f ca="1">IFERROR(__xludf.DUMMYFUNCTION("""COMPUTED_VALUE"""),2020)</f>
        <v>2020</v>
      </c>
      <c r="E1497" s="9">
        <f ca="1">IFERROR(__xludf.DUMMYFUNCTION("""COMPUTED_VALUE"""),44003)</f>
        <v>44003</v>
      </c>
      <c r="F1497" s="8" t="str">
        <f ca="1">IFERROR(__xludf.DUMMYFUNCTION("""COMPUTED_VALUE"""),"Columbus East High School")</f>
        <v>Columbus East High School</v>
      </c>
      <c r="G1497" s="8">
        <f ca="1">IFERROR(__xludf.DUMMYFUNCTION("""COMPUTED_VALUE"""),0)</f>
        <v>0</v>
      </c>
      <c r="H1497" s="8">
        <f ca="1">IFERROR(__xludf.DUMMYFUNCTION("""COMPUTED_VALUE"""),0)</f>
        <v>0</v>
      </c>
      <c r="I1497" s="8">
        <f ca="1">IFERROR(__xludf.DUMMYFUNCTION("""COMPUTED_VALUE"""),0)</f>
        <v>0</v>
      </c>
      <c r="J1497" s="8">
        <f ca="1">IFERROR(__xludf.DUMMYFUNCTION("""COMPUTED_VALUE"""),0)</f>
        <v>0</v>
      </c>
      <c r="K1497" s="8" t="str">
        <f ca="1">IFERROR(__xludf.DUMMYFUNCTION("""COMPUTED_VALUE"""),"https://www.wthr.com/article/news/crime/columbus-teenagers-accused-of-damaging-school-shooting-gun-in-cemetery/531-cfb8a401-31f9-4a5d-8480-635f5f5f734c https://www.localnewsdigital.com/2020/06/24/cpd-seeks-information-regarding-columbus-east-vandalism/ ht"&amp;"tps://wrbiradio.com/2020/06/26/three-juveniles-in-custody-after-gun-theft-and-vandalism-reported/")</f>
        <v>https://www.wthr.com/article/news/crime/columbus-teenagers-accused-of-damaging-school-shooting-gun-in-cemetery/531-cfb8a401-31f9-4a5d-8480-635f5f5f734c https://www.localnewsdigital.com/2020/06/24/cpd-seeks-information-regarding-columbus-east-vandalism/ https://wrbiradio.com/2020/06/26/three-juveniles-in-custody-after-gun-theft-and-vandalism-reported/</v>
      </c>
      <c r="L1497" s="8">
        <f ca="1">IFERROR(__xludf.DUMMYFUNCTION("""COMPUTED_VALUE"""),3)</f>
        <v>3</v>
      </c>
      <c r="M1497" s="8" t="str">
        <f ca="1">IFERROR(__xludf.DUMMYFUNCTION("""COMPUTED_VALUE"""),"Local")</f>
        <v>Local</v>
      </c>
      <c r="N1497" s="8">
        <f ca="1">IFERROR(__xludf.DUMMYFUNCTION("""COMPUTED_VALUE"""),4)</f>
        <v>4</v>
      </c>
      <c r="O1497" s="8" t="str">
        <f ca="1">IFERROR(__xludf.DUMMYFUNCTION("""COMPUTED_VALUE"""),"Summer")</f>
        <v>Summer</v>
      </c>
      <c r="P1497" s="8" t="str">
        <f ca="1">IFERROR(__xludf.DUMMYFUNCTION("""COMPUTED_VALUE"""),"Columbus")</f>
        <v>Columbus</v>
      </c>
      <c r="Q1497" s="8" t="str">
        <f ca="1">IFERROR(__xludf.DUMMYFUNCTION("""COMPUTED_VALUE"""),"IN")</f>
        <v>IN</v>
      </c>
      <c r="R1497" s="8" t="str">
        <f ca="1">IFERROR(__xludf.DUMMYFUNCTION("""COMPUTED_VALUE"""),"High")</f>
        <v>High</v>
      </c>
      <c r="S1497" s="8" t="str">
        <f ca="1">IFERROR(__xludf.DUMMYFUNCTION("""COMPUTED_VALUE"""),"Beside Building")</f>
        <v>Beside Building</v>
      </c>
      <c r="T1497" s="8" t="str">
        <f ca="1">IFERROR(__xludf.DUMMYFUNCTION("""COMPUTED_VALUE"""),"Outside on School Property")</f>
        <v>Outside on School Property</v>
      </c>
      <c r="U1497" s="8" t="str">
        <f ca="1">IFERROR(__xludf.DUMMYFUNCTION("""COMPUTED_VALUE"""),"No")</f>
        <v>No</v>
      </c>
      <c r="V1497" s="8" t="str">
        <f ca="1">IFERROR(__xludf.DUMMYFUNCTION("""COMPUTED_VALUE"""),"Night")</f>
        <v>Night</v>
      </c>
      <c r="W1497" s="11">
        <f ca="1">IFERROR(__xludf.DUMMYFUNCTION("""COMPUTED_VALUE"""),0.229166666666666)</f>
        <v>0.22916666666666599</v>
      </c>
      <c r="X1497" s="8">
        <f ca="1">IFERROR(__xludf.DUMMYFUNCTION("""COMPUTED_VALUE"""),1)</f>
        <v>1</v>
      </c>
      <c r="Y1497" s="12" t="str">
        <f ca="1">IFERROR(__xludf.DUMMYFUNCTION("""COMPUTED_VALUE"""),"Three teen males fired a stolen handgun at the school building damaging windows.")</f>
        <v>Three teen males fired a stolen handgun at the school building damaging windows.</v>
      </c>
      <c r="Z1497" s="12" t="str">
        <f ca="1">IFERROR(__xludf.DUMMYFUNCTION("""COMPUTED_VALUE"""),"14 year-old male, 16 year-old male, and 16 year-old male fired a stolen handgun at the school building damaging property. Later arrested after being identified with CCTV footage.")</f>
        <v>14 year-old male, 16 year-old male, and 16 year-old male fired a stolen handgun at the school building damaging property. Later arrested after being identified with CCTV footage.</v>
      </c>
      <c r="AA1497" s="8" t="str">
        <f ca="1">IFERROR(__xludf.DUMMYFUNCTION("""COMPUTED_VALUE"""),"Intentional Property Damage")</f>
        <v>Intentional Property Damage</v>
      </c>
      <c r="AB1497" s="8"/>
      <c r="AC1497" s="8" t="str">
        <f ca="1">IFERROR(__xludf.DUMMYFUNCTION("""COMPUTED_VALUE"""),"No")</f>
        <v>No</v>
      </c>
      <c r="AD1497" s="8" t="str">
        <f ca="1">IFERROR(__xludf.DUMMYFUNCTION("""COMPUTED_VALUE"""),"Neither")</f>
        <v>Neither</v>
      </c>
      <c r="AE1497" s="8" t="str">
        <f ca="1">IFERROR(__xludf.DUMMYFUNCTION("""COMPUTED_VALUE"""),"Yes")</f>
        <v>Yes</v>
      </c>
      <c r="AF1497" s="8" t="str">
        <f ca="1">IFERROR(__xludf.DUMMYFUNCTION("""COMPUTED_VALUE"""),"3 teens")</f>
        <v>3 teens</v>
      </c>
      <c r="AG1497" s="8" t="str">
        <f ca="1">IFERROR(__xludf.DUMMYFUNCTION("""COMPUTED_VALUE"""),"No")</f>
        <v>No</v>
      </c>
      <c r="AH1497" s="8" t="str">
        <f ca="1">IFERROR(__xludf.DUMMYFUNCTION("""COMPUTED_VALUE"""),"No")</f>
        <v>No</v>
      </c>
      <c r="AI1497" s="8" t="str">
        <f ca="1">IFERROR(__xludf.DUMMYFUNCTION("""COMPUTED_VALUE"""),"No")</f>
        <v>No</v>
      </c>
      <c r="AJ1497" s="8" t="str">
        <f ca="1">IFERROR(__xludf.DUMMYFUNCTION("""COMPUTED_VALUE"""),"No")</f>
        <v>No</v>
      </c>
      <c r="AK1497" s="8" t="str">
        <f ca="1">IFERROR(__xludf.DUMMYFUNCTION("""COMPUTED_VALUE"""),"No")</f>
        <v>No</v>
      </c>
      <c r="AL1497" s="8" t="str">
        <f ca="1">IFERROR(__xludf.DUMMYFUNCTION("""COMPUTED_VALUE"""),"No")</f>
        <v>No</v>
      </c>
      <c r="AM1497" s="8" t="str">
        <f ca="1">IFERROR(__xludf.DUMMYFUNCTION("""COMPUTED_VALUE"""),"No")</f>
        <v>No</v>
      </c>
      <c r="AN1497" s="8"/>
      <c r="AO1497" s="8" t="str">
        <f ca="1">IFERROR(__xludf.DUMMYFUNCTION("""COMPUTED_VALUE"""),"No")</f>
        <v>No</v>
      </c>
      <c r="AP1497" s="8"/>
      <c r="AQ1497" s="8" t="str">
        <f ca="1">IFERROR(__xludf.DUMMYFUNCTION("""COMPUTED_VALUE"""),"Unknown")</f>
        <v>Unknown</v>
      </c>
      <c r="AR1497" s="8" t="str">
        <f ca="1">IFERROR(__xludf.DUMMYFUNCTION("""COMPUTED_VALUE"""),"Outside/Off-Property")</f>
        <v>Outside/Off-Property</v>
      </c>
      <c r="AS1497" s="8"/>
      <c r="AT1497" s="8"/>
      <c r="AU1497" s="8">
        <f ca="1">IFERROR(__xludf.DUMMYFUNCTION("""COMPUTED_VALUE"""),39.194551)</f>
        <v>39.194550999999997</v>
      </c>
      <c r="AV1497" s="8">
        <f ca="1">IFERROR(__xludf.DUMMYFUNCTION("""COMPUTED_VALUE"""),-85.886226)</f>
        <v>-85.886225999999994</v>
      </c>
      <c r="AW1497" s="8"/>
      <c r="AX1497" s="8">
        <f ca="1">IFERROR(__xludf.DUMMYFUNCTION("""COMPUTED_VALUE"""),47203)</f>
        <v>47203</v>
      </c>
    </row>
    <row r="1498" spans="1:50" ht="60" x14ac:dyDescent="0.2">
      <c r="A1498" s="8" t="str">
        <f ca="1">IFERROR(__xludf.DUMMYFUNCTION("""COMPUTED_VALUE"""),"20200618INJOI")</f>
        <v>20200618INJOI</v>
      </c>
      <c r="B1498" s="8">
        <f ca="1">IFERROR(__xludf.DUMMYFUNCTION("""COMPUTED_VALUE"""),6)</f>
        <v>6</v>
      </c>
      <c r="C1498" s="8">
        <f ca="1">IFERROR(__xludf.DUMMYFUNCTION("""COMPUTED_VALUE"""),18)</f>
        <v>18</v>
      </c>
      <c r="D1498" s="8">
        <f ca="1">IFERROR(__xludf.DUMMYFUNCTION("""COMPUTED_VALUE"""),2020)</f>
        <v>2020</v>
      </c>
      <c r="E1498" s="9">
        <f ca="1">IFERROR(__xludf.DUMMYFUNCTION("""COMPUTED_VALUE"""),44000)</f>
        <v>44000</v>
      </c>
      <c r="F1498" s="8" t="str">
        <f ca="1">IFERROR(__xludf.DUMMYFUNCTION("""COMPUTED_VALUE"""),"Joyce Kilmer School 69")</f>
        <v>Joyce Kilmer School 69</v>
      </c>
      <c r="G1498" s="8">
        <f ca="1">IFERROR(__xludf.DUMMYFUNCTION("""COMPUTED_VALUE"""),0)</f>
        <v>0</v>
      </c>
      <c r="H1498" s="8">
        <f ca="1">IFERROR(__xludf.DUMMYFUNCTION("""COMPUTED_VALUE"""),0)</f>
        <v>0</v>
      </c>
      <c r="I1498" s="8">
        <f ca="1">IFERROR(__xludf.DUMMYFUNCTION("""COMPUTED_VALUE"""),0)</f>
        <v>0</v>
      </c>
      <c r="J1498" s="8">
        <f ca="1">IFERROR(__xludf.DUMMYFUNCTION("""COMPUTED_VALUE"""),0)</f>
        <v>0</v>
      </c>
      <c r="K1498" s="8" t="str">
        <f ca="1">IFERROR(__xludf.DUMMYFUNCTION("""COMPUTED_VALUE"""),"https://fox59.com/news/man-found-shot-to-death-outside-school-on-near-north-side-of-indianapolis/ https://cbs4indy.com/news/impd-investigates-shooting-death-of-man-found-outside-school-on-near-north-side/")</f>
        <v>https://fox59.com/news/man-found-shot-to-death-outside-school-on-near-north-side-of-indianapolis/ https://cbs4indy.com/news/impd-investigates-shooting-death-of-man-found-outside-school-on-near-north-side/</v>
      </c>
      <c r="L1498" s="8">
        <f ca="1">IFERROR(__xludf.DUMMYFUNCTION("""COMPUTED_VALUE"""),2)</f>
        <v>2</v>
      </c>
      <c r="M1498" s="8" t="str">
        <f ca="1">IFERROR(__xludf.DUMMYFUNCTION("""COMPUTED_VALUE"""),"Local")</f>
        <v>Local</v>
      </c>
      <c r="N1498" s="8">
        <f ca="1">IFERROR(__xludf.DUMMYFUNCTION("""COMPUTED_VALUE"""),4)</f>
        <v>4</v>
      </c>
      <c r="O1498" s="8" t="str">
        <f ca="1">IFERROR(__xludf.DUMMYFUNCTION("""COMPUTED_VALUE"""),"Summer")</f>
        <v>Summer</v>
      </c>
      <c r="P1498" s="8" t="str">
        <f ca="1">IFERROR(__xludf.DUMMYFUNCTION("""COMPUTED_VALUE"""),"Indianapolis")</f>
        <v>Indianapolis</v>
      </c>
      <c r="Q1498" s="8" t="str">
        <f ca="1">IFERROR(__xludf.DUMMYFUNCTION("""COMPUTED_VALUE"""),"IN")</f>
        <v>IN</v>
      </c>
      <c r="R1498" s="8" t="str">
        <f ca="1">IFERROR(__xludf.DUMMYFUNCTION("""COMPUTED_VALUE"""),"Elementary")</f>
        <v>Elementary</v>
      </c>
      <c r="S1498" s="8" t="str">
        <f ca="1">IFERROR(__xludf.DUMMYFUNCTION("""COMPUTED_VALUE"""),"Beside Building")</f>
        <v>Beside Building</v>
      </c>
      <c r="T1498" s="8" t="str">
        <f ca="1">IFERROR(__xludf.DUMMYFUNCTION("""COMPUTED_VALUE"""),"Outside on School Property")</f>
        <v>Outside on School Property</v>
      </c>
      <c r="U1498" s="8" t="str">
        <f ca="1">IFERROR(__xludf.DUMMYFUNCTION("""COMPUTED_VALUE"""),"No")</f>
        <v>No</v>
      </c>
      <c r="V1498" s="8" t="str">
        <f ca="1">IFERROR(__xludf.DUMMYFUNCTION("""COMPUTED_VALUE"""),"Night")</f>
        <v>Night</v>
      </c>
      <c r="W1498" s="11">
        <f ca="1">IFERROR(__xludf.DUMMYFUNCTION("""COMPUTED_VALUE"""),0.0625)</f>
        <v>6.25E-2</v>
      </c>
      <c r="X1498" s="8">
        <f ca="1">IFERROR(__xludf.DUMMYFUNCTION("""COMPUTED_VALUE"""),1)</f>
        <v>1</v>
      </c>
      <c r="Y1498" s="12" t="str">
        <f ca="1">IFERROR(__xludf.DUMMYFUNCTION("""COMPUTED_VALUE"""),"Adult male found dead next to school")</f>
        <v>Adult male found dead next to school</v>
      </c>
      <c r="Z1498" s="12" t="str">
        <f ca="1">IFERROR(__xludf.DUMMYFUNCTION("""COMPUTED_VALUE"""),"A 37 year-old male was found lying in the grass next to the school. Neighbors reported hearing gunshots. Police believe the shooting was related to an attempted robbery at a nearby business.  No suspects.")</f>
        <v>A 37 year-old male was found lying in the grass next to the school. Neighbors reported hearing gunshots. Police believe the shooting was related to an attempted robbery at a nearby business.  No suspects.</v>
      </c>
      <c r="AA1498" s="8" t="str">
        <f ca="1">IFERROR(__xludf.DUMMYFUNCTION("""COMPUTED_VALUE"""),"Illegal Activity")</f>
        <v>Illegal Activity</v>
      </c>
      <c r="AB1498" s="8"/>
      <c r="AC1498" s="8" t="str">
        <f ca="1">IFERROR(__xludf.DUMMYFUNCTION("""COMPUTED_VALUE"""),"No")</f>
        <v>No</v>
      </c>
      <c r="AD1498" s="8"/>
      <c r="AE1498" s="8"/>
      <c r="AF1498" s="8"/>
      <c r="AG1498" s="8" t="str">
        <f ca="1">IFERROR(__xludf.DUMMYFUNCTION("""COMPUTED_VALUE"""),"No")</f>
        <v>No</v>
      </c>
      <c r="AH1498" s="8" t="str">
        <f ca="1">IFERROR(__xludf.DUMMYFUNCTION("""COMPUTED_VALUE"""),"No")</f>
        <v>No</v>
      </c>
      <c r="AI1498" s="8" t="str">
        <f ca="1">IFERROR(__xludf.DUMMYFUNCTION("""COMPUTED_VALUE"""),"No")</f>
        <v>No</v>
      </c>
      <c r="AJ1498" s="8" t="str">
        <f ca="1">IFERROR(__xludf.DUMMYFUNCTION("""COMPUTED_VALUE"""),"No")</f>
        <v>No</v>
      </c>
      <c r="AK1498" s="8" t="str">
        <f ca="1">IFERROR(__xludf.DUMMYFUNCTION("""COMPUTED_VALUE"""),"No")</f>
        <v>No</v>
      </c>
      <c r="AL1498" s="8"/>
      <c r="AM1498" s="8" t="str">
        <f ca="1">IFERROR(__xludf.DUMMYFUNCTION("""COMPUTED_VALUE"""),"No")</f>
        <v>No</v>
      </c>
      <c r="AN1498" s="8"/>
      <c r="AO1498" s="8" t="str">
        <f ca="1">IFERROR(__xludf.DUMMYFUNCTION("""COMPUTED_VALUE"""),"No")</f>
        <v>No</v>
      </c>
      <c r="AP1498" s="8"/>
      <c r="AQ1498" s="8" t="str">
        <f ca="1">IFERROR(__xludf.DUMMYFUNCTION("""COMPUTED_VALUE"""),"Unknown")</f>
        <v>Unknown</v>
      </c>
      <c r="AR1498" s="8" t="str">
        <f ca="1">IFERROR(__xludf.DUMMYFUNCTION("""COMPUTED_VALUE"""),"Outside/Off-Property")</f>
        <v>Outside/Off-Property</v>
      </c>
      <c r="AS1498" s="8"/>
      <c r="AT1498" s="8"/>
      <c r="AU1498" s="8">
        <f ca="1">IFERROR(__xludf.DUMMYFUNCTION("""COMPUTED_VALUE"""),39.818588)</f>
        <v>39.818587999999998</v>
      </c>
      <c r="AV1498" s="8">
        <f ca="1">IFERROR(__xludf.DUMMYFUNCTION("""COMPUTED_VALUE"""),-86.121078)</f>
        <v>-86.121077999999997</v>
      </c>
      <c r="AW1498" s="8"/>
      <c r="AX1498" s="8">
        <f ca="1">IFERROR(__xludf.DUMMYFUNCTION("""COMPUTED_VALUE"""),46218)</f>
        <v>46218</v>
      </c>
    </row>
    <row r="1499" spans="1:50" ht="60" x14ac:dyDescent="0.2">
      <c r="A1499" s="8" t="str">
        <f ca="1">IFERROR(__xludf.DUMMYFUNCTION("""COMPUTED_VALUE"""),"20200616FLTOM")</f>
        <v>20200616FLTOM</v>
      </c>
      <c r="B1499" s="8">
        <f ca="1">IFERROR(__xludf.DUMMYFUNCTION("""COMPUTED_VALUE"""),6)</f>
        <v>6</v>
      </c>
      <c r="C1499" s="8">
        <f ca="1">IFERROR(__xludf.DUMMYFUNCTION("""COMPUTED_VALUE"""),16)</f>
        <v>16</v>
      </c>
      <c r="D1499" s="8">
        <f ca="1">IFERROR(__xludf.DUMMYFUNCTION("""COMPUTED_VALUE"""),2020)</f>
        <v>2020</v>
      </c>
      <c r="E1499" s="9">
        <f ca="1">IFERROR(__xludf.DUMMYFUNCTION("""COMPUTED_VALUE"""),43998)</f>
        <v>43998</v>
      </c>
      <c r="F1499" s="8" t="str">
        <f ca="1">IFERROR(__xludf.DUMMYFUNCTION("""COMPUTED_VALUE"""),"Touissant Louverture Elementary School")</f>
        <v>Touissant Louverture Elementary School</v>
      </c>
      <c r="G1499" s="8">
        <f ca="1">IFERROR(__xludf.DUMMYFUNCTION("""COMPUTED_VALUE"""),0)</f>
        <v>0</v>
      </c>
      <c r="H1499" s="8">
        <f ca="1">IFERROR(__xludf.DUMMYFUNCTION("""COMPUTED_VALUE"""),1)</f>
        <v>1</v>
      </c>
      <c r="I1499" s="8">
        <f ca="1">IFERROR(__xludf.DUMMYFUNCTION("""COMPUTED_VALUE"""),1)</f>
        <v>1</v>
      </c>
      <c r="J1499" s="8">
        <f ca="1">IFERROR(__xludf.DUMMYFUNCTION("""COMPUTED_VALUE"""),0)</f>
        <v>0</v>
      </c>
      <c r="K1499" s="8" t="str">
        <f ca="1">IFERROR(__xludf.DUMMYFUNCTION("""COMPUTED_VALUE"""),"https://miami.cbslocal.com/2020/06/17/little-haiti-homicide-investigated/ https://miami.cbslocal.com/2017/02/10/bullets-strike-little-haiti-elementary-school/")</f>
        <v>https://miami.cbslocal.com/2020/06/17/little-haiti-homicide-investigated/ https://miami.cbslocal.com/2017/02/10/bullets-strike-little-haiti-elementary-school/</v>
      </c>
      <c r="L1499" s="8">
        <f ca="1">IFERROR(__xludf.DUMMYFUNCTION("""COMPUTED_VALUE"""),2)</f>
        <v>2</v>
      </c>
      <c r="M1499" s="8" t="str">
        <f ca="1">IFERROR(__xludf.DUMMYFUNCTION("""COMPUTED_VALUE"""),"Local")</f>
        <v>Local</v>
      </c>
      <c r="N1499" s="8">
        <f ca="1">IFERROR(__xludf.DUMMYFUNCTION("""COMPUTED_VALUE"""),4)</f>
        <v>4</v>
      </c>
      <c r="O1499" s="8" t="str">
        <f ca="1">IFERROR(__xludf.DUMMYFUNCTION("""COMPUTED_VALUE"""),"Summer")</f>
        <v>Summer</v>
      </c>
      <c r="P1499" s="8" t="str">
        <f ca="1">IFERROR(__xludf.DUMMYFUNCTION("""COMPUTED_VALUE"""),"Miami")</f>
        <v>Miami</v>
      </c>
      <c r="Q1499" s="8" t="str">
        <f ca="1">IFERROR(__xludf.DUMMYFUNCTION("""COMPUTED_VALUE"""),"FL")</f>
        <v>FL</v>
      </c>
      <c r="R1499" s="8" t="str">
        <f ca="1">IFERROR(__xludf.DUMMYFUNCTION("""COMPUTED_VALUE"""),"Elementary")</f>
        <v>Elementary</v>
      </c>
      <c r="S1499" s="8" t="str">
        <f ca="1">IFERROR(__xludf.DUMMYFUNCTION("""COMPUTED_VALUE"""),"Front of School")</f>
        <v>Front of School</v>
      </c>
      <c r="T1499" s="8" t="str">
        <f ca="1">IFERROR(__xludf.DUMMYFUNCTION("""COMPUTED_VALUE"""),"Off School Property")</f>
        <v>Off School Property</v>
      </c>
      <c r="U1499" s="8" t="str">
        <f ca="1">IFERROR(__xludf.DUMMYFUNCTION("""COMPUTED_VALUE"""),"No")</f>
        <v>No</v>
      </c>
      <c r="V1499" s="8" t="str">
        <f ca="1">IFERROR(__xludf.DUMMYFUNCTION("""COMPUTED_VALUE"""),"Night")</f>
        <v>Night</v>
      </c>
      <c r="W1499" s="11">
        <f ca="1">IFERROR(__xludf.DUMMYFUNCTION("""COMPUTED_VALUE"""),0.96875)</f>
        <v>0.96875</v>
      </c>
      <c r="X1499" s="8">
        <f ca="1">IFERROR(__xludf.DUMMYFUNCTION("""COMPUTED_VALUE"""),1)</f>
        <v>1</v>
      </c>
      <c r="Y1499" s="12" t="str">
        <f ca="1">IFERROR(__xludf.DUMMYFUNCTION("""COMPUTED_VALUE"""),"Shots fired during a drive-by struck the school building")</f>
        <v>Shots fired during a drive-by struck the school building</v>
      </c>
      <c r="Z1499" s="12" t="str">
        <f ca="1">IFERROR(__xludf.DUMMYFUNCTION("""COMPUTED_VALUE"""),"At least 56 shots were fired during a drive-by shooting that targeted two adult victims in front of the school building. The school building was struck by bullets. No suspects identified. School was closed.")</f>
        <v>At least 56 shots were fired during a drive-by shooting that targeted two adult victims in front of the school building. The school building was struck by bullets. No suspects identified. School was closed.</v>
      </c>
      <c r="AA1499" s="8" t="str">
        <f ca="1">IFERROR(__xludf.DUMMYFUNCTION("""COMPUTED_VALUE"""),"Drive-by Shooting")</f>
        <v>Drive-by Shooting</v>
      </c>
      <c r="AB1499" s="8"/>
      <c r="AC1499" s="8" t="str">
        <f ca="1">IFERROR(__xludf.DUMMYFUNCTION("""COMPUTED_VALUE"""),"No")</f>
        <v>No</v>
      </c>
      <c r="AD1499" s="8"/>
      <c r="AE1499" s="8"/>
      <c r="AF1499" s="8"/>
      <c r="AG1499" s="8" t="str">
        <f ca="1">IFERROR(__xludf.DUMMYFUNCTION("""COMPUTED_VALUE"""),"No")</f>
        <v>No</v>
      </c>
      <c r="AH1499" s="8" t="str">
        <f ca="1">IFERROR(__xludf.DUMMYFUNCTION("""COMPUTED_VALUE"""),"No")</f>
        <v>No</v>
      </c>
      <c r="AI1499" s="8" t="str">
        <f ca="1">IFERROR(__xludf.DUMMYFUNCTION("""COMPUTED_VALUE"""),"No")</f>
        <v>No</v>
      </c>
      <c r="AJ1499" s="8" t="str">
        <f ca="1">IFERROR(__xludf.DUMMYFUNCTION("""COMPUTED_VALUE"""),"No")</f>
        <v>No</v>
      </c>
      <c r="AK1499" s="8" t="str">
        <f ca="1">IFERROR(__xludf.DUMMYFUNCTION("""COMPUTED_VALUE"""),"No")</f>
        <v>No</v>
      </c>
      <c r="AL1499" s="8" t="str">
        <f ca="1">IFERROR(__xludf.DUMMYFUNCTION("""COMPUTED_VALUE"""),"Yes")</f>
        <v>Yes</v>
      </c>
      <c r="AM1499" s="8" t="str">
        <f ca="1">IFERROR(__xludf.DUMMYFUNCTION("""COMPUTED_VALUE"""),"No")</f>
        <v>No</v>
      </c>
      <c r="AN1499" s="8"/>
      <c r="AO1499" s="8" t="str">
        <f ca="1">IFERROR(__xludf.DUMMYFUNCTION("""COMPUTED_VALUE"""),"No")</f>
        <v>No</v>
      </c>
      <c r="AP1499" s="8"/>
      <c r="AQ1499" s="8" t="str">
        <f ca="1">IFERROR(__xludf.DUMMYFUNCTION("""COMPUTED_VALUE"""),"Unknown")</f>
        <v>Unknown</v>
      </c>
      <c r="AR1499" s="8" t="str">
        <f ca="1">IFERROR(__xludf.DUMMYFUNCTION("""COMPUTED_VALUE"""),"Outside/Off-Property")</f>
        <v>Outside/Off-Property</v>
      </c>
      <c r="AS1499" s="8">
        <f ca="1">IFERROR(__xludf.DUMMYFUNCTION("""COMPUTED_VALUE"""),56)</f>
        <v>56</v>
      </c>
      <c r="AT1499" s="8"/>
      <c r="AU1499" s="8">
        <f ca="1">IFERROR(__xludf.DUMMYFUNCTION("""COMPUTED_VALUE"""),25.829304)</f>
        <v>25.829304</v>
      </c>
      <c r="AV1499" s="8">
        <f ca="1">IFERROR(__xludf.DUMMYFUNCTION("""COMPUTED_VALUE"""),-80.194129)</f>
        <v>-80.194129000000004</v>
      </c>
      <c r="AW1499" s="8"/>
      <c r="AX1499" s="8">
        <f ca="1">IFERROR(__xludf.DUMMYFUNCTION("""COMPUTED_VALUE"""),33137)</f>
        <v>33137</v>
      </c>
    </row>
    <row r="1500" spans="1:50" ht="75" x14ac:dyDescent="0.2">
      <c r="A1500" s="8" t="str">
        <f ca="1">IFERROR(__xludf.DUMMYFUNCTION("""COMPUTED_VALUE"""),"20200603IAGAD")</f>
        <v>20200603IAGAD</v>
      </c>
      <c r="B1500" s="8">
        <f ca="1">IFERROR(__xludf.DUMMYFUNCTION("""COMPUTED_VALUE"""),6)</f>
        <v>6</v>
      </c>
      <c r="C1500" s="8">
        <f ca="1">IFERROR(__xludf.DUMMYFUNCTION("""COMPUTED_VALUE"""),3)</f>
        <v>3</v>
      </c>
      <c r="D1500" s="8">
        <f ca="1">IFERROR(__xludf.DUMMYFUNCTION("""COMPUTED_VALUE"""),2020)</f>
        <v>2020</v>
      </c>
      <c r="E1500" s="9">
        <f ca="1">IFERROR(__xludf.DUMMYFUNCTION("""COMPUTED_VALUE"""),43985)</f>
        <v>43985</v>
      </c>
      <c r="F1500" s="8" t="str">
        <f ca="1">IFERROR(__xludf.DUMMYFUNCTION("""COMPUTED_VALUE"""),"Garfield Elementary School")</f>
        <v>Garfield Elementary School</v>
      </c>
      <c r="G1500" s="8">
        <f ca="1">IFERROR(__xludf.DUMMYFUNCTION("""COMPUTED_VALUE"""),0)</f>
        <v>0</v>
      </c>
      <c r="H1500" s="8">
        <f ca="1">IFERROR(__xludf.DUMMYFUNCTION("""COMPUTED_VALUE"""),1)</f>
        <v>1</v>
      </c>
      <c r="I1500" s="8">
        <f ca="1">IFERROR(__xludf.DUMMYFUNCTION("""COMPUTED_VALUE"""),1)</f>
        <v>1</v>
      </c>
      <c r="J1500" s="8">
        <f ca="1">IFERROR(__xludf.DUMMYFUNCTION("""COMPUTED_VALUE"""),0)</f>
        <v>0</v>
      </c>
      <c r="K1500" s="8" t="str">
        <f ca="1">IFERROR(__xludf.DUMMYFUNCTION("""COMPUTED_VALUE"""),"https://www.ourquadcities.com/news/local-news/shooting-near-garfield-elementary-in-davenport/ https://qctimes.com/news/local/crime-and-courts/watch-now-teen-injured-in-shooting-outside-garfield-elementary-school-in-davenport/article_7a80740c-0af4-5471-b0f"&amp;"2-0dfc61cf3223.html https://www.kwqc.com/content/news/Shooting-near-Davenport-Garfield-Elementary-leaves-man-injured-Wednesday-571020891.html")</f>
        <v>https://www.ourquadcities.com/news/local-news/shooting-near-garfield-elementary-in-davenport/ https://qctimes.com/news/local/crime-and-courts/watch-now-teen-injured-in-shooting-outside-garfield-elementary-school-in-davenport/article_7a80740c-0af4-5471-b0f2-0dfc61cf3223.html https://www.kwqc.com/content/news/Shooting-near-Davenport-Garfield-Elementary-leaves-man-injured-Wednesday-571020891.html</v>
      </c>
      <c r="L1500" s="8"/>
      <c r="M1500" s="8"/>
      <c r="N1500" s="8">
        <f ca="1">IFERROR(__xludf.DUMMYFUNCTION("""COMPUTED_VALUE"""),4)</f>
        <v>4</v>
      </c>
      <c r="O1500" s="8" t="str">
        <f ca="1">IFERROR(__xludf.DUMMYFUNCTION("""COMPUTED_VALUE"""),"Summer")</f>
        <v>Summer</v>
      </c>
      <c r="P1500" s="8" t="str">
        <f ca="1">IFERROR(__xludf.DUMMYFUNCTION("""COMPUTED_VALUE"""),"Davenport")</f>
        <v>Davenport</v>
      </c>
      <c r="Q1500" s="8" t="str">
        <f ca="1">IFERROR(__xludf.DUMMYFUNCTION("""COMPUTED_VALUE"""),"IA")</f>
        <v>IA</v>
      </c>
      <c r="R1500" s="8" t="str">
        <f ca="1">IFERROR(__xludf.DUMMYFUNCTION("""COMPUTED_VALUE"""),"Elementary")</f>
        <v>Elementary</v>
      </c>
      <c r="S1500" s="8" t="str">
        <f ca="1">IFERROR(__xludf.DUMMYFUNCTION("""COMPUTED_VALUE"""),"Front of School")</f>
        <v>Front of School</v>
      </c>
      <c r="T1500" s="8" t="str">
        <f ca="1">IFERROR(__xludf.DUMMYFUNCTION("""COMPUTED_VALUE"""),"Outside on School Property")</f>
        <v>Outside on School Property</v>
      </c>
      <c r="U1500" s="8" t="str">
        <f ca="1">IFERROR(__xludf.DUMMYFUNCTION("""COMPUTED_VALUE"""),"No")</f>
        <v>No</v>
      </c>
      <c r="V1500" s="8" t="str">
        <f ca="1">IFERROR(__xludf.DUMMYFUNCTION("""COMPUTED_VALUE"""),"Not a School Day")</f>
        <v>Not a School Day</v>
      </c>
      <c r="W1500" s="11">
        <f ca="1">IFERROR(__xludf.DUMMYFUNCTION("""COMPUTED_VALUE"""),0.538194444444444)</f>
        <v>0.53819444444444398</v>
      </c>
      <c r="X1500" s="8">
        <f ca="1">IFERROR(__xludf.DUMMYFUNCTION("""COMPUTED_VALUE"""),1)</f>
        <v>1</v>
      </c>
      <c r="Y1500" s="12" t="str">
        <f ca="1">IFERROR(__xludf.DUMMYFUNCTION("""COMPUTED_VALUE"""),"Adult male shot in front of school")</f>
        <v>Adult male shot in front of school</v>
      </c>
      <c r="Z1500" s="12" t="str">
        <f ca="1">IFERROR(__xludf.DUMMYFUNCTION("""COMPUTED_VALUE"""),"An 18 year-old male was shot by an unidentified adult male in vehicle in front of the school (closed for COVID). The victim was struck once in the leg and other bullets stuck the school's playground equipment. Shooter fled the scene. Motive unknown.")</f>
        <v>An 18 year-old male was shot by an unidentified adult male in vehicle in front of the school (closed for COVID). The victim was struck once in the leg and other bullets stuck the school's playground equipment. Shooter fled the scene. Motive unknown.</v>
      </c>
      <c r="AA1500" s="8" t="str">
        <f ca="1">IFERROR(__xludf.DUMMYFUNCTION("""COMPUTED_VALUE"""),"Drive-by Shooting")</f>
        <v>Drive-by Shooting</v>
      </c>
      <c r="AB1500" s="8"/>
      <c r="AC1500" s="8" t="str">
        <f ca="1">IFERROR(__xludf.DUMMYFUNCTION("""COMPUTED_VALUE"""),"No")</f>
        <v>No</v>
      </c>
      <c r="AD1500" s="8" t="str">
        <f ca="1">IFERROR(__xludf.DUMMYFUNCTION("""COMPUTED_VALUE"""),"Victims Targeted")</f>
        <v>Victims Targeted</v>
      </c>
      <c r="AE1500" s="8"/>
      <c r="AF1500" s="8"/>
      <c r="AG1500" s="8" t="str">
        <f ca="1">IFERROR(__xludf.DUMMYFUNCTION("""COMPUTED_VALUE"""),"No")</f>
        <v>No</v>
      </c>
      <c r="AH1500" s="8" t="str">
        <f ca="1">IFERROR(__xludf.DUMMYFUNCTION("""COMPUTED_VALUE"""),"No")</f>
        <v>No</v>
      </c>
      <c r="AI1500" s="8" t="str">
        <f ca="1">IFERROR(__xludf.DUMMYFUNCTION("""COMPUTED_VALUE"""),"No")</f>
        <v>No</v>
      </c>
      <c r="AJ1500" s="8" t="str">
        <f ca="1">IFERROR(__xludf.DUMMYFUNCTION("""COMPUTED_VALUE"""),"No")</f>
        <v>No</v>
      </c>
      <c r="AK1500" s="8" t="str">
        <f ca="1">IFERROR(__xludf.DUMMYFUNCTION("""COMPUTED_VALUE"""),"No")</f>
        <v>No</v>
      </c>
      <c r="AL1500" s="8"/>
      <c r="AM1500" s="8" t="str">
        <f ca="1">IFERROR(__xludf.DUMMYFUNCTION("""COMPUTED_VALUE"""),"No")</f>
        <v>No</v>
      </c>
      <c r="AN1500" s="8"/>
      <c r="AO1500" s="8" t="str">
        <f ca="1">IFERROR(__xludf.DUMMYFUNCTION("""COMPUTED_VALUE"""),"No")</f>
        <v>No</v>
      </c>
      <c r="AP1500" s="8"/>
      <c r="AQ1500" s="8" t="str">
        <f ca="1">IFERROR(__xludf.DUMMYFUNCTION("""COMPUTED_VALUE"""),"Unknown")</f>
        <v>Unknown</v>
      </c>
      <c r="AR1500" s="8" t="str">
        <f ca="1">IFERROR(__xludf.DUMMYFUNCTION("""COMPUTED_VALUE"""),"Outside/Off-Property")</f>
        <v>Outside/Off-Property</v>
      </c>
      <c r="AS1500" s="8" t="str">
        <f ca="1">IFERROR(__xludf.DUMMYFUNCTION("""COMPUTED_VALUE"""),"&gt;10")</f>
        <v>&gt;10</v>
      </c>
      <c r="AT1500" s="8" t="str">
        <f ca="1">IFERROR(__xludf.DUMMYFUNCTION("""COMPUTED_VALUE"""),"N/A")</f>
        <v>N/A</v>
      </c>
      <c r="AU1500" s="8">
        <f ca="1">IFERROR(__xludf.DUMMYFUNCTION("""COMPUTED_VALUE"""),41.549648)</f>
        <v>41.549647999999998</v>
      </c>
      <c r="AV1500" s="8">
        <f ca="1">IFERROR(__xludf.DUMMYFUNCTION("""COMPUTED_VALUE"""),-90.561163)</f>
        <v>-90.561162999999993</v>
      </c>
      <c r="AW1500" s="8"/>
      <c r="AX1500" s="8">
        <f ca="1">IFERROR(__xludf.DUMMYFUNCTION("""COMPUTED_VALUE"""),52803)</f>
        <v>52803</v>
      </c>
    </row>
    <row r="1501" spans="1:50" ht="60" x14ac:dyDescent="0.2">
      <c r="A1501" s="8" t="str">
        <f ca="1">IFERROR(__xludf.DUMMYFUNCTION("""COMPUTED_VALUE"""),"20200527OHLUC")</f>
        <v>20200527OHLUC</v>
      </c>
      <c r="B1501" s="8">
        <f ca="1">IFERROR(__xludf.DUMMYFUNCTION("""COMPUTED_VALUE"""),5)</f>
        <v>5</v>
      </c>
      <c r="C1501" s="8">
        <f ca="1">IFERROR(__xludf.DUMMYFUNCTION("""COMPUTED_VALUE"""),27)</f>
        <v>27</v>
      </c>
      <c r="D1501" s="8">
        <f ca="1">IFERROR(__xludf.DUMMYFUNCTION("""COMPUTED_VALUE"""),2020)</f>
        <v>2020</v>
      </c>
      <c r="E1501" s="9">
        <f ca="1">IFERROR(__xludf.DUMMYFUNCTION("""COMPUTED_VALUE"""),43978)</f>
        <v>43978</v>
      </c>
      <c r="F1501" s="8" t="str">
        <f ca="1">IFERROR(__xludf.DUMMYFUNCTION("""COMPUTED_VALUE"""),"Luis Munoz Marin Middle School")</f>
        <v>Luis Munoz Marin Middle School</v>
      </c>
      <c r="G1501" s="8">
        <f ca="1">IFERROR(__xludf.DUMMYFUNCTION("""COMPUTED_VALUE"""),0)</f>
        <v>0</v>
      </c>
      <c r="H1501" s="8">
        <f ca="1">IFERROR(__xludf.DUMMYFUNCTION("""COMPUTED_VALUE"""),0)</f>
        <v>0</v>
      </c>
      <c r="I1501" s="8">
        <f ca="1">IFERROR(__xludf.DUMMYFUNCTION("""COMPUTED_VALUE"""),0)</f>
        <v>0</v>
      </c>
      <c r="J1501" s="8">
        <f ca="1">IFERROR(__xludf.DUMMYFUNCTION("""COMPUTED_VALUE"""),1)</f>
        <v>1</v>
      </c>
      <c r="K1501" s="10" t="str">
        <f ca="1">IFERROR(__xludf.DUMMYFUNCTION("""COMPUTED_VALUE"""),"https://www.cleveland.com/metro/2020/05/man-shot-to-death-in-school-parking-lot-in-clevelands-tremont-neighborhood.html")</f>
        <v>https://www.cleveland.com/metro/2020/05/man-shot-to-death-in-school-parking-lot-in-clevelands-tremont-neighborhood.html</v>
      </c>
      <c r="L1501" s="8"/>
      <c r="M1501" s="8"/>
      <c r="N1501" s="8">
        <f ca="1">IFERROR(__xludf.DUMMYFUNCTION("""COMPUTED_VALUE"""),3)</f>
        <v>3</v>
      </c>
      <c r="O1501" s="8" t="str">
        <f ca="1">IFERROR(__xludf.DUMMYFUNCTION("""COMPUTED_VALUE"""),"Spring")</f>
        <v>Spring</v>
      </c>
      <c r="P1501" s="8" t="str">
        <f ca="1">IFERROR(__xludf.DUMMYFUNCTION("""COMPUTED_VALUE"""),"Cleveland")</f>
        <v>Cleveland</v>
      </c>
      <c r="Q1501" s="8" t="str">
        <f ca="1">IFERROR(__xludf.DUMMYFUNCTION("""COMPUTED_VALUE"""),"OH")</f>
        <v>OH</v>
      </c>
      <c r="R1501" s="8" t="str">
        <f ca="1">IFERROR(__xludf.DUMMYFUNCTION("""COMPUTED_VALUE"""),"Middle")</f>
        <v>Middle</v>
      </c>
      <c r="S1501" s="8" t="str">
        <f ca="1">IFERROR(__xludf.DUMMYFUNCTION("""COMPUTED_VALUE"""),"Parking Lot")</f>
        <v>Parking Lot</v>
      </c>
      <c r="T1501" s="8" t="str">
        <f ca="1">IFERROR(__xludf.DUMMYFUNCTION("""COMPUTED_VALUE"""),"Outside on School Property")</f>
        <v>Outside on School Property</v>
      </c>
      <c r="U1501" s="8" t="str">
        <f ca="1">IFERROR(__xludf.DUMMYFUNCTION("""COMPUTED_VALUE"""),"No")</f>
        <v>No</v>
      </c>
      <c r="V1501" s="8" t="str">
        <f ca="1">IFERROR(__xludf.DUMMYFUNCTION("""COMPUTED_VALUE"""),"Night")</f>
        <v>Night</v>
      </c>
      <c r="W1501" s="11">
        <f ca="1">IFERROR(__xludf.DUMMYFUNCTION("""COMPUTED_VALUE"""),0.979166666666666)</f>
        <v>0.97916666666666596</v>
      </c>
      <c r="X1501" s="8">
        <f ca="1">IFERROR(__xludf.DUMMYFUNCTION("""COMPUTED_VALUE"""),1)</f>
        <v>1</v>
      </c>
      <c r="Y1501" s="12" t="str">
        <f ca="1">IFERROR(__xludf.DUMMYFUNCTION("""COMPUTED_VALUE"""),"Two men shot each other during sale of handgun at school parking lot")</f>
        <v>Two men shot each other during sale of handgun at school parking lot</v>
      </c>
      <c r="Z1501" s="12" t="str">
        <f ca="1">IFERROR(__xludf.DUMMYFUNCTION("""COMPUTED_VALUE"""),"Two 21 year-old men met in the school parking lot to sell a handgun. During the exchange, both men shot either other. One was killed at the scene and the other was shot in the leg, arrested, and transported to the hospital.")</f>
        <v>Two 21 year-old men met in the school parking lot to sell a handgun. During the exchange, both men shot either other. One was killed at the scene and the other was shot in the leg, arrested, and transported to the hospital.</v>
      </c>
      <c r="AA1501" s="8" t="str">
        <f ca="1">IFERROR(__xludf.DUMMYFUNCTION("""COMPUTED_VALUE"""),"Illegal Activity")</f>
        <v>Illegal Activity</v>
      </c>
      <c r="AB1501" s="8"/>
      <c r="AC1501" s="8" t="str">
        <f ca="1">IFERROR(__xludf.DUMMYFUNCTION("""COMPUTED_VALUE"""),"No")</f>
        <v>No</v>
      </c>
      <c r="AD1501" s="8" t="str">
        <f ca="1">IFERROR(__xludf.DUMMYFUNCTION("""COMPUTED_VALUE"""),"Victims Targeted")</f>
        <v>Victims Targeted</v>
      </c>
      <c r="AE1501" s="8" t="str">
        <f ca="1">IFERROR(__xludf.DUMMYFUNCTION("""COMPUTED_VALUE"""),"No")</f>
        <v>No</v>
      </c>
      <c r="AF1501" s="8"/>
      <c r="AG1501" s="8" t="str">
        <f ca="1">IFERROR(__xludf.DUMMYFUNCTION("""COMPUTED_VALUE"""),"No")</f>
        <v>No</v>
      </c>
      <c r="AH1501" s="8" t="str">
        <f ca="1">IFERROR(__xludf.DUMMYFUNCTION("""COMPUTED_VALUE"""),"No")</f>
        <v>No</v>
      </c>
      <c r="AI1501" s="8" t="str">
        <f ca="1">IFERROR(__xludf.DUMMYFUNCTION("""COMPUTED_VALUE"""),"No")</f>
        <v>No</v>
      </c>
      <c r="AJ1501" s="8" t="str">
        <f ca="1">IFERROR(__xludf.DUMMYFUNCTION("""COMPUTED_VALUE"""),"No")</f>
        <v>No</v>
      </c>
      <c r="AK1501" s="8" t="str">
        <f ca="1">IFERROR(__xludf.DUMMYFUNCTION("""COMPUTED_VALUE"""),"No")</f>
        <v>No</v>
      </c>
      <c r="AL1501" s="8" t="str">
        <f ca="1">IFERROR(__xludf.DUMMYFUNCTION("""COMPUTED_VALUE"""),"No")</f>
        <v>No</v>
      </c>
      <c r="AM1501" s="8" t="str">
        <f ca="1">IFERROR(__xludf.DUMMYFUNCTION("""COMPUTED_VALUE"""),"No")</f>
        <v>No</v>
      </c>
      <c r="AN1501" s="8"/>
      <c r="AO1501" s="8" t="str">
        <f ca="1">IFERROR(__xludf.DUMMYFUNCTION("""COMPUTED_VALUE"""),"No")</f>
        <v>No</v>
      </c>
      <c r="AP1501" s="8"/>
      <c r="AQ1501" s="8" t="str">
        <f ca="1">IFERROR(__xludf.DUMMYFUNCTION("""COMPUTED_VALUE"""),"Unknown")</f>
        <v>Unknown</v>
      </c>
      <c r="AR1501" s="8" t="str">
        <f ca="1">IFERROR(__xludf.DUMMYFUNCTION("""COMPUTED_VALUE"""),"Outside/Off-Property")</f>
        <v>Outside/Off-Property</v>
      </c>
      <c r="AS1501" s="8"/>
      <c r="AT1501" s="8" t="str">
        <f ca="1">IFERROR(__xludf.DUMMYFUNCTION("""COMPUTED_VALUE"""),"N/A")</f>
        <v>N/A</v>
      </c>
      <c r="AU1501" s="8">
        <f ca="1">IFERROR(__xludf.DUMMYFUNCTION("""COMPUTED_VALUE"""),41.471304)</f>
        <v>41.471304000000003</v>
      </c>
      <c r="AV1501" s="8">
        <f ca="1">IFERROR(__xludf.DUMMYFUNCTION("""COMPUTED_VALUE"""),-81.695669)</f>
        <v>-81.695668999999995</v>
      </c>
      <c r="AW1501" s="8"/>
      <c r="AX1501" s="8">
        <f ca="1">IFERROR(__xludf.DUMMYFUNCTION("""COMPUTED_VALUE"""),44113)</f>
        <v>44113</v>
      </c>
    </row>
    <row r="1502" spans="1:50" ht="105" x14ac:dyDescent="0.2">
      <c r="A1502" s="8" t="str">
        <f ca="1">IFERROR(__xludf.DUMMYFUNCTION("""COMPUTED_VALUE"""),"20200525ALORM")</f>
        <v>20200525ALORM</v>
      </c>
      <c r="B1502" s="8">
        <f ca="1">IFERROR(__xludf.DUMMYFUNCTION("""COMPUTED_VALUE"""),5)</f>
        <v>5</v>
      </c>
      <c r="C1502" s="8">
        <f ca="1">IFERROR(__xludf.DUMMYFUNCTION("""COMPUTED_VALUE"""),25)</f>
        <v>25</v>
      </c>
      <c r="D1502" s="8">
        <f ca="1">IFERROR(__xludf.DUMMYFUNCTION("""COMPUTED_VALUE"""),2020)</f>
        <v>2020</v>
      </c>
      <c r="E1502" s="9">
        <f ca="1">IFERROR(__xludf.DUMMYFUNCTION("""COMPUTED_VALUE"""),43976)</f>
        <v>43976</v>
      </c>
      <c r="F1502" s="8" t="str">
        <f ca="1">IFERROR(__xludf.DUMMYFUNCTION("""COMPUTED_VALUE"""),"O Rourke Elementary School")</f>
        <v>O Rourke Elementary School</v>
      </c>
      <c r="G1502" s="8">
        <f ca="1">IFERROR(__xludf.DUMMYFUNCTION("""COMPUTED_VALUE"""),0)</f>
        <v>0</v>
      </c>
      <c r="H1502" s="8">
        <f ca="1">IFERROR(__xludf.DUMMYFUNCTION("""COMPUTED_VALUE"""),3)</f>
        <v>3</v>
      </c>
      <c r="I1502" s="8">
        <f ca="1">IFERROR(__xludf.DUMMYFUNCTION("""COMPUTED_VALUE"""),3)</f>
        <v>3</v>
      </c>
      <c r="J1502" s="8">
        <f ca="1">IFERROR(__xludf.DUMMYFUNCTION("""COMPUTED_VALUE"""),0)</f>
        <v>0</v>
      </c>
      <c r="K1502" s="10" t="str">
        <f ca="1">IFERROR(__xludf.DUMMYFUNCTION("""COMPUTED_VALUE"""),"https://www.fox10tv.com/news/mpd-makes-arrest-in-overnight-robbery-and-shooting-in-school-parking-lot/article_711aa7e0-9fa6-11ea-ac6c-ef149a798701.html")</f>
        <v>https://www.fox10tv.com/news/mpd-makes-arrest-in-overnight-robbery-and-shooting-in-school-parking-lot/article_711aa7e0-9fa6-11ea-ac6c-ef149a798701.html</v>
      </c>
      <c r="L1502" s="8"/>
      <c r="M1502" s="8"/>
      <c r="N1502" s="8">
        <f ca="1">IFERROR(__xludf.DUMMYFUNCTION("""COMPUTED_VALUE"""),3)</f>
        <v>3</v>
      </c>
      <c r="O1502" s="8" t="str">
        <f ca="1">IFERROR(__xludf.DUMMYFUNCTION("""COMPUTED_VALUE"""),"Spring")</f>
        <v>Spring</v>
      </c>
      <c r="P1502" s="8" t="str">
        <f ca="1">IFERROR(__xludf.DUMMYFUNCTION("""COMPUTED_VALUE"""),"Mobile")</f>
        <v>Mobile</v>
      </c>
      <c r="Q1502" s="8" t="str">
        <f ca="1">IFERROR(__xludf.DUMMYFUNCTION("""COMPUTED_VALUE"""),"AL")</f>
        <v>AL</v>
      </c>
      <c r="R1502" s="8" t="str">
        <f ca="1">IFERROR(__xludf.DUMMYFUNCTION("""COMPUTED_VALUE"""),"Elementary")</f>
        <v>Elementary</v>
      </c>
      <c r="S1502" s="8" t="str">
        <f ca="1">IFERROR(__xludf.DUMMYFUNCTION("""COMPUTED_VALUE"""),"Parking Lot")</f>
        <v>Parking Lot</v>
      </c>
      <c r="T1502" s="8" t="str">
        <f ca="1">IFERROR(__xludf.DUMMYFUNCTION("""COMPUTED_VALUE"""),"Outside on School Property")</f>
        <v>Outside on School Property</v>
      </c>
      <c r="U1502" s="8" t="str">
        <f ca="1">IFERROR(__xludf.DUMMYFUNCTION("""COMPUTED_VALUE"""),"No")</f>
        <v>No</v>
      </c>
      <c r="V1502" s="8" t="str">
        <f ca="1">IFERROR(__xludf.DUMMYFUNCTION("""COMPUTED_VALUE"""),"Night")</f>
        <v>Night</v>
      </c>
      <c r="W1502" s="11">
        <f ca="1">IFERROR(__xludf.DUMMYFUNCTION("""COMPUTED_VALUE"""),0.0625)</f>
        <v>6.25E-2</v>
      </c>
      <c r="X1502" s="8">
        <f ca="1">IFERROR(__xludf.DUMMYFUNCTION("""COMPUTED_VALUE"""),1)</f>
        <v>1</v>
      </c>
      <c r="Y1502" s="12" t="str">
        <f ca="1">IFERROR(__xludf.DUMMYFUNCTION("""COMPUTED_VALUE"""),"Three adult males shot during robbery in school parking lot")</f>
        <v>Three adult males shot during robbery in school parking lot</v>
      </c>
      <c r="Z1502" s="12" t="str">
        <f ca="1">IFERROR(__xludf.DUMMYFUNCTION("""COMPUTED_VALUE"""),"A group of three adult men met at 1:30 AM in the elementary school parking lot to carry out an unspecified transaction. While they were meeting, they were approached by two other men to robbed them. One of the two robbers fired multiple shots striking all"&amp;" three of the men then fled the scene. Police arrested a 19 year-old male but did not identify him as the shooter.")</f>
        <v>A group of three adult men met at 1:30 AM in the elementary school parking lot to carry out an unspecified transaction. While they were meeting, they were approached by two other men to robbed them. One of the two robbers fired multiple shots striking all three of the men then fled the scene. Police arrested a 19 year-old male but did not identify him as the shooter.</v>
      </c>
      <c r="AA1502" s="8" t="str">
        <f ca="1">IFERROR(__xludf.DUMMYFUNCTION("""COMPUTED_VALUE"""),"Illegal Activity")</f>
        <v>Illegal Activity</v>
      </c>
      <c r="AB1502" s="8"/>
      <c r="AC1502" s="8" t="str">
        <f ca="1">IFERROR(__xludf.DUMMYFUNCTION("""COMPUTED_VALUE"""),"No")</f>
        <v>No</v>
      </c>
      <c r="AD1502" s="8" t="str">
        <f ca="1">IFERROR(__xludf.DUMMYFUNCTION("""COMPUTED_VALUE"""),"Victims Targeted")</f>
        <v>Victims Targeted</v>
      </c>
      <c r="AE1502" s="8" t="str">
        <f ca="1">IFERROR(__xludf.DUMMYFUNCTION("""COMPUTED_VALUE"""),"Yes")</f>
        <v>Yes</v>
      </c>
      <c r="AF1502" s="8" t="str">
        <f ca="1">IFERROR(__xludf.DUMMYFUNCTION("""COMPUTED_VALUE"""),"Two men")</f>
        <v>Two men</v>
      </c>
      <c r="AG1502" s="8" t="str">
        <f ca="1">IFERROR(__xludf.DUMMYFUNCTION("""COMPUTED_VALUE"""),"No")</f>
        <v>No</v>
      </c>
      <c r="AH1502" s="8" t="str">
        <f ca="1">IFERROR(__xludf.DUMMYFUNCTION("""COMPUTED_VALUE"""),"No")</f>
        <v>No</v>
      </c>
      <c r="AI1502" s="8" t="str">
        <f ca="1">IFERROR(__xludf.DUMMYFUNCTION("""COMPUTED_VALUE"""),"No")</f>
        <v>No</v>
      </c>
      <c r="AJ1502" s="8" t="str">
        <f ca="1">IFERROR(__xludf.DUMMYFUNCTION("""COMPUTED_VALUE"""),"No")</f>
        <v>No</v>
      </c>
      <c r="AK1502" s="8" t="str">
        <f ca="1">IFERROR(__xludf.DUMMYFUNCTION("""COMPUTED_VALUE"""),"No")</f>
        <v>No</v>
      </c>
      <c r="AL1502" s="8" t="str">
        <f ca="1">IFERROR(__xludf.DUMMYFUNCTION("""COMPUTED_VALUE"""),"No")</f>
        <v>No</v>
      </c>
      <c r="AM1502" s="8" t="str">
        <f ca="1">IFERROR(__xludf.DUMMYFUNCTION("""COMPUTED_VALUE"""),"No")</f>
        <v>No</v>
      </c>
      <c r="AN1502" s="8"/>
      <c r="AO1502" s="8" t="str">
        <f ca="1">IFERROR(__xludf.DUMMYFUNCTION("""COMPUTED_VALUE"""),"No")</f>
        <v>No</v>
      </c>
      <c r="AP1502" s="8"/>
      <c r="AQ1502" s="8" t="str">
        <f ca="1">IFERROR(__xludf.DUMMYFUNCTION("""COMPUTED_VALUE"""),"Unknown")</f>
        <v>Unknown</v>
      </c>
      <c r="AR1502" s="8" t="str">
        <f ca="1">IFERROR(__xludf.DUMMYFUNCTION("""COMPUTED_VALUE"""),"Outside/Off-Property")</f>
        <v>Outside/Off-Property</v>
      </c>
      <c r="AS1502" s="8"/>
      <c r="AT1502" s="8" t="str">
        <f ca="1">IFERROR(__xludf.DUMMYFUNCTION("""COMPUTED_VALUE"""),"N/A")</f>
        <v>N/A</v>
      </c>
      <c r="AU1502" s="8">
        <f ca="1">IFERROR(__xludf.DUMMYFUNCTION("""COMPUTED_VALUE"""),30.649348)</f>
        <v>30.649348</v>
      </c>
      <c r="AV1502" s="8">
        <f ca="1">IFERROR(__xludf.DUMMYFUNCTION("""COMPUTED_VALUE"""),-88.229421)</f>
        <v>-88.229421000000002</v>
      </c>
      <c r="AW1502" s="8"/>
      <c r="AX1502" s="8">
        <f ca="1">IFERROR(__xludf.DUMMYFUNCTION("""COMPUTED_VALUE"""),36695)</f>
        <v>36695</v>
      </c>
    </row>
    <row r="1503" spans="1:50" ht="60" x14ac:dyDescent="0.2">
      <c r="A1503" s="8" t="str">
        <f ca="1">IFERROR(__xludf.DUMMYFUNCTION("""COMPUTED_VALUE"""),"20200522OHMIC")</f>
        <v>20200522OHMIC</v>
      </c>
      <c r="B1503" s="8">
        <f ca="1">IFERROR(__xludf.DUMMYFUNCTION("""COMPUTED_VALUE"""),5)</f>
        <v>5</v>
      </c>
      <c r="C1503" s="8">
        <f ca="1">IFERROR(__xludf.DUMMYFUNCTION("""COMPUTED_VALUE"""),22)</f>
        <v>22</v>
      </c>
      <c r="D1503" s="8">
        <f ca="1">IFERROR(__xludf.DUMMYFUNCTION("""COMPUTED_VALUE"""),2020)</f>
        <v>2020</v>
      </c>
      <c r="E1503" s="9">
        <f ca="1">IFERROR(__xludf.DUMMYFUNCTION("""COMPUTED_VALUE"""),43973)</f>
        <v>43973</v>
      </c>
      <c r="F1503" s="8" t="str">
        <f ca="1">IFERROR(__xludf.DUMMYFUNCTION("""COMPUTED_VALUE"""),"Miles Elementary School")</f>
        <v>Miles Elementary School</v>
      </c>
      <c r="G1503" s="8">
        <f ca="1">IFERROR(__xludf.DUMMYFUNCTION("""COMPUTED_VALUE"""),1)</f>
        <v>1</v>
      </c>
      <c r="H1503" s="8">
        <f ca="1">IFERROR(__xludf.DUMMYFUNCTION("""COMPUTED_VALUE"""),0)</f>
        <v>0</v>
      </c>
      <c r="I1503" s="8">
        <f ca="1">IFERROR(__xludf.DUMMYFUNCTION("""COMPUTED_VALUE"""),1)</f>
        <v>1</v>
      </c>
      <c r="J1503" s="8">
        <f ca="1">IFERROR(__xludf.DUMMYFUNCTION("""COMPUTED_VALUE"""),0)</f>
        <v>0</v>
      </c>
      <c r="K1503" s="10" t="str">
        <f ca="1">IFERROR(__xludf.DUMMYFUNCTION("""COMPUTED_VALUE"""),"https://fox8.com/news/man-killed-in-shooting-near-miles-elementary-school-in-cleveland/")</f>
        <v>https://fox8.com/news/man-killed-in-shooting-near-miles-elementary-school-in-cleveland/</v>
      </c>
      <c r="L1503" s="8"/>
      <c r="M1503" s="8"/>
      <c r="N1503" s="8">
        <f ca="1">IFERROR(__xludf.DUMMYFUNCTION("""COMPUTED_VALUE"""),2)</f>
        <v>2</v>
      </c>
      <c r="O1503" s="8" t="str">
        <f ca="1">IFERROR(__xludf.DUMMYFUNCTION("""COMPUTED_VALUE"""),"Spring")</f>
        <v>Spring</v>
      </c>
      <c r="P1503" s="8" t="str">
        <f ca="1">IFERROR(__xludf.DUMMYFUNCTION("""COMPUTED_VALUE"""),"Cleveland")</f>
        <v>Cleveland</v>
      </c>
      <c r="Q1503" s="8" t="str">
        <f ca="1">IFERROR(__xludf.DUMMYFUNCTION("""COMPUTED_VALUE"""),"OH")</f>
        <v>OH</v>
      </c>
      <c r="R1503" s="8" t="str">
        <f ca="1">IFERROR(__xludf.DUMMYFUNCTION("""COMPUTED_VALUE"""),"Elementary")</f>
        <v>Elementary</v>
      </c>
      <c r="S1503" s="8" t="str">
        <f ca="1">IFERROR(__xludf.DUMMYFUNCTION("""COMPUTED_VALUE"""),"Beside Building")</f>
        <v>Beside Building</v>
      </c>
      <c r="T1503" s="8" t="str">
        <f ca="1">IFERROR(__xludf.DUMMYFUNCTION("""COMPUTED_VALUE"""),"Outside on School Property")</f>
        <v>Outside on School Property</v>
      </c>
      <c r="U1503" s="8" t="str">
        <f ca="1">IFERROR(__xludf.DUMMYFUNCTION("""COMPUTED_VALUE"""),"No")</f>
        <v>No</v>
      </c>
      <c r="V1503" s="8" t="str">
        <f ca="1">IFERROR(__xludf.DUMMYFUNCTION("""COMPUTED_VALUE"""),"Night")</f>
        <v>Night</v>
      </c>
      <c r="W1503" s="11">
        <f ca="1">IFERROR(__xludf.DUMMYFUNCTION("""COMPUTED_VALUE"""),0.0625)</f>
        <v>6.25E-2</v>
      </c>
      <c r="X1503" s="8">
        <f ca="1">IFERROR(__xludf.DUMMYFUNCTION("""COMPUTED_VALUE"""),1)</f>
        <v>1</v>
      </c>
      <c r="Y1503" s="12" t="str">
        <f ca="1">IFERROR(__xludf.DUMMYFUNCTION("""COMPUTED_VALUE"""),"Adult man found dead outside of school from gunshot to chest")</f>
        <v>Adult man found dead outside of school from gunshot to chest</v>
      </c>
      <c r="Z1503" s="12" t="str">
        <f ca="1">IFERROR(__xludf.DUMMYFUNCTION("""COMPUTED_VALUE"""),"A 34 year-old male was found dead outside of the school with a gunshot wound to the chest. Police have not identified a suspect or motive.")</f>
        <v>A 34 year-old male was found dead outside of the school with a gunshot wound to the chest. Police have not identified a suspect or motive.</v>
      </c>
      <c r="AA1503" s="8" t="str">
        <f ca="1">IFERROR(__xludf.DUMMYFUNCTION("""COMPUTED_VALUE"""),"Unknown")</f>
        <v>Unknown</v>
      </c>
      <c r="AB1503" s="8"/>
      <c r="AC1503" s="8" t="str">
        <f ca="1">IFERROR(__xludf.DUMMYFUNCTION("""COMPUTED_VALUE"""),"No")</f>
        <v>No</v>
      </c>
      <c r="AD1503" s="8" t="str">
        <f ca="1">IFERROR(__xludf.DUMMYFUNCTION("""COMPUTED_VALUE"""),"Victims Targeted")</f>
        <v>Victims Targeted</v>
      </c>
      <c r="AE1503" s="8"/>
      <c r="AF1503" s="8"/>
      <c r="AG1503" s="8" t="str">
        <f ca="1">IFERROR(__xludf.DUMMYFUNCTION("""COMPUTED_VALUE"""),"No")</f>
        <v>No</v>
      </c>
      <c r="AH1503" s="8" t="str">
        <f ca="1">IFERROR(__xludf.DUMMYFUNCTION("""COMPUTED_VALUE"""),"No")</f>
        <v>No</v>
      </c>
      <c r="AI1503" s="8" t="str">
        <f ca="1">IFERROR(__xludf.DUMMYFUNCTION("""COMPUTED_VALUE"""),"No")</f>
        <v>No</v>
      </c>
      <c r="AJ1503" s="8" t="str">
        <f ca="1">IFERROR(__xludf.DUMMYFUNCTION("""COMPUTED_VALUE"""),"No")</f>
        <v>No</v>
      </c>
      <c r="AK1503" s="8" t="str">
        <f ca="1">IFERROR(__xludf.DUMMYFUNCTION("""COMPUTED_VALUE"""),"No")</f>
        <v>No</v>
      </c>
      <c r="AL1503" s="8"/>
      <c r="AM1503" s="8" t="str">
        <f ca="1">IFERROR(__xludf.DUMMYFUNCTION("""COMPUTED_VALUE"""),"No")</f>
        <v>No</v>
      </c>
      <c r="AN1503" s="8"/>
      <c r="AO1503" s="8" t="str">
        <f ca="1">IFERROR(__xludf.DUMMYFUNCTION("""COMPUTED_VALUE"""),"No")</f>
        <v>No</v>
      </c>
      <c r="AP1503" s="8"/>
      <c r="AQ1503" s="8" t="str">
        <f ca="1">IFERROR(__xludf.DUMMYFUNCTION("""COMPUTED_VALUE"""),"Unknown")</f>
        <v>Unknown</v>
      </c>
      <c r="AR1503" s="8" t="str">
        <f ca="1">IFERROR(__xludf.DUMMYFUNCTION("""COMPUTED_VALUE"""),"Outside/Off-Property")</f>
        <v>Outside/Off-Property</v>
      </c>
      <c r="AS1503" s="8"/>
      <c r="AT1503" s="8" t="str">
        <f ca="1">IFERROR(__xludf.DUMMYFUNCTION("""COMPUTED_VALUE"""),"N/A")</f>
        <v>N/A</v>
      </c>
      <c r="AU1503" s="8">
        <f ca="1">IFERROR(__xludf.DUMMYFUNCTION("""COMPUTED_VALUE"""),41.444446)</f>
        <v>41.444445999999999</v>
      </c>
      <c r="AV1503" s="8">
        <f ca="1">IFERROR(__xludf.DUMMYFUNCTION("""COMPUTED_VALUE"""),-81.598559)</f>
        <v>-81.598558999999995</v>
      </c>
      <c r="AW1503" s="8"/>
      <c r="AX1503" s="8">
        <f ca="1">IFERROR(__xludf.DUMMYFUNCTION("""COMPUTED_VALUE"""),44105)</f>
        <v>44105</v>
      </c>
    </row>
    <row r="1504" spans="1:50" ht="90" x14ac:dyDescent="0.2">
      <c r="A1504" s="8" t="str">
        <f ca="1">IFERROR(__xludf.DUMMYFUNCTION("""COMPUTED_VALUE"""),"20200519VAWEM")</f>
        <v>20200519VAWEM</v>
      </c>
      <c r="B1504" s="8">
        <f ca="1">IFERROR(__xludf.DUMMYFUNCTION("""COMPUTED_VALUE"""),5)</f>
        <v>5</v>
      </c>
      <c r="C1504" s="8">
        <f ca="1">IFERROR(__xludf.DUMMYFUNCTION("""COMPUTED_VALUE"""),19)</f>
        <v>19</v>
      </c>
      <c r="D1504" s="8">
        <f ca="1">IFERROR(__xludf.DUMMYFUNCTION("""COMPUTED_VALUE"""),2020)</f>
        <v>2020</v>
      </c>
      <c r="E1504" s="9">
        <f ca="1">IFERROR(__xludf.DUMMYFUNCTION("""COMPUTED_VALUE"""),43970)</f>
        <v>43970</v>
      </c>
      <c r="F1504" s="8" t="str">
        <f ca="1">IFERROR(__xludf.DUMMYFUNCTION("""COMPUTED_VALUE"""),"West Gate Elementary School")</f>
        <v>West Gate Elementary School</v>
      </c>
      <c r="G1504" s="8">
        <f ca="1">IFERROR(__xludf.DUMMYFUNCTION("""COMPUTED_VALUE"""),0)</f>
        <v>0</v>
      </c>
      <c r="H1504" s="8">
        <f ca="1">IFERROR(__xludf.DUMMYFUNCTION("""COMPUTED_VALUE"""),0)</f>
        <v>0</v>
      </c>
      <c r="I1504" s="8">
        <f ca="1">IFERROR(__xludf.DUMMYFUNCTION("""COMPUTED_VALUE"""),0)</f>
        <v>0</v>
      </c>
      <c r="J1504" s="8">
        <f ca="1">IFERROR(__xludf.DUMMYFUNCTION("""COMPUTED_VALUE"""),0)</f>
        <v>0</v>
      </c>
      <c r="K1504" s="8" t="str">
        <f ca="1">IFERROR(__xludf.DUMMYFUNCTION("""COMPUTED_VALUE"""),"https://patch.com/virginia/manassas/suspect-manassas-area-school-shooting-arrested-police https://patch.com/virginia/manassas/gunshot-fired-manassas-school-after-argument-escalates-police")</f>
        <v>https://patch.com/virginia/manassas/suspect-manassas-area-school-shooting-arrested-police https://patch.com/virginia/manassas/gunshot-fired-manassas-school-after-argument-escalates-police</v>
      </c>
      <c r="L1504" s="8"/>
      <c r="M1504" s="8"/>
      <c r="N1504" s="8">
        <f ca="1">IFERROR(__xludf.DUMMYFUNCTION("""COMPUTED_VALUE"""),3)</f>
        <v>3</v>
      </c>
      <c r="O1504" s="8" t="str">
        <f ca="1">IFERROR(__xludf.DUMMYFUNCTION("""COMPUTED_VALUE"""),"Spring")</f>
        <v>Spring</v>
      </c>
      <c r="P1504" s="8" t="str">
        <f ca="1">IFERROR(__xludf.DUMMYFUNCTION("""COMPUTED_VALUE"""),"Manassas")</f>
        <v>Manassas</v>
      </c>
      <c r="Q1504" s="8" t="str">
        <f ca="1">IFERROR(__xludf.DUMMYFUNCTION("""COMPUTED_VALUE"""),"VA")</f>
        <v>VA</v>
      </c>
      <c r="R1504" s="8" t="str">
        <f ca="1">IFERROR(__xludf.DUMMYFUNCTION("""COMPUTED_VALUE"""),"Elementary")</f>
        <v>Elementary</v>
      </c>
      <c r="S1504" s="8" t="str">
        <f ca="1">IFERROR(__xludf.DUMMYFUNCTION("""COMPUTED_VALUE"""),"Beside Building")</f>
        <v>Beside Building</v>
      </c>
      <c r="T1504" s="8" t="str">
        <f ca="1">IFERROR(__xludf.DUMMYFUNCTION("""COMPUTED_VALUE"""),"Outside on School Property")</f>
        <v>Outside on School Property</v>
      </c>
      <c r="U1504" s="8" t="str">
        <f ca="1">IFERROR(__xludf.DUMMYFUNCTION("""COMPUTED_VALUE"""),"No")</f>
        <v>No</v>
      </c>
      <c r="V1504" s="8" t="str">
        <f ca="1">IFERROR(__xludf.DUMMYFUNCTION("""COMPUTED_VALUE"""),"Not a School Day")</f>
        <v>Not a School Day</v>
      </c>
      <c r="W1504" s="11">
        <f ca="1">IFERROR(__xludf.DUMMYFUNCTION("""COMPUTED_VALUE"""),0.611111111111111)</f>
        <v>0.61111111111111105</v>
      </c>
      <c r="X1504" s="8">
        <f ca="1">IFERROR(__xludf.DUMMYFUNCTION("""COMPUTED_VALUE"""),1)</f>
        <v>1</v>
      </c>
      <c r="Y1504" s="12" t="str">
        <f ca="1">IFERROR(__xludf.DUMMYFUNCTION("""COMPUTED_VALUE"""),"Teen fired shot at another group of teens during a dispute")</f>
        <v>Teen fired shot at another group of teens during a dispute</v>
      </c>
      <c r="Z1504" s="12" t="str">
        <f ca="1">IFERROR(__xludf.DUMMYFUNCTION("""COMPUTED_VALUE"""),"An 18 year-old male was given a handgun by a person in his group and then fired at another group of males during a dispute outside of the school. Shooter fled the scene and was arrested the following day. Shooter held without bond on multiple felony charg"&amp;"es. School was closed for COVID-19.")</f>
        <v>An 18 year-old male was given a handgun by a person in his group and then fired at another group of males during a dispute outside of the school. Shooter fled the scene and was arrested the following day. Shooter held without bond on multiple felony charges. School was closed for COVID-19.</v>
      </c>
      <c r="AA1504" s="8" t="str">
        <f ca="1">IFERROR(__xludf.DUMMYFUNCTION("""COMPUTED_VALUE"""),"Escalation of Dispute")</f>
        <v>Escalation of Dispute</v>
      </c>
      <c r="AB1504" s="8"/>
      <c r="AC1504" s="8" t="str">
        <f ca="1">IFERROR(__xludf.DUMMYFUNCTION("""COMPUTED_VALUE"""),"No")</f>
        <v>No</v>
      </c>
      <c r="AD1504" s="8" t="str">
        <f ca="1">IFERROR(__xludf.DUMMYFUNCTION("""COMPUTED_VALUE"""),"Victims Targeted")</f>
        <v>Victims Targeted</v>
      </c>
      <c r="AE1504" s="8" t="str">
        <f ca="1">IFERROR(__xludf.DUMMYFUNCTION("""COMPUTED_VALUE"""),"Yes")</f>
        <v>Yes</v>
      </c>
      <c r="AF1504" s="8" t="str">
        <f ca="1">IFERROR(__xludf.DUMMYFUNCTION("""COMPUTED_VALUE"""),"Handed gun by another person")</f>
        <v>Handed gun by another person</v>
      </c>
      <c r="AG1504" s="8" t="str">
        <f ca="1">IFERROR(__xludf.DUMMYFUNCTION("""COMPUTED_VALUE"""),"No")</f>
        <v>No</v>
      </c>
      <c r="AH1504" s="8" t="str">
        <f ca="1">IFERROR(__xludf.DUMMYFUNCTION("""COMPUTED_VALUE"""),"No")</f>
        <v>No</v>
      </c>
      <c r="AI1504" s="8" t="str">
        <f ca="1">IFERROR(__xludf.DUMMYFUNCTION("""COMPUTED_VALUE"""),"No")</f>
        <v>No</v>
      </c>
      <c r="AJ1504" s="8" t="str">
        <f ca="1">IFERROR(__xludf.DUMMYFUNCTION("""COMPUTED_VALUE"""),"No")</f>
        <v>No</v>
      </c>
      <c r="AK1504" s="8" t="str">
        <f ca="1">IFERROR(__xludf.DUMMYFUNCTION("""COMPUTED_VALUE"""),"No")</f>
        <v>No</v>
      </c>
      <c r="AL1504" s="8" t="str">
        <f ca="1">IFERROR(__xludf.DUMMYFUNCTION("""COMPUTED_VALUE"""),"No")</f>
        <v>No</v>
      </c>
      <c r="AM1504" s="8" t="str">
        <f ca="1">IFERROR(__xludf.DUMMYFUNCTION("""COMPUTED_VALUE"""),"No")</f>
        <v>No</v>
      </c>
      <c r="AN1504" s="8"/>
      <c r="AO1504" s="8" t="str">
        <f ca="1">IFERROR(__xludf.DUMMYFUNCTION("""COMPUTED_VALUE"""),"No")</f>
        <v>No</v>
      </c>
      <c r="AP1504" s="8"/>
      <c r="AQ1504" s="8" t="str">
        <f ca="1">IFERROR(__xludf.DUMMYFUNCTION("""COMPUTED_VALUE"""),"Unknown")</f>
        <v>Unknown</v>
      </c>
      <c r="AR1504" s="8" t="str">
        <f ca="1">IFERROR(__xludf.DUMMYFUNCTION("""COMPUTED_VALUE"""),"Outside/Off-Property")</f>
        <v>Outside/Off-Property</v>
      </c>
      <c r="AS1504" s="8" t="str">
        <f ca="1">IFERROR(__xludf.DUMMYFUNCTION("""COMPUTED_VALUE"""),"&lt;10")</f>
        <v>&lt;10</v>
      </c>
      <c r="AT1504" s="8" t="str">
        <f ca="1">IFERROR(__xludf.DUMMYFUNCTION("""COMPUTED_VALUE"""),"N/A")</f>
        <v>N/A</v>
      </c>
      <c r="AU1504" s="8">
        <f ca="1">IFERROR(__xludf.DUMMYFUNCTION("""COMPUTED_VALUE"""),38.864603)</f>
        <v>38.864603000000002</v>
      </c>
      <c r="AV1504" s="8">
        <f ca="1">IFERROR(__xludf.DUMMYFUNCTION("""COMPUTED_VALUE"""),-77.195619)</f>
        <v>-77.195618999999994</v>
      </c>
      <c r="AW1504" s="8"/>
      <c r="AX1504" s="8">
        <f ca="1">IFERROR(__xludf.DUMMYFUNCTION("""COMPUTED_VALUE"""),22042)</f>
        <v>22042</v>
      </c>
    </row>
    <row r="1505" spans="1:50" ht="120" x14ac:dyDescent="0.2">
      <c r="A1505" s="8" t="str">
        <f ca="1">IFERROR(__xludf.DUMMYFUNCTION("""COMPUTED_VALUE"""),"20200515NCSTC")</f>
        <v>20200515NCSTC</v>
      </c>
      <c r="B1505" s="8">
        <f ca="1">IFERROR(__xludf.DUMMYFUNCTION("""COMPUTED_VALUE"""),5)</f>
        <v>5</v>
      </c>
      <c r="C1505" s="8">
        <f ca="1">IFERROR(__xludf.DUMMYFUNCTION("""COMPUTED_VALUE"""),15)</f>
        <v>15</v>
      </c>
      <c r="D1505" s="8">
        <f ca="1">IFERROR(__xludf.DUMMYFUNCTION("""COMPUTED_VALUE"""),2020)</f>
        <v>2020</v>
      </c>
      <c r="E1505" s="9">
        <f ca="1">IFERROR(__xludf.DUMMYFUNCTION("""COMPUTED_VALUE"""),43966)</f>
        <v>43966</v>
      </c>
      <c r="F1505" s="8" t="str">
        <f ca="1">IFERROR(__xludf.DUMMYFUNCTION("""COMPUTED_VALUE"""),"Stuart W Cramer High School")</f>
        <v>Stuart W Cramer High School</v>
      </c>
      <c r="G1505" s="8">
        <f ca="1">IFERROR(__xludf.DUMMYFUNCTION("""COMPUTED_VALUE"""),0)</f>
        <v>0</v>
      </c>
      <c r="H1505" s="8">
        <f ca="1">IFERROR(__xludf.DUMMYFUNCTION("""COMPUTED_VALUE"""),0)</f>
        <v>0</v>
      </c>
      <c r="I1505" s="8">
        <f ca="1">IFERROR(__xludf.DUMMYFUNCTION("""COMPUTED_VALUE"""),0)</f>
        <v>0</v>
      </c>
      <c r="J1505" s="8">
        <f ca="1">IFERROR(__xludf.DUMMYFUNCTION("""COMPUTED_VALUE"""),0)</f>
        <v>0</v>
      </c>
      <c r="K1505" s="10" t="str">
        <f ca="1">IFERROR(__xludf.DUMMYFUNCTION("""COMPUTED_VALUE"""),"https://abc11.com/nc-man-shoots-at-couple-after-mistaking-them-for-russian-mafia-/6196277/")</f>
        <v>https://abc11.com/nc-man-shoots-at-couple-after-mistaking-them-for-russian-mafia-/6196277/</v>
      </c>
      <c r="L1505" s="8"/>
      <c r="M1505" s="8"/>
      <c r="N1505" s="8">
        <f ca="1">IFERROR(__xludf.DUMMYFUNCTION("""COMPUTED_VALUE"""),2)</f>
        <v>2</v>
      </c>
      <c r="O1505" s="8" t="str">
        <f ca="1">IFERROR(__xludf.DUMMYFUNCTION("""COMPUTED_VALUE"""),"Spring")</f>
        <v>Spring</v>
      </c>
      <c r="P1505" s="8" t="str">
        <f ca="1">IFERROR(__xludf.DUMMYFUNCTION("""COMPUTED_VALUE"""),"Cramerton")</f>
        <v>Cramerton</v>
      </c>
      <c r="Q1505" s="8" t="str">
        <f ca="1">IFERROR(__xludf.DUMMYFUNCTION("""COMPUTED_VALUE"""),"NC")</f>
        <v>NC</v>
      </c>
      <c r="R1505" s="8" t="str">
        <f ca="1">IFERROR(__xludf.DUMMYFUNCTION("""COMPUTED_VALUE"""),"High")</f>
        <v>High</v>
      </c>
      <c r="S1505" s="8" t="str">
        <f ca="1">IFERROR(__xludf.DUMMYFUNCTION("""COMPUTED_VALUE"""),"Parking Lot")</f>
        <v>Parking Lot</v>
      </c>
      <c r="T1505" s="8" t="str">
        <f ca="1">IFERROR(__xludf.DUMMYFUNCTION("""COMPUTED_VALUE"""),"Outside on School Property")</f>
        <v>Outside on School Property</v>
      </c>
      <c r="U1505" s="8" t="str">
        <f ca="1">IFERROR(__xludf.DUMMYFUNCTION("""COMPUTED_VALUE"""),"No")</f>
        <v>No</v>
      </c>
      <c r="V1505" s="8" t="str">
        <f ca="1">IFERROR(__xludf.DUMMYFUNCTION("""COMPUTED_VALUE"""),"Night")</f>
        <v>Night</v>
      </c>
      <c r="W1505" s="8"/>
      <c r="X1505" s="8">
        <f ca="1">IFERROR(__xludf.DUMMYFUNCTION("""COMPUTED_VALUE"""),1)</f>
        <v>1</v>
      </c>
      <c r="Y1505" s="12" t="str">
        <f ca="1">IFERROR(__xludf.DUMMYFUNCTION("""COMPUTED_VALUE"""),"Couple confused with mafia members during drug deal")</f>
        <v>Couple confused with mafia members during drug deal</v>
      </c>
      <c r="Z1505" s="12" t="str">
        <f ca="1">IFERROR(__xludf.DUMMYFUNCTION("""COMPUTED_VALUE"""),"Couple came to school parking lot at night to see the school campus. They were unaware of a drug deal taking place in the parking lot. Adult male involved with the drug deal thought the couple were members of the Russian Mafia and fired shots at the vehic"&amp;"le. Bullets struck the windshield but did not hit the occupants. Shooter was later arrested and charged with two counts of attempted murder. FBI is investigating with local police.")</f>
        <v>Couple came to school parking lot at night to see the school campus. They were unaware of a drug deal taking place in the parking lot. Adult male involved with the drug deal thought the couple were members of the Russian Mafia and fired shots at the vehicle. Bullets struck the windshield but did not hit the occupants. Shooter was later arrested and charged with two counts of attempted murder. FBI is investigating with local police.</v>
      </c>
      <c r="AA1505" s="8" t="str">
        <f ca="1">IFERROR(__xludf.DUMMYFUNCTION("""COMPUTED_VALUE"""),"Illegal Activity")</f>
        <v>Illegal Activity</v>
      </c>
      <c r="AB1505" s="8"/>
      <c r="AC1505" s="8" t="str">
        <f ca="1">IFERROR(__xludf.DUMMYFUNCTION("""COMPUTED_VALUE"""),"No")</f>
        <v>No</v>
      </c>
      <c r="AD1505" s="8" t="str">
        <f ca="1">IFERROR(__xludf.DUMMYFUNCTION("""COMPUTED_VALUE"""),"Random Shooting")</f>
        <v>Random Shooting</v>
      </c>
      <c r="AE1505" s="8"/>
      <c r="AF1505" s="8"/>
      <c r="AG1505" s="8" t="str">
        <f ca="1">IFERROR(__xludf.DUMMYFUNCTION("""COMPUTED_VALUE"""),"No")</f>
        <v>No</v>
      </c>
      <c r="AH1505" s="8" t="str">
        <f ca="1">IFERROR(__xludf.DUMMYFUNCTION("""COMPUTED_VALUE"""),"No")</f>
        <v>No</v>
      </c>
      <c r="AI1505" s="8" t="str">
        <f ca="1">IFERROR(__xludf.DUMMYFUNCTION("""COMPUTED_VALUE"""),"No")</f>
        <v>No</v>
      </c>
      <c r="AJ1505" s="8" t="str">
        <f ca="1">IFERROR(__xludf.DUMMYFUNCTION("""COMPUTED_VALUE"""),"No")</f>
        <v>No</v>
      </c>
      <c r="AK1505" s="8" t="str">
        <f ca="1">IFERROR(__xludf.DUMMYFUNCTION("""COMPUTED_VALUE"""),"No")</f>
        <v>No</v>
      </c>
      <c r="AL1505" s="8" t="str">
        <f ca="1">IFERROR(__xludf.DUMMYFUNCTION("""COMPUTED_VALUE"""),"Yes")</f>
        <v>Yes</v>
      </c>
      <c r="AM1505" s="8" t="str">
        <f ca="1">IFERROR(__xludf.DUMMYFUNCTION("""COMPUTED_VALUE"""),"No")</f>
        <v>No</v>
      </c>
      <c r="AN1505" s="8"/>
      <c r="AO1505" s="8" t="str">
        <f ca="1">IFERROR(__xludf.DUMMYFUNCTION("""COMPUTED_VALUE"""),"No")</f>
        <v>No</v>
      </c>
      <c r="AP1505" s="8"/>
      <c r="AQ1505" s="8" t="str">
        <f ca="1">IFERROR(__xludf.DUMMYFUNCTION("""COMPUTED_VALUE"""),"Unknown")</f>
        <v>Unknown</v>
      </c>
      <c r="AR1505" s="8" t="str">
        <f ca="1">IFERROR(__xludf.DUMMYFUNCTION("""COMPUTED_VALUE"""),"NA")</f>
        <v>NA</v>
      </c>
      <c r="AS1505" s="8"/>
      <c r="AT1505" s="8" t="str">
        <f ca="1">IFERROR(__xludf.DUMMYFUNCTION("""COMPUTED_VALUE"""),"N/A")</f>
        <v>N/A</v>
      </c>
      <c r="AU1505" s="8">
        <f ca="1">IFERROR(__xludf.DUMMYFUNCTION("""COMPUTED_VALUE"""),35.245115)</f>
        <v>35.245114999999998</v>
      </c>
      <c r="AV1505" s="8">
        <f ca="1">IFERROR(__xludf.DUMMYFUNCTION("""COMPUTED_VALUE"""),-81.059039)</f>
        <v>-81.059038999999999</v>
      </c>
      <c r="AW1505" s="8"/>
      <c r="AX1505" s="8">
        <f ca="1">IFERROR(__xludf.DUMMYFUNCTION("""COMPUTED_VALUE"""),28012)</f>
        <v>28012</v>
      </c>
    </row>
    <row r="1506" spans="1:50" ht="45" x14ac:dyDescent="0.2">
      <c r="A1506" s="8" t="str">
        <f ca="1">IFERROR(__xludf.DUMMYFUNCTION("""COMPUTED_VALUE"""),"20200505CAGOV")</f>
        <v>20200505CAGOV</v>
      </c>
      <c r="B1506" s="8">
        <f ca="1">IFERROR(__xludf.DUMMYFUNCTION("""COMPUTED_VALUE"""),5)</f>
        <v>5</v>
      </c>
      <c r="C1506" s="8">
        <f ca="1">IFERROR(__xludf.DUMMYFUNCTION("""COMPUTED_VALUE"""),5)</f>
        <v>5</v>
      </c>
      <c r="D1506" s="8">
        <f ca="1">IFERROR(__xludf.DUMMYFUNCTION("""COMPUTED_VALUE"""),2020)</f>
        <v>2020</v>
      </c>
      <c r="E1506" s="9">
        <f ca="1">IFERROR(__xludf.DUMMYFUNCTION("""COMPUTED_VALUE"""),43956)</f>
        <v>43956</v>
      </c>
      <c r="F1506" s="8" t="str">
        <f ca="1">IFERROR(__xludf.DUMMYFUNCTION("""COMPUTED_VALUE"""),"Golden West High School")</f>
        <v>Golden West High School</v>
      </c>
      <c r="G1506" s="8">
        <f ca="1">IFERROR(__xludf.DUMMYFUNCTION("""COMPUTED_VALUE"""),3)</f>
        <v>3</v>
      </c>
      <c r="H1506" s="8">
        <f ca="1">IFERROR(__xludf.DUMMYFUNCTION("""COMPUTED_VALUE"""),0)</f>
        <v>0</v>
      </c>
      <c r="I1506" s="8">
        <f ca="1">IFERROR(__xludf.DUMMYFUNCTION("""COMPUTED_VALUE"""),3)</f>
        <v>3</v>
      </c>
      <c r="J1506" s="8">
        <f ca="1">IFERROR(__xludf.DUMMYFUNCTION("""COMPUTED_VALUE"""),0)</f>
        <v>0</v>
      </c>
      <c r="K1506" s="8" t="str">
        <f ca="1">IFERROR(__xludf.DUMMYFUNCTION("""COMPUTED_VALUE"""),"https://www.yourcentralvalley.com/news/crime/1-year-later-suspects-still-wanted-after-3-teens-killed-in-visalia-high-school-shooting/ https://kmph.com/news/local/three-found-shot-dead-at-golden-west-high-school-in-visalia https://www.nytimes.com/2020/05/0"&amp;"6/us/golden-west-high-school-shooting.html")</f>
        <v>https://www.yourcentralvalley.com/news/crime/1-year-later-suspects-still-wanted-after-3-teens-killed-in-visalia-high-school-shooting/ https://kmph.com/news/local/three-found-shot-dead-at-golden-west-high-school-in-visalia https://www.nytimes.com/2020/05/06/us/golden-west-high-school-shooting.html</v>
      </c>
      <c r="L1506" s="8"/>
      <c r="M1506" s="8" t="str">
        <f ca="1">IFERROR(__xludf.DUMMYFUNCTION("""COMPUTED_VALUE"""),"Regional")</f>
        <v>Regional</v>
      </c>
      <c r="N1506" s="8">
        <f ca="1">IFERROR(__xludf.DUMMYFUNCTION("""COMPUTED_VALUE"""),4)</f>
        <v>4</v>
      </c>
      <c r="O1506" s="8" t="str">
        <f ca="1">IFERROR(__xludf.DUMMYFUNCTION("""COMPUTED_VALUE"""),"Spring")</f>
        <v>Spring</v>
      </c>
      <c r="P1506" s="8" t="str">
        <f ca="1">IFERROR(__xludf.DUMMYFUNCTION("""COMPUTED_VALUE"""),"Visalia")</f>
        <v>Visalia</v>
      </c>
      <c r="Q1506" s="8" t="str">
        <f ca="1">IFERROR(__xludf.DUMMYFUNCTION("""COMPUTED_VALUE"""),"CA")</f>
        <v>CA</v>
      </c>
      <c r="R1506" s="8" t="str">
        <f ca="1">IFERROR(__xludf.DUMMYFUNCTION("""COMPUTED_VALUE"""),"High")</f>
        <v>High</v>
      </c>
      <c r="S1506" s="8" t="str">
        <f ca="1">IFERROR(__xludf.DUMMYFUNCTION("""COMPUTED_VALUE"""),"Parking Lot")</f>
        <v>Parking Lot</v>
      </c>
      <c r="T1506" s="8" t="str">
        <f ca="1">IFERROR(__xludf.DUMMYFUNCTION("""COMPUTED_VALUE"""),"Outside on School Property")</f>
        <v>Outside on School Property</v>
      </c>
      <c r="U1506" s="8" t="str">
        <f ca="1">IFERROR(__xludf.DUMMYFUNCTION("""COMPUTED_VALUE"""),"No")</f>
        <v>No</v>
      </c>
      <c r="V1506" s="8" t="str">
        <f ca="1">IFERROR(__xludf.DUMMYFUNCTION("""COMPUTED_VALUE"""),"Night")</f>
        <v>Night</v>
      </c>
      <c r="W1506" s="11">
        <f ca="1">IFERROR(__xludf.DUMMYFUNCTION("""COMPUTED_VALUE"""),0.96875)</f>
        <v>0.96875</v>
      </c>
      <c r="X1506" s="8">
        <f ca="1">IFERROR(__xludf.DUMMYFUNCTION("""COMPUTED_VALUE"""),1)</f>
        <v>1</v>
      </c>
      <c r="Y1506" s="12" t="str">
        <f ca="1">IFERROR(__xludf.DUMMYFUNCTION("""COMPUTED_VALUE"""),"Three victims found dead in school parking lot")</f>
        <v>Three victims found dead in school parking lot</v>
      </c>
      <c r="Z1506" s="12" t="str">
        <f ca="1">IFERROR(__xludf.DUMMYFUNCTION("""COMPUTED_VALUE"""),"Three victims found dead in school parking lot")</f>
        <v>Three victims found dead in school parking lot</v>
      </c>
      <c r="AA1506" s="8" t="str">
        <f ca="1">IFERROR(__xludf.DUMMYFUNCTION("""COMPUTED_VALUE"""),"Escalation of Dispute")</f>
        <v>Escalation of Dispute</v>
      </c>
      <c r="AB1506" s="8"/>
      <c r="AC1506" s="8" t="str">
        <f ca="1">IFERROR(__xludf.DUMMYFUNCTION("""COMPUTED_VALUE"""),"No")</f>
        <v>No</v>
      </c>
      <c r="AD1506" s="8"/>
      <c r="AE1506" s="8"/>
      <c r="AF1506" s="8"/>
      <c r="AG1506" s="8" t="str">
        <f ca="1">IFERROR(__xludf.DUMMYFUNCTION("""COMPUTED_VALUE"""),"No")</f>
        <v>No</v>
      </c>
      <c r="AH1506" s="8" t="str">
        <f ca="1">IFERROR(__xludf.DUMMYFUNCTION("""COMPUTED_VALUE"""),"No")</f>
        <v>No</v>
      </c>
      <c r="AI1506" s="8" t="str">
        <f ca="1">IFERROR(__xludf.DUMMYFUNCTION("""COMPUTED_VALUE"""),"No")</f>
        <v>No</v>
      </c>
      <c r="AJ1506" s="8" t="str">
        <f ca="1">IFERROR(__xludf.DUMMYFUNCTION("""COMPUTED_VALUE"""),"No")</f>
        <v>No</v>
      </c>
      <c r="AK1506" s="8" t="str">
        <f ca="1">IFERROR(__xludf.DUMMYFUNCTION("""COMPUTED_VALUE"""),"No")</f>
        <v>No</v>
      </c>
      <c r="AL1506" s="8"/>
      <c r="AM1506" s="8" t="str">
        <f ca="1">IFERROR(__xludf.DUMMYFUNCTION("""COMPUTED_VALUE"""),"No")</f>
        <v>No</v>
      </c>
      <c r="AN1506" s="8"/>
      <c r="AO1506" s="8" t="str">
        <f ca="1">IFERROR(__xludf.DUMMYFUNCTION("""COMPUTED_VALUE"""),"No")</f>
        <v>No</v>
      </c>
      <c r="AP1506" s="8"/>
      <c r="AQ1506" s="8" t="str">
        <f ca="1">IFERROR(__xludf.DUMMYFUNCTION("""COMPUTED_VALUE"""),"Unknown")</f>
        <v>Unknown</v>
      </c>
      <c r="AR1506" s="8" t="str">
        <f ca="1">IFERROR(__xludf.DUMMYFUNCTION("""COMPUTED_VALUE"""),"NA")</f>
        <v>NA</v>
      </c>
      <c r="AS1506" s="8"/>
      <c r="AT1506" s="8" t="str">
        <f ca="1">IFERROR(__xludf.DUMMYFUNCTION("""COMPUTED_VALUE"""),"N/A")</f>
        <v>N/A</v>
      </c>
      <c r="AU1506" s="8">
        <f ca="1">IFERROR(__xludf.DUMMYFUNCTION("""COMPUTED_VALUE"""),36.343293)</f>
        <v>36.343293000000003</v>
      </c>
      <c r="AV1506" s="8">
        <f ca="1">IFERROR(__xludf.DUMMYFUNCTION("""COMPUTED_VALUE"""),-119.253004)</f>
        <v>-119.253004</v>
      </c>
      <c r="AW1506" s="8"/>
      <c r="AX1506" s="8">
        <f ca="1">IFERROR(__xludf.DUMMYFUNCTION("""COMPUTED_VALUE"""),93292)</f>
        <v>93292</v>
      </c>
    </row>
    <row r="1507" spans="1:50" ht="60" x14ac:dyDescent="0.2">
      <c r="A1507" s="8" t="str">
        <f ca="1">IFERROR(__xludf.DUMMYFUNCTION("""COMPUTED_VALUE"""),"20200419NCABR")</f>
        <v>20200419NCABR</v>
      </c>
      <c r="B1507" s="8">
        <f ca="1">IFERROR(__xludf.DUMMYFUNCTION("""COMPUTED_VALUE"""),4)</f>
        <v>4</v>
      </c>
      <c r="C1507" s="8">
        <f ca="1">IFERROR(__xludf.DUMMYFUNCTION("""COMPUTED_VALUE"""),19)</f>
        <v>19</v>
      </c>
      <c r="D1507" s="8">
        <f ca="1">IFERROR(__xludf.DUMMYFUNCTION("""COMPUTED_VALUE"""),2020)</f>
        <v>2020</v>
      </c>
      <c r="E1507" s="9">
        <f ca="1">IFERROR(__xludf.DUMMYFUNCTION("""COMPUTED_VALUE"""),43940)</f>
        <v>43940</v>
      </c>
      <c r="F1507" s="8" t="str">
        <f ca="1">IFERROR(__xludf.DUMMYFUNCTION("""COMPUTED_VALUE"""),"Abbotts Creek Elementary School")</f>
        <v>Abbotts Creek Elementary School</v>
      </c>
      <c r="G1507" s="8">
        <f ca="1">IFERROR(__xludf.DUMMYFUNCTION("""COMPUTED_VALUE"""),0)</f>
        <v>0</v>
      </c>
      <c r="H1507" s="8">
        <f ca="1">IFERROR(__xludf.DUMMYFUNCTION("""COMPUTED_VALUE"""),0)</f>
        <v>0</v>
      </c>
      <c r="I1507" s="8">
        <f ca="1">IFERROR(__xludf.DUMMYFUNCTION("""COMPUTED_VALUE"""),0)</f>
        <v>0</v>
      </c>
      <c r="J1507" s="8">
        <f ca="1">IFERROR(__xludf.DUMMYFUNCTION("""COMPUTED_VALUE"""),0)</f>
        <v>0</v>
      </c>
      <c r="K1507" s="10" t="str">
        <f ca="1">IFERROR(__xludf.DUMMYFUNCTION("""COMPUTED_VALUE"""),"https://www.newsobserver.com/news/local/crime/article256631386.html")</f>
        <v>https://www.newsobserver.com/news/local/crime/article256631386.html</v>
      </c>
      <c r="L1507" s="8">
        <f ca="1">IFERROR(__xludf.DUMMYFUNCTION("""COMPUTED_VALUE"""),1)</f>
        <v>1</v>
      </c>
      <c r="M1507" s="8" t="str">
        <f ca="1">IFERROR(__xludf.DUMMYFUNCTION("""COMPUTED_VALUE"""),"Local")</f>
        <v>Local</v>
      </c>
      <c r="N1507" s="8">
        <f ca="1">IFERROR(__xludf.DUMMYFUNCTION("""COMPUTED_VALUE"""),4)</f>
        <v>4</v>
      </c>
      <c r="O1507" s="8" t="str">
        <f ca="1">IFERROR(__xludf.DUMMYFUNCTION("""COMPUTED_VALUE"""),"Spring")</f>
        <v>Spring</v>
      </c>
      <c r="P1507" s="8" t="str">
        <f ca="1">IFERROR(__xludf.DUMMYFUNCTION("""COMPUTED_VALUE"""),"Raleigh")</f>
        <v>Raleigh</v>
      </c>
      <c r="Q1507" s="8" t="str">
        <f ca="1">IFERROR(__xludf.DUMMYFUNCTION("""COMPUTED_VALUE"""),"NC")</f>
        <v>NC</v>
      </c>
      <c r="R1507" s="8" t="str">
        <f ca="1">IFERROR(__xludf.DUMMYFUNCTION("""COMPUTED_VALUE"""),"Elementary")</f>
        <v>Elementary</v>
      </c>
      <c r="S1507" s="8" t="str">
        <f ca="1">IFERROR(__xludf.DUMMYFUNCTION("""COMPUTED_VALUE"""),"Parking Lot")</f>
        <v>Parking Lot</v>
      </c>
      <c r="T1507" s="8" t="str">
        <f ca="1">IFERROR(__xludf.DUMMYFUNCTION("""COMPUTED_VALUE"""),"Outside on School Property")</f>
        <v>Outside on School Property</v>
      </c>
      <c r="U1507" s="8" t="str">
        <f ca="1">IFERROR(__xludf.DUMMYFUNCTION("""COMPUTED_VALUE"""),"No")</f>
        <v>No</v>
      </c>
      <c r="V1507" s="8" t="str">
        <f ca="1">IFERROR(__xludf.DUMMYFUNCTION("""COMPUTED_VALUE"""),"Night")</f>
        <v>Night</v>
      </c>
      <c r="W1507" s="11">
        <f ca="1">IFERROR(__xludf.DUMMYFUNCTION("""COMPUTED_VALUE"""),0.0833333333333333)</f>
        <v>8.3333333333333301E-2</v>
      </c>
      <c r="X1507" s="8">
        <f ca="1">IFERROR(__xludf.DUMMYFUNCTION("""COMPUTED_VALUE"""),1)</f>
        <v>1</v>
      </c>
      <c r="Y1507" s="12" t="str">
        <f ca="1">IFERROR(__xludf.DUMMYFUNCTION("""COMPUTED_VALUE"""),"Man fired multiple gunshots in school parking lot")</f>
        <v>Man fired multiple gunshots in school parking lot</v>
      </c>
      <c r="Z1507" s="12" t="str">
        <f ca="1">IFERROR(__xludf.DUMMYFUNCTION("""COMPUTED_VALUE"""),"24-year-old man was under police surveillance when he pulled into the school parking lot, fired multiple shots, and fled the area. He was arrested away from the scene and charged with multiple crimes.")</f>
        <v>24-year-old man was under police surveillance when he pulled into the school parking lot, fired multiple shots, and fled the area. He was arrested away from the scene and charged with multiple crimes.</v>
      </c>
      <c r="AA1507" s="8" t="str">
        <f ca="1">IFERROR(__xludf.DUMMYFUNCTION("""COMPUTED_VALUE"""),"Illegal Activity")</f>
        <v>Illegal Activity</v>
      </c>
      <c r="AB1507" s="8"/>
      <c r="AC1507" s="8" t="str">
        <f ca="1">IFERROR(__xludf.DUMMYFUNCTION("""COMPUTED_VALUE"""),"No")</f>
        <v>No</v>
      </c>
      <c r="AD1507" s="8" t="str">
        <f ca="1">IFERROR(__xludf.DUMMYFUNCTION("""COMPUTED_VALUE"""),"Victims Targeted")</f>
        <v>Victims Targeted</v>
      </c>
      <c r="AE1507" s="8" t="str">
        <f ca="1">IFERROR(__xludf.DUMMYFUNCTION("""COMPUTED_VALUE"""),"No")</f>
        <v>No</v>
      </c>
      <c r="AF1507" s="8"/>
      <c r="AG1507" s="8" t="str">
        <f ca="1">IFERROR(__xludf.DUMMYFUNCTION("""COMPUTED_VALUE"""),"No")</f>
        <v>No</v>
      </c>
      <c r="AH1507" s="8" t="str">
        <f ca="1">IFERROR(__xludf.DUMMYFUNCTION("""COMPUTED_VALUE"""),"No")</f>
        <v>No</v>
      </c>
      <c r="AI1507" s="8" t="str">
        <f ca="1">IFERROR(__xludf.DUMMYFUNCTION("""COMPUTED_VALUE"""),"No")</f>
        <v>No</v>
      </c>
      <c r="AJ1507" s="8" t="str">
        <f ca="1">IFERROR(__xludf.DUMMYFUNCTION("""COMPUTED_VALUE"""),"No")</f>
        <v>No</v>
      </c>
      <c r="AK1507" s="8" t="str">
        <f ca="1">IFERROR(__xludf.DUMMYFUNCTION("""COMPUTED_VALUE"""),"No")</f>
        <v>No</v>
      </c>
      <c r="AL1507" s="8" t="str">
        <f ca="1">IFERROR(__xludf.DUMMYFUNCTION("""COMPUTED_VALUE"""),"No")</f>
        <v>No</v>
      </c>
      <c r="AM1507" s="8" t="str">
        <f ca="1">IFERROR(__xludf.DUMMYFUNCTION("""COMPUTED_VALUE"""),"No")</f>
        <v>No</v>
      </c>
      <c r="AN1507" s="8"/>
      <c r="AO1507" s="8" t="str">
        <f ca="1">IFERROR(__xludf.DUMMYFUNCTION("""COMPUTED_VALUE"""),"No")</f>
        <v>No</v>
      </c>
      <c r="AP1507" s="8"/>
      <c r="AQ1507" s="8"/>
      <c r="AR1507" s="8" t="str">
        <f ca="1">IFERROR(__xludf.DUMMYFUNCTION("""COMPUTED_VALUE"""),"Outside/Off-Property")</f>
        <v>Outside/Off-Property</v>
      </c>
      <c r="AS1507" s="8"/>
      <c r="AT1507" s="8"/>
      <c r="AU1507" s="8">
        <f ca="1">IFERROR(__xludf.DUMMYFUNCTION("""COMPUTED_VALUE"""),35.903007)</f>
        <v>35.903007000000002</v>
      </c>
      <c r="AV1507" s="8">
        <f ca="1">IFERROR(__xludf.DUMMYFUNCTION("""COMPUTED_VALUE"""),-78.577825)</f>
        <v>-78.577825000000004</v>
      </c>
      <c r="AW1507" s="8"/>
      <c r="AX1507" s="8">
        <f ca="1">IFERROR(__xludf.DUMMYFUNCTION("""COMPUTED_VALUE"""),27614)</f>
        <v>27614</v>
      </c>
    </row>
    <row r="1508" spans="1:50" ht="60" x14ac:dyDescent="0.2">
      <c r="A1508" s="8" t="str">
        <f ca="1">IFERROR(__xludf.DUMMYFUNCTION("""COMPUTED_VALUE"""),"20200413NEMOO")</f>
        <v>20200413NEMOO</v>
      </c>
      <c r="B1508" s="8">
        <f ca="1">IFERROR(__xludf.DUMMYFUNCTION("""COMPUTED_VALUE"""),4)</f>
        <v>4</v>
      </c>
      <c r="C1508" s="8">
        <f ca="1">IFERROR(__xludf.DUMMYFUNCTION("""COMPUTED_VALUE"""),13)</f>
        <v>13</v>
      </c>
      <c r="D1508" s="8">
        <f ca="1">IFERROR(__xludf.DUMMYFUNCTION("""COMPUTED_VALUE"""),2020)</f>
        <v>2020</v>
      </c>
      <c r="E1508" s="9">
        <f ca="1">IFERROR(__xludf.DUMMYFUNCTION("""COMPUTED_VALUE"""),43934)</f>
        <v>43934</v>
      </c>
      <c r="F1508" s="8" t="str">
        <f ca="1">IFERROR(__xludf.DUMMYFUNCTION("""COMPUTED_VALUE"""),"Morton Middle School")</f>
        <v>Morton Middle School</v>
      </c>
      <c r="G1508" s="8">
        <f ca="1">IFERROR(__xludf.DUMMYFUNCTION("""COMPUTED_VALUE"""),0)</f>
        <v>0</v>
      </c>
      <c r="H1508" s="8">
        <f ca="1">IFERROR(__xludf.DUMMYFUNCTION("""COMPUTED_VALUE"""),1)</f>
        <v>1</v>
      </c>
      <c r="I1508" s="8">
        <f ca="1">IFERROR(__xludf.DUMMYFUNCTION("""COMPUTED_VALUE"""),1)</f>
        <v>1</v>
      </c>
      <c r="J1508" s="8">
        <f ca="1">IFERROR(__xludf.DUMMYFUNCTION("""COMPUTED_VALUE"""),0)</f>
        <v>0</v>
      </c>
      <c r="K1508" s="8" t="str">
        <f ca="1">IFERROR(__xludf.DUMMYFUNCTION("""COMPUTED_VALUE"""),"https://www.ketv.com/article/opd-investigating-after-18-year-old-reportedly-shot-in-middle-school-parking-lot/32132676 https://www.omaha.com/news/crime/18-year-old-shot-in-parking-lot-of-morton-middle-school/article_8b193c0c-18ef-5b54-bd7d-f1845ae11403.ht"&amp;"ml")</f>
        <v>https://www.ketv.com/article/opd-investigating-after-18-year-old-reportedly-shot-in-middle-school-parking-lot/32132676 https://www.omaha.com/news/crime/18-year-old-shot-in-parking-lot-of-morton-middle-school/article_8b193c0c-18ef-5b54-bd7d-f1845ae11403.html</v>
      </c>
      <c r="L1508" s="8"/>
      <c r="M1508" s="8"/>
      <c r="N1508" s="8">
        <f ca="1">IFERROR(__xludf.DUMMYFUNCTION("""COMPUTED_VALUE"""),3)</f>
        <v>3</v>
      </c>
      <c r="O1508" s="8" t="str">
        <f ca="1">IFERROR(__xludf.DUMMYFUNCTION("""COMPUTED_VALUE"""),"Spring")</f>
        <v>Spring</v>
      </c>
      <c r="P1508" s="8" t="str">
        <f ca="1">IFERROR(__xludf.DUMMYFUNCTION("""COMPUTED_VALUE"""),"Omaha")</f>
        <v>Omaha</v>
      </c>
      <c r="Q1508" s="8" t="str">
        <f ca="1">IFERROR(__xludf.DUMMYFUNCTION("""COMPUTED_VALUE"""),"NE")</f>
        <v>NE</v>
      </c>
      <c r="R1508" s="8" t="str">
        <f ca="1">IFERROR(__xludf.DUMMYFUNCTION("""COMPUTED_VALUE"""),"Middle")</f>
        <v>Middle</v>
      </c>
      <c r="S1508" s="8" t="str">
        <f ca="1">IFERROR(__xludf.DUMMYFUNCTION("""COMPUTED_VALUE"""),"Parking Lot")</f>
        <v>Parking Lot</v>
      </c>
      <c r="T1508" s="8" t="str">
        <f ca="1">IFERROR(__xludf.DUMMYFUNCTION("""COMPUTED_VALUE"""),"Outside on School Property")</f>
        <v>Outside on School Property</v>
      </c>
      <c r="U1508" s="8" t="str">
        <f ca="1">IFERROR(__xludf.DUMMYFUNCTION("""COMPUTED_VALUE"""),"No")</f>
        <v>No</v>
      </c>
      <c r="V1508" s="8" t="str">
        <f ca="1">IFERROR(__xludf.DUMMYFUNCTION("""COMPUTED_VALUE"""),"Not a School Day")</f>
        <v>Not a School Day</v>
      </c>
      <c r="W1508" s="11">
        <f ca="1">IFERROR(__xludf.DUMMYFUNCTION("""COMPUTED_VALUE"""),0.427083333333333)</f>
        <v>0.42708333333333298</v>
      </c>
      <c r="X1508" s="8">
        <f ca="1">IFERROR(__xludf.DUMMYFUNCTION("""COMPUTED_VALUE"""),1)</f>
        <v>1</v>
      </c>
      <c r="Y1508" s="12" t="str">
        <f ca="1">IFERROR(__xludf.DUMMYFUNCTION("""COMPUTED_VALUE"""),"18YOM shot during fight in school parking lot")</f>
        <v>18YOM shot during fight in school parking lot</v>
      </c>
      <c r="Z1508" s="12" t="str">
        <f ca="1">IFERROR(__xludf.DUMMYFUNCTION("""COMPUTED_VALUE"""),"An 18 year-old male was shot during argument that escalated into shooting in the school parking lot. Driven to the hospital and notified police of the shooting from the hospital. School was closed due to COVID-19.")</f>
        <v>An 18 year-old male was shot during argument that escalated into shooting in the school parking lot. Driven to the hospital and notified police of the shooting from the hospital. School was closed due to COVID-19.</v>
      </c>
      <c r="AA1508" s="8" t="str">
        <f ca="1">IFERROR(__xludf.DUMMYFUNCTION("""COMPUTED_VALUE"""),"Escalation of Dispute")</f>
        <v>Escalation of Dispute</v>
      </c>
      <c r="AB1508" s="8"/>
      <c r="AC1508" s="8" t="str">
        <f ca="1">IFERROR(__xludf.DUMMYFUNCTION("""COMPUTED_VALUE"""),"No")</f>
        <v>No</v>
      </c>
      <c r="AD1508" s="8"/>
      <c r="AE1508" s="8"/>
      <c r="AF1508" s="8" t="str">
        <f ca="1">IFERROR(__xludf.DUMMYFUNCTION("""COMPUTED_VALUE"""),"Group")</f>
        <v>Group</v>
      </c>
      <c r="AG1508" s="8" t="str">
        <f ca="1">IFERROR(__xludf.DUMMYFUNCTION("""COMPUTED_VALUE"""),"No")</f>
        <v>No</v>
      </c>
      <c r="AH1508" s="8" t="str">
        <f ca="1">IFERROR(__xludf.DUMMYFUNCTION("""COMPUTED_VALUE"""),"No")</f>
        <v>No</v>
      </c>
      <c r="AI1508" s="8" t="str">
        <f ca="1">IFERROR(__xludf.DUMMYFUNCTION("""COMPUTED_VALUE"""),"No")</f>
        <v>No</v>
      </c>
      <c r="AJ1508" s="8" t="str">
        <f ca="1">IFERROR(__xludf.DUMMYFUNCTION("""COMPUTED_VALUE"""),"No")</f>
        <v>No</v>
      </c>
      <c r="AK1508" s="8" t="str">
        <f ca="1">IFERROR(__xludf.DUMMYFUNCTION("""COMPUTED_VALUE"""),"No")</f>
        <v>No</v>
      </c>
      <c r="AL1508" s="8" t="str">
        <f ca="1">IFERROR(__xludf.DUMMYFUNCTION("""COMPUTED_VALUE"""),"No")</f>
        <v>No</v>
      </c>
      <c r="AM1508" s="8" t="str">
        <f ca="1">IFERROR(__xludf.DUMMYFUNCTION("""COMPUTED_VALUE"""),"No")</f>
        <v>No</v>
      </c>
      <c r="AN1508" s="8"/>
      <c r="AO1508" s="8" t="str">
        <f ca="1">IFERROR(__xludf.DUMMYFUNCTION("""COMPUTED_VALUE"""),"No")</f>
        <v>No</v>
      </c>
      <c r="AP1508" s="8"/>
      <c r="AQ1508" s="8" t="str">
        <f ca="1">IFERROR(__xludf.DUMMYFUNCTION("""COMPUTED_VALUE"""),"Unknown")</f>
        <v>Unknown</v>
      </c>
      <c r="AR1508" s="8" t="str">
        <f ca="1">IFERROR(__xludf.DUMMYFUNCTION("""COMPUTED_VALUE"""),"Outside/Off-Property")</f>
        <v>Outside/Off-Property</v>
      </c>
      <c r="AS1508" s="8"/>
      <c r="AT1508" s="8" t="str">
        <f ca="1">IFERROR(__xludf.DUMMYFUNCTION("""COMPUTED_VALUE"""),"N/A")</f>
        <v>N/A</v>
      </c>
      <c r="AU1508" s="8">
        <f ca="1">IFERROR(__xludf.DUMMYFUNCTION("""COMPUTED_VALUE"""),41.299953)</f>
        <v>41.299953000000002</v>
      </c>
      <c r="AV1508" s="8">
        <f ca="1">IFERROR(__xludf.DUMMYFUNCTION("""COMPUTED_VALUE"""),-96.068957)</f>
        <v>-96.068956999999997</v>
      </c>
      <c r="AW1508" s="8"/>
      <c r="AX1508" s="8">
        <f ca="1">IFERROR(__xludf.DUMMYFUNCTION("""COMPUTED_VALUE"""),68134)</f>
        <v>68134</v>
      </c>
    </row>
    <row r="1509" spans="1:50" ht="45" x14ac:dyDescent="0.2">
      <c r="A1509" s="8" t="str">
        <f ca="1">IFERROR(__xludf.DUMMYFUNCTION("""COMPUTED_VALUE"""),"20200330GANAS")</f>
        <v>20200330GANAS</v>
      </c>
      <c r="B1509" s="8">
        <f ca="1">IFERROR(__xludf.DUMMYFUNCTION("""COMPUTED_VALUE"""),3)</f>
        <v>3</v>
      </c>
      <c r="C1509" s="8">
        <f ca="1">IFERROR(__xludf.DUMMYFUNCTION("""COMPUTED_VALUE"""),30)</f>
        <v>30</v>
      </c>
      <c r="D1509" s="8">
        <f ca="1">IFERROR(__xludf.DUMMYFUNCTION("""COMPUTED_VALUE"""),2020)</f>
        <v>2020</v>
      </c>
      <c r="E1509" s="9">
        <f ca="1">IFERROR(__xludf.DUMMYFUNCTION("""COMPUTED_VALUE"""),43920)</f>
        <v>43920</v>
      </c>
      <c r="F1509" s="8" t="str">
        <f ca="1">IFERROR(__xludf.DUMMYFUNCTION("""COMPUTED_VALUE"""),"Narvie J. Harris Elementary School")</f>
        <v>Narvie J. Harris Elementary School</v>
      </c>
      <c r="G1509" s="8">
        <f ca="1">IFERROR(__xludf.DUMMYFUNCTION("""COMPUTED_VALUE"""),0)</f>
        <v>0</v>
      </c>
      <c r="H1509" s="8">
        <f ca="1">IFERROR(__xludf.DUMMYFUNCTION("""COMPUTED_VALUE"""),3)</f>
        <v>3</v>
      </c>
      <c r="I1509" s="8">
        <f ca="1">IFERROR(__xludf.DUMMYFUNCTION("""COMPUTED_VALUE"""),3)</f>
        <v>3</v>
      </c>
      <c r="J1509" s="8">
        <f ca="1">IFERROR(__xludf.DUMMYFUNCTION("""COMPUTED_VALUE"""),0)</f>
        <v>0</v>
      </c>
      <c r="K1509" s="8" t="str">
        <f ca="1">IFERROR(__xludf.DUMMYFUNCTION("""COMPUTED_VALUE"""),"https://www.11alive.com/article/news/crime/shooting-narvie-j-harris-elementary-school-parking-lot/85-c9d614da-8330-4b61-a094-f8d7968ff691 https://www.fox5atlanta.com/news/police-2-arrested-after-shooting-in-elementary-school-parking-lot https://www.ajc.co"&amp;"m/news/crime--law/breaking-hospital-after-shooting-dekalb-elementary-school-parking-lot/7VJuNo9nNlnwSmGaa8NdPK/")</f>
        <v>https://www.11alive.com/article/news/crime/shooting-narvie-j-harris-elementary-school-parking-lot/85-c9d614da-8330-4b61-a094-f8d7968ff691 https://www.fox5atlanta.com/news/police-2-arrested-after-shooting-in-elementary-school-parking-lot https://www.ajc.com/news/crime--law/breaking-hospital-after-shooting-dekalb-elementary-school-parking-lot/7VJuNo9nNlnwSmGaa8NdPK/</v>
      </c>
      <c r="L1509" s="8"/>
      <c r="M1509" s="8"/>
      <c r="N1509" s="8">
        <f ca="1">IFERROR(__xludf.DUMMYFUNCTION("""COMPUTED_VALUE"""),4)</f>
        <v>4</v>
      </c>
      <c r="O1509" s="8" t="str">
        <f ca="1">IFERROR(__xludf.DUMMYFUNCTION("""COMPUTED_VALUE"""),"Spring")</f>
        <v>Spring</v>
      </c>
      <c r="P1509" s="8" t="str">
        <f ca="1">IFERROR(__xludf.DUMMYFUNCTION("""COMPUTED_VALUE"""),"Stonecrest")</f>
        <v>Stonecrest</v>
      </c>
      <c r="Q1509" s="8" t="str">
        <f ca="1">IFERROR(__xludf.DUMMYFUNCTION("""COMPUTED_VALUE"""),"GA")</f>
        <v>GA</v>
      </c>
      <c r="R1509" s="8" t="str">
        <f ca="1">IFERROR(__xludf.DUMMYFUNCTION("""COMPUTED_VALUE"""),"Elementary")</f>
        <v>Elementary</v>
      </c>
      <c r="S1509" s="8" t="str">
        <f ca="1">IFERROR(__xludf.DUMMYFUNCTION("""COMPUTED_VALUE"""),"Parking Lot")</f>
        <v>Parking Lot</v>
      </c>
      <c r="T1509" s="8" t="str">
        <f ca="1">IFERROR(__xludf.DUMMYFUNCTION("""COMPUTED_VALUE"""),"Outside on School Property")</f>
        <v>Outside on School Property</v>
      </c>
      <c r="U1509" s="8" t="str">
        <f ca="1">IFERROR(__xludf.DUMMYFUNCTION("""COMPUTED_VALUE"""),"No")</f>
        <v>No</v>
      </c>
      <c r="V1509" s="8" t="str">
        <f ca="1">IFERROR(__xludf.DUMMYFUNCTION("""COMPUTED_VALUE"""),"Night")</f>
        <v>Night</v>
      </c>
      <c r="W1509" s="11">
        <f ca="1">IFERROR(__xludf.DUMMYFUNCTION("""COMPUTED_VALUE"""),0.902777777777777)</f>
        <v>0.90277777777777701</v>
      </c>
      <c r="X1509" s="8">
        <f ca="1">IFERROR(__xludf.DUMMYFUNCTION("""COMPUTED_VALUE"""),1)</f>
        <v>1</v>
      </c>
      <c r="Y1509" s="12" t="str">
        <f ca="1">IFERROR(__xludf.DUMMYFUNCTION("""COMPUTED_VALUE"""),"Three people shot during fight in the school parking lot")</f>
        <v>Three people shot during fight in the school parking lot</v>
      </c>
      <c r="Z1509" s="12" t="str">
        <f ca="1">IFERROR(__xludf.DUMMYFUNCTION("""COMPUTED_VALUE"""),"Three people were shot and 2 suspects (names not released) were arrested following a fight in the parking lot of the school. School was closed for COVID-19.")</f>
        <v>Three people were shot and 2 suspects (names not released) were arrested following a fight in the parking lot of the school. School was closed for COVID-19.</v>
      </c>
      <c r="AA1509" s="8" t="str">
        <f ca="1">IFERROR(__xludf.DUMMYFUNCTION("""COMPUTED_VALUE"""),"Escalation of Dispute")</f>
        <v>Escalation of Dispute</v>
      </c>
      <c r="AB1509" s="8"/>
      <c r="AC1509" s="8" t="str">
        <f ca="1">IFERROR(__xludf.DUMMYFUNCTION("""COMPUTED_VALUE"""),"No")</f>
        <v>No</v>
      </c>
      <c r="AD1509" s="8" t="str">
        <f ca="1">IFERROR(__xludf.DUMMYFUNCTION("""COMPUTED_VALUE"""),"Victims Targeted")</f>
        <v>Victims Targeted</v>
      </c>
      <c r="AE1509" s="8" t="str">
        <f ca="1">IFERROR(__xludf.DUMMYFUNCTION("""COMPUTED_VALUE"""),"Yes")</f>
        <v>Yes</v>
      </c>
      <c r="AF1509" s="8" t="str">
        <f ca="1">IFERROR(__xludf.DUMMYFUNCTION("""COMPUTED_VALUE"""),"2 arrrested")</f>
        <v>2 arrrested</v>
      </c>
      <c r="AG1509" s="8" t="str">
        <f ca="1">IFERROR(__xludf.DUMMYFUNCTION("""COMPUTED_VALUE"""),"No")</f>
        <v>No</v>
      </c>
      <c r="AH1509" s="8" t="str">
        <f ca="1">IFERROR(__xludf.DUMMYFUNCTION("""COMPUTED_VALUE"""),"No")</f>
        <v>No</v>
      </c>
      <c r="AI1509" s="8" t="str">
        <f ca="1">IFERROR(__xludf.DUMMYFUNCTION("""COMPUTED_VALUE"""),"No")</f>
        <v>No</v>
      </c>
      <c r="AJ1509" s="8" t="str">
        <f ca="1">IFERROR(__xludf.DUMMYFUNCTION("""COMPUTED_VALUE"""),"No")</f>
        <v>No</v>
      </c>
      <c r="AK1509" s="8" t="str">
        <f ca="1">IFERROR(__xludf.DUMMYFUNCTION("""COMPUTED_VALUE"""),"No")</f>
        <v>No</v>
      </c>
      <c r="AL1509" s="8" t="str">
        <f ca="1">IFERROR(__xludf.DUMMYFUNCTION("""COMPUTED_VALUE"""),"No")</f>
        <v>No</v>
      </c>
      <c r="AM1509" s="8" t="str">
        <f ca="1">IFERROR(__xludf.DUMMYFUNCTION("""COMPUTED_VALUE"""),"No")</f>
        <v>No</v>
      </c>
      <c r="AN1509" s="8"/>
      <c r="AO1509" s="8" t="str">
        <f ca="1">IFERROR(__xludf.DUMMYFUNCTION("""COMPUTED_VALUE"""),"No")</f>
        <v>No</v>
      </c>
      <c r="AP1509" s="8"/>
      <c r="AQ1509" s="8" t="str">
        <f ca="1">IFERROR(__xludf.DUMMYFUNCTION("""COMPUTED_VALUE"""),"Unknown")</f>
        <v>Unknown</v>
      </c>
      <c r="AR1509" s="8" t="str">
        <f ca="1">IFERROR(__xludf.DUMMYFUNCTION("""COMPUTED_VALUE"""),"Outside/Off-Property")</f>
        <v>Outside/Off-Property</v>
      </c>
      <c r="AS1509" s="8"/>
      <c r="AT1509" s="8" t="str">
        <f ca="1">IFERROR(__xludf.DUMMYFUNCTION("""COMPUTED_VALUE"""),"N/A")</f>
        <v>N/A</v>
      </c>
      <c r="AU1509" s="8">
        <f ca="1">IFERROR(__xludf.DUMMYFUNCTION("""COMPUTED_VALUE"""),33.666393)</f>
        <v>33.666392999999999</v>
      </c>
      <c r="AV1509" s="8">
        <f ca="1">IFERROR(__xludf.DUMMYFUNCTION("""COMPUTED_VALUE"""),-84.226156)</f>
        <v>-84.226156000000003</v>
      </c>
      <c r="AW1509" s="8"/>
      <c r="AX1509" s="8">
        <f ca="1">IFERROR(__xludf.DUMMYFUNCTION("""COMPUTED_VALUE"""),30034)</f>
        <v>30034</v>
      </c>
    </row>
    <row r="1510" spans="1:50" ht="150" x14ac:dyDescent="0.2">
      <c r="A1510" s="8" t="str">
        <f ca="1">IFERROR(__xludf.DUMMYFUNCTION("""COMPUTED_VALUE"""),"20200324LAROM")</f>
        <v>20200324LAROM</v>
      </c>
      <c r="B1510" s="8">
        <f ca="1">IFERROR(__xludf.DUMMYFUNCTION("""COMPUTED_VALUE"""),3)</f>
        <v>3</v>
      </c>
      <c r="C1510" s="8">
        <f ca="1">IFERROR(__xludf.DUMMYFUNCTION("""COMPUTED_VALUE"""),24)</f>
        <v>24</v>
      </c>
      <c r="D1510" s="8">
        <f ca="1">IFERROR(__xludf.DUMMYFUNCTION("""COMPUTED_VALUE"""),2020)</f>
        <v>2020</v>
      </c>
      <c r="E1510" s="9">
        <f ca="1">IFERROR(__xludf.DUMMYFUNCTION("""COMPUTED_VALUE"""),43914)</f>
        <v>43914</v>
      </c>
      <c r="F1510" s="8" t="str">
        <f ca="1">IFERROR(__xludf.DUMMYFUNCTION("""COMPUTED_VALUE"""),"Roy Shelling Elementary School")</f>
        <v>Roy Shelling Elementary School</v>
      </c>
      <c r="G1510" s="8">
        <f ca="1">IFERROR(__xludf.DUMMYFUNCTION("""COMPUTED_VALUE"""),0)</f>
        <v>0</v>
      </c>
      <c r="H1510" s="8">
        <f ca="1">IFERROR(__xludf.DUMMYFUNCTION("""COMPUTED_VALUE"""),1)</f>
        <v>1</v>
      </c>
      <c r="I1510" s="8">
        <f ca="1">IFERROR(__xludf.DUMMYFUNCTION("""COMPUTED_VALUE"""),1)</f>
        <v>1</v>
      </c>
      <c r="J1510" s="8">
        <f ca="1">IFERROR(__xludf.DUMMYFUNCTION("""COMPUTED_VALUE"""),0)</f>
        <v>0</v>
      </c>
      <c r="K1510" s="8" t="str">
        <f ca="1">IFERROR(__xludf.DUMMYFUNCTION("""COMPUTED_VALUE"""),"https://www.knoe.com/content/news/Monroe-Police-investigating-parking-lot-shooting-at-Roy-Shelling-Elementary-School-569072391.html https://www.thenewsstar.com/story/news/crime/2020/03/25/mpd-arrests-roy-neal-shelling-elementary-parking-lot-shooting/50836"&amp;"88002/ https://www.myarklamiss.com/crime/monroe-police-investigating-shooting-at-roy-shelling-elementary-parking-lot/ https://www.hannapub.com/ouachitacitizen/news/crime/police-probe-rival-groups-shooting-at-monroe-school/article_d989642a-7449-11ea-a4bf-3"&amp;"33d705e9435.html https://www.thenewsstar.com/story/news/crime/2020/04/08/suspect-school-parking-lot-shooting-faces-attempted-murder-charge/2974196001/")</f>
        <v>https://www.knoe.com/content/news/Monroe-Police-investigating-parking-lot-shooting-at-Roy-Shelling-Elementary-School-569072391.html https://www.thenewsstar.com/story/news/crime/2020/03/25/mpd-arrests-roy-neal-shelling-elementary-parking-lot-shooting/5083688002/ https://www.myarklamiss.com/crime/monroe-police-investigating-shooting-at-roy-shelling-elementary-parking-lot/ https://www.hannapub.com/ouachitacitizen/news/crime/police-probe-rival-groups-shooting-at-monroe-school/article_d989642a-7449-11ea-a4bf-333d705e9435.html https://www.thenewsstar.com/story/news/crime/2020/04/08/suspect-school-parking-lot-shooting-faces-attempted-murder-charge/2974196001/</v>
      </c>
      <c r="L1510" s="8"/>
      <c r="M1510" s="8"/>
      <c r="N1510" s="8">
        <f ca="1">IFERROR(__xludf.DUMMYFUNCTION("""COMPUTED_VALUE"""),4)</f>
        <v>4</v>
      </c>
      <c r="O1510" s="8" t="str">
        <f ca="1">IFERROR(__xludf.DUMMYFUNCTION("""COMPUTED_VALUE"""),"Spring")</f>
        <v>Spring</v>
      </c>
      <c r="P1510" s="8" t="str">
        <f ca="1">IFERROR(__xludf.DUMMYFUNCTION("""COMPUTED_VALUE"""),"Monroe")</f>
        <v>Monroe</v>
      </c>
      <c r="Q1510" s="8" t="str">
        <f ca="1">IFERROR(__xludf.DUMMYFUNCTION("""COMPUTED_VALUE"""),"LA")</f>
        <v>LA</v>
      </c>
      <c r="R1510" s="8" t="str">
        <f ca="1">IFERROR(__xludf.DUMMYFUNCTION("""COMPUTED_VALUE"""),"Elementary")</f>
        <v>Elementary</v>
      </c>
      <c r="S1510" s="8" t="str">
        <f ca="1">IFERROR(__xludf.DUMMYFUNCTION("""COMPUTED_VALUE"""),"Parking Lot")</f>
        <v>Parking Lot</v>
      </c>
      <c r="T1510" s="8" t="str">
        <f ca="1">IFERROR(__xludf.DUMMYFUNCTION("""COMPUTED_VALUE"""),"Outside on School Property")</f>
        <v>Outside on School Property</v>
      </c>
      <c r="U1510" s="8" t="str">
        <f ca="1">IFERROR(__xludf.DUMMYFUNCTION("""COMPUTED_VALUE"""),"No")</f>
        <v>No</v>
      </c>
      <c r="V1510" s="8" t="str">
        <f ca="1">IFERROR(__xludf.DUMMYFUNCTION("""COMPUTED_VALUE"""),"Not a School Day")</f>
        <v>Not a School Day</v>
      </c>
      <c r="W1510" s="11">
        <f ca="1">IFERROR(__xludf.DUMMYFUNCTION("""COMPUTED_VALUE"""),0.675)</f>
        <v>0.67500000000000004</v>
      </c>
      <c r="X1510" s="8">
        <f ca="1">IFERROR(__xludf.DUMMYFUNCTION("""COMPUTED_VALUE"""),1)</f>
        <v>1</v>
      </c>
      <c r="Y1510" s="12" t="str">
        <f ca="1">IFERROR(__xludf.DUMMYFUNCTION("""COMPUTED_VALUE"""),"Male shot during fight between 20 people in school parking lot")</f>
        <v>Male shot during fight between 20 people in school parking lot</v>
      </c>
      <c r="Z1510" s="12" t="str">
        <f ca="1">IFERROR(__xludf.DUMMYFUNCTION("""COMPUTED_VALUE"""),"Multiple shots fired during fight between rival rappers and a group of 20 people in parking lot of the elementary school (closed for COVID-19). One male injured and transported to hospital. One person arrested later in connection and police looking for ot"&amp;"her suspects. “At some point during the fight multiple persons retrieve handguns and began shooting,” said Monroe Police Sgt. Charles “Chuck” Johnson. “It was a clear division among groups with persons from both sides firing upon each other.  There were s"&amp;"everal shots fired from both groups.”")</f>
        <v>Multiple shots fired during fight between rival rappers and a group of 20 people in parking lot of the elementary school (closed for COVID-19). One male injured and transported to hospital. One person arrested later in connection and police looking for other suspects. “At some point during the fight multiple persons retrieve handguns and began shooting,” said Monroe Police Sgt. Charles “Chuck” Johnson. “It was a clear division among groups with persons from both sides firing upon each other.  There were several shots fired from both groups.”</v>
      </c>
      <c r="AA1510" s="8" t="str">
        <f ca="1">IFERROR(__xludf.DUMMYFUNCTION("""COMPUTED_VALUE"""),"Escalation of Dispute")</f>
        <v>Escalation of Dispute</v>
      </c>
      <c r="AB1510" s="8"/>
      <c r="AC1510" s="8" t="str">
        <f ca="1">IFERROR(__xludf.DUMMYFUNCTION("""COMPUTED_VALUE"""),"No")</f>
        <v>No</v>
      </c>
      <c r="AD1510" s="8" t="str">
        <f ca="1">IFERROR(__xludf.DUMMYFUNCTION("""COMPUTED_VALUE"""),"Victims Targeted")</f>
        <v>Victims Targeted</v>
      </c>
      <c r="AE1510" s="8" t="str">
        <f ca="1">IFERROR(__xludf.DUMMYFUNCTION("""COMPUTED_VALUE"""),"No")</f>
        <v>No</v>
      </c>
      <c r="AF1510" s="8"/>
      <c r="AG1510" s="8" t="str">
        <f ca="1">IFERROR(__xludf.DUMMYFUNCTION("""COMPUTED_VALUE"""),"No")</f>
        <v>No</v>
      </c>
      <c r="AH1510" s="8" t="str">
        <f ca="1">IFERROR(__xludf.DUMMYFUNCTION("""COMPUTED_VALUE"""),"No")</f>
        <v>No</v>
      </c>
      <c r="AI1510" s="8" t="str">
        <f ca="1">IFERROR(__xludf.DUMMYFUNCTION("""COMPUTED_VALUE"""),"No")</f>
        <v>No</v>
      </c>
      <c r="AJ1510" s="8" t="str">
        <f ca="1">IFERROR(__xludf.DUMMYFUNCTION("""COMPUTED_VALUE"""),"No")</f>
        <v>No</v>
      </c>
      <c r="AK1510" s="8" t="str">
        <f ca="1">IFERROR(__xludf.DUMMYFUNCTION("""COMPUTED_VALUE"""),"No")</f>
        <v>No</v>
      </c>
      <c r="AL1510" s="8" t="str">
        <f ca="1">IFERROR(__xludf.DUMMYFUNCTION("""COMPUTED_VALUE"""),"Yes")</f>
        <v>Yes</v>
      </c>
      <c r="AM1510" s="8" t="str">
        <f ca="1">IFERROR(__xludf.DUMMYFUNCTION("""COMPUTED_VALUE"""),"No")</f>
        <v>No</v>
      </c>
      <c r="AN1510" s="8"/>
      <c r="AO1510" s="8" t="str">
        <f ca="1">IFERROR(__xludf.DUMMYFUNCTION("""COMPUTED_VALUE"""),"No")</f>
        <v>No</v>
      </c>
      <c r="AP1510" s="8"/>
      <c r="AQ1510" s="8" t="str">
        <f ca="1">IFERROR(__xludf.DUMMYFUNCTION("""COMPUTED_VALUE"""),"Unknown")</f>
        <v>Unknown</v>
      </c>
      <c r="AR1510" s="8" t="str">
        <f ca="1">IFERROR(__xludf.DUMMYFUNCTION("""COMPUTED_VALUE"""),"Outside/Off-Property")</f>
        <v>Outside/Off-Property</v>
      </c>
      <c r="AS1510" s="8" t="str">
        <f ca="1">IFERROR(__xludf.DUMMYFUNCTION("""COMPUTED_VALUE"""),"&lt;10")</f>
        <v>&lt;10</v>
      </c>
      <c r="AT1510" s="8" t="str">
        <f ca="1">IFERROR(__xludf.DUMMYFUNCTION("""COMPUTED_VALUE"""),"N/A")</f>
        <v>N/A</v>
      </c>
      <c r="AU1510" s="8">
        <f ca="1">IFERROR(__xludf.DUMMYFUNCTION("""COMPUTED_VALUE"""),32.510725)</f>
        <v>32.510725000000001</v>
      </c>
      <c r="AV1510" s="8">
        <f ca="1">IFERROR(__xludf.DUMMYFUNCTION("""COMPUTED_VALUE"""),-92.068535)</f>
        <v>-92.068534999999997</v>
      </c>
      <c r="AW1510" s="8"/>
      <c r="AX1510" s="8">
        <f ca="1">IFERROR(__xludf.DUMMYFUNCTION("""COMPUTED_VALUE"""),71203)</f>
        <v>71203</v>
      </c>
    </row>
    <row r="1511" spans="1:50" ht="45" x14ac:dyDescent="0.2">
      <c r="A1511" s="8" t="str">
        <f ca="1">IFERROR(__xludf.DUMMYFUNCTION("""COMPUTED_VALUE"""),"20200318LABOS")</f>
        <v>20200318LABOS</v>
      </c>
      <c r="B1511" s="8">
        <f ca="1">IFERROR(__xludf.DUMMYFUNCTION("""COMPUTED_VALUE"""),3)</f>
        <v>3</v>
      </c>
      <c r="C1511" s="8">
        <f ca="1">IFERROR(__xludf.DUMMYFUNCTION("""COMPUTED_VALUE"""),18)</f>
        <v>18</v>
      </c>
      <c r="D1511" s="8">
        <f ca="1">IFERROR(__xludf.DUMMYFUNCTION("""COMPUTED_VALUE"""),2020)</f>
        <v>2020</v>
      </c>
      <c r="E1511" s="9">
        <f ca="1">IFERROR(__xludf.DUMMYFUNCTION("""COMPUTED_VALUE"""),43908)</f>
        <v>43908</v>
      </c>
      <c r="F1511" s="8" t="str">
        <f ca="1">IFERROR(__xludf.DUMMYFUNCTION("""COMPUTED_VALUE"""),"Booker T. Washington High School")</f>
        <v>Booker T. Washington High School</v>
      </c>
      <c r="G1511" s="8">
        <f ca="1">IFERROR(__xludf.DUMMYFUNCTION("""COMPUTED_VALUE"""),0)</f>
        <v>0</v>
      </c>
      <c r="H1511" s="8">
        <f ca="1">IFERROR(__xludf.DUMMYFUNCTION("""COMPUTED_VALUE"""),1)</f>
        <v>1</v>
      </c>
      <c r="I1511" s="8">
        <f ca="1">IFERROR(__xludf.DUMMYFUNCTION("""COMPUTED_VALUE"""),1)</f>
        <v>1</v>
      </c>
      <c r="J1511" s="8">
        <f ca="1">IFERROR(__xludf.DUMMYFUNCTION("""COMPUTED_VALUE"""),0)</f>
        <v>0</v>
      </c>
      <c r="K1511" s="8" t="str">
        <f ca="1">IFERROR(__xludf.DUMMYFUNCTION("""COMPUTED_VALUE"""),"https://www.ksla.com/2020/03/19/fight-leads-shooting-police-search-gunman/ https://www.ktbs.com/news/crime/teen-shot-at-shreveport-s-btw-high-school/article_92485794-69c5-11ea-b9d0-f78542daac93.html")</f>
        <v>https://www.ksla.com/2020/03/19/fight-leads-shooting-police-search-gunman/ https://www.ktbs.com/news/crime/teen-shot-at-shreveport-s-btw-high-school/article_92485794-69c5-11ea-b9d0-f78542daac93.html</v>
      </c>
      <c r="L1511" s="8"/>
      <c r="M1511" s="8"/>
      <c r="N1511" s="8">
        <f ca="1">IFERROR(__xludf.DUMMYFUNCTION("""COMPUTED_VALUE"""),4)</f>
        <v>4</v>
      </c>
      <c r="O1511" s="8" t="str">
        <f ca="1">IFERROR(__xludf.DUMMYFUNCTION("""COMPUTED_VALUE"""),"Spring")</f>
        <v>Spring</v>
      </c>
      <c r="P1511" s="8" t="str">
        <f ca="1">IFERROR(__xludf.DUMMYFUNCTION("""COMPUTED_VALUE"""),"Shreveport")</f>
        <v>Shreveport</v>
      </c>
      <c r="Q1511" s="8" t="str">
        <f ca="1">IFERROR(__xludf.DUMMYFUNCTION("""COMPUTED_VALUE"""),"LA")</f>
        <v>LA</v>
      </c>
      <c r="R1511" s="8" t="str">
        <f ca="1">IFERROR(__xludf.DUMMYFUNCTION("""COMPUTED_VALUE"""),"High")</f>
        <v>High</v>
      </c>
      <c r="S1511" s="8" t="str">
        <f ca="1">IFERROR(__xludf.DUMMYFUNCTION("""COMPUTED_VALUE"""),"Parking Lot")</f>
        <v>Parking Lot</v>
      </c>
      <c r="T1511" s="8" t="str">
        <f ca="1">IFERROR(__xludf.DUMMYFUNCTION("""COMPUTED_VALUE"""),"Outside on School Property")</f>
        <v>Outside on School Property</v>
      </c>
      <c r="U1511" s="8" t="str">
        <f ca="1">IFERROR(__xludf.DUMMYFUNCTION("""COMPUTED_VALUE"""),"No")</f>
        <v>No</v>
      </c>
      <c r="V1511" s="8" t="str">
        <f ca="1">IFERROR(__xludf.DUMMYFUNCTION("""COMPUTED_VALUE"""),"Night")</f>
        <v>Night</v>
      </c>
      <c r="W1511" s="11">
        <f ca="1">IFERROR(__xludf.DUMMYFUNCTION("""COMPUTED_VALUE"""),0.958333333333333)</f>
        <v>0.95833333333333304</v>
      </c>
      <c r="X1511" s="8">
        <f ca="1">IFERROR(__xludf.DUMMYFUNCTION("""COMPUTED_VALUE"""),1)</f>
        <v>1</v>
      </c>
      <c r="Y1511" s="12" t="str">
        <f ca="1">IFERROR(__xludf.DUMMYFUNCTION("""COMPUTED_VALUE"""),"Teen shot outside of school during fight")</f>
        <v>Teen shot outside of school during fight</v>
      </c>
      <c r="Z1511" s="12" t="str">
        <f ca="1">IFERROR(__xludf.DUMMYFUNCTION("""COMPUTED_VALUE"""),"15YOM shot in the leg during a fight with another teen in the parking lot outside of the school. Shooter fled the scene and was not arrested.")</f>
        <v>15YOM shot in the leg during a fight with another teen in the parking lot outside of the school. Shooter fled the scene and was not arrested.</v>
      </c>
      <c r="AA1511" s="8" t="str">
        <f ca="1">IFERROR(__xludf.DUMMYFUNCTION("""COMPUTED_VALUE"""),"Escalation of Dispute")</f>
        <v>Escalation of Dispute</v>
      </c>
      <c r="AB1511" s="8"/>
      <c r="AC1511" s="8" t="str">
        <f ca="1">IFERROR(__xludf.DUMMYFUNCTION("""COMPUTED_VALUE"""),"No")</f>
        <v>No</v>
      </c>
      <c r="AD1511" s="8" t="str">
        <f ca="1">IFERROR(__xludf.DUMMYFUNCTION("""COMPUTED_VALUE"""),"Victims Targeted")</f>
        <v>Victims Targeted</v>
      </c>
      <c r="AE1511" s="8" t="str">
        <f ca="1">IFERROR(__xludf.DUMMYFUNCTION("""COMPUTED_VALUE"""),"No")</f>
        <v>No</v>
      </c>
      <c r="AF1511" s="8"/>
      <c r="AG1511" s="8" t="str">
        <f ca="1">IFERROR(__xludf.DUMMYFUNCTION("""COMPUTED_VALUE"""),"No")</f>
        <v>No</v>
      </c>
      <c r="AH1511" s="8" t="str">
        <f ca="1">IFERROR(__xludf.DUMMYFUNCTION("""COMPUTED_VALUE"""),"No")</f>
        <v>No</v>
      </c>
      <c r="AI1511" s="8" t="str">
        <f ca="1">IFERROR(__xludf.DUMMYFUNCTION("""COMPUTED_VALUE"""),"No")</f>
        <v>No</v>
      </c>
      <c r="AJ1511" s="8" t="str">
        <f ca="1">IFERROR(__xludf.DUMMYFUNCTION("""COMPUTED_VALUE"""),"No")</f>
        <v>No</v>
      </c>
      <c r="AK1511" s="8" t="str">
        <f ca="1">IFERROR(__xludf.DUMMYFUNCTION("""COMPUTED_VALUE"""),"No")</f>
        <v>No</v>
      </c>
      <c r="AL1511" s="8" t="str">
        <f ca="1">IFERROR(__xludf.DUMMYFUNCTION("""COMPUTED_VALUE"""),"No")</f>
        <v>No</v>
      </c>
      <c r="AM1511" s="8" t="str">
        <f ca="1">IFERROR(__xludf.DUMMYFUNCTION("""COMPUTED_VALUE"""),"No")</f>
        <v>No</v>
      </c>
      <c r="AN1511" s="8"/>
      <c r="AO1511" s="8" t="str">
        <f ca="1">IFERROR(__xludf.DUMMYFUNCTION("""COMPUTED_VALUE"""),"No")</f>
        <v>No</v>
      </c>
      <c r="AP1511" s="8"/>
      <c r="AQ1511" s="8" t="str">
        <f ca="1">IFERROR(__xludf.DUMMYFUNCTION("""COMPUTED_VALUE"""),"Unknown")</f>
        <v>Unknown</v>
      </c>
      <c r="AR1511" s="8" t="str">
        <f ca="1">IFERROR(__xludf.DUMMYFUNCTION("""COMPUTED_VALUE"""),"Outside/Off-Property")</f>
        <v>Outside/Off-Property</v>
      </c>
      <c r="AS1511" s="8">
        <f ca="1">IFERROR(__xludf.DUMMYFUNCTION("""COMPUTED_VALUE"""),1)</f>
        <v>1</v>
      </c>
      <c r="AT1511" s="8" t="str">
        <f ca="1">IFERROR(__xludf.DUMMYFUNCTION("""COMPUTED_VALUE"""),"N/A")</f>
        <v>N/A</v>
      </c>
      <c r="AU1511" s="8">
        <f ca="1">IFERROR(__xludf.DUMMYFUNCTION("""COMPUTED_VALUE"""),32.504108)</f>
        <v>32.504108000000002</v>
      </c>
      <c r="AV1511" s="8">
        <f ca="1">IFERROR(__xludf.DUMMYFUNCTION("""COMPUTED_VALUE"""),-93.774492)</f>
        <v>-93.774491999999995</v>
      </c>
      <c r="AW1511" s="8"/>
      <c r="AX1511" s="8">
        <f ca="1">IFERROR(__xludf.DUMMYFUNCTION("""COMPUTED_VALUE"""),71103)</f>
        <v>71103</v>
      </c>
    </row>
    <row r="1512" spans="1:50" ht="105" x14ac:dyDescent="0.2">
      <c r="A1512" s="8" t="str">
        <f ca="1">IFERROR(__xludf.DUMMYFUNCTION("""COMPUTED_VALUE"""),"20200315TXATH")</f>
        <v>20200315TXATH</v>
      </c>
      <c r="B1512" s="8">
        <f ca="1">IFERROR(__xludf.DUMMYFUNCTION("""COMPUTED_VALUE"""),3)</f>
        <v>3</v>
      </c>
      <c r="C1512" s="8">
        <f ca="1">IFERROR(__xludf.DUMMYFUNCTION("""COMPUTED_VALUE"""),15)</f>
        <v>15</v>
      </c>
      <c r="D1512" s="8">
        <f ca="1">IFERROR(__xludf.DUMMYFUNCTION("""COMPUTED_VALUE"""),2020)</f>
        <v>2020</v>
      </c>
      <c r="E1512" s="9">
        <f ca="1">IFERROR(__xludf.DUMMYFUNCTION("""COMPUTED_VALUE"""),43905)</f>
        <v>43905</v>
      </c>
      <c r="F1512" s="8" t="str">
        <f ca="1">IFERROR(__xludf.DUMMYFUNCTION("""COMPUTED_VALUE"""),"Atascocita High School")</f>
        <v>Atascocita High School</v>
      </c>
      <c r="G1512" s="8">
        <f ca="1">IFERROR(__xludf.DUMMYFUNCTION("""COMPUTED_VALUE"""),1)</f>
        <v>1</v>
      </c>
      <c r="H1512" s="8">
        <f ca="1">IFERROR(__xludf.DUMMYFUNCTION("""COMPUTED_VALUE"""),0)</f>
        <v>0</v>
      </c>
      <c r="I1512" s="8">
        <f ca="1">IFERROR(__xludf.DUMMYFUNCTION("""COMPUTED_VALUE"""),1)</f>
        <v>1</v>
      </c>
      <c r="J1512" s="8">
        <f ca="1">IFERROR(__xludf.DUMMYFUNCTION("""COMPUTED_VALUE"""),0)</f>
        <v>0</v>
      </c>
      <c r="K1512" s="8" t="str">
        <f ca="1">IFERROR(__xludf.DUMMYFUNCTION("""COMPUTED_VALUE"""),"https://abc13.com/teen-shot-during-argument-at-atascocita-high-school/6015648/ https://www.khou.com/article/news/crime/one-person-shot-during-argument-at-atascocita-hs-football-field/285-3abb11dd-c75a-41f8-adcc-4c674e805c34")</f>
        <v>https://abc13.com/teen-shot-during-argument-at-atascocita-high-school/6015648/ https://www.khou.com/article/news/crime/one-person-shot-during-argument-at-atascocita-hs-football-field/285-3abb11dd-c75a-41f8-adcc-4c674e805c34</v>
      </c>
      <c r="L1512" s="8"/>
      <c r="M1512" s="8"/>
      <c r="N1512" s="8">
        <f ca="1">IFERROR(__xludf.DUMMYFUNCTION("""COMPUTED_VALUE"""),4)</f>
        <v>4</v>
      </c>
      <c r="O1512" s="8" t="str">
        <f ca="1">IFERROR(__xludf.DUMMYFUNCTION("""COMPUTED_VALUE"""),"Spring")</f>
        <v>Spring</v>
      </c>
      <c r="P1512" s="8" t="str">
        <f ca="1">IFERROR(__xludf.DUMMYFUNCTION("""COMPUTED_VALUE"""),"Humble")</f>
        <v>Humble</v>
      </c>
      <c r="Q1512" s="8" t="str">
        <f ca="1">IFERROR(__xludf.DUMMYFUNCTION("""COMPUTED_VALUE"""),"TX")</f>
        <v>TX</v>
      </c>
      <c r="R1512" s="8" t="str">
        <f ca="1">IFERROR(__xludf.DUMMYFUNCTION("""COMPUTED_VALUE"""),"High")</f>
        <v>High</v>
      </c>
      <c r="S1512" s="8" t="str">
        <f ca="1">IFERROR(__xludf.DUMMYFUNCTION("""COMPUTED_VALUE"""),"Football Field/Track")</f>
        <v>Football Field/Track</v>
      </c>
      <c r="T1512" s="8" t="str">
        <f ca="1">IFERROR(__xludf.DUMMYFUNCTION("""COMPUTED_VALUE"""),"Outside on School Property")</f>
        <v>Outside on School Property</v>
      </c>
      <c r="U1512" s="8" t="str">
        <f ca="1">IFERROR(__xludf.DUMMYFUNCTION("""COMPUTED_VALUE"""),"No")</f>
        <v>No</v>
      </c>
      <c r="V1512" s="8" t="str">
        <f ca="1">IFERROR(__xludf.DUMMYFUNCTION("""COMPUTED_VALUE"""),"Not a School Day")</f>
        <v>Not a School Day</v>
      </c>
      <c r="W1512" s="11">
        <f ca="1">IFERROR(__xludf.DUMMYFUNCTION("""COMPUTED_VALUE"""),0.447916666666666)</f>
        <v>0.44791666666666602</v>
      </c>
      <c r="X1512" s="8">
        <f ca="1">IFERROR(__xludf.DUMMYFUNCTION("""COMPUTED_VALUE"""),1)</f>
        <v>1</v>
      </c>
      <c r="Y1512" s="12" t="str">
        <f ca="1">IFERROR(__xludf.DUMMYFUNCTION("""COMPUTED_VALUE"""),"19YOM former student shot during fight on school football field")</f>
        <v>19YOM former student shot during fight on school football field</v>
      </c>
      <c r="Z1512" s="12" t="str">
        <f ca="1">IFERROR(__xludf.DUMMYFUNCTION("""COMPUTED_VALUE"""),"20YOM (former student) shot another 19YOM (former student) during a fight on the high school football field. Victim was targeted and had prior disputes with shooter. Shooter chased down victim and shot him multiple times. 20-30 men had jumped the fence an"&amp;"d were on the football field during the shooting. Shooter fled the scene and murder warrant was issued.")</f>
        <v>20YOM (former student) shot another 19YOM (former student) during a fight on the high school football field. Victim was targeted and had prior disputes with shooter. Shooter chased down victim and shot him multiple times. 20-30 men had jumped the fence and were on the football field during the shooting. Shooter fled the scene and murder warrant was issued.</v>
      </c>
      <c r="AA1512" s="8" t="str">
        <f ca="1">IFERROR(__xludf.DUMMYFUNCTION("""COMPUTED_VALUE"""),"Escalation of Dispute")</f>
        <v>Escalation of Dispute</v>
      </c>
      <c r="AB1512" s="8"/>
      <c r="AC1512" s="8" t="str">
        <f ca="1">IFERROR(__xludf.DUMMYFUNCTION("""COMPUTED_VALUE"""),"No")</f>
        <v>No</v>
      </c>
      <c r="AD1512" s="8" t="str">
        <f ca="1">IFERROR(__xludf.DUMMYFUNCTION("""COMPUTED_VALUE"""),"Victims Targeted")</f>
        <v>Victims Targeted</v>
      </c>
      <c r="AE1512" s="8"/>
      <c r="AF1512" s="8" t="str">
        <f ca="1">IFERROR(__xludf.DUMMYFUNCTION("""COMPUTED_VALUE"""),"20-30 men on the field during the shooting")</f>
        <v>20-30 men on the field during the shooting</v>
      </c>
      <c r="AG1512" s="8" t="str">
        <f ca="1">IFERROR(__xludf.DUMMYFUNCTION("""COMPUTED_VALUE"""),"No")</f>
        <v>No</v>
      </c>
      <c r="AH1512" s="8" t="str">
        <f ca="1">IFERROR(__xludf.DUMMYFUNCTION("""COMPUTED_VALUE"""),"No")</f>
        <v>No</v>
      </c>
      <c r="AI1512" s="8" t="str">
        <f ca="1">IFERROR(__xludf.DUMMYFUNCTION("""COMPUTED_VALUE"""),"No")</f>
        <v>No</v>
      </c>
      <c r="AJ1512" s="8" t="str">
        <f ca="1">IFERROR(__xludf.DUMMYFUNCTION("""COMPUTED_VALUE"""),"No")</f>
        <v>No</v>
      </c>
      <c r="AK1512" s="8" t="str">
        <f ca="1">IFERROR(__xludf.DUMMYFUNCTION("""COMPUTED_VALUE"""),"No")</f>
        <v>No</v>
      </c>
      <c r="AL1512" s="8" t="str">
        <f ca="1">IFERROR(__xludf.DUMMYFUNCTION("""COMPUTED_VALUE"""),"No")</f>
        <v>No</v>
      </c>
      <c r="AM1512" s="8" t="str">
        <f ca="1">IFERROR(__xludf.DUMMYFUNCTION("""COMPUTED_VALUE"""),"No")</f>
        <v>No</v>
      </c>
      <c r="AN1512" s="8"/>
      <c r="AO1512" s="8" t="str">
        <f ca="1">IFERROR(__xludf.DUMMYFUNCTION("""COMPUTED_VALUE"""),"No")</f>
        <v>No</v>
      </c>
      <c r="AP1512" s="8"/>
      <c r="AQ1512" s="8" t="str">
        <f ca="1">IFERROR(__xludf.DUMMYFUNCTION("""COMPUTED_VALUE"""),"Unknown")</f>
        <v>Unknown</v>
      </c>
      <c r="AR1512" s="8" t="str">
        <f ca="1">IFERROR(__xludf.DUMMYFUNCTION("""COMPUTED_VALUE"""),"Outside/Off-Property")</f>
        <v>Outside/Off-Property</v>
      </c>
      <c r="AS1512" s="8" t="str">
        <f ca="1">IFERROR(__xludf.DUMMYFUNCTION("""COMPUTED_VALUE"""),"&lt;10")</f>
        <v>&lt;10</v>
      </c>
      <c r="AT1512" s="8"/>
      <c r="AU1512" s="8">
        <f ca="1">IFERROR(__xludf.DUMMYFUNCTION("""COMPUTED_VALUE"""),29.979547)</f>
        <v>29.979547</v>
      </c>
      <c r="AV1512" s="8">
        <f ca="1">IFERROR(__xludf.DUMMYFUNCTION("""COMPUTED_VALUE"""),-95.172094)</f>
        <v>-95.172094000000001</v>
      </c>
      <c r="AW1512" s="8"/>
      <c r="AX1512" s="8">
        <f ca="1">IFERROR(__xludf.DUMMYFUNCTION("""COMPUTED_VALUE"""),77346)</f>
        <v>77346</v>
      </c>
    </row>
    <row r="1513" spans="1:50" ht="60" x14ac:dyDescent="0.2">
      <c r="A1513" s="8" t="str">
        <f ca="1">IFERROR(__xludf.DUMMYFUNCTION("""COMPUTED_VALUE"""),"20200313TNPIR")</f>
        <v>20200313TNPIR</v>
      </c>
      <c r="B1513" s="8">
        <f ca="1">IFERROR(__xludf.DUMMYFUNCTION("""COMPUTED_VALUE"""),3)</f>
        <v>3</v>
      </c>
      <c r="C1513" s="8">
        <f ca="1">IFERROR(__xludf.DUMMYFUNCTION("""COMPUTED_VALUE"""),13)</f>
        <v>13</v>
      </c>
      <c r="D1513" s="8">
        <f ca="1">IFERROR(__xludf.DUMMYFUNCTION("""COMPUTED_VALUE"""),2020)</f>
        <v>2020</v>
      </c>
      <c r="E1513" s="9">
        <f ca="1">IFERROR(__xludf.DUMMYFUNCTION("""COMPUTED_VALUE"""),43903)</f>
        <v>43903</v>
      </c>
      <c r="F1513" s="8" t="str">
        <f ca="1">IFERROR(__xludf.DUMMYFUNCTION("""COMPUTED_VALUE"""),"Pine View Elementary")</f>
        <v>Pine View Elementary</v>
      </c>
      <c r="G1513" s="8">
        <f ca="1">IFERROR(__xludf.DUMMYFUNCTION("""COMPUTED_VALUE"""),0)</f>
        <v>0</v>
      </c>
      <c r="H1513" s="8">
        <f ca="1">IFERROR(__xludf.DUMMYFUNCTION("""COMPUTED_VALUE"""),0)</f>
        <v>0</v>
      </c>
      <c r="I1513" s="8">
        <f ca="1">IFERROR(__xludf.DUMMYFUNCTION("""COMPUTED_VALUE"""),0)</f>
        <v>0</v>
      </c>
      <c r="J1513" s="8">
        <f ca="1">IFERROR(__xludf.DUMMYFUNCTION("""COMPUTED_VALUE"""),0)</f>
        <v>0</v>
      </c>
      <c r="K1513" s="10" t="str">
        <f ca="1">IFERROR(__xludf.DUMMYFUNCTION("""COMPUTED_VALUE"""),"https://www.wsmv.com/news/sro-accidentally-fires-gun-inside-elementary-school/article_37ac76fe-654b-11ea-88b9-3fd9db99f2ae.html")</f>
        <v>https://www.wsmv.com/news/sro-accidentally-fires-gun-inside-elementary-school/article_37ac76fe-654b-11ea-88b9-3fd9db99f2ae.html</v>
      </c>
      <c r="L1513" s="8"/>
      <c r="M1513" s="8"/>
      <c r="N1513" s="8">
        <f ca="1">IFERROR(__xludf.DUMMYFUNCTION("""COMPUTED_VALUE"""),4)</f>
        <v>4</v>
      </c>
      <c r="O1513" s="8" t="str">
        <f ca="1">IFERROR(__xludf.DUMMYFUNCTION("""COMPUTED_VALUE"""),"Spring")</f>
        <v>Spring</v>
      </c>
      <c r="P1513" s="8" t="str">
        <f ca="1">IFERROR(__xludf.DUMMYFUNCTION("""COMPUTED_VALUE"""),"Rockwood")</f>
        <v>Rockwood</v>
      </c>
      <c r="Q1513" s="8" t="str">
        <f ca="1">IFERROR(__xludf.DUMMYFUNCTION("""COMPUTED_VALUE"""),"TN")</f>
        <v>TN</v>
      </c>
      <c r="R1513" s="8" t="str">
        <f ca="1">IFERROR(__xludf.DUMMYFUNCTION("""COMPUTED_VALUE"""),"Elementary")</f>
        <v>Elementary</v>
      </c>
      <c r="S1513" s="8" t="str">
        <f ca="1">IFERROR(__xludf.DUMMYFUNCTION("""COMPUTED_VALUE"""),"Office")</f>
        <v>Office</v>
      </c>
      <c r="T1513" s="8" t="str">
        <f ca="1">IFERROR(__xludf.DUMMYFUNCTION("""COMPUTED_VALUE"""),"Inside School Building")</f>
        <v>Inside School Building</v>
      </c>
      <c r="U1513" s="8" t="str">
        <f ca="1">IFERROR(__xludf.DUMMYFUNCTION("""COMPUTED_VALUE"""),"Yes")</f>
        <v>Yes</v>
      </c>
      <c r="V1513" s="8" t="str">
        <f ca="1">IFERROR(__xludf.DUMMYFUNCTION("""COMPUTED_VALUE"""),"Morning Classes")</f>
        <v>Morning Classes</v>
      </c>
      <c r="W1513" s="8"/>
      <c r="X1513" s="8">
        <f ca="1">IFERROR(__xludf.DUMMYFUNCTION("""COMPUTED_VALUE"""),1)</f>
        <v>1</v>
      </c>
      <c r="Y1513" s="12" t="str">
        <f ca="1">IFERROR(__xludf.DUMMYFUNCTION("""COMPUTED_VALUE"""),"SRO discharged firearm inside his office in the school")</f>
        <v>SRO discharged firearm inside his office in the school</v>
      </c>
      <c r="Z1513" s="12" t="str">
        <f ca="1">IFERROR(__xludf.DUMMYFUNCTION("""COMPUTED_VALUE"""),"SRO discharged firearm inside his office inside the elementary school. No students were inside the office during the shooting. Officer notified authorities and placed on administrative leave.")</f>
        <v>SRO discharged firearm inside his office inside the elementary school. No students were inside the office during the shooting. Officer notified authorities and placed on administrative leave.</v>
      </c>
      <c r="AA1513" s="8" t="str">
        <f ca="1">IFERROR(__xludf.DUMMYFUNCTION("""COMPUTED_VALUE"""),"Accidental")</f>
        <v>Accidental</v>
      </c>
      <c r="AB1513" s="8"/>
      <c r="AC1513" s="8" t="str">
        <f ca="1">IFERROR(__xludf.DUMMYFUNCTION("""COMPUTED_VALUE"""),"Yes")</f>
        <v>Yes</v>
      </c>
      <c r="AD1513" s="8" t="str">
        <f ca="1">IFERROR(__xludf.DUMMYFUNCTION("""COMPUTED_VALUE"""),"Neither")</f>
        <v>Neither</v>
      </c>
      <c r="AE1513" s="8" t="str">
        <f ca="1">IFERROR(__xludf.DUMMYFUNCTION("""COMPUTED_VALUE"""),"No")</f>
        <v>No</v>
      </c>
      <c r="AF1513" s="8"/>
      <c r="AG1513" s="8" t="str">
        <f ca="1">IFERROR(__xludf.DUMMYFUNCTION("""COMPUTED_VALUE"""),"No")</f>
        <v>No</v>
      </c>
      <c r="AH1513" s="8" t="str">
        <f ca="1">IFERROR(__xludf.DUMMYFUNCTION("""COMPUTED_VALUE"""),"No")</f>
        <v>No</v>
      </c>
      <c r="AI1513" s="8" t="str">
        <f ca="1">IFERROR(__xludf.DUMMYFUNCTION("""COMPUTED_VALUE"""),"Yes")</f>
        <v>Yes</v>
      </c>
      <c r="AJ1513" s="8" t="str">
        <f ca="1">IFERROR(__xludf.DUMMYFUNCTION("""COMPUTED_VALUE"""),"N/A")</f>
        <v>N/A</v>
      </c>
      <c r="AK1513" s="8" t="str">
        <f ca="1">IFERROR(__xludf.DUMMYFUNCTION("""COMPUTED_VALUE"""),"N/A")</f>
        <v>N/A</v>
      </c>
      <c r="AL1513" s="8" t="str">
        <f ca="1">IFERROR(__xludf.DUMMYFUNCTION("""COMPUTED_VALUE"""),"N/A")</f>
        <v>N/A</v>
      </c>
      <c r="AM1513" s="8" t="str">
        <f ca="1">IFERROR(__xludf.DUMMYFUNCTION("""COMPUTED_VALUE"""),"N/A")</f>
        <v>N/A</v>
      </c>
      <c r="AN1513" s="8"/>
      <c r="AO1513" s="8" t="str">
        <f ca="1">IFERROR(__xludf.DUMMYFUNCTION("""COMPUTED_VALUE"""),"N/A")</f>
        <v>N/A</v>
      </c>
      <c r="AP1513" s="8" t="str">
        <f ca="1">IFERROR(__xludf.DUMMYFUNCTION("""COMPUTED_VALUE"""),"Yes")</f>
        <v>Yes</v>
      </c>
      <c r="AQ1513" s="8" t="str">
        <f ca="1">IFERROR(__xludf.DUMMYFUNCTION("""COMPUTED_VALUE"""),"Unknown")</f>
        <v>Unknown</v>
      </c>
      <c r="AR1513" s="8" t="str">
        <f ca="1">IFERROR(__xludf.DUMMYFUNCTION("""COMPUTED_VALUE"""),"NA")</f>
        <v>NA</v>
      </c>
      <c r="AS1513" s="8">
        <f ca="1">IFERROR(__xludf.DUMMYFUNCTION("""COMPUTED_VALUE"""),1)</f>
        <v>1</v>
      </c>
      <c r="AT1513" s="8"/>
      <c r="AU1513" s="8">
        <f ca="1">IFERROR(__xludf.DUMMYFUNCTION("""COMPUTED_VALUE"""),35.87155)</f>
        <v>35.871549999999999</v>
      </c>
      <c r="AV1513" s="8">
        <f ca="1">IFERROR(__xludf.DUMMYFUNCTION("""COMPUTED_VALUE"""),-84.766329)</f>
        <v>-84.766328999999999</v>
      </c>
      <c r="AW1513" s="8"/>
      <c r="AX1513" s="8">
        <f ca="1">IFERROR(__xludf.DUMMYFUNCTION("""COMPUTED_VALUE"""),37854)</f>
        <v>37854</v>
      </c>
    </row>
    <row r="1514" spans="1:50" ht="255" x14ac:dyDescent="0.2">
      <c r="A1514" s="8" t="str">
        <f ca="1">IFERROR(__xludf.DUMMYFUNCTION("""COMPUTED_VALUE"""),"20200310PASHN")</f>
        <v>20200310PASHN</v>
      </c>
      <c r="B1514" s="8">
        <f ca="1">IFERROR(__xludf.DUMMYFUNCTION("""COMPUTED_VALUE"""),3)</f>
        <v>3</v>
      </c>
      <c r="C1514" s="8">
        <f ca="1">IFERROR(__xludf.DUMMYFUNCTION("""COMPUTED_VALUE"""),10)</f>
        <v>10</v>
      </c>
      <c r="D1514" s="8">
        <f ca="1">IFERROR(__xludf.DUMMYFUNCTION("""COMPUTED_VALUE"""),2020)</f>
        <v>2020</v>
      </c>
      <c r="E1514" s="9">
        <f ca="1">IFERROR(__xludf.DUMMYFUNCTION("""COMPUTED_VALUE"""),43900)</f>
        <v>43900</v>
      </c>
      <c r="F1514" s="8" t="str">
        <f ca="1">IFERROR(__xludf.DUMMYFUNCTION("""COMPUTED_VALUE"""),"Shenango Area Schools (bus)")</f>
        <v>Shenango Area Schools (bus)</v>
      </c>
      <c r="G1514" s="8">
        <f ca="1">IFERROR(__xludf.DUMMYFUNCTION("""COMPUTED_VALUE"""),0)</f>
        <v>0</v>
      </c>
      <c r="H1514" s="8">
        <f ca="1">IFERROR(__xludf.DUMMYFUNCTION("""COMPUTED_VALUE"""),0)</f>
        <v>0</v>
      </c>
      <c r="I1514" s="8">
        <f ca="1">IFERROR(__xludf.DUMMYFUNCTION("""COMPUTED_VALUE"""),0)</f>
        <v>0</v>
      </c>
      <c r="J1514" s="8">
        <f ca="1">IFERROR(__xludf.DUMMYFUNCTION("""COMPUTED_VALUE"""),0)</f>
        <v>0</v>
      </c>
      <c r="K1514" s="8" t="str">
        <f ca="1">IFERROR(__xludf.DUMMYFUNCTION("""COMPUTED_VALUE"""),"https://www.wfmj.com/story/43620249/new-castle-man-awaits-sentencing-for-shooting-into-shenango-school-van https://www.ncnewsonline.com/news/local_news/man-who-shot-at-school-van-pleads-guilty/article_201eb8dc-8e90-5807-9b51-494b8d934485.html https://www."&amp;"ncnewsonline.com/news/update-shenango-school-van-struck-by-bullet-one-in-custody/article_cdb90098-62d2-11ea-81b6-cf7f408fb362.html https://www.wpxi.com/news/top-stories/man-wearing-camo-suspected-shooting-school-van-woods-shenango-twp/R4K2OBISFFHM3D77SJ3B"&amp;"ANFQOI/")</f>
        <v>https://www.wfmj.com/story/43620249/new-castle-man-awaits-sentencing-for-shooting-into-shenango-school-van https://www.ncnewsonline.com/news/local_news/man-who-shot-at-school-van-pleads-guilty/article_201eb8dc-8e90-5807-9b51-494b8d934485.html https://www.ncnewsonline.com/news/update-shenango-school-van-struck-by-bullet-one-in-custody/article_cdb90098-62d2-11ea-81b6-cf7f408fb362.html https://www.wpxi.com/news/top-stories/man-wearing-camo-suspected-shooting-school-van-woods-shenango-twp/R4K2OBISFFHM3D77SJ3BANFQOI/</v>
      </c>
      <c r="L1514" s="8">
        <f ca="1">IFERROR(__xludf.DUMMYFUNCTION("""COMPUTED_VALUE"""),5)</f>
        <v>5</v>
      </c>
      <c r="M1514" s="8" t="str">
        <f ca="1">IFERROR(__xludf.DUMMYFUNCTION("""COMPUTED_VALUE"""),"Local")</f>
        <v>Local</v>
      </c>
      <c r="N1514" s="8">
        <f ca="1">IFERROR(__xludf.DUMMYFUNCTION("""COMPUTED_VALUE"""),5)</f>
        <v>5</v>
      </c>
      <c r="O1514" s="8" t="str">
        <f ca="1">IFERROR(__xludf.DUMMYFUNCTION("""COMPUTED_VALUE"""),"Spring")</f>
        <v>Spring</v>
      </c>
      <c r="P1514" s="8" t="str">
        <f ca="1">IFERROR(__xludf.DUMMYFUNCTION("""COMPUTED_VALUE"""),"New Castle")</f>
        <v>New Castle</v>
      </c>
      <c r="Q1514" s="8" t="str">
        <f ca="1">IFERROR(__xludf.DUMMYFUNCTION("""COMPUTED_VALUE"""),"PA")</f>
        <v>PA</v>
      </c>
      <c r="R1514" s="8" t="str">
        <f ca="1">IFERROR(__xludf.DUMMYFUNCTION("""COMPUTED_VALUE"""),"Elementary")</f>
        <v>Elementary</v>
      </c>
      <c r="S1514" s="8" t="str">
        <f ca="1">IFERROR(__xludf.DUMMYFUNCTION("""COMPUTED_VALUE"""),"School Bus")</f>
        <v>School Bus</v>
      </c>
      <c r="T1514" s="8" t="str">
        <f ca="1">IFERROR(__xludf.DUMMYFUNCTION("""COMPUTED_VALUE"""),"School Bus")</f>
        <v>School Bus</v>
      </c>
      <c r="U1514" s="8" t="str">
        <f ca="1">IFERROR(__xludf.DUMMYFUNCTION("""COMPUTED_VALUE"""),"Yes")</f>
        <v>Yes</v>
      </c>
      <c r="V1514" s="8" t="str">
        <f ca="1">IFERROR(__xludf.DUMMYFUNCTION("""COMPUTED_VALUE"""),"School Start")</f>
        <v>School Start</v>
      </c>
      <c r="W1514" s="11">
        <f ca="1">IFERROR(__xludf.DUMMYFUNCTION("""COMPUTED_VALUE"""),0.363194444444444)</f>
        <v>0.36319444444444399</v>
      </c>
      <c r="X1514" s="8">
        <f ca="1">IFERROR(__xludf.DUMMYFUNCTION("""COMPUTED_VALUE"""),1)</f>
        <v>1</v>
      </c>
      <c r="Y1514" s="12" t="str">
        <f ca="1">IFERROR(__xludf.DUMMYFUNCTION("""COMPUTED_VALUE"""),"Adult male fired shot breaking two windows of school van with elementary school students abroad")</f>
        <v>Adult male fired shot breaking two windows of school van with elementary school students abroad</v>
      </c>
      <c r="Z1514" s="12" t="str">
        <f ca="1">IFERROR(__xludf.DUMMYFUNCTION("""COMPUTED_VALUE"""),"41YOM fired rifle at school van (7 students inside) traveling along highway. Bullet broke window, traveled across van, and broke a second window on the opposite side. 15 bullets struck different parts of the school bus. None of the students were injured. "&amp;"Shooter was arrested by police hiding in a wooded area with a .22 rifle and .22 pistol. Benetas was dressed in a woodland camouflage ghillie suit, commonly used by military personnel for concealment evasion, overalls, gloves, a camo boonie hat, camo facem"&amp;"ask and two tactical magazine pouches. Police said they found .22-caliber long rifle with a suppressor lying on the ground next to him. The rifle had a targeting scope and “bumpfire” buttstock, a device that allows a semiautomatic firearm to fire more tha"&amp;"n one shot with a single pull of the trigger. Officers also found a .22-caliber Walther PPK semi automatic handgun with eight live rounds in the magazine in a shoulder holster on Benetas.")</f>
        <v>41YOM fired rifle at school van (7 students inside) traveling along highway. Bullet broke window, traveled across van, and broke a second window on the opposite side. 15 bullets struck different parts of the school bus. None of the students were injured. Shooter was arrested by police hiding in a wooded area with a .22 rifle and .22 pistol. Benetas was dressed in a woodland camouflage ghillie suit, commonly used by military personnel for concealment evasion, overalls, gloves, a camo boonie hat, camo facemask and two tactical magazine pouches. Police said they found .22-caliber long rifle with a suppressor lying on the ground next to him. The rifle had a targeting scope and “bumpfire” buttstock, a device that allows a semiautomatic firearm to fire more than one shot with a single pull of the trigger. Officers also found a .22-caliber Walther PPK semi automatic handgun with eight live rounds in the magazine in a shoulder holster on Benetas.</v>
      </c>
      <c r="AA1514" s="8" t="str">
        <f ca="1">IFERROR(__xludf.DUMMYFUNCTION("""COMPUTED_VALUE"""),"Indiscriminate Shooting")</f>
        <v>Indiscriminate Shooting</v>
      </c>
      <c r="AB1514" s="8"/>
      <c r="AC1514" s="8" t="str">
        <f ca="1">IFERROR(__xludf.DUMMYFUNCTION("""COMPUTED_VALUE"""),"Yes")</f>
        <v>Yes</v>
      </c>
      <c r="AD1514" s="8"/>
      <c r="AE1514" s="8" t="str">
        <f ca="1">IFERROR(__xludf.DUMMYFUNCTION("""COMPUTED_VALUE"""),"No")</f>
        <v>No</v>
      </c>
      <c r="AF1514" s="8"/>
      <c r="AG1514" s="8" t="str">
        <f ca="1">IFERROR(__xludf.DUMMYFUNCTION("""COMPUTED_VALUE"""),"No")</f>
        <v>No</v>
      </c>
      <c r="AH1514" s="8" t="str">
        <f ca="1">IFERROR(__xludf.DUMMYFUNCTION("""COMPUTED_VALUE"""),"No")</f>
        <v>No</v>
      </c>
      <c r="AI1514" s="8" t="str">
        <f ca="1">IFERROR(__xludf.DUMMYFUNCTION("""COMPUTED_VALUE"""),"No")</f>
        <v>No</v>
      </c>
      <c r="AJ1514" s="8" t="str">
        <f ca="1">IFERROR(__xludf.DUMMYFUNCTION("""COMPUTED_VALUE"""),"No")</f>
        <v>No</v>
      </c>
      <c r="AK1514" s="8" t="str">
        <f ca="1">IFERROR(__xludf.DUMMYFUNCTION("""COMPUTED_VALUE"""),"No")</f>
        <v>No</v>
      </c>
      <c r="AL1514" s="8" t="str">
        <f ca="1">IFERROR(__xludf.DUMMYFUNCTION("""COMPUTED_VALUE"""),"No")</f>
        <v>No</v>
      </c>
      <c r="AM1514" s="8" t="str">
        <f ca="1">IFERROR(__xludf.DUMMYFUNCTION("""COMPUTED_VALUE"""),"No")</f>
        <v>No</v>
      </c>
      <c r="AN1514" s="8"/>
      <c r="AO1514" s="8" t="str">
        <f ca="1">IFERROR(__xludf.DUMMYFUNCTION("""COMPUTED_VALUE"""),"No")</f>
        <v>No</v>
      </c>
      <c r="AP1514" s="8" t="str">
        <f ca="1">IFERROR(__xludf.DUMMYFUNCTION("""COMPUTED_VALUE"""),"N/A")</f>
        <v>N/A</v>
      </c>
      <c r="AQ1514" s="8" t="str">
        <f ca="1">IFERROR(__xludf.DUMMYFUNCTION("""COMPUTED_VALUE"""),"Unknown")</f>
        <v>Unknown</v>
      </c>
      <c r="AR1514" s="8" t="str">
        <f ca="1">IFERROR(__xludf.DUMMYFUNCTION("""COMPUTED_VALUE"""),"Outside/Off-Property")</f>
        <v>Outside/Off-Property</v>
      </c>
      <c r="AS1514" s="8">
        <f ca="1">IFERROR(__xludf.DUMMYFUNCTION("""COMPUTED_VALUE"""),1)</f>
        <v>1</v>
      </c>
      <c r="AT1514" s="8" t="str">
        <f ca="1">IFERROR(__xludf.DUMMYFUNCTION("""COMPUTED_VALUE"""),"Yes")</f>
        <v>Yes</v>
      </c>
      <c r="AU1514" s="8">
        <f ca="1">IFERROR(__xludf.DUMMYFUNCTION("""COMPUTED_VALUE"""),40.972676)</f>
        <v>40.972676</v>
      </c>
      <c r="AV1514" s="8">
        <f ca="1">IFERROR(__xludf.DUMMYFUNCTION("""COMPUTED_VALUE"""),-80.318816)</f>
        <v>-80.318815999999998</v>
      </c>
      <c r="AW1514" s="8"/>
      <c r="AX1514" s="8">
        <f ca="1">IFERROR(__xludf.DUMMYFUNCTION("""COMPUTED_VALUE"""),16101)</f>
        <v>16101</v>
      </c>
    </row>
    <row r="1515" spans="1:50" ht="105" x14ac:dyDescent="0.2">
      <c r="A1515" s="8" t="str">
        <f ca="1">IFERROR(__xludf.DUMMYFUNCTION("""COMPUTED_VALUE"""),"20200305FLSAW")</f>
        <v>20200305FLSAW</v>
      </c>
      <c r="B1515" s="8">
        <f ca="1">IFERROR(__xludf.DUMMYFUNCTION("""COMPUTED_VALUE"""),3)</f>
        <v>3</v>
      </c>
      <c r="C1515" s="8">
        <f ca="1">IFERROR(__xludf.DUMMYFUNCTION("""COMPUTED_VALUE"""),5)</f>
        <v>5</v>
      </c>
      <c r="D1515" s="8">
        <f ca="1">IFERROR(__xludf.DUMMYFUNCTION("""COMPUTED_VALUE"""),2020)</f>
        <v>2020</v>
      </c>
      <c r="E1515" s="9">
        <f ca="1">IFERROR(__xludf.DUMMYFUNCTION("""COMPUTED_VALUE"""),43895)</f>
        <v>43895</v>
      </c>
      <c r="F1515" s="8" t="str">
        <f ca="1">IFERROR(__xludf.DUMMYFUNCTION("""COMPUTED_VALUE"""),"Sagemont School")</f>
        <v>Sagemont School</v>
      </c>
      <c r="G1515" s="8">
        <f ca="1">IFERROR(__xludf.DUMMYFUNCTION("""COMPUTED_VALUE"""),0)</f>
        <v>0</v>
      </c>
      <c r="H1515" s="8">
        <f ca="1">IFERROR(__xludf.DUMMYFUNCTION("""COMPUTED_VALUE"""),1)</f>
        <v>1</v>
      </c>
      <c r="I1515" s="8">
        <f ca="1">IFERROR(__xludf.DUMMYFUNCTION("""COMPUTED_VALUE"""),1)</f>
        <v>1</v>
      </c>
      <c r="J1515" s="8">
        <f ca="1">IFERROR(__xludf.DUMMYFUNCTION("""COMPUTED_VALUE"""),0)</f>
        <v>0</v>
      </c>
      <c r="K1515" s="8" t="str">
        <f ca="1">IFERROR(__xludf.DUMMYFUNCTION("""COMPUTED_VALUE"""),"https://www.sun-sentinel.com/local/broward/weston/fl-ne-weston-sagemont-school-security-officer-shooting-20200306-vvd4lm6hp5addlohnmxaushnse-story.html https://www.local10.com/news/local/2020/03/06/school-security-guard-accidentally-shoots-coworker-in-fac"&amp;"e-at-weston-school-deputies-say/ https://www.campussafetymagazine.com/news/school-security-officer-gun-discharges-strikes-co-worker/")</f>
        <v>https://www.sun-sentinel.com/local/broward/weston/fl-ne-weston-sagemont-school-security-officer-shooting-20200306-vvd4lm6hp5addlohnmxaushnse-story.html https://www.local10.com/news/local/2020/03/06/school-security-guard-accidentally-shoots-coworker-in-face-at-weston-school-deputies-say/ https://www.campussafetymagazine.com/news/school-security-officer-gun-discharges-strikes-co-worker/</v>
      </c>
      <c r="L1515" s="8"/>
      <c r="M1515" s="8"/>
      <c r="N1515" s="8">
        <f ca="1">IFERROR(__xludf.DUMMYFUNCTION("""COMPUTED_VALUE"""),4)</f>
        <v>4</v>
      </c>
      <c r="O1515" s="8" t="str">
        <f ca="1">IFERROR(__xludf.DUMMYFUNCTION("""COMPUTED_VALUE"""),"Spring")</f>
        <v>Spring</v>
      </c>
      <c r="P1515" s="8" t="str">
        <f ca="1">IFERROR(__xludf.DUMMYFUNCTION("""COMPUTED_VALUE"""),"Weston")</f>
        <v>Weston</v>
      </c>
      <c r="Q1515" s="8" t="str">
        <f ca="1">IFERROR(__xludf.DUMMYFUNCTION("""COMPUTED_VALUE"""),"FL")</f>
        <v>FL</v>
      </c>
      <c r="R1515" s="8" t="str">
        <f ca="1">IFERROR(__xludf.DUMMYFUNCTION("""COMPUTED_VALUE"""),"K-12")</f>
        <v>K-12</v>
      </c>
      <c r="S1515" s="8" t="str">
        <f ca="1">IFERROR(__xludf.DUMMYFUNCTION("""COMPUTED_VALUE"""),"Parking Lot")</f>
        <v>Parking Lot</v>
      </c>
      <c r="T1515" s="8" t="str">
        <f ca="1">IFERROR(__xludf.DUMMYFUNCTION("""COMPUTED_VALUE"""),"Outside on School Property")</f>
        <v>Outside on School Property</v>
      </c>
      <c r="U1515" s="8" t="str">
        <f ca="1">IFERROR(__xludf.DUMMYFUNCTION("""COMPUTED_VALUE"""),"Yes")</f>
        <v>Yes</v>
      </c>
      <c r="V1515" s="8" t="str">
        <f ca="1">IFERROR(__xludf.DUMMYFUNCTION("""COMPUTED_VALUE"""),"Lunch")</f>
        <v>Lunch</v>
      </c>
      <c r="W1515" s="11">
        <f ca="1">IFERROR(__xludf.DUMMYFUNCTION("""COMPUTED_VALUE"""),0.513888888888888)</f>
        <v>0.51388888888888795</v>
      </c>
      <c r="X1515" s="8">
        <f ca="1">IFERROR(__xludf.DUMMYFUNCTION("""COMPUTED_VALUE"""),1)</f>
        <v>1</v>
      </c>
      <c r="Y1515" s="12" t="str">
        <f ca="1">IFERROR(__xludf.DUMMYFUNCTION("""COMPUTED_VALUE"""),"School security officer was showing off gun and accidentally shot another school employee")</f>
        <v>School security officer was showing off gun and accidentally shot another school employee</v>
      </c>
      <c r="Z1515" s="12" t="str">
        <f ca="1">IFERROR(__xludf.DUMMYFUNCTION("""COMPUTED_VALUE"""),"55YOM security officer was showing a handgun to a coworker in the school parking lot when he accidentally fired the weapon striking the other employee in the eye. The security officer drove the school employee to a health clinic and then drove home. Arres"&amp;"ted after the health clinic notified police about the injury. The security guard was not authorized to carry the weapon at the school.")</f>
        <v>55YOM security officer was showing a handgun to a coworker in the school parking lot when he accidentally fired the weapon striking the other employee in the eye. The security officer drove the school employee to a health clinic and then drove home. Arrested after the health clinic notified police about the injury. The security guard was not authorized to carry the weapon at the school.</v>
      </c>
      <c r="AA1515" s="8" t="str">
        <f ca="1">IFERROR(__xludf.DUMMYFUNCTION("""COMPUTED_VALUE"""),"Accidental")</f>
        <v>Accidental</v>
      </c>
      <c r="AB1515" s="8"/>
      <c r="AC1515" s="8" t="str">
        <f ca="1">IFERROR(__xludf.DUMMYFUNCTION("""COMPUTED_VALUE"""),"Yes")</f>
        <v>Yes</v>
      </c>
      <c r="AD1515" s="8" t="str">
        <f ca="1">IFERROR(__xludf.DUMMYFUNCTION("""COMPUTED_VALUE"""),"Random Shooting")</f>
        <v>Random Shooting</v>
      </c>
      <c r="AE1515" s="8" t="str">
        <f ca="1">IFERROR(__xludf.DUMMYFUNCTION("""COMPUTED_VALUE"""),"No")</f>
        <v>No</v>
      </c>
      <c r="AF1515" s="8"/>
      <c r="AG1515" s="8" t="str">
        <f ca="1">IFERROR(__xludf.DUMMYFUNCTION("""COMPUTED_VALUE"""),"No")</f>
        <v>No</v>
      </c>
      <c r="AH1515" s="8" t="str">
        <f ca="1">IFERROR(__xludf.DUMMYFUNCTION("""COMPUTED_VALUE"""),"No")</f>
        <v>No</v>
      </c>
      <c r="AI1515" s="8" t="str">
        <f ca="1">IFERROR(__xludf.DUMMYFUNCTION("""COMPUTED_VALUE"""),"No")</f>
        <v>No</v>
      </c>
      <c r="AJ1515" s="8" t="str">
        <f ca="1">IFERROR(__xludf.DUMMYFUNCTION("""COMPUTED_VALUE"""),"No")</f>
        <v>No</v>
      </c>
      <c r="AK1515" s="8" t="str">
        <f ca="1">IFERROR(__xludf.DUMMYFUNCTION("""COMPUTED_VALUE"""),"No")</f>
        <v>No</v>
      </c>
      <c r="AL1515" s="8" t="str">
        <f ca="1">IFERROR(__xludf.DUMMYFUNCTION("""COMPUTED_VALUE"""),"No")</f>
        <v>No</v>
      </c>
      <c r="AM1515" s="8" t="str">
        <f ca="1">IFERROR(__xludf.DUMMYFUNCTION("""COMPUTED_VALUE"""),"No")</f>
        <v>No</v>
      </c>
      <c r="AN1515" s="8"/>
      <c r="AO1515" s="8" t="str">
        <f ca="1">IFERROR(__xludf.DUMMYFUNCTION("""COMPUTED_VALUE"""),"No")</f>
        <v>No</v>
      </c>
      <c r="AP1515" s="8" t="str">
        <f ca="1">IFERROR(__xludf.DUMMYFUNCTION("""COMPUTED_VALUE"""),"No")</f>
        <v>No</v>
      </c>
      <c r="AQ1515" s="8" t="str">
        <f ca="1">IFERROR(__xludf.DUMMYFUNCTION("""COMPUTED_VALUE"""),"Unknown")</f>
        <v>Unknown</v>
      </c>
      <c r="AR1515" s="8" t="str">
        <f ca="1">IFERROR(__xludf.DUMMYFUNCTION("""COMPUTED_VALUE"""),"NA")</f>
        <v>NA</v>
      </c>
      <c r="AS1515" s="8">
        <f ca="1">IFERROR(__xludf.DUMMYFUNCTION("""COMPUTED_VALUE"""),1)</f>
        <v>1</v>
      </c>
      <c r="AT1515" s="8"/>
      <c r="AU1515" s="8">
        <f ca="1">IFERROR(__xludf.DUMMYFUNCTION("""COMPUTED_VALUE"""),26.137459)</f>
        <v>26.137459</v>
      </c>
      <c r="AV1515" s="8">
        <f ca="1">IFERROR(__xludf.DUMMYFUNCTION("""COMPUTED_VALUE"""),-80.425314)</f>
        <v>-80.425314</v>
      </c>
      <c r="AW1515" s="8"/>
      <c r="AX1515" s="8">
        <f ca="1">IFERROR(__xludf.DUMMYFUNCTION("""COMPUTED_VALUE"""),33327)</f>
        <v>33327</v>
      </c>
    </row>
    <row r="1516" spans="1:50" ht="45" x14ac:dyDescent="0.2">
      <c r="A1516" s="8" t="str">
        <f ca="1">IFERROR(__xludf.DUMMYFUNCTION("""COMPUTED_VALUE"""),"20200302TXNOF")</f>
        <v>20200302TXNOF</v>
      </c>
      <c r="B1516" s="8">
        <f ca="1">IFERROR(__xludf.DUMMYFUNCTION("""COMPUTED_VALUE"""),3)</f>
        <v>3</v>
      </c>
      <c r="C1516" s="8">
        <f ca="1">IFERROR(__xludf.DUMMYFUNCTION("""COMPUTED_VALUE"""),2)</f>
        <v>2</v>
      </c>
      <c r="D1516" s="8">
        <f ca="1">IFERROR(__xludf.DUMMYFUNCTION("""COMPUTED_VALUE"""),2020)</f>
        <v>2020</v>
      </c>
      <c r="E1516" s="9">
        <f ca="1">IFERROR(__xludf.DUMMYFUNCTION("""COMPUTED_VALUE"""),43892)</f>
        <v>43892</v>
      </c>
      <c r="F1516" s="8" t="str">
        <f ca="1">IFERROR(__xludf.DUMMYFUNCTION("""COMPUTED_VALUE"""),"North Forney High School")</f>
        <v>North Forney High School</v>
      </c>
      <c r="G1516" s="8">
        <f ca="1">IFERROR(__xludf.DUMMYFUNCTION("""COMPUTED_VALUE"""),0)</f>
        <v>0</v>
      </c>
      <c r="H1516" s="8">
        <f ca="1">IFERROR(__xludf.DUMMYFUNCTION("""COMPUTED_VALUE"""),0)</f>
        <v>0</v>
      </c>
      <c r="I1516" s="8">
        <f ca="1">IFERROR(__xludf.DUMMYFUNCTION("""COMPUTED_VALUE"""),0)</f>
        <v>0</v>
      </c>
      <c r="J1516" s="8">
        <f ca="1">IFERROR(__xludf.DUMMYFUNCTION("""COMPUTED_VALUE"""),0)</f>
        <v>0</v>
      </c>
      <c r="K1516" s="8" t="str">
        <f ca="1">IFERROR(__xludf.DUMMYFUNCTION("""COMPUTED_VALUE"""),"https://www.dallasnews.com/news/crime/2020/03/02/forney-school-on-lockdown-after-gun-went-off-kaufman-sheriffs-office-says/ https://www.nbcdfw.com/news/local/shooting-sends-kaufman-county-school-into-lockdown-2-in-custody-sheriff/2322717/ https://www.wfaa"&amp;".com/article/news/crime/2-in-custody-after-gun-was-found-at-north-forney-high-school/287-77b70d70-3c52-4d84-81fd-2a3b9f507f31")</f>
        <v>https://www.dallasnews.com/news/crime/2020/03/02/forney-school-on-lockdown-after-gun-went-off-kaufman-sheriffs-office-says/ https://www.nbcdfw.com/news/local/shooting-sends-kaufman-county-school-into-lockdown-2-in-custody-sheriff/2322717/ https://www.wfaa.com/article/news/crime/2-in-custody-after-gun-was-found-at-north-forney-high-school/287-77b70d70-3c52-4d84-81fd-2a3b9f507f31</v>
      </c>
      <c r="L1516" s="8"/>
      <c r="M1516" s="8"/>
      <c r="N1516" s="8">
        <f ca="1">IFERROR(__xludf.DUMMYFUNCTION("""COMPUTED_VALUE"""),4)</f>
        <v>4</v>
      </c>
      <c r="O1516" s="8" t="str">
        <f ca="1">IFERROR(__xludf.DUMMYFUNCTION("""COMPUTED_VALUE"""),"Spring")</f>
        <v>Spring</v>
      </c>
      <c r="P1516" s="8" t="str">
        <f ca="1">IFERROR(__xludf.DUMMYFUNCTION("""COMPUTED_VALUE"""),"Forney")</f>
        <v>Forney</v>
      </c>
      <c r="Q1516" s="8" t="str">
        <f ca="1">IFERROR(__xludf.DUMMYFUNCTION("""COMPUTED_VALUE"""),"TX")</f>
        <v>TX</v>
      </c>
      <c r="R1516" s="8" t="str">
        <f ca="1">IFERROR(__xludf.DUMMYFUNCTION("""COMPUTED_VALUE"""),"High")</f>
        <v>High</v>
      </c>
      <c r="S1516" s="8" t="str">
        <f ca="1">IFERROR(__xludf.DUMMYFUNCTION("""COMPUTED_VALUE"""),"Inside School Building")</f>
        <v>Inside School Building</v>
      </c>
      <c r="T1516" s="8" t="str">
        <f ca="1">IFERROR(__xludf.DUMMYFUNCTION("""COMPUTED_VALUE"""),"Inside School Building")</f>
        <v>Inside School Building</v>
      </c>
      <c r="U1516" s="8" t="str">
        <f ca="1">IFERROR(__xludf.DUMMYFUNCTION("""COMPUTED_VALUE"""),"Yes")</f>
        <v>Yes</v>
      </c>
      <c r="V1516" s="8" t="str">
        <f ca="1">IFERROR(__xludf.DUMMYFUNCTION("""COMPUTED_VALUE"""),"Morning Classes")</f>
        <v>Morning Classes</v>
      </c>
      <c r="W1516" s="11">
        <f ca="1">IFERROR(__xludf.DUMMYFUNCTION("""COMPUTED_VALUE"""),0.458333333333333)</f>
        <v>0.45833333333333298</v>
      </c>
      <c r="X1516" s="8">
        <f ca="1">IFERROR(__xludf.DUMMYFUNCTION("""COMPUTED_VALUE"""),1)</f>
        <v>1</v>
      </c>
      <c r="Y1516" s="12" t="str">
        <f ca="1">IFERROR(__xludf.DUMMYFUNCTION("""COMPUTED_VALUE"""),"Accidental discharge showing off gun")</f>
        <v>Accidental discharge showing off gun</v>
      </c>
      <c r="Z1516" s="12" t="str">
        <f ca="1">IFERROR(__xludf.DUMMYFUNCTION("""COMPUTED_VALUE"""),"Student accidentally fired handgun inside school. Police said there was no intent to harm or threat made. School locked down and student arrested.")</f>
        <v>Student accidentally fired handgun inside school. Police said there was no intent to harm or threat made. School locked down and student arrested.</v>
      </c>
      <c r="AA1516" s="8" t="str">
        <f ca="1">IFERROR(__xludf.DUMMYFUNCTION("""COMPUTED_VALUE"""),"Accidental")</f>
        <v>Accidental</v>
      </c>
      <c r="AB1516" s="8"/>
      <c r="AC1516" s="8" t="str">
        <f ca="1">IFERROR(__xludf.DUMMYFUNCTION("""COMPUTED_VALUE"""),"Yes")</f>
        <v>Yes</v>
      </c>
      <c r="AD1516" s="8" t="str">
        <f ca="1">IFERROR(__xludf.DUMMYFUNCTION("""COMPUTED_VALUE"""),"Neither")</f>
        <v>Neither</v>
      </c>
      <c r="AE1516" s="8" t="str">
        <f ca="1">IFERROR(__xludf.DUMMYFUNCTION("""COMPUTED_VALUE"""),"No")</f>
        <v>No</v>
      </c>
      <c r="AF1516" s="8"/>
      <c r="AG1516" s="8" t="str">
        <f ca="1">IFERROR(__xludf.DUMMYFUNCTION("""COMPUTED_VALUE"""),"No")</f>
        <v>No</v>
      </c>
      <c r="AH1516" s="8" t="str">
        <f ca="1">IFERROR(__xludf.DUMMYFUNCTION("""COMPUTED_VALUE"""),"No")</f>
        <v>No</v>
      </c>
      <c r="AI1516" s="8" t="str">
        <f ca="1">IFERROR(__xludf.DUMMYFUNCTION("""COMPUTED_VALUE"""),"No")</f>
        <v>No</v>
      </c>
      <c r="AJ1516" s="8" t="str">
        <f ca="1">IFERROR(__xludf.DUMMYFUNCTION("""COMPUTED_VALUE"""),"No")</f>
        <v>No</v>
      </c>
      <c r="AK1516" s="8" t="str">
        <f ca="1">IFERROR(__xludf.DUMMYFUNCTION("""COMPUTED_VALUE"""),"No")</f>
        <v>No</v>
      </c>
      <c r="AL1516" s="8" t="str">
        <f ca="1">IFERROR(__xludf.DUMMYFUNCTION("""COMPUTED_VALUE"""),"No")</f>
        <v>No</v>
      </c>
      <c r="AM1516" s="8" t="str">
        <f ca="1">IFERROR(__xludf.DUMMYFUNCTION("""COMPUTED_VALUE"""),"No")</f>
        <v>No</v>
      </c>
      <c r="AN1516" s="8"/>
      <c r="AO1516" s="8" t="str">
        <f ca="1">IFERROR(__xludf.DUMMYFUNCTION("""COMPUTED_VALUE"""),"No")</f>
        <v>No</v>
      </c>
      <c r="AP1516" s="8" t="str">
        <f ca="1">IFERROR(__xludf.DUMMYFUNCTION("""COMPUTED_VALUE"""),"Yes")</f>
        <v>Yes</v>
      </c>
      <c r="AQ1516" s="8" t="str">
        <f ca="1">IFERROR(__xludf.DUMMYFUNCTION("""COMPUTED_VALUE"""),"Unknown")</f>
        <v>Unknown</v>
      </c>
      <c r="AR1516" s="8" t="str">
        <f ca="1">IFERROR(__xludf.DUMMYFUNCTION("""COMPUTED_VALUE"""),"NA")</f>
        <v>NA</v>
      </c>
      <c r="AS1516" s="8">
        <f ca="1">IFERROR(__xludf.DUMMYFUNCTION("""COMPUTED_VALUE"""),1)</f>
        <v>1</v>
      </c>
      <c r="AT1516" s="8" t="str">
        <f ca="1">IFERROR(__xludf.DUMMYFUNCTION("""COMPUTED_VALUE"""),"Yes")</f>
        <v>Yes</v>
      </c>
      <c r="AU1516" s="8">
        <f ca="1">IFERROR(__xludf.DUMMYFUNCTION("""COMPUTED_VALUE"""),32.765829)</f>
        <v>32.765828999999997</v>
      </c>
      <c r="AV1516" s="8">
        <f ca="1">IFERROR(__xludf.DUMMYFUNCTION("""COMPUTED_VALUE"""),-96.406463)</f>
        <v>-96.406463000000002</v>
      </c>
      <c r="AW1516" s="8"/>
      <c r="AX1516" s="8">
        <f ca="1">IFERROR(__xludf.DUMMYFUNCTION("""COMPUTED_VALUE"""),75126)</f>
        <v>75126</v>
      </c>
    </row>
    <row r="1517" spans="1:50" ht="90" x14ac:dyDescent="0.2">
      <c r="A1517" s="8" t="str">
        <f ca="1">IFERROR(__xludf.DUMMYFUNCTION("""COMPUTED_VALUE"""),"20200227FLJET")</f>
        <v>20200227FLJET</v>
      </c>
      <c r="B1517" s="8">
        <f ca="1">IFERROR(__xludf.DUMMYFUNCTION("""COMPUTED_VALUE"""),2)</f>
        <v>2</v>
      </c>
      <c r="C1517" s="8">
        <f ca="1">IFERROR(__xludf.DUMMYFUNCTION("""COMPUTED_VALUE"""),27)</f>
        <v>27</v>
      </c>
      <c r="D1517" s="8">
        <f ca="1">IFERROR(__xludf.DUMMYFUNCTION("""COMPUTED_VALUE"""),2020)</f>
        <v>2020</v>
      </c>
      <c r="E1517" s="9">
        <f ca="1">IFERROR(__xludf.DUMMYFUNCTION("""COMPUTED_VALUE"""),43888)</f>
        <v>43888</v>
      </c>
      <c r="F1517" s="8" t="str">
        <f ca="1">IFERROR(__xludf.DUMMYFUNCTION("""COMPUTED_VALUE"""),"Jefferson High School")</f>
        <v>Jefferson High School</v>
      </c>
      <c r="G1517" s="8">
        <f ca="1">IFERROR(__xludf.DUMMYFUNCTION("""COMPUTED_VALUE"""),0)</f>
        <v>0</v>
      </c>
      <c r="H1517" s="8">
        <f ca="1">IFERROR(__xludf.DUMMYFUNCTION("""COMPUTED_VALUE"""),1)</f>
        <v>1</v>
      </c>
      <c r="I1517" s="8">
        <f ca="1">IFERROR(__xludf.DUMMYFUNCTION("""COMPUTED_VALUE"""),1)</f>
        <v>1</v>
      </c>
      <c r="J1517" s="8">
        <f ca="1">IFERROR(__xludf.DUMMYFUNCTION("""COMPUTED_VALUE"""),0)</f>
        <v>0</v>
      </c>
      <c r="K1517" s="10" t="str">
        <f ca="1">IFERROR(__xludf.DUMMYFUNCTION("""COMPUTED_VALUE"""),"https://www.abcactionnews.com/news/local-news/i-team-investigates/former-tampa-police-officer-sues-sig-sauer-alleging-weapon-fired-by-itself-causing-serious-injuries")</f>
        <v>https://www.abcactionnews.com/news/local-news/i-team-investigates/former-tampa-police-officer-sues-sig-sauer-alleging-weapon-fired-by-itself-causing-serious-injuries</v>
      </c>
      <c r="L1517" s="8">
        <f ca="1">IFERROR(__xludf.DUMMYFUNCTION("""COMPUTED_VALUE"""),10)</f>
        <v>10</v>
      </c>
      <c r="M1517" s="8" t="str">
        <f ca="1">IFERROR(__xludf.DUMMYFUNCTION("""COMPUTED_VALUE"""),"National")</f>
        <v>National</v>
      </c>
      <c r="N1517" s="8">
        <f ca="1">IFERROR(__xludf.DUMMYFUNCTION("""COMPUTED_VALUE"""),4)</f>
        <v>4</v>
      </c>
      <c r="O1517" s="8" t="str">
        <f ca="1">IFERROR(__xludf.DUMMYFUNCTION("""COMPUTED_VALUE"""),"Winter")</f>
        <v>Winter</v>
      </c>
      <c r="P1517" s="8" t="str">
        <f ca="1">IFERROR(__xludf.DUMMYFUNCTION("""COMPUTED_VALUE"""),"Tampa")</f>
        <v>Tampa</v>
      </c>
      <c r="Q1517" s="8" t="str">
        <f ca="1">IFERROR(__xludf.DUMMYFUNCTION("""COMPUTED_VALUE"""),"FL")</f>
        <v>FL</v>
      </c>
      <c r="R1517" s="8" t="str">
        <f ca="1">IFERROR(__xludf.DUMMYFUNCTION("""COMPUTED_VALUE"""),"High")</f>
        <v>High</v>
      </c>
      <c r="S1517" s="8" t="str">
        <f ca="1">IFERROR(__xludf.DUMMYFUNCTION("""COMPUTED_VALUE"""),"Football Field/Track")</f>
        <v>Football Field/Track</v>
      </c>
      <c r="T1517" s="8" t="str">
        <f ca="1">IFERROR(__xludf.DUMMYFUNCTION("""COMPUTED_VALUE"""),"Outside on School Property")</f>
        <v>Outside on School Property</v>
      </c>
      <c r="U1517" s="8" t="str">
        <f ca="1">IFERROR(__xludf.DUMMYFUNCTION("""COMPUTED_VALUE"""),"No")</f>
        <v>No</v>
      </c>
      <c r="V1517" s="8" t="str">
        <f ca="1">IFERROR(__xludf.DUMMYFUNCTION("""COMPUTED_VALUE"""),"Sport Event")</f>
        <v>Sport Event</v>
      </c>
      <c r="W1517" s="11">
        <f ca="1">IFERROR(__xludf.DUMMYFUNCTION("""COMPUTED_VALUE"""),0.791666666666666)</f>
        <v>0.79166666666666596</v>
      </c>
      <c r="X1517" s="8">
        <f ca="1">IFERROR(__xludf.DUMMYFUNCTION("""COMPUTED_VALUE"""),1)</f>
        <v>1</v>
      </c>
      <c r="Y1517" s="12" t="str">
        <f ca="1">IFERROR(__xludf.DUMMYFUNCTION("""COMPUTED_VALUE"""),"Officer assigned to high school baseball game was shot when his service weapon discharged")</f>
        <v>Officer assigned to high school baseball game was shot when his service weapon discharged</v>
      </c>
      <c r="Z1517" s="12" t="str">
        <f ca="1">IFERROR(__xludf.DUMMYFUNCTION("""COMPUTED_VALUE"""),"Officer assigned to high school baseball game was shot when his service weapon discharged")</f>
        <v>Officer assigned to high school baseball game was shot when his service weapon discharged</v>
      </c>
      <c r="AA1517" s="8" t="str">
        <f ca="1">IFERROR(__xludf.DUMMYFUNCTION("""COMPUTED_VALUE"""),"Accidental")</f>
        <v>Accidental</v>
      </c>
      <c r="AB1517" s="8"/>
      <c r="AC1517" s="8" t="str">
        <f ca="1">IFERROR(__xludf.DUMMYFUNCTION("""COMPUTED_VALUE"""),"Yes")</f>
        <v>Yes</v>
      </c>
      <c r="AD1517" s="8" t="str">
        <f ca="1">IFERROR(__xludf.DUMMYFUNCTION("""COMPUTED_VALUE"""),"Neither")</f>
        <v>Neither</v>
      </c>
      <c r="AE1517" s="8" t="str">
        <f ca="1">IFERROR(__xludf.DUMMYFUNCTION("""COMPUTED_VALUE"""),"No")</f>
        <v>No</v>
      </c>
      <c r="AF1517" s="8"/>
      <c r="AG1517" s="8" t="str">
        <f ca="1">IFERROR(__xludf.DUMMYFUNCTION("""COMPUTED_VALUE"""),"No")</f>
        <v>No</v>
      </c>
      <c r="AH1517" s="8" t="str">
        <f ca="1">IFERROR(__xludf.DUMMYFUNCTION("""COMPUTED_VALUE"""),"No")</f>
        <v>No</v>
      </c>
      <c r="AI1517" s="8" t="str">
        <f ca="1">IFERROR(__xludf.DUMMYFUNCTION("""COMPUTED_VALUE"""),"Yes")</f>
        <v>Yes</v>
      </c>
      <c r="AJ1517" s="8" t="str">
        <f ca="1">IFERROR(__xludf.DUMMYFUNCTION("""COMPUTED_VALUE"""),"No")</f>
        <v>No</v>
      </c>
      <c r="AK1517" s="8" t="str">
        <f ca="1">IFERROR(__xludf.DUMMYFUNCTION("""COMPUTED_VALUE"""),"No")</f>
        <v>No</v>
      </c>
      <c r="AL1517" s="8" t="str">
        <f ca="1">IFERROR(__xludf.DUMMYFUNCTION("""COMPUTED_VALUE"""),"No")</f>
        <v>No</v>
      </c>
      <c r="AM1517" s="8" t="str">
        <f ca="1">IFERROR(__xludf.DUMMYFUNCTION("""COMPUTED_VALUE"""),"No")</f>
        <v>No</v>
      </c>
      <c r="AN1517" s="8"/>
      <c r="AO1517" s="8" t="str">
        <f ca="1">IFERROR(__xludf.DUMMYFUNCTION("""COMPUTED_VALUE"""),"No")</f>
        <v>No</v>
      </c>
      <c r="AP1517" s="8" t="str">
        <f ca="1">IFERROR(__xludf.DUMMYFUNCTION("""COMPUTED_VALUE"""),"Yes")</f>
        <v>Yes</v>
      </c>
      <c r="AQ1517" s="8"/>
      <c r="AR1517" s="8"/>
      <c r="AS1517" s="8">
        <f ca="1">IFERROR(__xludf.DUMMYFUNCTION("""COMPUTED_VALUE"""),1)</f>
        <v>1</v>
      </c>
      <c r="AT1517" s="8"/>
      <c r="AU1517" s="8">
        <f ca="1">IFERROR(__xludf.DUMMYFUNCTION("""COMPUTED_VALUE"""),27.954936)</f>
        <v>27.954936</v>
      </c>
      <c r="AV1517" s="8">
        <f ca="1">IFERROR(__xludf.DUMMYFUNCTION("""COMPUTED_VALUE"""),-82.518876)</f>
        <v>-82.518876000000006</v>
      </c>
      <c r="AW1517" s="8"/>
      <c r="AX1517" s="8">
        <f ca="1">IFERROR(__xludf.DUMMYFUNCTION("""COMPUTED_VALUE"""),33607)</f>
        <v>33607</v>
      </c>
    </row>
    <row r="1518" spans="1:50" ht="105" x14ac:dyDescent="0.2">
      <c r="A1518" s="8" t="str">
        <f ca="1">IFERROR(__xludf.DUMMYFUNCTION("""COMPUTED_VALUE"""),"20200221NMCEA")</f>
        <v>20200221NMCEA</v>
      </c>
      <c r="B1518" s="8">
        <f ca="1">IFERROR(__xludf.DUMMYFUNCTION("""COMPUTED_VALUE"""),2)</f>
        <v>2</v>
      </c>
      <c r="C1518" s="8">
        <f ca="1">IFERROR(__xludf.DUMMYFUNCTION("""COMPUTED_VALUE"""),21)</f>
        <v>21</v>
      </c>
      <c r="D1518" s="8">
        <f ca="1">IFERROR(__xludf.DUMMYFUNCTION("""COMPUTED_VALUE"""),2020)</f>
        <v>2020</v>
      </c>
      <c r="E1518" s="9">
        <f ca="1">IFERROR(__xludf.DUMMYFUNCTION("""COMPUTED_VALUE"""),43882)</f>
        <v>43882</v>
      </c>
      <c r="F1518" s="8" t="str">
        <f ca="1">IFERROR(__xludf.DUMMYFUNCTION("""COMPUTED_VALUE"""),"Cesar Chavez Community School")</f>
        <v>Cesar Chavez Community School</v>
      </c>
      <c r="G1518" s="8">
        <f ca="1">IFERROR(__xludf.DUMMYFUNCTION("""COMPUTED_VALUE"""),0)</f>
        <v>0</v>
      </c>
      <c r="H1518" s="8">
        <f ca="1">IFERROR(__xludf.DUMMYFUNCTION("""COMPUTED_VALUE"""),0)</f>
        <v>0</v>
      </c>
      <c r="I1518" s="8">
        <f ca="1">IFERROR(__xludf.DUMMYFUNCTION("""COMPUTED_VALUE"""),0)</f>
        <v>0</v>
      </c>
      <c r="J1518" s="8">
        <f ca="1">IFERROR(__xludf.DUMMYFUNCTION("""COMPUTED_VALUE"""),0)</f>
        <v>0</v>
      </c>
      <c r="K1518" s="10" t="str">
        <f ca="1">IFERROR(__xludf.DUMMYFUNCTION("""COMPUTED_VALUE"""),"https://www.abqjournal.com/1424911/apd-drive-by-sent-bullets-flying-into-abq-school.html")</f>
        <v>https://www.abqjournal.com/1424911/apd-drive-by-sent-bullets-flying-into-abq-school.html</v>
      </c>
      <c r="L1518" s="8"/>
      <c r="M1518" s="8"/>
      <c r="N1518" s="8">
        <f ca="1">IFERROR(__xludf.DUMMYFUNCTION("""COMPUTED_VALUE"""),4)</f>
        <v>4</v>
      </c>
      <c r="O1518" s="8" t="str">
        <f ca="1">IFERROR(__xludf.DUMMYFUNCTION("""COMPUTED_VALUE"""),"Winter")</f>
        <v>Winter</v>
      </c>
      <c r="P1518" s="8" t="str">
        <f ca="1">IFERROR(__xludf.DUMMYFUNCTION("""COMPUTED_VALUE"""),"Albuquerque")</f>
        <v>Albuquerque</v>
      </c>
      <c r="Q1518" s="8" t="str">
        <f ca="1">IFERROR(__xludf.DUMMYFUNCTION("""COMPUTED_VALUE"""),"NM")</f>
        <v>NM</v>
      </c>
      <c r="R1518" s="8" t="str">
        <f ca="1">IFERROR(__xludf.DUMMYFUNCTION("""COMPUTED_VALUE"""),"Other")</f>
        <v>Other</v>
      </c>
      <c r="S1518" s="8" t="str">
        <f ca="1">IFERROR(__xludf.DUMMYFUNCTION("""COMPUTED_VALUE"""),"Front of School")</f>
        <v>Front of School</v>
      </c>
      <c r="T1518" s="8" t="str">
        <f ca="1">IFERROR(__xludf.DUMMYFUNCTION("""COMPUTED_VALUE"""),"Outside on School Property")</f>
        <v>Outside on School Property</v>
      </c>
      <c r="U1518" s="8" t="str">
        <f ca="1">IFERROR(__xludf.DUMMYFUNCTION("""COMPUTED_VALUE"""),"Yes")</f>
        <v>Yes</v>
      </c>
      <c r="V1518" s="8" t="str">
        <f ca="1">IFERROR(__xludf.DUMMYFUNCTION("""COMPUTED_VALUE"""),"Morning Classes")</f>
        <v>Morning Classes</v>
      </c>
      <c r="W1518" s="11">
        <f ca="1">IFERROR(__xludf.DUMMYFUNCTION("""COMPUTED_VALUE"""),0.472222222222222)</f>
        <v>0.47222222222222199</v>
      </c>
      <c r="X1518" s="8">
        <f ca="1">IFERROR(__xludf.DUMMYFUNCTION("""COMPUTED_VALUE"""),1)</f>
        <v>1</v>
      </c>
      <c r="Y1518" s="12" t="str">
        <f ca="1">IFERROR(__xludf.DUMMYFUNCTION("""COMPUTED_VALUE"""),"Shots fired from vehicle struck school damaging screen inside classroom")</f>
        <v>Shots fired from vehicle struck school damaging screen inside classroom</v>
      </c>
      <c r="Z1518" s="12" t="str">
        <f ca="1">IFERROR(__xludf.DUMMYFUNCTION("""COMPUTED_VALUE"""),"Multiple shots fired from one vehicle at another vehicle struck the occupied school building. One of the bullets went into a classroom and hit a large video screen, which stopped it, according to an Albuquerque Police Department report. Another bullet wen"&amp;"t into a wall, through an office and stopped inside a water heater closet. No injuries. Shooter fled.")</f>
        <v>Multiple shots fired from one vehicle at another vehicle struck the occupied school building. One of the bullets went into a classroom and hit a large video screen, which stopped it, according to an Albuquerque Police Department report. Another bullet went into a wall, through an office and stopped inside a water heater closet. No injuries. Shooter fled.</v>
      </c>
      <c r="AA1518" s="8" t="str">
        <f ca="1">IFERROR(__xludf.DUMMYFUNCTION("""COMPUTED_VALUE"""),"Drive-by Shooting")</f>
        <v>Drive-by Shooting</v>
      </c>
      <c r="AB1518" s="8"/>
      <c r="AC1518" s="8" t="str">
        <f ca="1">IFERROR(__xludf.DUMMYFUNCTION("""COMPUTED_VALUE"""),"Yes")</f>
        <v>Yes</v>
      </c>
      <c r="AD1518" s="8" t="str">
        <f ca="1">IFERROR(__xludf.DUMMYFUNCTION("""COMPUTED_VALUE"""),"Victims Targeted")</f>
        <v>Victims Targeted</v>
      </c>
      <c r="AE1518" s="8"/>
      <c r="AF1518" s="8" t="str">
        <f ca="1">IFERROR(__xludf.DUMMYFUNCTION("""COMPUTED_VALUE"""),"Fired from vehicle")</f>
        <v>Fired from vehicle</v>
      </c>
      <c r="AG1518" s="8" t="str">
        <f ca="1">IFERROR(__xludf.DUMMYFUNCTION("""COMPUTED_VALUE"""),"No")</f>
        <v>No</v>
      </c>
      <c r="AH1518" s="8" t="str">
        <f ca="1">IFERROR(__xludf.DUMMYFUNCTION("""COMPUTED_VALUE"""),"No")</f>
        <v>No</v>
      </c>
      <c r="AI1518" s="8" t="str">
        <f ca="1">IFERROR(__xludf.DUMMYFUNCTION("""COMPUTED_VALUE"""),"No")</f>
        <v>No</v>
      </c>
      <c r="AJ1518" s="8" t="str">
        <f ca="1">IFERROR(__xludf.DUMMYFUNCTION("""COMPUTED_VALUE"""),"No")</f>
        <v>No</v>
      </c>
      <c r="AK1518" s="8" t="str">
        <f ca="1">IFERROR(__xludf.DUMMYFUNCTION("""COMPUTED_VALUE"""),"No")</f>
        <v>No</v>
      </c>
      <c r="AL1518" s="8"/>
      <c r="AM1518" s="8" t="str">
        <f ca="1">IFERROR(__xludf.DUMMYFUNCTION("""COMPUTED_VALUE"""),"No")</f>
        <v>No</v>
      </c>
      <c r="AN1518" s="8"/>
      <c r="AO1518" s="8" t="str">
        <f ca="1">IFERROR(__xludf.DUMMYFUNCTION("""COMPUTED_VALUE"""),"No")</f>
        <v>No</v>
      </c>
      <c r="AP1518" s="8" t="str">
        <f ca="1">IFERROR(__xludf.DUMMYFUNCTION("""COMPUTED_VALUE"""),"Yes")</f>
        <v>Yes</v>
      </c>
      <c r="AQ1518" s="8" t="str">
        <f ca="1">IFERROR(__xludf.DUMMYFUNCTION("""COMPUTED_VALUE"""),"Unknown")</f>
        <v>Unknown</v>
      </c>
      <c r="AR1518" s="8" t="str">
        <f ca="1">IFERROR(__xludf.DUMMYFUNCTION("""COMPUTED_VALUE"""),"Outside/Off-Property")</f>
        <v>Outside/Off-Property</v>
      </c>
      <c r="AS1518" s="8"/>
      <c r="AT1518" s="8" t="str">
        <f ca="1">IFERROR(__xludf.DUMMYFUNCTION("""COMPUTED_VALUE"""),"Yes")</f>
        <v>Yes</v>
      </c>
      <c r="AU1518" s="8">
        <f ca="1">IFERROR(__xludf.DUMMYFUNCTION("""COMPUTED_VALUE"""),35.059349)</f>
        <v>35.059348999999997</v>
      </c>
      <c r="AV1518" s="8">
        <f ca="1">IFERROR(__xludf.DUMMYFUNCTION("""COMPUTED_VALUE"""),-106.583682)</f>
        <v>-106.583682</v>
      </c>
      <c r="AW1518" s="8"/>
      <c r="AX1518" s="8">
        <f ca="1">IFERROR(__xludf.DUMMYFUNCTION("""COMPUTED_VALUE"""),87108)</f>
        <v>87108</v>
      </c>
    </row>
    <row r="1519" spans="1:50" ht="60" x14ac:dyDescent="0.2">
      <c r="A1519" s="8" t="str">
        <f ca="1">IFERROR(__xludf.DUMMYFUNCTION("""COMPUTED_VALUE"""),"20200215DCDUW")</f>
        <v>20200215DCDUW</v>
      </c>
      <c r="B1519" s="8">
        <f ca="1">IFERROR(__xludf.DUMMYFUNCTION("""COMPUTED_VALUE"""),2)</f>
        <v>2</v>
      </c>
      <c r="C1519" s="8">
        <f ca="1">IFERROR(__xludf.DUMMYFUNCTION("""COMPUTED_VALUE"""),15)</f>
        <v>15</v>
      </c>
      <c r="D1519" s="8">
        <f ca="1">IFERROR(__xludf.DUMMYFUNCTION("""COMPUTED_VALUE"""),2020)</f>
        <v>2020</v>
      </c>
      <c r="E1519" s="9">
        <f ca="1">IFERROR(__xludf.DUMMYFUNCTION("""COMPUTED_VALUE"""),43876)</f>
        <v>43876</v>
      </c>
      <c r="F1519" s="8" t="str">
        <f ca="1">IFERROR(__xludf.DUMMYFUNCTION("""COMPUTED_VALUE"""),"Dunbar High School")</f>
        <v>Dunbar High School</v>
      </c>
      <c r="G1519" s="8">
        <f ca="1">IFERROR(__xludf.DUMMYFUNCTION("""COMPUTED_VALUE"""),1)</f>
        <v>1</v>
      </c>
      <c r="H1519" s="8">
        <f ca="1">IFERROR(__xludf.DUMMYFUNCTION("""COMPUTED_VALUE"""),0)</f>
        <v>0</v>
      </c>
      <c r="I1519" s="8">
        <f ca="1">IFERROR(__xludf.DUMMYFUNCTION("""COMPUTED_VALUE"""),1)</f>
        <v>1</v>
      </c>
      <c r="J1519" s="8">
        <f ca="1">IFERROR(__xludf.DUMMYFUNCTION("""COMPUTED_VALUE"""),0)</f>
        <v>0</v>
      </c>
      <c r="K1519" s="8" t="str">
        <f ca="1">IFERROR(__xludf.DUMMYFUNCTION("""COMPUTED_VALUE"""),"https://www.washingtonpost.com/local/crime/man-fatally-shot-saturday-outside-dcs-dunbar-high-school-police-say/2020/02/16/230d4f12-50dc-11ea-929a-64efa7482a77_story.html https://www.wusa9.com/article/news/local/dc/man-killed-outside-dc-high-school/65-d46c"&amp;"93df-de43-45e7-b230-d1705f971613 https://wtop.com/dc/2020/02/dc-police-investigating-fatal-shooting-outside-dunbar-high-school/")</f>
        <v>https://www.washingtonpost.com/local/crime/man-fatally-shot-saturday-outside-dcs-dunbar-high-school-police-say/2020/02/16/230d4f12-50dc-11ea-929a-64efa7482a77_story.html https://www.wusa9.com/article/news/local/dc/man-killed-outside-dc-high-school/65-d46c93df-de43-45e7-b230-d1705f971613 https://wtop.com/dc/2020/02/dc-police-investigating-fatal-shooting-outside-dunbar-high-school/</v>
      </c>
      <c r="L1519" s="8"/>
      <c r="M1519" s="8"/>
      <c r="N1519" s="8">
        <f ca="1">IFERROR(__xludf.DUMMYFUNCTION("""COMPUTED_VALUE"""),4)</f>
        <v>4</v>
      </c>
      <c r="O1519" s="8" t="str">
        <f ca="1">IFERROR(__xludf.DUMMYFUNCTION("""COMPUTED_VALUE"""),"Winter")</f>
        <v>Winter</v>
      </c>
      <c r="P1519" s="8" t="str">
        <f ca="1">IFERROR(__xludf.DUMMYFUNCTION("""COMPUTED_VALUE"""),"Washington")</f>
        <v>Washington</v>
      </c>
      <c r="Q1519" s="8" t="str">
        <f ca="1">IFERROR(__xludf.DUMMYFUNCTION("""COMPUTED_VALUE"""),"DC")</f>
        <v>DC</v>
      </c>
      <c r="R1519" s="8" t="str">
        <f ca="1">IFERROR(__xludf.DUMMYFUNCTION("""COMPUTED_VALUE"""),"High")</f>
        <v>High</v>
      </c>
      <c r="S1519" s="8" t="str">
        <f ca="1">IFERROR(__xludf.DUMMYFUNCTION("""COMPUTED_VALUE"""),"Front of School")</f>
        <v>Front of School</v>
      </c>
      <c r="T1519" s="8" t="str">
        <f ca="1">IFERROR(__xludf.DUMMYFUNCTION("""COMPUTED_VALUE"""),"Outside on School Property")</f>
        <v>Outside on School Property</v>
      </c>
      <c r="U1519" s="8" t="str">
        <f ca="1">IFERROR(__xludf.DUMMYFUNCTION("""COMPUTED_VALUE"""),"No")</f>
        <v>No</v>
      </c>
      <c r="V1519" s="8" t="str">
        <f ca="1">IFERROR(__xludf.DUMMYFUNCTION("""COMPUTED_VALUE"""),"Sport Event")</f>
        <v>Sport Event</v>
      </c>
      <c r="W1519" s="11">
        <f ca="1">IFERROR(__xludf.DUMMYFUNCTION("""COMPUTED_VALUE"""),0.75)</f>
        <v>0.75</v>
      </c>
      <c r="X1519" s="8">
        <f ca="1">IFERROR(__xludf.DUMMYFUNCTION("""COMPUTED_VALUE"""),1)</f>
        <v>1</v>
      </c>
      <c r="Y1519" s="12" t="str">
        <f ca="1">IFERROR(__xludf.DUMMYFUNCTION("""COMPUTED_VALUE"""),"Adult male shot and killed in front of school during basketball game")</f>
        <v>Adult male shot and killed in front of school during basketball game</v>
      </c>
      <c r="Z1519" s="12" t="str">
        <f ca="1">IFERROR(__xludf.DUMMYFUNCTION("""COMPUTED_VALUE"""),"34YOM shot and killed by front doors of high school during high school basketball game. Shots were fired from dark SUV that fled the scene. No suspect identified.")</f>
        <v>34YOM shot and killed by front doors of high school during high school basketball game. Shots were fired from dark SUV that fled the scene. No suspect identified.</v>
      </c>
      <c r="AA1519" s="8" t="str">
        <f ca="1">IFERROR(__xludf.DUMMYFUNCTION("""COMPUTED_VALUE"""),"Drive-by Shooting")</f>
        <v>Drive-by Shooting</v>
      </c>
      <c r="AB1519" s="8"/>
      <c r="AC1519" s="8" t="str">
        <f ca="1">IFERROR(__xludf.DUMMYFUNCTION("""COMPUTED_VALUE"""),"Yes")</f>
        <v>Yes</v>
      </c>
      <c r="AD1519" s="8"/>
      <c r="AE1519" s="8"/>
      <c r="AF1519" s="8" t="str">
        <f ca="1">IFERROR(__xludf.DUMMYFUNCTION("""COMPUTED_VALUE"""),"Shots fired from vehicle")</f>
        <v>Shots fired from vehicle</v>
      </c>
      <c r="AG1519" s="8" t="str">
        <f ca="1">IFERROR(__xludf.DUMMYFUNCTION("""COMPUTED_VALUE"""),"No")</f>
        <v>No</v>
      </c>
      <c r="AH1519" s="8" t="str">
        <f ca="1">IFERROR(__xludf.DUMMYFUNCTION("""COMPUTED_VALUE"""),"No")</f>
        <v>No</v>
      </c>
      <c r="AI1519" s="8" t="str">
        <f ca="1">IFERROR(__xludf.DUMMYFUNCTION("""COMPUTED_VALUE"""),"No")</f>
        <v>No</v>
      </c>
      <c r="AJ1519" s="8" t="str">
        <f ca="1">IFERROR(__xludf.DUMMYFUNCTION("""COMPUTED_VALUE"""),"No")</f>
        <v>No</v>
      </c>
      <c r="AK1519" s="8" t="str">
        <f ca="1">IFERROR(__xludf.DUMMYFUNCTION("""COMPUTED_VALUE"""),"No")</f>
        <v>No</v>
      </c>
      <c r="AL1519" s="8"/>
      <c r="AM1519" s="8" t="str">
        <f ca="1">IFERROR(__xludf.DUMMYFUNCTION("""COMPUTED_VALUE"""),"No")</f>
        <v>No</v>
      </c>
      <c r="AN1519" s="8"/>
      <c r="AO1519" s="8" t="str">
        <f ca="1">IFERROR(__xludf.DUMMYFUNCTION("""COMPUTED_VALUE"""),"No")</f>
        <v>No</v>
      </c>
      <c r="AP1519" s="8"/>
      <c r="AQ1519" s="8" t="str">
        <f ca="1">IFERROR(__xludf.DUMMYFUNCTION("""COMPUTED_VALUE"""),"Unknown")</f>
        <v>Unknown</v>
      </c>
      <c r="AR1519" s="8" t="str">
        <f ca="1">IFERROR(__xludf.DUMMYFUNCTION("""COMPUTED_VALUE"""),"Outside/Off-Property")</f>
        <v>Outside/Off-Property</v>
      </c>
      <c r="AS1519" s="8"/>
      <c r="AT1519" s="8"/>
      <c r="AU1519" s="8">
        <f ca="1">IFERROR(__xludf.DUMMYFUNCTION("""COMPUTED_VALUE"""),38.907639)</f>
        <v>38.907639000000003</v>
      </c>
      <c r="AV1519" s="8">
        <f ca="1">IFERROR(__xludf.DUMMYFUNCTION("""COMPUTED_VALUE"""),-77.012761)</f>
        <v>-77.012760999999998</v>
      </c>
      <c r="AW1519" s="8"/>
      <c r="AX1519" s="8">
        <f ca="1">IFERROR(__xludf.DUMMYFUNCTION("""COMPUTED_VALUE"""),20001)</f>
        <v>20001</v>
      </c>
    </row>
    <row r="1520" spans="1:50" ht="60" x14ac:dyDescent="0.2">
      <c r="A1520" s="8" t="str">
        <f ca="1">IFERROR(__xludf.DUMMYFUNCTION("""COMPUTED_VALUE"""),"20200213UTWES")</f>
        <v>20200213UTWES</v>
      </c>
      <c r="B1520" s="8">
        <f ca="1">IFERROR(__xludf.DUMMYFUNCTION("""COMPUTED_VALUE"""),2)</f>
        <v>2</v>
      </c>
      <c r="C1520" s="8">
        <f ca="1">IFERROR(__xludf.DUMMYFUNCTION("""COMPUTED_VALUE"""),13)</f>
        <v>13</v>
      </c>
      <c r="D1520" s="8">
        <f ca="1">IFERROR(__xludf.DUMMYFUNCTION("""COMPUTED_VALUE"""),2020)</f>
        <v>2020</v>
      </c>
      <c r="E1520" s="9">
        <f ca="1">IFERROR(__xludf.DUMMYFUNCTION("""COMPUTED_VALUE"""),43874)</f>
        <v>43874</v>
      </c>
      <c r="F1520" s="8" t="str">
        <f ca="1">IFERROR(__xludf.DUMMYFUNCTION("""COMPUTED_VALUE"""),"West High School")</f>
        <v>West High School</v>
      </c>
      <c r="G1520" s="8">
        <f ca="1">IFERROR(__xludf.DUMMYFUNCTION("""COMPUTED_VALUE"""),0)</f>
        <v>0</v>
      </c>
      <c r="H1520" s="8">
        <f ca="1">IFERROR(__xludf.DUMMYFUNCTION("""COMPUTED_VALUE"""),0)</f>
        <v>0</v>
      </c>
      <c r="I1520" s="8">
        <f ca="1">IFERROR(__xludf.DUMMYFUNCTION("""COMPUTED_VALUE"""),0)</f>
        <v>0</v>
      </c>
      <c r="J1520" s="8">
        <f ca="1">IFERROR(__xludf.DUMMYFUNCTION("""COMPUTED_VALUE"""),0)</f>
        <v>0</v>
      </c>
      <c r="K1520" s="10" t="str">
        <f ca="1">IFERROR(__xludf.DUMMYFUNCTION("""COMPUTED_VALUE"""),"https://www.deseret.com/utah/2020/3/16/21182240/gunshot-west-high-guns-in-schools-juvenile-arrested")</f>
        <v>https://www.deseret.com/utah/2020/3/16/21182240/gunshot-west-high-guns-in-schools-juvenile-arrested</v>
      </c>
      <c r="L1520" s="8">
        <f ca="1">IFERROR(__xludf.DUMMYFUNCTION("""COMPUTED_VALUE"""),1)</f>
        <v>1</v>
      </c>
      <c r="M1520" s="8" t="str">
        <f ca="1">IFERROR(__xludf.DUMMYFUNCTION("""COMPUTED_VALUE"""),"Local")</f>
        <v>Local</v>
      </c>
      <c r="N1520" s="8">
        <f ca="1">IFERROR(__xludf.DUMMYFUNCTION("""COMPUTED_VALUE"""),4)</f>
        <v>4</v>
      </c>
      <c r="O1520" s="8" t="str">
        <f ca="1">IFERROR(__xludf.DUMMYFUNCTION("""COMPUTED_VALUE"""),"Winter")</f>
        <v>Winter</v>
      </c>
      <c r="P1520" s="8" t="str">
        <f ca="1">IFERROR(__xludf.DUMMYFUNCTION("""COMPUTED_VALUE"""),"Salt Lake City")</f>
        <v>Salt Lake City</v>
      </c>
      <c r="Q1520" s="8" t="str">
        <f ca="1">IFERROR(__xludf.DUMMYFUNCTION("""COMPUTED_VALUE"""),"UT")</f>
        <v>UT</v>
      </c>
      <c r="R1520" s="8" t="str">
        <f ca="1">IFERROR(__xludf.DUMMYFUNCTION("""COMPUTED_VALUE"""),"High")</f>
        <v>High</v>
      </c>
      <c r="S1520" s="8" t="str">
        <f ca="1">IFERROR(__xludf.DUMMYFUNCTION("""COMPUTED_VALUE"""),"Outside on School Property")</f>
        <v>Outside on School Property</v>
      </c>
      <c r="T1520" s="8" t="str">
        <f ca="1">IFERROR(__xludf.DUMMYFUNCTION("""COMPUTED_VALUE"""),"Outside on School Property")</f>
        <v>Outside on School Property</v>
      </c>
      <c r="U1520" s="8" t="str">
        <f ca="1">IFERROR(__xludf.DUMMYFUNCTION("""COMPUTED_VALUE"""),"Yes")</f>
        <v>Yes</v>
      </c>
      <c r="V1520" s="8" t="str">
        <f ca="1">IFERROR(__xludf.DUMMYFUNCTION("""COMPUTED_VALUE"""),"Dismissal")</f>
        <v>Dismissal</v>
      </c>
      <c r="W1520" s="11">
        <f ca="1">IFERROR(__xludf.DUMMYFUNCTION("""COMPUTED_VALUE"""),0.625)</f>
        <v>0.625</v>
      </c>
      <c r="X1520" s="8">
        <f ca="1">IFERROR(__xludf.DUMMYFUNCTION("""COMPUTED_VALUE"""),1)</f>
        <v>1</v>
      </c>
      <c r="Y1520" s="12" t="str">
        <f ca="1">IFERROR(__xludf.DUMMYFUNCTION("""COMPUTED_VALUE"""),"Student fired shot during fight at dismissal")</f>
        <v>Student fired shot during fight at dismissal</v>
      </c>
      <c r="Z1520" s="12" t="str">
        <f ca="1">IFERROR(__xludf.DUMMYFUNCTION("""COMPUTED_VALUE"""),"Student fired a shot during a fight at dismissal. Same student was recorded on school CCTV system pulling a gun but not firing the gun the prior week (2/7/2020). Arrested one month later.")</f>
        <v>Student fired a shot during a fight at dismissal. Same student was recorded on school CCTV system pulling a gun but not firing the gun the prior week (2/7/2020). Arrested one month later.</v>
      </c>
      <c r="AA1520" s="8" t="str">
        <f ca="1">IFERROR(__xludf.DUMMYFUNCTION("""COMPUTED_VALUE"""),"Escalation of Dispute")</f>
        <v>Escalation of Dispute</v>
      </c>
      <c r="AB1520" s="8" t="str">
        <f ca="1">IFERROR(__xludf.DUMMYFUNCTION("""COMPUTED_VALUE"""),"Targeted")</f>
        <v>Targeted</v>
      </c>
      <c r="AC1520" s="8" t="str">
        <f ca="1">IFERROR(__xludf.DUMMYFUNCTION("""COMPUTED_VALUE"""),"Yes")</f>
        <v>Yes</v>
      </c>
      <c r="AD1520" s="8" t="str">
        <f ca="1">IFERROR(__xludf.DUMMYFUNCTION("""COMPUTED_VALUE"""),"Victims Targeted")</f>
        <v>Victims Targeted</v>
      </c>
      <c r="AE1520" s="8" t="str">
        <f ca="1">IFERROR(__xludf.DUMMYFUNCTION("""COMPUTED_VALUE"""),"No")</f>
        <v>No</v>
      </c>
      <c r="AF1520" s="8"/>
      <c r="AG1520" s="8" t="str">
        <f ca="1">IFERROR(__xludf.DUMMYFUNCTION("""COMPUTED_VALUE"""),"No")</f>
        <v>No</v>
      </c>
      <c r="AH1520" s="8" t="str">
        <f ca="1">IFERROR(__xludf.DUMMYFUNCTION("""COMPUTED_VALUE"""),"No")</f>
        <v>No</v>
      </c>
      <c r="AI1520" s="8" t="str">
        <f ca="1">IFERROR(__xludf.DUMMYFUNCTION("""COMPUTED_VALUE"""),"No")</f>
        <v>No</v>
      </c>
      <c r="AJ1520" s="8" t="str">
        <f ca="1">IFERROR(__xludf.DUMMYFUNCTION("""COMPUTED_VALUE"""),"No")</f>
        <v>No</v>
      </c>
      <c r="AK1520" s="8" t="str">
        <f ca="1">IFERROR(__xludf.DUMMYFUNCTION("""COMPUTED_VALUE"""),"No")</f>
        <v>No</v>
      </c>
      <c r="AL1520" s="8" t="str">
        <f ca="1">IFERROR(__xludf.DUMMYFUNCTION("""COMPUTED_VALUE"""),"No")</f>
        <v>No</v>
      </c>
      <c r="AM1520" s="8" t="str">
        <f ca="1">IFERROR(__xludf.DUMMYFUNCTION("""COMPUTED_VALUE"""),"No")</f>
        <v>No</v>
      </c>
      <c r="AN1520" s="8" t="str">
        <f ca="1">IFERROR(__xludf.DUMMYFUNCTION("""COMPUTED_VALUE"""),"Outside")</f>
        <v>Outside</v>
      </c>
      <c r="AO1520" s="8" t="str">
        <f ca="1">IFERROR(__xludf.DUMMYFUNCTION("""COMPUTED_VALUE"""),"No")</f>
        <v>No</v>
      </c>
      <c r="AP1520" s="8"/>
      <c r="AQ1520" s="8"/>
      <c r="AR1520" s="8" t="str">
        <f ca="1">IFERROR(__xludf.DUMMYFUNCTION("""COMPUTED_VALUE"""),"Outside/Off-Property")</f>
        <v>Outside/Off-Property</v>
      </c>
      <c r="AS1520" s="8">
        <f ca="1">IFERROR(__xludf.DUMMYFUNCTION("""COMPUTED_VALUE"""),1)</f>
        <v>1</v>
      </c>
      <c r="AT1520" s="8" t="str">
        <f ca="1">IFERROR(__xludf.DUMMYFUNCTION("""COMPUTED_VALUE"""),"No")</f>
        <v>No</v>
      </c>
      <c r="AU1520" s="8">
        <f ca="1">IFERROR(__xludf.DUMMYFUNCTION("""COMPUTED_VALUE"""),40.77474)</f>
        <v>40.774740000000001</v>
      </c>
      <c r="AV1520" s="8">
        <f ca="1">IFERROR(__xludf.DUMMYFUNCTION("""COMPUTED_VALUE"""),-111.9)</f>
        <v>-111.9</v>
      </c>
      <c r="AW1520" s="8"/>
      <c r="AX1520" s="8">
        <f ca="1">IFERROR(__xludf.DUMMYFUNCTION("""COMPUTED_VALUE"""),84180)</f>
        <v>84180</v>
      </c>
    </row>
    <row r="1521" spans="1:50" ht="75" x14ac:dyDescent="0.2">
      <c r="A1521" s="8" t="str">
        <f ca="1">IFERROR(__xludf.DUMMYFUNCTION("""COMPUTED_VALUE"""),"20200212MOJOF")</f>
        <v>20200212MOJOF</v>
      </c>
      <c r="B1521" s="8">
        <f ca="1">IFERROR(__xludf.DUMMYFUNCTION("""COMPUTED_VALUE"""),2)</f>
        <v>2</v>
      </c>
      <c r="C1521" s="8">
        <f ca="1">IFERROR(__xludf.DUMMYFUNCTION("""COMPUTED_VALUE"""),12)</f>
        <v>12</v>
      </c>
      <c r="D1521" s="8">
        <f ca="1">IFERROR(__xludf.DUMMYFUNCTION("""COMPUTED_VALUE"""),2020)</f>
        <v>2020</v>
      </c>
      <c r="E1521" s="9">
        <f ca="1">IFERROR(__xludf.DUMMYFUNCTION("""COMPUTED_VALUE"""),43873)</f>
        <v>43873</v>
      </c>
      <c r="F1521" s="8" t="str">
        <f ca="1">IFERROR(__xludf.DUMMYFUNCTION("""COMPUTED_VALUE"""),"Johnson-Wabash Elementary School")</f>
        <v>Johnson-Wabash Elementary School</v>
      </c>
      <c r="G1521" s="8">
        <f ca="1">IFERROR(__xludf.DUMMYFUNCTION("""COMPUTED_VALUE"""),0)</f>
        <v>0</v>
      </c>
      <c r="H1521" s="8">
        <f ca="1">IFERROR(__xludf.DUMMYFUNCTION("""COMPUTED_VALUE"""),0)</f>
        <v>0</v>
      </c>
      <c r="I1521" s="8">
        <f ca="1">IFERROR(__xludf.DUMMYFUNCTION("""COMPUTED_VALUE"""),0)</f>
        <v>0</v>
      </c>
      <c r="J1521" s="8">
        <f ca="1">IFERROR(__xludf.DUMMYFUNCTION("""COMPUTED_VALUE"""),0)</f>
        <v>0</v>
      </c>
      <c r="K1521" s="8" t="str">
        <f ca="1">IFERROR(__xludf.DUMMYFUNCTION("""COMPUTED_VALUE"""),"https://www.ksdk.com/article/news/crime/man-pleads-guilty-pointing-loaded-gun-students-ferguson-florissant/63-a81916ef-aacd-4fa5-8b74-3fb6ed1c833c https://www.kmov.com/news/dad-accused-of-forcing-his-way-on-school-bus-with/article_9905e14e-4e10-11ea-bc76-"&amp;"6b2f685351e4.html https://fox2now.com/2020/02/12/ferguson-florissant-district-administrators-respond-after-parent-pulls-gun-on-school-bus/")</f>
        <v>https://www.ksdk.com/article/news/crime/man-pleads-guilty-pointing-loaded-gun-students-ferguson-florissant/63-a81916ef-aacd-4fa5-8b74-3fb6ed1c833c https://www.kmov.com/news/dad-accused-of-forcing-his-way-on-school-bus-with/article_9905e14e-4e10-11ea-bc76-6b2f685351e4.html https://fox2now.com/2020/02/12/ferguson-florissant-district-administrators-respond-after-parent-pulls-gun-on-school-bus/</v>
      </c>
      <c r="L1521" s="8"/>
      <c r="M1521" s="8" t="str">
        <f ca="1">IFERROR(__xludf.DUMMYFUNCTION("""COMPUTED_VALUE"""),"Local")</f>
        <v>Local</v>
      </c>
      <c r="N1521" s="8">
        <f ca="1">IFERROR(__xludf.DUMMYFUNCTION("""COMPUTED_VALUE"""),4)</f>
        <v>4</v>
      </c>
      <c r="O1521" s="8" t="str">
        <f ca="1">IFERROR(__xludf.DUMMYFUNCTION("""COMPUTED_VALUE"""),"Winter")</f>
        <v>Winter</v>
      </c>
      <c r="P1521" s="8" t="str">
        <f ca="1">IFERROR(__xludf.DUMMYFUNCTION("""COMPUTED_VALUE"""),"Ferguson")</f>
        <v>Ferguson</v>
      </c>
      <c r="Q1521" s="8" t="str">
        <f ca="1">IFERROR(__xludf.DUMMYFUNCTION("""COMPUTED_VALUE"""),"MO")</f>
        <v>MO</v>
      </c>
      <c r="R1521" s="8" t="str">
        <f ca="1">IFERROR(__xludf.DUMMYFUNCTION("""COMPUTED_VALUE"""),"Elementary")</f>
        <v>Elementary</v>
      </c>
      <c r="S1521" s="8" t="str">
        <f ca="1">IFERROR(__xludf.DUMMYFUNCTION("""COMPUTED_VALUE"""),"School Bus")</f>
        <v>School Bus</v>
      </c>
      <c r="T1521" s="8" t="str">
        <f ca="1">IFERROR(__xludf.DUMMYFUNCTION("""COMPUTED_VALUE"""),"School Bus")</f>
        <v>School Bus</v>
      </c>
      <c r="U1521" s="8" t="str">
        <f ca="1">IFERROR(__xludf.DUMMYFUNCTION("""COMPUTED_VALUE"""),"Yes")</f>
        <v>Yes</v>
      </c>
      <c r="V1521" s="8" t="str">
        <f ca="1">IFERROR(__xludf.DUMMYFUNCTION("""COMPUTED_VALUE"""),"School Start")</f>
        <v>School Start</v>
      </c>
      <c r="W1521" s="11">
        <f ca="1">IFERROR(__xludf.DUMMYFUNCTION("""COMPUTED_VALUE"""),0.333333333333333)</f>
        <v>0.33333333333333298</v>
      </c>
      <c r="X1521" s="8">
        <f ca="1">IFERROR(__xludf.DUMMYFUNCTION("""COMPUTED_VALUE"""),1)</f>
        <v>1</v>
      </c>
      <c r="Y1521" s="12" t="str">
        <f ca="1">IFERROR(__xludf.DUMMYFUNCTION("""COMPUTED_VALUE"""),"Father pointed gun at students on school bus following fight between students")</f>
        <v>Father pointed gun at students on school bus following fight between students</v>
      </c>
      <c r="Z1521" s="12"/>
      <c r="AA1521" s="8" t="str">
        <f ca="1">IFERROR(__xludf.DUMMYFUNCTION("""COMPUTED_VALUE"""),"Escalation of Dispute")</f>
        <v>Escalation of Dispute</v>
      </c>
      <c r="AB1521" s="8"/>
      <c r="AC1521" s="8" t="str">
        <f ca="1">IFERROR(__xludf.DUMMYFUNCTION("""COMPUTED_VALUE"""),"Yes")</f>
        <v>Yes</v>
      </c>
      <c r="AD1521" s="8" t="str">
        <f ca="1">IFERROR(__xludf.DUMMYFUNCTION("""COMPUTED_VALUE"""),"Victims Targeted")</f>
        <v>Victims Targeted</v>
      </c>
      <c r="AE1521" s="8" t="str">
        <f ca="1">IFERROR(__xludf.DUMMYFUNCTION("""COMPUTED_VALUE"""),"No")</f>
        <v>No</v>
      </c>
      <c r="AF1521" s="8"/>
      <c r="AG1521" s="8" t="str">
        <f ca="1">IFERROR(__xludf.DUMMYFUNCTION("""COMPUTED_VALUE"""),"No")</f>
        <v>No</v>
      </c>
      <c r="AH1521" s="8" t="str">
        <f ca="1">IFERROR(__xludf.DUMMYFUNCTION("""COMPUTED_VALUE"""),"No")</f>
        <v>No</v>
      </c>
      <c r="AI1521" s="8" t="str">
        <f ca="1">IFERROR(__xludf.DUMMYFUNCTION("""COMPUTED_VALUE"""),"No")</f>
        <v>No</v>
      </c>
      <c r="AJ1521" s="8"/>
      <c r="AK1521" s="8" t="str">
        <f ca="1">IFERROR(__xludf.DUMMYFUNCTION("""COMPUTED_VALUE"""),"No")</f>
        <v>No</v>
      </c>
      <c r="AL1521" s="8" t="str">
        <f ca="1">IFERROR(__xludf.DUMMYFUNCTION("""COMPUTED_VALUE"""),"No")</f>
        <v>No</v>
      </c>
      <c r="AM1521" s="8" t="str">
        <f ca="1">IFERROR(__xludf.DUMMYFUNCTION("""COMPUTED_VALUE"""),"No")</f>
        <v>No</v>
      </c>
      <c r="AN1521" s="8"/>
      <c r="AO1521" s="8" t="str">
        <f ca="1">IFERROR(__xludf.DUMMYFUNCTION("""COMPUTED_VALUE"""),"No")</f>
        <v>No</v>
      </c>
      <c r="AP1521" s="8"/>
      <c r="AQ1521" s="8" t="str">
        <f ca="1">IFERROR(__xludf.DUMMYFUNCTION("""COMPUTED_VALUE"""),"Unknown")</f>
        <v>Unknown</v>
      </c>
      <c r="AR1521" s="8" t="str">
        <f ca="1">IFERROR(__xludf.DUMMYFUNCTION("""COMPUTED_VALUE"""),"Outside/Off-Property")</f>
        <v>Outside/Off-Property</v>
      </c>
      <c r="AS1521" s="8">
        <f ca="1">IFERROR(__xludf.DUMMYFUNCTION("""COMPUTED_VALUE"""),0)</f>
        <v>0</v>
      </c>
      <c r="AT1521" s="8"/>
      <c r="AU1521" s="8">
        <f ca="1">IFERROR(__xludf.DUMMYFUNCTION("""COMPUTED_VALUE"""),38.755681)</f>
        <v>38.755681000000003</v>
      </c>
      <c r="AV1521" s="8">
        <f ca="1">IFERROR(__xludf.DUMMYFUNCTION("""COMPUTED_VALUE"""),-90.312881)</f>
        <v>-90.312881000000004</v>
      </c>
      <c r="AW1521" s="8"/>
      <c r="AX1521" s="8">
        <f ca="1">IFERROR(__xludf.DUMMYFUNCTION("""COMPUTED_VALUE"""),63135)</f>
        <v>63135</v>
      </c>
    </row>
    <row r="1522" spans="1:50" ht="120" x14ac:dyDescent="0.2">
      <c r="A1522" s="8" t="str">
        <f ca="1">IFERROR(__xludf.DUMMYFUNCTION("""COMPUTED_VALUE"""),"20200205NHSEC")</f>
        <v>20200205NHSEC</v>
      </c>
      <c r="B1522" s="8">
        <f ca="1">IFERROR(__xludf.DUMMYFUNCTION("""COMPUTED_VALUE"""),2)</f>
        <v>2</v>
      </c>
      <c r="C1522" s="8">
        <f ca="1">IFERROR(__xludf.DUMMYFUNCTION("""COMPUTED_VALUE"""),5)</f>
        <v>5</v>
      </c>
      <c r="D1522" s="8">
        <f ca="1">IFERROR(__xludf.DUMMYFUNCTION("""COMPUTED_VALUE"""),2020)</f>
        <v>2020</v>
      </c>
      <c r="E1522" s="9">
        <f ca="1">IFERROR(__xludf.DUMMYFUNCTION("""COMPUTED_VALUE"""),43866)</f>
        <v>43866</v>
      </c>
      <c r="F1522" s="8" t="str">
        <f ca="1">IFERROR(__xludf.DUMMYFUNCTION("""COMPUTED_VALUE"""),"Second Start Alternative High School")</f>
        <v>Second Start Alternative High School</v>
      </c>
      <c r="G1522" s="8">
        <f ca="1">IFERROR(__xludf.DUMMYFUNCTION("""COMPUTED_VALUE"""),0)</f>
        <v>0</v>
      </c>
      <c r="H1522" s="8">
        <f ca="1">IFERROR(__xludf.DUMMYFUNCTION("""COMPUTED_VALUE"""),0)</f>
        <v>0</v>
      </c>
      <c r="I1522" s="8">
        <f ca="1">IFERROR(__xludf.DUMMYFUNCTION("""COMPUTED_VALUE"""),0)</f>
        <v>0</v>
      </c>
      <c r="J1522" s="8">
        <f ca="1">IFERROR(__xludf.DUMMYFUNCTION("""COMPUTED_VALUE"""),1)</f>
        <v>1</v>
      </c>
      <c r="K1522" s="8" t="str">
        <f ca="1">IFERROR(__xludf.DUMMYFUNCTION("""COMPUTED_VALUE"""),"https://www.nhpr.org/post/report-student-fired-gun-concord-school-employee-killing-himself#stream/0 https://www.eagletribune.com/news/new_hampshire/one-student-dead-in-concord-alternative-high-school-shooting/article_5597252b-fee4-56a9-9f35-0ad82455a702.h"&amp;"tml  https://www.wmur.com/article/person-dies-from-apparent-suicide-at-new-hampshire-school-ag-says/30779029 https://www.wmur.com/article/person-dies-from-apparent-suicide-at-new-hampshire-school-ag-says/30779029#")</f>
        <v>https://www.nhpr.org/post/report-student-fired-gun-concord-school-employee-killing-himself#stream/0 https://www.eagletribune.com/news/new_hampshire/one-student-dead-in-concord-alternative-high-school-shooting/article_5597252b-fee4-56a9-9f35-0ad82455a702.html  https://www.wmur.com/article/person-dies-from-apparent-suicide-at-new-hampshire-school-ag-says/30779029 https://www.wmur.com/article/person-dies-from-apparent-suicide-at-new-hampshire-school-ag-says/30779029#</v>
      </c>
      <c r="L1522" s="8">
        <f ca="1">IFERROR(__xludf.DUMMYFUNCTION("""COMPUTED_VALUE"""),2)</f>
        <v>2</v>
      </c>
      <c r="M1522" s="8" t="str">
        <f ca="1">IFERROR(__xludf.DUMMYFUNCTION("""COMPUTED_VALUE"""),"Regional")</f>
        <v>Regional</v>
      </c>
      <c r="N1522" s="8">
        <f ca="1">IFERROR(__xludf.DUMMYFUNCTION("""COMPUTED_VALUE"""),4)</f>
        <v>4</v>
      </c>
      <c r="O1522" s="8" t="str">
        <f ca="1">IFERROR(__xludf.DUMMYFUNCTION("""COMPUTED_VALUE"""),"Winter")</f>
        <v>Winter</v>
      </c>
      <c r="P1522" s="8" t="str">
        <f ca="1">IFERROR(__xludf.DUMMYFUNCTION("""COMPUTED_VALUE"""),"Concord")</f>
        <v>Concord</v>
      </c>
      <c r="Q1522" s="8" t="str">
        <f ca="1">IFERROR(__xludf.DUMMYFUNCTION("""COMPUTED_VALUE"""),"NH")</f>
        <v>NH</v>
      </c>
      <c r="R1522" s="8" t="str">
        <f ca="1">IFERROR(__xludf.DUMMYFUNCTION("""COMPUTED_VALUE"""),"High")</f>
        <v>High</v>
      </c>
      <c r="S1522" s="8" t="str">
        <f ca="1">IFERROR(__xludf.DUMMYFUNCTION("""COMPUTED_VALUE"""),"Classroom")</f>
        <v>Classroom</v>
      </c>
      <c r="T1522" s="8" t="str">
        <f ca="1">IFERROR(__xludf.DUMMYFUNCTION("""COMPUTED_VALUE"""),"Inside School Building")</f>
        <v>Inside School Building</v>
      </c>
      <c r="U1522" s="8" t="str">
        <f ca="1">IFERROR(__xludf.DUMMYFUNCTION("""COMPUTED_VALUE"""),"Yes")</f>
        <v>Yes</v>
      </c>
      <c r="V1522" s="8" t="str">
        <f ca="1">IFERROR(__xludf.DUMMYFUNCTION("""COMPUTED_VALUE"""),"Morning Classes")</f>
        <v>Morning Classes</v>
      </c>
      <c r="W1522" s="11">
        <f ca="1">IFERROR(__xludf.DUMMYFUNCTION("""COMPUTED_VALUE"""),0.416666666666666)</f>
        <v>0.41666666666666602</v>
      </c>
      <c r="X1522" s="8">
        <f ca="1">IFERROR(__xludf.DUMMYFUNCTION("""COMPUTED_VALUE"""),1)</f>
        <v>1</v>
      </c>
      <c r="Y1522" s="12" t="str">
        <f ca="1">IFERROR(__xludf.DUMMYFUNCTION("""COMPUTED_VALUE"""),"Student fired shot at school employee then killed self")</f>
        <v>Student fired shot at school employee then killed self</v>
      </c>
      <c r="Z1522" s="12" t="str">
        <f ca="1">IFERROR(__xludf.DUMMYFUNCTION("""COMPUTED_VALUE"""),"A 17 year-old male student shot at a school employee, shot missed, and then he killed himself inside a classroom. He was alone at the time and no one else was injured. A group of students and staff were then led out of the building and moved to a nearby b"&amp;"uilding. Many of these students have been identified as having learning and/or emotional handicaps that have interfered with their functioning effectively in a previous educational setting.")</f>
        <v>A 17 year-old male student shot at a school employee, shot missed, and then he killed himself inside a classroom. He was alone at the time and no one else was injured. A group of students and staff were then led out of the building and moved to a nearby building. Many of these students have been identified as having learning and/or emotional handicaps that have interfered with their functioning effectively in a previous educational setting.</v>
      </c>
      <c r="AA1522" s="8" t="str">
        <f ca="1">IFERROR(__xludf.DUMMYFUNCTION("""COMPUTED_VALUE"""),"Suicide/Attempted")</f>
        <v>Suicide/Attempted</v>
      </c>
      <c r="AB1522" s="8"/>
      <c r="AC1522" s="8" t="str">
        <f ca="1">IFERROR(__xludf.DUMMYFUNCTION("""COMPUTED_VALUE"""),"Yes")</f>
        <v>Yes</v>
      </c>
      <c r="AD1522" s="8" t="str">
        <f ca="1">IFERROR(__xludf.DUMMYFUNCTION("""COMPUTED_VALUE"""),"Victims Targeted")</f>
        <v>Victims Targeted</v>
      </c>
      <c r="AE1522" s="8" t="str">
        <f ca="1">IFERROR(__xludf.DUMMYFUNCTION("""COMPUTED_VALUE"""),"No")</f>
        <v>No</v>
      </c>
      <c r="AF1522" s="8"/>
      <c r="AG1522" s="8" t="str">
        <f ca="1">IFERROR(__xludf.DUMMYFUNCTION("""COMPUTED_VALUE"""),"No")</f>
        <v>No</v>
      </c>
      <c r="AH1522" s="8" t="str">
        <f ca="1">IFERROR(__xludf.DUMMYFUNCTION("""COMPUTED_VALUE"""),"No")</f>
        <v>No</v>
      </c>
      <c r="AI1522" s="8" t="str">
        <f ca="1">IFERROR(__xludf.DUMMYFUNCTION("""COMPUTED_VALUE"""),"No")</f>
        <v>No</v>
      </c>
      <c r="AJ1522" s="8"/>
      <c r="AK1522" s="8" t="str">
        <f ca="1">IFERROR(__xludf.DUMMYFUNCTION("""COMPUTED_VALUE"""),"No")</f>
        <v>No</v>
      </c>
      <c r="AL1522" s="8" t="str">
        <f ca="1">IFERROR(__xludf.DUMMYFUNCTION("""COMPUTED_VALUE"""),"No")</f>
        <v>No</v>
      </c>
      <c r="AM1522" s="8" t="str">
        <f ca="1">IFERROR(__xludf.DUMMYFUNCTION("""COMPUTED_VALUE"""),"No")</f>
        <v>No</v>
      </c>
      <c r="AN1522" s="8"/>
      <c r="AO1522" s="8" t="str">
        <f ca="1">IFERROR(__xludf.DUMMYFUNCTION("""COMPUTED_VALUE"""),"No")</f>
        <v>No</v>
      </c>
      <c r="AP1522" s="8" t="str">
        <f ca="1">IFERROR(__xludf.DUMMYFUNCTION("""COMPUTED_VALUE"""),"No")</f>
        <v>No</v>
      </c>
      <c r="AQ1522" s="8" t="str">
        <f ca="1">IFERROR(__xludf.DUMMYFUNCTION("""COMPUTED_VALUE"""),"None")</f>
        <v>None</v>
      </c>
      <c r="AR1522" s="8" t="str">
        <f ca="1">IFERROR(__xludf.DUMMYFUNCTION("""COMPUTED_VALUE"""),"NA")</f>
        <v>NA</v>
      </c>
      <c r="AS1522" s="8">
        <f ca="1">IFERROR(__xludf.DUMMYFUNCTION("""COMPUTED_VALUE"""),1)</f>
        <v>1</v>
      </c>
      <c r="AT1522" s="8" t="str">
        <f ca="1">IFERROR(__xludf.DUMMYFUNCTION("""COMPUTED_VALUE"""),"Yes")</f>
        <v>Yes</v>
      </c>
      <c r="AU1522" s="8">
        <f ca="1">IFERROR(__xludf.DUMMYFUNCTION("""COMPUTED_VALUE"""),43.243812)</f>
        <v>43.243811999999998</v>
      </c>
      <c r="AV1522" s="8">
        <f ca="1">IFERROR(__xludf.DUMMYFUNCTION("""COMPUTED_VALUE"""),-71.572814)</f>
        <v>-71.572813999999994</v>
      </c>
      <c r="AW1522" s="8"/>
      <c r="AX1522" s="8">
        <f ca="1">IFERROR(__xludf.DUMMYFUNCTION("""COMPUTED_VALUE"""),3301)</f>
        <v>3301</v>
      </c>
    </row>
    <row r="1523" spans="1:50" ht="75" x14ac:dyDescent="0.2">
      <c r="A1523" s="8" t="str">
        <f ca="1">IFERROR(__xludf.DUMMYFUNCTION("""COMPUTED_VALUE"""),"20200204LABEA")</f>
        <v>20200204LABEA</v>
      </c>
      <c r="B1523" s="8">
        <f ca="1">IFERROR(__xludf.DUMMYFUNCTION("""COMPUTED_VALUE"""),2)</f>
        <v>2</v>
      </c>
      <c r="C1523" s="8">
        <f ca="1">IFERROR(__xludf.DUMMYFUNCTION("""COMPUTED_VALUE"""),4)</f>
        <v>4</v>
      </c>
      <c r="D1523" s="8">
        <f ca="1">IFERROR(__xludf.DUMMYFUNCTION("""COMPUTED_VALUE"""),2020)</f>
        <v>2020</v>
      </c>
      <c r="E1523" s="9">
        <f ca="1">IFERROR(__xludf.DUMMYFUNCTION("""COMPUTED_VALUE"""),43865)</f>
        <v>43865</v>
      </c>
      <c r="F1523" s="8" t="str">
        <f ca="1">IFERROR(__xludf.DUMMYFUNCTION("""COMPUTED_VALUE"""),"Beau Chene High School")</f>
        <v>Beau Chene High School</v>
      </c>
      <c r="G1523" s="8">
        <f ca="1">IFERROR(__xludf.DUMMYFUNCTION("""COMPUTED_VALUE"""),0)</f>
        <v>0</v>
      </c>
      <c r="H1523" s="8">
        <f ca="1">IFERROR(__xludf.DUMMYFUNCTION("""COMPUTED_VALUE"""),0)</f>
        <v>0</v>
      </c>
      <c r="I1523" s="8">
        <f ca="1">IFERROR(__xludf.DUMMYFUNCTION("""COMPUTED_VALUE"""),0)</f>
        <v>0</v>
      </c>
      <c r="J1523" s="8">
        <f ca="1">IFERROR(__xludf.DUMMYFUNCTION("""COMPUTED_VALUE"""),0)</f>
        <v>0</v>
      </c>
      <c r="K1523" s="8" t="str">
        <f ca="1">IFERROR(__xludf.DUMMYFUNCTION("""COMPUTED_VALUE"""),"https://www.brproud.com/news/teens-arrested-for-pointing-rifle-at-soccer-match/ https://www.arklatexhomepage.com/louisiana-network/teens-arrested-for-pointing-rifle-at-soccer-match/ https://www.katc.com/news/st-landry-parish/two-arrested-for-allegedly-bri"&amp;"nging-weapon-on-beau-chene-high-campus")</f>
        <v>https://www.brproud.com/news/teens-arrested-for-pointing-rifle-at-soccer-match/ https://www.arklatexhomepage.com/louisiana-network/teens-arrested-for-pointing-rifle-at-soccer-match/ https://www.katc.com/news/st-landry-parish/two-arrested-for-allegedly-bringing-weapon-on-beau-chene-high-campus</v>
      </c>
      <c r="L1523" s="8"/>
      <c r="M1523" s="8"/>
      <c r="N1523" s="8">
        <f ca="1">IFERROR(__xludf.DUMMYFUNCTION("""COMPUTED_VALUE"""),4)</f>
        <v>4</v>
      </c>
      <c r="O1523" s="8" t="str">
        <f ca="1">IFERROR(__xludf.DUMMYFUNCTION("""COMPUTED_VALUE"""),"Winter")</f>
        <v>Winter</v>
      </c>
      <c r="P1523" s="8" t="str">
        <f ca="1">IFERROR(__xludf.DUMMYFUNCTION("""COMPUTED_VALUE"""),"Arnaudville")</f>
        <v>Arnaudville</v>
      </c>
      <c r="Q1523" s="8" t="str">
        <f ca="1">IFERROR(__xludf.DUMMYFUNCTION("""COMPUTED_VALUE"""),"LA")</f>
        <v>LA</v>
      </c>
      <c r="R1523" s="8" t="str">
        <f ca="1">IFERROR(__xludf.DUMMYFUNCTION("""COMPUTED_VALUE"""),"High")</f>
        <v>High</v>
      </c>
      <c r="S1523" s="8" t="str">
        <f ca="1">IFERROR(__xludf.DUMMYFUNCTION("""COMPUTED_VALUE"""),"Parking Lot")</f>
        <v>Parking Lot</v>
      </c>
      <c r="T1523" s="8" t="str">
        <f ca="1">IFERROR(__xludf.DUMMYFUNCTION("""COMPUTED_VALUE"""),"Outside on School Property")</f>
        <v>Outside on School Property</v>
      </c>
      <c r="U1523" s="8" t="str">
        <f ca="1">IFERROR(__xludf.DUMMYFUNCTION("""COMPUTED_VALUE"""),"No")</f>
        <v>No</v>
      </c>
      <c r="V1523" s="8" t="str">
        <f ca="1">IFERROR(__xludf.DUMMYFUNCTION("""COMPUTED_VALUE"""),"Sport Event")</f>
        <v>Sport Event</v>
      </c>
      <c r="W1523" s="11">
        <f ca="1">IFERROR(__xludf.DUMMYFUNCTION("""COMPUTED_VALUE"""),0.75)</f>
        <v>0.75</v>
      </c>
      <c r="X1523" s="8">
        <f ca="1">IFERROR(__xludf.DUMMYFUNCTION("""COMPUTED_VALUE"""),1)</f>
        <v>1</v>
      </c>
      <c r="Y1523" s="12" t="str">
        <f ca="1">IFERROR(__xludf.DUMMYFUNCTION("""COMPUTED_VALUE"""),"17YOM pointed rifle at people in school parking lot during soccer game, arrested by SRO")</f>
        <v>17YOM pointed rifle at people in school parking lot during soccer game, arrested by SRO</v>
      </c>
      <c r="Z1523" s="12" t="str">
        <f ca="1">IFERROR(__xludf.DUMMYFUNCTION("""COMPUTED_VALUE"""),"17YOM took rifle out of vehicle in school parking lot and pointed it at people in the parking lot. Student reported this to SRO who arrested the shooter. Brother was also arrested. Neither were students. Police said they both had gang involvement.")</f>
        <v>17YOM took rifle out of vehicle in school parking lot and pointed it at people in the parking lot. Student reported this to SRO who arrested the shooter. Brother was also arrested. Neither were students. Police said they both had gang involvement.</v>
      </c>
      <c r="AA1523" s="8" t="str">
        <f ca="1">IFERROR(__xludf.DUMMYFUNCTION("""COMPUTED_VALUE"""),"Escalation of Dispute")</f>
        <v>Escalation of Dispute</v>
      </c>
      <c r="AB1523" s="8"/>
      <c r="AC1523" s="8" t="str">
        <f ca="1">IFERROR(__xludf.DUMMYFUNCTION("""COMPUTED_VALUE"""),"Yes")</f>
        <v>Yes</v>
      </c>
      <c r="AD1523" s="8" t="str">
        <f ca="1">IFERROR(__xludf.DUMMYFUNCTION("""COMPUTED_VALUE"""),"Neither")</f>
        <v>Neither</v>
      </c>
      <c r="AE1523" s="8" t="str">
        <f ca="1">IFERROR(__xludf.DUMMYFUNCTION("""COMPUTED_VALUE"""),"Yes")</f>
        <v>Yes</v>
      </c>
      <c r="AF1523" s="8" t="str">
        <f ca="1">IFERROR(__xludf.DUMMYFUNCTION("""COMPUTED_VALUE"""),"18YOM brother arrested")</f>
        <v>18YOM brother arrested</v>
      </c>
      <c r="AG1523" s="8" t="str">
        <f ca="1">IFERROR(__xludf.DUMMYFUNCTION("""COMPUTED_VALUE"""),"No")</f>
        <v>No</v>
      </c>
      <c r="AH1523" s="8" t="str">
        <f ca="1">IFERROR(__xludf.DUMMYFUNCTION("""COMPUTED_VALUE"""),"No")</f>
        <v>No</v>
      </c>
      <c r="AI1523" s="8" t="str">
        <f ca="1">IFERROR(__xludf.DUMMYFUNCTION("""COMPUTED_VALUE"""),"No")</f>
        <v>No</v>
      </c>
      <c r="AJ1523" s="8" t="str">
        <f ca="1">IFERROR(__xludf.DUMMYFUNCTION("""COMPUTED_VALUE"""),"No")</f>
        <v>No</v>
      </c>
      <c r="AK1523" s="8" t="str">
        <f ca="1">IFERROR(__xludf.DUMMYFUNCTION("""COMPUTED_VALUE"""),"No")</f>
        <v>No</v>
      </c>
      <c r="AL1523" s="8" t="str">
        <f ca="1">IFERROR(__xludf.DUMMYFUNCTION("""COMPUTED_VALUE"""),"Yes")</f>
        <v>Yes</v>
      </c>
      <c r="AM1523" s="8" t="str">
        <f ca="1">IFERROR(__xludf.DUMMYFUNCTION("""COMPUTED_VALUE"""),"No")</f>
        <v>No</v>
      </c>
      <c r="AN1523" s="8"/>
      <c r="AO1523" s="8" t="str">
        <f ca="1">IFERROR(__xludf.DUMMYFUNCTION("""COMPUTED_VALUE"""),"No")</f>
        <v>No</v>
      </c>
      <c r="AP1523" s="8" t="str">
        <f ca="1">IFERROR(__xludf.DUMMYFUNCTION("""COMPUTED_VALUE"""),"Yes")</f>
        <v>Yes</v>
      </c>
      <c r="AQ1523" s="8" t="str">
        <f ca="1">IFERROR(__xludf.DUMMYFUNCTION("""COMPUTED_VALUE"""),"Unknown")</f>
        <v>Unknown</v>
      </c>
      <c r="AR1523" s="8" t="str">
        <f ca="1">IFERROR(__xludf.DUMMYFUNCTION("""COMPUTED_VALUE"""),"Outside/Off-Property")</f>
        <v>Outside/Off-Property</v>
      </c>
      <c r="AS1523" s="8">
        <f ca="1">IFERROR(__xludf.DUMMYFUNCTION("""COMPUTED_VALUE"""),1)</f>
        <v>1</v>
      </c>
      <c r="AT1523" s="8"/>
      <c r="AU1523" s="8">
        <f ca="1">IFERROR(__xludf.DUMMYFUNCTION("""COMPUTED_VALUE"""),30.403233)</f>
        <v>30.403233</v>
      </c>
      <c r="AV1523" s="8">
        <f ca="1">IFERROR(__xludf.DUMMYFUNCTION("""COMPUTED_VALUE"""),-92.001697)</f>
        <v>-92.001696999999993</v>
      </c>
      <c r="AW1523" s="8"/>
      <c r="AX1523" s="8">
        <f ca="1">IFERROR(__xludf.DUMMYFUNCTION("""COMPUTED_VALUE"""),70541)</f>
        <v>70541</v>
      </c>
    </row>
    <row r="1524" spans="1:50" ht="90" x14ac:dyDescent="0.2">
      <c r="A1524" s="8" t="str">
        <f ca="1">IFERROR(__xludf.DUMMYFUNCTION("""COMPUTED_VALUE"""),"20200203FLGEJ")</f>
        <v>20200203FLGEJ</v>
      </c>
      <c r="B1524" s="8">
        <f ca="1">IFERROR(__xludf.DUMMYFUNCTION("""COMPUTED_VALUE"""),2)</f>
        <v>2</v>
      </c>
      <c r="C1524" s="8">
        <f ca="1">IFERROR(__xludf.DUMMYFUNCTION("""COMPUTED_VALUE"""),3)</f>
        <v>3</v>
      </c>
      <c r="D1524" s="8">
        <f ca="1">IFERROR(__xludf.DUMMYFUNCTION("""COMPUTED_VALUE"""),2020)</f>
        <v>2020</v>
      </c>
      <c r="E1524" s="9">
        <f ca="1">IFERROR(__xludf.DUMMYFUNCTION("""COMPUTED_VALUE"""),43864)</f>
        <v>43864</v>
      </c>
      <c r="F1524" s="8" t="str">
        <f ca="1">IFERROR(__xludf.DUMMYFUNCTION("""COMPUTED_VALUE"""),"George Washington Carver Elementary School")</f>
        <v>George Washington Carver Elementary School</v>
      </c>
      <c r="G1524" s="8">
        <f ca="1">IFERROR(__xludf.DUMMYFUNCTION("""COMPUTED_VALUE"""),0)</f>
        <v>0</v>
      </c>
      <c r="H1524" s="8">
        <f ca="1">IFERROR(__xludf.DUMMYFUNCTION("""COMPUTED_VALUE"""),1)</f>
        <v>1</v>
      </c>
      <c r="I1524" s="8">
        <f ca="1">IFERROR(__xludf.DUMMYFUNCTION("""COMPUTED_VALUE"""),1)</f>
        <v>1</v>
      </c>
      <c r="J1524" s="8">
        <f ca="1">IFERROR(__xludf.DUMMYFUNCTION("""COMPUTED_VALUE"""),0)</f>
        <v>0</v>
      </c>
      <c r="K1524" s="8" t="str">
        <f ca="1">IFERROR(__xludf.DUMMYFUNCTION("""COMPUTED_VALUE"""),"https://www.actionnewsjax.com/news/local/jacksonville-police-investigating-shooting-elementary-school-no-students-or-staff-involved/IDQOHQDGDBH35PH62FCB2YJB6I/ https://www.wokv.com/news/local/shooting-near-jacksonville-elementary-school-rattles-parents/oN"&amp;"ZdCm8QnUr3Efzp1NACyK/ https://www.firstcoastnews.com/article/news/crime/shell-casings-blood-trail-and-a-gold-bracelet-found-after-shooting-outside-florida-elementary-school/77-db509e14-f315-4997-9f1d-3285002f7ca3")</f>
        <v>https://www.actionnewsjax.com/news/local/jacksonville-police-investigating-shooting-elementary-school-no-students-or-staff-involved/IDQOHQDGDBH35PH62FCB2YJB6I/ https://www.wokv.com/news/local/shooting-near-jacksonville-elementary-school-rattles-parents/oNZdCm8QnUr3Efzp1NACyK/ https://www.firstcoastnews.com/article/news/crime/shell-casings-blood-trail-and-a-gold-bracelet-found-after-shooting-outside-florida-elementary-school/77-db509e14-f315-4997-9f1d-3285002f7ca3</v>
      </c>
      <c r="L1524" s="8"/>
      <c r="M1524" s="8"/>
      <c r="N1524" s="8">
        <f ca="1">IFERROR(__xludf.DUMMYFUNCTION("""COMPUTED_VALUE"""),4)</f>
        <v>4</v>
      </c>
      <c r="O1524" s="8" t="str">
        <f ca="1">IFERROR(__xludf.DUMMYFUNCTION("""COMPUTED_VALUE"""),"Winter")</f>
        <v>Winter</v>
      </c>
      <c r="P1524" s="8" t="str">
        <f ca="1">IFERROR(__xludf.DUMMYFUNCTION("""COMPUTED_VALUE"""),"Jacksonville")</f>
        <v>Jacksonville</v>
      </c>
      <c r="Q1524" s="8" t="str">
        <f ca="1">IFERROR(__xludf.DUMMYFUNCTION("""COMPUTED_VALUE"""),"FL")</f>
        <v>FL</v>
      </c>
      <c r="R1524" s="8" t="str">
        <f ca="1">IFERROR(__xludf.DUMMYFUNCTION("""COMPUTED_VALUE"""),"Elementary")</f>
        <v>Elementary</v>
      </c>
      <c r="S1524" s="8" t="str">
        <f ca="1">IFERROR(__xludf.DUMMYFUNCTION("""COMPUTED_VALUE"""),"Parking Lot")</f>
        <v>Parking Lot</v>
      </c>
      <c r="T1524" s="8" t="str">
        <f ca="1">IFERROR(__xludf.DUMMYFUNCTION("""COMPUTED_VALUE"""),"Outside on School Property")</f>
        <v>Outside on School Property</v>
      </c>
      <c r="U1524" s="8" t="str">
        <f ca="1">IFERROR(__xludf.DUMMYFUNCTION("""COMPUTED_VALUE"""),"No")</f>
        <v>No</v>
      </c>
      <c r="V1524" s="8" t="str">
        <f ca="1">IFERROR(__xludf.DUMMYFUNCTION("""COMPUTED_VALUE"""),"Evening")</f>
        <v>Evening</v>
      </c>
      <c r="W1524" s="11">
        <f ca="1">IFERROR(__xludf.DUMMYFUNCTION("""COMPUTED_VALUE"""),0.729166666666666)</f>
        <v>0.72916666666666596</v>
      </c>
      <c r="X1524" s="8">
        <f ca="1">IFERROR(__xludf.DUMMYFUNCTION("""COMPUTED_VALUE"""),1)</f>
        <v>1</v>
      </c>
      <c r="Y1524" s="12" t="str">
        <f ca="1">IFERROR(__xludf.DUMMYFUNCTION("""COMPUTED_VALUE"""),"Drive-by shooting in school parking lot")</f>
        <v>Drive-by shooting in school parking lot</v>
      </c>
      <c r="Z1524" s="12" t="str">
        <f ca="1">IFERROR(__xludf.DUMMYFUNCTION("""COMPUTED_VALUE"""),"Adult male was shot during drive-by shooting in school parking lot. Group of adult males ran from the shooting across the school playground. Vehicles in the school parking lot and the building were struck by bullets. School was placed on lockdown for 45 m"&amp;"inutes. Victim attempted to gain entry to school but was denied access.")</f>
        <v>Adult male was shot during drive-by shooting in school parking lot. Group of adult males ran from the shooting across the school playground. Vehicles in the school parking lot and the building were struck by bullets. School was placed on lockdown for 45 minutes. Victim attempted to gain entry to school but was denied access.</v>
      </c>
      <c r="AA1524" s="8" t="str">
        <f ca="1">IFERROR(__xludf.DUMMYFUNCTION("""COMPUTED_VALUE"""),"Drive-by Shooting")</f>
        <v>Drive-by Shooting</v>
      </c>
      <c r="AB1524" s="8"/>
      <c r="AC1524" s="8" t="str">
        <f ca="1">IFERROR(__xludf.DUMMYFUNCTION("""COMPUTED_VALUE"""),"No")</f>
        <v>No</v>
      </c>
      <c r="AD1524" s="8"/>
      <c r="AE1524" s="8" t="str">
        <f ca="1">IFERROR(__xludf.DUMMYFUNCTION("""COMPUTED_VALUE"""),"Yes")</f>
        <v>Yes</v>
      </c>
      <c r="AF1524" s="8" t="str">
        <f ca="1">IFERROR(__xludf.DUMMYFUNCTION("""COMPUTED_VALUE"""),"Drive-by, multiple in car")</f>
        <v>Drive-by, multiple in car</v>
      </c>
      <c r="AG1524" s="8" t="str">
        <f ca="1">IFERROR(__xludf.DUMMYFUNCTION("""COMPUTED_VALUE"""),"No")</f>
        <v>No</v>
      </c>
      <c r="AH1524" s="8" t="str">
        <f ca="1">IFERROR(__xludf.DUMMYFUNCTION("""COMPUTED_VALUE"""),"No")</f>
        <v>No</v>
      </c>
      <c r="AI1524" s="8" t="str">
        <f ca="1">IFERROR(__xludf.DUMMYFUNCTION("""COMPUTED_VALUE"""),"No")</f>
        <v>No</v>
      </c>
      <c r="AJ1524" s="8" t="str">
        <f ca="1">IFERROR(__xludf.DUMMYFUNCTION("""COMPUTED_VALUE"""),"No")</f>
        <v>No</v>
      </c>
      <c r="AK1524" s="8" t="str">
        <f ca="1">IFERROR(__xludf.DUMMYFUNCTION("""COMPUTED_VALUE"""),"No")</f>
        <v>No</v>
      </c>
      <c r="AL1524" s="8"/>
      <c r="AM1524" s="8" t="str">
        <f ca="1">IFERROR(__xludf.DUMMYFUNCTION("""COMPUTED_VALUE"""),"No")</f>
        <v>No</v>
      </c>
      <c r="AN1524" s="8"/>
      <c r="AO1524" s="8" t="str">
        <f ca="1">IFERROR(__xludf.DUMMYFUNCTION("""COMPUTED_VALUE"""),"No")</f>
        <v>No</v>
      </c>
      <c r="AP1524" s="8"/>
      <c r="AQ1524" s="8" t="str">
        <f ca="1">IFERROR(__xludf.DUMMYFUNCTION("""COMPUTED_VALUE"""),"Unknown")</f>
        <v>Unknown</v>
      </c>
      <c r="AR1524" s="8" t="str">
        <f ca="1">IFERROR(__xludf.DUMMYFUNCTION("""COMPUTED_VALUE"""),"Outside/Off-Property")</f>
        <v>Outside/Off-Property</v>
      </c>
      <c r="AS1524" s="8">
        <f ca="1">IFERROR(__xludf.DUMMYFUNCTION("""COMPUTED_VALUE"""),10)</f>
        <v>10</v>
      </c>
      <c r="AT1524" s="8" t="str">
        <f ca="1">IFERROR(__xludf.DUMMYFUNCTION("""COMPUTED_VALUE"""),"Yes")</f>
        <v>Yes</v>
      </c>
      <c r="AU1524" s="8">
        <f ca="1">IFERROR(__xludf.DUMMYFUNCTION("""COMPUTED_VALUE"""),30.368714)</f>
        <v>30.368714000000001</v>
      </c>
      <c r="AV1524" s="8">
        <f ca="1">IFERROR(__xludf.DUMMYFUNCTION("""COMPUTED_VALUE"""),-81.710655)</f>
        <v>-81.710655000000003</v>
      </c>
      <c r="AW1524" s="8"/>
      <c r="AX1524" s="8">
        <f ca="1">IFERROR(__xludf.DUMMYFUNCTION("""COMPUTED_VALUE"""),32209)</f>
        <v>32209</v>
      </c>
    </row>
    <row r="1525" spans="1:50" ht="45" x14ac:dyDescent="0.2">
      <c r="A1525" s="8" t="str">
        <f ca="1">IFERROR(__xludf.DUMMYFUNCTION("""COMPUTED_VALUE"""),"20200201TXHIH")</f>
        <v>20200201TXHIH</v>
      </c>
      <c r="B1525" s="8">
        <f ca="1">IFERROR(__xludf.DUMMYFUNCTION("""COMPUTED_VALUE"""),2)</f>
        <v>2</v>
      </c>
      <c r="C1525" s="8">
        <f ca="1">IFERROR(__xludf.DUMMYFUNCTION("""COMPUTED_VALUE"""),1)</f>
        <v>1</v>
      </c>
      <c r="D1525" s="8">
        <f ca="1">IFERROR(__xludf.DUMMYFUNCTION("""COMPUTED_VALUE"""),2020)</f>
        <v>2020</v>
      </c>
      <c r="E1525" s="9">
        <f ca="1">IFERROR(__xludf.DUMMYFUNCTION("""COMPUTED_VALUE"""),43862)</f>
        <v>43862</v>
      </c>
      <c r="F1525" s="8" t="str">
        <f ca="1">IFERROR(__xludf.DUMMYFUNCTION("""COMPUTED_VALUE"""),"Hicks Elementary School")</f>
        <v>Hicks Elementary School</v>
      </c>
      <c r="G1525" s="8">
        <f ca="1">IFERROR(__xludf.DUMMYFUNCTION("""COMPUTED_VALUE"""),0)</f>
        <v>0</v>
      </c>
      <c r="H1525" s="8">
        <f ca="1">IFERROR(__xludf.DUMMYFUNCTION("""COMPUTED_VALUE"""),1)</f>
        <v>1</v>
      </c>
      <c r="I1525" s="8">
        <f ca="1">IFERROR(__xludf.DUMMYFUNCTION("""COMPUTED_VALUE"""),1)</f>
        <v>1</v>
      </c>
      <c r="J1525" s="8">
        <f ca="1">IFERROR(__xludf.DUMMYFUNCTION("""COMPUTED_VALUE"""),0)</f>
        <v>0</v>
      </c>
      <c r="K1525" s="10" t="str">
        <f ca="1">IFERROR(__xludf.DUMMYFUNCTION("""COMPUTED_VALUE"""),"https://abc13.com/shooting-at-hicks-elementary-leaves-man-injured/5897932/")</f>
        <v>https://abc13.com/shooting-at-hicks-elementary-leaves-man-injured/5897932/</v>
      </c>
      <c r="L1525" s="8"/>
      <c r="M1525" s="8"/>
      <c r="N1525" s="8">
        <f ca="1">IFERROR(__xludf.DUMMYFUNCTION("""COMPUTED_VALUE"""),3)</f>
        <v>3</v>
      </c>
      <c r="O1525" s="8" t="str">
        <f ca="1">IFERROR(__xludf.DUMMYFUNCTION("""COMPUTED_VALUE"""),"Winter")</f>
        <v>Winter</v>
      </c>
      <c r="P1525" s="8" t="str">
        <f ca="1">IFERROR(__xludf.DUMMYFUNCTION("""COMPUTED_VALUE"""),"Houston")</f>
        <v>Houston</v>
      </c>
      <c r="Q1525" s="8" t="str">
        <f ca="1">IFERROR(__xludf.DUMMYFUNCTION("""COMPUTED_VALUE"""),"TX")</f>
        <v>TX</v>
      </c>
      <c r="R1525" s="8" t="str">
        <f ca="1">IFERROR(__xludf.DUMMYFUNCTION("""COMPUTED_VALUE"""),"Elementary")</f>
        <v>Elementary</v>
      </c>
      <c r="S1525" s="8" t="str">
        <f ca="1">IFERROR(__xludf.DUMMYFUNCTION("""COMPUTED_VALUE"""),"Outside on School Property")</f>
        <v>Outside on School Property</v>
      </c>
      <c r="T1525" s="8" t="str">
        <f ca="1">IFERROR(__xludf.DUMMYFUNCTION("""COMPUTED_VALUE"""),"Outside on School Property")</f>
        <v>Outside on School Property</v>
      </c>
      <c r="U1525" s="8" t="str">
        <f ca="1">IFERROR(__xludf.DUMMYFUNCTION("""COMPUTED_VALUE"""),"No")</f>
        <v>No</v>
      </c>
      <c r="V1525" s="8" t="str">
        <f ca="1">IFERROR(__xludf.DUMMYFUNCTION("""COMPUTED_VALUE"""),"Not a School Day")</f>
        <v>Not a School Day</v>
      </c>
      <c r="W1525" s="8"/>
      <c r="X1525" s="8">
        <f ca="1">IFERROR(__xludf.DUMMYFUNCTION("""COMPUTED_VALUE"""),1)</f>
        <v>1</v>
      </c>
      <c r="Y1525" s="12" t="str">
        <f ca="1">IFERROR(__xludf.DUMMYFUNCTION("""COMPUTED_VALUE"""),"Adult male shot during robbery at the school")</f>
        <v>Adult male shot during robbery at the school</v>
      </c>
      <c r="Z1525" s="12" t="str">
        <f ca="1">IFERROR(__xludf.DUMMYFUNCTION("""COMPUTED_VALUE"""),"Adult male shot during robbery at the school. He was meeting the shooter to sell a pair of shoes. Shooter fled the area.")</f>
        <v>Adult male shot during robbery at the school. He was meeting the shooter to sell a pair of shoes. Shooter fled the area.</v>
      </c>
      <c r="AA1525" s="8" t="str">
        <f ca="1">IFERROR(__xludf.DUMMYFUNCTION("""COMPUTED_VALUE"""),"Illegal Activity")</f>
        <v>Illegal Activity</v>
      </c>
      <c r="AB1525" s="8"/>
      <c r="AC1525" s="8" t="str">
        <f ca="1">IFERROR(__xludf.DUMMYFUNCTION("""COMPUTED_VALUE"""),"No")</f>
        <v>No</v>
      </c>
      <c r="AD1525" s="8" t="str">
        <f ca="1">IFERROR(__xludf.DUMMYFUNCTION("""COMPUTED_VALUE"""),"Victims Targeted")</f>
        <v>Victims Targeted</v>
      </c>
      <c r="AE1525" s="8"/>
      <c r="AF1525" s="8"/>
      <c r="AG1525" s="8" t="str">
        <f ca="1">IFERROR(__xludf.DUMMYFUNCTION("""COMPUTED_VALUE"""),"No")</f>
        <v>No</v>
      </c>
      <c r="AH1525" s="8" t="str">
        <f ca="1">IFERROR(__xludf.DUMMYFUNCTION("""COMPUTED_VALUE"""),"No")</f>
        <v>No</v>
      </c>
      <c r="AI1525" s="8" t="str">
        <f ca="1">IFERROR(__xludf.DUMMYFUNCTION("""COMPUTED_VALUE"""),"No")</f>
        <v>No</v>
      </c>
      <c r="AJ1525" s="8" t="str">
        <f ca="1">IFERROR(__xludf.DUMMYFUNCTION("""COMPUTED_VALUE"""),"No")</f>
        <v>No</v>
      </c>
      <c r="AK1525" s="8" t="str">
        <f ca="1">IFERROR(__xludf.DUMMYFUNCTION("""COMPUTED_VALUE"""),"No")</f>
        <v>No</v>
      </c>
      <c r="AL1525" s="8" t="str">
        <f ca="1">IFERROR(__xludf.DUMMYFUNCTION("""COMPUTED_VALUE"""),"No")</f>
        <v>No</v>
      </c>
      <c r="AM1525" s="8" t="str">
        <f ca="1">IFERROR(__xludf.DUMMYFUNCTION("""COMPUTED_VALUE"""),"No")</f>
        <v>No</v>
      </c>
      <c r="AN1525" s="8"/>
      <c r="AO1525" s="8" t="str">
        <f ca="1">IFERROR(__xludf.DUMMYFUNCTION("""COMPUTED_VALUE"""),"No")</f>
        <v>No</v>
      </c>
      <c r="AP1525" s="8"/>
      <c r="AQ1525" s="8" t="str">
        <f ca="1">IFERROR(__xludf.DUMMYFUNCTION("""COMPUTED_VALUE"""),"Unknown")</f>
        <v>Unknown</v>
      </c>
      <c r="AR1525" s="8" t="str">
        <f ca="1">IFERROR(__xludf.DUMMYFUNCTION("""COMPUTED_VALUE"""),"Outside/Off-Property")</f>
        <v>Outside/Off-Property</v>
      </c>
      <c r="AS1525" s="8">
        <f ca="1">IFERROR(__xludf.DUMMYFUNCTION("""COMPUTED_VALUE"""),1)</f>
        <v>1</v>
      </c>
      <c r="AT1525" s="8"/>
      <c r="AU1525" s="8">
        <f ca="1">IFERROR(__xludf.DUMMYFUNCTION("""COMPUTED_VALUE"""),29.687262)</f>
        <v>29.687262</v>
      </c>
      <c r="AV1525" s="8">
        <f ca="1">IFERROR(__xludf.DUMMYFUNCTION("""COMPUTED_VALUE"""),-95.628353)</f>
        <v>-95.628353000000004</v>
      </c>
      <c r="AW1525" s="8"/>
      <c r="AX1525" s="8">
        <f ca="1">IFERROR(__xludf.DUMMYFUNCTION("""COMPUTED_VALUE"""),77083)</f>
        <v>77083</v>
      </c>
    </row>
    <row r="1526" spans="1:50" ht="75" x14ac:dyDescent="0.2">
      <c r="A1526" s="8" t="str">
        <f ca="1">IFERROR(__xludf.DUMMYFUNCTION("""COMPUTED_VALUE"""),"20200131CADEA")</f>
        <v>20200131CADEA</v>
      </c>
      <c r="B1526" s="8">
        <f ca="1">IFERROR(__xludf.DUMMYFUNCTION("""COMPUTED_VALUE"""),1)</f>
        <v>1</v>
      </c>
      <c r="C1526" s="8">
        <f ca="1">IFERROR(__xludf.DUMMYFUNCTION("""COMPUTED_VALUE"""),31)</f>
        <v>31</v>
      </c>
      <c r="D1526" s="8">
        <f ca="1">IFERROR(__xludf.DUMMYFUNCTION("""COMPUTED_VALUE"""),2020)</f>
        <v>2020</v>
      </c>
      <c r="E1526" s="9">
        <f ca="1">IFERROR(__xludf.DUMMYFUNCTION("""COMPUTED_VALUE"""),43861)</f>
        <v>43861</v>
      </c>
      <c r="F1526" s="8" t="str">
        <f ca="1">IFERROR(__xludf.DUMMYFUNCTION("""COMPUTED_VALUE"""),"Deer Valley High School")</f>
        <v>Deer Valley High School</v>
      </c>
      <c r="G1526" s="8">
        <f ca="1">IFERROR(__xludf.DUMMYFUNCTION("""COMPUTED_VALUE"""),1)</f>
        <v>1</v>
      </c>
      <c r="H1526" s="8">
        <f ca="1">IFERROR(__xludf.DUMMYFUNCTION("""COMPUTED_VALUE"""),0)</f>
        <v>0</v>
      </c>
      <c r="I1526" s="8">
        <f ca="1">IFERROR(__xludf.DUMMYFUNCTION("""COMPUTED_VALUE"""),1)</f>
        <v>1</v>
      </c>
      <c r="J1526" s="8">
        <f ca="1">IFERROR(__xludf.DUMMYFUNCTION("""COMPUTED_VALUE"""),0)</f>
        <v>0</v>
      </c>
      <c r="K1526" s="8" t="str">
        <f ca="1">IFERROR(__xludf.DUMMYFUNCTION("""COMPUTED_VALUE"""),"https://abc7news.com/antioch-student-fighting-for-his-life-after-shooting-outside-high-school/5897744/ https://abc7news.com/5899287/ https://www.kron4.com/news/bay-area/family-heartbroken-after-teen-killed-in-antioch-shooting/ https://www.eastbaytimes.com"&amp;"/2020/02/14/parents-others-ask-antioch-school-trustees-to-ensure-safety-at-schools/ https://www.nbcbayarea.com/news/local/east-bay/antioch-police-seek-15-year-old-connected-to-deer-valley-high-homicide/2254464/")</f>
        <v>https://abc7news.com/antioch-student-fighting-for-his-life-after-shooting-outside-high-school/5897744/ https://abc7news.com/5899287/ https://www.kron4.com/news/bay-area/family-heartbroken-after-teen-killed-in-antioch-shooting/ https://www.eastbaytimes.com/2020/02/14/parents-others-ask-antioch-school-trustees-to-ensure-safety-at-schools/ https://www.nbcbayarea.com/news/local/east-bay/antioch-police-seek-15-year-old-connected-to-deer-valley-high-homicide/2254464/</v>
      </c>
      <c r="L1526" s="8"/>
      <c r="M1526" s="8"/>
      <c r="N1526" s="8">
        <f ca="1">IFERROR(__xludf.DUMMYFUNCTION("""COMPUTED_VALUE"""),4)</f>
        <v>4</v>
      </c>
      <c r="O1526" s="8" t="str">
        <f ca="1">IFERROR(__xludf.DUMMYFUNCTION("""COMPUTED_VALUE"""),"Winter")</f>
        <v>Winter</v>
      </c>
      <c r="P1526" s="8" t="str">
        <f ca="1">IFERROR(__xludf.DUMMYFUNCTION("""COMPUTED_VALUE"""),"Antioch")</f>
        <v>Antioch</v>
      </c>
      <c r="Q1526" s="8" t="str">
        <f ca="1">IFERROR(__xludf.DUMMYFUNCTION("""COMPUTED_VALUE"""),"CA")</f>
        <v>CA</v>
      </c>
      <c r="R1526" s="8" t="str">
        <f ca="1">IFERROR(__xludf.DUMMYFUNCTION("""COMPUTED_VALUE"""),"High")</f>
        <v>High</v>
      </c>
      <c r="S1526" s="8" t="str">
        <f ca="1">IFERROR(__xludf.DUMMYFUNCTION("""COMPUTED_VALUE"""),"Parking Lot")</f>
        <v>Parking Lot</v>
      </c>
      <c r="T1526" s="8" t="str">
        <f ca="1">IFERROR(__xludf.DUMMYFUNCTION("""COMPUTED_VALUE"""),"Outside on School Property")</f>
        <v>Outside on School Property</v>
      </c>
      <c r="U1526" s="8" t="str">
        <f ca="1">IFERROR(__xludf.DUMMYFUNCTION("""COMPUTED_VALUE"""),"No")</f>
        <v>No</v>
      </c>
      <c r="V1526" s="8" t="str">
        <f ca="1">IFERROR(__xludf.DUMMYFUNCTION("""COMPUTED_VALUE"""),"Sport Event")</f>
        <v>Sport Event</v>
      </c>
      <c r="W1526" s="11">
        <f ca="1">IFERROR(__xludf.DUMMYFUNCTION("""COMPUTED_VALUE"""),0.864583333333333)</f>
        <v>0.86458333333333304</v>
      </c>
      <c r="X1526" s="8">
        <f ca="1">IFERROR(__xludf.DUMMYFUNCTION("""COMPUTED_VALUE"""),1)</f>
        <v>1</v>
      </c>
      <c r="Y1526" s="12" t="str">
        <f ca="1">IFERROR(__xludf.DUMMYFUNCTION("""COMPUTED_VALUE"""),"16YOM student shot during fight outside of school during basketball game")</f>
        <v>16YOM student shot during fight outside of school during basketball game</v>
      </c>
      <c r="Z1526" s="12" t="str">
        <f ca="1">IFERROR(__xludf.DUMMYFUNCTION("""COMPUTED_VALUE"""),"16YOM student shot 3 times and killed during a fight outside of a high school in the parking lot during a basketball game. Police said the fight was not related to the rivalry. Shooter fled the area.")</f>
        <v>16YOM student shot 3 times and killed during a fight outside of a high school in the parking lot during a basketball game. Police said the fight was not related to the rivalry. Shooter fled the area.</v>
      </c>
      <c r="AA1526" s="8" t="str">
        <f ca="1">IFERROR(__xludf.DUMMYFUNCTION("""COMPUTED_VALUE"""),"Escalation of Dispute")</f>
        <v>Escalation of Dispute</v>
      </c>
      <c r="AB1526" s="8"/>
      <c r="AC1526" s="8" t="str">
        <f ca="1">IFERROR(__xludf.DUMMYFUNCTION("""COMPUTED_VALUE"""),"Yes")</f>
        <v>Yes</v>
      </c>
      <c r="AD1526" s="8"/>
      <c r="AE1526" s="8"/>
      <c r="AF1526" s="8"/>
      <c r="AG1526" s="8" t="str">
        <f ca="1">IFERROR(__xludf.DUMMYFUNCTION("""COMPUTED_VALUE"""),"No")</f>
        <v>No</v>
      </c>
      <c r="AH1526" s="8" t="str">
        <f ca="1">IFERROR(__xludf.DUMMYFUNCTION("""COMPUTED_VALUE"""),"No")</f>
        <v>No</v>
      </c>
      <c r="AI1526" s="8" t="str">
        <f ca="1">IFERROR(__xludf.DUMMYFUNCTION("""COMPUTED_VALUE"""),"No")</f>
        <v>No</v>
      </c>
      <c r="AJ1526" s="8" t="str">
        <f ca="1">IFERROR(__xludf.DUMMYFUNCTION("""COMPUTED_VALUE"""),"No")</f>
        <v>No</v>
      </c>
      <c r="AK1526" s="8" t="str">
        <f ca="1">IFERROR(__xludf.DUMMYFUNCTION("""COMPUTED_VALUE"""),"No")</f>
        <v>No</v>
      </c>
      <c r="AL1526" s="8" t="str">
        <f ca="1">IFERROR(__xludf.DUMMYFUNCTION("""COMPUTED_VALUE"""),"No")</f>
        <v>No</v>
      </c>
      <c r="AM1526" s="8" t="str">
        <f ca="1">IFERROR(__xludf.DUMMYFUNCTION("""COMPUTED_VALUE"""),"No")</f>
        <v>No</v>
      </c>
      <c r="AN1526" s="8"/>
      <c r="AO1526" s="8" t="str">
        <f ca="1">IFERROR(__xludf.DUMMYFUNCTION("""COMPUTED_VALUE"""),"No")</f>
        <v>No</v>
      </c>
      <c r="AP1526" s="8"/>
      <c r="AQ1526" s="8" t="str">
        <f ca="1">IFERROR(__xludf.DUMMYFUNCTION("""COMPUTED_VALUE"""),"Unknown")</f>
        <v>Unknown</v>
      </c>
      <c r="AR1526" s="8" t="str">
        <f ca="1">IFERROR(__xludf.DUMMYFUNCTION("""COMPUTED_VALUE"""),"Outside/Off-Property")</f>
        <v>Outside/Off-Property</v>
      </c>
      <c r="AS1526" s="8"/>
      <c r="AT1526" s="8"/>
      <c r="AU1526" s="8">
        <f ca="1">IFERROR(__xludf.DUMMYFUNCTION("""COMPUTED_VALUE"""),37.963565)</f>
        <v>37.963565000000003</v>
      </c>
      <c r="AV1526" s="8">
        <f ca="1">IFERROR(__xludf.DUMMYFUNCTION("""COMPUTED_VALUE"""),-121.775547)</f>
        <v>-121.775547</v>
      </c>
      <c r="AW1526" s="8"/>
      <c r="AX1526" s="8">
        <f ca="1">IFERROR(__xludf.DUMMYFUNCTION("""COMPUTED_VALUE"""),94531)</f>
        <v>94531</v>
      </c>
    </row>
    <row r="1527" spans="1:50" ht="105" x14ac:dyDescent="0.2">
      <c r="A1527" s="8" t="str">
        <f ca="1">IFERROR(__xludf.DUMMYFUNCTION("""COMPUTED_VALUE"""),"20200128TXLUL")</f>
        <v>20200128TXLUL</v>
      </c>
      <c r="B1527" s="8">
        <f ca="1">IFERROR(__xludf.DUMMYFUNCTION("""COMPUTED_VALUE"""),1)</f>
        <v>1</v>
      </c>
      <c r="C1527" s="8">
        <f ca="1">IFERROR(__xludf.DUMMYFUNCTION("""COMPUTED_VALUE"""),28)</f>
        <v>28</v>
      </c>
      <c r="D1527" s="8">
        <f ca="1">IFERROR(__xludf.DUMMYFUNCTION("""COMPUTED_VALUE"""),2020)</f>
        <v>2020</v>
      </c>
      <c r="E1527" s="9">
        <f ca="1">IFERROR(__xludf.DUMMYFUNCTION("""COMPUTED_VALUE"""),43858)</f>
        <v>43858</v>
      </c>
      <c r="F1527" s="8" t="str">
        <f ca="1">IFERROR(__xludf.DUMMYFUNCTION("""COMPUTED_VALUE"""),"Lufkin Middle School")</f>
        <v>Lufkin Middle School</v>
      </c>
      <c r="G1527" s="8">
        <f ca="1">IFERROR(__xludf.DUMMYFUNCTION("""COMPUTED_VALUE"""),0)</f>
        <v>0</v>
      </c>
      <c r="H1527" s="8">
        <f ca="1">IFERROR(__xludf.DUMMYFUNCTION("""COMPUTED_VALUE"""),1)</f>
        <v>1</v>
      </c>
      <c r="I1527" s="8">
        <f ca="1">IFERROR(__xludf.DUMMYFUNCTION("""COMPUTED_VALUE"""),1)</f>
        <v>1</v>
      </c>
      <c r="J1527" s="8">
        <f ca="1">IFERROR(__xludf.DUMMYFUNCTION("""COMPUTED_VALUE"""),0)</f>
        <v>0</v>
      </c>
      <c r="K1527" s="8" t="str">
        <f ca="1">IFERROR(__xludf.DUMMYFUNCTION("""COMPUTED_VALUE"""),"https://www.cbs19.tv/article/news/local/lufkin-police-searching-for-2-suspects-in-shooting-investigation/501-e0d443bd-ae32-4dcd-81ef-479743b75e67 https://www.ktre.com/2020/01/29/lufkin-police-identify-victim-shooting-outside-middle-school/ https://www.ktr"&amp;"e.com/2020/03/03/white-gloves-revolver-lead-attempted-murder-charge-shooting-near-lufkin-school/")</f>
        <v>https://www.cbs19.tv/article/news/local/lufkin-police-searching-for-2-suspects-in-shooting-investigation/501-e0d443bd-ae32-4dcd-81ef-479743b75e67 https://www.ktre.com/2020/01/29/lufkin-police-identify-victim-shooting-outside-middle-school/ https://www.ktre.com/2020/03/03/white-gloves-revolver-lead-attempted-murder-charge-shooting-near-lufkin-school/</v>
      </c>
      <c r="L1527" s="8"/>
      <c r="M1527" s="8"/>
      <c r="N1527" s="8">
        <f ca="1">IFERROR(__xludf.DUMMYFUNCTION("""COMPUTED_VALUE"""),4)</f>
        <v>4</v>
      </c>
      <c r="O1527" s="8" t="str">
        <f ca="1">IFERROR(__xludf.DUMMYFUNCTION("""COMPUTED_VALUE"""),"Winter")</f>
        <v>Winter</v>
      </c>
      <c r="P1527" s="8" t="str">
        <f ca="1">IFERROR(__xludf.DUMMYFUNCTION("""COMPUTED_VALUE"""),"Lufkin")</f>
        <v>Lufkin</v>
      </c>
      <c r="Q1527" s="8" t="str">
        <f ca="1">IFERROR(__xludf.DUMMYFUNCTION("""COMPUTED_VALUE"""),"TX")</f>
        <v>TX</v>
      </c>
      <c r="R1527" s="8" t="str">
        <f ca="1">IFERROR(__xludf.DUMMYFUNCTION("""COMPUTED_VALUE"""),"High")</f>
        <v>High</v>
      </c>
      <c r="S1527" s="8" t="str">
        <f ca="1">IFERROR(__xludf.DUMMYFUNCTION("""COMPUTED_VALUE"""),"Front of School")</f>
        <v>Front of School</v>
      </c>
      <c r="T1527" s="8" t="str">
        <f ca="1">IFERROR(__xludf.DUMMYFUNCTION("""COMPUTED_VALUE"""),"Outside on School Property")</f>
        <v>Outside on School Property</v>
      </c>
      <c r="U1527" s="8" t="str">
        <f ca="1">IFERROR(__xludf.DUMMYFUNCTION("""COMPUTED_VALUE"""),"No")</f>
        <v>No</v>
      </c>
      <c r="V1527" s="8" t="str">
        <f ca="1">IFERROR(__xludf.DUMMYFUNCTION("""COMPUTED_VALUE"""),"Sport Event")</f>
        <v>Sport Event</v>
      </c>
      <c r="W1527" s="11">
        <f ca="1">IFERROR(__xludf.DUMMYFUNCTION("""COMPUTED_VALUE"""),0.854166666666666)</f>
        <v>0.85416666666666596</v>
      </c>
      <c r="X1527" s="8">
        <f ca="1">IFERROR(__xludf.DUMMYFUNCTION("""COMPUTED_VALUE"""),1)</f>
        <v>1</v>
      </c>
      <c r="Y1527" s="12" t="str">
        <f ca="1">IFERROR(__xludf.DUMMYFUNCTION("""COMPUTED_VALUE"""),"17YOM student shot by two suspects in front of school during basketball game")</f>
        <v>17YOM student shot by two suspects in front of school during basketball game</v>
      </c>
      <c r="Z1527" s="12" t="str">
        <f ca="1">IFERROR(__xludf.DUMMYFUNCTION("""COMPUTED_VALUE"""),"Police officers assigned to the high school basketball game heard gunshots and found a 17YOM student shot in front of the school. Victim was seen talking to 2 unidentified males prior to the shooting who fled the area. Police said the shooting was not rel"&amp;"ated to the rivalry basketball game. Shooter and victim were members of rival gang. Agreed to meet in front of school for fight when the shooting occured.")</f>
        <v>Police officers assigned to the high school basketball game heard gunshots and found a 17YOM student shot in front of the school. Victim was seen talking to 2 unidentified males prior to the shooting who fled the area. Police said the shooting was not related to the rivalry basketball game. Shooter and victim were members of rival gang. Agreed to meet in front of school for fight when the shooting occured.</v>
      </c>
      <c r="AA1527" s="8" t="str">
        <f ca="1">IFERROR(__xludf.DUMMYFUNCTION("""COMPUTED_VALUE"""),"Escalation of Dispute")</f>
        <v>Escalation of Dispute</v>
      </c>
      <c r="AB1527" s="8"/>
      <c r="AC1527" s="8" t="str">
        <f ca="1">IFERROR(__xludf.DUMMYFUNCTION("""COMPUTED_VALUE"""),"Yes")</f>
        <v>Yes</v>
      </c>
      <c r="AD1527" s="8" t="str">
        <f ca="1">IFERROR(__xludf.DUMMYFUNCTION("""COMPUTED_VALUE"""),"Victims Targeted")</f>
        <v>Victims Targeted</v>
      </c>
      <c r="AE1527" s="8" t="str">
        <f ca="1">IFERROR(__xludf.DUMMYFUNCTION("""COMPUTED_VALUE"""),"Yes")</f>
        <v>Yes</v>
      </c>
      <c r="AF1527" s="8" t="str">
        <f ca="1">IFERROR(__xludf.DUMMYFUNCTION("""COMPUTED_VALUE"""),"2 men fled area")</f>
        <v>2 men fled area</v>
      </c>
      <c r="AG1527" s="8" t="str">
        <f ca="1">IFERROR(__xludf.DUMMYFUNCTION("""COMPUTED_VALUE"""),"No")</f>
        <v>No</v>
      </c>
      <c r="AH1527" s="8" t="str">
        <f ca="1">IFERROR(__xludf.DUMMYFUNCTION("""COMPUTED_VALUE"""),"No")</f>
        <v>No</v>
      </c>
      <c r="AI1527" s="8" t="str">
        <f ca="1">IFERROR(__xludf.DUMMYFUNCTION("""COMPUTED_VALUE"""),"No")</f>
        <v>No</v>
      </c>
      <c r="AJ1527" s="8" t="str">
        <f ca="1">IFERROR(__xludf.DUMMYFUNCTION("""COMPUTED_VALUE"""),"No")</f>
        <v>No</v>
      </c>
      <c r="AK1527" s="8" t="str">
        <f ca="1">IFERROR(__xludf.DUMMYFUNCTION("""COMPUTED_VALUE"""),"No")</f>
        <v>No</v>
      </c>
      <c r="AL1527" s="8" t="str">
        <f ca="1">IFERROR(__xludf.DUMMYFUNCTION("""COMPUTED_VALUE"""),"Yes")</f>
        <v>Yes</v>
      </c>
      <c r="AM1527" s="8" t="str">
        <f ca="1">IFERROR(__xludf.DUMMYFUNCTION("""COMPUTED_VALUE"""),"No")</f>
        <v>No</v>
      </c>
      <c r="AN1527" s="8"/>
      <c r="AO1527" s="8" t="str">
        <f ca="1">IFERROR(__xludf.DUMMYFUNCTION("""COMPUTED_VALUE"""),"No")</f>
        <v>No</v>
      </c>
      <c r="AP1527" s="8" t="str">
        <f ca="1">IFERROR(__xludf.DUMMYFUNCTION("""COMPUTED_VALUE"""),"Yes")</f>
        <v>Yes</v>
      </c>
      <c r="AQ1527" s="8" t="str">
        <f ca="1">IFERROR(__xludf.DUMMYFUNCTION("""COMPUTED_VALUE"""),"Unknown")</f>
        <v>Unknown</v>
      </c>
      <c r="AR1527" s="8" t="str">
        <f ca="1">IFERROR(__xludf.DUMMYFUNCTION("""COMPUTED_VALUE"""),"Outside/Off-Property")</f>
        <v>Outside/Off-Property</v>
      </c>
      <c r="AS1527" s="8" t="str">
        <f ca="1">IFERROR(__xludf.DUMMYFUNCTION("""COMPUTED_VALUE"""),"&lt;10")</f>
        <v>&lt;10</v>
      </c>
      <c r="AT1527" s="8"/>
      <c r="AU1527" s="8">
        <f ca="1">IFERROR(__xludf.DUMMYFUNCTION("""COMPUTED_VALUE"""),31.32739)</f>
        <v>31.327390000000001</v>
      </c>
      <c r="AV1527" s="8">
        <f ca="1">IFERROR(__xludf.DUMMYFUNCTION("""COMPUTED_VALUE"""),-94.721591)</f>
        <v>-94.721591000000004</v>
      </c>
      <c r="AW1527" s="8"/>
      <c r="AX1527" s="8">
        <f ca="1">IFERROR(__xludf.DUMMYFUNCTION("""COMPUTED_VALUE"""),75901)</f>
        <v>75901</v>
      </c>
    </row>
    <row r="1528" spans="1:50" ht="75" x14ac:dyDescent="0.2">
      <c r="A1528" s="8" t="str">
        <f ca="1">IFERROR(__xludf.DUMMYFUNCTION("""COMPUTED_VALUE"""),"20200128TNWHM")</f>
        <v>20200128TNWHM</v>
      </c>
      <c r="B1528" s="8">
        <f ca="1">IFERROR(__xludf.DUMMYFUNCTION("""COMPUTED_VALUE"""),1)</f>
        <v>1</v>
      </c>
      <c r="C1528" s="8">
        <f ca="1">IFERROR(__xludf.DUMMYFUNCTION("""COMPUTED_VALUE"""),28)</f>
        <v>28</v>
      </c>
      <c r="D1528" s="8">
        <f ca="1">IFERROR(__xludf.DUMMYFUNCTION("""COMPUTED_VALUE"""),2020)</f>
        <v>2020</v>
      </c>
      <c r="E1528" s="9">
        <f ca="1">IFERROR(__xludf.DUMMYFUNCTION("""COMPUTED_VALUE"""),43858)</f>
        <v>43858</v>
      </c>
      <c r="F1528" s="8" t="str">
        <f ca="1">IFERROR(__xludf.DUMMYFUNCTION("""COMPUTED_VALUE"""),"White Station High School")</f>
        <v>White Station High School</v>
      </c>
      <c r="G1528" s="8">
        <f ca="1">IFERROR(__xludf.DUMMYFUNCTION("""COMPUTED_VALUE"""),0)</f>
        <v>0</v>
      </c>
      <c r="H1528" s="8">
        <f ca="1">IFERROR(__xludf.DUMMYFUNCTION("""COMPUTED_VALUE"""),1)</f>
        <v>1</v>
      </c>
      <c r="I1528" s="8">
        <f ca="1">IFERROR(__xludf.DUMMYFUNCTION("""COMPUTED_VALUE"""),1)</f>
        <v>1</v>
      </c>
      <c r="J1528" s="8">
        <f ca="1">IFERROR(__xludf.DUMMYFUNCTION("""COMPUTED_VALUE"""),0)</f>
        <v>0</v>
      </c>
      <c r="K1528" s="8" t="str">
        <f ca="1">IFERROR(__xludf.DUMMYFUNCTION("""COMPUTED_VALUE"""),"https://wreg.com/2020/01/31/police-release-photos-of-suspects-vehicle-after-shooting-outside-white-station-high-school/ https://www.wmcactionnews5.com/2020/01/31/police-investigating-shooting-near-white-station-high-school/")</f>
        <v>https://wreg.com/2020/01/31/police-release-photos-of-suspects-vehicle-after-shooting-outside-white-station-high-school/ https://www.wmcactionnews5.com/2020/01/31/police-investigating-shooting-near-white-station-high-school/</v>
      </c>
      <c r="L1528" s="8"/>
      <c r="M1528" s="8"/>
      <c r="N1528" s="8">
        <f ca="1">IFERROR(__xludf.DUMMYFUNCTION("""COMPUTED_VALUE"""),4)</f>
        <v>4</v>
      </c>
      <c r="O1528" s="8" t="str">
        <f ca="1">IFERROR(__xludf.DUMMYFUNCTION("""COMPUTED_VALUE"""),"Winter")</f>
        <v>Winter</v>
      </c>
      <c r="P1528" s="8" t="str">
        <f ca="1">IFERROR(__xludf.DUMMYFUNCTION("""COMPUTED_VALUE"""),"Memphis")</f>
        <v>Memphis</v>
      </c>
      <c r="Q1528" s="8" t="str">
        <f ca="1">IFERROR(__xludf.DUMMYFUNCTION("""COMPUTED_VALUE"""),"TN")</f>
        <v>TN</v>
      </c>
      <c r="R1528" s="8" t="str">
        <f ca="1">IFERROR(__xludf.DUMMYFUNCTION("""COMPUTED_VALUE"""),"High")</f>
        <v>High</v>
      </c>
      <c r="S1528" s="8" t="str">
        <f ca="1">IFERROR(__xludf.DUMMYFUNCTION("""COMPUTED_VALUE"""),"Parking Lot")</f>
        <v>Parking Lot</v>
      </c>
      <c r="T1528" s="8" t="str">
        <f ca="1">IFERROR(__xludf.DUMMYFUNCTION("""COMPUTED_VALUE"""),"Outside on School Property")</f>
        <v>Outside on School Property</v>
      </c>
      <c r="U1528" s="8" t="str">
        <f ca="1">IFERROR(__xludf.DUMMYFUNCTION("""COMPUTED_VALUE"""),"No")</f>
        <v>No</v>
      </c>
      <c r="V1528" s="8" t="str">
        <f ca="1">IFERROR(__xludf.DUMMYFUNCTION("""COMPUTED_VALUE"""),"Evening")</f>
        <v>Evening</v>
      </c>
      <c r="W1528" s="8"/>
      <c r="X1528" s="8">
        <f ca="1">IFERROR(__xludf.DUMMYFUNCTION("""COMPUTED_VALUE"""),1)</f>
        <v>1</v>
      </c>
      <c r="Y1528" s="12" t="str">
        <f ca="1">IFERROR(__xludf.DUMMYFUNCTION("""COMPUTED_VALUE"""),"18YPM fired shots from vehicle following argument in school parking lot")</f>
        <v>18YPM fired shots from vehicle following argument in school parking lot</v>
      </c>
      <c r="Z1528" s="12" t="str">
        <f ca="1">IFERROR(__xludf.DUMMYFUNCTION("""COMPUTED_VALUE"""),"18YOM fired 5 shots from vehicle following an argument in the school parking lot. Shots struck 2 other vehicles and an adult male victim was cut by broken glass. Police have not identified the 18YOM shooter who fled the scene in a vehicle.")</f>
        <v>18YOM fired 5 shots from vehicle following an argument in the school parking lot. Shots struck 2 other vehicles and an adult male victim was cut by broken glass. Police have not identified the 18YOM shooter who fled the scene in a vehicle.</v>
      </c>
      <c r="AA1528" s="8" t="str">
        <f ca="1">IFERROR(__xludf.DUMMYFUNCTION("""COMPUTED_VALUE"""),"Drive-by Shooting")</f>
        <v>Drive-by Shooting</v>
      </c>
      <c r="AB1528" s="8"/>
      <c r="AC1528" s="8" t="str">
        <f ca="1">IFERROR(__xludf.DUMMYFUNCTION("""COMPUTED_VALUE"""),"No")</f>
        <v>No</v>
      </c>
      <c r="AD1528" s="8" t="str">
        <f ca="1">IFERROR(__xludf.DUMMYFUNCTION("""COMPUTED_VALUE"""),"Both")</f>
        <v>Both</v>
      </c>
      <c r="AE1528" s="8"/>
      <c r="AF1528" s="8" t="str">
        <f ca="1">IFERROR(__xludf.DUMMYFUNCTION("""COMPUTED_VALUE"""),"1 female in vehicle with shooter")</f>
        <v>1 female in vehicle with shooter</v>
      </c>
      <c r="AG1528" s="8" t="str">
        <f ca="1">IFERROR(__xludf.DUMMYFUNCTION("""COMPUTED_VALUE"""),"No")</f>
        <v>No</v>
      </c>
      <c r="AH1528" s="8" t="str">
        <f ca="1">IFERROR(__xludf.DUMMYFUNCTION("""COMPUTED_VALUE"""),"No")</f>
        <v>No</v>
      </c>
      <c r="AI1528" s="8" t="str">
        <f ca="1">IFERROR(__xludf.DUMMYFUNCTION("""COMPUTED_VALUE"""),"No")</f>
        <v>No</v>
      </c>
      <c r="AJ1528" s="8" t="str">
        <f ca="1">IFERROR(__xludf.DUMMYFUNCTION("""COMPUTED_VALUE"""),"No")</f>
        <v>No</v>
      </c>
      <c r="AK1528" s="8" t="str">
        <f ca="1">IFERROR(__xludf.DUMMYFUNCTION("""COMPUTED_VALUE"""),"No")</f>
        <v>No</v>
      </c>
      <c r="AL1528" s="8" t="str">
        <f ca="1">IFERROR(__xludf.DUMMYFUNCTION("""COMPUTED_VALUE"""),"No")</f>
        <v>No</v>
      </c>
      <c r="AM1528" s="8" t="str">
        <f ca="1">IFERROR(__xludf.DUMMYFUNCTION("""COMPUTED_VALUE"""),"No")</f>
        <v>No</v>
      </c>
      <c r="AN1528" s="8"/>
      <c r="AO1528" s="8" t="str">
        <f ca="1">IFERROR(__xludf.DUMMYFUNCTION("""COMPUTED_VALUE"""),"No")</f>
        <v>No</v>
      </c>
      <c r="AP1528" s="8"/>
      <c r="AQ1528" s="8" t="str">
        <f ca="1">IFERROR(__xludf.DUMMYFUNCTION("""COMPUTED_VALUE"""),"Unknown")</f>
        <v>Unknown</v>
      </c>
      <c r="AR1528" s="8" t="str">
        <f ca="1">IFERROR(__xludf.DUMMYFUNCTION("""COMPUTED_VALUE"""),"Outside/Off-Property")</f>
        <v>Outside/Off-Property</v>
      </c>
      <c r="AS1528" s="8">
        <f ca="1">IFERROR(__xludf.DUMMYFUNCTION("""COMPUTED_VALUE"""),5)</f>
        <v>5</v>
      </c>
      <c r="AT1528" s="8"/>
      <c r="AU1528" s="8">
        <f ca="1">IFERROR(__xludf.DUMMYFUNCTION("""COMPUTED_VALUE"""),35.118357)</f>
        <v>35.118357000000003</v>
      </c>
      <c r="AV1528" s="8">
        <f ca="1">IFERROR(__xludf.DUMMYFUNCTION("""COMPUTED_VALUE"""),-89.905797)</f>
        <v>-89.905797000000007</v>
      </c>
      <c r="AW1528" s="8"/>
      <c r="AX1528" s="8">
        <f ca="1">IFERROR(__xludf.DUMMYFUNCTION("""COMPUTED_VALUE"""),38117)</f>
        <v>38117</v>
      </c>
    </row>
    <row r="1529" spans="1:50" ht="60" x14ac:dyDescent="0.2">
      <c r="A1529" s="8" t="str">
        <f ca="1">IFERROR(__xludf.DUMMYFUNCTION("""COMPUTED_VALUE"""),"20200128NYMAQ")</f>
        <v>20200128NYMAQ</v>
      </c>
      <c r="B1529" s="8">
        <f ca="1">IFERROR(__xludf.DUMMYFUNCTION("""COMPUTED_VALUE"""),1)</f>
        <v>1</v>
      </c>
      <c r="C1529" s="8">
        <f ca="1">IFERROR(__xludf.DUMMYFUNCTION("""COMPUTED_VALUE"""),28)</f>
        <v>28</v>
      </c>
      <c r="D1529" s="8">
        <f ca="1">IFERROR(__xludf.DUMMYFUNCTION("""COMPUTED_VALUE"""),2020)</f>
        <v>2020</v>
      </c>
      <c r="E1529" s="9">
        <f ca="1">IFERROR(__xludf.DUMMYFUNCTION("""COMPUTED_VALUE"""),43858)</f>
        <v>43858</v>
      </c>
      <c r="F1529" s="8" t="str">
        <f ca="1">IFERROR(__xludf.DUMMYFUNCTION("""COMPUTED_VALUE"""),"Martin Van Buren High School")</f>
        <v>Martin Van Buren High School</v>
      </c>
      <c r="G1529" s="8">
        <f ca="1">IFERROR(__xludf.DUMMYFUNCTION("""COMPUTED_VALUE"""),0)</f>
        <v>0</v>
      </c>
      <c r="H1529" s="8">
        <f ca="1">IFERROR(__xludf.DUMMYFUNCTION("""COMPUTED_VALUE"""),0)</f>
        <v>0</v>
      </c>
      <c r="I1529" s="8">
        <f ca="1">IFERROR(__xludf.DUMMYFUNCTION("""COMPUTED_VALUE"""),0)</f>
        <v>0</v>
      </c>
      <c r="J1529" s="8">
        <f ca="1">IFERROR(__xludf.DUMMYFUNCTION("""COMPUTED_VALUE"""),0)</f>
        <v>0</v>
      </c>
      <c r="K1529" s="8" t="str">
        <f ca="1">IFERROR(__xludf.DUMMYFUNCTION("""COMPUTED_VALUE"""),"https://www.amny.com/police-fire/teen-accidentally-shoots-self-outside-queens-high-school-campus-cops/ https://1010wins.radio.com/articles/teen-shot-outside-queens-high-school-police-seek-3")</f>
        <v>https://www.amny.com/police-fire/teen-accidentally-shoots-self-outside-queens-high-school-campus-cops/ https://1010wins.radio.com/articles/teen-shot-outside-queens-high-school-police-seek-3</v>
      </c>
      <c r="L1529" s="8"/>
      <c r="M1529" s="8"/>
      <c r="N1529" s="8">
        <f ca="1">IFERROR(__xludf.DUMMYFUNCTION("""COMPUTED_VALUE"""),4)</f>
        <v>4</v>
      </c>
      <c r="O1529" s="8" t="str">
        <f ca="1">IFERROR(__xludf.DUMMYFUNCTION("""COMPUTED_VALUE"""),"Winter")</f>
        <v>Winter</v>
      </c>
      <c r="P1529" s="8" t="str">
        <f ca="1">IFERROR(__xludf.DUMMYFUNCTION("""COMPUTED_VALUE"""),"Queens")</f>
        <v>Queens</v>
      </c>
      <c r="Q1529" s="8" t="str">
        <f ca="1">IFERROR(__xludf.DUMMYFUNCTION("""COMPUTED_VALUE"""),"NY")</f>
        <v>NY</v>
      </c>
      <c r="R1529" s="8" t="str">
        <f ca="1">IFERROR(__xludf.DUMMYFUNCTION("""COMPUTED_VALUE"""),"High")</f>
        <v>High</v>
      </c>
      <c r="S1529" s="8" t="str">
        <f ca="1">IFERROR(__xludf.DUMMYFUNCTION("""COMPUTED_VALUE"""),"Beside Building")</f>
        <v>Beside Building</v>
      </c>
      <c r="T1529" s="8" t="str">
        <f ca="1">IFERROR(__xludf.DUMMYFUNCTION("""COMPUTED_VALUE"""),"Outside on School Property")</f>
        <v>Outside on School Property</v>
      </c>
      <c r="U1529" s="8" t="str">
        <f ca="1">IFERROR(__xludf.DUMMYFUNCTION("""COMPUTED_VALUE"""),"Yes")</f>
        <v>Yes</v>
      </c>
      <c r="V1529" s="8" t="str">
        <f ca="1">IFERROR(__xludf.DUMMYFUNCTION("""COMPUTED_VALUE"""),"Dismissal")</f>
        <v>Dismissal</v>
      </c>
      <c r="W1529" s="11">
        <f ca="1">IFERROR(__xludf.DUMMYFUNCTION("""COMPUTED_VALUE"""),0.614583333333333)</f>
        <v>0.61458333333333304</v>
      </c>
      <c r="X1529" s="8">
        <f ca="1">IFERROR(__xludf.DUMMYFUNCTION("""COMPUTED_VALUE"""),1)</f>
        <v>1</v>
      </c>
      <c r="Y1529" s="12" t="str">
        <f ca="1">IFERROR(__xludf.DUMMYFUNCTION("""COMPUTED_VALUE"""),"Student accidentally shot self during fight outside of school")</f>
        <v>Student accidentally shot self during fight outside of school</v>
      </c>
      <c r="Z1529" s="12" t="str">
        <f ca="1">IFERROR(__xludf.DUMMYFUNCTION("""COMPUTED_VALUE"""),"16YOM student accidentally shot himself in the leg during a fight outside of the school. Other students involved in the fight fled the area. Student was taken to the hospital. School locked down.")</f>
        <v>16YOM student accidentally shot himself in the leg during a fight outside of the school. Other students involved in the fight fled the area. Student was taken to the hospital. School locked down.</v>
      </c>
      <c r="AA1529" s="8" t="str">
        <f ca="1">IFERROR(__xludf.DUMMYFUNCTION("""COMPUTED_VALUE"""),"Escalation of Dispute")</f>
        <v>Escalation of Dispute</v>
      </c>
      <c r="AB1529" s="8"/>
      <c r="AC1529" s="8" t="str">
        <f ca="1">IFERROR(__xludf.DUMMYFUNCTION("""COMPUTED_VALUE"""),"Yes")</f>
        <v>Yes</v>
      </c>
      <c r="AD1529" s="8"/>
      <c r="AE1529" s="8" t="str">
        <f ca="1">IFERROR(__xludf.DUMMYFUNCTION("""COMPUTED_VALUE"""),"No")</f>
        <v>No</v>
      </c>
      <c r="AF1529" s="8"/>
      <c r="AG1529" s="8" t="str">
        <f ca="1">IFERROR(__xludf.DUMMYFUNCTION("""COMPUTED_VALUE"""),"No")</f>
        <v>No</v>
      </c>
      <c r="AH1529" s="8" t="str">
        <f ca="1">IFERROR(__xludf.DUMMYFUNCTION("""COMPUTED_VALUE"""),"No")</f>
        <v>No</v>
      </c>
      <c r="AI1529" s="8" t="str">
        <f ca="1">IFERROR(__xludf.DUMMYFUNCTION("""COMPUTED_VALUE"""),"No")</f>
        <v>No</v>
      </c>
      <c r="AJ1529" s="8" t="str">
        <f ca="1">IFERROR(__xludf.DUMMYFUNCTION("""COMPUTED_VALUE"""),"No")</f>
        <v>No</v>
      </c>
      <c r="AK1529" s="8" t="str">
        <f ca="1">IFERROR(__xludf.DUMMYFUNCTION("""COMPUTED_VALUE"""),"No")</f>
        <v>No</v>
      </c>
      <c r="AL1529" s="8" t="str">
        <f ca="1">IFERROR(__xludf.DUMMYFUNCTION("""COMPUTED_VALUE"""),"No")</f>
        <v>No</v>
      </c>
      <c r="AM1529" s="8" t="str">
        <f ca="1">IFERROR(__xludf.DUMMYFUNCTION("""COMPUTED_VALUE"""),"No")</f>
        <v>No</v>
      </c>
      <c r="AN1529" s="8"/>
      <c r="AO1529" s="8" t="str">
        <f ca="1">IFERROR(__xludf.DUMMYFUNCTION("""COMPUTED_VALUE"""),"No")</f>
        <v>No</v>
      </c>
      <c r="AP1529" s="8"/>
      <c r="AQ1529" s="8" t="str">
        <f ca="1">IFERROR(__xludf.DUMMYFUNCTION("""COMPUTED_VALUE"""),"Unknown")</f>
        <v>Unknown</v>
      </c>
      <c r="AR1529" s="8" t="str">
        <f ca="1">IFERROR(__xludf.DUMMYFUNCTION("""COMPUTED_VALUE"""),"NA")</f>
        <v>NA</v>
      </c>
      <c r="AS1529" s="8">
        <f ca="1">IFERROR(__xludf.DUMMYFUNCTION("""COMPUTED_VALUE"""),1)</f>
        <v>1</v>
      </c>
      <c r="AT1529" s="8" t="str">
        <f ca="1">IFERROR(__xludf.DUMMYFUNCTION("""COMPUTED_VALUE"""),"Yes")</f>
        <v>Yes</v>
      </c>
      <c r="AU1529" s="8">
        <f ca="1">IFERROR(__xludf.DUMMYFUNCTION("""COMPUTED_VALUE"""),40.733517)</f>
        <v>40.733516999999999</v>
      </c>
      <c r="AV1529" s="8">
        <f ca="1">IFERROR(__xludf.DUMMYFUNCTION("""COMPUTED_VALUE"""),-73.739337)</f>
        <v>-73.739337000000006</v>
      </c>
      <c r="AW1529" s="8"/>
      <c r="AX1529" s="8">
        <f ca="1">IFERROR(__xludf.DUMMYFUNCTION("""COMPUTED_VALUE"""),11040)</f>
        <v>11040</v>
      </c>
    </row>
    <row r="1530" spans="1:50" ht="135" x14ac:dyDescent="0.2">
      <c r="A1530" s="8" t="str">
        <f ca="1">IFERROR(__xludf.DUMMYFUNCTION("""COMPUTED_VALUE"""),"20200127WAROY")</f>
        <v>20200127WAROY</v>
      </c>
      <c r="B1530" s="8">
        <f ca="1">IFERROR(__xludf.DUMMYFUNCTION("""COMPUTED_VALUE"""),1)</f>
        <v>1</v>
      </c>
      <c r="C1530" s="8">
        <f ca="1">IFERROR(__xludf.DUMMYFUNCTION("""COMPUTED_VALUE"""),27)</f>
        <v>27</v>
      </c>
      <c r="D1530" s="8">
        <f ca="1">IFERROR(__xludf.DUMMYFUNCTION("""COMPUTED_VALUE"""),2020)</f>
        <v>2020</v>
      </c>
      <c r="E1530" s="9">
        <f ca="1">IFERROR(__xludf.DUMMYFUNCTION("""COMPUTED_VALUE"""),43857)</f>
        <v>43857</v>
      </c>
      <c r="F1530" s="8" t="str">
        <f ca="1">IFERROR(__xludf.DUMMYFUNCTION("""COMPUTED_VALUE"""),"Robertson Elementary School")</f>
        <v>Robertson Elementary School</v>
      </c>
      <c r="G1530" s="8">
        <f ca="1">IFERROR(__xludf.DUMMYFUNCTION("""COMPUTED_VALUE"""),0)</f>
        <v>0</v>
      </c>
      <c r="H1530" s="8">
        <f ca="1">IFERROR(__xludf.DUMMYFUNCTION("""COMPUTED_VALUE"""),0)</f>
        <v>0</v>
      </c>
      <c r="I1530" s="8">
        <f ca="1">IFERROR(__xludf.DUMMYFUNCTION("""COMPUTED_VALUE"""),0)</f>
        <v>0</v>
      </c>
      <c r="J1530" s="8">
        <f ca="1">IFERROR(__xludf.DUMMYFUNCTION("""COMPUTED_VALUE"""),0)</f>
        <v>0</v>
      </c>
      <c r="K1530" s="10" t="str">
        <f ca="1">IFERROR(__xludf.DUMMYFUNCTION("""COMPUTED_VALUE"""),"https://kimatv.com/news/local/police-yakima-teen-arrested-for-threatening-woman-girl-at-and-elementary-school")</f>
        <v>https://kimatv.com/news/local/police-yakima-teen-arrested-for-threatening-woman-girl-at-and-elementary-school</v>
      </c>
      <c r="L1530" s="8"/>
      <c r="M1530" s="8"/>
      <c r="N1530" s="8">
        <f ca="1">IFERROR(__xludf.DUMMYFUNCTION("""COMPUTED_VALUE"""),4)</f>
        <v>4</v>
      </c>
      <c r="O1530" s="8" t="str">
        <f ca="1">IFERROR(__xludf.DUMMYFUNCTION("""COMPUTED_VALUE"""),"Winter")</f>
        <v>Winter</v>
      </c>
      <c r="P1530" s="8" t="str">
        <f ca="1">IFERROR(__xludf.DUMMYFUNCTION("""COMPUTED_VALUE"""),"Yakima")</f>
        <v>Yakima</v>
      </c>
      <c r="Q1530" s="8" t="str">
        <f ca="1">IFERROR(__xludf.DUMMYFUNCTION("""COMPUTED_VALUE"""),"WA")</f>
        <v>WA</v>
      </c>
      <c r="R1530" s="8" t="str">
        <f ca="1">IFERROR(__xludf.DUMMYFUNCTION("""COMPUTED_VALUE"""),"Elementary")</f>
        <v>Elementary</v>
      </c>
      <c r="S1530" s="8" t="str">
        <f ca="1">IFERROR(__xludf.DUMMYFUNCTION("""COMPUTED_VALUE"""),"Playground")</f>
        <v>Playground</v>
      </c>
      <c r="T1530" s="8" t="str">
        <f ca="1">IFERROR(__xludf.DUMMYFUNCTION("""COMPUTED_VALUE"""),"Outside on School Property")</f>
        <v>Outside on School Property</v>
      </c>
      <c r="U1530" s="8" t="str">
        <f ca="1">IFERROR(__xludf.DUMMYFUNCTION("""COMPUTED_VALUE"""),"No")</f>
        <v>No</v>
      </c>
      <c r="V1530" s="8" t="str">
        <f ca="1">IFERROR(__xludf.DUMMYFUNCTION("""COMPUTED_VALUE"""),"After School")</f>
        <v>After School</v>
      </c>
      <c r="W1530" s="11">
        <f ca="1">IFERROR(__xludf.DUMMYFUNCTION("""COMPUTED_VALUE"""),0.645833333333333)</f>
        <v>0.64583333333333304</v>
      </c>
      <c r="X1530" s="8">
        <f ca="1">IFERROR(__xludf.DUMMYFUNCTION("""COMPUTED_VALUE"""),1)</f>
        <v>1</v>
      </c>
      <c r="Y1530" s="12" t="str">
        <f ca="1">IFERROR(__xludf.DUMMYFUNCTION("""COMPUTED_VALUE"""),"18YOM pointed gun at multiple students and parents on school playground then fled the area in a vehicle")</f>
        <v>18YOM pointed gun at multiple students and parents on school playground then fled the area in a vehicle</v>
      </c>
      <c r="Z1530" s="12" t="str">
        <f ca="1">IFERROR(__xludf.DUMMYFUNCTION("""COMPUTED_VALUE"""),"18YOM approached juvenile on school playground and asked him if he ""banged"". Shooter then pulled out a handgun and pointed it at the juvenile, pointed it at another juvenile film with her cell phone, and then a parent in a vehicle in the parking lot. Ac"&amp;"cording to court documents, the man then noticed the woman turned his attention away from the girl recording on her phone, pointed a gun at the woman calling 911, and then ran to a car with 4 other people inside and was then driven away.")</f>
        <v>18YOM approached juvenile on school playground and asked him if he "banged". Shooter then pulled out a handgun and pointed it at the juvenile, pointed it at another juvenile film with her cell phone, and then a parent in a vehicle in the parking lot. According to court documents, the man then noticed the woman turned his attention away from the girl recording on her phone, pointed a gun at the woman calling 911, and then ran to a car with 4 other people inside and was then driven away.</v>
      </c>
      <c r="AA1530" s="8" t="str">
        <f ca="1">IFERROR(__xludf.DUMMYFUNCTION("""COMPUTED_VALUE"""),"Illegal Activity")</f>
        <v>Illegal Activity</v>
      </c>
      <c r="AB1530" s="8"/>
      <c r="AC1530" s="8" t="str">
        <f ca="1">IFERROR(__xludf.DUMMYFUNCTION("""COMPUTED_VALUE"""),"Yes")</f>
        <v>Yes</v>
      </c>
      <c r="AD1530" s="8" t="str">
        <f ca="1">IFERROR(__xludf.DUMMYFUNCTION("""COMPUTED_VALUE"""),"Victims Targeted")</f>
        <v>Victims Targeted</v>
      </c>
      <c r="AE1530" s="8" t="str">
        <f ca="1">IFERROR(__xludf.DUMMYFUNCTION("""COMPUTED_VALUE"""),"Yes")</f>
        <v>Yes</v>
      </c>
      <c r="AF1530" s="8" t="str">
        <f ca="1">IFERROR(__xludf.DUMMYFUNCTION("""COMPUTED_VALUE"""),"4 men in vehicle")</f>
        <v>4 men in vehicle</v>
      </c>
      <c r="AG1530" s="8" t="str">
        <f ca="1">IFERROR(__xludf.DUMMYFUNCTION("""COMPUTED_VALUE"""),"No")</f>
        <v>No</v>
      </c>
      <c r="AH1530" s="8" t="str">
        <f ca="1">IFERROR(__xludf.DUMMYFUNCTION("""COMPUTED_VALUE"""),"No")</f>
        <v>No</v>
      </c>
      <c r="AI1530" s="8" t="str">
        <f ca="1">IFERROR(__xludf.DUMMYFUNCTION("""COMPUTED_VALUE"""),"No")</f>
        <v>No</v>
      </c>
      <c r="AJ1530" s="8" t="str">
        <f ca="1">IFERROR(__xludf.DUMMYFUNCTION("""COMPUTED_VALUE"""),"No")</f>
        <v>No</v>
      </c>
      <c r="AK1530" s="8" t="str">
        <f ca="1">IFERROR(__xludf.DUMMYFUNCTION("""COMPUTED_VALUE"""),"No")</f>
        <v>No</v>
      </c>
      <c r="AL1530" s="8" t="str">
        <f ca="1">IFERROR(__xludf.DUMMYFUNCTION("""COMPUTED_VALUE"""),"Yes")</f>
        <v>Yes</v>
      </c>
      <c r="AM1530" s="8" t="str">
        <f ca="1">IFERROR(__xludf.DUMMYFUNCTION("""COMPUTED_VALUE"""),"No")</f>
        <v>No</v>
      </c>
      <c r="AN1530" s="8"/>
      <c r="AO1530" s="8" t="str">
        <f ca="1">IFERROR(__xludf.DUMMYFUNCTION("""COMPUTED_VALUE"""),"No")</f>
        <v>No</v>
      </c>
      <c r="AP1530" s="8"/>
      <c r="AQ1530" s="8" t="str">
        <f ca="1">IFERROR(__xludf.DUMMYFUNCTION("""COMPUTED_VALUE"""),"Unknown")</f>
        <v>Unknown</v>
      </c>
      <c r="AR1530" s="8" t="str">
        <f ca="1">IFERROR(__xludf.DUMMYFUNCTION("""COMPUTED_VALUE"""),"Outside/Off-Property")</f>
        <v>Outside/Off-Property</v>
      </c>
      <c r="AS1530" s="8">
        <f ca="1">IFERROR(__xludf.DUMMYFUNCTION("""COMPUTED_VALUE"""),0)</f>
        <v>0</v>
      </c>
      <c r="AT1530" s="8"/>
      <c r="AU1530" s="8">
        <f ca="1">IFERROR(__xludf.DUMMYFUNCTION("""COMPUTED_VALUE"""),46.604682)</f>
        <v>46.604681999999997</v>
      </c>
      <c r="AV1530" s="8">
        <f ca="1">IFERROR(__xludf.DUMMYFUNCTION("""COMPUTED_VALUE"""),-120.546677)</f>
        <v>-120.546677</v>
      </c>
      <c r="AW1530" s="8"/>
      <c r="AX1530" s="8">
        <f ca="1">IFERROR(__xludf.DUMMYFUNCTION("""COMPUTED_VALUE"""),98902)</f>
        <v>98902</v>
      </c>
    </row>
    <row r="1531" spans="1:50" ht="75" x14ac:dyDescent="0.2">
      <c r="A1531" s="8" t="str">
        <f ca="1">IFERROR(__xludf.DUMMYFUNCTION("""COMPUTED_VALUE"""),"20200123CAOXO")</f>
        <v>20200123CAOXO</v>
      </c>
      <c r="B1531" s="8">
        <f ca="1">IFERROR(__xludf.DUMMYFUNCTION("""COMPUTED_VALUE"""),1)</f>
        <v>1</v>
      </c>
      <c r="C1531" s="8">
        <f ca="1">IFERROR(__xludf.DUMMYFUNCTION("""COMPUTED_VALUE"""),23)</f>
        <v>23</v>
      </c>
      <c r="D1531" s="8">
        <f ca="1">IFERROR(__xludf.DUMMYFUNCTION("""COMPUTED_VALUE"""),2020)</f>
        <v>2020</v>
      </c>
      <c r="E1531" s="9">
        <f ca="1">IFERROR(__xludf.DUMMYFUNCTION("""COMPUTED_VALUE"""),43853)</f>
        <v>43853</v>
      </c>
      <c r="F1531" s="8" t="str">
        <f ca="1">IFERROR(__xludf.DUMMYFUNCTION("""COMPUTED_VALUE"""),"Oxnard's Christa McAuliffe Elementary School")</f>
        <v>Oxnard's Christa McAuliffe Elementary School</v>
      </c>
      <c r="G1531" s="8">
        <f ca="1">IFERROR(__xludf.DUMMYFUNCTION("""COMPUTED_VALUE"""),0)</f>
        <v>0</v>
      </c>
      <c r="H1531" s="8">
        <f ca="1">IFERROR(__xludf.DUMMYFUNCTION("""COMPUTED_VALUE"""),1)</f>
        <v>1</v>
      </c>
      <c r="I1531" s="8">
        <f ca="1">IFERROR(__xludf.DUMMYFUNCTION("""COMPUTED_VALUE"""),1)</f>
        <v>1</v>
      </c>
      <c r="J1531" s="8">
        <f ca="1">IFERROR(__xludf.DUMMYFUNCTION("""COMPUTED_VALUE"""),0)</f>
        <v>0</v>
      </c>
      <c r="K1531" s="8" t="str">
        <f ca="1">IFERROR(__xludf.DUMMYFUNCTION("""COMPUTED_VALUE"""),"https://abc7.com/oxnard-police-respond-to-report-of-possible-shooting-victim-at-school/5873647/?fbclid=IwAR0p0mrpJe74HJ9aojEiuC8_Z-4mRTTFqQN2qAD-n7Q4RUEoxBPpUKdT0tg https://ktla.com/2020/01/23/elementary-school-in-oxnard-on-lockdown-after-person-possibly-"&amp;"shot-police/ https://keyt.com/news/2020/01/23/police-investigate-possible-shooting-victim-near-oxnard-elementary-school/")</f>
        <v>https://abc7.com/oxnard-police-respond-to-report-of-possible-shooting-victim-at-school/5873647/?fbclid=IwAR0p0mrpJe74HJ9aojEiuC8_Z-4mRTTFqQN2qAD-n7Q4RUEoxBPpUKdT0tg https://ktla.com/2020/01/23/elementary-school-in-oxnard-on-lockdown-after-person-possibly-shot-police/ https://keyt.com/news/2020/01/23/police-investigate-possible-shooting-victim-near-oxnard-elementary-school/</v>
      </c>
      <c r="L1531" s="8">
        <f ca="1">IFERROR(__xludf.DUMMYFUNCTION("""COMPUTED_VALUE"""),11)</f>
        <v>11</v>
      </c>
      <c r="M1531" s="8" t="str">
        <f ca="1">IFERROR(__xludf.DUMMYFUNCTION("""COMPUTED_VALUE"""),"Regional")</f>
        <v>Regional</v>
      </c>
      <c r="N1531" s="8">
        <f ca="1">IFERROR(__xludf.DUMMYFUNCTION("""COMPUTED_VALUE"""),4)</f>
        <v>4</v>
      </c>
      <c r="O1531" s="8" t="str">
        <f ca="1">IFERROR(__xludf.DUMMYFUNCTION("""COMPUTED_VALUE"""),"Winter")</f>
        <v>Winter</v>
      </c>
      <c r="P1531" s="8" t="str">
        <f ca="1">IFERROR(__xludf.DUMMYFUNCTION("""COMPUTED_VALUE"""),"Oxnard")</f>
        <v>Oxnard</v>
      </c>
      <c r="Q1531" s="8" t="str">
        <f ca="1">IFERROR(__xludf.DUMMYFUNCTION("""COMPUTED_VALUE"""),"CA")</f>
        <v>CA</v>
      </c>
      <c r="R1531" s="8" t="str">
        <f ca="1">IFERROR(__xludf.DUMMYFUNCTION("""COMPUTED_VALUE"""),"Elementary")</f>
        <v>Elementary</v>
      </c>
      <c r="S1531" s="8" t="str">
        <f ca="1">IFERROR(__xludf.DUMMYFUNCTION("""COMPUTED_VALUE"""),"Playground")</f>
        <v>Playground</v>
      </c>
      <c r="T1531" s="8" t="str">
        <f ca="1">IFERROR(__xludf.DUMMYFUNCTION("""COMPUTED_VALUE"""),"Outside on School Property")</f>
        <v>Outside on School Property</v>
      </c>
      <c r="U1531" s="8" t="str">
        <f ca="1">IFERROR(__xludf.DUMMYFUNCTION("""COMPUTED_VALUE"""),"Yes")</f>
        <v>Yes</v>
      </c>
      <c r="V1531" s="8" t="str">
        <f ca="1">IFERROR(__xludf.DUMMYFUNCTION("""COMPUTED_VALUE"""),"Lunch")</f>
        <v>Lunch</v>
      </c>
      <c r="W1531" s="11">
        <f ca="1">IFERROR(__xludf.DUMMYFUNCTION("""COMPUTED_VALUE"""),0.479166666666666)</f>
        <v>0.47916666666666602</v>
      </c>
      <c r="X1531" s="8">
        <f ca="1">IFERROR(__xludf.DUMMYFUNCTION("""COMPUTED_VALUE"""),1)</f>
        <v>1</v>
      </c>
      <c r="Y1531" s="12" t="str">
        <f ca="1">IFERROR(__xludf.DUMMYFUNCTION("""COMPUTED_VALUE"""),"Car-to-car shooting, a student was struck on the playground")</f>
        <v>Car-to-car shooting, a student was struck on the playground</v>
      </c>
      <c r="Z1531" s="12" t="str">
        <f ca="1">IFERROR(__xludf.DUMMYFUNCTION("""COMPUTED_VALUE"""),"A 9 year-old girl at an Oxnard elementary school was hospitalized after she was struck by a stray bullet from a nearby car-to-car shooting as she was playing on the playground. Victim was sent to the hospital with a wound in the lower extremities.")</f>
        <v>A 9 year-old girl at an Oxnard elementary school was hospitalized after she was struck by a stray bullet from a nearby car-to-car shooting as she was playing on the playground. Victim was sent to the hospital with a wound in the lower extremities.</v>
      </c>
      <c r="AA1531" s="8" t="str">
        <f ca="1">IFERROR(__xludf.DUMMYFUNCTION("""COMPUTED_VALUE"""),"Drive-by Shooting")</f>
        <v>Drive-by Shooting</v>
      </c>
      <c r="AB1531" s="8"/>
      <c r="AC1531" s="8" t="str">
        <f ca="1">IFERROR(__xludf.DUMMYFUNCTION("""COMPUTED_VALUE"""),"Yes")</f>
        <v>Yes</v>
      </c>
      <c r="AD1531" s="8" t="str">
        <f ca="1">IFERROR(__xludf.DUMMYFUNCTION("""COMPUTED_VALUE"""),"Random Shooting")</f>
        <v>Random Shooting</v>
      </c>
      <c r="AE1531" s="8"/>
      <c r="AF1531" s="8"/>
      <c r="AG1531" s="8" t="str">
        <f ca="1">IFERROR(__xludf.DUMMYFUNCTION("""COMPUTED_VALUE"""),"No")</f>
        <v>No</v>
      </c>
      <c r="AH1531" s="8" t="str">
        <f ca="1">IFERROR(__xludf.DUMMYFUNCTION("""COMPUTED_VALUE"""),"No")</f>
        <v>No</v>
      </c>
      <c r="AI1531" s="8" t="str">
        <f ca="1">IFERROR(__xludf.DUMMYFUNCTION("""COMPUTED_VALUE"""),"No")</f>
        <v>No</v>
      </c>
      <c r="AJ1531" s="8" t="str">
        <f ca="1">IFERROR(__xludf.DUMMYFUNCTION("""COMPUTED_VALUE"""),"N/A")</f>
        <v>N/A</v>
      </c>
      <c r="AK1531" s="8"/>
      <c r="AL1531" s="8" t="str">
        <f ca="1">IFERROR(__xludf.DUMMYFUNCTION("""COMPUTED_VALUE"""),"Yes")</f>
        <v>Yes</v>
      </c>
      <c r="AM1531" s="8" t="str">
        <f ca="1">IFERROR(__xludf.DUMMYFUNCTION("""COMPUTED_VALUE"""),"No")</f>
        <v>No</v>
      </c>
      <c r="AN1531" s="8"/>
      <c r="AO1531" s="8" t="str">
        <f ca="1">IFERROR(__xludf.DUMMYFUNCTION("""COMPUTED_VALUE"""),"No")</f>
        <v>No</v>
      </c>
      <c r="AP1531" s="8" t="str">
        <f ca="1">IFERROR(__xludf.DUMMYFUNCTION("""COMPUTED_VALUE"""),"No")</f>
        <v>No</v>
      </c>
      <c r="AQ1531" s="8" t="str">
        <f ca="1">IFERROR(__xludf.DUMMYFUNCTION("""COMPUTED_VALUE"""),"None")</f>
        <v>None</v>
      </c>
      <c r="AR1531" s="8" t="str">
        <f ca="1">IFERROR(__xludf.DUMMYFUNCTION("""COMPUTED_VALUE"""),"NA")</f>
        <v>NA</v>
      </c>
      <c r="AS1531" s="8"/>
      <c r="AT1531" s="8" t="str">
        <f ca="1">IFERROR(__xludf.DUMMYFUNCTION("""COMPUTED_VALUE"""),"Yes")</f>
        <v>Yes</v>
      </c>
      <c r="AU1531" s="8">
        <f ca="1">IFERROR(__xludf.DUMMYFUNCTION("""COMPUTED_VALUE"""),34.188096)</f>
        <v>34.188096000000002</v>
      </c>
      <c r="AV1531" s="8">
        <f ca="1">IFERROR(__xludf.DUMMYFUNCTION("""COMPUTED_VALUE"""),-119.211187)</f>
        <v>-119.211187</v>
      </c>
      <c r="AW1531" s="8"/>
      <c r="AX1531" s="8">
        <f ca="1">IFERROR(__xludf.DUMMYFUNCTION("""COMPUTED_VALUE"""),93035)</f>
        <v>93035</v>
      </c>
    </row>
    <row r="1532" spans="1:50" ht="60" x14ac:dyDescent="0.2">
      <c r="A1532" s="8" t="str">
        <f ca="1">IFERROR(__xludf.DUMMYFUNCTION("""COMPUTED_VALUE"""),"20200121NEPAL")</f>
        <v>20200121NEPAL</v>
      </c>
      <c r="B1532" s="8">
        <f ca="1">IFERROR(__xludf.DUMMYFUNCTION("""COMPUTED_VALUE"""),1)</f>
        <v>1</v>
      </c>
      <c r="C1532" s="8">
        <f ca="1">IFERROR(__xludf.DUMMYFUNCTION("""COMPUTED_VALUE"""),21)</f>
        <v>21</v>
      </c>
      <c r="D1532" s="8">
        <f ca="1">IFERROR(__xludf.DUMMYFUNCTION("""COMPUTED_VALUE"""),2020)</f>
        <v>2020</v>
      </c>
      <c r="E1532" s="9">
        <f ca="1">IFERROR(__xludf.DUMMYFUNCTION("""COMPUTED_VALUE"""),43851)</f>
        <v>43851</v>
      </c>
      <c r="F1532" s="8" t="str">
        <f ca="1">IFERROR(__xludf.DUMMYFUNCTION("""COMPUTED_VALUE"""),"Park Middle School")</f>
        <v>Park Middle School</v>
      </c>
      <c r="G1532" s="8">
        <f ca="1">IFERROR(__xludf.DUMMYFUNCTION("""COMPUTED_VALUE"""),0)</f>
        <v>0</v>
      </c>
      <c r="H1532" s="8">
        <f ca="1">IFERROR(__xludf.DUMMYFUNCTION("""COMPUTED_VALUE"""),0)</f>
        <v>0</v>
      </c>
      <c r="I1532" s="8">
        <f ca="1">IFERROR(__xludf.DUMMYFUNCTION("""COMPUTED_VALUE"""),0)</f>
        <v>0</v>
      </c>
      <c r="J1532" s="8">
        <f ca="1">IFERROR(__xludf.DUMMYFUNCTION("""COMPUTED_VALUE"""),0)</f>
        <v>0</v>
      </c>
      <c r="K1532" s="10" t="str">
        <f ca="1">IFERROR(__xludf.DUMMYFUNCTION("""COMPUTED_VALUE"""),"https://www.klkntv.com/story/41605181/car-breakins-occur-at-a-lincoln-middle-school")</f>
        <v>https://www.klkntv.com/story/41605181/car-breakins-occur-at-a-lincoln-middle-school</v>
      </c>
      <c r="L1532" s="8"/>
      <c r="M1532" s="8"/>
      <c r="N1532" s="8">
        <f ca="1">IFERROR(__xludf.DUMMYFUNCTION("""COMPUTED_VALUE"""),4)</f>
        <v>4</v>
      </c>
      <c r="O1532" s="8" t="str">
        <f ca="1">IFERROR(__xludf.DUMMYFUNCTION("""COMPUTED_VALUE"""),"Winter")</f>
        <v>Winter</v>
      </c>
      <c r="P1532" s="8" t="str">
        <f ca="1">IFERROR(__xludf.DUMMYFUNCTION("""COMPUTED_VALUE"""),"Lincoln")</f>
        <v>Lincoln</v>
      </c>
      <c r="Q1532" s="8" t="str">
        <f ca="1">IFERROR(__xludf.DUMMYFUNCTION("""COMPUTED_VALUE"""),"NE")</f>
        <v>NE</v>
      </c>
      <c r="R1532" s="8" t="str">
        <f ca="1">IFERROR(__xludf.DUMMYFUNCTION("""COMPUTED_VALUE"""),"Middle")</f>
        <v>Middle</v>
      </c>
      <c r="S1532" s="8" t="str">
        <f ca="1">IFERROR(__xludf.DUMMYFUNCTION("""COMPUTED_VALUE"""),"Parking Lot")</f>
        <v>Parking Lot</v>
      </c>
      <c r="T1532" s="8" t="str">
        <f ca="1">IFERROR(__xludf.DUMMYFUNCTION("""COMPUTED_VALUE"""),"Outside on School Property")</f>
        <v>Outside on School Property</v>
      </c>
      <c r="U1532" s="8" t="str">
        <f ca="1">IFERROR(__xludf.DUMMYFUNCTION("""COMPUTED_VALUE"""),"No")</f>
        <v>No</v>
      </c>
      <c r="V1532" s="8" t="str">
        <f ca="1">IFERROR(__xludf.DUMMYFUNCTION("""COMPUTED_VALUE"""),"Evening")</f>
        <v>Evening</v>
      </c>
      <c r="W1532" s="11">
        <f ca="1">IFERROR(__xludf.DUMMYFUNCTION("""COMPUTED_VALUE"""),0.739583333333333)</f>
        <v>0.73958333333333304</v>
      </c>
      <c r="X1532" s="8"/>
      <c r="Y1532" s="12" t="str">
        <f ca="1">IFERROR(__xludf.DUMMYFUNCTION("""COMPUTED_VALUE"""),"Shot vehicle windows in school parking lot during break-in")</f>
        <v>Shot vehicle windows in school parking lot during break-in</v>
      </c>
      <c r="Z1532" s="12" t="str">
        <f ca="1">IFERROR(__xludf.DUMMYFUNCTION("""COMPUTED_VALUE"""),"Multiple vehicle windows shot with BB gun during vehicle break-ins in school parking lot")</f>
        <v>Multiple vehicle windows shot with BB gun during vehicle break-ins in school parking lot</v>
      </c>
      <c r="AA1532" s="8" t="str">
        <f ca="1">IFERROR(__xludf.DUMMYFUNCTION("""COMPUTED_VALUE"""),"Intentional Property Damage")</f>
        <v>Intentional Property Damage</v>
      </c>
      <c r="AB1532" s="8"/>
      <c r="AC1532" s="8" t="str">
        <f ca="1">IFERROR(__xludf.DUMMYFUNCTION("""COMPUTED_VALUE"""),"No")</f>
        <v>No</v>
      </c>
      <c r="AD1532" s="8" t="str">
        <f ca="1">IFERROR(__xludf.DUMMYFUNCTION("""COMPUTED_VALUE"""),"Neither")</f>
        <v>Neither</v>
      </c>
      <c r="AE1532" s="8"/>
      <c r="AF1532" s="8"/>
      <c r="AG1532" s="8" t="str">
        <f ca="1">IFERROR(__xludf.DUMMYFUNCTION("""COMPUTED_VALUE"""),"No")</f>
        <v>No</v>
      </c>
      <c r="AH1532" s="8" t="str">
        <f ca="1">IFERROR(__xludf.DUMMYFUNCTION("""COMPUTED_VALUE"""),"No")</f>
        <v>No</v>
      </c>
      <c r="AI1532" s="8" t="str">
        <f ca="1">IFERROR(__xludf.DUMMYFUNCTION("""COMPUTED_VALUE"""),"No")</f>
        <v>No</v>
      </c>
      <c r="AJ1532" s="8" t="str">
        <f ca="1">IFERROR(__xludf.DUMMYFUNCTION("""COMPUTED_VALUE"""),"No")</f>
        <v>No</v>
      </c>
      <c r="AK1532" s="8" t="str">
        <f ca="1">IFERROR(__xludf.DUMMYFUNCTION("""COMPUTED_VALUE"""),"No")</f>
        <v>No</v>
      </c>
      <c r="AL1532" s="8" t="str">
        <f ca="1">IFERROR(__xludf.DUMMYFUNCTION("""COMPUTED_VALUE"""),"No")</f>
        <v>No</v>
      </c>
      <c r="AM1532" s="8" t="str">
        <f ca="1">IFERROR(__xludf.DUMMYFUNCTION("""COMPUTED_VALUE"""),"No")</f>
        <v>No</v>
      </c>
      <c r="AN1532" s="8"/>
      <c r="AO1532" s="8" t="str">
        <f ca="1">IFERROR(__xludf.DUMMYFUNCTION("""COMPUTED_VALUE"""),"No")</f>
        <v>No</v>
      </c>
      <c r="AP1532" s="8"/>
      <c r="AQ1532" s="8" t="str">
        <f ca="1">IFERROR(__xludf.DUMMYFUNCTION("""COMPUTED_VALUE"""),"Unknown")</f>
        <v>Unknown</v>
      </c>
      <c r="AR1532" s="8" t="str">
        <f ca="1">IFERROR(__xludf.DUMMYFUNCTION("""COMPUTED_VALUE"""),"Outside/Off-Property")</f>
        <v>Outside/Off-Property</v>
      </c>
      <c r="AS1532" s="8"/>
      <c r="AT1532" s="8" t="str">
        <f ca="1">IFERROR(__xludf.DUMMYFUNCTION("""COMPUTED_VALUE"""),"No")</f>
        <v>No</v>
      </c>
      <c r="AU1532" s="8">
        <f ca="1">IFERROR(__xludf.DUMMYFUNCTION("""COMPUTED_VALUE"""),40.80489)</f>
        <v>40.80489</v>
      </c>
      <c r="AV1532" s="8">
        <f ca="1">IFERROR(__xludf.DUMMYFUNCTION("""COMPUTED_VALUE"""),-96.711762)</f>
        <v>-96.711761999999993</v>
      </c>
      <c r="AW1532" s="8"/>
      <c r="AX1532" s="8">
        <f ca="1">IFERROR(__xludf.DUMMYFUNCTION("""COMPUTED_VALUE"""),68508)</f>
        <v>68508</v>
      </c>
    </row>
    <row r="1533" spans="1:50" ht="75" x14ac:dyDescent="0.2">
      <c r="A1533" s="8" t="str">
        <f ca="1">IFERROR(__xludf.DUMMYFUNCTION("""COMPUTED_VALUE"""),"20200121ILLIC")</f>
        <v>20200121ILLIC</v>
      </c>
      <c r="B1533" s="8">
        <f ca="1">IFERROR(__xludf.DUMMYFUNCTION("""COMPUTED_VALUE"""),1)</f>
        <v>1</v>
      </c>
      <c r="C1533" s="8">
        <f ca="1">IFERROR(__xludf.DUMMYFUNCTION("""COMPUTED_VALUE"""),21)</f>
        <v>21</v>
      </c>
      <c r="D1533" s="8">
        <f ca="1">IFERROR(__xludf.DUMMYFUNCTION("""COMPUTED_VALUE"""),2020)</f>
        <v>2020</v>
      </c>
      <c r="E1533" s="9">
        <f ca="1">IFERROR(__xludf.DUMMYFUNCTION("""COMPUTED_VALUE"""),43851)</f>
        <v>43851</v>
      </c>
      <c r="F1533" s="8" t="str">
        <f ca="1">IFERROR(__xludf.DUMMYFUNCTION("""COMPUTED_VALUE"""),"Lindblom Math &amp; Science Academy High School")</f>
        <v>Lindblom Math &amp; Science Academy High School</v>
      </c>
      <c r="G1533" s="8">
        <f ca="1">IFERROR(__xludf.DUMMYFUNCTION("""COMPUTED_VALUE"""),0)</f>
        <v>0</v>
      </c>
      <c r="H1533" s="8">
        <f ca="1">IFERROR(__xludf.DUMMYFUNCTION("""COMPUTED_VALUE"""),1)</f>
        <v>1</v>
      </c>
      <c r="I1533" s="8">
        <f ca="1">IFERROR(__xludf.DUMMYFUNCTION("""COMPUTED_VALUE"""),1)</f>
        <v>1</v>
      </c>
      <c r="J1533" s="8">
        <f ca="1">IFERROR(__xludf.DUMMYFUNCTION("""COMPUTED_VALUE"""),0)</f>
        <v>0</v>
      </c>
      <c r="K1533" s="10" t="str">
        <f ca="1">IFERROR(__xludf.DUMMYFUNCTION("""COMPUTED_VALUE"""),"https://chicago.cbslocal.com/2020/01/22/lindblom-high-school-shooting-robbery-swim-team-members/")</f>
        <v>https://chicago.cbslocal.com/2020/01/22/lindblom-high-school-shooting-robbery-swim-team-members/</v>
      </c>
      <c r="L1533" s="8"/>
      <c r="M1533" s="8"/>
      <c r="N1533" s="8">
        <f ca="1">IFERROR(__xludf.DUMMYFUNCTION("""COMPUTED_VALUE"""),3)</f>
        <v>3</v>
      </c>
      <c r="O1533" s="8" t="str">
        <f ca="1">IFERROR(__xludf.DUMMYFUNCTION("""COMPUTED_VALUE"""),"Winter")</f>
        <v>Winter</v>
      </c>
      <c r="P1533" s="8" t="str">
        <f ca="1">IFERROR(__xludf.DUMMYFUNCTION("""COMPUTED_VALUE"""),"Chicago")</f>
        <v>Chicago</v>
      </c>
      <c r="Q1533" s="8" t="str">
        <f ca="1">IFERROR(__xludf.DUMMYFUNCTION("""COMPUTED_VALUE"""),"IL")</f>
        <v>IL</v>
      </c>
      <c r="R1533" s="8" t="str">
        <f ca="1">IFERROR(__xludf.DUMMYFUNCTION("""COMPUTED_VALUE"""),"High")</f>
        <v>High</v>
      </c>
      <c r="S1533" s="8" t="str">
        <f ca="1">IFERROR(__xludf.DUMMYFUNCTION("""COMPUTED_VALUE"""),"Front of School")</f>
        <v>Front of School</v>
      </c>
      <c r="T1533" s="8" t="str">
        <f ca="1">IFERROR(__xludf.DUMMYFUNCTION("""COMPUTED_VALUE"""),"Outside on School Property")</f>
        <v>Outside on School Property</v>
      </c>
      <c r="U1533" s="8" t="str">
        <f ca="1">IFERROR(__xludf.DUMMYFUNCTION("""COMPUTED_VALUE"""),"No")</f>
        <v>No</v>
      </c>
      <c r="V1533" s="8" t="str">
        <f ca="1">IFERROR(__xludf.DUMMYFUNCTION("""COMPUTED_VALUE"""),"Sport Event")</f>
        <v>Sport Event</v>
      </c>
      <c r="W1533" s="11">
        <f ca="1">IFERROR(__xludf.DUMMYFUNCTION("""COMPUTED_VALUE"""),0.770833333333333)</f>
        <v>0.77083333333333304</v>
      </c>
      <c r="X1533" s="8">
        <f ca="1">IFERROR(__xludf.DUMMYFUNCTION("""COMPUTED_VALUE"""),1)</f>
        <v>1</v>
      </c>
      <c r="Y1533" s="12" t="str">
        <f ca="1">IFERROR(__xludf.DUMMYFUNCTION("""COMPUTED_VALUE"""),"Student shot during robbery after leaving swim meet at school")</f>
        <v>Student shot during robbery after leaving swim meet at school</v>
      </c>
      <c r="Z1533" s="12" t="str">
        <f ca="1">IFERROR(__xludf.DUMMYFUNCTION("""COMPUTED_VALUE"""),"Two students (15YOM 17YOM) were leaving the school after a swim meet. Car pulled up in front of school and occupant demanded their property. Students ran from the vehicle and the 17YOM student was shot in the chest in front of the school. Shooter fled the"&amp;" area.")</f>
        <v>Two students (15YOM 17YOM) were leaving the school after a swim meet. Car pulled up in front of school and occupant demanded their property. Students ran from the vehicle and the 17YOM student was shot in the chest in front of the school. Shooter fled the area.</v>
      </c>
      <c r="AA1533" s="8" t="str">
        <f ca="1">IFERROR(__xludf.DUMMYFUNCTION("""COMPUTED_VALUE"""),"Illegal Activity")</f>
        <v>Illegal Activity</v>
      </c>
      <c r="AB1533" s="8"/>
      <c r="AC1533" s="8" t="str">
        <f ca="1">IFERROR(__xludf.DUMMYFUNCTION("""COMPUTED_VALUE"""),"Yes")</f>
        <v>Yes</v>
      </c>
      <c r="AD1533" s="8" t="str">
        <f ca="1">IFERROR(__xludf.DUMMYFUNCTION("""COMPUTED_VALUE"""),"Victims Targeted")</f>
        <v>Victims Targeted</v>
      </c>
      <c r="AE1533" s="8" t="str">
        <f ca="1">IFERROR(__xludf.DUMMYFUNCTION("""COMPUTED_VALUE"""),"Yes")</f>
        <v>Yes</v>
      </c>
      <c r="AF1533" s="8" t="str">
        <f ca="1">IFERROR(__xludf.DUMMYFUNCTION("""COMPUTED_VALUE"""),"2 in vehicle")</f>
        <v>2 in vehicle</v>
      </c>
      <c r="AG1533" s="8" t="str">
        <f ca="1">IFERROR(__xludf.DUMMYFUNCTION("""COMPUTED_VALUE"""),"No")</f>
        <v>No</v>
      </c>
      <c r="AH1533" s="8" t="str">
        <f ca="1">IFERROR(__xludf.DUMMYFUNCTION("""COMPUTED_VALUE"""),"No")</f>
        <v>No</v>
      </c>
      <c r="AI1533" s="8" t="str">
        <f ca="1">IFERROR(__xludf.DUMMYFUNCTION("""COMPUTED_VALUE"""),"No")</f>
        <v>No</v>
      </c>
      <c r="AJ1533" s="8" t="str">
        <f ca="1">IFERROR(__xludf.DUMMYFUNCTION("""COMPUTED_VALUE"""),"No")</f>
        <v>No</v>
      </c>
      <c r="AK1533" s="8" t="str">
        <f ca="1">IFERROR(__xludf.DUMMYFUNCTION("""COMPUTED_VALUE"""),"No")</f>
        <v>No</v>
      </c>
      <c r="AL1533" s="8" t="str">
        <f ca="1">IFERROR(__xludf.DUMMYFUNCTION("""COMPUTED_VALUE"""),"No")</f>
        <v>No</v>
      </c>
      <c r="AM1533" s="8" t="str">
        <f ca="1">IFERROR(__xludf.DUMMYFUNCTION("""COMPUTED_VALUE"""),"No")</f>
        <v>No</v>
      </c>
      <c r="AN1533" s="8"/>
      <c r="AO1533" s="8" t="str">
        <f ca="1">IFERROR(__xludf.DUMMYFUNCTION("""COMPUTED_VALUE"""),"No")</f>
        <v>No</v>
      </c>
      <c r="AP1533" s="8"/>
      <c r="AQ1533" s="8" t="str">
        <f ca="1">IFERROR(__xludf.DUMMYFUNCTION("""COMPUTED_VALUE"""),"Unknown")</f>
        <v>Unknown</v>
      </c>
      <c r="AR1533" s="8" t="str">
        <f ca="1">IFERROR(__xludf.DUMMYFUNCTION("""COMPUTED_VALUE"""),"Outside/Off-Property")</f>
        <v>Outside/Off-Property</v>
      </c>
      <c r="AS1533" s="8"/>
      <c r="AT1533" s="8"/>
      <c r="AU1533" s="8">
        <f ca="1">IFERROR(__xludf.DUMMYFUNCTION("""COMPUTED_VALUE"""),41.781863)</f>
        <v>41.781863000000001</v>
      </c>
      <c r="AV1533" s="8">
        <f ca="1">IFERROR(__xludf.DUMMYFUNCTION("""COMPUTED_VALUE"""),-87.672154)</f>
        <v>-87.672154000000006</v>
      </c>
      <c r="AW1533" s="8"/>
      <c r="AX1533" s="8">
        <f ca="1">IFERROR(__xludf.DUMMYFUNCTION("""COMPUTED_VALUE"""),60636)</f>
        <v>60636</v>
      </c>
    </row>
    <row r="1534" spans="1:50" ht="135" x14ac:dyDescent="0.2">
      <c r="A1534" s="8" t="str">
        <f ca="1">IFERROR(__xludf.DUMMYFUNCTION("""COMPUTED_VALUE"""),"20200119TXNOF")</f>
        <v>20200119TXNOF</v>
      </c>
      <c r="B1534" s="8">
        <f ca="1">IFERROR(__xludf.DUMMYFUNCTION("""COMPUTED_VALUE"""),1)</f>
        <v>1</v>
      </c>
      <c r="C1534" s="8">
        <f ca="1">IFERROR(__xludf.DUMMYFUNCTION("""COMPUTED_VALUE"""),19)</f>
        <v>19</v>
      </c>
      <c r="D1534" s="8">
        <f ca="1">IFERROR(__xludf.DUMMYFUNCTION("""COMPUTED_VALUE"""),2020)</f>
        <v>2020</v>
      </c>
      <c r="E1534" s="9">
        <f ca="1">IFERROR(__xludf.DUMMYFUNCTION("""COMPUTED_VALUE"""),43849)</f>
        <v>43849</v>
      </c>
      <c r="F1534" s="8" t="str">
        <f ca="1">IFERROR(__xludf.DUMMYFUNCTION("""COMPUTED_VALUE"""),"North Crowley Ninth Grade Campus")</f>
        <v>North Crowley Ninth Grade Campus</v>
      </c>
      <c r="G1534" s="8">
        <f ca="1">IFERROR(__xludf.DUMMYFUNCTION("""COMPUTED_VALUE"""),0)</f>
        <v>0</v>
      </c>
      <c r="H1534" s="8">
        <f ca="1">IFERROR(__xludf.DUMMYFUNCTION("""COMPUTED_VALUE"""),2)</f>
        <v>2</v>
      </c>
      <c r="I1534" s="8">
        <f ca="1">IFERROR(__xludf.DUMMYFUNCTION("""COMPUTED_VALUE"""),2)</f>
        <v>2</v>
      </c>
      <c r="J1534" s="8">
        <f ca="1">IFERROR(__xludf.DUMMYFUNCTION("""COMPUTED_VALUE"""),0)</f>
        <v>0</v>
      </c>
      <c r="K1534" s="8" t="str">
        <f ca="1">IFERROR(__xludf.DUMMYFUNCTION("""COMPUTED_VALUE"""),"https://www.star-telegram.com/news/local/crime/article239450188.html https://www.wfaa.com/article/news/local/1-person-shot-at-parking-lot-of-school-campus-in-fort-worth-police-say/287-1bc57cb9-271c-4a57-bbfc-6fb21b9c4009")</f>
        <v>https://www.star-telegram.com/news/local/crime/article239450188.html https://www.wfaa.com/article/news/local/1-person-shot-at-parking-lot-of-school-campus-in-fort-worth-police-say/287-1bc57cb9-271c-4a57-bbfc-6fb21b9c4009</v>
      </c>
      <c r="L1534" s="8"/>
      <c r="M1534" s="8"/>
      <c r="N1534" s="8">
        <f ca="1">IFERROR(__xludf.DUMMYFUNCTION("""COMPUTED_VALUE"""),4)</f>
        <v>4</v>
      </c>
      <c r="O1534" s="8" t="str">
        <f ca="1">IFERROR(__xludf.DUMMYFUNCTION("""COMPUTED_VALUE"""),"Winter")</f>
        <v>Winter</v>
      </c>
      <c r="P1534" s="8" t="str">
        <f ca="1">IFERROR(__xludf.DUMMYFUNCTION("""COMPUTED_VALUE"""),"Fort Worth")</f>
        <v>Fort Worth</v>
      </c>
      <c r="Q1534" s="8" t="str">
        <f ca="1">IFERROR(__xludf.DUMMYFUNCTION("""COMPUTED_VALUE"""),"TX")</f>
        <v>TX</v>
      </c>
      <c r="R1534" s="8" t="str">
        <f ca="1">IFERROR(__xludf.DUMMYFUNCTION("""COMPUTED_VALUE"""),"High")</f>
        <v>High</v>
      </c>
      <c r="S1534" s="8" t="str">
        <f ca="1">IFERROR(__xludf.DUMMYFUNCTION("""COMPUTED_VALUE"""),"Parking Lot")</f>
        <v>Parking Lot</v>
      </c>
      <c r="T1534" s="8" t="str">
        <f ca="1">IFERROR(__xludf.DUMMYFUNCTION("""COMPUTED_VALUE"""),"Outside on School Property")</f>
        <v>Outside on School Property</v>
      </c>
      <c r="U1534" s="8" t="str">
        <f ca="1">IFERROR(__xludf.DUMMYFUNCTION("""COMPUTED_VALUE"""),"No")</f>
        <v>No</v>
      </c>
      <c r="V1534" s="8" t="str">
        <f ca="1">IFERROR(__xludf.DUMMYFUNCTION("""COMPUTED_VALUE"""),"Sport Event")</f>
        <v>Sport Event</v>
      </c>
      <c r="W1534" s="11">
        <f ca="1">IFERROR(__xludf.DUMMYFUNCTION("""COMPUTED_VALUE"""),0.791666666666666)</f>
        <v>0.79166666666666596</v>
      </c>
      <c r="X1534" s="8">
        <f ca="1">IFERROR(__xludf.DUMMYFUNCTION("""COMPUTED_VALUE"""),1)</f>
        <v>1</v>
      </c>
      <c r="Y1534" s="12" t="str">
        <f ca="1">IFERROR(__xludf.DUMMYFUNCTION("""COMPUTED_VALUE"""),"Targeted shooting of adult male in school parking lot, child was also struck")</f>
        <v>Targeted shooting of adult male in school parking lot, child was also struck</v>
      </c>
      <c r="Z1534" s="12" t="str">
        <f ca="1">IFERROR(__xludf.DUMMYFUNCTION("""COMPUTED_VALUE"""),"Adult male confronted person who was damaging vehicles in the parking lot. Shooters fired at the adult victim and also struck a child. Police believe there were two shooters because 2 types of shell casings were found and the shooters may have been waitin"&amp;"g for the victim. The school was being rented out for a basketball game. Armed security is provided for all school events but not 3rd party rentals. Armed security will be present at all future events. Shooter fled the scene.")</f>
        <v>Adult male confronted person who was damaging vehicles in the parking lot. Shooters fired at the adult victim and also struck a child. Police believe there were two shooters because 2 types of shell casings were found and the shooters may have been waiting for the victim. The school was being rented out for a basketball game. Armed security is provided for all school events but not 3rd party rentals. Armed security will be present at all future events. Shooter fled the scene.</v>
      </c>
      <c r="AA1534" s="8" t="str">
        <f ca="1">IFERROR(__xludf.DUMMYFUNCTION("""COMPUTED_VALUE"""),"Escalation of Dispute")</f>
        <v>Escalation of Dispute</v>
      </c>
      <c r="AB1534" s="8"/>
      <c r="AC1534" s="8" t="str">
        <f ca="1">IFERROR(__xludf.DUMMYFUNCTION("""COMPUTED_VALUE"""),"Yes")</f>
        <v>Yes</v>
      </c>
      <c r="AD1534" s="8" t="str">
        <f ca="1">IFERROR(__xludf.DUMMYFUNCTION("""COMPUTED_VALUE"""),"Both")</f>
        <v>Both</v>
      </c>
      <c r="AE1534" s="8" t="str">
        <f ca="1">IFERROR(__xludf.DUMMYFUNCTION("""COMPUTED_VALUE"""),"Yes")</f>
        <v>Yes</v>
      </c>
      <c r="AF1534" s="8" t="str">
        <f ca="1">IFERROR(__xludf.DUMMYFUNCTION("""COMPUTED_VALUE"""),"2 calibers of shells found")</f>
        <v>2 calibers of shells found</v>
      </c>
      <c r="AG1534" s="8" t="str">
        <f ca="1">IFERROR(__xludf.DUMMYFUNCTION("""COMPUTED_VALUE"""),"No")</f>
        <v>No</v>
      </c>
      <c r="AH1534" s="8" t="str">
        <f ca="1">IFERROR(__xludf.DUMMYFUNCTION("""COMPUTED_VALUE"""),"No")</f>
        <v>No</v>
      </c>
      <c r="AI1534" s="8" t="str">
        <f ca="1">IFERROR(__xludf.DUMMYFUNCTION("""COMPUTED_VALUE"""),"No")</f>
        <v>No</v>
      </c>
      <c r="AJ1534" s="8" t="str">
        <f ca="1">IFERROR(__xludf.DUMMYFUNCTION("""COMPUTED_VALUE"""),"No")</f>
        <v>No</v>
      </c>
      <c r="AK1534" s="8" t="str">
        <f ca="1">IFERROR(__xludf.DUMMYFUNCTION("""COMPUTED_VALUE"""),"No")</f>
        <v>No</v>
      </c>
      <c r="AL1534" s="8" t="str">
        <f ca="1">IFERROR(__xludf.DUMMYFUNCTION("""COMPUTED_VALUE"""),"No")</f>
        <v>No</v>
      </c>
      <c r="AM1534" s="8" t="str">
        <f ca="1">IFERROR(__xludf.DUMMYFUNCTION("""COMPUTED_VALUE"""),"No")</f>
        <v>No</v>
      </c>
      <c r="AN1534" s="8"/>
      <c r="AO1534" s="8" t="str">
        <f ca="1">IFERROR(__xludf.DUMMYFUNCTION("""COMPUTED_VALUE"""),"No")</f>
        <v>No</v>
      </c>
      <c r="AP1534" s="8" t="str">
        <f ca="1">IFERROR(__xludf.DUMMYFUNCTION("""COMPUTED_VALUE"""),"No")</f>
        <v>No</v>
      </c>
      <c r="AQ1534" s="8" t="str">
        <f ca="1">IFERROR(__xludf.DUMMYFUNCTION("""COMPUTED_VALUE"""),"None")</f>
        <v>None</v>
      </c>
      <c r="AR1534" s="8" t="str">
        <f ca="1">IFERROR(__xludf.DUMMYFUNCTION("""COMPUTED_VALUE"""),"NA")</f>
        <v>NA</v>
      </c>
      <c r="AS1534" s="8"/>
      <c r="AT1534" s="8"/>
      <c r="AU1534" s="8">
        <f ca="1">IFERROR(__xludf.DUMMYFUNCTION("""COMPUTED_VALUE"""),32.605725)</f>
        <v>32.605725</v>
      </c>
      <c r="AV1534" s="8">
        <f ca="1">IFERROR(__xludf.DUMMYFUNCTION("""COMPUTED_VALUE"""),-97.397608)</f>
        <v>-97.397608000000005</v>
      </c>
      <c r="AW1534" s="8"/>
      <c r="AX1534" s="8">
        <f ca="1">IFERROR(__xludf.DUMMYFUNCTION("""COMPUTED_VALUE"""),76123)</f>
        <v>76123</v>
      </c>
    </row>
    <row r="1535" spans="1:50" ht="75" x14ac:dyDescent="0.2">
      <c r="A1535" s="8" t="str">
        <f ca="1">IFERROR(__xludf.DUMMYFUNCTION("""COMPUTED_VALUE"""),"20200117SCCAS")</f>
        <v>20200117SCCAS</v>
      </c>
      <c r="B1535" s="8">
        <f ca="1">IFERROR(__xludf.DUMMYFUNCTION("""COMPUTED_VALUE"""),1)</f>
        <v>1</v>
      </c>
      <c r="C1535" s="8">
        <f ca="1">IFERROR(__xludf.DUMMYFUNCTION("""COMPUTED_VALUE"""),17)</f>
        <v>17</v>
      </c>
      <c r="D1535" s="8">
        <f ca="1">IFERROR(__xludf.DUMMYFUNCTION("""COMPUTED_VALUE"""),2020)</f>
        <v>2020</v>
      </c>
      <c r="E1535" s="9">
        <f ca="1">IFERROR(__xludf.DUMMYFUNCTION("""COMPUTED_VALUE"""),43847)</f>
        <v>43847</v>
      </c>
      <c r="F1535" s="8" t="str">
        <f ca="1">IFERROR(__xludf.DUMMYFUNCTION("""COMPUTED_VALUE"""),"Cane Bay High School")</f>
        <v>Cane Bay High School</v>
      </c>
      <c r="G1535" s="8">
        <f ca="1">IFERROR(__xludf.DUMMYFUNCTION("""COMPUTED_VALUE"""),0)</f>
        <v>0</v>
      </c>
      <c r="H1535" s="8">
        <f ca="1">IFERROR(__xludf.DUMMYFUNCTION("""COMPUTED_VALUE"""),0)</f>
        <v>0</v>
      </c>
      <c r="I1535" s="8">
        <f ca="1">IFERROR(__xludf.DUMMYFUNCTION("""COMPUTED_VALUE"""),0)</f>
        <v>0</v>
      </c>
      <c r="J1535" s="8">
        <f ca="1">IFERROR(__xludf.DUMMYFUNCTION("""COMPUTED_VALUE"""),1)</f>
        <v>1</v>
      </c>
      <c r="K1535" s="8" t="str">
        <f ca="1">IFERROR(__xludf.DUMMYFUNCTION("""COMPUTED_VALUE"""),"https://www.live5news.com/2020/01/17/cane-bay-hs-lockdown-campus-safe-after-students-experiences-medical-emergency/ https://abcnews4.com/news/local/cane-bay-high-school-on-lockdown-for-student-medical-emergency")</f>
        <v>https://www.live5news.com/2020/01/17/cane-bay-hs-lockdown-campus-safe-after-students-experiences-medical-emergency/ https://abcnews4.com/news/local/cane-bay-high-school-on-lockdown-for-student-medical-emergency</v>
      </c>
      <c r="L1535" s="8"/>
      <c r="M1535" s="8"/>
      <c r="N1535" s="8">
        <f ca="1">IFERROR(__xludf.DUMMYFUNCTION("""COMPUTED_VALUE"""),3)</f>
        <v>3</v>
      </c>
      <c r="O1535" s="8" t="str">
        <f ca="1">IFERROR(__xludf.DUMMYFUNCTION("""COMPUTED_VALUE"""),"Winter")</f>
        <v>Winter</v>
      </c>
      <c r="P1535" s="8" t="str">
        <f ca="1">IFERROR(__xludf.DUMMYFUNCTION("""COMPUTED_VALUE"""),"Summerville")</f>
        <v>Summerville</v>
      </c>
      <c r="Q1535" s="8" t="str">
        <f ca="1">IFERROR(__xludf.DUMMYFUNCTION("""COMPUTED_VALUE"""),"SC")</f>
        <v>SC</v>
      </c>
      <c r="R1535" s="8" t="str">
        <f ca="1">IFERROR(__xludf.DUMMYFUNCTION("""COMPUTED_VALUE"""),"High")</f>
        <v>High</v>
      </c>
      <c r="S1535" s="8" t="str">
        <f ca="1">IFERROR(__xludf.DUMMYFUNCTION("""COMPUTED_VALUE"""),"Parking Lot")</f>
        <v>Parking Lot</v>
      </c>
      <c r="T1535" s="8" t="str">
        <f ca="1">IFERROR(__xludf.DUMMYFUNCTION("""COMPUTED_VALUE"""),"Outside on School Property")</f>
        <v>Outside on School Property</v>
      </c>
      <c r="U1535" s="8" t="str">
        <f ca="1">IFERROR(__xludf.DUMMYFUNCTION("""COMPUTED_VALUE"""),"Yes")</f>
        <v>Yes</v>
      </c>
      <c r="V1535" s="8" t="str">
        <f ca="1">IFERROR(__xludf.DUMMYFUNCTION("""COMPUTED_VALUE"""),"Morning Classes")</f>
        <v>Morning Classes</v>
      </c>
      <c r="W1535" s="11">
        <f ca="1">IFERROR(__xludf.DUMMYFUNCTION("""COMPUTED_VALUE"""),0.458333333333333)</f>
        <v>0.45833333333333298</v>
      </c>
      <c r="X1535" s="8">
        <f ca="1">IFERROR(__xludf.DUMMYFUNCTION("""COMPUTED_VALUE"""),1)</f>
        <v>1</v>
      </c>
      <c r="Y1535" s="12" t="str">
        <f ca="1">IFERROR(__xludf.DUMMYFUNCTION("""COMPUTED_VALUE"""),"16YOM found dead in vehicle in school parking lot, school locked down")</f>
        <v>16YOM found dead in vehicle in school parking lot, school locked down</v>
      </c>
      <c r="Z1535" s="12" t="str">
        <f ca="1">IFERROR(__xludf.DUMMYFUNCTION("""COMPUTED_VALUE"""),"16YOM student found dead in vehicle in school parking lot. School was locked down and police reported that there was not an active shooter while they were conducting an investigation in the parking lot. Shooting has not yet been confirmed by law enforceme"&amp;"nt or school officials.")</f>
        <v>16YOM student found dead in vehicle in school parking lot. School was locked down and police reported that there was not an active shooter while they were conducting an investigation in the parking lot. Shooting has not yet been confirmed by law enforcement or school officials.</v>
      </c>
      <c r="AA1535" s="8" t="str">
        <f ca="1">IFERROR(__xludf.DUMMYFUNCTION("""COMPUTED_VALUE"""),"Suicide/Attempted")</f>
        <v>Suicide/Attempted</v>
      </c>
      <c r="AB1535" s="8"/>
      <c r="AC1535" s="8" t="str">
        <f ca="1">IFERROR(__xludf.DUMMYFUNCTION("""COMPUTED_VALUE"""),"Yes")</f>
        <v>Yes</v>
      </c>
      <c r="AD1535" s="8" t="str">
        <f ca="1">IFERROR(__xludf.DUMMYFUNCTION("""COMPUTED_VALUE"""),"Victims Targeted")</f>
        <v>Victims Targeted</v>
      </c>
      <c r="AE1535" s="8" t="str">
        <f ca="1">IFERROR(__xludf.DUMMYFUNCTION("""COMPUTED_VALUE"""),"No")</f>
        <v>No</v>
      </c>
      <c r="AF1535" s="8"/>
      <c r="AG1535" s="8" t="str">
        <f ca="1">IFERROR(__xludf.DUMMYFUNCTION("""COMPUTED_VALUE"""),"No")</f>
        <v>No</v>
      </c>
      <c r="AH1535" s="8" t="str">
        <f ca="1">IFERROR(__xludf.DUMMYFUNCTION("""COMPUTED_VALUE"""),"No")</f>
        <v>No</v>
      </c>
      <c r="AI1535" s="8" t="str">
        <f ca="1">IFERROR(__xludf.DUMMYFUNCTION("""COMPUTED_VALUE"""),"No")</f>
        <v>No</v>
      </c>
      <c r="AJ1535" s="8"/>
      <c r="AK1535" s="8" t="str">
        <f ca="1">IFERROR(__xludf.DUMMYFUNCTION("""COMPUTED_VALUE"""),"No")</f>
        <v>No</v>
      </c>
      <c r="AL1535" s="8" t="str">
        <f ca="1">IFERROR(__xludf.DUMMYFUNCTION("""COMPUTED_VALUE"""),"No")</f>
        <v>No</v>
      </c>
      <c r="AM1535" s="8" t="str">
        <f ca="1">IFERROR(__xludf.DUMMYFUNCTION("""COMPUTED_VALUE"""),"No")</f>
        <v>No</v>
      </c>
      <c r="AN1535" s="8"/>
      <c r="AO1535" s="8" t="str">
        <f ca="1">IFERROR(__xludf.DUMMYFUNCTION("""COMPUTED_VALUE"""),"No")</f>
        <v>No</v>
      </c>
      <c r="AP1535" s="8"/>
      <c r="AQ1535" s="8" t="str">
        <f ca="1">IFERROR(__xludf.DUMMYFUNCTION("""COMPUTED_VALUE"""),"Unknown")</f>
        <v>Unknown</v>
      </c>
      <c r="AR1535" s="8" t="str">
        <f ca="1">IFERROR(__xludf.DUMMYFUNCTION("""COMPUTED_VALUE"""),"NA")</f>
        <v>NA</v>
      </c>
      <c r="AS1535" s="8">
        <f ca="1">IFERROR(__xludf.DUMMYFUNCTION("""COMPUTED_VALUE"""),1)</f>
        <v>1</v>
      </c>
      <c r="AT1535" s="8" t="str">
        <f ca="1">IFERROR(__xludf.DUMMYFUNCTION("""COMPUTED_VALUE"""),"Yes")</f>
        <v>Yes</v>
      </c>
      <c r="AU1535" s="8">
        <f ca="1">IFERROR(__xludf.DUMMYFUNCTION("""COMPUTED_VALUE"""),33.101702)</f>
        <v>33.101702000000003</v>
      </c>
      <c r="AV1535" s="8">
        <f ca="1">IFERROR(__xludf.DUMMYFUNCTION("""COMPUTED_VALUE"""),-80.122297)</f>
        <v>-80.122297000000003</v>
      </c>
      <c r="AW1535" s="8"/>
      <c r="AX1535" s="8">
        <f ca="1">IFERROR(__xludf.DUMMYFUNCTION("""COMPUTED_VALUE"""),29486)</f>
        <v>29486</v>
      </c>
    </row>
    <row r="1536" spans="1:50" ht="75" x14ac:dyDescent="0.2">
      <c r="A1536" s="8" t="str">
        <f ca="1">IFERROR(__xludf.DUMMYFUNCTION("""COMPUTED_VALUE"""),"20200117MITHH")</f>
        <v>20200117MITHH</v>
      </c>
      <c r="B1536" s="8">
        <f ca="1">IFERROR(__xludf.DUMMYFUNCTION("""COMPUTED_VALUE"""),1)</f>
        <v>1</v>
      </c>
      <c r="C1536" s="8">
        <f ca="1">IFERROR(__xludf.DUMMYFUNCTION("""COMPUTED_VALUE"""),17)</f>
        <v>17</v>
      </c>
      <c r="D1536" s="8">
        <f ca="1">IFERROR(__xludf.DUMMYFUNCTION("""COMPUTED_VALUE"""),2020)</f>
        <v>2020</v>
      </c>
      <c r="E1536" s="9">
        <f ca="1">IFERROR(__xludf.DUMMYFUNCTION("""COMPUTED_VALUE"""),43847)</f>
        <v>43847</v>
      </c>
      <c r="F1536" s="8" t="str">
        <f ca="1">IFERROR(__xludf.DUMMYFUNCTION("""COMPUTED_VALUE"""),"Three Fires Elementary School")</f>
        <v>Three Fires Elementary School</v>
      </c>
      <c r="G1536" s="8">
        <f ca="1">IFERROR(__xludf.DUMMYFUNCTION("""COMPUTED_VALUE"""),0)</f>
        <v>0</v>
      </c>
      <c r="H1536" s="8">
        <f ca="1">IFERROR(__xludf.DUMMYFUNCTION("""COMPUTED_VALUE"""),1)</f>
        <v>1</v>
      </c>
      <c r="I1536" s="8">
        <f ca="1">IFERROR(__xludf.DUMMYFUNCTION("""COMPUTED_VALUE"""),1)</f>
        <v>1</v>
      </c>
      <c r="J1536" s="8">
        <f ca="1">IFERROR(__xludf.DUMMYFUNCTION("""COMPUTED_VALUE"""),0)</f>
        <v>0</v>
      </c>
      <c r="K1536" s="8" t="str">
        <f ca="1">IFERROR(__xludf.DUMMYFUNCTION("""COMPUTED_VALUE"""),"https://www.whmi.com/news/article/three-fires-elementary-school-shooting https://www.fox2detroit.com/news/man-accidentally-shoots-himself-outside-brighton-area-elementary-school https://www.wxyz.com/news/parent-charged-after-gun-goes-off-at-howell-element"&amp;"ary-school https://www.livingstondaily.com/story/news/local/2020/03/09/man-whose-gun-went-off-howell-school-parking-lot-pleads-guilty/5002939002/ https://www.livingstondaily.com/story/news/local/2020/07/14/man-who-accidentally-shot-himself-near-howell-sch"&amp;"ool-sentenced/5430842002/")</f>
        <v>https://www.whmi.com/news/article/three-fires-elementary-school-shooting https://www.fox2detroit.com/news/man-accidentally-shoots-himself-outside-brighton-area-elementary-school https://www.wxyz.com/news/parent-charged-after-gun-goes-off-at-howell-elementary-school https://www.livingstondaily.com/story/news/local/2020/03/09/man-whose-gun-went-off-howell-school-parking-lot-pleads-guilty/5002939002/ https://www.livingstondaily.com/story/news/local/2020/07/14/man-who-accidentally-shot-himself-near-howell-school-sentenced/5430842002/</v>
      </c>
      <c r="L1536" s="8"/>
      <c r="M1536" s="8"/>
      <c r="N1536" s="8">
        <f ca="1">IFERROR(__xludf.DUMMYFUNCTION("""COMPUTED_VALUE"""),5)</f>
        <v>5</v>
      </c>
      <c r="O1536" s="8" t="str">
        <f ca="1">IFERROR(__xludf.DUMMYFUNCTION("""COMPUTED_VALUE"""),"Winter")</f>
        <v>Winter</v>
      </c>
      <c r="P1536" s="8" t="str">
        <f ca="1">IFERROR(__xludf.DUMMYFUNCTION("""COMPUTED_VALUE"""),"Howell")</f>
        <v>Howell</v>
      </c>
      <c r="Q1536" s="8" t="str">
        <f ca="1">IFERROR(__xludf.DUMMYFUNCTION("""COMPUTED_VALUE"""),"MI")</f>
        <v>MI</v>
      </c>
      <c r="R1536" s="8" t="str">
        <f ca="1">IFERROR(__xludf.DUMMYFUNCTION("""COMPUTED_VALUE"""),"Elementary")</f>
        <v>Elementary</v>
      </c>
      <c r="S1536" s="8" t="str">
        <f ca="1">IFERROR(__xludf.DUMMYFUNCTION("""COMPUTED_VALUE"""),"Parking Lot")</f>
        <v>Parking Lot</v>
      </c>
      <c r="T1536" s="8" t="str">
        <f ca="1">IFERROR(__xludf.DUMMYFUNCTION("""COMPUTED_VALUE"""),"Outside on School Property")</f>
        <v>Outside on School Property</v>
      </c>
      <c r="U1536" s="8" t="str">
        <f ca="1">IFERROR(__xludf.DUMMYFUNCTION("""COMPUTED_VALUE"""),"Yes")</f>
        <v>Yes</v>
      </c>
      <c r="V1536" s="8" t="str">
        <f ca="1">IFERROR(__xludf.DUMMYFUNCTION("""COMPUTED_VALUE"""),"Dismissal")</f>
        <v>Dismissal</v>
      </c>
      <c r="W1536" s="11">
        <f ca="1">IFERROR(__xludf.DUMMYFUNCTION("""COMPUTED_VALUE"""),0.635416666666666)</f>
        <v>0.63541666666666596</v>
      </c>
      <c r="X1536" s="8">
        <f ca="1">IFERROR(__xludf.DUMMYFUNCTION("""COMPUTED_VALUE"""),1)</f>
        <v>1</v>
      </c>
      <c r="Y1536" s="12" t="str">
        <f ca="1">IFERROR(__xludf.DUMMYFUNCTION("""COMPUTED_VALUE"""),"Parent shot self while adjusting gun in vehicle while waiting to pick up child")</f>
        <v>Parent shot self while adjusting gun in vehicle while waiting to pick up child</v>
      </c>
      <c r="Z1536" s="12" t="str">
        <f ca="1">IFERROR(__xludf.DUMMYFUNCTION("""COMPUTED_VALUE"""),"Parent was waiting in vehicle in the school parking lot for child. Adjusted gun and shot himself in the leg. School went on lockdown. Transported in critical condition. Victim did not have a weapons permit and may face charges.")</f>
        <v>Parent was waiting in vehicle in the school parking lot for child. Adjusted gun and shot himself in the leg. School went on lockdown. Transported in critical condition. Victim did not have a weapons permit and may face charges.</v>
      </c>
      <c r="AA1536" s="8" t="str">
        <f ca="1">IFERROR(__xludf.DUMMYFUNCTION("""COMPUTED_VALUE"""),"Accidental")</f>
        <v>Accidental</v>
      </c>
      <c r="AB1536" s="8"/>
      <c r="AC1536" s="8" t="str">
        <f ca="1">IFERROR(__xludf.DUMMYFUNCTION("""COMPUTED_VALUE"""),"Yes")</f>
        <v>Yes</v>
      </c>
      <c r="AD1536" s="8" t="str">
        <f ca="1">IFERROR(__xludf.DUMMYFUNCTION("""COMPUTED_VALUE"""),"Neither")</f>
        <v>Neither</v>
      </c>
      <c r="AE1536" s="8" t="str">
        <f ca="1">IFERROR(__xludf.DUMMYFUNCTION("""COMPUTED_VALUE"""),"No")</f>
        <v>No</v>
      </c>
      <c r="AF1536" s="8"/>
      <c r="AG1536" s="8" t="str">
        <f ca="1">IFERROR(__xludf.DUMMYFUNCTION("""COMPUTED_VALUE"""),"No")</f>
        <v>No</v>
      </c>
      <c r="AH1536" s="8" t="str">
        <f ca="1">IFERROR(__xludf.DUMMYFUNCTION("""COMPUTED_VALUE"""),"No")</f>
        <v>No</v>
      </c>
      <c r="AI1536" s="8" t="str">
        <f ca="1">IFERROR(__xludf.DUMMYFUNCTION("""COMPUTED_VALUE"""),"No")</f>
        <v>No</v>
      </c>
      <c r="AJ1536" s="8" t="str">
        <f ca="1">IFERROR(__xludf.DUMMYFUNCTION("""COMPUTED_VALUE"""),"No")</f>
        <v>No</v>
      </c>
      <c r="AK1536" s="8" t="str">
        <f ca="1">IFERROR(__xludf.DUMMYFUNCTION("""COMPUTED_VALUE"""),"No")</f>
        <v>No</v>
      </c>
      <c r="AL1536" s="8" t="str">
        <f ca="1">IFERROR(__xludf.DUMMYFUNCTION("""COMPUTED_VALUE"""),"No")</f>
        <v>No</v>
      </c>
      <c r="AM1536" s="8" t="str">
        <f ca="1">IFERROR(__xludf.DUMMYFUNCTION("""COMPUTED_VALUE"""),"No")</f>
        <v>No</v>
      </c>
      <c r="AN1536" s="8"/>
      <c r="AO1536" s="8" t="str">
        <f ca="1">IFERROR(__xludf.DUMMYFUNCTION("""COMPUTED_VALUE"""),"No")</f>
        <v>No</v>
      </c>
      <c r="AP1536" s="8"/>
      <c r="AQ1536" s="8" t="str">
        <f ca="1">IFERROR(__xludf.DUMMYFUNCTION("""COMPUTED_VALUE"""),"Unknown")</f>
        <v>Unknown</v>
      </c>
      <c r="AR1536" s="8" t="str">
        <f ca="1">IFERROR(__xludf.DUMMYFUNCTION("""COMPUTED_VALUE"""),"Outside/Off-Property")</f>
        <v>Outside/Off-Property</v>
      </c>
      <c r="AS1536" s="8">
        <f ca="1">IFERROR(__xludf.DUMMYFUNCTION("""COMPUTED_VALUE"""),1)</f>
        <v>1</v>
      </c>
      <c r="AT1536" s="8" t="str">
        <f ca="1">IFERROR(__xludf.DUMMYFUNCTION("""COMPUTED_VALUE"""),"Yes")</f>
        <v>Yes</v>
      </c>
      <c r="AU1536" s="8">
        <f ca="1">IFERROR(__xludf.DUMMYFUNCTION("""COMPUTED_VALUE"""),42.55576)</f>
        <v>42.555759999999999</v>
      </c>
      <c r="AV1536" s="8">
        <f ca="1">IFERROR(__xludf.DUMMYFUNCTION("""COMPUTED_VALUE"""),-83.870533)</f>
        <v>-83.870532999999995</v>
      </c>
      <c r="AW1536" s="8"/>
      <c r="AX1536" s="8">
        <f ca="1">IFERROR(__xludf.DUMMYFUNCTION("""COMPUTED_VALUE"""),48843)</f>
        <v>48843</v>
      </c>
    </row>
    <row r="1537" spans="1:50" ht="90" x14ac:dyDescent="0.2">
      <c r="A1537" s="8" t="str">
        <f ca="1">IFERROR(__xludf.DUMMYFUNCTION("""COMPUTED_VALUE"""),"20200114TXPOM")</f>
        <v>20200114TXPOM</v>
      </c>
      <c r="B1537" s="8">
        <f ca="1">IFERROR(__xludf.DUMMYFUNCTION("""COMPUTED_VALUE"""),1)</f>
        <v>1</v>
      </c>
      <c r="C1537" s="8">
        <f ca="1">IFERROR(__xludf.DUMMYFUNCTION("""COMPUTED_VALUE"""),14)</f>
        <v>14</v>
      </c>
      <c r="D1537" s="8">
        <f ca="1">IFERROR(__xludf.DUMMYFUNCTION("""COMPUTED_VALUE"""),2020)</f>
        <v>2020</v>
      </c>
      <c r="E1537" s="9">
        <f ca="1">IFERROR(__xludf.DUMMYFUNCTION("""COMPUTED_VALUE"""),43844)</f>
        <v>43844</v>
      </c>
      <c r="F1537" s="8" t="str">
        <f ca="1">IFERROR(__xludf.DUMMYFUNCTION("""COMPUTED_VALUE"""),"Poteet High School")</f>
        <v>Poteet High School</v>
      </c>
      <c r="G1537" s="8">
        <f ca="1">IFERROR(__xludf.DUMMYFUNCTION("""COMPUTED_VALUE"""),0)</f>
        <v>0</v>
      </c>
      <c r="H1537" s="8">
        <f ca="1">IFERROR(__xludf.DUMMYFUNCTION("""COMPUTED_VALUE"""),0)</f>
        <v>0</v>
      </c>
      <c r="I1537" s="8">
        <f ca="1">IFERROR(__xludf.DUMMYFUNCTION("""COMPUTED_VALUE"""),0)</f>
        <v>0</v>
      </c>
      <c r="J1537" s="8">
        <f ca="1">IFERROR(__xludf.DUMMYFUNCTION("""COMPUTED_VALUE"""),0)</f>
        <v>0</v>
      </c>
      <c r="K1537" s="8" t="str">
        <f ca="1">IFERROR(__xludf.DUMMYFUNCTION("""COMPUTED_VALUE"""),"https://www.wfaa.com/article/news/crime/two-teens-accused-of-firing-shots-after-poteet-high-school-basketball-game-mesquite-police-say/287-be694dc8-7c03-4c2f-a3be-7dc19e956cfb https://www.dallasnews.com/news/2020/01/17/two-arrests-made-after-gunshots-were"&amp;"-fired-near-poteet-high-school-mesquite-police-say/")</f>
        <v>https://www.wfaa.com/article/news/crime/two-teens-accused-of-firing-shots-after-poteet-high-school-basketball-game-mesquite-police-say/287-be694dc8-7c03-4c2f-a3be-7dc19e956cfb https://www.dallasnews.com/news/2020/01/17/two-arrests-made-after-gunshots-were-fired-near-poteet-high-school-mesquite-police-say/</v>
      </c>
      <c r="L1537" s="8"/>
      <c r="M1537" s="8"/>
      <c r="N1537" s="8">
        <f ca="1">IFERROR(__xludf.DUMMYFUNCTION("""COMPUTED_VALUE"""),4)</f>
        <v>4</v>
      </c>
      <c r="O1537" s="8" t="str">
        <f ca="1">IFERROR(__xludf.DUMMYFUNCTION("""COMPUTED_VALUE"""),"Winter")</f>
        <v>Winter</v>
      </c>
      <c r="P1537" s="8" t="str">
        <f ca="1">IFERROR(__xludf.DUMMYFUNCTION("""COMPUTED_VALUE"""),"Mesquite")</f>
        <v>Mesquite</v>
      </c>
      <c r="Q1537" s="8" t="str">
        <f ca="1">IFERROR(__xludf.DUMMYFUNCTION("""COMPUTED_VALUE"""),"TX")</f>
        <v>TX</v>
      </c>
      <c r="R1537" s="8" t="str">
        <f ca="1">IFERROR(__xludf.DUMMYFUNCTION("""COMPUTED_VALUE"""),"High")</f>
        <v>High</v>
      </c>
      <c r="S1537" s="8" t="str">
        <f ca="1">IFERROR(__xludf.DUMMYFUNCTION("""COMPUTED_VALUE"""),"Parking Lot")</f>
        <v>Parking Lot</v>
      </c>
      <c r="T1537" s="8" t="str">
        <f ca="1">IFERROR(__xludf.DUMMYFUNCTION("""COMPUTED_VALUE"""),"Outside on School Property")</f>
        <v>Outside on School Property</v>
      </c>
      <c r="U1537" s="8" t="str">
        <f ca="1">IFERROR(__xludf.DUMMYFUNCTION("""COMPUTED_VALUE"""),"No")</f>
        <v>No</v>
      </c>
      <c r="V1537" s="8" t="str">
        <f ca="1">IFERROR(__xludf.DUMMYFUNCTION("""COMPUTED_VALUE"""),"Sport Event")</f>
        <v>Sport Event</v>
      </c>
      <c r="W1537" s="11">
        <f ca="1">IFERROR(__xludf.DUMMYFUNCTION("""COMPUTED_VALUE"""),0.847222222222222)</f>
        <v>0.84722222222222199</v>
      </c>
      <c r="X1537" s="8">
        <f ca="1">IFERROR(__xludf.DUMMYFUNCTION("""COMPUTED_VALUE"""),1)</f>
        <v>1</v>
      </c>
      <c r="Y1537" s="12" t="str">
        <f ca="1">IFERROR(__xludf.DUMMYFUNCTION("""COMPUTED_VALUE"""),"Two non-student teens fired shots in the school parking lot following an altercation at a basketball game")</f>
        <v>Two non-student teens fired shots in the school parking lot following an altercation at a basketball game</v>
      </c>
      <c r="Z1537" s="12" t="str">
        <f ca="1">IFERROR(__xludf.DUMMYFUNCTION("""COMPUTED_VALUE"""),"Two 17YOM non-students fired shots at a group in the school parking lot following an altercation at the basketball game. School resources officers assigned to the game heard the shots. Suspects fled and were later arrested. No injuries.")</f>
        <v>Two 17YOM non-students fired shots at a group in the school parking lot following an altercation at the basketball game. School resources officers assigned to the game heard the shots. Suspects fled and were later arrested. No injuries.</v>
      </c>
      <c r="AA1537" s="8" t="str">
        <f ca="1">IFERROR(__xludf.DUMMYFUNCTION("""COMPUTED_VALUE"""),"Escalation of Dispute")</f>
        <v>Escalation of Dispute</v>
      </c>
      <c r="AB1537" s="8"/>
      <c r="AC1537" s="8" t="str">
        <f ca="1">IFERROR(__xludf.DUMMYFUNCTION("""COMPUTED_VALUE"""),"Yes")</f>
        <v>Yes</v>
      </c>
      <c r="AD1537" s="8" t="str">
        <f ca="1">IFERROR(__xludf.DUMMYFUNCTION("""COMPUTED_VALUE"""),"Victims Targeted")</f>
        <v>Victims Targeted</v>
      </c>
      <c r="AE1537" s="8" t="str">
        <f ca="1">IFERROR(__xludf.DUMMYFUNCTION("""COMPUTED_VALUE"""),"Yes")</f>
        <v>Yes</v>
      </c>
      <c r="AF1537" s="8" t="str">
        <f ca="1">IFERROR(__xludf.DUMMYFUNCTION("""COMPUTED_VALUE"""),"Two arrested")</f>
        <v>Two arrested</v>
      </c>
      <c r="AG1537" s="8" t="str">
        <f ca="1">IFERROR(__xludf.DUMMYFUNCTION("""COMPUTED_VALUE"""),"No")</f>
        <v>No</v>
      </c>
      <c r="AH1537" s="8" t="str">
        <f ca="1">IFERROR(__xludf.DUMMYFUNCTION("""COMPUTED_VALUE"""),"No")</f>
        <v>No</v>
      </c>
      <c r="AI1537" s="8" t="str">
        <f ca="1">IFERROR(__xludf.DUMMYFUNCTION("""COMPUTED_VALUE"""),"No")</f>
        <v>No</v>
      </c>
      <c r="AJ1537" s="8" t="str">
        <f ca="1">IFERROR(__xludf.DUMMYFUNCTION("""COMPUTED_VALUE"""),"No")</f>
        <v>No</v>
      </c>
      <c r="AK1537" s="8" t="str">
        <f ca="1">IFERROR(__xludf.DUMMYFUNCTION("""COMPUTED_VALUE"""),"No")</f>
        <v>No</v>
      </c>
      <c r="AL1537" s="8" t="str">
        <f ca="1">IFERROR(__xludf.DUMMYFUNCTION("""COMPUTED_VALUE"""),"No")</f>
        <v>No</v>
      </c>
      <c r="AM1537" s="8" t="str">
        <f ca="1">IFERROR(__xludf.DUMMYFUNCTION("""COMPUTED_VALUE"""),"No")</f>
        <v>No</v>
      </c>
      <c r="AN1537" s="8"/>
      <c r="AO1537" s="8" t="str">
        <f ca="1">IFERROR(__xludf.DUMMYFUNCTION("""COMPUTED_VALUE"""),"No")</f>
        <v>No</v>
      </c>
      <c r="AP1537" s="8" t="str">
        <f ca="1">IFERROR(__xludf.DUMMYFUNCTION("""COMPUTED_VALUE"""),"Yes")</f>
        <v>Yes</v>
      </c>
      <c r="AQ1537" s="8" t="str">
        <f ca="1">IFERROR(__xludf.DUMMYFUNCTION("""COMPUTED_VALUE"""),"None")</f>
        <v>None</v>
      </c>
      <c r="AR1537" s="8" t="str">
        <f ca="1">IFERROR(__xludf.DUMMYFUNCTION("""COMPUTED_VALUE"""),"NA")</f>
        <v>NA</v>
      </c>
      <c r="AS1537" s="8"/>
      <c r="AT1537" s="8"/>
      <c r="AU1537" s="8">
        <f ca="1">IFERROR(__xludf.DUMMYFUNCTION("""COMPUTED_VALUE"""),32.807212)</f>
        <v>32.807212</v>
      </c>
      <c r="AV1537" s="8">
        <f ca="1">IFERROR(__xludf.DUMMYFUNCTION("""COMPUTED_VALUE"""),-96.608593)</f>
        <v>-96.608592999999999</v>
      </c>
      <c r="AW1537" s="8"/>
      <c r="AX1537" s="8">
        <f ca="1">IFERROR(__xludf.DUMMYFUNCTION("""COMPUTED_VALUE"""),75150)</f>
        <v>75150</v>
      </c>
    </row>
    <row r="1538" spans="1:50" ht="150" x14ac:dyDescent="0.2">
      <c r="A1538" s="8" t="str">
        <f ca="1">IFERROR(__xludf.DUMMYFUNCTION("""COMPUTED_VALUE"""),"20200114TXBEH")</f>
        <v>20200114TXBEH</v>
      </c>
      <c r="B1538" s="8">
        <f ca="1">IFERROR(__xludf.DUMMYFUNCTION("""COMPUTED_VALUE"""),1)</f>
        <v>1</v>
      </c>
      <c r="C1538" s="8">
        <f ca="1">IFERROR(__xludf.DUMMYFUNCTION("""COMPUTED_VALUE"""),14)</f>
        <v>14</v>
      </c>
      <c r="D1538" s="8">
        <f ca="1">IFERROR(__xludf.DUMMYFUNCTION("""COMPUTED_VALUE"""),2020)</f>
        <v>2020</v>
      </c>
      <c r="E1538" s="9">
        <f ca="1">IFERROR(__xludf.DUMMYFUNCTION("""COMPUTED_VALUE"""),43844)</f>
        <v>43844</v>
      </c>
      <c r="F1538" s="8" t="str">
        <f ca="1">IFERROR(__xludf.DUMMYFUNCTION("""COMPUTED_VALUE"""),"Bellaire High School")</f>
        <v>Bellaire High School</v>
      </c>
      <c r="G1538" s="8">
        <f ca="1">IFERROR(__xludf.DUMMYFUNCTION("""COMPUTED_VALUE"""),1)</f>
        <v>1</v>
      </c>
      <c r="H1538" s="8">
        <f ca="1">IFERROR(__xludf.DUMMYFUNCTION("""COMPUTED_VALUE"""),0)</f>
        <v>0</v>
      </c>
      <c r="I1538" s="8">
        <f ca="1">IFERROR(__xludf.DUMMYFUNCTION("""COMPUTED_VALUE"""),1)</f>
        <v>1</v>
      </c>
      <c r="J1538" s="8">
        <f ca="1">IFERROR(__xludf.DUMMYFUNCTION("""COMPUTED_VALUE"""),0)</f>
        <v>0</v>
      </c>
      <c r="K1538" s="8" t="str">
        <f ca="1">IFERROR(__xludf.DUMMYFUNCTION("""COMPUTED_VALUE"""),"https://www.khou.com/article/news/crime/bellaire-high-school-shooting-suspect-charged-with-manslaughter/285-594a3ef4-4280-45f2-b548-dafe640e5ee6 https://kfdm.com/news/local/teen-charged-with-manslaughter-in-shooting-death-of-bellaire-high-school-student h"&amp;"ttps://www.khou.com/article/news/verify/verify-why-was-bellaire-high-school-shooting-suspect-not-charged-with-murder/285-a18a16a6-e585-4fba-adfc-d32a52ddf65c https://hosted.ap.org/citizensvoice/article/86d113f968f22a4b34c4ee7288d11920/minor-charged-mansla"&amp;"ughter-texas-school-shooting https://abc13.com/bellaire-hs-shooting-suspect-charged-with-manslaughter/5850016/")</f>
        <v>https://www.khou.com/article/news/crime/bellaire-high-school-shooting-suspect-charged-with-manslaughter/285-594a3ef4-4280-45f2-b548-dafe640e5ee6 https://kfdm.com/news/local/teen-charged-with-manslaughter-in-shooting-death-of-bellaire-high-school-student https://www.khou.com/article/news/verify/verify-why-was-bellaire-high-school-shooting-suspect-not-charged-with-murder/285-a18a16a6-e585-4fba-adfc-d32a52ddf65c https://hosted.ap.org/citizensvoice/article/86d113f968f22a4b34c4ee7288d11920/minor-charged-manslaughter-texas-school-shooting https://abc13.com/bellaire-hs-shooting-suspect-charged-with-manslaughter/5850016/</v>
      </c>
      <c r="L1538" s="8"/>
      <c r="M1538" s="8"/>
      <c r="N1538" s="8">
        <f ca="1">IFERROR(__xludf.DUMMYFUNCTION("""COMPUTED_VALUE"""),4)</f>
        <v>4</v>
      </c>
      <c r="O1538" s="8" t="str">
        <f ca="1">IFERROR(__xludf.DUMMYFUNCTION("""COMPUTED_VALUE"""),"Winter")</f>
        <v>Winter</v>
      </c>
      <c r="P1538" s="8" t="str">
        <f ca="1">IFERROR(__xludf.DUMMYFUNCTION("""COMPUTED_VALUE"""),"Houston")</f>
        <v>Houston</v>
      </c>
      <c r="Q1538" s="8" t="str">
        <f ca="1">IFERROR(__xludf.DUMMYFUNCTION("""COMPUTED_VALUE"""),"TX")</f>
        <v>TX</v>
      </c>
      <c r="R1538" s="8" t="str">
        <f ca="1">IFERROR(__xludf.DUMMYFUNCTION("""COMPUTED_VALUE"""),"High")</f>
        <v>High</v>
      </c>
      <c r="S1538" s="8" t="str">
        <f ca="1">IFERROR(__xludf.DUMMYFUNCTION("""COMPUTED_VALUE"""),"Classroom")</f>
        <v>Classroom</v>
      </c>
      <c r="T1538" s="8" t="str">
        <f ca="1">IFERROR(__xludf.DUMMYFUNCTION("""COMPUTED_VALUE"""),"Inside School Building")</f>
        <v>Inside School Building</v>
      </c>
      <c r="U1538" s="8" t="str">
        <f ca="1">IFERROR(__xludf.DUMMYFUNCTION("""COMPUTED_VALUE"""),"Yes")</f>
        <v>Yes</v>
      </c>
      <c r="V1538" s="8" t="str">
        <f ca="1">IFERROR(__xludf.DUMMYFUNCTION("""COMPUTED_VALUE"""),"Dismissal")</f>
        <v>Dismissal</v>
      </c>
      <c r="W1538" s="11">
        <f ca="1">IFERROR(__xludf.DUMMYFUNCTION("""COMPUTED_VALUE"""),0.666666666666666)</f>
        <v>0.66666666666666596</v>
      </c>
      <c r="X1538" s="8">
        <f ca="1">IFERROR(__xludf.DUMMYFUNCTION("""COMPUTED_VALUE"""),1)</f>
        <v>1</v>
      </c>
      <c r="Y1538" s="12" t="str">
        <f ca="1">IFERROR(__xludf.DUMMYFUNCTION("""COMPUTED_VALUE"""),"16YOM student shot 19YON student inside the school and then fled")</f>
        <v>16YOM student shot 19YON student inside the school and then fled</v>
      </c>
      <c r="Z1538" s="12" t="str">
        <f ca="1">IFERROR(__xludf.DUMMYFUNCTION("""COMPUTED_VALUE"""),"16YOM student shot 19YOM student in the chest inside the school then fled the area. 4 students were inside a room when the shooting occurred. The school was locked down. 3.5 hours later, the shooter and another student were found by police behind a dumpst"&amp;"er in a shopping center parking lot. Students reported that both the shooter and victim were friends and members of the ROTC program. District Attorney stated the shooting was not intentional. Other students saw the shooter with the gun prior to the shoot"&amp;"ing but did not report it to school officials.")</f>
        <v>16YOM student shot 19YOM student in the chest inside the school then fled the area. 4 students were inside a room when the shooting occurred. The school was locked down. 3.5 hours later, the shooter and another student were found by police behind a dumpster in a shopping center parking lot. Students reported that both the shooter and victim were friends and members of the ROTC program. District Attorney stated the shooting was not intentional. Other students saw the shooter with the gun prior to the shooting but did not report it to school officials.</v>
      </c>
      <c r="AA1538" s="8" t="str">
        <f ca="1">IFERROR(__xludf.DUMMYFUNCTION("""COMPUTED_VALUE"""),"Accidental")</f>
        <v>Accidental</v>
      </c>
      <c r="AB1538" s="8"/>
      <c r="AC1538" s="8" t="str">
        <f ca="1">IFERROR(__xludf.DUMMYFUNCTION("""COMPUTED_VALUE"""),"Yes")</f>
        <v>Yes</v>
      </c>
      <c r="AD1538" s="8" t="str">
        <f ca="1">IFERROR(__xludf.DUMMYFUNCTION("""COMPUTED_VALUE"""),"Neither")</f>
        <v>Neither</v>
      </c>
      <c r="AE1538" s="8" t="str">
        <f ca="1">IFERROR(__xludf.DUMMYFUNCTION("""COMPUTED_VALUE"""),"Yes")</f>
        <v>Yes</v>
      </c>
      <c r="AF1538" s="8" t="str">
        <f ca="1">IFERROR(__xludf.DUMMYFUNCTION("""COMPUTED_VALUE"""),"2 arrested")</f>
        <v>2 arrested</v>
      </c>
      <c r="AG1538" s="8" t="str">
        <f ca="1">IFERROR(__xludf.DUMMYFUNCTION("""COMPUTED_VALUE"""),"No")</f>
        <v>No</v>
      </c>
      <c r="AH1538" s="8" t="str">
        <f ca="1">IFERROR(__xludf.DUMMYFUNCTION("""COMPUTED_VALUE"""),"No")</f>
        <v>No</v>
      </c>
      <c r="AI1538" s="8" t="str">
        <f ca="1">IFERROR(__xludf.DUMMYFUNCTION("""COMPUTED_VALUE"""),"No")</f>
        <v>No</v>
      </c>
      <c r="AJ1538" s="8" t="str">
        <f ca="1">IFERROR(__xludf.DUMMYFUNCTION("""COMPUTED_VALUE"""),"No")</f>
        <v>No</v>
      </c>
      <c r="AK1538" s="8" t="str">
        <f ca="1">IFERROR(__xludf.DUMMYFUNCTION("""COMPUTED_VALUE"""),"No")</f>
        <v>No</v>
      </c>
      <c r="AL1538" s="8" t="str">
        <f ca="1">IFERROR(__xludf.DUMMYFUNCTION("""COMPUTED_VALUE"""),"No")</f>
        <v>No</v>
      </c>
      <c r="AM1538" s="8" t="str">
        <f ca="1">IFERROR(__xludf.DUMMYFUNCTION("""COMPUTED_VALUE"""),"No")</f>
        <v>No</v>
      </c>
      <c r="AN1538" s="8"/>
      <c r="AO1538" s="8" t="str">
        <f ca="1">IFERROR(__xludf.DUMMYFUNCTION("""COMPUTED_VALUE"""),"No")</f>
        <v>No</v>
      </c>
      <c r="AP1538" s="8"/>
      <c r="AQ1538" s="8" t="str">
        <f ca="1">IFERROR(__xludf.DUMMYFUNCTION("""COMPUTED_VALUE"""),"Unknown")</f>
        <v>Unknown</v>
      </c>
      <c r="AR1538" s="8" t="str">
        <f ca="1">IFERROR(__xludf.DUMMYFUNCTION("""COMPUTED_VALUE"""),"NA")</f>
        <v>NA</v>
      </c>
      <c r="AS1538" s="8">
        <f ca="1">IFERROR(__xludf.DUMMYFUNCTION("""COMPUTED_VALUE"""),1)</f>
        <v>1</v>
      </c>
      <c r="AT1538" s="8" t="str">
        <f ca="1">IFERROR(__xludf.DUMMYFUNCTION("""COMPUTED_VALUE"""),"Yes")</f>
        <v>Yes</v>
      </c>
      <c r="AU1538" s="8">
        <f ca="1">IFERROR(__xludf.DUMMYFUNCTION("""COMPUTED_VALUE"""),29.691748)</f>
        <v>29.691748</v>
      </c>
      <c r="AV1538" s="8">
        <f ca="1">IFERROR(__xludf.DUMMYFUNCTION("""COMPUTED_VALUE"""),-95.468619)</f>
        <v>-95.468619000000004</v>
      </c>
      <c r="AW1538" s="8"/>
      <c r="AX1538" s="8">
        <f ca="1">IFERROR(__xludf.DUMMYFUNCTION("""COMPUTED_VALUE"""),77401)</f>
        <v>77401</v>
      </c>
    </row>
    <row r="1539" spans="1:50" ht="105" x14ac:dyDescent="0.2">
      <c r="A1539" s="8" t="str">
        <f ca="1">IFERROR(__xludf.DUMMYFUNCTION("""COMPUTED_VALUE"""),"20200111TXELD")</f>
        <v>20200111TXELD</v>
      </c>
      <c r="B1539" s="8">
        <f ca="1">IFERROR(__xludf.DUMMYFUNCTION("""COMPUTED_VALUE"""),1)</f>
        <v>1</v>
      </c>
      <c r="C1539" s="8">
        <f ca="1">IFERROR(__xludf.DUMMYFUNCTION("""COMPUTED_VALUE"""),11)</f>
        <v>11</v>
      </c>
      <c r="D1539" s="8">
        <f ca="1">IFERROR(__xludf.DUMMYFUNCTION("""COMPUTED_VALUE"""),2020)</f>
        <v>2020</v>
      </c>
      <c r="E1539" s="9">
        <f ca="1">IFERROR(__xludf.DUMMYFUNCTION("""COMPUTED_VALUE"""),43841)</f>
        <v>43841</v>
      </c>
      <c r="F1539" s="8" t="str">
        <f ca="1">IFERROR(__xludf.DUMMYFUNCTION("""COMPUTED_VALUE"""),"Ellis Davis Field House")</f>
        <v>Ellis Davis Field House</v>
      </c>
      <c r="G1539" s="8">
        <f ca="1">IFERROR(__xludf.DUMMYFUNCTION("""COMPUTED_VALUE"""),1)</f>
        <v>1</v>
      </c>
      <c r="H1539" s="8">
        <f ca="1">IFERROR(__xludf.DUMMYFUNCTION("""COMPUTED_VALUE"""),1)</f>
        <v>1</v>
      </c>
      <c r="I1539" s="8">
        <f ca="1">IFERROR(__xludf.DUMMYFUNCTION("""COMPUTED_VALUE"""),2)</f>
        <v>2</v>
      </c>
      <c r="J1539" s="8">
        <f ca="1">IFERROR(__xludf.DUMMYFUNCTION("""COMPUTED_VALUE"""),0)</f>
        <v>0</v>
      </c>
      <c r="K1539" s="8" t="str">
        <f ca="1">IFERROR(__xludf.DUMMYFUNCTION("""COMPUTED_VALUE"""),"https://www.nbcdfw.com/news/local/juvenile-shot-inside-gym-at-basketball-game/2290801/ https://abcnews.go.com/US/police-officer-spectator-shot-high-school-basketball-game/story?id=68228376 https://www.fox10phoenix.com/news/15-year-old-arrested-for-shootin"&amp;"g-at-dallas-isd-high-school-basketball-game https://www.wfaa.com/article/news/local/dallas-isd-address-shooting-high-school-basketball-game/287-716163e1-eb61-495e-b832-e7df599168a1 https://abcnews.go.com/US/teen-facing-murder-charge-victim-shot-dallas-hig"&amp;"h/story?id=68385916")</f>
        <v>https://www.nbcdfw.com/news/local/juvenile-shot-inside-gym-at-basketball-game/2290801/ https://abcnews.go.com/US/police-officer-spectator-shot-high-school-basketball-game/story?id=68228376 https://www.fox10phoenix.com/news/15-year-old-arrested-for-shooting-at-dallas-isd-high-school-basketball-game https://www.wfaa.com/article/news/local/dallas-isd-address-shooting-high-school-basketball-game/287-716163e1-eb61-495e-b832-e7df599168a1 https://abcnews.go.com/US/teen-facing-murder-charge-victim-shot-dallas-high/story?id=68385916</v>
      </c>
      <c r="L1539" s="8"/>
      <c r="M1539" s="8"/>
      <c r="N1539" s="8">
        <f ca="1">IFERROR(__xludf.DUMMYFUNCTION("""COMPUTED_VALUE"""),4)</f>
        <v>4</v>
      </c>
      <c r="O1539" s="8" t="str">
        <f ca="1">IFERROR(__xludf.DUMMYFUNCTION("""COMPUTED_VALUE"""),"Winter")</f>
        <v>Winter</v>
      </c>
      <c r="P1539" s="8" t="str">
        <f ca="1">IFERROR(__xludf.DUMMYFUNCTION("""COMPUTED_VALUE"""),"Dallas")</f>
        <v>Dallas</v>
      </c>
      <c r="Q1539" s="8" t="str">
        <f ca="1">IFERROR(__xludf.DUMMYFUNCTION("""COMPUTED_VALUE"""),"TX")</f>
        <v>TX</v>
      </c>
      <c r="R1539" s="8" t="str">
        <f ca="1">IFERROR(__xludf.DUMMYFUNCTION("""COMPUTED_VALUE"""),"High")</f>
        <v>High</v>
      </c>
      <c r="S1539" s="8" t="str">
        <f ca="1">IFERROR(__xludf.DUMMYFUNCTION("""COMPUTED_VALUE"""),"Gym")</f>
        <v>Gym</v>
      </c>
      <c r="T1539" s="8" t="str">
        <f ca="1">IFERROR(__xludf.DUMMYFUNCTION("""COMPUTED_VALUE"""),"Inside School Building")</f>
        <v>Inside School Building</v>
      </c>
      <c r="U1539" s="8" t="str">
        <f ca="1">IFERROR(__xludf.DUMMYFUNCTION("""COMPUTED_VALUE"""),"No")</f>
        <v>No</v>
      </c>
      <c r="V1539" s="8" t="str">
        <f ca="1">IFERROR(__xludf.DUMMYFUNCTION("""COMPUTED_VALUE"""),"Sport Event")</f>
        <v>Sport Event</v>
      </c>
      <c r="W1539" s="11">
        <f ca="1">IFERROR(__xludf.DUMMYFUNCTION("""COMPUTED_VALUE"""),0.881944444444444)</f>
        <v>0.88194444444444398</v>
      </c>
      <c r="X1539" s="8">
        <f ca="1">IFERROR(__xludf.DUMMYFUNCTION("""COMPUTED_VALUE"""),1)</f>
        <v>1</v>
      </c>
      <c r="Y1539" s="12" t="str">
        <f ca="1">IFERROR(__xludf.DUMMYFUNCTION("""COMPUTED_VALUE"""),"18YOM and officer shot during fight at basketball game")</f>
        <v>18YOM and officer shot during fight at basketball game</v>
      </c>
      <c r="Z1539" s="12" t="str">
        <f ca="1">IFERROR(__xludf.DUMMYFUNCTION("""COMPUTED_VALUE"""),"18YOM former student and ISD police officer were shot during a fight at a high school basketball game. The shooter fled the scene with 2 other persons of interest. Players and fans took cover in the stands and some evacuated the area. The basketball game "&amp;"was part of a ribbon-cutting ceremony for the new facility. 15 YOM shooter turned himself in to police the following day.")</f>
        <v>18YOM former student and ISD police officer were shot during a fight at a high school basketball game. The shooter fled the scene with 2 other persons of interest. Players and fans took cover in the stands and some evacuated the area. The basketball game was part of a ribbon-cutting ceremony for the new facility. 15 YOM shooter turned himself in to police the following day.</v>
      </c>
      <c r="AA1539" s="8" t="str">
        <f ca="1">IFERROR(__xludf.DUMMYFUNCTION("""COMPUTED_VALUE"""),"Escalation of Dispute")</f>
        <v>Escalation of Dispute</v>
      </c>
      <c r="AB1539" s="8"/>
      <c r="AC1539" s="8" t="str">
        <f ca="1">IFERROR(__xludf.DUMMYFUNCTION("""COMPUTED_VALUE"""),"Yes")</f>
        <v>Yes</v>
      </c>
      <c r="AD1539" s="8" t="str">
        <f ca="1">IFERROR(__xludf.DUMMYFUNCTION("""COMPUTED_VALUE"""),"Both")</f>
        <v>Both</v>
      </c>
      <c r="AE1539" s="8" t="str">
        <f ca="1">IFERROR(__xludf.DUMMYFUNCTION("""COMPUTED_VALUE"""),"Yes")</f>
        <v>Yes</v>
      </c>
      <c r="AF1539" s="8" t="str">
        <f ca="1">IFERROR(__xludf.DUMMYFUNCTION("""COMPUTED_VALUE"""),"3 persons of interest on CCTV")</f>
        <v>3 persons of interest on CCTV</v>
      </c>
      <c r="AG1539" s="8" t="str">
        <f ca="1">IFERROR(__xludf.DUMMYFUNCTION("""COMPUTED_VALUE"""),"No")</f>
        <v>No</v>
      </c>
      <c r="AH1539" s="8" t="str">
        <f ca="1">IFERROR(__xludf.DUMMYFUNCTION("""COMPUTED_VALUE"""),"No")</f>
        <v>No</v>
      </c>
      <c r="AI1539" s="8" t="str">
        <f ca="1">IFERROR(__xludf.DUMMYFUNCTION("""COMPUTED_VALUE"""),"No")</f>
        <v>No</v>
      </c>
      <c r="AJ1539" s="8" t="str">
        <f ca="1">IFERROR(__xludf.DUMMYFUNCTION("""COMPUTED_VALUE"""),"No")</f>
        <v>No</v>
      </c>
      <c r="AK1539" s="8" t="str">
        <f ca="1">IFERROR(__xludf.DUMMYFUNCTION("""COMPUTED_VALUE"""),"No")</f>
        <v>No</v>
      </c>
      <c r="AL1539" s="8" t="str">
        <f ca="1">IFERROR(__xludf.DUMMYFUNCTION("""COMPUTED_VALUE"""),"No")</f>
        <v>No</v>
      </c>
      <c r="AM1539" s="8" t="str">
        <f ca="1">IFERROR(__xludf.DUMMYFUNCTION("""COMPUTED_VALUE"""),"No")</f>
        <v>No</v>
      </c>
      <c r="AN1539" s="8"/>
      <c r="AO1539" s="8" t="str">
        <f ca="1">IFERROR(__xludf.DUMMYFUNCTION("""COMPUTED_VALUE"""),"No")</f>
        <v>No</v>
      </c>
      <c r="AP1539" s="8" t="str">
        <f ca="1">IFERROR(__xludf.DUMMYFUNCTION("""COMPUTED_VALUE"""),"Yes")</f>
        <v>Yes</v>
      </c>
      <c r="AQ1539" s="8" t="str">
        <f ca="1">IFERROR(__xludf.DUMMYFUNCTION("""COMPUTED_VALUE"""),"None")</f>
        <v>None</v>
      </c>
      <c r="AR1539" s="8" t="str">
        <f ca="1">IFERROR(__xludf.DUMMYFUNCTION("""COMPUTED_VALUE"""),"NA")</f>
        <v>NA</v>
      </c>
      <c r="AS1539" s="8"/>
      <c r="AT1539" s="8"/>
      <c r="AU1539" s="8">
        <f ca="1">IFERROR(__xludf.DUMMYFUNCTION("""COMPUTED_VALUE"""),32.637151)</f>
        <v>32.637151000000003</v>
      </c>
      <c r="AV1539" s="8">
        <f ca="1">IFERROR(__xludf.DUMMYFUNCTION("""COMPUTED_VALUE"""),-96.842078)</f>
        <v>-96.842078000000001</v>
      </c>
      <c r="AW1539" s="8"/>
      <c r="AX1539" s="8">
        <f ca="1">IFERROR(__xludf.DUMMYFUNCTION("""COMPUTED_VALUE"""),75115)</f>
        <v>75115</v>
      </c>
    </row>
    <row r="1540" spans="1:50" ht="60" x14ac:dyDescent="0.2">
      <c r="A1540" s="8" t="str">
        <f ca="1">IFERROR(__xludf.DUMMYFUNCTION("""COMPUTED_VALUE"""),"20200110MSMCJ")</f>
        <v>20200110MSMCJ</v>
      </c>
      <c r="B1540" s="8">
        <f ca="1">IFERROR(__xludf.DUMMYFUNCTION("""COMPUTED_VALUE"""),1)</f>
        <v>1</v>
      </c>
      <c r="C1540" s="8">
        <f ca="1">IFERROR(__xludf.DUMMYFUNCTION("""COMPUTED_VALUE"""),10)</f>
        <v>10</v>
      </c>
      <c r="D1540" s="8">
        <f ca="1">IFERROR(__xludf.DUMMYFUNCTION("""COMPUTED_VALUE"""),2020)</f>
        <v>2020</v>
      </c>
      <c r="E1540" s="9">
        <f ca="1">IFERROR(__xludf.DUMMYFUNCTION("""COMPUTED_VALUE"""),43840)</f>
        <v>43840</v>
      </c>
      <c r="F1540" s="8" t="str">
        <f ca="1">IFERROR(__xludf.DUMMYFUNCTION("""COMPUTED_VALUE"""),"McWillie Elementary School")</f>
        <v>McWillie Elementary School</v>
      </c>
      <c r="G1540" s="8">
        <f ca="1">IFERROR(__xludf.DUMMYFUNCTION("""COMPUTED_VALUE"""),0)</f>
        <v>0</v>
      </c>
      <c r="H1540" s="8">
        <f ca="1">IFERROR(__xludf.DUMMYFUNCTION("""COMPUTED_VALUE"""),1)</f>
        <v>1</v>
      </c>
      <c r="I1540" s="8">
        <f ca="1">IFERROR(__xludf.DUMMYFUNCTION("""COMPUTED_VALUE"""),1)</f>
        <v>1</v>
      </c>
      <c r="J1540" s="8">
        <f ca="1">IFERROR(__xludf.DUMMYFUNCTION("""COMPUTED_VALUE"""),0)</f>
        <v>0</v>
      </c>
      <c r="K1540" s="10" t="str">
        <f ca="1">IFERROR(__xludf.DUMMYFUNCTION("""COMPUTED_VALUE"""),"https://www.wapt.com/article/australia-turns-from-defense-to-offense-in-wildfire-battle/30485441")</f>
        <v>https://www.wapt.com/article/australia-turns-from-defense-to-offense-in-wildfire-battle/30485441</v>
      </c>
      <c r="L1540" s="8"/>
      <c r="M1540" s="8"/>
      <c r="N1540" s="8">
        <f ca="1">IFERROR(__xludf.DUMMYFUNCTION("""COMPUTED_VALUE"""),4)</f>
        <v>4</v>
      </c>
      <c r="O1540" s="8" t="str">
        <f ca="1">IFERROR(__xludf.DUMMYFUNCTION("""COMPUTED_VALUE"""),"Winter")</f>
        <v>Winter</v>
      </c>
      <c r="P1540" s="8" t="str">
        <f ca="1">IFERROR(__xludf.DUMMYFUNCTION("""COMPUTED_VALUE"""),"Jackson")</f>
        <v>Jackson</v>
      </c>
      <c r="Q1540" s="8" t="str">
        <f ca="1">IFERROR(__xludf.DUMMYFUNCTION("""COMPUTED_VALUE"""),"MS")</f>
        <v>MS</v>
      </c>
      <c r="R1540" s="8" t="str">
        <f ca="1">IFERROR(__xludf.DUMMYFUNCTION("""COMPUTED_VALUE"""),"Middle")</f>
        <v>Middle</v>
      </c>
      <c r="S1540" s="8" t="str">
        <f ca="1">IFERROR(__xludf.DUMMYFUNCTION("""COMPUTED_VALUE"""),"School Bus")</f>
        <v>School Bus</v>
      </c>
      <c r="T1540" s="8" t="str">
        <f ca="1">IFERROR(__xludf.DUMMYFUNCTION("""COMPUTED_VALUE"""),"School Bus")</f>
        <v>School Bus</v>
      </c>
      <c r="U1540" s="8" t="str">
        <f ca="1">IFERROR(__xludf.DUMMYFUNCTION("""COMPUTED_VALUE"""),"Yes")</f>
        <v>Yes</v>
      </c>
      <c r="V1540" s="8" t="str">
        <f ca="1">IFERROR(__xludf.DUMMYFUNCTION("""COMPUTED_VALUE"""),"School Start")</f>
        <v>School Start</v>
      </c>
      <c r="W1540" s="11">
        <f ca="1">IFERROR(__xludf.DUMMYFUNCTION("""COMPUTED_VALUE"""),0.291666666666666)</f>
        <v>0.29166666666666602</v>
      </c>
      <c r="X1540" s="8">
        <f ca="1">IFERROR(__xludf.DUMMYFUNCTION("""COMPUTED_VALUE"""),1)</f>
        <v>1</v>
      </c>
      <c r="Y1540" s="12" t="str">
        <f ca="1">IFERROR(__xludf.DUMMYFUNCTION("""COMPUTED_VALUE"""),"Student struck by BB and bus window shattered")</f>
        <v>Student struck by BB and bus window shattered</v>
      </c>
      <c r="Z1540" s="12" t="str">
        <f ca="1">IFERROR(__xludf.DUMMYFUNCTION("""COMPUTED_VALUE"""),"13YOM student fired BB at student waiting to get on bus and the school bus window shattering it. 7 students on the bus were evaluated for injuries and then taken to school on a different bus. 13YOM was arrested.")</f>
        <v>13YOM student fired BB at student waiting to get on bus and the school bus window shattering it. 7 students on the bus were evaluated for injuries and then taken to school on a different bus. 13YOM was arrested.</v>
      </c>
      <c r="AA1540" s="8" t="str">
        <f ca="1">IFERROR(__xludf.DUMMYFUNCTION("""COMPUTED_VALUE"""),"Unknown")</f>
        <v>Unknown</v>
      </c>
      <c r="AB1540" s="8"/>
      <c r="AC1540" s="8" t="str">
        <f ca="1">IFERROR(__xludf.DUMMYFUNCTION("""COMPUTED_VALUE"""),"Yes")</f>
        <v>Yes</v>
      </c>
      <c r="AD1540" s="8"/>
      <c r="AE1540" s="8" t="str">
        <f ca="1">IFERROR(__xludf.DUMMYFUNCTION("""COMPUTED_VALUE"""),"No")</f>
        <v>No</v>
      </c>
      <c r="AF1540" s="8"/>
      <c r="AG1540" s="8" t="str">
        <f ca="1">IFERROR(__xludf.DUMMYFUNCTION("""COMPUTED_VALUE"""),"No")</f>
        <v>No</v>
      </c>
      <c r="AH1540" s="8" t="str">
        <f ca="1">IFERROR(__xludf.DUMMYFUNCTION("""COMPUTED_VALUE"""),"No")</f>
        <v>No</v>
      </c>
      <c r="AI1540" s="8" t="str">
        <f ca="1">IFERROR(__xludf.DUMMYFUNCTION("""COMPUTED_VALUE"""),"No")</f>
        <v>No</v>
      </c>
      <c r="AJ1540" s="8" t="str">
        <f ca="1">IFERROR(__xludf.DUMMYFUNCTION("""COMPUTED_VALUE"""),"No")</f>
        <v>No</v>
      </c>
      <c r="AK1540" s="8" t="str">
        <f ca="1">IFERROR(__xludf.DUMMYFUNCTION("""COMPUTED_VALUE"""),"No")</f>
        <v>No</v>
      </c>
      <c r="AL1540" s="8" t="str">
        <f ca="1">IFERROR(__xludf.DUMMYFUNCTION("""COMPUTED_VALUE"""),"No")</f>
        <v>No</v>
      </c>
      <c r="AM1540" s="8" t="str">
        <f ca="1">IFERROR(__xludf.DUMMYFUNCTION("""COMPUTED_VALUE"""),"No")</f>
        <v>No</v>
      </c>
      <c r="AN1540" s="8"/>
      <c r="AO1540" s="8" t="str">
        <f ca="1">IFERROR(__xludf.DUMMYFUNCTION("""COMPUTED_VALUE"""),"No")</f>
        <v>No</v>
      </c>
      <c r="AP1540" s="8"/>
      <c r="AQ1540" s="8" t="str">
        <f ca="1">IFERROR(__xludf.DUMMYFUNCTION("""COMPUTED_VALUE"""),"Unknown")</f>
        <v>Unknown</v>
      </c>
      <c r="AR1540" s="8" t="str">
        <f ca="1">IFERROR(__xludf.DUMMYFUNCTION("""COMPUTED_VALUE"""),"NA")</f>
        <v>NA</v>
      </c>
      <c r="AS1540" s="8"/>
      <c r="AT1540" s="8"/>
      <c r="AU1540" s="8">
        <f ca="1">IFERROR(__xludf.DUMMYFUNCTION("""COMPUTED_VALUE"""),32.362917)</f>
        <v>32.362917000000003</v>
      </c>
      <c r="AV1540" s="8">
        <f ca="1">IFERROR(__xludf.DUMMYFUNCTION("""COMPUTED_VALUE"""),-90.15354)</f>
        <v>-90.153540000000007</v>
      </c>
      <c r="AW1540" s="8"/>
      <c r="AX1540" s="8">
        <f ca="1">IFERROR(__xludf.DUMMYFUNCTION("""COMPUTED_VALUE"""),39206)</f>
        <v>39206</v>
      </c>
    </row>
    <row r="1541" spans="1:50" ht="60" x14ac:dyDescent="0.2">
      <c r="A1541" s="8" t="str">
        <f ca="1">IFERROR(__xludf.DUMMYFUNCTION("""COMPUTED_VALUE"""),"20200108FLGLB")</f>
        <v>20200108FLGLB</v>
      </c>
      <c r="B1541" s="8">
        <f ca="1">IFERROR(__xludf.DUMMYFUNCTION("""COMPUTED_VALUE"""),1)</f>
        <v>1</v>
      </c>
      <c r="C1541" s="8">
        <f ca="1">IFERROR(__xludf.DUMMYFUNCTION("""COMPUTED_VALUE"""),8)</f>
        <v>8</v>
      </c>
      <c r="D1541" s="8">
        <f ca="1">IFERROR(__xludf.DUMMYFUNCTION("""COMPUTED_VALUE"""),2020)</f>
        <v>2020</v>
      </c>
      <c r="E1541" s="9">
        <f ca="1">IFERROR(__xludf.DUMMYFUNCTION("""COMPUTED_VALUE"""),43838)</f>
        <v>43838</v>
      </c>
      <c r="F1541" s="8" t="str">
        <f ca="1">IFERROR(__xludf.DUMMYFUNCTION("""COMPUTED_VALUE"""),"Glades Central Community High School")</f>
        <v>Glades Central Community High School</v>
      </c>
      <c r="G1541" s="8">
        <f ca="1">IFERROR(__xludf.DUMMYFUNCTION("""COMPUTED_VALUE"""),0)</f>
        <v>0</v>
      </c>
      <c r="H1541" s="8">
        <f ca="1">IFERROR(__xludf.DUMMYFUNCTION("""COMPUTED_VALUE"""),0)</f>
        <v>0</v>
      </c>
      <c r="I1541" s="8">
        <f ca="1">IFERROR(__xludf.DUMMYFUNCTION("""COMPUTED_VALUE"""),0)</f>
        <v>0</v>
      </c>
      <c r="J1541" s="8">
        <f ca="1">IFERROR(__xludf.DUMMYFUNCTION("""COMPUTED_VALUE"""),0)</f>
        <v>0</v>
      </c>
      <c r="K1541" s="10" t="str">
        <f ca="1">IFERROR(__xludf.DUMMYFUNCTION("""COMPUTED_VALUE"""),"https://www.wptv.com/news/region-the-glades/belle-glade/lockdown-lifted-at-glades-central-high-school-following-shooting")</f>
        <v>https://www.wptv.com/news/region-the-glades/belle-glade/lockdown-lifted-at-glades-central-high-school-following-shooting</v>
      </c>
      <c r="L1541" s="8"/>
      <c r="M1541" s="8"/>
      <c r="N1541" s="8">
        <f ca="1">IFERROR(__xludf.DUMMYFUNCTION("""COMPUTED_VALUE"""),3)</f>
        <v>3</v>
      </c>
      <c r="O1541" s="8" t="str">
        <f ca="1">IFERROR(__xludf.DUMMYFUNCTION("""COMPUTED_VALUE"""),"Winter")</f>
        <v>Winter</v>
      </c>
      <c r="P1541" s="8" t="str">
        <f ca="1">IFERROR(__xludf.DUMMYFUNCTION("""COMPUTED_VALUE"""),"Belle Glade")</f>
        <v>Belle Glade</v>
      </c>
      <c r="Q1541" s="8" t="str">
        <f ca="1">IFERROR(__xludf.DUMMYFUNCTION("""COMPUTED_VALUE"""),"FL")</f>
        <v>FL</v>
      </c>
      <c r="R1541" s="8" t="str">
        <f ca="1">IFERROR(__xludf.DUMMYFUNCTION("""COMPUTED_VALUE"""),"High")</f>
        <v>High</v>
      </c>
      <c r="S1541" s="8" t="str">
        <f ca="1">IFERROR(__xludf.DUMMYFUNCTION("""COMPUTED_VALUE"""),"Parking Lot")</f>
        <v>Parking Lot</v>
      </c>
      <c r="T1541" s="8" t="str">
        <f ca="1">IFERROR(__xludf.DUMMYFUNCTION("""COMPUTED_VALUE"""),"Outside on School Property")</f>
        <v>Outside on School Property</v>
      </c>
      <c r="U1541" s="8" t="str">
        <f ca="1">IFERROR(__xludf.DUMMYFUNCTION("""COMPUTED_VALUE"""),"Yes")</f>
        <v>Yes</v>
      </c>
      <c r="V1541" s="8" t="str">
        <f ca="1">IFERROR(__xludf.DUMMYFUNCTION("""COMPUTED_VALUE"""),"Afternoon Classes")</f>
        <v>Afternoon Classes</v>
      </c>
      <c r="W1541" s="11">
        <f ca="1">IFERROR(__xludf.DUMMYFUNCTION("""COMPUTED_VALUE"""),0.541666666666666)</f>
        <v>0.54166666666666596</v>
      </c>
      <c r="X1541" s="8">
        <f ca="1">IFERROR(__xludf.DUMMYFUNCTION("""COMPUTED_VALUE"""),1)</f>
        <v>1</v>
      </c>
      <c r="Y1541" s="12" t="str">
        <f ca="1">IFERROR(__xludf.DUMMYFUNCTION("""COMPUTED_VALUE"""),"Unidentified person shot themselves in the leg in the school parking lot")</f>
        <v>Unidentified person shot themselves in the leg in the school parking lot</v>
      </c>
      <c r="Z1541" s="12" t="str">
        <f ca="1">IFERROR(__xludf.DUMMYFUNCTION("""COMPUTED_VALUE"""),"Unidentified person accidentally shot themselves in the leg in the school parking lot. Victim was transported to a trauma center. School was locked down for 2 hours and dismissal was delayed.")</f>
        <v>Unidentified person accidentally shot themselves in the leg in the school parking lot. Victim was transported to a trauma center. School was locked down for 2 hours and dismissal was delayed.</v>
      </c>
      <c r="AA1541" s="8" t="str">
        <f ca="1">IFERROR(__xludf.DUMMYFUNCTION("""COMPUTED_VALUE"""),"Accidental")</f>
        <v>Accidental</v>
      </c>
      <c r="AB1541" s="8"/>
      <c r="AC1541" s="8" t="str">
        <f ca="1">IFERROR(__xludf.DUMMYFUNCTION("""COMPUTED_VALUE"""),"Yes")</f>
        <v>Yes</v>
      </c>
      <c r="AD1541" s="8" t="str">
        <f ca="1">IFERROR(__xludf.DUMMYFUNCTION("""COMPUTED_VALUE"""),"Neither")</f>
        <v>Neither</v>
      </c>
      <c r="AE1541" s="8" t="str">
        <f ca="1">IFERROR(__xludf.DUMMYFUNCTION("""COMPUTED_VALUE"""),"No")</f>
        <v>No</v>
      </c>
      <c r="AF1541" s="8"/>
      <c r="AG1541" s="8" t="str">
        <f ca="1">IFERROR(__xludf.DUMMYFUNCTION("""COMPUTED_VALUE"""),"No")</f>
        <v>No</v>
      </c>
      <c r="AH1541" s="8" t="str">
        <f ca="1">IFERROR(__xludf.DUMMYFUNCTION("""COMPUTED_VALUE"""),"No")</f>
        <v>No</v>
      </c>
      <c r="AI1541" s="8" t="str">
        <f ca="1">IFERROR(__xludf.DUMMYFUNCTION("""COMPUTED_VALUE"""),"No")</f>
        <v>No</v>
      </c>
      <c r="AJ1541" s="8" t="str">
        <f ca="1">IFERROR(__xludf.DUMMYFUNCTION("""COMPUTED_VALUE"""),"No")</f>
        <v>No</v>
      </c>
      <c r="AK1541" s="8" t="str">
        <f ca="1">IFERROR(__xludf.DUMMYFUNCTION("""COMPUTED_VALUE"""),"No")</f>
        <v>No</v>
      </c>
      <c r="AL1541" s="8" t="str">
        <f ca="1">IFERROR(__xludf.DUMMYFUNCTION("""COMPUTED_VALUE"""),"No")</f>
        <v>No</v>
      </c>
      <c r="AM1541" s="8" t="str">
        <f ca="1">IFERROR(__xludf.DUMMYFUNCTION("""COMPUTED_VALUE"""),"No")</f>
        <v>No</v>
      </c>
      <c r="AN1541" s="8"/>
      <c r="AO1541" s="8" t="str">
        <f ca="1">IFERROR(__xludf.DUMMYFUNCTION("""COMPUTED_VALUE"""),"No")</f>
        <v>No</v>
      </c>
      <c r="AP1541" s="8"/>
      <c r="AQ1541" s="8" t="str">
        <f ca="1">IFERROR(__xludf.DUMMYFUNCTION("""COMPUTED_VALUE"""),"Unknown")</f>
        <v>Unknown</v>
      </c>
      <c r="AR1541" s="8" t="str">
        <f ca="1">IFERROR(__xludf.DUMMYFUNCTION("""COMPUTED_VALUE"""),"Outside/Off-Property")</f>
        <v>Outside/Off-Property</v>
      </c>
      <c r="AS1541" s="8">
        <f ca="1">IFERROR(__xludf.DUMMYFUNCTION("""COMPUTED_VALUE"""),1)</f>
        <v>1</v>
      </c>
      <c r="AT1541" s="8" t="str">
        <f ca="1">IFERROR(__xludf.DUMMYFUNCTION("""COMPUTED_VALUE"""),"Yes")</f>
        <v>Yes</v>
      </c>
      <c r="AU1541" s="8">
        <f ca="1">IFERROR(__xludf.DUMMYFUNCTION("""COMPUTED_VALUE"""),26.669141)</f>
        <v>26.669141</v>
      </c>
      <c r="AV1541" s="8">
        <f ca="1">IFERROR(__xludf.DUMMYFUNCTION("""COMPUTED_VALUE"""),-80.681447)</f>
        <v>-80.681447000000006</v>
      </c>
      <c r="AW1541" s="8"/>
      <c r="AX1541" s="8">
        <f ca="1">IFERROR(__xludf.DUMMYFUNCTION("""COMPUTED_VALUE"""),33430)</f>
        <v>33430</v>
      </c>
    </row>
    <row r="1542" spans="1:50" ht="60" x14ac:dyDescent="0.2">
      <c r="A1542" s="8" t="str">
        <f ca="1">IFERROR(__xludf.DUMMYFUNCTION("""COMPUTED_VALUE"""),"20200107WASOK")</f>
        <v>20200107WASOK</v>
      </c>
      <c r="B1542" s="8">
        <f ca="1">IFERROR(__xludf.DUMMYFUNCTION("""COMPUTED_VALUE"""),1)</f>
        <v>1</v>
      </c>
      <c r="C1542" s="8">
        <f ca="1">IFERROR(__xludf.DUMMYFUNCTION("""COMPUTED_VALUE"""),7)</f>
        <v>7</v>
      </c>
      <c r="D1542" s="8">
        <f ca="1">IFERROR(__xludf.DUMMYFUNCTION("""COMPUTED_VALUE"""),2020)</f>
        <v>2020</v>
      </c>
      <c r="E1542" s="9">
        <f ca="1">IFERROR(__xludf.DUMMYFUNCTION("""COMPUTED_VALUE"""),43837)</f>
        <v>43837</v>
      </c>
      <c r="F1542" s="8" t="str">
        <f ca="1">IFERROR(__xludf.DUMMYFUNCTION("""COMPUTED_VALUE"""),"Southridge High School")</f>
        <v>Southridge High School</v>
      </c>
      <c r="G1542" s="8">
        <f ca="1">IFERROR(__xludf.DUMMYFUNCTION("""COMPUTED_VALUE"""),0)</f>
        <v>0</v>
      </c>
      <c r="H1542" s="8">
        <f ca="1">IFERROR(__xludf.DUMMYFUNCTION("""COMPUTED_VALUE"""),0)</f>
        <v>0</v>
      </c>
      <c r="I1542" s="8">
        <f ca="1">IFERROR(__xludf.DUMMYFUNCTION("""COMPUTED_VALUE"""),0)</f>
        <v>0</v>
      </c>
      <c r="J1542" s="8">
        <f ca="1">IFERROR(__xludf.DUMMYFUNCTION("""COMPUTED_VALUE"""),0)</f>
        <v>0</v>
      </c>
      <c r="K1542" s="8" t="str">
        <f ca="1">IFERROR(__xludf.DUMMYFUNCTION("""COMPUTED_VALUE"""),"https://keprtv.com/news/local/police-bb-gun-bandit-shoots-out-windows-at-southridge-high-surrounding-homes https://www.tri-cityherald.com/news/local/crime/article239045748.html")</f>
        <v>https://keprtv.com/news/local/police-bb-gun-bandit-shoots-out-windows-at-southridge-high-surrounding-homes https://www.tri-cityherald.com/news/local/crime/article239045748.html</v>
      </c>
      <c r="L1542" s="8"/>
      <c r="M1542" s="8"/>
      <c r="N1542" s="8">
        <f ca="1">IFERROR(__xludf.DUMMYFUNCTION("""COMPUTED_VALUE"""),4)</f>
        <v>4</v>
      </c>
      <c r="O1542" s="8" t="str">
        <f ca="1">IFERROR(__xludf.DUMMYFUNCTION("""COMPUTED_VALUE"""),"Winter")</f>
        <v>Winter</v>
      </c>
      <c r="P1542" s="8" t="str">
        <f ca="1">IFERROR(__xludf.DUMMYFUNCTION("""COMPUTED_VALUE"""),"Kennewick")</f>
        <v>Kennewick</v>
      </c>
      <c r="Q1542" s="8" t="str">
        <f ca="1">IFERROR(__xludf.DUMMYFUNCTION("""COMPUTED_VALUE"""),"WA")</f>
        <v>WA</v>
      </c>
      <c r="R1542" s="8" t="str">
        <f ca="1">IFERROR(__xludf.DUMMYFUNCTION("""COMPUTED_VALUE"""),"High")</f>
        <v>High</v>
      </c>
      <c r="S1542" s="8" t="str">
        <f ca="1">IFERROR(__xludf.DUMMYFUNCTION("""COMPUTED_VALUE"""),"Beside Building")</f>
        <v>Beside Building</v>
      </c>
      <c r="T1542" s="8" t="str">
        <f ca="1">IFERROR(__xludf.DUMMYFUNCTION("""COMPUTED_VALUE"""),"Outside on School Property")</f>
        <v>Outside on School Property</v>
      </c>
      <c r="U1542" s="8" t="str">
        <f ca="1">IFERROR(__xludf.DUMMYFUNCTION("""COMPUTED_VALUE"""),"No")</f>
        <v>No</v>
      </c>
      <c r="V1542" s="8" t="str">
        <f ca="1">IFERROR(__xludf.DUMMYFUNCTION("""COMPUTED_VALUE"""),"Night")</f>
        <v>Night</v>
      </c>
      <c r="W1542" s="8"/>
      <c r="X1542" s="8"/>
      <c r="Y1542" s="12" t="str">
        <f ca="1">IFERROR(__xludf.DUMMYFUNCTION("""COMPUTED_VALUE"""),"Two 16YOM shot more than 60 windows at homes and the high school")</f>
        <v>Two 16YOM shot more than 60 windows at homes and the high school</v>
      </c>
      <c r="Z1542" s="12" t="str">
        <f ca="1">IFERROR(__xludf.DUMMYFUNCTION("""COMPUTED_VALUE"""),"Two 16YOM arrested for shooting more than 60 windows with BB guns at their high school and homes in the neighborhood.")</f>
        <v>Two 16YOM arrested for shooting more than 60 windows with BB guns at their high school and homes in the neighborhood.</v>
      </c>
      <c r="AA1542" s="8" t="str">
        <f ca="1">IFERROR(__xludf.DUMMYFUNCTION("""COMPUTED_VALUE"""),"Intentional Property Damage")</f>
        <v>Intentional Property Damage</v>
      </c>
      <c r="AB1542" s="8"/>
      <c r="AC1542" s="8" t="str">
        <f ca="1">IFERROR(__xludf.DUMMYFUNCTION("""COMPUTED_VALUE"""),"No")</f>
        <v>No</v>
      </c>
      <c r="AD1542" s="8" t="str">
        <f ca="1">IFERROR(__xludf.DUMMYFUNCTION("""COMPUTED_VALUE"""),"Neither")</f>
        <v>Neither</v>
      </c>
      <c r="AE1542" s="8" t="str">
        <f ca="1">IFERROR(__xludf.DUMMYFUNCTION("""COMPUTED_VALUE"""),"Yes")</f>
        <v>Yes</v>
      </c>
      <c r="AF1542" s="8" t="str">
        <f ca="1">IFERROR(__xludf.DUMMYFUNCTION("""COMPUTED_VALUE"""),"2 arrested")</f>
        <v>2 arrested</v>
      </c>
      <c r="AG1542" s="8" t="str">
        <f ca="1">IFERROR(__xludf.DUMMYFUNCTION("""COMPUTED_VALUE"""),"No")</f>
        <v>No</v>
      </c>
      <c r="AH1542" s="8" t="str">
        <f ca="1">IFERROR(__xludf.DUMMYFUNCTION("""COMPUTED_VALUE"""),"No")</f>
        <v>No</v>
      </c>
      <c r="AI1542" s="8" t="str">
        <f ca="1">IFERROR(__xludf.DUMMYFUNCTION("""COMPUTED_VALUE"""),"No")</f>
        <v>No</v>
      </c>
      <c r="AJ1542" s="8" t="str">
        <f ca="1">IFERROR(__xludf.DUMMYFUNCTION("""COMPUTED_VALUE"""),"No")</f>
        <v>No</v>
      </c>
      <c r="AK1542" s="8" t="str">
        <f ca="1">IFERROR(__xludf.DUMMYFUNCTION("""COMPUTED_VALUE"""),"No")</f>
        <v>No</v>
      </c>
      <c r="AL1542" s="8" t="str">
        <f ca="1">IFERROR(__xludf.DUMMYFUNCTION("""COMPUTED_VALUE"""),"No")</f>
        <v>No</v>
      </c>
      <c r="AM1542" s="8" t="str">
        <f ca="1">IFERROR(__xludf.DUMMYFUNCTION("""COMPUTED_VALUE"""),"No")</f>
        <v>No</v>
      </c>
      <c r="AN1542" s="8"/>
      <c r="AO1542" s="8" t="str">
        <f ca="1">IFERROR(__xludf.DUMMYFUNCTION("""COMPUTED_VALUE"""),"No")</f>
        <v>No</v>
      </c>
      <c r="AP1542" s="8"/>
      <c r="AQ1542" s="8" t="str">
        <f ca="1">IFERROR(__xludf.DUMMYFUNCTION("""COMPUTED_VALUE"""),"Unknown")</f>
        <v>Unknown</v>
      </c>
      <c r="AR1542" s="8" t="str">
        <f ca="1">IFERROR(__xludf.DUMMYFUNCTION("""COMPUTED_VALUE"""),"Outside/Off-Property")</f>
        <v>Outside/Off-Property</v>
      </c>
      <c r="AS1542" s="8"/>
      <c r="AT1542" s="8" t="str">
        <f ca="1">IFERROR(__xludf.DUMMYFUNCTION("""COMPUTED_VALUE"""),"N/A")</f>
        <v>N/A</v>
      </c>
      <c r="AU1542" s="8">
        <f ca="1">IFERROR(__xludf.DUMMYFUNCTION("""COMPUTED_VALUE"""),46.179216)</f>
        <v>46.179215999999997</v>
      </c>
      <c r="AV1542" s="8">
        <f ca="1">IFERROR(__xludf.DUMMYFUNCTION("""COMPUTED_VALUE"""),-119.194944)</f>
        <v>-119.19494400000001</v>
      </c>
      <c r="AW1542" s="8"/>
      <c r="AX1542" s="8">
        <f ca="1">IFERROR(__xludf.DUMMYFUNCTION("""COMPUTED_VALUE"""),99338)</f>
        <v>99338</v>
      </c>
    </row>
    <row r="1543" spans="1:50" ht="105" x14ac:dyDescent="0.2">
      <c r="A1543" s="8" t="str">
        <f ca="1">IFERROR(__xludf.DUMMYFUNCTION("""COMPUTED_VALUE"""),"20191228MOMAS")</f>
        <v>20191228MOMAS</v>
      </c>
      <c r="B1543" s="8">
        <f ca="1">IFERROR(__xludf.DUMMYFUNCTION("""COMPUTED_VALUE"""),12)</f>
        <v>12</v>
      </c>
      <c r="C1543" s="8">
        <f ca="1">IFERROR(__xludf.DUMMYFUNCTION("""COMPUTED_VALUE"""),28)</f>
        <v>28</v>
      </c>
      <c r="D1543" s="8">
        <f ca="1">IFERROR(__xludf.DUMMYFUNCTION("""COMPUTED_VALUE"""),2019)</f>
        <v>2019</v>
      </c>
      <c r="E1543" s="9">
        <f ca="1">IFERROR(__xludf.DUMMYFUNCTION("""COMPUTED_VALUE"""),43827)</f>
        <v>43827</v>
      </c>
      <c r="F1543" s="8" t="str">
        <f ca="1">IFERROR(__xludf.DUMMYFUNCTION("""COMPUTED_VALUE"""),"Mason-Clark Middle School")</f>
        <v>Mason-Clark Middle School</v>
      </c>
      <c r="G1543" s="8">
        <f ca="1">IFERROR(__xludf.DUMMYFUNCTION("""COMPUTED_VALUE"""),1)</f>
        <v>1</v>
      </c>
      <c r="H1543" s="8">
        <f ca="1">IFERROR(__xludf.DUMMYFUNCTION("""COMPUTED_VALUE"""),0)</f>
        <v>0</v>
      </c>
      <c r="I1543" s="8">
        <f ca="1">IFERROR(__xludf.DUMMYFUNCTION("""COMPUTED_VALUE"""),1)</f>
        <v>1</v>
      </c>
      <c r="J1543" s="8">
        <f ca="1">IFERROR(__xludf.DUMMYFUNCTION("""COMPUTED_VALUE"""),0)</f>
        <v>0</v>
      </c>
      <c r="K1543" s="8" t="str">
        <f ca="1">IFERROR(__xludf.DUMMYFUNCTION("""COMPUTED_VALUE"""),"https://fox2now.com/2019/12/29/isp-investigators-working-east-st-louis-homicide-after-body-found-in-school-parking-lot/ https://www.ksdk.com/article/news/crime/mason-clark-middle-school-murder-victim-identified/63-0aba3c42-cfa1-4b52-81c0-b185b4ebc4e1 http"&amp;"s://www.ksdk.com/article/news/local/homicide-victim-found-east-st-louis-middle-school/63-347bde5f-128c-4da9-8eac-f27a82434cef https://www.bnd.com/news/local/crime/article238808808.html https://www.ksdk.com/article/news/crime/charges-shooting-east-st-louis"&amp;"-middle-school/63-9ef1c415-0bdb-417c-807c-57bfa3806844")</f>
        <v>https://fox2now.com/2019/12/29/isp-investigators-working-east-st-louis-homicide-after-body-found-in-school-parking-lot/ https://www.ksdk.com/article/news/crime/mason-clark-middle-school-murder-victim-identified/63-0aba3c42-cfa1-4b52-81c0-b185b4ebc4e1 https://www.ksdk.com/article/news/local/homicide-victim-found-east-st-louis-middle-school/63-347bde5f-128c-4da9-8eac-f27a82434cef https://www.bnd.com/news/local/crime/article238808808.html https://www.ksdk.com/article/news/crime/charges-shooting-east-st-louis-middle-school/63-9ef1c415-0bdb-417c-807c-57bfa3806844</v>
      </c>
      <c r="L1543" s="8"/>
      <c r="M1543" s="8"/>
      <c r="N1543" s="8">
        <f ca="1">IFERROR(__xludf.DUMMYFUNCTION("""COMPUTED_VALUE"""),4)</f>
        <v>4</v>
      </c>
      <c r="O1543" s="8" t="str">
        <f ca="1">IFERROR(__xludf.DUMMYFUNCTION("""COMPUTED_VALUE"""),"Winter")</f>
        <v>Winter</v>
      </c>
      <c r="P1543" s="8" t="str">
        <f ca="1">IFERROR(__xludf.DUMMYFUNCTION("""COMPUTED_VALUE"""),"East St. Louis")</f>
        <v>East St. Louis</v>
      </c>
      <c r="Q1543" s="8" t="str">
        <f ca="1">IFERROR(__xludf.DUMMYFUNCTION("""COMPUTED_VALUE"""),"IL")</f>
        <v>IL</v>
      </c>
      <c r="R1543" s="8" t="str">
        <f ca="1">IFERROR(__xludf.DUMMYFUNCTION("""COMPUTED_VALUE"""),"Middle")</f>
        <v>Middle</v>
      </c>
      <c r="S1543" s="8" t="str">
        <f ca="1">IFERROR(__xludf.DUMMYFUNCTION("""COMPUTED_VALUE"""),"Parking Lot")</f>
        <v>Parking Lot</v>
      </c>
      <c r="T1543" s="8" t="str">
        <f ca="1">IFERROR(__xludf.DUMMYFUNCTION("""COMPUTED_VALUE"""),"Outside on School Property")</f>
        <v>Outside on School Property</v>
      </c>
      <c r="U1543" s="8" t="str">
        <f ca="1">IFERROR(__xludf.DUMMYFUNCTION("""COMPUTED_VALUE"""),"No")</f>
        <v>No</v>
      </c>
      <c r="V1543" s="8" t="str">
        <f ca="1">IFERROR(__xludf.DUMMYFUNCTION("""COMPUTED_VALUE"""),"Evening")</f>
        <v>Evening</v>
      </c>
      <c r="W1543" s="11">
        <f ca="1">IFERROR(__xludf.DUMMYFUNCTION("""COMPUTED_VALUE"""),0.833333333333333)</f>
        <v>0.83333333333333304</v>
      </c>
      <c r="X1543" s="8">
        <f ca="1">IFERROR(__xludf.DUMMYFUNCTION("""COMPUTED_VALUE"""),1)</f>
        <v>1</v>
      </c>
      <c r="Y1543" s="12" t="str">
        <f ca="1">IFERROR(__xludf.DUMMYFUNCTION("""COMPUTED_VALUE"""),"13YOM shot in the street and found dead in school parking lot the next morning")</f>
        <v>13YOM shot in the street and found dead in school parking lot the next morning</v>
      </c>
      <c r="Z1543" s="12" t="str">
        <f ca="1">IFERROR(__xludf.DUMMYFUNCTION("""COMPUTED_VALUE"""),"Body of 13YOM found the morning after the shooting in the parking lot of the school. Bookbag found in a ditch nearby. Police reported the shooting took place in the street by the school at 8pm and the victim's body was found in the school parking lot at 8"&amp;"am the next morning. 17YOM arrested and charged with 1st degree murder. Police reported the victim was targeted.")</f>
        <v>Body of 13YOM found the morning after the shooting in the parking lot of the school. Bookbag found in a ditch nearby. Police reported the shooting took place in the street by the school at 8pm and the victim's body was found in the school parking lot at 8am the next morning. 17YOM arrested and charged with 1st degree murder. Police reported the victim was targeted.</v>
      </c>
      <c r="AA1543" s="8" t="str">
        <f ca="1">IFERROR(__xludf.DUMMYFUNCTION("""COMPUTED_VALUE"""),"Unknown")</f>
        <v>Unknown</v>
      </c>
      <c r="AB1543" s="8"/>
      <c r="AC1543" s="8" t="str">
        <f ca="1">IFERROR(__xludf.DUMMYFUNCTION("""COMPUTED_VALUE"""),"Yes")</f>
        <v>Yes</v>
      </c>
      <c r="AD1543" s="8" t="str">
        <f ca="1">IFERROR(__xludf.DUMMYFUNCTION("""COMPUTED_VALUE"""),"Victims Targeted")</f>
        <v>Victims Targeted</v>
      </c>
      <c r="AE1543" s="8"/>
      <c r="AF1543" s="8"/>
      <c r="AG1543" s="8" t="str">
        <f ca="1">IFERROR(__xludf.DUMMYFUNCTION("""COMPUTED_VALUE"""),"No")</f>
        <v>No</v>
      </c>
      <c r="AH1543" s="8" t="str">
        <f ca="1">IFERROR(__xludf.DUMMYFUNCTION("""COMPUTED_VALUE"""),"No")</f>
        <v>No</v>
      </c>
      <c r="AI1543" s="8" t="str">
        <f ca="1">IFERROR(__xludf.DUMMYFUNCTION("""COMPUTED_VALUE"""),"No")</f>
        <v>No</v>
      </c>
      <c r="AJ1543" s="8" t="str">
        <f ca="1">IFERROR(__xludf.DUMMYFUNCTION("""COMPUTED_VALUE"""),"No")</f>
        <v>No</v>
      </c>
      <c r="AK1543" s="8" t="str">
        <f ca="1">IFERROR(__xludf.DUMMYFUNCTION("""COMPUTED_VALUE"""),"No")</f>
        <v>No</v>
      </c>
      <c r="AL1543" s="8"/>
      <c r="AM1543" s="8" t="str">
        <f ca="1">IFERROR(__xludf.DUMMYFUNCTION("""COMPUTED_VALUE"""),"No")</f>
        <v>No</v>
      </c>
      <c r="AN1543" s="8"/>
      <c r="AO1543" s="8" t="str">
        <f ca="1">IFERROR(__xludf.DUMMYFUNCTION("""COMPUTED_VALUE"""),"No")</f>
        <v>No</v>
      </c>
      <c r="AP1543" s="8"/>
      <c r="AQ1543" s="8" t="str">
        <f ca="1">IFERROR(__xludf.DUMMYFUNCTION("""COMPUTED_VALUE"""),"Unknown")</f>
        <v>Unknown</v>
      </c>
      <c r="AR1543" s="8" t="str">
        <f ca="1">IFERROR(__xludf.DUMMYFUNCTION("""COMPUTED_VALUE"""),"NA")</f>
        <v>NA</v>
      </c>
      <c r="AS1543" s="8"/>
      <c r="AT1543" s="8" t="str">
        <f ca="1">IFERROR(__xludf.DUMMYFUNCTION("""COMPUTED_VALUE"""),"N/A")</f>
        <v>N/A</v>
      </c>
      <c r="AU1543" s="8">
        <f ca="1">IFERROR(__xludf.DUMMYFUNCTION("""COMPUTED_VALUE"""),38.604446)</f>
        <v>38.604446000000003</v>
      </c>
      <c r="AV1543" s="8">
        <f ca="1">IFERROR(__xludf.DUMMYFUNCTION("""COMPUTED_VALUE"""),-90.096449)</f>
        <v>-90.096449000000007</v>
      </c>
      <c r="AW1543" s="8"/>
      <c r="AX1543" s="8">
        <f ca="1">IFERROR(__xludf.DUMMYFUNCTION("""COMPUTED_VALUE"""),622030000)</f>
        <v>622030000</v>
      </c>
    </row>
    <row r="1544" spans="1:50" ht="75" x14ac:dyDescent="0.2">
      <c r="A1544" s="8" t="str">
        <f ca="1">IFERROR(__xludf.DUMMYFUNCTION("""COMPUTED_VALUE"""),"20191221LAWES")</f>
        <v>20191221LAWES</v>
      </c>
      <c r="B1544" s="8">
        <f ca="1">IFERROR(__xludf.DUMMYFUNCTION("""COMPUTED_VALUE"""),12)</f>
        <v>12</v>
      </c>
      <c r="C1544" s="8">
        <f ca="1">IFERROR(__xludf.DUMMYFUNCTION("""COMPUTED_VALUE"""),21)</f>
        <v>21</v>
      </c>
      <c r="D1544" s="8">
        <f ca="1">IFERROR(__xludf.DUMMYFUNCTION("""COMPUTED_VALUE"""),2019)</f>
        <v>2019</v>
      </c>
      <c r="E1544" s="9">
        <f ca="1">IFERROR(__xludf.DUMMYFUNCTION("""COMPUTED_VALUE"""),43820)</f>
        <v>43820</v>
      </c>
      <c r="F1544" s="8" t="str">
        <f ca="1">IFERROR(__xludf.DUMMYFUNCTION("""COMPUTED_VALUE"""),"West St. John Elementary School")</f>
        <v>West St. John Elementary School</v>
      </c>
      <c r="G1544" s="8">
        <f ca="1">IFERROR(__xludf.DUMMYFUNCTION("""COMPUTED_VALUE"""),0)</f>
        <v>0</v>
      </c>
      <c r="H1544" s="8">
        <f ca="1">IFERROR(__xludf.DUMMYFUNCTION("""COMPUTED_VALUE"""),4)</f>
        <v>4</v>
      </c>
      <c r="I1544" s="8">
        <f ca="1">IFERROR(__xludf.DUMMYFUNCTION("""COMPUTED_VALUE"""),4)</f>
        <v>4</v>
      </c>
      <c r="J1544" s="8">
        <f ca="1">IFERROR(__xludf.DUMMYFUNCTION("""COMPUTED_VALUE"""),0)</f>
        <v>0</v>
      </c>
      <c r="K1544" s="8" t="str">
        <f ca="1">IFERROR(__xludf.DUMMYFUNCTION("""COMPUTED_VALUE"""),"https://www.fox8live.com/2019/12/24/injured-during-private-party-west-st-john-elementary-suspect-arrested/ https://www.wdsu.com/article/watch-new-video-shows-two-people-fire-shots-at-party-held-at-west-st-john-elementary/30347330")</f>
        <v>https://www.fox8live.com/2019/12/24/injured-during-private-party-west-st-john-elementary-suspect-arrested/ https://www.wdsu.com/article/watch-new-video-shows-two-people-fire-shots-at-party-held-at-west-st-john-elementary/30347330</v>
      </c>
      <c r="L1544" s="8"/>
      <c r="M1544" s="8"/>
      <c r="N1544" s="8">
        <f ca="1">IFERROR(__xludf.DUMMYFUNCTION("""COMPUTED_VALUE"""),4)</f>
        <v>4</v>
      </c>
      <c r="O1544" s="8" t="str">
        <f ca="1">IFERROR(__xludf.DUMMYFUNCTION("""COMPUTED_VALUE"""),"Winter")</f>
        <v>Winter</v>
      </c>
      <c r="P1544" s="8" t="str">
        <f ca="1">IFERROR(__xludf.DUMMYFUNCTION("""COMPUTED_VALUE"""),"St. John the Baptist Parish")</f>
        <v>St. John the Baptist Parish</v>
      </c>
      <c r="Q1544" s="8" t="str">
        <f ca="1">IFERROR(__xludf.DUMMYFUNCTION("""COMPUTED_VALUE"""),"LA")</f>
        <v>LA</v>
      </c>
      <c r="R1544" s="8" t="str">
        <f ca="1">IFERROR(__xludf.DUMMYFUNCTION("""COMPUTED_VALUE"""),"Elementary")</f>
        <v>Elementary</v>
      </c>
      <c r="S1544" s="8" t="str">
        <f ca="1">IFERROR(__xludf.DUMMYFUNCTION("""COMPUTED_VALUE"""),"Parking Lot")</f>
        <v>Parking Lot</v>
      </c>
      <c r="T1544" s="8" t="str">
        <f ca="1">IFERROR(__xludf.DUMMYFUNCTION("""COMPUTED_VALUE"""),"Outside on School Property")</f>
        <v>Outside on School Property</v>
      </c>
      <c r="U1544" s="8" t="str">
        <f ca="1">IFERROR(__xludf.DUMMYFUNCTION("""COMPUTED_VALUE"""),"No")</f>
        <v>No</v>
      </c>
      <c r="V1544" s="8" t="str">
        <f ca="1">IFERROR(__xludf.DUMMYFUNCTION("""COMPUTED_VALUE"""),"Night")</f>
        <v>Night</v>
      </c>
      <c r="W1544" s="11">
        <f ca="1">IFERROR(__xludf.DUMMYFUNCTION("""COMPUTED_VALUE"""),0.979166666666666)</f>
        <v>0.97916666666666596</v>
      </c>
      <c r="X1544" s="8">
        <f ca="1">IFERROR(__xludf.DUMMYFUNCTION("""COMPUTED_VALUE"""),1)</f>
        <v>1</v>
      </c>
      <c r="Y1544" s="12" t="str">
        <f ca="1">IFERROR(__xludf.DUMMYFUNCTION("""COMPUTED_VALUE"""),"4 people shot outside of school after party (rented school for event)")</f>
        <v>4 people shot outside of school after party (rented school for event)</v>
      </c>
      <c r="Z1544" s="12" t="str">
        <f ca="1">IFERROR(__xludf.DUMMYFUNCTION("""COMPUTED_VALUE"""),"School was rented for private party. Following an argument, 4 people were shot in the school parking lot. 2 suspects fled and a 34YOM was later arrested. 5 vehicles in the parking lot were stuck by bullets. No students in the school during the event.")</f>
        <v>School was rented for private party. Following an argument, 4 people were shot in the school parking lot. 2 suspects fled and a 34YOM was later arrested. 5 vehicles in the parking lot were stuck by bullets. No students in the school during the event.</v>
      </c>
      <c r="AA1544" s="8" t="str">
        <f ca="1">IFERROR(__xludf.DUMMYFUNCTION("""COMPUTED_VALUE"""),"Escalation of Dispute")</f>
        <v>Escalation of Dispute</v>
      </c>
      <c r="AB1544" s="8"/>
      <c r="AC1544" s="8" t="str">
        <f ca="1">IFERROR(__xludf.DUMMYFUNCTION("""COMPUTED_VALUE"""),"No")</f>
        <v>No</v>
      </c>
      <c r="AD1544" s="8"/>
      <c r="AE1544" s="8" t="str">
        <f ca="1">IFERROR(__xludf.DUMMYFUNCTION("""COMPUTED_VALUE"""),"Yes")</f>
        <v>Yes</v>
      </c>
      <c r="AF1544" s="8" t="str">
        <f ca="1">IFERROR(__xludf.DUMMYFUNCTION("""COMPUTED_VALUE"""),"2 suspects fled")</f>
        <v>2 suspects fled</v>
      </c>
      <c r="AG1544" s="8" t="str">
        <f ca="1">IFERROR(__xludf.DUMMYFUNCTION("""COMPUTED_VALUE"""),"No")</f>
        <v>No</v>
      </c>
      <c r="AH1544" s="8" t="str">
        <f ca="1">IFERROR(__xludf.DUMMYFUNCTION("""COMPUTED_VALUE"""),"No")</f>
        <v>No</v>
      </c>
      <c r="AI1544" s="8" t="str">
        <f ca="1">IFERROR(__xludf.DUMMYFUNCTION("""COMPUTED_VALUE"""),"No")</f>
        <v>No</v>
      </c>
      <c r="AJ1544" s="8" t="str">
        <f ca="1">IFERROR(__xludf.DUMMYFUNCTION("""COMPUTED_VALUE"""),"No")</f>
        <v>No</v>
      </c>
      <c r="AK1544" s="8" t="str">
        <f ca="1">IFERROR(__xludf.DUMMYFUNCTION("""COMPUTED_VALUE"""),"No")</f>
        <v>No</v>
      </c>
      <c r="AL1544" s="8" t="str">
        <f ca="1">IFERROR(__xludf.DUMMYFUNCTION("""COMPUTED_VALUE"""),"No")</f>
        <v>No</v>
      </c>
      <c r="AM1544" s="8" t="str">
        <f ca="1">IFERROR(__xludf.DUMMYFUNCTION("""COMPUTED_VALUE"""),"No")</f>
        <v>No</v>
      </c>
      <c r="AN1544" s="8"/>
      <c r="AO1544" s="8" t="str">
        <f ca="1">IFERROR(__xludf.DUMMYFUNCTION("""COMPUTED_VALUE"""),"No")</f>
        <v>No</v>
      </c>
      <c r="AP1544" s="8"/>
      <c r="AQ1544" s="8" t="str">
        <f ca="1">IFERROR(__xludf.DUMMYFUNCTION("""COMPUTED_VALUE"""),"Unknown")</f>
        <v>Unknown</v>
      </c>
      <c r="AR1544" s="8" t="str">
        <f ca="1">IFERROR(__xludf.DUMMYFUNCTION("""COMPUTED_VALUE"""),"NA")</f>
        <v>NA</v>
      </c>
      <c r="AS1544" s="8"/>
      <c r="AT1544" s="8" t="str">
        <f ca="1">IFERROR(__xludf.DUMMYFUNCTION("""COMPUTED_VALUE"""),"No")</f>
        <v>No</v>
      </c>
      <c r="AU1544" s="8">
        <f ca="1">IFERROR(__xludf.DUMMYFUNCTION("""COMPUTED_VALUE"""),30.044654)</f>
        <v>30.044654000000001</v>
      </c>
      <c r="AV1544" s="8">
        <f ca="1">IFERROR(__xludf.DUMMYFUNCTION("""COMPUTED_VALUE"""),-90.566128)</f>
        <v>-90.566128000000006</v>
      </c>
      <c r="AW1544" s="8"/>
      <c r="AX1544" s="8">
        <f ca="1">IFERROR(__xludf.DUMMYFUNCTION("""COMPUTED_VALUE"""),70049)</f>
        <v>70049</v>
      </c>
    </row>
    <row r="1545" spans="1:50" ht="75" x14ac:dyDescent="0.2">
      <c r="A1545" s="8" t="str">
        <f ca="1">IFERROR(__xludf.DUMMYFUNCTION("""COMPUTED_VALUE"""),"20191219FLLEN")</f>
        <v>20191219FLLEN</v>
      </c>
      <c r="B1545" s="8">
        <f ca="1">IFERROR(__xludf.DUMMYFUNCTION("""COMPUTED_VALUE"""),12)</f>
        <v>12</v>
      </c>
      <c r="C1545" s="8">
        <f ca="1">IFERROR(__xludf.DUMMYFUNCTION("""COMPUTED_VALUE"""),19)</f>
        <v>19</v>
      </c>
      <c r="D1545" s="8">
        <f ca="1">IFERROR(__xludf.DUMMYFUNCTION("""COMPUTED_VALUE"""),2019)</f>
        <v>2019</v>
      </c>
      <c r="E1545" s="9">
        <f ca="1">IFERROR(__xludf.DUMMYFUNCTION("""COMPUTED_VALUE"""),43818)</f>
        <v>43818</v>
      </c>
      <c r="F1545" s="8" t="str">
        <f ca="1">IFERROR(__xludf.DUMMYFUNCTION("""COMPUTED_VALUE"""),"Lely High School")</f>
        <v>Lely High School</v>
      </c>
      <c r="G1545" s="8">
        <f ca="1">IFERROR(__xludf.DUMMYFUNCTION("""COMPUTED_VALUE"""),1)</f>
        <v>1</v>
      </c>
      <c r="H1545" s="8">
        <f ca="1">IFERROR(__xludf.DUMMYFUNCTION("""COMPUTED_VALUE"""),0)</f>
        <v>0</v>
      </c>
      <c r="I1545" s="8">
        <f ca="1">IFERROR(__xludf.DUMMYFUNCTION("""COMPUTED_VALUE"""),1)</f>
        <v>1</v>
      </c>
      <c r="J1545" s="8">
        <f ca="1">IFERROR(__xludf.DUMMYFUNCTION("""COMPUTED_VALUE"""),0)</f>
        <v>0</v>
      </c>
      <c r="K1545" s="8" t="str">
        <f ca="1">IFERROR(__xludf.DUMMYFUNCTION("""COMPUTED_VALUE"""),"https://www.winknews.com/2019/12/19/collier-county-deputies-conducting-investigation-at-lely-high-school/ https://www.nbc-2.com/story/41479254/adult-education-student-involved-in-shooting-at-lely-high-school https://www.nbc-2.com/story/41832291/man-gets-l"&amp;"ife-in-prison-for-murder-of-woman-at-lely-high-school")</f>
        <v>https://www.winknews.com/2019/12/19/collier-county-deputies-conducting-investigation-at-lely-high-school/ https://www.nbc-2.com/story/41479254/adult-education-student-involved-in-shooting-at-lely-high-school https://www.nbc-2.com/story/41832291/man-gets-life-in-prison-for-murder-of-woman-at-lely-high-school</v>
      </c>
      <c r="L1545" s="8"/>
      <c r="M1545" s="8"/>
      <c r="N1545" s="8">
        <f ca="1">IFERROR(__xludf.DUMMYFUNCTION("""COMPUTED_VALUE"""),5)</f>
        <v>5</v>
      </c>
      <c r="O1545" s="8" t="str">
        <f ca="1">IFERROR(__xludf.DUMMYFUNCTION("""COMPUTED_VALUE"""),"Winter")</f>
        <v>Winter</v>
      </c>
      <c r="P1545" s="8" t="str">
        <f ca="1">IFERROR(__xludf.DUMMYFUNCTION("""COMPUTED_VALUE"""),"Naples")</f>
        <v>Naples</v>
      </c>
      <c r="Q1545" s="8" t="str">
        <f ca="1">IFERROR(__xludf.DUMMYFUNCTION("""COMPUTED_VALUE"""),"FL")</f>
        <v>FL</v>
      </c>
      <c r="R1545" s="8" t="str">
        <f ca="1">IFERROR(__xludf.DUMMYFUNCTION("""COMPUTED_VALUE"""),"High")</f>
        <v>High</v>
      </c>
      <c r="S1545" s="8" t="str">
        <f ca="1">IFERROR(__xludf.DUMMYFUNCTION("""COMPUTED_VALUE"""),"Parking Lot")</f>
        <v>Parking Lot</v>
      </c>
      <c r="T1545" s="8" t="str">
        <f ca="1">IFERROR(__xludf.DUMMYFUNCTION("""COMPUTED_VALUE"""),"Outside on School Property")</f>
        <v>Outside on School Property</v>
      </c>
      <c r="U1545" s="8" t="str">
        <f ca="1">IFERROR(__xludf.DUMMYFUNCTION("""COMPUTED_VALUE"""),"No")</f>
        <v>No</v>
      </c>
      <c r="V1545" s="8" t="str">
        <f ca="1">IFERROR(__xludf.DUMMYFUNCTION("""COMPUTED_VALUE"""),"Evening")</f>
        <v>Evening</v>
      </c>
      <c r="W1545" s="11">
        <f ca="1">IFERROR(__xludf.DUMMYFUNCTION("""COMPUTED_VALUE"""),0.853472222222222)</f>
        <v>0.85347222222222197</v>
      </c>
      <c r="X1545" s="8">
        <f ca="1">IFERROR(__xludf.DUMMYFUNCTION("""COMPUTED_VALUE"""),1)</f>
        <v>1</v>
      </c>
      <c r="Y1545" s="12" t="str">
        <f ca="1">IFERROR(__xludf.DUMMYFUNCTION("""COMPUTED_VALUE"""),"Adult male shot adult female night school students in parking lot")</f>
        <v>Adult male shot adult female night school students in parking lot</v>
      </c>
      <c r="Z1545" s="12" t="str">
        <f ca="1">IFERROR(__xludf.DUMMYFUNCTION("""COMPUTED_VALUE"""),"Female adult night school student was shot and killed in school parking lot. 50YOM fled the scene and was later arrested. Targeted shooting. Domestic violence. Principle made statement about the shooting and school opened on schedule the following day.")</f>
        <v>Female adult night school student was shot and killed in school parking lot. 50YOM fled the scene and was later arrested. Targeted shooting. Domestic violence. Principle made statement about the shooting and school opened on schedule the following day.</v>
      </c>
      <c r="AA1545" s="8" t="str">
        <f ca="1">IFERROR(__xludf.DUMMYFUNCTION("""COMPUTED_VALUE"""),"Domestic w/ Targeted Victim")</f>
        <v>Domestic w/ Targeted Victim</v>
      </c>
      <c r="AB1545" s="8"/>
      <c r="AC1545" s="8" t="str">
        <f ca="1">IFERROR(__xludf.DUMMYFUNCTION("""COMPUTED_VALUE"""),"Yes")</f>
        <v>Yes</v>
      </c>
      <c r="AD1545" s="8" t="str">
        <f ca="1">IFERROR(__xludf.DUMMYFUNCTION("""COMPUTED_VALUE"""),"Victims Targeted")</f>
        <v>Victims Targeted</v>
      </c>
      <c r="AE1545" s="8" t="str">
        <f ca="1">IFERROR(__xludf.DUMMYFUNCTION("""COMPUTED_VALUE"""),"No")</f>
        <v>No</v>
      </c>
      <c r="AF1545" s="8"/>
      <c r="AG1545" s="8" t="str">
        <f ca="1">IFERROR(__xludf.DUMMYFUNCTION("""COMPUTED_VALUE"""),"No")</f>
        <v>No</v>
      </c>
      <c r="AH1545" s="8" t="str">
        <f ca="1">IFERROR(__xludf.DUMMYFUNCTION("""COMPUTED_VALUE"""),"No")</f>
        <v>No</v>
      </c>
      <c r="AI1545" s="8" t="str">
        <f ca="1">IFERROR(__xludf.DUMMYFUNCTION("""COMPUTED_VALUE"""),"No")</f>
        <v>No</v>
      </c>
      <c r="AJ1545" s="8" t="str">
        <f ca="1">IFERROR(__xludf.DUMMYFUNCTION("""COMPUTED_VALUE"""),"No")</f>
        <v>No</v>
      </c>
      <c r="AK1545" s="8" t="str">
        <f ca="1">IFERROR(__xludf.DUMMYFUNCTION("""COMPUTED_VALUE"""),"Yes")</f>
        <v>Yes</v>
      </c>
      <c r="AL1545" s="8" t="str">
        <f ca="1">IFERROR(__xludf.DUMMYFUNCTION("""COMPUTED_VALUE"""),"No")</f>
        <v>No</v>
      </c>
      <c r="AM1545" s="8" t="str">
        <f ca="1">IFERROR(__xludf.DUMMYFUNCTION("""COMPUTED_VALUE"""),"No")</f>
        <v>No</v>
      </c>
      <c r="AN1545" s="8"/>
      <c r="AO1545" s="8" t="str">
        <f ca="1">IFERROR(__xludf.DUMMYFUNCTION("""COMPUTED_VALUE"""),"No")</f>
        <v>No</v>
      </c>
      <c r="AP1545" s="8"/>
      <c r="AQ1545" s="8" t="str">
        <f ca="1">IFERROR(__xludf.DUMMYFUNCTION("""COMPUTED_VALUE"""),"Unknown")</f>
        <v>Unknown</v>
      </c>
      <c r="AR1545" s="8" t="str">
        <f ca="1">IFERROR(__xludf.DUMMYFUNCTION("""COMPUTED_VALUE"""),"NA")</f>
        <v>NA</v>
      </c>
      <c r="AS1545" s="8"/>
      <c r="AT1545" s="8"/>
      <c r="AU1545" s="8">
        <f ca="1">IFERROR(__xludf.DUMMYFUNCTION("""COMPUTED_VALUE"""),26.088187)</f>
        <v>26.088187000000001</v>
      </c>
      <c r="AV1545" s="8">
        <f ca="1">IFERROR(__xludf.DUMMYFUNCTION("""COMPUTED_VALUE"""),-81.716843)</f>
        <v>-81.716842999999997</v>
      </c>
      <c r="AW1545" s="8"/>
      <c r="AX1545" s="8">
        <f ca="1">IFERROR(__xludf.DUMMYFUNCTION("""COMPUTED_VALUE"""),34113)</f>
        <v>34113</v>
      </c>
    </row>
    <row r="1546" spans="1:50" ht="90" x14ac:dyDescent="0.2">
      <c r="A1546" s="8" t="str">
        <f ca="1">IFERROR(__xludf.DUMMYFUNCTION("""COMPUTED_VALUE"""),"20191216CTCAN")</f>
        <v>20191216CTCAN</v>
      </c>
      <c r="B1546" s="8">
        <f ca="1">IFERROR(__xludf.DUMMYFUNCTION("""COMPUTED_VALUE"""),12)</f>
        <v>12</v>
      </c>
      <c r="C1546" s="8">
        <f ca="1">IFERROR(__xludf.DUMMYFUNCTION("""COMPUTED_VALUE"""),16)</f>
        <v>16</v>
      </c>
      <c r="D1546" s="8">
        <f ca="1">IFERROR(__xludf.DUMMYFUNCTION("""COMPUTED_VALUE"""),2019)</f>
        <v>2019</v>
      </c>
      <c r="E1546" s="9">
        <f ca="1">IFERROR(__xludf.DUMMYFUNCTION("""COMPUTED_VALUE"""),43815)</f>
        <v>43815</v>
      </c>
      <c r="F1546" s="8" t="str">
        <f ca="1">IFERROR(__xludf.DUMMYFUNCTION("""COMPUTED_VALUE"""),"Catholic Academy of New Haven")</f>
        <v>Catholic Academy of New Haven</v>
      </c>
      <c r="G1546" s="8">
        <f ca="1">IFERROR(__xludf.DUMMYFUNCTION("""COMPUTED_VALUE"""),0)</f>
        <v>0</v>
      </c>
      <c r="H1546" s="8">
        <f ca="1">IFERROR(__xludf.DUMMYFUNCTION("""COMPUTED_VALUE"""),1)</f>
        <v>1</v>
      </c>
      <c r="I1546" s="8">
        <f ca="1">IFERROR(__xludf.DUMMYFUNCTION("""COMPUTED_VALUE"""),1)</f>
        <v>1</v>
      </c>
      <c r="J1546" s="8">
        <f ca="1">IFERROR(__xludf.DUMMYFUNCTION("""COMPUTED_VALUE"""),0)</f>
        <v>0</v>
      </c>
      <c r="K1546" s="8" t="str">
        <f ca="1">IFERROR(__xludf.DUMMYFUNCTION("""COMPUTED_VALUE"""),"https://whdh.com/news/police-man-shot-outside-school-bullet-hits-classroom-in-connecticut/ https://www.wral.com/police-man-shot-outside-school-bullet-hits-classroom/18836915/ https://www.newhavenindependent.org/index.php/archives/entry/lockdown_shooting/")</f>
        <v>https://whdh.com/news/police-man-shot-outside-school-bullet-hits-classroom-in-connecticut/ https://www.wral.com/police-man-shot-outside-school-bullet-hits-classroom/18836915/ https://www.newhavenindependent.org/index.php/archives/entry/lockdown_shooting/</v>
      </c>
      <c r="L1546" s="8"/>
      <c r="M1546" s="8"/>
      <c r="N1546" s="8">
        <f ca="1">IFERROR(__xludf.DUMMYFUNCTION("""COMPUTED_VALUE"""),4)</f>
        <v>4</v>
      </c>
      <c r="O1546" s="8" t="str">
        <f ca="1">IFERROR(__xludf.DUMMYFUNCTION("""COMPUTED_VALUE"""),"Winter")</f>
        <v>Winter</v>
      </c>
      <c r="P1546" s="8" t="str">
        <f ca="1">IFERROR(__xludf.DUMMYFUNCTION("""COMPUTED_VALUE"""),"New Haven")</f>
        <v>New Haven</v>
      </c>
      <c r="Q1546" s="8" t="str">
        <f ca="1">IFERROR(__xludf.DUMMYFUNCTION("""COMPUTED_VALUE"""),"CT")</f>
        <v>CT</v>
      </c>
      <c r="R1546" s="8" t="str">
        <f ca="1">IFERROR(__xludf.DUMMYFUNCTION("""COMPUTED_VALUE"""),"K-8")</f>
        <v>K-8</v>
      </c>
      <c r="S1546" s="8" t="str">
        <f ca="1">IFERROR(__xludf.DUMMYFUNCTION("""COMPUTED_VALUE"""),"Beside Building")</f>
        <v>Beside Building</v>
      </c>
      <c r="T1546" s="8" t="str">
        <f ca="1">IFERROR(__xludf.DUMMYFUNCTION("""COMPUTED_VALUE"""),"Outside on School Property")</f>
        <v>Outside on School Property</v>
      </c>
      <c r="U1546" s="8" t="str">
        <f ca="1">IFERROR(__xludf.DUMMYFUNCTION("""COMPUTED_VALUE"""),"Yes")</f>
        <v>Yes</v>
      </c>
      <c r="V1546" s="8" t="str">
        <f ca="1">IFERROR(__xludf.DUMMYFUNCTION("""COMPUTED_VALUE"""),"School Start")</f>
        <v>School Start</v>
      </c>
      <c r="W1546" s="11">
        <f ca="1">IFERROR(__xludf.DUMMYFUNCTION("""COMPUTED_VALUE"""),0.375)</f>
        <v>0.375</v>
      </c>
      <c r="X1546" s="8">
        <f ca="1">IFERROR(__xludf.DUMMYFUNCTION("""COMPUTED_VALUE"""),1)</f>
        <v>1</v>
      </c>
      <c r="Y1546" s="12" t="str">
        <f ca="1">IFERROR(__xludf.DUMMYFUNCTION("""COMPUTED_VALUE"""),"Adult dropping child off shot in targeted shooting, 7 bullets hit school building")</f>
        <v>Adult dropping child off shot in targeted shooting, 7 bullets hit school building</v>
      </c>
      <c r="Z1546" s="12" t="str">
        <f ca="1">IFERROR(__xludf.DUMMYFUNCTION("""COMPUTED_VALUE"""),"Adult caregiver was shot multiple times while dropping child off at school. 10 shots fired. 7 hit school building and 1 entered occupied classroom with students inside. Caregiver had been recently released from prison and had gang affiliation. Unknown sho"&amp;"oter fled the area. School placed on lockdown and additional police patrol assigned.")</f>
        <v>Adult caregiver was shot multiple times while dropping child off at school. 10 shots fired. 7 hit school building and 1 entered occupied classroom with students inside. Caregiver had been recently released from prison and had gang affiliation. Unknown shooter fled the area. School placed on lockdown and additional police patrol assigned.</v>
      </c>
      <c r="AA1546" s="8" t="str">
        <f ca="1">IFERROR(__xludf.DUMMYFUNCTION("""COMPUTED_VALUE"""),"Drive-by Shooting")</f>
        <v>Drive-by Shooting</v>
      </c>
      <c r="AB1546" s="8"/>
      <c r="AC1546" s="8" t="str">
        <f ca="1">IFERROR(__xludf.DUMMYFUNCTION("""COMPUTED_VALUE"""),"Yes")</f>
        <v>Yes</v>
      </c>
      <c r="AD1546" s="8" t="str">
        <f ca="1">IFERROR(__xludf.DUMMYFUNCTION("""COMPUTED_VALUE"""),"Victims Targeted")</f>
        <v>Victims Targeted</v>
      </c>
      <c r="AE1546" s="8" t="str">
        <f ca="1">IFERROR(__xludf.DUMMYFUNCTION("""COMPUTED_VALUE"""),"No")</f>
        <v>No</v>
      </c>
      <c r="AF1546" s="8"/>
      <c r="AG1546" s="8" t="str">
        <f ca="1">IFERROR(__xludf.DUMMYFUNCTION("""COMPUTED_VALUE"""),"No")</f>
        <v>No</v>
      </c>
      <c r="AH1546" s="8" t="str">
        <f ca="1">IFERROR(__xludf.DUMMYFUNCTION("""COMPUTED_VALUE"""),"No")</f>
        <v>No</v>
      </c>
      <c r="AI1546" s="8" t="str">
        <f ca="1">IFERROR(__xludf.DUMMYFUNCTION("""COMPUTED_VALUE"""),"No")</f>
        <v>No</v>
      </c>
      <c r="AJ1546" s="8" t="str">
        <f ca="1">IFERROR(__xludf.DUMMYFUNCTION("""COMPUTED_VALUE"""),"No")</f>
        <v>No</v>
      </c>
      <c r="AK1546" s="8" t="str">
        <f ca="1">IFERROR(__xludf.DUMMYFUNCTION("""COMPUTED_VALUE"""),"No")</f>
        <v>No</v>
      </c>
      <c r="AL1546" s="8" t="str">
        <f ca="1">IFERROR(__xludf.DUMMYFUNCTION("""COMPUTED_VALUE"""),"Yes")</f>
        <v>Yes</v>
      </c>
      <c r="AM1546" s="8" t="str">
        <f ca="1">IFERROR(__xludf.DUMMYFUNCTION("""COMPUTED_VALUE"""),"No")</f>
        <v>No</v>
      </c>
      <c r="AN1546" s="8"/>
      <c r="AO1546" s="8" t="str">
        <f ca="1">IFERROR(__xludf.DUMMYFUNCTION("""COMPUTED_VALUE"""),"No")</f>
        <v>No</v>
      </c>
      <c r="AP1546" s="8"/>
      <c r="AQ1546" s="8" t="str">
        <f ca="1">IFERROR(__xludf.DUMMYFUNCTION("""COMPUTED_VALUE"""),"Unknown")</f>
        <v>Unknown</v>
      </c>
      <c r="AR1546" s="8" t="str">
        <f ca="1">IFERROR(__xludf.DUMMYFUNCTION("""COMPUTED_VALUE"""),"Outside/Off-Property")</f>
        <v>Outside/Off-Property</v>
      </c>
      <c r="AS1546" s="8">
        <f ca="1">IFERROR(__xludf.DUMMYFUNCTION("""COMPUTED_VALUE"""),10)</f>
        <v>10</v>
      </c>
      <c r="AT1546" s="8" t="str">
        <f ca="1">IFERROR(__xludf.DUMMYFUNCTION("""COMPUTED_VALUE"""),"Yes")</f>
        <v>Yes</v>
      </c>
      <c r="AU1546" s="8">
        <f ca="1">IFERROR(__xludf.DUMMYFUNCTION("""COMPUTED_VALUE"""),41.325672)</f>
        <v>41.325671999999997</v>
      </c>
      <c r="AV1546" s="8">
        <f ca="1">IFERROR(__xludf.DUMMYFUNCTION("""COMPUTED_VALUE"""),-72.963428)</f>
        <v>-72.963427999999993</v>
      </c>
      <c r="AW1546" s="8"/>
      <c r="AX1546" s="8">
        <f ca="1">IFERROR(__xludf.DUMMYFUNCTION("""COMPUTED_VALUE"""),6515)</f>
        <v>6515</v>
      </c>
    </row>
    <row r="1547" spans="1:50" ht="90" x14ac:dyDescent="0.2">
      <c r="A1547" s="8" t="str">
        <f ca="1">IFERROR(__xludf.DUMMYFUNCTION("""COMPUTED_VALUE"""),"20191213VAMAN")</f>
        <v>20191213VAMAN</v>
      </c>
      <c r="B1547" s="8">
        <f ca="1">IFERROR(__xludf.DUMMYFUNCTION("""COMPUTED_VALUE"""),12)</f>
        <v>12</v>
      </c>
      <c r="C1547" s="8">
        <f ca="1">IFERROR(__xludf.DUMMYFUNCTION("""COMPUTED_VALUE"""),13)</f>
        <v>13</v>
      </c>
      <c r="D1547" s="8">
        <f ca="1">IFERROR(__xludf.DUMMYFUNCTION("""COMPUTED_VALUE"""),2019)</f>
        <v>2019</v>
      </c>
      <c r="E1547" s="9">
        <f ca="1">IFERROR(__xludf.DUMMYFUNCTION("""COMPUTED_VALUE"""),43812)</f>
        <v>43812</v>
      </c>
      <c r="F1547" s="8" t="str">
        <f ca="1">IFERROR(__xludf.DUMMYFUNCTION("""COMPUTED_VALUE"""),"Maury High School")</f>
        <v>Maury High School</v>
      </c>
      <c r="G1547" s="8">
        <f ca="1">IFERROR(__xludf.DUMMYFUNCTION("""COMPUTED_VALUE"""),0)</f>
        <v>0</v>
      </c>
      <c r="H1547" s="8">
        <f ca="1">IFERROR(__xludf.DUMMYFUNCTION("""COMPUTED_VALUE"""),0)</f>
        <v>0</v>
      </c>
      <c r="I1547" s="8">
        <f ca="1">IFERROR(__xludf.DUMMYFUNCTION("""COMPUTED_VALUE"""),0)</f>
        <v>0</v>
      </c>
      <c r="J1547" s="8">
        <f ca="1">IFERROR(__xludf.DUMMYFUNCTION("""COMPUTED_VALUE"""),0)</f>
        <v>0</v>
      </c>
      <c r="K1547" s="8" t="str">
        <f ca="1">IFERROR(__xludf.DUMMYFUNCTION("""COMPUTED_VALUE"""),"https://www.wavy.com/news/local-news/norfolk/maury-high-student-taken-to-hospital-after-minor-explosion-reportedly-lit-ammunition-on-fire/ https://www.wavy.com/news/breaking-news/police-two-juveniles-charged-in-connection-to-maury-high-school-shooting/")</f>
        <v>https://www.wavy.com/news/local-news/norfolk/maury-high-student-taken-to-hospital-after-minor-explosion-reportedly-lit-ammunition-on-fire/ https://www.wavy.com/news/breaking-news/police-two-juveniles-charged-in-connection-to-maury-high-school-shooting/</v>
      </c>
      <c r="L1547" s="8"/>
      <c r="M1547" s="8"/>
      <c r="N1547" s="8">
        <f ca="1">IFERROR(__xludf.DUMMYFUNCTION("""COMPUTED_VALUE"""),4)</f>
        <v>4</v>
      </c>
      <c r="O1547" s="8" t="str">
        <f ca="1">IFERROR(__xludf.DUMMYFUNCTION("""COMPUTED_VALUE"""),"Winter")</f>
        <v>Winter</v>
      </c>
      <c r="P1547" s="8" t="str">
        <f ca="1">IFERROR(__xludf.DUMMYFUNCTION("""COMPUTED_VALUE"""),"Norfolk")</f>
        <v>Norfolk</v>
      </c>
      <c r="Q1547" s="8" t="str">
        <f ca="1">IFERROR(__xludf.DUMMYFUNCTION("""COMPUTED_VALUE"""),"VA")</f>
        <v>VA</v>
      </c>
      <c r="R1547" s="8" t="str">
        <f ca="1">IFERROR(__xludf.DUMMYFUNCTION("""COMPUTED_VALUE"""),"High")</f>
        <v>High</v>
      </c>
      <c r="S1547" s="8" t="str">
        <f ca="1">IFERROR(__xludf.DUMMYFUNCTION("""COMPUTED_VALUE"""),"Classroom")</f>
        <v>Classroom</v>
      </c>
      <c r="T1547" s="8" t="str">
        <f ca="1">IFERROR(__xludf.DUMMYFUNCTION("""COMPUTED_VALUE"""),"Inside School Building")</f>
        <v>Inside School Building</v>
      </c>
      <c r="U1547" s="8" t="str">
        <f ca="1">IFERROR(__xludf.DUMMYFUNCTION("""COMPUTED_VALUE"""),"Yes")</f>
        <v>Yes</v>
      </c>
      <c r="V1547" s="8" t="str">
        <f ca="1">IFERROR(__xludf.DUMMYFUNCTION("""COMPUTED_VALUE"""),"Afternoon Classes")</f>
        <v>Afternoon Classes</v>
      </c>
      <c r="W1547" s="11">
        <f ca="1">IFERROR(__xludf.DUMMYFUNCTION("""COMPUTED_VALUE"""),0.510416666666666)</f>
        <v>0.51041666666666596</v>
      </c>
      <c r="X1547" s="8">
        <f ca="1">IFERROR(__xludf.DUMMYFUNCTION("""COMPUTED_VALUE"""),1)</f>
        <v>1</v>
      </c>
      <c r="Y1547" s="12" t="str">
        <f ca="1">IFERROR(__xludf.DUMMYFUNCTION("""COMPUTED_VALUE"""),"Student shot self in hand in classroom")</f>
        <v>Student shot self in hand in classroom</v>
      </c>
      <c r="Z1547" s="12" t="str">
        <f ca="1">IFERROR(__xludf.DUMMYFUNCTION("""COMPUTED_VALUE"""),"17YOM student shot self in hand while playing with handgun during class. Second student took possession of the handgun after the shooting and was later arrested. School was locked down for 3 hours, searched, and then dismissed. Injured student was taken t"&amp;"o the hospital. Charges pending.")</f>
        <v>17YOM student shot self in hand while playing with handgun during class. Second student took possession of the handgun after the shooting and was later arrested. School was locked down for 3 hours, searched, and then dismissed. Injured student was taken to the hospital. Charges pending.</v>
      </c>
      <c r="AA1547" s="8" t="str">
        <f ca="1">IFERROR(__xludf.DUMMYFUNCTION("""COMPUTED_VALUE"""),"Accidental")</f>
        <v>Accidental</v>
      </c>
      <c r="AB1547" s="8"/>
      <c r="AC1547" s="8" t="str">
        <f ca="1">IFERROR(__xludf.DUMMYFUNCTION("""COMPUTED_VALUE"""),"Yes")</f>
        <v>Yes</v>
      </c>
      <c r="AD1547" s="8" t="str">
        <f ca="1">IFERROR(__xludf.DUMMYFUNCTION("""COMPUTED_VALUE"""),"Neither")</f>
        <v>Neither</v>
      </c>
      <c r="AE1547" s="8" t="str">
        <f ca="1">IFERROR(__xludf.DUMMYFUNCTION("""COMPUTED_VALUE"""),"Yes")</f>
        <v>Yes</v>
      </c>
      <c r="AF1547" s="8" t="str">
        <f ca="1">IFERROR(__xludf.DUMMYFUNCTION("""COMPUTED_VALUE"""),"Second student took handgun following shooting")</f>
        <v>Second student took handgun following shooting</v>
      </c>
      <c r="AG1547" s="8" t="str">
        <f ca="1">IFERROR(__xludf.DUMMYFUNCTION("""COMPUTED_VALUE"""),"No")</f>
        <v>No</v>
      </c>
      <c r="AH1547" s="8" t="str">
        <f ca="1">IFERROR(__xludf.DUMMYFUNCTION("""COMPUTED_VALUE"""),"No")</f>
        <v>No</v>
      </c>
      <c r="AI1547" s="8" t="str">
        <f ca="1">IFERROR(__xludf.DUMMYFUNCTION("""COMPUTED_VALUE"""),"No")</f>
        <v>No</v>
      </c>
      <c r="AJ1547" s="8" t="str">
        <f ca="1">IFERROR(__xludf.DUMMYFUNCTION("""COMPUTED_VALUE"""),"No")</f>
        <v>No</v>
      </c>
      <c r="AK1547" s="8" t="str">
        <f ca="1">IFERROR(__xludf.DUMMYFUNCTION("""COMPUTED_VALUE"""),"No")</f>
        <v>No</v>
      </c>
      <c r="AL1547" s="8" t="str">
        <f ca="1">IFERROR(__xludf.DUMMYFUNCTION("""COMPUTED_VALUE"""),"No")</f>
        <v>No</v>
      </c>
      <c r="AM1547" s="8" t="str">
        <f ca="1">IFERROR(__xludf.DUMMYFUNCTION("""COMPUTED_VALUE"""),"No")</f>
        <v>No</v>
      </c>
      <c r="AN1547" s="8"/>
      <c r="AO1547" s="8" t="str">
        <f ca="1">IFERROR(__xludf.DUMMYFUNCTION("""COMPUTED_VALUE"""),"No")</f>
        <v>No</v>
      </c>
      <c r="AP1547" s="8"/>
      <c r="AQ1547" s="8" t="str">
        <f ca="1">IFERROR(__xludf.DUMMYFUNCTION("""COMPUTED_VALUE"""),"Unknown")</f>
        <v>Unknown</v>
      </c>
      <c r="AR1547" s="8" t="str">
        <f ca="1">IFERROR(__xludf.DUMMYFUNCTION("""COMPUTED_VALUE"""),"NA")</f>
        <v>NA</v>
      </c>
      <c r="AS1547" s="8">
        <f ca="1">IFERROR(__xludf.DUMMYFUNCTION("""COMPUTED_VALUE"""),1)</f>
        <v>1</v>
      </c>
      <c r="AT1547" s="8" t="str">
        <f ca="1">IFERROR(__xludf.DUMMYFUNCTION("""COMPUTED_VALUE"""),"Yes")</f>
        <v>Yes</v>
      </c>
      <c r="AU1547" s="8">
        <f ca="1">IFERROR(__xludf.DUMMYFUNCTION("""COMPUTED_VALUE"""),36.865278)</f>
        <v>36.865278000000004</v>
      </c>
      <c r="AV1547" s="8">
        <f ca="1">IFERROR(__xludf.DUMMYFUNCTION("""COMPUTED_VALUE"""),-76.290364)</f>
        <v>-76.290363999999997</v>
      </c>
      <c r="AW1547" s="8"/>
      <c r="AX1547" s="8">
        <f ca="1">IFERROR(__xludf.DUMMYFUNCTION("""COMPUTED_VALUE"""),23517)</f>
        <v>23517</v>
      </c>
    </row>
    <row r="1548" spans="1:50" ht="45" x14ac:dyDescent="0.2">
      <c r="A1548" s="8" t="str">
        <f ca="1">IFERROR(__xludf.DUMMYFUNCTION("""COMPUTED_VALUE"""),"20191211KSCHT")</f>
        <v>20191211KSCHT</v>
      </c>
      <c r="B1548" s="8">
        <f ca="1">IFERROR(__xludf.DUMMYFUNCTION("""COMPUTED_VALUE"""),12)</f>
        <v>12</v>
      </c>
      <c r="C1548" s="8">
        <f ca="1">IFERROR(__xludf.DUMMYFUNCTION("""COMPUTED_VALUE"""),11)</f>
        <v>11</v>
      </c>
      <c r="D1548" s="8">
        <f ca="1">IFERROR(__xludf.DUMMYFUNCTION("""COMPUTED_VALUE"""),2019)</f>
        <v>2019</v>
      </c>
      <c r="E1548" s="9">
        <f ca="1">IFERROR(__xludf.DUMMYFUNCTION("""COMPUTED_VALUE"""),43810)</f>
        <v>43810</v>
      </c>
      <c r="F1548" s="8" t="str">
        <f ca="1">IFERROR(__xludf.DUMMYFUNCTION("""COMPUTED_VALUE"""),"Chase Middle School")</f>
        <v>Chase Middle School</v>
      </c>
      <c r="G1548" s="8">
        <f ca="1">IFERROR(__xludf.DUMMYFUNCTION("""COMPUTED_VALUE"""),0)</f>
        <v>0</v>
      </c>
      <c r="H1548" s="8">
        <f ca="1">IFERROR(__xludf.DUMMYFUNCTION("""COMPUTED_VALUE"""),0)</f>
        <v>0</v>
      </c>
      <c r="I1548" s="8">
        <f ca="1">IFERROR(__xludf.DUMMYFUNCTION("""COMPUTED_VALUE"""),0)</f>
        <v>0</v>
      </c>
      <c r="J1548" s="8">
        <f ca="1">IFERROR(__xludf.DUMMYFUNCTION("""COMPUTED_VALUE"""),0)</f>
        <v>0</v>
      </c>
      <c r="K1548" s="8" t="str">
        <f ca="1">IFERROR(__xludf.DUMMYFUNCTION("""COMPUTED_VALUE"""),"https://www.ksnt.com/news/local-news/topeka-school-bus-shot-with-bb-gun-students-not-hurt/ https://www.wibw.com/content/news/School-bus-with-students-on-board-hit-by-BB-shot-566096591.html")</f>
        <v>https://www.ksnt.com/news/local-news/topeka-school-bus-shot-with-bb-gun-students-not-hurt/ https://www.wibw.com/content/news/School-bus-with-students-on-board-hit-by-BB-shot-566096591.html</v>
      </c>
      <c r="L1548" s="8"/>
      <c r="M1548" s="8"/>
      <c r="N1548" s="8">
        <f ca="1">IFERROR(__xludf.DUMMYFUNCTION("""COMPUTED_VALUE"""),3)</f>
        <v>3</v>
      </c>
      <c r="O1548" s="8" t="str">
        <f ca="1">IFERROR(__xludf.DUMMYFUNCTION("""COMPUTED_VALUE"""),"Winter")</f>
        <v>Winter</v>
      </c>
      <c r="P1548" s="8" t="str">
        <f ca="1">IFERROR(__xludf.DUMMYFUNCTION("""COMPUTED_VALUE"""),"Topeka")</f>
        <v>Topeka</v>
      </c>
      <c r="Q1548" s="8" t="str">
        <f ca="1">IFERROR(__xludf.DUMMYFUNCTION("""COMPUTED_VALUE"""),"KS")</f>
        <v>KS</v>
      </c>
      <c r="R1548" s="8" t="str">
        <f ca="1">IFERROR(__xludf.DUMMYFUNCTION("""COMPUTED_VALUE"""),"Middle")</f>
        <v>Middle</v>
      </c>
      <c r="S1548" s="8" t="str">
        <f ca="1">IFERROR(__xludf.DUMMYFUNCTION("""COMPUTED_VALUE"""),"School Bus")</f>
        <v>School Bus</v>
      </c>
      <c r="T1548" s="8" t="str">
        <f ca="1">IFERROR(__xludf.DUMMYFUNCTION("""COMPUTED_VALUE"""),"School Bus")</f>
        <v>School Bus</v>
      </c>
      <c r="U1548" s="8" t="str">
        <f ca="1">IFERROR(__xludf.DUMMYFUNCTION("""COMPUTED_VALUE"""),"Yes")</f>
        <v>Yes</v>
      </c>
      <c r="V1548" s="8" t="str">
        <f ca="1">IFERROR(__xludf.DUMMYFUNCTION("""COMPUTED_VALUE"""),"Dismissal")</f>
        <v>Dismissal</v>
      </c>
      <c r="W1548" s="11">
        <f ca="1">IFERROR(__xludf.DUMMYFUNCTION("""COMPUTED_VALUE"""),0.635416666666666)</f>
        <v>0.63541666666666596</v>
      </c>
      <c r="X1548" s="8">
        <f ca="1">IFERROR(__xludf.DUMMYFUNCTION("""COMPUTED_VALUE"""),1)</f>
        <v>1</v>
      </c>
      <c r="Y1548" s="12" t="str">
        <f ca="1">IFERROR(__xludf.DUMMYFUNCTION("""COMPUTED_VALUE"""),"Bus shot with multiple BBs with students onboard")</f>
        <v>Bus shot with multiple BBs with students onboard</v>
      </c>
      <c r="Z1548" s="12" t="str">
        <f ca="1">IFERROR(__xludf.DUMMYFUNCTION("""COMPUTED_VALUE"""),"School bus with 33 students onboard was shot multiple times with BBs. Bus drive drove to the police station for assistance. No injuries. Unnamed suspect arrested.")</f>
        <v>School bus with 33 students onboard was shot multiple times with BBs. Bus drive drove to the police station for assistance. No injuries. Unnamed suspect arrested.</v>
      </c>
      <c r="AA1548" s="8" t="str">
        <f ca="1">IFERROR(__xludf.DUMMYFUNCTION("""COMPUTED_VALUE"""),"Unknown")</f>
        <v>Unknown</v>
      </c>
      <c r="AB1548" s="8"/>
      <c r="AC1548" s="8" t="str">
        <f ca="1">IFERROR(__xludf.DUMMYFUNCTION("""COMPUTED_VALUE"""),"Yes")</f>
        <v>Yes</v>
      </c>
      <c r="AD1548" s="8"/>
      <c r="AE1548" s="8" t="str">
        <f ca="1">IFERROR(__xludf.DUMMYFUNCTION("""COMPUTED_VALUE"""),"No")</f>
        <v>No</v>
      </c>
      <c r="AF1548" s="8"/>
      <c r="AG1548" s="8" t="str">
        <f ca="1">IFERROR(__xludf.DUMMYFUNCTION("""COMPUTED_VALUE"""),"No")</f>
        <v>No</v>
      </c>
      <c r="AH1548" s="8" t="str">
        <f ca="1">IFERROR(__xludf.DUMMYFUNCTION("""COMPUTED_VALUE"""),"No")</f>
        <v>No</v>
      </c>
      <c r="AI1548" s="8" t="str">
        <f ca="1">IFERROR(__xludf.DUMMYFUNCTION("""COMPUTED_VALUE"""),"No")</f>
        <v>No</v>
      </c>
      <c r="AJ1548" s="8" t="str">
        <f ca="1">IFERROR(__xludf.DUMMYFUNCTION("""COMPUTED_VALUE"""),"No")</f>
        <v>No</v>
      </c>
      <c r="AK1548" s="8" t="str">
        <f ca="1">IFERROR(__xludf.DUMMYFUNCTION("""COMPUTED_VALUE"""),"No")</f>
        <v>No</v>
      </c>
      <c r="AL1548" s="8" t="str">
        <f ca="1">IFERROR(__xludf.DUMMYFUNCTION("""COMPUTED_VALUE"""),"No")</f>
        <v>No</v>
      </c>
      <c r="AM1548" s="8" t="str">
        <f ca="1">IFERROR(__xludf.DUMMYFUNCTION("""COMPUTED_VALUE"""),"No")</f>
        <v>No</v>
      </c>
      <c r="AN1548" s="8"/>
      <c r="AO1548" s="8" t="str">
        <f ca="1">IFERROR(__xludf.DUMMYFUNCTION("""COMPUTED_VALUE"""),"No")</f>
        <v>No</v>
      </c>
      <c r="AP1548" s="8"/>
      <c r="AQ1548" s="8" t="str">
        <f ca="1">IFERROR(__xludf.DUMMYFUNCTION("""COMPUTED_VALUE"""),"Unknown")</f>
        <v>Unknown</v>
      </c>
      <c r="AR1548" s="8" t="str">
        <f ca="1">IFERROR(__xludf.DUMMYFUNCTION("""COMPUTED_VALUE"""),"NA")</f>
        <v>NA</v>
      </c>
      <c r="AS1548" s="8" t="str">
        <f ca="1">IFERROR(__xludf.DUMMYFUNCTION("""COMPUTED_VALUE"""),"&lt;10")</f>
        <v>&lt;10</v>
      </c>
      <c r="AT1548" s="8" t="str">
        <f ca="1">IFERROR(__xludf.DUMMYFUNCTION("""COMPUTED_VALUE"""),"No")</f>
        <v>No</v>
      </c>
      <c r="AU1548" s="8">
        <f ca="1">IFERROR(__xludf.DUMMYFUNCTION("""COMPUTED_VALUE"""),39.061174)</f>
        <v>39.061174000000001</v>
      </c>
      <c r="AV1548" s="8">
        <f ca="1">IFERROR(__xludf.DUMMYFUNCTION("""COMPUTED_VALUE"""),-95.64223)</f>
        <v>-95.642229999999998</v>
      </c>
      <c r="AW1548" s="8"/>
      <c r="AX1548" s="8">
        <f ca="1">IFERROR(__xludf.DUMMYFUNCTION("""COMPUTED_VALUE"""),66616)</f>
        <v>66616</v>
      </c>
    </row>
    <row r="1549" spans="1:50" ht="45" x14ac:dyDescent="0.2">
      <c r="A1549" s="8" t="str">
        <f ca="1">IFERROR(__xludf.DUMMYFUNCTION("""COMPUTED_VALUE"""),"20191211INEVE")</f>
        <v>20191211INEVE</v>
      </c>
      <c r="B1549" s="8">
        <f ca="1">IFERROR(__xludf.DUMMYFUNCTION("""COMPUTED_VALUE"""),12)</f>
        <v>12</v>
      </c>
      <c r="C1549" s="8">
        <f ca="1">IFERROR(__xludf.DUMMYFUNCTION("""COMPUTED_VALUE"""),11)</f>
        <v>11</v>
      </c>
      <c r="D1549" s="8">
        <f ca="1">IFERROR(__xludf.DUMMYFUNCTION("""COMPUTED_VALUE"""),2019)</f>
        <v>2019</v>
      </c>
      <c r="E1549" s="9">
        <f ca="1">IFERROR(__xludf.DUMMYFUNCTION("""COMPUTED_VALUE"""),43810)</f>
        <v>43810</v>
      </c>
      <c r="F1549" s="8" t="str">
        <f ca="1">IFERROR(__xludf.DUMMYFUNCTION("""COMPUTED_VALUE"""),"Evans Elementary School")</f>
        <v>Evans Elementary School</v>
      </c>
      <c r="G1549" s="8">
        <f ca="1">IFERROR(__xludf.DUMMYFUNCTION("""COMPUTED_VALUE"""),0)</f>
        <v>0</v>
      </c>
      <c r="H1549" s="8">
        <f ca="1">IFERROR(__xludf.DUMMYFUNCTION("""COMPUTED_VALUE"""),0)</f>
        <v>0</v>
      </c>
      <c r="I1549" s="8">
        <f ca="1">IFERROR(__xludf.DUMMYFUNCTION("""COMPUTED_VALUE"""),0)</f>
        <v>0</v>
      </c>
      <c r="J1549" s="8">
        <f ca="1">IFERROR(__xludf.DUMMYFUNCTION("""COMPUTED_VALUE"""),0)</f>
        <v>0</v>
      </c>
      <c r="K1549" s="10" t="str">
        <f ca="1">IFERROR(__xludf.DUMMYFUNCTION("""COMPUTED_VALUE"""),"https://www.14news.com/2019/12/11/dispatch-police-called-evans-elem-after-gunshots-reported/")</f>
        <v>https://www.14news.com/2019/12/11/dispatch-police-called-evans-elem-after-gunshots-reported/</v>
      </c>
      <c r="L1549" s="8"/>
      <c r="M1549" s="8"/>
      <c r="N1549" s="8">
        <f ca="1">IFERROR(__xludf.DUMMYFUNCTION("""COMPUTED_VALUE"""),3)</f>
        <v>3</v>
      </c>
      <c r="O1549" s="8" t="str">
        <f ca="1">IFERROR(__xludf.DUMMYFUNCTION("""COMPUTED_VALUE"""),"Winter")</f>
        <v>Winter</v>
      </c>
      <c r="P1549" s="8" t="str">
        <f ca="1">IFERROR(__xludf.DUMMYFUNCTION("""COMPUTED_VALUE"""),"Evansville")</f>
        <v>Evansville</v>
      </c>
      <c r="Q1549" s="8" t="str">
        <f ca="1">IFERROR(__xludf.DUMMYFUNCTION("""COMPUTED_VALUE"""),"IN")</f>
        <v>IN</v>
      </c>
      <c r="R1549" s="8" t="str">
        <f ca="1">IFERROR(__xludf.DUMMYFUNCTION("""COMPUTED_VALUE"""),"Elementary")</f>
        <v>Elementary</v>
      </c>
      <c r="S1549" s="8" t="str">
        <f ca="1">IFERROR(__xludf.DUMMYFUNCTION("""COMPUTED_VALUE"""),"School Bus")</f>
        <v>School Bus</v>
      </c>
      <c r="T1549" s="8" t="str">
        <f ca="1">IFERROR(__xludf.DUMMYFUNCTION("""COMPUTED_VALUE"""),"School Bus")</f>
        <v>School Bus</v>
      </c>
      <c r="U1549" s="8" t="str">
        <f ca="1">IFERROR(__xludf.DUMMYFUNCTION("""COMPUTED_VALUE"""),"No")</f>
        <v>No</v>
      </c>
      <c r="V1549" s="8" t="str">
        <f ca="1">IFERROR(__xludf.DUMMYFUNCTION("""COMPUTED_VALUE"""),"After School")</f>
        <v>After School</v>
      </c>
      <c r="W1549" s="11">
        <f ca="1">IFERROR(__xludf.DUMMYFUNCTION("""COMPUTED_VALUE"""),0.625)</f>
        <v>0.625</v>
      </c>
      <c r="X1549" s="8">
        <f ca="1">IFERROR(__xludf.DUMMYFUNCTION("""COMPUTED_VALUE"""),1)</f>
        <v>1</v>
      </c>
      <c r="Y1549" s="12" t="str">
        <f ca="1">IFERROR(__xludf.DUMMYFUNCTION("""COMPUTED_VALUE"""),"BB shattered school bus window while driving")</f>
        <v>BB shattered school bus window while driving</v>
      </c>
      <c r="Z1549" s="12" t="str">
        <f ca="1">IFERROR(__xludf.DUMMYFUNCTION("""COMPUTED_VALUE"""),"Bus driver reported that BB shattered school bus window while driving. No students on the bus when the incident occured.")</f>
        <v>Bus driver reported that BB shattered school bus window while driving. No students on the bus when the incident occured.</v>
      </c>
      <c r="AA1549" s="8" t="str">
        <f ca="1">IFERROR(__xludf.DUMMYFUNCTION("""COMPUTED_VALUE"""),"Unknown")</f>
        <v>Unknown</v>
      </c>
      <c r="AB1549" s="8"/>
      <c r="AC1549" s="8" t="str">
        <f ca="1">IFERROR(__xludf.DUMMYFUNCTION("""COMPUTED_VALUE"""),"Yes")</f>
        <v>Yes</v>
      </c>
      <c r="AD1549" s="8"/>
      <c r="AE1549" s="8" t="str">
        <f ca="1">IFERROR(__xludf.DUMMYFUNCTION("""COMPUTED_VALUE"""),"No")</f>
        <v>No</v>
      </c>
      <c r="AF1549" s="8"/>
      <c r="AG1549" s="8" t="str">
        <f ca="1">IFERROR(__xludf.DUMMYFUNCTION("""COMPUTED_VALUE"""),"No")</f>
        <v>No</v>
      </c>
      <c r="AH1549" s="8" t="str">
        <f ca="1">IFERROR(__xludf.DUMMYFUNCTION("""COMPUTED_VALUE"""),"No")</f>
        <v>No</v>
      </c>
      <c r="AI1549" s="8" t="str">
        <f ca="1">IFERROR(__xludf.DUMMYFUNCTION("""COMPUTED_VALUE"""),"No")</f>
        <v>No</v>
      </c>
      <c r="AJ1549" s="8" t="str">
        <f ca="1">IFERROR(__xludf.DUMMYFUNCTION("""COMPUTED_VALUE"""),"No")</f>
        <v>No</v>
      </c>
      <c r="AK1549" s="8" t="str">
        <f ca="1">IFERROR(__xludf.DUMMYFUNCTION("""COMPUTED_VALUE"""),"No")</f>
        <v>No</v>
      </c>
      <c r="AL1549" s="8" t="str">
        <f ca="1">IFERROR(__xludf.DUMMYFUNCTION("""COMPUTED_VALUE"""),"No")</f>
        <v>No</v>
      </c>
      <c r="AM1549" s="8" t="str">
        <f ca="1">IFERROR(__xludf.DUMMYFUNCTION("""COMPUTED_VALUE"""),"No")</f>
        <v>No</v>
      </c>
      <c r="AN1549" s="8"/>
      <c r="AO1549" s="8" t="str">
        <f ca="1">IFERROR(__xludf.DUMMYFUNCTION("""COMPUTED_VALUE"""),"No")</f>
        <v>No</v>
      </c>
      <c r="AP1549" s="8"/>
      <c r="AQ1549" s="8" t="str">
        <f ca="1">IFERROR(__xludf.DUMMYFUNCTION("""COMPUTED_VALUE"""),"Unknown")</f>
        <v>Unknown</v>
      </c>
      <c r="AR1549" s="8" t="str">
        <f ca="1">IFERROR(__xludf.DUMMYFUNCTION("""COMPUTED_VALUE"""),"Outside/Off-Property")</f>
        <v>Outside/Off-Property</v>
      </c>
      <c r="AS1549" s="8"/>
      <c r="AT1549" s="8"/>
      <c r="AU1549" s="8">
        <f ca="1">IFERROR(__xludf.DUMMYFUNCTION("""COMPUTED_VALUE"""),38.005678)</f>
        <v>38.005678000000003</v>
      </c>
      <c r="AV1549" s="8">
        <f ca="1">IFERROR(__xludf.DUMMYFUNCTION("""COMPUTED_VALUE"""),-87.549026)</f>
        <v>-87.549025999999998</v>
      </c>
      <c r="AW1549" s="8"/>
      <c r="AX1549" s="8">
        <f ca="1">IFERROR(__xludf.DUMMYFUNCTION("""COMPUTED_VALUE"""),47711)</f>
        <v>47711</v>
      </c>
    </row>
    <row r="1550" spans="1:50" ht="165" x14ac:dyDescent="0.2">
      <c r="A1550" s="8" t="str">
        <f ca="1">IFERROR(__xludf.DUMMYFUNCTION("""COMPUTED_VALUE"""),"20191210NJSAJ")</f>
        <v>20191210NJSAJ</v>
      </c>
      <c r="B1550" s="8">
        <f ca="1">IFERROR(__xludf.DUMMYFUNCTION("""COMPUTED_VALUE"""),12)</f>
        <v>12</v>
      </c>
      <c r="C1550" s="8">
        <f ca="1">IFERROR(__xludf.DUMMYFUNCTION("""COMPUTED_VALUE"""),10)</f>
        <v>10</v>
      </c>
      <c r="D1550" s="8">
        <f ca="1">IFERROR(__xludf.DUMMYFUNCTION("""COMPUTED_VALUE"""),2019)</f>
        <v>2019</v>
      </c>
      <c r="E1550" s="9">
        <f ca="1">IFERROR(__xludf.DUMMYFUNCTION("""COMPUTED_VALUE"""),43809)</f>
        <v>43809</v>
      </c>
      <c r="F1550" s="8" t="str">
        <f ca="1">IFERROR(__xludf.DUMMYFUNCTION("""COMPUTED_VALUE"""),"Sacred Heart School")</f>
        <v>Sacred Heart School</v>
      </c>
      <c r="G1550" s="8">
        <f ca="1">IFERROR(__xludf.DUMMYFUNCTION("""COMPUTED_VALUE"""),0)</f>
        <v>0</v>
      </c>
      <c r="H1550" s="8">
        <f ca="1">IFERROR(__xludf.DUMMYFUNCTION("""COMPUTED_VALUE"""),0)</f>
        <v>0</v>
      </c>
      <c r="I1550" s="8">
        <f ca="1">IFERROR(__xludf.DUMMYFUNCTION("""COMPUTED_VALUE"""),0)</f>
        <v>0</v>
      </c>
      <c r="J1550" s="8">
        <f ca="1">IFERROR(__xludf.DUMMYFUNCTION("""COMPUTED_VALUE"""),0)</f>
        <v>0</v>
      </c>
      <c r="K1550" s="8" t="str">
        <f ca="1">IFERROR(__xludf.DUMMYFUNCTION("""COMPUTED_VALUE"""),"https://newyork.cbslocal.com/2019/12/12/students-return-to-bullet-riddled-jersey-city-school/ https://newyork.cbslocal.com/2019/12/12/jersey-city-shooting-investigation/")</f>
        <v>https://newyork.cbslocal.com/2019/12/12/students-return-to-bullet-riddled-jersey-city-school/ https://newyork.cbslocal.com/2019/12/12/jersey-city-shooting-investigation/</v>
      </c>
      <c r="L1550" s="8"/>
      <c r="M1550" s="8"/>
      <c r="N1550" s="8">
        <f ca="1">IFERROR(__xludf.DUMMYFUNCTION("""COMPUTED_VALUE"""),4)</f>
        <v>4</v>
      </c>
      <c r="O1550" s="8" t="str">
        <f ca="1">IFERROR(__xludf.DUMMYFUNCTION("""COMPUTED_VALUE"""),"Winter")</f>
        <v>Winter</v>
      </c>
      <c r="P1550" s="8" t="str">
        <f ca="1">IFERROR(__xludf.DUMMYFUNCTION("""COMPUTED_VALUE"""),"Jersey City")</f>
        <v>Jersey City</v>
      </c>
      <c r="Q1550" s="8" t="str">
        <f ca="1">IFERROR(__xludf.DUMMYFUNCTION("""COMPUTED_VALUE"""),"NJ")</f>
        <v>NJ</v>
      </c>
      <c r="R1550" s="8" t="str">
        <f ca="1">IFERROR(__xludf.DUMMYFUNCTION("""COMPUTED_VALUE"""),"K-8")</f>
        <v>K-8</v>
      </c>
      <c r="S1550" s="8" t="str">
        <f ca="1">IFERROR(__xludf.DUMMYFUNCTION("""COMPUTED_VALUE"""),"Off School Property")</f>
        <v>Off School Property</v>
      </c>
      <c r="T1550" s="8" t="str">
        <f ca="1">IFERROR(__xludf.DUMMYFUNCTION("""COMPUTED_VALUE"""),"Off School Property")</f>
        <v>Off School Property</v>
      </c>
      <c r="U1550" s="8" t="str">
        <f ca="1">IFERROR(__xludf.DUMMYFUNCTION("""COMPUTED_VALUE"""),"Yes")</f>
        <v>Yes</v>
      </c>
      <c r="V1550" s="8" t="str">
        <f ca="1">IFERROR(__xludf.DUMMYFUNCTION("""COMPUTED_VALUE"""),"Afternoon Classes")</f>
        <v>Afternoon Classes</v>
      </c>
      <c r="W1550" s="11">
        <f ca="1">IFERROR(__xludf.DUMMYFUNCTION("""COMPUTED_VALUE"""),0.520833333333333)</f>
        <v>0.52083333333333304</v>
      </c>
      <c r="X1550" s="8">
        <f ca="1">IFERROR(__xludf.DUMMYFUNCTION("""COMPUTED_VALUE"""),60)</f>
        <v>60</v>
      </c>
      <c r="Y1550" s="12" t="str">
        <f ca="1">IFERROR(__xludf.DUMMYFUNCTION("""COMPUTED_VALUE"""),"Attack on Jewish Grocery Store across the street from school, multiple shots struck school building")</f>
        <v>Attack on Jewish Grocery Store across the street from school, multiple shots struck school building</v>
      </c>
      <c r="Z1550" s="12" t="str">
        <f ca="1">IFERROR(__xludf.DUMMYFUNCTION("""COMPUTED_VALUE"""),"Police officer attempted to stop two murder suspects 1 mile from the school. The suspects shot and killed him. The 2 suspects with multiple weapons fled the area and then attacked a Jewish Grocery Store across the street from the school killing the owner "&amp;"and 2 customers. Possible terrorism nexus/hate-crime. Suspects barricaded themselves inside the store for 1 hour during gun battle with police. During shootout with police, multiple shots struck the school building breaking windows. School was locked down"&amp;" during the shooting and closed the following day. 200 students were inside the school.")</f>
        <v>Police officer attempted to stop two murder suspects 1 mile from the school. The suspects shot and killed him. The 2 suspects with multiple weapons fled the area and then attacked a Jewish Grocery Store across the street from the school killing the owner and 2 customers. Possible terrorism nexus/hate-crime. Suspects barricaded themselves inside the store for 1 hour during gun battle with police. During shootout with police, multiple shots struck the school building breaking windows. School was locked down during the shooting and closed the following day. 200 students were inside the school.</v>
      </c>
      <c r="AA1550" s="8" t="str">
        <f ca="1">IFERROR(__xludf.DUMMYFUNCTION("""COMPUTED_VALUE"""),"Indiscriminate Shooting")</f>
        <v>Indiscriminate Shooting</v>
      </c>
      <c r="AB1550" s="8"/>
      <c r="AC1550" s="8" t="str">
        <f ca="1">IFERROR(__xludf.DUMMYFUNCTION("""COMPUTED_VALUE"""),"Yes")</f>
        <v>Yes</v>
      </c>
      <c r="AD1550" s="8" t="str">
        <f ca="1">IFERROR(__xludf.DUMMYFUNCTION("""COMPUTED_VALUE"""),"Neither")</f>
        <v>Neither</v>
      </c>
      <c r="AE1550" s="8" t="str">
        <f ca="1">IFERROR(__xludf.DUMMYFUNCTION("""COMPUTED_VALUE"""),"Yes")</f>
        <v>Yes</v>
      </c>
      <c r="AF1550" s="8" t="str">
        <f ca="1">IFERROR(__xludf.DUMMYFUNCTION("""COMPUTED_VALUE"""),"Husband and wife")</f>
        <v>Husband and wife</v>
      </c>
      <c r="AG1550" s="8" t="str">
        <f ca="1">IFERROR(__xludf.DUMMYFUNCTION("""COMPUTED_VALUE"""),"No")</f>
        <v>No</v>
      </c>
      <c r="AH1550" s="8" t="str">
        <f ca="1">IFERROR(__xludf.DUMMYFUNCTION("""COMPUTED_VALUE"""),"Yes")</f>
        <v>Yes</v>
      </c>
      <c r="AI1550" s="8" t="str">
        <f ca="1">IFERROR(__xludf.DUMMYFUNCTION("""COMPUTED_VALUE"""),"No")</f>
        <v>No</v>
      </c>
      <c r="AJ1550" s="8" t="str">
        <f ca="1">IFERROR(__xludf.DUMMYFUNCTION("""COMPUTED_VALUE"""),"No")</f>
        <v>No</v>
      </c>
      <c r="AK1550" s="8" t="str">
        <f ca="1">IFERROR(__xludf.DUMMYFUNCTION("""COMPUTED_VALUE"""),"No")</f>
        <v>No</v>
      </c>
      <c r="AL1550" s="8" t="str">
        <f ca="1">IFERROR(__xludf.DUMMYFUNCTION("""COMPUTED_VALUE"""),"No")</f>
        <v>No</v>
      </c>
      <c r="AM1550" s="8" t="str">
        <f ca="1">IFERROR(__xludf.DUMMYFUNCTION("""COMPUTED_VALUE"""),"Yes")</f>
        <v>Yes</v>
      </c>
      <c r="AN1550" s="8" t="str">
        <f ca="1">IFERROR(__xludf.DUMMYFUNCTION("""COMPUTED_VALUE"""),"Outside")</f>
        <v>Outside</v>
      </c>
      <c r="AO1550" s="8" t="str">
        <f ca="1">IFERROR(__xludf.DUMMYFUNCTION("""COMPUTED_VALUE"""),"No")</f>
        <v>No</v>
      </c>
      <c r="AP1550" s="8"/>
      <c r="AQ1550" s="8" t="str">
        <f ca="1">IFERROR(__xludf.DUMMYFUNCTION("""COMPUTED_VALUE"""),"Unknown")</f>
        <v>Unknown</v>
      </c>
      <c r="AR1550" s="8" t="str">
        <f ca="1">IFERROR(__xludf.DUMMYFUNCTION("""COMPUTED_VALUE"""),"Outside/Off-Property")</f>
        <v>Outside/Off-Property</v>
      </c>
      <c r="AS1550" s="8" t="str">
        <f ca="1">IFERROR(__xludf.DUMMYFUNCTION("""COMPUTED_VALUE"""),"&gt;100")</f>
        <v>&gt;100</v>
      </c>
      <c r="AT1550" s="8" t="str">
        <f ca="1">IFERROR(__xludf.DUMMYFUNCTION("""COMPUTED_VALUE"""),"Yes")</f>
        <v>Yes</v>
      </c>
      <c r="AU1550" s="8">
        <f ca="1">IFERROR(__xludf.DUMMYFUNCTION("""COMPUTED_VALUE"""),40.706799)</f>
        <v>40.706798999999997</v>
      </c>
      <c r="AV1550" s="8">
        <f ca="1">IFERROR(__xludf.DUMMYFUNCTION("""COMPUTED_VALUE"""),-74.083111)</f>
        <v>-74.083111000000002</v>
      </c>
      <c r="AW1550" s="8"/>
      <c r="AX1550" s="8">
        <f ca="1">IFERROR(__xludf.DUMMYFUNCTION("""COMPUTED_VALUE"""),7305)</f>
        <v>7305</v>
      </c>
    </row>
    <row r="1551" spans="1:50" ht="60" x14ac:dyDescent="0.2">
      <c r="A1551" s="8" t="str">
        <f ca="1">IFERROR(__xludf.DUMMYFUNCTION("""COMPUTED_VALUE"""),"20191210KSJCK")</f>
        <v>20191210KSJCK</v>
      </c>
      <c r="B1551" s="8">
        <f ca="1">IFERROR(__xludf.DUMMYFUNCTION("""COMPUTED_VALUE"""),12)</f>
        <v>12</v>
      </c>
      <c r="C1551" s="8">
        <f ca="1">IFERROR(__xludf.DUMMYFUNCTION("""COMPUTED_VALUE"""),10)</f>
        <v>10</v>
      </c>
      <c r="D1551" s="8">
        <f ca="1">IFERROR(__xludf.DUMMYFUNCTION("""COMPUTED_VALUE"""),2019)</f>
        <v>2019</v>
      </c>
      <c r="E1551" s="9">
        <f ca="1">IFERROR(__xludf.DUMMYFUNCTION("""COMPUTED_VALUE"""),43809)</f>
        <v>43809</v>
      </c>
      <c r="F1551" s="8" t="str">
        <f ca="1">IFERROR(__xludf.DUMMYFUNCTION("""COMPUTED_VALUE"""),"J C Harmon High School")</f>
        <v>J C Harmon High School</v>
      </c>
      <c r="G1551" s="8">
        <f ca="1">IFERROR(__xludf.DUMMYFUNCTION("""COMPUTED_VALUE"""),0)</f>
        <v>0</v>
      </c>
      <c r="H1551" s="8">
        <f ca="1">IFERROR(__xludf.DUMMYFUNCTION("""COMPUTED_VALUE"""),0)</f>
        <v>0</v>
      </c>
      <c r="I1551" s="8">
        <f ca="1">IFERROR(__xludf.DUMMYFUNCTION("""COMPUTED_VALUE"""),0)</f>
        <v>0</v>
      </c>
      <c r="J1551" s="8">
        <f ca="1">IFERROR(__xludf.DUMMYFUNCTION("""COMPUTED_VALUE"""),0)</f>
        <v>0</v>
      </c>
      <c r="K1551" s="10" t="str">
        <f ca="1">IFERROR(__xludf.DUMMYFUNCTION("""COMPUTED_VALUE"""),"https://www.kshb.com/news/local-news/no-injuries-reported-after-school-bus-struck-by-gunfire-near-j-c-harmon-high-school")</f>
        <v>https://www.kshb.com/news/local-news/no-injuries-reported-after-school-bus-struck-by-gunfire-near-j-c-harmon-high-school</v>
      </c>
      <c r="L1551" s="8"/>
      <c r="M1551" s="8"/>
      <c r="N1551" s="8">
        <f ca="1">IFERROR(__xludf.DUMMYFUNCTION("""COMPUTED_VALUE"""),4)</f>
        <v>4</v>
      </c>
      <c r="O1551" s="8" t="str">
        <f ca="1">IFERROR(__xludf.DUMMYFUNCTION("""COMPUTED_VALUE"""),"Winter")</f>
        <v>Winter</v>
      </c>
      <c r="P1551" s="8" t="str">
        <f ca="1">IFERROR(__xludf.DUMMYFUNCTION("""COMPUTED_VALUE"""),"Kansas City")</f>
        <v>Kansas City</v>
      </c>
      <c r="Q1551" s="8" t="str">
        <f ca="1">IFERROR(__xludf.DUMMYFUNCTION("""COMPUTED_VALUE"""),"KS")</f>
        <v>KS</v>
      </c>
      <c r="R1551" s="8" t="str">
        <f ca="1">IFERROR(__xludf.DUMMYFUNCTION("""COMPUTED_VALUE"""),"High")</f>
        <v>High</v>
      </c>
      <c r="S1551" s="8" t="str">
        <f ca="1">IFERROR(__xludf.DUMMYFUNCTION("""COMPUTED_VALUE"""),"Parking Lot (Bus)")</f>
        <v>Parking Lot (Bus)</v>
      </c>
      <c r="T1551" s="8" t="str">
        <f ca="1">IFERROR(__xludf.DUMMYFUNCTION("""COMPUTED_VALUE"""),"Off School Property")</f>
        <v>Off School Property</v>
      </c>
      <c r="U1551" s="8" t="str">
        <f ca="1">IFERROR(__xludf.DUMMYFUNCTION("""COMPUTED_VALUE"""),"Yes")</f>
        <v>Yes</v>
      </c>
      <c r="V1551" s="8" t="str">
        <f ca="1">IFERROR(__xludf.DUMMYFUNCTION("""COMPUTED_VALUE"""),"Dismissal")</f>
        <v>Dismissal</v>
      </c>
      <c r="W1551" s="11">
        <f ca="1">IFERROR(__xludf.DUMMYFUNCTION("""COMPUTED_VALUE"""),0.583333333333333)</f>
        <v>0.58333333333333304</v>
      </c>
      <c r="X1551" s="8">
        <f ca="1">IFERROR(__xludf.DUMMYFUNCTION("""COMPUTED_VALUE"""),1)</f>
        <v>1</v>
      </c>
      <c r="Y1551" s="12" t="str">
        <f ca="1">IFERROR(__xludf.DUMMYFUNCTION("""COMPUTED_VALUE"""),"School bus hit in school parking lot during drive by shooting")</f>
        <v>School bus hit in school parking lot during drive by shooting</v>
      </c>
      <c r="Z1551" s="12" t="str">
        <f ca="1">IFERROR(__xludf.DUMMYFUNCTION("""COMPUTED_VALUE"""),"10 shots fired during drive by shooting outside of high school. School bus was struck one time. A student and teacher were on the bus during the shooting. Shooter fled the area. No injuries. School locked down.")</f>
        <v>10 shots fired during drive by shooting outside of high school. School bus was struck one time. A student and teacher were on the bus during the shooting. Shooter fled the area. No injuries. School locked down.</v>
      </c>
      <c r="AA1551" s="8" t="str">
        <f ca="1">IFERROR(__xludf.DUMMYFUNCTION("""COMPUTED_VALUE"""),"Drive-by Shooting")</f>
        <v>Drive-by Shooting</v>
      </c>
      <c r="AB1551" s="8"/>
      <c r="AC1551" s="8" t="str">
        <f ca="1">IFERROR(__xludf.DUMMYFUNCTION("""COMPUTED_VALUE"""),"Yes")</f>
        <v>Yes</v>
      </c>
      <c r="AD1551" s="8"/>
      <c r="AE1551" s="8"/>
      <c r="AF1551" s="8"/>
      <c r="AG1551" s="8" t="str">
        <f ca="1">IFERROR(__xludf.DUMMYFUNCTION("""COMPUTED_VALUE"""),"No")</f>
        <v>No</v>
      </c>
      <c r="AH1551" s="8" t="str">
        <f ca="1">IFERROR(__xludf.DUMMYFUNCTION("""COMPUTED_VALUE"""),"No")</f>
        <v>No</v>
      </c>
      <c r="AI1551" s="8" t="str">
        <f ca="1">IFERROR(__xludf.DUMMYFUNCTION("""COMPUTED_VALUE"""),"No")</f>
        <v>No</v>
      </c>
      <c r="AJ1551" s="8" t="str">
        <f ca="1">IFERROR(__xludf.DUMMYFUNCTION("""COMPUTED_VALUE"""),"No")</f>
        <v>No</v>
      </c>
      <c r="AK1551" s="8" t="str">
        <f ca="1">IFERROR(__xludf.DUMMYFUNCTION("""COMPUTED_VALUE"""),"No")</f>
        <v>No</v>
      </c>
      <c r="AL1551" s="8"/>
      <c r="AM1551" s="8" t="str">
        <f ca="1">IFERROR(__xludf.DUMMYFUNCTION("""COMPUTED_VALUE"""),"No")</f>
        <v>No</v>
      </c>
      <c r="AN1551" s="8"/>
      <c r="AO1551" s="8" t="str">
        <f ca="1">IFERROR(__xludf.DUMMYFUNCTION("""COMPUTED_VALUE"""),"No")</f>
        <v>No</v>
      </c>
      <c r="AP1551" s="8"/>
      <c r="AQ1551" s="8" t="str">
        <f ca="1">IFERROR(__xludf.DUMMYFUNCTION("""COMPUTED_VALUE"""),"Unknown")</f>
        <v>Unknown</v>
      </c>
      <c r="AR1551" s="8" t="str">
        <f ca="1">IFERROR(__xludf.DUMMYFUNCTION("""COMPUTED_VALUE"""),"Outside/Off-Property")</f>
        <v>Outside/Off-Property</v>
      </c>
      <c r="AS1551" s="8">
        <f ca="1">IFERROR(__xludf.DUMMYFUNCTION("""COMPUTED_VALUE"""),10)</f>
        <v>10</v>
      </c>
      <c r="AT1551" s="8" t="str">
        <f ca="1">IFERROR(__xludf.DUMMYFUNCTION("""COMPUTED_VALUE"""),"Yes")</f>
        <v>Yes</v>
      </c>
      <c r="AU1551" s="8">
        <f ca="1">IFERROR(__xludf.DUMMYFUNCTION("""COMPUTED_VALUE"""),39.063496)</f>
        <v>39.063496000000001</v>
      </c>
      <c r="AV1551" s="8">
        <f ca="1">IFERROR(__xludf.DUMMYFUNCTION("""COMPUTED_VALUE"""),-94.657391)</f>
        <v>-94.657391000000004</v>
      </c>
      <c r="AW1551" s="8"/>
      <c r="AX1551" s="8">
        <f ca="1">IFERROR(__xludf.DUMMYFUNCTION("""COMPUTED_VALUE"""),66106)</f>
        <v>66106</v>
      </c>
    </row>
    <row r="1552" spans="1:50" ht="75" x14ac:dyDescent="0.2">
      <c r="A1552" s="8" t="str">
        <f ca="1">IFERROR(__xludf.DUMMYFUNCTION("""COMPUTED_VALUE"""),"20191210ALDED")</f>
        <v>20191210ALDED</v>
      </c>
      <c r="B1552" s="8">
        <f ca="1">IFERROR(__xludf.DUMMYFUNCTION("""COMPUTED_VALUE"""),12)</f>
        <v>12</v>
      </c>
      <c r="C1552" s="8">
        <f ca="1">IFERROR(__xludf.DUMMYFUNCTION("""COMPUTED_VALUE"""),10)</f>
        <v>10</v>
      </c>
      <c r="D1552" s="8">
        <f ca="1">IFERROR(__xludf.DUMMYFUNCTION("""COMPUTED_VALUE"""),2019)</f>
        <v>2019</v>
      </c>
      <c r="E1552" s="9">
        <f ca="1">IFERROR(__xludf.DUMMYFUNCTION("""COMPUTED_VALUE"""),43809)</f>
        <v>43809</v>
      </c>
      <c r="F1552" s="8" t="str">
        <f ca="1">IFERROR(__xludf.DUMMYFUNCTION("""COMPUTED_VALUE"""),"Decatur High School")</f>
        <v>Decatur High School</v>
      </c>
      <c r="G1552" s="8">
        <f ca="1">IFERROR(__xludf.DUMMYFUNCTION("""COMPUTED_VALUE"""),0)</f>
        <v>0</v>
      </c>
      <c r="H1552" s="8">
        <f ca="1">IFERROR(__xludf.DUMMYFUNCTION("""COMPUTED_VALUE"""),0)</f>
        <v>0</v>
      </c>
      <c r="I1552" s="8">
        <f ca="1">IFERROR(__xludf.DUMMYFUNCTION("""COMPUTED_VALUE"""),0)</f>
        <v>0</v>
      </c>
      <c r="J1552" s="8">
        <f ca="1">IFERROR(__xludf.DUMMYFUNCTION("""COMPUTED_VALUE"""),0)</f>
        <v>0</v>
      </c>
      <c r="K1552" s="8" t="str">
        <f ca="1">IFERROR(__xludf.DUMMYFUNCTION("""COMPUTED_VALUE"""),"https://www.waaytv.com/content/news/School-officials-want-to-see-laws-changed-after-gun-was-shot-in-school-parking-lot-566111331.html https://www.waaytv.com/content/news/Police-investigating-report-of-shots-fired-at-Decatur-High-School--566036621.html htt"&amp;"ps://whnt.com/2019/12/10/man-arrested-for-shooting-after-gun-fired-on-decatur-high-school-grounds/")</f>
        <v>https://www.waaytv.com/content/news/School-officials-want-to-see-laws-changed-after-gun-was-shot-in-school-parking-lot-566111331.html https://www.waaytv.com/content/news/Police-investigating-report-of-shots-fired-at-Decatur-High-School--566036621.html https://whnt.com/2019/12/10/man-arrested-for-shooting-after-gun-fired-on-decatur-high-school-grounds/</v>
      </c>
      <c r="L1552" s="8"/>
      <c r="M1552" s="8"/>
      <c r="N1552" s="8">
        <f ca="1">IFERROR(__xludf.DUMMYFUNCTION("""COMPUTED_VALUE"""),4)</f>
        <v>4</v>
      </c>
      <c r="O1552" s="8" t="str">
        <f ca="1">IFERROR(__xludf.DUMMYFUNCTION("""COMPUTED_VALUE"""),"Winter")</f>
        <v>Winter</v>
      </c>
      <c r="P1552" s="8" t="str">
        <f ca="1">IFERROR(__xludf.DUMMYFUNCTION("""COMPUTED_VALUE"""),"Decatur")</f>
        <v>Decatur</v>
      </c>
      <c r="Q1552" s="8" t="str">
        <f ca="1">IFERROR(__xludf.DUMMYFUNCTION("""COMPUTED_VALUE"""),"AL")</f>
        <v>AL</v>
      </c>
      <c r="R1552" s="8" t="str">
        <f ca="1">IFERROR(__xludf.DUMMYFUNCTION("""COMPUTED_VALUE"""),"High")</f>
        <v>High</v>
      </c>
      <c r="S1552" s="8" t="str">
        <f ca="1">IFERROR(__xludf.DUMMYFUNCTION("""COMPUTED_VALUE"""),"Parking Lot")</f>
        <v>Parking Lot</v>
      </c>
      <c r="T1552" s="8" t="str">
        <f ca="1">IFERROR(__xludf.DUMMYFUNCTION("""COMPUTED_VALUE"""),"Outside on School Property")</f>
        <v>Outside on School Property</v>
      </c>
      <c r="U1552" s="8" t="str">
        <f ca="1">IFERROR(__xludf.DUMMYFUNCTION("""COMPUTED_VALUE"""),"Yes")</f>
        <v>Yes</v>
      </c>
      <c r="V1552" s="8" t="str">
        <f ca="1">IFERROR(__xludf.DUMMYFUNCTION("""COMPUTED_VALUE"""),"School Start")</f>
        <v>School Start</v>
      </c>
      <c r="W1552" s="11">
        <f ca="1">IFERROR(__xludf.DUMMYFUNCTION("""COMPUTED_VALUE"""),0.347222222222222)</f>
        <v>0.34722222222222199</v>
      </c>
      <c r="X1552" s="8">
        <f ca="1">IFERROR(__xludf.DUMMYFUNCTION("""COMPUTED_VALUE"""),1)</f>
        <v>1</v>
      </c>
      <c r="Y1552" s="12" t="str">
        <f ca="1">IFERROR(__xludf.DUMMYFUNCTION("""COMPUTED_VALUE"""),"Man fired shots into the air in the school parking lot following dispute with girlfriend")</f>
        <v>Man fired shots into the air in the school parking lot following dispute with girlfriend</v>
      </c>
      <c r="Z1552" s="12" t="str">
        <f ca="1">IFERROR(__xludf.DUMMYFUNCTION("""COMPUTED_VALUE"""),"20YOM fired multiple shots into the air during a dispute with his ex-girlfriend (current student) then fled the campus.")</f>
        <v>20YOM fired multiple shots into the air during a dispute with his ex-girlfriend (current student) then fled the campus.</v>
      </c>
      <c r="AA1552" s="8" t="str">
        <f ca="1">IFERROR(__xludf.DUMMYFUNCTION("""COMPUTED_VALUE"""),"Domestic w/ Targeted Victim")</f>
        <v>Domestic w/ Targeted Victim</v>
      </c>
      <c r="AB1552" s="8"/>
      <c r="AC1552" s="8" t="str">
        <f ca="1">IFERROR(__xludf.DUMMYFUNCTION("""COMPUTED_VALUE"""),"Yes")</f>
        <v>Yes</v>
      </c>
      <c r="AD1552" s="8" t="str">
        <f ca="1">IFERROR(__xludf.DUMMYFUNCTION("""COMPUTED_VALUE"""),"Victims Targeted")</f>
        <v>Victims Targeted</v>
      </c>
      <c r="AE1552" s="8" t="str">
        <f ca="1">IFERROR(__xludf.DUMMYFUNCTION("""COMPUTED_VALUE"""),"No")</f>
        <v>No</v>
      </c>
      <c r="AF1552" s="8"/>
      <c r="AG1552" s="8" t="str">
        <f ca="1">IFERROR(__xludf.DUMMYFUNCTION("""COMPUTED_VALUE"""),"No")</f>
        <v>No</v>
      </c>
      <c r="AH1552" s="8" t="str">
        <f ca="1">IFERROR(__xludf.DUMMYFUNCTION("""COMPUTED_VALUE"""),"No")</f>
        <v>No</v>
      </c>
      <c r="AI1552" s="8" t="str">
        <f ca="1">IFERROR(__xludf.DUMMYFUNCTION("""COMPUTED_VALUE"""),"No")</f>
        <v>No</v>
      </c>
      <c r="AJ1552" s="8" t="str">
        <f ca="1">IFERROR(__xludf.DUMMYFUNCTION("""COMPUTED_VALUE"""),"No")</f>
        <v>No</v>
      </c>
      <c r="AK1552" s="8" t="str">
        <f ca="1">IFERROR(__xludf.DUMMYFUNCTION("""COMPUTED_VALUE"""),"Yes")</f>
        <v>Yes</v>
      </c>
      <c r="AL1552" s="8" t="str">
        <f ca="1">IFERROR(__xludf.DUMMYFUNCTION("""COMPUTED_VALUE"""),"No")</f>
        <v>No</v>
      </c>
      <c r="AM1552" s="8" t="str">
        <f ca="1">IFERROR(__xludf.DUMMYFUNCTION("""COMPUTED_VALUE"""),"No")</f>
        <v>No</v>
      </c>
      <c r="AN1552" s="8"/>
      <c r="AO1552" s="8" t="str">
        <f ca="1">IFERROR(__xludf.DUMMYFUNCTION("""COMPUTED_VALUE"""),"No")</f>
        <v>No</v>
      </c>
      <c r="AP1552" s="8"/>
      <c r="AQ1552" s="8" t="str">
        <f ca="1">IFERROR(__xludf.DUMMYFUNCTION("""COMPUTED_VALUE"""),"Unknown")</f>
        <v>Unknown</v>
      </c>
      <c r="AR1552" s="8" t="str">
        <f ca="1">IFERROR(__xludf.DUMMYFUNCTION("""COMPUTED_VALUE"""),"Outside/Off-Property")</f>
        <v>Outside/Off-Property</v>
      </c>
      <c r="AS1552" s="8" t="str">
        <f ca="1">IFERROR(__xludf.DUMMYFUNCTION("""COMPUTED_VALUE"""),"&lt;10")</f>
        <v>&lt;10</v>
      </c>
      <c r="AT1552" s="8" t="str">
        <f ca="1">IFERROR(__xludf.DUMMYFUNCTION("""COMPUTED_VALUE"""),"Yes")</f>
        <v>Yes</v>
      </c>
      <c r="AU1552" s="8">
        <f ca="1">IFERROR(__xludf.DUMMYFUNCTION("""COMPUTED_VALUE"""),34.593401)</f>
        <v>34.593401</v>
      </c>
      <c r="AV1552" s="8">
        <f ca="1">IFERROR(__xludf.DUMMYFUNCTION("""COMPUTED_VALUE"""),-86.972057)</f>
        <v>-86.972057000000007</v>
      </c>
      <c r="AW1552" s="8"/>
      <c r="AX1552" s="8">
        <f ca="1">IFERROR(__xludf.DUMMYFUNCTION("""COMPUTED_VALUE"""),35601)</f>
        <v>35601</v>
      </c>
    </row>
    <row r="1553" spans="1:50" ht="45" x14ac:dyDescent="0.2">
      <c r="A1553" s="8" t="str">
        <f ca="1">IFERROR(__xludf.DUMMYFUNCTION("""COMPUTED_VALUE"""),"20191204NMPIL")</f>
        <v>20191204NMPIL</v>
      </c>
      <c r="B1553" s="8">
        <f ca="1">IFERROR(__xludf.DUMMYFUNCTION("""COMPUTED_VALUE"""),12)</f>
        <v>12</v>
      </c>
      <c r="C1553" s="8">
        <f ca="1">IFERROR(__xludf.DUMMYFUNCTION("""COMPUTED_VALUE"""),4)</f>
        <v>4</v>
      </c>
      <c r="D1553" s="8">
        <f ca="1">IFERROR(__xludf.DUMMYFUNCTION("""COMPUTED_VALUE"""),2019)</f>
        <v>2019</v>
      </c>
      <c r="E1553" s="9">
        <f ca="1">IFERROR(__xludf.DUMMYFUNCTION("""COMPUTED_VALUE"""),43803)</f>
        <v>43803</v>
      </c>
      <c r="F1553" s="8" t="str">
        <f ca="1">IFERROR(__xludf.DUMMYFUNCTION("""COMPUTED_VALUE"""),"Picacho Middle School")</f>
        <v>Picacho Middle School</v>
      </c>
      <c r="G1553" s="8">
        <f ca="1">IFERROR(__xludf.DUMMYFUNCTION("""COMPUTED_VALUE"""),0)</f>
        <v>0</v>
      </c>
      <c r="H1553" s="8">
        <f ca="1">IFERROR(__xludf.DUMMYFUNCTION("""COMPUTED_VALUE"""),0)</f>
        <v>0</v>
      </c>
      <c r="I1553" s="8">
        <f ca="1">IFERROR(__xludf.DUMMYFUNCTION("""COMPUTED_VALUE"""),0)</f>
        <v>0</v>
      </c>
      <c r="J1553" s="8">
        <f ca="1">IFERROR(__xludf.DUMMYFUNCTION("""COMPUTED_VALUE"""),0)</f>
        <v>0</v>
      </c>
      <c r="K1553" s="8" t="str">
        <f ca="1">IFERROR(__xludf.DUMMYFUNCTION("""COMPUTED_VALUE"""),"https://cbs4local.com/news/las-cruces-news/surveillance-video-shows-moment-an-lcpd-officer-discharges-his-firearm-in-lc-middle-school-12-13-2019 https://cbs4local.com/news/local/heavy-police-presence-at-picacho-middle-school https://cbs4local.com/news/loc"&amp;"al/lawsuit-filed-against-officer-involved-in-shooting-at-picacho-middle-school-03-24-2020")</f>
        <v>https://cbs4local.com/news/las-cruces-news/surveillance-video-shows-moment-an-lcpd-officer-discharges-his-firearm-in-lc-middle-school-12-13-2019 https://cbs4local.com/news/local/heavy-police-presence-at-picacho-middle-school https://cbs4local.com/news/local/lawsuit-filed-against-officer-involved-in-shooting-at-picacho-middle-school-03-24-2020</v>
      </c>
      <c r="L1553" s="8"/>
      <c r="M1553" s="8"/>
      <c r="N1553" s="8">
        <f ca="1">IFERROR(__xludf.DUMMYFUNCTION("""COMPUTED_VALUE"""),4)</f>
        <v>4</v>
      </c>
      <c r="O1553" s="8" t="str">
        <f ca="1">IFERROR(__xludf.DUMMYFUNCTION("""COMPUTED_VALUE"""),"Winter")</f>
        <v>Winter</v>
      </c>
      <c r="P1553" s="8" t="str">
        <f ca="1">IFERROR(__xludf.DUMMYFUNCTION("""COMPUTED_VALUE"""),"Las Cruces")</f>
        <v>Las Cruces</v>
      </c>
      <c r="Q1553" s="8" t="str">
        <f ca="1">IFERROR(__xludf.DUMMYFUNCTION("""COMPUTED_VALUE"""),"NM")</f>
        <v>NM</v>
      </c>
      <c r="R1553" s="8" t="str">
        <f ca="1">IFERROR(__xludf.DUMMYFUNCTION("""COMPUTED_VALUE"""),"High")</f>
        <v>High</v>
      </c>
      <c r="S1553" s="8" t="str">
        <f ca="1">IFERROR(__xludf.DUMMYFUNCTION("""COMPUTED_VALUE"""),"Office")</f>
        <v>Office</v>
      </c>
      <c r="T1553" s="8" t="str">
        <f ca="1">IFERROR(__xludf.DUMMYFUNCTION("""COMPUTED_VALUE"""),"Inside School Building")</f>
        <v>Inside School Building</v>
      </c>
      <c r="U1553" s="8" t="str">
        <f ca="1">IFERROR(__xludf.DUMMYFUNCTION("""COMPUTED_VALUE"""),"Yes")</f>
        <v>Yes</v>
      </c>
      <c r="V1553" s="8" t="str">
        <f ca="1">IFERROR(__xludf.DUMMYFUNCTION("""COMPUTED_VALUE"""),"Afternoon Classes")</f>
        <v>Afternoon Classes</v>
      </c>
      <c r="W1553" s="11">
        <f ca="1">IFERROR(__xludf.DUMMYFUNCTION("""COMPUTED_VALUE"""),0.567361111111111)</f>
        <v>0.56736111111111098</v>
      </c>
      <c r="X1553" s="8">
        <f ca="1">IFERROR(__xludf.DUMMYFUNCTION("""COMPUTED_VALUE"""),1)</f>
        <v>1</v>
      </c>
      <c r="Y1553" s="12" t="str">
        <f ca="1">IFERROR(__xludf.DUMMYFUNCTION("""COMPUTED_VALUE"""),"SRO fired weapon inside office with student present")</f>
        <v>SRO fired weapon inside office with student present</v>
      </c>
      <c r="Z1553" s="12" t="str">
        <f ca="1">IFERROR(__xludf.DUMMYFUNCTION("""COMPUTED_VALUE"""),"SRO fired service weapon inside his office while questioning student. Bullet went through wall and across school hallway. Charged with prohibited use of a firearm.")</f>
        <v>SRO fired service weapon inside his office while questioning student. Bullet went through wall and across school hallway. Charged with prohibited use of a firearm.</v>
      </c>
      <c r="AA1553" s="8" t="str">
        <f ca="1">IFERROR(__xludf.DUMMYFUNCTION("""COMPUTED_VALUE"""),"Accidental")</f>
        <v>Accidental</v>
      </c>
      <c r="AB1553" s="8"/>
      <c r="AC1553" s="8" t="str">
        <f ca="1">IFERROR(__xludf.DUMMYFUNCTION("""COMPUTED_VALUE"""),"Yes")</f>
        <v>Yes</v>
      </c>
      <c r="AD1553" s="8" t="str">
        <f ca="1">IFERROR(__xludf.DUMMYFUNCTION("""COMPUTED_VALUE"""),"Neither")</f>
        <v>Neither</v>
      </c>
      <c r="AE1553" s="8" t="str">
        <f ca="1">IFERROR(__xludf.DUMMYFUNCTION("""COMPUTED_VALUE"""),"No")</f>
        <v>No</v>
      </c>
      <c r="AF1553" s="8"/>
      <c r="AG1553" s="8" t="str">
        <f ca="1">IFERROR(__xludf.DUMMYFUNCTION("""COMPUTED_VALUE"""),"No")</f>
        <v>No</v>
      </c>
      <c r="AH1553" s="8" t="str">
        <f ca="1">IFERROR(__xludf.DUMMYFUNCTION("""COMPUTED_VALUE"""),"No")</f>
        <v>No</v>
      </c>
      <c r="AI1553" s="8" t="str">
        <f ca="1">IFERROR(__xludf.DUMMYFUNCTION("""COMPUTED_VALUE"""),"No")</f>
        <v>No</v>
      </c>
      <c r="AJ1553" s="8" t="str">
        <f ca="1">IFERROR(__xludf.DUMMYFUNCTION("""COMPUTED_VALUE"""),"No")</f>
        <v>No</v>
      </c>
      <c r="AK1553" s="8" t="str">
        <f ca="1">IFERROR(__xludf.DUMMYFUNCTION("""COMPUTED_VALUE"""),"No")</f>
        <v>No</v>
      </c>
      <c r="AL1553" s="8" t="str">
        <f ca="1">IFERROR(__xludf.DUMMYFUNCTION("""COMPUTED_VALUE"""),"No")</f>
        <v>No</v>
      </c>
      <c r="AM1553" s="8" t="str">
        <f ca="1">IFERROR(__xludf.DUMMYFUNCTION("""COMPUTED_VALUE"""),"No")</f>
        <v>No</v>
      </c>
      <c r="AN1553" s="8"/>
      <c r="AO1553" s="8" t="str">
        <f ca="1">IFERROR(__xludf.DUMMYFUNCTION("""COMPUTED_VALUE"""),"No")</f>
        <v>No</v>
      </c>
      <c r="AP1553" s="8" t="str">
        <f ca="1">IFERROR(__xludf.DUMMYFUNCTION("""COMPUTED_VALUE"""),"Yes")</f>
        <v>Yes</v>
      </c>
      <c r="AQ1553" s="8" t="str">
        <f ca="1">IFERROR(__xludf.DUMMYFUNCTION("""COMPUTED_VALUE"""),"Unknown")</f>
        <v>Unknown</v>
      </c>
      <c r="AR1553" s="8" t="str">
        <f ca="1">IFERROR(__xludf.DUMMYFUNCTION("""COMPUTED_VALUE"""),"NA")</f>
        <v>NA</v>
      </c>
      <c r="AS1553" s="8">
        <f ca="1">IFERROR(__xludf.DUMMYFUNCTION("""COMPUTED_VALUE"""),1)</f>
        <v>1</v>
      </c>
      <c r="AT1553" s="8" t="str">
        <f ca="1">IFERROR(__xludf.DUMMYFUNCTION("""COMPUTED_VALUE"""),"No")</f>
        <v>No</v>
      </c>
      <c r="AU1553" s="8">
        <f ca="1">IFERROR(__xludf.DUMMYFUNCTION("""COMPUTED_VALUE"""),32.314104)</f>
        <v>32.314104</v>
      </c>
      <c r="AV1553" s="8">
        <f ca="1">IFERROR(__xludf.DUMMYFUNCTION("""COMPUTED_VALUE"""),-106.814743)</f>
        <v>-106.81474300000001</v>
      </c>
      <c r="AW1553" s="8"/>
      <c r="AX1553" s="8">
        <f ca="1">IFERROR(__xludf.DUMMYFUNCTION("""COMPUTED_VALUE"""),88007)</f>
        <v>88007</v>
      </c>
    </row>
    <row r="1554" spans="1:50" ht="75" x14ac:dyDescent="0.2">
      <c r="A1554" s="8" t="str">
        <f ca="1">IFERROR(__xludf.DUMMYFUNCTION("""COMPUTED_VALUE"""),"20191203WITHM")</f>
        <v>20191203WITHM</v>
      </c>
      <c r="B1554" s="8">
        <f ca="1">IFERROR(__xludf.DUMMYFUNCTION("""COMPUTED_VALUE"""),12)</f>
        <v>12</v>
      </c>
      <c r="C1554" s="8">
        <f ca="1">IFERROR(__xludf.DUMMYFUNCTION("""COMPUTED_VALUE"""),3)</f>
        <v>3</v>
      </c>
      <c r="D1554" s="8">
        <f ca="1">IFERROR(__xludf.DUMMYFUNCTION("""COMPUTED_VALUE"""),2019)</f>
        <v>2019</v>
      </c>
      <c r="E1554" s="9">
        <f ca="1">IFERROR(__xludf.DUMMYFUNCTION("""COMPUTED_VALUE"""),43802)</f>
        <v>43802</v>
      </c>
      <c r="F1554" s="8" t="str">
        <f ca="1">IFERROR(__xludf.DUMMYFUNCTION("""COMPUTED_VALUE"""),"Thomas Jefferson Middle School")</f>
        <v>Thomas Jefferson Middle School</v>
      </c>
      <c r="G1554" s="8">
        <f ca="1">IFERROR(__xludf.DUMMYFUNCTION("""COMPUTED_VALUE"""),0)</f>
        <v>0</v>
      </c>
      <c r="H1554" s="8">
        <f ca="1">IFERROR(__xludf.DUMMYFUNCTION("""COMPUTED_VALUE"""),2)</f>
        <v>2</v>
      </c>
      <c r="I1554" s="8">
        <f ca="1">IFERROR(__xludf.DUMMYFUNCTION("""COMPUTED_VALUE"""),2)</f>
        <v>2</v>
      </c>
      <c r="J1554" s="8">
        <f ca="1">IFERROR(__xludf.DUMMYFUNCTION("""COMPUTED_VALUE"""),0)</f>
        <v>0</v>
      </c>
      <c r="K1554" s="8" t="str">
        <f ca="1">IFERROR(__xludf.DUMMYFUNCTION("""COMPUTED_VALUE"""),"https://www.cbs58.com/news/police-investigate-report-of-student-shot-by-pellet-gun-at-madison-middle-school https://www.channel3000.com/news/increased-police-presence-at-jefferson-middle-school/1148052267 http://fox47.com/news/local/i-was-scared-student-h"&amp;"it-by-bb-father-hopes-bb-gun-incident-incites-change https://madison.com/wsj/news/local/crime-and-courts/update-boy-with-bb-gun-shot-two-girls-getting-off/article_9a3dbb83-1838-57f2-b9a0-e766ba0ab472.html")</f>
        <v>https://www.cbs58.com/news/police-investigate-report-of-student-shot-by-pellet-gun-at-madison-middle-school https://www.channel3000.com/news/increased-police-presence-at-jefferson-middle-school/1148052267 http://fox47.com/news/local/i-was-scared-student-hit-by-bb-father-hopes-bb-gun-incident-incites-change https://madison.com/wsj/news/local/crime-and-courts/update-boy-with-bb-gun-shot-two-girls-getting-off/article_9a3dbb83-1838-57f2-b9a0-e766ba0ab472.html</v>
      </c>
      <c r="L1554" s="8"/>
      <c r="M1554" s="8"/>
      <c r="N1554" s="8">
        <f ca="1">IFERROR(__xludf.DUMMYFUNCTION("""COMPUTED_VALUE"""),4)</f>
        <v>4</v>
      </c>
      <c r="O1554" s="8" t="str">
        <f ca="1">IFERROR(__xludf.DUMMYFUNCTION("""COMPUTED_VALUE"""),"Winter")</f>
        <v>Winter</v>
      </c>
      <c r="P1554" s="8" t="str">
        <f ca="1">IFERROR(__xludf.DUMMYFUNCTION("""COMPUTED_VALUE"""),"Madison")</f>
        <v>Madison</v>
      </c>
      <c r="Q1554" s="8" t="str">
        <f ca="1">IFERROR(__xludf.DUMMYFUNCTION("""COMPUTED_VALUE"""),"WI")</f>
        <v>WI</v>
      </c>
      <c r="R1554" s="8" t="str">
        <f ca="1">IFERROR(__xludf.DUMMYFUNCTION("""COMPUTED_VALUE"""),"Middle")</f>
        <v>Middle</v>
      </c>
      <c r="S1554" s="8" t="str">
        <f ca="1">IFERROR(__xludf.DUMMYFUNCTION("""COMPUTED_VALUE"""),"School Bus")</f>
        <v>School Bus</v>
      </c>
      <c r="T1554" s="8" t="str">
        <f ca="1">IFERROR(__xludf.DUMMYFUNCTION("""COMPUTED_VALUE"""),"School Bus")</f>
        <v>School Bus</v>
      </c>
      <c r="U1554" s="8" t="str">
        <f ca="1">IFERROR(__xludf.DUMMYFUNCTION("""COMPUTED_VALUE"""),"Yes")</f>
        <v>Yes</v>
      </c>
      <c r="V1554" s="8" t="str">
        <f ca="1">IFERROR(__xludf.DUMMYFUNCTION("""COMPUTED_VALUE"""),"Dismissal")</f>
        <v>Dismissal</v>
      </c>
      <c r="W1554" s="11">
        <f ca="1">IFERROR(__xludf.DUMMYFUNCTION("""COMPUTED_VALUE"""),0.645833333333333)</f>
        <v>0.64583333333333304</v>
      </c>
      <c r="X1554" s="8">
        <f ca="1">IFERROR(__xludf.DUMMYFUNCTION("""COMPUTED_VALUE"""),1)</f>
        <v>1</v>
      </c>
      <c r="Y1554" s="12" t="str">
        <f ca="1">IFERROR(__xludf.DUMMYFUNCTION("""COMPUTED_VALUE"""),"Student fired pellet gun from school bus at female student getting off the bus")</f>
        <v>Student fired pellet gun from school bus at female student getting off the bus</v>
      </c>
      <c r="Z1554" s="12" t="str">
        <f ca="1">IFERROR(__xludf.DUMMYFUNCTION("""COMPUTED_VALUE"""),"Two 13YOM students arrested for having pellet gun at school. One of the students fired the pellet gun from the window of the school bus at a female student who had just exited the bus. Student arrested the next morning and charged with possessing a weapon"&amp;" on school grounds.")</f>
        <v>Two 13YOM students arrested for having pellet gun at school. One of the students fired the pellet gun from the window of the school bus at a female student who had just exited the bus. Student arrested the next morning and charged with possessing a weapon on school grounds.</v>
      </c>
      <c r="AA1554" s="8" t="str">
        <f ca="1">IFERROR(__xludf.DUMMYFUNCTION("""COMPUTED_VALUE"""),"Unknown")</f>
        <v>Unknown</v>
      </c>
      <c r="AB1554" s="8"/>
      <c r="AC1554" s="8" t="str">
        <f ca="1">IFERROR(__xludf.DUMMYFUNCTION("""COMPUTED_VALUE"""),"Yes")</f>
        <v>Yes</v>
      </c>
      <c r="AD1554" s="8" t="str">
        <f ca="1">IFERROR(__xludf.DUMMYFUNCTION("""COMPUTED_VALUE"""),"Victims Targeted")</f>
        <v>Victims Targeted</v>
      </c>
      <c r="AE1554" s="8" t="str">
        <f ca="1">IFERROR(__xludf.DUMMYFUNCTION("""COMPUTED_VALUE"""),"Yes")</f>
        <v>Yes</v>
      </c>
      <c r="AF1554" s="8" t="str">
        <f ca="1">IFERROR(__xludf.DUMMYFUNCTION("""COMPUTED_VALUE"""),"2 13YOM students arrested")</f>
        <v>2 13YOM students arrested</v>
      </c>
      <c r="AG1554" s="8" t="str">
        <f ca="1">IFERROR(__xludf.DUMMYFUNCTION("""COMPUTED_VALUE"""),"No")</f>
        <v>No</v>
      </c>
      <c r="AH1554" s="8" t="str">
        <f ca="1">IFERROR(__xludf.DUMMYFUNCTION("""COMPUTED_VALUE"""),"No")</f>
        <v>No</v>
      </c>
      <c r="AI1554" s="8" t="str">
        <f ca="1">IFERROR(__xludf.DUMMYFUNCTION("""COMPUTED_VALUE"""),"No")</f>
        <v>No</v>
      </c>
      <c r="AJ1554" s="8" t="str">
        <f ca="1">IFERROR(__xludf.DUMMYFUNCTION("""COMPUTED_VALUE"""),"No")</f>
        <v>No</v>
      </c>
      <c r="AK1554" s="8" t="str">
        <f ca="1">IFERROR(__xludf.DUMMYFUNCTION("""COMPUTED_VALUE"""),"No")</f>
        <v>No</v>
      </c>
      <c r="AL1554" s="8" t="str">
        <f ca="1">IFERROR(__xludf.DUMMYFUNCTION("""COMPUTED_VALUE"""),"No")</f>
        <v>No</v>
      </c>
      <c r="AM1554" s="8" t="str">
        <f ca="1">IFERROR(__xludf.DUMMYFUNCTION("""COMPUTED_VALUE"""),"No")</f>
        <v>No</v>
      </c>
      <c r="AN1554" s="8"/>
      <c r="AO1554" s="8" t="str">
        <f ca="1">IFERROR(__xludf.DUMMYFUNCTION("""COMPUTED_VALUE"""),"No")</f>
        <v>No</v>
      </c>
      <c r="AP1554" s="8"/>
      <c r="AQ1554" s="8" t="str">
        <f ca="1">IFERROR(__xludf.DUMMYFUNCTION("""COMPUTED_VALUE"""),"Unknown")</f>
        <v>Unknown</v>
      </c>
      <c r="AR1554" s="8" t="str">
        <f ca="1">IFERROR(__xludf.DUMMYFUNCTION("""COMPUTED_VALUE"""),"NA")</f>
        <v>NA</v>
      </c>
      <c r="AS1554" s="8">
        <f ca="1">IFERROR(__xludf.DUMMYFUNCTION("""COMPUTED_VALUE"""),1)</f>
        <v>1</v>
      </c>
      <c r="AT1554" s="8" t="str">
        <f ca="1">IFERROR(__xludf.DUMMYFUNCTION("""COMPUTED_VALUE"""),"N/A")</f>
        <v>N/A</v>
      </c>
      <c r="AU1554" s="8">
        <f ca="1">IFERROR(__xludf.DUMMYFUNCTION("""COMPUTED_VALUE"""),43.065442)</f>
        <v>43.065441999999997</v>
      </c>
      <c r="AV1554" s="8">
        <f ca="1">IFERROR(__xludf.DUMMYFUNCTION("""COMPUTED_VALUE"""),-89.501524)</f>
        <v>-89.501524000000003</v>
      </c>
      <c r="AW1554" s="8"/>
      <c r="AX1554" s="8">
        <f ca="1">IFERROR(__xludf.DUMMYFUNCTION("""COMPUTED_VALUE"""),53719)</f>
        <v>53719</v>
      </c>
    </row>
    <row r="1555" spans="1:50" ht="210" x14ac:dyDescent="0.2">
      <c r="A1555" s="8" t="str">
        <f ca="1">IFERROR(__xludf.DUMMYFUNCTION("""COMPUTED_VALUE"""),"20191203WIOSO")</f>
        <v>20191203WIOSO</v>
      </c>
      <c r="B1555" s="8">
        <f ca="1">IFERROR(__xludf.DUMMYFUNCTION("""COMPUTED_VALUE"""),12)</f>
        <v>12</v>
      </c>
      <c r="C1555" s="8">
        <f ca="1">IFERROR(__xludf.DUMMYFUNCTION("""COMPUTED_VALUE"""),3)</f>
        <v>3</v>
      </c>
      <c r="D1555" s="8">
        <f ca="1">IFERROR(__xludf.DUMMYFUNCTION("""COMPUTED_VALUE"""),2019)</f>
        <v>2019</v>
      </c>
      <c r="E1555" s="9">
        <f ca="1">IFERROR(__xludf.DUMMYFUNCTION("""COMPUTED_VALUE"""),43802)</f>
        <v>43802</v>
      </c>
      <c r="F1555" s="8" t="str">
        <f ca="1">IFERROR(__xludf.DUMMYFUNCTION("""COMPUTED_VALUE"""),"Oshkosh West High School")</f>
        <v>Oshkosh West High School</v>
      </c>
      <c r="G1555" s="8">
        <f ca="1">IFERROR(__xludf.DUMMYFUNCTION("""COMPUTED_VALUE"""),0)</f>
        <v>0</v>
      </c>
      <c r="H1555" s="8">
        <f ca="1">IFERROR(__xludf.DUMMYFUNCTION("""COMPUTED_VALUE"""),1)</f>
        <v>1</v>
      </c>
      <c r="I1555" s="8">
        <f ca="1">IFERROR(__xludf.DUMMYFUNCTION("""COMPUTED_VALUE"""),1)</f>
        <v>1</v>
      </c>
      <c r="J1555" s="8">
        <f ca="1">IFERROR(__xludf.DUMMYFUNCTION("""COMPUTED_VALUE"""),0)</f>
        <v>0</v>
      </c>
      <c r="K1555" s="8" t="str">
        <f ca="1">IFERROR(__xludf.DUMMYFUNCTION("""COMPUTED_VALUE"""),"https://www.cbsnews.com/news/oshkosh-west-high-school-shooting-armed-student-prompts-officer-shooting-at-wisconsin-school-today-2019-12-03/ https://www.startribune.com/prosecutors-clear-oshkosh-officer-in-school-shooting/570377922/")</f>
        <v>https://www.cbsnews.com/news/oshkosh-west-high-school-shooting-armed-student-prompts-officer-shooting-at-wisconsin-school-today-2019-12-03/ https://www.startribune.com/prosecutors-clear-oshkosh-officer-in-school-shooting/570377922/</v>
      </c>
      <c r="L1555" s="8"/>
      <c r="M1555" s="8"/>
      <c r="N1555" s="8">
        <f ca="1">IFERROR(__xludf.DUMMYFUNCTION("""COMPUTED_VALUE"""),4)</f>
        <v>4</v>
      </c>
      <c r="O1555" s="8" t="str">
        <f ca="1">IFERROR(__xludf.DUMMYFUNCTION("""COMPUTED_VALUE"""),"Winter")</f>
        <v>Winter</v>
      </c>
      <c r="P1555" s="8" t="str">
        <f ca="1">IFERROR(__xludf.DUMMYFUNCTION("""COMPUTED_VALUE"""),"Oshkosh")</f>
        <v>Oshkosh</v>
      </c>
      <c r="Q1555" s="8" t="str">
        <f ca="1">IFERROR(__xludf.DUMMYFUNCTION("""COMPUTED_VALUE"""),"WI")</f>
        <v>WI</v>
      </c>
      <c r="R1555" s="8" t="str">
        <f ca="1">IFERROR(__xludf.DUMMYFUNCTION("""COMPUTED_VALUE"""),"High")</f>
        <v>High</v>
      </c>
      <c r="S1555" s="8" t="str">
        <f ca="1">IFERROR(__xludf.DUMMYFUNCTION("""COMPUTED_VALUE"""),"Hallway")</f>
        <v>Hallway</v>
      </c>
      <c r="T1555" s="8" t="str">
        <f ca="1">IFERROR(__xludf.DUMMYFUNCTION("""COMPUTED_VALUE"""),"Inside School Building")</f>
        <v>Inside School Building</v>
      </c>
      <c r="U1555" s="8" t="str">
        <f ca="1">IFERROR(__xludf.DUMMYFUNCTION("""COMPUTED_VALUE"""),"Yes")</f>
        <v>Yes</v>
      </c>
      <c r="V1555" s="8" t="str">
        <f ca="1">IFERROR(__xludf.DUMMYFUNCTION("""COMPUTED_VALUE"""),"Morning Classes")</f>
        <v>Morning Classes</v>
      </c>
      <c r="W1555" s="11">
        <f ca="1">IFERROR(__xludf.DUMMYFUNCTION("""COMPUTED_VALUE"""),0.383333333333333)</f>
        <v>0.38333333333333303</v>
      </c>
      <c r="X1555" s="8">
        <f ca="1">IFERROR(__xludf.DUMMYFUNCTION("""COMPUTED_VALUE"""),1)</f>
        <v>1</v>
      </c>
      <c r="Y1555" s="12" t="str">
        <f ca="1">IFERROR(__xludf.DUMMYFUNCTION("""COMPUTED_VALUE"""),"SRO fired at student who stabbed him with edged weapon")</f>
        <v>SRO fired at student who stabbed him with edged weapon</v>
      </c>
      <c r="Z1555" s="12" t="str">
        <f ca="1">IFERROR(__xludf.DUMMYFUNCTION("""COMPUTED_VALUE"""),"SRO fired one shot at 16YOM student who stabbed him with edged weapon. Student was injured and transported to hospital. School locked down. Prosecutors cleared the school liaison officer of any criminal wrongdoing. County Assistant District Attorney said "&amp;"a state determined that SROs decision to use deadly force was reasonable and justified. According to court documents, student entered SRO's office at Oshkosh West High School on Dec. 3 and stabbed SRO multiple times with a barbecue fork. SRO couldn't reac"&amp;"h his stun gun so he shot the student. Student had texted a friend to bet that he would not go to SRO's office and stab him with a pencil, take SRO's gun out of his holster and either shoot himself or the officer. The friend did not report student's comme"&amp;"nts.")</f>
        <v>SRO fired one shot at 16YOM student who stabbed him with edged weapon. Student was injured and transported to hospital. School locked down. Prosecutors cleared the school liaison officer of any criminal wrongdoing. County Assistant District Attorney said a state determined that SROs decision to use deadly force was reasonable and justified. According to court documents, student entered SRO's office at Oshkosh West High School on Dec. 3 and stabbed SRO multiple times with a barbecue fork. SRO couldn't reach his stun gun so he shot the student. Student had texted a friend to bet that he would not go to SRO's office and stab him with a pencil, take SRO's gun out of his holster and either shoot himself or the officer. The friend did not report student's comments.</v>
      </c>
      <c r="AA1555" s="8" t="str">
        <f ca="1">IFERROR(__xludf.DUMMYFUNCTION("""COMPUTED_VALUE"""),"Officer-Involved Shooting")</f>
        <v>Officer-Involved Shooting</v>
      </c>
      <c r="AB1555" s="8"/>
      <c r="AC1555" s="8" t="str">
        <f ca="1">IFERROR(__xludf.DUMMYFUNCTION("""COMPUTED_VALUE"""),"Yes")</f>
        <v>Yes</v>
      </c>
      <c r="AD1555" s="8" t="str">
        <f ca="1">IFERROR(__xludf.DUMMYFUNCTION("""COMPUTED_VALUE"""),"NA")</f>
        <v>NA</v>
      </c>
      <c r="AE1555" s="8" t="str">
        <f ca="1">IFERROR(__xludf.DUMMYFUNCTION("""COMPUTED_VALUE"""),"No")</f>
        <v>No</v>
      </c>
      <c r="AF1555" s="8"/>
      <c r="AG1555" s="8" t="str">
        <f ca="1">IFERROR(__xludf.DUMMYFUNCTION("""COMPUTED_VALUE"""),"No")</f>
        <v>No</v>
      </c>
      <c r="AH1555" s="8" t="str">
        <f ca="1">IFERROR(__xludf.DUMMYFUNCTION("""COMPUTED_VALUE"""),"No")</f>
        <v>No</v>
      </c>
      <c r="AI1555" s="8" t="str">
        <f ca="1">IFERROR(__xludf.DUMMYFUNCTION("""COMPUTED_VALUE"""),"Yes")</f>
        <v>Yes</v>
      </c>
      <c r="AJ1555" s="8"/>
      <c r="AK1555" s="8"/>
      <c r="AL1555" s="8"/>
      <c r="AM1555" s="8"/>
      <c r="AN1555" s="8"/>
      <c r="AO1555" s="8"/>
      <c r="AP1555" s="8" t="str">
        <f ca="1">IFERROR(__xludf.DUMMYFUNCTION("""COMPUTED_VALUE"""),"Yes")</f>
        <v>Yes</v>
      </c>
      <c r="AQ1555" s="8" t="str">
        <f ca="1">IFERROR(__xludf.DUMMYFUNCTION("""COMPUTED_VALUE"""),"Unknown")</f>
        <v>Unknown</v>
      </c>
      <c r="AR1555" s="8" t="str">
        <f ca="1">IFERROR(__xludf.DUMMYFUNCTION("""COMPUTED_VALUE"""),"NA")</f>
        <v>NA</v>
      </c>
      <c r="AS1555" s="8">
        <f ca="1">IFERROR(__xludf.DUMMYFUNCTION("""COMPUTED_VALUE"""),1)</f>
        <v>1</v>
      </c>
      <c r="AT1555" s="8" t="str">
        <f ca="1">IFERROR(__xludf.DUMMYFUNCTION("""COMPUTED_VALUE"""),"Yes")</f>
        <v>Yes</v>
      </c>
      <c r="AU1555" s="8">
        <f ca="1">IFERROR(__xludf.DUMMYFUNCTION("""COMPUTED_VALUE"""),44.023444)</f>
        <v>44.023443999999998</v>
      </c>
      <c r="AV1555" s="8">
        <f ca="1">IFERROR(__xludf.DUMMYFUNCTION("""COMPUTED_VALUE"""),-88.574644)</f>
        <v>-88.574644000000006</v>
      </c>
      <c r="AW1555" s="8"/>
      <c r="AX1555" s="8">
        <f ca="1">IFERROR(__xludf.DUMMYFUNCTION("""COMPUTED_VALUE"""),54902)</f>
        <v>54902</v>
      </c>
    </row>
    <row r="1556" spans="1:50" ht="135" x14ac:dyDescent="0.2">
      <c r="A1556" s="8" t="str">
        <f ca="1">IFERROR(__xludf.DUMMYFUNCTION("""COMPUTED_VALUE"""),"20191202WIWAW")</f>
        <v>20191202WIWAW</v>
      </c>
      <c r="B1556" s="8">
        <f ca="1">IFERROR(__xludf.DUMMYFUNCTION("""COMPUTED_VALUE"""),12)</f>
        <v>12</v>
      </c>
      <c r="C1556" s="8">
        <f ca="1">IFERROR(__xludf.DUMMYFUNCTION("""COMPUTED_VALUE"""),2)</f>
        <v>2</v>
      </c>
      <c r="D1556" s="8">
        <f ca="1">IFERROR(__xludf.DUMMYFUNCTION("""COMPUTED_VALUE"""),2019)</f>
        <v>2019</v>
      </c>
      <c r="E1556" s="9">
        <f ca="1">IFERROR(__xludf.DUMMYFUNCTION("""COMPUTED_VALUE"""),43801)</f>
        <v>43801</v>
      </c>
      <c r="F1556" s="8" t="str">
        <f ca="1">IFERROR(__xludf.DUMMYFUNCTION("""COMPUTED_VALUE"""),"Waukesha South High School")</f>
        <v>Waukesha South High School</v>
      </c>
      <c r="G1556" s="8">
        <f ca="1">IFERROR(__xludf.DUMMYFUNCTION("""COMPUTED_VALUE"""),0)</f>
        <v>0</v>
      </c>
      <c r="H1556" s="8">
        <f ca="1">IFERROR(__xludf.DUMMYFUNCTION("""COMPUTED_VALUE"""),0)</f>
        <v>0</v>
      </c>
      <c r="I1556" s="8">
        <f ca="1">IFERROR(__xludf.DUMMYFUNCTION("""COMPUTED_VALUE"""),0)</f>
        <v>0</v>
      </c>
      <c r="J1556" s="8">
        <f ca="1">IFERROR(__xludf.DUMMYFUNCTION("""COMPUTED_VALUE"""),0)</f>
        <v>0</v>
      </c>
      <c r="K1556" s="8" t="str">
        <f ca="1">IFERROR(__xludf.DUMMYFUNCTION("""COMPUTED_VALUE"""),"https://www.jsonline.com/story/communities/waukesha/news/waukesha/2021/04/22/waukesha-south-shooting-student-charged-guilty-lesser-charges/7335635002/ https://www.jsonline.com/story/communities/waukesha/news/waukesha/2021/04/22/waukesha-south-shooting-stu"&amp;"dent-charged-guilty-lesser-charges/7335635002/ https://apnews.com/7fa2dae5aa86462a9433753f7a6be520 https://whotv.com/2019/12/02/shots-fired-inside-wisconsin-high-school-suspect-in-custody/?taid=5de5adfe16deae000192e621&amp;utm_campaign=trueAnthem%3A+Trending+"&amp;"Content&amp;utm_medium=trueAnthem&amp;utm_source=twitter https://www.jsonline.com/story/communities/waukesha/news/waukesha/2019/12/02/waukesha-south-heavy-police-presence-high-school/2586536001/ https://www.nbc15.com/content/news/565987821.html")</f>
        <v>https://www.jsonline.com/story/communities/waukesha/news/waukesha/2021/04/22/waukesha-south-shooting-student-charged-guilty-lesser-charges/7335635002/ https://www.jsonline.com/story/communities/waukesha/news/waukesha/2021/04/22/waukesha-south-shooting-student-charged-guilty-lesser-charges/7335635002/ https://apnews.com/7fa2dae5aa86462a9433753f7a6be520 https://whotv.com/2019/12/02/shots-fired-inside-wisconsin-high-school-suspect-in-custody/?taid=5de5adfe16deae000192e621&amp;utm_campaign=trueAnthem%3A+Trending+Content&amp;utm_medium=trueAnthem&amp;utm_source=twitter https://www.jsonline.com/story/communities/waukesha/news/waukesha/2019/12/02/waukesha-south-heavy-police-presence-high-school/2586536001/ https://www.nbc15.com/content/news/565987821.html</v>
      </c>
      <c r="L1556" s="8"/>
      <c r="M1556" s="8" t="str">
        <f ca="1">IFERROR(__xludf.DUMMYFUNCTION("""COMPUTED_VALUE"""),"Local")</f>
        <v>Local</v>
      </c>
      <c r="N1556" s="8">
        <f ca="1">IFERROR(__xludf.DUMMYFUNCTION("""COMPUTED_VALUE"""),5)</f>
        <v>5</v>
      </c>
      <c r="O1556" s="8" t="str">
        <f ca="1">IFERROR(__xludf.DUMMYFUNCTION("""COMPUTED_VALUE"""),"Winter")</f>
        <v>Winter</v>
      </c>
      <c r="P1556" s="8" t="str">
        <f ca="1">IFERROR(__xludf.DUMMYFUNCTION("""COMPUTED_VALUE"""),"Waukesha")</f>
        <v>Waukesha</v>
      </c>
      <c r="Q1556" s="8" t="str">
        <f ca="1">IFERROR(__xludf.DUMMYFUNCTION("""COMPUTED_VALUE"""),"WI")</f>
        <v>WI</v>
      </c>
      <c r="R1556" s="8" t="str">
        <f ca="1">IFERROR(__xludf.DUMMYFUNCTION("""COMPUTED_VALUE"""),"High")</f>
        <v>High</v>
      </c>
      <c r="S1556" s="8" t="str">
        <f ca="1">IFERROR(__xludf.DUMMYFUNCTION("""COMPUTED_VALUE"""),"Classroom")</f>
        <v>Classroom</v>
      </c>
      <c r="T1556" s="8" t="str">
        <f ca="1">IFERROR(__xludf.DUMMYFUNCTION("""COMPUTED_VALUE"""),"Inside School Building")</f>
        <v>Inside School Building</v>
      </c>
      <c r="U1556" s="8" t="str">
        <f ca="1">IFERROR(__xludf.DUMMYFUNCTION("""COMPUTED_VALUE"""),"Yes")</f>
        <v>Yes</v>
      </c>
      <c r="V1556" s="8" t="str">
        <f ca="1">IFERROR(__xludf.DUMMYFUNCTION("""COMPUTED_VALUE"""),"Morning Classes")</f>
        <v>Morning Classes</v>
      </c>
      <c r="W1556" s="11">
        <f ca="1">IFERROR(__xludf.DUMMYFUNCTION("""COMPUTED_VALUE"""),0.421527777777777)</f>
        <v>0.421527777777777</v>
      </c>
      <c r="X1556" s="8"/>
      <c r="Y1556" s="12" t="str">
        <f ca="1">IFERROR(__xludf.DUMMYFUNCTION("""COMPUTED_VALUE"""),"Armed student shot by police officer in classroom during attempted negotiation")</f>
        <v>Armed student shot by police officer in classroom during attempted negotiation</v>
      </c>
      <c r="Z1556" s="12" t="str">
        <f ca="1">IFERROR(__xludf.DUMMYFUNCTION("""COMPUTED_VALUE"""),"17YOM student was armed with realistic BB gun that looked like a real handgun. Other students reported the gun to SRO. SRO confronted student in classroom and notified other officers. During standoff/negotiation, armed student pointed the gun at officers "&amp;"who fired and injured him. Unknown if other students were inside the classroom. Student was treated, taken to hospital, and in custody. Student told police he carried the pellet gun because of bullying and wanting to scare other students with it.")</f>
        <v>17YOM student was armed with realistic BB gun that looked like a real handgun. Other students reported the gun to SRO. SRO confronted student in classroom and notified other officers. During standoff/negotiation, armed student pointed the gun at officers who fired and injured him. Unknown if other students were inside the classroom. Student was treated, taken to hospital, and in custody. Student told police he carried the pellet gun because of bullying and wanting to scare other students with it.</v>
      </c>
      <c r="AA1556" s="8" t="str">
        <f ca="1">IFERROR(__xludf.DUMMYFUNCTION("""COMPUTED_VALUE"""),"Bullying")</f>
        <v>Bullying</v>
      </c>
      <c r="AB1556" s="8"/>
      <c r="AC1556" s="8" t="str">
        <f ca="1">IFERROR(__xludf.DUMMYFUNCTION("""COMPUTED_VALUE"""),"Yes")</f>
        <v>Yes</v>
      </c>
      <c r="AD1556" s="8"/>
      <c r="AE1556" s="8" t="str">
        <f ca="1">IFERROR(__xludf.DUMMYFUNCTION("""COMPUTED_VALUE"""),"No")</f>
        <v>No</v>
      </c>
      <c r="AF1556" s="8"/>
      <c r="AG1556" s="8" t="str">
        <f ca="1">IFERROR(__xludf.DUMMYFUNCTION("""COMPUTED_VALUE"""),"No")</f>
        <v>No</v>
      </c>
      <c r="AH1556" s="8" t="str">
        <f ca="1">IFERROR(__xludf.DUMMYFUNCTION("""COMPUTED_VALUE"""),"No")</f>
        <v>No</v>
      </c>
      <c r="AI1556" s="8" t="str">
        <f ca="1">IFERROR(__xludf.DUMMYFUNCTION("""COMPUTED_VALUE"""),"No")</f>
        <v>No</v>
      </c>
      <c r="AJ1556" s="8"/>
      <c r="AK1556" s="8" t="str">
        <f ca="1">IFERROR(__xludf.DUMMYFUNCTION("""COMPUTED_VALUE"""),"No")</f>
        <v>No</v>
      </c>
      <c r="AL1556" s="8" t="str">
        <f ca="1">IFERROR(__xludf.DUMMYFUNCTION("""COMPUTED_VALUE"""),"No")</f>
        <v>No</v>
      </c>
      <c r="AM1556" s="8" t="str">
        <f ca="1">IFERROR(__xludf.DUMMYFUNCTION("""COMPUTED_VALUE"""),"No")</f>
        <v>No</v>
      </c>
      <c r="AN1556" s="8"/>
      <c r="AO1556" s="8"/>
      <c r="AP1556" s="8" t="str">
        <f ca="1">IFERROR(__xludf.DUMMYFUNCTION("""COMPUTED_VALUE"""),"Yes")</f>
        <v>Yes</v>
      </c>
      <c r="AQ1556" s="8" t="str">
        <f ca="1">IFERROR(__xludf.DUMMYFUNCTION("""COMPUTED_VALUE"""),"Unknown")</f>
        <v>Unknown</v>
      </c>
      <c r="AR1556" s="8" t="str">
        <f ca="1">IFERROR(__xludf.DUMMYFUNCTION("""COMPUTED_VALUE"""),"NA")</f>
        <v>NA</v>
      </c>
      <c r="AS1556" s="8"/>
      <c r="AT1556" s="8" t="str">
        <f ca="1">IFERROR(__xludf.DUMMYFUNCTION("""COMPUTED_VALUE"""),"Yes")</f>
        <v>Yes</v>
      </c>
      <c r="AU1556" s="8">
        <f ca="1">IFERROR(__xludf.DUMMYFUNCTION("""COMPUTED_VALUE"""),42.992837)</f>
        <v>42.992837000000002</v>
      </c>
      <c r="AV1556" s="8">
        <f ca="1">IFERROR(__xludf.DUMMYFUNCTION("""COMPUTED_VALUE"""),-88.223487)</f>
        <v>-88.223487000000006</v>
      </c>
      <c r="AW1556" s="8"/>
      <c r="AX1556" s="8">
        <f ca="1">IFERROR(__xludf.DUMMYFUNCTION("""COMPUTED_VALUE"""),53186)</f>
        <v>53186</v>
      </c>
    </row>
    <row r="1557" spans="1:50" ht="60" x14ac:dyDescent="0.2">
      <c r="A1557" s="8" t="str">
        <f ca="1">IFERROR(__xludf.DUMMYFUNCTION("""COMPUTED_VALUE"""),"20191201ALMOM")</f>
        <v>20191201ALMOM</v>
      </c>
      <c r="B1557" s="8">
        <f ca="1">IFERROR(__xludf.DUMMYFUNCTION("""COMPUTED_VALUE"""),12)</f>
        <v>12</v>
      </c>
      <c r="C1557" s="8">
        <f ca="1">IFERROR(__xludf.DUMMYFUNCTION("""COMPUTED_VALUE"""),1)</f>
        <v>1</v>
      </c>
      <c r="D1557" s="8">
        <f ca="1">IFERROR(__xludf.DUMMYFUNCTION("""COMPUTED_VALUE"""),2019)</f>
        <v>2019</v>
      </c>
      <c r="E1557" s="9">
        <f ca="1">IFERROR(__xludf.DUMMYFUNCTION("""COMPUTED_VALUE"""),43800)</f>
        <v>43800</v>
      </c>
      <c r="F1557" s="8" t="str">
        <f ca="1">IFERROR(__xludf.DUMMYFUNCTION("""COMPUTED_VALUE"""),"Mountain Brook High School")</f>
        <v>Mountain Brook High School</v>
      </c>
      <c r="G1557" s="8">
        <f ca="1">IFERROR(__xludf.DUMMYFUNCTION("""COMPUTED_VALUE"""),1)</f>
        <v>1</v>
      </c>
      <c r="H1557" s="8">
        <f ca="1">IFERROR(__xludf.DUMMYFUNCTION("""COMPUTED_VALUE"""),0)</f>
        <v>0</v>
      </c>
      <c r="I1557" s="8">
        <f ca="1">IFERROR(__xludf.DUMMYFUNCTION("""COMPUTED_VALUE"""),1)</f>
        <v>1</v>
      </c>
      <c r="J1557" s="8">
        <f ca="1">IFERROR(__xludf.DUMMYFUNCTION("""COMPUTED_VALUE"""),0)</f>
        <v>0</v>
      </c>
      <c r="K1557" s="10" t="str">
        <f ca="1">IFERROR(__xludf.DUMMYFUNCTION("""COMPUTED_VALUE"""),"https://www.wvtm13.com/article/mountain-brook-homicide-woman-found-dead-parking-lot-megan-montgomery/30065595")</f>
        <v>https://www.wvtm13.com/article/mountain-brook-homicide-woman-found-dead-parking-lot-megan-montgomery/30065595</v>
      </c>
      <c r="L1557" s="8"/>
      <c r="M1557" s="8"/>
      <c r="N1557" s="8">
        <f ca="1">IFERROR(__xludf.DUMMYFUNCTION("""COMPUTED_VALUE"""),4)</f>
        <v>4</v>
      </c>
      <c r="O1557" s="8" t="str">
        <f ca="1">IFERROR(__xludf.DUMMYFUNCTION("""COMPUTED_VALUE"""),"Winter")</f>
        <v>Winter</v>
      </c>
      <c r="P1557" s="8" t="str">
        <f ca="1">IFERROR(__xludf.DUMMYFUNCTION("""COMPUTED_VALUE"""),"Mountain Brook")</f>
        <v>Mountain Brook</v>
      </c>
      <c r="Q1557" s="8" t="str">
        <f ca="1">IFERROR(__xludf.DUMMYFUNCTION("""COMPUTED_VALUE"""),"AL")</f>
        <v>AL</v>
      </c>
      <c r="R1557" s="8" t="str">
        <f ca="1">IFERROR(__xludf.DUMMYFUNCTION("""COMPUTED_VALUE"""),"High")</f>
        <v>High</v>
      </c>
      <c r="S1557" s="8" t="str">
        <f ca="1">IFERROR(__xludf.DUMMYFUNCTION("""COMPUTED_VALUE"""),"Parking Lot")</f>
        <v>Parking Lot</v>
      </c>
      <c r="T1557" s="8" t="str">
        <f ca="1">IFERROR(__xludf.DUMMYFUNCTION("""COMPUTED_VALUE"""),"Outside on School Property")</f>
        <v>Outside on School Property</v>
      </c>
      <c r="U1557" s="8" t="str">
        <f ca="1">IFERROR(__xludf.DUMMYFUNCTION("""COMPUTED_VALUE"""),"No")</f>
        <v>No</v>
      </c>
      <c r="V1557" s="8" t="str">
        <f ca="1">IFERROR(__xludf.DUMMYFUNCTION("""COMPUTED_VALUE"""),"Night")</f>
        <v>Night</v>
      </c>
      <c r="W1557" s="11">
        <f ca="1">IFERROR(__xludf.DUMMYFUNCTION("""COMPUTED_VALUE"""),0.166666666666666)</f>
        <v>0.16666666666666599</v>
      </c>
      <c r="X1557" s="8">
        <f ca="1">IFERROR(__xludf.DUMMYFUNCTION("""COMPUTED_VALUE"""),1)</f>
        <v>1</v>
      </c>
      <c r="Y1557" s="12" t="str">
        <f ca="1">IFERROR(__xludf.DUMMYFUNCTION("""COMPUTED_VALUE"""),"Woman killed during domestic dispute in parking lot")</f>
        <v>Woman killed during domestic dispute in parking lot</v>
      </c>
      <c r="Z1557" s="12" t="str">
        <f ca="1">IFERROR(__xludf.DUMMYFUNCTION("""COMPUTED_VALUE"""),"31YOF killed by ex-husband in school parking lot overnight. Body was found the next day. No students involved. Shooter had prior arrest for domestic violence and restraining order (police officer prior to domestic violence charges).")</f>
        <v>31YOF killed by ex-husband in school parking lot overnight. Body was found the next day. No students involved. Shooter had prior arrest for domestic violence and restraining order (police officer prior to domestic violence charges).</v>
      </c>
      <c r="AA1557" s="8" t="str">
        <f ca="1">IFERROR(__xludf.DUMMYFUNCTION("""COMPUTED_VALUE"""),"Domestic w/ Targeted Victim")</f>
        <v>Domestic w/ Targeted Victim</v>
      </c>
      <c r="AB1557" s="8"/>
      <c r="AC1557" s="8" t="str">
        <f ca="1">IFERROR(__xludf.DUMMYFUNCTION("""COMPUTED_VALUE"""),"No")</f>
        <v>No</v>
      </c>
      <c r="AD1557" s="8" t="str">
        <f ca="1">IFERROR(__xludf.DUMMYFUNCTION("""COMPUTED_VALUE"""),"Victims Targeted")</f>
        <v>Victims Targeted</v>
      </c>
      <c r="AE1557" s="8" t="str">
        <f ca="1">IFERROR(__xludf.DUMMYFUNCTION("""COMPUTED_VALUE"""),"No")</f>
        <v>No</v>
      </c>
      <c r="AF1557" s="8"/>
      <c r="AG1557" s="8" t="str">
        <f ca="1">IFERROR(__xludf.DUMMYFUNCTION("""COMPUTED_VALUE"""),"No")</f>
        <v>No</v>
      </c>
      <c r="AH1557" s="8" t="str">
        <f ca="1">IFERROR(__xludf.DUMMYFUNCTION("""COMPUTED_VALUE"""),"No")</f>
        <v>No</v>
      </c>
      <c r="AI1557" s="8" t="str">
        <f ca="1">IFERROR(__xludf.DUMMYFUNCTION("""COMPUTED_VALUE"""),"No")</f>
        <v>No</v>
      </c>
      <c r="AJ1557" s="8" t="str">
        <f ca="1">IFERROR(__xludf.DUMMYFUNCTION("""COMPUTED_VALUE"""),"No")</f>
        <v>No</v>
      </c>
      <c r="AK1557" s="8" t="str">
        <f ca="1">IFERROR(__xludf.DUMMYFUNCTION("""COMPUTED_VALUE"""),"Yes")</f>
        <v>Yes</v>
      </c>
      <c r="AL1557" s="8" t="str">
        <f ca="1">IFERROR(__xludf.DUMMYFUNCTION("""COMPUTED_VALUE"""),"No")</f>
        <v>No</v>
      </c>
      <c r="AM1557" s="8" t="str">
        <f ca="1">IFERROR(__xludf.DUMMYFUNCTION("""COMPUTED_VALUE"""),"No")</f>
        <v>No</v>
      </c>
      <c r="AN1557" s="8"/>
      <c r="AO1557" s="8" t="str">
        <f ca="1">IFERROR(__xludf.DUMMYFUNCTION("""COMPUTED_VALUE"""),"No")</f>
        <v>No</v>
      </c>
      <c r="AP1557" s="8"/>
      <c r="AQ1557" s="8" t="str">
        <f ca="1">IFERROR(__xludf.DUMMYFUNCTION("""COMPUTED_VALUE"""),"Unknown")</f>
        <v>Unknown</v>
      </c>
      <c r="AR1557" s="8" t="str">
        <f ca="1">IFERROR(__xludf.DUMMYFUNCTION("""COMPUTED_VALUE"""),"NA")</f>
        <v>NA</v>
      </c>
      <c r="AS1557" s="8"/>
      <c r="AT1557" s="8" t="str">
        <f ca="1">IFERROR(__xludf.DUMMYFUNCTION("""COMPUTED_VALUE"""),"N/A")</f>
        <v>N/A</v>
      </c>
      <c r="AU1557" s="8">
        <f ca="1">IFERROR(__xludf.DUMMYFUNCTION("""COMPUTED_VALUE"""),33.491211)</f>
        <v>33.491211</v>
      </c>
      <c r="AV1557" s="8">
        <f ca="1">IFERROR(__xludf.DUMMYFUNCTION("""COMPUTED_VALUE"""),-86.712337)</f>
        <v>-86.712337000000005</v>
      </c>
      <c r="AW1557" s="8"/>
      <c r="AX1557" s="8">
        <f ca="1">IFERROR(__xludf.DUMMYFUNCTION("""COMPUTED_VALUE"""),35223)</f>
        <v>35223</v>
      </c>
    </row>
    <row r="1558" spans="1:50" ht="165" x14ac:dyDescent="0.2">
      <c r="A1558" s="8" t="str">
        <f ca="1">IFERROR(__xludf.DUMMYFUNCTION("""COMPUTED_VALUE"""),"20191126WASAV")</f>
        <v>20191126WASAV</v>
      </c>
      <c r="B1558" s="8">
        <f ca="1">IFERROR(__xludf.DUMMYFUNCTION("""COMPUTED_VALUE"""),11)</f>
        <v>11</v>
      </c>
      <c r="C1558" s="8">
        <f ca="1">IFERROR(__xludf.DUMMYFUNCTION("""COMPUTED_VALUE"""),26)</f>
        <v>26</v>
      </c>
      <c r="D1558" s="8">
        <f ca="1">IFERROR(__xludf.DUMMYFUNCTION("""COMPUTED_VALUE"""),2019)</f>
        <v>2019</v>
      </c>
      <c r="E1558" s="9">
        <f ca="1">IFERROR(__xludf.DUMMYFUNCTION("""COMPUTED_VALUE"""),43795)</f>
        <v>43795</v>
      </c>
      <c r="F1558" s="8" t="str">
        <f ca="1">IFERROR(__xludf.DUMMYFUNCTION("""COMPUTED_VALUE"""),"Sarah J. Anderson Elementary School")</f>
        <v>Sarah J. Anderson Elementary School</v>
      </c>
      <c r="G1558" s="8">
        <f ca="1">IFERROR(__xludf.DUMMYFUNCTION("""COMPUTED_VALUE"""),0)</f>
        <v>0</v>
      </c>
      <c r="H1558" s="8">
        <f ca="1">IFERROR(__xludf.DUMMYFUNCTION("""COMPUTED_VALUE"""),2)</f>
        <v>2</v>
      </c>
      <c r="I1558" s="8">
        <f ca="1">IFERROR(__xludf.DUMMYFUNCTION("""COMPUTED_VALUE"""),2)</f>
        <v>2</v>
      </c>
      <c r="J1558" s="8">
        <f ca="1">IFERROR(__xludf.DUMMYFUNCTION("""COMPUTED_VALUE"""),1)</f>
        <v>1</v>
      </c>
      <c r="K1558" s="10" t="str">
        <f ca="1">IFERROR(__xludf.DUMMYFUNCTION("""COMPUTED_VALUE"""),"https://www.columbian.com/news/2019/nov/26/police-responding-to-shooting-at-vancouver-elementary-school/ https://abcnews.go.com/US/wireStory/family-kids-car-estranged-husband-kills-mother-67376601")</f>
        <v>https://www.columbian.com/news/2019/nov/26/police-responding-to-shooting-at-vancouver-elementary-school/ https://abcnews.go.com/US/wireStory/family-kids-car-estranged-husband-kills-mother-67376601</v>
      </c>
      <c r="L1558" s="8"/>
      <c r="M1558" s="8"/>
      <c r="N1558" s="8">
        <f ca="1">IFERROR(__xludf.DUMMYFUNCTION("""COMPUTED_VALUE"""),4)</f>
        <v>4</v>
      </c>
      <c r="O1558" s="8" t="str">
        <f ca="1">IFERROR(__xludf.DUMMYFUNCTION("""COMPUTED_VALUE"""),"Fall")</f>
        <v>Fall</v>
      </c>
      <c r="P1558" s="8" t="str">
        <f ca="1">IFERROR(__xludf.DUMMYFUNCTION("""COMPUTED_VALUE"""),"Vancouver")</f>
        <v>Vancouver</v>
      </c>
      <c r="Q1558" s="8" t="str">
        <f ca="1">IFERROR(__xludf.DUMMYFUNCTION("""COMPUTED_VALUE"""),"WA")</f>
        <v>WA</v>
      </c>
      <c r="R1558" s="8" t="str">
        <f ca="1">IFERROR(__xludf.DUMMYFUNCTION("""COMPUTED_VALUE"""),"Elementary")</f>
        <v>Elementary</v>
      </c>
      <c r="S1558" s="8" t="str">
        <f ca="1">IFERROR(__xludf.DUMMYFUNCTION("""COMPUTED_VALUE"""),"Parking Lot")</f>
        <v>Parking Lot</v>
      </c>
      <c r="T1558" s="8" t="str">
        <f ca="1">IFERROR(__xludf.DUMMYFUNCTION("""COMPUTED_VALUE"""),"Outside on School Property")</f>
        <v>Outside on School Property</v>
      </c>
      <c r="U1558" s="8" t="str">
        <f ca="1">IFERROR(__xludf.DUMMYFUNCTION("""COMPUTED_VALUE"""),"Yes")</f>
        <v>Yes</v>
      </c>
      <c r="V1558" s="8" t="str">
        <f ca="1">IFERROR(__xludf.DUMMYFUNCTION("""COMPUTED_VALUE"""),"Dismissal")</f>
        <v>Dismissal</v>
      </c>
      <c r="W1558" s="11">
        <f ca="1">IFERROR(__xludf.DUMMYFUNCTION("""COMPUTED_VALUE"""),0.638888888888888)</f>
        <v>0.63888888888888795</v>
      </c>
      <c r="X1558" s="8">
        <f ca="1">IFERROR(__xludf.DUMMYFUNCTION("""COMPUTED_VALUE"""),1)</f>
        <v>1</v>
      </c>
      <c r="Y1558" s="12" t="str">
        <f ca="1">IFERROR(__xludf.DUMMYFUNCTION("""COMPUTED_VALUE"""),"Father shot ex-wife and her mother in vehicle in the school parking lot (3 kids inside the car)")</f>
        <v>Father shot ex-wife and her mother in vehicle in the school parking lot (3 kids inside the car)</v>
      </c>
      <c r="Z1558" s="12" t="str">
        <f ca="1">IFERROR(__xludf.DUMMYFUNCTION("""COMPUTED_VALUE"""),"Father shot ex-wife and her mother in the school parking lot during dismissal. Shooter had recently been released from jail, stalked and threatened the mother, and had a restraining order against him. 3 children were inside the car during the shooting. Sc"&amp;"hool was placed on lockdown until 5pm. Shooter fled the school, was involved with police pursuit, and fatally shot himself (not at the school). No students were injured. Court papers associated with the restraining order show an extensive history of abuse"&amp;" and violence, with shooter repeatedly violating the restraining order.")</f>
        <v>Father shot ex-wife and her mother in the school parking lot during dismissal. Shooter had recently been released from jail, stalked and threatened the mother, and had a restraining order against him. 3 children were inside the car during the shooting. School was placed on lockdown until 5pm. Shooter fled the school, was involved with police pursuit, and fatally shot himself (not at the school). No students were injured. Court papers associated with the restraining order show an extensive history of abuse and violence, with shooter repeatedly violating the restraining order.</v>
      </c>
      <c r="AA1558" s="8" t="str">
        <f ca="1">IFERROR(__xludf.DUMMYFUNCTION("""COMPUTED_VALUE"""),"Domestic w/ Targeted Victim")</f>
        <v>Domestic w/ Targeted Victim</v>
      </c>
      <c r="AB1558" s="8"/>
      <c r="AC1558" s="8" t="str">
        <f ca="1">IFERROR(__xludf.DUMMYFUNCTION("""COMPUTED_VALUE"""),"Yes")</f>
        <v>Yes</v>
      </c>
      <c r="AD1558" s="8" t="str">
        <f ca="1">IFERROR(__xludf.DUMMYFUNCTION("""COMPUTED_VALUE"""),"Victims Targeted")</f>
        <v>Victims Targeted</v>
      </c>
      <c r="AE1558" s="8" t="str">
        <f ca="1">IFERROR(__xludf.DUMMYFUNCTION("""COMPUTED_VALUE"""),"No")</f>
        <v>No</v>
      </c>
      <c r="AF1558" s="8"/>
      <c r="AG1558" s="8" t="str">
        <f ca="1">IFERROR(__xludf.DUMMYFUNCTION("""COMPUTED_VALUE"""),"No")</f>
        <v>No</v>
      </c>
      <c r="AH1558" s="8" t="str">
        <f ca="1">IFERROR(__xludf.DUMMYFUNCTION("""COMPUTED_VALUE"""),"No")</f>
        <v>No</v>
      </c>
      <c r="AI1558" s="8" t="str">
        <f ca="1">IFERROR(__xludf.DUMMYFUNCTION("""COMPUTED_VALUE"""),"No")</f>
        <v>No</v>
      </c>
      <c r="AJ1558" s="8" t="str">
        <f ca="1">IFERROR(__xludf.DUMMYFUNCTION("""COMPUTED_VALUE"""),"No")</f>
        <v>No</v>
      </c>
      <c r="AK1558" s="8" t="str">
        <f ca="1">IFERROR(__xludf.DUMMYFUNCTION("""COMPUTED_VALUE"""),"Yes")</f>
        <v>Yes</v>
      </c>
      <c r="AL1558" s="8" t="str">
        <f ca="1">IFERROR(__xludf.DUMMYFUNCTION("""COMPUTED_VALUE"""),"No")</f>
        <v>No</v>
      </c>
      <c r="AM1558" s="8" t="str">
        <f ca="1">IFERROR(__xludf.DUMMYFUNCTION("""COMPUTED_VALUE"""),"No")</f>
        <v>No</v>
      </c>
      <c r="AN1558" s="8"/>
      <c r="AO1558" s="8" t="str">
        <f ca="1">IFERROR(__xludf.DUMMYFUNCTION("""COMPUTED_VALUE"""),"No")</f>
        <v>No</v>
      </c>
      <c r="AP1558" s="8" t="str">
        <f ca="1">IFERROR(__xludf.DUMMYFUNCTION("""COMPUTED_VALUE"""),"No")</f>
        <v>No</v>
      </c>
      <c r="AQ1558" s="8" t="str">
        <f ca="1">IFERROR(__xludf.DUMMYFUNCTION("""COMPUTED_VALUE"""),"Unknown")</f>
        <v>Unknown</v>
      </c>
      <c r="AR1558" s="8" t="str">
        <f ca="1">IFERROR(__xludf.DUMMYFUNCTION("""COMPUTED_VALUE"""),"NA")</f>
        <v>NA</v>
      </c>
      <c r="AS1558" s="8" t="str">
        <f ca="1">IFERROR(__xludf.DUMMYFUNCTION("""COMPUTED_VALUE"""),"&lt;10")</f>
        <v>&lt;10</v>
      </c>
      <c r="AT1558" s="8" t="str">
        <f ca="1">IFERROR(__xludf.DUMMYFUNCTION("""COMPUTED_VALUE"""),"Yes")</f>
        <v>Yes</v>
      </c>
      <c r="AU1558" s="8">
        <f ca="1">IFERROR(__xludf.DUMMYFUNCTION("""COMPUTED_VALUE"""),45.695293)</f>
        <v>45.695292999999999</v>
      </c>
      <c r="AV1558" s="8">
        <f ca="1">IFERROR(__xludf.DUMMYFUNCTION("""COMPUTED_VALUE"""),-122.647174)</f>
        <v>-122.64717400000001</v>
      </c>
      <c r="AW1558" s="8"/>
      <c r="AX1558" s="8">
        <f ca="1">IFERROR(__xludf.DUMMYFUNCTION("""COMPUTED_VALUE"""),98686)</f>
        <v>98686</v>
      </c>
    </row>
    <row r="1559" spans="1:50" ht="90" x14ac:dyDescent="0.2">
      <c r="A1559" s="8" t="str">
        <f ca="1">IFERROR(__xludf.DUMMYFUNCTION("""COMPUTED_VALUE"""),"20191125ILCAC")</f>
        <v>20191125ILCAC</v>
      </c>
      <c r="B1559" s="8">
        <f ca="1">IFERROR(__xludf.DUMMYFUNCTION("""COMPUTED_VALUE"""),11)</f>
        <v>11</v>
      </c>
      <c r="C1559" s="8">
        <f ca="1">IFERROR(__xludf.DUMMYFUNCTION("""COMPUTED_VALUE"""),25)</f>
        <v>25</v>
      </c>
      <c r="D1559" s="8">
        <f ca="1">IFERROR(__xludf.DUMMYFUNCTION("""COMPUTED_VALUE"""),2019)</f>
        <v>2019</v>
      </c>
      <c r="E1559" s="9">
        <f ca="1">IFERROR(__xludf.DUMMYFUNCTION("""COMPUTED_VALUE"""),43794)</f>
        <v>43794</v>
      </c>
      <c r="F1559" s="8" t="str">
        <f ca="1">IFERROR(__xludf.DUMMYFUNCTION("""COMPUTED_VALUE"""),"Catalyst Circle Rock Charter School")</f>
        <v>Catalyst Circle Rock Charter School</v>
      </c>
      <c r="G1559" s="8">
        <f ca="1">IFERROR(__xludf.DUMMYFUNCTION("""COMPUTED_VALUE"""),0)</f>
        <v>0</v>
      </c>
      <c r="H1559" s="8">
        <f ca="1">IFERROR(__xludf.DUMMYFUNCTION("""COMPUTED_VALUE"""),1)</f>
        <v>1</v>
      </c>
      <c r="I1559" s="8">
        <f ca="1">IFERROR(__xludf.DUMMYFUNCTION("""COMPUTED_VALUE"""),1)</f>
        <v>1</v>
      </c>
      <c r="J1559" s="8">
        <f ca="1">IFERROR(__xludf.DUMMYFUNCTION("""COMPUTED_VALUE"""),0)</f>
        <v>0</v>
      </c>
      <c r="K1559" s="10" t="str">
        <f ca="1">IFERROR(__xludf.DUMMYFUNCTION("""COMPUTED_VALUE"""),"https://abc7chicago.com/1-shot-outside-school-in-austin/5717900/")</f>
        <v>https://abc7chicago.com/1-shot-outside-school-in-austin/5717900/</v>
      </c>
      <c r="L1559" s="8"/>
      <c r="M1559" s="8"/>
      <c r="N1559" s="8">
        <f ca="1">IFERROR(__xludf.DUMMYFUNCTION("""COMPUTED_VALUE"""),3)</f>
        <v>3</v>
      </c>
      <c r="O1559" s="8" t="str">
        <f ca="1">IFERROR(__xludf.DUMMYFUNCTION("""COMPUTED_VALUE"""),"Fall")</f>
        <v>Fall</v>
      </c>
      <c r="P1559" s="8" t="str">
        <f ca="1">IFERROR(__xludf.DUMMYFUNCTION("""COMPUTED_VALUE"""),"Chicago")</f>
        <v>Chicago</v>
      </c>
      <c r="Q1559" s="8" t="str">
        <f ca="1">IFERROR(__xludf.DUMMYFUNCTION("""COMPUTED_VALUE"""),"IL")</f>
        <v>IL</v>
      </c>
      <c r="R1559" s="8" t="str">
        <f ca="1">IFERROR(__xludf.DUMMYFUNCTION("""COMPUTED_VALUE"""),"Elementary")</f>
        <v>Elementary</v>
      </c>
      <c r="S1559" s="8" t="str">
        <f ca="1">IFERROR(__xludf.DUMMYFUNCTION("""COMPUTED_VALUE"""),"Front of School")</f>
        <v>Front of School</v>
      </c>
      <c r="T1559" s="8" t="str">
        <f ca="1">IFERROR(__xludf.DUMMYFUNCTION("""COMPUTED_VALUE"""),"Both Inside/Outside")</f>
        <v>Both Inside/Outside</v>
      </c>
      <c r="U1559" s="8" t="str">
        <f ca="1">IFERROR(__xludf.DUMMYFUNCTION("""COMPUTED_VALUE"""),"Yes")</f>
        <v>Yes</v>
      </c>
      <c r="V1559" s="8" t="str">
        <f ca="1">IFERROR(__xludf.DUMMYFUNCTION("""COMPUTED_VALUE"""),"School Start")</f>
        <v>School Start</v>
      </c>
      <c r="W1559" s="11">
        <f ca="1">IFERROR(__xludf.DUMMYFUNCTION("""COMPUTED_VALUE"""),0.333333333333333)</f>
        <v>0.33333333333333298</v>
      </c>
      <c r="X1559" s="8">
        <f ca="1">IFERROR(__xludf.DUMMYFUNCTION("""COMPUTED_VALUE"""),1)</f>
        <v>1</v>
      </c>
      <c r="Y1559" s="12" t="str">
        <f ca="1">IFERROR(__xludf.DUMMYFUNCTION("""COMPUTED_VALUE"""),"37 YOM shot outside of school while students were outside, went into school for assistance")</f>
        <v>37 YOM shot outside of school while students were outside, went into school for assistance</v>
      </c>
      <c r="Z1559" s="12" t="str">
        <f ca="1">IFERROR(__xludf.DUMMYFUNCTION("""COMPUTED_VALUE"""),"37YOM in vehicle was shot outside of school while students were arriving. Students and teachers took cover. School was locked down. Shooting victim went into school for assistance. Shooter fled in vehicle.")</f>
        <v>37YOM in vehicle was shot outside of school while students were arriving. Students and teachers took cover. School was locked down. Shooting victim went into school for assistance. Shooter fled in vehicle.</v>
      </c>
      <c r="AA1559" s="8" t="str">
        <f ca="1">IFERROR(__xludf.DUMMYFUNCTION("""COMPUTED_VALUE"""),"Unknown")</f>
        <v>Unknown</v>
      </c>
      <c r="AB1559" s="8"/>
      <c r="AC1559" s="8" t="str">
        <f ca="1">IFERROR(__xludf.DUMMYFUNCTION("""COMPUTED_VALUE"""),"Yes")</f>
        <v>Yes</v>
      </c>
      <c r="AD1559" s="8" t="str">
        <f ca="1">IFERROR(__xludf.DUMMYFUNCTION("""COMPUTED_VALUE"""),"Victims Targeted")</f>
        <v>Victims Targeted</v>
      </c>
      <c r="AE1559" s="8"/>
      <c r="AF1559" s="8"/>
      <c r="AG1559" s="8" t="str">
        <f ca="1">IFERROR(__xludf.DUMMYFUNCTION("""COMPUTED_VALUE"""),"No")</f>
        <v>No</v>
      </c>
      <c r="AH1559" s="8" t="str">
        <f ca="1">IFERROR(__xludf.DUMMYFUNCTION("""COMPUTED_VALUE"""),"No")</f>
        <v>No</v>
      </c>
      <c r="AI1559" s="8" t="str">
        <f ca="1">IFERROR(__xludf.DUMMYFUNCTION("""COMPUTED_VALUE"""),"No")</f>
        <v>No</v>
      </c>
      <c r="AJ1559" s="8" t="str">
        <f ca="1">IFERROR(__xludf.DUMMYFUNCTION("""COMPUTED_VALUE"""),"No")</f>
        <v>No</v>
      </c>
      <c r="AK1559" s="8" t="str">
        <f ca="1">IFERROR(__xludf.DUMMYFUNCTION("""COMPUTED_VALUE"""),"No")</f>
        <v>No</v>
      </c>
      <c r="AL1559" s="8"/>
      <c r="AM1559" s="8" t="str">
        <f ca="1">IFERROR(__xludf.DUMMYFUNCTION("""COMPUTED_VALUE"""),"No")</f>
        <v>No</v>
      </c>
      <c r="AN1559" s="8"/>
      <c r="AO1559" s="8" t="str">
        <f ca="1">IFERROR(__xludf.DUMMYFUNCTION("""COMPUTED_VALUE"""),"No")</f>
        <v>No</v>
      </c>
      <c r="AP1559" s="8" t="str">
        <f ca="1">IFERROR(__xludf.DUMMYFUNCTION("""COMPUTED_VALUE"""),"No")</f>
        <v>No</v>
      </c>
      <c r="AQ1559" s="8" t="str">
        <f ca="1">IFERROR(__xludf.DUMMYFUNCTION("""COMPUTED_VALUE"""),"Unknown")</f>
        <v>Unknown</v>
      </c>
      <c r="AR1559" s="8" t="str">
        <f ca="1">IFERROR(__xludf.DUMMYFUNCTION("""COMPUTED_VALUE"""),"NA")</f>
        <v>NA</v>
      </c>
      <c r="AS1559" s="8">
        <f ca="1">IFERROR(__xludf.DUMMYFUNCTION("""COMPUTED_VALUE"""),6)</f>
        <v>6</v>
      </c>
      <c r="AT1559" s="8" t="str">
        <f ca="1">IFERROR(__xludf.DUMMYFUNCTION("""COMPUTED_VALUE"""),"Yes")</f>
        <v>Yes</v>
      </c>
      <c r="AU1559" s="8">
        <f ca="1">IFERROR(__xludf.DUMMYFUNCTION("""COMPUTED_VALUE"""),41.882509)</f>
        <v>41.882508999999999</v>
      </c>
      <c r="AV1559" s="8">
        <f ca="1">IFERROR(__xludf.DUMMYFUNCTION("""COMPUTED_VALUE"""),-87.765826)</f>
        <v>-87.765826000000004</v>
      </c>
      <c r="AW1559" s="8"/>
      <c r="AX1559" s="8">
        <f ca="1">IFERROR(__xludf.DUMMYFUNCTION("""COMPUTED_VALUE"""),60644)</f>
        <v>60644</v>
      </c>
    </row>
    <row r="1560" spans="1:50" ht="135" x14ac:dyDescent="0.2">
      <c r="A1560" s="8" t="str">
        <f ca="1">IFERROR(__xludf.DUMMYFUNCTION("""COMPUTED_VALUE"""),"20191124CASEU")</f>
        <v>20191124CASEU</v>
      </c>
      <c r="B1560" s="8">
        <f ca="1">IFERROR(__xludf.DUMMYFUNCTION("""COMPUTED_VALUE"""),11)</f>
        <v>11</v>
      </c>
      <c r="C1560" s="8">
        <f ca="1">IFERROR(__xludf.DUMMYFUNCTION("""COMPUTED_VALUE"""),24)</f>
        <v>24</v>
      </c>
      <c r="D1560" s="8">
        <f ca="1">IFERROR(__xludf.DUMMYFUNCTION("""COMPUTED_VALUE"""),2019)</f>
        <v>2019</v>
      </c>
      <c r="E1560" s="9">
        <f ca="1">IFERROR(__xludf.DUMMYFUNCTION("""COMPUTED_VALUE"""),43793)</f>
        <v>43793</v>
      </c>
      <c r="F1560" s="8" t="str">
        <f ca="1">IFERROR(__xludf.DUMMYFUNCTION("""COMPUTED_VALUE"""),"Searles Elementary School")</f>
        <v>Searles Elementary School</v>
      </c>
      <c r="G1560" s="8">
        <f ca="1">IFERROR(__xludf.DUMMYFUNCTION("""COMPUTED_VALUE"""),2)</f>
        <v>2</v>
      </c>
      <c r="H1560" s="8">
        <f ca="1">IFERROR(__xludf.DUMMYFUNCTION("""COMPUTED_VALUE"""),0)</f>
        <v>0</v>
      </c>
      <c r="I1560" s="8">
        <f ca="1">IFERROR(__xludf.DUMMYFUNCTION("""COMPUTED_VALUE"""),2)</f>
        <v>2</v>
      </c>
      <c r="J1560" s="8">
        <f ca="1">IFERROR(__xludf.DUMMYFUNCTION("""COMPUTED_VALUE"""),0)</f>
        <v>0</v>
      </c>
      <c r="K1560" s="8" t="str">
        <f ca="1">IFERROR(__xludf.DUMMYFUNCTION("""COMPUTED_VALUE"""),"https://www.nbcbayarea.com/news/local/break-in-union-city-double-homicide-of-2-boys-to-be-announced/2234191/ https://www.sfchronicle.com/crime/article/Two-people-dead-in-shooting-at-Union-City-14857800.php https://sanfrancisco.cbslocal.com/2019/11/23/doub"&amp;"le-homicide-union-city-school-parking-lot/")</f>
        <v>https://www.nbcbayarea.com/news/local/break-in-union-city-double-homicide-of-2-boys-to-be-announced/2234191/ https://www.sfchronicle.com/crime/article/Two-people-dead-in-shooting-at-Union-City-14857800.php https://sanfrancisco.cbslocal.com/2019/11/23/double-homicide-union-city-school-parking-lot/</v>
      </c>
      <c r="L1560" s="8"/>
      <c r="M1560" s="8" t="str">
        <f ca="1">IFERROR(__xludf.DUMMYFUNCTION("""COMPUTED_VALUE"""),"National")</f>
        <v>National</v>
      </c>
      <c r="N1560" s="8">
        <f ca="1">IFERROR(__xludf.DUMMYFUNCTION("""COMPUTED_VALUE"""),4)</f>
        <v>4</v>
      </c>
      <c r="O1560" s="8" t="str">
        <f ca="1">IFERROR(__xludf.DUMMYFUNCTION("""COMPUTED_VALUE"""),"Fall")</f>
        <v>Fall</v>
      </c>
      <c r="P1560" s="8" t="str">
        <f ca="1">IFERROR(__xludf.DUMMYFUNCTION("""COMPUTED_VALUE"""),"Union City")</f>
        <v>Union City</v>
      </c>
      <c r="Q1560" s="8" t="str">
        <f ca="1">IFERROR(__xludf.DUMMYFUNCTION("""COMPUTED_VALUE"""),"CA")</f>
        <v>CA</v>
      </c>
      <c r="R1560" s="8" t="str">
        <f ca="1">IFERROR(__xludf.DUMMYFUNCTION("""COMPUTED_VALUE"""),"Elementary")</f>
        <v>Elementary</v>
      </c>
      <c r="S1560" s="8" t="str">
        <f ca="1">IFERROR(__xludf.DUMMYFUNCTION("""COMPUTED_VALUE"""),"Parking Lot")</f>
        <v>Parking Lot</v>
      </c>
      <c r="T1560" s="8" t="str">
        <f ca="1">IFERROR(__xludf.DUMMYFUNCTION("""COMPUTED_VALUE"""),"Outside on School Property")</f>
        <v>Outside on School Property</v>
      </c>
      <c r="U1560" s="8" t="str">
        <f ca="1">IFERROR(__xludf.DUMMYFUNCTION("""COMPUTED_VALUE"""),"No")</f>
        <v>No</v>
      </c>
      <c r="V1560" s="8" t="str">
        <f ca="1">IFERROR(__xludf.DUMMYFUNCTION("""COMPUTED_VALUE"""),"Night")</f>
        <v>Night</v>
      </c>
      <c r="W1560" s="11">
        <f ca="1">IFERROR(__xludf.DUMMYFUNCTION("""COMPUTED_VALUE"""),0.0597222222222222)</f>
        <v>5.9722222222222197E-2</v>
      </c>
      <c r="X1560" s="8">
        <f ca="1">IFERROR(__xludf.DUMMYFUNCTION("""COMPUTED_VALUE"""),1)</f>
        <v>1</v>
      </c>
      <c r="Y1560" s="12" t="str">
        <f ca="1">IFERROR(__xludf.DUMMYFUNCTION("""COMPUTED_VALUE"""),"2 boys sitting inside van were shot and killed in school parking lot")</f>
        <v>2 boys sitting inside van were shot and killed in school parking lot</v>
      </c>
      <c r="Z1560" s="12" t="str">
        <f ca="1">IFERROR(__xludf.DUMMYFUNCTION("""COMPUTED_VALUE"""),"14YOM wounded and 11YOM killed in overnight shooting in parking lot of elementary school. Neither were students at the school. Motive unknown. 2 teens (17 and 18) arrested 2.5 months later. Both have connections to gangs. Drugs and multiple weapons recove"&amp;"red during search warrant. Third man, 20YOM, arrested in December 2020 on gang related and illegal firearms charges. Shooting is now described as part of a longstanding dispute between rival gangs.")</f>
        <v>14YOM wounded and 11YOM killed in overnight shooting in parking lot of elementary school. Neither were students at the school. Motive unknown. 2 teens (17 and 18) arrested 2.5 months later. Both have connections to gangs. Drugs and multiple weapons recovered during search warrant. Third man, 20YOM, arrested in December 2020 on gang related and illegal firearms charges. Shooting is now described as part of a longstanding dispute between rival gangs.</v>
      </c>
      <c r="AA1560" s="8" t="str">
        <f ca="1">IFERROR(__xludf.DUMMYFUNCTION("""COMPUTED_VALUE"""),"Illegal Activity")</f>
        <v>Illegal Activity</v>
      </c>
      <c r="AB1560" s="8"/>
      <c r="AC1560" s="8" t="str">
        <f ca="1">IFERROR(__xludf.DUMMYFUNCTION("""COMPUTED_VALUE"""),"No")</f>
        <v>No</v>
      </c>
      <c r="AD1560" s="8" t="str">
        <f ca="1">IFERROR(__xludf.DUMMYFUNCTION("""COMPUTED_VALUE"""),"Random Shooting")</f>
        <v>Random Shooting</v>
      </c>
      <c r="AE1560" s="8" t="str">
        <f ca="1">IFERROR(__xludf.DUMMYFUNCTION("""COMPUTED_VALUE"""),"Yes")</f>
        <v>Yes</v>
      </c>
      <c r="AF1560" s="8" t="str">
        <f ca="1">IFERROR(__xludf.DUMMYFUNCTION("""COMPUTED_VALUE"""),"3 arrested and charged with murder")</f>
        <v>3 arrested and charged with murder</v>
      </c>
      <c r="AG1560" s="8" t="str">
        <f ca="1">IFERROR(__xludf.DUMMYFUNCTION("""COMPUTED_VALUE"""),"No")</f>
        <v>No</v>
      </c>
      <c r="AH1560" s="8" t="str">
        <f ca="1">IFERROR(__xludf.DUMMYFUNCTION("""COMPUTED_VALUE"""),"No")</f>
        <v>No</v>
      </c>
      <c r="AI1560" s="8" t="str">
        <f ca="1">IFERROR(__xludf.DUMMYFUNCTION("""COMPUTED_VALUE"""),"No")</f>
        <v>No</v>
      </c>
      <c r="AJ1560" s="8" t="str">
        <f ca="1">IFERROR(__xludf.DUMMYFUNCTION("""COMPUTED_VALUE"""),"No")</f>
        <v>No</v>
      </c>
      <c r="AK1560" s="8" t="str">
        <f ca="1">IFERROR(__xludf.DUMMYFUNCTION("""COMPUTED_VALUE"""),"No")</f>
        <v>No</v>
      </c>
      <c r="AL1560" s="8" t="str">
        <f ca="1">IFERROR(__xludf.DUMMYFUNCTION("""COMPUTED_VALUE"""),"Yes")</f>
        <v>Yes</v>
      </c>
      <c r="AM1560" s="8" t="str">
        <f ca="1">IFERROR(__xludf.DUMMYFUNCTION("""COMPUTED_VALUE"""),"No")</f>
        <v>No</v>
      </c>
      <c r="AN1560" s="8"/>
      <c r="AO1560" s="8" t="str">
        <f ca="1">IFERROR(__xludf.DUMMYFUNCTION("""COMPUTED_VALUE"""),"No")</f>
        <v>No</v>
      </c>
      <c r="AP1560" s="8"/>
      <c r="AQ1560" s="8" t="str">
        <f ca="1">IFERROR(__xludf.DUMMYFUNCTION("""COMPUTED_VALUE"""),"Unknown")</f>
        <v>Unknown</v>
      </c>
      <c r="AR1560" s="8" t="str">
        <f ca="1">IFERROR(__xludf.DUMMYFUNCTION("""COMPUTED_VALUE"""),"NA")</f>
        <v>NA</v>
      </c>
      <c r="AS1560" s="8"/>
      <c r="AT1560" s="8" t="str">
        <f ca="1">IFERROR(__xludf.DUMMYFUNCTION("""COMPUTED_VALUE"""),"N/A")</f>
        <v>N/A</v>
      </c>
      <c r="AU1560" s="8">
        <f ca="1">IFERROR(__xludf.DUMMYFUNCTION("""COMPUTED_VALUE"""),37.595527)</f>
        <v>37.595526999999997</v>
      </c>
      <c r="AV1560" s="8">
        <f ca="1">IFERROR(__xludf.DUMMYFUNCTION("""COMPUTED_VALUE"""),-122.027495)</f>
        <v>-122.027495</v>
      </c>
      <c r="AW1560" s="8"/>
      <c r="AX1560" s="8">
        <f ca="1">IFERROR(__xludf.DUMMYFUNCTION("""COMPUTED_VALUE"""),94587)</f>
        <v>94587</v>
      </c>
    </row>
    <row r="1561" spans="1:50" ht="60" x14ac:dyDescent="0.2">
      <c r="A1561" s="8" t="str">
        <f ca="1">IFERROR(__xludf.DUMMYFUNCTION("""COMPUTED_VALUE"""),"20191121ILRIO")</f>
        <v>20191121ILRIO</v>
      </c>
      <c r="B1561" s="8">
        <f ca="1">IFERROR(__xludf.DUMMYFUNCTION("""COMPUTED_VALUE"""),11)</f>
        <v>11</v>
      </c>
      <c r="C1561" s="8">
        <f ca="1">IFERROR(__xludf.DUMMYFUNCTION("""COMPUTED_VALUE"""),21)</f>
        <v>21</v>
      </c>
      <c r="D1561" s="8">
        <f ca="1">IFERROR(__xludf.DUMMYFUNCTION("""COMPUTED_VALUE"""),2019)</f>
        <v>2019</v>
      </c>
      <c r="E1561" s="9">
        <f ca="1">IFERROR(__xludf.DUMMYFUNCTION("""COMPUTED_VALUE"""),43790)</f>
        <v>43790</v>
      </c>
      <c r="F1561" s="8" t="str">
        <f ca="1">IFERROR(__xludf.DUMMYFUNCTION("""COMPUTED_VALUE"""),"Rich Central High School")</f>
        <v>Rich Central High School</v>
      </c>
      <c r="G1561" s="8">
        <f ca="1">IFERROR(__xludf.DUMMYFUNCTION("""COMPUTED_VALUE"""),0)</f>
        <v>0</v>
      </c>
      <c r="H1561" s="8">
        <f ca="1">IFERROR(__xludf.DUMMYFUNCTION("""COMPUTED_VALUE"""),1)</f>
        <v>1</v>
      </c>
      <c r="I1561" s="8">
        <f ca="1">IFERROR(__xludf.DUMMYFUNCTION("""COMPUTED_VALUE"""),1)</f>
        <v>1</v>
      </c>
      <c r="J1561" s="8">
        <f ca="1">IFERROR(__xludf.DUMMYFUNCTION("""COMPUTED_VALUE"""),0)</f>
        <v>0</v>
      </c>
      <c r="K1561" s="10" t="str">
        <f ca="1">IFERROR(__xludf.DUMMYFUNCTION("""COMPUTED_VALUE"""),"https://abc7chicago.com/rich-central-student-charged-after-pellet-hits-school-bus-injuring-another-student/5713973/")</f>
        <v>https://abc7chicago.com/rich-central-student-charged-after-pellet-hits-school-bus-injuring-another-student/5713973/</v>
      </c>
      <c r="L1561" s="8"/>
      <c r="M1561" s="8"/>
      <c r="N1561" s="8">
        <f ca="1">IFERROR(__xludf.DUMMYFUNCTION("""COMPUTED_VALUE"""),4)</f>
        <v>4</v>
      </c>
      <c r="O1561" s="8" t="str">
        <f ca="1">IFERROR(__xludf.DUMMYFUNCTION("""COMPUTED_VALUE"""),"Fall")</f>
        <v>Fall</v>
      </c>
      <c r="P1561" s="8" t="str">
        <f ca="1">IFERROR(__xludf.DUMMYFUNCTION("""COMPUTED_VALUE"""),"Olympia Fields")</f>
        <v>Olympia Fields</v>
      </c>
      <c r="Q1561" s="8" t="str">
        <f ca="1">IFERROR(__xludf.DUMMYFUNCTION("""COMPUTED_VALUE"""),"IL")</f>
        <v>IL</v>
      </c>
      <c r="R1561" s="8" t="str">
        <f ca="1">IFERROR(__xludf.DUMMYFUNCTION("""COMPUTED_VALUE"""),"High")</f>
        <v>High</v>
      </c>
      <c r="S1561" s="8" t="str">
        <f ca="1">IFERROR(__xludf.DUMMYFUNCTION("""COMPUTED_VALUE"""),"Parking Lot (Bus)")</f>
        <v>Parking Lot (Bus)</v>
      </c>
      <c r="T1561" s="8" t="str">
        <f ca="1">IFERROR(__xludf.DUMMYFUNCTION("""COMPUTED_VALUE"""),"Outside on School Property")</f>
        <v>Outside on School Property</v>
      </c>
      <c r="U1561" s="8" t="str">
        <f ca="1">IFERROR(__xludf.DUMMYFUNCTION("""COMPUTED_VALUE"""),"Yes")</f>
        <v>Yes</v>
      </c>
      <c r="V1561" s="8" t="str">
        <f ca="1">IFERROR(__xludf.DUMMYFUNCTION("""COMPUTED_VALUE"""),"Dismissal")</f>
        <v>Dismissal</v>
      </c>
      <c r="W1561" s="11">
        <f ca="1">IFERROR(__xludf.DUMMYFUNCTION("""COMPUTED_VALUE"""),0.625)</f>
        <v>0.625</v>
      </c>
      <c r="X1561" s="8">
        <f ca="1">IFERROR(__xludf.DUMMYFUNCTION("""COMPUTED_VALUE"""),1)</f>
        <v>1</v>
      </c>
      <c r="Y1561" s="12" t="str">
        <f ca="1">IFERROR(__xludf.DUMMYFUNCTION("""COMPUTED_VALUE"""),"Student fired pellet gun at bus window injuring student inside")</f>
        <v>Student fired pellet gun at bus window injuring student inside</v>
      </c>
      <c r="Z1561" s="12" t="str">
        <f ca="1">IFERROR(__xludf.DUMMYFUNCTION("""COMPUTED_VALUE"""),"19YOM student fired a pellet gun at a bus window during dismissal. The pellet shattered the glass and cut the face of a 14YO student on the bus.")</f>
        <v>19YOM student fired a pellet gun at a bus window during dismissal. The pellet shattered the glass and cut the face of a 14YO student on the bus.</v>
      </c>
      <c r="AA1561" s="8" t="str">
        <f ca="1">IFERROR(__xludf.DUMMYFUNCTION("""COMPUTED_VALUE"""),"Intentional Property Damage")</f>
        <v>Intentional Property Damage</v>
      </c>
      <c r="AB1561" s="8"/>
      <c r="AC1561" s="8" t="str">
        <f ca="1">IFERROR(__xludf.DUMMYFUNCTION("""COMPUTED_VALUE"""),"Yes")</f>
        <v>Yes</v>
      </c>
      <c r="AD1561" s="8" t="str">
        <f ca="1">IFERROR(__xludf.DUMMYFUNCTION("""COMPUTED_VALUE"""),"Random Shooting")</f>
        <v>Random Shooting</v>
      </c>
      <c r="AE1561" s="8" t="str">
        <f ca="1">IFERROR(__xludf.DUMMYFUNCTION("""COMPUTED_VALUE"""),"No")</f>
        <v>No</v>
      </c>
      <c r="AF1561" s="8"/>
      <c r="AG1561" s="8" t="str">
        <f ca="1">IFERROR(__xludf.DUMMYFUNCTION("""COMPUTED_VALUE"""),"No")</f>
        <v>No</v>
      </c>
      <c r="AH1561" s="8" t="str">
        <f ca="1">IFERROR(__xludf.DUMMYFUNCTION("""COMPUTED_VALUE"""),"No")</f>
        <v>No</v>
      </c>
      <c r="AI1561" s="8" t="str">
        <f ca="1">IFERROR(__xludf.DUMMYFUNCTION("""COMPUTED_VALUE"""),"No")</f>
        <v>No</v>
      </c>
      <c r="AJ1561" s="8" t="str">
        <f ca="1">IFERROR(__xludf.DUMMYFUNCTION("""COMPUTED_VALUE"""),"No")</f>
        <v>No</v>
      </c>
      <c r="AK1561" s="8" t="str">
        <f ca="1">IFERROR(__xludf.DUMMYFUNCTION("""COMPUTED_VALUE"""),"No")</f>
        <v>No</v>
      </c>
      <c r="AL1561" s="8" t="str">
        <f ca="1">IFERROR(__xludf.DUMMYFUNCTION("""COMPUTED_VALUE"""),"No")</f>
        <v>No</v>
      </c>
      <c r="AM1561" s="8" t="str">
        <f ca="1">IFERROR(__xludf.DUMMYFUNCTION("""COMPUTED_VALUE"""),"No")</f>
        <v>No</v>
      </c>
      <c r="AN1561" s="8"/>
      <c r="AO1561" s="8" t="str">
        <f ca="1">IFERROR(__xludf.DUMMYFUNCTION("""COMPUTED_VALUE"""),"No")</f>
        <v>No</v>
      </c>
      <c r="AP1561" s="8"/>
      <c r="AQ1561" s="8" t="str">
        <f ca="1">IFERROR(__xludf.DUMMYFUNCTION("""COMPUTED_VALUE"""),"None")</f>
        <v>None</v>
      </c>
      <c r="AR1561" s="8" t="str">
        <f ca="1">IFERROR(__xludf.DUMMYFUNCTION("""COMPUTED_VALUE"""),"NA")</f>
        <v>NA</v>
      </c>
      <c r="AS1561" s="8">
        <f ca="1">IFERROR(__xludf.DUMMYFUNCTION("""COMPUTED_VALUE"""),1)</f>
        <v>1</v>
      </c>
      <c r="AT1561" s="8" t="str">
        <f ca="1">IFERROR(__xludf.DUMMYFUNCTION("""COMPUTED_VALUE"""),"No")</f>
        <v>No</v>
      </c>
      <c r="AU1561" s="8">
        <f ca="1">IFERROR(__xludf.DUMMYFUNCTION("""COMPUTED_VALUE"""),41.522693)</f>
        <v>41.522692999999997</v>
      </c>
      <c r="AV1561" s="8">
        <f ca="1">IFERROR(__xludf.DUMMYFUNCTION("""COMPUTED_VALUE"""),-87.70559)</f>
        <v>-87.705590000000001</v>
      </c>
      <c r="AW1561" s="8"/>
      <c r="AX1561" s="8">
        <f ca="1">IFERROR(__xludf.DUMMYFUNCTION("""COMPUTED_VALUE"""),60461)</f>
        <v>60461</v>
      </c>
    </row>
    <row r="1562" spans="1:50" ht="120" x14ac:dyDescent="0.2">
      <c r="A1562" s="8" t="str">
        <f ca="1">IFERROR(__xludf.DUMMYFUNCTION("""COMPUTED_VALUE"""),"20191115NJPLP")</f>
        <v>20191115NJPLP</v>
      </c>
      <c r="B1562" s="8">
        <f ca="1">IFERROR(__xludf.DUMMYFUNCTION("""COMPUTED_VALUE"""),11)</f>
        <v>11</v>
      </c>
      <c r="C1562" s="8">
        <f ca="1">IFERROR(__xludf.DUMMYFUNCTION("""COMPUTED_VALUE"""),15)</f>
        <v>15</v>
      </c>
      <c r="D1562" s="8">
        <f ca="1">IFERROR(__xludf.DUMMYFUNCTION("""COMPUTED_VALUE"""),2019)</f>
        <v>2019</v>
      </c>
      <c r="E1562" s="9">
        <f ca="1">IFERROR(__xludf.DUMMYFUNCTION("""COMPUTED_VALUE"""),43784)</f>
        <v>43784</v>
      </c>
      <c r="F1562" s="8" t="str">
        <f ca="1">IFERROR(__xludf.DUMMYFUNCTION("""COMPUTED_VALUE"""),"Pleasantville High School")</f>
        <v>Pleasantville High School</v>
      </c>
      <c r="G1562" s="8">
        <f ca="1">IFERROR(__xludf.DUMMYFUNCTION("""COMPUTED_VALUE"""),1)</f>
        <v>1</v>
      </c>
      <c r="H1562" s="8">
        <f ca="1">IFERROR(__xludf.DUMMYFUNCTION("""COMPUTED_VALUE"""),2)</f>
        <v>2</v>
      </c>
      <c r="I1562" s="8">
        <f ca="1">IFERROR(__xludf.DUMMYFUNCTION("""COMPUTED_VALUE"""),3)</f>
        <v>3</v>
      </c>
      <c r="J1562" s="8">
        <f ca="1">IFERROR(__xludf.DUMMYFUNCTION("""COMPUTED_VALUE"""),0)</f>
        <v>0</v>
      </c>
      <c r="K1562" s="10" t="str">
        <f ca="1">IFERROR(__xludf.DUMMYFUNCTION("""COMPUTED_VALUE"""),"https://www.fox29.com/news/man-sentenced-to-70-years-for-shooting-that-killed-10-year-old-at-nj-high-school-football-game
https://www.nbcphiladelphia.com/news/local/Gunfire-Breaks-Out-at-High-School-Football-Game-Between-Camden-Pleasantville-565018992.htm"&amp;"l https://metro.co.uk/2019/11/16/arrests-after-mass-shooting-leaves-10-year-old-boy-in-critical-condition-11168500/ https://abcnews.go.com/US/injured-shooting-jersey-high-school-football-game/story?id=67062410 https://www.cnn.com/2019/11/16/us/new-jersey-"&amp;"football-game-shooting/index.html https://www.nytimes.com/2019/11/20/us/pleasantville-nj-high-school-shooting.html https://philadelphia.cbslocal.com/2020/07/14/officials-atlantic-city-man-pleads-guilty-in-connection-to-shooting-at-high-school-football-gam"&amp;"e-that-led-to-death-of-10-year-old-michah-tennant/")</f>
        <v>https://www.fox29.com/news/man-sentenced-to-70-years-for-shooting-that-killed-10-year-old-at-nj-high-school-football-game
https://www.nbcphiladelphia.com/news/local/Gunfire-Breaks-Out-at-High-School-Football-Game-Between-Camden-Pleasantville-565018992.html https://metro.co.uk/2019/11/16/arrests-after-mass-shooting-leaves-10-year-old-boy-in-critical-condition-11168500/ https://abcnews.go.com/US/injured-shooting-jersey-high-school-football-game/story?id=67062410 https://www.cnn.com/2019/11/16/us/new-jersey-football-game-shooting/index.html https://www.nytimes.com/2019/11/20/us/pleasantville-nj-high-school-shooting.html https://philadelphia.cbslocal.com/2020/07/14/officials-atlantic-city-man-pleads-guilty-in-connection-to-shooting-at-high-school-football-game-that-led-to-death-of-10-year-old-michah-tennant/</v>
      </c>
      <c r="L1562" s="8"/>
      <c r="M1562" s="8"/>
      <c r="N1562" s="8">
        <f ca="1">IFERROR(__xludf.DUMMYFUNCTION("""COMPUTED_VALUE"""),4)</f>
        <v>4</v>
      </c>
      <c r="O1562" s="8" t="str">
        <f ca="1">IFERROR(__xludf.DUMMYFUNCTION("""COMPUTED_VALUE"""),"Fall")</f>
        <v>Fall</v>
      </c>
      <c r="P1562" s="8" t="str">
        <f ca="1">IFERROR(__xludf.DUMMYFUNCTION("""COMPUTED_VALUE"""),"Pleasantville")</f>
        <v>Pleasantville</v>
      </c>
      <c r="Q1562" s="8" t="str">
        <f ca="1">IFERROR(__xludf.DUMMYFUNCTION("""COMPUTED_VALUE"""),"NJ")</f>
        <v>NJ</v>
      </c>
      <c r="R1562" s="8" t="str">
        <f ca="1">IFERROR(__xludf.DUMMYFUNCTION("""COMPUTED_VALUE"""),"High")</f>
        <v>High</v>
      </c>
      <c r="S1562" s="8" t="str">
        <f ca="1">IFERROR(__xludf.DUMMYFUNCTION("""COMPUTED_VALUE"""),"Football Field/Track")</f>
        <v>Football Field/Track</v>
      </c>
      <c r="T1562" s="8" t="str">
        <f ca="1">IFERROR(__xludf.DUMMYFUNCTION("""COMPUTED_VALUE"""),"Outside on School Property")</f>
        <v>Outside on School Property</v>
      </c>
      <c r="U1562" s="8" t="str">
        <f ca="1">IFERROR(__xludf.DUMMYFUNCTION("""COMPUTED_VALUE"""),"No")</f>
        <v>No</v>
      </c>
      <c r="V1562" s="8" t="str">
        <f ca="1">IFERROR(__xludf.DUMMYFUNCTION("""COMPUTED_VALUE"""),"Sport Event")</f>
        <v>Sport Event</v>
      </c>
      <c r="W1562" s="11">
        <f ca="1">IFERROR(__xludf.DUMMYFUNCTION("""COMPUTED_VALUE"""),0.895833333333333)</f>
        <v>0.89583333333333304</v>
      </c>
      <c r="X1562" s="8">
        <f ca="1">IFERROR(__xludf.DUMMYFUNCTION("""COMPUTED_VALUE"""),1)</f>
        <v>1</v>
      </c>
      <c r="Y1562" s="12" t="str">
        <f ca="1">IFERROR(__xludf.DUMMYFUNCTION("""COMPUTED_VALUE"""),"Targeted shooting at football game, missed target and stuck 3 bystanders in the stands")</f>
        <v>Targeted shooting at football game, missed target and stuck 3 bystanders in the stands</v>
      </c>
      <c r="Z1562" s="12" t="str">
        <f ca="1">IFERROR(__xludf.DUMMYFUNCTION("""COMPUTED_VALUE"""),"31YOM fired 6 shots at specific target during high school football game in the stands. All of the shots missed and 3 bystanders (10YOM, 15YOM, and 27YOM) were hit. Fans in the stands heard the shots and ran from the stadium. Game was suspended. 10YOM in c"&amp;"ritical condition. Shooter and 5 other males fled the scene in a car. Observed by police throwing handgun over bridge and later arrested. 10YOM victim died 5 days after the shooting.")</f>
        <v>31YOM fired 6 shots at specific target during high school football game in the stands. All of the shots missed and 3 bystanders (10YOM, 15YOM, and 27YOM) were hit. Fans in the stands heard the shots and ran from the stadium. Game was suspended. 10YOM in critical condition. Shooter and 5 other males fled the scene in a car. Observed by police throwing handgun over bridge and later arrested. 10YOM victim died 5 days after the shooting.</v>
      </c>
      <c r="AA1562" s="8" t="str">
        <f ca="1">IFERROR(__xludf.DUMMYFUNCTION("""COMPUTED_VALUE"""),"Unknown")</f>
        <v>Unknown</v>
      </c>
      <c r="AB1562" s="8"/>
      <c r="AC1562" s="8" t="str">
        <f ca="1">IFERROR(__xludf.DUMMYFUNCTION("""COMPUTED_VALUE"""),"Yes")</f>
        <v>Yes</v>
      </c>
      <c r="AD1562" s="8" t="str">
        <f ca="1">IFERROR(__xludf.DUMMYFUNCTION("""COMPUTED_VALUE"""),"Both")</f>
        <v>Both</v>
      </c>
      <c r="AE1562" s="8" t="str">
        <f ca="1">IFERROR(__xludf.DUMMYFUNCTION("""COMPUTED_VALUE"""),"Yes")</f>
        <v>Yes</v>
      </c>
      <c r="AF1562" s="8" t="str">
        <f ca="1">IFERROR(__xludf.DUMMYFUNCTION("""COMPUTED_VALUE"""),"5 other males arrested and charged, multiple in car with shooter fleeing the stadium. Tyrell Dorn (28M) charged to weapons possession, guilty 7 years in prison")</f>
        <v>5 other males arrested and charged, multiple in car with shooter fleeing the stadium. Tyrell Dorn (28M) charged to weapons possession, guilty 7 years in prison</v>
      </c>
      <c r="AG1562" s="8" t="str">
        <f ca="1">IFERROR(__xludf.DUMMYFUNCTION("""COMPUTED_VALUE"""),"No")</f>
        <v>No</v>
      </c>
      <c r="AH1562" s="8" t="str">
        <f ca="1">IFERROR(__xludf.DUMMYFUNCTION("""COMPUTED_VALUE"""),"No")</f>
        <v>No</v>
      </c>
      <c r="AI1562" s="8" t="str">
        <f ca="1">IFERROR(__xludf.DUMMYFUNCTION("""COMPUTED_VALUE"""),"No")</f>
        <v>No</v>
      </c>
      <c r="AJ1562" s="8" t="str">
        <f ca="1">IFERROR(__xludf.DUMMYFUNCTION("""COMPUTED_VALUE"""),"No")</f>
        <v>No</v>
      </c>
      <c r="AK1562" s="8" t="str">
        <f ca="1">IFERROR(__xludf.DUMMYFUNCTION("""COMPUTED_VALUE"""),"No")</f>
        <v>No</v>
      </c>
      <c r="AL1562" s="8"/>
      <c r="AM1562" s="8" t="str">
        <f ca="1">IFERROR(__xludf.DUMMYFUNCTION("""COMPUTED_VALUE"""),"No")</f>
        <v>No</v>
      </c>
      <c r="AN1562" s="8"/>
      <c r="AO1562" s="8" t="str">
        <f ca="1">IFERROR(__xludf.DUMMYFUNCTION("""COMPUTED_VALUE"""),"No")</f>
        <v>No</v>
      </c>
      <c r="AP1562" s="8" t="str">
        <f ca="1">IFERROR(__xludf.DUMMYFUNCTION("""COMPUTED_VALUE"""),"Yes")</f>
        <v>Yes</v>
      </c>
      <c r="AQ1562" s="8" t="str">
        <f ca="1">IFERROR(__xludf.DUMMYFUNCTION("""COMPUTED_VALUE"""),"Unknown")</f>
        <v>Unknown</v>
      </c>
      <c r="AR1562" s="8" t="str">
        <f ca="1">IFERROR(__xludf.DUMMYFUNCTION("""COMPUTED_VALUE"""),"NA")</f>
        <v>NA</v>
      </c>
      <c r="AS1562" s="8">
        <f ca="1">IFERROR(__xludf.DUMMYFUNCTION("""COMPUTED_VALUE"""),6)</f>
        <v>6</v>
      </c>
      <c r="AT1562" s="8"/>
      <c r="AU1562" s="8">
        <f ca="1">IFERROR(__xludf.DUMMYFUNCTION("""COMPUTED_VALUE"""),39.406014)</f>
        <v>39.406013999999999</v>
      </c>
      <c r="AV1562" s="8">
        <f ca="1">IFERROR(__xludf.DUMMYFUNCTION("""COMPUTED_VALUE"""),-74.527201)</f>
        <v>-74.527201000000005</v>
      </c>
      <c r="AW1562" s="8"/>
      <c r="AX1562" s="8">
        <f ca="1">IFERROR(__xludf.DUMMYFUNCTION("""COMPUTED_VALUE"""),8232)</f>
        <v>8232</v>
      </c>
    </row>
    <row r="1563" spans="1:50" ht="60" x14ac:dyDescent="0.2">
      <c r="A1563" s="8" t="str">
        <f ca="1">IFERROR(__xludf.DUMMYFUNCTION("""COMPUTED_VALUE"""),"20191114CASAS")</f>
        <v>20191114CASAS</v>
      </c>
      <c r="B1563" s="8">
        <f ca="1">IFERROR(__xludf.DUMMYFUNCTION("""COMPUTED_VALUE"""),11)</f>
        <v>11</v>
      </c>
      <c r="C1563" s="8">
        <f ca="1">IFERROR(__xludf.DUMMYFUNCTION("""COMPUTED_VALUE"""),14)</f>
        <v>14</v>
      </c>
      <c r="D1563" s="8">
        <f ca="1">IFERROR(__xludf.DUMMYFUNCTION("""COMPUTED_VALUE"""),2019)</f>
        <v>2019</v>
      </c>
      <c r="E1563" s="9">
        <f ca="1">IFERROR(__xludf.DUMMYFUNCTION("""COMPUTED_VALUE"""),43783)</f>
        <v>43783</v>
      </c>
      <c r="F1563" s="8" t="str">
        <f ca="1">IFERROR(__xludf.DUMMYFUNCTION("""COMPUTED_VALUE"""),"Saugus High School")</f>
        <v>Saugus High School</v>
      </c>
      <c r="G1563" s="8">
        <f ca="1">IFERROR(__xludf.DUMMYFUNCTION("""COMPUTED_VALUE"""),2)</f>
        <v>2</v>
      </c>
      <c r="H1563" s="8">
        <f ca="1">IFERROR(__xludf.DUMMYFUNCTION("""COMPUTED_VALUE"""),3)</f>
        <v>3</v>
      </c>
      <c r="I1563" s="8">
        <f ca="1">IFERROR(__xludf.DUMMYFUNCTION("""COMPUTED_VALUE"""),5)</f>
        <v>5</v>
      </c>
      <c r="J1563" s="8">
        <f ca="1">IFERROR(__xludf.DUMMYFUNCTION("""COMPUTED_VALUE"""),1)</f>
        <v>1</v>
      </c>
      <c r="K1563" s="8" t="str">
        <f ca="1">IFERROR(__xludf.DUMMYFUNCTION("""COMPUTED_VALUE"""),"https://www.nbclosangeles.com/investigations/two-families-killed-in-saugus-high-school-shooting-file-lawsuit/2467490/ https://www.cnn.com/us/live-news/santa-clarita-high-school-shooting-11-15-2019/index.html https://www.nbcnews.com/news/us-news/motive-beh"&amp;"ind-saugus-high-school-high-school-shooting-remains-mystery-n108346111/14/2019 press conference: https://www.youtube.com/watch?v=jYOEvBZ2hfs11/15/2019 press conference: https://www.youtube.com/watch?v=Gj6t8qW6Sl4")</f>
        <v>https://www.nbclosangeles.com/investigations/two-families-killed-in-saugus-high-school-shooting-file-lawsuit/2467490/ https://www.cnn.com/us/live-news/santa-clarita-high-school-shooting-11-15-2019/index.html https://www.nbcnews.com/news/us-news/motive-behind-saugus-high-school-high-school-shooting-remains-mystery-n108346111/14/2019 press conference: https://www.youtube.com/watch?v=jYOEvBZ2hfs11/15/2019 press conference: https://www.youtube.com/watch?v=Gj6t8qW6Sl4</v>
      </c>
      <c r="L1563" s="8"/>
      <c r="M1563" s="8" t="str">
        <f ca="1">IFERROR(__xludf.DUMMYFUNCTION("""COMPUTED_VALUE"""),"National")</f>
        <v>National</v>
      </c>
      <c r="N1563" s="8">
        <f ca="1">IFERROR(__xludf.DUMMYFUNCTION("""COMPUTED_VALUE"""),4)</f>
        <v>4</v>
      </c>
      <c r="O1563" s="8" t="str">
        <f ca="1">IFERROR(__xludf.DUMMYFUNCTION("""COMPUTED_VALUE"""),"Fall")</f>
        <v>Fall</v>
      </c>
      <c r="P1563" s="8" t="str">
        <f ca="1">IFERROR(__xludf.DUMMYFUNCTION("""COMPUTED_VALUE"""),"Santa Clarita")</f>
        <v>Santa Clarita</v>
      </c>
      <c r="Q1563" s="8" t="str">
        <f ca="1">IFERROR(__xludf.DUMMYFUNCTION("""COMPUTED_VALUE"""),"CA")</f>
        <v>CA</v>
      </c>
      <c r="R1563" s="8" t="str">
        <f ca="1">IFERROR(__xludf.DUMMYFUNCTION("""COMPUTED_VALUE"""),"High")</f>
        <v>High</v>
      </c>
      <c r="S1563" s="8" t="str">
        <f ca="1">IFERROR(__xludf.DUMMYFUNCTION("""COMPUTED_VALUE"""),"Courtyard")</f>
        <v>Courtyard</v>
      </c>
      <c r="T1563" s="8" t="str">
        <f ca="1">IFERROR(__xludf.DUMMYFUNCTION("""COMPUTED_VALUE"""),"Outside on School Property")</f>
        <v>Outside on School Property</v>
      </c>
      <c r="U1563" s="8" t="str">
        <f ca="1">IFERROR(__xludf.DUMMYFUNCTION("""COMPUTED_VALUE"""),"Yes")</f>
        <v>Yes</v>
      </c>
      <c r="V1563" s="8" t="str">
        <f ca="1">IFERROR(__xludf.DUMMYFUNCTION("""COMPUTED_VALUE"""),"School Start")</f>
        <v>School Start</v>
      </c>
      <c r="W1563" s="11">
        <f ca="1">IFERROR(__xludf.DUMMYFUNCTION("""COMPUTED_VALUE"""),0.318055555555555)</f>
        <v>0.31805555555555498</v>
      </c>
      <c r="X1563" s="8">
        <f ca="1">IFERROR(__xludf.DUMMYFUNCTION("""COMPUTED_VALUE"""),1)</f>
        <v>1</v>
      </c>
      <c r="Y1563" s="12" t="str">
        <f ca="1">IFERROR(__xludf.DUMMYFUNCTION("""COMPUTED_VALUE"""),"Student fired at multiple students in school courtyard then commit suicide")</f>
        <v>Student fired at multiple students in school courtyard then commit suicide</v>
      </c>
      <c r="Z1563" s="12" t="str">
        <f ca="1">IFERROR(__xludf.DUMMYFUNCTION("""COMPUTED_VALUE"""),"Student fired at multiple students in school courtyard then commit suicide. 6 shots were fired in 16 seconds.")</f>
        <v>Student fired at multiple students in school courtyard then commit suicide. 6 shots were fired in 16 seconds.</v>
      </c>
      <c r="AA1563" s="8" t="str">
        <f ca="1">IFERROR(__xludf.DUMMYFUNCTION("""COMPUTED_VALUE"""),"Indiscriminate Shooting")</f>
        <v>Indiscriminate Shooting</v>
      </c>
      <c r="AB1563" s="8"/>
      <c r="AC1563" s="8" t="str">
        <f ca="1">IFERROR(__xludf.DUMMYFUNCTION("""COMPUTED_VALUE"""),"Yes")</f>
        <v>Yes</v>
      </c>
      <c r="AD1563" s="8" t="str">
        <f ca="1">IFERROR(__xludf.DUMMYFUNCTION("""COMPUTED_VALUE"""),"Random Shooting")</f>
        <v>Random Shooting</v>
      </c>
      <c r="AE1563" s="8" t="str">
        <f ca="1">IFERROR(__xludf.DUMMYFUNCTION("""COMPUTED_VALUE"""),"No")</f>
        <v>No</v>
      </c>
      <c r="AF1563" s="8"/>
      <c r="AG1563" s="8" t="str">
        <f ca="1">IFERROR(__xludf.DUMMYFUNCTION("""COMPUTED_VALUE"""),"No")</f>
        <v>No</v>
      </c>
      <c r="AH1563" s="8" t="str">
        <f ca="1">IFERROR(__xludf.DUMMYFUNCTION("""COMPUTED_VALUE"""),"No")</f>
        <v>No</v>
      </c>
      <c r="AI1563" s="8" t="str">
        <f ca="1">IFERROR(__xludf.DUMMYFUNCTION("""COMPUTED_VALUE"""),"No")</f>
        <v>No</v>
      </c>
      <c r="AJ1563" s="8" t="str">
        <f ca="1">IFERROR(__xludf.DUMMYFUNCTION("""COMPUTED_VALUE"""),"No")</f>
        <v>No</v>
      </c>
      <c r="AK1563" s="8" t="str">
        <f ca="1">IFERROR(__xludf.DUMMYFUNCTION("""COMPUTED_VALUE"""),"No")</f>
        <v>No</v>
      </c>
      <c r="AL1563" s="8" t="str">
        <f ca="1">IFERROR(__xludf.DUMMYFUNCTION("""COMPUTED_VALUE"""),"No")</f>
        <v>No</v>
      </c>
      <c r="AM1563" s="8" t="str">
        <f ca="1">IFERROR(__xludf.DUMMYFUNCTION("""COMPUTED_VALUE"""),"Yes")</f>
        <v>Yes</v>
      </c>
      <c r="AN1563" s="8" t="str">
        <f ca="1">IFERROR(__xludf.DUMMYFUNCTION("""COMPUTED_VALUE"""),"Outside")</f>
        <v>Outside</v>
      </c>
      <c r="AO1563" s="8" t="str">
        <f ca="1">IFERROR(__xludf.DUMMYFUNCTION("""COMPUTED_VALUE"""),"Yes")</f>
        <v>Yes</v>
      </c>
      <c r="AP1563" s="8" t="str">
        <f ca="1">IFERROR(__xludf.DUMMYFUNCTION("""COMPUTED_VALUE"""),"Yes")</f>
        <v>Yes</v>
      </c>
      <c r="AQ1563" s="8" t="str">
        <f ca="1">IFERROR(__xludf.DUMMYFUNCTION("""COMPUTED_VALUE"""),"None")</f>
        <v>None</v>
      </c>
      <c r="AR1563" s="8" t="str">
        <f ca="1">IFERROR(__xludf.DUMMYFUNCTION("""COMPUTED_VALUE"""),"N/A")</f>
        <v>N/A</v>
      </c>
      <c r="AS1563" s="8">
        <f ca="1">IFERROR(__xludf.DUMMYFUNCTION("""COMPUTED_VALUE"""),6)</f>
        <v>6</v>
      </c>
      <c r="AT1563" s="8" t="str">
        <f ca="1">IFERROR(__xludf.DUMMYFUNCTION("""COMPUTED_VALUE"""),"Yes")</f>
        <v>Yes</v>
      </c>
      <c r="AU1563" s="8">
        <f ca="1">IFERROR(__xludf.DUMMYFUNCTION("""COMPUTED_VALUE"""),34.441871)</f>
        <v>34.441870999999999</v>
      </c>
      <c r="AV1563" s="8">
        <f ca="1">IFERROR(__xludf.DUMMYFUNCTION("""COMPUTED_VALUE"""),-118.518467)</f>
        <v>-118.518467</v>
      </c>
      <c r="AW1563" s="8"/>
      <c r="AX1563" s="8">
        <f ca="1">IFERROR(__xludf.DUMMYFUNCTION("""COMPUTED_VALUE"""),91350)</f>
        <v>91350</v>
      </c>
    </row>
    <row r="1564" spans="1:50" ht="120" x14ac:dyDescent="0.2">
      <c r="A1564" s="8" t="str">
        <f ca="1">IFERROR(__xludf.DUMMYFUNCTION("""COMPUTED_VALUE"""),"20191113CAESL")</f>
        <v>20191113CAESL</v>
      </c>
      <c r="B1564" s="8">
        <f ca="1">IFERROR(__xludf.DUMMYFUNCTION("""COMPUTED_VALUE"""),11)</f>
        <v>11</v>
      </c>
      <c r="C1564" s="8">
        <f ca="1">IFERROR(__xludf.DUMMYFUNCTION("""COMPUTED_VALUE"""),13)</f>
        <v>13</v>
      </c>
      <c r="D1564" s="8">
        <f ca="1">IFERROR(__xludf.DUMMYFUNCTION("""COMPUTED_VALUE"""),2019)</f>
        <v>2019</v>
      </c>
      <c r="E1564" s="9">
        <f ca="1">IFERROR(__xludf.DUMMYFUNCTION("""COMPUTED_VALUE"""),43782)</f>
        <v>43782</v>
      </c>
      <c r="F1564" s="8" t="str">
        <f ca="1">IFERROR(__xludf.DUMMYFUNCTION("""COMPUTED_VALUE"""),"Esteban Torres High School")</f>
        <v>Esteban Torres High School</v>
      </c>
      <c r="G1564" s="8">
        <f ca="1">IFERROR(__xludf.DUMMYFUNCTION("""COMPUTED_VALUE"""),1)</f>
        <v>1</v>
      </c>
      <c r="H1564" s="8">
        <f ca="1">IFERROR(__xludf.DUMMYFUNCTION("""COMPUTED_VALUE"""),0)</f>
        <v>0</v>
      </c>
      <c r="I1564" s="8">
        <f ca="1">IFERROR(__xludf.DUMMYFUNCTION("""COMPUTED_VALUE"""),1)</f>
        <v>1</v>
      </c>
      <c r="J1564" s="8">
        <f ca="1">IFERROR(__xludf.DUMMYFUNCTION("""COMPUTED_VALUE"""),0)</f>
        <v>0</v>
      </c>
      <c r="K1564" s="8" t="str">
        <f ca="1">IFERROR(__xludf.DUMMYFUNCTION("""COMPUTED_VALUE"""),"https://abc7.com/1-dead-after-deputy-involved-shooting-at-east-los-angeles-high-school/5694740/ https://losangeles.cbslocal.com/2019/11/13/suspect-shot-by-deputies-near-east-la-school/")</f>
        <v>https://abc7.com/1-dead-after-deputy-involved-shooting-at-east-los-angeles-high-school/5694740/ https://losangeles.cbslocal.com/2019/11/13/suspect-shot-by-deputies-near-east-la-school/</v>
      </c>
      <c r="L1564" s="8"/>
      <c r="M1564" s="8"/>
      <c r="N1564" s="8">
        <f ca="1">IFERROR(__xludf.DUMMYFUNCTION("""COMPUTED_VALUE"""),4)</f>
        <v>4</v>
      </c>
      <c r="O1564" s="8" t="str">
        <f ca="1">IFERROR(__xludf.DUMMYFUNCTION("""COMPUTED_VALUE"""),"Fall")</f>
        <v>Fall</v>
      </c>
      <c r="P1564" s="8" t="str">
        <f ca="1">IFERROR(__xludf.DUMMYFUNCTION("""COMPUTED_VALUE"""),"Los Angeles")</f>
        <v>Los Angeles</v>
      </c>
      <c r="Q1564" s="8" t="str">
        <f ca="1">IFERROR(__xludf.DUMMYFUNCTION("""COMPUTED_VALUE"""),"CA")</f>
        <v>CA</v>
      </c>
      <c r="R1564" s="8" t="str">
        <f ca="1">IFERROR(__xludf.DUMMYFUNCTION("""COMPUTED_VALUE"""),"High")</f>
        <v>High</v>
      </c>
      <c r="S1564" s="8" t="str">
        <f ca="1">IFERROR(__xludf.DUMMYFUNCTION("""COMPUTED_VALUE"""),"Courtyard")</f>
        <v>Courtyard</v>
      </c>
      <c r="T1564" s="8" t="str">
        <f ca="1">IFERROR(__xludf.DUMMYFUNCTION("""COMPUTED_VALUE"""),"Outside on School Property")</f>
        <v>Outside on School Property</v>
      </c>
      <c r="U1564" s="8" t="str">
        <f ca="1">IFERROR(__xludf.DUMMYFUNCTION("""COMPUTED_VALUE"""),"Yes")</f>
        <v>Yes</v>
      </c>
      <c r="V1564" s="8" t="str">
        <f ca="1">IFERROR(__xludf.DUMMYFUNCTION("""COMPUTED_VALUE"""),"Morning Classes")</f>
        <v>Morning Classes</v>
      </c>
      <c r="W1564" s="11">
        <f ca="1">IFERROR(__xludf.DUMMYFUNCTION("""COMPUTED_VALUE"""),0.375)</f>
        <v>0.375</v>
      </c>
      <c r="X1564" s="8">
        <f ca="1">IFERROR(__xludf.DUMMYFUNCTION("""COMPUTED_VALUE"""),1)</f>
        <v>1</v>
      </c>
      <c r="Y1564" s="12" t="str">
        <f ca="1">IFERROR(__xludf.DUMMYFUNCTION("""COMPUTED_VALUE"""),"Officer shot and killed suspect with sword in outdoor lunch area of school campus")</f>
        <v>Officer shot and killed suspect with sword in outdoor lunch area of school campus</v>
      </c>
      <c r="Z1564" s="12" t="str">
        <f ca="1">IFERROR(__xludf.DUMMYFUNCTION("""COMPUTED_VALUE"""),"Suspect with sword was involved with domestic dispute at residence 1 mile away from the school. Suspect ran from the residence and ended up on the school campus in an outdoor lunch area. Suspect threatened police officers with a 3 foot sword and was shot/"&amp;"killed by officers. School was locked down. Students inside heard gunshots and called parents to tell them about a shooting in the school. No students or school staff injured.")</f>
        <v>Suspect with sword was involved with domestic dispute at residence 1 mile away from the school. Suspect ran from the residence and ended up on the school campus in an outdoor lunch area. Suspect threatened police officers with a 3 foot sword and was shot/killed by officers. School was locked down. Students inside heard gunshots and called parents to tell them about a shooting in the school. No students or school staff injured.</v>
      </c>
      <c r="AA1564" s="8" t="str">
        <f ca="1">IFERROR(__xludf.DUMMYFUNCTION("""COMPUTED_VALUE"""),"Officer-Involved Shooting")</f>
        <v>Officer-Involved Shooting</v>
      </c>
      <c r="AB1564" s="8"/>
      <c r="AC1564" s="8" t="str">
        <f ca="1">IFERROR(__xludf.DUMMYFUNCTION("""COMPUTED_VALUE"""),"Yes")</f>
        <v>Yes</v>
      </c>
      <c r="AD1564" s="8" t="str">
        <f ca="1">IFERROR(__xludf.DUMMYFUNCTION("""COMPUTED_VALUE"""),"NA")</f>
        <v>NA</v>
      </c>
      <c r="AE1564" s="8" t="str">
        <f ca="1">IFERROR(__xludf.DUMMYFUNCTION("""COMPUTED_VALUE"""),"No")</f>
        <v>No</v>
      </c>
      <c r="AF1564" s="8"/>
      <c r="AG1564" s="8" t="str">
        <f ca="1">IFERROR(__xludf.DUMMYFUNCTION("""COMPUTED_VALUE"""),"No")</f>
        <v>No</v>
      </c>
      <c r="AH1564" s="8" t="str">
        <f ca="1">IFERROR(__xludf.DUMMYFUNCTION("""COMPUTED_VALUE"""),"N/A")</f>
        <v>N/A</v>
      </c>
      <c r="AI1564" s="8" t="str">
        <f ca="1">IFERROR(__xludf.DUMMYFUNCTION("""COMPUTED_VALUE"""),"Yes")</f>
        <v>Yes</v>
      </c>
      <c r="AJ1564" s="8" t="str">
        <f ca="1">IFERROR(__xludf.DUMMYFUNCTION("""COMPUTED_VALUE"""),"N/A")</f>
        <v>N/A</v>
      </c>
      <c r="AK1564" s="8" t="str">
        <f ca="1">IFERROR(__xludf.DUMMYFUNCTION("""COMPUTED_VALUE"""),"N/A")</f>
        <v>N/A</v>
      </c>
      <c r="AL1564" s="8" t="str">
        <f ca="1">IFERROR(__xludf.DUMMYFUNCTION("""COMPUTED_VALUE"""),"N/A")</f>
        <v>N/A</v>
      </c>
      <c r="AM1564" s="8" t="str">
        <f ca="1">IFERROR(__xludf.DUMMYFUNCTION("""COMPUTED_VALUE"""),"N/A")</f>
        <v>N/A</v>
      </c>
      <c r="AN1564" s="8"/>
      <c r="AO1564" s="8" t="str">
        <f ca="1">IFERROR(__xludf.DUMMYFUNCTION("""COMPUTED_VALUE"""),"N/A")</f>
        <v>N/A</v>
      </c>
      <c r="AP1564" s="8"/>
      <c r="AQ1564" s="8" t="str">
        <f ca="1">IFERROR(__xludf.DUMMYFUNCTION("""COMPUTED_VALUE"""),"Unknown")</f>
        <v>Unknown</v>
      </c>
      <c r="AR1564" s="8" t="str">
        <f ca="1">IFERROR(__xludf.DUMMYFUNCTION("""COMPUTED_VALUE"""),"NA")</f>
        <v>NA</v>
      </c>
      <c r="AS1564" s="8"/>
      <c r="AT1564" s="8" t="str">
        <f ca="1">IFERROR(__xludf.DUMMYFUNCTION("""COMPUTED_VALUE"""),"Yes")</f>
        <v>Yes</v>
      </c>
      <c r="AU1564" s="8">
        <f ca="1">IFERROR(__xludf.DUMMYFUNCTION("""COMPUTED_VALUE"""),34.041562)</f>
        <v>34.041561999999999</v>
      </c>
      <c r="AV1564" s="8">
        <f ca="1">IFERROR(__xludf.DUMMYFUNCTION("""COMPUTED_VALUE"""),-118.176795)</f>
        <v>-118.176795</v>
      </c>
      <c r="AW1564" s="8"/>
      <c r="AX1564" s="8">
        <f ca="1">IFERROR(__xludf.DUMMYFUNCTION("""COMPUTED_VALUE"""),90063)</f>
        <v>90063</v>
      </c>
    </row>
    <row r="1565" spans="1:50" ht="90" x14ac:dyDescent="0.2">
      <c r="A1565" s="8" t="str">
        <f ca="1">IFERROR(__xludf.DUMMYFUNCTION("""COMPUTED_VALUE"""),"20191111MDACB")</f>
        <v>20191111MDACB</v>
      </c>
      <c r="B1565" s="8">
        <f ca="1">IFERROR(__xludf.DUMMYFUNCTION("""COMPUTED_VALUE"""),11)</f>
        <v>11</v>
      </c>
      <c r="C1565" s="8">
        <f ca="1">IFERROR(__xludf.DUMMYFUNCTION("""COMPUTED_VALUE"""),11)</f>
        <v>11</v>
      </c>
      <c r="D1565" s="8">
        <f ca="1">IFERROR(__xludf.DUMMYFUNCTION("""COMPUTED_VALUE"""),2019)</f>
        <v>2019</v>
      </c>
      <c r="E1565" s="9">
        <f ca="1">IFERROR(__xludf.DUMMYFUNCTION("""COMPUTED_VALUE"""),43780)</f>
        <v>43780</v>
      </c>
      <c r="F1565" s="8" t="str">
        <f ca="1">IFERROR(__xludf.DUMMYFUNCTION("""COMPUTED_VALUE"""),"Achievement Academy")</f>
        <v>Achievement Academy</v>
      </c>
      <c r="G1565" s="8">
        <f ca="1">IFERROR(__xludf.DUMMYFUNCTION("""COMPUTED_VALUE"""),0)</f>
        <v>0</v>
      </c>
      <c r="H1565" s="8">
        <f ca="1">IFERROR(__xludf.DUMMYFUNCTION("""COMPUTED_VALUE"""),1)</f>
        <v>1</v>
      </c>
      <c r="I1565" s="8">
        <f ca="1">IFERROR(__xludf.DUMMYFUNCTION("""COMPUTED_VALUE"""),1)</f>
        <v>1</v>
      </c>
      <c r="J1565" s="8">
        <f ca="1">IFERROR(__xludf.DUMMYFUNCTION("""COMPUTED_VALUE"""),0)</f>
        <v>0</v>
      </c>
      <c r="K1565" s="8" t="str">
        <f ca="1">IFERROR(__xludf.DUMMYFUNCTION("""COMPUTED_VALUE"""),"https://baltimore.cbslocal.com/2019/11/11/student-shot-achievement-academy-school-northeast-baltimore-latest/ https://www.wbaltv.com/article/shooting-outside-achievement-academy-baltimore/29761798")</f>
        <v>https://baltimore.cbslocal.com/2019/11/11/student-shot-achievement-academy-school-northeast-baltimore-latest/ https://www.wbaltv.com/article/shooting-outside-achievement-academy-baltimore/29761798</v>
      </c>
      <c r="L1565" s="8"/>
      <c r="M1565" s="8"/>
      <c r="N1565" s="8">
        <f ca="1">IFERROR(__xludf.DUMMYFUNCTION("""COMPUTED_VALUE"""),4)</f>
        <v>4</v>
      </c>
      <c r="O1565" s="8" t="str">
        <f ca="1">IFERROR(__xludf.DUMMYFUNCTION("""COMPUTED_VALUE"""),"Fall")</f>
        <v>Fall</v>
      </c>
      <c r="P1565" s="8" t="str">
        <f ca="1">IFERROR(__xludf.DUMMYFUNCTION("""COMPUTED_VALUE"""),"Baltimore")</f>
        <v>Baltimore</v>
      </c>
      <c r="Q1565" s="8" t="str">
        <f ca="1">IFERROR(__xludf.DUMMYFUNCTION("""COMPUTED_VALUE"""),"MD")</f>
        <v>MD</v>
      </c>
      <c r="R1565" s="8" t="str">
        <f ca="1">IFERROR(__xludf.DUMMYFUNCTION("""COMPUTED_VALUE"""),"High")</f>
        <v>High</v>
      </c>
      <c r="S1565" s="8" t="str">
        <f ca="1">IFERROR(__xludf.DUMMYFUNCTION("""COMPUTED_VALUE"""),"Parking Lot")</f>
        <v>Parking Lot</v>
      </c>
      <c r="T1565" s="8" t="str">
        <f ca="1">IFERROR(__xludf.DUMMYFUNCTION("""COMPUTED_VALUE"""),"Outside on School Property")</f>
        <v>Outside on School Property</v>
      </c>
      <c r="U1565" s="8" t="str">
        <f ca="1">IFERROR(__xludf.DUMMYFUNCTION("""COMPUTED_VALUE"""),"Yes")</f>
        <v>Yes</v>
      </c>
      <c r="V1565" s="8" t="str">
        <f ca="1">IFERROR(__xludf.DUMMYFUNCTION("""COMPUTED_VALUE"""),"Afternoon Classes")</f>
        <v>Afternoon Classes</v>
      </c>
      <c r="W1565" s="11">
        <f ca="1">IFERROR(__xludf.DUMMYFUNCTION("""COMPUTED_VALUE"""),0.583333333333333)</f>
        <v>0.58333333333333304</v>
      </c>
      <c r="X1565" s="8">
        <f ca="1">IFERROR(__xludf.DUMMYFUNCTION("""COMPUTED_VALUE"""),1)</f>
        <v>1</v>
      </c>
      <c r="Y1565" s="12" t="str">
        <f ca="1">IFERROR(__xludf.DUMMYFUNCTION("""COMPUTED_VALUE"""),"19YOM student shot outside of school then ran into school for assistance")</f>
        <v>19YOM student shot outside of school then ran into school for assistance</v>
      </c>
      <c r="Z1565" s="12" t="str">
        <f ca="1">IFERROR(__xludf.DUMMYFUNCTION("""COMPUTED_VALUE"""),"19YOM student shot while getting out of vehicle outside of the school by a masked gunman. Police said the shooting was targeted and not a robbery. Police said there was a prior altercation. Three schools, Achievement Academy, Reginald F. Lewis High School"&amp;" and Success Academy share the campus.")</f>
        <v>19YOM student shot while getting out of vehicle outside of the school by a masked gunman. Police said the shooting was targeted and not a robbery. Police said there was a prior altercation. Three schools, Achievement Academy, Reginald F. Lewis High School and Success Academy share the campus.</v>
      </c>
      <c r="AA1565" s="8" t="str">
        <f ca="1">IFERROR(__xludf.DUMMYFUNCTION("""COMPUTED_VALUE"""),"Escalation of Dispute")</f>
        <v>Escalation of Dispute</v>
      </c>
      <c r="AB1565" s="8"/>
      <c r="AC1565" s="8" t="str">
        <f ca="1">IFERROR(__xludf.DUMMYFUNCTION("""COMPUTED_VALUE"""),"Yes")</f>
        <v>Yes</v>
      </c>
      <c r="AD1565" s="8" t="str">
        <f ca="1">IFERROR(__xludf.DUMMYFUNCTION("""COMPUTED_VALUE"""),"Victims Targeted")</f>
        <v>Victims Targeted</v>
      </c>
      <c r="AE1565" s="8"/>
      <c r="AF1565" s="8"/>
      <c r="AG1565" s="8" t="str">
        <f ca="1">IFERROR(__xludf.DUMMYFUNCTION("""COMPUTED_VALUE"""),"No")</f>
        <v>No</v>
      </c>
      <c r="AH1565" s="8" t="str">
        <f ca="1">IFERROR(__xludf.DUMMYFUNCTION("""COMPUTED_VALUE"""),"No")</f>
        <v>No</v>
      </c>
      <c r="AI1565" s="8" t="str">
        <f ca="1">IFERROR(__xludf.DUMMYFUNCTION("""COMPUTED_VALUE"""),"No")</f>
        <v>No</v>
      </c>
      <c r="AJ1565" s="8" t="str">
        <f ca="1">IFERROR(__xludf.DUMMYFUNCTION("""COMPUTED_VALUE"""),"No")</f>
        <v>No</v>
      </c>
      <c r="AK1565" s="8" t="str">
        <f ca="1">IFERROR(__xludf.DUMMYFUNCTION("""COMPUTED_VALUE"""),"No")</f>
        <v>No</v>
      </c>
      <c r="AL1565" s="8" t="str">
        <f ca="1">IFERROR(__xludf.DUMMYFUNCTION("""COMPUTED_VALUE"""),"No")</f>
        <v>No</v>
      </c>
      <c r="AM1565" s="8" t="str">
        <f ca="1">IFERROR(__xludf.DUMMYFUNCTION("""COMPUTED_VALUE"""),"No")</f>
        <v>No</v>
      </c>
      <c r="AN1565" s="8"/>
      <c r="AO1565" s="8" t="str">
        <f ca="1">IFERROR(__xludf.DUMMYFUNCTION("""COMPUTED_VALUE"""),"No")</f>
        <v>No</v>
      </c>
      <c r="AP1565" s="8"/>
      <c r="AQ1565" s="8" t="str">
        <f ca="1">IFERROR(__xludf.DUMMYFUNCTION("""COMPUTED_VALUE"""),"Unknown")</f>
        <v>Unknown</v>
      </c>
      <c r="AR1565" s="8" t="str">
        <f ca="1">IFERROR(__xludf.DUMMYFUNCTION("""COMPUTED_VALUE"""),"NA")</f>
        <v>NA</v>
      </c>
      <c r="AS1565" s="8" t="str">
        <f ca="1">IFERROR(__xludf.DUMMYFUNCTION("""COMPUTED_VALUE"""),"&lt;10")</f>
        <v>&lt;10</v>
      </c>
      <c r="AT1565" s="8"/>
      <c r="AU1565" s="8">
        <f ca="1">IFERROR(__xludf.DUMMYFUNCTION("""COMPUTED_VALUE"""),39.365437)</f>
        <v>39.365437</v>
      </c>
      <c r="AV1565" s="8">
        <f ca="1">IFERROR(__xludf.DUMMYFUNCTION("""COMPUTED_VALUE"""),-76.570446)</f>
        <v>-76.570446000000004</v>
      </c>
      <c r="AW1565" s="8"/>
      <c r="AX1565" s="8">
        <f ca="1">IFERROR(__xludf.DUMMYFUNCTION("""COMPUTED_VALUE"""),21214)</f>
        <v>21214</v>
      </c>
    </row>
    <row r="1566" spans="1:50" ht="75" x14ac:dyDescent="0.2">
      <c r="A1566" s="8" t="str">
        <f ca="1">IFERROR(__xludf.DUMMYFUNCTION("""COMPUTED_VALUE"""),"20191108TXROD")</f>
        <v>20191108TXROD</v>
      </c>
      <c r="B1566" s="8">
        <f ca="1">IFERROR(__xludf.DUMMYFUNCTION("""COMPUTED_VALUE"""),11)</f>
        <v>11</v>
      </c>
      <c r="C1566" s="8">
        <f ca="1">IFERROR(__xludf.DUMMYFUNCTION("""COMPUTED_VALUE"""),8)</f>
        <v>8</v>
      </c>
      <c r="D1566" s="8">
        <f ca="1">IFERROR(__xludf.DUMMYFUNCTION("""COMPUTED_VALUE"""),2019)</f>
        <v>2019</v>
      </c>
      <c r="E1566" s="9">
        <f ca="1">IFERROR(__xludf.DUMMYFUNCTION("""COMPUTED_VALUE"""),43777)</f>
        <v>43777</v>
      </c>
      <c r="F1566" s="8" t="str">
        <f ca="1">IFERROR(__xludf.DUMMYFUNCTION("""COMPUTED_VALUE"""),"Robert L. Thornton Elementary School")</f>
        <v>Robert L. Thornton Elementary School</v>
      </c>
      <c r="G1566" s="8">
        <f ca="1">IFERROR(__xludf.DUMMYFUNCTION("""COMPUTED_VALUE"""),1)</f>
        <v>1</v>
      </c>
      <c r="H1566" s="8">
        <f ca="1">IFERROR(__xludf.DUMMYFUNCTION("""COMPUTED_VALUE"""),0)</f>
        <v>0</v>
      </c>
      <c r="I1566" s="8">
        <f ca="1">IFERROR(__xludf.DUMMYFUNCTION("""COMPUTED_VALUE"""),1)</f>
        <v>1</v>
      </c>
      <c r="J1566" s="8">
        <f ca="1">IFERROR(__xludf.DUMMYFUNCTION("""COMPUTED_VALUE"""),0)</f>
        <v>0</v>
      </c>
      <c r="K1566" s="8" t="str">
        <f ca="1">IFERROR(__xludf.DUMMYFUNCTION("""COMPUTED_VALUE"""),"https://www.nbcdfw.com/news/local/Family-Identifies-Dallas-Teen-Found-Shot-to-Death-in-Singing-Hills-564709792.html https://www.wfaa.com/article/news/crime/teens-body-found-near-robert-l-thornton-elementary-school-in-dallas/287-22b265dd-da11-4165-98fe-3f4"&amp;"95dae68e0")</f>
        <v>https://www.nbcdfw.com/news/local/Family-Identifies-Dallas-Teen-Found-Shot-to-Death-in-Singing-Hills-564709792.html https://www.wfaa.com/article/news/crime/teens-body-found-near-robert-l-thornton-elementary-school-in-dallas/287-22b265dd-da11-4165-98fe-3f495dae68e0</v>
      </c>
      <c r="L1566" s="8"/>
      <c r="M1566" s="8"/>
      <c r="N1566" s="8">
        <f ca="1">IFERROR(__xludf.DUMMYFUNCTION("""COMPUTED_VALUE"""),4)</f>
        <v>4</v>
      </c>
      <c r="O1566" s="8" t="str">
        <f ca="1">IFERROR(__xludf.DUMMYFUNCTION("""COMPUTED_VALUE"""),"Fall")</f>
        <v>Fall</v>
      </c>
      <c r="P1566" s="8" t="str">
        <f ca="1">IFERROR(__xludf.DUMMYFUNCTION("""COMPUTED_VALUE"""),"Dallas")</f>
        <v>Dallas</v>
      </c>
      <c r="Q1566" s="8" t="str">
        <f ca="1">IFERROR(__xludf.DUMMYFUNCTION("""COMPUTED_VALUE"""),"TX")</f>
        <v>TX</v>
      </c>
      <c r="R1566" s="8" t="str">
        <f ca="1">IFERROR(__xludf.DUMMYFUNCTION("""COMPUTED_VALUE"""),"Elementary")</f>
        <v>Elementary</v>
      </c>
      <c r="S1566" s="8" t="str">
        <f ca="1">IFERROR(__xludf.DUMMYFUNCTION("""COMPUTED_VALUE"""),"Basketball Court")</f>
        <v>Basketball Court</v>
      </c>
      <c r="T1566" s="8" t="str">
        <f ca="1">IFERROR(__xludf.DUMMYFUNCTION("""COMPUTED_VALUE"""),"Outside on School Property")</f>
        <v>Outside on School Property</v>
      </c>
      <c r="U1566" s="8" t="str">
        <f ca="1">IFERROR(__xludf.DUMMYFUNCTION("""COMPUTED_VALUE"""),"No")</f>
        <v>No</v>
      </c>
      <c r="V1566" s="8" t="str">
        <f ca="1">IFERROR(__xludf.DUMMYFUNCTION("""COMPUTED_VALUE"""),"Evening")</f>
        <v>Evening</v>
      </c>
      <c r="W1566" s="11">
        <f ca="1">IFERROR(__xludf.DUMMYFUNCTION("""COMPUTED_VALUE"""),0.833333333333333)</f>
        <v>0.83333333333333304</v>
      </c>
      <c r="X1566" s="8">
        <f ca="1">IFERROR(__xludf.DUMMYFUNCTION("""COMPUTED_VALUE"""),1)</f>
        <v>1</v>
      </c>
      <c r="Y1566" s="12" t="str">
        <f ca="1">IFERROR(__xludf.DUMMYFUNCTION("""COMPUTED_VALUE"""),"15YOM shot on school basketball court. Specific target and received prior threats.")</f>
        <v>15YOM shot on school basketball court. Specific target and received prior threats.</v>
      </c>
      <c r="Z1566" s="12" t="str">
        <f ca="1">IFERROR(__xludf.DUMMYFUNCTION("""COMPUTED_VALUE"""),"15YOM shot and killed (30 shots fired) on elementary school basketball court on Friday night. Mother stated that victim had been threatened and was targeted by group of suspects. No students involved.")</f>
        <v>15YOM shot and killed (30 shots fired) on elementary school basketball court on Friday night. Mother stated that victim had been threatened and was targeted by group of suspects. No students involved.</v>
      </c>
      <c r="AA1566" s="8" t="str">
        <f ca="1">IFERROR(__xludf.DUMMYFUNCTION("""COMPUTED_VALUE"""),"Escalation of Dispute")</f>
        <v>Escalation of Dispute</v>
      </c>
      <c r="AB1566" s="8"/>
      <c r="AC1566" s="8" t="str">
        <f ca="1">IFERROR(__xludf.DUMMYFUNCTION("""COMPUTED_VALUE"""),"No")</f>
        <v>No</v>
      </c>
      <c r="AD1566" s="8" t="str">
        <f ca="1">IFERROR(__xludf.DUMMYFUNCTION("""COMPUTED_VALUE"""),"Victims Targeted")</f>
        <v>Victims Targeted</v>
      </c>
      <c r="AE1566" s="8" t="str">
        <f ca="1">IFERROR(__xludf.DUMMYFUNCTION("""COMPUTED_VALUE"""),"Yes")</f>
        <v>Yes</v>
      </c>
      <c r="AF1566" s="8" t="str">
        <f ca="1">IFERROR(__xludf.DUMMYFUNCTION("""COMPUTED_VALUE"""),"Group of suspects")</f>
        <v>Group of suspects</v>
      </c>
      <c r="AG1566" s="8" t="str">
        <f ca="1">IFERROR(__xludf.DUMMYFUNCTION("""COMPUTED_VALUE"""),"No")</f>
        <v>No</v>
      </c>
      <c r="AH1566" s="8" t="str">
        <f ca="1">IFERROR(__xludf.DUMMYFUNCTION("""COMPUTED_VALUE"""),"No")</f>
        <v>No</v>
      </c>
      <c r="AI1566" s="8" t="str">
        <f ca="1">IFERROR(__xludf.DUMMYFUNCTION("""COMPUTED_VALUE"""),"No")</f>
        <v>No</v>
      </c>
      <c r="AJ1566" s="8" t="str">
        <f ca="1">IFERROR(__xludf.DUMMYFUNCTION("""COMPUTED_VALUE"""),"No")</f>
        <v>No</v>
      </c>
      <c r="AK1566" s="8" t="str">
        <f ca="1">IFERROR(__xludf.DUMMYFUNCTION("""COMPUTED_VALUE"""),"No")</f>
        <v>No</v>
      </c>
      <c r="AL1566" s="8" t="str">
        <f ca="1">IFERROR(__xludf.DUMMYFUNCTION("""COMPUTED_VALUE"""),"No")</f>
        <v>No</v>
      </c>
      <c r="AM1566" s="8" t="str">
        <f ca="1">IFERROR(__xludf.DUMMYFUNCTION("""COMPUTED_VALUE"""),"No")</f>
        <v>No</v>
      </c>
      <c r="AN1566" s="8"/>
      <c r="AO1566" s="8" t="str">
        <f ca="1">IFERROR(__xludf.DUMMYFUNCTION("""COMPUTED_VALUE"""),"No")</f>
        <v>No</v>
      </c>
      <c r="AP1566" s="8"/>
      <c r="AQ1566" s="8" t="str">
        <f ca="1">IFERROR(__xludf.DUMMYFUNCTION("""COMPUTED_VALUE"""),"None")</f>
        <v>None</v>
      </c>
      <c r="AR1566" s="8" t="str">
        <f ca="1">IFERROR(__xludf.DUMMYFUNCTION("""COMPUTED_VALUE"""),"NA")</f>
        <v>NA</v>
      </c>
      <c r="AS1566" s="8">
        <f ca="1">IFERROR(__xludf.DUMMYFUNCTION("""COMPUTED_VALUE"""),30)</f>
        <v>30</v>
      </c>
      <c r="AT1566" s="8" t="str">
        <f ca="1">IFERROR(__xludf.DUMMYFUNCTION("""COMPUTED_VALUE"""),"N/A")</f>
        <v>N/A</v>
      </c>
      <c r="AU1566" s="8">
        <f ca="1">IFERROR(__xludf.DUMMYFUNCTION("""COMPUTED_VALUE"""),32.674457)</f>
        <v>32.674456999999997</v>
      </c>
      <c r="AV1566" s="8">
        <f ca="1">IFERROR(__xludf.DUMMYFUNCTION("""COMPUTED_VALUE"""),-96.797545)</f>
        <v>-96.797545</v>
      </c>
      <c r="AW1566" s="8"/>
      <c r="AX1566" s="8">
        <f ca="1">IFERROR(__xludf.DUMMYFUNCTION("""COMPUTED_VALUE"""),75241)</f>
        <v>75241</v>
      </c>
    </row>
    <row r="1567" spans="1:50" ht="105" x14ac:dyDescent="0.2">
      <c r="A1567" s="8" t="str">
        <f ca="1">IFERROR(__xludf.DUMMYFUNCTION("""COMPUTED_VALUE"""),"20191108CAEDS")</f>
        <v>20191108CAEDS</v>
      </c>
      <c r="B1567" s="8">
        <f ca="1">IFERROR(__xludf.DUMMYFUNCTION("""COMPUTED_VALUE"""),11)</f>
        <v>11</v>
      </c>
      <c r="C1567" s="8">
        <f ca="1">IFERROR(__xludf.DUMMYFUNCTION("""COMPUTED_VALUE"""),8)</f>
        <v>8</v>
      </c>
      <c r="D1567" s="8">
        <f ca="1">IFERROR(__xludf.DUMMYFUNCTION("""COMPUTED_VALUE"""),2019)</f>
        <v>2019</v>
      </c>
      <c r="E1567" s="9">
        <f ca="1">IFERROR(__xludf.DUMMYFUNCTION("""COMPUTED_VALUE"""),43777)</f>
        <v>43777</v>
      </c>
      <c r="F1567" s="8" t="str">
        <f ca="1">IFERROR(__xludf.DUMMYFUNCTION("""COMPUTED_VALUE"""),"Edison High School")</f>
        <v>Edison High School</v>
      </c>
      <c r="G1567" s="8">
        <f ca="1">IFERROR(__xludf.DUMMYFUNCTION("""COMPUTED_VALUE"""),0)</f>
        <v>0</v>
      </c>
      <c r="H1567" s="8">
        <f ca="1">IFERROR(__xludf.DUMMYFUNCTION("""COMPUTED_VALUE"""),0)</f>
        <v>0</v>
      </c>
      <c r="I1567" s="8">
        <f ca="1">IFERROR(__xludf.DUMMYFUNCTION("""COMPUTED_VALUE"""),0)</f>
        <v>0</v>
      </c>
      <c r="J1567" s="8">
        <f ca="1">IFERROR(__xludf.DUMMYFUNCTION("""COMPUTED_VALUE"""),0)</f>
        <v>0</v>
      </c>
      <c r="K1567" s="10" t="str">
        <f ca="1">IFERROR(__xludf.DUMMYFUNCTION("""COMPUTED_VALUE"""),"https://www.kcra.com/article/shooting-scare-prompts-panic-at-stockton-football-game/29745486")</f>
        <v>https://www.kcra.com/article/shooting-scare-prompts-panic-at-stockton-football-game/29745486</v>
      </c>
      <c r="L1567" s="8"/>
      <c r="M1567" s="8"/>
      <c r="N1567" s="8">
        <f ca="1">IFERROR(__xludf.DUMMYFUNCTION("""COMPUTED_VALUE"""),3)</f>
        <v>3</v>
      </c>
      <c r="O1567" s="8" t="str">
        <f ca="1">IFERROR(__xludf.DUMMYFUNCTION("""COMPUTED_VALUE"""),"Fall")</f>
        <v>Fall</v>
      </c>
      <c r="P1567" s="8" t="str">
        <f ca="1">IFERROR(__xludf.DUMMYFUNCTION("""COMPUTED_VALUE"""),"Stockton")</f>
        <v>Stockton</v>
      </c>
      <c r="Q1567" s="8" t="str">
        <f ca="1">IFERROR(__xludf.DUMMYFUNCTION("""COMPUTED_VALUE"""),"CA")</f>
        <v>CA</v>
      </c>
      <c r="R1567" s="8" t="str">
        <f ca="1">IFERROR(__xludf.DUMMYFUNCTION("""COMPUTED_VALUE"""),"High")</f>
        <v>High</v>
      </c>
      <c r="S1567" s="8" t="str">
        <f ca="1">IFERROR(__xludf.DUMMYFUNCTION("""COMPUTED_VALUE"""),"Football Field/Track")</f>
        <v>Football Field/Track</v>
      </c>
      <c r="T1567" s="8" t="str">
        <f ca="1">IFERROR(__xludf.DUMMYFUNCTION("""COMPUTED_VALUE"""),"Outside on School Property")</f>
        <v>Outside on School Property</v>
      </c>
      <c r="U1567" s="8" t="str">
        <f ca="1">IFERROR(__xludf.DUMMYFUNCTION("""COMPUTED_VALUE"""),"No")</f>
        <v>No</v>
      </c>
      <c r="V1567" s="8" t="str">
        <f ca="1">IFERROR(__xludf.DUMMYFUNCTION("""COMPUTED_VALUE"""),"Sport Event")</f>
        <v>Sport Event</v>
      </c>
      <c r="W1567" s="11">
        <f ca="1">IFERROR(__xludf.DUMMYFUNCTION("""COMPUTED_VALUE"""),0.90625)</f>
        <v>0.90625</v>
      </c>
      <c r="X1567" s="8">
        <f ca="1">IFERROR(__xludf.DUMMYFUNCTION("""COMPUTED_VALUE"""),1)</f>
        <v>1</v>
      </c>
      <c r="Y1567" s="12" t="str">
        <f ca="1">IFERROR(__xludf.DUMMYFUNCTION("""COMPUTED_VALUE"""),"Shots fired in parking lot during football game, stadium locked down")</f>
        <v>Shots fired in parking lot during football game, stadium locked down</v>
      </c>
      <c r="Z1567" s="12" t="str">
        <f ca="1">IFERROR(__xludf.DUMMYFUNCTION("""COMPUTED_VALUE"""),"More than 10 shots were fired in the school parking lot during a football game. Attendees in the stands heard the shots and many fled the stadium. Game was suspended and the stadium was locked down. Game resumed after police determined there was no threat"&amp;". Shell casing and bullet holes in cars were found in the school parking lot. No injuries")</f>
        <v>More than 10 shots were fired in the school parking lot during a football game. Attendees in the stands heard the shots and many fled the stadium. Game was suspended and the stadium was locked down. Game resumed after police determined there was no threat. Shell casing and bullet holes in cars were found in the school parking lot. No injuries</v>
      </c>
      <c r="AA1567" s="8" t="str">
        <f ca="1">IFERROR(__xludf.DUMMYFUNCTION("""COMPUTED_VALUE"""),"Escalation of Dispute")</f>
        <v>Escalation of Dispute</v>
      </c>
      <c r="AB1567" s="8"/>
      <c r="AC1567" s="8" t="str">
        <f ca="1">IFERROR(__xludf.DUMMYFUNCTION("""COMPUTED_VALUE"""),"Yes")</f>
        <v>Yes</v>
      </c>
      <c r="AD1567" s="8"/>
      <c r="AE1567" s="8"/>
      <c r="AF1567" s="8"/>
      <c r="AG1567" s="8" t="str">
        <f ca="1">IFERROR(__xludf.DUMMYFUNCTION("""COMPUTED_VALUE"""),"No")</f>
        <v>No</v>
      </c>
      <c r="AH1567" s="8" t="str">
        <f ca="1">IFERROR(__xludf.DUMMYFUNCTION("""COMPUTED_VALUE"""),"No")</f>
        <v>No</v>
      </c>
      <c r="AI1567" s="8" t="str">
        <f ca="1">IFERROR(__xludf.DUMMYFUNCTION("""COMPUTED_VALUE"""),"No")</f>
        <v>No</v>
      </c>
      <c r="AJ1567" s="8" t="str">
        <f ca="1">IFERROR(__xludf.DUMMYFUNCTION("""COMPUTED_VALUE"""),"No")</f>
        <v>No</v>
      </c>
      <c r="AK1567" s="8" t="str">
        <f ca="1">IFERROR(__xludf.DUMMYFUNCTION("""COMPUTED_VALUE"""),"No")</f>
        <v>No</v>
      </c>
      <c r="AL1567" s="8"/>
      <c r="AM1567" s="8" t="str">
        <f ca="1">IFERROR(__xludf.DUMMYFUNCTION("""COMPUTED_VALUE"""),"No")</f>
        <v>No</v>
      </c>
      <c r="AN1567" s="8"/>
      <c r="AO1567" s="8" t="str">
        <f ca="1">IFERROR(__xludf.DUMMYFUNCTION("""COMPUTED_VALUE"""),"No")</f>
        <v>No</v>
      </c>
      <c r="AP1567" s="8" t="str">
        <f ca="1">IFERROR(__xludf.DUMMYFUNCTION("""COMPUTED_VALUE"""),"Yes")</f>
        <v>Yes</v>
      </c>
      <c r="AQ1567" s="8" t="str">
        <f ca="1">IFERROR(__xludf.DUMMYFUNCTION("""COMPUTED_VALUE"""),"Unknown")</f>
        <v>Unknown</v>
      </c>
      <c r="AR1567" s="8" t="str">
        <f ca="1">IFERROR(__xludf.DUMMYFUNCTION("""COMPUTED_VALUE"""),"NA")</f>
        <v>NA</v>
      </c>
      <c r="AS1567" s="8" t="str">
        <f ca="1">IFERROR(__xludf.DUMMYFUNCTION("""COMPUTED_VALUE"""),"&gt;10")</f>
        <v>&gt;10</v>
      </c>
      <c r="AT1567" s="8" t="str">
        <f ca="1">IFERROR(__xludf.DUMMYFUNCTION("""COMPUTED_VALUE"""),"Yes")</f>
        <v>Yes</v>
      </c>
      <c r="AU1567" s="8">
        <f ca="1">IFERROR(__xludf.DUMMYFUNCTION("""COMPUTED_VALUE"""),37.937469)</f>
        <v>37.937469</v>
      </c>
      <c r="AV1567" s="8">
        <f ca="1">IFERROR(__xludf.DUMMYFUNCTION("""COMPUTED_VALUE"""),-121.287155)</f>
        <v>-121.287155</v>
      </c>
      <c r="AW1567" s="8"/>
      <c r="AX1567" s="8">
        <f ca="1">IFERROR(__xludf.DUMMYFUNCTION("""COMPUTED_VALUE"""),95207)</f>
        <v>95207</v>
      </c>
    </row>
    <row r="1568" spans="1:50" ht="60" x14ac:dyDescent="0.2">
      <c r="A1568" s="8" t="str">
        <f ca="1">IFERROR(__xludf.DUMMYFUNCTION("""COMPUTED_VALUE"""),"20191029NYNEN")</f>
        <v>20191029NYNEN</v>
      </c>
      <c r="B1568" s="8">
        <f ca="1">IFERROR(__xludf.DUMMYFUNCTION("""COMPUTED_VALUE"""),10)</f>
        <v>10</v>
      </c>
      <c r="C1568" s="8">
        <f ca="1">IFERROR(__xludf.DUMMYFUNCTION("""COMPUTED_VALUE"""),29)</f>
        <v>29</v>
      </c>
      <c r="D1568" s="8">
        <f ca="1">IFERROR(__xludf.DUMMYFUNCTION("""COMPUTED_VALUE"""),2019)</f>
        <v>2019</v>
      </c>
      <c r="E1568" s="9">
        <f ca="1">IFERROR(__xludf.DUMMYFUNCTION("""COMPUTED_VALUE"""),43767)</f>
        <v>43767</v>
      </c>
      <c r="F1568" s="8" t="str">
        <f ca="1">IFERROR(__xludf.DUMMYFUNCTION("""COMPUTED_VALUE"""),"New Dawn Charter High School")</f>
        <v>New Dawn Charter High School</v>
      </c>
      <c r="G1568" s="8">
        <f ca="1">IFERROR(__xludf.DUMMYFUNCTION("""COMPUTED_VALUE"""),0)</f>
        <v>0</v>
      </c>
      <c r="H1568" s="8">
        <f ca="1">IFERROR(__xludf.DUMMYFUNCTION("""COMPUTED_VALUE"""),1)</f>
        <v>1</v>
      </c>
      <c r="I1568" s="8">
        <f ca="1">IFERROR(__xludf.DUMMYFUNCTION("""COMPUTED_VALUE"""),1)</f>
        <v>1</v>
      </c>
      <c r="J1568" s="8">
        <f ca="1">IFERROR(__xludf.DUMMYFUNCTION("""COMPUTED_VALUE"""),0)</f>
        <v>0</v>
      </c>
      <c r="K1568" s="8" t="str">
        <f ca="1">IFERROR(__xludf.DUMMYFUNCTION("""COMPUTED_VALUE"""),"https://www.ny1.com/nyc/queens/news/2019/10/29/three-wanted-in-shooting-of-girl-outside-queens-school- https://nypost.com/2019/10/28/16-year-old-girl-struck-in-queens-school-shooting/ https://abc7ny.com/teen-suspect-turns-self-in-for-nyc-girls-shooting/56"&amp;"55580/")</f>
        <v>https://www.ny1.com/nyc/queens/news/2019/10/29/three-wanted-in-shooting-of-girl-outside-queens-school- https://nypost.com/2019/10/28/16-year-old-girl-struck-in-queens-school-shooting/ https://abc7ny.com/teen-suspect-turns-self-in-for-nyc-girls-shooting/5655580/</v>
      </c>
      <c r="L1568" s="8"/>
      <c r="M1568" s="8"/>
      <c r="N1568" s="8">
        <f ca="1">IFERROR(__xludf.DUMMYFUNCTION("""COMPUTED_VALUE"""),4)</f>
        <v>4</v>
      </c>
      <c r="O1568" s="8" t="str">
        <f ca="1">IFERROR(__xludf.DUMMYFUNCTION("""COMPUTED_VALUE"""),"Fall")</f>
        <v>Fall</v>
      </c>
      <c r="P1568" s="8" t="str">
        <f ca="1">IFERROR(__xludf.DUMMYFUNCTION("""COMPUTED_VALUE"""),"New York")</f>
        <v>New York</v>
      </c>
      <c r="Q1568" s="8" t="str">
        <f ca="1">IFERROR(__xludf.DUMMYFUNCTION("""COMPUTED_VALUE"""),"NY")</f>
        <v>NY</v>
      </c>
      <c r="R1568" s="8" t="str">
        <f ca="1">IFERROR(__xludf.DUMMYFUNCTION("""COMPUTED_VALUE"""),"High")</f>
        <v>High</v>
      </c>
      <c r="S1568" s="8" t="str">
        <f ca="1">IFERROR(__xludf.DUMMYFUNCTION("""COMPUTED_VALUE"""),"Front of School")</f>
        <v>Front of School</v>
      </c>
      <c r="T1568" s="8" t="str">
        <f ca="1">IFERROR(__xludf.DUMMYFUNCTION("""COMPUTED_VALUE"""),"Outside on School Property")</f>
        <v>Outside on School Property</v>
      </c>
      <c r="U1568" s="8" t="str">
        <f ca="1">IFERROR(__xludf.DUMMYFUNCTION("""COMPUTED_VALUE"""),"Yes")</f>
        <v>Yes</v>
      </c>
      <c r="V1568" s="8" t="str">
        <f ca="1">IFERROR(__xludf.DUMMYFUNCTION("""COMPUTED_VALUE"""),"Dismissal")</f>
        <v>Dismissal</v>
      </c>
      <c r="W1568" s="11">
        <f ca="1">IFERROR(__xludf.DUMMYFUNCTION("""COMPUTED_VALUE"""),0.666666666666666)</f>
        <v>0.66666666666666596</v>
      </c>
      <c r="X1568" s="8">
        <f ca="1">IFERROR(__xludf.DUMMYFUNCTION("""COMPUTED_VALUE"""),1)</f>
        <v>1</v>
      </c>
      <c r="Y1568" s="12" t="str">
        <f ca="1">IFERROR(__xludf.DUMMYFUNCTION("""COMPUTED_VALUE"""),"Female student bystander shot during fight after school")</f>
        <v>Female student bystander shot during fight after school</v>
      </c>
      <c r="Z1568" s="12" t="str">
        <f ca="1">IFERROR(__xludf.DUMMYFUNCTION("""COMPUTED_VALUE"""),"Shots fired during fight outside of school at dismissal. 16YOF stuck by stray shot. Not intended target. Shooter fled. Police searching for 3 suspects.")</f>
        <v>Shots fired during fight outside of school at dismissal. 16YOF stuck by stray shot. Not intended target. Shooter fled. Police searching for 3 suspects.</v>
      </c>
      <c r="AA1568" s="8" t="str">
        <f ca="1">IFERROR(__xludf.DUMMYFUNCTION("""COMPUTED_VALUE"""),"Escalation of Dispute")</f>
        <v>Escalation of Dispute</v>
      </c>
      <c r="AB1568" s="8"/>
      <c r="AC1568" s="8" t="str">
        <f ca="1">IFERROR(__xludf.DUMMYFUNCTION("""COMPUTED_VALUE"""),"Yes")</f>
        <v>Yes</v>
      </c>
      <c r="AD1568" s="8" t="str">
        <f ca="1">IFERROR(__xludf.DUMMYFUNCTION("""COMPUTED_VALUE"""),"Both")</f>
        <v>Both</v>
      </c>
      <c r="AE1568" s="8" t="str">
        <f ca="1">IFERROR(__xludf.DUMMYFUNCTION("""COMPUTED_VALUE"""),"Yes")</f>
        <v>Yes</v>
      </c>
      <c r="AF1568" s="8" t="str">
        <f ca="1">IFERROR(__xludf.DUMMYFUNCTION("""COMPUTED_VALUE"""),"Police looking for 3 suspects")</f>
        <v>Police looking for 3 suspects</v>
      </c>
      <c r="AG1568" s="8" t="str">
        <f ca="1">IFERROR(__xludf.DUMMYFUNCTION("""COMPUTED_VALUE"""),"No")</f>
        <v>No</v>
      </c>
      <c r="AH1568" s="8" t="str">
        <f ca="1">IFERROR(__xludf.DUMMYFUNCTION("""COMPUTED_VALUE"""),"No")</f>
        <v>No</v>
      </c>
      <c r="AI1568" s="8" t="str">
        <f ca="1">IFERROR(__xludf.DUMMYFUNCTION("""COMPUTED_VALUE"""),"No")</f>
        <v>No</v>
      </c>
      <c r="AJ1568" s="8"/>
      <c r="AK1568" s="8" t="str">
        <f ca="1">IFERROR(__xludf.DUMMYFUNCTION("""COMPUTED_VALUE"""),"No")</f>
        <v>No</v>
      </c>
      <c r="AL1568" s="8" t="str">
        <f ca="1">IFERROR(__xludf.DUMMYFUNCTION("""COMPUTED_VALUE"""),"No")</f>
        <v>No</v>
      </c>
      <c r="AM1568" s="8" t="str">
        <f ca="1">IFERROR(__xludf.DUMMYFUNCTION("""COMPUTED_VALUE"""),"No")</f>
        <v>No</v>
      </c>
      <c r="AN1568" s="8"/>
      <c r="AO1568" s="8" t="str">
        <f ca="1">IFERROR(__xludf.DUMMYFUNCTION("""COMPUTED_VALUE"""),"No")</f>
        <v>No</v>
      </c>
      <c r="AP1568" s="8"/>
      <c r="AQ1568" s="8" t="str">
        <f ca="1">IFERROR(__xludf.DUMMYFUNCTION("""COMPUTED_VALUE"""),"Unknown")</f>
        <v>Unknown</v>
      </c>
      <c r="AR1568" s="8" t="str">
        <f ca="1">IFERROR(__xludf.DUMMYFUNCTION("""COMPUTED_VALUE"""),"NA")</f>
        <v>NA</v>
      </c>
      <c r="AS1568" s="8">
        <f ca="1">IFERROR(__xludf.DUMMYFUNCTION("""COMPUTED_VALUE"""),4)</f>
        <v>4</v>
      </c>
      <c r="AT1568" s="8"/>
      <c r="AU1568" s="8">
        <f ca="1">IFERROR(__xludf.DUMMYFUNCTION("""COMPUTED_VALUE"""),40.683479)</f>
        <v>40.683478999999998</v>
      </c>
      <c r="AV1568" s="8">
        <f ca="1">IFERROR(__xludf.DUMMYFUNCTION("""COMPUTED_VALUE"""),-73.991182)</f>
        <v>-73.991181999999995</v>
      </c>
      <c r="AW1568" s="8"/>
      <c r="AX1568" s="8">
        <f ca="1">IFERROR(__xludf.DUMMYFUNCTION("""COMPUTED_VALUE"""),11231)</f>
        <v>11231</v>
      </c>
    </row>
    <row r="1569" spans="1:50" ht="75" x14ac:dyDescent="0.2">
      <c r="A1569" s="8" t="str">
        <f ca="1">IFERROR(__xludf.DUMMYFUNCTION("""COMPUTED_VALUE"""),"20191027MDLAL")</f>
        <v>20191027MDLAL</v>
      </c>
      <c r="B1569" s="8">
        <f ca="1">IFERROR(__xludf.DUMMYFUNCTION("""COMPUTED_VALUE"""),10)</f>
        <v>10</v>
      </c>
      <c r="C1569" s="8">
        <f ca="1">IFERROR(__xludf.DUMMYFUNCTION("""COMPUTED_VALUE"""),27)</f>
        <v>27</v>
      </c>
      <c r="D1569" s="8">
        <f ca="1">IFERROR(__xludf.DUMMYFUNCTION("""COMPUTED_VALUE"""),2019)</f>
        <v>2019</v>
      </c>
      <c r="E1569" s="9">
        <f ca="1">IFERROR(__xludf.DUMMYFUNCTION("""COMPUTED_VALUE"""),43765)</f>
        <v>43765</v>
      </c>
      <c r="F1569" s="8" t="str">
        <f ca="1">IFERROR(__xludf.DUMMYFUNCTION("""COMPUTED_VALUE"""),"Laurel Woods Elementary School")</f>
        <v>Laurel Woods Elementary School</v>
      </c>
      <c r="G1569" s="8">
        <f ca="1">IFERROR(__xludf.DUMMYFUNCTION("""COMPUTED_VALUE"""),0)</f>
        <v>0</v>
      </c>
      <c r="H1569" s="8">
        <f ca="1">IFERROR(__xludf.DUMMYFUNCTION("""COMPUTED_VALUE"""),1)</f>
        <v>1</v>
      </c>
      <c r="I1569" s="8">
        <f ca="1">IFERROR(__xludf.DUMMYFUNCTION("""COMPUTED_VALUE"""),1)</f>
        <v>1</v>
      </c>
      <c r="J1569" s="8">
        <f ca="1">IFERROR(__xludf.DUMMYFUNCTION("""COMPUTED_VALUE"""),0)</f>
        <v>0</v>
      </c>
      <c r="K1569" s="8" t="str">
        <f ca="1">IFERROR(__xludf.DUMMYFUNCTION("""COMPUTED_VALUE"""),"https://www.wbaltv.com/article/woman-shot-in-laurel-woods-elementary-school-parking-lot/29609309 https://baltimore.cbslocal.com/2019/10/27/woman-shot-laurel-elementary-school-parking-lot/")</f>
        <v>https://www.wbaltv.com/article/woman-shot-in-laurel-woods-elementary-school-parking-lot/29609309 https://baltimore.cbslocal.com/2019/10/27/woman-shot-laurel-elementary-school-parking-lot/</v>
      </c>
      <c r="L1569" s="8"/>
      <c r="M1569" s="8"/>
      <c r="N1569" s="8">
        <f ca="1">IFERROR(__xludf.DUMMYFUNCTION("""COMPUTED_VALUE"""),4)</f>
        <v>4</v>
      </c>
      <c r="O1569" s="8" t="str">
        <f ca="1">IFERROR(__xludf.DUMMYFUNCTION("""COMPUTED_VALUE"""),"Fall")</f>
        <v>Fall</v>
      </c>
      <c r="P1569" s="8" t="str">
        <f ca="1">IFERROR(__xludf.DUMMYFUNCTION("""COMPUTED_VALUE"""),"Laurel")</f>
        <v>Laurel</v>
      </c>
      <c r="Q1569" s="8" t="str">
        <f ca="1">IFERROR(__xludf.DUMMYFUNCTION("""COMPUTED_VALUE"""),"MD")</f>
        <v>MD</v>
      </c>
      <c r="R1569" s="8" t="str">
        <f ca="1">IFERROR(__xludf.DUMMYFUNCTION("""COMPUTED_VALUE"""),"Elementary")</f>
        <v>Elementary</v>
      </c>
      <c r="S1569" s="8" t="str">
        <f ca="1">IFERROR(__xludf.DUMMYFUNCTION("""COMPUTED_VALUE"""),"Parking Lot")</f>
        <v>Parking Lot</v>
      </c>
      <c r="T1569" s="8" t="str">
        <f ca="1">IFERROR(__xludf.DUMMYFUNCTION("""COMPUTED_VALUE"""),"Outside on School Property")</f>
        <v>Outside on School Property</v>
      </c>
      <c r="U1569" s="8" t="str">
        <f ca="1">IFERROR(__xludf.DUMMYFUNCTION("""COMPUTED_VALUE"""),"No")</f>
        <v>No</v>
      </c>
      <c r="V1569" s="8" t="str">
        <f ca="1">IFERROR(__xludf.DUMMYFUNCTION("""COMPUTED_VALUE"""),"Not a School Day")</f>
        <v>Not a School Day</v>
      </c>
      <c r="W1569" s="11">
        <f ca="1">IFERROR(__xludf.DUMMYFUNCTION("""COMPUTED_VALUE"""),0.820833333333333)</f>
        <v>0.82083333333333297</v>
      </c>
      <c r="X1569" s="8">
        <f ca="1">IFERROR(__xludf.DUMMYFUNCTION("""COMPUTED_VALUE"""),1)</f>
        <v>1</v>
      </c>
      <c r="Y1569" s="12" t="str">
        <f ca="1">IFERROR(__xludf.DUMMYFUNCTION("""COMPUTED_VALUE"""),"Adult female shot in parking lot of school following memorial service unrelated to the school")</f>
        <v>Adult female shot in parking lot of school following memorial service unrelated to the school</v>
      </c>
      <c r="Z1569" s="12" t="str">
        <f ca="1">IFERROR(__xludf.DUMMYFUNCTION("""COMPUTED_VALUE"""),"Adult female was shot in the school parking lot following a memorial service at the school (unrelated to the school). Motive unknown. 34YOM fled and was arrested the following day.")</f>
        <v>Adult female was shot in the school parking lot following a memorial service at the school (unrelated to the school). Motive unknown. 34YOM fled and was arrested the following day.</v>
      </c>
      <c r="AA1569" s="8" t="str">
        <f ca="1">IFERROR(__xludf.DUMMYFUNCTION("""COMPUTED_VALUE"""),"Escalation of Dispute")</f>
        <v>Escalation of Dispute</v>
      </c>
      <c r="AB1569" s="8"/>
      <c r="AC1569" s="8" t="str">
        <f ca="1">IFERROR(__xludf.DUMMYFUNCTION("""COMPUTED_VALUE"""),"No")</f>
        <v>No</v>
      </c>
      <c r="AD1569" s="8" t="str">
        <f ca="1">IFERROR(__xludf.DUMMYFUNCTION("""COMPUTED_VALUE"""),"Both")</f>
        <v>Both</v>
      </c>
      <c r="AE1569" s="8"/>
      <c r="AF1569" s="8"/>
      <c r="AG1569" s="8" t="str">
        <f ca="1">IFERROR(__xludf.DUMMYFUNCTION("""COMPUTED_VALUE"""),"No")</f>
        <v>No</v>
      </c>
      <c r="AH1569" s="8" t="str">
        <f ca="1">IFERROR(__xludf.DUMMYFUNCTION("""COMPUTED_VALUE"""),"No")</f>
        <v>No</v>
      </c>
      <c r="AI1569" s="8" t="str">
        <f ca="1">IFERROR(__xludf.DUMMYFUNCTION("""COMPUTED_VALUE"""),"No")</f>
        <v>No</v>
      </c>
      <c r="AJ1569" s="8" t="str">
        <f ca="1">IFERROR(__xludf.DUMMYFUNCTION("""COMPUTED_VALUE"""),"No")</f>
        <v>No</v>
      </c>
      <c r="AK1569" s="8" t="str">
        <f ca="1">IFERROR(__xludf.DUMMYFUNCTION("""COMPUTED_VALUE"""),"No")</f>
        <v>No</v>
      </c>
      <c r="AL1569" s="8"/>
      <c r="AM1569" s="8" t="str">
        <f ca="1">IFERROR(__xludf.DUMMYFUNCTION("""COMPUTED_VALUE"""),"No")</f>
        <v>No</v>
      </c>
      <c r="AN1569" s="8"/>
      <c r="AO1569" s="8" t="str">
        <f ca="1">IFERROR(__xludf.DUMMYFUNCTION("""COMPUTED_VALUE"""),"No")</f>
        <v>No</v>
      </c>
      <c r="AP1569" s="8" t="str">
        <f ca="1">IFERROR(__xludf.DUMMYFUNCTION("""COMPUTED_VALUE"""),"No")</f>
        <v>No</v>
      </c>
      <c r="AQ1569" s="8" t="str">
        <f ca="1">IFERROR(__xludf.DUMMYFUNCTION("""COMPUTED_VALUE"""),"None")</f>
        <v>None</v>
      </c>
      <c r="AR1569" s="8" t="str">
        <f ca="1">IFERROR(__xludf.DUMMYFUNCTION("""COMPUTED_VALUE"""),"NA")</f>
        <v>NA</v>
      </c>
      <c r="AS1569" s="8" t="str">
        <f ca="1">IFERROR(__xludf.DUMMYFUNCTION("""COMPUTED_VALUE"""),"&lt;10")</f>
        <v>&lt;10</v>
      </c>
      <c r="AT1569" s="8" t="str">
        <f ca="1">IFERROR(__xludf.DUMMYFUNCTION("""COMPUTED_VALUE"""),"N/A")</f>
        <v>N/A</v>
      </c>
      <c r="AU1569" s="8">
        <f ca="1">IFERROR(__xludf.DUMMYFUNCTION("""COMPUTED_VALUE"""),39.117296)</f>
        <v>39.117296000000003</v>
      </c>
      <c r="AV1569" s="8">
        <f ca="1">IFERROR(__xludf.DUMMYFUNCTION("""COMPUTED_VALUE"""),-76.842214)</f>
        <v>-76.842213999999998</v>
      </c>
      <c r="AW1569" s="8"/>
      <c r="AX1569" s="8">
        <f ca="1">IFERROR(__xludf.DUMMYFUNCTION("""COMPUTED_VALUE"""),20723)</f>
        <v>20723</v>
      </c>
    </row>
    <row r="1570" spans="1:50" ht="105" x14ac:dyDescent="0.2">
      <c r="A1570" s="8" t="str">
        <f ca="1">IFERROR(__xludf.DUMMYFUNCTION("""COMPUTED_VALUE"""),"20191022NJBRB")</f>
        <v>20191022NJBRB</v>
      </c>
      <c r="B1570" s="8">
        <f ca="1">IFERROR(__xludf.DUMMYFUNCTION("""COMPUTED_VALUE"""),10)</f>
        <v>10</v>
      </c>
      <c r="C1570" s="8">
        <f ca="1">IFERROR(__xludf.DUMMYFUNCTION("""COMPUTED_VALUE"""),22)</f>
        <v>22</v>
      </c>
      <c r="D1570" s="8">
        <f ca="1">IFERROR(__xludf.DUMMYFUNCTION("""COMPUTED_VALUE"""),2019)</f>
        <v>2019</v>
      </c>
      <c r="E1570" s="9">
        <f ca="1">IFERROR(__xludf.DUMMYFUNCTION("""COMPUTED_VALUE"""),43760)</f>
        <v>43760</v>
      </c>
      <c r="F1570" s="8" t="str">
        <f ca="1">IFERROR(__xludf.DUMMYFUNCTION("""COMPUTED_VALUE"""),"Brick Memorial High School")</f>
        <v>Brick Memorial High School</v>
      </c>
      <c r="G1570" s="8">
        <f ca="1">IFERROR(__xludf.DUMMYFUNCTION("""COMPUTED_VALUE"""),0)</f>
        <v>0</v>
      </c>
      <c r="H1570" s="8">
        <f ca="1">IFERROR(__xludf.DUMMYFUNCTION("""COMPUTED_VALUE"""),1)</f>
        <v>1</v>
      </c>
      <c r="I1570" s="8">
        <f ca="1">IFERROR(__xludf.DUMMYFUNCTION("""COMPUTED_VALUE"""),1)</f>
        <v>1</v>
      </c>
      <c r="J1570" s="8">
        <f ca="1">IFERROR(__xludf.DUMMYFUNCTION("""COMPUTED_VALUE"""),0)</f>
        <v>0</v>
      </c>
      <c r="K1570" s="10" t="str">
        <f ca="1">IFERROR(__xludf.DUMMYFUNCTION("""COMPUTED_VALUE"""),"https://dailyvoice.com/new-jersey/ocean/police-fire/asbury-park-teen-idd-charged-with-shooting-near-brick-high-school/794032/")</f>
        <v>https://dailyvoice.com/new-jersey/ocean/police-fire/asbury-park-teen-idd-charged-with-shooting-near-brick-high-school/794032/</v>
      </c>
      <c r="L1570" s="8">
        <f ca="1">IFERROR(__xludf.DUMMYFUNCTION("""COMPUTED_VALUE"""),2)</f>
        <v>2</v>
      </c>
      <c r="M1570" s="8" t="str">
        <f ca="1">IFERROR(__xludf.DUMMYFUNCTION("""COMPUTED_VALUE"""),"Local")</f>
        <v>Local</v>
      </c>
      <c r="N1570" s="8">
        <f ca="1">IFERROR(__xludf.DUMMYFUNCTION("""COMPUTED_VALUE"""),4)</f>
        <v>4</v>
      </c>
      <c r="O1570" s="8" t="str">
        <f ca="1">IFERROR(__xludf.DUMMYFUNCTION("""COMPUTED_VALUE"""),"Fall")</f>
        <v>Fall</v>
      </c>
      <c r="P1570" s="8" t="str">
        <f ca="1">IFERROR(__xludf.DUMMYFUNCTION("""COMPUTED_VALUE"""),"Brick Township")</f>
        <v>Brick Township</v>
      </c>
      <c r="Q1570" s="8" t="str">
        <f ca="1">IFERROR(__xludf.DUMMYFUNCTION("""COMPUTED_VALUE"""),"NJ")</f>
        <v>NJ</v>
      </c>
      <c r="R1570" s="8" t="str">
        <f ca="1">IFERROR(__xludf.DUMMYFUNCTION("""COMPUTED_VALUE"""),"High")</f>
        <v>High</v>
      </c>
      <c r="S1570" s="8" t="str">
        <f ca="1">IFERROR(__xludf.DUMMYFUNCTION("""COMPUTED_VALUE"""),"Off School Property")</f>
        <v>Off School Property</v>
      </c>
      <c r="T1570" s="8" t="str">
        <f ca="1">IFERROR(__xludf.DUMMYFUNCTION("""COMPUTED_VALUE"""),"Off School Property")</f>
        <v>Off School Property</v>
      </c>
      <c r="U1570" s="8" t="str">
        <f ca="1">IFERROR(__xludf.DUMMYFUNCTION("""COMPUTED_VALUE"""),"Yes")</f>
        <v>Yes</v>
      </c>
      <c r="V1570" s="8" t="str">
        <f ca="1">IFERROR(__xludf.DUMMYFUNCTION("""COMPUTED_VALUE"""),"Afternoon Classes")</f>
        <v>Afternoon Classes</v>
      </c>
      <c r="W1570" s="11">
        <f ca="1">IFERROR(__xludf.DUMMYFUNCTION("""COMPUTED_VALUE"""),0.572916666666666)</f>
        <v>0.57291666666666596</v>
      </c>
      <c r="X1570" s="8">
        <f ca="1">IFERROR(__xludf.DUMMYFUNCTION("""COMPUTED_VALUE"""),1)</f>
        <v>1</v>
      </c>
      <c r="Y1570" s="12" t="str">
        <f ca="1">IFERROR(__xludf.DUMMYFUNCTION("""COMPUTED_VALUE"""),"Teen shot near school by another teen, ran back to school for help")</f>
        <v>Teen shot near school by another teen, ran back to school for help</v>
      </c>
      <c r="Z1570" s="12" t="str">
        <f ca="1">IFERROR(__xludf.DUMMYFUNCTION("""COMPUTED_VALUE"""),"Teen student and three other teen students were walking home 1/4 mile from the school. The victim was shot by another teen and the victim ran back to the school for assistance. The school and neighboring schools were locked down. Video footage identified "&amp;"the suspect (17YOM) who was later arrested and charged as an adult. Second teen seen on video with the shooter was also charged.")</f>
        <v>Teen student and three other teen students were walking home 1/4 mile from the school. The victim was shot by another teen and the victim ran back to the school for assistance. The school and neighboring schools were locked down. Video footage identified the suspect (17YOM) who was later arrested and charged as an adult. Second teen seen on video with the shooter was also charged.</v>
      </c>
      <c r="AA1570" s="8"/>
      <c r="AB1570" s="8"/>
      <c r="AC1570" s="8" t="str">
        <f ca="1">IFERROR(__xludf.DUMMYFUNCTION("""COMPUTED_VALUE"""),"Yes")</f>
        <v>Yes</v>
      </c>
      <c r="AD1570" s="8" t="str">
        <f ca="1">IFERROR(__xludf.DUMMYFUNCTION("""COMPUTED_VALUE"""),"Victims Targeted")</f>
        <v>Victims Targeted</v>
      </c>
      <c r="AE1570" s="8" t="str">
        <f ca="1">IFERROR(__xludf.DUMMYFUNCTION("""COMPUTED_VALUE"""),"Yes")</f>
        <v>Yes</v>
      </c>
      <c r="AF1570" s="8" t="str">
        <f ca="1">IFERROR(__xludf.DUMMYFUNCTION("""COMPUTED_VALUE"""),"Second teen charged with conspiracy to commit aggravated assault")</f>
        <v>Second teen charged with conspiracy to commit aggravated assault</v>
      </c>
      <c r="AG1570" s="8" t="str">
        <f ca="1">IFERROR(__xludf.DUMMYFUNCTION("""COMPUTED_VALUE"""),"No")</f>
        <v>No</v>
      </c>
      <c r="AH1570" s="8" t="str">
        <f ca="1">IFERROR(__xludf.DUMMYFUNCTION("""COMPUTED_VALUE"""),"No")</f>
        <v>No</v>
      </c>
      <c r="AI1570" s="8" t="str">
        <f ca="1">IFERROR(__xludf.DUMMYFUNCTION("""COMPUTED_VALUE"""),"No")</f>
        <v>No</v>
      </c>
      <c r="AJ1570" s="8"/>
      <c r="AK1570" s="8" t="str">
        <f ca="1">IFERROR(__xludf.DUMMYFUNCTION("""COMPUTED_VALUE"""),"No")</f>
        <v>No</v>
      </c>
      <c r="AL1570" s="8"/>
      <c r="AM1570" s="8" t="str">
        <f ca="1">IFERROR(__xludf.DUMMYFUNCTION("""COMPUTED_VALUE"""),"No")</f>
        <v>No</v>
      </c>
      <c r="AN1570" s="8"/>
      <c r="AO1570" s="8" t="str">
        <f ca="1">IFERROR(__xludf.DUMMYFUNCTION("""COMPUTED_VALUE"""),"No")</f>
        <v>No</v>
      </c>
      <c r="AP1570" s="8"/>
      <c r="AQ1570" s="8"/>
      <c r="AR1570" s="8" t="str">
        <f ca="1">IFERROR(__xludf.DUMMYFUNCTION("""COMPUTED_VALUE"""),"Outside/Off-Property")</f>
        <v>Outside/Off-Property</v>
      </c>
      <c r="AS1570" s="8"/>
      <c r="AT1570" s="8" t="str">
        <f ca="1">IFERROR(__xludf.DUMMYFUNCTION("""COMPUTED_VALUE"""),"Yes")</f>
        <v>Yes</v>
      </c>
      <c r="AU1570" s="8">
        <f ca="1">IFERROR(__xludf.DUMMYFUNCTION("""COMPUTED_VALUE"""),40.10423)</f>
        <v>40.104230000000001</v>
      </c>
      <c r="AV1570" s="8">
        <f ca="1">IFERROR(__xludf.DUMMYFUNCTION("""COMPUTED_VALUE"""),-74.129144)</f>
        <v>-74.129143999999997</v>
      </c>
      <c r="AW1570" s="8"/>
      <c r="AX1570" s="8">
        <f ca="1">IFERROR(__xludf.DUMMYFUNCTION("""COMPUTED_VALUE"""),8724)</f>
        <v>8724</v>
      </c>
    </row>
    <row r="1571" spans="1:50" ht="135" x14ac:dyDescent="0.2">
      <c r="A1571" s="8" t="str">
        <f ca="1">IFERROR(__xludf.DUMMYFUNCTION("""COMPUTED_VALUE"""),"20191022CARIS")</f>
        <v>20191022CARIS</v>
      </c>
      <c r="B1571" s="8">
        <f ca="1">IFERROR(__xludf.DUMMYFUNCTION("""COMPUTED_VALUE"""),10)</f>
        <v>10</v>
      </c>
      <c r="C1571" s="8">
        <f ca="1">IFERROR(__xludf.DUMMYFUNCTION("""COMPUTED_VALUE"""),22)</f>
        <v>22</v>
      </c>
      <c r="D1571" s="8">
        <f ca="1">IFERROR(__xludf.DUMMYFUNCTION("""COMPUTED_VALUE"""),2019)</f>
        <v>2019</v>
      </c>
      <c r="E1571" s="9">
        <f ca="1">IFERROR(__xludf.DUMMYFUNCTION("""COMPUTED_VALUE"""),43760)</f>
        <v>43760</v>
      </c>
      <c r="F1571" s="8" t="str">
        <f ca="1">IFERROR(__xludf.DUMMYFUNCTION("""COMPUTED_VALUE"""),"Ridgway High School")</f>
        <v>Ridgway High School</v>
      </c>
      <c r="G1571" s="8">
        <f ca="1">IFERROR(__xludf.DUMMYFUNCTION("""COMPUTED_VALUE"""),0)</f>
        <v>0</v>
      </c>
      <c r="H1571" s="8">
        <f ca="1">IFERROR(__xludf.DUMMYFUNCTION("""COMPUTED_VALUE"""),1)</f>
        <v>1</v>
      </c>
      <c r="I1571" s="8">
        <f ca="1">IFERROR(__xludf.DUMMYFUNCTION("""COMPUTED_VALUE"""),1)</f>
        <v>1</v>
      </c>
      <c r="J1571" s="8">
        <f ca="1">IFERROR(__xludf.DUMMYFUNCTION("""COMPUTED_VALUE"""),0)</f>
        <v>0</v>
      </c>
      <c r="K1571" s="8" t="str">
        <f ca="1">IFERROR(__xludf.DUMMYFUNCTION("""COMPUTED_VALUE"""),"https://www.pressdemocrat.com/article/news/ridgway-high-school-shooter-sentenced-to-2-years-in-sonoma-county-custody/?artslide=0 https://sanfrancisco.cbslocal.com/2019/10/22/campus-shooting-places-schools-on-lockdown-in-santa-rosa/ https://time.com/570743"&amp;"6/santa-rosa-ridgway-high-school-shooting/ https://www.cbsnews.com/news/school-shooting-california-santa-rosa-gunman-arrested-school-today-2019-10-22/")</f>
        <v>https://www.pressdemocrat.com/article/news/ridgway-high-school-shooter-sentenced-to-2-years-in-sonoma-county-custody/?artslide=0 https://sanfrancisco.cbslocal.com/2019/10/22/campus-shooting-places-schools-on-lockdown-in-santa-rosa/ https://time.com/5707436/santa-rosa-ridgway-high-school-shooting/ https://www.cbsnews.com/news/school-shooting-california-santa-rosa-gunman-arrested-school-today-2019-10-22/</v>
      </c>
      <c r="L1571" s="8">
        <f ca="1">IFERROR(__xludf.DUMMYFUNCTION("""COMPUTED_VALUE"""),10)</f>
        <v>10</v>
      </c>
      <c r="M1571" s="8" t="str">
        <f ca="1">IFERROR(__xludf.DUMMYFUNCTION("""COMPUTED_VALUE"""),"Local")</f>
        <v>Local</v>
      </c>
      <c r="N1571" s="8">
        <f ca="1">IFERROR(__xludf.DUMMYFUNCTION("""COMPUTED_VALUE"""),4)</f>
        <v>4</v>
      </c>
      <c r="O1571" s="8" t="str">
        <f ca="1">IFERROR(__xludf.DUMMYFUNCTION("""COMPUTED_VALUE"""),"Fall")</f>
        <v>Fall</v>
      </c>
      <c r="P1571" s="8" t="str">
        <f ca="1">IFERROR(__xludf.DUMMYFUNCTION("""COMPUTED_VALUE"""),"Santa Rosa")</f>
        <v>Santa Rosa</v>
      </c>
      <c r="Q1571" s="8" t="str">
        <f ca="1">IFERROR(__xludf.DUMMYFUNCTION("""COMPUTED_VALUE"""),"CA")</f>
        <v>CA</v>
      </c>
      <c r="R1571" s="8" t="str">
        <f ca="1">IFERROR(__xludf.DUMMYFUNCTION("""COMPUTED_VALUE"""),"High")</f>
        <v>High</v>
      </c>
      <c r="S1571" s="8" t="str">
        <f ca="1">IFERROR(__xludf.DUMMYFUNCTION("""COMPUTED_VALUE"""),"Beside Building")</f>
        <v>Beside Building</v>
      </c>
      <c r="T1571" s="8" t="str">
        <f ca="1">IFERROR(__xludf.DUMMYFUNCTION("""COMPUTED_VALUE"""),"Outside on School Property")</f>
        <v>Outside on School Property</v>
      </c>
      <c r="U1571" s="8" t="str">
        <f ca="1">IFERROR(__xludf.DUMMYFUNCTION("""COMPUTED_VALUE"""),"Yes")</f>
        <v>Yes</v>
      </c>
      <c r="V1571" s="8" t="str">
        <f ca="1">IFERROR(__xludf.DUMMYFUNCTION("""COMPUTED_VALUE"""),"Morning Classes")</f>
        <v>Morning Classes</v>
      </c>
      <c r="W1571" s="11">
        <f ca="1">IFERROR(__xludf.DUMMYFUNCTION("""COMPUTED_VALUE"""),0.372222222222222)</f>
        <v>0.37222222222222201</v>
      </c>
      <c r="X1571" s="8">
        <f ca="1">IFERROR(__xludf.DUMMYFUNCTION("""COMPUTED_VALUE"""),1)</f>
        <v>1</v>
      </c>
      <c r="Y1571" s="12" t="str">
        <f ca="1">IFERROR(__xludf.DUMMYFUNCTION("""COMPUTED_VALUE"""),"Student shot another student following argument outside of school building, gave gun to driver in a car, and then returned to class in the school building")</f>
        <v>Student shot another student following argument outside of school building, gave gun to driver in a car, and then returned to class in the school building</v>
      </c>
      <c r="Z1571" s="12" t="str">
        <f ca="1">IFERROR(__xludf.DUMMYFUNCTION("""COMPUTED_VALUE"""),"Student shot another student following argument outside of school building, gave gun to driver in a car, and then returned to class in the school building")</f>
        <v>Student shot another student following argument outside of school building, gave gun to driver in a car, and then returned to class in the school building</v>
      </c>
      <c r="AA1571" s="8" t="str">
        <f ca="1">IFERROR(__xludf.DUMMYFUNCTION("""COMPUTED_VALUE"""),"Escalation of Dispute")</f>
        <v>Escalation of Dispute</v>
      </c>
      <c r="AB1571" s="8"/>
      <c r="AC1571" s="8" t="str">
        <f ca="1">IFERROR(__xludf.DUMMYFUNCTION("""COMPUTED_VALUE"""),"Yes")</f>
        <v>Yes</v>
      </c>
      <c r="AD1571" s="8" t="str">
        <f ca="1">IFERROR(__xludf.DUMMYFUNCTION("""COMPUTED_VALUE"""),"Victims Targeted")</f>
        <v>Victims Targeted</v>
      </c>
      <c r="AE1571" s="8" t="str">
        <f ca="1">IFERROR(__xludf.DUMMYFUNCTION("""COMPUTED_VALUE"""),"Yes")</f>
        <v>Yes</v>
      </c>
      <c r="AF1571" s="8" t="str">
        <f ca="1">IFERROR(__xludf.DUMMYFUNCTION("""COMPUTED_VALUE"""),"Handed gun off to unknown person in parking lot who drove away from the scene")</f>
        <v>Handed gun off to unknown person in parking lot who drove away from the scene</v>
      </c>
      <c r="AG1571" s="8" t="str">
        <f ca="1">IFERROR(__xludf.DUMMYFUNCTION("""COMPUTED_VALUE"""),"No")</f>
        <v>No</v>
      </c>
      <c r="AH1571" s="8" t="str">
        <f ca="1">IFERROR(__xludf.DUMMYFUNCTION("""COMPUTED_VALUE"""),"No")</f>
        <v>No</v>
      </c>
      <c r="AI1571" s="8" t="str">
        <f ca="1">IFERROR(__xludf.DUMMYFUNCTION("""COMPUTED_VALUE"""),"No")</f>
        <v>No</v>
      </c>
      <c r="AJ1571" s="8" t="str">
        <f ca="1">IFERROR(__xludf.DUMMYFUNCTION("""COMPUTED_VALUE"""),"No")</f>
        <v>No</v>
      </c>
      <c r="AK1571" s="8" t="str">
        <f ca="1">IFERROR(__xludf.DUMMYFUNCTION("""COMPUTED_VALUE"""),"No")</f>
        <v>No</v>
      </c>
      <c r="AL1571" s="8" t="str">
        <f ca="1">IFERROR(__xludf.DUMMYFUNCTION("""COMPUTED_VALUE"""),"Yes")</f>
        <v>Yes</v>
      </c>
      <c r="AM1571" s="8" t="str">
        <f ca="1">IFERROR(__xludf.DUMMYFUNCTION("""COMPUTED_VALUE"""),"No")</f>
        <v>No</v>
      </c>
      <c r="AN1571" s="8"/>
      <c r="AO1571" s="8" t="str">
        <f ca="1">IFERROR(__xludf.DUMMYFUNCTION("""COMPUTED_VALUE"""),"No")</f>
        <v>No</v>
      </c>
      <c r="AP1571" s="8"/>
      <c r="AQ1571" s="8" t="str">
        <f ca="1">IFERROR(__xludf.DUMMYFUNCTION("""COMPUTED_VALUE"""),"Unknown")</f>
        <v>Unknown</v>
      </c>
      <c r="AR1571" s="8" t="str">
        <f ca="1">IFERROR(__xludf.DUMMYFUNCTION("""COMPUTED_VALUE"""),"NA")</f>
        <v>NA</v>
      </c>
      <c r="AS1571" s="8">
        <f ca="1">IFERROR(__xludf.DUMMYFUNCTION("""COMPUTED_VALUE"""),4)</f>
        <v>4</v>
      </c>
      <c r="AT1571" s="8" t="str">
        <f ca="1">IFERROR(__xludf.DUMMYFUNCTION("""COMPUTED_VALUE"""),"Yes")</f>
        <v>Yes</v>
      </c>
      <c r="AU1571" s="8">
        <f ca="1">IFERROR(__xludf.DUMMYFUNCTION("""COMPUTED_VALUE"""),38.449961)</f>
        <v>38.449961000000002</v>
      </c>
      <c r="AV1571" s="8">
        <f ca="1">IFERROR(__xludf.DUMMYFUNCTION("""COMPUTED_VALUE"""),-122.723033)</f>
        <v>-122.723033</v>
      </c>
      <c r="AW1571" s="8"/>
      <c r="AX1571" s="8">
        <f ca="1">IFERROR(__xludf.DUMMYFUNCTION("""COMPUTED_VALUE"""),95402)</f>
        <v>95402</v>
      </c>
    </row>
    <row r="1572" spans="1:50" ht="45" x14ac:dyDescent="0.2">
      <c r="A1572" s="8" t="str">
        <f ca="1">IFERROR(__xludf.DUMMYFUNCTION("""COMPUTED_VALUE"""),"20191022MIPOH")</f>
        <v>20191022MIPOH</v>
      </c>
      <c r="B1572" s="8">
        <f ca="1">IFERROR(__xludf.DUMMYFUNCTION("""COMPUTED_VALUE"""),10)</f>
        <v>10</v>
      </c>
      <c r="C1572" s="8">
        <f ca="1">IFERROR(__xludf.DUMMYFUNCTION("""COMPUTED_VALUE"""),22)</f>
        <v>22</v>
      </c>
      <c r="D1572" s="8">
        <f ca="1">IFERROR(__xludf.DUMMYFUNCTION("""COMPUTED_VALUE"""),2019)</f>
        <v>2019</v>
      </c>
      <c r="E1572" s="9">
        <f ca="1">IFERROR(__xludf.DUMMYFUNCTION("""COMPUTED_VALUE"""),43760)</f>
        <v>43760</v>
      </c>
      <c r="F1572" s="8" t="str">
        <f ca="1">IFERROR(__xludf.DUMMYFUNCTION("""COMPUTED_VALUE"""),"Poupard Elementary School")</f>
        <v>Poupard Elementary School</v>
      </c>
      <c r="G1572" s="8">
        <f ca="1">IFERROR(__xludf.DUMMYFUNCTION("""COMPUTED_VALUE"""),0)</f>
        <v>0</v>
      </c>
      <c r="H1572" s="8">
        <f ca="1">IFERROR(__xludf.DUMMYFUNCTION("""COMPUTED_VALUE"""),1)</f>
        <v>1</v>
      </c>
      <c r="I1572" s="8">
        <f ca="1">IFERROR(__xludf.DUMMYFUNCTION("""COMPUTED_VALUE"""),1)</f>
        <v>1</v>
      </c>
      <c r="J1572" s="8">
        <f ca="1">IFERROR(__xludf.DUMMYFUNCTION("""COMPUTED_VALUE"""),0)</f>
        <v>0</v>
      </c>
      <c r="K1572" s="8" t="str">
        <f ca="1">IFERROR(__xludf.DUMMYFUNCTION("""COMPUTED_VALUE"""),"https://www.detroitnews.com/story/news/local/oakland-county/2021/11/30/school-shootings-michigan-oxford-high-school-history-bath-school-bombing/8812624002/
https://www.clickondetroit.com/news/2019/10/23/20-year-old-man-shot-on-elementary-school-playground"&amp;"-in-harper-woods/")</f>
        <v>https://www.detroitnews.com/story/news/local/oakland-county/2021/11/30/school-shootings-michigan-oxford-high-school-history-bath-school-bombing/8812624002/
https://www.clickondetroit.com/news/2019/10/23/20-year-old-man-shot-on-elementary-school-playground-in-harper-woods/</v>
      </c>
      <c r="L1572" s="8">
        <f ca="1">IFERROR(__xludf.DUMMYFUNCTION("""COMPUTED_VALUE"""),2)</f>
        <v>2</v>
      </c>
      <c r="M1572" s="8" t="str">
        <f ca="1">IFERROR(__xludf.DUMMYFUNCTION("""COMPUTED_VALUE"""),"Local")</f>
        <v>Local</v>
      </c>
      <c r="N1572" s="8">
        <f ca="1">IFERROR(__xludf.DUMMYFUNCTION("""COMPUTED_VALUE"""),4)</f>
        <v>4</v>
      </c>
      <c r="O1572" s="8" t="str">
        <f ca="1">IFERROR(__xludf.DUMMYFUNCTION("""COMPUTED_VALUE"""),"Fall")</f>
        <v>Fall</v>
      </c>
      <c r="P1572" s="8" t="str">
        <f ca="1">IFERROR(__xludf.DUMMYFUNCTION("""COMPUTED_VALUE"""),"Harper Woods")</f>
        <v>Harper Woods</v>
      </c>
      <c r="Q1572" s="8" t="str">
        <f ca="1">IFERROR(__xludf.DUMMYFUNCTION("""COMPUTED_VALUE"""),"MI")</f>
        <v>MI</v>
      </c>
      <c r="R1572" s="8" t="str">
        <f ca="1">IFERROR(__xludf.DUMMYFUNCTION("""COMPUTED_VALUE"""),"Elementary")</f>
        <v>Elementary</v>
      </c>
      <c r="S1572" s="8" t="str">
        <f ca="1">IFERROR(__xludf.DUMMYFUNCTION("""COMPUTED_VALUE"""),"Playground")</f>
        <v>Playground</v>
      </c>
      <c r="T1572" s="8" t="str">
        <f ca="1">IFERROR(__xludf.DUMMYFUNCTION("""COMPUTED_VALUE"""),"Outside on School Property")</f>
        <v>Outside on School Property</v>
      </c>
      <c r="U1572" s="8" t="str">
        <f ca="1">IFERROR(__xludf.DUMMYFUNCTION("""COMPUTED_VALUE"""),"No")</f>
        <v>No</v>
      </c>
      <c r="V1572" s="8" t="str">
        <f ca="1">IFERROR(__xludf.DUMMYFUNCTION("""COMPUTED_VALUE"""),"Evening")</f>
        <v>Evening</v>
      </c>
      <c r="W1572" s="11">
        <f ca="1">IFERROR(__xludf.DUMMYFUNCTION("""COMPUTED_VALUE"""),0.833333333333333)</f>
        <v>0.83333333333333304</v>
      </c>
      <c r="X1572" s="8">
        <f ca="1">IFERROR(__xludf.DUMMYFUNCTION("""COMPUTED_VALUE"""),1)</f>
        <v>1</v>
      </c>
      <c r="Y1572" s="12" t="str">
        <f ca="1">IFERROR(__xludf.DUMMYFUNCTION("""COMPUTED_VALUE"""),"Man shot during altercation on school playground")</f>
        <v>Man shot during altercation on school playground</v>
      </c>
      <c r="Z1572" s="12" t="str">
        <f ca="1">IFERROR(__xludf.DUMMYFUNCTION("""COMPUTED_VALUE"""),"Man shot during altercation on school playground")</f>
        <v>Man shot during altercation on school playground</v>
      </c>
      <c r="AA1572" s="8" t="str">
        <f ca="1">IFERROR(__xludf.DUMMYFUNCTION("""COMPUTED_VALUE"""),"Escalation of Dispute")</f>
        <v>Escalation of Dispute</v>
      </c>
      <c r="AB1572" s="8" t="str">
        <f ca="1">IFERROR(__xludf.DUMMYFUNCTION("""COMPUTED_VALUE"""),"Spontaneous")</f>
        <v>Spontaneous</v>
      </c>
      <c r="AC1572" s="8" t="str">
        <f ca="1">IFERROR(__xludf.DUMMYFUNCTION("""COMPUTED_VALUE"""),"No")</f>
        <v>No</v>
      </c>
      <c r="AD1572" s="8" t="str">
        <f ca="1">IFERROR(__xludf.DUMMYFUNCTION("""COMPUTED_VALUE"""),"Victims Targeted")</f>
        <v>Victims Targeted</v>
      </c>
      <c r="AE1572" s="8" t="str">
        <f ca="1">IFERROR(__xludf.DUMMYFUNCTION("""COMPUTED_VALUE"""),"No")</f>
        <v>No</v>
      </c>
      <c r="AF1572" s="8"/>
      <c r="AG1572" s="8" t="str">
        <f ca="1">IFERROR(__xludf.DUMMYFUNCTION("""COMPUTED_VALUE"""),"No")</f>
        <v>No</v>
      </c>
      <c r="AH1572" s="8" t="str">
        <f ca="1">IFERROR(__xludf.DUMMYFUNCTION("""COMPUTED_VALUE"""),"No")</f>
        <v>No</v>
      </c>
      <c r="AI1572" s="8" t="str">
        <f ca="1">IFERROR(__xludf.DUMMYFUNCTION("""COMPUTED_VALUE"""),"No")</f>
        <v>No</v>
      </c>
      <c r="AJ1572" s="8" t="str">
        <f ca="1">IFERROR(__xludf.DUMMYFUNCTION("""COMPUTED_VALUE"""),"No")</f>
        <v>No</v>
      </c>
      <c r="AK1572" s="8" t="str">
        <f ca="1">IFERROR(__xludf.DUMMYFUNCTION("""COMPUTED_VALUE"""),"No")</f>
        <v>No</v>
      </c>
      <c r="AL1572" s="8"/>
      <c r="AM1572" s="8" t="str">
        <f ca="1">IFERROR(__xludf.DUMMYFUNCTION("""COMPUTED_VALUE"""),"No")</f>
        <v>No</v>
      </c>
      <c r="AN1572" s="8" t="str">
        <f ca="1">IFERROR(__xludf.DUMMYFUNCTION("""COMPUTED_VALUE"""),"Outside")</f>
        <v>Outside</v>
      </c>
      <c r="AO1572" s="8" t="str">
        <f ca="1">IFERROR(__xludf.DUMMYFUNCTION("""COMPUTED_VALUE"""),"No")</f>
        <v>No</v>
      </c>
      <c r="AP1572" s="8"/>
      <c r="AQ1572" s="8"/>
      <c r="AR1572" s="8"/>
      <c r="AS1572" s="8">
        <f ca="1">IFERROR(__xludf.DUMMYFUNCTION("""COMPUTED_VALUE"""),99)</f>
        <v>99</v>
      </c>
      <c r="AT1572" s="8"/>
      <c r="AU1572" s="8">
        <f ca="1">IFERROR(__xludf.DUMMYFUNCTION("""COMPUTED_VALUE"""),42.444722)</f>
        <v>42.444721999999999</v>
      </c>
      <c r="AV1572" s="8">
        <f ca="1">IFERROR(__xludf.DUMMYFUNCTION("""COMPUTED_VALUE"""),-82.919032)</f>
        <v>-82.919032000000001</v>
      </c>
      <c r="AW1572" s="8"/>
      <c r="AX1572" s="8">
        <f ca="1">IFERROR(__xludf.DUMMYFUNCTION("""COMPUTED_VALUE"""),48225)</f>
        <v>48225</v>
      </c>
    </row>
    <row r="1573" spans="1:50" ht="75" x14ac:dyDescent="0.2">
      <c r="A1573" s="8" t="str">
        <f ca="1">IFERROR(__xludf.DUMMYFUNCTION("""COMPUTED_VALUE"""),"20191018OHWOT")</f>
        <v>20191018OHWOT</v>
      </c>
      <c r="B1573" s="8">
        <f ca="1">IFERROR(__xludf.DUMMYFUNCTION("""COMPUTED_VALUE"""),10)</f>
        <v>10</v>
      </c>
      <c r="C1573" s="8">
        <f ca="1">IFERROR(__xludf.DUMMYFUNCTION("""COMPUTED_VALUE"""),18)</f>
        <v>18</v>
      </c>
      <c r="D1573" s="8">
        <f ca="1">IFERROR(__xludf.DUMMYFUNCTION("""COMPUTED_VALUE"""),2019)</f>
        <v>2019</v>
      </c>
      <c r="E1573" s="9">
        <f ca="1">IFERROR(__xludf.DUMMYFUNCTION("""COMPUTED_VALUE"""),43756)</f>
        <v>43756</v>
      </c>
      <c r="F1573" s="8" t="str">
        <f ca="1">IFERROR(__xludf.DUMMYFUNCTION("""COMPUTED_VALUE"""),"Woodward High School")</f>
        <v>Woodward High School</v>
      </c>
      <c r="G1573" s="8">
        <f ca="1">IFERROR(__xludf.DUMMYFUNCTION("""COMPUTED_VALUE"""),0)</f>
        <v>0</v>
      </c>
      <c r="H1573" s="8">
        <f ca="1">IFERROR(__xludf.DUMMYFUNCTION("""COMPUTED_VALUE"""),0)</f>
        <v>0</v>
      </c>
      <c r="I1573" s="8">
        <f ca="1">IFERROR(__xludf.DUMMYFUNCTION("""COMPUTED_VALUE"""),0)</f>
        <v>0</v>
      </c>
      <c r="J1573" s="8">
        <f ca="1">IFERROR(__xludf.DUMMYFUNCTION("""COMPUTED_VALUE"""),0)</f>
        <v>0</v>
      </c>
      <c r="K1573" s="10" t="str">
        <f ca="1">IFERROR(__xludf.DUMMYFUNCTION("""COMPUTED_VALUE"""),"https://www.13abc.com/content/news/Shots-fired-at-Woodward-High-School-football-game-against-Rogers-563419051.html")</f>
        <v>https://www.13abc.com/content/news/Shots-fired-at-Woodward-High-School-football-game-against-Rogers-563419051.html</v>
      </c>
      <c r="L1573" s="8"/>
      <c r="M1573" s="8"/>
      <c r="N1573" s="8">
        <f ca="1">IFERROR(__xludf.DUMMYFUNCTION("""COMPUTED_VALUE"""),4)</f>
        <v>4</v>
      </c>
      <c r="O1573" s="8" t="str">
        <f ca="1">IFERROR(__xludf.DUMMYFUNCTION("""COMPUTED_VALUE"""),"Fall")</f>
        <v>Fall</v>
      </c>
      <c r="P1573" s="8" t="str">
        <f ca="1">IFERROR(__xludf.DUMMYFUNCTION("""COMPUTED_VALUE"""),"Toledo")</f>
        <v>Toledo</v>
      </c>
      <c r="Q1573" s="8" t="str">
        <f ca="1">IFERROR(__xludf.DUMMYFUNCTION("""COMPUTED_VALUE"""),"OH")</f>
        <v>OH</v>
      </c>
      <c r="R1573" s="8" t="str">
        <f ca="1">IFERROR(__xludf.DUMMYFUNCTION("""COMPUTED_VALUE"""),"High")</f>
        <v>High</v>
      </c>
      <c r="S1573" s="8" t="str">
        <f ca="1">IFERROR(__xludf.DUMMYFUNCTION("""COMPUTED_VALUE"""),"Football Field/Track")</f>
        <v>Football Field/Track</v>
      </c>
      <c r="T1573" s="8" t="str">
        <f ca="1">IFERROR(__xludf.DUMMYFUNCTION("""COMPUTED_VALUE"""),"Outside on School Property")</f>
        <v>Outside on School Property</v>
      </c>
      <c r="U1573" s="8" t="str">
        <f ca="1">IFERROR(__xludf.DUMMYFUNCTION("""COMPUTED_VALUE"""),"No")</f>
        <v>No</v>
      </c>
      <c r="V1573" s="8" t="str">
        <f ca="1">IFERROR(__xludf.DUMMYFUNCTION("""COMPUTED_VALUE"""),"Sport Event")</f>
        <v>Sport Event</v>
      </c>
      <c r="W1573" s="11">
        <f ca="1">IFERROR(__xludf.DUMMYFUNCTION("""COMPUTED_VALUE"""),0.877777777777777)</f>
        <v>0.87777777777777699</v>
      </c>
      <c r="X1573" s="8">
        <f ca="1">IFERROR(__xludf.DUMMYFUNCTION("""COMPUTED_VALUE"""),1)</f>
        <v>1</v>
      </c>
      <c r="Y1573" s="12" t="str">
        <f ca="1">IFERROR(__xludf.DUMMYFUNCTION("""COMPUTED_VALUE"""),"Shots fired during football game, stadium evacuated")</f>
        <v>Shots fired during football game, stadium evacuated</v>
      </c>
      <c r="Z1573" s="12" t="str">
        <f ca="1">IFERROR(__xludf.DUMMYFUNCTION("""COMPUTED_VALUE"""),"Shots fired during high school football game. Stadium was evacuated and fans sheltered inside school for 30 minutes. Police searched area and found evidence of shots fired on school property but did not identify a suspect. Police officers were assigned to"&amp;" the school during the game.")</f>
        <v>Shots fired during high school football game. Stadium was evacuated and fans sheltered inside school for 30 minutes. Police searched area and found evidence of shots fired on school property but did not identify a suspect. Police officers were assigned to the school during the game.</v>
      </c>
      <c r="AA1573" s="8" t="str">
        <f ca="1">IFERROR(__xludf.DUMMYFUNCTION("""COMPUTED_VALUE"""),"Escalation of Dispute")</f>
        <v>Escalation of Dispute</v>
      </c>
      <c r="AB1573" s="8"/>
      <c r="AC1573" s="8" t="str">
        <f ca="1">IFERROR(__xludf.DUMMYFUNCTION("""COMPUTED_VALUE"""),"Yes")</f>
        <v>Yes</v>
      </c>
      <c r="AD1573" s="8"/>
      <c r="AE1573" s="8"/>
      <c r="AF1573" s="8"/>
      <c r="AG1573" s="8" t="str">
        <f ca="1">IFERROR(__xludf.DUMMYFUNCTION("""COMPUTED_VALUE"""),"No")</f>
        <v>No</v>
      </c>
      <c r="AH1573" s="8" t="str">
        <f ca="1">IFERROR(__xludf.DUMMYFUNCTION("""COMPUTED_VALUE"""),"No")</f>
        <v>No</v>
      </c>
      <c r="AI1573" s="8" t="str">
        <f ca="1">IFERROR(__xludf.DUMMYFUNCTION("""COMPUTED_VALUE"""),"No")</f>
        <v>No</v>
      </c>
      <c r="AJ1573" s="8" t="str">
        <f ca="1">IFERROR(__xludf.DUMMYFUNCTION("""COMPUTED_VALUE"""),"No")</f>
        <v>No</v>
      </c>
      <c r="AK1573" s="8" t="str">
        <f ca="1">IFERROR(__xludf.DUMMYFUNCTION("""COMPUTED_VALUE"""),"No")</f>
        <v>No</v>
      </c>
      <c r="AL1573" s="8"/>
      <c r="AM1573" s="8" t="str">
        <f ca="1">IFERROR(__xludf.DUMMYFUNCTION("""COMPUTED_VALUE"""),"No")</f>
        <v>No</v>
      </c>
      <c r="AN1573" s="8"/>
      <c r="AO1573" s="8" t="str">
        <f ca="1">IFERROR(__xludf.DUMMYFUNCTION("""COMPUTED_VALUE"""),"No")</f>
        <v>No</v>
      </c>
      <c r="AP1573" s="8"/>
      <c r="AQ1573" s="8" t="str">
        <f ca="1">IFERROR(__xludf.DUMMYFUNCTION("""COMPUTED_VALUE"""),"Unknown")</f>
        <v>Unknown</v>
      </c>
      <c r="AR1573" s="8" t="str">
        <f ca="1">IFERROR(__xludf.DUMMYFUNCTION("""COMPUTED_VALUE"""),"NA")</f>
        <v>NA</v>
      </c>
      <c r="AS1573" s="8"/>
      <c r="AT1573" s="8" t="str">
        <f ca="1">IFERROR(__xludf.DUMMYFUNCTION("""COMPUTED_VALUE"""),"Yes")</f>
        <v>Yes</v>
      </c>
      <c r="AU1573" s="8">
        <f ca="1">IFERROR(__xludf.DUMMYFUNCTION("""COMPUTED_VALUE"""),41.679607)</f>
        <v>41.679606999999997</v>
      </c>
      <c r="AV1573" s="8">
        <f ca="1">IFERROR(__xludf.DUMMYFUNCTION("""COMPUTED_VALUE"""),-83.527509)</f>
        <v>-83.527508999999995</v>
      </c>
      <c r="AW1573" s="8"/>
      <c r="AX1573" s="8">
        <f ca="1">IFERROR(__xludf.DUMMYFUNCTION("""COMPUTED_VALUE"""),43608)</f>
        <v>43608</v>
      </c>
    </row>
    <row r="1574" spans="1:50" ht="60" x14ac:dyDescent="0.2">
      <c r="A1574" s="8" t="str">
        <f ca="1">IFERROR(__xludf.DUMMYFUNCTION("""COMPUTED_VALUE"""),"20191018GACRS")</f>
        <v>20191018GACRS</v>
      </c>
      <c r="B1574" s="8">
        <f ca="1">IFERROR(__xludf.DUMMYFUNCTION("""COMPUTED_VALUE"""),10)</f>
        <v>10</v>
      </c>
      <c r="C1574" s="8">
        <f ca="1">IFERROR(__xludf.DUMMYFUNCTION("""COMPUTED_VALUE"""),18)</f>
        <v>18</v>
      </c>
      <c r="D1574" s="8">
        <f ca="1">IFERROR(__xludf.DUMMYFUNCTION("""COMPUTED_VALUE"""),2019)</f>
        <v>2019</v>
      </c>
      <c r="E1574" s="9">
        <f ca="1">IFERROR(__xludf.DUMMYFUNCTION("""COMPUTED_VALUE"""),43756)</f>
        <v>43756</v>
      </c>
      <c r="F1574" s="8" t="str">
        <f ca="1">IFERROR(__xludf.DUMMYFUNCTION("""COMPUTED_VALUE"""),"Creekside High School")</f>
        <v>Creekside High School</v>
      </c>
      <c r="G1574" s="8">
        <f ca="1">IFERROR(__xludf.DUMMYFUNCTION("""COMPUTED_VALUE"""),0)</f>
        <v>0</v>
      </c>
      <c r="H1574" s="8">
        <f ca="1">IFERROR(__xludf.DUMMYFUNCTION("""COMPUTED_VALUE"""),1)</f>
        <v>1</v>
      </c>
      <c r="I1574" s="8">
        <f ca="1">IFERROR(__xludf.DUMMYFUNCTION("""COMPUTED_VALUE"""),1)</f>
        <v>1</v>
      </c>
      <c r="J1574" s="8">
        <f ca="1">IFERROR(__xludf.DUMMYFUNCTION("""COMPUTED_VALUE"""),0)</f>
        <v>0</v>
      </c>
      <c r="K1574" s="8" t="str">
        <f ca="1">IFERROR(__xludf.DUMMYFUNCTION("""COMPUTED_VALUE"""),"https://www.cbs46.com/news/injured-during-shooting-at-creekside-high-school/article_1e550f90-f2af-11e9-9542-3fd4541e21fa.html https://www.11alive.com/article/news/crime/creekside-high-school-shooting-injures-1/85-b29235ce-b924-44f6-9fac-cc0374d99f22")</f>
        <v>https://www.cbs46.com/news/injured-during-shooting-at-creekside-high-school/article_1e550f90-f2af-11e9-9542-3fd4541e21fa.html https://www.11alive.com/article/news/crime/creekside-high-school-shooting-injures-1/85-b29235ce-b924-44f6-9fac-cc0374d99f22</v>
      </c>
      <c r="L1574" s="8"/>
      <c r="M1574" s="8"/>
      <c r="N1574" s="8">
        <f ca="1">IFERROR(__xludf.DUMMYFUNCTION("""COMPUTED_VALUE"""),4)</f>
        <v>4</v>
      </c>
      <c r="O1574" s="8" t="str">
        <f ca="1">IFERROR(__xludf.DUMMYFUNCTION("""COMPUTED_VALUE"""),"Fall")</f>
        <v>Fall</v>
      </c>
      <c r="P1574" s="8" t="str">
        <f ca="1">IFERROR(__xludf.DUMMYFUNCTION("""COMPUTED_VALUE"""),"South Fulton")</f>
        <v>South Fulton</v>
      </c>
      <c r="Q1574" s="8" t="str">
        <f ca="1">IFERROR(__xludf.DUMMYFUNCTION("""COMPUTED_VALUE"""),"GA")</f>
        <v>GA</v>
      </c>
      <c r="R1574" s="8" t="str">
        <f ca="1">IFERROR(__xludf.DUMMYFUNCTION("""COMPUTED_VALUE"""),"High")</f>
        <v>High</v>
      </c>
      <c r="S1574" s="8" t="str">
        <f ca="1">IFERROR(__xludf.DUMMYFUNCTION("""COMPUTED_VALUE"""),"Beside Building")</f>
        <v>Beside Building</v>
      </c>
      <c r="T1574" s="8" t="str">
        <f ca="1">IFERROR(__xludf.DUMMYFUNCTION("""COMPUTED_VALUE"""),"Outside on School Property")</f>
        <v>Outside on School Property</v>
      </c>
      <c r="U1574" s="8" t="str">
        <f ca="1">IFERROR(__xludf.DUMMYFUNCTION("""COMPUTED_VALUE"""),"No")</f>
        <v>No</v>
      </c>
      <c r="V1574" s="8" t="str">
        <f ca="1">IFERROR(__xludf.DUMMYFUNCTION("""COMPUTED_VALUE"""),"Sport Event")</f>
        <v>Sport Event</v>
      </c>
      <c r="W1574" s="11">
        <f ca="1">IFERROR(__xludf.DUMMYFUNCTION("""COMPUTED_VALUE"""),0.916666666666666)</f>
        <v>0.91666666666666596</v>
      </c>
      <c r="X1574" s="8">
        <f ca="1">IFERROR(__xludf.DUMMYFUNCTION("""COMPUTED_VALUE"""),1)</f>
        <v>1</v>
      </c>
      <c r="Y1574" s="12" t="str">
        <f ca="1">IFERROR(__xludf.DUMMYFUNCTION("""COMPUTED_VALUE"""),"Unidentified male shot behind school during football game")</f>
        <v>Unidentified male shot behind school during football game</v>
      </c>
      <c r="Z1574" s="12" t="str">
        <f ca="1">IFERROR(__xludf.DUMMYFUNCTION("""COMPUTED_VALUE"""),"Unidentified man was shot behind the school during a football game. People in the stands heard multiple shots. Police did not identify the victim, suspect, or motive.")</f>
        <v>Unidentified man was shot behind the school during a football game. People in the stands heard multiple shots. Police did not identify the victim, suspect, or motive.</v>
      </c>
      <c r="AA1574" s="8" t="str">
        <f ca="1">IFERROR(__xludf.DUMMYFUNCTION("""COMPUTED_VALUE"""),"Unknown")</f>
        <v>Unknown</v>
      </c>
      <c r="AB1574" s="8"/>
      <c r="AC1574" s="8" t="str">
        <f ca="1">IFERROR(__xludf.DUMMYFUNCTION("""COMPUTED_VALUE"""),"Yes")</f>
        <v>Yes</v>
      </c>
      <c r="AD1574" s="8"/>
      <c r="AE1574" s="8"/>
      <c r="AF1574" s="8"/>
      <c r="AG1574" s="8" t="str">
        <f ca="1">IFERROR(__xludf.DUMMYFUNCTION("""COMPUTED_VALUE"""),"No")</f>
        <v>No</v>
      </c>
      <c r="AH1574" s="8" t="str">
        <f ca="1">IFERROR(__xludf.DUMMYFUNCTION("""COMPUTED_VALUE"""),"No")</f>
        <v>No</v>
      </c>
      <c r="AI1574" s="8" t="str">
        <f ca="1">IFERROR(__xludf.DUMMYFUNCTION("""COMPUTED_VALUE"""),"No")</f>
        <v>No</v>
      </c>
      <c r="AJ1574" s="8"/>
      <c r="AK1574" s="8"/>
      <c r="AL1574" s="8"/>
      <c r="AM1574" s="8" t="str">
        <f ca="1">IFERROR(__xludf.DUMMYFUNCTION("""COMPUTED_VALUE"""),"No")</f>
        <v>No</v>
      </c>
      <c r="AN1574" s="8"/>
      <c r="AO1574" s="8" t="str">
        <f ca="1">IFERROR(__xludf.DUMMYFUNCTION("""COMPUTED_VALUE"""),"No")</f>
        <v>No</v>
      </c>
      <c r="AP1574" s="8"/>
      <c r="AQ1574" s="8" t="str">
        <f ca="1">IFERROR(__xludf.DUMMYFUNCTION("""COMPUTED_VALUE"""),"None")</f>
        <v>None</v>
      </c>
      <c r="AR1574" s="8" t="str">
        <f ca="1">IFERROR(__xludf.DUMMYFUNCTION("""COMPUTED_VALUE"""),"NA")</f>
        <v>NA</v>
      </c>
      <c r="AS1574" s="8" t="str">
        <f ca="1">IFERROR(__xludf.DUMMYFUNCTION("""COMPUTED_VALUE"""),"&lt;10")</f>
        <v>&lt;10</v>
      </c>
      <c r="AT1574" s="8" t="str">
        <f ca="1">IFERROR(__xludf.DUMMYFUNCTION("""COMPUTED_VALUE"""),"No")</f>
        <v>No</v>
      </c>
      <c r="AU1574" s="8">
        <f ca="1">IFERROR(__xludf.DUMMYFUNCTION("""COMPUTED_VALUE"""),33.558427)</f>
        <v>33.558427000000002</v>
      </c>
      <c r="AV1574" s="8">
        <f ca="1">IFERROR(__xludf.DUMMYFUNCTION("""COMPUTED_VALUE"""),-84.628607)</f>
        <v>-84.628607000000002</v>
      </c>
      <c r="AW1574" s="8"/>
      <c r="AX1574" s="8">
        <f ca="1">IFERROR(__xludf.DUMMYFUNCTION("""COMPUTED_VALUE"""),30213)</f>
        <v>30213</v>
      </c>
    </row>
    <row r="1575" spans="1:50" ht="105" x14ac:dyDescent="0.2">
      <c r="A1575" s="8" t="str">
        <f ca="1">IFERROR(__xludf.DUMMYFUNCTION("""COMPUTED_VALUE"""),"20191015LAGEN")</f>
        <v>20191015LAGEN</v>
      </c>
      <c r="B1575" s="8">
        <f ca="1">IFERROR(__xludf.DUMMYFUNCTION("""COMPUTED_VALUE"""),10)</f>
        <v>10</v>
      </c>
      <c r="C1575" s="8">
        <f ca="1">IFERROR(__xludf.DUMMYFUNCTION("""COMPUTED_VALUE"""),15)</f>
        <v>15</v>
      </c>
      <c r="D1575" s="8">
        <f ca="1">IFERROR(__xludf.DUMMYFUNCTION("""COMPUTED_VALUE"""),2019)</f>
        <v>2019</v>
      </c>
      <c r="E1575" s="9">
        <f ca="1">IFERROR(__xludf.DUMMYFUNCTION("""COMPUTED_VALUE"""),43753)</f>
        <v>43753</v>
      </c>
      <c r="F1575" s="8" t="str">
        <f ca="1">IFERROR(__xludf.DUMMYFUNCTION("""COMPUTED_VALUE"""),"George Washington Carver High School")</f>
        <v>George Washington Carver High School</v>
      </c>
      <c r="G1575" s="8">
        <f ca="1">IFERROR(__xludf.DUMMYFUNCTION("""COMPUTED_VALUE"""),0)</f>
        <v>0</v>
      </c>
      <c r="H1575" s="8">
        <f ca="1">IFERROR(__xludf.DUMMYFUNCTION("""COMPUTED_VALUE"""),1)</f>
        <v>1</v>
      </c>
      <c r="I1575" s="8">
        <f ca="1">IFERROR(__xludf.DUMMYFUNCTION("""COMPUTED_VALUE"""),1)</f>
        <v>1</v>
      </c>
      <c r="J1575" s="8">
        <f ca="1">IFERROR(__xludf.DUMMYFUNCTION("""COMPUTED_VALUE"""),0)</f>
        <v>0</v>
      </c>
      <c r="K1575" s="8" t="str">
        <f ca="1">IFERROR(__xludf.DUMMYFUNCTION("""COMPUTED_VALUE"""),"https://www.wdsu.com/article/nopd-investigating-after-juvenile-shot-in-desire-area/29474117# https://wgno.com/2019/10/15/george-washington-carver-high-school-on-lockdown-after-shooting/ https://www.nola.com/news/crime_police/article_f35f77aa-ef5a-11e9-bc2"&amp;"1-4feb94436dd6.html")</f>
        <v>https://www.wdsu.com/article/nopd-investigating-after-juvenile-shot-in-desire-area/29474117# https://wgno.com/2019/10/15/george-washington-carver-high-school-on-lockdown-after-shooting/ https://www.nola.com/news/crime_police/article_f35f77aa-ef5a-11e9-bc21-4feb94436dd6.html</v>
      </c>
      <c r="L1575" s="8"/>
      <c r="M1575" s="8"/>
      <c r="N1575" s="8">
        <f ca="1">IFERROR(__xludf.DUMMYFUNCTION("""COMPUTED_VALUE"""),4)</f>
        <v>4</v>
      </c>
      <c r="O1575" s="8" t="str">
        <f ca="1">IFERROR(__xludf.DUMMYFUNCTION("""COMPUTED_VALUE"""),"Fall")</f>
        <v>Fall</v>
      </c>
      <c r="P1575" s="8" t="str">
        <f ca="1">IFERROR(__xludf.DUMMYFUNCTION("""COMPUTED_VALUE"""),"New Orleans")</f>
        <v>New Orleans</v>
      </c>
      <c r="Q1575" s="8" t="str">
        <f ca="1">IFERROR(__xludf.DUMMYFUNCTION("""COMPUTED_VALUE"""),"LA")</f>
        <v>LA</v>
      </c>
      <c r="R1575" s="8" t="str">
        <f ca="1">IFERROR(__xludf.DUMMYFUNCTION("""COMPUTED_VALUE"""),"High")</f>
        <v>High</v>
      </c>
      <c r="S1575" s="8" t="str">
        <f ca="1">IFERROR(__xludf.DUMMYFUNCTION("""COMPUTED_VALUE"""),"Off School Property")</f>
        <v>Off School Property</v>
      </c>
      <c r="T1575" s="8" t="str">
        <f ca="1">IFERROR(__xludf.DUMMYFUNCTION("""COMPUTED_VALUE"""),"Off School Property")</f>
        <v>Off School Property</v>
      </c>
      <c r="U1575" s="8" t="str">
        <f ca="1">IFERROR(__xludf.DUMMYFUNCTION("""COMPUTED_VALUE"""),"Yes")</f>
        <v>Yes</v>
      </c>
      <c r="V1575" s="8" t="str">
        <f ca="1">IFERROR(__xludf.DUMMYFUNCTION("""COMPUTED_VALUE"""),"Morning Classes")</f>
        <v>Morning Classes</v>
      </c>
      <c r="W1575" s="11">
        <f ca="1">IFERROR(__xludf.DUMMYFUNCTION("""COMPUTED_VALUE"""),0.402777777777777)</f>
        <v>0.40277777777777701</v>
      </c>
      <c r="X1575" s="8">
        <f ca="1">IFERROR(__xludf.DUMMYFUNCTION("""COMPUTED_VALUE"""),1)</f>
        <v>1</v>
      </c>
      <c r="Y1575" s="12" t="str">
        <f ca="1">IFERROR(__xludf.DUMMYFUNCTION("""COMPUTED_VALUE"""),"Student shot near school, ran inside school for assistance, school locked down then dismissed")</f>
        <v>Student shot near school, ran inside school for assistance, school locked down then dismissed</v>
      </c>
      <c r="Z1575" s="12" t="str">
        <f ca="1">IFERROR(__xludf.DUMMYFUNCTION("""COMPUTED_VALUE"""),"17YOM student was shot near the school and ran back inside of the school for assistance. There was an initial report of an active shooter and the school was locked down. Police determined it was an isolated incident, student was transported to hospital, a"&amp;"nd school was dismissed. No motive released. 3 students at the school have been killed by gun violence in the neighborhood so far this school year.")</f>
        <v>17YOM student was shot near the school and ran back inside of the school for assistance. There was an initial report of an active shooter and the school was locked down. Police determined it was an isolated incident, student was transported to hospital, and school was dismissed. No motive released. 3 students at the school have been killed by gun violence in the neighborhood so far this school year.</v>
      </c>
      <c r="AA1575" s="8" t="str">
        <f ca="1">IFERROR(__xludf.DUMMYFUNCTION("""COMPUTED_VALUE"""),"Escalation of Dispute")</f>
        <v>Escalation of Dispute</v>
      </c>
      <c r="AB1575" s="8"/>
      <c r="AC1575" s="8" t="str">
        <f ca="1">IFERROR(__xludf.DUMMYFUNCTION("""COMPUTED_VALUE"""),"Yes")</f>
        <v>Yes</v>
      </c>
      <c r="AD1575" s="8"/>
      <c r="AE1575" s="8"/>
      <c r="AF1575" s="8"/>
      <c r="AG1575" s="8" t="str">
        <f ca="1">IFERROR(__xludf.DUMMYFUNCTION("""COMPUTED_VALUE"""),"No")</f>
        <v>No</v>
      </c>
      <c r="AH1575" s="8" t="str">
        <f ca="1">IFERROR(__xludf.DUMMYFUNCTION("""COMPUTED_VALUE"""),"No")</f>
        <v>No</v>
      </c>
      <c r="AI1575" s="8" t="str">
        <f ca="1">IFERROR(__xludf.DUMMYFUNCTION("""COMPUTED_VALUE"""),"No")</f>
        <v>No</v>
      </c>
      <c r="AJ1575" s="8" t="str">
        <f ca="1">IFERROR(__xludf.DUMMYFUNCTION("""COMPUTED_VALUE"""),"No")</f>
        <v>No</v>
      </c>
      <c r="AK1575" s="8" t="str">
        <f ca="1">IFERROR(__xludf.DUMMYFUNCTION("""COMPUTED_VALUE"""),"No")</f>
        <v>No</v>
      </c>
      <c r="AL1575" s="8"/>
      <c r="AM1575" s="8" t="str">
        <f ca="1">IFERROR(__xludf.DUMMYFUNCTION("""COMPUTED_VALUE"""),"No")</f>
        <v>No</v>
      </c>
      <c r="AN1575" s="8"/>
      <c r="AO1575" s="8" t="str">
        <f ca="1">IFERROR(__xludf.DUMMYFUNCTION("""COMPUTED_VALUE"""),"No")</f>
        <v>No</v>
      </c>
      <c r="AP1575" s="8"/>
      <c r="AQ1575" s="8" t="str">
        <f ca="1">IFERROR(__xludf.DUMMYFUNCTION("""COMPUTED_VALUE"""),"Unknown")</f>
        <v>Unknown</v>
      </c>
      <c r="AR1575" s="8" t="str">
        <f ca="1">IFERROR(__xludf.DUMMYFUNCTION("""COMPUTED_VALUE"""),"NA")</f>
        <v>NA</v>
      </c>
      <c r="AS1575" s="8"/>
      <c r="AT1575" s="8" t="str">
        <f ca="1">IFERROR(__xludf.DUMMYFUNCTION("""COMPUTED_VALUE"""),"Yes")</f>
        <v>Yes</v>
      </c>
      <c r="AU1575" s="8">
        <f ca="1">IFERROR(__xludf.DUMMYFUNCTION("""COMPUTED_VALUE"""),29.994486)</f>
        <v>29.994485999999998</v>
      </c>
      <c r="AV1575" s="8">
        <f ca="1">IFERROR(__xludf.DUMMYFUNCTION("""COMPUTED_VALUE"""),-90.037516)</f>
        <v>-90.037515999999997</v>
      </c>
      <c r="AW1575" s="8"/>
      <c r="AX1575" s="8">
        <f ca="1">IFERROR(__xludf.DUMMYFUNCTION("""COMPUTED_VALUE"""),70126)</f>
        <v>70126</v>
      </c>
    </row>
    <row r="1576" spans="1:50" ht="45" x14ac:dyDescent="0.2">
      <c r="A1576" s="8" t="str">
        <f ca="1">IFERROR(__xludf.DUMMYFUNCTION("""COMPUTED_VALUE"""),"20191011LARAR")</f>
        <v>20191011LARAR</v>
      </c>
      <c r="B1576" s="8">
        <f ca="1">IFERROR(__xludf.DUMMYFUNCTION("""COMPUTED_VALUE"""),10)</f>
        <v>10</v>
      </c>
      <c r="C1576" s="8">
        <f ca="1">IFERROR(__xludf.DUMMYFUNCTION("""COMPUTED_VALUE"""),11)</f>
        <v>11</v>
      </c>
      <c r="D1576" s="8">
        <f ca="1">IFERROR(__xludf.DUMMYFUNCTION("""COMPUTED_VALUE"""),2019)</f>
        <v>2019</v>
      </c>
      <c r="E1576" s="9">
        <f ca="1">IFERROR(__xludf.DUMMYFUNCTION("""COMPUTED_VALUE"""),43749)</f>
        <v>43749</v>
      </c>
      <c r="F1576" s="8" t="str">
        <f ca="1">IFERROR(__xludf.DUMMYFUNCTION("""COMPUTED_VALUE"""),"Rayne High School")</f>
        <v>Rayne High School</v>
      </c>
      <c r="G1576" s="8">
        <f ca="1">IFERROR(__xludf.DUMMYFUNCTION("""COMPUTED_VALUE"""),0)</f>
        <v>0</v>
      </c>
      <c r="H1576" s="8">
        <f ca="1">IFERROR(__xludf.DUMMYFUNCTION("""COMPUTED_VALUE"""),0)</f>
        <v>0</v>
      </c>
      <c r="I1576" s="8">
        <f ca="1">IFERROR(__xludf.DUMMYFUNCTION("""COMPUTED_VALUE"""),0)</f>
        <v>0</v>
      </c>
      <c r="J1576" s="8">
        <f ca="1">IFERROR(__xludf.DUMMYFUNCTION("""COMPUTED_VALUE"""),0)</f>
        <v>0</v>
      </c>
      <c r="K1576" s="10" t="str">
        <f ca="1">IFERROR(__xludf.DUMMYFUNCTION("""COMPUTED_VALUE"""),"https://www.katc.com/news/acadia-parish/police-confirm-arrest-of-second-suspect-in-shooting-near-rayne-hs-stadium")</f>
        <v>https://www.katc.com/news/acadia-parish/police-confirm-arrest-of-second-suspect-in-shooting-near-rayne-hs-stadium</v>
      </c>
      <c r="L1576" s="8"/>
      <c r="M1576" s="8"/>
      <c r="N1576" s="8">
        <f ca="1">IFERROR(__xludf.DUMMYFUNCTION("""COMPUTED_VALUE"""),4)</f>
        <v>4</v>
      </c>
      <c r="O1576" s="8" t="str">
        <f ca="1">IFERROR(__xludf.DUMMYFUNCTION("""COMPUTED_VALUE"""),"Fall")</f>
        <v>Fall</v>
      </c>
      <c r="P1576" s="8" t="str">
        <f ca="1">IFERROR(__xludf.DUMMYFUNCTION("""COMPUTED_VALUE"""),"Rayne")</f>
        <v>Rayne</v>
      </c>
      <c r="Q1576" s="8" t="str">
        <f ca="1">IFERROR(__xludf.DUMMYFUNCTION("""COMPUTED_VALUE"""),"LA")</f>
        <v>LA</v>
      </c>
      <c r="R1576" s="8" t="str">
        <f ca="1">IFERROR(__xludf.DUMMYFUNCTION("""COMPUTED_VALUE"""),"High")</f>
        <v>High</v>
      </c>
      <c r="S1576" s="8" t="str">
        <f ca="1">IFERROR(__xludf.DUMMYFUNCTION("""COMPUTED_VALUE"""),"Parking Lot")</f>
        <v>Parking Lot</v>
      </c>
      <c r="T1576" s="8" t="str">
        <f ca="1">IFERROR(__xludf.DUMMYFUNCTION("""COMPUTED_VALUE"""),"Outside on School Property")</f>
        <v>Outside on School Property</v>
      </c>
      <c r="U1576" s="8" t="str">
        <f ca="1">IFERROR(__xludf.DUMMYFUNCTION("""COMPUTED_VALUE"""),"No")</f>
        <v>No</v>
      </c>
      <c r="V1576" s="8" t="str">
        <f ca="1">IFERROR(__xludf.DUMMYFUNCTION("""COMPUTED_VALUE"""),"Sport Event")</f>
        <v>Sport Event</v>
      </c>
      <c r="W1576" s="11">
        <f ca="1">IFERROR(__xludf.DUMMYFUNCTION("""COMPUTED_VALUE"""),0.875)</f>
        <v>0.875</v>
      </c>
      <c r="X1576" s="8">
        <f ca="1">IFERROR(__xludf.DUMMYFUNCTION("""COMPUTED_VALUE"""),1)</f>
        <v>1</v>
      </c>
      <c r="Y1576" s="12" t="str">
        <f ca="1">IFERROR(__xludf.DUMMYFUNCTION("""COMPUTED_VALUE"""),"20 shots fired in parking lot after football game")</f>
        <v>20 shots fired in parking lot after football game</v>
      </c>
      <c r="Z1576" s="12" t="str">
        <f ca="1">IFERROR(__xludf.DUMMYFUNCTION("""COMPUTED_VALUE"""),"15YOM fired 20 shots in the school parking lot following a high school football game. Two other suspects arrested for involvement.")</f>
        <v>15YOM fired 20 shots in the school parking lot following a high school football game. Two other suspects arrested for involvement.</v>
      </c>
      <c r="AA1576" s="8" t="str">
        <f ca="1">IFERROR(__xludf.DUMMYFUNCTION("""COMPUTED_VALUE"""),"Indiscriminate Shooting")</f>
        <v>Indiscriminate Shooting</v>
      </c>
      <c r="AB1576" s="8"/>
      <c r="AC1576" s="8" t="str">
        <f ca="1">IFERROR(__xludf.DUMMYFUNCTION("""COMPUTED_VALUE"""),"Yes")</f>
        <v>Yes</v>
      </c>
      <c r="AD1576" s="8" t="str">
        <f ca="1">IFERROR(__xludf.DUMMYFUNCTION("""COMPUTED_VALUE"""),"Victims Targeted")</f>
        <v>Victims Targeted</v>
      </c>
      <c r="AE1576" s="8" t="str">
        <f ca="1">IFERROR(__xludf.DUMMYFUNCTION("""COMPUTED_VALUE"""),"Yes")</f>
        <v>Yes</v>
      </c>
      <c r="AF1576" s="8" t="str">
        <f ca="1">IFERROR(__xludf.DUMMYFUNCTION("""COMPUTED_VALUE"""),"3 arrested and charged")</f>
        <v>3 arrested and charged</v>
      </c>
      <c r="AG1576" s="8" t="str">
        <f ca="1">IFERROR(__xludf.DUMMYFUNCTION("""COMPUTED_VALUE"""),"No")</f>
        <v>No</v>
      </c>
      <c r="AH1576" s="8" t="str">
        <f ca="1">IFERROR(__xludf.DUMMYFUNCTION("""COMPUTED_VALUE"""),"No")</f>
        <v>No</v>
      </c>
      <c r="AI1576" s="8" t="str">
        <f ca="1">IFERROR(__xludf.DUMMYFUNCTION("""COMPUTED_VALUE"""),"No")</f>
        <v>No</v>
      </c>
      <c r="AJ1576" s="8" t="str">
        <f ca="1">IFERROR(__xludf.DUMMYFUNCTION("""COMPUTED_VALUE"""),"No")</f>
        <v>No</v>
      </c>
      <c r="AK1576" s="8" t="str">
        <f ca="1">IFERROR(__xludf.DUMMYFUNCTION("""COMPUTED_VALUE"""),"No")</f>
        <v>No</v>
      </c>
      <c r="AL1576" s="8" t="str">
        <f ca="1">IFERROR(__xludf.DUMMYFUNCTION("""COMPUTED_VALUE"""),"No")</f>
        <v>No</v>
      </c>
      <c r="AM1576" s="8" t="str">
        <f ca="1">IFERROR(__xludf.DUMMYFUNCTION("""COMPUTED_VALUE"""),"No")</f>
        <v>No</v>
      </c>
      <c r="AN1576" s="8"/>
      <c r="AO1576" s="8" t="str">
        <f ca="1">IFERROR(__xludf.DUMMYFUNCTION("""COMPUTED_VALUE"""),"No")</f>
        <v>No</v>
      </c>
      <c r="AP1576" s="8"/>
      <c r="AQ1576" s="8" t="str">
        <f ca="1">IFERROR(__xludf.DUMMYFUNCTION("""COMPUTED_VALUE"""),"Unknown")</f>
        <v>Unknown</v>
      </c>
      <c r="AR1576" s="8" t="str">
        <f ca="1">IFERROR(__xludf.DUMMYFUNCTION("""COMPUTED_VALUE"""),"NA")</f>
        <v>NA</v>
      </c>
      <c r="AS1576" s="8">
        <f ca="1">IFERROR(__xludf.DUMMYFUNCTION("""COMPUTED_VALUE"""),20)</f>
        <v>20</v>
      </c>
      <c r="AT1576" s="8"/>
      <c r="AU1576" s="8">
        <f ca="1">IFERROR(__xludf.DUMMYFUNCTION("""COMPUTED_VALUE"""),30.247728)</f>
        <v>30.247727999999999</v>
      </c>
      <c r="AV1576" s="8">
        <f ca="1">IFERROR(__xludf.DUMMYFUNCTION("""COMPUTED_VALUE"""),-92.265895)</f>
        <v>-92.265895</v>
      </c>
      <c r="AW1576" s="8"/>
      <c r="AX1576" s="8">
        <f ca="1">IFERROR(__xludf.DUMMYFUNCTION("""COMPUTED_VALUE"""),70578)</f>
        <v>70578</v>
      </c>
    </row>
    <row r="1577" spans="1:50" ht="90" x14ac:dyDescent="0.2">
      <c r="A1577" s="8" t="str">
        <f ca="1">IFERROR(__xludf.DUMMYFUNCTION("""COMPUTED_VALUE"""),"20191009MAGRL")</f>
        <v>20191009MAGRL</v>
      </c>
      <c r="B1577" s="8">
        <f ca="1">IFERROR(__xludf.DUMMYFUNCTION("""COMPUTED_VALUE"""),10)</f>
        <v>10</v>
      </c>
      <c r="C1577" s="8">
        <f ca="1">IFERROR(__xludf.DUMMYFUNCTION("""COMPUTED_VALUE"""),9)</f>
        <v>9</v>
      </c>
      <c r="D1577" s="8">
        <f ca="1">IFERROR(__xludf.DUMMYFUNCTION("""COMPUTED_VALUE"""),2019)</f>
        <v>2019</v>
      </c>
      <c r="E1577" s="9">
        <f ca="1">IFERROR(__xludf.DUMMYFUNCTION("""COMPUTED_VALUE"""),43747)</f>
        <v>43747</v>
      </c>
      <c r="F1577" s="8" t="str">
        <f ca="1">IFERROR(__xludf.DUMMYFUNCTION("""COMPUTED_VALUE"""),"Greenhalge Elementary School")</f>
        <v>Greenhalge Elementary School</v>
      </c>
      <c r="G1577" s="8">
        <f ca="1">IFERROR(__xludf.DUMMYFUNCTION("""COMPUTED_VALUE"""),0)</f>
        <v>0</v>
      </c>
      <c r="H1577" s="8">
        <f ca="1">IFERROR(__xludf.DUMMYFUNCTION("""COMPUTED_VALUE"""),5)</f>
        <v>5</v>
      </c>
      <c r="I1577" s="8">
        <f ca="1">IFERROR(__xludf.DUMMYFUNCTION("""COMPUTED_VALUE"""),5)</f>
        <v>5</v>
      </c>
      <c r="J1577" s="8">
        <f ca="1">IFERROR(__xludf.DUMMYFUNCTION("""COMPUTED_VALUE"""),0)</f>
        <v>0</v>
      </c>
      <c r="K1577" s="8" t="str">
        <f ca="1">IFERROR(__xludf.DUMMYFUNCTION("""COMPUTED_VALUE"""),"https://www.nbcboston.com/news/local/Police-ID-3-Kids-From-Lowell-School-Playground-BB-Gun-Shooting-562856251.html https://www.wcvb.com/article/students-shot-with-bb-guns-at-greenhalge-elementary-school-playground-lowell-police-say/29419440")</f>
        <v>https://www.nbcboston.com/news/local/Police-ID-3-Kids-From-Lowell-School-Playground-BB-Gun-Shooting-562856251.html https://www.wcvb.com/article/students-shot-with-bb-guns-at-greenhalge-elementary-school-playground-lowell-police-say/29419440</v>
      </c>
      <c r="L1577" s="8"/>
      <c r="M1577" s="8"/>
      <c r="N1577" s="8">
        <f ca="1">IFERROR(__xludf.DUMMYFUNCTION("""COMPUTED_VALUE"""),4)</f>
        <v>4</v>
      </c>
      <c r="O1577" s="8" t="str">
        <f ca="1">IFERROR(__xludf.DUMMYFUNCTION("""COMPUTED_VALUE"""),"Fall")</f>
        <v>Fall</v>
      </c>
      <c r="P1577" s="8" t="str">
        <f ca="1">IFERROR(__xludf.DUMMYFUNCTION("""COMPUTED_VALUE"""),"Lowell")</f>
        <v>Lowell</v>
      </c>
      <c r="Q1577" s="8" t="str">
        <f ca="1">IFERROR(__xludf.DUMMYFUNCTION("""COMPUTED_VALUE"""),"MA")</f>
        <v>MA</v>
      </c>
      <c r="R1577" s="8" t="str">
        <f ca="1">IFERROR(__xludf.DUMMYFUNCTION("""COMPUTED_VALUE"""),"Elementary")</f>
        <v>Elementary</v>
      </c>
      <c r="S1577" s="8" t="str">
        <f ca="1">IFERROR(__xludf.DUMMYFUNCTION("""COMPUTED_VALUE"""),"Playground")</f>
        <v>Playground</v>
      </c>
      <c r="T1577" s="8" t="str">
        <f ca="1">IFERROR(__xludf.DUMMYFUNCTION("""COMPUTED_VALUE"""),"Outside on School Property")</f>
        <v>Outside on School Property</v>
      </c>
      <c r="U1577" s="8" t="str">
        <f ca="1">IFERROR(__xludf.DUMMYFUNCTION("""COMPUTED_VALUE"""),"No")</f>
        <v>No</v>
      </c>
      <c r="V1577" s="8" t="str">
        <f ca="1">IFERROR(__xludf.DUMMYFUNCTION("""COMPUTED_VALUE"""),"After School")</f>
        <v>After School</v>
      </c>
      <c r="W1577" s="11">
        <f ca="1">IFERROR(__xludf.DUMMYFUNCTION("""COMPUTED_VALUE"""),0.565277777777777)</f>
        <v>0.56527777777777699</v>
      </c>
      <c r="X1577" s="8"/>
      <c r="Y1577" s="12" t="str">
        <f ca="1">IFERROR(__xludf.DUMMYFUNCTION("""COMPUTED_VALUE"""),"Three teens on bicycles fired bb guns at the students on the playground.")</f>
        <v>Three teens on bicycles fired bb guns at the students on the playground.</v>
      </c>
      <c r="Z1577" s="12" t="str">
        <f ca="1">IFERROR(__xludf.DUMMYFUNCTION("""COMPUTED_VALUE"""),"12YOM and two 11YOM students on bicycles fired BB guns indiscriminately at the students on the school playground. 5 students were injured and 2 were taken by ambulance to the hospital. 12YOM was arrested, 11YOMs cannot be charged with a crime under state "&amp;"law. Details and motive of the shooting unknown.")</f>
        <v>12YOM and two 11YOM students on bicycles fired BB guns indiscriminately at the students on the school playground. 5 students were injured and 2 were taken by ambulance to the hospital. 12YOM was arrested, 11YOMs cannot be charged with a crime under state law. Details and motive of the shooting unknown.</v>
      </c>
      <c r="AA1577" s="8" t="str">
        <f ca="1">IFERROR(__xludf.DUMMYFUNCTION("""COMPUTED_VALUE"""),"Indiscriminate Shooting")</f>
        <v>Indiscriminate Shooting</v>
      </c>
      <c r="AB1577" s="8"/>
      <c r="AC1577" s="8" t="str">
        <f ca="1">IFERROR(__xludf.DUMMYFUNCTION("""COMPUTED_VALUE"""),"Yes")</f>
        <v>Yes</v>
      </c>
      <c r="AD1577" s="8" t="str">
        <f ca="1">IFERROR(__xludf.DUMMYFUNCTION("""COMPUTED_VALUE"""),"Random Shooting")</f>
        <v>Random Shooting</v>
      </c>
      <c r="AE1577" s="8" t="str">
        <f ca="1">IFERROR(__xludf.DUMMYFUNCTION("""COMPUTED_VALUE"""),"Yes")</f>
        <v>Yes</v>
      </c>
      <c r="AF1577" s="8" t="str">
        <f ca="1">IFERROR(__xludf.DUMMYFUNCTION("""COMPUTED_VALUE"""),"3 teens involved, 2 had bb guns")</f>
        <v>3 teens involved, 2 had bb guns</v>
      </c>
      <c r="AG1577" s="8" t="str">
        <f ca="1">IFERROR(__xludf.DUMMYFUNCTION("""COMPUTED_VALUE"""),"No")</f>
        <v>No</v>
      </c>
      <c r="AH1577" s="8" t="str">
        <f ca="1">IFERROR(__xludf.DUMMYFUNCTION("""COMPUTED_VALUE"""),"No")</f>
        <v>No</v>
      </c>
      <c r="AI1577" s="8" t="str">
        <f ca="1">IFERROR(__xludf.DUMMYFUNCTION("""COMPUTED_VALUE"""),"No")</f>
        <v>No</v>
      </c>
      <c r="AJ1577" s="8"/>
      <c r="AK1577" s="8" t="str">
        <f ca="1">IFERROR(__xludf.DUMMYFUNCTION("""COMPUTED_VALUE"""),"No")</f>
        <v>No</v>
      </c>
      <c r="AL1577" s="8" t="str">
        <f ca="1">IFERROR(__xludf.DUMMYFUNCTION("""COMPUTED_VALUE"""),"No")</f>
        <v>No</v>
      </c>
      <c r="AM1577" s="8" t="str">
        <f ca="1">IFERROR(__xludf.DUMMYFUNCTION("""COMPUTED_VALUE"""),"No")</f>
        <v>No</v>
      </c>
      <c r="AN1577" s="8"/>
      <c r="AO1577" s="8" t="str">
        <f ca="1">IFERROR(__xludf.DUMMYFUNCTION("""COMPUTED_VALUE"""),"No")</f>
        <v>No</v>
      </c>
      <c r="AP1577" s="8" t="str">
        <f ca="1">IFERROR(__xludf.DUMMYFUNCTION("""COMPUTED_VALUE"""),"No")</f>
        <v>No</v>
      </c>
      <c r="AQ1577" s="8" t="str">
        <f ca="1">IFERROR(__xludf.DUMMYFUNCTION("""COMPUTED_VALUE"""),"None")</f>
        <v>None</v>
      </c>
      <c r="AR1577" s="8" t="str">
        <f ca="1">IFERROR(__xludf.DUMMYFUNCTION("""COMPUTED_VALUE"""),"NA")</f>
        <v>NA</v>
      </c>
      <c r="AS1577" s="8"/>
      <c r="AT1577" s="8"/>
      <c r="AU1577" s="8">
        <f ca="1">IFERROR(__xludf.DUMMYFUNCTION("""COMPUTED_VALUE"""),42.657289)</f>
        <v>42.657288999999999</v>
      </c>
      <c r="AV1577" s="8">
        <f ca="1">IFERROR(__xludf.DUMMYFUNCTION("""COMPUTED_VALUE"""),-71.308972)</f>
        <v>-71.308971999999997</v>
      </c>
      <c r="AW1577" s="8"/>
      <c r="AX1577" s="8">
        <f ca="1">IFERROR(__xludf.DUMMYFUNCTION("""COMPUTED_VALUE"""),1850)</f>
        <v>1850</v>
      </c>
    </row>
    <row r="1578" spans="1:50" ht="45" x14ac:dyDescent="0.2">
      <c r="A1578" s="8" t="str">
        <f ca="1">IFERROR(__xludf.DUMMYFUNCTION("""COMPUTED_VALUE"""),"20191008TXWEH")</f>
        <v>20191008TXWEH</v>
      </c>
      <c r="B1578" s="8">
        <f ca="1">IFERROR(__xludf.DUMMYFUNCTION("""COMPUTED_VALUE"""),10)</f>
        <v>10</v>
      </c>
      <c r="C1578" s="8">
        <f ca="1">IFERROR(__xludf.DUMMYFUNCTION("""COMPUTED_VALUE"""),8)</f>
        <v>8</v>
      </c>
      <c r="D1578" s="8">
        <f ca="1">IFERROR(__xludf.DUMMYFUNCTION("""COMPUTED_VALUE"""),2019)</f>
        <v>2019</v>
      </c>
      <c r="E1578" s="9">
        <f ca="1">IFERROR(__xludf.DUMMYFUNCTION("""COMPUTED_VALUE"""),43746)</f>
        <v>43746</v>
      </c>
      <c r="F1578" s="8" t="str">
        <f ca="1">IFERROR(__xludf.DUMMYFUNCTION("""COMPUTED_VALUE"""),"Westbury High School")</f>
        <v>Westbury High School</v>
      </c>
      <c r="G1578" s="8">
        <f ca="1">IFERROR(__xludf.DUMMYFUNCTION("""COMPUTED_VALUE"""),0)</f>
        <v>0</v>
      </c>
      <c r="H1578" s="8">
        <f ca="1">IFERROR(__xludf.DUMMYFUNCTION("""COMPUTED_VALUE"""),1)</f>
        <v>1</v>
      </c>
      <c r="I1578" s="8">
        <f ca="1">IFERROR(__xludf.DUMMYFUNCTION("""COMPUTED_VALUE"""),1)</f>
        <v>1</v>
      </c>
      <c r="J1578" s="8">
        <f ca="1">IFERROR(__xludf.DUMMYFUNCTION("""COMPUTED_VALUE"""),0)</f>
        <v>0</v>
      </c>
      <c r="K1578" s="8" t="str">
        <f ca="1">IFERROR(__xludf.DUMMYFUNCTION("""COMPUTED_VALUE"""),"https://abc13.com/student-recovering-after-shooting-at-westbury-high-school/5608873/ https://www.chron.com/news/education/article/Westbury-High-student-injured-by-gunshot-on-campus-14506714.php")</f>
        <v>https://abc13.com/student-recovering-after-shooting-at-westbury-high-school/5608873/ https://www.chron.com/news/education/article/Westbury-High-student-injured-by-gunshot-on-campus-14506714.php</v>
      </c>
      <c r="L1578" s="8"/>
      <c r="M1578" s="8"/>
      <c r="N1578" s="8">
        <f ca="1">IFERROR(__xludf.DUMMYFUNCTION("""COMPUTED_VALUE"""),4)</f>
        <v>4</v>
      </c>
      <c r="O1578" s="8" t="str">
        <f ca="1">IFERROR(__xludf.DUMMYFUNCTION("""COMPUTED_VALUE"""),"Fall")</f>
        <v>Fall</v>
      </c>
      <c r="P1578" s="8" t="str">
        <f ca="1">IFERROR(__xludf.DUMMYFUNCTION("""COMPUTED_VALUE"""),"Houston")</f>
        <v>Houston</v>
      </c>
      <c r="Q1578" s="8" t="str">
        <f ca="1">IFERROR(__xludf.DUMMYFUNCTION("""COMPUTED_VALUE"""),"TX")</f>
        <v>TX</v>
      </c>
      <c r="R1578" s="8" t="str">
        <f ca="1">IFERROR(__xludf.DUMMYFUNCTION("""COMPUTED_VALUE"""),"High")</f>
        <v>High</v>
      </c>
      <c r="S1578" s="8" t="str">
        <f ca="1">IFERROR(__xludf.DUMMYFUNCTION("""COMPUTED_VALUE"""),"Beside Building")</f>
        <v>Beside Building</v>
      </c>
      <c r="T1578" s="8"/>
      <c r="U1578" s="8" t="str">
        <f ca="1">IFERROR(__xludf.DUMMYFUNCTION("""COMPUTED_VALUE"""),"No")</f>
        <v>No</v>
      </c>
      <c r="V1578" s="8" t="str">
        <f ca="1">IFERROR(__xludf.DUMMYFUNCTION("""COMPUTED_VALUE"""),"After School")</f>
        <v>After School</v>
      </c>
      <c r="W1578" s="8"/>
      <c r="X1578" s="8"/>
      <c r="Y1578" s="12" t="str">
        <f ca="1">IFERROR(__xludf.DUMMYFUNCTION("""COMPUTED_VALUE"""),"Student shot in school, no details released")</f>
        <v>Student shot in school, no details released</v>
      </c>
      <c r="Z1578" s="12" t="str">
        <f ca="1">IFERROR(__xludf.DUMMYFUNCTION("""COMPUTED_VALUE"""),"Unidentified student shot after school dismissed. No other details released.")</f>
        <v>Unidentified student shot after school dismissed. No other details released.</v>
      </c>
      <c r="AA1578" s="8" t="str">
        <f ca="1">IFERROR(__xludf.DUMMYFUNCTION("""COMPUTED_VALUE"""),"Unknown")</f>
        <v>Unknown</v>
      </c>
      <c r="AB1578" s="8"/>
      <c r="AC1578" s="8" t="str">
        <f ca="1">IFERROR(__xludf.DUMMYFUNCTION("""COMPUTED_VALUE"""),"Yes")</f>
        <v>Yes</v>
      </c>
      <c r="AD1578" s="8"/>
      <c r="AE1578" s="8" t="str">
        <f ca="1">IFERROR(__xludf.DUMMYFUNCTION("""COMPUTED_VALUE"""),"No")</f>
        <v>No</v>
      </c>
      <c r="AF1578" s="8"/>
      <c r="AG1578" s="8" t="str">
        <f ca="1">IFERROR(__xludf.DUMMYFUNCTION("""COMPUTED_VALUE"""),"No")</f>
        <v>No</v>
      </c>
      <c r="AH1578" s="8" t="str">
        <f ca="1">IFERROR(__xludf.DUMMYFUNCTION("""COMPUTED_VALUE"""),"No")</f>
        <v>No</v>
      </c>
      <c r="AI1578" s="8" t="str">
        <f ca="1">IFERROR(__xludf.DUMMYFUNCTION("""COMPUTED_VALUE"""),"No")</f>
        <v>No</v>
      </c>
      <c r="AJ1578" s="8"/>
      <c r="AK1578" s="8"/>
      <c r="AL1578" s="8"/>
      <c r="AM1578" s="8" t="str">
        <f ca="1">IFERROR(__xludf.DUMMYFUNCTION("""COMPUTED_VALUE"""),"No")</f>
        <v>No</v>
      </c>
      <c r="AN1578" s="8"/>
      <c r="AO1578" s="8"/>
      <c r="AP1578" s="8"/>
      <c r="AQ1578" s="8" t="str">
        <f ca="1">IFERROR(__xludf.DUMMYFUNCTION("""COMPUTED_VALUE"""),"Unknown")</f>
        <v>Unknown</v>
      </c>
      <c r="AR1578" s="8" t="str">
        <f ca="1">IFERROR(__xludf.DUMMYFUNCTION("""COMPUTED_VALUE"""),"NA")</f>
        <v>NA</v>
      </c>
      <c r="AS1578" s="8"/>
      <c r="AT1578" s="8"/>
      <c r="AU1578" s="8">
        <f ca="1">IFERROR(__xludf.DUMMYFUNCTION("""COMPUTED_VALUE"""),29.650131)</f>
        <v>29.650130999999998</v>
      </c>
      <c r="AV1578" s="8">
        <f ca="1">IFERROR(__xludf.DUMMYFUNCTION("""COMPUTED_VALUE"""),-95.480617)</f>
        <v>-95.480616999999995</v>
      </c>
      <c r="AW1578" s="8"/>
      <c r="AX1578" s="8">
        <f ca="1">IFERROR(__xludf.DUMMYFUNCTION("""COMPUTED_VALUE"""),77035)</f>
        <v>77035</v>
      </c>
    </row>
    <row r="1579" spans="1:50" ht="90" x14ac:dyDescent="0.2">
      <c r="A1579" s="8" t="str">
        <f ca="1">IFERROR(__xludf.DUMMYFUNCTION("""COMPUTED_VALUE"""),"20191008COSHS")</f>
        <v>20191008COSHS</v>
      </c>
      <c r="B1579" s="8">
        <f ca="1">IFERROR(__xludf.DUMMYFUNCTION("""COMPUTED_VALUE"""),10)</f>
        <v>10</v>
      </c>
      <c r="C1579" s="8">
        <f ca="1">IFERROR(__xludf.DUMMYFUNCTION("""COMPUTED_VALUE"""),8)</f>
        <v>8</v>
      </c>
      <c r="D1579" s="8">
        <f ca="1">IFERROR(__xludf.DUMMYFUNCTION("""COMPUTED_VALUE"""),2019)</f>
        <v>2019</v>
      </c>
      <c r="E1579" s="9">
        <f ca="1">IFERROR(__xludf.DUMMYFUNCTION("""COMPUTED_VALUE"""),43746)</f>
        <v>43746</v>
      </c>
      <c r="F1579" s="8" t="str">
        <f ca="1">IFERROR(__xludf.DUMMYFUNCTION("""COMPUTED_VALUE"""),"Sheridan High School")</f>
        <v>Sheridan High School</v>
      </c>
      <c r="G1579" s="8">
        <f ca="1">IFERROR(__xludf.DUMMYFUNCTION("""COMPUTED_VALUE"""),0)</f>
        <v>0</v>
      </c>
      <c r="H1579" s="8">
        <f ca="1">IFERROR(__xludf.DUMMYFUNCTION("""COMPUTED_VALUE"""),1)</f>
        <v>1</v>
      </c>
      <c r="I1579" s="8">
        <f ca="1">IFERROR(__xludf.DUMMYFUNCTION("""COMPUTED_VALUE"""),1)</f>
        <v>1</v>
      </c>
      <c r="J1579" s="8">
        <f ca="1">IFERROR(__xludf.DUMMYFUNCTION("""COMPUTED_VALUE"""),0)</f>
        <v>0</v>
      </c>
      <c r="K1579" s="8" t="str">
        <f ca="1">IFERROR(__xludf.DUMMYFUNCTION("""COMPUTED_VALUE"""),"https://www.westword.com/news/sheridan-high-school-shooting-update-11507354 https://denver.cbslocal.com/2019/10/08/teenager-shot-outside-sheridan-high-school/ https://kdvr.com/2019/10/10/teen-suspect-in-sheridan-high-school-shooting-surrenders/")</f>
        <v>https://www.westword.com/news/sheridan-high-school-shooting-update-11507354 https://denver.cbslocal.com/2019/10/08/teenager-shot-outside-sheridan-high-school/ https://kdvr.com/2019/10/10/teen-suspect-in-sheridan-high-school-shooting-surrenders/</v>
      </c>
      <c r="L1579" s="8"/>
      <c r="M1579" s="8"/>
      <c r="N1579" s="8">
        <f ca="1">IFERROR(__xludf.DUMMYFUNCTION("""COMPUTED_VALUE"""),4)</f>
        <v>4</v>
      </c>
      <c r="O1579" s="8" t="str">
        <f ca="1">IFERROR(__xludf.DUMMYFUNCTION("""COMPUTED_VALUE"""),"Fall")</f>
        <v>Fall</v>
      </c>
      <c r="P1579" s="8" t="str">
        <f ca="1">IFERROR(__xludf.DUMMYFUNCTION("""COMPUTED_VALUE"""),"Sheridan")</f>
        <v>Sheridan</v>
      </c>
      <c r="Q1579" s="8" t="str">
        <f ca="1">IFERROR(__xludf.DUMMYFUNCTION("""COMPUTED_VALUE"""),"CO")</f>
        <v>CO</v>
      </c>
      <c r="R1579" s="8" t="str">
        <f ca="1">IFERROR(__xludf.DUMMYFUNCTION("""COMPUTED_VALUE"""),"High")</f>
        <v>High</v>
      </c>
      <c r="S1579" s="8" t="str">
        <f ca="1">IFERROR(__xludf.DUMMYFUNCTION("""COMPUTED_VALUE"""),"Beside Building")</f>
        <v>Beside Building</v>
      </c>
      <c r="T1579" s="8" t="str">
        <f ca="1">IFERROR(__xludf.DUMMYFUNCTION("""COMPUTED_VALUE"""),"Outside on School Property")</f>
        <v>Outside on School Property</v>
      </c>
      <c r="U1579" s="8" t="str">
        <f ca="1">IFERROR(__xludf.DUMMYFUNCTION("""COMPUTED_VALUE"""),"No")</f>
        <v>No</v>
      </c>
      <c r="V1579" s="8" t="str">
        <f ca="1">IFERROR(__xludf.DUMMYFUNCTION("""COMPUTED_VALUE"""),"Sport Event")</f>
        <v>Sport Event</v>
      </c>
      <c r="W1579" s="11">
        <f ca="1">IFERROR(__xludf.DUMMYFUNCTION("""COMPUTED_VALUE"""),0.822916666666666)</f>
        <v>0.82291666666666596</v>
      </c>
      <c r="X1579" s="8">
        <f ca="1">IFERROR(__xludf.DUMMYFUNCTION("""COMPUTED_VALUE"""),1)</f>
        <v>1</v>
      </c>
      <c r="Y1579" s="12" t="str">
        <f ca="1">IFERROR(__xludf.DUMMYFUNCTION("""COMPUTED_VALUE"""),"Teen shot during fight outside of school during volleyball game")</f>
        <v>Teen shot during fight outside of school during volleyball game</v>
      </c>
      <c r="Z1579" s="12" t="str">
        <f ca="1">IFERROR(__xludf.DUMMYFUNCTION("""COMPUTED_VALUE"""),"Teen (student from another school) was shot by another teen following a fight outside of the school during a evening volleyball game. School was locked down. Shooter fled the area. School systems closed the school the following day because shooter had not"&amp;" yet been arrested. No other students were injured.")</f>
        <v>Teen (student from another school) was shot by another teen following a fight outside of the school during a evening volleyball game. School was locked down. Shooter fled the area. School systems closed the school the following day because shooter had not yet been arrested. No other students were injured.</v>
      </c>
      <c r="AA1579" s="8" t="str">
        <f ca="1">IFERROR(__xludf.DUMMYFUNCTION("""COMPUTED_VALUE"""),"Escalation of Dispute")</f>
        <v>Escalation of Dispute</v>
      </c>
      <c r="AB1579" s="8"/>
      <c r="AC1579" s="8" t="str">
        <f ca="1">IFERROR(__xludf.DUMMYFUNCTION("""COMPUTED_VALUE"""),"Yes")</f>
        <v>Yes</v>
      </c>
      <c r="AD1579" s="8" t="str">
        <f ca="1">IFERROR(__xludf.DUMMYFUNCTION("""COMPUTED_VALUE"""),"Victims Targeted")</f>
        <v>Victims Targeted</v>
      </c>
      <c r="AE1579" s="8" t="str">
        <f ca="1">IFERROR(__xludf.DUMMYFUNCTION("""COMPUTED_VALUE"""),"No")</f>
        <v>No</v>
      </c>
      <c r="AF1579" s="8"/>
      <c r="AG1579" s="8" t="str">
        <f ca="1">IFERROR(__xludf.DUMMYFUNCTION("""COMPUTED_VALUE"""),"No")</f>
        <v>No</v>
      </c>
      <c r="AH1579" s="8" t="str">
        <f ca="1">IFERROR(__xludf.DUMMYFUNCTION("""COMPUTED_VALUE"""),"No")</f>
        <v>No</v>
      </c>
      <c r="AI1579" s="8" t="str">
        <f ca="1">IFERROR(__xludf.DUMMYFUNCTION("""COMPUTED_VALUE"""),"No")</f>
        <v>No</v>
      </c>
      <c r="AJ1579" s="8" t="str">
        <f ca="1">IFERROR(__xludf.DUMMYFUNCTION("""COMPUTED_VALUE"""),"No")</f>
        <v>No</v>
      </c>
      <c r="AK1579" s="8" t="str">
        <f ca="1">IFERROR(__xludf.DUMMYFUNCTION("""COMPUTED_VALUE"""),"No")</f>
        <v>No</v>
      </c>
      <c r="AL1579" s="8" t="str">
        <f ca="1">IFERROR(__xludf.DUMMYFUNCTION("""COMPUTED_VALUE"""),"No")</f>
        <v>No</v>
      </c>
      <c r="AM1579" s="8" t="str">
        <f ca="1">IFERROR(__xludf.DUMMYFUNCTION("""COMPUTED_VALUE"""),"No")</f>
        <v>No</v>
      </c>
      <c r="AN1579" s="8"/>
      <c r="AO1579" s="8" t="str">
        <f ca="1">IFERROR(__xludf.DUMMYFUNCTION("""COMPUTED_VALUE"""),"No")</f>
        <v>No</v>
      </c>
      <c r="AP1579" s="8"/>
      <c r="AQ1579" s="8" t="str">
        <f ca="1">IFERROR(__xludf.DUMMYFUNCTION("""COMPUTED_VALUE"""),"Unknown")</f>
        <v>Unknown</v>
      </c>
      <c r="AR1579" s="8" t="str">
        <f ca="1">IFERROR(__xludf.DUMMYFUNCTION("""COMPUTED_VALUE"""),"NA")</f>
        <v>NA</v>
      </c>
      <c r="AS1579" s="8"/>
      <c r="AT1579" s="8" t="str">
        <f ca="1">IFERROR(__xludf.DUMMYFUNCTION("""COMPUTED_VALUE"""),"Yes")</f>
        <v>Yes</v>
      </c>
      <c r="AU1579" s="8">
        <f ca="1">IFERROR(__xludf.DUMMYFUNCTION("""COMPUTED_VALUE"""),39.644117)</f>
        <v>39.644117000000001</v>
      </c>
      <c r="AV1579" s="8">
        <f ca="1">IFERROR(__xludf.DUMMYFUNCTION("""COMPUTED_VALUE"""),-105.028871)</f>
        <v>-105.028871</v>
      </c>
      <c r="AW1579" s="8"/>
      <c r="AX1579" s="8">
        <f ca="1">IFERROR(__xludf.DUMMYFUNCTION("""COMPUTED_VALUE"""),80110)</f>
        <v>80110</v>
      </c>
    </row>
    <row r="1580" spans="1:50" ht="60" x14ac:dyDescent="0.2">
      <c r="A1580" s="8" t="str">
        <f ca="1">IFERROR(__xludf.DUMMYFUNCTION("""COMPUTED_VALUE"""),"20191002GASOA")</f>
        <v>20191002GASOA</v>
      </c>
      <c r="B1580" s="8">
        <f ca="1">IFERROR(__xludf.DUMMYFUNCTION("""COMPUTED_VALUE"""),10)</f>
        <v>10</v>
      </c>
      <c r="C1580" s="8">
        <f ca="1">IFERROR(__xludf.DUMMYFUNCTION("""COMPUTED_VALUE"""),2)</f>
        <v>2</v>
      </c>
      <c r="D1580" s="8">
        <f ca="1">IFERROR(__xludf.DUMMYFUNCTION("""COMPUTED_VALUE"""),2019)</f>
        <v>2019</v>
      </c>
      <c r="E1580" s="9">
        <f ca="1">IFERROR(__xludf.DUMMYFUNCTION("""COMPUTED_VALUE"""),43740)</f>
        <v>43740</v>
      </c>
      <c r="F1580" s="8" t="str">
        <f ca="1">IFERROR(__xludf.DUMMYFUNCTION("""COMPUTED_VALUE"""),"South Atlanta High School")</f>
        <v>South Atlanta High School</v>
      </c>
      <c r="G1580" s="8">
        <f ca="1">IFERROR(__xludf.DUMMYFUNCTION("""COMPUTED_VALUE"""),0)</f>
        <v>0</v>
      </c>
      <c r="H1580" s="8">
        <f ca="1">IFERROR(__xludf.DUMMYFUNCTION("""COMPUTED_VALUE"""),0)</f>
        <v>0</v>
      </c>
      <c r="I1580" s="8">
        <f ca="1">IFERROR(__xludf.DUMMYFUNCTION("""COMPUTED_VALUE"""),0)</f>
        <v>0</v>
      </c>
      <c r="J1580" s="8">
        <f ca="1">IFERROR(__xludf.DUMMYFUNCTION("""COMPUTED_VALUE"""),0)</f>
        <v>0</v>
      </c>
      <c r="K1580" s="8" t="str">
        <f ca="1">IFERROR(__xludf.DUMMYFUNCTION("""COMPUTED_VALUE"""),"https://www.11alive.com/article/news/local/1-arrested-after-firing-shot-into-air-after-fight-at-south-atlanta-softball-game/85-1dd84976-3cfe-4cf1-9211-05bba5abe07e https://www.ajc.com/news/crime--law/watch-gunshot-fired-amid-chaotic-fight-after-atlanta-hi"&amp;"gh-school-softball-game/p0v8LBThp4rgAVBGn057BM/ https://www.wsbtv.com/news/local/atlanta/gunshot-fired-amid-chaotic-fight-after-atlanta-high-school-softball-game/993420513/ https://www.ajc.com/news/crime--law/watch-gunshot-fired-amid-chaotic-fight-after-a"&amp;"tlanta-high-school-softball-game/p0v8LBThp4rgAVBGn057BM/")</f>
        <v>https://www.11alive.com/article/news/local/1-arrested-after-firing-shot-into-air-after-fight-at-south-atlanta-softball-game/85-1dd84976-3cfe-4cf1-9211-05bba5abe07e https://www.ajc.com/news/crime--law/watch-gunshot-fired-amid-chaotic-fight-after-atlanta-high-school-softball-game/p0v8LBThp4rgAVBGn057BM/ https://www.wsbtv.com/news/local/atlanta/gunshot-fired-amid-chaotic-fight-after-atlanta-high-school-softball-game/993420513/ https://www.ajc.com/news/crime--law/watch-gunshot-fired-amid-chaotic-fight-after-atlanta-high-school-softball-game/p0v8LBThp4rgAVBGn057BM/</v>
      </c>
      <c r="L1580" s="8"/>
      <c r="M1580" s="8"/>
      <c r="N1580" s="8">
        <f ca="1">IFERROR(__xludf.DUMMYFUNCTION("""COMPUTED_VALUE"""),4)</f>
        <v>4</v>
      </c>
      <c r="O1580" s="8" t="str">
        <f ca="1">IFERROR(__xludf.DUMMYFUNCTION("""COMPUTED_VALUE"""),"Fall")</f>
        <v>Fall</v>
      </c>
      <c r="P1580" s="8" t="str">
        <f ca="1">IFERROR(__xludf.DUMMYFUNCTION("""COMPUTED_VALUE"""),"Atlanta")</f>
        <v>Atlanta</v>
      </c>
      <c r="Q1580" s="8" t="str">
        <f ca="1">IFERROR(__xludf.DUMMYFUNCTION("""COMPUTED_VALUE"""),"GA")</f>
        <v>GA</v>
      </c>
      <c r="R1580" s="8" t="str">
        <f ca="1">IFERROR(__xludf.DUMMYFUNCTION("""COMPUTED_VALUE"""),"High")</f>
        <v>High</v>
      </c>
      <c r="S1580" s="8" t="str">
        <f ca="1">IFERROR(__xludf.DUMMYFUNCTION("""COMPUTED_VALUE"""),"Field (General)")</f>
        <v>Field (General)</v>
      </c>
      <c r="T1580" s="8" t="str">
        <f ca="1">IFERROR(__xludf.DUMMYFUNCTION("""COMPUTED_VALUE"""),"Outside on School Property")</f>
        <v>Outside on School Property</v>
      </c>
      <c r="U1580" s="8" t="str">
        <f ca="1">IFERROR(__xludf.DUMMYFUNCTION("""COMPUTED_VALUE"""),"No")</f>
        <v>No</v>
      </c>
      <c r="V1580" s="8" t="str">
        <f ca="1">IFERROR(__xludf.DUMMYFUNCTION("""COMPUTED_VALUE"""),"Sport Event")</f>
        <v>Sport Event</v>
      </c>
      <c r="W1580" s="11">
        <f ca="1">IFERROR(__xludf.DUMMYFUNCTION("""COMPUTED_VALUE"""),0.854166666666666)</f>
        <v>0.85416666666666596</v>
      </c>
      <c r="X1580" s="8">
        <f ca="1">IFERROR(__xludf.DUMMYFUNCTION("""COMPUTED_VALUE"""),1)</f>
        <v>1</v>
      </c>
      <c r="Y1580" s="12" t="str">
        <f ca="1">IFERROR(__xludf.DUMMYFUNCTION("""COMPUTED_VALUE"""),"Adult fired shot into air during fight at high school softball game")</f>
        <v>Adult fired shot into air during fight at high school softball game</v>
      </c>
      <c r="Z1580" s="12" t="str">
        <f ca="1">IFERROR(__xludf.DUMMYFUNCTION("""COMPUTED_VALUE"""),"Adult fired shot into the air during large fight involving 50+ parents and students at high school softball game. Police officer assigned to the school attempted to break up the fight and subdued the shooter.")</f>
        <v>Adult fired shot into the air during large fight involving 50+ parents and students at high school softball game. Police officer assigned to the school attempted to break up the fight and subdued the shooter.</v>
      </c>
      <c r="AA1580" s="8" t="str">
        <f ca="1">IFERROR(__xludf.DUMMYFUNCTION("""COMPUTED_VALUE"""),"Escalation of Dispute")</f>
        <v>Escalation of Dispute</v>
      </c>
      <c r="AB1580" s="8"/>
      <c r="AC1580" s="8" t="str">
        <f ca="1">IFERROR(__xludf.DUMMYFUNCTION("""COMPUTED_VALUE"""),"Yes")</f>
        <v>Yes</v>
      </c>
      <c r="AD1580" s="8" t="str">
        <f ca="1">IFERROR(__xludf.DUMMYFUNCTION("""COMPUTED_VALUE"""),"Neither")</f>
        <v>Neither</v>
      </c>
      <c r="AE1580" s="8" t="str">
        <f ca="1">IFERROR(__xludf.DUMMYFUNCTION("""COMPUTED_VALUE"""),"No")</f>
        <v>No</v>
      </c>
      <c r="AF1580" s="8"/>
      <c r="AG1580" s="8" t="str">
        <f ca="1">IFERROR(__xludf.DUMMYFUNCTION("""COMPUTED_VALUE"""),"No")</f>
        <v>No</v>
      </c>
      <c r="AH1580" s="8" t="str">
        <f ca="1">IFERROR(__xludf.DUMMYFUNCTION("""COMPUTED_VALUE"""),"No")</f>
        <v>No</v>
      </c>
      <c r="AI1580" s="8" t="str">
        <f ca="1">IFERROR(__xludf.DUMMYFUNCTION("""COMPUTED_VALUE"""),"No")</f>
        <v>No</v>
      </c>
      <c r="AJ1580" s="8" t="str">
        <f ca="1">IFERROR(__xludf.DUMMYFUNCTION("""COMPUTED_VALUE"""),"No")</f>
        <v>No</v>
      </c>
      <c r="AK1580" s="8" t="str">
        <f ca="1">IFERROR(__xludf.DUMMYFUNCTION("""COMPUTED_VALUE"""),"No")</f>
        <v>No</v>
      </c>
      <c r="AL1580" s="8" t="str">
        <f ca="1">IFERROR(__xludf.DUMMYFUNCTION("""COMPUTED_VALUE"""),"No")</f>
        <v>No</v>
      </c>
      <c r="AM1580" s="8" t="str">
        <f ca="1">IFERROR(__xludf.DUMMYFUNCTION("""COMPUTED_VALUE"""),"No")</f>
        <v>No</v>
      </c>
      <c r="AN1580" s="8"/>
      <c r="AO1580" s="8" t="str">
        <f ca="1">IFERROR(__xludf.DUMMYFUNCTION("""COMPUTED_VALUE"""),"No")</f>
        <v>No</v>
      </c>
      <c r="AP1580" s="8" t="str">
        <f ca="1">IFERROR(__xludf.DUMMYFUNCTION("""COMPUTED_VALUE"""),"Yes")</f>
        <v>Yes</v>
      </c>
      <c r="AQ1580" s="8" t="str">
        <f ca="1">IFERROR(__xludf.DUMMYFUNCTION("""COMPUTED_VALUE"""),"Unknown")</f>
        <v>Unknown</v>
      </c>
      <c r="AR1580" s="8" t="str">
        <f ca="1">IFERROR(__xludf.DUMMYFUNCTION("""COMPUTED_VALUE"""),"Outside/Off-Property")</f>
        <v>Outside/Off-Property</v>
      </c>
      <c r="AS1580" s="8">
        <f ca="1">IFERROR(__xludf.DUMMYFUNCTION("""COMPUTED_VALUE"""),1)</f>
        <v>1</v>
      </c>
      <c r="AT1580" s="8" t="str">
        <f ca="1">IFERROR(__xludf.DUMMYFUNCTION("""COMPUTED_VALUE"""),"No")</f>
        <v>No</v>
      </c>
      <c r="AU1580" s="8">
        <f ca="1">IFERROR(__xludf.DUMMYFUNCTION("""COMPUTED_VALUE"""),33.669999)</f>
        <v>33.669998999999997</v>
      </c>
      <c r="AV1580" s="8">
        <f ca="1">IFERROR(__xludf.DUMMYFUNCTION("""COMPUTED_VALUE"""),-84.362754)</f>
        <v>-84.362753999999995</v>
      </c>
      <c r="AW1580" s="8"/>
      <c r="AX1580" s="8">
        <f ca="1">IFERROR(__xludf.DUMMYFUNCTION("""COMPUTED_VALUE"""),30354)</f>
        <v>30354</v>
      </c>
    </row>
    <row r="1581" spans="1:50" ht="60" x14ac:dyDescent="0.2">
      <c r="A1581" s="8" t="str">
        <f ca="1">IFERROR(__xludf.DUMMYFUNCTION("""COMPUTED_VALUE"""),"20190927NCZEC")</f>
        <v>20190927NCZEC</v>
      </c>
      <c r="B1581" s="8">
        <f ca="1">IFERROR(__xludf.DUMMYFUNCTION("""COMPUTED_VALUE"""),9)</f>
        <v>9</v>
      </c>
      <c r="C1581" s="8">
        <f ca="1">IFERROR(__xludf.DUMMYFUNCTION("""COMPUTED_VALUE"""),27)</f>
        <v>27</v>
      </c>
      <c r="D1581" s="8">
        <f ca="1">IFERROR(__xludf.DUMMYFUNCTION("""COMPUTED_VALUE"""),2019)</f>
        <v>2019</v>
      </c>
      <c r="E1581" s="9">
        <f ca="1">IFERROR(__xludf.DUMMYFUNCTION("""COMPUTED_VALUE"""),43735)</f>
        <v>43735</v>
      </c>
      <c r="F1581" s="8" t="str">
        <f ca="1">IFERROR(__xludf.DUMMYFUNCTION("""COMPUTED_VALUE"""),"Zebulon B. Vance High School")</f>
        <v>Zebulon B. Vance High School</v>
      </c>
      <c r="G1581" s="8">
        <f ca="1">IFERROR(__xludf.DUMMYFUNCTION("""COMPUTED_VALUE"""),0)</f>
        <v>0</v>
      </c>
      <c r="H1581" s="8">
        <f ca="1">IFERROR(__xludf.DUMMYFUNCTION("""COMPUTED_VALUE"""),0)</f>
        <v>0</v>
      </c>
      <c r="I1581" s="8">
        <f ca="1">IFERROR(__xludf.DUMMYFUNCTION("""COMPUTED_VALUE"""),0)</f>
        <v>0</v>
      </c>
      <c r="J1581" s="8">
        <f ca="1">IFERROR(__xludf.DUMMYFUNCTION("""COMPUTED_VALUE"""),0)</f>
        <v>0</v>
      </c>
      <c r="K1581" s="10" t="str">
        <f ca="1">IFERROR(__xludf.DUMMYFUNCTION("""COMPUTED_VALUE"""),"https://www.wbtv.com/2019/09/28/arrested-after-multiple-fights-high-school-football-game-charlotte/")</f>
        <v>https://www.wbtv.com/2019/09/28/arrested-after-multiple-fights-high-school-football-game-charlotte/</v>
      </c>
      <c r="L1581" s="8"/>
      <c r="M1581" s="8"/>
      <c r="N1581" s="8">
        <f ca="1">IFERROR(__xludf.DUMMYFUNCTION("""COMPUTED_VALUE"""),3)</f>
        <v>3</v>
      </c>
      <c r="O1581" s="8" t="str">
        <f ca="1">IFERROR(__xludf.DUMMYFUNCTION("""COMPUTED_VALUE"""),"Fall")</f>
        <v>Fall</v>
      </c>
      <c r="P1581" s="8" t="str">
        <f ca="1">IFERROR(__xludf.DUMMYFUNCTION("""COMPUTED_VALUE"""),"Charlotte")</f>
        <v>Charlotte</v>
      </c>
      <c r="Q1581" s="8" t="str">
        <f ca="1">IFERROR(__xludf.DUMMYFUNCTION("""COMPUTED_VALUE"""),"NC")</f>
        <v>NC</v>
      </c>
      <c r="R1581" s="8" t="str">
        <f ca="1">IFERROR(__xludf.DUMMYFUNCTION("""COMPUTED_VALUE"""),"High")</f>
        <v>High</v>
      </c>
      <c r="S1581" s="8" t="str">
        <f ca="1">IFERROR(__xludf.DUMMYFUNCTION("""COMPUTED_VALUE"""),"Parking Lot")</f>
        <v>Parking Lot</v>
      </c>
      <c r="T1581" s="8" t="str">
        <f ca="1">IFERROR(__xludf.DUMMYFUNCTION("""COMPUTED_VALUE"""),"Outside on School Property")</f>
        <v>Outside on School Property</v>
      </c>
      <c r="U1581" s="8" t="str">
        <f ca="1">IFERROR(__xludf.DUMMYFUNCTION("""COMPUTED_VALUE"""),"No")</f>
        <v>No</v>
      </c>
      <c r="V1581" s="8" t="str">
        <f ca="1">IFERROR(__xludf.DUMMYFUNCTION("""COMPUTED_VALUE"""),"Sport Event")</f>
        <v>Sport Event</v>
      </c>
      <c r="W1581" s="11">
        <f ca="1">IFERROR(__xludf.DUMMYFUNCTION("""COMPUTED_VALUE"""),0.854166666666666)</f>
        <v>0.85416666666666596</v>
      </c>
      <c r="X1581" s="8">
        <f ca="1">IFERROR(__xludf.DUMMYFUNCTION("""COMPUTED_VALUE"""),1)</f>
        <v>1</v>
      </c>
      <c r="Y1581" s="12" t="str">
        <f ca="1">IFERROR(__xludf.DUMMYFUNCTION("""COMPUTED_VALUE"""),"Shots fired during fight in the parking lot during football game")</f>
        <v>Shots fired during fight in the parking lot during football game</v>
      </c>
      <c r="Z1581" s="12" t="str">
        <f ca="1">IFERROR(__xludf.DUMMYFUNCTION("""COMPUTED_VALUE"""),"Shots fired in the school parking lot during a football game. Multiple fights occurred during the game. No injuries from the shooting. Shooter not identified and fled the scene. 3 arrested for fighting but not for the shooting.")</f>
        <v>Shots fired in the school parking lot during a football game. Multiple fights occurred during the game. No injuries from the shooting. Shooter not identified and fled the scene. 3 arrested for fighting but not for the shooting.</v>
      </c>
      <c r="AA1581" s="8" t="str">
        <f ca="1">IFERROR(__xludf.DUMMYFUNCTION("""COMPUTED_VALUE"""),"Escalation of Dispute")</f>
        <v>Escalation of Dispute</v>
      </c>
      <c r="AB1581" s="8"/>
      <c r="AC1581" s="8" t="str">
        <f ca="1">IFERROR(__xludf.DUMMYFUNCTION("""COMPUTED_VALUE"""),"Yes")</f>
        <v>Yes</v>
      </c>
      <c r="AD1581" s="8"/>
      <c r="AE1581" s="8"/>
      <c r="AF1581" s="8"/>
      <c r="AG1581" s="8" t="str">
        <f ca="1">IFERROR(__xludf.DUMMYFUNCTION("""COMPUTED_VALUE"""),"No")</f>
        <v>No</v>
      </c>
      <c r="AH1581" s="8" t="str">
        <f ca="1">IFERROR(__xludf.DUMMYFUNCTION("""COMPUTED_VALUE"""),"No")</f>
        <v>No</v>
      </c>
      <c r="AI1581" s="8" t="str">
        <f ca="1">IFERROR(__xludf.DUMMYFUNCTION("""COMPUTED_VALUE"""),"No")</f>
        <v>No</v>
      </c>
      <c r="AJ1581" s="8" t="str">
        <f ca="1">IFERROR(__xludf.DUMMYFUNCTION("""COMPUTED_VALUE"""),"No")</f>
        <v>No</v>
      </c>
      <c r="AK1581" s="8" t="str">
        <f ca="1">IFERROR(__xludf.DUMMYFUNCTION("""COMPUTED_VALUE"""),"No")</f>
        <v>No</v>
      </c>
      <c r="AL1581" s="8" t="str">
        <f ca="1">IFERROR(__xludf.DUMMYFUNCTION("""COMPUTED_VALUE"""),"No")</f>
        <v>No</v>
      </c>
      <c r="AM1581" s="8" t="str">
        <f ca="1">IFERROR(__xludf.DUMMYFUNCTION("""COMPUTED_VALUE"""),"No")</f>
        <v>No</v>
      </c>
      <c r="AN1581" s="8"/>
      <c r="AO1581" s="8" t="str">
        <f ca="1">IFERROR(__xludf.DUMMYFUNCTION("""COMPUTED_VALUE"""),"No")</f>
        <v>No</v>
      </c>
      <c r="AP1581" s="8"/>
      <c r="AQ1581" s="8" t="str">
        <f ca="1">IFERROR(__xludf.DUMMYFUNCTION("""COMPUTED_VALUE"""),"Unknown")</f>
        <v>Unknown</v>
      </c>
      <c r="AR1581" s="8" t="str">
        <f ca="1">IFERROR(__xludf.DUMMYFUNCTION("""COMPUTED_VALUE"""),"NA")</f>
        <v>NA</v>
      </c>
      <c r="AS1581" s="8" t="str">
        <f ca="1">IFERROR(__xludf.DUMMYFUNCTION("""COMPUTED_VALUE"""),"&lt;10")</f>
        <v>&lt;10</v>
      </c>
      <c r="AT1581" s="8" t="str">
        <f ca="1">IFERROR(__xludf.DUMMYFUNCTION("""COMPUTED_VALUE"""),"No")</f>
        <v>No</v>
      </c>
      <c r="AU1581" s="8">
        <f ca="1">IFERROR(__xludf.DUMMYFUNCTION("""COMPUTED_VALUE"""),35.301069)</f>
        <v>35.301068999999998</v>
      </c>
      <c r="AV1581" s="8">
        <f ca="1">IFERROR(__xludf.DUMMYFUNCTION("""COMPUTED_VALUE"""),-80.769106)</f>
        <v>-80.769105999999994</v>
      </c>
      <c r="AW1581" s="8"/>
      <c r="AX1581" s="8">
        <f ca="1">IFERROR(__xludf.DUMMYFUNCTION("""COMPUTED_VALUE"""),28223)</f>
        <v>28223</v>
      </c>
    </row>
    <row r="1582" spans="1:50" ht="105" x14ac:dyDescent="0.2">
      <c r="A1582" s="8" t="str">
        <f ca="1">IFERROR(__xludf.DUMMYFUNCTION("""COMPUTED_VALUE"""),"20190927CADER")</f>
        <v>20190927CADER</v>
      </c>
      <c r="B1582" s="8">
        <f ca="1">IFERROR(__xludf.DUMMYFUNCTION("""COMPUTED_VALUE"""),9)</f>
        <v>9</v>
      </c>
      <c r="C1582" s="8">
        <f ca="1">IFERROR(__xludf.DUMMYFUNCTION("""COMPUTED_VALUE"""),27)</f>
        <v>27</v>
      </c>
      <c r="D1582" s="8">
        <f ca="1">IFERROR(__xludf.DUMMYFUNCTION("""COMPUTED_VALUE"""),2019)</f>
        <v>2019</v>
      </c>
      <c r="E1582" s="9">
        <f ca="1">IFERROR(__xludf.DUMMYFUNCTION("""COMPUTED_VALUE"""),43735)</f>
        <v>43735</v>
      </c>
      <c r="F1582" s="8" t="str">
        <f ca="1">IFERROR(__xludf.DUMMYFUNCTION("""COMPUTED_VALUE"""),"De Anza High School")</f>
        <v>De Anza High School</v>
      </c>
      <c r="G1582" s="8">
        <f ca="1">IFERROR(__xludf.DUMMYFUNCTION("""COMPUTED_VALUE"""),0)</f>
        <v>0</v>
      </c>
      <c r="H1582" s="8">
        <f ca="1">IFERROR(__xludf.DUMMYFUNCTION("""COMPUTED_VALUE"""),3)</f>
        <v>3</v>
      </c>
      <c r="I1582" s="8">
        <f ca="1">IFERROR(__xludf.DUMMYFUNCTION("""COMPUTED_VALUE"""),3)</f>
        <v>3</v>
      </c>
      <c r="J1582" s="8">
        <f ca="1">IFERROR(__xludf.DUMMYFUNCTION("""COMPUTED_VALUE"""),0)</f>
        <v>0</v>
      </c>
      <c r="K1582" s="8" t="str">
        <f ca="1">IFERROR(__xludf.DUMMYFUNCTION("""COMPUTED_VALUE"""),"https://www.nbcbayarea.com/news/local/3-arrested-in-de-anza-high-school-shooting-in-richmond/1961620/ https://www.ktvu.com/news/1-year-later-richmond-teens-road-to-recovery-after-shooting-outside-high-school https://abc7news.com/de-anza-high-school-richmo"&amp;"nd-shooting-football-game/5574912/")</f>
        <v>https://www.nbcbayarea.com/news/local/3-arrested-in-de-anza-high-school-shooting-in-richmond/1961620/ https://www.ktvu.com/news/1-year-later-richmond-teens-road-to-recovery-after-shooting-outside-high-school https://abc7news.com/de-anza-high-school-richmond-shooting-football-game/5574912/</v>
      </c>
      <c r="L1582" s="8">
        <f ca="1">IFERROR(__xludf.DUMMYFUNCTION("""COMPUTED_VALUE"""),3)</f>
        <v>3</v>
      </c>
      <c r="M1582" s="8" t="str">
        <f ca="1">IFERROR(__xludf.DUMMYFUNCTION("""COMPUTED_VALUE"""),"Local")</f>
        <v>Local</v>
      </c>
      <c r="N1582" s="8">
        <f ca="1">IFERROR(__xludf.DUMMYFUNCTION("""COMPUTED_VALUE"""),4)</f>
        <v>4</v>
      </c>
      <c r="O1582" s="8" t="str">
        <f ca="1">IFERROR(__xludf.DUMMYFUNCTION("""COMPUTED_VALUE"""),"Fall")</f>
        <v>Fall</v>
      </c>
      <c r="P1582" s="8" t="str">
        <f ca="1">IFERROR(__xludf.DUMMYFUNCTION("""COMPUTED_VALUE"""),"Richmond")</f>
        <v>Richmond</v>
      </c>
      <c r="Q1582" s="8" t="str">
        <f ca="1">IFERROR(__xludf.DUMMYFUNCTION("""COMPUTED_VALUE"""),"CA")</f>
        <v>CA</v>
      </c>
      <c r="R1582" s="8" t="str">
        <f ca="1">IFERROR(__xludf.DUMMYFUNCTION("""COMPUTED_VALUE"""),"High")</f>
        <v>High</v>
      </c>
      <c r="S1582" s="8" t="str">
        <f ca="1">IFERROR(__xludf.DUMMYFUNCTION("""COMPUTED_VALUE"""),"Off School Property")</f>
        <v>Off School Property</v>
      </c>
      <c r="T1582" s="8" t="str">
        <f ca="1">IFERROR(__xludf.DUMMYFUNCTION("""COMPUTED_VALUE"""),"Off School Property")</f>
        <v>Off School Property</v>
      </c>
      <c r="U1582" s="8" t="str">
        <f ca="1">IFERROR(__xludf.DUMMYFUNCTION("""COMPUTED_VALUE"""),"No")</f>
        <v>No</v>
      </c>
      <c r="V1582" s="8" t="str">
        <f ca="1">IFERROR(__xludf.DUMMYFUNCTION("""COMPUTED_VALUE"""),"Sport Event")</f>
        <v>Sport Event</v>
      </c>
      <c r="W1582" s="11">
        <f ca="1">IFERROR(__xludf.DUMMYFUNCTION("""COMPUTED_VALUE"""),0.875)</f>
        <v>0.875</v>
      </c>
      <c r="X1582" s="8">
        <f ca="1">IFERROR(__xludf.DUMMYFUNCTION("""COMPUTED_VALUE"""),1)</f>
        <v>1</v>
      </c>
      <c r="Y1582" s="12" t="str">
        <f ca="1">IFERROR(__xludf.DUMMYFUNCTION("""COMPUTED_VALUE"""),"Three teen students shot leaving football game")</f>
        <v>Three teen students shot leaving football game</v>
      </c>
      <c r="Z1582" s="12" t="str">
        <f ca="1">IFERROR(__xludf.DUMMYFUNCTION("""COMPUTED_VALUE"""),"A large fight occurred after the end of a rivalry football game at the high school. The fight started outside of the football field and continued on to Morningside Drive. Shots were fired during the fight striking three teens who were leaving the game. A "&amp;"16 year-old female student was struck in the spine and paralyzed. Three teens were arrested the following week after investigation lead by SROs.")</f>
        <v>A large fight occurred after the end of a rivalry football game at the high school. The fight started outside of the football field and continued on to Morningside Drive. Shots were fired during the fight striking three teens who were leaving the game. A 16 year-old female student was struck in the spine and paralyzed. Three teens were arrested the following week after investigation lead by SROs.</v>
      </c>
      <c r="AA1582" s="8" t="str">
        <f ca="1">IFERROR(__xludf.DUMMYFUNCTION("""COMPUTED_VALUE"""),"Escalation of Dispute")</f>
        <v>Escalation of Dispute</v>
      </c>
      <c r="AB1582" s="8"/>
      <c r="AC1582" s="8" t="str">
        <f ca="1">IFERROR(__xludf.DUMMYFUNCTION("""COMPUTED_VALUE"""),"Yes")</f>
        <v>Yes</v>
      </c>
      <c r="AD1582" s="8" t="str">
        <f ca="1">IFERROR(__xludf.DUMMYFUNCTION("""COMPUTED_VALUE"""),"Both")</f>
        <v>Both</v>
      </c>
      <c r="AE1582" s="8" t="str">
        <f ca="1">IFERROR(__xludf.DUMMYFUNCTION("""COMPUTED_VALUE"""),"Yes")</f>
        <v>Yes</v>
      </c>
      <c r="AF1582" s="8" t="str">
        <f ca="1">IFERROR(__xludf.DUMMYFUNCTION("""COMPUTED_VALUE"""),"Three teens arrested")</f>
        <v>Three teens arrested</v>
      </c>
      <c r="AG1582" s="8" t="str">
        <f ca="1">IFERROR(__xludf.DUMMYFUNCTION("""COMPUTED_VALUE"""),"No")</f>
        <v>No</v>
      </c>
      <c r="AH1582" s="8" t="str">
        <f ca="1">IFERROR(__xludf.DUMMYFUNCTION("""COMPUTED_VALUE"""),"No")</f>
        <v>No</v>
      </c>
      <c r="AI1582" s="8" t="str">
        <f ca="1">IFERROR(__xludf.DUMMYFUNCTION("""COMPUTED_VALUE"""),"No")</f>
        <v>No</v>
      </c>
      <c r="AJ1582" s="8" t="str">
        <f ca="1">IFERROR(__xludf.DUMMYFUNCTION("""COMPUTED_VALUE"""),"No")</f>
        <v>No</v>
      </c>
      <c r="AK1582" s="8" t="str">
        <f ca="1">IFERROR(__xludf.DUMMYFUNCTION("""COMPUTED_VALUE"""),"No")</f>
        <v>No</v>
      </c>
      <c r="AL1582" s="8" t="str">
        <f ca="1">IFERROR(__xludf.DUMMYFUNCTION("""COMPUTED_VALUE"""),"Yes")</f>
        <v>Yes</v>
      </c>
      <c r="AM1582" s="8" t="str">
        <f ca="1">IFERROR(__xludf.DUMMYFUNCTION("""COMPUTED_VALUE"""),"No")</f>
        <v>No</v>
      </c>
      <c r="AN1582" s="8"/>
      <c r="AO1582" s="8" t="str">
        <f ca="1">IFERROR(__xludf.DUMMYFUNCTION("""COMPUTED_VALUE"""),"No")</f>
        <v>No</v>
      </c>
      <c r="AP1582" s="8" t="str">
        <f ca="1">IFERROR(__xludf.DUMMYFUNCTION("""COMPUTED_VALUE"""),"Yes")</f>
        <v>Yes</v>
      </c>
      <c r="AQ1582" s="8"/>
      <c r="AR1582" s="8" t="str">
        <f ca="1">IFERROR(__xludf.DUMMYFUNCTION("""COMPUTED_VALUE"""),"Outside/Off-Property")</f>
        <v>Outside/Off-Property</v>
      </c>
      <c r="AS1582" s="8"/>
      <c r="AT1582" s="8"/>
      <c r="AU1582" s="8">
        <f ca="1">IFERROR(__xludf.DUMMYFUNCTION("""COMPUTED_VALUE"""),37.970455)</f>
        <v>37.970455000000001</v>
      </c>
      <c r="AV1582" s="8">
        <f ca="1">IFERROR(__xludf.DUMMYFUNCTION("""COMPUTED_VALUE"""),-122.287628)</f>
        <v>-122.287628</v>
      </c>
      <c r="AW1582" s="8"/>
      <c r="AX1582" s="8">
        <f ca="1">IFERROR(__xludf.DUMMYFUNCTION("""COMPUTED_VALUE"""),94803)</f>
        <v>94803</v>
      </c>
    </row>
    <row r="1583" spans="1:50" ht="120" x14ac:dyDescent="0.2">
      <c r="A1583" s="8" t="str">
        <f ca="1">IFERROR(__xludf.DUMMYFUNCTION("""COMPUTED_VALUE"""),"20190925DCAIW")</f>
        <v>20190925DCAIW</v>
      </c>
      <c r="B1583" s="8">
        <f ca="1">IFERROR(__xludf.DUMMYFUNCTION("""COMPUTED_VALUE"""),9)</f>
        <v>9</v>
      </c>
      <c r="C1583" s="8">
        <f ca="1">IFERROR(__xludf.DUMMYFUNCTION("""COMPUTED_VALUE"""),25)</f>
        <v>25</v>
      </c>
      <c r="D1583" s="8">
        <f ca="1">IFERROR(__xludf.DUMMYFUNCTION("""COMPUTED_VALUE"""),2019)</f>
        <v>2019</v>
      </c>
      <c r="E1583" s="9">
        <f ca="1">IFERROR(__xludf.DUMMYFUNCTION("""COMPUTED_VALUE"""),43733)</f>
        <v>43733</v>
      </c>
      <c r="F1583" s="8" t="str">
        <f ca="1">IFERROR(__xludf.DUMMYFUNCTION("""COMPUTED_VALUE"""),"Aiton Elementary School")</f>
        <v>Aiton Elementary School</v>
      </c>
      <c r="G1583" s="8">
        <f ca="1">IFERROR(__xludf.DUMMYFUNCTION("""COMPUTED_VALUE"""),0)</f>
        <v>0</v>
      </c>
      <c r="H1583" s="8">
        <f ca="1">IFERROR(__xludf.DUMMYFUNCTION("""COMPUTED_VALUE"""),0)</f>
        <v>0</v>
      </c>
      <c r="I1583" s="8">
        <f ca="1">IFERROR(__xludf.DUMMYFUNCTION("""COMPUTED_VALUE"""),0)</f>
        <v>0</v>
      </c>
      <c r="J1583" s="8">
        <f ca="1">IFERROR(__xludf.DUMMYFUNCTION("""COMPUTED_VALUE"""),0)</f>
        <v>0</v>
      </c>
      <c r="K1583" s="10" t="str">
        <f ca="1">IFERROR(__xludf.DUMMYFUNCTION("""COMPUTED_VALUE"""),"https://wtop.com/dc/2019/09/northeast-shooting-sends-bullet-into-dc-elementary-school/")</f>
        <v>https://wtop.com/dc/2019/09/northeast-shooting-sends-bullet-into-dc-elementary-school/</v>
      </c>
      <c r="L1583" s="8">
        <f ca="1">IFERROR(__xludf.DUMMYFUNCTION("""COMPUTED_VALUE"""),2)</f>
        <v>2</v>
      </c>
      <c r="M1583" s="8" t="str">
        <f ca="1">IFERROR(__xludf.DUMMYFUNCTION("""COMPUTED_VALUE"""),"Local")</f>
        <v>Local</v>
      </c>
      <c r="N1583" s="8">
        <f ca="1">IFERROR(__xludf.DUMMYFUNCTION("""COMPUTED_VALUE"""),4)</f>
        <v>4</v>
      </c>
      <c r="O1583" s="8" t="str">
        <f ca="1">IFERROR(__xludf.DUMMYFUNCTION("""COMPUTED_VALUE"""),"Fall")</f>
        <v>Fall</v>
      </c>
      <c r="P1583" s="8" t="str">
        <f ca="1">IFERROR(__xludf.DUMMYFUNCTION("""COMPUTED_VALUE"""),"Washington")</f>
        <v>Washington</v>
      </c>
      <c r="Q1583" s="8" t="str">
        <f ca="1">IFERROR(__xludf.DUMMYFUNCTION("""COMPUTED_VALUE"""),"DC")</f>
        <v>DC</v>
      </c>
      <c r="R1583" s="8" t="str">
        <f ca="1">IFERROR(__xludf.DUMMYFUNCTION("""COMPUTED_VALUE"""),"Elementary")</f>
        <v>Elementary</v>
      </c>
      <c r="S1583" s="8" t="str">
        <f ca="1">IFERROR(__xludf.DUMMYFUNCTION("""COMPUTED_VALUE"""),"Classroom")</f>
        <v>Classroom</v>
      </c>
      <c r="T1583" s="8" t="str">
        <f ca="1">IFERROR(__xludf.DUMMYFUNCTION("""COMPUTED_VALUE"""),"Both Inside/Outside")</f>
        <v>Both Inside/Outside</v>
      </c>
      <c r="U1583" s="8" t="str">
        <f ca="1">IFERROR(__xludf.DUMMYFUNCTION("""COMPUTED_VALUE"""),"No")</f>
        <v>No</v>
      </c>
      <c r="V1583" s="8" t="str">
        <f ca="1">IFERROR(__xludf.DUMMYFUNCTION("""COMPUTED_VALUE"""),"Night")</f>
        <v>Night</v>
      </c>
      <c r="W1583" s="11">
        <f ca="1">IFERROR(__xludf.DUMMYFUNCTION("""COMPUTED_VALUE"""),0.895833333333333)</f>
        <v>0.89583333333333304</v>
      </c>
      <c r="X1583" s="8">
        <f ca="1">IFERROR(__xludf.DUMMYFUNCTION("""COMPUTED_VALUE"""),1)</f>
        <v>1</v>
      </c>
      <c r="Y1583" s="12" t="str">
        <f ca="1">IFERROR(__xludf.DUMMYFUNCTION("""COMPUTED_VALUE"""),"Shot fired from vehicle broke classroom window")</f>
        <v>Shot fired from vehicle broke classroom window</v>
      </c>
      <c r="Z1583" s="12" t="str">
        <f ca="1">IFERROR(__xludf.DUMMYFUNCTION("""COMPUTED_VALUE"""),"A bullet flew through the classroom window of a D.C. elementary school on Wednesday. A car police believe was involved in the shooting then took down a power pole, leaving a Northeast neighborhood without power. D.C. police said two vehicles were travelin"&amp;"g on 49th Street NE near Aiton Elementary School and were shooting at each other when one bullet struck a window of an empty classroom.")</f>
        <v>A bullet flew through the classroom window of a D.C. elementary school on Wednesday. A car police believe was involved in the shooting then took down a power pole, leaving a Northeast neighborhood without power. D.C. police said two vehicles were traveling on 49th Street NE near Aiton Elementary School and were shooting at each other when one bullet struck a window of an empty classroom.</v>
      </c>
      <c r="AA1583" s="8" t="str">
        <f ca="1">IFERROR(__xludf.DUMMYFUNCTION("""COMPUTED_VALUE"""),"Drive-by Shooting")</f>
        <v>Drive-by Shooting</v>
      </c>
      <c r="AB1583" s="8" t="str">
        <f ca="1">IFERROR(__xludf.DUMMYFUNCTION("""COMPUTED_VALUE"""),"Spontaneous")</f>
        <v>Spontaneous</v>
      </c>
      <c r="AC1583" s="8" t="str">
        <f ca="1">IFERROR(__xludf.DUMMYFUNCTION("""COMPUTED_VALUE"""),"No")</f>
        <v>No</v>
      </c>
      <c r="AD1583" s="8" t="str">
        <f ca="1">IFERROR(__xludf.DUMMYFUNCTION("""COMPUTED_VALUE"""),"Random Shooting")</f>
        <v>Random Shooting</v>
      </c>
      <c r="AE1583" s="8" t="str">
        <f ca="1">IFERROR(__xludf.DUMMYFUNCTION("""COMPUTED_VALUE"""),"No")</f>
        <v>No</v>
      </c>
      <c r="AF1583" s="8"/>
      <c r="AG1583" s="8" t="str">
        <f ca="1">IFERROR(__xludf.DUMMYFUNCTION("""COMPUTED_VALUE"""),"No")</f>
        <v>No</v>
      </c>
      <c r="AH1583" s="8" t="str">
        <f ca="1">IFERROR(__xludf.DUMMYFUNCTION("""COMPUTED_VALUE"""),"No")</f>
        <v>No</v>
      </c>
      <c r="AI1583" s="8" t="str">
        <f ca="1">IFERROR(__xludf.DUMMYFUNCTION("""COMPUTED_VALUE"""),"No")</f>
        <v>No</v>
      </c>
      <c r="AJ1583" s="8" t="str">
        <f ca="1">IFERROR(__xludf.DUMMYFUNCTION("""COMPUTED_VALUE"""),"No")</f>
        <v>No</v>
      </c>
      <c r="AK1583" s="8" t="str">
        <f ca="1">IFERROR(__xludf.DUMMYFUNCTION("""COMPUTED_VALUE"""),"No")</f>
        <v>No</v>
      </c>
      <c r="AL1583" s="8"/>
      <c r="AM1583" s="8" t="str">
        <f ca="1">IFERROR(__xludf.DUMMYFUNCTION("""COMPUTED_VALUE"""),"No")</f>
        <v>No</v>
      </c>
      <c r="AN1583" s="8"/>
      <c r="AO1583" s="8" t="str">
        <f ca="1">IFERROR(__xludf.DUMMYFUNCTION("""COMPUTED_VALUE"""),"No")</f>
        <v>No</v>
      </c>
      <c r="AP1583" s="8"/>
      <c r="AQ1583" s="8"/>
      <c r="AR1583" s="8" t="str">
        <f ca="1">IFERROR(__xludf.DUMMYFUNCTION("""COMPUTED_VALUE"""),"Outside/Off-Property")</f>
        <v>Outside/Off-Property</v>
      </c>
      <c r="AS1583" s="8">
        <f ca="1">IFERROR(__xludf.DUMMYFUNCTION("""COMPUTED_VALUE"""),99)</f>
        <v>99</v>
      </c>
      <c r="AT1583" s="8" t="str">
        <f ca="1">IFERROR(__xludf.DUMMYFUNCTION("""COMPUTED_VALUE"""),"No")</f>
        <v>No</v>
      </c>
      <c r="AU1583" s="8">
        <f ca="1">IFERROR(__xludf.DUMMYFUNCTION("""COMPUTED_VALUE"""),38.89667)</f>
        <v>38.89667</v>
      </c>
      <c r="AV1583" s="8">
        <f ca="1">IFERROR(__xludf.DUMMYFUNCTION("""COMPUTED_VALUE"""),-76.9337)</f>
        <v>-76.933700000000002</v>
      </c>
      <c r="AW1583" s="8"/>
      <c r="AX1583" s="8">
        <f ca="1">IFERROR(__xludf.DUMMYFUNCTION("""COMPUTED_VALUE"""),20019)</f>
        <v>20019</v>
      </c>
    </row>
    <row r="1584" spans="1:50" ht="75" x14ac:dyDescent="0.2">
      <c r="A1584" s="8" t="str">
        <f ca="1">IFERROR(__xludf.DUMMYFUNCTION("""COMPUTED_VALUE"""),"20190920PASIP")</f>
        <v>20190920PASIP</v>
      </c>
      <c r="B1584" s="8">
        <f ca="1">IFERROR(__xludf.DUMMYFUNCTION("""COMPUTED_VALUE"""),9)</f>
        <v>9</v>
      </c>
      <c r="C1584" s="8">
        <f ca="1">IFERROR(__xludf.DUMMYFUNCTION("""COMPUTED_VALUE"""),20)</f>
        <v>20</v>
      </c>
      <c r="D1584" s="8">
        <f ca="1">IFERROR(__xludf.DUMMYFUNCTION("""COMPUTED_VALUE"""),2019)</f>
        <v>2019</v>
      </c>
      <c r="E1584" s="9">
        <f ca="1">IFERROR(__xludf.DUMMYFUNCTION("""COMPUTED_VALUE"""),43728)</f>
        <v>43728</v>
      </c>
      <c r="F1584" s="8" t="str">
        <f ca="1">IFERROR(__xludf.DUMMYFUNCTION("""COMPUTED_VALUE"""),"Simon Gratz High School Mastery Charter")</f>
        <v>Simon Gratz High School Mastery Charter</v>
      </c>
      <c r="G1584" s="8">
        <f ca="1">IFERROR(__xludf.DUMMYFUNCTION("""COMPUTED_VALUE"""),0)</f>
        <v>0</v>
      </c>
      <c r="H1584" s="8">
        <f ca="1">IFERROR(__xludf.DUMMYFUNCTION("""COMPUTED_VALUE"""),2)</f>
        <v>2</v>
      </c>
      <c r="I1584" s="8">
        <f ca="1">IFERROR(__xludf.DUMMYFUNCTION("""COMPUTED_VALUE"""),2)</f>
        <v>2</v>
      </c>
      <c r="J1584" s="8">
        <f ca="1">IFERROR(__xludf.DUMMYFUNCTION("""COMPUTED_VALUE"""),0)</f>
        <v>0</v>
      </c>
      <c r="K1584" s="8" t="str">
        <f ca="1">IFERROR(__xludf.DUMMYFUNCTION("""COMPUTED_VALUE"""),"https://www.nbcphiladelphia.com/news/local/Gunfire-at-Philadelphia-High-School-Causes-Evacuation-of-Stadium-560927061.html https://philadelphia.cbslocal.com/2019/09/20/two-teenagers-injured-double-shooting-high-school-football-game-philadelphia/ https://w"&amp;"ww.phillyvoice.com/shooting-simon-gratz-high-school-philadelphia-nicetown-football-game-police/")</f>
        <v>https://www.nbcphiladelphia.com/news/local/Gunfire-at-Philadelphia-High-School-Causes-Evacuation-of-Stadium-560927061.html https://philadelphia.cbslocal.com/2019/09/20/two-teenagers-injured-double-shooting-high-school-football-game-philadelphia/ https://www.phillyvoice.com/shooting-simon-gratz-high-school-philadelphia-nicetown-football-game-police/</v>
      </c>
      <c r="L1584" s="8"/>
      <c r="M1584" s="8"/>
      <c r="N1584" s="8">
        <f ca="1">IFERROR(__xludf.DUMMYFUNCTION("""COMPUTED_VALUE"""),4)</f>
        <v>4</v>
      </c>
      <c r="O1584" s="8" t="str">
        <f ca="1">IFERROR(__xludf.DUMMYFUNCTION("""COMPUTED_VALUE"""),"Fall")</f>
        <v>Fall</v>
      </c>
      <c r="P1584" s="8" t="str">
        <f ca="1">IFERROR(__xludf.DUMMYFUNCTION("""COMPUTED_VALUE"""),"Philadelphia")</f>
        <v>Philadelphia</v>
      </c>
      <c r="Q1584" s="8" t="str">
        <f ca="1">IFERROR(__xludf.DUMMYFUNCTION("""COMPUTED_VALUE"""),"PA")</f>
        <v>PA</v>
      </c>
      <c r="R1584" s="8" t="str">
        <f ca="1">IFERROR(__xludf.DUMMYFUNCTION("""COMPUTED_VALUE"""),"High")</f>
        <v>High</v>
      </c>
      <c r="S1584" s="8" t="str">
        <f ca="1">IFERROR(__xludf.DUMMYFUNCTION("""COMPUTED_VALUE"""),"Football Field/Track")</f>
        <v>Football Field/Track</v>
      </c>
      <c r="T1584" s="8" t="str">
        <f ca="1">IFERROR(__xludf.DUMMYFUNCTION("""COMPUTED_VALUE"""),"Outside on School Property")</f>
        <v>Outside on School Property</v>
      </c>
      <c r="U1584" s="8" t="str">
        <f ca="1">IFERROR(__xludf.DUMMYFUNCTION("""COMPUTED_VALUE"""),"No")</f>
        <v>No</v>
      </c>
      <c r="V1584" s="8" t="str">
        <f ca="1">IFERROR(__xludf.DUMMYFUNCTION("""COMPUTED_VALUE"""),"Sport Event")</f>
        <v>Sport Event</v>
      </c>
      <c r="W1584" s="11">
        <f ca="1">IFERROR(__xludf.DUMMYFUNCTION("""COMPUTED_VALUE"""),0.8125)</f>
        <v>0.8125</v>
      </c>
      <c r="X1584" s="8">
        <f ca="1">IFERROR(__xludf.DUMMYFUNCTION("""COMPUTED_VALUE"""),1)</f>
        <v>1</v>
      </c>
      <c r="Y1584" s="12" t="str">
        <f ca="1">IFERROR(__xludf.DUMMYFUNCTION("""COMPUTED_VALUE"""),"Two teens shot at football game, stadium evacuated")</f>
        <v>Two teens shot at football game, stadium evacuated</v>
      </c>
      <c r="Z1584" s="12" t="str">
        <f ca="1">IFERROR(__xludf.DUMMYFUNCTION("""COMPUTED_VALUE"""),"14YOM and 15YOM shot during high school football game. Shooter fled the area. Stadium was evacuated. Crowd in the bleachers ran across the football field when shots were heard. Motive and relation of victims/shooter to school unknown.")</f>
        <v>14YOM and 15YOM shot during high school football game. Shooter fled the area. Stadium was evacuated. Crowd in the bleachers ran across the football field when shots were heard. Motive and relation of victims/shooter to school unknown.</v>
      </c>
      <c r="AA1584" s="8" t="str">
        <f ca="1">IFERROR(__xludf.DUMMYFUNCTION("""COMPUTED_VALUE"""),"Escalation of Dispute")</f>
        <v>Escalation of Dispute</v>
      </c>
      <c r="AB1584" s="8"/>
      <c r="AC1584" s="8" t="str">
        <f ca="1">IFERROR(__xludf.DUMMYFUNCTION("""COMPUTED_VALUE"""),"Yes")</f>
        <v>Yes</v>
      </c>
      <c r="AD1584" s="8"/>
      <c r="AE1584" s="8"/>
      <c r="AF1584" s="8"/>
      <c r="AG1584" s="8" t="str">
        <f ca="1">IFERROR(__xludf.DUMMYFUNCTION("""COMPUTED_VALUE"""),"No")</f>
        <v>No</v>
      </c>
      <c r="AH1584" s="8" t="str">
        <f ca="1">IFERROR(__xludf.DUMMYFUNCTION("""COMPUTED_VALUE"""),"No")</f>
        <v>No</v>
      </c>
      <c r="AI1584" s="8" t="str">
        <f ca="1">IFERROR(__xludf.DUMMYFUNCTION("""COMPUTED_VALUE"""),"No")</f>
        <v>No</v>
      </c>
      <c r="AJ1584" s="8"/>
      <c r="AK1584" s="8" t="str">
        <f ca="1">IFERROR(__xludf.DUMMYFUNCTION("""COMPUTED_VALUE"""),"No")</f>
        <v>No</v>
      </c>
      <c r="AL1584" s="8"/>
      <c r="AM1584" s="8" t="str">
        <f ca="1">IFERROR(__xludf.DUMMYFUNCTION("""COMPUTED_VALUE"""),"No")</f>
        <v>No</v>
      </c>
      <c r="AN1584" s="8"/>
      <c r="AO1584" s="8" t="str">
        <f ca="1">IFERROR(__xludf.DUMMYFUNCTION("""COMPUTED_VALUE"""),"No")</f>
        <v>No</v>
      </c>
      <c r="AP1584" s="8"/>
      <c r="AQ1584" s="8" t="str">
        <f ca="1">IFERROR(__xludf.DUMMYFUNCTION("""COMPUTED_VALUE"""),"Unknown")</f>
        <v>Unknown</v>
      </c>
      <c r="AR1584" s="8" t="str">
        <f ca="1">IFERROR(__xludf.DUMMYFUNCTION("""COMPUTED_VALUE"""),"NA")</f>
        <v>NA</v>
      </c>
      <c r="AS1584" s="8"/>
      <c r="AT1584" s="8"/>
      <c r="AU1584" s="8">
        <f ca="1">IFERROR(__xludf.DUMMYFUNCTION("""COMPUTED_VALUE"""),40.017175)</f>
        <v>40.017175000000002</v>
      </c>
      <c r="AV1584" s="8">
        <f ca="1">IFERROR(__xludf.DUMMYFUNCTION("""COMPUTED_VALUE"""),-75.153029)</f>
        <v>-75.153029000000004</v>
      </c>
      <c r="AW1584" s="8"/>
      <c r="AX1584" s="8">
        <f ca="1">IFERROR(__xludf.DUMMYFUNCTION("""COMPUTED_VALUE"""),19140)</f>
        <v>19140</v>
      </c>
    </row>
    <row r="1585" spans="1:50" ht="90" x14ac:dyDescent="0.2">
      <c r="A1585" s="8" t="str">
        <f ca="1">IFERROR(__xludf.DUMMYFUNCTION("""COMPUTED_VALUE"""),"20190918MNFOC")</f>
        <v>20190918MNFOC</v>
      </c>
      <c r="B1585" s="8">
        <f ca="1">IFERROR(__xludf.DUMMYFUNCTION("""COMPUTED_VALUE"""),10)</f>
        <v>10</v>
      </c>
      <c r="C1585" s="8">
        <f ca="1">IFERROR(__xludf.DUMMYFUNCTION("""COMPUTED_VALUE"""),18)</f>
        <v>18</v>
      </c>
      <c r="D1585" s="8">
        <f ca="1">IFERROR(__xludf.DUMMYFUNCTION("""COMPUTED_VALUE"""),2019)</f>
        <v>2019</v>
      </c>
      <c r="E1585" s="9">
        <f ca="1">IFERROR(__xludf.DUMMYFUNCTION("""COMPUTED_VALUE"""),43756)</f>
        <v>43756</v>
      </c>
      <c r="F1585" s="8" t="str">
        <f ca="1">IFERROR(__xludf.DUMMYFUNCTION("""COMPUTED_VALUE"""),"Fond Du Lac Ojibwe High School")</f>
        <v>Fond Du Lac Ojibwe High School</v>
      </c>
      <c r="G1585" s="8">
        <f ca="1">IFERROR(__xludf.DUMMYFUNCTION("""COMPUTED_VALUE"""),0)</f>
        <v>0</v>
      </c>
      <c r="H1585" s="8">
        <f ca="1">IFERROR(__xludf.DUMMYFUNCTION("""COMPUTED_VALUE"""),1)</f>
        <v>1</v>
      </c>
      <c r="I1585" s="8">
        <f ca="1">IFERROR(__xludf.DUMMYFUNCTION("""COMPUTED_VALUE"""),1)</f>
        <v>1</v>
      </c>
      <c r="J1585" s="8">
        <f ca="1">IFERROR(__xludf.DUMMYFUNCTION("""COMPUTED_VALUE"""),0)</f>
        <v>0</v>
      </c>
      <c r="K1585" s="8" t="str">
        <f ca="1">IFERROR(__xludf.DUMMYFUNCTION("""COMPUTED_VALUE"""),"https://kbjr6.com/2020/09/30/felon-pleads-guilty-to-2019-shooting-near-fond-du-lac-high-school/ https://www.fox21online.com/2019/10/18/one-man-shot-suspect-in-custody-after-fond-du-lac-shooting/ https://www.startribune.com/fond-du-lac-ojibwe-school-on-loc"&amp;"kdown/563380572/")</f>
        <v>https://kbjr6.com/2020/09/30/felon-pleads-guilty-to-2019-shooting-near-fond-du-lac-high-school/ https://www.fox21online.com/2019/10/18/one-man-shot-suspect-in-custody-after-fond-du-lac-shooting/ https://www.startribune.com/fond-du-lac-ojibwe-school-on-lockdown/563380572/</v>
      </c>
      <c r="L1585" s="8">
        <f ca="1">IFERROR(__xludf.DUMMYFUNCTION("""COMPUTED_VALUE"""),3)</f>
        <v>3</v>
      </c>
      <c r="M1585" s="8" t="str">
        <f ca="1">IFERROR(__xludf.DUMMYFUNCTION("""COMPUTED_VALUE"""),"Regional")</f>
        <v>Regional</v>
      </c>
      <c r="N1585" s="8">
        <f ca="1">IFERROR(__xludf.DUMMYFUNCTION("""COMPUTED_VALUE"""),5)</f>
        <v>5</v>
      </c>
      <c r="O1585" s="8" t="str">
        <f ca="1">IFERROR(__xludf.DUMMYFUNCTION("""COMPUTED_VALUE"""),"Fall")</f>
        <v>Fall</v>
      </c>
      <c r="P1585" s="8" t="str">
        <f ca="1">IFERROR(__xludf.DUMMYFUNCTION("""COMPUTED_VALUE"""),"Cloquet")</f>
        <v>Cloquet</v>
      </c>
      <c r="Q1585" s="8" t="str">
        <f ca="1">IFERROR(__xludf.DUMMYFUNCTION("""COMPUTED_VALUE"""),"MN")</f>
        <v>MN</v>
      </c>
      <c r="R1585" s="8" t="str">
        <f ca="1">IFERROR(__xludf.DUMMYFUNCTION("""COMPUTED_VALUE"""),"High")</f>
        <v>High</v>
      </c>
      <c r="S1585" s="8" t="str">
        <f ca="1">IFERROR(__xludf.DUMMYFUNCTION("""COMPUTED_VALUE"""),"Outside on School Property")</f>
        <v>Outside on School Property</v>
      </c>
      <c r="T1585" s="8" t="str">
        <f ca="1">IFERROR(__xludf.DUMMYFUNCTION("""COMPUTED_VALUE"""),"Outside on School Property")</f>
        <v>Outside on School Property</v>
      </c>
      <c r="U1585" s="8" t="str">
        <f ca="1">IFERROR(__xludf.DUMMYFUNCTION("""COMPUTED_VALUE"""),"Yes")</f>
        <v>Yes</v>
      </c>
      <c r="V1585" s="8"/>
      <c r="W1585" s="11">
        <f ca="1">IFERROR(__xludf.DUMMYFUNCTION("""COMPUTED_VALUE"""),0.416666666666666)</f>
        <v>0.41666666666666602</v>
      </c>
      <c r="X1585" s="8">
        <f ca="1">IFERROR(__xludf.DUMMYFUNCTION("""COMPUTED_VALUE"""),1)</f>
        <v>1</v>
      </c>
      <c r="Y1585" s="12" t="str">
        <f ca="1">IFERROR(__xludf.DUMMYFUNCTION("""COMPUTED_VALUE"""),"Man shot his sister's boyfriend in the head")</f>
        <v>Man shot his sister's boyfriend in the head</v>
      </c>
      <c r="Z1585" s="12" t="str">
        <f ca="1">IFERROR(__xludf.DUMMYFUNCTION("""COMPUTED_VALUE"""),"Following a funeral being held in one of the school buildings, a 28 year-old male fired one shot at his sister's boyfriend striking him in the head. School was not in session due to an administrative break day but students were present for other activitie"&amp;"s on the campus. The school was locked down for 2 hours. The shooter was arrested at the scene.")</f>
        <v>Following a funeral being held in one of the school buildings, a 28 year-old male fired one shot at his sister's boyfriend striking him in the head. School was not in session due to an administrative break day but students were present for other activities on the campus. The school was locked down for 2 hours. The shooter was arrested at the scene.</v>
      </c>
      <c r="AA1585" s="8" t="str">
        <f ca="1">IFERROR(__xludf.DUMMYFUNCTION("""COMPUTED_VALUE"""),"Domestic w/ Targeted Victim")</f>
        <v>Domestic w/ Targeted Victim</v>
      </c>
      <c r="AB1585" s="8"/>
      <c r="AC1585" s="8" t="str">
        <f ca="1">IFERROR(__xludf.DUMMYFUNCTION("""COMPUTED_VALUE"""),"No")</f>
        <v>No</v>
      </c>
      <c r="AD1585" s="8" t="str">
        <f ca="1">IFERROR(__xludf.DUMMYFUNCTION("""COMPUTED_VALUE"""),"Victims Targeted")</f>
        <v>Victims Targeted</v>
      </c>
      <c r="AE1585" s="8" t="str">
        <f ca="1">IFERROR(__xludf.DUMMYFUNCTION("""COMPUTED_VALUE"""),"No")</f>
        <v>No</v>
      </c>
      <c r="AF1585" s="8"/>
      <c r="AG1585" s="8" t="str">
        <f ca="1">IFERROR(__xludf.DUMMYFUNCTION("""COMPUTED_VALUE"""),"No")</f>
        <v>No</v>
      </c>
      <c r="AH1585" s="8" t="str">
        <f ca="1">IFERROR(__xludf.DUMMYFUNCTION("""COMPUTED_VALUE"""),"No")</f>
        <v>No</v>
      </c>
      <c r="AI1585" s="8" t="str">
        <f ca="1">IFERROR(__xludf.DUMMYFUNCTION("""COMPUTED_VALUE"""),"No")</f>
        <v>No</v>
      </c>
      <c r="AJ1585" s="8" t="str">
        <f ca="1">IFERROR(__xludf.DUMMYFUNCTION("""COMPUTED_VALUE"""),"No")</f>
        <v>No</v>
      </c>
      <c r="AK1585" s="8" t="str">
        <f ca="1">IFERROR(__xludf.DUMMYFUNCTION("""COMPUTED_VALUE"""),"Yes")</f>
        <v>Yes</v>
      </c>
      <c r="AL1585" s="8" t="str">
        <f ca="1">IFERROR(__xludf.DUMMYFUNCTION("""COMPUTED_VALUE"""),"No")</f>
        <v>No</v>
      </c>
      <c r="AM1585" s="8" t="str">
        <f ca="1">IFERROR(__xludf.DUMMYFUNCTION("""COMPUTED_VALUE"""),"No")</f>
        <v>No</v>
      </c>
      <c r="AN1585" s="8"/>
      <c r="AO1585" s="8" t="str">
        <f ca="1">IFERROR(__xludf.DUMMYFUNCTION("""COMPUTED_VALUE"""),"No")</f>
        <v>No</v>
      </c>
      <c r="AP1585" s="8"/>
      <c r="AQ1585" s="8"/>
      <c r="AR1585" s="8" t="str">
        <f ca="1">IFERROR(__xludf.DUMMYFUNCTION("""COMPUTED_VALUE"""),"Outside/Off-Property")</f>
        <v>Outside/Off-Property</v>
      </c>
      <c r="AS1585" s="8">
        <f ca="1">IFERROR(__xludf.DUMMYFUNCTION("""COMPUTED_VALUE"""),1)</f>
        <v>1</v>
      </c>
      <c r="AT1585" s="8" t="str">
        <f ca="1">IFERROR(__xludf.DUMMYFUNCTION("""COMPUTED_VALUE"""),"Yes")</f>
        <v>Yes</v>
      </c>
      <c r="AU1585" s="8">
        <f ca="1">IFERROR(__xludf.DUMMYFUNCTION("""COMPUTED_VALUE"""),46.710924)</f>
        <v>46.710923999999999</v>
      </c>
      <c r="AV1585" s="8">
        <f ca="1">IFERROR(__xludf.DUMMYFUNCTION("""COMPUTED_VALUE"""),-92.512936)</f>
        <v>-92.512935999999996</v>
      </c>
      <c r="AW1585" s="8"/>
      <c r="AX1585" s="8">
        <f ca="1">IFERROR(__xludf.DUMMYFUNCTION("""COMPUTED_VALUE"""),55720)</f>
        <v>55720</v>
      </c>
    </row>
    <row r="1586" spans="1:50" ht="105" x14ac:dyDescent="0.2">
      <c r="A1586" s="8" t="str">
        <f ca="1">IFERROR(__xludf.DUMMYFUNCTION("""COMPUTED_VALUE"""),"20190916VAPHH")</f>
        <v>20190916VAPHH</v>
      </c>
      <c r="B1586" s="8">
        <f ca="1">IFERROR(__xludf.DUMMYFUNCTION("""COMPUTED_VALUE"""),9)</f>
        <v>9</v>
      </c>
      <c r="C1586" s="8">
        <f ca="1">IFERROR(__xludf.DUMMYFUNCTION("""COMPUTED_VALUE"""),16)</f>
        <v>16</v>
      </c>
      <c r="D1586" s="8">
        <f ca="1">IFERROR(__xludf.DUMMYFUNCTION("""COMPUTED_VALUE"""),2019)</f>
        <v>2019</v>
      </c>
      <c r="E1586" s="9">
        <f ca="1">IFERROR(__xludf.DUMMYFUNCTION("""COMPUTED_VALUE"""),43724)</f>
        <v>43724</v>
      </c>
      <c r="F1586" s="8" t="str">
        <f ca="1">IFERROR(__xludf.DUMMYFUNCTION("""COMPUTED_VALUE"""),"Phoebus High School")</f>
        <v>Phoebus High School</v>
      </c>
      <c r="G1586" s="8">
        <f ca="1">IFERROR(__xludf.DUMMYFUNCTION("""COMPUTED_VALUE"""),1)</f>
        <v>1</v>
      </c>
      <c r="H1586" s="8">
        <f ca="1">IFERROR(__xludf.DUMMYFUNCTION("""COMPUTED_VALUE"""),0)</f>
        <v>0</v>
      </c>
      <c r="I1586" s="8">
        <f ca="1">IFERROR(__xludf.DUMMYFUNCTION("""COMPUTED_VALUE"""),1)</f>
        <v>1</v>
      </c>
      <c r="J1586" s="8">
        <f ca="1">IFERROR(__xludf.DUMMYFUNCTION("""COMPUTED_VALUE"""),0)</f>
        <v>0</v>
      </c>
      <c r="K1586" s="8" t="str">
        <f ca="1">IFERROR(__xludf.DUMMYFUNCTION("""COMPUTED_VALUE"""),"https://wtkr.com/2019/09/16/hampton-high-school-under-lockdown-after-nearby-shooting-injures-man/ https://www.dailypress.com/news/crime/dp-nw-phoebus-high-shooting-20190916-xrx5mcohbrd2vgdxondnmod4sm-story.html")</f>
        <v>https://wtkr.com/2019/09/16/hampton-high-school-under-lockdown-after-nearby-shooting-injures-man/ https://www.dailypress.com/news/crime/dp-nw-phoebus-high-shooting-20190916-xrx5mcohbrd2vgdxondnmod4sm-story.html</v>
      </c>
      <c r="L1586" s="8"/>
      <c r="M1586" s="8"/>
      <c r="N1586" s="8">
        <f ca="1">IFERROR(__xludf.DUMMYFUNCTION("""COMPUTED_VALUE"""),4)</f>
        <v>4</v>
      </c>
      <c r="O1586" s="8" t="str">
        <f ca="1">IFERROR(__xludf.DUMMYFUNCTION("""COMPUTED_VALUE"""),"Fall")</f>
        <v>Fall</v>
      </c>
      <c r="P1586" s="8" t="str">
        <f ca="1">IFERROR(__xludf.DUMMYFUNCTION("""COMPUTED_VALUE"""),"Hampton")</f>
        <v>Hampton</v>
      </c>
      <c r="Q1586" s="8" t="str">
        <f ca="1">IFERROR(__xludf.DUMMYFUNCTION("""COMPUTED_VALUE"""),"VA")</f>
        <v>VA</v>
      </c>
      <c r="R1586" s="8" t="str">
        <f ca="1">IFERROR(__xludf.DUMMYFUNCTION("""COMPUTED_VALUE"""),"High")</f>
        <v>High</v>
      </c>
      <c r="S1586" s="8" t="str">
        <f ca="1">IFERROR(__xludf.DUMMYFUNCTION("""COMPUTED_VALUE"""),"Parking Lot")</f>
        <v>Parking Lot</v>
      </c>
      <c r="T1586" s="8" t="str">
        <f ca="1">IFERROR(__xludf.DUMMYFUNCTION("""COMPUTED_VALUE"""),"Off School Property")</f>
        <v>Off School Property</v>
      </c>
      <c r="U1586" s="8" t="str">
        <f ca="1">IFERROR(__xludf.DUMMYFUNCTION("""COMPUTED_VALUE"""),"Yes")</f>
        <v>Yes</v>
      </c>
      <c r="V1586" s="8" t="str">
        <f ca="1">IFERROR(__xludf.DUMMYFUNCTION("""COMPUTED_VALUE"""),"Morning Classes")</f>
        <v>Morning Classes</v>
      </c>
      <c r="W1586" s="11">
        <f ca="1">IFERROR(__xludf.DUMMYFUNCTION("""COMPUTED_VALUE"""),0.496527777777777)</f>
        <v>0.49652777777777701</v>
      </c>
      <c r="X1586" s="8">
        <f ca="1">IFERROR(__xludf.DUMMYFUNCTION("""COMPUTED_VALUE"""),1)</f>
        <v>1</v>
      </c>
      <c r="Y1586" s="12" t="str">
        <f ca="1">IFERROR(__xludf.DUMMYFUNCTION("""COMPUTED_VALUE"""),"Man shot across the street from the school and died in school parking lot during classes")</f>
        <v>Man shot across the street from the school and died in school parking lot during classes</v>
      </c>
      <c r="Z1586" s="12" t="str">
        <f ca="1">IFERROR(__xludf.DUMMYFUNCTION("""COMPUTED_VALUE"""),"38YOM shot by unidentified shooter (arrested) in vehicle across the street from the school. Victim walked across street after being shot and collapsed in school parking lot. Neighbors heard shots and attempted to assist shooting victim. Shooting occurred "&amp;"at noon and school was placed on lockdown until 3pm. After school activities were canceled.")</f>
        <v>38YOM shot by unidentified shooter (arrested) in vehicle across the street from the school. Victim walked across street after being shot and collapsed in school parking lot. Neighbors heard shots and attempted to assist shooting victim. Shooting occurred at noon and school was placed on lockdown until 3pm. After school activities were canceled.</v>
      </c>
      <c r="AA1586" s="8" t="str">
        <f ca="1">IFERROR(__xludf.DUMMYFUNCTION("""COMPUTED_VALUE"""),"Unknown")</f>
        <v>Unknown</v>
      </c>
      <c r="AB1586" s="8"/>
      <c r="AC1586" s="8" t="str">
        <f ca="1">IFERROR(__xludf.DUMMYFUNCTION("""COMPUTED_VALUE"""),"Yes")</f>
        <v>Yes</v>
      </c>
      <c r="AD1586" s="8" t="str">
        <f ca="1">IFERROR(__xludf.DUMMYFUNCTION("""COMPUTED_VALUE"""),"Victims Targeted")</f>
        <v>Victims Targeted</v>
      </c>
      <c r="AE1586" s="8" t="str">
        <f ca="1">IFERROR(__xludf.DUMMYFUNCTION("""COMPUTED_VALUE"""),"No")</f>
        <v>No</v>
      </c>
      <c r="AF1586" s="8"/>
      <c r="AG1586" s="8" t="str">
        <f ca="1">IFERROR(__xludf.DUMMYFUNCTION("""COMPUTED_VALUE"""),"No")</f>
        <v>No</v>
      </c>
      <c r="AH1586" s="8" t="str">
        <f ca="1">IFERROR(__xludf.DUMMYFUNCTION("""COMPUTED_VALUE"""),"No")</f>
        <v>No</v>
      </c>
      <c r="AI1586" s="8" t="str">
        <f ca="1">IFERROR(__xludf.DUMMYFUNCTION("""COMPUTED_VALUE"""),"No")</f>
        <v>No</v>
      </c>
      <c r="AJ1586" s="8" t="str">
        <f ca="1">IFERROR(__xludf.DUMMYFUNCTION("""COMPUTED_VALUE"""),"No")</f>
        <v>No</v>
      </c>
      <c r="AK1586" s="8" t="str">
        <f ca="1">IFERROR(__xludf.DUMMYFUNCTION("""COMPUTED_VALUE"""),"No")</f>
        <v>No</v>
      </c>
      <c r="AL1586" s="8"/>
      <c r="AM1586" s="8" t="str">
        <f ca="1">IFERROR(__xludf.DUMMYFUNCTION("""COMPUTED_VALUE"""),"No")</f>
        <v>No</v>
      </c>
      <c r="AN1586" s="8"/>
      <c r="AO1586" s="8" t="str">
        <f ca="1">IFERROR(__xludf.DUMMYFUNCTION("""COMPUTED_VALUE"""),"No")</f>
        <v>No</v>
      </c>
      <c r="AP1586" s="8"/>
      <c r="AQ1586" s="8" t="str">
        <f ca="1">IFERROR(__xludf.DUMMYFUNCTION("""COMPUTED_VALUE"""),"Unknown")</f>
        <v>Unknown</v>
      </c>
      <c r="AR1586" s="8" t="str">
        <f ca="1">IFERROR(__xludf.DUMMYFUNCTION("""COMPUTED_VALUE"""),"Outside/Off-Property")</f>
        <v>Outside/Off-Property</v>
      </c>
      <c r="AS1586" s="8" t="str">
        <f ca="1">IFERROR(__xludf.DUMMYFUNCTION("""COMPUTED_VALUE"""),"&lt;10")</f>
        <v>&lt;10</v>
      </c>
      <c r="AT1586" s="8" t="str">
        <f ca="1">IFERROR(__xludf.DUMMYFUNCTION("""COMPUTED_VALUE"""),"Yes")</f>
        <v>Yes</v>
      </c>
      <c r="AU1586" s="8">
        <f ca="1">IFERROR(__xludf.DUMMYFUNCTION("""COMPUTED_VALUE"""),37.033836)</f>
        <v>37.033836000000001</v>
      </c>
      <c r="AV1586" s="8">
        <f ca="1">IFERROR(__xludf.DUMMYFUNCTION("""COMPUTED_VALUE"""),-76.316447)</f>
        <v>-76.316446999999997</v>
      </c>
      <c r="AW1586" s="8"/>
      <c r="AX1586" s="8">
        <f ca="1">IFERROR(__xludf.DUMMYFUNCTION("""COMPUTED_VALUE"""),23663)</f>
        <v>23663</v>
      </c>
    </row>
    <row r="1587" spans="1:50" ht="60" x14ac:dyDescent="0.2">
      <c r="A1587" s="8" t="str">
        <f ca="1">IFERROR(__xludf.DUMMYFUNCTION("""COMPUTED_VALUE"""),"20190916ILILK")</f>
        <v>20190916ILILK</v>
      </c>
      <c r="B1587" s="8">
        <f ca="1">IFERROR(__xludf.DUMMYFUNCTION("""COMPUTED_VALUE"""),9)</f>
        <v>9</v>
      </c>
      <c r="C1587" s="8">
        <f ca="1">IFERROR(__xludf.DUMMYFUNCTION("""COMPUTED_VALUE"""),16)</f>
        <v>16</v>
      </c>
      <c r="D1587" s="8">
        <f ca="1">IFERROR(__xludf.DUMMYFUNCTION("""COMPUTED_VALUE"""),2019)</f>
        <v>2019</v>
      </c>
      <c r="E1587" s="9">
        <f ca="1">IFERROR(__xludf.DUMMYFUNCTION("""COMPUTED_VALUE"""),43724)</f>
        <v>43724</v>
      </c>
      <c r="F1587" s="8" t="str">
        <f ca="1">IFERROR(__xludf.DUMMYFUNCTION("""COMPUTED_VALUE"""),"Illinois Central School Bus")</f>
        <v>Illinois Central School Bus</v>
      </c>
      <c r="G1587" s="8">
        <f ca="1">IFERROR(__xludf.DUMMYFUNCTION("""COMPUTED_VALUE"""),0)</f>
        <v>0</v>
      </c>
      <c r="H1587" s="8">
        <f ca="1">IFERROR(__xludf.DUMMYFUNCTION("""COMPUTED_VALUE"""),0)</f>
        <v>0</v>
      </c>
      <c r="I1587" s="8">
        <f ca="1">IFERROR(__xludf.DUMMYFUNCTION("""COMPUTED_VALUE"""),0)</f>
        <v>0</v>
      </c>
      <c r="J1587" s="8">
        <f ca="1">IFERROR(__xludf.DUMMYFUNCTION("""COMPUTED_VALUE"""),0)</f>
        <v>0</v>
      </c>
      <c r="K1587" s="8" t="str">
        <f ca="1">IFERROR(__xludf.DUMMYFUNCTION("""COMPUTED_VALUE"""),"https://www.daily-journal.com/news/crime/shots-fired-near-gang-nuisance-house/article_5dd3a726-155f-11ea-bf55-0304bb4aed72.html https://www.daily-journal.com/news/crime/kankakee-police-investigate-apparent-drive-by-shooting-on-south-lincoln/article_db73fa"&amp;"f6-d8c8-11e9-8756-07c7cca6d2b5.html")</f>
        <v>https://www.daily-journal.com/news/crime/shots-fired-near-gang-nuisance-house/article_5dd3a726-155f-11ea-bf55-0304bb4aed72.html https://www.daily-journal.com/news/crime/kankakee-police-investigate-apparent-drive-by-shooting-on-south-lincoln/article_db73faf6-d8c8-11e9-8756-07c7cca6d2b5.html</v>
      </c>
      <c r="L1587" s="8"/>
      <c r="M1587" s="8"/>
      <c r="N1587" s="8">
        <f ca="1">IFERROR(__xludf.DUMMYFUNCTION("""COMPUTED_VALUE"""),3)</f>
        <v>3</v>
      </c>
      <c r="O1587" s="8" t="str">
        <f ca="1">IFERROR(__xludf.DUMMYFUNCTION("""COMPUTED_VALUE"""),"Fall")</f>
        <v>Fall</v>
      </c>
      <c r="P1587" s="8" t="str">
        <f ca="1">IFERROR(__xludf.DUMMYFUNCTION("""COMPUTED_VALUE"""),"Kankakee")</f>
        <v>Kankakee</v>
      </c>
      <c r="Q1587" s="8" t="str">
        <f ca="1">IFERROR(__xludf.DUMMYFUNCTION("""COMPUTED_VALUE"""),"IL")</f>
        <v>IL</v>
      </c>
      <c r="R1587" s="8"/>
      <c r="S1587" s="8" t="str">
        <f ca="1">IFERROR(__xludf.DUMMYFUNCTION("""COMPUTED_VALUE"""),"School Bus")</f>
        <v>School Bus</v>
      </c>
      <c r="T1587" s="8" t="str">
        <f ca="1">IFERROR(__xludf.DUMMYFUNCTION("""COMPUTED_VALUE"""),"School Bus")</f>
        <v>School Bus</v>
      </c>
      <c r="U1587" s="8" t="str">
        <f ca="1">IFERROR(__xludf.DUMMYFUNCTION("""COMPUTED_VALUE"""),"Yes")</f>
        <v>Yes</v>
      </c>
      <c r="V1587" s="8" t="str">
        <f ca="1">IFERROR(__xludf.DUMMYFUNCTION("""COMPUTED_VALUE"""),"Dismissal")</f>
        <v>Dismissal</v>
      </c>
      <c r="W1587" s="11">
        <f ca="1">IFERROR(__xludf.DUMMYFUNCTION("""COMPUTED_VALUE"""),0.638888888888888)</f>
        <v>0.63888888888888795</v>
      </c>
      <c r="X1587" s="8">
        <f ca="1">IFERROR(__xludf.DUMMYFUNCTION("""COMPUTED_VALUE"""),1)</f>
        <v>1</v>
      </c>
      <c r="Y1587" s="12" t="str">
        <f ca="1">IFERROR(__xludf.DUMMYFUNCTION("""COMPUTED_VALUE"""),"Occupied school bus struck by gunfire during gang fight")</f>
        <v>Occupied school bus struck by gunfire during gang fight</v>
      </c>
      <c r="Z1587" s="12" t="str">
        <f ca="1">IFERROR(__xludf.DUMMYFUNCTION("""COMPUTED_VALUE"""),"School bus with students struck by bullet on neighborhood street. Area is known for gang activity. No injuries.")</f>
        <v>School bus with students struck by bullet on neighborhood street. Area is known for gang activity. No injuries.</v>
      </c>
      <c r="AA1587" s="8" t="str">
        <f ca="1">IFERROR(__xludf.DUMMYFUNCTION("""COMPUTED_VALUE"""),"Unknown")</f>
        <v>Unknown</v>
      </c>
      <c r="AB1587" s="8"/>
      <c r="AC1587" s="8" t="str">
        <f ca="1">IFERROR(__xludf.DUMMYFUNCTION("""COMPUTED_VALUE"""),"Yes")</f>
        <v>Yes</v>
      </c>
      <c r="AD1587" s="8" t="str">
        <f ca="1">IFERROR(__xludf.DUMMYFUNCTION("""COMPUTED_VALUE"""),"Victims Targeted")</f>
        <v>Victims Targeted</v>
      </c>
      <c r="AE1587" s="8"/>
      <c r="AF1587" s="8"/>
      <c r="AG1587" s="8" t="str">
        <f ca="1">IFERROR(__xludf.DUMMYFUNCTION("""COMPUTED_VALUE"""),"No")</f>
        <v>No</v>
      </c>
      <c r="AH1587" s="8" t="str">
        <f ca="1">IFERROR(__xludf.DUMMYFUNCTION("""COMPUTED_VALUE"""),"No")</f>
        <v>No</v>
      </c>
      <c r="AI1587" s="8" t="str">
        <f ca="1">IFERROR(__xludf.DUMMYFUNCTION("""COMPUTED_VALUE"""),"No")</f>
        <v>No</v>
      </c>
      <c r="AJ1587" s="8" t="str">
        <f ca="1">IFERROR(__xludf.DUMMYFUNCTION("""COMPUTED_VALUE"""),"No")</f>
        <v>No</v>
      </c>
      <c r="AK1587" s="8" t="str">
        <f ca="1">IFERROR(__xludf.DUMMYFUNCTION("""COMPUTED_VALUE"""),"No")</f>
        <v>No</v>
      </c>
      <c r="AL1587" s="8" t="str">
        <f ca="1">IFERROR(__xludf.DUMMYFUNCTION("""COMPUTED_VALUE"""),"Yes")</f>
        <v>Yes</v>
      </c>
      <c r="AM1587" s="8" t="str">
        <f ca="1">IFERROR(__xludf.DUMMYFUNCTION("""COMPUTED_VALUE"""),"No")</f>
        <v>No</v>
      </c>
      <c r="AN1587" s="8"/>
      <c r="AO1587" s="8" t="str">
        <f ca="1">IFERROR(__xludf.DUMMYFUNCTION("""COMPUTED_VALUE"""),"No")</f>
        <v>No</v>
      </c>
      <c r="AP1587" s="8"/>
      <c r="AQ1587" s="8" t="str">
        <f ca="1">IFERROR(__xludf.DUMMYFUNCTION("""COMPUTED_VALUE"""),"Unknown")</f>
        <v>Unknown</v>
      </c>
      <c r="AR1587" s="8" t="str">
        <f ca="1">IFERROR(__xludf.DUMMYFUNCTION("""COMPUTED_VALUE"""),"Outside/Off-Property")</f>
        <v>Outside/Off-Property</v>
      </c>
      <c r="AS1587" s="8"/>
      <c r="AT1587" s="8"/>
      <c r="AU1587" s="8">
        <f ca="1">IFERROR(__xludf.DUMMYFUNCTION("""COMPUTED_VALUE"""),41.114274)</f>
        <v>41.114274000000002</v>
      </c>
      <c r="AV1587" s="8">
        <f ca="1">IFERROR(__xludf.DUMMYFUNCTION("""COMPUTED_VALUE"""),-87.848173)</f>
        <v>-87.848173000000003</v>
      </c>
      <c r="AW1587" s="8"/>
      <c r="AX1587" s="8">
        <f ca="1">IFERROR(__xludf.DUMMYFUNCTION("""COMPUTED_VALUE"""),60901)</f>
        <v>60901</v>
      </c>
    </row>
    <row r="1588" spans="1:50" ht="90" x14ac:dyDescent="0.2">
      <c r="A1588" s="8" t="str">
        <f ca="1">IFERROR(__xludf.DUMMYFUNCTION("""COMPUTED_VALUE"""),"20190914TXEAF")</f>
        <v>20190914TXEAF</v>
      </c>
      <c r="B1588" s="8">
        <f ca="1">IFERROR(__xludf.DUMMYFUNCTION("""COMPUTED_VALUE"""),9)</f>
        <v>9</v>
      </c>
      <c r="C1588" s="8">
        <f ca="1">IFERROR(__xludf.DUMMYFUNCTION("""COMPUTED_VALUE"""),14)</f>
        <v>14</v>
      </c>
      <c r="D1588" s="8">
        <f ca="1">IFERROR(__xludf.DUMMYFUNCTION("""COMPUTED_VALUE"""),2019)</f>
        <v>2019</v>
      </c>
      <c r="E1588" s="9">
        <f ca="1">IFERROR(__xludf.DUMMYFUNCTION("""COMPUTED_VALUE"""),43722)</f>
        <v>43722</v>
      </c>
      <c r="F1588" s="8" t="str">
        <f ca="1">IFERROR(__xludf.DUMMYFUNCTION("""COMPUTED_VALUE"""),"Eastern Hills High School")</f>
        <v>Eastern Hills High School</v>
      </c>
      <c r="G1588" s="8">
        <f ca="1">IFERROR(__xludf.DUMMYFUNCTION("""COMPUTED_VALUE"""),0)</f>
        <v>0</v>
      </c>
      <c r="H1588" s="8">
        <f ca="1">IFERROR(__xludf.DUMMYFUNCTION("""COMPUTED_VALUE"""),2)</f>
        <v>2</v>
      </c>
      <c r="I1588" s="8">
        <f ca="1">IFERROR(__xludf.DUMMYFUNCTION("""COMPUTED_VALUE"""),2)</f>
        <v>2</v>
      </c>
      <c r="J1588" s="8">
        <f ca="1">IFERROR(__xludf.DUMMYFUNCTION("""COMPUTED_VALUE"""),0)</f>
        <v>0</v>
      </c>
      <c r="K1588" s="10" t="str">
        <f ca="1">IFERROR(__xludf.DUMMYFUNCTION("""COMPUTED_VALUE"""),"https://dfw.cbslocal.com/2019/09/14/dispute-pee-wee-football-game-shooting-2-injured-fort-worth/")</f>
        <v>https://dfw.cbslocal.com/2019/09/14/dispute-pee-wee-football-game-shooting-2-injured-fort-worth/</v>
      </c>
      <c r="L1588" s="8"/>
      <c r="M1588" s="8"/>
      <c r="N1588" s="8">
        <f ca="1">IFERROR(__xludf.DUMMYFUNCTION("""COMPUTED_VALUE"""),4)</f>
        <v>4</v>
      </c>
      <c r="O1588" s="8" t="str">
        <f ca="1">IFERROR(__xludf.DUMMYFUNCTION("""COMPUTED_VALUE"""),"Fall")</f>
        <v>Fall</v>
      </c>
      <c r="P1588" s="8" t="str">
        <f ca="1">IFERROR(__xludf.DUMMYFUNCTION("""COMPUTED_VALUE"""),"Fort Worth")</f>
        <v>Fort Worth</v>
      </c>
      <c r="Q1588" s="8" t="str">
        <f ca="1">IFERROR(__xludf.DUMMYFUNCTION("""COMPUTED_VALUE"""),"TX")</f>
        <v>TX</v>
      </c>
      <c r="R1588" s="8" t="str">
        <f ca="1">IFERROR(__xludf.DUMMYFUNCTION("""COMPUTED_VALUE"""),"High")</f>
        <v>High</v>
      </c>
      <c r="S1588" s="8" t="str">
        <f ca="1">IFERROR(__xludf.DUMMYFUNCTION("""COMPUTED_VALUE"""),"Football Field/Track")</f>
        <v>Football Field/Track</v>
      </c>
      <c r="T1588" s="8" t="str">
        <f ca="1">IFERROR(__xludf.DUMMYFUNCTION("""COMPUTED_VALUE"""),"Outside on School Property")</f>
        <v>Outside on School Property</v>
      </c>
      <c r="U1588" s="8" t="str">
        <f ca="1">IFERROR(__xludf.DUMMYFUNCTION("""COMPUTED_VALUE"""),"No")</f>
        <v>No</v>
      </c>
      <c r="V1588" s="8" t="str">
        <f ca="1">IFERROR(__xludf.DUMMYFUNCTION("""COMPUTED_VALUE"""),"Sport Event")</f>
        <v>Sport Event</v>
      </c>
      <c r="W1588" s="11">
        <f ca="1">IFERROR(__xludf.DUMMYFUNCTION("""COMPUTED_VALUE"""),0.65625)</f>
        <v>0.65625</v>
      </c>
      <c r="X1588" s="8">
        <f ca="1">IFERROR(__xludf.DUMMYFUNCTION("""COMPUTED_VALUE"""),1)</f>
        <v>1</v>
      </c>
      <c r="Y1588" s="12" t="str">
        <f ca="1">IFERROR(__xludf.DUMMYFUNCTION("""COMPUTED_VALUE"""),"Shots fired during fight between parents at youth football game")</f>
        <v>Shots fired during fight between parents at youth football game</v>
      </c>
      <c r="Z1588" s="12" t="str">
        <f ca="1">IFERROR(__xludf.DUMMYFUNCTION("""COMPUTED_VALUE"""),"Shots fired following fight between parents at private youth league football game on the school property. Mother involved in the fight called son who arrived at football field and fired between 10-30 shots at the fans on the opposite sideline. Adult femal"&amp;"e was shot in the leg and 12YOF was injured (not GSW). Shooter fled the scene.")</f>
        <v>Shots fired following fight between parents at private youth league football game on the school property. Mother involved in the fight called son who arrived at football field and fired between 10-30 shots at the fans on the opposite sideline. Adult female was shot in the leg and 12YOF was injured (not GSW). Shooter fled the scene.</v>
      </c>
      <c r="AA1588" s="8" t="str">
        <f ca="1">IFERROR(__xludf.DUMMYFUNCTION("""COMPUTED_VALUE"""),"Escalation of Dispute")</f>
        <v>Escalation of Dispute</v>
      </c>
      <c r="AB1588" s="8"/>
      <c r="AC1588" s="8" t="str">
        <f ca="1">IFERROR(__xludf.DUMMYFUNCTION("""COMPUTED_VALUE"""),"No")</f>
        <v>No</v>
      </c>
      <c r="AD1588" s="8" t="str">
        <f ca="1">IFERROR(__xludf.DUMMYFUNCTION("""COMPUTED_VALUE"""),"Both")</f>
        <v>Both</v>
      </c>
      <c r="AE1588" s="8" t="str">
        <f ca="1">IFERROR(__xludf.DUMMYFUNCTION("""COMPUTED_VALUE"""),"Yes")</f>
        <v>Yes</v>
      </c>
      <c r="AF1588" s="8" t="str">
        <f ca="1">IFERROR(__xludf.DUMMYFUNCTION("""COMPUTED_VALUE"""),"Mother called son following fight")</f>
        <v>Mother called son following fight</v>
      </c>
      <c r="AG1588" s="8" t="str">
        <f ca="1">IFERROR(__xludf.DUMMYFUNCTION("""COMPUTED_VALUE"""),"No")</f>
        <v>No</v>
      </c>
      <c r="AH1588" s="8" t="str">
        <f ca="1">IFERROR(__xludf.DUMMYFUNCTION("""COMPUTED_VALUE"""),"No")</f>
        <v>No</v>
      </c>
      <c r="AI1588" s="8" t="str">
        <f ca="1">IFERROR(__xludf.DUMMYFUNCTION("""COMPUTED_VALUE"""),"No")</f>
        <v>No</v>
      </c>
      <c r="AJ1588" s="8" t="str">
        <f ca="1">IFERROR(__xludf.DUMMYFUNCTION("""COMPUTED_VALUE"""),"No")</f>
        <v>No</v>
      </c>
      <c r="AK1588" s="8" t="str">
        <f ca="1">IFERROR(__xludf.DUMMYFUNCTION("""COMPUTED_VALUE"""),"No")</f>
        <v>No</v>
      </c>
      <c r="AL1588" s="8" t="str">
        <f ca="1">IFERROR(__xludf.DUMMYFUNCTION("""COMPUTED_VALUE"""),"No")</f>
        <v>No</v>
      </c>
      <c r="AM1588" s="8" t="str">
        <f ca="1">IFERROR(__xludf.DUMMYFUNCTION("""COMPUTED_VALUE"""),"No")</f>
        <v>No</v>
      </c>
      <c r="AN1588" s="8"/>
      <c r="AO1588" s="8" t="str">
        <f ca="1">IFERROR(__xludf.DUMMYFUNCTION("""COMPUTED_VALUE"""),"No")</f>
        <v>No</v>
      </c>
      <c r="AP1588" s="8" t="str">
        <f ca="1">IFERROR(__xludf.DUMMYFUNCTION("""COMPUTED_VALUE"""),"No")</f>
        <v>No</v>
      </c>
      <c r="AQ1588" s="8" t="str">
        <f ca="1">IFERROR(__xludf.DUMMYFUNCTION("""COMPUTED_VALUE"""),"Unknown")</f>
        <v>Unknown</v>
      </c>
      <c r="AR1588" s="8" t="str">
        <f ca="1">IFERROR(__xludf.DUMMYFUNCTION("""COMPUTED_VALUE"""),"NA")</f>
        <v>NA</v>
      </c>
      <c r="AS1588" s="13">
        <f ca="1">IFERROR(__xludf.DUMMYFUNCTION("""COMPUTED_VALUE"""),44864)</f>
        <v>44864</v>
      </c>
      <c r="AT1588" s="8" t="str">
        <f ca="1">IFERROR(__xludf.DUMMYFUNCTION("""COMPUTED_VALUE"""),"No")</f>
        <v>No</v>
      </c>
      <c r="AU1588" s="8">
        <f ca="1">IFERROR(__xludf.DUMMYFUNCTION("""COMPUTED_VALUE"""),32.748573)</f>
        <v>32.748573</v>
      </c>
      <c r="AV1588" s="8">
        <f ca="1">IFERROR(__xludf.DUMMYFUNCTION("""COMPUTED_VALUE"""),-97.232124)</f>
        <v>-97.232123999999999</v>
      </c>
      <c r="AW1588" s="8"/>
      <c r="AX1588" s="8">
        <f ca="1">IFERROR(__xludf.DUMMYFUNCTION("""COMPUTED_VALUE"""),76112)</f>
        <v>76112</v>
      </c>
    </row>
    <row r="1589" spans="1:50" ht="45" x14ac:dyDescent="0.2">
      <c r="A1589" s="8" t="str">
        <f ca="1">IFERROR(__xludf.DUMMYFUNCTION("""COMPUTED_VALUE"""),"20190913VAETN")</f>
        <v>20190913VAETN</v>
      </c>
      <c r="B1589" s="8">
        <f ca="1">IFERROR(__xludf.DUMMYFUNCTION("""COMPUTED_VALUE"""),9)</f>
        <v>9</v>
      </c>
      <c r="C1589" s="8">
        <f ca="1">IFERROR(__xludf.DUMMYFUNCTION("""COMPUTED_VALUE"""),13)</f>
        <v>13</v>
      </c>
      <c r="D1589" s="8">
        <f ca="1">IFERROR(__xludf.DUMMYFUNCTION("""COMPUTED_VALUE"""),2019)</f>
        <v>2019</v>
      </c>
      <c r="E1589" s="9">
        <f ca="1">IFERROR(__xludf.DUMMYFUNCTION("""COMPUTED_VALUE"""),43721)</f>
        <v>43721</v>
      </c>
      <c r="F1589" s="8" t="str">
        <f ca="1">IFERROR(__xludf.DUMMYFUNCTION("""COMPUTED_VALUE"""),"Ethel M. Gildersleeve Middle School")</f>
        <v>Ethel M. Gildersleeve Middle School</v>
      </c>
      <c r="G1589" s="8">
        <f ca="1">IFERROR(__xludf.DUMMYFUNCTION("""COMPUTED_VALUE"""),0)</f>
        <v>0</v>
      </c>
      <c r="H1589" s="8">
        <f ca="1">IFERROR(__xludf.DUMMYFUNCTION("""COMPUTED_VALUE"""),3)</f>
        <v>3</v>
      </c>
      <c r="I1589" s="8">
        <f ca="1">IFERROR(__xludf.DUMMYFUNCTION("""COMPUTED_VALUE"""),3)</f>
        <v>3</v>
      </c>
      <c r="J1589" s="8">
        <f ca="1">IFERROR(__xludf.DUMMYFUNCTION("""COMPUTED_VALUE"""),0)</f>
        <v>0</v>
      </c>
      <c r="K1589" s="8" t="str">
        <f ca="1">IFERROR(__xludf.DUMMYFUNCTION("""COMPUTED_VALUE"""),"https://time.com/5677615/newport-news-virginia-shooting/ https://abcnews.go.com/US/wireStory/teens-shot-virginia-high-school-football-game-65610956")</f>
        <v>https://time.com/5677615/newport-news-virginia-shooting/ https://abcnews.go.com/US/wireStory/teens-shot-virginia-high-school-football-game-65610956</v>
      </c>
      <c r="L1589" s="8"/>
      <c r="M1589" s="8"/>
      <c r="N1589" s="8">
        <f ca="1">IFERROR(__xludf.DUMMYFUNCTION("""COMPUTED_VALUE"""),4)</f>
        <v>4</v>
      </c>
      <c r="O1589" s="8" t="str">
        <f ca="1">IFERROR(__xludf.DUMMYFUNCTION("""COMPUTED_VALUE"""),"Fall")</f>
        <v>Fall</v>
      </c>
      <c r="P1589" s="8" t="str">
        <f ca="1">IFERROR(__xludf.DUMMYFUNCTION("""COMPUTED_VALUE"""),"Newport News")</f>
        <v>Newport News</v>
      </c>
      <c r="Q1589" s="8" t="str">
        <f ca="1">IFERROR(__xludf.DUMMYFUNCTION("""COMPUTED_VALUE"""),"VA")</f>
        <v>VA</v>
      </c>
      <c r="R1589" s="8" t="str">
        <f ca="1">IFERROR(__xludf.DUMMYFUNCTION("""COMPUTED_VALUE"""),"Middle")</f>
        <v>Middle</v>
      </c>
      <c r="S1589" s="8" t="str">
        <f ca="1">IFERROR(__xludf.DUMMYFUNCTION("""COMPUTED_VALUE"""),"Football Field/Track")</f>
        <v>Football Field/Track</v>
      </c>
      <c r="T1589" s="8" t="str">
        <f ca="1">IFERROR(__xludf.DUMMYFUNCTION("""COMPUTED_VALUE"""),"Outside on School Property")</f>
        <v>Outside on School Property</v>
      </c>
      <c r="U1589" s="8" t="str">
        <f ca="1">IFERROR(__xludf.DUMMYFUNCTION("""COMPUTED_VALUE"""),"No")</f>
        <v>No</v>
      </c>
      <c r="V1589" s="8" t="str">
        <f ca="1">IFERROR(__xludf.DUMMYFUNCTION("""COMPUTED_VALUE"""),"Sport Event")</f>
        <v>Sport Event</v>
      </c>
      <c r="W1589" s="11">
        <f ca="1">IFERROR(__xludf.DUMMYFUNCTION("""COMPUTED_VALUE"""),0.898611111111111)</f>
        <v>0.89861111111111103</v>
      </c>
      <c r="X1589" s="8">
        <f ca="1">IFERROR(__xludf.DUMMYFUNCTION("""COMPUTED_VALUE"""),1)</f>
        <v>1</v>
      </c>
      <c r="Y1589" s="12" t="str">
        <f ca="1">IFERROR(__xludf.DUMMYFUNCTION("""COMPUTED_VALUE"""),"Shots fired in parking lot after football game")</f>
        <v>Shots fired in parking lot after football game</v>
      </c>
      <c r="Z1589" s="12" t="str">
        <f ca="1">IFERROR(__xludf.DUMMYFUNCTION("""COMPUTED_VALUE"""),"3 injured after shots were fired in the crowded parking lot at the end of a high school football game.")</f>
        <v>3 injured after shots were fired in the crowded parking lot at the end of a high school football game.</v>
      </c>
      <c r="AA1589" s="8" t="str">
        <f ca="1">IFERROR(__xludf.DUMMYFUNCTION("""COMPUTED_VALUE"""),"Escalation of Dispute")</f>
        <v>Escalation of Dispute</v>
      </c>
      <c r="AB1589" s="8"/>
      <c r="AC1589" s="8" t="str">
        <f ca="1">IFERROR(__xludf.DUMMYFUNCTION("""COMPUTED_VALUE"""),"Yes")</f>
        <v>Yes</v>
      </c>
      <c r="AD1589" s="8"/>
      <c r="AE1589" s="8"/>
      <c r="AF1589" s="8"/>
      <c r="AG1589" s="8" t="str">
        <f ca="1">IFERROR(__xludf.DUMMYFUNCTION("""COMPUTED_VALUE"""),"No")</f>
        <v>No</v>
      </c>
      <c r="AH1589" s="8" t="str">
        <f ca="1">IFERROR(__xludf.DUMMYFUNCTION("""COMPUTED_VALUE"""),"No")</f>
        <v>No</v>
      </c>
      <c r="AI1589" s="8" t="str">
        <f ca="1">IFERROR(__xludf.DUMMYFUNCTION("""COMPUTED_VALUE"""),"No")</f>
        <v>No</v>
      </c>
      <c r="AJ1589" s="8" t="str">
        <f ca="1">IFERROR(__xludf.DUMMYFUNCTION("""COMPUTED_VALUE"""),"No")</f>
        <v>No</v>
      </c>
      <c r="AK1589" s="8" t="str">
        <f ca="1">IFERROR(__xludf.DUMMYFUNCTION("""COMPUTED_VALUE"""),"No")</f>
        <v>No</v>
      </c>
      <c r="AL1589" s="8"/>
      <c r="AM1589" s="8" t="str">
        <f ca="1">IFERROR(__xludf.DUMMYFUNCTION("""COMPUTED_VALUE"""),"No")</f>
        <v>No</v>
      </c>
      <c r="AN1589" s="8"/>
      <c r="AO1589" s="8" t="str">
        <f ca="1">IFERROR(__xludf.DUMMYFUNCTION("""COMPUTED_VALUE"""),"No")</f>
        <v>No</v>
      </c>
      <c r="AP1589" s="8" t="str">
        <f ca="1">IFERROR(__xludf.DUMMYFUNCTION("""COMPUTED_VALUE"""),"Yes")</f>
        <v>Yes</v>
      </c>
      <c r="AQ1589" s="8" t="str">
        <f ca="1">IFERROR(__xludf.DUMMYFUNCTION("""COMPUTED_VALUE"""),"Unknown")</f>
        <v>Unknown</v>
      </c>
      <c r="AR1589" s="8" t="str">
        <f ca="1">IFERROR(__xludf.DUMMYFUNCTION("""COMPUTED_VALUE"""),"NA")</f>
        <v>NA</v>
      </c>
      <c r="AS1589" s="8"/>
      <c r="AT1589" s="8" t="str">
        <f ca="1">IFERROR(__xludf.DUMMYFUNCTION("""COMPUTED_VALUE"""),"No")</f>
        <v>No</v>
      </c>
      <c r="AU1589" s="8">
        <f ca="1">IFERROR(__xludf.DUMMYFUNCTION("""COMPUTED_VALUE"""),37.073408)</f>
        <v>37.073408000000001</v>
      </c>
      <c r="AV1589" s="8">
        <f ca="1">IFERROR(__xludf.DUMMYFUNCTION("""COMPUTED_VALUE"""),-76.496751)</f>
        <v>-76.496751000000003</v>
      </c>
      <c r="AW1589" s="8"/>
      <c r="AX1589" s="8">
        <f ca="1">IFERROR(__xludf.DUMMYFUNCTION("""COMPUTED_VALUE"""),23606)</f>
        <v>23606</v>
      </c>
    </row>
    <row r="1590" spans="1:50" ht="120" x14ac:dyDescent="0.2">
      <c r="A1590" s="8" t="str">
        <f ca="1">IFERROR(__xludf.DUMMYFUNCTION("""COMPUTED_VALUE"""),"20190913UTGRW")</f>
        <v>20190913UTGRW</v>
      </c>
      <c r="B1590" s="8">
        <f ca="1">IFERROR(__xludf.DUMMYFUNCTION("""COMPUTED_VALUE"""),9)</f>
        <v>9</v>
      </c>
      <c r="C1590" s="8">
        <f ca="1">IFERROR(__xludf.DUMMYFUNCTION("""COMPUTED_VALUE"""),13)</f>
        <v>13</v>
      </c>
      <c r="D1590" s="8">
        <f ca="1">IFERROR(__xludf.DUMMYFUNCTION("""COMPUTED_VALUE"""),2019)</f>
        <v>2019</v>
      </c>
      <c r="E1590" s="9">
        <f ca="1">IFERROR(__xludf.DUMMYFUNCTION("""COMPUTED_VALUE"""),43721)</f>
        <v>43721</v>
      </c>
      <c r="F1590" s="8" t="str">
        <f ca="1">IFERROR(__xludf.DUMMYFUNCTION("""COMPUTED_VALUE"""),"Granger High School")</f>
        <v>Granger High School</v>
      </c>
      <c r="G1590" s="8">
        <f ca="1">IFERROR(__xludf.DUMMYFUNCTION("""COMPUTED_VALUE"""),0)</f>
        <v>0</v>
      </c>
      <c r="H1590" s="8">
        <f ca="1">IFERROR(__xludf.DUMMYFUNCTION("""COMPUTED_VALUE"""),0)</f>
        <v>0</v>
      </c>
      <c r="I1590" s="8">
        <f ca="1">IFERROR(__xludf.DUMMYFUNCTION("""COMPUTED_VALUE"""),0)</f>
        <v>0</v>
      </c>
      <c r="J1590" s="8">
        <f ca="1">IFERROR(__xludf.DUMMYFUNCTION("""COMPUTED_VALUE"""),0)</f>
        <v>0</v>
      </c>
      <c r="K1590" s="8" t="str">
        <f ca="1">IFERROR(__xludf.DUMMYFUNCTION("""COMPUTED_VALUE"""),"https://www.sltrib.com/news/2019/09/14/custody-after-shots/ https://fox13now.com/2019/09/13/eight-suspects-in-custody-after-shots-fired-during-high-school-football-game/")</f>
        <v>https://www.sltrib.com/news/2019/09/14/custody-after-shots/ https://fox13now.com/2019/09/13/eight-suspects-in-custody-after-shots-fired-during-high-school-football-game/</v>
      </c>
      <c r="L1590" s="8"/>
      <c r="M1590" s="8"/>
      <c r="N1590" s="8">
        <f ca="1">IFERROR(__xludf.DUMMYFUNCTION("""COMPUTED_VALUE"""),4)</f>
        <v>4</v>
      </c>
      <c r="O1590" s="8" t="str">
        <f ca="1">IFERROR(__xludf.DUMMYFUNCTION("""COMPUTED_VALUE"""),"Fall")</f>
        <v>Fall</v>
      </c>
      <c r="P1590" s="8" t="str">
        <f ca="1">IFERROR(__xludf.DUMMYFUNCTION("""COMPUTED_VALUE"""),"West Valley City")</f>
        <v>West Valley City</v>
      </c>
      <c r="Q1590" s="8" t="str">
        <f ca="1">IFERROR(__xludf.DUMMYFUNCTION("""COMPUTED_VALUE"""),"UT")</f>
        <v>UT</v>
      </c>
      <c r="R1590" s="8" t="str">
        <f ca="1">IFERROR(__xludf.DUMMYFUNCTION("""COMPUTED_VALUE"""),"High")</f>
        <v>High</v>
      </c>
      <c r="S1590" s="8" t="str">
        <f ca="1">IFERROR(__xludf.DUMMYFUNCTION("""COMPUTED_VALUE"""),"Football Field/Track")</f>
        <v>Football Field/Track</v>
      </c>
      <c r="T1590" s="8" t="str">
        <f ca="1">IFERROR(__xludf.DUMMYFUNCTION("""COMPUTED_VALUE"""),"Outside on School Property")</f>
        <v>Outside on School Property</v>
      </c>
      <c r="U1590" s="8" t="str">
        <f ca="1">IFERROR(__xludf.DUMMYFUNCTION("""COMPUTED_VALUE"""),"No")</f>
        <v>No</v>
      </c>
      <c r="V1590" s="8" t="str">
        <f ca="1">IFERROR(__xludf.DUMMYFUNCTION("""COMPUTED_VALUE"""),"Sport Event")</f>
        <v>Sport Event</v>
      </c>
      <c r="W1590" s="11">
        <f ca="1">IFERROR(__xludf.DUMMYFUNCTION("""COMPUTED_VALUE"""),0.854166666666666)</f>
        <v>0.85416666666666596</v>
      </c>
      <c r="X1590" s="8">
        <f ca="1">IFERROR(__xludf.DUMMYFUNCTION("""COMPUTED_VALUE"""),1)</f>
        <v>1</v>
      </c>
      <c r="Y1590" s="12" t="str">
        <f ca="1">IFERROR(__xludf.DUMMYFUNCTION("""COMPUTED_VALUE"""),"Shots fired into air during gang related altercation at football game")</f>
        <v>Shots fired into air during gang related altercation at football game</v>
      </c>
      <c r="Z1590" s="12" t="str">
        <f ca="1">IFERROR(__xludf.DUMMYFUNCTION("""COMPUTED_VALUE"""),"2 shots were fired into the ground during a gang related fight outside of the football stadium during the homecoming game. Eight non-students arrested. Police said the people involved in the fight had no relationship with the school. 4 police officers wer"&amp;"e assigned to the school for the game and were 20 yards away when the shots were fired. Stadium was no locked down and attendees were not notified of the shooting.")</f>
        <v>2 shots were fired into the ground during a gang related fight outside of the football stadium during the homecoming game. Eight non-students arrested. Police said the people involved in the fight had no relationship with the school. 4 police officers were assigned to the school for the game and were 20 yards away when the shots were fired. Stadium was no locked down and attendees were not notified of the shooting.</v>
      </c>
      <c r="AA1590" s="8" t="str">
        <f ca="1">IFERROR(__xludf.DUMMYFUNCTION("""COMPUTED_VALUE"""),"Escalation of Dispute")</f>
        <v>Escalation of Dispute</v>
      </c>
      <c r="AB1590" s="8"/>
      <c r="AC1590" s="8" t="str">
        <f ca="1">IFERROR(__xludf.DUMMYFUNCTION("""COMPUTED_VALUE"""),"Yes")</f>
        <v>Yes</v>
      </c>
      <c r="AD1590" s="8" t="str">
        <f ca="1">IFERROR(__xludf.DUMMYFUNCTION("""COMPUTED_VALUE"""),"Neither")</f>
        <v>Neither</v>
      </c>
      <c r="AE1590" s="8" t="str">
        <f ca="1">IFERROR(__xludf.DUMMYFUNCTION("""COMPUTED_VALUE"""),"Yes")</f>
        <v>Yes</v>
      </c>
      <c r="AF1590" s="8" t="str">
        <f ca="1">IFERROR(__xludf.DUMMYFUNCTION("""COMPUTED_VALUE"""),"8 arrested")</f>
        <v>8 arrested</v>
      </c>
      <c r="AG1590" s="8" t="str">
        <f ca="1">IFERROR(__xludf.DUMMYFUNCTION("""COMPUTED_VALUE"""),"No")</f>
        <v>No</v>
      </c>
      <c r="AH1590" s="8" t="str">
        <f ca="1">IFERROR(__xludf.DUMMYFUNCTION("""COMPUTED_VALUE"""),"No")</f>
        <v>No</v>
      </c>
      <c r="AI1590" s="8" t="str">
        <f ca="1">IFERROR(__xludf.DUMMYFUNCTION("""COMPUTED_VALUE"""),"No")</f>
        <v>No</v>
      </c>
      <c r="AJ1590" s="8" t="str">
        <f ca="1">IFERROR(__xludf.DUMMYFUNCTION("""COMPUTED_VALUE"""),"No")</f>
        <v>No</v>
      </c>
      <c r="AK1590" s="8" t="str">
        <f ca="1">IFERROR(__xludf.DUMMYFUNCTION("""COMPUTED_VALUE"""),"No")</f>
        <v>No</v>
      </c>
      <c r="AL1590" s="8" t="str">
        <f ca="1">IFERROR(__xludf.DUMMYFUNCTION("""COMPUTED_VALUE"""),"Yes")</f>
        <v>Yes</v>
      </c>
      <c r="AM1590" s="8" t="str">
        <f ca="1">IFERROR(__xludf.DUMMYFUNCTION("""COMPUTED_VALUE"""),"No")</f>
        <v>No</v>
      </c>
      <c r="AN1590" s="8"/>
      <c r="AO1590" s="8" t="str">
        <f ca="1">IFERROR(__xludf.DUMMYFUNCTION("""COMPUTED_VALUE"""),"No")</f>
        <v>No</v>
      </c>
      <c r="AP1590" s="8" t="str">
        <f ca="1">IFERROR(__xludf.DUMMYFUNCTION("""COMPUTED_VALUE"""),"No")</f>
        <v>No</v>
      </c>
      <c r="AQ1590" s="8" t="str">
        <f ca="1">IFERROR(__xludf.DUMMYFUNCTION("""COMPUTED_VALUE"""),"Unknown")</f>
        <v>Unknown</v>
      </c>
      <c r="AR1590" s="8" t="str">
        <f ca="1">IFERROR(__xludf.DUMMYFUNCTION("""COMPUTED_VALUE"""),"NA")</f>
        <v>NA</v>
      </c>
      <c r="AS1590" s="8">
        <f ca="1">IFERROR(__xludf.DUMMYFUNCTION("""COMPUTED_VALUE"""),2)</f>
        <v>2</v>
      </c>
      <c r="AT1590" s="8" t="str">
        <f ca="1">IFERROR(__xludf.DUMMYFUNCTION("""COMPUTED_VALUE"""),"No")</f>
        <v>No</v>
      </c>
      <c r="AU1590" s="8">
        <f ca="1">IFERROR(__xludf.DUMMYFUNCTION("""COMPUTED_VALUE"""),40.694815)</f>
        <v>40.694814999999998</v>
      </c>
      <c r="AV1590" s="8">
        <f ca="1">IFERROR(__xludf.DUMMYFUNCTION("""COMPUTED_VALUE"""),-111.979498)</f>
        <v>-111.97949800000001</v>
      </c>
      <c r="AW1590" s="8"/>
      <c r="AX1590" s="8">
        <f ca="1">IFERROR(__xludf.DUMMYFUNCTION("""COMPUTED_VALUE"""),84120)</f>
        <v>84120</v>
      </c>
    </row>
    <row r="1591" spans="1:50" ht="105" x14ac:dyDescent="0.2">
      <c r="A1591" s="8" t="str">
        <f ca="1">IFERROR(__xludf.DUMMYFUNCTION("""COMPUTED_VALUE"""),"20190912KSMAM")</f>
        <v>20190912KSMAM</v>
      </c>
      <c r="B1591" s="8">
        <f ca="1">IFERROR(__xludf.DUMMYFUNCTION("""COMPUTED_VALUE"""),9)</f>
        <v>9</v>
      </c>
      <c r="C1591" s="8">
        <f ca="1">IFERROR(__xludf.DUMMYFUNCTION("""COMPUTED_VALUE"""),12)</f>
        <v>12</v>
      </c>
      <c r="D1591" s="8">
        <f ca="1">IFERROR(__xludf.DUMMYFUNCTION("""COMPUTED_VALUE"""),2019)</f>
        <v>2019</v>
      </c>
      <c r="E1591" s="9">
        <f ca="1">IFERROR(__xludf.DUMMYFUNCTION("""COMPUTED_VALUE"""),43720)</f>
        <v>43720</v>
      </c>
      <c r="F1591" s="8" t="str">
        <f ca="1">IFERROR(__xludf.DUMMYFUNCTION("""COMPUTED_VALUE"""),"Manhattan High School")</f>
        <v>Manhattan High School</v>
      </c>
      <c r="G1591" s="8">
        <f ca="1">IFERROR(__xludf.DUMMYFUNCTION("""COMPUTED_VALUE"""),0)</f>
        <v>0</v>
      </c>
      <c r="H1591" s="8">
        <f ca="1">IFERROR(__xludf.DUMMYFUNCTION("""COMPUTED_VALUE"""),0)</f>
        <v>0</v>
      </c>
      <c r="I1591" s="8">
        <f ca="1">IFERROR(__xludf.DUMMYFUNCTION("""COMPUTED_VALUE"""),0)</f>
        <v>0</v>
      </c>
      <c r="J1591" s="8">
        <f ca="1">IFERROR(__xludf.DUMMYFUNCTION("""COMPUTED_VALUE"""),0)</f>
        <v>0</v>
      </c>
      <c r="K1591" s="8" t="str">
        <f ca="1">IFERROR(__xludf.DUMMYFUNCTION("""COMPUTED_VALUE"""),"https://www.wibw.com/content/news/RCPD-investigating-shooting-near-Poyntz-Ave-560194781.html https://www.ksnt.com/news/local-news/riley-co-police-investigating-shooting-near-manhattan-high-school/")</f>
        <v>https://www.wibw.com/content/news/RCPD-investigating-shooting-near-Poyntz-Ave-560194781.html https://www.ksnt.com/news/local-news/riley-co-police-investigating-shooting-near-manhattan-high-school/</v>
      </c>
      <c r="L1591" s="8"/>
      <c r="M1591" s="8"/>
      <c r="N1591" s="8">
        <f ca="1">IFERROR(__xludf.DUMMYFUNCTION("""COMPUTED_VALUE"""),4)</f>
        <v>4</v>
      </c>
      <c r="O1591" s="8" t="str">
        <f ca="1">IFERROR(__xludf.DUMMYFUNCTION("""COMPUTED_VALUE"""),"Fall")</f>
        <v>Fall</v>
      </c>
      <c r="P1591" s="8" t="str">
        <f ca="1">IFERROR(__xludf.DUMMYFUNCTION("""COMPUTED_VALUE"""),"Manhattan")</f>
        <v>Manhattan</v>
      </c>
      <c r="Q1591" s="8" t="str">
        <f ca="1">IFERROR(__xludf.DUMMYFUNCTION("""COMPUTED_VALUE"""),"KS")</f>
        <v>KS</v>
      </c>
      <c r="R1591" s="8" t="str">
        <f ca="1">IFERROR(__xludf.DUMMYFUNCTION("""COMPUTED_VALUE"""),"High")</f>
        <v>High</v>
      </c>
      <c r="S1591" s="8" t="str">
        <f ca="1">IFERROR(__xludf.DUMMYFUNCTION("""COMPUTED_VALUE"""),"Parking Lot")</f>
        <v>Parking Lot</v>
      </c>
      <c r="T1591" s="8" t="str">
        <f ca="1">IFERROR(__xludf.DUMMYFUNCTION("""COMPUTED_VALUE"""),"Outside on School Property")</f>
        <v>Outside on School Property</v>
      </c>
      <c r="U1591" s="8" t="str">
        <f ca="1">IFERROR(__xludf.DUMMYFUNCTION("""COMPUTED_VALUE"""),"No")</f>
        <v>No</v>
      </c>
      <c r="V1591" s="8" t="str">
        <f ca="1">IFERROR(__xludf.DUMMYFUNCTION("""COMPUTED_VALUE"""),"Evening")</f>
        <v>Evening</v>
      </c>
      <c r="W1591" s="11">
        <f ca="1">IFERROR(__xludf.DUMMYFUNCTION("""COMPUTED_VALUE"""),0.78125)</f>
        <v>0.78125</v>
      </c>
      <c r="X1591" s="8">
        <f ca="1">IFERROR(__xludf.DUMMYFUNCTION("""COMPUTED_VALUE"""),1)</f>
        <v>1</v>
      </c>
      <c r="Y1591" s="12" t="str">
        <f ca="1">IFERROR(__xludf.DUMMYFUNCTION("""COMPUTED_VALUE"""),"Shots fired in school parking lot.")</f>
        <v>Shots fired in school parking lot.</v>
      </c>
      <c r="Z1591" s="12" t="str">
        <f ca="1">IFERROR(__xludf.DUMMYFUNCTION("""COMPUTED_VALUE"""),"Shots fired in school parking lot during meeting between people unrelated to the school in two different cars. Witnesses provided the license plate number to police and one vehicle was stopped after a police pursuit. Police said the individuals involved w"&amp;"ere not associated with the school. 4 shell casing were found in the school parking lot. No students were injured.")</f>
        <v>Shots fired in school parking lot during meeting between people unrelated to the school in two different cars. Witnesses provided the license plate number to police and one vehicle was stopped after a police pursuit. Police said the individuals involved were not associated with the school. 4 shell casing were found in the school parking lot. No students were injured.</v>
      </c>
      <c r="AA1591" s="8" t="str">
        <f ca="1">IFERROR(__xludf.DUMMYFUNCTION("""COMPUTED_VALUE"""),"Illegal Activity")</f>
        <v>Illegal Activity</v>
      </c>
      <c r="AB1591" s="8"/>
      <c r="AC1591" s="8" t="str">
        <f ca="1">IFERROR(__xludf.DUMMYFUNCTION("""COMPUTED_VALUE"""),"No")</f>
        <v>No</v>
      </c>
      <c r="AD1591" s="8"/>
      <c r="AE1591" s="8" t="str">
        <f ca="1">IFERROR(__xludf.DUMMYFUNCTION("""COMPUTED_VALUE"""),"No")</f>
        <v>No</v>
      </c>
      <c r="AF1591" s="8"/>
      <c r="AG1591" s="8" t="str">
        <f ca="1">IFERROR(__xludf.DUMMYFUNCTION("""COMPUTED_VALUE"""),"No")</f>
        <v>No</v>
      </c>
      <c r="AH1591" s="8" t="str">
        <f ca="1">IFERROR(__xludf.DUMMYFUNCTION("""COMPUTED_VALUE"""),"No")</f>
        <v>No</v>
      </c>
      <c r="AI1591" s="8" t="str">
        <f ca="1">IFERROR(__xludf.DUMMYFUNCTION("""COMPUTED_VALUE"""),"No")</f>
        <v>No</v>
      </c>
      <c r="AJ1591" s="8" t="str">
        <f ca="1">IFERROR(__xludf.DUMMYFUNCTION("""COMPUTED_VALUE"""),"No")</f>
        <v>No</v>
      </c>
      <c r="AK1591" s="8" t="str">
        <f ca="1">IFERROR(__xludf.DUMMYFUNCTION("""COMPUTED_VALUE"""),"No")</f>
        <v>No</v>
      </c>
      <c r="AL1591" s="8"/>
      <c r="AM1591" s="8" t="str">
        <f ca="1">IFERROR(__xludf.DUMMYFUNCTION("""COMPUTED_VALUE"""),"No")</f>
        <v>No</v>
      </c>
      <c r="AN1591" s="8"/>
      <c r="AO1591" s="8" t="str">
        <f ca="1">IFERROR(__xludf.DUMMYFUNCTION("""COMPUTED_VALUE"""),"No")</f>
        <v>No</v>
      </c>
      <c r="AP1591" s="8"/>
      <c r="AQ1591" s="8" t="str">
        <f ca="1">IFERROR(__xludf.DUMMYFUNCTION("""COMPUTED_VALUE"""),"Unknown")</f>
        <v>Unknown</v>
      </c>
      <c r="AR1591" s="8" t="str">
        <f ca="1">IFERROR(__xludf.DUMMYFUNCTION("""COMPUTED_VALUE"""),"NA")</f>
        <v>NA</v>
      </c>
      <c r="AS1591" s="8">
        <f ca="1">IFERROR(__xludf.DUMMYFUNCTION("""COMPUTED_VALUE"""),4)</f>
        <v>4</v>
      </c>
      <c r="AT1591" s="8" t="str">
        <f ca="1">IFERROR(__xludf.DUMMYFUNCTION("""COMPUTED_VALUE"""),"No")</f>
        <v>No</v>
      </c>
      <c r="AU1591" s="8">
        <f ca="1">IFERROR(__xludf.DUMMYFUNCTION("""COMPUTED_VALUE"""),39.17955)</f>
        <v>39.179549999999999</v>
      </c>
      <c r="AV1591" s="8">
        <f ca="1">IFERROR(__xludf.DUMMYFUNCTION("""COMPUTED_VALUE"""),-96.591834)</f>
        <v>-96.591834000000006</v>
      </c>
      <c r="AW1591" s="8"/>
      <c r="AX1591" s="8">
        <f ca="1">IFERROR(__xludf.DUMMYFUNCTION("""COMPUTED_VALUE"""),66502)</f>
        <v>66502</v>
      </c>
    </row>
    <row r="1592" spans="1:50" ht="75" x14ac:dyDescent="0.2">
      <c r="A1592" s="8" t="str">
        <f ca="1">IFERROR(__xludf.DUMMYFUNCTION("""COMPUTED_VALUE"""),"20190910SCSOA")</f>
        <v>20190910SCSOA</v>
      </c>
      <c r="B1592" s="8">
        <f ca="1">IFERROR(__xludf.DUMMYFUNCTION("""COMPUTED_VALUE"""),9)</f>
        <v>9</v>
      </c>
      <c r="C1592" s="8">
        <f ca="1">IFERROR(__xludf.DUMMYFUNCTION("""COMPUTED_VALUE"""),10)</f>
        <v>10</v>
      </c>
      <c r="D1592" s="8">
        <f ca="1">IFERROR(__xludf.DUMMYFUNCTION("""COMPUTED_VALUE"""),2019)</f>
        <v>2019</v>
      </c>
      <c r="E1592" s="9">
        <f ca="1">IFERROR(__xludf.DUMMYFUNCTION("""COMPUTED_VALUE"""),43718)</f>
        <v>43718</v>
      </c>
      <c r="F1592" s="8" t="str">
        <f ca="1">IFERROR(__xludf.DUMMYFUNCTION("""COMPUTED_VALUE"""),"South Aiken High School")</f>
        <v>South Aiken High School</v>
      </c>
      <c r="G1592" s="8">
        <f ca="1">IFERROR(__xludf.DUMMYFUNCTION("""COMPUTED_VALUE"""),0)</f>
        <v>0</v>
      </c>
      <c r="H1592" s="8">
        <f ca="1">IFERROR(__xludf.DUMMYFUNCTION("""COMPUTED_VALUE"""),0)</f>
        <v>0</v>
      </c>
      <c r="I1592" s="8">
        <f ca="1">IFERROR(__xludf.DUMMYFUNCTION("""COMPUTED_VALUE"""),0)</f>
        <v>0</v>
      </c>
      <c r="J1592" s="8">
        <f ca="1">IFERROR(__xludf.DUMMYFUNCTION("""COMPUTED_VALUE"""),0)</f>
        <v>0</v>
      </c>
      <c r="K1592" s="8" t="str">
        <f ca="1">IFERROR(__xludf.DUMMYFUNCTION("""COMPUTED_VALUE"""),"https://www.aikenstandard.com/news/three-charged-in-south-aiken-high-parking-lot-shooting-police/article_990ffa44-d4c6-11e9-af05-4f47f4f80e3b.html https://www.aikenstandard.com/news/at-least-one-shot-fired-at-south-aiken-high-school/article_25bf2bd4-d406-"&amp;"11e9-911c-8fbdc4d354f2.html")</f>
        <v>https://www.aikenstandard.com/news/three-charged-in-south-aiken-high-parking-lot-shooting-police/article_990ffa44-d4c6-11e9-af05-4f47f4f80e3b.html https://www.aikenstandard.com/news/at-least-one-shot-fired-at-south-aiken-high-school/article_25bf2bd4-d406-11e9-911c-8fbdc4d354f2.html</v>
      </c>
      <c r="L1592" s="8"/>
      <c r="M1592" s="8"/>
      <c r="N1592" s="8">
        <f ca="1">IFERROR(__xludf.DUMMYFUNCTION("""COMPUTED_VALUE"""),4)</f>
        <v>4</v>
      </c>
      <c r="O1592" s="8" t="str">
        <f ca="1">IFERROR(__xludf.DUMMYFUNCTION("""COMPUTED_VALUE"""),"Fall")</f>
        <v>Fall</v>
      </c>
      <c r="P1592" s="8" t="str">
        <f ca="1">IFERROR(__xludf.DUMMYFUNCTION("""COMPUTED_VALUE"""),"Aiken")</f>
        <v>Aiken</v>
      </c>
      <c r="Q1592" s="8" t="str">
        <f ca="1">IFERROR(__xludf.DUMMYFUNCTION("""COMPUTED_VALUE"""),"SC")</f>
        <v>SC</v>
      </c>
      <c r="R1592" s="8" t="str">
        <f ca="1">IFERROR(__xludf.DUMMYFUNCTION("""COMPUTED_VALUE"""),"High")</f>
        <v>High</v>
      </c>
      <c r="S1592" s="8" t="str">
        <f ca="1">IFERROR(__xludf.DUMMYFUNCTION("""COMPUTED_VALUE"""),"Parking Lot")</f>
        <v>Parking Lot</v>
      </c>
      <c r="T1592" s="8" t="str">
        <f ca="1">IFERROR(__xludf.DUMMYFUNCTION("""COMPUTED_VALUE"""),"Outside on School Property")</f>
        <v>Outside on School Property</v>
      </c>
      <c r="U1592" s="8" t="str">
        <f ca="1">IFERROR(__xludf.DUMMYFUNCTION("""COMPUTED_VALUE"""),"No")</f>
        <v>No</v>
      </c>
      <c r="V1592" s="8" t="str">
        <f ca="1">IFERROR(__xludf.DUMMYFUNCTION("""COMPUTED_VALUE"""),"Dismissal")</f>
        <v>Dismissal</v>
      </c>
      <c r="W1592" s="11">
        <f ca="1">IFERROR(__xludf.DUMMYFUNCTION("""COMPUTED_VALUE"""),0.645833333333333)</f>
        <v>0.64583333333333304</v>
      </c>
      <c r="X1592" s="8">
        <f ca="1">IFERROR(__xludf.DUMMYFUNCTION("""COMPUTED_VALUE"""),1)</f>
        <v>1</v>
      </c>
      <c r="Y1592" s="12" t="str">
        <f ca="1">IFERROR(__xludf.DUMMYFUNCTION("""COMPUTED_VALUE"""),"Shot fired during altercation in school parking lot")</f>
        <v>Shot fired during altercation in school parking lot</v>
      </c>
      <c r="Z1592" s="12" t="str">
        <f ca="1">IFERROR(__xludf.DUMMYFUNCTION("""COMPUTED_VALUE"""),"4 teens were involved with an altercation with a student at the store across from the school. The altercation continued into the school parking lot where one of the teens fired one shot that missed the targeted victim. Shooter and the 3 other teens fled t"&amp;"he area.")</f>
        <v>4 teens were involved with an altercation with a student at the store across from the school. The altercation continued into the school parking lot where one of the teens fired one shot that missed the targeted victim. Shooter and the 3 other teens fled the area.</v>
      </c>
      <c r="AA1592" s="8" t="str">
        <f ca="1">IFERROR(__xludf.DUMMYFUNCTION("""COMPUTED_VALUE"""),"Escalation of Dispute")</f>
        <v>Escalation of Dispute</v>
      </c>
      <c r="AB1592" s="8"/>
      <c r="AC1592" s="8" t="str">
        <f ca="1">IFERROR(__xludf.DUMMYFUNCTION("""COMPUTED_VALUE"""),"Yes")</f>
        <v>Yes</v>
      </c>
      <c r="AD1592" s="8" t="str">
        <f ca="1">IFERROR(__xludf.DUMMYFUNCTION("""COMPUTED_VALUE"""),"Victims Targeted")</f>
        <v>Victims Targeted</v>
      </c>
      <c r="AE1592" s="8" t="str">
        <f ca="1">IFERROR(__xludf.DUMMYFUNCTION("""COMPUTED_VALUE"""),"Yes")</f>
        <v>Yes</v>
      </c>
      <c r="AF1592" s="8" t="str">
        <f ca="1">IFERROR(__xludf.DUMMYFUNCTION("""COMPUTED_VALUE"""),"Shooter plus 17YOm, 18YOM, and 20YOM")</f>
        <v>Shooter plus 17YOm, 18YOM, and 20YOM</v>
      </c>
      <c r="AG1592" s="8" t="str">
        <f ca="1">IFERROR(__xludf.DUMMYFUNCTION("""COMPUTED_VALUE"""),"No")</f>
        <v>No</v>
      </c>
      <c r="AH1592" s="8" t="str">
        <f ca="1">IFERROR(__xludf.DUMMYFUNCTION("""COMPUTED_VALUE"""),"No")</f>
        <v>No</v>
      </c>
      <c r="AI1592" s="8" t="str">
        <f ca="1">IFERROR(__xludf.DUMMYFUNCTION("""COMPUTED_VALUE"""),"No")</f>
        <v>No</v>
      </c>
      <c r="AJ1592" s="8" t="str">
        <f ca="1">IFERROR(__xludf.DUMMYFUNCTION("""COMPUTED_VALUE"""),"No")</f>
        <v>No</v>
      </c>
      <c r="AK1592" s="8" t="str">
        <f ca="1">IFERROR(__xludf.DUMMYFUNCTION("""COMPUTED_VALUE"""),"No")</f>
        <v>No</v>
      </c>
      <c r="AL1592" s="8" t="str">
        <f ca="1">IFERROR(__xludf.DUMMYFUNCTION("""COMPUTED_VALUE"""),"No")</f>
        <v>No</v>
      </c>
      <c r="AM1592" s="8" t="str">
        <f ca="1">IFERROR(__xludf.DUMMYFUNCTION("""COMPUTED_VALUE"""),"No")</f>
        <v>No</v>
      </c>
      <c r="AN1592" s="8"/>
      <c r="AO1592" s="8" t="str">
        <f ca="1">IFERROR(__xludf.DUMMYFUNCTION("""COMPUTED_VALUE"""),"No")</f>
        <v>No</v>
      </c>
      <c r="AP1592" s="8"/>
      <c r="AQ1592" s="8" t="str">
        <f ca="1">IFERROR(__xludf.DUMMYFUNCTION("""COMPUTED_VALUE"""),"Unknown")</f>
        <v>Unknown</v>
      </c>
      <c r="AR1592" s="8" t="str">
        <f ca="1">IFERROR(__xludf.DUMMYFUNCTION("""COMPUTED_VALUE"""),"NA")</f>
        <v>NA</v>
      </c>
      <c r="AS1592" s="8">
        <f ca="1">IFERROR(__xludf.DUMMYFUNCTION("""COMPUTED_VALUE"""),1)</f>
        <v>1</v>
      </c>
      <c r="AT1592" s="8"/>
      <c r="AU1592" s="8">
        <f ca="1">IFERROR(__xludf.DUMMYFUNCTION("""COMPUTED_VALUE"""),33.521559)</f>
        <v>33.521559000000003</v>
      </c>
      <c r="AV1592" s="8">
        <f ca="1">IFERROR(__xludf.DUMMYFUNCTION("""COMPUTED_VALUE"""),-81.712262)</f>
        <v>-81.712261999999996</v>
      </c>
      <c r="AW1592" s="8"/>
      <c r="AX1592" s="8">
        <f ca="1">IFERROR(__xludf.DUMMYFUNCTION("""COMPUTED_VALUE"""),29803)</f>
        <v>29803</v>
      </c>
    </row>
    <row r="1593" spans="1:50" ht="60" x14ac:dyDescent="0.2">
      <c r="A1593" s="8" t="str">
        <f ca="1">IFERROR(__xludf.DUMMYFUNCTION("""COMPUTED_VALUE"""),"20190906PAWEM")</f>
        <v>20190906PAWEM</v>
      </c>
      <c r="B1593" s="8">
        <f ca="1">IFERROR(__xludf.DUMMYFUNCTION("""COMPUTED_VALUE"""),9)</f>
        <v>9</v>
      </c>
      <c r="C1593" s="8">
        <f ca="1">IFERROR(__xludf.DUMMYFUNCTION("""COMPUTED_VALUE"""),6)</f>
        <v>6</v>
      </c>
      <c r="D1593" s="8">
        <f ca="1">IFERROR(__xludf.DUMMYFUNCTION("""COMPUTED_VALUE"""),2019)</f>
        <v>2019</v>
      </c>
      <c r="E1593" s="9">
        <f ca="1">IFERROR(__xludf.DUMMYFUNCTION("""COMPUTED_VALUE"""),43714)</f>
        <v>43714</v>
      </c>
      <c r="F1593" s="8" t="str">
        <f ca="1">IFERROR(__xludf.DUMMYFUNCTION("""COMPUTED_VALUE"""),"West Palmer High School")</f>
        <v>West Palmer High School</v>
      </c>
      <c r="G1593" s="8">
        <f ca="1">IFERROR(__xludf.DUMMYFUNCTION("""COMPUTED_VALUE"""),0)</f>
        <v>0</v>
      </c>
      <c r="H1593" s="8">
        <f ca="1">IFERROR(__xludf.DUMMYFUNCTION("""COMPUTED_VALUE"""),1)</f>
        <v>1</v>
      </c>
      <c r="I1593" s="8">
        <f ca="1">IFERROR(__xludf.DUMMYFUNCTION("""COMPUTED_VALUE"""),1)</f>
        <v>1</v>
      </c>
      <c r="J1593" s="8">
        <f ca="1">IFERROR(__xludf.DUMMYFUNCTION("""COMPUTED_VALUE"""),0)</f>
        <v>0</v>
      </c>
      <c r="K1593" s="8" t="str">
        <f ca="1">IFERROR(__xludf.DUMMYFUNCTION("""COMPUTED_VALUE"""),"https://www.buckscountycouriertimes.com/news/20190906/girl-injured-in-shooting-outside-morrisville-high-school https://6abc.com/shots-fired-after-football-game-at-morrisville-high-school/5521625/ https://www.phillyvoice.com/shooting-incident-bucks-county-"&amp;"high-school-football-game-leaves-one-injured/")</f>
        <v>https://www.buckscountycouriertimes.com/news/20190906/girl-injured-in-shooting-outside-morrisville-high-school https://6abc.com/shots-fired-after-football-game-at-morrisville-high-school/5521625/ https://www.phillyvoice.com/shooting-incident-bucks-county-high-school-football-game-leaves-one-injured/</v>
      </c>
      <c r="L1593" s="8"/>
      <c r="M1593" s="8"/>
      <c r="N1593" s="8">
        <f ca="1">IFERROR(__xludf.DUMMYFUNCTION("""COMPUTED_VALUE"""),4)</f>
        <v>4</v>
      </c>
      <c r="O1593" s="8" t="str">
        <f ca="1">IFERROR(__xludf.DUMMYFUNCTION("""COMPUTED_VALUE"""),"Fall")</f>
        <v>Fall</v>
      </c>
      <c r="P1593" s="8" t="str">
        <f ca="1">IFERROR(__xludf.DUMMYFUNCTION("""COMPUTED_VALUE"""),"Morrisville")</f>
        <v>Morrisville</v>
      </c>
      <c r="Q1593" s="8" t="str">
        <f ca="1">IFERROR(__xludf.DUMMYFUNCTION("""COMPUTED_VALUE"""),"PA")</f>
        <v>PA</v>
      </c>
      <c r="R1593" s="8" t="str">
        <f ca="1">IFERROR(__xludf.DUMMYFUNCTION("""COMPUTED_VALUE"""),"High")</f>
        <v>High</v>
      </c>
      <c r="S1593" s="8" t="str">
        <f ca="1">IFERROR(__xludf.DUMMYFUNCTION("""COMPUTED_VALUE"""),"Parking Lot")</f>
        <v>Parking Lot</v>
      </c>
      <c r="T1593" s="8" t="str">
        <f ca="1">IFERROR(__xludf.DUMMYFUNCTION("""COMPUTED_VALUE"""),"Outside on School Property")</f>
        <v>Outside on School Property</v>
      </c>
      <c r="U1593" s="8" t="str">
        <f ca="1">IFERROR(__xludf.DUMMYFUNCTION("""COMPUTED_VALUE"""),"No")</f>
        <v>No</v>
      </c>
      <c r="V1593" s="8" t="str">
        <f ca="1">IFERROR(__xludf.DUMMYFUNCTION("""COMPUTED_VALUE"""),"Sport Event")</f>
        <v>Sport Event</v>
      </c>
      <c r="W1593" s="11">
        <f ca="1">IFERROR(__xludf.DUMMYFUNCTION("""COMPUTED_VALUE"""),0.916666666666666)</f>
        <v>0.91666666666666596</v>
      </c>
      <c r="X1593" s="8">
        <f ca="1">IFERROR(__xludf.DUMMYFUNCTION("""COMPUTED_VALUE"""),1)</f>
        <v>1</v>
      </c>
      <c r="Y1593" s="12" t="str">
        <f ca="1">IFERROR(__xludf.DUMMYFUNCTION("""COMPUTED_VALUE"""),"Female student shot in school parking lot following football game")</f>
        <v>Female student shot in school parking lot following football game</v>
      </c>
      <c r="Z1593" s="12" t="str">
        <f ca="1">IFERROR(__xludf.DUMMYFUNCTION("""COMPUTED_VALUE"""),"3 shots were fired at students walking in the school parking lot following a football game. Female student was stuck and sustained minor injuries. Unknown suspect fled.")</f>
        <v>3 shots were fired at students walking in the school parking lot following a football game. Female student was stuck and sustained minor injuries. Unknown suspect fled.</v>
      </c>
      <c r="AA1593" s="8" t="str">
        <f ca="1">IFERROR(__xludf.DUMMYFUNCTION("""COMPUTED_VALUE"""),"Escalation of Dispute")</f>
        <v>Escalation of Dispute</v>
      </c>
      <c r="AB1593" s="8"/>
      <c r="AC1593" s="8" t="str">
        <f ca="1">IFERROR(__xludf.DUMMYFUNCTION("""COMPUTED_VALUE"""),"Yes")</f>
        <v>Yes</v>
      </c>
      <c r="AD1593" s="8"/>
      <c r="AE1593" s="8"/>
      <c r="AF1593" s="8"/>
      <c r="AG1593" s="8" t="str">
        <f ca="1">IFERROR(__xludf.DUMMYFUNCTION("""COMPUTED_VALUE"""),"No")</f>
        <v>No</v>
      </c>
      <c r="AH1593" s="8" t="str">
        <f ca="1">IFERROR(__xludf.DUMMYFUNCTION("""COMPUTED_VALUE"""),"No")</f>
        <v>No</v>
      </c>
      <c r="AI1593" s="8" t="str">
        <f ca="1">IFERROR(__xludf.DUMMYFUNCTION("""COMPUTED_VALUE"""),"No")</f>
        <v>No</v>
      </c>
      <c r="AJ1593" s="8" t="str">
        <f ca="1">IFERROR(__xludf.DUMMYFUNCTION("""COMPUTED_VALUE"""),"No")</f>
        <v>No</v>
      </c>
      <c r="AK1593" s="8" t="str">
        <f ca="1">IFERROR(__xludf.DUMMYFUNCTION("""COMPUTED_VALUE"""),"No")</f>
        <v>No</v>
      </c>
      <c r="AL1593" s="8"/>
      <c r="AM1593" s="8" t="str">
        <f ca="1">IFERROR(__xludf.DUMMYFUNCTION("""COMPUTED_VALUE"""),"No")</f>
        <v>No</v>
      </c>
      <c r="AN1593" s="8"/>
      <c r="AO1593" s="8" t="str">
        <f ca="1">IFERROR(__xludf.DUMMYFUNCTION("""COMPUTED_VALUE"""),"No")</f>
        <v>No</v>
      </c>
      <c r="AP1593" s="8"/>
      <c r="AQ1593" s="8" t="str">
        <f ca="1">IFERROR(__xludf.DUMMYFUNCTION("""COMPUTED_VALUE"""),"Unknown")</f>
        <v>Unknown</v>
      </c>
      <c r="AR1593" s="8" t="str">
        <f ca="1">IFERROR(__xludf.DUMMYFUNCTION("""COMPUTED_VALUE"""),"Outside/Off-Property")</f>
        <v>Outside/Off-Property</v>
      </c>
      <c r="AS1593" s="8">
        <f ca="1">IFERROR(__xludf.DUMMYFUNCTION("""COMPUTED_VALUE"""),3)</f>
        <v>3</v>
      </c>
      <c r="AT1593" s="8"/>
      <c r="AU1593" s="8">
        <f ca="1">IFERROR(__xludf.DUMMYFUNCTION("""COMPUTED_VALUE"""),40.209469)</f>
        <v>40.209468999999999</v>
      </c>
      <c r="AV1593" s="8">
        <f ca="1">IFERROR(__xludf.DUMMYFUNCTION("""COMPUTED_VALUE"""),-74.789702)</f>
        <v>-74.789702000000005</v>
      </c>
      <c r="AW1593" s="8"/>
      <c r="AX1593" s="8">
        <f ca="1">IFERROR(__xludf.DUMMYFUNCTION("""COMPUTED_VALUE"""),19067)</f>
        <v>19067</v>
      </c>
    </row>
    <row r="1594" spans="1:50" ht="120" x14ac:dyDescent="0.2">
      <c r="A1594" s="8" t="str">
        <f ca="1">IFERROR(__xludf.DUMMYFUNCTION("""COMPUTED_VALUE"""),"20190906PAMCJ")</f>
        <v>20190906PAMCJ</v>
      </c>
      <c r="B1594" s="8">
        <f ca="1">IFERROR(__xludf.DUMMYFUNCTION("""COMPUTED_VALUE"""),9)</f>
        <v>9</v>
      </c>
      <c r="C1594" s="8">
        <f ca="1">IFERROR(__xludf.DUMMYFUNCTION("""COMPUTED_VALUE"""),6)</f>
        <v>6</v>
      </c>
      <c r="D1594" s="8">
        <f ca="1">IFERROR(__xludf.DUMMYFUNCTION("""COMPUTED_VALUE"""),2019)</f>
        <v>2019</v>
      </c>
      <c r="E1594" s="9">
        <f ca="1">IFERROR(__xludf.DUMMYFUNCTION("""COMPUTED_VALUE"""),43714)</f>
        <v>43714</v>
      </c>
      <c r="F1594" s="8" t="str">
        <f ca="1">IFERROR(__xludf.DUMMYFUNCTION("""COMPUTED_VALUE"""),"McKee Middle School")</f>
        <v>McKee Middle School</v>
      </c>
      <c r="G1594" s="8">
        <f ca="1">IFERROR(__xludf.DUMMYFUNCTION("""COMPUTED_VALUE"""),1)</f>
        <v>1</v>
      </c>
      <c r="H1594" s="8">
        <f ca="1">IFERROR(__xludf.DUMMYFUNCTION("""COMPUTED_VALUE"""),0)</f>
        <v>0</v>
      </c>
      <c r="I1594" s="8">
        <f ca="1">IFERROR(__xludf.DUMMYFUNCTION("""COMPUTED_VALUE"""),1)</f>
        <v>1</v>
      </c>
      <c r="J1594" s="8">
        <f ca="1">IFERROR(__xludf.DUMMYFUNCTION("""COMPUTED_VALUE"""),0)</f>
        <v>0</v>
      </c>
      <c r="K1594" s="10" t="str">
        <f ca="1">IFERROR(__xludf.DUMMYFUNCTION("""COMPUTED_VALUE"""),"https://triblive.com/local/westmoreland/jeannette-man-pleads-guilty-to-homicide-charge-in-2019-shooting-outside-mckee-stadium/ https://www.pennlive.com/news/2019/09/man-killed-outside-pa-stadium-during-high-school-football-game-prompting-evacuation.html h"&amp;"ttps://www.wpxi.com/news/top-stories/gunman-identified-after-deadly-shooting-outside-jeannette-high-school-football-game/983628537
https://triblive.com/local/westmoreland/jeannette-man-sentenced-for-2019-fatal-shooting-outside-of-high-school-football-game"&amp;"/")</f>
        <v>https://triblive.com/local/westmoreland/jeannette-man-pleads-guilty-to-homicide-charge-in-2019-shooting-outside-mckee-stadium/ https://www.pennlive.com/news/2019/09/man-killed-outside-pa-stadium-during-high-school-football-game-prompting-evacuation.html https://www.wpxi.com/news/top-stories/gunman-identified-after-deadly-shooting-outside-jeannette-high-school-football-game/983628537
https://triblive.com/local/westmoreland/jeannette-man-sentenced-for-2019-fatal-shooting-outside-of-high-school-football-game/</v>
      </c>
      <c r="L1594" s="8"/>
      <c r="M1594" s="8" t="str">
        <f ca="1">IFERROR(__xludf.DUMMYFUNCTION("""COMPUTED_VALUE"""),"Regional")</f>
        <v>Regional</v>
      </c>
      <c r="N1594" s="8">
        <f ca="1">IFERROR(__xludf.DUMMYFUNCTION("""COMPUTED_VALUE"""),4)</f>
        <v>4</v>
      </c>
      <c r="O1594" s="8" t="str">
        <f ca="1">IFERROR(__xludf.DUMMYFUNCTION("""COMPUTED_VALUE"""),"Fall")</f>
        <v>Fall</v>
      </c>
      <c r="P1594" s="8" t="str">
        <f ca="1">IFERROR(__xludf.DUMMYFUNCTION("""COMPUTED_VALUE"""),"Jeannette")</f>
        <v>Jeannette</v>
      </c>
      <c r="Q1594" s="8" t="str">
        <f ca="1">IFERROR(__xludf.DUMMYFUNCTION("""COMPUTED_VALUE"""),"PA")</f>
        <v>PA</v>
      </c>
      <c r="R1594" s="8" t="str">
        <f ca="1">IFERROR(__xludf.DUMMYFUNCTION("""COMPUTED_VALUE"""),"Middle")</f>
        <v>Middle</v>
      </c>
      <c r="S1594" s="8" t="str">
        <f ca="1">IFERROR(__xludf.DUMMYFUNCTION("""COMPUTED_VALUE"""),"Football Field/Track")</f>
        <v>Football Field/Track</v>
      </c>
      <c r="T1594" s="8" t="str">
        <f ca="1">IFERROR(__xludf.DUMMYFUNCTION("""COMPUTED_VALUE"""),"Outside on School Property")</f>
        <v>Outside on School Property</v>
      </c>
      <c r="U1594" s="8" t="str">
        <f ca="1">IFERROR(__xludf.DUMMYFUNCTION("""COMPUTED_VALUE"""),"No")</f>
        <v>No</v>
      </c>
      <c r="V1594" s="8" t="str">
        <f ca="1">IFERROR(__xludf.DUMMYFUNCTION("""COMPUTED_VALUE"""),"Sport Event")</f>
        <v>Sport Event</v>
      </c>
      <c r="W1594" s="11">
        <f ca="1">IFERROR(__xludf.DUMMYFUNCTION("""COMPUTED_VALUE"""),0.888888888888888)</f>
        <v>0.88888888888888795</v>
      </c>
      <c r="X1594" s="8">
        <f ca="1">IFERROR(__xludf.DUMMYFUNCTION("""COMPUTED_VALUE"""),1)</f>
        <v>1</v>
      </c>
      <c r="Y1594" s="12" t="str">
        <f ca="1">IFERROR(__xludf.DUMMYFUNCTION("""COMPUTED_VALUE"""),"Adult male shot/killed adult male at gate of football stadium during high school game")</f>
        <v>Adult male shot/killed adult male at gate of football stadium during high school game</v>
      </c>
      <c r="Z1594" s="12" t="str">
        <f ca="1">IFERROR(__xludf.DUMMYFUNCTION("""COMPUTED_VALUE"""),"High school football game was being played in the stadium on the middle school campus. 40YOM shot and killed 48YOM at the gate of the stadium following a physical altercation. Police heard gunshots and stadium was locked down. Players were evacuated. Fans"&amp;" were moved from stadium section by section. Remaining 4:00 of game were cancelled. In May 2022, shooter plead guilty to 3rd degree homicide.")</f>
        <v>High school football game was being played in the stadium on the middle school campus. 40YOM shot and killed 48YOM at the gate of the stadium following a physical altercation. Police heard gunshots and stadium was locked down. Players were evacuated. Fans were moved from stadium section by section. Remaining 4:00 of game were cancelled. In May 2022, shooter plead guilty to 3rd degree homicide.</v>
      </c>
      <c r="AA1594" s="8" t="str">
        <f ca="1">IFERROR(__xludf.DUMMYFUNCTION("""COMPUTED_VALUE"""),"Escalation of Dispute")</f>
        <v>Escalation of Dispute</v>
      </c>
      <c r="AB1594" s="8"/>
      <c r="AC1594" s="8" t="str">
        <f ca="1">IFERROR(__xludf.DUMMYFUNCTION("""COMPUTED_VALUE"""),"Yes")</f>
        <v>Yes</v>
      </c>
      <c r="AD1594" s="8" t="str">
        <f ca="1">IFERROR(__xludf.DUMMYFUNCTION("""COMPUTED_VALUE"""),"Victims Targeted")</f>
        <v>Victims Targeted</v>
      </c>
      <c r="AE1594" s="8" t="str">
        <f ca="1">IFERROR(__xludf.DUMMYFUNCTION("""COMPUTED_VALUE"""),"No")</f>
        <v>No</v>
      </c>
      <c r="AF1594" s="8"/>
      <c r="AG1594" s="8" t="str">
        <f ca="1">IFERROR(__xludf.DUMMYFUNCTION("""COMPUTED_VALUE"""),"No")</f>
        <v>No</v>
      </c>
      <c r="AH1594" s="8" t="str">
        <f ca="1">IFERROR(__xludf.DUMMYFUNCTION("""COMPUTED_VALUE"""),"No")</f>
        <v>No</v>
      </c>
      <c r="AI1594" s="8" t="str">
        <f ca="1">IFERROR(__xludf.DUMMYFUNCTION("""COMPUTED_VALUE"""),"No")</f>
        <v>No</v>
      </c>
      <c r="AJ1594" s="8" t="str">
        <f ca="1">IFERROR(__xludf.DUMMYFUNCTION("""COMPUTED_VALUE"""),"No")</f>
        <v>No</v>
      </c>
      <c r="AK1594" s="8" t="str">
        <f ca="1">IFERROR(__xludf.DUMMYFUNCTION("""COMPUTED_VALUE"""),"No")</f>
        <v>No</v>
      </c>
      <c r="AL1594" s="8" t="str">
        <f ca="1">IFERROR(__xludf.DUMMYFUNCTION("""COMPUTED_VALUE"""),"No")</f>
        <v>No</v>
      </c>
      <c r="AM1594" s="8" t="str">
        <f ca="1">IFERROR(__xludf.DUMMYFUNCTION("""COMPUTED_VALUE"""),"No")</f>
        <v>No</v>
      </c>
      <c r="AN1594" s="8"/>
      <c r="AO1594" s="8" t="str">
        <f ca="1">IFERROR(__xludf.DUMMYFUNCTION("""COMPUTED_VALUE"""),"No")</f>
        <v>No</v>
      </c>
      <c r="AP1594" s="8" t="str">
        <f ca="1">IFERROR(__xludf.DUMMYFUNCTION("""COMPUTED_VALUE"""),"Yes")</f>
        <v>Yes</v>
      </c>
      <c r="AQ1594" s="8" t="str">
        <f ca="1">IFERROR(__xludf.DUMMYFUNCTION("""COMPUTED_VALUE"""),"Unknown")</f>
        <v>Unknown</v>
      </c>
      <c r="AR1594" s="8" t="str">
        <f ca="1">IFERROR(__xludf.DUMMYFUNCTION("""COMPUTED_VALUE"""),"NA")</f>
        <v>NA</v>
      </c>
      <c r="AS1594" s="8">
        <f ca="1">IFERROR(__xludf.DUMMYFUNCTION("""COMPUTED_VALUE"""),1)</f>
        <v>1</v>
      </c>
      <c r="AT1594" s="8" t="str">
        <f ca="1">IFERROR(__xludf.DUMMYFUNCTION("""COMPUTED_VALUE"""),"Yes")</f>
        <v>Yes</v>
      </c>
      <c r="AU1594" s="8">
        <f ca="1">IFERROR(__xludf.DUMMYFUNCTION("""COMPUTED_VALUE"""),40.316905)</f>
        <v>40.316904999999998</v>
      </c>
      <c r="AV1594" s="8">
        <f ca="1">IFERROR(__xludf.DUMMYFUNCTION("""COMPUTED_VALUE"""),-79.616019)</f>
        <v>-79.616018999999994</v>
      </c>
      <c r="AW1594" s="8"/>
      <c r="AX1594" s="8">
        <f ca="1">IFERROR(__xludf.DUMMYFUNCTION("""COMPUTED_VALUE"""),15644)</f>
        <v>15644</v>
      </c>
    </row>
    <row r="1595" spans="1:50" ht="75" x14ac:dyDescent="0.2">
      <c r="A1595" s="8" t="str">
        <f ca="1">IFERROR(__xludf.DUMMYFUNCTION("""COMPUTED_VALUE"""),"20190906ALCEC")</f>
        <v>20190906ALCEC</v>
      </c>
      <c r="B1595" s="8">
        <f ca="1">IFERROR(__xludf.DUMMYFUNCTION("""COMPUTED_VALUE"""),9)</f>
        <v>9</v>
      </c>
      <c r="C1595" s="8">
        <f ca="1">IFERROR(__xludf.DUMMYFUNCTION("""COMPUTED_VALUE"""),6)</f>
        <v>6</v>
      </c>
      <c r="D1595" s="8">
        <f ca="1">IFERROR(__xludf.DUMMYFUNCTION("""COMPUTED_VALUE"""),2019)</f>
        <v>2019</v>
      </c>
      <c r="E1595" s="9">
        <f ca="1">IFERROR(__xludf.DUMMYFUNCTION("""COMPUTED_VALUE"""),43714)</f>
        <v>43714</v>
      </c>
      <c r="F1595" s="8" t="str">
        <f ca="1">IFERROR(__xludf.DUMMYFUNCTION("""COMPUTED_VALUE"""),"Center Point High School")</f>
        <v>Center Point High School</v>
      </c>
      <c r="G1595" s="8">
        <f ca="1">IFERROR(__xludf.DUMMYFUNCTION("""COMPUTED_VALUE"""),0)</f>
        <v>0</v>
      </c>
      <c r="H1595" s="8">
        <f ca="1">IFERROR(__xludf.DUMMYFUNCTION("""COMPUTED_VALUE"""),0)</f>
        <v>0</v>
      </c>
      <c r="I1595" s="8">
        <f ca="1">IFERROR(__xludf.DUMMYFUNCTION("""COMPUTED_VALUE"""),0)</f>
        <v>0</v>
      </c>
      <c r="J1595" s="8">
        <f ca="1">IFERROR(__xludf.DUMMYFUNCTION("""COMPUTED_VALUE"""),0)</f>
        <v>0</v>
      </c>
      <c r="K1595" s="10" t="str">
        <f ca="1">IFERROR(__xludf.DUMMYFUNCTION("""COMPUTED_VALUE"""),"https://www.al.com/news/birmingham/2019/09/shots-fired-near-alabama-high-school-football-game-temporarily-stop-play-no-injures.html")</f>
        <v>https://www.al.com/news/birmingham/2019/09/shots-fired-near-alabama-high-school-football-game-temporarily-stop-play-no-injures.html</v>
      </c>
      <c r="L1595" s="8"/>
      <c r="M1595" s="8"/>
      <c r="N1595" s="8">
        <f ca="1">IFERROR(__xludf.DUMMYFUNCTION("""COMPUTED_VALUE"""),3)</f>
        <v>3</v>
      </c>
      <c r="O1595" s="8" t="str">
        <f ca="1">IFERROR(__xludf.DUMMYFUNCTION("""COMPUTED_VALUE"""),"Fall")</f>
        <v>Fall</v>
      </c>
      <c r="P1595" s="8" t="str">
        <f ca="1">IFERROR(__xludf.DUMMYFUNCTION("""COMPUTED_VALUE"""),"Center Point")</f>
        <v>Center Point</v>
      </c>
      <c r="Q1595" s="8" t="str">
        <f ca="1">IFERROR(__xludf.DUMMYFUNCTION("""COMPUTED_VALUE"""),"AL")</f>
        <v>AL</v>
      </c>
      <c r="R1595" s="8" t="str">
        <f ca="1">IFERROR(__xludf.DUMMYFUNCTION("""COMPUTED_VALUE"""),"High")</f>
        <v>High</v>
      </c>
      <c r="S1595" s="8" t="str">
        <f ca="1">IFERROR(__xludf.DUMMYFUNCTION("""COMPUTED_VALUE"""),"Football Field/Track")</f>
        <v>Football Field/Track</v>
      </c>
      <c r="T1595" s="8" t="str">
        <f ca="1">IFERROR(__xludf.DUMMYFUNCTION("""COMPUTED_VALUE"""),"Outside on School Property")</f>
        <v>Outside on School Property</v>
      </c>
      <c r="U1595" s="8" t="str">
        <f ca="1">IFERROR(__xludf.DUMMYFUNCTION("""COMPUTED_VALUE"""),"No")</f>
        <v>No</v>
      </c>
      <c r="V1595" s="8" t="str">
        <f ca="1">IFERROR(__xludf.DUMMYFUNCTION("""COMPUTED_VALUE"""),"Sport Event")</f>
        <v>Sport Event</v>
      </c>
      <c r="W1595" s="11">
        <f ca="1">IFERROR(__xludf.DUMMYFUNCTION("""COMPUTED_VALUE"""),0.875)</f>
        <v>0.875</v>
      </c>
      <c r="X1595" s="8">
        <f ca="1">IFERROR(__xludf.DUMMYFUNCTION("""COMPUTED_VALUE"""),1)</f>
        <v>1</v>
      </c>
      <c r="Y1595" s="12" t="str">
        <f ca="1">IFERROR(__xludf.DUMMYFUNCTION("""COMPUTED_VALUE"""),"8-9 shots fired from woods by football stadium during game")</f>
        <v>8-9 shots fired from woods by football stadium during game</v>
      </c>
      <c r="Z1595" s="12" t="str">
        <f ca="1">IFERROR(__xludf.DUMMYFUNCTION("""COMPUTED_VALUE"""),"8-9 shots were fired from the woods near the high school football game with 5:00 minutes remaining in the game. Police at the stadium searched the area and the game was suspended for 40 minutes. PA announcer told players and fans to take cover. No shooter"&amp;" was located.")</f>
        <v>8-9 shots were fired from the woods near the high school football game with 5:00 minutes remaining in the game. Police at the stadium searched the area and the game was suspended for 40 minutes. PA announcer told players and fans to take cover. No shooter was located.</v>
      </c>
      <c r="AA1595" s="8" t="str">
        <f ca="1">IFERROR(__xludf.DUMMYFUNCTION("""COMPUTED_VALUE"""),"Indiscriminate Shooting")</f>
        <v>Indiscriminate Shooting</v>
      </c>
      <c r="AB1595" s="8"/>
      <c r="AC1595" s="8" t="str">
        <f ca="1">IFERROR(__xludf.DUMMYFUNCTION("""COMPUTED_VALUE"""),"Yes")</f>
        <v>Yes</v>
      </c>
      <c r="AD1595" s="8"/>
      <c r="AE1595" s="8"/>
      <c r="AF1595" s="8"/>
      <c r="AG1595" s="8" t="str">
        <f ca="1">IFERROR(__xludf.DUMMYFUNCTION("""COMPUTED_VALUE"""),"No")</f>
        <v>No</v>
      </c>
      <c r="AH1595" s="8" t="str">
        <f ca="1">IFERROR(__xludf.DUMMYFUNCTION("""COMPUTED_VALUE"""),"No")</f>
        <v>No</v>
      </c>
      <c r="AI1595" s="8" t="str">
        <f ca="1">IFERROR(__xludf.DUMMYFUNCTION("""COMPUTED_VALUE"""),"No")</f>
        <v>No</v>
      </c>
      <c r="AJ1595" s="8" t="str">
        <f ca="1">IFERROR(__xludf.DUMMYFUNCTION("""COMPUTED_VALUE"""),"No")</f>
        <v>No</v>
      </c>
      <c r="AK1595" s="8" t="str">
        <f ca="1">IFERROR(__xludf.DUMMYFUNCTION("""COMPUTED_VALUE"""),"No")</f>
        <v>No</v>
      </c>
      <c r="AL1595" s="8"/>
      <c r="AM1595" s="8" t="str">
        <f ca="1">IFERROR(__xludf.DUMMYFUNCTION("""COMPUTED_VALUE"""),"No")</f>
        <v>No</v>
      </c>
      <c r="AN1595" s="8"/>
      <c r="AO1595" s="8" t="str">
        <f ca="1">IFERROR(__xludf.DUMMYFUNCTION("""COMPUTED_VALUE"""),"No")</f>
        <v>No</v>
      </c>
      <c r="AP1595" s="8" t="str">
        <f ca="1">IFERROR(__xludf.DUMMYFUNCTION("""COMPUTED_VALUE"""),"Yes")</f>
        <v>Yes</v>
      </c>
      <c r="AQ1595" s="8" t="str">
        <f ca="1">IFERROR(__xludf.DUMMYFUNCTION("""COMPUTED_VALUE"""),"Unknown")</f>
        <v>Unknown</v>
      </c>
      <c r="AR1595" s="8" t="str">
        <f ca="1">IFERROR(__xludf.DUMMYFUNCTION("""COMPUTED_VALUE"""),"NA")</f>
        <v>NA</v>
      </c>
      <c r="AS1595" s="8">
        <f ca="1">IFERROR(__xludf.DUMMYFUNCTION("""COMPUTED_VALUE"""),8)</f>
        <v>8</v>
      </c>
      <c r="AT1595" s="8" t="str">
        <f ca="1">IFERROR(__xludf.DUMMYFUNCTION("""COMPUTED_VALUE"""),"Yes")</f>
        <v>Yes</v>
      </c>
      <c r="AU1595" s="8">
        <f ca="1">IFERROR(__xludf.DUMMYFUNCTION("""COMPUTED_VALUE"""),33.658801)</f>
        <v>33.658800999999997</v>
      </c>
      <c r="AV1595" s="8">
        <f ca="1">IFERROR(__xludf.DUMMYFUNCTION("""COMPUTED_VALUE"""),-86.699343)</f>
        <v>-86.699342999999999</v>
      </c>
      <c r="AW1595" s="8"/>
      <c r="AX1595" s="8">
        <f ca="1">IFERROR(__xludf.DUMMYFUNCTION("""COMPUTED_VALUE"""),35215)</f>
        <v>35215</v>
      </c>
    </row>
    <row r="1596" spans="1:50" ht="75" x14ac:dyDescent="0.2">
      <c r="A1596" s="8" t="str">
        <f ca="1">IFERROR(__xludf.DUMMYFUNCTION("""COMPUTED_VALUE"""),"20190902MDNOB")</f>
        <v>20190902MDNOB</v>
      </c>
      <c r="B1596" s="8">
        <f ca="1">IFERROR(__xludf.DUMMYFUNCTION("""COMPUTED_VALUE"""),9)</f>
        <v>9</v>
      </c>
      <c r="C1596" s="8">
        <f ca="1">IFERROR(__xludf.DUMMYFUNCTION("""COMPUTED_VALUE"""),2)</f>
        <v>2</v>
      </c>
      <c r="D1596" s="8">
        <f ca="1">IFERROR(__xludf.DUMMYFUNCTION("""COMPUTED_VALUE"""),2019)</f>
        <v>2019</v>
      </c>
      <c r="E1596" s="9">
        <f ca="1">IFERROR(__xludf.DUMMYFUNCTION("""COMPUTED_VALUE"""),43710)</f>
        <v>43710</v>
      </c>
      <c r="F1596" s="8" t="str">
        <f ca="1">IFERROR(__xludf.DUMMYFUNCTION("""COMPUTED_VALUE"""),"Northwood Elementary School")</f>
        <v>Northwood Elementary School</v>
      </c>
      <c r="G1596" s="8">
        <f ca="1">IFERROR(__xludf.DUMMYFUNCTION("""COMPUTED_VALUE"""),1)</f>
        <v>1</v>
      </c>
      <c r="H1596" s="8">
        <f ca="1">IFERROR(__xludf.DUMMYFUNCTION("""COMPUTED_VALUE"""),2)</f>
        <v>2</v>
      </c>
      <c r="I1596" s="8">
        <f ca="1">IFERROR(__xludf.DUMMYFUNCTION("""COMPUTED_VALUE"""),3)</f>
        <v>3</v>
      </c>
      <c r="J1596" s="8">
        <f ca="1">IFERROR(__xludf.DUMMYFUNCTION("""COMPUTED_VALUE"""),0)</f>
        <v>0</v>
      </c>
      <c r="K1596" s="10" t="str">
        <f ca="1">IFERROR(__xludf.DUMMYFUNCTION("""COMPUTED_VALUE"""),"https://www.wmar2news.com/news/crime-checker/baltimore-city-crime/triple-shooting-near-elementary-school-leaves-one-man-dead-on-monday")</f>
        <v>https://www.wmar2news.com/news/crime-checker/baltimore-city-crime/triple-shooting-near-elementary-school-leaves-one-man-dead-on-monday</v>
      </c>
      <c r="L1596" s="8"/>
      <c r="M1596" s="8"/>
      <c r="N1596" s="8">
        <f ca="1">IFERROR(__xludf.DUMMYFUNCTION("""COMPUTED_VALUE"""),3)</f>
        <v>3</v>
      </c>
      <c r="O1596" s="8" t="str">
        <f ca="1">IFERROR(__xludf.DUMMYFUNCTION("""COMPUTED_VALUE"""),"Fall")</f>
        <v>Fall</v>
      </c>
      <c r="P1596" s="8" t="str">
        <f ca="1">IFERROR(__xludf.DUMMYFUNCTION("""COMPUTED_VALUE"""),"Baltimore")</f>
        <v>Baltimore</v>
      </c>
      <c r="Q1596" s="8" t="str">
        <f ca="1">IFERROR(__xludf.DUMMYFUNCTION("""COMPUTED_VALUE"""),"MD")</f>
        <v>MD</v>
      </c>
      <c r="R1596" s="8" t="str">
        <f ca="1">IFERROR(__xludf.DUMMYFUNCTION("""COMPUTED_VALUE"""),"Elementary")</f>
        <v>Elementary</v>
      </c>
      <c r="S1596" s="8" t="str">
        <f ca="1">IFERROR(__xludf.DUMMYFUNCTION("""COMPUTED_VALUE"""),"Courtyard")</f>
        <v>Courtyard</v>
      </c>
      <c r="T1596" s="8" t="str">
        <f ca="1">IFERROR(__xludf.DUMMYFUNCTION("""COMPUTED_VALUE"""),"Outside on School Property")</f>
        <v>Outside on School Property</v>
      </c>
      <c r="U1596" s="8" t="str">
        <f ca="1">IFERROR(__xludf.DUMMYFUNCTION("""COMPUTED_VALUE"""),"No")</f>
        <v>No</v>
      </c>
      <c r="V1596" s="8" t="str">
        <f ca="1">IFERROR(__xludf.DUMMYFUNCTION("""COMPUTED_VALUE"""),"Evening")</f>
        <v>Evening</v>
      </c>
      <c r="W1596" s="11">
        <f ca="1">IFERROR(__xludf.DUMMYFUNCTION("""COMPUTED_VALUE"""),0.833333333333333)</f>
        <v>0.83333333333333304</v>
      </c>
      <c r="X1596" s="8">
        <f ca="1">IFERROR(__xludf.DUMMYFUNCTION("""COMPUTED_VALUE"""),1)</f>
        <v>1</v>
      </c>
      <c r="Y1596" s="12" t="str">
        <f ca="1">IFERROR(__xludf.DUMMYFUNCTION("""COMPUTED_VALUE"""),"Adult male killed and two other adult men injured by unknown shooter in school courtyard")</f>
        <v>Adult male killed and two other adult men injured by unknown shooter in school courtyard</v>
      </c>
      <c r="Z1596" s="12" t="str">
        <f ca="1">IFERROR(__xludf.DUMMYFUNCTION("""COMPUTED_VALUE"""),"One adult male found unresponsive (killed by gunshot) and two adult males were shot in elementary school courtyard. No further information or motive known. Shooter fled the scene.")</f>
        <v>One adult male found unresponsive (killed by gunshot) and two adult males were shot in elementary school courtyard. No further information or motive known. Shooter fled the scene.</v>
      </c>
      <c r="AA1596" s="8" t="str">
        <f ca="1">IFERROR(__xludf.DUMMYFUNCTION("""COMPUTED_VALUE"""),"Escalation of Dispute")</f>
        <v>Escalation of Dispute</v>
      </c>
      <c r="AB1596" s="8"/>
      <c r="AC1596" s="8" t="str">
        <f ca="1">IFERROR(__xludf.DUMMYFUNCTION("""COMPUTED_VALUE"""),"No")</f>
        <v>No</v>
      </c>
      <c r="AD1596" s="8"/>
      <c r="AE1596" s="8"/>
      <c r="AF1596" s="8"/>
      <c r="AG1596" s="8" t="str">
        <f ca="1">IFERROR(__xludf.DUMMYFUNCTION("""COMPUTED_VALUE"""),"No")</f>
        <v>No</v>
      </c>
      <c r="AH1596" s="8" t="str">
        <f ca="1">IFERROR(__xludf.DUMMYFUNCTION("""COMPUTED_VALUE"""),"No")</f>
        <v>No</v>
      </c>
      <c r="AI1596" s="8" t="str">
        <f ca="1">IFERROR(__xludf.DUMMYFUNCTION("""COMPUTED_VALUE"""),"No")</f>
        <v>No</v>
      </c>
      <c r="AJ1596" s="8" t="str">
        <f ca="1">IFERROR(__xludf.DUMMYFUNCTION("""COMPUTED_VALUE"""),"No")</f>
        <v>No</v>
      </c>
      <c r="AK1596" s="8" t="str">
        <f ca="1">IFERROR(__xludf.DUMMYFUNCTION("""COMPUTED_VALUE"""),"No")</f>
        <v>No</v>
      </c>
      <c r="AL1596" s="8"/>
      <c r="AM1596" s="8" t="str">
        <f ca="1">IFERROR(__xludf.DUMMYFUNCTION("""COMPUTED_VALUE"""),"No")</f>
        <v>No</v>
      </c>
      <c r="AN1596" s="8"/>
      <c r="AO1596" s="8" t="str">
        <f ca="1">IFERROR(__xludf.DUMMYFUNCTION("""COMPUTED_VALUE"""),"No")</f>
        <v>No</v>
      </c>
      <c r="AP1596" s="8"/>
      <c r="AQ1596" s="8" t="str">
        <f ca="1">IFERROR(__xludf.DUMMYFUNCTION("""COMPUTED_VALUE"""),"Unknown")</f>
        <v>Unknown</v>
      </c>
      <c r="AR1596" s="8" t="str">
        <f ca="1">IFERROR(__xludf.DUMMYFUNCTION("""COMPUTED_VALUE"""),"NA")</f>
        <v>NA</v>
      </c>
      <c r="AS1596" s="8"/>
      <c r="AT1596" s="8" t="str">
        <f ca="1">IFERROR(__xludf.DUMMYFUNCTION("""COMPUTED_VALUE"""),"N/A")</f>
        <v>N/A</v>
      </c>
      <c r="AU1596" s="8">
        <f ca="1">IFERROR(__xludf.DUMMYFUNCTION("""COMPUTED_VALUE"""),39.352409)</f>
        <v>39.352409000000002</v>
      </c>
      <c r="AV1596" s="8">
        <f ca="1">IFERROR(__xludf.DUMMYFUNCTION("""COMPUTED_VALUE"""),-76.588426)</f>
        <v>-76.588425999999998</v>
      </c>
      <c r="AW1596" s="8"/>
      <c r="AX1596" s="8">
        <f ca="1">IFERROR(__xludf.DUMMYFUNCTION("""COMPUTED_VALUE"""),21251)</f>
        <v>21251</v>
      </c>
    </row>
    <row r="1597" spans="1:50" ht="120" x14ac:dyDescent="0.2">
      <c r="A1597" s="8" t="str">
        <f ca="1">IFERROR(__xludf.DUMMYFUNCTION("""COMPUTED_VALUE"""),"20190830OHCET")</f>
        <v>20190830OHCET</v>
      </c>
      <c r="B1597" s="8">
        <f ca="1">IFERROR(__xludf.DUMMYFUNCTION("""COMPUTED_VALUE"""),8)</f>
        <v>8</v>
      </c>
      <c r="C1597" s="8">
        <f ca="1">IFERROR(__xludf.DUMMYFUNCTION("""COMPUTED_VALUE"""),30)</f>
        <v>30</v>
      </c>
      <c r="D1597" s="8">
        <f ca="1">IFERROR(__xludf.DUMMYFUNCTION("""COMPUTED_VALUE"""),2019)</f>
        <v>2019</v>
      </c>
      <c r="E1597" s="9">
        <f ca="1">IFERROR(__xludf.DUMMYFUNCTION("""COMPUTED_VALUE"""),43707)</f>
        <v>43707</v>
      </c>
      <c r="F1597" s="8" t="str">
        <f ca="1">IFERROR(__xludf.DUMMYFUNCTION("""COMPUTED_VALUE"""),"Central Catholic High School")</f>
        <v>Central Catholic High School</v>
      </c>
      <c r="G1597" s="8">
        <f ca="1">IFERROR(__xludf.DUMMYFUNCTION("""COMPUTED_VALUE"""),0)</f>
        <v>0</v>
      </c>
      <c r="H1597" s="8">
        <f ca="1">IFERROR(__xludf.DUMMYFUNCTION("""COMPUTED_VALUE"""),1)</f>
        <v>1</v>
      </c>
      <c r="I1597" s="8">
        <f ca="1">IFERROR(__xludf.DUMMYFUNCTION("""COMPUTED_VALUE"""),1)</f>
        <v>1</v>
      </c>
      <c r="J1597" s="8">
        <f ca="1">IFERROR(__xludf.DUMMYFUNCTION("""COMPUTED_VALUE"""),0)</f>
        <v>0</v>
      </c>
      <c r="K1597" s="10" t="str">
        <f ca="1">IFERROR(__xludf.DUMMYFUNCTION("""COMPUTED_VALUE"""),"https://www.13abc.com/content/news/Juvenile-shot-on-Central-Catholic-grounds-after-altercation-following-football-game-558889751.html")</f>
        <v>https://www.13abc.com/content/news/Juvenile-shot-on-Central-Catholic-grounds-after-altercation-following-football-game-558889751.html</v>
      </c>
      <c r="L1597" s="8"/>
      <c r="M1597" s="8"/>
      <c r="N1597" s="8">
        <f ca="1">IFERROR(__xludf.DUMMYFUNCTION("""COMPUTED_VALUE"""),4)</f>
        <v>4</v>
      </c>
      <c r="O1597" s="8" t="str">
        <f ca="1">IFERROR(__xludf.DUMMYFUNCTION("""COMPUTED_VALUE"""),"Summer")</f>
        <v>Summer</v>
      </c>
      <c r="P1597" s="8" t="str">
        <f ca="1">IFERROR(__xludf.DUMMYFUNCTION("""COMPUTED_VALUE"""),"Toledo")</f>
        <v>Toledo</v>
      </c>
      <c r="Q1597" s="8" t="str">
        <f ca="1">IFERROR(__xludf.DUMMYFUNCTION("""COMPUTED_VALUE"""),"OH")</f>
        <v>OH</v>
      </c>
      <c r="R1597" s="8" t="str">
        <f ca="1">IFERROR(__xludf.DUMMYFUNCTION("""COMPUTED_VALUE"""),"High")</f>
        <v>High</v>
      </c>
      <c r="S1597" s="8" t="str">
        <f ca="1">IFERROR(__xludf.DUMMYFUNCTION("""COMPUTED_VALUE"""),"Football Field/Track")</f>
        <v>Football Field/Track</v>
      </c>
      <c r="T1597" s="8" t="str">
        <f ca="1">IFERROR(__xludf.DUMMYFUNCTION("""COMPUTED_VALUE"""),"Outside on School Property")</f>
        <v>Outside on School Property</v>
      </c>
      <c r="U1597" s="8" t="str">
        <f ca="1">IFERROR(__xludf.DUMMYFUNCTION("""COMPUTED_VALUE"""),"No")</f>
        <v>No</v>
      </c>
      <c r="V1597" s="8" t="str">
        <f ca="1">IFERROR(__xludf.DUMMYFUNCTION("""COMPUTED_VALUE"""),"Sport Event")</f>
        <v>Sport Event</v>
      </c>
      <c r="W1597" s="11">
        <f ca="1">IFERROR(__xludf.DUMMYFUNCTION("""COMPUTED_VALUE"""),0.895833333333333)</f>
        <v>0.89583333333333304</v>
      </c>
      <c r="X1597" s="8">
        <f ca="1">IFERROR(__xludf.DUMMYFUNCTION("""COMPUTED_VALUE"""),1)</f>
        <v>1</v>
      </c>
      <c r="Y1597" s="12" t="str">
        <f ca="1">IFERROR(__xludf.DUMMYFUNCTION("""COMPUTED_VALUE"""),"16YOM non-student shot when crowd was exiting football game")</f>
        <v>16YOM non-student shot when crowd was exiting football game</v>
      </c>
      <c r="Z1597" s="12" t="str">
        <f ca="1">IFERROR(__xludf.DUMMYFUNCTION("""COMPUTED_VALUE"""),"16YOM non-student was shot while crowd was exiting the football field by unknown shooter (police said shooter was not student). Police said the shooting was the result of a fight. Shooter fled the area in a vehicle. School security said that all bags will"&amp;" be searched and additional officers will be assigned to the school for future events. Non-students will not be allowed to enter the stadium after future games begin.")</f>
        <v>16YOM non-student was shot while crowd was exiting the football field by unknown shooter (police said shooter was not student). Police said the shooting was the result of a fight. Shooter fled the area in a vehicle. School security said that all bags will be searched and additional officers will be assigned to the school for future events. Non-students will not be allowed to enter the stadium after future games begin.</v>
      </c>
      <c r="AA1597" s="8" t="str">
        <f ca="1">IFERROR(__xludf.DUMMYFUNCTION("""COMPUTED_VALUE"""),"Escalation of Dispute")</f>
        <v>Escalation of Dispute</v>
      </c>
      <c r="AB1597" s="8"/>
      <c r="AC1597" s="8" t="str">
        <f ca="1">IFERROR(__xludf.DUMMYFUNCTION("""COMPUTED_VALUE"""),"Yes")</f>
        <v>Yes</v>
      </c>
      <c r="AD1597" s="8" t="str">
        <f ca="1">IFERROR(__xludf.DUMMYFUNCTION("""COMPUTED_VALUE"""),"Random Shooting")</f>
        <v>Random Shooting</v>
      </c>
      <c r="AE1597" s="8" t="str">
        <f ca="1">IFERROR(__xludf.DUMMYFUNCTION("""COMPUTED_VALUE"""),"No")</f>
        <v>No</v>
      </c>
      <c r="AF1597" s="8"/>
      <c r="AG1597" s="8" t="str">
        <f ca="1">IFERROR(__xludf.DUMMYFUNCTION("""COMPUTED_VALUE"""),"No")</f>
        <v>No</v>
      </c>
      <c r="AH1597" s="8" t="str">
        <f ca="1">IFERROR(__xludf.DUMMYFUNCTION("""COMPUTED_VALUE"""),"No")</f>
        <v>No</v>
      </c>
      <c r="AI1597" s="8" t="str">
        <f ca="1">IFERROR(__xludf.DUMMYFUNCTION("""COMPUTED_VALUE"""),"No")</f>
        <v>No</v>
      </c>
      <c r="AJ1597" s="8" t="str">
        <f ca="1">IFERROR(__xludf.DUMMYFUNCTION("""COMPUTED_VALUE"""),"No")</f>
        <v>No</v>
      </c>
      <c r="AK1597" s="8" t="str">
        <f ca="1">IFERROR(__xludf.DUMMYFUNCTION("""COMPUTED_VALUE"""),"No")</f>
        <v>No</v>
      </c>
      <c r="AL1597" s="8" t="str">
        <f ca="1">IFERROR(__xludf.DUMMYFUNCTION("""COMPUTED_VALUE"""),"No")</f>
        <v>No</v>
      </c>
      <c r="AM1597" s="8" t="str">
        <f ca="1">IFERROR(__xludf.DUMMYFUNCTION("""COMPUTED_VALUE"""),"No")</f>
        <v>No</v>
      </c>
      <c r="AN1597" s="8"/>
      <c r="AO1597" s="8" t="str">
        <f ca="1">IFERROR(__xludf.DUMMYFUNCTION("""COMPUTED_VALUE"""),"No")</f>
        <v>No</v>
      </c>
      <c r="AP1597" s="8" t="str">
        <f ca="1">IFERROR(__xludf.DUMMYFUNCTION("""COMPUTED_VALUE"""),"Yes")</f>
        <v>Yes</v>
      </c>
      <c r="AQ1597" s="8" t="str">
        <f ca="1">IFERROR(__xludf.DUMMYFUNCTION("""COMPUTED_VALUE"""),"None")</f>
        <v>None</v>
      </c>
      <c r="AR1597" s="8" t="str">
        <f ca="1">IFERROR(__xludf.DUMMYFUNCTION("""COMPUTED_VALUE"""),"NA")</f>
        <v>NA</v>
      </c>
      <c r="AS1597" s="8" t="str">
        <f ca="1">IFERROR(__xludf.DUMMYFUNCTION("""COMPUTED_VALUE"""),"&lt;10")</f>
        <v>&lt;10</v>
      </c>
      <c r="AT1597" s="8" t="str">
        <f ca="1">IFERROR(__xludf.DUMMYFUNCTION("""COMPUTED_VALUE"""),"No")</f>
        <v>No</v>
      </c>
      <c r="AU1597" s="8">
        <f ca="1">IFERROR(__xludf.DUMMYFUNCTION("""COMPUTED_VALUE"""),41.673401)</f>
        <v>41.673400999999998</v>
      </c>
      <c r="AV1597" s="8">
        <f ca="1">IFERROR(__xludf.DUMMYFUNCTION("""COMPUTED_VALUE"""),-83.544186)</f>
        <v>-83.544185999999996</v>
      </c>
      <c r="AW1597" s="8"/>
      <c r="AX1597" s="8">
        <f ca="1">IFERROR(__xludf.DUMMYFUNCTION("""COMPUTED_VALUE"""),43608)</f>
        <v>43608</v>
      </c>
    </row>
    <row r="1598" spans="1:50" ht="60" x14ac:dyDescent="0.2">
      <c r="A1598" s="8" t="str">
        <f ca="1">IFERROR(__xludf.DUMMYFUNCTION("""COMPUTED_VALUE"""),"20190830NCKIK")</f>
        <v>20190830NCKIK</v>
      </c>
      <c r="B1598" s="8">
        <f ca="1">IFERROR(__xludf.DUMMYFUNCTION("""COMPUTED_VALUE"""),8)</f>
        <v>8</v>
      </c>
      <c r="C1598" s="8">
        <f ca="1">IFERROR(__xludf.DUMMYFUNCTION("""COMPUTED_VALUE"""),30)</f>
        <v>30</v>
      </c>
      <c r="D1598" s="8">
        <f ca="1">IFERROR(__xludf.DUMMYFUNCTION("""COMPUTED_VALUE"""),2019)</f>
        <v>2019</v>
      </c>
      <c r="E1598" s="9">
        <f ca="1">IFERROR(__xludf.DUMMYFUNCTION("""COMPUTED_VALUE"""),43707)</f>
        <v>43707</v>
      </c>
      <c r="F1598" s="8" t="str">
        <f ca="1">IFERROR(__xludf.DUMMYFUNCTION("""COMPUTED_VALUE"""),"Kinston High School")</f>
        <v>Kinston High School</v>
      </c>
      <c r="G1598" s="8">
        <f ca="1">IFERROR(__xludf.DUMMYFUNCTION("""COMPUTED_VALUE"""),0)</f>
        <v>0</v>
      </c>
      <c r="H1598" s="8">
        <f ca="1">IFERROR(__xludf.DUMMYFUNCTION("""COMPUTED_VALUE"""),0)</f>
        <v>0</v>
      </c>
      <c r="I1598" s="8">
        <f ca="1">IFERROR(__xludf.DUMMYFUNCTION("""COMPUTED_VALUE"""),0)</f>
        <v>0</v>
      </c>
      <c r="J1598" s="8">
        <f ca="1">IFERROR(__xludf.DUMMYFUNCTION("""COMPUTED_VALUE"""),0)</f>
        <v>0</v>
      </c>
      <c r="K1598" s="10" t="str">
        <f ca="1">IFERROR(__xludf.DUMMYFUNCTION("""COMPUTED_VALUE"""),"https://www.wnct.com/news/2-arrested-in-connection-to-a-shooting-at-a-kinston-football-game/")</f>
        <v>https://www.wnct.com/news/2-arrested-in-connection-to-a-shooting-at-a-kinston-football-game/</v>
      </c>
      <c r="L1598" s="8"/>
      <c r="M1598" s="8"/>
      <c r="N1598" s="8">
        <f ca="1">IFERROR(__xludf.DUMMYFUNCTION("""COMPUTED_VALUE"""),4)</f>
        <v>4</v>
      </c>
      <c r="O1598" s="8" t="str">
        <f ca="1">IFERROR(__xludf.DUMMYFUNCTION("""COMPUTED_VALUE"""),"Summer")</f>
        <v>Summer</v>
      </c>
      <c r="P1598" s="8" t="str">
        <f ca="1">IFERROR(__xludf.DUMMYFUNCTION("""COMPUTED_VALUE"""),"Kingston")</f>
        <v>Kingston</v>
      </c>
      <c r="Q1598" s="8" t="str">
        <f ca="1">IFERROR(__xludf.DUMMYFUNCTION("""COMPUTED_VALUE"""),"NC")</f>
        <v>NC</v>
      </c>
      <c r="R1598" s="8" t="str">
        <f ca="1">IFERROR(__xludf.DUMMYFUNCTION("""COMPUTED_VALUE"""),"High")</f>
        <v>High</v>
      </c>
      <c r="S1598" s="8" t="str">
        <f ca="1">IFERROR(__xludf.DUMMYFUNCTION("""COMPUTED_VALUE"""),"Parking Lot")</f>
        <v>Parking Lot</v>
      </c>
      <c r="T1598" s="8" t="str">
        <f ca="1">IFERROR(__xludf.DUMMYFUNCTION("""COMPUTED_VALUE"""),"Outside on School Property")</f>
        <v>Outside on School Property</v>
      </c>
      <c r="U1598" s="8" t="str">
        <f ca="1">IFERROR(__xludf.DUMMYFUNCTION("""COMPUTED_VALUE"""),"No")</f>
        <v>No</v>
      </c>
      <c r="V1598" s="8" t="str">
        <f ca="1">IFERROR(__xludf.DUMMYFUNCTION("""COMPUTED_VALUE"""),"Sport Event")</f>
        <v>Sport Event</v>
      </c>
      <c r="W1598" s="11">
        <f ca="1">IFERROR(__xludf.DUMMYFUNCTION("""COMPUTED_VALUE"""),0.916666666666666)</f>
        <v>0.91666666666666596</v>
      </c>
      <c r="X1598" s="8">
        <f ca="1">IFERROR(__xludf.DUMMYFUNCTION("""COMPUTED_VALUE"""),1)</f>
        <v>1</v>
      </c>
      <c r="Y1598" s="12" t="str">
        <f ca="1">IFERROR(__xludf.DUMMYFUNCTION("""COMPUTED_VALUE"""),"Shots fired into air the parking lot after football game")</f>
        <v>Shots fired into air the parking lot after football game</v>
      </c>
      <c r="Z1598" s="12" t="str">
        <f ca="1">IFERROR(__xludf.DUMMYFUNCTION("""COMPUTED_VALUE"""),"Multiple shots were fired into the air in the parking lot following a high school football game. Police stopped a vehicle attempting to flee the area and arrested two teens (17YOM and 19YOM). Neither were students at the school.")</f>
        <v>Multiple shots were fired into the air in the parking lot following a high school football game. Police stopped a vehicle attempting to flee the area and arrested two teens (17YOM and 19YOM). Neither were students at the school.</v>
      </c>
      <c r="AA1598" s="8" t="str">
        <f ca="1">IFERROR(__xludf.DUMMYFUNCTION("""COMPUTED_VALUE"""),"Escalation of Dispute")</f>
        <v>Escalation of Dispute</v>
      </c>
      <c r="AB1598" s="8"/>
      <c r="AC1598" s="8" t="str">
        <f ca="1">IFERROR(__xludf.DUMMYFUNCTION("""COMPUTED_VALUE"""),"Yes")</f>
        <v>Yes</v>
      </c>
      <c r="AD1598" s="8" t="str">
        <f ca="1">IFERROR(__xludf.DUMMYFUNCTION("""COMPUTED_VALUE"""),"Neither")</f>
        <v>Neither</v>
      </c>
      <c r="AE1598" s="8" t="str">
        <f ca="1">IFERROR(__xludf.DUMMYFUNCTION("""COMPUTED_VALUE"""),"Yes")</f>
        <v>Yes</v>
      </c>
      <c r="AF1598" s="8" t="str">
        <f ca="1">IFERROR(__xludf.DUMMYFUNCTION("""COMPUTED_VALUE"""),"19YOM in vehicle also arrested")</f>
        <v>19YOM in vehicle also arrested</v>
      </c>
      <c r="AG1598" s="8" t="str">
        <f ca="1">IFERROR(__xludf.DUMMYFUNCTION("""COMPUTED_VALUE"""),"No")</f>
        <v>No</v>
      </c>
      <c r="AH1598" s="8" t="str">
        <f ca="1">IFERROR(__xludf.DUMMYFUNCTION("""COMPUTED_VALUE"""),"No")</f>
        <v>No</v>
      </c>
      <c r="AI1598" s="8" t="str">
        <f ca="1">IFERROR(__xludf.DUMMYFUNCTION("""COMPUTED_VALUE"""),"No")</f>
        <v>No</v>
      </c>
      <c r="AJ1598" s="8" t="str">
        <f ca="1">IFERROR(__xludf.DUMMYFUNCTION("""COMPUTED_VALUE"""),"No")</f>
        <v>No</v>
      </c>
      <c r="AK1598" s="8" t="str">
        <f ca="1">IFERROR(__xludf.DUMMYFUNCTION("""COMPUTED_VALUE"""),"No")</f>
        <v>No</v>
      </c>
      <c r="AL1598" s="8"/>
      <c r="AM1598" s="8" t="str">
        <f ca="1">IFERROR(__xludf.DUMMYFUNCTION("""COMPUTED_VALUE"""),"No")</f>
        <v>No</v>
      </c>
      <c r="AN1598" s="8"/>
      <c r="AO1598" s="8" t="str">
        <f ca="1">IFERROR(__xludf.DUMMYFUNCTION("""COMPUTED_VALUE"""),"No")</f>
        <v>No</v>
      </c>
      <c r="AP1598" s="8" t="str">
        <f ca="1">IFERROR(__xludf.DUMMYFUNCTION("""COMPUTED_VALUE"""),"Yes")</f>
        <v>Yes</v>
      </c>
      <c r="AQ1598" s="8" t="str">
        <f ca="1">IFERROR(__xludf.DUMMYFUNCTION("""COMPUTED_VALUE"""),"Unknown")</f>
        <v>Unknown</v>
      </c>
      <c r="AR1598" s="8" t="str">
        <f ca="1">IFERROR(__xludf.DUMMYFUNCTION("""COMPUTED_VALUE"""),"NA")</f>
        <v>NA</v>
      </c>
      <c r="AS1598" s="8" t="str">
        <f ca="1">IFERROR(__xludf.DUMMYFUNCTION("""COMPUTED_VALUE"""),"&lt;10")</f>
        <v>&lt;10</v>
      </c>
      <c r="AT1598" s="8"/>
      <c r="AU1598" s="8">
        <f ca="1">IFERROR(__xludf.DUMMYFUNCTION("""COMPUTED_VALUE"""),35.295526)</f>
        <v>35.295526000000002</v>
      </c>
      <c r="AV1598" s="8">
        <f ca="1">IFERROR(__xludf.DUMMYFUNCTION("""COMPUTED_VALUE"""),-77.574188)</f>
        <v>-77.574188000000007</v>
      </c>
      <c r="AW1598" s="8"/>
      <c r="AX1598" s="8">
        <f ca="1">IFERROR(__xludf.DUMMYFUNCTION("""COMPUTED_VALUE"""),28501)</f>
        <v>28501</v>
      </c>
    </row>
    <row r="1599" spans="1:50" ht="60" x14ac:dyDescent="0.2">
      <c r="A1599" s="8" t="str">
        <f ca="1">IFERROR(__xludf.DUMMYFUNCTION("""COMPUTED_VALUE"""),"20190830ALLAM")</f>
        <v>20190830ALLAM</v>
      </c>
      <c r="B1599" s="8">
        <f ca="1">IFERROR(__xludf.DUMMYFUNCTION("""COMPUTED_VALUE"""),8)</f>
        <v>8</v>
      </c>
      <c r="C1599" s="8">
        <f ca="1">IFERROR(__xludf.DUMMYFUNCTION("""COMPUTED_VALUE"""),30)</f>
        <v>30</v>
      </c>
      <c r="D1599" s="8">
        <f ca="1">IFERROR(__xludf.DUMMYFUNCTION("""COMPUTED_VALUE"""),2019)</f>
        <v>2019</v>
      </c>
      <c r="E1599" s="9">
        <f ca="1">IFERROR(__xludf.DUMMYFUNCTION("""COMPUTED_VALUE"""),43707)</f>
        <v>43707</v>
      </c>
      <c r="F1599" s="8" t="str">
        <f ca="1">IFERROR(__xludf.DUMMYFUNCTION("""COMPUTED_VALUE"""),"Ladd-Peebles Stadium")</f>
        <v>Ladd-Peebles Stadium</v>
      </c>
      <c r="G1599" s="8">
        <f ca="1">IFERROR(__xludf.DUMMYFUNCTION("""COMPUTED_VALUE"""),0)</f>
        <v>0</v>
      </c>
      <c r="H1599" s="8">
        <f ca="1">IFERROR(__xludf.DUMMYFUNCTION("""COMPUTED_VALUE"""),10)</f>
        <v>10</v>
      </c>
      <c r="I1599" s="8">
        <f ca="1">IFERROR(__xludf.DUMMYFUNCTION("""COMPUTED_VALUE"""),10)</f>
        <v>10</v>
      </c>
      <c r="J1599" s="8">
        <f ca="1">IFERROR(__xludf.DUMMYFUNCTION("""COMPUTED_VALUE"""),0)</f>
        <v>0</v>
      </c>
      <c r="K1599" s="8" t="str">
        <f ca="1">IFERROR(__xludf.DUMMYFUNCTION("""COMPUTED_VALUE"""),"https://www.fox10tv.com/news/mobile_county/defendant-in-ladd-peebles-shooting-has-16-school-disciplinary-incidents-prosecutors-say/article_cf052f76-a3ae-11eb-b8f5-9ffcda8c0ce8.html?block_id=1002690 https://abcnews.go.com/US/10-teens-shot-high-school-footb"&amp;"all-game-alabama/story?id=65309106 https://abc11.com/10-teens-injured-in-shooting-at-high-school-football-game-in-alabama-/5504745/ https://www.cnn.com/2019/08/31/us/mobile-ladd-peebles-stadium-shooting/index.html https://www.abc15.com/national/6-teens-sh"&amp;"ot-at-end-of-high-school-football-game-in-alabama https://www.al.com/news/mobile/2019/09/police-football-stadium-shooter-started-as-bystander.html https://www.fox10tv.com/news/ladd-peebles-stadium-shooting-suspect-pleads-not-guilty/article_b0960ce2-cf23-1"&amp;"1e9-b843-6fbec1c7de48.html")</f>
        <v>https://www.fox10tv.com/news/mobile_county/defendant-in-ladd-peebles-shooting-has-16-school-disciplinary-incidents-prosecutors-say/article_cf052f76-a3ae-11eb-b8f5-9ffcda8c0ce8.html?block_id=1002690 https://abcnews.go.com/US/10-teens-shot-high-school-football-game-alabama/story?id=65309106 https://abc11.com/10-teens-injured-in-shooting-at-high-school-football-game-in-alabama-/5504745/ https://www.cnn.com/2019/08/31/us/mobile-ladd-peebles-stadium-shooting/index.html https://www.abc15.com/national/6-teens-shot-at-end-of-high-school-football-game-in-alabama https://www.al.com/news/mobile/2019/09/police-football-stadium-shooter-started-as-bystander.html https://www.fox10tv.com/news/ladd-peebles-stadium-shooting-suspect-pleads-not-guilty/article_b0960ce2-cf23-11e9-b843-6fbec1c7de48.html</v>
      </c>
      <c r="L1599" s="8"/>
      <c r="M1599" s="8"/>
      <c r="N1599" s="8">
        <f ca="1">IFERROR(__xludf.DUMMYFUNCTION("""COMPUTED_VALUE"""),4)</f>
        <v>4</v>
      </c>
      <c r="O1599" s="8" t="str">
        <f ca="1">IFERROR(__xludf.DUMMYFUNCTION("""COMPUTED_VALUE"""),"Summer")</f>
        <v>Summer</v>
      </c>
      <c r="P1599" s="8" t="str">
        <f ca="1">IFERROR(__xludf.DUMMYFUNCTION("""COMPUTED_VALUE"""),"Mobile")</f>
        <v>Mobile</v>
      </c>
      <c r="Q1599" s="8" t="str">
        <f ca="1">IFERROR(__xludf.DUMMYFUNCTION("""COMPUTED_VALUE"""),"AL")</f>
        <v>AL</v>
      </c>
      <c r="R1599" s="8" t="str">
        <f ca="1">IFERROR(__xludf.DUMMYFUNCTION("""COMPUTED_VALUE"""),"High")</f>
        <v>High</v>
      </c>
      <c r="S1599" s="8" t="str">
        <f ca="1">IFERROR(__xludf.DUMMYFUNCTION("""COMPUTED_VALUE"""),"Off School Property")</f>
        <v>Off School Property</v>
      </c>
      <c r="T1599" s="8" t="str">
        <f ca="1">IFERROR(__xludf.DUMMYFUNCTION("""COMPUTED_VALUE"""),"Off School Property")</f>
        <v>Off School Property</v>
      </c>
      <c r="U1599" s="8" t="str">
        <f ca="1">IFERROR(__xludf.DUMMYFUNCTION("""COMPUTED_VALUE"""),"No")</f>
        <v>No</v>
      </c>
      <c r="V1599" s="8" t="str">
        <f ca="1">IFERROR(__xludf.DUMMYFUNCTION("""COMPUTED_VALUE"""),"Sport Event")</f>
        <v>Sport Event</v>
      </c>
      <c r="W1599" s="11">
        <f ca="1">IFERROR(__xludf.DUMMYFUNCTION("""COMPUTED_VALUE"""),0.916666666666666)</f>
        <v>0.91666666666666596</v>
      </c>
      <c r="X1599" s="8">
        <f ca="1">IFERROR(__xludf.DUMMYFUNCTION("""COMPUTED_VALUE"""),1)</f>
        <v>1</v>
      </c>
      <c r="Y1599" s="12" t="str">
        <f ca="1">IFERROR(__xludf.DUMMYFUNCTION("""COMPUTED_VALUE"""),"10 teens shot after 17YO fired shots into crowd following dispute")</f>
        <v>10 teens shot after 17YO fired shots into crowd following dispute</v>
      </c>
      <c r="Z1599" s="12" t="str">
        <f ca="1">IFERROR(__xludf.DUMMYFUNCTION("""COMPUTED_VALUE"""),"10 teens shot after 17YO fired shots into crowd following dispute")</f>
        <v>10 teens shot after 17YO fired shots into crowd following dispute</v>
      </c>
      <c r="AA1599" s="8" t="str">
        <f ca="1">IFERROR(__xludf.DUMMYFUNCTION("""COMPUTED_VALUE"""),"Escalation of Dispute")</f>
        <v>Escalation of Dispute</v>
      </c>
      <c r="AB1599" s="8"/>
      <c r="AC1599" s="8" t="str">
        <f ca="1">IFERROR(__xludf.DUMMYFUNCTION("""COMPUTED_VALUE"""),"Yes")</f>
        <v>Yes</v>
      </c>
      <c r="AD1599" s="8" t="str">
        <f ca="1">IFERROR(__xludf.DUMMYFUNCTION("""COMPUTED_VALUE"""),"Both")</f>
        <v>Both</v>
      </c>
      <c r="AE1599" s="8"/>
      <c r="AF1599" s="8" t="str">
        <f ca="1">IFERROR(__xludf.DUMMYFUNCTION("""COMPUTED_VALUE"""),"2 initially arrested")</f>
        <v>2 initially arrested</v>
      </c>
      <c r="AG1599" s="8" t="str">
        <f ca="1">IFERROR(__xludf.DUMMYFUNCTION("""COMPUTED_VALUE"""),"No")</f>
        <v>No</v>
      </c>
      <c r="AH1599" s="8" t="str">
        <f ca="1">IFERROR(__xludf.DUMMYFUNCTION("""COMPUTED_VALUE"""),"No")</f>
        <v>No</v>
      </c>
      <c r="AI1599" s="8" t="str">
        <f ca="1">IFERROR(__xludf.DUMMYFUNCTION("""COMPUTED_VALUE"""),"No")</f>
        <v>No</v>
      </c>
      <c r="AJ1599" s="8" t="str">
        <f ca="1">IFERROR(__xludf.DUMMYFUNCTION("""COMPUTED_VALUE"""),"No")</f>
        <v>No</v>
      </c>
      <c r="AK1599" s="8" t="str">
        <f ca="1">IFERROR(__xludf.DUMMYFUNCTION("""COMPUTED_VALUE"""),"No")</f>
        <v>No</v>
      </c>
      <c r="AL1599" s="8" t="str">
        <f ca="1">IFERROR(__xludf.DUMMYFUNCTION("""COMPUTED_VALUE"""),"Yes")</f>
        <v>Yes</v>
      </c>
      <c r="AM1599" s="8" t="str">
        <f ca="1">IFERROR(__xludf.DUMMYFUNCTION("""COMPUTED_VALUE"""),"Yes")</f>
        <v>Yes</v>
      </c>
      <c r="AN1599" s="8" t="str">
        <f ca="1">IFERROR(__xludf.DUMMYFUNCTION("""COMPUTED_VALUE"""),"Outside")</f>
        <v>Outside</v>
      </c>
      <c r="AO1599" s="8" t="str">
        <f ca="1">IFERROR(__xludf.DUMMYFUNCTION("""COMPUTED_VALUE"""),"No")</f>
        <v>No</v>
      </c>
      <c r="AP1599" s="8" t="str">
        <f ca="1">IFERROR(__xludf.DUMMYFUNCTION("""COMPUTED_VALUE"""),"No")</f>
        <v>No</v>
      </c>
      <c r="AQ1599" s="8" t="str">
        <f ca="1">IFERROR(__xludf.DUMMYFUNCTION("""COMPUTED_VALUE"""),"Unknown")</f>
        <v>Unknown</v>
      </c>
      <c r="AR1599" s="8" t="str">
        <f ca="1">IFERROR(__xludf.DUMMYFUNCTION("""COMPUTED_VALUE"""),"NA")</f>
        <v>NA</v>
      </c>
      <c r="AS1599" s="8"/>
      <c r="AT1599" s="8" t="str">
        <f ca="1">IFERROR(__xludf.DUMMYFUNCTION("""COMPUTED_VALUE"""),"N/A")</f>
        <v>N/A</v>
      </c>
      <c r="AU1599" s="8">
        <f ca="1">IFERROR(__xludf.DUMMYFUNCTION("""COMPUTED_VALUE"""),30.672908)</f>
        <v>30.672908</v>
      </c>
      <c r="AV1599" s="8">
        <f ca="1">IFERROR(__xludf.DUMMYFUNCTION("""COMPUTED_VALUE"""),-88.075806)</f>
        <v>-88.075806</v>
      </c>
      <c r="AW1599" s="8"/>
      <c r="AX1599" s="8">
        <f ca="1">IFERROR(__xludf.DUMMYFUNCTION("""COMPUTED_VALUE"""),36604)</f>
        <v>36604</v>
      </c>
    </row>
    <row r="1600" spans="1:50" ht="120" x14ac:dyDescent="0.2">
      <c r="A1600" s="8" t="str">
        <f ca="1">IFERROR(__xludf.DUMMYFUNCTION("""COMPUTED_VALUE"""),"20190827NYROR")</f>
        <v>20190827NYROR</v>
      </c>
      <c r="B1600" s="8">
        <f ca="1">IFERROR(__xludf.DUMMYFUNCTION("""COMPUTED_VALUE"""),8)</f>
        <v>8</v>
      </c>
      <c r="C1600" s="8">
        <f ca="1">IFERROR(__xludf.DUMMYFUNCTION("""COMPUTED_VALUE"""),27)</f>
        <v>27</v>
      </c>
      <c r="D1600" s="8">
        <f ca="1">IFERROR(__xludf.DUMMYFUNCTION("""COMPUTED_VALUE"""),2019)</f>
        <v>2019</v>
      </c>
      <c r="E1600" s="9">
        <f ca="1">IFERROR(__xludf.DUMMYFUNCTION("""COMPUTED_VALUE"""),43704)</f>
        <v>43704</v>
      </c>
      <c r="F1600" s="8" t="str">
        <f ca="1">IFERROR(__xludf.DUMMYFUNCTION("""COMPUTED_VALUE"""),"Roosevelt High School")</f>
        <v>Roosevelt High School</v>
      </c>
      <c r="G1600" s="8">
        <f ca="1">IFERROR(__xludf.DUMMYFUNCTION("""COMPUTED_VALUE"""),0)</f>
        <v>0</v>
      </c>
      <c r="H1600" s="8">
        <f ca="1">IFERROR(__xludf.DUMMYFUNCTION("""COMPUTED_VALUE"""),0)</f>
        <v>0</v>
      </c>
      <c r="I1600" s="8">
        <f ca="1">IFERROR(__xludf.DUMMYFUNCTION("""COMPUTED_VALUE"""),0)</f>
        <v>0</v>
      </c>
      <c r="J1600" s="8">
        <f ca="1">IFERROR(__xludf.DUMMYFUNCTION("""COMPUTED_VALUE"""),0)</f>
        <v>0</v>
      </c>
      <c r="K1600" s="10" t="str">
        <f ca="1">IFERROR(__xludf.DUMMYFUNCTION("""COMPUTED_VALUE"""),"https://patch.com/new-york/merrick/shooting-long-island-school-causes-lockdown")</f>
        <v>https://patch.com/new-york/merrick/shooting-long-island-school-causes-lockdown</v>
      </c>
      <c r="L1600" s="8"/>
      <c r="M1600" s="8"/>
      <c r="N1600" s="8">
        <f ca="1">IFERROR(__xludf.DUMMYFUNCTION("""COMPUTED_VALUE"""),3)</f>
        <v>3</v>
      </c>
      <c r="O1600" s="8" t="str">
        <f ca="1">IFERROR(__xludf.DUMMYFUNCTION("""COMPUTED_VALUE"""),"Summer")</f>
        <v>Summer</v>
      </c>
      <c r="P1600" s="8" t="str">
        <f ca="1">IFERROR(__xludf.DUMMYFUNCTION("""COMPUTED_VALUE"""),"Roosevelt")</f>
        <v>Roosevelt</v>
      </c>
      <c r="Q1600" s="8" t="str">
        <f ca="1">IFERROR(__xludf.DUMMYFUNCTION("""COMPUTED_VALUE"""),"NY")</f>
        <v>NY</v>
      </c>
      <c r="R1600" s="8" t="str">
        <f ca="1">IFERROR(__xludf.DUMMYFUNCTION("""COMPUTED_VALUE"""),"High")</f>
        <v>High</v>
      </c>
      <c r="S1600" s="8" t="str">
        <f ca="1">IFERROR(__xludf.DUMMYFUNCTION("""COMPUTED_VALUE"""),"Field (General)")</f>
        <v>Field (General)</v>
      </c>
      <c r="T1600" s="8" t="str">
        <f ca="1">IFERROR(__xludf.DUMMYFUNCTION("""COMPUTED_VALUE"""),"Outside on School Property")</f>
        <v>Outside on School Property</v>
      </c>
      <c r="U1600" s="8" t="str">
        <f ca="1">IFERROR(__xludf.DUMMYFUNCTION("""COMPUTED_VALUE"""),"No")</f>
        <v>No</v>
      </c>
      <c r="V1600" s="8" t="str">
        <f ca="1">IFERROR(__xludf.DUMMYFUNCTION("""COMPUTED_VALUE"""),"Not a School Day")</f>
        <v>Not a School Day</v>
      </c>
      <c r="W1600" s="11">
        <f ca="1">IFERROR(__xludf.DUMMYFUNCTION("""COMPUTED_VALUE"""),0.375)</f>
        <v>0.375</v>
      </c>
      <c r="X1600" s="8">
        <f ca="1">IFERROR(__xludf.DUMMYFUNCTION("""COMPUTED_VALUE"""),1)</f>
        <v>1</v>
      </c>
      <c r="Y1600" s="12" t="str">
        <f ca="1">IFERROR(__xludf.DUMMYFUNCTION("""COMPUTED_VALUE"""),"Man fired 3 shots into the ground during dispute the school staff about landscaping")</f>
        <v>Man fired 3 shots into the ground during dispute the school staff about landscaping</v>
      </c>
      <c r="Z1600" s="12" t="str">
        <f ca="1">IFERROR(__xludf.DUMMYFUNCTION("""COMPUTED_VALUE"""),"Adult male fired 3 shots into the ground during dispute with school custodial staff about landscaping. Shooter then fled the scene to his nearby home where he was involved with a barricade situation until surrendering to law enforcement. School was not in"&amp;"-session but 100 students and 40 staff were inside the school at the time of the shooting for athletics. School was placed on lockdown following shooting and during barricade.")</f>
        <v>Adult male fired 3 shots into the ground during dispute with school custodial staff about landscaping. Shooter then fled the scene to his nearby home where he was involved with a barricade situation until surrendering to law enforcement. School was not in-session but 100 students and 40 staff were inside the school at the time of the shooting for athletics. School was placed on lockdown following shooting and during barricade.</v>
      </c>
      <c r="AA1600" s="8" t="str">
        <f ca="1">IFERROR(__xludf.DUMMYFUNCTION("""COMPUTED_VALUE"""),"Escalation of Dispute")</f>
        <v>Escalation of Dispute</v>
      </c>
      <c r="AB1600" s="8"/>
      <c r="AC1600" s="8" t="str">
        <f ca="1">IFERROR(__xludf.DUMMYFUNCTION("""COMPUTED_VALUE"""),"Yes")</f>
        <v>Yes</v>
      </c>
      <c r="AD1600" s="8" t="str">
        <f ca="1">IFERROR(__xludf.DUMMYFUNCTION("""COMPUTED_VALUE"""),"Victims Targeted")</f>
        <v>Victims Targeted</v>
      </c>
      <c r="AE1600" s="8" t="str">
        <f ca="1">IFERROR(__xludf.DUMMYFUNCTION("""COMPUTED_VALUE"""),"No")</f>
        <v>No</v>
      </c>
      <c r="AF1600" s="8"/>
      <c r="AG1600" s="8" t="str">
        <f ca="1">IFERROR(__xludf.DUMMYFUNCTION("""COMPUTED_VALUE"""),"No")</f>
        <v>No</v>
      </c>
      <c r="AH1600" s="8" t="str">
        <f ca="1">IFERROR(__xludf.DUMMYFUNCTION("""COMPUTED_VALUE"""),"No")</f>
        <v>No</v>
      </c>
      <c r="AI1600" s="8" t="str">
        <f ca="1">IFERROR(__xludf.DUMMYFUNCTION("""COMPUTED_VALUE"""),"No")</f>
        <v>No</v>
      </c>
      <c r="AJ1600" s="8" t="str">
        <f ca="1">IFERROR(__xludf.DUMMYFUNCTION("""COMPUTED_VALUE"""),"No")</f>
        <v>No</v>
      </c>
      <c r="AK1600" s="8" t="str">
        <f ca="1">IFERROR(__xludf.DUMMYFUNCTION("""COMPUTED_VALUE"""),"No")</f>
        <v>No</v>
      </c>
      <c r="AL1600" s="8" t="str">
        <f ca="1">IFERROR(__xludf.DUMMYFUNCTION("""COMPUTED_VALUE"""),"No")</f>
        <v>No</v>
      </c>
      <c r="AM1600" s="8" t="str">
        <f ca="1">IFERROR(__xludf.DUMMYFUNCTION("""COMPUTED_VALUE"""),"No")</f>
        <v>No</v>
      </c>
      <c r="AN1600" s="8"/>
      <c r="AO1600" s="8" t="str">
        <f ca="1">IFERROR(__xludf.DUMMYFUNCTION("""COMPUTED_VALUE"""),"No")</f>
        <v>No</v>
      </c>
      <c r="AP1600" s="8"/>
      <c r="AQ1600" s="8" t="str">
        <f ca="1">IFERROR(__xludf.DUMMYFUNCTION("""COMPUTED_VALUE"""),"Unknown")</f>
        <v>Unknown</v>
      </c>
      <c r="AR1600" s="8" t="str">
        <f ca="1">IFERROR(__xludf.DUMMYFUNCTION("""COMPUTED_VALUE"""),"NA")</f>
        <v>NA</v>
      </c>
      <c r="AS1600" s="8">
        <f ca="1">IFERROR(__xludf.DUMMYFUNCTION("""COMPUTED_VALUE"""),3)</f>
        <v>3</v>
      </c>
      <c r="AT1600" s="8" t="str">
        <f ca="1">IFERROR(__xludf.DUMMYFUNCTION("""COMPUTED_VALUE"""),"Yes")</f>
        <v>Yes</v>
      </c>
      <c r="AU1600" s="8">
        <f ca="1">IFERROR(__xludf.DUMMYFUNCTION("""COMPUTED_VALUE"""),40.68768)</f>
        <v>40.68768</v>
      </c>
      <c r="AV1600" s="8">
        <f ca="1">IFERROR(__xludf.DUMMYFUNCTION("""COMPUTED_VALUE"""),-73.580242)</f>
        <v>-73.580241999999998</v>
      </c>
      <c r="AW1600" s="8"/>
      <c r="AX1600" s="8">
        <f ca="1">IFERROR(__xludf.DUMMYFUNCTION("""COMPUTED_VALUE"""),11575)</f>
        <v>11575</v>
      </c>
    </row>
    <row r="1601" spans="1:50" ht="90" x14ac:dyDescent="0.2">
      <c r="A1601" s="8" t="str">
        <f ca="1">IFERROR(__xludf.DUMMYFUNCTION("""COMPUTED_VALUE"""),"20190827CAHOL")</f>
        <v>20190827CAHOL</v>
      </c>
      <c r="B1601" s="8">
        <f ca="1">IFERROR(__xludf.DUMMYFUNCTION("""COMPUTED_VALUE"""),8)</f>
        <v>8</v>
      </c>
      <c r="C1601" s="8">
        <f ca="1">IFERROR(__xludf.DUMMYFUNCTION("""COMPUTED_VALUE"""),27)</f>
        <v>27</v>
      </c>
      <c r="D1601" s="8">
        <f ca="1">IFERROR(__xludf.DUMMYFUNCTION("""COMPUTED_VALUE"""),2019)</f>
        <v>2019</v>
      </c>
      <c r="E1601" s="9">
        <f ca="1">IFERROR(__xludf.DUMMYFUNCTION("""COMPUTED_VALUE"""),43704)</f>
        <v>43704</v>
      </c>
      <c r="F1601" s="8" t="str">
        <f ca="1">IFERROR(__xludf.DUMMYFUNCTION("""COMPUTED_VALUE"""),"Hollenbeck Middle School")</f>
        <v>Hollenbeck Middle School</v>
      </c>
      <c r="G1601" s="8">
        <f ca="1">IFERROR(__xludf.DUMMYFUNCTION("""COMPUTED_VALUE"""),0)</f>
        <v>0</v>
      </c>
      <c r="H1601" s="8">
        <f ca="1">IFERROR(__xludf.DUMMYFUNCTION("""COMPUTED_VALUE"""),1)</f>
        <v>1</v>
      </c>
      <c r="I1601" s="8">
        <f ca="1">IFERROR(__xludf.DUMMYFUNCTION("""COMPUTED_VALUE"""),1)</f>
        <v>1</v>
      </c>
      <c r="J1601" s="8">
        <f ca="1">IFERROR(__xludf.DUMMYFUNCTION("""COMPUTED_VALUE"""),0)</f>
        <v>0</v>
      </c>
      <c r="K1601" s="8" t="str">
        <f ca="1">IFERROR(__xludf.DUMMYFUNCTION("""COMPUTED_VALUE"""),"https://losangeles.cbslocal.com/2019/09/11/boy-shot-in-jaw-on-boyle-heights-school-campus-last-month-lausd-confirms/ https://www.latimes.com/california/story/2019-09-11/hollenbeck-parents-and-students-react-to-shooting-that-injured-student-in-lunch-line")</f>
        <v>https://losangeles.cbslocal.com/2019/09/11/boy-shot-in-jaw-on-boyle-heights-school-campus-last-month-lausd-confirms/ https://www.latimes.com/california/story/2019-09-11/hollenbeck-parents-and-students-react-to-shooting-that-injured-student-in-lunch-line</v>
      </c>
      <c r="L1601" s="8"/>
      <c r="M1601" s="8"/>
      <c r="N1601" s="8">
        <f ca="1">IFERROR(__xludf.DUMMYFUNCTION("""COMPUTED_VALUE"""),4)</f>
        <v>4</v>
      </c>
      <c r="O1601" s="8" t="str">
        <f ca="1">IFERROR(__xludf.DUMMYFUNCTION("""COMPUTED_VALUE"""),"Summer")</f>
        <v>Summer</v>
      </c>
      <c r="P1601" s="8" t="str">
        <f ca="1">IFERROR(__xludf.DUMMYFUNCTION("""COMPUTED_VALUE"""),"Los Angeles")</f>
        <v>Los Angeles</v>
      </c>
      <c r="Q1601" s="8" t="str">
        <f ca="1">IFERROR(__xludf.DUMMYFUNCTION("""COMPUTED_VALUE"""),"CA")</f>
        <v>CA</v>
      </c>
      <c r="R1601" s="8" t="str">
        <f ca="1">IFERROR(__xludf.DUMMYFUNCTION("""COMPUTED_VALUE"""),"High")</f>
        <v>High</v>
      </c>
      <c r="S1601" s="8" t="str">
        <f ca="1">IFERROR(__xludf.DUMMYFUNCTION("""COMPUTED_VALUE"""),"Cafeteria")</f>
        <v>Cafeteria</v>
      </c>
      <c r="T1601" s="8" t="str">
        <f ca="1">IFERROR(__xludf.DUMMYFUNCTION("""COMPUTED_VALUE"""),"Off School Property")</f>
        <v>Off School Property</v>
      </c>
      <c r="U1601" s="8" t="str">
        <f ca="1">IFERROR(__xludf.DUMMYFUNCTION("""COMPUTED_VALUE"""),"Yes")</f>
        <v>Yes</v>
      </c>
      <c r="V1601" s="8" t="str">
        <f ca="1">IFERROR(__xludf.DUMMYFUNCTION("""COMPUTED_VALUE"""),"Lunch")</f>
        <v>Lunch</v>
      </c>
      <c r="W1601" s="11">
        <f ca="1">IFERROR(__xludf.DUMMYFUNCTION("""COMPUTED_VALUE"""),0.458333333333333)</f>
        <v>0.45833333333333298</v>
      </c>
      <c r="X1601" s="8">
        <f ca="1">IFERROR(__xludf.DUMMYFUNCTION("""COMPUTED_VALUE"""),1)</f>
        <v>1</v>
      </c>
      <c r="Y1601" s="12" t="str">
        <f ca="1">IFERROR(__xludf.DUMMYFUNCTION("""COMPUTED_VALUE"""),"Student hit by bullet in lunch line. Shot fired from off campus.")</f>
        <v>Student hit by bullet in lunch line. Shot fired from off campus.</v>
      </c>
      <c r="Z1601" s="12" t="str">
        <f ca="1">IFERROR(__xludf.DUMMYFUNCTION("""COMPUTED_VALUE"""),"Student standing in lunch line felt sharp pain in jaw and went to nurses office. X-ray later showed bullet in students neck. Shot was fired from off campus. No other students were hurt. School did not report shooting to police until 3pm (occurred at 11 AM"&amp;"). Parents were not notified that student was shot until 9/12/2019. No suspect or motive.")</f>
        <v>Student standing in lunch line felt sharp pain in jaw and went to nurses office. X-ray later showed bullet in students neck. Shot was fired from off campus. No other students were hurt. School did not report shooting to police until 3pm (occurred at 11 AM). Parents were not notified that student was shot until 9/12/2019. No suspect or motive.</v>
      </c>
      <c r="AA1601" s="8" t="str">
        <f ca="1">IFERROR(__xludf.DUMMYFUNCTION("""COMPUTED_VALUE"""),"Unknown")</f>
        <v>Unknown</v>
      </c>
      <c r="AB1601" s="8"/>
      <c r="AC1601" s="8" t="str">
        <f ca="1">IFERROR(__xludf.DUMMYFUNCTION("""COMPUTED_VALUE"""),"Yes")</f>
        <v>Yes</v>
      </c>
      <c r="AD1601" s="8"/>
      <c r="AE1601" s="8"/>
      <c r="AF1601" s="8"/>
      <c r="AG1601" s="8" t="str">
        <f ca="1">IFERROR(__xludf.DUMMYFUNCTION("""COMPUTED_VALUE"""),"No")</f>
        <v>No</v>
      </c>
      <c r="AH1601" s="8" t="str">
        <f ca="1">IFERROR(__xludf.DUMMYFUNCTION("""COMPUTED_VALUE"""),"No")</f>
        <v>No</v>
      </c>
      <c r="AI1601" s="8" t="str">
        <f ca="1">IFERROR(__xludf.DUMMYFUNCTION("""COMPUTED_VALUE"""),"No")</f>
        <v>No</v>
      </c>
      <c r="AJ1601" s="8" t="str">
        <f ca="1">IFERROR(__xludf.DUMMYFUNCTION("""COMPUTED_VALUE"""),"No")</f>
        <v>No</v>
      </c>
      <c r="AK1601" s="8" t="str">
        <f ca="1">IFERROR(__xludf.DUMMYFUNCTION("""COMPUTED_VALUE"""),"No")</f>
        <v>No</v>
      </c>
      <c r="AL1601" s="8"/>
      <c r="AM1601" s="8" t="str">
        <f ca="1">IFERROR(__xludf.DUMMYFUNCTION("""COMPUTED_VALUE"""),"No")</f>
        <v>No</v>
      </c>
      <c r="AN1601" s="8"/>
      <c r="AO1601" s="8" t="str">
        <f ca="1">IFERROR(__xludf.DUMMYFUNCTION("""COMPUTED_VALUE"""),"No")</f>
        <v>No</v>
      </c>
      <c r="AP1601" s="8"/>
      <c r="AQ1601" s="8" t="str">
        <f ca="1">IFERROR(__xludf.DUMMYFUNCTION("""COMPUTED_VALUE"""),"Unknown")</f>
        <v>Unknown</v>
      </c>
      <c r="AR1601" s="8" t="str">
        <f ca="1">IFERROR(__xludf.DUMMYFUNCTION("""COMPUTED_VALUE"""),"NA")</f>
        <v>NA</v>
      </c>
      <c r="AS1601" s="8"/>
      <c r="AT1601" s="8" t="str">
        <f ca="1">IFERROR(__xludf.DUMMYFUNCTION("""COMPUTED_VALUE"""),"No")</f>
        <v>No</v>
      </c>
      <c r="AU1601" s="8">
        <f ca="1">IFERROR(__xludf.DUMMYFUNCTION("""COMPUTED_VALUE"""),34.036449)</f>
        <v>34.036448999999998</v>
      </c>
      <c r="AV1601" s="8">
        <f ca="1">IFERROR(__xludf.DUMMYFUNCTION("""COMPUTED_VALUE"""),-118.212581)</f>
        <v>-118.212581</v>
      </c>
      <c r="AW1601" s="8"/>
      <c r="AX1601" s="8">
        <f ca="1">IFERROR(__xludf.DUMMYFUNCTION("""COMPUTED_VALUE"""),90033)</f>
        <v>90033</v>
      </c>
    </row>
    <row r="1602" spans="1:50" ht="90" x14ac:dyDescent="0.2">
      <c r="A1602" s="8" t="str">
        <f ca="1">IFERROR(__xludf.DUMMYFUNCTION("""COMPUTED_VALUE"""),"20190824PAWIP")</f>
        <v>20190824PAWIP</v>
      </c>
      <c r="B1602" s="8">
        <f ca="1">IFERROR(__xludf.DUMMYFUNCTION("""COMPUTED_VALUE"""),8)</f>
        <v>8</v>
      </c>
      <c r="C1602" s="8">
        <f ca="1">IFERROR(__xludf.DUMMYFUNCTION("""COMPUTED_VALUE"""),24)</f>
        <v>24</v>
      </c>
      <c r="D1602" s="8">
        <f ca="1">IFERROR(__xludf.DUMMYFUNCTION("""COMPUTED_VALUE"""),2019)</f>
        <v>2019</v>
      </c>
      <c r="E1602" s="9">
        <f ca="1">IFERROR(__xludf.DUMMYFUNCTION("""COMPUTED_VALUE"""),43701)</f>
        <v>43701</v>
      </c>
      <c r="F1602" s="8" t="str">
        <f ca="1">IFERROR(__xludf.DUMMYFUNCTION("""COMPUTED_VALUE"""),"William C. Longstreth Elementary School")</f>
        <v>William C. Longstreth Elementary School</v>
      </c>
      <c r="G1602" s="8">
        <f ca="1">IFERROR(__xludf.DUMMYFUNCTION("""COMPUTED_VALUE"""),1)</f>
        <v>1</v>
      </c>
      <c r="H1602" s="8">
        <f ca="1">IFERROR(__xludf.DUMMYFUNCTION("""COMPUTED_VALUE"""),0)</f>
        <v>0</v>
      </c>
      <c r="I1602" s="8">
        <f ca="1">IFERROR(__xludf.DUMMYFUNCTION("""COMPUTED_VALUE"""),1)</f>
        <v>1</v>
      </c>
      <c r="J1602" s="8">
        <f ca="1">IFERROR(__xludf.DUMMYFUNCTION("""COMPUTED_VALUE"""),0)</f>
        <v>0</v>
      </c>
      <c r="K1602" s="8" t="str">
        <f ca="1">IFERROR(__xludf.DUMMYFUNCTION("""COMPUTED_VALUE"""),"https://philadelphia.cbslocal.com/2019/08/24/teen-fighting-for-life-after-being-shot-in-back-of-head-in-kingsessing-police-say/ https://philadelphia.cbslocal.com/2019/08/25/neighbors-want-suspect-teen-shooting-elementary-school-playground-southwest-philad"&amp;"elphia/")</f>
        <v>https://philadelphia.cbslocal.com/2019/08/24/teen-fighting-for-life-after-being-shot-in-back-of-head-in-kingsessing-police-say/ https://philadelphia.cbslocal.com/2019/08/25/neighbors-want-suspect-teen-shooting-elementary-school-playground-southwest-philadelphia/</v>
      </c>
      <c r="L1602" s="8"/>
      <c r="M1602" s="8"/>
      <c r="N1602" s="8">
        <f ca="1">IFERROR(__xludf.DUMMYFUNCTION("""COMPUTED_VALUE"""),4)</f>
        <v>4</v>
      </c>
      <c r="O1602" s="8" t="str">
        <f ca="1">IFERROR(__xludf.DUMMYFUNCTION("""COMPUTED_VALUE"""),"Summer")</f>
        <v>Summer</v>
      </c>
      <c r="P1602" s="8" t="str">
        <f ca="1">IFERROR(__xludf.DUMMYFUNCTION("""COMPUTED_VALUE"""),"Philadelphia")</f>
        <v>Philadelphia</v>
      </c>
      <c r="Q1602" s="8" t="str">
        <f ca="1">IFERROR(__xludf.DUMMYFUNCTION("""COMPUTED_VALUE"""),"PA")</f>
        <v>PA</v>
      </c>
      <c r="R1602" s="8" t="str">
        <f ca="1">IFERROR(__xludf.DUMMYFUNCTION("""COMPUTED_VALUE"""),"Elementary")</f>
        <v>Elementary</v>
      </c>
      <c r="S1602" s="8" t="str">
        <f ca="1">IFERROR(__xludf.DUMMYFUNCTION("""COMPUTED_VALUE"""),"Playground")</f>
        <v>Playground</v>
      </c>
      <c r="T1602" s="8" t="str">
        <f ca="1">IFERROR(__xludf.DUMMYFUNCTION("""COMPUTED_VALUE"""),"Outside on School Property")</f>
        <v>Outside on School Property</v>
      </c>
      <c r="U1602" s="8" t="str">
        <f ca="1">IFERROR(__xludf.DUMMYFUNCTION("""COMPUTED_VALUE"""),"No")</f>
        <v>No</v>
      </c>
      <c r="V1602" s="8" t="str">
        <f ca="1">IFERROR(__xludf.DUMMYFUNCTION("""COMPUTED_VALUE"""),"Evening")</f>
        <v>Evening</v>
      </c>
      <c r="W1602" s="11">
        <f ca="1">IFERROR(__xludf.DUMMYFUNCTION("""COMPUTED_VALUE"""),0.791666666666666)</f>
        <v>0.79166666666666596</v>
      </c>
      <c r="X1602" s="8">
        <f ca="1">IFERROR(__xludf.DUMMYFUNCTION("""COMPUTED_VALUE"""),1)</f>
        <v>1</v>
      </c>
      <c r="Y1602" s="12" t="str">
        <f ca="1">IFERROR(__xludf.DUMMYFUNCTION("""COMPUTED_VALUE"""),"14YOM shot and killed on school playground during argument")</f>
        <v>14YOM shot and killed on school playground during argument</v>
      </c>
      <c r="Z1602" s="12" t="str">
        <f ca="1">IFERROR(__xludf.DUMMYFUNCTION("""COMPUTED_VALUE"""),"14YOM shot and killed and school playground. Body was carried out to the street where the victim was found and taken to the hospital. Shot twice, 6 shots fired. Police said the shooting occured after an argument. Not sure if the victim was the intended ta"&amp;"rget. Shooter fled the scene. School was not open during the shooting.")</f>
        <v>14YOM shot and killed and school playground. Body was carried out to the street where the victim was found and taken to the hospital. Shot twice, 6 shots fired. Police said the shooting occured after an argument. Not sure if the victim was the intended target. Shooter fled the scene. School was not open during the shooting.</v>
      </c>
      <c r="AA1602" s="8" t="str">
        <f ca="1">IFERROR(__xludf.DUMMYFUNCTION("""COMPUTED_VALUE"""),"Escalation of Dispute")</f>
        <v>Escalation of Dispute</v>
      </c>
      <c r="AB1602" s="8"/>
      <c r="AC1602" s="8" t="str">
        <f ca="1">IFERROR(__xludf.DUMMYFUNCTION("""COMPUTED_VALUE"""),"No")</f>
        <v>No</v>
      </c>
      <c r="AD1602" s="8" t="str">
        <f ca="1">IFERROR(__xludf.DUMMYFUNCTION("""COMPUTED_VALUE"""),"Victims Targeted")</f>
        <v>Victims Targeted</v>
      </c>
      <c r="AE1602" s="8"/>
      <c r="AF1602" s="8" t="str">
        <f ca="1">IFERROR(__xludf.DUMMYFUNCTION("""COMPUTED_VALUE"""),"Fled in a vehicle")</f>
        <v>Fled in a vehicle</v>
      </c>
      <c r="AG1602" s="8" t="str">
        <f ca="1">IFERROR(__xludf.DUMMYFUNCTION("""COMPUTED_VALUE"""),"No")</f>
        <v>No</v>
      </c>
      <c r="AH1602" s="8" t="str">
        <f ca="1">IFERROR(__xludf.DUMMYFUNCTION("""COMPUTED_VALUE"""),"No")</f>
        <v>No</v>
      </c>
      <c r="AI1602" s="8" t="str">
        <f ca="1">IFERROR(__xludf.DUMMYFUNCTION("""COMPUTED_VALUE"""),"No")</f>
        <v>No</v>
      </c>
      <c r="AJ1602" s="8" t="str">
        <f ca="1">IFERROR(__xludf.DUMMYFUNCTION("""COMPUTED_VALUE"""),"No")</f>
        <v>No</v>
      </c>
      <c r="AK1602" s="8" t="str">
        <f ca="1">IFERROR(__xludf.DUMMYFUNCTION("""COMPUTED_VALUE"""),"No")</f>
        <v>No</v>
      </c>
      <c r="AL1602" s="8" t="str">
        <f ca="1">IFERROR(__xludf.DUMMYFUNCTION("""COMPUTED_VALUE"""),"No")</f>
        <v>No</v>
      </c>
      <c r="AM1602" s="8" t="str">
        <f ca="1">IFERROR(__xludf.DUMMYFUNCTION("""COMPUTED_VALUE"""),"No")</f>
        <v>No</v>
      </c>
      <c r="AN1602" s="8"/>
      <c r="AO1602" s="8" t="str">
        <f ca="1">IFERROR(__xludf.DUMMYFUNCTION("""COMPUTED_VALUE"""),"No")</f>
        <v>No</v>
      </c>
      <c r="AP1602" s="8" t="str">
        <f ca="1">IFERROR(__xludf.DUMMYFUNCTION("""COMPUTED_VALUE"""),"No")</f>
        <v>No</v>
      </c>
      <c r="AQ1602" s="8" t="str">
        <f ca="1">IFERROR(__xludf.DUMMYFUNCTION("""COMPUTED_VALUE"""),"Unknown")</f>
        <v>Unknown</v>
      </c>
      <c r="AR1602" s="8" t="str">
        <f ca="1">IFERROR(__xludf.DUMMYFUNCTION("""COMPUTED_VALUE"""),"NA")</f>
        <v>NA</v>
      </c>
      <c r="AS1602" s="8">
        <f ca="1">IFERROR(__xludf.DUMMYFUNCTION("""COMPUTED_VALUE"""),6)</f>
        <v>6</v>
      </c>
      <c r="AT1602" s="8" t="str">
        <f ca="1">IFERROR(__xludf.DUMMYFUNCTION("""COMPUTED_VALUE"""),"N/A")</f>
        <v>N/A</v>
      </c>
      <c r="AU1602" s="8">
        <f ca="1">IFERROR(__xludf.DUMMYFUNCTION("""COMPUTED_VALUE"""),39.940354)</f>
        <v>39.940353999999999</v>
      </c>
      <c r="AV1602" s="8">
        <f ca="1">IFERROR(__xludf.DUMMYFUNCTION("""COMPUTED_VALUE"""),-75.232676)</f>
        <v>-75.232675999999998</v>
      </c>
      <c r="AW1602" s="8"/>
      <c r="AX1602" s="8">
        <f ca="1">IFERROR(__xludf.DUMMYFUNCTION("""COMPUTED_VALUE"""),19143)</f>
        <v>19143</v>
      </c>
    </row>
    <row r="1603" spans="1:50" ht="60" x14ac:dyDescent="0.2">
      <c r="A1603" s="8" t="str">
        <f ca="1">IFERROR(__xludf.DUMMYFUNCTION("""COMPUTED_VALUE"""),"20190823MOROS")</f>
        <v>20190823MOROS</v>
      </c>
      <c r="B1603" s="8">
        <f ca="1">IFERROR(__xludf.DUMMYFUNCTION("""COMPUTED_VALUE"""),8)</f>
        <v>8</v>
      </c>
      <c r="C1603" s="8">
        <f ca="1">IFERROR(__xludf.DUMMYFUNCTION("""COMPUTED_VALUE"""),23)</f>
        <v>23</v>
      </c>
      <c r="D1603" s="8">
        <f ca="1">IFERROR(__xludf.DUMMYFUNCTION("""COMPUTED_VALUE"""),2019)</f>
        <v>2019</v>
      </c>
      <c r="E1603" s="9">
        <f ca="1">IFERROR(__xludf.DUMMYFUNCTION("""COMPUTED_VALUE"""),43700)</f>
        <v>43700</v>
      </c>
      <c r="F1603" s="8" t="str">
        <f ca="1">IFERROR(__xludf.DUMMYFUNCTION("""COMPUTED_VALUE"""),"Roosevelt High School")</f>
        <v>Roosevelt High School</v>
      </c>
      <c r="G1603" s="8">
        <f ca="1">IFERROR(__xludf.DUMMYFUNCTION("""COMPUTED_VALUE"""),1)</f>
        <v>1</v>
      </c>
      <c r="H1603" s="8">
        <f ca="1">IFERROR(__xludf.DUMMYFUNCTION("""COMPUTED_VALUE"""),0)</f>
        <v>0</v>
      </c>
      <c r="I1603" s="8">
        <f ca="1">IFERROR(__xludf.DUMMYFUNCTION("""COMPUTED_VALUE"""),1)</f>
        <v>1</v>
      </c>
      <c r="J1603" s="8">
        <f ca="1">IFERROR(__xludf.DUMMYFUNCTION("""COMPUTED_VALUE"""),0)</f>
        <v>0</v>
      </c>
      <c r="K1603" s="10" t="str">
        <f ca="1">IFERROR(__xludf.DUMMYFUNCTION("""COMPUTED_VALUE"""),"https://www.stltoday.com/news/kristina-curry-found-dead-with-gunshot-wounds-at-roosevelt-high/article_965e67bc-9a38-577b-8346-2cb10be3843a.html")</f>
        <v>https://www.stltoday.com/news/kristina-curry-found-dead-with-gunshot-wounds-at-roosevelt-high/article_965e67bc-9a38-577b-8346-2cb10be3843a.html</v>
      </c>
      <c r="L1603" s="8"/>
      <c r="M1603" s="8"/>
      <c r="N1603" s="8">
        <f ca="1">IFERROR(__xludf.DUMMYFUNCTION("""COMPUTED_VALUE"""),3)</f>
        <v>3</v>
      </c>
      <c r="O1603" s="8" t="str">
        <f ca="1">IFERROR(__xludf.DUMMYFUNCTION("""COMPUTED_VALUE"""),"Summer")</f>
        <v>Summer</v>
      </c>
      <c r="P1603" s="8" t="str">
        <f ca="1">IFERROR(__xludf.DUMMYFUNCTION("""COMPUTED_VALUE"""),"St. Louis")</f>
        <v>St. Louis</v>
      </c>
      <c r="Q1603" s="8" t="str">
        <f ca="1">IFERROR(__xludf.DUMMYFUNCTION("""COMPUTED_VALUE"""),"MO")</f>
        <v>MO</v>
      </c>
      <c r="R1603" s="8" t="str">
        <f ca="1">IFERROR(__xludf.DUMMYFUNCTION("""COMPUTED_VALUE"""),"High")</f>
        <v>High</v>
      </c>
      <c r="S1603" s="8" t="str">
        <f ca="1">IFERROR(__xludf.DUMMYFUNCTION("""COMPUTED_VALUE"""),"Parking Lot")</f>
        <v>Parking Lot</v>
      </c>
      <c r="T1603" s="8" t="str">
        <f ca="1">IFERROR(__xludf.DUMMYFUNCTION("""COMPUTED_VALUE"""),"Outside on School Property")</f>
        <v>Outside on School Property</v>
      </c>
      <c r="U1603" s="8" t="str">
        <f ca="1">IFERROR(__xludf.DUMMYFUNCTION("""COMPUTED_VALUE"""),"No")</f>
        <v>No</v>
      </c>
      <c r="V1603" s="8" t="str">
        <f ca="1">IFERROR(__xludf.DUMMYFUNCTION("""COMPUTED_VALUE"""),"Night")</f>
        <v>Night</v>
      </c>
      <c r="W1603" s="11">
        <f ca="1">IFERROR(__xludf.DUMMYFUNCTION("""COMPUTED_VALUE"""),0.208333333333333)</f>
        <v>0.20833333333333301</v>
      </c>
      <c r="X1603" s="8">
        <f ca="1">IFERROR(__xludf.DUMMYFUNCTION("""COMPUTED_VALUE"""),1)</f>
        <v>1</v>
      </c>
      <c r="Y1603" s="12" t="str">
        <f ca="1">IFERROR(__xludf.DUMMYFUNCTION("""COMPUTED_VALUE"""),"16YOF student found dead (multiple shots) behind school")</f>
        <v>16YOF student found dead (multiple shots) behind school</v>
      </c>
      <c r="Z1603" s="12" t="str">
        <f ca="1">IFERROR(__xludf.DUMMYFUNCTION("""COMPUTED_VALUE"""),"16YOF found dead in a rear parking lot behind the high school from multiple gun shots. School was not in session. No further information available.")</f>
        <v>16YOF found dead in a rear parking lot behind the high school from multiple gun shots. School was not in session. No further information available.</v>
      </c>
      <c r="AA1603" s="8" t="str">
        <f ca="1">IFERROR(__xludf.DUMMYFUNCTION("""COMPUTED_VALUE"""),"Unknown")</f>
        <v>Unknown</v>
      </c>
      <c r="AB1603" s="8"/>
      <c r="AC1603" s="8" t="str">
        <f ca="1">IFERROR(__xludf.DUMMYFUNCTION("""COMPUTED_VALUE"""),"Yes")</f>
        <v>Yes</v>
      </c>
      <c r="AD1603" s="8" t="str">
        <f ca="1">IFERROR(__xludf.DUMMYFUNCTION("""COMPUTED_VALUE"""),"Victims Targeted")</f>
        <v>Victims Targeted</v>
      </c>
      <c r="AE1603" s="8"/>
      <c r="AF1603" s="8"/>
      <c r="AG1603" s="8" t="str">
        <f ca="1">IFERROR(__xludf.DUMMYFUNCTION("""COMPUTED_VALUE"""),"No")</f>
        <v>No</v>
      </c>
      <c r="AH1603" s="8" t="str">
        <f ca="1">IFERROR(__xludf.DUMMYFUNCTION("""COMPUTED_VALUE"""),"No")</f>
        <v>No</v>
      </c>
      <c r="AI1603" s="8" t="str">
        <f ca="1">IFERROR(__xludf.DUMMYFUNCTION("""COMPUTED_VALUE"""),"No")</f>
        <v>No</v>
      </c>
      <c r="AJ1603" s="8"/>
      <c r="AK1603" s="8"/>
      <c r="AL1603" s="8"/>
      <c r="AM1603" s="8" t="str">
        <f ca="1">IFERROR(__xludf.DUMMYFUNCTION("""COMPUTED_VALUE"""),"No")</f>
        <v>No</v>
      </c>
      <c r="AN1603" s="8"/>
      <c r="AO1603" s="8" t="str">
        <f ca="1">IFERROR(__xludf.DUMMYFUNCTION("""COMPUTED_VALUE"""),"No")</f>
        <v>No</v>
      </c>
      <c r="AP1603" s="8"/>
      <c r="AQ1603" s="8" t="str">
        <f ca="1">IFERROR(__xludf.DUMMYFUNCTION("""COMPUTED_VALUE"""),"Unknown")</f>
        <v>Unknown</v>
      </c>
      <c r="AR1603" s="8" t="str">
        <f ca="1">IFERROR(__xludf.DUMMYFUNCTION("""COMPUTED_VALUE"""),"NA")</f>
        <v>NA</v>
      </c>
      <c r="AS1603" s="8"/>
      <c r="AT1603" s="8" t="str">
        <f ca="1">IFERROR(__xludf.DUMMYFUNCTION("""COMPUTED_VALUE"""),"N/A")</f>
        <v>N/A</v>
      </c>
      <c r="AU1603" s="8">
        <f ca="1">IFERROR(__xludf.DUMMYFUNCTION("""COMPUTED_VALUE"""),38.600346)</f>
        <v>38.600346000000002</v>
      </c>
      <c r="AV1603" s="8">
        <f ca="1">IFERROR(__xludf.DUMMYFUNCTION("""COMPUTED_VALUE"""),-90.23593)</f>
        <v>-90.235929999999996</v>
      </c>
      <c r="AW1603" s="8"/>
      <c r="AX1603" s="8">
        <f ca="1">IFERROR(__xludf.DUMMYFUNCTION("""COMPUTED_VALUE"""),63116)</f>
        <v>63116</v>
      </c>
    </row>
    <row r="1604" spans="1:50" ht="105" x14ac:dyDescent="0.2">
      <c r="A1604" s="8" t="str">
        <f ca="1">IFERROR(__xludf.DUMMYFUNCTION("""COMPUTED_VALUE"""),"20190823MOPAS")</f>
        <v>20190823MOPAS</v>
      </c>
      <c r="B1604" s="8">
        <f ca="1">IFERROR(__xludf.DUMMYFUNCTION("""COMPUTED_VALUE"""),8)</f>
        <v>8</v>
      </c>
      <c r="C1604" s="8">
        <f ca="1">IFERROR(__xludf.DUMMYFUNCTION("""COMPUTED_VALUE"""),23)</f>
        <v>23</v>
      </c>
      <c r="D1604" s="8">
        <f ca="1">IFERROR(__xludf.DUMMYFUNCTION("""COMPUTED_VALUE"""),2019)</f>
        <v>2019</v>
      </c>
      <c r="E1604" s="9">
        <f ca="1">IFERROR(__xludf.DUMMYFUNCTION("""COMPUTED_VALUE"""),43700)</f>
        <v>43700</v>
      </c>
      <c r="F1604" s="8" t="str">
        <f ca="1">IFERROR(__xludf.DUMMYFUNCTION("""COMPUTED_VALUE"""),"Parkway North High School")</f>
        <v>Parkway North High School</v>
      </c>
      <c r="G1604" s="8">
        <f ca="1">IFERROR(__xludf.DUMMYFUNCTION("""COMPUTED_VALUE"""),0)</f>
        <v>0</v>
      </c>
      <c r="H1604" s="8">
        <f ca="1">IFERROR(__xludf.DUMMYFUNCTION("""COMPUTED_VALUE"""),0)</f>
        <v>0</v>
      </c>
      <c r="I1604" s="8">
        <f ca="1">IFERROR(__xludf.DUMMYFUNCTION("""COMPUTED_VALUE"""),0)</f>
        <v>0</v>
      </c>
      <c r="J1604" s="8">
        <f ca="1">IFERROR(__xludf.DUMMYFUNCTION("""COMPUTED_VALUE"""),0)</f>
        <v>0</v>
      </c>
      <c r="K1604" s="8" t="str">
        <f ca="1">IFERROR(__xludf.DUMMYFUNCTION("""COMPUTED_VALUE"""),"https://www.kmov.com/news/gunshot-reported-during-multiple-fights-at-parkway-north-high-school/article_837181ce-c60e-11e9-800e-23706c271ea8.html https://fox2now.com/2019/08/23/witnesses-say-shots-fired-near-parkway-north-football-jamboree/")</f>
        <v>https://www.kmov.com/news/gunshot-reported-during-multiple-fights-at-parkway-north-high-school/article_837181ce-c60e-11e9-800e-23706c271ea8.html https://fox2now.com/2019/08/23/witnesses-say-shots-fired-near-parkway-north-football-jamboree/</v>
      </c>
      <c r="L1604" s="8"/>
      <c r="M1604" s="8"/>
      <c r="N1604" s="8">
        <f ca="1">IFERROR(__xludf.DUMMYFUNCTION("""COMPUTED_VALUE"""),3)</f>
        <v>3</v>
      </c>
      <c r="O1604" s="8" t="str">
        <f ca="1">IFERROR(__xludf.DUMMYFUNCTION("""COMPUTED_VALUE"""),"Summer")</f>
        <v>Summer</v>
      </c>
      <c r="P1604" s="8" t="str">
        <f ca="1">IFERROR(__xludf.DUMMYFUNCTION("""COMPUTED_VALUE"""),"St. Louis")</f>
        <v>St. Louis</v>
      </c>
      <c r="Q1604" s="8" t="str">
        <f ca="1">IFERROR(__xludf.DUMMYFUNCTION("""COMPUTED_VALUE"""),"MO")</f>
        <v>MO</v>
      </c>
      <c r="R1604" s="8" t="str">
        <f ca="1">IFERROR(__xludf.DUMMYFUNCTION("""COMPUTED_VALUE"""),"High")</f>
        <v>High</v>
      </c>
      <c r="S1604" s="8" t="str">
        <f ca="1">IFERROR(__xludf.DUMMYFUNCTION("""COMPUTED_VALUE"""),"Football Field/Track")</f>
        <v>Football Field/Track</v>
      </c>
      <c r="T1604" s="8" t="str">
        <f ca="1">IFERROR(__xludf.DUMMYFUNCTION("""COMPUTED_VALUE"""),"Outside on School Property")</f>
        <v>Outside on School Property</v>
      </c>
      <c r="U1604" s="8" t="str">
        <f ca="1">IFERROR(__xludf.DUMMYFUNCTION("""COMPUTED_VALUE"""),"No")</f>
        <v>No</v>
      </c>
      <c r="V1604" s="8" t="str">
        <f ca="1">IFERROR(__xludf.DUMMYFUNCTION("""COMPUTED_VALUE"""),"Sport Event")</f>
        <v>Sport Event</v>
      </c>
      <c r="W1604" s="11">
        <f ca="1">IFERROR(__xludf.DUMMYFUNCTION("""COMPUTED_VALUE"""),0.84375)</f>
        <v>0.84375</v>
      </c>
      <c r="X1604" s="8">
        <f ca="1">IFERROR(__xludf.DUMMYFUNCTION("""COMPUTED_VALUE"""),1)</f>
        <v>1</v>
      </c>
      <c r="Y1604" s="12" t="str">
        <f ca="1">IFERROR(__xludf.DUMMYFUNCTION("""COMPUTED_VALUE"""),"Shots fired during fight at football jamboree")</f>
        <v>Shots fired during fight at football jamboree</v>
      </c>
      <c r="Z1604" s="12" t="str">
        <f ca="1">IFERROR(__xludf.DUMMYFUNCTION("""COMPUTED_VALUE"""),"Shots fired during one of multiple fights during the football jamboree. Witnesses reported gunshots and seeing a person with a gun but no one was shot and the shooter fled. The event was shut down following the reported shooting. 3,000 students were at th"&amp;"e event. Mass panic in the stadium as hundreds of people ran after hearing the shots. 12 police officers were assigned to the event.")</f>
        <v>Shots fired during one of multiple fights during the football jamboree. Witnesses reported gunshots and seeing a person with a gun but no one was shot and the shooter fled. The event was shut down following the reported shooting. 3,000 students were at the event. Mass panic in the stadium as hundreds of people ran after hearing the shots. 12 police officers were assigned to the event.</v>
      </c>
      <c r="AA1604" s="8" t="str">
        <f ca="1">IFERROR(__xludf.DUMMYFUNCTION("""COMPUTED_VALUE"""),"Escalation of Dispute")</f>
        <v>Escalation of Dispute</v>
      </c>
      <c r="AB1604" s="8"/>
      <c r="AC1604" s="8" t="str">
        <f ca="1">IFERROR(__xludf.DUMMYFUNCTION("""COMPUTED_VALUE"""),"Yes")</f>
        <v>Yes</v>
      </c>
      <c r="AD1604" s="8"/>
      <c r="AE1604" s="8" t="str">
        <f ca="1">IFERROR(__xludf.DUMMYFUNCTION("""COMPUTED_VALUE"""),"No")</f>
        <v>No</v>
      </c>
      <c r="AF1604" s="8"/>
      <c r="AG1604" s="8" t="str">
        <f ca="1">IFERROR(__xludf.DUMMYFUNCTION("""COMPUTED_VALUE"""),"No")</f>
        <v>No</v>
      </c>
      <c r="AH1604" s="8" t="str">
        <f ca="1">IFERROR(__xludf.DUMMYFUNCTION("""COMPUTED_VALUE"""),"No")</f>
        <v>No</v>
      </c>
      <c r="AI1604" s="8" t="str">
        <f ca="1">IFERROR(__xludf.DUMMYFUNCTION("""COMPUTED_VALUE"""),"No")</f>
        <v>No</v>
      </c>
      <c r="AJ1604" s="8" t="str">
        <f ca="1">IFERROR(__xludf.DUMMYFUNCTION("""COMPUTED_VALUE"""),"No")</f>
        <v>No</v>
      </c>
      <c r="AK1604" s="8" t="str">
        <f ca="1">IFERROR(__xludf.DUMMYFUNCTION("""COMPUTED_VALUE"""),"No")</f>
        <v>No</v>
      </c>
      <c r="AL1604" s="8" t="str">
        <f ca="1">IFERROR(__xludf.DUMMYFUNCTION("""COMPUTED_VALUE"""),"No")</f>
        <v>No</v>
      </c>
      <c r="AM1604" s="8" t="str">
        <f ca="1">IFERROR(__xludf.DUMMYFUNCTION("""COMPUTED_VALUE"""),"No")</f>
        <v>No</v>
      </c>
      <c r="AN1604" s="8"/>
      <c r="AO1604" s="8" t="str">
        <f ca="1">IFERROR(__xludf.DUMMYFUNCTION("""COMPUTED_VALUE"""),"No")</f>
        <v>No</v>
      </c>
      <c r="AP1604" s="8" t="str">
        <f ca="1">IFERROR(__xludf.DUMMYFUNCTION("""COMPUTED_VALUE"""),"Yes")</f>
        <v>Yes</v>
      </c>
      <c r="AQ1604" s="8" t="str">
        <f ca="1">IFERROR(__xludf.DUMMYFUNCTION("""COMPUTED_VALUE"""),"None")</f>
        <v>None</v>
      </c>
      <c r="AR1604" s="8" t="str">
        <f ca="1">IFERROR(__xludf.DUMMYFUNCTION("""COMPUTED_VALUE"""),"NA")</f>
        <v>NA</v>
      </c>
      <c r="AS1604" s="8" t="str">
        <f ca="1">IFERROR(__xludf.DUMMYFUNCTION("""COMPUTED_VALUE"""),"&lt;5")</f>
        <v>&lt;5</v>
      </c>
      <c r="AT1604" s="8" t="str">
        <f ca="1">IFERROR(__xludf.DUMMYFUNCTION("""COMPUTED_VALUE"""),"Yes")</f>
        <v>Yes</v>
      </c>
      <c r="AU1604" s="8">
        <f ca="1">IFERROR(__xludf.DUMMYFUNCTION("""COMPUTED_VALUE"""),38.689451)</f>
        <v>38.689450999999998</v>
      </c>
      <c r="AV1604" s="8">
        <f ca="1">IFERROR(__xludf.DUMMYFUNCTION("""COMPUTED_VALUE"""),-90.471572)</f>
        <v>-90.471571999999995</v>
      </c>
      <c r="AW1604" s="8"/>
      <c r="AX1604" s="8">
        <f ca="1">IFERROR(__xludf.DUMMYFUNCTION("""COMPUTED_VALUE"""),63141)</f>
        <v>63141</v>
      </c>
    </row>
    <row r="1605" spans="1:50" ht="60" x14ac:dyDescent="0.2">
      <c r="A1605" s="8" t="str">
        <f ca="1">IFERROR(__xludf.DUMMYFUNCTION("""COMPUTED_VALUE"""),"20190823GAPEC")</f>
        <v>20190823GAPEC</v>
      </c>
      <c r="B1605" s="8">
        <f ca="1">IFERROR(__xludf.DUMMYFUNCTION("""COMPUTED_VALUE"""),8)</f>
        <v>8</v>
      </c>
      <c r="C1605" s="8">
        <f ca="1">IFERROR(__xludf.DUMMYFUNCTION("""COMPUTED_VALUE"""),23)</f>
        <v>23</v>
      </c>
      <c r="D1605" s="8">
        <f ca="1">IFERROR(__xludf.DUMMYFUNCTION("""COMPUTED_VALUE"""),2019)</f>
        <v>2019</v>
      </c>
      <c r="E1605" s="9">
        <f ca="1">IFERROR(__xludf.DUMMYFUNCTION("""COMPUTED_VALUE"""),43700)</f>
        <v>43700</v>
      </c>
      <c r="F1605" s="8" t="str">
        <f ca="1">IFERROR(__xludf.DUMMYFUNCTION("""COMPUTED_VALUE"""),"Peek's Chapel Elementary School")</f>
        <v>Peek's Chapel Elementary School</v>
      </c>
      <c r="G1605" s="8">
        <f ca="1">IFERROR(__xludf.DUMMYFUNCTION("""COMPUTED_VALUE"""),0)</f>
        <v>0</v>
      </c>
      <c r="H1605" s="8">
        <f ca="1">IFERROR(__xludf.DUMMYFUNCTION("""COMPUTED_VALUE"""),1)</f>
        <v>1</v>
      </c>
      <c r="I1605" s="8">
        <f ca="1">IFERROR(__xludf.DUMMYFUNCTION("""COMPUTED_VALUE"""),1)</f>
        <v>1</v>
      </c>
      <c r="J1605" s="8">
        <f ca="1">IFERROR(__xludf.DUMMYFUNCTION("""COMPUTED_VALUE"""),0)</f>
        <v>0</v>
      </c>
      <c r="K1605" s="8" t="str">
        <f ca="1">IFERROR(__xludf.DUMMYFUNCTION("""COMPUTED_VALUE"""),"https://www.ntd.com/12-year-old-boy-shot-at-georgia-elementary-school_372890.html https://www.ajc.com/news/crime--law/boy-custody-after-year-old-found-shot-rockdale-elementary-school/UfGBojoDAe88fXlAHasriJ/")</f>
        <v>https://www.ntd.com/12-year-old-boy-shot-at-georgia-elementary-school_372890.html https://www.ajc.com/news/crime--law/boy-custody-after-year-old-found-shot-rockdale-elementary-school/UfGBojoDAe88fXlAHasriJ/</v>
      </c>
      <c r="L1605" s="8"/>
      <c r="M1605" s="8"/>
      <c r="N1605" s="8">
        <f ca="1">IFERROR(__xludf.DUMMYFUNCTION("""COMPUTED_VALUE"""),3)</f>
        <v>3</v>
      </c>
      <c r="O1605" s="8" t="str">
        <f ca="1">IFERROR(__xludf.DUMMYFUNCTION("""COMPUTED_VALUE"""),"Summer")</f>
        <v>Summer</v>
      </c>
      <c r="P1605" s="8" t="str">
        <f ca="1">IFERROR(__xludf.DUMMYFUNCTION("""COMPUTED_VALUE"""),"Conyers")</f>
        <v>Conyers</v>
      </c>
      <c r="Q1605" s="8" t="str">
        <f ca="1">IFERROR(__xludf.DUMMYFUNCTION("""COMPUTED_VALUE"""),"GA")</f>
        <v>GA</v>
      </c>
      <c r="R1605" s="8" t="str">
        <f ca="1">IFERROR(__xludf.DUMMYFUNCTION("""COMPUTED_VALUE"""),"Elementary")</f>
        <v>Elementary</v>
      </c>
      <c r="S1605" s="8" t="str">
        <f ca="1">IFERROR(__xludf.DUMMYFUNCTION("""COMPUTED_VALUE"""),"Outside on School Property")</f>
        <v>Outside on School Property</v>
      </c>
      <c r="T1605" s="8" t="str">
        <f ca="1">IFERROR(__xludf.DUMMYFUNCTION("""COMPUTED_VALUE"""),"Outside on School Property")</f>
        <v>Outside on School Property</v>
      </c>
      <c r="U1605" s="8" t="str">
        <f ca="1">IFERROR(__xludf.DUMMYFUNCTION("""COMPUTED_VALUE"""),"No")</f>
        <v>No</v>
      </c>
      <c r="V1605" s="8" t="str">
        <f ca="1">IFERROR(__xludf.DUMMYFUNCTION("""COMPUTED_VALUE"""),"Evening")</f>
        <v>Evening</v>
      </c>
      <c r="W1605" s="11">
        <f ca="1">IFERROR(__xludf.DUMMYFUNCTION("""COMPUTED_VALUE"""),0.774305555555555)</f>
        <v>0.77430555555555503</v>
      </c>
      <c r="X1605" s="8">
        <f ca="1">IFERROR(__xludf.DUMMYFUNCTION("""COMPUTED_VALUE"""),1)</f>
        <v>1</v>
      </c>
      <c r="Y1605" s="12" t="str">
        <f ca="1">IFERROR(__xludf.DUMMYFUNCTION("""COMPUTED_VALUE"""),"15YOM shot 12YOM outside of elementary school after hours")</f>
        <v>15YOM shot 12YOM outside of elementary school after hours</v>
      </c>
      <c r="Z1605" s="12" t="str">
        <f ca="1">IFERROR(__xludf.DUMMYFUNCTION("""COMPUTED_VALUE"""),"15YOM shot 12YOM outside of elementary school after school operating hours. No motive or other information available.")</f>
        <v>15YOM shot 12YOM outside of elementary school after school operating hours. No motive or other information available.</v>
      </c>
      <c r="AA1605" s="8" t="str">
        <f ca="1">IFERROR(__xludf.DUMMYFUNCTION("""COMPUTED_VALUE"""),"Unknown")</f>
        <v>Unknown</v>
      </c>
      <c r="AB1605" s="8"/>
      <c r="AC1605" s="8" t="str">
        <f ca="1">IFERROR(__xludf.DUMMYFUNCTION("""COMPUTED_VALUE"""),"Yes")</f>
        <v>Yes</v>
      </c>
      <c r="AD1605" s="8"/>
      <c r="AE1605" s="8" t="str">
        <f ca="1">IFERROR(__xludf.DUMMYFUNCTION("""COMPUTED_VALUE"""),"No")</f>
        <v>No</v>
      </c>
      <c r="AF1605" s="8"/>
      <c r="AG1605" s="8" t="str">
        <f ca="1">IFERROR(__xludf.DUMMYFUNCTION("""COMPUTED_VALUE"""),"No")</f>
        <v>No</v>
      </c>
      <c r="AH1605" s="8" t="str">
        <f ca="1">IFERROR(__xludf.DUMMYFUNCTION("""COMPUTED_VALUE"""),"No")</f>
        <v>No</v>
      </c>
      <c r="AI1605" s="8" t="str">
        <f ca="1">IFERROR(__xludf.DUMMYFUNCTION("""COMPUTED_VALUE"""),"No")</f>
        <v>No</v>
      </c>
      <c r="AJ1605" s="8"/>
      <c r="AK1605" s="8" t="str">
        <f ca="1">IFERROR(__xludf.DUMMYFUNCTION("""COMPUTED_VALUE"""),"No")</f>
        <v>No</v>
      </c>
      <c r="AL1605" s="8"/>
      <c r="AM1605" s="8" t="str">
        <f ca="1">IFERROR(__xludf.DUMMYFUNCTION("""COMPUTED_VALUE"""),"No")</f>
        <v>No</v>
      </c>
      <c r="AN1605" s="8"/>
      <c r="AO1605" s="8" t="str">
        <f ca="1">IFERROR(__xludf.DUMMYFUNCTION("""COMPUTED_VALUE"""),"No")</f>
        <v>No</v>
      </c>
      <c r="AP1605" s="8"/>
      <c r="AQ1605" s="8" t="str">
        <f ca="1">IFERROR(__xludf.DUMMYFUNCTION("""COMPUTED_VALUE"""),"Unknown")</f>
        <v>Unknown</v>
      </c>
      <c r="AR1605" s="8" t="str">
        <f ca="1">IFERROR(__xludf.DUMMYFUNCTION("""COMPUTED_VALUE"""),"NA")</f>
        <v>NA</v>
      </c>
      <c r="AS1605" s="8"/>
      <c r="AT1605" s="8"/>
      <c r="AU1605" s="8">
        <f ca="1">IFERROR(__xludf.DUMMYFUNCTION("""COMPUTED_VALUE"""),33.614149)</f>
        <v>33.614148999999998</v>
      </c>
      <c r="AV1605" s="8">
        <f ca="1">IFERROR(__xludf.DUMMYFUNCTION("""COMPUTED_VALUE"""),-83.985387)</f>
        <v>-83.985387000000003</v>
      </c>
      <c r="AW1605" s="8"/>
      <c r="AX1605" s="8">
        <f ca="1">IFERROR(__xludf.DUMMYFUNCTION("""COMPUTED_VALUE"""),30013)</f>
        <v>30013</v>
      </c>
    </row>
    <row r="1606" spans="1:50" ht="60" x14ac:dyDescent="0.2">
      <c r="A1606" s="8" t="str">
        <f ca="1">IFERROR(__xludf.DUMMYFUNCTION("""COMPUTED_VALUE"""),"20190820PASAC")</f>
        <v>20190820PASAC</v>
      </c>
      <c r="B1606" s="8">
        <f ca="1">IFERROR(__xludf.DUMMYFUNCTION("""COMPUTED_VALUE"""),8)</f>
        <v>8</v>
      </c>
      <c r="C1606" s="8">
        <f ca="1">IFERROR(__xludf.DUMMYFUNCTION("""COMPUTED_VALUE"""),20)</f>
        <v>20</v>
      </c>
      <c r="D1606" s="8">
        <f ca="1">IFERROR(__xludf.DUMMYFUNCTION("""COMPUTED_VALUE"""),2019)</f>
        <v>2019</v>
      </c>
      <c r="E1606" s="9">
        <f ca="1">IFERROR(__xludf.DUMMYFUNCTION("""COMPUTED_VALUE"""),43697)</f>
        <v>43697</v>
      </c>
      <c r="F1606" s="8" t="str">
        <f ca="1">IFERROR(__xludf.DUMMYFUNCTION("""COMPUTED_VALUE"""),"Saint Patrick School")</f>
        <v>Saint Patrick School</v>
      </c>
      <c r="G1606" s="8">
        <f ca="1">IFERROR(__xludf.DUMMYFUNCTION("""COMPUTED_VALUE"""),0)</f>
        <v>0</v>
      </c>
      <c r="H1606" s="8">
        <f ca="1">IFERROR(__xludf.DUMMYFUNCTION("""COMPUTED_VALUE"""),0)</f>
        <v>0</v>
      </c>
      <c r="I1606" s="8">
        <f ca="1">IFERROR(__xludf.DUMMYFUNCTION("""COMPUTED_VALUE"""),0)</f>
        <v>0</v>
      </c>
      <c r="J1606" s="8">
        <f ca="1">IFERROR(__xludf.DUMMYFUNCTION("""COMPUTED_VALUE"""),0)</f>
        <v>0</v>
      </c>
      <c r="K1606" s="10" t="str">
        <f ca="1">IFERROR(__xludf.DUMMYFUNCTION("""COMPUTED_VALUE"""),"https://cumberlink.com/news/local/crime-and-courts/school-saint-patrick-parent-accidentally-fires-gun-injures-self-in/article_d58b284e-fd55-5d1f-bf83-91de12e5302d.html")</f>
        <v>https://cumberlink.com/news/local/crime-and-courts/school-saint-patrick-parent-accidentally-fires-gun-injures-self-in/article_d58b284e-fd55-5d1f-bf83-91de12e5302d.html</v>
      </c>
      <c r="L1606" s="8"/>
      <c r="M1606" s="8"/>
      <c r="N1606" s="8">
        <f ca="1">IFERROR(__xludf.DUMMYFUNCTION("""COMPUTED_VALUE"""),3)</f>
        <v>3</v>
      </c>
      <c r="O1606" s="8" t="str">
        <f ca="1">IFERROR(__xludf.DUMMYFUNCTION("""COMPUTED_VALUE"""),"Summer")</f>
        <v>Summer</v>
      </c>
      <c r="P1606" s="8" t="str">
        <f ca="1">IFERROR(__xludf.DUMMYFUNCTION("""COMPUTED_VALUE"""),"Carlisle")</f>
        <v>Carlisle</v>
      </c>
      <c r="Q1606" s="8" t="str">
        <f ca="1">IFERROR(__xludf.DUMMYFUNCTION("""COMPUTED_VALUE"""),"PA")</f>
        <v>PA</v>
      </c>
      <c r="R1606" s="8" t="str">
        <f ca="1">IFERROR(__xludf.DUMMYFUNCTION("""COMPUTED_VALUE"""),"High")</f>
        <v>High</v>
      </c>
      <c r="S1606" s="8" t="str">
        <f ca="1">IFERROR(__xludf.DUMMYFUNCTION("""COMPUTED_VALUE"""),"Parking Lot")</f>
        <v>Parking Lot</v>
      </c>
      <c r="T1606" s="8" t="str">
        <f ca="1">IFERROR(__xludf.DUMMYFUNCTION("""COMPUTED_VALUE"""),"Outside on School Property")</f>
        <v>Outside on School Property</v>
      </c>
      <c r="U1606" s="8" t="str">
        <f ca="1">IFERROR(__xludf.DUMMYFUNCTION("""COMPUTED_VALUE"""),"No")</f>
        <v>No</v>
      </c>
      <c r="V1606" s="8" t="str">
        <f ca="1">IFERROR(__xludf.DUMMYFUNCTION("""COMPUTED_VALUE"""),"School Event")</f>
        <v>School Event</v>
      </c>
      <c r="W1606" s="11">
        <f ca="1">IFERROR(__xludf.DUMMYFUNCTION("""COMPUTED_VALUE"""),0.75)</f>
        <v>0.75</v>
      </c>
      <c r="X1606" s="8">
        <f ca="1">IFERROR(__xludf.DUMMYFUNCTION("""COMPUTED_VALUE"""),1)</f>
        <v>1</v>
      </c>
      <c r="Y1606" s="12" t="str">
        <f ca="1">IFERROR(__xludf.DUMMYFUNCTION("""COMPUTED_VALUE"""),"Parent accidentally discharged handgun shooting himself")</f>
        <v>Parent accidentally discharged handgun shooting himself</v>
      </c>
      <c r="Z1606" s="12" t="str">
        <f ca="1">IFERROR(__xludf.DUMMYFUNCTION("""COMPUTED_VALUE"""),"Parent at back to school night accidentally discharged handgun striking himself. Parent was correctional officer and handgun was issued to him by prison. No other injuries or threat to students.")</f>
        <v>Parent at back to school night accidentally discharged handgun striking himself. Parent was correctional officer and handgun was issued to him by prison. No other injuries or threat to students.</v>
      </c>
      <c r="AA1606" s="8" t="str">
        <f ca="1">IFERROR(__xludf.DUMMYFUNCTION("""COMPUTED_VALUE"""),"Accidental")</f>
        <v>Accidental</v>
      </c>
      <c r="AB1606" s="8"/>
      <c r="AC1606" s="8" t="str">
        <f ca="1">IFERROR(__xludf.DUMMYFUNCTION("""COMPUTED_VALUE"""),"Yes")</f>
        <v>Yes</v>
      </c>
      <c r="AD1606" s="8" t="str">
        <f ca="1">IFERROR(__xludf.DUMMYFUNCTION("""COMPUTED_VALUE"""),"Random Shooting")</f>
        <v>Random Shooting</v>
      </c>
      <c r="AE1606" s="8" t="str">
        <f ca="1">IFERROR(__xludf.DUMMYFUNCTION("""COMPUTED_VALUE"""),"No")</f>
        <v>No</v>
      </c>
      <c r="AF1606" s="8"/>
      <c r="AG1606" s="8" t="str">
        <f ca="1">IFERROR(__xludf.DUMMYFUNCTION("""COMPUTED_VALUE"""),"No")</f>
        <v>No</v>
      </c>
      <c r="AH1606" s="8" t="str">
        <f ca="1">IFERROR(__xludf.DUMMYFUNCTION("""COMPUTED_VALUE"""),"No")</f>
        <v>No</v>
      </c>
      <c r="AI1606" s="8" t="str">
        <f ca="1">IFERROR(__xludf.DUMMYFUNCTION("""COMPUTED_VALUE"""),"No")</f>
        <v>No</v>
      </c>
      <c r="AJ1606" s="8" t="str">
        <f ca="1">IFERROR(__xludf.DUMMYFUNCTION("""COMPUTED_VALUE"""),"No")</f>
        <v>No</v>
      </c>
      <c r="AK1606" s="8" t="str">
        <f ca="1">IFERROR(__xludf.DUMMYFUNCTION("""COMPUTED_VALUE"""),"No")</f>
        <v>No</v>
      </c>
      <c r="AL1606" s="8" t="str">
        <f ca="1">IFERROR(__xludf.DUMMYFUNCTION("""COMPUTED_VALUE"""),"No")</f>
        <v>No</v>
      </c>
      <c r="AM1606" s="8" t="str">
        <f ca="1">IFERROR(__xludf.DUMMYFUNCTION("""COMPUTED_VALUE"""),"No")</f>
        <v>No</v>
      </c>
      <c r="AN1606" s="8"/>
      <c r="AO1606" s="8" t="str">
        <f ca="1">IFERROR(__xludf.DUMMYFUNCTION("""COMPUTED_VALUE"""),"No")</f>
        <v>No</v>
      </c>
      <c r="AP1606" s="8" t="str">
        <f ca="1">IFERROR(__xludf.DUMMYFUNCTION("""COMPUTED_VALUE"""),"No")</f>
        <v>No</v>
      </c>
      <c r="AQ1606" s="8" t="str">
        <f ca="1">IFERROR(__xludf.DUMMYFUNCTION("""COMPUTED_VALUE"""),"Unknown")</f>
        <v>Unknown</v>
      </c>
      <c r="AR1606" s="8" t="str">
        <f ca="1">IFERROR(__xludf.DUMMYFUNCTION("""COMPUTED_VALUE"""),"NA")</f>
        <v>NA</v>
      </c>
      <c r="AS1606" s="8">
        <f ca="1">IFERROR(__xludf.DUMMYFUNCTION("""COMPUTED_VALUE"""),1)</f>
        <v>1</v>
      </c>
      <c r="AT1606" s="8" t="str">
        <f ca="1">IFERROR(__xludf.DUMMYFUNCTION("""COMPUTED_VALUE"""),"No")</f>
        <v>No</v>
      </c>
      <c r="AU1606" s="8">
        <f ca="1">IFERROR(__xludf.DUMMYFUNCTION("""COMPUTED_VALUE"""),40.174524)</f>
        <v>40.174523999999998</v>
      </c>
      <c r="AV1606" s="8">
        <f ca="1">IFERROR(__xludf.DUMMYFUNCTION("""COMPUTED_VALUE"""),-77.203772)</f>
        <v>-77.203772000000001</v>
      </c>
      <c r="AW1606" s="8"/>
      <c r="AX1606" s="8">
        <f ca="1">IFERROR(__xludf.DUMMYFUNCTION("""COMPUTED_VALUE"""),17013)</f>
        <v>17013</v>
      </c>
    </row>
    <row r="1607" spans="1:50" ht="90" x14ac:dyDescent="0.2">
      <c r="A1607" s="8" t="str">
        <f ca="1">IFERROR(__xludf.DUMMYFUNCTION("""COMPUTED_VALUE"""),"20190817GALAA")</f>
        <v>20190817GALAA</v>
      </c>
      <c r="B1607" s="8">
        <f ca="1">IFERROR(__xludf.DUMMYFUNCTION("""COMPUTED_VALUE"""),8)</f>
        <v>8</v>
      </c>
      <c r="C1607" s="8">
        <f ca="1">IFERROR(__xludf.DUMMYFUNCTION("""COMPUTED_VALUE"""),17)</f>
        <v>17</v>
      </c>
      <c r="D1607" s="8">
        <f ca="1">IFERROR(__xludf.DUMMYFUNCTION("""COMPUTED_VALUE"""),2019)</f>
        <v>2019</v>
      </c>
      <c r="E1607" s="9">
        <f ca="1">IFERROR(__xludf.DUMMYFUNCTION("""COMPUTED_VALUE"""),43694)</f>
        <v>43694</v>
      </c>
      <c r="F1607" s="8" t="str">
        <f ca="1">IFERROR(__xludf.DUMMYFUNCTION("""COMPUTED_VALUE"""),"Lakewood Stadium")</f>
        <v>Lakewood Stadium</v>
      </c>
      <c r="G1607" s="8">
        <f ca="1">IFERROR(__xludf.DUMMYFUNCTION("""COMPUTED_VALUE"""),0)</f>
        <v>0</v>
      </c>
      <c r="H1607" s="8">
        <f ca="1">IFERROR(__xludf.DUMMYFUNCTION("""COMPUTED_VALUE"""),2)</f>
        <v>2</v>
      </c>
      <c r="I1607" s="8">
        <f ca="1">IFERROR(__xludf.DUMMYFUNCTION("""COMPUTED_VALUE"""),2)</f>
        <v>2</v>
      </c>
      <c r="J1607" s="8">
        <f ca="1">IFERROR(__xludf.DUMMYFUNCTION("""COMPUTED_VALUE"""),0)</f>
        <v>0</v>
      </c>
      <c r="K1607" s="8" t="str">
        <f ca="1">IFERROR(__xludf.DUMMYFUNCTION("""COMPUTED_VALUE"""),"https://www.wsbtv.com/news/local/atlanta/2-teens-shot-1-critical-after-fight-outside-high-school-football-game-police-say/976981343 https://www.ajc.com/news/crime--law/child-paralyzed-stadium-shooting-leaves-hospital-for-new-home-gifted-shaq/NKqLohiZL68e2"&amp;"b3LNDO1cN/# https://www.ajc.com/news/crime--law/believe-miracles-mom-child-paralyzed-stadium-shooting-details-his-recovery/HC5A2iF7tcoDoGX0E0JKjO/")</f>
        <v>https://www.wsbtv.com/news/local/atlanta/2-teens-shot-1-critical-after-fight-outside-high-school-football-game-police-say/976981343 https://www.ajc.com/news/crime--law/child-paralyzed-stadium-shooting-leaves-hospital-for-new-home-gifted-shaq/NKqLohiZL68e2b3LNDO1cN/# https://www.ajc.com/news/crime--law/believe-miracles-mom-child-paralyzed-stadium-shooting-details-his-recovery/HC5A2iF7tcoDoGX0E0JKjO/</v>
      </c>
      <c r="L1607" s="8"/>
      <c r="M1607" s="8"/>
      <c r="N1607" s="8">
        <f ca="1">IFERROR(__xludf.DUMMYFUNCTION("""COMPUTED_VALUE"""),4)</f>
        <v>4</v>
      </c>
      <c r="O1607" s="8" t="str">
        <f ca="1">IFERROR(__xludf.DUMMYFUNCTION("""COMPUTED_VALUE"""),"Summer")</f>
        <v>Summer</v>
      </c>
      <c r="P1607" s="8" t="str">
        <f ca="1">IFERROR(__xludf.DUMMYFUNCTION("""COMPUTED_VALUE"""),"Atlanta")</f>
        <v>Atlanta</v>
      </c>
      <c r="Q1607" s="8" t="str">
        <f ca="1">IFERROR(__xludf.DUMMYFUNCTION("""COMPUTED_VALUE"""),"GA")</f>
        <v>GA</v>
      </c>
      <c r="R1607" s="8" t="str">
        <f ca="1">IFERROR(__xludf.DUMMYFUNCTION("""COMPUTED_VALUE"""),"High")</f>
        <v>High</v>
      </c>
      <c r="S1607" s="8" t="str">
        <f ca="1">IFERROR(__xludf.DUMMYFUNCTION("""COMPUTED_VALUE"""),"Football Field/Track")</f>
        <v>Football Field/Track</v>
      </c>
      <c r="T1607" s="8" t="str">
        <f ca="1">IFERROR(__xludf.DUMMYFUNCTION("""COMPUTED_VALUE"""),"Outside on School Property")</f>
        <v>Outside on School Property</v>
      </c>
      <c r="U1607" s="8" t="str">
        <f ca="1">IFERROR(__xludf.DUMMYFUNCTION("""COMPUTED_VALUE"""),"No")</f>
        <v>No</v>
      </c>
      <c r="V1607" s="8" t="str">
        <f ca="1">IFERROR(__xludf.DUMMYFUNCTION("""COMPUTED_VALUE"""),"Sport Event")</f>
        <v>Sport Event</v>
      </c>
      <c r="W1607" s="11">
        <f ca="1">IFERROR(__xludf.DUMMYFUNCTION("""COMPUTED_VALUE"""),0.875)</f>
        <v>0.875</v>
      </c>
      <c r="X1607" s="8">
        <f ca="1">IFERROR(__xludf.DUMMYFUNCTION("""COMPUTED_VALUE"""),1)</f>
        <v>1</v>
      </c>
      <c r="Y1607" s="12" t="str">
        <f ca="1">IFERROR(__xludf.DUMMYFUNCTION("""COMPUTED_VALUE"""),"Shots fired during fight at football game")</f>
        <v>Shots fired during fight at football game</v>
      </c>
      <c r="Z1607" s="12" t="str">
        <f ca="1">IFERROR(__xludf.DUMMYFUNCTION("""COMPUTED_VALUE"""),"Shots fired during rivalry game between Mays High School and Carver High School in Atlanta. 12YOM was shot and paralyzed. 16YOM student was shot (minor injury). Shooter fled the area. Multiple fights reported. Police were assigned to the stadium during th"&amp;"e game. 15YOM arrested. Neither victim was intended target.")</f>
        <v>Shots fired during rivalry game between Mays High School and Carver High School in Atlanta. 12YOM was shot and paralyzed. 16YOM student was shot (minor injury). Shooter fled the area. Multiple fights reported. Police were assigned to the stadium during the game. 15YOM arrested. Neither victim was intended target.</v>
      </c>
      <c r="AA1607" s="8" t="str">
        <f ca="1">IFERROR(__xludf.DUMMYFUNCTION("""COMPUTED_VALUE"""),"Escalation of Dispute")</f>
        <v>Escalation of Dispute</v>
      </c>
      <c r="AB1607" s="8"/>
      <c r="AC1607" s="8" t="str">
        <f ca="1">IFERROR(__xludf.DUMMYFUNCTION("""COMPUTED_VALUE"""),"Yes")</f>
        <v>Yes</v>
      </c>
      <c r="AD1607" s="8" t="str">
        <f ca="1">IFERROR(__xludf.DUMMYFUNCTION("""COMPUTED_VALUE"""),"Both")</f>
        <v>Both</v>
      </c>
      <c r="AE1607" s="8"/>
      <c r="AF1607" s="8"/>
      <c r="AG1607" s="8" t="str">
        <f ca="1">IFERROR(__xludf.DUMMYFUNCTION("""COMPUTED_VALUE"""),"No")</f>
        <v>No</v>
      </c>
      <c r="AH1607" s="8" t="str">
        <f ca="1">IFERROR(__xludf.DUMMYFUNCTION("""COMPUTED_VALUE"""),"No")</f>
        <v>No</v>
      </c>
      <c r="AI1607" s="8" t="str">
        <f ca="1">IFERROR(__xludf.DUMMYFUNCTION("""COMPUTED_VALUE"""),"No")</f>
        <v>No</v>
      </c>
      <c r="AJ1607" s="8" t="str">
        <f ca="1">IFERROR(__xludf.DUMMYFUNCTION("""COMPUTED_VALUE"""),"No")</f>
        <v>No</v>
      </c>
      <c r="AK1607" s="8" t="str">
        <f ca="1">IFERROR(__xludf.DUMMYFUNCTION("""COMPUTED_VALUE"""),"No")</f>
        <v>No</v>
      </c>
      <c r="AL1607" s="8" t="str">
        <f ca="1">IFERROR(__xludf.DUMMYFUNCTION("""COMPUTED_VALUE"""),"Yes")</f>
        <v>Yes</v>
      </c>
      <c r="AM1607" s="8" t="str">
        <f ca="1">IFERROR(__xludf.DUMMYFUNCTION("""COMPUTED_VALUE"""),"No")</f>
        <v>No</v>
      </c>
      <c r="AN1607" s="8"/>
      <c r="AO1607" s="8" t="str">
        <f ca="1">IFERROR(__xludf.DUMMYFUNCTION("""COMPUTED_VALUE"""),"No")</f>
        <v>No</v>
      </c>
      <c r="AP1607" s="8" t="str">
        <f ca="1">IFERROR(__xludf.DUMMYFUNCTION("""COMPUTED_VALUE"""),"Yes")</f>
        <v>Yes</v>
      </c>
      <c r="AQ1607" s="8" t="str">
        <f ca="1">IFERROR(__xludf.DUMMYFUNCTION("""COMPUTED_VALUE"""),"Unknown")</f>
        <v>Unknown</v>
      </c>
      <c r="AR1607" s="8" t="str">
        <f ca="1">IFERROR(__xludf.DUMMYFUNCTION("""COMPUTED_VALUE"""),"NA")</f>
        <v>NA</v>
      </c>
      <c r="AS1607" s="8"/>
      <c r="AT1607" s="8"/>
      <c r="AU1607" s="8">
        <f ca="1">IFERROR(__xludf.DUMMYFUNCTION("""COMPUTED_VALUE"""),33.702475)</f>
        <v>33.702475</v>
      </c>
      <c r="AV1607" s="8">
        <f ca="1">IFERROR(__xludf.DUMMYFUNCTION("""COMPUTED_VALUE"""),-84.387159)</f>
        <v>-84.387158999999997</v>
      </c>
      <c r="AW1607" s="8"/>
      <c r="AX1607" s="8">
        <f ca="1">IFERROR(__xludf.DUMMYFUNCTION("""COMPUTED_VALUE"""),30315)</f>
        <v>30315</v>
      </c>
    </row>
    <row r="1608" spans="1:50" ht="105" x14ac:dyDescent="0.2">
      <c r="A1608" s="8" t="str">
        <f ca="1">IFERROR(__xludf.DUMMYFUNCTION("""COMPUTED_VALUE"""),"20190815TNEAN")</f>
        <v>20190815TNEAN</v>
      </c>
      <c r="B1608" s="8">
        <f ca="1">IFERROR(__xludf.DUMMYFUNCTION("""COMPUTED_VALUE"""),8)</f>
        <v>8</v>
      </c>
      <c r="C1608" s="8">
        <f ca="1">IFERROR(__xludf.DUMMYFUNCTION("""COMPUTED_VALUE"""),15)</f>
        <v>15</v>
      </c>
      <c r="D1608" s="8">
        <f ca="1">IFERROR(__xludf.DUMMYFUNCTION("""COMPUTED_VALUE"""),2019)</f>
        <v>2019</v>
      </c>
      <c r="E1608" s="9">
        <f ca="1">IFERROR(__xludf.DUMMYFUNCTION("""COMPUTED_VALUE"""),43692)</f>
        <v>43692</v>
      </c>
      <c r="F1608" s="8" t="str">
        <f ca="1">IFERROR(__xludf.DUMMYFUNCTION("""COMPUTED_VALUE"""),"East Magnet High School")</f>
        <v>East Magnet High School</v>
      </c>
      <c r="G1608" s="8">
        <f ca="1">IFERROR(__xludf.DUMMYFUNCTION("""COMPUTED_VALUE"""),0)</f>
        <v>0</v>
      </c>
      <c r="H1608" s="8">
        <f ca="1">IFERROR(__xludf.DUMMYFUNCTION("""COMPUTED_VALUE"""),0)</f>
        <v>0</v>
      </c>
      <c r="I1608" s="8">
        <f ca="1">IFERROR(__xludf.DUMMYFUNCTION("""COMPUTED_VALUE"""),0)</f>
        <v>0</v>
      </c>
      <c r="J1608" s="8">
        <f ca="1">IFERROR(__xludf.DUMMYFUNCTION("""COMPUTED_VALUE"""),0)</f>
        <v>0</v>
      </c>
      <c r="K1608" s="10" t="str">
        <f ca="1">IFERROR(__xludf.DUMMYFUNCTION("""COMPUTED_VALUE"""),"https://www.wsmv.com/news/three-in-custody-after-shots-fired-at-east-high-school/article_9f788d58-bfcf-11e9-bdda-c788cc06a4b1.html")</f>
        <v>https://www.wsmv.com/news/three-in-custody-after-shots-fired-at-east-high-school/article_9f788d58-bfcf-11e9-bdda-c788cc06a4b1.html</v>
      </c>
      <c r="L1608" s="8"/>
      <c r="M1608" s="8"/>
      <c r="N1608" s="8">
        <f ca="1">IFERROR(__xludf.DUMMYFUNCTION("""COMPUTED_VALUE"""),4)</f>
        <v>4</v>
      </c>
      <c r="O1608" s="8" t="str">
        <f ca="1">IFERROR(__xludf.DUMMYFUNCTION("""COMPUTED_VALUE"""),"Summer")</f>
        <v>Summer</v>
      </c>
      <c r="P1608" s="8" t="str">
        <f ca="1">IFERROR(__xludf.DUMMYFUNCTION("""COMPUTED_VALUE"""),"Nashville")</f>
        <v>Nashville</v>
      </c>
      <c r="Q1608" s="8" t="str">
        <f ca="1">IFERROR(__xludf.DUMMYFUNCTION("""COMPUTED_VALUE"""),"TN")</f>
        <v>TN</v>
      </c>
      <c r="R1608" s="8" t="str">
        <f ca="1">IFERROR(__xludf.DUMMYFUNCTION("""COMPUTED_VALUE"""),"High")</f>
        <v>High</v>
      </c>
      <c r="S1608" s="8" t="str">
        <f ca="1">IFERROR(__xludf.DUMMYFUNCTION("""COMPUTED_VALUE"""),"Football Field/Track")</f>
        <v>Football Field/Track</v>
      </c>
      <c r="T1608" s="8" t="str">
        <f ca="1">IFERROR(__xludf.DUMMYFUNCTION("""COMPUTED_VALUE"""),"Outside on School Property")</f>
        <v>Outside on School Property</v>
      </c>
      <c r="U1608" s="8" t="str">
        <f ca="1">IFERROR(__xludf.DUMMYFUNCTION("""COMPUTED_VALUE"""),"No")</f>
        <v>No</v>
      </c>
      <c r="V1608" s="8" t="str">
        <f ca="1">IFERROR(__xludf.DUMMYFUNCTION("""COMPUTED_VALUE"""),"Sport Event")</f>
        <v>Sport Event</v>
      </c>
      <c r="W1608" s="8"/>
      <c r="X1608" s="8">
        <f ca="1">IFERROR(__xludf.DUMMYFUNCTION("""COMPUTED_VALUE"""),1)</f>
        <v>1</v>
      </c>
      <c r="Y1608" s="12" t="str">
        <f ca="1">IFERROR(__xludf.DUMMYFUNCTION("""COMPUTED_VALUE"""),"15YOM fired multiple shots during football jamboree")</f>
        <v>15YOM fired multiple shots during football jamboree</v>
      </c>
      <c r="Z1608" s="12" t="str">
        <f ca="1">IFERROR(__xludf.DUMMYFUNCTION("""COMPUTED_VALUE"""),"15YOM fired multiple shots during football jamboree. No injuries. Police saw the suspect running from the area with a handgun and recovered the gun in the parking lot. Multiple other fights occurred during the event. Police plan to have metal detectors fo"&amp;"r future events. Police officials said 100 officers could be assigned to the event and it would not stop these incidents.")</f>
        <v>15YOM fired multiple shots during football jamboree. No injuries. Police saw the suspect running from the area with a handgun and recovered the gun in the parking lot. Multiple other fights occurred during the event. Police plan to have metal detectors for future events. Police officials said 100 officers could be assigned to the event and it would not stop these incidents.</v>
      </c>
      <c r="AA1608" s="8" t="str">
        <f ca="1">IFERROR(__xludf.DUMMYFUNCTION("""COMPUTED_VALUE"""),"Escalation of Dispute")</f>
        <v>Escalation of Dispute</v>
      </c>
      <c r="AB1608" s="8"/>
      <c r="AC1608" s="8" t="str">
        <f ca="1">IFERROR(__xludf.DUMMYFUNCTION("""COMPUTED_VALUE"""),"Yes")</f>
        <v>Yes</v>
      </c>
      <c r="AD1608" s="8"/>
      <c r="AE1608" s="8" t="str">
        <f ca="1">IFERROR(__xludf.DUMMYFUNCTION("""COMPUTED_VALUE"""),"Yes")</f>
        <v>Yes</v>
      </c>
      <c r="AF1608" s="8" t="str">
        <f ca="1">IFERROR(__xludf.DUMMYFUNCTION("""COMPUTED_VALUE"""),"3 arrested")</f>
        <v>3 arrested</v>
      </c>
      <c r="AG1608" s="8" t="str">
        <f ca="1">IFERROR(__xludf.DUMMYFUNCTION("""COMPUTED_VALUE"""),"No")</f>
        <v>No</v>
      </c>
      <c r="AH1608" s="8" t="str">
        <f ca="1">IFERROR(__xludf.DUMMYFUNCTION("""COMPUTED_VALUE"""),"No")</f>
        <v>No</v>
      </c>
      <c r="AI1608" s="8" t="str">
        <f ca="1">IFERROR(__xludf.DUMMYFUNCTION("""COMPUTED_VALUE"""),"No")</f>
        <v>No</v>
      </c>
      <c r="AJ1608" s="8" t="str">
        <f ca="1">IFERROR(__xludf.DUMMYFUNCTION("""COMPUTED_VALUE"""),"No")</f>
        <v>No</v>
      </c>
      <c r="AK1608" s="8" t="str">
        <f ca="1">IFERROR(__xludf.DUMMYFUNCTION("""COMPUTED_VALUE"""),"No")</f>
        <v>No</v>
      </c>
      <c r="AL1608" s="8"/>
      <c r="AM1608" s="8" t="str">
        <f ca="1">IFERROR(__xludf.DUMMYFUNCTION("""COMPUTED_VALUE"""),"No")</f>
        <v>No</v>
      </c>
      <c r="AN1608" s="8"/>
      <c r="AO1608" s="8" t="str">
        <f ca="1">IFERROR(__xludf.DUMMYFUNCTION("""COMPUTED_VALUE"""),"No")</f>
        <v>No</v>
      </c>
      <c r="AP1608" s="8" t="str">
        <f ca="1">IFERROR(__xludf.DUMMYFUNCTION("""COMPUTED_VALUE"""),"Yes")</f>
        <v>Yes</v>
      </c>
      <c r="AQ1608" s="8" t="str">
        <f ca="1">IFERROR(__xludf.DUMMYFUNCTION("""COMPUTED_VALUE"""),"None")</f>
        <v>None</v>
      </c>
      <c r="AR1608" s="8" t="str">
        <f ca="1">IFERROR(__xludf.DUMMYFUNCTION("""COMPUTED_VALUE"""),"NA")</f>
        <v>NA</v>
      </c>
      <c r="AS1608" s="8" t="str">
        <f ca="1">IFERROR(__xludf.DUMMYFUNCTION("""COMPUTED_VALUE"""),"&lt;10")</f>
        <v>&lt;10</v>
      </c>
      <c r="AT1608" s="8"/>
      <c r="AU1608" s="8">
        <f ca="1">IFERROR(__xludf.DUMMYFUNCTION("""COMPUTED_VALUE"""),36.174465)</f>
        <v>36.174464999999998</v>
      </c>
      <c r="AV1608" s="8">
        <f ca="1">IFERROR(__xludf.DUMMYFUNCTION("""COMPUTED_VALUE"""),-86.76796)</f>
        <v>-86.767960000000002</v>
      </c>
      <c r="AW1608" s="8"/>
      <c r="AX1608" s="8">
        <f ca="1">IFERROR(__xludf.DUMMYFUNCTION("""COMPUTED_VALUE"""),37206)</f>
        <v>37206</v>
      </c>
    </row>
    <row r="1609" spans="1:50" ht="60" x14ac:dyDescent="0.2">
      <c r="A1609" s="8" t="str">
        <f ca="1">IFERROR(__xludf.DUMMYFUNCTION("""COMPUTED_VALUE"""),"20190809NJWEN")</f>
        <v>20190809NJWEN</v>
      </c>
      <c r="B1609" s="8">
        <f ca="1">IFERROR(__xludf.DUMMYFUNCTION("""COMPUTED_VALUE"""),8)</f>
        <v>8</v>
      </c>
      <c r="C1609" s="8">
        <f ca="1">IFERROR(__xludf.DUMMYFUNCTION("""COMPUTED_VALUE"""),9)</f>
        <v>9</v>
      </c>
      <c r="D1609" s="8">
        <f ca="1">IFERROR(__xludf.DUMMYFUNCTION("""COMPUTED_VALUE"""),2019)</f>
        <v>2019</v>
      </c>
      <c r="E1609" s="9">
        <f ca="1">IFERROR(__xludf.DUMMYFUNCTION("""COMPUTED_VALUE"""),43686)</f>
        <v>43686</v>
      </c>
      <c r="F1609" s="8" t="str">
        <f ca="1">IFERROR(__xludf.DUMMYFUNCTION("""COMPUTED_VALUE"""),"West Side High School")</f>
        <v>West Side High School</v>
      </c>
      <c r="G1609" s="8">
        <f ca="1">IFERROR(__xludf.DUMMYFUNCTION("""COMPUTED_VALUE"""),0)</f>
        <v>0</v>
      </c>
      <c r="H1609" s="8">
        <f ca="1">IFERROR(__xludf.DUMMYFUNCTION("""COMPUTED_VALUE"""),2)</f>
        <v>2</v>
      </c>
      <c r="I1609" s="8">
        <f ca="1">IFERROR(__xludf.DUMMYFUNCTION("""COMPUTED_VALUE"""),2)</f>
        <v>2</v>
      </c>
      <c r="J1609" s="8">
        <f ca="1">IFERROR(__xludf.DUMMYFUNCTION("""COMPUTED_VALUE"""),0)</f>
        <v>0</v>
      </c>
      <c r="K1609" s="8" t="str">
        <f ca="1">IFERROR(__xludf.DUMMYFUNCTION("""COMPUTED_VALUE"""),"https://www.nj.com/news/2019/08/16-year-old-arrested-for-shooting-2-teens-outside-newark-school-police-say.html https://www.rlsmedia.com/article/breaking-newark-nj-two-shot-outside-west-side-high-school")</f>
        <v>https://www.nj.com/news/2019/08/16-year-old-arrested-for-shooting-2-teens-outside-newark-school-police-say.html https://www.rlsmedia.com/article/breaking-newark-nj-two-shot-outside-west-side-high-school</v>
      </c>
      <c r="L1609" s="8">
        <f ca="1">IFERROR(__xludf.DUMMYFUNCTION("""COMPUTED_VALUE"""),2)</f>
        <v>2</v>
      </c>
      <c r="M1609" s="8" t="str">
        <f ca="1">IFERROR(__xludf.DUMMYFUNCTION("""COMPUTED_VALUE"""),"Local")</f>
        <v>Local</v>
      </c>
      <c r="N1609" s="8">
        <f ca="1">IFERROR(__xludf.DUMMYFUNCTION("""COMPUTED_VALUE"""),4)</f>
        <v>4</v>
      </c>
      <c r="O1609" s="8" t="str">
        <f ca="1">IFERROR(__xludf.DUMMYFUNCTION("""COMPUTED_VALUE"""),"Fall")</f>
        <v>Fall</v>
      </c>
      <c r="P1609" s="8" t="str">
        <f ca="1">IFERROR(__xludf.DUMMYFUNCTION("""COMPUTED_VALUE"""),"Newark")</f>
        <v>Newark</v>
      </c>
      <c r="Q1609" s="8" t="str">
        <f ca="1">IFERROR(__xludf.DUMMYFUNCTION("""COMPUTED_VALUE"""),"NJ")</f>
        <v>NJ</v>
      </c>
      <c r="R1609" s="8" t="str">
        <f ca="1">IFERROR(__xludf.DUMMYFUNCTION("""COMPUTED_VALUE"""),"High")</f>
        <v>High</v>
      </c>
      <c r="S1609" s="8" t="str">
        <f ca="1">IFERROR(__xludf.DUMMYFUNCTION("""COMPUTED_VALUE"""),"Front of School")</f>
        <v>Front of School</v>
      </c>
      <c r="T1609" s="8" t="str">
        <f ca="1">IFERROR(__xludf.DUMMYFUNCTION("""COMPUTED_VALUE"""),"Outside on School Property")</f>
        <v>Outside on School Property</v>
      </c>
      <c r="U1609" s="8" t="str">
        <f ca="1">IFERROR(__xludf.DUMMYFUNCTION("""COMPUTED_VALUE"""),"No")</f>
        <v>No</v>
      </c>
      <c r="V1609" s="8" t="str">
        <f ca="1">IFERROR(__xludf.DUMMYFUNCTION("""COMPUTED_VALUE"""),"Night")</f>
        <v>Night</v>
      </c>
      <c r="W1609" s="11">
        <f ca="1">IFERROR(__xludf.DUMMYFUNCTION("""COMPUTED_VALUE"""),0.890277777777777)</f>
        <v>0.89027777777777695</v>
      </c>
      <c r="X1609" s="8">
        <f ca="1">IFERROR(__xludf.DUMMYFUNCTION("""COMPUTED_VALUE"""),1)</f>
        <v>1</v>
      </c>
      <c r="Y1609" s="12" t="str">
        <f ca="1">IFERROR(__xludf.DUMMYFUNCTION("""COMPUTED_VALUE"""),"Two teens shot in front of the school")</f>
        <v>Two teens shot in front of the school</v>
      </c>
      <c r="Z1609" s="12" t="str">
        <f ca="1">IFERROR(__xludf.DUMMYFUNCTION("""COMPUTED_VALUE"""),"A 13-year-old and 18-year-old were shot in front of the school. Shooter fled the scene. 16-year-old shooter was arrested on 8/17/2019 and charged. Shooter was visiting from Connecticut and not a student at the school.")</f>
        <v>A 13-year-old and 18-year-old were shot in front of the school. Shooter fled the scene. 16-year-old shooter was arrested on 8/17/2019 and charged. Shooter was visiting from Connecticut and not a student at the school.</v>
      </c>
      <c r="AA1609" s="8"/>
      <c r="AB1609" s="8"/>
      <c r="AC1609" s="8" t="str">
        <f ca="1">IFERROR(__xludf.DUMMYFUNCTION("""COMPUTED_VALUE"""),"Yes")</f>
        <v>Yes</v>
      </c>
      <c r="AD1609" s="8"/>
      <c r="AE1609" s="8" t="str">
        <f ca="1">IFERROR(__xludf.DUMMYFUNCTION("""COMPUTED_VALUE"""),"No")</f>
        <v>No</v>
      </c>
      <c r="AF1609" s="8"/>
      <c r="AG1609" s="8" t="str">
        <f ca="1">IFERROR(__xludf.DUMMYFUNCTION("""COMPUTED_VALUE"""),"No")</f>
        <v>No</v>
      </c>
      <c r="AH1609" s="8" t="str">
        <f ca="1">IFERROR(__xludf.DUMMYFUNCTION("""COMPUTED_VALUE"""),"No")</f>
        <v>No</v>
      </c>
      <c r="AI1609" s="8" t="str">
        <f ca="1">IFERROR(__xludf.DUMMYFUNCTION("""COMPUTED_VALUE"""),"No")</f>
        <v>No</v>
      </c>
      <c r="AJ1609" s="8" t="str">
        <f ca="1">IFERROR(__xludf.DUMMYFUNCTION("""COMPUTED_VALUE"""),"No")</f>
        <v>No</v>
      </c>
      <c r="AK1609" s="8" t="str">
        <f ca="1">IFERROR(__xludf.DUMMYFUNCTION("""COMPUTED_VALUE"""),"No")</f>
        <v>No</v>
      </c>
      <c r="AL1609" s="8"/>
      <c r="AM1609" s="8" t="str">
        <f ca="1">IFERROR(__xludf.DUMMYFUNCTION("""COMPUTED_VALUE"""),"No")</f>
        <v>No</v>
      </c>
      <c r="AN1609" s="8"/>
      <c r="AO1609" s="8" t="str">
        <f ca="1">IFERROR(__xludf.DUMMYFUNCTION("""COMPUTED_VALUE"""),"No")</f>
        <v>No</v>
      </c>
      <c r="AP1609" s="8"/>
      <c r="AQ1609" s="8"/>
      <c r="AR1609" s="8" t="str">
        <f ca="1">IFERROR(__xludf.DUMMYFUNCTION("""COMPUTED_VALUE"""),"Outside/Off-Property")</f>
        <v>Outside/Off-Property</v>
      </c>
      <c r="AS1609" s="8"/>
      <c r="AT1609" s="8"/>
      <c r="AU1609" s="8">
        <f ca="1">IFERROR(__xludf.DUMMYFUNCTION("""COMPUTED_VALUE"""),40.741636)</f>
        <v>40.741636</v>
      </c>
      <c r="AV1609" s="8">
        <f ca="1">IFERROR(__xludf.DUMMYFUNCTION("""COMPUTED_VALUE"""),-74.203498)</f>
        <v>-74.203497999999996</v>
      </c>
      <c r="AW1609" s="8"/>
      <c r="AX1609" s="8">
        <f ca="1">IFERROR(__xludf.DUMMYFUNCTION("""COMPUTED_VALUE"""),7099)</f>
        <v>7099</v>
      </c>
    </row>
    <row r="1610" spans="1:50" ht="120" x14ac:dyDescent="0.2">
      <c r="A1610" s="8" t="str">
        <f ca="1">IFERROR(__xludf.DUMMYFUNCTION("""COMPUTED_VALUE"""),"20190808ALBLM")</f>
        <v>20190808ALBLM</v>
      </c>
      <c r="B1610" s="8">
        <f ca="1">IFERROR(__xludf.DUMMYFUNCTION("""COMPUTED_VALUE"""),8)</f>
        <v>8</v>
      </c>
      <c r="C1610" s="8">
        <f ca="1">IFERROR(__xludf.DUMMYFUNCTION("""COMPUTED_VALUE"""),8)</f>
        <v>8</v>
      </c>
      <c r="D1610" s="8">
        <f ca="1">IFERROR(__xludf.DUMMYFUNCTION("""COMPUTED_VALUE"""),2019)</f>
        <v>2019</v>
      </c>
      <c r="E1610" s="9">
        <f ca="1">IFERROR(__xludf.DUMMYFUNCTION("""COMPUTED_VALUE"""),43685)</f>
        <v>43685</v>
      </c>
      <c r="F1610" s="8" t="str">
        <f ca="1">IFERROR(__xludf.DUMMYFUNCTION("""COMPUTED_VALUE"""),"Blount Elementary School")</f>
        <v>Blount Elementary School</v>
      </c>
      <c r="G1610" s="8">
        <f ca="1">IFERROR(__xludf.DUMMYFUNCTION("""COMPUTED_VALUE"""),0)</f>
        <v>0</v>
      </c>
      <c r="H1610" s="8">
        <f ca="1">IFERROR(__xludf.DUMMYFUNCTION("""COMPUTED_VALUE"""),0)</f>
        <v>0</v>
      </c>
      <c r="I1610" s="8">
        <f ca="1">IFERROR(__xludf.DUMMYFUNCTION("""COMPUTED_VALUE"""),0)</f>
        <v>0</v>
      </c>
      <c r="J1610" s="8">
        <f ca="1">IFERROR(__xludf.DUMMYFUNCTION("""COMPUTED_VALUE"""),0)</f>
        <v>0</v>
      </c>
      <c r="K1610" s="8" t="str">
        <f ca="1">IFERROR(__xludf.DUMMYFUNCTION("""COMPUTED_VALUE"""),"https://www.usnews.com/news/us/articles/2019-08-08/police-2-men-arrested-after-road-rage-shooting-at-school https://www.alabamanews.net/2019/08/08/two-men-in-custody-after-shooting-in-elementary-school-parking-lot/ https://www.wsfa.com/2019/08/26/montgome"&amp;"ry-school-shooting-suspect-charged-with-escape/")</f>
        <v>https://www.usnews.com/news/us/articles/2019-08-08/police-2-men-arrested-after-road-rage-shooting-at-school https://www.alabamanews.net/2019/08/08/two-men-in-custody-after-shooting-in-elementary-school-parking-lot/ https://www.wsfa.com/2019/08/26/montgomery-school-shooting-suspect-charged-with-escape/</v>
      </c>
      <c r="L1610" s="8"/>
      <c r="M1610" s="8"/>
      <c r="N1610" s="8">
        <f ca="1">IFERROR(__xludf.DUMMYFUNCTION("""COMPUTED_VALUE"""),4)</f>
        <v>4</v>
      </c>
      <c r="O1610" s="8" t="str">
        <f ca="1">IFERROR(__xludf.DUMMYFUNCTION("""COMPUTED_VALUE"""),"Summer")</f>
        <v>Summer</v>
      </c>
      <c r="P1610" s="8" t="str">
        <f ca="1">IFERROR(__xludf.DUMMYFUNCTION("""COMPUTED_VALUE"""),"Montgomery")</f>
        <v>Montgomery</v>
      </c>
      <c r="Q1610" s="8" t="str">
        <f ca="1">IFERROR(__xludf.DUMMYFUNCTION("""COMPUTED_VALUE"""),"AL")</f>
        <v>AL</v>
      </c>
      <c r="R1610" s="8" t="str">
        <f ca="1">IFERROR(__xludf.DUMMYFUNCTION("""COMPUTED_VALUE"""),"Elementary")</f>
        <v>Elementary</v>
      </c>
      <c r="S1610" s="8" t="str">
        <f ca="1">IFERROR(__xludf.DUMMYFUNCTION("""COMPUTED_VALUE"""),"Parking Lot")</f>
        <v>Parking Lot</v>
      </c>
      <c r="T1610" s="8" t="str">
        <f ca="1">IFERROR(__xludf.DUMMYFUNCTION("""COMPUTED_VALUE"""),"Outside on School Property")</f>
        <v>Outside on School Property</v>
      </c>
      <c r="U1610" s="8" t="str">
        <f ca="1">IFERROR(__xludf.DUMMYFUNCTION("""COMPUTED_VALUE"""),"Yes")</f>
        <v>Yes</v>
      </c>
      <c r="V1610" s="8" t="str">
        <f ca="1">IFERROR(__xludf.DUMMYFUNCTION("""COMPUTED_VALUE"""),"School Start")</f>
        <v>School Start</v>
      </c>
      <c r="W1610" s="11">
        <f ca="1">IFERROR(__xludf.DUMMYFUNCTION("""COMPUTED_VALUE"""),0.3125)</f>
        <v>0.3125</v>
      </c>
      <c r="X1610" s="8">
        <f ca="1">IFERROR(__xludf.DUMMYFUNCTION("""COMPUTED_VALUE"""),1)</f>
        <v>1</v>
      </c>
      <c r="Y1610" s="12" t="str">
        <f ca="1">IFERROR(__xludf.DUMMYFUNCTION("""COMPUTED_VALUE"""),"Adult male fired shots in school parking lot during road rage incident")</f>
        <v>Adult male fired shots in school parking lot during road rage incident</v>
      </c>
      <c r="Z1610" s="12" t="str">
        <f ca="1">IFERROR(__xludf.DUMMYFUNCTION("""COMPUTED_VALUE"""),"38YOM fired shot at another adult male in a vehicle in the school parking lot during a dispute police described as a ""road rage"" incident. Shooter entered the school and surrendered the weapon to school staff members then waited for police to arrive. Sc"&amp;"hool was locked down. Court ordered shooter to attend mental health treatment following incident. Shooter held without bond after trying to escape from the mental health facility.")</f>
        <v>38YOM fired shot at another adult male in a vehicle in the school parking lot during a dispute police described as a "road rage" incident. Shooter entered the school and surrendered the weapon to school staff members then waited for police to arrive. School was locked down. Court ordered shooter to attend mental health treatment following incident. Shooter held without bond after trying to escape from the mental health facility.</v>
      </c>
      <c r="AA1610" s="8" t="str">
        <f ca="1">IFERROR(__xludf.DUMMYFUNCTION("""COMPUTED_VALUE"""),"Escalation of Dispute")</f>
        <v>Escalation of Dispute</v>
      </c>
      <c r="AB1610" s="8"/>
      <c r="AC1610" s="8" t="str">
        <f ca="1">IFERROR(__xludf.DUMMYFUNCTION("""COMPUTED_VALUE"""),"Yes")</f>
        <v>Yes</v>
      </c>
      <c r="AD1610" s="8" t="str">
        <f ca="1">IFERROR(__xludf.DUMMYFUNCTION("""COMPUTED_VALUE"""),"Victims Targeted")</f>
        <v>Victims Targeted</v>
      </c>
      <c r="AE1610" s="8" t="str">
        <f ca="1">IFERROR(__xludf.DUMMYFUNCTION("""COMPUTED_VALUE"""),"No")</f>
        <v>No</v>
      </c>
      <c r="AF1610" s="8"/>
      <c r="AG1610" s="8" t="str">
        <f ca="1">IFERROR(__xludf.DUMMYFUNCTION("""COMPUTED_VALUE"""),"No")</f>
        <v>No</v>
      </c>
      <c r="AH1610" s="8" t="str">
        <f ca="1">IFERROR(__xludf.DUMMYFUNCTION("""COMPUTED_VALUE"""),"No")</f>
        <v>No</v>
      </c>
      <c r="AI1610" s="8" t="str">
        <f ca="1">IFERROR(__xludf.DUMMYFUNCTION("""COMPUTED_VALUE"""),"No")</f>
        <v>No</v>
      </c>
      <c r="AJ1610" s="8" t="str">
        <f ca="1">IFERROR(__xludf.DUMMYFUNCTION("""COMPUTED_VALUE"""),"No")</f>
        <v>No</v>
      </c>
      <c r="AK1610" s="8" t="str">
        <f ca="1">IFERROR(__xludf.DUMMYFUNCTION("""COMPUTED_VALUE"""),"No")</f>
        <v>No</v>
      </c>
      <c r="AL1610" s="8" t="str">
        <f ca="1">IFERROR(__xludf.DUMMYFUNCTION("""COMPUTED_VALUE"""),"No")</f>
        <v>No</v>
      </c>
      <c r="AM1610" s="8" t="str">
        <f ca="1">IFERROR(__xludf.DUMMYFUNCTION("""COMPUTED_VALUE"""),"No")</f>
        <v>No</v>
      </c>
      <c r="AN1610" s="8"/>
      <c r="AO1610" s="8" t="str">
        <f ca="1">IFERROR(__xludf.DUMMYFUNCTION("""COMPUTED_VALUE"""),"No")</f>
        <v>No</v>
      </c>
      <c r="AP1610" s="8" t="str">
        <f ca="1">IFERROR(__xludf.DUMMYFUNCTION("""COMPUTED_VALUE"""),"No")</f>
        <v>No</v>
      </c>
      <c r="AQ1610" s="8" t="str">
        <f ca="1">IFERROR(__xludf.DUMMYFUNCTION("""COMPUTED_VALUE"""),"None")</f>
        <v>None</v>
      </c>
      <c r="AR1610" s="8" t="str">
        <f ca="1">IFERROR(__xludf.DUMMYFUNCTION("""COMPUTED_VALUE"""),"NA")</f>
        <v>NA</v>
      </c>
      <c r="AS1610" s="8" t="str">
        <f ca="1">IFERROR(__xludf.DUMMYFUNCTION("""COMPUTED_VALUE"""),"&lt;10")</f>
        <v>&lt;10</v>
      </c>
      <c r="AT1610" s="8" t="str">
        <f ca="1">IFERROR(__xludf.DUMMYFUNCTION("""COMPUTED_VALUE"""),"Yes")</f>
        <v>Yes</v>
      </c>
      <c r="AU1610" s="8">
        <f ca="1">IFERROR(__xludf.DUMMYFUNCTION("""COMPUTED_VALUE"""),32.310499)</f>
        <v>32.310499</v>
      </c>
      <c r="AV1610" s="8">
        <f ca="1">IFERROR(__xludf.DUMMYFUNCTION("""COMPUTED_VALUE"""),-86.131981)</f>
        <v>-86.131980999999996</v>
      </c>
      <c r="AW1610" s="8"/>
      <c r="AX1610" s="8">
        <f ca="1">IFERROR(__xludf.DUMMYFUNCTION("""COMPUTED_VALUE"""),36117)</f>
        <v>36117</v>
      </c>
    </row>
    <row r="1611" spans="1:50" ht="60" x14ac:dyDescent="0.2">
      <c r="A1611" s="8" t="str">
        <f ca="1">IFERROR(__xludf.DUMMYFUNCTION("""COMPUTED_VALUE"""),"20190719CAMOS")</f>
        <v>20190719CAMOS</v>
      </c>
      <c r="B1611" s="8">
        <f ca="1">IFERROR(__xludf.DUMMYFUNCTION("""COMPUTED_VALUE"""),7)</f>
        <v>7</v>
      </c>
      <c r="C1611" s="8">
        <f ca="1">IFERROR(__xludf.DUMMYFUNCTION("""COMPUTED_VALUE"""),19)</f>
        <v>19</v>
      </c>
      <c r="D1611" s="8">
        <f ca="1">IFERROR(__xludf.DUMMYFUNCTION("""COMPUTED_VALUE"""),2019)</f>
        <v>2019</v>
      </c>
      <c r="E1611" s="9">
        <f ca="1">IFERROR(__xludf.DUMMYFUNCTION("""COMPUTED_VALUE"""),43665)</f>
        <v>43665</v>
      </c>
      <c r="F1611" s="8" t="str">
        <f ca="1">IFERROR(__xludf.DUMMYFUNCTION("""COMPUTED_VALUE"""),"Monroe Clark Middle School")</f>
        <v>Monroe Clark Middle School</v>
      </c>
      <c r="G1611" s="8">
        <f ca="1">IFERROR(__xludf.DUMMYFUNCTION("""COMPUTED_VALUE"""),0)</f>
        <v>0</v>
      </c>
      <c r="H1611" s="8">
        <f ca="1">IFERROR(__xludf.DUMMYFUNCTION("""COMPUTED_VALUE"""),0)</f>
        <v>0</v>
      </c>
      <c r="I1611" s="8">
        <f ca="1">IFERROR(__xludf.DUMMYFUNCTION("""COMPUTED_VALUE"""),0)</f>
        <v>0</v>
      </c>
      <c r="J1611" s="8">
        <f ca="1">IFERROR(__xludf.DUMMYFUNCTION("""COMPUTED_VALUE"""),0)</f>
        <v>0</v>
      </c>
      <c r="K1611" s="10" t="str">
        <f ca="1">IFERROR(__xludf.DUMMYFUNCTION("""COMPUTED_VALUE"""),"https://fox5sandiego.com/2019/07/19/mid-city-school-locks-down-over-bb-gun-shooting/")</f>
        <v>https://fox5sandiego.com/2019/07/19/mid-city-school-locks-down-over-bb-gun-shooting/</v>
      </c>
      <c r="L1611" s="8"/>
      <c r="M1611" s="8"/>
      <c r="N1611" s="8">
        <f ca="1">IFERROR(__xludf.DUMMYFUNCTION("""COMPUTED_VALUE"""),3)</f>
        <v>3</v>
      </c>
      <c r="O1611" s="8" t="str">
        <f ca="1">IFERROR(__xludf.DUMMYFUNCTION("""COMPUTED_VALUE"""),"Summer")</f>
        <v>Summer</v>
      </c>
      <c r="P1611" s="8" t="str">
        <f ca="1">IFERROR(__xludf.DUMMYFUNCTION("""COMPUTED_VALUE"""),"San Diego")</f>
        <v>San Diego</v>
      </c>
      <c r="Q1611" s="8" t="str">
        <f ca="1">IFERROR(__xludf.DUMMYFUNCTION("""COMPUTED_VALUE"""),"CA")</f>
        <v>CA</v>
      </c>
      <c r="R1611" s="8" t="str">
        <f ca="1">IFERROR(__xludf.DUMMYFUNCTION("""COMPUTED_VALUE"""),"Middle")</f>
        <v>Middle</v>
      </c>
      <c r="S1611" s="8" t="str">
        <f ca="1">IFERROR(__xludf.DUMMYFUNCTION("""COMPUTED_VALUE"""),"Front of School")</f>
        <v>Front of School</v>
      </c>
      <c r="T1611" s="8" t="str">
        <f ca="1">IFERROR(__xludf.DUMMYFUNCTION("""COMPUTED_VALUE"""),"Outside on School Property")</f>
        <v>Outside on School Property</v>
      </c>
      <c r="U1611" s="8" t="str">
        <f ca="1">IFERROR(__xludf.DUMMYFUNCTION("""COMPUTED_VALUE"""),"Yes")</f>
        <v>Yes</v>
      </c>
      <c r="V1611" s="8" t="str">
        <f ca="1">IFERROR(__xludf.DUMMYFUNCTION("""COMPUTED_VALUE"""),"Morning Classes")</f>
        <v>Morning Classes</v>
      </c>
      <c r="W1611" s="11">
        <f ca="1">IFERROR(__xludf.DUMMYFUNCTION("""COMPUTED_VALUE"""),0.496527777777777)</f>
        <v>0.49652777777777701</v>
      </c>
      <c r="X1611" s="8">
        <f ca="1">IFERROR(__xludf.DUMMYFUNCTION("""COMPUTED_VALUE"""),1)</f>
        <v>1</v>
      </c>
      <c r="Y1611" s="12" t="str">
        <f ca="1">IFERROR(__xludf.DUMMYFUNCTION("""COMPUTED_VALUE"""),"Teen fired BB's at school building then fled")</f>
        <v>Teen fired BB's at school building then fled</v>
      </c>
      <c r="Z1611" s="12" t="str">
        <f ca="1">IFERROR(__xludf.DUMMYFUNCTION("""COMPUTED_VALUE"""),"Teen in sweatshirt was seen firing BB's at the school building. School was locked down. Teen fled the area and police were unable to locate a suspect. School was locked down for 1 hour.")</f>
        <v>Teen in sweatshirt was seen firing BB's at the school building. School was locked down. Teen fled the area and police were unable to locate a suspect. School was locked down for 1 hour.</v>
      </c>
      <c r="AA1611" s="8" t="str">
        <f ca="1">IFERROR(__xludf.DUMMYFUNCTION("""COMPUTED_VALUE"""),"Intentional Property Damage")</f>
        <v>Intentional Property Damage</v>
      </c>
      <c r="AB1611" s="8"/>
      <c r="AC1611" s="8" t="str">
        <f ca="1">IFERROR(__xludf.DUMMYFUNCTION("""COMPUTED_VALUE"""),"Yes")</f>
        <v>Yes</v>
      </c>
      <c r="AD1611" s="8" t="str">
        <f ca="1">IFERROR(__xludf.DUMMYFUNCTION("""COMPUTED_VALUE"""),"Neither")</f>
        <v>Neither</v>
      </c>
      <c r="AE1611" s="8" t="str">
        <f ca="1">IFERROR(__xludf.DUMMYFUNCTION("""COMPUTED_VALUE"""),"No")</f>
        <v>No</v>
      </c>
      <c r="AF1611" s="8"/>
      <c r="AG1611" s="8" t="str">
        <f ca="1">IFERROR(__xludf.DUMMYFUNCTION("""COMPUTED_VALUE"""),"No")</f>
        <v>No</v>
      </c>
      <c r="AH1611" s="8" t="str">
        <f ca="1">IFERROR(__xludf.DUMMYFUNCTION("""COMPUTED_VALUE"""),"No")</f>
        <v>No</v>
      </c>
      <c r="AI1611" s="8" t="str">
        <f ca="1">IFERROR(__xludf.DUMMYFUNCTION("""COMPUTED_VALUE"""),"No")</f>
        <v>No</v>
      </c>
      <c r="AJ1611" s="8" t="str">
        <f ca="1">IFERROR(__xludf.DUMMYFUNCTION("""COMPUTED_VALUE"""),"No")</f>
        <v>No</v>
      </c>
      <c r="AK1611" s="8" t="str">
        <f ca="1">IFERROR(__xludf.DUMMYFUNCTION("""COMPUTED_VALUE"""),"No")</f>
        <v>No</v>
      </c>
      <c r="AL1611" s="8" t="str">
        <f ca="1">IFERROR(__xludf.DUMMYFUNCTION("""COMPUTED_VALUE"""),"No")</f>
        <v>No</v>
      </c>
      <c r="AM1611" s="8" t="str">
        <f ca="1">IFERROR(__xludf.DUMMYFUNCTION("""COMPUTED_VALUE"""),"No")</f>
        <v>No</v>
      </c>
      <c r="AN1611" s="8"/>
      <c r="AO1611" s="8" t="str">
        <f ca="1">IFERROR(__xludf.DUMMYFUNCTION("""COMPUTED_VALUE"""),"No")</f>
        <v>No</v>
      </c>
      <c r="AP1611" s="8" t="str">
        <f ca="1">IFERROR(__xludf.DUMMYFUNCTION("""COMPUTED_VALUE"""),"No")</f>
        <v>No</v>
      </c>
      <c r="AQ1611" s="8" t="str">
        <f ca="1">IFERROR(__xludf.DUMMYFUNCTION("""COMPUTED_VALUE"""),"Unknown")</f>
        <v>Unknown</v>
      </c>
      <c r="AR1611" s="8" t="str">
        <f ca="1">IFERROR(__xludf.DUMMYFUNCTION("""COMPUTED_VALUE"""),"NA")</f>
        <v>NA</v>
      </c>
      <c r="AS1611" s="8"/>
      <c r="AT1611" s="8" t="str">
        <f ca="1">IFERROR(__xludf.DUMMYFUNCTION("""COMPUTED_VALUE"""),"Yes")</f>
        <v>Yes</v>
      </c>
      <c r="AU1611" s="8">
        <f ca="1">IFERROR(__xludf.DUMMYFUNCTION("""COMPUTED_VALUE"""),32.741106)</f>
        <v>32.741106000000002</v>
      </c>
      <c r="AV1611" s="8">
        <f ca="1">IFERROR(__xludf.DUMMYFUNCTION("""COMPUTED_VALUE"""),-117.100661)</f>
        <v>-117.100661</v>
      </c>
      <c r="AW1611" s="8"/>
      <c r="AX1611" s="8">
        <f ca="1">IFERROR(__xludf.DUMMYFUNCTION("""COMPUTED_VALUE"""),92105)</f>
        <v>92105</v>
      </c>
    </row>
    <row r="1612" spans="1:50" ht="75" x14ac:dyDescent="0.2">
      <c r="A1612" s="8" t="str">
        <f ca="1">IFERROR(__xludf.DUMMYFUNCTION("""COMPUTED_VALUE"""),"20190711CTBUH")</f>
        <v>20190711CTBUH</v>
      </c>
      <c r="B1612" s="8">
        <f ca="1">IFERROR(__xludf.DUMMYFUNCTION("""COMPUTED_VALUE"""),7)</f>
        <v>7</v>
      </c>
      <c r="C1612" s="8">
        <f ca="1">IFERROR(__xludf.DUMMYFUNCTION("""COMPUTED_VALUE"""),11)</f>
        <v>11</v>
      </c>
      <c r="D1612" s="8">
        <f ca="1">IFERROR(__xludf.DUMMYFUNCTION("""COMPUTED_VALUE"""),2019)</f>
        <v>2019</v>
      </c>
      <c r="E1612" s="9">
        <f ca="1">IFERROR(__xludf.DUMMYFUNCTION("""COMPUTED_VALUE"""),43657)</f>
        <v>43657</v>
      </c>
      <c r="F1612" s="8" t="str">
        <f ca="1">IFERROR(__xludf.DUMMYFUNCTION("""COMPUTED_VALUE"""),"Bulkeley High School")</f>
        <v>Bulkeley High School</v>
      </c>
      <c r="G1612" s="8">
        <f ca="1">IFERROR(__xludf.DUMMYFUNCTION("""COMPUTED_VALUE"""),1)</f>
        <v>1</v>
      </c>
      <c r="H1612" s="8">
        <f ca="1">IFERROR(__xludf.DUMMYFUNCTION("""COMPUTED_VALUE"""),0)</f>
        <v>0</v>
      </c>
      <c r="I1612" s="8">
        <f ca="1">IFERROR(__xludf.DUMMYFUNCTION("""COMPUTED_VALUE"""),1)</f>
        <v>1</v>
      </c>
      <c r="J1612" s="8">
        <f ca="1">IFERROR(__xludf.DUMMYFUNCTION("""COMPUTED_VALUE"""),0)</f>
        <v>0</v>
      </c>
      <c r="K1612" s="10" t="str">
        <f ca="1">IFERROR(__xludf.DUMMYFUNCTION("""COMPUTED_VALUE"""),"https://whdh.com/news/2-charged-in-fatal-shooting-of-man-found-behind-high-school/")</f>
        <v>https://whdh.com/news/2-charged-in-fatal-shooting-of-man-found-behind-high-school/</v>
      </c>
      <c r="L1612" s="8">
        <f ca="1">IFERROR(__xludf.DUMMYFUNCTION("""COMPUTED_VALUE"""),1)</f>
        <v>1</v>
      </c>
      <c r="M1612" s="8" t="str">
        <f ca="1">IFERROR(__xludf.DUMMYFUNCTION("""COMPUTED_VALUE"""),"Local")</f>
        <v>Local</v>
      </c>
      <c r="N1612" s="8">
        <f ca="1">IFERROR(__xludf.DUMMYFUNCTION("""COMPUTED_VALUE"""),3)</f>
        <v>3</v>
      </c>
      <c r="O1612" s="8" t="str">
        <f ca="1">IFERROR(__xludf.DUMMYFUNCTION("""COMPUTED_VALUE"""),"Summer")</f>
        <v>Summer</v>
      </c>
      <c r="P1612" s="8" t="str">
        <f ca="1">IFERROR(__xludf.DUMMYFUNCTION("""COMPUTED_VALUE"""),"Hartford")</f>
        <v>Hartford</v>
      </c>
      <c r="Q1612" s="8" t="str">
        <f ca="1">IFERROR(__xludf.DUMMYFUNCTION("""COMPUTED_VALUE"""),"CT")</f>
        <v>CT</v>
      </c>
      <c r="R1612" s="8" t="str">
        <f ca="1">IFERROR(__xludf.DUMMYFUNCTION("""COMPUTED_VALUE"""),"High")</f>
        <v>High</v>
      </c>
      <c r="S1612" s="8" t="str">
        <f ca="1">IFERROR(__xludf.DUMMYFUNCTION("""COMPUTED_VALUE"""),"Beside Building")</f>
        <v>Beside Building</v>
      </c>
      <c r="T1612" s="8" t="str">
        <f ca="1">IFERROR(__xludf.DUMMYFUNCTION("""COMPUTED_VALUE"""),"Outside on School Property")</f>
        <v>Outside on School Property</v>
      </c>
      <c r="U1612" s="8" t="str">
        <f ca="1">IFERROR(__xludf.DUMMYFUNCTION("""COMPUTED_VALUE"""),"No")</f>
        <v>No</v>
      </c>
      <c r="V1612" s="8" t="str">
        <f ca="1">IFERROR(__xludf.DUMMYFUNCTION("""COMPUTED_VALUE"""),"Not a School Day")</f>
        <v>Not a School Day</v>
      </c>
      <c r="W1612" s="11">
        <f ca="1">IFERROR(__xludf.DUMMYFUNCTION("""COMPUTED_VALUE"""),0.5)</f>
        <v>0.5</v>
      </c>
      <c r="X1612" s="8">
        <f ca="1">IFERROR(__xludf.DUMMYFUNCTION("""COMPUTED_VALUE"""),1)</f>
        <v>1</v>
      </c>
      <c r="Y1612" s="12" t="str">
        <f ca="1">IFERROR(__xludf.DUMMYFUNCTION("""COMPUTED_VALUE"""),"Two women in car chased victim onto school property then shot and killed him")</f>
        <v>Two women in car chased victim onto school property then shot and killed him</v>
      </c>
      <c r="Z1612" s="12" t="str">
        <f ca="1">IFERROR(__xludf.DUMMYFUNCTION("""COMPUTED_VALUE"""),"Two adult females in vehicle chased victim on bicycle onto school property where they shot and killed him. Motive not released.")</f>
        <v>Two adult females in vehicle chased victim on bicycle onto school property where they shot and killed him. Motive not released.</v>
      </c>
      <c r="AA1612" s="8" t="str">
        <f ca="1">IFERROR(__xludf.DUMMYFUNCTION("""COMPUTED_VALUE"""),"Drive-by Shooting")</f>
        <v>Drive-by Shooting</v>
      </c>
      <c r="AB1612" s="8"/>
      <c r="AC1612" s="8" t="str">
        <f ca="1">IFERROR(__xludf.DUMMYFUNCTION("""COMPUTED_VALUE"""),"No")</f>
        <v>No</v>
      </c>
      <c r="AD1612" s="8" t="str">
        <f ca="1">IFERROR(__xludf.DUMMYFUNCTION("""COMPUTED_VALUE"""),"Victims Targeted")</f>
        <v>Victims Targeted</v>
      </c>
      <c r="AE1612" s="8" t="str">
        <f ca="1">IFERROR(__xludf.DUMMYFUNCTION("""COMPUTED_VALUE"""),"Yes")</f>
        <v>Yes</v>
      </c>
      <c r="AF1612" s="8" t="str">
        <f ca="1">IFERROR(__xludf.DUMMYFUNCTION("""COMPUTED_VALUE"""),"Taichany Osorio drove vehicle, charged with conspiracy to commit murder")</f>
        <v>Taichany Osorio drove vehicle, charged with conspiracy to commit murder</v>
      </c>
      <c r="AG1612" s="8" t="str">
        <f ca="1">IFERROR(__xludf.DUMMYFUNCTION("""COMPUTED_VALUE"""),"No")</f>
        <v>No</v>
      </c>
      <c r="AH1612" s="8" t="str">
        <f ca="1">IFERROR(__xludf.DUMMYFUNCTION("""COMPUTED_VALUE"""),"No")</f>
        <v>No</v>
      </c>
      <c r="AI1612" s="8" t="str">
        <f ca="1">IFERROR(__xludf.DUMMYFUNCTION("""COMPUTED_VALUE"""),"No")</f>
        <v>No</v>
      </c>
      <c r="AJ1612" s="8" t="str">
        <f ca="1">IFERROR(__xludf.DUMMYFUNCTION("""COMPUTED_VALUE"""),"No")</f>
        <v>No</v>
      </c>
      <c r="AK1612" s="8" t="str">
        <f ca="1">IFERROR(__xludf.DUMMYFUNCTION("""COMPUTED_VALUE"""),"No")</f>
        <v>No</v>
      </c>
      <c r="AL1612" s="8"/>
      <c r="AM1612" s="8" t="str">
        <f ca="1">IFERROR(__xludf.DUMMYFUNCTION("""COMPUTED_VALUE"""),"No")</f>
        <v>No</v>
      </c>
      <c r="AN1612" s="8"/>
      <c r="AO1612" s="8" t="str">
        <f ca="1">IFERROR(__xludf.DUMMYFUNCTION("""COMPUTED_VALUE"""),"No")</f>
        <v>No</v>
      </c>
      <c r="AP1612" s="8"/>
      <c r="AQ1612" s="8" t="str">
        <f ca="1">IFERROR(__xludf.DUMMYFUNCTION("""COMPUTED_VALUE"""),"Unknown")</f>
        <v>Unknown</v>
      </c>
      <c r="AR1612" s="8" t="str">
        <f ca="1">IFERROR(__xludf.DUMMYFUNCTION("""COMPUTED_VALUE"""),"NA")</f>
        <v>NA</v>
      </c>
      <c r="AS1612" s="8"/>
      <c r="AT1612" s="8"/>
      <c r="AU1612" s="8">
        <f ca="1">IFERROR(__xludf.DUMMYFUNCTION("""COMPUTED_VALUE"""),41.747542)</f>
        <v>41.747542000000003</v>
      </c>
      <c r="AV1612" s="8">
        <f ca="1">IFERROR(__xludf.DUMMYFUNCTION("""COMPUTED_VALUE"""),-72.672594)</f>
        <v>-72.672594000000004</v>
      </c>
      <c r="AW1612" s="8"/>
      <c r="AX1612" s="8">
        <f ca="1">IFERROR(__xludf.DUMMYFUNCTION("""COMPUTED_VALUE"""),6114)</f>
        <v>6114</v>
      </c>
    </row>
    <row r="1613" spans="1:50" ht="45" x14ac:dyDescent="0.2">
      <c r="A1613" s="8" t="str">
        <f ca="1">IFERROR(__xludf.DUMMYFUNCTION("""COMPUTED_VALUE"""),"20190702AKWIA")</f>
        <v>20190702AKWIA</v>
      </c>
      <c r="B1613" s="8">
        <f ca="1">IFERROR(__xludf.DUMMYFUNCTION("""COMPUTED_VALUE"""),7)</f>
        <v>7</v>
      </c>
      <c r="C1613" s="8">
        <f ca="1">IFERROR(__xludf.DUMMYFUNCTION("""COMPUTED_VALUE"""),2)</f>
        <v>2</v>
      </c>
      <c r="D1613" s="8">
        <f ca="1">IFERROR(__xludf.DUMMYFUNCTION("""COMPUTED_VALUE"""),2019)</f>
        <v>2019</v>
      </c>
      <c r="E1613" s="9">
        <f ca="1">IFERROR(__xludf.DUMMYFUNCTION("""COMPUTED_VALUE"""),43648)</f>
        <v>43648</v>
      </c>
      <c r="F1613" s="8" t="str">
        <f ca="1">IFERROR(__xludf.DUMMYFUNCTION("""COMPUTED_VALUE"""),"Williwaw Elementary School")</f>
        <v>Williwaw Elementary School</v>
      </c>
      <c r="G1613" s="8">
        <f ca="1">IFERROR(__xludf.DUMMYFUNCTION("""COMPUTED_VALUE"""),0)</f>
        <v>0</v>
      </c>
      <c r="H1613" s="8">
        <f ca="1">IFERROR(__xludf.DUMMYFUNCTION("""COMPUTED_VALUE"""),1)</f>
        <v>1</v>
      </c>
      <c r="I1613" s="8">
        <f ca="1">IFERROR(__xludf.DUMMYFUNCTION("""COMPUTED_VALUE"""),1)</f>
        <v>1</v>
      </c>
      <c r="J1613" s="8">
        <f ca="1">IFERROR(__xludf.DUMMYFUNCTION("""COMPUTED_VALUE"""),0)</f>
        <v>0</v>
      </c>
      <c r="K1613" s="8" t="str">
        <f ca="1">IFERROR(__xludf.DUMMYFUNCTION("""COMPUTED_VALUE"""),"https://www.citynews1130.com/2019/07/03/teen-shot-wounded-at-anchorage-school-basketball-court/ https://www.ktuu.com/content/news/Teenager-shot-at-Williwaw-Elementary-has-life-threatening-injuries-512155392.html https://www.ktva.com/story/41203500/2-men-i"&amp;"ndicted-on-federal-charges-for-shooting-guns-on-school-grounds")</f>
        <v>https://www.citynews1130.com/2019/07/03/teen-shot-wounded-at-anchorage-school-basketball-court/ https://www.ktuu.com/content/news/Teenager-shot-at-Williwaw-Elementary-has-life-threatening-injuries-512155392.html https://www.ktva.com/story/41203500/2-men-indicted-on-federal-charges-for-shooting-guns-on-school-grounds</v>
      </c>
      <c r="L1613" s="8"/>
      <c r="M1613" s="8"/>
      <c r="N1613" s="8">
        <f ca="1">IFERROR(__xludf.DUMMYFUNCTION("""COMPUTED_VALUE"""),4)</f>
        <v>4</v>
      </c>
      <c r="O1613" s="8" t="str">
        <f ca="1">IFERROR(__xludf.DUMMYFUNCTION("""COMPUTED_VALUE"""),"Summer")</f>
        <v>Summer</v>
      </c>
      <c r="P1613" s="8" t="str">
        <f ca="1">IFERROR(__xludf.DUMMYFUNCTION("""COMPUTED_VALUE"""),"Anchorage")</f>
        <v>Anchorage</v>
      </c>
      <c r="Q1613" s="8" t="str">
        <f ca="1">IFERROR(__xludf.DUMMYFUNCTION("""COMPUTED_VALUE"""),"AK")</f>
        <v>AK</v>
      </c>
      <c r="R1613" s="8" t="str">
        <f ca="1">IFERROR(__xludf.DUMMYFUNCTION("""COMPUTED_VALUE"""),"Elementary")</f>
        <v>Elementary</v>
      </c>
      <c r="S1613" s="8" t="str">
        <f ca="1">IFERROR(__xludf.DUMMYFUNCTION("""COMPUTED_VALUE"""),"Basketball Court")</f>
        <v>Basketball Court</v>
      </c>
      <c r="T1613" s="8" t="str">
        <f ca="1">IFERROR(__xludf.DUMMYFUNCTION("""COMPUTED_VALUE"""),"Outside on School Property")</f>
        <v>Outside on School Property</v>
      </c>
      <c r="U1613" s="8" t="str">
        <f ca="1">IFERROR(__xludf.DUMMYFUNCTION("""COMPUTED_VALUE"""),"No")</f>
        <v>No</v>
      </c>
      <c r="V1613" s="8" t="str">
        <f ca="1">IFERROR(__xludf.DUMMYFUNCTION("""COMPUTED_VALUE"""),"Evening")</f>
        <v>Evening</v>
      </c>
      <c r="W1613" s="11">
        <f ca="1">IFERROR(__xludf.DUMMYFUNCTION("""COMPUTED_VALUE"""),0.782638888888888)</f>
        <v>0.782638888888888</v>
      </c>
      <c r="X1613" s="8">
        <f ca="1">IFERROR(__xludf.DUMMYFUNCTION("""COMPUTED_VALUE"""),1)</f>
        <v>1</v>
      </c>
      <c r="Y1613" s="12" t="str">
        <f ca="1">IFERROR(__xludf.DUMMYFUNCTION("""COMPUTED_VALUE"""),"Teen shot on basketball court after altercation")</f>
        <v>Teen shot on basketball court after altercation</v>
      </c>
      <c r="Z1613" s="12" t="str">
        <f ca="1">IFERROR(__xludf.DUMMYFUNCTION("""COMPUTED_VALUE"""),"Unnamed teen was shot on basketball court of school after a dispute involving multiple people. Shooter fled the scene.")</f>
        <v>Unnamed teen was shot on basketball court of school after a dispute involving multiple people. Shooter fled the scene.</v>
      </c>
      <c r="AA1613" s="8" t="str">
        <f ca="1">IFERROR(__xludf.DUMMYFUNCTION("""COMPUTED_VALUE"""),"Escalation of Dispute")</f>
        <v>Escalation of Dispute</v>
      </c>
      <c r="AB1613" s="8"/>
      <c r="AC1613" s="8" t="str">
        <f ca="1">IFERROR(__xludf.DUMMYFUNCTION("""COMPUTED_VALUE"""),"No")</f>
        <v>No</v>
      </c>
      <c r="AD1613" s="8"/>
      <c r="AE1613" s="8"/>
      <c r="AF1613" s="8"/>
      <c r="AG1613" s="8" t="str">
        <f ca="1">IFERROR(__xludf.DUMMYFUNCTION("""COMPUTED_VALUE"""),"No")</f>
        <v>No</v>
      </c>
      <c r="AH1613" s="8" t="str">
        <f ca="1">IFERROR(__xludf.DUMMYFUNCTION("""COMPUTED_VALUE"""),"No")</f>
        <v>No</v>
      </c>
      <c r="AI1613" s="8" t="str">
        <f ca="1">IFERROR(__xludf.DUMMYFUNCTION("""COMPUTED_VALUE"""),"No")</f>
        <v>No</v>
      </c>
      <c r="AJ1613" s="8" t="str">
        <f ca="1">IFERROR(__xludf.DUMMYFUNCTION("""COMPUTED_VALUE"""),"No")</f>
        <v>No</v>
      </c>
      <c r="AK1613" s="8" t="str">
        <f ca="1">IFERROR(__xludf.DUMMYFUNCTION("""COMPUTED_VALUE"""),"No")</f>
        <v>No</v>
      </c>
      <c r="AL1613" s="8" t="str">
        <f ca="1">IFERROR(__xludf.DUMMYFUNCTION("""COMPUTED_VALUE"""),"No")</f>
        <v>No</v>
      </c>
      <c r="AM1613" s="8" t="str">
        <f ca="1">IFERROR(__xludf.DUMMYFUNCTION("""COMPUTED_VALUE"""),"No")</f>
        <v>No</v>
      </c>
      <c r="AN1613" s="8"/>
      <c r="AO1613" s="8" t="str">
        <f ca="1">IFERROR(__xludf.DUMMYFUNCTION("""COMPUTED_VALUE"""),"No")</f>
        <v>No</v>
      </c>
      <c r="AP1613" s="8"/>
      <c r="AQ1613" s="8" t="str">
        <f ca="1">IFERROR(__xludf.DUMMYFUNCTION("""COMPUTED_VALUE"""),"Unknown")</f>
        <v>Unknown</v>
      </c>
      <c r="AR1613" s="8" t="str">
        <f ca="1">IFERROR(__xludf.DUMMYFUNCTION("""COMPUTED_VALUE"""),"NA")</f>
        <v>NA</v>
      </c>
      <c r="AS1613" s="8" t="str">
        <f ca="1">IFERROR(__xludf.DUMMYFUNCTION("""COMPUTED_VALUE"""),"&lt;10")</f>
        <v>&lt;10</v>
      </c>
      <c r="AT1613" s="8"/>
      <c r="AU1613" s="8">
        <f ca="1">IFERROR(__xludf.DUMMYFUNCTION("""COMPUTED_VALUE"""),61.211291)</f>
        <v>61.211291000000003</v>
      </c>
      <c r="AV1613" s="8">
        <f ca="1">IFERROR(__xludf.DUMMYFUNCTION("""COMPUTED_VALUE"""),-149.798839)</f>
        <v>-149.79883899999999</v>
      </c>
      <c r="AW1613" s="8"/>
      <c r="AX1613" s="8">
        <f ca="1">IFERROR(__xludf.DUMMYFUNCTION("""COMPUTED_VALUE"""),99598)</f>
        <v>99598</v>
      </c>
    </row>
    <row r="1614" spans="1:50" ht="105" x14ac:dyDescent="0.2">
      <c r="A1614" s="8" t="str">
        <f ca="1">IFERROR(__xludf.DUMMYFUNCTION("""COMPUTED_VALUE"""),"20190701NYSCN")</f>
        <v>20190701NYSCN</v>
      </c>
      <c r="B1614" s="8">
        <f ca="1">IFERROR(__xludf.DUMMYFUNCTION("""COMPUTED_VALUE"""),7)</f>
        <v>7</v>
      </c>
      <c r="C1614" s="8">
        <f ca="1">IFERROR(__xludf.DUMMYFUNCTION("""COMPUTED_VALUE"""),1)</f>
        <v>1</v>
      </c>
      <c r="D1614" s="8">
        <f ca="1">IFERROR(__xludf.DUMMYFUNCTION("""COMPUTED_VALUE"""),2019)</f>
        <v>2019</v>
      </c>
      <c r="E1614" s="9">
        <f ca="1">IFERROR(__xludf.DUMMYFUNCTION("""COMPUTED_VALUE"""),43647)</f>
        <v>43647</v>
      </c>
      <c r="F1614" s="8" t="str">
        <f ca="1">IFERROR(__xludf.DUMMYFUNCTION("""COMPUTED_VALUE"""),"School of Science and Applied Learning")</f>
        <v>School of Science and Applied Learning</v>
      </c>
      <c r="G1614" s="8">
        <f ca="1">IFERROR(__xludf.DUMMYFUNCTION("""COMPUTED_VALUE"""),0)</f>
        <v>0</v>
      </c>
      <c r="H1614" s="8">
        <f ca="1">IFERROR(__xludf.DUMMYFUNCTION("""COMPUTED_VALUE"""),1)</f>
        <v>1</v>
      </c>
      <c r="I1614" s="8">
        <f ca="1">IFERROR(__xludf.DUMMYFUNCTION("""COMPUTED_VALUE"""),1)</f>
        <v>1</v>
      </c>
      <c r="J1614" s="8">
        <f ca="1">IFERROR(__xludf.DUMMYFUNCTION("""COMPUTED_VALUE"""),0)</f>
        <v>0</v>
      </c>
      <c r="K1614" s="8" t="str">
        <f ca="1">IFERROR(__xludf.DUMMYFUNCTION("""COMPUTED_VALUE"""),"https://abc7ny.com/police-teen-shot-in-schoolyard-involved-in-cab-driver-robberies/5374508/ https://pix11.com/2019/07/02/teen-shot-in-chest-inside-bronx-schoolyard-police/")</f>
        <v>https://abc7ny.com/police-teen-shot-in-schoolyard-involved-in-cab-driver-robberies/5374508/ https://pix11.com/2019/07/02/teen-shot-in-chest-inside-bronx-schoolyard-police/</v>
      </c>
      <c r="L1614" s="8"/>
      <c r="M1614" s="8"/>
      <c r="N1614" s="8">
        <f ca="1">IFERROR(__xludf.DUMMYFUNCTION("""COMPUTED_VALUE"""),4)</f>
        <v>4</v>
      </c>
      <c r="O1614" s="8" t="str">
        <f ca="1">IFERROR(__xludf.DUMMYFUNCTION("""COMPUTED_VALUE"""),"Summer")</f>
        <v>Summer</v>
      </c>
      <c r="P1614" s="8" t="str">
        <f ca="1">IFERROR(__xludf.DUMMYFUNCTION("""COMPUTED_VALUE"""),"New York")</f>
        <v>New York</v>
      </c>
      <c r="Q1614" s="8" t="str">
        <f ca="1">IFERROR(__xludf.DUMMYFUNCTION("""COMPUTED_VALUE"""),"NY")</f>
        <v>NY</v>
      </c>
      <c r="R1614" s="8" t="str">
        <f ca="1">IFERROR(__xludf.DUMMYFUNCTION("""COMPUTED_VALUE"""),"Elementary")</f>
        <v>Elementary</v>
      </c>
      <c r="S1614" s="8" t="str">
        <f ca="1">IFERROR(__xludf.DUMMYFUNCTION("""COMPUTED_VALUE"""),"Playground")</f>
        <v>Playground</v>
      </c>
      <c r="T1614" s="8" t="str">
        <f ca="1">IFERROR(__xludf.DUMMYFUNCTION("""COMPUTED_VALUE"""),"Outside on School Property")</f>
        <v>Outside on School Property</v>
      </c>
      <c r="U1614" s="8" t="str">
        <f ca="1">IFERROR(__xludf.DUMMYFUNCTION("""COMPUTED_VALUE"""),"No")</f>
        <v>No</v>
      </c>
      <c r="V1614" s="8" t="str">
        <f ca="1">IFERROR(__xludf.DUMMYFUNCTION("""COMPUTED_VALUE"""),"Night")</f>
        <v>Night</v>
      </c>
      <c r="W1614" s="11">
        <f ca="1">IFERROR(__xludf.DUMMYFUNCTION("""COMPUTED_VALUE"""),0.930555555555555)</f>
        <v>0.93055555555555503</v>
      </c>
      <c r="X1614" s="8">
        <f ca="1">IFERROR(__xludf.DUMMYFUNCTION("""COMPUTED_VALUE"""),1)</f>
        <v>1</v>
      </c>
      <c r="Y1614" s="12" t="str">
        <f ca="1">IFERROR(__xludf.DUMMYFUNCTION("""COMPUTED_VALUE"""),"Cab driver shot 13YOM who had previously robbed him at the school playground")</f>
        <v>Cab driver shot 13YOM who had previously robbed him at the school playground</v>
      </c>
      <c r="Z1614" s="12" t="str">
        <f ca="1">IFERROR(__xludf.DUMMYFUNCTION("""COMPUTED_VALUE"""),"Group of teens were involved in multiple robberies of cab driver. A cab driver who had been robbed previously shot at 13YOM involved with the robberies while he was on the school playground. Victim was shot in chest. Shooter fled the area. School had inst"&amp;"alled fences to keep teens from loitering on the school property after hours but the teens climbed over the fence.")</f>
        <v>Group of teens were involved in multiple robberies of cab driver. A cab driver who had been robbed previously shot at 13YOM involved with the robberies while he was on the school playground. Victim was shot in chest. Shooter fled the area. School had installed fences to keep teens from loitering on the school property after hours but the teens climbed over the fence.</v>
      </c>
      <c r="AA1614" s="8" t="str">
        <f ca="1">IFERROR(__xludf.DUMMYFUNCTION("""COMPUTED_VALUE"""),"Illegal Activity")</f>
        <v>Illegal Activity</v>
      </c>
      <c r="AB1614" s="8"/>
      <c r="AC1614" s="8" t="str">
        <f ca="1">IFERROR(__xludf.DUMMYFUNCTION("""COMPUTED_VALUE"""),"No")</f>
        <v>No</v>
      </c>
      <c r="AD1614" s="8" t="str">
        <f ca="1">IFERROR(__xludf.DUMMYFUNCTION("""COMPUTED_VALUE"""),"Victims Targeted")</f>
        <v>Victims Targeted</v>
      </c>
      <c r="AE1614" s="8" t="str">
        <f ca="1">IFERROR(__xludf.DUMMYFUNCTION("""COMPUTED_VALUE"""),"No")</f>
        <v>No</v>
      </c>
      <c r="AF1614" s="8"/>
      <c r="AG1614" s="8" t="str">
        <f ca="1">IFERROR(__xludf.DUMMYFUNCTION("""COMPUTED_VALUE"""),"No")</f>
        <v>No</v>
      </c>
      <c r="AH1614" s="8" t="str">
        <f ca="1">IFERROR(__xludf.DUMMYFUNCTION("""COMPUTED_VALUE"""),"No")</f>
        <v>No</v>
      </c>
      <c r="AI1614" s="8" t="str">
        <f ca="1">IFERROR(__xludf.DUMMYFUNCTION("""COMPUTED_VALUE"""),"No")</f>
        <v>No</v>
      </c>
      <c r="AJ1614" s="8" t="str">
        <f ca="1">IFERROR(__xludf.DUMMYFUNCTION("""COMPUTED_VALUE"""),"No")</f>
        <v>No</v>
      </c>
      <c r="AK1614" s="8" t="str">
        <f ca="1">IFERROR(__xludf.DUMMYFUNCTION("""COMPUTED_VALUE"""),"No")</f>
        <v>No</v>
      </c>
      <c r="AL1614" s="8" t="str">
        <f ca="1">IFERROR(__xludf.DUMMYFUNCTION("""COMPUTED_VALUE"""),"No")</f>
        <v>No</v>
      </c>
      <c r="AM1614" s="8" t="str">
        <f ca="1">IFERROR(__xludf.DUMMYFUNCTION("""COMPUTED_VALUE"""),"No")</f>
        <v>No</v>
      </c>
      <c r="AN1614" s="8"/>
      <c r="AO1614" s="8" t="str">
        <f ca="1">IFERROR(__xludf.DUMMYFUNCTION("""COMPUTED_VALUE"""),"No")</f>
        <v>No</v>
      </c>
      <c r="AP1614" s="8" t="str">
        <f ca="1">IFERROR(__xludf.DUMMYFUNCTION("""COMPUTED_VALUE"""),"No")</f>
        <v>No</v>
      </c>
      <c r="AQ1614" s="8" t="str">
        <f ca="1">IFERROR(__xludf.DUMMYFUNCTION("""COMPUTED_VALUE"""),"Unknown")</f>
        <v>Unknown</v>
      </c>
      <c r="AR1614" s="8" t="str">
        <f ca="1">IFERROR(__xludf.DUMMYFUNCTION("""COMPUTED_VALUE"""),"Outside/Off-Property")</f>
        <v>Outside/Off-Property</v>
      </c>
      <c r="AS1614" s="8" t="str">
        <f ca="1">IFERROR(__xludf.DUMMYFUNCTION("""COMPUTED_VALUE"""),"&lt;10")</f>
        <v>&lt;10</v>
      </c>
      <c r="AT1614" s="8" t="str">
        <f ca="1">IFERROR(__xludf.DUMMYFUNCTION("""COMPUTED_VALUE"""),"No")</f>
        <v>No</v>
      </c>
      <c r="AU1614" s="8">
        <f ca="1">IFERROR(__xludf.DUMMYFUNCTION("""COMPUTED_VALUE"""),40.845836)</f>
        <v>40.845835999999998</v>
      </c>
      <c r="AV1614" s="8">
        <f ca="1">IFERROR(__xludf.DUMMYFUNCTION("""COMPUTED_VALUE"""),-73.886835)</f>
        <v>-73.886835000000005</v>
      </c>
      <c r="AW1614" s="8"/>
      <c r="AX1614" s="8">
        <f ca="1">IFERROR(__xludf.DUMMYFUNCTION("""COMPUTED_VALUE"""),10460)</f>
        <v>10460</v>
      </c>
    </row>
    <row r="1615" spans="1:50" ht="75" x14ac:dyDescent="0.2">
      <c r="A1615" s="8" t="str">
        <f ca="1">IFERROR(__xludf.DUMMYFUNCTION("""COMPUTED_VALUE"""),"20190629COJAC")</f>
        <v>20190629COJAC</v>
      </c>
      <c r="B1615" s="8">
        <f ca="1">IFERROR(__xludf.DUMMYFUNCTION("""COMPUTED_VALUE"""),6)</f>
        <v>6</v>
      </c>
      <c r="C1615" s="8">
        <f ca="1">IFERROR(__xludf.DUMMYFUNCTION("""COMPUTED_VALUE"""),29)</f>
        <v>29</v>
      </c>
      <c r="D1615" s="8">
        <f ca="1">IFERROR(__xludf.DUMMYFUNCTION("""COMPUTED_VALUE"""),2019)</f>
        <v>2019</v>
      </c>
      <c r="E1615" s="9">
        <f ca="1">IFERROR(__xludf.DUMMYFUNCTION("""COMPUTED_VALUE"""),43645)</f>
        <v>43645</v>
      </c>
      <c r="F1615" s="8" t="str">
        <f ca="1">IFERROR(__xludf.DUMMYFUNCTION("""COMPUTED_VALUE"""),"Jack Swigert Aerospace Academy")</f>
        <v>Jack Swigert Aerospace Academy</v>
      </c>
      <c r="G1615" s="8">
        <f ca="1">IFERROR(__xludf.DUMMYFUNCTION("""COMPUTED_VALUE"""),2)</f>
        <v>2</v>
      </c>
      <c r="H1615" s="8">
        <f ca="1">IFERROR(__xludf.DUMMYFUNCTION("""COMPUTED_VALUE"""),0)</f>
        <v>0</v>
      </c>
      <c r="I1615" s="8">
        <f ca="1">IFERROR(__xludf.DUMMYFUNCTION("""COMPUTED_VALUE"""),2)</f>
        <v>2</v>
      </c>
      <c r="J1615" s="8">
        <f ca="1">IFERROR(__xludf.DUMMYFUNCTION("""COMPUTED_VALUE"""),0)</f>
        <v>0</v>
      </c>
      <c r="K1615" s="10" t="str">
        <f ca="1">IFERROR(__xludf.DUMMYFUNCTION("""COMPUTED_VALUE"""),"https://www.denverpost.com/2019/07/04/colorado-springs-shooting-victims/")</f>
        <v>https://www.denverpost.com/2019/07/04/colorado-springs-shooting-victims/</v>
      </c>
      <c r="L1615" s="8"/>
      <c r="M1615" s="8"/>
      <c r="N1615" s="8">
        <f ca="1">IFERROR(__xludf.DUMMYFUNCTION("""COMPUTED_VALUE"""),2)</f>
        <v>2</v>
      </c>
      <c r="O1615" s="8" t="str">
        <f ca="1">IFERROR(__xludf.DUMMYFUNCTION("""COMPUTED_VALUE"""),"Summer")</f>
        <v>Summer</v>
      </c>
      <c r="P1615" s="8" t="str">
        <f ca="1">IFERROR(__xludf.DUMMYFUNCTION("""COMPUTED_VALUE"""),"Colorado Springs")</f>
        <v>Colorado Springs</v>
      </c>
      <c r="Q1615" s="8" t="str">
        <f ca="1">IFERROR(__xludf.DUMMYFUNCTION("""COMPUTED_VALUE"""),"CO")</f>
        <v>CO</v>
      </c>
      <c r="R1615" s="8" t="str">
        <f ca="1">IFERROR(__xludf.DUMMYFUNCTION("""COMPUTED_VALUE"""),"Elementary")</f>
        <v>Elementary</v>
      </c>
      <c r="S1615" s="8" t="str">
        <f ca="1">IFERROR(__xludf.DUMMYFUNCTION("""COMPUTED_VALUE"""),"Football Field/Track")</f>
        <v>Football Field/Track</v>
      </c>
      <c r="T1615" s="8" t="str">
        <f ca="1">IFERROR(__xludf.DUMMYFUNCTION("""COMPUTED_VALUE"""),"Outside on School Property")</f>
        <v>Outside on School Property</v>
      </c>
      <c r="U1615" s="8" t="str">
        <f ca="1">IFERROR(__xludf.DUMMYFUNCTION("""COMPUTED_VALUE"""),"No")</f>
        <v>No</v>
      </c>
      <c r="V1615" s="8" t="str">
        <f ca="1">IFERROR(__xludf.DUMMYFUNCTION("""COMPUTED_VALUE"""),"Night")</f>
        <v>Night</v>
      </c>
      <c r="W1615" s="11">
        <f ca="1">IFERROR(__xludf.DUMMYFUNCTION("""COMPUTED_VALUE"""),0.166666666666666)</f>
        <v>0.16666666666666599</v>
      </c>
      <c r="X1615" s="8">
        <f ca="1">IFERROR(__xludf.DUMMYFUNCTION("""COMPUTED_VALUE"""),1)</f>
        <v>1</v>
      </c>
      <c r="Y1615" s="12" t="str">
        <f ca="1">IFERROR(__xludf.DUMMYFUNCTION("""COMPUTED_VALUE"""),"Two men shot and killed during fight between two groups on school track")</f>
        <v>Two men shot and killed during fight between two groups on school track</v>
      </c>
      <c r="Z1615" s="12" t="str">
        <f ca="1">IFERROR(__xludf.DUMMYFUNCTION("""COMPUTED_VALUE"""),"18YOM and 22 YOM shot and killed during altercation between two groups of males on the track of the school. Shooter and others involved fled the scene.")</f>
        <v>18YOM and 22 YOM shot and killed during altercation between two groups of males on the track of the school. Shooter and others involved fled the scene.</v>
      </c>
      <c r="AA1615" s="8" t="str">
        <f ca="1">IFERROR(__xludf.DUMMYFUNCTION("""COMPUTED_VALUE"""),"Escalation of Dispute")</f>
        <v>Escalation of Dispute</v>
      </c>
      <c r="AB1615" s="8"/>
      <c r="AC1615" s="8" t="str">
        <f ca="1">IFERROR(__xludf.DUMMYFUNCTION("""COMPUTED_VALUE"""),"No")</f>
        <v>No</v>
      </c>
      <c r="AD1615" s="8" t="str">
        <f ca="1">IFERROR(__xludf.DUMMYFUNCTION("""COMPUTED_VALUE"""),"Victims Targeted")</f>
        <v>Victims Targeted</v>
      </c>
      <c r="AE1615" s="8" t="str">
        <f ca="1">IFERROR(__xludf.DUMMYFUNCTION("""COMPUTED_VALUE"""),"Yes")</f>
        <v>Yes</v>
      </c>
      <c r="AF1615" s="8" t="str">
        <f ca="1">IFERROR(__xludf.DUMMYFUNCTION("""COMPUTED_VALUE"""),"Group dispute")</f>
        <v>Group dispute</v>
      </c>
      <c r="AG1615" s="8" t="str">
        <f ca="1">IFERROR(__xludf.DUMMYFUNCTION("""COMPUTED_VALUE"""),"No")</f>
        <v>No</v>
      </c>
      <c r="AH1615" s="8" t="str">
        <f ca="1">IFERROR(__xludf.DUMMYFUNCTION("""COMPUTED_VALUE"""),"No")</f>
        <v>No</v>
      </c>
      <c r="AI1615" s="8" t="str">
        <f ca="1">IFERROR(__xludf.DUMMYFUNCTION("""COMPUTED_VALUE"""),"No")</f>
        <v>No</v>
      </c>
      <c r="AJ1615" s="8" t="str">
        <f ca="1">IFERROR(__xludf.DUMMYFUNCTION("""COMPUTED_VALUE"""),"No")</f>
        <v>No</v>
      </c>
      <c r="AK1615" s="8" t="str">
        <f ca="1">IFERROR(__xludf.DUMMYFUNCTION("""COMPUTED_VALUE"""),"No")</f>
        <v>No</v>
      </c>
      <c r="AL1615" s="8" t="str">
        <f ca="1">IFERROR(__xludf.DUMMYFUNCTION("""COMPUTED_VALUE"""),"No")</f>
        <v>No</v>
      </c>
      <c r="AM1615" s="8" t="str">
        <f ca="1">IFERROR(__xludf.DUMMYFUNCTION("""COMPUTED_VALUE"""),"No")</f>
        <v>No</v>
      </c>
      <c r="AN1615" s="8"/>
      <c r="AO1615" s="8" t="str">
        <f ca="1">IFERROR(__xludf.DUMMYFUNCTION("""COMPUTED_VALUE"""),"No")</f>
        <v>No</v>
      </c>
      <c r="AP1615" s="8"/>
      <c r="AQ1615" s="8" t="str">
        <f ca="1">IFERROR(__xludf.DUMMYFUNCTION("""COMPUTED_VALUE"""),"Unknown")</f>
        <v>Unknown</v>
      </c>
      <c r="AR1615" s="8" t="str">
        <f ca="1">IFERROR(__xludf.DUMMYFUNCTION("""COMPUTED_VALUE"""),"NA")</f>
        <v>NA</v>
      </c>
      <c r="AS1615" s="8"/>
      <c r="AT1615" s="8"/>
      <c r="AU1615" s="8">
        <f ca="1">IFERROR(__xludf.DUMMYFUNCTION("""COMPUTED_VALUE"""),38.835577)</f>
        <v>38.835577000000001</v>
      </c>
      <c r="AV1615" s="8">
        <f ca="1">IFERROR(__xludf.DUMMYFUNCTION("""COMPUTED_VALUE"""),-104.749896)</f>
        <v>-104.74989600000001</v>
      </c>
      <c r="AW1615" s="8"/>
      <c r="AX1615" s="8">
        <f ca="1">IFERROR(__xludf.DUMMYFUNCTION("""COMPUTED_VALUE"""),80909)</f>
        <v>80909</v>
      </c>
    </row>
    <row r="1616" spans="1:50" ht="105" x14ac:dyDescent="0.2">
      <c r="A1616" s="8" t="str">
        <f ca="1">IFERROR(__xludf.DUMMYFUNCTION("""COMPUTED_VALUE"""),"20190621MICAF")</f>
        <v>20190621MICAF</v>
      </c>
      <c r="B1616" s="8">
        <f ca="1">IFERROR(__xludf.DUMMYFUNCTION("""COMPUTED_VALUE"""),6)</f>
        <v>6</v>
      </c>
      <c r="C1616" s="8">
        <f ca="1">IFERROR(__xludf.DUMMYFUNCTION("""COMPUTED_VALUE"""),21)</f>
        <v>21</v>
      </c>
      <c r="D1616" s="8">
        <f ca="1">IFERROR(__xludf.DUMMYFUNCTION("""COMPUTED_VALUE"""),2019)</f>
        <v>2019</v>
      </c>
      <c r="E1616" s="9">
        <f ca="1">IFERROR(__xludf.DUMMYFUNCTION("""COMPUTED_VALUE"""),43637)</f>
        <v>43637</v>
      </c>
      <c r="F1616" s="8" t="str">
        <f ca="1">IFERROR(__xludf.DUMMYFUNCTION("""COMPUTED_VALUE"""),"Carman-Ainsworth High School")</f>
        <v>Carman-Ainsworth High School</v>
      </c>
      <c r="G1616" s="8">
        <f ca="1">IFERROR(__xludf.DUMMYFUNCTION("""COMPUTED_VALUE"""),0)</f>
        <v>0</v>
      </c>
      <c r="H1616" s="8">
        <f ca="1">IFERROR(__xludf.DUMMYFUNCTION("""COMPUTED_VALUE"""),1)</f>
        <v>1</v>
      </c>
      <c r="I1616" s="8">
        <f ca="1">IFERROR(__xludf.DUMMYFUNCTION("""COMPUTED_VALUE"""),1)</f>
        <v>1</v>
      </c>
      <c r="J1616" s="8">
        <f ca="1">IFERROR(__xludf.DUMMYFUNCTION("""COMPUTED_VALUE"""),0)</f>
        <v>0</v>
      </c>
      <c r="K1616" s="8" t="str">
        <f ca="1">IFERROR(__xludf.DUMMYFUNCTION("""COMPUTED_VALUE"""),"https://nbc25news.com/news/local/one-person-shot-during-baseball-game-at-carman-ainsworth-high-school https://www.abc12.com/content/news/At-least-One-Shot-Outside-Carman-Ainsworth-High-School-Basketball-Game-511657762.html")</f>
        <v>https://nbc25news.com/news/local/one-person-shot-during-baseball-game-at-carman-ainsworth-high-school https://www.abc12.com/content/news/At-least-One-Shot-Outside-Carman-Ainsworth-High-School-Basketball-Game-511657762.html</v>
      </c>
      <c r="L1616" s="8"/>
      <c r="M1616" s="8"/>
      <c r="N1616" s="8">
        <f ca="1">IFERROR(__xludf.DUMMYFUNCTION("""COMPUTED_VALUE"""),4)</f>
        <v>4</v>
      </c>
      <c r="O1616" s="8" t="str">
        <f ca="1">IFERROR(__xludf.DUMMYFUNCTION("""COMPUTED_VALUE"""),"Summer")</f>
        <v>Summer</v>
      </c>
      <c r="P1616" s="8" t="str">
        <f ca="1">IFERROR(__xludf.DUMMYFUNCTION("""COMPUTED_VALUE"""),"Flint Township")</f>
        <v>Flint Township</v>
      </c>
      <c r="Q1616" s="8" t="str">
        <f ca="1">IFERROR(__xludf.DUMMYFUNCTION("""COMPUTED_VALUE"""),"MI")</f>
        <v>MI</v>
      </c>
      <c r="R1616" s="8" t="str">
        <f ca="1">IFERROR(__xludf.DUMMYFUNCTION("""COMPUTED_VALUE"""),"High")</f>
        <v>High</v>
      </c>
      <c r="S1616" s="8" t="str">
        <f ca="1">IFERROR(__xludf.DUMMYFUNCTION("""COMPUTED_VALUE"""),"Beside Building")</f>
        <v>Beside Building</v>
      </c>
      <c r="T1616" s="8" t="str">
        <f ca="1">IFERROR(__xludf.DUMMYFUNCTION("""COMPUTED_VALUE"""),"Outside on School Property")</f>
        <v>Outside on School Property</v>
      </c>
      <c r="U1616" s="8" t="str">
        <f ca="1">IFERROR(__xludf.DUMMYFUNCTION("""COMPUTED_VALUE"""),"No")</f>
        <v>No</v>
      </c>
      <c r="V1616" s="8" t="str">
        <f ca="1">IFERROR(__xludf.DUMMYFUNCTION("""COMPUTED_VALUE"""),"Sport Event")</f>
        <v>Sport Event</v>
      </c>
      <c r="W1616" s="11">
        <f ca="1">IFERROR(__xludf.DUMMYFUNCTION("""COMPUTED_VALUE"""),0.814583333333333)</f>
        <v>0.81458333333333299</v>
      </c>
      <c r="X1616" s="8">
        <f ca="1">IFERROR(__xludf.DUMMYFUNCTION("""COMPUTED_VALUE"""),1)</f>
        <v>1</v>
      </c>
      <c r="Y1616" s="12" t="str">
        <f ca="1">IFERROR(__xludf.DUMMYFUNCTION("""COMPUTED_VALUE"""),"15YOM male shot during fight involving 50 people at basketball game")</f>
        <v>15YOM male shot during fight involving 50 people at basketball game</v>
      </c>
      <c r="Z1616" s="12" t="str">
        <f ca="1">IFERROR(__xludf.DUMMYFUNCTION("""COMPUTED_VALUE"""),"Dispute following basketball game led to fight involving 50 people outside of the gym locker room. Fight continued into school parking lot where 15YOM was shot in the chest and critically injured. Teen who was shot did not appear to be targeted victim. A "&amp;"school play was being performed at the time of the shooting and the auditorium was placed on lockdown.")</f>
        <v>Dispute following basketball game led to fight involving 50 people outside of the gym locker room. Fight continued into school parking lot where 15YOM was shot in the chest and critically injured. Teen who was shot did not appear to be targeted victim. A school play was being performed at the time of the shooting and the auditorium was placed on lockdown.</v>
      </c>
      <c r="AA1616" s="8" t="str">
        <f ca="1">IFERROR(__xludf.DUMMYFUNCTION("""COMPUTED_VALUE"""),"Escalation of Dispute")</f>
        <v>Escalation of Dispute</v>
      </c>
      <c r="AB1616" s="8"/>
      <c r="AC1616" s="8" t="str">
        <f ca="1">IFERROR(__xludf.DUMMYFUNCTION("""COMPUTED_VALUE"""),"Yes")</f>
        <v>Yes</v>
      </c>
      <c r="AD1616" s="8"/>
      <c r="AE1616" s="8"/>
      <c r="AF1616" s="8"/>
      <c r="AG1616" s="8" t="str">
        <f ca="1">IFERROR(__xludf.DUMMYFUNCTION("""COMPUTED_VALUE"""),"No")</f>
        <v>No</v>
      </c>
      <c r="AH1616" s="8" t="str">
        <f ca="1">IFERROR(__xludf.DUMMYFUNCTION("""COMPUTED_VALUE"""),"No")</f>
        <v>No</v>
      </c>
      <c r="AI1616" s="8" t="str">
        <f ca="1">IFERROR(__xludf.DUMMYFUNCTION("""COMPUTED_VALUE"""),"No")</f>
        <v>No</v>
      </c>
      <c r="AJ1616" s="8" t="str">
        <f ca="1">IFERROR(__xludf.DUMMYFUNCTION("""COMPUTED_VALUE"""),"No")</f>
        <v>No</v>
      </c>
      <c r="AK1616" s="8" t="str">
        <f ca="1">IFERROR(__xludf.DUMMYFUNCTION("""COMPUTED_VALUE"""),"No")</f>
        <v>No</v>
      </c>
      <c r="AL1616" s="8" t="str">
        <f ca="1">IFERROR(__xludf.DUMMYFUNCTION("""COMPUTED_VALUE"""),"No")</f>
        <v>No</v>
      </c>
      <c r="AM1616" s="8" t="str">
        <f ca="1">IFERROR(__xludf.DUMMYFUNCTION("""COMPUTED_VALUE"""),"No")</f>
        <v>No</v>
      </c>
      <c r="AN1616" s="8"/>
      <c r="AO1616" s="8" t="str">
        <f ca="1">IFERROR(__xludf.DUMMYFUNCTION("""COMPUTED_VALUE"""),"No")</f>
        <v>No</v>
      </c>
      <c r="AP1616" s="8"/>
      <c r="AQ1616" s="8" t="str">
        <f ca="1">IFERROR(__xludf.DUMMYFUNCTION("""COMPUTED_VALUE"""),"Unknown")</f>
        <v>Unknown</v>
      </c>
      <c r="AR1616" s="8" t="str">
        <f ca="1">IFERROR(__xludf.DUMMYFUNCTION("""COMPUTED_VALUE"""),"NA")</f>
        <v>NA</v>
      </c>
      <c r="AS1616" s="8" t="str">
        <f ca="1">IFERROR(__xludf.DUMMYFUNCTION("""COMPUTED_VALUE"""),"&lt;10")</f>
        <v>&lt;10</v>
      </c>
      <c r="AT1616" s="8"/>
      <c r="AU1616" s="8">
        <f ca="1">IFERROR(__xludf.DUMMYFUNCTION("""COMPUTED_VALUE"""),43.026128)</f>
        <v>43.026128</v>
      </c>
      <c r="AV1616" s="8">
        <f ca="1">IFERROR(__xludf.DUMMYFUNCTION("""COMPUTED_VALUE"""),-83.772414)</f>
        <v>-83.772413999999998</v>
      </c>
      <c r="AW1616" s="8"/>
      <c r="AX1616" s="8">
        <f ca="1">IFERROR(__xludf.DUMMYFUNCTION("""COMPUTED_VALUE"""),48532)</f>
        <v>48532</v>
      </c>
    </row>
    <row r="1617" spans="1:50" ht="105" x14ac:dyDescent="0.2">
      <c r="A1617" s="8" t="str">
        <f ca="1">IFERROR(__xludf.DUMMYFUNCTION("""COMPUTED_VALUE"""),"20190613NJTAW")</f>
        <v>20190613NJTAW</v>
      </c>
      <c r="B1617" s="8">
        <f ca="1">IFERROR(__xludf.DUMMYFUNCTION("""COMPUTED_VALUE"""),6)</f>
        <v>6</v>
      </c>
      <c r="C1617" s="8">
        <f ca="1">IFERROR(__xludf.DUMMYFUNCTION("""COMPUTED_VALUE"""),13)</f>
        <v>13</v>
      </c>
      <c r="D1617" s="8">
        <f ca="1">IFERROR(__xludf.DUMMYFUNCTION("""COMPUTED_VALUE"""),2019)</f>
        <v>2019</v>
      </c>
      <c r="E1617" s="9">
        <f ca="1">IFERROR(__xludf.DUMMYFUNCTION("""COMPUTED_VALUE"""),43629)</f>
        <v>43629</v>
      </c>
      <c r="F1617" s="8" t="str">
        <f ca="1">IFERROR(__xludf.DUMMYFUNCTION("""COMPUTED_VALUE"""),"Tamaques Elementary School")</f>
        <v>Tamaques Elementary School</v>
      </c>
      <c r="G1617" s="8">
        <f ca="1">IFERROR(__xludf.DUMMYFUNCTION("""COMPUTED_VALUE"""),0)</f>
        <v>0</v>
      </c>
      <c r="H1617" s="8">
        <f ca="1">IFERROR(__xludf.DUMMYFUNCTION("""COMPUTED_VALUE"""),0)</f>
        <v>0</v>
      </c>
      <c r="I1617" s="8">
        <f ca="1">IFERROR(__xludf.DUMMYFUNCTION("""COMPUTED_VALUE"""),0)</f>
        <v>0</v>
      </c>
      <c r="J1617" s="8">
        <f ca="1">IFERROR(__xludf.DUMMYFUNCTION("""COMPUTED_VALUE"""),0)</f>
        <v>0</v>
      </c>
      <c r="K1617" s="10" t="str">
        <f ca="1">IFERROR(__xludf.DUMMYFUNCTION("""COMPUTED_VALUE"""),"https://6abc.com/police-del-man-found-holding-loaded-gun-outside-nj-elementary-school/5346847/")</f>
        <v>https://6abc.com/police-del-man-found-holding-loaded-gun-outside-nj-elementary-school/5346847/</v>
      </c>
      <c r="L1617" s="8"/>
      <c r="M1617" s="8"/>
      <c r="N1617" s="8">
        <f ca="1">IFERROR(__xludf.DUMMYFUNCTION("""COMPUTED_VALUE"""),3)</f>
        <v>3</v>
      </c>
      <c r="O1617" s="8" t="str">
        <f ca="1">IFERROR(__xludf.DUMMYFUNCTION("""COMPUTED_VALUE"""),"Summer")</f>
        <v>Summer</v>
      </c>
      <c r="P1617" s="8" t="str">
        <f ca="1">IFERROR(__xludf.DUMMYFUNCTION("""COMPUTED_VALUE"""),"Westfield")</f>
        <v>Westfield</v>
      </c>
      <c r="Q1617" s="8" t="str">
        <f ca="1">IFERROR(__xludf.DUMMYFUNCTION("""COMPUTED_VALUE"""),"NJ")</f>
        <v>NJ</v>
      </c>
      <c r="R1617" s="8" t="str">
        <f ca="1">IFERROR(__xludf.DUMMYFUNCTION("""COMPUTED_VALUE"""),"Elementary")</f>
        <v>Elementary</v>
      </c>
      <c r="S1617" s="8" t="str">
        <f ca="1">IFERROR(__xludf.DUMMYFUNCTION("""COMPUTED_VALUE"""),"Parking Lot")</f>
        <v>Parking Lot</v>
      </c>
      <c r="T1617" s="8" t="str">
        <f ca="1">IFERROR(__xludf.DUMMYFUNCTION("""COMPUTED_VALUE"""),"Outside on School Property")</f>
        <v>Outside on School Property</v>
      </c>
      <c r="U1617" s="8" t="str">
        <f ca="1">IFERROR(__xludf.DUMMYFUNCTION("""COMPUTED_VALUE"""),"No")</f>
        <v>No</v>
      </c>
      <c r="V1617" s="8" t="str">
        <f ca="1">IFERROR(__xludf.DUMMYFUNCTION("""COMPUTED_VALUE"""),"After School")</f>
        <v>After School</v>
      </c>
      <c r="W1617" s="11">
        <f ca="1">IFERROR(__xludf.DUMMYFUNCTION("""COMPUTED_VALUE"""),0.663194444444444)</f>
        <v>0.66319444444444398</v>
      </c>
      <c r="X1617" s="8">
        <f ca="1">IFERROR(__xludf.DUMMYFUNCTION("""COMPUTED_VALUE"""),1)</f>
        <v>1</v>
      </c>
      <c r="Y1617" s="12" t="str">
        <f ca="1">IFERROR(__xludf.DUMMYFUNCTION("""COMPUTED_VALUE"""),"Man arrested in school parking lot after tip holding pistol with 130 rounds of ammo")</f>
        <v>Man arrested in school parking lot after tip holding pistol with 130 rounds of ammo</v>
      </c>
      <c r="Z1617" s="12" t="str">
        <f ca="1">IFERROR(__xludf.DUMMYFUNCTION("""COMPUTED_VALUE"""),"Police received a tip about a man headed to a school with a gun. Police found a 46YOM in the parking lot holding a handgun with 2 additional magazines and 130 rounds of ammo. The gunman surrendered to police without firing any shots. School had dismissed "&amp;"for day but was locked down. Motive unknown. Suspect lived +110 miles away from the school in Bear, DE. Connection to school unknown.")</f>
        <v>Police received a tip about a man headed to a school with a gun. Police found a 46YOM in the parking lot holding a handgun with 2 additional magazines and 130 rounds of ammo. The gunman surrendered to police without firing any shots. School had dismissed for day but was locked down. Motive unknown. Suspect lived +110 miles away from the school in Bear, DE. Connection to school unknown.</v>
      </c>
      <c r="AA1617" s="8" t="str">
        <f ca="1">IFERROR(__xludf.DUMMYFUNCTION("""COMPUTED_VALUE"""),"Indiscriminate Shooting")</f>
        <v>Indiscriminate Shooting</v>
      </c>
      <c r="AB1617" s="8"/>
      <c r="AC1617" s="8" t="str">
        <f ca="1">IFERROR(__xludf.DUMMYFUNCTION("""COMPUTED_VALUE"""),"Yes")</f>
        <v>Yes</v>
      </c>
      <c r="AD1617" s="8"/>
      <c r="AE1617" s="8" t="str">
        <f ca="1">IFERROR(__xludf.DUMMYFUNCTION("""COMPUTED_VALUE"""),"No")</f>
        <v>No</v>
      </c>
      <c r="AF1617" s="8"/>
      <c r="AG1617" s="8" t="str">
        <f ca="1">IFERROR(__xludf.DUMMYFUNCTION("""COMPUTED_VALUE"""),"No")</f>
        <v>No</v>
      </c>
      <c r="AH1617" s="8" t="str">
        <f ca="1">IFERROR(__xludf.DUMMYFUNCTION("""COMPUTED_VALUE"""),"No")</f>
        <v>No</v>
      </c>
      <c r="AI1617" s="8" t="str">
        <f ca="1">IFERROR(__xludf.DUMMYFUNCTION("""COMPUTED_VALUE"""),"No")</f>
        <v>No</v>
      </c>
      <c r="AJ1617" s="8" t="str">
        <f ca="1">IFERROR(__xludf.DUMMYFUNCTION("""COMPUTED_VALUE"""),"No")</f>
        <v>No</v>
      </c>
      <c r="AK1617" s="8"/>
      <c r="AL1617" s="8" t="str">
        <f ca="1">IFERROR(__xludf.DUMMYFUNCTION("""COMPUTED_VALUE"""),"No")</f>
        <v>No</v>
      </c>
      <c r="AM1617" s="8" t="str">
        <f ca="1">IFERROR(__xludf.DUMMYFUNCTION("""COMPUTED_VALUE"""),"No")</f>
        <v>No</v>
      </c>
      <c r="AN1617" s="8"/>
      <c r="AO1617" s="8"/>
      <c r="AP1617" s="8" t="str">
        <f ca="1">IFERROR(__xludf.DUMMYFUNCTION("""COMPUTED_VALUE"""),"No")</f>
        <v>No</v>
      </c>
      <c r="AQ1617" s="8" t="str">
        <f ca="1">IFERROR(__xludf.DUMMYFUNCTION("""COMPUTED_VALUE"""),"Unknown")</f>
        <v>Unknown</v>
      </c>
      <c r="AR1617" s="8" t="str">
        <f ca="1">IFERROR(__xludf.DUMMYFUNCTION("""COMPUTED_VALUE"""),"NA")</f>
        <v>NA</v>
      </c>
      <c r="AS1617" s="8">
        <f ca="1">IFERROR(__xludf.DUMMYFUNCTION("""COMPUTED_VALUE"""),0)</f>
        <v>0</v>
      </c>
      <c r="AT1617" s="8" t="str">
        <f ca="1">IFERROR(__xludf.DUMMYFUNCTION("""COMPUTED_VALUE"""),"Yes")</f>
        <v>Yes</v>
      </c>
      <c r="AU1617" s="8">
        <f ca="1">IFERROR(__xludf.DUMMYFUNCTION("""COMPUTED_VALUE"""),40.634536)</f>
        <v>40.634535999999997</v>
      </c>
      <c r="AV1617" s="8">
        <f ca="1">IFERROR(__xludf.DUMMYFUNCTION("""COMPUTED_VALUE"""),-74.337948)</f>
        <v>-74.337947999999997</v>
      </c>
      <c r="AW1617" s="8"/>
      <c r="AX1617" s="8">
        <f ca="1">IFERROR(__xludf.DUMMYFUNCTION("""COMPUTED_VALUE"""),7090)</f>
        <v>7090</v>
      </c>
    </row>
    <row r="1618" spans="1:50" ht="90" x14ac:dyDescent="0.2">
      <c r="A1618" s="8" t="str">
        <f ca="1">IFERROR(__xludf.DUMMYFUNCTION("""COMPUTED_VALUE"""),"20190612PAJEE")</f>
        <v>20190612PAJEE</v>
      </c>
      <c r="B1618" s="8">
        <f ca="1">IFERROR(__xludf.DUMMYFUNCTION("""COMPUTED_VALUE"""),6)</f>
        <v>6</v>
      </c>
      <c r="C1618" s="8">
        <f ca="1">IFERROR(__xludf.DUMMYFUNCTION("""COMPUTED_VALUE"""),12)</f>
        <v>12</v>
      </c>
      <c r="D1618" s="8">
        <f ca="1">IFERROR(__xludf.DUMMYFUNCTION("""COMPUTED_VALUE"""),2019)</f>
        <v>2019</v>
      </c>
      <c r="E1618" s="9">
        <f ca="1">IFERROR(__xludf.DUMMYFUNCTION("""COMPUTED_VALUE"""),43628)</f>
        <v>43628</v>
      </c>
      <c r="F1618" s="8" t="str">
        <f ca="1">IFERROR(__xludf.DUMMYFUNCTION("""COMPUTED_VALUE"""),"Jefferson Elementary School")</f>
        <v>Jefferson Elementary School</v>
      </c>
      <c r="G1618" s="8">
        <f ca="1">IFERROR(__xludf.DUMMYFUNCTION("""COMPUTED_VALUE"""),0)</f>
        <v>0</v>
      </c>
      <c r="H1618" s="8">
        <f ca="1">IFERROR(__xludf.DUMMYFUNCTION("""COMPUTED_VALUE"""),0)</f>
        <v>0</v>
      </c>
      <c r="I1618" s="8">
        <f ca="1">IFERROR(__xludf.DUMMYFUNCTION("""COMPUTED_VALUE"""),0)</f>
        <v>0</v>
      </c>
      <c r="J1618" s="8">
        <f ca="1">IFERROR(__xludf.DUMMYFUNCTION("""COMPUTED_VALUE"""),0)</f>
        <v>0</v>
      </c>
      <c r="K1618" s="8" t="str">
        <f ca="1">IFERROR(__xludf.DUMMYFUNCTION("""COMPUTED_VALUE"""),"https://www.lehighvalleylive.com/bethlehem/2019/11/bethlehem-teen-to-be-charged-with-attempted-homicide-in-elementary-school-shooting.html
https://www.mcall.com/news/police/mc-nws-emmaus-shooting-conspiracy-prelim-20200110-2setspazpzapxmcnt7ljuyvfx4-story"&amp;".html")</f>
        <v>https://www.lehighvalleylive.com/bethlehem/2019/11/bethlehem-teen-to-be-charged-with-attempted-homicide-in-elementary-school-shooting.html
https://www.mcall.com/news/police/mc-nws-emmaus-shooting-conspiracy-prelim-20200110-2setspazpzapxmcnt7ljuyvfx4-story.html</v>
      </c>
      <c r="L1618" s="8"/>
      <c r="M1618" s="8" t="str">
        <f ca="1">IFERROR(__xludf.DUMMYFUNCTION("""COMPUTED_VALUE"""),"Local")</f>
        <v>Local</v>
      </c>
      <c r="N1618" s="8">
        <f ca="1">IFERROR(__xludf.DUMMYFUNCTION("""COMPUTED_VALUE"""),4)</f>
        <v>4</v>
      </c>
      <c r="O1618" s="8" t="str">
        <f ca="1">IFERROR(__xludf.DUMMYFUNCTION("""COMPUTED_VALUE"""),"Summer")</f>
        <v>Summer</v>
      </c>
      <c r="P1618" s="8" t="str">
        <f ca="1">IFERROR(__xludf.DUMMYFUNCTION("""COMPUTED_VALUE"""),"Emmaus")</f>
        <v>Emmaus</v>
      </c>
      <c r="Q1618" s="8" t="str">
        <f ca="1">IFERROR(__xludf.DUMMYFUNCTION("""COMPUTED_VALUE"""),"PA")</f>
        <v>PA</v>
      </c>
      <c r="R1618" s="8" t="str">
        <f ca="1">IFERROR(__xludf.DUMMYFUNCTION("""COMPUTED_VALUE"""),"Elementary")</f>
        <v>Elementary</v>
      </c>
      <c r="S1618" s="8" t="str">
        <f ca="1">IFERROR(__xludf.DUMMYFUNCTION("""COMPUTED_VALUE"""),"Parking Lot")</f>
        <v>Parking Lot</v>
      </c>
      <c r="T1618" s="8" t="str">
        <f ca="1">IFERROR(__xludf.DUMMYFUNCTION("""COMPUTED_VALUE"""),"Outside on School Property")</f>
        <v>Outside on School Property</v>
      </c>
      <c r="U1618" s="8" t="str">
        <f ca="1">IFERROR(__xludf.DUMMYFUNCTION("""COMPUTED_VALUE"""),"No")</f>
        <v>No</v>
      </c>
      <c r="V1618" s="8" t="str">
        <f ca="1">IFERROR(__xludf.DUMMYFUNCTION("""COMPUTED_VALUE"""),"Night")</f>
        <v>Night</v>
      </c>
      <c r="W1618" s="11">
        <f ca="1">IFERROR(__xludf.DUMMYFUNCTION("""COMPUTED_VALUE"""),0.95)</f>
        <v>0.95</v>
      </c>
      <c r="X1618" s="8">
        <f ca="1">IFERROR(__xludf.DUMMYFUNCTION("""COMPUTED_VALUE"""),1)</f>
        <v>1</v>
      </c>
      <c r="Y1618" s="12" t="str">
        <f ca="1">IFERROR(__xludf.DUMMYFUNCTION("""COMPUTED_VALUE"""),"Targeted domestic shooting in school parking lot")</f>
        <v>Targeted domestic shooting in school parking lot</v>
      </c>
      <c r="Z1618" s="12" t="str">
        <f ca="1">IFERROR(__xludf.DUMMYFUNCTION("""COMPUTED_VALUE"""),"18YOF told ex-boyfriend (18YOM) to meet her in school parking lot. While waiting in the vehicle, a 16YOM shot him in a targeted shooting and fled. The intended victim and 2 other males were inside the vehicle but all of the shots missed them. 18YOF and 16"&amp;"YOM charged with murder and conspiracy.")</f>
        <v>18YOF told ex-boyfriend (18YOM) to meet her in school parking lot. While waiting in the vehicle, a 16YOM shot him in a targeted shooting and fled. The intended victim and 2 other males were inside the vehicle but all of the shots missed them. 18YOF and 16YOM charged with murder and conspiracy.</v>
      </c>
      <c r="AA1618" s="8" t="str">
        <f ca="1">IFERROR(__xludf.DUMMYFUNCTION("""COMPUTED_VALUE"""),"Domestic w/ Targeted Victim")</f>
        <v>Domestic w/ Targeted Victim</v>
      </c>
      <c r="AB1618" s="8"/>
      <c r="AC1618" s="8" t="str">
        <f ca="1">IFERROR(__xludf.DUMMYFUNCTION("""COMPUTED_VALUE"""),"No")</f>
        <v>No</v>
      </c>
      <c r="AD1618" s="8" t="str">
        <f ca="1">IFERROR(__xludf.DUMMYFUNCTION("""COMPUTED_VALUE"""),"Victims Targeted")</f>
        <v>Victims Targeted</v>
      </c>
      <c r="AE1618" s="8" t="str">
        <f ca="1">IFERROR(__xludf.DUMMYFUNCTION("""COMPUTED_VALUE"""),"Yes")</f>
        <v>Yes</v>
      </c>
      <c r="AF1618" s="8" t="str">
        <f ca="1">IFERROR(__xludf.DUMMYFUNCTION("""COMPUTED_VALUE"""),"18YOF directed the shooting (domestic)")</f>
        <v>18YOF directed the shooting (domestic)</v>
      </c>
      <c r="AG1618" s="8" t="str">
        <f ca="1">IFERROR(__xludf.DUMMYFUNCTION("""COMPUTED_VALUE"""),"No")</f>
        <v>No</v>
      </c>
      <c r="AH1618" s="8" t="str">
        <f ca="1">IFERROR(__xludf.DUMMYFUNCTION("""COMPUTED_VALUE"""),"No")</f>
        <v>No</v>
      </c>
      <c r="AI1618" s="8" t="str">
        <f ca="1">IFERROR(__xludf.DUMMYFUNCTION("""COMPUTED_VALUE"""),"No")</f>
        <v>No</v>
      </c>
      <c r="AJ1618" s="8" t="str">
        <f ca="1">IFERROR(__xludf.DUMMYFUNCTION("""COMPUTED_VALUE"""),"No")</f>
        <v>No</v>
      </c>
      <c r="AK1618" s="8" t="str">
        <f ca="1">IFERROR(__xludf.DUMMYFUNCTION("""COMPUTED_VALUE"""),"Yes")</f>
        <v>Yes</v>
      </c>
      <c r="AL1618" s="8" t="str">
        <f ca="1">IFERROR(__xludf.DUMMYFUNCTION("""COMPUTED_VALUE"""),"No")</f>
        <v>No</v>
      </c>
      <c r="AM1618" s="8" t="str">
        <f ca="1">IFERROR(__xludf.DUMMYFUNCTION("""COMPUTED_VALUE"""),"No")</f>
        <v>No</v>
      </c>
      <c r="AN1618" s="8"/>
      <c r="AO1618" s="8" t="str">
        <f ca="1">IFERROR(__xludf.DUMMYFUNCTION("""COMPUTED_VALUE"""),"No")</f>
        <v>No</v>
      </c>
      <c r="AP1618" s="8"/>
      <c r="AQ1618" s="8" t="str">
        <f ca="1">IFERROR(__xludf.DUMMYFUNCTION("""COMPUTED_VALUE"""),"Unknown")</f>
        <v>Unknown</v>
      </c>
      <c r="AR1618" s="8" t="str">
        <f ca="1">IFERROR(__xludf.DUMMYFUNCTION("""COMPUTED_VALUE"""),"NA")</f>
        <v>NA</v>
      </c>
      <c r="AS1618" s="8"/>
      <c r="AT1618" s="8" t="str">
        <f ca="1">IFERROR(__xludf.DUMMYFUNCTION("""COMPUTED_VALUE"""),"No")</f>
        <v>No</v>
      </c>
      <c r="AU1618" s="8">
        <f ca="1">IFERROR(__xludf.DUMMYFUNCTION("""COMPUTED_VALUE"""),40.536611)</f>
        <v>40.536611000000001</v>
      </c>
      <c r="AV1618" s="8">
        <f ca="1">IFERROR(__xludf.DUMMYFUNCTION("""COMPUTED_VALUE"""),-75.496853)</f>
        <v>-75.496853000000002</v>
      </c>
      <c r="AW1618" s="8"/>
      <c r="AX1618" s="8">
        <f ca="1">IFERROR(__xludf.DUMMYFUNCTION("""COMPUTED_VALUE"""),18049)</f>
        <v>18049</v>
      </c>
    </row>
    <row r="1619" spans="1:50" ht="120" x14ac:dyDescent="0.2">
      <c r="A1619" s="8" t="str">
        <f ca="1">IFERROR(__xludf.DUMMYFUNCTION("""COMPUTED_VALUE"""),"20190612DCHEW")</f>
        <v>20190612DCHEW</v>
      </c>
      <c r="B1619" s="8">
        <f ca="1">IFERROR(__xludf.DUMMYFUNCTION("""COMPUTED_VALUE"""),6)</f>
        <v>6</v>
      </c>
      <c r="C1619" s="8">
        <f ca="1">IFERROR(__xludf.DUMMYFUNCTION("""COMPUTED_VALUE"""),12)</f>
        <v>12</v>
      </c>
      <c r="D1619" s="8">
        <f ca="1">IFERROR(__xludf.DUMMYFUNCTION("""COMPUTED_VALUE"""),2019)</f>
        <v>2019</v>
      </c>
      <c r="E1619" s="9">
        <f ca="1">IFERROR(__xludf.DUMMYFUNCTION("""COMPUTED_VALUE"""),43628)</f>
        <v>43628</v>
      </c>
      <c r="F1619" s="8" t="str">
        <f ca="1">IFERROR(__xludf.DUMMYFUNCTION("""COMPUTED_VALUE"""),"Hendley Elementary School")</f>
        <v>Hendley Elementary School</v>
      </c>
      <c r="G1619" s="8">
        <f ca="1">IFERROR(__xludf.DUMMYFUNCTION("""COMPUTED_VALUE"""),0)</f>
        <v>0</v>
      </c>
      <c r="H1619" s="8">
        <f ca="1">IFERROR(__xludf.DUMMYFUNCTION("""COMPUTED_VALUE"""),0)</f>
        <v>0</v>
      </c>
      <c r="I1619" s="8">
        <f ca="1">IFERROR(__xludf.DUMMYFUNCTION("""COMPUTED_VALUE"""),0)</f>
        <v>0</v>
      </c>
      <c r="J1619" s="8">
        <f ca="1">IFERROR(__xludf.DUMMYFUNCTION("""COMPUTED_VALUE"""),0)</f>
        <v>0</v>
      </c>
      <c r="K1619" s="8" t="str">
        <f ca="1">IFERROR(__xludf.DUMMYFUNCTION("""COMPUTED_VALUE"""),"https://wjla.com/news/local/dc-elementary-school-shot-again https://www.wusa9.com/article/news/local/dc/second-shooting-in-2-weeks-puts-hendley-elementary-school-on-lockdown/65-8fb8eb51-57b8-498d-9853-09706af10dc2")</f>
        <v>https://wjla.com/news/local/dc-elementary-school-shot-again https://www.wusa9.com/article/news/local/dc/second-shooting-in-2-weeks-puts-hendley-elementary-school-on-lockdown/65-8fb8eb51-57b8-498d-9853-09706af10dc2</v>
      </c>
      <c r="L1619" s="8"/>
      <c r="M1619" s="8"/>
      <c r="N1619" s="8">
        <f ca="1">IFERROR(__xludf.DUMMYFUNCTION("""COMPUTED_VALUE"""),3)</f>
        <v>3</v>
      </c>
      <c r="O1619" s="8" t="str">
        <f ca="1">IFERROR(__xludf.DUMMYFUNCTION("""COMPUTED_VALUE"""),"Summer")</f>
        <v>Summer</v>
      </c>
      <c r="P1619" s="8" t="str">
        <f ca="1">IFERROR(__xludf.DUMMYFUNCTION("""COMPUTED_VALUE"""),"Washington")</f>
        <v>Washington</v>
      </c>
      <c r="Q1619" s="8" t="str">
        <f ca="1">IFERROR(__xludf.DUMMYFUNCTION("""COMPUTED_VALUE"""),"DC")</f>
        <v>DC</v>
      </c>
      <c r="R1619" s="8" t="str">
        <f ca="1">IFERROR(__xludf.DUMMYFUNCTION("""COMPUTED_VALUE"""),"Elementary")</f>
        <v>Elementary</v>
      </c>
      <c r="S1619" s="8" t="str">
        <f ca="1">IFERROR(__xludf.DUMMYFUNCTION("""COMPUTED_VALUE"""),"Front of School")</f>
        <v>Front of School</v>
      </c>
      <c r="T1619" s="8" t="str">
        <f ca="1">IFERROR(__xludf.DUMMYFUNCTION("""COMPUTED_VALUE"""),"Off School Property")</f>
        <v>Off School Property</v>
      </c>
      <c r="U1619" s="8" t="str">
        <f ca="1">IFERROR(__xludf.DUMMYFUNCTION("""COMPUTED_VALUE"""),"No")</f>
        <v>No</v>
      </c>
      <c r="V1619" s="8" t="str">
        <f ca="1">IFERROR(__xludf.DUMMYFUNCTION("""COMPUTED_VALUE"""),"School Event")</f>
        <v>School Event</v>
      </c>
      <c r="W1619" s="11">
        <f ca="1">IFERROR(__xludf.DUMMYFUNCTION("""COMPUTED_VALUE"""),0.680555555555555)</f>
        <v>0.68055555555555503</v>
      </c>
      <c r="X1619" s="8">
        <f ca="1">IFERROR(__xludf.DUMMYFUNCTION("""COMPUTED_VALUE"""),1)</f>
        <v>1</v>
      </c>
      <c r="Y1619" s="12" t="str">
        <f ca="1">IFERROR(__xludf.DUMMYFUNCTION("""COMPUTED_VALUE"""),"Gang related shooting outside of school. Shots struck occupied school building and broke windows. Students and staff locked down.")</f>
        <v>Gang related shooting outside of school. Shots struck occupied school building and broke windows. Students and staff locked down.</v>
      </c>
      <c r="Z1619" s="12" t="str">
        <f ca="1">IFERROR(__xludf.DUMMYFUNCTION("""COMPUTED_VALUE"""),"Shots fired during a gang related incident outside of the school struck the school building and broke windows. Students and staff were at the school for movie night. School was locked down.")</f>
        <v>Shots fired during a gang related incident outside of the school struck the school building and broke windows. Students and staff were at the school for movie night. School was locked down.</v>
      </c>
      <c r="AA1619" s="8" t="str">
        <f ca="1">IFERROR(__xludf.DUMMYFUNCTION("""COMPUTED_VALUE"""),"Escalation of Dispute")</f>
        <v>Escalation of Dispute</v>
      </c>
      <c r="AB1619" s="8"/>
      <c r="AC1619" s="8" t="str">
        <f ca="1">IFERROR(__xludf.DUMMYFUNCTION("""COMPUTED_VALUE"""),"Yes")</f>
        <v>Yes</v>
      </c>
      <c r="AD1619" s="8"/>
      <c r="AE1619" s="8"/>
      <c r="AF1619" s="8"/>
      <c r="AG1619" s="8" t="str">
        <f ca="1">IFERROR(__xludf.DUMMYFUNCTION("""COMPUTED_VALUE"""),"No")</f>
        <v>No</v>
      </c>
      <c r="AH1619" s="8" t="str">
        <f ca="1">IFERROR(__xludf.DUMMYFUNCTION("""COMPUTED_VALUE"""),"No")</f>
        <v>No</v>
      </c>
      <c r="AI1619" s="8" t="str">
        <f ca="1">IFERROR(__xludf.DUMMYFUNCTION("""COMPUTED_VALUE"""),"No")</f>
        <v>No</v>
      </c>
      <c r="AJ1619" s="8" t="str">
        <f ca="1">IFERROR(__xludf.DUMMYFUNCTION("""COMPUTED_VALUE"""),"No")</f>
        <v>No</v>
      </c>
      <c r="AK1619" s="8" t="str">
        <f ca="1">IFERROR(__xludf.DUMMYFUNCTION("""COMPUTED_VALUE"""),"No")</f>
        <v>No</v>
      </c>
      <c r="AL1619" s="8" t="str">
        <f ca="1">IFERROR(__xludf.DUMMYFUNCTION("""COMPUTED_VALUE"""),"Yes")</f>
        <v>Yes</v>
      </c>
      <c r="AM1619" s="8" t="str">
        <f ca="1">IFERROR(__xludf.DUMMYFUNCTION("""COMPUTED_VALUE"""),"No")</f>
        <v>No</v>
      </c>
      <c r="AN1619" s="8"/>
      <c r="AO1619" s="8" t="str">
        <f ca="1">IFERROR(__xludf.DUMMYFUNCTION("""COMPUTED_VALUE"""),"No")</f>
        <v>No</v>
      </c>
      <c r="AP1619" s="8" t="str">
        <f ca="1">IFERROR(__xludf.DUMMYFUNCTION("""COMPUTED_VALUE"""),"No")</f>
        <v>No</v>
      </c>
      <c r="AQ1619" s="8" t="str">
        <f ca="1">IFERROR(__xludf.DUMMYFUNCTION("""COMPUTED_VALUE"""),"Unknown")</f>
        <v>Unknown</v>
      </c>
      <c r="AR1619" s="8" t="str">
        <f ca="1">IFERROR(__xludf.DUMMYFUNCTION("""COMPUTED_VALUE"""),"NA")</f>
        <v>NA</v>
      </c>
      <c r="AS1619" s="8">
        <f ca="1">IFERROR(__xludf.DUMMYFUNCTION("""COMPUTED_VALUE"""),7)</f>
        <v>7</v>
      </c>
      <c r="AT1619" s="8" t="str">
        <f ca="1">IFERROR(__xludf.DUMMYFUNCTION("""COMPUTED_VALUE"""),"Yes")</f>
        <v>Yes</v>
      </c>
      <c r="AU1619" s="8">
        <f ca="1">IFERROR(__xludf.DUMMYFUNCTION("""COMPUTED_VALUE"""),38.828392)</f>
        <v>38.828392000000001</v>
      </c>
      <c r="AV1619" s="8">
        <f ca="1">IFERROR(__xludf.DUMMYFUNCTION("""COMPUTED_VALUE"""),-76.999332)</f>
        <v>-76.999331999999995</v>
      </c>
      <c r="AW1619" s="8"/>
      <c r="AX1619" s="8">
        <f ca="1">IFERROR(__xludf.DUMMYFUNCTION("""COMPUTED_VALUE"""),20032)</f>
        <v>20032</v>
      </c>
    </row>
    <row r="1620" spans="1:50" ht="105" x14ac:dyDescent="0.2">
      <c r="A1620" s="8" t="str">
        <f ca="1">IFERROR(__xludf.DUMMYFUNCTION("""COMPUTED_VALUE"""),"20190610ILMEW")</f>
        <v>20190610ILMEW</v>
      </c>
      <c r="B1620" s="8">
        <f ca="1">IFERROR(__xludf.DUMMYFUNCTION("""COMPUTED_VALUE"""),6)</f>
        <v>6</v>
      </c>
      <c r="C1620" s="8">
        <f ca="1">IFERROR(__xludf.DUMMYFUNCTION("""COMPUTED_VALUE"""),10)</f>
        <v>10</v>
      </c>
      <c r="D1620" s="8">
        <f ca="1">IFERROR(__xludf.DUMMYFUNCTION("""COMPUTED_VALUE"""),2019)</f>
        <v>2019</v>
      </c>
      <c r="E1620" s="9">
        <f ca="1">IFERROR(__xludf.DUMMYFUNCTION("""COMPUTED_VALUE"""),43626)</f>
        <v>43626</v>
      </c>
      <c r="F1620" s="8" t="str">
        <f ca="1">IFERROR(__xludf.DUMMYFUNCTION("""COMPUTED_VALUE"""),"Menta Academy North")</f>
        <v>Menta Academy North</v>
      </c>
      <c r="G1620" s="8">
        <f ca="1">IFERROR(__xludf.DUMMYFUNCTION("""COMPUTED_VALUE"""),0)</f>
        <v>0</v>
      </c>
      <c r="H1620" s="8">
        <f ca="1">IFERROR(__xludf.DUMMYFUNCTION("""COMPUTED_VALUE"""),1)</f>
        <v>1</v>
      </c>
      <c r="I1620" s="8">
        <f ca="1">IFERROR(__xludf.DUMMYFUNCTION("""COMPUTED_VALUE"""),1)</f>
        <v>1</v>
      </c>
      <c r="J1620" s="8">
        <f ca="1">IFERROR(__xludf.DUMMYFUNCTION("""COMPUTED_VALUE"""),0)</f>
        <v>0</v>
      </c>
      <c r="K1620" s="10" t="str">
        <f ca="1">IFERROR(__xludf.DUMMYFUNCTION("""COMPUTED_VALUE"""),"https://www.chicagotribune.com/suburbs/lake-county-news-sun/news/ct-lns-waukegan-shooting-arrests-blotter-st-0612-story.html")</f>
        <v>https://www.chicagotribune.com/suburbs/lake-county-news-sun/news/ct-lns-waukegan-shooting-arrests-blotter-st-0612-story.html</v>
      </c>
      <c r="L1620" s="8"/>
      <c r="M1620" s="8"/>
      <c r="N1620" s="8">
        <f ca="1">IFERROR(__xludf.DUMMYFUNCTION("""COMPUTED_VALUE"""),4)</f>
        <v>4</v>
      </c>
      <c r="O1620" s="8" t="str">
        <f ca="1">IFERROR(__xludf.DUMMYFUNCTION("""COMPUTED_VALUE"""),"Summer")</f>
        <v>Summer</v>
      </c>
      <c r="P1620" s="8" t="str">
        <f ca="1">IFERROR(__xludf.DUMMYFUNCTION("""COMPUTED_VALUE"""),"Waukegan")</f>
        <v>Waukegan</v>
      </c>
      <c r="Q1620" s="8" t="str">
        <f ca="1">IFERROR(__xludf.DUMMYFUNCTION("""COMPUTED_VALUE"""),"IL")</f>
        <v>IL</v>
      </c>
      <c r="R1620" s="8" t="str">
        <f ca="1">IFERROR(__xludf.DUMMYFUNCTION("""COMPUTED_VALUE"""),"Other")</f>
        <v>Other</v>
      </c>
      <c r="S1620" s="8" t="str">
        <f ca="1">IFERROR(__xludf.DUMMYFUNCTION("""COMPUTED_VALUE"""),"Front of School")</f>
        <v>Front of School</v>
      </c>
      <c r="T1620" s="8" t="str">
        <f ca="1">IFERROR(__xludf.DUMMYFUNCTION("""COMPUTED_VALUE"""),"Inside School Building")</f>
        <v>Inside School Building</v>
      </c>
      <c r="U1620" s="8" t="str">
        <f ca="1">IFERROR(__xludf.DUMMYFUNCTION("""COMPUTED_VALUE"""),"Yes")</f>
        <v>Yes</v>
      </c>
      <c r="V1620" s="8" t="str">
        <f ca="1">IFERROR(__xludf.DUMMYFUNCTION("""COMPUTED_VALUE"""),"Afternoon Classes")</f>
        <v>Afternoon Classes</v>
      </c>
      <c r="W1620" s="11">
        <f ca="1">IFERROR(__xludf.DUMMYFUNCTION("""COMPUTED_VALUE"""),0.572916666666666)</f>
        <v>0.57291666666666596</v>
      </c>
      <c r="X1620" s="8">
        <f ca="1">IFERROR(__xludf.DUMMYFUNCTION("""COMPUTED_VALUE"""),1)</f>
        <v>1</v>
      </c>
      <c r="Y1620" s="12" t="str">
        <f ca="1">IFERROR(__xludf.DUMMYFUNCTION("""COMPUTED_VALUE"""),"Adult male and teen fired shots at each other outside of school following argument, bullets struck occupied school building")</f>
        <v>Adult male and teen fired shots at each other outside of school following argument, bullets struck occupied school building</v>
      </c>
      <c r="Z1620" s="12" t="str">
        <f ca="1">IFERROR(__xludf.DUMMYFUNCTION("""COMPUTED_VALUE"""),"27 YOM and 15YOM male fired shots at each other following an argument outside of the school. Neither were associated with the school. Bullets struck the occupied school building. School was locked down. An off-duty police officer working security at the s"&amp;"chool assisted with the lockdown. 27YOM was injured by gunshot and arrested at the scene. 15YOM fled and was later arrested.")</f>
        <v>27 YOM and 15YOM male fired shots at each other following an argument outside of the school. Neither were associated with the school. Bullets struck the occupied school building. School was locked down. An off-duty police officer working security at the school assisted with the lockdown. 27YOM was injured by gunshot and arrested at the scene. 15YOM fled and was later arrested.</v>
      </c>
      <c r="AA1620" s="8" t="str">
        <f ca="1">IFERROR(__xludf.DUMMYFUNCTION("""COMPUTED_VALUE"""),"Escalation of Dispute")</f>
        <v>Escalation of Dispute</v>
      </c>
      <c r="AB1620" s="8"/>
      <c r="AC1620" s="8" t="str">
        <f ca="1">IFERROR(__xludf.DUMMYFUNCTION("""COMPUTED_VALUE"""),"Yes")</f>
        <v>Yes</v>
      </c>
      <c r="AD1620" s="8" t="str">
        <f ca="1">IFERROR(__xludf.DUMMYFUNCTION("""COMPUTED_VALUE"""),"Victims Targeted")</f>
        <v>Victims Targeted</v>
      </c>
      <c r="AE1620" s="8" t="str">
        <f ca="1">IFERROR(__xludf.DUMMYFUNCTION("""COMPUTED_VALUE"""),"No")</f>
        <v>No</v>
      </c>
      <c r="AF1620" s="8"/>
      <c r="AG1620" s="8" t="str">
        <f ca="1">IFERROR(__xludf.DUMMYFUNCTION("""COMPUTED_VALUE"""),"No")</f>
        <v>No</v>
      </c>
      <c r="AH1620" s="8" t="str">
        <f ca="1">IFERROR(__xludf.DUMMYFUNCTION("""COMPUTED_VALUE"""),"No")</f>
        <v>No</v>
      </c>
      <c r="AI1620" s="8" t="str">
        <f ca="1">IFERROR(__xludf.DUMMYFUNCTION("""COMPUTED_VALUE"""),"No")</f>
        <v>No</v>
      </c>
      <c r="AJ1620" s="8" t="str">
        <f ca="1">IFERROR(__xludf.DUMMYFUNCTION("""COMPUTED_VALUE"""),"No")</f>
        <v>No</v>
      </c>
      <c r="AK1620" s="8" t="str">
        <f ca="1">IFERROR(__xludf.DUMMYFUNCTION("""COMPUTED_VALUE"""),"No")</f>
        <v>No</v>
      </c>
      <c r="AL1620" s="8" t="str">
        <f ca="1">IFERROR(__xludf.DUMMYFUNCTION("""COMPUTED_VALUE"""),"No")</f>
        <v>No</v>
      </c>
      <c r="AM1620" s="8" t="str">
        <f ca="1">IFERROR(__xludf.DUMMYFUNCTION("""COMPUTED_VALUE"""),"No")</f>
        <v>No</v>
      </c>
      <c r="AN1620" s="8"/>
      <c r="AO1620" s="8" t="str">
        <f ca="1">IFERROR(__xludf.DUMMYFUNCTION("""COMPUTED_VALUE"""),"No")</f>
        <v>No</v>
      </c>
      <c r="AP1620" s="8" t="str">
        <f ca="1">IFERROR(__xludf.DUMMYFUNCTION("""COMPUTED_VALUE"""),"No")</f>
        <v>No</v>
      </c>
      <c r="AQ1620" s="8" t="str">
        <f ca="1">IFERROR(__xludf.DUMMYFUNCTION("""COMPUTED_VALUE"""),"Unknown")</f>
        <v>Unknown</v>
      </c>
      <c r="AR1620" s="8" t="str">
        <f ca="1">IFERROR(__xludf.DUMMYFUNCTION("""COMPUTED_VALUE"""),"NA")</f>
        <v>NA</v>
      </c>
      <c r="AS1620" s="8"/>
      <c r="AT1620" s="8" t="str">
        <f ca="1">IFERROR(__xludf.DUMMYFUNCTION("""COMPUTED_VALUE"""),"Yes")</f>
        <v>Yes</v>
      </c>
      <c r="AU1620" s="8">
        <f ca="1">IFERROR(__xludf.DUMMYFUNCTION("""COMPUTED_VALUE"""),42.352229)</f>
        <v>42.352229000000001</v>
      </c>
      <c r="AV1620" s="8">
        <f ca="1">IFERROR(__xludf.DUMMYFUNCTION("""COMPUTED_VALUE"""),-87.839129)</f>
        <v>-87.839129</v>
      </c>
      <c r="AW1620" s="8"/>
      <c r="AX1620" s="8">
        <f ca="1">IFERROR(__xludf.DUMMYFUNCTION("""COMPUTED_VALUE"""),60085)</f>
        <v>60085</v>
      </c>
    </row>
    <row r="1621" spans="1:50" ht="45" x14ac:dyDescent="0.2">
      <c r="A1621" s="8" t="str">
        <f ca="1">IFERROR(__xludf.DUMMYFUNCTION("""COMPUTED_VALUE"""),"20190606ILGEC")</f>
        <v>20190606ILGEC</v>
      </c>
      <c r="B1621" s="8">
        <f ca="1">IFERROR(__xludf.DUMMYFUNCTION("""COMPUTED_VALUE"""),6)</f>
        <v>6</v>
      </c>
      <c r="C1621" s="8">
        <f ca="1">IFERROR(__xludf.DUMMYFUNCTION("""COMPUTED_VALUE"""),6)</f>
        <v>6</v>
      </c>
      <c r="D1621" s="8">
        <f ca="1">IFERROR(__xludf.DUMMYFUNCTION("""COMPUTED_VALUE"""),2019)</f>
        <v>2019</v>
      </c>
      <c r="E1621" s="9">
        <f ca="1">IFERROR(__xludf.DUMMYFUNCTION("""COMPUTED_VALUE"""),43622)</f>
        <v>43622</v>
      </c>
      <c r="F1621" s="8" t="str">
        <f ca="1">IFERROR(__xludf.DUMMYFUNCTION("""COMPUTED_VALUE"""),"Genevieve Melody STEM Elementary School")</f>
        <v>Genevieve Melody STEM Elementary School</v>
      </c>
      <c r="G1621" s="8">
        <f ca="1">IFERROR(__xludf.DUMMYFUNCTION("""COMPUTED_VALUE"""),0)</f>
        <v>0</v>
      </c>
      <c r="H1621" s="8">
        <f ca="1">IFERROR(__xludf.DUMMYFUNCTION("""COMPUTED_VALUE"""),1)</f>
        <v>1</v>
      </c>
      <c r="I1621" s="8">
        <f ca="1">IFERROR(__xludf.DUMMYFUNCTION("""COMPUTED_VALUE"""),1)</f>
        <v>1</v>
      </c>
      <c r="J1621" s="8">
        <f ca="1">IFERROR(__xludf.DUMMYFUNCTION("""COMPUTED_VALUE"""),0)</f>
        <v>0</v>
      </c>
      <c r="K1621" s="10" t="str">
        <f ca="1">IFERROR(__xludf.DUMMYFUNCTION("""COMPUTED_VALUE"""),"https://chicago.suntimes.com/crime/2019/6/6/18656020/genevieve-melody-school-court-shooting")</f>
        <v>https://chicago.suntimes.com/crime/2019/6/6/18656020/genevieve-melody-school-court-shooting</v>
      </c>
      <c r="L1621" s="8"/>
      <c r="M1621" s="8"/>
      <c r="N1621" s="8">
        <f ca="1">IFERROR(__xludf.DUMMYFUNCTION("""COMPUTED_VALUE"""),3)</f>
        <v>3</v>
      </c>
      <c r="O1621" s="8" t="str">
        <f ca="1">IFERROR(__xludf.DUMMYFUNCTION("""COMPUTED_VALUE"""),"Summer")</f>
        <v>Summer</v>
      </c>
      <c r="P1621" s="8" t="str">
        <f ca="1">IFERROR(__xludf.DUMMYFUNCTION("""COMPUTED_VALUE"""),"Chicago")</f>
        <v>Chicago</v>
      </c>
      <c r="Q1621" s="8" t="str">
        <f ca="1">IFERROR(__xludf.DUMMYFUNCTION("""COMPUTED_VALUE"""),"IL")</f>
        <v>IL</v>
      </c>
      <c r="R1621" s="8" t="str">
        <f ca="1">IFERROR(__xludf.DUMMYFUNCTION("""COMPUTED_VALUE"""),"Elementary")</f>
        <v>Elementary</v>
      </c>
      <c r="S1621" s="8" t="str">
        <f ca="1">IFERROR(__xludf.DUMMYFUNCTION("""COMPUTED_VALUE"""),"Basketball Court")</f>
        <v>Basketball Court</v>
      </c>
      <c r="T1621" s="8" t="str">
        <f ca="1">IFERROR(__xludf.DUMMYFUNCTION("""COMPUTED_VALUE"""),"Outside on School Property")</f>
        <v>Outside on School Property</v>
      </c>
      <c r="U1621" s="8" t="str">
        <f ca="1">IFERROR(__xludf.DUMMYFUNCTION("""COMPUTED_VALUE"""),"No")</f>
        <v>No</v>
      </c>
      <c r="V1621" s="8" t="str">
        <f ca="1">IFERROR(__xludf.DUMMYFUNCTION("""COMPUTED_VALUE"""),"Evening")</f>
        <v>Evening</v>
      </c>
      <c r="W1621" s="11">
        <f ca="1">IFERROR(__xludf.DUMMYFUNCTION("""COMPUTED_VALUE"""),0.822916666666666)</f>
        <v>0.82291666666666596</v>
      </c>
      <c r="X1621" s="8">
        <f ca="1">IFERROR(__xludf.DUMMYFUNCTION("""COMPUTED_VALUE"""),1)</f>
        <v>1</v>
      </c>
      <c r="Y1621" s="12" t="str">
        <f ca="1">IFERROR(__xludf.DUMMYFUNCTION("""COMPUTED_VALUE"""),"25YOM shot on school basketball court")</f>
        <v>25YOM shot on school basketball court</v>
      </c>
      <c r="Z1621" s="12" t="str">
        <f ca="1">IFERROR(__xludf.DUMMYFUNCTION("""COMPUTED_VALUE"""),"25YOM shot on school basketball court. School was not open. Shooter fled the area. No further information")</f>
        <v>25YOM shot on school basketball court. School was not open. Shooter fled the area. No further information</v>
      </c>
      <c r="AA1621" s="8" t="str">
        <f ca="1">IFERROR(__xludf.DUMMYFUNCTION("""COMPUTED_VALUE"""),"Escalation of Dispute")</f>
        <v>Escalation of Dispute</v>
      </c>
      <c r="AB1621" s="8"/>
      <c r="AC1621" s="8" t="str">
        <f ca="1">IFERROR(__xludf.DUMMYFUNCTION("""COMPUTED_VALUE"""),"No")</f>
        <v>No</v>
      </c>
      <c r="AD1621" s="8"/>
      <c r="AE1621" s="8"/>
      <c r="AF1621" s="8"/>
      <c r="AG1621" s="8" t="str">
        <f ca="1">IFERROR(__xludf.DUMMYFUNCTION("""COMPUTED_VALUE"""),"No")</f>
        <v>No</v>
      </c>
      <c r="AH1621" s="8" t="str">
        <f ca="1">IFERROR(__xludf.DUMMYFUNCTION("""COMPUTED_VALUE"""),"No")</f>
        <v>No</v>
      </c>
      <c r="AI1621" s="8" t="str">
        <f ca="1">IFERROR(__xludf.DUMMYFUNCTION("""COMPUTED_VALUE"""),"No")</f>
        <v>No</v>
      </c>
      <c r="AJ1621" s="8" t="str">
        <f ca="1">IFERROR(__xludf.DUMMYFUNCTION("""COMPUTED_VALUE"""),"No")</f>
        <v>No</v>
      </c>
      <c r="AK1621" s="8" t="str">
        <f ca="1">IFERROR(__xludf.DUMMYFUNCTION("""COMPUTED_VALUE"""),"No")</f>
        <v>No</v>
      </c>
      <c r="AL1621" s="8"/>
      <c r="AM1621" s="8" t="str">
        <f ca="1">IFERROR(__xludf.DUMMYFUNCTION("""COMPUTED_VALUE"""),"No")</f>
        <v>No</v>
      </c>
      <c r="AN1621" s="8"/>
      <c r="AO1621" s="8" t="str">
        <f ca="1">IFERROR(__xludf.DUMMYFUNCTION("""COMPUTED_VALUE"""),"No")</f>
        <v>No</v>
      </c>
      <c r="AP1621" s="8" t="str">
        <f ca="1">IFERROR(__xludf.DUMMYFUNCTION("""COMPUTED_VALUE"""),"No")</f>
        <v>No</v>
      </c>
      <c r="AQ1621" s="8" t="str">
        <f ca="1">IFERROR(__xludf.DUMMYFUNCTION("""COMPUTED_VALUE"""),"Unknown")</f>
        <v>Unknown</v>
      </c>
      <c r="AR1621" s="8" t="str">
        <f ca="1">IFERROR(__xludf.DUMMYFUNCTION("""COMPUTED_VALUE"""),"NA")</f>
        <v>NA</v>
      </c>
      <c r="AS1621" s="8"/>
      <c r="AT1621" s="8" t="str">
        <f ca="1">IFERROR(__xludf.DUMMYFUNCTION("""COMPUTED_VALUE"""),"No")</f>
        <v>No</v>
      </c>
      <c r="AU1621" s="8">
        <f ca="1">IFERROR(__xludf.DUMMYFUNCTION("""COMPUTED_VALUE"""),41.878497)</f>
        <v>41.878497000000003</v>
      </c>
      <c r="AV1621" s="8">
        <f ca="1">IFERROR(__xludf.DUMMYFUNCTION("""COMPUTED_VALUE"""),-87.724722)</f>
        <v>-87.724722</v>
      </c>
      <c r="AW1621" s="8"/>
      <c r="AX1621" s="8">
        <f ca="1">IFERROR(__xludf.DUMMYFUNCTION("""COMPUTED_VALUE"""),60624)</f>
        <v>60624</v>
      </c>
    </row>
    <row r="1622" spans="1:50" ht="60" x14ac:dyDescent="0.2">
      <c r="A1622" s="8" t="str">
        <f ca="1">IFERROR(__xludf.DUMMYFUNCTION("""COMPUTED_VALUE"""),"20190530DCHEW")</f>
        <v>20190530DCHEW</v>
      </c>
      <c r="B1622" s="8">
        <f ca="1">IFERROR(__xludf.DUMMYFUNCTION("""COMPUTED_VALUE"""),5)</f>
        <v>5</v>
      </c>
      <c r="C1622" s="8">
        <f ca="1">IFERROR(__xludf.DUMMYFUNCTION("""COMPUTED_VALUE"""),30)</f>
        <v>30</v>
      </c>
      <c r="D1622" s="8">
        <f ca="1">IFERROR(__xludf.DUMMYFUNCTION("""COMPUTED_VALUE"""),2019)</f>
        <v>2019</v>
      </c>
      <c r="E1622" s="9">
        <f ca="1">IFERROR(__xludf.DUMMYFUNCTION("""COMPUTED_VALUE"""),43615)</f>
        <v>43615</v>
      </c>
      <c r="F1622" s="8" t="str">
        <f ca="1">IFERROR(__xludf.DUMMYFUNCTION("""COMPUTED_VALUE"""),"Hendley Elementary School")</f>
        <v>Hendley Elementary School</v>
      </c>
      <c r="G1622" s="8">
        <f ca="1">IFERROR(__xludf.DUMMYFUNCTION("""COMPUTED_VALUE"""),0)</f>
        <v>0</v>
      </c>
      <c r="H1622" s="8">
        <f ca="1">IFERROR(__xludf.DUMMYFUNCTION("""COMPUTED_VALUE"""),0)</f>
        <v>0</v>
      </c>
      <c r="I1622" s="8">
        <f ca="1">IFERROR(__xludf.DUMMYFUNCTION("""COMPUTED_VALUE"""),0)</f>
        <v>0</v>
      </c>
      <c r="J1622" s="8">
        <f ca="1">IFERROR(__xludf.DUMMYFUNCTION("""COMPUTED_VALUE"""),0)</f>
        <v>0</v>
      </c>
      <c r="K1622" s="10" t="str">
        <f ca="1">IFERROR(__xludf.DUMMYFUNCTION("""COMPUTED_VALUE"""),"https://wjla.com/news/local/dc-elementary-school-shot-again")</f>
        <v>https://wjla.com/news/local/dc-elementary-school-shot-again</v>
      </c>
      <c r="L1622" s="8"/>
      <c r="M1622" s="8"/>
      <c r="N1622" s="8">
        <f ca="1">IFERROR(__xludf.DUMMYFUNCTION("""COMPUTED_VALUE"""),3)</f>
        <v>3</v>
      </c>
      <c r="O1622" s="8" t="str">
        <f ca="1">IFERROR(__xludf.DUMMYFUNCTION("""COMPUTED_VALUE"""),"Spring")</f>
        <v>Spring</v>
      </c>
      <c r="P1622" s="8" t="str">
        <f ca="1">IFERROR(__xludf.DUMMYFUNCTION("""COMPUTED_VALUE"""),"Washington")</f>
        <v>Washington</v>
      </c>
      <c r="Q1622" s="8" t="str">
        <f ca="1">IFERROR(__xludf.DUMMYFUNCTION("""COMPUTED_VALUE"""),"DC")</f>
        <v>DC</v>
      </c>
      <c r="R1622" s="8" t="str">
        <f ca="1">IFERROR(__xludf.DUMMYFUNCTION("""COMPUTED_VALUE"""),"Elementary")</f>
        <v>Elementary</v>
      </c>
      <c r="S1622" s="8" t="str">
        <f ca="1">IFERROR(__xludf.DUMMYFUNCTION("""COMPUTED_VALUE"""),"Front of School")</f>
        <v>Front of School</v>
      </c>
      <c r="T1622" s="8" t="str">
        <f ca="1">IFERROR(__xludf.DUMMYFUNCTION("""COMPUTED_VALUE"""),"Off School Property")</f>
        <v>Off School Property</v>
      </c>
      <c r="U1622" s="8" t="str">
        <f ca="1">IFERROR(__xludf.DUMMYFUNCTION("""COMPUTED_VALUE"""),"No")</f>
        <v>No</v>
      </c>
      <c r="V1622" s="8" t="str">
        <f ca="1">IFERROR(__xludf.DUMMYFUNCTION("""COMPUTED_VALUE"""),"Night")</f>
        <v>Night</v>
      </c>
      <c r="W1622" s="11">
        <f ca="1">IFERROR(__xludf.DUMMYFUNCTION("""COMPUTED_VALUE"""),0.944444444444444)</f>
        <v>0.94444444444444398</v>
      </c>
      <c r="X1622" s="8">
        <f ca="1">IFERROR(__xludf.DUMMYFUNCTION("""COMPUTED_VALUE"""),1)</f>
        <v>1</v>
      </c>
      <c r="Y1622" s="12" t="str">
        <f ca="1">IFERROR(__xludf.DUMMYFUNCTION("""COMPUTED_VALUE"""),"Gunshots from gang fight struck the school building and broke windows.")</f>
        <v>Gunshots from gang fight struck the school building and broke windows.</v>
      </c>
      <c r="Z1622" s="12" t="str">
        <f ca="1">IFERROR(__xludf.DUMMYFUNCTION("""COMPUTED_VALUE"""),"Gang fight outside of school after hours. Bullets struck the school building and broke windows. No students were inside of the school at the time of the shooting.")</f>
        <v>Gang fight outside of school after hours. Bullets struck the school building and broke windows. No students were inside of the school at the time of the shooting.</v>
      </c>
      <c r="AA1622" s="8" t="str">
        <f ca="1">IFERROR(__xludf.DUMMYFUNCTION("""COMPUTED_VALUE"""),"Escalation of Dispute")</f>
        <v>Escalation of Dispute</v>
      </c>
      <c r="AB1622" s="8"/>
      <c r="AC1622" s="8" t="str">
        <f ca="1">IFERROR(__xludf.DUMMYFUNCTION("""COMPUTED_VALUE"""),"No")</f>
        <v>No</v>
      </c>
      <c r="AD1622" s="8"/>
      <c r="AE1622" s="8"/>
      <c r="AF1622" s="8"/>
      <c r="AG1622" s="8" t="str">
        <f ca="1">IFERROR(__xludf.DUMMYFUNCTION("""COMPUTED_VALUE"""),"No")</f>
        <v>No</v>
      </c>
      <c r="AH1622" s="8" t="str">
        <f ca="1">IFERROR(__xludf.DUMMYFUNCTION("""COMPUTED_VALUE"""),"No")</f>
        <v>No</v>
      </c>
      <c r="AI1622" s="8" t="str">
        <f ca="1">IFERROR(__xludf.DUMMYFUNCTION("""COMPUTED_VALUE"""),"No")</f>
        <v>No</v>
      </c>
      <c r="AJ1622" s="8" t="str">
        <f ca="1">IFERROR(__xludf.DUMMYFUNCTION("""COMPUTED_VALUE"""),"No")</f>
        <v>No</v>
      </c>
      <c r="AK1622" s="8" t="str">
        <f ca="1">IFERROR(__xludf.DUMMYFUNCTION("""COMPUTED_VALUE"""),"No")</f>
        <v>No</v>
      </c>
      <c r="AL1622" s="8" t="str">
        <f ca="1">IFERROR(__xludf.DUMMYFUNCTION("""COMPUTED_VALUE"""),"Yes")</f>
        <v>Yes</v>
      </c>
      <c r="AM1622" s="8" t="str">
        <f ca="1">IFERROR(__xludf.DUMMYFUNCTION("""COMPUTED_VALUE"""),"No")</f>
        <v>No</v>
      </c>
      <c r="AN1622" s="8"/>
      <c r="AO1622" s="8" t="str">
        <f ca="1">IFERROR(__xludf.DUMMYFUNCTION("""COMPUTED_VALUE"""),"No")</f>
        <v>No</v>
      </c>
      <c r="AP1622" s="8"/>
      <c r="AQ1622" s="8" t="str">
        <f ca="1">IFERROR(__xludf.DUMMYFUNCTION("""COMPUTED_VALUE"""),"Unknown")</f>
        <v>Unknown</v>
      </c>
      <c r="AR1622" s="8" t="str">
        <f ca="1">IFERROR(__xludf.DUMMYFUNCTION("""COMPUTED_VALUE"""),"NA")</f>
        <v>NA</v>
      </c>
      <c r="AS1622" s="8"/>
      <c r="AT1622" s="8"/>
      <c r="AU1622" s="8">
        <f ca="1">IFERROR(__xludf.DUMMYFUNCTION("""COMPUTED_VALUE"""),38.828392)</f>
        <v>38.828392000000001</v>
      </c>
      <c r="AV1622" s="8">
        <f ca="1">IFERROR(__xludf.DUMMYFUNCTION("""COMPUTED_VALUE"""),-76.999332)</f>
        <v>-76.999331999999995</v>
      </c>
      <c r="AW1622" s="8"/>
      <c r="AX1622" s="8">
        <f ca="1">IFERROR(__xludf.DUMMYFUNCTION("""COMPUTED_VALUE"""),20032)</f>
        <v>20032</v>
      </c>
    </row>
    <row r="1623" spans="1:50" ht="60" x14ac:dyDescent="0.2">
      <c r="A1623" s="8" t="str">
        <f ca="1">IFERROR(__xludf.DUMMYFUNCTION("""COMPUTED_VALUE"""),"20190522OHSAC")</f>
        <v>20190522OHSAC</v>
      </c>
      <c r="B1623" s="8">
        <f ca="1">IFERROR(__xludf.DUMMYFUNCTION("""COMPUTED_VALUE"""),5)</f>
        <v>5</v>
      </c>
      <c r="C1623" s="8">
        <f ca="1">IFERROR(__xludf.DUMMYFUNCTION("""COMPUTED_VALUE"""),22)</f>
        <v>22</v>
      </c>
      <c r="D1623" s="8">
        <f ca="1">IFERROR(__xludf.DUMMYFUNCTION("""COMPUTED_VALUE"""),2019)</f>
        <v>2019</v>
      </c>
      <c r="E1623" s="9">
        <f ca="1">IFERROR(__xludf.DUMMYFUNCTION("""COMPUTED_VALUE"""),43607)</f>
        <v>43607</v>
      </c>
      <c r="F1623" s="8" t="str">
        <f ca="1">IFERROR(__xludf.DUMMYFUNCTION("""COMPUTED_VALUE"""),"Shady Lane Elementary School")</f>
        <v>Shady Lane Elementary School</v>
      </c>
      <c r="G1623" s="8">
        <f ca="1">IFERROR(__xludf.DUMMYFUNCTION("""COMPUTED_VALUE"""),1)</f>
        <v>1</v>
      </c>
      <c r="H1623" s="8">
        <f ca="1">IFERROR(__xludf.DUMMYFUNCTION("""COMPUTED_VALUE"""),1)</f>
        <v>1</v>
      </c>
      <c r="I1623" s="8">
        <f ca="1">IFERROR(__xludf.DUMMYFUNCTION("""COMPUTED_VALUE"""),2)</f>
        <v>2</v>
      </c>
      <c r="J1623" s="8">
        <f ca="1">IFERROR(__xludf.DUMMYFUNCTION("""COMPUTED_VALUE"""),0)</f>
        <v>0</v>
      </c>
      <c r="K1623" s="8" t="str">
        <f ca="1">IFERROR(__xludf.DUMMYFUNCTION("""COMPUTED_VALUE"""),"https://abc6onyourside.com/news/local/2-teens-shot-1-killed-in-shooting-near-east-columbus-elementary-school https://www.dispatch.com/news/20190523/kids-killing-kids-leads-to-death-of-boy-active-in-school-community-programs https://www.wfmj.com/story/4253"&amp;"3325/2-teens-sent-to-youth-prison-in-fatal-shootings-in-2019")</f>
        <v>https://abc6onyourside.com/news/local/2-teens-shot-1-killed-in-shooting-near-east-columbus-elementary-school https://www.dispatch.com/news/20190523/kids-killing-kids-leads-to-death-of-boy-active-in-school-community-programs https://www.wfmj.com/story/42533325/2-teens-sent-to-youth-prison-in-fatal-shootings-in-2019</v>
      </c>
      <c r="L1623" s="8">
        <f ca="1">IFERROR(__xludf.DUMMYFUNCTION("""COMPUTED_VALUE"""),5)</f>
        <v>5</v>
      </c>
      <c r="M1623" s="8" t="str">
        <f ca="1">IFERROR(__xludf.DUMMYFUNCTION("""COMPUTED_VALUE"""),"Local")</f>
        <v>Local</v>
      </c>
      <c r="N1623" s="8">
        <f ca="1">IFERROR(__xludf.DUMMYFUNCTION("""COMPUTED_VALUE"""),5)</f>
        <v>5</v>
      </c>
      <c r="O1623" s="8" t="str">
        <f ca="1">IFERROR(__xludf.DUMMYFUNCTION("""COMPUTED_VALUE"""),"Spring")</f>
        <v>Spring</v>
      </c>
      <c r="P1623" s="8" t="str">
        <f ca="1">IFERROR(__xludf.DUMMYFUNCTION("""COMPUTED_VALUE"""),"Columbus")</f>
        <v>Columbus</v>
      </c>
      <c r="Q1623" s="8" t="str">
        <f ca="1">IFERROR(__xludf.DUMMYFUNCTION("""COMPUTED_VALUE"""),"OH")</f>
        <v>OH</v>
      </c>
      <c r="R1623" s="8" t="str">
        <f ca="1">IFERROR(__xludf.DUMMYFUNCTION("""COMPUTED_VALUE"""),"Elementary")</f>
        <v>Elementary</v>
      </c>
      <c r="S1623" s="8" t="str">
        <f ca="1">IFERROR(__xludf.DUMMYFUNCTION("""COMPUTED_VALUE"""),"Playground")</f>
        <v>Playground</v>
      </c>
      <c r="T1623" s="8" t="str">
        <f ca="1">IFERROR(__xludf.DUMMYFUNCTION("""COMPUTED_VALUE"""),"Outside on School Property")</f>
        <v>Outside on School Property</v>
      </c>
      <c r="U1623" s="8" t="str">
        <f ca="1">IFERROR(__xludf.DUMMYFUNCTION("""COMPUTED_VALUE"""),"No")</f>
        <v>No</v>
      </c>
      <c r="V1623" s="8" t="str">
        <f ca="1">IFERROR(__xludf.DUMMYFUNCTION("""COMPUTED_VALUE"""),"Evening")</f>
        <v>Evening</v>
      </c>
      <c r="W1623" s="11">
        <f ca="1">IFERROR(__xludf.DUMMYFUNCTION("""COMPUTED_VALUE"""),0.784722222222222)</f>
        <v>0.78472222222222199</v>
      </c>
      <c r="X1623" s="8">
        <f ca="1">IFERROR(__xludf.DUMMYFUNCTION("""COMPUTED_VALUE"""),1)</f>
        <v>1</v>
      </c>
      <c r="Y1623" s="12" t="str">
        <f ca="1">IFERROR(__xludf.DUMMYFUNCTION("""COMPUTED_VALUE"""),"13 year old shot two other teens during dispute over cell phone")</f>
        <v>13 year old shot two other teens during dispute over cell phone</v>
      </c>
      <c r="Z1623" s="12" t="str">
        <f ca="1">IFERROR(__xludf.DUMMYFUNCTION("""COMPUTED_VALUE"""),"13 year-old male fatally shot a 14 year-old male and wounded a 14 year-old female on the school playground during a dispute over a cellphone.")</f>
        <v>13 year-old male fatally shot a 14 year-old male and wounded a 14 year-old female on the school playground during a dispute over a cellphone.</v>
      </c>
      <c r="AA1623" s="8" t="str">
        <f ca="1">IFERROR(__xludf.DUMMYFUNCTION("""COMPUTED_VALUE"""),"Escalation of Dispute")</f>
        <v>Escalation of Dispute</v>
      </c>
      <c r="AB1623" s="8"/>
      <c r="AC1623" s="8" t="str">
        <f ca="1">IFERROR(__xludf.DUMMYFUNCTION("""COMPUTED_VALUE"""),"No")</f>
        <v>No</v>
      </c>
      <c r="AD1623" s="8" t="str">
        <f ca="1">IFERROR(__xludf.DUMMYFUNCTION("""COMPUTED_VALUE"""),"Both")</f>
        <v>Both</v>
      </c>
      <c r="AE1623" s="8" t="str">
        <f ca="1">IFERROR(__xludf.DUMMYFUNCTION("""COMPUTED_VALUE"""),"Yes")</f>
        <v>Yes</v>
      </c>
      <c r="AF1623" s="8" t="str">
        <f ca="1">IFERROR(__xludf.DUMMYFUNCTION("""COMPUTED_VALUE"""),"Two teens sentenced")</f>
        <v>Two teens sentenced</v>
      </c>
      <c r="AG1623" s="8" t="str">
        <f ca="1">IFERROR(__xludf.DUMMYFUNCTION("""COMPUTED_VALUE"""),"No")</f>
        <v>No</v>
      </c>
      <c r="AH1623" s="8" t="str">
        <f ca="1">IFERROR(__xludf.DUMMYFUNCTION("""COMPUTED_VALUE"""),"No")</f>
        <v>No</v>
      </c>
      <c r="AI1623" s="8" t="str">
        <f ca="1">IFERROR(__xludf.DUMMYFUNCTION("""COMPUTED_VALUE"""),"No")</f>
        <v>No</v>
      </c>
      <c r="AJ1623" s="8" t="str">
        <f ca="1">IFERROR(__xludf.DUMMYFUNCTION("""COMPUTED_VALUE"""),"No")</f>
        <v>No</v>
      </c>
      <c r="AK1623" s="8" t="str">
        <f ca="1">IFERROR(__xludf.DUMMYFUNCTION("""COMPUTED_VALUE"""),"No")</f>
        <v>No</v>
      </c>
      <c r="AL1623" s="8" t="str">
        <f ca="1">IFERROR(__xludf.DUMMYFUNCTION("""COMPUTED_VALUE"""),"No")</f>
        <v>No</v>
      </c>
      <c r="AM1623" s="8" t="str">
        <f ca="1">IFERROR(__xludf.DUMMYFUNCTION("""COMPUTED_VALUE"""),"No")</f>
        <v>No</v>
      </c>
      <c r="AN1623" s="8"/>
      <c r="AO1623" s="8" t="str">
        <f ca="1">IFERROR(__xludf.DUMMYFUNCTION("""COMPUTED_VALUE"""),"No")</f>
        <v>No</v>
      </c>
      <c r="AP1623" s="8"/>
      <c r="AQ1623" s="8"/>
      <c r="AR1623" s="8" t="str">
        <f ca="1">IFERROR(__xludf.DUMMYFUNCTION("""COMPUTED_VALUE"""),"Outside/Off-Property")</f>
        <v>Outside/Off-Property</v>
      </c>
      <c r="AS1623" s="8"/>
      <c r="AT1623" s="8"/>
      <c r="AU1623" s="8">
        <f ca="1">IFERROR(__xludf.DUMMYFUNCTION("""COMPUTED_VALUE"""),39.945486)</f>
        <v>39.945486000000002</v>
      </c>
      <c r="AV1623" s="8">
        <f ca="1">IFERROR(__xludf.DUMMYFUNCTION("""COMPUTED_VALUE"""),-82.870573)</f>
        <v>-82.870572999999993</v>
      </c>
      <c r="AW1623" s="8"/>
      <c r="AX1623" s="8">
        <f ca="1">IFERROR(__xludf.DUMMYFUNCTION("""COMPUTED_VALUE"""),43227)</f>
        <v>43227</v>
      </c>
    </row>
    <row r="1624" spans="1:50" ht="75" x14ac:dyDescent="0.2">
      <c r="A1624" s="8" t="str">
        <f ca="1">IFERROR(__xludf.DUMMYFUNCTION("""COMPUTED_VALUE"""),"20190517ORPAP")</f>
        <v>20190517ORPAP</v>
      </c>
      <c r="B1624" s="8">
        <f ca="1">IFERROR(__xludf.DUMMYFUNCTION("""COMPUTED_VALUE"""),5)</f>
        <v>5</v>
      </c>
      <c r="C1624" s="8">
        <f ca="1">IFERROR(__xludf.DUMMYFUNCTION("""COMPUTED_VALUE"""),17)</f>
        <v>17</v>
      </c>
      <c r="D1624" s="8">
        <f ca="1">IFERROR(__xludf.DUMMYFUNCTION("""COMPUTED_VALUE"""),2019)</f>
        <v>2019</v>
      </c>
      <c r="E1624" s="9">
        <f ca="1">IFERROR(__xludf.DUMMYFUNCTION("""COMPUTED_VALUE"""),43602)</f>
        <v>43602</v>
      </c>
      <c r="F1624" s="8" t="str">
        <f ca="1">IFERROR(__xludf.DUMMYFUNCTION("""COMPUTED_VALUE"""),"Parkrose High School")</f>
        <v>Parkrose High School</v>
      </c>
      <c r="G1624" s="8">
        <f ca="1">IFERROR(__xludf.DUMMYFUNCTION("""COMPUTED_VALUE"""),0)</f>
        <v>0</v>
      </c>
      <c r="H1624" s="8">
        <f ca="1">IFERROR(__xludf.DUMMYFUNCTION("""COMPUTED_VALUE"""),0)</f>
        <v>0</v>
      </c>
      <c r="I1624" s="8">
        <f ca="1">IFERROR(__xludf.DUMMYFUNCTION("""COMPUTED_VALUE"""),0)</f>
        <v>0</v>
      </c>
      <c r="J1624" s="8">
        <f ca="1">IFERROR(__xludf.DUMMYFUNCTION("""COMPUTED_VALUE"""),0)</f>
        <v>0</v>
      </c>
      <c r="K1624" s="10" t="str">
        <f ca="1">IFERROR(__xludf.DUMMYFUNCTION("""COMPUTED_VALUE"""),"https://www.kgw.com/article/news/local/police-id-student-accused-of-bringing-shotgun-to-parkrose-high-school/283-6998e18d-8460-4ab4-87bd-aab49b4082a8")</f>
        <v>https://www.kgw.com/article/news/local/police-id-student-accused-of-bringing-shotgun-to-parkrose-high-school/283-6998e18d-8460-4ab4-87bd-aab49b4082a8</v>
      </c>
      <c r="L1624" s="8"/>
      <c r="M1624" s="8"/>
      <c r="N1624" s="8">
        <f ca="1">IFERROR(__xludf.DUMMYFUNCTION("""COMPUTED_VALUE"""),4)</f>
        <v>4</v>
      </c>
      <c r="O1624" s="8" t="str">
        <f ca="1">IFERROR(__xludf.DUMMYFUNCTION("""COMPUTED_VALUE"""),"Spring")</f>
        <v>Spring</v>
      </c>
      <c r="P1624" s="8" t="str">
        <f ca="1">IFERROR(__xludf.DUMMYFUNCTION("""COMPUTED_VALUE"""),"Portland")</f>
        <v>Portland</v>
      </c>
      <c r="Q1624" s="8" t="str">
        <f ca="1">IFERROR(__xludf.DUMMYFUNCTION("""COMPUTED_VALUE"""),"OR")</f>
        <v>OR</v>
      </c>
      <c r="R1624" s="8" t="str">
        <f ca="1">IFERROR(__xludf.DUMMYFUNCTION("""COMPUTED_VALUE"""),"High")</f>
        <v>High</v>
      </c>
      <c r="S1624" s="8" t="str">
        <f ca="1">IFERROR(__xludf.DUMMYFUNCTION("""COMPUTED_VALUE"""),"Classroom")</f>
        <v>Classroom</v>
      </c>
      <c r="T1624" s="8" t="str">
        <f ca="1">IFERROR(__xludf.DUMMYFUNCTION("""COMPUTED_VALUE"""),"Inside School Building")</f>
        <v>Inside School Building</v>
      </c>
      <c r="U1624" s="8" t="str">
        <f ca="1">IFERROR(__xludf.DUMMYFUNCTION("""COMPUTED_VALUE"""),"Yes")</f>
        <v>Yes</v>
      </c>
      <c r="V1624" s="8" t="str">
        <f ca="1">IFERROR(__xludf.DUMMYFUNCTION("""COMPUTED_VALUE"""),"Morning Classes")</f>
        <v>Morning Classes</v>
      </c>
      <c r="W1624" s="11">
        <f ca="1">IFERROR(__xludf.DUMMYFUNCTION("""COMPUTED_VALUE"""),0.491666666666666)</f>
        <v>0.49166666666666597</v>
      </c>
      <c r="X1624" s="8">
        <f ca="1">IFERROR(__xludf.DUMMYFUNCTION("""COMPUTED_VALUE"""),1)</f>
        <v>1</v>
      </c>
      <c r="Y1624" s="12" t="str">
        <f ca="1">IFERROR(__xludf.DUMMYFUNCTION("""COMPUTED_VALUE"""),"Student wearing a trench coat walked into classroom with a shotgun. Tackled by football coach.")</f>
        <v>Student wearing a trench coat walked into classroom with a shotgun. Tackled by football coach.</v>
      </c>
      <c r="Z1624" s="12" t="str">
        <f ca="1">IFERROR(__xludf.DUMMYFUNCTION("""COMPUTED_VALUE"""),"Student wearing a trench coat walked into classroom with a shotgun. Tackled by football coach. No shots fired. Suspect arrested. School locked down and dismissed.")</f>
        <v>Student wearing a trench coat walked into classroom with a shotgun. Tackled by football coach. No shots fired. Suspect arrested. School locked down and dismissed.</v>
      </c>
      <c r="AA1624" s="8" t="str">
        <f ca="1">IFERROR(__xludf.DUMMYFUNCTION("""COMPUTED_VALUE"""),"Suicide/Attempted")</f>
        <v>Suicide/Attempted</v>
      </c>
      <c r="AB1624" s="8"/>
      <c r="AC1624" s="8" t="str">
        <f ca="1">IFERROR(__xludf.DUMMYFUNCTION("""COMPUTED_VALUE"""),"Yes")</f>
        <v>Yes</v>
      </c>
      <c r="AD1624" s="8"/>
      <c r="AE1624" s="8" t="str">
        <f ca="1">IFERROR(__xludf.DUMMYFUNCTION("""COMPUTED_VALUE"""),"No")</f>
        <v>No</v>
      </c>
      <c r="AF1624" s="8"/>
      <c r="AG1624" s="8" t="str">
        <f ca="1">IFERROR(__xludf.DUMMYFUNCTION("""COMPUTED_VALUE"""),"No")</f>
        <v>No</v>
      </c>
      <c r="AH1624" s="8" t="str">
        <f ca="1">IFERROR(__xludf.DUMMYFUNCTION("""COMPUTED_VALUE"""),"No")</f>
        <v>No</v>
      </c>
      <c r="AI1624" s="8" t="str">
        <f ca="1">IFERROR(__xludf.DUMMYFUNCTION("""COMPUTED_VALUE"""),"No")</f>
        <v>No</v>
      </c>
      <c r="AJ1624" s="8"/>
      <c r="AK1624" s="8" t="str">
        <f ca="1">IFERROR(__xludf.DUMMYFUNCTION("""COMPUTED_VALUE"""),"No")</f>
        <v>No</v>
      </c>
      <c r="AL1624" s="8" t="str">
        <f ca="1">IFERROR(__xludf.DUMMYFUNCTION("""COMPUTED_VALUE"""),"No")</f>
        <v>No</v>
      </c>
      <c r="AM1624" s="8" t="str">
        <f ca="1">IFERROR(__xludf.DUMMYFUNCTION("""COMPUTED_VALUE"""),"Yes")</f>
        <v>Yes</v>
      </c>
      <c r="AN1624" s="8" t="str">
        <f ca="1">IFERROR(__xludf.DUMMYFUNCTION("""COMPUTED_VALUE"""),"Hallway")</f>
        <v>Hallway</v>
      </c>
      <c r="AO1624" s="8"/>
      <c r="AP1624" s="8" t="str">
        <f ca="1">IFERROR(__xludf.DUMMYFUNCTION("""COMPUTED_VALUE"""),"No")</f>
        <v>No</v>
      </c>
      <c r="AQ1624" s="8" t="str">
        <f ca="1">IFERROR(__xludf.DUMMYFUNCTION("""COMPUTED_VALUE"""),"Unknown")</f>
        <v>Unknown</v>
      </c>
      <c r="AR1624" s="8" t="str">
        <f ca="1">IFERROR(__xludf.DUMMYFUNCTION("""COMPUTED_VALUE"""),"NA")</f>
        <v>NA</v>
      </c>
      <c r="AS1624" s="8">
        <f ca="1">IFERROR(__xludf.DUMMYFUNCTION("""COMPUTED_VALUE"""),0)</f>
        <v>0</v>
      </c>
      <c r="AT1624" s="8" t="str">
        <f ca="1">IFERROR(__xludf.DUMMYFUNCTION("""COMPUTED_VALUE"""),"Yes")</f>
        <v>Yes</v>
      </c>
      <c r="AU1624" s="8">
        <f ca="1">IFERROR(__xludf.DUMMYFUNCTION("""COMPUTED_VALUE"""),45.55282)</f>
        <v>45.552819999999997</v>
      </c>
      <c r="AV1624" s="8">
        <f ca="1">IFERROR(__xludf.DUMMYFUNCTION("""COMPUTED_VALUE"""),-122.541037)</f>
        <v>-122.541037</v>
      </c>
      <c r="AW1624" s="8"/>
      <c r="AX1624" s="8">
        <f ca="1">IFERROR(__xludf.DUMMYFUNCTION("""COMPUTED_VALUE"""),97220)</f>
        <v>97220</v>
      </c>
    </row>
    <row r="1625" spans="1:50" ht="90" x14ac:dyDescent="0.2">
      <c r="A1625" s="8" t="str">
        <f ca="1">IFERROR(__xludf.DUMMYFUNCTION("""COMPUTED_VALUE"""),"20190517FLTEJ")</f>
        <v>20190517FLTEJ</v>
      </c>
      <c r="B1625" s="8">
        <f ca="1">IFERROR(__xludf.DUMMYFUNCTION("""COMPUTED_VALUE"""),5)</f>
        <v>5</v>
      </c>
      <c r="C1625" s="8">
        <f ca="1">IFERROR(__xludf.DUMMYFUNCTION("""COMPUTED_VALUE"""),17)</f>
        <v>17</v>
      </c>
      <c r="D1625" s="8">
        <f ca="1">IFERROR(__xludf.DUMMYFUNCTION("""COMPUTED_VALUE"""),2019)</f>
        <v>2019</v>
      </c>
      <c r="E1625" s="9">
        <f ca="1">IFERROR(__xludf.DUMMYFUNCTION("""COMPUTED_VALUE"""),43602)</f>
        <v>43602</v>
      </c>
      <c r="F1625" s="8" t="str">
        <f ca="1">IFERROR(__xludf.DUMMYFUNCTION("""COMPUTED_VALUE"""),"Terry Parker High School")</f>
        <v>Terry Parker High School</v>
      </c>
      <c r="G1625" s="8">
        <f ca="1">IFERROR(__xludf.DUMMYFUNCTION("""COMPUTED_VALUE"""),0)</f>
        <v>0</v>
      </c>
      <c r="H1625" s="8">
        <f ca="1">IFERROR(__xludf.DUMMYFUNCTION("""COMPUTED_VALUE"""),1)</f>
        <v>1</v>
      </c>
      <c r="I1625" s="8">
        <f ca="1">IFERROR(__xludf.DUMMYFUNCTION("""COMPUTED_VALUE"""),1)</f>
        <v>1</v>
      </c>
      <c r="J1625" s="8">
        <f ca="1">IFERROR(__xludf.DUMMYFUNCTION("""COMPUTED_VALUE"""),0)</f>
        <v>0</v>
      </c>
      <c r="K1625" s="8" t="str">
        <f ca="1">IFERROR(__xludf.DUMMYFUNCTION("""COMPUTED_VALUE"""),"https://www.actionnewsjax.com/news/local/jso-confirms-teen-shot-minutes-before-terry-parker-ribault-football-game-ended/950263312 https://www.actionnewsjax.com/news/local/jso-confirms-teen-shot-minutes-before-terry-parker-ribault-football-game-ended_/9517"&amp;"74054")</f>
        <v>https://www.actionnewsjax.com/news/local/jso-confirms-teen-shot-minutes-before-terry-parker-ribault-football-game-ended/950263312 https://www.actionnewsjax.com/news/local/jso-confirms-teen-shot-minutes-before-terry-parker-ribault-football-game-ended_/951774054</v>
      </c>
      <c r="L1625" s="8"/>
      <c r="M1625" s="8"/>
      <c r="N1625" s="8">
        <f ca="1">IFERROR(__xludf.DUMMYFUNCTION("""COMPUTED_VALUE"""),4)</f>
        <v>4</v>
      </c>
      <c r="O1625" s="8" t="str">
        <f ca="1">IFERROR(__xludf.DUMMYFUNCTION("""COMPUTED_VALUE"""),"Spring")</f>
        <v>Spring</v>
      </c>
      <c r="P1625" s="8" t="str">
        <f ca="1">IFERROR(__xludf.DUMMYFUNCTION("""COMPUTED_VALUE"""),"Jacksonville")</f>
        <v>Jacksonville</v>
      </c>
      <c r="Q1625" s="8" t="str">
        <f ca="1">IFERROR(__xludf.DUMMYFUNCTION("""COMPUTED_VALUE"""),"FL")</f>
        <v>FL</v>
      </c>
      <c r="R1625" s="8" t="str">
        <f ca="1">IFERROR(__xludf.DUMMYFUNCTION("""COMPUTED_VALUE"""),"High")</f>
        <v>High</v>
      </c>
      <c r="S1625" s="8" t="str">
        <f ca="1">IFERROR(__xludf.DUMMYFUNCTION("""COMPUTED_VALUE"""),"Parking Lot")</f>
        <v>Parking Lot</v>
      </c>
      <c r="T1625" s="8" t="str">
        <f ca="1">IFERROR(__xludf.DUMMYFUNCTION("""COMPUTED_VALUE"""),"Outside on School Property")</f>
        <v>Outside on School Property</v>
      </c>
      <c r="U1625" s="8" t="str">
        <f ca="1">IFERROR(__xludf.DUMMYFUNCTION("""COMPUTED_VALUE"""),"No")</f>
        <v>No</v>
      </c>
      <c r="V1625" s="8" t="str">
        <f ca="1">IFERROR(__xludf.DUMMYFUNCTION("""COMPUTED_VALUE"""),"Sport Event")</f>
        <v>Sport Event</v>
      </c>
      <c r="W1625" s="11">
        <f ca="1">IFERROR(__xludf.DUMMYFUNCTION("""COMPUTED_VALUE"""),0.859027777777777)</f>
        <v>0.85902777777777695</v>
      </c>
      <c r="X1625" s="8">
        <f ca="1">IFERROR(__xludf.DUMMYFUNCTION("""COMPUTED_VALUE"""),1)</f>
        <v>1</v>
      </c>
      <c r="Y1625" s="12" t="str">
        <f ca="1">IFERROR(__xludf.DUMMYFUNCTION("""COMPUTED_VALUE"""),"Student shot in parking lot after football game.")</f>
        <v>Student shot in parking lot after football game.</v>
      </c>
      <c r="Z1625" s="12" t="str">
        <f ca="1">IFERROR(__xludf.DUMMYFUNCTION("""COMPUTED_VALUE"""),"16YOM student shot in the school parking lot following a football game (critical condition). Police said the shooting was targeted and gang involvement is possible. Shooter fled but police reported strong leads on suspects. 6 school resource officers were"&amp;" working during the time of the shooting.")</f>
        <v>16YOM student shot in the school parking lot following a football game (critical condition). Police said the shooting was targeted and gang involvement is possible. Shooter fled but police reported strong leads on suspects. 6 school resource officers were working during the time of the shooting.</v>
      </c>
      <c r="AA1625" s="8" t="str">
        <f ca="1">IFERROR(__xludf.DUMMYFUNCTION("""COMPUTED_VALUE"""),"Escalation of Dispute")</f>
        <v>Escalation of Dispute</v>
      </c>
      <c r="AB1625" s="8"/>
      <c r="AC1625" s="8" t="str">
        <f ca="1">IFERROR(__xludf.DUMMYFUNCTION("""COMPUTED_VALUE"""),"Yes")</f>
        <v>Yes</v>
      </c>
      <c r="AD1625" s="8" t="str">
        <f ca="1">IFERROR(__xludf.DUMMYFUNCTION("""COMPUTED_VALUE"""),"Victims Targeted")</f>
        <v>Victims Targeted</v>
      </c>
      <c r="AE1625" s="8" t="str">
        <f ca="1">IFERROR(__xludf.DUMMYFUNCTION("""COMPUTED_VALUE"""),"Yes")</f>
        <v>Yes</v>
      </c>
      <c r="AF1625" s="8" t="str">
        <f ca="1">IFERROR(__xludf.DUMMYFUNCTION("""COMPUTED_VALUE"""),"Several men approached victim")</f>
        <v>Several men approached victim</v>
      </c>
      <c r="AG1625" s="8" t="str">
        <f ca="1">IFERROR(__xludf.DUMMYFUNCTION("""COMPUTED_VALUE"""),"No")</f>
        <v>No</v>
      </c>
      <c r="AH1625" s="8" t="str">
        <f ca="1">IFERROR(__xludf.DUMMYFUNCTION("""COMPUTED_VALUE"""),"No")</f>
        <v>No</v>
      </c>
      <c r="AI1625" s="8" t="str">
        <f ca="1">IFERROR(__xludf.DUMMYFUNCTION("""COMPUTED_VALUE"""),"No")</f>
        <v>No</v>
      </c>
      <c r="AJ1625" s="8" t="str">
        <f ca="1">IFERROR(__xludf.DUMMYFUNCTION("""COMPUTED_VALUE"""),"No")</f>
        <v>No</v>
      </c>
      <c r="AK1625" s="8" t="str">
        <f ca="1">IFERROR(__xludf.DUMMYFUNCTION("""COMPUTED_VALUE"""),"No")</f>
        <v>No</v>
      </c>
      <c r="AL1625" s="8" t="str">
        <f ca="1">IFERROR(__xludf.DUMMYFUNCTION("""COMPUTED_VALUE"""),"Yes")</f>
        <v>Yes</v>
      </c>
      <c r="AM1625" s="8" t="str">
        <f ca="1">IFERROR(__xludf.DUMMYFUNCTION("""COMPUTED_VALUE"""),"No")</f>
        <v>No</v>
      </c>
      <c r="AN1625" s="8"/>
      <c r="AO1625" s="8" t="str">
        <f ca="1">IFERROR(__xludf.DUMMYFUNCTION("""COMPUTED_VALUE"""),"No")</f>
        <v>No</v>
      </c>
      <c r="AP1625" s="8" t="str">
        <f ca="1">IFERROR(__xludf.DUMMYFUNCTION("""COMPUTED_VALUE"""),"Yes")</f>
        <v>Yes</v>
      </c>
      <c r="AQ1625" s="8" t="str">
        <f ca="1">IFERROR(__xludf.DUMMYFUNCTION("""COMPUTED_VALUE"""),"Unknown")</f>
        <v>Unknown</v>
      </c>
      <c r="AR1625" s="8" t="str">
        <f ca="1">IFERROR(__xludf.DUMMYFUNCTION("""COMPUTED_VALUE"""),"NA")</f>
        <v>NA</v>
      </c>
      <c r="AS1625" s="8">
        <f ca="1">IFERROR(__xludf.DUMMYFUNCTION("""COMPUTED_VALUE"""),1)</f>
        <v>1</v>
      </c>
      <c r="AT1625" s="8" t="str">
        <f ca="1">IFERROR(__xludf.DUMMYFUNCTION("""COMPUTED_VALUE"""),"Yes")</f>
        <v>Yes</v>
      </c>
      <c r="AU1625" s="8">
        <f ca="1">IFERROR(__xludf.DUMMYFUNCTION("""COMPUTED_VALUE"""),30.342351)</f>
        <v>30.342351000000001</v>
      </c>
      <c r="AV1625" s="8">
        <f ca="1">IFERROR(__xludf.DUMMYFUNCTION("""COMPUTED_VALUE"""),-81.574769)</f>
        <v>-81.574769000000003</v>
      </c>
      <c r="AW1625" s="8"/>
      <c r="AX1625" s="8">
        <f ca="1">IFERROR(__xludf.DUMMYFUNCTION("""COMPUTED_VALUE"""),32211)</f>
        <v>32211</v>
      </c>
    </row>
    <row r="1626" spans="1:50" ht="60" x14ac:dyDescent="0.2">
      <c r="A1626" s="8" t="str">
        <f ca="1">IFERROR(__xludf.DUMMYFUNCTION("""COMPUTED_VALUE"""),"20190508ILSEC")</f>
        <v>20190508ILSEC</v>
      </c>
      <c r="B1626" s="8">
        <f ca="1">IFERROR(__xludf.DUMMYFUNCTION("""COMPUTED_VALUE"""),5)</f>
        <v>5</v>
      </c>
      <c r="C1626" s="8">
        <f ca="1">IFERROR(__xludf.DUMMYFUNCTION("""COMPUTED_VALUE"""),8)</f>
        <v>8</v>
      </c>
      <c r="D1626" s="8">
        <f ca="1">IFERROR(__xludf.DUMMYFUNCTION("""COMPUTED_VALUE"""),2019)</f>
        <v>2019</v>
      </c>
      <c r="E1626" s="9">
        <f ca="1">IFERROR(__xludf.DUMMYFUNCTION("""COMPUTED_VALUE"""),43593)</f>
        <v>43593</v>
      </c>
      <c r="F1626" s="8" t="str">
        <f ca="1">IFERROR(__xludf.DUMMYFUNCTION("""COMPUTED_VALUE"""),"Second Change High School")</f>
        <v>Second Change High School</v>
      </c>
      <c r="G1626" s="8">
        <f ca="1">IFERROR(__xludf.DUMMYFUNCTION("""COMPUTED_VALUE"""),0)</f>
        <v>0</v>
      </c>
      <c r="H1626" s="8">
        <f ca="1">IFERROR(__xludf.DUMMYFUNCTION("""COMPUTED_VALUE"""),1)</f>
        <v>1</v>
      </c>
      <c r="I1626" s="8">
        <f ca="1">IFERROR(__xludf.DUMMYFUNCTION("""COMPUTED_VALUE"""),1)</f>
        <v>1</v>
      </c>
      <c r="J1626" s="8">
        <f ca="1">IFERROR(__xludf.DUMMYFUNCTION("""COMPUTED_VALUE"""),0)</f>
        <v>0</v>
      </c>
      <c r="K1626" s="8" t="str">
        <f ca="1">IFERROR(__xludf.DUMMYFUNCTION("""COMPUTED_VALUE"""),"https://chicago.suntimes.com/news/2019/5/11/18623582/man-charged-with-attempted-murder-in-shooting-outside-back-of-the-yards-school https://www.chicagotribune.com/news/breaking/ct-met-shooting-outside-alternative-hs-20190508-story.html")</f>
        <v>https://chicago.suntimes.com/news/2019/5/11/18623582/man-charged-with-attempted-murder-in-shooting-outside-back-of-the-yards-school https://www.chicagotribune.com/news/breaking/ct-met-shooting-outside-alternative-hs-20190508-story.html</v>
      </c>
      <c r="L1626" s="8"/>
      <c r="M1626" s="8"/>
      <c r="N1626" s="8">
        <f ca="1">IFERROR(__xludf.DUMMYFUNCTION("""COMPUTED_VALUE"""),4)</f>
        <v>4</v>
      </c>
      <c r="O1626" s="8" t="str">
        <f ca="1">IFERROR(__xludf.DUMMYFUNCTION("""COMPUTED_VALUE"""),"Spring")</f>
        <v>Spring</v>
      </c>
      <c r="P1626" s="8" t="str">
        <f ca="1">IFERROR(__xludf.DUMMYFUNCTION("""COMPUTED_VALUE"""),"Chicago")</f>
        <v>Chicago</v>
      </c>
      <c r="Q1626" s="8" t="str">
        <f ca="1">IFERROR(__xludf.DUMMYFUNCTION("""COMPUTED_VALUE"""),"IL")</f>
        <v>IL</v>
      </c>
      <c r="R1626" s="8" t="str">
        <f ca="1">IFERROR(__xludf.DUMMYFUNCTION("""COMPUTED_VALUE"""),"High")</f>
        <v>High</v>
      </c>
      <c r="S1626" s="8" t="str">
        <f ca="1">IFERROR(__xludf.DUMMYFUNCTION("""COMPUTED_VALUE"""),"Parking Lot")</f>
        <v>Parking Lot</v>
      </c>
      <c r="T1626" s="8" t="str">
        <f ca="1">IFERROR(__xludf.DUMMYFUNCTION("""COMPUTED_VALUE"""),"Outside on School Property")</f>
        <v>Outside on School Property</v>
      </c>
      <c r="U1626" s="8" t="str">
        <f ca="1">IFERROR(__xludf.DUMMYFUNCTION("""COMPUTED_VALUE"""),"Yes")</f>
        <v>Yes</v>
      </c>
      <c r="V1626" s="8" t="str">
        <f ca="1">IFERROR(__xludf.DUMMYFUNCTION("""COMPUTED_VALUE"""),"Dismissal")</f>
        <v>Dismissal</v>
      </c>
      <c r="W1626" s="11">
        <f ca="1">IFERROR(__xludf.DUMMYFUNCTION("""COMPUTED_VALUE"""),0.666666666666666)</f>
        <v>0.66666666666666596</v>
      </c>
      <c r="X1626" s="8">
        <f ca="1">IFERROR(__xludf.DUMMYFUNCTION("""COMPUTED_VALUE"""),1)</f>
        <v>1</v>
      </c>
      <c r="Y1626" s="12" t="str">
        <f ca="1">IFERROR(__xludf.DUMMYFUNCTION("""COMPUTED_VALUE"""),"19YOM student shot in school parking lot during targeted shooting")</f>
        <v>19YOM student shot in school parking lot during targeted shooting</v>
      </c>
      <c r="Z1626" s="12" t="str">
        <f ca="1">IFERROR(__xludf.DUMMYFUNCTION("""COMPUTED_VALUE"""),"Vehicle circled high school parking lot while 19YOM was exiting school building. Single shot fired that struck him in the neck. Critically injured. Shooter fled in vehicle and was arrested the following day.")</f>
        <v>Vehicle circled high school parking lot while 19YOM was exiting school building. Single shot fired that struck him in the neck. Critically injured. Shooter fled in vehicle and was arrested the following day.</v>
      </c>
      <c r="AA1626" s="8" t="str">
        <f ca="1">IFERROR(__xludf.DUMMYFUNCTION("""COMPUTED_VALUE"""),"Drive-by Shooting")</f>
        <v>Drive-by Shooting</v>
      </c>
      <c r="AB1626" s="8"/>
      <c r="AC1626" s="8" t="str">
        <f ca="1">IFERROR(__xludf.DUMMYFUNCTION("""COMPUTED_VALUE"""),"Yes")</f>
        <v>Yes</v>
      </c>
      <c r="AD1626" s="8" t="str">
        <f ca="1">IFERROR(__xludf.DUMMYFUNCTION("""COMPUTED_VALUE"""),"Victims Targeted")</f>
        <v>Victims Targeted</v>
      </c>
      <c r="AE1626" s="8" t="str">
        <f ca="1">IFERROR(__xludf.DUMMYFUNCTION("""COMPUTED_VALUE"""),"No")</f>
        <v>No</v>
      </c>
      <c r="AF1626" s="8"/>
      <c r="AG1626" s="8" t="str">
        <f ca="1">IFERROR(__xludf.DUMMYFUNCTION("""COMPUTED_VALUE"""),"No")</f>
        <v>No</v>
      </c>
      <c r="AH1626" s="8" t="str">
        <f ca="1">IFERROR(__xludf.DUMMYFUNCTION("""COMPUTED_VALUE"""),"No")</f>
        <v>No</v>
      </c>
      <c r="AI1626" s="8" t="str">
        <f ca="1">IFERROR(__xludf.DUMMYFUNCTION("""COMPUTED_VALUE"""),"No")</f>
        <v>No</v>
      </c>
      <c r="AJ1626" s="8" t="str">
        <f ca="1">IFERROR(__xludf.DUMMYFUNCTION("""COMPUTED_VALUE"""),"No")</f>
        <v>No</v>
      </c>
      <c r="AK1626" s="8" t="str">
        <f ca="1">IFERROR(__xludf.DUMMYFUNCTION("""COMPUTED_VALUE"""),"No")</f>
        <v>No</v>
      </c>
      <c r="AL1626" s="8"/>
      <c r="AM1626" s="8" t="str">
        <f ca="1">IFERROR(__xludf.DUMMYFUNCTION("""COMPUTED_VALUE"""),"No")</f>
        <v>No</v>
      </c>
      <c r="AN1626" s="8"/>
      <c r="AO1626" s="8" t="str">
        <f ca="1">IFERROR(__xludf.DUMMYFUNCTION("""COMPUTED_VALUE"""),"No")</f>
        <v>No</v>
      </c>
      <c r="AP1626" s="8"/>
      <c r="AQ1626" s="8" t="str">
        <f ca="1">IFERROR(__xludf.DUMMYFUNCTION("""COMPUTED_VALUE"""),"Unknown")</f>
        <v>Unknown</v>
      </c>
      <c r="AR1626" s="8" t="str">
        <f ca="1">IFERROR(__xludf.DUMMYFUNCTION("""COMPUTED_VALUE"""),"Outside/Off-Property")</f>
        <v>Outside/Off-Property</v>
      </c>
      <c r="AS1626" s="8">
        <f ca="1">IFERROR(__xludf.DUMMYFUNCTION("""COMPUTED_VALUE"""),1)</f>
        <v>1</v>
      </c>
      <c r="AT1626" s="8"/>
      <c r="AU1626" s="8">
        <f ca="1">IFERROR(__xludf.DUMMYFUNCTION("""COMPUTED_VALUE"""),41.800477)</f>
        <v>41.800477000000001</v>
      </c>
      <c r="AV1626" s="8">
        <f ca="1">IFERROR(__xludf.DUMMYFUNCTION("""COMPUTED_VALUE"""),-87.656666)</f>
        <v>-87.656666000000001</v>
      </c>
      <c r="AW1626" s="8"/>
      <c r="AX1626" s="8">
        <f ca="1">IFERROR(__xludf.DUMMYFUNCTION("""COMPUTED_VALUE"""),60609)</f>
        <v>60609</v>
      </c>
    </row>
    <row r="1627" spans="1:50" ht="409.5" x14ac:dyDescent="0.2">
      <c r="A1627" s="8" t="str">
        <f ca="1">IFERROR(__xludf.DUMMYFUNCTION("""COMPUTED_VALUE"""),"20190507COSTH")</f>
        <v>20190507COSTH</v>
      </c>
      <c r="B1627" s="8">
        <f ca="1">IFERROR(__xludf.DUMMYFUNCTION("""COMPUTED_VALUE"""),5)</f>
        <v>5</v>
      </c>
      <c r="C1627" s="8">
        <f ca="1">IFERROR(__xludf.DUMMYFUNCTION("""COMPUTED_VALUE"""),7)</f>
        <v>7</v>
      </c>
      <c r="D1627" s="8">
        <f ca="1">IFERROR(__xludf.DUMMYFUNCTION("""COMPUTED_VALUE"""),2019)</f>
        <v>2019</v>
      </c>
      <c r="E1627" s="9">
        <f ca="1">IFERROR(__xludf.DUMMYFUNCTION("""COMPUTED_VALUE"""),43592)</f>
        <v>43592</v>
      </c>
      <c r="F1627" s="8" t="str">
        <f ca="1">IFERROR(__xludf.DUMMYFUNCTION("""COMPUTED_VALUE"""),"STEM School Highlands Ranch")</f>
        <v>STEM School Highlands Ranch</v>
      </c>
      <c r="G1627" s="8">
        <f ca="1">IFERROR(__xludf.DUMMYFUNCTION("""COMPUTED_VALUE"""),1)</f>
        <v>1</v>
      </c>
      <c r="H1627" s="8">
        <f ca="1">IFERROR(__xludf.DUMMYFUNCTION("""COMPUTED_VALUE"""),8)</f>
        <v>8</v>
      </c>
      <c r="I1627" s="8">
        <f ca="1">IFERROR(__xludf.DUMMYFUNCTION("""COMPUTED_VALUE"""),9)</f>
        <v>9</v>
      </c>
      <c r="J1627" s="8">
        <f ca="1">IFERROR(__xludf.DUMMYFUNCTION("""COMPUTED_VALUE"""),0)</f>
        <v>0</v>
      </c>
      <c r="K1627" s="8" t="str">
        <f ca="1">IFERROR(__xludf.DUMMYFUNCTION("""COMPUTED_VALUE"""),"https://www.cnn.com/2019/09/25/us/colorado-stem-school-shooting-hearing/index.html https://www.cnn.com/2019/05/07/us/colorado-denver-area-school-shooting/index.html https://time.com/5662764/guard-wounded-student-stem-school-shooting/ https://denver.cbsloc"&amp;"al.com/2019/11/20/alec-mckinney-morgan-mckinney-stem-school-shooting/ https://www.cpr.org/2019/12/04/alleged-stem-school-shooter-will-be-tried-as-an-adult/ https://www.foxnews.com/us/teen-pleads-guilty-to-murder-in-colorado-school-shooting https://www.the"&amp;"denverchannel.com/news/stem-school-shooting/prosecutors-wont-seek-death-penalty-against-stem-school-shooting-suspect")</f>
        <v>https://www.cnn.com/2019/09/25/us/colorado-stem-school-shooting-hearing/index.html https://www.cnn.com/2019/05/07/us/colorado-denver-area-school-shooting/index.html https://time.com/5662764/guard-wounded-student-stem-school-shooting/ https://denver.cbslocal.com/2019/11/20/alec-mckinney-morgan-mckinney-stem-school-shooting/ https://www.cpr.org/2019/12/04/alleged-stem-school-shooter-will-be-tried-as-an-adult/ https://www.foxnews.com/us/teen-pleads-guilty-to-murder-in-colorado-school-shooting https://www.thedenverchannel.com/news/stem-school-shooting/prosecutors-wont-seek-death-penalty-against-stem-school-shooting-suspect</v>
      </c>
      <c r="L1627" s="8">
        <f ca="1">IFERROR(__xludf.DUMMYFUNCTION("""COMPUTED_VALUE"""),11)</f>
        <v>11</v>
      </c>
      <c r="M1627" s="8" t="str">
        <f ca="1">IFERROR(__xludf.DUMMYFUNCTION("""COMPUTED_VALUE"""),"International")</f>
        <v>International</v>
      </c>
      <c r="N1627" s="8">
        <f ca="1">IFERROR(__xludf.DUMMYFUNCTION("""COMPUTED_VALUE"""),5)</f>
        <v>5</v>
      </c>
      <c r="O1627" s="8" t="str">
        <f ca="1">IFERROR(__xludf.DUMMYFUNCTION("""COMPUTED_VALUE"""),"Spring")</f>
        <v>Spring</v>
      </c>
      <c r="P1627" s="8" t="str">
        <f ca="1">IFERROR(__xludf.DUMMYFUNCTION("""COMPUTED_VALUE"""),"Highlands Ranch")</f>
        <v>Highlands Ranch</v>
      </c>
      <c r="Q1627" s="8" t="str">
        <f ca="1">IFERROR(__xludf.DUMMYFUNCTION("""COMPUTED_VALUE"""),"CO")</f>
        <v>CO</v>
      </c>
      <c r="R1627" s="8" t="str">
        <f ca="1">IFERROR(__xludf.DUMMYFUNCTION("""COMPUTED_VALUE"""),"K-12")</f>
        <v>K-12</v>
      </c>
      <c r="S1627" s="8" t="str">
        <f ca="1">IFERROR(__xludf.DUMMYFUNCTION("""COMPUTED_VALUE"""),"Classroom")</f>
        <v>Classroom</v>
      </c>
      <c r="T1627" s="8" t="str">
        <f ca="1">IFERROR(__xludf.DUMMYFUNCTION("""COMPUTED_VALUE"""),"Inside School Building")</f>
        <v>Inside School Building</v>
      </c>
      <c r="U1627" s="8" t="str">
        <f ca="1">IFERROR(__xludf.DUMMYFUNCTION("""COMPUTED_VALUE"""),"Yes")</f>
        <v>Yes</v>
      </c>
      <c r="V1627" s="8" t="str">
        <f ca="1">IFERROR(__xludf.DUMMYFUNCTION("""COMPUTED_VALUE"""),"Afternoon Classes")</f>
        <v>Afternoon Classes</v>
      </c>
      <c r="W1627" s="11">
        <f ca="1">IFERROR(__xludf.DUMMYFUNCTION("""COMPUTED_VALUE"""),0.583333333333333)</f>
        <v>0.58333333333333304</v>
      </c>
      <c r="X1627" s="8">
        <f ca="1">IFERROR(__xludf.DUMMYFUNCTION("""COMPUTED_VALUE"""),2)</f>
        <v>2</v>
      </c>
      <c r="Y1627" s="12" t="str">
        <f ca="1">IFERROR(__xludf.DUMMYFUNCTION("""COMPUTED_VALUE"""),"Two students planned attack on school, subdued by other students and law enforcement")</f>
        <v>Two students planned attack on school, subdued by other students and law enforcement</v>
      </c>
      <c r="Z1627" s="12" t="str">
        <f ca="1">IFERROR(__xludf.DUMMYFUNCTION("""COMPUTED_VALUE"""),"Two suspects - current students - 18YOM and a 16YOTF, entered the school armed with handguns and engaged students at two separate locations. The male suspect reportedly shouted to students not to move, several students charged at the suspect, and one of t"&amp;"hem was shot/killed. Some students used the time to get away from the room. 8 people were injured*, 4 in critical condition. Male suspect reportedly took the gun out of a what looked like a guitar case and started shooting. The assigned armed guard at the"&amp;" school confronted the male suspect. After a struggle, both suspects were arrested by police who arrived within 2 minutes. People living nearby and other students helped the wounded victims. One of the students reported that the male suspect had talked ab"&amp;"out causing harm but was never taken seriously. Initial information does not show if female suspect fired her weapon.  Police inspected male suspect's home and vehicle.  The female suspect was allegedly bullied for transgender identity. *One student was i"&amp;"njured from shot from armed private security guard. Suspects allegedly used cocaine before the shooting and broke into male suspect's parents' gun safe with an axe. Male suspect later claimed he was forced to go through with the plan due to fear for his l"&amp;"ife and the female suspect was the one planning the shooting for weeks.
 Preliminary trial hearing: McKinney was abused as a child, witnessed physical abuse of mother, cut his arms, hospitalized 7 times in the year prior to the shooting.")</f>
        <v>Two suspects - current students - 18YOM and a 16YOTF, entered the school armed with handguns and engaged students at two separate locations. The male suspect reportedly shouted to students not to move, several students charged at the suspect, and one of them was shot/killed. Some students used the time to get away from the room. 8 people were injured*, 4 in critical condition. Male suspect reportedly took the gun out of a what looked like a guitar case and started shooting. The assigned armed guard at the school confronted the male suspect. After a struggle, both suspects were arrested by police who arrived within 2 minutes. People living nearby and other students helped the wounded victims. One of the students reported that the male suspect had talked about causing harm but was never taken seriously. Initial information does not show if female suspect fired her weapon.  Police inspected male suspect's home and vehicle.  The female suspect was allegedly bullied for transgender identity. *One student was injured from shot from armed private security guard. Suspects allegedly used cocaine before the shooting and broke into male suspect's parents' gun safe with an axe. Male suspect later claimed he was forced to go through with the plan due to fear for his life and the female suspect was the one planning the shooting for weeks.
 Preliminary trial hearing: McKinney was abused as a child, witnessed physical abuse of mother, cut his arms, hospitalized 7 times in the year prior to the shooting.</v>
      </c>
      <c r="AA1627" s="8" t="str">
        <f ca="1">IFERROR(__xludf.DUMMYFUNCTION("""COMPUTED_VALUE"""),"Indiscriminate Shooting")</f>
        <v>Indiscriminate Shooting</v>
      </c>
      <c r="AB1627" s="8"/>
      <c r="AC1627" s="8" t="str">
        <f ca="1">IFERROR(__xludf.DUMMYFUNCTION("""COMPUTED_VALUE"""),"Yes")</f>
        <v>Yes</v>
      </c>
      <c r="AD1627" s="8"/>
      <c r="AE1627" s="8" t="str">
        <f ca="1">IFERROR(__xludf.DUMMYFUNCTION("""COMPUTED_VALUE"""),"Yes")</f>
        <v>Yes</v>
      </c>
      <c r="AF1627" s="8" t="str">
        <f ca="1">IFERROR(__xludf.DUMMYFUNCTION("""COMPUTED_VALUE"""),"second suspect was a juvenile female")</f>
        <v>second suspect was a juvenile female</v>
      </c>
      <c r="AG1627" s="8" t="str">
        <f ca="1">IFERROR(__xludf.DUMMYFUNCTION("""COMPUTED_VALUE"""),"No")</f>
        <v>No</v>
      </c>
      <c r="AH1627" s="8" t="str">
        <f ca="1">IFERROR(__xludf.DUMMYFUNCTION("""COMPUTED_VALUE"""),"No")</f>
        <v>No</v>
      </c>
      <c r="AI1627" s="8" t="str">
        <f ca="1">IFERROR(__xludf.DUMMYFUNCTION("""COMPUTED_VALUE"""),"No")</f>
        <v>No</v>
      </c>
      <c r="AJ1627" s="8" t="str">
        <f ca="1">IFERROR(__xludf.DUMMYFUNCTION("""COMPUTED_VALUE"""),"Yes")</f>
        <v>Yes</v>
      </c>
      <c r="AK1627" s="8" t="str">
        <f ca="1">IFERROR(__xludf.DUMMYFUNCTION("""COMPUTED_VALUE"""),"No")</f>
        <v>No</v>
      </c>
      <c r="AL1627" s="8" t="str">
        <f ca="1">IFERROR(__xludf.DUMMYFUNCTION("""COMPUTED_VALUE"""),"No")</f>
        <v>No</v>
      </c>
      <c r="AM1627" s="8" t="str">
        <f ca="1">IFERROR(__xludf.DUMMYFUNCTION("""COMPUTED_VALUE"""),"Yes")</f>
        <v>Yes</v>
      </c>
      <c r="AN1627" s="8" t="str">
        <f ca="1">IFERROR(__xludf.DUMMYFUNCTION("""COMPUTED_VALUE"""),"Multiple Rooms")</f>
        <v>Multiple Rooms</v>
      </c>
      <c r="AO1627" s="8" t="str">
        <f ca="1">IFERROR(__xludf.DUMMYFUNCTION("""COMPUTED_VALUE"""),"Yes")</f>
        <v>Yes</v>
      </c>
      <c r="AP1627" s="8" t="str">
        <f ca="1">IFERROR(__xludf.DUMMYFUNCTION("""COMPUTED_VALUE"""),"Yes")</f>
        <v>Yes</v>
      </c>
      <c r="AQ1627" s="8" t="str">
        <f ca="1">IFERROR(__xludf.DUMMYFUNCTION("""COMPUTED_VALUE"""),"Metal Detectors")</f>
        <v>Metal Detectors</v>
      </c>
      <c r="AR1627" s="8" t="str">
        <f ca="1">IFERROR(__xludf.DUMMYFUNCTION("""COMPUTED_VALUE"""),"Bypassed")</f>
        <v>Bypassed</v>
      </c>
      <c r="AS1627" s="8" t="str">
        <f ca="1">IFERROR(__xludf.DUMMYFUNCTION("""COMPUTED_VALUE"""),"&gt;10")</f>
        <v>&gt;10</v>
      </c>
      <c r="AT1627" s="8" t="str">
        <f ca="1">IFERROR(__xludf.DUMMYFUNCTION("""COMPUTED_VALUE"""),"Yes")</f>
        <v>Yes</v>
      </c>
      <c r="AU1627" s="8">
        <f ca="1">IFERROR(__xludf.DUMMYFUNCTION("""COMPUTED_VALUE"""),39.555576)</f>
        <v>39.555576000000002</v>
      </c>
      <c r="AV1627" s="8">
        <f ca="1">IFERROR(__xludf.DUMMYFUNCTION("""COMPUTED_VALUE"""),-104.99724)</f>
        <v>-104.99724000000001</v>
      </c>
      <c r="AW1627" s="8" t="str">
        <f ca="1">IFERROR(__xludf.DUMMYFUNCTION("""COMPUTED_VALUE"""),"Multiple detached buildings")</f>
        <v>Multiple detached buildings</v>
      </c>
      <c r="AX1627" s="8">
        <f ca="1">IFERROR(__xludf.DUMMYFUNCTION("""COMPUTED_VALUE"""),80129)</f>
        <v>80129</v>
      </c>
    </row>
    <row r="1628" spans="1:50" ht="75" x14ac:dyDescent="0.2">
      <c r="A1628" s="8" t="str">
        <f ca="1">IFERROR(__xludf.DUMMYFUNCTION("""COMPUTED_VALUE"""),"20190430VACDW")</f>
        <v>20190430VACDW</v>
      </c>
      <c r="B1628" s="8">
        <f ca="1">IFERROR(__xludf.DUMMYFUNCTION("""COMPUTED_VALUE"""),4)</f>
        <v>4</v>
      </c>
      <c r="C1628" s="8">
        <f ca="1">IFERROR(__xludf.DUMMYFUNCTION("""COMPUTED_VALUE"""),30)</f>
        <v>30</v>
      </c>
      <c r="D1628" s="8">
        <f ca="1">IFERROR(__xludf.DUMMYFUNCTION("""COMPUTED_VALUE"""),2019)</f>
        <v>2019</v>
      </c>
      <c r="E1628" s="9">
        <f ca="1">IFERROR(__xludf.DUMMYFUNCTION("""COMPUTED_VALUE"""),43585)</f>
        <v>43585</v>
      </c>
      <c r="F1628" s="8" t="str">
        <f ca="1">IFERROR(__xludf.DUMMYFUNCTION("""COMPUTED_VALUE"""),"C D Hylton High School")</f>
        <v>C D Hylton High School</v>
      </c>
      <c r="G1628" s="8">
        <f ca="1">IFERROR(__xludf.DUMMYFUNCTION("""COMPUTED_VALUE"""),0)</f>
        <v>0</v>
      </c>
      <c r="H1628" s="8">
        <f ca="1">IFERROR(__xludf.DUMMYFUNCTION("""COMPUTED_VALUE"""),0)</f>
        <v>0</v>
      </c>
      <c r="I1628" s="8">
        <f ca="1">IFERROR(__xludf.DUMMYFUNCTION("""COMPUTED_VALUE"""),0)</f>
        <v>0</v>
      </c>
      <c r="J1628" s="8">
        <f ca="1">IFERROR(__xludf.DUMMYFUNCTION("""COMPUTED_VALUE"""),0)</f>
        <v>0</v>
      </c>
      <c r="K1628" s="8" t="str">
        <f ca="1">IFERROR(__xludf.DUMMYFUNCTION("""COMPUTED_VALUE"""),"https://wtop.com/prince-william-county/2019/04/gun-discharged-inside-prince-william-co-high-school-police-say/ https://www.nbcwashington.com/news/local/Report-of-Shot-Fired-at-Virginia-High-School-509275231.html")</f>
        <v>https://wtop.com/prince-william-county/2019/04/gun-discharged-inside-prince-william-co-high-school-police-say/ https://www.nbcwashington.com/news/local/Report-of-Shot-Fired-at-Virginia-High-School-509275231.html</v>
      </c>
      <c r="L1628" s="8"/>
      <c r="M1628" s="8"/>
      <c r="N1628" s="8">
        <f ca="1">IFERROR(__xludf.DUMMYFUNCTION("""COMPUTED_VALUE"""),4)</f>
        <v>4</v>
      </c>
      <c r="O1628" s="8" t="str">
        <f ca="1">IFERROR(__xludf.DUMMYFUNCTION("""COMPUTED_VALUE"""),"Spring")</f>
        <v>Spring</v>
      </c>
      <c r="P1628" s="8" t="str">
        <f ca="1">IFERROR(__xludf.DUMMYFUNCTION("""COMPUTED_VALUE"""),"Woodbridge")</f>
        <v>Woodbridge</v>
      </c>
      <c r="Q1628" s="8" t="str">
        <f ca="1">IFERROR(__xludf.DUMMYFUNCTION("""COMPUTED_VALUE"""),"VA")</f>
        <v>VA</v>
      </c>
      <c r="R1628" s="8" t="str">
        <f ca="1">IFERROR(__xludf.DUMMYFUNCTION("""COMPUTED_VALUE"""),"High")</f>
        <v>High</v>
      </c>
      <c r="S1628" s="8" t="str">
        <f ca="1">IFERROR(__xludf.DUMMYFUNCTION("""COMPUTED_VALUE"""),"Classroom")</f>
        <v>Classroom</v>
      </c>
      <c r="T1628" s="8" t="str">
        <f ca="1">IFERROR(__xludf.DUMMYFUNCTION("""COMPUTED_VALUE"""),"Inside School Building")</f>
        <v>Inside School Building</v>
      </c>
      <c r="U1628" s="8" t="str">
        <f ca="1">IFERROR(__xludf.DUMMYFUNCTION("""COMPUTED_VALUE"""),"Yes")</f>
        <v>Yes</v>
      </c>
      <c r="V1628" s="8" t="str">
        <f ca="1">IFERROR(__xludf.DUMMYFUNCTION("""COMPUTED_VALUE"""),"Afternoon Classes")</f>
        <v>Afternoon Classes</v>
      </c>
      <c r="W1628" s="11">
        <f ca="1">IFERROR(__xludf.DUMMYFUNCTION("""COMPUTED_VALUE"""),0.5)</f>
        <v>0.5</v>
      </c>
      <c r="X1628" s="8">
        <f ca="1">IFERROR(__xludf.DUMMYFUNCTION("""COMPUTED_VALUE"""),1)</f>
        <v>1</v>
      </c>
      <c r="Y1628" s="12" t="str">
        <f ca="1">IFERROR(__xludf.DUMMYFUNCTION("""COMPUTED_VALUE"""),"Student fired gun in classroom, fled classroom, hid gun, and was arrested by SRO")</f>
        <v>Student fired gun in classroom, fled classroom, hid gun, and was arrested by SRO</v>
      </c>
      <c r="Z1628" s="12" t="str">
        <f ca="1">IFERROR(__xludf.DUMMYFUNCTION("""COMPUTED_VALUE"""),"Student fired gun in classroom. May have been showing gun to other students. Shooter fled classroom and hid the gun in another classroom. Shooter was detained by SRO. School locked down. No injuries.")</f>
        <v>Student fired gun in classroom. May have been showing gun to other students. Shooter fled classroom and hid the gun in another classroom. Shooter was detained by SRO. School locked down. No injuries.</v>
      </c>
      <c r="AA1628" s="8" t="str">
        <f ca="1">IFERROR(__xludf.DUMMYFUNCTION("""COMPUTED_VALUE"""),"Accidental")</f>
        <v>Accidental</v>
      </c>
      <c r="AB1628" s="8"/>
      <c r="AC1628" s="8" t="str">
        <f ca="1">IFERROR(__xludf.DUMMYFUNCTION("""COMPUTED_VALUE"""),"Yes")</f>
        <v>Yes</v>
      </c>
      <c r="AD1628" s="8" t="str">
        <f ca="1">IFERROR(__xludf.DUMMYFUNCTION("""COMPUTED_VALUE"""),"Neither")</f>
        <v>Neither</v>
      </c>
      <c r="AE1628" s="8" t="str">
        <f ca="1">IFERROR(__xludf.DUMMYFUNCTION("""COMPUTED_VALUE"""),"No")</f>
        <v>No</v>
      </c>
      <c r="AF1628" s="8"/>
      <c r="AG1628" s="8" t="str">
        <f ca="1">IFERROR(__xludf.DUMMYFUNCTION("""COMPUTED_VALUE"""),"No")</f>
        <v>No</v>
      </c>
      <c r="AH1628" s="8" t="str">
        <f ca="1">IFERROR(__xludf.DUMMYFUNCTION("""COMPUTED_VALUE"""),"No")</f>
        <v>No</v>
      </c>
      <c r="AI1628" s="8" t="str">
        <f ca="1">IFERROR(__xludf.DUMMYFUNCTION("""COMPUTED_VALUE"""),"No")</f>
        <v>No</v>
      </c>
      <c r="AJ1628" s="8" t="str">
        <f ca="1">IFERROR(__xludf.DUMMYFUNCTION("""COMPUTED_VALUE"""),"No")</f>
        <v>No</v>
      </c>
      <c r="AK1628" s="8" t="str">
        <f ca="1">IFERROR(__xludf.DUMMYFUNCTION("""COMPUTED_VALUE"""),"No")</f>
        <v>No</v>
      </c>
      <c r="AL1628" s="8" t="str">
        <f ca="1">IFERROR(__xludf.DUMMYFUNCTION("""COMPUTED_VALUE"""),"No")</f>
        <v>No</v>
      </c>
      <c r="AM1628" s="8" t="str">
        <f ca="1">IFERROR(__xludf.DUMMYFUNCTION("""COMPUTED_VALUE"""),"No")</f>
        <v>No</v>
      </c>
      <c r="AN1628" s="8"/>
      <c r="AO1628" s="8" t="str">
        <f ca="1">IFERROR(__xludf.DUMMYFUNCTION("""COMPUTED_VALUE"""),"No")</f>
        <v>No</v>
      </c>
      <c r="AP1628" s="8" t="str">
        <f ca="1">IFERROR(__xludf.DUMMYFUNCTION("""COMPUTED_VALUE"""),"Yes")</f>
        <v>Yes</v>
      </c>
      <c r="AQ1628" s="8" t="str">
        <f ca="1">IFERROR(__xludf.DUMMYFUNCTION("""COMPUTED_VALUE"""),"Unknown")</f>
        <v>Unknown</v>
      </c>
      <c r="AR1628" s="8" t="str">
        <f ca="1">IFERROR(__xludf.DUMMYFUNCTION("""COMPUTED_VALUE"""),"NA")</f>
        <v>NA</v>
      </c>
      <c r="AS1628" s="8">
        <f ca="1">IFERROR(__xludf.DUMMYFUNCTION("""COMPUTED_VALUE"""),1)</f>
        <v>1</v>
      </c>
      <c r="AT1628" s="8" t="str">
        <f ca="1">IFERROR(__xludf.DUMMYFUNCTION("""COMPUTED_VALUE"""),"Yes")</f>
        <v>Yes</v>
      </c>
      <c r="AU1628" s="8">
        <f ca="1">IFERROR(__xludf.DUMMYFUNCTION("""COMPUTED_VALUE"""),38.649035)</f>
        <v>38.649034999999998</v>
      </c>
      <c r="AV1628" s="8">
        <f ca="1">IFERROR(__xludf.DUMMYFUNCTION("""COMPUTED_VALUE"""),-77.384669)</f>
        <v>-77.384669000000002</v>
      </c>
      <c r="AW1628" s="8"/>
      <c r="AX1628" s="8">
        <f ca="1">IFERROR(__xludf.DUMMYFUNCTION("""COMPUTED_VALUE"""),22193)</f>
        <v>22193</v>
      </c>
    </row>
    <row r="1629" spans="1:50" ht="75" x14ac:dyDescent="0.2">
      <c r="A1629" s="8" t="str">
        <f ca="1">IFERROR(__xludf.DUMMYFUNCTION("""COMPUTED_VALUE"""),"20190430FLWEW")</f>
        <v>20190430FLWEW</v>
      </c>
      <c r="B1629" s="8">
        <f ca="1">IFERROR(__xludf.DUMMYFUNCTION("""COMPUTED_VALUE"""),4)</f>
        <v>4</v>
      </c>
      <c r="C1629" s="8">
        <f ca="1">IFERROR(__xludf.DUMMYFUNCTION("""COMPUTED_VALUE"""),30)</f>
        <v>30</v>
      </c>
      <c r="D1629" s="8">
        <f ca="1">IFERROR(__xludf.DUMMYFUNCTION("""COMPUTED_VALUE"""),2019)</f>
        <v>2019</v>
      </c>
      <c r="E1629" s="9">
        <f ca="1">IFERROR(__xludf.DUMMYFUNCTION("""COMPUTED_VALUE"""),43585)</f>
        <v>43585</v>
      </c>
      <c r="F1629" s="8" t="str">
        <f ca="1">IFERROR(__xludf.DUMMYFUNCTION("""COMPUTED_VALUE"""),"Weightman Middle School")</f>
        <v>Weightman Middle School</v>
      </c>
      <c r="G1629" s="8">
        <f ca="1">IFERROR(__xludf.DUMMYFUNCTION("""COMPUTED_VALUE"""),0)</f>
        <v>0</v>
      </c>
      <c r="H1629" s="8">
        <f ca="1">IFERROR(__xludf.DUMMYFUNCTION("""COMPUTED_VALUE"""),0)</f>
        <v>0</v>
      </c>
      <c r="I1629" s="8">
        <f ca="1">IFERROR(__xludf.DUMMYFUNCTION("""COMPUTED_VALUE"""),0)</f>
        <v>0</v>
      </c>
      <c r="J1629" s="8">
        <f ca="1">IFERROR(__xludf.DUMMYFUNCTION("""COMPUTED_VALUE"""),0)</f>
        <v>0</v>
      </c>
      <c r="K1629" s="10" t="str">
        <f ca="1">IFERROR(__xludf.DUMMYFUNCTION("""COMPUTED_VALUE"""),"https://www.wfla.com/news/pasco-county/deputies-pasco-school-officer-s-gun-discharges-in-cafeteria-no-one-injured/1966758072")</f>
        <v>https://www.wfla.com/news/pasco-county/deputies-pasco-school-officer-s-gun-discharges-in-cafeteria-no-one-injured/1966758072</v>
      </c>
      <c r="L1629" s="8"/>
      <c r="M1629" s="8"/>
      <c r="N1629" s="8">
        <f ca="1">IFERROR(__xludf.DUMMYFUNCTION("""COMPUTED_VALUE"""),4)</f>
        <v>4</v>
      </c>
      <c r="O1629" s="8" t="str">
        <f ca="1">IFERROR(__xludf.DUMMYFUNCTION("""COMPUTED_VALUE"""),"Spring")</f>
        <v>Spring</v>
      </c>
      <c r="P1629" s="8" t="str">
        <f ca="1">IFERROR(__xludf.DUMMYFUNCTION("""COMPUTED_VALUE"""),"Wesley Chapel")</f>
        <v>Wesley Chapel</v>
      </c>
      <c r="Q1629" s="8" t="str">
        <f ca="1">IFERROR(__xludf.DUMMYFUNCTION("""COMPUTED_VALUE"""),"FL")</f>
        <v>FL</v>
      </c>
      <c r="R1629" s="8" t="str">
        <f ca="1">IFERROR(__xludf.DUMMYFUNCTION("""COMPUTED_VALUE"""),"Middle")</f>
        <v>Middle</v>
      </c>
      <c r="S1629" s="8" t="str">
        <f ca="1">IFERROR(__xludf.DUMMYFUNCTION("""COMPUTED_VALUE"""),"Cafeteria")</f>
        <v>Cafeteria</v>
      </c>
      <c r="T1629" s="8" t="str">
        <f ca="1">IFERROR(__xludf.DUMMYFUNCTION("""COMPUTED_VALUE"""),"Inside School Building")</f>
        <v>Inside School Building</v>
      </c>
      <c r="U1629" s="8" t="str">
        <f ca="1">IFERROR(__xludf.DUMMYFUNCTION("""COMPUTED_VALUE"""),"Yes")</f>
        <v>Yes</v>
      </c>
      <c r="V1629" s="8" t="str">
        <f ca="1">IFERROR(__xludf.DUMMYFUNCTION("""COMPUTED_VALUE"""),"Lunch")</f>
        <v>Lunch</v>
      </c>
      <c r="W1629" s="11">
        <f ca="1">IFERROR(__xludf.DUMMYFUNCTION("""COMPUTED_VALUE"""),0.5)</f>
        <v>0.5</v>
      </c>
      <c r="X1629" s="8">
        <f ca="1">IFERROR(__xludf.DUMMYFUNCTION("""COMPUTED_VALUE"""),1)</f>
        <v>1</v>
      </c>
      <c r="Y1629" s="12" t="str">
        <f ca="1">IFERROR(__xludf.DUMMYFUNCTION("""COMPUTED_VALUE"""),"SRO's gun discharged in school cafeteria during the school day")</f>
        <v>SRO's gun discharged in school cafeteria during the school day</v>
      </c>
      <c r="Z1629" s="12" t="str">
        <f ca="1">IFERROR(__xludf.DUMMYFUNCTION("""COMPUTED_VALUE"""),"Armed SRO was standing against wall near lunch line when duty weapon discharged striking wall. Multiple students were standing nearby in the lunch line. No injuries.")</f>
        <v>Armed SRO was standing against wall near lunch line when duty weapon discharged striking wall. Multiple students were standing nearby in the lunch line. No injuries.</v>
      </c>
      <c r="AA1629" s="8" t="str">
        <f ca="1">IFERROR(__xludf.DUMMYFUNCTION("""COMPUTED_VALUE"""),"Accidental")</f>
        <v>Accidental</v>
      </c>
      <c r="AB1629" s="8"/>
      <c r="AC1629" s="8" t="str">
        <f ca="1">IFERROR(__xludf.DUMMYFUNCTION("""COMPUTED_VALUE"""),"Yes")</f>
        <v>Yes</v>
      </c>
      <c r="AD1629" s="8" t="str">
        <f ca="1">IFERROR(__xludf.DUMMYFUNCTION("""COMPUTED_VALUE"""),"Neither")</f>
        <v>Neither</v>
      </c>
      <c r="AE1629" s="8" t="str">
        <f ca="1">IFERROR(__xludf.DUMMYFUNCTION("""COMPUTED_VALUE"""),"No")</f>
        <v>No</v>
      </c>
      <c r="AF1629" s="8"/>
      <c r="AG1629" s="8" t="str">
        <f ca="1">IFERROR(__xludf.DUMMYFUNCTION("""COMPUTED_VALUE"""),"No")</f>
        <v>No</v>
      </c>
      <c r="AH1629" s="8" t="str">
        <f ca="1">IFERROR(__xludf.DUMMYFUNCTION("""COMPUTED_VALUE"""),"No")</f>
        <v>No</v>
      </c>
      <c r="AI1629" s="8" t="str">
        <f ca="1">IFERROR(__xludf.DUMMYFUNCTION("""COMPUTED_VALUE"""),"Yes")</f>
        <v>Yes</v>
      </c>
      <c r="AJ1629" s="8" t="str">
        <f ca="1">IFERROR(__xludf.DUMMYFUNCTION("""COMPUTED_VALUE"""),"N/A")</f>
        <v>N/A</v>
      </c>
      <c r="AK1629" s="8" t="str">
        <f ca="1">IFERROR(__xludf.DUMMYFUNCTION("""COMPUTED_VALUE"""),"N/A")</f>
        <v>N/A</v>
      </c>
      <c r="AL1629" s="8" t="str">
        <f ca="1">IFERROR(__xludf.DUMMYFUNCTION("""COMPUTED_VALUE"""),"N/A")</f>
        <v>N/A</v>
      </c>
      <c r="AM1629" s="8" t="str">
        <f ca="1">IFERROR(__xludf.DUMMYFUNCTION("""COMPUTED_VALUE"""),"No")</f>
        <v>No</v>
      </c>
      <c r="AN1629" s="8"/>
      <c r="AO1629" s="8" t="str">
        <f ca="1">IFERROR(__xludf.DUMMYFUNCTION("""COMPUTED_VALUE"""),"N/A")</f>
        <v>N/A</v>
      </c>
      <c r="AP1629" s="8" t="str">
        <f ca="1">IFERROR(__xludf.DUMMYFUNCTION("""COMPUTED_VALUE"""),"Yes")</f>
        <v>Yes</v>
      </c>
      <c r="AQ1629" s="8" t="str">
        <f ca="1">IFERROR(__xludf.DUMMYFUNCTION("""COMPUTED_VALUE"""),"Unknown")</f>
        <v>Unknown</v>
      </c>
      <c r="AR1629" s="8" t="str">
        <f ca="1">IFERROR(__xludf.DUMMYFUNCTION("""COMPUTED_VALUE"""),"NA")</f>
        <v>NA</v>
      </c>
      <c r="AS1629" s="8">
        <f ca="1">IFERROR(__xludf.DUMMYFUNCTION("""COMPUTED_VALUE"""),1)</f>
        <v>1</v>
      </c>
      <c r="AT1629" s="8"/>
      <c r="AU1629" s="8">
        <f ca="1">IFERROR(__xludf.DUMMYFUNCTION("""COMPUTED_VALUE"""),28.255638)</f>
        <v>28.255638000000001</v>
      </c>
      <c r="AV1629" s="8">
        <f ca="1">IFERROR(__xludf.DUMMYFUNCTION("""COMPUTED_VALUE"""),-82.307154)</f>
        <v>-82.307153999999997</v>
      </c>
      <c r="AW1629" s="8"/>
      <c r="AX1629" s="8">
        <f ca="1">IFERROR(__xludf.DUMMYFUNCTION("""COMPUTED_VALUE"""),33544)</f>
        <v>33544</v>
      </c>
    </row>
    <row r="1630" spans="1:50" ht="75" x14ac:dyDescent="0.2">
      <c r="A1630" s="8" t="str">
        <f ca="1">IFERROR(__xludf.DUMMYFUNCTION("""COMPUTED_VALUE"""),"20190426GACRF")</f>
        <v>20190426GACRF</v>
      </c>
      <c r="B1630" s="8">
        <f ca="1">IFERROR(__xludf.DUMMYFUNCTION("""COMPUTED_VALUE"""),4)</f>
        <v>4</v>
      </c>
      <c r="C1630" s="8">
        <f ca="1">IFERROR(__xludf.DUMMYFUNCTION("""COMPUTED_VALUE"""),26)</f>
        <v>26</v>
      </c>
      <c r="D1630" s="8">
        <f ca="1">IFERROR(__xludf.DUMMYFUNCTION("""COMPUTED_VALUE"""),2019)</f>
        <v>2019</v>
      </c>
      <c r="E1630" s="9">
        <f ca="1">IFERROR(__xludf.DUMMYFUNCTION("""COMPUTED_VALUE"""),43581)</f>
        <v>43581</v>
      </c>
      <c r="F1630" s="8" t="str">
        <f ca="1">IFERROR(__xludf.DUMMYFUNCTION("""COMPUTED_VALUE"""),"Creekside High School")</f>
        <v>Creekside High School</v>
      </c>
      <c r="G1630" s="8">
        <f ca="1">IFERROR(__xludf.DUMMYFUNCTION("""COMPUTED_VALUE"""),0)</f>
        <v>0</v>
      </c>
      <c r="H1630" s="8">
        <f ca="1">IFERROR(__xludf.DUMMYFUNCTION("""COMPUTED_VALUE"""),0)</f>
        <v>0</v>
      </c>
      <c r="I1630" s="8">
        <f ca="1">IFERROR(__xludf.DUMMYFUNCTION("""COMPUTED_VALUE"""),0)</f>
        <v>0</v>
      </c>
      <c r="J1630" s="8">
        <f ca="1">IFERROR(__xludf.DUMMYFUNCTION("""COMPUTED_VALUE"""),0)</f>
        <v>0</v>
      </c>
      <c r="K1630" s="10" t="str">
        <f ca="1">IFERROR(__xludf.DUMMYFUNCTION("""COMPUTED_VALUE"""),"http://www.fox5atlanta.com/news/police-release-vehicle-description-in-fulton-county-school-bus-shooting")</f>
        <v>http://www.fox5atlanta.com/news/police-release-vehicle-description-in-fulton-county-school-bus-shooting</v>
      </c>
      <c r="L1630" s="8"/>
      <c r="M1630" s="8"/>
      <c r="N1630" s="8">
        <f ca="1">IFERROR(__xludf.DUMMYFUNCTION("""COMPUTED_VALUE"""),3)</f>
        <v>3</v>
      </c>
      <c r="O1630" s="8" t="str">
        <f ca="1">IFERROR(__xludf.DUMMYFUNCTION("""COMPUTED_VALUE"""),"Spring")</f>
        <v>Spring</v>
      </c>
      <c r="P1630" s="8" t="str">
        <f ca="1">IFERROR(__xludf.DUMMYFUNCTION("""COMPUTED_VALUE"""),"Fairburn")</f>
        <v>Fairburn</v>
      </c>
      <c r="Q1630" s="8" t="str">
        <f ca="1">IFERROR(__xludf.DUMMYFUNCTION("""COMPUTED_VALUE"""),"GA")</f>
        <v>GA</v>
      </c>
      <c r="R1630" s="8" t="str">
        <f ca="1">IFERROR(__xludf.DUMMYFUNCTION("""COMPUTED_VALUE"""),"High")</f>
        <v>High</v>
      </c>
      <c r="S1630" s="8" t="str">
        <f ca="1">IFERROR(__xludf.DUMMYFUNCTION("""COMPUTED_VALUE"""),"School Bus")</f>
        <v>School Bus</v>
      </c>
      <c r="T1630" s="8" t="str">
        <f ca="1">IFERROR(__xludf.DUMMYFUNCTION("""COMPUTED_VALUE"""),"School Bus")</f>
        <v>School Bus</v>
      </c>
      <c r="U1630" s="8" t="str">
        <f ca="1">IFERROR(__xludf.DUMMYFUNCTION("""COMPUTED_VALUE"""),"No")</f>
        <v>No</v>
      </c>
      <c r="V1630" s="8" t="str">
        <f ca="1">IFERROR(__xludf.DUMMYFUNCTION("""COMPUTED_VALUE"""),"Dismissal")</f>
        <v>Dismissal</v>
      </c>
      <c r="W1630" s="11">
        <f ca="1">IFERROR(__xludf.DUMMYFUNCTION("""COMPUTED_VALUE"""),0.6875)</f>
        <v>0.6875</v>
      </c>
      <c r="X1630" s="8">
        <f ca="1">IFERROR(__xludf.DUMMYFUNCTION("""COMPUTED_VALUE"""),1)</f>
        <v>1</v>
      </c>
      <c r="Y1630" s="12" t="str">
        <f ca="1">IFERROR(__xludf.DUMMYFUNCTION("""COMPUTED_VALUE"""),"Parent fired at school bus after argument with bus driver")</f>
        <v>Parent fired at school bus after argument with bus driver</v>
      </c>
      <c r="Z1630" s="12" t="str">
        <f ca="1">IFERROR(__xludf.DUMMYFUNCTION("""COMPUTED_VALUE"""),"Car pulled in front of school bus and parent started argument with the bus driver. The car then pulled along the side of the bus and the passenger fired multiple shots at the bus then drove off. Students or the bus driver were not injured.")</f>
        <v>Car pulled in front of school bus and parent started argument with the bus driver. The car then pulled along the side of the bus and the passenger fired multiple shots at the bus then drove off. Students or the bus driver were not injured.</v>
      </c>
      <c r="AA1630" s="8" t="str">
        <f ca="1">IFERROR(__xludf.DUMMYFUNCTION("""COMPUTED_VALUE"""),"Escalation of Dispute")</f>
        <v>Escalation of Dispute</v>
      </c>
      <c r="AB1630" s="8"/>
      <c r="AC1630" s="8" t="str">
        <f ca="1">IFERROR(__xludf.DUMMYFUNCTION("""COMPUTED_VALUE"""),"Yes")</f>
        <v>Yes</v>
      </c>
      <c r="AD1630" s="8" t="str">
        <f ca="1">IFERROR(__xludf.DUMMYFUNCTION("""COMPUTED_VALUE"""),"Victims Targeted")</f>
        <v>Victims Targeted</v>
      </c>
      <c r="AE1630" s="8" t="str">
        <f ca="1">IFERROR(__xludf.DUMMYFUNCTION("""COMPUTED_VALUE"""),"Yes")</f>
        <v>Yes</v>
      </c>
      <c r="AF1630" s="8" t="str">
        <f ca="1">IFERROR(__xludf.DUMMYFUNCTION("""COMPUTED_VALUE"""),"Multiple in car")</f>
        <v>Multiple in car</v>
      </c>
      <c r="AG1630" s="8" t="str">
        <f ca="1">IFERROR(__xludf.DUMMYFUNCTION("""COMPUTED_VALUE"""),"No")</f>
        <v>No</v>
      </c>
      <c r="AH1630" s="8" t="str">
        <f ca="1">IFERROR(__xludf.DUMMYFUNCTION("""COMPUTED_VALUE"""),"No")</f>
        <v>No</v>
      </c>
      <c r="AI1630" s="8" t="str">
        <f ca="1">IFERROR(__xludf.DUMMYFUNCTION("""COMPUTED_VALUE"""),"No")</f>
        <v>No</v>
      </c>
      <c r="AJ1630" s="8" t="str">
        <f ca="1">IFERROR(__xludf.DUMMYFUNCTION("""COMPUTED_VALUE"""),"No")</f>
        <v>No</v>
      </c>
      <c r="AK1630" s="8"/>
      <c r="AL1630" s="8" t="str">
        <f ca="1">IFERROR(__xludf.DUMMYFUNCTION("""COMPUTED_VALUE"""),"No")</f>
        <v>No</v>
      </c>
      <c r="AM1630" s="8" t="str">
        <f ca="1">IFERROR(__xludf.DUMMYFUNCTION("""COMPUTED_VALUE"""),"No")</f>
        <v>No</v>
      </c>
      <c r="AN1630" s="8"/>
      <c r="AO1630" s="8" t="str">
        <f ca="1">IFERROR(__xludf.DUMMYFUNCTION("""COMPUTED_VALUE"""),"No")</f>
        <v>No</v>
      </c>
      <c r="AP1630" s="8"/>
      <c r="AQ1630" s="8" t="str">
        <f ca="1">IFERROR(__xludf.DUMMYFUNCTION("""COMPUTED_VALUE"""),"Unknown")</f>
        <v>Unknown</v>
      </c>
      <c r="AR1630" s="8" t="str">
        <f ca="1">IFERROR(__xludf.DUMMYFUNCTION("""COMPUTED_VALUE"""),"NA")</f>
        <v>NA</v>
      </c>
      <c r="AS1630" s="8"/>
      <c r="AT1630" s="8"/>
      <c r="AU1630" s="8">
        <f ca="1">IFERROR(__xludf.DUMMYFUNCTION("""COMPUTED_VALUE"""),33.558016)</f>
        <v>33.558016000000002</v>
      </c>
      <c r="AV1630" s="8">
        <f ca="1">IFERROR(__xludf.DUMMYFUNCTION("""COMPUTED_VALUE"""),-84.628479)</f>
        <v>-84.628478999999999</v>
      </c>
      <c r="AW1630" s="8"/>
      <c r="AX1630" s="8">
        <f ca="1">IFERROR(__xludf.DUMMYFUNCTION("""COMPUTED_VALUE"""),30213)</f>
        <v>30213</v>
      </c>
    </row>
    <row r="1631" spans="1:50" ht="135" x14ac:dyDescent="0.2">
      <c r="A1631" s="8" t="str">
        <f ca="1">IFERROR(__xludf.DUMMYFUNCTION("""COMPUTED_VALUE"""),"20190425GAWYS")</f>
        <v>20190425GAWYS</v>
      </c>
      <c r="B1631" s="8">
        <f ca="1">IFERROR(__xludf.DUMMYFUNCTION("""COMPUTED_VALUE"""),4)</f>
        <v>4</v>
      </c>
      <c r="C1631" s="8">
        <f ca="1">IFERROR(__xludf.DUMMYFUNCTION("""COMPUTED_VALUE"""),25)</f>
        <v>25</v>
      </c>
      <c r="D1631" s="8">
        <f ca="1">IFERROR(__xludf.DUMMYFUNCTION("""COMPUTED_VALUE"""),2019)</f>
        <v>2019</v>
      </c>
      <c r="E1631" s="9">
        <f ca="1">IFERROR(__xludf.DUMMYFUNCTION("""COMPUTED_VALUE"""),43580)</f>
        <v>43580</v>
      </c>
      <c r="F1631" s="8" t="str">
        <f ca="1">IFERROR(__xludf.DUMMYFUNCTION("""COMPUTED_VALUE"""),"Wynbrooke Elementary Theme School")</f>
        <v>Wynbrooke Elementary Theme School</v>
      </c>
      <c r="G1631" s="8">
        <f ca="1">IFERROR(__xludf.DUMMYFUNCTION("""COMPUTED_VALUE"""),0)</f>
        <v>0</v>
      </c>
      <c r="H1631" s="8">
        <f ca="1">IFERROR(__xludf.DUMMYFUNCTION("""COMPUTED_VALUE"""),0)</f>
        <v>0</v>
      </c>
      <c r="I1631" s="8">
        <f ca="1">IFERROR(__xludf.DUMMYFUNCTION("""COMPUTED_VALUE"""),0)</f>
        <v>0</v>
      </c>
      <c r="J1631" s="8">
        <f ca="1">IFERROR(__xludf.DUMMYFUNCTION("""COMPUTED_VALUE"""),0)</f>
        <v>0</v>
      </c>
      <c r="K1631" s="8" t="str">
        <f ca="1">IFERROR(__xludf.DUMMYFUNCTION("""COMPUTED_VALUE"""),"https://www.ntd.com/teen-charged-in-pellet-gun-shooting-at-elementary-school_323731.html http://www.wlox.com/2019/04/26/children-shot-with-bb-or-pellet-gun-elementary-school-playground-georgia/ https://www.wsbtv.com/news/local/dekalb-county/large-police-p"&amp;"resence-at-dekalb-county-elementary-school/943409297 https://www.foxnews.com/us/10-students-hit-bb-pellet-gun-georgia-school")</f>
        <v>https://www.ntd.com/teen-charged-in-pellet-gun-shooting-at-elementary-school_323731.html http://www.wlox.com/2019/04/26/children-shot-with-bb-or-pellet-gun-elementary-school-playground-georgia/ https://www.wsbtv.com/news/local/dekalb-county/large-police-presence-at-dekalb-county-elementary-school/943409297 https://www.foxnews.com/us/10-students-hit-bb-pellet-gun-georgia-school</v>
      </c>
      <c r="L1631" s="8">
        <f ca="1">IFERROR(__xludf.DUMMYFUNCTION("""COMPUTED_VALUE"""),11)</f>
        <v>11</v>
      </c>
      <c r="M1631" s="8" t="str">
        <f ca="1">IFERROR(__xludf.DUMMYFUNCTION("""COMPUTED_VALUE"""),"National")</f>
        <v>National</v>
      </c>
      <c r="N1631" s="8">
        <f ca="1">IFERROR(__xludf.DUMMYFUNCTION("""COMPUTED_VALUE"""),3)</f>
        <v>3</v>
      </c>
      <c r="O1631" s="8" t="str">
        <f ca="1">IFERROR(__xludf.DUMMYFUNCTION("""COMPUTED_VALUE"""),"Spring")</f>
        <v>Spring</v>
      </c>
      <c r="P1631" s="8" t="str">
        <f ca="1">IFERROR(__xludf.DUMMYFUNCTION("""COMPUTED_VALUE"""),"Stone Mountain")</f>
        <v>Stone Mountain</v>
      </c>
      <c r="Q1631" s="8" t="str">
        <f ca="1">IFERROR(__xludf.DUMMYFUNCTION("""COMPUTED_VALUE"""),"GA")</f>
        <v>GA</v>
      </c>
      <c r="R1631" s="8" t="str">
        <f ca="1">IFERROR(__xludf.DUMMYFUNCTION("""COMPUTED_VALUE"""),"Elementary")</f>
        <v>Elementary</v>
      </c>
      <c r="S1631" s="8" t="str">
        <f ca="1">IFERROR(__xludf.DUMMYFUNCTION("""COMPUTED_VALUE"""),"Playground")</f>
        <v>Playground</v>
      </c>
      <c r="T1631" s="8" t="str">
        <f ca="1">IFERROR(__xludf.DUMMYFUNCTION("""COMPUTED_VALUE"""),"Outside on School Property")</f>
        <v>Outside on School Property</v>
      </c>
      <c r="U1631" s="8" t="str">
        <f ca="1">IFERROR(__xludf.DUMMYFUNCTION("""COMPUTED_VALUE"""),"Yes")</f>
        <v>Yes</v>
      </c>
      <c r="V1631" s="8" t="str">
        <f ca="1">IFERROR(__xludf.DUMMYFUNCTION("""COMPUTED_VALUE"""),"Lunch")</f>
        <v>Lunch</v>
      </c>
      <c r="W1631" s="11">
        <f ca="1">IFERROR(__xludf.DUMMYFUNCTION("""COMPUTED_VALUE"""),0.541666666666666)</f>
        <v>0.54166666666666596</v>
      </c>
      <c r="X1631" s="8">
        <f ca="1">IFERROR(__xludf.DUMMYFUNCTION("""COMPUTED_VALUE"""),1)</f>
        <v>1</v>
      </c>
      <c r="Y1631" s="12" t="str">
        <f ca="1">IFERROR(__xludf.DUMMYFUNCTION("""COMPUTED_VALUE"""),"BB/pellet gun projectiles shot from outside of the school hit 10 students")</f>
        <v>BB/pellet gun projectiles shot from outside of the school hit 10 students</v>
      </c>
      <c r="Z1631" s="12" t="str">
        <f ca="1">IFERROR(__xludf.DUMMYFUNCTION("""COMPUTED_VALUE"""),"Elementary school students were playing outside in the schoolyard and 10 were hit by BB/pellet gun projectiles, reportedly coming from a wooded area outside the school property. Victim suffered minor injuries and were taken to the hospital. The school dis"&amp;"trict claimed that no one attempted to enter the building and the other staff and other students were not at risk. A student who was in the cafeteria allegedly heard reports for an active shooter and a teacher asked the janitor to lock the doors and close"&amp;" the blinds.")</f>
        <v>Elementary school students were playing outside in the schoolyard and 10 were hit by BB/pellet gun projectiles, reportedly coming from a wooded area outside the school property. Victim suffered minor injuries and were taken to the hospital. The school district claimed that no one attempted to enter the building and the other staff and other students were not at risk. A student who was in the cafeteria allegedly heard reports for an active shooter and a teacher asked the janitor to lock the doors and close the blinds.</v>
      </c>
      <c r="AA1631" s="8" t="str">
        <f ca="1">IFERROR(__xludf.DUMMYFUNCTION("""COMPUTED_VALUE"""),"Indiscriminate Shooting")</f>
        <v>Indiscriminate Shooting</v>
      </c>
      <c r="AB1631" s="8"/>
      <c r="AC1631" s="8" t="str">
        <f ca="1">IFERROR(__xludf.DUMMYFUNCTION("""COMPUTED_VALUE"""),"Yes")</f>
        <v>Yes</v>
      </c>
      <c r="AD1631" s="8" t="str">
        <f ca="1">IFERROR(__xludf.DUMMYFUNCTION("""COMPUTED_VALUE"""),"Random Shooting")</f>
        <v>Random Shooting</v>
      </c>
      <c r="AE1631" s="8"/>
      <c r="AF1631" s="8"/>
      <c r="AG1631" s="8" t="str">
        <f ca="1">IFERROR(__xludf.DUMMYFUNCTION("""COMPUTED_VALUE"""),"No")</f>
        <v>No</v>
      </c>
      <c r="AH1631" s="8" t="str">
        <f ca="1">IFERROR(__xludf.DUMMYFUNCTION("""COMPUTED_VALUE"""),"No")</f>
        <v>No</v>
      </c>
      <c r="AI1631" s="8" t="str">
        <f ca="1">IFERROR(__xludf.DUMMYFUNCTION("""COMPUTED_VALUE"""),"No")</f>
        <v>No</v>
      </c>
      <c r="AJ1631" s="8"/>
      <c r="AK1631" s="8" t="str">
        <f ca="1">IFERROR(__xludf.DUMMYFUNCTION("""COMPUTED_VALUE"""),"No")</f>
        <v>No</v>
      </c>
      <c r="AL1631" s="8"/>
      <c r="AM1631" s="8" t="str">
        <f ca="1">IFERROR(__xludf.DUMMYFUNCTION("""COMPUTED_VALUE"""),"Yes")</f>
        <v>Yes</v>
      </c>
      <c r="AN1631" s="8" t="str">
        <f ca="1">IFERROR(__xludf.DUMMYFUNCTION("""COMPUTED_VALUE"""),"Outside")</f>
        <v>Outside</v>
      </c>
      <c r="AO1631" s="8"/>
      <c r="AP1631" s="8" t="str">
        <f ca="1">IFERROR(__xludf.DUMMYFUNCTION("""COMPUTED_VALUE"""),"No")</f>
        <v>No</v>
      </c>
      <c r="AQ1631" s="8" t="str">
        <f ca="1">IFERROR(__xludf.DUMMYFUNCTION("""COMPUTED_VALUE"""),"Unknown")</f>
        <v>Unknown</v>
      </c>
      <c r="AR1631" s="8" t="str">
        <f ca="1">IFERROR(__xludf.DUMMYFUNCTION("""COMPUTED_VALUE"""),"NA")</f>
        <v>NA</v>
      </c>
      <c r="AS1631" s="8"/>
      <c r="AT1631" s="8" t="str">
        <f ca="1">IFERROR(__xludf.DUMMYFUNCTION("""COMPUTED_VALUE"""),"Yes")</f>
        <v>Yes</v>
      </c>
      <c r="AU1631" s="8">
        <f ca="1">IFERROR(__xludf.DUMMYFUNCTION("""COMPUTED_VALUE"""),33.787826)</f>
        <v>33.787826000000003</v>
      </c>
      <c r="AV1631" s="8">
        <f ca="1">IFERROR(__xludf.DUMMYFUNCTION("""COMPUTED_VALUE"""),-84.111048)</f>
        <v>-84.111047999999997</v>
      </c>
      <c r="AW1631" s="8"/>
      <c r="AX1631" s="8">
        <f ca="1">IFERROR(__xludf.DUMMYFUNCTION("""COMPUTED_VALUE"""),30087)</f>
        <v>30087</v>
      </c>
    </row>
    <row r="1632" spans="1:50" ht="60" x14ac:dyDescent="0.2">
      <c r="A1632" s="8" t="str">
        <f ca="1">IFERROR(__xludf.DUMMYFUNCTION("""COMPUTED_VALUE"""),"20190424ARCOC")</f>
        <v>20190424ARCOC</v>
      </c>
      <c r="B1632" s="8">
        <f ca="1">IFERROR(__xludf.DUMMYFUNCTION("""COMPUTED_VALUE"""),4)</f>
        <v>4</v>
      </c>
      <c r="C1632" s="8">
        <f ca="1">IFERROR(__xludf.DUMMYFUNCTION("""COMPUTED_VALUE"""),24)</f>
        <v>24</v>
      </c>
      <c r="D1632" s="8">
        <f ca="1">IFERROR(__xludf.DUMMYFUNCTION("""COMPUTED_VALUE"""),2019)</f>
        <v>2019</v>
      </c>
      <c r="E1632" s="9">
        <f ca="1">IFERROR(__xludf.DUMMYFUNCTION("""COMPUTED_VALUE"""),43579)</f>
        <v>43579</v>
      </c>
      <c r="F1632" s="8" t="str">
        <f ca="1">IFERROR(__xludf.DUMMYFUNCTION("""COMPUTED_VALUE"""),"Concord High School")</f>
        <v>Concord High School</v>
      </c>
      <c r="G1632" s="8">
        <f ca="1">IFERROR(__xludf.DUMMYFUNCTION("""COMPUTED_VALUE"""),0)</f>
        <v>0</v>
      </c>
      <c r="H1632" s="8">
        <f ca="1">IFERROR(__xludf.DUMMYFUNCTION("""COMPUTED_VALUE"""),0)</f>
        <v>0</v>
      </c>
      <c r="I1632" s="8">
        <f ca="1">IFERROR(__xludf.DUMMYFUNCTION("""COMPUTED_VALUE"""),0)</f>
        <v>0</v>
      </c>
      <c r="J1632" s="8">
        <f ca="1">IFERROR(__xludf.DUMMYFUNCTION("""COMPUTED_VALUE"""),1)</f>
        <v>1</v>
      </c>
      <c r="K1632" s="8" t="str">
        <f ca="1">IFERROR(__xludf.DUMMYFUNCTION("""COMPUTED_VALUE"""),"https://www.arkansasonline.com/news/2019/apr/24/authorties-responding-reported-shooting-arkansas-s/ https://www.arktimes.com/ArkansasBlog/archives/2019/04/24/shooting-reported-at-concord-school-in-cleburne-county")</f>
        <v>https://www.arkansasonline.com/news/2019/apr/24/authorties-responding-reported-shooting-arkansas-s/ https://www.arktimes.com/ArkansasBlog/archives/2019/04/24/shooting-reported-at-concord-school-in-cleburne-county</v>
      </c>
      <c r="L1632" s="8"/>
      <c r="M1632" s="8"/>
      <c r="N1632" s="8">
        <f ca="1">IFERROR(__xludf.DUMMYFUNCTION("""COMPUTED_VALUE"""),4)</f>
        <v>4</v>
      </c>
      <c r="O1632" s="8" t="str">
        <f ca="1">IFERROR(__xludf.DUMMYFUNCTION("""COMPUTED_VALUE"""),"Spring")</f>
        <v>Spring</v>
      </c>
      <c r="P1632" s="8" t="str">
        <f ca="1">IFERROR(__xludf.DUMMYFUNCTION("""COMPUTED_VALUE"""),"Concord")</f>
        <v>Concord</v>
      </c>
      <c r="Q1632" s="8" t="str">
        <f ca="1">IFERROR(__xludf.DUMMYFUNCTION("""COMPUTED_VALUE"""),"AR")</f>
        <v>AR</v>
      </c>
      <c r="R1632" s="8" t="str">
        <f ca="1">IFERROR(__xludf.DUMMYFUNCTION("""COMPUTED_VALUE"""),"High")</f>
        <v>High</v>
      </c>
      <c r="S1632" s="8" t="str">
        <f ca="1">IFERROR(__xludf.DUMMYFUNCTION("""COMPUTED_VALUE"""),"Bathroom")</f>
        <v>Bathroom</v>
      </c>
      <c r="T1632" s="8" t="str">
        <f ca="1">IFERROR(__xludf.DUMMYFUNCTION("""COMPUTED_VALUE"""),"Inside School Building")</f>
        <v>Inside School Building</v>
      </c>
      <c r="U1632" s="8" t="str">
        <f ca="1">IFERROR(__xludf.DUMMYFUNCTION("""COMPUTED_VALUE"""),"Yes")</f>
        <v>Yes</v>
      </c>
      <c r="V1632" s="8" t="str">
        <f ca="1">IFERROR(__xludf.DUMMYFUNCTION("""COMPUTED_VALUE"""),"Lunch")</f>
        <v>Lunch</v>
      </c>
      <c r="W1632" s="11">
        <f ca="1">IFERROR(__xludf.DUMMYFUNCTION("""COMPUTED_VALUE"""),0.527777777777777)</f>
        <v>0.52777777777777701</v>
      </c>
      <c r="X1632" s="8">
        <f ca="1">IFERROR(__xludf.DUMMYFUNCTION("""COMPUTED_VALUE"""),1)</f>
        <v>1</v>
      </c>
      <c r="Y1632" s="12" t="str">
        <f ca="1">IFERROR(__xludf.DUMMYFUNCTION("""COMPUTED_VALUE"""),"Student shot himself in the school bathroom")</f>
        <v>Student shot himself in the school bathroom</v>
      </c>
      <c r="Z1632" s="12" t="str">
        <f ca="1">IFERROR(__xludf.DUMMYFUNCTION("""COMPUTED_VALUE"""),"14YOM student shot himself in the school bathroom. No other students or staff injured. School shooting was reported by law enforcement. School locked down and then dismissed.")</f>
        <v>14YOM student shot himself in the school bathroom. No other students or staff injured. School shooting was reported by law enforcement. School locked down and then dismissed.</v>
      </c>
      <c r="AA1632" s="8" t="str">
        <f ca="1">IFERROR(__xludf.DUMMYFUNCTION("""COMPUTED_VALUE"""),"Suicide/Attempted")</f>
        <v>Suicide/Attempted</v>
      </c>
      <c r="AB1632" s="8"/>
      <c r="AC1632" s="8" t="str">
        <f ca="1">IFERROR(__xludf.DUMMYFUNCTION("""COMPUTED_VALUE"""),"Yes")</f>
        <v>Yes</v>
      </c>
      <c r="AD1632" s="8" t="str">
        <f ca="1">IFERROR(__xludf.DUMMYFUNCTION("""COMPUTED_VALUE"""),"Victims Targeted")</f>
        <v>Victims Targeted</v>
      </c>
      <c r="AE1632" s="8" t="str">
        <f ca="1">IFERROR(__xludf.DUMMYFUNCTION("""COMPUTED_VALUE"""),"No")</f>
        <v>No</v>
      </c>
      <c r="AF1632" s="8"/>
      <c r="AG1632" s="8" t="str">
        <f ca="1">IFERROR(__xludf.DUMMYFUNCTION("""COMPUTED_VALUE"""),"No")</f>
        <v>No</v>
      </c>
      <c r="AH1632" s="8" t="str">
        <f ca="1">IFERROR(__xludf.DUMMYFUNCTION("""COMPUTED_VALUE"""),"No")</f>
        <v>No</v>
      </c>
      <c r="AI1632" s="8" t="str">
        <f ca="1">IFERROR(__xludf.DUMMYFUNCTION("""COMPUTED_VALUE"""),"No")</f>
        <v>No</v>
      </c>
      <c r="AJ1632" s="8"/>
      <c r="AK1632" s="8" t="str">
        <f ca="1">IFERROR(__xludf.DUMMYFUNCTION("""COMPUTED_VALUE"""),"No")</f>
        <v>No</v>
      </c>
      <c r="AL1632" s="8" t="str">
        <f ca="1">IFERROR(__xludf.DUMMYFUNCTION("""COMPUTED_VALUE"""),"No")</f>
        <v>No</v>
      </c>
      <c r="AM1632" s="8" t="str">
        <f ca="1">IFERROR(__xludf.DUMMYFUNCTION("""COMPUTED_VALUE"""),"No")</f>
        <v>No</v>
      </c>
      <c r="AN1632" s="8"/>
      <c r="AO1632" s="8" t="str">
        <f ca="1">IFERROR(__xludf.DUMMYFUNCTION("""COMPUTED_VALUE"""),"No")</f>
        <v>No</v>
      </c>
      <c r="AP1632" s="8"/>
      <c r="AQ1632" s="8" t="str">
        <f ca="1">IFERROR(__xludf.DUMMYFUNCTION("""COMPUTED_VALUE"""),"None")</f>
        <v>None</v>
      </c>
      <c r="AR1632" s="8" t="str">
        <f ca="1">IFERROR(__xludf.DUMMYFUNCTION("""COMPUTED_VALUE"""),"NA")</f>
        <v>NA</v>
      </c>
      <c r="AS1632" s="8">
        <f ca="1">IFERROR(__xludf.DUMMYFUNCTION("""COMPUTED_VALUE"""),1)</f>
        <v>1</v>
      </c>
      <c r="AT1632" s="8" t="str">
        <f ca="1">IFERROR(__xludf.DUMMYFUNCTION("""COMPUTED_VALUE"""),"Yes")</f>
        <v>Yes</v>
      </c>
      <c r="AU1632" s="8">
        <f ca="1">IFERROR(__xludf.DUMMYFUNCTION("""COMPUTED_VALUE"""),35.663441)</f>
        <v>35.663440999999999</v>
      </c>
      <c r="AV1632" s="8">
        <f ca="1">IFERROR(__xludf.DUMMYFUNCTION("""COMPUTED_VALUE"""),-91.847394)</f>
        <v>-91.847393999999994</v>
      </c>
      <c r="AW1632" s="8"/>
      <c r="AX1632" s="8">
        <f ca="1">IFERROR(__xludf.DUMMYFUNCTION("""COMPUTED_VALUE"""),72523)</f>
        <v>72523</v>
      </c>
    </row>
    <row r="1633" spans="1:50" ht="105" x14ac:dyDescent="0.2">
      <c r="A1633" s="8" t="str">
        <f ca="1">IFERROR(__xludf.DUMMYFUNCTION("""COMPUTED_VALUE"""),"20190417MIFLF")</f>
        <v>20190417MIFLF</v>
      </c>
      <c r="B1633" s="8">
        <f ca="1">IFERROR(__xludf.DUMMYFUNCTION("""COMPUTED_VALUE"""),4)</f>
        <v>4</v>
      </c>
      <c r="C1633" s="8">
        <f ca="1">IFERROR(__xludf.DUMMYFUNCTION("""COMPUTED_VALUE"""),17)</f>
        <v>17</v>
      </c>
      <c r="D1633" s="8">
        <f ca="1">IFERROR(__xludf.DUMMYFUNCTION("""COMPUTED_VALUE"""),2019)</f>
        <v>2019</v>
      </c>
      <c r="E1633" s="9">
        <f ca="1">IFERROR(__xludf.DUMMYFUNCTION("""COMPUTED_VALUE"""),43572)</f>
        <v>43572</v>
      </c>
      <c r="F1633" s="8" t="str">
        <f ca="1">IFERROR(__xludf.DUMMYFUNCTION("""COMPUTED_VALUE"""),"Flex High School")</f>
        <v>Flex High School</v>
      </c>
      <c r="G1633" s="8">
        <f ca="1">IFERROR(__xludf.DUMMYFUNCTION("""COMPUTED_VALUE"""),0)</f>
        <v>0</v>
      </c>
      <c r="H1633" s="8">
        <f ca="1">IFERROR(__xludf.DUMMYFUNCTION("""COMPUTED_VALUE"""),0)</f>
        <v>0</v>
      </c>
      <c r="I1633" s="8">
        <f ca="1">IFERROR(__xludf.DUMMYFUNCTION("""COMPUTED_VALUE"""),0)</f>
        <v>0</v>
      </c>
      <c r="J1633" s="8">
        <f ca="1">IFERROR(__xludf.DUMMYFUNCTION("""COMPUTED_VALUE"""),0)</f>
        <v>0</v>
      </c>
      <c r="K1633" s="10" t="str">
        <f ca="1">IFERROR(__xludf.DUMMYFUNCTION("""COMPUTED_VALUE"""),"https://www.mlive.com/news/flint/2019/04/shot-fired-at-flint-school-several-people-in-custody.html")</f>
        <v>https://www.mlive.com/news/flint/2019/04/shot-fired-at-flint-school-several-people-in-custody.html</v>
      </c>
      <c r="L1633" s="8">
        <f ca="1">IFERROR(__xludf.DUMMYFUNCTION("""COMPUTED_VALUE"""),5)</f>
        <v>5</v>
      </c>
      <c r="M1633" s="8" t="str">
        <f ca="1">IFERROR(__xludf.DUMMYFUNCTION("""COMPUTED_VALUE"""),"Local")</f>
        <v>Local</v>
      </c>
      <c r="N1633" s="8">
        <f ca="1">IFERROR(__xludf.DUMMYFUNCTION("""COMPUTED_VALUE"""),4)</f>
        <v>4</v>
      </c>
      <c r="O1633" s="8" t="str">
        <f ca="1">IFERROR(__xludf.DUMMYFUNCTION("""COMPUTED_VALUE"""),"Spring")</f>
        <v>Spring</v>
      </c>
      <c r="P1633" s="8" t="str">
        <f ca="1">IFERROR(__xludf.DUMMYFUNCTION("""COMPUTED_VALUE"""),"Flint")</f>
        <v>Flint</v>
      </c>
      <c r="Q1633" s="8" t="str">
        <f ca="1">IFERROR(__xludf.DUMMYFUNCTION("""COMPUTED_VALUE"""),"MI")</f>
        <v>MI</v>
      </c>
      <c r="R1633" s="8" t="str">
        <f ca="1">IFERROR(__xludf.DUMMYFUNCTION("""COMPUTED_VALUE"""),"High")</f>
        <v>High</v>
      </c>
      <c r="S1633" s="8" t="str">
        <f ca="1">IFERROR(__xludf.DUMMYFUNCTION("""COMPUTED_VALUE"""),"Outside on School Property")</f>
        <v>Outside on School Property</v>
      </c>
      <c r="T1633" s="8" t="str">
        <f ca="1">IFERROR(__xludf.DUMMYFUNCTION("""COMPUTED_VALUE"""),"Outside on School Property")</f>
        <v>Outside on School Property</v>
      </c>
      <c r="U1633" s="8" t="str">
        <f ca="1">IFERROR(__xludf.DUMMYFUNCTION("""COMPUTED_VALUE"""),"Yes")</f>
        <v>Yes</v>
      </c>
      <c r="V1633" s="8" t="str">
        <f ca="1">IFERROR(__xludf.DUMMYFUNCTION("""COMPUTED_VALUE"""),"Morning Classes")</f>
        <v>Morning Classes</v>
      </c>
      <c r="W1633" s="11">
        <f ca="1">IFERROR(__xludf.DUMMYFUNCTION("""COMPUTED_VALUE"""),0.416666666666666)</f>
        <v>0.41666666666666602</v>
      </c>
      <c r="X1633" s="8">
        <f ca="1">IFERROR(__xludf.DUMMYFUNCTION("""COMPUTED_VALUE"""),1)</f>
        <v>1</v>
      </c>
      <c r="Y1633" s="12" t="str">
        <f ca="1">IFERROR(__xludf.DUMMYFUNCTION("""COMPUTED_VALUE"""),"Shot fired during fight between students")</f>
        <v>Shot fired during fight between students</v>
      </c>
      <c r="Z1633" s="12" t="str">
        <f ca="1">IFERROR(__xludf.DUMMYFUNCTION("""COMPUTED_VALUE"""),"Flint Police Deputy Chief Devon Bernritter said there was “an altercation of some sort not related to the school amongst a group and a handgun was produced and a shot was fired.” He noted the single shot was fired outside the school and it is not an activ"&amp;"e shooter incident. More than two people were taken into custody “at or around the school,” Bernritter said. A weapon has not been recovered.")</f>
        <v>Flint Police Deputy Chief Devon Bernritter said there was “an altercation of some sort not related to the school amongst a group and a handgun was produced and a shot was fired.” He noted the single shot was fired outside the school and it is not an active shooter incident. More than two people were taken into custody “at or around the school,” Bernritter said. A weapon has not been recovered.</v>
      </c>
      <c r="AA1633" s="8" t="str">
        <f ca="1">IFERROR(__xludf.DUMMYFUNCTION("""COMPUTED_VALUE"""),"Escalation of Dispute")</f>
        <v>Escalation of Dispute</v>
      </c>
      <c r="AB1633" s="8" t="str">
        <f ca="1">IFERROR(__xludf.DUMMYFUNCTION("""COMPUTED_VALUE"""),"Spontaneous")</f>
        <v>Spontaneous</v>
      </c>
      <c r="AC1633" s="8" t="str">
        <f ca="1">IFERROR(__xludf.DUMMYFUNCTION("""COMPUTED_VALUE"""),"Yes")</f>
        <v>Yes</v>
      </c>
      <c r="AD1633" s="8" t="str">
        <f ca="1">IFERROR(__xludf.DUMMYFUNCTION("""COMPUTED_VALUE"""),"Victims Targeted")</f>
        <v>Victims Targeted</v>
      </c>
      <c r="AE1633" s="8" t="str">
        <f ca="1">IFERROR(__xludf.DUMMYFUNCTION("""COMPUTED_VALUE"""),"Yes")</f>
        <v>Yes</v>
      </c>
      <c r="AF1633" s="8" t="str">
        <f ca="1">IFERROR(__xludf.DUMMYFUNCTION("""COMPUTED_VALUE"""),"Group of students")</f>
        <v>Group of students</v>
      </c>
      <c r="AG1633" s="8" t="str">
        <f ca="1">IFERROR(__xludf.DUMMYFUNCTION("""COMPUTED_VALUE"""),"No")</f>
        <v>No</v>
      </c>
      <c r="AH1633" s="8" t="str">
        <f ca="1">IFERROR(__xludf.DUMMYFUNCTION("""COMPUTED_VALUE"""),"No")</f>
        <v>No</v>
      </c>
      <c r="AI1633" s="8" t="str">
        <f ca="1">IFERROR(__xludf.DUMMYFUNCTION("""COMPUTED_VALUE"""),"No")</f>
        <v>No</v>
      </c>
      <c r="AJ1633" s="8" t="str">
        <f ca="1">IFERROR(__xludf.DUMMYFUNCTION("""COMPUTED_VALUE"""),"No")</f>
        <v>No</v>
      </c>
      <c r="AK1633" s="8" t="str">
        <f ca="1">IFERROR(__xludf.DUMMYFUNCTION("""COMPUTED_VALUE"""),"No")</f>
        <v>No</v>
      </c>
      <c r="AL1633" s="8"/>
      <c r="AM1633" s="8" t="str">
        <f ca="1">IFERROR(__xludf.DUMMYFUNCTION("""COMPUTED_VALUE"""),"No")</f>
        <v>No</v>
      </c>
      <c r="AN1633" s="8" t="str">
        <f ca="1">IFERROR(__xludf.DUMMYFUNCTION("""COMPUTED_VALUE"""),"Outside")</f>
        <v>Outside</v>
      </c>
      <c r="AO1633" s="8" t="str">
        <f ca="1">IFERROR(__xludf.DUMMYFUNCTION("""COMPUTED_VALUE"""),"No")</f>
        <v>No</v>
      </c>
      <c r="AP1633" s="8"/>
      <c r="AQ1633" s="8"/>
      <c r="AR1633" s="8" t="str">
        <f ca="1">IFERROR(__xludf.DUMMYFUNCTION("""COMPUTED_VALUE"""),"Outside/Off-Property")</f>
        <v>Outside/Off-Property</v>
      </c>
      <c r="AS1633" s="8">
        <f ca="1">IFERROR(__xludf.DUMMYFUNCTION("""COMPUTED_VALUE"""),1)</f>
        <v>1</v>
      </c>
      <c r="AT1633" s="8" t="str">
        <f ca="1">IFERROR(__xludf.DUMMYFUNCTION("""COMPUTED_VALUE"""),"Yes")</f>
        <v>Yes</v>
      </c>
      <c r="AU1633" s="8">
        <f ca="1">IFERROR(__xludf.DUMMYFUNCTION("""COMPUTED_VALUE"""),43.0595)</f>
        <v>43.0595</v>
      </c>
      <c r="AV1633" s="8">
        <f ca="1">IFERROR(__xludf.DUMMYFUNCTION("""COMPUTED_VALUE"""),-83.7352)</f>
        <v>-83.735200000000006</v>
      </c>
      <c r="AW1633" s="8"/>
      <c r="AX1633" s="8">
        <f ca="1">IFERROR(__xludf.DUMMYFUNCTION("""COMPUTED_VALUE"""),48504)</f>
        <v>48504</v>
      </c>
    </row>
    <row r="1634" spans="1:50" ht="45" x14ac:dyDescent="0.2">
      <c r="A1634" s="8" t="str">
        <f ca="1">IFERROR(__xludf.DUMMYFUNCTION("""COMPUTED_VALUE"""),"20190417ILWAL")</f>
        <v>20190417ILWAL</v>
      </c>
      <c r="B1634" s="8">
        <f ca="1">IFERROR(__xludf.DUMMYFUNCTION("""COMPUTED_VALUE"""),4)</f>
        <v>4</v>
      </c>
      <c r="C1634" s="8">
        <f ca="1">IFERROR(__xludf.DUMMYFUNCTION("""COMPUTED_VALUE"""),17)</f>
        <v>17</v>
      </c>
      <c r="D1634" s="8">
        <f ca="1">IFERROR(__xludf.DUMMYFUNCTION("""COMPUTED_VALUE"""),2019)</f>
        <v>2019</v>
      </c>
      <c r="E1634" s="9">
        <f ca="1">IFERROR(__xludf.DUMMYFUNCTION("""COMPUTED_VALUE"""),43572)</f>
        <v>43572</v>
      </c>
      <c r="F1634" s="8" t="str">
        <f ca="1">IFERROR(__xludf.DUMMYFUNCTION("""COMPUTED_VALUE"""),"Washington Middle School")</f>
        <v>Washington Middle School</v>
      </c>
      <c r="G1634" s="8">
        <f ca="1">IFERROR(__xludf.DUMMYFUNCTION("""COMPUTED_VALUE"""),0)</f>
        <v>0</v>
      </c>
      <c r="H1634" s="8">
        <f ca="1">IFERROR(__xludf.DUMMYFUNCTION("""COMPUTED_VALUE"""),0)</f>
        <v>0</v>
      </c>
      <c r="I1634" s="8">
        <f ca="1">IFERROR(__xludf.DUMMYFUNCTION("""COMPUTED_VALUE"""),0)</f>
        <v>0</v>
      </c>
      <c r="J1634" s="8">
        <f ca="1">IFERROR(__xludf.DUMMYFUNCTION("""COMPUTED_VALUE"""),1)</f>
        <v>1</v>
      </c>
      <c r="K1634" s="8" t="str">
        <f ca="1">IFERROR(__xludf.DUMMYFUNCTION("""COMPUTED_VALUE"""),"https://patch.com/illinois/lagrange/student-dies-self-inflicted-gunshot-lyons-middle-school  https://chicago.cbslocal.com/2019/04/17/lyons-middle-school-student-dies-after-shooting-himself-on-campus/")</f>
        <v>https://patch.com/illinois/lagrange/student-dies-self-inflicted-gunshot-lyons-middle-school  https://chicago.cbslocal.com/2019/04/17/lyons-middle-school-student-dies-after-shooting-himself-on-campus/</v>
      </c>
      <c r="L1634" s="8"/>
      <c r="M1634" s="8"/>
      <c r="N1634" s="8">
        <f ca="1">IFERROR(__xludf.DUMMYFUNCTION("""COMPUTED_VALUE"""),4)</f>
        <v>4</v>
      </c>
      <c r="O1634" s="8" t="str">
        <f ca="1">IFERROR(__xludf.DUMMYFUNCTION("""COMPUTED_VALUE"""),"Spring")</f>
        <v>Spring</v>
      </c>
      <c r="P1634" s="8" t="str">
        <f ca="1">IFERROR(__xludf.DUMMYFUNCTION("""COMPUTED_VALUE"""),"Lyons")</f>
        <v>Lyons</v>
      </c>
      <c r="Q1634" s="8" t="str">
        <f ca="1">IFERROR(__xludf.DUMMYFUNCTION("""COMPUTED_VALUE"""),"IL")</f>
        <v>IL</v>
      </c>
      <c r="R1634" s="8" t="str">
        <f ca="1">IFERROR(__xludf.DUMMYFUNCTION("""COMPUTED_VALUE"""),"Middle")</f>
        <v>Middle</v>
      </c>
      <c r="S1634" s="8" t="str">
        <f ca="1">IFERROR(__xludf.DUMMYFUNCTION("""COMPUTED_VALUE"""),"Bathroom")</f>
        <v>Bathroom</v>
      </c>
      <c r="T1634" s="8" t="str">
        <f ca="1">IFERROR(__xludf.DUMMYFUNCTION("""COMPUTED_VALUE"""),"Inside School Building")</f>
        <v>Inside School Building</v>
      </c>
      <c r="U1634" s="8" t="str">
        <f ca="1">IFERROR(__xludf.DUMMYFUNCTION("""COMPUTED_VALUE"""),"Yes")</f>
        <v>Yes</v>
      </c>
      <c r="V1634" s="8" t="str">
        <f ca="1">IFERROR(__xludf.DUMMYFUNCTION("""COMPUTED_VALUE"""),"Afternoon Classes")</f>
        <v>Afternoon Classes</v>
      </c>
      <c r="W1634" s="11">
        <f ca="1">IFERROR(__xludf.DUMMYFUNCTION("""COMPUTED_VALUE"""),0.5625)</f>
        <v>0.5625</v>
      </c>
      <c r="X1634" s="8">
        <f ca="1">IFERROR(__xludf.DUMMYFUNCTION("""COMPUTED_VALUE"""),1)</f>
        <v>1</v>
      </c>
      <c r="Y1634" s="12" t="str">
        <f ca="1">IFERROR(__xludf.DUMMYFUNCTION("""COMPUTED_VALUE"""),"Student shot himself in the school bathroom")</f>
        <v>Student shot himself in the school bathroom</v>
      </c>
      <c r="Z1634" s="12" t="str">
        <f ca="1">IFERROR(__xludf.DUMMYFUNCTION("""COMPUTED_VALUE"""),"7th grade student shot himself in the bathroom of the school. No other students or staff were injured. School was locked down for 1 hour and then dismissed.")</f>
        <v>7th grade student shot himself in the bathroom of the school. No other students or staff were injured. School was locked down for 1 hour and then dismissed.</v>
      </c>
      <c r="AA1634" s="8" t="str">
        <f ca="1">IFERROR(__xludf.DUMMYFUNCTION("""COMPUTED_VALUE"""),"Suicide/Attempted")</f>
        <v>Suicide/Attempted</v>
      </c>
      <c r="AB1634" s="8"/>
      <c r="AC1634" s="8" t="str">
        <f ca="1">IFERROR(__xludf.DUMMYFUNCTION("""COMPUTED_VALUE"""),"Yes")</f>
        <v>Yes</v>
      </c>
      <c r="AD1634" s="8" t="str">
        <f ca="1">IFERROR(__xludf.DUMMYFUNCTION("""COMPUTED_VALUE"""),"Victims Targeted")</f>
        <v>Victims Targeted</v>
      </c>
      <c r="AE1634" s="8" t="str">
        <f ca="1">IFERROR(__xludf.DUMMYFUNCTION("""COMPUTED_VALUE"""),"No")</f>
        <v>No</v>
      </c>
      <c r="AF1634" s="8"/>
      <c r="AG1634" s="8" t="str">
        <f ca="1">IFERROR(__xludf.DUMMYFUNCTION("""COMPUTED_VALUE"""),"No")</f>
        <v>No</v>
      </c>
      <c r="AH1634" s="8" t="str">
        <f ca="1">IFERROR(__xludf.DUMMYFUNCTION("""COMPUTED_VALUE"""),"No")</f>
        <v>No</v>
      </c>
      <c r="AI1634" s="8" t="str">
        <f ca="1">IFERROR(__xludf.DUMMYFUNCTION("""COMPUTED_VALUE"""),"No")</f>
        <v>No</v>
      </c>
      <c r="AJ1634" s="8"/>
      <c r="AK1634" s="8" t="str">
        <f ca="1">IFERROR(__xludf.DUMMYFUNCTION("""COMPUTED_VALUE"""),"No")</f>
        <v>No</v>
      </c>
      <c r="AL1634" s="8" t="str">
        <f ca="1">IFERROR(__xludf.DUMMYFUNCTION("""COMPUTED_VALUE"""),"No")</f>
        <v>No</v>
      </c>
      <c r="AM1634" s="8" t="str">
        <f ca="1">IFERROR(__xludf.DUMMYFUNCTION("""COMPUTED_VALUE"""),"No")</f>
        <v>No</v>
      </c>
      <c r="AN1634" s="8"/>
      <c r="AO1634" s="8" t="str">
        <f ca="1">IFERROR(__xludf.DUMMYFUNCTION("""COMPUTED_VALUE"""),"No")</f>
        <v>No</v>
      </c>
      <c r="AP1634" s="8"/>
      <c r="AQ1634" s="8" t="str">
        <f ca="1">IFERROR(__xludf.DUMMYFUNCTION("""COMPUTED_VALUE"""),"None")</f>
        <v>None</v>
      </c>
      <c r="AR1634" s="8" t="str">
        <f ca="1">IFERROR(__xludf.DUMMYFUNCTION("""COMPUTED_VALUE"""),"NA")</f>
        <v>NA</v>
      </c>
      <c r="AS1634" s="8">
        <f ca="1">IFERROR(__xludf.DUMMYFUNCTION("""COMPUTED_VALUE"""),1)</f>
        <v>1</v>
      </c>
      <c r="AT1634" s="8" t="str">
        <f ca="1">IFERROR(__xludf.DUMMYFUNCTION("""COMPUTED_VALUE"""),"Yes")</f>
        <v>Yes</v>
      </c>
      <c r="AU1634" s="8">
        <f ca="1">IFERROR(__xludf.DUMMYFUNCTION("""COMPUTED_VALUE"""),41.818204)</f>
        <v>41.818204000000001</v>
      </c>
      <c r="AV1634" s="8">
        <f ca="1">IFERROR(__xludf.DUMMYFUNCTION("""COMPUTED_VALUE"""),-87.82333)</f>
        <v>-87.823329999999999</v>
      </c>
      <c r="AW1634" s="8"/>
      <c r="AX1634" s="8">
        <f ca="1">IFERROR(__xludf.DUMMYFUNCTION("""COMPUTED_VALUE"""),60534)</f>
        <v>60534</v>
      </c>
    </row>
    <row r="1635" spans="1:50" ht="75" x14ac:dyDescent="0.2">
      <c r="A1635" s="8" t="str">
        <f ca="1">IFERROR(__xludf.DUMMYFUNCTION("""COMPUTED_VALUE"""),"20190410TXROH")</f>
        <v>20190410TXROH</v>
      </c>
      <c r="B1635" s="8">
        <f ca="1">IFERROR(__xludf.DUMMYFUNCTION("""COMPUTED_VALUE"""),4)</f>
        <v>4</v>
      </c>
      <c r="C1635" s="8">
        <f ca="1">IFERROR(__xludf.DUMMYFUNCTION("""COMPUTED_VALUE"""),10)</f>
        <v>10</v>
      </c>
      <c r="D1635" s="8">
        <f ca="1">IFERROR(__xludf.DUMMYFUNCTION("""COMPUTED_VALUE"""),2019)</f>
        <v>2019</v>
      </c>
      <c r="E1635" s="9">
        <f ca="1">IFERROR(__xludf.DUMMYFUNCTION("""COMPUTED_VALUE"""),43565)</f>
        <v>43565</v>
      </c>
      <c r="F1635" s="8" t="str">
        <f ca="1">IFERROR(__xludf.DUMMYFUNCTION("""COMPUTED_VALUE"""),"Ross Shaw Sterling Aviation High School")</f>
        <v>Ross Shaw Sterling Aviation High School</v>
      </c>
      <c r="G1635" s="8">
        <f ca="1">IFERROR(__xludf.DUMMYFUNCTION("""COMPUTED_VALUE"""),0)</f>
        <v>0</v>
      </c>
      <c r="H1635" s="8">
        <f ca="1">IFERROR(__xludf.DUMMYFUNCTION("""COMPUTED_VALUE"""),1)</f>
        <v>1</v>
      </c>
      <c r="I1635" s="8">
        <f ca="1">IFERROR(__xludf.DUMMYFUNCTION("""COMPUTED_VALUE"""),1)</f>
        <v>1</v>
      </c>
      <c r="J1635" s="8">
        <f ca="1">IFERROR(__xludf.DUMMYFUNCTION("""COMPUTED_VALUE"""),0)</f>
        <v>0</v>
      </c>
      <c r="K1635" s="8" t="str">
        <f ca="1">IFERROR(__xludf.DUMMYFUNCTION("""COMPUTED_VALUE"""),"https://www.khou.com/article/news/local/sterling-high-school-student-shot-while-playing-basketball-on-campus/285-69c70584-81e2-4db1-b47d-2ce2e2f5377b https://abc13.com/15-year-old-hit-by-stray-bullet-while-playing-basketball/5242553/")</f>
        <v>https://www.khou.com/article/news/local/sterling-high-school-student-shot-while-playing-basketball-on-campus/285-69c70584-81e2-4db1-b47d-2ce2e2f5377b https://abc13.com/15-year-old-hit-by-stray-bullet-while-playing-basketball/5242553/</v>
      </c>
      <c r="L1635" s="8"/>
      <c r="M1635" s="8"/>
      <c r="N1635" s="8">
        <f ca="1">IFERROR(__xludf.DUMMYFUNCTION("""COMPUTED_VALUE"""),4)</f>
        <v>4</v>
      </c>
      <c r="O1635" s="8" t="str">
        <f ca="1">IFERROR(__xludf.DUMMYFUNCTION("""COMPUTED_VALUE"""),"Spring")</f>
        <v>Spring</v>
      </c>
      <c r="P1635" s="8" t="str">
        <f ca="1">IFERROR(__xludf.DUMMYFUNCTION("""COMPUTED_VALUE"""),"Houston")</f>
        <v>Houston</v>
      </c>
      <c r="Q1635" s="8" t="str">
        <f ca="1">IFERROR(__xludf.DUMMYFUNCTION("""COMPUTED_VALUE"""),"TX")</f>
        <v>TX</v>
      </c>
      <c r="R1635" s="8" t="str">
        <f ca="1">IFERROR(__xludf.DUMMYFUNCTION("""COMPUTED_VALUE"""),"High")</f>
        <v>High</v>
      </c>
      <c r="S1635" s="8" t="str">
        <f ca="1">IFERROR(__xludf.DUMMYFUNCTION("""COMPUTED_VALUE"""),"Basketball Court")</f>
        <v>Basketball Court</v>
      </c>
      <c r="T1635" s="8" t="str">
        <f ca="1">IFERROR(__xludf.DUMMYFUNCTION("""COMPUTED_VALUE"""),"Outside on School Property")</f>
        <v>Outside on School Property</v>
      </c>
      <c r="U1635" s="8" t="str">
        <f ca="1">IFERROR(__xludf.DUMMYFUNCTION("""COMPUTED_VALUE"""),"No")</f>
        <v>No</v>
      </c>
      <c r="V1635" s="8" t="str">
        <f ca="1">IFERROR(__xludf.DUMMYFUNCTION("""COMPUTED_VALUE"""),"After School")</f>
        <v>After School</v>
      </c>
      <c r="W1635" s="11">
        <f ca="1">IFERROR(__xludf.DUMMYFUNCTION("""COMPUTED_VALUE"""),0.666666666666666)</f>
        <v>0.66666666666666596</v>
      </c>
      <c r="X1635" s="8">
        <f ca="1">IFERROR(__xludf.DUMMYFUNCTION("""COMPUTED_VALUE"""),1)</f>
        <v>1</v>
      </c>
      <c r="Y1635" s="12" t="str">
        <f ca="1">IFERROR(__xludf.DUMMYFUNCTION("""COMPUTED_VALUE"""),"Bullet fired in gang shooting hit student 1/2 mile away on school basketball court")</f>
        <v>Bullet fired in gang shooting hit student 1/2 mile away on school basketball court</v>
      </c>
      <c r="Z1635" s="12" t="str">
        <f ca="1">IFERROR(__xludf.DUMMYFUNCTION("""COMPUTED_VALUE"""),"Student playing basketball was struck by rifle round fired from 1/2 mile away. Suspects in vehicle fired pistol and rifle at rival gang members in apartment complex. 20 rounds fired. No suspects identified.")</f>
        <v>Student playing basketball was struck by rifle round fired from 1/2 mile away. Suspects in vehicle fired pistol and rifle at rival gang members in apartment complex. 20 rounds fired. No suspects identified.</v>
      </c>
      <c r="AA1635" s="8" t="str">
        <f ca="1">IFERROR(__xludf.DUMMYFUNCTION("""COMPUTED_VALUE"""),"Drive-by Shooting")</f>
        <v>Drive-by Shooting</v>
      </c>
      <c r="AB1635" s="8"/>
      <c r="AC1635" s="8" t="str">
        <f ca="1">IFERROR(__xludf.DUMMYFUNCTION("""COMPUTED_VALUE"""),"Yes")</f>
        <v>Yes</v>
      </c>
      <c r="AD1635" s="8" t="str">
        <f ca="1">IFERROR(__xludf.DUMMYFUNCTION("""COMPUTED_VALUE"""),"Victims Targeted")</f>
        <v>Victims Targeted</v>
      </c>
      <c r="AE1635" s="8" t="str">
        <f ca="1">IFERROR(__xludf.DUMMYFUNCTION("""COMPUTED_VALUE"""),"Yes")</f>
        <v>Yes</v>
      </c>
      <c r="AF1635" s="8" t="str">
        <f ca="1">IFERROR(__xludf.DUMMYFUNCTION("""COMPUTED_VALUE"""),"Multiple in car, 2 shooters")</f>
        <v>Multiple in car, 2 shooters</v>
      </c>
      <c r="AG1635" s="8" t="str">
        <f ca="1">IFERROR(__xludf.DUMMYFUNCTION("""COMPUTED_VALUE"""),"No")</f>
        <v>No</v>
      </c>
      <c r="AH1635" s="8" t="str">
        <f ca="1">IFERROR(__xludf.DUMMYFUNCTION("""COMPUTED_VALUE"""),"No")</f>
        <v>No</v>
      </c>
      <c r="AI1635" s="8" t="str">
        <f ca="1">IFERROR(__xludf.DUMMYFUNCTION("""COMPUTED_VALUE"""),"No")</f>
        <v>No</v>
      </c>
      <c r="AJ1635" s="8" t="str">
        <f ca="1">IFERROR(__xludf.DUMMYFUNCTION("""COMPUTED_VALUE"""),"No")</f>
        <v>No</v>
      </c>
      <c r="AK1635" s="8" t="str">
        <f ca="1">IFERROR(__xludf.DUMMYFUNCTION("""COMPUTED_VALUE"""),"No")</f>
        <v>No</v>
      </c>
      <c r="AL1635" s="8" t="str">
        <f ca="1">IFERROR(__xludf.DUMMYFUNCTION("""COMPUTED_VALUE"""),"Yes")</f>
        <v>Yes</v>
      </c>
      <c r="AM1635" s="8" t="str">
        <f ca="1">IFERROR(__xludf.DUMMYFUNCTION("""COMPUTED_VALUE"""),"No")</f>
        <v>No</v>
      </c>
      <c r="AN1635" s="8"/>
      <c r="AO1635" s="8" t="str">
        <f ca="1">IFERROR(__xludf.DUMMYFUNCTION("""COMPUTED_VALUE"""),"No")</f>
        <v>No</v>
      </c>
      <c r="AP1635" s="8"/>
      <c r="AQ1635" s="8" t="str">
        <f ca="1">IFERROR(__xludf.DUMMYFUNCTION("""COMPUTED_VALUE"""),"Unknown")</f>
        <v>Unknown</v>
      </c>
      <c r="AR1635" s="8" t="str">
        <f ca="1">IFERROR(__xludf.DUMMYFUNCTION("""COMPUTED_VALUE"""),"Outside/Off-Property")</f>
        <v>Outside/Off-Property</v>
      </c>
      <c r="AS1635" s="8">
        <f ca="1">IFERROR(__xludf.DUMMYFUNCTION("""COMPUTED_VALUE"""),20)</f>
        <v>20</v>
      </c>
      <c r="AT1635" s="8"/>
      <c r="AU1635" s="8">
        <f ca="1">IFERROR(__xludf.DUMMYFUNCTION("""COMPUTED_VALUE"""),29.636409)</f>
        <v>29.636409</v>
      </c>
      <c r="AV1635" s="8">
        <f ca="1">IFERROR(__xludf.DUMMYFUNCTION("""COMPUTED_VALUE"""),-95.323421)</f>
        <v>-95.323420999999996</v>
      </c>
      <c r="AW1635" s="8"/>
      <c r="AX1635" s="8">
        <f ca="1">IFERROR(__xludf.DUMMYFUNCTION("""COMPUTED_VALUE"""),77048)</f>
        <v>77048</v>
      </c>
    </row>
    <row r="1636" spans="1:50" ht="75" x14ac:dyDescent="0.2">
      <c r="A1636" s="8" t="str">
        <f ca="1">IFERROR(__xludf.DUMMYFUNCTION("""COMPUTED_VALUE"""),"20190407MAHOL")</f>
        <v>20190407MAHOL</v>
      </c>
      <c r="B1636" s="8">
        <f ca="1">IFERROR(__xludf.DUMMYFUNCTION("""COMPUTED_VALUE"""),4)</f>
        <v>4</v>
      </c>
      <c r="C1636" s="8">
        <f ca="1">IFERROR(__xludf.DUMMYFUNCTION("""COMPUTED_VALUE"""),7)</f>
        <v>7</v>
      </c>
      <c r="D1636" s="8">
        <f ca="1">IFERROR(__xludf.DUMMYFUNCTION("""COMPUTED_VALUE"""),2019)</f>
        <v>2019</v>
      </c>
      <c r="E1636" s="9">
        <f ca="1">IFERROR(__xludf.DUMMYFUNCTION("""COMPUTED_VALUE"""),43562)</f>
        <v>43562</v>
      </c>
      <c r="F1636" s="8" t="str">
        <f ca="1">IFERROR(__xludf.DUMMYFUNCTION("""COMPUTED_VALUE"""),"Hood Elementary School")</f>
        <v>Hood Elementary School</v>
      </c>
      <c r="G1636" s="8">
        <f ca="1">IFERROR(__xludf.DUMMYFUNCTION("""COMPUTED_VALUE"""),0)</f>
        <v>0</v>
      </c>
      <c r="H1636" s="8">
        <f ca="1">IFERROR(__xludf.DUMMYFUNCTION("""COMPUTED_VALUE"""),0)</f>
        <v>0</v>
      </c>
      <c r="I1636" s="8">
        <f ca="1">IFERROR(__xludf.DUMMYFUNCTION("""COMPUTED_VALUE"""),0)</f>
        <v>0</v>
      </c>
      <c r="J1636" s="8">
        <f ca="1">IFERROR(__xludf.DUMMYFUNCTION("""COMPUTED_VALUE"""),0)</f>
        <v>0</v>
      </c>
      <c r="K1636" s="10" t="str">
        <f ca="1">IFERROR(__xludf.DUMMYFUNCTION("""COMPUTED_VALUE"""),"https://www.kxro.com/montesano-police-arrest-student-after-school-shooting-statements/")</f>
        <v>https://www.kxro.com/montesano-police-arrest-student-after-school-shooting-statements/</v>
      </c>
      <c r="L1636" s="8"/>
      <c r="M1636" s="8"/>
      <c r="N1636" s="8">
        <f ca="1">IFERROR(__xludf.DUMMYFUNCTION("""COMPUTED_VALUE"""),3)</f>
        <v>3</v>
      </c>
      <c r="O1636" s="8" t="str">
        <f ca="1">IFERROR(__xludf.DUMMYFUNCTION("""COMPUTED_VALUE"""),"Spring")</f>
        <v>Spring</v>
      </c>
      <c r="P1636" s="8" t="str">
        <f ca="1">IFERROR(__xludf.DUMMYFUNCTION("""COMPUTED_VALUE"""),"Lynn")</f>
        <v>Lynn</v>
      </c>
      <c r="Q1636" s="8" t="str">
        <f ca="1">IFERROR(__xludf.DUMMYFUNCTION("""COMPUTED_VALUE"""),"MA")</f>
        <v>MA</v>
      </c>
      <c r="R1636" s="8" t="str">
        <f ca="1">IFERROR(__xludf.DUMMYFUNCTION("""COMPUTED_VALUE"""),"Elementary")</f>
        <v>Elementary</v>
      </c>
      <c r="S1636" s="8" t="str">
        <f ca="1">IFERROR(__xludf.DUMMYFUNCTION("""COMPUTED_VALUE"""),"Beside Building")</f>
        <v>Beside Building</v>
      </c>
      <c r="T1636" s="8" t="str">
        <f ca="1">IFERROR(__xludf.DUMMYFUNCTION("""COMPUTED_VALUE"""),"Outside on School Property")</f>
        <v>Outside on School Property</v>
      </c>
      <c r="U1636" s="8" t="str">
        <f ca="1">IFERROR(__xludf.DUMMYFUNCTION("""COMPUTED_VALUE"""),"No")</f>
        <v>No</v>
      </c>
      <c r="V1636" s="8" t="str">
        <f ca="1">IFERROR(__xludf.DUMMYFUNCTION("""COMPUTED_VALUE"""),"Night")</f>
        <v>Night</v>
      </c>
      <c r="W1636" s="8"/>
      <c r="X1636" s="8"/>
      <c r="Y1636" s="12" t="str">
        <f ca="1">IFERROR(__xludf.DUMMYFUNCTION("""COMPUTED_VALUE"""),"Shots fired at unoccupied school building")</f>
        <v>Shots fired at unoccupied school building</v>
      </c>
      <c r="Z1636" s="12" t="str">
        <f ca="1">IFERROR(__xludf.DUMMYFUNCTION("""COMPUTED_VALUE"""),"Teacher on Monday morning found spent casings and bullet holes in a portable classroom at the start of the school day. Shooting had occurred over the weekend. Students were no in the classroom and were moved to another location for the remainder of the da"&amp;"y.")</f>
        <v>Teacher on Monday morning found spent casings and bullet holes in a portable classroom at the start of the school day. Shooting had occurred over the weekend. Students were no in the classroom and were moved to another location for the remainder of the day.</v>
      </c>
      <c r="AA1636" s="8" t="str">
        <f ca="1">IFERROR(__xludf.DUMMYFUNCTION("""COMPUTED_VALUE"""),"Intentional Property Damage")</f>
        <v>Intentional Property Damage</v>
      </c>
      <c r="AB1636" s="8"/>
      <c r="AC1636" s="8" t="str">
        <f ca="1">IFERROR(__xludf.DUMMYFUNCTION("""COMPUTED_VALUE"""),"No")</f>
        <v>No</v>
      </c>
      <c r="AD1636" s="8"/>
      <c r="AE1636" s="8"/>
      <c r="AF1636" s="8"/>
      <c r="AG1636" s="8" t="str">
        <f ca="1">IFERROR(__xludf.DUMMYFUNCTION("""COMPUTED_VALUE"""),"No")</f>
        <v>No</v>
      </c>
      <c r="AH1636" s="8" t="str">
        <f ca="1">IFERROR(__xludf.DUMMYFUNCTION("""COMPUTED_VALUE"""),"No")</f>
        <v>No</v>
      </c>
      <c r="AI1636" s="8" t="str">
        <f ca="1">IFERROR(__xludf.DUMMYFUNCTION("""COMPUTED_VALUE"""),"No")</f>
        <v>No</v>
      </c>
      <c r="AJ1636" s="8" t="str">
        <f ca="1">IFERROR(__xludf.DUMMYFUNCTION("""COMPUTED_VALUE"""),"No")</f>
        <v>No</v>
      </c>
      <c r="AK1636" s="8" t="str">
        <f ca="1">IFERROR(__xludf.DUMMYFUNCTION("""COMPUTED_VALUE"""),"No")</f>
        <v>No</v>
      </c>
      <c r="AL1636" s="8"/>
      <c r="AM1636" s="8" t="str">
        <f ca="1">IFERROR(__xludf.DUMMYFUNCTION("""COMPUTED_VALUE"""),"No")</f>
        <v>No</v>
      </c>
      <c r="AN1636" s="8"/>
      <c r="AO1636" s="8" t="str">
        <f ca="1">IFERROR(__xludf.DUMMYFUNCTION("""COMPUTED_VALUE"""),"No")</f>
        <v>No</v>
      </c>
      <c r="AP1636" s="8"/>
      <c r="AQ1636" s="8" t="str">
        <f ca="1">IFERROR(__xludf.DUMMYFUNCTION("""COMPUTED_VALUE"""),"Unknown")</f>
        <v>Unknown</v>
      </c>
      <c r="AR1636" s="8" t="str">
        <f ca="1">IFERROR(__xludf.DUMMYFUNCTION("""COMPUTED_VALUE"""),"NA")</f>
        <v>NA</v>
      </c>
      <c r="AS1636" s="8"/>
      <c r="AT1636" s="8"/>
      <c r="AU1636" s="8">
        <f ca="1">IFERROR(__xludf.DUMMYFUNCTION("""COMPUTED_VALUE"""),42.478146)</f>
        <v>42.478146000000002</v>
      </c>
      <c r="AV1636" s="8">
        <f ca="1">IFERROR(__xludf.DUMMYFUNCTION("""COMPUTED_VALUE"""),-70.938688)</f>
        <v>-70.938687999999999</v>
      </c>
      <c r="AW1636" s="8"/>
      <c r="AX1636" s="8">
        <f ca="1">IFERROR(__xludf.DUMMYFUNCTION("""COMPUTED_VALUE"""),1902)</f>
        <v>1902</v>
      </c>
    </row>
    <row r="1637" spans="1:50" ht="90" x14ac:dyDescent="0.2">
      <c r="A1637" s="8" t="str">
        <f ca="1">IFERROR(__xludf.DUMMYFUNCTION("""COMPUTED_VALUE"""),"20190405WISTM")</f>
        <v>20190405WISTM</v>
      </c>
      <c r="B1637" s="8">
        <f ca="1">IFERROR(__xludf.DUMMYFUNCTION("""COMPUTED_VALUE"""),4)</f>
        <v>4</v>
      </c>
      <c r="C1637" s="8">
        <f ca="1">IFERROR(__xludf.DUMMYFUNCTION("""COMPUTED_VALUE"""),5)</f>
        <v>5</v>
      </c>
      <c r="D1637" s="8">
        <f ca="1">IFERROR(__xludf.DUMMYFUNCTION("""COMPUTED_VALUE"""),2019)</f>
        <v>2019</v>
      </c>
      <c r="E1637" s="9">
        <f ca="1">IFERROR(__xludf.DUMMYFUNCTION("""COMPUTED_VALUE"""),43560)</f>
        <v>43560</v>
      </c>
      <c r="F1637" s="8" t="str">
        <f ca="1">IFERROR(__xludf.DUMMYFUNCTION("""COMPUTED_VALUE"""),"St. Josaphat Parish School")</f>
        <v>St. Josaphat Parish School</v>
      </c>
      <c r="G1637" s="8">
        <f ca="1">IFERROR(__xludf.DUMMYFUNCTION("""COMPUTED_VALUE"""),0)</f>
        <v>0</v>
      </c>
      <c r="H1637" s="8">
        <f ca="1">IFERROR(__xludf.DUMMYFUNCTION("""COMPUTED_VALUE"""),1)</f>
        <v>1</v>
      </c>
      <c r="I1637" s="8">
        <f ca="1">IFERROR(__xludf.DUMMYFUNCTION("""COMPUTED_VALUE"""),1)</f>
        <v>1</v>
      </c>
      <c r="J1637" s="8">
        <f ca="1">IFERROR(__xludf.DUMMYFUNCTION("""COMPUTED_VALUE"""),0)</f>
        <v>0</v>
      </c>
      <c r="K1637" s="8" t="str">
        <f ca="1">IFERROR(__xludf.DUMMYFUNCTION("""COMPUTED_VALUE"""),"https://www.cbs58.com/news/two-women-charged-in-connection-to-shooting-at-st-josaphat-parish-school
https://fox6now.com/2019/04/24/administrator-says-employee-immediately-terminated-after-gun-went-off-at-st-josaphat-school/ https://www.tmj4.com/news/local"&amp;"-news/st-josaphat-parish-school-employee-arrested-after-gun-goes-off-in-school https://waow.com/news/top-stories/2019/06/14/2-teachers-charged-after-10-year-old-injured-in-school-shooting/ http://www.startribune.com/former-janitor-sentenced-for-school-sho"&amp;"oting/560334252/")</f>
        <v>https://www.cbs58.com/news/two-women-charged-in-connection-to-shooting-at-st-josaphat-parish-school
https://fox6now.com/2019/04/24/administrator-says-employee-immediately-terminated-after-gun-went-off-at-st-josaphat-school/ https://www.tmj4.com/news/local-news/st-josaphat-parish-school-employee-arrested-after-gun-goes-off-in-school https://waow.com/news/top-stories/2019/06/14/2-teachers-charged-after-10-year-old-injured-in-school-shooting/ http://www.startribune.com/former-janitor-sentenced-for-school-shooting/560334252/</v>
      </c>
      <c r="L1637" s="8"/>
      <c r="M1637" s="8"/>
      <c r="N1637" s="8">
        <f ca="1">IFERROR(__xludf.DUMMYFUNCTION("""COMPUTED_VALUE"""),4)</f>
        <v>4</v>
      </c>
      <c r="O1637" s="8" t="str">
        <f ca="1">IFERROR(__xludf.DUMMYFUNCTION("""COMPUTED_VALUE"""),"Spring")</f>
        <v>Spring</v>
      </c>
      <c r="P1637" s="8" t="str">
        <f ca="1">IFERROR(__xludf.DUMMYFUNCTION("""COMPUTED_VALUE"""),"Milwaukee")</f>
        <v>Milwaukee</v>
      </c>
      <c r="Q1637" s="8" t="str">
        <f ca="1">IFERROR(__xludf.DUMMYFUNCTION("""COMPUTED_VALUE"""),"WI")</f>
        <v>WI</v>
      </c>
      <c r="R1637" s="8" t="str">
        <f ca="1">IFERROR(__xludf.DUMMYFUNCTION("""COMPUTED_VALUE"""),"Other")</f>
        <v>Other</v>
      </c>
      <c r="S1637" s="8" t="str">
        <f ca="1">IFERROR(__xludf.DUMMYFUNCTION("""COMPUTED_VALUE"""),"Hallway")</f>
        <v>Hallway</v>
      </c>
      <c r="T1637" s="8" t="str">
        <f ca="1">IFERROR(__xludf.DUMMYFUNCTION("""COMPUTED_VALUE"""),"Inside School Building")</f>
        <v>Inside School Building</v>
      </c>
      <c r="U1637" s="8" t="str">
        <f ca="1">IFERROR(__xludf.DUMMYFUNCTION("""COMPUTED_VALUE"""),"Yes")</f>
        <v>Yes</v>
      </c>
      <c r="V1637" s="8" t="str">
        <f ca="1">IFERROR(__xludf.DUMMYFUNCTION("""COMPUTED_VALUE"""),"Morning Classes")</f>
        <v>Morning Classes</v>
      </c>
      <c r="W1637" s="8"/>
      <c r="X1637" s="8">
        <f ca="1">IFERROR(__xludf.DUMMYFUNCTION("""COMPUTED_VALUE"""),1)</f>
        <v>1</v>
      </c>
      <c r="Y1637" s="12" t="str">
        <f ca="1">IFERROR(__xludf.DUMMYFUNCTION("""COMPUTED_VALUE"""),"Accidental discharge of school employees handgun grazed student.")</f>
        <v>Accidental discharge of school employees handgun grazed student.</v>
      </c>
      <c r="Z1637" s="12" t="str">
        <f ca="1">IFERROR(__xludf.DUMMYFUNCTION("""COMPUTED_VALUE"""),"Janitors's handgun discharged injuring a 10YO student. Employee was not authorized to have the gun at the school. Shooting was not reported to police and school was not locked down. Police were notified of the incident 7 days later and the employee was te"&amp;"rminated. Two teachers charged with child neglect for not reporting the shooting.")</f>
        <v>Janitors's handgun discharged injuring a 10YO student. Employee was not authorized to have the gun at the school. Shooting was not reported to police and school was not locked down. Police were notified of the incident 7 days later and the employee was terminated. Two teachers charged with child neglect for not reporting the shooting.</v>
      </c>
      <c r="AA1637" s="8" t="str">
        <f ca="1">IFERROR(__xludf.DUMMYFUNCTION("""COMPUTED_VALUE"""),"Accidental")</f>
        <v>Accidental</v>
      </c>
      <c r="AB1637" s="8"/>
      <c r="AC1637" s="8" t="str">
        <f ca="1">IFERROR(__xludf.DUMMYFUNCTION("""COMPUTED_VALUE"""),"Yes")</f>
        <v>Yes</v>
      </c>
      <c r="AD1637" s="8" t="str">
        <f ca="1">IFERROR(__xludf.DUMMYFUNCTION("""COMPUTED_VALUE"""),"Random Shooting")</f>
        <v>Random Shooting</v>
      </c>
      <c r="AE1637" s="8" t="str">
        <f ca="1">IFERROR(__xludf.DUMMYFUNCTION("""COMPUTED_VALUE"""),"No")</f>
        <v>No</v>
      </c>
      <c r="AF1637" s="8"/>
      <c r="AG1637" s="8" t="str">
        <f ca="1">IFERROR(__xludf.DUMMYFUNCTION("""COMPUTED_VALUE"""),"No")</f>
        <v>No</v>
      </c>
      <c r="AH1637" s="8" t="str">
        <f ca="1">IFERROR(__xludf.DUMMYFUNCTION("""COMPUTED_VALUE"""),"No")</f>
        <v>No</v>
      </c>
      <c r="AI1637" s="8" t="str">
        <f ca="1">IFERROR(__xludf.DUMMYFUNCTION("""COMPUTED_VALUE"""),"No")</f>
        <v>No</v>
      </c>
      <c r="AJ1637" s="8" t="str">
        <f ca="1">IFERROR(__xludf.DUMMYFUNCTION("""COMPUTED_VALUE"""),"No")</f>
        <v>No</v>
      </c>
      <c r="AK1637" s="8" t="str">
        <f ca="1">IFERROR(__xludf.DUMMYFUNCTION("""COMPUTED_VALUE"""),"No")</f>
        <v>No</v>
      </c>
      <c r="AL1637" s="8" t="str">
        <f ca="1">IFERROR(__xludf.DUMMYFUNCTION("""COMPUTED_VALUE"""),"No")</f>
        <v>No</v>
      </c>
      <c r="AM1637" s="8" t="str">
        <f ca="1">IFERROR(__xludf.DUMMYFUNCTION("""COMPUTED_VALUE"""),"No")</f>
        <v>No</v>
      </c>
      <c r="AN1637" s="8"/>
      <c r="AO1637" s="8" t="str">
        <f ca="1">IFERROR(__xludf.DUMMYFUNCTION("""COMPUTED_VALUE"""),"No")</f>
        <v>No</v>
      </c>
      <c r="AP1637" s="8" t="str">
        <f ca="1">IFERROR(__xludf.DUMMYFUNCTION("""COMPUTED_VALUE"""),"No")</f>
        <v>No</v>
      </c>
      <c r="AQ1637" s="8" t="str">
        <f ca="1">IFERROR(__xludf.DUMMYFUNCTION("""COMPUTED_VALUE"""),"Unknown")</f>
        <v>Unknown</v>
      </c>
      <c r="AR1637" s="8" t="str">
        <f ca="1">IFERROR(__xludf.DUMMYFUNCTION("""COMPUTED_VALUE"""),"NA")</f>
        <v>NA</v>
      </c>
      <c r="AS1637" s="8">
        <f ca="1">IFERROR(__xludf.DUMMYFUNCTION("""COMPUTED_VALUE"""),1)</f>
        <v>1</v>
      </c>
      <c r="AT1637" s="8" t="str">
        <f ca="1">IFERROR(__xludf.DUMMYFUNCTION("""COMPUTED_VALUE"""),"No")</f>
        <v>No</v>
      </c>
      <c r="AU1637" s="8">
        <f ca="1">IFERROR(__xludf.DUMMYFUNCTION("""COMPUTED_VALUE"""),43.002314)</f>
        <v>43.002313999999998</v>
      </c>
      <c r="AV1637" s="8">
        <f ca="1">IFERROR(__xludf.DUMMYFUNCTION("""COMPUTED_VALUE"""),-87.921821)</f>
        <v>-87.921820999999994</v>
      </c>
      <c r="AW1637" s="8"/>
      <c r="AX1637" s="8">
        <f ca="1">IFERROR(__xludf.DUMMYFUNCTION("""COMPUTED_VALUE"""),53215)</f>
        <v>53215</v>
      </c>
    </row>
    <row r="1638" spans="1:50" ht="135" x14ac:dyDescent="0.2">
      <c r="A1638" s="8" t="str">
        <f ca="1">IFERROR(__xludf.DUMMYFUNCTION("""COMPUTED_VALUE"""),"20190403CANES")</f>
        <v>20190403CANES</v>
      </c>
      <c r="B1638" s="8">
        <f ca="1">IFERROR(__xludf.DUMMYFUNCTION("""COMPUTED_VALUE"""),4)</f>
        <v>4</v>
      </c>
      <c r="C1638" s="8">
        <f ca="1">IFERROR(__xludf.DUMMYFUNCTION("""COMPUTED_VALUE"""),3)</f>
        <v>3</v>
      </c>
      <c r="D1638" s="8">
        <f ca="1">IFERROR(__xludf.DUMMYFUNCTION("""COMPUTED_VALUE"""),2019)</f>
        <v>2019</v>
      </c>
      <c r="E1638" s="9">
        <f ca="1">IFERROR(__xludf.DUMMYFUNCTION("""COMPUTED_VALUE"""),43558)</f>
        <v>43558</v>
      </c>
      <c r="F1638" s="8" t="str">
        <f ca="1">IFERROR(__xludf.DUMMYFUNCTION("""COMPUTED_VALUE"""),"New Joseph Bonnheim Elementary School")</f>
        <v>New Joseph Bonnheim Elementary School</v>
      </c>
      <c r="G1638" s="8">
        <f ca="1">IFERROR(__xludf.DUMMYFUNCTION("""COMPUTED_VALUE"""),0)</f>
        <v>0</v>
      </c>
      <c r="H1638" s="8">
        <f ca="1">IFERROR(__xludf.DUMMYFUNCTION("""COMPUTED_VALUE"""),0)</f>
        <v>0</v>
      </c>
      <c r="I1638" s="8">
        <f ca="1">IFERROR(__xludf.DUMMYFUNCTION("""COMPUTED_VALUE"""),0)</f>
        <v>0</v>
      </c>
      <c r="J1638" s="8">
        <f ca="1">IFERROR(__xludf.DUMMYFUNCTION("""COMPUTED_VALUE"""),0)</f>
        <v>0</v>
      </c>
      <c r="K1638" s="10" t="str">
        <f ca="1">IFERROR(__xludf.DUMMYFUNCTION("""COMPUTED_VALUE"""),"https://www.cbsnews.com/sacramento/news/police-2-bullet-holes-found-in-elementary-school-building-no-one-injured/")</f>
        <v>https://www.cbsnews.com/sacramento/news/police-2-bullet-holes-found-in-elementary-school-building-no-one-injured/</v>
      </c>
      <c r="L1638" s="8">
        <f ca="1">IFERROR(__xludf.DUMMYFUNCTION("""COMPUTED_VALUE"""),5)</f>
        <v>5</v>
      </c>
      <c r="M1638" s="8" t="str">
        <f ca="1">IFERROR(__xludf.DUMMYFUNCTION("""COMPUTED_VALUE"""),"Local")</f>
        <v>Local</v>
      </c>
      <c r="N1638" s="8">
        <f ca="1">IFERROR(__xludf.DUMMYFUNCTION("""COMPUTED_VALUE"""),4)</f>
        <v>4</v>
      </c>
      <c r="O1638" s="8" t="str">
        <f ca="1">IFERROR(__xludf.DUMMYFUNCTION("""COMPUTED_VALUE"""),"Spring")</f>
        <v>Spring</v>
      </c>
      <c r="P1638" s="8" t="str">
        <f ca="1">IFERROR(__xludf.DUMMYFUNCTION("""COMPUTED_VALUE"""),"Sacramento")</f>
        <v>Sacramento</v>
      </c>
      <c r="Q1638" s="8" t="str">
        <f ca="1">IFERROR(__xludf.DUMMYFUNCTION("""COMPUTED_VALUE"""),"CA")</f>
        <v>CA</v>
      </c>
      <c r="R1638" s="8" t="str">
        <f ca="1">IFERROR(__xludf.DUMMYFUNCTION("""COMPUTED_VALUE"""),"Elementary")</f>
        <v>Elementary</v>
      </c>
      <c r="S1638" s="8" t="str">
        <f ca="1">IFERROR(__xludf.DUMMYFUNCTION("""COMPUTED_VALUE"""),"Classroom")</f>
        <v>Classroom</v>
      </c>
      <c r="T1638" s="8" t="str">
        <f ca="1">IFERROR(__xludf.DUMMYFUNCTION("""COMPUTED_VALUE"""),"Both Inside/Outside")</f>
        <v>Both Inside/Outside</v>
      </c>
      <c r="U1638" s="8" t="str">
        <f ca="1">IFERROR(__xludf.DUMMYFUNCTION("""COMPUTED_VALUE"""),"Yes")</f>
        <v>Yes</v>
      </c>
      <c r="V1638" s="8" t="str">
        <f ca="1">IFERROR(__xludf.DUMMYFUNCTION("""COMPUTED_VALUE"""),"Afternoon Classes")</f>
        <v>Afternoon Classes</v>
      </c>
      <c r="W1638" s="11">
        <f ca="1">IFERROR(__xludf.DUMMYFUNCTION("""COMPUTED_VALUE"""),0.572916666666666)</f>
        <v>0.57291666666666596</v>
      </c>
      <c r="X1638" s="8">
        <f ca="1">IFERROR(__xludf.DUMMYFUNCTION("""COMPUTED_VALUE"""),1)</f>
        <v>1</v>
      </c>
      <c r="Y1638" s="12" t="str">
        <f ca="1">IFERROR(__xludf.DUMMYFUNCTION("""COMPUTED_VALUE"""),"Multiple shots fired near school and bullet when through school window with employee standing inside")</f>
        <v>Multiple shots fired near school and bullet when through school window with employee standing inside</v>
      </c>
      <c r="Z1638" s="12" t="str">
        <f ca="1">IFERROR(__xludf.DUMMYFUNCTION("""COMPUTED_VALUE"""),"Police will have extra security at New Joseph Bonnheim Community Charter School Thursday after a shooting left multiple bullet holes in a building while school was still in session. It happened Wednesday afternoon around 1:30 p.m. near Tahoe Park. One wit"&amp;"ness said she heard about eight or nine shots go off. Police say two shots struck a building while one bullet broke through a window where a female employee was inside. Officials are calling it a close call, and luckily, no one was hurt.")</f>
        <v>Police will have extra security at New Joseph Bonnheim Community Charter School Thursday after a shooting left multiple bullet holes in a building while school was still in session. It happened Wednesday afternoon around 1:30 p.m. near Tahoe Park. One witness said she heard about eight or nine shots go off. Police say two shots struck a building while one bullet broke through a window where a female employee was inside. Officials are calling it a close call, and luckily, no one was hurt.</v>
      </c>
      <c r="AA1638" s="8"/>
      <c r="AB1638" s="8"/>
      <c r="AC1638" s="8" t="str">
        <f ca="1">IFERROR(__xludf.DUMMYFUNCTION("""COMPUTED_VALUE"""),"Yes")</f>
        <v>Yes</v>
      </c>
      <c r="AD1638" s="8" t="str">
        <f ca="1">IFERROR(__xludf.DUMMYFUNCTION("""COMPUTED_VALUE"""),"Random Shooting")</f>
        <v>Random Shooting</v>
      </c>
      <c r="AE1638" s="8"/>
      <c r="AF1638" s="8"/>
      <c r="AG1638" s="8" t="str">
        <f ca="1">IFERROR(__xludf.DUMMYFUNCTION("""COMPUTED_VALUE"""),"No")</f>
        <v>No</v>
      </c>
      <c r="AH1638" s="8" t="str">
        <f ca="1">IFERROR(__xludf.DUMMYFUNCTION("""COMPUTED_VALUE"""),"No")</f>
        <v>No</v>
      </c>
      <c r="AI1638" s="8" t="str">
        <f ca="1">IFERROR(__xludf.DUMMYFUNCTION("""COMPUTED_VALUE"""),"No")</f>
        <v>No</v>
      </c>
      <c r="AJ1638" s="8" t="str">
        <f ca="1">IFERROR(__xludf.DUMMYFUNCTION("""COMPUTED_VALUE"""),"No")</f>
        <v>No</v>
      </c>
      <c r="AK1638" s="8" t="str">
        <f ca="1">IFERROR(__xludf.DUMMYFUNCTION("""COMPUTED_VALUE"""),"No")</f>
        <v>No</v>
      </c>
      <c r="AL1638" s="8"/>
      <c r="AM1638" s="8" t="str">
        <f ca="1">IFERROR(__xludf.DUMMYFUNCTION("""COMPUTED_VALUE"""),"No")</f>
        <v>No</v>
      </c>
      <c r="AN1638" s="8" t="str">
        <f ca="1">IFERROR(__xludf.DUMMYFUNCTION("""COMPUTED_VALUE"""),"Outside")</f>
        <v>Outside</v>
      </c>
      <c r="AO1638" s="8" t="str">
        <f ca="1">IFERROR(__xludf.DUMMYFUNCTION("""COMPUTED_VALUE"""),"No")</f>
        <v>No</v>
      </c>
      <c r="AP1638" s="8"/>
      <c r="AQ1638" s="8"/>
      <c r="AR1638" s="8" t="str">
        <f ca="1">IFERROR(__xludf.DUMMYFUNCTION("""COMPUTED_VALUE"""),"Outside/Off-Property")</f>
        <v>Outside/Off-Property</v>
      </c>
      <c r="AS1638" s="8">
        <f ca="1">IFERROR(__xludf.DUMMYFUNCTION("""COMPUTED_VALUE"""),8)</f>
        <v>8</v>
      </c>
      <c r="AT1638" s="8" t="str">
        <f ca="1">IFERROR(__xludf.DUMMYFUNCTION("""COMPUTED_VALUE"""),"Yes")</f>
        <v>Yes</v>
      </c>
      <c r="AU1638" s="8">
        <f ca="1">IFERROR(__xludf.DUMMYFUNCTION("""COMPUTED_VALUE"""),38.5333)</f>
        <v>38.533299999999997</v>
      </c>
      <c r="AV1638" s="8">
        <f ca="1">IFERROR(__xludf.DUMMYFUNCTION("""COMPUTED_VALUE"""),-121.418)</f>
        <v>-121.41800000000001</v>
      </c>
      <c r="AW1638" s="8"/>
      <c r="AX1638" s="8">
        <f ca="1">IFERROR(__xludf.DUMMYFUNCTION("""COMPUTED_VALUE"""),95820)</f>
        <v>95820</v>
      </c>
    </row>
    <row r="1639" spans="1:50" ht="60" x14ac:dyDescent="0.2">
      <c r="A1639" s="8" t="str">
        <f ca="1">IFERROR(__xludf.DUMMYFUNCTION("""COMPUTED_VALUE"""),"20190403FLSAJ")</f>
        <v>20190403FLSAJ</v>
      </c>
      <c r="B1639" s="8">
        <f ca="1">IFERROR(__xludf.DUMMYFUNCTION("""COMPUTED_VALUE"""),4)</f>
        <v>4</v>
      </c>
      <c r="C1639" s="8">
        <f ca="1">IFERROR(__xludf.DUMMYFUNCTION("""COMPUTED_VALUE"""),3)</f>
        <v>3</v>
      </c>
      <c r="D1639" s="8">
        <f ca="1">IFERROR(__xludf.DUMMYFUNCTION("""COMPUTED_VALUE"""),2019)</f>
        <v>2019</v>
      </c>
      <c r="E1639" s="9">
        <f ca="1">IFERROR(__xludf.DUMMYFUNCTION("""COMPUTED_VALUE"""),43558)</f>
        <v>43558</v>
      </c>
      <c r="F1639" s="8" t="str">
        <f ca="1">IFERROR(__xludf.DUMMYFUNCTION("""COMPUTED_VALUE"""),"Saint Clair Evans Academy")</f>
        <v>Saint Clair Evans Academy</v>
      </c>
      <c r="G1639" s="8">
        <f ca="1">IFERROR(__xludf.DUMMYFUNCTION("""COMPUTED_VALUE"""),0)</f>
        <v>0</v>
      </c>
      <c r="H1639" s="8">
        <f ca="1">IFERROR(__xludf.DUMMYFUNCTION("""COMPUTED_VALUE"""),0)</f>
        <v>0</v>
      </c>
      <c r="I1639" s="8">
        <f ca="1">IFERROR(__xludf.DUMMYFUNCTION("""COMPUTED_VALUE"""),0)</f>
        <v>0</v>
      </c>
      <c r="J1639" s="8">
        <f ca="1">IFERROR(__xludf.DUMMYFUNCTION("""COMPUTED_VALUE"""),0)</f>
        <v>0</v>
      </c>
      <c r="K1639" s="8" t="str">
        <f ca="1">IFERROR(__xludf.DUMMYFUNCTION("""COMPUTED_VALUE"""),"https://www.wokv.com/news/local/elementary-school-hit-with-gunfire-during-apparent-shooting-northwest-jacksonville/91aVU77r4L6Ttjs1Hhh1DL/ https://www.jacksonville.com/news/20190403/bullet-pierces-jacksonville-school-window-as-police-investigate-nearby-sh"&amp;"ooting")</f>
        <v>https://www.wokv.com/news/local/elementary-school-hit-with-gunfire-during-apparent-shooting-northwest-jacksonville/91aVU77r4L6Ttjs1Hhh1DL/ https://www.jacksonville.com/news/20190403/bullet-pierces-jacksonville-school-window-as-police-investigate-nearby-shooting</v>
      </c>
      <c r="L1639" s="8"/>
      <c r="M1639" s="8"/>
      <c r="N1639" s="8">
        <f ca="1">IFERROR(__xludf.DUMMYFUNCTION("""COMPUTED_VALUE"""),4)</f>
        <v>4</v>
      </c>
      <c r="O1639" s="8" t="str">
        <f ca="1">IFERROR(__xludf.DUMMYFUNCTION("""COMPUTED_VALUE"""),"Spring")</f>
        <v>Spring</v>
      </c>
      <c r="P1639" s="8" t="str">
        <f ca="1">IFERROR(__xludf.DUMMYFUNCTION("""COMPUTED_VALUE"""),"Jacksonville")</f>
        <v>Jacksonville</v>
      </c>
      <c r="Q1639" s="8" t="str">
        <f ca="1">IFERROR(__xludf.DUMMYFUNCTION("""COMPUTED_VALUE"""),"FL")</f>
        <v>FL</v>
      </c>
      <c r="R1639" s="8" t="str">
        <f ca="1">IFERROR(__xludf.DUMMYFUNCTION("""COMPUTED_VALUE"""),"Elementary")</f>
        <v>Elementary</v>
      </c>
      <c r="S1639" s="8" t="str">
        <f ca="1">IFERROR(__xludf.DUMMYFUNCTION("""COMPUTED_VALUE"""),"Off School Property")</f>
        <v>Off School Property</v>
      </c>
      <c r="T1639" s="8" t="str">
        <f ca="1">IFERROR(__xludf.DUMMYFUNCTION("""COMPUTED_VALUE"""),"Off School Property")</f>
        <v>Off School Property</v>
      </c>
      <c r="U1639" s="8" t="str">
        <f ca="1">IFERROR(__xludf.DUMMYFUNCTION("""COMPUTED_VALUE"""),"Yes")</f>
        <v>Yes</v>
      </c>
      <c r="V1639" s="8" t="str">
        <f ca="1">IFERROR(__xludf.DUMMYFUNCTION("""COMPUTED_VALUE"""),"Morning Classes")</f>
        <v>Morning Classes</v>
      </c>
      <c r="W1639" s="11">
        <f ca="1">IFERROR(__xludf.DUMMYFUNCTION("""COMPUTED_VALUE"""),0.458333333333333)</f>
        <v>0.45833333333333298</v>
      </c>
      <c r="X1639" s="8">
        <f ca="1">IFERROR(__xludf.DUMMYFUNCTION("""COMPUTED_VALUE"""),1)</f>
        <v>1</v>
      </c>
      <c r="Y1639" s="12" t="str">
        <f ca="1">IFERROR(__xludf.DUMMYFUNCTION("""COMPUTED_VALUE"""),"Shots fired nearby struck the school and broke a classroom window")</f>
        <v>Shots fired nearby struck the school and broke a classroom window</v>
      </c>
      <c r="Z1639" s="12" t="str">
        <f ca="1">IFERROR(__xludf.DUMMYFUNCTION("""COMPUTED_VALUE"""),"Several shots were fired at the intersection near the school. Several bullets struck the occupied school building and broke a classroom window. No students were injured. No suspect identified (several detained).")</f>
        <v>Several shots were fired at the intersection near the school. Several bullets struck the occupied school building and broke a classroom window. No students were injured. No suspect identified (several detained).</v>
      </c>
      <c r="AA1639" s="8" t="str">
        <f ca="1">IFERROR(__xludf.DUMMYFUNCTION("""COMPUTED_VALUE"""),"Drive-by Shooting")</f>
        <v>Drive-by Shooting</v>
      </c>
      <c r="AB1639" s="8"/>
      <c r="AC1639" s="8" t="str">
        <f ca="1">IFERROR(__xludf.DUMMYFUNCTION("""COMPUTED_VALUE"""),"Yes")</f>
        <v>Yes</v>
      </c>
      <c r="AD1639" s="8" t="str">
        <f ca="1">IFERROR(__xludf.DUMMYFUNCTION("""COMPUTED_VALUE"""),"Victims Targeted")</f>
        <v>Victims Targeted</v>
      </c>
      <c r="AE1639" s="8"/>
      <c r="AF1639" s="8"/>
      <c r="AG1639" s="8" t="str">
        <f ca="1">IFERROR(__xludf.DUMMYFUNCTION("""COMPUTED_VALUE"""),"No")</f>
        <v>No</v>
      </c>
      <c r="AH1639" s="8" t="str">
        <f ca="1">IFERROR(__xludf.DUMMYFUNCTION("""COMPUTED_VALUE"""),"No")</f>
        <v>No</v>
      </c>
      <c r="AI1639" s="8" t="str">
        <f ca="1">IFERROR(__xludf.DUMMYFUNCTION("""COMPUTED_VALUE"""),"No")</f>
        <v>No</v>
      </c>
      <c r="AJ1639" s="8" t="str">
        <f ca="1">IFERROR(__xludf.DUMMYFUNCTION("""COMPUTED_VALUE"""),"No")</f>
        <v>No</v>
      </c>
      <c r="AK1639" s="8" t="str">
        <f ca="1">IFERROR(__xludf.DUMMYFUNCTION("""COMPUTED_VALUE"""),"No")</f>
        <v>No</v>
      </c>
      <c r="AL1639" s="8"/>
      <c r="AM1639" s="8" t="str">
        <f ca="1">IFERROR(__xludf.DUMMYFUNCTION("""COMPUTED_VALUE"""),"No")</f>
        <v>No</v>
      </c>
      <c r="AN1639" s="8"/>
      <c r="AO1639" s="8" t="str">
        <f ca="1">IFERROR(__xludf.DUMMYFUNCTION("""COMPUTED_VALUE"""),"No")</f>
        <v>No</v>
      </c>
      <c r="AP1639" s="8" t="str">
        <f ca="1">IFERROR(__xludf.DUMMYFUNCTION("""COMPUTED_VALUE"""),"Yes")</f>
        <v>Yes</v>
      </c>
      <c r="AQ1639" s="8" t="str">
        <f ca="1">IFERROR(__xludf.DUMMYFUNCTION("""COMPUTED_VALUE"""),"Unknown")</f>
        <v>Unknown</v>
      </c>
      <c r="AR1639" s="8" t="str">
        <f ca="1">IFERROR(__xludf.DUMMYFUNCTION("""COMPUTED_VALUE"""),"NA")</f>
        <v>NA</v>
      </c>
      <c r="AS1639" s="8" t="str">
        <f ca="1">IFERROR(__xludf.DUMMYFUNCTION("""COMPUTED_VALUE"""),"&gt;5")</f>
        <v>&gt;5</v>
      </c>
      <c r="AT1639" s="8" t="str">
        <f ca="1">IFERROR(__xludf.DUMMYFUNCTION("""COMPUTED_VALUE"""),"Yes")</f>
        <v>Yes</v>
      </c>
      <c r="AU1639" s="8">
        <f ca="1">IFERROR(__xludf.DUMMYFUNCTION("""COMPUTED_VALUE"""),30.372141)</f>
        <v>30.372140999999999</v>
      </c>
      <c r="AV1639" s="8">
        <f ca="1">IFERROR(__xludf.DUMMYFUNCTION("""COMPUTED_VALUE"""),-81.68465)</f>
        <v>-81.684650000000005</v>
      </c>
      <c r="AW1639" s="8"/>
      <c r="AX1639" s="8">
        <f ca="1">IFERROR(__xludf.DUMMYFUNCTION("""COMPUTED_VALUE"""),32209)</f>
        <v>32209</v>
      </c>
    </row>
    <row r="1640" spans="1:50" ht="120" x14ac:dyDescent="0.2">
      <c r="A1640" s="8" t="str">
        <f ca="1">IFERROR(__xludf.DUMMYFUNCTION("""COMPUTED_VALUE"""),"20190403COAUA")</f>
        <v>20190403COAUA</v>
      </c>
      <c r="B1640" s="8">
        <f ca="1">IFERROR(__xludf.DUMMYFUNCTION("""COMPUTED_VALUE"""),4)</f>
        <v>4</v>
      </c>
      <c r="C1640" s="8">
        <f ca="1">IFERROR(__xludf.DUMMYFUNCTION("""COMPUTED_VALUE"""),3)</f>
        <v>3</v>
      </c>
      <c r="D1640" s="8">
        <f ca="1">IFERROR(__xludf.DUMMYFUNCTION("""COMPUTED_VALUE"""),2019)</f>
        <v>2019</v>
      </c>
      <c r="E1640" s="9">
        <f ca="1">IFERROR(__xludf.DUMMYFUNCTION("""COMPUTED_VALUE"""),43558)</f>
        <v>43558</v>
      </c>
      <c r="F1640" s="8" t="str">
        <f ca="1">IFERROR(__xludf.DUMMYFUNCTION("""COMPUTED_VALUE"""),"Aurora West College Preparatory Academy")</f>
        <v>Aurora West College Preparatory Academy</v>
      </c>
      <c r="G1640" s="8">
        <f ca="1">IFERROR(__xludf.DUMMYFUNCTION("""COMPUTED_VALUE"""),0)</f>
        <v>0</v>
      </c>
      <c r="H1640" s="8">
        <f ca="1">IFERROR(__xludf.DUMMYFUNCTION("""COMPUTED_VALUE"""),0)</f>
        <v>0</v>
      </c>
      <c r="I1640" s="8">
        <f ca="1">IFERROR(__xludf.DUMMYFUNCTION("""COMPUTED_VALUE"""),0)</f>
        <v>0</v>
      </c>
      <c r="J1640" s="8">
        <f ca="1">IFERROR(__xludf.DUMMYFUNCTION("""COMPUTED_VALUE"""),0)</f>
        <v>0</v>
      </c>
      <c r="K1640" s="10" t="str">
        <f ca="1">IFERROR(__xludf.DUMMYFUNCTION("""COMPUTED_VALUE"""),"https://www.sentinelcolorado.com/0trending/aurora-high-school-dean-accused-of-bringing-loaded-concealed-weapon-to-campus-making-threats/")</f>
        <v>https://www.sentinelcolorado.com/0trending/aurora-high-school-dean-accused-of-bringing-loaded-concealed-weapon-to-campus-making-threats/</v>
      </c>
      <c r="L1640" s="8"/>
      <c r="M1640" s="8"/>
      <c r="N1640" s="8">
        <f ca="1">IFERROR(__xludf.DUMMYFUNCTION("""COMPUTED_VALUE"""),4)</f>
        <v>4</v>
      </c>
      <c r="O1640" s="8" t="str">
        <f ca="1">IFERROR(__xludf.DUMMYFUNCTION("""COMPUTED_VALUE"""),"Spring")</f>
        <v>Spring</v>
      </c>
      <c r="P1640" s="8" t="str">
        <f ca="1">IFERROR(__xludf.DUMMYFUNCTION("""COMPUTED_VALUE"""),"Aurora")</f>
        <v>Aurora</v>
      </c>
      <c r="Q1640" s="8" t="str">
        <f ca="1">IFERROR(__xludf.DUMMYFUNCTION("""COMPUTED_VALUE"""),"CO")</f>
        <v>CO</v>
      </c>
      <c r="R1640" s="8" t="str">
        <f ca="1">IFERROR(__xludf.DUMMYFUNCTION("""COMPUTED_VALUE"""),"Unknown")</f>
        <v>Unknown</v>
      </c>
      <c r="S1640" s="8" t="str">
        <f ca="1">IFERROR(__xludf.DUMMYFUNCTION("""COMPUTED_VALUE"""),"Office")</f>
        <v>Office</v>
      </c>
      <c r="T1640" s="8" t="str">
        <f ca="1">IFERROR(__xludf.DUMMYFUNCTION("""COMPUTED_VALUE"""),"Inside School Building")</f>
        <v>Inside School Building</v>
      </c>
      <c r="U1640" s="8" t="str">
        <f ca="1">IFERROR(__xludf.DUMMYFUNCTION("""COMPUTED_VALUE"""),"No")</f>
        <v>No</v>
      </c>
      <c r="V1640" s="8" t="str">
        <f ca="1">IFERROR(__xludf.DUMMYFUNCTION("""COMPUTED_VALUE"""),"After School")</f>
        <v>After School</v>
      </c>
      <c r="W1640" s="8"/>
      <c r="X1640" s="8"/>
      <c r="Y1640" s="12" t="str">
        <f ca="1">IFERROR(__xludf.DUMMYFUNCTION("""COMPUTED_VALUE"""),"School administrator threatened two school employees with handgun in office then ran through school building with gun")</f>
        <v>School administrator threatened two school employees with handgun in office then ran through school building with gun</v>
      </c>
      <c r="Z1640" s="12" t="str">
        <f ca="1">IFERROR(__xludf.DUMMYFUNCTION("""COMPUTED_VALUE"""),"30YOM school administrator pulled out handgun during disagreement with two other school employees over grading procedures after school dismissed. He threaten to shoot both of them and kill other school employees. Shooter then left office and walked throug"&amp;"h school building making violent threats. Later arrested by police after fleeing area. School was placed on lockdown and athletic events were cancelled.")</f>
        <v>30YOM school administrator pulled out handgun during disagreement with two other school employees over grading procedures after school dismissed. He threaten to shoot both of them and kill other school employees. Shooter then left office and walked through school building making violent threats. Later arrested by police after fleeing area. School was placed on lockdown and athletic events were cancelled.</v>
      </c>
      <c r="AA1640" s="8" t="str">
        <f ca="1">IFERROR(__xludf.DUMMYFUNCTION("""COMPUTED_VALUE"""),"Escalation of Dispute")</f>
        <v>Escalation of Dispute</v>
      </c>
      <c r="AB1640" s="8"/>
      <c r="AC1640" s="8" t="str">
        <f ca="1">IFERROR(__xludf.DUMMYFUNCTION("""COMPUTED_VALUE"""),"Yes")</f>
        <v>Yes</v>
      </c>
      <c r="AD1640" s="8" t="str">
        <f ca="1">IFERROR(__xludf.DUMMYFUNCTION("""COMPUTED_VALUE"""),"Victims Targeted")</f>
        <v>Victims Targeted</v>
      </c>
      <c r="AE1640" s="8" t="str">
        <f ca="1">IFERROR(__xludf.DUMMYFUNCTION("""COMPUTED_VALUE"""),"No")</f>
        <v>No</v>
      </c>
      <c r="AF1640" s="8"/>
      <c r="AG1640" s="8" t="str">
        <f ca="1">IFERROR(__xludf.DUMMYFUNCTION("""COMPUTED_VALUE"""),"No")</f>
        <v>No</v>
      </c>
      <c r="AH1640" s="8" t="str">
        <f ca="1">IFERROR(__xludf.DUMMYFUNCTION("""COMPUTED_VALUE"""),"No")</f>
        <v>No</v>
      </c>
      <c r="AI1640" s="8" t="str">
        <f ca="1">IFERROR(__xludf.DUMMYFUNCTION("""COMPUTED_VALUE"""),"No")</f>
        <v>No</v>
      </c>
      <c r="AJ1640" s="8" t="str">
        <f ca="1">IFERROR(__xludf.DUMMYFUNCTION("""COMPUTED_VALUE"""),"No")</f>
        <v>No</v>
      </c>
      <c r="AK1640" s="8" t="str">
        <f ca="1">IFERROR(__xludf.DUMMYFUNCTION("""COMPUTED_VALUE"""),"No")</f>
        <v>No</v>
      </c>
      <c r="AL1640" s="8" t="str">
        <f ca="1">IFERROR(__xludf.DUMMYFUNCTION("""COMPUTED_VALUE"""),"No")</f>
        <v>No</v>
      </c>
      <c r="AM1640" s="8" t="str">
        <f ca="1">IFERROR(__xludf.DUMMYFUNCTION("""COMPUTED_VALUE"""),"No")</f>
        <v>No</v>
      </c>
      <c r="AN1640" s="8"/>
      <c r="AO1640" s="8" t="str">
        <f ca="1">IFERROR(__xludf.DUMMYFUNCTION("""COMPUTED_VALUE"""),"No")</f>
        <v>No</v>
      </c>
      <c r="AP1640" s="8" t="str">
        <f ca="1">IFERROR(__xludf.DUMMYFUNCTION("""COMPUTED_VALUE"""),"No")</f>
        <v>No</v>
      </c>
      <c r="AQ1640" s="8" t="str">
        <f ca="1">IFERROR(__xludf.DUMMYFUNCTION("""COMPUTED_VALUE"""),"None")</f>
        <v>None</v>
      </c>
      <c r="AR1640" s="8" t="str">
        <f ca="1">IFERROR(__xludf.DUMMYFUNCTION("""COMPUTED_VALUE"""),"NA")</f>
        <v>NA</v>
      </c>
      <c r="AS1640" s="8">
        <f ca="1">IFERROR(__xludf.DUMMYFUNCTION("""COMPUTED_VALUE"""),0)</f>
        <v>0</v>
      </c>
      <c r="AT1640" s="8" t="str">
        <f ca="1">IFERROR(__xludf.DUMMYFUNCTION("""COMPUTED_VALUE"""),"Yes")</f>
        <v>Yes</v>
      </c>
      <c r="AU1640" s="8">
        <f ca="1">IFERROR(__xludf.DUMMYFUNCTION("""COMPUTED_VALUE"""),39.735208)</f>
        <v>39.735208</v>
      </c>
      <c r="AV1640" s="8">
        <f ca="1">IFERROR(__xludf.DUMMYFUNCTION("""COMPUTED_VALUE"""),-104.870363)</f>
        <v>-104.870363</v>
      </c>
      <c r="AW1640" s="8"/>
      <c r="AX1640" s="8">
        <f ca="1">IFERROR(__xludf.DUMMYFUNCTION("""COMPUTED_VALUE"""),80010)</f>
        <v>80010</v>
      </c>
    </row>
    <row r="1641" spans="1:50" ht="120" x14ac:dyDescent="0.2">
      <c r="A1641" s="8" t="str">
        <f ca="1">IFERROR(__xludf.DUMMYFUNCTION("""COMPUTED_VALUE"""),"20190401ARPRP")</f>
        <v>20190401ARPRP</v>
      </c>
      <c r="B1641" s="8">
        <f ca="1">IFERROR(__xludf.DUMMYFUNCTION("""COMPUTED_VALUE"""),4)</f>
        <v>4</v>
      </c>
      <c r="C1641" s="8">
        <f ca="1">IFERROR(__xludf.DUMMYFUNCTION("""COMPUTED_VALUE"""),1)</f>
        <v>1</v>
      </c>
      <c r="D1641" s="8">
        <f ca="1">IFERROR(__xludf.DUMMYFUNCTION("""COMPUTED_VALUE"""),2019)</f>
        <v>2019</v>
      </c>
      <c r="E1641" s="9">
        <f ca="1">IFERROR(__xludf.DUMMYFUNCTION("""COMPUTED_VALUE"""),43556)</f>
        <v>43556</v>
      </c>
      <c r="F1641" s="8" t="str">
        <f ca="1">IFERROR(__xludf.DUMMYFUNCTION("""COMPUTED_VALUE"""),"Prescott High School")</f>
        <v>Prescott High School</v>
      </c>
      <c r="G1641" s="8">
        <f ca="1">IFERROR(__xludf.DUMMYFUNCTION("""COMPUTED_VALUE"""),0)</f>
        <v>0</v>
      </c>
      <c r="H1641" s="8">
        <f ca="1">IFERROR(__xludf.DUMMYFUNCTION("""COMPUTED_VALUE"""),1)</f>
        <v>1</v>
      </c>
      <c r="I1641" s="8">
        <f ca="1">IFERROR(__xludf.DUMMYFUNCTION("""COMPUTED_VALUE"""),1)</f>
        <v>1</v>
      </c>
      <c r="J1641" s="8">
        <f ca="1">IFERROR(__xludf.DUMMYFUNCTION("""COMPUTED_VALUE"""),0)</f>
        <v>0</v>
      </c>
      <c r="K1641" s="8" t="str">
        <f ca="1">IFERROR(__xludf.DUMMYFUNCTION("""COMPUTED_VALUE"""),"https://www.kark.com/news/state-news/student-describes-witnessing-prescott-high-school-shooting/1894047635 https://www.nbcnews.com/news/us-news/student-wounded-premeditated-arkansas-middle-school-shooting-n989616 https://katv.com/news/local/gunfire-report"&amp;"ed-at-school-in-prescott-state-police-say https://www.arkansasonline.com/news/2019/apr/02/prescott-school-shooting-injures-studen/?news")</f>
        <v>https://www.kark.com/news/state-news/student-describes-witnessing-prescott-high-school-shooting/1894047635 https://www.nbcnews.com/news/us-news/student-wounded-premeditated-arkansas-middle-school-shooting-n989616 https://katv.com/news/local/gunfire-reported-at-school-in-prescott-state-police-say https://www.arkansasonline.com/news/2019/apr/02/prescott-school-shooting-injures-studen/?news</v>
      </c>
      <c r="L1641" s="8"/>
      <c r="M1641" s="8"/>
      <c r="N1641" s="8">
        <f ca="1">IFERROR(__xludf.DUMMYFUNCTION("""COMPUTED_VALUE"""),4)</f>
        <v>4</v>
      </c>
      <c r="O1641" s="8" t="str">
        <f ca="1">IFERROR(__xludf.DUMMYFUNCTION("""COMPUTED_VALUE"""),"Spring")</f>
        <v>Spring</v>
      </c>
      <c r="P1641" s="8" t="str">
        <f ca="1">IFERROR(__xludf.DUMMYFUNCTION("""COMPUTED_VALUE"""),"Prescott")</f>
        <v>Prescott</v>
      </c>
      <c r="Q1641" s="8" t="str">
        <f ca="1">IFERROR(__xludf.DUMMYFUNCTION("""COMPUTED_VALUE"""),"AR")</f>
        <v>AR</v>
      </c>
      <c r="R1641" s="8" t="str">
        <f ca="1">IFERROR(__xludf.DUMMYFUNCTION("""COMPUTED_VALUE"""),"High")</f>
        <v>High</v>
      </c>
      <c r="S1641" s="8" t="str">
        <f ca="1">IFERROR(__xludf.DUMMYFUNCTION("""COMPUTED_VALUE"""),"Hallway")</f>
        <v>Hallway</v>
      </c>
      <c r="T1641" s="8" t="str">
        <f ca="1">IFERROR(__xludf.DUMMYFUNCTION("""COMPUTED_VALUE"""),"Inside School Building")</f>
        <v>Inside School Building</v>
      </c>
      <c r="U1641" s="8" t="str">
        <f ca="1">IFERROR(__xludf.DUMMYFUNCTION("""COMPUTED_VALUE"""),"Yes")</f>
        <v>Yes</v>
      </c>
      <c r="V1641" s="8" t="str">
        <f ca="1">IFERROR(__xludf.DUMMYFUNCTION("""COMPUTED_VALUE"""),"Morning Classes")</f>
        <v>Morning Classes</v>
      </c>
      <c r="W1641" s="11">
        <f ca="1">IFERROR(__xludf.DUMMYFUNCTION("""COMPUTED_VALUE"""),0.384722222222222)</f>
        <v>0.38472222222222202</v>
      </c>
      <c r="X1641" s="8">
        <f ca="1">IFERROR(__xludf.DUMMYFUNCTION("""COMPUTED_VALUE"""),1)</f>
        <v>1</v>
      </c>
      <c r="Y1641" s="12" t="str">
        <f ca="1">IFERROR(__xludf.DUMMYFUNCTION("""COMPUTED_VALUE"""),"Student brought a handgun to school and shot a targeted classmate")</f>
        <v>Student brought a handgun to school and shot a targeted classmate</v>
      </c>
      <c r="Z1641" s="12" t="str">
        <f ca="1">IFERROR(__xludf.DUMMYFUNCTION("""COMPUTED_VALUE"""),"14YOM student brought a concealed handgun to school and shot  a male classmate he specific targeted following a dispute over the weekend. Suspect ditched the weapon in a bush on school property and fled. School went on lockdown and victim was taken to the"&amp;" hospital. Suspect was apprehended by SROs shortly after. A student-witness reported that suspect told victim that he was not going to shoot him but then he fired the gun.")</f>
        <v>14YOM student brought a concealed handgun to school and shot  a male classmate he specific targeted following a dispute over the weekend. Suspect ditched the weapon in a bush on school property and fled. School went on lockdown and victim was taken to the hospital. Suspect was apprehended by SROs shortly after. A student-witness reported that suspect told victim that he was not going to shoot him but then he fired the gun.</v>
      </c>
      <c r="AA1641" s="8" t="str">
        <f ca="1">IFERROR(__xludf.DUMMYFUNCTION("""COMPUTED_VALUE"""),"Escalation of Dispute")</f>
        <v>Escalation of Dispute</v>
      </c>
      <c r="AB1641" s="8"/>
      <c r="AC1641" s="8" t="str">
        <f ca="1">IFERROR(__xludf.DUMMYFUNCTION("""COMPUTED_VALUE"""),"Yes")</f>
        <v>Yes</v>
      </c>
      <c r="AD1641" s="8" t="str">
        <f ca="1">IFERROR(__xludf.DUMMYFUNCTION("""COMPUTED_VALUE"""),"Victims Targeted")</f>
        <v>Victims Targeted</v>
      </c>
      <c r="AE1641" s="8" t="str">
        <f ca="1">IFERROR(__xludf.DUMMYFUNCTION("""COMPUTED_VALUE"""),"No")</f>
        <v>No</v>
      </c>
      <c r="AF1641" s="8"/>
      <c r="AG1641" s="8" t="str">
        <f ca="1">IFERROR(__xludf.DUMMYFUNCTION("""COMPUTED_VALUE"""),"No")</f>
        <v>No</v>
      </c>
      <c r="AH1641" s="8" t="str">
        <f ca="1">IFERROR(__xludf.DUMMYFUNCTION("""COMPUTED_VALUE"""),"No")</f>
        <v>No</v>
      </c>
      <c r="AI1641" s="8" t="str">
        <f ca="1">IFERROR(__xludf.DUMMYFUNCTION("""COMPUTED_VALUE"""),"No")</f>
        <v>No</v>
      </c>
      <c r="AJ1641" s="8"/>
      <c r="AK1641" s="8"/>
      <c r="AL1641" s="8" t="str">
        <f ca="1">IFERROR(__xludf.DUMMYFUNCTION("""COMPUTED_VALUE"""),"No")</f>
        <v>No</v>
      </c>
      <c r="AM1641" s="8" t="str">
        <f ca="1">IFERROR(__xludf.DUMMYFUNCTION("""COMPUTED_VALUE"""),"No")</f>
        <v>No</v>
      </c>
      <c r="AN1641" s="8"/>
      <c r="AO1641" s="8" t="str">
        <f ca="1">IFERROR(__xludf.DUMMYFUNCTION("""COMPUTED_VALUE"""),"No")</f>
        <v>No</v>
      </c>
      <c r="AP1641" s="8" t="str">
        <f ca="1">IFERROR(__xludf.DUMMYFUNCTION("""COMPUTED_VALUE"""),"Yes")</f>
        <v>Yes</v>
      </c>
      <c r="AQ1641" s="8" t="str">
        <f ca="1">IFERROR(__xludf.DUMMYFUNCTION("""COMPUTED_VALUE"""),"Unknown")</f>
        <v>Unknown</v>
      </c>
      <c r="AR1641" s="8" t="str">
        <f ca="1">IFERROR(__xludf.DUMMYFUNCTION("""COMPUTED_VALUE"""),"NA")</f>
        <v>NA</v>
      </c>
      <c r="AS1641" s="8" t="str">
        <f ca="1">IFERROR(__xludf.DUMMYFUNCTION("""COMPUTED_VALUE"""),"&lt;10")</f>
        <v>&lt;10</v>
      </c>
      <c r="AT1641" s="8" t="str">
        <f ca="1">IFERROR(__xludf.DUMMYFUNCTION("""COMPUTED_VALUE"""),"Yes")</f>
        <v>Yes</v>
      </c>
      <c r="AU1641" s="8">
        <f ca="1">IFERROR(__xludf.DUMMYFUNCTION("""COMPUTED_VALUE"""),33.791143)</f>
        <v>33.791142999999998</v>
      </c>
      <c r="AV1641" s="8">
        <f ca="1">IFERROR(__xludf.DUMMYFUNCTION("""COMPUTED_VALUE"""),-93.377208)</f>
        <v>-93.377207999999996</v>
      </c>
      <c r="AW1641" s="8"/>
      <c r="AX1641" s="8">
        <f ca="1">IFERROR(__xludf.DUMMYFUNCTION("""COMPUTED_VALUE"""),71857)</f>
        <v>71857</v>
      </c>
    </row>
    <row r="1642" spans="1:50" ht="60" x14ac:dyDescent="0.2">
      <c r="A1642" s="8" t="str">
        <f ca="1">IFERROR(__xludf.DUMMYFUNCTION("""COMPUTED_VALUE"""),"20190327MSSVH")</f>
        <v>20190327MSSVH</v>
      </c>
      <c r="B1642" s="8">
        <f ca="1">IFERROR(__xludf.DUMMYFUNCTION("""COMPUTED_VALUE"""),3)</f>
        <v>3</v>
      </c>
      <c r="C1642" s="8">
        <f ca="1">IFERROR(__xludf.DUMMYFUNCTION("""COMPUTED_VALUE"""),27)</f>
        <v>27</v>
      </c>
      <c r="D1642" s="8">
        <f ca="1">IFERROR(__xludf.DUMMYFUNCTION("""COMPUTED_VALUE"""),2019)</f>
        <v>2019</v>
      </c>
      <c r="E1642" s="9">
        <f ca="1">IFERROR(__xludf.DUMMYFUNCTION("""COMPUTED_VALUE"""),43551)</f>
        <v>43551</v>
      </c>
      <c r="F1642" s="8" t="str">
        <f ca="1">IFERROR(__xludf.DUMMYFUNCTION("""COMPUTED_VALUE"""),"S V Marshall Elementary")</f>
        <v>S V Marshall Elementary</v>
      </c>
      <c r="G1642" s="8">
        <f ca="1">IFERROR(__xludf.DUMMYFUNCTION("""COMPUTED_VALUE"""),0)</f>
        <v>0</v>
      </c>
      <c r="H1642" s="8">
        <f ca="1">IFERROR(__xludf.DUMMYFUNCTION("""COMPUTED_VALUE"""),1)</f>
        <v>1</v>
      </c>
      <c r="I1642" s="8">
        <f ca="1">IFERROR(__xludf.DUMMYFUNCTION("""COMPUTED_VALUE"""),1)</f>
        <v>1</v>
      </c>
      <c r="J1642" s="8">
        <f ca="1">IFERROR(__xludf.DUMMYFUNCTION("""COMPUTED_VALUE"""),0)</f>
        <v>0</v>
      </c>
      <c r="K1642" s="8" t="str">
        <f ca="1">IFERROR(__xludf.DUMMYFUNCTION("""COMPUTED_VALUE"""),"https://www.wlox.com/2019/03/28/year-old-student-shot-hand-while-riding-holmes-county-school-bus/ https://www.wbtv.com/2019/03/29/fifth-grader-shot-school-bus-claims-another-student-did-it/")</f>
        <v>https://www.wlox.com/2019/03/28/year-old-student-shot-hand-while-riding-holmes-county-school-bus/ https://www.wbtv.com/2019/03/29/fifth-grader-shot-school-bus-claims-another-student-did-it/</v>
      </c>
      <c r="L1642" s="8"/>
      <c r="M1642" s="8"/>
      <c r="N1642" s="8">
        <f ca="1">IFERROR(__xludf.DUMMYFUNCTION("""COMPUTED_VALUE"""),3)</f>
        <v>3</v>
      </c>
      <c r="O1642" s="8" t="str">
        <f ca="1">IFERROR(__xludf.DUMMYFUNCTION("""COMPUTED_VALUE"""),"Spring")</f>
        <v>Spring</v>
      </c>
      <c r="P1642" s="8" t="str">
        <f ca="1">IFERROR(__xludf.DUMMYFUNCTION("""COMPUTED_VALUE"""),"Holmes County")</f>
        <v>Holmes County</v>
      </c>
      <c r="Q1642" s="8" t="str">
        <f ca="1">IFERROR(__xludf.DUMMYFUNCTION("""COMPUTED_VALUE"""),"MS")</f>
        <v>MS</v>
      </c>
      <c r="R1642" s="8" t="str">
        <f ca="1">IFERROR(__xludf.DUMMYFUNCTION("""COMPUTED_VALUE"""),"Elementary")</f>
        <v>Elementary</v>
      </c>
      <c r="S1642" s="8" t="str">
        <f ca="1">IFERROR(__xludf.DUMMYFUNCTION("""COMPUTED_VALUE"""),"School Bus")</f>
        <v>School Bus</v>
      </c>
      <c r="T1642" s="8" t="str">
        <f ca="1">IFERROR(__xludf.DUMMYFUNCTION("""COMPUTED_VALUE"""),"School Bus")</f>
        <v>School Bus</v>
      </c>
      <c r="U1642" s="8" t="str">
        <f ca="1">IFERROR(__xludf.DUMMYFUNCTION("""COMPUTED_VALUE"""),"Yes")</f>
        <v>Yes</v>
      </c>
      <c r="V1642" s="8" t="str">
        <f ca="1">IFERROR(__xludf.DUMMYFUNCTION("""COMPUTED_VALUE"""),"Dismissal")</f>
        <v>Dismissal</v>
      </c>
      <c r="W1642" s="11">
        <f ca="1">IFERROR(__xludf.DUMMYFUNCTION("""COMPUTED_VALUE"""),0.625)</f>
        <v>0.625</v>
      </c>
      <c r="X1642" s="8">
        <f ca="1">IFERROR(__xludf.DUMMYFUNCTION("""COMPUTED_VALUE"""),1)</f>
        <v>1</v>
      </c>
      <c r="Y1642" s="12" t="str">
        <f ca="1">IFERROR(__xludf.DUMMYFUNCTION("""COMPUTED_VALUE"""),"Student shot in hand while on school bus")</f>
        <v>Student shot in hand while on school bus</v>
      </c>
      <c r="Z1642" s="12" t="str">
        <f ca="1">IFERROR(__xludf.DUMMYFUNCTION("""COMPUTED_VALUE"""),"10YOM student was shot in the hand while riding home on the school bus. The victim said a student in the back of the bus fired two shots. Police said the shooting was from a vehicle driving by the bus. No other information available.")</f>
        <v>10YOM student was shot in the hand while riding home on the school bus. The victim said a student in the back of the bus fired two shots. Police said the shooting was from a vehicle driving by the bus. No other information available.</v>
      </c>
      <c r="AA1642" s="8" t="str">
        <f ca="1">IFERROR(__xludf.DUMMYFUNCTION("""COMPUTED_VALUE"""),"Unknown")</f>
        <v>Unknown</v>
      </c>
      <c r="AB1642" s="8"/>
      <c r="AC1642" s="8" t="str">
        <f ca="1">IFERROR(__xludf.DUMMYFUNCTION("""COMPUTED_VALUE"""),"Yes")</f>
        <v>Yes</v>
      </c>
      <c r="AD1642" s="8" t="str">
        <f ca="1">IFERROR(__xludf.DUMMYFUNCTION("""COMPUTED_VALUE"""),"Random Shooting")</f>
        <v>Random Shooting</v>
      </c>
      <c r="AE1642" s="8" t="str">
        <f ca="1">IFERROR(__xludf.DUMMYFUNCTION("""COMPUTED_VALUE"""),"No")</f>
        <v>No</v>
      </c>
      <c r="AF1642" s="8"/>
      <c r="AG1642" s="8" t="str">
        <f ca="1">IFERROR(__xludf.DUMMYFUNCTION("""COMPUTED_VALUE"""),"No")</f>
        <v>No</v>
      </c>
      <c r="AH1642" s="8" t="str">
        <f ca="1">IFERROR(__xludf.DUMMYFUNCTION("""COMPUTED_VALUE"""),"No")</f>
        <v>No</v>
      </c>
      <c r="AI1642" s="8" t="str">
        <f ca="1">IFERROR(__xludf.DUMMYFUNCTION("""COMPUTED_VALUE"""),"No")</f>
        <v>No</v>
      </c>
      <c r="AJ1642" s="8" t="str">
        <f ca="1">IFERROR(__xludf.DUMMYFUNCTION("""COMPUTED_VALUE"""),"No")</f>
        <v>No</v>
      </c>
      <c r="AK1642" s="8" t="str">
        <f ca="1">IFERROR(__xludf.DUMMYFUNCTION("""COMPUTED_VALUE"""),"No")</f>
        <v>No</v>
      </c>
      <c r="AL1642" s="8" t="str">
        <f ca="1">IFERROR(__xludf.DUMMYFUNCTION("""COMPUTED_VALUE"""),"No")</f>
        <v>No</v>
      </c>
      <c r="AM1642" s="8" t="str">
        <f ca="1">IFERROR(__xludf.DUMMYFUNCTION("""COMPUTED_VALUE"""),"No")</f>
        <v>No</v>
      </c>
      <c r="AN1642" s="8"/>
      <c r="AO1642" s="8" t="str">
        <f ca="1">IFERROR(__xludf.DUMMYFUNCTION("""COMPUTED_VALUE"""),"No")</f>
        <v>No</v>
      </c>
      <c r="AP1642" s="8" t="str">
        <f ca="1">IFERROR(__xludf.DUMMYFUNCTION("""COMPUTED_VALUE"""),"N/A")</f>
        <v>N/A</v>
      </c>
      <c r="AQ1642" s="8" t="str">
        <f ca="1">IFERROR(__xludf.DUMMYFUNCTION("""COMPUTED_VALUE"""),"Unknown")</f>
        <v>Unknown</v>
      </c>
      <c r="AR1642" s="8" t="str">
        <f ca="1">IFERROR(__xludf.DUMMYFUNCTION("""COMPUTED_VALUE"""),"NA")</f>
        <v>NA</v>
      </c>
      <c r="AS1642" s="8">
        <f ca="1">IFERROR(__xludf.DUMMYFUNCTION("""COMPUTED_VALUE"""),2)</f>
        <v>2</v>
      </c>
      <c r="AT1642" s="8" t="str">
        <f ca="1">IFERROR(__xludf.DUMMYFUNCTION("""COMPUTED_VALUE"""),"N/A")</f>
        <v>N/A</v>
      </c>
      <c r="AU1642" s="8">
        <f ca="1">IFERROR(__xludf.DUMMYFUNCTION("""COMPUTED_VALUE"""),33.166839)</f>
        <v>33.166839000000003</v>
      </c>
      <c r="AV1642" s="8">
        <f ca="1">IFERROR(__xludf.DUMMYFUNCTION("""COMPUTED_VALUE"""),-90.183424)</f>
        <v>-90.183424000000002</v>
      </c>
      <c r="AW1642" s="8"/>
      <c r="AX1642" s="8">
        <f ca="1">IFERROR(__xludf.DUMMYFUNCTION("""COMPUTED_VALUE"""),39169)</f>
        <v>39169</v>
      </c>
    </row>
    <row r="1643" spans="1:50" ht="60" x14ac:dyDescent="0.2">
      <c r="A1643" s="8" t="str">
        <f ca="1">IFERROR(__xludf.DUMMYFUNCTION("""COMPUTED_VALUE"""),"20190327FLMAJ")</f>
        <v>20190327FLMAJ</v>
      </c>
      <c r="B1643" s="8">
        <f ca="1">IFERROR(__xludf.DUMMYFUNCTION("""COMPUTED_VALUE"""),3)</f>
        <v>3</v>
      </c>
      <c r="C1643" s="8">
        <f ca="1">IFERROR(__xludf.DUMMYFUNCTION("""COMPUTED_VALUE"""),27)</f>
        <v>27</v>
      </c>
      <c r="D1643" s="8">
        <f ca="1">IFERROR(__xludf.DUMMYFUNCTION("""COMPUTED_VALUE"""),2019)</f>
        <v>2019</v>
      </c>
      <c r="E1643" s="9">
        <f ca="1">IFERROR(__xludf.DUMMYFUNCTION("""COMPUTED_VALUE"""),43551)</f>
        <v>43551</v>
      </c>
      <c r="F1643" s="8" t="str">
        <f ca="1">IFERROR(__xludf.DUMMYFUNCTION("""COMPUTED_VALUE"""),"Mayport Coastal Sciences Middle School")</f>
        <v>Mayport Coastal Sciences Middle School</v>
      </c>
      <c r="G1643" s="8">
        <f ca="1">IFERROR(__xludf.DUMMYFUNCTION("""COMPUTED_VALUE"""),0)</f>
        <v>0</v>
      </c>
      <c r="H1643" s="8">
        <f ca="1">IFERROR(__xludf.DUMMYFUNCTION("""COMPUTED_VALUE"""),1)</f>
        <v>1</v>
      </c>
      <c r="I1643" s="8">
        <f ca="1">IFERROR(__xludf.DUMMYFUNCTION("""COMPUTED_VALUE"""),1)</f>
        <v>1</v>
      </c>
      <c r="J1643" s="8">
        <f ca="1">IFERROR(__xludf.DUMMYFUNCTION("""COMPUTED_VALUE"""),0)</f>
        <v>0</v>
      </c>
      <c r="K1643" s="10" t="str">
        <f ca="1">IFERROR(__xludf.DUMMYFUNCTION("""COMPUTED_VALUE"""),"https://www.news4jax.com/news/2019/03/28/12-year-old-hurt-after-metal-projectile-hits-school-bus/")</f>
        <v>https://www.news4jax.com/news/2019/03/28/12-year-old-hurt-after-metal-projectile-hits-school-bus/</v>
      </c>
      <c r="L1643" s="8">
        <f ca="1">IFERROR(__xludf.DUMMYFUNCTION("""COMPUTED_VALUE"""),1)</f>
        <v>1</v>
      </c>
      <c r="M1643" s="8" t="str">
        <f ca="1">IFERROR(__xludf.DUMMYFUNCTION("""COMPUTED_VALUE"""),"Local")</f>
        <v>Local</v>
      </c>
      <c r="N1643" s="8">
        <f ca="1">IFERROR(__xludf.DUMMYFUNCTION("""COMPUTED_VALUE"""),4)</f>
        <v>4</v>
      </c>
      <c r="O1643" s="8" t="str">
        <f ca="1">IFERROR(__xludf.DUMMYFUNCTION("""COMPUTED_VALUE"""),"Spring")</f>
        <v>Spring</v>
      </c>
      <c r="P1643" s="8" t="str">
        <f ca="1">IFERROR(__xludf.DUMMYFUNCTION("""COMPUTED_VALUE"""),"Jacksonville")</f>
        <v>Jacksonville</v>
      </c>
      <c r="Q1643" s="8" t="str">
        <f ca="1">IFERROR(__xludf.DUMMYFUNCTION("""COMPUTED_VALUE"""),"FL")</f>
        <v>FL</v>
      </c>
      <c r="R1643" s="8" t="str">
        <f ca="1">IFERROR(__xludf.DUMMYFUNCTION("""COMPUTED_VALUE"""),"Middle")</f>
        <v>Middle</v>
      </c>
      <c r="S1643" s="8" t="str">
        <f ca="1">IFERROR(__xludf.DUMMYFUNCTION("""COMPUTED_VALUE"""),"School Bus")</f>
        <v>School Bus</v>
      </c>
      <c r="T1643" s="8" t="str">
        <f ca="1">IFERROR(__xludf.DUMMYFUNCTION("""COMPUTED_VALUE"""),"School Bus")</f>
        <v>School Bus</v>
      </c>
      <c r="U1643" s="8" t="str">
        <f ca="1">IFERROR(__xludf.DUMMYFUNCTION("""COMPUTED_VALUE"""),"Yes")</f>
        <v>Yes</v>
      </c>
      <c r="V1643" s="8" t="str">
        <f ca="1">IFERROR(__xludf.DUMMYFUNCTION("""COMPUTED_VALUE"""),"After School")</f>
        <v>After School</v>
      </c>
      <c r="W1643" s="11">
        <f ca="1">IFERROR(__xludf.DUMMYFUNCTION("""COMPUTED_VALUE"""),0.708333333333333)</f>
        <v>0.70833333333333304</v>
      </c>
      <c r="X1643" s="8">
        <f ca="1">IFERROR(__xludf.DUMMYFUNCTION("""COMPUTED_VALUE"""),1)</f>
        <v>1</v>
      </c>
      <c r="Y1643" s="12" t="str">
        <f ca="1">IFERROR(__xludf.DUMMYFUNCTION("""COMPUTED_VALUE"""),"Student riding on school bus shot by BB gun")</f>
        <v>Student riding on school bus shot by BB gun</v>
      </c>
      <c r="Z1643" s="12" t="str">
        <f ca="1">IFERROR(__xludf.DUMMYFUNCTION("""COMPUTED_VALUE"""),"A student riding on the school bus was struck with a pellet from a BB gun fired from outside of the bus. The bus driver pulled over at a nearby elementary school and notified police.")</f>
        <v>A student riding on the school bus was struck with a pellet from a BB gun fired from outside of the bus. The bus driver pulled over at a nearby elementary school and notified police.</v>
      </c>
      <c r="AA1643" s="8"/>
      <c r="AB1643" s="8"/>
      <c r="AC1643" s="8" t="str">
        <f ca="1">IFERROR(__xludf.DUMMYFUNCTION("""COMPUTED_VALUE"""),"Yes")</f>
        <v>Yes</v>
      </c>
      <c r="AD1643" s="8" t="str">
        <f ca="1">IFERROR(__xludf.DUMMYFUNCTION("""COMPUTED_VALUE"""),"Random Shooting")</f>
        <v>Random Shooting</v>
      </c>
      <c r="AE1643" s="8" t="str">
        <f ca="1">IFERROR(__xludf.DUMMYFUNCTION("""COMPUTED_VALUE"""),"No")</f>
        <v>No</v>
      </c>
      <c r="AF1643" s="8"/>
      <c r="AG1643" s="8" t="str">
        <f ca="1">IFERROR(__xludf.DUMMYFUNCTION("""COMPUTED_VALUE"""),"No")</f>
        <v>No</v>
      </c>
      <c r="AH1643" s="8" t="str">
        <f ca="1">IFERROR(__xludf.DUMMYFUNCTION("""COMPUTED_VALUE"""),"No")</f>
        <v>No</v>
      </c>
      <c r="AI1643" s="8" t="str">
        <f ca="1">IFERROR(__xludf.DUMMYFUNCTION("""COMPUTED_VALUE"""),"No")</f>
        <v>No</v>
      </c>
      <c r="AJ1643" s="8" t="str">
        <f ca="1">IFERROR(__xludf.DUMMYFUNCTION("""COMPUTED_VALUE"""),"No")</f>
        <v>No</v>
      </c>
      <c r="AK1643" s="8" t="str">
        <f ca="1">IFERROR(__xludf.DUMMYFUNCTION("""COMPUTED_VALUE"""),"No")</f>
        <v>No</v>
      </c>
      <c r="AL1643" s="8" t="str">
        <f ca="1">IFERROR(__xludf.DUMMYFUNCTION("""COMPUTED_VALUE"""),"No")</f>
        <v>No</v>
      </c>
      <c r="AM1643" s="8" t="str">
        <f ca="1">IFERROR(__xludf.DUMMYFUNCTION("""COMPUTED_VALUE"""),"No")</f>
        <v>No</v>
      </c>
      <c r="AN1643" s="8"/>
      <c r="AO1643" s="8" t="str">
        <f ca="1">IFERROR(__xludf.DUMMYFUNCTION("""COMPUTED_VALUE"""),"No")</f>
        <v>No</v>
      </c>
      <c r="AP1643" s="8"/>
      <c r="AQ1643" s="8"/>
      <c r="AR1643" s="8" t="str">
        <f ca="1">IFERROR(__xludf.DUMMYFUNCTION("""COMPUTED_VALUE"""),"Outside/Off-Property")</f>
        <v>Outside/Off-Property</v>
      </c>
      <c r="AS1643" s="8"/>
      <c r="AT1643" s="8"/>
      <c r="AU1643" s="8">
        <f ca="1">IFERROR(__xludf.DUMMYFUNCTION("""COMPUTED_VALUE"""),30.362455)</f>
        <v>30.362455000000001</v>
      </c>
      <c r="AV1643" s="8">
        <f ca="1">IFERROR(__xludf.DUMMYFUNCTION("""COMPUTED_VALUE"""),-81.413618)</f>
        <v>-81.413618</v>
      </c>
      <c r="AW1643" s="8"/>
      <c r="AX1643" s="8">
        <f ca="1">IFERROR(__xludf.DUMMYFUNCTION("""COMPUTED_VALUE"""),32227)</f>
        <v>32227</v>
      </c>
    </row>
    <row r="1644" spans="1:50" ht="60" x14ac:dyDescent="0.2">
      <c r="A1644" s="8" t="str">
        <f ca="1">IFERROR(__xludf.DUMMYFUNCTION("""COMPUTED_VALUE"""),"20190322ALBLB")</f>
        <v>20190322ALBLB</v>
      </c>
      <c r="B1644" s="8">
        <f ca="1">IFERROR(__xludf.DUMMYFUNCTION("""COMPUTED_VALUE"""),3)</f>
        <v>3</v>
      </c>
      <c r="C1644" s="8">
        <f ca="1">IFERROR(__xludf.DUMMYFUNCTION("""COMPUTED_VALUE"""),22)</f>
        <v>22</v>
      </c>
      <c r="D1644" s="8">
        <f ca="1">IFERROR(__xludf.DUMMYFUNCTION("""COMPUTED_VALUE"""),2019)</f>
        <v>2019</v>
      </c>
      <c r="E1644" s="9">
        <f ca="1">IFERROR(__xludf.DUMMYFUNCTION("""COMPUTED_VALUE"""),43546)</f>
        <v>43546</v>
      </c>
      <c r="F1644" s="8" t="str">
        <f ca="1">IFERROR(__xludf.DUMMYFUNCTION("""COMPUTED_VALUE"""),"Blountsville Elementary School")</f>
        <v>Blountsville Elementary School</v>
      </c>
      <c r="G1644" s="8">
        <f ca="1">IFERROR(__xludf.DUMMYFUNCTION("""COMPUTED_VALUE"""),0)</f>
        <v>0</v>
      </c>
      <c r="H1644" s="8">
        <f ca="1">IFERROR(__xludf.DUMMYFUNCTION("""COMPUTED_VALUE"""),0)</f>
        <v>0</v>
      </c>
      <c r="I1644" s="8">
        <f ca="1">IFERROR(__xludf.DUMMYFUNCTION("""COMPUTED_VALUE"""),0)</f>
        <v>0</v>
      </c>
      <c r="J1644" s="8">
        <f ca="1">IFERROR(__xludf.DUMMYFUNCTION("""COMPUTED_VALUE"""),0)</f>
        <v>0</v>
      </c>
      <c r="K1644" s="8" t="str">
        <f ca="1">IFERROR(__xludf.DUMMYFUNCTION("""COMPUTED_VALUE"""),"http://www.wbrc.com/2019/03/22/bloutsville-elementary-substitute-teachers-gun-accidentally-goes-off-st-grade-classroom-no-one-injured/  https://www.al.com/news/birmingham/2019/03/gun-in-pocket-of-72-year-old-substitute-teacher-discharges-in-1st-grade-alab"&amp;"ama-classroom.html")</f>
        <v>http://www.wbrc.com/2019/03/22/bloutsville-elementary-substitute-teachers-gun-accidentally-goes-off-st-grade-classroom-no-one-injured/  https://www.al.com/news/birmingham/2019/03/gun-in-pocket-of-72-year-old-substitute-teacher-discharges-in-1st-grade-alabama-classroom.html</v>
      </c>
      <c r="L1644" s="8"/>
      <c r="M1644" s="8"/>
      <c r="N1644" s="8">
        <f ca="1">IFERROR(__xludf.DUMMYFUNCTION("""COMPUTED_VALUE"""),4)</f>
        <v>4</v>
      </c>
      <c r="O1644" s="8" t="str">
        <f ca="1">IFERROR(__xludf.DUMMYFUNCTION("""COMPUTED_VALUE"""),"Spring")</f>
        <v>Spring</v>
      </c>
      <c r="P1644" s="8" t="str">
        <f ca="1">IFERROR(__xludf.DUMMYFUNCTION("""COMPUTED_VALUE"""),"Blountsville")</f>
        <v>Blountsville</v>
      </c>
      <c r="Q1644" s="8" t="str">
        <f ca="1">IFERROR(__xludf.DUMMYFUNCTION("""COMPUTED_VALUE"""),"AL")</f>
        <v>AL</v>
      </c>
      <c r="R1644" s="8" t="str">
        <f ca="1">IFERROR(__xludf.DUMMYFUNCTION("""COMPUTED_VALUE"""),"Elementary")</f>
        <v>Elementary</v>
      </c>
      <c r="S1644" s="8" t="str">
        <f ca="1">IFERROR(__xludf.DUMMYFUNCTION("""COMPUTED_VALUE"""),"Classroom")</f>
        <v>Classroom</v>
      </c>
      <c r="T1644" s="8" t="str">
        <f ca="1">IFERROR(__xludf.DUMMYFUNCTION("""COMPUTED_VALUE"""),"Inside School Building")</f>
        <v>Inside School Building</v>
      </c>
      <c r="U1644" s="8" t="str">
        <f ca="1">IFERROR(__xludf.DUMMYFUNCTION("""COMPUTED_VALUE"""),"Yes")</f>
        <v>Yes</v>
      </c>
      <c r="V1644" s="8" t="str">
        <f ca="1">IFERROR(__xludf.DUMMYFUNCTION("""COMPUTED_VALUE"""),"Morning Classes")</f>
        <v>Morning Classes</v>
      </c>
      <c r="W1644" s="11">
        <f ca="1">IFERROR(__xludf.DUMMYFUNCTION("""COMPUTED_VALUE"""),0.479166666666666)</f>
        <v>0.47916666666666602</v>
      </c>
      <c r="X1644" s="8">
        <f ca="1">IFERROR(__xludf.DUMMYFUNCTION("""COMPUTED_VALUE"""),1)</f>
        <v>1</v>
      </c>
      <c r="Y1644" s="12" t="str">
        <f ca="1">IFERROR(__xludf.DUMMYFUNCTION("""COMPUTED_VALUE"""),"Gun discharged in teacher's pocket")</f>
        <v>Gun discharged in teacher's pocket</v>
      </c>
      <c r="Z1644" s="12" t="str">
        <f ca="1">IFERROR(__xludf.DUMMYFUNCTION("""COMPUTED_VALUE"""),"Gun discharged in teachers pocket inside of classroom. Gun was illegally carried by 74YOM substitute teacher. One student had minor injury from bullet fragment. Teacher was arrested.")</f>
        <v>Gun discharged in teachers pocket inside of classroom. Gun was illegally carried by 74YOM substitute teacher. One student had minor injury from bullet fragment. Teacher was arrested.</v>
      </c>
      <c r="AA1644" s="8" t="str">
        <f ca="1">IFERROR(__xludf.DUMMYFUNCTION("""COMPUTED_VALUE"""),"Accidental")</f>
        <v>Accidental</v>
      </c>
      <c r="AB1644" s="8"/>
      <c r="AC1644" s="8" t="str">
        <f ca="1">IFERROR(__xludf.DUMMYFUNCTION("""COMPUTED_VALUE"""),"Yes")</f>
        <v>Yes</v>
      </c>
      <c r="AD1644" s="8" t="str">
        <f ca="1">IFERROR(__xludf.DUMMYFUNCTION("""COMPUTED_VALUE"""),"Random Shooting")</f>
        <v>Random Shooting</v>
      </c>
      <c r="AE1644" s="8" t="str">
        <f ca="1">IFERROR(__xludf.DUMMYFUNCTION("""COMPUTED_VALUE"""),"No")</f>
        <v>No</v>
      </c>
      <c r="AF1644" s="8"/>
      <c r="AG1644" s="8" t="str">
        <f ca="1">IFERROR(__xludf.DUMMYFUNCTION("""COMPUTED_VALUE"""),"No")</f>
        <v>No</v>
      </c>
      <c r="AH1644" s="8" t="str">
        <f ca="1">IFERROR(__xludf.DUMMYFUNCTION("""COMPUTED_VALUE"""),"No")</f>
        <v>No</v>
      </c>
      <c r="AI1644" s="8" t="str">
        <f ca="1">IFERROR(__xludf.DUMMYFUNCTION("""COMPUTED_VALUE"""),"No")</f>
        <v>No</v>
      </c>
      <c r="AJ1644" s="8" t="str">
        <f ca="1">IFERROR(__xludf.DUMMYFUNCTION("""COMPUTED_VALUE"""),"No")</f>
        <v>No</v>
      </c>
      <c r="AK1644" s="8" t="str">
        <f ca="1">IFERROR(__xludf.DUMMYFUNCTION("""COMPUTED_VALUE"""),"No")</f>
        <v>No</v>
      </c>
      <c r="AL1644" s="8" t="str">
        <f ca="1">IFERROR(__xludf.DUMMYFUNCTION("""COMPUTED_VALUE"""),"No")</f>
        <v>No</v>
      </c>
      <c r="AM1644" s="8" t="str">
        <f ca="1">IFERROR(__xludf.DUMMYFUNCTION("""COMPUTED_VALUE"""),"No")</f>
        <v>No</v>
      </c>
      <c r="AN1644" s="8"/>
      <c r="AO1644" s="8" t="str">
        <f ca="1">IFERROR(__xludf.DUMMYFUNCTION("""COMPUTED_VALUE"""),"No")</f>
        <v>No</v>
      </c>
      <c r="AP1644" s="8"/>
      <c r="AQ1644" s="8" t="str">
        <f ca="1">IFERROR(__xludf.DUMMYFUNCTION("""COMPUTED_VALUE"""),"Unknown")</f>
        <v>Unknown</v>
      </c>
      <c r="AR1644" s="8" t="str">
        <f ca="1">IFERROR(__xludf.DUMMYFUNCTION("""COMPUTED_VALUE"""),"NA")</f>
        <v>NA</v>
      </c>
      <c r="AS1644" s="8">
        <f ca="1">IFERROR(__xludf.DUMMYFUNCTION("""COMPUTED_VALUE"""),1)</f>
        <v>1</v>
      </c>
      <c r="AT1644" s="8"/>
      <c r="AU1644" s="8">
        <f ca="1">IFERROR(__xludf.DUMMYFUNCTION("""COMPUTED_VALUE"""),34.084898)</f>
        <v>34.084898000000003</v>
      </c>
      <c r="AV1644" s="8">
        <f ca="1">IFERROR(__xludf.DUMMYFUNCTION("""COMPUTED_VALUE"""),-86.585446)</f>
        <v>-86.585446000000005</v>
      </c>
      <c r="AW1644" s="8"/>
      <c r="AX1644" s="8">
        <f ca="1">IFERROR(__xludf.DUMMYFUNCTION("""COMPUTED_VALUE"""),35031)</f>
        <v>35031</v>
      </c>
    </row>
    <row r="1645" spans="1:50" ht="75" x14ac:dyDescent="0.2">
      <c r="A1645" s="8" t="str">
        <f ca="1">IFERROR(__xludf.DUMMYFUNCTION("""COMPUTED_VALUE"""),"20190313FLLAO")</f>
        <v>20190313FLLAO</v>
      </c>
      <c r="B1645" s="8">
        <f ca="1">IFERROR(__xludf.DUMMYFUNCTION("""COMPUTED_VALUE"""),3)</f>
        <v>3</v>
      </c>
      <c r="C1645" s="8">
        <f ca="1">IFERROR(__xludf.DUMMYFUNCTION("""COMPUTED_VALUE"""),13)</f>
        <v>13</v>
      </c>
      <c r="D1645" s="8">
        <f ca="1">IFERROR(__xludf.DUMMYFUNCTION("""COMPUTED_VALUE"""),2019)</f>
        <v>2019</v>
      </c>
      <c r="E1645" s="9">
        <f ca="1">IFERROR(__xludf.DUMMYFUNCTION("""COMPUTED_VALUE"""),43537)</f>
        <v>43537</v>
      </c>
      <c r="F1645" s="8" t="str">
        <f ca="1">IFERROR(__xludf.DUMMYFUNCTION("""COMPUTED_VALUE"""),"Lake Mary High School")</f>
        <v>Lake Mary High School</v>
      </c>
      <c r="G1645" s="8">
        <f ca="1">IFERROR(__xludf.DUMMYFUNCTION("""COMPUTED_VALUE"""),0)</f>
        <v>0</v>
      </c>
      <c r="H1645" s="8">
        <f ca="1">IFERROR(__xludf.DUMMYFUNCTION("""COMPUTED_VALUE"""),0)</f>
        <v>0</v>
      </c>
      <c r="I1645" s="8">
        <f ca="1">IFERROR(__xludf.DUMMYFUNCTION("""COMPUTED_VALUE"""),0)</f>
        <v>0</v>
      </c>
      <c r="J1645" s="8">
        <f ca="1">IFERROR(__xludf.DUMMYFUNCTION("""COMPUTED_VALUE"""),1)</f>
        <v>1</v>
      </c>
      <c r="K1645" s="10" t="str">
        <f ca="1">IFERROR(__xludf.DUMMYFUNCTION("""COMPUTED_VALUE"""),"https://www.orlandosentinel.com/news/breaking-news/os-ne-lake-mary-lockdown-code-red-20190313-story.html")</f>
        <v>https://www.orlandosentinel.com/news/breaking-news/os-ne-lake-mary-lockdown-code-red-20190313-story.html</v>
      </c>
      <c r="L1645" s="8"/>
      <c r="M1645" s="8"/>
      <c r="N1645" s="8">
        <f ca="1">IFERROR(__xludf.DUMMYFUNCTION("""COMPUTED_VALUE"""),4)</f>
        <v>4</v>
      </c>
      <c r="O1645" s="8" t="str">
        <f ca="1">IFERROR(__xludf.DUMMYFUNCTION("""COMPUTED_VALUE"""),"Spring")</f>
        <v>Spring</v>
      </c>
      <c r="P1645" s="8" t="str">
        <f ca="1">IFERROR(__xludf.DUMMYFUNCTION("""COMPUTED_VALUE"""),"Orlando")</f>
        <v>Orlando</v>
      </c>
      <c r="Q1645" s="8" t="str">
        <f ca="1">IFERROR(__xludf.DUMMYFUNCTION("""COMPUTED_VALUE"""),"FL")</f>
        <v>FL</v>
      </c>
      <c r="R1645" s="8" t="str">
        <f ca="1">IFERROR(__xludf.DUMMYFUNCTION("""COMPUTED_VALUE"""),"High")</f>
        <v>High</v>
      </c>
      <c r="S1645" s="8" t="str">
        <f ca="1">IFERROR(__xludf.DUMMYFUNCTION("""COMPUTED_VALUE"""),"Auditorium")</f>
        <v>Auditorium</v>
      </c>
      <c r="T1645" s="8" t="str">
        <f ca="1">IFERROR(__xludf.DUMMYFUNCTION("""COMPUTED_VALUE"""),"Inside School Building")</f>
        <v>Inside School Building</v>
      </c>
      <c r="U1645" s="8" t="str">
        <f ca="1">IFERROR(__xludf.DUMMYFUNCTION("""COMPUTED_VALUE"""),"Yes")</f>
        <v>Yes</v>
      </c>
      <c r="V1645" s="8" t="str">
        <f ca="1">IFERROR(__xludf.DUMMYFUNCTION("""COMPUTED_VALUE"""),"Morning Classes")</f>
        <v>Morning Classes</v>
      </c>
      <c r="W1645" s="11">
        <f ca="1">IFERROR(__xludf.DUMMYFUNCTION("""COMPUTED_VALUE"""),0.333333333333333)</f>
        <v>0.33333333333333298</v>
      </c>
      <c r="X1645" s="8">
        <f ca="1">IFERROR(__xludf.DUMMYFUNCTION("""COMPUTED_VALUE"""),1)</f>
        <v>1</v>
      </c>
      <c r="Y1645" s="12" t="str">
        <f ca="1">IFERROR(__xludf.DUMMYFUNCTION("""COMPUTED_VALUE"""),"Student asked to leave classroom and commit suicide in school auditorium")</f>
        <v>Student asked to leave classroom and commit suicide in school auditorium</v>
      </c>
      <c r="Z1645" s="12" t="str">
        <f ca="1">IFERROR(__xludf.DUMMYFUNCTION("""COMPUTED_VALUE"""),"17YOF asked to go to the bathroom. About 10 minutes later, a gun shot was heard and her body was found by the school security officer and nurse in the school auditorium. School was locked down for 30 minutes then dismissed 2 hours later. Classes cancelled"&amp;" the following day.")</f>
        <v>17YOF asked to go to the bathroom. About 10 minutes later, a gun shot was heard and her body was found by the school security officer and nurse in the school auditorium. School was locked down for 30 minutes then dismissed 2 hours later. Classes cancelled the following day.</v>
      </c>
      <c r="AA1645" s="8" t="str">
        <f ca="1">IFERROR(__xludf.DUMMYFUNCTION("""COMPUTED_VALUE"""),"Suicide/Attempted")</f>
        <v>Suicide/Attempted</v>
      </c>
      <c r="AB1645" s="8"/>
      <c r="AC1645" s="8" t="str">
        <f ca="1">IFERROR(__xludf.DUMMYFUNCTION("""COMPUTED_VALUE"""),"Yes")</f>
        <v>Yes</v>
      </c>
      <c r="AD1645" s="8" t="str">
        <f ca="1">IFERROR(__xludf.DUMMYFUNCTION("""COMPUTED_VALUE"""),"Victims Targeted")</f>
        <v>Victims Targeted</v>
      </c>
      <c r="AE1645" s="8" t="str">
        <f ca="1">IFERROR(__xludf.DUMMYFUNCTION("""COMPUTED_VALUE"""),"No")</f>
        <v>No</v>
      </c>
      <c r="AF1645" s="8"/>
      <c r="AG1645" s="8" t="str">
        <f ca="1">IFERROR(__xludf.DUMMYFUNCTION("""COMPUTED_VALUE"""),"No")</f>
        <v>No</v>
      </c>
      <c r="AH1645" s="8" t="str">
        <f ca="1">IFERROR(__xludf.DUMMYFUNCTION("""COMPUTED_VALUE"""),"No")</f>
        <v>No</v>
      </c>
      <c r="AI1645" s="8" t="str">
        <f ca="1">IFERROR(__xludf.DUMMYFUNCTION("""COMPUTED_VALUE"""),"No")</f>
        <v>No</v>
      </c>
      <c r="AJ1645" s="8"/>
      <c r="AK1645" s="8" t="str">
        <f ca="1">IFERROR(__xludf.DUMMYFUNCTION("""COMPUTED_VALUE"""),"No")</f>
        <v>No</v>
      </c>
      <c r="AL1645" s="8" t="str">
        <f ca="1">IFERROR(__xludf.DUMMYFUNCTION("""COMPUTED_VALUE"""),"No")</f>
        <v>No</v>
      </c>
      <c r="AM1645" s="8" t="str">
        <f ca="1">IFERROR(__xludf.DUMMYFUNCTION("""COMPUTED_VALUE"""),"No")</f>
        <v>No</v>
      </c>
      <c r="AN1645" s="8"/>
      <c r="AO1645" s="8" t="str">
        <f ca="1">IFERROR(__xludf.DUMMYFUNCTION("""COMPUTED_VALUE"""),"No")</f>
        <v>No</v>
      </c>
      <c r="AP1645" s="8" t="str">
        <f ca="1">IFERROR(__xludf.DUMMYFUNCTION("""COMPUTED_VALUE"""),"Yes")</f>
        <v>Yes</v>
      </c>
      <c r="AQ1645" s="8" t="str">
        <f ca="1">IFERROR(__xludf.DUMMYFUNCTION("""COMPUTED_VALUE"""),"None")</f>
        <v>None</v>
      </c>
      <c r="AR1645" s="8" t="str">
        <f ca="1">IFERROR(__xludf.DUMMYFUNCTION("""COMPUTED_VALUE"""),"NA")</f>
        <v>NA</v>
      </c>
      <c r="AS1645" s="8">
        <f ca="1">IFERROR(__xludf.DUMMYFUNCTION("""COMPUTED_VALUE"""),1)</f>
        <v>1</v>
      </c>
      <c r="AT1645" s="8" t="str">
        <f ca="1">IFERROR(__xludf.DUMMYFUNCTION("""COMPUTED_VALUE"""),"Yes")</f>
        <v>Yes</v>
      </c>
      <c r="AU1645" s="8">
        <f ca="1">IFERROR(__xludf.DUMMYFUNCTION("""COMPUTED_VALUE"""),28.757227)</f>
        <v>28.757227</v>
      </c>
      <c r="AV1645" s="8">
        <f ca="1">IFERROR(__xludf.DUMMYFUNCTION("""COMPUTED_VALUE"""),-81.322477)</f>
        <v>-81.322477000000006</v>
      </c>
      <c r="AW1645" s="8"/>
      <c r="AX1645" s="8">
        <f ca="1">IFERROR(__xludf.DUMMYFUNCTION("""COMPUTED_VALUE"""),32746)</f>
        <v>32746</v>
      </c>
    </row>
    <row r="1646" spans="1:50" ht="270" x14ac:dyDescent="0.2">
      <c r="A1646" s="8" t="str">
        <f ca="1">IFERROR(__xludf.DUMMYFUNCTION("""COMPUTED_VALUE"""),"20190301KSHIM")</f>
        <v>20190301KSHIM</v>
      </c>
      <c r="B1646" s="8">
        <f ca="1">IFERROR(__xludf.DUMMYFUNCTION("""COMPUTED_VALUE"""),3)</f>
        <v>3</v>
      </c>
      <c r="C1646" s="8">
        <f ca="1">IFERROR(__xludf.DUMMYFUNCTION("""COMPUTED_VALUE"""),1)</f>
        <v>1</v>
      </c>
      <c r="D1646" s="8">
        <f ca="1">IFERROR(__xludf.DUMMYFUNCTION("""COMPUTED_VALUE"""),2019)</f>
        <v>2019</v>
      </c>
      <c r="E1646" s="9">
        <f ca="1">IFERROR(__xludf.DUMMYFUNCTION("""COMPUTED_VALUE"""),43525)</f>
        <v>43525</v>
      </c>
      <c r="F1646" s="8" t="str">
        <f ca="1">IFERROR(__xludf.DUMMYFUNCTION("""COMPUTED_VALUE"""),"Highlands Elementary School")</f>
        <v>Highlands Elementary School</v>
      </c>
      <c r="G1646" s="8">
        <f ca="1">IFERROR(__xludf.DUMMYFUNCTION("""COMPUTED_VALUE"""),0)</f>
        <v>0</v>
      </c>
      <c r="H1646" s="8">
        <f ca="1">IFERROR(__xludf.DUMMYFUNCTION("""COMPUTED_VALUE"""),0)</f>
        <v>0</v>
      </c>
      <c r="I1646" s="8">
        <f ca="1">IFERROR(__xludf.DUMMYFUNCTION("""COMPUTED_VALUE"""),0)</f>
        <v>0</v>
      </c>
      <c r="J1646" s="8">
        <f ca="1">IFERROR(__xludf.DUMMYFUNCTION("""COMPUTED_VALUE"""),0)</f>
        <v>0</v>
      </c>
      <c r="K1646" s="8" t="str">
        <f ca="1">IFERROR(__xludf.DUMMYFUNCTION("""COMPUTED_VALUE"""),"https://fox4kc.com/news/man-who-fired-shots-at-mission-elementary-school-in-march-2019-pleads-guilty/ https://www.kctv5.com/news/suspect-in-custody-after-officer-involved-shooting-near-highlands-elementary/article_230a3aa6-3c61-11e9-b31c-77d5fea69401.html"&amp;" https://www.kansascity.com/news/local/crime/article227005564.html")</f>
        <v>https://fox4kc.com/news/man-who-fired-shots-at-mission-elementary-school-in-march-2019-pleads-guilty/ https://www.kctv5.com/news/suspect-in-custody-after-officer-involved-shooting-near-highlands-elementary/article_230a3aa6-3c61-11e9-b31c-77d5fea69401.html https://www.kansascity.com/news/local/crime/article227005564.html</v>
      </c>
      <c r="L1646" s="8">
        <f ca="1">IFERROR(__xludf.DUMMYFUNCTION("""COMPUTED_VALUE"""),4)</f>
        <v>4</v>
      </c>
      <c r="M1646" s="8" t="str">
        <f ca="1">IFERROR(__xludf.DUMMYFUNCTION("""COMPUTED_VALUE"""),"Local")</f>
        <v>Local</v>
      </c>
      <c r="N1646" s="8">
        <f ca="1">IFERROR(__xludf.DUMMYFUNCTION("""COMPUTED_VALUE"""),4)</f>
        <v>4</v>
      </c>
      <c r="O1646" s="8" t="str">
        <f ca="1">IFERROR(__xludf.DUMMYFUNCTION("""COMPUTED_VALUE"""),"Spring")</f>
        <v>Spring</v>
      </c>
      <c r="P1646" s="8" t="str">
        <f ca="1">IFERROR(__xludf.DUMMYFUNCTION("""COMPUTED_VALUE"""),"Mission")</f>
        <v>Mission</v>
      </c>
      <c r="Q1646" s="8" t="str">
        <f ca="1">IFERROR(__xludf.DUMMYFUNCTION("""COMPUTED_VALUE"""),"KS")</f>
        <v>KS</v>
      </c>
      <c r="R1646" s="8" t="str">
        <f ca="1">IFERROR(__xludf.DUMMYFUNCTION("""COMPUTED_VALUE"""),"Elementary")</f>
        <v>Elementary</v>
      </c>
      <c r="S1646" s="8" t="str">
        <f ca="1">IFERROR(__xludf.DUMMYFUNCTION("""COMPUTED_VALUE"""),"Off School Property")</f>
        <v>Off School Property</v>
      </c>
      <c r="T1646" s="8" t="str">
        <f ca="1">IFERROR(__xludf.DUMMYFUNCTION("""COMPUTED_VALUE"""),"Off School Property")</f>
        <v>Off School Property</v>
      </c>
      <c r="U1646" s="8" t="str">
        <f ca="1">IFERROR(__xludf.DUMMYFUNCTION("""COMPUTED_VALUE"""),"Yes")</f>
        <v>Yes</v>
      </c>
      <c r="V1646" s="8" t="str">
        <f ca="1">IFERROR(__xludf.DUMMYFUNCTION("""COMPUTED_VALUE"""),"Afternoon Classes")</f>
        <v>Afternoon Classes</v>
      </c>
      <c r="W1646" s="11">
        <f ca="1">IFERROR(__xludf.DUMMYFUNCTION("""COMPUTED_VALUE"""),0.5625)</f>
        <v>0.5625</v>
      </c>
      <c r="X1646" s="8">
        <f ca="1">IFERROR(__xludf.DUMMYFUNCTION("""COMPUTED_VALUE"""),75)</f>
        <v>75</v>
      </c>
      <c r="Y1646" s="12" t="str">
        <f ca="1">IFERROR(__xludf.DUMMYFUNCTION("""COMPUTED_VALUE"""),"Shooter fired 27 shots at the school from his bedroom during attempted suicide by cop")</f>
        <v>Shooter fired 27 shots at the school from his bedroom during attempted suicide by cop</v>
      </c>
      <c r="Z1646" s="12" t="str">
        <f ca="1">IFERROR(__xludf.DUMMYFUNCTION("""COMPUTED_VALUE"""),"26YOM shooter lived directly across street from school. Police were called for reported shots fired at 1:30 PM at home between mother and shooter. School officials heard shots and locked down. At 3:15, shooter fired multiple shots at police and was then s"&amp;"hot by officers. Bullets hit vehicles in the school parking lot and the school building. School remained locked down until crime scene was cleared. Students were outside at the time of the shooting and heard gun shots before taking cover in the building. "&amp;"No students or school staff were injured. School window was broken and a bullet was found inside a classroom. Police determined the shooter had fired 27 shots through the wall of his bedroom in the direction of the school. There was drug paraphernalia in "&amp;"the room. mother later told police her son had been suicidal. Mother told police that her son had a drug addiction problem. She said he was too afraid to shoot himself, and he said he would shoot at the school to make someone else do it, court documents s"&amp;"ay.")</f>
        <v>26YOM shooter lived directly across street from school. Police were called for reported shots fired at 1:30 PM at home between mother and shooter. School officials heard shots and locked down. At 3:15, shooter fired multiple shots at police and was then shot by officers. Bullets hit vehicles in the school parking lot and the school building. School remained locked down until crime scene was cleared. Students were outside at the time of the shooting and heard gun shots before taking cover in the building. No students or school staff were injured. School window was broken and a bullet was found inside a classroom. Police determined the shooter had fired 27 shots through the wall of his bedroom in the direction of the school. There was drug paraphernalia in the room. mother later told police her son had been suicidal. Mother told police that her son had a drug addiction problem. She said he was too afraid to shoot himself, and he said he would shoot at the school to make someone else do it, court documents say.</v>
      </c>
      <c r="AA1646" s="8" t="str">
        <f ca="1">IFERROR(__xludf.DUMMYFUNCTION("""COMPUTED_VALUE"""),"Suicide/Attempted")</f>
        <v>Suicide/Attempted</v>
      </c>
      <c r="AB1646" s="8"/>
      <c r="AC1646" s="8" t="str">
        <f ca="1">IFERROR(__xludf.DUMMYFUNCTION("""COMPUTED_VALUE"""),"Yes")</f>
        <v>Yes</v>
      </c>
      <c r="AD1646" s="8" t="str">
        <f ca="1">IFERROR(__xludf.DUMMYFUNCTION("""COMPUTED_VALUE"""),"Neither")</f>
        <v>Neither</v>
      </c>
      <c r="AE1646" s="8" t="str">
        <f ca="1">IFERROR(__xludf.DUMMYFUNCTION("""COMPUTED_VALUE"""),"No")</f>
        <v>No</v>
      </c>
      <c r="AF1646" s="8"/>
      <c r="AG1646" s="8" t="str">
        <f ca="1">IFERROR(__xludf.DUMMYFUNCTION("""COMPUTED_VALUE"""),"No")</f>
        <v>No</v>
      </c>
      <c r="AH1646" s="8" t="str">
        <f ca="1">IFERROR(__xludf.DUMMYFUNCTION("""COMPUTED_VALUE"""),"No")</f>
        <v>No</v>
      </c>
      <c r="AI1646" s="8" t="str">
        <f ca="1">IFERROR(__xludf.DUMMYFUNCTION("""COMPUTED_VALUE"""),"No")</f>
        <v>No</v>
      </c>
      <c r="AJ1646" s="8" t="str">
        <f ca="1">IFERROR(__xludf.DUMMYFUNCTION("""COMPUTED_VALUE"""),"No")</f>
        <v>No</v>
      </c>
      <c r="AK1646" s="8" t="str">
        <f ca="1">IFERROR(__xludf.DUMMYFUNCTION("""COMPUTED_VALUE"""),"No")</f>
        <v>No</v>
      </c>
      <c r="AL1646" s="8" t="str">
        <f ca="1">IFERROR(__xludf.DUMMYFUNCTION("""COMPUTED_VALUE"""),"No")</f>
        <v>No</v>
      </c>
      <c r="AM1646" s="8" t="str">
        <f ca="1">IFERROR(__xludf.DUMMYFUNCTION("""COMPUTED_VALUE"""),"No")</f>
        <v>No</v>
      </c>
      <c r="AN1646" s="8"/>
      <c r="AO1646" s="8" t="str">
        <f ca="1">IFERROR(__xludf.DUMMYFUNCTION("""COMPUTED_VALUE"""),"No")</f>
        <v>No</v>
      </c>
      <c r="AP1646" s="8"/>
      <c r="AQ1646" s="8" t="str">
        <f ca="1">IFERROR(__xludf.DUMMYFUNCTION("""COMPUTED_VALUE"""),"Unknown")</f>
        <v>Unknown</v>
      </c>
      <c r="AR1646" s="8" t="str">
        <f ca="1">IFERROR(__xludf.DUMMYFUNCTION("""COMPUTED_VALUE"""),"Outside/Off-Property")</f>
        <v>Outside/Off-Property</v>
      </c>
      <c r="AS1646" s="8">
        <f ca="1">IFERROR(__xludf.DUMMYFUNCTION("""COMPUTED_VALUE"""),27)</f>
        <v>27</v>
      </c>
      <c r="AT1646" s="8"/>
      <c r="AU1646" s="8">
        <f ca="1">IFERROR(__xludf.DUMMYFUNCTION("""COMPUTED_VALUE"""),39.016548)</f>
        <v>39.016548</v>
      </c>
      <c r="AV1646" s="8">
        <f ca="1">IFERROR(__xludf.DUMMYFUNCTION("""COMPUTED_VALUE"""),-94.640625)</f>
        <v>-94.640625</v>
      </c>
      <c r="AW1646" s="8"/>
      <c r="AX1646" s="8">
        <f ca="1">IFERROR(__xludf.DUMMYFUNCTION("""COMPUTED_VALUE"""),66208)</f>
        <v>66208</v>
      </c>
    </row>
    <row r="1647" spans="1:50" ht="120" x14ac:dyDescent="0.2">
      <c r="A1647" s="8" t="str">
        <f ca="1">IFERROR(__xludf.DUMMYFUNCTION("""COMPUTED_VALUE"""),"20190226ALROM")</f>
        <v>20190226ALROM</v>
      </c>
      <c r="B1647" s="8">
        <f ca="1">IFERROR(__xludf.DUMMYFUNCTION("""COMPUTED_VALUE"""),2)</f>
        <v>2</v>
      </c>
      <c r="C1647" s="8">
        <f ca="1">IFERROR(__xludf.DUMMYFUNCTION("""COMPUTED_VALUE"""),26)</f>
        <v>26</v>
      </c>
      <c r="D1647" s="8">
        <f ca="1">IFERROR(__xludf.DUMMYFUNCTION("""COMPUTED_VALUE"""),2019)</f>
        <v>2019</v>
      </c>
      <c r="E1647" s="9">
        <f ca="1">IFERROR(__xludf.DUMMYFUNCTION("""COMPUTED_VALUE"""),43522)</f>
        <v>43522</v>
      </c>
      <c r="F1647" s="8" t="str">
        <f ca="1">IFERROR(__xludf.DUMMYFUNCTION("""COMPUTED_VALUE"""),"Robert E. Lee High School")</f>
        <v>Robert E. Lee High School</v>
      </c>
      <c r="G1647" s="8">
        <f ca="1">IFERROR(__xludf.DUMMYFUNCTION("""COMPUTED_VALUE"""),0)</f>
        <v>0</v>
      </c>
      <c r="H1647" s="8">
        <f ca="1">IFERROR(__xludf.DUMMYFUNCTION("""COMPUTED_VALUE"""),1)</f>
        <v>1</v>
      </c>
      <c r="I1647" s="8">
        <f ca="1">IFERROR(__xludf.DUMMYFUNCTION("""COMPUTED_VALUE"""),1)</f>
        <v>1</v>
      </c>
      <c r="J1647" s="8">
        <f ca="1">IFERROR(__xludf.DUMMYFUNCTION("""COMPUTED_VALUE"""),0)</f>
        <v>0</v>
      </c>
      <c r="K1647" s="8" t="str">
        <f ca="1">IFERROR(__xludf.DUMMYFUNCTION("""COMPUTED_VALUE"""),"https://www.wsfa.com/2020/01/22/splc-sues-after-montgomery-students-expelled-during-shooting-probe/ https://www.wsfa.com/2021/02/09/splc-mps-settle-lawsuits-over-expelled-students/ http://www.cleveland19.com/2019/02/26/student-shot-montgomerys-lee-high-sc"&amp;"hool/ https://www.montgomeryadvertiser.com/story/news/crime/2019/02/26/lee-high-school-shooting-montgomery-student-shot-schools-campus/2991274002/ https://www.wtok.com/content/news/4-teens-arrested-for-Alabama-school-shooting-506440221.html")</f>
        <v>https://www.wsfa.com/2020/01/22/splc-sues-after-montgomery-students-expelled-during-shooting-probe/ https://www.wsfa.com/2021/02/09/splc-mps-settle-lawsuits-over-expelled-students/ http://www.cleveland19.com/2019/02/26/student-shot-montgomerys-lee-high-school/ https://www.montgomeryadvertiser.com/story/news/crime/2019/02/26/lee-high-school-shooting-montgomery-student-shot-schools-campus/2991274002/ https://www.wtok.com/content/news/4-teens-arrested-for-Alabama-school-shooting-506440221.html</v>
      </c>
      <c r="L1647" s="8"/>
      <c r="M1647" s="8" t="str">
        <f ca="1">IFERROR(__xludf.DUMMYFUNCTION("""COMPUTED_VALUE"""),"Local")</f>
        <v>Local</v>
      </c>
      <c r="N1647" s="8">
        <f ca="1">IFERROR(__xludf.DUMMYFUNCTION("""COMPUTED_VALUE"""),4)</f>
        <v>4</v>
      </c>
      <c r="O1647" s="8" t="str">
        <f ca="1">IFERROR(__xludf.DUMMYFUNCTION("""COMPUTED_VALUE"""),"Winter")</f>
        <v>Winter</v>
      </c>
      <c r="P1647" s="8" t="str">
        <f ca="1">IFERROR(__xludf.DUMMYFUNCTION("""COMPUTED_VALUE"""),"Montgomery")</f>
        <v>Montgomery</v>
      </c>
      <c r="Q1647" s="8" t="str">
        <f ca="1">IFERROR(__xludf.DUMMYFUNCTION("""COMPUTED_VALUE"""),"AL")</f>
        <v>AL</v>
      </c>
      <c r="R1647" s="8" t="str">
        <f ca="1">IFERROR(__xludf.DUMMYFUNCTION("""COMPUTED_VALUE"""),"High")</f>
        <v>High</v>
      </c>
      <c r="S1647" s="8" t="str">
        <f ca="1">IFERROR(__xludf.DUMMYFUNCTION("""COMPUTED_VALUE"""),"Gym")</f>
        <v>Gym</v>
      </c>
      <c r="T1647" s="8" t="str">
        <f ca="1">IFERROR(__xludf.DUMMYFUNCTION("""COMPUTED_VALUE"""),"Inside School Building")</f>
        <v>Inside School Building</v>
      </c>
      <c r="U1647" s="8" t="str">
        <f ca="1">IFERROR(__xludf.DUMMYFUNCTION("""COMPUTED_VALUE"""),"Yes")</f>
        <v>Yes</v>
      </c>
      <c r="V1647" s="8" t="str">
        <f ca="1">IFERROR(__xludf.DUMMYFUNCTION("""COMPUTED_VALUE"""),"Morning Classes")</f>
        <v>Morning Classes</v>
      </c>
      <c r="W1647" s="11">
        <f ca="1">IFERROR(__xludf.DUMMYFUNCTION("""COMPUTED_VALUE"""),0.458333333333333)</f>
        <v>0.45833333333333298</v>
      </c>
      <c r="X1647" s="8">
        <f ca="1">IFERROR(__xludf.DUMMYFUNCTION("""COMPUTED_VALUE"""),1)</f>
        <v>1</v>
      </c>
      <c r="Y1647" s="12" t="str">
        <f ca="1">IFERROR(__xludf.DUMMYFUNCTION("""COMPUTED_VALUE"""),"Student shot by other student in the school gym. Police said shooting was targeted.")</f>
        <v>Student shot by other student in the school gym. Police said shooting was targeted.</v>
      </c>
      <c r="Z1647" s="12" t="str">
        <f ca="1">IFERROR(__xludf.DUMMYFUNCTION("""COMPUTED_VALUE"""),"17YOM student shot by unidentified male student in the school gym. 30 other staff and students were in the gym during the time of the shooting. Suspect fled and was arrested off campus by police. Handgun was recovered. Active shooter plan at school was us"&amp;"ed and policed conducted room by room sweep. School has metal detectors at front door but does not ""pat down"" students entering.")</f>
        <v>17YOM student shot by unidentified male student in the school gym. 30 other staff and students were in the gym during the time of the shooting. Suspect fled and was arrested off campus by police. Handgun was recovered. Active shooter plan at school was used and policed conducted room by room sweep. School has metal detectors at front door but does not "pat down" students entering.</v>
      </c>
      <c r="AA1647" s="8" t="str">
        <f ca="1">IFERROR(__xludf.DUMMYFUNCTION("""COMPUTED_VALUE"""),"Escalation of Dispute")</f>
        <v>Escalation of Dispute</v>
      </c>
      <c r="AB1647" s="8"/>
      <c r="AC1647" s="8" t="str">
        <f ca="1">IFERROR(__xludf.DUMMYFUNCTION("""COMPUTED_VALUE"""),"Yes")</f>
        <v>Yes</v>
      </c>
      <c r="AD1647" s="8" t="str">
        <f ca="1">IFERROR(__xludf.DUMMYFUNCTION("""COMPUTED_VALUE"""),"Victims Targeted")</f>
        <v>Victims Targeted</v>
      </c>
      <c r="AE1647" s="8" t="str">
        <f ca="1">IFERROR(__xludf.DUMMYFUNCTION("""COMPUTED_VALUE"""),"Yes")</f>
        <v>Yes</v>
      </c>
      <c r="AF1647" s="8" t="str">
        <f ca="1">IFERROR(__xludf.DUMMYFUNCTION("""COMPUTED_VALUE"""),"4 teens arrested")</f>
        <v>4 teens arrested</v>
      </c>
      <c r="AG1647" s="8" t="str">
        <f ca="1">IFERROR(__xludf.DUMMYFUNCTION("""COMPUTED_VALUE"""),"No")</f>
        <v>No</v>
      </c>
      <c r="AH1647" s="8" t="str">
        <f ca="1">IFERROR(__xludf.DUMMYFUNCTION("""COMPUTED_VALUE"""),"No")</f>
        <v>No</v>
      </c>
      <c r="AI1647" s="8" t="str">
        <f ca="1">IFERROR(__xludf.DUMMYFUNCTION("""COMPUTED_VALUE"""),"No")</f>
        <v>No</v>
      </c>
      <c r="AJ1647" s="8"/>
      <c r="AK1647" s="8" t="str">
        <f ca="1">IFERROR(__xludf.DUMMYFUNCTION("""COMPUTED_VALUE"""),"No")</f>
        <v>No</v>
      </c>
      <c r="AL1647" s="8"/>
      <c r="AM1647" s="8" t="str">
        <f ca="1">IFERROR(__xludf.DUMMYFUNCTION("""COMPUTED_VALUE"""),"No")</f>
        <v>No</v>
      </c>
      <c r="AN1647" s="8"/>
      <c r="AO1647" s="8" t="str">
        <f ca="1">IFERROR(__xludf.DUMMYFUNCTION("""COMPUTED_VALUE"""),"No")</f>
        <v>No</v>
      </c>
      <c r="AP1647" s="8"/>
      <c r="AQ1647" s="8" t="str">
        <f ca="1">IFERROR(__xludf.DUMMYFUNCTION("""COMPUTED_VALUE"""),"Metal Detectors Front Only")</f>
        <v>Metal Detectors Front Only</v>
      </c>
      <c r="AR1647" s="8" t="str">
        <f ca="1">IFERROR(__xludf.DUMMYFUNCTION("""COMPUTED_VALUE"""),"Bypassed")</f>
        <v>Bypassed</v>
      </c>
      <c r="AS1647" s="8"/>
      <c r="AT1647" s="8" t="str">
        <f ca="1">IFERROR(__xludf.DUMMYFUNCTION("""COMPUTED_VALUE"""),"Yes")</f>
        <v>Yes</v>
      </c>
      <c r="AU1647" s="8">
        <f ca="1">IFERROR(__xludf.DUMMYFUNCTION("""COMPUTED_VALUE"""),32.378621)</f>
        <v>32.378621000000003</v>
      </c>
      <c r="AV1647" s="8">
        <f ca="1">IFERROR(__xludf.DUMMYFUNCTION("""COMPUTED_VALUE"""),-86.27142)</f>
        <v>-86.271420000000006</v>
      </c>
      <c r="AW1647" s="8"/>
      <c r="AX1647" s="8">
        <f ca="1">IFERROR(__xludf.DUMMYFUNCTION("""COMPUTED_VALUE"""),36107)</f>
        <v>36107</v>
      </c>
    </row>
    <row r="1648" spans="1:50" ht="135" x14ac:dyDescent="0.2">
      <c r="A1648" s="8" t="str">
        <f ca="1">IFERROR(__xludf.DUMMYFUNCTION("""COMPUTED_VALUE"""),"20190217COEAA")</f>
        <v>20190217COEAA</v>
      </c>
      <c r="B1648" s="8">
        <f ca="1">IFERROR(__xludf.DUMMYFUNCTION("""COMPUTED_VALUE"""),2)</f>
        <v>2</v>
      </c>
      <c r="C1648" s="8">
        <f ca="1">IFERROR(__xludf.DUMMYFUNCTION("""COMPUTED_VALUE"""),17)</f>
        <v>17</v>
      </c>
      <c r="D1648" s="8">
        <f ca="1">IFERROR(__xludf.DUMMYFUNCTION("""COMPUTED_VALUE"""),2019)</f>
        <v>2019</v>
      </c>
      <c r="E1648" s="9">
        <f ca="1">IFERROR(__xludf.DUMMYFUNCTION("""COMPUTED_VALUE"""),43513)</f>
        <v>43513</v>
      </c>
      <c r="F1648" s="8" t="str">
        <f ca="1">IFERROR(__xludf.DUMMYFUNCTION("""COMPUTED_VALUE"""),"Eaglecrest High School")</f>
        <v>Eaglecrest High School</v>
      </c>
      <c r="G1648" s="8">
        <f ca="1">IFERROR(__xludf.DUMMYFUNCTION("""COMPUTED_VALUE"""),1)</f>
        <v>1</v>
      </c>
      <c r="H1648" s="8">
        <f ca="1">IFERROR(__xludf.DUMMYFUNCTION("""COMPUTED_VALUE"""),0)</f>
        <v>0</v>
      </c>
      <c r="I1648" s="8">
        <f ca="1">IFERROR(__xludf.DUMMYFUNCTION("""COMPUTED_VALUE"""),1)</f>
        <v>1</v>
      </c>
      <c r="J1648" s="8">
        <f ca="1">IFERROR(__xludf.DUMMYFUNCTION("""COMPUTED_VALUE"""),0)</f>
        <v>0</v>
      </c>
      <c r="K1648" s="10" t="str">
        <f ca="1">IFERROR(__xludf.DUMMYFUNCTION("""COMPUTED_VALUE"""),"https://kdvr.com/2019/02/18/man-shot-in-neighbor-dispute-idd-as-former-cu-football-player-assistant-high-school-principal/")</f>
        <v>https://kdvr.com/2019/02/18/man-shot-in-neighbor-dispute-idd-as-former-cu-football-player-assistant-high-school-principal/</v>
      </c>
      <c r="L1648" s="8"/>
      <c r="M1648" s="8"/>
      <c r="N1648" s="8">
        <f ca="1">IFERROR(__xludf.DUMMYFUNCTION("""COMPUTED_VALUE"""),4)</f>
        <v>4</v>
      </c>
      <c r="O1648" s="8" t="str">
        <f ca="1">IFERROR(__xludf.DUMMYFUNCTION("""COMPUTED_VALUE"""),"Winter")</f>
        <v>Winter</v>
      </c>
      <c r="P1648" s="8" t="str">
        <f ca="1">IFERROR(__xludf.DUMMYFUNCTION("""COMPUTED_VALUE"""),"Aurora")</f>
        <v>Aurora</v>
      </c>
      <c r="Q1648" s="8" t="str">
        <f ca="1">IFERROR(__xludf.DUMMYFUNCTION("""COMPUTED_VALUE"""),"CO")</f>
        <v>CO</v>
      </c>
      <c r="R1648" s="8" t="str">
        <f ca="1">IFERROR(__xludf.DUMMYFUNCTION("""COMPUTED_VALUE"""),"High")</f>
        <v>High</v>
      </c>
      <c r="S1648" s="8" t="str">
        <f ca="1">IFERROR(__xludf.DUMMYFUNCTION("""COMPUTED_VALUE"""),"Field (General)")</f>
        <v>Field (General)</v>
      </c>
      <c r="T1648" s="8" t="str">
        <f ca="1">IFERROR(__xludf.DUMMYFUNCTION("""COMPUTED_VALUE"""),"Outside on School Property")</f>
        <v>Outside on School Property</v>
      </c>
      <c r="U1648" s="8" t="str">
        <f ca="1">IFERROR(__xludf.DUMMYFUNCTION("""COMPUTED_VALUE"""),"No")</f>
        <v>No</v>
      </c>
      <c r="V1648" s="8" t="str">
        <f ca="1">IFERROR(__xludf.DUMMYFUNCTION("""COMPUTED_VALUE"""),"Not a School Day")</f>
        <v>Not a School Day</v>
      </c>
      <c r="W1648" s="11">
        <f ca="1">IFERROR(__xludf.DUMMYFUNCTION("""COMPUTED_VALUE"""),0.458333333333333)</f>
        <v>0.45833333333333298</v>
      </c>
      <c r="X1648" s="8">
        <f ca="1">IFERROR(__xludf.DUMMYFUNCTION("""COMPUTED_VALUE"""),1)</f>
        <v>1</v>
      </c>
      <c r="Y1648" s="12" t="str">
        <f ca="1">IFERROR(__xludf.DUMMYFUNCTION("""COMPUTED_VALUE"""),"Neighbors met at school to talk about ongoing dispute over parking, argument lead to shooting")</f>
        <v>Neighbors met at school to talk about ongoing dispute over parking, argument lead to shooting</v>
      </c>
      <c r="Z1648" s="12" t="str">
        <f ca="1">IFERROR(__xludf.DUMMYFUNCTION("""COMPUTED_VALUE"""),"31YOM shot and killed 46YOM (assistant principal at another Aurora school) during ongoing dispute about a parking space. Both men lived across the street from the school. Two men agreed to meet at the school to discuss the dispute and it escalated into a "&amp;"shooting. Shooting occurred on Sunday of holiday weekend. Classes at school were disrupted and students received counseling. Shooter called police and said he shot neighbor then surrendered to police following shooting.")</f>
        <v>31YOM shot and killed 46YOM (assistant principal at another Aurora school) during ongoing dispute about a parking space. Both men lived across the street from the school. Two men agreed to meet at the school to discuss the dispute and it escalated into a shooting. Shooting occurred on Sunday of holiday weekend. Classes at school were disrupted and students received counseling. Shooter called police and said he shot neighbor then surrendered to police following shooting.</v>
      </c>
      <c r="AA1648" s="8" t="str">
        <f ca="1">IFERROR(__xludf.DUMMYFUNCTION("""COMPUTED_VALUE"""),"Escalation of Dispute")</f>
        <v>Escalation of Dispute</v>
      </c>
      <c r="AB1648" s="8"/>
      <c r="AC1648" s="8" t="str">
        <f ca="1">IFERROR(__xludf.DUMMYFUNCTION("""COMPUTED_VALUE"""),"No")</f>
        <v>No</v>
      </c>
      <c r="AD1648" s="8" t="str">
        <f ca="1">IFERROR(__xludf.DUMMYFUNCTION("""COMPUTED_VALUE"""),"Victims Targeted")</f>
        <v>Victims Targeted</v>
      </c>
      <c r="AE1648" s="8" t="str">
        <f ca="1">IFERROR(__xludf.DUMMYFUNCTION("""COMPUTED_VALUE"""),"No")</f>
        <v>No</v>
      </c>
      <c r="AF1648" s="8"/>
      <c r="AG1648" s="8" t="str">
        <f ca="1">IFERROR(__xludf.DUMMYFUNCTION("""COMPUTED_VALUE"""),"No")</f>
        <v>No</v>
      </c>
      <c r="AH1648" s="8" t="str">
        <f ca="1">IFERROR(__xludf.DUMMYFUNCTION("""COMPUTED_VALUE"""),"No")</f>
        <v>No</v>
      </c>
      <c r="AI1648" s="8" t="str">
        <f ca="1">IFERROR(__xludf.DUMMYFUNCTION("""COMPUTED_VALUE"""),"No")</f>
        <v>No</v>
      </c>
      <c r="AJ1648" s="8" t="str">
        <f ca="1">IFERROR(__xludf.DUMMYFUNCTION("""COMPUTED_VALUE"""),"No")</f>
        <v>No</v>
      </c>
      <c r="AK1648" s="8" t="str">
        <f ca="1">IFERROR(__xludf.DUMMYFUNCTION("""COMPUTED_VALUE"""),"No")</f>
        <v>No</v>
      </c>
      <c r="AL1648" s="8" t="str">
        <f ca="1">IFERROR(__xludf.DUMMYFUNCTION("""COMPUTED_VALUE"""),"No")</f>
        <v>No</v>
      </c>
      <c r="AM1648" s="8" t="str">
        <f ca="1">IFERROR(__xludf.DUMMYFUNCTION("""COMPUTED_VALUE"""),"No")</f>
        <v>No</v>
      </c>
      <c r="AN1648" s="8"/>
      <c r="AO1648" s="8" t="str">
        <f ca="1">IFERROR(__xludf.DUMMYFUNCTION("""COMPUTED_VALUE"""),"No")</f>
        <v>No</v>
      </c>
      <c r="AP1648" s="8"/>
      <c r="AQ1648" s="8" t="str">
        <f ca="1">IFERROR(__xludf.DUMMYFUNCTION("""COMPUTED_VALUE"""),"Unknown")</f>
        <v>Unknown</v>
      </c>
      <c r="AR1648" s="8" t="str">
        <f ca="1">IFERROR(__xludf.DUMMYFUNCTION("""COMPUTED_VALUE"""),"NA")</f>
        <v>NA</v>
      </c>
      <c r="AS1648" s="8" t="str">
        <f ca="1">IFERROR(__xludf.DUMMYFUNCTION("""COMPUTED_VALUE"""),"&lt;10")</f>
        <v>&lt;10</v>
      </c>
      <c r="AT1648" s="8"/>
      <c r="AU1648" s="8">
        <f ca="1">IFERROR(__xludf.DUMMYFUNCTION("""COMPUTED_VALUE"""),39.62366)</f>
        <v>39.623660000000001</v>
      </c>
      <c r="AV1648" s="8">
        <f ca="1">IFERROR(__xludf.DUMMYFUNCTION("""COMPUTED_VALUE"""),-104.737201)</f>
        <v>-104.737201</v>
      </c>
      <c r="AW1648" s="8"/>
      <c r="AX1648" s="8">
        <f ca="1">IFERROR(__xludf.DUMMYFUNCTION("""COMPUTED_VALUE"""),80015)</f>
        <v>80015</v>
      </c>
    </row>
    <row r="1649" spans="1:50" ht="105" x14ac:dyDescent="0.2">
      <c r="A1649" s="8" t="str">
        <f ca="1">IFERROR(__xludf.DUMMYFUNCTION("""COMPUTED_VALUE"""),"20190214NMVR")</f>
        <v>20190214NMVR</v>
      </c>
      <c r="B1649" s="8">
        <f ca="1">IFERROR(__xludf.DUMMYFUNCTION("""COMPUTED_VALUE"""),2)</f>
        <v>2</v>
      </c>
      <c r="C1649" s="8">
        <f ca="1">IFERROR(__xludf.DUMMYFUNCTION("""COMPUTED_VALUE"""),14)</f>
        <v>14</v>
      </c>
      <c r="D1649" s="8">
        <f ca="1">IFERROR(__xludf.DUMMYFUNCTION("""COMPUTED_VALUE"""),2019)</f>
        <v>2019</v>
      </c>
      <c r="E1649" s="9">
        <f ca="1">IFERROR(__xludf.DUMMYFUNCTION("""COMPUTED_VALUE"""),43510)</f>
        <v>43510</v>
      </c>
      <c r="F1649" s="8" t="str">
        <f ca="1">IFERROR(__xludf.DUMMYFUNCTION("""COMPUTED_VALUE"""),"V. Sue Cleveland High School")</f>
        <v>V. Sue Cleveland High School</v>
      </c>
      <c r="G1649" s="8">
        <f ca="1">IFERROR(__xludf.DUMMYFUNCTION("""COMPUTED_VALUE"""),0)</f>
        <v>0</v>
      </c>
      <c r="H1649" s="8">
        <f ca="1">IFERROR(__xludf.DUMMYFUNCTION("""COMPUTED_VALUE"""),0)</f>
        <v>0</v>
      </c>
      <c r="I1649" s="8">
        <f ca="1">IFERROR(__xludf.DUMMYFUNCTION("""COMPUTED_VALUE"""),0)</f>
        <v>0</v>
      </c>
      <c r="J1649" s="8">
        <f ca="1">IFERROR(__xludf.DUMMYFUNCTION("""COMPUTED_VALUE"""),0)</f>
        <v>0</v>
      </c>
      <c r="K1649" s="8" t="str">
        <f ca="1">IFERROR(__xludf.DUMMYFUNCTION("""COMPUTED_VALUE"""),"https://www.ntd.com/shot-fired-at-suburban-albuquerque-high-school_289008.html https://www.koat.com/article/possible-shots-fired-at-v-sue-cleveland-high-school/26339839")</f>
        <v>https://www.ntd.com/shot-fired-at-suburban-albuquerque-high-school_289008.html https://www.koat.com/article/possible-shots-fired-at-v-sue-cleveland-high-school/26339839</v>
      </c>
      <c r="L1649" s="8"/>
      <c r="M1649" s="8"/>
      <c r="N1649" s="8">
        <f ca="1">IFERROR(__xludf.DUMMYFUNCTION("""COMPUTED_VALUE"""),4)</f>
        <v>4</v>
      </c>
      <c r="O1649" s="8" t="str">
        <f ca="1">IFERROR(__xludf.DUMMYFUNCTION("""COMPUTED_VALUE"""),"Winter")</f>
        <v>Winter</v>
      </c>
      <c r="P1649" s="8" t="str">
        <f ca="1">IFERROR(__xludf.DUMMYFUNCTION("""COMPUTED_VALUE"""),"Rio Rancho")</f>
        <v>Rio Rancho</v>
      </c>
      <c r="Q1649" s="8" t="str">
        <f ca="1">IFERROR(__xludf.DUMMYFUNCTION("""COMPUTED_VALUE"""),"NM")</f>
        <v>NM</v>
      </c>
      <c r="R1649" s="8" t="str">
        <f ca="1">IFERROR(__xludf.DUMMYFUNCTION("""COMPUTED_VALUE"""),"High")</f>
        <v>High</v>
      </c>
      <c r="S1649" s="8" t="str">
        <f ca="1">IFERROR(__xludf.DUMMYFUNCTION("""COMPUTED_VALUE"""),"Hallway")</f>
        <v>Hallway</v>
      </c>
      <c r="T1649" s="8" t="str">
        <f ca="1">IFERROR(__xludf.DUMMYFUNCTION("""COMPUTED_VALUE"""),"Inside School Building")</f>
        <v>Inside School Building</v>
      </c>
      <c r="U1649" s="8" t="str">
        <f ca="1">IFERROR(__xludf.DUMMYFUNCTION("""COMPUTED_VALUE"""),"Yes")</f>
        <v>Yes</v>
      </c>
      <c r="V1649" s="8" t="str">
        <f ca="1">IFERROR(__xludf.DUMMYFUNCTION("""COMPUTED_VALUE"""),"School Start")</f>
        <v>School Start</v>
      </c>
      <c r="W1649" s="11">
        <f ca="1">IFERROR(__xludf.DUMMYFUNCTION("""COMPUTED_VALUE"""),0.291666666666666)</f>
        <v>0.29166666666666602</v>
      </c>
      <c r="X1649" s="8">
        <f ca="1">IFERROR(__xludf.DUMMYFUNCTION("""COMPUTED_VALUE"""),1)</f>
        <v>1</v>
      </c>
      <c r="Y1649" s="12" t="str">
        <f ca="1">IFERROR(__xludf.DUMMYFUNCTION("""COMPUTED_VALUE"""),"Student fired shot as school opened then fled the scene. Reported attempt to kill ex girlfriend.")</f>
        <v>Student fired shot as school opened then fled the scene. Reported attempt to kill ex girlfriend.</v>
      </c>
      <c r="Z1649" s="12" t="str">
        <f ca="1">IFERROR(__xludf.DUMMYFUNCTION("""COMPUTED_VALUE"""),"16YOM student fired a handgun (single shot) in the school hallway, dropped the weapon, then fled the school. Note in student's pocket said he intended to kill his ex girlfriend (Valentine's Day). Caught by law enforcement as he was running from the scene."&amp;" Police report shooter had been questioned 9 months ago when he said voices were telling him to commit a shooting at the school.")</f>
        <v>16YOM student fired a handgun (single shot) in the school hallway, dropped the weapon, then fled the school. Note in student's pocket said he intended to kill his ex girlfriend (Valentine's Day). Caught by law enforcement as he was running from the scene. Police report shooter had been questioned 9 months ago when he said voices were telling him to commit a shooting at the school.</v>
      </c>
      <c r="AA1649" s="8" t="str">
        <f ca="1">IFERROR(__xludf.DUMMYFUNCTION("""COMPUTED_VALUE"""),"Domestic w/ Targeted Victim")</f>
        <v>Domestic w/ Targeted Victim</v>
      </c>
      <c r="AB1649" s="8"/>
      <c r="AC1649" s="8" t="str">
        <f ca="1">IFERROR(__xludf.DUMMYFUNCTION("""COMPUTED_VALUE"""),"Yes")</f>
        <v>Yes</v>
      </c>
      <c r="AD1649" s="8" t="str">
        <f ca="1">IFERROR(__xludf.DUMMYFUNCTION("""COMPUTED_VALUE"""),"Victims Targeted")</f>
        <v>Victims Targeted</v>
      </c>
      <c r="AE1649" s="8" t="str">
        <f ca="1">IFERROR(__xludf.DUMMYFUNCTION("""COMPUTED_VALUE"""),"No")</f>
        <v>No</v>
      </c>
      <c r="AF1649" s="8"/>
      <c r="AG1649" s="8" t="str">
        <f ca="1">IFERROR(__xludf.DUMMYFUNCTION("""COMPUTED_VALUE"""),"No")</f>
        <v>No</v>
      </c>
      <c r="AH1649" s="8" t="str">
        <f ca="1">IFERROR(__xludf.DUMMYFUNCTION("""COMPUTED_VALUE"""),"No")</f>
        <v>No</v>
      </c>
      <c r="AI1649" s="8" t="str">
        <f ca="1">IFERROR(__xludf.DUMMYFUNCTION("""COMPUTED_VALUE"""),"No")</f>
        <v>No</v>
      </c>
      <c r="AJ1649" s="8"/>
      <c r="AK1649" s="8" t="str">
        <f ca="1">IFERROR(__xludf.DUMMYFUNCTION("""COMPUTED_VALUE"""),"Yes")</f>
        <v>Yes</v>
      </c>
      <c r="AL1649" s="8"/>
      <c r="AM1649" s="8" t="str">
        <f ca="1">IFERROR(__xludf.DUMMYFUNCTION("""COMPUTED_VALUE"""),"No")</f>
        <v>No</v>
      </c>
      <c r="AN1649" s="8"/>
      <c r="AO1649" s="8" t="str">
        <f ca="1">IFERROR(__xludf.DUMMYFUNCTION("""COMPUTED_VALUE"""),"Yes")</f>
        <v>Yes</v>
      </c>
      <c r="AP1649" s="8"/>
      <c r="AQ1649" s="8" t="str">
        <f ca="1">IFERROR(__xludf.DUMMYFUNCTION("""COMPUTED_VALUE"""),"Unknown")</f>
        <v>Unknown</v>
      </c>
      <c r="AR1649" s="8" t="str">
        <f ca="1">IFERROR(__xludf.DUMMYFUNCTION("""COMPUTED_VALUE"""),"NA")</f>
        <v>NA</v>
      </c>
      <c r="AS1649" s="8">
        <f ca="1">IFERROR(__xludf.DUMMYFUNCTION("""COMPUTED_VALUE"""),1)</f>
        <v>1</v>
      </c>
      <c r="AT1649" s="8" t="str">
        <f ca="1">IFERROR(__xludf.DUMMYFUNCTION("""COMPUTED_VALUE"""),"Yes")</f>
        <v>Yes</v>
      </c>
      <c r="AU1649" s="8">
        <f ca="1">IFERROR(__xludf.DUMMYFUNCTION("""COMPUTED_VALUE"""),35.311833)</f>
        <v>35.311833</v>
      </c>
      <c r="AV1649" s="8">
        <f ca="1">IFERROR(__xludf.DUMMYFUNCTION("""COMPUTED_VALUE"""),-106.641819)</f>
        <v>-106.641819</v>
      </c>
      <c r="AW1649" s="8"/>
      <c r="AX1649" s="8">
        <f ca="1">IFERROR(__xludf.DUMMYFUNCTION("""COMPUTED_VALUE"""),87144)</f>
        <v>87144</v>
      </c>
    </row>
    <row r="1650" spans="1:50" ht="90" x14ac:dyDescent="0.2">
      <c r="A1650" s="8" t="str">
        <f ca="1">IFERROR(__xludf.DUMMYFUNCTION("""COMPUTED_VALUE"""),"20190212MOCEK")</f>
        <v>20190212MOCEK</v>
      </c>
      <c r="B1650" s="8">
        <f ca="1">IFERROR(__xludf.DUMMYFUNCTION("""COMPUTED_VALUE"""),2)</f>
        <v>2</v>
      </c>
      <c r="C1650" s="8">
        <f ca="1">IFERROR(__xludf.DUMMYFUNCTION("""COMPUTED_VALUE"""),12)</f>
        <v>12</v>
      </c>
      <c r="D1650" s="8">
        <f ca="1">IFERROR(__xludf.DUMMYFUNCTION("""COMPUTED_VALUE"""),2019)</f>
        <v>2019</v>
      </c>
      <c r="E1650" s="9">
        <f ca="1">IFERROR(__xludf.DUMMYFUNCTION("""COMPUTED_VALUE"""),43508)</f>
        <v>43508</v>
      </c>
      <c r="F1650" s="8" t="str">
        <f ca="1">IFERROR(__xludf.DUMMYFUNCTION("""COMPUTED_VALUE"""),"Central Academy of Excellence")</f>
        <v>Central Academy of Excellence</v>
      </c>
      <c r="G1650" s="8">
        <f ca="1">IFERROR(__xludf.DUMMYFUNCTION("""COMPUTED_VALUE"""),1)</f>
        <v>1</v>
      </c>
      <c r="H1650" s="8">
        <f ca="1">IFERROR(__xludf.DUMMYFUNCTION("""COMPUTED_VALUE"""),0)</f>
        <v>0</v>
      </c>
      <c r="I1650" s="8">
        <f ca="1">IFERROR(__xludf.DUMMYFUNCTION("""COMPUTED_VALUE"""),1)</f>
        <v>1</v>
      </c>
      <c r="J1650" s="8">
        <f ca="1">IFERROR(__xludf.DUMMYFUNCTION("""COMPUTED_VALUE"""),0)</f>
        <v>0</v>
      </c>
      <c r="K1650" s="8" t="str">
        <f ca="1">IFERROR(__xludf.DUMMYFUNCTION("""COMPUTED_VALUE"""),"https://www.kansascity.com/news/local/article250909479.html https://www.kmbc.com/article/charges-filed-against-2-women-in-fatal-shooting-of-15-year-old-outside-kc-school/26345522 https://www.kctv5.com/news/persons-of-interest-in-custody-in-killing-outside"&amp;"-kansas-city/article_33183ae4-2f3a-11e9-b63a-179a1df47621.html")</f>
        <v>https://www.kansascity.com/news/local/article250909479.html https://www.kmbc.com/article/charges-filed-against-2-women-in-fatal-shooting-of-15-year-old-outside-kc-school/26345522 https://www.kctv5.com/news/persons-of-interest-in-custody-in-killing-outside-kansas-city/article_33183ae4-2f3a-11e9-b63a-179a1df47621.html</v>
      </c>
      <c r="L1650" s="8"/>
      <c r="M1650" s="8" t="str">
        <f ca="1">IFERROR(__xludf.DUMMYFUNCTION("""COMPUTED_VALUE"""),"Local")</f>
        <v>Local</v>
      </c>
      <c r="N1650" s="8">
        <f ca="1">IFERROR(__xludf.DUMMYFUNCTION("""COMPUTED_VALUE"""),5)</f>
        <v>5</v>
      </c>
      <c r="O1650" s="8" t="str">
        <f ca="1">IFERROR(__xludf.DUMMYFUNCTION("""COMPUTED_VALUE"""),"Winter")</f>
        <v>Winter</v>
      </c>
      <c r="P1650" s="8" t="str">
        <f ca="1">IFERROR(__xludf.DUMMYFUNCTION("""COMPUTED_VALUE"""),"Kansas City")</f>
        <v>Kansas City</v>
      </c>
      <c r="Q1650" s="8" t="str">
        <f ca="1">IFERROR(__xludf.DUMMYFUNCTION("""COMPUTED_VALUE"""),"MO")</f>
        <v>MO</v>
      </c>
      <c r="R1650" s="8" t="str">
        <f ca="1">IFERROR(__xludf.DUMMYFUNCTION("""COMPUTED_VALUE"""),"High")</f>
        <v>High</v>
      </c>
      <c r="S1650" s="8" t="str">
        <f ca="1">IFERROR(__xludf.DUMMYFUNCTION("""COMPUTED_VALUE"""),"Beside Building")</f>
        <v>Beside Building</v>
      </c>
      <c r="T1650" s="8" t="str">
        <f ca="1">IFERROR(__xludf.DUMMYFUNCTION("""COMPUTED_VALUE"""),"Outside on School Property")</f>
        <v>Outside on School Property</v>
      </c>
      <c r="U1650" s="8" t="str">
        <f ca="1">IFERROR(__xludf.DUMMYFUNCTION("""COMPUTED_VALUE"""),"No")</f>
        <v>No</v>
      </c>
      <c r="V1650" s="8" t="str">
        <f ca="1">IFERROR(__xludf.DUMMYFUNCTION("""COMPUTED_VALUE"""),"Sport Event")</f>
        <v>Sport Event</v>
      </c>
      <c r="W1650" s="11">
        <f ca="1">IFERROR(__xludf.DUMMYFUNCTION("""COMPUTED_VALUE"""),0.84375)</f>
        <v>0.84375</v>
      </c>
      <c r="X1650" s="8">
        <f ca="1">IFERROR(__xludf.DUMMYFUNCTION("""COMPUTED_VALUE"""),1)</f>
        <v>1</v>
      </c>
      <c r="Y1650" s="12" t="str">
        <f ca="1">IFERROR(__xludf.DUMMYFUNCTION("""COMPUTED_VALUE"""),"Shooting outside school after fight inside during basketball game")</f>
        <v>Shooting outside school after fight inside during basketball game</v>
      </c>
      <c r="Z1650" s="12" t="str">
        <f ca="1">IFERROR(__xludf.DUMMYFUNCTION("""COMPUTED_VALUE"""),"Fight between shooter (21YOF) and victim (15YOF) during basketball game. Shooter was escorted out of gym by security. When victim (15YOF) exited the school, she was shot and killed by the shooter. CCTV captured the full incident. Suspect and additional 18"&amp;"YOF were arrested the following day.")</f>
        <v>Fight between shooter (21YOF) and victim (15YOF) during basketball game. Shooter was escorted out of gym by security. When victim (15YOF) exited the school, she was shot and killed by the shooter. CCTV captured the full incident. Suspect and additional 18YOF were arrested the following day.</v>
      </c>
      <c r="AA1650" s="8" t="str">
        <f ca="1">IFERROR(__xludf.DUMMYFUNCTION("""COMPUTED_VALUE"""),"Escalation of Dispute")</f>
        <v>Escalation of Dispute</v>
      </c>
      <c r="AB1650" s="8"/>
      <c r="AC1650" s="8" t="str">
        <f ca="1">IFERROR(__xludf.DUMMYFUNCTION("""COMPUTED_VALUE"""),"Yes")</f>
        <v>Yes</v>
      </c>
      <c r="AD1650" s="8" t="str">
        <f ca="1">IFERROR(__xludf.DUMMYFUNCTION("""COMPUTED_VALUE"""),"Victims Targeted")</f>
        <v>Victims Targeted</v>
      </c>
      <c r="AE1650" s="8" t="str">
        <f ca="1">IFERROR(__xludf.DUMMYFUNCTION("""COMPUTED_VALUE"""),"Yes")</f>
        <v>Yes</v>
      </c>
      <c r="AF1650" s="8" t="str">
        <f ca="1">IFERROR(__xludf.DUMMYFUNCTION("""COMPUTED_VALUE"""),"18YOF also arrested")</f>
        <v>18YOF also arrested</v>
      </c>
      <c r="AG1650" s="8" t="str">
        <f ca="1">IFERROR(__xludf.DUMMYFUNCTION("""COMPUTED_VALUE"""),"No")</f>
        <v>No</v>
      </c>
      <c r="AH1650" s="8" t="str">
        <f ca="1">IFERROR(__xludf.DUMMYFUNCTION("""COMPUTED_VALUE"""),"No")</f>
        <v>No</v>
      </c>
      <c r="AI1650" s="8" t="str">
        <f ca="1">IFERROR(__xludf.DUMMYFUNCTION("""COMPUTED_VALUE"""),"No")</f>
        <v>No</v>
      </c>
      <c r="AJ1650" s="8" t="str">
        <f ca="1">IFERROR(__xludf.DUMMYFUNCTION("""COMPUTED_VALUE"""),"No")</f>
        <v>No</v>
      </c>
      <c r="AK1650" s="8" t="str">
        <f ca="1">IFERROR(__xludf.DUMMYFUNCTION("""COMPUTED_VALUE"""),"No")</f>
        <v>No</v>
      </c>
      <c r="AL1650" s="8" t="str">
        <f ca="1">IFERROR(__xludf.DUMMYFUNCTION("""COMPUTED_VALUE"""),"No")</f>
        <v>No</v>
      </c>
      <c r="AM1650" s="8" t="str">
        <f ca="1">IFERROR(__xludf.DUMMYFUNCTION("""COMPUTED_VALUE"""),"No")</f>
        <v>No</v>
      </c>
      <c r="AN1650" s="8"/>
      <c r="AO1650" s="8" t="str">
        <f ca="1">IFERROR(__xludf.DUMMYFUNCTION("""COMPUTED_VALUE"""),"No")</f>
        <v>No</v>
      </c>
      <c r="AP1650" s="8" t="str">
        <f ca="1">IFERROR(__xludf.DUMMYFUNCTION("""COMPUTED_VALUE"""),"Yes")</f>
        <v>Yes</v>
      </c>
      <c r="AQ1650" s="8" t="str">
        <f ca="1">IFERROR(__xludf.DUMMYFUNCTION("""COMPUTED_VALUE"""),"Unknown")</f>
        <v>Unknown</v>
      </c>
      <c r="AR1650" s="8" t="str">
        <f ca="1">IFERROR(__xludf.DUMMYFUNCTION("""COMPUTED_VALUE"""),"NA")</f>
        <v>NA</v>
      </c>
      <c r="AS1650" s="8"/>
      <c r="AT1650" s="8" t="str">
        <f ca="1">IFERROR(__xludf.DUMMYFUNCTION("""COMPUTED_VALUE"""),"Yes")</f>
        <v>Yes</v>
      </c>
      <c r="AU1650" s="8">
        <f ca="1">IFERROR(__xludf.DUMMYFUNCTION("""COMPUTED_VALUE"""),39.06663)</f>
        <v>39.066630000000004</v>
      </c>
      <c r="AV1650" s="8">
        <f ca="1">IFERROR(__xludf.DUMMYFUNCTION("""COMPUTED_VALUE"""),-94.541079)</f>
        <v>-94.541078999999996</v>
      </c>
      <c r="AW1650" s="8"/>
      <c r="AX1650" s="8">
        <f ca="1">IFERROR(__xludf.DUMMYFUNCTION("""COMPUTED_VALUE"""),64128)</f>
        <v>64128</v>
      </c>
    </row>
    <row r="1651" spans="1:50" ht="105" x14ac:dyDescent="0.2">
      <c r="A1651" s="8" t="str">
        <f ca="1">IFERROR(__xludf.DUMMYFUNCTION("""COMPUTED_VALUE"""),"20190208MDFRB")</f>
        <v>20190208MDFRB</v>
      </c>
      <c r="B1651" s="8">
        <f ca="1">IFERROR(__xludf.DUMMYFUNCTION("""COMPUTED_VALUE"""),2)</f>
        <v>2</v>
      </c>
      <c r="C1651" s="8">
        <f ca="1">IFERROR(__xludf.DUMMYFUNCTION("""COMPUTED_VALUE"""),8)</f>
        <v>8</v>
      </c>
      <c r="D1651" s="8">
        <f ca="1">IFERROR(__xludf.DUMMYFUNCTION("""COMPUTED_VALUE"""),2019)</f>
        <v>2019</v>
      </c>
      <c r="E1651" s="9">
        <f ca="1">IFERROR(__xludf.DUMMYFUNCTION("""COMPUTED_VALUE"""),43504)</f>
        <v>43504</v>
      </c>
      <c r="F1651" s="8" t="str">
        <f ca="1">IFERROR(__xludf.DUMMYFUNCTION("""COMPUTED_VALUE"""),"Frederick Douglass High School")</f>
        <v>Frederick Douglass High School</v>
      </c>
      <c r="G1651" s="8">
        <f ca="1">IFERROR(__xludf.DUMMYFUNCTION("""COMPUTED_VALUE"""),0)</f>
        <v>0</v>
      </c>
      <c r="H1651" s="8">
        <f ca="1">IFERROR(__xludf.DUMMYFUNCTION("""COMPUTED_VALUE"""),1)</f>
        <v>1</v>
      </c>
      <c r="I1651" s="8">
        <f ca="1">IFERROR(__xludf.DUMMYFUNCTION("""COMPUTED_VALUE"""),1)</f>
        <v>1</v>
      </c>
      <c r="J1651" s="8">
        <f ca="1">IFERROR(__xludf.DUMMYFUNCTION("""COMPUTED_VALUE"""),0)</f>
        <v>0</v>
      </c>
      <c r="K1651" s="8" t="str">
        <f ca="1">IFERROR(__xludf.DUMMYFUNCTION("""COMPUTED_VALUE"""),"https://www.wbaltv.com/article/frederick-douglass-high-school-shooting/26253532 https://www.cbsnews.com/news/baltimore-school-shooting-frederick-douglass-high-school-today-2019-02-08-live-updates/ https://www.newschannel5.com/news/national/suspect-in-balt"&amp;"imore-school-shooting-also-charged-in-2018-murder")</f>
        <v>https://www.wbaltv.com/article/frederick-douglass-high-school-shooting/26253532 https://www.cbsnews.com/news/baltimore-school-shooting-frederick-douglass-high-school-today-2019-02-08-live-updates/ https://www.newschannel5.com/news/national/suspect-in-baltimore-school-shooting-also-charged-in-2018-murder</v>
      </c>
      <c r="L1651" s="8"/>
      <c r="M1651" s="8"/>
      <c r="N1651" s="8">
        <f ca="1">IFERROR(__xludf.DUMMYFUNCTION("""COMPUTED_VALUE"""),4)</f>
        <v>4</v>
      </c>
      <c r="O1651" s="8" t="str">
        <f ca="1">IFERROR(__xludf.DUMMYFUNCTION("""COMPUTED_VALUE"""),"Winter")</f>
        <v>Winter</v>
      </c>
      <c r="P1651" s="8" t="str">
        <f ca="1">IFERROR(__xludf.DUMMYFUNCTION("""COMPUTED_VALUE"""),"Baltimore")</f>
        <v>Baltimore</v>
      </c>
      <c r="Q1651" s="8" t="str">
        <f ca="1">IFERROR(__xludf.DUMMYFUNCTION("""COMPUTED_VALUE"""),"MD")</f>
        <v>MD</v>
      </c>
      <c r="R1651" s="8" t="str">
        <f ca="1">IFERROR(__xludf.DUMMYFUNCTION("""COMPUTED_VALUE"""),"High")</f>
        <v>High</v>
      </c>
      <c r="S1651" s="8" t="str">
        <f ca="1">IFERROR(__xludf.DUMMYFUNCTION("""COMPUTED_VALUE"""),"Entryway")</f>
        <v>Entryway</v>
      </c>
      <c r="T1651" s="8" t="str">
        <f ca="1">IFERROR(__xludf.DUMMYFUNCTION("""COMPUTED_VALUE"""),"Inside School Building")</f>
        <v>Inside School Building</v>
      </c>
      <c r="U1651" s="8" t="str">
        <f ca="1">IFERROR(__xludf.DUMMYFUNCTION("""COMPUTED_VALUE"""),"Yes")</f>
        <v>Yes</v>
      </c>
      <c r="V1651" s="8" t="str">
        <f ca="1">IFERROR(__xludf.DUMMYFUNCTION("""COMPUTED_VALUE"""),"Afternoon Classes")</f>
        <v>Afternoon Classes</v>
      </c>
      <c r="W1651" s="11">
        <f ca="1">IFERROR(__xludf.DUMMYFUNCTION("""COMPUTED_VALUE"""),0.552083333333333)</f>
        <v>0.55208333333333304</v>
      </c>
      <c r="X1651" s="8">
        <f ca="1">IFERROR(__xludf.DUMMYFUNCTION("""COMPUTED_VALUE"""),1)</f>
        <v>1</v>
      </c>
      <c r="Y1651" s="12" t="str">
        <f ca="1">IFERROR(__xludf.DUMMYFUNCTION("""COMPUTED_VALUE"""),"Hall monitor shot by armed intruder looking for specific student, arrested by police officer assigned at school meeting")</f>
        <v>Hall monitor shot by armed intruder looking for specific student, arrested by police officer assigned at school meeting</v>
      </c>
      <c r="Z1651" s="12" t="str">
        <f ca="1">IFERROR(__xludf.DUMMYFUNCTION("""COMPUTED_VALUE"""),"25YOM attempted to enter school looking for student he had ongoing conflict with. Entry was blocked by 56YOM hall monitor. Hall monitor was shot by shooter at the front door. Police officer attending meeting at school heard the shots and arrested the shoo"&amp;"ter. School was locked down and then dismissed. Following arrest, police charged shooter with 1st degree murder for a seperate 2016 incident.")</f>
        <v>25YOM attempted to enter school looking for student he had ongoing conflict with. Entry was blocked by 56YOM hall monitor. Hall monitor was shot by shooter at the front door. Police officer attending meeting at school heard the shots and arrested the shooter. School was locked down and then dismissed. Following arrest, police charged shooter with 1st degree murder for a seperate 2016 incident.</v>
      </c>
      <c r="AA1651" s="8" t="str">
        <f ca="1">IFERROR(__xludf.DUMMYFUNCTION("""COMPUTED_VALUE"""),"Escalation of Dispute")</f>
        <v>Escalation of Dispute</v>
      </c>
      <c r="AB1651" s="8"/>
      <c r="AC1651" s="8" t="str">
        <f ca="1">IFERROR(__xludf.DUMMYFUNCTION("""COMPUTED_VALUE"""),"Yes")</f>
        <v>Yes</v>
      </c>
      <c r="AD1651" s="8" t="str">
        <f ca="1">IFERROR(__xludf.DUMMYFUNCTION("""COMPUTED_VALUE"""),"Both")</f>
        <v>Both</v>
      </c>
      <c r="AE1651" s="8" t="str">
        <f ca="1">IFERROR(__xludf.DUMMYFUNCTION("""COMPUTED_VALUE"""),"No")</f>
        <v>No</v>
      </c>
      <c r="AF1651" s="8"/>
      <c r="AG1651" s="8" t="str">
        <f ca="1">IFERROR(__xludf.DUMMYFUNCTION("""COMPUTED_VALUE"""),"No")</f>
        <v>No</v>
      </c>
      <c r="AH1651" s="8" t="str">
        <f ca="1">IFERROR(__xludf.DUMMYFUNCTION("""COMPUTED_VALUE"""),"No")</f>
        <v>No</v>
      </c>
      <c r="AI1651" s="8" t="str">
        <f ca="1">IFERROR(__xludf.DUMMYFUNCTION("""COMPUTED_VALUE"""),"No")</f>
        <v>No</v>
      </c>
      <c r="AJ1651" s="8" t="str">
        <f ca="1">IFERROR(__xludf.DUMMYFUNCTION("""COMPUTED_VALUE"""),"No")</f>
        <v>No</v>
      </c>
      <c r="AK1651" s="8" t="str">
        <f ca="1">IFERROR(__xludf.DUMMYFUNCTION("""COMPUTED_VALUE"""),"No")</f>
        <v>No</v>
      </c>
      <c r="AL1651" s="8" t="str">
        <f ca="1">IFERROR(__xludf.DUMMYFUNCTION("""COMPUTED_VALUE"""),"No")</f>
        <v>No</v>
      </c>
      <c r="AM1651" s="8" t="str">
        <f ca="1">IFERROR(__xludf.DUMMYFUNCTION("""COMPUTED_VALUE"""),"Yes")</f>
        <v>Yes</v>
      </c>
      <c r="AN1651" s="8" t="str">
        <f ca="1">IFERROR(__xludf.DUMMYFUNCTION("""COMPUTED_VALUE"""),"Outside")</f>
        <v>Outside</v>
      </c>
      <c r="AO1651" s="8" t="str">
        <f ca="1">IFERROR(__xludf.DUMMYFUNCTION("""COMPUTED_VALUE"""),"No")</f>
        <v>No</v>
      </c>
      <c r="AP1651" s="8"/>
      <c r="AQ1651" s="8" t="str">
        <f ca="1">IFERROR(__xludf.DUMMYFUNCTION("""COMPUTED_VALUE"""),"Unknown")</f>
        <v>Unknown</v>
      </c>
      <c r="AR1651" s="8" t="str">
        <f ca="1">IFERROR(__xludf.DUMMYFUNCTION("""COMPUTED_VALUE"""),"NA")</f>
        <v>NA</v>
      </c>
      <c r="AS1651" s="8">
        <f ca="1">IFERROR(__xludf.DUMMYFUNCTION("""COMPUTED_VALUE"""),6)</f>
        <v>6</v>
      </c>
      <c r="AT1651" s="8" t="str">
        <f ca="1">IFERROR(__xludf.DUMMYFUNCTION("""COMPUTED_VALUE"""),"Yes")</f>
        <v>Yes</v>
      </c>
      <c r="AU1651" s="8">
        <f ca="1">IFERROR(__xludf.DUMMYFUNCTION("""COMPUTED_VALUE"""),39.314507)</f>
        <v>39.314506999999999</v>
      </c>
      <c r="AV1651" s="8">
        <f ca="1">IFERROR(__xludf.DUMMYFUNCTION("""COMPUTED_VALUE"""),-76.654256)</f>
        <v>-76.654256000000004</v>
      </c>
      <c r="AW1651" s="8"/>
      <c r="AX1651" s="8">
        <f ca="1">IFERROR(__xludf.DUMMYFUNCTION("""COMPUTED_VALUE"""),21217)</f>
        <v>21217</v>
      </c>
    </row>
    <row r="1652" spans="1:50" ht="60" x14ac:dyDescent="0.2">
      <c r="A1652" s="8" t="str">
        <f ca="1">IFERROR(__xludf.DUMMYFUNCTION("""COMPUTED_VALUE"""),"20190205MNMIM")</f>
        <v>20190205MNMIM</v>
      </c>
      <c r="B1652" s="8">
        <f ca="1">IFERROR(__xludf.DUMMYFUNCTION("""COMPUTED_VALUE"""),2)</f>
        <v>2</v>
      </c>
      <c r="C1652" s="8">
        <f ca="1">IFERROR(__xludf.DUMMYFUNCTION("""COMPUTED_VALUE"""),5)</f>
        <v>5</v>
      </c>
      <c r="D1652" s="8">
        <f ca="1">IFERROR(__xludf.DUMMYFUNCTION("""COMPUTED_VALUE"""),2019)</f>
        <v>2019</v>
      </c>
      <c r="E1652" s="9">
        <f ca="1">IFERROR(__xludf.DUMMYFUNCTION("""COMPUTED_VALUE"""),43501)</f>
        <v>43501</v>
      </c>
      <c r="F1652" s="8" t="str">
        <f ca="1">IFERROR(__xludf.DUMMYFUNCTION("""COMPUTED_VALUE"""),"Minneapolis School District Bus")</f>
        <v>Minneapolis School District Bus</v>
      </c>
      <c r="G1652" s="8">
        <f ca="1">IFERROR(__xludf.DUMMYFUNCTION("""COMPUTED_VALUE"""),0)</f>
        <v>0</v>
      </c>
      <c r="H1652" s="8">
        <f ca="1">IFERROR(__xludf.DUMMYFUNCTION("""COMPUTED_VALUE"""),1)</f>
        <v>1</v>
      </c>
      <c r="I1652" s="8">
        <f ca="1">IFERROR(__xludf.DUMMYFUNCTION("""COMPUTED_VALUE"""),1)</f>
        <v>1</v>
      </c>
      <c r="J1652" s="8">
        <f ca="1">IFERROR(__xludf.DUMMYFUNCTION("""COMPUTED_VALUE"""),0)</f>
        <v>0</v>
      </c>
      <c r="K1652" s="8" t="str">
        <f ca="1">IFERROR(__xludf.DUMMYFUNCTION("""COMPUTED_VALUE"""),"https://www.mprnews.org/story/2019/02/05/school-bus-driver-shot-on-i35-in-minneapolis http://www.fox9.com/news/police-1-shot-after-crash-on-i-35w-in-minneapolis https://www.courant.com/sns-bc-us--school-bus-shooting-20191116-story.html")</f>
        <v>https://www.mprnews.org/story/2019/02/05/school-bus-driver-shot-on-i35-in-minneapolis http://www.fox9.com/news/police-1-shot-after-crash-on-i-35w-in-minneapolis https://www.courant.com/sns-bc-us--school-bus-shooting-20191116-story.html</v>
      </c>
      <c r="L1652" s="8"/>
      <c r="M1652" s="8"/>
      <c r="N1652" s="8">
        <f ca="1">IFERROR(__xludf.DUMMYFUNCTION("""COMPUTED_VALUE"""),3)</f>
        <v>3</v>
      </c>
      <c r="O1652" s="8" t="str">
        <f ca="1">IFERROR(__xludf.DUMMYFUNCTION("""COMPUTED_VALUE"""),"Winter")</f>
        <v>Winter</v>
      </c>
      <c r="P1652" s="8" t="str">
        <f ca="1">IFERROR(__xludf.DUMMYFUNCTION("""COMPUTED_VALUE"""),"Minneapolis")</f>
        <v>Minneapolis</v>
      </c>
      <c r="Q1652" s="8" t="str">
        <f ca="1">IFERROR(__xludf.DUMMYFUNCTION("""COMPUTED_VALUE"""),"MN")</f>
        <v>MN</v>
      </c>
      <c r="R1652" s="8"/>
      <c r="S1652" s="8" t="str">
        <f ca="1">IFERROR(__xludf.DUMMYFUNCTION("""COMPUTED_VALUE"""),"School Bus")</f>
        <v>School Bus</v>
      </c>
      <c r="T1652" s="8" t="str">
        <f ca="1">IFERROR(__xludf.DUMMYFUNCTION("""COMPUTED_VALUE"""),"School Bus")</f>
        <v>School Bus</v>
      </c>
      <c r="U1652" s="8" t="str">
        <f ca="1">IFERROR(__xludf.DUMMYFUNCTION("""COMPUTED_VALUE"""),"Yes")</f>
        <v>Yes</v>
      </c>
      <c r="V1652" s="8" t="str">
        <f ca="1">IFERROR(__xludf.DUMMYFUNCTION("""COMPUTED_VALUE"""),"Dismissal")</f>
        <v>Dismissal</v>
      </c>
      <c r="W1652" s="11">
        <f ca="1">IFERROR(__xludf.DUMMYFUNCTION("""COMPUTED_VALUE"""),0.597222222222222)</f>
        <v>0.59722222222222199</v>
      </c>
      <c r="X1652" s="8">
        <f ca="1">IFERROR(__xludf.DUMMYFUNCTION("""COMPUTED_VALUE"""),1)</f>
        <v>1</v>
      </c>
      <c r="Y1652" s="12" t="str">
        <f ca="1">IFERROR(__xludf.DUMMYFUNCTION("""COMPUTED_VALUE"""),"Bus driver shot on school bus during road rage incident")</f>
        <v>Bus driver shot on school bus during road rage incident</v>
      </c>
      <c r="Z1652" s="12" t="str">
        <f ca="1">IFERROR(__xludf.DUMMYFUNCTION("""COMPUTED_VALUE"""),"School bus driver was shot on school bus by other driver involved in a crash. One student was on the bus. Police said it was a road rage incident. Shooter was arrested immediately after the shooting by a nearby police officer.")</f>
        <v>School bus driver was shot on school bus by other driver involved in a crash. One student was on the bus. Police said it was a road rage incident. Shooter was arrested immediately after the shooting by a nearby police officer.</v>
      </c>
      <c r="AA1652" s="8" t="str">
        <f ca="1">IFERROR(__xludf.DUMMYFUNCTION("""COMPUTED_VALUE"""),"Escalation of Dispute")</f>
        <v>Escalation of Dispute</v>
      </c>
      <c r="AB1652" s="8"/>
      <c r="AC1652" s="8" t="str">
        <f ca="1">IFERROR(__xludf.DUMMYFUNCTION("""COMPUTED_VALUE"""),"Yes")</f>
        <v>Yes</v>
      </c>
      <c r="AD1652" s="8" t="str">
        <f ca="1">IFERROR(__xludf.DUMMYFUNCTION("""COMPUTED_VALUE"""),"Victims Targeted")</f>
        <v>Victims Targeted</v>
      </c>
      <c r="AE1652" s="8" t="str">
        <f ca="1">IFERROR(__xludf.DUMMYFUNCTION("""COMPUTED_VALUE"""),"No")</f>
        <v>No</v>
      </c>
      <c r="AF1652" s="8"/>
      <c r="AG1652" s="8" t="str">
        <f ca="1">IFERROR(__xludf.DUMMYFUNCTION("""COMPUTED_VALUE"""),"No")</f>
        <v>No</v>
      </c>
      <c r="AH1652" s="8" t="str">
        <f ca="1">IFERROR(__xludf.DUMMYFUNCTION("""COMPUTED_VALUE"""),"No")</f>
        <v>No</v>
      </c>
      <c r="AI1652" s="8" t="str">
        <f ca="1">IFERROR(__xludf.DUMMYFUNCTION("""COMPUTED_VALUE"""),"No")</f>
        <v>No</v>
      </c>
      <c r="AJ1652" s="8" t="str">
        <f ca="1">IFERROR(__xludf.DUMMYFUNCTION("""COMPUTED_VALUE"""),"No")</f>
        <v>No</v>
      </c>
      <c r="AK1652" s="8" t="str">
        <f ca="1">IFERROR(__xludf.DUMMYFUNCTION("""COMPUTED_VALUE"""),"No")</f>
        <v>No</v>
      </c>
      <c r="AL1652" s="8" t="str">
        <f ca="1">IFERROR(__xludf.DUMMYFUNCTION("""COMPUTED_VALUE"""),"No")</f>
        <v>No</v>
      </c>
      <c r="AM1652" s="8" t="str">
        <f ca="1">IFERROR(__xludf.DUMMYFUNCTION("""COMPUTED_VALUE"""),"No")</f>
        <v>No</v>
      </c>
      <c r="AN1652" s="8"/>
      <c r="AO1652" s="8" t="str">
        <f ca="1">IFERROR(__xludf.DUMMYFUNCTION("""COMPUTED_VALUE"""),"No")</f>
        <v>No</v>
      </c>
      <c r="AP1652" s="8"/>
      <c r="AQ1652" s="8" t="str">
        <f ca="1">IFERROR(__xludf.DUMMYFUNCTION("""COMPUTED_VALUE"""),"Unknown")</f>
        <v>Unknown</v>
      </c>
      <c r="AR1652" s="8" t="str">
        <f ca="1">IFERROR(__xludf.DUMMYFUNCTION("""COMPUTED_VALUE"""),"NA")</f>
        <v>NA</v>
      </c>
      <c r="AS1652" s="8" t="str">
        <f ca="1">IFERROR(__xludf.DUMMYFUNCTION("""COMPUTED_VALUE"""),"&lt;10")</f>
        <v>&lt;10</v>
      </c>
      <c r="AT1652" s="8"/>
      <c r="AU1652" s="8">
        <f ca="1">IFERROR(__xludf.DUMMYFUNCTION("""COMPUTED_VALUE"""),44.955236)</f>
        <v>44.955235999999999</v>
      </c>
      <c r="AV1652" s="8">
        <f ca="1">IFERROR(__xludf.DUMMYFUNCTION("""COMPUTED_VALUE"""),-93.271108)</f>
        <v>-93.271107999999998</v>
      </c>
      <c r="AW1652" s="8"/>
      <c r="AX1652" s="8">
        <f ca="1">IFERROR(__xludf.DUMMYFUNCTION("""COMPUTED_VALUE"""),55408)</f>
        <v>55408</v>
      </c>
    </row>
    <row r="1653" spans="1:50" ht="75" x14ac:dyDescent="0.2">
      <c r="A1653" s="8" t="str">
        <f ca="1">IFERROR(__xludf.DUMMYFUNCTION("""COMPUTED_VALUE"""),"20190131TXATA")</f>
        <v>20190131TXATA</v>
      </c>
      <c r="B1653" s="8">
        <f ca="1">IFERROR(__xludf.DUMMYFUNCTION("""COMPUTED_VALUE"""),1)</f>
        <v>1</v>
      </c>
      <c r="C1653" s="8">
        <f ca="1">IFERROR(__xludf.DUMMYFUNCTION("""COMPUTED_VALUE"""),31)</f>
        <v>31</v>
      </c>
      <c r="D1653" s="8">
        <f ca="1">IFERROR(__xludf.DUMMYFUNCTION("""COMPUTED_VALUE"""),2019)</f>
        <v>2019</v>
      </c>
      <c r="E1653" s="9">
        <f ca="1">IFERROR(__xludf.DUMMYFUNCTION("""COMPUTED_VALUE"""),43496)</f>
        <v>43496</v>
      </c>
      <c r="F1653" s="8" t="str">
        <f ca="1">IFERROR(__xludf.DUMMYFUNCTION("""COMPUTED_VALUE"""),"Atascocita High School")</f>
        <v>Atascocita High School</v>
      </c>
      <c r="G1653" s="8">
        <f ca="1">IFERROR(__xludf.DUMMYFUNCTION("""COMPUTED_VALUE"""),0)</f>
        <v>0</v>
      </c>
      <c r="H1653" s="8">
        <f ca="1">IFERROR(__xludf.DUMMYFUNCTION("""COMPUTED_VALUE"""),1)</f>
        <v>1</v>
      </c>
      <c r="I1653" s="8">
        <f ca="1">IFERROR(__xludf.DUMMYFUNCTION("""COMPUTED_VALUE"""),1)</f>
        <v>1</v>
      </c>
      <c r="J1653" s="8">
        <f ca="1">IFERROR(__xludf.DUMMYFUNCTION("""COMPUTED_VALUE"""),0)</f>
        <v>0</v>
      </c>
      <c r="K1653" s="8" t="str">
        <f ca="1">IFERROR(__xludf.DUMMYFUNCTION("""COMPUTED_VALUE"""),"https://abc13.com/student-wounded-after-shooting-at-atascocita-high-school/5115485/ https://communityimpact.com/houston/education/2019/02/01/sheriff-ed-gonzalez-atascocita-high-school-shooting-was-an-isolated-incident-student-has-been-arrested-charged/")</f>
        <v>https://abc13.com/student-wounded-after-shooting-at-atascocita-high-school/5115485/ https://communityimpact.com/houston/education/2019/02/01/sheriff-ed-gonzalez-atascocita-high-school-shooting-was-an-isolated-incident-student-has-been-arrested-charged/</v>
      </c>
      <c r="L1653" s="8"/>
      <c r="M1653" s="8"/>
      <c r="N1653" s="8">
        <f ca="1">IFERROR(__xludf.DUMMYFUNCTION("""COMPUTED_VALUE"""),4)</f>
        <v>4</v>
      </c>
      <c r="O1653" s="8" t="str">
        <f ca="1">IFERROR(__xludf.DUMMYFUNCTION("""COMPUTED_VALUE"""),"Winter")</f>
        <v>Winter</v>
      </c>
      <c r="P1653" s="8" t="str">
        <f ca="1">IFERROR(__xludf.DUMMYFUNCTION("""COMPUTED_VALUE"""),"Atascocita")</f>
        <v>Atascocita</v>
      </c>
      <c r="Q1653" s="8" t="str">
        <f ca="1">IFERROR(__xludf.DUMMYFUNCTION("""COMPUTED_VALUE"""),"TX")</f>
        <v>TX</v>
      </c>
      <c r="R1653" s="8" t="str">
        <f ca="1">IFERROR(__xludf.DUMMYFUNCTION("""COMPUTED_VALUE"""),"High")</f>
        <v>High</v>
      </c>
      <c r="S1653" s="8" t="str">
        <f ca="1">IFERROR(__xludf.DUMMYFUNCTION("""COMPUTED_VALUE"""),"Parking Lot")</f>
        <v>Parking Lot</v>
      </c>
      <c r="T1653" s="8" t="str">
        <f ca="1">IFERROR(__xludf.DUMMYFUNCTION("""COMPUTED_VALUE"""),"Outside on School Property")</f>
        <v>Outside on School Property</v>
      </c>
      <c r="U1653" s="8" t="str">
        <f ca="1">IFERROR(__xludf.DUMMYFUNCTION("""COMPUTED_VALUE"""),"No")</f>
        <v>No</v>
      </c>
      <c r="V1653" s="8" t="str">
        <f ca="1">IFERROR(__xludf.DUMMYFUNCTION("""COMPUTED_VALUE"""),"Evening")</f>
        <v>Evening</v>
      </c>
      <c r="W1653" s="11">
        <f ca="1">IFERROR(__xludf.DUMMYFUNCTION("""COMPUTED_VALUE"""),0.763888888888888)</f>
        <v>0.76388888888888795</v>
      </c>
      <c r="X1653" s="8">
        <f ca="1">IFERROR(__xludf.DUMMYFUNCTION("""COMPUTED_VALUE"""),1)</f>
        <v>1</v>
      </c>
      <c r="Y1653" s="12" t="str">
        <f ca="1">IFERROR(__xludf.DUMMYFUNCTION("""COMPUTED_VALUE"""),"Student shot by other student during drug deal behind school")</f>
        <v>Student shot by other student during drug deal behind school</v>
      </c>
      <c r="Z1653" s="12" t="str">
        <f ca="1">IFERROR(__xludf.DUMMYFUNCTION("""COMPUTED_VALUE"""),"16YOM student shot 2 other students during a drug deal behind the school cafeteria. Two other students were involved and fled the scene. 80 students were at the school for after school activities at the time of the shooting. School was locked down.")</f>
        <v>16YOM student shot 2 other students during a drug deal behind the school cafeteria. Two other students were involved and fled the scene. 80 students were at the school for after school activities at the time of the shooting. School was locked down.</v>
      </c>
      <c r="AA1653" s="8" t="str">
        <f ca="1">IFERROR(__xludf.DUMMYFUNCTION("""COMPUTED_VALUE"""),"Illegal Activity")</f>
        <v>Illegal Activity</v>
      </c>
      <c r="AB1653" s="8"/>
      <c r="AC1653" s="8" t="str">
        <f ca="1">IFERROR(__xludf.DUMMYFUNCTION("""COMPUTED_VALUE"""),"Yes")</f>
        <v>Yes</v>
      </c>
      <c r="AD1653" s="8" t="str">
        <f ca="1">IFERROR(__xludf.DUMMYFUNCTION("""COMPUTED_VALUE"""),"Victims Targeted")</f>
        <v>Victims Targeted</v>
      </c>
      <c r="AE1653" s="8" t="str">
        <f ca="1">IFERROR(__xludf.DUMMYFUNCTION("""COMPUTED_VALUE"""),"Yes")</f>
        <v>Yes</v>
      </c>
      <c r="AF1653" s="8" t="str">
        <f ca="1">IFERROR(__xludf.DUMMYFUNCTION("""COMPUTED_VALUE"""),"2 students fled in car")</f>
        <v>2 students fled in car</v>
      </c>
      <c r="AG1653" s="8" t="str">
        <f ca="1">IFERROR(__xludf.DUMMYFUNCTION("""COMPUTED_VALUE"""),"No")</f>
        <v>No</v>
      </c>
      <c r="AH1653" s="8" t="str">
        <f ca="1">IFERROR(__xludf.DUMMYFUNCTION("""COMPUTED_VALUE"""),"No")</f>
        <v>No</v>
      </c>
      <c r="AI1653" s="8" t="str">
        <f ca="1">IFERROR(__xludf.DUMMYFUNCTION("""COMPUTED_VALUE"""),"No")</f>
        <v>No</v>
      </c>
      <c r="AJ1653" s="8" t="str">
        <f ca="1">IFERROR(__xludf.DUMMYFUNCTION("""COMPUTED_VALUE"""),"No")</f>
        <v>No</v>
      </c>
      <c r="AK1653" s="8" t="str">
        <f ca="1">IFERROR(__xludf.DUMMYFUNCTION("""COMPUTED_VALUE"""),"No")</f>
        <v>No</v>
      </c>
      <c r="AL1653" s="8" t="str">
        <f ca="1">IFERROR(__xludf.DUMMYFUNCTION("""COMPUTED_VALUE"""),"No")</f>
        <v>No</v>
      </c>
      <c r="AM1653" s="8" t="str">
        <f ca="1">IFERROR(__xludf.DUMMYFUNCTION("""COMPUTED_VALUE"""),"No")</f>
        <v>No</v>
      </c>
      <c r="AN1653" s="8"/>
      <c r="AO1653" s="8" t="str">
        <f ca="1">IFERROR(__xludf.DUMMYFUNCTION("""COMPUTED_VALUE"""),"No")</f>
        <v>No</v>
      </c>
      <c r="AP1653" s="8"/>
      <c r="AQ1653" s="8" t="str">
        <f ca="1">IFERROR(__xludf.DUMMYFUNCTION("""COMPUTED_VALUE"""),"Unknown")</f>
        <v>Unknown</v>
      </c>
      <c r="AR1653" s="8" t="str">
        <f ca="1">IFERROR(__xludf.DUMMYFUNCTION("""COMPUTED_VALUE"""),"NA")</f>
        <v>NA</v>
      </c>
      <c r="AS1653" s="8" t="str">
        <f ca="1">IFERROR(__xludf.DUMMYFUNCTION("""COMPUTED_VALUE"""),"&lt;10")</f>
        <v>&lt;10</v>
      </c>
      <c r="AT1653" s="8" t="str">
        <f ca="1">IFERROR(__xludf.DUMMYFUNCTION("""COMPUTED_VALUE"""),"Yes")</f>
        <v>Yes</v>
      </c>
      <c r="AU1653" s="8">
        <f ca="1">IFERROR(__xludf.DUMMYFUNCTION("""COMPUTED_VALUE"""),29.979645)</f>
        <v>29.979645000000001</v>
      </c>
      <c r="AV1653" s="8">
        <f ca="1">IFERROR(__xludf.DUMMYFUNCTION("""COMPUTED_VALUE"""),-95.168956)</f>
        <v>-95.168955999999994</v>
      </c>
      <c r="AW1653" s="8"/>
      <c r="AX1653" s="8">
        <f ca="1">IFERROR(__xludf.DUMMYFUNCTION("""COMPUTED_VALUE"""),77346)</f>
        <v>77346</v>
      </c>
    </row>
    <row r="1654" spans="1:50" ht="60" x14ac:dyDescent="0.2">
      <c r="A1654" s="8" t="str">
        <f ca="1">IFERROR(__xludf.DUMMYFUNCTION("""COMPUTED_VALUE"""),"20190131TNMAM")</f>
        <v>20190131TNMAM</v>
      </c>
      <c r="B1654" s="8">
        <f ca="1">IFERROR(__xludf.DUMMYFUNCTION("""COMPUTED_VALUE"""),1)</f>
        <v>1</v>
      </c>
      <c r="C1654" s="8">
        <f ca="1">IFERROR(__xludf.DUMMYFUNCTION("""COMPUTED_VALUE"""),31)</f>
        <v>31</v>
      </c>
      <c r="D1654" s="8">
        <f ca="1">IFERROR(__xludf.DUMMYFUNCTION("""COMPUTED_VALUE"""),2019)</f>
        <v>2019</v>
      </c>
      <c r="E1654" s="9">
        <f ca="1">IFERROR(__xludf.DUMMYFUNCTION("""COMPUTED_VALUE"""),43496)</f>
        <v>43496</v>
      </c>
      <c r="F1654" s="8" t="str">
        <f ca="1">IFERROR(__xludf.DUMMYFUNCTION("""COMPUTED_VALUE"""),"Manassas High School")</f>
        <v>Manassas High School</v>
      </c>
      <c r="G1654" s="8">
        <f ca="1">IFERROR(__xludf.DUMMYFUNCTION("""COMPUTED_VALUE"""),0)</f>
        <v>0</v>
      </c>
      <c r="H1654" s="8">
        <f ca="1">IFERROR(__xludf.DUMMYFUNCTION("""COMPUTED_VALUE"""),1)</f>
        <v>1</v>
      </c>
      <c r="I1654" s="8">
        <f ca="1">IFERROR(__xludf.DUMMYFUNCTION("""COMPUTED_VALUE"""),1)</f>
        <v>1</v>
      </c>
      <c r="J1654" s="8">
        <f ca="1">IFERROR(__xludf.DUMMYFUNCTION("""COMPUTED_VALUE"""),0)</f>
        <v>0</v>
      </c>
      <c r="K1654" s="8" t="str">
        <f ca="1">IFERROR(__xludf.DUMMYFUNCTION("""COMPUTED_VALUE"""),"https://www.wmcactionnews5.com/2019/01/31/student-shot-with-pellet-gun-manassas-high-school/ https://wreg.com/2019/01/31/police-14-year-old-rotc-student-shot-with-pellet-gun-at-manassas-high/ https://www.fox13memphis.com/top-stories/14-year-old-hospitaliz"&amp;"ed-after-pellet-gun-shooting-during-rotc-drill-at-memphis-high-school/912749822")</f>
        <v>https://www.wmcactionnews5.com/2019/01/31/student-shot-with-pellet-gun-manassas-high-school/ https://wreg.com/2019/01/31/police-14-year-old-rotc-student-shot-with-pellet-gun-at-manassas-high/ https://www.fox13memphis.com/top-stories/14-year-old-hospitalized-after-pellet-gun-shooting-during-rotc-drill-at-memphis-high-school/912749822</v>
      </c>
      <c r="L1654" s="8"/>
      <c r="M1654" s="8"/>
      <c r="N1654" s="8">
        <f ca="1">IFERROR(__xludf.DUMMYFUNCTION("""COMPUTED_VALUE"""),4)</f>
        <v>4</v>
      </c>
      <c r="O1654" s="8" t="str">
        <f ca="1">IFERROR(__xludf.DUMMYFUNCTION("""COMPUTED_VALUE"""),"Winter")</f>
        <v>Winter</v>
      </c>
      <c r="P1654" s="8" t="str">
        <f ca="1">IFERROR(__xludf.DUMMYFUNCTION("""COMPUTED_VALUE"""),"Memphis")</f>
        <v>Memphis</v>
      </c>
      <c r="Q1654" s="8" t="str">
        <f ca="1">IFERROR(__xludf.DUMMYFUNCTION("""COMPUTED_VALUE"""),"TN")</f>
        <v>TN</v>
      </c>
      <c r="R1654" s="8" t="str">
        <f ca="1">IFERROR(__xludf.DUMMYFUNCTION("""COMPUTED_VALUE"""),"High")</f>
        <v>High</v>
      </c>
      <c r="S1654" s="8" t="str">
        <f ca="1">IFERROR(__xludf.DUMMYFUNCTION("""COMPUTED_VALUE"""),"Outside on School Property")</f>
        <v>Outside on School Property</v>
      </c>
      <c r="T1654" s="8" t="str">
        <f ca="1">IFERROR(__xludf.DUMMYFUNCTION("""COMPUTED_VALUE"""),"Outside on School Property")</f>
        <v>Outside on School Property</v>
      </c>
      <c r="U1654" s="8" t="str">
        <f ca="1">IFERROR(__xludf.DUMMYFUNCTION("""COMPUTED_VALUE"""),"No")</f>
        <v>No</v>
      </c>
      <c r="V1654" s="8" t="str">
        <f ca="1">IFERROR(__xludf.DUMMYFUNCTION("""COMPUTED_VALUE"""),"School Event")</f>
        <v>School Event</v>
      </c>
      <c r="W1654" s="11">
        <f ca="1">IFERROR(__xludf.DUMMYFUNCTION("""COMPUTED_VALUE"""),0.666666666666666)</f>
        <v>0.66666666666666596</v>
      </c>
      <c r="X1654" s="8">
        <f ca="1">IFERROR(__xludf.DUMMYFUNCTION("""COMPUTED_VALUE"""),1)</f>
        <v>1</v>
      </c>
      <c r="Y1654" s="12" t="str">
        <f ca="1">IFERROR(__xludf.DUMMYFUNCTION("""COMPUTED_VALUE"""),"14YOM student shot with pellet gun during ROTC practice")</f>
        <v>14YOM student shot with pellet gun during ROTC practice</v>
      </c>
      <c r="Z1654" s="12" t="str">
        <f ca="1">IFERROR(__xludf.DUMMYFUNCTION("""COMPUTED_VALUE"""),"14YOM was shot with pellet gun during ROTC by unknown shooter. Police were unable to identify the shooter or who brought the pellet gun to the school. Injured student was taken to the hospital.")</f>
        <v>14YOM was shot with pellet gun during ROTC by unknown shooter. Police were unable to identify the shooter or who brought the pellet gun to the school. Injured student was taken to the hospital.</v>
      </c>
      <c r="AA1654" s="8" t="str">
        <f ca="1">IFERROR(__xludf.DUMMYFUNCTION("""COMPUTED_VALUE"""),"Unknown")</f>
        <v>Unknown</v>
      </c>
      <c r="AB1654" s="8"/>
      <c r="AC1654" s="8" t="str">
        <f ca="1">IFERROR(__xludf.DUMMYFUNCTION("""COMPUTED_VALUE"""),"Yes")</f>
        <v>Yes</v>
      </c>
      <c r="AD1654" s="8"/>
      <c r="AE1654" s="8"/>
      <c r="AF1654" s="8"/>
      <c r="AG1654" s="8" t="str">
        <f ca="1">IFERROR(__xludf.DUMMYFUNCTION("""COMPUTED_VALUE"""),"No")</f>
        <v>No</v>
      </c>
      <c r="AH1654" s="8" t="str">
        <f ca="1">IFERROR(__xludf.DUMMYFUNCTION("""COMPUTED_VALUE"""),"No")</f>
        <v>No</v>
      </c>
      <c r="AI1654" s="8" t="str">
        <f ca="1">IFERROR(__xludf.DUMMYFUNCTION("""COMPUTED_VALUE"""),"No")</f>
        <v>No</v>
      </c>
      <c r="AJ1654" s="8" t="str">
        <f ca="1">IFERROR(__xludf.DUMMYFUNCTION("""COMPUTED_VALUE"""),"No")</f>
        <v>No</v>
      </c>
      <c r="AK1654" s="8" t="str">
        <f ca="1">IFERROR(__xludf.DUMMYFUNCTION("""COMPUTED_VALUE"""),"No")</f>
        <v>No</v>
      </c>
      <c r="AL1654" s="8" t="str">
        <f ca="1">IFERROR(__xludf.DUMMYFUNCTION("""COMPUTED_VALUE"""),"No")</f>
        <v>No</v>
      </c>
      <c r="AM1654" s="8" t="str">
        <f ca="1">IFERROR(__xludf.DUMMYFUNCTION("""COMPUTED_VALUE"""),"No")</f>
        <v>No</v>
      </c>
      <c r="AN1654" s="8"/>
      <c r="AO1654" s="8" t="str">
        <f ca="1">IFERROR(__xludf.DUMMYFUNCTION("""COMPUTED_VALUE"""),"No")</f>
        <v>No</v>
      </c>
      <c r="AP1654" s="8"/>
      <c r="AQ1654" s="8" t="str">
        <f ca="1">IFERROR(__xludf.DUMMYFUNCTION("""COMPUTED_VALUE"""),"None")</f>
        <v>None</v>
      </c>
      <c r="AR1654" s="8" t="str">
        <f ca="1">IFERROR(__xludf.DUMMYFUNCTION("""COMPUTED_VALUE"""),"NA")</f>
        <v>NA</v>
      </c>
      <c r="AS1654" s="8"/>
      <c r="AT1654" s="8" t="str">
        <f ca="1">IFERROR(__xludf.DUMMYFUNCTION("""COMPUTED_VALUE"""),"No")</f>
        <v>No</v>
      </c>
      <c r="AU1654" s="8">
        <f ca="1">IFERROR(__xludf.DUMMYFUNCTION("""COMPUTED_VALUE"""),35.170385)</f>
        <v>35.170385000000003</v>
      </c>
      <c r="AV1654" s="8">
        <f ca="1">IFERROR(__xludf.DUMMYFUNCTION("""COMPUTED_VALUE"""),-90.032339)</f>
        <v>-90.032338999999993</v>
      </c>
      <c r="AW1654" s="8"/>
      <c r="AX1654" s="8">
        <f ca="1">IFERROR(__xludf.DUMMYFUNCTION("""COMPUTED_VALUE"""),38107)</f>
        <v>38107</v>
      </c>
    </row>
    <row r="1655" spans="1:50" ht="75" x14ac:dyDescent="0.2">
      <c r="A1655" s="8" t="str">
        <f ca="1">IFERROR(__xludf.DUMMYFUNCTION("""COMPUTED_VALUE"""),"20190130GAMIL")</f>
        <v>20190130GAMIL</v>
      </c>
      <c r="B1655" s="8">
        <f ca="1">IFERROR(__xludf.DUMMYFUNCTION("""COMPUTED_VALUE"""),1)</f>
        <v>1</v>
      </c>
      <c r="C1655" s="8">
        <f ca="1">IFERROR(__xludf.DUMMYFUNCTION("""COMPUTED_VALUE"""),30)</f>
        <v>30</v>
      </c>
      <c r="D1655" s="8">
        <f ca="1">IFERROR(__xludf.DUMMYFUNCTION("""COMPUTED_VALUE"""),2019)</f>
        <v>2019</v>
      </c>
      <c r="E1655" s="9">
        <f ca="1">IFERROR(__xludf.DUMMYFUNCTION("""COMPUTED_VALUE"""),43495)</f>
        <v>43495</v>
      </c>
      <c r="F1655" s="8" t="str">
        <f ca="1">IFERROR(__xludf.DUMMYFUNCTION("""COMPUTED_VALUE"""),"Miller Grove High School")</f>
        <v>Miller Grove High School</v>
      </c>
      <c r="G1655" s="8">
        <f ca="1">IFERROR(__xludf.DUMMYFUNCTION("""COMPUTED_VALUE"""),0)</f>
        <v>0</v>
      </c>
      <c r="H1655" s="8">
        <f ca="1">IFERROR(__xludf.DUMMYFUNCTION("""COMPUTED_VALUE"""),1)</f>
        <v>1</v>
      </c>
      <c r="I1655" s="8">
        <f ca="1">IFERROR(__xludf.DUMMYFUNCTION("""COMPUTED_VALUE"""),1)</f>
        <v>1</v>
      </c>
      <c r="J1655" s="8">
        <f ca="1">IFERROR(__xludf.DUMMYFUNCTION("""COMPUTED_VALUE"""),0)</f>
        <v>0</v>
      </c>
      <c r="K1655" s="8" t="str">
        <f ca="1">IFERROR(__xludf.DUMMYFUNCTION("""COMPUTED_VALUE"""),"https://www.ajc.com/news/crime--law/man-shot-outside-dekalb-high-school-district-says/fk2d8P1PWGKbeiQhT9rqlL/ https://www.wsbtv.com/news/local/dekalb-county/police-searching-for-gunman-who-opened-fire-in-high-school-parking-lot/912736592")</f>
        <v>https://www.ajc.com/news/crime--law/man-shot-outside-dekalb-high-school-district-says/fk2d8P1PWGKbeiQhT9rqlL/ https://www.wsbtv.com/news/local/dekalb-county/police-searching-for-gunman-who-opened-fire-in-high-school-parking-lot/912736592</v>
      </c>
      <c r="L1655" s="8"/>
      <c r="M1655" s="8"/>
      <c r="N1655" s="8">
        <f ca="1">IFERROR(__xludf.DUMMYFUNCTION("""COMPUTED_VALUE"""),3)</f>
        <v>3</v>
      </c>
      <c r="O1655" s="8" t="str">
        <f ca="1">IFERROR(__xludf.DUMMYFUNCTION("""COMPUTED_VALUE"""),"Winter")</f>
        <v>Winter</v>
      </c>
      <c r="P1655" s="8" t="str">
        <f ca="1">IFERROR(__xludf.DUMMYFUNCTION("""COMPUTED_VALUE"""),"Lithonia")</f>
        <v>Lithonia</v>
      </c>
      <c r="Q1655" s="8" t="str">
        <f ca="1">IFERROR(__xludf.DUMMYFUNCTION("""COMPUTED_VALUE"""),"GA")</f>
        <v>GA</v>
      </c>
      <c r="R1655" s="8" t="str">
        <f ca="1">IFERROR(__xludf.DUMMYFUNCTION("""COMPUTED_VALUE"""),"High")</f>
        <v>High</v>
      </c>
      <c r="S1655" s="8" t="str">
        <f ca="1">IFERROR(__xludf.DUMMYFUNCTION("""COMPUTED_VALUE"""),"Parking Lot")</f>
        <v>Parking Lot</v>
      </c>
      <c r="T1655" s="8" t="str">
        <f ca="1">IFERROR(__xludf.DUMMYFUNCTION("""COMPUTED_VALUE"""),"Outside on School Property")</f>
        <v>Outside on School Property</v>
      </c>
      <c r="U1655" s="8" t="str">
        <f ca="1">IFERROR(__xludf.DUMMYFUNCTION("""COMPUTED_VALUE"""),"No")</f>
        <v>No</v>
      </c>
      <c r="V1655" s="8" t="str">
        <f ca="1">IFERROR(__xludf.DUMMYFUNCTION("""COMPUTED_VALUE"""),"Evening")</f>
        <v>Evening</v>
      </c>
      <c r="W1655" s="11">
        <f ca="1">IFERROR(__xludf.DUMMYFUNCTION("""COMPUTED_VALUE"""),0.8125)</f>
        <v>0.8125</v>
      </c>
      <c r="X1655" s="8">
        <f ca="1">IFERROR(__xludf.DUMMYFUNCTION("""COMPUTED_VALUE"""),1)</f>
        <v>1</v>
      </c>
      <c r="Y1655" s="12" t="str">
        <f ca="1">IFERROR(__xludf.DUMMYFUNCTION("""COMPUTED_VALUE"""),"Adult shot while trying to stop man from breaking into his car in school parking lot")</f>
        <v>Adult shot while trying to stop man from breaking into his car in school parking lot</v>
      </c>
      <c r="Z1655" s="12" t="str">
        <f ca="1">IFERROR(__xludf.DUMMYFUNCTION("""COMPUTED_VALUE"""),"Adult male was running on the school track when he saw another man attempting to break into his car. When he attempted to stop the robbery, the man shot him and fled the scene. A basketball game was taking place in the school during the shooting.")</f>
        <v>Adult male was running on the school track when he saw another man attempting to break into his car. When he attempted to stop the robbery, the man shot him and fled the scene. A basketball game was taking place in the school during the shooting.</v>
      </c>
      <c r="AA1655" s="8" t="str">
        <f ca="1">IFERROR(__xludf.DUMMYFUNCTION("""COMPUTED_VALUE"""),"Illegal Activity")</f>
        <v>Illegal Activity</v>
      </c>
      <c r="AB1655" s="8"/>
      <c r="AC1655" s="8" t="str">
        <f ca="1">IFERROR(__xludf.DUMMYFUNCTION("""COMPUTED_VALUE"""),"No")</f>
        <v>No</v>
      </c>
      <c r="AD1655" s="8" t="str">
        <f ca="1">IFERROR(__xludf.DUMMYFUNCTION("""COMPUTED_VALUE"""),"Victims Targeted")</f>
        <v>Victims Targeted</v>
      </c>
      <c r="AE1655" s="8" t="str">
        <f ca="1">IFERROR(__xludf.DUMMYFUNCTION("""COMPUTED_VALUE"""),"No")</f>
        <v>No</v>
      </c>
      <c r="AF1655" s="8"/>
      <c r="AG1655" s="8" t="str">
        <f ca="1">IFERROR(__xludf.DUMMYFUNCTION("""COMPUTED_VALUE"""),"No")</f>
        <v>No</v>
      </c>
      <c r="AH1655" s="8" t="str">
        <f ca="1">IFERROR(__xludf.DUMMYFUNCTION("""COMPUTED_VALUE"""),"No")</f>
        <v>No</v>
      </c>
      <c r="AI1655" s="8" t="str">
        <f ca="1">IFERROR(__xludf.DUMMYFUNCTION("""COMPUTED_VALUE"""),"No")</f>
        <v>No</v>
      </c>
      <c r="AJ1655" s="8" t="str">
        <f ca="1">IFERROR(__xludf.DUMMYFUNCTION("""COMPUTED_VALUE"""),"No")</f>
        <v>No</v>
      </c>
      <c r="AK1655" s="8" t="str">
        <f ca="1">IFERROR(__xludf.DUMMYFUNCTION("""COMPUTED_VALUE"""),"No")</f>
        <v>No</v>
      </c>
      <c r="AL1655" s="8" t="str">
        <f ca="1">IFERROR(__xludf.DUMMYFUNCTION("""COMPUTED_VALUE"""),"No")</f>
        <v>No</v>
      </c>
      <c r="AM1655" s="8" t="str">
        <f ca="1">IFERROR(__xludf.DUMMYFUNCTION("""COMPUTED_VALUE"""),"No")</f>
        <v>No</v>
      </c>
      <c r="AN1655" s="8"/>
      <c r="AO1655" s="8" t="str">
        <f ca="1">IFERROR(__xludf.DUMMYFUNCTION("""COMPUTED_VALUE"""),"No")</f>
        <v>No</v>
      </c>
      <c r="AP1655" s="8"/>
      <c r="AQ1655" s="8" t="str">
        <f ca="1">IFERROR(__xludf.DUMMYFUNCTION("""COMPUTED_VALUE"""),"Unknown")</f>
        <v>Unknown</v>
      </c>
      <c r="AR1655" s="8" t="str">
        <f ca="1">IFERROR(__xludf.DUMMYFUNCTION("""COMPUTED_VALUE"""),"NA")</f>
        <v>NA</v>
      </c>
      <c r="AS1655" s="8">
        <f ca="1">IFERROR(__xludf.DUMMYFUNCTION("""COMPUTED_VALUE"""),1)</f>
        <v>1</v>
      </c>
      <c r="AT1655" s="8"/>
      <c r="AU1655" s="8">
        <f ca="1">IFERROR(__xludf.DUMMYFUNCTION("""COMPUTED_VALUE"""),33.708751)</f>
        <v>33.708750999999999</v>
      </c>
      <c r="AV1655" s="8">
        <f ca="1">IFERROR(__xludf.DUMMYFUNCTION("""COMPUTED_VALUE"""),-84.148433)</f>
        <v>-84.148432999999997</v>
      </c>
      <c r="AW1655" s="8"/>
      <c r="AX1655" s="8">
        <f ca="1">IFERROR(__xludf.DUMMYFUNCTION("""COMPUTED_VALUE"""),30058)</f>
        <v>30058</v>
      </c>
    </row>
    <row r="1656" spans="1:50" ht="120" x14ac:dyDescent="0.2">
      <c r="A1656" s="8" t="str">
        <f ca="1">IFERROR(__xludf.DUMMYFUNCTION("""COMPUTED_VALUE"""),"20190127NVRER")</f>
        <v>20190127NVRER</v>
      </c>
      <c r="B1656" s="8">
        <f ca="1">IFERROR(__xludf.DUMMYFUNCTION("""COMPUTED_VALUE"""),1)</f>
        <v>1</v>
      </c>
      <c r="C1656" s="8">
        <f ca="1">IFERROR(__xludf.DUMMYFUNCTION("""COMPUTED_VALUE"""),27)</f>
        <v>27</v>
      </c>
      <c r="D1656" s="8">
        <f ca="1">IFERROR(__xludf.DUMMYFUNCTION("""COMPUTED_VALUE"""),2019)</f>
        <v>2019</v>
      </c>
      <c r="E1656" s="9">
        <f ca="1">IFERROR(__xludf.DUMMYFUNCTION("""COMPUTED_VALUE"""),43492)</f>
        <v>43492</v>
      </c>
      <c r="F1656" s="8" t="str">
        <f ca="1">IFERROR(__xludf.DUMMYFUNCTION("""COMPUTED_VALUE"""),"Reno High School")</f>
        <v>Reno High School</v>
      </c>
      <c r="G1656" s="8">
        <f ca="1">IFERROR(__xludf.DUMMYFUNCTION("""COMPUTED_VALUE"""),0)</f>
        <v>0</v>
      </c>
      <c r="H1656" s="8">
        <f ca="1">IFERROR(__xludf.DUMMYFUNCTION("""COMPUTED_VALUE"""),0)</f>
        <v>0</v>
      </c>
      <c r="I1656" s="8">
        <f ca="1">IFERROR(__xludf.DUMMYFUNCTION("""COMPUTED_VALUE"""),0)</f>
        <v>0</v>
      </c>
      <c r="J1656" s="8">
        <f ca="1">IFERROR(__xludf.DUMMYFUNCTION("""COMPUTED_VALUE"""),0)</f>
        <v>0</v>
      </c>
      <c r="K1656" s="10" t="str">
        <f ca="1">IFERROR(__xludf.DUMMYFUNCTION("""COMPUTED_VALUE"""),"https://mynews4.com/news/local/2019-shooting-of-man-near-reno-high-school-by-reno-police-ruled-justified-by-washoe-da")</f>
        <v>https://mynews4.com/news/local/2019-shooting-of-man-near-reno-high-school-by-reno-police-ruled-justified-by-washoe-da</v>
      </c>
      <c r="L1656" s="8">
        <f ca="1">IFERROR(__xludf.DUMMYFUNCTION("""COMPUTED_VALUE"""),1)</f>
        <v>1</v>
      </c>
      <c r="M1656" s="8" t="str">
        <f ca="1">IFERROR(__xludf.DUMMYFUNCTION("""COMPUTED_VALUE"""),"Local")</f>
        <v>Local</v>
      </c>
      <c r="N1656" s="8">
        <f ca="1">IFERROR(__xludf.DUMMYFUNCTION("""COMPUTED_VALUE"""),5)</f>
        <v>5</v>
      </c>
      <c r="O1656" s="8" t="str">
        <f ca="1">IFERROR(__xludf.DUMMYFUNCTION("""COMPUTED_VALUE"""),"Winter")</f>
        <v>Winter</v>
      </c>
      <c r="P1656" s="8" t="str">
        <f ca="1">IFERROR(__xludf.DUMMYFUNCTION("""COMPUTED_VALUE"""),"Reno")</f>
        <v>Reno</v>
      </c>
      <c r="Q1656" s="8" t="str">
        <f ca="1">IFERROR(__xludf.DUMMYFUNCTION("""COMPUTED_VALUE"""),"NV")</f>
        <v>NV</v>
      </c>
      <c r="R1656" s="8" t="str">
        <f ca="1">IFERROR(__xludf.DUMMYFUNCTION("""COMPUTED_VALUE"""),"High")</f>
        <v>High</v>
      </c>
      <c r="S1656" s="8" t="str">
        <f ca="1">IFERROR(__xludf.DUMMYFUNCTION("""COMPUTED_VALUE"""),"Front of School")</f>
        <v>Front of School</v>
      </c>
      <c r="T1656" s="8" t="str">
        <f ca="1">IFERROR(__xludf.DUMMYFUNCTION("""COMPUTED_VALUE"""),"Outside on School Property")</f>
        <v>Outside on School Property</v>
      </c>
      <c r="U1656" s="8" t="str">
        <f ca="1">IFERROR(__xludf.DUMMYFUNCTION("""COMPUTED_VALUE"""),"No")</f>
        <v>No</v>
      </c>
      <c r="V1656" s="8" t="str">
        <f ca="1">IFERROR(__xludf.DUMMYFUNCTION("""COMPUTED_VALUE"""),"Night")</f>
        <v>Night</v>
      </c>
      <c r="W1656" s="11">
        <f ca="1">IFERROR(__xludf.DUMMYFUNCTION("""COMPUTED_VALUE"""),0.944444444444444)</f>
        <v>0.94444444444444398</v>
      </c>
      <c r="X1656" s="8">
        <f ca="1">IFERROR(__xludf.DUMMYFUNCTION("""COMPUTED_VALUE"""),1)</f>
        <v>1</v>
      </c>
      <c r="Y1656" s="12" t="str">
        <f ca="1">IFERROR(__xludf.DUMMYFUNCTION("""COMPUTED_VALUE"""),"After pursuit, man pointed gun at officers in front of the school and was shot by police")</f>
        <v>After pursuit, man pointed gun at officers in front of the school and was shot by police</v>
      </c>
      <c r="Z1656" s="12" t="str">
        <f ca="1">IFERROR(__xludf.DUMMYFUNCTION("""COMPUTED_VALUE"""),"After a vehicle pursuit, a 35 year-old man crashed a stolen vehicle near the school, ran across the school parking lot, and fell in a grassy area in front of the school. When approached by a police officer, he pointed a handgun and was shot multiple by th"&amp;"e officer (justified shooting). The man had 9 prior felony convictions and said he didn't want to go back to jail when he pointed the gun at the officer. Charged and guilty of three new felonies.")</f>
        <v>After a vehicle pursuit, a 35 year-old man crashed a stolen vehicle near the school, ran across the school parking lot, and fell in a grassy area in front of the school. When approached by a police officer, he pointed a handgun and was shot multiple by the officer (justified shooting). The man had 9 prior felony convictions and said he didn't want to go back to jail when he pointed the gun at the officer. Charged and guilty of three new felonies.</v>
      </c>
      <c r="AA1656" s="8" t="str">
        <f ca="1">IFERROR(__xludf.DUMMYFUNCTION("""COMPUTED_VALUE"""),"Illegal Activity")</f>
        <v>Illegal Activity</v>
      </c>
      <c r="AB1656" s="8"/>
      <c r="AC1656" s="8" t="str">
        <f ca="1">IFERROR(__xludf.DUMMYFUNCTION("""COMPUTED_VALUE"""),"No")</f>
        <v>No</v>
      </c>
      <c r="AD1656" s="8" t="str">
        <f ca="1">IFERROR(__xludf.DUMMYFUNCTION("""COMPUTED_VALUE"""),"Neither")</f>
        <v>Neither</v>
      </c>
      <c r="AE1656" s="8" t="str">
        <f ca="1">IFERROR(__xludf.DUMMYFUNCTION("""COMPUTED_VALUE"""),"No")</f>
        <v>No</v>
      </c>
      <c r="AF1656" s="8"/>
      <c r="AG1656" s="8" t="str">
        <f ca="1">IFERROR(__xludf.DUMMYFUNCTION("""COMPUTED_VALUE"""),"No")</f>
        <v>No</v>
      </c>
      <c r="AH1656" s="8" t="str">
        <f ca="1">IFERROR(__xludf.DUMMYFUNCTION("""COMPUTED_VALUE"""),"No")</f>
        <v>No</v>
      </c>
      <c r="AI1656" s="8" t="str">
        <f ca="1">IFERROR(__xludf.DUMMYFUNCTION("""COMPUTED_VALUE"""),"Yes")</f>
        <v>Yes</v>
      </c>
      <c r="AJ1656" s="8" t="str">
        <f ca="1">IFERROR(__xludf.DUMMYFUNCTION("""COMPUTED_VALUE"""),"No")</f>
        <v>No</v>
      </c>
      <c r="AK1656" s="8" t="str">
        <f ca="1">IFERROR(__xludf.DUMMYFUNCTION("""COMPUTED_VALUE"""),"No")</f>
        <v>No</v>
      </c>
      <c r="AL1656" s="8" t="str">
        <f ca="1">IFERROR(__xludf.DUMMYFUNCTION("""COMPUTED_VALUE"""),"No")</f>
        <v>No</v>
      </c>
      <c r="AM1656" s="8" t="str">
        <f ca="1">IFERROR(__xludf.DUMMYFUNCTION("""COMPUTED_VALUE"""),"No")</f>
        <v>No</v>
      </c>
      <c r="AN1656" s="8"/>
      <c r="AO1656" s="8" t="str">
        <f ca="1">IFERROR(__xludf.DUMMYFUNCTION("""COMPUTED_VALUE"""),"No")</f>
        <v>No</v>
      </c>
      <c r="AP1656" s="8"/>
      <c r="AQ1656" s="8"/>
      <c r="AR1656" s="8" t="str">
        <f ca="1">IFERROR(__xludf.DUMMYFUNCTION("""COMPUTED_VALUE"""),"Outside/Off-Property")</f>
        <v>Outside/Off-Property</v>
      </c>
      <c r="AS1656" s="8">
        <f ca="1">IFERROR(__xludf.DUMMYFUNCTION("""COMPUTED_VALUE"""),0)</f>
        <v>0</v>
      </c>
      <c r="AT1656" s="8"/>
      <c r="AU1656" s="8">
        <f ca="1">IFERROR(__xludf.DUMMYFUNCTION("""COMPUTED_VALUE"""),39.51755)</f>
        <v>39.51755</v>
      </c>
      <c r="AV1656" s="8">
        <f ca="1">IFERROR(__xludf.DUMMYFUNCTION("""COMPUTED_VALUE"""),-119.827903)</f>
        <v>-119.82790300000001</v>
      </c>
      <c r="AW1656" s="8"/>
      <c r="AX1656" s="8">
        <f ca="1">IFERROR(__xludf.DUMMYFUNCTION("""COMPUTED_VALUE"""),89509)</f>
        <v>89509</v>
      </c>
    </row>
    <row r="1657" spans="1:50" ht="105" x14ac:dyDescent="0.2">
      <c r="A1657" s="8" t="str">
        <f ca="1">IFERROR(__xludf.DUMMYFUNCTION("""COMPUTED_VALUE"""),"20190125TNMAM")</f>
        <v>20190125TNMAM</v>
      </c>
      <c r="B1657" s="8">
        <f ca="1">IFERROR(__xludf.DUMMYFUNCTION("""COMPUTED_VALUE"""),1)</f>
        <v>1</v>
      </c>
      <c r="C1657" s="8">
        <f ca="1">IFERROR(__xludf.DUMMYFUNCTION("""COMPUTED_VALUE"""),25)</f>
        <v>25</v>
      </c>
      <c r="D1657" s="8">
        <f ca="1">IFERROR(__xludf.DUMMYFUNCTION("""COMPUTED_VALUE"""),2019)</f>
        <v>2019</v>
      </c>
      <c r="E1657" s="9">
        <f ca="1">IFERROR(__xludf.DUMMYFUNCTION("""COMPUTED_VALUE"""),43490)</f>
        <v>43490</v>
      </c>
      <c r="F1657" s="8" t="str">
        <f ca="1">IFERROR(__xludf.DUMMYFUNCTION("""COMPUTED_VALUE"""),"Manassas High School")</f>
        <v>Manassas High School</v>
      </c>
      <c r="G1657" s="8">
        <f ca="1">IFERROR(__xludf.DUMMYFUNCTION("""COMPUTED_VALUE"""),0)</f>
        <v>0</v>
      </c>
      <c r="H1657" s="8">
        <f ca="1">IFERROR(__xludf.DUMMYFUNCTION("""COMPUTED_VALUE"""),0)</f>
        <v>0</v>
      </c>
      <c r="I1657" s="8">
        <f ca="1">IFERROR(__xludf.DUMMYFUNCTION("""COMPUTED_VALUE"""),0)</f>
        <v>0</v>
      </c>
      <c r="J1657" s="8">
        <f ca="1">IFERROR(__xludf.DUMMYFUNCTION("""COMPUTED_VALUE"""),0)</f>
        <v>0</v>
      </c>
      <c r="K1657" s="8" t="str">
        <f ca="1">IFERROR(__xludf.DUMMYFUNCTION("""COMPUTED_VALUE"""),"http://www.wmcactionnews5.com/2019/01/26/teens-arrested-charged-major-crime-spree-involving-carjacking-high-school-bus-shooting/ http://www.wmcactionnews5.com/2019/01/25/shots-fired-front-manassas-high-school/")</f>
        <v>http://www.wmcactionnews5.com/2019/01/26/teens-arrested-charged-major-crime-spree-involving-carjacking-high-school-bus-shooting/ http://www.wmcactionnews5.com/2019/01/25/shots-fired-front-manassas-high-school/</v>
      </c>
      <c r="L1657" s="8"/>
      <c r="M1657" s="8"/>
      <c r="N1657" s="8">
        <f ca="1">IFERROR(__xludf.DUMMYFUNCTION("""COMPUTED_VALUE"""),3)</f>
        <v>3</v>
      </c>
      <c r="O1657" s="8" t="str">
        <f ca="1">IFERROR(__xludf.DUMMYFUNCTION("""COMPUTED_VALUE"""),"Winter")</f>
        <v>Winter</v>
      </c>
      <c r="P1657" s="8" t="str">
        <f ca="1">IFERROR(__xludf.DUMMYFUNCTION("""COMPUTED_VALUE"""),"Memphis")</f>
        <v>Memphis</v>
      </c>
      <c r="Q1657" s="8" t="str">
        <f ca="1">IFERROR(__xludf.DUMMYFUNCTION("""COMPUTED_VALUE"""),"TN")</f>
        <v>TN</v>
      </c>
      <c r="R1657" s="8" t="str">
        <f ca="1">IFERROR(__xludf.DUMMYFUNCTION("""COMPUTED_VALUE"""),"High")</f>
        <v>High</v>
      </c>
      <c r="S1657" s="8" t="str">
        <f ca="1">IFERROR(__xludf.DUMMYFUNCTION("""COMPUTED_VALUE"""),"Front of School")</f>
        <v>Front of School</v>
      </c>
      <c r="T1657" s="8" t="str">
        <f ca="1">IFERROR(__xludf.DUMMYFUNCTION("""COMPUTED_VALUE"""),"Outside on School Property")</f>
        <v>Outside on School Property</v>
      </c>
      <c r="U1657" s="8" t="str">
        <f ca="1">IFERROR(__xludf.DUMMYFUNCTION("""COMPUTED_VALUE"""),"Yes")</f>
        <v>Yes</v>
      </c>
      <c r="V1657" s="8" t="str">
        <f ca="1">IFERROR(__xludf.DUMMYFUNCTION("""COMPUTED_VALUE"""),"School Start")</f>
        <v>School Start</v>
      </c>
      <c r="W1657" s="11">
        <f ca="1">IFERROR(__xludf.DUMMYFUNCTION("""COMPUTED_VALUE"""),0.350694444444444)</f>
        <v>0.35069444444444398</v>
      </c>
      <c r="X1657" s="8">
        <f ca="1">IFERROR(__xludf.DUMMYFUNCTION("""COMPUTED_VALUE"""),1)</f>
        <v>1</v>
      </c>
      <c r="Y1657" s="12" t="str">
        <f ca="1">IFERROR(__xludf.DUMMYFUNCTION("""COMPUTED_VALUE"""),"Shots fired at bus in school parking lot by 5 teens in stolen car.")</f>
        <v>Shots fired at bus in school parking lot by 5 teens in stolen car.</v>
      </c>
      <c r="Z1657" s="12" t="str">
        <f ca="1">IFERROR(__xludf.DUMMYFUNCTION("""COMPUTED_VALUE"""),"Shot were fired breaking windows of a school bus in the school parking lot at the start of the school day. School was locked down. Shot were fired by 5 teens in a stolen car. Teens were also involved in carjacking, fired at bystander, and firing at police"&amp;" officer. Two realistic BB guns were recovered from vehicle. Four teens were arrested, one was charged with prior homicide.")</f>
        <v>Shot were fired breaking windows of a school bus in the school parking lot at the start of the school day. School was locked down. Shot were fired by 5 teens in a stolen car. Teens were also involved in carjacking, fired at bystander, and firing at police officer. Two realistic BB guns were recovered from vehicle. Four teens were arrested, one was charged with prior homicide.</v>
      </c>
      <c r="AA1657" s="8" t="str">
        <f ca="1">IFERROR(__xludf.DUMMYFUNCTION("""COMPUTED_VALUE"""),"Drive-by Shooting")</f>
        <v>Drive-by Shooting</v>
      </c>
      <c r="AB1657" s="8"/>
      <c r="AC1657" s="8" t="str">
        <f ca="1">IFERROR(__xludf.DUMMYFUNCTION("""COMPUTED_VALUE"""),"Yes")</f>
        <v>Yes</v>
      </c>
      <c r="AD1657" s="8"/>
      <c r="AE1657" s="8" t="str">
        <f ca="1">IFERROR(__xludf.DUMMYFUNCTION("""COMPUTED_VALUE"""),"Yes")</f>
        <v>Yes</v>
      </c>
      <c r="AF1657" s="8" t="str">
        <f ca="1">IFERROR(__xludf.DUMMYFUNCTION("""COMPUTED_VALUE"""),"5 teens in car during shooting, 2 guns recovered")</f>
        <v>5 teens in car during shooting, 2 guns recovered</v>
      </c>
      <c r="AG1657" s="8" t="str">
        <f ca="1">IFERROR(__xludf.DUMMYFUNCTION("""COMPUTED_VALUE"""),"No")</f>
        <v>No</v>
      </c>
      <c r="AH1657" s="8" t="str">
        <f ca="1">IFERROR(__xludf.DUMMYFUNCTION("""COMPUTED_VALUE"""),"No")</f>
        <v>No</v>
      </c>
      <c r="AI1657" s="8" t="str">
        <f ca="1">IFERROR(__xludf.DUMMYFUNCTION("""COMPUTED_VALUE"""),"No")</f>
        <v>No</v>
      </c>
      <c r="AJ1657" s="8" t="str">
        <f ca="1">IFERROR(__xludf.DUMMYFUNCTION("""COMPUTED_VALUE"""),"No")</f>
        <v>No</v>
      </c>
      <c r="AK1657" s="8" t="str">
        <f ca="1">IFERROR(__xludf.DUMMYFUNCTION("""COMPUTED_VALUE"""),"No")</f>
        <v>No</v>
      </c>
      <c r="AL1657" s="8"/>
      <c r="AM1657" s="8" t="str">
        <f ca="1">IFERROR(__xludf.DUMMYFUNCTION("""COMPUTED_VALUE"""),"No")</f>
        <v>No</v>
      </c>
      <c r="AN1657" s="8"/>
      <c r="AO1657" s="8" t="str">
        <f ca="1">IFERROR(__xludf.DUMMYFUNCTION("""COMPUTED_VALUE"""),"No")</f>
        <v>No</v>
      </c>
      <c r="AP1657" s="8"/>
      <c r="AQ1657" s="8" t="str">
        <f ca="1">IFERROR(__xludf.DUMMYFUNCTION("""COMPUTED_VALUE"""),"Unknown")</f>
        <v>Unknown</v>
      </c>
      <c r="AR1657" s="8" t="str">
        <f ca="1">IFERROR(__xludf.DUMMYFUNCTION("""COMPUTED_VALUE"""),"NA")</f>
        <v>NA</v>
      </c>
      <c r="AS1657" s="8" t="str">
        <f ca="1">IFERROR(__xludf.DUMMYFUNCTION("""COMPUTED_VALUE"""),"&lt;10")</f>
        <v>&lt;10</v>
      </c>
      <c r="AT1657" s="8" t="str">
        <f ca="1">IFERROR(__xludf.DUMMYFUNCTION("""COMPUTED_VALUE"""),"Yes")</f>
        <v>Yes</v>
      </c>
      <c r="AU1657" s="8">
        <f ca="1">IFERROR(__xludf.DUMMYFUNCTION("""COMPUTED_VALUE"""),35.170789)</f>
        <v>35.170788999999999</v>
      </c>
      <c r="AV1657" s="8">
        <f ca="1">IFERROR(__xludf.DUMMYFUNCTION("""COMPUTED_VALUE"""),-90.032875)</f>
        <v>-90.032875000000004</v>
      </c>
      <c r="AW1657" s="8"/>
      <c r="AX1657" s="8">
        <f ca="1">IFERROR(__xludf.DUMMYFUNCTION("""COMPUTED_VALUE"""),38107)</f>
        <v>38107</v>
      </c>
    </row>
    <row r="1658" spans="1:50" ht="60" x14ac:dyDescent="0.2">
      <c r="A1658" s="8" t="str">
        <f ca="1">IFERROR(__xludf.DUMMYFUNCTION("""COMPUTED_VALUE"""),"20190125ALDAM")</f>
        <v>20190125ALDAM</v>
      </c>
      <c r="B1658" s="8">
        <f ca="1">IFERROR(__xludf.DUMMYFUNCTION("""COMPUTED_VALUE"""),1)</f>
        <v>1</v>
      </c>
      <c r="C1658" s="8">
        <f ca="1">IFERROR(__xludf.DUMMYFUNCTION("""COMPUTED_VALUE"""),25)</f>
        <v>25</v>
      </c>
      <c r="D1658" s="8">
        <f ca="1">IFERROR(__xludf.DUMMYFUNCTION("""COMPUTED_VALUE"""),2019)</f>
        <v>2019</v>
      </c>
      <c r="E1658" s="9">
        <f ca="1">IFERROR(__xludf.DUMMYFUNCTION("""COMPUTED_VALUE"""),43490)</f>
        <v>43490</v>
      </c>
      <c r="F1658" s="8" t="str">
        <f ca="1">IFERROR(__xludf.DUMMYFUNCTION("""COMPUTED_VALUE"""),"Davidson High School")</f>
        <v>Davidson High School</v>
      </c>
      <c r="G1658" s="8">
        <f ca="1">IFERROR(__xludf.DUMMYFUNCTION("""COMPUTED_VALUE"""),0)</f>
        <v>0</v>
      </c>
      <c r="H1658" s="8">
        <f ca="1">IFERROR(__xludf.DUMMYFUNCTION("""COMPUTED_VALUE"""),2)</f>
        <v>2</v>
      </c>
      <c r="I1658" s="8">
        <f ca="1">IFERROR(__xludf.DUMMYFUNCTION("""COMPUTED_VALUE"""),2)</f>
        <v>2</v>
      </c>
      <c r="J1658" s="8">
        <f ca="1">IFERROR(__xludf.DUMMYFUNCTION("""COMPUTED_VALUE"""),0)</f>
        <v>0</v>
      </c>
      <c r="K1658" s="8" t="str">
        <f ca="1">IFERROR(__xludf.DUMMYFUNCTION("""COMPUTED_VALUE"""),"https://www.al.com/crime/2019/01/davidson-high-school-shooting-suspect-remains-at-large.html https://www.al.com/news/2019/01/2-shot-at-high-school-in-mobile.html")</f>
        <v>https://www.al.com/crime/2019/01/davidson-high-school-shooting-suspect-remains-at-large.html https://www.al.com/news/2019/01/2-shot-at-high-school-in-mobile.html</v>
      </c>
      <c r="L1658" s="8"/>
      <c r="M1658" s="8"/>
      <c r="N1658" s="8">
        <f ca="1">IFERROR(__xludf.DUMMYFUNCTION("""COMPUTED_VALUE"""),3)</f>
        <v>3</v>
      </c>
      <c r="O1658" s="8" t="str">
        <f ca="1">IFERROR(__xludf.DUMMYFUNCTION("""COMPUTED_VALUE"""),"Winter")</f>
        <v>Winter</v>
      </c>
      <c r="P1658" s="8" t="str">
        <f ca="1">IFERROR(__xludf.DUMMYFUNCTION("""COMPUTED_VALUE"""),"Mobile")</f>
        <v>Mobile</v>
      </c>
      <c r="Q1658" s="8" t="str">
        <f ca="1">IFERROR(__xludf.DUMMYFUNCTION("""COMPUTED_VALUE"""),"AL")</f>
        <v>AL</v>
      </c>
      <c r="R1658" s="8" t="str">
        <f ca="1">IFERROR(__xludf.DUMMYFUNCTION("""COMPUTED_VALUE"""),"High")</f>
        <v>High</v>
      </c>
      <c r="S1658" s="8" t="str">
        <f ca="1">IFERROR(__xludf.DUMMYFUNCTION("""COMPUTED_VALUE"""),"Parking Lot")</f>
        <v>Parking Lot</v>
      </c>
      <c r="T1658" s="8" t="str">
        <f ca="1">IFERROR(__xludf.DUMMYFUNCTION("""COMPUTED_VALUE"""),"Outside on School Property")</f>
        <v>Outside on School Property</v>
      </c>
      <c r="U1658" s="8" t="str">
        <f ca="1">IFERROR(__xludf.DUMMYFUNCTION("""COMPUTED_VALUE"""),"No")</f>
        <v>No</v>
      </c>
      <c r="V1658" s="8" t="str">
        <f ca="1">IFERROR(__xludf.DUMMYFUNCTION("""COMPUTED_VALUE"""),"Sport Event")</f>
        <v>Sport Event</v>
      </c>
      <c r="W1658" s="11">
        <f ca="1">IFERROR(__xludf.DUMMYFUNCTION("""COMPUTED_VALUE"""),0.875)</f>
        <v>0.875</v>
      </c>
      <c r="X1658" s="8">
        <f ca="1">IFERROR(__xludf.DUMMYFUNCTION("""COMPUTED_VALUE"""),1)</f>
        <v>1</v>
      </c>
      <c r="Y1658" s="12" t="str">
        <f ca="1">IFERROR(__xludf.DUMMYFUNCTION("""COMPUTED_VALUE"""),"2 shot during altercation outside of basketball game, shooter fled")</f>
        <v>2 shot during altercation outside of basketball game, shooter fled</v>
      </c>
      <c r="Z1658" s="12" t="str">
        <f ca="1">IFERROR(__xludf.DUMMYFUNCTION("""COMPUTED_VALUE"""),"17YOM and 20YOM shot during dispute in the school parking lot during a basketball game. Police said one was not a student and did not identify the other victim. Shooter fled the scene.")</f>
        <v>17YOM and 20YOM shot during dispute in the school parking lot during a basketball game. Police said one was not a student and did not identify the other victim. Shooter fled the scene.</v>
      </c>
      <c r="AA1658" s="8" t="str">
        <f ca="1">IFERROR(__xludf.DUMMYFUNCTION("""COMPUTED_VALUE"""),"Escalation of Dispute")</f>
        <v>Escalation of Dispute</v>
      </c>
      <c r="AB1658" s="8"/>
      <c r="AC1658" s="8" t="str">
        <f ca="1">IFERROR(__xludf.DUMMYFUNCTION("""COMPUTED_VALUE"""),"Yes")</f>
        <v>Yes</v>
      </c>
      <c r="AD1658" s="8"/>
      <c r="AE1658" s="8" t="str">
        <f ca="1">IFERROR(__xludf.DUMMYFUNCTION("""COMPUTED_VALUE"""),"Yes")</f>
        <v>Yes</v>
      </c>
      <c r="AF1658" s="8" t="str">
        <f ca="1">IFERROR(__xludf.DUMMYFUNCTION("""COMPUTED_VALUE"""),"Mother also charged")</f>
        <v>Mother also charged</v>
      </c>
      <c r="AG1658" s="8" t="str">
        <f ca="1">IFERROR(__xludf.DUMMYFUNCTION("""COMPUTED_VALUE"""),"No")</f>
        <v>No</v>
      </c>
      <c r="AH1658" s="8" t="str">
        <f ca="1">IFERROR(__xludf.DUMMYFUNCTION("""COMPUTED_VALUE"""),"No")</f>
        <v>No</v>
      </c>
      <c r="AI1658" s="8" t="str">
        <f ca="1">IFERROR(__xludf.DUMMYFUNCTION("""COMPUTED_VALUE"""),"No")</f>
        <v>No</v>
      </c>
      <c r="AJ1658" s="8" t="str">
        <f ca="1">IFERROR(__xludf.DUMMYFUNCTION("""COMPUTED_VALUE"""),"No")</f>
        <v>No</v>
      </c>
      <c r="AK1658" s="8" t="str">
        <f ca="1">IFERROR(__xludf.DUMMYFUNCTION("""COMPUTED_VALUE"""),"No")</f>
        <v>No</v>
      </c>
      <c r="AL1658" s="8" t="str">
        <f ca="1">IFERROR(__xludf.DUMMYFUNCTION("""COMPUTED_VALUE"""),"No")</f>
        <v>No</v>
      </c>
      <c r="AM1658" s="8" t="str">
        <f ca="1">IFERROR(__xludf.DUMMYFUNCTION("""COMPUTED_VALUE"""),"No")</f>
        <v>No</v>
      </c>
      <c r="AN1658" s="8"/>
      <c r="AO1658" s="8" t="str">
        <f ca="1">IFERROR(__xludf.DUMMYFUNCTION("""COMPUTED_VALUE"""),"No")</f>
        <v>No</v>
      </c>
      <c r="AP1658" s="8"/>
      <c r="AQ1658" s="8" t="str">
        <f ca="1">IFERROR(__xludf.DUMMYFUNCTION("""COMPUTED_VALUE"""),"None")</f>
        <v>None</v>
      </c>
      <c r="AR1658" s="8" t="str">
        <f ca="1">IFERROR(__xludf.DUMMYFUNCTION("""COMPUTED_VALUE"""),"NA")</f>
        <v>NA</v>
      </c>
      <c r="AS1658" s="8" t="str">
        <f ca="1">IFERROR(__xludf.DUMMYFUNCTION("""COMPUTED_VALUE"""),"&lt;10")</f>
        <v>&lt;10</v>
      </c>
      <c r="AT1658" s="8" t="str">
        <f ca="1">IFERROR(__xludf.DUMMYFUNCTION("""COMPUTED_VALUE"""),"No")</f>
        <v>No</v>
      </c>
      <c r="AU1658" s="8">
        <f ca="1">IFERROR(__xludf.DUMMYFUNCTION("""COMPUTED_VALUE"""),30.662607)</f>
        <v>30.662607000000001</v>
      </c>
      <c r="AV1658" s="8">
        <f ca="1">IFERROR(__xludf.DUMMYFUNCTION("""COMPUTED_VALUE"""),-88.147113)</f>
        <v>-88.147113000000004</v>
      </c>
      <c r="AW1658" s="8"/>
      <c r="AX1658" s="8">
        <f ca="1">IFERROR(__xludf.DUMMYFUNCTION("""COMPUTED_VALUE"""),36609)</f>
        <v>36609</v>
      </c>
    </row>
    <row r="1659" spans="1:50" ht="90" x14ac:dyDescent="0.2">
      <c r="A1659" s="8" t="str">
        <f ca="1">IFERROR(__xludf.DUMMYFUNCTION("""COMPUTED_VALUE"""),"20190123LASOS")</f>
        <v>20190123LASOS</v>
      </c>
      <c r="B1659" s="8">
        <f ca="1">IFERROR(__xludf.DUMMYFUNCTION("""COMPUTED_VALUE"""),1)</f>
        <v>1</v>
      </c>
      <c r="C1659" s="8">
        <f ca="1">IFERROR(__xludf.DUMMYFUNCTION("""COMPUTED_VALUE"""),23)</f>
        <v>23</v>
      </c>
      <c r="D1659" s="8">
        <f ca="1">IFERROR(__xludf.DUMMYFUNCTION("""COMPUTED_VALUE"""),2019)</f>
        <v>2019</v>
      </c>
      <c r="E1659" s="9">
        <f ca="1">IFERROR(__xludf.DUMMYFUNCTION("""COMPUTED_VALUE"""),43488)</f>
        <v>43488</v>
      </c>
      <c r="F1659" s="8" t="str">
        <f ca="1">IFERROR(__xludf.DUMMYFUNCTION("""COMPUTED_VALUE"""),"Southern Hills Elementary School")</f>
        <v>Southern Hills Elementary School</v>
      </c>
      <c r="G1659" s="8">
        <f ca="1">IFERROR(__xludf.DUMMYFUNCTION("""COMPUTED_VALUE"""),0)</f>
        <v>0</v>
      </c>
      <c r="H1659" s="8">
        <f ca="1">IFERROR(__xludf.DUMMYFUNCTION("""COMPUTED_VALUE"""),1)</f>
        <v>1</v>
      </c>
      <c r="I1659" s="8">
        <f ca="1">IFERROR(__xludf.DUMMYFUNCTION("""COMPUTED_VALUE"""),1)</f>
        <v>1</v>
      </c>
      <c r="J1659" s="8">
        <f ca="1">IFERROR(__xludf.DUMMYFUNCTION("""COMPUTED_VALUE"""),0)</f>
        <v>0</v>
      </c>
      <c r="K1659" s="8" t="str">
        <f ca="1">IFERROR(__xludf.DUMMYFUNCTION("""COMPUTED_VALUE"""),"http://www.ksla.com/2019/01/22/man-found-shot-inside-car-front-elementary-school/ https://www.ktbs.com/news/crime/school-on-lock-down-after-shooting/article_55c12680-1e8e-11e9-8dc2-e791aa111d2a.html")</f>
        <v>http://www.ksla.com/2019/01/22/man-found-shot-inside-car-front-elementary-school/ https://www.ktbs.com/news/crime/school-on-lock-down-after-shooting/article_55c12680-1e8e-11e9-8dc2-e791aa111d2a.html</v>
      </c>
      <c r="L1659" s="8"/>
      <c r="M1659" s="8"/>
      <c r="N1659" s="8">
        <f ca="1">IFERROR(__xludf.DUMMYFUNCTION("""COMPUTED_VALUE"""),3)</f>
        <v>3</v>
      </c>
      <c r="O1659" s="8" t="str">
        <f ca="1">IFERROR(__xludf.DUMMYFUNCTION("""COMPUTED_VALUE"""),"Winter")</f>
        <v>Winter</v>
      </c>
      <c r="P1659" s="8" t="str">
        <f ca="1">IFERROR(__xludf.DUMMYFUNCTION("""COMPUTED_VALUE"""),"Shreveport")</f>
        <v>Shreveport</v>
      </c>
      <c r="Q1659" s="8" t="str">
        <f ca="1">IFERROR(__xludf.DUMMYFUNCTION("""COMPUTED_VALUE"""),"LA")</f>
        <v>LA</v>
      </c>
      <c r="R1659" s="8" t="str">
        <f ca="1">IFERROR(__xludf.DUMMYFUNCTION("""COMPUTED_VALUE"""),"Elementary")</f>
        <v>Elementary</v>
      </c>
      <c r="S1659" s="8" t="str">
        <f ca="1">IFERROR(__xludf.DUMMYFUNCTION("""COMPUTED_VALUE"""),"Parking Lot")</f>
        <v>Parking Lot</v>
      </c>
      <c r="T1659" s="8" t="str">
        <f ca="1">IFERROR(__xludf.DUMMYFUNCTION("""COMPUTED_VALUE"""),"Off School Property")</f>
        <v>Off School Property</v>
      </c>
      <c r="U1659" s="8" t="str">
        <f ca="1">IFERROR(__xludf.DUMMYFUNCTION("""COMPUTED_VALUE"""),"Yes")</f>
        <v>Yes</v>
      </c>
      <c r="V1659" s="8" t="str">
        <f ca="1">IFERROR(__xludf.DUMMYFUNCTION("""COMPUTED_VALUE"""),"Afternoon Classes")</f>
        <v>Afternoon Classes</v>
      </c>
      <c r="W1659" s="11">
        <f ca="1">IFERROR(__xludf.DUMMYFUNCTION("""COMPUTED_VALUE"""),0.625)</f>
        <v>0.625</v>
      </c>
      <c r="X1659" s="8">
        <f ca="1">IFERROR(__xludf.DUMMYFUNCTION("""COMPUTED_VALUE"""),1)</f>
        <v>1</v>
      </c>
      <c r="Y1659" s="12" t="str">
        <f ca="1">IFERROR(__xludf.DUMMYFUNCTION("""COMPUTED_VALUE"""),"Adult male who was shot was found by SRO in the parking lot")</f>
        <v>Adult male who was shot was found by SRO in the parking lot</v>
      </c>
      <c r="Z1659" s="12" t="str">
        <f ca="1">IFERROR(__xludf.DUMMYFUNCTION("""COMPUTED_VALUE"""),"Adult male who was shot was dropped off in the school parking lot by an adult female. SRO found the victim and rendered first aid. School was locked down while police investigated. Large police response to school. Police determined that the shooting did n"&amp;"ot occur on school property.")</f>
        <v>Adult male who was shot was dropped off in the school parking lot by an adult female. SRO found the victim and rendered first aid. School was locked down while police investigated. Large police response to school. Police determined that the shooting did not occur on school property.</v>
      </c>
      <c r="AA1659" s="8" t="str">
        <f ca="1">IFERROR(__xludf.DUMMYFUNCTION("""COMPUTED_VALUE"""),"Unknown")</f>
        <v>Unknown</v>
      </c>
      <c r="AB1659" s="8"/>
      <c r="AC1659" s="8" t="str">
        <f ca="1">IFERROR(__xludf.DUMMYFUNCTION("""COMPUTED_VALUE"""),"Yes")</f>
        <v>Yes</v>
      </c>
      <c r="AD1659" s="8"/>
      <c r="AE1659" s="8"/>
      <c r="AF1659" s="8"/>
      <c r="AG1659" s="8" t="str">
        <f ca="1">IFERROR(__xludf.DUMMYFUNCTION("""COMPUTED_VALUE"""),"No")</f>
        <v>No</v>
      </c>
      <c r="AH1659" s="8" t="str">
        <f ca="1">IFERROR(__xludf.DUMMYFUNCTION("""COMPUTED_VALUE"""),"No")</f>
        <v>No</v>
      </c>
      <c r="AI1659" s="8" t="str">
        <f ca="1">IFERROR(__xludf.DUMMYFUNCTION("""COMPUTED_VALUE"""),"No")</f>
        <v>No</v>
      </c>
      <c r="AJ1659" s="8" t="str">
        <f ca="1">IFERROR(__xludf.DUMMYFUNCTION("""COMPUTED_VALUE"""),"No")</f>
        <v>No</v>
      </c>
      <c r="AK1659" s="8"/>
      <c r="AL1659" s="8"/>
      <c r="AM1659" s="8" t="str">
        <f ca="1">IFERROR(__xludf.DUMMYFUNCTION("""COMPUTED_VALUE"""),"No")</f>
        <v>No</v>
      </c>
      <c r="AN1659" s="8"/>
      <c r="AO1659" s="8" t="str">
        <f ca="1">IFERROR(__xludf.DUMMYFUNCTION("""COMPUTED_VALUE"""),"No")</f>
        <v>No</v>
      </c>
      <c r="AP1659" s="8" t="str">
        <f ca="1">IFERROR(__xludf.DUMMYFUNCTION("""COMPUTED_VALUE"""),"Yes")</f>
        <v>Yes</v>
      </c>
      <c r="AQ1659" s="8" t="str">
        <f ca="1">IFERROR(__xludf.DUMMYFUNCTION("""COMPUTED_VALUE"""),"Unknown")</f>
        <v>Unknown</v>
      </c>
      <c r="AR1659" s="8" t="str">
        <f ca="1">IFERROR(__xludf.DUMMYFUNCTION("""COMPUTED_VALUE"""),"NA")</f>
        <v>NA</v>
      </c>
      <c r="AS1659" s="8"/>
      <c r="AT1659" s="8" t="str">
        <f ca="1">IFERROR(__xludf.DUMMYFUNCTION("""COMPUTED_VALUE"""),"Yes")</f>
        <v>Yes</v>
      </c>
      <c r="AU1659" s="8">
        <f ca="1">IFERROR(__xludf.DUMMYFUNCTION("""COMPUTED_VALUE"""),32.403217)</f>
        <v>32.403216999999998</v>
      </c>
      <c r="AV1659" s="8">
        <f ca="1">IFERROR(__xludf.DUMMYFUNCTION("""COMPUTED_VALUE"""),-93.779601)</f>
        <v>-93.779601</v>
      </c>
      <c r="AW1659" s="8"/>
      <c r="AX1659" s="8">
        <f ca="1">IFERROR(__xludf.DUMMYFUNCTION("""COMPUTED_VALUE"""),71118)</f>
        <v>71118</v>
      </c>
    </row>
    <row r="1660" spans="1:50" ht="45" x14ac:dyDescent="0.2">
      <c r="A1660" s="8" t="str">
        <f ca="1">IFERROR(__xludf.DUMMYFUNCTION("""COMPUTED_VALUE"""),"20190119KSLAO")</f>
        <v>20190119KSLAO</v>
      </c>
      <c r="B1660" s="8">
        <f ca="1">IFERROR(__xludf.DUMMYFUNCTION("""COMPUTED_VALUE"""),1)</f>
        <v>1</v>
      </c>
      <c r="C1660" s="8">
        <f ca="1">IFERROR(__xludf.DUMMYFUNCTION("""COMPUTED_VALUE"""),19)</f>
        <v>19</v>
      </c>
      <c r="D1660" s="8">
        <f ca="1">IFERROR(__xludf.DUMMYFUNCTION("""COMPUTED_VALUE"""),2019)</f>
        <v>2019</v>
      </c>
      <c r="E1660" s="9">
        <f ca="1">IFERROR(__xludf.DUMMYFUNCTION("""COMPUTED_VALUE"""),43484)</f>
        <v>43484</v>
      </c>
      <c r="F1660" s="8" t="str">
        <f ca="1">IFERROR(__xludf.DUMMYFUNCTION("""COMPUTED_VALUE"""),"Lakewood Middle School")</f>
        <v>Lakewood Middle School</v>
      </c>
      <c r="G1660" s="8">
        <f ca="1">IFERROR(__xludf.DUMMYFUNCTION("""COMPUTED_VALUE"""),0)</f>
        <v>0</v>
      </c>
      <c r="H1660" s="8">
        <f ca="1">IFERROR(__xludf.DUMMYFUNCTION("""COMPUTED_VALUE"""),2)</f>
        <v>2</v>
      </c>
      <c r="I1660" s="8">
        <f ca="1">IFERROR(__xludf.DUMMYFUNCTION("""COMPUTED_VALUE"""),2)</f>
        <v>2</v>
      </c>
      <c r="J1660" s="8">
        <f ca="1">IFERROR(__xludf.DUMMYFUNCTION("""COMPUTED_VALUE"""),0)</f>
        <v>0</v>
      </c>
      <c r="K1660" s="8" t="str">
        <f ca="1">IFERROR(__xludf.DUMMYFUNCTION("""COMPUTED_VALUE"""),"https://www.kansascity.com/news/local/crime/article224828920.html https://www.timesnewspapers.com/webster-kirkwoodtimes/news/updates/second-kirkwood-teen-linked-to-killing-of-kirkwood-high-student/article_1dce3f7c-1da0-11e9-a1e5-b760df9fde0a.html")</f>
        <v>https://www.kansascity.com/news/local/crime/article224828920.html https://www.timesnewspapers.com/webster-kirkwoodtimes/news/updates/second-kirkwood-teen-linked-to-killing-of-kirkwood-high-student/article_1dce3f7c-1da0-11e9-a1e5-b760df9fde0a.html</v>
      </c>
      <c r="L1660" s="8"/>
      <c r="M1660" s="8"/>
      <c r="N1660" s="8">
        <f ca="1">IFERROR(__xludf.DUMMYFUNCTION("""COMPUTED_VALUE"""),3)</f>
        <v>3</v>
      </c>
      <c r="O1660" s="8" t="str">
        <f ca="1">IFERROR(__xludf.DUMMYFUNCTION("""COMPUTED_VALUE"""),"Winter")</f>
        <v>Winter</v>
      </c>
      <c r="P1660" s="8" t="str">
        <f ca="1">IFERROR(__xludf.DUMMYFUNCTION("""COMPUTED_VALUE"""),"Overland Park")</f>
        <v>Overland Park</v>
      </c>
      <c r="Q1660" s="8" t="str">
        <f ca="1">IFERROR(__xludf.DUMMYFUNCTION("""COMPUTED_VALUE"""),"KS")</f>
        <v>KS</v>
      </c>
      <c r="R1660" s="8" t="str">
        <f ca="1">IFERROR(__xludf.DUMMYFUNCTION("""COMPUTED_VALUE"""),"Middle")</f>
        <v>Middle</v>
      </c>
      <c r="S1660" s="8" t="str">
        <f ca="1">IFERROR(__xludf.DUMMYFUNCTION("""COMPUTED_VALUE"""),"Parking Lot")</f>
        <v>Parking Lot</v>
      </c>
      <c r="T1660" s="8" t="str">
        <f ca="1">IFERROR(__xludf.DUMMYFUNCTION("""COMPUTED_VALUE"""),"Outside on School Property")</f>
        <v>Outside on School Property</v>
      </c>
      <c r="U1660" s="8" t="str">
        <f ca="1">IFERROR(__xludf.DUMMYFUNCTION("""COMPUTED_VALUE"""),"No")</f>
        <v>No</v>
      </c>
      <c r="V1660" s="8" t="str">
        <f ca="1">IFERROR(__xludf.DUMMYFUNCTION("""COMPUTED_VALUE"""),"Night")</f>
        <v>Night</v>
      </c>
      <c r="W1660" s="11">
        <f ca="1">IFERROR(__xludf.DUMMYFUNCTION("""COMPUTED_VALUE"""),0.875)</f>
        <v>0.875</v>
      </c>
      <c r="X1660" s="8">
        <f ca="1">IFERROR(__xludf.DUMMYFUNCTION("""COMPUTED_VALUE"""),1)</f>
        <v>1</v>
      </c>
      <c r="Y1660" s="12" t="str">
        <f ca="1">IFERROR(__xludf.DUMMYFUNCTION("""COMPUTED_VALUE"""),"Two teens shot in parking lot during robbery")</f>
        <v>Two teens shot in parking lot during robbery</v>
      </c>
      <c r="Z1660" s="12" t="str">
        <f ca="1">IFERROR(__xludf.DUMMYFUNCTION("""COMPUTED_VALUE"""),"16YOM and 15YOM shot in parking lot of the school during a robbery. School was closed at the time of the shooting. Unidentified suspect fled.")</f>
        <v>16YOM and 15YOM shot in parking lot of the school during a robbery. School was closed at the time of the shooting. Unidentified suspect fled.</v>
      </c>
      <c r="AA1660" s="8" t="str">
        <f ca="1">IFERROR(__xludf.DUMMYFUNCTION("""COMPUTED_VALUE"""),"Illegal Activity")</f>
        <v>Illegal Activity</v>
      </c>
      <c r="AB1660" s="8"/>
      <c r="AC1660" s="8" t="str">
        <f ca="1">IFERROR(__xludf.DUMMYFUNCTION("""COMPUTED_VALUE"""),"Yes")</f>
        <v>Yes</v>
      </c>
      <c r="AD1660" s="8" t="str">
        <f ca="1">IFERROR(__xludf.DUMMYFUNCTION("""COMPUTED_VALUE"""),"Victims Targeted")</f>
        <v>Victims Targeted</v>
      </c>
      <c r="AE1660" s="8"/>
      <c r="AF1660" s="8"/>
      <c r="AG1660" s="8" t="str">
        <f ca="1">IFERROR(__xludf.DUMMYFUNCTION("""COMPUTED_VALUE"""),"No")</f>
        <v>No</v>
      </c>
      <c r="AH1660" s="8" t="str">
        <f ca="1">IFERROR(__xludf.DUMMYFUNCTION("""COMPUTED_VALUE"""),"No")</f>
        <v>No</v>
      </c>
      <c r="AI1660" s="8" t="str">
        <f ca="1">IFERROR(__xludf.DUMMYFUNCTION("""COMPUTED_VALUE"""),"No")</f>
        <v>No</v>
      </c>
      <c r="AJ1660" s="8" t="str">
        <f ca="1">IFERROR(__xludf.DUMMYFUNCTION("""COMPUTED_VALUE"""),"No")</f>
        <v>No</v>
      </c>
      <c r="AK1660" s="8" t="str">
        <f ca="1">IFERROR(__xludf.DUMMYFUNCTION("""COMPUTED_VALUE"""),"No")</f>
        <v>No</v>
      </c>
      <c r="AL1660" s="8"/>
      <c r="AM1660" s="8" t="str">
        <f ca="1">IFERROR(__xludf.DUMMYFUNCTION("""COMPUTED_VALUE"""),"No")</f>
        <v>No</v>
      </c>
      <c r="AN1660" s="8"/>
      <c r="AO1660" s="8" t="str">
        <f ca="1">IFERROR(__xludf.DUMMYFUNCTION("""COMPUTED_VALUE"""),"No")</f>
        <v>No</v>
      </c>
      <c r="AP1660" s="8"/>
      <c r="AQ1660" s="8" t="str">
        <f ca="1">IFERROR(__xludf.DUMMYFUNCTION("""COMPUTED_VALUE"""),"Unknown")</f>
        <v>Unknown</v>
      </c>
      <c r="AR1660" s="8" t="str">
        <f ca="1">IFERROR(__xludf.DUMMYFUNCTION("""COMPUTED_VALUE"""),"NA")</f>
        <v>NA</v>
      </c>
      <c r="AS1660" s="8" t="str">
        <f ca="1">IFERROR(__xludf.DUMMYFUNCTION("""COMPUTED_VALUE"""),"&lt;5")</f>
        <v>&lt;5</v>
      </c>
      <c r="AT1660" s="8"/>
      <c r="AU1660" s="8">
        <f ca="1">IFERROR(__xludf.DUMMYFUNCTION("""COMPUTED_VALUE"""),38.863069)</f>
        <v>38.863069000000003</v>
      </c>
      <c r="AV1660" s="8">
        <f ca="1">IFERROR(__xludf.DUMMYFUNCTION("""COMPUTED_VALUE"""),-94.661722)</f>
        <v>-94.661721999999997</v>
      </c>
      <c r="AW1660" s="8"/>
      <c r="AX1660" s="8">
        <f ca="1">IFERROR(__xludf.DUMMYFUNCTION("""COMPUTED_VALUE"""),66085)</f>
        <v>66085</v>
      </c>
    </row>
    <row r="1661" spans="1:50" ht="45" x14ac:dyDescent="0.2">
      <c r="A1661" s="8" t="str">
        <f ca="1">IFERROR(__xludf.DUMMYFUNCTION("""COMPUTED_VALUE"""),"20190118NCSHD")</f>
        <v>20190118NCSHD</v>
      </c>
      <c r="B1661" s="8">
        <f ca="1">IFERROR(__xludf.DUMMYFUNCTION("""COMPUTED_VALUE"""),1)</f>
        <v>1</v>
      </c>
      <c r="C1661" s="8">
        <f ca="1">IFERROR(__xludf.DUMMYFUNCTION("""COMPUTED_VALUE"""),18)</f>
        <v>18</v>
      </c>
      <c r="D1661" s="8">
        <f ca="1">IFERROR(__xludf.DUMMYFUNCTION("""COMPUTED_VALUE"""),2019)</f>
        <v>2019</v>
      </c>
      <c r="E1661" s="9">
        <f ca="1">IFERROR(__xludf.DUMMYFUNCTION("""COMPUTED_VALUE"""),43483)</f>
        <v>43483</v>
      </c>
      <c r="F1661" s="8" t="str">
        <f ca="1">IFERROR(__xludf.DUMMYFUNCTION("""COMPUTED_VALUE"""),"Sheppard Middle School")</f>
        <v>Sheppard Middle School</v>
      </c>
      <c r="G1661" s="8">
        <f ca="1">IFERROR(__xludf.DUMMYFUNCTION("""COMPUTED_VALUE"""),0)</f>
        <v>0</v>
      </c>
      <c r="H1661" s="8">
        <f ca="1">IFERROR(__xludf.DUMMYFUNCTION("""COMPUTED_VALUE"""),1)</f>
        <v>1</v>
      </c>
      <c r="I1661" s="8">
        <f ca="1">IFERROR(__xludf.DUMMYFUNCTION("""COMPUTED_VALUE"""),1)</f>
        <v>1</v>
      </c>
      <c r="J1661" s="8">
        <f ca="1">IFERROR(__xludf.DUMMYFUNCTION("""COMPUTED_VALUE"""),0)</f>
        <v>0</v>
      </c>
      <c r="K1661" s="10" t="str">
        <f ca="1">IFERROR(__xludf.DUMMYFUNCTION("""COMPUTED_VALUE"""),"https://www.wral.com/durham-school-bus-hit-by-stray-bullet/18133535/")</f>
        <v>https://www.wral.com/durham-school-bus-hit-by-stray-bullet/18133535/</v>
      </c>
      <c r="L1661" s="8"/>
      <c r="M1661" s="8"/>
      <c r="N1661" s="8">
        <f ca="1">IFERROR(__xludf.DUMMYFUNCTION("""COMPUTED_VALUE"""),3)</f>
        <v>3</v>
      </c>
      <c r="O1661" s="8" t="str">
        <f ca="1">IFERROR(__xludf.DUMMYFUNCTION("""COMPUTED_VALUE"""),"Winter")</f>
        <v>Winter</v>
      </c>
      <c r="P1661" s="8" t="str">
        <f ca="1">IFERROR(__xludf.DUMMYFUNCTION("""COMPUTED_VALUE"""),"Durham")</f>
        <v>Durham</v>
      </c>
      <c r="Q1661" s="8" t="str">
        <f ca="1">IFERROR(__xludf.DUMMYFUNCTION("""COMPUTED_VALUE"""),"NC")</f>
        <v>NC</v>
      </c>
      <c r="R1661" s="8" t="str">
        <f ca="1">IFERROR(__xludf.DUMMYFUNCTION("""COMPUTED_VALUE"""),"Middle")</f>
        <v>Middle</v>
      </c>
      <c r="S1661" s="8" t="str">
        <f ca="1">IFERROR(__xludf.DUMMYFUNCTION("""COMPUTED_VALUE"""),"School Bus")</f>
        <v>School Bus</v>
      </c>
      <c r="T1661" s="8" t="str">
        <f ca="1">IFERROR(__xludf.DUMMYFUNCTION("""COMPUTED_VALUE"""),"School Bus")</f>
        <v>School Bus</v>
      </c>
      <c r="U1661" s="8" t="str">
        <f ca="1">IFERROR(__xludf.DUMMYFUNCTION("""COMPUTED_VALUE"""),"Yes")</f>
        <v>Yes</v>
      </c>
      <c r="V1661" s="8" t="str">
        <f ca="1">IFERROR(__xludf.DUMMYFUNCTION("""COMPUTED_VALUE"""),"Dismissal")</f>
        <v>Dismissal</v>
      </c>
      <c r="W1661" s="11">
        <f ca="1">IFERROR(__xludf.DUMMYFUNCTION("""COMPUTED_VALUE"""),0.645833333333333)</f>
        <v>0.64583333333333304</v>
      </c>
      <c r="X1661" s="8">
        <f ca="1">IFERROR(__xludf.DUMMYFUNCTION("""COMPUTED_VALUE"""),1)</f>
        <v>1</v>
      </c>
      <c r="Y1661" s="12" t="str">
        <f ca="1">IFERROR(__xludf.DUMMYFUNCTION("""COMPUTED_VALUE"""),"School bus hit by stray bullet injuring driver")</f>
        <v>School bus hit by stray bullet injuring driver</v>
      </c>
      <c r="Z1661" s="12" t="str">
        <f ca="1">IFERROR(__xludf.DUMMYFUNCTION("""COMPUTED_VALUE"""),"School bus occupied by 15 students was struck by stray bullet injuring the bus driver. Occupants of two nearby cars were firing at each other when the bus was struck.")</f>
        <v>School bus occupied by 15 students was struck by stray bullet injuring the bus driver. Occupants of two nearby cars were firing at each other when the bus was struck.</v>
      </c>
      <c r="AA1661" s="8" t="str">
        <f ca="1">IFERROR(__xludf.DUMMYFUNCTION("""COMPUTED_VALUE"""),"Drive-by Shooting")</f>
        <v>Drive-by Shooting</v>
      </c>
      <c r="AB1661" s="8"/>
      <c r="AC1661" s="8" t="str">
        <f ca="1">IFERROR(__xludf.DUMMYFUNCTION("""COMPUTED_VALUE"""),"Yes")</f>
        <v>Yes</v>
      </c>
      <c r="AD1661" s="8" t="str">
        <f ca="1">IFERROR(__xludf.DUMMYFUNCTION("""COMPUTED_VALUE"""),"Random Shooting")</f>
        <v>Random Shooting</v>
      </c>
      <c r="AE1661" s="8" t="str">
        <f ca="1">IFERROR(__xludf.DUMMYFUNCTION("""COMPUTED_VALUE"""),"Yes")</f>
        <v>Yes</v>
      </c>
      <c r="AF1661" s="8" t="str">
        <f ca="1">IFERROR(__xludf.DUMMYFUNCTION("""COMPUTED_VALUE"""),"Drivers of vehicles")</f>
        <v>Drivers of vehicles</v>
      </c>
      <c r="AG1661" s="8" t="str">
        <f ca="1">IFERROR(__xludf.DUMMYFUNCTION("""COMPUTED_VALUE"""),"No")</f>
        <v>No</v>
      </c>
      <c r="AH1661" s="8" t="str">
        <f ca="1">IFERROR(__xludf.DUMMYFUNCTION("""COMPUTED_VALUE"""),"No")</f>
        <v>No</v>
      </c>
      <c r="AI1661" s="8" t="str">
        <f ca="1">IFERROR(__xludf.DUMMYFUNCTION("""COMPUTED_VALUE"""),"No")</f>
        <v>No</v>
      </c>
      <c r="AJ1661" s="8" t="str">
        <f ca="1">IFERROR(__xludf.DUMMYFUNCTION("""COMPUTED_VALUE"""),"No")</f>
        <v>No</v>
      </c>
      <c r="AK1661" s="8" t="str">
        <f ca="1">IFERROR(__xludf.DUMMYFUNCTION("""COMPUTED_VALUE"""),"No")</f>
        <v>No</v>
      </c>
      <c r="AL1661" s="8"/>
      <c r="AM1661" s="8" t="str">
        <f ca="1">IFERROR(__xludf.DUMMYFUNCTION("""COMPUTED_VALUE"""),"No")</f>
        <v>No</v>
      </c>
      <c r="AN1661" s="8"/>
      <c r="AO1661" s="8" t="str">
        <f ca="1">IFERROR(__xludf.DUMMYFUNCTION("""COMPUTED_VALUE"""),"No")</f>
        <v>No</v>
      </c>
      <c r="AP1661" s="8"/>
      <c r="AQ1661" s="8" t="str">
        <f ca="1">IFERROR(__xludf.DUMMYFUNCTION("""COMPUTED_VALUE"""),"Unknown")</f>
        <v>Unknown</v>
      </c>
      <c r="AR1661" s="8" t="str">
        <f ca="1">IFERROR(__xludf.DUMMYFUNCTION("""COMPUTED_VALUE"""),"NA")</f>
        <v>NA</v>
      </c>
      <c r="AS1661" s="8"/>
      <c r="AT1661" s="8"/>
      <c r="AU1661" s="8">
        <f ca="1">IFERROR(__xludf.DUMMYFUNCTION("""COMPUTED_VALUE"""),36.004107)</f>
        <v>36.004106999999998</v>
      </c>
      <c r="AV1661" s="8">
        <f ca="1">IFERROR(__xludf.DUMMYFUNCTION("""COMPUTED_VALUE"""),-78.87147)</f>
        <v>-78.871470000000002</v>
      </c>
      <c r="AW1661" s="8"/>
      <c r="AX1661" s="8">
        <f ca="1">IFERROR(__xludf.DUMMYFUNCTION("""COMPUTED_VALUE"""),27704)</f>
        <v>27704</v>
      </c>
    </row>
    <row r="1662" spans="1:50" ht="60" x14ac:dyDescent="0.2">
      <c r="A1662" s="8" t="str">
        <f ca="1">IFERROR(__xludf.DUMMYFUNCTION("""COMPUTED_VALUE"""),"20190118MOHAS")</f>
        <v>20190118MOHAS</v>
      </c>
      <c r="B1662" s="8">
        <f ca="1">IFERROR(__xludf.DUMMYFUNCTION("""COMPUTED_VALUE"""),1)</f>
        <v>1</v>
      </c>
      <c r="C1662" s="8">
        <f ca="1">IFERROR(__xludf.DUMMYFUNCTION("""COMPUTED_VALUE"""),18)</f>
        <v>18</v>
      </c>
      <c r="D1662" s="8">
        <f ca="1">IFERROR(__xludf.DUMMYFUNCTION("""COMPUTED_VALUE"""),2019)</f>
        <v>2019</v>
      </c>
      <c r="E1662" s="9">
        <f ca="1">IFERROR(__xludf.DUMMYFUNCTION("""COMPUTED_VALUE"""),43483)</f>
        <v>43483</v>
      </c>
      <c r="F1662" s="8" t="str">
        <f ca="1">IFERROR(__xludf.DUMMYFUNCTION("""COMPUTED_VALUE"""),"Hazelwood East High School")</f>
        <v>Hazelwood East High School</v>
      </c>
      <c r="G1662" s="8">
        <f ca="1">IFERROR(__xludf.DUMMYFUNCTION("""COMPUTED_VALUE"""),0)</f>
        <v>0</v>
      </c>
      <c r="H1662" s="8">
        <f ca="1">IFERROR(__xludf.DUMMYFUNCTION("""COMPUTED_VALUE"""),0)</f>
        <v>0</v>
      </c>
      <c r="I1662" s="8">
        <f ca="1">IFERROR(__xludf.DUMMYFUNCTION("""COMPUTED_VALUE"""),0)</f>
        <v>0</v>
      </c>
      <c r="J1662" s="8">
        <f ca="1">IFERROR(__xludf.DUMMYFUNCTION("""COMPUTED_VALUE"""),0)</f>
        <v>0</v>
      </c>
      <c r="K1662" s="10" t="str">
        <f ca="1">IFERROR(__xludf.DUMMYFUNCTION("""COMPUTED_VALUE"""),"https://fox2now.com/2019/01/18/gunfire-exchanged-in-hazelwood-east-parking-lot/")</f>
        <v>https://fox2now.com/2019/01/18/gunfire-exchanged-in-hazelwood-east-parking-lot/</v>
      </c>
      <c r="L1662" s="8"/>
      <c r="M1662" s="8"/>
      <c r="N1662" s="8">
        <f ca="1">IFERROR(__xludf.DUMMYFUNCTION("""COMPUTED_VALUE"""),3)</f>
        <v>3</v>
      </c>
      <c r="O1662" s="8" t="str">
        <f ca="1">IFERROR(__xludf.DUMMYFUNCTION("""COMPUTED_VALUE"""),"Winter")</f>
        <v>Winter</v>
      </c>
      <c r="P1662" s="8" t="str">
        <f ca="1">IFERROR(__xludf.DUMMYFUNCTION("""COMPUTED_VALUE"""),"St. Louis")</f>
        <v>St. Louis</v>
      </c>
      <c r="Q1662" s="8" t="str">
        <f ca="1">IFERROR(__xludf.DUMMYFUNCTION("""COMPUTED_VALUE"""),"MO")</f>
        <v>MO</v>
      </c>
      <c r="R1662" s="8" t="str">
        <f ca="1">IFERROR(__xludf.DUMMYFUNCTION("""COMPUTED_VALUE"""),"High")</f>
        <v>High</v>
      </c>
      <c r="S1662" s="8" t="str">
        <f ca="1">IFERROR(__xludf.DUMMYFUNCTION("""COMPUTED_VALUE"""),"Parking Lot")</f>
        <v>Parking Lot</v>
      </c>
      <c r="T1662" s="8" t="str">
        <f ca="1">IFERROR(__xludf.DUMMYFUNCTION("""COMPUTED_VALUE"""),"Outside on School Property")</f>
        <v>Outside on School Property</v>
      </c>
      <c r="U1662" s="8" t="str">
        <f ca="1">IFERROR(__xludf.DUMMYFUNCTION("""COMPUTED_VALUE"""),"Yes")</f>
        <v>Yes</v>
      </c>
      <c r="V1662" s="8" t="str">
        <f ca="1">IFERROR(__xludf.DUMMYFUNCTION("""COMPUTED_VALUE"""),"Afternoon Classes")</f>
        <v>Afternoon Classes</v>
      </c>
      <c r="W1662" s="11">
        <f ca="1">IFERROR(__xludf.DUMMYFUNCTION("""COMPUTED_VALUE"""),0.604166666666666)</f>
        <v>0.60416666666666596</v>
      </c>
      <c r="X1662" s="8">
        <f ca="1">IFERROR(__xludf.DUMMYFUNCTION("""COMPUTED_VALUE"""),1)</f>
        <v>1</v>
      </c>
      <c r="Y1662" s="12" t="str">
        <f ca="1">IFERROR(__xludf.DUMMYFUNCTION("""COMPUTED_VALUE"""),"Shots fired from vehicles in the school parking lot. No students injured.")</f>
        <v>Shots fired from vehicles in the school parking lot. No students injured.</v>
      </c>
      <c r="Z1662" s="12" t="str">
        <f ca="1">IFERROR(__xludf.DUMMYFUNCTION("""COMPUTED_VALUE"""),"Shots fired from stolen vehicle at another vehicle in the school parking lot during the school day. Multiple shooters involved. No students were injured. Police said it was unknown if the occupants of the vehicle were students.")</f>
        <v>Shots fired from stolen vehicle at another vehicle in the school parking lot during the school day. Multiple shooters involved. No students were injured. Police said it was unknown if the occupants of the vehicle were students.</v>
      </c>
      <c r="AA1662" s="8" t="str">
        <f ca="1">IFERROR(__xludf.DUMMYFUNCTION("""COMPUTED_VALUE"""),"Drive-by Shooting")</f>
        <v>Drive-by Shooting</v>
      </c>
      <c r="AB1662" s="8"/>
      <c r="AC1662" s="8" t="str">
        <f ca="1">IFERROR(__xludf.DUMMYFUNCTION("""COMPUTED_VALUE"""),"Yes")</f>
        <v>Yes</v>
      </c>
      <c r="AD1662" s="8" t="str">
        <f ca="1">IFERROR(__xludf.DUMMYFUNCTION("""COMPUTED_VALUE"""),"Victims Targeted")</f>
        <v>Victims Targeted</v>
      </c>
      <c r="AE1662" s="8" t="str">
        <f ca="1">IFERROR(__xludf.DUMMYFUNCTION("""COMPUTED_VALUE"""),"Yes")</f>
        <v>Yes</v>
      </c>
      <c r="AF1662" s="8" t="str">
        <f ca="1">IFERROR(__xludf.DUMMYFUNCTION("""COMPUTED_VALUE"""),"Multiple in vehicle")</f>
        <v>Multiple in vehicle</v>
      </c>
      <c r="AG1662" s="8" t="str">
        <f ca="1">IFERROR(__xludf.DUMMYFUNCTION("""COMPUTED_VALUE"""),"No")</f>
        <v>No</v>
      </c>
      <c r="AH1662" s="8" t="str">
        <f ca="1">IFERROR(__xludf.DUMMYFUNCTION("""COMPUTED_VALUE"""),"No")</f>
        <v>No</v>
      </c>
      <c r="AI1662" s="8" t="str">
        <f ca="1">IFERROR(__xludf.DUMMYFUNCTION("""COMPUTED_VALUE"""),"No")</f>
        <v>No</v>
      </c>
      <c r="AJ1662" s="8" t="str">
        <f ca="1">IFERROR(__xludf.DUMMYFUNCTION("""COMPUTED_VALUE"""),"No")</f>
        <v>No</v>
      </c>
      <c r="AK1662" s="8" t="str">
        <f ca="1">IFERROR(__xludf.DUMMYFUNCTION("""COMPUTED_VALUE"""),"No")</f>
        <v>No</v>
      </c>
      <c r="AL1662" s="8"/>
      <c r="AM1662" s="8" t="str">
        <f ca="1">IFERROR(__xludf.DUMMYFUNCTION("""COMPUTED_VALUE"""),"No")</f>
        <v>No</v>
      </c>
      <c r="AN1662" s="8"/>
      <c r="AO1662" s="8" t="str">
        <f ca="1">IFERROR(__xludf.DUMMYFUNCTION("""COMPUTED_VALUE"""),"No")</f>
        <v>No</v>
      </c>
      <c r="AP1662" s="8"/>
      <c r="AQ1662" s="8" t="str">
        <f ca="1">IFERROR(__xludf.DUMMYFUNCTION("""COMPUTED_VALUE"""),"Unknown")</f>
        <v>Unknown</v>
      </c>
      <c r="AR1662" s="8" t="str">
        <f ca="1">IFERROR(__xludf.DUMMYFUNCTION("""COMPUTED_VALUE"""),"NA")</f>
        <v>NA</v>
      </c>
      <c r="AS1662" s="8" t="str">
        <f ca="1">IFERROR(__xludf.DUMMYFUNCTION("""COMPUTED_VALUE"""),"&gt;10")</f>
        <v>&gt;10</v>
      </c>
      <c r="AT1662" s="8"/>
      <c r="AU1662" s="8">
        <f ca="1">IFERROR(__xludf.DUMMYFUNCTION("""COMPUTED_VALUE"""),38.775616)</f>
        <v>38.775615999999999</v>
      </c>
      <c r="AV1662" s="8">
        <f ca="1">IFERROR(__xludf.DUMMYFUNCTION("""COMPUTED_VALUE"""),-90.23388)</f>
        <v>-90.233879999999999</v>
      </c>
      <c r="AW1662" s="8"/>
      <c r="AX1662" s="8">
        <f ca="1">IFERROR(__xludf.DUMMYFUNCTION("""COMPUTED_VALUE"""),63138)</f>
        <v>63138</v>
      </c>
    </row>
    <row r="1663" spans="1:50" ht="60" x14ac:dyDescent="0.2">
      <c r="A1663" s="8" t="str">
        <f ca="1">IFERROR(__xludf.DUMMYFUNCTION("""COMPUTED_VALUE"""),"20190118ALCET")</f>
        <v>20190118ALCET</v>
      </c>
      <c r="B1663" s="8">
        <f ca="1">IFERROR(__xludf.DUMMYFUNCTION("""COMPUTED_VALUE"""),1)</f>
        <v>1</v>
      </c>
      <c r="C1663" s="8">
        <f ca="1">IFERROR(__xludf.DUMMYFUNCTION("""COMPUTED_VALUE"""),18)</f>
        <v>18</v>
      </c>
      <c r="D1663" s="8">
        <f ca="1">IFERROR(__xludf.DUMMYFUNCTION("""COMPUTED_VALUE"""),2019)</f>
        <v>2019</v>
      </c>
      <c r="E1663" s="9">
        <f ca="1">IFERROR(__xludf.DUMMYFUNCTION("""COMPUTED_VALUE"""),43483)</f>
        <v>43483</v>
      </c>
      <c r="F1663" s="8" t="str">
        <f ca="1">IFERROR(__xludf.DUMMYFUNCTION("""COMPUTED_VALUE"""),"Central High School")</f>
        <v>Central High School</v>
      </c>
      <c r="G1663" s="8">
        <f ca="1">IFERROR(__xludf.DUMMYFUNCTION("""COMPUTED_VALUE"""),0)</f>
        <v>0</v>
      </c>
      <c r="H1663" s="8">
        <f ca="1">IFERROR(__xludf.DUMMYFUNCTION("""COMPUTED_VALUE"""),0)</f>
        <v>0</v>
      </c>
      <c r="I1663" s="8">
        <f ca="1">IFERROR(__xludf.DUMMYFUNCTION("""COMPUTED_VALUE"""),0)</f>
        <v>0</v>
      </c>
      <c r="J1663" s="8">
        <f ca="1">IFERROR(__xludf.DUMMYFUNCTION("""COMPUTED_VALUE"""),0)</f>
        <v>0</v>
      </c>
      <c r="K1663" s="8" t="str">
        <f ca="1">IFERROR(__xludf.DUMMYFUNCTION("""COMPUTED_VALUE"""),"http://www.wbrc.com/2019/01/18/no-students-involved-incident-central-hs/ https://abc3340.com/news/local/students-not-involved-in-incident-prompting-lockdown-at-central-high-school")</f>
        <v>http://www.wbrc.com/2019/01/18/no-students-involved-incident-central-hs/ https://abc3340.com/news/local/students-not-involved-in-incident-prompting-lockdown-at-central-high-school</v>
      </c>
      <c r="L1663" s="8"/>
      <c r="M1663" s="8"/>
      <c r="N1663" s="8">
        <f ca="1">IFERROR(__xludf.DUMMYFUNCTION("""COMPUTED_VALUE"""),3)</f>
        <v>3</v>
      </c>
      <c r="O1663" s="8" t="str">
        <f ca="1">IFERROR(__xludf.DUMMYFUNCTION("""COMPUTED_VALUE"""),"Winter")</f>
        <v>Winter</v>
      </c>
      <c r="P1663" s="8" t="str">
        <f ca="1">IFERROR(__xludf.DUMMYFUNCTION("""COMPUTED_VALUE"""),"Tuscaloosa")</f>
        <v>Tuscaloosa</v>
      </c>
      <c r="Q1663" s="8" t="str">
        <f ca="1">IFERROR(__xludf.DUMMYFUNCTION("""COMPUTED_VALUE"""),"AL")</f>
        <v>AL</v>
      </c>
      <c r="R1663" s="8" t="str">
        <f ca="1">IFERROR(__xludf.DUMMYFUNCTION("""COMPUTED_VALUE"""),"High")</f>
        <v>High</v>
      </c>
      <c r="S1663" s="8" t="str">
        <f ca="1">IFERROR(__xludf.DUMMYFUNCTION("""COMPUTED_VALUE"""),"Parking Lot")</f>
        <v>Parking Lot</v>
      </c>
      <c r="T1663" s="8" t="str">
        <f ca="1">IFERROR(__xludf.DUMMYFUNCTION("""COMPUTED_VALUE"""),"Outside on School Property")</f>
        <v>Outside on School Property</v>
      </c>
      <c r="U1663" s="8" t="str">
        <f ca="1">IFERROR(__xludf.DUMMYFUNCTION("""COMPUTED_VALUE"""),"Yes")</f>
        <v>Yes</v>
      </c>
      <c r="V1663" s="8" t="str">
        <f ca="1">IFERROR(__xludf.DUMMYFUNCTION("""COMPUTED_VALUE"""),"Afternoon Classes")</f>
        <v>Afternoon Classes</v>
      </c>
      <c r="W1663" s="11">
        <f ca="1">IFERROR(__xludf.DUMMYFUNCTION("""COMPUTED_VALUE"""),0.604166666666666)</f>
        <v>0.60416666666666596</v>
      </c>
      <c r="X1663" s="8">
        <f ca="1">IFERROR(__xludf.DUMMYFUNCTION("""COMPUTED_VALUE"""),1)</f>
        <v>1</v>
      </c>
      <c r="Y1663" s="12" t="str">
        <f ca="1">IFERROR(__xludf.DUMMYFUNCTION("""COMPUTED_VALUE"""),"Non-student shot at female in parking lot, school locked down")</f>
        <v>Non-student shot at female in parking lot, school locked down</v>
      </c>
      <c r="Z1663" s="12" t="str">
        <f ca="1">IFERROR(__xludf.DUMMYFUNCTION("""COMPUTED_VALUE"""),"19YOM non-student fired shot at female inside a vehicle in the school parking lot during a domestic dispute. 3 children were inside the vehicle. Armed suspect fled. School was locked down.")</f>
        <v>19YOM non-student fired shot at female inside a vehicle in the school parking lot during a domestic dispute. 3 children were inside the vehicle. Armed suspect fled. School was locked down.</v>
      </c>
      <c r="AA1663" s="8" t="str">
        <f ca="1">IFERROR(__xludf.DUMMYFUNCTION("""COMPUTED_VALUE"""),"Domestic w/ Targeted Victim")</f>
        <v>Domestic w/ Targeted Victim</v>
      </c>
      <c r="AB1663" s="8"/>
      <c r="AC1663" s="8" t="str">
        <f ca="1">IFERROR(__xludf.DUMMYFUNCTION("""COMPUTED_VALUE"""),"Yes")</f>
        <v>Yes</v>
      </c>
      <c r="AD1663" s="8" t="str">
        <f ca="1">IFERROR(__xludf.DUMMYFUNCTION("""COMPUTED_VALUE"""),"Victims Targeted")</f>
        <v>Victims Targeted</v>
      </c>
      <c r="AE1663" s="8" t="str">
        <f ca="1">IFERROR(__xludf.DUMMYFUNCTION("""COMPUTED_VALUE"""),"No")</f>
        <v>No</v>
      </c>
      <c r="AF1663" s="8"/>
      <c r="AG1663" s="8" t="str">
        <f ca="1">IFERROR(__xludf.DUMMYFUNCTION("""COMPUTED_VALUE"""),"No")</f>
        <v>No</v>
      </c>
      <c r="AH1663" s="8" t="str">
        <f ca="1">IFERROR(__xludf.DUMMYFUNCTION("""COMPUTED_VALUE"""),"No")</f>
        <v>No</v>
      </c>
      <c r="AI1663" s="8" t="str">
        <f ca="1">IFERROR(__xludf.DUMMYFUNCTION("""COMPUTED_VALUE"""),"No")</f>
        <v>No</v>
      </c>
      <c r="AJ1663" s="8" t="str">
        <f ca="1">IFERROR(__xludf.DUMMYFUNCTION("""COMPUTED_VALUE"""),"No")</f>
        <v>No</v>
      </c>
      <c r="AK1663" s="8" t="str">
        <f ca="1">IFERROR(__xludf.DUMMYFUNCTION("""COMPUTED_VALUE"""),"Yes")</f>
        <v>Yes</v>
      </c>
      <c r="AL1663" s="8" t="str">
        <f ca="1">IFERROR(__xludf.DUMMYFUNCTION("""COMPUTED_VALUE"""),"No")</f>
        <v>No</v>
      </c>
      <c r="AM1663" s="8" t="str">
        <f ca="1">IFERROR(__xludf.DUMMYFUNCTION("""COMPUTED_VALUE"""),"No")</f>
        <v>No</v>
      </c>
      <c r="AN1663" s="8"/>
      <c r="AO1663" s="8" t="str">
        <f ca="1">IFERROR(__xludf.DUMMYFUNCTION("""COMPUTED_VALUE"""),"No")</f>
        <v>No</v>
      </c>
      <c r="AP1663" s="8"/>
      <c r="AQ1663" s="8" t="str">
        <f ca="1">IFERROR(__xludf.DUMMYFUNCTION("""COMPUTED_VALUE"""),"Unknown")</f>
        <v>Unknown</v>
      </c>
      <c r="AR1663" s="8" t="str">
        <f ca="1">IFERROR(__xludf.DUMMYFUNCTION("""COMPUTED_VALUE"""),"NA")</f>
        <v>NA</v>
      </c>
      <c r="AS1663" s="8">
        <f ca="1">IFERROR(__xludf.DUMMYFUNCTION("""COMPUTED_VALUE"""),1)</f>
        <v>1</v>
      </c>
      <c r="AT1663" s="8" t="str">
        <f ca="1">IFERROR(__xludf.DUMMYFUNCTION("""COMPUTED_VALUE"""),"Yes")</f>
        <v>Yes</v>
      </c>
      <c r="AU1663" s="8">
        <f ca="1">IFERROR(__xludf.DUMMYFUNCTION("""COMPUTED_VALUE"""),33.198748)</f>
        <v>33.198748000000002</v>
      </c>
      <c r="AV1663" s="8">
        <f ca="1">IFERROR(__xludf.DUMMYFUNCTION("""COMPUTED_VALUE"""),-87.548306)</f>
        <v>-87.548305999999997</v>
      </c>
      <c r="AW1663" s="8"/>
      <c r="AX1663" s="8">
        <f ca="1">IFERROR(__xludf.DUMMYFUNCTION("""COMPUTED_VALUE"""),35401)</f>
        <v>35401</v>
      </c>
    </row>
    <row r="1664" spans="1:50" ht="90" x14ac:dyDescent="0.2">
      <c r="A1664" s="8" t="str">
        <f ca="1">IFERROR(__xludf.DUMMYFUNCTION("""COMPUTED_VALUE"""),"20190116MNNOM")</f>
        <v>20190116MNNOM</v>
      </c>
      <c r="B1664" s="8">
        <f ca="1">IFERROR(__xludf.DUMMYFUNCTION("""COMPUTED_VALUE"""),1)</f>
        <v>1</v>
      </c>
      <c r="C1664" s="8">
        <f ca="1">IFERROR(__xludf.DUMMYFUNCTION("""COMPUTED_VALUE"""),16)</f>
        <v>16</v>
      </c>
      <c r="D1664" s="8">
        <f ca="1">IFERROR(__xludf.DUMMYFUNCTION("""COMPUTED_VALUE"""),2019)</f>
        <v>2019</v>
      </c>
      <c r="E1664" s="9">
        <f ca="1">IFERROR(__xludf.DUMMYFUNCTION("""COMPUTED_VALUE"""),43481)</f>
        <v>43481</v>
      </c>
      <c r="F1664" s="8" t="str">
        <f ca="1">IFERROR(__xludf.DUMMYFUNCTION("""COMPUTED_VALUE"""),"North High School")</f>
        <v>North High School</v>
      </c>
      <c r="G1664" s="8">
        <f ca="1">IFERROR(__xludf.DUMMYFUNCTION("""COMPUTED_VALUE"""),0)</f>
        <v>0</v>
      </c>
      <c r="H1664" s="8">
        <f ca="1">IFERROR(__xludf.DUMMYFUNCTION("""COMPUTED_VALUE"""),0)</f>
        <v>0</v>
      </c>
      <c r="I1664" s="8">
        <f ca="1">IFERROR(__xludf.DUMMYFUNCTION("""COMPUTED_VALUE"""),0)</f>
        <v>0</v>
      </c>
      <c r="J1664" s="8">
        <f ca="1">IFERROR(__xludf.DUMMYFUNCTION("""COMPUTED_VALUE"""),0)</f>
        <v>0</v>
      </c>
      <c r="K1664" s="10" t="str">
        <f ca="1">IFERROR(__xludf.DUMMYFUNCTION("""COMPUTED_VALUE"""),"https://bringmethenews.com/minnesota-news/gunshots-fired-into-minneapolis-north-high-school-no-injuries")</f>
        <v>https://bringmethenews.com/minnesota-news/gunshots-fired-into-minneapolis-north-high-school-no-injuries</v>
      </c>
      <c r="L1664" s="8"/>
      <c r="M1664" s="8" t="str">
        <f ca="1">IFERROR(__xludf.DUMMYFUNCTION("""COMPUTED_VALUE"""),"Local")</f>
        <v>Local</v>
      </c>
      <c r="N1664" s="8">
        <f ca="1">IFERROR(__xludf.DUMMYFUNCTION("""COMPUTED_VALUE"""),4)</f>
        <v>4</v>
      </c>
      <c r="O1664" s="8" t="str">
        <f ca="1">IFERROR(__xludf.DUMMYFUNCTION("""COMPUTED_VALUE"""),"Winter")</f>
        <v>Winter</v>
      </c>
      <c r="P1664" s="8" t="str">
        <f ca="1">IFERROR(__xludf.DUMMYFUNCTION("""COMPUTED_VALUE"""),"Minneapolis")</f>
        <v>Minneapolis</v>
      </c>
      <c r="Q1664" s="8" t="str">
        <f ca="1">IFERROR(__xludf.DUMMYFUNCTION("""COMPUTED_VALUE"""),"MN")</f>
        <v>MN</v>
      </c>
      <c r="R1664" s="8" t="str">
        <f ca="1">IFERROR(__xludf.DUMMYFUNCTION("""COMPUTED_VALUE"""),"High")</f>
        <v>High</v>
      </c>
      <c r="S1664" s="8" t="str">
        <f ca="1">IFERROR(__xludf.DUMMYFUNCTION("""COMPUTED_VALUE"""),"Front of School")</f>
        <v>Front of School</v>
      </c>
      <c r="T1664" s="8" t="str">
        <f ca="1">IFERROR(__xludf.DUMMYFUNCTION("""COMPUTED_VALUE"""),"Outside on School Property")</f>
        <v>Outside on School Property</v>
      </c>
      <c r="U1664" s="8" t="str">
        <f ca="1">IFERROR(__xludf.DUMMYFUNCTION("""COMPUTED_VALUE"""),"Yes")</f>
        <v>Yes</v>
      </c>
      <c r="V1664" s="8" t="str">
        <f ca="1">IFERROR(__xludf.DUMMYFUNCTION("""COMPUTED_VALUE"""),"Afternoon Classes")</f>
        <v>Afternoon Classes</v>
      </c>
      <c r="W1664" s="11">
        <f ca="1">IFERROR(__xludf.DUMMYFUNCTION("""COMPUTED_VALUE"""),0.520833333333333)</f>
        <v>0.52083333333333304</v>
      </c>
      <c r="X1664" s="8">
        <f ca="1">IFERROR(__xludf.DUMMYFUNCTION("""COMPUTED_VALUE"""),1)</f>
        <v>1</v>
      </c>
      <c r="Y1664" s="12" t="str">
        <f ca="1">IFERROR(__xludf.DUMMYFUNCTION("""COMPUTED_VALUE"""),"Shots fired into the front entry of the school")</f>
        <v>Shots fired into the front entry of the school</v>
      </c>
      <c r="Z1664" s="12" t="str">
        <f ca="1">IFERROR(__xludf.DUMMYFUNCTION("""COMPUTED_VALUE"""),"Students and staff are safe after gunshots fired outside Minneapolis North High School went into the building near the front entrance, according to Minneapolis Public Schools (MPS). The shots were fired around 12:30 p.m. by the sidewalk west of the inters"&amp;"ection of 15th Avenue and Irving Avenue.")</f>
        <v>Students and staff are safe after gunshots fired outside Minneapolis North High School went into the building near the front entrance, according to Minneapolis Public Schools (MPS). The shots were fired around 12:30 p.m. by the sidewalk west of the intersection of 15th Avenue and Irving Avenue.</v>
      </c>
      <c r="AA1664" s="8"/>
      <c r="AB1664" s="8"/>
      <c r="AC1664" s="8" t="str">
        <f ca="1">IFERROR(__xludf.DUMMYFUNCTION("""COMPUTED_VALUE"""),"Yes")</f>
        <v>Yes</v>
      </c>
      <c r="AD1664" s="8"/>
      <c r="AE1664" s="8" t="str">
        <f ca="1">IFERROR(__xludf.DUMMYFUNCTION("""COMPUTED_VALUE"""),"No")</f>
        <v>No</v>
      </c>
      <c r="AF1664" s="8"/>
      <c r="AG1664" s="8" t="str">
        <f ca="1">IFERROR(__xludf.DUMMYFUNCTION("""COMPUTED_VALUE"""),"No")</f>
        <v>No</v>
      </c>
      <c r="AH1664" s="8" t="str">
        <f ca="1">IFERROR(__xludf.DUMMYFUNCTION("""COMPUTED_VALUE"""),"No")</f>
        <v>No</v>
      </c>
      <c r="AI1664" s="8" t="str">
        <f ca="1">IFERROR(__xludf.DUMMYFUNCTION("""COMPUTED_VALUE"""),"No")</f>
        <v>No</v>
      </c>
      <c r="AJ1664" s="8" t="str">
        <f ca="1">IFERROR(__xludf.DUMMYFUNCTION("""COMPUTED_VALUE"""),"No")</f>
        <v>No</v>
      </c>
      <c r="AK1664" s="8" t="str">
        <f ca="1">IFERROR(__xludf.DUMMYFUNCTION("""COMPUTED_VALUE"""),"No")</f>
        <v>No</v>
      </c>
      <c r="AL1664" s="8"/>
      <c r="AM1664" s="8" t="str">
        <f ca="1">IFERROR(__xludf.DUMMYFUNCTION("""COMPUTED_VALUE"""),"No")</f>
        <v>No</v>
      </c>
      <c r="AN1664" s="8"/>
      <c r="AO1664" s="8" t="str">
        <f ca="1">IFERROR(__xludf.DUMMYFUNCTION("""COMPUTED_VALUE"""),"No")</f>
        <v>No</v>
      </c>
      <c r="AP1664" s="8"/>
      <c r="AQ1664" s="8"/>
      <c r="AR1664" s="8" t="str">
        <f ca="1">IFERROR(__xludf.DUMMYFUNCTION("""COMPUTED_VALUE"""),"Outside/Off-Property")</f>
        <v>Outside/Off-Property</v>
      </c>
      <c r="AS1664" s="8">
        <f ca="1">IFERROR(__xludf.DUMMYFUNCTION("""COMPUTED_VALUE"""),99)</f>
        <v>99</v>
      </c>
      <c r="AT1664" s="8" t="str">
        <f ca="1">IFERROR(__xludf.DUMMYFUNCTION("""COMPUTED_VALUE"""),"Yes")</f>
        <v>Yes</v>
      </c>
      <c r="AU1664" s="8">
        <f ca="1">IFERROR(__xludf.DUMMYFUNCTION("""COMPUTED_VALUE"""),44.99402)</f>
        <v>44.994019999999999</v>
      </c>
      <c r="AV1664" s="8">
        <f ca="1">IFERROR(__xludf.DUMMYFUNCTION("""COMPUTED_VALUE"""),-93.3002)</f>
        <v>-93.300200000000004</v>
      </c>
      <c r="AW1664" s="8"/>
      <c r="AX1664" s="8">
        <f ca="1">IFERROR(__xludf.DUMMYFUNCTION("""COMPUTED_VALUE"""),55411)</f>
        <v>55411</v>
      </c>
    </row>
    <row r="1665" spans="1:50" ht="60" x14ac:dyDescent="0.2">
      <c r="A1665" s="8" t="str">
        <f ca="1">IFERROR(__xludf.DUMMYFUNCTION("""COMPUTED_VALUE"""),"20190111ORCAE")</f>
        <v>20190111ORCAE</v>
      </c>
      <c r="B1665" s="8">
        <f ca="1">IFERROR(__xludf.DUMMYFUNCTION("""COMPUTED_VALUE"""),1)</f>
        <v>1</v>
      </c>
      <c r="C1665" s="8">
        <f ca="1">IFERROR(__xludf.DUMMYFUNCTION("""COMPUTED_VALUE"""),11)</f>
        <v>11</v>
      </c>
      <c r="D1665" s="8">
        <f ca="1">IFERROR(__xludf.DUMMYFUNCTION("""COMPUTED_VALUE"""),2019)</f>
        <v>2019</v>
      </c>
      <c r="E1665" s="9">
        <f ca="1">IFERROR(__xludf.DUMMYFUNCTION("""COMPUTED_VALUE"""),43476)</f>
        <v>43476</v>
      </c>
      <c r="F1665" s="8" t="str">
        <f ca="1">IFERROR(__xludf.DUMMYFUNCTION("""COMPUTED_VALUE"""),"Cascade Middle School")</f>
        <v>Cascade Middle School</v>
      </c>
      <c r="G1665" s="8">
        <f ca="1">IFERROR(__xludf.DUMMYFUNCTION("""COMPUTED_VALUE"""),1)</f>
        <v>1</v>
      </c>
      <c r="H1665" s="8">
        <f ca="1">IFERROR(__xludf.DUMMYFUNCTION("""COMPUTED_VALUE"""),0)</f>
        <v>0</v>
      </c>
      <c r="I1665" s="8">
        <f ca="1">IFERROR(__xludf.DUMMYFUNCTION("""COMPUTED_VALUE"""),1)</f>
        <v>1</v>
      </c>
      <c r="J1665" s="8">
        <f ca="1">IFERROR(__xludf.DUMMYFUNCTION("""COMPUTED_VALUE"""),0)</f>
        <v>0</v>
      </c>
      <c r="K1665" s="8" t="str">
        <f ca="1">IFERROR(__xludf.DUMMYFUNCTION("""COMPUTED_VALUE"""),"https://www.opb.org/news/article/cascade-middle-school-shooting-eugene/  https://www.registerguard.com/news/20190111/man-fatally-shot-by-eugene-police-at-cascade-middle-school")</f>
        <v>https://www.opb.org/news/article/cascade-middle-school-shooting-eugene/  https://www.registerguard.com/news/20190111/man-fatally-shot-by-eugene-police-at-cascade-middle-school</v>
      </c>
      <c r="L1665" s="8"/>
      <c r="M1665" s="8"/>
      <c r="N1665" s="8">
        <f ca="1">IFERROR(__xludf.DUMMYFUNCTION("""COMPUTED_VALUE"""),3)</f>
        <v>3</v>
      </c>
      <c r="O1665" s="8" t="str">
        <f ca="1">IFERROR(__xludf.DUMMYFUNCTION("""COMPUTED_VALUE"""),"Winter")</f>
        <v>Winter</v>
      </c>
      <c r="P1665" s="8" t="str">
        <f ca="1">IFERROR(__xludf.DUMMYFUNCTION("""COMPUTED_VALUE"""),"Eugene")</f>
        <v>Eugene</v>
      </c>
      <c r="Q1665" s="8" t="str">
        <f ca="1">IFERROR(__xludf.DUMMYFUNCTION("""COMPUTED_VALUE"""),"OR")</f>
        <v>OR</v>
      </c>
      <c r="R1665" s="8" t="str">
        <f ca="1">IFERROR(__xludf.DUMMYFUNCTION("""COMPUTED_VALUE"""),"Middle")</f>
        <v>Middle</v>
      </c>
      <c r="S1665" s="8" t="str">
        <f ca="1">IFERROR(__xludf.DUMMYFUNCTION("""COMPUTED_VALUE"""),"Front of School")</f>
        <v>Front of School</v>
      </c>
      <c r="T1665" s="8" t="str">
        <f ca="1">IFERROR(__xludf.DUMMYFUNCTION("""COMPUTED_VALUE"""),"Outside on School Property")</f>
        <v>Outside on School Property</v>
      </c>
      <c r="U1665" s="8" t="str">
        <f ca="1">IFERROR(__xludf.DUMMYFUNCTION("""COMPUTED_VALUE"""),"Yes")</f>
        <v>Yes</v>
      </c>
      <c r="V1665" s="8" t="str">
        <f ca="1">IFERROR(__xludf.DUMMYFUNCTION("""COMPUTED_VALUE"""),"Morning Classes")</f>
        <v>Morning Classes</v>
      </c>
      <c r="W1665" s="11">
        <f ca="1">IFERROR(__xludf.DUMMYFUNCTION("""COMPUTED_VALUE"""),0.435416666666666)</f>
        <v>0.43541666666666601</v>
      </c>
      <c r="X1665" s="8">
        <f ca="1">IFERROR(__xludf.DUMMYFUNCTION("""COMPUTED_VALUE"""),1)</f>
        <v>1</v>
      </c>
      <c r="Y1665" s="12" t="str">
        <f ca="1">IFERROR(__xludf.DUMMYFUNCTION("""COMPUTED_VALUE"""),"Parent with gun shot by police following custody dispute")</f>
        <v>Parent with gun shot by police following custody dispute</v>
      </c>
      <c r="Z1665" s="12" t="str">
        <f ca="1">IFERROR(__xludf.DUMMYFUNCTION("""COMPUTED_VALUE"""),"Police responded to school for custody dispute involving an adult male. While escorting the parent from the school, he pulled a handgun and was fatally shot by police officers. School was locked down for 3 hours.")</f>
        <v>Police responded to school for custody dispute involving an adult male. While escorting the parent from the school, he pulled a handgun and was fatally shot by police officers. School was locked down for 3 hours.</v>
      </c>
      <c r="AA1665" s="8" t="str">
        <f ca="1">IFERROR(__xludf.DUMMYFUNCTION("""COMPUTED_VALUE"""),"Domestic w/ Targeted Victim")</f>
        <v>Domestic w/ Targeted Victim</v>
      </c>
      <c r="AB1665" s="8"/>
      <c r="AC1665" s="8" t="str">
        <f ca="1">IFERROR(__xludf.DUMMYFUNCTION("""COMPUTED_VALUE"""),"Yes")</f>
        <v>Yes</v>
      </c>
      <c r="AD1665" s="8" t="str">
        <f ca="1">IFERROR(__xludf.DUMMYFUNCTION("""COMPUTED_VALUE"""),"Victims Targeted")</f>
        <v>Victims Targeted</v>
      </c>
      <c r="AE1665" s="8" t="str">
        <f ca="1">IFERROR(__xludf.DUMMYFUNCTION("""COMPUTED_VALUE"""),"No")</f>
        <v>No</v>
      </c>
      <c r="AF1665" s="8"/>
      <c r="AG1665" s="8" t="str">
        <f ca="1">IFERROR(__xludf.DUMMYFUNCTION("""COMPUTED_VALUE"""),"No")</f>
        <v>No</v>
      </c>
      <c r="AH1665" s="8" t="str">
        <f ca="1">IFERROR(__xludf.DUMMYFUNCTION("""COMPUTED_VALUE"""),"No")</f>
        <v>No</v>
      </c>
      <c r="AI1665" s="8" t="str">
        <f ca="1">IFERROR(__xludf.DUMMYFUNCTION("""COMPUTED_VALUE"""),"No")</f>
        <v>No</v>
      </c>
      <c r="AJ1665" s="8" t="str">
        <f ca="1">IFERROR(__xludf.DUMMYFUNCTION("""COMPUTED_VALUE"""),"No")</f>
        <v>No</v>
      </c>
      <c r="AK1665" s="8" t="str">
        <f ca="1">IFERROR(__xludf.DUMMYFUNCTION("""COMPUTED_VALUE"""),"No")</f>
        <v>No</v>
      </c>
      <c r="AL1665" s="8" t="str">
        <f ca="1">IFERROR(__xludf.DUMMYFUNCTION("""COMPUTED_VALUE"""),"No")</f>
        <v>No</v>
      </c>
      <c r="AM1665" s="8" t="str">
        <f ca="1">IFERROR(__xludf.DUMMYFUNCTION("""COMPUTED_VALUE"""),"No")</f>
        <v>No</v>
      </c>
      <c r="AN1665" s="8"/>
      <c r="AO1665" s="8" t="str">
        <f ca="1">IFERROR(__xludf.DUMMYFUNCTION("""COMPUTED_VALUE"""),"No")</f>
        <v>No</v>
      </c>
      <c r="AP1665" s="8"/>
      <c r="AQ1665" s="8" t="str">
        <f ca="1">IFERROR(__xludf.DUMMYFUNCTION("""COMPUTED_VALUE"""),"Unknown")</f>
        <v>Unknown</v>
      </c>
      <c r="AR1665" s="8" t="str">
        <f ca="1">IFERROR(__xludf.DUMMYFUNCTION("""COMPUTED_VALUE"""),"NA")</f>
        <v>NA</v>
      </c>
      <c r="AS1665" s="8"/>
      <c r="AT1665" s="8" t="str">
        <f ca="1">IFERROR(__xludf.DUMMYFUNCTION("""COMPUTED_VALUE"""),"Yes")</f>
        <v>Yes</v>
      </c>
      <c r="AU1665" s="8">
        <f ca="1">IFERROR(__xludf.DUMMYFUNCTION("""COMPUTED_VALUE"""),44.078703)</f>
        <v>44.078702999999997</v>
      </c>
      <c r="AV1665" s="8">
        <f ca="1">IFERROR(__xludf.DUMMYFUNCTION("""COMPUTED_VALUE"""),-123.167052)</f>
        <v>-123.167052</v>
      </c>
      <c r="AW1665" s="8"/>
      <c r="AX1665" s="8">
        <f ca="1">IFERROR(__xludf.DUMMYFUNCTION("""COMPUTED_VALUE"""),97402)</f>
        <v>97402</v>
      </c>
    </row>
    <row r="1666" spans="1:50" ht="75" x14ac:dyDescent="0.2">
      <c r="A1666" s="8" t="str">
        <f ca="1">IFERROR(__xludf.DUMMYFUNCTION("""COMPUTED_VALUE"""),"20190107CACEB")</f>
        <v>20190107CACEB</v>
      </c>
      <c r="B1666" s="8">
        <f ca="1">IFERROR(__xludf.DUMMYFUNCTION("""COMPUTED_VALUE"""),1)</f>
        <v>1</v>
      </c>
      <c r="C1666" s="8">
        <f ca="1">IFERROR(__xludf.DUMMYFUNCTION("""COMPUTED_VALUE"""),7)</f>
        <v>7</v>
      </c>
      <c r="D1666" s="8">
        <f ca="1">IFERROR(__xludf.DUMMYFUNCTION("""COMPUTED_VALUE"""),2019)</f>
        <v>2019</v>
      </c>
      <c r="E1666" s="9">
        <f ca="1">IFERROR(__xludf.DUMMYFUNCTION("""COMPUTED_VALUE"""),43472)</f>
        <v>43472</v>
      </c>
      <c r="F1666" s="8" t="str">
        <f ca="1">IFERROR(__xludf.DUMMYFUNCTION("""COMPUTED_VALUE"""),"Central Elementary School")</f>
        <v>Central Elementary School</v>
      </c>
      <c r="G1666" s="8">
        <f ca="1">IFERROR(__xludf.DUMMYFUNCTION("""COMPUTED_VALUE"""),1)</f>
        <v>1</v>
      </c>
      <c r="H1666" s="8">
        <f ca="1">IFERROR(__xludf.DUMMYFUNCTION("""COMPUTED_VALUE"""),0)</f>
        <v>0</v>
      </c>
      <c r="I1666" s="8">
        <f ca="1">IFERROR(__xludf.DUMMYFUNCTION("""COMPUTED_VALUE"""),1)</f>
        <v>1</v>
      </c>
      <c r="J1666" s="8">
        <f ca="1">IFERROR(__xludf.DUMMYFUNCTION("""COMPUTED_VALUE"""),0)</f>
        <v>0</v>
      </c>
      <c r="K1666" s="8" t="str">
        <f ca="1">IFERROR(__xludf.DUMMYFUNCTION("""COMPUTED_VALUE"""),"https://abc7news.com/teen-dies-after-police-find-him-shot-in-belmont-school-parking-lot/5035536/  https://www.sfgate.com/crime/article/17-year-old-boy-shot-to-death-at-Belmont-13517127.php https://www.nbcbayarea.com/news/local/police-search-for-suspect-in"&amp;"-shooting-death-of-carlmont-high-student-in-belmont/2943/")</f>
        <v>https://abc7news.com/teen-dies-after-police-find-him-shot-in-belmont-school-parking-lot/5035536/  https://www.sfgate.com/crime/article/17-year-old-boy-shot-to-death-at-Belmont-13517127.php https://www.nbcbayarea.com/news/local/police-search-for-suspect-in-shooting-death-of-carlmont-high-student-in-belmont/2943/</v>
      </c>
      <c r="L1666" s="8"/>
      <c r="M1666" s="8"/>
      <c r="N1666" s="8">
        <f ca="1">IFERROR(__xludf.DUMMYFUNCTION("""COMPUTED_VALUE"""),4)</f>
        <v>4</v>
      </c>
      <c r="O1666" s="8" t="str">
        <f ca="1">IFERROR(__xludf.DUMMYFUNCTION("""COMPUTED_VALUE"""),"Winter")</f>
        <v>Winter</v>
      </c>
      <c r="P1666" s="8" t="str">
        <f ca="1">IFERROR(__xludf.DUMMYFUNCTION("""COMPUTED_VALUE"""),"Belmont")</f>
        <v>Belmont</v>
      </c>
      <c r="Q1666" s="8" t="str">
        <f ca="1">IFERROR(__xludf.DUMMYFUNCTION("""COMPUTED_VALUE"""),"CA")</f>
        <v>CA</v>
      </c>
      <c r="R1666" s="8" t="str">
        <f ca="1">IFERROR(__xludf.DUMMYFUNCTION("""COMPUTED_VALUE"""),"Elementary")</f>
        <v>Elementary</v>
      </c>
      <c r="S1666" s="8" t="str">
        <f ca="1">IFERROR(__xludf.DUMMYFUNCTION("""COMPUTED_VALUE"""),"Parking Lot")</f>
        <v>Parking Lot</v>
      </c>
      <c r="T1666" s="8" t="str">
        <f ca="1">IFERROR(__xludf.DUMMYFUNCTION("""COMPUTED_VALUE"""),"Off School Property")</f>
        <v>Off School Property</v>
      </c>
      <c r="U1666" s="8" t="str">
        <f ca="1">IFERROR(__xludf.DUMMYFUNCTION("""COMPUTED_VALUE"""),"No")</f>
        <v>No</v>
      </c>
      <c r="V1666" s="8" t="str">
        <f ca="1">IFERROR(__xludf.DUMMYFUNCTION("""COMPUTED_VALUE"""),"Night")</f>
        <v>Night</v>
      </c>
      <c r="W1666" s="11">
        <f ca="1">IFERROR(__xludf.DUMMYFUNCTION("""COMPUTED_VALUE"""),0.958333333333333)</f>
        <v>0.95833333333333304</v>
      </c>
      <c r="X1666" s="8">
        <f ca="1">IFERROR(__xludf.DUMMYFUNCTION("""COMPUTED_VALUE"""),1)</f>
        <v>1</v>
      </c>
      <c r="Y1666" s="12" t="str">
        <f ca="1">IFERROR(__xludf.DUMMYFUNCTION("""COMPUTED_VALUE"""),"17YOM high school student shot in elementary school parking lot")</f>
        <v>17YOM high school student shot in elementary school parking lot</v>
      </c>
      <c r="Z1666" s="12" t="str">
        <f ca="1">IFERROR(__xludf.DUMMYFUNCTION("""COMPUTED_VALUE"""),"17YOM varsity athlete shot and killed in elementary school parking lot. Shooter fled the scene. Shooting occurred at night when the school was closed. School was closed following day while police searched for shooter in the neighborhood.")</f>
        <v>17YOM varsity athlete shot and killed in elementary school parking lot. Shooter fled the scene. Shooting occurred at night when the school was closed. School was closed following day while police searched for shooter in the neighborhood.</v>
      </c>
      <c r="AA1666" s="8" t="str">
        <f ca="1">IFERROR(__xludf.DUMMYFUNCTION("""COMPUTED_VALUE"""),"Escalation of Dispute")</f>
        <v>Escalation of Dispute</v>
      </c>
      <c r="AB1666" s="8"/>
      <c r="AC1666" s="8" t="str">
        <f ca="1">IFERROR(__xludf.DUMMYFUNCTION("""COMPUTED_VALUE"""),"Yes")</f>
        <v>Yes</v>
      </c>
      <c r="AD1666" s="8" t="str">
        <f ca="1">IFERROR(__xludf.DUMMYFUNCTION("""COMPUTED_VALUE"""),"Victims Targeted")</f>
        <v>Victims Targeted</v>
      </c>
      <c r="AE1666" s="8"/>
      <c r="AF1666" s="8"/>
      <c r="AG1666" s="8" t="str">
        <f ca="1">IFERROR(__xludf.DUMMYFUNCTION("""COMPUTED_VALUE"""),"No")</f>
        <v>No</v>
      </c>
      <c r="AH1666" s="8" t="str">
        <f ca="1">IFERROR(__xludf.DUMMYFUNCTION("""COMPUTED_VALUE"""),"No")</f>
        <v>No</v>
      </c>
      <c r="AI1666" s="8" t="str">
        <f ca="1">IFERROR(__xludf.DUMMYFUNCTION("""COMPUTED_VALUE"""),"No")</f>
        <v>No</v>
      </c>
      <c r="AJ1666" s="8" t="str">
        <f ca="1">IFERROR(__xludf.DUMMYFUNCTION("""COMPUTED_VALUE"""),"No")</f>
        <v>No</v>
      </c>
      <c r="AK1666" s="8" t="str">
        <f ca="1">IFERROR(__xludf.DUMMYFUNCTION("""COMPUTED_VALUE"""),"No")</f>
        <v>No</v>
      </c>
      <c r="AL1666" s="8" t="str">
        <f ca="1">IFERROR(__xludf.DUMMYFUNCTION("""COMPUTED_VALUE"""),"No")</f>
        <v>No</v>
      </c>
      <c r="AM1666" s="8" t="str">
        <f ca="1">IFERROR(__xludf.DUMMYFUNCTION("""COMPUTED_VALUE"""),"No")</f>
        <v>No</v>
      </c>
      <c r="AN1666" s="8"/>
      <c r="AO1666" s="8" t="str">
        <f ca="1">IFERROR(__xludf.DUMMYFUNCTION("""COMPUTED_VALUE"""),"No")</f>
        <v>No</v>
      </c>
      <c r="AP1666" s="8"/>
      <c r="AQ1666" s="8" t="str">
        <f ca="1">IFERROR(__xludf.DUMMYFUNCTION("""COMPUTED_VALUE"""),"Unknown")</f>
        <v>Unknown</v>
      </c>
      <c r="AR1666" s="8" t="str">
        <f ca="1">IFERROR(__xludf.DUMMYFUNCTION("""COMPUTED_VALUE"""),"NA")</f>
        <v>NA</v>
      </c>
      <c r="AS1666" s="8"/>
      <c r="AT1666" s="8" t="str">
        <f ca="1">IFERROR(__xludf.DUMMYFUNCTION("""COMPUTED_VALUE"""),"N/A")</f>
        <v>N/A</v>
      </c>
      <c r="AU1666" s="8">
        <f ca="1">IFERROR(__xludf.DUMMYFUNCTION("""COMPUTED_VALUE"""),37.524538)</f>
        <v>37.524538</v>
      </c>
      <c r="AV1666" s="8">
        <f ca="1">IFERROR(__xludf.DUMMYFUNCTION("""COMPUTED_VALUE"""),-122.282861)</f>
        <v>-122.282861</v>
      </c>
      <c r="AW1666" s="8"/>
      <c r="AX1666" s="8">
        <f ca="1">IFERROR(__xludf.DUMMYFUNCTION("""COMPUTED_VALUE"""),94002)</f>
        <v>94002</v>
      </c>
    </row>
    <row r="1667" spans="1:50" ht="60" x14ac:dyDescent="0.2">
      <c r="A1667" s="8" t="str">
        <f ca="1">IFERROR(__xludf.DUMMYFUNCTION("""COMPUTED_VALUE"""),"20181218DEAIG")</f>
        <v>20181218DEAIG</v>
      </c>
      <c r="B1667" s="8">
        <f ca="1">IFERROR(__xludf.DUMMYFUNCTION("""COMPUTED_VALUE"""),12)</f>
        <v>12</v>
      </c>
      <c r="C1667" s="8">
        <f ca="1">IFERROR(__xludf.DUMMYFUNCTION("""COMPUTED_VALUE"""),18)</f>
        <v>18</v>
      </c>
      <c r="D1667" s="8">
        <f ca="1">IFERROR(__xludf.DUMMYFUNCTION("""COMPUTED_VALUE"""),2018)</f>
        <v>2018</v>
      </c>
      <c r="E1667" s="9">
        <f ca="1">IFERROR(__xludf.DUMMYFUNCTION("""COMPUTED_VALUE"""),43452)</f>
        <v>43452</v>
      </c>
      <c r="F1667" s="8" t="str">
        <f ca="1">IFERROR(__xludf.DUMMYFUNCTION("""COMPUTED_VALUE"""),"A I du Pont High School")</f>
        <v>A I du Pont High School</v>
      </c>
      <c r="G1667" s="8">
        <f ca="1">IFERROR(__xludf.DUMMYFUNCTION("""COMPUTED_VALUE"""),0)</f>
        <v>0</v>
      </c>
      <c r="H1667" s="8">
        <f ca="1">IFERROR(__xludf.DUMMYFUNCTION("""COMPUTED_VALUE"""),0)</f>
        <v>0</v>
      </c>
      <c r="I1667" s="8">
        <f ca="1">IFERROR(__xludf.DUMMYFUNCTION("""COMPUTED_VALUE"""),0)</f>
        <v>0</v>
      </c>
      <c r="J1667" s="8">
        <f ca="1">IFERROR(__xludf.DUMMYFUNCTION("""COMPUTED_VALUE"""),0)</f>
        <v>0</v>
      </c>
      <c r="K1667" s="10" t="str">
        <f ca="1">IFERROR(__xludf.DUMMYFUNCTION("""COMPUTED_VALUE"""),"https://www.delawareonline.com/story/news/crime/2018/12/18/shots-fired-ai-dupont-high-school/2358011002/")</f>
        <v>https://www.delawareonline.com/story/news/crime/2018/12/18/shots-fired-ai-dupont-high-school/2358011002/</v>
      </c>
      <c r="L1667" s="8"/>
      <c r="M1667" s="8"/>
      <c r="N1667" s="8">
        <f ca="1">IFERROR(__xludf.DUMMYFUNCTION("""COMPUTED_VALUE"""),3)</f>
        <v>3</v>
      </c>
      <c r="O1667" s="8" t="str">
        <f ca="1">IFERROR(__xludf.DUMMYFUNCTION("""COMPUTED_VALUE"""),"Winter")</f>
        <v>Winter</v>
      </c>
      <c r="P1667" s="8" t="str">
        <f ca="1">IFERROR(__xludf.DUMMYFUNCTION("""COMPUTED_VALUE"""),"Greenville")</f>
        <v>Greenville</v>
      </c>
      <c r="Q1667" s="8" t="str">
        <f ca="1">IFERROR(__xludf.DUMMYFUNCTION("""COMPUTED_VALUE"""),"DE")</f>
        <v>DE</v>
      </c>
      <c r="R1667" s="8" t="str">
        <f ca="1">IFERROR(__xludf.DUMMYFUNCTION("""COMPUTED_VALUE"""),"High")</f>
        <v>High</v>
      </c>
      <c r="S1667" s="8" t="str">
        <f ca="1">IFERROR(__xludf.DUMMYFUNCTION("""COMPUTED_VALUE"""),"Parking Lot")</f>
        <v>Parking Lot</v>
      </c>
      <c r="T1667" s="8" t="str">
        <f ca="1">IFERROR(__xludf.DUMMYFUNCTION("""COMPUTED_VALUE"""),"Outside on School Property")</f>
        <v>Outside on School Property</v>
      </c>
      <c r="U1667" s="8" t="str">
        <f ca="1">IFERROR(__xludf.DUMMYFUNCTION("""COMPUTED_VALUE"""),"No")</f>
        <v>No</v>
      </c>
      <c r="V1667" s="8" t="str">
        <f ca="1">IFERROR(__xludf.DUMMYFUNCTION("""COMPUTED_VALUE"""),"Sport Event")</f>
        <v>Sport Event</v>
      </c>
      <c r="W1667" s="11">
        <f ca="1">IFERROR(__xludf.DUMMYFUNCTION("""COMPUTED_VALUE"""),0.822916666666666)</f>
        <v>0.82291666666666596</v>
      </c>
      <c r="X1667" s="8">
        <f ca="1">IFERROR(__xludf.DUMMYFUNCTION("""COMPUTED_VALUE"""),1)</f>
        <v>1</v>
      </c>
      <c r="Y1667" s="12" t="str">
        <f ca="1">IFERROR(__xludf.DUMMYFUNCTION("""COMPUTED_VALUE"""),"Shots fired in parking lot after basketball game, vehicle struck")</f>
        <v>Shots fired in parking lot after basketball game, vehicle struck</v>
      </c>
      <c r="Z1667" s="12" t="str">
        <f ca="1">IFERROR(__xludf.DUMMYFUNCTION("""COMPUTED_VALUE"""),"Shots fired in school parking lot following basketball game. Students inside the school for other activities were locked down. No injuries. No suspect identified. Two vehicles in parking lot were damaged by gunshots.")</f>
        <v>Shots fired in school parking lot following basketball game. Students inside the school for other activities were locked down. No injuries. No suspect identified. Two vehicles in parking lot were damaged by gunshots.</v>
      </c>
      <c r="AA1667" s="8" t="str">
        <f ca="1">IFERROR(__xludf.DUMMYFUNCTION("""COMPUTED_VALUE"""),"Escalation of Dispute")</f>
        <v>Escalation of Dispute</v>
      </c>
      <c r="AB1667" s="8"/>
      <c r="AC1667" s="8" t="str">
        <f ca="1">IFERROR(__xludf.DUMMYFUNCTION("""COMPUTED_VALUE"""),"Yes")</f>
        <v>Yes</v>
      </c>
      <c r="AD1667" s="8"/>
      <c r="AE1667" s="8"/>
      <c r="AF1667" s="8"/>
      <c r="AG1667" s="8" t="str">
        <f ca="1">IFERROR(__xludf.DUMMYFUNCTION("""COMPUTED_VALUE"""),"No")</f>
        <v>No</v>
      </c>
      <c r="AH1667" s="8" t="str">
        <f ca="1">IFERROR(__xludf.DUMMYFUNCTION("""COMPUTED_VALUE"""),"No")</f>
        <v>No</v>
      </c>
      <c r="AI1667" s="8" t="str">
        <f ca="1">IFERROR(__xludf.DUMMYFUNCTION("""COMPUTED_VALUE"""),"No")</f>
        <v>No</v>
      </c>
      <c r="AJ1667" s="8" t="str">
        <f ca="1">IFERROR(__xludf.DUMMYFUNCTION("""COMPUTED_VALUE"""),"No")</f>
        <v>No</v>
      </c>
      <c r="AK1667" s="8" t="str">
        <f ca="1">IFERROR(__xludf.DUMMYFUNCTION("""COMPUTED_VALUE"""),"No")</f>
        <v>No</v>
      </c>
      <c r="AL1667" s="8" t="str">
        <f ca="1">IFERROR(__xludf.DUMMYFUNCTION("""COMPUTED_VALUE"""),"No")</f>
        <v>No</v>
      </c>
      <c r="AM1667" s="8" t="str">
        <f ca="1">IFERROR(__xludf.DUMMYFUNCTION("""COMPUTED_VALUE"""),"No")</f>
        <v>No</v>
      </c>
      <c r="AN1667" s="8"/>
      <c r="AO1667" s="8" t="str">
        <f ca="1">IFERROR(__xludf.DUMMYFUNCTION("""COMPUTED_VALUE"""),"No")</f>
        <v>No</v>
      </c>
      <c r="AP1667" s="8"/>
      <c r="AQ1667" s="8" t="str">
        <f ca="1">IFERROR(__xludf.DUMMYFUNCTION("""COMPUTED_VALUE"""),"Unknown")</f>
        <v>Unknown</v>
      </c>
      <c r="AR1667" s="8" t="str">
        <f ca="1">IFERROR(__xludf.DUMMYFUNCTION("""COMPUTED_VALUE"""),"NA")</f>
        <v>NA</v>
      </c>
      <c r="AS1667" s="8"/>
      <c r="AT1667" s="8" t="str">
        <f ca="1">IFERROR(__xludf.DUMMYFUNCTION("""COMPUTED_VALUE"""),"Yes")</f>
        <v>Yes</v>
      </c>
      <c r="AU1667" s="8">
        <f ca="1">IFERROR(__xludf.DUMMYFUNCTION("""COMPUTED_VALUE"""),39.777464)</f>
        <v>39.777464000000002</v>
      </c>
      <c r="AV1667" s="8">
        <f ca="1">IFERROR(__xludf.DUMMYFUNCTION("""COMPUTED_VALUE"""),-75.601038)</f>
        <v>-75.601038000000003</v>
      </c>
      <c r="AW1667" s="8"/>
      <c r="AX1667" s="8">
        <f ca="1">IFERROR(__xludf.DUMMYFUNCTION("""COMPUTED_VALUE"""),19710)</f>
        <v>19710</v>
      </c>
    </row>
    <row r="1668" spans="1:50" ht="60" x14ac:dyDescent="0.2">
      <c r="A1668" s="8" t="str">
        <f ca="1">IFERROR(__xludf.DUMMYFUNCTION("""COMPUTED_VALUE"""),"20181214MOWIK")</f>
        <v>20181214MOWIK</v>
      </c>
      <c r="B1668" s="8">
        <f ca="1">IFERROR(__xludf.DUMMYFUNCTION("""COMPUTED_VALUE"""),12)</f>
        <v>12</v>
      </c>
      <c r="C1668" s="8">
        <f ca="1">IFERROR(__xludf.DUMMYFUNCTION("""COMPUTED_VALUE"""),14)</f>
        <v>14</v>
      </c>
      <c r="D1668" s="8">
        <f ca="1">IFERROR(__xludf.DUMMYFUNCTION("""COMPUTED_VALUE"""),2018)</f>
        <v>2018</v>
      </c>
      <c r="E1668" s="9">
        <f ca="1">IFERROR(__xludf.DUMMYFUNCTION("""COMPUTED_VALUE"""),43448)</f>
        <v>43448</v>
      </c>
      <c r="F1668" s="8" t="str">
        <f ca="1">IFERROR(__xludf.DUMMYFUNCTION("""COMPUTED_VALUE"""),"Winnetonka High School")</f>
        <v>Winnetonka High School</v>
      </c>
      <c r="G1668" s="8">
        <f ca="1">IFERROR(__xludf.DUMMYFUNCTION("""COMPUTED_VALUE"""),0)</f>
        <v>0</v>
      </c>
      <c r="H1668" s="8">
        <f ca="1">IFERROR(__xludf.DUMMYFUNCTION("""COMPUTED_VALUE"""),0)</f>
        <v>0</v>
      </c>
      <c r="I1668" s="8">
        <f ca="1">IFERROR(__xludf.DUMMYFUNCTION("""COMPUTED_VALUE"""),0)</f>
        <v>0</v>
      </c>
      <c r="J1668" s="8">
        <f ca="1">IFERROR(__xludf.DUMMYFUNCTION("""COMPUTED_VALUE"""),0)</f>
        <v>0</v>
      </c>
      <c r="K1668" s="10" t="str">
        <f ca="1">IFERROR(__xludf.DUMMYFUNCTION("""COMPUTED_VALUE"""),"https://fox4kc.com/2018/12/14/police-investigating-reports-of-shot-fired-into-air-and-shooting-at-2-metro-high-schools/")</f>
        <v>https://fox4kc.com/2018/12/14/police-investigating-reports-of-shot-fired-into-air-and-shooting-at-2-metro-high-schools/</v>
      </c>
      <c r="L1668" s="8"/>
      <c r="M1668" s="8"/>
      <c r="N1668" s="8">
        <f ca="1">IFERROR(__xludf.DUMMYFUNCTION("""COMPUTED_VALUE"""),3)</f>
        <v>3</v>
      </c>
      <c r="O1668" s="8" t="str">
        <f ca="1">IFERROR(__xludf.DUMMYFUNCTION("""COMPUTED_VALUE"""),"Winter")</f>
        <v>Winter</v>
      </c>
      <c r="P1668" s="8" t="str">
        <f ca="1">IFERROR(__xludf.DUMMYFUNCTION("""COMPUTED_VALUE"""),"Kansas City")</f>
        <v>Kansas City</v>
      </c>
      <c r="Q1668" s="8" t="str">
        <f ca="1">IFERROR(__xludf.DUMMYFUNCTION("""COMPUTED_VALUE"""),"MO")</f>
        <v>MO</v>
      </c>
      <c r="R1668" s="8" t="str">
        <f ca="1">IFERROR(__xludf.DUMMYFUNCTION("""COMPUTED_VALUE"""),"High")</f>
        <v>High</v>
      </c>
      <c r="S1668" s="8" t="str">
        <f ca="1">IFERROR(__xludf.DUMMYFUNCTION("""COMPUTED_VALUE"""),"Parking Lot")</f>
        <v>Parking Lot</v>
      </c>
      <c r="T1668" s="8" t="str">
        <f ca="1">IFERROR(__xludf.DUMMYFUNCTION("""COMPUTED_VALUE"""),"Outside on School Property")</f>
        <v>Outside on School Property</v>
      </c>
      <c r="U1668" s="8" t="str">
        <f ca="1">IFERROR(__xludf.DUMMYFUNCTION("""COMPUTED_VALUE"""),"Yes")</f>
        <v>Yes</v>
      </c>
      <c r="V1668" s="8" t="str">
        <f ca="1">IFERROR(__xludf.DUMMYFUNCTION("""COMPUTED_VALUE"""),"Dismissal")</f>
        <v>Dismissal</v>
      </c>
      <c r="W1668" s="11">
        <f ca="1">IFERROR(__xludf.DUMMYFUNCTION("""COMPUTED_VALUE"""),0.625)</f>
        <v>0.625</v>
      </c>
      <c r="X1668" s="8">
        <f ca="1">IFERROR(__xludf.DUMMYFUNCTION("""COMPUTED_VALUE"""),1)</f>
        <v>1</v>
      </c>
      <c r="Y1668" s="12" t="str">
        <f ca="1">IFERROR(__xludf.DUMMYFUNCTION("""COMPUTED_VALUE"""),"Student fired gun into air in parking lot. School locked down.")</f>
        <v>Student fired gun into air in parking lot. School locked down.</v>
      </c>
      <c r="Z1668" s="12" t="str">
        <f ca="1">IFERROR(__xludf.DUMMYFUNCTION("""COMPUTED_VALUE"""),"Student fired gun into the air in the school parking lot during dismissal. The students still in the school were locked down. Shooter fled the area. No injuries reported.")</f>
        <v>Student fired gun into the air in the school parking lot during dismissal. The students still in the school were locked down. Shooter fled the area. No injuries reported.</v>
      </c>
      <c r="AA1668" s="8" t="str">
        <f ca="1">IFERROR(__xludf.DUMMYFUNCTION("""COMPUTED_VALUE"""),"Escalation of Dispute")</f>
        <v>Escalation of Dispute</v>
      </c>
      <c r="AB1668" s="8"/>
      <c r="AC1668" s="8" t="str">
        <f ca="1">IFERROR(__xludf.DUMMYFUNCTION("""COMPUTED_VALUE"""),"Yes")</f>
        <v>Yes</v>
      </c>
      <c r="AD1668" s="8" t="str">
        <f ca="1">IFERROR(__xludf.DUMMYFUNCTION("""COMPUTED_VALUE"""),"Neither")</f>
        <v>Neither</v>
      </c>
      <c r="AE1668" s="8"/>
      <c r="AF1668" s="8"/>
      <c r="AG1668" s="8" t="str">
        <f ca="1">IFERROR(__xludf.DUMMYFUNCTION("""COMPUTED_VALUE"""),"No")</f>
        <v>No</v>
      </c>
      <c r="AH1668" s="8" t="str">
        <f ca="1">IFERROR(__xludf.DUMMYFUNCTION("""COMPUTED_VALUE"""),"No")</f>
        <v>No</v>
      </c>
      <c r="AI1668" s="8" t="str">
        <f ca="1">IFERROR(__xludf.DUMMYFUNCTION("""COMPUTED_VALUE"""),"No")</f>
        <v>No</v>
      </c>
      <c r="AJ1668" s="8"/>
      <c r="AK1668" s="8"/>
      <c r="AL1668" s="8"/>
      <c r="AM1668" s="8" t="str">
        <f ca="1">IFERROR(__xludf.DUMMYFUNCTION("""COMPUTED_VALUE"""),"No")</f>
        <v>No</v>
      </c>
      <c r="AN1668" s="8"/>
      <c r="AO1668" s="8" t="str">
        <f ca="1">IFERROR(__xludf.DUMMYFUNCTION("""COMPUTED_VALUE"""),"No")</f>
        <v>No</v>
      </c>
      <c r="AP1668" s="8"/>
      <c r="AQ1668" s="8" t="str">
        <f ca="1">IFERROR(__xludf.DUMMYFUNCTION("""COMPUTED_VALUE"""),"Unknown")</f>
        <v>Unknown</v>
      </c>
      <c r="AR1668" s="8" t="str">
        <f ca="1">IFERROR(__xludf.DUMMYFUNCTION("""COMPUTED_VALUE"""),"NA")</f>
        <v>NA</v>
      </c>
      <c r="AS1668" s="8">
        <f ca="1">IFERROR(__xludf.DUMMYFUNCTION("""COMPUTED_VALUE"""),1)</f>
        <v>1</v>
      </c>
      <c r="AT1668" s="8" t="str">
        <f ca="1">IFERROR(__xludf.DUMMYFUNCTION("""COMPUTED_VALUE"""),"Yes")</f>
        <v>Yes</v>
      </c>
      <c r="AU1668" s="8">
        <f ca="1">IFERROR(__xludf.DUMMYFUNCTION("""COMPUTED_VALUE"""),39.17918)</f>
        <v>39.179180000000002</v>
      </c>
      <c r="AV1668" s="8">
        <f ca="1">IFERROR(__xludf.DUMMYFUNCTION("""COMPUTED_VALUE"""),-94.508088)</f>
        <v>-94.508088000000001</v>
      </c>
      <c r="AW1668" s="8"/>
      <c r="AX1668" s="8">
        <f ca="1">IFERROR(__xludf.DUMMYFUNCTION("""COMPUTED_VALUE"""),64117)</f>
        <v>64117</v>
      </c>
    </row>
    <row r="1669" spans="1:50" ht="270" x14ac:dyDescent="0.2">
      <c r="A1669" s="8" t="str">
        <f ca="1">IFERROR(__xludf.DUMMYFUNCTION("""COMPUTED_VALUE"""),"20181213INDER")</f>
        <v>20181213INDER</v>
      </c>
      <c r="B1669" s="8">
        <f ca="1">IFERROR(__xludf.DUMMYFUNCTION("""COMPUTED_VALUE"""),12)</f>
        <v>12</v>
      </c>
      <c r="C1669" s="8">
        <f ca="1">IFERROR(__xludf.DUMMYFUNCTION("""COMPUTED_VALUE"""),13)</f>
        <v>13</v>
      </c>
      <c r="D1669" s="8">
        <f ca="1">IFERROR(__xludf.DUMMYFUNCTION("""COMPUTED_VALUE"""),2018)</f>
        <v>2018</v>
      </c>
      <c r="E1669" s="9">
        <f ca="1">IFERROR(__xludf.DUMMYFUNCTION("""COMPUTED_VALUE"""),43447)</f>
        <v>43447</v>
      </c>
      <c r="F1669" s="8" t="str">
        <f ca="1">IFERROR(__xludf.DUMMYFUNCTION("""COMPUTED_VALUE"""),"Dennis Intermediate School")</f>
        <v>Dennis Intermediate School</v>
      </c>
      <c r="G1669" s="8">
        <f ca="1">IFERROR(__xludf.DUMMYFUNCTION("""COMPUTED_VALUE"""),0)</f>
        <v>0</v>
      </c>
      <c r="H1669" s="8">
        <f ca="1">IFERROR(__xludf.DUMMYFUNCTION("""COMPUTED_VALUE"""),0)</f>
        <v>0</v>
      </c>
      <c r="I1669" s="8">
        <f ca="1">IFERROR(__xludf.DUMMYFUNCTION("""COMPUTED_VALUE"""),0)</f>
        <v>0</v>
      </c>
      <c r="J1669" s="8">
        <f ca="1">IFERROR(__xludf.DUMMYFUNCTION("""COMPUTED_VALUE"""),1)</f>
        <v>1</v>
      </c>
      <c r="K1669" s="8" t="str">
        <f ca="1">IFERROR(__xludf.DUMMYFUNCTION("""COMPUTED_VALUE"""),"https://www.cnn.com/2018/12/13/us/richmond-indiana-active-shooter-school/index.html https://www.cbsnews.com/news/richmond-indiana-school-shooting-woman-says-suspect-threatened-father/ https://www.theindychannel.com/news/call-6-investigators/call-6-richmon"&amp;"d-school-shooter-had-rifle-handgun-explosives https://www.theindychannel.com/news/call-6-investigators/call-6-richmond-school-shooter-got-guns-from-gun-cabinet-in-his-home https://www.daytondailynews.com/news/local/investigation-into-shooting-richmond-int"&amp;"ermediate-complete/pzQi7yU9RiduA7lLfXQKSO/ https://www.wndu.com/content/news/Indiana-police-release-new-details-about-school-shooting-508072851.html https://www.pal-item.com/story/news/crime/2019/04/02/indiana-state-police-shed-new-light-dennis-school-sho"&amp;"oting-incident/3341861002/ https://cbs4indy.com/news/police-dennis-intermediate-shooter-had-plan-of-action-wanted-to-cause-maximum-damage/")</f>
        <v>https://www.cnn.com/2018/12/13/us/richmond-indiana-active-shooter-school/index.html https://www.cbsnews.com/news/richmond-indiana-school-shooting-woman-says-suspect-threatened-father/ https://www.theindychannel.com/news/call-6-investigators/call-6-richmond-school-shooter-had-rifle-handgun-explosives https://www.theindychannel.com/news/call-6-investigators/call-6-richmond-school-shooter-got-guns-from-gun-cabinet-in-his-home https://www.daytondailynews.com/news/local/investigation-into-shooting-richmond-intermediate-complete/pzQi7yU9RiduA7lLfXQKSO/ https://www.wndu.com/content/news/Indiana-police-release-new-details-about-school-shooting-508072851.html https://www.pal-item.com/story/news/crime/2019/04/02/indiana-state-police-shed-new-light-dennis-school-shooting-incident/3341861002/ https://cbs4indy.com/news/police-dennis-intermediate-shooter-had-plan-of-action-wanted-to-cause-maximum-damage/</v>
      </c>
      <c r="L1669" s="8">
        <f ca="1">IFERROR(__xludf.DUMMYFUNCTION("""COMPUTED_VALUE"""),11)</f>
        <v>11</v>
      </c>
      <c r="M1669" s="8" t="str">
        <f ca="1">IFERROR(__xludf.DUMMYFUNCTION("""COMPUTED_VALUE"""),"National")</f>
        <v>National</v>
      </c>
      <c r="N1669" s="8">
        <f ca="1">IFERROR(__xludf.DUMMYFUNCTION("""COMPUTED_VALUE"""),4)</f>
        <v>4</v>
      </c>
      <c r="O1669" s="8" t="str">
        <f ca="1">IFERROR(__xludf.DUMMYFUNCTION("""COMPUTED_VALUE"""),"Winter")</f>
        <v>Winter</v>
      </c>
      <c r="P1669" s="8" t="str">
        <f ca="1">IFERROR(__xludf.DUMMYFUNCTION("""COMPUTED_VALUE"""),"Richmond")</f>
        <v>Richmond</v>
      </c>
      <c r="Q1669" s="8" t="str">
        <f ca="1">IFERROR(__xludf.DUMMYFUNCTION("""COMPUTED_VALUE"""),"IN")</f>
        <v>IN</v>
      </c>
      <c r="R1669" s="8" t="str">
        <f ca="1">IFERROR(__xludf.DUMMYFUNCTION("""COMPUTED_VALUE"""),"Middle")</f>
        <v>Middle</v>
      </c>
      <c r="S1669" s="8" t="str">
        <f ca="1">IFERROR(__xludf.DUMMYFUNCTION("""COMPUTED_VALUE"""),"Hallway")</f>
        <v>Hallway</v>
      </c>
      <c r="T1669" s="8" t="str">
        <f ca="1">IFERROR(__xludf.DUMMYFUNCTION("""COMPUTED_VALUE"""),"Inside School Building")</f>
        <v>Inside School Building</v>
      </c>
      <c r="U1669" s="8" t="str">
        <f ca="1">IFERROR(__xludf.DUMMYFUNCTION("""COMPUTED_VALUE"""),"Yes")</f>
        <v>Yes</v>
      </c>
      <c r="V1669" s="8" t="str">
        <f ca="1">IFERROR(__xludf.DUMMYFUNCTION("""COMPUTED_VALUE"""),"Morning Classes")</f>
        <v>Morning Classes</v>
      </c>
      <c r="W1669" s="11">
        <f ca="1">IFERROR(__xludf.DUMMYFUNCTION("""COMPUTED_VALUE"""),0.333333333333333)</f>
        <v>0.33333333333333298</v>
      </c>
      <c r="X1669" s="8"/>
      <c r="Y1669" s="12" t="str">
        <f ca="1">IFERROR(__xludf.DUMMYFUNCTION("""COMPUTED_VALUE"""),"14YOM planned attack on the school but was confronted by police on-scene thanks to a tip")</f>
        <v>14YOM planned attack on the school but was confronted by police on-scene thanks to a tip</v>
      </c>
      <c r="Z1669" s="12" t="str">
        <f ca="1">IFERROR(__xludf.DUMMYFUNCTION("""COMPUTED_VALUE"""),"14YOM, former student of a school in the district, planned to shoot up the school. Police were tipped off and schools in the area were put in lockdown before shooter and police arrived. Police went straight to the school and found suspect who allegedly sh"&amp;"ot out the glass of a locked entry door to the gain entry. Shooter shot fatally himself shortly after he was engaged by police. An Indiana State Police spokesman says a 14 year-old boy who exchanged gunfire with officers at an eastern Indiana middle schoo"&amp;"l before taking his own life. He was armed with a rifle, a semi-automatic pistol, and materials that could be used to make Molotov cocktails. Extensive planning documents found by police. Intended to kill as many students as possible.
 Mother is charged"&amp;" with 6 felonies. (https://www.aol.com/article/news/2019/10/21/mary-york-school-shooter-mom-dennis-intermediate-school-felony-14 year-old/23843900/)")</f>
        <v>14YOM, former student of a school in the district, planned to shoot up the school. Police were tipped off and schools in the area were put in lockdown before shooter and police arrived. Police went straight to the school and found suspect who allegedly shot out the glass of a locked entry door to the gain entry. Shooter shot fatally himself shortly after he was engaged by police. An Indiana State Police spokesman says a 14 year-old boy who exchanged gunfire with officers at an eastern Indiana middle school before taking his own life. He was armed with a rifle, a semi-automatic pistol, and materials that could be used to make Molotov cocktails. Extensive planning documents found by police. Intended to kill as many students as possible.
 Mother is charged with 6 felonies. (https://www.aol.com/article/news/2019/10/21/mary-york-school-shooter-mom-dennis-intermediate-school-felony-14 year-old/23843900/)</v>
      </c>
      <c r="AA1669" s="8" t="str">
        <f ca="1">IFERROR(__xludf.DUMMYFUNCTION("""COMPUTED_VALUE"""),"Indiscriminate Shooting")</f>
        <v>Indiscriminate Shooting</v>
      </c>
      <c r="AB1669" s="8"/>
      <c r="AC1669" s="8" t="str">
        <f ca="1">IFERROR(__xludf.DUMMYFUNCTION("""COMPUTED_VALUE"""),"Yes")</f>
        <v>Yes</v>
      </c>
      <c r="AD1669" s="8"/>
      <c r="AE1669" s="8" t="str">
        <f ca="1">IFERROR(__xludf.DUMMYFUNCTION("""COMPUTED_VALUE"""),"No")</f>
        <v>No</v>
      </c>
      <c r="AF1669" s="8"/>
      <c r="AG1669" s="8" t="str">
        <f ca="1">IFERROR(__xludf.DUMMYFUNCTION("""COMPUTED_VALUE"""),"No")</f>
        <v>No</v>
      </c>
      <c r="AH1669" s="8" t="str">
        <f ca="1">IFERROR(__xludf.DUMMYFUNCTION("""COMPUTED_VALUE"""),"No")</f>
        <v>No</v>
      </c>
      <c r="AI1669" s="8" t="str">
        <f ca="1">IFERROR(__xludf.DUMMYFUNCTION("""COMPUTED_VALUE"""),"No")</f>
        <v>No</v>
      </c>
      <c r="AJ1669" s="8" t="str">
        <f ca="1">IFERROR(__xludf.DUMMYFUNCTION("""COMPUTED_VALUE"""),"Yes")</f>
        <v>Yes</v>
      </c>
      <c r="AK1669" s="8" t="str">
        <f ca="1">IFERROR(__xludf.DUMMYFUNCTION("""COMPUTED_VALUE"""),"No")</f>
        <v>No</v>
      </c>
      <c r="AL1669" s="8" t="str">
        <f ca="1">IFERROR(__xludf.DUMMYFUNCTION("""COMPUTED_VALUE"""),"No")</f>
        <v>No</v>
      </c>
      <c r="AM1669" s="8" t="str">
        <f ca="1">IFERROR(__xludf.DUMMYFUNCTION("""COMPUTED_VALUE"""),"Yes")</f>
        <v>Yes</v>
      </c>
      <c r="AN1669" s="8" t="str">
        <f ca="1">IFERROR(__xludf.DUMMYFUNCTION("""COMPUTED_VALUE"""),"Hallway")</f>
        <v>Hallway</v>
      </c>
      <c r="AO1669" s="8" t="str">
        <f ca="1">IFERROR(__xludf.DUMMYFUNCTION("""COMPUTED_VALUE"""),"Yes")</f>
        <v>Yes</v>
      </c>
      <c r="AP1669" s="8" t="str">
        <f ca="1">IFERROR(__xludf.DUMMYFUNCTION("""COMPUTED_VALUE"""),"No")</f>
        <v>No</v>
      </c>
      <c r="AQ1669" s="8" t="str">
        <f ca="1">IFERROR(__xludf.DUMMYFUNCTION("""COMPUTED_VALUE"""),"Unknown")</f>
        <v>Unknown</v>
      </c>
      <c r="AR1669" s="8" t="str">
        <f ca="1">IFERROR(__xludf.DUMMYFUNCTION("""COMPUTED_VALUE"""),"NA")</f>
        <v>NA</v>
      </c>
      <c r="AS1669" s="8"/>
      <c r="AT1669" s="8" t="str">
        <f ca="1">IFERROR(__xludf.DUMMYFUNCTION("""COMPUTED_VALUE"""),"Yes")</f>
        <v>Yes</v>
      </c>
      <c r="AU1669" s="8">
        <f ca="1">IFERROR(__xludf.DUMMYFUNCTION("""COMPUTED_VALUE"""),39.831698)</f>
        <v>39.831698000000003</v>
      </c>
      <c r="AV1669" s="8">
        <f ca="1">IFERROR(__xludf.DUMMYFUNCTION("""COMPUTED_VALUE"""),-84.911366)</f>
        <v>-84.911366000000001</v>
      </c>
      <c r="AW1669" s="8"/>
      <c r="AX1669" s="8">
        <f ca="1">IFERROR(__xludf.DUMMYFUNCTION("""COMPUTED_VALUE"""),47374)</f>
        <v>47374</v>
      </c>
    </row>
    <row r="1670" spans="1:50" ht="60" x14ac:dyDescent="0.2">
      <c r="A1670" s="8" t="str">
        <f ca="1">IFERROR(__xludf.DUMMYFUNCTION("""COMPUTED_VALUE"""),"20181211KYCAC")</f>
        <v>20181211KYCAC</v>
      </c>
      <c r="B1670" s="8">
        <f ca="1">IFERROR(__xludf.DUMMYFUNCTION("""COMPUTED_VALUE"""),12)</f>
        <v>12</v>
      </c>
      <c r="C1670" s="8">
        <f ca="1">IFERROR(__xludf.DUMMYFUNCTION("""COMPUTED_VALUE"""),11)</f>
        <v>11</v>
      </c>
      <c r="D1670" s="8">
        <f ca="1">IFERROR(__xludf.DUMMYFUNCTION("""COMPUTED_VALUE"""),2018)</f>
        <v>2018</v>
      </c>
      <c r="E1670" s="9">
        <f ca="1">IFERROR(__xludf.DUMMYFUNCTION("""COMPUTED_VALUE"""),43445)</f>
        <v>43445</v>
      </c>
      <c r="F1670" s="8" t="str">
        <f ca="1">IFERROR(__xludf.DUMMYFUNCTION("""COMPUTED_VALUE"""),"Cawood Elementary School")</f>
        <v>Cawood Elementary School</v>
      </c>
      <c r="G1670" s="8">
        <f ca="1">IFERROR(__xludf.DUMMYFUNCTION("""COMPUTED_VALUE"""),0)</f>
        <v>0</v>
      </c>
      <c r="H1670" s="8">
        <f ca="1">IFERROR(__xludf.DUMMYFUNCTION("""COMPUTED_VALUE"""),2)</f>
        <v>2</v>
      </c>
      <c r="I1670" s="8">
        <f ca="1">IFERROR(__xludf.DUMMYFUNCTION("""COMPUTED_VALUE"""),2)</f>
        <v>2</v>
      </c>
      <c r="J1670" s="8">
        <f ca="1">IFERROR(__xludf.DUMMYFUNCTION("""COMPUTED_VALUE"""),0)</f>
        <v>0</v>
      </c>
      <c r="K1670" s="8" t="str">
        <f ca="1">IFERROR(__xludf.DUMMYFUNCTION("""COMPUTED_VALUE"""),"https://www.wvlt.tv/content/news/Harlan-Co-school-shooting-leaves-two-injured-one-in-critical-condition-502593541.html https://www.wbir.com/article/news/crime/two-injured-in-ky-elementary-school-parking-lot-shooting-ksp-says/51-53b07dbf-18b1-4c83-8941-5a6"&amp;"f209a4975 https://www.wkyt.com/content/news/Fourth-arrest-made-in--503840151.html")</f>
        <v>https://www.wvlt.tv/content/news/Harlan-Co-school-shooting-leaves-two-injured-one-in-critical-condition-502593541.html https://www.wbir.com/article/news/crime/two-injured-in-ky-elementary-school-parking-lot-shooting-ksp-says/51-53b07dbf-18b1-4c83-8941-5a6f209a4975 https://www.wkyt.com/content/news/Fourth-arrest-made-in--503840151.html</v>
      </c>
      <c r="L1670" s="8"/>
      <c r="M1670" s="8"/>
      <c r="N1670" s="8">
        <f ca="1">IFERROR(__xludf.DUMMYFUNCTION("""COMPUTED_VALUE"""),3)</f>
        <v>3</v>
      </c>
      <c r="O1670" s="8" t="str">
        <f ca="1">IFERROR(__xludf.DUMMYFUNCTION("""COMPUTED_VALUE"""),"Winter")</f>
        <v>Winter</v>
      </c>
      <c r="P1670" s="8" t="str">
        <f ca="1">IFERROR(__xludf.DUMMYFUNCTION("""COMPUTED_VALUE"""),"Cawood")</f>
        <v>Cawood</v>
      </c>
      <c r="Q1670" s="8" t="str">
        <f ca="1">IFERROR(__xludf.DUMMYFUNCTION("""COMPUTED_VALUE"""),"KY")</f>
        <v>KY</v>
      </c>
      <c r="R1670" s="8" t="str">
        <f ca="1">IFERROR(__xludf.DUMMYFUNCTION("""COMPUTED_VALUE"""),"Elementary")</f>
        <v>Elementary</v>
      </c>
      <c r="S1670" s="8" t="str">
        <f ca="1">IFERROR(__xludf.DUMMYFUNCTION("""COMPUTED_VALUE"""),"Parking Lot")</f>
        <v>Parking Lot</v>
      </c>
      <c r="T1670" s="8" t="str">
        <f ca="1">IFERROR(__xludf.DUMMYFUNCTION("""COMPUTED_VALUE"""),"Outside on School Property")</f>
        <v>Outside on School Property</v>
      </c>
      <c r="U1670" s="8" t="str">
        <f ca="1">IFERROR(__xludf.DUMMYFUNCTION("""COMPUTED_VALUE"""),"No")</f>
        <v>No</v>
      </c>
      <c r="V1670" s="8" t="str">
        <f ca="1">IFERROR(__xludf.DUMMYFUNCTION("""COMPUTED_VALUE"""),"Evening")</f>
        <v>Evening</v>
      </c>
      <c r="W1670" s="11">
        <f ca="1">IFERROR(__xludf.DUMMYFUNCTION("""COMPUTED_VALUE"""),0.861805555555555)</f>
        <v>0.86180555555555505</v>
      </c>
      <c r="X1670" s="8">
        <f ca="1">IFERROR(__xludf.DUMMYFUNCTION("""COMPUTED_VALUE"""),1)</f>
        <v>1</v>
      </c>
      <c r="Y1670" s="12" t="str">
        <f ca="1">IFERROR(__xludf.DUMMYFUNCTION("""COMPUTED_VALUE"""),"20YOM and 15YOF shot with pellet gun in parking lot of school")</f>
        <v>20YOM and 15YOF shot with pellet gun in parking lot of school</v>
      </c>
      <c r="Z1670" s="12" t="str">
        <f ca="1">IFERROR(__xludf.DUMMYFUNCTION("""COMPUTED_VALUE"""),"20YOM and 15YOF were shot by a pellet gun in the parking lot of the high school. Shooter and victims fled the area. 20YOM was shot in eye and transported to hospital. Building sustained property damage.")</f>
        <v>20YOM and 15YOF were shot by a pellet gun in the parking lot of the high school. Shooter and victims fled the area. 20YOM was shot in eye and transported to hospital. Building sustained property damage.</v>
      </c>
      <c r="AA1670" s="8" t="str">
        <f ca="1">IFERROR(__xludf.DUMMYFUNCTION("""COMPUTED_VALUE"""),"Unknown")</f>
        <v>Unknown</v>
      </c>
      <c r="AB1670" s="8"/>
      <c r="AC1670" s="8" t="str">
        <f ca="1">IFERROR(__xludf.DUMMYFUNCTION("""COMPUTED_VALUE"""),"Yes")</f>
        <v>Yes</v>
      </c>
      <c r="AD1670" s="8"/>
      <c r="AE1670" s="8" t="str">
        <f ca="1">IFERROR(__xludf.DUMMYFUNCTION("""COMPUTED_VALUE"""),"Yes")</f>
        <v>Yes</v>
      </c>
      <c r="AF1670" s="8" t="str">
        <f ca="1">IFERROR(__xludf.DUMMYFUNCTION("""COMPUTED_VALUE"""),"Group fled, police investigating and 4 suspects arrested")</f>
        <v>Group fled, police investigating and 4 suspects arrested</v>
      </c>
      <c r="AG1670" s="8" t="str">
        <f ca="1">IFERROR(__xludf.DUMMYFUNCTION("""COMPUTED_VALUE"""),"No")</f>
        <v>No</v>
      </c>
      <c r="AH1670" s="8" t="str">
        <f ca="1">IFERROR(__xludf.DUMMYFUNCTION("""COMPUTED_VALUE"""),"No")</f>
        <v>No</v>
      </c>
      <c r="AI1670" s="8" t="str">
        <f ca="1">IFERROR(__xludf.DUMMYFUNCTION("""COMPUTED_VALUE"""),"No")</f>
        <v>No</v>
      </c>
      <c r="AJ1670" s="8" t="str">
        <f ca="1">IFERROR(__xludf.DUMMYFUNCTION("""COMPUTED_VALUE"""),"No")</f>
        <v>No</v>
      </c>
      <c r="AK1670" s="8" t="str">
        <f ca="1">IFERROR(__xludf.DUMMYFUNCTION("""COMPUTED_VALUE"""),"No")</f>
        <v>No</v>
      </c>
      <c r="AL1670" s="8" t="str">
        <f ca="1">IFERROR(__xludf.DUMMYFUNCTION("""COMPUTED_VALUE"""),"No")</f>
        <v>No</v>
      </c>
      <c r="AM1670" s="8" t="str">
        <f ca="1">IFERROR(__xludf.DUMMYFUNCTION("""COMPUTED_VALUE"""),"No")</f>
        <v>No</v>
      </c>
      <c r="AN1670" s="8"/>
      <c r="AO1670" s="8" t="str">
        <f ca="1">IFERROR(__xludf.DUMMYFUNCTION("""COMPUTED_VALUE"""),"No")</f>
        <v>No</v>
      </c>
      <c r="AP1670" s="8"/>
      <c r="AQ1670" s="8" t="str">
        <f ca="1">IFERROR(__xludf.DUMMYFUNCTION("""COMPUTED_VALUE"""),"Unknown")</f>
        <v>Unknown</v>
      </c>
      <c r="AR1670" s="8" t="str">
        <f ca="1">IFERROR(__xludf.DUMMYFUNCTION("""COMPUTED_VALUE"""),"NA")</f>
        <v>NA</v>
      </c>
      <c r="AS1670" s="8"/>
      <c r="AT1670" s="8"/>
      <c r="AU1670" s="8">
        <f ca="1">IFERROR(__xludf.DUMMYFUNCTION("""COMPUTED_VALUE"""),36.784564)</f>
        <v>36.784564000000003</v>
      </c>
      <c r="AV1670" s="8">
        <f ca="1">IFERROR(__xludf.DUMMYFUNCTION("""COMPUTED_VALUE"""),-83.230188)</f>
        <v>-83.230187999999998</v>
      </c>
      <c r="AW1670" s="8"/>
      <c r="AX1670" s="8">
        <f ca="1">IFERROR(__xludf.DUMMYFUNCTION("""COMPUTED_VALUE"""),40815)</f>
        <v>40815</v>
      </c>
    </row>
    <row r="1671" spans="1:50" ht="45" x14ac:dyDescent="0.2">
      <c r="A1671" s="8" t="str">
        <f ca="1">IFERROR(__xludf.DUMMYFUNCTION("""COMPUTED_VALUE"""),"20181210NYJEJ")</f>
        <v>20181210NYJEJ</v>
      </c>
      <c r="B1671" s="8">
        <f ca="1">IFERROR(__xludf.DUMMYFUNCTION("""COMPUTED_VALUE"""),12)</f>
        <v>12</v>
      </c>
      <c r="C1671" s="8">
        <f ca="1">IFERROR(__xludf.DUMMYFUNCTION("""COMPUTED_VALUE"""),10)</f>
        <v>10</v>
      </c>
      <c r="D1671" s="8">
        <f ca="1">IFERROR(__xludf.DUMMYFUNCTION("""COMPUTED_VALUE"""),2018)</f>
        <v>2018</v>
      </c>
      <c r="E1671" s="9">
        <f ca="1">IFERROR(__xludf.DUMMYFUNCTION("""COMPUTED_VALUE"""),43444)</f>
        <v>43444</v>
      </c>
      <c r="F1671" s="8" t="str">
        <f ca="1">IFERROR(__xludf.DUMMYFUNCTION("""COMPUTED_VALUE"""),"Jefferson High School")</f>
        <v>Jefferson High School</v>
      </c>
      <c r="G1671" s="8">
        <f ca="1">IFERROR(__xludf.DUMMYFUNCTION("""COMPUTED_VALUE"""),0)</f>
        <v>0</v>
      </c>
      <c r="H1671" s="8">
        <f ca="1">IFERROR(__xludf.DUMMYFUNCTION("""COMPUTED_VALUE"""),0)</f>
        <v>0</v>
      </c>
      <c r="I1671" s="8">
        <f ca="1">IFERROR(__xludf.DUMMYFUNCTION("""COMPUTED_VALUE"""),0)</f>
        <v>0</v>
      </c>
      <c r="J1671" s="8">
        <f ca="1">IFERROR(__xludf.DUMMYFUNCTION("""COMPUTED_VALUE"""),1)</f>
        <v>1</v>
      </c>
      <c r="K1671" s="10" t="str">
        <f ca="1">IFERROR(__xludf.DUMMYFUNCTION("""COMPUTED_VALUE"""),"https://democratherald.com/news/local/sheriff-death-of-teen-in-jefferson-apparently-suicide/article_3eb0d660-a01e-55d9-8d38-076025be56cb.html")</f>
        <v>https://democratherald.com/news/local/sheriff-death-of-teen-in-jefferson-apparently-suicide/article_3eb0d660-a01e-55d9-8d38-076025be56cb.html</v>
      </c>
      <c r="L1671" s="8"/>
      <c r="M1671" s="8"/>
      <c r="N1671" s="8">
        <f ca="1">IFERROR(__xludf.DUMMYFUNCTION("""COMPUTED_VALUE"""),3)</f>
        <v>3</v>
      </c>
      <c r="O1671" s="8" t="str">
        <f ca="1">IFERROR(__xludf.DUMMYFUNCTION("""COMPUTED_VALUE"""),"Winter")</f>
        <v>Winter</v>
      </c>
      <c r="P1671" s="8" t="str">
        <f ca="1">IFERROR(__xludf.DUMMYFUNCTION("""COMPUTED_VALUE"""),"Jefferson")</f>
        <v>Jefferson</v>
      </c>
      <c r="Q1671" s="8" t="str">
        <f ca="1">IFERROR(__xludf.DUMMYFUNCTION("""COMPUTED_VALUE"""),"NY")</f>
        <v>NY</v>
      </c>
      <c r="R1671" s="8" t="str">
        <f ca="1">IFERROR(__xludf.DUMMYFUNCTION("""COMPUTED_VALUE"""),"High")</f>
        <v>High</v>
      </c>
      <c r="S1671" s="8" t="str">
        <f ca="1">IFERROR(__xludf.DUMMYFUNCTION("""COMPUTED_VALUE"""),"Field (General)")</f>
        <v>Field (General)</v>
      </c>
      <c r="T1671" s="8" t="str">
        <f ca="1">IFERROR(__xludf.DUMMYFUNCTION("""COMPUTED_VALUE"""),"Outside on School Property")</f>
        <v>Outside on School Property</v>
      </c>
      <c r="U1671" s="8" t="str">
        <f ca="1">IFERROR(__xludf.DUMMYFUNCTION("""COMPUTED_VALUE"""),"Yes")</f>
        <v>Yes</v>
      </c>
      <c r="V1671" s="8" t="str">
        <f ca="1">IFERROR(__xludf.DUMMYFUNCTION("""COMPUTED_VALUE"""),"Morning Classes")</f>
        <v>Morning Classes</v>
      </c>
      <c r="W1671" s="11">
        <f ca="1">IFERROR(__xludf.DUMMYFUNCTION("""COMPUTED_VALUE"""),0.409027777777777)</f>
        <v>0.40902777777777699</v>
      </c>
      <c r="X1671" s="8">
        <f ca="1">IFERROR(__xludf.DUMMYFUNCTION("""COMPUTED_VALUE"""),1)</f>
        <v>1</v>
      </c>
      <c r="Y1671" s="12" t="str">
        <f ca="1">IFERROR(__xludf.DUMMYFUNCTION("""COMPUTED_VALUE"""),"Student commit suicide on baseball field")</f>
        <v>Student commit suicide on baseball field</v>
      </c>
      <c r="Z1671" s="12" t="str">
        <f ca="1">IFERROR(__xludf.DUMMYFUNCTION("""COMPUTED_VALUE"""),"17YOM student commit suicide on the school baseball field during morning classes. School was locked down for 4 hours then dismissed.")</f>
        <v>17YOM student commit suicide on the school baseball field during morning classes. School was locked down for 4 hours then dismissed.</v>
      </c>
      <c r="AA1671" s="8" t="str">
        <f ca="1">IFERROR(__xludf.DUMMYFUNCTION("""COMPUTED_VALUE"""),"Suicide/Attempted")</f>
        <v>Suicide/Attempted</v>
      </c>
      <c r="AB1671" s="8"/>
      <c r="AC1671" s="8" t="str">
        <f ca="1">IFERROR(__xludf.DUMMYFUNCTION("""COMPUTED_VALUE"""),"Yes")</f>
        <v>Yes</v>
      </c>
      <c r="AD1671" s="8" t="str">
        <f ca="1">IFERROR(__xludf.DUMMYFUNCTION("""COMPUTED_VALUE"""),"Victims Targeted")</f>
        <v>Victims Targeted</v>
      </c>
      <c r="AE1671" s="8" t="str">
        <f ca="1">IFERROR(__xludf.DUMMYFUNCTION("""COMPUTED_VALUE"""),"No")</f>
        <v>No</v>
      </c>
      <c r="AF1671" s="8"/>
      <c r="AG1671" s="8" t="str">
        <f ca="1">IFERROR(__xludf.DUMMYFUNCTION("""COMPUTED_VALUE"""),"No")</f>
        <v>No</v>
      </c>
      <c r="AH1671" s="8" t="str">
        <f ca="1">IFERROR(__xludf.DUMMYFUNCTION("""COMPUTED_VALUE"""),"No")</f>
        <v>No</v>
      </c>
      <c r="AI1671" s="8" t="str">
        <f ca="1">IFERROR(__xludf.DUMMYFUNCTION("""COMPUTED_VALUE"""),"No")</f>
        <v>No</v>
      </c>
      <c r="AJ1671" s="8"/>
      <c r="AK1671" s="8" t="str">
        <f ca="1">IFERROR(__xludf.DUMMYFUNCTION("""COMPUTED_VALUE"""),"No")</f>
        <v>No</v>
      </c>
      <c r="AL1671" s="8" t="str">
        <f ca="1">IFERROR(__xludf.DUMMYFUNCTION("""COMPUTED_VALUE"""),"No")</f>
        <v>No</v>
      </c>
      <c r="AM1671" s="8" t="str">
        <f ca="1">IFERROR(__xludf.DUMMYFUNCTION("""COMPUTED_VALUE"""),"No")</f>
        <v>No</v>
      </c>
      <c r="AN1671" s="8"/>
      <c r="AO1671" s="8" t="str">
        <f ca="1">IFERROR(__xludf.DUMMYFUNCTION("""COMPUTED_VALUE"""),"No")</f>
        <v>No</v>
      </c>
      <c r="AP1671" s="8"/>
      <c r="AQ1671" s="8" t="str">
        <f ca="1">IFERROR(__xludf.DUMMYFUNCTION("""COMPUTED_VALUE"""),"Unknown")</f>
        <v>Unknown</v>
      </c>
      <c r="AR1671" s="8" t="str">
        <f ca="1">IFERROR(__xludf.DUMMYFUNCTION("""COMPUTED_VALUE"""),"NA")</f>
        <v>NA</v>
      </c>
      <c r="AS1671" s="8">
        <f ca="1">IFERROR(__xludf.DUMMYFUNCTION("""COMPUTED_VALUE"""),1)</f>
        <v>1</v>
      </c>
      <c r="AT1671" s="8" t="str">
        <f ca="1">IFERROR(__xludf.DUMMYFUNCTION("""COMPUTED_VALUE"""),"Yes")</f>
        <v>Yes</v>
      </c>
      <c r="AU1671" s="8">
        <f ca="1">IFERROR(__xludf.DUMMYFUNCTION("""COMPUTED_VALUE"""),42.482328)</f>
        <v>42.482328000000003</v>
      </c>
      <c r="AV1671" s="8">
        <f ca="1">IFERROR(__xludf.DUMMYFUNCTION("""COMPUTED_VALUE"""),-74.606653)</f>
        <v>-74.606652999999994</v>
      </c>
      <c r="AW1671" s="8"/>
      <c r="AX1671" s="8">
        <f ca="1">IFERROR(__xludf.DUMMYFUNCTION("""COMPUTED_VALUE"""),12093)</f>
        <v>12093</v>
      </c>
    </row>
    <row r="1672" spans="1:50" ht="75" x14ac:dyDescent="0.2">
      <c r="A1672" s="8" t="str">
        <f ca="1">IFERROR(__xludf.DUMMYFUNCTION("""COMPUTED_VALUE"""),"20181128PASTP")</f>
        <v>20181128PASTP</v>
      </c>
      <c r="B1672" s="8">
        <f ca="1">IFERROR(__xludf.DUMMYFUNCTION("""COMPUTED_VALUE"""),11)</f>
        <v>11</v>
      </c>
      <c r="C1672" s="8">
        <f ca="1">IFERROR(__xludf.DUMMYFUNCTION("""COMPUTED_VALUE"""),28)</f>
        <v>28</v>
      </c>
      <c r="D1672" s="8">
        <f ca="1">IFERROR(__xludf.DUMMYFUNCTION("""COMPUTED_VALUE"""),2018)</f>
        <v>2018</v>
      </c>
      <c r="E1672" s="9">
        <f ca="1">IFERROR(__xludf.DUMMYFUNCTION("""COMPUTED_VALUE"""),43432)</f>
        <v>43432</v>
      </c>
      <c r="F1672" s="8" t="str">
        <f ca="1">IFERROR(__xludf.DUMMYFUNCTION("""COMPUTED_VALUE"""),"Strawberry Mansion High School")</f>
        <v>Strawberry Mansion High School</v>
      </c>
      <c r="G1672" s="8">
        <f ca="1">IFERROR(__xludf.DUMMYFUNCTION("""COMPUTED_VALUE"""),0)</f>
        <v>0</v>
      </c>
      <c r="H1672" s="8">
        <f ca="1">IFERROR(__xludf.DUMMYFUNCTION("""COMPUTED_VALUE"""),0)</f>
        <v>0</v>
      </c>
      <c r="I1672" s="8">
        <f ca="1">IFERROR(__xludf.DUMMYFUNCTION("""COMPUTED_VALUE"""),0)</f>
        <v>0</v>
      </c>
      <c r="J1672" s="8">
        <f ca="1">IFERROR(__xludf.DUMMYFUNCTION("""COMPUTED_VALUE"""),0)</f>
        <v>0</v>
      </c>
      <c r="K1672" s="10" t="str">
        <f ca="1">IFERROR(__xludf.DUMMYFUNCTION("""COMPUTED_VALUE"""),"https://www.nbcphiladelphia.com/news/local/Stray-Bullet-Strawberry-Mansion-High-School-Lockdown-Shooting--501474831.html")</f>
        <v>https://www.nbcphiladelphia.com/news/local/Stray-Bullet-Strawberry-Mansion-High-School-Lockdown-Shooting--501474831.html</v>
      </c>
      <c r="L1672" s="8"/>
      <c r="M1672" s="8"/>
      <c r="N1672" s="8">
        <f ca="1">IFERROR(__xludf.DUMMYFUNCTION("""COMPUTED_VALUE"""),3)</f>
        <v>3</v>
      </c>
      <c r="O1672" s="8" t="str">
        <f ca="1">IFERROR(__xludf.DUMMYFUNCTION("""COMPUTED_VALUE"""),"Fall")</f>
        <v>Fall</v>
      </c>
      <c r="P1672" s="8" t="str">
        <f ca="1">IFERROR(__xludf.DUMMYFUNCTION("""COMPUTED_VALUE"""),"Philadelphia")</f>
        <v>Philadelphia</v>
      </c>
      <c r="Q1672" s="8" t="str">
        <f ca="1">IFERROR(__xludf.DUMMYFUNCTION("""COMPUTED_VALUE"""),"PA")</f>
        <v>PA</v>
      </c>
      <c r="R1672" s="8" t="str">
        <f ca="1">IFERROR(__xludf.DUMMYFUNCTION("""COMPUTED_VALUE"""),"High")</f>
        <v>High</v>
      </c>
      <c r="S1672" s="8" t="str">
        <f ca="1">IFERROR(__xludf.DUMMYFUNCTION("""COMPUTED_VALUE"""),"Other")</f>
        <v>Other</v>
      </c>
      <c r="T1672" s="8" t="str">
        <f ca="1">IFERROR(__xludf.DUMMYFUNCTION("""COMPUTED_VALUE"""),"Off School Property")</f>
        <v>Off School Property</v>
      </c>
      <c r="U1672" s="8" t="str">
        <f ca="1">IFERROR(__xludf.DUMMYFUNCTION("""COMPUTED_VALUE"""),"No")</f>
        <v>No</v>
      </c>
      <c r="V1672" s="8" t="str">
        <f ca="1">IFERROR(__xludf.DUMMYFUNCTION("""COMPUTED_VALUE"""),"After School")</f>
        <v>After School</v>
      </c>
      <c r="W1672" s="11">
        <f ca="1">IFERROR(__xludf.DUMMYFUNCTION("""COMPUTED_VALUE"""),0.645833333333333)</f>
        <v>0.64583333333333304</v>
      </c>
      <c r="X1672" s="8">
        <f ca="1">IFERROR(__xludf.DUMMYFUNCTION("""COMPUTED_VALUE"""),1)</f>
        <v>1</v>
      </c>
      <c r="Y1672" s="12" t="str">
        <f ca="1">IFERROR(__xludf.DUMMYFUNCTION("""COMPUTED_VALUE"""),"Stray bullet broke window of school, school locked down")</f>
        <v>Stray bullet broke window of school, school locked down</v>
      </c>
      <c r="Z1672" s="12" t="str">
        <f ca="1">IFERROR(__xludf.DUMMYFUNCTION("""COMPUTED_VALUE"""),"Bullet broke window of school. No injuries to students inside. School was locked down. Police do not believe the school was targeted (stray shot). Two other shootings were reported in the neighborhood near the school the same afternoon.")</f>
        <v>Bullet broke window of school. No injuries to students inside. School was locked down. Police do not believe the school was targeted (stray shot). Two other shootings were reported in the neighborhood near the school the same afternoon.</v>
      </c>
      <c r="AA1672" s="8" t="str">
        <f ca="1">IFERROR(__xludf.DUMMYFUNCTION("""COMPUTED_VALUE"""),"Unknown")</f>
        <v>Unknown</v>
      </c>
      <c r="AB1672" s="8"/>
      <c r="AC1672" s="8" t="str">
        <f ca="1">IFERROR(__xludf.DUMMYFUNCTION("""COMPUTED_VALUE"""),"Yes")</f>
        <v>Yes</v>
      </c>
      <c r="AD1672" s="8" t="str">
        <f ca="1">IFERROR(__xludf.DUMMYFUNCTION("""COMPUTED_VALUE"""),"Neither")</f>
        <v>Neither</v>
      </c>
      <c r="AE1672" s="8"/>
      <c r="AF1672" s="8"/>
      <c r="AG1672" s="8" t="str">
        <f ca="1">IFERROR(__xludf.DUMMYFUNCTION("""COMPUTED_VALUE"""),"No")</f>
        <v>No</v>
      </c>
      <c r="AH1672" s="8" t="str">
        <f ca="1">IFERROR(__xludf.DUMMYFUNCTION("""COMPUTED_VALUE"""),"No")</f>
        <v>No</v>
      </c>
      <c r="AI1672" s="8" t="str">
        <f ca="1">IFERROR(__xludf.DUMMYFUNCTION("""COMPUTED_VALUE"""),"No")</f>
        <v>No</v>
      </c>
      <c r="AJ1672" s="8" t="str">
        <f ca="1">IFERROR(__xludf.DUMMYFUNCTION("""COMPUTED_VALUE"""),"No")</f>
        <v>No</v>
      </c>
      <c r="AK1672" s="8" t="str">
        <f ca="1">IFERROR(__xludf.DUMMYFUNCTION("""COMPUTED_VALUE"""),"No")</f>
        <v>No</v>
      </c>
      <c r="AL1672" s="8"/>
      <c r="AM1672" s="8" t="str">
        <f ca="1">IFERROR(__xludf.DUMMYFUNCTION("""COMPUTED_VALUE"""),"No")</f>
        <v>No</v>
      </c>
      <c r="AN1672" s="8"/>
      <c r="AO1672" s="8" t="str">
        <f ca="1">IFERROR(__xludf.DUMMYFUNCTION("""COMPUTED_VALUE"""),"No")</f>
        <v>No</v>
      </c>
      <c r="AP1672" s="8"/>
      <c r="AQ1672" s="8" t="str">
        <f ca="1">IFERROR(__xludf.DUMMYFUNCTION("""COMPUTED_VALUE"""),"Unknown")</f>
        <v>Unknown</v>
      </c>
      <c r="AR1672" s="8" t="str">
        <f ca="1">IFERROR(__xludf.DUMMYFUNCTION("""COMPUTED_VALUE"""),"NA")</f>
        <v>NA</v>
      </c>
      <c r="AS1672" s="8" t="str">
        <f ca="1">IFERROR(__xludf.DUMMYFUNCTION("""COMPUTED_VALUE"""),"&lt;10")</f>
        <v>&lt;10</v>
      </c>
      <c r="AT1672" s="8"/>
      <c r="AU1672" s="8">
        <f ca="1">IFERROR(__xludf.DUMMYFUNCTION("""COMPUTED_VALUE"""),39.990463)</f>
        <v>39.990462999999998</v>
      </c>
      <c r="AV1672" s="8">
        <f ca="1">IFERROR(__xludf.DUMMYFUNCTION("""COMPUTED_VALUE"""),-75.184161)</f>
        <v>-75.184161000000003</v>
      </c>
      <c r="AW1672" s="8"/>
      <c r="AX1672" s="8">
        <f ca="1">IFERROR(__xludf.DUMMYFUNCTION("""COMPUTED_VALUE"""),19132)</f>
        <v>19132</v>
      </c>
    </row>
    <row r="1673" spans="1:50" ht="60" x14ac:dyDescent="0.2">
      <c r="A1673" s="8" t="str">
        <f ca="1">IFERROR(__xludf.DUMMYFUNCTION("""COMPUTED_VALUE"""),"20181124OHAFC")</f>
        <v>20181124OHAFC</v>
      </c>
      <c r="B1673" s="8">
        <f ca="1">IFERROR(__xludf.DUMMYFUNCTION("""COMPUTED_VALUE"""),11)</f>
        <v>11</v>
      </c>
      <c r="C1673" s="8">
        <f ca="1">IFERROR(__xludf.DUMMYFUNCTION("""COMPUTED_VALUE"""),24)</f>
        <v>24</v>
      </c>
      <c r="D1673" s="8">
        <f ca="1">IFERROR(__xludf.DUMMYFUNCTION("""COMPUTED_VALUE"""),2018)</f>
        <v>2018</v>
      </c>
      <c r="E1673" s="9">
        <f ca="1">IFERROR(__xludf.DUMMYFUNCTION("""COMPUTED_VALUE"""),43428)</f>
        <v>43428</v>
      </c>
      <c r="F1673" s="8" t="str">
        <f ca="1">IFERROR(__xludf.DUMMYFUNCTION("""COMPUTED_VALUE"""),"Africentric Early College High School")</f>
        <v>Africentric Early College High School</v>
      </c>
      <c r="G1673" s="8">
        <f ca="1">IFERROR(__xludf.DUMMYFUNCTION("""COMPUTED_VALUE"""),0)</f>
        <v>0</v>
      </c>
      <c r="H1673" s="8">
        <f ca="1">IFERROR(__xludf.DUMMYFUNCTION("""COMPUTED_VALUE"""),2)</f>
        <v>2</v>
      </c>
      <c r="I1673" s="8">
        <f ca="1">IFERROR(__xludf.DUMMYFUNCTION("""COMPUTED_VALUE"""),2)</f>
        <v>2</v>
      </c>
      <c r="J1673" s="8">
        <f ca="1">IFERROR(__xludf.DUMMYFUNCTION("""COMPUTED_VALUE"""),0)</f>
        <v>0</v>
      </c>
      <c r="K1673" s="10" t="str">
        <f ca="1">IFERROR(__xludf.DUMMYFUNCTION("""COMPUTED_VALUE"""),"https://abc6onyourside.com/news/local/police-investigating-double-shooting-at-africentric-high-school")</f>
        <v>https://abc6onyourside.com/news/local/police-investigating-double-shooting-at-africentric-high-school</v>
      </c>
      <c r="L1673" s="8"/>
      <c r="M1673" s="8"/>
      <c r="N1673" s="8">
        <f ca="1">IFERROR(__xludf.DUMMYFUNCTION("""COMPUTED_VALUE"""),3)</f>
        <v>3</v>
      </c>
      <c r="O1673" s="8" t="str">
        <f ca="1">IFERROR(__xludf.DUMMYFUNCTION("""COMPUTED_VALUE"""),"Fall")</f>
        <v>Fall</v>
      </c>
      <c r="P1673" s="8" t="str">
        <f ca="1">IFERROR(__xludf.DUMMYFUNCTION("""COMPUTED_VALUE"""),"Columbus")</f>
        <v>Columbus</v>
      </c>
      <c r="Q1673" s="8" t="str">
        <f ca="1">IFERROR(__xludf.DUMMYFUNCTION("""COMPUTED_VALUE"""),"OH")</f>
        <v>OH</v>
      </c>
      <c r="R1673" s="8" t="str">
        <f ca="1">IFERROR(__xludf.DUMMYFUNCTION("""COMPUTED_VALUE"""),"K-12")</f>
        <v>K-12</v>
      </c>
      <c r="S1673" s="8" t="str">
        <f ca="1">IFERROR(__xludf.DUMMYFUNCTION("""COMPUTED_VALUE"""),"Outside on School Property")</f>
        <v>Outside on School Property</v>
      </c>
      <c r="T1673" s="8" t="str">
        <f ca="1">IFERROR(__xludf.DUMMYFUNCTION("""COMPUTED_VALUE"""),"Outside on School Property")</f>
        <v>Outside on School Property</v>
      </c>
      <c r="U1673" s="8" t="str">
        <f ca="1">IFERROR(__xludf.DUMMYFUNCTION("""COMPUTED_VALUE"""),"No")</f>
        <v>No</v>
      </c>
      <c r="V1673" s="8" t="str">
        <f ca="1">IFERROR(__xludf.DUMMYFUNCTION("""COMPUTED_VALUE"""),"Not a School Day")</f>
        <v>Not a School Day</v>
      </c>
      <c r="W1673" s="11">
        <f ca="1">IFERROR(__xludf.DUMMYFUNCTION("""COMPUTED_VALUE"""),0.75)</f>
        <v>0.75</v>
      </c>
      <c r="X1673" s="8">
        <f ca="1">IFERROR(__xludf.DUMMYFUNCTION("""COMPUTED_VALUE"""),1)</f>
        <v>1</v>
      </c>
      <c r="Y1673" s="12" t="str">
        <f ca="1">IFERROR(__xludf.DUMMYFUNCTION("""COMPUTED_VALUE"""),"Two adult men shot in fight outside of school during weekend night")</f>
        <v>Two adult men shot in fight outside of school during weekend night</v>
      </c>
      <c r="Z1673" s="12" t="str">
        <f ca="1">IFERROR(__xludf.DUMMYFUNCTION("""COMPUTED_VALUE"""),"Two adult males were shot following large fight on the school property. School was not in session. Fight occurred on weekend night. Shooter fled.")</f>
        <v>Two adult males were shot following large fight on the school property. School was not in session. Fight occurred on weekend night. Shooter fled.</v>
      </c>
      <c r="AA1673" s="8" t="str">
        <f ca="1">IFERROR(__xludf.DUMMYFUNCTION("""COMPUTED_VALUE"""),"Escalation of Dispute")</f>
        <v>Escalation of Dispute</v>
      </c>
      <c r="AB1673" s="8"/>
      <c r="AC1673" s="8" t="str">
        <f ca="1">IFERROR(__xludf.DUMMYFUNCTION("""COMPUTED_VALUE"""),"No")</f>
        <v>No</v>
      </c>
      <c r="AD1673" s="8" t="str">
        <f ca="1">IFERROR(__xludf.DUMMYFUNCTION("""COMPUTED_VALUE"""),"Victims Targeted")</f>
        <v>Victims Targeted</v>
      </c>
      <c r="AE1673" s="8"/>
      <c r="AF1673" s="8"/>
      <c r="AG1673" s="8" t="str">
        <f ca="1">IFERROR(__xludf.DUMMYFUNCTION("""COMPUTED_VALUE"""),"No")</f>
        <v>No</v>
      </c>
      <c r="AH1673" s="8" t="str">
        <f ca="1">IFERROR(__xludf.DUMMYFUNCTION("""COMPUTED_VALUE"""),"No")</f>
        <v>No</v>
      </c>
      <c r="AI1673" s="8" t="str">
        <f ca="1">IFERROR(__xludf.DUMMYFUNCTION("""COMPUTED_VALUE"""),"No")</f>
        <v>No</v>
      </c>
      <c r="AJ1673" s="8" t="str">
        <f ca="1">IFERROR(__xludf.DUMMYFUNCTION("""COMPUTED_VALUE"""),"No")</f>
        <v>No</v>
      </c>
      <c r="AK1673" s="8" t="str">
        <f ca="1">IFERROR(__xludf.DUMMYFUNCTION("""COMPUTED_VALUE"""),"No")</f>
        <v>No</v>
      </c>
      <c r="AL1673" s="8" t="str">
        <f ca="1">IFERROR(__xludf.DUMMYFUNCTION("""COMPUTED_VALUE"""),"No")</f>
        <v>No</v>
      </c>
      <c r="AM1673" s="8" t="str">
        <f ca="1">IFERROR(__xludf.DUMMYFUNCTION("""COMPUTED_VALUE"""),"No")</f>
        <v>No</v>
      </c>
      <c r="AN1673" s="8"/>
      <c r="AO1673" s="8" t="str">
        <f ca="1">IFERROR(__xludf.DUMMYFUNCTION("""COMPUTED_VALUE"""),"No")</f>
        <v>No</v>
      </c>
      <c r="AP1673" s="8"/>
      <c r="AQ1673" s="8" t="str">
        <f ca="1">IFERROR(__xludf.DUMMYFUNCTION("""COMPUTED_VALUE"""),"Unknown")</f>
        <v>Unknown</v>
      </c>
      <c r="AR1673" s="8" t="str">
        <f ca="1">IFERROR(__xludf.DUMMYFUNCTION("""COMPUTED_VALUE"""),"NA")</f>
        <v>NA</v>
      </c>
      <c r="AS1673" s="8"/>
      <c r="AT1673" s="8" t="str">
        <f ca="1">IFERROR(__xludf.DUMMYFUNCTION("""COMPUTED_VALUE"""),"N/A")</f>
        <v>N/A</v>
      </c>
      <c r="AU1673" s="8">
        <f ca="1">IFERROR(__xludf.DUMMYFUNCTION("""COMPUTED_VALUE"""),39.979096)</f>
        <v>39.979095999999998</v>
      </c>
      <c r="AV1673" s="8">
        <f ca="1">IFERROR(__xludf.DUMMYFUNCTION("""COMPUTED_VALUE"""),-82.916365)</f>
        <v>-82.916364999999999</v>
      </c>
      <c r="AW1673" s="8"/>
      <c r="AX1673" s="8">
        <f ca="1">IFERROR(__xludf.DUMMYFUNCTION("""COMPUTED_VALUE"""),43209)</f>
        <v>43209</v>
      </c>
    </row>
    <row r="1674" spans="1:50" ht="75" x14ac:dyDescent="0.2">
      <c r="A1674" s="8" t="str">
        <f ca="1">IFERROR(__xludf.DUMMYFUNCTION("""COMPUTED_VALUE"""),"20181122WAMOD")</f>
        <v>20181122WAMOD</v>
      </c>
      <c r="B1674" s="8">
        <f ca="1">IFERROR(__xludf.DUMMYFUNCTION("""COMPUTED_VALUE"""),11)</f>
        <v>11</v>
      </c>
      <c r="C1674" s="8">
        <f ca="1">IFERROR(__xludf.DUMMYFUNCTION("""COMPUTED_VALUE"""),22)</f>
        <v>22</v>
      </c>
      <c r="D1674" s="8">
        <f ca="1">IFERROR(__xludf.DUMMYFUNCTION("""COMPUTED_VALUE"""),2018)</f>
        <v>2018</v>
      </c>
      <c r="E1674" s="9">
        <f ca="1">IFERROR(__xludf.DUMMYFUNCTION("""COMPUTED_VALUE"""),43426)</f>
        <v>43426</v>
      </c>
      <c r="F1674" s="8" t="str">
        <f ca="1">IFERROR(__xludf.DUMMYFUNCTION("""COMPUTED_VALUE"""),"Mount Rainier High School")</f>
        <v>Mount Rainier High School</v>
      </c>
      <c r="G1674" s="8">
        <f ca="1">IFERROR(__xludf.DUMMYFUNCTION("""COMPUTED_VALUE"""),0)</f>
        <v>0</v>
      </c>
      <c r="H1674" s="8">
        <f ca="1">IFERROR(__xludf.DUMMYFUNCTION("""COMPUTED_VALUE"""),1)</f>
        <v>1</v>
      </c>
      <c r="I1674" s="8">
        <f ca="1">IFERROR(__xludf.DUMMYFUNCTION("""COMPUTED_VALUE"""),1)</f>
        <v>1</v>
      </c>
      <c r="J1674" s="8">
        <f ca="1">IFERROR(__xludf.DUMMYFUNCTION("""COMPUTED_VALUE"""),0)</f>
        <v>0</v>
      </c>
      <c r="K1674" s="8" t="str">
        <f ca="1">IFERROR(__xludf.DUMMYFUNCTION("""COMPUTED_VALUE"""),"https://komonews.com/news/local/football-game-ends-in-shooting-in-des-moines-man-critically-wounded https://q13fox.com/2018/11/22/man-in-critical-condition-after-shooting-at-mount-rainier-high-school-football-field/")</f>
        <v>https://komonews.com/news/local/football-game-ends-in-shooting-in-des-moines-man-critically-wounded https://q13fox.com/2018/11/22/man-in-critical-condition-after-shooting-at-mount-rainier-high-school-football-field/</v>
      </c>
      <c r="L1674" s="8"/>
      <c r="M1674" s="8"/>
      <c r="N1674" s="8">
        <f ca="1">IFERROR(__xludf.DUMMYFUNCTION("""COMPUTED_VALUE"""),3)</f>
        <v>3</v>
      </c>
      <c r="O1674" s="8" t="str">
        <f ca="1">IFERROR(__xludf.DUMMYFUNCTION("""COMPUTED_VALUE"""),"Fall")</f>
        <v>Fall</v>
      </c>
      <c r="P1674" s="8" t="str">
        <f ca="1">IFERROR(__xludf.DUMMYFUNCTION("""COMPUTED_VALUE"""),"Des Moines")</f>
        <v>Des Moines</v>
      </c>
      <c r="Q1674" s="8" t="str">
        <f ca="1">IFERROR(__xludf.DUMMYFUNCTION("""COMPUTED_VALUE"""),"WA")</f>
        <v>WA</v>
      </c>
      <c r="R1674" s="8" t="str">
        <f ca="1">IFERROR(__xludf.DUMMYFUNCTION("""COMPUTED_VALUE"""),"High")</f>
        <v>High</v>
      </c>
      <c r="S1674" s="8" t="str">
        <f ca="1">IFERROR(__xludf.DUMMYFUNCTION("""COMPUTED_VALUE"""),"Football Field/Track")</f>
        <v>Football Field/Track</v>
      </c>
      <c r="T1674" s="8" t="str">
        <f ca="1">IFERROR(__xludf.DUMMYFUNCTION("""COMPUTED_VALUE"""),"Outside on School Property")</f>
        <v>Outside on School Property</v>
      </c>
      <c r="U1674" s="8" t="str">
        <f ca="1">IFERROR(__xludf.DUMMYFUNCTION("""COMPUTED_VALUE"""),"No")</f>
        <v>No</v>
      </c>
      <c r="V1674" s="8" t="str">
        <f ca="1">IFERROR(__xludf.DUMMYFUNCTION("""COMPUTED_VALUE"""),"Sport Event")</f>
        <v>Sport Event</v>
      </c>
      <c r="W1674" s="11">
        <f ca="1">IFERROR(__xludf.DUMMYFUNCTION("""COMPUTED_VALUE"""),0.5)</f>
        <v>0.5</v>
      </c>
      <c r="X1674" s="8">
        <f ca="1">IFERROR(__xludf.DUMMYFUNCTION("""COMPUTED_VALUE"""),1)</f>
        <v>1</v>
      </c>
      <c r="Y1674" s="12" t="str">
        <f ca="1">IFERROR(__xludf.DUMMYFUNCTION("""COMPUTED_VALUE"""),"Man shot during argument following pick-up football game")</f>
        <v>Man shot during argument following pick-up football game</v>
      </c>
      <c r="Z1674" s="12" t="str">
        <f ca="1">IFERROR(__xludf.DUMMYFUNCTION("""COMPUTED_VALUE"""),"21YOM was shot during argument following pick-up football game on the football field of the school. School was not in session (Thanksgiving). Gun was flashed during the game and the shooting occurred after the game had concluded. Shooter fled the area in "&amp;"vehicle before police arrived.")</f>
        <v>21YOM was shot during argument following pick-up football game on the football field of the school. School was not in session (Thanksgiving). Gun was flashed during the game and the shooting occurred after the game had concluded. Shooter fled the area in vehicle before police arrived.</v>
      </c>
      <c r="AA1674" s="8" t="str">
        <f ca="1">IFERROR(__xludf.DUMMYFUNCTION("""COMPUTED_VALUE"""),"Escalation of Dispute")</f>
        <v>Escalation of Dispute</v>
      </c>
      <c r="AB1674" s="8"/>
      <c r="AC1674" s="8" t="str">
        <f ca="1">IFERROR(__xludf.DUMMYFUNCTION("""COMPUTED_VALUE"""),"No")</f>
        <v>No</v>
      </c>
      <c r="AD1674" s="8" t="str">
        <f ca="1">IFERROR(__xludf.DUMMYFUNCTION("""COMPUTED_VALUE"""),"Victims Targeted")</f>
        <v>Victims Targeted</v>
      </c>
      <c r="AE1674" s="8" t="str">
        <f ca="1">IFERROR(__xludf.DUMMYFUNCTION("""COMPUTED_VALUE"""),"Yes")</f>
        <v>Yes</v>
      </c>
      <c r="AF1674" s="8" t="str">
        <f ca="1">IFERROR(__xludf.DUMMYFUNCTION("""COMPUTED_VALUE"""),"Multiple people involved with dispute during game")</f>
        <v>Multiple people involved with dispute during game</v>
      </c>
      <c r="AG1674" s="8" t="str">
        <f ca="1">IFERROR(__xludf.DUMMYFUNCTION("""COMPUTED_VALUE"""),"No")</f>
        <v>No</v>
      </c>
      <c r="AH1674" s="8" t="str">
        <f ca="1">IFERROR(__xludf.DUMMYFUNCTION("""COMPUTED_VALUE"""),"No")</f>
        <v>No</v>
      </c>
      <c r="AI1674" s="8" t="str">
        <f ca="1">IFERROR(__xludf.DUMMYFUNCTION("""COMPUTED_VALUE"""),"No")</f>
        <v>No</v>
      </c>
      <c r="AJ1674" s="8" t="str">
        <f ca="1">IFERROR(__xludf.DUMMYFUNCTION("""COMPUTED_VALUE"""),"No")</f>
        <v>No</v>
      </c>
      <c r="AK1674" s="8" t="str">
        <f ca="1">IFERROR(__xludf.DUMMYFUNCTION("""COMPUTED_VALUE"""),"No")</f>
        <v>No</v>
      </c>
      <c r="AL1674" s="8" t="str">
        <f ca="1">IFERROR(__xludf.DUMMYFUNCTION("""COMPUTED_VALUE"""),"No")</f>
        <v>No</v>
      </c>
      <c r="AM1674" s="8" t="str">
        <f ca="1">IFERROR(__xludf.DUMMYFUNCTION("""COMPUTED_VALUE"""),"No")</f>
        <v>No</v>
      </c>
      <c r="AN1674" s="8"/>
      <c r="AO1674" s="8" t="str">
        <f ca="1">IFERROR(__xludf.DUMMYFUNCTION("""COMPUTED_VALUE"""),"No")</f>
        <v>No</v>
      </c>
      <c r="AP1674" s="8"/>
      <c r="AQ1674" s="8" t="str">
        <f ca="1">IFERROR(__xludf.DUMMYFUNCTION("""COMPUTED_VALUE"""),"Unknown")</f>
        <v>Unknown</v>
      </c>
      <c r="AR1674" s="8" t="str">
        <f ca="1">IFERROR(__xludf.DUMMYFUNCTION("""COMPUTED_VALUE"""),"NA")</f>
        <v>NA</v>
      </c>
      <c r="AS1674" s="8" t="str">
        <f ca="1">IFERROR(__xludf.DUMMYFUNCTION("""COMPUTED_VALUE"""),"&lt;10")</f>
        <v>&lt;10</v>
      </c>
      <c r="AT1674" s="8"/>
      <c r="AU1674" s="8">
        <f ca="1">IFERROR(__xludf.DUMMYFUNCTION("""COMPUTED_VALUE"""),47.399797)</f>
        <v>47.399797</v>
      </c>
      <c r="AV1674" s="8">
        <f ca="1">IFERROR(__xludf.DUMMYFUNCTION("""COMPUTED_VALUE"""),-122.307172)</f>
        <v>-122.30717199999999</v>
      </c>
      <c r="AW1674" s="8"/>
      <c r="AX1674" s="8">
        <f ca="1">IFERROR(__xludf.DUMMYFUNCTION("""COMPUTED_VALUE"""),98198)</f>
        <v>98198</v>
      </c>
    </row>
    <row r="1675" spans="1:50" ht="45" x14ac:dyDescent="0.2">
      <c r="A1675" s="8" t="str">
        <f ca="1">IFERROR(__xludf.DUMMYFUNCTION("""COMPUTED_VALUE"""),"20181122TXSKD")</f>
        <v>20181122TXSKD</v>
      </c>
      <c r="B1675" s="8">
        <f ca="1">IFERROR(__xludf.DUMMYFUNCTION("""COMPUTED_VALUE"""),11)</f>
        <v>11</v>
      </c>
      <c r="C1675" s="8">
        <f ca="1">IFERROR(__xludf.DUMMYFUNCTION("""COMPUTED_VALUE"""),22)</f>
        <v>22</v>
      </c>
      <c r="D1675" s="8">
        <f ca="1">IFERROR(__xludf.DUMMYFUNCTION("""COMPUTED_VALUE"""),2018)</f>
        <v>2018</v>
      </c>
      <c r="E1675" s="9">
        <f ca="1">IFERROR(__xludf.DUMMYFUNCTION("""COMPUTED_VALUE"""),43426)</f>
        <v>43426</v>
      </c>
      <c r="F1675" s="8" t="str">
        <f ca="1">IFERROR(__xludf.DUMMYFUNCTION("""COMPUTED_VALUE"""),"Skyline High School")</f>
        <v>Skyline High School</v>
      </c>
      <c r="G1675" s="8">
        <f ca="1">IFERROR(__xludf.DUMMYFUNCTION("""COMPUTED_VALUE"""),1)</f>
        <v>1</v>
      </c>
      <c r="H1675" s="8">
        <f ca="1">IFERROR(__xludf.DUMMYFUNCTION("""COMPUTED_VALUE"""),0)</f>
        <v>0</v>
      </c>
      <c r="I1675" s="8">
        <f ca="1">IFERROR(__xludf.DUMMYFUNCTION("""COMPUTED_VALUE"""),1)</f>
        <v>1</v>
      </c>
      <c r="J1675" s="8">
        <f ca="1">IFERROR(__xludf.DUMMYFUNCTION("""COMPUTED_VALUE"""),0)</f>
        <v>0</v>
      </c>
      <c r="K1675" s="8" t="str">
        <f ca="1">IFERROR(__xludf.DUMMYFUNCTION("""COMPUTED_VALUE"""),"https://www.dallasnews.com/news/crime/2018/11/22/17-year-old-shot-outside-skyline-high-school-3-suspects-large https://www.nbcdfw.com/news/local/Teen-Shot-to-Death-Near-High-School-on-Thanksgiving-Day-in-Dallas-501136842.html")</f>
        <v>https://www.dallasnews.com/news/crime/2018/11/22/17-year-old-shot-outside-skyline-high-school-3-suspects-large https://www.nbcdfw.com/news/local/Teen-Shot-to-Death-Near-High-School-on-Thanksgiving-Day-in-Dallas-501136842.html</v>
      </c>
      <c r="L1675" s="8"/>
      <c r="M1675" s="8"/>
      <c r="N1675" s="8">
        <f ca="1">IFERROR(__xludf.DUMMYFUNCTION("""COMPUTED_VALUE"""),3)</f>
        <v>3</v>
      </c>
      <c r="O1675" s="8" t="str">
        <f ca="1">IFERROR(__xludf.DUMMYFUNCTION("""COMPUTED_VALUE"""),"Fall")</f>
        <v>Fall</v>
      </c>
      <c r="P1675" s="8" t="str">
        <f ca="1">IFERROR(__xludf.DUMMYFUNCTION("""COMPUTED_VALUE"""),"Dallas")</f>
        <v>Dallas</v>
      </c>
      <c r="Q1675" s="8" t="str">
        <f ca="1">IFERROR(__xludf.DUMMYFUNCTION("""COMPUTED_VALUE"""),"TX")</f>
        <v>TX</v>
      </c>
      <c r="R1675" s="8" t="str">
        <f ca="1">IFERROR(__xludf.DUMMYFUNCTION("""COMPUTED_VALUE"""),"High")</f>
        <v>High</v>
      </c>
      <c r="S1675" s="8" t="str">
        <f ca="1">IFERROR(__xludf.DUMMYFUNCTION("""COMPUTED_VALUE"""),"Front of School")</f>
        <v>Front of School</v>
      </c>
      <c r="T1675" s="8" t="str">
        <f ca="1">IFERROR(__xludf.DUMMYFUNCTION("""COMPUTED_VALUE"""),"Outside on School Property")</f>
        <v>Outside on School Property</v>
      </c>
      <c r="U1675" s="8" t="str">
        <f ca="1">IFERROR(__xludf.DUMMYFUNCTION("""COMPUTED_VALUE"""),"No")</f>
        <v>No</v>
      </c>
      <c r="V1675" s="8" t="str">
        <f ca="1">IFERROR(__xludf.DUMMYFUNCTION("""COMPUTED_VALUE"""),"Not a School Day")</f>
        <v>Not a School Day</v>
      </c>
      <c r="W1675" s="11">
        <f ca="1">IFERROR(__xludf.DUMMYFUNCTION("""COMPUTED_VALUE"""),0.395833333333333)</f>
        <v>0.39583333333333298</v>
      </c>
      <c r="X1675" s="8">
        <f ca="1">IFERROR(__xludf.DUMMYFUNCTION("""COMPUTED_VALUE"""),1)</f>
        <v>1</v>
      </c>
      <c r="Y1675" s="12" t="str">
        <f ca="1">IFERROR(__xludf.DUMMYFUNCTION("""COMPUTED_VALUE"""),"17YOM shot outside of school building")</f>
        <v>17YOM shot outside of school building</v>
      </c>
      <c r="Z1675" s="12" t="str">
        <f ca="1">IFERROR(__xludf.DUMMYFUNCTION("""COMPUTED_VALUE"""),"17YOM (Latino) shot outside of school building. School was not in session (Thanksgiving). Three young males (black) were seen running from the area following the shooting.")</f>
        <v>17YOM (Latino) shot outside of school building. School was not in session (Thanksgiving). Three young males (black) were seen running from the area following the shooting.</v>
      </c>
      <c r="AA1675" s="8" t="str">
        <f ca="1">IFERROR(__xludf.DUMMYFUNCTION("""COMPUTED_VALUE"""),"Escalation of Dispute")</f>
        <v>Escalation of Dispute</v>
      </c>
      <c r="AB1675" s="8"/>
      <c r="AC1675" s="8" t="str">
        <f ca="1">IFERROR(__xludf.DUMMYFUNCTION("""COMPUTED_VALUE"""),"No")</f>
        <v>No</v>
      </c>
      <c r="AD1675" s="8" t="str">
        <f ca="1">IFERROR(__xludf.DUMMYFUNCTION("""COMPUTED_VALUE"""),"Victims Targeted")</f>
        <v>Victims Targeted</v>
      </c>
      <c r="AE1675" s="8" t="str">
        <f ca="1">IFERROR(__xludf.DUMMYFUNCTION("""COMPUTED_VALUE"""),"Yes")</f>
        <v>Yes</v>
      </c>
      <c r="AF1675" s="8" t="str">
        <f ca="1">IFERROR(__xludf.DUMMYFUNCTION("""COMPUTED_VALUE"""),"3 black males ran from scene following shooting")</f>
        <v>3 black males ran from scene following shooting</v>
      </c>
      <c r="AG1675" s="8" t="str">
        <f ca="1">IFERROR(__xludf.DUMMYFUNCTION("""COMPUTED_VALUE"""),"No")</f>
        <v>No</v>
      </c>
      <c r="AH1675" s="8" t="str">
        <f ca="1">IFERROR(__xludf.DUMMYFUNCTION("""COMPUTED_VALUE"""),"No")</f>
        <v>No</v>
      </c>
      <c r="AI1675" s="8" t="str">
        <f ca="1">IFERROR(__xludf.DUMMYFUNCTION("""COMPUTED_VALUE"""),"No")</f>
        <v>No</v>
      </c>
      <c r="AJ1675" s="8" t="str">
        <f ca="1">IFERROR(__xludf.DUMMYFUNCTION("""COMPUTED_VALUE"""),"No")</f>
        <v>No</v>
      </c>
      <c r="AK1675" s="8" t="str">
        <f ca="1">IFERROR(__xludf.DUMMYFUNCTION("""COMPUTED_VALUE"""),"No")</f>
        <v>No</v>
      </c>
      <c r="AL1675" s="8"/>
      <c r="AM1675" s="8" t="str">
        <f ca="1">IFERROR(__xludf.DUMMYFUNCTION("""COMPUTED_VALUE"""),"No")</f>
        <v>No</v>
      </c>
      <c r="AN1675" s="8"/>
      <c r="AO1675" s="8" t="str">
        <f ca="1">IFERROR(__xludf.DUMMYFUNCTION("""COMPUTED_VALUE"""),"No")</f>
        <v>No</v>
      </c>
      <c r="AP1675" s="8"/>
      <c r="AQ1675" s="8" t="str">
        <f ca="1">IFERROR(__xludf.DUMMYFUNCTION("""COMPUTED_VALUE"""),"Unknown")</f>
        <v>Unknown</v>
      </c>
      <c r="AR1675" s="8" t="str">
        <f ca="1">IFERROR(__xludf.DUMMYFUNCTION("""COMPUTED_VALUE"""),"NA")</f>
        <v>NA</v>
      </c>
      <c r="AS1675" s="8" t="str">
        <f ca="1">IFERROR(__xludf.DUMMYFUNCTION("""COMPUTED_VALUE"""),"&lt;10")</f>
        <v>&lt;10</v>
      </c>
      <c r="AT1675" s="8"/>
      <c r="AU1675" s="8">
        <f ca="1">IFERROR(__xludf.DUMMYFUNCTION("""COMPUTED_VALUE"""),32.780486)</f>
        <v>32.780486000000003</v>
      </c>
      <c r="AV1675" s="8">
        <f ca="1">IFERROR(__xludf.DUMMYFUNCTION("""COMPUTED_VALUE"""),-96.689617)</f>
        <v>-96.689616999999998</v>
      </c>
      <c r="AW1675" s="8"/>
      <c r="AX1675" s="8">
        <f ca="1">IFERROR(__xludf.DUMMYFUNCTION("""COMPUTED_VALUE"""),75227)</f>
        <v>75227</v>
      </c>
    </row>
    <row r="1676" spans="1:50" ht="60" x14ac:dyDescent="0.2">
      <c r="A1676" s="8" t="str">
        <f ca="1">IFERROR(__xludf.DUMMYFUNCTION("""COMPUTED_VALUE"""),"20181121MIPEP")</f>
        <v>20181121MIPEP</v>
      </c>
      <c r="B1676" s="8">
        <f ca="1">IFERROR(__xludf.DUMMYFUNCTION("""COMPUTED_VALUE"""),11)</f>
        <v>11</v>
      </c>
      <c r="C1676" s="8">
        <f ca="1">IFERROR(__xludf.DUMMYFUNCTION("""COMPUTED_VALUE"""),21)</f>
        <v>21</v>
      </c>
      <c r="D1676" s="8">
        <f ca="1">IFERROR(__xludf.DUMMYFUNCTION("""COMPUTED_VALUE"""),2018)</f>
        <v>2018</v>
      </c>
      <c r="E1676" s="9">
        <f ca="1">IFERROR(__xludf.DUMMYFUNCTION("""COMPUTED_VALUE"""),43425)</f>
        <v>43425</v>
      </c>
      <c r="F1676" s="8" t="str">
        <f ca="1">IFERROR(__xludf.DUMMYFUNCTION("""COMPUTED_VALUE"""),"Pentwater Public School")</f>
        <v>Pentwater Public School</v>
      </c>
      <c r="G1676" s="8">
        <f ca="1">IFERROR(__xludf.DUMMYFUNCTION("""COMPUTED_VALUE"""),0)</f>
        <v>0</v>
      </c>
      <c r="H1676" s="8">
        <f ca="1">IFERROR(__xludf.DUMMYFUNCTION("""COMPUTED_VALUE"""),0)</f>
        <v>0</v>
      </c>
      <c r="I1676" s="8">
        <f ca="1">IFERROR(__xludf.DUMMYFUNCTION("""COMPUTED_VALUE"""),0)</f>
        <v>0</v>
      </c>
      <c r="J1676" s="8">
        <f ca="1">IFERROR(__xludf.DUMMYFUNCTION("""COMPUTED_VALUE"""),0)</f>
        <v>0</v>
      </c>
      <c r="K1676" s="10" t="str">
        <f ca="1">IFERROR(__xludf.DUMMYFUNCTION("""COMPUTED_VALUE"""),"https://www.mlive.com/news/muskegon/index.ssf/2018/11/man_suspected_of_shooting_out.html")</f>
        <v>https://www.mlive.com/news/muskegon/index.ssf/2018/11/man_suspected_of_shooting_out.html</v>
      </c>
      <c r="L1676" s="8"/>
      <c r="M1676" s="8"/>
      <c r="N1676" s="8">
        <f ca="1">IFERROR(__xludf.DUMMYFUNCTION("""COMPUTED_VALUE"""),3)</f>
        <v>3</v>
      </c>
      <c r="O1676" s="8" t="str">
        <f ca="1">IFERROR(__xludf.DUMMYFUNCTION("""COMPUTED_VALUE"""),"Fall")</f>
        <v>Fall</v>
      </c>
      <c r="P1676" s="8" t="str">
        <f ca="1">IFERROR(__xludf.DUMMYFUNCTION("""COMPUTED_VALUE"""),"Pentwater")</f>
        <v>Pentwater</v>
      </c>
      <c r="Q1676" s="8" t="str">
        <f ca="1">IFERROR(__xludf.DUMMYFUNCTION("""COMPUTED_VALUE"""),"MI")</f>
        <v>MI</v>
      </c>
      <c r="R1676" s="8" t="str">
        <f ca="1">IFERROR(__xludf.DUMMYFUNCTION("""COMPUTED_VALUE"""),"K-8")</f>
        <v>K-8</v>
      </c>
      <c r="S1676" s="8" t="str">
        <f ca="1">IFERROR(__xludf.DUMMYFUNCTION("""COMPUTED_VALUE"""),"Front of School")</f>
        <v>Front of School</v>
      </c>
      <c r="T1676" s="8" t="str">
        <f ca="1">IFERROR(__xludf.DUMMYFUNCTION("""COMPUTED_VALUE"""),"Outside on School Property")</f>
        <v>Outside on School Property</v>
      </c>
      <c r="U1676" s="8" t="str">
        <f ca="1">IFERROR(__xludf.DUMMYFUNCTION("""COMPUTED_VALUE"""),"No")</f>
        <v>No</v>
      </c>
      <c r="V1676" s="8" t="str">
        <f ca="1">IFERROR(__xludf.DUMMYFUNCTION("""COMPUTED_VALUE"""),"Not a School Day")</f>
        <v>Not a School Day</v>
      </c>
      <c r="W1676" s="11">
        <f ca="1">IFERROR(__xludf.DUMMYFUNCTION("""COMPUTED_VALUE"""),0.364583333333333)</f>
        <v>0.36458333333333298</v>
      </c>
      <c r="X1676" s="8"/>
      <c r="Y1676" s="12" t="str">
        <f ca="1">IFERROR(__xludf.DUMMYFUNCTION("""COMPUTED_VALUE"""),"Adult male fired BB gun and broke multiple windows at the school")</f>
        <v>Adult male fired BB gun and broke multiple windows at the school</v>
      </c>
      <c r="Z1676" s="12" t="str">
        <f ca="1">IFERROR(__xludf.DUMMYFUNCTION("""COMPUTED_VALUE"""),"22YOM fired BB gun at multiple windows of the school causing $3,000 in property damage. Motive unknown. School was not in session for Thanksgiving break.")</f>
        <v>22YOM fired BB gun at multiple windows of the school causing $3,000 in property damage. Motive unknown. School was not in session for Thanksgiving break.</v>
      </c>
      <c r="AA1676" s="8" t="str">
        <f ca="1">IFERROR(__xludf.DUMMYFUNCTION("""COMPUTED_VALUE"""),"Intentional Property Damage")</f>
        <v>Intentional Property Damage</v>
      </c>
      <c r="AB1676" s="8"/>
      <c r="AC1676" s="8" t="str">
        <f ca="1">IFERROR(__xludf.DUMMYFUNCTION("""COMPUTED_VALUE"""),"No")</f>
        <v>No</v>
      </c>
      <c r="AD1676" s="8" t="str">
        <f ca="1">IFERROR(__xludf.DUMMYFUNCTION("""COMPUTED_VALUE"""),"Neither")</f>
        <v>Neither</v>
      </c>
      <c r="AE1676" s="8" t="str">
        <f ca="1">IFERROR(__xludf.DUMMYFUNCTION("""COMPUTED_VALUE"""),"No")</f>
        <v>No</v>
      </c>
      <c r="AF1676" s="8"/>
      <c r="AG1676" s="8" t="str">
        <f ca="1">IFERROR(__xludf.DUMMYFUNCTION("""COMPUTED_VALUE"""),"No")</f>
        <v>No</v>
      </c>
      <c r="AH1676" s="8" t="str">
        <f ca="1">IFERROR(__xludf.DUMMYFUNCTION("""COMPUTED_VALUE"""),"No")</f>
        <v>No</v>
      </c>
      <c r="AI1676" s="8" t="str">
        <f ca="1">IFERROR(__xludf.DUMMYFUNCTION("""COMPUTED_VALUE"""),"No")</f>
        <v>No</v>
      </c>
      <c r="AJ1676" s="8" t="str">
        <f ca="1">IFERROR(__xludf.DUMMYFUNCTION("""COMPUTED_VALUE"""),"No")</f>
        <v>No</v>
      </c>
      <c r="AK1676" s="8" t="str">
        <f ca="1">IFERROR(__xludf.DUMMYFUNCTION("""COMPUTED_VALUE"""),"No")</f>
        <v>No</v>
      </c>
      <c r="AL1676" s="8" t="str">
        <f ca="1">IFERROR(__xludf.DUMMYFUNCTION("""COMPUTED_VALUE"""),"No")</f>
        <v>No</v>
      </c>
      <c r="AM1676" s="8" t="str">
        <f ca="1">IFERROR(__xludf.DUMMYFUNCTION("""COMPUTED_VALUE"""),"No")</f>
        <v>No</v>
      </c>
      <c r="AN1676" s="8"/>
      <c r="AO1676" s="8" t="str">
        <f ca="1">IFERROR(__xludf.DUMMYFUNCTION("""COMPUTED_VALUE"""),"No")</f>
        <v>No</v>
      </c>
      <c r="AP1676" s="8"/>
      <c r="AQ1676" s="8" t="str">
        <f ca="1">IFERROR(__xludf.DUMMYFUNCTION("""COMPUTED_VALUE"""),"Unknown")</f>
        <v>Unknown</v>
      </c>
      <c r="AR1676" s="8" t="str">
        <f ca="1">IFERROR(__xludf.DUMMYFUNCTION("""COMPUTED_VALUE"""),"NA")</f>
        <v>NA</v>
      </c>
      <c r="AS1676" s="8"/>
      <c r="AT1676" s="8"/>
      <c r="AU1676" s="8">
        <f ca="1">IFERROR(__xludf.DUMMYFUNCTION("""COMPUTED_VALUE"""),43.78426)</f>
        <v>43.784260000000003</v>
      </c>
      <c r="AV1676" s="8">
        <f ca="1">IFERROR(__xludf.DUMMYFUNCTION("""COMPUTED_VALUE"""),-86.424688)</f>
        <v>-86.424688000000003</v>
      </c>
      <c r="AW1676" s="8"/>
      <c r="AX1676" s="8">
        <f ca="1">IFERROR(__xludf.DUMMYFUNCTION("""COMPUTED_VALUE"""),49449)</f>
        <v>49449</v>
      </c>
    </row>
    <row r="1677" spans="1:50" ht="75" x14ac:dyDescent="0.2">
      <c r="A1677" s="8" t="str">
        <f ca="1">IFERROR(__xludf.DUMMYFUNCTION("""COMPUTED_VALUE"""),"20181120VASIP")</f>
        <v>20181120VASIP</v>
      </c>
      <c r="B1677" s="8">
        <f ca="1">IFERROR(__xludf.DUMMYFUNCTION("""COMPUTED_VALUE"""),11)</f>
        <v>11</v>
      </c>
      <c r="C1677" s="8">
        <f ca="1">IFERROR(__xludf.DUMMYFUNCTION("""COMPUTED_VALUE"""),20)</f>
        <v>20</v>
      </c>
      <c r="D1677" s="8">
        <f ca="1">IFERROR(__xludf.DUMMYFUNCTION("""COMPUTED_VALUE"""),2018)</f>
        <v>2018</v>
      </c>
      <c r="E1677" s="9">
        <f ca="1">IFERROR(__xludf.DUMMYFUNCTION("""COMPUTED_VALUE"""),43424)</f>
        <v>43424</v>
      </c>
      <c r="F1677" s="8" t="str">
        <f ca="1">IFERROR(__xludf.DUMMYFUNCTION("""COMPUTED_VALUE"""),"Simonsdale Elementary School")</f>
        <v>Simonsdale Elementary School</v>
      </c>
      <c r="G1677" s="8">
        <f ca="1">IFERROR(__xludf.DUMMYFUNCTION("""COMPUTED_VALUE"""),0)</f>
        <v>0</v>
      </c>
      <c r="H1677" s="8">
        <f ca="1">IFERROR(__xludf.DUMMYFUNCTION("""COMPUTED_VALUE"""),1)</f>
        <v>1</v>
      </c>
      <c r="I1677" s="8">
        <f ca="1">IFERROR(__xludf.DUMMYFUNCTION("""COMPUTED_VALUE"""),1)</f>
        <v>1</v>
      </c>
      <c r="J1677" s="8">
        <f ca="1">IFERROR(__xludf.DUMMYFUNCTION("""COMPUTED_VALUE"""),0)</f>
        <v>0</v>
      </c>
      <c r="K1677" s="10" t="str">
        <f ca="1">IFERROR(__xludf.DUMMYFUNCTION("""COMPUTED_VALUE"""),"https://wtkr.com/2018/11/20/shot-fired-by-portsmouth-elementary-school-police-investigate/")</f>
        <v>https://wtkr.com/2018/11/20/shot-fired-by-portsmouth-elementary-school-police-investigate/</v>
      </c>
      <c r="L1677" s="8"/>
      <c r="M1677" s="8"/>
      <c r="N1677" s="8">
        <f ca="1">IFERROR(__xludf.DUMMYFUNCTION("""COMPUTED_VALUE"""),3)</f>
        <v>3</v>
      </c>
      <c r="O1677" s="8" t="str">
        <f ca="1">IFERROR(__xludf.DUMMYFUNCTION("""COMPUTED_VALUE"""),"Fall")</f>
        <v>Fall</v>
      </c>
      <c r="P1677" s="8" t="str">
        <f ca="1">IFERROR(__xludf.DUMMYFUNCTION("""COMPUTED_VALUE"""),"Portsmouth")</f>
        <v>Portsmouth</v>
      </c>
      <c r="Q1677" s="8" t="str">
        <f ca="1">IFERROR(__xludf.DUMMYFUNCTION("""COMPUTED_VALUE"""),"VA")</f>
        <v>VA</v>
      </c>
      <c r="R1677" s="8" t="str">
        <f ca="1">IFERROR(__xludf.DUMMYFUNCTION("""COMPUTED_VALUE"""),"Elementary")</f>
        <v>Elementary</v>
      </c>
      <c r="S1677" s="8" t="str">
        <f ca="1">IFERROR(__xludf.DUMMYFUNCTION("""COMPUTED_VALUE"""),"Hallway")</f>
        <v>Hallway</v>
      </c>
      <c r="T1677" s="8" t="str">
        <f ca="1">IFERROR(__xludf.DUMMYFUNCTION("""COMPUTED_VALUE"""),"Inside School Building")</f>
        <v>Inside School Building</v>
      </c>
      <c r="U1677" s="8" t="str">
        <f ca="1">IFERROR(__xludf.DUMMYFUNCTION("""COMPUTED_VALUE"""),"No")</f>
        <v>No</v>
      </c>
      <c r="V1677" s="8" t="str">
        <f ca="1">IFERROR(__xludf.DUMMYFUNCTION("""COMPUTED_VALUE"""),"Dismissal")</f>
        <v>Dismissal</v>
      </c>
      <c r="W1677" s="11">
        <f ca="1">IFERROR(__xludf.DUMMYFUNCTION("""COMPUTED_VALUE"""),0.666666666666666)</f>
        <v>0.66666666666666596</v>
      </c>
      <c r="X1677" s="8">
        <f ca="1">IFERROR(__xludf.DUMMYFUNCTION("""COMPUTED_VALUE"""),1)</f>
        <v>1</v>
      </c>
      <c r="Y1677" s="12" t="str">
        <f ca="1">IFERROR(__xludf.DUMMYFUNCTION("""COMPUTED_VALUE"""),"Parent's concealed weapon discharged striking other parent")</f>
        <v>Parent's concealed weapon discharged striking other parent</v>
      </c>
      <c r="Z1677" s="12" t="str">
        <f ca="1">IFERROR(__xludf.DUMMYFUNCTION("""COMPUTED_VALUE"""),"29YOM parent had concealed handgun. Gun discharged and another parent was struck by ricochet. Shooter fled and was later arrested by police. Shooting occurred just prior to dismissal. Students were still in classrooms and school was locked down.")</f>
        <v>29YOM parent had concealed handgun. Gun discharged and another parent was struck by ricochet. Shooter fled and was later arrested by police. Shooting occurred just prior to dismissal. Students were still in classrooms and school was locked down.</v>
      </c>
      <c r="AA1677" s="8" t="str">
        <f ca="1">IFERROR(__xludf.DUMMYFUNCTION("""COMPUTED_VALUE"""),"Accidental")</f>
        <v>Accidental</v>
      </c>
      <c r="AB1677" s="8"/>
      <c r="AC1677" s="8" t="str">
        <f ca="1">IFERROR(__xludf.DUMMYFUNCTION("""COMPUTED_VALUE"""),"Yes")</f>
        <v>Yes</v>
      </c>
      <c r="AD1677" s="8" t="str">
        <f ca="1">IFERROR(__xludf.DUMMYFUNCTION("""COMPUTED_VALUE"""),"Random Shooting")</f>
        <v>Random Shooting</v>
      </c>
      <c r="AE1677" s="8" t="str">
        <f ca="1">IFERROR(__xludf.DUMMYFUNCTION("""COMPUTED_VALUE"""),"No")</f>
        <v>No</v>
      </c>
      <c r="AF1677" s="8"/>
      <c r="AG1677" s="8" t="str">
        <f ca="1">IFERROR(__xludf.DUMMYFUNCTION("""COMPUTED_VALUE"""),"No")</f>
        <v>No</v>
      </c>
      <c r="AH1677" s="8" t="str">
        <f ca="1">IFERROR(__xludf.DUMMYFUNCTION("""COMPUTED_VALUE"""),"No")</f>
        <v>No</v>
      </c>
      <c r="AI1677" s="8" t="str">
        <f ca="1">IFERROR(__xludf.DUMMYFUNCTION("""COMPUTED_VALUE"""),"No")</f>
        <v>No</v>
      </c>
      <c r="AJ1677" s="8" t="str">
        <f ca="1">IFERROR(__xludf.DUMMYFUNCTION("""COMPUTED_VALUE"""),"No")</f>
        <v>No</v>
      </c>
      <c r="AK1677" s="8" t="str">
        <f ca="1">IFERROR(__xludf.DUMMYFUNCTION("""COMPUTED_VALUE"""),"No")</f>
        <v>No</v>
      </c>
      <c r="AL1677" s="8" t="str">
        <f ca="1">IFERROR(__xludf.DUMMYFUNCTION("""COMPUTED_VALUE"""),"No")</f>
        <v>No</v>
      </c>
      <c r="AM1677" s="8" t="str">
        <f ca="1">IFERROR(__xludf.DUMMYFUNCTION("""COMPUTED_VALUE"""),"No")</f>
        <v>No</v>
      </c>
      <c r="AN1677" s="8"/>
      <c r="AO1677" s="8" t="str">
        <f ca="1">IFERROR(__xludf.DUMMYFUNCTION("""COMPUTED_VALUE"""),"No")</f>
        <v>No</v>
      </c>
      <c r="AP1677" s="8"/>
      <c r="AQ1677" s="8" t="str">
        <f ca="1">IFERROR(__xludf.DUMMYFUNCTION("""COMPUTED_VALUE"""),"Unknown")</f>
        <v>Unknown</v>
      </c>
      <c r="AR1677" s="8" t="str">
        <f ca="1">IFERROR(__xludf.DUMMYFUNCTION("""COMPUTED_VALUE"""),"NA")</f>
        <v>NA</v>
      </c>
      <c r="AS1677" s="8">
        <f ca="1">IFERROR(__xludf.DUMMYFUNCTION("""COMPUTED_VALUE"""),1)</f>
        <v>1</v>
      </c>
      <c r="AT1677" s="8" t="str">
        <f ca="1">IFERROR(__xludf.DUMMYFUNCTION("""COMPUTED_VALUE"""),"Yes")</f>
        <v>Yes</v>
      </c>
      <c r="AU1677" s="8">
        <f ca="1">IFERROR(__xludf.DUMMYFUNCTION("""COMPUTED_VALUE"""),36.826734)</f>
        <v>36.826734000000002</v>
      </c>
      <c r="AV1677" s="8">
        <f ca="1">IFERROR(__xludf.DUMMYFUNCTION("""COMPUTED_VALUE"""),-76.365891)</f>
        <v>-76.365891000000005</v>
      </c>
      <c r="AW1677" s="8"/>
      <c r="AX1677" s="8">
        <f ca="1">IFERROR(__xludf.DUMMYFUNCTION("""COMPUTED_VALUE"""),23701)</f>
        <v>23701</v>
      </c>
    </row>
    <row r="1678" spans="1:50" ht="75" x14ac:dyDescent="0.2">
      <c r="A1678" s="8" t="str">
        <f ca="1">IFERROR(__xludf.DUMMYFUNCTION("""COMPUTED_VALUE"""),"20181112MDEAE")</f>
        <v>20181112MDEAE</v>
      </c>
      <c r="B1678" s="8">
        <f ca="1">IFERROR(__xludf.DUMMYFUNCTION("""COMPUTED_VALUE"""),11)</f>
        <v>11</v>
      </c>
      <c r="C1678" s="8">
        <f ca="1">IFERROR(__xludf.DUMMYFUNCTION("""COMPUTED_VALUE"""),12)</f>
        <v>12</v>
      </c>
      <c r="D1678" s="8">
        <f ca="1">IFERROR(__xludf.DUMMYFUNCTION("""COMPUTED_VALUE"""),2018)</f>
        <v>2018</v>
      </c>
      <c r="E1678" s="9">
        <f ca="1">IFERROR(__xludf.DUMMYFUNCTION("""COMPUTED_VALUE"""),43416)</f>
        <v>43416</v>
      </c>
      <c r="F1678" s="8" t="str">
        <f ca="1">IFERROR(__xludf.DUMMYFUNCTION("""COMPUTED_VALUE"""),"Eastern Tech High School")</f>
        <v>Eastern Tech High School</v>
      </c>
      <c r="G1678" s="8">
        <f ca="1">IFERROR(__xludf.DUMMYFUNCTION("""COMPUTED_VALUE"""),0)</f>
        <v>0</v>
      </c>
      <c r="H1678" s="8">
        <f ca="1">IFERROR(__xludf.DUMMYFUNCTION("""COMPUTED_VALUE"""),0)</f>
        <v>0</v>
      </c>
      <c r="I1678" s="8">
        <f ca="1">IFERROR(__xludf.DUMMYFUNCTION("""COMPUTED_VALUE"""),0)</f>
        <v>0</v>
      </c>
      <c r="J1678" s="8">
        <f ca="1">IFERROR(__xludf.DUMMYFUNCTION("""COMPUTED_VALUE"""),1)</f>
        <v>1</v>
      </c>
      <c r="K1678" s="10" t="str">
        <f ca="1">IFERROR(__xludf.DUMMYFUNCTION("""COMPUTED_VALUE"""),"https://baltimore.cbslocal.com/2018/11/12/school-resource-officer-suicide/")</f>
        <v>https://baltimore.cbslocal.com/2018/11/12/school-resource-officer-suicide/</v>
      </c>
      <c r="L1678" s="8"/>
      <c r="M1678" s="8"/>
      <c r="N1678" s="8">
        <f ca="1">IFERROR(__xludf.DUMMYFUNCTION("""COMPUTED_VALUE"""),3)</f>
        <v>3</v>
      </c>
      <c r="O1678" s="8" t="str">
        <f ca="1">IFERROR(__xludf.DUMMYFUNCTION("""COMPUTED_VALUE"""),"Fall")</f>
        <v>Fall</v>
      </c>
      <c r="P1678" s="8" t="str">
        <f ca="1">IFERROR(__xludf.DUMMYFUNCTION("""COMPUTED_VALUE"""),"Essex")</f>
        <v>Essex</v>
      </c>
      <c r="Q1678" s="8" t="str">
        <f ca="1">IFERROR(__xludf.DUMMYFUNCTION("""COMPUTED_VALUE"""),"MD")</f>
        <v>MD</v>
      </c>
      <c r="R1678" s="8" t="str">
        <f ca="1">IFERROR(__xludf.DUMMYFUNCTION("""COMPUTED_VALUE"""),"High")</f>
        <v>High</v>
      </c>
      <c r="S1678" s="8" t="str">
        <f ca="1">IFERROR(__xludf.DUMMYFUNCTION("""COMPUTED_VALUE"""),"Office")</f>
        <v>Office</v>
      </c>
      <c r="T1678" s="8" t="str">
        <f ca="1">IFERROR(__xludf.DUMMYFUNCTION("""COMPUTED_VALUE"""),"Inside School Building")</f>
        <v>Inside School Building</v>
      </c>
      <c r="U1678" s="8" t="str">
        <f ca="1">IFERROR(__xludf.DUMMYFUNCTION("""COMPUTED_VALUE"""),"Yes")</f>
        <v>Yes</v>
      </c>
      <c r="V1678" s="8" t="str">
        <f ca="1">IFERROR(__xludf.DUMMYFUNCTION("""COMPUTED_VALUE"""),"Afternoon Classes")</f>
        <v>Afternoon Classes</v>
      </c>
      <c r="W1678" s="11">
        <f ca="1">IFERROR(__xludf.DUMMYFUNCTION("""COMPUTED_VALUE"""),0.515972222222222)</f>
        <v>0.51597222222222205</v>
      </c>
      <c r="X1678" s="8">
        <f ca="1">IFERROR(__xludf.DUMMYFUNCTION("""COMPUTED_VALUE"""),1)</f>
        <v>1</v>
      </c>
      <c r="Y1678" s="12" t="str">
        <f ca="1">IFERROR(__xludf.DUMMYFUNCTION("""COMPUTED_VALUE"""),"SRO killed self in officer inside school")</f>
        <v>SRO killed self in officer inside school</v>
      </c>
      <c r="Z1678" s="12" t="str">
        <f ca="1">IFERROR(__xludf.DUMMYFUNCTION("""COMPUTED_VALUE"""),"SRO commit suicide in school. Teachers heard shots and school was locked down then dismissed 2 hours later. SRO was well known and well liked by students and staff. Had been assigned to school for 4 years and worked for 21 years as officer.")</f>
        <v>SRO commit suicide in school. Teachers heard shots and school was locked down then dismissed 2 hours later. SRO was well known and well liked by students and staff. Had been assigned to school for 4 years and worked for 21 years as officer.</v>
      </c>
      <c r="AA1678" s="8" t="str">
        <f ca="1">IFERROR(__xludf.DUMMYFUNCTION("""COMPUTED_VALUE"""),"Suicide/Attempted")</f>
        <v>Suicide/Attempted</v>
      </c>
      <c r="AB1678" s="8"/>
      <c r="AC1678" s="8" t="str">
        <f ca="1">IFERROR(__xludf.DUMMYFUNCTION("""COMPUTED_VALUE"""),"Yes")</f>
        <v>Yes</v>
      </c>
      <c r="AD1678" s="8" t="str">
        <f ca="1">IFERROR(__xludf.DUMMYFUNCTION("""COMPUTED_VALUE"""),"Victims Targeted")</f>
        <v>Victims Targeted</v>
      </c>
      <c r="AE1678" s="8" t="str">
        <f ca="1">IFERROR(__xludf.DUMMYFUNCTION("""COMPUTED_VALUE"""),"No")</f>
        <v>No</v>
      </c>
      <c r="AF1678" s="8"/>
      <c r="AG1678" s="8" t="str">
        <f ca="1">IFERROR(__xludf.DUMMYFUNCTION("""COMPUTED_VALUE"""),"No")</f>
        <v>No</v>
      </c>
      <c r="AH1678" s="8" t="str">
        <f ca="1">IFERROR(__xludf.DUMMYFUNCTION("""COMPUTED_VALUE"""),"No")</f>
        <v>No</v>
      </c>
      <c r="AI1678" s="8" t="str">
        <f ca="1">IFERROR(__xludf.DUMMYFUNCTION("""COMPUTED_VALUE"""),"No")</f>
        <v>No</v>
      </c>
      <c r="AJ1678" s="8" t="str">
        <f ca="1">IFERROR(__xludf.DUMMYFUNCTION("""COMPUTED_VALUE"""),"No")</f>
        <v>No</v>
      </c>
      <c r="AK1678" s="8" t="str">
        <f ca="1">IFERROR(__xludf.DUMMYFUNCTION("""COMPUTED_VALUE"""),"No")</f>
        <v>No</v>
      </c>
      <c r="AL1678" s="8" t="str">
        <f ca="1">IFERROR(__xludf.DUMMYFUNCTION("""COMPUTED_VALUE"""),"No")</f>
        <v>No</v>
      </c>
      <c r="AM1678" s="8" t="str">
        <f ca="1">IFERROR(__xludf.DUMMYFUNCTION("""COMPUTED_VALUE"""),"No")</f>
        <v>No</v>
      </c>
      <c r="AN1678" s="8"/>
      <c r="AO1678" s="8" t="str">
        <f ca="1">IFERROR(__xludf.DUMMYFUNCTION("""COMPUTED_VALUE"""),"No")</f>
        <v>No</v>
      </c>
      <c r="AP1678" s="8" t="str">
        <f ca="1">IFERROR(__xludf.DUMMYFUNCTION("""COMPUTED_VALUE"""),"Yes")</f>
        <v>Yes</v>
      </c>
      <c r="AQ1678" s="8" t="str">
        <f ca="1">IFERROR(__xludf.DUMMYFUNCTION("""COMPUTED_VALUE"""),"Unknown")</f>
        <v>Unknown</v>
      </c>
      <c r="AR1678" s="8" t="str">
        <f ca="1">IFERROR(__xludf.DUMMYFUNCTION("""COMPUTED_VALUE"""),"NA")</f>
        <v>NA</v>
      </c>
      <c r="AS1678" s="8">
        <f ca="1">IFERROR(__xludf.DUMMYFUNCTION("""COMPUTED_VALUE"""),1)</f>
        <v>1</v>
      </c>
      <c r="AT1678" s="8" t="str">
        <f ca="1">IFERROR(__xludf.DUMMYFUNCTION("""COMPUTED_VALUE"""),"Yes")</f>
        <v>Yes</v>
      </c>
      <c r="AU1678" s="8">
        <f ca="1">IFERROR(__xludf.DUMMYFUNCTION("""COMPUTED_VALUE"""),39.324897)</f>
        <v>39.324897</v>
      </c>
      <c r="AV1678" s="8">
        <f ca="1">IFERROR(__xludf.DUMMYFUNCTION("""COMPUTED_VALUE"""),-76.473088)</f>
        <v>-76.473088000000004</v>
      </c>
      <c r="AW1678" s="8"/>
      <c r="AX1678" s="8">
        <f ca="1">IFERROR(__xludf.DUMMYFUNCTION("""COMPUTED_VALUE"""),21221)</f>
        <v>21221</v>
      </c>
    </row>
    <row r="1679" spans="1:50" ht="75" x14ac:dyDescent="0.2">
      <c r="A1679" s="8" t="str">
        <f ca="1">IFERROR(__xludf.DUMMYFUNCTION("""COMPUTED_VALUE"""),"20181109GAGAM")</f>
        <v>20181109GAGAM</v>
      </c>
      <c r="B1679" s="8">
        <f ca="1">IFERROR(__xludf.DUMMYFUNCTION("""COMPUTED_VALUE"""),11)</f>
        <v>11</v>
      </c>
      <c r="C1679" s="8">
        <f ca="1">IFERROR(__xludf.DUMMYFUNCTION("""COMPUTED_VALUE"""),9)</f>
        <v>9</v>
      </c>
      <c r="D1679" s="8">
        <f ca="1">IFERROR(__xludf.DUMMYFUNCTION("""COMPUTED_VALUE"""),2018)</f>
        <v>2018</v>
      </c>
      <c r="E1679" s="9">
        <f ca="1">IFERROR(__xludf.DUMMYFUNCTION("""COMPUTED_VALUE"""),43413)</f>
        <v>43413</v>
      </c>
      <c r="F1679" s="8" t="str">
        <f ca="1">IFERROR(__xludf.DUMMYFUNCTION("""COMPUTED_VALUE"""),"Garrett Middle School")</f>
        <v>Garrett Middle School</v>
      </c>
      <c r="G1679" s="8">
        <f ca="1">IFERROR(__xludf.DUMMYFUNCTION("""COMPUTED_VALUE"""),0)</f>
        <v>0</v>
      </c>
      <c r="H1679" s="8">
        <f ca="1">IFERROR(__xludf.DUMMYFUNCTION("""COMPUTED_VALUE"""),0)</f>
        <v>0</v>
      </c>
      <c r="I1679" s="8">
        <f ca="1">IFERROR(__xludf.DUMMYFUNCTION("""COMPUTED_VALUE"""),0)</f>
        <v>0</v>
      </c>
      <c r="J1679" s="8">
        <f ca="1">IFERROR(__xludf.DUMMYFUNCTION("""COMPUTED_VALUE"""),0)</f>
        <v>0</v>
      </c>
      <c r="K1679" s="10" t="str">
        <f ca="1">IFERROR(__xludf.DUMMYFUNCTION("""COMPUTED_VALUE"""),"https://www.mdjonline.com/news/gun-fired-in-garrett-middle-school-bathroom-students-charged/article_3efeedb6-e481-11e8-b800-e38d6827d46f.html")</f>
        <v>https://www.mdjonline.com/news/gun-fired-in-garrett-middle-school-bathroom-students-charged/article_3efeedb6-e481-11e8-b800-e38d6827d46f.html</v>
      </c>
      <c r="L1679" s="8"/>
      <c r="M1679" s="8"/>
      <c r="N1679" s="8">
        <f ca="1">IFERROR(__xludf.DUMMYFUNCTION("""COMPUTED_VALUE"""),3)</f>
        <v>3</v>
      </c>
      <c r="O1679" s="8" t="str">
        <f ca="1">IFERROR(__xludf.DUMMYFUNCTION("""COMPUTED_VALUE"""),"Fall")</f>
        <v>Fall</v>
      </c>
      <c r="P1679" s="8" t="str">
        <f ca="1">IFERROR(__xludf.DUMMYFUNCTION("""COMPUTED_VALUE"""),"Marietta")</f>
        <v>Marietta</v>
      </c>
      <c r="Q1679" s="8" t="str">
        <f ca="1">IFERROR(__xludf.DUMMYFUNCTION("""COMPUTED_VALUE"""),"GA")</f>
        <v>GA</v>
      </c>
      <c r="R1679" s="8" t="str">
        <f ca="1">IFERROR(__xludf.DUMMYFUNCTION("""COMPUTED_VALUE"""),"Middle")</f>
        <v>Middle</v>
      </c>
      <c r="S1679" s="8" t="str">
        <f ca="1">IFERROR(__xludf.DUMMYFUNCTION("""COMPUTED_VALUE"""),"Bathroom")</f>
        <v>Bathroom</v>
      </c>
      <c r="T1679" s="8" t="str">
        <f ca="1">IFERROR(__xludf.DUMMYFUNCTION("""COMPUTED_VALUE"""),"Inside School Building")</f>
        <v>Inside School Building</v>
      </c>
      <c r="U1679" s="8" t="str">
        <f ca="1">IFERROR(__xludf.DUMMYFUNCTION("""COMPUTED_VALUE"""),"Yes")</f>
        <v>Yes</v>
      </c>
      <c r="V1679" s="8"/>
      <c r="W1679" s="8"/>
      <c r="X1679" s="8">
        <f ca="1">IFERROR(__xludf.DUMMYFUNCTION("""COMPUTED_VALUE"""),1)</f>
        <v>1</v>
      </c>
      <c r="Y1679" s="12" t="str">
        <f ca="1">IFERROR(__xludf.DUMMYFUNCTION("""COMPUTED_VALUE"""),"Student accidentally fired handgun showing it off in bathroom")</f>
        <v>Student accidentally fired handgun showing it off in bathroom</v>
      </c>
      <c r="Z1679" s="12" t="str">
        <f ca="1">IFERROR(__xludf.DUMMYFUNCTION("""COMPUTED_VALUE"""),"Two students charged after accidental discharge of handgun in school bathroom. No injuries. Student was showing the gun off. Both students fled the scene. SRO heard the shots and investigated. Gun was recovered later that day at the student's home.")</f>
        <v>Two students charged after accidental discharge of handgun in school bathroom. No injuries. Student was showing the gun off. Both students fled the scene. SRO heard the shots and investigated. Gun was recovered later that day at the student's home.</v>
      </c>
      <c r="AA1679" s="8" t="str">
        <f ca="1">IFERROR(__xludf.DUMMYFUNCTION("""COMPUTED_VALUE"""),"Accidental")</f>
        <v>Accidental</v>
      </c>
      <c r="AB1679" s="8"/>
      <c r="AC1679" s="8" t="str">
        <f ca="1">IFERROR(__xludf.DUMMYFUNCTION("""COMPUTED_VALUE"""),"Yes")</f>
        <v>Yes</v>
      </c>
      <c r="AD1679" s="8" t="str">
        <f ca="1">IFERROR(__xludf.DUMMYFUNCTION("""COMPUTED_VALUE"""),"Neither")</f>
        <v>Neither</v>
      </c>
      <c r="AE1679" s="8" t="str">
        <f ca="1">IFERROR(__xludf.DUMMYFUNCTION("""COMPUTED_VALUE"""),"Yes")</f>
        <v>Yes</v>
      </c>
      <c r="AF1679" s="8" t="str">
        <f ca="1">IFERROR(__xludf.DUMMYFUNCTION("""COMPUTED_VALUE"""),"2 students arrested and charged")</f>
        <v>2 students arrested and charged</v>
      </c>
      <c r="AG1679" s="8" t="str">
        <f ca="1">IFERROR(__xludf.DUMMYFUNCTION("""COMPUTED_VALUE"""),"No")</f>
        <v>No</v>
      </c>
      <c r="AH1679" s="8" t="str">
        <f ca="1">IFERROR(__xludf.DUMMYFUNCTION("""COMPUTED_VALUE"""),"No")</f>
        <v>No</v>
      </c>
      <c r="AI1679" s="8" t="str">
        <f ca="1">IFERROR(__xludf.DUMMYFUNCTION("""COMPUTED_VALUE"""),"No")</f>
        <v>No</v>
      </c>
      <c r="AJ1679" s="8" t="str">
        <f ca="1">IFERROR(__xludf.DUMMYFUNCTION("""COMPUTED_VALUE"""),"No")</f>
        <v>No</v>
      </c>
      <c r="AK1679" s="8" t="str">
        <f ca="1">IFERROR(__xludf.DUMMYFUNCTION("""COMPUTED_VALUE"""),"No")</f>
        <v>No</v>
      </c>
      <c r="AL1679" s="8" t="str">
        <f ca="1">IFERROR(__xludf.DUMMYFUNCTION("""COMPUTED_VALUE"""),"No")</f>
        <v>No</v>
      </c>
      <c r="AM1679" s="8" t="str">
        <f ca="1">IFERROR(__xludf.DUMMYFUNCTION("""COMPUTED_VALUE"""),"No")</f>
        <v>No</v>
      </c>
      <c r="AN1679" s="8"/>
      <c r="AO1679" s="8" t="str">
        <f ca="1">IFERROR(__xludf.DUMMYFUNCTION("""COMPUTED_VALUE"""),"No")</f>
        <v>No</v>
      </c>
      <c r="AP1679" s="8" t="str">
        <f ca="1">IFERROR(__xludf.DUMMYFUNCTION("""COMPUTED_VALUE"""),"Yes")</f>
        <v>Yes</v>
      </c>
      <c r="AQ1679" s="8" t="str">
        <f ca="1">IFERROR(__xludf.DUMMYFUNCTION("""COMPUTED_VALUE"""),"None")</f>
        <v>None</v>
      </c>
      <c r="AR1679" s="8" t="str">
        <f ca="1">IFERROR(__xludf.DUMMYFUNCTION("""COMPUTED_VALUE"""),"NA")</f>
        <v>NA</v>
      </c>
      <c r="AS1679" s="8">
        <f ca="1">IFERROR(__xludf.DUMMYFUNCTION("""COMPUTED_VALUE"""),1)</f>
        <v>1</v>
      </c>
      <c r="AT1679" s="8"/>
      <c r="AU1679" s="8">
        <f ca="1">IFERROR(__xludf.DUMMYFUNCTION("""COMPUTED_VALUE"""),33.827803)</f>
        <v>33.827803000000003</v>
      </c>
      <c r="AV1679" s="8">
        <f ca="1">IFERROR(__xludf.DUMMYFUNCTION("""COMPUTED_VALUE"""),-84.643808)</f>
        <v>-84.643808000000007</v>
      </c>
      <c r="AW1679" s="8"/>
      <c r="AX1679" s="8">
        <f ca="1">IFERROR(__xludf.DUMMYFUNCTION("""COMPUTED_VALUE"""),30106)</f>
        <v>30106</v>
      </c>
    </row>
    <row r="1680" spans="1:50" ht="45" x14ac:dyDescent="0.2">
      <c r="A1680" s="8" t="str">
        <f ca="1">IFERROR(__xludf.DUMMYFUNCTION("""COMPUTED_VALUE"""),"20181108CACLS")</f>
        <v>20181108CACLS</v>
      </c>
      <c r="B1680" s="8">
        <f ca="1">IFERROR(__xludf.DUMMYFUNCTION("""COMPUTED_VALUE"""),11)</f>
        <v>11</v>
      </c>
      <c r="C1680" s="8">
        <f ca="1">IFERROR(__xludf.DUMMYFUNCTION("""COMPUTED_VALUE"""),8)</f>
        <v>8</v>
      </c>
      <c r="D1680" s="8">
        <f ca="1">IFERROR(__xludf.DUMMYFUNCTION("""COMPUTED_VALUE"""),2018)</f>
        <v>2018</v>
      </c>
      <c r="E1680" s="9">
        <f ca="1">IFERROR(__xludf.DUMMYFUNCTION("""COMPUTED_VALUE"""),43412)</f>
        <v>43412</v>
      </c>
      <c r="F1680" s="8" t="str">
        <f ca="1">IFERROR(__xludf.DUMMYFUNCTION("""COMPUTED_VALUE"""),"Cleveland Elementary School")</f>
        <v>Cleveland Elementary School</v>
      </c>
      <c r="G1680" s="8">
        <f ca="1">IFERROR(__xludf.DUMMYFUNCTION("""COMPUTED_VALUE"""),0)</f>
        <v>0</v>
      </c>
      <c r="H1680" s="8">
        <f ca="1">IFERROR(__xludf.DUMMYFUNCTION("""COMPUTED_VALUE"""),1)</f>
        <v>1</v>
      </c>
      <c r="I1680" s="8">
        <f ca="1">IFERROR(__xludf.DUMMYFUNCTION("""COMPUTED_VALUE"""),1)</f>
        <v>1</v>
      </c>
      <c r="J1680" s="8">
        <f ca="1">IFERROR(__xludf.DUMMYFUNCTION("""COMPUTED_VALUE"""),0)</f>
        <v>0</v>
      </c>
      <c r="K1680" s="10" t="str">
        <f ca="1">IFERROR(__xludf.DUMMYFUNCTION("""COMPUTED_VALUE"""),"https://ksby.com/news/2018/12/03/suspects-arrested-in-santa-barbara-elementary-school-shooting-linked-to-other-crimes")</f>
        <v>https://ksby.com/news/2018/12/03/suspects-arrested-in-santa-barbara-elementary-school-shooting-linked-to-other-crimes</v>
      </c>
      <c r="L1680" s="8"/>
      <c r="M1680" s="8"/>
      <c r="N1680" s="8">
        <f ca="1">IFERROR(__xludf.DUMMYFUNCTION("""COMPUTED_VALUE"""),3)</f>
        <v>3</v>
      </c>
      <c r="O1680" s="8" t="str">
        <f ca="1">IFERROR(__xludf.DUMMYFUNCTION("""COMPUTED_VALUE"""),"Fall")</f>
        <v>Fall</v>
      </c>
      <c r="P1680" s="8" t="str">
        <f ca="1">IFERROR(__xludf.DUMMYFUNCTION("""COMPUTED_VALUE"""),"Santa Barbara")</f>
        <v>Santa Barbara</v>
      </c>
      <c r="Q1680" s="8" t="str">
        <f ca="1">IFERROR(__xludf.DUMMYFUNCTION("""COMPUTED_VALUE"""),"CA")</f>
        <v>CA</v>
      </c>
      <c r="R1680" s="8" t="str">
        <f ca="1">IFERROR(__xludf.DUMMYFUNCTION("""COMPUTED_VALUE"""),"Elementary")</f>
        <v>Elementary</v>
      </c>
      <c r="S1680" s="8" t="str">
        <f ca="1">IFERROR(__xludf.DUMMYFUNCTION("""COMPUTED_VALUE"""),"Outside on School Property")</f>
        <v>Outside on School Property</v>
      </c>
      <c r="T1680" s="8" t="str">
        <f ca="1">IFERROR(__xludf.DUMMYFUNCTION("""COMPUTED_VALUE"""),"Outside on School Property")</f>
        <v>Outside on School Property</v>
      </c>
      <c r="U1680" s="8" t="str">
        <f ca="1">IFERROR(__xludf.DUMMYFUNCTION("""COMPUTED_VALUE"""),"No")</f>
        <v>No</v>
      </c>
      <c r="V1680" s="8" t="str">
        <f ca="1">IFERROR(__xludf.DUMMYFUNCTION("""COMPUTED_VALUE"""),"Night")</f>
        <v>Night</v>
      </c>
      <c r="W1680" s="11">
        <f ca="1">IFERROR(__xludf.DUMMYFUNCTION("""COMPUTED_VALUE"""),0.0833333333333333)</f>
        <v>8.3333333333333301E-2</v>
      </c>
      <c r="X1680" s="8">
        <f ca="1">IFERROR(__xludf.DUMMYFUNCTION("""COMPUTED_VALUE"""),1)</f>
        <v>1</v>
      </c>
      <c r="Y1680" s="12" t="str">
        <f ca="1">IFERROR(__xludf.DUMMYFUNCTION("""COMPUTED_VALUE"""),"Shot during robbery outside of school")</f>
        <v>Shot during robbery outside of school</v>
      </c>
      <c r="Z1680" s="12" t="str">
        <f ca="1">IFERROR(__xludf.DUMMYFUNCTION("""COMPUTED_VALUE"""),"Two adult males shot an unidentified adult male during a robbery outside of the school after hours. Two adult male shooters were involved in multiple crimes in the area.")</f>
        <v>Two adult males shot an unidentified adult male during a robbery outside of the school after hours. Two adult male shooters were involved in multiple crimes in the area.</v>
      </c>
      <c r="AA1680" s="8" t="str">
        <f ca="1">IFERROR(__xludf.DUMMYFUNCTION("""COMPUTED_VALUE"""),"Illegal Activity")</f>
        <v>Illegal Activity</v>
      </c>
      <c r="AB1680" s="8"/>
      <c r="AC1680" s="8" t="str">
        <f ca="1">IFERROR(__xludf.DUMMYFUNCTION("""COMPUTED_VALUE"""),"No")</f>
        <v>No</v>
      </c>
      <c r="AD1680" s="8" t="str">
        <f ca="1">IFERROR(__xludf.DUMMYFUNCTION("""COMPUTED_VALUE"""),"Victims Targeted")</f>
        <v>Victims Targeted</v>
      </c>
      <c r="AE1680" s="8" t="str">
        <f ca="1">IFERROR(__xludf.DUMMYFUNCTION("""COMPUTED_VALUE"""),"Yes")</f>
        <v>Yes</v>
      </c>
      <c r="AF1680" s="8" t="str">
        <f ca="1">IFERROR(__xludf.DUMMYFUNCTION("""COMPUTED_VALUE"""),"2 arrested for multiple crimes in area")</f>
        <v>2 arrested for multiple crimes in area</v>
      </c>
      <c r="AG1680" s="8" t="str">
        <f ca="1">IFERROR(__xludf.DUMMYFUNCTION("""COMPUTED_VALUE"""),"No")</f>
        <v>No</v>
      </c>
      <c r="AH1680" s="8" t="str">
        <f ca="1">IFERROR(__xludf.DUMMYFUNCTION("""COMPUTED_VALUE"""),"No")</f>
        <v>No</v>
      </c>
      <c r="AI1680" s="8" t="str">
        <f ca="1">IFERROR(__xludf.DUMMYFUNCTION("""COMPUTED_VALUE"""),"No")</f>
        <v>No</v>
      </c>
      <c r="AJ1680" s="8" t="str">
        <f ca="1">IFERROR(__xludf.DUMMYFUNCTION("""COMPUTED_VALUE"""),"No")</f>
        <v>No</v>
      </c>
      <c r="AK1680" s="8" t="str">
        <f ca="1">IFERROR(__xludf.DUMMYFUNCTION("""COMPUTED_VALUE"""),"No")</f>
        <v>No</v>
      </c>
      <c r="AL1680" s="8"/>
      <c r="AM1680" s="8" t="str">
        <f ca="1">IFERROR(__xludf.DUMMYFUNCTION("""COMPUTED_VALUE"""),"No")</f>
        <v>No</v>
      </c>
      <c r="AN1680" s="8"/>
      <c r="AO1680" s="8" t="str">
        <f ca="1">IFERROR(__xludf.DUMMYFUNCTION("""COMPUTED_VALUE"""),"No")</f>
        <v>No</v>
      </c>
      <c r="AP1680" s="8"/>
      <c r="AQ1680" s="8" t="str">
        <f ca="1">IFERROR(__xludf.DUMMYFUNCTION("""COMPUTED_VALUE"""),"Unknown")</f>
        <v>Unknown</v>
      </c>
      <c r="AR1680" s="8" t="str">
        <f ca="1">IFERROR(__xludf.DUMMYFUNCTION("""COMPUTED_VALUE"""),"NA")</f>
        <v>NA</v>
      </c>
      <c r="AS1680" s="8" t="str">
        <f ca="1">IFERROR(__xludf.DUMMYFUNCTION("""COMPUTED_VALUE"""),"&lt;10")</f>
        <v>&lt;10</v>
      </c>
      <c r="AT1680" s="8"/>
      <c r="AU1680" s="8">
        <f ca="1">IFERROR(__xludf.DUMMYFUNCTION("""COMPUTED_VALUE"""),34.428699)</f>
        <v>34.428699000000002</v>
      </c>
      <c r="AV1680" s="8">
        <f ca="1">IFERROR(__xludf.DUMMYFUNCTION("""COMPUTED_VALUE"""),-119.671166)</f>
        <v>-119.671166</v>
      </c>
      <c r="AW1680" s="8"/>
      <c r="AX1680" s="8">
        <f ca="1">IFERROR(__xludf.DUMMYFUNCTION("""COMPUTED_VALUE"""),93103)</f>
        <v>93103</v>
      </c>
    </row>
    <row r="1681" spans="1:50" ht="60" x14ac:dyDescent="0.2">
      <c r="A1681" s="8" t="str">
        <f ca="1">IFERROR(__xludf.DUMMYFUNCTION("""COMPUTED_VALUE"""),"20181105SCACC")</f>
        <v>20181105SCACC</v>
      </c>
      <c r="B1681" s="8">
        <f ca="1">IFERROR(__xludf.DUMMYFUNCTION("""COMPUTED_VALUE"""),11)</f>
        <v>11</v>
      </c>
      <c r="C1681" s="8">
        <f ca="1">IFERROR(__xludf.DUMMYFUNCTION("""COMPUTED_VALUE"""),5)</f>
        <v>5</v>
      </c>
      <c r="D1681" s="8">
        <f ca="1">IFERROR(__xludf.DUMMYFUNCTION("""COMPUTED_VALUE"""),2018)</f>
        <v>2018</v>
      </c>
      <c r="E1681" s="9">
        <f ca="1">IFERROR(__xludf.DUMMYFUNCTION("""COMPUTED_VALUE"""),43409)</f>
        <v>43409</v>
      </c>
      <c r="F1681" s="8" t="str">
        <f ca="1">IFERROR(__xludf.DUMMYFUNCTION("""COMPUTED_VALUE"""),"Academy of Hope")</f>
        <v>Academy of Hope</v>
      </c>
      <c r="G1681" s="8">
        <f ca="1">IFERROR(__xludf.DUMMYFUNCTION("""COMPUTED_VALUE"""),0)</f>
        <v>0</v>
      </c>
      <c r="H1681" s="8">
        <f ca="1">IFERROR(__xludf.DUMMYFUNCTION("""COMPUTED_VALUE"""),0)</f>
        <v>0</v>
      </c>
      <c r="I1681" s="8">
        <f ca="1">IFERROR(__xludf.DUMMYFUNCTION("""COMPUTED_VALUE"""),0)</f>
        <v>0</v>
      </c>
      <c r="J1681" s="8">
        <f ca="1">IFERROR(__xludf.DUMMYFUNCTION("""COMPUTED_VALUE"""),0)</f>
        <v>0</v>
      </c>
      <c r="K1681" s="10" t="str">
        <f ca="1">IFERROR(__xludf.DUMMYFUNCTION("""COMPUTED_VALUE"""),"https://www.wbtw.com/crime/grand-strand-crime/12-year-old-issued-summons-after-bringing-bb-gun-to-conway-school-shooting-13-year-old-report-says/1579188190")</f>
        <v>https://www.wbtw.com/crime/grand-strand-crime/12-year-old-issued-summons-after-bringing-bb-gun-to-conway-school-shooting-13-year-old-report-says/1579188190</v>
      </c>
      <c r="L1681" s="8"/>
      <c r="M1681" s="8"/>
      <c r="N1681" s="8">
        <f ca="1">IFERROR(__xludf.DUMMYFUNCTION("""COMPUTED_VALUE"""),2)</f>
        <v>2</v>
      </c>
      <c r="O1681" s="8" t="str">
        <f ca="1">IFERROR(__xludf.DUMMYFUNCTION("""COMPUTED_VALUE"""),"Fall")</f>
        <v>Fall</v>
      </c>
      <c r="P1681" s="8" t="str">
        <f ca="1">IFERROR(__xludf.DUMMYFUNCTION("""COMPUTED_VALUE"""),"Conway")</f>
        <v>Conway</v>
      </c>
      <c r="Q1681" s="8" t="str">
        <f ca="1">IFERROR(__xludf.DUMMYFUNCTION("""COMPUTED_VALUE"""),"SC")</f>
        <v>SC</v>
      </c>
      <c r="R1681" s="8" t="str">
        <f ca="1">IFERROR(__xludf.DUMMYFUNCTION("""COMPUTED_VALUE"""),"K-8")</f>
        <v>K-8</v>
      </c>
      <c r="S1681" s="8" t="str">
        <f ca="1">IFERROR(__xludf.DUMMYFUNCTION("""COMPUTED_VALUE"""),"Classroom")</f>
        <v>Classroom</v>
      </c>
      <c r="T1681" s="8" t="str">
        <f ca="1">IFERROR(__xludf.DUMMYFUNCTION("""COMPUTED_VALUE"""),"Inside School Building")</f>
        <v>Inside School Building</v>
      </c>
      <c r="U1681" s="8" t="str">
        <f ca="1">IFERROR(__xludf.DUMMYFUNCTION("""COMPUTED_VALUE"""),"Yes")</f>
        <v>Yes</v>
      </c>
      <c r="V1681" s="8" t="str">
        <f ca="1">IFERROR(__xludf.DUMMYFUNCTION("""COMPUTED_VALUE"""),"Morning Classes")</f>
        <v>Morning Classes</v>
      </c>
      <c r="W1681" s="11">
        <f ca="1">IFERROR(__xludf.DUMMYFUNCTION("""COMPUTED_VALUE"""),0.458333333333333)</f>
        <v>0.45833333333333298</v>
      </c>
      <c r="X1681" s="8">
        <f ca="1">IFERROR(__xludf.DUMMYFUNCTION("""COMPUTED_VALUE"""),1)</f>
        <v>1</v>
      </c>
      <c r="Y1681" s="12" t="str">
        <f ca="1">IFERROR(__xludf.DUMMYFUNCTION("""COMPUTED_VALUE"""),"Student fired bb gun at other student in classroom")</f>
        <v>Student fired bb gun at other student in classroom</v>
      </c>
      <c r="Z1681" s="12" t="str">
        <f ca="1">IFERROR(__xludf.DUMMYFUNCTION("""COMPUTED_VALUE"""),"12YOM pulled out BB gun in classroom, pointed it at multiple students, and then fired at a 13YOM student. 13YOM student did not have injuries from the BB. Shooter was given juvenile summons and BB was taken by police.")</f>
        <v>12YOM pulled out BB gun in classroom, pointed it at multiple students, and then fired at a 13YOM student. 13YOM student did not have injuries from the BB. Shooter was given juvenile summons and BB was taken by police.</v>
      </c>
      <c r="AA1681" s="8" t="str">
        <f ca="1">IFERROR(__xludf.DUMMYFUNCTION("""COMPUTED_VALUE"""),"Unknown")</f>
        <v>Unknown</v>
      </c>
      <c r="AB1681" s="8"/>
      <c r="AC1681" s="8" t="str">
        <f ca="1">IFERROR(__xludf.DUMMYFUNCTION("""COMPUTED_VALUE"""),"Yes")</f>
        <v>Yes</v>
      </c>
      <c r="AD1681" s="8"/>
      <c r="AE1681" s="8" t="str">
        <f ca="1">IFERROR(__xludf.DUMMYFUNCTION("""COMPUTED_VALUE"""),"No")</f>
        <v>No</v>
      </c>
      <c r="AF1681" s="8"/>
      <c r="AG1681" s="8" t="str">
        <f ca="1">IFERROR(__xludf.DUMMYFUNCTION("""COMPUTED_VALUE"""),"No")</f>
        <v>No</v>
      </c>
      <c r="AH1681" s="8" t="str">
        <f ca="1">IFERROR(__xludf.DUMMYFUNCTION("""COMPUTED_VALUE"""),"No")</f>
        <v>No</v>
      </c>
      <c r="AI1681" s="8" t="str">
        <f ca="1">IFERROR(__xludf.DUMMYFUNCTION("""COMPUTED_VALUE"""),"No")</f>
        <v>No</v>
      </c>
      <c r="AJ1681" s="8"/>
      <c r="AK1681" s="8" t="str">
        <f ca="1">IFERROR(__xludf.DUMMYFUNCTION("""COMPUTED_VALUE"""),"No")</f>
        <v>No</v>
      </c>
      <c r="AL1681" s="8" t="str">
        <f ca="1">IFERROR(__xludf.DUMMYFUNCTION("""COMPUTED_VALUE"""),"No")</f>
        <v>No</v>
      </c>
      <c r="AM1681" s="8" t="str">
        <f ca="1">IFERROR(__xludf.DUMMYFUNCTION("""COMPUTED_VALUE"""),"No")</f>
        <v>No</v>
      </c>
      <c r="AN1681" s="8"/>
      <c r="AO1681" s="8" t="str">
        <f ca="1">IFERROR(__xludf.DUMMYFUNCTION("""COMPUTED_VALUE"""),"No")</f>
        <v>No</v>
      </c>
      <c r="AP1681" s="8"/>
      <c r="AQ1681" s="8" t="str">
        <f ca="1">IFERROR(__xludf.DUMMYFUNCTION("""COMPUTED_VALUE"""),"Unknown")</f>
        <v>Unknown</v>
      </c>
      <c r="AR1681" s="8" t="str">
        <f ca="1">IFERROR(__xludf.DUMMYFUNCTION("""COMPUTED_VALUE"""),"NA")</f>
        <v>NA</v>
      </c>
      <c r="AS1681" s="8">
        <f ca="1">IFERROR(__xludf.DUMMYFUNCTION("""COMPUTED_VALUE"""),1)</f>
        <v>1</v>
      </c>
      <c r="AT1681" s="8"/>
      <c r="AU1681" s="8">
        <f ca="1">IFERROR(__xludf.DUMMYFUNCTION("""COMPUTED_VALUE"""),33.837245)</f>
        <v>33.837245000000003</v>
      </c>
      <c r="AV1681" s="8">
        <f ca="1">IFERROR(__xludf.DUMMYFUNCTION("""COMPUTED_VALUE"""),-79.128772)</f>
        <v>-79.128771999999998</v>
      </c>
      <c r="AW1681" s="8"/>
      <c r="AX1681" s="8">
        <f ca="1">IFERROR(__xludf.DUMMYFUNCTION("""COMPUTED_VALUE"""),29527)</f>
        <v>29527</v>
      </c>
    </row>
    <row r="1682" spans="1:50" ht="60" x14ac:dyDescent="0.2">
      <c r="A1682" s="8" t="str">
        <f ca="1">IFERROR(__xludf.DUMMYFUNCTION("""COMPUTED_VALUE"""),"20181104KYCRL")</f>
        <v>20181104KYCRL</v>
      </c>
      <c r="B1682" s="8">
        <f ca="1">IFERROR(__xludf.DUMMYFUNCTION("""COMPUTED_VALUE"""),11)</f>
        <v>11</v>
      </c>
      <c r="C1682" s="8">
        <f ca="1">IFERROR(__xludf.DUMMYFUNCTION("""COMPUTED_VALUE"""),4)</f>
        <v>4</v>
      </c>
      <c r="D1682" s="8">
        <f ca="1">IFERROR(__xludf.DUMMYFUNCTION("""COMPUTED_VALUE"""),2018)</f>
        <v>2018</v>
      </c>
      <c r="E1682" s="9">
        <f ca="1">IFERROR(__xludf.DUMMYFUNCTION("""COMPUTED_VALUE"""),43408)</f>
        <v>43408</v>
      </c>
      <c r="F1682" s="8" t="str">
        <f ca="1">IFERROR(__xludf.DUMMYFUNCTION("""COMPUTED_VALUE"""),"Crums Lane Elementary School")</f>
        <v>Crums Lane Elementary School</v>
      </c>
      <c r="G1682" s="8">
        <f ca="1">IFERROR(__xludf.DUMMYFUNCTION("""COMPUTED_VALUE"""),1)</f>
        <v>1</v>
      </c>
      <c r="H1682" s="8">
        <f ca="1">IFERROR(__xludf.DUMMYFUNCTION("""COMPUTED_VALUE"""),1)</f>
        <v>1</v>
      </c>
      <c r="I1682" s="8">
        <f ca="1">IFERROR(__xludf.DUMMYFUNCTION("""COMPUTED_VALUE"""),2)</f>
        <v>2</v>
      </c>
      <c r="J1682" s="8">
        <f ca="1">IFERROR(__xludf.DUMMYFUNCTION("""COMPUTED_VALUE"""),0)</f>
        <v>0</v>
      </c>
      <c r="K1682" s="8" t="str">
        <f ca="1">IFERROR(__xludf.DUMMYFUNCTION("""COMPUTED_VALUE"""),"http://www.wave3.com/2018/11/04/police-shot-crums-lane-elementary-school/ https://lex18.com/news/covering-kentucky/2018/11/05/1-dead-1-injured-in-shooting-outside-louisville-school/")</f>
        <v>http://www.wave3.com/2018/11/04/police-shot-crums-lane-elementary-school/ https://lex18.com/news/covering-kentucky/2018/11/05/1-dead-1-injured-in-shooting-outside-louisville-school/</v>
      </c>
      <c r="L1682" s="8"/>
      <c r="M1682" s="8"/>
      <c r="N1682" s="8">
        <f ca="1">IFERROR(__xludf.DUMMYFUNCTION("""COMPUTED_VALUE"""),3)</f>
        <v>3</v>
      </c>
      <c r="O1682" s="8" t="str">
        <f ca="1">IFERROR(__xludf.DUMMYFUNCTION("""COMPUTED_VALUE"""),"Fall")</f>
        <v>Fall</v>
      </c>
      <c r="P1682" s="8" t="str">
        <f ca="1">IFERROR(__xludf.DUMMYFUNCTION("""COMPUTED_VALUE"""),"Louisville")</f>
        <v>Louisville</v>
      </c>
      <c r="Q1682" s="8" t="str">
        <f ca="1">IFERROR(__xludf.DUMMYFUNCTION("""COMPUTED_VALUE"""),"KY")</f>
        <v>KY</v>
      </c>
      <c r="R1682" s="8" t="str">
        <f ca="1">IFERROR(__xludf.DUMMYFUNCTION("""COMPUTED_VALUE"""),"Elementary")</f>
        <v>Elementary</v>
      </c>
      <c r="S1682" s="8" t="str">
        <f ca="1">IFERROR(__xludf.DUMMYFUNCTION("""COMPUTED_VALUE"""),"Beside Building")</f>
        <v>Beside Building</v>
      </c>
      <c r="T1682" s="8" t="str">
        <f ca="1">IFERROR(__xludf.DUMMYFUNCTION("""COMPUTED_VALUE"""),"Outside on School Property")</f>
        <v>Outside on School Property</v>
      </c>
      <c r="U1682" s="8" t="str">
        <f ca="1">IFERROR(__xludf.DUMMYFUNCTION("""COMPUTED_VALUE"""),"No")</f>
        <v>No</v>
      </c>
      <c r="V1682" s="8" t="str">
        <f ca="1">IFERROR(__xludf.DUMMYFUNCTION("""COMPUTED_VALUE"""),"Evening")</f>
        <v>Evening</v>
      </c>
      <c r="W1682" s="11">
        <f ca="1">IFERROR(__xludf.DUMMYFUNCTION("""COMPUTED_VALUE"""),0.747916666666666)</f>
        <v>0.74791666666666601</v>
      </c>
      <c r="X1682" s="8">
        <f ca="1">IFERROR(__xludf.DUMMYFUNCTION("""COMPUTED_VALUE"""),1)</f>
        <v>1</v>
      </c>
      <c r="Y1682" s="12" t="str">
        <f ca="1">IFERROR(__xludf.DUMMYFUNCTION("""COMPUTED_VALUE"""),"Two men in their 20s shot outside of school by unknown shooter")</f>
        <v>Two men in their 20s shot outside of school by unknown shooter</v>
      </c>
      <c r="Z1682" s="12" t="str">
        <f ca="1">IFERROR(__xludf.DUMMYFUNCTION("""COMPUTED_VALUE"""),"Two men in their 20's were shot outside of the elementary school by an unknown gunman. Motive unknown.")</f>
        <v>Two men in their 20's were shot outside of the elementary school by an unknown gunman. Motive unknown.</v>
      </c>
      <c r="AA1682" s="8" t="str">
        <f ca="1">IFERROR(__xludf.DUMMYFUNCTION("""COMPUTED_VALUE"""),"Escalation of Dispute")</f>
        <v>Escalation of Dispute</v>
      </c>
      <c r="AB1682" s="8"/>
      <c r="AC1682" s="8" t="str">
        <f ca="1">IFERROR(__xludf.DUMMYFUNCTION("""COMPUTED_VALUE"""),"No")</f>
        <v>No</v>
      </c>
      <c r="AD1682" s="8"/>
      <c r="AE1682" s="8" t="str">
        <f ca="1">IFERROR(__xludf.DUMMYFUNCTION("""COMPUTED_VALUE"""),"No")</f>
        <v>No</v>
      </c>
      <c r="AF1682" s="8"/>
      <c r="AG1682" s="8" t="str">
        <f ca="1">IFERROR(__xludf.DUMMYFUNCTION("""COMPUTED_VALUE"""),"No")</f>
        <v>No</v>
      </c>
      <c r="AH1682" s="8" t="str">
        <f ca="1">IFERROR(__xludf.DUMMYFUNCTION("""COMPUTED_VALUE"""),"No")</f>
        <v>No</v>
      </c>
      <c r="AI1682" s="8" t="str">
        <f ca="1">IFERROR(__xludf.DUMMYFUNCTION("""COMPUTED_VALUE"""),"No")</f>
        <v>No</v>
      </c>
      <c r="AJ1682" s="8" t="str">
        <f ca="1">IFERROR(__xludf.DUMMYFUNCTION("""COMPUTED_VALUE"""),"No")</f>
        <v>No</v>
      </c>
      <c r="AK1682" s="8" t="str">
        <f ca="1">IFERROR(__xludf.DUMMYFUNCTION("""COMPUTED_VALUE"""),"No")</f>
        <v>No</v>
      </c>
      <c r="AL1682" s="8"/>
      <c r="AM1682" s="8" t="str">
        <f ca="1">IFERROR(__xludf.DUMMYFUNCTION("""COMPUTED_VALUE"""),"No")</f>
        <v>No</v>
      </c>
      <c r="AN1682" s="8"/>
      <c r="AO1682" s="8" t="str">
        <f ca="1">IFERROR(__xludf.DUMMYFUNCTION("""COMPUTED_VALUE"""),"No")</f>
        <v>No</v>
      </c>
      <c r="AP1682" s="8"/>
      <c r="AQ1682" s="8" t="str">
        <f ca="1">IFERROR(__xludf.DUMMYFUNCTION("""COMPUTED_VALUE"""),"Unknown")</f>
        <v>Unknown</v>
      </c>
      <c r="AR1682" s="8" t="str">
        <f ca="1">IFERROR(__xludf.DUMMYFUNCTION("""COMPUTED_VALUE"""),"NA")</f>
        <v>NA</v>
      </c>
      <c r="AS1682" s="8">
        <f ca="1">IFERROR(__xludf.DUMMYFUNCTION("""COMPUTED_VALUE"""),7)</f>
        <v>7</v>
      </c>
      <c r="AT1682" s="8"/>
      <c r="AU1682" s="8">
        <f ca="1">IFERROR(__xludf.DUMMYFUNCTION("""COMPUTED_VALUE"""),38.192764)</f>
        <v>38.192763999999997</v>
      </c>
      <c r="AV1682" s="8">
        <f ca="1">IFERROR(__xludf.DUMMYFUNCTION("""COMPUTED_VALUE"""),-85.838806)</f>
        <v>-85.838806000000005</v>
      </c>
      <c r="AW1682" s="8"/>
      <c r="AX1682" s="8">
        <f ca="1">IFERROR(__xludf.DUMMYFUNCTION("""COMPUTED_VALUE"""),40216)</f>
        <v>40216</v>
      </c>
    </row>
    <row r="1683" spans="1:50" ht="135" x14ac:dyDescent="0.2">
      <c r="A1683" s="8" t="str">
        <f ca="1">IFERROR(__xludf.DUMMYFUNCTION("""COMPUTED_VALUE"""),"20181029NCBUM")</f>
        <v>20181029NCBUM</v>
      </c>
      <c r="B1683" s="8">
        <f ca="1">IFERROR(__xludf.DUMMYFUNCTION("""COMPUTED_VALUE"""),10)</f>
        <v>10</v>
      </c>
      <c r="C1683" s="8">
        <f ca="1">IFERROR(__xludf.DUMMYFUNCTION("""COMPUTED_VALUE"""),29)</f>
        <v>29</v>
      </c>
      <c r="D1683" s="8">
        <f ca="1">IFERROR(__xludf.DUMMYFUNCTION("""COMPUTED_VALUE"""),2018)</f>
        <v>2018</v>
      </c>
      <c r="E1683" s="9">
        <f ca="1">IFERROR(__xludf.DUMMYFUNCTION("""COMPUTED_VALUE"""),43402)</f>
        <v>43402</v>
      </c>
      <c r="F1683" s="8" t="str">
        <f ca="1">IFERROR(__xludf.DUMMYFUNCTION("""COMPUTED_VALUE"""),"Butler High School")</f>
        <v>Butler High School</v>
      </c>
      <c r="G1683" s="8">
        <f ca="1">IFERROR(__xludf.DUMMYFUNCTION("""COMPUTED_VALUE"""),1)</f>
        <v>1</v>
      </c>
      <c r="H1683" s="8">
        <f ca="1">IFERROR(__xludf.DUMMYFUNCTION("""COMPUTED_VALUE"""),0)</f>
        <v>0</v>
      </c>
      <c r="I1683" s="8">
        <f ca="1">IFERROR(__xludf.DUMMYFUNCTION("""COMPUTED_VALUE"""),1)</f>
        <v>1</v>
      </c>
      <c r="J1683" s="8">
        <f ca="1">IFERROR(__xludf.DUMMYFUNCTION("""COMPUTED_VALUE"""),0)</f>
        <v>0</v>
      </c>
      <c r="K1683" s="8" t="str">
        <f ca="1">IFERROR(__xludf.DUMMYFUNCTION("""COMPUTED_VALUE"""),"https://www.wcnc.com/article/news/local/3-years-butler-high-school-shooting/275-396d668f-d916-401f-8098-1297d04c42c7 https://www.charlotteobserver.com/news/local/article220780475.html http://www.wbtv.com/2018/10/31/suspect-details-altercation-text-exchang"&amp;"e-ahead-deadly-school-shooting/ https://www.cnn.com/2018/10/29/cnn10/north-carolina-high-school-shooting/index.html https://www.cbsnews.com/news/butler-high-school-shooting-today-2018-10-29-live-stream-updates/ https://www.wbtv.com/2018/11/06/police-no-cl"&amp;"aims-bullying-butler-high-school-deadly-shooting/ https://www.wsoctv.com/news/local/charges-reduced-against-teen-accused-of-shooting-classmate-to-death-at-butler-hs/875437986 https://www.cbs17.com/news/nc-teen-charged-in-fatal-school-shooting-could-get-up"&amp;"-to-9-years-in-prison-after-plea-deal/")</f>
        <v>https://www.wcnc.com/article/news/local/3-years-butler-high-school-shooting/275-396d668f-d916-401f-8098-1297d04c42c7 https://www.charlotteobserver.com/news/local/article220780475.html http://www.wbtv.com/2018/10/31/suspect-details-altercation-text-exchange-ahead-deadly-school-shooting/ https://www.cnn.com/2018/10/29/cnn10/north-carolina-high-school-shooting/index.html https://www.cbsnews.com/news/butler-high-school-shooting-today-2018-10-29-live-stream-updates/ https://www.wbtv.com/2018/11/06/police-no-claims-bullying-butler-high-school-deadly-shooting/ https://www.wsoctv.com/news/local/charges-reduced-against-teen-accused-of-shooting-classmate-to-death-at-butler-hs/875437986 https://www.cbs17.com/news/nc-teen-charged-in-fatal-school-shooting-could-get-up-to-9-years-in-prison-after-plea-deal/</v>
      </c>
      <c r="L1683" s="8">
        <f ca="1">IFERROR(__xludf.DUMMYFUNCTION("""COMPUTED_VALUE"""),11)</f>
        <v>11</v>
      </c>
      <c r="M1683" s="8" t="str">
        <f ca="1">IFERROR(__xludf.DUMMYFUNCTION("""COMPUTED_VALUE"""),"National")</f>
        <v>National</v>
      </c>
      <c r="N1683" s="8">
        <f ca="1">IFERROR(__xludf.DUMMYFUNCTION("""COMPUTED_VALUE"""),5)</f>
        <v>5</v>
      </c>
      <c r="O1683" s="8" t="str">
        <f ca="1">IFERROR(__xludf.DUMMYFUNCTION("""COMPUTED_VALUE"""),"Fall")</f>
        <v>Fall</v>
      </c>
      <c r="P1683" s="8" t="str">
        <f ca="1">IFERROR(__xludf.DUMMYFUNCTION("""COMPUTED_VALUE"""),"Matthews")</f>
        <v>Matthews</v>
      </c>
      <c r="Q1683" s="8" t="str">
        <f ca="1">IFERROR(__xludf.DUMMYFUNCTION("""COMPUTED_VALUE"""),"NC")</f>
        <v>NC</v>
      </c>
      <c r="R1683" s="8" t="str">
        <f ca="1">IFERROR(__xludf.DUMMYFUNCTION("""COMPUTED_VALUE"""),"High")</f>
        <v>High</v>
      </c>
      <c r="S1683" s="8" t="str">
        <f ca="1">IFERROR(__xludf.DUMMYFUNCTION("""COMPUTED_VALUE"""),"Hallway")</f>
        <v>Hallway</v>
      </c>
      <c r="T1683" s="8" t="str">
        <f ca="1">IFERROR(__xludf.DUMMYFUNCTION("""COMPUTED_VALUE"""),"Inside School Building")</f>
        <v>Inside School Building</v>
      </c>
      <c r="U1683" s="8" t="str">
        <f ca="1">IFERROR(__xludf.DUMMYFUNCTION("""COMPUTED_VALUE"""),"Yes")</f>
        <v>Yes</v>
      </c>
      <c r="V1683" s="8" t="str">
        <f ca="1">IFERROR(__xludf.DUMMYFUNCTION("""COMPUTED_VALUE"""),"Morning Classes")</f>
        <v>Morning Classes</v>
      </c>
      <c r="W1683" s="11">
        <f ca="1">IFERROR(__xludf.DUMMYFUNCTION("""COMPUTED_VALUE"""),0.302083333333333)</f>
        <v>0.30208333333333298</v>
      </c>
      <c r="X1683" s="8">
        <f ca="1">IFERROR(__xludf.DUMMYFUNCTION("""COMPUTED_VALUE"""),1)</f>
        <v>1</v>
      </c>
      <c r="Y1683" s="12" t="str">
        <f ca="1">IFERROR(__xludf.DUMMYFUNCTION("""COMPUTED_VALUE"""),"Escalated fight the previous day involving multiple students")</f>
        <v>Escalated fight the previous day involving multiple students</v>
      </c>
      <c r="Z1683" s="12" t="str">
        <f ca="1">IFERROR(__xludf.DUMMYFUNCTION("""COMPUTED_VALUE"""),"Two 16YOM students were fighting in front of the cafeteria in a crowded hallway and one of them pulled out a gun (stolen from a car) and shot the other. The victim died later at the hospital. An SRO was in the cafeteria, gave the victim first aid, apprehe"&amp;"nded the suspect, and seized the gun. The police had covered the scene in 10 minutes. Shooter and victim were involved in fight the day prior (multiple students, one had a knife). Police said bullying was not involved.")</f>
        <v>Two 16YOM students were fighting in front of the cafeteria in a crowded hallway and one of them pulled out a gun (stolen from a car) and shot the other. The victim died later at the hospital. An SRO was in the cafeteria, gave the victim first aid, apprehended the suspect, and seized the gun. The police had covered the scene in 10 minutes. Shooter and victim were involved in fight the day prior (multiple students, one had a knife). Police said bullying was not involved.</v>
      </c>
      <c r="AA1683" s="8" t="str">
        <f ca="1">IFERROR(__xludf.DUMMYFUNCTION("""COMPUTED_VALUE"""),"Escalation of Dispute")</f>
        <v>Escalation of Dispute</v>
      </c>
      <c r="AB1683" s="8"/>
      <c r="AC1683" s="8" t="str">
        <f ca="1">IFERROR(__xludf.DUMMYFUNCTION("""COMPUTED_VALUE"""),"Yes")</f>
        <v>Yes</v>
      </c>
      <c r="AD1683" s="8" t="str">
        <f ca="1">IFERROR(__xludf.DUMMYFUNCTION("""COMPUTED_VALUE"""),"Victims Targeted")</f>
        <v>Victims Targeted</v>
      </c>
      <c r="AE1683" s="8" t="str">
        <f ca="1">IFERROR(__xludf.DUMMYFUNCTION("""COMPUTED_VALUE"""),"No")</f>
        <v>No</v>
      </c>
      <c r="AF1683" s="8"/>
      <c r="AG1683" s="8" t="str">
        <f ca="1">IFERROR(__xludf.DUMMYFUNCTION("""COMPUTED_VALUE"""),"No")</f>
        <v>No</v>
      </c>
      <c r="AH1683" s="8" t="str">
        <f ca="1">IFERROR(__xludf.DUMMYFUNCTION("""COMPUTED_VALUE"""),"No")</f>
        <v>No</v>
      </c>
      <c r="AI1683" s="8" t="str">
        <f ca="1">IFERROR(__xludf.DUMMYFUNCTION("""COMPUTED_VALUE"""),"No")</f>
        <v>No</v>
      </c>
      <c r="AJ1683" s="8" t="str">
        <f ca="1">IFERROR(__xludf.DUMMYFUNCTION("""COMPUTED_VALUE"""),"Yes")</f>
        <v>Yes</v>
      </c>
      <c r="AK1683" s="8" t="str">
        <f ca="1">IFERROR(__xludf.DUMMYFUNCTION("""COMPUTED_VALUE"""),"No")</f>
        <v>No</v>
      </c>
      <c r="AL1683" s="8" t="str">
        <f ca="1">IFERROR(__xludf.DUMMYFUNCTION("""COMPUTED_VALUE"""),"No")</f>
        <v>No</v>
      </c>
      <c r="AM1683" s="8" t="str">
        <f ca="1">IFERROR(__xludf.DUMMYFUNCTION("""COMPUTED_VALUE"""),"No")</f>
        <v>No</v>
      </c>
      <c r="AN1683" s="8"/>
      <c r="AO1683" s="8" t="str">
        <f ca="1">IFERROR(__xludf.DUMMYFUNCTION("""COMPUTED_VALUE"""),"No")</f>
        <v>No</v>
      </c>
      <c r="AP1683" s="8" t="str">
        <f ca="1">IFERROR(__xludf.DUMMYFUNCTION("""COMPUTED_VALUE"""),"Yes")</f>
        <v>Yes</v>
      </c>
      <c r="AQ1683" s="8" t="str">
        <f ca="1">IFERROR(__xludf.DUMMYFUNCTION("""COMPUTED_VALUE"""),"None")</f>
        <v>None</v>
      </c>
      <c r="AR1683" s="8" t="str">
        <f ca="1">IFERROR(__xludf.DUMMYFUNCTION("""COMPUTED_VALUE"""),"NA")</f>
        <v>NA</v>
      </c>
      <c r="AS1683" s="8"/>
      <c r="AT1683" s="8" t="str">
        <f ca="1">IFERROR(__xludf.DUMMYFUNCTION("""COMPUTED_VALUE"""),"Yes")</f>
        <v>Yes</v>
      </c>
      <c r="AU1683" s="8">
        <f ca="1">IFERROR(__xludf.DUMMYFUNCTION("""COMPUTED_VALUE"""),35.120747)</f>
        <v>35.120747000000001</v>
      </c>
      <c r="AV1683" s="8">
        <f ca="1">IFERROR(__xludf.DUMMYFUNCTION("""COMPUTED_VALUE"""),-80.690882)</f>
        <v>-80.690882000000002</v>
      </c>
      <c r="AW1683" s="8"/>
      <c r="AX1683" s="8">
        <f ca="1">IFERROR(__xludf.DUMMYFUNCTION("""COMPUTED_VALUE"""),28105)</f>
        <v>28105</v>
      </c>
    </row>
    <row r="1684" spans="1:50" ht="75" x14ac:dyDescent="0.2">
      <c r="A1684" s="8" t="str">
        <f ca="1">IFERROR(__xludf.DUMMYFUNCTION("""COMPUTED_VALUE"""),"20181026FLSAO")</f>
        <v>20181026FLSAO</v>
      </c>
      <c r="B1684" s="8">
        <f ca="1">IFERROR(__xludf.DUMMYFUNCTION("""COMPUTED_VALUE"""),10)</f>
        <v>10</v>
      </c>
      <c r="C1684" s="8">
        <f ca="1">IFERROR(__xludf.DUMMYFUNCTION("""COMPUTED_VALUE"""),26)</f>
        <v>26</v>
      </c>
      <c r="D1684" s="8">
        <f ca="1">IFERROR(__xludf.DUMMYFUNCTION("""COMPUTED_VALUE"""),2018)</f>
        <v>2018</v>
      </c>
      <c r="E1684" s="9">
        <f ca="1">IFERROR(__xludf.DUMMYFUNCTION("""COMPUTED_VALUE"""),43399)</f>
        <v>43399</v>
      </c>
      <c r="F1684" s="8" t="str">
        <f ca="1">IFERROR(__xludf.DUMMYFUNCTION("""COMPUTED_VALUE"""),"Saddlewood Elementary School")</f>
        <v>Saddlewood Elementary School</v>
      </c>
      <c r="G1684" s="8">
        <f ca="1">IFERROR(__xludf.DUMMYFUNCTION("""COMPUTED_VALUE"""),1)</f>
        <v>1</v>
      </c>
      <c r="H1684" s="8">
        <f ca="1">IFERROR(__xludf.DUMMYFUNCTION("""COMPUTED_VALUE"""),0)</f>
        <v>0</v>
      </c>
      <c r="I1684" s="8">
        <f ca="1">IFERROR(__xludf.DUMMYFUNCTION("""COMPUTED_VALUE"""),1)</f>
        <v>1</v>
      </c>
      <c r="J1684" s="8">
        <f ca="1">IFERROR(__xludf.DUMMYFUNCTION("""COMPUTED_VALUE"""),0)</f>
        <v>0</v>
      </c>
      <c r="K1684" s="8" t="str">
        <f ca="1">IFERROR(__xludf.DUMMYFUNCTION("""COMPUTED_VALUE"""),"https://www.ocala.com/story/news/courts/2022/08/10/man-accused-2018-shooting-death-ocala-florida-stands-trial/10273066002/
https://www.ocala.com/story/news/crime/2018/10/30/third-teen-arrested-in-connection-to-fatal-shooting-in-ocala-on-friday/9415068007/"&amp;"
")</f>
        <v xml:space="preserve">https://www.ocala.com/story/news/courts/2022/08/10/man-accused-2018-shooting-death-ocala-florida-stands-trial/10273066002/
https://www.ocala.com/story/news/crime/2018/10/30/third-teen-arrested-in-connection-to-fatal-shooting-in-ocala-on-friday/9415068007/
</v>
      </c>
      <c r="L1684" s="8">
        <f ca="1">IFERROR(__xludf.DUMMYFUNCTION("""COMPUTED_VALUE"""),10)</f>
        <v>10</v>
      </c>
      <c r="M1684" s="8" t="str">
        <f ca="1">IFERROR(__xludf.DUMMYFUNCTION("""COMPUTED_VALUE"""),"Regional")</f>
        <v>Regional</v>
      </c>
      <c r="N1684" s="8">
        <f ca="1">IFERROR(__xludf.DUMMYFUNCTION("""COMPUTED_VALUE"""),5)</f>
        <v>5</v>
      </c>
      <c r="O1684" s="8" t="str">
        <f ca="1">IFERROR(__xludf.DUMMYFUNCTION("""COMPUTED_VALUE"""),"Fall")</f>
        <v>Fall</v>
      </c>
      <c r="P1684" s="8" t="str">
        <f ca="1">IFERROR(__xludf.DUMMYFUNCTION("""COMPUTED_VALUE"""),"Ocala")</f>
        <v>Ocala</v>
      </c>
      <c r="Q1684" s="8" t="str">
        <f ca="1">IFERROR(__xludf.DUMMYFUNCTION("""COMPUTED_VALUE"""),"FL")</f>
        <v>FL</v>
      </c>
      <c r="R1684" s="8" t="str">
        <f ca="1">IFERROR(__xludf.DUMMYFUNCTION("""COMPUTED_VALUE"""),"Elementary")</f>
        <v>Elementary</v>
      </c>
      <c r="S1684" s="8" t="str">
        <f ca="1">IFERROR(__xludf.DUMMYFUNCTION("""COMPUTED_VALUE"""),"Front of School")</f>
        <v>Front of School</v>
      </c>
      <c r="T1684" s="8" t="str">
        <f ca="1">IFERROR(__xludf.DUMMYFUNCTION("""COMPUTED_VALUE"""),"Outside on School Property")</f>
        <v>Outside on School Property</v>
      </c>
      <c r="U1684" s="8" t="str">
        <f ca="1">IFERROR(__xludf.DUMMYFUNCTION("""COMPUTED_VALUE"""),"No")</f>
        <v>No</v>
      </c>
      <c r="V1684" s="8" t="str">
        <f ca="1">IFERROR(__xludf.DUMMYFUNCTION("""COMPUTED_VALUE"""),"School Event")</f>
        <v>School Event</v>
      </c>
      <c r="W1684" s="11">
        <f ca="1">IFERROR(__xludf.DUMMYFUNCTION("""COMPUTED_VALUE"""),0.833333333333333)</f>
        <v>0.83333333333333304</v>
      </c>
      <c r="X1684" s="8">
        <f ca="1">IFERROR(__xludf.DUMMYFUNCTION("""COMPUTED_VALUE"""),1)</f>
        <v>1</v>
      </c>
      <c r="Y1684" s="12" t="str">
        <f ca="1">IFERROR(__xludf.DUMMYFUNCTION("""COMPUTED_VALUE"""),"Man shot during drug deal outside of school (Halloween party inside)")</f>
        <v>Man shot during drug deal outside of school (Halloween party inside)</v>
      </c>
      <c r="Z1684" s="12" t="str">
        <f ca="1">IFERROR(__xludf.DUMMYFUNCTION("""COMPUTED_VALUE"""),"An 18-year-old man was fatally shot in the front of the school during a drug deal. 1,200 students, parents, and staff were inside the school for a Halloween party. School was locked down and students sheltered inside bathrooms. Shooter fled.")</f>
        <v>An 18-year-old man was fatally shot in the front of the school during a drug deal. 1,200 students, parents, and staff were inside the school for a Halloween party. School was locked down and students sheltered inside bathrooms. Shooter fled.</v>
      </c>
      <c r="AA1684" s="8" t="str">
        <f ca="1">IFERROR(__xludf.DUMMYFUNCTION("""COMPUTED_VALUE"""),"Illegal Activity")</f>
        <v>Illegal Activity</v>
      </c>
      <c r="AB1684" s="8"/>
      <c r="AC1684" s="8" t="str">
        <f ca="1">IFERROR(__xludf.DUMMYFUNCTION("""COMPUTED_VALUE"""),"Yes")</f>
        <v>Yes</v>
      </c>
      <c r="AD1684" s="8" t="str">
        <f ca="1">IFERROR(__xludf.DUMMYFUNCTION("""COMPUTED_VALUE"""),"Victims Targeted")</f>
        <v>Victims Targeted</v>
      </c>
      <c r="AE1684" s="8" t="str">
        <f ca="1">IFERROR(__xludf.DUMMYFUNCTION("""COMPUTED_VALUE"""),"Yes")</f>
        <v>Yes</v>
      </c>
      <c r="AF1684" s="8" t="str">
        <f ca="1">IFERROR(__xludf.DUMMYFUNCTION("""COMPUTED_VALUE"""),"3 charged")</f>
        <v>3 charged</v>
      </c>
      <c r="AG1684" s="8" t="str">
        <f ca="1">IFERROR(__xludf.DUMMYFUNCTION("""COMPUTED_VALUE"""),"No")</f>
        <v>No</v>
      </c>
      <c r="AH1684" s="8" t="str">
        <f ca="1">IFERROR(__xludf.DUMMYFUNCTION("""COMPUTED_VALUE"""),"No")</f>
        <v>No</v>
      </c>
      <c r="AI1684" s="8" t="str">
        <f ca="1">IFERROR(__xludf.DUMMYFUNCTION("""COMPUTED_VALUE"""),"No")</f>
        <v>No</v>
      </c>
      <c r="AJ1684" s="8" t="str">
        <f ca="1">IFERROR(__xludf.DUMMYFUNCTION("""COMPUTED_VALUE"""),"No")</f>
        <v>No</v>
      </c>
      <c r="AK1684" s="8" t="str">
        <f ca="1">IFERROR(__xludf.DUMMYFUNCTION("""COMPUTED_VALUE"""),"No")</f>
        <v>No</v>
      </c>
      <c r="AL1684" s="8" t="str">
        <f ca="1">IFERROR(__xludf.DUMMYFUNCTION("""COMPUTED_VALUE"""),"No")</f>
        <v>No</v>
      </c>
      <c r="AM1684" s="8" t="str">
        <f ca="1">IFERROR(__xludf.DUMMYFUNCTION("""COMPUTED_VALUE"""),"No")</f>
        <v>No</v>
      </c>
      <c r="AN1684" s="8" t="str">
        <f ca="1">IFERROR(__xludf.DUMMYFUNCTION("""COMPUTED_VALUE"""),"Outside")</f>
        <v>Outside</v>
      </c>
      <c r="AO1684" s="8" t="str">
        <f ca="1">IFERROR(__xludf.DUMMYFUNCTION("""COMPUTED_VALUE"""),"No")</f>
        <v>No</v>
      </c>
      <c r="AP1684" s="8"/>
      <c r="AQ1684" s="8"/>
      <c r="AR1684" s="8" t="str">
        <f ca="1">IFERROR(__xludf.DUMMYFUNCTION("""COMPUTED_VALUE"""),"Outside/Off-Property")</f>
        <v>Outside/Off-Property</v>
      </c>
      <c r="AS1684" s="8">
        <f ca="1">IFERROR(__xludf.DUMMYFUNCTION("""COMPUTED_VALUE"""),99)</f>
        <v>99</v>
      </c>
      <c r="AT1684" s="8" t="str">
        <f ca="1">IFERROR(__xludf.DUMMYFUNCTION("""COMPUTED_VALUE"""),"Yes")</f>
        <v>Yes</v>
      </c>
      <c r="AU1684" s="8">
        <f ca="1">IFERROR(__xludf.DUMMYFUNCTION("""COMPUTED_VALUE"""),29.149454)</f>
        <v>29.149453999999999</v>
      </c>
      <c r="AV1684" s="8">
        <f ca="1">IFERROR(__xludf.DUMMYFUNCTION("""COMPUTED_VALUE"""),-82.194493)</f>
        <v>-82.194492999999994</v>
      </c>
      <c r="AW1684" s="8"/>
      <c r="AX1684" s="8">
        <f ca="1">IFERROR(__xludf.DUMMYFUNCTION("""COMPUTED_VALUE"""),34474)</f>
        <v>34474</v>
      </c>
    </row>
    <row r="1685" spans="1:50" ht="45" x14ac:dyDescent="0.2">
      <c r="A1685" s="8" t="str">
        <f ca="1">IFERROR(__xludf.DUMMYFUNCTION("""COMPUTED_VALUE"""),"20181025MICOD")</f>
        <v>20181025MICOD</v>
      </c>
      <c r="B1685" s="8">
        <f ca="1">IFERROR(__xludf.DUMMYFUNCTION("""COMPUTED_VALUE"""),10)</f>
        <v>10</v>
      </c>
      <c r="C1685" s="8">
        <f ca="1">IFERROR(__xludf.DUMMYFUNCTION("""COMPUTED_VALUE"""),25)</f>
        <v>25</v>
      </c>
      <c r="D1685" s="8">
        <f ca="1">IFERROR(__xludf.DUMMYFUNCTION("""COMPUTED_VALUE"""),2018)</f>
        <v>2018</v>
      </c>
      <c r="E1685" s="9">
        <f ca="1">IFERROR(__xludf.DUMMYFUNCTION("""COMPUTED_VALUE"""),43398)</f>
        <v>43398</v>
      </c>
      <c r="F1685" s="8" t="str">
        <f ca="1">IFERROR(__xludf.DUMMYFUNCTION("""COMPUTED_VALUE"""),"Cody High School")</f>
        <v>Cody High School</v>
      </c>
      <c r="G1685" s="8">
        <f ca="1">IFERROR(__xludf.DUMMYFUNCTION("""COMPUTED_VALUE"""),0)</f>
        <v>0</v>
      </c>
      <c r="H1685" s="8">
        <f ca="1">IFERROR(__xludf.DUMMYFUNCTION("""COMPUTED_VALUE"""),0)</f>
        <v>0</v>
      </c>
      <c r="I1685" s="8">
        <f ca="1">IFERROR(__xludf.DUMMYFUNCTION("""COMPUTED_VALUE"""),0)</f>
        <v>0</v>
      </c>
      <c r="J1685" s="8">
        <f ca="1">IFERROR(__xludf.DUMMYFUNCTION("""COMPUTED_VALUE"""),0)</f>
        <v>0</v>
      </c>
      <c r="K1685" s="10" t="str">
        <f ca="1">IFERROR(__xludf.DUMMYFUNCTION("""COMPUTED_VALUE"""),"https://www.wxyz.com/news/detroit-police-confirm-shooting-on-cody-high-school-property")</f>
        <v>https://www.wxyz.com/news/detroit-police-confirm-shooting-on-cody-high-school-property</v>
      </c>
      <c r="L1685" s="8"/>
      <c r="M1685" s="8"/>
      <c r="N1685" s="8">
        <f ca="1">IFERROR(__xludf.DUMMYFUNCTION("""COMPUTED_VALUE"""),2)</f>
        <v>2</v>
      </c>
      <c r="O1685" s="8" t="str">
        <f ca="1">IFERROR(__xludf.DUMMYFUNCTION("""COMPUTED_VALUE"""),"Fall")</f>
        <v>Fall</v>
      </c>
      <c r="P1685" s="8" t="str">
        <f ca="1">IFERROR(__xludf.DUMMYFUNCTION("""COMPUTED_VALUE"""),"Detroit")</f>
        <v>Detroit</v>
      </c>
      <c r="Q1685" s="8" t="str">
        <f ca="1">IFERROR(__xludf.DUMMYFUNCTION("""COMPUTED_VALUE"""),"MI")</f>
        <v>MI</v>
      </c>
      <c r="R1685" s="8" t="str">
        <f ca="1">IFERROR(__xludf.DUMMYFUNCTION("""COMPUTED_VALUE"""),"High")</f>
        <v>High</v>
      </c>
      <c r="S1685" s="8" t="str">
        <f ca="1">IFERROR(__xludf.DUMMYFUNCTION("""COMPUTED_VALUE"""),"Outside on School Property")</f>
        <v>Outside on School Property</v>
      </c>
      <c r="T1685" s="8" t="str">
        <f ca="1">IFERROR(__xludf.DUMMYFUNCTION("""COMPUTED_VALUE"""),"Outside on School Property")</f>
        <v>Outside on School Property</v>
      </c>
      <c r="U1685" s="8"/>
      <c r="V1685" s="8"/>
      <c r="W1685" s="8"/>
      <c r="X1685" s="8">
        <f ca="1">IFERROR(__xludf.DUMMYFUNCTION("""COMPUTED_VALUE"""),1)</f>
        <v>1</v>
      </c>
      <c r="Y1685" s="12" t="str">
        <f ca="1">IFERROR(__xludf.DUMMYFUNCTION("""COMPUTED_VALUE"""),"Student shot at on school property, shots missed")</f>
        <v>Student shot at on school property, shots missed</v>
      </c>
      <c r="Z1685" s="12" t="str">
        <f ca="1">IFERROR(__xludf.DUMMYFUNCTION("""COMPUTED_VALUE"""),"15YOM student was shot at on school property. All shots missed. The shooter fled. Police arrested 3 suspects in a vehicle related to the shooting.")</f>
        <v>15YOM student was shot at on school property. All shots missed. The shooter fled. Police arrested 3 suspects in a vehicle related to the shooting.</v>
      </c>
      <c r="AA1685" s="8" t="str">
        <f ca="1">IFERROR(__xludf.DUMMYFUNCTION("""COMPUTED_VALUE"""),"Drive-by Shooting")</f>
        <v>Drive-by Shooting</v>
      </c>
      <c r="AB1685" s="8"/>
      <c r="AC1685" s="8" t="str">
        <f ca="1">IFERROR(__xludf.DUMMYFUNCTION("""COMPUTED_VALUE"""),"Yes")</f>
        <v>Yes</v>
      </c>
      <c r="AD1685" s="8" t="str">
        <f ca="1">IFERROR(__xludf.DUMMYFUNCTION("""COMPUTED_VALUE"""),"Victims Targeted")</f>
        <v>Victims Targeted</v>
      </c>
      <c r="AE1685" s="8" t="str">
        <f ca="1">IFERROR(__xludf.DUMMYFUNCTION("""COMPUTED_VALUE"""),"Yes")</f>
        <v>Yes</v>
      </c>
      <c r="AF1685" s="8" t="str">
        <f ca="1">IFERROR(__xludf.DUMMYFUNCTION("""COMPUTED_VALUE"""),"3 arrested")</f>
        <v>3 arrested</v>
      </c>
      <c r="AG1685" s="8" t="str">
        <f ca="1">IFERROR(__xludf.DUMMYFUNCTION("""COMPUTED_VALUE"""),"No")</f>
        <v>No</v>
      </c>
      <c r="AH1685" s="8" t="str">
        <f ca="1">IFERROR(__xludf.DUMMYFUNCTION("""COMPUTED_VALUE"""),"No")</f>
        <v>No</v>
      </c>
      <c r="AI1685" s="8" t="str">
        <f ca="1">IFERROR(__xludf.DUMMYFUNCTION("""COMPUTED_VALUE"""),"No")</f>
        <v>No</v>
      </c>
      <c r="AJ1685" s="8" t="str">
        <f ca="1">IFERROR(__xludf.DUMMYFUNCTION("""COMPUTED_VALUE"""),"No")</f>
        <v>No</v>
      </c>
      <c r="AK1685" s="8" t="str">
        <f ca="1">IFERROR(__xludf.DUMMYFUNCTION("""COMPUTED_VALUE"""),"No")</f>
        <v>No</v>
      </c>
      <c r="AL1685" s="8"/>
      <c r="AM1685" s="8" t="str">
        <f ca="1">IFERROR(__xludf.DUMMYFUNCTION("""COMPUTED_VALUE"""),"No")</f>
        <v>No</v>
      </c>
      <c r="AN1685" s="8"/>
      <c r="AO1685" s="8" t="str">
        <f ca="1">IFERROR(__xludf.DUMMYFUNCTION("""COMPUTED_VALUE"""),"No")</f>
        <v>No</v>
      </c>
      <c r="AP1685" s="8"/>
      <c r="AQ1685" s="8" t="str">
        <f ca="1">IFERROR(__xludf.DUMMYFUNCTION("""COMPUTED_VALUE"""),"Unknown")</f>
        <v>Unknown</v>
      </c>
      <c r="AR1685" s="8" t="str">
        <f ca="1">IFERROR(__xludf.DUMMYFUNCTION("""COMPUTED_VALUE"""),"NA")</f>
        <v>NA</v>
      </c>
      <c r="AS1685" s="8"/>
      <c r="AT1685" s="8"/>
      <c r="AU1685" s="8">
        <f ca="1">IFERROR(__xludf.DUMMYFUNCTION("""COMPUTED_VALUE"""),42.3605)</f>
        <v>42.360500000000002</v>
      </c>
      <c r="AV1685" s="8">
        <f ca="1">IFERROR(__xludf.DUMMYFUNCTION("""COMPUTED_VALUE"""),-83.220823)</f>
        <v>-83.220822999999996</v>
      </c>
      <c r="AW1685" s="8"/>
      <c r="AX1685" s="8">
        <f ca="1">IFERROR(__xludf.DUMMYFUNCTION("""COMPUTED_VALUE"""),48228)</f>
        <v>48228</v>
      </c>
    </row>
    <row r="1686" spans="1:50" ht="90" x14ac:dyDescent="0.2">
      <c r="A1686" s="8" t="str">
        <f ca="1">IFERROR(__xludf.DUMMYFUNCTION("""COMPUTED_VALUE"""),"20181023NHGOM")</f>
        <v>20181023NHGOM</v>
      </c>
      <c r="B1686" s="8">
        <f ca="1">IFERROR(__xludf.DUMMYFUNCTION("""COMPUTED_VALUE"""),10)</f>
        <v>10</v>
      </c>
      <c r="C1686" s="8">
        <f ca="1">IFERROR(__xludf.DUMMYFUNCTION("""COMPUTED_VALUE"""),23)</f>
        <v>23</v>
      </c>
      <c r="D1686" s="8">
        <f ca="1">IFERROR(__xludf.DUMMYFUNCTION("""COMPUTED_VALUE"""),2018)</f>
        <v>2018</v>
      </c>
      <c r="E1686" s="9">
        <f ca="1">IFERROR(__xludf.DUMMYFUNCTION("""COMPUTED_VALUE"""),43396)</f>
        <v>43396</v>
      </c>
      <c r="F1686" s="8" t="str">
        <f ca="1">IFERROR(__xludf.DUMMYFUNCTION("""COMPUTED_VALUE"""),"Gossler Park Elementary School")</f>
        <v>Gossler Park Elementary School</v>
      </c>
      <c r="G1686" s="8">
        <f ca="1">IFERROR(__xludf.DUMMYFUNCTION("""COMPUTED_VALUE"""),0)</f>
        <v>0</v>
      </c>
      <c r="H1686" s="8">
        <f ca="1">IFERROR(__xludf.DUMMYFUNCTION("""COMPUTED_VALUE"""),1)</f>
        <v>1</v>
      </c>
      <c r="I1686" s="8">
        <f ca="1">IFERROR(__xludf.DUMMYFUNCTION("""COMPUTED_VALUE"""),1)</f>
        <v>1</v>
      </c>
      <c r="J1686" s="8">
        <f ca="1">IFERROR(__xludf.DUMMYFUNCTION("""COMPUTED_VALUE"""),0)</f>
        <v>0</v>
      </c>
      <c r="K1686" s="10" t="str">
        <f ca="1">IFERROR(__xludf.DUMMYFUNCTION("""COMPUTED_VALUE"""),"https://www.wmur.com/amp/article/manchester-after-school-volunteer-shot-by-pellet-gun-at-elementary-school/24089076")</f>
        <v>https://www.wmur.com/amp/article/manchester-after-school-volunteer-shot-by-pellet-gun-at-elementary-school/24089076</v>
      </c>
      <c r="L1686" s="8"/>
      <c r="M1686" s="8"/>
      <c r="N1686" s="8">
        <f ca="1">IFERROR(__xludf.DUMMYFUNCTION("""COMPUTED_VALUE"""),2)</f>
        <v>2</v>
      </c>
      <c r="O1686" s="8" t="str">
        <f ca="1">IFERROR(__xludf.DUMMYFUNCTION("""COMPUTED_VALUE"""),"Fall")</f>
        <v>Fall</v>
      </c>
      <c r="P1686" s="8" t="str">
        <f ca="1">IFERROR(__xludf.DUMMYFUNCTION("""COMPUTED_VALUE"""),"Manchester")</f>
        <v>Manchester</v>
      </c>
      <c r="Q1686" s="8" t="str">
        <f ca="1">IFERROR(__xludf.DUMMYFUNCTION("""COMPUTED_VALUE"""),"NH")</f>
        <v>NH</v>
      </c>
      <c r="R1686" s="8" t="str">
        <f ca="1">IFERROR(__xludf.DUMMYFUNCTION("""COMPUTED_VALUE"""),"Elementary")</f>
        <v>Elementary</v>
      </c>
      <c r="S1686" s="8" t="str">
        <f ca="1">IFERROR(__xludf.DUMMYFUNCTION("""COMPUTED_VALUE"""),"Playground")</f>
        <v>Playground</v>
      </c>
      <c r="T1686" s="8" t="str">
        <f ca="1">IFERROR(__xludf.DUMMYFUNCTION("""COMPUTED_VALUE"""),"Outside on School Property")</f>
        <v>Outside on School Property</v>
      </c>
      <c r="U1686" s="8" t="str">
        <f ca="1">IFERROR(__xludf.DUMMYFUNCTION("""COMPUTED_VALUE"""),"Yes")</f>
        <v>Yes</v>
      </c>
      <c r="V1686" s="8" t="str">
        <f ca="1">IFERROR(__xludf.DUMMYFUNCTION("""COMPUTED_VALUE"""),"Afternoon Classes")</f>
        <v>Afternoon Classes</v>
      </c>
      <c r="W1686" s="8"/>
      <c r="X1686" s="8">
        <f ca="1">IFERROR(__xludf.DUMMYFUNCTION("""COMPUTED_VALUE"""),1)</f>
        <v>1</v>
      </c>
      <c r="Y1686" s="12" t="str">
        <f ca="1">IFERROR(__xludf.DUMMYFUNCTION("""COMPUTED_VALUE"""),"Unknown shooter fired pellet gun at students and teacher from the tree line near the school")</f>
        <v>Unknown shooter fired pellet gun at students and teacher from the tree line near the school</v>
      </c>
      <c r="Z1686" s="12" t="str">
        <f ca="1">IFERROR(__xludf.DUMMYFUNCTION("""COMPUTED_VALUE"""),"Unknown shooter fired pellet gun at students on the playground from the tree line near the school. A teacher was struck and injured. Police responded but the unidentified shooter fled.")</f>
        <v>Unknown shooter fired pellet gun at students on the playground from the tree line near the school. A teacher was struck and injured. Police responded but the unidentified shooter fled.</v>
      </c>
      <c r="AA1686" s="8" t="str">
        <f ca="1">IFERROR(__xludf.DUMMYFUNCTION("""COMPUTED_VALUE"""),"Indiscriminate Shooting")</f>
        <v>Indiscriminate Shooting</v>
      </c>
      <c r="AB1686" s="8"/>
      <c r="AC1686" s="8" t="str">
        <f ca="1">IFERROR(__xludf.DUMMYFUNCTION("""COMPUTED_VALUE"""),"Yes")</f>
        <v>Yes</v>
      </c>
      <c r="AD1686" s="8" t="str">
        <f ca="1">IFERROR(__xludf.DUMMYFUNCTION("""COMPUTED_VALUE"""),"Random Shooting")</f>
        <v>Random Shooting</v>
      </c>
      <c r="AE1686" s="8" t="str">
        <f ca="1">IFERROR(__xludf.DUMMYFUNCTION("""COMPUTED_VALUE"""),"No")</f>
        <v>No</v>
      </c>
      <c r="AF1686" s="8"/>
      <c r="AG1686" s="8" t="str">
        <f ca="1">IFERROR(__xludf.DUMMYFUNCTION("""COMPUTED_VALUE"""),"No")</f>
        <v>No</v>
      </c>
      <c r="AH1686" s="8" t="str">
        <f ca="1">IFERROR(__xludf.DUMMYFUNCTION("""COMPUTED_VALUE"""),"No")</f>
        <v>No</v>
      </c>
      <c r="AI1686" s="8" t="str">
        <f ca="1">IFERROR(__xludf.DUMMYFUNCTION("""COMPUTED_VALUE"""),"No")</f>
        <v>No</v>
      </c>
      <c r="AJ1686" s="8"/>
      <c r="AK1686" s="8" t="str">
        <f ca="1">IFERROR(__xludf.DUMMYFUNCTION("""COMPUTED_VALUE"""),"No")</f>
        <v>No</v>
      </c>
      <c r="AL1686" s="8" t="str">
        <f ca="1">IFERROR(__xludf.DUMMYFUNCTION("""COMPUTED_VALUE"""),"No")</f>
        <v>No</v>
      </c>
      <c r="AM1686" s="8" t="str">
        <f ca="1">IFERROR(__xludf.DUMMYFUNCTION("""COMPUTED_VALUE"""),"No")</f>
        <v>No</v>
      </c>
      <c r="AN1686" s="8"/>
      <c r="AO1686" s="8" t="str">
        <f ca="1">IFERROR(__xludf.DUMMYFUNCTION("""COMPUTED_VALUE"""),"No")</f>
        <v>No</v>
      </c>
      <c r="AP1686" s="8"/>
      <c r="AQ1686" s="8" t="str">
        <f ca="1">IFERROR(__xludf.DUMMYFUNCTION("""COMPUTED_VALUE"""),"Unknown")</f>
        <v>Unknown</v>
      </c>
      <c r="AR1686" s="8" t="str">
        <f ca="1">IFERROR(__xludf.DUMMYFUNCTION("""COMPUTED_VALUE"""),"NA")</f>
        <v>NA</v>
      </c>
      <c r="AS1686" s="8" t="str">
        <f ca="1">IFERROR(__xludf.DUMMYFUNCTION("""COMPUTED_VALUE"""),"&lt;10")</f>
        <v>&lt;10</v>
      </c>
      <c r="AT1686" s="8"/>
      <c r="AU1686" s="8">
        <f ca="1">IFERROR(__xludf.DUMMYFUNCTION("""COMPUTED_VALUE"""),42.989424)</f>
        <v>42.989424</v>
      </c>
      <c r="AV1686" s="8">
        <f ca="1">IFERROR(__xludf.DUMMYFUNCTION("""COMPUTED_VALUE"""),-71.479862)</f>
        <v>-71.479861999999997</v>
      </c>
      <c r="AW1686" s="8"/>
      <c r="AX1686" s="8">
        <f ca="1">IFERROR(__xludf.DUMMYFUNCTION("""COMPUTED_VALUE"""),3102)</f>
        <v>3102</v>
      </c>
    </row>
    <row r="1687" spans="1:50" ht="75" x14ac:dyDescent="0.2">
      <c r="A1687" s="8" t="str">
        <f ca="1">IFERROR(__xludf.DUMMYFUNCTION("""COMPUTED_VALUE"""),"20181022CTDUB")</f>
        <v>20181022CTDUB</v>
      </c>
      <c r="B1687" s="8">
        <f ca="1">IFERROR(__xludf.DUMMYFUNCTION("""COMPUTED_VALUE"""),10)</f>
        <v>10</v>
      </c>
      <c r="C1687" s="8">
        <f ca="1">IFERROR(__xludf.DUMMYFUNCTION("""COMPUTED_VALUE"""),22)</f>
        <v>22</v>
      </c>
      <c r="D1687" s="8">
        <f ca="1">IFERROR(__xludf.DUMMYFUNCTION("""COMPUTED_VALUE"""),2018)</f>
        <v>2018</v>
      </c>
      <c r="E1687" s="9">
        <f ca="1">IFERROR(__xludf.DUMMYFUNCTION("""COMPUTED_VALUE"""),43395)</f>
        <v>43395</v>
      </c>
      <c r="F1687" s="8" t="str">
        <f ca="1">IFERROR(__xludf.DUMMYFUNCTION("""COMPUTED_VALUE"""),"Dunbar Elementary School")</f>
        <v>Dunbar Elementary School</v>
      </c>
      <c r="G1687" s="8">
        <f ca="1">IFERROR(__xludf.DUMMYFUNCTION("""COMPUTED_VALUE"""),0)</f>
        <v>0</v>
      </c>
      <c r="H1687" s="8">
        <f ca="1">IFERROR(__xludf.DUMMYFUNCTION("""COMPUTED_VALUE"""),0)</f>
        <v>0</v>
      </c>
      <c r="I1687" s="8">
        <f ca="1">IFERROR(__xludf.DUMMYFUNCTION("""COMPUTED_VALUE"""),0)</f>
        <v>0</v>
      </c>
      <c r="J1687" s="8">
        <f ca="1">IFERROR(__xludf.DUMMYFUNCTION("""COMPUTED_VALUE"""),0)</f>
        <v>0</v>
      </c>
      <c r="K1687" s="10" t="str">
        <f ca="1">IFERROR(__xludf.DUMMYFUNCTION("""COMPUTED_VALUE"""),"https://fox61.com/2018/10/22/shot-fired-through-window-in-bridgeport-school/")</f>
        <v>https://fox61.com/2018/10/22/shot-fired-through-window-in-bridgeport-school/</v>
      </c>
      <c r="L1687" s="8"/>
      <c r="M1687" s="8"/>
      <c r="N1687" s="8">
        <f ca="1">IFERROR(__xludf.DUMMYFUNCTION("""COMPUTED_VALUE"""),3)</f>
        <v>3</v>
      </c>
      <c r="O1687" s="8" t="str">
        <f ca="1">IFERROR(__xludf.DUMMYFUNCTION("""COMPUTED_VALUE"""),"Fall")</f>
        <v>Fall</v>
      </c>
      <c r="P1687" s="8" t="str">
        <f ca="1">IFERROR(__xludf.DUMMYFUNCTION("""COMPUTED_VALUE"""),"Bridgeport")</f>
        <v>Bridgeport</v>
      </c>
      <c r="Q1687" s="8" t="str">
        <f ca="1">IFERROR(__xludf.DUMMYFUNCTION("""COMPUTED_VALUE"""),"CT")</f>
        <v>CT</v>
      </c>
      <c r="R1687" s="8" t="str">
        <f ca="1">IFERROR(__xludf.DUMMYFUNCTION("""COMPUTED_VALUE"""),"Elementary")</f>
        <v>Elementary</v>
      </c>
      <c r="S1687" s="8" t="str">
        <f ca="1">IFERROR(__xludf.DUMMYFUNCTION("""COMPUTED_VALUE"""),"Off School Property")</f>
        <v>Off School Property</v>
      </c>
      <c r="T1687" s="8" t="str">
        <f ca="1">IFERROR(__xludf.DUMMYFUNCTION("""COMPUTED_VALUE"""),"Off School Property")</f>
        <v>Off School Property</v>
      </c>
      <c r="U1687" s="8" t="str">
        <f ca="1">IFERROR(__xludf.DUMMYFUNCTION("""COMPUTED_VALUE"""),"No")</f>
        <v>No</v>
      </c>
      <c r="V1687" s="8" t="str">
        <f ca="1">IFERROR(__xludf.DUMMYFUNCTION("""COMPUTED_VALUE"""),"Before School")</f>
        <v>Before School</v>
      </c>
      <c r="W1687" s="11">
        <f ca="1">IFERROR(__xludf.DUMMYFUNCTION("""COMPUTED_VALUE"""),0.333333333333333)</f>
        <v>0.33333333333333298</v>
      </c>
      <c r="X1687" s="8">
        <f ca="1">IFERROR(__xludf.DUMMYFUNCTION("""COMPUTED_VALUE"""),1)</f>
        <v>1</v>
      </c>
      <c r="Y1687" s="12" t="str">
        <f ca="1">IFERROR(__xludf.DUMMYFUNCTION("""COMPUTED_VALUE"""),"18YOM fired shot at mother's boyfriend, shot missed and struck school window")</f>
        <v>18YOM fired shot at mother's boyfriend, shot missed and struck school window</v>
      </c>
      <c r="Z1687" s="12" t="str">
        <f ca="1">IFERROR(__xludf.DUMMYFUNCTION("""COMPUTED_VALUE"""),"18YOM fired shot at mother's boyfriend during dispute. The bullet missed and struck the window of the elementary school. No students were inside the building.")</f>
        <v>18YOM fired shot at mother's boyfriend during dispute. The bullet missed and struck the window of the elementary school. No students were inside the building.</v>
      </c>
      <c r="AA1687" s="8" t="str">
        <f ca="1">IFERROR(__xludf.DUMMYFUNCTION("""COMPUTED_VALUE"""),"Escalation of Dispute")</f>
        <v>Escalation of Dispute</v>
      </c>
      <c r="AB1687" s="8"/>
      <c r="AC1687" s="8" t="str">
        <f ca="1">IFERROR(__xludf.DUMMYFUNCTION("""COMPUTED_VALUE"""),"Yes")</f>
        <v>Yes</v>
      </c>
      <c r="AD1687" s="8" t="str">
        <f ca="1">IFERROR(__xludf.DUMMYFUNCTION("""COMPUTED_VALUE"""),"Victims Targeted")</f>
        <v>Victims Targeted</v>
      </c>
      <c r="AE1687" s="8" t="str">
        <f ca="1">IFERROR(__xludf.DUMMYFUNCTION("""COMPUTED_VALUE"""),"No")</f>
        <v>No</v>
      </c>
      <c r="AF1687" s="8"/>
      <c r="AG1687" s="8" t="str">
        <f ca="1">IFERROR(__xludf.DUMMYFUNCTION("""COMPUTED_VALUE"""),"No")</f>
        <v>No</v>
      </c>
      <c r="AH1687" s="8" t="str">
        <f ca="1">IFERROR(__xludf.DUMMYFUNCTION("""COMPUTED_VALUE"""),"No")</f>
        <v>No</v>
      </c>
      <c r="AI1687" s="8" t="str">
        <f ca="1">IFERROR(__xludf.DUMMYFUNCTION("""COMPUTED_VALUE"""),"No")</f>
        <v>No</v>
      </c>
      <c r="AJ1687" s="8" t="str">
        <f ca="1">IFERROR(__xludf.DUMMYFUNCTION("""COMPUTED_VALUE"""),"No")</f>
        <v>No</v>
      </c>
      <c r="AK1687" s="8" t="str">
        <f ca="1">IFERROR(__xludf.DUMMYFUNCTION("""COMPUTED_VALUE"""),"Yes")</f>
        <v>Yes</v>
      </c>
      <c r="AL1687" s="8" t="str">
        <f ca="1">IFERROR(__xludf.DUMMYFUNCTION("""COMPUTED_VALUE"""),"No")</f>
        <v>No</v>
      </c>
      <c r="AM1687" s="8" t="str">
        <f ca="1">IFERROR(__xludf.DUMMYFUNCTION("""COMPUTED_VALUE"""),"No")</f>
        <v>No</v>
      </c>
      <c r="AN1687" s="8"/>
      <c r="AO1687" s="8" t="str">
        <f ca="1">IFERROR(__xludf.DUMMYFUNCTION("""COMPUTED_VALUE"""),"No")</f>
        <v>No</v>
      </c>
      <c r="AP1687" s="8"/>
      <c r="AQ1687" s="8" t="str">
        <f ca="1">IFERROR(__xludf.DUMMYFUNCTION("""COMPUTED_VALUE"""),"Unknown")</f>
        <v>Unknown</v>
      </c>
      <c r="AR1687" s="8" t="str">
        <f ca="1">IFERROR(__xludf.DUMMYFUNCTION("""COMPUTED_VALUE"""),"NA")</f>
        <v>NA</v>
      </c>
      <c r="AS1687" s="8" t="str">
        <f ca="1">IFERROR(__xludf.DUMMYFUNCTION("""COMPUTED_VALUE"""),"&lt;10")</f>
        <v>&lt;10</v>
      </c>
      <c r="AT1687" s="8" t="str">
        <f ca="1">IFERROR(__xludf.DUMMYFUNCTION("""COMPUTED_VALUE"""),"No")</f>
        <v>No</v>
      </c>
      <c r="AU1687" s="8">
        <f ca="1">IFERROR(__xludf.DUMMYFUNCTION("""COMPUTED_VALUE"""),41.177746)</f>
        <v>41.177745999999999</v>
      </c>
      <c r="AV1687" s="8">
        <f ca="1">IFERROR(__xludf.DUMMYFUNCTION("""COMPUTED_VALUE"""),-73.164977)</f>
        <v>-73.164976999999993</v>
      </c>
      <c r="AW1687" s="8"/>
      <c r="AX1687" s="8">
        <f ca="1">IFERROR(__xludf.DUMMYFUNCTION("""COMPUTED_VALUE"""),6607)</f>
        <v>6607</v>
      </c>
    </row>
    <row r="1688" spans="1:50" ht="90" x14ac:dyDescent="0.2">
      <c r="A1688" s="8" t="str">
        <f ca="1">IFERROR(__xludf.DUMMYFUNCTION("""COMPUTED_VALUE"""),"20181020GASHS")</f>
        <v>20181020GASHS</v>
      </c>
      <c r="B1688" s="8">
        <f ca="1">IFERROR(__xludf.DUMMYFUNCTION("""COMPUTED_VALUE"""),10)</f>
        <v>10</v>
      </c>
      <c r="C1688" s="8">
        <f ca="1">IFERROR(__xludf.DUMMYFUNCTION("""COMPUTED_VALUE"""),20)</f>
        <v>20</v>
      </c>
      <c r="D1688" s="8">
        <f ca="1">IFERROR(__xludf.DUMMYFUNCTION("""COMPUTED_VALUE"""),2018)</f>
        <v>2018</v>
      </c>
      <c r="E1688" s="9">
        <f ca="1">IFERROR(__xludf.DUMMYFUNCTION("""COMPUTED_VALUE"""),43393)</f>
        <v>43393</v>
      </c>
      <c r="F1688" s="8" t="str">
        <f ca="1">IFERROR(__xludf.DUMMYFUNCTION("""COMPUTED_VALUE"""),"Shiloh Middle School")</f>
        <v>Shiloh Middle School</v>
      </c>
      <c r="G1688" s="8">
        <f ca="1">IFERROR(__xludf.DUMMYFUNCTION("""COMPUTED_VALUE"""),1)</f>
        <v>1</v>
      </c>
      <c r="H1688" s="8">
        <f ca="1">IFERROR(__xludf.DUMMYFUNCTION("""COMPUTED_VALUE"""),0)</f>
        <v>0</v>
      </c>
      <c r="I1688" s="8">
        <f ca="1">IFERROR(__xludf.DUMMYFUNCTION("""COMPUTED_VALUE"""),1)</f>
        <v>1</v>
      </c>
      <c r="J1688" s="8">
        <f ca="1">IFERROR(__xludf.DUMMYFUNCTION("""COMPUTED_VALUE"""),0)</f>
        <v>0</v>
      </c>
      <c r="K1688" s="8" t="str">
        <f ca="1">IFERROR(__xludf.DUMMYFUNCTION("""COMPUTED_VALUE"""),"https://www.gwinnettdailypost.com/local/grand-jury-indicts-suspect-in-gwinnett-officer-antwan-toney-s/article_48adda1a-908a-5565-a560-0e95f06d5c8e.html https://www.usatoday.com/story/news/nation-now/2018/10/20/police-officer-shot-and-killed-near-school-gw"&amp;"innett-county-georgia/1714728002/")</f>
        <v>https://www.gwinnettdailypost.com/local/grand-jury-indicts-suspect-in-gwinnett-officer-antwan-toney-s/article_48adda1a-908a-5565-a560-0e95f06d5c8e.html https://www.usatoday.com/story/news/nation-now/2018/10/20/police-officer-shot-and-killed-near-school-gwinnett-county-georgia/1714728002/</v>
      </c>
      <c r="L1688" s="8"/>
      <c r="M1688" s="8"/>
      <c r="N1688" s="8">
        <f ca="1">IFERROR(__xludf.DUMMYFUNCTION("""COMPUTED_VALUE"""),4)</f>
        <v>4</v>
      </c>
      <c r="O1688" s="8" t="str">
        <f ca="1">IFERROR(__xludf.DUMMYFUNCTION("""COMPUTED_VALUE"""),"Fall")</f>
        <v>Fall</v>
      </c>
      <c r="P1688" s="8" t="str">
        <f ca="1">IFERROR(__xludf.DUMMYFUNCTION("""COMPUTED_VALUE"""),"Snellville")</f>
        <v>Snellville</v>
      </c>
      <c r="Q1688" s="8" t="str">
        <f ca="1">IFERROR(__xludf.DUMMYFUNCTION("""COMPUTED_VALUE"""),"GA")</f>
        <v>GA</v>
      </c>
      <c r="R1688" s="8" t="str">
        <f ca="1">IFERROR(__xludf.DUMMYFUNCTION("""COMPUTED_VALUE"""),"Middle")</f>
        <v>Middle</v>
      </c>
      <c r="S1688" s="8" t="str">
        <f ca="1">IFERROR(__xludf.DUMMYFUNCTION("""COMPUTED_VALUE"""),"Beside Building")</f>
        <v>Beside Building</v>
      </c>
      <c r="T1688" s="8" t="str">
        <f ca="1">IFERROR(__xludf.DUMMYFUNCTION("""COMPUTED_VALUE"""),"Outside on School Property")</f>
        <v>Outside on School Property</v>
      </c>
      <c r="U1688" s="8" t="str">
        <f ca="1">IFERROR(__xludf.DUMMYFUNCTION("""COMPUTED_VALUE"""),"No")</f>
        <v>No</v>
      </c>
      <c r="V1688" s="8" t="str">
        <f ca="1">IFERROR(__xludf.DUMMYFUNCTION("""COMPUTED_VALUE"""),"Not a School Day")</f>
        <v>Not a School Day</v>
      </c>
      <c r="W1688" s="11">
        <f ca="1">IFERROR(__xludf.DUMMYFUNCTION("""COMPUTED_VALUE"""),0.625)</f>
        <v>0.625</v>
      </c>
      <c r="X1688" s="8">
        <f ca="1">IFERROR(__xludf.DUMMYFUNCTION("""COMPUTED_VALUE"""),1)</f>
        <v>1</v>
      </c>
      <c r="Y1688" s="12" t="str">
        <f ca="1">IFERROR(__xludf.DUMMYFUNCTION("""COMPUTED_VALUE"""),"Police officer shot and killed investigating car parked behind school")</f>
        <v>Police officer shot and killed investigating car parked behind school</v>
      </c>
      <c r="Z1688" s="12" t="str">
        <f ca="1">IFERROR(__xludf.DUMMYFUNCTION("""COMPUTED_VALUE"""),"Police officer was shot and killed by 18YOM while investigating a suspicious vehicle parked behind the school. Suspect fled, crashed vehicle, and then ran from the area. Later arrested, charged, and convicted. 2 other people in the car during the shooting"&amp;" were also arrested and convicted.")</f>
        <v>Police officer was shot and killed by 18YOM while investigating a suspicious vehicle parked behind the school. Suspect fled, crashed vehicle, and then ran from the area. Later arrested, charged, and convicted. 2 other people in the car during the shooting were also arrested and convicted.</v>
      </c>
      <c r="AA1688" s="8" t="str">
        <f ca="1">IFERROR(__xludf.DUMMYFUNCTION("""COMPUTED_VALUE"""),"Illegal Activity")</f>
        <v>Illegal Activity</v>
      </c>
      <c r="AB1688" s="8"/>
      <c r="AC1688" s="8" t="str">
        <f ca="1">IFERROR(__xludf.DUMMYFUNCTION("""COMPUTED_VALUE"""),"No")</f>
        <v>No</v>
      </c>
      <c r="AD1688" s="8" t="str">
        <f ca="1">IFERROR(__xludf.DUMMYFUNCTION("""COMPUTED_VALUE"""),"Victims Targeted")</f>
        <v>Victims Targeted</v>
      </c>
      <c r="AE1688" s="8" t="str">
        <f ca="1">IFERROR(__xludf.DUMMYFUNCTION("""COMPUTED_VALUE"""),"Yes")</f>
        <v>Yes</v>
      </c>
      <c r="AF1688" s="8" t="str">
        <f ca="1">IFERROR(__xludf.DUMMYFUNCTION("""COMPUTED_VALUE"""),"Shooter, car driver, and passenger all charged")</f>
        <v>Shooter, car driver, and passenger all charged</v>
      </c>
      <c r="AG1688" s="8" t="str">
        <f ca="1">IFERROR(__xludf.DUMMYFUNCTION("""COMPUTED_VALUE"""),"No")</f>
        <v>No</v>
      </c>
      <c r="AH1688" s="8" t="str">
        <f ca="1">IFERROR(__xludf.DUMMYFUNCTION("""COMPUTED_VALUE"""),"No")</f>
        <v>No</v>
      </c>
      <c r="AI1688" s="8" t="str">
        <f ca="1">IFERROR(__xludf.DUMMYFUNCTION("""COMPUTED_VALUE"""),"No")</f>
        <v>No</v>
      </c>
      <c r="AJ1688" s="8" t="str">
        <f ca="1">IFERROR(__xludf.DUMMYFUNCTION("""COMPUTED_VALUE"""),"No")</f>
        <v>No</v>
      </c>
      <c r="AK1688" s="8" t="str">
        <f ca="1">IFERROR(__xludf.DUMMYFUNCTION("""COMPUTED_VALUE"""),"No")</f>
        <v>No</v>
      </c>
      <c r="AL1688" s="8" t="str">
        <f ca="1">IFERROR(__xludf.DUMMYFUNCTION("""COMPUTED_VALUE"""),"Yes")</f>
        <v>Yes</v>
      </c>
      <c r="AM1688" s="8" t="str">
        <f ca="1">IFERROR(__xludf.DUMMYFUNCTION("""COMPUTED_VALUE"""),"No")</f>
        <v>No</v>
      </c>
      <c r="AN1688" s="8"/>
      <c r="AO1688" s="8" t="str">
        <f ca="1">IFERROR(__xludf.DUMMYFUNCTION("""COMPUTED_VALUE"""),"No")</f>
        <v>No</v>
      </c>
      <c r="AP1688" s="8" t="str">
        <f ca="1">IFERROR(__xludf.DUMMYFUNCTION("""COMPUTED_VALUE"""),"No")</f>
        <v>No</v>
      </c>
      <c r="AQ1688" s="8" t="str">
        <f ca="1">IFERROR(__xludf.DUMMYFUNCTION("""COMPUTED_VALUE"""),"Unknown")</f>
        <v>Unknown</v>
      </c>
      <c r="AR1688" s="8" t="str">
        <f ca="1">IFERROR(__xludf.DUMMYFUNCTION("""COMPUTED_VALUE"""),"NA")</f>
        <v>NA</v>
      </c>
      <c r="AS1688" s="8"/>
      <c r="AT1688" s="8" t="str">
        <f ca="1">IFERROR(__xludf.DUMMYFUNCTION("""COMPUTED_VALUE"""),"N/A")</f>
        <v>N/A</v>
      </c>
      <c r="AU1688" s="8">
        <f ca="1">IFERROR(__xludf.DUMMYFUNCTION("""COMPUTED_VALUE"""),33.82561)</f>
        <v>33.825609999999998</v>
      </c>
      <c r="AV1688" s="8">
        <f ca="1">IFERROR(__xludf.DUMMYFUNCTION("""COMPUTED_VALUE"""),-84.072656)</f>
        <v>-84.072655999999995</v>
      </c>
      <c r="AW1688" s="8"/>
      <c r="AX1688" s="8">
        <f ca="1">IFERROR(__xludf.DUMMYFUNCTION("""COMPUTED_VALUE"""),30039)</f>
        <v>30039</v>
      </c>
    </row>
    <row r="1689" spans="1:50" ht="75" x14ac:dyDescent="0.2">
      <c r="A1689" s="8" t="str">
        <f ca="1">IFERROR(__xludf.DUMMYFUNCTION("""COMPUTED_VALUE"""),"20181013TNMCN")</f>
        <v>20181013TNMCN</v>
      </c>
      <c r="B1689" s="8">
        <f ca="1">IFERROR(__xludf.DUMMYFUNCTION("""COMPUTED_VALUE"""),10)</f>
        <v>10</v>
      </c>
      <c r="C1689" s="8">
        <f ca="1">IFERROR(__xludf.DUMMYFUNCTION("""COMPUTED_VALUE"""),13)</f>
        <v>13</v>
      </c>
      <c r="D1689" s="8">
        <f ca="1">IFERROR(__xludf.DUMMYFUNCTION("""COMPUTED_VALUE"""),2018)</f>
        <v>2018</v>
      </c>
      <c r="E1689" s="9">
        <f ca="1">IFERROR(__xludf.DUMMYFUNCTION("""COMPUTED_VALUE"""),43386)</f>
        <v>43386</v>
      </c>
      <c r="F1689" s="8" t="str">
        <f ca="1">IFERROR(__xludf.DUMMYFUNCTION("""COMPUTED_VALUE"""),"McGavock High School")</f>
        <v>McGavock High School</v>
      </c>
      <c r="G1689" s="8">
        <f ca="1">IFERROR(__xludf.DUMMYFUNCTION("""COMPUTED_VALUE"""),1)</f>
        <v>1</v>
      </c>
      <c r="H1689" s="8">
        <f ca="1">IFERROR(__xludf.DUMMYFUNCTION("""COMPUTED_VALUE"""),1)</f>
        <v>1</v>
      </c>
      <c r="I1689" s="8">
        <f ca="1">IFERROR(__xludf.DUMMYFUNCTION("""COMPUTED_VALUE"""),2)</f>
        <v>2</v>
      </c>
      <c r="J1689" s="8">
        <f ca="1">IFERROR(__xludf.DUMMYFUNCTION("""COMPUTED_VALUE"""),0)</f>
        <v>0</v>
      </c>
      <c r="K1689" s="8" t="str">
        <f ca="1">IFERROR(__xludf.DUMMYFUNCTION("""COMPUTED_VALUE"""),"https://www.tennessean.com/story/news/2018/10/15/nashville-mcgavavock-high-school-shooting-kills-one-injures-another/1645749002/ https://www.wsmv.com/news/man-killed-in-shooting-near-macgavock-high-school/article_04699264-d04f-11e8-b54c-67b79fbe41ac.html "&amp;"https://www.wkrn.com/news/police-investigating-shooting-in-donelson/1524223293 https://www.wsmv.com/news/man-killed-in-shooting-near-mcgavock-high-school/article_04699264-d04f-11e8-b54c-67b79fbe41ac.html")</f>
        <v>https://www.tennessean.com/story/news/2018/10/15/nashville-mcgavavock-high-school-shooting-kills-one-injures-another/1645749002/ https://www.wsmv.com/news/man-killed-in-shooting-near-macgavock-high-school/article_04699264-d04f-11e8-b54c-67b79fbe41ac.html https://www.wkrn.com/news/police-investigating-shooting-in-donelson/1524223293 https://www.wsmv.com/news/man-killed-in-shooting-near-mcgavock-high-school/article_04699264-d04f-11e8-b54c-67b79fbe41ac.html</v>
      </c>
      <c r="L1689" s="8"/>
      <c r="M1689" s="8"/>
      <c r="N1689" s="8">
        <f ca="1">IFERROR(__xludf.DUMMYFUNCTION("""COMPUTED_VALUE"""),3)</f>
        <v>3</v>
      </c>
      <c r="O1689" s="8" t="str">
        <f ca="1">IFERROR(__xludf.DUMMYFUNCTION("""COMPUTED_VALUE"""),"Fall")</f>
        <v>Fall</v>
      </c>
      <c r="P1689" s="8" t="str">
        <f ca="1">IFERROR(__xludf.DUMMYFUNCTION("""COMPUTED_VALUE"""),"Nashville")</f>
        <v>Nashville</v>
      </c>
      <c r="Q1689" s="8" t="str">
        <f ca="1">IFERROR(__xludf.DUMMYFUNCTION("""COMPUTED_VALUE"""),"TN")</f>
        <v>TN</v>
      </c>
      <c r="R1689" s="8" t="str">
        <f ca="1">IFERROR(__xludf.DUMMYFUNCTION("""COMPUTED_VALUE"""),"High")</f>
        <v>High</v>
      </c>
      <c r="S1689" s="8" t="str">
        <f ca="1">IFERROR(__xludf.DUMMYFUNCTION("""COMPUTED_VALUE"""),"Parking Lot")</f>
        <v>Parking Lot</v>
      </c>
      <c r="T1689" s="8" t="str">
        <f ca="1">IFERROR(__xludf.DUMMYFUNCTION("""COMPUTED_VALUE"""),"Outside on School Property")</f>
        <v>Outside on School Property</v>
      </c>
      <c r="U1689" s="8" t="str">
        <f ca="1">IFERROR(__xludf.DUMMYFUNCTION("""COMPUTED_VALUE"""),"No")</f>
        <v>No</v>
      </c>
      <c r="V1689" s="8" t="str">
        <f ca="1">IFERROR(__xludf.DUMMYFUNCTION("""COMPUTED_VALUE"""),"Evening")</f>
        <v>Evening</v>
      </c>
      <c r="W1689" s="11">
        <f ca="1">IFERROR(__xludf.DUMMYFUNCTION("""COMPUTED_VALUE"""),0.877777777777777)</f>
        <v>0.87777777777777699</v>
      </c>
      <c r="X1689" s="8">
        <f ca="1">IFERROR(__xludf.DUMMYFUNCTION("""COMPUTED_VALUE"""),1)</f>
        <v>1</v>
      </c>
      <c r="Y1689" s="12" t="str">
        <f ca="1">IFERROR(__xludf.DUMMYFUNCTION("""COMPUTED_VALUE"""),"Drive-by shooting in school parking lot")</f>
        <v>Drive-by shooting in school parking lot</v>
      </c>
      <c r="Z1689" s="12" t="str">
        <f ca="1">IFERROR(__xludf.DUMMYFUNCTION("""COMPUTED_VALUE"""),"Two men shot in the parking lot of the school (one fatal, one grazed, third person in car was uninjured and fled). Shots fired by an unknown suspect inside a vehicle with to occupants who fled the scene. School was not in session due to fall break.")</f>
        <v>Two men shot in the parking lot of the school (one fatal, one grazed, third person in car was uninjured and fled). Shots fired by an unknown suspect inside a vehicle with to occupants who fled the scene. School was not in session due to fall break.</v>
      </c>
      <c r="AA1689" s="8" t="str">
        <f ca="1">IFERROR(__xludf.DUMMYFUNCTION("""COMPUTED_VALUE"""),"Drive-by Shooting")</f>
        <v>Drive-by Shooting</v>
      </c>
      <c r="AB1689" s="8"/>
      <c r="AC1689" s="8" t="str">
        <f ca="1">IFERROR(__xludf.DUMMYFUNCTION("""COMPUTED_VALUE"""),"No")</f>
        <v>No</v>
      </c>
      <c r="AD1689" s="8" t="str">
        <f ca="1">IFERROR(__xludf.DUMMYFUNCTION("""COMPUTED_VALUE"""),"Victims Targeted")</f>
        <v>Victims Targeted</v>
      </c>
      <c r="AE1689" s="8" t="str">
        <f ca="1">IFERROR(__xludf.DUMMYFUNCTION("""COMPUTED_VALUE"""),"Yes")</f>
        <v>Yes</v>
      </c>
      <c r="AF1689" s="8" t="str">
        <f ca="1">IFERROR(__xludf.DUMMYFUNCTION("""COMPUTED_VALUE"""),"Two black males in car that shots were fired from")</f>
        <v>Two black males in car that shots were fired from</v>
      </c>
      <c r="AG1689" s="8" t="str">
        <f ca="1">IFERROR(__xludf.DUMMYFUNCTION("""COMPUTED_VALUE"""),"No")</f>
        <v>No</v>
      </c>
      <c r="AH1689" s="8" t="str">
        <f ca="1">IFERROR(__xludf.DUMMYFUNCTION("""COMPUTED_VALUE"""),"No")</f>
        <v>No</v>
      </c>
      <c r="AI1689" s="8" t="str">
        <f ca="1">IFERROR(__xludf.DUMMYFUNCTION("""COMPUTED_VALUE"""),"No")</f>
        <v>No</v>
      </c>
      <c r="AJ1689" s="8" t="str">
        <f ca="1">IFERROR(__xludf.DUMMYFUNCTION("""COMPUTED_VALUE"""),"No")</f>
        <v>No</v>
      </c>
      <c r="AK1689" s="8" t="str">
        <f ca="1">IFERROR(__xludf.DUMMYFUNCTION("""COMPUTED_VALUE"""),"No")</f>
        <v>No</v>
      </c>
      <c r="AL1689" s="8"/>
      <c r="AM1689" s="8" t="str">
        <f ca="1">IFERROR(__xludf.DUMMYFUNCTION("""COMPUTED_VALUE"""),"No")</f>
        <v>No</v>
      </c>
      <c r="AN1689" s="8"/>
      <c r="AO1689" s="8" t="str">
        <f ca="1">IFERROR(__xludf.DUMMYFUNCTION("""COMPUTED_VALUE"""),"No")</f>
        <v>No</v>
      </c>
      <c r="AP1689" s="8"/>
      <c r="AQ1689" s="8" t="str">
        <f ca="1">IFERROR(__xludf.DUMMYFUNCTION("""COMPUTED_VALUE"""),"Unknown")</f>
        <v>Unknown</v>
      </c>
      <c r="AR1689" s="8" t="str">
        <f ca="1">IFERROR(__xludf.DUMMYFUNCTION("""COMPUTED_VALUE"""),"NA")</f>
        <v>NA</v>
      </c>
      <c r="AS1689" s="8"/>
      <c r="AT1689" s="8"/>
      <c r="AU1689" s="8">
        <f ca="1">IFERROR(__xludf.DUMMYFUNCTION("""COMPUTED_VALUE"""),36.185571)</f>
        <v>36.185571000000003</v>
      </c>
      <c r="AV1689" s="8">
        <f ca="1">IFERROR(__xludf.DUMMYFUNCTION("""COMPUTED_VALUE"""),-86.678249)</f>
        <v>-86.678248999999994</v>
      </c>
      <c r="AW1689" s="8"/>
      <c r="AX1689" s="8">
        <f ca="1">IFERROR(__xludf.DUMMYFUNCTION("""COMPUTED_VALUE"""),37214)</f>
        <v>37214</v>
      </c>
    </row>
    <row r="1690" spans="1:50" ht="60" x14ac:dyDescent="0.2">
      <c r="A1690" s="8" t="str">
        <f ca="1">IFERROR(__xludf.DUMMYFUNCTION("""COMPUTED_VALUE"""),"20181012MIBAB")</f>
        <v>20181012MIBAB</v>
      </c>
      <c r="B1690" s="8">
        <f ca="1">IFERROR(__xludf.DUMMYFUNCTION("""COMPUTED_VALUE"""),10)</f>
        <v>10</v>
      </c>
      <c r="C1690" s="8">
        <f ca="1">IFERROR(__xludf.DUMMYFUNCTION("""COMPUTED_VALUE"""),12)</f>
        <v>12</v>
      </c>
      <c r="D1690" s="8">
        <f ca="1">IFERROR(__xludf.DUMMYFUNCTION("""COMPUTED_VALUE"""),2018)</f>
        <v>2018</v>
      </c>
      <c r="E1690" s="9">
        <f ca="1">IFERROR(__xludf.DUMMYFUNCTION("""COMPUTED_VALUE"""),43385)</f>
        <v>43385</v>
      </c>
      <c r="F1690" s="8" t="str">
        <f ca="1">IFERROR(__xludf.DUMMYFUNCTION("""COMPUTED_VALUE"""),"Battle Creek Academy")</f>
        <v>Battle Creek Academy</v>
      </c>
      <c r="G1690" s="8">
        <f ca="1">IFERROR(__xludf.DUMMYFUNCTION("""COMPUTED_VALUE"""),0)</f>
        <v>0</v>
      </c>
      <c r="H1690" s="8">
        <f ca="1">IFERROR(__xludf.DUMMYFUNCTION("""COMPUTED_VALUE"""),0)</f>
        <v>0</v>
      </c>
      <c r="I1690" s="8">
        <f ca="1">IFERROR(__xludf.DUMMYFUNCTION("""COMPUTED_VALUE"""),0)</f>
        <v>0</v>
      </c>
      <c r="J1690" s="8">
        <f ca="1">IFERROR(__xludf.DUMMYFUNCTION("""COMPUTED_VALUE"""),0)</f>
        <v>0</v>
      </c>
      <c r="K1690" s="10" t="str">
        <f ca="1">IFERROR(__xludf.DUMMYFUNCTION("""COMPUTED_VALUE"""),"https://wwmt.com/news/local/battle-creek-academy-locked-down-after-building-shot")</f>
        <v>https://wwmt.com/news/local/battle-creek-academy-locked-down-after-building-shot</v>
      </c>
      <c r="L1690" s="8"/>
      <c r="M1690" s="8"/>
      <c r="N1690" s="8">
        <f ca="1">IFERROR(__xludf.DUMMYFUNCTION("""COMPUTED_VALUE"""),3)</f>
        <v>3</v>
      </c>
      <c r="O1690" s="8" t="str">
        <f ca="1">IFERROR(__xludf.DUMMYFUNCTION("""COMPUTED_VALUE"""),"Fall")</f>
        <v>Fall</v>
      </c>
      <c r="P1690" s="8" t="str">
        <f ca="1">IFERROR(__xludf.DUMMYFUNCTION("""COMPUTED_VALUE"""),"Battle Creek")</f>
        <v>Battle Creek</v>
      </c>
      <c r="Q1690" s="8" t="str">
        <f ca="1">IFERROR(__xludf.DUMMYFUNCTION("""COMPUTED_VALUE"""),"MI")</f>
        <v>MI</v>
      </c>
      <c r="R1690" s="8" t="str">
        <f ca="1">IFERROR(__xludf.DUMMYFUNCTION("""COMPUTED_VALUE"""),"Elementary")</f>
        <v>Elementary</v>
      </c>
      <c r="S1690" s="8" t="str">
        <f ca="1">IFERROR(__xludf.DUMMYFUNCTION("""COMPUTED_VALUE"""),"Off School Property")</f>
        <v>Off School Property</v>
      </c>
      <c r="T1690" s="8" t="str">
        <f ca="1">IFERROR(__xludf.DUMMYFUNCTION("""COMPUTED_VALUE"""),"Off School Property")</f>
        <v>Off School Property</v>
      </c>
      <c r="U1690" s="8" t="str">
        <f ca="1">IFERROR(__xludf.DUMMYFUNCTION("""COMPUTED_VALUE"""),"Yes")</f>
        <v>Yes</v>
      </c>
      <c r="V1690" s="8" t="str">
        <f ca="1">IFERROR(__xludf.DUMMYFUNCTION("""COMPUTED_VALUE"""),"Afternoon Classes")</f>
        <v>Afternoon Classes</v>
      </c>
      <c r="W1690" s="11">
        <f ca="1">IFERROR(__xludf.DUMMYFUNCTION("""COMPUTED_VALUE"""),0.541666666666666)</f>
        <v>0.54166666666666596</v>
      </c>
      <c r="X1690" s="8">
        <f ca="1">IFERROR(__xludf.DUMMYFUNCTION("""COMPUTED_VALUE"""),1)</f>
        <v>1</v>
      </c>
      <c r="Y1690" s="12" t="str">
        <f ca="1">IFERROR(__xludf.DUMMYFUNCTION("""COMPUTED_VALUE"""),"Bullet struck school building")</f>
        <v>Bullet struck school building</v>
      </c>
      <c r="Z1690" s="12" t="str">
        <f ca="1">IFERROR(__xludf.DUMMYFUNCTION("""COMPUTED_VALUE"""),"Police responded to multiple calls for shots fired. School was placed on lockdown. One round was found in wall of school building. No shooter or motive was identified. Single shell found in the street south of the school.")</f>
        <v>Police responded to multiple calls for shots fired. School was placed on lockdown. One round was found in wall of school building. No shooter or motive was identified. Single shell found in the street south of the school.</v>
      </c>
      <c r="AA1690" s="8" t="str">
        <f ca="1">IFERROR(__xludf.DUMMYFUNCTION("""COMPUTED_VALUE"""),"Unknown")</f>
        <v>Unknown</v>
      </c>
      <c r="AB1690" s="8"/>
      <c r="AC1690" s="8" t="str">
        <f ca="1">IFERROR(__xludf.DUMMYFUNCTION("""COMPUTED_VALUE"""),"Yes")</f>
        <v>Yes</v>
      </c>
      <c r="AD1690" s="8"/>
      <c r="AE1690" s="8" t="str">
        <f ca="1">IFERROR(__xludf.DUMMYFUNCTION("""COMPUTED_VALUE"""),"No")</f>
        <v>No</v>
      </c>
      <c r="AF1690" s="8"/>
      <c r="AG1690" s="8" t="str">
        <f ca="1">IFERROR(__xludf.DUMMYFUNCTION("""COMPUTED_VALUE"""),"No")</f>
        <v>No</v>
      </c>
      <c r="AH1690" s="8" t="str">
        <f ca="1">IFERROR(__xludf.DUMMYFUNCTION("""COMPUTED_VALUE"""),"No")</f>
        <v>No</v>
      </c>
      <c r="AI1690" s="8" t="str">
        <f ca="1">IFERROR(__xludf.DUMMYFUNCTION("""COMPUTED_VALUE"""),"No")</f>
        <v>No</v>
      </c>
      <c r="AJ1690" s="8" t="str">
        <f ca="1">IFERROR(__xludf.DUMMYFUNCTION("""COMPUTED_VALUE"""),"No")</f>
        <v>No</v>
      </c>
      <c r="AK1690" s="8" t="str">
        <f ca="1">IFERROR(__xludf.DUMMYFUNCTION("""COMPUTED_VALUE"""),"No")</f>
        <v>No</v>
      </c>
      <c r="AL1690" s="8"/>
      <c r="AM1690" s="8" t="str">
        <f ca="1">IFERROR(__xludf.DUMMYFUNCTION("""COMPUTED_VALUE"""),"No")</f>
        <v>No</v>
      </c>
      <c r="AN1690" s="8"/>
      <c r="AO1690" s="8" t="str">
        <f ca="1">IFERROR(__xludf.DUMMYFUNCTION("""COMPUTED_VALUE"""),"No")</f>
        <v>No</v>
      </c>
      <c r="AP1690" s="8" t="str">
        <f ca="1">IFERROR(__xludf.DUMMYFUNCTION("""COMPUTED_VALUE"""),"No")</f>
        <v>No</v>
      </c>
      <c r="AQ1690" s="8" t="str">
        <f ca="1">IFERROR(__xludf.DUMMYFUNCTION("""COMPUTED_VALUE"""),"Unknown")</f>
        <v>Unknown</v>
      </c>
      <c r="AR1690" s="8" t="str">
        <f ca="1">IFERROR(__xludf.DUMMYFUNCTION("""COMPUTED_VALUE"""),"NA")</f>
        <v>NA</v>
      </c>
      <c r="AS1690" s="8">
        <f ca="1">IFERROR(__xludf.DUMMYFUNCTION("""COMPUTED_VALUE"""),1)</f>
        <v>1</v>
      </c>
      <c r="AT1690" s="8" t="str">
        <f ca="1">IFERROR(__xludf.DUMMYFUNCTION("""COMPUTED_VALUE"""),"Yes")</f>
        <v>Yes</v>
      </c>
      <c r="AU1690" s="8">
        <f ca="1">IFERROR(__xludf.DUMMYFUNCTION("""COMPUTED_VALUE"""),42.334236)</f>
        <v>42.334235999999997</v>
      </c>
      <c r="AV1690" s="8">
        <f ca="1">IFERROR(__xludf.DUMMYFUNCTION("""COMPUTED_VALUE"""),-85.208127)</f>
        <v>-85.208127000000005</v>
      </c>
      <c r="AW1690" s="8"/>
      <c r="AX1690" s="8">
        <f ca="1">IFERROR(__xludf.DUMMYFUNCTION("""COMPUTED_VALUE"""),49017)</f>
        <v>49017</v>
      </c>
    </row>
    <row r="1691" spans="1:50" ht="45" x14ac:dyDescent="0.2">
      <c r="A1691" s="8" t="str">
        <f ca="1">IFERROR(__xludf.DUMMYFUNCTION("""COMPUTED_VALUE"""),"20181007VAVAH")</f>
        <v>20181007VAVAH</v>
      </c>
      <c r="B1691" s="8">
        <f ca="1">IFERROR(__xludf.DUMMYFUNCTION("""COMPUTED_VALUE"""),10)</f>
        <v>10</v>
      </c>
      <c r="C1691" s="8">
        <f ca="1">IFERROR(__xludf.DUMMYFUNCTION("""COMPUTED_VALUE"""),7)</f>
        <v>7</v>
      </c>
      <c r="D1691" s="8">
        <f ca="1">IFERROR(__xludf.DUMMYFUNCTION("""COMPUTED_VALUE"""),2018)</f>
        <v>2018</v>
      </c>
      <c r="E1691" s="9">
        <f ca="1">IFERROR(__xludf.DUMMYFUNCTION("""COMPUTED_VALUE"""),43380)</f>
        <v>43380</v>
      </c>
      <c r="F1691" s="8" t="str">
        <f ca="1">IFERROR(__xludf.DUMMYFUNCTION("""COMPUTED_VALUE"""),"Varina High School")</f>
        <v>Varina High School</v>
      </c>
      <c r="G1691" s="8">
        <f ca="1">IFERROR(__xludf.DUMMYFUNCTION("""COMPUTED_VALUE"""),0)</f>
        <v>0</v>
      </c>
      <c r="H1691" s="8">
        <f ca="1">IFERROR(__xludf.DUMMYFUNCTION("""COMPUTED_VALUE"""),1)</f>
        <v>1</v>
      </c>
      <c r="I1691" s="8">
        <f ca="1">IFERROR(__xludf.DUMMYFUNCTION("""COMPUTED_VALUE"""),1)</f>
        <v>1</v>
      </c>
      <c r="J1691" s="8">
        <f ca="1">IFERROR(__xludf.DUMMYFUNCTION("""COMPUTED_VALUE"""),0)</f>
        <v>0</v>
      </c>
      <c r="K1691" s="8" t="str">
        <f ca="1">IFERROR(__xludf.DUMMYFUNCTION("""COMPUTED_VALUE"""),"https://usatodayhss.com/2018/virginia-hs-basketball-coach-shot-in-fight-on-campus-but-no-one-knows-why https://wtvr.com/2018/10/08/man-shot-during-fight-at-varina-high-school/")</f>
        <v>https://usatodayhss.com/2018/virginia-hs-basketball-coach-shot-in-fight-on-campus-but-no-one-knows-why https://wtvr.com/2018/10/08/man-shot-during-fight-at-varina-high-school/</v>
      </c>
      <c r="L1691" s="8"/>
      <c r="M1691" s="8"/>
      <c r="N1691" s="8">
        <f ca="1">IFERROR(__xludf.DUMMYFUNCTION("""COMPUTED_VALUE"""),3)</f>
        <v>3</v>
      </c>
      <c r="O1691" s="8" t="str">
        <f ca="1">IFERROR(__xludf.DUMMYFUNCTION("""COMPUTED_VALUE"""),"Fall")</f>
        <v>Fall</v>
      </c>
      <c r="P1691" s="8" t="str">
        <f ca="1">IFERROR(__xludf.DUMMYFUNCTION("""COMPUTED_VALUE"""),"Henrico")</f>
        <v>Henrico</v>
      </c>
      <c r="Q1691" s="8" t="str">
        <f ca="1">IFERROR(__xludf.DUMMYFUNCTION("""COMPUTED_VALUE"""),"VA")</f>
        <v>VA</v>
      </c>
      <c r="R1691" s="8" t="str">
        <f ca="1">IFERROR(__xludf.DUMMYFUNCTION("""COMPUTED_VALUE"""),"High")</f>
        <v>High</v>
      </c>
      <c r="S1691" s="8" t="str">
        <f ca="1">IFERROR(__xludf.DUMMYFUNCTION("""COMPUTED_VALUE"""),"Gym")</f>
        <v>Gym</v>
      </c>
      <c r="T1691" s="8" t="str">
        <f ca="1">IFERROR(__xludf.DUMMYFUNCTION("""COMPUTED_VALUE"""),"Outside on School Property")</f>
        <v>Outside on School Property</v>
      </c>
      <c r="U1691" s="8" t="str">
        <f ca="1">IFERROR(__xludf.DUMMYFUNCTION("""COMPUTED_VALUE"""),"No")</f>
        <v>No</v>
      </c>
      <c r="V1691" s="8" t="str">
        <f ca="1">IFERROR(__xludf.DUMMYFUNCTION("""COMPUTED_VALUE"""),"Sport Event")</f>
        <v>Sport Event</v>
      </c>
      <c r="W1691" s="11">
        <f ca="1">IFERROR(__xludf.DUMMYFUNCTION("""COMPUTED_VALUE"""),0.895833333333333)</f>
        <v>0.89583333333333304</v>
      </c>
      <c r="X1691" s="8">
        <f ca="1">IFERROR(__xludf.DUMMYFUNCTION("""COMPUTED_VALUE"""),1)</f>
        <v>1</v>
      </c>
      <c r="Y1691" s="12" t="str">
        <f ca="1">IFERROR(__xludf.DUMMYFUNCTION("""COMPUTED_VALUE"""),"Basketball coach shot during fight at weekend practice")</f>
        <v>Basketball coach shot during fight at weekend practice</v>
      </c>
      <c r="Z1691" s="12" t="str">
        <f ca="1">IFERROR(__xludf.DUMMYFUNCTION("""COMPUTED_VALUE"""),"Basketball coach was shot during open practice session at the gym on Sunday night. Coach was shot during a fight. Suspect was not identified. Sustained minor injuries.")</f>
        <v>Basketball coach was shot during open practice session at the gym on Sunday night. Coach was shot during a fight. Suspect was not identified. Sustained minor injuries.</v>
      </c>
      <c r="AA1691" s="8" t="str">
        <f ca="1">IFERROR(__xludf.DUMMYFUNCTION("""COMPUTED_VALUE"""),"Escalation of Dispute")</f>
        <v>Escalation of Dispute</v>
      </c>
      <c r="AB1691" s="8"/>
      <c r="AC1691" s="8" t="str">
        <f ca="1">IFERROR(__xludf.DUMMYFUNCTION("""COMPUTED_VALUE"""),"Yes")</f>
        <v>Yes</v>
      </c>
      <c r="AD1691" s="8" t="str">
        <f ca="1">IFERROR(__xludf.DUMMYFUNCTION("""COMPUTED_VALUE"""),"Both")</f>
        <v>Both</v>
      </c>
      <c r="AE1691" s="8"/>
      <c r="AF1691" s="8"/>
      <c r="AG1691" s="8" t="str">
        <f ca="1">IFERROR(__xludf.DUMMYFUNCTION("""COMPUTED_VALUE"""),"No")</f>
        <v>No</v>
      </c>
      <c r="AH1691" s="8" t="str">
        <f ca="1">IFERROR(__xludf.DUMMYFUNCTION("""COMPUTED_VALUE"""),"No")</f>
        <v>No</v>
      </c>
      <c r="AI1691" s="8" t="str">
        <f ca="1">IFERROR(__xludf.DUMMYFUNCTION("""COMPUTED_VALUE"""),"No")</f>
        <v>No</v>
      </c>
      <c r="AJ1691" s="8" t="str">
        <f ca="1">IFERROR(__xludf.DUMMYFUNCTION("""COMPUTED_VALUE"""),"No")</f>
        <v>No</v>
      </c>
      <c r="AK1691" s="8" t="str">
        <f ca="1">IFERROR(__xludf.DUMMYFUNCTION("""COMPUTED_VALUE"""),"No")</f>
        <v>No</v>
      </c>
      <c r="AL1691" s="8" t="str">
        <f ca="1">IFERROR(__xludf.DUMMYFUNCTION("""COMPUTED_VALUE"""),"No")</f>
        <v>No</v>
      </c>
      <c r="AM1691" s="8" t="str">
        <f ca="1">IFERROR(__xludf.DUMMYFUNCTION("""COMPUTED_VALUE"""),"No")</f>
        <v>No</v>
      </c>
      <c r="AN1691" s="8"/>
      <c r="AO1691" s="8" t="str">
        <f ca="1">IFERROR(__xludf.DUMMYFUNCTION("""COMPUTED_VALUE"""),"No")</f>
        <v>No</v>
      </c>
      <c r="AP1691" s="8"/>
      <c r="AQ1691" s="8" t="str">
        <f ca="1">IFERROR(__xludf.DUMMYFUNCTION("""COMPUTED_VALUE"""),"Unknown")</f>
        <v>Unknown</v>
      </c>
      <c r="AR1691" s="8" t="str">
        <f ca="1">IFERROR(__xludf.DUMMYFUNCTION("""COMPUTED_VALUE"""),"NA")</f>
        <v>NA</v>
      </c>
      <c r="AS1691" s="8"/>
      <c r="AT1691" s="8"/>
      <c r="AU1691" s="8">
        <f ca="1">IFERROR(__xludf.DUMMYFUNCTION("""COMPUTED_VALUE"""),37.472387)</f>
        <v>37.472386999999998</v>
      </c>
      <c r="AV1691" s="8">
        <f ca="1">IFERROR(__xludf.DUMMYFUNCTION("""COMPUTED_VALUE"""),-77.376969)</f>
        <v>-77.376969000000003</v>
      </c>
      <c r="AW1691" s="8"/>
      <c r="AX1691" s="8">
        <f ca="1">IFERROR(__xludf.DUMMYFUNCTION("""COMPUTED_VALUE"""),23231)</f>
        <v>23231</v>
      </c>
    </row>
    <row r="1692" spans="1:50" ht="60" x14ac:dyDescent="0.2">
      <c r="A1692" s="8" t="str">
        <f ca="1">IFERROR(__xludf.DUMMYFUNCTION("""COMPUTED_VALUE"""),"20181005VALAN")</f>
        <v>20181005VALAN</v>
      </c>
      <c r="B1692" s="8">
        <f ca="1">IFERROR(__xludf.DUMMYFUNCTION("""COMPUTED_VALUE"""),10)</f>
        <v>10</v>
      </c>
      <c r="C1692" s="8">
        <f ca="1">IFERROR(__xludf.DUMMYFUNCTION("""COMPUTED_VALUE"""),5)</f>
        <v>5</v>
      </c>
      <c r="D1692" s="8">
        <f ca="1">IFERROR(__xludf.DUMMYFUNCTION("""COMPUTED_VALUE"""),2018)</f>
        <v>2018</v>
      </c>
      <c r="E1692" s="9">
        <f ca="1">IFERROR(__xludf.DUMMYFUNCTION("""COMPUTED_VALUE"""),43378)</f>
        <v>43378</v>
      </c>
      <c r="F1692" s="8" t="str">
        <f ca="1">IFERROR(__xludf.DUMMYFUNCTION("""COMPUTED_VALUE"""),"Lake Taylor High School")</f>
        <v>Lake Taylor High School</v>
      </c>
      <c r="G1692" s="8">
        <f ca="1">IFERROR(__xludf.DUMMYFUNCTION("""COMPUTED_VALUE"""),0)</f>
        <v>0</v>
      </c>
      <c r="H1692" s="8">
        <f ca="1">IFERROR(__xludf.DUMMYFUNCTION("""COMPUTED_VALUE"""),1)</f>
        <v>1</v>
      </c>
      <c r="I1692" s="8">
        <f ca="1">IFERROR(__xludf.DUMMYFUNCTION("""COMPUTED_VALUE"""),1)</f>
        <v>1</v>
      </c>
      <c r="J1692" s="8">
        <f ca="1">IFERROR(__xludf.DUMMYFUNCTION("""COMPUTED_VALUE"""),0)</f>
        <v>0</v>
      </c>
      <c r="K1692" s="10" t="str">
        <f ca="1">IFERROR(__xludf.DUMMYFUNCTION("""COMPUTED_VALUE"""),"https://www.wavy.com/news/local-news/norfolk/police-respond-to-shooting-after-football-game-at-lake-taylor-high-school/1501979731")</f>
        <v>https://www.wavy.com/news/local-news/norfolk/police-respond-to-shooting-after-football-game-at-lake-taylor-high-school/1501979731</v>
      </c>
      <c r="L1692" s="8"/>
      <c r="M1692" s="8"/>
      <c r="N1692" s="8">
        <f ca="1">IFERROR(__xludf.DUMMYFUNCTION("""COMPUTED_VALUE"""),2)</f>
        <v>2</v>
      </c>
      <c r="O1692" s="8" t="str">
        <f ca="1">IFERROR(__xludf.DUMMYFUNCTION("""COMPUTED_VALUE"""),"Fall")</f>
        <v>Fall</v>
      </c>
      <c r="P1692" s="8" t="str">
        <f ca="1">IFERROR(__xludf.DUMMYFUNCTION("""COMPUTED_VALUE"""),"Norfolk")</f>
        <v>Norfolk</v>
      </c>
      <c r="Q1692" s="8" t="str">
        <f ca="1">IFERROR(__xludf.DUMMYFUNCTION("""COMPUTED_VALUE"""),"VA")</f>
        <v>VA</v>
      </c>
      <c r="R1692" s="8" t="str">
        <f ca="1">IFERROR(__xludf.DUMMYFUNCTION("""COMPUTED_VALUE"""),"High")</f>
        <v>High</v>
      </c>
      <c r="S1692" s="8" t="str">
        <f ca="1">IFERROR(__xludf.DUMMYFUNCTION("""COMPUTED_VALUE"""),"Parking Lot")</f>
        <v>Parking Lot</v>
      </c>
      <c r="T1692" s="8" t="str">
        <f ca="1">IFERROR(__xludf.DUMMYFUNCTION("""COMPUTED_VALUE"""),"Outside on School Property")</f>
        <v>Outside on School Property</v>
      </c>
      <c r="U1692" s="8" t="str">
        <f ca="1">IFERROR(__xludf.DUMMYFUNCTION("""COMPUTED_VALUE"""),"No")</f>
        <v>No</v>
      </c>
      <c r="V1692" s="8" t="str">
        <f ca="1">IFERROR(__xludf.DUMMYFUNCTION("""COMPUTED_VALUE"""),"Sport Event")</f>
        <v>Sport Event</v>
      </c>
      <c r="W1692" s="11">
        <f ca="1">IFERROR(__xludf.DUMMYFUNCTION("""COMPUTED_VALUE"""),0.895833333333333)</f>
        <v>0.89583333333333304</v>
      </c>
      <c r="X1692" s="8">
        <f ca="1">IFERROR(__xludf.DUMMYFUNCTION("""COMPUTED_VALUE"""),1)</f>
        <v>1</v>
      </c>
      <c r="Y1692" s="12" t="str">
        <f ca="1">IFERROR(__xludf.DUMMYFUNCTION("""COMPUTED_VALUE"""),"Shots fired during fight after football game in school parking lot")</f>
        <v>Shots fired during fight after football game in school parking lot</v>
      </c>
      <c r="Z1692" s="12" t="str">
        <f ca="1">IFERROR(__xludf.DUMMYFUNCTION("""COMPUTED_VALUE"""),"Shots fired by unknown shooter in parking lot of school following football game during a fight. Shooter fled the scene. Victim in a vehicle that was struck by shot was injured.")</f>
        <v>Shots fired by unknown shooter in parking lot of school following football game during a fight. Shooter fled the scene. Victim in a vehicle that was struck by shot was injured.</v>
      </c>
      <c r="AA1692" s="8" t="str">
        <f ca="1">IFERROR(__xludf.DUMMYFUNCTION("""COMPUTED_VALUE"""),"Escalation of Dispute")</f>
        <v>Escalation of Dispute</v>
      </c>
      <c r="AB1692" s="8"/>
      <c r="AC1692" s="8" t="str">
        <f ca="1">IFERROR(__xludf.DUMMYFUNCTION("""COMPUTED_VALUE"""),"Yes")</f>
        <v>Yes</v>
      </c>
      <c r="AD1692" s="8"/>
      <c r="AE1692" s="8"/>
      <c r="AF1692" s="8"/>
      <c r="AG1692" s="8" t="str">
        <f ca="1">IFERROR(__xludf.DUMMYFUNCTION("""COMPUTED_VALUE"""),"No")</f>
        <v>No</v>
      </c>
      <c r="AH1692" s="8" t="str">
        <f ca="1">IFERROR(__xludf.DUMMYFUNCTION("""COMPUTED_VALUE"""),"No")</f>
        <v>No</v>
      </c>
      <c r="AI1692" s="8" t="str">
        <f ca="1">IFERROR(__xludf.DUMMYFUNCTION("""COMPUTED_VALUE"""),"No")</f>
        <v>No</v>
      </c>
      <c r="AJ1692" s="8" t="str">
        <f ca="1">IFERROR(__xludf.DUMMYFUNCTION("""COMPUTED_VALUE"""),"No")</f>
        <v>No</v>
      </c>
      <c r="AK1692" s="8" t="str">
        <f ca="1">IFERROR(__xludf.DUMMYFUNCTION("""COMPUTED_VALUE"""),"No")</f>
        <v>No</v>
      </c>
      <c r="AL1692" s="8" t="str">
        <f ca="1">IFERROR(__xludf.DUMMYFUNCTION("""COMPUTED_VALUE"""),"No")</f>
        <v>No</v>
      </c>
      <c r="AM1692" s="8" t="str">
        <f ca="1">IFERROR(__xludf.DUMMYFUNCTION("""COMPUTED_VALUE"""),"No")</f>
        <v>No</v>
      </c>
      <c r="AN1692" s="8"/>
      <c r="AO1692" s="8" t="str">
        <f ca="1">IFERROR(__xludf.DUMMYFUNCTION("""COMPUTED_VALUE"""),"No")</f>
        <v>No</v>
      </c>
      <c r="AP1692" s="8"/>
      <c r="AQ1692" s="8" t="str">
        <f ca="1">IFERROR(__xludf.DUMMYFUNCTION("""COMPUTED_VALUE"""),"Unknown")</f>
        <v>Unknown</v>
      </c>
      <c r="AR1692" s="8" t="str">
        <f ca="1">IFERROR(__xludf.DUMMYFUNCTION("""COMPUTED_VALUE"""),"NA")</f>
        <v>NA</v>
      </c>
      <c r="AS1692" s="8" t="str">
        <f ca="1">IFERROR(__xludf.DUMMYFUNCTION("""COMPUTED_VALUE"""),"&lt;10")</f>
        <v>&lt;10</v>
      </c>
      <c r="AT1692" s="8"/>
      <c r="AU1692" s="8">
        <f ca="1">IFERROR(__xludf.DUMMYFUNCTION("""COMPUTED_VALUE"""),36.870444)</f>
        <v>36.870443999999999</v>
      </c>
      <c r="AV1692" s="8">
        <f ca="1">IFERROR(__xludf.DUMMYFUNCTION("""COMPUTED_VALUE"""),-76.198075)</f>
        <v>-76.198075000000003</v>
      </c>
      <c r="AW1692" s="8"/>
      <c r="AX1692" s="8">
        <f ca="1">IFERROR(__xludf.DUMMYFUNCTION("""COMPUTED_VALUE"""),23502)</f>
        <v>23502</v>
      </c>
    </row>
    <row r="1693" spans="1:50" ht="60" x14ac:dyDescent="0.2">
      <c r="A1693" s="8" t="str">
        <f ca="1">IFERROR(__xludf.DUMMYFUNCTION("""COMPUTED_VALUE"""),"20181005TNHAB")</f>
        <v>20181005TNHAB</v>
      </c>
      <c r="B1693" s="8">
        <f ca="1">IFERROR(__xludf.DUMMYFUNCTION("""COMPUTED_VALUE"""),10)</f>
        <v>10</v>
      </c>
      <c r="C1693" s="8">
        <f ca="1">IFERROR(__xludf.DUMMYFUNCTION("""COMPUTED_VALUE"""),5)</f>
        <v>5</v>
      </c>
      <c r="D1693" s="8">
        <f ca="1">IFERROR(__xludf.DUMMYFUNCTION("""COMPUTED_VALUE"""),2018)</f>
        <v>2018</v>
      </c>
      <c r="E1693" s="9">
        <f ca="1">IFERROR(__xludf.DUMMYFUNCTION("""COMPUTED_VALUE"""),43378)</f>
        <v>43378</v>
      </c>
      <c r="F1693" s="8" t="str">
        <f ca="1">IFERROR(__xludf.DUMMYFUNCTION("""COMPUTED_VALUE"""),"Haywood High School")</f>
        <v>Haywood High School</v>
      </c>
      <c r="G1693" s="8">
        <f ca="1">IFERROR(__xludf.DUMMYFUNCTION("""COMPUTED_VALUE"""),0)</f>
        <v>0</v>
      </c>
      <c r="H1693" s="8">
        <f ca="1">IFERROR(__xludf.DUMMYFUNCTION("""COMPUTED_VALUE"""),2)</f>
        <v>2</v>
      </c>
      <c r="I1693" s="8">
        <f ca="1">IFERROR(__xludf.DUMMYFUNCTION("""COMPUTED_VALUE"""),2)</f>
        <v>2</v>
      </c>
      <c r="J1693" s="8">
        <f ca="1">IFERROR(__xludf.DUMMYFUNCTION("""COMPUTED_VALUE"""),0)</f>
        <v>0</v>
      </c>
      <c r="K1693" s="8" t="str">
        <f ca="1">IFERROR(__xludf.DUMMYFUNCTION("""COMPUTED_VALUE"""),"https://www.ajc.com/news/wounded-shooting-after-tennessee-high-school-football-game/CWwSSrOX0bjIxKFT8JzSNO/ https://www.wbbjtv.com/2018/10/05/breaking-2-injured-in-shooting-outside-haywood-co-football-game/ https://www.fox13memphis.com/top-stories/victims"&amp;"-identified-hero-recognized-after-shooting-following-high-school-football-gamein-tennessee/847623443 https://www.usatoday.com/story/news/nation-now/2018/10/06/army-veteran-patrick-shields-stops-shooter-haywood-football-game/1552410002/")</f>
        <v>https://www.ajc.com/news/wounded-shooting-after-tennessee-high-school-football-game/CWwSSrOX0bjIxKFT8JzSNO/ https://www.wbbjtv.com/2018/10/05/breaking-2-injured-in-shooting-outside-haywood-co-football-game/ https://www.fox13memphis.com/top-stories/victims-identified-hero-recognized-after-shooting-following-high-school-football-gamein-tennessee/847623443 https://www.usatoday.com/story/news/nation-now/2018/10/06/army-veteran-patrick-shields-stops-shooter-haywood-football-game/1552410002/</v>
      </c>
      <c r="L1693" s="8"/>
      <c r="M1693" s="8"/>
      <c r="N1693" s="8">
        <f ca="1">IFERROR(__xludf.DUMMYFUNCTION("""COMPUTED_VALUE"""),3)</f>
        <v>3</v>
      </c>
      <c r="O1693" s="8" t="str">
        <f ca="1">IFERROR(__xludf.DUMMYFUNCTION("""COMPUTED_VALUE"""),"Fall")</f>
        <v>Fall</v>
      </c>
      <c r="P1693" s="8" t="str">
        <f ca="1">IFERROR(__xludf.DUMMYFUNCTION("""COMPUTED_VALUE"""),"Brownsville")</f>
        <v>Brownsville</v>
      </c>
      <c r="Q1693" s="8" t="str">
        <f ca="1">IFERROR(__xludf.DUMMYFUNCTION("""COMPUTED_VALUE"""),"TN")</f>
        <v>TN</v>
      </c>
      <c r="R1693" s="8" t="str">
        <f ca="1">IFERROR(__xludf.DUMMYFUNCTION("""COMPUTED_VALUE"""),"High")</f>
        <v>High</v>
      </c>
      <c r="S1693" s="8" t="str">
        <f ca="1">IFERROR(__xludf.DUMMYFUNCTION("""COMPUTED_VALUE"""),"Parking Lot")</f>
        <v>Parking Lot</v>
      </c>
      <c r="T1693" s="8" t="str">
        <f ca="1">IFERROR(__xludf.DUMMYFUNCTION("""COMPUTED_VALUE"""),"Outside on School Property")</f>
        <v>Outside on School Property</v>
      </c>
      <c r="U1693" s="8" t="str">
        <f ca="1">IFERROR(__xludf.DUMMYFUNCTION("""COMPUTED_VALUE"""),"No")</f>
        <v>No</v>
      </c>
      <c r="V1693" s="8" t="str">
        <f ca="1">IFERROR(__xludf.DUMMYFUNCTION("""COMPUTED_VALUE"""),"Sport Event")</f>
        <v>Sport Event</v>
      </c>
      <c r="W1693" s="11">
        <f ca="1">IFERROR(__xludf.DUMMYFUNCTION("""COMPUTED_VALUE"""),0.895833333333333)</f>
        <v>0.89583333333333304</v>
      </c>
      <c r="X1693" s="8">
        <f ca="1">IFERROR(__xludf.DUMMYFUNCTION("""COMPUTED_VALUE"""),1)</f>
        <v>1</v>
      </c>
      <c r="Y1693" s="12" t="str">
        <f ca="1">IFERROR(__xludf.DUMMYFUNCTION("""COMPUTED_VALUE"""),"Two victims shot in school parking lot during football game")</f>
        <v>Two victims shot in school parking lot during football game</v>
      </c>
      <c r="Z1693" s="12" t="str">
        <f ca="1">IFERROR(__xludf.DUMMYFUNCTION("""COMPUTED_VALUE"""),"16YOM shooter shot 2 victims in the parking lot of the school during the football game. One victim shot the in back (target) other shot in foot (random). Shooter subdued and disarmed by a bystander at the scene.")</f>
        <v>16YOM shooter shot 2 victims in the parking lot of the school during the football game. One victim shot the in back (target) other shot in foot (random). Shooter subdued and disarmed by a bystander at the scene.</v>
      </c>
      <c r="AA1693" s="8" t="str">
        <f ca="1">IFERROR(__xludf.DUMMYFUNCTION("""COMPUTED_VALUE"""),"Escalation of Dispute")</f>
        <v>Escalation of Dispute</v>
      </c>
      <c r="AB1693" s="8"/>
      <c r="AC1693" s="8" t="str">
        <f ca="1">IFERROR(__xludf.DUMMYFUNCTION("""COMPUTED_VALUE"""),"Yes")</f>
        <v>Yes</v>
      </c>
      <c r="AD1693" s="8" t="str">
        <f ca="1">IFERROR(__xludf.DUMMYFUNCTION("""COMPUTED_VALUE"""),"Both")</f>
        <v>Both</v>
      </c>
      <c r="AE1693" s="8" t="str">
        <f ca="1">IFERROR(__xludf.DUMMYFUNCTION("""COMPUTED_VALUE"""),"No")</f>
        <v>No</v>
      </c>
      <c r="AF1693" s="8"/>
      <c r="AG1693" s="8" t="str">
        <f ca="1">IFERROR(__xludf.DUMMYFUNCTION("""COMPUTED_VALUE"""),"No")</f>
        <v>No</v>
      </c>
      <c r="AH1693" s="8" t="str">
        <f ca="1">IFERROR(__xludf.DUMMYFUNCTION("""COMPUTED_VALUE"""),"No")</f>
        <v>No</v>
      </c>
      <c r="AI1693" s="8" t="str">
        <f ca="1">IFERROR(__xludf.DUMMYFUNCTION("""COMPUTED_VALUE"""),"No")</f>
        <v>No</v>
      </c>
      <c r="AJ1693" s="8" t="str">
        <f ca="1">IFERROR(__xludf.DUMMYFUNCTION("""COMPUTED_VALUE"""),"No")</f>
        <v>No</v>
      </c>
      <c r="AK1693" s="8" t="str">
        <f ca="1">IFERROR(__xludf.DUMMYFUNCTION("""COMPUTED_VALUE"""),"No")</f>
        <v>No</v>
      </c>
      <c r="AL1693" s="8" t="str">
        <f ca="1">IFERROR(__xludf.DUMMYFUNCTION("""COMPUTED_VALUE"""),"No")</f>
        <v>No</v>
      </c>
      <c r="AM1693" s="8" t="str">
        <f ca="1">IFERROR(__xludf.DUMMYFUNCTION("""COMPUTED_VALUE"""),"No")</f>
        <v>No</v>
      </c>
      <c r="AN1693" s="8"/>
      <c r="AO1693" s="8" t="str">
        <f ca="1">IFERROR(__xludf.DUMMYFUNCTION("""COMPUTED_VALUE"""),"No")</f>
        <v>No</v>
      </c>
      <c r="AP1693" s="8"/>
      <c r="AQ1693" s="8" t="str">
        <f ca="1">IFERROR(__xludf.DUMMYFUNCTION("""COMPUTED_VALUE"""),"Unknown")</f>
        <v>Unknown</v>
      </c>
      <c r="AR1693" s="8" t="str">
        <f ca="1">IFERROR(__xludf.DUMMYFUNCTION("""COMPUTED_VALUE"""),"NA")</f>
        <v>NA</v>
      </c>
      <c r="AS1693" s="8">
        <f ca="1">IFERROR(__xludf.DUMMYFUNCTION("""COMPUTED_VALUE"""),4)</f>
        <v>4</v>
      </c>
      <c r="AT1693" s="8"/>
      <c r="AU1693" s="8">
        <f ca="1">IFERROR(__xludf.DUMMYFUNCTION("""COMPUTED_VALUE"""),35.601385)</f>
        <v>35.601385000000001</v>
      </c>
      <c r="AV1693" s="8">
        <f ca="1">IFERROR(__xludf.DUMMYFUNCTION("""COMPUTED_VALUE"""),-89.246818)</f>
        <v>-89.246818000000005</v>
      </c>
      <c r="AW1693" s="8"/>
      <c r="AX1693" s="8">
        <f ca="1">IFERROR(__xludf.DUMMYFUNCTION("""COMPUTED_VALUE"""),38012)</f>
        <v>38012</v>
      </c>
    </row>
    <row r="1694" spans="1:50" ht="60" x14ac:dyDescent="0.2">
      <c r="A1694" s="8" t="str">
        <f ca="1">IFERROR(__xludf.DUMMYFUNCTION("""COMPUTED_VALUE"""),"20181004ORJAP")</f>
        <v>20181004ORJAP</v>
      </c>
      <c r="B1694" s="8">
        <f ca="1">IFERROR(__xludf.DUMMYFUNCTION("""COMPUTED_VALUE"""),10)</f>
        <v>10</v>
      </c>
      <c r="C1694" s="8">
        <f ca="1">IFERROR(__xludf.DUMMYFUNCTION("""COMPUTED_VALUE"""),4)</f>
        <v>4</v>
      </c>
      <c r="D1694" s="8">
        <f ca="1">IFERROR(__xludf.DUMMYFUNCTION("""COMPUTED_VALUE"""),2018)</f>
        <v>2018</v>
      </c>
      <c r="E1694" s="9">
        <f ca="1">IFERROR(__xludf.DUMMYFUNCTION("""COMPUTED_VALUE"""),43377)</f>
        <v>43377</v>
      </c>
      <c r="F1694" s="8" t="str">
        <f ca="1">IFERROR(__xludf.DUMMYFUNCTION("""COMPUTED_VALUE"""),"Jason Lee Elementary School")</f>
        <v>Jason Lee Elementary School</v>
      </c>
      <c r="G1694" s="8">
        <f ca="1">IFERROR(__xludf.DUMMYFUNCTION("""COMPUTED_VALUE"""),0)</f>
        <v>0</v>
      </c>
      <c r="H1694" s="8">
        <f ca="1">IFERROR(__xludf.DUMMYFUNCTION("""COMPUTED_VALUE"""),0)</f>
        <v>0</v>
      </c>
      <c r="I1694" s="8">
        <f ca="1">IFERROR(__xludf.DUMMYFUNCTION("""COMPUTED_VALUE"""),0)</f>
        <v>0</v>
      </c>
      <c r="J1694" s="8">
        <f ca="1">IFERROR(__xludf.DUMMYFUNCTION("""COMPUTED_VALUE"""),0)</f>
        <v>0</v>
      </c>
      <c r="K1694" s="8" t="str">
        <f ca="1">IFERROR(__xludf.DUMMYFUNCTION("""COMPUTED_VALUE"""),"https://www.oregonlive.com/portland/index.ssf/2018/10/portland_parent_arrested_after.html https://www.koin.com/news/local/multnomah-county/gun-goes-off-at-portland-elementary-school/1499061394")</f>
        <v>https://www.oregonlive.com/portland/index.ssf/2018/10/portland_parent_arrested_after.html https://www.koin.com/news/local/multnomah-county/gun-goes-off-at-portland-elementary-school/1499061394</v>
      </c>
      <c r="L1694" s="8"/>
      <c r="M1694" s="8"/>
      <c r="N1694" s="8">
        <f ca="1">IFERROR(__xludf.DUMMYFUNCTION("""COMPUTED_VALUE"""),3)</f>
        <v>3</v>
      </c>
      <c r="O1694" s="8" t="str">
        <f ca="1">IFERROR(__xludf.DUMMYFUNCTION("""COMPUTED_VALUE"""),"Fall")</f>
        <v>Fall</v>
      </c>
      <c r="P1694" s="8" t="str">
        <f ca="1">IFERROR(__xludf.DUMMYFUNCTION("""COMPUTED_VALUE"""),"Portland")</f>
        <v>Portland</v>
      </c>
      <c r="Q1694" s="8" t="str">
        <f ca="1">IFERROR(__xludf.DUMMYFUNCTION("""COMPUTED_VALUE"""),"OR")</f>
        <v>OR</v>
      </c>
      <c r="R1694" s="8" t="str">
        <f ca="1">IFERROR(__xludf.DUMMYFUNCTION("""COMPUTED_VALUE"""),"Elementary")</f>
        <v>Elementary</v>
      </c>
      <c r="S1694" s="8" t="str">
        <f ca="1">IFERROR(__xludf.DUMMYFUNCTION("""COMPUTED_VALUE"""),"Cafeteria")</f>
        <v>Cafeteria</v>
      </c>
      <c r="T1694" s="8" t="str">
        <f ca="1">IFERROR(__xludf.DUMMYFUNCTION("""COMPUTED_VALUE"""),"Inside School Building")</f>
        <v>Inside School Building</v>
      </c>
      <c r="U1694" s="8" t="str">
        <f ca="1">IFERROR(__xludf.DUMMYFUNCTION("""COMPUTED_VALUE"""),"Yes")</f>
        <v>Yes</v>
      </c>
      <c r="V1694" s="8" t="str">
        <f ca="1">IFERROR(__xludf.DUMMYFUNCTION("""COMPUTED_VALUE"""),"After School")</f>
        <v>After School</v>
      </c>
      <c r="W1694" s="11">
        <f ca="1">IFERROR(__xludf.DUMMYFUNCTION("""COMPUTED_VALUE"""),0.690972222222222)</f>
        <v>0.69097222222222199</v>
      </c>
      <c r="X1694" s="8">
        <f ca="1">IFERROR(__xludf.DUMMYFUNCTION("""COMPUTED_VALUE"""),1)</f>
        <v>1</v>
      </c>
      <c r="Y1694" s="12" t="str">
        <f ca="1">IFERROR(__xludf.DUMMYFUNCTION("""COMPUTED_VALUE"""),"Parent's gun discharged in cafeteria while picking up daughter")</f>
        <v>Parent's gun discharged in cafeteria while picking up daughter</v>
      </c>
      <c r="Z1694" s="12" t="str">
        <f ca="1">IFERROR(__xludf.DUMMYFUNCTION("""COMPUTED_VALUE"""),"Unidentified female parent accidentally discharged a handgun in her bag in the school cafeteria while picking up her child. No injuries. Woman left before police arrived.")</f>
        <v>Unidentified female parent accidentally discharged a handgun in her bag in the school cafeteria while picking up her child. No injuries. Woman left before police arrived.</v>
      </c>
      <c r="AA1694" s="8" t="str">
        <f ca="1">IFERROR(__xludf.DUMMYFUNCTION("""COMPUTED_VALUE"""),"Accidental")</f>
        <v>Accidental</v>
      </c>
      <c r="AB1694" s="8"/>
      <c r="AC1694" s="8" t="str">
        <f ca="1">IFERROR(__xludf.DUMMYFUNCTION("""COMPUTED_VALUE"""),"Yes")</f>
        <v>Yes</v>
      </c>
      <c r="AD1694" s="8" t="str">
        <f ca="1">IFERROR(__xludf.DUMMYFUNCTION("""COMPUTED_VALUE"""),"Neither")</f>
        <v>Neither</v>
      </c>
      <c r="AE1694" s="8" t="str">
        <f ca="1">IFERROR(__xludf.DUMMYFUNCTION("""COMPUTED_VALUE"""),"No")</f>
        <v>No</v>
      </c>
      <c r="AF1694" s="8"/>
      <c r="AG1694" s="8" t="str">
        <f ca="1">IFERROR(__xludf.DUMMYFUNCTION("""COMPUTED_VALUE"""),"No")</f>
        <v>No</v>
      </c>
      <c r="AH1694" s="8" t="str">
        <f ca="1">IFERROR(__xludf.DUMMYFUNCTION("""COMPUTED_VALUE"""),"No")</f>
        <v>No</v>
      </c>
      <c r="AI1694" s="8" t="str">
        <f ca="1">IFERROR(__xludf.DUMMYFUNCTION("""COMPUTED_VALUE"""),"No")</f>
        <v>No</v>
      </c>
      <c r="AJ1694" s="8" t="str">
        <f ca="1">IFERROR(__xludf.DUMMYFUNCTION("""COMPUTED_VALUE"""),"No")</f>
        <v>No</v>
      </c>
      <c r="AK1694" s="8" t="str">
        <f ca="1">IFERROR(__xludf.DUMMYFUNCTION("""COMPUTED_VALUE"""),"No")</f>
        <v>No</v>
      </c>
      <c r="AL1694" s="8" t="str">
        <f ca="1">IFERROR(__xludf.DUMMYFUNCTION("""COMPUTED_VALUE"""),"No")</f>
        <v>No</v>
      </c>
      <c r="AM1694" s="8" t="str">
        <f ca="1">IFERROR(__xludf.DUMMYFUNCTION("""COMPUTED_VALUE"""),"No")</f>
        <v>No</v>
      </c>
      <c r="AN1694" s="8"/>
      <c r="AO1694" s="8" t="str">
        <f ca="1">IFERROR(__xludf.DUMMYFUNCTION("""COMPUTED_VALUE"""),"No")</f>
        <v>No</v>
      </c>
      <c r="AP1694" s="8"/>
      <c r="AQ1694" s="8" t="str">
        <f ca="1">IFERROR(__xludf.DUMMYFUNCTION("""COMPUTED_VALUE"""),"Unknown")</f>
        <v>Unknown</v>
      </c>
      <c r="AR1694" s="8" t="str">
        <f ca="1">IFERROR(__xludf.DUMMYFUNCTION("""COMPUTED_VALUE"""),"NA")</f>
        <v>NA</v>
      </c>
      <c r="AS1694" s="8">
        <f ca="1">IFERROR(__xludf.DUMMYFUNCTION("""COMPUTED_VALUE"""),1)</f>
        <v>1</v>
      </c>
      <c r="AT1694" s="8"/>
      <c r="AU1694" s="8">
        <f ca="1">IFERROR(__xludf.DUMMYFUNCTION("""COMPUTED_VALUE"""),45.537644)</f>
        <v>45.537644</v>
      </c>
      <c r="AV1694" s="8">
        <f ca="1">IFERROR(__xludf.DUMMYFUNCTION("""COMPUTED_VALUE"""),-122.567164)</f>
        <v>-122.56716400000001</v>
      </c>
      <c r="AW1694" s="8"/>
      <c r="AX1694" s="8">
        <f ca="1">IFERROR(__xludf.DUMMYFUNCTION("""COMPUTED_VALUE"""),97220)</f>
        <v>97220</v>
      </c>
    </row>
    <row r="1695" spans="1:50" ht="75" x14ac:dyDescent="0.2">
      <c r="A1695" s="8" t="str">
        <f ca="1">IFERROR(__xludf.DUMMYFUNCTION("""COMPUTED_VALUE"""),"20181003AKDEA")</f>
        <v>20181003AKDEA</v>
      </c>
      <c r="B1695" s="8">
        <f ca="1">IFERROR(__xludf.DUMMYFUNCTION("""COMPUTED_VALUE"""),10)</f>
        <v>10</v>
      </c>
      <c r="C1695" s="8">
        <f ca="1">IFERROR(__xludf.DUMMYFUNCTION("""COMPUTED_VALUE"""),3)</f>
        <v>3</v>
      </c>
      <c r="D1695" s="8">
        <f ca="1">IFERROR(__xludf.DUMMYFUNCTION("""COMPUTED_VALUE"""),2018)</f>
        <v>2018</v>
      </c>
      <c r="E1695" s="9">
        <f ca="1">IFERROR(__xludf.DUMMYFUNCTION("""COMPUTED_VALUE"""),43376)</f>
        <v>43376</v>
      </c>
      <c r="F1695" s="8" t="str">
        <f ca="1">IFERROR(__xludf.DUMMYFUNCTION("""COMPUTED_VALUE"""),"Denali Montessori Elementary School")</f>
        <v>Denali Montessori Elementary School</v>
      </c>
      <c r="G1695" s="8">
        <f ca="1">IFERROR(__xludf.DUMMYFUNCTION("""COMPUTED_VALUE"""),0)</f>
        <v>0</v>
      </c>
      <c r="H1695" s="8">
        <f ca="1">IFERROR(__xludf.DUMMYFUNCTION("""COMPUTED_VALUE"""),1)</f>
        <v>1</v>
      </c>
      <c r="I1695" s="8">
        <f ca="1">IFERROR(__xludf.DUMMYFUNCTION("""COMPUTED_VALUE"""),1)</f>
        <v>1</v>
      </c>
      <c r="J1695" s="8">
        <f ca="1">IFERROR(__xludf.DUMMYFUNCTION("""COMPUTED_VALUE"""),0)</f>
        <v>0</v>
      </c>
      <c r="K1695" s="8" t="str">
        <f ca="1">IFERROR(__xludf.DUMMYFUNCTION("""COMPUTED_VALUE"""),"https://www.adn.com/alaska-news/crime-courts/2021/02/18/anchorage-man-sentenced-to-prison-on-federal-weapons-charge-tied-to-shooting-outside-elementary-school/ https://www.ktuu.com/content/news/Shooting-in-Denali-Elementary-School-parking-lot-1-injured-49"&amp;"5067091.html https://www.kfqd.com/police-shooting-suspect-took-student-to-school/ https://www.ktva.com/story/41203500/2-men-indicted-on-federal-charges-for-shooting-guns-on-school-grounds")</f>
        <v>https://www.adn.com/alaska-news/crime-courts/2021/02/18/anchorage-man-sentenced-to-prison-on-federal-weapons-charge-tied-to-shooting-outside-elementary-school/ https://www.ktuu.com/content/news/Shooting-in-Denali-Elementary-School-parking-lot-1-injured-495067091.html https://www.kfqd.com/police-shooting-suspect-took-student-to-school/ https://www.ktva.com/story/41203500/2-men-indicted-on-federal-charges-for-shooting-guns-on-school-grounds</v>
      </c>
      <c r="L1695" s="8">
        <f ca="1">IFERROR(__xludf.DUMMYFUNCTION("""COMPUTED_VALUE"""),2)</f>
        <v>2</v>
      </c>
      <c r="M1695" s="8" t="str">
        <f ca="1">IFERROR(__xludf.DUMMYFUNCTION("""COMPUTED_VALUE"""),"Local")</f>
        <v>Local</v>
      </c>
      <c r="N1695" s="8">
        <f ca="1">IFERROR(__xludf.DUMMYFUNCTION("""COMPUTED_VALUE"""),4)</f>
        <v>4</v>
      </c>
      <c r="O1695" s="8" t="str">
        <f ca="1">IFERROR(__xludf.DUMMYFUNCTION("""COMPUTED_VALUE"""),"Fall")</f>
        <v>Fall</v>
      </c>
      <c r="P1695" s="8" t="str">
        <f ca="1">IFERROR(__xludf.DUMMYFUNCTION("""COMPUTED_VALUE"""),"Anchorage")</f>
        <v>Anchorage</v>
      </c>
      <c r="Q1695" s="8" t="str">
        <f ca="1">IFERROR(__xludf.DUMMYFUNCTION("""COMPUTED_VALUE"""),"AK")</f>
        <v>AK</v>
      </c>
      <c r="R1695" s="8" t="str">
        <f ca="1">IFERROR(__xludf.DUMMYFUNCTION("""COMPUTED_VALUE"""),"Elementary")</f>
        <v>Elementary</v>
      </c>
      <c r="S1695" s="8" t="str">
        <f ca="1">IFERROR(__xludf.DUMMYFUNCTION("""COMPUTED_VALUE"""),"Front of School")</f>
        <v>Front of School</v>
      </c>
      <c r="T1695" s="8" t="str">
        <f ca="1">IFERROR(__xludf.DUMMYFUNCTION("""COMPUTED_VALUE"""),"Outside on School Property")</f>
        <v>Outside on School Property</v>
      </c>
      <c r="U1695" s="8" t="str">
        <f ca="1">IFERROR(__xludf.DUMMYFUNCTION("""COMPUTED_VALUE"""),"Yes")</f>
        <v>Yes</v>
      </c>
      <c r="V1695" s="8" t="str">
        <f ca="1">IFERROR(__xludf.DUMMYFUNCTION("""COMPUTED_VALUE"""),"Morning Classes")</f>
        <v>Morning Classes</v>
      </c>
      <c r="W1695" s="11">
        <f ca="1">IFERROR(__xludf.DUMMYFUNCTION("""COMPUTED_VALUE"""),0.416666666666666)</f>
        <v>0.41666666666666602</v>
      </c>
      <c r="X1695" s="8">
        <f ca="1">IFERROR(__xludf.DUMMYFUNCTION("""COMPUTED_VALUE"""),1)</f>
        <v>1</v>
      </c>
      <c r="Y1695" s="12" t="str">
        <f ca="1">IFERROR(__xludf.DUMMYFUNCTION("""COMPUTED_VALUE"""),"Adult male victim shot by another adult male in front of school during domestic dispute")</f>
        <v>Adult male victim shot by another adult male in front of school during domestic dispute</v>
      </c>
      <c r="Z1695" s="12" t="str">
        <f ca="1">IFERROR(__xludf.DUMMYFUNCTION("""COMPUTED_VALUE"""),"26YOM shot adult male victim during domestic dispute outside of elementary while children were being dropped off. One shot was fired. Shooter fled the scene and was later arrested. Injured victim went into the school for assistance. School was locked down"&amp;".")</f>
        <v>26YOM shot adult male victim during domestic dispute outside of elementary while children were being dropped off. One shot was fired. Shooter fled the scene and was later arrested. Injured victim went into the school for assistance. School was locked down.</v>
      </c>
      <c r="AA1695" s="8" t="str">
        <f ca="1">IFERROR(__xludf.DUMMYFUNCTION("""COMPUTED_VALUE"""),"Domestic w/ Targeted Victim")</f>
        <v>Domestic w/ Targeted Victim</v>
      </c>
      <c r="AB1695" s="8"/>
      <c r="AC1695" s="8" t="str">
        <f ca="1">IFERROR(__xludf.DUMMYFUNCTION("""COMPUTED_VALUE"""),"Yes")</f>
        <v>Yes</v>
      </c>
      <c r="AD1695" s="8" t="str">
        <f ca="1">IFERROR(__xludf.DUMMYFUNCTION("""COMPUTED_VALUE"""),"Victims Targeted")</f>
        <v>Victims Targeted</v>
      </c>
      <c r="AE1695" s="8" t="str">
        <f ca="1">IFERROR(__xludf.DUMMYFUNCTION("""COMPUTED_VALUE"""),"No")</f>
        <v>No</v>
      </c>
      <c r="AF1695" s="8"/>
      <c r="AG1695" s="8" t="str">
        <f ca="1">IFERROR(__xludf.DUMMYFUNCTION("""COMPUTED_VALUE"""),"No")</f>
        <v>No</v>
      </c>
      <c r="AH1695" s="8" t="str">
        <f ca="1">IFERROR(__xludf.DUMMYFUNCTION("""COMPUTED_VALUE"""),"No")</f>
        <v>No</v>
      </c>
      <c r="AI1695" s="8" t="str">
        <f ca="1">IFERROR(__xludf.DUMMYFUNCTION("""COMPUTED_VALUE"""),"No")</f>
        <v>No</v>
      </c>
      <c r="AJ1695" s="8" t="str">
        <f ca="1">IFERROR(__xludf.DUMMYFUNCTION("""COMPUTED_VALUE"""),"No")</f>
        <v>No</v>
      </c>
      <c r="AK1695" s="8" t="str">
        <f ca="1">IFERROR(__xludf.DUMMYFUNCTION("""COMPUTED_VALUE"""),"Yes")</f>
        <v>Yes</v>
      </c>
      <c r="AL1695" s="8" t="str">
        <f ca="1">IFERROR(__xludf.DUMMYFUNCTION("""COMPUTED_VALUE"""),"No")</f>
        <v>No</v>
      </c>
      <c r="AM1695" s="8" t="str">
        <f ca="1">IFERROR(__xludf.DUMMYFUNCTION("""COMPUTED_VALUE"""),"No")</f>
        <v>No</v>
      </c>
      <c r="AN1695" s="8"/>
      <c r="AO1695" s="8" t="str">
        <f ca="1">IFERROR(__xludf.DUMMYFUNCTION("""COMPUTED_VALUE"""),"No")</f>
        <v>No</v>
      </c>
      <c r="AP1695" s="8"/>
      <c r="AQ1695" s="8" t="str">
        <f ca="1">IFERROR(__xludf.DUMMYFUNCTION("""COMPUTED_VALUE"""),"Unknown")</f>
        <v>Unknown</v>
      </c>
      <c r="AR1695" s="8" t="str">
        <f ca="1">IFERROR(__xludf.DUMMYFUNCTION("""COMPUTED_VALUE"""),"NA")</f>
        <v>NA</v>
      </c>
      <c r="AS1695" s="8">
        <f ca="1">IFERROR(__xludf.DUMMYFUNCTION("""COMPUTED_VALUE"""),1)</f>
        <v>1</v>
      </c>
      <c r="AT1695" s="8"/>
      <c r="AU1695" s="8">
        <f ca="1">IFERROR(__xludf.DUMMYFUNCTION("""COMPUTED_VALUE"""),61.213099)</f>
        <v>61.213099</v>
      </c>
      <c r="AV1695" s="8">
        <f ca="1">IFERROR(__xludf.DUMMYFUNCTION("""COMPUTED_VALUE"""),-149.88029)</f>
        <v>-149.88029</v>
      </c>
      <c r="AW1695" s="8"/>
      <c r="AX1695" s="8">
        <f ca="1">IFERROR(__xludf.DUMMYFUNCTION("""COMPUTED_VALUE"""),99501)</f>
        <v>99501</v>
      </c>
    </row>
    <row r="1696" spans="1:50" ht="45" x14ac:dyDescent="0.2">
      <c r="A1696" s="8" t="str">
        <f ca="1">IFERROR(__xludf.DUMMYFUNCTION("""COMPUTED_VALUE"""),"20181002ARCHL")</f>
        <v>20181002ARCHL</v>
      </c>
      <c r="B1696" s="8">
        <f ca="1">IFERROR(__xludf.DUMMYFUNCTION("""COMPUTED_VALUE"""),10)</f>
        <v>10</v>
      </c>
      <c r="C1696" s="8">
        <f ca="1">IFERROR(__xludf.DUMMYFUNCTION("""COMPUTED_VALUE"""),2)</f>
        <v>2</v>
      </c>
      <c r="D1696" s="8">
        <f ca="1">IFERROR(__xludf.DUMMYFUNCTION("""COMPUTED_VALUE"""),2018)</f>
        <v>2018</v>
      </c>
      <c r="E1696" s="9">
        <f ca="1">IFERROR(__xludf.DUMMYFUNCTION("""COMPUTED_VALUE"""),43375)</f>
        <v>43375</v>
      </c>
      <c r="F1696" s="8" t="str">
        <f ca="1">IFERROR(__xludf.DUMMYFUNCTION("""COMPUTED_VALUE"""),"Chicot Elementary School")</f>
        <v>Chicot Elementary School</v>
      </c>
      <c r="G1696" s="8">
        <f ca="1">IFERROR(__xludf.DUMMYFUNCTION("""COMPUTED_VALUE"""),0)</f>
        <v>0</v>
      </c>
      <c r="H1696" s="8">
        <f ca="1">IFERROR(__xludf.DUMMYFUNCTION("""COMPUTED_VALUE"""),0)</f>
        <v>0</v>
      </c>
      <c r="I1696" s="8">
        <f ca="1">IFERROR(__xludf.DUMMYFUNCTION("""COMPUTED_VALUE"""),0)</f>
        <v>0</v>
      </c>
      <c r="J1696" s="8">
        <f ca="1">IFERROR(__xludf.DUMMYFUNCTION("""COMPUTED_VALUE"""),0)</f>
        <v>0</v>
      </c>
      <c r="K1696" s="10" t="str">
        <f ca="1">IFERROR(__xludf.DUMMYFUNCTION("""COMPUTED_VALUE"""),"https://www.arkansasonline.com/news/2018/oct/02/shots-fired-near-little-rock-elementary-school-pol/")</f>
        <v>https://www.arkansasonline.com/news/2018/oct/02/shots-fired-near-little-rock-elementary-school-pol/</v>
      </c>
      <c r="L1696" s="8"/>
      <c r="M1696" s="8"/>
      <c r="N1696" s="8">
        <f ca="1">IFERROR(__xludf.DUMMYFUNCTION("""COMPUTED_VALUE"""),3)</f>
        <v>3</v>
      </c>
      <c r="O1696" s="8" t="str">
        <f ca="1">IFERROR(__xludf.DUMMYFUNCTION("""COMPUTED_VALUE"""),"Fall")</f>
        <v>Fall</v>
      </c>
      <c r="P1696" s="8" t="str">
        <f ca="1">IFERROR(__xludf.DUMMYFUNCTION("""COMPUTED_VALUE"""),"Little Rock")</f>
        <v>Little Rock</v>
      </c>
      <c r="Q1696" s="8" t="str">
        <f ca="1">IFERROR(__xludf.DUMMYFUNCTION("""COMPUTED_VALUE"""),"AR")</f>
        <v>AR</v>
      </c>
      <c r="R1696" s="8" t="str">
        <f ca="1">IFERROR(__xludf.DUMMYFUNCTION("""COMPUTED_VALUE"""),"Elementary")</f>
        <v>Elementary</v>
      </c>
      <c r="S1696" s="8" t="str">
        <f ca="1">IFERROR(__xludf.DUMMYFUNCTION("""COMPUTED_VALUE"""),"Other")</f>
        <v>Other</v>
      </c>
      <c r="T1696" s="8" t="str">
        <f ca="1">IFERROR(__xludf.DUMMYFUNCTION("""COMPUTED_VALUE"""),"Outside on School Property")</f>
        <v>Outside on School Property</v>
      </c>
      <c r="U1696" s="8" t="str">
        <f ca="1">IFERROR(__xludf.DUMMYFUNCTION("""COMPUTED_VALUE"""),"Yes")</f>
        <v>Yes</v>
      </c>
      <c r="V1696" s="8" t="str">
        <f ca="1">IFERROR(__xludf.DUMMYFUNCTION("""COMPUTED_VALUE"""),"Morning Classes")</f>
        <v>Morning Classes</v>
      </c>
      <c r="W1696" s="11">
        <f ca="1">IFERROR(__xludf.DUMMYFUNCTION("""COMPUTED_VALUE"""),0.416666666666666)</f>
        <v>0.41666666666666602</v>
      </c>
      <c r="X1696" s="8">
        <f ca="1">IFERROR(__xludf.DUMMYFUNCTION("""COMPUTED_VALUE"""),1)</f>
        <v>1</v>
      </c>
      <c r="Y1696" s="12" t="str">
        <f ca="1">IFERROR(__xludf.DUMMYFUNCTION("""COMPUTED_VALUE"""),"6 bullets stuck the school building, no injuries")</f>
        <v>6 bullets stuck the school building, no injuries</v>
      </c>
      <c r="Z1696" s="12" t="str">
        <f ca="1">IFERROR(__xludf.DUMMYFUNCTION("""COMPUTED_VALUE"""),"6 bullets stuck the school building. No injuries. Police said the shooting was unrelated to the school. No suspect arrested.")</f>
        <v>6 bullets stuck the school building. No injuries. Police said the shooting was unrelated to the school. No suspect arrested.</v>
      </c>
      <c r="AA1696" s="8" t="str">
        <f ca="1">IFERROR(__xludf.DUMMYFUNCTION("""COMPUTED_VALUE"""),"Unknown")</f>
        <v>Unknown</v>
      </c>
      <c r="AB1696" s="8"/>
      <c r="AC1696" s="8" t="str">
        <f ca="1">IFERROR(__xludf.DUMMYFUNCTION("""COMPUTED_VALUE"""),"Yes")</f>
        <v>Yes</v>
      </c>
      <c r="AD1696" s="8"/>
      <c r="AE1696" s="8"/>
      <c r="AF1696" s="8"/>
      <c r="AG1696" s="8" t="str">
        <f ca="1">IFERROR(__xludf.DUMMYFUNCTION("""COMPUTED_VALUE"""),"No")</f>
        <v>No</v>
      </c>
      <c r="AH1696" s="8" t="str">
        <f ca="1">IFERROR(__xludf.DUMMYFUNCTION("""COMPUTED_VALUE"""),"No")</f>
        <v>No</v>
      </c>
      <c r="AI1696" s="8" t="str">
        <f ca="1">IFERROR(__xludf.DUMMYFUNCTION("""COMPUTED_VALUE"""),"No")</f>
        <v>No</v>
      </c>
      <c r="AJ1696" s="8" t="str">
        <f ca="1">IFERROR(__xludf.DUMMYFUNCTION("""COMPUTED_VALUE"""),"No")</f>
        <v>No</v>
      </c>
      <c r="AK1696" s="8" t="str">
        <f ca="1">IFERROR(__xludf.DUMMYFUNCTION("""COMPUTED_VALUE"""),"No")</f>
        <v>No</v>
      </c>
      <c r="AL1696" s="8"/>
      <c r="AM1696" s="8" t="str">
        <f ca="1">IFERROR(__xludf.DUMMYFUNCTION("""COMPUTED_VALUE"""),"No")</f>
        <v>No</v>
      </c>
      <c r="AN1696" s="8"/>
      <c r="AO1696" s="8" t="str">
        <f ca="1">IFERROR(__xludf.DUMMYFUNCTION("""COMPUTED_VALUE"""),"No")</f>
        <v>No</v>
      </c>
      <c r="AP1696" s="8"/>
      <c r="AQ1696" s="8" t="str">
        <f ca="1">IFERROR(__xludf.DUMMYFUNCTION("""COMPUTED_VALUE"""),"Unknown")</f>
        <v>Unknown</v>
      </c>
      <c r="AR1696" s="8" t="str">
        <f ca="1">IFERROR(__xludf.DUMMYFUNCTION("""COMPUTED_VALUE"""),"NA")</f>
        <v>NA</v>
      </c>
      <c r="AS1696" s="8">
        <f ca="1">IFERROR(__xludf.DUMMYFUNCTION("""COMPUTED_VALUE"""),6)</f>
        <v>6</v>
      </c>
      <c r="AT1696" s="8"/>
      <c r="AU1696" s="8">
        <f ca="1">IFERROR(__xludf.DUMMYFUNCTION("""COMPUTED_VALUE"""),34.649001)</f>
        <v>34.649000999999998</v>
      </c>
      <c r="AV1696" s="8">
        <f ca="1">IFERROR(__xludf.DUMMYFUNCTION("""COMPUTED_VALUE"""),-92.365424)</f>
        <v>-92.365424000000004</v>
      </c>
      <c r="AW1696" s="8"/>
      <c r="AX1696" s="8">
        <f ca="1">IFERROR(__xludf.DUMMYFUNCTION("""COMPUTED_VALUE"""),72103)</f>
        <v>72103</v>
      </c>
    </row>
    <row r="1697" spans="1:50" ht="75" x14ac:dyDescent="0.2">
      <c r="A1697" s="8" t="str">
        <f ca="1">IFERROR(__xludf.DUMMYFUNCTION("""COMPUTED_VALUE"""),"20180928SDCHC")</f>
        <v>20180928SDCHC</v>
      </c>
      <c r="B1697" s="8">
        <f ca="1">IFERROR(__xludf.DUMMYFUNCTION("""COMPUTED_VALUE"""),9)</f>
        <v>9</v>
      </c>
      <c r="C1697" s="8">
        <f ca="1">IFERROR(__xludf.DUMMYFUNCTION("""COMPUTED_VALUE"""),28)</f>
        <v>28</v>
      </c>
      <c r="D1697" s="8">
        <f ca="1">IFERROR(__xludf.DUMMYFUNCTION("""COMPUTED_VALUE"""),2018)</f>
        <v>2018</v>
      </c>
      <c r="E1697" s="9">
        <f ca="1">IFERROR(__xludf.DUMMYFUNCTION("""COMPUTED_VALUE"""),43371)</f>
        <v>43371</v>
      </c>
      <c r="F1697" s="8" t="str">
        <f ca="1">IFERROR(__xludf.DUMMYFUNCTION("""COMPUTED_VALUE"""),"Chamberlain High School")</f>
        <v>Chamberlain High School</v>
      </c>
      <c r="G1697" s="8">
        <f ca="1">IFERROR(__xludf.DUMMYFUNCTION("""COMPUTED_VALUE"""),0)</f>
        <v>0</v>
      </c>
      <c r="H1697" s="8">
        <f ca="1">IFERROR(__xludf.DUMMYFUNCTION("""COMPUTED_VALUE"""),0)</f>
        <v>0</v>
      </c>
      <c r="I1697" s="8">
        <f ca="1">IFERROR(__xludf.DUMMYFUNCTION("""COMPUTED_VALUE"""),0)</f>
        <v>0</v>
      </c>
      <c r="J1697" s="8">
        <f ca="1">IFERROR(__xludf.DUMMYFUNCTION("""COMPUTED_VALUE"""),0)</f>
        <v>0</v>
      </c>
      <c r="K1697" s="10" t="str">
        <f ca="1">IFERROR(__xludf.DUMMYFUNCTION("""COMPUTED_VALUE"""),"https://www.ksfy.com/content/news/High-school-football-game-evacuated-following-gunshot-494669791.html")</f>
        <v>https://www.ksfy.com/content/news/High-school-football-game-evacuated-following-gunshot-494669791.html</v>
      </c>
      <c r="L1697" s="8"/>
      <c r="M1697" s="8"/>
      <c r="N1697" s="8">
        <f ca="1">IFERROR(__xludf.DUMMYFUNCTION("""COMPUTED_VALUE"""),4)</f>
        <v>4</v>
      </c>
      <c r="O1697" s="8" t="str">
        <f ca="1">IFERROR(__xludf.DUMMYFUNCTION("""COMPUTED_VALUE"""),"Fall")</f>
        <v>Fall</v>
      </c>
      <c r="P1697" s="8" t="str">
        <f ca="1">IFERROR(__xludf.DUMMYFUNCTION("""COMPUTED_VALUE"""),"Chamberlain")</f>
        <v>Chamberlain</v>
      </c>
      <c r="Q1697" s="8" t="str">
        <f ca="1">IFERROR(__xludf.DUMMYFUNCTION("""COMPUTED_VALUE"""),"SD")</f>
        <v>SD</v>
      </c>
      <c r="R1697" s="8" t="str">
        <f ca="1">IFERROR(__xludf.DUMMYFUNCTION("""COMPUTED_VALUE"""),"High")</f>
        <v>High</v>
      </c>
      <c r="S1697" s="8" t="str">
        <f ca="1">IFERROR(__xludf.DUMMYFUNCTION("""COMPUTED_VALUE"""),"Field (General)")</f>
        <v>Field (General)</v>
      </c>
      <c r="T1697" s="8" t="str">
        <f ca="1">IFERROR(__xludf.DUMMYFUNCTION("""COMPUTED_VALUE"""),"Outside on School Property")</f>
        <v>Outside on School Property</v>
      </c>
      <c r="U1697" s="8" t="str">
        <f ca="1">IFERROR(__xludf.DUMMYFUNCTION("""COMPUTED_VALUE"""),"No")</f>
        <v>No</v>
      </c>
      <c r="V1697" s="8" t="str">
        <f ca="1">IFERROR(__xludf.DUMMYFUNCTION("""COMPUTED_VALUE"""),"Sport Event")</f>
        <v>Sport Event</v>
      </c>
      <c r="W1697" s="11">
        <f ca="1">IFERROR(__xludf.DUMMYFUNCTION("""COMPUTED_VALUE"""),0.645833333333333)</f>
        <v>0.64583333333333304</v>
      </c>
      <c r="X1697" s="8">
        <f ca="1">IFERROR(__xludf.DUMMYFUNCTION("""COMPUTED_VALUE"""),1)</f>
        <v>1</v>
      </c>
      <c r="Y1697" s="12" t="str">
        <f ca="1">IFERROR(__xludf.DUMMYFUNCTION("""COMPUTED_VALUE"""),"Man commit suicide on school field during game following police chase")</f>
        <v>Man commit suicide on school field during game following police chase</v>
      </c>
      <c r="Z1697" s="12" t="str">
        <f ca="1">IFERROR(__xludf.DUMMYFUNCTION("""COMPUTED_VALUE"""),"During football game, 20YOM being chased by police ran onto football practice field and shot himself. Game was suspended and stadium was cleared as a precaution. Game resumed 30 minutes later.")</f>
        <v>During football game, 20YOM being chased by police ran onto football practice field and shot himself. Game was suspended and stadium was cleared as a precaution. Game resumed 30 minutes later.</v>
      </c>
      <c r="AA1697" s="8" t="str">
        <f ca="1">IFERROR(__xludf.DUMMYFUNCTION("""COMPUTED_VALUE"""),"Suicide/Attempted")</f>
        <v>Suicide/Attempted</v>
      </c>
      <c r="AB1697" s="8"/>
      <c r="AC1697" s="8" t="str">
        <f ca="1">IFERROR(__xludf.DUMMYFUNCTION("""COMPUTED_VALUE"""),"Yes")</f>
        <v>Yes</v>
      </c>
      <c r="AD1697" s="8" t="str">
        <f ca="1">IFERROR(__xludf.DUMMYFUNCTION("""COMPUTED_VALUE"""),"Victims Targeted")</f>
        <v>Victims Targeted</v>
      </c>
      <c r="AE1697" s="8" t="str">
        <f ca="1">IFERROR(__xludf.DUMMYFUNCTION("""COMPUTED_VALUE"""),"No")</f>
        <v>No</v>
      </c>
      <c r="AF1697" s="8"/>
      <c r="AG1697" s="8" t="str">
        <f ca="1">IFERROR(__xludf.DUMMYFUNCTION("""COMPUTED_VALUE"""),"No")</f>
        <v>No</v>
      </c>
      <c r="AH1697" s="8" t="str">
        <f ca="1">IFERROR(__xludf.DUMMYFUNCTION("""COMPUTED_VALUE"""),"No")</f>
        <v>No</v>
      </c>
      <c r="AI1697" s="8" t="str">
        <f ca="1">IFERROR(__xludf.DUMMYFUNCTION("""COMPUTED_VALUE"""),"No")</f>
        <v>No</v>
      </c>
      <c r="AJ1697" s="8" t="str">
        <f ca="1">IFERROR(__xludf.DUMMYFUNCTION("""COMPUTED_VALUE"""),"No")</f>
        <v>No</v>
      </c>
      <c r="AK1697" s="8" t="str">
        <f ca="1">IFERROR(__xludf.DUMMYFUNCTION("""COMPUTED_VALUE"""),"No")</f>
        <v>No</v>
      </c>
      <c r="AL1697" s="8" t="str">
        <f ca="1">IFERROR(__xludf.DUMMYFUNCTION("""COMPUTED_VALUE"""),"No")</f>
        <v>No</v>
      </c>
      <c r="AM1697" s="8" t="str">
        <f ca="1">IFERROR(__xludf.DUMMYFUNCTION("""COMPUTED_VALUE"""),"No")</f>
        <v>No</v>
      </c>
      <c r="AN1697" s="8"/>
      <c r="AO1697" s="8" t="str">
        <f ca="1">IFERROR(__xludf.DUMMYFUNCTION("""COMPUTED_VALUE"""),"No")</f>
        <v>No</v>
      </c>
      <c r="AP1697" s="8" t="str">
        <f ca="1">IFERROR(__xludf.DUMMYFUNCTION("""COMPUTED_VALUE"""),"No")</f>
        <v>No</v>
      </c>
      <c r="AQ1697" s="8" t="str">
        <f ca="1">IFERROR(__xludf.DUMMYFUNCTION("""COMPUTED_VALUE"""),"Unknown")</f>
        <v>Unknown</v>
      </c>
      <c r="AR1697" s="8" t="str">
        <f ca="1">IFERROR(__xludf.DUMMYFUNCTION("""COMPUTED_VALUE"""),"NA")</f>
        <v>NA</v>
      </c>
      <c r="AS1697" s="8">
        <f ca="1">IFERROR(__xludf.DUMMYFUNCTION("""COMPUTED_VALUE"""),1)</f>
        <v>1</v>
      </c>
      <c r="AT1697" s="8" t="str">
        <f ca="1">IFERROR(__xludf.DUMMYFUNCTION("""COMPUTED_VALUE"""),"Yes")</f>
        <v>Yes</v>
      </c>
      <c r="AU1697" s="8">
        <f ca="1">IFERROR(__xludf.DUMMYFUNCTION("""COMPUTED_VALUE"""),43.789386)</f>
        <v>43.789386</v>
      </c>
      <c r="AV1697" s="8">
        <f ca="1">IFERROR(__xludf.DUMMYFUNCTION("""COMPUTED_VALUE"""),-99.327554)</f>
        <v>-99.327554000000006</v>
      </c>
      <c r="AW1697" s="8"/>
      <c r="AX1697" s="8">
        <f ca="1">IFERROR(__xludf.DUMMYFUNCTION("""COMPUTED_VALUE"""),57325)</f>
        <v>57325</v>
      </c>
    </row>
    <row r="1698" spans="1:50" ht="60" x14ac:dyDescent="0.2">
      <c r="A1698" s="8" t="str">
        <f ca="1">IFERROR(__xludf.DUMMYFUNCTION("""COMPUTED_VALUE"""),"20180927TXHEC")</f>
        <v>20180927TXHEC</v>
      </c>
      <c r="B1698" s="8">
        <f ca="1">IFERROR(__xludf.DUMMYFUNCTION("""COMPUTED_VALUE"""),9)</f>
        <v>9</v>
      </c>
      <c r="C1698" s="8">
        <f ca="1">IFERROR(__xludf.DUMMYFUNCTION("""COMPUTED_VALUE"""),27)</f>
        <v>27</v>
      </c>
      <c r="D1698" s="8">
        <f ca="1">IFERROR(__xludf.DUMMYFUNCTION("""COMPUTED_VALUE"""),2018)</f>
        <v>2018</v>
      </c>
      <c r="E1698" s="9">
        <f ca="1">IFERROR(__xludf.DUMMYFUNCTION("""COMPUTED_VALUE"""),43370)</f>
        <v>43370</v>
      </c>
      <c r="F1698" s="8" t="str">
        <f ca="1">IFERROR(__xludf.DUMMYFUNCTION("""COMPUTED_VALUE"""),"Hebron High School")</f>
        <v>Hebron High School</v>
      </c>
      <c r="G1698" s="8">
        <f ca="1">IFERROR(__xludf.DUMMYFUNCTION("""COMPUTED_VALUE"""),0)</f>
        <v>0</v>
      </c>
      <c r="H1698" s="8">
        <f ca="1">IFERROR(__xludf.DUMMYFUNCTION("""COMPUTED_VALUE"""),1)</f>
        <v>1</v>
      </c>
      <c r="I1698" s="8">
        <f ca="1">IFERROR(__xludf.DUMMYFUNCTION("""COMPUTED_VALUE"""),1)</f>
        <v>1</v>
      </c>
      <c r="J1698" s="8">
        <f ca="1">IFERROR(__xludf.DUMMYFUNCTION("""COMPUTED_VALUE"""),0)</f>
        <v>0</v>
      </c>
      <c r="K1698" s="8" t="str">
        <f ca="1">IFERROR(__xludf.DUMMYFUNCTION("""COMPUTED_VALUE"""),"https://www.dallasnews.com/news/crime/2018/09/27/1-shot-hebron-high-school-football-game https://www.nbcdfw.com/news/local/Shooting-Outside-Hebron-High-School-Football-Game-No-Students-Hurt-494570451.html http://www.fox4news.com/news/gunman-in-custody-aft"&amp;"er-shooting-at-carrollton-high-school-football-game")</f>
        <v>https://www.dallasnews.com/news/crime/2018/09/27/1-shot-hebron-high-school-football-game https://www.nbcdfw.com/news/local/Shooting-Outside-Hebron-High-School-Football-Game-No-Students-Hurt-494570451.html http://www.fox4news.com/news/gunman-in-custody-after-shooting-at-carrollton-high-school-football-game</v>
      </c>
      <c r="L1698" s="8"/>
      <c r="M1698" s="8"/>
      <c r="N1698" s="8">
        <f ca="1">IFERROR(__xludf.DUMMYFUNCTION("""COMPUTED_VALUE"""),3)</f>
        <v>3</v>
      </c>
      <c r="O1698" s="8" t="str">
        <f ca="1">IFERROR(__xludf.DUMMYFUNCTION("""COMPUTED_VALUE"""),"Fall")</f>
        <v>Fall</v>
      </c>
      <c r="P1698" s="8" t="str">
        <f ca="1">IFERROR(__xludf.DUMMYFUNCTION("""COMPUTED_VALUE"""),"Carrollton")</f>
        <v>Carrollton</v>
      </c>
      <c r="Q1698" s="8" t="str">
        <f ca="1">IFERROR(__xludf.DUMMYFUNCTION("""COMPUTED_VALUE"""),"TX")</f>
        <v>TX</v>
      </c>
      <c r="R1698" s="8" t="str">
        <f ca="1">IFERROR(__xludf.DUMMYFUNCTION("""COMPUTED_VALUE"""),"High")</f>
        <v>High</v>
      </c>
      <c r="S1698" s="8" t="str">
        <f ca="1">IFERROR(__xludf.DUMMYFUNCTION("""COMPUTED_VALUE"""),"Parking Lot")</f>
        <v>Parking Lot</v>
      </c>
      <c r="T1698" s="8" t="str">
        <f ca="1">IFERROR(__xludf.DUMMYFUNCTION("""COMPUTED_VALUE"""),"Outside on School Property")</f>
        <v>Outside on School Property</v>
      </c>
      <c r="U1698" s="8" t="str">
        <f ca="1">IFERROR(__xludf.DUMMYFUNCTION("""COMPUTED_VALUE"""),"No")</f>
        <v>No</v>
      </c>
      <c r="V1698" s="8" t="str">
        <f ca="1">IFERROR(__xludf.DUMMYFUNCTION("""COMPUTED_VALUE"""),"Sport Event")</f>
        <v>Sport Event</v>
      </c>
      <c r="W1698" s="11">
        <f ca="1">IFERROR(__xludf.DUMMYFUNCTION("""COMPUTED_VALUE"""),0.857638888888888)</f>
        <v>0.85763888888888795</v>
      </c>
      <c r="X1698" s="8">
        <f ca="1">IFERROR(__xludf.DUMMYFUNCTION("""COMPUTED_VALUE"""),1)</f>
        <v>1</v>
      </c>
      <c r="Y1698" s="12" t="str">
        <f ca="1">IFERROR(__xludf.DUMMYFUNCTION("""COMPUTED_VALUE"""),"Adult male shot in chest at football game during argument")</f>
        <v>Adult male shot in chest at football game during argument</v>
      </c>
      <c r="Z1698" s="12" t="str">
        <f ca="1">IFERROR(__xludf.DUMMYFUNCTION("""COMPUTED_VALUE"""),"47YOM (shooter) fired in the parking lot following an argument with 31YOM (victim) in the stands during the JV football game. Shooter was arrested at the scene. Police determined the shooting to be self defense.")</f>
        <v>47YOM (shooter) fired in the parking lot following an argument with 31YOM (victim) in the stands during the JV football game. Shooter was arrested at the scene. Police determined the shooting to be self defense.</v>
      </c>
      <c r="AA1698" s="8" t="str">
        <f ca="1">IFERROR(__xludf.DUMMYFUNCTION("""COMPUTED_VALUE"""),"Escalation of Dispute")</f>
        <v>Escalation of Dispute</v>
      </c>
      <c r="AB1698" s="8"/>
      <c r="AC1698" s="8" t="str">
        <f ca="1">IFERROR(__xludf.DUMMYFUNCTION("""COMPUTED_VALUE"""),"Yes")</f>
        <v>Yes</v>
      </c>
      <c r="AD1698" s="8" t="str">
        <f ca="1">IFERROR(__xludf.DUMMYFUNCTION("""COMPUTED_VALUE"""),"Victims Targeted")</f>
        <v>Victims Targeted</v>
      </c>
      <c r="AE1698" s="8" t="str">
        <f ca="1">IFERROR(__xludf.DUMMYFUNCTION("""COMPUTED_VALUE"""),"No")</f>
        <v>No</v>
      </c>
      <c r="AF1698" s="8"/>
      <c r="AG1698" s="8" t="str">
        <f ca="1">IFERROR(__xludf.DUMMYFUNCTION("""COMPUTED_VALUE"""),"No")</f>
        <v>No</v>
      </c>
      <c r="AH1698" s="8" t="str">
        <f ca="1">IFERROR(__xludf.DUMMYFUNCTION("""COMPUTED_VALUE"""),"No")</f>
        <v>No</v>
      </c>
      <c r="AI1698" s="8" t="str">
        <f ca="1">IFERROR(__xludf.DUMMYFUNCTION("""COMPUTED_VALUE"""),"No")</f>
        <v>No</v>
      </c>
      <c r="AJ1698" s="8" t="str">
        <f ca="1">IFERROR(__xludf.DUMMYFUNCTION("""COMPUTED_VALUE"""),"No")</f>
        <v>No</v>
      </c>
      <c r="AK1698" s="8" t="str">
        <f ca="1">IFERROR(__xludf.DUMMYFUNCTION("""COMPUTED_VALUE"""),"No")</f>
        <v>No</v>
      </c>
      <c r="AL1698" s="8" t="str">
        <f ca="1">IFERROR(__xludf.DUMMYFUNCTION("""COMPUTED_VALUE"""),"No")</f>
        <v>No</v>
      </c>
      <c r="AM1698" s="8" t="str">
        <f ca="1">IFERROR(__xludf.DUMMYFUNCTION("""COMPUTED_VALUE"""),"No")</f>
        <v>No</v>
      </c>
      <c r="AN1698" s="8"/>
      <c r="AO1698" s="8" t="str">
        <f ca="1">IFERROR(__xludf.DUMMYFUNCTION("""COMPUTED_VALUE"""),"No")</f>
        <v>No</v>
      </c>
      <c r="AP1698" s="8"/>
      <c r="AQ1698" s="8" t="str">
        <f ca="1">IFERROR(__xludf.DUMMYFUNCTION("""COMPUTED_VALUE"""),"Unknown")</f>
        <v>Unknown</v>
      </c>
      <c r="AR1698" s="8" t="str">
        <f ca="1">IFERROR(__xludf.DUMMYFUNCTION("""COMPUTED_VALUE"""),"NA")</f>
        <v>NA</v>
      </c>
      <c r="AS1698" s="8">
        <f ca="1">IFERROR(__xludf.DUMMYFUNCTION("""COMPUTED_VALUE"""),1)</f>
        <v>1</v>
      </c>
      <c r="AT1698" s="8"/>
      <c r="AU1698" s="8">
        <f ca="1">IFERROR(__xludf.DUMMYFUNCTION("""COMPUTED_VALUE"""),33.036216)</f>
        <v>33.036216000000003</v>
      </c>
      <c r="AV1698" s="8">
        <f ca="1">IFERROR(__xludf.DUMMYFUNCTION("""COMPUTED_VALUE"""),-96.859707)</f>
        <v>-96.859707</v>
      </c>
      <c r="AW1698" s="8"/>
      <c r="AX1698" s="8">
        <f ca="1">IFERROR(__xludf.DUMMYFUNCTION("""COMPUTED_VALUE"""),75010)</f>
        <v>75010</v>
      </c>
    </row>
    <row r="1699" spans="1:50" ht="45" x14ac:dyDescent="0.2">
      <c r="A1699" s="8" t="str">
        <f ca="1">IFERROR(__xludf.DUMMYFUNCTION("""COMPUTED_VALUE"""),"20180926MDMAB")</f>
        <v>20180926MDMAB</v>
      </c>
      <c r="B1699" s="8">
        <f ca="1">IFERROR(__xludf.DUMMYFUNCTION("""COMPUTED_VALUE"""),9)</f>
        <v>9</v>
      </c>
      <c r="C1699" s="8">
        <f ca="1">IFERROR(__xludf.DUMMYFUNCTION("""COMPUTED_VALUE"""),26)</f>
        <v>26</v>
      </c>
      <c r="D1699" s="8">
        <f ca="1">IFERROR(__xludf.DUMMYFUNCTION("""COMPUTED_VALUE"""),2018)</f>
        <v>2018</v>
      </c>
      <c r="E1699" s="9">
        <f ca="1">IFERROR(__xludf.DUMMYFUNCTION("""COMPUTED_VALUE"""),43369)</f>
        <v>43369</v>
      </c>
      <c r="F1699" s="8" t="str">
        <f ca="1">IFERROR(__xludf.DUMMYFUNCTION("""COMPUTED_VALUE"""),"Maree Garnett Farring Elementary")</f>
        <v>Maree Garnett Farring Elementary</v>
      </c>
      <c r="G1699" s="8">
        <f ca="1">IFERROR(__xludf.DUMMYFUNCTION("""COMPUTED_VALUE"""),0)</f>
        <v>0</v>
      </c>
      <c r="H1699" s="8">
        <f ca="1">IFERROR(__xludf.DUMMYFUNCTION("""COMPUTED_VALUE"""),0)</f>
        <v>0</v>
      </c>
      <c r="I1699" s="8">
        <f ca="1">IFERROR(__xludf.DUMMYFUNCTION("""COMPUTED_VALUE"""),0)</f>
        <v>0</v>
      </c>
      <c r="J1699" s="8">
        <f ca="1">IFERROR(__xludf.DUMMYFUNCTION("""COMPUTED_VALUE"""),0)</f>
        <v>0</v>
      </c>
      <c r="K1699" s="10" t="str">
        <f ca="1">IFERROR(__xludf.DUMMYFUNCTION("""COMPUTED_VALUE"""),"http://www.baltimoresun.com/news/maryland/crime/bs-md-ci-guns-fired-elementary-school-20180926-story.html")</f>
        <v>http://www.baltimoresun.com/news/maryland/crime/bs-md-ci-guns-fired-elementary-school-20180926-story.html</v>
      </c>
      <c r="L1699" s="8"/>
      <c r="M1699" s="8"/>
      <c r="N1699" s="8">
        <f ca="1">IFERROR(__xludf.DUMMYFUNCTION("""COMPUTED_VALUE"""),2)</f>
        <v>2</v>
      </c>
      <c r="O1699" s="8" t="str">
        <f ca="1">IFERROR(__xludf.DUMMYFUNCTION("""COMPUTED_VALUE"""),"Fall")</f>
        <v>Fall</v>
      </c>
      <c r="P1699" s="8" t="str">
        <f ca="1">IFERROR(__xludf.DUMMYFUNCTION("""COMPUTED_VALUE"""),"Baltimore")</f>
        <v>Baltimore</v>
      </c>
      <c r="Q1699" s="8" t="str">
        <f ca="1">IFERROR(__xludf.DUMMYFUNCTION("""COMPUTED_VALUE"""),"MD")</f>
        <v>MD</v>
      </c>
      <c r="R1699" s="8" t="str">
        <f ca="1">IFERROR(__xludf.DUMMYFUNCTION("""COMPUTED_VALUE"""),"Elementary")</f>
        <v>Elementary</v>
      </c>
      <c r="S1699" s="8" t="str">
        <f ca="1">IFERROR(__xludf.DUMMYFUNCTION("""COMPUTED_VALUE"""),"Bathroom")</f>
        <v>Bathroom</v>
      </c>
      <c r="T1699" s="8" t="str">
        <f ca="1">IFERROR(__xludf.DUMMYFUNCTION("""COMPUTED_VALUE"""),"Outside on School Property")</f>
        <v>Outside on School Property</v>
      </c>
      <c r="U1699" s="8" t="str">
        <f ca="1">IFERROR(__xludf.DUMMYFUNCTION("""COMPUTED_VALUE"""),"Yes")</f>
        <v>Yes</v>
      </c>
      <c r="V1699" s="8" t="str">
        <f ca="1">IFERROR(__xludf.DUMMYFUNCTION("""COMPUTED_VALUE"""),"Morning Classes")</f>
        <v>Morning Classes</v>
      </c>
      <c r="W1699" s="8"/>
      <c r="X1699" s="8">
        <f ca="1">IFERROR(__xludf.DUMMYFUNCTION("""COMPUTED_VALUE"""),1)</f>
        <v>1</v>
      </c>
      <c r="Y1699" s="12" t="str">
        <f ca="1">IFERROR(__xludf.DUMMYFUNCTION("""COMPUTED_VALUE"""),"Two students playing with gun in school bathroom.")</f>
        <v>Two students playing with gun in school bathroom.</v>
      </c>
      <c r="Z1699" s="12" t="str">
        <f ca="1">IFERROR(__xludf.DUMMYFUNCTION("""COMPUTED_VALUE"""),"Two unnamed students fired a gun in the school bathroom. School was locked down for 4 hours then dismissed.")</f>
        <v>Two unnamed students fired a gun in the school bathroom. School was locked down for 4 hours then dismissed.</v>
      </c>
      <c r="AA1699" s="8" t="str">
        <f ca="1">IFERROR(__xludf.DUMMYFUNCTION("""COMPUTED_VALUE"""),"Accidental")</f>
        <v>Accidental</v>
      </c>
      <c r="AB1699" s="8"/>
      <c r="AC1699" s="8" t="str">
        <f ca="1">IFERROR(__xludf.DUMMYFUNCTION("""COMPUTED_VALUE"""),"Yes")</f>
        <v>Yes</v>
      </c>
      <c r="AD1699" s="8" t="str">
        <f ca="1">IFERROR(__xludf.DUMMYFUNCTION("""COMPUTED_VALUE"""),"Neither")</f>
        <v>Neither</v>
      </c>
      <c r="AE1699" s="8" t="str">
        <f ca="1">IFERROR(__xludf.DUMMYFUNCTION("""COMPUTED_VALUE"""),"Yes")</f>
        <v>Yes</v>
      </c>
      <c r="AF1699" s="8" t="str">
        <f ca="1">IFERROR(__xludf.DUMMYFUNCTION("""COMPUTED_VALUE"""),"Two students involved")</f>
        <v>Two students involved</v>
      </c>
      <c r="AG1699" s="8" t="str">
        <f ca="1">IFERROR(__xludf.DUMMYFUNCTION("""COMPUTED_VALUE"""),"No")</f>
        <v>No</v>
      </c>
      <c r="AH1699" s="8" t="str">
        <f ca="1">IFERROR(__xludf.DUMMYFUNCTION("""COMPUTED_VALUE"""),"No")</f>
        <v>No</v>
      </c>
      <c r="AI1699" s="8" t="str">
        <f ca="1">IFERROR(__xludf.DUMMYFUNCTION("""COMPUTED_VALUE"""),"No")</f>
        <v>No</v>
      </c>
      <c r="AJ1699" s="8" t="str">
        <f ca="1">IFERROR(__xludf.DUMMYFUNCTION("""COMPUTED_VALUE"""),"No")</f>
        <v>No</v>
      </c>
      <c r="AK1699" s="8" t="str">
        <f ca="1">IFERROR(__xludf.DUMMYFUNCTION("""COMPUTED_VALUE"""),"No")</f>
        <v>No</v>
      </c>
      <c r="AL1699" s="8" t="str">
        <f ca="1">IFERROR(__xludf.DUMMYFUNCTION("""COMPUTED_VALUE"""),"No")</f>
        <v>No</v>
      </c>
      <c r="AM1699" s="8" t="str">
        <f ca="1">IFERROR(__xludf.DUMMYFUNCTION("""COMPUTED_VALUE"""),"No")</f>
        <v>No</v>
      </c>
      <c r="AN1699" s="8"/>
      <c r="AO1699" s="8" t="str">
        <f ca="1">IFERROR(__xludf.DUMMYFUNCTION("""COMPUTED_VALUE"""),"No")</f>
        <v>No</v>
      </c>
      <c r="AP1699" s="8"/>
      <c r="AQ1699" s="8" t="str">
        <f ca="1">IFERROR(__xludf.DUMMYFUNCTION("""COMPUTED_VALUE"""),"Unknown")</f>
        <v>Unknown</v>
      </c>
      <c r="AR1699" s="8" t="str">
        <f ca="1">IFERROR(__xludf.DUMMYFUNCTION("""COMPUTED_VALUE"""),"NA")</f>
        <v>NA</v>
      </c>
      <c r="AS1699" s="8">
        <f ca="1">IFERROR(__xludf.DUMMYFUNCTION("""COMPUTED_VALUE"""),1)</f>
        <v>1</v>
      </c>
      <c r="AT1699" s="8"/>
      <c r="AU1699" s="8">
        <f ca="1">IFERROR(__xludf.DUMMYFUNCTION("""COMPUTED_VALUE"""),39.236758)</f>
        <v>39.236758000000002</v>
      </c>
      <c r="AV1699" s="8">
        <f ca="1">IFERROR(__xludf.DUMMYFUNCTION("""COMPUTED_VALUE"""),-76.60693)</f>
        <v>-76.606930000000006</v>
      </c>
      <c r="AW1699" s="8"/>
      <c r="AX1699" s="8">
        <f ca="1">IFERROR(__xludf.DUMMYFUNCTION("""COMPUTED_VALUE"""),21225)</f>
        <v>21225</v>
      </c>
    </row>
    <row r="1700" spans="1:50" ht="60" x14ac:dyDescent="0.2">
      <c r="A1700" s="8" t="str">
        <f ca="1">IFERROR(__xludf.DUMMYFUNCTION("""COMPUTED_VALUE"""),"20180924PACEP")</f>
        <v>20180924PACEP</v>
      </c>
      <c r="B1700" s="8">
        <f ca="1">IFERROR(__xludf.DUMMYFUNCTION("""COMPUTED_VALUE"""),9)</f>
        <v>9</v>
      </c>
      <c r="C1700" s="8">
        <f ca="1">IFERROR(__xludf.DUMMYFUNCTION("""COMPUTED_VALUE"""),24)</f>
        <v>24</v>
      </c>
      <c r="D1700" s="8">
        <f ca="1">IFERROR(__xludf.DUMMYFUNCTION("""COMPUTED_VALUE"""),2018)</f>
        <v>2018</v>
      </c>
      <c r="E1700" s="9">
        <f ca="1">IFERROR(__xludf.DUMMYFUNCTION("""COMPUTED_VALUE"""),43367)</f>
        <v>43367</v>
      </c>
      <c r="F1700" s="8" t="str">
        <f ca="1">IFERROR(__xludf.DUMMYFUNCTION("""COMPUTED_VALUE"""),"Central High School")</f>
        <v>Central High School</v>
      </c>
      <c r="G1700" s="8">
        <f ca="1">IFERROR(__xludf.DUMMYFUNCTION("""COMPUTED_VALUE"""),1)</f>
        <v>1</v>
      </c>
      <c r="H1700" s="8">
        <f ca="1">IFERROR(__xludf.DUMMYFUNCTION("""COMPUTED_VALUE"""),0)</f>
        <v>0</v>
      </c>
      <c r="I1700" s="8">
        <f ca="1">IFERROR(__xludf.DUMMYFUNCTION("""COMPUTED_VALUE"""),1)</f>
        <v>1</v>
      </c>
      <c r="J1700" s="8">
        <f ca="1">IFERROR(__xludf.DUMMYFUNCTION("""COMPUTED_VALUE"""),0)</f>
        <v>0</v>
      </c>
      <c r="K1700" s="8" t="str">
        <f ca="1">IFERROR(__xludf.DUMMYFUNCTION("""COMPUTED_VALUE"""),"https://6abc.com/teen-shot-outside-central-high-school/4326366/ https://philadelphia.cbslocal.com/2018/09/24/central-high-school-student-shot-walking-to-school-philadelphia-police-say/")</f>
        <v>https://6abc.com/teen-shot-outside-central-high-school/4326366/ https://philadelphia.cbslocal.com/2018/09/24/central-high-school-student-shot-walking-to-school-philadelphia-police-say/</v>
      </c>
      <c r="L1700" s="8"/>
      <c r="M1700" s="8"/>
      <c r="N1700" s="8">
        <f ca="1">IFERROR(__xludf.DUMMYFUNCTION("""COMPUTED_VALUE"""),3)</f>
        <v>3</v>
      </c>
      <c r="O1700" s="8" t="str">
        <f ca="1">IFERROR(__xludf.DUMMYFUNCTION("""COMPUTED_VALUE"""),"Fall")</f>
        <v>Fall</v>
      </c>
      <c r="P1700" s="8" t="str">
        <f ca="1">IFERROR(__xludf.DUMMYFUNCTION("""COMPUTED_VALUE"""),"Philadelphia")</f>
        <v>Philadelphia</v>
      </c>
      <c r="Q1700" s="8" t="str">
        <f ca="1">IFERROR(__xludf.DUMMYFUNCTION("""COMPUTED_VALUE"""),"PA")</f>
        <v>PA</v>
      </c>
      <c r="R1700" s="8" t="str">
        <f ca="1">IFERROR(__xludf.DUMMYFUNCTION("""COMPUTED_VALUE"""),"High")</f>
        <v>High</v>
      </c>
      <c r="S1700" s="8" t="str">
        <f ca="1">IFERROR(__xludf.DUMMYFUNCTION("""COMPUTED_VALUE"""),"Front of School")</f>
        <v>Front of School</v>
      </c>
      <c r="T1700" s="8" t="str">
        <f ca="1">IFERROR(__xludf.DUMMYFUNCTION("""COMPUTED_VALUE"""),"Outside on School Property")</f>
        <v>Outside on School Property</v>
      </c>
      <c r="U1700" s="8" t="str">
        <f ca="1">IFERROR(__xludf.DUMMYFUNCTION("""COMPUTED_VALUE"""),"Yes")</f>
        <v>Yes</v>
      </c>
      <c r="V1700" s="8" t="str">
        <f ca="1">IFERROR(__xludf.DUMMYFUNCTION("""COMPUTED_VALUE"""),"School Start")</f>
        <v>School Start</v>
      </c>
      <c r="W1700" s="11">
        <f ca="1">IFERROR(__xludf.DUMMYFUNCTION("""COMPUTED_VALUE"""),0.34375)</f>
        <v>0.34375</v>
      </c>
      <c r="X1700" s="8">
        <f ca="1">IFERROR(__xludf.DUMMYFUNCTION("""COMPUTED_VALUE"""),1)</f>
        <v>1</v>
      </c>
      <c r="Y1700" s="12" t="str">
        <f ca="1">IFERROR(__xludf.DUMMYFUNCTION("""COMPUTED_VALUE"""),"Student killed in cross fire of shooting outside of school")</f>
        <v>Student killed in cross fire of shooting outside of school</v>
      </c>
      <c r="Z1700" s="12" t="str">
        <f ca="1">IFERROR(__xludf.DUMMYFUNCTION("""COMPUTED_VALUE"""),"17YOF student was shot (crossfire) outside of school during a shoot out between 2 unknown shooters. Two different caliber of rounds were found. Student was taken to nurses office. No suspects identified.")</f>
        <v>17YOF student was shot (crossfire) outside of school during a shoot out between 2 unknown shooters. Two different caliber of rounds were found. Student was taken to nurses office. No suspects identified.</v>
      </c>
      <c r="AA1700" s="8" t="str">
        <f ca="1">IFERROR(__xludf.DUMMYFUNCTION("""COMPUTED_VALUE"""),"Escalation of Dispute")</f>
        <v>Escalation of Dispute</v>
      </c>
      <c r="AB1700" s="8"/>
      <c r="AC1700" s="8" t="str">
        <f ca="1">IFERROR(__xludf.DUMMYFUNCTION("""COMPUTED_VALUE"""),"Yes")</f>
        <v>Yes</v>
      </c>
      <c r="AD1700" s="8" t="str">
        <f ca="1">IFERROR(__xludf.DUMMYFUNCTION("""COMPUTED_VALUE"""),"Both")</f>
        <v>Both</v>
      </c>
      <c r="AE1700" s="8" t="str">
        <f ca="1">IFERROR(__xludf.DUMMYFUNCTION("""COMPUTED_VALUE"""),"No")</f>
        <v>No</v>
      </c>
      <c r="AF1700" s="8"/>
      <c r="AG1700" s="8" t="str">
        <f ca="1">IFERROR(__xludf.DUMMYFUNCTION("""COMPUTED_VALUE"""),"No")</f>
        <v>No</v>
      </c>
      <c r="AH1700" s="8" t="str">
        <f ca="1">IFERROR(__xludf.DUMMYFUNCTION("""COMPUTED_VALUE"""),"No")</f>
        <v>No</v>
      </c>
      <c r="AI1700" s="8" t="str">
        <f ca="1">IFERROR(__xludf.DUMMYFUNCTION("""COMPUTED_VALUE"""),"No")</f>
        <v>No</v>
      </c>
      <c r="AJ1700" s="8" t="str">
        <f ca="1">IFERROR(__xludf.DUMMYFUNCTION("""COMPUTED_VALUE"""),"No")</f>
        <v>No</v>
      </c>
      <c r="AK1700" s="8" t="str">
        <f ca="1">IFERROR(__xludf.DUMMYFUNCTION("""COMPUTED_VALUE"""),"No")</f>
        <v>No</v>
      </c>
      <c r="AL1700" s="8"/>
      <c r="AM1700" s="8" t="str">
        <f ca="1">IFERROR(__xludf.DUMMYFUNCTION("""COMPUTED_VALUE"""),"No")</f>
        <v>No</v>
      </c>
      <c r="AN1700" s="8"/>
      <c r="AO1700" s="8" t="str">
        <f ca="1">IFERROR(__xludf.DUMMYFUNCTION("""COMPUTED_VALUE"""),"No")</f>
        <v>No</v>
      </c>
      <c r="AP1700" s="8"/>
      <c r="AQ1700" s="8" t="str">
        <f ca="1">IFERROR(__xludf.DUMMYFUNCTION("""COMPUTED_VALUE"""),"Unknown")</f>
        <v>Unknown</v>
      </c>
      <c r="AR1700" s="8" t="str">
        <f ca="1">IFERROR(__xludf.DUMMYFUNCTION("""COMPUTED_VALUE"""),"NA")</f>
        <v>NA</v>
      </c>
      <c r="AS1700" s="8" t="str">
        <f ca="1">IFERROR(__xludf.DUMMYFUNCTION("""COMPUTED_VALUE"""),"&gt;10")</f>
        <v>&gt;10</v>
      </c>
      <c r="AT1700" s="8"/>
      <c r="AU1700" s="8">
        <f ca="1">IFERROR(__xludf.DUMMYFUNCTION("""COMPUTED_VALUE"""),40.037155)</f>
        <v>40.037154999999998</v>
      </c>
      <c r="AV1700" s="8">
        <f ca="1">IFERROR(__xludf.DUMMYFUNCTION("""COMPUTED_VALUE"""),-75.150288)</f>
        <v>-75.150288000000003</v>
      </c>
      <c r="AW1700" s="8"/>
      <c r="AX1700" s="8">
        <f ca="1">IFERROR(__xludf.DUMMYFUNCTION("""COMPUTED_VALUE"""),19141)</f>
        <v>19141</v>
      </c>
    </row>
    <row r="1701" spans="1:50" ht="60" x14ac:dyDescent="0.2">
      <c r="A1701" s="8" t="str">
        <f ca="1">IFERROR(__xludf.DUMMYFUNCTION("""COMPUTED_VALUE"""),"20180924NCLAC")</f>
        <v>20180924NCLAC</v>
      </c>
      <c r="B1701" s="8">
        <f ca="1">IFERROR(__xludf.DUMMYFUNCTION("""COMPUTED_VALUE"""),9)</f>
        <v>9</v>
      </c>
      <c r="C1701" s="8">
        <f ca="1">IFERROR(__xludf.DUMMYFUNCTION("""COMPUTED_VALUE"""),24)</f>
        <v>24</v>
      </c>
      <c r="D1701" s="8">
        <f ca="1">IFERROR(__xludf.DUMMYFUNCTION("""COMPUTED_VALUE"""),2018)</f>
        <v>2018</v>
      </c>
      <c r="E1701" s="9">
        <f ca="1">IFERROR(__xludf.DUMMYFUNCTION("""COMPUTED_VALUE"""),43367)</f>
        <v>43367</v>
      </c>
      <c r="F1701" s="8" t="str">
        <f ca="1">IFERROR(__xludf.DUMMYFUNCTION("""COMPUTED_VALUE"""),"Lawrence Orr Elementary School")</f>
        <v>Lawrence Orr Elementary School</v>
      </c>
      <c r="G1701" s="8">
        <f ca="1">IFERROR(__xludf.DUMMYFUNCTION("""COMPUTED_VALUE"""),0)</f>
        <v>0</v>
      </c>
      <c r="H1701" s="8">
        <f ca="1">IFERROR(__xludf.DUMMYFUNCTION("""COMPUTED_VALUE"""),0)</f>
        <v>0</v>
      </c>
      <c r="I1701" s="8">
        <f ca="1">IFERROR(__xludf.DUMMYFUNCTION("""COMPUTED_VALUE"""),0)</f>
        <v>0</v>
      </c>
      <c r="J1701" s="8">
        <f ca="1">IFERROR(__xludf.DUMMYFUNCTION("""COMPUTED_VALUE"""),0)</f>
        <v>0</v>
      </c>
      <c r="K1701" s="8" t="str">
        <f ca="1">IFERROR(__xludf.DUMMYFUNCTION("""COMPUTED_VALUE"""),"https://www.wsoctv.com/news/local/gunman-opens-fire-outside-charlotte-elementary-school-as-children-dropped-off/840461632 https://myfox8.com/2018/09/24/suspect-opens-fire-at-charlotte-elementary-school/")</f>
        <v>https://www.wsoctv.com/news/local/gunman-opens-fire-outside-charlotte-elementary-school-as-children-dropped-off/840461632 https://myfox8.com/2018/09/24/suspect-opens-fire-at-charlotte-elementary-school/</v>
      </c>
      <c r="L1701" s="8"/>
      <c r="M1701" s="8"/>
      <c r="N1701" s="8">
        <f ca="1">IFERROR(__xludf.DUMMYFUNCTION("""COMPUTED_VALUE"""),3)</f>
        <v>3</v>
      </c>
      <c r="O1701" s="8" t="str">
        <f ca="1">IFERROR(__xludf.DUMMYFUNCTION("""COMPUTED_VALUE"""),"Fall")</f>
        <v>Fall</v>
      </c>
      <c r="P1701" s="8" t="str">
        <f ca="1">IFERROR(__xludf.DUMMYFUNCTION("""COMPUTED_VALUE"""),"Charlotte")</f>
        <v>Charlotte</v>
      </c>
      <c r="Q1701" s="8" t="str">
        <f ca="1">IFERROR(__xludf.DUMMYFUNCTION("""COMPUTED_VALUE"""),"NC")</f>
        <v>NC</v>
      </c>
      <c r="R1701" s="8" t="str">
        <f ca="1">IFERROR(__xludf.DUMMYFUNCTION("""COMPUTED_VALUE"""),"Elementary")</f>
        <v>Elementary</v>
      </c>
      <c r="S1701" s="8" t="str">
        <f ca="1">IFERROR(__xludf.DUMMYFUNCTION("""COMPUTED_VALUE"""),"Parking Lot")</f>
        <v>Parking Lot</v>
      </c>
      <c r="T1701" s="8" t="str">
        <f ca="1">IFERROR(__xludf.DUMMYFUNCTION("""COMPUTED_VALUE"""),"Outside on School Property")</f>
        <v>Outside on School Property</v>
      </c>
      <c r="U1701" s="8" t="str">
        <f ca="1">IFERROR(__xludf.DUMMYFUNCTION("""COMPUTED_VALUE"""),"Yes")</f>
        <v>Yes</v>
      </c>
      <c r="V1701" s="8" t="str">
        <f ca="1">IFERROR(__xludf.DUMMYFUNCTION("""COMPUTED_VALUE"""),"School Start")</f>
        <v>School Start</v>
      </c>
      <c r="W1701" s="11">
        <f ca="1">IFERROR(__xludf.DUMMYFUNCTION("""COMPUTED_VALUE"""),0.375)</f>
        <v>0.375</v>
      </c>
      <c r="X1701" s="8">
        <f ca="1">IFERROR(__xludf.DUMMYFUNCTION("""COMPUTED_VALUE"""),1)</f>
        <v>1</v>
      </c>
      <c r="Y1701" s="12" t="str">
        <f ca="1">IFERROR(__xludf.DUMMYFUNCTION("""COMPUTED_VALUE"""),"Multiple shots fired at vehicle after child was dropped off")</f>
        <v>Multiple shots fired at vehicle after child was dropped off</v>
      </c>
      <c r="Z1701" s="12" t="str">
        <f ca="1">IFERROR(__xludf.DUMMYFUNCTION("""COMPUTED_VALUE"""),"Unknown shooter fired multiple shots at vehicle in the school parking lot after child was dropped off. All of the shots missed. School was locked down. No injuries. Shooter fled. Police said the shooting was targeted.")</f>
        <v>Unknown shooter fired multiple shots at vehicle in the school parking lot after child was dropped off. All of the shots missed. School was locked down. No injuries. Shooter fled. Police said the shooting was targeted.</v>
      </c>
      <c r="AA1701" s="8" t="str">
        <f ca="1">IFERROR(__xludf.DUMMYFUNCTION("""COMPUTED_VALUE"""),"Escalation of Dispute")</f>
        <v>Escalation of Dispute</v>
      </c>
      <c r="AB1701" s="8"/>
      <c r="AC1701" s="8" t="str">
        <f ca="1">IFERROR(__xludf.DUMMYFUNCTION("""COMPUTED_VALUE"""),"Yes")</f>
        <v>Yes</v>
      </c>
      <c r="AD1701" s="8" t="str">
        <f ca="1">IFERROR(__xludf.DUMMYFUNCTION("""COMPUTED_VALUE"""),"Victims Targeted")</f>
        <v>Victims Targeted</v>
      </c>
      <c r="AE1701" s="8" t="str">
        <f ca="1">IFERROR(__xludf.DUMMYFUNCTION("""COMPUTED_VALUE"""),"No")</f>
        <v>No</v>
      </c>
      <c r="AF1701" s="8"/>
      <c r="AG1701" s="8" t="str">
        <f ca="1">IFERROR(__xludf.DUMMYFUNCTION("""COMPUTED_VALUE"""),"No")</f>
        <v>No</v>
      </c>
      <c r="AH1701" s="8" t="str">
        <f ca="1">IFERROR(__xludf.DUMMYFUNCTION("""COMPUTED_VALUE"""),"No")</f>
        <v>No</v>
      </c>
      <c r="AI1701" s="8" t="str">
        <f ca="1">IFERROR(__xludf.DUMMYFUNCTION("""COMPUTED_VALUE"""),"No")</f>
        <v>No</v>
      </c>
      <c r="AJ1701" s="8" t="str">
        <f ca="1">IFERROR(__xludf.DUMMYFUNCTION("""COMPUTED_VALUE"""),"No")</f>
        <v>No</v>
      </c>
      <c r="AK1701" s="8"/>
      <c r="AL1701" s="8"/>
      <c r="AM1701" s="8" t="str">
        <f ca="1">IFERROR(__xludf.DUMMYFUNCTION("""COMPUTED_VALUE"""),"No")</f>
        <v>No</v>
      </c>
      <c r="AN1701" s="8"/>
      <c r="AO1701" s="8" t="str">
        <f ca="1">IFERROR(__xludf.DUMMYFUNCTION("""COMPUTED_VALUE"""),"No")</f>
        <v>No</v>
      </c>
      <c r="AP1701" s="8"/>
      <c r="AQ1701" s="8" t="str">
        <f ca="1">IFERROR(__xludf.DUMMYFUNCTION("""COMPUTED_VALUE"""),"Unknown")</f>
        <v>Unknown</v>
      </c>
      <c r="AR1701" s="8" t="str">
        <f ca="1">IFERROR(__xludf.DUMMYFUNCTION("""COMPUTED_VALUE"""),"NA")</f>
        <v>NA</v>
      </c>
      <c r="AS1701" s="8" t="str">
        <f ca="1">IFERROR(__xludf.DUMMYFUNCTION("""COMPUTED_VALUE"""),"&lt;10")</f>
        <v>&lt;10</v>
      </c>
      <c r="AT1701" s="8"/>
      <c r="AU1701" s="8">
        <f ca="1">IFERROR(__xludf.DUMMYFUNCTION("""COMPUTED_VALUE"""),35.226031)</f>
        <v>35.226030999999999</v>
      </c>
      <c r="AV1701" s="8">
        <f ca="1">IFERROR(__xludf.DUMMYFUNCTION("""COMPUTED_VALUE"""),-80.744086)</f>
        <v>-80.744085999999996</v>
      </c>
      <c r="AW1701" s="8"/>
      <c r="AX1701" s="8">
        <f ca="1">IFERROR(__xludf.DUMMYFUNCTION("""COMPUTED_VALUE"""),28215)</f>
        <v>28215</v>
      </c>
    </row>
    <row r="1702" spans="1:50" ht="45" x14ac:dyDescent="0.2">
      <c r="A1702" s="8" t="str">
        <f ca="1">IFERROR(__xludf.DUMMYFUNCTION("""COMPUTED_VALUE"""),"20180924GAAPB")</f>
        <v>20180924GAAPB</v>
      </c>
      <c r="B1702" s="8">
        <f ca="1">IFERROR(__xludf.DUMMYFUNCTION("""COMPUTED_VALUE"""),9)</f>
        <v>9</v>
      </c>
      <c r="C1702" s="8">
        <f ca="1">IFERROR(__xludf.DUMMYFUNCTION("""COMPUTED_VALUE"""),24)</f>
        <v>24</v>
      </c>
      <c r="D1702" s="8">
        <f ca="1">IFERROR(__xludf.DUMMYFUNCTION("""COMPUTED_VALUE"""),2018)</f>
        <v>2018</v>
      </c>
      <c r="E1702" s="9">
        <f ca="1">IFERROR(__xludf.DUMMYFUNCTION("""COMPUTED_VALUE"""),43367)</f>
        <v>43367</v>
      </c>
      <c r="F1702" s="8" t="str">
        <f ca="1">IFERROR(__xludf.DUMMYFUNCTION("""COMPUTED_VALUE"""),"Appling County High School")</f>
        <v>Appling County High School</v>
      </c>
      <c r="G1702" s="8">
        <f ca="1">IFERROR(__xludf.DUMMYFUNCTION("""COMPUTED_VALUE"""),0)</f>
        <v>0</v>
      </c>
      <c r="H1702" s="8">
        <f ca="1">IFERROR(__xludf.DUMMYFUNCTION("""COMPUTED_VALUE"""),0)</f>
        <v>0</v>
      </c>
      <c r="I1702" s="8">
        <f ca="1">IFERROR(__xludf.DUMMYFUNCTION("""COMPUTED_VALUE"""),0)</f>
        <v>0</v>
      </c>
      <c r="J1702" s="8">
        <f ca="1">IFERROR(__xludf.DUMMYFUNCTION("""COMPUTED_VALUE"""),1)</f>
        <v>1</v>
      </c>
      <c r="K1702" s="10" t="str">
        <f ca="1">IFERROR(__xludf.DUMMYFUNCTION("""COMPUTED_VALUE"""),"https://www.wsav.com/news/local-news/update-student-found-shot-at-appling-co-hs-declared-dead-coroner-says/")</f>
        <v>https://www.wsav.com/news/local-news/update-student-found-shot-at-appling-co-hs-declared-dead-coroner-says/</v>
      </c>
      <c r="L1702" s="8"/>
      <c r="M1702" s="8"/>
      <c r="N1702" s="8">
        <f ca="1">IFERROR(__xludf.DUMMYFUNCTION("""COMPUTED_VALUE"""),4)</f>
        <v>4</v>
      </c>
      <c r="O1702" s="8" t="str">
        <f ca="1">IFERROR(__xludf.DUMMYFUNCTION("""COMPUTED_VALUE"""),"Fall")</f>
        <v>Fall</v>
      </c>
      <c r="P1702" s="8" t="str">
        <f ca="1">IFERROR(__xludf.DUMMYFUNCTION("""COMPUTED_VALUE"""),"Baxley")</f>
        <v>Baxley</v>
      </c>
      <c r="Q1702" s="8" t="str">
        <f ca="1">IFERROR(__xludf.DUMMYFUNCTION("""COMPUTED_VALUE"""),"GA")</f>
        <v>GA</v>
      </c>
      <c r="R1702" s="8" t="str">
        <f ca="1">IFERROR(__xludf.DUMMYFUNCTION("""COMPUTED_VALUE"""),"High")</f>
        <v>High</v>
      </c>
      <c r="S1702" s="8" t="str">
        <f ca="1">IFERROR(__xludf.DUMMYFUNCTION("""COMPUTED_VALUE"""),"Bathroom")</f>
        <v>Bathroom</v>
      </c>
      <c r="T1702" s="8" t="str">
        <f ca="1">IFERROR(__xludf.DUMMYFUNCTION("""COMPUTED_VALUE"""),"Inside School Building")</f>
        <v>Inside School Building</v>
      </c>
      <c r="U1702" s="8" t="str">
        <f ca="1">IFERROR(__xludf.DUMMYFUNCTION("""COMPUTED_VALUE"""),"Yes")</f>
        <v>Yes</v>
      </c>
      <c r="V1702" s="8" t="str">
        <f ca="1">IFERROR(__xludf.DUMMYFUNCTION("""COMPUTED_VALUE"""),"Morning Classes")</f>
        <v>Morning Classes</v>
      </c>
      <c r="W1702" s="8"/>
      <c r="X1702" s="8">
        <f ca="1">IFERROR(__xludf.DUMMYFUNCTION("""COMPUTED_VALUE"""),1)</f>
        <v>1</v>
      </c>
      <c r="Y1702" s="12" t="str">
        <f ca="1">IFERROR(__xludf.DUMMYFUNCTION("""COMPUTED_VALUE"""),"Student commit suicide in bathroom")</f>
        <v>Student commit suicide in bathroom</v>
      </c>
      <c r="Z1702" s="12" t="str">
        <f ca="1">IFERROR(__xludf.DUMMYFUNCTION("""COMPUTED_VALUE"""),"Student commit suicide in the school bathroom. Body was found later, nobody reported hearing the gunshot. School was locked down then dismissed.")</f>
        <v>Student commit suicide in the school bathroom. Body was found later, nobody reported hearing the gunshot. School was locked down then dismissed.</v>
      </c>
      <c r="AA1702" s="8" t="str">
        <f ca="1">IFERROR(__xludf.DUMMYFUNCTION("""COMPUTED_VALUE"""),"Suicide/Attempted")</f>
        <v>Suicide/Attempted</v>
      </c>
      <c r="AB1702" s="8"/>
      <c r="AC1702" s="8" t="str">
        <f ca="1">IFERROR(__xludf.DUMMYFUNCTION("""COMPUTED_VALUE"""),"Yes")</f>
        <v>Yes</v>
      </c>
      <c r="AD1702" s="8" t="str">
        <f ca="1">IFERROR(__xludf.DUMMYFUNCTION("""COMPUTED_VALUE"""),"Victims Targeted")</f>
        <v>Victims Targeted</v>
      </c>
      <c r="AE1702" s="8" t="str">
        <f ca="1">IFERROR(__xludf.DUMMYFUNCTION("""COMPUTED_VALUE"""),"No")</f>
        <v>No</v>
      </c>
      <c r="AF1702" s="8"/>
      <c r="AG1702" s="8" t="str">
        <f ca="1">IFERROR(__xludf.DUMMYFUNCTION("""COMPUTED_VALUE"""),"No")</f>
        <v>No</v>
      </c>
      <c r="AH1702" s="8" t="str">
        <f ca="1">IFERROR(__xludf.DUMMYFUNCTION("""COMPUTED_VALUE"""),"No")</f>
        <v>No</v>
      </c>
      <c r="AI1702" s="8" t="str">
        <f ca="1">IFERROR(__xludf.DUMMYFUNCTION("""COMPUTED_VALUE"""),"No")</f>
        <v>No</v>
      </c>
      <c r="AJ1702" s="8"/>
      <c r="AK1702" s="8" t="str">
        <f ca="1">IFERROR(__xludf.DUMMYFUNCTION("""COMPUTED_VALUE"""),"No")</f>
        <v>No</v>
      </c>
      <c r="AL1702" s="8" t="str">
        <f ca="1">IFERROR(__xludf.DUMMYFUNCTION("""COMPUTED_VALUE"""),"No")</f>
        <v>No</v>
      </c>
      <c r="AM1702" s="8" t="str">
        <f ca="1">IFERROR(__xludf.DUMMYFUNCTION("""COMPUTED_VALUE"""),"No")</f>
        <v>No</v>
      </c>
      <c r="AN1702" s="8"/>
      <c r="AO1702" s="8" t="str">
        <f ca="1">IFERROR(__xludf.DUMMYFUNCTION("""COMPUTED_VALUE"""),"No")</f>
        <v>No</v>
      </c>
      <c r="AP1702" s="8"/>
      <c r="AQ1702" s="8" t="str">
        <f ca="1">IFERROR(__xludf.DUMMYFUNCTION("""COMPUTED_VALUE"""),"Unknown")</f>
        <v>Unknown</v>
      </c>
      <c r="AR1702" s="8" t="str">
        <f ca="1">IFERROR(__xludf.DUMMYFUNCTION("""COMPUTED_VALUE"""),"NA")</f>
        <v>NA</v>
      </c>
      <c r="AS1702" s="8">
        <f ca="1">IFERROR(__xludf.DUMMYFUNCTION("""COMPUTED_VALUE"""),1)</f>
        <v>1</v>
      </c>
      <c r="AT1702" s="8" t="str">
        <f ca="1">IFERROR(__xludf.DUMMYFUNCTION("""COMPUTED_VALUE"""),"Yes")</f>
        <v>Yes</v>
      </c>
      <c r="AU1702" s="8">
        <f ca="1">IFERROR(__xludf.DUMMYFUNCTION("""COMPUTED_VALUE"""),31.757583)</f>
        <v>31.757583</v>
      </c>
      <c r="AV1702" s="8">
        <f ca="1">IFERROR(__xludf.DUMMYFUNCTION("""COMPUTED_VALUE"""),-82.354503)</f>
        <v>-82.354502999999994</v>
      </c>
      <c r="AW1702" s="8"/>
      <c r="AX1702" s="8">
        <f ca="1">IFERROR(__xludf.DUMMYFUNCTION("""COMPUTED_VALUE"""),31515)</f>
        <v>31515</v>
      </c>
    </row>
    <row r="1703" spans="1:50" ht="75" x14ac:dyDescent="0.2">
      <c r="A1703" s="8" t="str">
        <f ca="1">IFERROR(__xludf.DUMMYFUNCTION("""COMPUTED_VALUE"""),"20180920CAPOP")</f>
        <v>20180920CAPOP</v>
      </c>
      <c r="B1703" s="8">
        <f ca="1">IFERROR(__xludf.DUMMYFUNCTION("""COMPUTED_VALUE"""),9)</f>
        <v>9</v>
      </c>
      <c r="C1703" s="8">
        <f ca="1">IFERROR(__xludf.DUMMYFUNCTION("""COMPUTED_VALUE"""),20)</f>
        <v>20</v>
      </c>
      <c r="D1703" s="8">
        <f ca="1">IFERROR(__xludf.DUMMYFUNCTION("""COMPUTED_VALUE"""),2018)</f>
        <v>2018</v>
      </c>
      <c r="E1703" s="9">
        <f ca="1">IFERROR(__xludf.DUMMYFUNCTION("""COMPUTED_VALUE"""),43363)</f>
        <v>43363</v>
      </c>
      <c r="F1703" s="8" t="str">
        <f ca="1">IFERROR(__xludf.DUMMYFUNCTION("""COMPUTED_VALUE"""),"Pomona High School")</f>
        <v>Pomona High School</v>
      </c>
      <c r="G1703" s="8">
        <f ca="1">IFERROR(__xludf.DUMMYFUNCTION("""COMPUTED_VALUE"""),0)</f>
        <v>0</v>
      </c>
      <c r="H1703" s="8">
        <f ca="1">IFERROR(__xludf.DUMMYFUNCTION("""COMPUTED_VALUE"""),0)</f>
        <v>0</v>
      </c>
      <c r="I1703" s="8">
        <f ca="1">IFERROR(__xludf.DUMMYFUNCTION("""COMPUTED_VALUE"""),0)</f>
        <v>0</v>
      </c>
      <c r="J1703" s="8">
        <f ca="1">IFERROR(__xludf.DUMMYFUNCTION("""COMPUTED_VALUE"""),1)</f>
        <v>1</v>
      </c>
      <c r="K1703" s="10" t="str">
        <f ca="1">IFERROR(__xludf.DUMMYFUNCTION("""COMPUTED_VALUE"""),"https://www.dailybulletin.com/2018/09/20/body-found-at-pomona-high-school/")</f>
        <v>https://www.dailybulletin.com/2018/09/20/body-found-at-pomona-high-school/</v>
      </c>
      <c r="L1703" s="8"/>
      <c r="M1703" s="8"/>
      <c r="N1703" s="8">
        <f ca="1">IFERROR(__xludf.DUMMYFUNCTION("""COMPUTED_VALUE"""),4)</f>
        <v>4</v>
      </c>
      <c r="O1703" s="8" t="str">
        <f ca="1">IFERROR(__xludf.DUMMYFUNCTION("""COMPUTED_VALUE"""),"Fall")</f>
        <v>Fall</v>
      </c>
      <c r="P1703" s="8" t="str">
        <f ca="1">IFERROR(__xludf.DUMMYFUNCTION("""COMPUTED_VALUE"""),"Pomona")</f>
        <v>Pomona</v>
      </c>
      <c r="Q1703" s="8" t="str">
        <f ca="1">IFERROR(__xludf.DUMMYFUNCTION("""COMPUTED_VALUE"""),"CA")</f>
        <v>CA</v>
      </c>
      <c r="R1703" s="8" t="str">
        <f ca="1">IFERROR(__xludf.DUMMYFUNCTION("""COMPUTED_VALUE"""),"High")</f>
        <v>High</v>
      </c>
      <c r="S1703" s="8" t="str">
        <f ca="1">IFERROR(__xludf.DUMMYFUNCTION("""COMPUTED_VALUE"""),"Football Field/Track")</f>
        <v>Football Field/Track</v>
      </c>
      <c r="T1703" s="8" t="str">
        <f ca="1">IFERROR(__xludf.DUMMYFUNCTION("""COMPUTED_VALUE"""),"Outside on School Property")</f>
        <v>Outside on School Property</v>
      </c>
      <c r="U1703" s="8" t="str">
        <f ca="1">IFERROR(__xludf.DUMMYFUNCTION("""COMPUTED_VALUE"""),"No")</f>
        <v>No</v>
      </c>
      <c r="V1703" s="8" t="str">
        <f ca="1">IFERROR(__xludf.DUMMYFUNCTION("""COMPUTED_VALUE"""),"Before School")</f>
        <v>Before School</v>
      </c>
      <c r="W1703" s="8"/>
      <c r="X1703" s="8">
        <f ca="1">IFERROR(__xludf.DUMMYFUNCTION("""COMPUTED_VALUE"""),1)</f>
        <v>1</v>
      </c>
      <c r="Y1703" s="12" t="str">
        <f ca="1">IFERROR(__xludf.DUMMYFUNCTION("""COMPUTED_VALUE"""),"Adult make commit suicide on the school campus before classes started")</f>
        <v>Adult make commit suicide on the school campus before classes started</v>
      </c>
      <c r="Z1703" s="12" t="str">
        <f ca="1">IFERROR(__xludf.DUMMYFUNCTION("""COMPUTED_VALUE"""),"Adult male's body was found at 9AM near the bleachers on the campus. Police believe the suicide had occurred prior to classes starting that day.")</f>
        <v>Adult male's body was found at 9AM near the bleachers on the campus. Police believe the suicide had occurred prior to classes starting that day.</v>
      </c>
      <c r="AA1703" s="8" t="str">
        <f ca="1">IFERROR(__xludf.DUMMYFUNCTION("""COMPUTED_VALUE"""),"Suicide/Attempted")</f>
        <v>Suicide/Attempted</v>
      </c>
      <c r="AB1703" s="8"/>
      <c r="AC1703" s="8" t="str">
        <f ca="1">IFERROR(__xludf.DUMMYFUNCTION("""COMPUTED_VALUE"""),"No")</f>
        <v>No</v>
      </c>
      <c r="AD1703" s="8" t="str">
        <f ca="1">IFERROR(__xludf.DUMMYFUNCTION("""COMPUTED_VALUE"""),"Victims Targeted")</f>
        <v>Victims Targeted</v>
      </c>
      <c r="AE1703" s="8" t="str">
        <f ca="1">IFERROR(__xludf.DUMMYFUNCTION("""COMPUTED_VALUE"""),"No")</f>
        <v>No</v>
      </c>
      <c r="AF1703" s="8"/>
      <c r="AG1703" s="8" t="str">
        <f ca="1">IFERROR(__xludf.DUMMYFUNCTION("""COMPUTED_VALUE"""),"No")</f>
        <v>No</v>
      </c>
      <c r="AH1703" s="8" t="str">
        <f ca="1">IFERROR(__xludf.DUMMYFUNCTION("""COMPUTED_VALUE"""),"No")</f>
        <v>No</v>
      </c>
      <c r="AI1703" s="8" t="str">
        <f ca="1">IFERROR(__xludf.DUMMYFUNCTION("""COMPUTED_VALUE"""),"No")</f>
        <v>No</v>
      </c>
      <c r="AJ1703" s="8" t="str">
        <f ca="1">IFERROR(__xludf.DUMMYFUNCTION("""COMPUTED_VALUE"""),"No")</f>
        <v>No</v>
      </c>
      <c r="AK1703" s="8" t="str">
        <f ca="1">IFERROR(__xludf.DUMMYFUNCTION("""COMPUTED_VALUE"""),"No")</f>
        <v>No</v>
      </c>
      <c r="AL1703" s="8" t="str">
        <f ca="1">IFERROR(__xludf.DUMMYFUNCTION("""COMPUTED_VALUE"""),"No")</f>
        <v>No</v>
      </c>
      <c r="AM1703" s="8" t="str">
        <f ca="1">IFERROR(__xludf.DUMMYFUNCTION("""COMPUTED_VALUE"""),"No")</f>
        <v>No</v>
      </c>
      <c r="AN1703" s="8"/>
      <c r="AO1703" s="8" t="str">
        <f ca="1">IFERROR(__xludf.DUMMYFUNCTION("""COMPUTED_VALUE"""),"No")</f>
        <v>No</v>
      </c>
      <c r="AP1703" s="8"/>
      <c r="AQ1703" s="8" t="str">
        <f ca="1">IFERROR(__xludf.DUMMYFUNCTION("""COMPUTED_VALUE"""),"Unknown")</f>
        <v>Unknown</v>
      </c>
      <c r="AR1703" s="8" t="str">
        <f ca="1">IFERROR(__xludf.DUMMYFUNCTION("""COMPUTED_VALUE"""),"NA")</f>
        <v>NA</v>
      </c>
      <c r="AS1703" s="8">
        <f ca="1">IFERROR(__xludf.DUMMYFUNCTION("""COMPUTED_VALUE"""),1)</f>
        <v>1</v>
      </c>
      <c r="AT1703" s="8" t="str">
        <f ca="1">IFERROR(__xludf.DUMMYFUNCTION("""COMPUTED_VALUE"""),"No")</f>
        <v>No</v>
      </c>
      <c r="AU1703" s="8">
        <f ca="1">IFERROR(__xludf.DUMMYFUNCTION("""COMPUTED_VALUE"""),34.086358)</f>
        <v>34.086357999999997</v>
      </c>
      <c r="AV1703" s="8">
        <f ca="1">IFERROR(__xludf.DUMMYFUNCTION("""COMPUTED_VALUE"""),-117.740928)</f>
        <v>-117.740928</v>
      </c>
      <c r="AW1703" s="8"/>
      <c r="AX1703" s="8">
        <f ca="1">IFERROR(__xludf.DUMMYFUNCTION("""COMPUTED_VALUE"""),91767)</f>
        <v>91767</v>
      </c>
    </row>
    <row r="1704" spans="1:50" ht="90" x14ac:dyDescent="0.2">
      <c r="A1704" s="8" t="str">
        <f ca="1">IFERROR(__xludf.DUMMYFUNCTION("""COMPUTED_VALUE"""),"20180920CACHL")</f>
        <v>20180920CACHL</v>
      </c>
      <c r="B1704" s="8">
        <f ca="1">IFERROR(__xludf.DUMMYFUNCTION("""COMPUTED_VALUE"""),9)</f>
        <v>9</v>
      </c>
      <c r="C1704" s="8">
        <f ca="1">IFERROR(__xludf.DUMMYFUNCTION("""COMPUTED_VALUE"""),20)</f>
        <v>20</v>
      </c>
      <c r="D1704" s="8">
        <f ca="1">IFERROR(__xludf.DUMMYFUNCTION("""COMPUTED_VALUE"""),2018)</f>
        <v>2018</v>
      </c>
      <c r="E1704" s="9">
        <f ca="1">IFERROR(__xludf.DUMMYFUNCTION("""COMPUTED_VALUE"""),43363)</f>
        <v>43363</v>
      </c>
      <c r="F1704" s="8" t="str">
        <f ca="1">IFERROR(__xludf.DUMMYFUNCTION("""COMPUTED_VALUE"""),"CHAMPS Charter High School")</f>
        <v>CHAMPS Charter High School</v>
      </c>
      <c r="G1704" s="8">
        <f ca="1">IFERROR(__xludf.DUMMYFUNCTION("""COMPUTED_VALUE"""),0)</f>
        <v>0</v>
      </c>
      <c r="H1704" s="8">
        <f ca="1">IFERROR(__xludf.DUMMYFUNCTION("""COMPUTED_VALUE"""),2)</f>
        <v>2</v>
      </c>
      <c r="I1704" s="8">
        <f ca="1">IFERROR(__xludf.DUMMYFUNCTION("""COMPUTED_VALUE"""),2)</f>
        <v>2</v>
      </c>
      <c r="J1704" s="8">
        <f ca="1">IFERROR(__xludf.DUMMYFUNCTION("""COMPUTED_VALUE"""),0)</f>
        <v>0</v>
      </c>
      <c r="K1704" s="8" t="str">
        <f ca="1">IFERROR(__xludf.DUMMYFUNCTION("""COMPUTED_VALUE"""),"http://www.latimes.com/local/lanow/la-me-ln-van-nuys-shooting-20180920-story.html https://losangeles.cbslocal.com/2018/09/20/charter-school-shooting/ https://abc30.com/shooting-reported-near-socal-charter-school/4295763/")</f>
        <v>http://www.latimes.com/local/lanow/la-me-ln-van-nuys-shooting-20180920-story.html https://losangeles.cbslocal.com/2018/09/20/charter-school-shooting/ https://abc30.com/shooting-reported-near-socal-charter-school/4295763/</v>
      </c>
      <c r="L1704" s="8"/>
      <c r="M1704" s="8"/>
      <c r="N1704" s="8">
        <f ca="1">IFERROR(__xludf.DUMMYFUNCTION("""COMPUTED_VALUE"""),3)</f>
        <v>3</v>
      </c>
      <c r="O1704" s="8" t="str">
        <f ca="1">IFERROR(__xludf.DUMMYFUNCTION("""COMPUTED_VALUE"""),"Fall")</f>
        <v>Fall</v>
      </c>
      <c r="P1704" s="8" t="str">
        <f ca="1">IFERROR(__xludf.DUMMYFUNCTION("""COMPUTED_VALUE"""),"Los Angeles")</f>
        <v>Los Angeles</v>
      </c>
      <c r="Q1704" s="8" t="str">
        <f ca="1">IFERROR(__xludf.DUMMYFUNCTION("""COMPUTED_VALUE"""),"CA")</f>
        <v>CA</v>
      </c>
      <c r="R1704" s="8" t="str">
        <f ca="1">IFERROR(__xludf.DUMMYFUNCTION("""COMPUTED_VALUE"""),"High")</f>
        <v>High</v>
      </c>
      <c r="S1704" s="8" t="str">
        <f ca="1">IFERROR(__xludf.DUMMYFUNCTION("""COMPUTED_VALUE"""),"Off School Property")</f>
        <v>Off School Property</v>
      </c>
      <c r="T1704" s="8" t="str">
        <f ca="1">IFERROR(__xludf.DUMMYFUNCTION("""COMPUTED_VALUE"""),"Off School Property")</f>
        <v>Off School Property</v>
      </c>
      <c r="U1704" s="8" t="str">
        <f ca="1">IFERROR(__xludf.DUMMYFUNCTION("""COMPUTED_VALUE"""),"Yes")</f>
        <v>Yes</v>
      </c>
      <c r="V1704" s="8" t="str">
        <f ca="1">IFERROR(__xludf.DUMMYFUNCTION("""COMPUTED_VALUE"""),"Lunch")</f>
        <v>Lunch</v>
      </c>
      <c r="W1704" s="11">
        <f ca="1">IFERROR(__xludf.DUMMYFUNCTION("""COMPUTED_VALUE"""),0.506944444444444)</f>
        <v>0.50694444444444398</v>
      </c>
      <c r="X1704" s="8">
        <f ca="1">IFERROR(__xludf.DUMMYFUNCTION("""COMPUTED_VALUE"""),1)</f>
        <v>1</v>
      </c>
      <c r="Y1704" s="12" t="str">
        <f ca="1">IFERROR(__xludf.DUMMYFUNCTION("""COMPUTED_VALUE"""),"Shooting at fast food restaurant directly across from school, student and employee struck ran back to school")</f>
        <v>Shooting at fast food restaurant directly across from school, student and employee struck ran back to school</v>
      </c>
      <c r="Z1704" s="12" t="str">
        <f ca="1">IFERROR(__xludf.DUMMYFUNCTION("""COMPUTED_VALUE"""),"School employee and a student were stuck when shots were fired in a large group outside a fast food restaurant across the street from the school. Victims returned to the school building where they were treated by first responders. School was locked down. "&amp;"Police later arrested 18YOM and 20YOM.")</f>
        <v>School employee and a student were stuck when shots were fired in a large group outside a fast food restaurant across the street from the school. Victims returned to the school building where they were treated by first responders. School was locked down. Police later arrested 18YOM and 20YOM.</v>
      </c>
      <c r="AA1704" s="8" t="str">
        <f ca="1">IFERROR(__xludf.DUMMYFUNCTION("""COMPUTED_VALUE"""),"Escalation of Dispute")</f>
        <v>Escalation of Dispute</v>
      </c>
      <c r="AB1704" s="8"/>
      <c r="AC1704" s="8" t="str">
        <f ca="1">IFERROR(__xludf.DUMMYFUNCTION("""COMPUTED_VALUE"""),"Yes")</f>
        <v>Yes</v>
      </c>
      <c r="AD1704" s="8"/>
      <c r="AE1704" s="8" t="str">
        <f ca="1">IFERROR(__xludf.DUMMYFUNCTION("""COMPUTED_VALUE"""),"Yes")</f>
        <v>Yes</v>
      </c>
      <c r="AF1704" s="8" t="str">
        <f ca="1">IFERROR(__xludf.DUMMYFUNCTION("""COMPUTED_VALUE"""),"Two arrested")</f>
        <v>Two arrested</v>
      </c>
      <c r="AG1704" s="8" t="str">
        <f ca="1">IFERROR(__xludf.DUMMYFUNCTION("""COMPUTED_VALUE"""),"No")</f>
        <v>No</v>
      </c>
      <c r="AH1704" s="8" t="str">
        <f ca="1">IFERROR(__xludf.DUMMYFUNCTION("""COMPUTED_VALUE"""),"No")</f>
        <v>No</v>
      </c>
      <c r="AI1704" s="8" t="str">
        <f ca="1">IFERROR(__xludf.DUMMYFUNCTION("""COMPUTED_VALUE"""),"No")</f>
        <v>No</v>
      </c>
      <c r="AJ1704" s="8" t="str">
        <f ca="1">IFERROR(__xludf.DUMMYFUNCTION("""COMPUTED_VALUE"""),"No")</f>
        <v>No</v>
      </c>
      <c r="AK1704" s="8" t="str">
        <f ca="1">IFERROR(__xludf.DUMMYFUNCTION("""COMPUTED_VALUE"""),"No")</f>
        <v>No</v>
      </c>
      <c r="AL1704" s="8"/>
      <c r="AM1704" s="8" t="str">
        <f ca="1">IFERROR(__xludf.DUMMYFUNCTION("""COMPUTED_VALUE"""),"No")</f>
        <v>No</v>
      </c>
      <c r="AN1704" s="8"/>
      <c r="AO1704" s="8" t="str">
        <f ca="1">IFERROR(__xludf.DUMMYFUNCTION("""COMPUTED_VALUE"""),"No")</f>
        <v>No</v>
      </c>
      <c r="AP1704" s="8"/>
      <c r="AQ1704" s="8" t="str">
        <f ca="1">IFERROR(__xludf.DUMMYFUNCTION("""COMPUTED_VALUE"""),"Unknown")</f>
        <v>Unknown</v>
      </c>
      <c r="AR1704" s="8" t="str">
        <f ca="1">IFERROR(__xludf.DUMMYFUNCTION("""COMPUTED_VALUE"""),"NA")</f>
        <v>NA</v>
      </c>
      <c r="AS1704" s="8">
        <f ca="1">IFERROR(__xludf.DUMMYFUNCTION("""COMPUTED_VALUE"""),2)</f>
        <v>2</v>
      </c>
      <c r="AT1704" s="8"/>
      <c r="AU1704" s="8">
        <f ca="1">IFERROR(__xludf.DUMMYFUNCTION("""COMPUTED_VALUE"""),34.195138)</f>
        <v>34.195138</v>
      </c>
      <c r="AV1704" s="8">
        <f ca="1">IFERROR(__xludf.DUMMYFUNCTION("""COMPUTED_VALUE"""),-118.448027)</f>
        <v>-118.448027</v>
      </c>
      <c r="AW1704" s="8"/>
      <c r="AX1704" s="8">
        <f ca="1">IFERROR(__xludf.DUMMYFUNCTION("""COMPUTED_VALUE"""),91405)</f>
        <v>91405</v>
      </c>
    </row>
    <row r="1705" spans="1:50" ht="105" x14ac:dyDescent="0.2">
      <c r="A1705" s="8" t="str">
        <f ca="1">IFERROR(__xludf.DUMMYFUNCTION("""COMPUTED_VALUE"""),"20180917ALBLH")</f>
        <v>20180917ALBLH</v>
      </c>
      <c r="B1705" s="8">
        <f ca="1">IFERROR(__xludf.DUMMYFUNCTION("""COMPUTED_VALUE"""),9)</f>
        <v>9</v>
      </c>
      <c r="C1705" s="8">
        <f ca="1">IFERROR(__xludf.DUMMYFUNCTION("""COMPUTED_VALUE"""),17)</f>
        <v>17</v>
      </c>
      <c r="D1705" s="8">
        <f ca="1">IFERROR(__xludf.DUMMYFUNCTION("""COMPUTED_VALUE"""),2018)</f>
        <v>2018</v>
      </c>
      <c r="E1705" s="9">
        <f ca="1">IFERROR(__xludf.DUMMYFUNCTION("""COMPUTED_VALUE"""),43360)</f>
        <v>43360</v>
      </c>
      <c r="F1705" s="8" t="str">
        <f ca="1">IFERROR(__xludf.DUMMYFUNCTION("""COMPUTED_VALUE"""),"Blossomwood Elementary School")</f>
        <v>Blossomwood Elementary School</v>
      </c>
      <c r="G1705" s="8">
        <f ca="1">IFERROR(__xludf.DUMMYFUNCTION("""COMPUTED_VALUE"""),0)</f>
        <v>0</v>
      </c>
      <c r="H1705" s="8">
        <f ca="1">IFERROR(__xludf.DUMMYFUNCTION("""COMPUTED_VALUE"""),1)</f>
        <v>1</v>
      </c>
      <c r="I1705" s="8">
        <f ca="1">IFERROR(__xludf.DUMMYFUNCTION("""COMPUTED_VALUE"""),1)</f>
        <v>1</v>
      </c>
      <c r="J1705" s="8">
        <f ca="1">IFERROR(__xludf.DUMMYFUNCTION("""COMPUTED_VALUE"""),0)</f>
        <v>0</v>
      </c>
      <c r="K1705" s="8" t="str">
        <f ca="1">IFERROR(__xludf.DUMMYFUNCTION("""COMPUTED_VALUE"""),"https://www.al.com/news/huntsville/index.ssf/2018/09/police_investigating_shooting_2.html http://www.waaytv.com/content/news/Reported-shooting-at-Blossomwood-Elementary-493489481.html https://whnt.com/2018/09/17/police-investigating-incident-at-blossomwoo"&amp;"d-elementary-say-situation-is-safe/ http://www.therepublic.com/2018/09/17/us-accidental-school-shooting/")</f>
        <v>https://www.al.com/news/huntsville/index.ssf/2018/09/police_investigating_shooting_2.html http://www.waaytv.com/content/news/Reported-shooting-at-Blossomwood-Elementary-493489481.html https://whnt.com/2018/09/17/police-investigating-incident-at-blossomwood-elementary-say-situation-is-safe/ http://www.therepublic.com/2018/09/17/us-accidental-school-shooting/</v>
      </c>
      <c r="L1705" s="8"/>
      <c r="M1705" s="8"/>
      <c r="N1705" s="8">
        <f ca="1">IFERROR(__xludf.DUMMYFUNCTION("""COMPUTED_VALUE"""),4)</f>
        <v>4</v>
      </c>
      <c r="O1705" s="8" t="str">
        <f ca="1">IFERROR(__xludf.DUMMYFUNCTION("""COMPUTED_VALUE"""),"Fall")</f>
        <v>Fall</v>
      </c>
      <c r="P1705" s="8" t="str">
        <f ca="1">IFERROR(__xludf.DUMMYFUNCTION("""COMPUTED_VALUE"""),"Huntsville")</f>
        <v>Huntsville</v>
      </c>
      <c r="Q1705" s="8" t="str">
        <f ca="1">IFERROR(__xludf.DUMMYFUNCTION("""COMPUTED_VALUE"""),"AL")</f>
        <v>AL</v>
      </c>
      <c r="R1705" s="8" t="str">
        <f ca="1">IFERROR(__xludf.DUMMYFUNCTION("""COMPUTED_VALUE"""),"Elementary")</f>
        <v>Elementary</v>
      </c>
      <c r="S1705" s="8" t="str">
        <f ca="1">IFERROR(__xludf.DUMMYFUNCTION("""COMPUTED_VALUE"""),"Gym")</f>
        <v>Gym</v>
      </c>
      <c r="T1705" s="8" t="str">
        <f ca="1">IFERROR(__xludf.DUMMYFUNCTION("""COMPUTED_VALUE"""),"Inside School Building")</f>
        <v>Inside School Building</v>
      </c>
      <c r="U1705" s="8" t="str">
        <f ca="1">IFERROR(__xludf.DUMMYFUNCTION("""COMPUTED_VALUE"""),"Yes")</f>
        <v>Yes</v>
      </c>
      <c r="V1705" s="8" t="str">
        <f ca="1">IFERROR(__xludf.DUMMYFUNCTION("""COMPUTED_VALUE"""),"Morning Classes")</f>
        <v>Morning Classes</v>
      </c>
      <c r="W1705" s="11">
        <f ca="1">IFERROR(__xludf.DUMMYFUNCTION("""COMPUTED_VALUE"""),0.4375)</f>
        <v>0.4375</v>
      </c>
      <c r="X1705" s="8">
        <f ca="1">IFERROR(__xludf.DUMMYFUNCTION("""COMPUTED_VALUE"""),1)</f>
        <v>1</v>
      </c>
      <c r="Y1705" s="12" t="str">
        <f ca="1">IFERROR(__xludf.DUMMYFUNCTION("""COMPUTED_VALUE"""),"Student showing gun off in gym class, accidental discharge")</f>
        <v>Student showing gun off in gym class, accidental discharge</v>
      </c>
      <c r="Z1705" s="12" t="str">
        <f ca="1">IFERROR(__xludf.DUMMYFUNCTION("""COMPUTED_VALUE"""),"2nd grade student was showing off a gun to another student during gym class. The gun accidentally discharged striking the student in the hand. The school was locked down and alerts were sent to parents. Police located the firearm within minutes. Parents r"&amp;"ushed to the school. Police chief said the shooting was an accident and no other students were in danger.")</f>
        <v>2nd grade student was showing off a gun to another student during gym class. The gun accidentally discharged striking the student in the hand. The school was locked down and alerts were sent to parents. Police located the firearm within minutes. Parents rushed to the school. Police chief said the shooting was an accident and no other students were in danger.</v>
      </c>
      <c r="AA1705" s="8" t="str">
        <f ca="1">IFERROR(__xludf.DUMMYFUNCTION("""COMPUTED_VALUE"""),"Accidental")</f>
        <v>Accidental</v>
      </c>
      <c r="AB1705" s="8"/>
      <c r="AC1705" s="8" t="str">
        <f ca="1">IFERROR(__xludf.DUMMYFUNCTION("""COMPUTED_VALUE"""),"Yes")</f>
        <v>Yes</v>
      </c>
      <c r="AD1705" s="8" t="str">
        <f ca="1">IFERROR(__xludf.DUMMYFUNCTION("""COMPUTED_VALUE"""),"Neither")</f>
        <v>Neither</v>
      </c>
      <c r="AE1705" s="8" t="str">
        <f ca="1">IFERROR(__xludf.DUMMYFUNCTION("""COMPUTED_VALUE"""),"No")</f>
        <v>No</v>
      </c>
      <c r="AF1705" s="8"/>
      <c r="AG1705" s="8" t="str">
        <f ca="1">IFERROR(__xludf.DUMMYFUNCTION("""COMPUTED_VALUE"""),"No")</f>
        <v>No</v>
      </c>
      <c r="AH1705" s="8" t="str">
        <f ca="1">IFERROR(__xludf.DUMMYFUNCTION("""COMPUTED_VALUE"""),"No")</f>
        <v>No</v>
      </c>
      <c r="AI1705" s="8" t="str">
        <f ca="1">IFERROR(__xludf.DUMMYFUNCTION("""COMPUTED_VALUE"""),"No")</f>
        <v>No</v>
      </c>
      <c r="AJ1705" s="8" t="str">
        <f ca="1">IFERROR(__xludf.DUMMYFUNCTION("""COMPUTED_VALUE"""),"No")</f>
        <v>No</v>
      </c>
      <c r="AK1705" s="8" t="str">
        <f ca="1">IFERROR(__xludf.DUMMYFUNCTION("""COMPUTED_VALUE"""),"No")</f>
        <v>No</v>
      </c>
      <c r="AL1705" s="8" t="str">
        <f ca="1">IFERROR(__xludf.DUMMYFUNCTION("""COMPUTED_VALUE"""),"No")</f>
        <v>No</v>
      </c>
      <c r="AM1705" s="8" t="str">
        <f ca="1">IFERROR(__xludf.DUMMYFUNCTION("""COMPUTED_VALUE"""),"No")</f>
        <v>No</v>
      </c>
      <c r="AN1705" s="8"/>
      <c r="AO1705" s="8" t="str">
        <f ca="1">IFERROR(__xludf.DUMMYFUNCTION("""COMPUTED_VALUE"""),"No")</f>
        <v>No</v>
      </c>
      <c r="AP1705" s="8"/>
      <c r="AQ1705" s="8" t="str">
        <f ca="1">IFERROR(__xludf.DUMMYFUNCTION("""COMPUTED_VALUE"""),"Unknown")</f>
        <v>Unknown</v>
      </c>
      <c r="AR1705" s="8" t="str">
        <f ca="1">IFERROR(__xludf.DUMMYFUNCTION("""COMPUTED_VALUE"""),"NA")</f>
        <v>NA</v>
      </c>
      <c r="AS1705" s="8">
        <f ca="1">IFERROR(__xludf.DUMMYFUNCTION("""COMPUTED_VALUE"""),1)</f>
        <v>1</v>
      </c>
      <c r="AT1705" s="8"/>
      <c r="AU1705" s="8">
        <f ca="1">IFERROR(__xludf.DUMMYFUNCTION("""COMPUTED_VALUE"""),34.723653)</f>
        <v>34.723652999999999</v>
      </c>
      <c r="AV1705" s="8">
        <f ca="1">IFERROR(__xludf.DUMMYFUNCTION("""COMPUTED_VALUE"""),-86.56738)</f>
        <v>-86.56738</v>
      </c>
      <c r="AW1705" s="8"/>
      <c r="AX1705" s="8">
        <f ca="1">IFERROR(__xludf.DUMMYFUNCTION("""COMPUTED_VALUE"""),35801)</f>
        <v>35801</v>
      </c>
    </row>
    <row r="1706" spans="1:50" ht="60" x14ac:dyDescent="0.2">
      <c r="A1706" s="8" t="str">
        <f ca="1">IFERROR(__xludf.DUMMYFUNCTION("""COMPUTED_VALUE"""),"20180914WAMAE")</f>
        <v>20180914WAMAE</v>
      </c>
      <c r="B1706" s="8">
        <f ca="1">IFERROR(__xludf.DUMMYFUNCTION("""COMPUTED_VALUE"""),9)</f>
        <v>9</v>
      </c>
      <c r="C1706" s="8">
        <f ca="1">IFERROR(__xludf.DUMMYFUNCTION("""COMPUTED_VALUE"""),14)</f>
        <v>14</v>
      </c>
      <c r="D1706" s="8">
        <f ca="1">IFERROR(__xludf.DUMMYFUNCTION("""COMPUTED_VALUE"""),2018)</f>
        <v>2018</v>
      </c>
      <c r="E1706" s="9">
        <f ca="1">IFERROR(__xludf.DUMMYFUNCTION("""COMPUTED_VALUE"""),43357)</f>
        <v>43357</v>
      </c>
      <c r="F1706" s="8" t="str">
        <f ca="1">IFERROR(__xludf.DUMMYFUNCTION("""COMPUTED_VALUE"""),"Mariner High School")</f>
        <v>Mariner High School</v>
      </c>
      <c r="G1706" s="8">
        <f ca="1">IFERROR(__xludf.DUMMYFUNCTION("""COMPUTED_VALUE"""),0)</f>
        <v>0</v>
      </c>
      <c r="H1706" s="8">
        <f ca="1">IFERROR(__xludf.DUMMYFUNCTION("""COMPUTED_VALUE"""),0)</f>
        <v>0</v>
      </c>
      <c r="I1706" s="8">
        <f ca="1">IFERROR(__xludf.DUMMYFUNCTION("""COMPUTED_VALUE"""),0)</f>
        <v>0</v>
      </c>
      <c r="J1706" s="8">
        <f ca="1">IFERROR(__xludf.DUMMYFUNCTION("""COMPUTED_VALUE"""),0)</f>
        <v>0</v>
      </c>
      <c r="K1706" s="10" t="str">
        <f ca="1">IFERROR(__xludf.DUMMYFUNCTION("""COMPUTED_VALUE"""),"https://q13fox.com/2018/09/14/reports-of-shots-fired-outside-mariner-high-school-football-stadium-evacuated/")</f>
        <v>https://q13fox.com/2018/09/14/reports-of-shots-fired-outside-mariner-high-school-football-stadium-evacuated/</v>
      </c>
      <c r="L1706" s="8"/>
      <c r="M1706" s="8"/>
      <c r="N1706" s="8">
        <f ca="1">IFERROR(__xludf.DUMMYFUNCTION("""COMPUTED_VALUE"""),2)</f>
        <v>2</v>
      </c>
      <c r="O1706" s="8" t="str">
        <f ca="1">IFERROR(__xludf.DUMMYFUNCTION("""COMPUTED_VALUE"""),"Fall")</f>
        <v>Fall</v>
      </c>
      <c r="P1706" s="8" t="str">
        <f ca="1">IFERROR(__xludf.DUMMYFUNCTION("""COMPUTED_VALUE"""),"Everett")</f>
        <v>Everett</v>
      </c>
      <c r="Q1706" s="8" t="str">
        <f ca="1">IFERROR(__xludf.DUMMYFUNCTION("""COMPUTED_VALUE"""),"WA")</f>
        <v>WA</v>
      </c>
      <c r="R1706" s="8" t="str">
        <f ca="1">IFERROR(__xludf.DUMMYFUNCTION("""COMPUTED_VALUE"""),"High")</f>
        <v>High</v>
      </c>
      <c r="S1706" s="8" t="str">
        <f ca="1">IFERROR(__xludf.DUMMYFUNCTION("""COMPUTED_VALUE"""),"Parking Lot")</f>
        <v>Parking Lot</v>
      </c>
      <c r="T1706" s="8" t="str">
        <f ca="1">IFERROR(__xludf.DUMMYFUNCTION("""COMPUTED_VALUE"""),"Outside on School Property")</f>
        <v>Outside on School Property</v>
      </c>
      <c r="U1706" s="8" t="str">
        <f ca="1">IFERROR(__xludf.DUMMYFUNCTION("""COMPUTED_VALUE"""),"No")</f>
        <v>No</v>
      </c>
      <c r="V1706" s="8" t="str">
        <f ca="1">IFERROR(__xludf.DUMMYFUNCTION("""COMPUTED_VALUE"""),"Sport Event")</f>
        <v>Sport Event</v>
      </c>
      <c r="W1706" s="11">
        <f ca="1">IFERROR(__xludf.DUMMYFUNCTION("""COMPUTED_VALUE"""),0.875)</f>
        <v>0.875</v>
      </c>
      <c r="X1706" s="8">
        <f ca="1">IFERROR(__xludf.DUMMYFUNCTION("""COMPUTED_VALUE"""),1)</f>
        <v>1</v>
      </c>
      <c r="Y1706" s="12" t="str">
        <f ca="1">IFERROR(__xludf.DUMMYFUNCTION("""COMPUTED_VALUE"""),"Shots fired in parking lot during football game, stadium evacuated")</f>
        <v>Shots fired in parking lot during football game, stadium evacuated</v>
      </c>
      <c r="Z1706" s="12" t="str">
        <f ca="1">IFERROR(__xludf.DUMMYFUNCTION("""COMPUTED_VALUE"""),"5-6 shots were fired during a fight in the parking lot of the school during a football game with rival school. 200 people in the stadium heard the shots and evacuated. Authorities described chaotic scene. No injuries or shooter located.")</f>
        <v>5-6 shots were fired during a fight in the parking lot of the school during a football game with rival school. 200 people in the stadium heard the shots and evacuated. Authorities described chaotic scene. No injuries or shooter located.</v>
      </c>
      <c r="AA1706" s="8" t="str">
        <f ca="1">IFERROR(__xludf.DUMMYFUNCTION("""COMPUTED_VALUE"""),"Escalation of Dispute")</f>
        <v>Escalation of Dispute</v>
      </c>
      <c r="AB1706" s="8"/>
      <c r="AC1706" s="8" t="str">
        <f ca="1">IFERROR(__xludf.DUMMYFUNCTION("""COMPUTED_VALUE"""),"Yes")</f>
        <v>Yes</v>
      </c>
      <c r="AD1706" s="8" t="str">
        <f ca="1">IFERROR(__xludf.DUMMYFUNCTION("""COMPUTED_VALUE"""),"Victims Targeted")</f>
        <v>Victims Targeted</v>
      </c>
      <c r="AE1706" s="8"/>
      <c r="AF1706" s="8"/>
      <c r="AG1706" s="8" t="str">
        <f ca="1">IFERROR(__xludf.DUMMYFUNCTION("""COMPUTED_VALUE"""),"No")</f>
        <v>No</v>
      </c>
      <c r="AH1706" s="8" t="str">
        <f ca="1">IFERROR(__xludf.DUMMYFUNCTION("""COMPUTED_VALUE"""),"No")</f>
        <v>No</v>
      </c>
      <c r="AI1706" s="8" t="str">
        <f ca="1">IFERROR(__xludf.DUMMYFUNCTION("""COMPUTED_VALUE"""),"No")</f>
        <v>No</v>
      </c>
      <c r="AJ1706" s="8" t="str">
        <f ca="1">IFERROR(__xludf.DUMMYFUNCTION("""COMPUTED_VALUE"""),"No")</f>
        <v>No</v>
      </c>
      <c r="AK1706" s="8" t="str">
        <f ca="1">IFERROR(__xludf.DUMMYFUNCTION("""COMPUTED_VALUE"""),"No")</f>
        <v>No</v>
      </c>
      <c r="AL1706" s="8" t="str">
        <f ca="1">IFERROR(__xludf.DUMMYFUNCTION("""COMPUTED_VALUE"""),"Yes")</f>
        <v>Yes</v>
      </c>
      <c r="AM1706" s="8" t="str">
        <f ca="1">IFERROR(__xludf.DUMMYFUNCTION("""COMPUTED_VALUE"""),"No")</f>
        <v>No</v>
      </c>
      <c r="AN1706" s="8"/>
      <c r="AO1706" s="8" t="str">
        <f ca="1">IFERROR(__xludf.DUMMYFUNCTION("""COMPUTED_VALUE"""),"No")</f>
        <v>No</v>
      </c>
      <c r="AP1706" s="8"/>
      <c r="AQ1706" s="8" t="str">
        <f ca="1">IFERROR(__xludf.DUMMYFUNCTION("""COMPUTED_VALUE"""),"Unknown")</f>
        <v>Unknown</v>
      </c>
      <c r="AR1706" s="8" t="str">
        <f ca="1">IFERROR(__xludf.DUMMYFUNCTION("""COMPUTED_VALUE"""),"NA")</f>
        <v>NA</v>
      </c>
      <c r="AS1706" s="8">
        <f ca="1">IFERROR(__xludf.DUMMYFUNCTION("""COMPUTED_VALUE"""),6)</f>
        <v>6</v>
      </c>
      <c r="AT1706" s="8"/>
      <c r="AU1706" s="8">
        <f ca="1">IFERROR(__xludf.DUMMYFUNCTION("""COMPUTED_VALUE"""),47.887628)</f>
        <v>47.887627999999999</v>
      </c>
      <c r="AV1706" s="8">
        <f ca="1">IFERROR(__xludf.DUMMYFUNCTION("""COMPUTED_VALUE"""),-122.236056)</f>
        <v>-122.236056</v>
      </c>
      <c r="AW1706" s="8"/>
      <c r="AX1706" s="8">
        <f ca="1">IFERROR(__xludf.DUMMYFUNCTION("""COMPUTED_VALUE"""),98204)</f>
        <v>98204</v>
      </c>
    </row>
    <row r="1707" spans="1:50" ht="90" x14ac:dyDescent="0.2">
      <c r="A1707" s="8" t="str">
        <f ca="1">IFERROR(__xludf.DUMMYFUNCTION("""COMPUTED_VALUE"""),"20180914FLBOB")</f>
        <v>20180914FLBOB</v>
      </c>
      <c r="B1707" s="8">
        <f ca="1">IFERROR(__xludf.DUMMYFUNCTION("""COMPUTED_VALUE"""),9)</f>
        <v>9</v>
      </c>
      <c r="C1707" s="8">
        <f ca="1">IFERROR(__xludf.DUMMYFUNCTION("""COMPUTED_VALUE"""),14)</f>
        <v>14</v>
      </c>
      <c r="D1707" s="8">
        <f ca="1">IFERROR(__xludf.DUMMYFUNCTION("""COMPUTED_VALUE"""),2018)</f>
        <v>2018</v>
      </c>
      <c r="E1707" s="9">
        <f ca="1">IFERROR(__xludf.DUMMYFUNCTION("""COMPUTED_VALUE"""),43357)</f>
        <v>43357</v>
      </c>
      <c r="F1707" s="8" t="str">
        <f ca="1">IFERROR(__xludf.DUMMYFUNCTION("""COMPUTED_VALUE"""),"Boynton Beach High School")</f>
        <v>Boynton Beach High School</v>
      </c>
      <c r="G1707" s="8">
        <f ca="1">IFERROR(__xludf.DUMMYFUNCTION("""COMPUTED_VALUE"""),0)</f>
        <v>0</v>
      </c>
      <c r="H1707" s="8">
        <f ca="1">IFERROR(__xludf.DUMMYFUNCTION("""COMPUTED_VALUE"""),0)</f>
        <v>0</v>
      </c>
      <c r="I1707" s="8">
        <f ca="1">IFERROR(__xludf.DUMMYFUNCTION("""COMPUTED_VALUE"""),0)</f>
        <v>0</v>
      </c>
      <c r="J1707" s="8">
        <f ca="1">IFERROR(__xludf.DUMMYFUNCTION("""COMPUTED_VALUE"""),0)</f>
        <v>0</v>
      </c>
      <c r="K1707" s="8" t="str">
        <f ca="1">IFERROR(__xludf.DUMMYFUNCTION("""COMPUTED_VALUE"""),"https://cbs12.com/news/local/student-found-with-handgun-at-boynton-beach-high-school https://www.mypalmbeachpost.com/news/local/breaking-boynton-beach-high-school-locked-down/G69wZqzxHXQ0SgmlvInXXP/")</f>
        <v>https://cbs12.com/news/local/student-found-with-handgun-at-boynton-beach-high-school https://www.mypalmbeachpost.com/news/local/breaking-boynton-beach-high-school-locked-down/G69wZqzxHXQ0SgmlvInXXP/</v>
      </c>
      <c r="L1707" s="8"/>
      <c r="M1707" s="8"/>
      <c r="N1707" s="8">
        <f ca="1">IFERROR(__xludf.DUMMYFUNCTION("""COMPUTED_VALUE"""),3)</f>
        <v>3</v>
      </c>
      <c r="O1707" s="8" t="str">
        <f ca="1">IFERROR(__xludf.DUMMYFUNCTION("""COMPUTED_VALUE"""),"Fall")</f>
        <v>Fall</v>
      </c>
      <c r="P1707" s="8" t="str">
        <f ca="1">IFERROR(__xludf.DUMMYFUNCTION("""COMPUTED_VALUE"""),"Boynton Beach")</f>
        <v>Boynton Beach</v>
      </c>
      <c r="Q1707" s="8" t="str">
        <f ca="1">IFERROR(__xludf.DUMMYFUNCTION("""COMPUTED_VALUE"""),"FL")</f>
        <v>FL</v>
      </c>
      <c r="R1707" s="8" t="str">
        <f ca="1">IFERROR(__xludf.DUMMYFUNCTION("""COMPUTED_VALUE"""),"High")</f>
        <v>High</v>
      </c>
      <c r="S1707" s="8" t="str">
        <f ca="1">IFERROR(__xludf.DUMMYFUNCTION("""COMPUTED_VALUE"""),"Off School Property")</f>
        <v>Off School Property</v>
      </c>
      <c r="T1707" s="8" t="str">
        <f ca="1">IFERROR(__xludf.DUMMYFUNCTION("""COMPUTED_VALUE"""),"Off School Property")</f>
        <v>Off School Property</v>
      </c>
      <c r="U1707" s="8" t="str">
        <f ca="1">IFERROR(__xludf.DUMMYFUNCTION("""COMPUTED_VALUE"""),"Yes")</f>
        <v>Yes</v>
      </c>
      <c r="V1707" s="8" t="str">
        <f ca="1">IFERROR(__xludf.DUMMYFUNCTION("""COMPUTED_VALUE"""),"Before School")</f>
        <v>Before School</v>
      </c>
      <c r="W1707" s="8"/>
      <c r="X1707" s="8">
        <f ca="1">IFERROR(__xludf.DUMMYFUNCTION("""COMPUTED_VALUE"""),1)</f>
        <v>1</v>
      </c>
      <c r="Y1707" s="12" t="str">
        <f ca="1">IFERROR(__xludf.DUMMYFUNCTION("""COMPUTED_VALUE"""),"Two students had gun at bus stop, one shot fired, went to school, school locked down until gun was located")</f>
        <v>Two students had gun at bus stop, one shot fired, went to school, school locked down until gun was located</v>
      </c>
      <c r="Z1707" s="12" t="str">
        <f ca="1">IFERROR(__xludf.DUMMYFUNCTION("""COMPUTED_VALUE"""),"Two students had gun at bus stop. One shot was fired. No one was hit or injured. Student then took the gun to school. When school officials became aware of the gun on campus, the school was locked down until the shooter and the gun was located on the camp"&amp;"us. Lockdown alert was sent to parents who rushed to the school. No injuries.")</f>
        <v>Two students had gun at bus stop. One shot was fired. No one was hit or injured. Student then took the gun to school. When school officials became aware of the gun on campus, the school was locked down until the shooter and the gun was located on the campus. Lockdown alert was sent to parents who rushed to the school. No injuries.</v>
      </c>
      <c r="AA1707" s="8" t="str">
        <f ca="1">IFERROR(__xludf.DUMMYFUNCTION("""COMPUTED_VALUE"""),"Accidental")</f>
        <v>Accidental</v>
      </c>
      <c r="AB1707" s="8"/>
      <c r="AC1707" s="8" t="str">
        <f ca="1">IFERROR(__xludf.DUMMYFUNCTION("""COMPUTED_VALUE"""),"Yes")</f>
        <v>Yes</v>
      </c>
      <c r="AD1707" s="8" t="str">
        <f ca="1">IFERROR(__xludf.DUMMYFUNCTION("""COMPUTED_VALUE"""),"Neither")</f>
        <v>Neither</v>
      </c>
      <c r="AE1707" s="8" t="str">
        <f ca="1">IFERROR(__xludf.DUMMYFUNCTION("""COMPUTED_VALUE"""),"Yes")</f>
        <v>Yes</v>
      </c>
      <c r="AF1707" s="8" t="str">
        <f ca="1">IFERROR(__xludf.DUMMYFUNCTION("""COMPUTED_VALUE"""),"Two students arrested, one fired, one had the gun")</f>
        <v>Two students arrested, one fired, one had the gun</v>
      </c>
      <c r="AG1707" s="8" t="str">
        <f ca="1">IFERROR(__xludf.DUMMYFUNCTION("""COMPUTED_VALUE"""),"No")</f>
        <v>No</v>
      </c>
      <c r="AH1707" s="8" t="str">
        <f ca="1">IFERROR(__xludf.DUMMYFUNCTION("""COMPUTED_VALUE"""),"No")</f>
        <v>No</v>
      </c>
      <c r="AI1707" s="8" t="str">
        <f ca="1">IFERROR(__xludf.DUMMYFUNCTION("""COMPUTED_VALUE"""),"No")</f>
        <v>No</v>
      </c>
      <c r="AJ1707" s="8" t="str">
        <f ca="1">IFERROR(__xludf.DUMMYFUNCTION("""COMPUTED_VALUE"""),"No")</f>
        <v>No</v>
      </c>
      <c r="AK1707" s="8" t="str">
        <f ca="1">IFERROR(__xludf.DUMMYFUNCTION("""COMPUTED_VALUE"""),"No")</f>
        <v>No</v>
      </c>
      <c r="AL1707" s="8" t="str">
        <f ca="1">IFERROR(__xludf.DUMMYFUNCTION("""COMPUTED_VALUE"""),"No")</f>
        <v>No</v>
      </c>
      <c r="AM1707" s="8" t="str">
        <f ca="1">IFERROR(__xludf.DUMMYFUNCTION("""COMPUTED_VALUE"""),"No")</f>
        <v>No</v>
      </c>
      <c r="AN1707" s="8"/>
      <c r="AO1707" s="8" t="str">
        <f ca="1">IFERROR(__xludf.DUMMYFUNCTION("""COMPUTED_VALUE"""),"No")</f>
        <v>No</v>
      </c>
      <c r="AP1707" s="8"/>
      <c r="AQ1707" s="8" t="str">
        <f ca="1">IFERROR(__xludf.DUMMYFUNCTION("""COMPUTED_VALUE"""),"Unknown")</f>
        <v>Unknown</v>
      </c>
      <c r="AR1707" s="8" t="str">
        <f ca="1">IFERROR(__xludf.DUMMYFUNCTION("""COMPUTED_VALUE"""),"NA")</f>
        <v>NA</v>
      </c>
      <c r="AS1707" s="8">
        <f ca="1">IFERROR(__xludf.DUMMYFUNCTION("""COMPUTED_VALUE"""),1)</f>
        <v>1</v>
      </c>
      <c r="AT1707" s="8"/>
      <c r="AU1707" s="8">
        <f ca="1">IFERROR(__xludf.DUMMYFUNCTION("""COMPUTED_VALUE"""),26.546306)</f>
        <v>26.546306000000001</v>
      </c>
      <c r="AV1707" s="8">
        <f ca="1">IFERROR(__xludf.DUMMYFUNCTION("""COMPUTED_VALUE"""),-80.083298)</f>
        <v>-80.083297999999999</v>
      </c>
      <c r="AW1707" s="8"/>
      <c r="AX1707" s="8">
        <f ca="1">IFERROR(__xludf.DUMMYFUNCTION("""COMPUTED_VALUE"""),33426)</f>
        <v>33426</v>
      </c>
    </row>
    <row r="1708" spans="1:50" ht="90" x14ac:dyDescent="0.2">
      <c r="A1708" s="8" t="str">
        <f ca="1">IFERROR(__xludf.DUMMYFUNCTION("""COMPUTED_VALUE"""),"20180911NVCAL")</f>
        <v>20180911NVCAL</v>
      </c>
      <c r="B1708" s="8">
        <f ca="1">IFERROR(__xludf.DUMMYFUNCTION("""COMPUTED_VALUE"""),9)</f>
        <v>9</v>
      </c>
      <c r="C1708" s="8">
        <f ca="1">IFERROR(__xludf.DUMMYFUNCTION("""COMPUTED_VALUE"""),11)</f>
        <v>11</v>
      </c>
      <c r="D1708" s="8">
        <f ca="1">IFERROR(__xludf.DUMMYFUNCTION("""COMPUTED_VALUE"""),2018)</f>
        <v>2018</v>
      </c>
      <c r="E1708" s="9">
        <f ca="1">IFERROR(__xludf.DUMMYFUNCTION("""COMPUTED_VALUE"""),43354)</f>
        <v>43354</v>
      </c>
      <c r="F1708" s="8" t="str">
        <f ca="1">IFERROR(__xludf.DUMMYFUNCTION("""COMPUTED_VALUE"""),"Canyon Springs High School")</f>
        <v>Canyon Springs High School</v>
      </c>
      <c r="G1708" s="8">
        <f ca="1">IFERROR(__xludf.DUMMYFUNCTION("""COMPUTED_VALUE"""),1)</f>
        <v>1</v>
      </c>
      <c r="H1708" s="8">
        <f ca="1">IFERROR(__xludf.DUMMYFUNCTION("""COMPUTED_VALUE"""),0)</f>
        <v>0</v>
      </c>
      <c r="I1708" s="8">
        <f ca="1">IFERROR(__xludf.DUMMYFUNCTION("""COMPUTED_VALUE"""),1)</f>
        <v>1</v>
      </c>
      <c r="J1708" s="8">
        <f ca="1">IFERROR(__xludf.DUMMYFUNCTION("""COMPUTED_VALUE"""),0)</f>
        <v>0</v>
      </c>
      <c r="K1708" s="8" t="str">
        <f ca="1">IFERROR(__xludf.DUMMYFUNCTION("""COMPUTED_VALUE"""),"https://abc13.com/teen-killed-in-shooting-outside-north-las-vegas-high-school/4216158/ https://wtop.com/education/2018/09/the-latest-police-dont-have-suspect-in-school-shooting/ https://www.nbcnews.com/video/one-dead-in-las-vegas-school-shooting-131857619"&amp;"5587?v=raila&amp; https://www.lasvegasnow.com/news/local-news/police-north-las-vegas-school-shooting-victim-was-student/1437715165 https://www.lasvegasnow.com/news/police-arrest-teen-in-shooting-death-of-canyon-springs-student/1464555577 http://www.hastingstr"&amp;"ibune.com/teen-charged-as-adult-in-fatal-north-vegas-school-shooting/article_e0ba519a-9ced-5076-a3dd-d9df85462411.html")</f>
        <v>https://abc13.com/teen-killed-in-shooting-outside-north-las-vegas-high-school/4216158/ https://wtop.com/education/2018/09/the-latest-police-dont-have-suspect-in-school-shooting/ https://www.nbcnews.com/video/one-dead-in-las-vegas-school-shooting-1318576195587?v=raila&amp; https://www.lasvegasnow.com/news/local-news/police-north-las-vegas-school-shooting-victim-was-student/1437715165 https://www.lasvegasnow.com/news/police-arrest-teen-in-shooting-death-of-canyon-springs-student/1464555577 http://www.hastingstribune.com/teen-charged-as-adult-in-fatal-north-vegas-school-shooting/article_e0ba519a-9ced-5076-a3dd-d9df85462411.html</v>
      </c>
      <c r="L1708" s="8"/>
      <c r="M1708" s="8"/>
      <c r="N1708" s="8">
        <f ca="1">IFERROR(__xludf.DUMMYFUNCTION("""COMPUTED_VALUE"""),4)</f>
        <v>4</v>
      </c>
      <c r="O1708" s="8" t="str">
        <f ca="1">IFERROR(__xludf.DUMMYFUNCTION("""COMPUTED_VALUE"""),"Fall")</f>
        <v>Fall</v>
      </c>
      <c r="P1708" s="8" t="str">
        <f ca="1">IFERROR(__xludf.DUMMYFUNCTION("""COMPUTED_VALUE"""),"Las Vegas")</f>
        <v>Las Vegas</v>
      </c>
      <c r="Q1708" s="8" t="str">
        <f ca="1">IFERROR(__xludf.DUMMYFUNCTION("""COMPUTED_VALUE"""),"NV")</f>
        <v>NV</v>
      </c>
      <c r="R1708" s="8" t="str">
        <f ca="1">IFERROR(__xludf.DUMMYFUNCTION("""COMPUTED_VALUE"""),"High")</f>
        <v>High</v>
      </c>
      <c r="S1708" s="8" t="str">
        <f ca="1">IFERROR(__xludf.DUMMYFUNCTION("""COMPUTED_VALUE"""),"Field (General)")</f>
        <v>Field (General)</v>
      </c>
      <c r="T1708" s="8" t="str">
        <f ca="1">IFERROR(__xludf.DUMMYFUNCTION("""COMPUTED_VALUE"""),"Outside on School Property")</f>
        <v>Outside on School Property</v>
      </c>
      <c r="U1708" s="8" t="str">
        <f ca="1">IFERROR(__xludf.DUMMYFUNCTION("""COMPUTED_VALUE"""),"No")</f>
        <v>No</v>
      </c>
      <c r="V1708" s="8" t="str">
        <f ca="1">IFERROR(__xludf.DUMMYFUNCTION("""COMPUTED_VALUE"""),"After School")</f>
        <v>After School</v>
      </c>
      <c r="W1708" s="11">
        <f ca="1">IFERROR(__xludf.DUMMYFUNCTION("""COMPUTED_VALUE"""),0.611111111111111)</f>
        <v>0.61111111111111105</v>
      </c>
      <c r="X1708" s="8">
        <f ca="1">IFERROR(__xludf.DUMMYFUNCTION("""COMPUTED_VALUE"""),1)</f>
        <v>1</v>
      </c>
      <c r="Y1708" s="12" t="str">
        <f ca="1">IFERROR(__xludf.DUMMYFUNCTION("""COMPUTED_VALUE"""),"Student shot on baseball field during altercation")</f>
        <v>Student shot on baseball field during altercation</v>
      </c>
      <c r="Z1708" s="12" t="str">
        <f ca="1">IFERROR(__xludf.DUMMYFUNCTION("""COMPUTED_VALUE"""),"18YOM (student) was shot and killed on the baseball field after school during an altercation with an unidentified shooter who he had an ongoing dispute with. School was locked down. Police said the shooting was targeted. 500 students were at the school at"&amp;" the time of the shooting. 30-40 were interviewed as witnesses.")</f>
        <v>18YOM (student) was shot and killed on the baseball field after school during an altercation with an unidentified shooter who he had an ongoing dispute with. School was locked down. Police said the shooting was targeted. 500 students were at the school at the time of the shooting. 30-40 were interviewed as witnesses.</v>
      </c>
      <c r="AA1708" s="8" t="str">
        <f ca="1">IFERROR(__xludf.DUMMYFUNCTION("""COMPUTED_VALUE"""),"Escalation of Dispute")</f>
        <v>Escalation of Dispute</v>
      </c>
      <c r="AB1708" s="8"/>
      <c r="AC1708" s="8" t="str">
        <f ca="1">IFERROR(__xludf.DUMMYFUNCTION("""COMPUTED_VALUE"""),"Yes")</f>
        <v>Yes</v>
      </c>
      <c r="AD1708" s="8" t="str">
        <f ca="1">IFERROR(__xludf.DUMMYFUNCTION("""COMPUTED_VALUE"""),"Victims Targeted")</f>
        <v>Victims Targeted</v>
      </c>
      <c r="AE1708" s="8" t="str">
        <f ca="1">IFERROR(__xludf.DUMMYFUNCTION("""COMPUTED_VALUE"""),"No")</f>
        <v>No</v>
      </c>
      <c r="AF1708" s="8"/>
      <c r="AG1708" s="8" t="str">
        <f ca="1">IFERROR(__xludf.DUMMYFUNCTION("""COMPUTED_VALUE"""),"No")</f>
        <v>No</v>
      </c>
      <c r="AH1708" s="8" t="str">
        <f ca="1">IFERROR(__xludf.DUMMYFUNCTION("""COMPUTED_VALUE"""),"No")</f>
        <v>No</v>
      </c>
      <c r="AI1708" s="8" t="str">
        <f ca="1">IFERROR(__xludf.DUMMYFUNCTION("""COMPUTED_VALUE"""),"No")</f>
        <v>No</v>
      </c>
      <c r="AJ1708" s="8" t="str">
        <f ca="1">IFERROR(__xludf.DUMMYFUNCTION("""COMPUTED_VALUE"""),"No")</f>
        <v>No</v>
      </c>
      <c r="AK1708" s="8" t="str">
        <f ca="1">IFERROR(__xludf.DUMMYFUNCTION("""COMPUTED_VALUE"""),"No")</f>
        <v>No</v>
      </c>
      <c r="AL1708" s="8" t="str">
        <f ca="1">IFERROR(__xludf.DUMMYFUNCTION("""COMPUTED_VALUE"""),"No")</f>
        <v>No</v>
      </c>
      <c r="AM1708" s="8" t="str">
        <f ca="1">IFERROR(__xludf.DUMMYFUNCTION("""COMPUTED_VALUE"""),"No")</f>
        <v>No</v>
      </c>
      <c r="AN1708" s="8"/>
      <c r="AO1708" s="8" t="str">
        <f ca="1">IFERROR(__xludf.DUMMYFUNCTION("""COMPUTED_VALUE"""),"No")</f>
        <v>No</v>
      </c>
      <c r="AP1708" s="8"/>
      <c r="AQ1708" s="8" t="str">
        <f ca="1">IFERROR(__xludf.DUMMYFUNCTION("""COMPUTED_VALUE"""),"Unknown")</f>
        <v>Unknown</v>
      </c>
      <c r="AR1708" s="8" t="str">
        <f ca="1">IFERROR(__xludf.DUMMYFUNCTION("""COMPUTED_VALUE"""),"NA")</f>
        <v>NA</v>
      </c>
      <c r="AS1708" s="8" t="str">
        <f ca="1">IFERROR(__xludf.DUMMYFUNCTION("""COMPUTED_VALUE"""),"&lt;5")</f>
        <v>&lt;5</v>
      </c>
      <c r="AT1708" s="8"/>
      <c r="AU1708" s="8">
        <f ca="1">IFERROR(__xludf.DUMMYFUNCTION("""COMPUTED_VALUE"""),36.233368)</f>
        <v>36.233367999999999</v>
      </c>
      <c r="AV1708" s="8">
        <f ca="1">IFERROR(__xludf.DUMMYFUNCTION("""COMPUTED_VALUE"""),-115.136358)</f>
        <v>-115.136358</v>
      </c>
      <c r="AW1708" s="8"/>
      <c r="AX1708" s="8">
        <f ca="1">IFERROR(__xludf.DUMMYFUNCTION("""COMPUTED_VALUE"""),89031)</f>
        <v>89031</v>
      </c>
    </row>
    <row r="1709" spans="1:50" ht="60" x14ac:dyDescent="0.2">
      <c r="A1709" s="8" t="str">
        <f ca="1">IFERROR(__xludf.DUMMYFUNCTION("""COMPUTED_VALUE"""),"20180910TNFAM")</f>
        <v>20180910TNFAM</v>
      </c>
      <c r="B1709" s="8">
        <f ca="1">IFERROR(__xludf.DUMMYFUNCTION("""COMPUTED_VALUE"""),9)</f>
        <v>9</v>
      </c>
      <c r="C1709" s="8">
        <f ca="1">IFERROR(__xludf.DUMMYFUNCTION("""COMPUTED_VALUE"""),10)</f>
        <v>10</v>
      </c>
      <c r="D1709" s="8">
        <f ca="1">IFERROR(__xludf.DUMMYFUNCTION("""COMPUTED_VALUE"""),2018)</f>
        <v>2018</v>
      </c>
      <c r="E1709" s="9">
        <f ca="1">IFERROR(__xludf.DUMMYFUNCTION("""COMPUTED_VALUE"""),43353)</f>
        <v>43353</v>
      </c>
      <c r="F1709" s="8" t="str">
        <f ca="1">IFERROR(__xludf.DUMMYFUNCTION("""COMPUTED_VALUE"""),"Fairley High School")</f>
        <v>Fairley High School</v>
      </c>
      <c r="G1709" s="8">
        <f ca="1">IFERROR(__xludf.DUMMYFUNCTION("""COMPUTED_VALUE"""),0)</f>
        <v>0</v>
      </c>
      <c r="H1709" s="8">
        <f ca="1">IFERROR(__xludf.DUMMYFUNCTION("""COMPUTED_VALUE"""),1)</f>
        <v>1</v>
      </c>
      <c r="I1709" s="8">
        <f ca="1">IFERROR(__xludf.DUMMYFUNCTION("""COMPUTED_VALUE"""),1)</f>
        <v>1</v>
      </c>
      <c r="J1709" s="8">
        <f ca="1">IFERROR(__xludf.DUMMYFUNCTION("""COMPUTED_VALUE"""),0)</f>
        <v>0</v>
      </c>
      <c r="K1709" s="8" t="str">
        <f ca="1">IFERROR(__xludf.DUMMYFUNCTION("""COMPUTED_VALUE"""),"https://wreg.com/2018/09/10/girl-injured-when-gunshot-fired-at-school-bus-in-whitehaven/ https://www.commercialappeal.com/story/news/crime/2018/09/10/whitehaven-shooting-school-bus/1260655002/ https://wreg.com/2018/09/17/suspect-in-school-bus-shooting-in-"&amp;"police-custody/")</f>
        <v>https://wreg.com/2018/09/10/girl-injured-when-gunshot-fired-at-school-bus-in-whitehaven/ https://www.commercialappeal.com/story/news/crime/2018/09/10/whitehaven-shooting-school-bus/1260655002/ https://wreg.com/2018/09/17/suspect-in-school-bus-shooting-in-police-custody/</v>
      </c>
      <c r="L1709" s="8"/>
      <c r="M1709" s="8"/>
      <c r="N1709" s="8">
        <f ca="1">IFERROR(__xludf.DUMMYFUNCTION("""COMPUTED_VALUE"""),3)</f>
        <v>3</v>
      </c>
      <c r="O1709" s="8" t="str">
        <f ca="1">IFERROR(__xludf.DUMMYFUNCTION("""COMPUTED_VALUE"""),"Fall")</f>
        <v>Fall</v>
      </c>
      <c r="P1709" s="8" t="str">
        <f ca="1">IFERROR(__xludf.DUMMYFUNCTION("""COMPUTED_VALUE"""),"Memphis")</f>
        <v>Memphis</v>
      </c>
      <c r="Q1709" s="8" t="str">
        <f ca="1">IFERROR(__xludf.DUMMYFUNCTION("""COMPUTED_VALUE"""),"TN")</f>
        <v>TN</v>
      </c>
      <c r="R1709" s="8" t="str">
        <f ca="1">IFERROR(__xludf.DUMMYFUNCTION("""COMPUTED_VALUE"""),"High")</f>
        <v>High</v>
      </c>
      <c r="S1709" s="8" t="str">
        <f ca="1">IFERROR(__xludf.DUMMYFUNCTION("""COMPUTED_VALUE"""),"School Bus")</f>
        <v>School Bus</v>
      </c>
      <c r="T1709" s="8" t="str">
        <f ca="1">IFERROR(__xludf.DUMMYFUNCTION("""COMPUTED_VALUE"""),"School Bus")</f>
        <v>School Bus</v>
      </c>
      <c r="U1709" s="8" t="str">
        <f ca="1">IFERROR(__xludf.DUMMYFUNCTION("""COMPUTED_VALUE"""),"Yes")</f>
        <v>Yes</v>
      </c>
      <c r="V1709" s="8" t="str">
        <f ca="1">IFERROR(__xludf.DUMMYFUNCTION("""COMPUTED_VALUE"""),"After School")</f>
        <v>After School</v>
      </c>
      <c r="W1709" s="11">
        <f ca="1">IFERROR(__xludf.DUMMYFUNCTION("""COMPUTED_VALUE"""),0.666666666666666)</f>
        <v>0.66666666666666596</v>
      </c>
      <c r="X1709" s="8">
        <f ca="1">IFERROR(__xludf.DUMMYFUNCTION("""COMPUTED_VALUE"""),1)</f>
        <v>1</v>
      </c>
      <c r="Y1709" s="12" t="str">
        <f ca="1">IFERROR(__xludf.DUMMYFUNCTION("""COMPUTED_VALUE"""),"Three shots were fired a school bus, 15YOF student injured")</f>
        <v>Three shots were fired a school bus, 15YOF student injured</v>
      </c>
      <c r="Z1709" s="12" t="str">
        <f ca="1">IFERROR(__xludf.DUMMYFUNCTION("""COMPUTED_VALUE"""),"3 shots were fired at school bus by unknown shooter. 15YOF was injured. No suspect or motive.")</f>
        <v>3 shots were fired at school bus by unknown shooter. 15YOF was injured. No suspect or motive.</v>
      </c>
      <c r="AA1709" s="8" t="str">
        <f ca="1">IFERROR(__xludf.DUMMYFUNCTION("""COMPUTED_VALUE"""),"Unknown")</f>
        <v>Unknown</v>
      </c>
      <c r="AB1709" s="8"/>
      <c r="AC1709" s="8" t="str">
        <f ca="1">IFERROR(__xludf.DUMMYFUNCTION("""COMPUTED_VALUE"""),"Yes")</f>
        <v>Yes</v>
      </c>
      <c r="AD1709" s="8"/>
      <c r="AE1709" s="8" t="str">
        <f ca="1">IFERROR(__xludf.DUMMYFUNCTION("""COMPUTED_VALUE"""),"No")</f>
        <v>No</v>
      </c>
      <c r="AF1709" s="8"/>
      <c r="AG1709" s="8" t="str">
        <f ca="1">IFERROR(__xludf.DUMMYFUNCTION("""COMPUTED_VALUE"""),"No")</f>
        <v>No</v>
      </c>
      <c r="AH1709" s="8" t="str">
        <f ca="1">IFERROR(__xludf.DUMMYFUNCTION("""COMPUTED_VALUE"""),"No")</f>
        <v>No</v>
      </c>
      <c r="AI1709" s="8" t="str">
        <f ca="1">IFERROR(__xludf.DUMMYFUNCTION("""COMPUTED_VALUE"""),"No")</f>
        <v>No</v>
      </c>
      <c r="AJ1709" s="8" t="str">
        <f ca="1">IFERROR(__xludf.DUMMYFUNCTION("""COMPUTED_VALUE"""),"No")</f>
        <v>No</v>
      </c>
      <c r="AK1709" s="8" t="str">
        <f ca="1">IFERROR(__xludf.DUMMYFUNCTION("""COMPUTED_VALUE"""),"No")</f>
        <v>No</v>
      </c>
      <c r="AL1709" s="8"/>
      <c r="AM1709" s="8" t="str">
        <f ca="1">IFERROR(__xludf.DUMMYFUNCTION("""COMPUTED_VALUE"""),"No")</f>
        <v>No</v>
      </c>
      <c r="AN1709" s="8"/>
      <c r="AO1709" s="8" t="str">
        <f ca="1">IFERROR(__xludf.DUMMYFUNCTION("""COMPUTED_VALUE"""),"No")</f>
        <v>No</v>
      </c>
      <c r="AP1709" s="8"/>
      <c r="AQ1709" s="8" t="str">
        <f ca="1">IFERROR(__xludf.DUMMYFUNCTION("""COMPUTED_VALUE"""),"Unknown")</f>
        <v>Unknown</v>
      </c>
      <c r="AR1709" s="8" t="str">
        <f ca="1">IFERROR(__xludf.DUMMYFUNCTION("""COMPUTED_VALUE"""),"NA")</f>
        <v>NA</v>
      </c>
      <c r="AS1709" s="8">
        <f ca="1">IFERROR(__xludf.DUMMYFUNCTION("""COMPUTED_VALUE"""),3)</f>
        <v>3</v>
      </c>
      <c r="AT1709" s="8"/>
      <c r="AU1709" s="8">
        <f ca="1">IFERROR(__xludf.DUMMYFUNCTION("""COMPUTED_VALUE"""),35.011815)</f>
        <v>35.011814999999999</v>
      </c>
      <c r="AV1709" s="8">
        <f ca="1">IFERROR(__xludf.DUMMYFUNCTION("""COMPUTED_VALUE"""),-90.050823)</f>
        <v>-90.050822999999994</v>
      </c>
      <c r="AW1709" s="8"/>
      <c r="AX1709" s="8">
        <f ca="1">IFERROR(__xludf.DUMMYFUNCTION("""COMPUTED_VALUE"""),38109)</f>
        <v>38109</v>
      </c>
    </row>
    <row r="1710" spans="1:50" ht="90" x14ac:dyDescent="0.2">
      <c r="A1710" s="8" t="str">
        <f ca="1">IFERROR(__xludf.DUMMYFUNCTION("""COMPUTED_VALUE"""),"20180910ILCHC")</f>
        <v>20180910ILCHC</v>
      </c>
      <c r="B1710" s="8">
        <f ca="1">IFERROR(__xludf.DUMMYFUNCTION("""COMPUTED_VALUE"""),9)</f>
        <v>9</v>
      </c>
      <c r="C1710" s="8">
        <f ca="1">IFERROR(__xludf.DUMMYFUNCTION("""COMPUTED_VALUE"""),10)</f>
        <v>10</v>
      </c>
      <c r="D1710" s="8">
        <f ca="1">IFERROR(__xludf.DUMMYFUNCTION("""COMPUTED_VALUE"""),2018)</f>
        <v>2018</v>
      </c>
      <c r="E1710" s="9">
        <f ca="1">IFERROR(__xludf.DUMMYFUNCTION("""COMPUTED_VALUE"""),43353)</f>
        <v>43353</v>
      </c>
      <c r="F1710" s="8" t="str">
        <f ca="1">IFERROR(__xludf.DUMMYFUNCTION("""COMPUTED_VALUE"""),"Chatham Academy High School")</f>
        <v>Chatham Academy High School</v>
      </c>
      <c r="G1710" s="8">
        <f ca="1">IFERROR(__xludf.DUMMYFUNCTION("""COMPUTED_VALUE"""),0)</f>
        <v>0</v>
      </c>
      <c r="H1710" s="8">
        <f ca="1">IFERROR(__xludf.DUMMYFUNCTION("""COMPUTED_VALUE"""),3)</f>
        <v>3</v>
      </c>
      <c r="I1710" s="8">
        <f ca="1">IFERROR(__xludf.DUMMYFUNCTION("""COMPUTED_VALUE"""),3)</f>
        <v>3</v>
      </c>
      <c r="J1710" s="8">
        <f ca="1">IFERROR(__xludf.DUMMYFUNCTION("""COMPUTED_VALUE"""),0)</f>
        <v>0</v>
      </c>
      <c r="K1710" s="8" t="str">
        <f ca="1">IFERROR(__xludf.DUMMYFUNCTION("""COMPUTED_VALUE"""),"https://abc7chicago.com/police-3-shot-near-high-school-on-south-side/4204832/ http://www.chicagotribune.com/news/local/breaking/ct-met-monday-violence-20180910-story.html")</f>
        <v>https://abc7chicago.com/police-3-shot-near-high-school-on-south-side/4204832/ http://www.chicagotribune.com/news/local/breaking/ct-met-monday-violence-20180910-story.html</v>
      </c>
      <c r="L1710" s="8"/>
      <c r="M1710" s="8"/>
      <c r="N1710" s="8">
        <f ca="1">IFERROR(__xludf.DUMMYFUNCTION("""COMPUTED_VALUE"""),3)</f>
        <v>3</v>
      </c>
      <c r="O1710" s="8" t="str">
        <f ca="1">IFERROR(__xludf.DUMMYFUNCTION("""COMPUTED_VALUE"""),"Fall")</f>
        <v>Fall</v>
      </c>
      <c r="P1710" s="8" t="str">
        <f ca="1">IFERROR(__xludf.DUMMYFUNCTION("""COMPUTED_VALUE"""),"Chicago")</f>
        <v>Chicago</v>
      </c>
      <c r="Q1710" s="8" t="str">
        <f ca="1">IFERROR(__xludf.DUMMYFUNCTION("""COMPUTED_VALUE"""),"IL")</f>
        <v>IL</v>
      </c>
      <c r="R1710" s="8" t="str">
        <f ca="1">IFERROR(__xludf.DUMMYFUNCTION("""COMPUTED_VALUE"""),"High")</f>
        <v>High</v>
      </c>
      <c r="S1710" s="8" t="str">
        <f ca="1">IFERROR(__xludf.DUMMYFUNCTION("""COMPUTED_VALUE"""),"Beside Building")</f>
        <v>Beside Building</v>
      </c>
      <c r="T1710" s="8" t="str">
        <f ca="1">IFERROR(__xludf.DUMMYFUNCTION("""COMPUTED_VALUE"""),"Outside on School Property")</f>
        <v>Outside on School Property</v>
      </c>
      <c r="U1710" s="8" t="str">
        <f ca="1">IFERROR(__xludf.DUMMYFUNCTION("""COMPUTED_VALUE"""),"Yes")</f>
        <v>Yes</v>
      </c>
      <c r="V1710" s="8" t="str">
        <f ca="1">IFERROR(__xludf.DUMMYFUNCTION("""COMPUTED_VALUE"""),"Dismissal")</f>
        <v>Dismissal</v>
      </c>
      <c r="W1710" s="11">
        <f ca="1">IFERROR(__xludf.DUMMYFUNCTION("""COMPUTED_VALUE"""),0.666666666666666)</f>
        <v>0.66666666666666596</v>
      </c>
      <c r="X1710" s="8">
        <f ca="1">IFERROR(__xludf.DUMMYFUNCTION("""COMPUTED_VALUE"""),1)</f>
        <v>1</v>
      </c>
      <c r="Y1710" s="12" t="str">
        <f ca="1">IFERROR(__xludf.DUMMYFUNCTION("""COMPUTED_VALUE"""),"Shooter in ski mask got out of vehicle and fired multiple shots at three students leaving school")</f>
        <v>Shooter in ski mask got out of vehicle and fired multiple shots at three students leaving school</v>
      </c>
      <c r="Z1710" s="12" t="str">
        <f ca="1">IFERROR(__xludf.DUMMYFUNCTION("""COMPUTED_VALUE"""),"Three students were shot in targeted shooting outside of school at dismissal. Shooter in ski mask got out of car and fired at the students then fled the area. Two of the injured students took refuge in the cafeteria. Police have two suspects in custody bu"&amp;"t not charges announced.")</f>
        <v>Three students were shot in targeted shooting outside of school at dismissal. Shooter in ski mask got out of car and fired at the students then fled the area. Two of the injured students took refuge in the cafeteria. Police have two suspects in custody but not charges announced.</v>
      </c>
      <c r="AA1710" s="8" t="str">
        <f ca="1">IFERROR(__xludf.DUMMYFUNCTION("""COMPUTED_VALUE"""),"Escalation of Dispute")</f>
        <v>Escalation of Dispute</v>
      </c>
      <c r="AB1710" s="8"/>
      <c r="AC1710" s="8" t="str">
        <f ca="1">IFERROR(__xludf.DUMMYFUNCTION("""COMPUTED_VALUE"""),"Yes")</f>
        <v>Yes</v>
      </c>
      <c r="AD1710" s="8" t="str">
        <f ca="1">IFERROR(__xludf.DUMMYFUNCTION("""COMPUTED_VALUE"""),"Victims Targeted")</f>
        <v>Victims Targeted</v>
      </c>
      <c r="AE1710" s="8" t="str">
        <f ca="1">IFERROR(__xludf.DUMMYFUNCTION("""COMPUTED_VALUE"""),"Yes")</f>
        <v>Yes</v>
      </c>
      <c r="AF1710" s="8" t="str">
        <f ca="1">IFERROR(__xludf.DUMMYFUNCTION("""COMPUTED_VALUE"""),"Two arrested, one was driving car")</f>
        <v>Two arrested, one was driving car</v>
      </c>
      <c r="AG1710" s="8" t="str">
        <f ca="1">IFERROR(__xludf.DUMMYFUNCTION("""COMPUTED_VALUE"""),"No")</f>
        <v>No</v>
      </c>
      <c r="AH1710" s="8" t="str">
        <f ca="1">IFERROR(__xludf.DUMMYFUNCTION("""COMPUTED_VALUE"""),"No")</f>
        <v>No</v>
      </c>
      <c r="AI1710" s="8" t="str">
        <f ca="1">IFERROR(__xludf.DUMMYFUNCTION("""COMPUTED_VALUE"""),"No")</f>
        <v>No</v>
      </c>
      <c r="AJ1710" s="8" t="str">
        <f ca="1">IFERROR(__xludf.DUMMYFUNCTION("""COMPUTED_VALUE"""),"No")</f>
        <v>No</v>
      </c>
      <c r="AK1710" s="8" t="str">
        <f ca="1">IFERROR(__xludf.DUMMYFUNCTION("""COMPUTED_VALUE"""),"No")</f>
        <v>No</v>
      </c>
      <c r="AL1710" s="8" t="str">
        <f ca="1">IFERROR(__xludf.DUMMYFUNCTION("""COMPUTED_VALUE"""),"Yes")</f>
        <v>Yes</v>
      </c>
      <c r="AM1710" s="8" t="str">
        <f ca="1">IFERROR(__xludf.DUMMYFUNCTION("""COMPUTED_VALUE"""),"No")</f>
        <v>No</v>
      </c>
      <c r="AN1710" s="8"/>
      <c r="AO1710" s="8" t="str">
        <f ca="1">IFERROR(__xludf.DUMMYFUNCTION("""COMPUTED_VALUE"""),"No")</f>
        <v>No</v>
      </c>
      <c r="AP1710" s="8"/>
      <c r="AQ1710" s="8" t="str">
        <f ca="1">IFERROR(__xludf.DUMMYFUNCTION("""COMPUTED_VALUE"""),"Unknown")</f>
        <v>Unknown</v>
      </c>
      <c r="AR1710" s="8" t="str">
        <f ca="1">IFERROR(__xludf.DUMMYFUNCTION("""COMPUTED_VALUE"""),"NA")</f>
        <v>NA</v>
      </c>
      <c r="AS1710" s="8" t="str">
        <f ca="1">IFERROR(__xludf.DUMMYFUNCTION("""COMPUTED_VALUE"""),"&lt;10")</f>
        <v>&lt;10</v>
      </c>
      <c r="AT1710" s="8"/>
      <c r="AU1710" s="8">
        <f ca="1">IFERROR(__xludf.DUMMYFUNCTION("""COMPUTED_VALUE"""),41.729941)</f>
        <v>41.729940999999997</v>
      </c>
      <c r="AV1710" s="8">
        <f ca="1">IFERROR(__xludf.DUMMYFUNCTION("""COMPUTED_VALUE"""),-87.606633)</f>
        <v>-87.606633000000002</v>
      </c>
      <c r="AW1710" s="8"/>
      <c r="AX1710" s="8">
        <f ca="1">IFERROR(__xludf.DUMMYFUNCTION("""COMPUTED_VALUE"""),60619)</f>
        <v>60619</v>
      </c>
    </row>
    <row r="1711" spans="1:50" ht="75" x14ac:dyDescent="0.2">
      <c r="A1711" s="8" t="str">
        <f ca="1">IFERROR(__xludf.DUMMYFUNCTION("""COMPUTED_VALUE"""),"20180909CAGIG")</f>
        <v>20180909CAGIG</v>
      </c>
      <c r="B1711" s="8">
        <f ca="1">IFERROR(__xludf.DUMMYFUNCTION("""COMPUTED_VALUE"""),9)</f>
        <v>9</v>
      </c>
      <c r="C1711" s="8">
        <f ca="1">IFERROR(__xludf.DUMMYFUNCTION("""COMPUTED_VALUE"""),9)</f>
        <v>9</v>
      </c>
      <c r="D1711" s="8">
        <f ca="1">IFERROR(__xludf.DUMMYFUNCTION("""COMPUTED_VALUE"""),2018)</f>
        <v>2018</v>
      </c>
      <c r="E1711" s="9">
        <f ca="1">IFERROR(__xludf.DUMMYFUNCTION("""COMPUTED_VALUE"""),43352)</f>
        <v>43352</v>
      </c>
      <c r="F1711" s="8" t="str">
        <f ca="1">IFERROR(__xludf.DUMMYFUNCTION("""COMPUTED_VALUE"""),"Gilroy High School")</f>
        <v>Gilroy High School</v>
      </c>
      <c r="G1711" s="8">
        <f ca="1">IFERROR(__xludf.DUMMYFUNCTION("""COMPUTED_VALUE"""),0)</f>
        <v>0</v>
      </c>
      <c r="H1711" s="8">
        <f ca="1">IFERROR(__xludf.DUMMYFUNCTION("""COMPUTED_VALUE"""),0)</f>
        <v>0</v>
      </c>
      <c r="I1711" s="8">
        <f ca="1">IFERROR(__xludf.DUMMYFUNCTION("""COMPUTED_VALUE"""),0)</f>
        <v>0</v>
      </c>
      <c r="J1711" s="8">
        <f ca="1">IFERROR(__xludf.DUMMYFUNCTION("""COMPUTED_VALUE"""),0)</f>
        <v>0</v>
      </c>
      <c r="K1711" s="10" t="str">
        <f ca="1">IFERROR(__xludf.DUMMYFUNCTION("""COMPUTED_VALUE"""),"https://www.nbcbayarea.com/news/local/Suspect-Arrested-After-Officer-Involved-Shooting-Chase-at-Gilroy-High-School--492815721.html")</f>
        <v>https://www.nbcbayarea.com/news/local/Suspect-Arrested-After-Officer-Involved-Shooting-Chase-at-Gilroy-High-School--492815721.html</v>
      </c>
      <c r="L1711" s="8"/>
      <c r="M1711" s="8"/>
      <c r="N1711" s="8">
        <f ca="1">IFERROR(__xludf.DUMMYFUNCTION("""COMPUTED_VALUE"""),3)</f>
        <v>3</v>
      </c>
      <c r="O1711" s="8" t="str">
        <f ca="1">IFERROR(__xludf.DUMMYFUNCTION("""COMPUTED_VALUE"""),"Fall")</f>
        <v>Fall</v>
      </c>
      <c r="P1711" s="8" t="str">
        <f ca="1">IFERROR(__xludf.DUMMYFUNCTION("""COMPUTED_VALUE"""),"Gilroy")</f>
        <v>Gilroy</v>
      </c>
      <c r="Q1711" s="8" t="str">
        <f ca="1">IFERROR(__xludf.DUMMYFUNCTION("""COMPUTED_VALUE"""),"CA")</f>
        <v>CA</v>
      </c>
      <c r="R1711" s="8" t="str">
        <f ca="1">IFERROR(__xludf.DUMMYFUNCTION("""COMPUTED_VALUE"""),"High")</f>
        <v>High</v>
      </c>
      <c r="S1711" s="8" t="str">
        <f ca="1">IFERROR(__xludf.DUMMYFUNCTION("""COMPUTED_VALUE"""),"Field (General)")</f>
        <v>Field (General)</v>
      </c>
      <c r="T1711" s="8" t="str">
        <f ca="1">IFERROR(__xludf.DUMMYFUNCTION("""COMPUTED_VALUE"""),"Outside on School Property")</f>
        <v>Outside on School Property</v>
      </c>
      <c r="U1711" s="8" t="str">
        <f ca="1">IFERROR(__xludf.DUMMYFUNCTION("""COMPUTED_VALUE"""),"No")</f>
        <v>No</v>
      </c>
      <c r="V1711" s="8" t="str">
        <f ca="1">IFERROR(__xludf.DUMMYFUNCTION("""COMPUTED_VALUE"""),"Not a School Day")</f>
        <v>Not a School Day</v>
      </c>
      <c r="W1711" s="11">
        <f ca="1">IFERROR(__xludf.DUMMYFUNCTION("""COMPUTED_VALUE"""),0.541666666666666)</f>
        <v>0.54166666666666596</v>
      </c>
      <c r="X1711" s="8">
        <f ca="1">IFERROR(__xludf.DUMMYFUNCTION("""COMPUTED_VALUE"""),1)</f>
        <v>1</v>
      </c>
      <c r="Y1711" s="12" t="str">
        <f ca="1">IFERROR(__xludf.DUMMYFUNCTION("""COMPUTED_VALUE"""),"Officer shot a vehicle driving recklessly on football field")</f>
        <v>Officer shot a vehicle driving recklessly on football field</v>
      </c>
      <c r="Z1711" s="12" t="str">
        <f ca="1">IFERROR(__xludf.DUMMYFUNCTION("""COMPUTED_VALUE"""),"Officer fired at a vehicle driving recklessly around football field during youth football tournament. No injuries. Driver was a former police officer, had made 911 calls, and was allegedly involved in the kidnapping of a woman.  He was arrested, no known "&amp;"connection to the school.")</f>
        <v>Officer fired at a vehicle driving recklessly around football field during youth football tournament. No injuries. Driver was a former police officer, had made 911 calls, and was allegedly involved in the kidnapping of a woman.  He was arrested, no known connection to the school.</v>
      </c>
      <c r="AA1711" s="8" t="str">
        <f ca="1">IFERROR(__xludf.DUMMYFUNCTION("""COMPUTED_VALUE"""),"Illegal Activity")</f>
        <v>Illegal Activity</v>
      </c>
      <c r="AB1711" s="8"/>
      <c r="AC1711" s="8" t="str">
        <f ca="1">IFERROR(__xludf.DUMMYFUNCTION("""COMPUTED_VALUE"""),"No")</f>
        <v>No</v>
      </c>
      <c r="AD1711" s="8" t="str">
        <f ca="1">IFERROR(__xludf.DUMMYFUNCTION("""COMPUTED_VALUE"""),"Neither")</f>
        <v>Neither</v>
      </c>
      <c r="AE1711" s="8" t="str">
        <f ca="1">IFERROR(__xludf.DUMMYFUNCTION("""COMPUTED_VALUE"""),"No")</f>
        <v>No</v>
      </c>
      <c r="AF1711" s="8"/>
      <c r="AG1711" s="8" t="str">
        <f ca="1">IFERROR(__xludf.DUMMYFUNCTION("""COMPUTED_VALUE"""),"No")</f>
        <v>No</v>
      </c>
      <c r="AH1711" s="8" t="str">
        <f ca="1">IFERROR(__xludf.DUMMYFUNCTION("""COMPUTED_VALUE"""),"No")</f>
        <v>No</v>
      </c>
      <c r="AI1711" s="8" t="str">
        <f ca="1">IFERROR(__xludf.DUMMYFUNCTION("""COMPUTED_VALUE"""),"Yes")</f>
        <v>Yes</v>
      </c>
      <c r="AJ1711" s="8" t="str">
        <f ca="1">IFERROR(__xludf.DUMMYFUNCTION("""COMPUTED_VALUE"""),"N/A")</f>
        <v>N/A</v>
      </c>
      <c r="AK1711" s="8" t="str">
        <f ca="1">IFERROR(__xludf.DUMMYFUNCTION("""COMPUTED_VALUE"""),"N/A")</f>
        <v>N/A</v>
      </c>
      <c r="AL1711" s="8" t="str">
        <f ca="1">IFERROR(__xludf.DUMMYFUNCTION("""COMPUTED_VALUE"""),"N/A")</f>
        <v>N/A</v>
      </c>
      <c r="AM1711" s="8" t="str">
        <f ca="1">IFERROR(__xludf.DUMMYFUNCTION("""COMPUTED_VALUE"""),"No")</f>
        <v>No</v>
      </c>
      <c r="AN1711" s="8"/>
      <c r="AO1711" s="8" t="str">
        <f ca="1">IFERROR(__xludf.DUMMYFUNCTION("""COMPUTED_VALUE"""),"N/A")</f>
        <v>N/A</v>
      </c>
      <c r="AP1711" s="8"/>
      <c r="AQ1711" s="8" t="str">
        <f ca="1">IFERROR(__xludf.DUMMYFUNCTION("""COMPUTED_VALUE"""),"Unknown")</f>
        <v>Unknown</v>
      </c>
      <c r="AR1711" s="8" t="str">
        <f ca="1">IFERROR(__xludf.DUMMYFUNCTION("""COMPUTED_VALUE"""),"NA")</f>
        <v>NA</v>
      </c>
      <c r="AS1711" s="8">
        <f ca="1">IFERROR(__xludf.DUMMYFUNCTION("""COMPUTED_VALUE"""),1)</f>
        <v>1</v>
      </c>
      <c r="AT1711" s="8"/>
      <c r="AU1711" s="8">
        <f ca="1">IFERROR(__xludf.DUMMYFUNCTION("""COMPUTED_VALUE"""),36.994947)</f>
        <v>36.994947000000003</v>
      </c>
      <c r="AV1711" s="8">
        <f ca="1">IFERROR(__xludf.DUMMYFUNCTION("""COMPUTED_VALUE"""),-121.57643)</f>
        <v>-121.57643</v>
      </c>
      <c r="AW1711" s="8"/>
      <c r="AX1711" s="8">
        <f ca="1">IFERROR(__xludf.DUMMYFUNCTION("""COMPUTED_VALUE"""),95020)</f>
        <v>95020</v>
      </c>
    </row>
    <row r="1712" spans="1:50" ht="60" x14ac:dyDescent="0.2">
      <c r="A1712" s="8" t="str">
        <f ca="1">IFERROR(__xludf.DUMMYFUNCTION("""COMPUTED_VALUE"""),"20180907IAHED")</f>
        <v>20180907IAHED</v>
      </c>
      <c r="B1712" s="8">
        <f ca="1">IFERROR(__xludf.DUMMYFUNCTION("""COMPUTED_VALUE"""),9)</f>
        <v>9</v>
      </c>
      <c r="C1712" s="8">
        <f ca="1">IFERROR(__xludf.DUMMYFUNCTION("""COMPUTED_VALUE"""),7)</f>
        <v>7</v>
      </c>
      <c r="D1712" s="8">
        <f ca="1">IFERROR(__xludf.DUMMYFUNCTION("""COMPUTED_VALUE"""),2018)</f>
        <v>2018</v>
      </c>
      <c r="E1712" s="9">
        <f ca="1">IFERROR(__xludf.DUMMYFUNCTION("""COMPUTED_VALUE"""),43350)</f>
        <v>43350</v>
      </c>
      <c r="F1712" s="8" t="str">
        <f ca="1">IFERROR(__xludf.DUMMYFUNCTION("""COMPUTED_VALUE"""),"Herbert Hoover High School")</f>
        <v>Herbert Hoover High School</v>
      </c>
      <c r="G1712" s="8">
        <f ca="1">IFERROR(__xludf.DUMMYFUNCTION("""COMPUTED_VALUE"""),0)</f>
        <v>0</v>
      </c>
      <c r="H1712" s="8">
        <f ca="1">IFERROR(__xludf.DUMMYFUNCTION("""COMPUTED_VALUE"""),0)</f>
        <v>0</v>
      </c>
      <c r="I1712" s="8">
        <f ca="1">IFERROR(__xludf.DUMMYFUNCTION("""COMPUTED_VALUE"""),0)</f>
        <v>0</v>
      </c>
      <c r="J1712" s="8">
        <f ca="1">IFERROR(__xludf.DUMMYFUNCTION("""COMPUTED_VALUE"""),0)</f>
        <v>0</v>
      </c>
      <c r="K1712" s="10" t="str">
        <f ca="1">IFERROR(__xludf.DUMMYFUNCTION("""COMPUTED_VALUE"""),"https://www.desmoinesregister.com/story/news/2018/09/07/des-moines-hoover-north-homecoming-game-shooting-football-des-moines-police-mcgrane-stadium/1234471002/")</f>
        <v>https://www.desmoinesregister.com/story/news/2018/09/07/des-moines-hoover-north-homecoming-game-shooting-football-des-moines-police-mcgrane-stadium/1234471002/</v>
      </c>
      <c r="L1712" s="8"/>
      <c r="M1712" s="8"/>
      <c r="N1712" s="8">
        <f ca="1">IFERROR(__xludf.DUMMYFUNCTION("""COMPUTED_VALUE"""),3)</f>
        <v>3</v>
      </c>
      <c r="O1712" s="8" t="str">
        <f ca="1">IFERROR(__xludf.DUMMYFUNCTION("""COMPUTED_VALUE"""),"Fall")</f>
        <v>Fall</v>
      </c>
      <c r="P1712" s="8" t="str">
        <f ca="1">IFERROR(__xludf.DUMMYFUNCTION("""COMPUTED_VALUE"""),"Des Moines")</f>
        <v>Des Moines</v>
      </c>
      <c r="Q1712" s="8" t="str">
        <f ca="1">IFERROR(__xludf.DUMMYFUNCTION("""COMPUTED_VALUE"""),"IA")</f>
        <v>IA</v>
      </c>
      <c r="R1712" s="8" t="str">
        <f ca="1">IFERROR(__xludf.DUMMYFUNCTION("""COMPUTED_VALUE"""),"High")</f>
        <v>High</v>
      </c>
      <c r="S1712" s="8" t="str">
        <f ca="1">IFERROR(__xludf.DUMMYFUNCTION("""COMPUTED_VALUE"""),"Parking Lot")</f>
        <v>Parking Lot</v>
      </c>
      <c r="T1712" s="8" t="str">
        <f ca="1">IFERROR(__xludf.DUMMYFUNCTION("""COMPUTED_VALUE"""),"Outside on School Property")</f>
        <v>Outside on School Property</v>
      </c>
      <c r="U1712" s="8" t="str">
        <f ca="1">IFERROR(__xludf.DUMMYFUNCTION("""COMPUTED_VALUE"""),"No")</f>
        <v>No</v>
      </c>
      <c r="V1712" s="8" t="str">
        <f ca="1">IFERROR(__xludf.DUMMYFUNCTION("""COMPUTED_VALUE"""),"Sport Event")</f>
        <v>Sport Event</v>
      </c>
      <c r="W1712" s="11">
        <f ca="1">IFERROR(__xludf.DUMMYFUNCTION("""COMPUTED_VALUE"""),0.875)</f>
        <v>0.875</v>
      </c>
      <c r="X1712" s="8">
        <f ca="1">IFERROR(__xludf.DUMMYFUNCTION("""COMPUTED_VALUE"""),1)</f>
        <v>1</v>
      </c>
      <c r="Y1712" s="12" t="str">
        <f ca="1">IFERROR(__xludf.DUMMYFUNCTION("""COMPUTED_VALUE"""),"Shots fired in parking lot during football game, game canceled")</f>
        <v>Shots fired in parking lot during football game, game canceled</v>
      </c>
      <c r="Z1712" s="12" t="str">
        <f ca="1">IFERROR(__xludf.DUMMYFUNCTION("""COMPUTED_VALUE"""),"Shots fired in the parking lot during football game. Game was stopped and then canceled. Police recovered shell casings in the parking lot. Stadium was cleared. No injuries reported.")</f>
        <v>Shots fired in the parking lot during football game. Game was stopped and then canceled. Police recovered shell casings in the parking lot. Stadium was cleared. No injuries reported.</v>
      </c>
      <c r="AA1712" s="8" t="str">
        <f ca="1">IFERROR(__xludf.DUMMYFUNCTION("""COMPUTED_VALUE"""),"Escalation of Dispute")</f>
        <v>Escalation of Dispute</v>
      </c>
      <c r="AB1712" s="8"/>
      <c r="AC1712" s="8" t="str">
        <f ca="1">IFERROR(__xludf.DUMMYFUNCTION("""COMPUTED_VALUE"""),"Yes")</f>
        <v>Yes</v>
      </c>
      <c r="AD1712" s="8"/>
      <c r="AE1712" s="8"/>
      <c r="AF1712" s="8"/>
      <c r="AG1712" s="8" t="str">
        <f ca="1">IFERROR(__xludf.DUMMYFUNCTION("""COMPUTED_VALUE"""),"No")</f>
        <v>No</v>
      </c>
      <c r="AH1712" s="8" t="str">
        <f ca="1">IFERROR(__xludf.DUMMYFUNCTION("""COMPUTED_VALUE"""),"No")</f>
        <v>No</v>
      </c>
      <c r="AI1712" s="8" t="str">
        <f ca="1">IFERROR(__xludf.DUMMYFUNCTION("""COMPUTED_VALUE"""),"No")</f>
        <v>No</v>
      </c>
      <c r="AJ1712" s="8" t="str">
        <f ca="1">IFERROR(__xludf.DUMMYFUNCTION("""COMPUTED_VALUE"""),"No")</f>
        <v>No</v>
      </c>
      <c r="AK1712" s="8" t="str">
        <f ca="1">IFERROR(__xludf.DUMMYFUNCTION("""COMPUTED_VALUE"""),"No")</f>
        <v>No</v>
      </c>
      <c r="AL1712" s="8"/>
      <c r="AM1712" s="8" t="str">
        <f ca="1">IFERROR(__xludf.DUMMYFUNCTION("""COMPUTED_VALUE"""),"No")</f>
        <v>No</v>
      </c>
      <c r="AN1712" s="8"/>
      <c r="AO1712" s="8" t="str">
        <f ca="1">IFERROR(__xludf.DUMMYFUNCTION("""COMPUTED_VALUE"""),"No")</f>
        <v>No</v>
      </c>
      <c r="AP1712" s="8" t="str">
        <f ca="1">IFERROR(__xludf.DUMMYFUNCTION("""COMPUTED_VALUE"""),"Yes")</f>
        <v>Yes</v>
      </c>
      <c r="AQ1712" s="8" t="str">
        <f ca="1">IFERROR(__xludf.DUMMYFUNCTION("""COMPUTED_VALUE"""),"Unknown")</f>
        <v>Unknown</v>
      </c>
      <c r="AR1712" s="8" t="str">
        <f ca="1">IFERROR(__xludf.DUMMYFUNCTION("""COMPUTED_VALUE"""),"NA")</f>
        <v>NA</v>
      </c>
      <c r="AS1712" s="8"/>
      <c r="AT1712" s="8" t="str">
        <f ca="1">IFERROR(__xludf.DUMMYFUNCTION("""COMPUTED_VALUE"""),"Yes")</f>
        <v>Yes</v>
      </c>
      <c r="AU1712" s="8">
        <f ca="1">IFERROR(__xludf.DUMMYFUNCTION("""COMPUTED_VALUE"""),41.635607)</f>
        <v>41.635607</v>
      </c>
      <c r="AV1712" s="8">
        <f ca="1">IFERROR(__xludf.DUMMYFUNCTION("""COMPUTED_VALUE"""),-93.686736)</f>
        <v>-93.686735999999996</v>
      </c>
      <c r="AW1712" s="8"/>
      <c r="AX1712" s="8">
        <f ca="1">IFERROR(__xludf.DUMMYFUNCTION("""COMPUTED_VALUE"""),50310)</f>
        <v>50310</v>
      </c>
    </row>
    <row r="1713" spans="1:50" ht="195" x14ac:dyDescent="0.2">
      <c r="A1713" s="8" t="str">
        <f ca="1">IFERROR(__xludf.DUMMYFUNCTION("""COMPUTED_VALUE"""),"20180905RIPRP")</f>
        <v>20180905RIPRP</v>
      </c>
      <c r="B1713" s="8">
        <f ca="1">IFERROR(__xludf.DUMMYFUNCTION("""COMPUTED_VALUE"""),9)</f>
        <v>9</v>
      </c>
      <c r="C1713" s="8">
        <f ca="1">IFERROR(__xludf.DUMMYFUNCTION("""COMPUTED_VALUE"""),5)</f>
        <v>5</v>
      </c>
      <c r="D1713" s="8">
        <f ca="1">IFERROR(__xludf.DUMMYFUNCTION("""COMPUTED_VALUE"""),2018)</f>
        <v>2018</v>
      </c>
      <c r="E1713" s="9">
        <f ca="1">IFERROR(__xludf.DUMMYFUNCTION("""COMPUTED_VALUE"""),43348)</f>
        <v>43348</v>
      </c>
      <c r="F1713" s="8" t="str">
        <f ca="1">IFERROR(__xludf.DUMMYFUNCTION("""COMPUTED_VALUE"""),"Providence Career and Technical Academy")</f>
        <v>Providence Career and Technical Academy</v>
      </c>
      <c r="G1713" s="8">
        <f ca="1">IFERROR(__xludf.DUMMYFUNCTION("""COMPUTED_VALUE"""),1)</f>
        <v>1</v>
      </c>
      <c r="H1713" s="8">
        <f ca="1">IFERROR(__xludf.DUMMYFUNCTION("""COMPUTED_VALUE"""),0)</f>
        <v>0</v>
      </c>
      <c r="I1713" s="8">
        <f ca="1">IFERROR(__xludf.DUMMYFUNCTION("""COMPUTED_VALUE"""),1)</f>
        <v>1</v>
      </c>
      <c r="J1713" s="8">
        <f ca="1">IFERROR(__xludf.DUMMYFUNCTION("""COMPUTED_VALUE"""),0)</f>
        <v>0</v>
      </c>
      <c r="K1713" s="8" t="str">
        <f ca="1">IFERROR(__xludf.DUMMYFUNCTION("""COMPUTED_VALUE"""),"https://turnto10.com/news/local/shots-fired-in-providence-near-technical-school http://www.providencejournal.com/news/20180912/16-year-old-providence-school-shooting-suspect-remains-in-custody-after-court-appearance https://turnto10.com/news/local/16-year"&amp;"-old-school-shooting-suspect-makes-court-appearance")</f>
        <v>https://turnto10.com/news/local/shots-fired-in-providence-near-technical-school http://www.providencejournal.com/news/20180912/16-year-old-providence-school-shooting-suspect-remains-in-custody-after-court-appearance https://turnto10.com/news/local/16-year-old-school-shooting-suspect-makes-court-appearance</v>
      </c>
      <c r="L1713" s="8">
        <f ca="1">IFERROR(__xludf.DUMMYFUNCTION("""COMPUTED_VALUE"""),5)</f>
        <v>5</v>
      </c>
      <c r="M1713" s="8" t="str">
        <f ca="1">IFERROR(__xludf.DUMMYFUNCTION("""COMPUTED_VALUE"""),"Local")</f>
        <v>Local</v>
      </c>
      <c r="N1713" s="8">
        <f ca="1">IFERROR(__xludf.DUMMYFUNCTION("""COMPUTED_VALUE"""),4)</f>
        <v>4</v>
      </c>
      <c r="O1713" s="8" t="str">
        <f ca="1">IFERROR(__xludf.DUMMYFUNCTION("""COMPUTED_VALUE"""),"Fall")</f>
        <v>Fall</v>
      </c>
      <c r="P1713" s="8" t="str">
        <f ca="1">IFERROR(__xludf.DUMMYFUNCTION("""COMPUTED_VALUE"""),"Providence")</f>
        <v>Providence</v>
      </c>
      <c r="Q1713" s="8" t="str">
        <f ca="1">IFERROR(__xludf.DUMMYFUNCTION("""COMPUTED_VALUE"""),"RI")</f>
        <v>RI</v>
      </c>
      <c r="R1713" s="8" t="str">
        <f ca="1">IFERROR(__xludf.DUMMYFUNCTION("""COMPUTED_VALUE"""),"High")</f>
        <v>High</v>
      </c>
      <c r="S1713" s="8" t="str">
        <f ca="1">IFERROR(__xludf.DUMMYFUNCTION("""COMPUTED_VALUE"""),"Front of School")</f>
        <v>Front of School</v>
      </c>
      <c r="T1713" s="8" t="str">
        <f ca="1">IFERROR(__xludf.DUMMYFUNCTION("""COMPUTED_VALUE"""),"Outside on School Property")</f>
        <v>Outside on School Property</v>
      </c>
      <c r="U1713" s="8" t="str">
        <f ca="1">IFERROR(__xludf.DUMMYFUNCTION("""COMPUTED_VALUE"""),"Yes")</f>
        <v>Yes</v>
      </c>
      <c r="V1713" s="8" t="str">
        <f ca="1">IFERROR(__xludf.DUMMYFUNCTION("""COMPUTED_VALUE"""),"Dismissal")</f>
        <v>Dismissal</v>
      </c>
      <c r="W1713" s="11">
        <f ca="1">IFERROR(__xludf.DUMMYFUNCTION("""COMPUTED_VALUE"""),0.583333333333333)</f>
        <v>0.58333333333333304</v>
      </c>
      <c r="X1713" s="8">
        <f ca="1">IFERROR(__xludf.DUMMYFUNCTION("""COMPUTED_VALUE"""),1)</f>
        <v>1</v>
      </c>
      <c r="Y1713" s="12" t="str">
        <f ca="1">IFERROR(__xludf.DUMMYFUNCTION("""COMPUTED_VALUE"""),"Shots during fight outside school")</f>
        <v>Shots during fight outside school</v>
      </c>
      <c r="Z1713" s="12" t="str">
        <f ca="1">IFERROR(__xludf.DUMMYFUNCTION("""COMPUTED_VALUE"""),"Three juveniles were arguing in front of the school. One of them discharged a handgun and killed a juvenile bystander who was student of another school. Juveniles involved fled the scene. Shortly after, police responded to another crime scene, where the s"&amp;"hooter allegedly shot himself accidentally in the thigh, while fleeing the crime scene. Suspect claimed he was shot from a drive-by car but the nature of the wound did not corroborate the report. Police found a revolver nearby. He was arrested and charged"&amp;". Witnesses confirmed shooter's identity. Shooter was allegedly a member of the Hanover Boyz street gang and had been caught multiple times with weapons on school grounds, including a BB gun and a knife.")</f>
        <v>Three juveniles were arguing in front of the school. One of them discharged a handgun and killed a juvenile bystander who was student of another school. Juveniles involved fled the scene. Shortly after, police responded to another crime scene, where the shooter allegedly shot himself accidentally in the thigh, while fleeing the crime scene. Suspect claimed he was shot from a drive-by car but the nature of the wound did not corroborate the report. Police found a revolver nearby. He was arrested and charged. Witnesses confirmed shooter's identity. Shooter was allegedly a member of the Hanover Boyz street gang and had been caught multiple times with weapons on school grounds, including a BB gun and a knife.</v>
      </c>
      <c r="AA1713" s="8" t="str">
        <f ca="1">IFERROR(__xludf.DUMMYFUNCTION("""COMPUTED_VALUE"""),"Escalation of Dispute")</f>
        <v>Escalation of Dispute</v>
      </c>
      <c r="AB1713" s="8"/>
      <c r="AC1713" s="8" t="str">
        <f ca="1">IFERROR(__xludf.DUMMYFUNCTION("""COMPUTED_VALUE"""),"Yes")</f>
        <v>Yes</v>
      </c>
      <c r="AD1713" s="8" t="str">
        <f ca="1">IFERROR(__xludf.DUMMYFUNCTION("""COMPUTED_VALUE"""),"Both")</f>
        <v>Both</v>
      </c>
      <c r="AE1713" s="8" t="str">
        <f ca="1">IFERROR(__xludf.DUMMYFUNCTION("""COMPUTED_VALUE"""),"Yes")</f>
        <v>Yes</v>
      </c>
      <c r="AF1713" s="8" t="str">
        <f ca="1">IFERROR(__xludf.DUMMYFUNCTION("""COMPUTED_VALUE"""),"Two teens fled the scene with shooter")</f>
        <v>Two teens fled the scene with shooter</v>
      </c>
      <c r="AG1713" s="8" t="str">
        <f ca="1">IFERROR(__xludf.DUMMYFUNCTION("""COMPUTED_VALUE"""),"No")</f>
        <v>No</v>
      </c>
      <c r="AH1713" s="8" t="str">
        <f ca="1">IFERROR(__xludf.DUMMYFUNCTION("""COMPUTED_VALUE"""),"No")</f>
        <v>No</v>
      </c>
      <c r="AI1713" s="8" t="str">
        <f ca="1">IFERROR(__xludf.DUMMYFUNCTION("""COMPUTED_VALUE"""),"No")</f>
        <v>No</v>
      </c>
      <c r="AJ1713" s="8" t="str">
        <f ca="1">IFERROR(__xludf.DUMMYFUNCTION("""COMPUTED_VALUE"""),"No")</f>
        <v>No</v>
      </c>
      <c r="AK1713" s="8" t="str">
        <f ca="1">IFERROR(__xludf.DUMMYFUNCTION("""COMPUTED_VALUE"""),"No")</f>
        <v>No</v>
      </c>
      <c r="AL1713" s="8" t="str">
        <f ca="1">IFERROR(__xludf.DUMMYFUNCTION("""COMPUTED_VALUE"""),"Yes")</f>
        <v>Yes</v>
      </c>
      <c r="AM1713" s="8" t="str">
        <f ca="1">IFERROR(__xludf.DUMMYFUNCTION("""COMPUTED_VALUE"""),"No")</f>
        <v>No</v>
      </c>
      <c r="AN1713" s="8"/>
      <c r="AO1713" s="8" t="str">
        <f ca="1">IFERROR(__xludf.DUMMYFUNCTION("""COMPUTED_VALUE"""),"No")</f>
        <v>No</v>
      </c>
      <c r="AP1713" s="8" t="str">
        <f ca="1">IFERROR(__xludf.DUMMYFUNCTION("""COMPUTED_VALUE"""),"N/A")</f>
        <v>N/A</v>
      </c>
      <c r="AQ1713" s="8" t="str">
        <f ca="1">IFERROR(__xludf.DUMMYFUNCTION("""COMPUTED_VALUE"""),"Unknown")</f>
        <v>Unknown</v>
      </c>
      <c r="AR1713" s="8" t="str">
        <f ca="1">IFERROR(__xludf.DUMMYFUNCTION("""COMPUTED_VALUE"""),"NA")</f>
        <v>NA</v>
      </c>
      <c r="AS1713" s="8" t="str">
        <f ca="1">IFERROR(__xludf.DUMMYFUNCTION("""COMPUTED_VALUE"""),"&lt;10")</f>
        <v>&lt;10</v>
      </c>
      <c r="AT1713" s="8" t="str">
        <f ca="1">IFERROR(__xludf.DUMMYFUNCTION("""COMPUTED_VALUE"""),"Yes")</f>
        <v>Yes</v>
      </c>
      <c r="AU1713" s="8">
        <f ca="1">IFERROR(__xludf.DUMMYFUNCTION("""COMPUTED_VALUE"""),41.817412)</f>
        <v>41.817411999999997</v>
      </c>
      <c r="AV1713" s="8">
        <f ca="1">IFERROR(__xludf.DUMMYFUNCTION("""COMPUTED_VALUE"""),-71.418498)</f>
        <v>-71.418498</v>
      </c>
      <c r="AW1713" s="8"/>
      <c r="AX1713" s="8">
        <f ca="1">IFERROR(__xludf.DUMMYFUNCTION("""COMPUTED_VALUE"""),2902)</f>
        <v>2902</v>
      </c>
    </row>
    <row r="1714" spans="1:50" ht="60" x14ac:dyDescent="0.2">
      <c r="A1714" s="8" t="str">
        <f ca="1">IFERROR(__xludf.DUMMYFUNCTION("""COMPUTED_VALUE"""),"20180903NYLUN")</f>
        <v>20180903NYLUN</v>
      </c>
      <c r="B1714" s="8">
        <f ca="1">IFERROR(__xludf.DUMMYFUNCTION("""COMPUTED_VALUE"""),9)</f>
        <v>9</v>
      </c>
      <c r="C1714" s="8">
        <f ca="1">IFERROR(__xludf.DUMMYFUNCTION("""COMPUTED_VALUE"""),3)</f>
        <v>3</v>
      </c>
      <c r="D1714" s="8">
        <f ca="1">IFERROR(__xludf.DUMMYFUNCTION("""COMPUTED_VALUE"""),2018)</f>
        <v>2018</v>
      </c>
      <c r="E1714" s="9">
        <f ca="1">IFERROR(__xludf.DUMMYFUNCTION("""COMPUTED_VALUE"""),43346)</f>
        <v>43346</v>
      </c>
      <c r="F1714" s="8" t="str">
        <f ca="1">IFERROR(__xludf.DUMMYFUNCTION("""COMPUTED_VALUE"""),"Luisa Pineiro Fuentes School of Science and Discovery")</f>
        <v>Luisa Pineiro Fuentes School of Science and Discovery</v>
      </c>
      <c r="G1714" s="8">
        <f ca="1">IFERROR(__xludf.DUMMYFUNCTION("""COMPUTED_VALUE"""),1)</f>
        <v>1</v>
      </c>
      <c r="H1714" s="8">
        <f ca="1">IFERROR(__xludf.DUMMYFUNCTION("""COMPUTED_VALUE"""),0)</f>
        <v>0</v>
      </c>
      <c r="I1714" s="8">
        <f ca="1">IFERROR(__xludf.DUMMYFUNCTION("""COMPUTED_VALUE"""),1)</f>
        <v>1</v>
      </c>
      <c r="J1714" s="8">
        <f ca="1">IFERROR(__xludf.DUMMYFUNCTION("""COMPUTED_VALUE"""),0)</f>
        <v>0</v>
      </c>
      <c r="K1714" s="10" t="str">
        <f ca="1">IFERROR(__xludf.DUMMYFUNCTION("""COMPUTED_VALUE"""),"http://www.nydailynews.com/new-york/nyc-crime/ny-metro-man-shot-outside-bronx-school-20180904-story.html")</f>
        <v>http://www.nydailynews.com/new-york/nyc-crime/ny-metro-man-shot-outside-bronx-school-20180904-story.html</v>
      </c>
      <c r="L1714" s="8">
        <f ca="1">IFERROR(__xludf.DUMMYFUNCTION("""COMPUTED_VALUE"""),1)</f>
        <v>1</v>
      </c>
      <c r="M1714" s="8" t="str">
        <f ca="1">IFERROR(__xludf.DUMMYFUNCTION("""COMPUTED_VALUE"""),"Local")</f>
        <v>Local</v>
      </c>
      <c r="N1714" s="8">
        <f ca="1">IFERROR(__xludf.DUMMYFUNCTION("""COMPUTED_VALUE"""),3)</f>
        <v>3</v>
      </c>
      <c r="O1714" s="8" t="str">
        <f ca="1">IFERROR(__xludf.DUMMYFUNCTION("""COMPUTED_VALUE"""),"Fall")</f>
        <v>Fall</v>
      </c>
      <c r="P1714" s="8" t="str">
        <f ca="1">IFERROR(__xludf.DUMMYFUNCTION("""COMPUTED_VALUE"""),"New York")</f>
        <v>New York</v>
      </c>
      <c r="Q1714" s="8" t="str">
        <f ca="1">IFERROR(__xludf.DUMMYFUNCTION("""COMPUTED_VALUE"""),"NY")</f>
        <v>NY</v>
      </c>
      <c r="R1714" s="8" t="str">
        <f ca="1">IFERROR(__xludf.DUMMYFUNCTION("""COMPUTED_VALUE"""),"Elementary")</f>
        <v>Elementary</v>
      </c>
      <c r="S1714" s="8" t="str">
        <f ca="1">IFERROR(__xludf.DUMMYFUNCTION("""COMPUTED_VALUE"""),"Field (General)")</f>
        <v>Field (General)</v>
      </c>
      <c r="T1714" s="8" t="str">
        <f ca="1">IFERROR(__xludf.DUMMYFUNCTION("""COMPUTED_VALUE"""),"Outside on School Property")</f>
        <v>Outside on School Property</v>
      </c>
      <c r="U1714" s="8" t="str">
        <f ca="1">IFERROR(__xludf.DUMMYFUNCTION("""COMPUTED_VALUE"""),"No")</f>
        <v>No</v>
      </c>
      <c r="V1714" s="8" t="str">
        <f ca="1">IFERROR(__xludf.DUMMYFUNCTION("""COMPUTED_VALUE"""),"Evening")</f>
        <v>Evening</v>
      </c>
      <c r="W1714" s="11">
        <f ca="1">IFERROR(__xludf.DUMMYFUNCTION("""COMPUTED_VALUE"""),0.888888888888888)</f>
        <v>0.88888888888888795</v>
      </c>
      <c r="X1714" s="8">
        <f ca="1">IFERROR(__xludf.DUMMYFUNCTION("""COMPUTED_VALUE"""),1)</f>
        <v>1</v>
      </c>
      <c r="Y1714" s="12" t="str">
        <f ca="1">IFERROR(__xludf.DUMMYFUNCTION("""COMPUTED_VALUE"""),"Non-student killed during argument outside of school (closed for holiday)")</f>
        <v>Non-student killed during argument outside of school (closed for holiday)</v>
      </c>
      <c r="Z1714" s="12" t="str">
        <f ca="1">IFERROR(__xludf.DUMMYFUNCTION("""COMPUTED_VALUE"""),"34YOM was shot by unknown gunman during argument outside of school. School was closed for Labor Day and there was a cook-out block party being held on the campus.")</f>
        <v>34YOM was shot by unknown gunman during argument outside of school. School was closed for Labor Day and there was a cook-out block party being held on the campus.</v>
      </c>
      <c r="AA1714" s="8" t="str">
        <f ca="1">IFERROR(__xludf.DUMMYFUNCTION("""COMPUTED_VALUE"""),"Escalation of Dispute")</f>
        <v>Escalation of Dispute</v>
      </c>
      <c r="AB1714" s="8"/>
      <c r="AC1714" s="8" t="str">
        <f ca="1">IFERROR(__xludf.DUMMYFUNCTION("""COMPUTED_VALUE"""),"No")</f>
        <v>No</v>
      </c>
      <c r="AD1714" s="8" t="str">
        <f ca="1">IFERROR(__xludf.DUMMYFUNCTION("""COMPUTED_VALUE"""),"Victims Targeted")</f>
        <v>Victims Targeted</v>
      </c>
      <c r="AE1714" s="8" t="str">
        <f ca="1">IFERROR(__xludf.DUMMYFUNCTION("""COMPUTED_VALUE"""),"No")</f>
        <v>No</v>
      </c>
      <c r="AF1714" s="8"/>
      <c r="AG1714" s="8" t="str">
        <f ca="1">IFERROR(__xludf.DUMMYFUNCTION("""COMPUTED_VALUE"""),"No")</f>
        <v>No</v>
      </c>
      <c r="AH1714" s="8" t="str">
        <f ca="1">IFERROR(__xludf.DUMMYFUNCTION("""COMPUTED_VALUE"""),"No")</f>
        <v>No</v>
      </c>
      <c r="AI1714" s="8" t="str">
        <f ca="1">IFERROR(__xludf.DUMMYFUNCTION("""COMPUTED_VALUE"""),"No")</f>
        <v>No</v>
      </c>
      <c r="AJ1714" s="8" t="str">
        <f ca="1">IFERROR(__xludf.DUMMYFUNCTION("""COMPUTED_VALUE"""),"No")</f>
        <v>No</v>
      </c>
      <c r="AK1714" s="8" t="str">
        <f ca="1">IFERROR(__xludf.DUMMYFUNCTION("""COMPUTED_VALUE"""),"No")</f>
        <v>No</v>
      </c>
      <c r="AL1714" s="8" t="str">
        <f ca="1">IFERROR(__xludf.DUMMYFUNCTION("""COMPUTED_VALUE"""),"No")</f>
        <v>No</v>
      </c>
      <c r="AM1714" s="8" t="str">
        <f ca="1">IFERROR(__xludf.DUMMYFUNCTION("""COMPUTED_VALUE"""),"No")</f>
        <v>No</v>
      </c>
      <c r="AN1714" s="8"/>
      <c r="AO1714" s="8" t="str">
        <f ca="1">IFERROR(__xludf.DUMMYFUNCTION("""COMPUTED_VALUE"""),"No")</f>
        <v>No</v>
      </c>
      <c r="AP1714" s="8" t="str">
        <f ca="1">IFERROR(__xludf.DUMMYFUNCTION("""COMPUTED_VALUE"""),"N/A")</f>
        <v>N/A</v>
      </c>
      <c r="AQ1714" s="8" t="str">
        <f ca="1">IFERROR(__xludf.DUMMYFUNCTION("""COMPUTED_VALUE"""),"Unknown")</f>
        <v>Unknown</v>
      </c>
      <c r="AR1714" s="8" t="str">
        <f ca="1">IFERROR(__xludf.DUMMYFUNCTION("""COMPUTED_VALUE"""),"NA")</f>
        <v>NA</v>
      </c>
      <c r="AS1714" s="8" t="str">
        <f ca="1">IFERROR(__xludf.DUMMYFUNCTION("""COMPUTED_VALUE"""),"&lt;5")</f>
        <v>&lt;5</v>
      </c>
      <c r="AT1714" s="8" t="str">
        <f ca="1">IFERROR(__xludf.DUMMYFUNCTION("""COMPUTED_VALUE"""),"N/A")</f>
        <v>N/A</v>
      </c>
      <c r="AU1714" s="8">
        <f ca="1">IFERROR(__xludf.DUMMYFUNCTION("""COMPUTED_VALUE"""),40.869613)</f>
        <v>40.869613000000001</v>
      </c>
      <c r="AV1714" s="8">
        <f ca="1">IFERROR(__xludf.DUMMYFUNCTION("""COMPUTED_VALUE"""),-73.898786)</f>
        <v>-73.898786000000001</v>
      </c>
      <c r="AW1714" s="8"/>
      <c r="AX1714" s="8">
        <f ca="1">IFERROR(__xludf.DUMMYFUNCTION("""COMPUTED_VALUE"""),10468)</f>
        <v>10468</v>
      </c>
    </row>
    <row r="1715" spans="1:50" ht="150" x14ac:dyDescent="0.2">
      <c r="A1715" s="8" t="str">
        <f ca="1">IFERROR(__xludf.DUMMYFUNCTION("""COMPUTED_VALUE"""),"20180831IANOE")</f>
        <v>20180831IANOE</v>
      </c>
      <c r="B1715" s="8">
        <f ca="1">IFERROR(__xludf.DUMMYFUNCTION("""COMPUTED_VALUE"""),8)</f>
        <v>8</v>
      </c>
      <c r="C1715" s="8">
        <f ca="1">IFERROR(__xludf.DUMMYFUNCTION("""COMPUTED_VALUE"""),31)</f>
        <v>31</v>
      </c>
      <c r="D1715" s="8">
        <f ca="1">IFERROR(__xludf.DUMMYFUNCTION("""COMPUTED_VALUE"""),2018)</f>
        <v>2018</v>
      </c>
      <c r="E1715" s="9">
        <f ca="1">IFERROR(__xludf.DUMMYFUNCTION("""COMPUTED_VALUE"""),43343)</f>
        <v>43343</v>
      </c>
      <c r="F1715" s="8" t="str">
        <f ca="1">IFERROR(__xludf.DUMMYFUNCTION("""COMPUTED_VALUE"""),"North Scott Junior High School")</f>
        <v>North Scott Junior High School</v>
      </c>
      <c r="G1715" s="8">
        <f ca="1">IFERROR(__xludf.DUMMYFUNCTION("""COMPUTED_VALUE"""),0)</f>
        <v>0</v>
      </c>
      <c r="H1715" s="8">
        <f ca="1">IFERROR(__xludf.DUMMYFUNCTION("""COMPUTED_VALUE"""),0)</f>
        <v>0</v>
      </c>
      <c r="I1715" s="8">
        <f ca="1">IFERROR(__xludf.DUMMYFUNCTION("""COMPUTED_VALUE"""),0)</f>
        <v>0</v>
      </c>
      <c r="J1715" s="8">
        <f ca="1">IFERROR(__xludf.DUMMYFUNCTION("""COMPUTED_VALUE"""),0)</f>
        <v>0</v>
      </c>
      <c r="K1715" s="8" t="str">
        <f ca="1">IFERROR(__xludf.DUMMYFUNCTION("""COMPUTED_VALUE"""),"https://qctimes.com/news/local/north-scott-junior-high-student-charged-with-attempted-murder-will/article_ee6eef7d-8662-5234-a75f-526699b9a3c0.html https://www.desmoinesregister.com/story/news/crime-and-courts/2019/07/05/iowa-school-shooting-luke-andrews-"&amp;"davenport-north-scott-eldridge-attempted-murder-trial-teacher/1635581001/")</f>
        <v>https://qctimes.com/news/local/north-scott-junior-high-student-charged-with-attempted-murder-will/article_ee6eef7d-8662-5234-a75f-526699b9a3c0.html https://www.desmoinesregister.com/story/news/crime-and-courts/2019/07/05/iowa-school-shooting-luke-andrews-davenport-north-scott-eldridge-attempted-murder-trial-teacher/1635581001/</v>
      </c>
      <c r="L1715" s="8">
        <f ca="1">IFERROR(__xludf.DUMMYFUNCTION("""COMPUTED_VALUE"""),5)</f>
        <v>5</v>
      </c>
      <c r="M1715" s="8" t="str">
        <f ca="1">IFERROR(__xludf.DUMMYFUNCTION("""COMPUTED_VALUE"""),"Local")</f>
        <v>Local</v>
      </c>
      <c r="N1715" s="8">
        <f ca="1">IFERROR(__xludf.DUMMYFUNCTION("""COMPUTED_VALUE"""),3)</f>
        <v>3</v>
      </c>
      <c r="O1715" s="8" t="str">
        <f ca="1">IFERROR(__xludf.DUMMYFUNCTION("""COMPUTED_VALUE"""),"Summer")</f>
        <v>Summer</v>
      </c>
      <c r="P1715" s="8" t="str">
        <f ca="1">IFERROR(__xludf.DUMMYFUNCTION("""COMPUTED_VALUE"""),"Eldridge")</f>
        <v>Eldridge</v>
      </c>
      <c r="Q1715" s="8" t="str">
        <f ca="1">IFERROR(__xludf.DUMMYFUNCTION("""COMPUTED_VALUE"""),"IA")</f>
        <v>IA</v>
      </c>
      <c r="R1715" s="8" t="str">
        <f ca="1">IFERROR(__xludf.DUMMYFUNCTION("""COMPUTED_VALUE"""),"Junior High")</f>
        <v>Junior High</v>
      </c>
      <c r="S1715" s="8" t="str">
        <f ca="1">IFERROR(__xludf.DUMMYFUNCTION("""COMPUTED_VALUE"""),"Classroom")</f>
        <v>Classroom</v>
      </c>
      <c r="T1715" s="8" t="str">
        <f ca="1">IFERROR(__xludf.DUMMYFUNCTION("""COMPUTED_VALUE"""),"Inside School Building")</f>
        <v>Inside School Building</v>
      </c>
      <c r="U1715" s="8" t="str">
        <f ca="1">IFERROR(__xludf.DUMMYFUNCTION("""COMPUTED_VALUE"""),"Yes")</f>
        <v>Yes</v>
      </c>
      <c r="V1715" s="8" t="str">
        <f ca="1">IFERROR(__xludf.DUMMYFUNCTION("""COMPUTED_VALUE"""),"Morning Classes")</f>
        <v>Morning Classes</v>
      </c>
      <c r="W1715" s="11">
        <f ca="1">IFERROR(__xludf.DUMMYFUNCTION("""COMPUTED_VALUE"""),0.354166666666666)</f>
        <v>0.35416666666666602</v>
      </c>
      <c r="X1715" s="8">
        <f ca="1">IFERROR(__xludf.DUMMYFUNCTION("""COMPUTED_VALUE"""),1)</f>
        <v>1</v>
      </c>
      <c r="Y1715" s="12" t="str">
        <f ca="1">IFERROR(__xludf.DUMMYFUNCTION("""COMPUTED_VALUE"""),"Shooter was a student who attempted to shoot the teacher in class")</f>
        <v>Shooter was a student who attempted to shoot the teacher in class</v>
      </c>
      <c r="Z1715" s="12" t="str">
        <f ca="1">IFERROR(__xludf.DUMMYFUNCTION("""COMPUTED_VALUE"""),"A 12YOM student pointed a handgun gun at students in class and ordered everyone to get on the floor. Shooter then pointed the gun at the teacher and pulled the trigger but the safety was on and the weapon did not go off. The teacher disarmed the shooter a"&amp;"nd he was arrested. Gun was taken from shooter's home. Father was arrested for ""control of a firearm by a felon"". Father had 3 prior felony convictions and was not allowed to own firearms.
 Shooter charged a youthful offender in adult court.")</f>
        <v>A 12YOM student pointed a handgun gun at students in class and ordered everyone to get on the floor. Shooter then pointed the gun at the teacher and pulled the trigger but the safety was on and the weapon did not go off. The teacher disarmed the shooter and he was arrested. Gun was taken from shooter's home. Father was arrested for "control of a firearm by a felon". Father had 3 prior felony convictions and was not allowed to own firearms.
 Shooter charged a youthful offender in adult court.</v>
      </c>
      <c r="AA1715" s="8" t="str">
        <f ca="1">IFERROR(__xludf.DUMMYFUNCTION("""COMPUTED_VALUE"""),"Hostage/Standoff")</f>
        <v>Hostage/Standoff</v>
      </c>
      <c r="AB1715" s="8"/>
      <c r="AC1715" s="8" t="str">
        <f ca="1">IFERROR(__xludf.DUMMYFUNCTION("""COMPUTED_VALUE"""),"Yes")</f>
        <v>Yes</v>
      </c>
      <c r="AD1715" s="8" t="str">
        <f ca="1">IFERROR(__xludf.DUMMYFUNCTION("""COMPUTED_VALUE"""),"Victims Targeted")</f>
        <v>Victims Targeted</v>
      </c>
      <c r="AE1715" s="8" t="str">
        <f ca="1">IFERROR(__xludf.DUMMYFUNCTION("""COMPUTED_VALUE"""),"No")</f>
        <v>No</v>
      </c>
      <c r="AF1715" s="8"/>
      <c r="AG1715" s="8" t="str">
        <f ca="1">IFERROR(__xludf.DUMMYFUNCTION("""COMPUTED_VALUE"""),"No")</f>
        <v>No</v>
      </c>
      <c r="AH1715" s="8" t="str">
        <f ca="1">IFERROR(__xludf.DUMMYFUNCTION("""COMPUTED_VALUE"""),"No")</f>
        <v>No</v>
      </c>
      <c r="AI1715" s="8" t="str">
        <f ca="1">IFERROR(__xludf.DUMMYFUNCTION("""COMPUTED_VALUE"""),"No")</f>
        <v>No</v>
      </c>
      <c r="AJ1715" s="8"/>
      <c r="AK1715" s="8"/>
      <c r="AL1715" s="8" t="str">
        <f ca="1">IFERROR(__xludf.DUMMYFUNCTION("""COMPUTED_VALUE"""),"No")</f>
        <v>No</v>
      </c>
      <c r="AM1715" s="8" t="str">
        <f ca="1">IFERROR(__xludf.DUMMYFUNCTION("""COMPUTED_VALUE"""),"Yes")</f>
        <v>Yes</v>
      </c>
      <c r="AN1715" s="8" t="str">
        <f ca="1">IFERROR(__xludf.DUMMYFUNCTION("""COMPUTED_VALUE"""),"Single Room")</f>
        <v>Single Room</v>
      </c>
      <c r="AO1715" s="8" t="str">
        <f ca="1">IFERROR(__xludf.DUMMYFUNCTION("""COMPUTED_VALUE"""),"No")</f>
        <v>No</v>
      </c>
      <c r="AP1715" s="8"/>
      <c r="AQ1715" s="8" t="str">
        <f ca="1">IFERROR(__xludf.DUMMYFUNCTION("""COMPUTED_VALUE"""),"Unknown")</f>
        <v>Unknown</v>
      </c>
      <c r="AR1715" s="8" t="str">
        <f ca="1">IFERROR(__xludf.DUMMYFUNCTION("""COMPUTED_VALUE"""),"NA")</f>
        <v>NA</v>
      </c>
      <c r="AS1715" s="8">
        <f ca="1">IFERROR(__xludf.DUMMYFUNCTION("""COMPUTED_VALUE"""),0)</f>
        <v>0</v>
      </c>
      <c r="AT1715" s="8" t="str">
        <f ca="1">IFERROR(__xludf.DUMMYFUNCTION("""COMPUTED_VALUE"""),"Yes")</f>
        <v>Yes</v>
      </c>
      <c r="AU1715" s="8">
        <f ca="1">IFERROR(__xludf.DUMMYFUNCTION("""COMPUTED_VALUE"""),41.650596)</f>
        <v>41.650596</v>
      </c>
      <c r="AV1715" s="8">
        <f ca="1">IFERROR(__xludf.DUMMYFUNCTION("""COMPUTED_VALUE"""),-90.589299)</f>
        <v>-90.589298999999997</v>
      </c>
      <c r="AW1715" s="8"/>
      <c r="AX1715" s="8">
        <f ca="1">IFERROR(__xludf.DUMMYFUNCTION("""COMPUTED_VALUE"""),52748)</f>
        <v>52748</v>
      </c>
    </row>
    <row r="1716" spans="1:50" ht="105" x14ac:dyDescent="0.2">
      <c r="A1716" s="8" t="str">
        <f ca="1">IFERROR(__xludf.DUMMYFUNCTION("""COMPUTED_VALUE"""),"20180831CABAS")</f>
        <v>20180831CABAS</v>
      </c>
      <c r="B1716" s="8">
        <f ca="1">IFERROR(__xludf.DUMMYFUNCTION("""COMPUTED_VALUE"""),8)</f>
        <v>8</v>
      </c>
      <c r="C1716" s="8">
        <f ca="1">IFERROR(__xludf.DUMMYFUNCTION("""COMPUTED_VALUE"""),31)</f>
        <v>31</v>
      </c>
      <c r="D1716" s="8">
        <f ca="1">IFERROR(__xludf.DUMMYFUNCTION("""COMPUTED_VALUE"""),2018)</f>
        <v>2018</v>
      </c>
      <c r="E1716" s="9">
        <f ca="1">IFERROR(__xludf.DUMMYFUNCTION("""COMPUTED_VALUE"""),43343)</f>
        <v>43343</v>
      </c>
      <c r="F1716" s="8" t="str">
        <f ca="1">IFERROR(__xludf.DUMMYFUNCTION("""COMPUTED_VALUE"""),"Balboa High School")</f>
        <v>Balboa High School</v>
      </c>
      <c r="G1716" s="8">
        <f ca="1">IFERROR(__xludf.DUMMYFUNCTION("""COMPUTED_VALUE"""),0)</f>
        <v>0</v>
      </c>
      <c r="H1716" s="8">
        <f ca="1">IFERROR(__xludf.DUMMYFUNCTION("""COMPUTED_VALUE"""),0)</f>
        <v>0</v>
      </c>
      <c r="I1716" s="8">
        <f ca="1">IFERROR(__xludf.DUMMYFUNCTION("""COMPUTED_VALUE"""),0)</f>
        <v>0</v>
      </c>
      <c r="J1716" s="8">
        <f ca="1">IFERROR(__xludf.DUMMYFUNCTION("""COMPUTED_VALUE"""),0)</f>
        <v>0</v>
      </c>
      <c r="K1716" s="10" t="str">
        <f ca="1">IFERROR(__xludf.DUMMYFUNCTION("""COMPUTED_VALUE"""),"https://abc7news.com/3-students-in-custody-1-hurt-after-police-find-gun-on-sf-campus/4100641/")</f>
        <v>https://abc7news.com/3-students-in-custody-1-hurt-after-police-find-gun-on-sf-campus/4100641/</v>
      </c>
      <c r="L1716" s="8"/>
      <c r="M1716" s="8" t="str">
        <f ca="1">IFERROR(__xludf.DUMMYFUNCTION("""COMPUTED_VALUE"""),"Local")</f>
        <v>Local</v>
      </c>
      <c r="N1716" s="8">
        <f ca="1">IFERROR(__xludf.DUMMYFUNCTION("""COMPUTED_VALUE"""),4)</f>
        <v>4</v>
      </c>
      <c r="O1716" s="8" t="str">
        <f ca="1">IFERROR(__xludf.DUMMYFUNCTION("""COMPUTED_VALUE"""),"Summer")</f>
        <v>Summer</v>
      </c>
      <c r="P1716" s="8" t="str">
        <f ca="1">IFERROR(__xludf.DUMMYFUNCTION("""COMPUTED_VALUE"""),"San Francisco")</f>
        <v>San Francisco</v>
      </c>
      <c r="Q1716" s="8" t="str">
        <f ca="1">IFERROR(__xludf.DUMMYFUNCTION("""COMPUTED_VALUE"""),"CA")</f>
        <v>CA</v>
      </c>
      <c r="R1716" s="8" t="str">
        <f ca="1">IFERROR(__xludf.DUMMYFUNCTION("""COMPUTED_VALUE"""),"High")</f>
        <v>High</v>
      </c>
      <c r="S1716" s="8" t="str">
        <f ca="1">IFERROR(__xludf.DUMMYFUNCTION("""COMPUTED_VALUE"""),"Classroom")</f>
        <v>Classroom</v>
      </c>
      <c r="T1716" s="8" t="str">
        <f ca="1">IFERROR(__xludf.DUMMYFUNCTION("""COMPUTED_VALUE"""),"Inside School Building")</f>
        <v>Inside School Building</v>
      </c>
      <c r="U1716" s="8" t="str">
        <f ca="1">IFERROR(__xludf.DUMMYFUNCTION("""COMPUTED_VALUE"""),"Yes")</f>
        <v>Yes</v>
      </c>
      <c r="V1716" s="8" t="str">
        <f ca="1">IFERROR(__xludf.DUMMYFUNCTION("""COMPUTED_VALUE"""),"Afternoon Classes")</f>
        <v>Afternoon Classes</v>
      </c>
      <c r="W1716" s="11">
        <f ca="1">IFERROR(__xludf.DUMMYFUNCTION("""COMPUTED_VALUE"""),0.632638888888888)</f>
        <v>0.63263888888888797</v>
      </c>
      <c r="X1716" s="8">
        <f ca="1">IFERROR(__xludf.DUMMYFUNCTION("""COMPUTED_VALUE"""),1)</f>
        <v>1</v>
      </c>
      <c r="Y1716" s="12" t="str">
        <f ca="1">IFERROR(__xludf.DUMMYFUNCTION("""COMPUTED_VALUE"""),"Accidental discharge in classroom, student with gun fled")</f>
        <v>Accidental discharge in classroom, student with gun fled</v>
      </c>
      <c r="Z1716" s="12" t="str">
        <f ca="1">IFERROR(__xludf.DUMMYFUNCTION("""COMPUTED_VALUE"""),"Student brought gun to school in backpack. Discharged in classroom. Shooter dropped the gun, fled the school and was later arrested when his mother took him to the police station. 2 other students arrested and charged with being accessories. School went o"&amp;"n lockdown and police conducted room by room search. Nearby Elementary school and Middle school were also locked down.")</f>
        <v>Student brought gun to school in backpack. Discharged in classroom. Shooter dropped the gun, fled the school and was later arrested when his mother took him to the police station. 2 other students arrested and charged with being accessories. School went on lockdown and police conducted room by room search. Nearby Elementary school and Middle school were also locked down.</v>
      </c>
      <c r="AA1716" s="8" t="str">
        <f ca="1">IFERROR(__xludf.DUMMYFUNCTION("""COMPUTED_VALUE"""),"Accidental")</f>
        <v>Accidental</v>
      </c>
      <c r="AB1716" s="8"/>
      <c r="AC1716" s="8" t="str">
        <f ca="1">IFERROR(__xludf.DUMMYFUNCTION("""COMPUTED_VALUE"""),"Yes")</f>
        <v>Yes</v>
      </c>
      <c r="AD1716" s="8" t="str">
        <f ca="1">IFERROR(__xludf.DUMMYFUNCTION("""COMPUTED_VALUE"""),"Neither")</f>
        <v>Neither</v>
      </c>
      <c r="AE1716" s="8" t="str">
        <f ca="1">IFERROR(__xludf.DUMMYFUNCTION("""COMPUTED_VALUE"""),"Yes")</f>
        <v>Yes</v>
      </c>
      <c r="AF1716" s="8" t="str">
        <f ca="1">IFERROR(__xludf.DUMMYFUNCTION("""COMPUTED_VALUE"""),"2 other students charged")</f>
        <v>2 other students charged</v>
      </c>
      <c r="AG1716" s="8" t="str">
        <f ca="1">IFERROR(__xludf.DUMMYFUNCTION("""COMPUTED_VALUE"""),"No")</f>
        <v>No</v>
      </c>
      <c r="AH1716" s="8" t="str">
        <f ca="1">IFERROR(__xludf.DUMMYFUNCTION("""COMPUTED_VALUE"""),"No")</f>
        <v>No</v>
      </c>
      <c r="AI1716" s="8" t="str">
        <f ca="1">IFERROR(__xludf.DUMMYFUNCTION("""COMPUTED_VALUE"""),"No")</f>
        <v>No</v>
      </c>
      <c r="AJ1716" s="8" t="str">
        <f ca="1">IFERROR(__xludf.DUMMYFUNCTION("""COMPUTED_VALUE"""),"No")</f>
        <v>No</v>
      </c>
      <c r="AK1716" s="8" t="str">
        <f ca="1">IFERROR(__xludf.DUMMYFUNCTION("""COMPUTED_VALUE"""),"No")</f>
        <v>No</v>
      </c>
      <c r="AL1716" s="8"/>
      <c r="AM1716" s="8" t="str">
        <f ca="1">IFERROR(__xludf.DUMMYFUNCTION("""COMPUTED_VALUE"""),"No")</f>
        <v>No</v>
      </c>
      <c r="AN1716" s="8"/>
      <c r="AO1716" s="8" t="str">
        <f ca="1">IFERROR(__xludf.DUMMYFUNCTION("""COMPUTED_VALUE"""),"No")</f>
        <v>No</v>
      </c>
      <c r="AP1716" s="8"/>
      <c r="AQ1716" s="8" t="str">
        <f ca="1">IFERROR(__xludf.DUMMYFUNCTION("""COMPUTED_VALUE"""),"Unknown")</f>
        <v>Unknown</v>
      </c>
      <c r="AR1716" s="8" t="str">
        <f ca="1">IFERROR(__xludf.DUMMYFUNCTION("""COMPUTED_VALUE"""),"NA")</f>
        <v>NA</v>
      </c>
      <c r="AS1716" s="8">
        <f ca="1">IFERROR(__xludf.DUMMYFUNCTION("""COMPUTED_VALUE"""),1)</f>
        <v>1</v>
      </c>
      <c r="AT1716" s="8" t="str">
        <f ca="1">IFERROR(__xludf.DUMMYFUNCTION("""COMPUTED_VALUE"""),"Yes")</f>
        <v>Yes</v>
      </c>
      <c r="AU1716" s="8">
        <f ca="1">IFERROR(__xludf.DUMMYFUNCTION("""COMPUTED_VALUE"""),37.721503)</f>
        <v>37.721502999999998</v>
      </c>
      <c r="AV1716" s="8">
        <f ca="1">IFERROR(__xludf.DUMMYFUNCTION("""COMPUTED_VALUE"""),-122.44076)</f>
        <v>-122.44076</v>
      </c>
      <c r="AW1716" s="8"/>
      <c r="AX1716" s="8">
        <f ca="1">IFERROR(__xludf.DUMMYFUNCTION("""COMPUTED_VALUE"""),94112)</f>
        <v>94112</v>
      </c>
    </row>
    <row r="1717" spans="1:50" ht="120" x14ac:dyDescent="0.2">
      <c r="A1717" s="8" t="str">
        <f ca="1">IFERROR(__xludf.DUMMYFUNCTION("""COMPUTED_VALUE"""),"20180830NCVIC")</f>
        <v>20180830NCVIC</v>
      </c>
      <c r="B1717" s="8">
        <f ca="1">IFERROR(__xludf.DUMMYFUNCTION("""COMPUTED_VALUE"""),8)</f>
        <v>8</v>
      </c>
      <c r="C1717" s="8">
        <f ca="1">IFERROR(__xludf.DUMMYFUNCTION("""COMPUTED_VALUE"""),30)</f>
        <v>30</v>
      </c>
      <c r="D1717" s="8">
        <f ca="1">IFERROR(__xludf.DUMMYFUNCTION("""COMPUTED_VALUE"""),2018)</f>
        <v>2018</v>
      </c>
      <c r="E1717" s="9">
        <f ca="1">IFERROR(__xludf.DUMMYFUNCTION("""COMPUTED_VALUE"""),43342)</f>
        <v>43342</v>
      </c>
      <c r="F1717" s="8" t="str">
        <f ca="1">IFERROR(__xludf.DUMMYFUNCTION("""COMPUTED_VALUE"""),"Villa Heights Elementary School")</f>
        <v>Villa Heights Elementary School</v>
      </c>
      <c r="G1717" s="8">
        <f ca="1">IFERROR(__xludf.DUMMYFUNCTION("""COMPUTED_VALUE"""),0)</f>
        <v>0</v>
      </c>
      <c r="H1717" s="8">
        <f ca="1">IFERROR(__xludf.DUMMYFUNCTION("""COMPUTED_VALUE"""),0)</f>
        <v>0</v>
      </c>
      <c r="I1717" s="8">
        <f ca="1">IFERROR(__xludf.DUMMYFUNCTION("""COMPUTED_VALUE"""),0)</f>
        <v>0</v>
      </c>
      <c r="J1717" s="8">
        <f ca="1">IFERROR(__xludf.DUMMYFUNCTION("""COMPUTED_VALUE"""),0)</f>
        <v>0</v>
      </c>
      <c r="K1717" s="8" t="str">
        <f ca="1">IFERROR(__xludf.DUMMYFUNCTION("""COMPUTED_VALUE"""),"https://www.wsoctv.com/news/local/north-charlotte-elementary-school-on-lockdown-after-shots-fired-in-parking-lot/823693517 https://www.wbtv.com/2020/07/21/man-gets-years-prison-shooting-mom-child-near-charlotte-elementary-school/")</f>
        <v>https://www.wsoctv.com/news/local/north-charlotte-elementary-school-on-lockdown-after-shots-fired-in-parking-lot/823693517 https://www.wbtv.com/2020/07/21/man-gets-years-prison-shooting-mom-child-near-charlotte-elementary-school/</v>
      </c>
      <c r="L1717" s="8">
        <f ca="1">IFERROR(__xludf.DUMMYFUNCTION("""COMPUTED_VALUE"""),5)</f>
        <v>5</v>
      </c>
      <c r="M1717" s="8" t="str">
        <f ca="1">IFERROR(__xludf.DUMMYFUNCTION("""COMPUTED_VALUE"""),"Local")</f>
        <v>Local</v>
      </c>
      <c r="N1717" s="8">
        <f ca="1">IFERROR(__xludf.DUMMYFUNCTION("""COMPUTED_VALUE"""),4)</f>
        <v>4</v>
      </c>
      <c r="O1717" s="8" t="str">
        <f ca="1">IFERROR(__xludf.DUMMYFUNCTION("""COMPUTED_VALUE"""),"Summer")</f>
        <v>Summer</v>
      </c>
      <c r="P1717" s="8" t="str">
        <f ca="1">IFERROR(__xludf.DUMMYFUNCTION("""COMPUTED_VALUE"""),"Charlotte")</f>
        <v>Charlotte</v>
      </c>
      <c r="Q1717" s="8" t="str">
        <f ca="1">IFERROR(__xludf.DUMMYFUNCTION("""COMPUTED_VALUE"""),"NC")</f>
        <v>NC</v>
      </c>
      <c r="R1717" s="8" t="str">
        <f ca="1">IFERROR(__xludf.DUMMYFUNCTION("""COMPUTED_VALUE"""),"Elementary")</f>
        <v>Elementary</v>
      </c>
      <c r="S1717" s="8" t="str">
        <f ca="1">IFERROR(__xludf.DUMMYFUNCTION("""COMPUTED_VALUE"""),"Parking Lot")</f>
        <v>Parking Lot</v>
      </c>
      <c r="T1717" s="8" t="str">
        <f ca="1">IFERROR(__xludf.DUMMYFUNCTION("""COMPUTED_VALUE"""),"Outside on School Property")</f>
        <v>Outside on School Property</v>
      </c>
      <c r="U1717" s="8" t="str">
        <f ca="1">IFERROR(__xludf.DUMMYFUNCTION("""COMPUTED_VALUE"""),"Yes")</f>
        <v>Yes</v>
      </c>
      <c r="V1717" s="8" t="str">
        <f ca="1">IFERROR(__xludf.DUMMYFUNCTION("""COMPUTED_VALUE"""),"School Start")</f>
        <v>School Start</v>
      </c>
      <c r="W1717" s="11">
        <f ca="1">IFERROR(__xludf.DUMMYFUNCTION("""COMPUTED_VALUE"""),0.354166666666666)</f>
        <v>0.35416666666666602</v>
      </c>
      <c r="X1717" s="8">
        <f ca="1">IFERROR(__xludf.DUMMYFUNCTION("""COMPUTED_VALUE"""),1)</f>
        <v>1</v>
      </c>
      <c r="Y1717" s="12" t="str">
        <f ca="1">IFERROR(__xludf.DUMMYFUNCTION("""COMPUTED_VALUE"""),"Woman shot at in parking lot by ex-boyfriend while dropping off child")</f>
        <v>Woman shot at in parking lot by ex-boyfriend while dropping off child</v>
      </c>
      <c r="Z1717" s="12" t="str">
        <f ca="1">IFERROR(__xludf.DUMMYFUNCTION("""COMPUTED_VALUE"""),"34YOM fired multiple shots at ex-girlfriend while she was dropping off child at school and was in her car. School was locked down. All shots missed the target and no one was injured. One of the shots hit a nearby residence. Shooter fled the scene and was "&amp;"arrested later that day after a standoff at a private residence. Had previous felony charges against him and possible federal weapons charges.")</f>
        <v>34YOM fired multiple shots at ex-girlfriend while she was dropping off child at school and was in her car. School was locked down. All shots missed the target and no one was injured. One of the shots hit a nearby residence. Shooter fled the scene and was arrested later that day after a standoff at a private residence. Had previous felony charges against him and possible federal weapons charges.</v>
      </c>
      <c r="AA1717" s="8" t="str">
        <f ca="1">IFERROR(__xludf.DUMMYFUNCTION("""COMPUTED_VALUE"""),"Domestic w/ Targeted Victim")</f>
        <v>Domestic w/ Targeted Victim</v>
      </c>
      <c r="AB1717" s="8"/>
      <c r="AC1717" s="8" t="str">
        <f ca="1">IFERROR(__xludf.DUMMYFUNCTION("""COMPUTED_VALUE"""),"Yes")</f>
        <v>Yes</v>
      </c>
      <c r="AD1717" s="8" t="str">
        <f ca="1">IFERROR(__xludf.DUMMYFUNCTION("""COMPUTED_VALUE"""),"Victims Targeted")</f>
        <v>Victims Targeted</v>
      </c>
      <c r="AE1717" s="8" t="str">
        <f ca="1">IFERROR(__xludf.DUMMYFUNCTION("""COMPUTED_VALUE"""),"No")</f>
        <v>No</v>
      </c>
      <c r="AF1717" s="8"/>
      <c r="AG1717" s="8" t="str">
        <f ca="1">IFERROR(__xludf.DUMMYFUNCTION("""COMPUTED_VALUE"""),"No")</f>
        <v>No</v>
      </c>
      <c r="AH1717" s="8" t="str">
        <f ca="1">IFERROR(__xludf.DUMMYFUNCTION("""COMPUTED_VALUE"""),"No")</f>
        <v>No</v>
      </c>
      <c r="AI1717" s="8" t="str">
        <f ca="1">IFERROR(__xludf.DUMMYFUNCTION("""COMPUTED_VALUE"""),"No")</f>
        <v>No</v>
      </c>
      <c r="AJ1717" s="8" t="str">
        <f ca="1">IFERROR(__xludf.DUMMYFUNCTION("""COMPUTED_VALUE"""),"No")</f>
        <v>No</v>
      </c>
      <c r="AK1717" s="8" t="str">
        <f ca="1">IFERROR(__xludf.DUMMYFUNCTION("""COMPUTED_VALUE"""),"Yes")</f>
        <v>Yes</v>
      </c>
      <c r="AL1717" s="8" t="str">
        <f ca="1">IFERROR(__xludf.DUMMYFUNCTION("""COMPUTED_VALUE"""),"No")</f>
        <v>No</v>
      </c>
      <c r="AM1717" s="8" t="str">
        <f ca="1">IFERROR(__xludf.DUMMYFUNCTION("""COMPUTED_VALUE"""),"No")</f>
        <v>No</v>
      </c>
      <c r="AN1717" s="8"/>
      <c r="AO1717" s="8" t="str">
        <f ca="1">IFERROR(__xludf.DUMMYFUNCTION("""COMPUTED_VALUE"""),"No")</f>
        <v>No</v>
      </c>
      <c r="AP1717" s="8" t="str">
        <f ca="1">IFERROR(__xludf.DUMMYFUNCTION("""COMPUTED_VALUE"""),"N/A")</f>
        <v>N/A</v>
      </c>
      <c r="AQ1717" s="8" t="str">
        <f ca="1">IFERROR(__xludf.DUMMYFUNCTION("""COMPUTED_VALUE"""),"Unknown")</f>
        <v>Unknown</v>
      </c>
      <c r="AR1717" s="8" t="str">
        <f ca="1">IFERROR(__xludf.DUMMYFUNCTION("""COMPUTED_VALUE"""),"NA")</f>
        <v>NA</v>
      </c>
      <c r="AS1717" s="8" t="str">
        <f ca="1">IFERROR(__xludf.DUMMYFUNCTION("""COMPUTED_VALUE"""),"&lt;10")</f>
        <v>&lt;10</v>
      </c>
      <c r="AT1717" s="8" t="str">
        <f ca="1">IFERROR(__xludf.DUMMYFUNCTION("""COMPUTED_VALUE"""),"Yes")</f>
        <v>Yes</v>
      </c>
      <c r="AU1717" s="8">
        <f ca="1">IFERROR(__xludf.DUMMYFUNCTION("""COMPUTED_VALUE"""),35.236638)</f>
        <v>35.236637999999999</v>
      </c>
      <c r="AV1717" s="8">
        <f ca="1">IFERROR(__xludf.DUMMYFUNCTION("""COMPUTED_VALUE"""),-80.812705)</f>
        <v>-80.812704999999994</v>
      </c>
      <c r="AW1717" s="8"/>
      <c r="AX1717" s="8">
        <f ca="1">IFERROR(__xludf.DUMMYFUNCTION("""COMPUTED_VALUE"""),28205)</f>
        <v>28205</v>
      </c>
    </row>
    <row r="1718" spans="1:50" ht="90" x14ac:dyDescent="0.2">
      <c r="A1718" s="8" t="str">
        <f ca="1">IFERROR(__xludf.DUMMYFUNCTION("""COMPUTED_VALUE"""),"20180830MIOTG")</f>
        <v>20180830MIOTG</v>
      </c>
      <c r="B1718" s="8">
        <f ca="1">IFERROR(__xludf.DUMMYFUNCTION("""COMPUTED_VALUE"""),8)</f>
        <v>8</v>
      </c>
      <c r="C1718" s="8">
        <f ca="1">IFERROR(__xludf.DUMMYFUNCTION("""COMPUTED_VALUE"""),30)</f>
        <v>30</v>
      </c>
      <c r="D1718" s="8">
        <f ca="1">IFERROR(__xludf.DUMMYFUNCTION("""COMPUTED_VALUE"""),2018)</f>
        <v>2018</v>
      </c>
      <c r="E1718" s="9">
        <f ca="1">IFERROR(__xludf.DUMMYFUNCTION("""COMPUTED_VALUE"""),43342)</f>
        <v>43342</v>
      </c>
      <c r="F1718" s="8" t="str">
        <f ca="1">IFERROR(__xludf.DUMMYFUNCTION("""COMPUTED_VALUE"""),"Ottawa Hills High School")</f>
        <v>Ottawa Hills High School</v>
      </c>
      <c r="G1718" s="8">
        <f ca="1">IFERROR(__xludf.DUMMYFUNCTION("""COMPUTED_VALUE"""),0)</f>
        <v>0</v>
      </c>
      <c r="H1718" s="8">
        <f ca="1">IFERROR(__xludf.DUMMYFUNCTION("""COMPUTED_VALUE"""),1)</f>
        <v>1</v>
      </c>
      <c r="I1718" s="8">
        <f ca="1">IFERROR(__xludf.DUMMYFUNCTION("""COMPUTED_VALUE"""),1)</f>
        <v>1</v>
      </c>
      <c r="J1718" s="8">
        <f ca="1">IFERROR(__xludf.DUMMYFUNCTION("""COMPUTED_VALUE"""),0)</f>
        <v>0</v>
      </c>
      <c r="K1718" s="10" t="str">
        <f ca="1">IFERROR(__xludf.DUMMYFUNCTION("""COMPUTED_VALUE"""),"https://www.woodtv.com/news/grand-rapids/shooting-outside-ottawa-hills-hs-leads-to-lockdowns/1406788527")</f>
        <v>https://www.woodtv.com/news/grand-rapids/shooting-outside-ottawa-hills-hs-leads-to-lockdowns/1406788527</v>
      </c>
      <c r="L1718" s="8">
        <f ca="1">IFERROR(__xludf.DUMMYFUNCTION("""COMPUTED_VALUE"""),5)</f>
        <v>5</v>
      </c>
      <c r="M1718" s="8" t="str">
        <f ca="1">IFERROR(__xludf.DUMMYFUNCTION("""COMPUTED_VALUE"""),"Local")</f>
        <v>Local</v>
      </c>
      <c r="N1718" s="8">
        <f ca="1">IFERROR(__xludf.DUMMYFUNCTION("""COMPUTED_VALUE"""),3)</f>
        <v>3</v>
      </c>
      <c r="O1718" s="8" t="str">
        <f ca="1">IFERROR(__xludf.DUMMYFUNCTION("""COMPUTED_VALUE"""),"Summer")</f>
        <v>Summer</v>
      </c>
      <c r="P1718" s="8" t="str">
        <f ca="1">IFERROR(__xludf.DUMMYFUNCTION("""COMPUTED_VALUE"""),"Grand Rapids")</f>
        <v>Grand Rapids</v>
      </c>
      <c r="Q1718" s="8" t="str">
        <f ca="1">IFERROR(__xludf.DUMMYFUNCTION("""COMPUTED_VALUE"""),"MI")</f>
        <v>MI</v>
      </c>
      <c r="R1718" s="8" t="str">
        <f ca="1">IFERROR(__xludf.DUMMYFUNCTION("""COMPUTED_VALUE"""),"High")</f>
        <v>High</v>
      </c>
      <c r="S1718" s="8" t="str">
        <f ca="1">IFERROR(__xludf.DUMMYFUNCTION("""COMPUTED_VALUE"""),"Other")</f>
        <v>Other</v>
      </c>
      <c r="T1718" s="8" t="str">
        <f ca="1">IFERROR(__xludf.DUMMYFUNCTION("""COMPUTED_VALUE"""),"Outside on School Property")</f>
        <v>Outside on School Property</v>
      </c>
      <c r="U1718" s="8" t="str">
        <f ca="1">IFERROR(__xludf.DUMMYFUNCTION("""COMPUTED_VALUE"""),"Yes")</f>
        <v>Yes</v>
      </c>
      <c r="V1718" s="8" t="str">
        <f ca="1">IFERROR(__xludf.DUMMYFUNCTION("""COMPUTED_VALUE"""),"Morning Classes")</f>
        <v>Morning Classes</v>
      </c>
      <c r="W1718" s="11">
        <f ca="1">IFERROR(__xludf.DUMMYFUNCTION("""COMPUTED_VALUE"""),0.4375)</f>
        <v>0.4375</v>
      </c>
      <c r="X1718" s="8">
        <f ca="1">IFERROR(__xludf.DUMMYFUNCTION("""COMPUTED_VALUE"""),1)</f>
        <v>1</v>
      </c>
      <c r="Y1718" s="12" t="str">
        <f ca="1">IFERROR(__xludf.DUMMYFUNCTION("""COMPUTED_VALUE"""),"Two non-student teens shot at during drive-by outside of school")</f>
        <v>Two non-student teens shot at during drive-by outside of school</v>
      </c>
      <c r="Z1718" s="12" t="str">
        <f ca="1">IFERROR(__xludf.DUMMYFUNCTION("""COMPUTED_VALUE"""),"Two 17YOM non-students were shot at by an unknown shooter in a vehicle outside of the school. One teen was injured. Both ran into the school to take shelter. Police received reports of an active shooter at the school and the school was locked down. Parent"&amp;"s rushed to the school when a school shooting was reported. No description of suspect.")</f>
        <v>Two 17YOM non-students were shot at by an unknown shooter in a vehicle outside of the school. One teen was injured. Both ran into the school to take shelter. Police received reports of an active shooter at the school and the school was locked down. Parents rushed to the school when a school shooting was reported. No description of suspect.</v>
      </c>
      <c r="AA1718" s="8" t="str">
        <f ca="1">IFERROR(__xludf.DUMMYFUNCTION("""COMPUTED_VALUE"""),"Drive-by Shooting")</f>
        <v>Drive-by Shooting</v>
      </c>
      <c r="AB1718" s="8"/>
      <c r="AC1718" s="8" t="str">
        <f ca="1">IFERROR(__xludf.DUMMYFUNCTION("""COMPUTED_VALUE"""),"Yes")</f>
        <v>Yes</v>
      </c>
      <c r="AD1718" s="8" t="str">
        <f ca="1">IFERROR(__xludf.DUMMYFUNCTION("""COMPUTED_VALUE"""),"Victims Targeted")</f>
        <v>Victims Targeted</v>
      </c>
      <c r="AE1718" s="8"/>
      <c r="AF1718" s="8"/>
      <c r="AG1718" s="8" t="str">
        <f ca="1">IFERROR(__xludf.DUMMYFUNCTION("""COMPUTED_VALUE"""),"No")</f>
        <v>No</v>
      </c>
      <c r="AH1718" s="8" t="str">
        <f ca="1">IFERROR(__xludf.DUMMYFUNCTION("""COMPUTED_VALUE"""),"No")</f>
        <v>No</v>
      </c>
      <c r="AI1718" s="8" t="str">
        <f ca="1">IFERROR(__xludf.DUMMYFUNCTION("""COMPUTED_VALUE"""),"No")</f>
        <v>No</v>
      </c>
      <c r="AJ1718" s="8" t="str">
        <f ca="1">IFERROR(__xludf.DUMMYFUNCTION("""COMPUTED_VALUE"""),"No")</f>
        <v>No</v>
      </c>
      <c r="AK1718" s="8" t="str">
        <f ca="1">IFERROR(__xludf.DUMMYFUNCTION("""COMPUTED_VALUE"""),"No")</f>
        <v>No</v>
      </c>
      <c r="AL1718" s="8" t="str">
        <f ca="1">IFERROR(__xludf.DUMMYFUNCTION("""COMPUTED_VALUE"""),"Yes")</f>
        <v>Yes</v>
      </c>
      <c r="AM1718" s="8" t="str">
        <f ca="1">IFERROR(__xludf.DUMMYFUNCTION("""COMPUTED_VALUE"""),"No")</f>
        <v>No</v>
      </c>
      <c r="AN1718" s="8"/>
      <c r="AO1718" s="8" t="str">
        <f ca="1">IFERROR(__xludf.DUMMYFUNCTION("""COMPUTED_VALUE"""),"No")</f>
        <v>No</v>
      </c>
      <c r="AP1718" s="8"/>
      <c r="AQ1718" s="8" t="str">
        <f ca="1">IFERROR(__xludf.DUMMYFUNCTION("""COMPUTED_VALUE"""),"Unknown")</f>
        <v>Unknown</v>
      </c>
      <c r="AR1718" s="8" t="str">
        <f ca="1">IFERROR(__xludf.DUMMYFUNCTION("""COMPUTED_VALUE"""),"NA")</f>
        <v>NA</v>
      </c>
      <c r="AS1718" s="8">
        <f ca="1">IFERROR(__xludf.DUMMYFUNCTION("""COMPUTED_VALUE"""),6)</f>
        <v>6</v>
      </c>
      <c r="AT1718" s="8" t="str">
        <f ca="1">IFERROR(__xludf.DUMMYFUNCTION("""COMPUTED_VALUE"""),"Yes")</f>
        <v>Yes</v>
      </c>
      <c r="AU1718" s="8">
        <f ca="1">IFERROR(__xludf.DUMMYFUNCTION("""COMPUTED_VALUE"""),42.92561)</f>
        <v>42.925609999999999</v>
      </c>
      <c r="AV1718" s="8">
        <f ca="1">IFERROR(__xludf.DUMMYFUNCTION("""COMPUTED_VALUE"""),-85.627161)</f>
        <v>-85.627161000000001</v>
      </c>
      <c r="AW1718" s="8"/>
      <c r="AX1718" s="8">
        <f ca="1">IFERROR(__xludf.DUMMYFUNCTION("""COMPUTED_VALUE"""),49506)</f>
        <v>49506</v>
      </c>
    </row>
    <row r="1719" spans="1:50" ht="75" x14ac:dyDescent="0.2">
      <c r="A1719" s="8" t="str">
        <f ca="1">IFERROR(__xludf.DUMMYFUNCTION("""COMPUTED_VALUE"""),"20180829DETOD")</f>
        <v>20180829DETOD</v>
      </c>
      <c r="B1719" s="8">
        <f ca="1">IFERROR(__xludf.DUMMYFUNCTION("""COMPUTED_VALUE"""),8)</f>
        <v>8</v>
      </c>
      <c r="C1719" s="8">
        <f ca="1">IFERROR(__xludf.DUMMYFUNCTION("""COMPUTED_VALUE"""),29)</f>
        <v>29</v>
      </c>
      <c r="D1719" s="8">
        <f ca="1">IFERROR(__xludf.DUMMYFUNCTION("""COMPUTED_VALUE"""),2018)</f>
        <v>2018</v>
      </c>
      <c r="E1719" s="9">
        <f ca="1">IFERROR(__xludf.DUMMYFUNCTION("""COMPUTED_VALUE"""),43341)</f>
        <v>43341</v>
      </c>
      <c r="F1719" s="8" t="str">
        <f ca="1">IFERROR(__xludf.DUMMYFUNCTION("""COMPUTED_VALUE"""),"Towne Point Elementary School")</f>
        <v>Towne Point Elementary School</v>
      </c>
      <c r="G1719" s="8">
        <f ca="1">IFERROR(__xludf.DUMMYFUNCTION("""COMPUTED_VALUE"""),1)</f>
        <v>1</v>
      </c>
      <c r="H1719" s="8">
        <f ca="1">IFERROR(__xludf.DUMMYFUNCTION("""COMPUTED_VALUE"""),0)</f>
        <v>0</v>
      </c>
      <c r="I1719" s="8">
        <f ca="1">IFERROR(__xludf.DUMMYFUNCTION("""COMPUTED_VALUE"""),1)</f>
        <v>1</v>
      </c>
      <c r="J1719" s="8">
        <f ca="1">IFERROR(__xludf.DUMMYFUNCTION("""COMPUTED_VALUE"""),0)</f>
        <v>0</v>
      </c>
      <c r="K1719" s="10" t="str">
        <f ca="1">IFERROR(__xludf.DUMMYFUNCTION("""COMPUTED_VALUE"""),"https://www.nbcphiladelphia.com/news/local/Towne-Point-Elementary-School-Dover-Deadly-Shooting-491979251.html")</f>
        <v>https://www.nbcphiladelphia.com/news/local/Towne-Point-Elementary-School-Dover-Deadly-Shooting-491979251.html</v>
      </c>
      <c r="L1719" s="8">
        <f ca="1">IFERROR(__xludf.DUMMYFUNCTION("""COMPUTED_VALUE"""),11)</f>
        <v>11</v>
      </c>
      <c r="M1719" s="8" t="str">
        <f ca="1">IFERROR(__xludf.DUMMYFUNCTION("""COMPUTED_VALUE"""),"Local")</f>
        <v>Local</v>
      </c>
      <c r="N1719" s="8">
        <f ca="1">IFERROR(__xludf.DUMMYFUNCTION("""COMPUTED_VALUE"""),3)</f>
        <v>3</v>
      </c>
      <c r="O1719" s="8" t="str">
        <f ca="1">IFERROR(__xludf.DUMMYFUNCTION("""COMPUTED_VALUE"""),"Summer")</f>
        <v>Summer</v>
      </c>
      <c r="P1719" s="8" t="str">
        <f ca="1">IFERROR(__xludf.DUMMYFUNCTION("""COMPUTED_VALUE"""),"Dover")</f>
        <v>Dover</v>
      </c>
      <c r="Q1719" s="8" t="str">
        <f ca="1">IFERROR(__xludf.DUMMYFUNCTION("""COMPUTED_VALUE"""),"DE")</f>
        <v>DE</v>
      </c>
      <c r="R1719" s="8" t="str">
        <f ca="1">IFERROR(__xludf.DUMMYFUNCTION("""COMPUTED_VALUE"""),"Elementary")</f>
        <v>Elementary</v>
      </c>
      <c r="S1719" s="8" t="str">
        <f ca="1">IFERROR(__xludf.DUMMYFUNCTION("""COMPUTED_VALUE"""),"Parking Lot")</f>
        <v>Parking Lot</v>
      </c>
      <c r="T1719" s="8" t="str">
        <f ca="1">IFERROR(__xludf.DUMMYFUNCTION("""COMPUTED_VALUE"""),"Outside on School Property")</f>
        <v>Outside on School Property</v>
      </c>
      <c r="U1719" s="8" t="str">
        <f ca="1">IFERROR(__xludf.DUMMYFUNCTION("""COMPUTED_VALUE"""),"No")</f>
        <v>No</v>
      </c>
      <c r="V1719" s="8" t="str">
        <f ca="1">IFERROR(__xludf.DUMMYFUNCTION("""COMPUTED_VALUE"""),"Evening")</f>
        <v>Evening</v>
      </c>
      <c r="W1719" s="11">
        <f ca="1">IFERROR(__xludf.DUMMYFUNCTION("""COMPUTED_VALUE"""),0.916666666666666)</f>
        <v>0.91666666666666596</v>
      </c>
      <c r="X1719" s="8">
        <f ca="1">IFERROR(__xludf.DUMMYFUNCTION("""COMPUTED_VALUE"""),1)</f>
        <v>1</v>
      </c>
      <c r="Y1719" s="12" t="str">
        <f ca="1">IFERROR(__xludf.DUMMYFUNCTION("""COMPUTED_VALUE"""),"Adult male found shot dead outside of school, killed by school janitor")</f>
        <v>Adult male found shot dead outside of school, killed by school janitor</v>
      </c>
      <c r="Z1719" s="12" t="str">
        <f ca="1">IFERROR(__xludf.DUMMYFUNCTION("""COMPUTED_VALUE"""),"Adult male shot to death at 10pm during domestic dispute. School was closed the next day out of caution. Police said the shooting was targeted and they had identified a suspect. School janitor arrested in another state on 8/30/18 and charged with murder.")</f>
        <v>Adult male shot to death at 10pm during domestic dispute. School was closed the next day out of caution. Police said the shooting was targeted and they had identified a suspect. School janitor arrested in another state on 8/30/18 and charged with murder.</v>
      </c>
      <c r="AA1719" s="8" t="str">
        <f ca="1">IFERROR(__xludf.DUMMYFUNCTION("""COMPUTED_VALUE"""),"Domestic w/ Targeted Victim")</f>
        <v>Domestic w/ Targeted Victim</v>
      </c>
      <c r="AB1719" s="8"/>
      <c r="AC1719" s="8" t="str">
        <f ca="1">IFERROR(__xludf.DUMMYFUNCTION("""COMPUTED_VALUE"""),"No")</f>
        <v>No</v>
      </c>
      <c r="AD1719" s="8" t="str">
        <f ca="1">IFERROR(__xludf.DUMMYFUNCTION("""COMPUTED_VALUE"""),"Victims Targeted")</f>
        <v>Victims Targeted</v>
      </c>
      <c r="AE1719" s="8" t="str">
        <f ca="1">IFERROR(__xludf.DUMMYFUNCTION("""COMPUTED_VALUE"""),"No")</f>
        <v>No</v>
      </c>
      <c r="AF1719" s="8"/>
      <c r="AG1719" s="8" t="str">
        <f ca="1">IFERROR(__xludf.DUMMYFUNCTION("""COMPUTED_VALUE"""),"No")</f>
        <v>No</v>
      </c>
      <c r="AH1719" s="8" t="str">
        <f ca="1">IFERROR(__xludf.DUMMYFUNCTION("""COMPUTED_VALUE"""),"No")</f>
        <v>No</v>
      </c>
      <c r="AI1719" s="8" t="str">
        <f ca="1">IFERROR(__xludf.DUMMYFUNCTION("""COMPUTED_VALUE"""),"No")</f>
        <v>No</v>
      </c>
      <c r="AJ1719" s="8" t="str">
        <f ca="1">IFERROR(__xludf.DUMMYFUNCTION("""COMPUTED_VALUE"""),"No")</f>
        <v>No</v>
      </c>
      <c r="AK1719" s="8" t="str">
        <f ca="1">IFERROR(__xludf.DUMMYFUNCTION("""COMPUTED_VALUE"""),"Yes")</f>
        <v>Yes</v>
      </c>
      <c r="AL1719" s="8" t="str">
        <f ca="1">IFERROR(__xludf.DUMMYFUNCTION("""COMPUTED_VALUE"""),"No")</f>
        <v>No</v>
      </c>
      <c r="AM1719" s="8" t="str">
        <f ca="1">IFERROR(__xludf.DUMMYFUNCTION("""COMPUTED_VALUE"""),"No")</f>
        <v>No</v>
      </c>
      <c r="AN1719" s="8"/>
      <c r="AO1719" s="8" t="str">
        <f ca="1">IFERROR(__xludf.DUMMYFUNCTION("""COMPUTED_VALUE"""),"No")</f>
        <v>No</v>
      </c>
      <c r="AP1719" s="8" t="str">
        <f ca="1">IFERROR(__xludf.DUMMYFUNCTION("""COMPUTED_VALUE"""),"N/A")</f>
        <v>N/A</v>
      </c>
      <c r="AQ1719" s="8" t="str">
        <f ca="1">IFERROR(__xludf.DUMMYFUNCTION("""COMPUTED_VALUE"""),"Unknown")</f>
        <v>Unknown</v>
      </c>
      <c r="AR1719" s="8" t="str">
        <f ca="1">IFERROR(__xludf.DUMMYFUNCTION("""COMPUTED_VALUE"""),"NA")</f>
        <v>NA</v>
      </c>
      <c r="AS1719" s="8"/>
      <c r="AT1719" s="8" t="str">
        <f ca="1">IFERROR(__xludf.DUMMYFUNCTION("""COMPUTED_VALUE"""),"N/A")</f>
        <v>N/A</v>
      </c>
      <c r="AU1719" s="8">
        <f ca="1">IFERROR(__xludf.DUMMYFUNCTION("""COMPUTED_VALUE"""),39.178019)</f>
        <v>39.178018999999999</v>
      </c>
      <c r="AV1719" s="8">
        <f ca="1">IFERROR(__xludf.DUMMYFUNCTION("""COMPUTED_VALUE"""),-75.521649)</f>
        <v>-75.521648999999996</v>
      </c>
      <c r="AW1719" s="8"/>
      <c r="AX1719" s="8">
        <f ca="1">IFERROR(__xludf.DUMMYFUNCTION("""COMPUTED_VALUE"""),19901)</f>
        <v>19901</v>
      </c>
    </row>
    <row r="1720" spans="1:50" ht="75" x14ac:dyDescent="0.2">
      <c r="A1720" s="8" t="str">
        <f ca="1">IFERROR(__xludf.DUMMYFUNCTION("""COMPUTED_VALUE"""),"20180828COCOD")</f>
        <v>20180828COCOD</v>
      </c>
      <c r="B1720" s="8">
        <f ca="1">IFERROR(__xludf.DUMMYFUNCTION("""COMPUTED_VALUE"""),8)</f>
        <v>8</v>
      </c>
      <c r="C1720" s="8">
        <f ca="1">IFERROR(__xludf.DUMMYFUNCTION("""COMPUTED_VALUE"""),28)</f>
        <v>28</v>
      </c>
      <c r="D1720" s="8">
        <f ca="1">IFERROR(__xludf.DUMMYFUNCTION("""COMPUTED_VALUE"""),2018)</f>
        <v>2018</v>
      </c>
      <c r="E1720" s="9">
        <f ca="1">IFERROR(__xludf.DUMMYFUNCTION("""COMPUTED_VALUE"""),43340)</f>
        <v>43340</v>
      </c>
      <c r="F1720" s="8" t="str">
        <f ca="1">IFERROR(__xludf.DUMMYFUNCTION("""COMPUTED_VALUE"""),"Cole Middle School")</f>
        <v>Cole Middle School</v>
      </c>
      <c r="G1720" s="8">
        <f ca="1">IFERROR(__xludf.DUMMYFUNCTION("""COMPUTED_VALUE"""),0)</f>
        <v>0</v>
      </c>
      <c r="H1720" s="8">
        <f ca="1">IFERROR(__xludf.DUMMYFUNCTION("""COMPUTED_VALUE"""),1)</f>
        <v>1</v>
      </c>
      <c r="I1720" s="8">
        <f ca="1">IFERROR(__xludf.DUMMYFUNCTION("""COMPUTED_VALUE"""),1)</f>
        <v>1</v>
      </c>
      <c r="J1720" s="8">
        <f ca="1">IFERROR(__xludf.DUMMYFUNCTION("""COMPUTED_VALUE"""),0)</f>
        <v>0</v>
      </c>
      <c r="K1720" s="8" t="str">
        <f ca="1">IFERROR(__xludf.DUMMYFUNCTION("""COMPUTED_VALUE"""),"https://denver.cbslocal.com/2018/08/28/shooting-denver-cole-school-dsst/ https://denver.cbslocal.com/2018/09/05/teen-attempted-murder-cole-middle-school-shooting/")</f>
        <v>https://denver.cbslocal.com/2018/08/28/shooting-denver-cole-school-dsst/ https://denver.cbslocal.com/2018/09/05/teen-attempted-murder-cole-middle-school-shooting/</v>
      </c>
      <c r="L1720" s="8"/>
      <c r="M1720" s="8"/>
      <c r="N1720" s="8">
        <f ca="1">IFERROR(__xludf.DUMMYFUNCTION("""COMPUTED_VALUE"""),3)</f>
        <v>3</v>
      </c>
      <c r="O1720" s="8" t="str">
        <f ca="1">IFERROR(__xludf.DUMMYFUNCTION("""COMPUTED_VALUE"""),"Summer")</f>
        <v>Summer</v>
      </c>
      <c r="P1720" s="8" t="str">
        <f ca="1">IFERROR(__xludf.DUMMYFUNCTION("""COMPUTED_VALUE"""),"Denver")</f>
        <v>Denver</v>
      </c>
      <c r="Q1720" s="8" t="str">
        <f ca="1">IFERROR(__xludf.DUMMYFUNCTION("""COMPUTED_VALUE"""),"CO")</f>
        <v>CO</v>
      </c>
      <c r="R1720" s="8" t="str">
        <f ca="1">IFERROR(__xludf.DUMMYFUNCTION("""COMPUTED_VALUE"""),"Middle")</f>
        <v>Middle</v>
      </c>
      <c r="S1720" s="8" t="str">
        <f ca="1">IFERROR(__xludf.DUMMYFUNCTION("""COMPUTED_VALUE"""),"Outside on School Property")</f>
        <v>Outside on School Property</v>
      </c>
      <c r="T1720" s="8" t="str">
        <f ca="1">IFERROR(__xludf.DUMMYFUNCTION("""COMPUTED_VALUE"""),"Outside on School Property")</f>
        <v>Outside on School Property</v>
      </c>
      <c r="U1720" s="8" t="str">
        <f ca="1">IFERROR(__xludf.DUMMYFUNCTION("""COMPUTED_VALUE"""),"Yes")</f>
        <v>Yes</v>
      </c>
      <c r="V1720" s="8" t="str">
        <f ca="1">IFERROR(__xludf.DUMMYFUNCTION("""COMPUTED_VALUE"""),"Afternoon Classes")</f>
        <v>Afternoon Classes</v>
      </c>
      <c r="W1720" s="11">
        <f ca="1">IFERROR(__xludf.DUMMYFUNCTION("""COMPUTED_VALUE"""),0.583333333333333)</f>
        <v>0.58333333333333304</v>
      </c>
      <c r="X1720" s="8">
        <f ca="1">IFERROR(__xludf.DUMMYFUNCTION("""COMPUTED_VALUE"""),1)</f>
        <v>1</v>
      </c>
      <c r="Y1720" s="12" t="str">
        <f ca="1">IFERROR(__xludf.DUMMYFUNCTION("""COMPUTED_VALUE"""),"Shooting outside of school, school locked down")</f>
        <v>Shooting outside of school, school locked down</v>
      </c>
      <c r="Z1720" s="12" t="str">
        <f ca="1">IFERROR(__xludf.DUMMYFUNCTION("""COMPUTED_VALUE"""),"7 shots fired during gang related shooting outside of middle school. School was locked down and students were released 90 minutes later in batches. Gunman fled. Victim was critically injured and not identified (teen, unclear if student).")</f>
        <v>7 shots fired during gang related shooting outside of middle school. School was locked down and students were released 90 minutes later in batches. Gunman fled. Victim was critically injured and not identified (teen, unclear if student).</v>
      </c>
      <c r="AA1720" s="8" t="str">
        <f ca="1">IFERROR(__xludf.DUMMYFUNCTION("""COMPUTED_VALUE"""),"Escalation of Dispute")</f>
        <v>Escalation of Dispute</v>
      </c>
      <c r="AB1720" s="8"/>
      <c r="AC1720" s="8" t="str">
        <f ca="1">IFERROR(__xludf.DUMMYFUNCTION("""COMPUTED_VALUE"""),"Yes")</f>
        <v>Yes</v>
      </c>
      <c r="AD1720" s="8"/>
      <c r="AE1720" s="8" t="str">
        <f ca="1">IFERROR(__xludf.DUMMYFUNCTION("""COMPUTED_VALUE"""),"No")</f>
        <v>No</v>
      </c>
      <c r="AF1720" s="8"/>
      <c r="AG1720" s="8" t="str">
        <f ca="1">IFERROR(__xludf.DUMMYFUNCTION("""COMPUTED_VALUE"""),"No")</f>
        <v>No</v>
      </c>
      <c r="AH1720" s="8" t="str">
        <f ca="1">IFERROR(__xludf.DUMMYFUNCTION("""COMPUTED_VALUE"""),"No")</f>
        <v>No</v>
      </c>
      <c r="AI1720" s="8" t="str">
        <f ca="1">IFERROR(__xludf.DUMMYFUNCTION("""COMPUTED_VALUE"""),"No")</f>
        <v>No</v>
      </c>
      <c r="AJ1720" s="8" t="str">
        <f ca="1">IFERROR(__xludf.DUMMYFUNCTION("""COMPUTED_VALUE"""),"No")</f>
        <v>No</v>
      </c>
      <c r="AK1720" s="8" t="str">
        <f ca="1">IFERROR(__xludf.DUMMYFUNCTION("""COMPUTED_VALUE"""),"No")</f>
        <v>No</v>
      </c>
      <c r="AL1720" s="8" t="str">
        <f ca="1">IFERROR(__xludf.DUMMYFUNCTION("""COMPUTED_VALUE"""),"Yes")</f>
        <v>Yes</v>
      </c>
      <c r="AM1720" s="8" t="str">
        <f ca="1">IFERROR(__xludf.DUMMYFUNCTION("""COMPUTED_VALUE"""),"No")</f>
        <v>No</v>
      </c>
      <c r="AN1720" s="8"/>
      <c r="AO1720" s="8" t="str">
        <f ca="1">IFERROR(__xludf.DUMMYFUNCTION("""COMPUTED_VALUE"""),"No")</f>
        <v>No</v>
      </c>
      <c r="AP1720" s="8"/>
      <c r="AQ1720" s="8" t="str">
        <f ca="1">IFERROR(__xludf.DUMMYFUNCTION("""COMPUTED_VALUE"""),"Unknown")</f>
        <v>Unknown</v>
      </c>
      <c r="AR1720" s="8" t="str">
        <f ca="1">IFERROR(__xludf.DUMMYFUNCTION("""COMPUTED_VALUE"""),"NA")</f>
        <v>NA</v>
      </c>
      <c r="AS1720" s="8">
        <f ca="1">IFERROR(__xludf.DUMMYFUNCTION("""COMPUTED_VALUE"""),7)</f>
        <v>7</v>
      </c>
      <c r="AT1720" s="8" t="str">
        <f ca="1">IFERROR(__xludf.DUMMYFUNCTION("""COMPUTED_VALUE"""),"Yes")</f>
        <v>Yes</v>
      </c>
      <c r="AU1720" s="8">
        <f ca="1">IFERROR(__xludf.DUMMYFUNCTION("""COMPUTED_VALUE"""),39.762999)</f>
        <v>39.762999000000001</v>
      </c>
      <c r="AV1720" s="8">
        <f ca="1">IFERROR(__xludf.DUMMYFUNCTION("""COMPUTED_VALUE"""),-104.971355)</f>
        <v>-104.971355</v>
      </c>
      <c r="AW1720" s="8"/>
      <c r="AX1720" s="8">
        <f ca="1">IFERROR(__xludf.DUMMYFUNCTION("""COMPUTED_VALUE"""),80205)</f>
        <v>80205</v>
      </c>
    </row>
    <row r="1721" spans="1:50" ht="90" x14ac:dyDescent="0.2">
      <c r="A1721" s="8" t="str">
        <f ca="1">IFERROR(__xludf.DUMMYFUNCTION("""COMPUTED_VALUE"""),"20180824ILMEC")</f>
        <v>20180824ILMEC</v>
      </c>
      <c r="B1721" s="8">
        <f ca="1">IFERROR(__xludf.DUMMYFUNCTION("""COMPUTED_VALUE"""),8)</f>
        <v>8</v>
      </c>
      <c r="C1721" s="8">
        <f ca="1">IFERROR(__xludf.DUMMYFUNCTION("""COMPUTED_VALUE"""),24)</f>
        <v>24</v>
      </c>
      <c r="D1721" s="8">
        <f ca="1">IFERROR(__xludf.DUMMYFUNCTION("""COMPUTED_VALUE"""),2018)</f>
        <v>2018</v>
      </c>
      <c r="E1721" s="9">
        <f ca="1">IFERROR(__xludf.DUMMYFUNCTION("""COMPUTED_VALUE"""),43336)</f>
        <v>43336</v>
      </c>
      <c r="F1721" s="8" t="str">
        <f ca="1">IFERROR(__xludf.DUMMYFUNCTION("""COMPUTED_VALUE"""),"Metro East Lutheran High School")</f>
        <v>Metro East Lutheran High School</v>
      </c>
      <c r="G1721" s="8">
        <f ca="1">IFERROR(__xludf.DUMMYFUNCTION("""COMPUTED_VALUE"""),0)</f>
        <v>0</v>
      </c>
      <c r="H1721" s="8">
        <f ca="1">IFERROR(__xludf.DUMMYFUNCTION("""COMPUTED_VALUE"""),3)</f>
        <v>3</v>
      </c>
      <c r="I1721" s="8">
        <f ca="1">IFERROR(__xludf.DUMMYFUNCTION("""COMPUTED_VALUE"""),3)</f>
        <v>3</v>
      </c>
      <c r="J1721" s="8">
        <f ca="1">IFERROR(__xludf.DUMMYFUNCTION("""COMPUTED_VALUE"""),0)</f>
        <v>0</v>
      </c>
      <c r="K1721" s="10" t="str">
        <f ca="1">IFERROR(__xludf.DUMMYFUNCTION("""COMPUTED_VALUE"""),"https://www.ksdk.com/article/news/local/metro-east-football-team-forced-to-cancel-game-after-shooting-in-chicago/63-587675552")</f>
        <v>https://www.ksdk.com/article/news/local/metro-east-football-team-forced-to-cancel-game-after-shooting-in-chicago/63-587675552</v>
      </c>
      <c r="L1721" s="8"/>
      <c r="M1721" s="8"/>
      <c r="N1721" s="8">
        <f ca="1">IFERROR(__xludf.DUMMYFUNCTION("""COMPUTED_VALUE"""),2)</f>
        <v>2</v>
      </c>
      <c r="O1721" s="8" t="str">
        <f ca="1">IFERROR(__xludf.DUMMYFUNCTION("""COMPUTED_VALUE"""),"Summer")</f>
        <v>Summer</v>
      </c>
      <c r="P1721" s="8" t="str">
        <f ca="1">IFERROR(__xludf.DUMMYFUNCTION("""COMPUTED_VALUE"""),"Chicago")</f>
        <v>Chicago</v>
      </c>
      <c r="Q1721" s="8" t="str">
        <f ca="1">IFERROR(__xludf.DUMMYFUNCTION("""COMPUTED_VALUE"""),"IL")</f>
        <v>IL</v>
      </c>
      <c r="R1721" s="8" t="str">
        <f ca="1">IFERROR(__xludf.DUMMYFUNCTION("""COMPUTED_VALUE"""),"High")</f>
        <v>High</v>
      </c>
      <c r="S1721" s="8" t="str">
        <f ca="1">IFERROR(__xludf.DUMMYFUNCTION("""COMPUTED_VALUE"""),"Football Field/Track")</f>
        <v>Football Field/Track</v>
      </c>
      <c r="T1721" s="8" t="str">
        <f ca="1">IFERROR(__xludf.DUMMYFUNCTION("""COMPUTED_VALUE"""),"Outside on School Property")</f>
        <v>Outside on School Property</v>
      </c>
      <c r="U1721" s="8" t="str">
        <f ca="1">IFERROR(__xludf.DUMMYFUNCTION("""COMPUTED_VALUE"""),"No")</f>
        <v>No</v>
      </c>
      <c r="V1721" s="8" t="str">
        <f ca="1">IFERROR(__xludf.DUMMYFUNCTION("""COMPUTED_VALUE"""),"Sport Event")</f>
        <v>Sport Event</v>
      </c>
      <c r="W1721" s="8"/>
      <c r="X1721" s="8">
        <f ca="1">IFERROR(__xludf.DUMMYFUNCTION("""COMPUTED_VALUE"""),1)</f>
        <v>1</v>
      </c>
      <c r="Y1721" s="12" t="str">
        <f ca="1">IFERROR(__xludf.DUMMYFUNCTION("""COMPUTED_VALUE"""),"Gang related shooting outside stadium gate prior to football game, 30-50 shots fired, game cancelled")</f>
        <v>Gang related shooting outside stadium gate prior to football game, 30-50 shots fired, game cancelled</v>
      </c>
      <c r="Z1721" s="12" t="str">
        <f ca="1">IFERROR(__xludf.DUMMYFUNCTION("""COMPUTED_VALUE"""),"30-50 shots were fired between gang members outside of the stadium gate prior to the football game. The game was cancelled.")</f>
        <v>30-50 shots were fired between gang members outside of the stadium gate prior to the football game. The game was cancelled.</v>
      </c>
      <c r="AA1721" s="8" t="str">
        <f ca="1">IFERROR(__xludf.DUMMYFUNCTION("""COMPUTED_VALUE"""),"Escalation of Dispute")</f>
        <v>Escalation of Dispute</v>
      </c>
      <c r="AB1721" s="8"/>
      <c r="AC1721" s="8" t="str">
        <f ca="1">IFERROR(__xludf.DUMMYFUNCTION("""COMPUTED_VALUE"""),"Yes")</f>
        <v>Yes</v>
      </c>
      <c r="AD1721" s="8" t="str">
        <f ca="1">IFERROR(__xludf.DUMMYFUNCTION("""COMPUTED_VALUE"""),"Victims Targeted")</f>
        <v>Victims Targeted</v>
      </c>
      <c r="AE1721" s="8" t="str">
        <f ca="1">IFERROR(__xludf.DUMMYFUNCTION("""COMPUTED_VALUE"""),"Yes")</f>
        <v>Yes</v>
      </c>
      <c r="AF1721" s="8" t="str">
        <f ca="1">IFERROR(__xludf.DUMMYFUNCTION("""COMPUTED_VALUE"""),"Multiple gang members involved")</f>
        <v>Multiple gang members involved</v>
      </c>
      <c r="AG1721" s="8" t="str">
        <f ca="1">IFERROR(__xludf.DUMMYFUNCTION("""COMPUTED_VALUE"""),"No")</f>
        <v>No</v>
      </c>
      <c r="AH1721" s="8" t="str">
        <f ca="1">IFERROR(__xludf.DUMMYFUNCTION("""COMPUTED_VALUE"""),"No")</f>
        <v>No</v>
      </c>
      <c r="AI1721" s="8" t="str">
        <f ca="1">IFERROR(__xludf.DUMMYFUNCTION("""COMPUTED_VALUE"""),"No")</f>
        <v>No</v>
      </c>
      <c r="AJ1721" s="8" t="str">
        <f ca="1">IFERROR(__xludf.DUMMYFUNCTION("""COMPUTED_VALUE"""),"No")</f>
        <v>No</v>
      </c>
      <c r="AK1721" s="8" t="str">
        <f ca="1">IFERROR(__xludf.DUMMYFUNCTION("""COMPUTED_VALUE"""),"No")</f>
        <v>No</v>
      </c>
      <c r="AL1721" s="8" t="str">
        <f ca="1">IFERROR(__xludf.DUMMYFUNCTION("""COMPUTED_VALUE"""),"Yes")</f>
        <v>Yes</v>
      </c>
      <c r="AM1721" s="8" t="str">
        <f ca="1">IFERROR(__xludf.DUMMYFUNCTION("""COMPUTED_VALUE"""),"No")</f>
        <v>No</v>
      </c>
      <c r="AN1721" s="8"/>
      <c r="AO1721" s="8" t="str">
        <f ca="1">IFERROR(__xludf.DUMMYFUNCTION("""COMPUTED_VALUE"""),"No")</f>
        <v>No</v>
      </c>
      <c r="AP1721" s="8"/>
      <c r="AQ1721" s="8" t="str">
        <f ca="1">IFERROR(__xludf.DUMMYFUNCTION("""COMPUTED_VALUE"""),"Unknown")</f>
        <v>Unknown</v>
      </c>
      <c r="AR1721" s="8" t="str">
        <f ca="1">IFERROR(__xludf.DUMMYFUNCTION("""COMPUTED_VALUE"""),"NA")</f>
        <v>NA</v>
      </c>
      <c r="AS1721" s="8" t="str">
        <f ca="1">IFERROR(__xludf.DUMMYFUNCTION("""COMPUTED_VALUE"""),"30-50")</f>
        <v>30-50</v>
      </c>
      <c r="AT1721" s="8"/>
      <c r="AU1721" s="8">
        <f ca="1">IFERROR(__xludf.DUMMYFUNCTION("""COMPUTED_VALUE"""),38.787478)</f>
        <v>38.787478</v>
      </c>
      <c r="AV1721" s="8">
        <f ca="1">IFERROR(__xludf.DUMMYFUNCTION("""COMPUTED_VALUE"""),-89.968674)</f>
        <v>-89.968673999999993</v>
      </c>
      <c r="AW1721" s="8"/>
      <c r="AX1721" s="8">
        <f ca="1">IFERROR(__xludf.DUMMYFUNCTION("""COMPUTED_VALUE"""),62025)</f>
        <v>62025</v>
      </c>
    </row>
    <row r="1722" spans="1:50" ht="105" x14ac:dyDescent="0.2">
      <c r="A1722" s="8" t="str">
        <f ca="1">IFERROR(__xludf.DUMMYFUNCTION("""COMPUTED_VALUE"""),"20180824FLRAJ")</f>
        <v>20180824FLRAJ</v>
      </c>
      <c r="B1722" s="8">
        <f ca="1">IFERROR(__xludf.DUMMYFUNCTION("""COMPUTED_VALUE"""),8)</f>
        <v>8</v>
      </c>
      <c r="C1722" s="8">
        <f ca="1">IFERROR(__xludf.DUMMYFUNCTION("""COMPUTED_VALUE"""),24)</f>
        <v>24</v>
      </c>
      <c r="D1722" s="8">
        <f ca="1">IFERROR(__xludf.DUMMYFUNCTION("""COMPUTED_VALUE"""),2018)</f>
        <v>2018</v>
      </c>
      <c r="E1722" s="9">
        <f ca="1">IFERROR(__xludf.DUMMYFUNCTION("""COMPUTED_VALUE"""),43336)</f>
        <v>43336</v>
      </c>
      <c r="F1722" s="8" t="str">
        <f ca="1">IFERROR(__xludf.DUMMYFUNCTION("""COMPUTED_VALUE"""),"Raines High School")</f>
        <v>Raines High School</v>
      </c>
      <c r="G1722" s="8">
        <f ca="1">IFERROR(__xludf.DUMMYFUNCTION("""COMPUTED_VALUE"""),1)</f>
        <v>1</v>
      </c>
      <c r="H1722" s="8">
        <f ca="1">IFERROR(__xludf.DUMMYFUNCTION("""COMPUTED_VALUE"""),2)</f>
        <v>2</v>
      </c>
      <c r="I1722" s="8">
        <f ca="1">IFERROR(__xludf.DUMMYFUNCTION("""COMPUTED_VALUE"""),3)</f>
        <v>3</v>
      </c>
      <c r="J1722" s="8">
        <f ca="1">IFERROR(__xludf.DUMMYFUNCTION("""COMPUTED_VALUE"""),0)</f>
        <v>0</v>
      </c>
      <c r="K1722" s="10" t="str">
        <f ca="1">IFERROR(__xludf.DUMMYFUNCTION("""COMPUTED_VALUE"""),"https://www.news4jax.com/news/2018/08/25/police-gang-shooting-after-raines-high-school-football-game-kills-1-injures-2/")</f>
        <v>https://www.news4jax.com/news/2018/08/25/police-gang-shooting-after-raines-high-school-football-game-kills-1-injures-2/</v>
      </c>
      <c r="L1722" s="8"/>
      <c r="M1722" s="8"/>
      <c r="N1722" s="8">
        <f ca="1">IFERROR(__xludf.DUMMYFUNCTION("""COMPUTED_VALUE"""),4)</f>
        <v>4</v>
      </c>
      <c r="O1722" s="8" t="str">
        <f ca="1">IFERROR(__xludf.DUMMYFUNCTION("""COMPUTED_VALUE"""),"Summer")</f>
        <v>Summer</v>
      </c>
      <c r="P1722" s="8" t="str">
        <f ca="1">IFERROR(__xludf.DUMMYFUNCTION("""COMPUTED_VALUE"""),"Jacksonville")</f>
        <v>Jacksonville</v>
      </c>
      <c r="Q1722" s="8" t="str">
        <f ca="1">IFERROR(__xludf.DUMMYFUNCTION("""COMPUTED_VALUE"""),"FL")</f>
        <v>FL</v>
      </c>
      <c r="R1722" s="8" t="str">
        <f ca="1">IFERROR(__xludf.DUMMYFUNCTION("""COMPUTED_VALUE"""),"High")</f>
        <v>High</v>
      </c>
      <c r="S1722" s="8" t="str">
        <f ca="1">IFERROR(__xludf.DUMMYFUNCTION("""COMPUTED_VALUE"""),"Football Field/Track")</f>
        <v>Football Field/Track</v>
      </c>
      <c r="T1722" s="8" t="str">
        <f ca="1">IFERROR(__xludf.DUMMYFUNCTION("""COMPUTED_VALUE"""),"Outside on School Property")</f>
        <v>Outside on School Property</v>
      </c>
      <c r="U1722" s="8" t="str">
        <f ca="1">IFERROR(__xludf.DUMMYFUNCTION("""COMPUTED_VALUE"""),"No")</f>
        <v>No</v>
      </c>
      <c r="V1722" s="8" t="str">
        <f ca="1">IFERROR(__xludf.DUMMYFUNCTION("""COMPUTED_VALUE"""),"Sport Event")</f>
        <v>Sport Event</v>
      </c>
      <c r="W1722" s="11">
        <f ca="1">IFERROR(__xludf.DUMMYFUNCTION("""COMPUTED_VALUE"""),0.916666666666666)</f>
        <v>0.91666666666666596</v>
      </c>
      <c r="X1722" s="8">
        <f ca="1">IFERROR(__xludf.DUMMYFUNCTION("""COMPUTED_VALUE"""),1)</f>
        <v>1</v>
      </c>
      <c r="Y1722" s="12" t="str">
        <f ca="1">IFERROR(__xludf.DUMMYFUNCTION("""COMPUTED_VALUE"""),"Two students from rival school and former student shot after football game")</f>
        <v>Two students from rival school and former student shot after football game</v>
      </c>
      <c r="Z1722" s="12" t="str">
        <f ca="1">IFERROR(__xludf.DUMMYFUNCTION("""COMPUTED_VALUE"""),"Two students from the rival high school and a former student of the school where the shooting occurred where shot by an unknown gunman outside of the football stadium after the game. Metal detectors were used for screening all fan and 50 police officers w"&amp;"ere assigned to the game. Police reported the shooting occurred after a prior fight between the shooter and victims.")</f>
        <v>Two students from the rival high school and a former student of the school where the shooting occurred where shot by an unknown gunman outside of the football stadium after the game. Metal detectors were used for screening all fan and 50 police officers were assigned to the game. Police reported the shooting occurred after a prior fight between the shooter and victims.</v>
      </c>
      <c r="AA1722" s="8" t="str">
        <f ca="1">IFERROR(__xludf.DUMMYFUNCTION("""COMPUTED_VALUE"""),"Escalation of Dispute")</f>
        <v>Escalation of Dispute</v>
      </c>
      <c r="AB1722" s="8"/>
      <c r="AC1722" s="8" t="str">
        <f ca="1">IFERROR(__xludf.DUMMYFUNCTION("""COMPUTED_VALUE"""),"Yes")</f>
        <v>Yes</v>
      </c>
      <c r="AD1722" s="8" t="str">
        <f ca="1">IFERROR(__xludf.DUMMYFUNCTION("""COMPUTED_VALUE"""),"Both")</f>
        <v>Both</v>
      </c>
      <c r="AE1722" s="8"/>
      <c r="AF1722" s="8"/>
      <c r="AG1722" s="8" t="str">
        <f ca="1">IFERROR(__xludf.DUMMYFUNCTION("""COMPUTED_VALUE"""),"No")</f>
        <v>No</v>
      </c>
      <c r="AH1722" s="8" t="str">
        <f ca="1">IFERROR(__xludf.DUMMYFUNCTION("""COMPUTED_VALUE"""),"No")</f>
        <v>No</v>
      </c>
      <c r="AI1722" s="8" t="str">
        <f ca="1">IFERROR(__xludf.DUMMYFUNCTION("""COMPUTED_VALUE"""),"No")</f>
        <v>No</v>
      </c>
      <c r="AJ1722" s="8" t="str">
        <f ca="1">IFERROR(__xludf.DUMMYFUNCTION("""COMPUTED_VALUE"""),"No")</f>
        <v>No</v>
      </c>
      <c r="AK1722" s="8" t="str">
        <f ca="1">IFERROR(__xludf.DUMMYFUNCTION("""COMPUTED_VALUE"""),"No")</f>
        <v>No</v>
      </c>
      <c r="AL1722" s="8" t="str">
        <f ca="1">IFERROR(__xludf.DUMMYFUNCTION("""COMPUTED_VALUE"""),"Yes")</f>
        <v>Yes</v>
      </c>
      <c r="AM1722" s="8" t="str">
        <f ca="1">IFERROR(__xludf.DUMMYFUNCTION("""COMPUTED_VALUE"""),"No")</f>
        <v>No</v>
      </c>
      <c r="AN1722" s="8"/>
      <c r="AO1722" s="8" t="str">
        <f ca="1">IFERROR(__xludf.DUMMYFUNCTION("""COMPUTED_VALUE"""),"No")</f>
        <v>No</v>
      </c>
      <c r="AP1722" s="8"/>
      <c r="AQ1722" s="8" t="str">
        <f ca="1">IFERROR(__xludf.DUMMYFUNCTION("""COMPUTED_VALUE"""),"Metal Detectors Stadium")</f>
        <v>Metal Detectors Stadium</v>
      </c>
      <c r="AR1722" s="8" t="str">
        <f ca="1">IFERROR(__xludf.DUMMYFUNCTION("""COMPUTED_VALUE"""),"Outside/Off-Property")</f>
        <v>Outside/Off-Property</v>
      </c>
      <c r="AS1722" s="8"/>
      <c r="AT1722" s="8"/>
      <c r="AU1722" s="8">
        <f ca="1">IFERROR(__xludf.DUMMYFUNCTION("""COMPUTED_VALUE"""),30.381722)</f>
        <v>30.381722</v>
      </c>
      <c r="AV1722" s="8">
        <f ca="1">IFERROR(__xludf.DUMMYFUNCTION("""COMPUTED_VALUE"""),-81.710193)</f>
        <v>-81.710193000000004</v>
      </c>
      <c r="AW1722" s="8"/>
      <c r="AX1722" s="8">
        <f ca="1">IFERROR(__xludf.DUMMYFUNCTION("""COMPUTED_VALUE"""),32209)</f>
        <v>32209</v>
      </c>
    </row>
    <row r="1723" spans="1:50" ht="60" x14ac:dyDescent="0.2">
      <c r="A1723" s="8" t="str">
        <f ca="1">IFERROR(__xludf.DUMMYFUNCTION("""COMPUTED_VALUE"""),"20180823ALALM")</f>
        <v>20180823ALALM</v>
      </c>
      <c r="B1723" s="8">
        <f ca="1">IFERROR(__xludf.DUMMYFUNCTION("""COMPUTED_VALUE"""),8)</f>
        <v>8</v>
      </c>
      <c r="C1723" s="8">
        <f ca="1">IFERROR(__xludf.DUMMYFUNCTION("""COMPUTED_VALUE"""),23)</f>
        <v>23</v>
      </c>
      <c r="D1723" s="8">
        <f ca="1">IFERROR(__xludf.DUMMYFUNCTION("""COMPUTED_VALUE"""),2018)</f>
        <v>2018</v>
      </c>
      <c r="E1723" s="9">
        <f ca="1">IFERROR(__xludf.DUMMYFUNCTION("""COMPUTED_VALUE"""),43335)</f>
        <v>43335</v>
      </c>
      <c r="F1723" s="8" t="str">
        <f ca="1">IFERROR(__xludf.DUMMYFUNCTION("""COMPUTED_VALUE"""),"Alabama State University Stadium (high school game)")</f>
        <v>Alabama State University Stadium (high school game)</v>
      </c>
      <c r="G1723" s="8">
        <f ca="1">IFERROR(__xludf.DUMMYFUNCTION("""COMPUTED_VALUE"""),0)</f>
        <v>0</v>
      </c>
      <c r="H1723" s="8">
        <f ca="1">IFERROR(__xludf.DUMMYFUNCTION("""COMPUTED_VALUE"""),0)</f>
        <v>0</v>
      </c>
      <c r="I1723" s="8">
        <f ca="1">IFERROR(__xludf.DUMMYFUNCTION("""COMPUTED_VALUE"""),0)</f>
        <v>0</v>
      </c>
      <c r="J1723" s="8">
        <f ca="1">IFERROR(__xludf.DUMMYFUNCTION("""COMPUTED_VALUE"""),0)</f>
        <v>0</v>
      </c>
      <c r="K1723" s="10" t="str">
        <f ca="1">IFERROR(__xludf.DUMMYFUNCTION("""COMPUTED_VALUE"""),"https://www.montgomeryadvertiser.com/story/sports/high-school/football/2018/08/23/shooting-outside-asu-stadium-brings-halt-g-w-carver-jeff-davis-game/1081209002/")</f>
        <v>https://www.montgomeryadvertiser.com/story/sports/high-school/football/2018/08/23/shooting-outside-asu-stadium-brings-halt-g-w-carver-jeff-davis-game/1081209002/</v>
      </c>
      <c r="L1723" s="8"/>
      <c r="M1723" s="8"/>
      <c r="N1723" s="8">
        <f ca="1">IFERROR(__xludf.DUMMYFUNCTION("""COMPUTED_VALUE"""),4)</f>
        <v>4</v>
      </c>
      <c r="O1723" s="8" t="str">
        <f ca="1">IFERROR(__xludf.DUMMYFUNCTION("""COMPUTED_VALUE"""),"Summer")</f>
        <v>Summer</v>
      </c>
      <c r="P1723" s="8" t="str">
        <f ca="1">IFERROR(__xludf.DUMMYFUNCTION("""COMPUTED_VALUE"""),"Montgomery")</f>
        <v>Montgomery</v>
      </c>
      <c r="Q1723" s="8" t="str">
        <f ca="1">IFERROR(__xludf.DUMMYFUNCTION("""COMPUTED_VALUE"""),"AL")</f>
        <v>AL</v>
      </c>
      <c r="R1723" s="8" t="str">
        <f ca="1">IFERROR(__xludf.DUMMYFUNCTION("""COMPUTED_VALUE"""),"High")</f>
        <v>High</v>
      </c>
      <c r="S1723" s="8" t="str">
        <f ca="1">IFERROR(__xludf.DUMMYFUNCTION("""COMPUTED_VALUE"""),"Football Field/Track")</f>
        <v>Football Field/Track</v>
      </c>
      <c r="T1723" s="8" t="str">
        <f ca="1">IFERROR(__xludf.DUMMYFUNCTION("""COMPUTED_VALUE"""),"Outside on School Property")</f>
        <v>Outside on School Property</v>
      </c>
      <c r="U1723" s="8" t="str">
        <f ca="1">IFERROR(__xludf.DUMMYFUNCTION("""COMPUTED_VALUE"""),"No")</f>
        <v>No</v>
      </c>
      <c r="V1723" s="8" t="str">
        <f ca="1">IFERROR(__xludf.DUMMYFUNCTION("""COMPUTED_VALUE"""),"Sport Event")</f>
        <v>Sport Event</v>
      </c>
      <c r="W1723" s="11">
        <f ca="1">IFERROR(__xludf.DUMMYFUNCTION("""COMPUTED_VALUE"""),0.895833333333333)</f>
        <v>0.89583333333333304</v>
      </c>
      <c r="X1723" s="8">
        <f ca="1">IFERROR(__xludf.DUMMYFUNCTION("""COMPUTED_VALUE"""),1)</f>
        <v>1</v>
      </c>
      <c r="Y1723" s="12" t="str">
        <f ca="1">IFERROR(__xludf.DUMMYFUNCTION("""COMPUTED_VALUE"""),"Shots fired in walkway of stadium during high school football game")</f>
        <v>Shots fired in walkway of stadium during high school football game</v>
      </c>
      <c r="Z1723" s="12" t="str">
        <f ca="1">IFERROR(__xludf.DUMMYFUNCTION("""COMPUTED_VALUE"""),"Shots fired in stadium walkway during high school football game. Teams ran off the field and the remainder of the game was canceled. Police were assigned to the stadium for the game. Unknown shooter fled the area. No injuries.")</f>
        <v>Shots fired in stadium walkway during high school football game. Teams ran off the field and the remainder of the game was canceled. Police were assigned to the stadium for the game. Unknown shooter fled the area. No injuries.</v>
      </c>
      <c r="AA1723" s="8" t="str">
        <f ca="1">IFERROR(__xludf.DUMMYFUNCTION("""COMPUTED_VALUE"""),"Escalation of Dispute")</f>
        <v>Escalation of Dispute</v>
      </c>
      <c r="AB1723" s="8"/>
      <c r="AC1723" s="8" t="str">
        <f ca="1">IFERROR(__xludf.DUMMYFUNCTION("""COMPUTED_VALUE"""),"Yes")</f>
        <v>Yes</v>
      </c>
      <c r="AD1723" s="8"/>
      <c r="AE1723" s="8"/>
      <c r="AF1723" s="8"/>
      <c r="AG1723" s="8" t="str">
        <f ca="1">IFERROR(__xludf.DUMMYFUNCTION("""COMPUTED_VALUE"""),"No")</f>
        <v>No</v>
      </c>
      <c r="AH1723" s="8" t="str">
        <f ca="1">IFERROR(__xludf.DUMMYFUNCTION("""COMPUTED_VALUE"""),"No")</f>
        <v>No</v>
      </c>
      <c r="AI1723" s="8" t="str">
        <f ca="1">IFERROR(__xludf.DUMMYFUNCTION("""COMPUTED_VALUE"""),"No")</f>
        <v>No</v>
      </c>
      <c r="AJ1723" s="8" t="str">
        <f ca="1">IFERROR(__xludf.DUMMYFUNCTION("""COMPUTED_VALUE"""),"No")</f>
        <v>No</v>
      </c>
      <c r="AK1723" s="8" t="str">
        <f ca="1">IFERROR(__xludf.DUMMYFUNCTION("""COMPUTED_VALUE"""),"No")</f>
        <v>No</v>
      </c>
      <c r="AL1723" s="8"/>
      <c r="AM1723" s="8" t="str">
        <f ca="1">IFERROR(__xludf.DUMMYFUNCTION("""COMPUTED_VALUE"""),"No")</f>
        <v>No</v>
      </c>
      <c r="AN1723" s="8"/>
      <c r="AO1723" s="8" t="str">
        <f ca="1">IFERROR(__xludf.DUMMYFUNCTION("""COMPUTED_VALUE"""),"No")</f>
        <v>No</v>
      </c>
      <c r="AP1723" s="8" t="str">
        <f ca="1">IFERROR(__xludf.DUMMYFUNCTION("""COMPUTED_VALUE"""),"Yes")</f>
        <v>Yes</v>
      </c>
      <c r="AQ1723" s="8" t="str">
        <f ca="1">IFERROR(__xludf.DUMMYFUNCTION("""COMPUTED_VALUE"""),"Unknown")</f>
        <v>Unknown</v>
      </c>
      <c r="AR1723" s="8" t="str">
        <f ca="1">IFERROR(__xludf.DUMMYFUNCTION("""COMPUTED_VALUE"""),"NA")</f>
        <v>NA</v>
      </c>
      <c r="AS1723" s="8"/>
      <c r="AT1723" s="8" t="str">
        <f ca="1">IFERROR(__xludf.DUMMYFUNCTION("""COMPUTED_VALUE"""),"Yes")</f>
        <v>Yes</v>
      </c>
      <c r="AU1723" s="8">
        <f ca="1">IFERROR(__xludf.DUMMYFUNCTION("""COMPUTED_VALUE"""),32.364127)</f>
        <v>32.364127000000003</v>
      </c>
      <c r="AV1723" s="8">
        <f ca="1">IFERROR(__xludf.DUMMYFUNCTION("""COMPUTED_VALUE"""),-86.290125)</f>
        <v>-86.290125000000003</v>
      </c>
      <c r="AW1723" s="8"/>
      <c r="AX1723" s="8">
        <f ca="1">IFERROR(__xludf.DUMMYFUNCTION("""COMPUTED_VALUE"""),36104)</f>
        <v>36104</v>
      </c>
    </row>
    <row r="1724" spans="1:50" ht="60" x14ac:dyDescent="0.2">
      <c r="A1724" s="8" t="str">
        <f ca="1">IFERROR(__xludf.DUMMYFUNCTION("""COMPUTED_VALUE"""),"20180817FLPAW")</f>
        <v>20180817FLPAW</v>
      </c>
      <c r="B1724" s="8">
        <f ca="1">IFERROR(__xludf.DUMMYFUNCTION("""COMPUTED_VALUE"""),8)</f>
        <v>8</v>
      </c>
      <c r="C1724" s="8">
        <f ca="1">IFERROR(__xludf.DUMMYFUNCTION("""COMPUTED_VALUE"""),17)</f>
        <v>17</v>
      </c>
      <c r="D1724" s="8">
        <f ca="1">IFERROR(__xludf.DUMMYFUNCTION("""COMPUTED_VALUE"""),2018)</f>
        <v>2018</v>
      </c>
      <c r="E1724" s="9">
        <f ca="1">IFERROR(__xludf.DUMMYFUNCTION("""COMPUTED_VALUE"""),43329)</f>
        <v>43329</v>
      </c>
      <c r="F1724" s="8" t="str">
        <f ca="1">IFERROR(__xludf.DUMMYFUNCTION("""COMPUTED_VALUE"""),"Palm Beach Central High School")</f>
        <v>Palm Beach Central High School</v>
      </c>
      <c r="G1724" s="8">
        <f ca="1">IFERROR(__xludf.DUMMYFUNCTION("""COMPUTED_VALUE"""),0)</f>
        <v>0</v>
      </c>
      <c r="H1724" s="8">
        <f ca="1">IFERROR(__xludf.DUMMYFUNCTION("""COMPUTED_VALUE"""),2)</f>
        <v>2</v>
      </c>
      <c r="I1724" s="8">
        <f ca="1">IFERROR(__xludf.DUMMYFUNCTION("""COMPUTED_VALUE"""),2)</f>
        <v>2</v>
      </c>
      <c r="J1724" s="8">
        <f ca="1">IFERROR(__xludf.DUMMYFUNCTION("""COMPUTED_VALUE"""),0)</f>
        <v>0</v>
      </c>
      <c r="K1724" s="8" t="str">
        <f ca="1">IFERROR(__xludf.DUMMYFUNCTION("""COMPUTED_VALUE"""),"https://www.cbsnews.com/news/palm-beach-central-high-school-shooting-at-football-game-tonight-2018-08-17/ https://cbs12.com/news/local/investigators-id-victims-of-shooting-at-high-school-football-game")</f>
        <v>https://www.cbsnews.com/news/palm-beach-central-high-school-shooting-at-football-game-tonight-2018-08-17/ https://cbs12.com/news/local/investigators-id-victims-of-shooting-at-high-school-football-game</v>
      </c>
      <c r="L1724" s="8">
        <f ca="1">IFERROR(__xludf.DUMMYFUNCTION("""COMPUTED_VALUE"""),11)</f>
        <v>11</v>
      </c>
      <c r="M1724" s="8" t="str">
        <f ca="1">IFERROR(__xludf.DUMMYFUNCTION("""COMPUTED_VALUE"""),"National")</f>
        <v>National</v>
      </c>
      <c r="N1724" s="8">
        <f ca="1">IFERROR(__xludf.DUMMYFUNCTION("""COMPUTED_VALUE"""),3)</f>
        <v>3</v>
      </c>
      <c r="O1724" s="8" t="str">
        <f ca="1">IFERROR(__xludf.DUMMYFUNCTION("""COMPUTED_VALUE"""),"Summer")</f>
        <v>Summer</v>
      </c>
      <c r="P1724" s="8" t="str">
        <f ca="1">IFERROR(__xludf.DUMMYFUNCTION("""COMPUTED_VALUE"""),"Wellington")</f>
        <v>Wellington</v>
      </c>
      <c r="Q1724" s="8" t="str">
        <f ca="1">IFERROR(__xludf.DUMMYFUNCTION("""COMPUTED_VALUE"""),"FL")</f>
        <v>FL</v>
      </c>
      <c r="R1724" s="8" t="str">
        <f ca="1">IFERROR(__xludf.DUMMYFUNCTION("""COMPUTED_VALUE"""),"High")</f>
        <v>High</v>
      </c>
      <c r="S1724" s="8" t="str">
        <f ca="1">IFERROR(__xludf.DUMMYFUNCTION("""COMPUTED_VALUE"""),"Football Field/Track")</f>
        <v>Football Field/Track</v>
      </c>
      <c r="T1724" s="8" t="str">
        <f ca="1">IFERROR(__xludf.DUMMYFUNCTION("""COMPUTED_VALUE"""),"Outside on School Property")</f>
        <v>Outside on School Property</v>
      </c>
      <c r="U1724" s="8" t="str">
        <f ca="1">IFERROR(__xludf.DUMMYFUNCTION("""COMPUTED_VALUE"""),"No")</f>
        <v>No</v>
      </c>
      <c r="V1724" s="8" t="str">
        <f ca="1">IFERROR(__xludf.DUMMYFUNCTION("""COMPUTED_VALUE"""),"Sport Event")</f>
        <v>Sport Event</v>
      </c>
      <c r="W1724" s="11">
        <f ca="1">IFERROR(__xludf.DUMMYFUNCTION("""COMPUTED_VALUE"""),0.90625)</f>
        <v>0.90625</v>
      </c>
      <c r="X1724" s="8">
        <f ca="1">IFERROR(__xludf.DUMMYFUNCTION("""COMPUTED_VALUE"""),1)</f>
        <v>1</v>
      </c>
      <c r="Y1724" s="12" t="str">
        <f ca="1">IFERROR(__xludf.DUMMYFUNCTION("""COMPUTED_VALUE"""),"4 shots fired during fight at football game under bleachers")</f>
        <v>4 shots fired during fight at football game under bleachers</v>
      </c>
      <c r="Z1724" s="12" t="str">
        <f ca="1">IFERROR(__xludf.DUMMYFUNCTION("""COMPUTED_VALUE"""),"2 adult males shot during fight between a group of males under the bleachers during the football game. Students fled the stadium and game was stopped. Suspect and motive unknown.")</f>
        <v>2 adult males shot during fight between a group of males under the bleachers during the football game. Students fled the stadium and game was stopped. Suspect and motive unknown.</v>
      </c>
      <c r="AA1724" s="8" t="str">
        <f ca="1">IFERROR(__xludf.DUMMYFUNCTION("""COMPUTED_VALUE"""),"Escalation of Dispute")</f>
        <v>Escalation of Dispute</v>
      </c>
      <c r="AB1724" s="8"/>
      <c r="AC1724" s="8" t="str">
        <f ca="1">IFERROR(__xludf.DUMMYFUNCTION("""COMPUTED_VALUE"""),"Yes")</f>
        <v>Yes</v>
      </c>
      <c r="AD1724" s="8" t="str">
        <f ca="1">IFERROR(__xludf.DUMMYFUNCTION("""COMPUTED_VALUE"""),"Victims Targeted")</f>
        <v>Victims Targeted</v>
      </c>
      <c r="AE1724" s="8"/>
      <c r="AF1724" s="8"/>
      <c r="AG1724" s="8" t="str">
        <f ca="1">IFERROR(__xludf.DUMMYFUNCTION("""COMPUTED_VALUE"""),"No")</f>
        <v>No</v>
      </c>
      <c r="AH1724" s="8" t="str">
        <f ca="1">IFERROR(__xludf.DUMMYFUNCTION("""COMPUTED_VALUE"""),"No")</f>
        <v>No</v>
      </c>
      <c r="AI1724" s="8" t="str">
        <f ca="1">IFERROR(__xludf.DUMMYFUNCTION("""COMPUTED_VALUE"""),"No")</f>
        <v>No</v>
      </c>
      <c r="AJ1724" s="8" t="str">
        <f ca="1">IFERROR(__xludf.DUMMYFUNCTION("""COMPUTED_VALUE"""),"No")</f>
        <v>No</v>
      </c>
      <c r="AK1724" s="8" t="str">
        <f ca="1">IFERROR(__xludf.DUMMYFUNCTION("""COMPUTED_VALUE"""),"No")</f>
        <v>No</v>
      </c>
      <c r="AL1724" s="8" t="str">
        <f ca="1">IFERROR(__xludf.DUMMYFUNCTION("""COMPUTED_VALUE"""),"No")</f>
        <v>No</v>
      </c>
      <c r="AM1724" s="8" t="str">
        <f ca="1">IFERROR(__xludf.DUMMYFUNCTION("""COMPUTED_VALUE"""),"No")</f>
        <v>No</v>
      </c>
      <c r="AN1724" s="8"/>
      <c r="AO1724" s="8" t="str">
        <f ca="1">IFERROR(__xludf.DUMMYFUNCTION("""COMPUTED_VALUE"""),"No")</f>
        <v>No</v>
      </c>
      <c r="AP1724" s="8"/>
      <c r="AQ1724" s="8" t="str">
        <f ca="1">IFERROR(__xludf.DUMMYFUNCTION("""COMPUTED_VALUE"""),"Unknown")</f>
        <v>Unknown</v>
      </c>
      <c r="AR1724" s="8" t="str">
        <f ca="1">IFERROR(__xludf.DUMMYFUNCTION("""COMPUTED_VALUE"""),"NA")</f>
        <v>NA</v>
      </c>
      <c r="AS1724" s="8">
        <f ca="1">IFERROR(__xludf.DUMMYFUNCTION("""COMPUTED_VALUE"""),4)</f>
        <v>4</v>
      </c>
      <c r="AT1724" s="8"/>
      <c r="AU1724" s="8">
        <f ca="1">IFERROR(__xludf.DUMMYFUNCTION("""COMPUTED_VALUE"""),26.652429)</f>
        <v>26.652429000000001</v>
      </c>
      <c r="AV1724" s="8">
        <f ca="1">IFERROR(__xludf.DUMMYFUNCTION("""COMPUTED_VALUE"""),-80.179038)</f>
        <v>-80.179038000000006</v>
      </c>
      <c r="AW1724" s="8"/>
      <c r="AX1724" s="8">
        <f ca="1">IFERROR(__xludf.DUMMYFUNCTION("""COMPUTED_VALUE"""),33447)</f>
        <v>33447</v>
      </c>
    </row>
    <row r="1725" spans="1:50" ht="60" x14ac:dyDescent="0.2">
      <c r="A1725" s="8" t="str">
        <f ca="1">IFERROR(__xludf.DUMMYFUNCTION("""COMPUTED_VALUE"""),"20180811TNANN")</f>
        <v>20180811TNANN</v>
      </c>
      <c r="B1725" s="8">
        <f ca="1">IFERROR(__xludf.DUMMYFUNCTION("""COMPUTED_VALUE"""),8)</f>
        <v>8</v>
      </c>
      <c r="C1725" s="8">
        <f ca="1">IFERROR(__xludf.DUMMYFUNCTION("""COMPUTED_VALUE"""),11)</f>
        <v>11</v>
      </c>
      <c r="D1725" s="8">
        <f ca="1">IFERROR(__xludf.DUMMYFUNCTION("""COMPUTED_VALUE"""),2018)</f>
        <v>2018</v>
      </c>
      <c r="E1725" s="9">
        <f ca="1">IFERROR(__xludf.DUMMYFUNCTION("""COMPUTED_VALUE"""),43323)</f>
        <v>43323</v>
      </c>
      <c r="F1725" s="8" t="str">
        <f ca="1">IFERROR(__xludf.DUMMYFUNCTION("""COMPUTED_VALUE"""),"Antioch High School")</f>
        <v>Antioch High School</v>
      </c>
      <c r="G1725" s="8">
        <f ca="1">IFERROR(__xludf.DUMMYFUNCTION("""COMPUTED_VALUE"""),0)</f>
        <v>0</v>
      </c>
      <c r="H1725" s="8">
        <f ca="1">IFERROR(__xludf.DUMMYFUNCTION("""COMPUTED_VALUE"""),1)</f>
        <v>1</v>
      </c>
      <c r="I1725" s="8">
        <f ca="1">IFERROR(__xludf.DUMMYFUNCTION("""COMPUTED_VALUE"""),1)</f>
        <v>1</v>
      </c>
      <c r="J1725" s="8">
        <f ca="1">IFERROR(__xludf.DUMMYFUNCTION("""COMPUTED_VALUE"""),0)</f>
        <v>0</v>
      </c>
      <c r="K1725" s="10" t="str">
        <f ca="1">IFERROR(__xludf.DUMMYFUNCTION("""COMPUTED_VALUE"""),"https://www.wsmv.com/news/police-identify-man-accused-of-shooting-youth-football-coach-on/article_f8653b71-1014-5896-bc31-37c289db30f9.html")</f>
        <v>https://www.wsmv.com/news/police-identify-man-accused-of-shooting-youth-football-coach-on/article_f8653b71-1014-5896-bc31-37c289db30f9.html</v>
      </c>
      <c r="L1725" s="8"/>
      <c r="M1725" s="8"/>
      <c r="N1725" s="8">
        <f ca="1">IFERROR(__xludf.DUMMYFUNCTION("""COMPUTED_VALUE"""),4)</f>
        <v>4</v>
      </c>
      <c r="O1725" s="8" t="str">
        <f ca="1">IFERROR(__xludf.DUMMYFUNCTION("""COMPUTED_VALUE"""),"Summer")</f>
        <v>Summer</v>
      </c>
      <c r="P1725" s="8" t="str">
        <f ca="1">IFERROR(__xludf.DUMMYFUNCTION("""COMPUTED_VALUE"""),"Nashville")</f>
        <v>Nashville</v>
      </c>
      <c r="Q1725" s="8" t="str">
        <f ca="1">IFERROR(__xludf.DUMMYFUNCTION("""COMPUTED_VALUE"""),"TN")</f>
        <v>TN</v>
      </c>
      <c r="R1725" s="8" t="str">
        <f ca="1">IFERROR(__xludf.DUMMYFUNCTION("""COMPUTED_VALUE"""),"High")</f>
        <v>High</v>
      </c>
      <c r="S1725" s="8" t="str">
        <f ca="1">IFERROR(__xludf.DUMMYFUNCTION("""COMPUTED_VALUE"""),"Football Field/Track")</f>
        <v>Football Field/Track</v>
      </c>
      <c r="T1725" s="8" t="str">
        <f ca="1">IFERROR(__xludf.DUMMYFUNCTION("""COMPUTED_VALUE"""),"Outside on School Property")</f>
        <v>Outside on School Property</v>
      </c>
      <c r="U1725" s="8" t="str">
        <f ca="1">IFERROR(__xludf.DUMMYFUNCTION("""COMPUTED_VALUE"""),"No")</f>
        <v>No</v>
      </c>
      <c r="V1725" s="8" t="str">
        <f ca="1">IFERROR(__xludf.DUMMYFUNCTION("""COMPUTED_VALUE"""),"Sport Event")</f>
        <v>Sport Event</v>
      </c>
      <c r="W1725" s="11">
        <f ca="1">IFERROR(__xludf.DUMMYFUNCTION("""COMPUTED_VALUE"""),0.75)</f>
        <v>0.75</v>
      </c>
      <c r="X1725" s="8">
        <f ca="1">IFERROR(__xludf.DUMMYFUNCTION("""COMPUTED_VALUE"""),1)</f>
        <v>1</v>
      </c>
      <c r="Y1725" s="12" t="str">
        <f ca="1">IFERROR(__xludf.DUMMYFUNCTION("""COMPUTED_VALUE"""),"Parent shot football coach during fight with other parent")</f>
        <v>Parent shot football coach during fight with other parent</v>
      </c>
      <c r="Z1725" s="12" t="str">
        <f ca="1">IFERROR(__xludf.DUMMYFUNCTION("""COMPUTED_VALUE"""),"Two parents got involved in fight between two juveniles during youth football jamboree. During the fight, one parent pulled a pistol and fired multiple shots striking the football coach (not intended target). Shooter fled the scene.")</f>
        <v>Two parents got involved in fight between two juveniles during youth football jamboree. During the fight, one parent pulled a pistol and fired multiple shots striking the football coach (not intended target). Shooter fled the scene.</v>
      </c>
      <c r="AA1725" s="8" t="str">
        <f ca="1">IFERROR(__xludf.DUMMYFUNCTION("""COMPUTED_VALUE"""),"Escalation of Dispute")</f>
        <v>Escalation of Dispute</v>
      </c>
      <c r="AB1725" s="8"/>
      <c r="AC1725" s="8" t="str">
        <f ca="1">IFERROR(__xludf.DUMMYFUNCTION("""COMPUTED_VALUE"""),"No")</f>
        <v>No</v>
      </c>
      <c r="AD1725" s="8" t="str">
        <f ca="1">IFERROR(__xludf.DUMMYFUNCTION("""COMPUTED_VALUE"""),"Both")</f>
        <v>Both</v>
      </c>
      <c r="AE1725" s="8" t="str">
        <f ca="1">IFERROR(__xludf.DUMMYFUNCTION("""COMPUTED_VALUE"""),"No")</f>
        <v>No</v>
      </c>
      <c r="AF1725" s="8"/>
      <c r="AG1725" s="8" t="str">
        <f ca="1">IFERROR(__xludf.DUMMYFUNCTION("""COMPUTED_VALUE"""),"No")</f>
        <v>No</v>
      </c>
      <c r="AH1725" s="8" t="str">
        <f ca="1">IFERROR(__xludf.DUMMYFUNCTION("""COMPUTED_VALUE"""),"No")</f>
        <v>No</v>
      </c>
      <c r="AI1725" s="8" t="str">
        <f ca="1">IFERROR(__xludf.DUMMYFUNCTION("""COMPUTED_VALUE"""),"No")</f>
        <v>No</v>
      </c>
      <c r="AJ1725" s="8" t="str">
        <f ca="1">IFERROR(__xludf.DUMMYFUNCTION("""COMPUTED_VALUE"""),"No")</f>
        <v>No</v>
      </c>
      <c r="AK1725" s="8" t="str">
        <f ca="1">IFERROR(__xludf.DUMMYFUNCTION("""COMPUTED_VALUE"""),"No")</f>
        <v>No</v>
      </c>
      <c r="AL1725" s="8" t="str">
        <f ca="1">IFERROR(__xludf.DUMMYFUNCTION("""COMPUTED_VALUE"""),"No")</f>
        <v>No</v>
      </c>
      <c r="AM1725" s="8" t="str">
        <f ca="1">IFERROR(__xludf.DUMMYFUNCTION("""COMPUTED_VALUE"""),"No")</f>
        <v>No</v>
      </c>
      <c r="AN1725" s="8"/>
      <c r="AO1725" s="8" t="str">
        <f ca="1">IFERROR(__xludf.DUMMYFUNCTION("""COMPUTED_VALUE"""),"No")</f>
        <v>No</v>
      </c>
      <c r="AP1725" s="8"/>
      <c r="AQ1725" s="8" t="str">
        <f ca="1">IFERROR(__xludf.DUMMYFUNCTION("""COMPUTED_VALUE"""),"Unknown")</f>
        <v>Unknown</v>
      </c>
      <c r="AR1725" s="8" t="str">
        <f ca="1">IFERROR(__xludf.DUMMYFUNCTION("""COMPUTED_VALUE"""),"NA")</f>
        <v>NA</v>
      </c>
      <c r="AS1725" s="8" t="str">
        <f ca="1">IFERROR(__xludf.DUMMYFUNCTION("""COMPUTED_VALUE"""),"&lt;10")</f>
        <v>&lt;10</v>
      </c>
      <c r="AT1725" s="8" t="str">
        <f ca="1">IFERROR(__xludf.DUMMYFUNCTION("""COMPUTED_VALUE"""),"No")</f>
        <v>No</v>
      </c>
      <c r="AU1725" s="8">
        <f ca="1">IFERROR(__xludf.DUMMYFUNCTION("""COMPUTED_VALUE"""),36.04645)</f>
        <v>36.04645</v>
      </c>
      <c r="AV1725" s="8">
        <f ca="1">IFERROR(__xludf.DUMMYFUNCTION("""COMPUTED_VALUE"""),-86.598226)</f>
        <v>-86.598225999999997</v>
      </c>
      <c r="AW1725" s="8"/>
      <c r="AX1725" s="8">
        <f ca="1">IFERROR(__xludf.DUMMYFUNCTION("""COMPUTED_VALUE"""),37013)</f>
        <v>37013</v>
      </c>
    </row>
    <row r="1726" spans="1:50" ht="60" x14ac:dyDescent="0.2">
      <c r="A1726" s="8" t="str">
        <f ca="1">IFERROR(__xludf.DUMMYFUNCTION("""COMPUTED_VALUE"""),"20180809NJLAM")</f>
        <v>20180809NJLAM</v>
      </c>
      <c r="B1726" s="8">
        <f ca="1">IFERROR(__xludf.DUMMYFUNCTION("""COMPUTED_VALUE"""),8)</f>
        <v>8</v>
      </c>
      <c r="C1726" s="8">
        <f ca="1">IFERROR(__xludf.DUMMYFUNCTION("""COMPUTED_VALUE"""),9)</f>
        <v>9</v>
      </c>
      <c r="D1726" s="8">
        <f ca="1">IFERROR(__xludf.DUMMYFUNCTION("""COMPUTED_VALUE"""),2018)</f>
        <v>2018</v>
      </c>
      <c r="E1726" s="9">
        <f ca="1">IFERROR(__xludf.DUMMYFUNCTION("""COMPUTED_VALUE"""),43321)</f>
        <v>43321</v>
      </c>
      <c r="F1726" s="8" t="str">
        <f ca="1">IFERROR(__xludf.DUMMYFUNCTION("""COMPUTED_VALUE"""),"Lakeside Middle School")</f>
        <v>Lakeside Middle School</v>
      </c>
      <c r="G1726" s="8">
        <f ca="1">IFERROR(__xludf.DUMMYFUNCTION("""COMPUTED_VALUE"""),1)</f>
        <v>1</v>
      </c>
      <c r="H1726" s="8">
        <f ca="1">IFERROR(__xludf.DUMMYFUNCTION("""COMPUTED_VALUE"""),0)</f>
        <v>0</v>
      </c>
      <c r="I1726" s="8">
        <f ca="1">IFERROR(__xludf.DUMMYFUNCTION("""COMPUTED_VALUE"""),1)</f>
        <v>1</v>
      </c>
      <c r="J1726" s="8">
        <f ca="1">IFERROR(__xludf.DUMMYFUNCTION("""COMPUTED_VALUE"""),0)</f>
        <v>0</v>
      </c>
      <c r="K1726" s="10" t="str">
        <f ca="1">IFERROR(__xludf.DUMMYFUNCTION("""COMPUTED_VALUE"""),"https://www.thedailyjournal.com/story/news/crime/2018/08/09/man-critically-wounded-shooting-school-parking-lot-millville/953855002/")</f>
        <v>https://www.thedailyjournal.com/story/news/crime/2018/08/09/man-critically-wounded-shooting-school-parking-lot-millville/953855002/</v>
      </c>
      <c r="L1726" s="8"/>
      <c r="M1726" s="8"/>
      <c r="N1726" s="8">
        <f ca="1">IFERROR(__xludf.DUMMYFUNCTION("""COMPUTED_VALUE"""),4)</f>
        <v>4</v>
      </c>
      <c r="O1726" s="8" t="str">
        <f ca="1">IFERROR(__xludf.DUMMYFUNCTION("""COMPUTED_VALUE"""),"Summer")</f>
        <v>Summer</v>
      </c>
      <c r="P1726" s="8" t="str">
        <f ca="1">IFERROR(__xludf.DUMMYFUNCTION("""COMPUTED_VALUE"""),"Millville")</f>
        <v>Millville</v>
      </c>
      <c r="Q1726" s="8" t="str">
        <f ca="1">IFERROR(__xludf.DUMMYFUNCTION("""COMPUTED_VALUE"""),"NJ")</f>
        <v>NJ</v>
      </c>
      <c r="R1726" s="8" t="str">
        <f ca="1">IFERROR(__xludf.DUMMYFUNCTION("""COMPUTED_VALUE"""),"Middle")</f>
        <v>Middle</v>
      </c>
      <c r="S1726" s="8" t="str">
        <f ca="1">IFERROR(__xludf.DUMMYFUNCTION("""COMPUTED_VALUE"""),"Parking Lot")</f>
        <v>Parking Lot</v>
      </c>
      <c r="T1726" s="8" t="str">
        <f ca="1">IFERROR(__xludf.DUMMYFUNCTION("""COMPUTED_VALUE"""),"Outside on School Property")</f>
        <v>Outside on School Property</v>
      </c>
      <c r="U1726" s="8" t="str">
        <f ca="1">IFERROR(__xludf.DUMMYFUNCTION("""COMPUTED_VALUE"""),"No")</f>
        <v>No</v>
      </c>
      <c r="V1726" s="8" t="str">
        <f ca="1">IFERROR(__xludf.DUMMYFUNCTION("""COMPUTED_VALUE"""),"Sport Event")</f>
        <v>Sport Event</v>
      </c>
      <c r="W1726" s="11">
        <f ca="1">IFERROR(__xludf.DUMMYFUNCTION("""COMPUTED_VALUE"""),0.84375)</f>
        <v>0.84375</v>
      </c>
      <c r="X1726" s="8">
        <f ca="1">IFERROR(__xludf.DUMMYFUNCTION("""COMPUTED_VALUE"""),1)</f>
        <v>1</v>
      </c>
      <c r="Y1726" s="12" t="str">
        <f ca="1">IFERROR(__xludf.DUMMYFUNCTION("""COMPUTED_VALUE"""),"Masked gunman shot football coach in school parking lot")</f>
        <v>Masked gunman shot football coach in school parking lot</v>
      </c>
      <c r="Z1726" s="12" t="str">
        <f ca="1">IFERROR(__xludf.DUMMYFUNCTION("""COMPUTED_VALUE"""),"Unknown masked gunman shot and killed midget football coach in the school parking lot during practice. School was not in session at the time of the shooting. Shooter fled in a vehicle. Shooter later fired at police officer from the vehicle.")</f>
        <v>Unknown masked gunman shot and killed midget football coach in the school parking lot during practice. School was not in session at the time of the shooting. Shooter fled in a vehicle. Shooter later fired at police officer from the vehicle.</v>
      </c>
      <c r="AA1726" s="8" t="str">
        <f ca="1">IFERROR(__xludf.DUMMYFUNCTION("""COMPUTED_VALUE"""),"Unknown")</f>
        <v>Unknown</v>
      </c>
      <c r="AB1726" s="8"/>
      <c r="AC1726" s="8" t="str">
        <f ca="1">IFERROR(__xludf.DUMMYFUNCTION("""COMPUTED_VALUE"""),"No")</f>
        <v>No</v>
      </c>
      <c r="AD1726" s="8" t="str">
        <f ca="1">IFERROR(__xludf.DUMMYFUNCTION("""COMPUTED_VALUE"""),"Victims Targeted")</f>
        <v>Victims Targeted</v>
      </c>
      <c r="AE1726" s="8"/>
      <c r="AF1726" s="8"/>
      <c r="AG1726" s="8" t="str">
        <f ca="1">IFERROR(__xludf.DUMMYFUNCTION("""COMPUTED_VALUE"""),"No")</f>
        <v>No</v>
      </c>
      <c r="AH1726" s="8" t="str">
        <f ca="1">IFERROR(__xludf.DUMMYFUNCTION("""COMPUTED_VALUE"""),"No")</f>
        <v>No</v>
      </c>
      <c r="AI1726" s="8" t="str">
        <f ca="1">IFERROR(__xludf.DUMMYFUNCTION("""COMPUTED_VALUE"""),"No")</f>
        <v>No</v>
      </c>
      <c r="AJ1726" s="8" t="str">
        <f ca="1">IFERROR(__xludf.DUMMYFUNCTION("""COMPUTED_VALUE"""),"No")</f>
        <v>No</v>
      </c>
      <c r="AK1726" s="8" t="str">
        <f ca="1">IFERROR(__xludf.DUMMYFUNCTION("""COMPUTED_VALUE"""),"No")</f>
        <v>No</v>
      </c>
      <c r="AL1726" s="8"/>
      <c r="AM1726" s="8" t="str">
        <f ca="1">IFERROR(__xludf.DUMMYFUNCTION("""COMPUTED_VALUE"""),"No")</f>
        <v>No</v>
      </c>
      <c r="AN1726" s="8"/>
      <c r="AO1726" s="8" t="str">
        <f ca="1">IFERROR(__xludf.DUMMYFUNCTION("""COMPUTED_VALUE"""),"No")</f>
        <v>No</v>
      </c>
      <c r="AP1726" s="8"/>
      <c r="AQ1726" s="8" t="str">
        <f ca="1">IFERROR(__xludf.DUMMYFUNCTION("""COMPUTED_VALUE"""),"Unknown")</f>
        <v>Unknown</v>
      </c>
      <c r="AR1726" s="8" t="str">
        <f ca="1">IFERROR(__xludf.DUMMYFUNCTION("""COMPUTED_VALUE"""),"NA")</f>
        <v>NA</v>
      </c>
      <c r="AS1726" s="8" t="str">
        <f ca="1">IFERROR(__xludf.DUMMYFUNCTION("""COMPUTED_VALUE"""),"&lt;10")</f>
        <v>&lt;10</v>
      </c>
      <c r="AT1726" s="8" t="str">
        <f ca="1">IFERROR(__xludf.DUMMYFUNCTION("""COMPUTED_VALUE"""),"No")</f>
        <v>No</v>
      </c>
      <c r="AU1726" s="8">
        <f ca="1">IFERROR(__xludf.DUMMYFUNCTION("""COMPUTED_VALUE"""),39.417513)</f>
        <v>39.417513</v>
      </c>
      <c r="AV1726" s="8">
        <f ca="1">IFERROR(__xludf.DUMMYFUNCTION("""COMPUTED_VALUE"""),-75.042071)</f>
        <v>-75.042071000000007</v>
      </c>
      <c r="AW1726" s="8"/>
      <c r="AX1726" s="8">
        <f ca="1">IFERROR(__xludf.DUMMYFUNCTION("""COMPUTED_VALUE"""),7332)</f>
        <v>7332</v>
      </c>
    </row>
    <row r="1727" spans="1:50" ht="45" x14ac:dyDescent="0.2">
      <c r="A1727" s="8" t="str">
        <f ca="1">IFERROR(__xludf.DUMMYFUNCTION("""COMPUTED_VALUE"""),"20180804MDEDE")</f>
        <v>20180804MDEDE</v>
      </c>
      <c r="B1727" s="8">
        <f ca="1">IFERROR(__xludf.DUMMYFUNCTION("""COMPUTED_VALUE"""),8)</f>
        <v>8</v>
      </c>
      <c r="C1727" s="8">
        <f ca="1">IFERROR(__xludf.DUMMYFUNCTION("""COMPUTED_VALUE"""),4)</f>
        <v>4</v>
      </c>
      <c r="D1727" s="8">
        <f ca="1">IFERROR(__xludf.DUMMYFUNCTION("""COMPUTED_VALUE"""),2018)</f>
        <v>2018</v>
      </c>
      <c r="E1727" s="9">
        <f ca="1">IFERROR(__xludf.DUMMYFUNCTION("""COMPUTED_VALUE"""),43316)</f>
        <v>43316</v>
      </c>
      <c r="F1727" s="8" t="str">
        <f ca="1">IFERROR(__xludf.DUMMYFUNCTION("""COMPUTED_VALUE"""),"Edgewood High School")</f>
        <v>Edgewood High School</v>
      </c>
      <c r="G1727" s="8">
        <f ca="1">IFERROR(__xludf.DUMMYFUNCTION("""COMPUTED_VALUE"""),1)</f>
        <v>1</v>
      </c>
      <c r="H1727" s="8">
        <f ca="1">IFERROR(__xludf.DUMMYFUNCTION("""COMPUTED_VALUE"""),0)</f>
        <v>0</v>
      </c>
      <c r="I1727" s="8">
        <f ca="1">IFERROR(__xludf.DUMMYFUNCTION("""COMPUTED_VALUE"""),1)</f>
        <v>1</v>
      </c>
      <c r="J1727" s="8">
        <f ca="1">IFERROR(__xludf.DUMMYFUNCTION("""COMPUTED_VALUE"""),0)</f>
        <v>0</v>
      </c>
      <c r="K1727" s="8" t="str">
        <f ca="1">IFERROR(__xludf.DUMMYFUNCTION("""COMPUTED_VALUE"""),"https://www.wbaltv.com/article/2-teens-charged-as-adults-after-fatal-shooting-in-edgewood-hs-parking-lot/22664589#
https://foxbaltimore.com/news/local/teen-fatally-shot-in-edgewood-high-school-parking-lot")</f>
        <v>https://www.wbaltv.com/article/2-teens-charged-as-adults-after-fatal-shooting-in-edgewood-hs-parking-lot/22664589#
https://foxbaltimore.com/news/local/teen-fatally-shot-in-edgewood-high-school-parking-lot</v>
      </c>
      <c r="L1727" s="8"/>
      <c r="M1727" s="8"/>
      <c r="N1727" s="8">
        <f ca="1">IFERROR(__xludf.DUMMYFUNCTION("""COMPUTED_VALUE"""),4)</f>
        <v>4</v>
      </c>
      <c r="O1727" s="8" t="str">
        <f ca="1">IFERROR(__xludf.DUMMYFUNCTION("""COMPUTED_VALUE"""),"Summer")</f>
        <v>Summer</v>
      </c>
      <c r="P1727" s="8" t="str">
        <f ca="1">IFERROR(__xludf.DUMMYFUNCTION("""COMPUTED_VALUE"""),"Edgewood")</f>
        <v>Edgewood</v>
      </c>
      <c r="Q1727" s="8" t="str">
        <f ca="1">IFERROR(__xludf.DUMMYFUNCTION("""COMPUTED_VALUE"""),"MD")</f>
        <v>MD</v>
      </c>
      <c r="R1727" s="8" t="str">
        <f ca="1">IFERROR(__xludf.DUMMYFUNCTION("""COMPUTED_VALUE"""),"High")</f>
        <v>High</v>
      </c>
      <c r="S1727" s="8" t="str">
        <f ca="1">IFERROR(__xludf.DUMMYFUNCTION("""COMPUTED_VALUE"""),"Parking Lot")</f>
        <v>Parking Lot</v>
      </c>
      <c r="T1727" s="8" t="str">
        <f ca="1">IFERROR(__xludf.DUMMYFUNCTION("""COMPUTED_VALUE"""),"Outside on School Property")</f>
        <v>Outside on School Property</v>
      </c>
      <c r="U1727" s="8" t="str">
        <f ca="1">IFERROR(__xludf.DUMMYFUNCTION("""COMPUTED_VALUE"""),"No")</f>
        <v>No</v>
      </c>
      <c r="V1727" s="8" t="str">
        <f ca="1">IFERROR(__xludf.DUMMYFUNCTION("""COMPUTED_VALUE"""),"Not a School Day")</f>
        <v>Not a School Day</v>
      </c>
      <c r="W1727" s="11">
        <f ca="1">IFERROR(__xludf.DUMMYFUNCTION("""COMPUTED_VALUE"""),0.888194444444444)</f>
        <v>0.88819444444444395</v>
      </c>
      <c r="X1727" s="8">
        <f ca="1">IFERROR(__xludf.DUMMYFUNCTION("""COMPUTED_VALUE"""),1)</f>
        <v>1</v>
      </c>
      <c r="Y1727" s="12" t="str">
        <f ca="1">IFERROR(__xludf.DUMMYFUNCTION("""COMPUTED_VALUE"""),"Man found dead in vehicle in school parking lot (GSW)")</f>
        <v>Man found dead in vehicle in school parking lot (GSW)</v>
      </c>
      <c r="Z1727" s="12" t="str">
        <f ca="1">IFERROR(__xludf.DUMMYFUNCTION("""COMPUTED_VALUE"""),"19YOM was found shot in a car in the school parking lot.")</f>
        <v>19YOM was found shot in a car in the school parking lot.</v>
      </c>
      <c r="AA1727" s="8" t="str">
        <f ca="1">IFERROR(__xludf.DUMMYFUNCTION("""COMPUTED_VALUE"""),"Unknown")</f>
        <v>Unknown</v>
      </c>
      <c r="AB1727" s="8"/>
      <c r="AC1727" s="8" t="str">
        <f ca="1">IFERROR(__xludf.DUMMYFUNCTION("""COMPUTED_VALUE"""),"No")</f>
        <v>No</v>
      </c>
      <c r="AD1727" s="8"/>
      <c r="AE1727" s="8"/>
      <c r="AF1727" s="8"/>
      <c r="AG1727" s="8" t="str">
        <f ca="1">IFERROR(__xludf.DUMMYFUNCTION("""COMPUTED_VALUE"""),"No")</f>
        <v>No</v>
      </c>
      <c r="AH1727" s="8" t="str">
        <f ca="1">IFERROR(__xludf.DUMMYFUNCTION("""COMPUTED_VALUE"""),"No")</f>
        <v>No</v>
      </c>
      <c r="AI1727" s="8" t="str">
        <f ca="1">IFERROR(__xludf.DUMMYFUNCTION("""COMPUTED_VALUE"""),"No")</f>
        <v>No</v>
      </c>
      <c r="AJ1727" s="8"/>
      <c r="AK1727" s="8"/>
      <c r="AL1727" s="8"/>
      <c r="AM1727" s="8" t="str">
        <f ca="1">IFERROR(__xludf.DUMMYFUNCTION("""COMPUTED_VALUE"""),"No")</f>
        <v>No</v>
      </c>
      <c r="AN1727" s="8"/>
      <c r="AO1727" s="8" t="str">
        <f ca="1">IFERROR(__xludf.DUMMYFUNCTION("""COMPUTED_VALUE"""),"No")</f>
        <v>No</v>
      </c>
      <c r="AP1727" s="8"/>
      <c r="AQ1727" s="8" t="str">
        <f ca="1">IFERROR(__xludf.DUMMYFUNCTION("""COMPUTED_VALUE"""),"Unknown")</f>
        <v>Unknown</v>
      </c>
      <c r="AR1727" s="8" t="str">
        <f ca="1">IFERROR(__xludf.DUMMYFUNCTION("""COMPUTED_VALUE"""),"NA")</f>
        <v>NA</v>
      </c>
      <c r="AS1727" s="8"/>
      <c r="AT1727" s="8"/>
      <c r="AU1727" s="8">
        <f ca="1">IFERROR(__xludf.DUMMYFUNCTION("""COMPUTED_VALUE"""),39.422044)</f>
        <v>39.422044</v>
      </c>
      <c r="AV1727" s="8">
        <f ca="1">IFERROR(__xludf.DUMMYFUNCTION("""COMPUTED_VALUE"""),-76.285979)</f>
        <v>-76.285978999999998</v>
      </c>
      <c r="AW1727" s="8"/>
      <c r="AX1727" s="8">
        <f ca="1">IFERROR(__xludf.DUMMYFUNCTION("""COMPUTED_VALUE"""),21040)</f>
        <v>21040</v>
      </c>
    </row>
    <row r="1728" spans="1:50" ht="150" x14ac:dyDescent="0.2">
      <c r="A1728" s="8" t="str">
        <f ca="1">IFERROR(__xludf.DUMMYFUNCTION("""COMPUTED_VALUE"""),"20180803IALIO")</f>
        <v>20180803IALIO</v>
      </c>
      <c r="B1728" s="8">
        <f ca="1">IFERROR(__xludf.DUMMYFUNCTION("""COMPUTED_VALUE"""),8)</f>
        <v>8</v>
      </c>
      <c r="C1728" s="8">
        <f ca="1">IFERROR(__xludf.DUMMYFUNCTION("""COMPUTED_VALUE"""),3)</f>
        <v>3</v>
      </c>
      <c r="D1728" s="8">
        <f ca="1">IFERROR(__xludf.DUMMYFUNCTION("""COMPUTED_VALUE"""),2018)</f>
        <v>2018</v>
      </c>
      <c r="E1728" s="9">
        <f ca="1">IFERROR(__xludf.DUMMYFUNCTION("""COMPUTED_VALUE"""),43315)</f>
        <v>43315</v>
      </c>
      <c r="F1728" s="8" t="str">
        <f ca="1">IFERROR(__xludf.DUMMYFUNCTION("""COMPUTED_VALUE"""),"Liberty Elementary School")</f>
        <v>Liberty Elementary School</v>
      </c>
      <c r="G1728" s="8">
        <f ca="1">IFERROR(__xludf.DUMMYFUNCTION("""COMPUTED_VALUE"""),0)</f>
        <v>0</v>
      </c>
      <c r="H1728" s="8">
        <f ca="1">IFERROR(__xludf.DUMMYFUNCTION("""COMPUTED_VALUE"""),0)</f>
        <v>0</v>
      </c>
      <c r="I1728" s="8">
        <f ca="1">IFERROR(__xludf.DUMMYFUNCTION("""COMPUTED_VALUE"""),0)</f>
        <v>0</v>
      </c>
      <c r="J1728" s="8">
        <f ca="1">IFERROR(__xludf.DUMMYFUNCTION("""COMPUTED_VALUE"""),1)</f>
        <v>1</v>
      </c>
      <c r="K1728" s="8" t="str">
        <f ca="1">IFERROR(__xludf.DUMMYFUNCTION("""COMPUTED_VALUE"""),"https://www.desmoinesregister.com/story/news/crime-and-courts/2018/08/06/shootout-involving-iowa-police-leads-attempted-murder-charges-2/916505002/ https://www.ottumwacourier.com/news/police-recount-controlled-chaos-at-shootout/article_f924728e-8d9d-11eb-"&amp;"ba7c-6f46921c1677.html")</f>
        <v>https://www.desmoinesregister.com/story/news/crime-and-courts/2018/08/06/shootout-involving-iowa-police-leads-attempted-murder-charges-2/916505002/ https://www.ottumwacourier.com/news/police-recount-controlled-chaos-at-shootout/article_f924728e-8d9d-11eb-ba7c-6f46921c1677.html</v>
      </c>
      <c r="L1728" s="8">
        <f ca="1">IFERROR(__xludf.DUMMYFUNCTION("""COMPUTED_VALUE"""),2)</f>
        <v>2</v>
      </c>
      <c r="M1728" s="8" t="str">
        <f ca="1">IFERROR(__xludf.DUMMYFUNCTION("""COMPUTED_VALUE"""),"Local")</f>
        <v>Local</v>
      </c>
      <c r="N1728" s="8">
        <f ca="1">IFERROR(__xludf.DUMMYFUNCTION("""COMPUTED_VALUE"""),3)</f>
        <v>3</v>
      </c>
      <c r="O1728" s="8" t="str">
        <f ca="1">IFERROR(__xludf.DUMMYFUNCTION("""COMPUTED_VALUE"""),"Summer")</f>
        <v>Summer</v>
      </c>
      <c r="P1728" s="8" t="str">
        <f ca="1">IFERROR(__xludf.DUMMYFUNCTION("""COMPUTED_VALUE"""),"Ottumwa")</f>
        <v>Ottumwa</v>
      </c>
      <c r="Q1728" s="8" t="str">
        <f ca="1">IFERROR(__xludf.DUMMYFUNCTION("""COMPUTED_VALUE"""),"IA")</f>
        <v>IA</v>
      </c>
      <c r="R1728" s="8" t="str">
        <f ca="1">IFERROR(__xludf.DUMMYFUNCTION("""COMPUTED_VALUE"""),"Elementary")</f>
        <v>Elementary</v>
      </c>
      <c r="S1728" s="8" t="str">
        <f ca="1">IFERROR(__xludf.DUMMYFUNCTION("""COMPUTED_VALUE"""),"Parking Lot")</f>
        <v>Parking Lot</v>
      </c>
      <c r="T1728" s="8" t="str">
        <f ca="1">IFERROR(__xludf.DUMMYFUNCTION("""COMPUTED_VALUE"""),"Off School Property")</f>
        <v>Off School Property</v>
      </c>
      <c r="U1728" s="8" t="str">
        <f ca="1">IFERROR(__xludf.DUMMYFUNCTION("""COMPUTED_VALUE"""),"No")</f>
        <v>No</v>
      </c>
      <c r="V1728" s="8" t="str">
        <f ca="1">IFERROR(__xludf.DUMMYFUNCTION("""COMPUTED_VALUE"""),"Afternoon Classes")</f>
        <v>Afternoon Classes</v>
      </c>
      <c r="W1728" s="11">
        <f ca="1">IFERROR(__xludf.DUMMYFUNCTION("""COMPUTED_VALUE"""),0.583333333333333)</f>
        <v>0.58333333333333304</v>
      </c>
      <c r="X1728" s="8">
        <f ca="1">IFERROR(__xludf.DUMMYFUNCTION("""COMPUTED_VALUE"""),15)</f>
        <v>15</v>
      </c>
      <c r="Y1728" s="12" t="str">
        <f ca="1">IFERROR(__xludf.DUMMYFUNCTION("""COMPUTED_VALUE"""),"3 men involved with robbery fired shot at police in the school parking lot while class was in session")</f>
        <v>3 men involved with robbery fired shot at police in the school parking lot while class was in session</v>
      </c>
      <c r="Z1728" s="12" t="str">
        <f ca="1">IFERROR(__xludf.DUMMYFUNCTION("""COMPUTED_VALUE"""),"Three men were involved in an armed robbery that resulted in a man being shot and seriously injured. The police pursuit end in the parking lot of an elementary school when one of the men fired a rifle breaking the windows of a police cruiser. Police retur"&amp;"ned fire. The shooting occurred 100 feet from the occupied school building. Teachers heard the shots and went on lockdown. Suspects fled on foot into a field behind the school leading to a 3.5 hour manhunt before they were apprehended. Each were charged w"&amp;"ith 10 counts of attempted murder and other charges.")</f>
        <v>Three men were involved in an armed robbery that resulted in a man being shot and seriously injured. The police pursuit end in the parking lot of an elementary school when one of the men fired a rifle breaking the windows of a police cruiser. Police returned fire. The shooting occurred 100 feet from the occupied school building. Teachers heard the shots and went on lockdown. Suspects fled on foot into a field behind the school leading to a 3.5 hour manhunt before they were apprehended. Each were charged with 10 counts of attempted murder and other charges.</v>
      </c>
      <c r="AA1728" s="8" t="str">
        <f ca="1">IFERROR(__xludf.DUMMYFUNCTION("""COMPUTED_VALUE"""),"Illegal Activity")</f>
        <v>Illegal Activity</v>
      </c>
      <c r="AB1728" s="8"/>
      <c r="AC1728" s="8" t="str">
        <f ca="1">IFERROR(__xludf.DUMMYFUNCTION("""COMPUTED_VALUE"""),"Yes")</f>
        <v>Yes</v>
      </c>
      <c r="AD1728" s="8" t="str">
        <f ca="1">IFERROR(__xludf.DUMMYFUNCTION("""COMPUTED_VALUE"""),"Random Shooting")</f>
        <v>Random Shooting</v>
      </c>
      <c r="AE1728" s="8" t="str">
        <f ca="1">IFERROR(__xludf.DUMMYFUNCTION("""COMPUTED_VALUE"""),"Yes")</f>
        <v>Yes</v>
      </c>
      <c r="AF1728" s="8" t="str">
        <f ca="1">IFERROR(__xludf.DUMMYFUNCTION("""COMPUTED_VALUE"""),"3 men arrested")</f>
        <v>3 men arrested</v>
      </c>
      <c r="AG1728" s="8" t="str">
        <f ca="1">IFERROR(__xludf.DUMMYFUNCTION("""COMPUTED_VALUE"""),"No")</f>
        <v>No</v>
      </c>
      <c r="AH1728" s="8" t="str">
        <f ca="1">IFERROR(__xludf.DUMMYFUNCTION("""COMPUTED_VALUE"""),"No")</f>
        <v>No</v>
      </c>
      <c r="AI1728" s="8" t="str">
        <f ca="1">IFERROR(__xludf.DUMMYFUNCTION("""COMPUTED_VALUE"""),"No")</f>
        <v>No</v>
      </c>
      <c r="AJ1728" s="8" t="str">
        <f ca="1">IFERROR(__xludf.DUMMYFUNCTION("""COMPUTED_VALUE"""),"No")</f>
        <v>No</v>
      </c>
      <c r="AK1728" s="8" t="str">
        <f ca="1">IFERROR(__xludf.DUMMYFUNCTION("""COMPUTED_VALUE"""),"No")</f>
        <v>No</v>
      </c>
      <c r="AL1728" s="8" t="str">
        <f ca="1">IFERROR(__xludf.DUMMYFUNCTION("""COMPUTED_VALUE"""),"No")</f>
        <v>No</v>
      </c>
      <c r="AM1728" s="8" t="str">
        <f ca="1">IFERROR(__xludf.DUMMYFUNCTION("""COMPUTED_VALUE"""),"No")</f>
        <v>No</v>
      </c>
      <c r="AN1728" s="8"/>
      <c r="AO1728" s="8" t="str">
        <f ca="1">IFERROR(__xludf.DUMMYFUNCTION("""COMPUTED_VALUE"""),"No")</f>
        <v>No</v>
      </c>
      <c r="AP1728" s="8"/>
      <c r="AQ1728" s="8"/>
      <c r="AR1728" s="8"/>
      <c r="AS1728" s="8"/>
      <c r="AT1728" s="8" t="str">
        <f ca="1">IFERROR(__xludf.DUMMYFUNCTION("""COMPUTED_VALUE"""),"Yes")</f>
        <v>Yes</v>
      </c>
      <c r="AU1728" s="8">
        <f ca="1">IFERROR(__xludf.DUMMYFUNCTION("""COMPUTED_VALUE"""),40.992681)</f>
        <v>40.992680999999997</v>
      </c>
      <c r="AV1728" s="8">
        <f ca="1">IFERROR(__xludf.DUMMYFUNCTION("""COMPUTED_VALUE"""),-92.436928)</f>
        <v>-92.436927999999995</v>
      </c>
      <c r="AW1728" s="8"/>
      <c r="AX1728" s="8">
        <f ca="1">IFERROR(__xludf.DUMMYFUNCTION("""COMPUTED_VALUE"""),52501)</f>
        <v>52501</v>
      </c>
    </row>
    <row r="1729" spans="1:50" ht="60" x14ac:dyDescent="0.2">
      <c r="A1729" s="8" t="str">
        <f ca="1">IFERROR(__xludf.DUMMYFUNCTION("""COMPUTED_VALUE"""),"20180719WAWEY")</f>
        <v>20180719WAWEY</v>
      </c>
      <c r="B1729" s="8">
        <f ca="1">IFERROR(__xludf.DUMMYFUNCTION("""COMPUTED_VALUE"""),7)</f>
        <v>7</v>
      </c>
      <c r="C1729" s="8">
        <f ca="1">IFERROR(__xludf.DUMMYFUNCTION("""COMPUTED_VALUE"""),19)</f>
        <v>19</v>
      </c>
      <c r="D1729" s="8">
        <f ca="1">IFERROR(__xludf.DUMMYFUNCTION("""COMPUTED_VALUE"""),2018)</f>
        <v>2018</v>
      </c>
      <c r="E1729" s="9">
        <f ca="1">IFERROR(__xludf.DUMMYFUNCTION("""COMPUTED_VALUE"""),43300)</f>
        <v>43300</v>
      </c>
      <c r="F1729" s="8" t="str">
        <f ca="1">IFERROR(__xludf.DUMMYFUNCTION("""COMPUTED_VALUE"""),"West Valley Middle School")</f>
        <v>West Valley Middle School</v>
      </c>
      <c r="G1729" s="8">
        <f ca="1">IFERROR(__xludf.DUMMYFUNCTION("""COMPUTED_VALUE"""),1)</f>
        <v>1</v>
      </c>
      <c r="H1729" s="8">
        <f ca="1">IFERROR(__xludf.DUMMYFUNCTION("""COMPUTED_VALUE"""),0)</f>
        <v>0</v>
      </c>
      <c r="I1729" s="8">
        <f ca="1">IFERROR(__xludf.DUMMYFUNCTION("""COMPUTED_VALUE"""),1)</f>
        <v>1</v>
      </c>
      <c r="J1729" s="8">
        <f ca="1">IFERROR(__xludf.DUMMYFUNCTION("""COMPUTED_VALUE"""),0)</f>
        <v>0</v>
      </c>
      <c r="K1729" s="10" t="str">
        <f ca="1">IFERROR(__xludf.DUMMYFUNCTION("""COMPUTED_VALUE"""),"https://www.yakimaherald.com/news/crime_and_courts/shooting-victim-found-near-west-valley-school-identified/article_486a9ff4-8c56-11e8-886e-3bb30443843b.html")</f>
        <v>https://www.yakimaherald.com/news/crime_and_courts/shooting-victim-found-near-west-valley-school-identified/article_486a9ff4-8c56-11e8-886e-3bb30443843b.html</v>
      </c>
      <c r="L1729" s="8"/>
      <c r="M1729" s="8"/>
      <c r="N1729" s="8">
        <f ca="1">IFERROR(__xludf.DUMMYFUNCTION("""COMPUTED_VALUE"""),2)</f>
        <v>2</v>
      </c>
      <c r="O1729" s="8" t="str">
        <f ca="1">IFERROR(__xludf.DUMMYFUNCTION("""COMPUTED_VALUE"""),"Summer")</f>
        <v>Summer</v>
      </c>
      <c r="P1729" s="8" t="str">
        <f ca="1">IFERROR(__xludf.DUMMYFUNCTION("""COMPUTED_VALUE"""),"Yakima")</f>
        <v>Yakima</v>
      </c>
      <c r="Q1729" s="8" t="str">
        <f ca="1">IFERROR(__xludf.DUMMYFUNCTION("""COMPUTED_VALUE"""),"WA")</f>
        <v>WA</v>
      </c>
      <c r="R1729" s="8" t="str">
        <f ca="1">IFERROR(__xludf.DUMMYFUNCTION("""COMPUTED_VALUE"""),"Middle")</f>
        <v>Middle</v>
      </c>
      <c r="S1729" s="8" t="str">
        <f ca="1">IFERROR(__xludf.DUMMYFUNCTION("""COMPUTED_VALUE"""),"Beside Building")</f>
        <v>Beside Building</v>
      </c>
      <c r="T1729" s="8" t="str">
        <f ca="1">IFERROR(__xludf.DUMMYFUNCTION("""COMPUTED_VALUE"""),"Outside on School Property")</f>
        <v>Outside on School Property</v>
      </c>
      <c r="U1729" s="8" t="str">
        <f ca="1">IFERROR(__xludf.DUMMYFUNCTION("""COMPUTED_VALUE"""),"No")</f>
        <v>No</v>
      </c>
      <c r="V1729" s="8" t="str">
        <f ca="1">IFERROR(__xludf.DUMMYFUNCTION("""COMPUTED_VALUE"""),"Evening")</f>
        <v>Evening</v>
      </c>
      <c r="W1729" s="11">
        <f ca="1">IFERROR(__xludf.DUMMYFUNCTION("""COMPUTED_VALUE"""),0.71875)</f>
        <v>0.71875</v>
      </c>
      <c r="X1729" s="8">
        <f ca="1">IFERROR(__xludf.DUMMYFUNCTION("""COMPUTED_VALUE"""),1)</f>
        <v>1</v>
      </c>
      <c r="Y1729" s="12" t="str">
        <f ca="1">IFERROR(__xludf.DUMMYFUNCTION("""COMPUTED_VALUE"""),"Man found dead from GSW in vehicle outside of school")</f>
        <v>Man found dead from GSW in vehicle outside of school</v>
      </c>
      <c r="Z1729" s="12" t="str">
        <f ca="1">IFERROR(__xludf.DUMMYFUNCTION("""COMPUTED_VALUE"""),"18YOM found dead from a gunshot wound in a crashed vehicle outside of the school.")</f>
        <v>18YOM found dead from a gunshot wound in a crashed vehicle outside of the school.</v>
      </c>
      <c r="AA1729" s="8" t="str">
        <f ca="1">IFERROR(__xludf.DUMMYFUNCTION("""COMPUTED_VALUE"""),"Unknown")</f>
        <v>Unknown</v>
      </c>
      <c r="AB1729" s="8"/>
      <c r="AC1729" s="8" t="str">
        <f ca="1">IFERROR(__xludf.DUMMYFUNCTION("""COMPUTED_VALUE"""),"No")</f>
        <v>No</v>
      </c>
      <c r="AD1729" s="8"/>
      <c r="AE1729" s="8"/>
      <c r="AF1729" s="8"/>
      <c r="AG1729" s="8" t="str">
        <f ca="1">IFERROR(__xludf.DUMMYFUNCTION("""COMPUTED_VALUE"""),"No")</f>
        <v>No</v>
      </c>
      <c r="AH1729" s="8" t="str">
        <f ca="1">IFERROR(__xludf.DUMMYFUNCTION("""COMPUTED_VALUE"""),"No")</f>
        <v>No</v>
      </c>
      <c r="AI1729" s="8" t="str">
        <f ca="1">IFERROR(__xludf.DUMMYFUNCTION("""COMPUTED_VALUE"""),"No")</f>
        <v>No</v>
      </c>
      <c r="AJ1729" s="8"/>
      <c r="AK1729" s="8"/>
      <c r="AL1729" s="8"/>
      <c r="AM1729" s="8" t="str">
        <f ca="1">IFERROR(__xludf.DUMMYFUNCTION("""COMPUTED_VALUE"""),"No")</f>
        <v>No</v>
      </c>
      <c r="AN1729" s="8"/>
      <c r="AO1729" s="8" t="str">
        <f ca="1">IFERROR(__xludf.DUMMYFUNCTION("""COMPUTED_VALUE"""),"No")</f>
        <v>No</v>
      </c>
      <c r="AP1729" s="8"/>
      <c r="AQ1729" s="8" t="str">
        <f ca="1">IFERROR(__xludf.DUMMYFUNCTION("""COMPUTED_VALUE"""),"Unknown")</f>
        <v>Unknown</v>
      </c>
      <c r="AR1729" s="8" t="str">
        <f ca="1">IFERROR(__xludf.DUMMYFUNCTION("""COMPUTED_VALUE"""),"NA")</f>
        <v>NA</v>
      </c>
      <c r="AS1729" s="8"/>
      <c r="AT1729" s="8"/>
      <c r="AU1729" s="8">
        <f ca="1">IFERROR(__xludf.DUMMYFUNCTION("""COMPUTED_VALUE"""),46.578645)</f>
        <v>46.578645000000002</v>
      </c>
      <c r="AV1729" s="8">
        <f ca="1">IFERROR(__xludf.DUMMYFUNCTION("""COMPUTED_VALUE"""),-120.608794)</f>
        <v>-120.608794</v>
      </c>
      <c r="AW1729" s="8"/>
      <c r="AX1729" s="8">
        <f ca="1">IFERROR(__xludf.DUMMYFUNCTION("""COMPUTED_VALUE"""),98908)</f>
        <v>98908</v>
      </c>
    </row>
    <row r="1730" spans="1:50" ht="75" x14ac:dyDescent="0.2">
      <c r="A1730" s="8" t="str">
        <f ca="1">IFERROR(__xludf.DUMMYFUNCTION("""COMPUTED_VALUE"""),"20180717WVHUH")</f>
        <v>20180717WVHUH</v>
      </c>
      <c r="B1730" s="8">
        <f ca="1">IFERROR(__xludf.DUMMYFUNCTION("""COMPUTED_VALUE"""),7)</f>
        <v>7</v>
      </c>
      <c r="C1730" s="8">
        <f ca="1">IFERROR(__xludf.DUMMYFUNCTION("""COMPUTED_VALUE"""),17)</f>
        <v>17</v>
      </c>
      <c r="D1730" s="8">
        <f ca="1">IFERROR(__xludf.DUMMYFUNCTION("""COMPUTED_VALUE"""),2018)</f>
        <v>2018</v>
      </c>
      <c r="E1730" s="9">
        <f ca="1">IFERROR(__xludf.DUMMYFUNCTION("""COMPUTED_VALUE"""),43298)</f>
        <v>43298</v>
      </c>
      <c r="F1730" s="8" t="str">
        <f ca="1">IFERROR(__xludf.DUMMYFUNCTION("""COMPUTED_VALUE"""),"Hurricane High School")</f>
        <v>Hurricane High School</v>
      </c>
      <c r="G1730" s="8">
        <f ca="1">IFERROR(__xludf.DUMMYFUNCTION("""COMPUTED_VALUE"""),0)</f>
        <v>0</v>
      </c>
      <c r="H1730" s="8">
        <f ca="1">IFERROR(__xludf.DUMMYFUNCTION("""COMPUTED_VALUE"""),0)</f>
        <v>0</v>
      </c>
      <c r="I1730" s="8">
        <f ca="1">IFERROR(__xludf.DUMMYFUNCTION("""COMPUTED_VALUE"""),0)</f>
        <v>0</v>
      </c>
      <c r="J1730" s="8">
        <f ca="1">IFERROR(__xludf.DUMMYFUNCTION("""COMPUTED_VALUE"""),0)</f>
        <v>0</v>
      </c>
      <c r="K1730" s="10" t="str">
        <f ca="1">IFERROR(__xludf.DUMMYFUNCTION("""COMPUTED_VALUE"""),"https://wchstv.com/news/local/man-accused-of-firing-gun-at-hurricane-high-school-during-agrument")</f>
        <v>https://wchstv.com/news/local/man-accused-of-firing-gun-at-hurricane-high-school-during-agrument</v>
      </c>
      <c r="L1730" s="8"/>
      <c r="M1730" s="8"/>
      <c r="N1730" s="8">
        <f ca="1">IFERROR(__xludf.DUMMYFUNCTION("""COMPUTED_VALUE"""),2)</f>
        <v>2</v>
      </c>
      <c r="O1730" s="8" t="str">
        <f ca="1">IFERROR(__xludf.DUMMYFUNCTION("""COMPUTED_VALUE"""),"Summer")</f>
        <v>Summer</v>
      </c>
      <c r="P1730" s="8" t="str">
        <f ca="1">IFERROR(__xludf.DUMMYFUNCTION("""COMPUTED_VALUE"""),"Hurricane")</f>
        <v>Hurricane</v>
      </c>
      <c r="Q1730" s="8" t="str">
        <f ca="1">IFERROR(__xludf.DUMMYFUNCTION("""COMPUTED_VALUE"""),"WV")</f>
        <v>WV</v>
      </c>
      <c r="R1730" s="8" t="str">
        <f ca="1">IFERROR(__xludf.DUMMYFUNCTION("""COMPUTED_VALUE"""),"High")</f>
        <v>High</v>
      </c>
      <c r="S1730" s="8" t="str">
        <f ca="1">IFERROR(__xludf.DUMMYFUNCTION("""COMPUTED_VALUE"""),"Parking Lot")</f>
        <v>Parking Lot</v>
      </c>
      <c r="T1730" s="8" t="str">
        <f ca="1">IFERROR(__xludf.DUMMYFUNCTION("""COMPUTED_VALUE"""),"Outside on School Property")</f>
        <v>Outside on School Property</v>
      </c>
      <c r="U1730" s="8" t="str">
        <f ca="1">IFERROR(__xludf.DUMMYFUNCTION("""COMPUTED_VALUE"""),"No")</f>
        <v>No</v>
      </c>
      <c r="V1730" s="8" t="str">
        <f ca="1">IFERROR(__xludf.DUMMYFUNCTION("""COMPUTED_VALUE"""),"After School")</f>
        <v>After School</v>
      </c>
      <c r="W1730" s="11">
        <f ca="1">IFERROR(__xludf.DUMMYFUNCTION("""COMPUTED_VALUE"""),0.75)</f>
        <v>0.75</v>
      </c>
      <c r="X1730" s="8">
        <f ca="1">IFERROR(__xludf.DUMMYFUNCTION("""COMPUTED_VALUE"""),1)</f>
        <v>1</v>
      </c>
      <c r="Y1730" s="12" t="str">
        <f ca="1">IFERROR(__xludf.DUMMYFUNCTION("""COMPUTED_VALUE"""),"Shot fired during argument behind the school")</f>
        <v>Shot fired during argument behind the school</v>
      </c>
      <c r="Z1730" s="12" t="str">
        <f ca="1">IFERROR(__xludf.DUMMYFUNCTION("""COMPUTED_VALUE"""),"Shooter was arguing with another adult male in the school parking lot behind the high school when he fired a round from his handgun into the ground to scare the other man. Thompson was arrested and charged with wanton endangerment.")</f>
        <v>Shooter was arguing with another adult male in the school parking lot behind the high school when he fired a round from his handgun into the ground to scare the other man. Thompson was arrested and charged with wanton endangerment.</v>
      </c>
      <c r="AA1730" s="8" t="str">
        <f ca="1">IFERROR(__xludf.DUMMYFUNCTION("""COMPUTED_VALUE"""),"Escalation of Dispute")</f>
        <v>Escalation of Dispute</v>
      </c>
      <c r="AB1730" s="8"/>
      <c r="AC1730" s="8" t="str">
        <f ca="1">IFERROR(__xludf.DUMMYFUNCTION("""COMPUTED_VALUE"""),"No")</f>
        <v>No</v>
      </c>
      <c r="AD1730" s="8" t="str">
        <f ca="1">IFERROR(__xludf.DUMMYFUNCTION("""COMPUTED_VALUE"""),"NA")</f>
        <v>NA</v>
      </c>
      <c r="AE1730" s="8" t="str">
        <f ca="1">IFERROR(__xludf.DUMMYFUNCTION("""COMPUTED_VALUE"""),"No")</f>
        <v>No</v>
      </c>
      <c r="AF1730" s="8"/>
      <c r="AG1730" s="8" t="str">
        <f ca="1">IFERROR(__xludf.DUMMYFUNCTION("""COMPUTED_VALUE"""),"No")</f>
        <v>No</v>
      </c>
      <c r="AH1730" s="8" t="str">
        <f ca="1">IFERROR(__xludf.DUMMYFUNCTION("""COMPUTED_VALUE"""),"No")</f>
        <v>No</v>
      </c>
      <c r="AI1730" s="8" t="str">
        <f ca="1">IFERROR(__xludf.DUMMYFUNCTION("""COMPUTED_VALUE"""),"No")</f>
        <v>No</v>
      </c>
      <c r="AJ1730" s="8" t="str">
        <f ca="1">IFERROR(__xludf.DUMMYFUNCTION("""COMPUTED_VALUE"""),"No")</f>
        <v>No</v>
      </c>
      <c r="AK1730" s="8" t="str">
        <f ca="1">IFERROR(__xludf.DUMMYFUNCTION("""COMPUTED_VALUE"""),"No")</f>
        <v>No</v>
      </c>
      <c r="AL1730" s="8" t="str">
        <f ca="1">IFERROR(__xludf.DUMMYFUNCTION("""COMPUTED_VALUE"""),"No")</f>
        <v>No</v>
      </c>
      <c r="AM1730" s="8" t="str">
        <f ca="1">IFERROR(__xludf.DUMMYFUNCTION("""COMPUTED_VALUE"""),"No")</f>
        <v>No</v>
      </c>
      <c r="AN1730" s="8"/>
      <c r="AO1730" s="8" t="str">
        <f ca="1">IFERROR(__xludf.DUMMYFUNCTION("""COMPUTED_VALUE"""),"No")</f>
        <v>No</v>
      </c>
      <c r="AP1730" s="8"/>
      <c r="AQ1730" s="8" t="str">
        <f ca="1">IFERROR(__xludf.DUMMYFUNCTION("""COMPUTED_VALUE"""),"Unknown")</f>
        <v>Unknown</v>
      </c>
      <c r="AR1730" s="8" t="str">
        <f ca="1">IFERROR(__xludf.DUMMYFUNCTION("""COMPUTED_VALUE"""),"NA")</f>
        <v>NA</v>
      </c>
      <c r="AS1730" s="8">
        <f ca="1">IFERROR(__xludf.DUMMYFUNCTION("""COMPUTED_VALUE"""),1)</f>
        <v>1</v>
      </c>
      <c r="AT1730" s="8"/>
      <c r="AU1730" s="8">
        <f ca="1">IFERROR(__xludf.DUMMYFUNCTION("""COMPUTED_VALUE"""),38.437579)</f>
        <v>38.437578999999999</v>
      </c>
      <c r="AV1730" s="8">
        <f ca="1">IFERROR(__xludf.DUMMYFUNCTION("""COMPUTED_VALUE"""),-82.005695)</f>
        <v>-82.005695000000003</v>
      </c>
      <c r="AW1730" s="8"/>
      <c r="AX1730" s="8">
        <f ca="1">IFERROR(__xludf.DUMMYFUNCTION("""COMPUTED_VALUE"""),25526)</f>
        <v>25526</v>
      </c>
    </row>
    <row r="1731" spans="1:50" ht="90" x14ac:dyDescent="0.2">
      <c r="A1731" s="8" t="str">
        <f ca="1">IFERROR(__xludf.DUMMYFUNCTION("""COMPUTED_VALUE"""),"20180711OHMIM")</f>
        <v>20180711OHMIM</v>
      </c>
      <c r="B1731" s="8">
        <f ca="1">IFERROR(__xludf.DUMMYFUNCTION("""COMPUTED_VALUE"""),7)</f>
        <v>7</v>
      </c>
      <c r="C1731" s="8">
        <f ca="1">IFERROR(__xludf.DUMMYFUNCTION("""COMPUTED_VALUE"""),11)</f>
        <v>11</v>
      </c>
      <c r="D1731" s="8">
        <f ca="1">IFERROR(__xludf.DUMMYFUNCTION("""COMPUTED_VALUE"""),2018)</f>
        <v>2018</v>
      </c>
      <c r="E1731" s="9">
        <f ca="1">IFERROR(__xludf.DUMMYFUNCTION("""COMPUTED_VALUE"""),43292)</f>
        <v>43292</v>
      </c>
      <c r="F1731" s="8" t="str">
        <f ca="1">IFERROR(__xludf.DUMMYFUNCTION("""COMPUTED_VALUE"""),"Milkovich Middle School")</f>
        <v>Milkovich Middle School</v>
      </c>
      <c r="G1731" s="8">
        <f ca="1">IFERROR(__xludf.DUMMYFUNCTION("""COMPUTED_VALUE"""),1)</f>
        <v>1</v>
      </c>
      <c r="H1731" s="8">
        <f ca="1">IFERROR(__xludf.DUMMYFUNCTION("""COMPUTED_VALUE"""),0)</f>
        <v>0</v>
      </c>
      <c r="I1731" s="8">
        <f ca="1">IFERROR(__xludf.DUMMYFUNCTION("""COMPUTED_VALUE"""),1)</f>
        <v>1</v>
      </c>
      <c r="J1731" s="8">
        <f ca="1">IFERROR(__xludf.DUMMYFUNCTION("""COMPUTED_VALUE"""),0)</f>
        <v>0</v>
      </c>
      <c r="K1731" s="8" t="str">
        <f ca="1">IFERROR(__xludf.DUMMYFUNCTION("""COMPUTED_VALUE"""),"http://www.cleveland19.com/story/38630966/maple-heights-man-shot-and-killed-found-on-drive-of-a-middle-school  http://gunmemorial.org/2018/07/11/darnez-canion")</f>
        <v>http://www.cleveland19.com/story/38630966/maple-heights-man-shot-and-killed-found-on-drive-of-a-middle-school  http://gunmemorial.org/2018/07/11/darnez-canion</v>
      </c>
      <c r="L1731" s="8"/>
      <c r="M1731" s="8"/>
      <c r="N1731" s="8">
        <f ca="1">IFERROR(__xludf.DUMMYFUNCTION("""COMPUTED_VALUE"""),3)</f>
        <v>3</v>
      </c>
      <c r="O1731" s="8" t="str">
        <f ca="1">IFERROR(__xludf.DUMMYFUNCTION("""COMPUTED_VALUE"""),"Summer")</f>
        <v>Summer</v>
      </c>
      <c r="P1731" s="8" t="str">
        <f ca="1">IFERROR(__xludf.DUMMYFUNCTION("""COMPUTED_VALUE"""),"Maple Heights")</f>
        <v>Maple Heights</v>
      </c>
      <c r="Q1731" s="8" t="str">
        <f ca="1">IFERROR(__xludf.DUMMYFUNCTION("""COMPUTED_VALUE"""),"OH")</f>
        <v>OH</v>
      </c>
      <c r="R1731" s="8" t="str">
        <f ca="1">IFERROR(__xludf.DUMMYFUNCTION("""COMPUTED_VALUE"""),"Middle")</f>
        <v>Middle</v>
      </c>
      <c r="S1731" s="8" t="str">
        <f ca="1">IFERROR(__xludf.DUMMYFUNCTION("""COMPUTED_VALUE"""),"Parking Lot")</f>
        <v>Parking Lot</v>
      </c>
      <c r="T1731" s="8" t="str">
        <f ca="1">IFERROR(__xludf.DUMMYFUNCTION("""COMPUTED_VALUE"""),"Outside on School Property")</f>
        <v>Outside on School Property</v>
      </c>
      <c r="U1731" s="8" t="str">
        <f ca="1">IFERROR(__xludf.DUMMYFUNCTION("""COMPUTED_VALUE"""),"No")</f>
        <v>No</v>
      </c>
      <c r="V1731" s="8" t="str">
        <f ca="1">IFERROR(__xludf.DUMMYFUNCTION("""COMPUTED_VALUE"""),"Not a School Day")</f>
        <v>Not a School Day</v>
      </c>
      <c r="W1731" s="11">
        <f ca="1">IFERROR(__xludf.DUMMYFUNCTION("""COMPUTED_VALUE"""),0.854166666666666)</f>
        <v>0.85416666666666596</v>
      </c>
      <c r="X1731" s="8">
        <f ca="1">IFERROR(__xludf.DUMMYFUNCTION("""COMPUTED_VALUE"""),1)</f>
        <v>1</v>
      </c>
      <c r="Y1731" s="12" t="str">
        <f ca="1">IFERROR(__xludf.DUMMYFUNCTION("""COMPUTED_VALUE"""),"Shots fired during large fight between teens")</f>
        <v>Shots fired during large fight between teens</v>
      </c>
      <c r="Z1731" s="12" t="str">
        <f ca="1">IFERROR(__xludf.DUMMYFUNCTION("""COMPUTED_VALUE"""),"Police were called to the area for a large fight between teens. Upon arrival, they found the victim lying in the school parking lot suffering from a gunshot wound. Police performed CPR until paramedics arrived - victim was later pronounced dead at the hos"&amp;"pital. two suspects arrested - information not available via media reports.")</f>
        <v>Police were called to the area for a large fight between teens. Upon arrival, they found the victim lying in the school parking lot suffering from a gunshot wound. Police performed CPR until paramedics arrived - victim was later pronounced dead at the hospital. two suspects arrested - information not available via media reports.</v>
      </c>
      <c r="AA1731" s="8" t="str">
        <f ca="1">IFERROR(__xludf.DUMMYFUNCTION("""COMPUTED_VALUE"""),"Escalation of Dispute")</f>
        <v>Escalation of Dispute</v>
      </c>
      <c r="AB1731" s="8"/>
      <c r="AC1731" s="8" t="str">
        <f ca="1">IFERROR(__xludf.DUMMYFUNCTION("""COMPUTED_VALUE"""),"No")</f>
        <v>No</v>
      </c>
      <c r="AD1731" s="8"/>
      <c r="AE1731" s="8"/>
      <c r="AF1731" s="8"/>
      <c r="AG1731" s="8" t="str">
        <f ca="1">IFERROR(__xludf.DUMMYFUNCTION("""COMPUTED_VALUE"""),"No")</f>
        <v>No</v>
      </c>
      <c r="AH1731" s="8" t="str">
        <f ca="1">IFERROR(__xludf.DUMMYFUNCTION("""COMPUTED_VALUE"""),"No")</f>
        <v>No</v>
      </c>
      <c r="AI1731" s="8" t="str">
        <f ca="1">IFERROR(__xludf.DUMMYFUNCTION("""COMPUTED_VALUE"""),"No")</f>
        <v>No</v>
      </c>
      <c r="AJ1731" s="8"/>
      <c r="AK1731" s="8"/>
      <c r="AL1731" s="8" t="str">
        <f ca="1">IFERROR(__xludf.DUMMYFUNCTION("""COMPUTED_VALUE"""),"No")</f>
        <v>No</v>
      </c>
      <c r="AM1731" s="8" t="str">
        <f ca="1">IFERROR(__xludf.DUMMYFUNCTION("""COMPUTED_VALUE"""),"No")</f>
        <v>No</v>
      </c>
      <c r="AN1731" s="8"/>
      <c r="AO1731" s="8"/>
      <c r="AP1731" s="8"/>
      <c r="AQ1731" s="8" t="str">
        <f ca="1">IFERROR(__xludf.DUMMYFUNCTION("""COMPUTED_VALUE"""),"Unknown")</f>
        <v>Unknown</v>
      </c>
      <c r="AR1731" s="8" t="str">
        <f ca="1">IFERROR(__xludf.DUMMYFUNCTION("""COMPUTED_VALUE"""),"NA")</f>
        <v>NA</v>
      </c>
      <c r="AS1731" s="8"/>
      <c r="AT1731" s="8"/>
      <c r="AU1731" s="8">
        <f ca="1">IFERROR(__xludf.DUMMYFUNCTION("""COMPUTED_VALUE"""),41.414815)</f>
        <v>41.414814999999997</v>
      </c>
      <c r="AV1731" s="8">
        <f ca="1">IFERROR(__xludf.DUMMYFUNCTION("""COMPUTED_VALUE"""),-81.540209)</f>
        <v>-81.540209000000004</v>
      </c>
      <c r="AW1731" s="8"/>
      <c r="AX1731" s="8">
        <f ca="1">IFERROR(__xludf.DUMMYFUNCTION("""COMPUTED_VALUE"""),44137)</f>
        <v>44137</v>
      </c>
    </row>
    <row r="1732" spans="1:50" ht="120" x14ac:dyDescent="0.2">
      <c r="A1732" s="8" t="str">
        <f ca="1">IFERROR(__xludf.DUMMYFUNCTION("""COMPUTED_VALUE"""),"20180703KSSUO")</f>
        <v>20180703KSSUO</v>
      </c>
      <c r="B1732" s="8">
        <f ca="1">IFERROR(__xludf.DUMMYFUNCTION("""COMPUTED_VALUE"""),7)</f>
        <v>7</v>
      </c>
      <c r="C1732" s="8">
        <f ca="1">IFERROR(__xludf.DUMMYFUNCTION("""COMPUTED_VALUE"""),3)</f>
        <v>3</v>
      </c>
      <c r="D1732" s="8">
        <f ca="1">IFERROR(__xludf.DUMMYFUNCTION("""COMPUTED_VALUE"""),2018)</f>
        <v>2018</v>
      </c>
      <c r="E1732" s="9">
        <f ca="1">IFERROR(__xludf.DUMMYFUNCTION("""COMPUTED_VALUE"""),43284)</f>
        <v>43284</v>
      </c>
      <c r="F1732" s="8" t="str">
        <f ca="1">IFERROR(__xludf.DUMMYFUNCTION("""COMPUTED_VALUE"""),"Sunrise Point Elementary School")</f>
        <v>Sunrise Point Elementary School</v>
      </c>
      <c r="G1732" s="8">
        <f ca="1">IFERROR(__xludf.DUMMYFUNCTION("""COMPUTED_VALUE"""),1)</f>
        <v>1</v>
      </c>
      <c r="H1732" s="8">
        <f ca="1">IFERROR(__xludf.DUMMYFUNCTION("""COMPUTED_VALUE"""),1)</f>
        <v>1</v>
      </c>
      <c r="I1732" s="8">
        <f ca="1">IFERROR(__xludf.DUMMYFUNCTION("""COMPUTED_VALUE"""),2)</f>
        <v>2</v>
      </c>
      <c r="J1732" s="8">
        <f ca="1">IFERROR(__xludf.DUMMYFUNCTION("""COMPUTED_VALUE"""),0)</f>
        <v>0</v>
      </c>
      <c r="K1732" s="10" t="str">
        <f ca="1">IFERROR(__xludf.DUMMYFUNCTION("""COMPUTED_VALUE"""),"https://abcnews.go.com/US/critical-condition-shooting-kansas-elementary-school-police/story?id=56340440")</f>
        <v>https://abcnews.go.com/US/critical-condition-shooting-kansas-elementary-school-police/story?id=56340440</v>
      </c>
      <c r="L1732" s="8">
        <f ca="1">IFERROR(__xludf.DUMMYFUNCTION("""COMPUTED_VALUE"""),5)</f>
        <v>5</v>
      </c>
      <c r="M1732" s="8" t="str">
        <f ca="1">IFERROR(__xludf.DUMMYFUNCTION("""COMPUTED_VALUE"""),"Local")</f>
        <v>Local</v>
      </c>
      <c r="N1732" s="8">
        <f ca="1">IFERROR(__xludf.DUMMYFUNCTION("""COMPUTED_VALUE"""),2)</f>
        <v>2</v>
      </c>
      <c r="O1732" s="8" t="str">
        <f ca="1">IFERROR(__xludf.DUMMYFUNCTION("""COMPUTED_VALUE"""),"Summer")</f>
        <v>Summer</v>
      </c>
      <c r="P1732" s="8" t="str">
        <f ca="1">IFERROR(__xludf.DUMMYFUNCTION("""COMPUTED_VALUE"""),"Overland")</f>
        <v>Overland</v>
      </c>
      <c r="Q1732" s="8" t="str">
        <f ca="1">IFERROR(__xludf.DUMMYFUNCTION("""COMPUTED_VALUE"""),"KS")</f>
        <v>KS</v>
      </c>
      <c r="R1732" s="8" t="str">
        <f ca="1">IFERROR(__xludf.DUMMYFUNCTION("""COMPUTED_VALUE"""),"Elementary")</f>
        <v>Elementary</v>
      </c>
      <c r="S1732" s="8" t="str">
        <f ca="1">IFERROR(__xludf.DUMMYFUNCTION("""COMPUTED_VALUE"""),"Beside Building")</f>
        <v>Beside Building</v>
      </c>
      <c r="T1732" s="8" t="str">
        <f ca="1">IFERROR(__xludf.DUMMYFUNCTION("""COMPUTED_VALUE"""),"Outside on School Property")</f>
        <v>Outside on School Property</v>
      </c>
      <c r="U1732" s="8" t="str">
        <f ca="1">IFERROR(__xludf.DUMMYFUNCTION("""COMPUTED_VALUE"""),"No")</f>
        <v>No</v>
      </c>
      <c r="V1732" s="8" t="str">
        <f ca="1">IFERROR(__xludf.DUMMYFUNCTION("""COMPUTED_VALUE"""),"Not a School Day")</f>
        <v>Not a School Day</v>
      </c>
      <c r="W1732" s="11">
        <f ca="1">IFERROR(__xludf.DUMMYFUNCTION("""COMPUTED_VALUE"""),0.375)</f>
        <v>0.375</v>
      </c>
      <c r="X1732" s="8">
        <f ca="1">IFERROR(__xludf.DUMMYFUNCTION("""COMPUTED_VALUE"""),1)</f>
        <v>1</v>
      </c>
      <c r="Y1732" s="12" t="str">
        <f ca="1">IFERROR(__xludf.DUMMYFUNCTION("""COMPUTED_VALUE"""),"Two construction contractors shot by coworker during argument at school")</f>
        <v>Two construction contractors shot by coworker during argument at school</v>
      </c>
      <c r="Z1732" s="12" t="str">
        <f ca="1">IFERROR(__xludf.DUMMYFUNCTION("""COMPUTED_VALUE"""),"Two construction contractors were shot on the school grounds by a coworker during argument that escalated into shooting. Shooter fled, attempted a carjacking at a nearby car wash, fired shots without striking anyone, fled the area, and carjacked another v"&amp;"ehicle at gunpoint. Abandoned vehicle and was at large until arrested in front of a house (somehow connected to shooter). No kids at school or on school grounds at the time.")</f>
        <v>Two construction contractors were shot on the school grounds by a coworker during argument that escalated into shooting. Shooter fled, attempted a carjacking at a nearby car wash, fired shots without striking anyone, fled the area, and carjacked another vehicle at gunpoint. Abandoned vehicle and was at large until arrested in front of a house (somehow connected to shooter). No kids at school or on school grounds at the time.</v>
      </c>
      <c r="AA1732" s="8" t="str">
        <f ca="1">IFERROR(__xludf.DUMMYFUNCTION("""COMPUTED_VALUE"""),"Escalation of Dispute")</f>
        <v>Escalation of Dispute</v>
      </c>
      <c r="AB1732" s="8"/>
      <c r="AC1732" s="8" t="str">
        <f ca="1">IFERROR(__xludf.DUMMYFUNCTION("""COMPUTED_VALUE"""),"No")</f>
        <v>No</v>
      </c>
      <c r="AD1732" s="8" t="str">
        <f ca="1">IFERROR(__xludf.DUMMYFUNCTION("""COMPUTED_VALUE"""),"Victims Targeted")</f>
        <v>Victims Targeted</v>
      </c>
      <c r="AE1732" s="8"/>
      <c r="AF1732" s="8"/>
      <c r="AG1732" s="8" t="str">
        <f ca="1">IFERROR(__xludf.DUMMYFUNCTION("""COMPUTED_VALUE"""),"No")</f>
        <v>No</v>
      </c>
      <c r="AH1732" s="8" t="str">
        <f ca="1">IFERROR(__xludf.DUMMYFUNCTION("""COMPUTED_VALUE"""),"No")</f>
        <v>No</v>
      </c>
      <c r="AI1732" s="8" t="str">
        <f ca="1">IFERROR(__xludf.DUMMYFUNCTION("""COMPUTED_VALUE"""),"No")</f>
        <v>No</v>
      </c>
      <c r="AJ1732" s="8" t="str">
        <f ca="1">IFERROR(__xludf.DUMMYFUNCTION("""COMPUTED_VALUE"""),"No")</f>
        <v>No</v>
      </c>
      <c r="AK1732" s="8" t="str">
        <f ca="1">IFERROR(__xludf.DUMMYFUNCTION("""COMPUTED_VALUE"""),"No")</f>
        <v>No</v>
      </c>
      <c r="AL1732" s="8" t="str">
        <f ca="1">IFERROR(__xludf.DUMMYFUNCTION("""COMPUTED_VALUE"""),"No")</f>
        <v>No</v>
      </c>
      <c r="AM1732" s="8" t="str">
        <f ca="1">IFERROR(__xludf.DUMMYFUNCTION("""COMPUTED_VALUE"""),"No")</f>
        <v>No</v>
      </c>
      <c r="AN1732" s="8"/>
      <c r="AO1732" s="8" t="str">
        <f ca="1">IFERROR(__xludf.DUMMYFUNCTION("""COMPUTED_VALUE"""),"No")</f>
        <v>No</v>
      </c>
      <c r="AP1732" s="8"/>
      <c r="AQ1732" s="8" t="str">
        <f ca="1">IFERROR(__xludf.DUMMYFUNCTION("""COMPUTED_VALUE"""),"Unknown")</f>
        <v>Unknown</v>
      </c>
      <c r="AR1732" s="8" t="str">
        <f ca="1">IFERROR(__xludf.DUMMYFUNCTION("""COMPUTED_VALUE"""),"NA")</f>
        <v>NA</v>
      </c>
      <c r="AS1732" s="8"/>
      <c r="AT1732" s="8"/>
      <c r="AU1732" s="8">
        <f ca="1">IFERROR(__xludf.DUMMYFUNCTION("""COMPUTED_VALUE"""),38.843444)</f>
        <v>38.843443999999998</v>
      </c>
      <c r="AV1732" s="8">
        <f ca="1">IFERROR(__xludf.DUMMYFUNCTION("""COMPUTED_VALUE"""),-94.63814)</f>
        <v>-94.638140000000007</v>
      </c>
      <c r="AW1732" s="8"/>
      <c r="AX1732" s="8">
        <f ca="1">IFERROR(__xludf.DUMMYFUNCTION("""COMPUTED_VALUE"""),66224)</f>
        <v>66224</v>
      </c>
    </row>
    <row r="1733" spans="1:50" ht="45" x14ac:dyDescent="0.2">
      <c r="A1733" s="8" t="str">
        <f ca="1">IFERROR(__xludf.DUMMYFUNCTION("""COMPUTED_VALUE"""),"20180701TNRAM")</f>
        <v>20180701TNRAM</v>
      </c>
      <c r="B1733" s="8">
        <f ca="1">IFERROR(__xludf.DUMMYFUNCTION("""COMPUTED_VALUE"""),7)</f>
        <v>7</v>
      </c>
      <c r="C1733" s="8">
        <f ca="1">IFERROR(__xludf.DUMMYFUNCTION("""COMPUTED_VALUE"""),1)</f>
        <v>1</v>
      </c>
      <c r="D1733" s="8">
        <f ca="1">IFERROR(__xludf.DUMMYFUNCTION("""COMPUTED_VALUE"""),2018)</f>
        <v>2018</v>
      </c>
      <c r="E1733" s="9">
        <f ca="1">IFERROR(__xludf.DUMMYFUNCTION("""COMPUTED_VALUE"""),43282)</f>
        <v>43282</v>
      </c>
      <c r="F1733" s="8" t="str">
        <f ca="1">IFERROR(__xludf.DUMMYFUNCTION("""COMPUTED_VALUE"""),"Raineshaven Elementary School")</f>
        <v>Raineshaven Elementary School</v>
      </c>
      <c r="G1733" s="8">
        <f ca="1">IFERROR(__xludf.DUMMYFUNCTION("""COMPUTED_VALUE"""),1)</f>
        <v>1</v>
      </c>
      <c r="H1733" s="8">
        <f ca="1">IFERROR(__xludf.DUMMYFUNCTION("""COMPUTED_VALUE"""),0)</f>
        <v>0</v>
      </c>
      <c r="I1733" s="8">
        <f ca="1">IFERROR(__xludf.DUMMYFUNCTION("""COMPUTED_VALUE"""),1)</f>
        <v>1</v>
      </c>
      <c r="J1733" s="8">
        <f ca="1">IFERROR(__xludf.DUMMYFUNCTION("""COMPUTED_VALUE"""),0)</f>
        <v>0</v>
      </c>
      <c r="K1733" s="10" t="str">
        <f ca="1">IFERROR(__xludf.DUMMYFUNCTION("""COMPUTED_VALUE"""),"https://wreg.com/2018/07/02/man-slams-car-into-boarded-up-school-building-after-being-shot/")</f>
        <v>https://wreg.com/2018/07/02/man-slams-car-into-boarded-up-school-building-after-being-shot/</v>
      </c>
      <c r="L1733" s="8">
        <f ca="1">IFERROR(__xludf.DUMMYFUNCTION("""COMPUTED_VALUE"""),5)</f>
        <v>5</v>
      </c>
      <c r="M1733" s="8" t="str">
        <f ca="1">IFERROR(__xludf.DUMMYFUNCTION("""COMPUTED_VALUE"""),"Local")</f>
        <v>Local</v>
      </c>
      <c r="N1733" s="8">
        <f ca="1">IFERROR(__xludf.DUMMYFUNCTION("""COMPUTED_VALUE"""),2)</f>
        <v>2</v>
      </c>
      <c r="O1733" s="8" t="str">
        <f ca="1">IFERROR(__xludf.DUMMYFUNCTION("""COMPUTED_VALUE"""),"Summer")</f>
        <v>Summer</v>
      </c>
      <c r="P1733" s="8" t="str">
        <f ca="1">IFERROR(__xludf.DUMMYFUNCTION("""COMPUTED_VALUE"""),"Memphis")</f>
        <v>Memphis</v>
      </c>
      <c r="Q1733" s="8" t="str">
        <f ca="1">IFERROR(__xludf.DUMMYFUNCTION("""COMPUTED_VALUE"""),"TN")</f>
        <v>TN</v>
      </c>
      <c r="R1733" s="8" t="str">
        <f ca="1">IFERROR(__xludf.DUMMYFUNCTION("""COMPUTED_VALUE"""),"Elementary")</f>
        <v>Elementary</v>
      </c>
      <c r="S1733" s="8" t="str">
        <f ca="1">IFERROR(__xludf.DUMMYFUNCTION("""COMPUTED_VALUE"""),"Beside Building")</f>
        <v>Beside Building</v>
      </c>
      <c r="T1733" s="8" t="str">
        <f ca="1">IFERROR(__xludf.DUMMYFUNCTION("""COMPUTED_VALUE"""),"Outside on School Property")</f>
        <v>Outside on School Property</v>
      </c>
      <c r="U1733" s="8" t="str">
        <f ca="1">IFERROR(__xludf.DUMMYFUNCTION("""COMPUTED_VALUE"""),"No")</f>
        <v>No</v>
      </c>
      <c r="V1733" s="8" t="str">
        <f ca="1">IFERROR(__xludf.DUMMYFUNCTION("""COMPUTED_VALUE"""),"Night")</f>
        <v>Night</v>
      </c>
      <c r="W1733" s="11">
        <f ca="1">IFERROR(__xludf.DUMMYFUNCTION("""COMPUTED_VALUE"""),0.875)</f>
        <v>0.875</v>
      </c>
      <c r="X1733" s="8">
        <f ca="1">IFERROR(__xludf.DUMMYFUNCTION("""COMPUTED_VALUE"""),1)</f>
        <v>1</v>
      </c>
      <c r="Y1733" s="12" t="str">
        <f ca="1">IFERROR(__xludf.DUMMYFUNCTION("""COMPUTED_VALUE"""),"Victim shot in vehicle and crashed into school building")</f>
        <v>Victim shot in vehicle and crashed into school building</v>
      </c>
      <c r="Z1733" s="12" t="str">
        <f ca="1">IFERROR(__xludf.DUMMYFUNCTION("""COMPUTED_VALUE"""),"Victim was shot in vehicle and then crashed into the school building.")</f>
        <v>Victim was shot in vehicle and then crashed into the school building.</v>
      </c>
      <c r="AA1733" s="8" t="str">
        <f ca="1">IFERROR(__xludf.DUMMYFUNCTION("""COMPUTED_VALUE"""),"Unknown")</f>
        <v>Unknown</v>
      </c>
      <c r="AB1733" s="8"/>
      <c r="AC1733" s="8" t="str">
        <f ca="1">IFERROR(__xludf.DUMMYFUNCTION("""COMPUTED_VALUE"""),"No")</f>
        <v>No</v>
      </c>
      <c r="AD1733" s="8"/>
      <c r="AE1733" s="8"/>
      <c r="AF1733" s="8"/>
      <c r="AG1733" s="8" t="str">
        <f ca="1">IFERROR(__xludf.DUMMYFUNCTION("""COMPUTED_VALUE"""),"No")</f>
        <v>No</v>
      </c>
      <c r="AH1733" s="8" t="str">
        <f ca="1">IFERROR(__xludf.DUMMYFUNCTION("""COMPUTED_VALUE"""),"No")</f>
        <v>No</v>
      </c>
      <c r="AI1733" s="8" t="str">
        <f ca="1">IFERROR(__xludf.DUMMYFUNCTION("""COMPUTED_VALUE"""),"No")</f>
        <v>No</v>
      </c>
      <c r="AJ1733" s="8" t="str">
        <f ca="1">IFERROR(__xludf.DUMMYFUNCTION("""COMPUTED_VALUE"""),"No")</f>
        <v>No</v>
      </c>
      <c r="AK1733" s="8"/>
      <c r="AL1733" s="8"/>
      <c r="AM1733" s="8" t="str">
        <f ca="1">IFERROR(__xludf.DUMMYFUNCTION("""COMPUTED_VALUE"""),"No")</f>
        <v>No</v>
      </c>
      <c r="AN1733" s="8"/>
      <c r="AO1733" s="8" t="str">
        <f ca="1">IFERROR(__xludf.DUMMYFUNCTION("""COMPUTED_VALUE"""),"No")</f>
        <v>No</v>
      </c>
      <c r="AP1733" s="8"/>
      <c r="AQ1733" s="8" t="str">
        <f ca="1">IFERROR(__xludf.DUMMYFUNCTION("""COMPUTED_VALUE"""),"Unknown")</f>
        <v>Unknown</v>
      </c>
      <c r="AR1733" s="8" t="str">
        <f ca="1">IFERROR(__xludf.DUMMYFUNCTION("""COMPUTED_VALUE"""),"NA")</f>
        <v>NA</v>
      </c>
      <c r="AS1733" s="8"/>
      <c r="AT1733" s="8"/>
      <c r="AU1733" s="8">
        <f ca="1">IFERROR(__xludf.DUMMYFUNCTION("""COMPUTED_VALUE"""),35.040303)</f>
        <v>35.040303000000002</v>
      </c>
      <c r="AV1733" s="8">
        <f ca="1">IFERROR(__xludf.DUMMYFUNCTION("""COMPUTED_VALUE"""),-90.049796)</f>
        <v>-90.049796000000001</v>
      </c>
      <c r="AW1733" s="8"/>
      <c r="AX1733" s="8">
        <f ca="1">IFERROR(__xludf.DUMMYFUNCTION("""COMPUTED_VALUE"""),38109)</f>
        <v>38109</v>
      </c>
    </row>
    <row r="1734" spans="1:50" ht="135" x14ac:dyDescent="0.2">
      <c r="A1734" s="8" t="str">
        <f ca="1">IFERROR(__xludf.DUMMYFUNCTION("""COMPUTED_VALUE"""),"20180625OHFUS")</f>
        <v>20180625OHFUS</v>
      </c>
      <c r="B1734" s="8">
        <f ca="1">IFERROR(__xludf.DUMMYFUNCTION("""COMPUTED_VALUE"""),6)</f>
        <v>6</v>
      </c>
      <c r="C1734" s="8">
        <f ca="1">IFERROR(__xludf.DUMMYFUNCTION("""COMPUTED_VALUE"""),25)</f>
        <v>25</v>
      </c>
      <c r="D1734" s="8">
        <f ca="1">IFERROR(__xludf.DUMMYFUNCTION("""COMPUTED_VALUE"""),2018)</f>
        <v>2018</v>
      </c>
      <c r="E1734" s="9">
        <f ca="1">IFERROR(__xludf.DUMMYFUNCTION("""COMPUTED_VALUE"""),43276)</f>
        <v>43276</v>
      </c>
      <c r="F1734" s="8" t="str">
        <f ca="1">IFERROR(__xludf.DUMMYFUNCTION("""COMPUTED_VALUE"""),"Fulton Elementary School")</f>
        <v>Fulton Elementary School</v>
      </c>
      <c r="G1734" s="8">
        <f ca="1">IFERROR(__xludf.DUMMYFUNCTION("""COMPUTED_VALUE"""),0)</f>
        <v>0</v>
      </c>
      <c r="H1734" s="8">
        <f ca="1">IFERROR(__xludf.DUMMYFUNCTION("""COMPUTED_VALUE"""),1)</f>
        <v>1</v>
      </c>
      <c r="I1734" s="8">
        <f ca="1">IFERROR(__xludf.DUMMYFUNCTION("""COMPUTED_VALUE"""),1)</f>
        <v>1</v>
      </c>
      <c r="J1734" s="8">
        <f ca="1">IFERROR(__xludf.DUMMYFUNCTION("""COMPUTED_VALUE"""),0)</f>
        <v>0</v>
      </c>
      <c r="K1734" s="10" t="str">
        <f ca="1">IFERROR(__xludf.DUMMYFUNCTION("""COMPUTED_VALUE"""),"https://www.springfieldnewssun.com/news/crime--law/update-teens-arrested-after-alleged-attempted-shooting-truck-strike-outside-springfield-school/Kv3diPzfq35me2wa7OrdBI/")</f>
        <v>https://www.springfieldnewssun.com/news/crime--law/update-teens-arrested-after-alleged-attempted-shooting-truck-strike-outside-springfield-school/Kv3diPzfq35me2wa7OrdBI/</v>
      </c>
      <c r="L1734" s="8">
        <f ca="1">IFERROR(__xludf.DUMMYFUNCTION("""COMPUTED_VALUE"""),1)</f>
        <v>1</v>
      </c>
      <c r="M1734" s="8" t="str">
        <f ca="1">IFERROR(__xludf.DUMMYFUNCTION("""COMPUTED_VALUE"""),"Local")</f>
        <v>Local</v>
      </c>
      <c r="N1734" s="8">
        <f ca="1">IFERROR(__xludf.DUMMYFUNCTION("""COMPUTED_VALUE"""),2)</f>
        <v>2</v>
      </c>
      <c r="O1734" s="8" t="str">
        <f ca="1">IFERROR(__xludf.DUMMYFUNCTION("""COMPUTED_VALUE"""),"Summer")</f>
        <v>Summer</v>
      </c>
      <c r="P1734" s="8" t="str">
        <f ca="1">IFERROR(__xludf.DUMMYFUNCTION("""COMPUTED_VALUE"""),"Springfield")</f>
        <v>Springfield</v>
      </c>
      <c r="Q1734" s="8" t="str">
        <f ca="1">IFERROR(__xludf.DUMMYFUNCTION("""COMPUTED_VALUE"""),"OH")</f>
        <v>OH</v>
      </c>
      <c r="R1734" s="8" t="str">
        <f ca="1">IFERROR(__xludf.DUMMYFUNCTION("""COMPUTED_VALUE"""),"Elementary")</f>
        <v>Elementary</v>
      </c>
      <c r="S1734" s="8" t="str">
        <f ca="1">IFERROR(__xludf.DUMMYFUNCTION("""COMPUTED_VALUE"""),"Parking Lot")</f>
        <v>Parking Lot</v>
      </c>
      <c r="T1734" s="8" t="str">
        <f ca="1">IFERROR(__xludf.DUMMYFUNCTION("""COMPUTED_VALUE"""),"Outside on School Property")</f>
        <v>Outside on School Property</v>
      </c>
      <c r="U1734" s="8" t="str">
        <f ca="1">IFERROR(__xludf.DUMMYFUNCTION("""COMPUTED_VALUE"""),"No")</f>
        <v>No</v>
      </c>
      <c r="V1734" s="8" t="str">
        <f ca="1">IFERROR(__xludf.DUMMYFUNCTION("""COMPUTED_VALUE"""),"After School")</f>
        <v>After School</v>
      </c>
      <c r="W1734" s="11">
        <f ca="1">IFERROR(__xludf.DUMMYFUNCTION("""COMPUTED_VALUE"""),0.625)</f>
        <v>0.625</v>
      </c>
      <c r="X1734" s="8">
        <f ca="1">IFERROR(__xludf.DUMMYFUNCTION("""COMPUTED_VALUE"""),1)</f>
        <v>1</v>
      </c>
      <c r="Y1734" s="12" t="str">
        <f ca="1">IFERROR(__xludf.DUMMYFUNCTION("""COMPUTED_VALUE"""),"Attempted robbery in school parking lot, gun jammed when shooter fired, victim ran over shooter with car")</f>
        <v>Attempted robbery in school parking lot, gun jammed when shooter fired, victim ran over shooter with car</v>
      </c>
      <c r="Z1734" s="12" t="str">
        <f ca="1">IFERROR(__xludf.DUMMYFUNCTION("""COMPUTED_VALUE"""),"2 minors attempted to rob the victim in the parking lot. Minors were selling a cellphone and robbed the suspect. Shooter had a gun during the robbery and pulled the trigger but the gun jammed. The shooter tried to flee, the victim ran over the shooter whi"&amp;"le trying to catch up to him. The victim got out of the car and kicked the gun out of the shooter's hand. Police came and found drugs on the shooter. The second minor surrendered and refused that he knew the shooter brought a gun.")</f>
        <v>2 minors attempted to rob the victim in the parking lot. Minors were selling a cellphone and robbed the suspect. Shooter had a gun during the robbery and pulled the trigger but the gun jammed. The shooter tried to flee, the victim ran over the shooter while trying to catch up to him. The victim got out of the car and kicked the gun out of the shooter's hand. Police came and found drugs on the shooter. The second minor surrendered and refused that he knew the shooter brought a gun.</v>
      </c>
      <c r="AA1734" s="8" t="str">
        <f ca="1">IFERROR(__xludf.DUMMYFUNCTION("""COMPUTED_VALUE"""),"Illegal Activity")</f>
        <v>Illegal Activity</v>
      </c>
      <c r="AB1734" s="8"/>
      <c r="AC1734" s="8" t="str">
        <f ca="1">IFERROR(__xludf.DUMMYFUNCTION("""COMPUTED_VALUE"""),"No")</f>
        <v>No</v>
      </c>
      <c r="AD1734" s="8" t="str">
        <f ca="1">IFERROR(__xludf.DUMMYFUNCTION("""COMPUTED_VALUE"""),"Victims Targeted")</f>
        <v>Victims Targeted</v>
      </c>
      <c r="AE1734" s="8"/>
      <c r="AF1734" s="8"/>
      <c r="AG1734" s="8" t="str">
        <f ca="1">IFERROR(__xludf.DUMMYFUNCTION("""COMPUTED_VALUE"""),"No")</f>
        <v>No</v>
      </c>
      <c r="AH1734" s="8" t="str">
        <f ca="1">IFERROR(__xludf.DUMMYFUNCTION("""COMPUTED_VALUE"""),"No")</f>
        <v>No</v>
      </c>
      <c r="AI1734" s="8" t="str">
        <f ca="1">IFERROR(__xludf.DUMMYFUNCTION("""COMPUTED_VALUE"""),"No")</f>
        <v>No</v>
      </c>
      <c r="AJ1734" s="8" t="str">
        <f ca="1">IFERROR(__xludf.DUMMYFUNCTION("""COMPUTED_VALUE"""),"No")</f>
        <v>No</v>
      </c>
      <c r="AK1734" s="8" t="str">
        <f ca="1">IFERROR(__xludf.DUMMYFUNCTION("""COMPUTED_VALUE"""),"No")</f>
        <v>No</v>
      </c>
      <c r="AL1734" s="8" t="str">
        <f ca="1">IFERROR(__xludf.DUMMYFUNCTION("""COMPUTED_VALUE"""),"No")</f>
        <v>No</v>
      </c>
      <c r="AM1734" s="8" t="str">
        <f ca="1">IFERROR(__xludf.DUMMYFUNCTION("""COMPUTED_VALUE"""),"No")</f>
        <v>No</v>
      </c>
      <c r="AN1734" s="8"/>
      <c r="AO1734" s="8" t="str">
        <f ca="1">IFERROR(__xludf.DUMMYFUNCTION("""COMPUTED_VALUE"""),"No")</f>
        <v>No</v>
      </c>
      <c r="AP1734" s="8"/>
      <c r="AQ1734" s="8" t="str">
        <f ca="1">IFERROR(__xludf.DUMMYFUNCTION("""COMPUTED_VALUE"""),"Unknown")</f>
        <v>Unknown</v>
      </c>
      <c r="AR1734" s="8" t="str">
        <f ca="1">IFERROR(__xludf.DUMMYFUNCTION("""COMPUTED_VALUE"""),"NA")</f>
        <v>NA</v>
      </c>
      <c r="AS1734" s="8">
        <f ca="1">IFERROR(__xludf.DUMMYFUNCTION("""COMPUTED_VALUE"""),0)</f>
        <v>0</v>
      </c>
      <c r="AT1734" s="8"/>
      <c r="AU1734" s="8">
        <f ca="1">IFERROR(__xludf.DUMMYFUNCTION("""COMPUTED_VALUE"""),39.917907)</f>
        <v>39.917907</v>
      </c>
      <c r="AV1734" s="8">
        <f ca="1">IFERROR(__xludf.DUMMYFUNCTION("""COMPUTED_VALUE"""),-83.824564)</f>
        <v>-83.824563999999995</v>
      </c>
      <c r="AW1734" s="8"/>
      <c r="AX1734" s="8">
        <f ca="1">IFERROR(__xludf.DUMMYFUNCTION("""COMPUTED_VALUE"""),45506)</f>
        <v>45506</v>
      </c>
    </row>
    <row r="1735" spans="1:50" ht="135" x14ac:dyDescent="0.2">
      <c r="A1735" s="8" t="str">
        <f ca="1">IFERROR(__xludf.DUMMYFUNCTION("""COMPUTED_VALUE"""),"20180624MTSEM")</f>
        <v>20180624MTSEM</v>
      </c>
      <c r="B1735" s="8">
        <f ca="1">IFERROR(__xludf.DUMMYFUNCTION("""COMPUTED_VALUE"""),6)</f>
        <v>6</v>
      </c>
      <c r="C1735" s="8">
        <f ca="1">IFERROR(__xludf.DUMMYFUNCTION("""COMPUTED_VALUE"""),24)</f>
        <v>24</v>
      </c>
      <c r="D1735" s="8">
        <f ca="1">IFERROR(__xludf.DUMMYFUNCTION("""COMPUTED_VALUE"""),2018)</f>
        <v>2018</v>
      </c>
      <c r="E1735" s="9">
        <f ca="1">IFERROR(__xludf.DUMMYFUNCTION("""COMPUTED_VALUE"""),43275)</f>
        <v>43275</v>
      </c>
      <c r="F1735" s="8" t="str">
        <f ca="1">IFERROR(__xludf.DUMMYFUNCTION("""COMPUTED_VALUE"""),"Sentinel High School")</f>
        <v>Sentinel High School</v>
      </c>
      <c r="G1735" s="8">
        <f ca="1">IFERROR(__xludf.DUMMYFUNCTION("""COMPUTED_VALUE"""),0)</f>
        <v>0</v>
      </c>
      <c r="H1735" s="8">
        <f ca="1">IFERROR(__xludf.DUMMYFUNCTION("""COMPUTED_VALUE"""),2)</f>
        <v>2</v>
      </c>
      <c r="I1735" s="8">
        <f ca="1">IFERROR(__xludf.DUMMYFUNCTION("""COMPUTED_VALUE"""),2)</f>
        <v>2</v>
      </c>
      <c r="J1735" s="8">
        <f ca="1">IFERROR(__xludf.DUMMYFUNCTION("""COMPUTED_VALUE"""),0)</f>
        <v>0</v>
      </c>
      <c r="K1735" s="8" t="str">
        <f ca="1">IFERROR(__xludf.DUMMYFUNCTION("""COMPUTED_VALUE"""),"http://nbcmontana.com/news/local/police-respond-to-possible-missoula-shooting https://missoulian.com/news/crime/sentinel-high-school-shooting-suspect-claims-self-defense-in-drug/article_40c69ff3-5b11-5f8c-9dad-b1a6ae9d5b3d.html https://missoulian.com/news"&amp;"/crime/sentinel-high-school-shooting-suspect-to-be-tried-as-an/article_86126049-1fb0-5731-9fb4-053270dd6ac9.html")</f>
        <v>http://nbcmontana.com/news/local/police-respond-to-possible-missoula-shooting https://missoulian.com/news/crime/sentinel-high-school-shooting-suspect-claims-self-defense-in-drug/article_40c69ff3-5b11-5f8c-9dad-b1a6ae9d5b3d.html https://missoulian.com/news/crime/sentinel-high-school-shooting-suspect-to-be-tried-as-an/article_86126049-1fb0-5731-9fb4-053270dd6ac9.html</v>
      </c>
      <c r="L1735" s="8">
        <f ca="1">IFERROR(__xludf.DUMMYFUNCTION("""COMPUTED_VALUE"""),1)</f>
        <v>1</v>
      </c>
      <c r="M1735" s="8" t="str">
        <f ca="1">IFERROR(__xludf.DUMMYFUNCTION("""COMPUTED_VALUE"""),"Local")</f>
        <v>Local</v>
      </c>
      <c r="N1735" s="8">
        <f ca="1">IFERROR(__xludf.DUMMYFUNCTION("""COMPUTED_VALUE"""),3)</f>
        <v>3</v>
      </c>
      <c r="O1735" s="8" t="str">
        <f ca="1">IFERROR(__xludf.DUMMYFUNCTION("""COMPUTED_VALUE"""),"Summer")</f>
        <v>Summer</v>
      </c>
      <c r="P1735" s="8" t="str">
        <f ca="1">IFERROR(__xludf.DUMMYFUNCTION("""COMPUTED_VALUE"""),"Missoula")</f>
        <v>Missoula</v>
      </c>
      <c r="Q1735" s="8" t="str">
        <f ca="1">IFERROR(__xludf.DUMMYFUNCTION("""COMPUTED_VALUE"""),"MT")</f>
        <v>MT</v>
      </c>
      <c r="R1735" s="8" t="str">
        <f ca="1">IFERROR(__xludf.DUMMYFUNCTION("""COMPUTED_VALUE"""),"High")</f>
        <v>High</v>
      </c>
      <c r="S1735" s="8" t="str">
        <f ca="1">IFERROR(__xludf.DUMMYFUNCTION("""COMPUTED_VALUE"""),"Field (General)")</f>
        <v>Field (General)</v>
      </c>
      <c r="T1735" s="8" t="str">
        <f ca="1">IFERROR(__xludf.DUMMYFUNCTION("""COMPUTED_VALUE"""),"Outside on School Property")</f>
        <v>Outside on School Property</v>
      </c>
      <c r="U1735" s="8" t="str">
        <f ca="1">IFERROR(__xludf.DUMMYFUNCTION("""COMPUTED_VALUE"""),"No")</f>
        <v>No</v>
      </c>
      <c r="V1735" s="8" t="str">
        <f ca="1">IFERROR(__xludf.DUMMYFUNCTION("""COMPUTED_VALUE"""),"Sport Event")</f>
        <v>Sport Event</v>
      </c>
      <c r="W1735" s="11">
        <f ca="1">IFERROR(__xludf.DUMMYFUNCTION("""COMPUTED_VALUE"""),0.770833333333333)</f>
        <v>0.77083333333333304</v>
      </c>
      <c r="X1735" s="8">
        <f ca="1">IFERROR(__xludf.DUMMYFUNCTION("""COMPUTED_VALUE"""),1)</f>
        <v>1</v>
      </c>
      <c r="Y1735" s="12" t="str">
        <f ca="1">IFERROR(__xludf.DUMMYFUNCTION("""COMPUTED_VALUE"""),"Two teens shot outside gym during open basketball practice; shooter fled; shooter and suspects had planned meeting just prior to shooting")</f>
        <v>Two teens shot outside gym during open basketball practice; shooter fled; shooter and suspects had planned meeting just prior to shooting</v>
      </c>
      <c r="Z1735" s="12" t="str">
        <f ca="1">IFERROR(__xludf.DUMMYFUNCTION("""COMPUTED_VALUE"""),"17YOM shot 2 teens outside of school gym during weekend open basketball practice during illegal drug deal. Shooter fled and was later arrested. Two injured victims met the shooter in a secluded area near the gym before the shooting. Appeared targeted. The"&amp;" boy shot in the chest told an officer that the shooter “tried robbing us” and “took our money,” according to court records. Shooter had researched online how to rob drug dealers and was charged in two other related cases.")</f>
        <v>17YOM shot 2 teens outside of school gym during weekend open basketball practice during illegal drug deal. Shooter fled and was later arrested. Two injured victims met the shooter in a secluded area near the gym before the shooting. Appeared targeted. The boy shot in the chest told an officer that the shooter “tried robbing us” and “took our money,” according to court records. Shooter had researched online how to rob drug dealers and was charged in two other related cases.</v>
      </c>
      <c r="AA1735" s="8" t="str">
        <f ca="1">IFERROR(__xludf.DUMMYFUNCTION("""COMPUTED_VALUE"""),"Illegal Activity")</f>
        <v>Illegal Activity</v>
      </c>
      <c r="AB1735" s="8"/>
      <c r="AC1735" s="8" t="str">
        <f ca="1">IFERROR(__xludf.DUMMYFUNCTION("""COMPUTED_VALUE"""),"Yes")</f>
        <v>Yes</v>
      </c>
      <c r="AD1735" s="8" t="str">
        <f ca="1">IFERROR(__xludf.DUMMYFUNCTION("""COMPUTED_VALUE"""),"Victims Targeted")</f>
        <v>Victims Targeted</v>
      </c>
      <c r="AE1735" s="8" t="str">
        <f ca="1">IFERROR(__xludf.DUMMYFUNCTION("""COMPUTED_VALUE"""),"No")</f>
        <v>No</v>
      </c>
      <c r="AF1735" s="8"/>
      <c r="AG1735" s="8" t="str">
        <f ca="1">IFERROR(__xludf.DUMMYFUNCTION("""COMPUTED_VALUE"""),"No")</f>
        <v>No</v>
      </c>
      <c r="AH1735" s="8" t="str">
        <f ca="1">IFERROR(__xludf.DUMMYFUNCTION("""COMPUTED_VALUE"""),"No")</f>
        <v>No</v>
      </c>
      <c r="AI1735" s="8" t="str">
        <f ca="1">IFERROR(__xludf.DUMMYFUNCTION("""COMPUTED_VALUE"""),"No")</f>
        <v>No</v>
      </c>
      <c r="AJ1735" s="8" t="str">
        <f ca="1">IFERROR(__xludf.DUMMYFUNCTION("""COMPUTED_VALUE"""),"No")</f>
        <v>No</v>
      </c>
      <c r="AK1735" s="8" t="str">
        <f ca="1">IFERROR(__xludf.DUMMYFUNCTION("""COMPUTED_VALUE"""),"No")</f>
        <v>No</v>
      </c>
      <c r="AL1735" s="8" t="str">
        <f ca="1">IFERROR(__xludf.DUMMYFUNCTION("""COMPUTED_VALUE"""),"No")</f>
        <v>No</v>
      </c>
      <c r="AM1735" s="8" t="str">
        <f ca="1">IFERROR(__xludf.DUMMYFUNCTION("""COMPUTED_VALUE"""),"No")</f>
        <v>No</v>
      </c>
      <c r="AN1735" s="8"/>
      <c r="AO1735" s="8" t="str">
        <f ca="1">IFERROR(__xludf.DUMMYFUNCTION("""COMPUTED_VALUE"""),"No")</f>
        <v>No</v>
      </c>
      <c r="AP1735" s="8"/>
      <c r="AQ1735" s="8" t="str">
        <f ca="1">IFERROR(__xludf.DUMMYFUNCTION("""COMPUTED_VALUE"""),"Unknown")</f>
        <v>Unknown</v>
      </c>
      <c r="AR1735" s="8" t="str">
        <f ca="1">IFERROR(__xludf.DUMMYFUNCTION("""COMPUTED_VALUE"""),"NA")</f>
        <v>NA</v>
      </c>
      <c r="AS1735" s="8">
        <f ca="1">IFERROR(__xludf.DUMMYFUNCTION("""COMPUTED_VALUE"""),4)</f>
        <v>4</v>
      </c>
      <c r="AT1735" s="8" t="str">
        <f ca="1">IFERROR(__xludf.DUMMYFUNCTION("""COMPUTED_VALUE"""),"Yes")</f>
        <v>Yes</v>
      </c>
      <c r="AU1735" s="8">
        <f ca="1">IFERROR(__xludf.DUMMYFUNCTION("""COMPUTED_VALUE"""),46.84698)</f>
        <v>46.846980000000002</v>
      </c>
      <c r="AV1735" s="8">
        <f ca="1">IFERROR(__xludf.DUMMYFUNCTION("""COMPUTED_VALUE"""),-114.009318)</f>
        <v>-114.00931799999999</v>
      </c>
      <c r="AW1735" s="8"/>
      <c r="AX1735" s="8">
        <f ca="1">IFERROR(__xludf.DUMMYFUNCTION("""COMPUTED_VALUE"""),59801)</f>
        <v>59801</v>
      </c>
    </row>
    <row r="1736" spans="1:50" ht="60" x14ac:dyDescent="0.2">
      <c r="A1736" s="8" t="str">
        <f ca="1">IFERROR(__xludf.DUMMYFUNCTION("""COMPUTED_VALUE"""),"20180621TXSKD")</f>
        <v>20180621TXSKD</v>
      </c>
      <c r="B1736" s="8">
        <f ca="1">IFERROR(__xludf.DUMMYFUNCTION("""COMPUTED_VALUE"""),6)</f>
        <v>6</v>
      </c>
      <c r="C1736" s="8">
        <f ca="1">IFERROR(__xludf.DUMMYFUNCTION("""COMPUTED_VALUE"""),21)</f>
        <v>21</v>
      </c>
      <c r="D1736" s="8">
        <f ca="1">IFERROR(__xludf.DUMMYFUNCTION("""COMPUTED_VALUE"""),2018)</f>
        <v>2018</v>
      </c>
      <c r="E1736" s="9">
        <f ca="1">IFERROR(__xludf.DUMMYFUNCTION("""COMPUTED_VALUE"""),43272)</f>
        <v>43272</v>
      </c>
      <c r="F1736" s="8" t="str">
        <f ca="1">IFERROR(__xludf.DUMMYFUNCTION("""COMPUTED_VALUE"""),"Skyline High School")</f>
        <v>Skyline High School</v>
      </c>
      <c r="G1736" s="8">
        <f ca="1">IFERROR(__xludf.DUMMYFUNCTION("""COMPUTED_VALUE"""),0)</f>
        <v>0</v>
      </c>
      <c r="H1736" s="8">
        <f ca="1">IFERROR(__xludf.DUMMYFUNCTION("""COMPUTED_VALUE"""),1)</f>
        <v>1</v>
      </c>
      <c r="I1736" s="8">
        <f ca="1">IFERROR(__xludf.DUMMYFUNCTION("""COMPUTED_VALUE"""),1)</f>
        <v>1</v>
      </c>
      <c r="J1736" s="8">
        <f ca="1">IFERROR(__xludf.DUMMYFUNCTION("""COMPUTED_VALUE"""),0)</f>
        <v>0</v>
      </c>
      <c r="K1736" s="10" t="str">
        <f ca="1">IFERROR(__xludf.DUMMYFUNCTION("""COMPUTED_VALUE"""),"https://krld.radio.com/articles/suspect-arrested-after-16-yr-old-found-shot-near-skyline-high-school")</f>
        <v>https://krld.radio.com/articles/suspect-arrested-after-16-yr-old-found-shot-near-skyline-high-school</v>
      </c>
      <c r="L1736" s="8">
        <f ca="1">IFERROR(__xludf.DUMMYFUNCTION("""COMPUTED_VALUE"""),1)</f>
        <v>1</v>
      </c>
      <c r="M1736" s="8" t="str">
        <f ca="1">IFERROR(__xludf.DUMMYFUNCTION("""COMPUTED_VALUE"""),"Local")</f>
        <v>Local</v>
      </c>
      <c r="N1736" s="8">
        <f ca="1">IFERROR(__xludf.DUMMYFUNCTION("""COMPUTED_VALUE"""),2)</f>
        <v>2</v>
      </c>
      <c r="O1736" s="8" t="str">
        <f ca="1">IFERROR(__xludf.DUMMYFUNCTION("""COMPUTED_VALUE"""),"Summer")</f>
        <v>Summer</v>
      </c>
      <c r="P1736" s="8" t="str">
        <f ca="1">IFERROR(__xludf.DUMMYFUNCTION("""COMPUTED_VALUE"""),"Dallas")</f>
        <v>Dallas</v>
      </c>
      <c r="Q1736" s="8" t="str">
        <f ca="1">IFERROR(__xludf.DUMMYFUNCTION("""COMPUTED_VALUE"""),"TX")</f>
        <v>TX</v>
      </c>
      <c r="R1736" s="8" t="str">
        <f ca="1">IFERROR(__xludf.DUMMYFUNCTION("""COMPUTED_VALUE"""),"High")</f>
        <v>High</v>
      </c>
      <c r="S1736" s="8" t="str">
        <f ca="1">IFERROR(__xludf.DUMMYFUNCTION("""COMPUTED_VALUE"""),"Football Field/Track")</f>
        <v>Football Field/Track</v>
      </c>
      <c r="T1736" s="8" t="str">
        <f ca="1">IFERROR(__xludf.DUMMYFUNCTION("""COMPUTED_VALUE"""),"Outside on School Property")</f>
        <v>Outside on School Property</v>
      </c>
      <c r="U1736" s="8" t="str">
        <f ca="1">IFERROR(__xludf.DUMMYFUNCTION("""COMPUTED_VALUE"""),"No")</f>
        <v>No</v>
      </c>
      <c r="V1736" s="8" t="str">
        <f ca="1">IFERROR(__xludf.DUMMYFUNCTION("""COMPUTED_VALUE"""),"Before School")</f>
        <v>Before School</v>
      </c>
      <c r="W1736" s="11">
        <f ca="1">IFERROR(__xludf.DUMMYFUNCTION("""COMPUTED_VALUE"""),0.208333333333333)</f>
        <v>0.20833333333333301</v>
      </c>
      <c r="X1736" s="8">
        <f ca="1">IFERROR(__xludf.DUMMYFUNCTION("""COMPUTED_VALUE"""),1)</f>
        <v>1</v>
      </c>
      <c r="Y1736" s="12" t="str">
        <f ca="1">IFERROR(__xludf.DUMMYFUNCTION("""COMPUTED_VALUE"""),"Victim shot while walking around track at school football field")</f>
        <v>Victim shot while walking around track at school football field</v>
      </c>
      <c r="Z1736" s="12" t="str">
        <f ca="1">IFERROR(__xludf.DUMMYFUNCTION("""COMPUTED_VALUE"""),"16YOF shot in the ankle while walking around the track at the school football field at 5:00 AM. Suspect fired multiple shots and then fled the scene. The suspect did not know the shooter. Unidentified suspect in custody.")</f>
        <v>16YOF shot in the ankle while walking around the track at the school football field at 5:00 AM. Suspect fired multiple shots and then fled the scene. The suspect did not know the shooter. Unidentified suspect in custody.</v>
      </c>
      <c r="AA1736" s="8" t="str">
        <f ca="1">IFERROR(__xludf.DUMMYFUNCTION("""COMPUTED_VALUE"""),"Unknown")</f>
        <v>Unknown</v>
      </c>
      <c r="AB1736" s="8"/>
      <c r="AC1736" s="8" t="str">
        <f ca="1">IFERROR(__xludf.DUMMYFUNCTION("""COMPUTED_VALUE"""),"Yes")</f>
        <v>Yes</v>
      </c>
      <c r="AD1736" s="8"/>
      <c r="AE1736" s="8"/>
      <c r="AF1736" s="8"/>
      <c r="AG1736" s="8" t="str">
        <f ca="1">IFERROR(__xludf.DUMMYFUNCTION("""COMPUTED_VALUE"""),"No")</f>
        <v>No</v>
      </c>
      <c r="AH1736" s="8" t="str">
        <f ca="1">IFERROR(__xludf.DUMMYFUNCTION("""COMPUTED_VALUE"""),"No")</f>
        <v>No</v>
      </c>
      <c r="AI1736" s="8" t="str">
        <f ca="1">IFERROR(__xludf.DUMMYFUNCTION("""COMPUTED_VALUE"""),"No")</f>
        <v>No</v>
      </c>
      <c r="AJ1736" s="8" t="str">
        <f ca="1">IFERROR(__xludf.DUMMYFUNCTION("""COMPUTED_VALUE"""),"No")</f>
        <v>No</v>
      </c>
      <c r="AK1736" s="8" t="str">
        <f ca="1">IFERROR(__xludf.DUMMYFUNCTION("""COMPUTED_VALUE"""),"No")</f>
        <v>No</v>
      </c>
      <c r="AL1736" s="8"/>
      <c r="AM1736" s="8" t="str">
        <f ca="1">IFERROR(__xludf.DUMMYFUNCTION("""COMPUTED_VALUE"""),"No")</f>
        <v>No</v>
      </c>
      <c r="AN1736" s="8"/>
      <c r="AO1736" s="8" t="str">
        <f ca="1">IFERROR(__xludf.DUMMYFUNCTION("""COMPUTED_VALUE"""),"No")</f>
        <v>No</v>
      </c>
      <c r="AP1736" s="8"/>
      <c r="AQ1736" s="8" t="str">
        <f ca="1">IFERROR(__xludf.DUMMYFUNCTION("""COMPUTED_VALUE"""),"Unknown")</f>
        <v>Unknown</v>
      </c>
      <c r="AR1736" s="8" t="str">
        <f ca="1">IFERROR(__xludf.DUMMYFUNCTION("""COMPUTED_VALUE"""),"NA")</f>
        <v>NA</v>
      </c>
      <c r="AS1736" s="8"/>
      <c r="AT1736" s="8"/>
      <c r="AU1736" s="8">
        <f ca="1">IFERROR(__xludf.DUMMYFUNCTION("""COMPUTED_VALUE"""),32.780432)</f>
        <v>32.780431999999998</v>
      </c>
      <c r="AV1736" s="8">
        <f ca="1">IFERROR(__xludf.DUMMYFUNCTION("""COMPUTED_VALUE"""),-96.689735)</f>
        <v>-96.689734999999999</v>
      </c>
      <c r="AW1736" s="8"/>
      <c r="AX1736" s="8">
        <f ca="1">IFERROR(__xludf.DUMMYFUNCTION("""COMPUTED_VALUE"""),75227)</f>
        <v>75227</v>
      </c>
    </row>
    <row r="1737" spans="1:50" ht="45" x14ac:dyDescent="0.2">
      <c r="A1737" s="8" t="str">
        <f ca="1">IFERROR(__xludf.DUMMYFUNCTION("""COMPUTED_VALUE"""),"20180617ORGRP")</f>
        <v>20180617ORGRP</v>
      </c>
      <c r="B1737" s="8">
        <f ca="1">IFERROR(__xludf.DUMMYFUNCTION("""COMPUTED_VALUE"""),6)</f>
        <v>6</v>
      </c>
      <c r="C1737" s="8">
        <f ca="1">IFERROR(__xludf.DUMMYFUNCTION("""COMPUTED_VALUE"""),17)</f>
        <v>17</v>
      </c>
      <c r="D1737" s="8">
        <f ca="1">IFERROR(__xludf.DUMMYFUNCTION("""COMPUTED_VALUE"""),2018)</f>
        <v>2018</v>
      </c>
      <c r="E1737" s="9">
        <f ca="1">IFERROR(__xludf.DUMMYFUNCTION("""COMPUTED_VALUE"""),43268)</f>
        <v>43268</v>
      </c>
      <c r="F1737" s="8" t="str">
        <f ca="1">IFERROR(__xludf.DUMMYFUNCTION("""COMPUTED_VALUE"""),"Grant High School")</f>
        <v>Grant High School</v>
      </c>
      <c r="G1737" s="8">
        <f ca="1">IFERROR(__xludf.DUMMYFUNCTION("""COMPUTED_VALUE"""),1)</f>
        <v>1</v>
      </c>
      <c r="H1737" s="8">
        <f ca="1">IFERROR(__xludf.DUMMYFUNCTION("""COMPUTED_VALUE"""),0)</f>
        <v>0</v>
      </c>
      <c r="I1737" s="8">
        <f ca="1">IFERROR(__xludf.DUMMYFUNCTION("""COMPUTED_VALUE"""),1)</f>
        <v>1</v>
      </c>
      <c r="J1737" s="8">
        <f ca="1">IFERROR(__xludf.DUMMYFUNCTION("""COMPUTED_VALUE"""),0)</f>
        <v>0</v>
      </c>
      <c r="K1737" s="10" t="str">
        <f ca="1">IFERROR(__xludf.DUMMYFUNCTION("""COMPUTED_VALUE"""),"http://katu.com/news/local/police-man-found-shot-killed-on-se-portland-grant-high-school-track")</f>
        <v>http://katu.com/news/local/police-man-found-shot-killed-on-se-portland-grant-high-school-track</v>
      </c>
      <c r="L1737" s="8"/>
      <c r="M1737" s="8"/>
      <c r="N1737" s="8">
        <f ca="1">IFERROR(__xludf.DUMMYFUNCTION("""COMPUTED_VALUE"""),2)</f>
        <v>2</v>
      </c>
      <c r="O1737" s="8" t="str">
        <f ca="1">IFERROR(__xludf.DUMMYFUNCTION("""COMPUTED_VALUE"""),"Summer")</f>
        <v>Summer</v>
      </c>
      <c r="P1737" s="8" t="str">
        <f ca="1">IFERROR(__xludf.DUMMYFUNCTION("""COMPUTED_VALUE"""),"Portland")</f>
        <v>Portland</v>
      </c>
      <c r="Q1737" s="8" t="str">
        <f ca="1">IFERROR(__xludf.DUMMYFUNCTION("""COMPUTED_VALUE"""),"OR")</f>
        <v>OR</v>
      </c>
      <c r="R1737" s="8" t="str">
        <f ca="1">IFERROR(__xludf.DUMMYFUNCTION("""COMPUTED_VALUE"""),"High")</f>
        <v>High</v>
      </c>
      <c r="S1737" s="8" t="str">
        <f ca="1">IFERROR(__xludf.DUMMYFUNCTION("""COMPUTED_VALUE"""),"Football Field/Track")</f>
        <v>Football Field/Track</v>
      </c>
      <c r="T1737" s="8" t="str">
        <f ca="1">IFERROR(__xludf.DUMMYFUNCTION("""COMPUTED_VALUE"""),"Outside on School Property")</f>
        <v>Outside on School Property</v>
      </c>
      <c r="U1737" s="8" t="str">
        <f ca="1">IFERROR(__xludf.DUMMYFUNCTION("""COMPUTED_VALUE"""),"No")</f>
        <v>No</v>
      </c>
      <c r="V1737" s="8" t="str">
        <f ca="1">IFERROR(__xludf.DUMMYFUNCTION("""COMPUTED_VALUE"""),"Night")</f>
        <v>Night</v>
      </c>
      <c r="W1737" s="11">
        <f ca="1">IFERROR(__xludf.DUMMYFUNCTION("""COMPUTED_VALUE"""),0.197916666666666)</f>
        <v>0.19791666666666599</v>
      </c>
      <c r="X1737" s="8">
        <f ca="1">IFERROR(__xludf.DUMMYFUNCTION("""COMPUTED_VALUE"""),1)</f>
        <v>1</v>
      </c>
      <c r="Y1737" s="12" t="str">
        <f ca="1">IFERROR(__xludf.DUMMYFUNCTION("""COMPUTED_VALUE"""),"Man found dead from GSW on the outdoor track")</f>
        <v>Man found dead from GSW on the outdoor track</v>
      </c>
      <c r="Z1737" s="12" t="str">
        <f ca="1">IFERROR(__xludf.DUMMYFUNCTION("""COMPUTED_VALUE"""),"Portland police say a man was found shot to death on a high school track.")</f>
        <v>Portland police say a man was found shot to death on a high school track.</v>
      </c>
      <c r="AA1737" s="8" t="str">
        <f ca="1">IFERROR(__xludf.DUMMYFUNCTION("""COMPUTED_VALUE"""),"Unknown")</f>
        <v>Unknown</v>
      </c>
      <c r="AB1737" s="8"/>
      <c r="AC1737" s="8" t="str">
        <f ca="1">IFERROR(__xludf.DUMMYFUNCTION("""COMPUTED_VALUE"""),"No")</f>
        <v>No</v>
      </c>
      <c r="AD1737" s="8"/>
      <c r="AE1737" s="8"/>
      <c r="AF1737" s="8"/>
      <c r="AG1737" s="8" t="str">
        <f ca="1">IFERROR(__xludf.DUMMYFUNCTION("""COMPUTED_VALUE"""),"No")</f>
        <v>No</v>
      </c>
      <c r="AH1737" s="8" t="str">
        <f ca="1">IFERROR(__xludf.DUMMYFUNCTION("""COMPUTED_VALUE"""),"No")</f>
        <v>No</v>
      </c>
      <c r="AI1737" s="8" t="str">
        <f ca="1">IFERROR(__xludf.DUMMYFUNCTION("""COMPUTED_VALUE"""),"No")</f>
        <v>No</v>
      </c>
      <c r="AJ1737" s="8" t="str">
        <f ca="1">IFERROR(__xludf.DUMMYFUNCTION("""COMPUTED_VALUE"""),"No")</f>
        <v>No</v>
      </c>
      <c r="AK1737" s="8" t="str">
        <f ca="1">IFERROR(__xludf.DUMMYFUNCTION("""COMPUTED_VALUE"""),"No")</f>
        <v>No</v>
      </c>
      <c r="AL1737" s="8"/>
      <c r="AM1737" s="8" t="str">
        <f ca="1">IFERROR(__xludf.DUMMYFUNCTION("""COMPUTED_VALUE"""),"No")</f>
        <v>No</v>
      </c>
      <c r="AN1737" s="8"/>
      <c r="AO1737" s="8" t="str">
        <f ca="1">IFERROR(__xludf.DUMMYFUNCTION("""COMPUTED_VALUE"""),"No")</f>
        <v>No</v>
      </c>
      <c r="AP1737" s="8"/>
      <c r="AQ1737" s="8" t="str">
        <f ca="1">IFERROR(__xludf.DUMMYFUNCTION("""COMPUTED_VALUE"""),"Unknown")</f>
        <v>Unknown</v>
      </c>
      <c r="AR1737" s="8" t="str">
        <f ca="1">IFERROR(__xludf.DUMMYFUNCTION("""COMPUTED_VALUE"""),"NA")</f>
        <v>NA</v>
      </c>
      <c r="AS1737" s="8"/>
      <c r="AT1737" s="8"/>
      <c r="AU1737" s="8">
        <f ca="1">IFERROR(__xludf.DUMMYFUNCTION("""COMPUTED_VALUE"""),45.538206)</f>
        <v>45.538206000000002</v>
      </c>
      <c r="AV1737" s="8">
        <f ca="1">IFERROR(__xludf.DUMMYFUNCTION("""COMPUTED_VALUE"""),-122.627056)</f>
        <v>-122.627056</v>
      </c>
      <c r="AW1737" s="8"/>
      <c r="AX1737" s="8">
        <f ca="1">IFERROR(__xludf.DUMMYFUNCTION("""COMPUTED_VALUE"""),97212)</f>
        <v>97212</v>
      </c>
    </row>
    <row r="1738" spans="1:50" ht="60" x14ac:dyDescent="0.2">
      <c r="A1738" s="8" t="str">
        <f ca="1">IFERROR(__xludf.DUMMYFUNCTION("""COMPUTED_VALUE"""),"20180615OHVAB")</f>
        <v>20180615OHVAB</v>
      </c>
      <c r="B1738" s="8">
        <f ca="1">IFERROR(__xludf.DUMMYFUNCTION("""COMPUTED_VALUE"""),6)</f>
        <v>6</v>
      </c>
      <c r="C1738" s="8">
        <f ca="1">IFERROR(__xludf.DUMMYFUNCTION("""COMPUTED_VALUE"""),15)</f>
        <v>15</v>
      </c>
      <c r="D1738" s="8">
        <f ca="1">IFERROR(__xludf.DUMMYFUNCTION("""COMPUTED_VALUE"""),2018)</f>
        <v>2018</v>
      </c>
      <c r="E1738" s="9">
        <f ca="1">IFERROR(__xludf.DUMMYFUNCTION("""COMPUTED_VALUE"""),43266)</f>
        <v>43266</v>
      </c>
      <c r="F1738" s="8" t="str">
        <f ca="1">IFERROR(__xludf.DUMMYFUNCTION("""COMPUTED_VALUE"""),"Valley Elementary School")</f>
        <v>Valley Elementary School</v>
      </c>
      <c r="G1738" s="8">
        <f ca="1">IFERROR(__xludf.DUMMYFUNCTION("""COMPUTED_VALUE"""),0)</f>
        <v>0</v>
      </c>
      <c r="H1738" s="8">
        <f ca="1">IFERROR(__xludf.DUMMYFUNCTION("""COMPUTED_VALUE"""),0)</f>
        <v>0</v>
      </c>
      <c r="I1738" s="8">
        <f ca="1">IFERROR(__xludf.DUMMYFUNCTION("""COMPUTED_VALUE"""),0)</f>
        <v>0</v>
      </c>
      <c r="J1738" s="8">
        <f ca="1">IFERROR(__xludf.DUMMYFUNCTION("""COMPUTED_VALUE"""),0)</f>
        <v>0</v>
      </c>
      <c r="K1738" s="10" t="str">
        <f ca="1">IFERROR(__xludf.DUMMYFUNCTION("""COMPUTED_VALUE"""),"https://www.whio.com/news/local/report-shot-possibly-fired-during-altercation-basketball-court-beavercreek-school/pik2z70Vnp3YXYCS9M5YKN/")</f>
        <v>https://www.whio.com/news/local/report-shot-possibly-fired-during-altercation-basketball-court-beavercreek-school/pik2z70Vnp3YXYCS9M5YKN/</v>
      </c>
      <c r="L1738" s="8"/>
      <c r="M1738" s="8"/>
      <c r="N1738" s="8">
        <f ca="1">IFERROR(__xludf.DUMMYFUNCTION("""COMPUTED_VALUE"""),2)</f>
        <v>2</v>
      </c>
      <c r="O1738" s="8" t="str">
        <f ca="1">IFERROR(__xludf.DUMMYFUNCTION("""COMPUTED_VALUE"""),"Summer")</f>
        <v>Summer</v>
      </c>
      <c r="P1738" s="8" t="str">
        <f ca="1">IFERROR(__xludf.DUMMYFUNCTION("""COMPUTED_VALUE"""),"Beaver Creek")</f>
        <v>Beaver Creek</v>
      </c>
      <c r="Q1738" s="8" t="str">
        <f ca="1">IFERROR(__xludf.DUMMYFUNCTION("""COMPUTED_VALUE"""),"OH")</f>
        <v>OH</v>
      </c>
      <c r="R1738" s="8" t="str">
        <f ca="1">IFERROR(__xludf.DUMMYFUNCTION("""COMPUTED_VALUE"""),"Elementary")</f>
        <v>Elementary</v>
      </c>
      <c r="S1738" s="8" t="str">
        <f ca="1">IFERROR(__xludf.DUMMYFUNCTION("""COMPUTED_VALUE"""),"Basketball Court")</f>
        <v>Basketball Court</v>
      </c>
      <c r="T1738" s="8" t="str">
        <f ca="1">IFERROR(__xludf.DUMMYFUNCTION("""COMPUTED_VALUE"""),"Outside on School Property")</f>
        <v>Outside on School Property</v>
      </c>
      <c r="U1738" s="8" t="str">
        <f ca="1">IFERROR(__xludf.DUMMYFUNCTION("""COMPUTED_VALUE"""),"No")</f>
        <v>No</v>
      </c>
      <c r="V1738" s="8" t="str">
        <f ca="1">IFERROR(__xludf.DUMMYFUNCTION("""COMPUTED_VALUE"""),"Night")</f>
        <v>Night</v>
      </c>
      <c r="W1738" s="11">
        <f ca="1">IFERROR(__xludf.DUMMYFUNCTION("""COMPUTED_VALUE"""),0.166666666666666)</f>
        <v>0.16666666666666599</v>
      </c>
      <c r="X1738" s="8">
        <f ca="1">IFERROR(__xludf.DUMMYFUNCTION("""COMPUTED_VALUE"""),1)</f>
        <v>1</v>
      </c>
      <c r="Y1738" s="12" t="str">
        <f ca="1">IFERROR(__xludf.DUMMYFUNCTION("""COMPUTED_VALUE"""),"Shot fired during domestic dispute on basketball court")</f>
        <v>Shot fired during domestic dispute on basketball court</v>
      </c>
      <c r="Z1738" s="12" t="str">
        <f ca="1">IFERROR(__xludf.DUMMYFUNCTION("""COMPUTED_VALUE"""),"17YOM fired shot at female during a domestic dispute on the basketball court of the elementary school at 4:00 AM. Shell casing was found but all parties involved were gone when police arrived. Shooter was arrested later.")</f>
        <v>17YOM fired shot at female during a domestic dispute on the basketball court of the elementary school at 4:00 AM. Shell casing was found but all parties involved were gone when police arrived. Shooter was arrested later.</v>
      </c>
      <c r="AA1738" s="8" t="str">
        <f ca="1">IFERROR(__xludf.DUMMYFUNCTION("""COMPUTED_VALUE"""),"Domestic w/ Targeted Victim")</f>
        <v>Domestic w/ Targeted Victim</v>
      </c>
      <c r="AB1738" s="8"/>
      <c r="AC1738" s="8" t="str">
        <f ca="1">IFERROR(__xludf.DUMMYFUNCTION("""COMPUTED_VALUE"""),"No")</f>
        <v>No</v>
      </c>
      <c r="AD1738" s="8" t="str">
        <f ca="1">IFERROR(__xludf.DUMMYFUNCTION("""COMPUTED_VALUE"""),"Victims Targeted")</f>
        <v>Victims Targeted</v>
      </c>
      <c r="AE1738" s="8"/>
      <c r="AF1738" s="8"/>
      <c r="AG1738" s="8" t="str">
        <f ca="1">IFERROR(__xludf.DUMMYFUNCTION("""COMPUTED_VALUE"""),"No")</f>
        <v>No</v>
      </c>
      <c r="AH1738" s="8" t="str">
        <f ca="1">IFERROR(__xludf.DUMMYFUNCTION("""COMPUTED_VALUE"""),"No")</f>
        <v>No</v>
      </c>
      <c r="AI1738" s="8" t="str">
        <f ca="1">IFERROR(__xludf.DUMMYFUNCTION("""COMPUTED_VALUE"""),"No")</f>
        <v>No</v>
      </c>
      <c r="AJ1738" s="8" t="str">
        <f ca="1">IFERROR(__xludf.DUMMYFUNCTION("""COMPUTED_VALUE"""),"No")</f>
        <v>No</v>
      </c>
      <c r="AK1738" s="8" t="str">
        <f ca="1">IFERROR(__xludf.DUMMYFUNCTION("""COMPUTED_VALUE"""),"Yes")</f>
        <v>Yes</v>
      </c>
      <c r="AL1738" s="8" t="str">
        <f ca="1">IFERROR(__xludf.DUMMYFUNCTION("""COMPUTED_VALUE"""),"No")</f>
        <v>No</v>
      </c>
      <c r="AM1738" s="8" t="str">
        <f ca="1">IFERROR(__xludf.DUMMYFUNCTION("""COMPUTED_VALUE"""),"No")</f>
        <v>No</v>
      </c>
      <c r="AN1738" s="8"/>
      <c r="AO1738" s="8" t="str">
        <f ca="1">IFERROR(__xludf.DUMMYFUNCTION("""COMPUTED_VALUE"""),"No")</f>
        <v>No</v>
      </c>
      <c r="AP1738" s="8"/>
      <c r="AQ1738" s="8" t="str">
        <f ca="1">IFERROR(__xludf.DUMMYFUNCTION("""COMPUTED_VALUE"""),"Unknown")</f>
        <v>Unknown</v>
      </c>
      <c r="AR1738" s="8" t="str">
        <f ca="1">IFERROR(__xludf.DUMMYFUNCTION("""COMPUTED_VALUE"""),"NA")</f>
        <v>NA</v>
      </c>
      <c r="AS1738" s="8">
        <f ca="1">IFERROR(__xludf.DUMMYFUNCTION("""COMPUTED_VALUE"""),1)</f>
        <v>1</v>
      </c>
      <c r="AT1738" s="8"/>
      <c r="AU1738" s="8">
        <f ca="1">IFERROR(__xludf.DUMMYFUNCTION("""COMPUTED_VALUE"""),39.717626)</f>
        <v>39.717626000000003</v>
      </c>
      <c r="AV1738" s="8">
        <f ca="1">IFERROR(__xludf.DUMMYFUNCTION("""COMPUTED_VALUE"""),-84.070809)</f>
        <v>-84.070808999999997</v>
      </c>
      <c r="AW1738" s="8"/>
      <c r="AX1738" s="8">
        <f ca="1">IFERROR(__xludf.DUMMYFUNCTION("""COMPUTED_VALUE"""),45434)</f>
        <v>45434</v>
      </c>
    </row>
    <row r="1739" spans="1:50" ht="45" x14ac:dyDescent="0.2">
      <c r="A1739" s="8" t="str">
        <f ca="1">IFERROR(__xludf.DUMMYFUNCTION("""COMPUTED_VALUE"""),"20180601TXMCM")</f>
        <v>20180601TXMCM</v>
      </c>
      <c r="B1739" s="8">
        <f ca="1">IFERROR(__xludf.DUMMYFUNCTION("""COMPUTED_VALUE"""),6)</f>
        <v>6</v>
      </c>
      <c r="C1739" s="8">
        <f ca="1">IFERROR(__xludf.DUMMYFUNCTION("""COMPUTED_VALUE"""),1)</f>
        <v>1</v>
      </c>
      <c r="D1739" s="8">
        <f ca="1">IFERROR(__xludf.DUMMYFUNCTION("""COMPUTED_VALUE"""),2018)</f>
        <v>2018</v>
      </c>
      <c r="E1739" s="9">
        <f ca="1">IFERROR(__xludf.DUMMYFUNCTION("""COMPUTED_VALUE"""),43252)</f>
        <v>43252</v>
      </c>
      <c r="F1739" s="8" t="str">
        <f ca="1">IFERROR(__xludf.DUMMYFUNCTION("""COMPUTED_VALUE"""),"McKinney North High School")</f>
        <v>McKinney North High School</v>
      </c>
      <c r="G1739" s="8">
        <f ca="1">IFERROR(__xludf.DUMMYFUNCTION("""COMPUTED_VALUE"""),0)</f>
        <v>0</v>
      </c>
      <c r="H1739" s="8">
        <f ca="1">IFERROR(__xludf.DUMMYFUNCTION("""COMPUTED_VALUE"""),0)</f>
        <v>0</v>
      </c>
      <c r="I1739" s="8">
        <f ca="1">IFERROR(__xludf.DUMMYFUNCTION("""COMPUTED_VALUE"""),0)</f>
        <v>0</v>
      </c>
      <c r="J1739" s="8">
        <f ca="1">IFERROR(__xludf.DUMMYFUNCTION("""COMPUTED_VALUE"""),1)</f>
        <v>1</v>
      </c>
      <c r="K1739" s="8" t="str">
        <f ca="1">IFERROR(__xludf.DUMMYFUNCTION("""COMPUTED_VALUE"""),"http://www.fox4news.com/news/police-shots-fired-a-mckinney-north-high-school-were-self-inflicted
https://www.fox4news.com/news/student-commits-suicide-at-mckinney-north-high-school")</f>
        <v>http://www.fox4news.com/news/police-shots-fired-a-mckinney-north-high-school-were-self-inflicted
https://www.fox4news.com/news/student-commits-suicide-at-mckinney-north-high-school</v>
      </c>
      <c r="L1739" s="8"/>
      <c r="M1739" s="8" t="str">
        <f ca="1">IFERROR(__xludf.DUMMYFUNCTION("""COMPUTED_VALUE"""),"Local")</f>
        <v>Local</v>
      </c>
      <c r="N1739" s="8">
        <f ca="1">IFERROR(__xludf.DUMMYFUNCTION("""COMPUTED_VALUE"""),4)</f>
        <v>4</v>
      </c>
      <c r="O1739" s="8" t="str">
        <f ca="1">IFERROR(__xludf.DUMMYFUNCTION("""COMPUTED_VALUE"""),"Summer")</f>
        <v>Summer</v>
      </c>
      <c r="P1739" s="8" t="str">
        <f ca="1">IFERROR(__xludf.DUMMYFUNCTION("""COMPUTED_VALUE"""),"McKinney")</f>
        <v>McKinney</v>
      </c>
      <c r="Q1739" s="8" t="str">
        <f ca="1">IFERROR(__xludf.DUMMYFUNCTION("""COMPUTED_VALUE"""),"TX")</f>
        <v>TX</v>
      </c>
      <c r="R1739" s="8" t="str">
        <f ca="1">IFERROR(__xludf.DUMMYFUNCTION("""COMPUTED_VALUE"""),"High")</f>
        <v>High</v>
      </c>
      <c r="S1739" s="8" t="str">
        <f ca="1">IFERROR(__xludf.DUMMYFUNCTION("""COMPUTED_VALUE"""),"Classroom")</f>
        <v>Classroom</v>
      </c>
      <c r="T1739" s="8" t="str">
        <f ca="1">IFERROR(__xludf.DUMMYFUNCTION("""COMPUTED_VALUE"""),"Inside School Building")</f>
        <v>Inside School Building</v>
      </c>
      <c r="U1739" s="8" t="str">
        <f ca="1">IFERROR(__xludf.DUMMYFUNCTION("""COMPUTED_VALUE"""),"Yes")</f>
        <v>Yes</v>
      </c>
      <c r="V1739" s="8" t="str">
        <f ca="1">IFERROR(__xludf.DUMMYFUNCTION("""COMPUTED_VALUE"""),"Morning Classes")</f>
        <v>Morning Classes</v>
      </c>
      <c r="W1739" s="8"/>
      <c r="X1739" s="8">
        <f ca="1">IFERROR(__xludf.DUMMYFUNCTION("""COMPUTED_VALUE"""),1)</f>
        <v>1</v>
      </c>
      <c r="Y1739" s="12" t="str">
        <f ca="1">IFERROR(__xludf.DUMMYFUNCTION("""COMPUTED_VALUE"""),"Student commit suicide in classroom")</f>
        <v>Student commit suicide in classroom</v>
      </c>
      <c r="Z1739" s="12" t="str">
        <f ca="1">IFERROR(__xludf.DUMMYFUNCTION("""COMPUTED_VALUE"""),"Student commit suicide in classroom. Found by teacher and student. School locked down following single gunshot.")</f>
        <v>Student commit suicide in classroom. Found by teacher and student. School locked down following single gunshot.</v>
      </c>
      <c r="AA1739" s="8" t="str">
        <f ca="1">IFERROR(__xludf.DUMMYFUNCTION("""COMPUTED_VALUE"""),"Suicide/Attempted")</f>
        <v>Suicide/Attempted</v>
      </c>
      <c r="AB1739" s="8"/>
      <c r="AC1739" s="8" t="str">
        <f ca="1">IFERROR(__xludf.DUMMYFUNCTION("""COMPUTED_VALUE"""),"Yes")</f>
        <v>Yes</v>
      </c>
      <c r="AD1739" s="8" t="str">
        <f ca="1">IFERROR(__xludf.DUMMYFUNCTION("""COMPUTED_VALUE"""),"Victims Targeted")</f>
        <v>Victims Targeted</v>
      </c>
      <c r="AE1739" s="8" t="str">
        <f ca="1">IFERROR(__xludf.DUMMYFUNCTION("""COMPUTED_VALUE"""),"No")</f>
        <v>No</v>
      </c>
      <c r="AF1739" s="8"/>
      <c r="AG1739" s="8" t="str">
        <f ca="1">IFERROR(__xludf.DUMMYFUNCTION("""COMPUTED_VALUE"""),"No")</f>
        <v>No</v>
      </c>
      <c r="AH1739" s="8" t="str">
        <f ca="1">IFERROR(__xludf.DUMMYFUNCTION("""COMPUTED_VALUE"""),"No")</f>
        <v>No</v>
      </c>
      <c r="AI1739" s="8" t="str">
        <f ca="1">IFERROR(__xludf.DUMMYFUNCTION("""COMPUTED_VALUE"""),"No")</f>
        <v>No</v>
      </c>
      <c r="AJ1739" s="8" t="str">
        <f ca="1">IFERROR(__xludf.DUMMYFUNCTION("""COMPUTED_VALUE"""),"No")</f>
        <v>No</v>
      </c>
      <c r="AK1739" s="8" t="str">
        <f ca="1">IFERROR(__xludf.DUMMYFUNCTION("""COMPUTED_VALUE"""),"No")</f>
        <v>No</v>
      </c>
      <c r="AL1739" s="8" t="str">
        <f ca="1">IFERROR(__xludf.DUMMYFUNCTION("""COMPUTED_VALUE"""),"No")</f>
        <v>No</v>
      </c>
      <c r="AM1739" s="8" t="str">
        <f ca="1">IFERROR(__xludf.DUMMYFUNCTION("""COMPUTED_VALUE"""),"No")</f>
        <v>No</v>
      </c>
      <c r="AN1739" s="8"/>
      <c r="AO1739" s="8" t="str">
        <f ca="1">IFERROR(__xludf.DUMMYFUNCTION("""COMPUTED_VALUE"""),"No")</f>
        <v>No</v>
      </c>
      <c r="AP1739" s="8"/>
      <c r="AQ1739" s="8" t="str">
        <f ca="1">IFERROR(__xludf.DUMMYFUNCTION("""COMPUTED_VALUE"""),"Unknown")</f>
        <v>Unknown</v>
      </c>
      <c r="AR1739" s="8" t="str">
        <f ca="1">IFERROR(__xludf.DUMMYFUNCTION("""COMPUTED_VALUE"""),"NA")</f>
        <v>NA</v>
      </c>
      <c r="AS1739" s="8">
        <f ca="1">IFERROR(__xludf.DUMMYFUNCTION("""COMPUTED_VALUE"""),1)</f>
        <v>1</v>
      </c>
      <c r="AT1739" s="8" t="str">
        <f ca="1">IFERROR(__xludf.DUMMYFUNCTION("""COMPUTED_VALUE"""),"Yes")</f>
        <v>Yes</v>
      </c>
      <c r="AU1739" s="8">
        <f ca="1">IFERROR(__xludf.DUMMYFUNCTION("""COMPUTED_VALUE"""),33.231243)</f>
        <v>33.231242999999999</v>
      </c>
      <c r="AV1739" s="8">
        <f ca="1">IFERROR(__xludf.DUMMYFUNCTION("""COMPUTED_VALUE"""),-96.642363)</f>
        <v>-96.642363000000003</v>
      </c>
      <c r="AW1739" s="8"/>
      <c r="AX1739" s="8">
        <f ca="1">IFERROR(__xludf.DUMMYFUNCTION("""COMPUTED_VALUE"""),75071)</f>
        <v>75071</v>
      </c>
    </row>
    <row r="1740" spans="1:50" ht="120" x14ac:dyDescent="0.2">
      <c r="A1740" s="8" t="str">
        <f ca="1">IFERROR(__xludf.DUMMYFUNCTION("""COMPUTED_VALUE"""),"20180525INNON")</f>
        <v>20180525INNON</v>
      </c>
      <c r="B1740" s="8">
        <f ca="1">IFERROR(__xludf.DUMMYFUNCTION("""COMPUTED_VALUE"""),5)</f>
        <v>5</v>
      </c>
      <c r="C1740" s="8">
        <f ca="1">IFERROR(__xludf.DUMMYFUNCTION("""COMPUTED_VALUE"""),25)</f>
        <v>25</v>
      </c>
      <c r="D1740" s="8">
        <f ca="1">IFERROR(__xludf.DUMMYFUNCTION("""COMPUTED_VALUE"""),2018)</f>
        <v>2018</v>
      </c>
      <c r="E1740" s="9">
        <f ca="1">IFERROR(__xludf.DUMMYFUNCTION("""COMPUTED_VALUE"""),43245)</f>
        <v>43245</v>
      </c>
      <c r="F1740" s="8" t="str">
        <f ca="1">IFERROR(__xludf.DUMMYFUNCTION("""COMPUTED_VALUE"""),"Noblesville West Middle School")</f>
        <v>Noblesville West Middle School</v>
      </c>
      <c r="G1740" s="8">
        <f ca="1">IFERROR(__xludf.DUMMYFUNCTION("""COMPUTED_VALUE"""),0)</f>
        <v>0</v>
      </c>
      <c r="H1740" s="8">
        <f ca="1">IFERROR(__xludf.DUMMYFUNCTION("""COMPUTED_VALUE"""),2)</f>
        <v>2</v>
      </c>
      <c r="I1740" s="8">
        <f ca="1">IFERROR(__xludf.DUMMYFUNCTION("""COMPUTED_VALUE"""),2)</f>
        <v>2</v>
      </c>
      <c r="J1740" s="8">
        <f ca="1">IFERROR(__xludf.DUMMYFUNCTION("""COMPUTED_VALUE"""),0)</f>
        <v>0</v>
      </c>
      <c r="K1740" s="8" t="str">
        <f ca="1">IFERROR(__xludf.DUMMYFUNCTION("""COMPUTED_VALUE"""),"https://amp.theguardian.com/us-news/2018/may/26/indiana-teacher-threw-basketball-to-avert-school-shooter
https://www.indystar.com/story/news/crime/2018/05/29/noblesville-indiana-middle-school-shooting-unanswered-questions-shooter-weapons-victims/650866002"&amp;"/")</f>
        <v>https://amp.theguardian.com/us-news/2018/may/26/indiana-teacher-threw-basketball-to-avert-school-shooter
https://www.indystar.com/story/news/crime/2018/05/29/noblesville-indiana-middle-school-shooting-unanswered-questions-shooter-weapons-victims/650866002/</v>
      </c>
      <c r="L1740" s="8">
        <f ca="1">IFERROR(__xludf.DUMMYFUNCTION("""COMPUTED_VALUE"""),100)</f>
        <v>100</v>
      </c>
      <c r="M1740" s="8" t="str">
        <f ca="1">IFERROR(__xludf.DUMMYFUNCTION("""COMPUTED_VALUE"""),"National")</f>
        <v>National</v>
      </c>
      <c r="N1740" s="8">
        <f ca="1">IFERROR(__xludf.DUMMYFUNCTION("""COMPUTED_VALUE"""),4)</f>
        <v>4</v>
      </c>
      <c r="O1740" s="8" t="str">
        <f ca="1">IFERROR(__xludf.DUMMYFUNCTION("""COMPUTED_VALUE"""),"Spring")</f>
        <v>Spring</v>
      </c>
      <c r="P1740" s="8" t="str">
        <f ca="1">IFERROR(__xludf.DUMMYFUNCTION("""COMPUTED_VALUE"""),"Noblesville")</f>
        <v>Noblesville</v>
      </c>
      <c r="Q1740" s="8" t="str">
        <f ca="1">IFERROR(__xludf.DUMMYFUNCTION("""COMPUTED_VALUE"""),"IN")</f>
        <v>IN</v>
      </c>
      <c r="R1740" s="8" t="str">
        <f ca="1">IFERROR(__xludf.DUMMYFUNCTION("""COMPUTED_VALUE"""),"Middle")</f>
        <v>Middle</v>
      </c>
      <c r="S1740" s="8" t="str">
        <f ca="1">IFERROR(__xludf.DUMMYFUNCTION("""COMPUTED_VALUE"""),"Classroom")</f>
        <v>Classroom</v>
      </c>
      <c r="T1740" s="8" t="str">
        <f ca="1">IFERROR(__xludf.DUMMYFUNCTION("""COMPUTED_VALUE"""),"Inside School Building")</f>
        <v>Inside School Building</v>
      </c>
      <c r="U1740" s="8" t="str">
        <f ca="1">IFERROR(__xludf.DUMMYFUNCTION("""COMPUTED_VALUE"""),"Yes")</f>
        <v>Yes</v>
      </c>
      <c r="V1740" s="8" t="str">
        <f ca="1">IFERROR(__xludf.DUMMYFUNCTION("""COMPUTED_VALUE"""),"Morning Classes")</f>
        <v>Morning Classes</v>
      </c>
      <c r="W1740" s="11">
        <f ca="1">IFERROR(__xludf.DUMMYFUNCTION("""COMPUTED_VALUE"""),0.375)</f>
        <v>0.375</v>
      </c>
      <c r="X1740" s="8">
        <f ca="1">IFERROR(__xludf.DUMMYFUNCTION("""COMPUTED_VALUE"""),1)</f>
        <v>1</v>
      </c>
      <c r="Y1740" s="12" t="str">
        <f ca="1">IFERROR(__xludf.DUMMYFUNCTION("""COMPUTED_VALUE"""),"Planned attack by student, stopped by teacher")</f>
        <v>Planned attack by student, stopped by teacher</v>
      </c>
      <c r="Z1740" s="12" t="str">
        <f ca="1">IFERROR(__xludf.DUMMYFUNCTION("""COMPUTED_VALUE"""),"Shooter (male student) asked to be excused, walked back into classroom and pulled two handguns from his pockets. Shooter fired and wounded a female student. Teacher was holding a basketball and threw it at the shooter then tackled him. Teacher was shot 3 "&amp;"times while charging at the shooter. Teacher was able to hold the student down until police arrived. Shooter was reported as a ""nice funny guy"". Weapons: .22 and .45")</f>
        <v>Shooter (male student) asked to be excused, walked back into classroom and pulled two handguns from his pockets. Shooter fired and wounded a female student. Teacher was holding a basketball and threw it at the shooter then tackled him. Teacher was shot 3 times while charging at the shooter. Teacher was able to hold the student down until police arrived. Shooter was reported as a "nice funny guy". Weapons: .22 and .45</v>
      </c>
      <c r="AA1740" s="8" t="str">
        <f ca="1">IFERROR(__xludf.DUMMYFUNCTION("""COMPUTED_VALUE"""),"Indiscriminate Shooting")</f>
        <v>Indiscriminate Shooting</v>
      </c>
      <c r="AB1740" s="8"/>
      <c r="AC1740" s="8" t="str">
        <f ca="1">IFERROR(__xludf.DUMMYFUNCTION("""COMPUTED_VALUE"""),"Yes")</f>
        <v>Yes</v>
      </c>
      <c r="AD1740" s="8" t="str">
        <f ca="1">IFERROR(__xludf.DUMMYFUNCTION("""COMPUTED_VALUE"""),"Victims Targeted")</f>
        <v>Victims Targeted</v>
      </c>
      <c r="AE1740" s="8" t="str">
        <f ca="1">IFERROR(__xludf.DUMMYFUNCTION("""COMPUTED_VALUE"""),"No")</f>
        <v>No</v>
      </c>
      <c r="AF1740" s="8"/>
      <c r="AG1740" s="8" t="str">
        <f ca="1">IFERROR(__xludf.DUMMYFUNCTION("""COMPUTED_VALUE"""),"No")</f>
        <v>No</v>
      </c>
      <c r="AH1740" s="8" t="str">
        <f ca="1">IFERROR(__xludf.DUMMYFUNCTION("""COMPUTED_VALUE"""),"No")</f>
        <v>No</v>
      </c>
      <c r="AI1740" s="8" t="str">
        <f ca="1">IFERROR(__xludf.DUMMYFUNCTION("""COMPUTED_VALUE"""),"No")</f>
        <v>No</v>
      </c>
      <c r="AJ1740" s="8" t="str">
        <f ca="1">IFERROR(__xludf.DUMMYFUNCTION("""COMPUTED_VALUE"""),"No")</f>
        <v>No</v>
      </c>
      <c r="AK1740" s="8" t="str">
        <f ca="1">IFERROR(__xludf.DUMMYFUNCTION("""COMPUTED_VALUE"""),"No")</f>
        <v>No</v>
      </c>
      <c r="AL1740" s="8" t="str">
        <f ca="1">IFERROR(__xludf.DUMMYFUNCTION("""COMPUTED_VALUE"""),"No")</f>
        <v>No</v>
      </c>
      <c r="AM1740" s="8" t="str">
        <f ca="1">IFERROR(__xludf.DUMMYFUNCTION("""COMPUTED_VALUE"""),"Yes")</f>
        <v>Yes</v>
      </c>
      <c r="AN1740" s="8" t="str">
        <f ca="1">IFERROR(__xludf.DUMMYFUNCTION("""COMPUTED_VALUE"""),"Single Room")</f>
        <v>Single Room</v>
      </c>
      <c r="AO1740" s="8" t="str">
        <f ca="1">IFERROR(__xludf.DUMMYFUNCTION("""COMPUTED_VALUE"""),"Yes")</f>
        <v>Yes</v>
      </c>
      <c r="AP1740" s="8" t="str">
        <f ca="1">IFERROR(__xludf.DUMMYFUNCTION("""COMPUTED_VALUE"""),"Yes")</f>
        <v>Yes</v>
      </c>
      <c r="AQ1740" s="8" t="str">
        <f ca="1">IFERROR(__xludf.DUMMYFUNCTION("""COMPUTED_VALUE"""),"None")</f>
        <v>None</v>
      </c>
      <c r="AR1740" s="8" t="str">
        <f ca="1">IFERROR(__xludf.DUMMYFUNCTION("""COMPUTED_VALUE"""),"NA")</f>
        <v>NA</v>
      </c>
      <c r="AS1740" s="8">
        <f ca="1">IFERROR(__xludf.DUMMYFUNCTION("""COMPUTED_VALUE"""),10)</f>
        <v>10</v>
      </c>
      <c r="AT1740" s="8"/>
      <c r="AU1740" s="8">
        <f ca="1">IFERROR(__xludf.DUMMYFUNCTION("""COMPUTED_VALUE"""),40.077431)</f>
        <v>40.077430999999997</v>
      </c>
      <c r="AV1740" s="8">
        <f ca="1">IFERROR(__xludf.DUMMYFUNCTION("""COMPUTED_VALUE"""),-86.030823)</f>
        <v>-86.030822999999998</v>
      </c>
      <c r="AW1740" s="8"/>
      <c r="AX1740" s="8">
        <f ca="1">IFERROR(__xludf.DUMMYFUNCTION("""COMPUTED_VALUE"""),46062)</f>
        <v>46062</v>
      </c>
    </row>
    <row r="1741" spans="1:50" ht="60" x14ac:dyDescent="0.2">
      <c r="A1741" s="8" t="str">
        <f ca="1">IFERROR(__xludf.DUMMYFUNCTION("""COMPUTED_VALUE"""),"20180521GABEG")</f>
        <v>20180521GABEG</v>
      </c>
      <c r="B1741" s="8">
        <f ca="1">IFERROR(__xludf.DUMMYFUNCTION("""COMPUTED_VALUE"""),5)</f>
        <v>5</v>
      </c>
      <c r="C1741" s="8">
        <f ca="1">IFERROR(__xludf.DUMMYFUNCTION("""COMPUTED_VALUE"""),21)</f>
        <v>21</v>
      </c>
      <c r="D1741" s="8">
        <f ca="1">IFERROR(__xludf.DUMMYFUNCTION("""COMPUTED_VALUE"""),2018)</f>
        <v>2018</v>
      </c>
      <c r="E1741" s="9">
        <f ca="1">IFERROR(__xludf.DUMMYFUNCTION("""COMPUTED_VALUE"""),43241)</f>
        <v>43241</v>
      </c>
      <c r="F1741" s="8" t="str">
        <f ca="1">IFERROR(__xludf.DUMMYFUNCTION("""COMPUTED_VALUE"""),"Beaverbrook Elementary School")</f>
        <v>Beaverbrook Elementary School</v>
      </c>
      <c r="G1741" s="8">
        <f ca="1">IFERROR(__xludf.DUMMYFUNCTION("""COMPUTED_VALUE"""),0)</f>
        <v>0</v>
      </c>
      <c r="H1741" s="8">
        <f ca="1">IFERROR(__xludf.DUMMYFUNCTION("""COMPUTED_VALUE"""),1)</f>
        <v>1</v>
      </c>
      <c r="I1741" s="8">
        <f ca="1">IFERROR(__xludf.DUMMYFUNCTION("""COMPUTED_VALUE"""),1)</f>
        <v>1</v>
      </c>
      <c r="J1741" s="8">
        <f ca="1">IFERROR(__xludf.DUMMYFUNCTION("""COMPUTED_VALUE"""),0)</f>
        <v>0</v>
      </c>
      <c r="K1741" s="10" t="str">
        <f ca="1">IFERROR(__xludf.DUMMYFUNCTION("""COMPUTED_VALUE"""),"https://www.wsbtv.com/news/local/breaking-personshot-in-elementary-school-parking-lot/753941792")</f>
        <v>https://www.wsbtv.com/news/local/breaking-personshot-in-elementary-school-parking-lot/753941792</v>
      </c>
      <c r="L1741" s="8"/>
      <c r="M1741" s="8"/>
      <c r="N1741" s="8">
        <f ca="1">IFERROR(__xludf.DUMMYFUNCTION("""COMPUTED_VALUE"""),2)</f>
        <v>2</v>
      </c>
      <c r="O1741" s="8" t="str">
        <f ca="1">IFERROR(__xludf.DUMMYFUNCTION("""COMPUTED_VALUE"""),"Spring")</f>
        <v>Spring</v>
      </c>
      <c r="P1741" s="8" t="str">
        <f ca="1">IFERROR(__xludf.DUMMYFUNCTION("""COMPUTED_VALUE"""),"Griffin")</f>
        <v>Griffin</v>
      </c>
      <c r="Q1741" s="8" t="str">
        <f ca="1">IFERROR(__xludf.DUMMYFUNCTION("""COMPUTED_VALUE"""),"GA")</f>
        <v>GA</v>
      </c>
      <c r="R1741" s="8" t="str">
        <f ca="1">IFERROR(__xludf.DUMMYFUNCTION("""COMPUTED_VALUE"""),"High")</f>
        <v>High</v>
      </c>
      <c r="S1741" s="8" t="str">
        <f ca="1">IFERROR(__xludf.DUMMYFUNCTION("""COMPUTED_VALUE"""),"Parking Lot")</f>
        <v>Parking Lot</v>
      </c>
      <c r="T1741" s="8" t="str">
        <f ca="1">IFERROR(__xludf.DUMMYFUNCTION("""COMPUTED_VALUE"""),"Outside on School Property")</f>
        <v>Outside on School Property</v>
      </c>
      <c r="U1741" s="8" t="str">
        <f ca="1">IFERROR(__xludf.DUMMYFUNCTION("""COMPUTED_VALUE"""),"Yes")</f>
        <v>Yes</v>
      </c>
      <c r="V1741" s="8" t="str">
        <f ca="1">IFERROR(__xludf.DUMMYFUNCTION("""COMPUTED_VALUE"""),"Afternoon Classes")</f>
        <v>Afternoon Classes</v>
      </c>
      <c r="W1741" s="8"/>
      <c r="X1741" s="8">
        <f ca="1">IFERROR(__xludf.DUMMYFUNCTION("""COMPUTED_VALUE"""),1)</f>
        <v>1</v>
      </c>
      <c r="Y1741" s="12" t="str">
        <f ca="1">IFERROR(__xludf.DUMMYFUNCTION("""COMPUTED_VALUE"""),"Woman shot in school parking lot")</f>
        <v>Woman shot in school parking lot</v>
      </c>
      <c r="Z1741" s="12" t="str">
        <f ca="1">IFERROR(__xludf.DUMMYFUNCTION("""COMPUTED_VALUE"""),"Woman shot in the parking lot. Police said the shooting was unrelated to the school and students were not in danger. No suspect or motive identified. Unclear if shooting was intentional or targeted.")</f>
        <v>Woman shot in the parking lot. Police said the shooting was unrelated to the school and students were not in danger. No suspect or motive identified. Unclear if shooting was intentional or targeted.</v>
      </c>
      <c r="AA1741" s="8" t="str">
        <f ca="1">IFERROR(__xludf.DUMMYFUNCTION("""COMPUTED_VALUE"""),"Unknown")</f>
        <v>Unknown</v>
      </c>
      <c r="AB1741" s="8"/>
      <c r="AC1741" s="8" t="str">
        <f ca="1">IFERROR(__xludf.DUMMYFUNCTION("""COMPUTED_VALUE"""),"No")</f>
        <v>No</v>
      </c>
      <c r="AD1741" s="8" t="str">
        <f ca="1">IFERROR(__xludf.DUMMYFUNCTION("""COMPUTED_VALUE"""),"Random Shooting")</f>
        <v>Random Shooting</v>
      </c>
      <c r="AE1741" s="8"/>
      <c r="AF1741" s="8"/>
      <c r="AG1741" s="8" t="str">
        <f ca="1">IFERROR(__xludf.DUMMYFUNCTION("""COMPUTED_VALUE"""),"No")</f>
        <v>No</v>
      </c>
      <c r="AH1741" s="8" t="str">
        <f ca="1">IFERROR(__xludf.DUMMYFUNCTION("""COMPUTED_VALUE"""),"No")</f>
        <v>No</v>
      </c>
      <c r="AI1741" s="8" t="str">
        <f ca="1">IFERROR(__xludf.DUMMYFUNCTION("""COMPUTED_VALUE"""),"No")</f>
        <v>No</v>
      </c>
      <c r="AJ1741" s="8" t="str">
        <f ca="1">IFERROR(__xludf.DUMMYFUNCTION("""COMPUTED_VALUE"""),"No")</f>
        <v>No</v>
      </c>
      <c r="AK1741" s="8" t="str">
        <f ca="1">IFERROR(__xludf.DUMMYFUNCTION("""COMPUTED_VALUE"""),"No")</f>
        <v>No</v>
      </c>
      <c r="AL1741" s="8" t="str">
        <f ca="1">IFERROR(__xludf.DUMMYFUNCTION("""COMPUTED_VALUE"""),"No")</f>
        <v>No</v>
      </c>
      <c r="AM1741" s="8" t="str">
        <f ca="1">IFERROR(__xludf.DUMMYFUNCTION("""COMPUTED_VALUE"""),"No")</f>
        <v>No</v>
      </c>
      <c r="AN1741" s="8"/>
      <c r="AO1741" s="8" t="str">
        <f ca="1">IFERROR(__xludf.DUMMYFUNCTION("""COMPUTED_VALUE"""),"No")</f>
        <v>No</v>
      </c>
      <c r="AP1741" s="8"/>
      <c r="AQ1741" s="8" t="str">
        <f ca="1">IFERROR(__xludf.DUMMYFUNCTION("""COMPUTED_VALUE"""),"Unknown")</f>
        <v>Unknown</v>
      </c>
      <c r="AR1741" s="8" t="str">
        <f ca="1">IFERROR(__xludf.DUMMYFUNCTION("""COMPUTED_VALUE"""),"NA")</f>
        <v>NA</v>
      </c>
      <c r="AS1741" s="8">
        <f ca="1">IFERROR(__xludf.DUMMYFUNCTION("""COMPUTED_VALUE"""),1)</f>
        <v>1</v>
      </c>
      <c r="AT1741" s="8"/>
      <c r="AU1741" s="8">
        <f ca="1">IFERROR(__xludf.DUMMYFUNCTION("""COMPUTED_VALUE"""),33.321201)</f>
        <v>33.321201000000002</v>
      </c>
      <c r="AV1741" s="8">
        <f ca="1">IFERROR(__xludf.DUMMYFUNCTION("""COMPUTED_VALUE"""),-84.295784)</f>
        <v>-84.295783999999998</v>
      </c>
      <c r="AW1741" s="8"/>
      <c r="AX1741" s="8"/>
    </row>
    <row r="1742" spans="1:50" ht="135" x14ac:dyDescent="0.2">
      <c r="A1742" s="8" t="str">
        <f ca="1">IFERROR(__xludf.DUMMYFUNCTION("""COMPUTED_VALUE"""),"20180518TXSAS")</f>
        <v>20180518TXSAS</v>
      </c>
      <c r="B1742" s="8">
        <f ca="1">IFERROR(__xludf.DUMMYFUNCTION("""COMPUTED_VALUE"""),5)</f>
        <v>5</v>
      </c>
      <c r="C1742" s="8">
        <f ca="1">IFERROR(__xludf.DUMMYFUNCTION("""COMPUTED_VALUE"""),18)</f>
        <v>18</v>
      </c>
      <c r="D1742" s="8">
        <f ca="1">IFERROR(__xludf.DUMMYFUNCTION("""COMPUTED_VALUE"""),2018)</f>
        <v>2018</v>
      </c>
      <c r="E1742" s="9">
        <f ca="1">IFERROR(__xludf.DUMMYFUNCTION("""COMPUTED_VALUE"""),43238)</f>
        <v>43238</v>
      </c>
      <c r="F1742" s="8" t="str">
        <f ca="1">IFERROR(__xludf.DUMMYFUNCTION("""COMPUTED_VALUE"""),"Santa Fe High School")</f>
        <v>Santa Fe High School</v>
      </c>
      <c r="G1742" s="8">
        <f ca="1">IFERROR(__xludf.DUMMYFUNCTION("""COMPUTED_VALUE"""),10)</f>
        <v>10</v>
      </c>
      <c r="H1742" s="8">
        <f ca="1">IFERROR(__xludf.DUMMYFUNCTION("""COMPUTED_VALUE"""),13)</f>
        <v>13</v>
      </c>
      <c r="I1742" s="8">
        <f ca="1">IFERROR(__xludf.DUMMYFUNCTION("""COMPUTED_VALUE"""),23)</f>
        <v>23</v>
      </c>
      <c r="J1742" s="8">
        <f ca="1">IFERROR(__xludf.DUMMYFUNCTION("""COMPUTED_VALUE"""),0)</f>
        <v>0</v>
      </c>
      <c r="K1742" s="8" t="str">
        <f ca="1">IFERROR(__xludf.DUMMYFUNCTION("""COMPUTED_VALUE"""),"https://www.wsj.com/articles/dont-scream-how-the-texas-school-shooting-unfolded-1526843867 https://www.cnn.com/2019/11/04/us/santa-fe-school-shooter-incompetent-for-trial/index.html https://www.usatoday.com/story/news/nation/2018/05/19/texas-shooter-no-de"&amp;"ath-penalty/626609002/")</f>
        <v>https://www.wsj.com/articles/dont-scream-how-the-texas-school-shooting-unfolded-1526843867 https://www.cnn.com/2019/11/04/us/santa-fe-school-shooter-incompetent-for-trial/index.html https://www.usatoday.com/story/news/nation/2018/05/19/texas-shooter-no-death-penalty/626609002/</v>
      </c>
      <c r="L1742" s="8"/>
      <c r="M1742" s="8" t="str">
        <f ca="1">IFERROR(__xludf.DUMMYFUNCTION("""COMPUTED_VALUE"""),"National")</f>
        <v>National</v>
      </c>
      <c r="N1742" s="8">
        <f ca="1">IFERROR(__xludf.DUMMYFUNCTION("""COMPUTED_VALUE"""),5)</f>
        <v>5</v>
      </c>
      <c r="O1742" s="8" t="str">
        <f ca="1">IFERROR(__xludf.DUMMYFUNCTION("""COMPUTED_VALUE"""),"Spring")</f>
        <v>Spring</v>
      </c>
      <c r="P1742" s="8" t="str">
        <f ca="1">IFERROR(__xludf.DUMMYFUNCTION("""COMPUTED_VALUE"""),"Santa Fe")</f>
        <v>Santa Fe</v>
      </c>
      <c r="Q1742" s="8" t="str">
        <f ca="1">IFERROR(__xludf.DUMMYFUNCTION("""COMPUTED_VALUE"""),"TX")</f>
        <v>TX</v>
      </c>
      <c r="R1742" s="8" t="str">
        <f ca="1">IFERROR(__xludf.DUMMYFUNCTION("""COMPUTED_VALUE"""),"High")</f>
        <v>High</v>
      </c>
      <c r="S1742" s="8" t="str">
        <f ca="1">IFERROR(__xludf.DUMMYFUNCTION("""COMPUTED_VALUE"""),"Classroom")</f>
        <v>Classroom</v>
      </c>
      <c r="T1742" s="8" t="str">
        <f ca="1">IFERROR(__xludf.DUMMYFUNCTION("""COMPUTED_VALUE"""),"Inside School Building")</f>
        <v>Inside School Building</v>
      </c>
      <c r="U1742" s="8" t="str">
        <f ca="1">IFERROR(__xludf.DUMMYFUNCTION("""COMPUTED_VALUE"""),"Yes")</f>
        <v>Yes</v>
      </c>
      <c r="V1742" s="8" t="str">
        <f ca="1">IFERROR(__xludf.DUMMYFUNCTION("""COMPUTED_VALUE"""),"Morning Classes")</f>
        <v>Morning Classes</v>
      </c>
      <c r="W1742" s="11">
        <f ca="1">IFERROR(__xludf.DUMMYFUNCTION("""COMPUTED_VALUE"""),0.322916666666666)</f>
        <v>0.32291666666666602</v>
      </c>
      <c r="X1742" s="8">
        <f ca="1">IFERROR(__xludf.DUMMYFUNCTION("""COMPUTED_VALUE"""),32)</f>
        <v>32</v>
      </c>
      <c r="Y1742" s="12" t="str">
        <f ca="1">IFERROR(__xludf.DUMMYFUNCTION("""COMPUTED_VALUE"""),"Planned attack after bullying, 30 minute standoff with police before surrendering")</f>
        <v>Planned attack after bullying, 30 minute standoff with police before surrendering</v>
      </c>
      <c r="Z1742" s="12" t="str">
        <f ca="1">IFERROR(__xludf.DUMMYFUNCTION("""COMPUTED_VALUE"""),"Shooter wore a black trench coat and walked into art classroom. Shot multiple teachers and students. Did not shoot students he liked so they could tell the story. Engaged by a SRO and shooter fired striking the SRO. Shooter was barricaded in classroom for"&amp;" approximately 30 minutes before surrendering to police. Shooter had extensive planning documents. IEDs were found at school and at shooter's home. Online postings about being ""born to kill"" and photos of extremist paraphernalia. Extensive bullying.")</f>
        <v>Shooter wore a black trench coat and walked into art classroom. Shot multiple teachers and students. Did not shoot students he liked so they could tell the story. Engaged by a SRO and shooter fired striking the SRO. Shooter was barricaded in classroom for approximately 30 minutes before surrendering to police. Shooter had extensive planning documents. IEDs were found at school and at shooter's home. Online postings about being "born to kill" and photos of extremist paraphernalia. Extensive bullying.</v>
      </c>
      <c r="AA1742" s="8" t="str">
        <f ca="1">IFERROR(__xludf.DUMMYFUNCTION("""COMPUTED_VALUE"""),"Indiscriminate Shooting")</f>
        <v>Indiscriminate Shooting</v>
      </c>
      <c r="AB1742" s="8"/>
      <c r="AC1742" s="8" t="str">
        <f ca="1">IFERROR(__xludf.DUMMYFUNCTION("""COMPUTED_VALUE"""),"Yes")</f>
        <v>Yes</v>
      </c>
      <c r="AD1742" s="8" t="str">
        <f ca="1">IFERROR(__xludf.DUMMYFUNCTION("""COMPUTED_VALUE"""),"Both")</f>
        <v>Both</v>
      </c>
      <c r="AE1742" s="8" t="str">
        <f ca="1">IFERROR(__xludf.DUMMYFUNCTION("""COMPUTED_VALUE"""),"No")</f>
        <v>No</v>
      </c>
      <c r="AF1742" s="8"/>
      <c r="AG1742" s="8" t="str">
        <f ca="1">IFERROR(__xludf.DUMMYFUNCTION("""COMPUTED_VALUE"""),"No")</f>
        <v>No</v>
      </c>
      <c r="AH1742" s="8" t="str">
        <f ca="1">IFERROR(__xludf.DUMMYFUNCTION("""COMPUTED_VALUE"""),"Yes")</f>
        <v>Yes</v>
      </c>
      <c r="AI1742" s="8" t="str">
        <f ca="1">IFERROR(__xludf.DUMMYFUNCTION("""COMPUTED_VALUE"""),"No")</f>
        <v>No</v>
      </c>
      <c r="AJ1742" s="8" t="str">
        <f ca="1">IFERROR(__xludf.DUMMYFUNCTION("""COMPUTED_VALUE"""),"Yes")</f>
        <v>Yes</v>
      </c>
      <c r="AK1742" s="8" t="str">
        <f ca="1">IFERROR(__xludf.DUMMYFUNCTION("""COMPUTED_VALUE"""),"No")</f>
        <v>No</v>
      </c>
      <c r="AL1742" s="8" t="str">
        <f ca="1">IFERROR(__xludf.DUMMYFUNCTION("""COMPUTED_VALUE"""),"No")</f>
        <v>No</v>
      </c>
      <c r="AM1742" s="8" t="str">
        <f ca="1">IFERROR(__xludf.DUMMYFUNCTION("""COMPUTED_VALUE"""),"Yes")</f>
        <v>Yes</v>
      </c>
      <c r="AN1742" s="8" t="str">
        <f ca="1">IFERROR(__xludf.DUMMYFUNCTION("""COMPUTED_VALUE"""),"Multiple Rooms")</f>
        <v>Multiple Rooms</v>
      </c>
      <c r="AO1742" s="8" t="str">
        <f ca="1">IFERROR(__xludf.DUMMYFUNCTION("""COMPUTED_VALUE"""),"Yes")</f>
        <v>Yes</v>
      </c>
      <c r="AP1742" s="8" t="str">
        <f ca="1">IFERROR(__xludf.DUMMYFUNCTION("""COMPUTED_VALUE"""),"Yes")</f>
        <v>Yes</v>
      </c>
      <c r="AQ1742" s="8" t="str">
        <f ca="1">IFERROR(__xludf.DUMMYFUNCTION("""COMPUTED_VALUE"""),"None")</f>
        <v>None</v>
      </c>
      <c r="AR1742" s="8" t="str">
        <f ca="1">IFERROR(__xludf.DUMMYFUNCTION("""COMPUTED_VALUE"""),"NA")</f>
        <v>NA</v>
      </c>
      <c r="AS1742" s="8"/>
      <c r="AT1742" s="8" t="str">
        <f ca="1">IFERROR(__xludf.DUMMYFUNCTION("""COMPUTED_VALUE"""),"Yes")</f>
        <v>Yes</v>
      </c>
      <c r="AU1742" s="8">
        <f ca="1">IFERROR(__xludf.DUMMYFUNCTION("""COMPUTED_VALUE"""),29.393257)</f>
        <v>29.393256999999998</v>
      </c>
      <c r="AV1742" s="8">
        <f ca="1">IFERROR(__xludf.DUMMYFUNCTION("""COMPUTED_VALUE"""),-95.143149)</f>
        <v>-95.143148999999994</v>
      </c>
      <c r="AW1742" s="8"/>
      <c r="AX1742" s="8">
        <f ca="1">IFERROR(__xludf.DUMMYFUNCTION("""COMPUTED_VALUE"""),77517)</f>
        <v>77517</v>
      </c>
    </row>
    <row r="1743" spans="1:50" ht="60" x14ac:dyDescent="0.2">
      <c r="A1743" s="8" t="str">
        <f ca="1">IFERROR(__xludf.DUMMYFUNCTION("""COMPUTED_VALUE"""),"20180518GAMOA")</f>
        <v>20180518GAMOA</v>
      </c>
      <c r="B1743" s="8">
        <f ca="1">IFERROR(__xludf.DUMMYFUNCTION("""COMPUTED_VALUE"""),5)</f>
        <v>5</v>
      </c>
      <c r="C1743" s="8">
        <f ca="1">IFERROR(__xludf.DUMMYFUNCTION("""COMPUTED_VALUE"""),18)</f>
        <v>18</v>
      </c>
      <c r="D1743" s="8">
        <f ca="1">IFERROR(__xludf.DUMMYFUNCTION("""COMPUTED_VALUE"""),2018)</f>
        <v>2018</v>
      </c>
      <c r="E1743" s="9">
        <f ca="1">IFERROR(__xludf.DUMMYFUNCTION("""COMPUTED_VALUE"""),43238)</f>
        <v>43238</v>
      </c>
      <c r="F1743" s="8" t="str">
        <f ca="1">IFERROR(__xludf.DUMMYFUNCTION("""COMPUTED_VALUE"""),"Mount Zion High School")</f>
        <v>Mount Zion High School</v>
      </c>
      <c r="G1743" s="8">
        <f ca="1">IFERROR(__xludf.DUMMYFUNCTION("""COMPUTED_VALUE"""),1)</f>
        <v>1</v>
      </c>
      <c r="H1743" s="8">
        <f ca="1">IFERROR(__xludf.DUMMYFUNCTION("""COMPUTED_VALUE"""),2)</f>
        <v>2</v>
      </c>
      <c r="I1743" s="8">
        <f ca="1">IFERROR(__xludf.DUMMYFUNCTION("""COMPUTED_VALUE"""),3)</f>
        <v>3</v>
      </c>
      <c r="J1743" s="8">
        <f ca="1">IFERROR(__xludf.DUMMYFUNCTION("""COMPUTED_VALUE"""),0)</f>
        <v>0</v>
      </c>
      <c r="K1743" s="8" t="str">
        <f ca="1">IFERROR(__xludf.DUMMYFUNCTION("""COMPUTED_VALUE"""),"https://www.usatoday.com/story/news/nation/2018/05/18/georgia-school-shooting-graduation/625528002/ . https://www.washingtonpost.com/news/post-nation/wp/2018/05/18/one-killed-two-injured-in-shooting-after-georgia-high-school-graduation-report-says/?noredi"&amp;"rect=on&amp;utm_term=.08de19a04109")</f>
        <v>https://www.usatoday.com/story/news/nation/2018/05/18/georgia-school-shooting-graduation/625528002/ . https://www.washingtonpost.com/news/post-nation/wp/2018/05/18/one-killed-two-injured-in-shooting-after-georgia-high-school-graduation-report-says/?noredirect=on&amp;utm_term=.08de19a04109</v>
      </c>
      <c r="L1743" s="8"/>
      <c r="M1743" s="8"/>
      <c r="N1743" s="8">
        <f ca="1">IFERROR(__xludf.DUMMYFUNCTION("""COMPUTED_VALUE"""),2)</f>
        <v>2</v>
      </c>
      <c r="O1743" s="8" t="str">
        <f ca="1">IFERROR(__xludf.DUMMYFUNCTION("""COMPUTED_VALUE"""),"Spring")</f>
        <v>Spring</v>
      </c>
      <c r="P1743" s="8" t="str">
        <f ca="1">IFERROR(__xludf.DUMMYFUNCTION("""COMPUTED_VALUE"""),"Atlanta")</f>
        <v>Atlanta</v>
      </c>
      <c r="Q1743" s="8" t="str">
        <f ca="1">IFERROR(__xludf.DUMMYFUNCTION("""COMPUTED_VALUE"""),"GA")</f>
        <v>GA</v>
      </c>
      <c r="R1743" s="8" t="str">
        <f ca="1">IFERROR(__xludf.DUMMYFUNCTION("""COMPUTED_VALUE"""),"High")</f>
        <v>High</v>
      </c>
      <c r="S1743" s="8" t="str">
        <f ca="1">IFERROR(__xludf.DUMMYFUNCTION("""COMPUTED_VALUE"""),"Parking Lot")</f>
        <v>Parking Lot</v>
      </c>
      <c r="T1743" s="8" t="str">
        <f ca="1">IFERROR(__xludf.DUMMYFUNCTION("""COMPUTED_VALUE"""),"Outside on School Property")</f>
        <v>Outside on School Property</v>
      </c>
      <c r="U1743" s="8" t="str">
        <f ca="1">IFERROR(__xludf.DUMMYFUNCTION("""COMPUTED_VALUE"""),"No")</f>
        <v>No</v>
      </c>
      <c r="V1743" s="8" t="str">
        <f ca="1">IFERROR(__xludf.DUMMYFUNCTION("""COMPUTED_VALUE"""),"School Event")</f>
        <v>School Event</v>
      </c>
      <c r="W1743" s="8"/>
      <c r="X1743" s="8">
        <f ca="1">IFERROR(__xludf.DUMMYFUNCTION("""COMPUTED_VALUE"""),1)</f>
        <v>1</v>
      </c>
      <c r="Y1743" s="12" t="str">
        <f ca="1">IFERROR(__xludf.DUMMYFUNCTION("""COMPUTED_VALUE"""),"Shots fired during argument in school parking lot")</f>
        <v>Shots fired during argument in school parking lot</v>
      </c>
      <c r="Z1743" s="12" t="str">
        <f ca="1">IFERROR(__xludf.DUMMYFUNCTION("""COMPUTED_VALUE"""),"Shots fired during an argument in the parking lot of the school following graduation. Woman in her 40's was shot multiple times and killed. Two other bystanders were hit by shots. Shooter was not identified and fled the scene.")</f>
        <v>Shots fired during an argument in the parking lot of the school following graduation. Woman in her 40's was shot multiple times and killed. Two other bystanders were hit by shots. Shooter was not identified and fled the scene.</v>
      </c>
      <c r="AA1743" s="8" t="str">
        <f ca="1">IFERROR(__xludf.DUMMYFUNCTION("""COMPUTED_VALUE"""),"Escalation of Dispute")</f>
        <v>Escalation of Dispute</v>
      </c>
      <c r="AB1743" s="8"/>
      <c r="AC1743" s="8" t="str">
        <f ca="1">IFERROR(__xludf.DUMMYFUNCTION("""COMPUTED_VALUE"""),"Yes")</f>
        <v>Yes</v>
      </c>
      <c r="AD1743" s="8" t="str">
        <f ca="1">IFERROR(__xludf.DUMMYFUNCTION("""COMPUTED_VALUE"""),"Both")</f>
        <v>Both</v>
      </c>
      <c r="AE1743" s="8"/>
      <c r="AF1743" s="8"/>
      <c r="AG1743" s="8" t="str">
        <f ca="1">IFERROR(__xludf.DUMMYFUNCTION("""COMPUTED_VALUE"""),"No")</f>
        <v>No</v>
      </c>
      <c r="AH1743" s="8" t="str">
        <f ca="1">IFERROR(__xludf.DUMMYFUNCTION("""COMPUTED_VALUE"""),"No")</f>
        <v>No</v>
      </c>
      <c r="AI1743" s="8" t="str">
        <f ca="1">IFERROR(__xludf.DUMMYFUNCTION("""COMPUTED_VALUE"""),"No")</f>
        <v>No</v>
      </c>
      <c r="AJ1743" s="8" t="str">
        <f ca="1">IFERROR(__xludf.DUMMYFUNCTION("""COMPUTED_VALUE"""),"No")</f>
        <v>No</v>
      </c>
      <c r="AK1743" s="8" t="str">
        <f ca="1">IFERROR(__xludf.DUMMYFUNCTION("""COMPUTED_VALUE"""),"No")</f>
        <v>No</v>
      </c>
      <c r="AL1743" s="8" t="str">
        <f ca="1">IFERROR(__xludf.DUMMYFUNCTION("""COMPUTED_VALUE"""),"No")</f>
        <v>No</v>
      </c>
      <c r="AM1743" s="8" t="str">
        <f ca="1">IFERROR(__xludf.DUMMYFUNCTION("""COMPUTED_VALUE"""),"No")</f>
        <v>No</v>
      </c>
      <c r="AN1743" s="8"/>
      <c r="AO1743" s="8" t="str">
        <f ca="1">IFERROR(__xludf.DUMMYFUNCTION("""COMPUTED_VALUE"""),"No")</f>
        <v>No</v>
      </c>
      <c r="AP1743" s="8"/>
      <c r="AQ1743" s="8" t="str">
        <f ca="1">IFERROR(__xludf.DUMMYFUNCTION("""COMPUTED_VALUE"""),"Unknown")</f>
        <v>Unknown</v>
      </c>
      <c r="AR1743" s="8" t="str">
        <f ca="1">IFERROR(__xludf.DUMMYFUNCTION("""COMPUTED_VALUE"""),"NA")</f>
        <v>NA</v>
      </c>
      <c r="AS1743" s="8"/>
      <c r="AT1743" s="8"/>
      <c r="AU1743" s="8">
        <f ca="1">IFERROR(__xludf.DUMMYFUNCTION("""COMPUTED_VALUE"""),33.553857)</f>
        <v>33.553857000000001</v>
      </c>
      <c r="AV1743" s="8">
        <f ca="1">IFERROR(__xludf.DUMMYFUNCTION("""COMPUTED_VALUE"""),-84.311508)</f>
        <v>-84.311508000000003</v>
      </c>
      <c r="AW1743" s="8"/>
      <c r="AX1743" s="8">
        <f ca="1">IFERROR(__xludf.DUMMYFUNCTION("""COMPUTED_VALUE"""),30236)</f>
        <v>30236</v>
      </c>
    </row>
    <row r="1744" spans="1:50" ht="60" x14ac:dyDescent="0.2">
      <c r="A1744" s="8" t="str">
        <f ca="1">IFERROR(__xludf.DUMMYFUNCTION("""COMPUTED_VALUE"""),"20180517MOCEK")</f>
        <v>20180517MOCEK</v>
      </c>
      <c r="B1744" s="8">
        <f ca="1">IFERROR(__xludf.DUMMYFUNCTION("""COMPUTED_VALUE"""),5)</f>
        <v>5</v>
      </c>
      <c r="C1744" s="8">
        <f ca="1">IFERROR(__xludf.DUMMYFUNCTION("""COMPUTED_VALUE"""),17)</f>
        <v>17</v>
      </c>
      <c r="D1744" s="8">
        <f ca="1">IFERROR(__xludf.DUMMYFUNCTION("""COMPUTED_VALUE"""),2018)</f>
        <v>2018</v>
      </c>
      <c r="E1744" s="9">
        <f ca="1">IFERROR(__xludf.DUMMYFUNCTION("""COMPUTED_VALUE"""),43237)</f>
        <v>43237</v>
      </c>
      <c r="F1744" s="8" t="str">
        <f ca="1">IFERROR(__xludf.DUMMYFUNCTION("""COMPUTED_VALUE"""),"Central High School")</f>
        <v>Central High School</v>
      </c>
      <c r="G1744" s="8">
        <f ca="1">IFERROR(__xludf.DUMMYFUNCTION("""COMPUTED_VALUE"""),0)</f>
        <v>0</v>
      </c>
      <c r="H1744" s="8">
        <f ca="1">IFERROR(__xludf.DUMMYFUNCTION("""COMPUTED_VALUE"""),2)</f>
        <v>2</v>
      </c>
      <c r="I1744" s="8">
        <f ca="1">IFERROR(__xludf.DUMMYFUNCTION("""COMPUTED_VALUE"""),2)</f>
        <v>2</v>
      </c>
      <c r="J1744" s="8">
        <f ca="1">IFERROR(__xludf.DUMMYFUNCTION("""COMPUTED_VALUE"""),0)</f>
        <v>0</v>
      </c>
      <c r="K1744" s="10" t="str">
        <f ca="1">IFERROR(__xludf.DUMMYFUNCTION("""COMPUTED_VALUE"""),"https://www.kshb.com/news/crime/man-charged-in-shooting-at-center-high-school-graduation")</f>
        <v>https://www.kshb.com/news/crime/man-charged-in-shooting-at-center-high-school-graduation</v>
      </c>
      <c r="L1744" s="8"/>
      <c r="M1744" s="8"/>
      <c r="N1744" s="8">
        <f ca="1">IFERROR(__xludf.DUMMYFUNCTION("""COMPUTED_VALUE"""),2)</f>
        <v>2</v>
      </c>
      <c r="O1744" s="8" t="str">
        <f ca="1">IFERROR(__xludf.DUMMYFUNCTION("""COMPUTED_VALUE"""),"Spring")</f>
        <v>Spring</v>
      </c>
      <c r="P1744" s="8" t="str">
        <f ca="1">IFERROR(__xludf.DUMMYFUNCTION("""COMPUTED_VALUE"""),"Kansas City")</f>
        <v>Kansas City</v>
      </c>
      <c r="Q1744" s="8" t="str">
        <f ca="1">IFERROR(__xludf.DUMMYFUNCTION("""COMPUTED_VALUE"""),"MO")</f>
        <v>MO</v>
      </c>
      <c r="R1744" s="8" t="str">
        <f ca="1">IFERROR(__xludf.DUMMYFUNCTION("""COMPUTED_VALUE"""),"High")</f>
        <v>High</v>
      </c>
      <c r="S1744" s="8" t="str">
        <f ca="1">IFERROR(__xludf.DUMMYFUNCTION("""COMPUTED_VALUE"""),"Off School Property")</f>
        <v>Off School Property</v>
      </c>
      <c r="T1744" s="8" t="str">
        <f ca="1">IFERROR(__xludf.DUMMYFUNCTION("""COMPUTED_VALUE"""),"Off School Property")</f>
        <v>Off School Property</v>
      </c>
      <c r="U1744" s="8" t="str">
        <f ca="1">IFERROR(__xludf.DUMMYFUNCTION("""COMPUTED_VALUE"""),"No")</f>
        <v>No</v>
      </c>
      <c r="V1744" s="8" t="str">
        <f ca="1">IFERROR(__xludf.DUMMYFUNCTION("""COMPUTED_VALUE"""),"School Event")</f>
        <v>School Event</v>
      </c>
      <c r="W1744" s="11">
        <f ca="1">IFERROR(__xludf.DUMMYFUNCTION("""COMPUTED_VALUE"""),0.854166666666666)</f>
        <v>0.85416666666666596</v>
      </c>
      <c r="X1744" s="8">
        <f ca="1">IFERROR(__xludf.DUMMYFUNCTION("""COMPUTED_VALUE"""),1)</f>
        <v>1</v>
      </c>
      <c r="Y1744" s="12" t="str">
        <f ca="1">IFERROR(__xludf.DUMMYFUNCTION("""COMPUTED_VALUE"""),"Shooting during fight at school graduation")</f>
        <v>Shooting during fight at school graduation</v>
      </c>
      <c r="Z1744" s="12" t="str">
        <f ca="1">IFERROR(__xludf.DUMMYFUNCTION("""COMPUTED_VALUE"""),"Shots fired during fight between 8 people outside of the high school graduation (held off-site at a church). One of the injured was a student. 6 police officers were assigned to the event. Suspect fled and was later arrested.")</f>
        <v>Shots fired during fight between 8 people outside of the high school graduation (held off-site at a church). One of the injured was a student. 6 police officers were assigned to the event. Suspect fled and was later arrested.</v>
      </c>
      <c r="AA1744" s="8" t="str">
        <f ca="1">IFERROR(__xludf.DUMMYFUNCTION("""COMPUTED_VALUE"""),"Escalation of Dispute")</f>
        <v>Escalation of Dispute</v>
      </c>
      <c r="AB1744" s="8"/>
      <c r="AC1744" s="8" t="str">
        <f ca="1">IFERROR(__xludf.DUMMYFUNCTION("""COMPUTED_VALUE"""),"Yes")</f>
        <v>Yes</v>
      </c>
      <c r="AD1744" s="8"/>
      <c r="AE1744" s="8" t="str">
        <f ca="1">IFERROR(__xludf.DUMMYFUNCTION("""COMPUTED_VALUE"""),"Yes")</f>
        <v>Yes</v>
      </c>
      <c r="AF1744" s="8" t="str">
        <f ca="1">IFERROR(__xludf.DUMMYFUNCTION("""COMPUTED_VALUE"""),"Rasheed Henderson charged with fleeing a LEO")</f>
        <v>Rasheed Henderson charged with fleeing a LEO</v>
      </c>
      <c r="AG1744" s="8" t="str">
        <f ca="1">IFERROR(__xludf.DUMMYFUNCTION("""COMPUTED_VALUE"""),"No")</f>
        <v>No</v>
      </c>
      <c r="AH1744" s="8" t="str">
        <f ca="1">IFERROR(__xludf.DUMMYFUNCTION("""COMPUTED_VALUE"""),"No")</f>
        <v>No</v>
      </c>
      <c r="AI1744" s="8" t="str">
        <f ca="1">IFERROR(__xludf.DUMMYFUNCTION("""COMPUTED_VALUE"""),"No")</f>
        <v>No</v>
      </c>
      <c r="AJ1744" s="8" t="str">
        <f ca="1">IFERROR(__xludf.DUMMYFUNCTION("""COMPUTED_VALUE"""),"No")</f>
        <v>No</v>
      </c>
      <c r="AK1744" s="8" t="str">
        <f ca="1">IFERROR(__xludf.DUMMYFUNCTION("""COMPUTED_VALUE"""),"No")</f>
        <v>No</v>
      </c>
      <c r="AL1744" s="8" t="str">
        <f ca="1">IFERROR(__xludf.DUMMYFUNCTION("""COMPUTED_VALUE"""),"No")</f>
        <v>No</v>
      </c>
      <c r="AM1744" s="8" t="str">
        <f ca="1">IFERROR(__xludf.DUMMYFUNCTION("""COMPUTED_VALUE"""),"No")</f>
        <v>No</v>
      </c>
      <c r="AN1744" s="8"/>
      <c r="AO1744" s="8" t="str">
        <f ca="1">IFERROR(__xludf.DUMMYFUNCTION("""COMPUTED_VALUE"""),"No")</f>
        <v>No</v>
      </c>
      <c r="AP1744" s="8"/>
      <c r="AQ1744" s="8" t="str">
        <f ca="1">IFERROR(__xludf.DUMMYFUNCTION("""COMPUTED_VALUE"""),"Unknown")</f>
        <v>Unknown</v>
      </c>
      <c r="AR1744" s="8" t="str">
        <f ca="1">IFERROR(__xludf.DUMMYFUNCTION("""COMPUTED_VALUE"""),"NA")</f>
        <v>NA</v>
      </c>
      <c r="AS1744" s="8" t="str">
        <f ca="1">IFERROR(__xludf.DUMMYFUNCTION("""COMPUTED_VALUE"""),"&lt;10")</f>
        <v>&lt;10</v>
      </c>
      <c r="AT1744" s="8"/>
      <c r="AU1744" s="8">
        <f ca="1">IFERROR(__xludf.DUMMYFUNCTION("""COMPUTED_VALUE"""),39.066646)</f>
        <v>39.066645999999999</v>
      </c>
      <c r="AV1744" s="8">
        <f ca="1">IFERROR(__xludf.DUMMYFUNCTION("""COMPUTED_VALUE"""),-94.54169)</f>
        <v>-94.541690000000003</v>
      </c>
      <c r="AW1744" s="8"/>
      <c r="AX1744" s="8">
        <f ca="1">IFERROR(__xludf.DUMMYFUNCTION("""COMPUTED_VALUE"""),64128)</f>
        <v>64128</v>
      </c>
    </row>
    <row r="1745" spans="1:50" ht="315" x14ac:dyDescent="0.2">
      <c r="A1745" s="8" t="str">
        <f ca="1">IFERROR(__xludf.DUMMYFUNCTION("""COMPUTED_VALUE"""),"20180516ILDID")</f>
        <v>20180516ILDID</v>
      </c>
      <c r="B1745" s="8">
        <f ca="1">IFERROR(__xludf.DUMMYFUNCTION("""COMPUTED_VALUE"""),5)</f>
        <v>5</v>
      </c>
      <c r="C1745" s="8">
        <f ca="1">IFERROR(__xludf.DUMMYFUNCTION("""COMPUTED_VALUE"""),16)</f>
        <v>16</v>
      </c>
      <c r="D1745" s="8">
        <f ca="1">IFERROR(__xludf.DUMMYFUNCTION("""COMPUTED_VALUE"""),2018)</f>
        <v>2018</v>
      </c>
      <c r="E1745" s="9">
        <f ca="1">IFERROR(__xludf.DUMMYFUNCTION("""COMPUTED_VALUE"""),43236)</f>
        <v>43236</v>
      </c>
      <c r="F1745" s="8" t="str">
        <f ca="1">IFERROR(__xludf.DUMMYFUNCTION("""COMPUTED_VALUE"""),"Dixon High School")</f>
        <v>Dixon High School</v>
      </c>
      <c r="G1745" s="8">
        <f ca="1">IFERROR(__xludf.DUMMYFUNCTION("""COMPUTED_VALUE"""),0)</f>
        <v>0</v>
      </c>
      <c r="H1745" s="8">
        <f ca="1">IFERROR(__xludf.DUMMYFUNCTION("""COMPUTED_VALUE"""),1)</f>
        <v>1</v>
      </c>
      <c r="I1745" s="8">
        <f ca="1">IFERROR(__xludf.DUMMYFUNCTION("""COMPUTED_VALUE"""),1)</f>
        <v>1</v>
      </c>
      <c r="J1745" s="8">
        <f ca="1">IFERROR(__xludf.DUMMYFUNCTION("""COMPUTED_VALUE"""),0)</f>
        <v>0</v>
      </c>
      <c r="K1745" s="8" t="str">
        <f ca="1">IFERROR(__xludf.DUMMYFUNCTION("""COMPUTED_VALUE"""),"http://wqad.com/2018/05/16/student-with-gun-shot-by-officer-at-dixon-high-school/ http://www.chicagotribune.com/news/local/breaking/ct-met-dixon-school-shooting-update-20180517-story.html https://www.mywebtimes.com/2020/01/28/judge-dixon-school-shooter-un"&amp;"fit-to-stand-trial/aq9msxk/")</f>
        <v>http://wqad.com/2018/05/16/student-with-gun-shot-by-officer-at-dixon-high-school/ http://www.chicagotribune.com/news/local/breaking/ct-met-dixon-school-shooting-update-20180517-story.html https://www.mywebtimes.com/2020/01/28/judge-dixon-school-shooter-unfit-to-stand-trial/aq9msxk/</v>
      </c>
      <c r="L1745" s="8"/>
      <c r="M1745" s="8"/>
      <c r="N1745" s="8">
        <f ca="1">IFERROR(__xludf.DUMMYFUNCTION("""COMPUTED_VALUE"""),5)</f>
        <v>5</v>
      </c>
      <c r="O1745" s="8" t="str">
        <f ca="1">IFERROR(__xludf.DUMMYFUNCTION("""COMPUTED_VALUE"""),"Spring")</f>
        <v>Spring</v>
      </c>
      <c r="P1745" s="8" t="str">
        <f ca="1">IFERROR(__xludf.DUMMYFUNCTION("""COMPUTED_VALUE"""),"Dixon")</f>
        <v>Dixon</v>
      </c>
      <c r="Q1745" s="8" t="str">
        <f ca="1">IFERROR(__xludf.DUMMYFUNCTION("""COMPUTED_VALUE"""),"IL")</f>
        <v>IL</v>
      </c>
      <c r="R1745" s="8" t="str">
        <f ca="1">IFERROR(__xludf.DUMMYFUNCTION("""COMPUTED_VALUE"""),"High")</f>
        <v>High</v>
      </c>
      <c r="S1745" s="8" t="str">
        <f ca="1">IFERROR(__xludf.DUMMYFUNCTION("""COMPUTED_VALUE"""),"Gym")</f>
        <v>Gym</v>
      </c>
      <c r="T1745" s="8" t="str">
        <f ca="1">IFERROR(__xludf.DUMMYFUNCTION("""COMPUTED_VALUE"""),"Inside School Building")</f>
        <v>Inside School Building</v>
      </c>
      <c r="U1745" s="8" t="str">
        <f ca="1">IFERROR(__xludf.DUMMYFUNCTION("""COMPUTED_VALUE"""),"Yes")</f>
        <v>Yes</v>
      </c>
      <c r="V1745" s="8" t="str">
        <f ca="1">IFERROR(__xludf.DUMMYFUNCTION("""COMPUTED_VALUE"""),"Morning Classes")</f>
        <v>Morning Classes</v>
      </c>
      <c r="W1745" s="11">
        <f ca="1">IFERROR(__xludf.DUMMYFUNCTION("""COMPUTED_VALUE"""),0.333333333333333)</f>
        <v>0.33333333333333298</v>
      </c>
      <c r="X1745" s="8">
        <f ca="1">IFERROR(__xludf.DUMMYFUNCTION("""COMPUTED_VALUE"""),2)</f>
        <v>2</v>
      </c>
      <c r="Y1745" s="12" t="str">
        <f ca="1">IFERROR(__xludf.DUMMYFUNCTION("""COMPUTED_VALUE"""),"Shots fired during graduation rehearsal by shooter who was bullied")</f>
        <v>Shots fired during graduation rehearsal by shooter who was bullied</v>
      </c>
      <c r="Z1745" s="12" t="str">
        <f ca="1">IFERROR(__xludf.DUMMYFUNCTION("""COMPUTED_VALUE"""),"Shooter fired several shots near the gym, where seniors were engaged in a graduation walk-through. Shooter ran out and was confronted by the SRO. They exchanged shots, Shooter received non-lethal wounds and was apprehended. Mother said he was bullied and "&amp;"beaten up in October by a 25 year-old, other kids just watched. Kicked-off from football team for smoking marijuana. Suspect was not expelled but had not been attending school for months. Students said he had been normal in the past but had become angry a"&amp;"nd high all the time.
 Investigators say Milby, then a DHS senior, took a 9mm semi-automatic rifle to graduation practice in the Lancaster Gym the morning of May 16, fired at gym teacher Andrew McKay, whom he encountered in a hallway, and fled seconds lat"&amp;"er when confronted and pursued by Dixon Police school resource officer Mark Dallas. Milby fired at Dallas outside the gym; Dallas returned fire, hitting Milby in the upper shoulder and hip. Milby was arrested near his car in Page Park. No one else was inj"&amp;"ured.
 Shooter found to be mentally unfit to stand trial and sent to psychiatric facility for treatment.")</f>
        <v>Shooter fired several shots near the gym, where seniors were engaged in a graduation walk-through. Shooter ran out and was confronted by the SRO. They exchanged shots, Shooter received non-lethal wounds and was apprehended. Mother said he was bullied and beaten up in October by a 25 year-old, other kids just watched. Kicked-off from football team for smoking marijuana. Suspect was not expelled but had not been attending school for months. Students said he had been normal in the past but had become angry and high all the time.
 Investigators say Milby, then a DHS senior, took a 9mm semi-automatic rifle to graduation practice in the Lancaster Gym the morning of May 16, fired at gym teacher Andrew McKay, whom he encountered in a hallway, and fled seconds later when confronted and pursued by Dixon Police school resource officer Mark Dallas. Milby fired at Dallas outside the gym; Dallas returned fire, hitting Milby in the upper shoulder and hip. Milby was arrested near his car in Page Park. No one else was injured.
 Shooter found to be mentally unfit to stand trial and sent to psychiatric facility for treatment.</v>
      </c>
      <c r="AA1745" s="8" t="str">
        <f ca="1">IFERROR(__xludf.DUMMYFUNCTION("""COMPUTED_VALUE"""),"Indiscriminate Shooting")</f>
        <v>Indiscriminate Shooting</v>
      </c>
      <c r="AB1745" s="8"/>
      <c r="AC1745" s="8" t="str">
        <f ca="1">IFERROR(__xludf.DUMMYFUNCTION("""COMPUTED_VALUE"""),"Yes")</f>
        <v>Yes</v>
      </c>
      <c r="AD1745" s="8" t="str">
        <f ca="1">IFERROR(__xludf.DUMMYFUNCTION("""COMPUTED_VALUE"""),"Random Shooting")</f>
        <v>Random Shooting</v>
      </c>
      <c r="AE1745" s="8" t="str">
        <f ca="1">IFERROR(__xludf.DUMMYFUNCTION("""COMPUTED_VALUE"""),"No")</f>
        <v>No</v>
      </c>
      <c r="AF1745" s="8"/>
      <c r="AG1745" s="8" t="str">
        <f ca="1">IFERROR(__xludf.DUMMYFUNCTION("""COMPUTED_VALUE"""),"No")</f>
        <v>No</v>
      </c>
      <c r="AH1745" s="8" t="str">
        <f ca="1">IFERROR(__xludf.DUMMYFUNCTION("""COMPUTED_VALUE"""),"No")</f>
        <v>No</v>
      </c>
      <c r="AI1745" s="8" t="str">
        <f ca="1">IFERROR(__xludf.DUMMYFUNCTION("""COMPUTED_VALUE"""),"No")</f>
        <v>No</v>
      </c>
      <c r="AJ1745" s="8" t="str">
        <f ca="1">IFERROR(__xludf.DUMMYFUNCTION("""COMPUTED_VALUE"""),"Yes")</f>
        <v>Yes</v>
      </c>
      <c r="AK1745" s="8" t="str">
        <f ca="1">IFERROR(__xludf.DUMMYFUNCTION("""COMPUTED_VALUE"""),"No")</f>
        <v>No</v>
      </c>
      <c r="AL1745" s="8" t="str">
        <f ca="1">IFERROR(__xludf.DUMMYFUNCTION("""COMPUTED_VALUE"""),"No")</f>
        <v>No</v>
      </c>
      <c r="AM1745" s="8" t="str">
        <f ca="1">IFERROR(__xludf.DUMMYFUNCTION("""COMPUTED_VALUE"""),"Yes")</f>
        <v>Yes</v>
      </c>
      <c r="AN1745" s="8" t="str">
        <f ca="1">IFERROR(__xludf.DUMMYFUNCTION("""COMPUTED_VALUE"""),"Outside")</f>
        <v>Outside</v>
      </c>
      <c r="AO1745" s="8" t="str">
        <f ca="1">IFERROR(__xludf.DUMMYFUNCTION("""COMPUTED_VALUE"""),"Yes")</f>
        <v>Yes</v>
      </c>
      <c r="AP1745" s="8" t="str">
        <f ca="1">IFERROR(__xludf.DUMMYFUNCTION("""COMPUTED_VALUE"""),"Yes")</f>
        <v>Yes</v>
      </c>
      <c r="AQ1745" s="8" t="str">
        <f ca="1">IFERROR(__xludf.DUMMYFUNCTION("""COMPUTED_VALUE"""),"Armed Guards")</f>
        <v>Armed Guards</v>
      </c>
      <c r="AR1745" s="8" t="str">
        <f ca="1">IFERROR(__xludf.DUMMYFUNCTION("""COMPUTED_VALUE"""),"Failed")</f>
        <v>Failed</v>
      </c>
      <c r="AS1745" s="8"/>
      <c r="AT1745" s="8" t="str">
        <f ca="1">IFERROR(__xludf.DUMMYFUNCTION("""COMPUTED_VALUE"""),"Yes")</f>
        <v>Yes</v>
      </c>
      <c r="AU1745" s="8">
        <f ca="1">IFERROR(__xludf.DUMMYFUNCTION("""COMPUTED_VALUE"""),41.847128)</f>
        <v>41.847127999999998</v>
      </c>
      <c r="AV1745" s="8">
        <f ca="1">IFERROR(__xludf.DUMMYFUNCTION("""COMPUTED_VALUE"""),-89.488508)</f>
        <v>-89.488507999999996</v>
      </c>
      <c r="AW1745" s="8"/>
      <c r="AX1745" s="8">
        <f ca="1">IFERROR(__xludf.DUMMYFUNCTION("""COMPUTED_VALUE"""),61021)</f>
        <v>61021</v>
      </c>
    </row>
    <row r="1746" spans="1:50" ht="285" x14ac:dyDescent="0.2">
      <c r="A1746" s="8" t="str">
        <f ca="1">IFERROR(__xludf.DUMMYFUNCTION("""COMPUTED_VALUE"""),"20180511CAHIP")</f>
        <v>20180511CAHIP</v>
      </c>
      <c r="B1746" s="8">
        <f ca="1">IFERROR(__xludf.DUMMYFUNCTION("""COMPUTED_VALUE"""),5)</f>
        <v>5</v>
      </c>
      <c r="C1746" s="8">
        <f ca="1">IFERROR(__xludf.DUMMYFUNCTION("""COMPUTED_VALUE"""),11)</f>
        <v>11</v>
      </c>
      <c r="D1746" s="8">
        <f ca="1">IFERROR(__xludf.DUMMYFUNCTION("""COMPUTED_VALUE"""),2018)</f>
        <v>2018</v>
      </c>
      <c r="E1746" s="9">
        <f ca="1">IFERROR(__xludf.DUMMYFUNCTION("""COMPUTED_VALUE"""),43231)</f>
        <v>43231</v>
      </c>
      <c r="F1746" s="8" t="str">
        <f ca="1">IFERROR(__xludf.DUMMYFUNCTION("""COMPUTED_VALUE"""),"Highland High School")</f>
        <v>Highland High School</v>
      </c>
      <c r="G1746" s="8">
        <f ca="1">IFERROR(__xludf.DUMMYFUNCTION("""COMPUTED_VALUE"""),0)</f>
        <v>0</v>
      </c>
      <c r="H1746" s="8">
        <f ca="1">IFERROR(__xludf.DUMMYFUNCTION("""COMPUTED_VALUE"""),1)</f>
        <v>1</v>
      </c>
      <c r="I1746" s="8">
        <f ca="1">IFERROR(__xludf.DUMMYFUNCTION("""COMPUTED_VALUE"""),1)</f>
        <v>1</v>
      </c>
      <c r="J1746" s="8">
        <f ca="1">IFERROR(__xludf.DUMMYFUNCTION("""COMPUTED_VALUE"""),0)</f>
        <v>0</v>
      </c>
      <c r="K1746" s="8" t="str">
        <f ca="1">IFERROR(__xludf.DUMMYFUNCTION("""COMPUTED_VALUE"""),"https://www.cbsnews.com/news/police-responding-reports-shooting-highland-high-school-palmdale-california-today-live-updates/
https://abc7.com/highland-high-school-palmdale-los-angeles-county-sheriff-lockdown/3459983/")</f>
        <v>https://www.cbsnews.com/news/police-responding-reports-shooting-highland-high-school-palmdale-california-today-live-updates/
https://abc7.com/highland-high-school-palmdale-los-angeles-county-sheriff-lockdown/3459983/</v>
      </c>
      <c r="L1746" s="8"/>
      <c r="M1746" s="8"/>
      <c r="N1746" s="8">
        <f ca="1">IFERROR(__xludf.DUMMYFUNCTION("""COMPUTED_VALUE"""),4)</f>
        <v>4</v>
      </c>
      <c r="O1746" s="8" t="str">
        <f ca="1">IFERROR(__xludf.DUMMYFUNCTION("""COMPUTED_VALUE"""),"Spring")</f>
        <v>Spring</v>
      </c>
      <c r="P1746" s="8" t="str">
        <f ca="1">IFERROR(__xludf.DUMMYFUNCTION("""COMPUTED_VALUE"""),"Palmdale")</f>
        <v>Palmdale</v>
      </c>
      <c r="Q1746" s="8" t="str">
        <f ca="1">IFERROR(__xludf.DUMMYFUNCTION("""COMPUTED_VALUE"""),"CA")</f>
        <v>CA</v>
      </c>
      <c r="R1746" s="8" t="str">
        <f ca="1">IFERROR(__xludf.DUMMYFUNCTION("""COMPUTED_VALUE"""),"High")</f>
        <v>High</v>
      </c>
      <c r="S1746" s="8" t="str">
        <f ca="1">IFERROR(__xludf.DUMMYFUNCTION("""COMPUTED_VALUE"""),"Bathroom")</f>
        <v>Bathroom</v>
      </c>
      <c r="T1746" s="8" t="str">
        <f ca="1">IFERROR(__xludf.DUMMYFUNCTION("""COMPUTED_VALUE"""),"Inside School Building")</f>
        <v>Inside School Building</v>
      </c>
      <c r="U1746" s="8" t="str">
        <f ca="1">IFERROR(__xludf.DUMMYFUNCTION("""COMPUTED_VALUE"""),"No")</f>
        <v>No</v>
      </c>
      <c r="V1746" s="8" t="str">
        <f ca="1">IFERROR(__xludf.DUMMYFUNCTION("""COMPUTED_VALUE"""),"Before School")</f>
        <v>Before School</v>
      </c>
      <c r="W1746" s="11">
        <f ca="1">IFERROR(__xludf.DUMMYFUNCTION("""COMPUTED_VALUE"""),0.295138888888888)</f>
        <v>0.29513888888888801</v>
      </c>
      <c r="X1746" s="8">
        <f ca="1">IFERROR(__xludf.DUMMYFUNCTION("""COMPUTED_VALUE"""),1)</f>
        <v>1</v>
      </c>
      <c r="Y1746" s="12" t="str">
        <f ca="1">IFERROR(__xludf.DUMMYFUNCTION("""COMPUTED_VALUE"""),"Former student fired 10 shots, striking one student, then pointed rifle at random students before walking out of school")</f>
        <v>Former student fired 10 shots, striking one student, then pointed rifle at random students before walking out of school</v>
      </c>
      <c r="Z1746" s="12" t="str">
        <f ca="1">IFERROR(__xludf.DUMMYFUNCTION("""COMPUTED_VALUE"""),"Prior to the school day starting (before the SRO's shift started), the shooter (former student) fired 10 shots from the bathroom window striking one student in the shoulder. Shooter called his father immediately after the shooting to say he fired his gun "&amp;"into the air. Father called a friend who is a police officer and directed him to the shooter's location. The shooter fled the area and was apprehended at a nearby grocery store. The weapon was found near the school. A Highland High School student told rep"&amp;"orters he saw the suspect emerge from a bathroom with a rifle-type weapon, which he randomly pointed at people. The student said the suspect looked at him and told him to run, which he did, shouting at other students to do the same. 911 call for an active"&amp;" shooter at an elementary school at the same time, shooter may have called in false report as diversion. Shooter had transfered from the school 1 month prior. Earlier that morning, the suspect's mother also called the officer, saying they were having trou"&amp;"ble with her son and that he had ran away from home.")</f>
        <v>Prior to the school day starting (before the SRO's shift started), the shooter (former student) fired 10 shots from the bathroom window striking one student in the shoulder. Shooter called his father immediately after the shooting to say he fired his gun into the air. Father called a friend who is a police officer and directed him to the shooter's location. The shooter fled the area and was apprehended at a nearby grocery store. The weapon was found near the school. A Highland High School student told reporters he saw the suspect emerge from a bathroom with a rifle-type weapon, which he randomly pointed at people. The student said the suspect looked at him and told him to run, which he did, shouting at other students to do the same. 911 call for an active shooter at an elementary school at the same time, shooter may have called in false report as diversion. Shooter had transfered from the school 1 month prior. Earlier that morning, the suspect's mother also called the officer, saying they were having trouble with her son and that he had ran away from home.</v>
      </c>
      <c r="AA1746" s="8" t="str">
        <f ca="1">IFERROR(__xludf.DUMMYFUNCTION("""COMPUTED_VALUE"""),"Indiscriminate Shooting")</f>
        <v>Indiscriminate Shooting</v>
      </c>
      <c r="AB1746" s="8"/>
      <c r="AC1746" s="8" t="str">
        <f ca="1">IFERROR(__xludf.DUMMYFUNCTION("""COMPUTED_VALUE"""),"Yes")</f>
        <v>Yes</v>
      </c>
      <c r="AD1746" s="8" t="str">
        <f ca="1">IFERROR(__xludf.DUMMYFUNCTION("""COMPUTED_VALUE"""),"Random Shooting")</f>
        <v>Random Shooting</v>
      </c>
      <c r="AE1746" s="8" t="str">
        <f ca="1">IFERROR(__xludf.DUMMYFUNCTION("""COMPUTED_VALUE"""),"No")</f>
        <v>No</v>
      </c>
      <c r="AF1746" s="8"/>
      <c r="AG1746" s="8" t="str">
        <f ca="1">IFERROR(__xludf.DUMMYFUNCTION("""COMPUTED_VALUE"""),"No")</f>
        <v>No</v>
      </c>
      <c r="AH1746" s="8" t="str">
        <f ca="1">IFERROR(__xludf.DUMMYFUNCTION("""COMPUTED_VALUE"""),"No")</f>
        <v>No</v>
      </c>
      <c r="AI1746" s="8" t="str">
        <f ca="1">IFERROR(__xludf.DUMMYFUNCTION("""COMPUTED_VALUE"""),"No")</f>
        <v>No</v>
      </c>
      <c r="AJ1746" s="8"/>
      <c r="AK1746" s="8" t="str">
        <f ca="1">IFERROR(__xludf.DUMMYFUNCTION("""COMPUTED_VALUE"""),"No")</f>
        <v>No</v>
      </c>
      <c r="AL1746" s="8" t="str">
        <f ca="1">IFERROR(__xludf.DUMMYFUNCTION("""COMPUTED_VALUE"""),"No")</f>
        <v>No</v>
      </c>
      <c r="AM1746" s="8" t="str">
        <f ca="1">IFERROR(__xludf.DUMMYFUNCTION("""COMPUTED_VALUE"""),"Yes")</f>
        <v>Yes</v>
      </c>
      <c r="AN1746" s="8" t="str">
        <f ca="1">IFERROR(__xludf.DUMMYFUNCTION("""COMPUTED_VALUE"""),"Single Room")</f>
        <v>Single Room</v>
      </c>
      <c r="AO1746" s="8" t="str">
        <f ca="1">IFERROR(__xludf.DUMMYFUNCTION("""COMPUTED_VALUE"""),"Yes")</f>
        <v>Yes</v>
      </c>
      <c r="AP1746" s="8" t="str">
        <f ca="1">IFERROR(__xludf.DUMMYFUNCTION("""COMPUTED_VALUE"""),"Yes")</f>
        <v>Yes</v>
      </c>
      <c r="AQ1746" s="8" t="str">
        <f ca="1">IFERROR(__xludf.DUMMYFUNCTION("""COMPUTED_VALUE"""),"Unknown")</f>
        <v>Unknown</v>
      </c>
      <c r="AR1746" s="8" t="str">
        <f ca="1">IFERROR(__xludf.DUMMYFUNCTION("""COMPUTED_VALUE"""),"Failed")</f>
        <v>Failed</v>
      </c>
      <c r="AS1746" s="8">
        <f ca="1">IFERROR(__xludf.DUMMYFUNCTION("""COMPUTED_VALUE"""),10)</f>
        <v>10</v>
      </c>
      <c r="AT1746" s="8" t="str">
        <f ca="1">IFERROR(__xludf.DUMMYFUNCTION("""COMPUTED_VALUE"""),"Yes")</f>
        <v>Yes</v>
      </c>
      <c r="AU1746" s="8">
        <f ca="1">IFERROR(__xludf.DUMMYFUNCTION("""COMPUTED_VALUE"""),34.591755)</f>
        <v>34.591754999999999</v>
      </c>
      <c r="AV1746" s="8">
        <f ca="1">IFERROR(__xludf.DUMMYFUNCTION("""COMPUTED_VALUE"""),-118.175561)</f>
        <v>-118.175561</v>
      </c>
      <c r="AW1746" s="8"/>
      <c r="AX1746" s="8">
        <f ca="1">IFERROR(__xludf.DUMMYFUNCTION("""COMPUTED_VALUE"""),93551)</f>
        <v>93551</v>
      </c>
    </row>
    <row r="1747" spans="1:50" ht="60" x14ac:dyDescent="0.2">
      <c r="A1747" s="8" t="str">
        <f ca="1">IFERROR(__xludf.DUMMYFUNCTION("""COMPUTED_VALUE"""),"20180505MIFOF")</f>
        <v>20180505MIFOF</v>
      </c>
      <c r="B1747" s="8">
        <f ca="1">IFERROR(__xludf.DUMMYFUNCTION("""COMPUTED_VALUE"""),5)</f>
        <v>5</v>
      </c>
      <c r="C1747" s="8">
        <f ca="1">IFERROR(__xludf.DUMMYFUNCTION("""COMPUTED_VALUE"""),5)</f>
        <v>5</v>
      </c>
      <c r="D1747" s="8">
        <f ca="1">IFERROR(__xludf.DUMMYFUNCTION("""COMPUTED_VALUE"""),2018)</f>
        <v>2018</v>
      </c>
      <c r="E1747" s="9">
        <f ca="1">IFERROR(__xludf.DUMMYFUNCTION("""COMPUTED_VALUE"""),43225)</f>
        <v>43225</v>
      </c>
      <c r="F1747" s="8" t="str">
        <f ca="1">IFERROR(__xludf.DUMMYFUNCTION("""COMPUTED_VALUE"""),"Fowlerville High School")</f>
        <v>Fowlerville High School</v>
      </c>
      <c r="G1747" s="8">
        <f ca="1">IFERROR(__xludf.DUMMYFUNCTION("""COMPUTED_VALUE"""),0)</f>
        <v>0</v>
      </c>
      <c r="H1747" s="8">
        <f ca="1">IFERROR(__xludf.DUMMYFUNCTION("""COMPUTED_VALUE"""),0)</f>
        <v>0</v>
      </c>
      <c r="I1747" s="8">
        <f ca="1">IFERROR(__xludf.DUMMYFUNCTION("""COMPUTED_VALUE"""),0)</f>
        <v>0</v>
      </c>
      <c r="J1747" s="8">
        <f ca="1">IFERROR(__xludf.DUMMYFUNCTION("""COMPUTED_VALUE"""),0)</f>
        <v>0</v>
      </c>
      <c r="K1747" s="10" t="str">
        <f ca="1">IFERROR(__xludf.DUMMYFUNCTION("""COMPUTED_VALUE"""),"https://www.wxyz.com/news/off-duty-officer-accidentally-discharges-gun-during-wrestling-meet-at-michigan-high-school")</f>
        <v>https://www.wxyz.com/news/off-duty-officer-accidentally-discharges-gun-during-wrestling-meet-at-michigan-high-school</v>
      </c>
      <c r="L1747" s="8"/>
      <c r="M1747" s="8"/>
      <c r="N1747" s="8">
        <f ca="1">IFERROR(__xludf.DUMMYFUNCTION("""COMPUTED_VALUE"""),3)</f>
        <v>3</v>
      </c>
      <c r="O1747" s="8" t="str">
        <f ca="1">IFERROR(__xludf.DUMMYFUNCTION("""COMPUTED_VALUE"""),"Spring")</f>
        <v>Spring</v>
      </c>
      <c r="P1747" s="8" t="str">
        <f ca="1">IFERROR(__xludf.DUMMYFUNCTION("""COMPUTED_VALUE"""),"Fowlerville")</f>
        <v>Fowlerville</v>
      </c>
      <c r="Q1747" s="8" t="str">
        <f ca="1">IFERROR(__xludf.DUMMYFUNCTION("""COMPUTED_VALUE"""),"MI")</f>
        <v>MI</v>
      </c>
      <c r="R1747" s="8" t="str">
        <f ca="1">IFERROR(__xludf.DUMMYFUNCTION("""COMPUTED_VALUE"""),"High")</f>
        <v>High</v>
      </c>
      <c r="S1747" s="8" t="str">
        <f ca="1">IFERROR(__xludf.DUMMYFUNCTION("""COMPUTED_VALUE"""),"Gym")</f>
        <v>Gym</v>
      </c>
      <c r="T1747" s="8" t="str">
        <f ca="1">IFERROR(__xludf.DUMMYFUNCTION("""COMPUTED_VALUE"""),"Inside School Building")</f>
        <v>Inside School Building</v>
      </c>
      <c r="U1747" s="8" t="str">
        <f ca="1">IFERROR(__xludf.DUMMYFUNCTION("""COMPUTED_VALUE"""),"No")</f>
        <v>No</v>
      </c>
      <c r="V1747" s="8" t="str">
        <f ca="1">IFERROR(__xludf.DUMMYFUNCTION("""COMPUTED_VALUE"""),"Sport Event")</f>
        <v>Sport Event</v>
      </c>
      <c r="W1747" s="11">
        <f ca="1">IFERROR(__xludf.DUMMYFUNCTION("""COMPUTED_VALUE"""),0.625)</f>
        <v>0.625</v>
      </c>
      <c r="X1747" s="8">
        <f ca="1">IFERROR(__xludf.DUMMYFUNCTION("""COMPUTED_VALUE"""),1)</f>
        <v>1</v>
      </c>
      <c r="Y1747" s="12" t="str">
        <f ca="1">IFERROR(__xludf.DUMMYFUNCTION("""COMPUTED_VALUE"""),"Off duty officers gun discharged at wrestling meet in school gym")</f>
        <v>Off duty officers gun discharged at wrestling meet in school gym</v>
      </c>
      <c r="Z1747" s="12" t="str">
        <f ca="1">IFERROR(__xludf.DUMMYFUNCTION("""COMPUTED_VALUE"""),"Off duty police officers firearm discharged striking gym floor during a wrestling meet. No injuries.")</f>
        <v>Off duty police officers firearm discharged striking gym floor during a wrestling meet. No injuries.</v>
      </c>
      <c r="AA1747" s="8" t="str">
        <f ca="1">IFERROR(__xludf.DUMMYFUNCTION("""COMPUTED_VALUE"""),"Accidental")</f>
        <v>Accidental</v>
      </c>
      <c r="AB1747" s="8"/>
      <c r="AC1747" s="8" t="str">
        <f ca="1">IFERROR(__xludf.DUMMYFUNCTION("""COMPUTED_VALUE"""),"Yes")</f>
        <v>Yes</v>
      </c>
      <c r="AD1747" s="8" t="str">
        <f ca="1">IFERROR(__xludf.DUMMYFUNCTION("""COMPUTED_VALUE"""),"Neither")</f>
        <v>Neither</v>
      </c>
      <c r="AE1747" s="8" t="str">
        <f ca="1">IFERROR(__xludf.DUMMYFUNCTION("""COMPUTED_VALUE"""),"No")</f>
        <v>No</v>
      </c>
      <c r="AF1747" s="8"/>
      <c r="AG1747" s="8" t="str">
        <f ca="1">IFERROR(__xludf.DUMMYFUNCTION("""COMPUTED_VALUE"""),"No")</f>
        <v>No</v>
      </c>
      <c r="AH1747" s="8" t="str">
        <f ca="1">IFERROR(__xludf.DUMMYFUNCTION("""COMPUTED_VALUE"""),"No")</f>
        <v>No</v>
      </c>
      <c r="AI1747" s="8" t="str">
        <f ca="1">IFERROR(__xludf.DUMMYFUNCTION("""COMPUTED_VALUE"""),"Yes")</f>
        <v>Yes</v>
      </c>
      <c r="AJ1747" s="8" t="str">
        <f ca="1">IFERROR(__xludf.DUMMYFUNCTION("""COMPUTED_VALUE"""),"N/A")</f>
        <v>N/A</v>
      </c>
      <c r="AK1747" s="8" t="str">
        <f ca="1">IFERROR(__xludf.DUMMYFUNCTION("""COMPUTED_VALUE"""),"N/A")</f>
        <v>N/A</v>
      </c>
      <c r="AL1747" s="8" t="str">
        <f ca="1">IFERROR(__xludf.DUMMYFUNCTION("""COMPUTED_VALUE"""),"N/A")</f>
        <v>N/A</v>
      </c>
      <c r="AM1747" s="8" t="str">
        <f ca="1">IFERROR(__xludf.DUMMYFUNCTION("""COMPUTED_VALUE"""),"N/A")</f>
        <v>N/A</v>
      </c>
      <c r="AN1747" s="8"/>
      <c r="AO1747" s="8" t="str">
        <f ca="1">IFERROR(__xludf.DUMMYFUNCTION("""COMPUTED_VALUE"""),"N/A")</f>
        <v>N/A</v>
      </c>
      <c r="AP1747" s="8"/>
      <c r="AQ1747" s="8" t="str">
        <f ca="1">IFERROR(__xludf.DUMMYFUNCTION("""COMPUTED_VALUE"""),"Unknown")</f>
        <v>Unknown</v>
      </c>
      <c r="AR1747" s="8" t="str">
        <f ca="1">IFERROR(__xludf.DUMMYFUNCTION("""COMPUTED_VALUE"""),"NA")</f>
        <v>NA</v>
      </c>
      <c r="AS1747" s="8">
        <f ca="1">IFERROR(__xludf.DUMMYFUNCTION("""COMPUTED_VALUE"""),1)</f>
        <v>1</v>
      </c>
      <c r="AT1747" s="8"/>
      <c r="AU1747" s="8">
        <f ca="1">IFERROR(__xludf.DUMMYFUNCTION("""COMPUTED_VALUE"""),42.670513)</f>
        <v>42.670513</v>
      </c>
      <c r="AV1747" s="8">
        <f ca="1">IFERROR(__xludf.DUMMYFUNCTION("""COMPUTED_VALUE"""),-84.06999)</f>
        <v>-84.069990000000004</v>
      </c>
      <c r="AW1747" s="8"/>
      <c r="AX1747" s="8">
        <f ca="1">IFERROR(__xludf.DUMMYFUNCTION("""COMPUTED_VALUE"""),48836)</f>
        <v>48836</v>
      </c>
    </row>
    <row r="1748" spans="1:50" ht="45" x14ac:dyDescent="0.2">
      <c r="A1748" s="8" t="str">
        <f ca="1">IFERROR(__xludf.DUMMYFUNCTION("""COMPUTED_VALUE"""),"20180503TNWAW")</f>
        <v>20180503TNWAW</v>
      </c>
      <c r="B1748" s="8">
        <f ca="1">IFERROR(__xludf.DUMMYFUNCTION("""COMPUTED_VALUE"""),5)</f>
        <v>5</v>
      </c>
      <c r="C1748" s="8">
        <f ca="1">IFERROR(__xludf.DUMMYFUNCTION("""COMPUTED_VALUE"""),3)</f>
        <v>3</v>
      </c>
      <c r="D1748" s="8">
        <f ca="1">IFERROR(__xludf.DUMMYFUNCTION("""COMPUTED_VALUE"""),2018)</f>
        <v>2018</v>
      </c>
      <c r="E1748" s="9">
        <f ca="1">IFERROR(__xludf.DUMMYFUNCTION("""COMPUTED_VALUE"""),43223)</f>
        <v>43223</v>
      </c>
      <c r="F1748" s="8" t="str">
        <f ca="1">IFERROR(__xludf.DUMMYFUNCTION("""COMPUTED_VALUE"""),"Waynesboro Elementary School")</f>
        <v>Waynesboro Elementary School</v>
      </c>
      <c r="G1748" s="8">
        <f ca="1">IFERROR(__xludf.DUMMYFUNCTION("""COMPUTED_VALUE"""),0)</f>
        <v>0</v>
      </c>
      <c r="H1748" s="8">
        <f ca="1">IFERROR(__xludf.DUMMYFUNCTION("""COMPUTED_VALUE"""),0)</f>
        <v>0</v>
      </c>
      <c r="I1748" s="8">
        <f ca="1">IFERROR(__xludf.DUMMYFUNCTION("""COMPUTED_VALUE"""),0)</f>
        <v>0</v>
      </c>
      <c r="J1748" s="8">
        <f ca="1">IFERROR(__xludf.DUMMYFUNCTION("""COMPUTED_VALUE"""),0)</f>
        <v>0</v>
      </c>
      <c r="K1748" s="10" t="str">
        <f ca="1">IFERROR(__xludf.DUMMYFUNCTION("""COMPUTED_VALUE"""),"https://www.mlive.com/news/jackson/index.ssf/2018/04/no_arrests_made_yet_after_jack.html")</f>
        <v>https://www.mlive.com/news/jackson/index.ssf/2018/04/no_arrests_made_yet_after_jack.html</v>
      </c>
      <c r="L1748" s="8"/>
      <c r="M1748" s="8"/>
      <c r="N1748" s="8">
        <f ca="1">IFERROR(__xludf.DUMMYFUNCTION("""COMPUTED_VALUE"""),2)</f>
        <v>2</v>
      </c>
      <c r="O1748" s="8" t="str">
        <f ca="1">IFERROR(__xludf.DUMMYFUNCTION("""COMPUTED_VALUE"""),"Spring")</f>
        <v>Spring</v>
      </c>
      <c r="P1748" s="8" t="str">
        <f ca="1">IFERROR(__xludf.DUMMYFUNCTION("""COMPUTED_VALUE"""),"Waynesboro")</f>
        <v>Waynesboro</v>
      </c>
      <c r="Q1748" s="8" t="str">
        <f ca="1">IFERROR(__xludf.DUMMYFUNCTION("""COMPUTED_VALUE"""),"TN")</f>
        <v>TN</v>
      </c>
      <c r="R1748" s="8" t="str">
        <f ca="1">IFERROR(__xludf.DUMMYFUNCTION("""COMPUTED_VALUE"""),"High")</f>
        <v>High</v>
      </c>
      <c r="S1748" s="8" t="str">
        <f ca="1">IFERROR(__xludf.DUMMYFUNCTION("""COMPUTED_VALUE"""),"Bathroom")</f>
        <v>Bathroom</v>
      </c>
      <c r="T1748" s="8" t="str">
        <f ca="1">IFERROR(__xludf.DUMMYFUNCTION("""COMPUTED_VALUE"""),"Inside School Building")</f>
        <v>Inside School Building</v>
      </c>
      <c r="U1748" s="8" t="str">
        <f ca="1">IFERROR(__xludf.DUMMYFUNCTION("""COMPUTED_VALUE"""),"Yes")</f>
        <v>Yes</v>
      </c>
      <c r="V1748" s="8" t="str">
        <f ca="1">IFERROR(__xludf.DUMMYFUNCTION("""COMPUTED_VALUE"""),"Morning Classes")</f>
        <v>Morning Classes</v>
      </c>
      <c r="W1748" s="8"/>
      <c r="X1748" s="8">
        <f ca="1">IFERROR(__xludf.DUMMYFUNCTION("""COMPUTED_VALUE"""),1)</f>
        <v>1</v>
      </c>
      <c r="Y1748" s="12" t="str">
        <f ca="1">IFERROR(__xludf.DUMMYFUNCTION("""COMPUTED_VALUE"""),"Gun accidentally fired in the bathroom")</f>
        <v>Gun accidentally fired in the bathroom</v>
      </c>
      <c r="Z1748" s="12" t="str">
        <f ca="1">IFERROR(__xludf.DUMMYFUNCTION("""COMPUTED_VALUE"""),"Student fired a single shot in the bathroom. No injuries. School was locked down.")</f>
        <v>Student fired a single shot in the bathroom. No injuries. School was locked down.</v>
      </c>
      <c r="AA1748" s="8" t="str">
        <f ca="1">IFERROR(__xludf.DUMMYFUNCTION("""COMPUTED_VALUE"""),"Accidental")</f>
        <v>Accidental</v>
      </c>
      <c r="AB1748" s="8"/>
      <c r="AC1748" s="8" t="str">
        <f ca="1">IFERROR(__xludf.DUMMYFUNCTION("""COMPUTED_VALUE"""),"Yes")</f>
        <v>Yes</v>
      </c>
      <c r="AD1748" s="8" t="str">
        <f ca="1">IFERROR(__xludf.DUMMYFUNCTION("""COMPUTED_VALUE"""),"Neither")</f>
        <v>Neither</v>
      </c>
      <c r="AE1748" s="8" t="str">
        <f ca="1">IFERROR(__xludf.DUMMYFUNCTION("""COMPUTED_VALUE"""),"No")</f>
        <v>No</v>
      </c>
      <c r="AF1748" s="8"/>
      <c r="AG1748" s="8" t="str">
        <f ca="1">IFERROR(__xludf.DUMMYFUNCTION("""COMPUTED_VALUE"""),"No")</f>
        <v>No</v>
      </c>
      <c r="AH1748" s="8" t="str">
        <f ca="1">IFERROR(__xludf.DUMMYFUNCTION("""COMPUTED_VALUE"""),"No")</f>
        <v>No</v>
      </c>
      <c r="AI1748" s="8" t="str">
        <f ca="1">IFERROR(__xludf.DUMMYFUNCTION("""COMPUTED_VALUE"""),"No")</f>
        <v>No</v>
      </c>
      <c r="AJ1748" s="8" t="str">
        <f ca="1">IFERROR(__xludf.DUMMYFUNCTION("""COMPUTED_VALUE"""),"No")</f>
        <v>No</v>
      </c>
      <c r="AK1748" s="8" t="str">
        <f ca="1">IFERROR(__xludf.DUMMYFUNCTION("""COMPUTED_VALUE"""),"No")</f>
        <v>No</v>
      </c>
      <c r="AL1748" s="8" t="str">
        <f ca="1">IFERROR(__xludf.DUMMYFUNCTION("""COMPUTED_VALUE"""),"No")</f>
        <v>No</v>
      </c>
      <c r="AM1748" s="8" t="str">
        <f ca="1">IFERROR(__xludf.DUMMYFUNCTION("""COMPUTED_VALUE"""),"No")</f>
        <v>No</v>
      </c>
      <c r="AN1748" s="8"/>
      <c r="AO1748" s="8" t="str">
        <f ca="1">IFERROR(__xludf.DUMMYFUNCTION("""COMPUTED_VALUE"""),"No")</f>
        <v>No</v>
      </c>
      <c r="AP1748" s="8"/>
      <c r="AQ1748" s="8" t="str">
        <f ca="1">IFERROR(__xludf.DUMMYFUNCTION("""COMPUTED_VALUE"""),"Unknown")</f>
        <v>Unknown</v>
      </c>
      <c r="AR1748" s="8" t="str">
        <f ca="1">IFERROR(__xludf.DUMMYFUNCTION("""COMPUTED_VALUE"""),"NA")</f>
        <v>NA</v>
      </c>
      <c r="AS1748" s="8">
        <f ca="1">IFERROR(__xludf.DUMMYFUNCTION("""COMPUTED_VALUE"""),1)</f>
        <v>1</v>
      </c>
      <c r="AT1748" s="8" t="str">
        <f ca="1">IFERROR(__xludf.DUMMYFUNCTION("""COMPUTED_VALUE"""),"Yes")</f>
        <v>Yes</v>
      </c>
      <c r="AU1748" s="8">
        <f ca="1">IFERROR(__xludf.DUMMYFUNCTION("""COMPUTED_VALUE"""),35.308658)</f>
        <v>35.308658000000001</v>
      </c>
      <c r="AV1748" s="8">
        <f ca="1">IFERROR(__xludf.DUMMYFUNCTION("""COMPUTED_VALUE"""),-87.761392)</f>
        <v>-87.761392000000001</v>
      </c>
      <c r="AW1748" s="8"/>
      <c r="AX1748" s="8">
        <f ca="1">IFERROR(__xludf.DUMMYFUNCTION("""COMPUTED_VALUE"""),38485)</f>
        <v>38485</v>
      </c>
    </row>
    <row r="1749" spans="1:50" ht="75" x14ac:dyDescent="0.2">
      <c r="A1749" s="8" t="str">
        <f ca="1">IFERROR(__xludf.DUMMYFUNCTION("""COMPUTED_VALUE"""),"20180503SDENW")</f>
        <v>20180503SDENW</v>
      </c>
      <c r="B1749" s="8">
        <f ca="1">IFERROR(__xludf.DUMMYFUNCTION("""COMPUTED_VALUE"""),5)</f>
        <v>5</v>
      </c>
      <c r="C1749" s="8">
        <f ca="1">IFERROR(__xludf.DUMMYFUNCTION("""COMPUTED_VALUE"""),3)</f>
        <v>3</v>
      </c>
      <c r="D1749" s="8">
        <f ca="1">IFERROR(__xludf.DUMMYFUNCTION("""COMPUTED_VALUE"""),2018)</f>
        <v>2018</v>
      </c>
      <c r="E1749" s="9">
        <f ca="1">IFERROR(__xludf.DUMMYFUNCTION("""COMPUTED_VALUE"""),43223)</f>
        <v>43223</v>
      </c>
      <c r="F1749" s="8" t="str">
        <f ca="1">IFERROR(__xludf.DUMMYFUNCTION("""COMPUTED_VALUE"""),"Enemy Swim Day School")</f>
        <v>Enemy Swim Day School</v>
      </c>
      <c r="G1749" s="8">
        <f ca="1">IFERROR(__xludf.DUMMYFUNCTION("""COMPUTED_VALUE"""),0)</f>
        <v>0</v>
      </c>
      <c r="H1749" s="8">
        <f ca="1">IFERROR(__xludf.DUMMYFUNCTION("""COMPUTED_VALUE"""),1)</f>
        <v>1</v>
      </c>
      <c r="I1749" s="8">
        <f ca="1">IFERROR(__xludf.DUMMYFUNCTION("""COMPUTED_VALUE"""),1)</f>
        <v>1</v>
      </c>
      <c r="J1749" s="8">
        <f ca="1">IFERROR(__xludf.DUMMYFUNCTION("""COMPUTED_VALUE"""),0)</f>
        <v>0</v>
      </c>
      <c r="K1749" s="8" t="str">
        <f ca="1">IFERROR(__xludf.DUMMYFUNCTION("""COMPUTED_VALUE"""),"http://www.ksfy.com/content/news/Suspect-arrested-in-shooting-of-Enemy-Swim-Day-School-custodian-482327311.html  http://www.hubcityradio.com/2018/05/10/arrest-made-in-shooting-at-enemy-swim-day-school/")</f>
        <v>http://www.ksfy.com/content/news/Suspect-arrested-in-shooting-of-Enemy-Swim-Day-School-custodian-482327311.html  http://www.hubcityradio.com/2018/05/10/arrest-made-in-shooting-at-enemy-swim-day-school/</v>
      </c>
      <c r="L1749" s="8"/>
      <c r="M1749" s="8"/>
      <c r="N1749" s="8">
        <f ca="1">IFERROR(__xludf.DUMMYFUNCTION("""COMPUTED_VALUE"""),3)</f>
        <v>3</v>
      </c>
      <c r="O1749" s="8" t="str">
        <f ca="1">IFERROR(__xludf.DUMMYFUNCTION("""COMPUTED_VALUE"""),"Spring")</f>
        <v>Spring</v>
      </c>
      <c r="P1749" s="8" t="str">
        <f ca="1">IFERROR(__xludf.DUMMYFUNCTION("""COMPUTED_VALUE"""),"Waubay")</f>
        <v>Waubay</v>
      </c>
      <c r="Q1749" s="8" t="str">
        <f ca="1">IFERROR(__xludf.DUMMYFUNCTION("""COMPUTED_VALUE"""),"SD")</f>
        <v>SD</v>
      </c>
      <c r="R1749" s="8" t="str">
        <f ca="1">IFERROR(__xludf.DUMMYFUNCTION("""COMPUTED_VALUE"""),"K-8")</f>
        <v>K-8</v>
      </c>
      <c r="S1749" s="8" t="str">
        <f ca="1">IFERROR(__xludf.DUMMYFUNCTION("""COMPUTED_VALUE"""),"Field (General)")</f>
        <v>Field (General)</v>
      </c>
      <c r="T1749" s="8" t="str">
        <f ca="1">IFERROR(__xludf.DUMMYFUNCTION("""COMPUTED_VALUE"""),"Outside on School Property")</f>
        <v>Outside on School Property</v>
      </c>
      <c r="U1749" s="8" t="str">
        <f ca="1">IFERROR(__xludf.DUMMYFUNCTION("""COMPUTED_VALUE"""),"No")</f>
        <v>No</v>
      </c>
      <c r="V1749" s="8" t="str">
        <f ca="1">IFERROR(__xludf.DUMMYFUNCTION("""COMPUTED_VALUE"""),"Evening")</f>
        <v>Evening</v>
      </c>
      <c r="W1749" s="11">
        <f ca="1">IFERROR(__xludf.DUMMYFUNCTION("""COMPUTED_VALUE"""),0.913194444444444)</f>
        <v>0.91319444444444398</v>
      </c>
      <c r="X1749" s="8">
        <f ca="1">IFERROR(__xludf.DUMMYFUNCTION("""COMPUTED_VALUE"""),1)</f>
        <v>1</v>
      </c>
      <c r="Y1749" s="12" t="str">
        <f ca="1">IFERROR(__xludf.DUMMYFUNCTION("""COMPUTED_VALUE"""),"School employee shot while walking around property, motive unknown")</f>
        <v>School employee shot while walking around property, motive unknown</v>
      </c>
      <c r="Z1749" s="12" t="str">
        <f ca="1">IFERROR(__xludf.DUMMYFUNCTION("""COMPUTED_VALUE"""),"19 year old custodian was checking on the perimeter of the school when he was shot in the chest. Victim was taken to hospital, treated, and released. Suspect was later arrested. No additional information available related to the shooting. Occurred on trib"&amp;"al land.")</f>
        <v>19 year old custodian was checking on the perimeter of the school when he was shot in the chest. Victim was taken to hospital, treated, and released. Suspect was later arrested. No additional information available related to the shooting. Occurred on tribal land.</v>
      </c>
      <c r="AA1749" s="8" t="str">
        <f ca="1">IFERROR(__xludf.DUMMYFUNCTION("""COMPUTED_VALUE"""),"Unknown")</f>
        <v>Unknown</v>
      </c>
      <c r="AB1749" s="8"/>
      <c r="AC1749" s="8" t="str">
        <f ca="1">IFERROR(__xludf.DUMMYFUNCTION("""COMPUTED_VALUE"""),"Yes")</f>
        <v>Yes</v>
      </c>
      <c r="AD1749" s="8"/>
      <c r="AE1749" s="8"/>
      <c r="AF1749" s="8"/>
      <c r="AG1749" s="8" t="str">
        <f ca="1">IFERROR(__xludf.DUMMYFUNCTION("""COMPUTED_VALUE"""),"No")</f>
        <v>No</v>
      </c>
      <c r="AH1749" s="8" t="str">
        <f ca="1">IFERROR(__xludf.DUMMYFUNCTION("""COMPUTED_VALUE"""),"No")</f>
        <v>No</v>
      </c>
      <c r="AI1749" s="8" t="str">
        <f ca="1">IFERROR(__xludf.DUMMYFUNCTION("""COMPUTED_VALUE"""),"No")</f>
        <v>No</v>
      </c>
      <c r="AJ1749" s="8"/>
      <c r="AK1749" s="8"/>
      <c r="AL1749" s="8" t="str">
        <f ca="1">IFERROR(__xludf.DUMMYFUNCTION("""COMPUTED_VALUE"""),"No")</f>
        <v>No</v>
      </c>
      <c r="AM1749" s="8" t="str">
        <f ca="1">IFERROR(__xludf.DUMMYFUNCTION("""COMPUTED_VALUE"""),"No")</f>
        <v>No</v>
      </c>
      <c r="AN1749" s="8"/>
      <c r="AO1749" s="8" t="str">
        <f ca="1">IFERROR(__xludf.DUMMYFUNCTION("""COMPUTED_VALUE"""),"No")</f>
        <v>No</v>
      </c>
      <c r="AP1749" s="8"/>
      <c r="AQ1749" s="8" t="str">
        <f ca="1">IFERROR(__xludf.DUMMYFUNCTION("""COMPUTED_VALUE"""),"Unknown")</f>
        <v>Unknown</v>
      </c>
      <c r="AR1749" s="8" t="str">
        <f ca="1">IFERROR(__xludf.DUMMYFUNCTION("""COMPUTED_VALUE"""),"NA")</f>
        <v>NA</v>
      </c>
      <c r="AS1749" s="8"/>
      <c r="AT1749" s="8"/>
      <c r="AU1749" s="8">
        <f ca="1">IFERROR(__xludf.DUMMYFUNCTION("""COMPUTED_VALUE"""),45.425265)</f>
        <v>45.425265000000003</v>
      </c>
      <c r="AV1749" s="8">
        <f ca="1">IFERROR(__xludf.DUMMYFUNCTION("""COMPUTED_VALUE"""),-97.293287)</f>
        <v>-97.293287000000007</v>
      </c>
      <c r="AW1749" s="8"/>
      <c r="AX1749" s="8">
        <f ca="1">IFERROR(__xludf.DUMMYFUNCTION("""COMPUTED_VALUE"""),57273)</f>
        <v>57273</v>
      </c>
    </row>
    <row r="1750" spans="1:50" ht="75" x14ac:dyDescent="0.2">
      <c r="A1750" s="8" t="str">
        <f ca="1">IFERROR(__xludf.DUMMYFUNCTION("""COMPUTED_VALUE"""),"20180425NMHIA")</f>
        <v>20180425NMHIA</v>
      </c>
      <c r="B1750" s="8">
        <f ca="1">IFERROR(__xludf.DUMMYFUNCTION("""COMPUTED_VALUE"""),4)</f>
        <v>4</v>
      </c>
      <c r="C1750" s="8">
        <f ca="1">IFERROR(__xludf.DUMMYFUNCTION("""COMPUTED_VALUE"""),25)</f>
        <v>25</v>
      </c>
      <c r="D1750" s="8">
        <f ca="1">IFERROR(__xludf.DUMMYFUNCTION("""COMPUTED_VALUE"""),2018)</f>
        <v>2018</v>
      </c>
      <c r="E1750" s="9">
        <f ca="1">IFERROR(__xludf.DUMMYFUNCTION("""COMPUTED_VALUE"""),43215)</f>
        <v>43215</v>
      </c>
      <c r="F1750" s="8" t="str">
        <f ca="1">IFERROR(__xludf.DUMMYFUNCTION("""COMPUTED_VALUE"""),"Highland High School")</f>
        <v>Highland High School</v>
      </c>
      <c r="G1750" s="8">
        <f ca="1">IFERROR(__xludf.DUMMYFUNCTION("""COMPUTED_VALUE"""),0)</f>
        <v>0</v>
      </c>
      <c r="H1750" s="8">
        <f ca="1">IFERROR(__xludf.DUMMYFUNCTION("""COMPUTED_VALUE"""),1)</f>
        <v>1</v>
      </c>
      <c r="I1750" s="8">
        <f ca="1">IFERROR(__xludf.DUMMYFUNCTION("""COMPUTED_VALUE"""),1)</f>
        <v>1</v>
      </c>
      <c r="J1750" s="8">
        <f ca="1">IFERROR(__xludf.DUMMYFUNCTION("""COMPUTED_VALUE"""),0)</f>
        <v>0</v>
      </c>
      <c r="K1750" s="8" t="str">
        <f ca="1">IFERROR(__xludf.DUMMYFUNCTION("""COMPUTED_VALUE"""),"https://www.krqe.com/news/crime/father-of-middle-school-murder-suspect-has-history-of-shooting-near-a-school/ https://www.krqe.com/news/dads-involved-in-highland-high-shooting-get-restraining-orders/?ipid=related-recir https://www.krqe.com/news/police-see"&amp;"k-to-charge-both-parents-in-highland-high-fight-shooting/")</f>
        <v>https://www.krqe.com/news/crime/father-of-middle-school-murder-suspect-has-history-of-shooting-near-a-school/ https://www.krqe.com/news/dads-involved-in-highland-high-shooting-get-restraining-orders/?ipid=related-recir https://www.krqe.com/news/police-seek-to-charge-both-parents-in-highland-high-fight-shooting/</v>
      </c>
      <c r="L1750" s="8">
        <f ca="1">IFERROR(__xludf.DUMMYFUNCTION("""COMPUTED_VALUE"""),3)</f>
        <v>3</v>
      </c>
      <c r="M1750" s="8" t="str">
        <f ca="1">IFERROR(__xludf.DUMMYFUNCTION("""COMPUTED_VALUE"""),"Local")</f>
        <v>Local</v>
      </c>
      <c r="N1750" s="8">
        <f ca="1">IFERROR(__xludf.DUMMYFUNCTION("""COMPUTED_VALUE"""),4)</f>
        <v>4</v>
      </c>
      <c r="O1750" s="8" t="str">
        <f ca="1">IFERROR(__xludf.DUMMYFUNCTION("""COMPUTED_VALUE"""),"Spring")</f>
        <v>Spring</v>
      </c>
      <c r="P1750" s="8" t="str">
        <f ca="1">IFERROR(__xludf.DUMMYFUNCTION("""COMPUTED_VALUE"""),"Albuquerque")</f>
        <v>Albuquerque</v>
      </c>
      <c r="Q1750" s="8" t="str">
        <f ca="1">IFERROR(__xludf.DUMMYFUNCTION("""COMPUTED_VALUE"""),"NM")</f>
        <v>NM</v>
      </c>
      <c r="R1750" s="8" t="str">
        <f ca="1">IFERROR(__xludf.DUMMYFUNCTION("""COMPUTED_VALUE"""),"High")</f>
        <v>High</v>
      </c>
      <c r="S1750" s="8" t="str">
        <f ca="1">IFERROR(__xludf.DUMMYFUNCTION("""COMPUTED_VALUE"""),"Front of School")</f>
        <v>Front of School</v>
      </c>
      <c r="T1750" s="8" t="str">
        <f ca="1">IFERROR(__xludf.DUMMYFUNCTION("""COMPUTED_VALUE"""),"Outside on School Property")</f>
        <v>Outside on School Property</v>
      </c>
      <c r="U1750" s="8" t="str">
        <f ca="1">IFERROR(__xludf.DUMMYFUNCTION("""COMPUTED_VALUE"""),"Yes")</f>
        <v>Yes</v>
      </c>
      <c r="V1750" s="8" t="str">
        <f ca="1">IFERROR(__xludf.DUMMYFUNCTION("""COMPUTED_VALUE"""),"Dismissal")</f>
        <v>Dismissal</v>
      </c>
      <c r="W1750" s="11">
        <f ca="1">IFERROR(__xludf.DUMMYFUNCTION("""COMPUTED_VALUE"""),0.604166666666666)</f>
        <v>0.60416666666666596</v>
      </c>
      <c r="X1750" s="8">
        <f ca="1">IFERROR(__xludf.DUMMYFUNCTION("""COMPUTED_VALUE"""),1)</f>
        <v>1</v>
      </c>
      <c r="Y1750" s="12" t="str">
        <f ca="1">IFERROR(__xludf.DUMMYFUNCTION("""COMPUTED_VALUE"""),"Parent shot another parent during argument in pick-up line")</f>
        <v>Parent shot another parent during argument in pick-up line</v>
      </c>
      <c r="Z1750" s="12" t="str">
        <f ca="1">IFERROR(__xludf.DUMMYFUNCTION("""COMPUTED_VALUE"""),"An adult parent shot another parent multiple times during an argument in the pick-up line of the school. Criminal charges were dropped. Both parents were barred from the campus. On 8/13/2021, the shooter's son shot and killed a student at his school using"&amp;" a weapon owned by the father/shooter.")</f>
        <v>An adult parent shot another parent multiple times during an argument in the pick-up line of the school. Criminal charges were dropped. Both parents were barred from the campus. On 8/13/2021, the shooter's son shot and killed a student at his school using a weapon owned by the father/shooter.</v>
      </c>
      <c r="AA1750" s="8" t="str">
        <f ca="1">IFERROR(__xludf.DUMMYFUNCTION("""COMPUTED_VALUE"""),"Escalation of Dispute")</f>
        <v>Escalation of Dispute</v>
      </c>
      <c r="AB1750" s="8"/>
      <c r="AC1750" s="8" t="str">
        <f ca="1">IFERROR(__xludf.DUMMYFUNCTION("""COMPUTED_VALUE"""),"Yes")</f>
        <v>Yes</v>
      </c>
      <c r="AD1750" s="8" t="str">
        <f ca="1">IFERROR(__xludf.DUMMYFUNCTION("""COMPUTED_VALUE"""),"Victims Targeted")</f>
        <v>Victims Targeted</v>
      </c>
      <c r="AE1750" s="8" t="str">
        <f ca="1">IFERROR(__xludf.DUMMYFUNCTION("""COMPUTED_VALUE"""),"No")</f>
        <v>No</v>
      </c>
      <c r="AF1750" s="8"/>
      <c r="AG1750" s="8" t="str">
        <f ca="1">IFERROR(__xludf.DUMMYFUNCTION("""COMPUTED_VALUE"""),"No")</f>
        <v>No</v>
      </c>
      <c r="AH1750" s="8" t="str">
        <f ca="1">IFERROR(__xludf.DUMMYFUNCTION("""COMPUTED_VALUE"""),"No")</f>
        <v>No</v>
      </c>
      <c r="AI1750" s="8" t="str">
        <f ca="1">IFERROR(__xludf.DUMMYFUNCTION("""COMPUTED_VALUE"""),"No")</f>
        <v>No</v>
      </c>
      <c r="AJ1750" s="8" t="str">
        <f ca="1">IFERROR(__xludf.DUMMYFUNCTION("""COMPUTED_VALUE"""),"No")</f>
        <v>No</v>
      </c>
      <c r="AK1750" s="8" t="str">
        <f ca="1">IFERROR(__xludf.DUMMYFUNCTION("""COMPUTED_VALUE"""),"No")</f>
        <v>No</v>
      </c>
      <c r="AL1750" s="8" t="str">
        <f ca="1">IFERROR(__xludf.DUMMYFUNCTION("""COMPUTED_VALUE"""),"No")</f>
        <v>No</v>
      </c>
      <c r="AM1750" s="8" t="str">
        <f ca="1">IFERROR(__xludf.DUMMYFUNCTION("""COMPUTED_VALUE"""),"No")</f>
        <v>No</v>
      </c>
      <c r="AN1750" s="8"/>
      <c r="AO1750" s="8" t="str">
        <f ca="1">IFERROR(__xludf.DUMMYFUNCTION("""COMPUTED_VALUE"""),"No")</f>
        <v>No</v>
      </c>
      <c r="AP1750" s="8"/>
      <c r="AQ1750" s="8"/>
      <c r="AR1750" s="8" t="str">
        <f ca="1">IFERROR(__xludf.DUMMYFUNCTION("""COMPUTED_VALUE"""),"Outside/Off-Property")</f>
        <v>Outside/Off-Property</v>
      </c>
      <c r="AS1750" s="8"/>
      <c r="AT1750" s="8"/>
      <c r="AU1750" s="8">
        <f ca="1">IFERROR(__xludf.DUMMYFUNCTION("""COMPUTED_VALUE"""),35.073777)</f>
        <v>35.073777</v>
      </c>
      <c r="AV1750" s="8">
        <f ca="1">IFERROR(__xludf.DUMMYFUNCTION("""COMPUTED_VALUE"""),-106.590679)</f>
        <v>-106.59067899999999</v>
      </c>
      <c r="AW1750" s="8"/>
      <c r="AX1750" s="8">
        <f ca="1">IFERROR(__xludf.DUMMYFUNCTION("""COMPUTED_VALUE"""),87108)</f>
        <v>87108</v>
      </c>
    </row>
    <row r="1751" spans="1:50" ht="75" x14ac:dyDescent="0.2">
      <c r="A1751" s="8" t="str">
        <f ca="1">IFERROR(__xludf.DUMMYFUNCTION("""COMPUTED_VALUE"""),"20180423GABEA")</f>
        <v>20180423GABEA</v>
      </c>
      <c r="B1751" s="8">
        <f ca="1">IFERROR(__xludf.DUMMYFUNCTION("""COMPUTED_VALUE"""),4)</f>
        <v>4</v>
      </c>
      <c r="C1751" s="8">
        <f ca="1">IFERROR(__xludf.DUMMYFUNCTION("""COMPUTED_VALUE"""),23)</f>
        <v>23</v>
      </c>
      <c r="D1751" s="8">
        <f ca="1">IFERROR(__xludf.DUMMYFUNCTION("""COMPUTED_VALUE"""),2018)</f>
        <v>2018</v>
      </c>
      <c r="E1751" s="9">
        <f ca="1">IFERROR(__xludf.DUMMYFUNCTION("""COMPUTED_VALUE"""),43213)</f>
        <v>43213</v>
      </c>
      <c r="F1751" s="8" t="str">
        <f ca="1">IFERROR(__xludf.DUMMYFUNCTION("""COMPUTED_VALUE"""),"Benjamin E. Mays High School")</f>
        <v>Benjamin E. Mays High School</v>
      </c>
      <c r="G1751" s="8">
        <f ca="1">IFERROR(__xludf.DUMMYFUNCTION("""COMPUTED_VALUE"""),0)</f>
        <v>0</v>
      </c>
      <c r="H1751" s="8">
        <f ca="1">IFERROR(__xludf.DUMMYFUNCTION("""COMPUTED_VALUE"""),0)</f>
        <v>0</v>
      </c>
      <c r="I1751" s="8">
        <f ca="1">IFERROR(__xludf.DUMMYFUNCTION("""COMPUTED_VALUE"""),0)</f>
        <v>0</v>
      </c>
      <c r="J1751" s="8">
        <f ca="1">IFERROR(__xludf.DUMMYFUNCTION("""COMPUTED_VALUE"""),0)</f>
        <v>0</v>
      </c>
      <c r="K1751" s="10" t="str">
        <f ca="1">IFERROR(__xludf.DUMMYFUNCTION("""COMPUTED_VALUE"""),"http://www.cbs46.com/story/38020869/us-marshals-suspect-involved-in-mays-high-school-shooting-apprehended")</f>
        <v>http://www.cbs46.com/story/38020869/us-marshals-suspect-involved-in-mays-high-school-shooting-apprehended</v>
      </c>
      <c r="L1751" s="8">
        <f ca="1">IFERROR(__xludf.DUMMYFUNCTION("""COMPUTED_VALUE"""),1)</f>
        <v>1</v>
      </c>
      <c r="M1751" s="8" t="str">
        <f ca="1">IFERROR(__xludf.DUMMYFUNCTION("""COMPUTED_VALUE"""),"Local")</f>
        <v>Local</v>
      </c>
      <c r="N1751" s="8">
        <f ca="1">IFERROR(__xludf.DUMMYFUNCTION("""COMPUTED_VALUE"""),2)</f>
        <v>2</v>
      </c>
      <c r="O1751" s="8" t="str">
        <f ca="1">IFERROR(__xludf.DUMMYFUNCTION("""COMPUTED_VALUE"""),"Spring")</f>
        <v>Spring</v>
      </c>
      <c r="P1751" s="8" t="str">
        <f ca="1">IFERROR(__xludf.DUMMYFUNCTION("""COMPUTED_VALUE"""),"Atlanta")</f>
        <v>Atlanta</v>
      </c>
      <c r="Q1751" s="8" t="str">
        <f ca="1">IFERROR(__xludf.DUMMYFUNCTION("""COMPUTED_VALUE"""),"GA")</f>
        <v>GA</v>
      </c>
      <c r="R1751" s="8" t="str">
        <f ca="1">IFERROR(__xludf.DUMMYFUNCTION("""COMPUTED_VALUE"""),"High")</f>
        <v>High</v>
      </c>
      <c r="S1751" s="8" t="str">
        <f ca="1">IFERROR(__xludf.DUMMYFUNCTION("""COMPUTED_VALUE"""),"Parking Lot")</f>
        <v>Parking Lot</v>
      </c>
      <c r="T1751" s="8" t="str">
        <f ca="1">IFERROR(__xludf.DUMMYFUNCTION("""COMPUTED_VALUE"""),"Outside on School Property")</f>
        <v>Outside on School Property</v>
      </c>
      <c r="U1751" s="8" t="str">
        <f ca="1">IFERROR(__xludf.DUMMYFUNCTION("""COMPUTED_VALUE"""),"Yes")</f>
        <v>Yes</v>
      </c>
      <c r="V1751" s="8" t="str">
        <f ca="1">IFERROR(__xludf.DUMMYFUNCTION("""COMPUTED_VALUE"""),"Lunch")</f>
        <v>Lunch</v>
      </c>
      <c r="W1751" s="11">
        <f ca="1">IFERROR(__xludf.DUMMYFUNCTION("""COMPUTED_VALUE"""),0.541666666666666)</f>
        <v>0.54166666666666596</v>
      </c>
      <c r="X1751" s="8">
        <f ca="1">IFERROR(__xludf.DUMMYFUNCTION("""COMPUTED_VALUE"""),1)</f>
        <v>1</v>
      </c>
      <c r="Y1751" s="12" t="str">
        <f ca="1">IFERROR(__xludf.DUMMYFUNCTION("""COMPUTED_VALUE"""),"Shot fired into air during a verbal argument between male and female students")</f>
        <v>Shot fired into air during a verbal argument between male and female students</v>
      </c>
      <c r="Z1751" s="12" t="str">
        <f ca="1">IFERROR(__xludf.DUMMYFUNCTION("""COMPUTED_VALUE"""),"Shot fired into the air after a verbal altercation between a female student and an acquaintance male who was not a student. Shot broke car glass and the female was hurt. Male shooter fired in the air while fleeing the scene in a car.")</f>
        <v>Shot fired into the air after a verbal altercation between a female student and an acquaintance male who was not a student. Shot broke car glass and the female was hurt. Male shooter fired in the air while fleeing the scene in a car.</v>
      </c>
      <c r="AA1751" s="8" t="str">
        <f ca="1">IFERROR(__xludf.DUMMYFUNCTION("""COMPUTED_VALUE"""),"Escalation of Dispute")</f>
        <v>Escalation of Dispute</v>
      </c>
      <c r="AB1751" s="8"/>
      <c r="AC1751" s="8" t="str">
        <f ca="1">IFERROR(__xludf.DUMMYFUNCTION("""COMPUTED_VALUE"""),"Yes")</f>
        <v>Yes</v>
      </c>
      <c r="AD1751" s="8" t="str">
        <f ca="1">IFERROR(__xludf.DUMMYFUNCTION("""COMPUTED_VALUE"""),"Victims Targeted")</f>
        <v>Victims Targeted</v>
      </c>
      <c r="AE1751" s="8"/>
      <c r="AF1751" s="8"/>
      <c r="AG1751" s="8" t="str">
        <f ca="1">IFERROR(__xludf.DUMMYFUNCTION("""COMPUTED_VALUE"""),"No")</f>
        <v>No</v>
      </c>
      <c r="AH1751" s="8" t="str">
        <f ca="1">IFERROR(__xludf.DUMMYFUNCTION("""COMPUTED_VALUE"""),"No")</f>
        <v>No</v>
      </c>
      <c r="AI1751" s="8" t="str">
        <f ca="1">IFERROR(__xludf.DUMMYFUNCTION("""COMPUTED_VALUE"""),"No")</f>
        <v>No</v>
      </c>
      <c r="AJ1751" s="8" t="str">
        <f ca="1">IFERROR(__xludf.DUMMYFUNCTION("""COMPUTED_VALUE"""),"No")</f>
        <v>No</v>
      </c>
      <c r="AK1751" s="8" t="str">
        <f ca="1">IFERROR(__xludf.DUMMYFUNCTION("""COMPUTED_VALUE"""),"Yes")</f>
        <v>Yes</v>
      </c>
      <c r="AL1751" s="8" t="str">
        <f ca="1">IFERROR(__xludf.DUMMYFUNCTION("""COMPUTED_VALUE"""),"No")</f>
        <v>No</v>
      </c>
      <c r="AM1751" s="8" t="str">
        <f ca="1">IFERROR(__xludf.DUMMYFUNCTION("""COMPUTED_VALUE"""),"No")</f>
        <v>No</v>
      </c>
      <c r="AN1751" s="8"/>
      <c r="AO1751" s="8" t="str">
        <f ca="1">IFERROR(__xludf.DUMMYFUNCTION("""COMPUTED_VALUE"""),"No")</f>
        <v>No</v>
      </c>
      <c r="AP1751" s="8"/>
      <c r="AQ1751" s="8" t="str">
        <f ca="1">IFERROR(__xludf.DUMMYFUNCTION("""COMPUTED_VALUE"""),"Unknown")</f>
        <v>Unknown</v>
      </c>
      <c r="AR1751" s="8" t="str">
        <f ca="1">IFERROR(__xludf.DUMMYFUNCTION("""COMPUTED_VALUE"""),"NA")</f>
        <v>NA</v>
      </c>
      <c r="AS1751" s="8">
        <f ca="1">IFERROR(__xludf.DUMMYFUNCTION("""COMPUTED_VALUE"""),1)</f>
        <v>1</v>
      </c>
      <c r="AT1751" s="8" t="str">
        <f ca="1">IFERROR(__xludf.DUMMYFUNCTION("""COMPUTED_VALUE"""),"Yes")</f>
        <v>Yes</v>
      </c>
      <c r="AU1751" s="8">
        <f ca="1">IFERROR(__xludf.DUMMYFUNCTION("""COMPUTED_VALUE"""),33.73405)</f>
        <v>33.734050000000003</v>
      </c>
      <c r="AV1751" s="8">
        <f ca="1">IFERROR(__xludf.DUMMYFUNCTION("""COMPUTED_VALUE"""),-84.503884)</f>
        <v>-84.503883999999999</v>
      </c>
      <c r="AW1751" s="8"/>
      <c r="AX1751" s="8">
        <f ca="1">IFERROR(__xludf.DUMMYFUNCTION("""COMPUTED_VALUE"""),30331)</f>
        <v>30331</v>
      </c>
    </row>
    <row r="1752" spans="1:50" ht="90" x14ac:dyDescent="0.2">
      <c r="A1752" s="8" t="str">
        <f ca="1">IFERROR(__xludf.DUMMYFUNCTION("""COMPUTED_VALUE"""),"20180420FLFOO")</f>
        <v>20180420FLFOO</v>
      </c>
      <c r="B1752" s="8">
        <f ca="1">IFERROR(__xludf.DUMMYFUNCTION("""COMPUTED_VALUE"""),4)</f>
        <v>4</v>
      </c>
      <c r="C1752" s="8">
        <f ca="1">IFERROR(__xludf.DUMMYFUNCTION("""COMPUTED_VALUE"""),20)</f>
        <v>20</v>
      </c>
      <c r="D1752" s="8">
        <f ca="1">IFERROR(__xludf.DUMMYFUNCTION("""COMPUTED_VALUE"""),2018)</f>
        <v>2018</v>
      </c>
      <c r="E1752" s="9">
        <f ca="1">IFERROR(__xludf.DUMMYFUNCTION("""COMPUTED_VALUE"""),43210)</f>
        <v>43210</v>
      </c>
      <c r="F1752" s="8" t="str">
        <f ca="1">IFERROR(__xludf.DUMMYFUNCTION("""COMPUTED_VALUE"""),"Forest High School")</f>
        <v>Forest High School</v>
      </c>
      <c r="G1752" s="8">
        <f ca="1">IFERROR(__xludf.DUMMYFUNCTION("""COMPUTED_VALUE"""),0)</f>
        <v>0</v>
      </c>
      <c r="H1752" s="8">
        <f ca="1">IFERROR(__xludf.DUMMYFUNCTION("""COMPUTED_VALUE"""),1)</f>
        <v>1</v>
      </c>
      <c r="I1752" s="8">
        <f ca="1">IFERROR(__xludf.DUMMYFUNCTION("""COMPUTED_VALUE"""),1)</f>
        <v>1</v>
      </c>
      <c r="J1752" s="8">
        <f ca="1">IFERROR(__xludf.DUMMYFUNCTION("""COMPUTED_VALUE"""),0)</f>
        <v>0</v>
      </c>
      <c r="K1752" s="8" t="str">
        <f ca="1">IFERROR(__xludf.DUMMYFUNCTION("""COMPUTED_VALUE"""),"https://mycbs4.com/news/local/school-shooter-sentenced-to-30-years-in-prison-for-2018-shooting-at-ocala-high-school http://www.ocala.com/news/20180521/ocala-school-shooter-charged-could-face-life")</f>
        <v>https://mycbs4.com/news/local/school-shooter-sentenced-to-30-years-in-prison-for-2018-shooting-at-ocala-high-school http://www.ocala.com/news/20180521/ocala-school-shooter-charged-could-face-life</v>
      </c>
      <c r="L1752" s="8">
        <f ca="1">IFERROR(__xludf.DUMMYFUNCTION("""COMPUTED_VALUE"""),999)</f>
        <v>999</v>
      </c>
      <c r="M1752" s="8" t="str">
        <f ca="1">IFERROR(__xludf.DUMMYFUNCTION("""COMPUTED_VALUE"""),"National")</f>
        <v>National</v>
      </c>
      <c r="N1752" s="8">
        <f ca="1">IFERROR(__xludf.DUMMYFUNCTION("""COMPUTED_VALUE"""),5)</f>
        <v>5</v>
      </c>
      <c r="O1752" s="8" t="str">
        <f ca="1">IFERROR(__xludf.DUMMYFUNCTION("""COMPUTED_VALUE"""),"Spring")</f>
        <v>Spring</v>
      </c>
      <c r="P1752" s="8" t="str">
        <f ca="1">IFERROR(__xludf.DUMMYFUNCTION("""COMPUTED_VALUE"""),"Ocala")</f>
        <v>Ocala</v>
      </c>
      <c r="Q1752" s="8" t="str">
        <f ca="1">IFERROR(__xludf.DUMMYFUNCTION("""COMPUTED_VALUE"""),"FL")</f>
        <v>FL</v>
      </c>
      <c r="R1752" s="8" t="str">
        <f ca="1">IFERROR(__xludf.DUMMYFUNCTION("""COMPUTED_VALUE"""),"High")</f>
        <v>High</v>
      </c>
      <c r="S1752" s="8" t="str">
        <f ca="1">IFERROR(__xludf.DUMMYFUNCTION("""COMPUTED_VALUE"""),"Classroom")</f>
        <v>Classroom</v>
      </c>
      <c r="T1752" s="8" t="str">
        <f ca="1">IFERROR(__xludf.DUMMYFUNCTION("""COMPUTED_VALUE"""),"Inside School Building")</f>
        <v>Inside School Building</v>
      </c>
      <c r="U1752" s="8" t="str">
        <f ca="1">IFERROR(__xludf.DUMMYFUNCTION("""COMPUTED_VALUE"""),"Yes")</f>
        <v>Yes</v>
      </c>
      <c r="V1752" s="8" t="str">
        <f ca="1">IFERROR(__xludf.DUMMYFUNCTION("""COMPUTED_VALUE"""),"Morning Classes")</f>
        <v>Morning Classes</v>
      </c>
      <c r="W1752" s="11">
        <f ca="1">IFERROR(__xludf.DUMMYFUNCTION("""COMPUTED_VALUE"""),0.360416666666666)</f>
        <v>0.360416666666666</v>
      </c>
      <c r="X1752" s="8">
        <f ca="1">IFERROR(__xludf.DUMMYFUNCTION("""COMPUTED_VALUE"""),1)</f>
        <v>1</v>
      </c>
      <c r="Y1752" s="12" t="str">
        <f ca="1">IFERROR(__xludf.DUMMYFUNCTION("""COMPUTED_VALUE"""),"Planned attack on school by heavily armed shooter")</f>
        <v>Planned attack on school by heavily armed shooter</v>
      </c>
      <c r="Z1752" s="12" t="str">
        <f ca="1">IFERROR(__xludf.DUMMYFUNCTION("""COMPUTED_VALUE"""),"Shooter walked into Forest High School carrying a guitar case, according to the Marion County Sheriff's Office. Inside of the case was a sawed-off shotgun. Shooter fired the shotgun through a door, injuring a student, according to the sheriff's office. Af"&amp;"ter injuring the student, he stopped shooting and was taken into custody.")</f>
        <v>Shooter walked into Forest High School carrying a guitar case, according to the Marion County Sheriff's Office. Inside of the case was a sawed-off shotgun. Shooter fired the shotgun through a door, injuring a student, according to the sheriff's office. After injuring the student, he stopped shooting and was taken into custody.</v>
      </c>
      <c r="AA1752" s="8" t="str">
        <f ca="1">IFERROR(__xludf.DUMMYFUNCTION("""COMPUTED_VALUE"""),"Indiscriminate Shooting")</f>
        <v>Indiscriminate Shooting</v>
      </c>
      <c r="AB1752" s="8"/>
      <c r="AC1752" s="8" t="str">
        <f ca="1">IFERROR(__xludf.DUMMYFUNCTION("""COMPUTED_VALUE"""),"Yes")</f>
        <v>Yes</v>
      </c>
      <c r="AD1752" s="8" t="str">
        <f ca="1">IFERROR(__xludf.DUMMYFUNCTION("""COMPUTED_VALUE"""),"Random Shooting")</f>
        <v>Random Shooting</v>
      </c>
      <c r="AE1752" s="8" t="str">
        <f ca="1">IFERROR(__xludf.DUMMYFUNCTION("""COMPUTED_VALUE"""),"No")</f>
        <v>No</v>
      </c>
      <c r="AF1752" s="8"/>
      <c r="AG1752" s="8" t="str">
        <f ca="1">IFERROR(__xludf.DUMMYFUNCTION("""COMPUTED_VALUE"""),"No")</f>
        <v>No</v>
      </c>
      <c r="AH1752" s="8" t="str">
        <f ca="1">IFERROR(__xludf.DUMMYFUNCTION("""COMPUTED_VALUE"""),"No")</f>
        <v>No</v>
      </c>
      <c r="AI1752" s="8" t="str">
        <f ca="1">IFERROR(__xludf.DUMMYFUNCTION("""COMPUTED_VALUE"""),"No")</f>
        <v>No</v>
      </c>
      <c r="AJ1752" s="8" t="str">
        <f ca="1">IFERROR(__xludf.DUMMYFUNCTION("""COMPUTED_VALUE"""),"No")</f>
        <v>No</v>
      </c>
      <c r="AK1752" s="8" t="str">
        <f ca="1">IFERROR(__xludf.DUMMYFUNCTION("""COMPUTED_VALUE"""),"No")</f>
        <v>No</v>
      </c>
      <c r="AL1752" s="8" t="str">
        <f ca="1">IFERROR(__xludf.DUMMYFUNCTION("""COMPUTED_VALUE"""),"No")</f>
        <v>No</v>
      </c>
      <c r="AM1752" s="8" t="str">
        <f ca="1">IFERROR(__xludf.DUMMYFUNCTION("""COMPUTED_VALUE"""),"Yes")</f>
        <v>Yes</v>
      </c>
      <c r="AN1752" s="8" t="str">
        <f ca="1">IFERROR(__xludf.DUMMYFUNCTION("""COMPUTED_VALUE"""),"Hallway")</f>
        <v>Hallway</v>
      </c>
      <c r="AO1752" s="8" t="str">
        <f ca="1">IFERROR(__xludf.DUMMYFUNCTION("""COMPUTED_VALUE"""),"Yes")</f>
        <v>Yes</v>
      </c>
      <c r="AP1752" s="8" t="str">
        <f ca="1">IFERROR(__xludf.DUMMYFUNCTION("""COMPUTED_VALUE"""),"Yes")</f>
        <v>Yes</v>
      </c>
      <c r="AQ1752" s="8" t="str">
        <f ca="1">IFERROR(__xludf.DUMMYFUNCTION("""COMPUTED_VALUE"""),"Unknown")</f>
        <v>Unknown</v>
      </c>
      <c r="AR1752" s="8" t="str">
        <f ca="1">IFERROR(__xludf.DUMMYFUNCTION("""COMPUTED_VALUE"""),"NA")</f>
        <v>NA</v>
      </c>
      <c r="AS1752" s="8"/>
      <c r="AT1752" s="8" t="str">
        <f ca="1">IFERROR(__xludf.DUMMYFUNCTION("""COMPUTED_VALUE"""),"Yes")</f>
        <v>Yes</v>
      </c>
      <c r="AU1752" s="8">
        <f ca="1">IFERROR(__xludf.DUMMYFUNCTION("""COMPUTED_VALUE"""),29.14362)</f>
        <v>29.143619999999999</v>
      </c>
      <c r="AV1752" s="8">
        <f ca="1">IFERROR(__xludf.DUMMYFUNCTION("""COMPUTED_VALUE"""),-82.066682)</f>
        <v>-82.066682</v>
      </c>
      <c r="AW1752" s="8"/>
      <c r="AX1752" s="8">
        <f ca="1">IFERROR(__xludf.DUMMYFUNCTION("""COMPUTED_VALUE"""),34480)</f>
        <v>34480</v>
      </c>
    </row>
    <row r="1753" spans="1:50" ht="60" x14ac:dyDescent="0.2">
      <c r="A1753" s="8" t="str">
        <f ca="1">IFERROR(__xludf.DUMMYFUNCTION("""COMPUTED_VALUE"""),"20180419MIJAJ")</f>
        <v>20180419MIJAJ</v>
      </c>
      <c r="B1753" s="8">
        <f ca="1">IFERROR(__xludf.DUMMYFUNCTION("""COMPUTED_VALUE"""),4)</f>
        <v>4</v>
      </c>
      <c r="C1753" s="8">
        <f ca="1">IFERROR(__xludf.DUMMYFUNCTION("""COMPUTED_VALUE"""),19)</f>
        <v>19</v>
      </c>
      <c r="D1753" s="8">
        <f ca="1">IFERROR(__xludf.DUMMYFUNCTION("""COMPUTED_VALUE"""),2018)</f>
        <v>2018</v>
      </c>
      <c r="E1753" s="9">
        <f ca="1">IFERROR(__xludf.DUMMYFUNCTION("""COMPUTED_VALUE"""),43209)</f>
        <v>43209</v>
      </c>
      <c r="F1753" s="8" t="str">
        <f ca="1">IFERROR(__xludf.DUMMYFUNCTION("""COMPUTED_VALUE"""),"Jackson High School")</f>
        <v>Jackson High School</v>
      </c>
      <c r="G1753" s="8">
        <f ca="1">IFERROR(__xludf.DUMMYFUNCTION("""COMPUTED_VALUE"""),0)</f>
        <v>0</v>
      </c>
      <c r="H1753" s="8">
        <f ca="1">IFERROR(__xludf.DUMMYFUNCTION("""COMPUTED_VALUE"""),0)</f>
        <v>0</v>
      </c>
      <c r="I1753" s="8">
        <f ca="1">IFERROR(__xludf.DUMMYFUNCTION("""COMPUTED_VALUE"""),0)</f>
        <v>0</v>
      </c>
      <c r="J1753" s="8">
        <f ca="1">IFERROR(__xludf.DUMMYFUNCTION("""COMPUTED_VALUE"""),0)</f>
        <v>0</v>
      </c>
      <c r="K1753" s="10" t="str">
        <f ca="1">IFERROR(__xludf.DUMMYFUNCTION("""COMPUTED_VALUE"""),"https://www.mlive.com/news/jackson/index.ssf/2018/04/no_arrests_made_yet_after_jack.html")</f>
        <v>https://www.mlive.com/news/jackson/index.ssf/2018/04/no_arrests_made_yet_after_jack.html</v>
      </c>
      <c r="L1753" s="8"/>
      <c r="M1753" s="8"/>
      <c r="N1753" s="8">
        <f ca="1">IFERROR(__xludf.DUMMYFUNCTION("""COMPUTED_VALUE"""),2)</f>
        <v>2</v>
      </c>
      <c r="O1753" s="8" t="str">
        <f ca="1">IFERROR(__xludf.DUMMYFUNCTION("""COMPUTED_VALUE"""),"Spring")</f>
        <v>Spring</v>
      </c>
      <c r="P1753" s="8" t="str">
        <f ca="1">IFERROR(__xludf.DUMMYFUNCTION("""COMPUTED_VALUE"""),"Jackson")</f>
        <v>Jackson</v>
      </c>
      <c r="Q1753" s="8" t="str">
        <f ca="1">IFERROR(__xludf.DUMMYFUNCTION("""COMPUTED_VALUE"""),"MI")</f>
        <v>MI</v>
      </c>
      <c r="R1753" s="8" t="str">
        <f ca="1">IFERROR(__xludf.DUMMYFUNCTION("""COMPUTED_VALUE"""),"High")</f>
        <v>High</v>
      </c>
      <c r="S1753" s="8" t="str">
        <f ca="1">IFERROR(__xludf.DUMMYFUNCTION("""COMPUTED_VALUE"""),"Off School Property")</f>
        <v>Off School Property</v>
      </c>
      <c r="T1753" s="8" t="str">
        <f ca="1">IFERROR(__xludf.DUMMYFUNCTION("""COMPUTED_VALUE"""),"Off School Property")</f>
        <v>Off School Property</v>
      </c>
      <c r="U1753" s="8" t="str">
        <f ca="1">IFERROR(__xludf.DUMMYFUNCTION("""COMPUTED_VALUE"""),"Yes")</f>
        <v>Yes</v>
      </c>
      <c r="V1753" s="8" t="str">
        <f ca="1">IFERROR(__xludf.DUMMYFUNCTION("""COMPUTED_VALUE"""),"Afternoon Classes")</f>
        <v>Afternoon Classes</v>
      </c>
      <c r="W1753" s="11">
        <f ca="1">IFERROR(__xludf.DUMMYFUNCTION("""COMPUTED_VALUE"""),0.572222222222222)</f>
        <v>0.57222222222222197</v>
      </c>
      <c r="X1753" s="8">
        <f ca="1">IFERROR(__xludf.DUMMYFUNCTION("""COMPUTED_VALUE"""),1)</f>
        <v>1</v>
      </c>
      <c r="Y1753" s="12" t="str">
        <f ca="1">IFERROR(__xludf.DUMMYFUNCTION("""COMPUTED_VALUE"""),"Two shots struck windows of occupied classroom")</f>
        <v>Two shots struck windows of occupied classroom</v>
      </c>
      <c r="Z1753" s="12" t="str">
        <f ca="1">IFERROR(__xludf.DUMMYFUNCTION("""COMPUTED_VALUE"""),"Two shots broke windows of occupied classroom. No injuries. Police believed the shots were from a handgun fired at the apartment complex across the street. No motive or suspect. Did not appear school was target.")</f>
        <v>Two shots broke windows of occupied classroom. No injuries. Police believed the shots were from a handgun fired at the apartment complex across the street. No motive or suspect. Did not appear school was target.</v>
      </c>
      <c r="AA1753" s="8" t="str">
        <f ca="1">IFERROR(__xludf.DUMMYFUNCTION("""COMPUTED_VALUE"""),"Unknown")</f>
        <v>Unknown</v>
      </c>
      <c r="AB1753" s="8"/>
      <c r="AC1753" s="8" t="str">
        <f ca="1">IFERROR(__xludf.DUMMYFUNCTION("""COMPUTED_VALUE"""),"Yes")</f>
        <v>Yes</v>
      </c>
      <c r="AD1753" s="8" t="str">
        <f ca="1">IFERROR(__xludf.DUMMYFUNCTION("""COMPUTED_VALUE"""),"Neither")</f>
        <v>Neither</v>
      </c>
      <c r="AE1753" s="8" t="str">
        <f ca="1">IFERROR(__xludf.DUMMYFUNCTION("""COMPUTED_VALUE"""),"Unknown")</f>
        <v>Unknown</v>
      </c>
      <c r="AF1753" s="8"/>
      <c r="AG1753" s="8" t="str">
        <f ca="1">IFERROR(__xludf.DUMMYFUNCTION("""COMPUTED_VALUE"""),"No")</f>
        <v>No</v>
      </c>
      <c r="AH1753" s="8" t="str">
        <f ca="1">IFERROR(__xludf.DUMMYFUNCTION("""COMPUTED_VALUE"""),"No")</f>
        <v>No</v>
      </c>
      <c r="AI1753" s="8" t="str">
        <f ca="1">IFERROR(__xludf.DUMMYFUNCTION("""COMPUTED_VALUE"""),"No")</f>
        <v>No</v>
      </c>
      <c r="AJ1753" s="8" t="str">
        <f ca="1">IFERROR(__xludf.DUMMYFUNCTION("""COMPUTED_VALUE"""),"No")</f>
        <v>No</v>
      </c>
      <c r="AK1753" s="8" t="str">
        <f ca="1">IFERROR(__xludf.DUMMYFUNCTION("""COMPUTED_VALUE"""),"No")</f>
        <v>No</v>
      </c>
      <c r="AL1753" s="8"/>
      <c r="AM1753" s="8" t="str">
        <f ca="1">IFERROR(__xludf.DUMMYFUNCTION("""COMPUTED_VALUE"""),"No")</f>
        <v>No</v>
      </c>
      <c r="AN1753" s="8"/>
      <c r="AO1753" s="8" t="str">
        <f ca="1">IFERROR(__xludf.DUMMYFUNCTION("""COMPUTED_VALUE"""),"No")</f>
        <v>No</v>
      </c>
      <c r="AP1753" s="8"/>
      <c r="AQ1753" s="8" t="str">
        <f ca="1">IFERROR(__xludf.DUMMYFUNCTION("""COMPUTED_VALUE"""),"Unknown")</f>
        <v>Unknown</v>
      </c>
      <c r="AR1753" s="8" t="str">
        <f ca="1">IFERROR(__xludf.DUMMYFUNCTION("""COMPUTED_VALUE"""),"NA")</f>
        <v>NA</v>
      </c>
      <c r="AS1753" s="8">
        <f ca="1">IFERROR(__xludf.DUMMYFUNCTION("""COMPUTED_VALUE"""),2)</f>
        <v>2</v>
      </c>
      <c r="AT1753" s="8" t="str">
        <f ca="1">IFERROR(__xludf.DUMMYFUNCTION("""COMPUTED_VALUE"""),"Yes")</f>
        <v>Yes</v>
      </c>
      <c r="AU1753" s="8">
        <f ca="1">IFERROR(__xludf.DUMMYFUNCTION("""COMPUTED_VALUE"""),42.24967)</f>
        <v>42.249670000000002</v>
      </c>
      <c r="AV1753" s="8">
        <f ca="1">IFERROR(__xludf.DUMMYFUNCTION("""COMPUTED_VALUE"""),-84.418605)</f>
        <v>-84.418604999999999</v>
      </c>
      <c r="AW1753" s="8"/>
      <c r="AX1753" s="8">
        <f ca="1">IFERROR(__xludf.DUMMYFUNCTION("""COMPUTED_VALUE"""),49201)</f>
        <v>49201</v>
      </c>
    </row>
    <row r="1754" spans="1:50" ht="45" x14ac:dyDescent="0.2">
      <c r="A1754" s="8" t="str">
        <f ca="1">IFERROR(__xludf.DUMMYFUNCTION("""COMPUTED_VALUE"""),"20180412MORAR")</f>
        <v>20180412MORAR</v>
      </c>
      <c r="B1754" s="8">
        <f ca="1">IFERROR(__xludf.DUMMYFUNCTION("""COMPUTED_VALUE"""),4)</f>
        <v>4</v>
      </c>
      <c r="C1754" s="8">
        <f ca="1">IFERROR(__xludf.DUMMYFUNCTION("""COMPUTED_VALUE"""),12)</f>
        <v>12</v>
      </c>
      <c r="D1754" s="8">
        <f ca="1">IFERROR(__xludf.DUMMYFUNCTION("""COMPUTED_VALUE"""),2018)</f>
        <v>2018</v>
      </c>
      <c r="E1754" s="9">
        <f ca="1">IFERROR(__xludf.DUMMYFUNCTION("""COMPUTED_VALUE"""),43202)</f>
        <v>43202</v>
      </c>
      <c r="F1754" s="8" t="str">
        <f ca="1">IFERROR(__xludf.DUMMYFUNCTION("""COMPUTED_VALUE"""),"Rayton South Middle School")</f>
        <v>Rayton South Middle School</v>
      </c>
      <c r="G1754" s="8">
        <f ca="1">IFERROR(__xludf.DUMMYFUNCTION("""COMPUTED_VALUE"""),0)</f>
        <v>0</v>
      </c>
      <c r="H1754" s="8">
        <f ca="1">IFERROR(__xludf.DUMMYFUNCTION("""COMPUTED_VALUE"""),1)</f>
        <v>1</v>
      </c>
      <c r="I1754" s="8">
        <f ca="1">IFERROR(__xludf.DUMMYFUNCTION("""COMPUTED_VALUE"""),1)</f>
        <v>1</v>
      </c>
      <c r="J1754" s="8">
        <f ca="1">IFERROR(__xludf.DUMMYFUNCTION("""COMPUTED_VALUE"""),0)</f>
        <v>0</v>
      </c>
      <c r="K1754" s="10" t="str">
        <f ca="1">IFERROR(__xludf.DUMMYFUNCTION("""COMPUTED_VALUE"""),"http://www.kansascity.com/news/local/crime/article208770464.html")</f>
        <v>http://www.kansascity.com/news/local/crime/article208770464.html</v>
      </c>
      <c r="L1754" s="8"/>
      <c r="M1754" s="8"/>
      <c r="N1754" s="8">
        <f ca="1">IFERROR(__xludf.DUMMYFUNCTION("""COMPUTED_VALUE"""),2)</f>
        <v>2</v>
      </c>
      <c r="O1754" s="8" t="str">
        <f ca="1">IFERROR(__xludf.DUMMYFUNCTION("""COMPUTED_VALUE"""),"Spring")</f>
        <v>Spring</v>
      </c>
      <c r="P1754" s="8" t="str">
        <f ca="1">IFERROR(__xludf.DUMMYFUNCTION("""COMPUTED_VALUE"""),"Rayton")</f>
        <v>Rayton</v>
      </c>
      <c r="Q1754" s="8" t="str">
        <f ca="1">IFERROR(__xludf.DUMMYFUNCTION("""COMPUTED_VALUE"""),"MO")</f>
        <v>MO</v>
      </c>
      <c r="R1754" s="8" t="str">
        <f ca="1">IFERROR(__xludf.DUMMYFUNCTION("""COMPUTED_VALUE"""),"Middle")</f>
        <v>Middle</v>
      </c>
      <c r="S1754" s="8" t="str">
        <f ca="1">IFERROR(__xludf.DUMMYFUNCTION("""COMPUTED_VALUE"""),"Parking Lot")</f>
        <v>Parking Lot</v>
      </c>
      <c r="T1754" s="8" t="str">
        <f ca="1">IFERROR(__xludf.DUMMYFUNCTION("""COMPUTED_VALUE"""),"Outside on School Property")</f>
        <v>Outside on School Property</v>
      </c>
      <c r="U1754" s="8" t="str">
        <f ca="1">IFERROR(__xludf.DUMMYFUNCTION("""COMPUTED_VALUE"""),"No")</f>
        <v>No</v>
      </c>
      <c r="V1754" s="8" t="str">
        <f ca="1">IFERROR(__xludf.DUMMYFUNCTION("""COMPUTED_VALUE"""),"Sport Event")</f>
        <v>Sport Event</v>
      </c>
      <c r="W1754" s="11">
        <f ca="1">IFERROR(__xludf.DUMMYFUNCTION("""COMPUTED_VALUE"""),0.729166666666666)</f>
        <v>0.72916666666666596</v>
      </c>
      <c r="X1754" s="8">
        <f ca="1">IFERROR(__xludf.DUMMYFUNCTION("""COMPUTED_VALUE"""),1)</f>
        <v>1</v>
      </c>
      <c r="Y1754" s="12" t="str">
        <f ca="1">IFERROR(__xludf.DUMMYFUNCTION("""COMPUTED_VALUE"""),"Parent shot in parking lot")</f>
        <v>Parent shot in parking lot</v>
      </c>
      <c r="Z1754" s="12" t="str">
        <f ca="1">IFERROR(__xludf.DUMMYFUNCTION("""COMPUTED_VALUE"""),"37 year old victim was shot in the parking lot of the school during a multiple school track meet. The unidentified shooter fled the scene in a car. No details about motive.")</f>
        <v>37 year old victim was shot in the parking lot of the school during a multiple school track meet. The unidentified shooter fled the scene in a car. No details about motive.</v>
      </c>
      <c r="AA1754" s="8" t="str">
        <f ca="1">IFERROR(__xludf.DUMMYFUNCTION("""COMPUTED_VALUE"""),"Escalation of Dispute")</f>
        <v>Escalation of Dispute</v>
      </c>
      <c r="AB1754" s="8"/>
      <c r="AC1754" s="8" t="str">
        <f ca="1">IFERROR(__xludf.DUMMYFUNCTION("""COMPUTED_VALUE"""),"Yes")</f>
        <v>Yes</v>
      </c>
      <c r="AD1754" s="8" t="str">
        <f ca="1">IFERROR(__xludf.DUMMYFUNCTION("""COMPUTED_VALUE"""),"Victims Targeted")</f>
        <v>Victims Targeted</v>
      </c>
      <c r="AE1754" s="8"/>
      <c r="AF1754" s="8"/>
      <c r="AG1754" s="8" t="str">
        <f ca="1">IFERROR(__xludf.DUMMYFUNCTION("""COMPUTED_VALUE"""),"No")</f>
        <v>No</v>
      </c>
      <c r="AH1754" s="8" t="str">
        <f ca="1">IFERROR(__xludf.DUMMYFUNCTION("""COMPUTED_VALUE"""),"No")</f>
        <v>No</v>
      </c>
      <c r="AI1754" s="8" t="str">
        <f ca="1">IFERROR(__xludf.DUMMYFUNCTION("""COMPUTED_VALUE"""),"No")</f>
        <v>No</v>
      </c>
      <c r="AJ1754" s="8" t="str">
        <f ca="1">IFERROR(__xludf.DUMMYFUNCTION("""COMPUTED_VALUE"""),"No")</f>
        <v>No</v>
      </c>
      <c r="AK1754" s="8" t="str">
        <f ca="1">IFERROR(__xludf.DUMMYFUNCTION("""COMPUTED_VALUE"""),"No")</f>
        <v>No</v>
      </c>
      <c r="AL1754" s="8" t="str">
        <f ca="1">IFERROR(__xludf.DUMMYFUNCTION("""COMPUTED_VALUE"""),"No")</f>
        <v>No</v>
      </c>
      <c r="AM1754" s="8" t="str">
        <f ca="1">IFERROR(__xludf.DUMMYFUNCTION("""COMPUTED_VALUE"""),"No")</f>
        <v>No</v>
      </c>
      <c r="AN1754" s="8"/>
      <c r="AO1754" s="8" t="str">
        <f ca="1">IFERROR(__xludf.DUMMYFUNCTION("""COMPUTED_VALUE"""),"No")</f>
        <v>No</v>
      </c>
      <c r="AP1754" s="8"/>
      <c r="AQ1754" s="8" t="str">
        <f ca="1">IFERROR(__xludf.DUMMYFUNCTION("""COMPUTED_VALUE"""),"Unknown")</f>
        <v>Unknown</v>
      </c>
      <c r="AR1754" s="8" t="str">
        <f ca="1">IFERROR(__xludf.DUMMYFUNCTION("""COMPUTED_VALUE"""),"NA")</f>
        <v>NA</v>
      </c>
      <c r="AS1754" s="8"/>
      <c r="AT1754" s="8" t="str">
        <f ca="1">IFERROR(__xludf.DUMMYFUNCTION("""COMPUTED_VALUE"""),"Yes")</f>
        <v>Yes</v>
      </c>
      <c r="AU1754" s="8">
        <f ca="1">IFERROR(__xludf.DUMMYFUNCTION("""COMPUTED_VALUE"""),38.972623)</f>
        <v>38.972622999999999</v>
      </c>
      <c r="AV1754" s="8">
        <f ca="1">IFERROR(__xludf.DUMMYFUNCTION("""COMPUTED_VALUE"""),-94.490075)</f>
        <v>-94.490075000000004</v>
      </c>
      <c r="AW1754" s="8"/>
      <c r="AX1754" s="8">
        <f ca="1">IFERROR(__xludf.DUMMYFUNCTION("""COMPUTED_VALUE"""),64138)</f>
        <v>64138</v>
      </c>
    </row>
    <row r="1755" spans="1:50" ht="90" x14ac:dyDescent="0.2">
      <c r="A1755" s="8" t="str">
        <f ca="1">IFERROR(__xludf.DUMMYFUNCTION("""COMPUTED_VALUE"""),"20180409NYGLG")</f>
        <v>20180409NYGLG</v>
      </c>
      <c r="B1755" s="8">
        <f ca="1">IFERROR(__xludf.DUMMYFUNCTION("""COMPUTED_VALUE"""),4)</f>
        <v>4</v>
      </c>
      <c r="C1755" s="8">
        <f ca="1">IFERROR(__xludf.DUMMYFUNCTION("""COMPUTED_VALUE"""),9)</f>
        <v>9</v>
      </c>
      <c r="D1755" s="8">
        <f ca="1">IFERROR(__xludf.DUMMYFUNCTION("""COMPUTED_VALUE"""),2018)</f>
        <v>2018</v>
      </c>
      <c r="E1755" s="9">
        <f ca="1">IFERROR(__xludf.DUMMYFUNCTION("""COMPUTED_VALUE"""),43199)</f>
        <v>43199</v>
      </c>
      <c r="F1755" s="8" t="str">
        <f ca="1">IFERROR(__xludf.DUMMYFUNCTION("""COMPUTED_VALUE"""),"Gloversville Middle School")</f>
        <v>Gloversville Middle School</v>
      </c>
      <c r="G1755" s="8">
        <f ca="1">IFERROR(__xludf.DUMMYFUNCTION("""COMPUTED_VALUE"""),0)</f>
        <v>0</v>
      </c>
      <c r="H1755" s="8">
        <f ca="1">IFERROR(__xludf.DUMMYFUNCTION("""COMPUTED_VALUE"""),1)</f>
        <v>1</v>
      </c>
      <c r="I1755" s="8">
        <f ca="1">IFERROR(__xludf.DUMMYFUNCTION("""COMPUTED_VALUE"""),1)</f>
        <v>1</v>
      </c>
      <c r="J1755" s="8">
        <f ca="1">IFERROR(__xludf.DUMMYFUNCTION("""COMPUTED_VALUE"""),0)</f>
        <v>0</v>
      </c>
      <c r="K1755" s="10" t="str">
        <f ca="1">IFERROR(__xludf.DUMMYFUNCTION("""COMPUTED_VALUE"""),"http://www.leaderherald.com/news/local-news/2018/04/student-shot-with-bb-gun-at-school/")</f>
        <v>http://www.leaderherald.com/news/local-news/2018/04/student-shot-with-bb-gun-at-school/</v>
      </c>
      <c r="L1755" s="8"/>
      <c r="M1755" s="8" t="str">
        <f ca="1">IFERROR(__xludf.DUMMYFUNCTION("""COMPUTED_VALUE"""),"Local")</f>
        <v>Local</v>
      </c>
      <c r="N1755" s="8">
        <f ca="1">IFERROR(__xludf.DUMMYFUNCTION("""COMPUTED_VALUE"""),2)</f>
        <v>2</v>
      </c>
      <c r="O1755" s="8" t="str">
        <f ca="1">IFERROR(__xludf.DUMMYFUNCTION("""COMPUTED_VALUE"""),"Spring")</f>
        <v>Spring</v>
      </c>
      <c r="P1755" s="8" t="str">
        <f ca="1">IFERROR(__xludf.DUMMYFUNCTION("""COMPUTED_VALUE"""),"Gloversville")</f>
        <v>Gloversville</v>
      </c>
      <c r="Q1755" s="8" t="str">
        <f ca="1">IFERROR(__xludf.DUMMYFUNCTION("""COMPUTED_VALUE"""),"NY")</f>
        <v>NY</v>
      </c>
      <c r="R1755" s="8" t="str">
        <f ca="1">IFERROR(__xludf.DUMMYFUNCTION("""COMPUTED_VALUE"""),"Middle")</f>
        <v>Middle</v>
      </c>
      <c r="S1755" s="8" t="str">
        <f ca="1">IFERROR(__xludf.DUMMYFUNCTION("""COMPUTED_VALUE"""),"Hallway")</f>
        <v>Hallway</v>
      </c>
      <c r="T1755" s="8" t="str">
        <f ca="1">IFERROR(__xludf.DUMMYFUNCTION("""COMPUTED_VALUE"""),"Inside School Building")</f>
        <v>Inside School Building</v>
      </c>
      <c r="U1755" s="8" t="str">
        <f ca="1">IFERROR(__xludf.DUMMYFUNCTION("""COMPUTED_VALUE"""),"Yes")</f>
        <v>Yes</v>
      </c>
      <c r="V1755" s="8" t="str">
        <f ca="1">IFERROR(__xludf.DUMMYFUNCTION("""COMPUTED_VALUE"""),"Morning Classes")</f>
        <v>Morning Classes</v>
      </c>
      <c r="W1755" s="11">
        <f ca="1">IFERROR(__xludf.DUMMYFUNCTION("""COMPUTED_VALUE"""),0.458333333333333)</f>
        <v>0.45833333333333298</v>
      </c>
      <c r="X1755" s="8"/>
      <c r="Y1755" s="12" t="str">
        <f ca="1">IFERROR(__xludf.DUMMYFUNCTION("""COMPUTED_VALUE"""),"Shooter chased victim around school with BB gun")</f>
        <v>Shooter chased victim around school with BB gun</v>
      </c>
      <c r="Z1755" s="12" t="str">
        <f ca="1">IFERROR(__xludf.DUMMYFUNCTION("""COMPUTED_VALUE"""),"Shooter allegedly chased the victim in the basement level of the school and fired a BB pistol multiple times at him causing minor injuries. The victim reported this to school officials and police officers later arrested the shooter and retrieved the gun f"&amp;"rom his home. Victim and Shooter provided conflicting accounts.")</f>
        <v>Shooter allegedly chased the victim in the basement level of the school and fired a BB pistol multiple times at him causing minor injuries. The victim reported this to school officials and police officers later arrested the shooter and retrieved the gun from his home. Victim and Shooter provided conflicting accounts.</v>
      </c>
      <c r="AA1755" s="8" t="str">
        <f ca="1">IFERROR(__xludf.DUMMYFUNCTION("""COMPUTED_VALUE"""),"Escalation of Dispute")</f>
        <v>Escalation of Dispute</v>
      </c>
      <c r="AB1755" s="8"/>
      <c r="AC1755" s="8" t="str">
        <f ca="1">IFERROR(__xludf.DUMMYFUNCTION("""COMPUTED_VALUE"""),"Yes")</f>
        <v>Yes</v>
      </c>
      <c r="AD1755" s="8" t="str">
        <f ca="1">IFERROR(__xludf.DUMMYFUNCTION("""COMPUTED_VALUE"""),"Victims Targeted")</f>
        <v>Victims Targeted</v>
      </c>
      <c r="AE1755" s="8"/>
      <c r="AF1755" s="8"/>
      <c r="AG1755" s="8" t="str">
        <f ca="1">IFERROR(__xludf.DUMMYFUNCTION("""COMPUTED_VALUE"""),"No")</f>
        <v>No</v>
      </c>
      <c r="AH1755" s="8" t="str">
        <f ca="1">IFERROR(__xludf.DUMMYFUNCTION("""COMPUTED_VALUE"""),"No")</f>
        <v>No</v>
      </c>
      <c r="AI1755" s="8" t="str">
        <f ca="1">IFERROR(__xludf.DUMMYFUNCTION("""COMPUTED_VALUE"""),"No")</f>
        <v>No</v>
      </c>
      <c r="AJ1755" s="8" t="str">
        <f ca="1">IFERROR(__xludf.DUMMYFUNCTION("""COMPUTED_VALUE"""),"No")</f>
        <v>No</v>
      </c>
      <c r="AK1755" s="8" t="str">
        <f ca="1">IFERROR(__xludf.DUMMYFUNCTION("""COMPUTED_VALUE"""),"No")</f>
        <v>No</v>
      </c>
      <c r="AL1755" s="8" t="str">
        <f ca="1">IFERROR(__xludf.DUMMYFUNCTION("""COMPUTED_VALUE"""),"No")</f>
        <v>No</v>
      </c>
      <c r="AM1755" s="8" t="str">
        <f ca="1">IFERROR(__xludf.DUMMYFUNCTION("""COMPUTED_VALUE"""),"No")</f>
        <v>No</v>
      </c>
      <c r="AN1755" s="8"/>
      <c r="AO1755" s="8" t="str">
        <f ca="1">IFERROR(__xludf.DUMMYFUNCTION("""COMPUTED_VALUE"""),"No")</f>
        <v>No</v>
      </c>
      <c r="AP1755" s="8" t="str">
        <f ca="1">IFERROR(__xludf.DUMMYFUNCTION("""COMPUTED_VALUE"""),"No")</f>
        <v>No</v>
      </c>
      <c r="AQ1755" s="8" t="str">
        <f ca="1">IFERROR(__xludf.DUMMYFUNCTION("""COMPUTED_VALUE"""),"Unknown")</f>
        <v>Unknown</v>
      </c>
      <c r="AR1755" s="8" t="str">
        <f ca="1">IFERROR(__xludf.DUMMYFUNCTION("""COMPUTED_VALUE"""),"NA")</f>
        <v>NA</v>
      </c>
      <c r="AS1755" s="8"/>
      <c r="AT1755" s="8" t="str">
        <f ca="1">IFERROR(__xludf.DUMMYFUNCTION("""COMPUTED_VALUE"""),"No")</f>
        <v>No</v>
      </c>
      <c r="AU1755" s="8">
        <f ca="1">IFERROR(__xludf.DUMMYFUNCTION("""COMPUTED_VALUE"""),43.052744)</f>
        <v>43.052743999999997</v>
      </c>
      <c r="AV1755" s="8">
        <f ca="1">IFERROR(__xludf.DUMMYFUNCTION("""COMPUTED_VALUE"""),-74.36375)</f>
        <v>-74.363749999999996</v>
      </c>
      <c r="AW1755" s="8"/>
      <c r="AX1755" s="8">
        <f ca="1">IFERROR(__xludf.DUMMYFUNCTION("""COMPUTED_VALUE"""),12078)</f>
        <v>12078</v>
      </c>
    </row>
    <row r="1756" spans="1:50" ht="90" x14ac:dyDescent="0.2">
      <c r="A1756" s="8" t="str">
        <f ca="1">IFERROR(__xludf.DUMMYFUNCTION("""COMPUTED_VALUE"""),"20180329KYJOE")</f>
        <v>20180329KYJOE</v>
      </c>
      <c r="B1756" s="8">
        <f ca="1">IFERROR(__xludf.DUMMYFUNCTION("""COMPUTED_VALUE"""),3)</f>
        <v>3</v>
      </c>
      <c r="C1756" s="8">
        <f ca="1">IFERROR(__xludf.DUMMYFUNCTION("""COMPUTED_VALUE"""),29)</f>
        <v>29</v>
      </c>
      <c r="D1756" s="8">
        <f ca="1">IFERROR(__xludf.DUMMYFUNCTION("""COMPUTED_VALUE"""),2018)</f>
        <v>2018</v>
      </c>
      <c r="E1756" s="9">
        <f ca="1">IFERROR(__xludf.DUMMYFUNCTION("""COMPUTED_VALUE"""),43188)</f>
        <v>43188</v>
      </c>
      <c r="F1756" s="8" t="str">
        <f ca="1">IFERROR(__xludf.DUMMYFUNCTION("""COMPUTED_VALUE"""),"John Hardin High School")</f>
        <v>John Hardin High School</v>
      </c>
      <c r="G1756" s="8">
        <f ca="1">IFERROR(__xludf.DUMMYFUNCTION("""COMPUTED_VALUE"""),0)</f>
        <v>0</v>
      </c>
      <c r="H1756" s="8">
        <f ca="1">IFERROR(__xludf.DUMMYFUNCTION("""COMPUTED_VALUE"""),0)</f>
        <v>0</v>
      </c>
      <c r="I1756" s="8">
        <f ca="1">IFERROR(__xludf.DUMMYFUNCTION("""COMPUTED_VALUE"""),0)</f>
        <v>0</v>
      </c>
      <c r="J1756" s="8">
        <f ca="1">IFERROR(__xludf.DUMMYFUNCTION("""COMPUTED_VALUE"""),1)</f>
        <v>1</v>
      </c>
      <c r="K1756" s="10" t="str">
        <f ca="1">IFERROR(__xludf.DUMMYFUNCTION("""COMPUTED_VALUE"""),"https://www.cbsnews.com/news/kentucky-police-suspect-in-wifes-death-shot-behind-school/")</f>
        <v>https://www.cbsnews.com/news/kentucky-police-suspect-in-wifes-death-shot-behind-school/</v>
      </c>
      <c r="L1756" s="8"/>
      <c r="M1756" s="8"/>
      <c r="N1756" s="8">
        <f ca="1">IFERROR(__xludf.DUMMYFUNCTION("""COMPUTED_VALUE"""),4)</f>
        <v>4</v>
      </c>
      <c r="O1756" s="8" t="str">
        <f ca="1">IFERROR(__xludf.DUMMYFUNCTION("""COMPUTED_VALUE"""),"Spring")</f>
        <v>Spring</v>
      </c>
      <c r="P1756" s="8" t="str">
        <f ca="1">IFERROR(__xludf.DUMMYFUNCTION("""COMPUTED_VALUE"""),"Elizabethtown")</f>
        <v>Elizabethtown</v>
      </c>
      <c r="Q1756" s="8" t="str">
        <f ca="1">IFERROR(__xludf.DUMMYFUNCTION("""COMPUTED_VALUE"""),"KY")</f>
        <v>KY</v>
      </c>
      <c r="R1756" s="8" t="str">
        <f ca="1">IFERROR(__xludf.DUMMYFUNCTION("""COMPUTED_VALUE"""),"High")</f>
        <v>High</v>
      </c>
      <c r="S1756" s="8" t="str">
        <f ca="1">IFERROR(__xludf.DUMMYFUNCTION("""COMPUTED_VALUE"""),"Beside Building")</f>
        <v>Beside Building</v>
      </c>
      <c r="T1756" s="8" t="str">
        <f ca="1">IFERROR(__xludf.DUMMYFUNCTION("""COMPUTED_VALUE"""),"Outside on School Property")</f>
        <v>Outside on School Property</v>
      </c>
      <c r="U1756" s="8" t="str">
        <f ca="1">IFERROR(__xludf.DUMMYFUNCTION("""COMPUTED_VALUE"""),"Yes")</f>
        <v>Yes</v>
      </c>
      <c r="V1756" s="8" t="str">
        <f ca="1">IFERROR(__xludf.DUMMYFUNCTION("""COMPUTED_VALUE"""),"Afternoon Classes")</f>
        <v>Afternoon Classes</v>
      </c>
      <c r="W1756" s="11">
        <f ca="1">IFERROR(__xludf.DUMMYFUNCTION("""COMPUTED_VALUE"""),0.541666666666666)</f>
        <v>0.54166666666666596</v>
      </c>
      <c r="X1756" s="8">
        <f ca="1">IFERROR(__xludf.DUMMYFUNCTION("""COMPUTED_VALUE"""),1)</f>
        <v>1</v>
      </c>
      <c r="Y1756" s="12" t="str">
        <f ca="1">IFERROR(__xludf.DUMMYFUNCTION("""COMPUTED_VALUE"""),"Father of student killed mother at home, attempted to enter school and take child, shot and killed by officers")</f>
        <v>Father of student killed mother at home, attempted to enter school and take child, shot and killed by officers</v>
      </c>
      <c r="Z1756" s="12" t="str">
        <f ca="1">IFERROR(__xludf.DUMMYFUNCTION("""COMPUTED_VALUE"""),"51YOM killed his wife at their home near the school. Police officers found her body and learned that he was headed to the school. 7 officers approached the suspect as he attempted to enter the school building. Suspect was shot and killed.")</f>
        <v>51YOM killed his wife at their home near the school. Police officers found her body and learned that he was headed to the school. 7 officers approached the suspect as he attempted to enter the school building. Suspect was shot and killed.</v>
      </c>
      <c r="AA1756" s="8" t="str">
        <f ca="1">IFERROR(__xludf.DUMMYFUNCTION("""COMPUTED_VALUE"""),"Domestic w/ Targeted Victim")</f>
        <v>Domestic w/ Targeted Victim</v>
      </c>
      <c r="AB1756" s="8"/>
      <c r="AC1756" s="8" t="str">
        <f ca="1">IFERROR(__xludf.DUMMYFUNCTION("""COMPUTED_VALUE"""),"Yes")</f>
        <v>Yes</v>
      </c>
      <c r="AD1756" s="8"/>
      <c r="AE1756" s="8" t="str">
        <f ca="1">IFERROR(__xludf.DUMMYFUNCTION("""COMPUTED_VALUE"""),"No")</f>
        <v>No</v>
      </c>
      <c r="AF1756" s="8"/>
      <c r="AG1756" s="8" t="str">
        <f ca="1">IFERROR(__xludf.DUMMYFUNCTION("""COMPUTED_VALUE"""),"No")</f>
        <v>No</v>
      </c>
      <c r="AH1756" s="8" t="str">
        <f ca="1">IFERROR(__xludf.DUMMYFUNCTION("""COMPUTED_VALUE"""),"No")</f>
        <v>No</v>
      </c>
      <c r="AI1756" s="8" t="str">
        <f ca="1">IFERROR(__xludf.DUMMYFUNCTION("""COMPUTED_VALUE"""),"No")</f>
        <v>No</v>
      </c>
      <c r="AJ1756" s="8" t="str">
        <f ca="1">IFERROR(__xludf.DUMMYFUNCTION("""COMPUTED_VALUE"""),"No")</f>
        <v>No</v>
      </c>
      <c r="AK1756" s="8" t="str">
        <f ca="1">IFERROR(__xludf.DUMMYFUNCTION("""COMPUTED_VALUE"""),"Yes")</f>
        <v>Yes</v>
      </c>
      <c r="AL1756" s="8" t="str">
        <f ca="1">IFERROR(__xludf.DUMMYFUNCTION("""COMPUTED_VALUE"""),"No")</f>
        <v>No</v>
      </c>
      <c r="AM1756" s="8" t="str">
        <f ca="1">IFERROR(__xludf.DUMMYFUNCTION("""COMPUTED_VALUE"""),"No")</f>
        <v>No</v>
      </c>
      <c r="AN1756" s="8"/>
      <c r="AO1756" s="8" t="str">
        <f ca="1">IFERROR(__xludf.DUMMYFUNCTION("""COMPUTED_VALUE"""),"No")</f>
        <v>No</v>
      </c>
      <c r="AP1756" s="8" t="str">
        <f ca="1">IFERROR(__xludf.DUMMYFUNCTION("""COMPUTED_VALUE"""),"No")</f>
        <v>No</v>
      </c>
      <c r="AQ1756" s="8" t="str">
        <f ca="1">IFERROR(__xludf.DUMMYFUNCTION("""COMPUTED_VALUE"""),"Unknown")</f>
        <v>Unknown</v>
      </c>
      <c r="AR1756" s="8" t="str">
        <f ca="1">IFERROR(__xludf.DUMMYFUNCTION("""COMPUTED_VALUE"""),"NA")</f>
        <v>NA</v>
      </c>
      <c r="AS1756" s="8"/>
      <c r="AT1756" s="8"/>
      <c r="AU1756" s="8">
        <f ca="1">IFERROR(__xludf.DUMMYFUNCTION("""COMPUTED_VALUE"""),37.755291)</f>
        <v>37.755291</v>
      </c>
      <c r="AV1756" s="8">
        <f ca="1">IFERROR(__xludf.DUMMYFUNCTION("""COMPUTED_VALUE"""),-85.903213)</f>
        <v>-85.903212999999994</v>
      </c>
      <c r="AW1756" s="8"/>
      <c r="AX1756" s="8">
        <f ca="1">IFERROR(__xludf.DUMMYFUNCTION("""COMPUTED_VALUE"""),42701)</f>
        <v>42701</v>
      </c>
    </row>
    <row r="1757" spans="1:50" ht="105" x14ac:dyDescent="0.2">
      <c r="A1757" s="8" t="str">
        <f ca="1">IFERROR(__xludf.DUMMYFUNCTION("""COMPUTED_VALUE"""),"20180328MSEUE")</f>
        <v>20180328MSEUE</v>
      </c>
      <c r="B1757" s="8">
        <f ca="1">IFERROR(__xludf.DUMMYFUNCTION("""COMPUTED_VALUE"""),3)</f>
        <v>3</v>
      </c>
      <c r="C1757" s="8">
        <f ca="1">IFERROR(__xludf.DUMMYFUNCTION("""COMPUTED_VALUE"""),28)</f>
        <v>28</v>
      </c>
      <c r="D1757" s="8">
        <f ca="1">IFERROR(__xludf.DUMMYFUNCTION("""COMPUTED_VALUE"""),2018)</f>
        <v>2018</v>
      </c>
      <c r="E1757" s="9">
        <f ca="1">IFERROR(__xludf.DUMMYFUNCTION("""COMPUTED_VALUE"""),43187)</f>
        <v>43187</v>
      </c>
      <c r="F1757" s="8" t="str">
        <f ca="1">IFERROR(__xludf.DUMMYFUNCTION("""COMPUTED_VALUE"""),"Eupora High School")</f>
        <v>Eupora High School</v>
      </c>
      <c r="G1757" s="8">
        <f ca="1">IFERROR(__xludf.DUMMYFUNCTION("""COMPUTED_VALUE"""),0)</f>
        <v>0</v>
      </c>
      <c r="H1757" s="8">
        <f ca="1">IFERROR(__xludf.DUMMYFUNCTION("""COMPUTED_VALUE"""),0)</f>
        <v>0</v>
      </c>
      <c r="I1757" s="8">
        <f ca="1">IFERROR(__xludf.DUMMYFUNCTION("""COMPUTED_VALUE"""),0)</f>
        <v>0</v>
      </c>
      <c r="J1757" s="8">
        <f ca="1">IFERROR(__xludf.DUMMYFUNCTION("""COMPUTED_VALUE"""),0)</f>
        <v>0</v>
      </c>
      <c r="K1757" s="10" t="str">
        <f ca="1">IFERROR(__xludf.DUMMYFUNCTION("""COMPUTED_VALUE"""),"https://www.clarionledger.com/story/news/local/2018/05/31/school-shooting-suspect-detained-trial-authorities-advise-educators/628988002/")</f>
        <v>https://www.clarionledger.com/story/news/local/2018/05/31/school-shooting-suspect-detained-trial-authorities-advise-educators/628988002/</v>
      </c>
      <c r="L1757" s="8">
        <f ca="1">IFERROR(__xludf.DUMMYFUNCTION("""COMPUTED_VALUE"""),2)</f>
        <v>2</v>
      </c>
      <c r="M1757" s="8" t="str">
        <f ca="1">IFERROR(__xludf.DUMMYFUNCTION("""COMPUTED_VALUE"""),"Local")</f>
        <v>Local</v>
      </c>
      <c r="N1757" s="8">
        <f ca="1">IFERROR(__xludf.DUMMYFUNCTION("""COMPUTED_VALUE"""),2)</f>
        <v>2</v>
      </c>
      <c r="O1757" s="8" t="str">
        <f ca="1">IFERROR(__xludf.DUMMYFUNCTION("""COMPUTED_VALUE"""),"Spring")</f>
        <v>Spring</v>
      </c>
      <c r="P1757" s="8" t="str">
        <f ca="1">IFERROR(__xludf.DUMMYFUNCTION("""COMPUTED_VALUE"""),"Eupora")</f>
        <v>Eupora</v>
      </c>
      <c r="Q1757" s="8" t="str">
        <f ca="1">IFERROR(__xludf.DUMMYFUNCTION("""COMPUTED_VALUE"""),"MS")</f>
        <v>MS</v>
      </c>
      <c r="R1757" s="8" t="str">
        <f ca="1">IFERROR(__xludf.DUMMYFUNCTION("""COMPUTED_VALUE"""),"High")</f>
        <v>High</v>
      </c>
      <c r="S1757" s="8" t="str">
        <f ca="1">IFERROR(__xludf.DUMMYFUNCTION("""COMPUTED_VALUE"""),"Field (General)")</f>
        <v>Field (General)</v>
      </c>
      <c r="T1757" s="8" t="str">
        <f ca="1">IFERROR(__xludf.DUMMYFUNCTION("""COMPUTED_VALUE"""),"Outside on School Property")</f>
        <v>Outside on School Property</v>
      </c>
      <c r="U1757" s="8" t="str">
        <f ca="1">IFERROR(__xludf.DUMMYFUNCTION("""COMPUTED_VALUE"""),"No")</f>
        <v>No</v>
      </c>
      <c r="V1757" s="8" t="str">
        <f ca="1">IFERROR(__xludf.DUMMYFUNCTION("""COMPUTED_VALUE"""),"After School")</f>
        <v>After School</v>
      </c>
      <c r="W1757" s="11">
        <f ca="1">IFERROR(__xludf.DUMMYFUNCTION("""COMPUTED_VALUE"""),0.604166666666666)</f>
        <v>0.60416666666666596</v>
      </c>
      <c r="X1757" s="8"/>
      <c r="Y1757" s="12" t="str">
        <f ca="1">IFERROR(__xludf.DUMMYFUNCTION("""COMPUTED_VALUE"""),"Fired shots from dirt bike at high school building")</f>
        <v>Fired shots from dirt bike at high school building</v>
      </c>
      <c r="Z1757" s="12" t="str">
        <f ca="1">IFERROR(__xludf.DUMMYFUNCTION("""COMPUTED_VALUE"""),"Shooter was high on meth, rode a dirt bike to the school, and fired multiple shots at the school building from the dirt bike. Shooter fled the scene, threw the gun in a creek, and was found by law enforcement hiding in a bush at a nearby house. Shooter wa"&amp;"s former student. Shooter used illegal drugs daily. Possessed unregistered allegedly stolen firearms found at his home, the handgun was not recovered.")</f>
        <v>Shooter was high on meth, rode a dirt bike to the school, and fired multiple shots at the school building from the dirt bike. Shooter fled the scene, threw the gun in a creek, and was found by law enforcement hiding in a bush at a nearby house. Shooter was former student. Shooter used illegal drugs daily. Possessed unregistered allegedly stolen firearms found at his home, the handgun was not recovered.</v>
      </c>
      <c r="AA1757" s="8" t="str">
        <f ca="1">IFERROR(__xludf.DUMMYFUNCTION("""COMPUTED_VALUE"""),"Illegal Activity")</f>
        <v>Illegal Activity</v>
      </c>
      <c r="AB1757" s="8"/>
      <c r="AC1757" s="8" t="str">
        <f ca="1">IFERROR(__xludf.DUMMYFUNCTION("""COMPUTED_VALUE"""),"Yes")</f>
        <v>Yes</v>
      </c>
      <c r="AD1757" s="8" t="str">
        <f ca="1">IFERROR(__xludf.DUMMYFUNCTION("""COMPUTED_VALUE"""),"Neither")</f>
        <v>Neither</v>
      </c>
      <c r="AE1757" s="8"/>
      <c r="AF1757" s="8"/>
      <c r="AG1757" s="8" t="str">
        <f ca="1">IFERROR(__xludf.DUMMYFUNCTION("""COMPUTED_VALUE"""),"No")</f>
        <v>No</v>
      </c>
      <c r="AH1757" s="8" t="str">
        <f ca="1">IFERROR(__xludf.DUMMYFUNCTION("""COMPUTED_VALUE"""),"No")</f>
        <v>No</v>
      </c>
      <c r="AI1757" s="8" t="str">
        <f ca="1">IFERROR(__xludf.DUMMYFUNCTION("""COMPUTED_VALUE"""),"No")</f>
        <v>No</v>
      </c>
      <c r="AJ1757" s="8"/>
      <c r="AK1757" s="8" t="str">
        <f ca="1">IFERROR(__xludf.DUMMYFUNCTION("""COMPUTED_VALUE"""),"No")</f>
        <v>No</v>
      </c>
      <c r="AL1757" s="8" t="str">
        <f ca="1">IFERROR(__xludf.DUMMYFUNCTION("""COMPUTED_VALUE"""),"No")</f>
        <v>No</v>
      </c>
      <c r="AM1757" s="8" t="str">
        <f ca="1">IFERROR(__xludf.DUMMYFUNCTION("""COMPUTED_VALUE"""),"No")</f>
        <v>No</v>
      </c>
      <c r="AN1757" s="8"/>
      <c r="AO1757" s="8" t="str">
        <f ca="1">IFERROR(__xludf.DUMMYFUNCTION("""COMPUTED_VALUE"""),"No")</f>
        <v>No</v>
      </c>
      <c r="AP1757" s="8" t="str">
        <f ca="1">IFERROR(__xludf.DUMMYFUNCTION("""COMPUTED_VALUE"""),"No")</f>
        <v>No</v>
      </c>
      <c r="AQ1757" s="8" t="str">
        <f ca="1">IFERROR(__xludf.DUMMYFUNCTION("""COMPUTED_VALUE"""),"None")</f>
        <v>None</v>
      </c>
      <c r="AR1757" s="8" t="str">
        <f ca="1">IFERROR(__xludf.DUMMYFUNCTION("""COMPUTED_VALUE"""),"NA")</f>
        <v>NA</v>
      </c>
      <c r="AS1757" s="8">
        <f ca="1">IFERROR(__xludf.DUMMYFUNCTION("""COMPUTED_VALUE"""),6)</f>
        <v>6</v>
      </c>
      <c r="AT1757" s="8" t="str">
        <f ca="1">IFERROR(__xludf.DUMMYFUNCTION("""COMPUTED_VALUE"""),"No")</f>
        <v>No</v>
      </c>
      <c r="AU1757" s="8">
        <f ca="1">IFERROR(__xludf.DUMMYFUNCTION("""COMPUTED_VALUE"""),33.543074)</f>
        <v>33.543073999999997</v>
      </c>
      <c r="AV1757" s="8">
        <f ca="1">IFERROR(__xludf.DUMMYFUNCTION("""COMPUTED_VALUE"""),-89.274074)</f>
        <v>-89.274073999999999</v>
      </c>
      <c r="AW1757" s="8"/>
      <c r="AX1757" s="8">
        <f ca="1">IFERROR(__xludf.DUMMYFUNCTION("""COMPUTED_VALUE"""),39744)</f>
        <v>39744</v>
      </c>
    </row>
    <row r="1758" spans="1:50" ht="135" x14ac:dyDescent="0.2">
      <c r="A1758" s="8" t="str">
        <f ca="1">IFERROR(__xludf.DUMMYFUNCTION("""COMPUTED_VALUE"""),"20180320MDGRG")</f>
        <v>20180320MDGRG</v>
      </c>
      <c r="B1758" s="8">
        <f ca="1">IFERROR(__xludf.DUMMYFUNCTION("""COMPUTED_VALUE"""),3)</f>
        <v>3</v>
      </c>
      <c r="C1758" s="8">
        <f ca="1">IFERROR(__xludf.DUMMYFUNCTION("""COMPUTED_VALUE"""),20)</f>
        <v>20</v>
      </c>
      <c r="D1758" s="8">
        <f ca="1">IFERROR(__xludf.DUMMYFUNCTION("""COMPUTED_VALUE"""),2018)</f>
        <v>2018</v>
      </c>
      <c r="E1758" s="9">
        <f ca="1">IFERROR(__xludf.DUMMYFUNCTION("""COMPUTED_VALUE"""),43179)</f>
        <v>43179</v>
      </c>
      <c r="F1758" s="8" t="str">
        <f ca="1">IFERROR(__xludf.DUMMYFUNCTION("""COMPUTED_VALUE"""),"Great Mills High School")</f>
        <v>Great Mills High School</v>
      </c>
      <c r="G1758" s="8">
        <f ca="1">IFERROR(__xludf.DUMMYFUNCTION("""COMPUTED_VALUE"""),1)</f>
        <v>1</v>
      </c>
      <c r="H1758" s="8">
        <f ca="1">IFERROR(__xludf.DUMMYFUNCTION("""COMPUTED_VALUE"""),1)</f>
        <v>1</v>
      </c>
      <c r="I1758" s="8">
        <f ca="1">IFERROR(__xludf.DUMMYFUNCTION("""COMPUTED_VALUE"""),2)</f>
        <v>2</v>
      </c>
      <c r="J1758" s="8">
        <f ca="1">IFERROR(__xludf.DUMMYFUNCTION("""COMPUTED_VALUE"""),1)</f>
        <v>1</v>
      </c>
      <c r="K1758" s="8" t="str">
        <f ca="1">IFERROR(__xludf.DUMMYFUNCTION("""COMPUTED_VALUE"""),"http://www.baltimoresun.com/news/maryland/crime/bs-md-great-mills-shooting-update-20180326-story.html https://www.baltimoresun.com/education/bs-md-great-mills-shooting-lawsuit-20200121-a6gvgddsorgzxd3oalpbyporke-story.html")</f>
        <v>http://www.baltimoresun.com/news/maryland/crime/bs-md-great-mills-shooting-update-20180326-story.html https://www.baltimoresun.com/education/bs-md-great-mills-shooting-lawsuit-20200121-a6gvgddsorgzxd3oalpbyporke-story.html</v>
      </c>
      <c r="L1758" s="8">
        <f ca="1">IFERROR(__xludf.DUMMYFUNCTION("""COMPUTED_VALUE"""),100)</f>
        <v>100</v>
      </c>
      <c r="M1758" s="8" t="str">
        <f ca="1">IFERROR(__xludf.DUMMYFUNCTION("""COMPUTED_VALUE"""),"National")</f>
        <v>National</v>
      </c>
      <c r="N1758" s="8">
        <f ca="1">IFERROR(__xludf.DUMMYFUNCTION("""COMPUTED_VALUE"""),4)</f>
        <v>4</v>
      </c>
      <c r="O1758" s="8" t="str">
        <f ca="1">IFERROR(__xludf.DUMMYFUNCTION("""COMPUTED_VALUE"""),"Spring")</f>
        <v>Spring</v>
      </c>
      <c r="P1758" s="8" t="str">
        <f ca="1">IFERROR(__xludf.DUMMYFUNCTION("""COMPUTED_VALUE"""),"Great Mills")</f>
        <v>Great Mills</v>
      </c>
      <c r="Q1758" s="8" t="str">
        <f ca="1">IFERROR(__xludf.DUMMYFUNCTION("""COMPUTED_VALUE"""),"MD")</f>
        <v>MD</v>
      </c>
      <c r="R1758" s="8" t="str">
        <f ca="1">IFERROR(__xludf.DUMMYFUNCTION("""COMPUTED_VALUE"""),"High")</f>
        <v>High</v>
      </c>
      <c r="S1758" s="8" t="str">
        <f ca="1">IFERROR(__xludf.DUMMYFUNCTION("""COMPUTED_VALUE"""),"Hallway")</f>
        <v>Hallway</v>
      </c>
      <c r="T1758" s="8" t="str">
        <f ca="1">IFERROR(__xludf.DUMMYFUNCTION("""COMPUTED_VALUE"""),"Inside School Building")</f>
        <v>Inside School Building</v>
      </c>
      <c r="U1758" s="8" t="str">
        <f ca="1">IFERROR(__xludf.DUMMYFUNCTION("""COMPUTED_VALUE"""),"Yes")</f>
        <v>Yes</v>
      </c>
      <c r="V1758" s="8" t="str">
        <f ca="1">IFERROR(__xludf.DUMMYFUNCTION("""COMPUTED_VALUE"""),"School Start")</f>
        <v>School Start</v>
      </c>
      <c r="W1758" s="11">
        <f ca="1">IFERROR(__xludf.DUMMYFUNCTION("""COMPUTED_VALUE"""),0.329861111111111)</f>
        <v>0.32986111111111099</v>
      </c>
      <c r="X1758" s="8">
        <f ca="1">IFERROR(__xludf.DUMMYFUNCTION("""COMPUTED_VALUE"""),1)</f>
        <v>1</v>
      </c>
      <c r="Y1758" s="12" t="str">
        <f ca="1">IFERROR(__xludf.DUMMYFUNCTION("""COMPUTED_VALUE"""),"Shot girlfriend then self in school hallway after recent break-up")</f>
        <v>Shot girlfriend then self in school hallway after recent break-up</v>
      </c>
      <c r="Z1758" s="12" t="str">
        <f ca="1">IFERROR(__xludf.DUMMYFUNCTION("""COMPUTED_VALUE"""),"Ex-girlfriend fatally shot with single round, other student accidently hit by single shot. Commit suicide immediately after when confronted by school resource officer. No social media posts or prior indications about plans for the shooting. No history of "&amp;"mental health issues. Straight A student. Father is active duty air force officer. Parents of victim claim in lawsuit that the shooter had physically attacked victim prior to the incident and the parents had reported fears of further violence to school of"&amp;"ficials.")</f>
        <v>Ex-girlfriend fatally shot with single round, other student accidently hit by single shot. Commit suicide immediately after when confronted by school resource officer. No social media posts or prior indications about plans for the shooting. No history of mental health issues. Straight A student. Father is active duty air force officer. Parents of victim claim in lawsuit that the shooter had physically attacked victim prior to the incident and the parents had reported fears of further violence to school officials.</v>
      </c>
      <c r="AA1758" s="8" t="str">
        <f ca="1">IFERROR(__xludf.DUMMYFUNCTION("""COMPUTED_VALUE"""),"Murder/Suicide")</f>
        <v>Murder/Suicide</v>
      </c>
      <c r="AB1758" s="8"/>
      <c r="AC1758" s="8" t="str">
        <f ca="1">IFERROR(__xludf.DUMMYFUNCTION("""COMPUTED_VALUE"""),"Yes")</f>
        <v>Yes</v>
      </c>
      <c r="AD1758" s="8" t="str">
        <f ca="1">IFERROR(__xludf.DUMMYFUNCTION("""COMPUTED_VALUE"""),"Both")</f>
        <v>Both</v>
      </c>
      <c r="AE1758" s="8" t="str">
        <f ca="1">IFERROR(__xludf.DUMMYFUNCTION("""COMPUTED_VALUE"""),"No")</f>
        <v>No</v>
      </c>
      <c r="AF1758" s="8"/>
      <c r="AG1758" s="8" t="str">
        <f ca="1">IFERROR(__xludf.DUMMYFUNCTION("""COMPUTED_VALUE"""),"No")</f>
        <v>No</v>
      </c>
      <c r="AH1758" s="8" t="str">
        <f ca="1">IFERROR(__xludf.DUMMYFUNCTION("""COMPUTED_VALUE"""),"No")</f>
        <v>No</v>
      </c>
      <c r="AI1758" s="8" t="str">
        <f ca="1">IFERROR(__xludf.DUMMYFUNCTION("""COMPUTED_VALUE"""),"No")</f>
        <v>No</v>
      </c>
      <c r="AJ1758" s="8" t="str">
        <f ca="1">IFERROR(__xludf.DUMMYFUNCTION("""COMPUTED_VALUE"""),"No")</f>
        <v>No</v>
      </c>
      <c r="AK1758" s="8" t="str">
        <f ca="1">IFERROR(__xludf.DUMMYFUNCTION("""COMPUTED_VALUE"""),"Yes")</f>
        <v>Yes</v>
      </c>
      <c r="AL1758" s="8" t="str">
        <f ca="1">IFERROR(__xludf.DUMMYFUNCTION("""COMPUTED_VALUE"""),"No")</f>
        <v>No</v>
      </c>
      <c r="AM1758" s="8" t="str">
        <f ca="1">IFERROR(__xludf.DUMMYFUNCTION("""COMPUTED_VALUE"""),"No")</f>
        <v>No</v>
      </c>
      <c r="AN1758" s="8"/>
      <c r="AO1758" s="8" t="str">
        <f ca="1">IFERROR(__xludf.DUMMYFUNCTION("""COMPUTED_VALUE"""),"No")</f>
        <v>No</v>
      </c>
      <c r="AP1758" s="8" t="str">
        <f ca="1">IFERROR(__xludf.DUMMYFUNCTION("""COMPUTED_VALUE"""),"Yes")</f>
        <v>Yes</v>
      </c>
      <c r="AQ1758" s="8" t="str">
        <f ca="1">IFERROR(__xludf.DUMMYFUNCTION("""COMPUTED_VALUE"""),"None")</f>
        <v>None</v>
      </c>
      <c r="AR1758" s="8" t="str">
        <f ca="1">IFERROR(__xludf.DUMMYFUNCTION("""COMPUTED_VALUE"""),"NA")</f>
        <v>NA</v>
      </c>
      <c r="AS1758" s="8"/>
      <c r="AT1758" s="8"/>
      <c r="AU1758" s="8">
        <f ca="1">IFERROR(__xludf.DUMMYFUNCTION("""COMPUTED_VALUE"""),38.24743)</f>
        <v>38.247430000000001</v>
      </c>
      <c r="AV1758" s="8">
        <f ca="1">IFERROR(__xludf.DUMMYFUNCTION("""COMPUTED_VALUE"""),-76.4875)</f>
        <v>-76.487499999999997</v>
      </c>
      <c r="AW1758" s="8"/>
      <c r="AX1758" s="8">
        <f ca="1">IFERROR(__xludf.DUMMYFUNCTION("""COMPUTED_VALUE"""),20653)</f>
        <v>20653</v>
      </c>
    </row>
    <row r="1759" spans="1:50" ht="75" x14ac:dyDescent="0.2">
      <c r="A1759" s="8" t="str">
        <f ca="1">IFERROR(__xludf.DUMMYFUNCTION("""COMPUTED_VALUE"""),"20180319VADOP")</f>
        <v>20180319VADOP</v>
      </c>
      <c r="B1759" s="8">
        <f ca="1">IFERROR(__xludf.DUMMYFUNCTION("""COMPUTED_VALUE"""),3)</f>
        <v>3</v>
      </c>
      <c r="C1759" s="8">
        <f ca="1">IFERROR(__xludf.DUMMYFUNCTION("""COMPUTED_VALUE"""),19)</f>
        <v>19</v>
      </c>
      <c r="D1759" s="8">
        <f ca="1">IFERROR(__xludf.DUMMYFUNCTION("""COMPUTED_VALUE"""),2018)</f>
        <v>2018</v>
      </c>
      <c r="E1759" s="9">
        <f ca="1">IFERROR(__xludf.DUMMYFUNCTION("""COMPUTED_VALUE"""),43178)</f>
        <v>43178</v>
      </c>
      <c r="F1759" s="8" t="str">
        <f ca="1">IFERROR(__xludf.DUMMYFUNCTION("""COMPUTED_VALUE"""),"Douglass Park Elementary School")</f>
        <v>Douglass Park Elementary School</v>
      </c>
      <c r="G1759" s="8">
        <f ca="1">IFERROR(__xludf.DUMMYFUNCTION("""COMPUTED_VALUE"""),0)</f>
        <v>0</v>
      </c>
      <c r="H1759" s="8">
        <f ca="1">IFERROR(__xludf.DUMMYFUNCTION("""COMPUTED_VALUE"""),1)</f>
        <v>1</v>
      </c>
      <c r="I1759" s="8">
        <f ca="1">IFERROR(__xludf.DUMMYFUNCTION("""COMPUTED_VALUE"""),1)</f>
        <v>1</v>
      </c>
      <c r="J1759" s="8">
        <f ca="1">IFERROR(__xludf.DUMMYFUNCTION("""COMPUTED_VALUE"""),0)</f>
        <v>0</v>
      </c>
      <c r="K1759" s="10" t="str">
        <f ca="1">IFERROR(__xludf.DUMMYFUNCTION("""COMPUTED_VALUE"""),"https://pilotonline.com/news/local/crime/article_32543292-2bcc-11e8-a262-877b86c9daad.html")</f>
        <v>https://pilotonline.com/news/local/crime/article_32543292-2bcc-11e8-a262-877b86c9daad.html</v>
      </c>
      <c r="L1759" s="8"/>
      <c r="M1759" s="8"/>
      <c r="N1759" s="8">
        <f ca="1">IFERROR(__xludf.DUMMYFUNCTION("""COMPUTED_VALUE"""),2)</f>
        <v>2</v>
      </c>
      <c r="O1759" s="8" t="str">
        <f ca="1">IFERROR(__xludf.DUMMYFUNCTION("""COMPUTED_VALUE"""),"Spring")</f>
        <v>Spring</v>
      </c>
      <c r="P1759" s="8" t="str">
        <f ca="1">IFERROR(__xludf.DUMMYFUNCTION("""COMPUTED_VALUE"""),"Portsmouth")</f>
        <v>Portsmouth</v>
      </c>
      <c r="Q1759" s="8" t="str">
        <f ca="1">IFERROR(__xludf.DUMMYFUNCTION("""COMPUTED_VALUE"""),"VA")</f>
        <v>VA</v>
      </c>
      <c r="R1759" s="8" t="str">
        <f ca="1">IFERROR(__xludf.DUMMYFUNCTION("""COMPUTED_VALUE"""),"Elementary")</f>
        <v>Elementary</v>
      </c>
      <c r="S1759" s="8" t="str">
        <f ca="1">IFERROR(__xludf.DUMMYFUNCTION("""COMPUTED_VALUE"""),"Parking Lot")</f>
        <v>Parking Lot</v>
      </c>
      <c r="T1759" s="8" t="str">
        <f ca="1">IFERROR(__xludf.DUMMYFUNCTION("""COMPUTED_VALUE"""),"Off School Property")</f>
        <v>Off School Property</v>
      </c>
      <c r="U1759" s="8" t="str">
        <f ca="1">IFERROR(__xludf.DUMMYFUNCTION("""COMPUTED_VALUE"""),"No")</f>
        <v>No</v>
      </c>
      <c r="V1759" s="8" t="str">
        <f ca="1">IFERROR(__xludf.DUMMYFUNCTION("""COMPUTED_VALUE"""),"After School")</f>
        <v>After School</v>
      </c>
      <c r="W1759" s="11">
        <f ca="1">IFERROR(__xludf.DUMMYFUNCTION("""COMPUTED_VALUE"""),0.682638888888888)</f>
        <v>0.68263888888888802</v>
      </c>
      <c r="X1759" s="8">
        <f ca="1">IFERROR(__xludf.DUMMYFUNCTION("""COMPUTED_VALUE"""),1)</f>
        <v>1</v>
      </c>
      <c r="Y1759" s="12" t="str">
        <f ca="1">IFERROR(__xludf.DUMMYFUNCTION("""COMPUTED_VALUE"""),"Adult shot outside of school picking up student")</f>
        <v>Adult shot outside of school picking up student</v>
      </c>
      <c r="Z1759" s="12" t="str">
        <f ca="1">IFERROR(__xludf.DUMMYFUNCTION("""COMPUTED_VALUE"""),"Victim was struck in the leg by a bullet while picking up her daughter from school. The victim was on a sidewalk adjacent to the school. Police did not believe she was the target or the shooting was intentional. No suspect was identified. School went on l"&amp;"ockdown.")</f>
        <v>Victim was struck in the leg by a bullet while picking up her daughter from school. The victim was on a sidewalk adjacent to the school. Police did not believe she was the target or the shooting was intentional. No suspect was identified. School went on lockdown.</v>
      </c>
      <c r="AA1759" s="8" t="str">
        <f ca="1">IFERROR(__xludf.DUMMYFUNCTION("""COMPUTED_VALUE"""),"Accidental")</f>
        <v>Accidental</v>
      </c>
      <c r="AB1759" s="8"/>
      <c r="AC1759" s="8" t="str">
        <f ca="1">IFERROR(__xludf.DUMMYFUNCTION("""COMPUTED_VALUE"""),"Yes")</f>
        <v>Yes</v>
      </c>
      <c r="AD1759" s="8" t="str">
        <f ca="1">IFERROR(__xludf.DUMMYFUNCTION("""COMPUTED_VALUE"""),"Random Shooting")</f>
        <v>Random Shooting</v>
      </c>
      <c r="AE1759" s="8"/>
      <c r="AF1759" s="8"/>
      <c r="AG1759" s="8" t="str">
        <f ca="1">IFERROR(__xludf.DUMMYFUNCTION("""COMPUTED_VALUE"""),"No")</f>
        <v>No</v>
      </c>
      <c r="AH1759" s="8" t="str">
        <f ca="1">IFERROR(__xludf.DUMMYFUNCTION("""COMPUTED_VALUE"""),"No")</f>
        <v>No</v>
      </c>
      <c r="AI1759" s="8" t="str">
        <f ca="1">IFERROR(__xludf.DUMMYFUNCTION("""COMPUTED_VALUE"""),"No")</f>
        <v>No</v>
      </c>
      <c r="AJ1759" s="8" t="str">
        <f ca="1">IFERROR(__xludf.DUMMYFUNCTION("""COMPUTED_VALUE"""),"No")</f>
        <v>No</v>
      </c>
      <c r="AK1759" s="8" t="str">
        <f ca="1">IFERROR(__xludf.DUMMYFUNCTION("""COMPUTED_VALUE"""),"No")</f>
        <v>No</v>
      </c>
      <c r="AL1759" s="8" t="str">
        <f ca="1">IFERROR(__xludf.DUMMYFUNCTION("""COMPUTED_VALUE"""),"No")</f>
        <v>No</v>
      </c>
      <c r="AM1759" s="8" t="str">
        <f ca="1">IFERROR(__xludf.DUMMYFUNCTION("""COMPUTED_VALUE"""),"No")</f>
        <v>No</v>
      </c>
      <c r="AN1759" s="8"/>
      <c r="AO1759" s="8" t="str">
        <f ca="1">IFERROR(__xludf.DUMMYFUNCTION("""COMPUTED_VALUE"""),"No")</f>
        <v>No</v>
      </c>
      <c r="AP1759" s="8" t="str">
        <f ca="1">IFERROR(__xludf.DUMMYFUNCTION("""COMPUTED_VALUE"""),"No")</f>
        <v>No</v>
      </c>
      <c r="AQ1759" s="8" t="str">
        <f ca="1">IFERROR(__xludf.DUMMYFUNCTION("""COMPUTED_VALUE"""),"Unknown")</f>
        <v>Unknown</v>
      </c>
      <c r="AR1759" s="8" t="str">
        <f ca="1">IFERROR(__xludf.DUMMYFUNCTION("""COMPUTED_VALUE"""),"NA")</f>
        <v>NA</v>
      </c>
      <c r="AS1759" s="8">
        <f ca="1">IFERROR(__xludf.DUMMYFUNCTION("""COMPUTED_VALUE"""),1)</f>
        <v>1</v>
      </c>
      <c r="AT1759" s="8" t="str">
        <f ca="1">IFERROR(__xludf.DUMMYFUNCTION("""COMPUTED_VALUE"""),"Yes")</f>
        <v>Yes</v>
      </c>
      <c r="AU1759" s="8">
        <f ca="1">IFERROR(__xludf.DUMMYFUNCTION("""COMPUTED_VALUE"""),36.81828)</f>
        <v>36.818280000000001</v>
      </c>
      <c r="AV1759" s="8">
        <f ca="1">IFERROR(__xludf.DUMMYFUNCTION("""COMPUTED_VALUE"""),-76.3393)</f>
        <v>-76.339299999999994</v>
      </c>
      <c r="AW1759" s="8"/>
      <c r="AX1759" s="8">
        <f ca="1">IFERROR(__xludf.DUMMYFUNCTION("""COMPUTED_VALUE"""),23701)</f>
        <v>23701</v>
      </c>
    </row>
    <row r="1760" spans="1:50" ht="165" x14ac:dyDescent="0.2">
      <c r="A1760" s="8" t="str">
        <f ca="1">IFERROR(__xludf.DUMMYFUNCTION("""COMPUTED_VALUE"""),"20180316MTBIM")</f>
        <v>20180316MTBIM</v>
      </c>
      <c r="B1760" s="8">
        <f ca="1">IFERROR(__xludf.DUMMYFUNCTION("""COMPUTED_VALUE"""),3)</f>
        <v>3</v>
      </c>
      <c r="C1760" s="8">
        <f ca="1">IFERROR(__xludf.DUMMYFUNCTION("""COMPUTED_VALUE"""),16)</f>
        <v>16</v>
      </c>
      <c r="D1760" s="8">
        <f ca="1">IFERROR(__xludf.DUMMYFUNCTION("""COMPUTED_VALUE"""),2018)</f>
        <v>2018</v>
      </c>
      <c r="E1760" s="9">
        <f ca="1">IFERROR(__xludf.DUMMYFUNCTION("""COMPUTED_VALUE"""),43175)</f>
        <v>43175</v>
      </c>
      <c r="F1760" s="8" t="str">
        <f ca="1">IFERROR(__xludf.DUMMYFUNCTION("""COMPUTED_VALUE"""),"Big Sky High School")</f>
        <v>Big Sky High School</v>
      </c>
      <c r="G1760" s="8">
        <f ca="1">IFERROR(__xludf.DUMMYFUNCTION("""COMPUTED_VALUE"""),0)</f>
        <v>0</v>
      </c>
      <c r="H1760" s="8">
        <f ca="1">IFERROR(__xludf.DUMMYFUNCTION("""COMPUTED_VALUE"""),0)</f>
        <v>0</v>
      </c>
      <c r="I1760" s="8">
        <f ca="1">IFERROR(__xludf.DUMMYFUNCTION("""COMPUTED_VALUE"""),0)</f>
        <v>0</v>
      </c>
      <c r="J1760" s="8">
        <f ca="1">IFERROR(__xludf.DUMMYFUNCTION("""COMPUTED_VALUE"""),0)</f>
        <v>0</v>
      </c>
      <c r="K1760" s="10" t="str">
        <f ca="1">IFERROR(__xludf.DUMMYFUNCTION("""COMPUTED_VALUE"""),"http://missoulian.com/news/local/report-gunshots-at-missoula-s-big-sky-high-fired-by/article_f14cb7f4-ee52-58e2-abda-afb0f8f33421.html")</f>
        <v>http://missoulian.com/news/local/report-gunshots-at-missoula-s-big-sky-high-fired-by/article_f14cb7f4-ee52-58e2-abda-afb0f8f33421.html</v>
      </c>
      <c r="L1760" s="8">
        <f ca="1">IFERROR(__xludf.DUMMYFUNCTION("""COMPUTED_VALUE"""),5)</f>
        <v>5</v>
      </c>
      <c r="M1760" s="8" t="str">
        <f ca="1">IFERROR(__xludf.DUMMYFUNCTION("""COMPUTED_VALUE"""),"Local")</f>
        <v>Local</v>
      </c>
      <c r="N1760" s="8">
        <f ca="1">IFERROR(__xludf.DUMMYFUNCTION("""COMPUTED_VALUE"""),2)</f>
        <v>2</v>
      </c>
      <c r="O1760" s="8" t="str">
        <f ca="1">IFERROR(__xludf.DUMMYFUNCTION("""COMPUTED_VALUE"""),"Spring")</f>
        <v>Spring</v>
      </c>
      <c r="P1760" s="8" t="str">
        <f ca="1">IFERROR(__xludf.DUMMYFUNCTION("""COMPUTED_VALUE"""),"Missoula")</f>
        <v>Missoula</v>
      </c>
      <c r="Q1760" s="8" t="str">
        <f ca="1">IFERROR(__xludf.DUMMYFUNCTION("""COMPUTED_VALUE"""),"MT")</f>
        <v>MT</v>
      </c>
      <c r="R1760" s="8" t="str">
        <f ca="1">IFERROR(__xludf.DUMMYFUNCTION("""COMPUTED_VALUE"""),"High")</f>
        <v>High</v>
      </c>
      <c r="S1760" s="8" t="str">
        <f ca="1">IFERROR(__xludf.DUMMYFUNCTION("""COMPUTED_VALUE"""),"Parking Lot")</f>
        <v>Parking Lot</v>
      </c>
      <c r="T1760" s="8" t="str">
        <f ca="1">IFERROR(__xludf.DUMMYFUNCTION("""COMPUTED_VALUE"""),"Outside on School Property")</f>
        <v>Outside on School Property</v>
      </c>
      <c r="U1760" s="8" t="str">
        <f ca="1">IFERROR(__xludf.DUMMYFUNCTION("""COMPUTED_VALUE"""),"Yes")</f>
        <v>Yes</v>
      </c>
      <c r="V1760" s="8" t="str">
        <f ca="1">IFERROR(__xludf.DUMMYFUNCTION("""COMPUTED_VALUE"""),"Lunch")</f>
        <v>Lunch</v>
      </c>
      <c r="W1760" s="11">
        <f ca="1">IFERROR(__xludf.DUMMYFUNCTION("""COMPUTED_VALUE"""),0.53125)</f>
        <v>0.53125</v>
      </c>
      <c r="X1760" s="8">
        <f ca="1">IFERROR(__xludf.DUMMYFUNCTION("""COMPUTED_VALUE"""),1)</f>
        <v>1</v>
      </c>
      <c r="Y1760" s="12" t="str">
        <f ca="1">IFERROR(__xludf.DUMMYFUNCTION("""COMPUTED_VALUE"""),"SRO firing at student in vehicle in the parking lot")</f>
        <v>SRO firing at student in vehicle in the parking lot</v>
      </c>
      <c r="Z1760" s="12" t="str">
        <f ca="1">IFERROR(__xludf.DUMMYFUNCTION("""COMPUTED_VALUE"""),"SRO fired weapon at a student in a vehicle who had attempted to run him over in the parking lot. Incident was reported as an active shooter at the school and it was not clear until hours later that it was the SRO who had fired the shots. The incident happ"&amp;"ened after an altercation between the student and staff related to a call from a parole officer concerning a gun. His bag was searched but he made it to his car before the officials. The student fled, his gun was recovered outside of school property as he"&amp;" ditched it. The student was on parole for previous charges (theft, criminal possession of drug paraphernalia and disorderly conduct).")</f>
        <v>SRO fired weapon at a student in a vehicle who had attempted to run him over in the parking lot. Incident was reported as an active shooter at the school and it was not clear until hours later that it was the SRO who had fired the shots. The incident happened after an altercation between the student and staff related to a call from a parole officer concerning a gun. His bag was searched but he made it to his car before the officials. The student fled, his gun was recovered outside of school property as he ditched it. The student was on parole for previous charges (theft, criminal possession of drug paraphernalia and disorderly conduct).</v>
      </c>
      <c r="AA1760" s="8" t="str">
        <f ca="1">IFERROR(__xludf.DUMMYFUNCTION("""COMPUTED_VALUE"""),"Officer-Involved Shooting")</f>
        <v>Officer-Involved Shooting</v>
      </c>
      <c r="AB1760" s="8"/>
      <c r="AC1760" s="8" t="str">
        <f ca="1">IFERROR(__xludf.DUMMYFUNCTION("""COMPUTED_VALUE"""),"Yes")</f>
        <v>Yes</v>
      </c>
      <c r="AD1760" s="8" t="str">
        <f ca="1">IFERROR(__xludf.DUMMYFUNCTION("""COMPUTED_VALUE"""),"Victims Targeted")</f>
        <v>Victims Targeted</v>
      </c>
      <c r="AE1760" s="8" t="str">
        <f ca="1">IFERROR(__xludf.DUMMYFUNCTION("""COMPUTED_VALUE"""),"No")</f>
        <v>No</v>
      </c>
      <c r="AF1760" s="8"/>
      <c r="AG1760" s="8" t="str">
        <f ca="1">IFERROR(__xludf.DUMMYFUNCTION("""COMPUTED_VALUE"""),"No")</f>
        <v>No</v>
      </c>
      <c r="AH1760" s="8" t="str">
        <f ca="1">IFERROR(__xludf.DUMMYFUNCTION("""COMPUTED_VALUE"""),"No")</f>
        <v>No</v>
      </c>
      <c r="AI1760" s="8" t="str">
        <f ca="1">IFERROR(__xludf.DUMMYFUNCTION("""COMPUTED_VALUE"""),"Yes")</f>
        <v>Yes</v>
      </c>
      <c r="AJ1760" s="8" t="str">
        <f ca="1">IFERROR(__xludf.DUMMYFUNCTION("""COMPUTED_VALUE"""),"N/A")</f>
        <v>N/A</v>
      </c>
      <c r="AK1760" s="8" t="str">
        <f ca="1">IFERROR(__xludf.DUMMYFUNCTION("""COMPUTED_VALUE"""),"N/A")</f>
        <v>N/A</v>
      </c>
      <c r="AL1760" s="8" t="str">
        <f ca="1">IFERROR(__xludf.DUMMYFUNCTION("""COMPUTED_VALUE"""),"N/A")</f>
        <v>N/A</v>
      </c>
      <c r="AM1760" s="8" t="str">
        <f ca="1">IFERROR(__xludf.DUMMYFUNCTION("""COMPUTED_VALUE"""),"N/A")</f>
        <v>N/A</v>
      </c>
      <c r="AN1760" s="8"/>
      <c r="AO1760" s="8" t="str">
        <f ca="1">IFERROR(__xludf.DUMMYFUNCTION("""COMPUTED_VALUE"""),"N/A")</f>
        <v>N/A</v>
      </c>
      <c r="AP1760" s="8" t="str">
        <f ca="1">IFERROR(__xludf.DUMMYFUNCTION("""COMPUTED_VALUE"""),"Yes")</f>
        <v>Yes</v>
      </c>
      <c r="AQ1760" s="8" t="str">
        <f ca="1">IFERROR(__xludf.DUMMYFUNCTION("""COMPUTED_VALUE"""),"Unknown")</f>
        <v>Unknown</v>
      </c>
      <c r="AR1760" s="8" t="str">
        <f ca="1">IFERROR(__xludf.DUMMYFUNCTION("""COMPUTED_VALUE"""),"NA")</f>
        <v>NA</v>
      </c>
      <c r="AS1760" s="8"/>
      <c r="AT1760" s="8" t="str">
        <f ca="1">IFERROR(__xludf.DUMMYFUNCTION("""COMPUTED_VALUE"""),"Yes")</f>
        <v>Yes</v>
      </c>
      <c r="AU1760" s="8">
        <f ca="1">IFERROR(__xludf.DUMMYFUNCTION("""COMPUTED_VALUE"""),46.850867)</f>
        <v>46.850867000000001</v>
      </c>
      <c r="AV1760" s="8">
        <f ca="1">IFERROR(__xludf.DUMMYFUNCTION("""COMPUTED_VALUE"""),-114.057737)</f>
        <v>-114.057737</v>
      </c>
      <c r="AW1760" s="8"/>
      <c r="AX1760" s="8">
        <f ca="1">IFERROR(__xludf.DUMMYFUNCTION("""COMPUTED_VALUE"""),59804)</f>
        <v>59804</v>
      </c>
    </row>
    <row r="1761" spans="1:50" ht="60" x14ac:dyDescent="0.2">
      <c r="A1761" s="8" t="str">
        <f ca="1">IFERROR(__xludf.DUMMYFUNCTION("""COMPUTED_VALUE"""),"20180313VAGEA")</f>
        <v>20180313VAGEA</v>
      </c>
      <c r="B1761" s="8">
        <f ca="1">IFERROR(__xludf.DUMMYFUNCTION("""COMPUTED_VALUE"""),3)</f>
        <v>3</v>
      </c>
      <c r="C1761" s="8">
        <f ca="1">IFERROR(__xludf.DUMMYFUNCTION("""COMPUTED_VALUE"""),13)</f>
        <v>13</v>
      </c>
      <c r="D1761" s="8">
        <f ca="1">IFERROR(__xludf.DUMMYFUNCTION("""COMPUTED_VALUE"""),2018)</f>
        <v>2018</v>
      </c>
      <c r="E1761" s="9">
        <f ca="1">IFERROR(__xludf.DUMMYFUNCTION("""COMPUTED_VALUE"""),43172)</f>
        <v>43172</v>
      </c>
      <c r="F1761" s="8" t="str">
        <f ca="1">IFERROR(__xludf.DUMMYFUNCTION("""COMPUTED_VALUE"""),"George Washington Middle School")</f>
        <v>George Washington Middle School</v>
      </c>
      <c r="G1761" s="8">
        <f ca="1">IFERROR(__xludf.DUMMYFUNCTION("""COMPUTED_VALUE"""),0)</f>
        <v>0</v>
      </c>
      <c r="H1761" s="8">
        <f ca="1">IFERROR(__xludf.DUMMYFUNCTION("""COMPUTED_VALUE"""),0)</f>
        <v>0</v>
      </c>
      <c r="I1761" s="8">
        <f ca="1">IFERROR(__xludf.DUMMYFUNCTION("""COMPUTED_VALUE"""),0)</f>
        <v>0</v>
      </c>
      <c r="J1761" s="8">
        <f ca="1">IFERROR(__xludf.DUMMYFUNCTION("""COMPUTED_VALUE"""),0)</f>
        <v>0</v>
      </c>
      <c r="K1761" s="10" t="str">
        <f ca="1">IFERROR(__xludf.DUMMYFUNCTION("""COMPUTED_VALUE"""),"http://www.alexandrianews.org/2018/05/gw-school-resource-officer-charged-after-discharge-of-weapon/")</f>
        <v>http://www.alexandrianews.org/2018/05/gw-school-resource-officer-charged-after-discharge-of-weapon/</v>
      </c>
      <c r="L1761" s="8"/>
      <c r="M1761" s="8" t="str">
        <f ca="1">IFERROR(__xludf.DUMMYFUNCTION("""COMPUTED_VALUE"""),"Regional")</f>
        <v>Regional</v>
      </c>
      <c r="N1761" s="8">
        <f ca="1">IFERROR(__xludf.DUMMYFUNCTION("""COMPUTED_VALUE"""),2)</f>
        <v>2</v>
      </c>
      <c r="O1761" s="8" t="str">
        <f ca="1">IFERROR(__xludf.DUMMYFUNCTION("""COMPUTED_VALUE"""),"Spring")</f>
        <v>Spring</v>
      </c>
      <c r="P1761" s="8" t="str">
        <f ca="1">IFERROR(__xludf.DUMMYFUNCTION("""COMPUTED_VALUE"""),"Alexandria")</f>
        <v>Alexandria</v>
      </c>
      <c r="Q1761" s="8" t="str">
        <f ca="1">IFERROR(__xludf.DUMMYFUNCTION("""COMPUTED_VALUE"""),"VA")</f>
        <v>VA</v>
      </c>
      <c r="R1761" s="8" t="str">
        <f ca="1">IFERROR(__xludf.DUMMYFUNCTION("""COMPUTED_VALUE"""),"Middle")</f>
        <v>Middle</v>
      </c>
      <c r="S1761" s="8" t="str">
        <f ca="1">IFERROR(__xludf.DUMMYFUNCTION("""COMPUTED_VALUE"""),"Office")</f>
        <v>Office</v>
      </c>
      <c r="T1761" s="8" t="str">
        <f ca="1">IFERROR(__xludf.DUMMYFUNCTION("""COMPUTED_VALUE"""),"Inside School Building")</f>
        <v>Inside School Building</v>
      </c>
      <c r="U1761" s="8" t="str">
        <f ca="1">IFERROR(__xludf.DUMMYFUNCTION("""COMPUTED_VALUE"""),"Yes")</f>
        <v>Yes</v>
      </c>
      <c r="V1761" s="8" t="str">
        <f ca="1">IFERROR(__xludf.DUMMYFUNCTION("""COMPUTED_VALUE"""),"Morning Classes")</f>
        <v>Morning Classes</v>
      </c>
      <c r="W1761" s="11">
        <f ca="1">IFERROR(__xludf.DUMMYFUNCTION("""COMPUTED_VALUE"""),0.381944444444444)</f>
        <v>0.38194444444444398</v>
      </c>
      <c r="X1761" s="8">
        <f ca="1">IFERROR(__xludf.DUMMYFUNCTION("""COMPUTED_VALUE"""),1)</f>
        <v>1</v>
      </c>
      <c r="Y1761" s="12" t="str">
        <f ca="1">IFERROR(__xludf.DUMMYFUNCTION("""COMPUTED_VALUE"""),"Accidental discharge while SRO was cleaning weapon")</f>
        <v>Accidental discharge while SRO was cleaning weapon</v>
      </c>
      <c r="Z1761" s="12" t="str">
        <f ca="1">IFERROR(__xludf.DUMMYFUNCTION("""COMPUTED_VALUE"""),"SRO accidental discharged service weapon inside the school. Turned himself in to police. Charged with reckless handling of a firearm.")</f>
        <v>SRO accidental discharged service weapon inside the school. Turned himself in to police. Charged with reckless handling of a firearm.</v>
      </c>
      <c r="AA1761" s="8" t="str">
        <f ca="1">IFERROR(__xludf.DUMMYFUNCTION("""COMPUTED_VALUE"""),"Accidental")</f>
        <v>Accidental</v>
      </c>
      <c r="AB1761" s="8"/>
      <c r="AC1761" s="8" t="str">
        <f ca="1">IFERROR(__xludf.DUMMYFUNCTION("""COMPUTED_VALUE"""),"Yes")</f>
        <v>Yes</v>
      </c>
      <c r="AD1761" s="8" t="str">
        <f ca="1">IFERROR(__xludf.DUMMYFUNCTION("""COMPUTED_VALUE"""),"Neither")</f>
        <v>Neither</v>
      </c>
      <c r="AE1761" s="8" t="str">
        <f ca="1">IFERROR(__xludf.DUMMYFUNCTION("""COMPUTED_VALUE"""),"No")</f>
        <v>No</v>
      </c>
      <c r="AF1761" s="8"/>
      <c r="AG1761" s="8" t="str">
        <f ca="1">IFERROR(__xludf.DUMMYFUNCTION("""COMPUTED_VALUE"""),"No")</f>
        <v>No</v>
      </c>
      <c r="AH1761" s="8" t="str">
        <f ca="1">IFERROR(__xludf.DUMMYFUNCTION("""COMPUTED_VALUE"""),"No")</f>
        <v>No</v>
      </c>
      <c r="AI1761" s="8" t="str">
        <f ca="1">IFERROR(__xludf.DUMMYFUNCTION("""COMPUTED_VALUE"""),"No")</f>
        <v>No</v>
      </c>
      <c r="AJ1761" s="8" t="str">
        <f ca="1">IFERROR(__xludf.DUMMYFUNCTION("""COMPUTED_VALUE"""),"No")</f>
        <v>No</v>
      </c>
      <c r="AK1761" s="8" t="str">
        <f ca="1">IFERROR(__xludf.DUMMYFUNCTION("""COMPUTED_VALUE"""),"No")</f>
        <v>No</v>
      </c>
      <c r="AL1761" s="8" t="str">
        <f ca="1">IFERROR(__xludf.DUMMYFUNCTION("""COMPUTED_VALUE"""),"No")</f>
        <v>No</v>
      </c>
      <c r="AM1761" s="8" t="str">
        <f ca="1">IFERROR(__xludf.DUMMYFUNCTION("""COMPUTED_VALUE"""),"No")</f>
        <v>No</v>
      </c>
      <c r="AN1761" s="8"/>
      <c r="AO1761" s="8" t="str">
        <f ca="1">IFERROR(__xludf.DUMMYFUNCTION("""COMPUTED_VALUE"""),"No")</f>
        <v>No</v>
      </c>
      <c r="AP1761" s="8" t="str">
        <f ca="1">IFERROR(__xludf.DUMMYFUNCTION("""COMPUTED_VALUE"""),"Yes")</f>
        <v>Yes</v>
      </c>
      <c r="AQ1761" s="8" t="str">
        <f ca="1">IFERROR(__xludf.DUMMYFUNCTION("""COMPUTED_VALUE"""),"Unknown")</f>
        <v>Unknown</v>
      </c>
      <c r="AR1761" s="8" t="str">
        <f ca="1">IFERROR(__xludf.DUMMYFUNCTION("""COMPUTED_VALUE"""),"NA")</f>
        <v>NA</v>
      </c>
      <c r="AS1761" s="8">
        <f ca="1">IFERROR(__xludf.DUMMYFUNCTION("""COMPUTED_VALUE"""),1)</f>
        <v>1</v>
      </c>
      <c r="AT1761" s="8"/>
      <c r="AU1761" s="8">
        <f ca="1">IFERROR(__xludf.DUMMYFUNCTION("""COMPUTED_VALUE"""),38.815718)</f>
        <v>38.815717999999997</v>
      </c>
      <c r="AV1761" s="8">
        <f ca="1">IFERROR(__xludf.DUMMYFUNCTION("""COMPUTED_VALUE"""),-77.055328)</f>
        <v>-77.055328000000003</v>
      </c>
      <c r="AW1761" s="8"/>
      <c r="AX1761" s="8">
        <f ca="1">IFERROR(__xludf.DUMMYFUNCTION("""COMPUTED_VALUE"""),22301)</f>
        <v>22301</v>
      </c>
    </row>
    <row r="1762" spans="1:50" ht="75" x14ac:dyDescent="0.2">
      <c r="A1762" s="8" t="str">
        <f ca="1">IFERROR(__xludf.DUMMYFUNCTION("""COMPUTED_VALUE"""),"20180313CASES")</f>
        <v>20180313CASES</v>
      </c>
      <c r="B1762" s="8">
        <f ca="1">IFERROR(__xludf.DUMMYFUNCTION("""COMPUTED_VALUE"""),3)</f>
        <v>3</v>
      </c>
      <c r="C1762" s="8">
        <f ca="1">IFERROR(__xludf.DUMMYFUNCTION("""COMPUTED_VALUE"""),13)</f>
        <v>13</v>
      </c>
      <c r="D1762" s="8">
        <f ca="1">IFERROR(__xludf.DUMMYFUNCTION("""COMPUTED_VALUE"""),2018)</f>
        <v>2018</v>
      </c>
      <c r="E1762" s="9">
        <f ca="1">IFERROR(__xludf.DUMMYFUNCTION("""COMPUTED_VALUE"""),43172)</f>
        <v>43172</v>
      </c>
      <c r="F1762" s="8" t="str">
        <f ca="1">IFERROR(__xludf.DUMMYFUNCTION("""COMPUTED_VALUE"""),"Seaside High School")</f>
        <v>Seaside High School</v>
      </c>
      <c r="G1762" s="8">
        <f ca="1">IFERROR(__xludf.DUMMYFUNCTION("""COMPUTED_VALUE"""),0)</f>
        <v>0</v>
      </c>
      <c r="H1762" s="8">
        <f ca="1">IFERROR(__xludf.DUMMYFUNCTION("""COMPUTED_VALUE"""),1)</f>
        <v>1</v>
      </c>
      <c r="I1762" s="8">
        <f ca="1">IFERROR(__xludf.DUMMYFUNCTION("""COMPUTED_VALUE"""),1)</f>
        <v>1</v>
      </c>
      <c r="J1762" s="8">
        <f ca="1">IFERROR(__xludf.DUMMYFUNCTION("""COMPUTED_VALUE"""),0)</f>
        <v>0</v>
      </c>
      <c r="K1762" s="10" t="str">
        <f ca="1">IFERROR(__xludf.DUMMYFUNCTION("""COMPUTED_VALUE"""),"http://www.ksbw.com/article/seaside-high-teacher-accidentally-fires-gun-in-class/19426017")</f>
        <v>http://www.ksbw.com/article/seaside-high-teacher-accidentally-fires-gun-in-class/19426017</v>
      </c>
      <c r="L1762" s="8"/>
      <c r="M1762" s="8"/>
      <c r="N1762" s="8">
        <f ca="1">IFERROR(__xludf.DUMMYFUNCTION("""COMPUTED_VALUE"""),2)</f>
        <v>2</v>
      </c>
      <c r="O1762" s="8" t="str">
        <f ca="1">IFERROR(__xludf.DUMMYFUNCTION("""COMPUTED_VALUE"""),"Spring")</f>
        <v>Spring</v>
      </c>
      <c r="P1762" s="8" t="str">
        <f ca="1">IFERROR(__xludf.DUMMYFUNCTION("""COMPUTED_VALUE"""),"Seaside")</f>
        <v>Seaside</v>
      </c>
      <c r="Q1762" s="8" t="str">
        <f ca="1">IFERROR(__xludf.DUMMYFUNCTION("""COMPUTED_VALUE"""),"CA")</f>
        <v>CA</v>
      </c>
      <c r="R1762" s="8" t="str">
        <f ca="1">IFERROR(__xludf.DUMMYFUNCTION("""COMPUTED_VALUE"""),"High")</f>
        <v>High</v>
      </c>
      <c r="S1762" s="8" t="str">
        <f ca="1">IFERROR(__xludf.DUMMYFUNCTION("""COMPUTED_VALUE"""),"Classroom")</f>
        <v>Classroom</v>
      </c>
      <c r="T1762" s="8" t="str">
        <f ca="1">IFERROR(__xludf.DUMMYFUNCTION("""COMPUTED_VALUE"""),"Inside School Building")</f>
        <v>Inside School Building</v>
      </c>
      <c r="U1762" s="8" t="str">
        <f ca="1">IFERROR(__xludf.DUMMYFUNCTION("""COMPUTED_VALUE"""),"Yes")</f>
        <v>Yes</v>
      </c>
      <c r="V1762" s="8" t="str">
        <f ca="1">IFERROR(__xludf.DUMMYFUNCTION("""COMPUTED_VALUE"""),"Morning Classes")</f>
        <v>Morning Classes</v>
      </c>
      <c r="W1762" s="11">
        <f ca="1">IFERROR(__xludf.DUMMYFUNCTION("""COMPUTED_VALUE"""),0.555555555555555)</f>
        <v>0.55555555555555503</v>
      </c>
      <c r="X1762" s="8">
        <f ca="1">IFERROR(__xludf.DUMMYFUNCTION("""COMPUTED_VALUE"""),1)</f>
        <v>1</v>
      </c>
      <c r="Y1762" s="12" t="str">
        <f ca="1">IFERROR(__xludf.DUMMYFUNCTION("""COMPUTED_VALUE"""),"Accidental discharge during teacher's gun safety demonstration")</f>
        <v>Accidental discharge during teacher's gun safety demonstration</v>
      </c>
      <c r="Z1762" s="12" t="str">
        <f ca="1">IFERROR(__xludf.DUMMYFUNCTION("""COMPUTED_VALUE"""),"Teacher (reserve police officer) was showing gun as part of demonstration and firearm discharged in the ceiling. Bullet fragments struck 1 student, ceiling debris hurt 2 students, all have minor injuries. Guns not allowed on school premises in CA.")</f>
        <v>Teacher (reserve police officer) was showing gun as part of demonstration and firearm discharged in the ceiling. Bullet fragments struck 1 student, ceiling debris hurt 2 students, all have minor injuries. Guns not allowed on school premises in CA.</v>
      </c>
      <c r="AA1762" s="8" t="str">
        <f ca="1">IFERROR(__xludf.DUMMYFUNCTION("""COMPUTED_VALUE"""),"Accidental")</f>
        <v>Accidental</v>
      </c>
      <c r="AB1762" s="8"/>
      <c r="AC1762" s="8" t="str">
        <f ca="1">IFERROR(__xludf.DUMMYFUNCTION("""COMPUTED_VALUE"""),"Yes")</f>
        <v>Yes</v>
      </c>
      <c r="AD1762" s="8" t="str">
        <f ca="1">IFERROR(__xludf.DUMMYFUNCTION("""COMPUTED_VALUE"""),"Random Shooting")</f>
        <v>Random Shooting</v>
      </c>
      <c r="AE1762" s="8" t="str">
        <f ca="1">IFERROR(__xludf.DUMMYFUNCTION("""COMPUTED_VALUE"""),"No")</f>
        <v>No</v>
      </c>
      <c r="AF1762" s="8"/>
      <c r="AG1762" s="8" t="str">
        <f ca="1">IFERROR(__xludf.DUMMYFUNCTION("""COMPUTED_VALUE"""),"No")</f>
        <v>No</v>
      </c>
      <c r="AH1762" s="8" t="str">
        <f ca="1">IFERROR(__xludf.DUMMYFUNCTION("""COMPUTED_VALUE"""),"No")</f>
        <v>No</v>
      </c>
      <c r="AI1762" s="8" t="str">
        <f ca="1">IFERROR(__xludf.DUMMYFUNCTION("""COMPUTED_VALUE"""),"No")</f>
        <v>No</v>
      </c>
      <c r="AJ1762" s="8" t="str">
        <f ca="1">IFERROR(__xludf.DUMMYFUNCTION("""COMPUTED_VALUE"""),"No")</f>
        <v>No</v>
      </c>
      <c r="AK1762" s="8" t="str">
        <f ca="1">IFERROR(__xludf.DUMMYFUNCTION("""COMPUTED_VALUE"""),"No")</f>
        <v>No</v>
      </c>
      <c r="AL1762" s="8" t="str">
        <f ca="1">IFERROR(__xludf.DUMMYFUNCTION("""COMPUTED_VALUE"""),"No")</f>
        <v>No</v>
      </c>
      <c r="AM1762" s="8" t="str">
        <f ca="1">IFERROR(__xludf.DUMMYFUNCTION("""COMPUTED_VALUE"""),"No")</f>
        <v>No</v>
      </c>
      <c r="AN1762" s="8"/>
      <c r="AO1762" s="8" t="str">
        <f ca="1">IFERROR(__xludf.DUMMYFUNCTION("""COMPUTED_VALUE"""),"No")</f>
        <v>No</v>
      </c>
      <c r="AP1762" s="8" t="str">
        <f ca="1">IFERROR(__xludf.DUMMYFUNCTION("""COMPUTED_VALUE"""),"No")</f>
        <v>No</v>
      </c>
      <c r="AQ1762" s="8" t="str">
        <f ca="1">IFERROR(__xludf.DUMMYFUNCTION("""COMPUTED_VALUE"""),"Unknown")</f>
        <v>Unknown</v>
      </c>
      <c r="AR1762" s="8" t="str">
        <f ca="1">IFERROR(__xludf.DUMMYFUNCTION("""COMPUTED_VALUE"""),"NA")</f>
        <v>NA</v>
      </c>
      <c r="AS1762" s="8">
        <f ca="1">IFERROR(__xludf.DUMMYFUNCTION("""COMPUTED_VALUE"""),1)</f>
        <v>1</v>
      </c>
      <c r="AT1762" s="8"/>
      <c r="AU1762" s="8">
        <f ca="1">IFERROR(__xludf.DUMMYFUNCTION("""COMPUTED_VALUE"""),36.62444)</f>
        <v>36.62444</v>
      </c>
      <c r="AV1762" s="8">
        <f ca="1">IFERROR(__xludf.DUMMYFUNCTION("""COMPUTED_VALUE"""),-121.838)</f>
        <v>-121.83799999999999</v>
      </c>
      <c r="AW1762" s="8"/>
      <c r="AX1762" s="8">
        <f ca="1">IFERROR(__xludf.DUMMYFUNCTION("""COMPUTED_VALUE"""),93955)</f>
        <v>93955</v>
      </c>
    </row>
    <row r="1763" spans="1:50" ht="45" x14ac:dyDescent="0.2">
      <c r="A1763" s="8" t="str">
        <f ca="1">IFERROR(__xludf.DUMMYFUNCTION("""COMPUTED_VALUE"""),"20180309KYFRL")</f>
        <v>20180309KYFRL</v>
      </c>
      <c r="B1763" s="8">
        <f ca="1">IFERROR(__xludf.DUMMYFUNCTION("""COMPUTED_VALUE"""),3)</f>
        <v>3</v>
      </c>
      <c r="C1763" s="8">
        <f ca="1">IFERROR(__xludf.DUMMYFUNCTION("""COMPUTED_VALUE"""),9)</f>
        <v>9</v>
      </c>
      <c r="D1763" s="8">
        <f ca="1">IFERROR(__xludf.DUMMYFUNCTION("""COMPUTED_VALUE"""),2018)</f>
        <v>2018</v>
      </c>
      <c r="E1763" s="9">
        <f ca="1">IFERROR(__xludf.DUMMYFUNCTION("""COMPUTED_VALUE"""),43168)</f>
        <v>43168</v>
      </c>
      <c r="F1763" s="8" t="str">
        <f ca="1">IFERROR(__xludf.DUMMYFUNCTION("""COMPUTED_VALUE"""),"Frederick Douglass High School")</f>
        <v>Frederick Douglass High School</v>
      </c>
      <c r="G1763" s="8">
        <f ca="1">IFERROR(__xludf.DUMMYFUNCTION("""COMPUTED_VALUE"""),0)</f>
        <v>0</v>
      </c>
      <c r="H1763" s="8">
        <f ca="1">IFERROR(__xludf.DUMMYFUNCTION("""COMPUTED_VALUE"""),0)</f>
        <v>0</v>
      </c>
      <c r="I1763" s="8">
        <f ca="1">IFERROR(__xludf.DUMMYFUNCTION("""COMPUTED_VALUE"""),0)</f>
        <v>0</v>
      </c>
      <c r="J1763" s="8">
        <f ca="1">IFERROR(__xludf.DUMMYFUNCTION("""COMPUTED_VALUE"""),0)</f>
        <v>0</v>
      </c>
      <c r="K1763" s="10" t="str">
        <f ca="1">IFERROR(__xludf.DUMMYFUNCTION("""COMPUTED_VALUE"""),"http://www.wsaz.com/content/news/Reported-gunfire-at-Frederick-Douglas-High-School-in-Lexington-476375083.html")</f>
        <v>http://www.wsaz.com/content/news/Reported-gunfire-at-Frederick-Douglas-High-School-in-Lexington-476375083.html</v>
      </c>
      <c r="L1763" s="8"/>
      <c r="M1763" s="8"/>
      <c r="N1763" s="8">
        <f ca="1">IFERROR(__xludf.DUMMYFUNCTION("""COMPUTED_VALUE"""),2)</f>
        <v>2</v>
      </c>
      <c r="O1763" s="8" t="str">
        <f ca="1">IFERROR(__xludf.DUMMYFUNCTION("""COMPUTED_VALUE"""),"Spring")</f>
        <v>Spring</v>
      </c>
      <c r="P1763" s="8" t="str">
        <f ca="1">IFERROR(__xludf.DUMMYFUNCTION("""COMPUTED_VALUE"""),"Lexington")</f>
        <v>Lexington</v>
      </c>
      <c r="Q1763" s="8" t="str">
        <f ca="1">IFERROR(__xludf.DUMMYFUNCTION("""COMPUTED_VALUE"""),"KY")</f>
        <v>KY</v>
      </c>
      <c r="R1763" s="8" t="str">
        <f ca="1">IFERROR(__xludf.DUMMYFUNCTION("""COMPUTED_VALUE"""),"High")</f>
        <v>High</v>
      </c>
      <c r="S1763" s="8" t="str">
        <f ca="1">IFERROR(__xludf.DUMMYFUNCTION("""COMPUTED_VALUE"""),"Classroom")</f>
        <v>Classroom</v>
      </c>
      <c r="T1763" s="8" t="str">
        <f ca="1">IFERROR(__xludf.DUMMYFUNCTION("""COMPUTED_VALUE"""),"Inside School Building")</f>
        <v>Inside School Building</v>
      </c>
      <c r="U1763" s="8" t="str">
        <f ca="1">IFERROR(__xludf.DUMMYFUNCTION("""COMPUTED_VALUE"""),"Yes")</f>
        <v>Yes</v>
      </c>
      <c r="V1763" s="8" t="str">
        <f ca="1">IFERROR(__xludf.DUMMYFUNCTION("""COMPUTED_VALUE"""),"Morning Classes")</f>
        <v>Morning Classes</v>
      </c>
      <c r="W1763" s="8"/>
      <c r="X1763" s="8">
        <f ca="1">IFERROR(__xludf.DUMMYFUNCTION("""COMPUTED_VALUE"""),1)</f>
        <v>1</v>
      </c>
      <c r="Y1763" s="12" t="str">
        <f ca="1">IFERROR(__xludf.DUMMYFUNCTION("""COMPUTED_VALUE"""),"Student shot self in hand with firearm in classroom")</f>
        <v>Student shot self in hand with firearm in classroom</v>
      </c>
      <c r="Z1763" s="12" t="str">
        <f ca="1">IFERROR(__xludf.DUMMYFUNCTION("""COMPUTED_VALUE"""),"Student was playing with a gun in the classroom and fired striking his hand. No other injuries. Student was detained and school was not locked down.")</f>
        <v>Student was playing with a gun in the classroom and fired striking his hand. No other injuries. Student was detained and school was not locked down.</v>
      </c>
      <c r="AA1763" s="8" t="str">
        <f ca="1">IFERROR(__xludf.DUMMYFUNCTION("""COMPUTED_VALUE"""),"Accidental")</f>
        <v>Accidental</v>
      </c>
      <c r="AB1763" s="8"/>
      <c r="AC1763" s="8" t="str">
        <f ca="1">IFERROR(__xludf.DUMMYFUNCTION("""COMPUTED_VALUE"""),"Yes")</f>
        <v>Yes</v>
      </c>
      <c r="AD1763" s="8" t="str">
        <f ca="1">IFERROR(__xludf.DUMMYFUNCTION("""COMPUTED_VALUE"""),"Random Shooting")</f>
        <v>Random Shooting</v>
      </c>
      <c r="AE1763" s="8" t="str">
        <f ca="1">IFERROR(__xludf.DUMMYFUNCTION("""COMPUTED_VALUE"""),"No")</f>
        <v>No</v>
      </c>
      <c r="AF1763" s="8"/>
      <c r="AG1763" s="8" t="str">
        <f ca="1">IFERROR(__xludf.DUMMYFUNCTION("""COMPUTED_VALUE"""),"No")</f>
        <v>No</v>
      </c>
      <c r="AH1763" s="8" t="str">
        <f ca="1">IFERROR(__xludf.DUMMYFUNCTION("""COMPUTED_VALUE"""),"No")</f>
        <v>No</v>
      </c>
      <c r="AI1763" s="8" t="str">
        <f ca="1">IFERROR(__xludf.DUMMYFUNCTION("""COMPUTED_VALUE"""),"No")</f>
        <v>No</v>
      </c>
      <c r="AJ1763" s="8" t="str">
        <f ca="1">IFERROR(__xludf.DUMMYFUNCTION("""COMPUTED_VALUE"""),"No")</f>
        <v>No</v>
      </c>
      <c r="AK1763" s="8" t="str">
        <f ca="1">IFERROR(__xludf.DUMMYFUNCTION("""COMPUTED_VALUE"""),"No")</f>
        <v>No</v>
      </c>
      <c r="AL1763" s="8" t="str">
        <f ca="1">IFERROR(__xludf.DUMMYFUNCTION("""COMPUTED_VALUE"""),"No")</f>
        <v>No</v>
      </c>
      <c r="AM1763" s="8" t="str">
        <f ca="1">IFERROR(__xludf.DUMMYFUNCTION("""COMPUTED_VALUE"""),"No")</f>
        <v>No</v>
      </c>
      <c r="AN1763" s="8"/>
      <c r="AO1763" s="8" t="str">
        <f ca="1">IFERROR(__xludf.DUMMYFUNCTION("""COMPUTED_VALUE"""),"No")</f>
        <v>No</v>
      </c>
      <c r="AP1763" s="8"/>
      <c r="AQ1763" s="8" t="str">
        <f ca="1">IFERROR(__xludf.DUMMYFUNCTION("""COMPUTED_VALUE"""),"Unknown")</f>
        <v>Unknown</v>
      </c>
      <c r="AR1763" s="8" t="str">
        <f ca="1">IFERROR(__xludf.DUMMYFUNCTION("""COMPUTED_VALUE"""),"NA")</f>
        <v>NA</v>
      </c>
      <c r="AS1763" s="8">
        <f ca="1">IFERROR(__xludf.DUMMYFUNCTION("""COMPUTED_VALUE"""),1)</f>
        <v>1</v>
      </c>
      <c r="AT1763" s="8"/>
      <c r="AU1763" s="8">
        <f ca="1">IFERROR(__xludf.DUMMYFUNCTION("""COMPUTED_VALUE"""),38.039383)</f>
        <v>38.039383000000001</v>
      </c>
      <c r="AV1763" s="8">
        <f ca="1">IFERROR(__xludf.DUMMYFUNCTION("""COMPUTED_VALUE"""),-84.435499)</f>
        <v>-84.435498999999993</v>
      </c>
      <c r="AW1763" s="8"/>
      <c r="AX1763" s="8">
        <f ca="1">IFERROR(__xludf.DUMMYFUNCTION("""COMPUTED_VALUE"""),40509)</f>
        <v>40509</v>
      </c>
    </row>
    <row r="1764" spans="1:50" ht="75" x14ac:dyDescent="0.2">
      <c r="A1764" s="8" t="str">
        <f ca="1">IFERROR(__xludf.DUMMYFUNCTION("""COMPUTED_VALUE"""),"20180307ALHUB")</f>
        <v>20180307ALHUB</v>
      </c>
      <c r="B1764" s="8">
        <f ca="1">IFERROR(__xludf.DUMMYFUNCTION("""COMPUTED_VALUE"""),3)</f>
        <v>3</v>
      </c>
      <c r="C1764" s="8">
        <f ca="1">IFERROR(__xludf.DUMMYFUNCTION("""COMPUTED_VALUE"""),7)</f>
        <v>7</v>
      </c>
      <c r="D1764" s="8">
        <f ca="1">IFERROR(__xludf.DUMMYFUNCTION("""COMPUTED_VALUE"""),2018)</f>
        <v>2018</v>
      </c>
      <c r="E1764" s="9">
        <f ca="1">IFERROR(__xludf.DUMMYFUNCTION("""COMPUTED_VALUE"""),43166)</f>
        <v>43166</v>
      </c>
      <c r="F1764" s="8" t="str">
        <f ca="1">IFERROR(__xludf.DUMMYFUNCTION("""COMPUTED_VALUE"""),"Huffman High School")</f>
        <v>Huffman High School</v>
      </c>
      <c r="G1764" s="8">
        <f ca="1">IFERROR(__xludf.DUMMYFUNCTION("""COMPUTED_VALUE"""),1)</f>
        <v>1</v>
      </c>
      <c r="H1764" s="8">
        <f ca="1">IFERROR(__xludf.DUMMYFUNCTION("""COMPUTED_VALUE"""),0)</f>
        <v>0</v>
      </c>
      <c r="I1764" s="8">
        <f ca="1">IFERROR(__xludf.DUMMYFUNCTION("""COMPUTED_VALUE"""),1)</f>
        <v>1</v>
      </c>
      <c r="J1764" s="8">
        <f ca="1">IFERROR(__xludf.DUMMYFUNCTION("""COMPUTED_VALUE"""),0)</f>
        <v>0</v>
      </c>
      <c r="K1764" s="8" t="str">
        <f ca="1">IFERROR(__xludf.DUMMYFUNCTION("""COMPUTED_VALUE"""),"http://abc3340.com/news/local/17-year-old-charged-in-fatal-huffman-hs-shooting https://www.wsfa.com/2019/08/09/teen-gets-year-sentence-fatal-school-shooting/")</f>
        <v>http://abc3340.com/news/local/17-year-old-charged-in-fatal-huffman-hs-shooting https://www.wsfa.com/2019/08/09/teen-gets-year-sentence-fatal-school-shooting/</v>
      </c>
      <c r="L1764" s="8"/>
      <c r="M1764" s="8"/>
      <c r="N1764" s="8">
        <f ca="1">IFERROR(__xludf.DUMMYFUNCTION("""COMPUTED_VALUE"""),4)</f>
        <v>4</v>
      </c>
      <c r="O1764" s="8" t="str">
        <f ca="1">IFERROR(__xludf.DUMMYFUNCTION("""COMPUTED_VALUE"""),"Spring")</f>
        <v>Spring</v>
      </c>
      <c r="P1764" s="8" t="str">
        <f ca="1">IFERROR(__xludf.DUMMYFUNCTION("""COMPUTED_VALUE"""),"Birmingham")</f>
        <v>Birmingham</v>
      </c>
      <c r="Q1764" s="8" t="str">
        <f ca="1">IFERROR(__xludf.DUMMYFUNCTION("""COMPUTED_VALUE"""),"AL")</f>
        <v>AL</v>
      </c>
      <c r="R1764" s="8" t="str">
        <f ca="1">IFERROR(__xludf.DUMMYFUNCTION("""COMPUTED_VALUE"""),"High")</f>
        <v>High</v>
      </c>
      <c r="S1764" s="8" t="str">
        <f ca="1">IFERROR(__xludf.DUMMYFUNCTION("""COMPUTED_VALUE"""),"Inside School Building")</f>
        <v>Inside School Building</v>
      </c>
      <c r="T1764" s="8" t="str">
        <f ca="1">IFERROR(__xludf.DUMMYFUNCTION("""COMPUTED_VALUE"""),"Inside School Building")</f>
        <v>Inside School Building</v>
      </c>
      <c r="U1764" s="8" t="str">
        <f ca="1">IFERROR(__xludf.DUMMYFUNCTION("""COMPUTED_VALUE"""),"Yes")</f>
        <v>Yes</v>
      </c>
      <c r="V1764" s="8" t="str">
        <f ca="1">IFERROR(__xludf.DUMMYFUNCTION("""COMPUTED_VALUE"""),"After School")</f>
        <v>After School</v>
      </c>
      <c r="W1764" s="11">
        <f ca="1">IFERROR(__xludf.DUMMYFUNCTION("""COMPUTED_VALUE"""),0.65625)</f>
        <v>0.65625</v>
      </c>
      <c r="X1764" s="8">
        <f ca="1">IFERROR(__xludf.DUMMYFUNCTION("""COMPUTED_VALUE"""),1)</f>
        <v>1</v>
      </c>
      <c r="Y1764" s="12" t="str">
        <f ca="1">IFERROR(__xludf.DUMMYFUNCTION("""COMPUTED_VALUE"""),"Accidental discharge while showing off gun")</f>
        <v>Accidental discharge while showing off gun</v>
      </c>
      <c r="Z1764" s="12" t="str">
        <f ca="1">IFERROR(__xludf.DUMMYFUNCTION("""COMPUTED_VALUE"""),"Accidental shooting, manslaughter charge, showing gun to other student and it accidentally discharged striking a female student. The shooter then accidently shot himself in the leg trying to put the gun away. Gun was found in a trash can behind the school"&amp;".")</f>
        <v>Accidental shooting, manslaughter charge, showing gun to other student and it accidentally discharged striking a female student. The shooter then accidently shot himself in the leg trying to put the gun away. Gun was found in a trash can behind the school.</v>
      </c>
      <c r="AA1764" s="8" t="str">
        <f ca="1">IFERROR(__xludf.DUMMYFUNCTION("""COMPUTED_VALUE"""),"Accidental")</f>
        <v>Accidental</v>
      </c>
      <c r="AB1764" s="8"/>
      <c r="AC1764" s="8" t="str">
        <f ca="1">IFERROR(__xludf.DUMMYFUNCTION("""COMPUTED_VALUE"""),"Yes")</f>
        <v>Yes</v>
      </c>
      <c r="AD1764" s="8" t="str">
        <f ca="1">IFERROR(__xludf.DUMMYFUNCTION("""COMPUTED_VALUE"""),"Random Shooting")</f>
        <v>Random Shooting</v>
      </c>
      <c r="AE1764" s="8"/>
      <c r="AF1764" s="8"/>
      <c r="AG1764" s="8" t="str">
        <f ca="1">IFERROR(__xludf.DUMMYFUNCTION("""COMPUTED_VALUE"""),"No")</f>
        <v>No</v>
      </c>
      <c r="AH1764" s="8" t="str">
        <f ca="1">IFERROR(__xludf.DUMMYFUNCTION("""COMPUTED_VALUE"""),"No")</f>
        <v>No</v>
      </c>
      <c r="AI1764" s="8" t="str">
        <f ca="1">IFERROR(__xludf.DUMMYFUNCTION("""COMPUTED_VALUE"""),"No")</f>
        <v>No</v>
      </c>
      <c r="AJ1764" s="8" t="str">
        <f ca="1">IFERROR(__xludf.DUMMYFUNCTION("""COMPUTED_VALUE"""),"No")</f>
        <v>No</v>
      </c>
      <c r="AK1764" s="8" t="str">
        <f ca="1">IFERROR(__xludf.DUMMYFUNCTION("""COMPUTED_VALUE"""),"No")</f>
        <v>No</v>
      </c>
      <c r="AL1764" s="8" t="str">
        <f ca="1">IFERROR(__xludf.DUMMYFUNCTION("""COMPUTED_VALUE"""),"No")</f>
        <v>No</v>
      </c>
      <c r="AM1764" s="8" t="str">
        <f ca="1">IFERROR(__xludf.DUMMYFUNCTION("""COMPUTED_VALUE"""),"No")</f>
        <v>No</v>
      </c>
      <c r="AN1764" s="8"/>
      <c r="AO1764" s="8" t="str">
        <f ca="1">IFERROR(__xludf.DUMMYFUNCTION("""COMPUTED_VALUE"""),"No")</f>
        <v>No</v>
      </c>
      <c r="AP1764" s="8" t="str">
        <f ca="1">IFERROR(__xludf.DUMMYFUNCTION("""COMPUTED_VALUE"""),"Yes")</f>
        <v>Yes</v>
      </c>
      <c r="AQ1764" s="8" t="str">
        <f ca="1">IFERROR(__xludf.DUMMYFUNCTION("""COMPUTED_VALUE"""),"None")</f>
        <v>None</v>
      </c>
      <c r="AR1764" s="8" t="str">
        <f ca="1">IFERROR(__xludf.DUMMYFUNCTION("""COMPUTED_VALUE"""),"NA")</f>
        <v>NA</v>
      </c>
      <c r="AS1764" s="8"/>
      <c r="AT1764" s="8" t="str">
        <f ca="1">IFERROR(__xludf.DUMMYFUNCTION("""COMPUTED_VALUE"""),"Yes")</f>
        <v>Yes</v>
      </c>
      <c r="AU1764" s="8">
        <f ca="1">IFERROR(__xludf.DUMMYFUNCTION("""COMPUTED_VALUE"""),33.61291)</f>
        <v>33.612909999999999</v>
      </c>
      <c r="AV1764" s="8">
        <f ca="1">IFERROR(__xludf.DUMMYFUNCTION("""COMPUTED_VALUE"""),-86.682)</f>
        <v>-86.682000000000002</v>
      </c>
      <c r="AW1764" s="8"/>
      <c r="AX1764" s="8">
        <f ca="1">IFERROR(__xludf.DUMMYFUNCTION("""COMPUTED_VALUE"""),35215)</f>
        <v>35215</v>
      </c>
    </row>
    <row r="1765" spans="1:50" ht="45" x14ac:dyDescent="0.2">
      <c r="A1765" s="8" t="str">
        <f ca="1">IFERROR(__xludf.DUMMYFUNCTION("""COMPUTED_VALUE"""),"20180305MOKIC")</f>
        <v>20180305MOKIC</v>
      </c>
      <c r="B1765" s="8">
        <f ca="1">IFERROR(__xludf.DUMMYFUNCTION("""COMPUTED_VALUE"""),3)</f>
        <v>3</v>
      </c>
      <c r="C1765" s="8">
        <f ca="1">IFERROR(__xludf.DUMMYFUNCTION("""COMPUTED_VALUE"""),5)</f>
        <v>5</v>
      </c>
      <c r="D1765" s="8">
        <f ca="1">IFERROR(__xludf.DUMMYFUNCTION("""COMPUTED_VALUE"""),2018)</f>
        <v>2018</v>
      </c>
      <c r="E1765" s="9">
        <f ca="1">IFERROR(__xludf.DUMMYFUNCTION("""COMPUTED_VALUE"""),43164)</f>
        <v>43164</v>
      </c>
      <c r="F1765" s="8" t="str">
        <f ca="1">IFERROR(__xludf.DUMMYFUNCTION("""COMPUTED_VALUE"""),"Kingston High School")</f>
        <v>Kingston High School</v>
      </c>
      <c r="G1765" s="8">
        <f ca="1">IFERROR(__xludf.DUMMYFUNCTION("""COMPUTED_VALUE"""),0)</f>
        <v>0</v>
      </c>
      <c r="H1765" s="8">
        <f ca="1">IFERROR(__xludf.DUMMYFUNCTION("""COMPUTED_VALUE"""),0)</f>
        <v>0</v>
      </c>
      <c r="I1765" s="8">
        <f ca="1">IFERROR(__xludf.DUMMYFUNCTION("""COMPUTED_VALUE"""),0)</f>
        <v>0</v>
      </c>
      <c r="J1765" s="8">
        <f ca="1">IFERROR(__xludf.DUMMYFUNCTION("""COMPUTED_VALUE"""),1)</f>
        <v>1</v>
      </c>
      <c r="K1765" s="10" t="str">
        <f ca="1">IFERROR(__xludf.DUMMYFUNCTION("""COMPUTED_VALUE"""),"https://fox2now.com/2018/03/05/students-sent-home-after-suicide-at-washington-county-school/")</f>
        <v>https://fox2now.com/2018/03/05/students-sent-home-after-suicide-at-washington-county-school/</v>
      </c>
      <c r="L1765" s="8"/>
      <c r="M1765" s="8"/>
      <c r="N1765" s="8">
        <f ca="1">IFERROR(__xludf.DUMMYFUNCTION("""COMPUTED_VALUE"""),2)</f>
        <v>2</v>
      </c>
      <c r="O1765" s="8" t="str">
        <f ca="1">IFERROR(__xludf.DUMMYFUNCTION("""COMPUTED_VALUE"""),"Spring")</f>
        <v>Spring</v>
      </c>
      <c r="P1765" s="8" t="str">
        <f ca="1">IFERROR(__xludf.DUMMYFUNCTION("""COMPUTED_VALUE"""),"Cadet")</f>
        <v>Cadet</v>
      </c>
      <c r="Q1765" s="8" t="str">
        <f ca="1">IFERROR(__xludf.DUMMYFUNCTION("""COMPUTED_VALUE"""),"MO")</f>
        <v>MO</v>
      </c>
      <c r="R1765" s="8" t="str">
        <f ca="1">IFERROR(__xludf.DUMMYFUNCTION("""COMPUTED_VALUE"""),"K-12")</f>
        <v>K-12</v>
      </c>
      <c r="S1765" s="8" t="str">
        <f ca="1">IFERROR(__xludf.DUMMYFUNCTION("""COMPUTED_VALUE"""),"Classroom")</f>
        <v>Classroom</v>
      </c>
      <c r="T1765" s="8" t="str">
        <f ca="1">IFERROR(__xludf.DUMMYFUNCTION("""COMPUTED_VALUE"""),"Inside School Building")</f>
        <v>Inside School Building</v>
      </c>
      <c r="U1765" s="8" t="str">
        <f ca="1">IFERROR(__xludf.DUMMYFUNCTION("""COMPUTED_VALUE"""),"Yes")</f>
        <v>Yes</v>
      </c>
      <c r="V1765" s="8" t="str">
        <f ca="1">IFERROR(__xludf.DUMMYFUNCTION("""COMPUTED_VALUE"""),"School Start")</f>
        <v>School Start</v>
      </c>
      <c r="W1765" s="11">
        <f ca="1">IFERROR(__xludf.DUMMYFUNCTION("""COMPUTED_VALUE"""),0.319444444444444)</f>
        <v>0.31944444444444398</v>
      </c>
      <c r="X1765" s="8">
        <f ca="1">IFERROR(__xludf.DUMMYFUNCTION("""COMPUTED_VALUE"""),1)</f>
        <v>1</v>
      </c>
      <c r="Y1765" s="12" t="str">
        <f ca="1">IFERROR(__xludf.DUMMYFUNCTION("""COMPUTED_VALUE"""),"Student shot self in bathroom")</f>
        <v>Student shot self in bathroom</v>
      </c>
      <c r="Z1765" s="12" t="str">
        <f ca="1">IFERROR(__xludf.DUMMYFUNCTION("""COMPUTED_VALUE"""),"17YOM shot himself in the school bathroom at the start of the school day. Shooter had prior mental health issues and treatment.")</f>
        <v>17YOM shot himself in the school bathroom at the start of the school day. Shooter had prior mental health issues and treatment.</v>
      </c>
      <c r="AA1765" s="8" t="str">
        <f ca="1">IFERROR(__xludf.DUMMYFUNCTION("""COMPUTED_VALUE"""),"Suicide/Attempted")</f>
        <v>Suicide/Attempted</v>
      </c>
      <c r="AB1765" s="8"/>
      <c r="AC1765" s="8" t="str">
        <f ca="1">IFERROR(__xludf.DUMMYFUNCTION("""COMPUTED_VALUE"""),"Yes")</f>
        <v>Yes</v>
      </c>
      <c r="AD1765" s="8" t="str">
        <f ca="1">IFERROR(__xludf.DUMMYFUNCTION("""COMPUTED_VALUE"""),"Victims Targeted")</f>
        <v>Victims Targeted</v>
      </c>
      <c r="AE1765" s="8" t="str">
        <f ca="1">IFERROR(__xludf.DUMMYFUNCTION("""COMPUTED_VALUE"""),"No")</f>
        <v>No</v>
      </c>
      <c r="AF1765" s="8"/>
      <c r="AG1765" s="8" t="str">
        <f ca="1">IFERROR(__xludf.DUMMYFUNCTION("""COMPUTED_VALUE"""),"No")</f>
        <v>No</v>
      </c>
      <c r="AH1765" s="8" t="str">
        <f ca="1">IFERROR(__xludf.DUMMYFUNCTION("""COMPUTED_VALUE"""),"No")</f>
        <v>No</v>
      </c>
      <c r="AI1765" s="8" t="str">
        <f ca="1">IFERROR(__xludf.DUMMYFUNCTION("""COMPUTED_VALUE"""),"No")</f>
        <v>No</v>
      </c>
      <c r="AJ1765" s="8" t="str">
        <f ca="1">IFERROR(__xludf.DUMMYFUNCTION("""COMPUTED_VALUE"""),"No")</f>
        <v>No</v>
      </c>
      <c r="AK1765" s="8" t="str">
        <f ca="1">IFERROR(__xludf.DUMMYFUNCTION("""COMPUTED_VALUE"""),"No")</f>
        <v>No</v>
      </c>
      <c r="AL1765" s="8" t="str">
        <f ca="1">IFERROR(__xludf.DUMMYFUNCTION("""COMPUTED_VALUE"""),"No")</f>
        <v>No</v>
      </c>
      <c r="AM1765" s="8" t="str">
        <f ca="1">IFERROR(__xludf.DUMMYFUNCTION("""COMPUTED_VALUE"""),"No")</f>
        <v>No</v>
      </c>
      <c r="AN1765" s="8"/>
      <c r="AO1765" s="8" t="str">
        <f ca="1">IFERROR(__xludf.DUMMYFUNCTION("""COMPUTED_VALUE"""),"No")</f>
        <v>No</v>
      </c>
      <c r="AP1765" s="8"/>
      <c r="AQ1765" s="8" t="str">
        <f ca="1">IFERROR(__xludf.DUMMYFUNCTION("""COMPUTED_VALUE"""),"Unknown")</f>
        <v>Unknown</v>
      </c>
      <c r="AR1765" s="8" t="str">
        <f ca="1">IFERROR(__xludf.DUMMYFUNCTION("""COMPUTED_VALUE"""),"NA")</f>
        <v>NA</v>
      </c>
      <c r="AS1765" s="8">
        <f ca="1">IFERROR(__xludf.DUMMYFUNCTION("""COMPUTED_VALUE"""),1)</f>
        <v>1</v>
      </c>
      <c r="AT1765" s="8"/>
      <c r="AU1765" s="8">
        <f ca="1">IFERROR(__xludf.DUMMYFUNCTION("""COMPUTED_VALUE"""),38.067984)</f>
        <v>38.067984000000003</v>
      </c>
      <c r="AV1765" s="8">
        <f ca="1">IFERROR(__xludf.DUMMYFUNCTION("""COMPUTED_VALUE"""),-90.744796)</f>
        <v>-90.744795999999994</v>
      </c>
      <c r="AW1765" s="8"/>
      <c r="AX1765" s="8">
        <f ca="1">IFERROR(__xludf.DUMMYFUNCTION("""COMPUTED_VALUE"""),63630)</f>
        <v>63630</v>
      </c>
    </row>
    <row r="1766" spans="1:50" ht="390" x14ac:dyDescent="0.2">
      <c r="A1766" s="8" t="str">
        <f ca="1">IFERROR(__xludf.DUMMYFUNCTION("""COMPUTED_VALUE"""),"20180228GADAD")</f>
        <v>20180228GADAD</v>
      </c>
      <c r="B1766" s="8">
        <f ca="1">IFERROR(__xludf.DUMMYFUNCTION("""COMPUTED_VALUE"""),2)</f>
        <v>2</v>
      </c>
      <c r="C1766" s="8">
        <f ca="1">IFERROR(__xludf.DUMMYFUNCTION("""COMPUTED_VALUE"""),28)</f>
        <v>28</v>
      </c>
      <c r="D1766" s="8">
        <f ca="1">IFERROR(__xludf.DUMMYFUNCTION("""COMPUTED_VALUE"""),2018)</f>
        <v>2018</v>
      </c>
      <c r="E1766" s="9">
        <f ca="1">IFERROR(__xludf.DUMMYFUNCTION("""COMPUTED_VALUE"""),43159)</f>
        <v>43159</v>
      </c>
      <c r="F1766" s="8" t="str">
        <f ca="1">IFERROR(__xludf.DUMMYFUNCTION("""COMPUTED_VALUE"""),"Dalton High School")</f>
        <v>Dalton High School</v>
      </c>
      <c r="G1766" s="8">
        <f ca="1">IFERROR(__xludf.DUMMYFUNCTION("""COMPUTED_VALUE"""),0)</f>
        <v>0</v>
      </c>
      <c r="H1766" s="8">
        <f ca="1">IFERROR(__xludf.DUMMYFUNCTION("""COMPUTED_VALUE"""),0)</f>
        <v>0</v>
      </c>
      <c r="I1766" s="8">
        <f ca="1">IFERROR(__xludf.DUMMYFUNCTION("""COMPUTED_VALUE"""),0)</f>
        <v>0</v>
      </c>
      <c r="J1766" s="8">
        <f ca="1">IFERROR(__xludf.DUMMYFUNCTION("""COMPUTED_VALUE"""),0)</f>
        <v>0</v>
      </c>
      <c r="K1766" s="8" t="str">
        <f ca="1">IFERROR(__xludf.DUMMYFUNCTION("""COMPUTED_VALUE"""),"https://www.cbsnews.com/news/dalton-high-school-georgia-teacher-shooting-suspect-jesse-randal-davidson-previously-torched-car-in-rifle-incident/
https://www.npr.org/2018/07/18/630240007/ex-teacher-sentenced-to-prison-after-firing-gun-in-georgia-high-schoo"&amp;"l")</f>
        <v>https://www.cbsnews.com/news/dalton-high-school-georgia-teacher-shooting-suspect-jesse-randal-davidson-previously-torched-car-in-rifle-incident/
https://www.npr.org/2018/07/18/630240007/ex-teacher-sentenced-to-prison-after-firing-gun-in-georgia-high-school</v>
      </c>
      <c r="L1766" s="8"/>
      <c r="M1766" s="8" t="str">
        <f ca="1">IFERROR(__xludf.DUMMYFUNCTION("""COMPUTED_VALUE"""),"National")</f>
        <v>National</v>
      </c>
      <c r="N1766" s="8">
        <f ca="1">IFERROR(__xludf.DUMMYFUNCTION("""COMPUTED_VALUE"""),4)</f>
        <v>4</v>
      </c>
      <c r="O1766" s="8" t="str">
        <f ca="1">IFERROR(__xludf.DUMMYFUNCTION("""COMPUTED_VALUE"""),"Winter")</f>
        <v>Winter</v>
      </c>
      <c r="P1766" s="8" t="str">
        <f ca="1">IFERROR(__xludf.DUMMYFUNCTION("""COMPUTED_VALUE"""),"Dalton")</f>
        <v>Dalton</v>
      </c>
      <c r="Q1766" s="8" t="str">
        <f ca="1">IFERROR(__xludf.DUMMYFUNCTION("""COMPUTED_VALUE"""),"GA")</f>
        <v>GA</v>
      </c>
      <c r="R1766" s="8" t="str">
        <f ca="1">IFERROR(__xludf.DUMMYFUNCTION("""COMPUTED_VALUE"""),"High")</f>
        <v>High</v>
      </c>
      <c r="S1766" s="8" t="str">
        <f ca="1">IFERROR(__xludf.DUMMYFUNCTION("""COMPUTED_VALUE"""),"Classroom")</f>
        <v>Classroom</v>
      </c>
      <c r="T1766" s="8" t="str">
        <f ca="1">IFERROR(__xludf.DUMMYFUNCTION("""COMPUTED_VALUE"""),"Inside School Building")</f>
        <v>Inside School Building</v>
      </c>
      <c r="U1766" s="8" t="str">
        <f ca="1">IFERROR(__xludf.DUMMYFUNCTION("""COMPUTED_VALUE"""),"Yes")</f>
        <v>Yes</v>
      </c>
      <c r="V1766" s="8" t="str">
        <f ca="1">IFERROR(__xludf.DUMMYFUNCTION("""COMPUTED_VALUE"""),"Morning Classes")</f>
        <v>Morning Classes</v>
      </c>
      <c r="W1766" s="11">
        <f ca="1">IFERROR(__xludf.DUMMYFUNCTION("""COMPUTED_VALUE"""),0.479166666666666)</f>
        <v>0.47916666666666602</v>
      </c>
      <c r="X1766" s="8"/>
      <c r="Y1766" s="12" t="str">
        <f ca="1">IFERROR(__xludf.DUMMYFUNCTION("""COMPUTED_VALUE"""),"Teacher with gun barricaded in classroom, surrendered to SRO after being talked down")</f>
        <v>Teacher with gun barricaded in classroom, surrendered to SRO after being talked down</v>
      </c>
      <c r="Z1766" s="12" t="str">
        <f ca="1">IFERROR(__xludf.DUMMYFUNCTION("""COMPUTED_VALUE"""),"Shooter was a teacher at the school. He barricaded himself in his classroom and did not let students in. When the principal tried to unlock the door, the shooter told him he had a gun and shot out of the window. No one was shot. The SRO engaged the shoote"&amp;"r and convinced him to turn himself in. The shooter had a history of mental health issues and previous encounter with the police. In 2016, the police reported to the shooter's address where he had just set his car on fire and was in possession of an unloa"&amp;"ded rifle. His wife, son,and daughter reported that he was not himself and acted very upset. The son convinced him to drop the rifle. The shooter was taken for a mental health evaluation and all the guns from the house were confiscated but since no charge"&amp;"s were pressed, 2 of them were returned to the wife. Several months prior, the shooter reported to the police that he got someone killed. He allegedly had an online affair with a woman and mentioned 2 friends of his who may have killed her. The shooter re"&amp;"fused to name the friends and the police could not confirm the identity of such a woman; no charges were pressed. Another time, the shooter left school under the pretext he did not feel well, his son, co-workers, and police were looking for him; when they"&amp;" found him, he was on school grounds and non-responsive. The shooter was described as a good teacher and 2 weeks before the shooting, he allegedly told the students he was against arming teachers.")</f>
        <v>Shooter was a teacher at the school. He barricaded himself in his classroom and did not let students in. When the principal tried to unlock the door, the shooter told him he had a gun and shot out of the window. No one was shot. The SRO engaged the shooter and convinced him to turn himself in. The shooter had a history of mental health issues and previous encounter with the police. In 2016, the police reported to the shooter's address where he had just set his car on fire and was in possession of an unloaded rifle. His wife, son,and daughter reported that he was not himself and acted very upset. The son convinced him to drop the rifle. The shooter was taken for a mental health evaluation and all the guns from the house were confiscated but since no charges were pressed, 2 of them were returned to the wife. Several months prior, the shooter reported to the police that he got someone killed. He allegedly had an online affair with a woman and mentioned 2 friends of his who may have killed her. The shooter refused to name the friends and the police could not confirm the identity of such a woman; no charges were pressed. Another time, the shooter left school under the pretext he did not feel well, his son, co-workers, and police were looking for him; when they found him, he was on school grounds and non-responsive. The shooter was described as a good teacher and 2 weeks before the shooting, he allegedly told the students he was against arming teachers.</v>
      </c>
      <c r="AA1766" s="8" t="str">
        <f ca="1">IFERROR(__xludf.DUMMYFUNCTION("""COMPUTED_VALUE"""),"Psychosis")</f>
        <v>Psychosis</v>
      </c>
      <c r="AB1766" s="8"/>
      <c r="AC1766" s="8" t="str">
        <f ca="1">IFERROR(__xludf.DUMMYFUNCTION("""COMPUTED_VALUE"""),"Yes")</f>
        <v>Yes</v>
      </c>
      <c r="AD1766" s="8" t="str">
        <f ca="1">IFERROR(__xludf.DUMMYFUNCTION("""COMPUTED_VALUE"""),"Neither")</f>
        <v>Neither</v>
      </c>
      <c r="AE1766" s="8" t="str">
        <f ca="1">IFERROR(__xludf.DUMMYFUNCTION("""COMPUTED_VALUE"""),"No")</f>
        <v>No</v>
      </c>
      <c r="AF1766" s="8"/>
      <c r="AG1766" s="8" t="str">
        <f ca="1">IFERROR(__xludf.DUMMYFUNCTION("""COMPUTED_VALUE"""),"No")</f>
        <v>No</v>
      </c>
      <c r="AH1766" s="8" t="str">
        <f ca="1">IFERROR(__xludf.DUMMYFUNCTION("""COMPUTED_VALUE"""),"Yes")</f>
        <v>Yes</v>
      </c>
      <c r="AI1766" s="8" t="str">
        <f ca="1">IFERROR(__xludf.DUMMYFUNCTION("""COMPUTED_VALUE"""),"No")</f>
        <v>No</v>
      </c>
      <c r="AJ1766" s="8" t="str">
        <f ca="1">IFERROR(__xludf.DUMMYFUNCTION("""COMPUTED_VALUE"""),"No")</f>
        <v>No</v>
      </c>
      <c r="AK1766" s="8" t="str">
        <f ca="1">IFERROR(__xludf.DUMMYFUNCTION("""COMPUTED_VALUE"""),"No")</f>
        <v>No</v>
      </c>
      <c r="AL1766" s="8" t="str">
        <f ca="1">IFERROR(__xludf.DUMMYFUNCTION("""COMPUTED_VALUE"""),"No")</f>
        <v>No</v>
      </c>
      <c r="AM1766" s="8" t="str">
        <f ca="1">IFERROR(__xludf.DUMMYFUNCTION("""COMPUTED_VALUE"""),"Yes")</f>
        <v>Yes</v>
      </c>
      <c r="AN1766" s="8" t="str">
        <f ca="1">IFERROR(__xludf.DUMMYFUNCTION("""COMPUTED_VALUE"""),"Single Room")</f>
        <v>Single Room</v>
      </c>
      <c r="AO1766" s="8" t="str">
        <f ca="1">IFERROR(__xludf.DUMMYFUNCTION("""COMPUTED_VALUE"""),"No")</f>
        <v>No</v>
      </c>
      <c r="AP1766" s="8" t="str">
        <f ca="1">IFERROR(__xludf.DUMMYFUNCTION("""COMPUTED_VALUE"""),"Yes")</f>
        <v>Yes</v>
      </c>
      <c r="AQ1766" s="8" t="str">
        <f ca="1">IFERROR(__xludf.DUMMYFUNCTION("""COMPUTED_VALUE"""),"None")</f>
        <v>None</v>
      </c>
      <c r="AR1766" s="8" t="str">
        <f ca="1">IFERROR(__xludf.DUMMYFUNCTION("""COMPUTED_VALUE"""),"NA")</f>
        <v>NA</v>
      </c>
      <c r="AS1766" s="8">
        <f ca="1">IFERROR(__xludf.DUMMYFUNCTION("""COMPUTED_VALUE"""),1)</f>
        <v>1</v>
      </c>
      <c r="AT1766" s="8" t="str">
        <f ca="1">IFERROR(__xludf.DUMMYFUNCTION("""COMPUTED_VALUE"""),"Yes")</f>
        <v>Yes</v>
      </c>
      <c r="AU1766" s="8">
        <f ca="1">IFERROR(__xludf.DUMMYFUNCTION("""COMPUTED_VALUE"""),34.77972)</f>
        <v>34.779719999999998</v>
      </c>
      <c r="AV1766" s="8">
        <f ca="1">IFERROR(__xludf.DUMMYFUNCTION("""COMPUTED_VALUE"""),-84.99053)</f>
        <v>-84.990530000000007</v>
      </c>
      <c r="AW1766" s="8"/>
      <c r="AX1766" s="8">
        <f ca="1">IFERROR(__xludf.DUMMYFUNCTION("""COMPUTED_VALUE"""),30720)</f>
        <v>30720</v>
      </c>
    </row>
    <row r="1767" spans="1:50" ht="45" x14ac:dyDescent="0.2">
      <c r="A1767" s="8" t="str">
        <f ca="1">IFERROR(__xludf.DUMMYFUNCTION("""COMPUTED_VALUE"""),"20180226WAOAT")</f>
        <v>20180226WAOAT</v>
      </c>
      <c r="B1767" s="8">
        <f ca="1">IFERROR(__xludf.DUMMYFUNCTION("""COMPUTED_VALUE"""),2)</f>
        <v>2</v>
      </c>
      <c r="C1767" s="8">
        <f ca="1">IFERROR(__xludf.DUMMYFUNCTION("""COMPUTED_VALUE"""),26)</f>
        <v>26</v>
      </c>
      <c r="D1767" s="8">
        <f ca="1">IFERROR(__xludf.DUMMYFUNCTION("""COMPUTED_VALUE"""),2018)</f>
        <v>2018</v>
      </c>
      <c r="E1767" s="9">
        <f ca="1">IFERROR(__xludf.DUMMYFUNCTION("""COMPUTED_VALUE"""),43157)</f>
        <v>43157</v>
      </c>
      <c r="F1767" s="8" t="str">
        <f ca="1">IFERROR(__xludf.DUMMYFUNCTION("""COMPUTED_VALUE"""),"Oakland High School")</f>
        <v>Oakland High School</v>
      </c>
      <c r="G1767" s="8">
        <f ca="1">IFERROR(__xludf.DUMMYFUNCTION("""COMPUTED_VALUE"""),0)</f>
        <v>0</v>
      </c>
      <c r="H1767" s="8">
        <f ca="1">IFERROR(__xludf.DUMMYFUNCTION("""COMPUTED_VALUE"""),0)</f>
        <v>0</v>
      </c>
      <c r="I1767" s="8">
        <f ca="1">IFERROR(__xludf.DUMMYFUNCTION("""COMPUTED_VALUE"""),0)</f>
        <v>0</v>
      </c>
      <c r="J1767" s="8">
        <f ca="1">IFERROR(__xludf.DUMMYFUNCTION("""COMPUTED_VALUE"""),0)</f>
        <v>0</v>
      </c>
      <c r="K1767" s="10" t="str">
        <f ca="1">IFERROR(__xludf.DUMMYFUNCTION("""COMPUTED_VALUE"""),"https://www.thenewstribune.com/news/local/crime/article202366859.html")</f>
        <v>https://www.thenewstribune.com/news/local/crime/article202366859.html</v>
      </c>
      <c r="L1767" s="8"/>
      <c r="M1767" s="8"/>
      <c r="N1767" s="8">
        <f ca="1">IFERROR(__xludf.DUMMYFUNCTION("""COMPUTED_VALUE"""),2)</f>
        <v>2</v>
      </c>
      <c r="O1767" s="8" t="str">
        <f ca="1">IFERROR(__xludf.DUMMYFUNCTION("""COMPUTED_VALUE"""),"Winter")</f>
        <v>Winter</v>
      </c>
      <c r="P1767" s="8" t="str">
        <f ca="1">IFERROR(__xludf.DUMMYFUNCTION("""COMPUTED_VALUE"""),"Tacoma")</f>
        <v>Tacoma</v>
      </c>
      <c r="Q1767" s="8" t="str">
        <f ca="1">IFERROR(__xludf.DUMMYFUNCTION("""COMPUTED_VALUE"""),"WA")</f>
        <v>WA</v>
      </c>
      <c r="R1767" s="8" t="str">
        <f ca="1">IFERROR(__xludf.DUMMYFUNCTION("""COMPUTED_VALUE"""),"High")</f>
        <v>High</v>
      </c>
      <c r="S1767" s="8" t="str">
        <f ca="1">IFERROR(__xludf.DUMMYFUNCTION("""COMPUTED_VALUE"""),"Bathroom")</f>
        <v>Bathroom</v>
      </c>
      <c r="T1767" s="8" t="str">
        <f ca="1">IFERROR(__xludf.DUMMYFUNCTION("""COMPUTED_VALUE"""),"Inside School Building")</f>
        <v>Inside School Building</v>
      </c>
      <c r="U1767" s="8" t="str">
        <f ca="1">IFERROR(__xludf.DUMMYFUNCTION("""COMPUTED_VALUE"""),"Yes")</f>
        <v>Yes</v>
      </c>
      <c r="V1767" s="8" t="str">
        <f ca="1">IFERROR(__xludf.DUMMYFUNCTION("""COMPUTED_VALUE"""),"Lunch")</f>
        <v>Lunch</v>
      </c>
      <c r="W1767" s="8"/>
      <c r="X1767" s="8">
        <f ca="1">IFERROR(__xludf.DUMMYFUNCTION("""COMPUTED_VALUE"""),1)</f>
        <v>1</v>
      </c>
      <c r="Y1767" s="12" t="str">
        <f ca="1">IFERROR(__xludf.DUMMYFUNCTION("""COMPUTED_VALUE"""),"Gun discharged in bathroom striking floor, students fled")</f>
        <v>Gun discharged in bathroom striking floor, students fled</v>
      </c>
      <c r="Z1767" s="12" t="str">
        <f ca="1">IFERROR(__xludf.DUMMYFUNCTION("""COMPUTED_VALUE"""),"Two students were inside the school bathroom. A gun discharged hitting the floor and both fled. Suspects were identified by CCTV footage. No injuries.")</f>
        <v>Two students were inside the school bathroom. A gun discharged hitting the floor and both fled. Suspects were identified by CCTV footage. No injuries.</v>
      </c>
      <c r="AA1767" s="8" t="str">
        <f ca="1">IFERROR(__xludf.DUMMYFUNCTION("""COMPUTED_VALUE"""),"Accidental")</f>
        <v>Accidental</v>
      </c>
      <c r="AB1767" s="8"/>
      <c r="AC1767" s="8" t="str">
        <f ca="1">IFERROR(__xludf.DUMMYFUNCTION("""COMPUTED_VALUE"""),"Yes")</f>
        <v>Yes</v>
      </c>
      <c r="AD1767" s="8" t="str">
        <f ca="1">IFERROR(__xludf.DUMMYFUNCTION("""COMPUTED_VALUE"""),"Neither")</f>
        <v>Neither</v>
      </c>
      <c r="AE1767" s="8" t="str">
        <f ca="1">IFERROR(__xludf.DUMMYFUNCTION("""COMPUTED_VALUE"""),"Yes")</f>
        <v>Yes</v>
      </c>
      <c r="AF1767" s="8" t="str">
        <f ca="1">IFERROR(__xludf.DUMMYFUNCTION("""COMPUTED_VALUE"""),"Two fled after shooting and arrested")</f>
        <v>Two fled after shooting and arrested</v>
      </c>
      <c r="AG1767" s="8" t="str">
        <f ca="1">IFERROR(__xludf.DUMMYFUNCTION("""COMPUTED_VALUE"""),"No")</f>
        <v>No</v>
      </c>
      <c r="AH1767" s="8" t="str">
        <f ca="1">IFERROR(__xludf.DUMMYFUNCTION("""COMPUTED_VALUE"""),"No")</f>
        <v>No</v>
      </c>
      <c r="AI1767" s="8" t="str">
        <f ca="1">IFERROR(__xludf.DUMMYFUNCTION("""COMPUTED_VALUE"""),"No")</f>
        <v>No</v>
      </c>
      <c r="AJ1767" s="8" t="str">
        <f ca="1">IFERROR(__xludf.DUMMYFUNCTION("""COMPUTED_VALUE"""),"No")</f>
        <v>No</v>
      </c>
      <c r="AK1767" s="8" t="str">
        <f ca="1">IFERROR(__xludf.DUMMYFUNCTION("""COMPUTED_VALUE"""),"No")</f>
        <v>No</v>
      </c>
      <c r="AL1767" s="8" t="str">
        <f ca="1">IFERROR(__xludf.DUMMYFUNCTION("""COMPUTED_VALUE"""),"No")</f>
        <v>No</v>
      </c>
      <c r="AM1767" s="8" t="str">
        <f ca="1">IFERROR(__xludf.DUMMYFUNCTION("""COMPUTED_VALUE"""),"No")</f>
        <v>No</v>
      </c>
      <c r="AN1767" s="8"/>
      <c r="AO1767" s="8" t="str">
        <f ca="1">IFERROR(__xludf.DUMMYFUNCTION("""COMPUTED_VALUE"""),"No")</f>
        <v>No</v>
      </c>
      <c r="AP1767" s="8"/>
      <c r="AQ1767" s="8" t="str">
        <f ca="1">IFERROR(__xludf.DUMMYFUNCTION("""COMPUTED_VALUE"""),"Unknown")</f>
        <v>Unknown</v>
      </c>
      <c r="AR1767" s="8" t="str">
        <f ca="1">IFERROR(__xludf.DUMMYFUNCTION("""COMPUTED_VALUE"""),"NA")</f>
        <v>NA</v>
      </c>
      <c r="AS1767" s="8">
        <f ca="1">IFERROR(__xludf.DUMMYFUNCTION("""COMPUTED_VALUE"""),1)</f>
        <v>1</v>
      </c>
      <c r="AT1767" s="8"/>
      <c r="AU1767" s="8">
        <f ca="1">IFERROR(__xludf.DUMMYFUNCTION("""COMPUTED_VALUE"""),47.229617)</f>
        <v>47.229616999999998</v>
      </c>
      <c r="AV1767" s="8">
        <f ca="1">IFERROR(__xludf.DUMMYFUNCTION("""COMPUTED_VALUE"""),-122.485791)</f>
        <v>-122.48579100000001</v>
      </c>
      <c r="AW1767" s="8"/>
      <c r="AX1767" s="8">
        <f ca="1">IFERROR(__xludf.DUMMYFUNCTION("""COMPUTED_VALUE"""),98409)</f>
        <v>98409</v>
      </c>
    </row>
    <row r="1768" spans="1:50" ht="165" x14ac:dyDescent="0.2">
      <c r="A1768" s="8" t="str">
        <f ca="1">IFERROR(__xludf.DUMMYFUNCTION("""COMPUTED_VALUE"""),"20180220OHJAM")</f>
        <v>20180220OHJAM</v>
      </c>
      <c r="B1768" s="8">
        <f ca="1">IFERROR(__xludf.DUMMYFUNCTION("""COMPUTED_VALUE"""),2)</f>
        <v>2</v>
      </c>
      <c r="C1768" s="8">
        <f ca="1">IFERROR(__xludf.DUMMYFUNCTION("""COMPUTED_VALUE"""),20)</f>
        <v>20</v>
      </c>
      <c r="D1768" s="8">
        <f ca="1">IFERROR(__xludf.DUMMYFUNCTION("""COMPUTED_VALUE"""),2018)</f>
        <v>2018</v>
      </c>
      <c r="E1768" s="9">
        <f ca="1">IFERROR(__xludf.DUMMYFUNCTION("""COMPUTED_VALUE"""),43151)</f>
        <v>43151</v>
      </c>
      <c r="F1768" s="8" t="str">
        <f ca="1">IFERROR(__xludf.DUMMYFUNCTION("""COMPUTED_VALUE"""),"Jackson Memorial Middle School")</f>
        <v>Jackson Memorial Middle School</v>
      </c>
      <c r="G1768" s="8">
        <f ca="1">IFERROR(__xludf.DUMMYFUNCTION("""COMPUTED_VALUE"""),0)</f>
        <v>0</v>
      </c>
      <c r="H1768" s="8">
        <f ca="1">IFERROR(__xludf.DUMMYFUNCTION("""COMPUTED_VALUE"""),0)</f>
        <v>0</v>
      </c>
      <c r="I1768" s="8">
        <f ca="1">IFERROR(__xludf.DUMMYFUNCTION("""COMPUTED_VALUE"""),0)</f>
        <v>0</v>
      </c>
      <c r="J1768" s="8">
        <f ca="1">IFERROR(__xludf.DUMMYFUNCTION("""COMPUTED_VALUE"""),1)</f>
        <v>1</v>
      </c>
      <c r="K1768" s="8" t="str">
        <f ca="1">IFERROR(__xludf.DUMMYFUNCTION("""COMPUTED_VALUE"""),"https://www.yahoo.com/news/police-boy-shot-himself-planned-attack-school-211429422.html https://pittsburgh.cbslocal.com/2018/03/01/suicide-victim-planned-school-attack/ https://www.cantonrep.com/news/20181106/final-police-report-jackson-school-shooter-act"&amp;"ed-alone")</f>
        <v>https://www.yahoo.com/news/police-boy-shot-himself-planned-attack-school-211429422.html https://pittsburgh.cbslocal.com/2018/03/01/suicide-victim-planned-school-attack/ https://www.cantonrep.com/news/20181106/final-police-report-jackson-school-shooter-acted-alone</v>
      </c>
      <c r="L1768" s="8"/>
      <c r="M1768" s="8"/>
      <c r="N1768" s="8">
        <f ca="1">IFERROR(__xludf.DUMMYFUNCTION("""COMPUTED_VALUE"""),4)</f>
        <v>4</v>
      </c>
      <c r="O1768" s="8" t="str">
        <f ca="1">IFERROR(__xludf.DUMMYFUNCTION("""COMPUTED_VALUE"""),"Winter")</f>
        <v>Winter</v>
      </c>
      <c r="P1768" s="8" t="str">
        <f ca="1">IFERROR(__xludf.DUMMYFUNCTION("""COMPUTED_VALUE"""),"Massillon")</f>
        <v>Massillon</v>
      </c>
      <c r="Q1768" s="8" t="str">
        <f ca="1">IFERROR(__xludf.DUMMYFUNCTION("""COMPUTED_VALUE"""),"OH")</f>
        <v>OH</v>
      </c>
      <c r="R1768" s="8" t="str">
        <f ca="1">IFERROR(__xludf.DUMMYFUNCTION("""COMPUTED_VALUE"""),"Middle")</f>
        <v>Middle</v>
      </c>
      <c r="S1768" s="8" t="str">
        <f ca="1">IFERROR(__xludf.DUMMYFUNCTION("""COMPUTED_VALUE"""),"Bathroom")</f>
        <v>Bathroom</v>
      </c>
      <c r="T1768" s="8" t="str">
        <f ca="1">IFERROR(__xludf.DUMMYFUNCTION("""COMPUTED_VALUE"""),"Inside School Building")</f>
        <v>Inside School Building</v>
      </c>
      <c r="U1768" s="8" t="str">
        <f ca="1">IFERROR(__xludf.DUMMYFUNCTION("""COMPUTED_VALUE"""),"Yes")</f>
        <v>Yes</v>
      </c>
      <c r="V1768" s="8" t="str">
        <f ca="1">IFERROR(__xludf.DUMMYFUNCTION("""COMPUTED_VALUE"""),"School Start")</f>
        <v>School Start</v>
      </c>
      <c r="W1768" s="8"/>
      <c r="X1768" s="8">
        <f ca="1">IFERROR(__xludf.DUMMYFUNCTION("""COMPUTED_VALUE"""),1)</f>
        <v>1</v>
      </c>
      <c r="Y1768" s="12" t="str">
        <f ca="1">IFERROR(__xludf.DUMMYFUNCTION("""COMPUTED_VALUE"""),"Planned attack, walked out of bathroom then immediately back in, shot himself in head")</f>
        <v>Planned attack, walked out of bathroom then immediately back in, shot himself in head</v>
      </c>
      <c r="Z1768" s="12" t="str">
        <f ca="1">IFERROR(__xludf.DUMMYFUNCTION("""COMPUTED_VALUE"""),"13YOM planned attack on school. Went into school bathroom, got out rifle, walked out of bathroom, and then immediately walked back into the bathroom and shot himself in the head. Messages on his phone made reference to Marjory Stoneman and Columbine attac"&amp;"ks. Said he wanted to destroy something bigger but the school was an easy target and he wanted to leave a lasting impression on the world. Cellphone had 8 step attack plan. Backpack had bottle rockets and batteries. Investigation by police found that he d"&amp;"id not tell any other students about the plan ahead of time.")</f>
        <v>13YOM planned attack on school. Went into school bathroom, got out rifle, walked out of bathroom, and then immediately walked back into the bathroom and shot himself in the head. Messages on his phone made reference to Marjory Stoneman and Columbine attacks. Said he wanted to destroy something bigger but the school was an easy target and he wanted to leave a lasting impression on the world. Cellphone had 8 step attack plan. Backpack had bottle rockets and batteries. Investigation by police found that he did not tell any other students about the plan ahead of time.</v>
      </c>
      <c r="AA1768" s="8" t="str">
        <f ca="1">IFERROR(__xludf.DUMMYFUNCTION("""COMPUTED_VALUE"""),"Indiscriminate Shooting")</f>
        <v>Indiscriminate Shooting</v>
      </c>
      <c r="AB1768" s="8"/>
      <c r="AC1768" s="8" t="str">
        <f ca="1">IFERROR(__xludf.DUMMYFUNCTION("""COMPUTED_VALUE"""),"Yes")</f>
        <v>Yes</v>
      </c>
      <c r="AD1768" s="8" t="str">
        <f ca="1">IFERROR(__xludf.DUMMYFUNCTION("""COMPUTED_VALUE"""),"Victims Targeted")</f>
        <v>Victims Targeted</v>
      </c>
      <c r="AE1768" s="8" t="str">
        <f ca="1">IFERROR(__xludf.DUMMYFUNCTION("""COMPUTED_VALUE"""),"No")</f>
        <v>No</v>
      </c>
      <c r="AF1768" s="8"/>
      <c r="AG1768" s="8" t="str">
        <f ca="1">IFERROR(__xludf.DUMMYFUNCTION("""COMPUTED_VALUE"""),"No")</f>
        <v>No</v>
      </c>
      <c r="AH1768" s="8" t="str">
        <f ca="1">IFERROR(__xludf.DUMMYFUNCTION("""COMPUTED_VALUE"""),"No")</f>
        <v>No</v>
      </c>
      <c r="AI1768" s="8" t="str">
        <f ca="1">IFERROR(__xludf.DUMMYFUNCTION("""COMPUTED_VALUE"""),"No")</f>
        <v>No</v>
      </c>
      <c r="AJ1768" s="8"/>
      <c r="AK1768" s="8" t="str">
        <f ca="1">IFERROR(__xludf.DUMMYFUNCTION("""COMPUTED_VALUE"""),"No")</f>
        <v>No</v>
      </c>
      <c r="AL1768" s="8" t="str">
        <f ca="1">IFERROR(__xludf.DUMMYFUNCTION("""COMPUTED_VALUE"""),"No")</f>
        <v>No</v>
      </c>
      <c r="AM1768" s="8" t="str">
        <f ca="1">IFERROR(__xludf.DUMMYFUNCTION("""COMPUTED_VALUE"""),"No")</f>
        <v>No</v>
      </c>
      <c r="AN1768" s="8"/>
      <c r="AO1768" s="8" t="str">
        <f ca="1">IFERROR(__xludf.DUMMYFUNCTION("""COMPUTED_VALUE"""),"Yes")</f>
        <v>Yes</v>
      </c>
      <c r="AP1768" s="8"/>
      <c r="AQ1768" s="8" t="str">
        <f ca="1">IFERROR(__xludf.DUMMYFUNCTION("""COMPUTED_VALUE"""),"Unknown")</f>
        <v>Unknown</v>
      </c>
      <c r="AR1768" s="8" t="str">
        <f ca="1">IFERROR(__xludf.DUMMYFUNCTION("""COMPUTED_VALUE"""),"NA")</f>
        <v>NA</v>
      </c>
      <c r="AS1768" s="8">
        <f ca="1">IFERROR(__xludf.DUMMYFUNCTION("""COMPUTED_VALUE"""),1)</f>
        <v>1</v>
      </c>
      <c r="AT1768" s="8"/>
      <c r="AU1768" s="8">
        <f ca="1">IFERROR(__xludf.DUMMYFUNCTION("""COMPUTED_VALUE"""),40.867167)</f>
        <v>40.867167000000002</v>
      </c>
      <c r="AV1768" s="8">
        <f ca="1">IFERROR(__xludf.DUMMYFUNCTION("""COMPUTED_VALUE"""),-81.48668)</f>
        <v>-81.486680000000007</v>
      </c>
      <c r="AW1768" s="8"/>
      <c r="AX1768" s="8">
        <f ca="1">IFERROR(__xludf.DUMMYFUNCTION("""COMPUTED_VALUE"""),44648)</f>
        <v>44648</v>
      </c>
    </row>
    <row r="1769" spans="1:50" ht="90" x14ac:dyDescent="0.2">
      <c r="A1769" s="8" t="str">
        <f ca="1">IFERROR(__xludf.DUMMYFUNCTION("""COMPUTED_VALUE"""),"20180215FLNOC")</f>
        <v>20180215FLNOC</v>
      </c>
      <c r="B1769" s="8">
        <f ca="1">IFERROR(__xludf.DUMMYFUNCTION("""COMPUTED_VALUE"""),2)</f>
        <v>2</v>
      </c>
      <c r="C1769" s="8">
        <f ca="1">IFERROR(__xludf.DUMMYFUNCTION("""COMPUTED_VALUE"""),15)</f>
        <v>15</v>
      </c>
      <c r="D1769" s="8">
        <f ca="1">IFERROR(__xludf.DUMMYFUNCTION("""COMPUTED_VALUE"""),2018)</f>
        <v>2018</v>
      </c>
      <c r="E1769" s="9">
        <f ca="1">IFERROR(__xludf.DUMMYFUNCTION("""COMPUTED_VALUE"""),43146)</f>
        <v>43146</v>
      </c>
      <c r="F1769" s="8" t="str">
        <f ca="1">IFERROR(__xludf.DUMMYFUNCTION("""COMPUTED_VALUE"""),"North Broward Preparatory School")</f>
        <v>North Broward Preparatory School</v>
      </c>
      <c r="G1769" s="8">
        <f ca="1">IFERROR(__xludf.DUMMYFUNCTION("""COMPUTED_VALUE"""),0)</f>
        <v>0</v>
      </c>
      <c r="H1769" s="8">
        <f ca="1">IFERROR(__xludf.DUMMYFUNCTION("""COMPUTED_VALUE"""),0)</f>
        <v>0</v>
      </c>
      <c r="I1769" s="8">
        <f ca="1">IFERROR(__xludf.DUMMYFUNCTION("""COMPUTED_VALUE"""),0)</f>
        <v>0</v>
      </c>
      <c r="J1769" s="8">
        <f ca="1">IFERROR(__xludf.DUMMYFUNCTION("""COMPUTED_VALUE"""),0)</f>
        <v>0</v>
      </c>
      <c r="K1769" s="8" t="str">
        <f ca="1">IFERROR(__xludf.DUMMYFUNCTION("""COMPUTED_VALUE"""),"https://www.local10.com/news/florida/coconut-creek/bso-deputy-accidentally-shoots-himself-while-responding-to-north-broward-preparatory-school- https://www.local10.com/news/2018/02/15/bso-deputy-accidentally-shoots-himself-while-responding-to-north-browar"&amp;"d-preparatory-school/")</f>
        <v>https://www.local10.com/news/florida/coconut-creek/bso-deputy-accidentally-shoots-himself-while-responding-to-north-broward-preparatory-school- https://www.local10.com/news/2018/02/15/bso-deputy-accidentally-shoots-himself-while-responding-to-north-broward-preparatory-school/</v>
      </c>
      <c r="L1769" s="8"/>
      <c r="M1769" s="8"/>
      <c r="N1769" s="8">
        <f ca="1">IFERROR(__xludf.DUMMYFUNCTION("""COMPUTED_VALUE"""),3)</f>
        <v>3</v>
      </c>
      <c r="O1769" s="8" t="str">
        <f ca="1">IFERROR(__xludf.DUMMYFUNCTION("""COMPUTED_VALUE"""),"Winter")</f>
        <v>Winter</v>
      </c>
      <c r="P1769" s="8" t="str">
        <f ca="1">IFERROR(__xludf.DUMMYFUNCTION("""COMPUTED_VALUE"""),"Coconut Creek")</f>
        <v>Coconut Creek</v>
      </c>
      <c r="Q1769" s="8" t="str">
        <f ca="1">IFERROR(__xludf.DUMMYFUNCTION("""COMPUTED_VALUE"""),"FL")</f>
        <v>FL</v>
      </c>
      <c r="R1769" s="8" t="str">
        <f ca="1">IFERROR(__xludf.DUMMYFUNCTION("""COMPUTED_VALUE"""),"K-12")</f>
        <v>K-12</v>
      </c>
      <c r="S1769" s="8" t="str">
        <f ca="1">IFERROR(__xludf.DUMMYFUNCTION("""COMPUTED_VALUE"""),"Hallway")</f>
        <v>Hallway</v>
      </c>
      <c r="T1769" s="8" t="str">
        <f ca="1">IFERROR(__xludf.DUMMYFUNCTION("""COMPUTED_VALUE"""),"Inside School Building")</f>
        <v>Inside School Building</v>
      </c>
      <c r="U1769" s="8" t="str">
        <f ca="1">IFERROR(__xludf.DUMMYFUNCTION("""COMPUTED_VALUE"""),"Yes")</f>
        <v>Yes</v>
      </c>
      <c r="V1769" s="8" t="str">
        <f ca="1">IFERROR(__xludf.DUMMYFUNCTION("""COMPUTED_VALUE"""),"Morning Classes")</f>
        <v>Morning Classes</v>
      </c>
      <c r="W1769" s="11">
        <f ca="1">IFERROR(__xludf.DUMMYFUNCTION("""COMPUTED_VALUE"""),0.395833333333333)</f>
        <v>0.39583333333333298</v>
      </c>
      <c r="X1769" s="8">
        <f ca="1">IFERROR(__xludf.DUMMYFUNCTION("""COMPUTED_VALUE"""),1)</f>
        <v>1</v>
      </c>
      <c r="Y1769" s="12" t="str">
        <f ca="1">IFERROR(__xludf.DUMMYFUNCTION("""COMPUTED_VALUE"""),"Officer accidentally fired while responding to a call at the school")</f>
        <v>Officer accidentally fired while responding to a call at the school</v>
      </c>
      <c r="Z1769" s="12" t="str">
        <f ca="1">IFERROR(__xludf.DUMMYFUNCTION("""COMPUTED_VALUE"""),"Police officer responding to reported shots fired at the school accidentally shot himself in the leg while inside the school. The shots fired called turned out to be false and the only shot fired was by the police officer injuring himself. School was lock"&amp;"ed down for an extended period of time and then dismissed.")</f>
        <v>Police officer responding to reported shots fired at the school accidentally shot himself in the leg while inside the school. The shots fired called turned out to be false and the only shot fired was by the police officer injuring himself. School was locked down for an extended period of time and then dismissed.</v>
      </c>
      <c r="AA1769" s="8" t="str">
        <f ca="1">IFERROR(__xludf.DUMMYFUNCTION("""COMPUTED_VALUE"""),"Accidental")</f>
        <v>Accidental</v>
      </c>
      <c r="AB1769" s="8"/>
      <c r="AC1769" s="8" t="str">
        <f ca="1">IFERROR(__xludf.DUMMYFUNCTION("""COMPUTED_VALUE"""),"Yes")</f>
        <v>Yes</v>
      </c>
      <c r="AD1769" s="8" t="str">
        <f ca="1">IFERROR(__xludf.DUMMYFUNCTION("""COMPUTED_VALUE"""),"Random Shooting")</f>
        <v>Random Shooting</v>
      </c>
      <c r="AE1769" s="8" t="str">
        <f ca="1">IFERROR(__xludf.DUMMYFUNCTION("""COMPUTED_VALUE"""),"No")</f>
        <v>No</v>
      </c>
      <c r="AF1769" s="8"/>
      <c r="AG1769" s="8" t="str">
        <f ca="1">IFERROR(__xludf.DUMMYFUNCTION("""COMPUTED_VALUE"""),"No")</f>
        <v>No</v>
      </c>
      <c r="AH1769" s="8" t="str">
        <f ca="1">IFERROR(__xludf.DUMMYFUNCTION("""COMPUTED_VALUE"""),"No")</f>
        <v>No</v>
      </c>
      <c r="AI1769" s="8" t="str">
        <f ca="1">IFERROR(__xludf.DUMMYFUNCTION("""COMPUTED_VALUE"""),"Yes")</f>
        <v>Yes</v>
      </c>
      <c r="AJ1769" s="8" t="str">
        <f ca="1">IFERROR(__xludf.DUMMYFUNCTION("""COMPUTED_VALUE"""),"N/A")</f>
        <v>N/A</v>
      </c>
      <c r="AK1769" s="8" t="str">
        <f ca="1">IFERROR(__xludf.DUMMYFUNCTION("""COMPUTED_VALUE"""),"N/A")</f>
        <v>N/A</v>
      </c>
      <c r="AL1769" s="8" t="str">
        <f ca="1">IFERROR(__xludf.DUMMYFUNCTION("""COMPUTED_VALUE"""),"N/A")</f>
        <v>N/A</v>
      </c>
      <c r="AM1769" s="8" t="str">
        <f ca="1">IFERROR(__xludf.DUMMYFUNCTION("""COMPUTED_VALUE"""),"No")</f>
        <v>No</v>
      </c>
      <c r="AN1769" s="8"/>
      <c r="AO1769" s="8" t="str">
        <f ca="1">IFERROR(__xludf.DUMMYFUNCTION("""COMPUTED_VALUE"""),"N/A")</f>
        <v>N/A</v>
      </c>
      <c r="AP1769" s="8"/>
      <c r="AQ1769" s="8" t="str">
        <f ca="1">IFERROR(__xludf.DUMMYFUNCTION("""COMPUTED_VALUE"""),"Unknown")</f>
        <v>Unknown</v>
      </c>
      <c r="AR1769" s="8" t="str">
        <f ca="1">IFERROR(__xludf.DUMMYFUNCTION("""COMPUTED_VALUE"""),"NA")</f>
        <v>NA</v>
      </c>
      <c r="AS1769" s="8">
        <f ca="1">IFERROR(__xludf.DUMMYFUNCTION("""COMPUTED_VALUE"""),1)</f>
        <v>1</v>
      </c>
      <c r="AT1769" s="8"/>
      <c r="AU1769" s="8">
        <f ca="1">IFERROR(__xludf.DUMMYFUNCTION("""COMPUTED_VALUE"""),26.326281)</f>
        <v>26.326281000000002</v>
      </c>
      <c r="AV1769" s="8">
        <f ca="1">IFERROR(__xludf.DUMMYFUNCTION("""COMPUTED_VALUE"""),-80.182552)</f>
        <v>-80.182552000000001</v>
      </c>
      <c r="AW1769" s="8"/>
      <c r="AX1769" s="8">
        <f ca="1">IFERROR(__xludf.DUMMYFUNCTION("""COMPUTED_VALUE"""),33073)</f>
        <v>33073</v>
      </c>
    </row>
    <row r="1770" spans="1:50" ht="30" x14ac:dyDescent="0.2">
      <c r="A1770" s="8" t="str">
        <f ca="1">IFERROR(__xludf.DUMMYFUNCTION("""COMPUTED_VALUE"""),"20180214FLMAP")</f>
        <v>20180214FLMAP</v>
      </c>
      <c r="B1770" s="8">
        <f ca="1">IFERROR(__xludf.DUMMYFUNCTION("""COMPUTED_VALUE"""),2)</f>
        <v>2</v>
      </c>
      <c r="C1770" s="8">
        <f ca="1">IFERROR(__xludf.DUMMYFUNCTION("""COMPUTED_VALUE"""),14)</f>
        <v>14</v>
      </c>
      <c r="D1770" s="8">
        <f ca="1">IFERROR(__xludf.DUMMYFUNCTION("""COMPUTED_VALUE"""),2018)</f>
        <v>2018</v>
      </c>
      <c r="E1770" s="9">
        <f ca="1">IFERROR(__xludf.DUMMYFUNCTION("""COMPUTED_VALUE"""),43145)</f>
        <v>43145</v>
      </c>
      <c r="F1770" s="8" t="str">
        <f ca="1">IFERROR(__xludf.DUMMYFUNCTION("""COMPUTED_VALUE"""),"Marjory Stoneman Douglas High School")</f>
        <v>Marjory Stoneman Douglas High School</v>
      </c>
      <c r="G1770" s="8">
        <f ca="1">IFERROR(__xludf.DUMMYFUNCTION("""COMPUTED_VALUE"""),17)</f>
        <v>17</v>
      </c>
      <c r="H1770" s="8">
        <f ca="1">IFERROR(__xludf.DUMMYFUNCTION("""COMPUTED_VALUE"""),17)</f>
        <v>17</v>
      </c>
      <c r="I1770" s="8">
        <f ca="1">IFERROR(__xludf.DUMMYFUNCTION("""COMPUTED_VALUE"""),34)</f>
        <v>34</v>
      </c>
      <c r="J1770" s="8">
        <f ca="1">IFERROR(__xludf.DUMMYFUNCTION("""COMPUTED_VALUE"""),0)</f>
        <v>0</v>
      </c>
      <c r="K1770" s="10" t="str">
        <f ca="1">IFERROR(__xludf.DUMMYFUNCTION("""COMPUTED_VALUE"""),"https://www.cnn.com/2018/02/19/us/florida-school-shooting/index.html http://nymag.com/selectall/2018/04/cruzers-are-fans-of-school-shooter-nikolas-cruz.html https://www.washingtonpost.com/graphics/2018/national/timeline-parkland-shooter-nikolas-cruz/?utm_"&amp;"term=.555096de1337
https://www.cnn.com/2022/07/18/us/nikolas-cruz-parkland-shooter-penalty-phase/index.html")</f>
        <v>https://www.cnn.com/2018/02/19/us/florida-school-shooting/index.html http://nymag.com/selectall/2018/04/cruzers-are-fans-of-school-shooter-nikolas-cruz.html https://www.washingtonpost.com/graphics/2018/national/timeline-parkland-shooter-nikolas-cruz/?utm_term=.555096de1337
https://www.cnn.com/2022/07/18/us/nikolas-cruz-parkland-shooter-penalty-phase/index.html</v>
      </c>
      <c r="L1770" s="8">
        <f ca="1">IFERROR(__xludf.DUMMYFUNCTION("""COMPUTED_VALUE"""),999)</f>
        <v>999</v>
      </c>
      <c r="M1770" s="8" t="str">
        <f ca="1">IFERROR(__xludf.DUMMYFUNCTION("""COMPUTED_VALUE"""),"International")</f>
        <v>International</v>
      </c>
      <c r="N1770" s="8">
        <f ca="1">IFERROR(__xludf.DUMMYFUNCTION("""COMPUTED_VALUE"""),4)</f>
        <v>4</v>
      </c>
      <c r="O1770" s="8" t="str">
        <f ca="1">IFERROR(__xludf.DUMMYFUNCTION("""COMPUTED_VALUE"""),"Winter")</f>
        <v>Winter</v>
      </c>
      <c r="P1770" s="8" t="str">
        <f ca="1">IFERROR(__xludf.DUMMYFUNCTION("""COMPUTED_VALUE"""),"Parkland")</f>
        <v>Parkland</v>
      </c>
      <c r="Q1770" s="8" t="str">
        <f ca="1">IFERROR(__xludf.DUMMYFUNCTION("""COMPUTED_VALUE"""),"FL")</f>
        <v>FL</v>
      </c>
      <c r="R1770" s="8" t="str">
        <f ca="1">IFERROR(__xludf.DUMMYFUNCTION("""COMPUTED_VALUE"""),"High")</f>
        <v>High</v>
      </c>
      <c r="S1770" s="8" t="str">
        <f ca="1">IFERROR(__xludf.DUMMYFUNCTION("""COMPUTED_VALUE"""),"Hallway")</f>
        <v>Hallway</v>
      </c>
      <c r="T1770" s="8" t="str">
        <f ca="1">IFERROR(__xludf.DUMMYFUNCTION("""COMPUTED_VALUE"""),"Inside School Building")</f>
        <v>Inside School Building</v>
      </c>
      <c r="U1770" s="8" t="str">
        <f ca="1">IFERROR(__xludf.DUMMYFUNCTION("""COMPUTED_VALUE"""),"Yes")</f>
        <v>Yes</v>
      </c>
      <c r="V1770" s="8" t="str">
        <f ca="1">IFERROR(__xludf.DUMMYFUNCTION("""COMPUTED_VALUE"""),"Afternoon Classes")</f>
        <v>Afternoon Classes</v>
      </c>
      <c r="W1770" s="11">
        <f ca="1">IFERROR(__xludf.DUMMYFUNCTION("""COMPUTED_VALUE"""),0.597916666666666)</f>
        <v>0.59791666666666599</v>
      </c>
      <c r="X1770" s="8">
        <f ca="1">IFERROR(__xludf.DUMMYFUNCTION("""COMPUTED_VALUE"""),7)</f>
        <v>7</v>
      </c>
      <c r="Y1770" s="12" t="str">
        <f ca="1">IFERROR(__xludf.DUMMYFUNCTION("""COMPUTED_VALUE"""),"Planned attack by former student")</f>
        <v>Planned attack by former student</v>
      </c>
      <c r="Z1770" s="12" t="str">
        <f ca="1">IFERROR(__xludf.DUMMYFUNCTION("""COMPUTED_VALUE"""),"Planned attack by former student. ")</f>
        <v xml:space="preserve">Planned attack by former student. </v>
      </c>
      <c r="AA1770" s="8" t="str">
        <f ca="1">IFERROR(__xludf.DUMMYFUNCTION("""COMPUTED_VALUE"""),"Indiscriminate Shooting")</f>
        <v>Indiscriminate Shooting</v>
      </c>
      <c r="AB1770" s="8"/>
      <c r="AC1770" s="8" t="str">
        <f ca="1">IFERROR(__xludf.DUMMYFUNCTION("""COMPUTED_VALUE"""),"Yes")</f>
        <v>Yes</v>
      </c>
      <c r="AD1770" s="8" t="str">
        <f ca="1">IFERROR(__xludf.DUMMYFUNCTION("""COMPUTED_VALUE"""),"Random Shooting")</f>
        <v>Random Shooting</v>
      </c>
      <c r="AE1770" s="8" t="str">
        <f ca="1">IFERROR(__xludf.DUMMYFUNCTION("""COMPUTED_VALUE"""),"No")</f>
        <v>No</v>
      </c>
      <c r="AF1770" s="8"/>
      <c r="AG1770" s="8" t="str">
        <f ca="1">IFERROR(__xludf.DUMMYFUNCTION("""COMPUTED_VALUE"""),"No")</f>
        <v>No</v>
      </c>
      <c r="AH1770" s="8" t="str">
        <f ca="1">IFERROR(__xludf.DUMMYFUNCTION("""COMPUTED_VALUE"""),"No")</f>
        <v>No</v>
      </c>
      <c r="AI1770" s="8" t="str">
        <f ca="1">IFERROR(__xludf.DUMMYFUNCTION("""COMPUTED_VALUE"""),"No")</f>
        <v>No</v>
      </c>
      <c r="AJ1770" s="8" t="str">
        <f ca="1">IFERROR(__xludf.DUMMYFUNCTION("""COMPUTED_VALUE"""),"No")</f>
        <v>No</v>
      </c>
      <c r="AK1770" s="8" t="str">
        <f ca="1">IFERROR(__xludf.DUMMYFUNCTION("""COMPUTED_VALUE"""),"No")</f>
        <v>No</v>
      </c>
      <c r="AL1770" s="8" t="str">
        <f ca="1">IFERROR(__xludf.DUMMYFUNCTION("""COMPUTED_VALUE"""),"No")</f>
        <v>No</v>
      </c>
      <c r="AM1770" s="8" t="str">
        <f ca="1">IFERROR(__xludf.DUMMYFUNCTION("""COMPUTED_VALUE"""),"Yes")</f>
        <v>Yes</v>
      </c>
      <c r="AN1770" s="8" t="str">
        <f ca="1">IFERROR(__xludf.DUMMYFUNCTION("""COMPUTED_VALUE"""),"Multiple Rooms")</f>
        <v>Multiple Rooms</v>
      </c>
      <c r="AO1770" s="8" t="str">
        <f ca="1">IFERROR(__xludf.DUMMYFUNCTION("""COMPUTED_VALUE"""),"Yes")</f>
        <v>Yes</v>
      </c>
      <c r="AP1770" s="8" t="str">
        <f ca="1">IFERROR(__xludf.DUMMYFUNCTION("""COMPUTED_VALUE"""),"Yes")</f>
        <v>Yes</v>
      </c>
      <c r="AQ1770" s="8" t="str">
        <f ca="1">IFERROR(__xludf.DUMMYFUNCTION("""COMPUTED_VALUE"""),"Unknown")</f>
        <v>Unknown</v>
      </c>
      <c r="AR1770" s="8" t="str">
        <f ca="1">IFERROR(__xludf.DUMMYFUNCTION("""COMPUTED_VALUE"""),"NA")</f>
        <v>NA</v>
      </c>
      <c r="AS1770" s="8">
        <f ca="1">IFERROR(__xludf.DUMMYFUNCTION("""COMPUTED_VALUE"""),139)</f>
        <v>139</v>
      </c>
      <c r="AT1770" s="8" t="str">
        <f ca="1">IFERROR(__xludf.DUMMYFUNCTION("""COMPUTED_VALUE"""),"Yes")</f>
        <v>Yes</v>
      </c>
      <c r="AU1770" s="8">
        <f ca="1">IFERROR(__xludf.DUMMYFUNCTION("""COMPUTED_VALUE"""),26.304483)</f>
        <v>26.304483000000001</v>
      </c>
      <c r="AV1770" s="8">
        <f ca="1">IFERROR(__xludf.DUMMYFUNCTION("""COMPUTED_VALUE"""),-80.269365)</f>
        <v>-80.269364999999993</v>
      </c>
      <c r="AW1770" s="8"/>
      <c r="AX1770" s="8">
        <f ca="1">IFERROR(__xludf.DUMMYFUNCTION("""COMPUTED_VALUE"""),33076)</f>
        <v>33076</v>
      </c>
    </row>
    <row r="1771" spans="1:50" ht="60" x14ac:dyDescent="0.2">
      <c r="A1771" s="8" t="str">
        <f ca="1">IFERROR(__xludf.DUMMYFUNCTION("""COMPUTED_VALUE"""),"20180209TNPEN")</f>
        <v>20180209TNPEN</v>
      </c>
      <c r="B1771" s="8">
        <f ca="1">IFERROR(__xludf.DUMMYFUNCTION("""COMPUTED_VALUE"""),2)</f>
        <v>2</v>
      </c>
      <c r="C1771" s="8">
        <f ca="1">IFERROR(__xludf.DUMMYFUNCTION("""COMPUTED_VALUE"""),9)</f>
        <v>9</v>
      </c>
      <c r="D1771" s="8">
        <f ca="1">IFERROR(__xludf.DUMMYFUNCTION("""COMPUTED_VALUE"""),2018)</f>
        <v>2018</v>
      </c>
      <c r="E1771" s="9">
        <f ca="1">IFERROR(__xludf.DUMMYFUNCTION("""COMPUTED_VALUE"""),43140)</f>
        <v>43140</v>
      </c>
      <c r="F1771" s="8" t="str">
        <f ca="1">IFERROR(__xludf.DUMMYFUNCTION("""COMPUTED_VALUE"""),"Peal-Cohn High School")</f>
        <v>Peal-Cohn High School</v>
      </c>
      <c r="G1771" s="8">
        <f ca="1">IFERROR(__xludf.DUMMYFUNCTION("""COMPUTED_VALUE"""),0)</f>
        <v>0</v>
      </c>
      <c r="H1771" s="8">
        <f ca="1">IFERROR(__xludf.DUMMYFUNCTION("""COMPUTED_VALUE"""),1)</f>
        <v>1</v>
      </c>
      <c r="I1771" s="8">
        <f ca="1">IFERROR(__xludf.DUMMYFUNCTION("""COMPUTED_VALUE"""),1)</f>
        <v>1</v>
      </c>
      <c r="J1771" s="8">
        <f ca="1">IFERROR(__xludf.DUMMYFUNCTION("""COMPUTED_VALUE"""),0)</f>
        <v>0</v>
      </c>
      <c r="K1771" s="10" t="str">
        <f ca="1">IFERROR(__xludf.DUMMYFUNCTION("""COMPUTED_VALUE"""),"http://www.wsmv.com/story/37500077/14-year-old-suspect-wanted-in-shooting-outside-pearl-cohn-high-school")</f>
        <v>http://www.wsmv.com/story/37500077/14-year-old-suspect-wanted-in-shooting-outside-pearl-cohn-high-school</v>
      </c>
      <c r="L1771" s="8">
        <f ca="1">IFERROR(__xludf.DUMMYFUNCTION("""COMPUTED_VALUE"""),5)</f>
        <v>5</v>
      </c>
      <c r="M1771" s="8" t="str">
        <f ca="1">IFERROR(__xludf.DUMMYFUNCTION("""COMPUTED_VALUE"""),"Regional")</f>
        <v>Regional</v>
      </c>
      <c r="N1771" s="8">
        <f ca="1">IFERROR(__xludf.DUMMYFUNCTION("""COMPUTED_VALUE"""),2)</f>
        <v>2</v>
      </c>
      <c r="O1771" s="8" t="str">
        <f ca="1">IFERROR(__xludf.DUMMYFUNCTION("""COMPUTED_VALUE"""),"Winter")</f>
        <v>Winter</v>
      </c>
      <c r="P1771" s="8" t="str">
        <f ca="1">IFERROR(__xludf.DUMMYFUNCTION("""COMPUTED_VALUE"""),"Nashville")</f>
        <v>Nashville</v>
      </c>
      <c r="Q1771" s="8" t="str">
        <f ca="1">IFERROR(__xludf.DUMMYFUNCTION("""COMPUTED_VALUE"""),"TN")</f>
        <v>TN</v>
      </c>
      <c r="R1771" s="8" t="str">
        <f ca="1">IFERROR(__xludf.DUMMYFUNCTION("""COMPUTED_VALUE"""),"High")</f>
        <v>High</v>
      </c>
      <c r="S1771" s="8" t="str">
        <f ca="1">IFERROR(__xludf.DUMMYFUNCTION("""COMPUTED_VALUE"""),"Parking Lot")</f>
        <v>Parking Lot</v>
      </c>
      <c r="T1771" s="8" t="str">
        <f ca="1">IFERROR(__xludf.DUMMYFUNCTION("""COMPUTED_VALUE"""),"Outside on School Property")</f>
        <v>Outside on School Property</v>
      </c>
      <c r="U1771" s="8" t="str">
        <f ca="1">IFERROR(__xludf.DUMMYFUNCTION("""COMPUTED_VALUE"""),"No")</f>
        <v>No</v>
      </c>
      <c r="V1771" s="8" t="str">
        <f ca="1">IFERROR(__xludf.DUMMYFUNCTION("""COMPUTED_VALUE"""),"Dismissal")</f>
        <v>Dismissal</v>
      </c>
      <c r="W1771" s="8"/>
      <c r="X1771" s="8">
        <f ca="1">IFERROR(__xludf.DUMMYFUNCTION("""COMPUTED_VALUE"""),1)</f>
        <v>1</v>
      </c>
      <c r="Y1771" s="12" t="str">
        <f ca="1">IFERROR(__xludf.DUMMYFUNCTION("""COMPUTED_VALUE"""),"Gang related shooting in parking lot")</f>
        <v>Gang related shooting in parking lot</v>
      </c>
      <c r="Z1771" s="12" t="str">
        <f ca="1">IFERROR(__xludf.DUMMYFUNCTION("""COMPUTED_VALUE"""),"Shooter fired 5 shots at the victim in the parking lot at the end of the school day and fled the scene by getting into a stolen vehicle. The motive remains unknown. The school has a frequent gang-related violence.")</f>
        <v>Shooter fired 5 shots at the victim in the parking lot at the end of the school day and fled the scene by getting into a stolen vehicle. The motive remains unknown. The school has a frequent gang-related violence.</v>
      </c>
      <c r="AA1771" s="8" t="str">
        <f ca="1">IFERROR(__xludf.DUMMYFUNCTION("""COMPUTED_VALUE"""),"Escalation of Dispute")</f>
        <v>Escalation of Dispute</v>
      </c>
      <c r="AB1771" s="8"/>
      <c r="AC1771" s="8" t="str">
        <f ca="1">IFERROR(__xludf.DUMMYFUNCTION("""COMPUTED_VALUE"""),"Yes")</f>
        <v>Yes</v>
      </c>
      <c r="AD1771" s="8" t="str">
        <f ca="1">IFERROR(__xludf.DUMMYFUNCTION("""COMPUTED_VALUE"""),"Victims Targeted")</f>
        <v>Victims Targeted</v>
      </c>
      <c r="AE1771" s="8"/>
      <c r="AF1771" s="8"/>
      <c r="AG1771" s="8" t="str">
        <f ca="1">IFERROR(__xludf.DUMMYFUNCTION("""COMPUTED_VALUE"""),"No")</f>
        <v>No</v>
      </c>
      <c r="AH1771" s="8" t="str">
        <f ca="1">IFERROR(__xludf.DUMMYFUNCTION("""COMPUTED_VALUE"""),"No")</f>
        <v>No</v>
      </c>
      <c r="AI1771" s="8" t="str">
        <f ca="1">IFERROR(__xludf.DUMMYFUNCTION("""COMPUTED_VALUE"""),"No")</f>
        <v>No</v>
      </c>
      <c r="AJ1771" s="8"/>
      <c r="AK1771" s="8" t="str">
        <f ca="1">IFERROR(__xludf.DUMMYFUNCTION("""COMPUTED_VALUE"""),"No")</f>
        <v>No</v>
      </c>
      <c r="AL1771" s="8" t="str">
        <f ca="1">IFERROR(__xludf.DUMMYFUNCTION("""COMPUTED_VALUE"""),"Yes")</f>
        <v>Yes</v>
      </c>
      <c r="AM1771" s="8" t="str">
        <f ca="1">IFERROR(__xludf.DUMMYFUNCTION("""COMPUTED_VALUE"""),"No")</f>
        <v>No</v>
      </c>
      <c r="AN1771" s="8"/>
      <c r="AO1771" s="8" t="str">
        <f ca="1">IFERROR(__xludf.DUMMYFUNCTION("""COMPUTED_VALUE"""),"No")</f>
        <v>No</v>
      </c>
      <c r="AP1771" s="8" t="str">
        <f ca="1">IFERROR(__xludf.DUMMYFUNCTION("""COMPUTED_VALUE"""),"Yes")</f>
        <v>Yes</v>
      </c>
      <c r="AQ1771" s="8" t="str">
        <f ca="1">IFERROR(__xludf.DUMMYFUNCTION("""COMPUTED_VALUE"""),"Unknown")</f>
        <v>Unknown</v>
      </c>
      <c r="AR1771" s="8" t="str">
        <f ca="1">IFERROR(__xludf.DUMMYFUNCTION("""COMPUTED_VALUE"""),"NA")</f>
        <v>NA</v>
      </c>
      <c r="AS1771" s="8">
        <f ca="1">IFERROR(__xludf.DUMMYFUNCTION("""COMPUTED_VALUE"""),5)</f>
        <v>5</v>
      </c>
      <c r="AT1771" s="8" t="str">
        <f ca="1">IFERROR(__xludf.DUMMYFUNCTION("""COMPUTED_VALUE"""),"Yes")</f>
        <v>Yes</v>
      </c>
      <c r="AU1771" s="8">
        <f ca="1">IFERROR(__xludf.DUMMYFUNCTION("""COMPUTED_VALUE"""),36.164136)</f>
        <v>36.164135999999999</v>
      </c>
      <c r="AV1771" s="8">
        <f ca="1">IFERROR(__xludf.DUMMYFUNCTION("""COMPUTED_VALUE"""),-86.814808)</f>
        <v>-86.814807999999999</v>
      </c>
      <c r="AW1771" s="8"/>
      <c r="AX1771" s="8">
        <f ca="1">IFERROR(__xludf.DUMMYFUNCTION("""COMPUTED_VALUE"""),37208)</f>
        <v>37208</v>
      </c>
    </row>
    <row r="1772" spans="1:50" ht="60" x14ac:dyDescent="0.2">
      <c r="A1772" s="8" t="str">
        <f ca="1">IFERROR(__xludf.DUMMYFUNCTION("""COMPUTED_VALUE"""),"20180208NYTHN")</f>
        <v>20180208NYTHN</v>
      </c>
      <c r="B1772" s="8">
        <f ca="1">IFERROR(__xludf.DUMMYFUNCTION("""COMPUTED_VALUE"""),2)</f>
        <v>2</v>
      </c>
      <c r="C1772" s="8">
        <f ca="1">IFERROR(__xludf.DUMMYFUNCTION("""COMPUTED_VALUE"""),8)</f>
        <v>8</v>
      </c>
      <c r="D1772" s="8">
        <f ca="1">IFERROR(__xludf.DUMMYFUNCTION("""COMPUTED_VALUE"""),2018)</f>
        <v>2018</v>
      </c>
      <c r="E1772" s="9">
        <f ca="1">IFERROR(__xludf.DUMMYFUNCTION("""COMPUTED_VALUE"""),43139)</f>
        <v>43139</v>
      </c>
      <c r="F1772" s="8" t="str">
        <f ca="1">IFERROR(__xludf.DUMMYFUNCTION("""COMPUTED_VALUE"""),"The Metropolitan High School")</f>
        <v>The Metropolitan High School</v>
      </c>
      <c r="G1772" s="8">
        <f ca="1">IFERROR(__xludf.DUMMYFUNCTION("""COMPUTED_VALUE"""),0)</f>
        <v>0</v>
      </c>
      <c r="H1772" s="8">
        <f ca="1">IFERROR(__xludf.DUMMYFUNCTION("""COMPUTED_VALUE"""),0)</f>
        <v>0</v>
      </c>
      <c r="I1772" s="8">
        <f ca="1">IFERROR(__xludf.DUMMYFUNCTION("""COMPUTED_VALUE"""),0)</f>
        <v>0</v>
      </c>
      <c r="J1772" s="8">
        <f ca="1">IFERROR(__xludf.DUMMYFUNCTION("""COMPUTED_VALUE"""),0)</f>
        <v>0</v>
      </c>
      <c r="K1772" s="10" t="str">
        <f ca="1">IFERROR(__xludf.DUMMYFUNCTION("""COMPUTED_VALUE"""),"https://abc7ny.com/teen-in-custody-after-shot-fired-inside-bronx-high-school/3054112/")</f>
        <v>https://abc7ny.com/teen-in-custody-after-shot-fired-inside-bronx-high-school/3054112/</v>
      </c>
      <c r="L1772" s="8"/>
      <c r="M1772" s="8"/>
      <c r="N1772" s="8">
        <f ca="1">IFERROR(__xludf.DUMMYFUNCTION("""COMPUTED_VALUE"""),2)</f>
        <v>2</v>
      </c>
      <c r="O1772" s="8" t="str">
        <f ca="1">IFERROR(__xludf.DUMMYFUNCTION("""COMPUTED_VALUE"""),"Winter")</f>
        <v>Winter</v>
      </c>
      <c r="P1772" s="8" t="str">
        <f ca="1">IFERROR(__xludf.DUMMYFUNCTION("""COMPUTED_VALUE"""),"New York")</f>
        <v>New York</v>
      </c>
      <c r="Q1772" s="8" t="str">
        <f ca="1">IFERROR(__xludf.DUMMYFUNCTION("""COMPUTED_VALUE"""),"NY")</f>
        <v>NY</v>
      </c>
      <c r="R1772" s="8" t="str">
        <f ca="1">IFERROR(__xludf.DUMMYFUNCTION("""COMPUTED_VALUE"""),"High")</f>
        <v>High</v>
      </c>
      <c r="S1772" s="8" t="str">
        <f ca="1">IFERROR(__xludf.DUMMYFUNCTION("""COMPUTED_VALUE"""),"Classroom")</f>
        <v>Classroom</v>
      </c>
      <c r="T1772" s="8" t="str">
        <f ca="1">IFERROR(__xludf.DUMMYFUNCTION("""COMPUTED_VALUE"""),"Inside School Building")</f>
        <v>Inside School Building</v>
      </c>
      <c r="U1772" s="8" t="str">
        <f ca="1">IFERROR(__xludf.DUMMYFUNCTION("""COMPUTED_VALUE"""),"Yes")</f>
        <v>Yes</v>
      </c>
      <c r="V1772" s="8" t="str">
        <f ca="1">IFERROR(__xludf.DUMMYFUNCTION("""COMPUTED_VALUE"""),"Afternoon Classes")</f>
        <v>Afternoon Classes</v>
      </c>
      <c r="W1772" s="11">
        <f ca="1">IFERROR(__xludf.DUMMYFUNCTION("""COMPUTED_VALUE"""),0.638888888888888)</f>
        <v>0.63888888888888795</v>
      </c>
      <c r="X1772" s="8">
        <f ca="1">IFERROR(__xludf.DUMMYFUNCTION("""COMPUTED_VALUE"""),1)</f>
        <v>1</v>
      </c>
      <c r="Y1772" s="12" t="str">
        <f ca="1">IFERROR(__xludf.DUMMYFUNCTION("""COMPUTED_VALUE"""),"Single gun shot struck floor of classroom, student arrested")</f>
        <v>Single gun shot struck floor of classroom, student arrested</v>
      </c>
      <c r="Z1772" s="12" t="str">
        <f ca="1">IFERROR(__xludf.DUMMYFUNCTION("""COMPUTED_VALUE"""),"Single gunshot struck floor of classroom. No injuries. 17YOM student arrested. Circumstances unknown.")</f>
        <v>Single gunshot struck floor of classroom. No injuries. 17YOM student arrested. Circumstances unknown.</v>
      </c>
      <c r="AA1772" s="8" t="str">
        <f ca="1">IFERROR(__xludf.DUMMYFUNCTION("""COMPUTED_VALUE"""),"Accidental")</f>
        <v>Accidental</v>
      </c>
      <c r="AB1772" s="8"/>
      <c r="AC1772" s="8" t="str">
        <f ca="1">IFERROR(__xludf.DUMMYFUNCTION("""COMPUTED_VALUE"""),"Yes")</f>
        <v>Yes</v>
      </c>
      <c r="AD1772" s="8"/>
      <c r="AE1772" s="8" t="str">
        <f ca="1">IFERROR(__xludf.DUMMYFUNCTION("""COMPUTED_VALUE"""),"No")</f>
        <v>No</v>
      </c>
      <c r="AF1772" s="8"/>
      <c r="AG1772" s="8" t="str">
        <f ca="1">IFERROR(__xludf.DUMMYFUNCTION("""COMPUTED_VALUE"""),"No")</f>
        <v>No</v>
      </c>
      <c r="AH1772" s="8" t="str">
        <f ca="1">IFERROR(__xludf.DUMMYFUNCTION("""COMPUTED_VALUE"""),"No")</f>
        <v>No</v>
      </c>
      <c r="AI1772" s="8" t="str">
        <f ca="1">IFERROR(__xludf.DUMMYFUNCTION("""COMPUTED_VALUE"""),"No")</f>
        <v>No</v>
      </c>
      <c r="AJ1772" s="8"/>
      <c r="AK1772" s="8"/>
      <c r="AL1772" s="8"/>
      <c r="AM1772" s="8" t="str">
        <f ca="1">IFERROR(__xludf.DUMMYFUNCTION("""COMPUTED_VALUE"""),"No")</f>
        <v>No</v>
      </c>
      <c r="AN1772" s="8"/>
      <c r="AO1772" s="8" t="str">
        <f ca="1">IFERROR(__xludf.DUMMYFUNCTION("""COMPUTED_VALUE"""),"No")</f>
        <v>No</v>
      </c>
      <c r="AP1772" s="8"/>
      <c r="AQ1772" s="8" t="str">
        <f ca="1">IFERROR(__xludf.DUMMYFUNCTION("""COMPUTED_VALUE"""),"Unknown")</f>
        <v>Unknown</v>
      </c>
      <c r="AR1772" s="8" t="str">
        <f ca="1">IFERROR(__xludf.DUMMYFUNCTION("""COMPUTED_VALUE"""),"NA")</f>
        <v>NA</v>
      </c>
      <c r="AS1772" s="8">
        <f ca="1">IFERROR(__xludf.DUMMYFUNCTION("""COMPUTED_VALUE"""),1)</f>
        <v>1</v>
      </c>
      <c r="AT1772" s="8"/>
      <c r="AU1772" s="8">
        <f ca="1">IFERROR(__xludf.DUMMYFUNCTION("""COMPUTED_VALUE"""),40.827644)</f>
        <v>40.827643999999999</v>
      </c>
      <c r="AV1772" s="8">
        <f ca="1">IFERROR(__xludf.DUMMYFUNCTION("""COMPUTED_VALUE"""),-73.897093)</f>
        <v>-73.897092999999998</v>
      </c>
      <c r="AW1772" s="8"/>
      <c r="AX1772" s="8">
        <f ca="1">IFERROR(__xludf.DUMMYFUNCTION("""COMPUTED_VALUE"""),10459)</f>
        <v>10459</v>
      </c>
    </row>
    <row r="1773" spans="1:50" ht="60" x14ac:dyDescent="0.2">
      <c r="A1773" s="8" t="str">
        <f ca="1">IFERROR(__xludf.DUMMYFUNCTION("""COMPUTED_VALUE"""),"20180205MNHAM")</f>
        <v>20180205MNHAM</v>
      </c>
      <c r="B1773" s="8">
        <f ca="1">IFERROR(__xludf.DUMMYFUNCTION("""COMPUTED_VALUE"""),2)</f>
        <v>2</v>
      </c>
      <c r="C1773" s="8">
        <f ca="1">IFERROR(__xludf.DUMMYFUNCTION("""COMPUTED_VALUE"""),5)</f>
        <v>5</v>
      </c>
      <c r="D1773" s="8">
        <f ca="1">IFERROR(__xludf.DUMMYFUNCTION("""COMPUTED_VALUE"""),2018)</f>
        <v>2018</v>
      </c>
      <c r="E1773" s="9">
        <f ca="1">IFERROR(__xludf.DUMMYFUNCTION("""COMPUTED_VALUE"""),43136)</f>
        <v>43136</v>
      </c>
      <c r="F1773" s="8" t="str">
        <f ca="1">IFERROR(__xludf.DUMMYFUNCTION("""COMPUTED_VALUE"""),"Harmony Learning Center")</f>
        <v>Harmony Learning Center</v>
      </c>
      <c r="G1773" s="8">
        <f ca="1">IFERROR(__xludf.DUMMYFUNCTION("""COMPUTED_VALUE"""),0)</f>
        <v>0</v>
      </c>
      <c r="H1773" s="8">
        <f ca="1">IFERROR(__xludf.DUMMYFUNCTION("""COMPUTED_VALUE"""),0)</f>
        <v>0</v>
      </c>
      <c r="I1773" s="8">
        <f ca="1">IFERROR(__xludf.DUMMYFUNCTION("""COMPUTED_VALUE"""),0)</f>
        <v>0</v>
      </c>
      <c r="J1773" s="8">
        <f ca="1">IFERROR(__xludf.DUMMYFUNCTION("""COMPUTED_VALUE"""),0)</f>
        <v>0</v>
      </c>
      <c r="K1773" s="10" t="str">
        <f ca="1">IFERROR(__xludf.DUMMYFUNCTION("""COMPUTED_VALUE"""),"https://www.twincities.com/2018/02/05/maplewood-police-officers-gun-fires-at-school-no-injuries-reported/")</f>
        <v>https://www.twincities.com/2018/02/05/maplewood-police-officers-gun-fires-at-school-no-injuries-reported/</v>
      </c>
      <c r="L1773" s="8"/>
      <c r="M1773" s="8"/>
      <c r="N1773" s="8">
        <f ca="1">IFERROR(__xludf.DUMMYFUNCTION("""COMPUTED_VALUE"""),2)</f>
        <v>2</v>
      </c>
      <c r="O1773" s="8" t="str">
        <f ca="1">IFERROR(__xludf.DUMMYFUNCTION("""COMPUTED_VALUE"""),"Winter")</f>
        <v>Winter</v>
      </c>
      <c r="P1773" s="8" t="str">
        <f ca="1">IFERROR(__xludf.DUMMYFUNCTION("""COMPUTED_VALUE"""),"Maplewood")</f>
        <v>Maplewood</v>
      </c>
      <c r="Q1773" s="8" t="str">
        <f ca="1">IFERROR(__xludf.DUMMYFUNCTION("""COMPUTED_VALUE"""),"MN")</f>
        <v>MN</v>
      </c>
      <c r="R1773" s="8" t="str">
        <f ca="1">IFERROR(__xludf.DUMMYFUNCTION("""COMPUTED_VALUE"""),"Elementary")</f>
        <v>Elementary</v>
      </c>
      <c r="S1773" s="8" t="str">
        <f ca="1">IFERROR(__xludf.DUMMYFUNCTION("""COMPUTED_VALUE"""),"Front of School")</f>
        <v>Front of School</v>
      </c>
      <c r="T1773" s="8" t="str">
        <f ca="1">IFERROR(__xludf.DUMMYFUNCTION("""COMPUTED_VALUE"""),"Outside on School Property")</f>
        <v>Outside on School Property</v>
      </c>
      <c r="U1773" s="8" t="str">
        <f ca="1">IFERROR(__xludf.DUMMYFUNCTION("""COMPUTED_VALUE"""),"Yes")</f>
        <v>Yes</v>
      </c>
      <c r="V1773" s="8" t="str">
        <f ca="1">IFERROR(__xludf.DUMMYFUNCTION("""COMPUTED_VALUE"""),"Afternoon Classes")</f>
        <v>Afternoon Classes</v>
      </c>
      <c r="W1773" s="11">
        <f ca="1">IFERROR(__xludf.DUMMYFUNCTION("""COMPUTED_VALUE"""),0.572916666666666)</f>
        <v>0.57291666666666596</v>
      </c>
      <c r="X1773" s="8">
        <f ca="1">IFERROR(__xludf.DUMMYFUNCTION("""COMPUTED_VALUE"""),1)</f>
        <v>1</v>
      </c>
      <c r="Y1773" s="12" t="str">
        <f ca="1">IFERROR(__xludf.DUMMYFUNCTION("""COMPUTED_VALUE"""),"Student pulled trigger on gun in officer's holster")</f>
        <v>Student pulled trigger on gun in officer's holster</v>
      </c>
      <c r="Z1773" s="12" t="str">
        <f ca="1">IFERROR(__xludf.DUMMYFUNCTION("""COMPUTED_VALUE"""),"3rd grade student pulled the trigger of a handgun in the officers holster and fired a shot into the ground. The officer was sitting on a bench and didn't realize the child was touching the gun. No injuries.")</f>
        <v>3rd grade student pulled the trigger of a handgun in the officers holster and fired a shot into the ground. The officer was sitting on a bench and didn't realize the child was touching the gun. No injuries.</v>
      </c>
      <c r="AA1773" s="8" t="str">
        <f ca="1">IFERROR(__xludf.DUMMYFUNCTION("""COMPUTED_VALUE"""),"Accidental")</f>
        <v>Accidental</v>
      </c>
      <c r="AB1773" s="8"/>
      <c r="AC1773" s="8" t="str">
        <f ca="1">IFERROR(__xludf.DUMMYFUNCTION("""COMPUTED_VALUE"""),"Yes")</f>
        <v>Yes</v>
      </c>
      <c r="AD1773" s="8" t="str">
        <f ca="1">IFERROR(__xludf.DUMMYFUNCTION("""COMPUTED_VALUE"""),"Neither")</f>
        <v>Neither</v>
      </c>
      <c r="AE1773" s="8" t="str">
        <f ca="1">IFERROR(__xludf.DUMMYFUNCTION("""COMPUTED_VALUE"""),"No")</f>
        <v>No</v>
      </c>
      <c r="AF1773" s="8"/>
      <c r="AG1773" s="8" t="str">
        <f ca="1">IFERROR(__xludf.DUMMYFUNCTION("""COMPUTED_VALUE"""),"No")</f>
        <v>No</v>
      </c>
      <c r="AH1773" s="8" t="str">
        <f ca="1">IFERROR(__xludf.DUMMYFUNCTION("""COMPUTED_VALUE"""),"No")</f>
        <v>No</v>
      </c>
      <c r="AI1773" s="8" t="str">
        <f ca="1">IFERROR(__xludf.DUMMYFUNCTION("""COMPUTED_VALUE"""),"No")</f>
        <v>No</v>
      </c>
      <c r="AJ1773" s="8" t="str">
        <f ca="1">IFERROR(__xludf.DUMMYFUNCTION("""COMPUTED_VALUE"""),"No")</f>
        <v>No</v>
      </c>
      <c r="AK1773" s="8" t="str">
        <f ca="1">IFERROR(__xludf.DUMMYFUNCTION("""COMPUTED_VALUE"""),"No")</f>
        <v>No</v>
      </c>
      <c r="AL1773" s="8" t="str">
        <f ca="1">IFERROR(__xludf.DUMMYFUNCTION("""COMPUTED_VALUE"""),"No")</f>
        <v>No</v>
      </c>
      <c r="AM1773" s="8" t="str">
        <f ca="1">IFERROR(__xludf.DUMMYFUNCTION("""COMPUTED_VALUE"""),"No")</f>
        <v>No</v>
      </c>
      <c r="AN1773" s="8"/>
      <c r="AO1773" s="8" t="str">
        <f ca="1">IFERROR(__xludf.DUMMYFUNCTION("""COMPUTED_VALUE"""),"No")</f>
        <v>No</v>
      </c>
      <c r="AP1773" s="8" t="str">
        <f ca="1">IFERROR(__xludf.DUMMYFUNCTION("""COMPUTED_VALUE"""),"Yes")</f>
        <v>Yes</v>
      </c>
      <c r="AQ1773" s="8" t="str">
        <f ca="1">IFERROR(__xludf.DUMMYFUNCTION("""COMPUTED_VALUE"""),"Unknown")</f>
        <v>Unknown</v>
      </c>
      <c r="AR1773" s="8" t="str">
        <f ca="1">IFERROR(__xludf.DUMMYFUNCTION("""COMPUTED_VALUE"""),"NA")</f>
        <v>NA</v>
      </c>
      <c r="AS1773" s="8">
        <f ca="1">IFERROR(__xludf.DUMMYFUNCTION("""COMPUTED_VALUE"""),1)</f>
        <v>1</v>
      </c>
      <c r="AT1773" s="8"/>
      <c r="AU1773" s="8">
        <f ca="1">IFERROR(__xludf.DUMMYFUNCTION("""COMPUTED_VALUE"""),45.02119)</f>
        <v>45.021189999999997</v>
      </c>
      <c r="AV1773" s="8">
        <f ca="1">IFERROR(__xludf.DUMMYFUNCTION("""COMPUTED_VALUE"""),-93.017609)</f>
        <v>-93.017608999999993</v>
      </c>
      <c r="AW1773" s="8"/>
      <c r="AX1773" s="8">
        <f ca="1">IFERROR(__xludf.DUMMYFUNCTION("""COMPUTED_VALUE"""),55109)</f>
        <v>55109</v>
      </c>
    </row>
    <row r="1774" spans="1:50" ht="75" x14ac:dyDescent="0.2">
      <c r="A1774" s="8" t="str">
        <f ca="1">IFERROR(__xludf.DUMMYFUNCTION("""COMPUTED_VALUE"""),"20180205MDOXO")</f>
        <v>20180205MDOXO</v>
      </c>
      <c r="B1774" s="8">
        <f ca="1">IFERROR(__xludf.DUMMYFUNCTION("""COMPUTED_VALUE"""),2)</f>
        <v>2</v>
      </c>
      <c r="C1774" s="8">
        <f ca="1">IFERROR(__xludf.DUMMYFUNCTION("""COMPUTED_VALUE"""),5)</f>
        <v>5</v>
      </c>
      <c r="D1774" s="8">
        <f ca="1">IFERROR(__xludf.DUMMYFUNCTION("""COMPUTED_VALUE"""),2018)</f>
        <v>2018</v>
      </c>
      <c r="E1774" s="9">
        <f ca="1">IFERROR(__xludf.DUMMYFUNCTION("""COMPUTED_VALUE"""),43136)</f>
        <v>43136</v>
      </c>
      <c r="F1774" s="8" t="str">
        <f ca="1">IFERROR(__xludf.DUMMYFUNCTION("""COMPUTED_VALUE"""),"Oxon Hill High School")</f>
        <v>Oxon Hill High School</v>
      </c>
      <c r="G1774" s="8">
        <f ca="1">IFERROR(__xludf.DUMMYFUNCTION("""COMPUTED_VALUE"""),0)</f>
        <v>0</v>
      </c>
      <c r="H1774" s="8">
        <f ca="1">IFERROR(__xludf.DUMMYFUNCTION("""COMPUTED_VALUE"""),1)</f>
        <v>1</v>
      </c>
      <c r="I1774" s="8">
        <f ca="1">IFERROR(__xludf.DUMMYFUNCTION("""COMPUTED_VALUE"""),1)</f>
        <v>1</v>
      </c>
      <c r="J1774" s="8">
        <f ca="1">IFERROR(__xludf.DUMMYFUNCTION("""COMPUTED_VALUE"""),0)</f>
        <v>0</v>
      </c>
      <c r="K1774" s="10" t="str">
        <f ca="1">IFERROR(__xludf.DUMMYFUNCTION("""COMPUTED_VALUE"""),"http://pgpolice.blogspot.ca/2018/02/two-teenage-suspects-in-custody-for-non.html")</f>
        <v>http://pgpolice.blogspot.ca/2018/02/two-teenage-suspects-in-custody-for-non.html</v>
      </c>
      <c r="L1774" s="8">
        <f ca="1">IFERROR(__xludf.DUMMYFUNCTION("""COMPUTED_VALUE"""),5)</f>
        <v>5</v>
      </c>
      <c r="M1774" s="8" t="str">
        <f ca="1">IFERROR(__xludf.DUMMYFUNCTION("""COMPUTED_VALUE"""),"International")</f>
        <v>International</v>
      </c>
      <c r="N1774" s="8">
        <f ca="1">IFERROR(__xludf.DUMMYFUNCTION("""COMPUTED_VALUE"""),4)</f>
        <v>4</v>
      </c>
      <c r="O1774" s="8" t="str">
        <f ca="1">IFERROR(__xludf.DUMMYFUNCTION("""COMPUTED_VALUE"""),"Winter")</f>
        <v>Winter</v>
      </c>
      <c r="P1774" s="8" t="str">
        <f ca="1">IFERROR(__xludf.DUMMYFUNCTION("""COMPUTED_VALUE"""),"Oxon Hill")</f>
        <v>Oxon Hill</v>
      </c>
      <c r="Q1774" s="8" t="str">
        <f ca="1">IFERROR(__xludf.DUMMYFUNCTION("""COMPUTED_VALUE"""),"MD")</f>
        <v>MD</v>
      </c>
      <c r="R1774" s="8" t="str">
        <f ca="1">IFERROR(__xludf.DUMMYFUNCTION("""COMPUTED_VALUE"""),"High")</f>
        <v>High</v>
      </c>
      <c r="S1774" s="8" t="str">
        <f ca="1">IFERROR(__xludf.DUMMYFUNCTION("""COMPUTED_VALUE"""),"Parking Lot")</f>
        <v>Parking Lot</v>
      </c>
      <c r="T1774" s="8" t="str">
        <f ca="1">IFERROR(__xludf.DUMMYFUNCTION("""COMPUTED_VALUE"""),"Outside on School Property")</f>
        <v>Outside on School Property</v>
      </c>
      <c r="U1774" s="8" t="str">
        <f ca="1">IFERROR(__xludf.DUMMYFUNCTION("""COMPUTED_VALUE"""),"No")</f>
        <v>No</v>
      </c>
      <c r="V1774" s="8" t="str">
        <f ca="1">IFERROR(__xludf.DUMMYFUNCTION("""COMPUTED_VALUE"""),"Evening")</f>
        <v>Evening</v>
      </c>
      <c r="W1774" s="8"/>
      <c r="X1774" s="8">
        <f ca="1">IFERROR(__xludf.DUMMYFUNCTION("""COMPUTED_VALUE"""),1)</f>
        <v>1</v>
      </c>
      <c r="Y1774" s="12" t="str">
        <f ca="1">IFERROR(__xludf.DUMMYFUNCTION("""COMPUTED_VALUE"""),"Robbery in school parking lot")</f>
        <v>Robbery in school parking lot</v>
      </c>
      <c r="Z1774" s="12" t="str">
        <f ca="1">IFERROR(__xludf.DUMMYFUNCTION("""COMPUTED_VALUE"""),"Three suspects attempted to rob the victim by luring him into a car parked on the school's parking lot. The victim was shot and ran to the school for help. The driver, who was the victim's ex-girlfriend, was later arrested along with one of the males.")</f>
        <v>Three suspects attempted to rob the victim by luring him into a car parked on the school's parking lot. The victim was shot and ran to the school for help. The driver, who was the victim's ex-girlfriend, was later arrested along with one of the males.</v>
      </c>
      <c r="AA1774" s="8" t="str">
        <f ca="1">IFERROR(__xludf.DUMMYFUNCTION("""COMPUTED_VALUE"""),"Illegal Activity")</f>
        <v>Illegal Activity</v>
      </c>
      <c r="AB1774" s="8"/>
      <c r="AC1774" s="8" t="str">
        <f ca="1">IFERROR(__xludf.DUMMYFUNCTION("""COMPUTED_VALUE"""),"No")</f>
        <v>No</v>
      </c>
      <c r="AD1774" s="8" t="str">
        <f ca="1">IFERROR(__xludf.DUMMYFUNCTION("""COMPUTED_VALUE"""),"Victims Targeted")</f>
        <v>Victims Targeted</v>
      </c>
      <c r="AE1774" s="8"/>
      <c r="AF1774" s="8"/>
      <c r="AG1774" s="8" t="str">
        <f ca="1">IFERROR(__xludf.DUMMYFUNCTION("""COMPUTED_VALUE"""),"No")</f>
        <v>No</v>
      </c>
      <c r="AH1774" s="8" t="str">
        <f ca="1">IFERROR(__xludf.DUMMYFUNCTION("""COMPUTED_VALUE"""),"No")</f>
        <v>No</v>
      </c>
      <c r="AI1774" s="8" t="str">
        <f ca="1">IFERROR(__xludf.DUMMYFUNCTION("""COMPUTED_VALUE"""),"No")</f>
        <v>No</v>
      </c>
      <c r="AJ1774" s="8"/>
      <c r="AK1774" s="8" t="str">
        <f ca="1">IFERROR(__xludf.DUMMYFUNCTION("""COMPUTED_VALUE"""),"No")</f>
        <v>No</v>
      </c>
      <c r="AL1774" s="8" t="str">
        <f ca="1">IFERROR(__xludf.DUMMYFUNCTION("""COMPUTED_VALUE"""),"No")</f>
        <v>No</v>
      </c>
      <c r="AM1774" s="8" t="str">
        <f ca="1">IFERROR(__xludf.DUMMYFUNCTION("""COMPUTED_VALUE"""),"No")</f>
        <v>No</v>
      </c>
      <c r="AN1774" s="8"/>
      <c r="AO1774" s="8" t="str">
        <f ca="1">IFERROR(__xludf.DUMMYFUNCTION("""COMPUTED_VALUE"""),"No")</f>
        <v>No</v>
      </c>
      <c r="AP1774" s="8"/>
      <c r="AQ1774" s="8" t="str">
        <f ca="1">IFERROR(__xludf.DUMMYFUNCTION("""COMPUTED_VALUE"""),"Unknown")</f>
        <v>Unknown</v>
      </c>
      <c r="AR1774" s="8" t="str">
        <f ca="1">IFERROR(__xludf.DUMMYFUNCTION("""COMPUTED_VALUE"""),"NA")</f>
        <v>NA</v>
      </c>
      <c r="AS1774" s="8">
        <f ca="1">IFERROR(__xludf.DUMMYFUNCTION("""COMPUTED_VALUE"""),1)</f>
        <v>1</v>
      </c>
      <c r="AT1774" s="8"/>
      <c r="AU1774" s="8">
        <f ca="1">IFERROR(__xludf.DUMMYFUNCTION("""COMPUTED_VALUE"""),38.79696)</f>
        <v>38.796959999999999</v>
      </c>
      <c r="AV1774" s="8">
        <f ca="1">IFERROR(__xludf.DUMMYFUNCTION("""COMPUTED_VALUE"""),-76.993582)</f>
        <v>-76.993582000000004</v>
      </c>
      <c r="AW1774" s="8"/>
      <c r="AX1774" s="8">
        <f ca="1">IFERROR(__xludf.DUMMYFUNCTION("""COMPUTED_VALUE"""),20745)</f>
        <v>20745</v>
      </c>
    </row>
    <row r="1775" spans="1:50" ht="75" x14ac:dyDescent="0.2">
      <c r="A1775" s="8" t="str">
        <f ca="1">IFERROR(__xludf.DUMMYFUNCTION("""COMPUTED_VALUE"""),"20180201CASAL")</f>
        <v>20180201CASAL</v>
      </c>
      <c r="B1775" s="8">
        <f ca="1">IFERROR(__xludf.DUMMYFUNCTION("""COMPUTED_VALUE"""),2)</f>
        <v>2</v>
      </c>
      <c r="C1775" s="8">
        <f ca="1">IFERROR(__xludf.DUMMYFUNCTION("""COMPUTED_VALUE"""),1)</f>
        <v>1</v>
      </c>
      <c r="D1775" s="8">
        <f ca="1">IFERROR(__xludf.DUMMYFUNCTION("""COMPUTED_VALUE"""),2018)</f>
        <v>2018</v>
      </c>
      <c r="E1775" s="9">
        <f ca="1">IFERROR(__xludf.DUMMYFUNCTION("""COMPUTED_VALUE"""),43132)</f>
        <v>43132</v>
      </c>
      <c r="F1775" s="8" t="str">
        <f ca="1">IFERROR(__xludf.DUMMYFUNCTION("""COMPUTED_VALUE"""),"Salvador B. Castro Middle School")</f>
        <v>Salvador B. Castro Middle School</v>
      </c>
      <c r="G1775" s="8">
        <f ca="1">IFERROR(__xludf.DUMMYFUNCTION("""COMPUTED_VALUE"""),0)</f>
        <v>0</v>
      </c>
      <c r="H1775" s="8">
        <f ca="1">IFERROR(__xludf.DUMMYFUNCTION("""COMPUTED_VALUE"""),2)</f>
        <v>2</v>
      </c>
      <c r="I1775" s="8">
        <f ca="1">IFERROR(__xludf.DUMMYFUNCTION("""COMPUTED_VALUE"""),2)</f>
        <v>2</v>
      </c>
      <c r="J1775" s="8">
        <f ca="1">IFERROR(__xludf.DUMMYFUNCTION("""COMPUTED_VALUE"""),0)</f>
        <v>0</v>
      </c>
      <c r="K1775" s="10" t="str">
        <f ca="1">IFERROR(__xludf.DUMMYFUNCTION("""COMPUTED_VALUE"""),"http://abc7.com/charges-filed-against-12-year-old-girl-in-westlake-school-shooting/3023846/")</f>
        <v>http://abc7.com/charges-filed-against-12-year-old-girl-in-westlake-school-shooting/3023846/</v>
      </c>
      <c r="L1775" s="8">
        <f ca="1">IFERROR(__xludf.DUMMYFUNCTION("""COMPUTED_VALUE"""),11)</f>
        <v>11</v>
      </c>
      <c r="M1775" s="8" t="str">
        <f ca="1">IFERROR(__xludf.DUMMYFUNCTION("""COMPUTED_VALUE"""),"Regional")</f>
        <v>Regional</v>
      </c>
      <c r="N1775" s="8">
        <f ca="1">IFERROR(__xludf.DUMMYFUNCTION("""COMPUTED_VALUE"""),4)</f>
        <v>4</v>
      </c>
      <c r="O1775" s="8" t="str">
        <f ca="1">IFERROR(__xludf.DUMMYFUNCTION("""COMPUTED_VALUE"""),"Winter")</f>
        <v>Winter</v>
      </c>
      <c r="P1775" s="8" t="str">
        <f ca="1">IFERROR(__xludf.DUMMYFUNCTION("""COMPUTED_VALUE"""),"Los Angeles")</f>
        <v>Los Angeles</v>
      </c>
      <c r="Q1775" s="8" t="str">
        <f ca="1">IFERROR(__xludf.DUMMYFUNCTION("""COMPUTED_VALUE"""),"CA")</f>
        <v>CA</v>
      </c>
      <c r="R1775" s="8" t="str">
        <f ca="1">IFERROR(__xludf.DUMMYFUNCTION("""COMPUTED_VALUE"""),"Middle")</f>
        <v>Middle</v>
      </c>
      <c r="S1775" s="8" t="str">
        <f ca="1">IFERROR(__xludf.DUMMYFUNCTION("""COMPUTED_VALUE"""),"Classroom")</f>
        <v>Classroom</v>
      </c>
      <c r="T1775" s="8" t="str">
        <f ca="1">IFERROR(__xludf.DUMMYFUNCTION("""COMPUTED_VALUE"""),"Inside School Building")</f>
        <v>Inside School Building</v>
      </c>
      <c r="U1775" s="8" t="str">
        <f ca="1">IFERROR(__xludf.DUMMYFUNCTION("""COMPUTED_VALUE"""),"Yes")</f>
        <v>Yes</v>
      </c>
      <c r="V1775" s="8" t="str">
        <f ca="1">IFERROR(__xludf.DUMMYFUNCTION("""COMPUTED_VALUE"""),"Morning Classes")</f>
        <v>Morning Classes</v>
      </c>
      <c r="W1775" s="11">
        <f ca="1">IFERROR(__xludf.DUMMYFUNCTION("""COMPUTED_VALUE"""),0.371527777777777)</f>
        <v>0.37152777777777701</v>
      </c>
      <c r="X1775" s="8">
        <f ca="1">IFERROR(__xludf.DUMMYFUNCTION("""COMPUTED_VALUE"""),1)</f>
        <v>1</v>
      </c>
      <c r="Y1775" s="12" t="str">
        <f ca="1">IFERROR(__xludf.DUMMYFUNCTION("""COMPUTED_VALUE"""),"Accidental Discharge Inside of Backpack; possible bullying")</f>
        <v>Accidental Discharge Inside of Backpack; possible bullying</v>
      </c>
      <c r="Z1775" s="12" t="str">
        <f ca="1">IFERROR(__xludf.DUMMYFUNCTION("""COMPUTED_VALUE"""),"Gun inside 12-year-old female student's backpack discharged inside the classroom striking two students. Two other students and a teacher suffered minor abrasions. Shooter may have been bullied and showed the gun off to other students that day.")</f>
        <v>Gun inside 12-year-old female student's backpack discharged inside the classroom striking two students. Two other students and a teacher suffered minor abrasions. Shooter may have been bullied and showed the gun off to other students that day.</v>
      </c>
      <c r="AA1775" s="8" t="str">
        <f ca="1">IFERROR(__xludf.DUMMYFUNCTION("""COMPUTED_VALUE"""),"Accidental")</f>
        <v>Accidental</v>
      </c>
      <c r="AB1775" s="8"/>
      <c r="AC1775" s="8" t="str">
        <f ca="1">IFERROR(__xludf.DUMMYFUNCTION("""COMPUTED_VALUE"""),"Yes")</f>
        <v>Yes</v>
      </c>
      <c r="AD1775" s="8" t="str">
        <f ca="1">IFERROR(__xludf.DUMMYFUNCTION("""COMPUTED_VALUE"""),"Random Shooting")</f>
        <v>Random Shooting</v>
      </c>
      <c r="AE1775" s="8" t="str">
        <f ca="1">IFERROR(__xludf.DUMMYFUNCTION("""COMPUTED_VALUE"""),"No")</f>
        <v>No</v>
      </c>
      <c r="AF1775" s="8"/>
      <c r="AG1775" s="8" t="str">
        <f ca="1">IFERROR(__xludf.DUMMYFUNCTION("""COMPUTED_VALUE"""),"No")</f>
        <v>No</v>
      </c>
      <c r="AH1775" s="8" t="str">
        <f ca="1">IFERROR(__xludf.DUMMYFUNCTION("""COMPUTED_VALUE"""),"No")</f>
        <v>No</v>
      </c>
      <c r="AI1775" s="8" t="str">
        <f ca="1">IFERROR(__xludf.DUMMYFUNCTION("""COMPUTED_VALUE"""),"No")</f>
        <v>No</v>
      </c>
      <c r="AJ1775" s="8" t="str">
        <f ca="1">IFERROR(__xludf.DUMMYFUNCTION("""COMPUTED_VALUE"""),"Yes")</f>
        <v>Yes</v>
      </c>
      <c r="AK1775" s="8" t="str">
        <f ca="1">IFERROR(__xludf.DUMMYFUNCTION("""COMPUTED_VALUE"""),"No")</f>
        <v>No</v>
      </c>
      <c r="AL1775" s="8" t="str">
        <f ca="1">IFERROR(__xludf.DUMMYFUNCTION("""COMPUTED_VALUE"""),"No")</f>
        <v>No</v>
      </c>
      <c r="AM1775" s="8" t="str">
        <f ca="1">IFERROR(__xludf.DUMMYFUNCTION("""COMPUTED_VALUE"""),"No")</f>
        <v>No</v>
      </c>
      <c r="AN1775" s="8"/>
      <c r="AO1775" s="8" t="str">
        <f ca="1">IFERROR(__xludf.DUMMYFUNCTION("""COMPUTED_VALUE"""),"No")</f>
        <v>No</v>
      </c>
      <c r="AP1775" s="8" t="str">
        <f ca="1">IFERROR(__xludf.DUMMYFUNCTION("""COMPUTED_VALUE"""),"No")</f>
        <v>No</v>
      </c>
      <c r="AQ1775" s="8" t="str">
        <f ca="1">IFERROR(__xludf.DUMMYFUNCTION("""COMPUTED_VALUE"""),"Metal Detectors Bypassed")</f>
        <v>Metal Detectors Bypassed</v>
      </c>
      <c r="AR1775" s="8" t="str">
        <f ca="1">IFERROR(__xludf.DUMMYFUNCTION("""COMPUTED_VALUE"""),"Bypassed")</f>
        <v>Bypassed</v>
      </c>
      <c r="AS1775" s="8">
        <f ca="1">IFERROR(__xludf.DUMMYFUNCTION("""COMPUTED_VALUE"""),1)</f>
        <v>1</v>
      </c>
      <c r="AT1775" s="8" t="str">
        <f ca="1">IFERROR(__xludf.DUMMYFUNCTION("""COMPUTED_VALUE"""),"Yes")</f>
        <v>Yes</v>
      </c>
      <c r="AU1775" s="8">
        <f ca="1">IFERROR(__xludf.DUMMYFUNCTION("""COMPUTED_VALUE"""),34.061477)</f>
        <v>34.061476999999996</v>
      </c>
      <c r="AV1775" s="8">
        <f ca="1">IFERROR(__xludf.DUMMYFUNCTION("""COMPUTED_VALUE"""),-118.263142)</f>
        <v>-118.263142</v>
      </c>
      <c r="AW1775" s="8"/>
      <c r="AX1775" s="8">
        <f ca="1">IFERROR(__xludf.DUMMYFUNCTION("""COMPUTED_VALUE"""),90026)</f>
        <v>90026</v>
      </c>
    </row>
    <row r="1776" spans="1:50" ht="60" x14ac:dyDescent="0.2">
      <c r="A1776" s="8" t="str">
        <f ca="1">IFERROR(__xludf.DUMMYFUNCTION("""COMPUTED_VALUE"""),"20180131PALIP")</f>
        <v>20180131PALIP</v>
      </c>
      <c r="B1776" s="8">
        <f ca="1">IFERROR(__xludf.DUMMYFUNCTION("""COMPUTED_VALUE"""),1)</f>
        <v>1</v>
      </c>
      <c r="C1776" s="8">
        <f ca="1">IFERROR(__xludf.DUMMYFUNCTION("""COMPUTED_VALUE"""),31)</f>
        <v>31</v>
      </c>
      <c r="D1776" s="8">
        <f ca="1">IFERROR(__xludf.DUMMYFUNCTION("""COMPUTED_VALUE"""),2018)</f>
        <v>2018</v>
      </c>
      <c r="E1776" s="9">
        <f ca="1">IFERROR(__xludf.DUMMYFUNCTION("""COMPUTED_VALUE"""),43131)</f>
        <v>43131</v>
      </c>
      <c r="F1776" s="8" t="str">
        <f ca="1">IFERROR(__xludf.DUMMYFUNCTION("""COMPUTED_VALUE"""),"Lincoln High School")</f>
        <v>Lincoln High School</v>
      </c>
      <c r="G1776" s="8">
        <f ca="1">IFERROR(__xludf.DUMMYFUNCTION("""COMPUTED_VALUE"""),1)</f>
        <v>1</v>
      </c>
      <c r="H1776" s="8">
        <f ca="1">IFERROR(__xludf.DUMMYFUNCTION("""COMPUTED_VALUE"""),0)</f>
        <v>0</v>
      </c>
      <c r="I1776" s="8">
        <f ca="1">IFERROR(__xludf.DUMMYFUNCTION("""COMPUTED_VALUE"""),1)</f>
        <v>1</v>
      </c>
      <c r="J1776" s="8">
        <f ca="1">IFERROR(__xludf.DUMMYFUNCTION("""COMPUTED_VALUE"""),0)</f>
        <v>0</v>
      </c>
      <c r="K1776" s="10" t="str">
        <f ca="1">IFERROR(__xludf.DUMMYFUNCTION("""COMPUTED_VALUE"""),"http://6abc.com/man-32-killed-outside-lincoln-high-school-in-mayfair-idd/3013312/")</f>
        <v>http://6abc.com/man-32-killed-outside-lincoln-high-school-in-mayfair-idd/3013312/</v>
      </c>
      <c r="L1776" s="8">
        <f ca="1">IFERROR(__xludf.DUMMYFUNCTION("""COMPUTED_VALUE"""),5)</f>
        <v>5</v>
      </c>
      <c r="M1776" s="8" t="str">
        <f ca="1">IFERROR(__xludf.DUMMYFUNCTION("""COMPUTED_VALUE"""),"Local")</f>
        <v>Local</v>
      </c>
      <c r="N1776" s="8">
        <f ca="1">IFERROR(__xludf.DUMMYFUNCTION("""COMPUTED_VALUE"""),2)</f>
        <v>2</v>
      </c>
      <c r="O1776" s="8" t="str">
        <f ca="1">IFERROR(__xludf.DUMMYFUNCTION("""COMPUTED_VALUE"""),"Winter")</f>
        <v>Winter</v>
      </c>
      <c r="P1776" s="8" t="str">
        <f ca="1">IFERROR(__xludf.DUMMYFUNCTION("""COMPUTED_VALUE"""),"Philadelphia")</f>
        <v>Philadelphia</v>
      </c>
      <c r="Q1776" s="8" t="str">
        <f ca="1">IFERROR(__xludf.DUMMYFUNCTION("""COMPUTED_VALUE"""),"PA")</f>
        <v>PA</v>
      </c>
      <c r="R1776" s="8" t="str">
        <f ca="1">IFERROR(__xludf.DUMMYFUNCTION("""COMPUTED_VALUE"""),"High")</f>
        <v>High</v>
      </c>
      <c r="S1776" s="8" t="str">
        <f ca="1">IFERROR(__xludf.DUMMYFUNCTION("""COMPUTED_VALUE"""),"Parking Lot")</f>
        <v>Parking Lot</v>
      </c>
      <c r="T1776" s="8" t="str">
        <f ca="1">IFERROR(__xludf.DUMMYFUNCTION("""COMPUTED_VALUE"""),"Outside on School Property")</f>
        <v>Outside on School Property</v>
      </c>
      <c r="U1776" s="8" t="str">
        <f ca="1">IFERROR(__xludf.DUMMYFUNCTION("""COMPUTED_VALUE"""),"No")</f>
        <v>No</v>
      </c>
      <c r="V1776" s="8" t="str">
        <f ca="1">IFERROR(__xludf.DUMMYFUNCTION("""COMPUTED_VALUE"""),"Sport Event")</f>
        <v>Sport Event</v>
      </c>
      <c r="W1776" s="11">
        <f ca="1">IFERROR(__xludf.DUMMYFUNCTION("""COMPUTED_VALUE"""),0.660416666666666)</f>
        <v>0.66041666666666599</v>
      </c>
      <c r="X1776" s="8">
        <f ca="1">IFERROR(__xludf.DUMMYFUNCTION("""COMPUTED_VALUE"""),1)</f>
        <v>1</v>
      </c>
      <c r="Y1776" s="12" t="str">
        <f ca="1">IFERROR(__xludf.DUMMYFUNCTION("""COMPUTED_VALUE"""),"Fight in parking lot after basketball game")</f>
        <v>Fight in parking lot after basketball game</v>
      </c>
      <c r="Z1776" s="12" t="str">
        <f ca="1">IFERROR(__xludf.DUMMYFUNCTION("""COMPUTED_VALUE"""),"Large fight in parking lot following basketball game between rival schools. Shots were fired from at least 3 different weapons. 32 year old male not involved in the fights was struck and killed. No suspects identified.")</f>
        <v>Large fight in parking lot following basketball game between rival schools. Shots were fired from at least 3 different weapons. 32 year old male not involved in the fights was struck and killed. No suspects identified.</v>
      </c>
      <c r="AA1776" s="8" t="str">
        <f ca="1">IFERROR(__xludf.DUMMYFUNCTION("""COMPUTED_VALUE"""),"Escalation of Dispute")</f>
        <v>Escalation of Dispute</v>
      </c>
      <c r="AB1776" s="8"/>
      <c r="AC1776" s="8" t="str">
        <f ca="1">IFERROR(__xludf.DUMMYFUNCTION("""COMPUTED_VALUE"""),"Yes")</f>
        <v>Yes</v>
      </c>
      <c r="AD1776" s="8" t="str">
        <f ca="1">IFERROR(__xludf.DUMMYFUNCTION("""COMPUTED_VALUE"""),"Random Shooting")</f>
        <v>Random Shooting</v>
      </c>
      <c r="AE1776" s="8"/>
      <c r="AF1776" s="8"/>
      <c r="AG1776" s="8" t="str">
        <f ca="1">IFERROR(__xludf.DUMMYFUNCTION("""COMPUTED_VALUE"""),"No")</f>
        <v>No</v>
      </c>
      <c r="AH1776" s="8" t="str">
        <f ca="1">IFERROR(__xludf.DUMMYFUNCTION("""COMPUTED_VALUE"""),"No")</f>
        <v>No</v>
      </c>
      <c r="AI1776" s="8" t="str">
        <f ca="1">IFERROR(__xludf.DUMMYFUNCTION("""COMPUTED_VALUE"""),"No")</f>
        <v>No</v>
      </c>
      <c r="AJ1776" s="8"/>
      <c r="AK1776" s="8" t="str">
        <f ca="1">IFERROR(__xludf.DUMMYFUNCTION("""COMPUTED_VALUE"""),"No")</f>
        <v>No</v>
      </c>
      <c r="AL1776" s="8" t="str">
        <f ca="1">IFERROR(__xludf.DUMMYFUNCTION("""COMPUTED_VALUE"""),"Yes")</f>
        <v>Yes</v>
      </c>
      <c r="AM1776" s="8" t="str">
        <f ca="1">IFERROR(__xludf.DUMMYFUNCTION("""COMPUTED_VALUE"""),"No")</f>
        <v>No</v>
      </c>
      <c r="AN1776" s="8"/>
      <c r="AO1776" s="8" t="str">
        <f ca="1">IFERROR(__xludf.DUMMYFUNCTION("""COMPUTED_VALUE"""),"No")</f>
        <v>No</v>
      </c>
      <c r="AP1776" s="8"/>
      <c r="AQ1776" s="8" t="str">
        <f ca="1">IFERROR(__xludf.DUMMYFUNCTION("""COMPUTED_VALUE"""),"Unknown")</f>
        <v>Unknown</v>
      </c>
      <c r="AR1776" s="8" t="str">
        <f ca="1">IFERROR(__xludf.DUMMYFUNCTION("""COMPUTED_VALUE"""),"NA")</f>
        <v>NA</v>
      </c>
      <c r="AS1776" s="8"/>
      <c r="AT1776" s="8"/>
      <c r="AU1776" s="8">
        <f ca="1">IFERROR(__xludf.DUMMYFUNCTION("""COMPUTED_VALUE"""),40.044122)</f>
        <v>40.044122000000002</v>
      </c>
      <c r="AV1776" s="8">
        <f ca="1">IFERROR(__xludf.DUMMYFUNCTION("""COMPUTED_VALUE"""),-75.04217)</f>
        <v>-75.042169999999999</v>
      </c>
      <c r="AW1776" s="8"/>
      <c r="AX1776" s="8">
        <f ca="1">IFERROR(__xludf.DUMMYFUNCTION("""COMPUTED_VALUE"""),19136)</f>
        <v>19136</v>
      </c>
    </row>
    <row r="1777" spans="1:50" ht="60" x14ac:dyDescent="0.2">
      <c r="A1777" s="8" t="str">
        <f ca="1">IFERROR(__xludf.DUMMYFUNCTION("""COMPUTED_VALUE"""),"20180126MIDED")</f>
        <v>20180126MIDED</v>
      </c>
      <c r="B1777" s="8">
        <f ca="1">IFERROR(__xludf.DUMMYFUNCTION("""COMPUTED_VALUE"""),1)</f>
        <v>1</v>
      </c>
      <c r="C1777" s="8">
        <f ca="1">IFERROR(__xludf.DUMMYFUNCTION("""COMPUTED_VALUE"""),26)</f>
        <v>26</v>
      </c>
      <c r="D1777" s="8">
        <f ca="1">IFERROR(__xludf.DUMMYFUNCTION("""COMPUTED_VALUE"""),2018)</f>
        <v>2018</v>
      </c>
      <c r="E1777" s="9">
        <f ca="1">IFERROR(__xludf.DUMMYFUNCTION("""COMPUTED_VALUE"""),43126)</f>
        <v>43126</v>
      </c>
      <c r="F1777" s="8" t="str">
        <f ca="1">IFERROR(__xludf.DUMMYFUNCTION("""COMPUTED_VALUE"""),"Dearborn High School")</f>
        <v>Dearborn High School</v>
      </c>
      <c r="G1777" s="8">
        <f ca="1">IFERROR(__xludf.DUMMYFUNCTION("""COMPUTED_VALUE"""),0)</f>
        <v>0</v>
      </c>
      <c r="H1777" s="8">
        <f ca="1">IFERROR(__xludf.DUMMYFUNCTION("""COMPUTED_VALUE"""),0)</f>
        <v>0</v>
      </c>
      <c r="I1777" s="8">
        <f ca="1">IFERROR(__xludf.DUMMYFUNCTION("""COMPUTED_VALUE"""),0)</f>
        <v>0</v>
      </c>
      <c r="J1777" s="8">
        <f ca="1">IFERROR(__xludf.DUMMYFUNCTION("""COMPUTED_VALUE"""),0)</f>
        <v>0</v>
      </c>
      <c r="K1777" s="10" t="str">
        <f ca="1">IFERROR(__xludf.DUMMYFUNCTION("""COMPUTED_VALUE"""),"https://www.freep.com/story/news/local/michigan/wayne/2018/01/27/dearborn-high-school-shooting/1071836001/")</f>
        <v>https://www.freep.com/story/news/local/michigan/wayne/2018/01/27/dearborn-high-school-shooting/1071836001/</v>
      </c>
      <c r="L1777" s="8"/>
      <c r="M1777" s="8"/>
      <c r="N1777" s="8">
        <f ca="1">IFERROR(__xludf.DUMMYFUNCTION("""COMPUTED_VALUE"""),2)</f>
        <v>2</v>
      </c>
      <c r="O1777" s="8" t="str">
        <f ca="1">IFERROR(__xludf.DUMMYFUNCTION("""COMPUTED_VALUE"""),"Winter")</f>
        <v>Winter</v>
      </c>
      <c r="P1777" s="8" t="str">
        <f ca="1">IFERROR(__xludf.DUMMYFUNCTION("""COMPUTED_VALUE"""),"Dearborn")</f>
        <v>Dearborn</v>
      </c>
      <c r="Q1777" s="8" t="str">
        <f ca="1">IFERROR(__xludf.DUMMYFUNCTION("""COMPUTED_VALUE"""),"MI")</f>
        <v>MI</v>
      </c>
      <c r="R1777" s="8" t="str">
        <f ca="1">IFERROR(__xludf.DUMMYFUNCTION("""COMPUTED_VALUE"""),"High")</f>
        <v>High</v>
      </c>
      <c r="S1777" s="8" t="str">
        <f ca="1">IFERROR(__xludf.DUMMYFUNCTION("""COMPUTED_VALUE"""),"Parking Lot")</f>
        <v>Parking Lot</v>
      </c>
      <c r="T1777" s="8" t="str">
        <f ca="1">IFERROR(__xludf.DUMMYFUNCTION("""COMPUTED_VALUE"""),"Outside on School Property")</f>
        <v>Outside on School Property</v>
      </c>
      <c r="U1777" s="8" t="str">
        <f ca="1">IFERROR(__xludf.DUMMYFUNCTION("""COMPUTED_VALUE"""),"No")</f>
        <v>No</v>
      </c>
      <c r="V1777" s="8" t="str">
        <f ca="1">IFERROR(__xludf.DUMMYFUNCTION("""COMPUTED_VALUE"""),"Sport Event")</f>
        <v>Sport Event</v>
      </c>
      <c r="W1777" s="11">
        <f ca="1">IFERROR(__xludf.DUMMYFUNCTION("""COMPUTED_VALUE"""),0.833333333333333)</f>
        <v>0.83333333333333304</v>
      </c>
      <c r="X1777" s="8">
        <f ca="1">IFERROR(__xludf.DUMMYFUNCTION("""COMPUTED_VALUE"""),1)</f>
        <v>1</v>
      </c>
      <c r="Y1777" s="12" t="str">
        <f ca="1">IFERROR(__xludf.DUMMYFUNCTION("""COMPUTED_VALUE"""),"Fight in the hallway between students resulted in shooting in the parking lot")</f>
        <v>Fight in the hallway between students resulted in shooting in the parking lot</v>
      </c>
      <c r="Z1777" s="12" t="str">
        <f ca="1">IFERROR(__xludf.DUMMYFUNCTION("""COMPUTED_VALUE"""),"Fight in the hallway of the school during a basketball game. Fight involved students from two different schools. Shots were fired later in the parking lot but no one was injured. Unknown suspect.")</f>
        <v>Fight in the hallway of the school during a basketball game. Fight involved students from two different schools. Shots were fired later in the parking lot but no one was injured. Unknown suspect.</v>
      </c>
      <c r="AA1777" s="8" t="str">
        <f ca="1">IFERROR(__xludf.DUMMYFUNCTION("""COMPUTED_VALUE"""),"Escalation of Dispute")</f>
        <v>Escalation of Dispute</v>
      </c>
      <c r="AB1777" s="8"/>
      <c r="AC1777" s="8" t="str">
        <f ca="1">IFERROR(__xludf.DUMMYFUNCTION("""COMPUTED_VALUE"""),"Yes")</f>
        <v>Yes</v>
      </c>
      <c r="AD1777" s="8"/>
      <c r="AE1777" s="8" t="str">
        <f ca="1">IFERROR(__xludf.DUMMYFUNCTION("""COMPUTED_VALUE"""),"Yes")</f>
        <v>Yes</v>
      </c>
      <c r="AF1777" s="8" t="str">
        <f ca="1">IFERROR(__xludf.DUMMYFUNCTION("""COMPUTED_VALUE"""),"Group of students")</f>
        <v>Group of students</v>
      </c>
      <c r="AG1777" s="8" t="str">
        <f ca="1">IFERROR(__xludf.DUMMYFUNCTION("""COMPUTED_VALUE"""),"No")</f>
        <v>No</v>
      </c>
      <c r="AH1777" s="8" t="str">
        <f ca="1">IFERROR(__xludf.DUMMYFUNCTION("""COMPUTED_VALUE"""),"No")</f>
        <v>No</v>
      </c>
      <c r="AI1777" s="8" t="str">
        <f ca="1">IFERROR(__xludf.DUMMYFUNCTION("""COMPUTED_VALUE"""),"No")</f>
        <v>No</v>
      </c>
      <c r="AJ1777" s="8" t="str">
        <f ca="1">IFERROR(__xludf.DUMMYFUNCTION("""COMPUTED_VALUE"""),"No")</f>
        <v>No</v>
      </c>
      <c r="AK1777" s="8" t="str">
        <f ca="1">IFERROR(__xludf.DUMMYFUNCTION("""COMPUTED_VALUE"""),"No")</f>
        <v>No</v>
      </c>
      <c r="AL1777" s="8" t="str">
        <f ca="1">IFERROR(__xludf.DUMMYFUNCTION("""COMPUTED_VALUE"""),"Yes")</f>
        <v>Yes</v>
      </c>
      <c r="AM1777" s="8" t="str">
        <f ca="1">IFERROR(__xludf.DUMMYFUNCTION("""COMPUTED_VALUE"""),"No")</f>
        <v>No</v>
      </c>
      <c r="AN1777" s="8"/>
      <c r="AO1777" s="8" t="str">
        <f ca="1">IFERROR(__xludf.DUMMYFUNCTION("""COMPUTED_VALUE"""),"No")</f>
        <v>No</v>
      </c>
      <c r="AP1777" s="8"/>
      <c r="AQ1777" s="8" t="str">
        <f ca="1">IFERROR(__xludf.DUMMYFUNCTION("""COMPUTED_VALUE"""),"Unknown")</f>
        <v>Unknown</v>
      </c>
      <c r="AR1777" s="8" t="str">
        <f ca="1">IFERROR(__xludf.DUMMYFUNCTION("""COMPUTED_VALUE"""),"NA")</f>
        <v>NA</v>
      </c>
      <c r="AS1777" s="8"/>
      <c r="AT1777" s="8"/>
      <c r="AU1777" s="8">
        <f ca="1">IFERROR(__xludf.DUMMYFUNCTION("""COMPUTED_VALUE"""),42.308502)</f>
        <v>42.308501999999997</v>
      </c>
      <c r="AV1777" s="8">
        <f ca="1">IFERROR(__xludf.DUMMYFUNCTION("""COMPUTED_VALUE"""),-83.261915)</f>
        <v>-83.261915000000002</v>
      </c>
      <c r="AW1777" s="8"/>
      <c r="AX1777" s="8">
        <f ca="1">IFERROR(__xludf.DUMMYFUNCTION("""COMPUTED_VALUE"""),48124)</f>
        <v>48124</v>
      </c>
    </row>
    <row r="1778" spans="1:50" ht="105" x14ac:dyDescent="0.2">
      <c r="A1778" s="8" t="str">
        <f ca="1">IFERROR(__xludf.DUMMYFUNCTION("""COMPUTED_VALUE"""),"20180125ALMUM")</f>
        <v>20180125ALMUM</v>
      </c>
      <c r="B1778" s="8">
        <f ca="1">IFERROR(__xludf.DUMMYFUNCTION("""COMPUTED_VALUE"""),1)</f>
        <v>1</v>
      </c>
      <c r="C1778" s="8">
        <f ca="1">IFERROR(__xludf.DUMMYFUNCTION("""COMPUTED_VALUE"""),25)</f>
        <v>25</v>
      </c>
      <c r="D1778" s="8">
        <f ca="1">IFERROR(__xludf.DUMMYFUNCTION("""COMPUTED_VALUE"""),2018)</f>
        <v>2018</v>
      </c>
      <c r="E1778" s="9">
        <f ca="1">IFERROR(__xludf.DUMMYFUNCTION("""COMPUTED_VALUE"""),43125)</f>
        <v>43125</v>
      </c>
      <c r="F1778" s="8" t="str">
        <f ca="1">IFERROR(__xludf.DUMMYFUNCTION("""COMPUTED_VALUE"""),"Murphy High School")</f>
        <v>Murphy High School</v>
      </c>
      <c r="G1778" s="8">
        <f ca="1">IFERROR(__xludf.DUMMYFUNCTION("""COMPUTED_VALUE"""),0)</f>
        <v>0</v>
      </c>
      <c r="H1778" s="8">
        <f ca="1">IFERROR(__xludf.DUMMYFUNCTION("""COMPUTED_VALUE"""),0)</f>
        <v>0</v>
      </c>
      <c r="I1778" s="8">
        <f ca="1">IFERROR(__xludf.DUMMYFUNCTION("""COMPUTED_VALUE"""),0)</f>
        <v>0</v>
      </c>
      <c r="J1778" s="8">
        <f ca="1">IFERROR(__xludf.DUMMYFUNCTION("""COMPUTED_VALUE"""),0)</f>
        <v>0</v>
      </c>
      <c r="K1778" s="10" t="str">
        <f ca="1">IFERROR(__xludf.DUMMYFUNCTION("""COMPUTED_VALUE"""),"https://lagniappemobile.com/police-student-fired-weapon-indiscriminately-campus/")</f>
        <v>https://lagniappemobile.com/police-student-fired-weapon-indiscriminately-campus/</v>
      </c>
      <c r="L1778" s="8">
        <f ca="1">IFERROR(__xludf.DUMMYFUNCTION("""COMPUTED_VALUE"""),5)</f>
        <v>5</v>
      </c>
      <c r="M1778" s="8" t="str">
        <f ca="1">IFERROR(__xludf.DUMMYFUNCTION("""COMPUTED_VALUE"""),"Local")</f>
        <v>Local</v>
      </c>
      <c r="N1778" s="8">
        <f ca="1">IFERROR(__xludf.DUMMYFUNCTION("""COMPUTED_VALUE"""),2)</f>
        <v>2</v>
      </c>
      <c r="O1778" s="8" t="str">
        <f ca="1">IFERROR(__xludf.DUMMYFUNCTION("""COMPUTED_VALUE"""),"Winter")</f>
        <v>Winter</v>
      </c>
      <c r="P1778" s="8" t="str">
        <f ca="1">IFERROR(__xludf.DUMMYFUNCTION("""COMPUTED_VALUE"""),"Mobile")</f>
        <v>Mobile</v>
      </c>
      <c r="Q1778" s="8" t="str">
        <f ca="1">IFERROR(__xludf.DUMMYFUNCTION("""COMPUTED_VALUE"""),"AL")</f>
        <v>AL</v>
      </c>
      <c r="R1778" s="8" t="str">
        <f ca="1">IFERROR(__xludf.DUMMYFUNCTION("""COMPUTED_VALUE"""),"High")</f>
        <v>High</v>
      </c>
      <c r="S1778" s="8" t="str">
        <f ca="1">IFERROR(__xludf.DUMMYFUNCTION("""COMPUTED_VALUE"""),"Beside Building")</f>
        <v>Beside Building</v>
      </c>
      <c r="T1778" s="8" t="str">
        <f ca="1">IFERROR(__xludf.DUMMYFUNCTION("""COMPUTED_VALUE"""),"Outside on School Property")</f>
        <v>Outside on School Property</v>
      </c>
      <c r="U1778" s="8" t="str">
        <f ca="1">IFERROR(__xludf.DUMMYFUNCTION("""COMPUTED_VALUE"""),"Yes")</f>
        <v>Yes</v>
      </c>
      <c r="V1778" s="8" t="str">
        <f ca="1">IFERROR(__xludf.DUMMYFUNCTION("""COMPUTED_VALUE"""),"Morning Classes")</f>
        <v>Morning Classes</v>
      </c>
      <c r="W1778" s="11">
        <f ca="1">IFERROR(__xludf.DUMMYFUNCTION("""COMPUTED_VALUE"""),0.472222222222222)</f>
        <v>0.47222222222222199</v>
      </c>
      <c r="X1778" s="8">
        <f ca="1">IFERROR(__xludf.DUMMYFUNCTION("""COMPUTED_VALUE"""),1)</f>
        <v>1</v>
      </c>
      <c r="Y1778" s="12" t="str">
        <f ca="1">IFERROR(__xludf.DUMMYFUNCTION("""COMPUTED_VALUE"""),"Argument escalated")</f>
        <v>Argument escalated</v>
      </c>
      <c r="Z1778" s="12" t="str">
        <f ca="1">IFERROR(__xludf.DUMMYFUNCTION("""COMPUTED_VALUE"""),"An altercation between 2 students escalated, shooter pulled a gun and pointed it at the other student and members of the staff, who were trying to calm him down. Shooter went outside and shot several shots in the air. School principal also engaged the sho"&amp;"oter, who was arrested shortly after. School went on lockdown immediately after the shots were fired. No one was hurt.")</f>
        <v>An altercation between 2 students escalated, shooter pulled a gun and pointed it at the other student and members of the staff, who were trying to calm him down. Shooter went outside and shot several shots in the air. School principal also engaged the shooter, who was arrested shortly after. School went on lockdown immediately after the shots were fired. No one was hurt.</v>
      </c>
      <c r="AA1778" s="8" t="str">
        <f ca="1">IFERROR(__xludf.DUMMYFUNCTION("""COMPUTED_VALUE"""),"Escalation of Dispute")</f>
        <v>Escalation of Dispute</v>
      </c>
      <c r="AB1778" s="8"/>
      <c r="AC1778" s="8" t="str">
        <f ca="1">IFERROR(__xludf.DUMMYFUNCTION("""COMPUTED_VALUE"""),"Yes")</f>
        <v>Yes</v>
      </c>
      <c r="AD1778" s="8" t="str">
        <f ca="1">IFERROR(__xludf.DUMMYFUNCTION("""COMPUTED_VALUE"""),"Victims Targeted")</f>
        <v>Victims Targeted</v>
      </c>
      <c r="AE1778" s="8" t="str">
        <f ca="1">IFERROR(__xludf.DUMMYFUNCTION("""COMPUTED_VALUE"""),"No")</f>
        <v>No</v>
      </c>
      <c r="AF1778" s="8"/>
      <c r="AG1778" s="8" t="str">
        <f ca="1">IFERROR(__xludf.DUMMYFUNCTION("""COMPUTED_VALUE"""),"No")</f>
        <v>No</v>
      </c>
      <c r="AH1778" s="8" t="str">
        <f ca="1">IFERROR(__xludf.DUMMYFUNCTION("""COMPUTED_VALUE"""),"No")</f>
        <v>No</v>
      </c>
      <c r="AI1778" s="8" t="str">
        <f ca="1">IFERROR(__xludf.DUMMYFUNCTION("""COMPUTED_VALUE"""),"No")</f>
        <v>No</v>
      </c>
      <c r="AJ1778" s="8"/>
      <c r="AK1778" s="8" t="str">
        <f ca="1">IFERROR(__xludf.DUMMYFUNCTION("""COMPUTED_VALUE"""),"No")</f>
        <v>No</v>
      </c>
      <c r="AL1778" s="8" t="str">
        <f ca="1">IFERROR(__xludf.DUMMYFUNCTION("""COMPUTED_VALUE"""),"No")</f>
        <v>No</v>
      </c>
      <c r="AM1778" s="8" t="str">
        <f ca="1">IFERROR(__xludf.DUMMYFUNCTION("""COMPUTED_VALUE"""),"No")</f>
        <v>No</v>
      </c>
      <c r="AN1778" s="8"/>
      <c r="AO1778" s="8" t="str">
        <f ca="1">IFERROR(__xludf.DUMMYFUNCTION("""COMPUTED_VALUE"""),"No")</f>
        <v>No</v>
      </c>
      <c r="AP1778" s="8" t="str">
        <f ca="1">IFERROR(__xludf.DUMMYFUNCTION("""COMPUTED_VALUE"""),"Yes")</f>
        <v>Yes</v>
      </c>
      <c r="AQ1778" s="8" t="str">
        <f ca="1">IFERROR(__xludf.DUMMYFUNCTION("""COMPUTED_VALUE"""),"Metal Detectors Bypassed")</f>
        <v>Metal Detectors Bypassed</v>
      </c>
      <c r="AR1778" s="8" t="str">
        <f ca="1">IFERROR(__xludf.DUMMYFUNCTION("""COMPUTED_VALUE"""),"Bypassed")</f>
        <v>Bypassed</v>
      </c>
      <c r="AS1778" s="8"/>
      <c r="AT1778" s="8" t="str">
        <f ca="1">IFERROR(__xludf.DUMMYFUNCTION("""COMPUTED_VALUE"""),"Yes")</f>
        <v>Yes</v>
      </c>
      <c r="AU1778" s="8">
        <f ca="1">IFERROR(__xludf.DUMMYFUNCTION("""COMPUTED_VALUE"""),30.6828)</f>
        <v>30.6828</v>
      </c>
      <c r="AV1778" s="8">
        <f ca="1">IFERROR(__xludf.DUMMYFUNCTION("""COMPUTED_VALUE"""),-88.0867)</f>
        <v>-88.086699999999993</v>
      </c>
      <c r="AW1778" s="8"/>
      <c r="AX1778" s="8">
        <f ca="1">IFERROR(__xludf.DUMMYFUNCTION("""COMPUTED_VALUE"""),36606)</f>
        <v>36606</v>
      </c>
    </row>
    <row r="1779" spans="1:50" ht="150" x14ac:dyDescent="0.2">
      <c r="A1779" s="8" t="str">
        <f ca="1">IFERROR(__xludf.DUMMYFUNCTION("""COMPUTED_VALUE"""),"20180123KYMAB")</f>
        <v>20180123KYMAB</v>
      </c>
      <c r="B1779" s="8">
        <f ca="1">IFERROR(__xludf.DUMMYFUNCTION("""COMPUTED_VALUE"""),1)</f>
        <v>1</v>
      </c>
      <c r="C1779" s="8">
        <f ca="1">IFERROR(__xludf.DUMMYFUNCTION("""COMPUTED_VALUE"""),23)</f>
        <v>23</v>
      </c>
      <c r="D1779" s="8">
        <f ca="1">IFERROR(__xludf.DUMMYFUNCTION("""COMPUTED_VALUE"""),2018)</f>
        <v>2018</v>
      </c>
      <c r="E1779" s="9">
        <f ca="1">IFERROR(__xludf.DUMMYFUNCTION("""COMPUTED_VALUE"""),43123)</f>
        <v>43123</v>
      </c>
      <c r="F1779" s="8" t="str">
        <f ca="1">IFERROR(__xludf.DUMMYFUNCTION("""COMPUTED_VALUE"""),"Marshall County High School")</f>
        <v>Marshall County High School</v>
      </c>
      <c r="G1779" s="8">
        <f ca="1">IFERROR(__xludf.DUMMYFUNCTION("""COMPUTED_VALUE"""),2)</f>
        <v>2</v>
      </c>
      <c r="H1779" s="8">
        <f ca="1">IFERROR(__xludf.DUMMYFUNCTION("""COMPUTED_VALUE"""),18)</f>
        <v>18</v>
      </c>
      <c r="I1779" s="8">
        <f ca="1">IFERROR(__xludf.DUMMYFUNCTION("""COMPUTED_VALUE"""),20)</f>
        <v>20</v>
      </c>
      <c r="J1779" s="8">
        <f ca="1">IFERROR(__xludf.DUMMYFUNCTION("""COMPUTED_VALUE"""),0)</f>
        <v>0</v>
      </c>
      <c r="K1779" s="8" t="str">
        <f ca="1">IFERROR(__xludf.DUMMYFUNCTION("""COMPUTED_VALUE"""),"https://www.courier-journal.com/story/news/local/2018/03/07/marshall-county-school-shooting-gabe-parker-experiment-motive/403035002/ http://wkms.org/post/search-warrants-reveal-details-about-accused-marshall-co-high-school-shooter https://www.courier-jour"&amp;"nal.com/story/news/crime/2019/07/18/marshall-county-school-shooting-suspects-statements-to-police-could-be-thrown-out/1767777001/ https://www.messenger-inquirer.com/news/marshall-county-superintendent-recounts-high-school-shooting/article_57101679-76c8-53"&amp;"e8-90a1-83ce8cd9d1a2.html https://www.wpsdlocal6.com/marshall-county-high-school-shooter-pleads-guilty/article_4b63a58e-8a01-11ea-ae85-fb3abffe24b7.html")</f>
        <v>https://www.courier-journal.com/story/news/local/2018/03/07/marshall-county-school-shooting-gabe-parker-experiment-motive/403035002/ http://wkms.org/post/search-warrants-reveal-details-about-accused-marshall-co-high-school-shooter https://www.courier-journal.com/story/news/crime/2019/07/18/marshall-county-school-shooting-suspects-statements-to-police-could-be-thrown-out/1767777001/ https://www.messenger-inquirer.com/news/marshall-county-superintendent-recounts-high-school-shooting/article_57101679-76c8-53e8-90a1-83ce8cd9d1a2.html https://www.wpsdlocal6.com/marshall-county-high-school-shooter-pleads-guilty/article_4b63a58e-8a01-11ea-ae85-fb3abffe24b7.html</v>
      </c>
      <c r="L1779" s="8">
        <f ca="1">IFERROR(__xludf.DUMMYFUNCTION("""COMPUTED_VALUE"""),11)</f>
        <v>11</v>
      </c>
      <c r="M1779" s="8" t="str">
        <f ca="1">IFERROR(__xludf.DUMMYFUNCTION("""COMPUTED_VALUE"""),"National")</f>
        <v>National</v>
      </c>
      <c r="N1779" s="8">
        <f ca="1">IFERROR(__xludf.DUMMYFUNCTION("""COMPUTED_VALUE"""),4)</f>
        <v>4</v>
      </c>
      <c r="O1779" s="8" t="str">
        <f ca="1">IFERROR(__xludf.DUMMYFUNCTION("""COMPUTED_VALUE"""),"Winter")</f>
        <v>Winter</v>
      </c>
      <c r="P1779" s="8" t="str">
        <f ca="1">IFERROR(__xludf.DUMMYFUNCTION("""COMPUTED_VALUE"""),"Benton")</f>
        <v>Benton</v>
      </c>
      <c r="Q1779" s="8" t="str">
        <f ca="1">IFERROR(__xludf.DUMMYFUNCTION("""COMPUTED_VALUE"""),"KY")</f>
        <v>KY</v>
      </c>
      <c r="R1779" s="8" t="str">
        <f ca="1">IFERROR(__xludf.DUMMYFUNCTION("""COMPUTED_VALUE"""),"High")</f>
        <v>High</v>
      </c>
      <c r="S1779" s="8" t="str">
        <f ca="1">IFERROR(__xludf.DUMMYFUNCTION("""COMPUTED_VALUE"""),"Hallway")</f>
        <v>Hallway</v>
      </c>
      <c r="T1779" s="8" t="str">
        <f ca="1">IFERROR(__xludf.DUMMYFUNCTION("""COMPUTED_VALUE"""),"Inside School Building")</f>
        <v>Inside School Building</v>
      </c>
      <c r="U1779" s="8" t="str">
        <f ca="1">IFERROR(__xludf.DUMMYFUNCTION("""COMPUTED_VALUE"""),"Yes")</f>
        <v>Yes</v>
      </c>
      <c r="V1779" s="8" t="str">
        <f ca="1">IFERROR(__xludf.DUMMYFUNCTION("""COMPUTED_VALUE"""),"School Start")</f>
        <v>School Start</v>
      </c>
      <c r="W1779" s="11">
        <f ca="1">IFERROR(__xludf.DUMMYFUNCTION("""COMPUTED_VALUE"""),0.33125)</f>
        <v>0.33124999999999999</v>
      </c>
      <c r="X1779" s="8">
        <f ca="1">IFERROR(__xludf.DUMMYFUNCTION("""COMPUTED_VALUE"""),3)</f>
        <v>3</v>
      </c>
      <c r="Y1779" s="12" t="str">
        <f ca="1">IFERROR(__xludf.DUMMYFUNCTION("""COMPUTED_VALUE"""),"Planned attack. Shooting was science experiment to see how people reacted; belief human life has no purpose.")</f>
        <v>Planned attack. Shooting was science experiment to see how people reacted; belief human life has no purpose.</v>
      </c>
      <c r="Z1779" s="12" t="str">
        <f ca="1">IFERROR(__xludf.DUMMYFUNCTION("""COMPUTED_VALUE"""),"Shooter brought a gun, 2 mags, and a hunting knife to school to defend self from students after he ran out of bullets. Started shooting inside the building.Told police he had been thinking about shooting for week. After he stopped shooting, heevacuated wi"&amp;"th the other students then surrendered without fighting. Thought about suicide but didn't want additional trauma to his family. Played games related to WW2. Interested in science and thought of the shooting as an experiment to test reactions, and was curi"&amp;"ous about prison life. Step-sister claims he was bullied.")</f>
        <v>Shooter brought a gun, 2 mags, and a hunting knife to school to defend self from students after he ran out of bullets. Started shooting inside the building.Told police he had been thinking about shooting for week. After he stopped shooting, heevacuated with the other students then surrendered without fighting. Thought about suicide but didn't want additional trauma to his family. Played games related to WW2. Interested in science and thought of the shooting as an experiment to test reactions, and was curious about prison life. Step-sister claims he was bullied.</v>
      </c>
      <c r="AA1779" s="8" t="str">
        <f ca="1">IFERROR(__xludf.DUMMYFUNCTION("""COMPUTED_VALUE"""),"Indiscriminate Shooting")</f>
        <v>Indiscriminate Shooting</v>
      </c>
      <c r="AB1779" s="8"/>
      <c r="AC1779" s="8" t="str">
        <f ca="1">IFERROR(__xludf.DUMMYFUNCTION("""COMPUTED_VALUE"""),"Yes")</f>
        <v>Yes</v>
      </c>
      <c r="AD1779" s="8" t="str">
        <f ca="1">IFERROR(__xludf.DUMMYFUNCTION("""COMPUTED_VALUE"""),"Random Shooting")</f>
        <v>Random Shooting</v>
      </c>
      <c r="AE1779" s="8" t="str">
        <f ca="1">IFERROR(__xludf.DUMMYFUNCTION("""COMPUTED_VALUE"""),"No")</f>
        <v>No</v>
      </c>
      <c r="AF1779" s="8"/>
      <c r="AG1779" s="8" t="str">
        <f ca="1">IFERROR(__xludf.DUMMYFUNCTION("""COMPUTED_VALUE"""),"No")</f>
        <v>No</v>
      </c>
      <c r="AH1779" s="8" t="str">
        <f ca="1">IFERROR(__xludf.DUMMYFUNCTION("""COMPUTED_VALUE"""),"No")</f>
        <v>No</v>
      </c>
      <c r="AI1779" s="8" t="str">
        <f ca="1">IFERROR(__xludf.DUMMYFUNCTION("""COMPUTED_VALUE"""),"No")</f>
        <v>No</v>
      </c>
      <c r="AJ1779" s="8"/>
      <c r="AK1779" s="8" t="str">
        <f ca="1">IFERROR(__xludf.DUMMYFUNCTION("""COMPUTED_VALUE"""),"No")</f>
        <v>No</v>
      </c>
      <c r="AL1779" s="8" t="str">
        <f ca="1">IFERROR(__xludf.DUMMYFUNCTION("""COMPUTED_VALUE"""),"No")</f>
        <v>No</v>
      </c>
      <c r="AM1779" s="8" t="str">
        <f ca="1">IFERROR(__xludf.DUMMYFUNCTION("""COMPUTED_VALUE"""),"Yes")</f>
        <v>Yes</v>
      </c>
      <c r="AN1779" s="8" t="str">
        <f ca="1">IFERROR(__xludf.DUMMYFUNCTION("""COMPUTED_VALUE"""),"Hallway")</f>
        <v>Hallway</v>
      </c>
      <c r="AO1779" s="8" t="str">
        <f ca="1">IFERROR(__xludf.DUMMYFUNCTION("""COMPUTED_VALUE"""),"Yes")</f>
        <v>Yes</v>
      </c>
      <c r="AP1779" s="8" t="str">
        <f ca="1">IFERROR(__xludf.DUMMYFUNCTION("""COMPUTED_VALUE"""),"Yes")</f>
        <v>Yes</v>
      </c>
      <c r="AQ1779" s="8" t="str">
        <f ca="1">IFERROR(__xludf.DUMMYFUNCTION("""COMPUTED_VALUE"""),"Unknown")</f>
        <v>Unknown</v>
      </c>
      <c r="AR1779" s="8" t="str">
        <f ca="1">IFERROR(__xludf.DUMMYFUNCTION("""COMPUTED_VALUE"""),"NA")</f>
        <v>NA</v>
      </c>
      <c r="AS1779" s="8"/>
      <c r="AT1779" s="8"/>
      <c r="AU1779" s="8">
        <f ca="1">IFERROR(__xludf.DUMMYFUNCTION("""COMPUTED_VALUE"""),36.912835)</f>
        <v>36.912835000000001</v>
      </c>
      <c r="AV1779" s="8">
        <f ca="1">IFERROR(__xludf.DUMMYFUNCTION("""COMPUTED_VALUE"""),-88.332917)</f>
        <v>-88.332916999999995</v>
      </c>
      <c r="AW1779" s="8"/>
      <c r="AX1779" s="8">
        <f ca="1">IFERROR(__xludf.DUMMYFUNCTION("""COMPUTED_VALUE"""),42025)</f>
        <v>42025</v>
      </c>
    </row>
    <row r="1780" spans="1:50" ht="195" x14ac:dyDescent="0.2">
      <c r="A1780" s="8" t="str">
        <f ca="1">IFERROR(__xludf.DUMMYFUNCTION("""COMPUTED_VALUE"""),"20180122TXITI")</f>
        <v>20180122TXITI</v>
      </c>
      <c r="B1780" s="8">
        <f ca="1">IFERROR(__xludf.DUMMYFUNCTION("""COMPUTED_VALUE"""),1)</f>
        <v>1</v>
      </c>
      <c r="C1780" s="8">
        <f ca="1">IFERROR(__xludf.DUMMYFUNCTION("""COMPUTED_VALUE"""),22)</f>
        <v>22</v>
      </c>
      <c r="D1780" s="8">
        <f ca="1">IFERROR(__xludf.DUMMYFUNCTION("""COMPUTED_VALUE"""),2018)</f>
        <v>2018</v>
      </c>
      <c r="E1780" s="9">
        <f ca="1">IFERROR(__xludf.DUMMYFUNCTION("""COMPUTED_VALUE"""),43122)</f>
        <v>43122</v>
      </c>
      <c r="F1780" s="8" t="str">
        <f ca="1">IFERROR(__xludf.DUMMYFUNCTION("""COMPUTED_VALUE"""),"Italy High School")</f>
        <v>Italy High School</v>
      </c>
      <c r="G1780" s="8">
        <f ca="1">IFERROR(__xludf.DUMMYFUNCTION("""COMPUTED_VALUE"""),0)</f>
        <v>0</v>
      </c>
      <c r="H1780" s="8">
        <f ca="1">IFERROR(__xludf.DUMMYFUNCTION("""COMPUTED_VALUE"""),1)</f>
        <v>1</v>
      </c>
      <c r="I1780" s="8">
        <f ca="1">IFERROR(__xludf.DUMMYFUNCTION("""COMPUTED_VALUE"""),1)</f>
        <v>1</v>
      </c>
      <c r="J1780" s="8">
        <f ca="1">IFERROR(__xludf.DUMMYFUNCTION("""COMPUTED_VALUE"""),0)</f>
        <v>0</v>
      </c>
      <c r="K1780" s="8" t="str">
        <f ca="1">IFERROR(__xludf.DUMMYFUNCTION("""COMPUTED_VALUE"""),"https://www.nbcnews.com/news/us-news/texas-teen-charged-assault-italy-high-school-shooting-n840301 https://www.kxan.com/news/texas/texas-teen-sentenced-for-school-shooting-that-wounded-girl/ https://dfw.cbslocal.com/2019/06/24/italy-high-school-shooting-v"&amp;"ictim-to-chad-padilla-i-see-you-everywhere-i-see-you-killing-me/ https://www.wfaa.com/article/news/crime/italy-school-shooting-town-talks-of-trouble-in-suspects-past/287-510451160")</f>
        <v>https://www.nbcnews.com/news/us-news/texas-teen-charged-assault-italy-high-school-shooting-n840301 https://www.kxan.com/news/texas/texas-teen-sentenced-for-school-shooting-that-wounded-girl/ https://dfw.cbslocal.com/2019/06/24/italy-high-school-shooting-victim-to-chad-padilla-i-see-you-everywhere-i-see-you-killing-me/ https://www.wfaa.com/article/news/crime/italy-school-shooting-town-talks-of-trouble-in-suspects-past/287-510451160</v>
      </c>
      <c r="L1780" s="8">
        <f ca="1">IFERROR(__xludf.DUMMYFUNCTION("""COMPUTED_VALUE"""),11)</f>
        <v>11</v>
      </c>
      <c r="M1780" s="8" t="str">
        <f ca="1">IFERROR(__xludf.DUMMYFUNCTION("""COMPUTED_VALUE"""),"National")</f>
        <v>National</v>
      </c>
      <c r="N1780" s="8">
        <f ca="1">IFERROR(__xludf.DUMMYFUNCTION("""COMPUTED_VALUE"""),4)</f>
        <v>4</v>
      </c>
      <c r="O1780" s="8" t="str">
        <f ca="1">IFERROR(__xludf.DUMMYFUNCTION("""COMPUTED_VALUE"""),"Winter")</f>
        <v>Winter</v>
      </c>
      <c r="P1780" s="8" t="str">
        <f ca="1">IFERROR(__xludf.DUMMYFUNCTION("""COMPUTED_VALUE"""),"Italy")</f>
        <v>Italy</v>
      </c>
      <c r="Q1780" s="8" t="str">
        <f ca="1">IFERROR(__xludf.DUMMYFUNCTION("""COMPUTED_VALUE"""),"TX")</f>
        <v>TX</v>
      </c>
      <c r="R1780" s="8" t="str">
        <f ca="1">IFERROR(__xludf.DUMMYFUNCTION("""COMPUTED_VALUE"""),"High")</f>
        <v>High</v>
      </c>
      <c r="S1780" s="8" t="str">
        <f ca="1">IFERROR(__xludf.DUMMYFUNCTION("""COMPUTED_VALUE"""),"Cafeteria")</f>
        <v>Cafeteria</v>
      </c>
      <c r="T1780" s="8" t="str">
        <f ca="1">IFERROR(__xludf.DUMMYFUNCTION("""COMPUTED_VALUE"""),"Inside School Building")</f>
        <v>Inside School Building</v>
      </c>
      <c r="U1780" s="8" t="str">
        <f ca="1">IFERROR(__xludf.DUMMYFUNCTION("""COMPUTED_VALUE"""),"Yes")</f>
        <v>Yes</v>
      </c>
      <c r="V1780" s="8" t="str">
        <f ca="1">IFERROR(__xludf.DUMMYFUNCTION("""COMPUTED_VALUE"""),"Before School")</f>
        <v>Before School</v>
      </c>
      <c r="W1780" s="11">
        <f ca="1">IFERROR(__xludf.DUMMYFUNCTION("""COMPUTED_VALUE"""),0.328472222222222)</f>
        <v>0.328472222222222</v>
      </c>
      <c r="X1780" s="8">
        <f ca="1">IFERROR(__xludf.DUMMYFUNCTION("""COMPUTED_VALUE"""),1)</f>
        <v>1</v>
      </c>
      <c r="Y1780" s="12" t="str">
        <f ca="1">IFERROR(__xludf.DUMMYFUNCTION("""COMPUTED_VALUE"""),"Shot ex-girlfriend after break-up")</f>
        <v>Shot ex-girlfriend after break-up</v>
      </c>
      <c r="Z1780" s="12" t="str">
        <f ca="1">IFERROR(__xludf.DUMMYFUNCTION("""COMPUTED_VALUE"""),"Shooter wore a black trench coat and fired multiple shots at the victim in the cafeteria. Shooter was confronted by a school employee and fled. Had violent past episodes in school and other students described the shooter as violent. Victims parents notifi"&amp;"ed the school that the shooter had attempted to attack the victim with scissors. Shooter had previously written a hit list that was found by school officials. Break-up likely contributed to the shooting.  In court, the victim said she had hugged the shoot"&amp;"er, asked him to sit and told him he appeared angry. She said that’s when he drew back, told her, “Sorry it had to end this way,” and shot her repeatedly. Students said they had reported problems with the shooter to school officials before the shooting.")</f>
        <v>Shooter wore a black trench coat and fired multiple shots at the victim in the cafeteria. Shooter was confronted by a school employee and fled. Had violent past episodes in school and other students described the shooter as violent. Victims parents notified the school that the shooter had attempted to attack the victim with scissors. Shooter had previously written a hit list that was found by school officials. Break-up likely contributed to the shooting.  In court, the victim said she had hugged the shooter, asked him to sit and told him he appeared angry. She said that’s when he drew back, told her, “Sorry it had to end this way,” and shot her repeatedly. Students said they had reported problems with the shooter to school officials before the shooting.</v>
      </c>
      <c r="AA1780" s="8" t="str">
        <f ca="1">IFERROR(__xludf.DUMMYFUNCTION("""COMPUTED_VALUE"""),"Domestic w/ Targeted Victim")</f>
        <v>Domestic w/ Targeted Victim</v>
      </c>
      <c r="AB1780" s="8"/>
      <c r="AC1780" s="8" t="str">
        <f ca="1">IFERROR(__xludf.DUMMYFUNCTION("""COMPUTED_VALUE"""),"Yes")</f>
        <v>Yes</v>
      </c>
      <c r="AD1780" s="8" t="str">
        <f ca="1">IFERROR(__xludf.DUMMYFUNCTION("""COMPUTED_VALUE"""),"Victims Targeted")</f>
        <v>Victims Targeted</v>
      </c>
      <c r="AE1780" s="8" t="str">
        <f ca="1">IFERROR(__xludf.DUMMYFUNCTION("""COMPUTED_VALUE"""),"No")</f>
        <v>No</v>
      </c>
      <c r="AF1780" s="8"/>
      <c r="AG1780" s="8" t="str">
        <f ca="1">IFERROR(__xludf.DUMMYFUNCTION("""COMPUTED_VALUE"""),"No")</f>
        <v>No</v>
      </c>
      <c r="AH1780" s="8" t="str">
        <f ca="1">IFERROR(__xludf.DUMMYFUNCTION("""COMPUTED_VALUE"""),"No")</f>
        <v>No</v>
      </c>
      <c r="AI1780" s="8" t="str">
        <f ca="1">IFERROR(__xludf.DUMMYFUNCTION("""COMPUTED_VALUE"""),"No")</f>
        <v>No</v>
      </c>
      <c r="AJ1780" s="8" t="str">
        <f ca="1">IFERROR(__xludf.DUMMYFUNCTION("""COMPUTED_VALUE"""),"No")</f>
        <v>No</v>
      </c>
      <c r="AK1780" s="8" t="str">
        <f ca="1">IFERROR(__xludf.DUMMYFUNCTION("""COMPUTED_VALUE"""),"Yes")</f>
        <v>Yes</v>
      </c>
      <c r="AL1780" s="8" t="str">
        <f ca="1">IFERROR(__xludf.DUMMYFUNCTION("""COMPUTED_VALUE"""),"No")</f>
        <v>No</v>
      </c>
      <c r="AM1780" s="8" t="str">
        <f ca="1">IFERROR(__xludf.DUMMYFUNCTION("""COMPUTED_VALUE"""),"Yes")</f>
        <v>Yes</v>
      </c>
      <c r="AN1780" s="8" t="str">
        <f ca="1">IFERROR(__xludf.DUMMYFUNCTION("""COMPUTED_VALUE"""),"Single Room")</f>
        <v>Single Room</v>
      </c>
      <c r="AO1780" s="8" t="str">
        <f ca="1">IFERROR(__xludf.DUMMYFUNCTION("""COMPUTED_VALUE"""),"Yes")</f>
        <v>Yes</v>
      </c>
      <c r="AP1780" s="8" t="str">
        <f ca="1">IFERROR(__xludf.DUMMYFUNCTION("""COMPUTED_VALUE"""),"No")</f>
        <v>No</v>
      </c>
      <c r="AQ1780" s="8" t="str">
        <f ca="1">IFERROR(__xludf.DUMMYFUNCTION("""COMPUTED_VALUE"""),"None")</f>
        <v>None</v>
      </c>
      <c r="AR1780" s="8" t="str">
        <f ca="1">IFERROR(__xludf.DUMMYFUNCTION("""COMPUTED_VALUE"""),"NA")</f>
        <v>NA</v>
      </c>
      <c r="AS1780" s="8"/>
      <c r="AT1780" s="8" t="str">
        <f ca="1">IFERROR(__xludf.DUMMYFUNCTION("""COMPUTED_VALUE"""),"Yes")</f>
        <v>Yes</v>
      </c>
      <c r="AU1780" s="8">
        <f ca="1">IFERROR(__xludf.DUMMYFUNCTION("""COMPUTED_VALUE"""),32.181129)</f>
        <v>32.181128999999999</v>
      </c>
      <c r="AV1780" s="8">
        <f ca="1">IFERROR(__xludf.DUMMYFUNCTION("""COMPUTED_VALUE"""),-96.878968)</f>
        <v>-96.878968</v>
      </c>
      <c r="AW1780" s="8"/>
      <c r="AX1780" s="8">
        <f ca="1">IFERROR(__xludf.DUMMYFUNCTION("""COMPUTED_VALUE"""),76651)</f>
        <v>76651</v>
      </c>
    </row>
    <row r="1781" spans="1:50" ht="105" x14ac:dyDescent="0.2">
      <c r="A1781" s="8" t="str">
        <f ca="1">IFERROR(__xludf.DUMMYFUNCTION("""COMPUTED_VALUE"""),"20180122LANEN")</f>
        <v>20180122LANEN</v>
      </c>
      <c r="B1781" s="8">
        <f ca="1">IFERROR(__xludf.DUMMYFUNCTION("""COMPUTED_VALUE"""),1)</f>
        <v>1</v>
      </c>
      <c r="C1781" s="8">
        <f ca="1">IFERROR(__xludf.DUMMYFUNCTION("""COMPUTED_VALUE"""),22)</f>
        <v>22</v>
      </c>
      <c r="D1781" s="8">
        <f ca="1">IFERROR(__xludf.DUMMYFUNCTION("""COMPUTED_VALUE"""),2018)</f>
        <v>2018</v>
      </c>
      <c r="E1781" s="9">
        <f ca="1">IFERROR(__xludf.DUMMYFUNCTION("""COMPUTED_VALUE"""),43122)</f>
        <v>43122</v>
      </c>
      <c r="F1781" s="8" t="str">
        <f ca="1">IFERROR(__xludf.DUMMYFUNCTION("""COMPUTED_VALUE"""),"NET Charter High School")</f>
        <v>NET Charter High School</v>
      </c>
      <c r="G1781" s="8">
        <f ca="1">IFERROR(__xludf.DUMMYFUNCTION("""COMPUTED_VALUE"""),0)</f>
        <v>0</v>
      </c>
      <c r="H1781" s="8">
        <f ca="1">IFERROR(__xludf.DUMMYFUNCTION("""COMPUTED_VALUE"""),0)</f>
        <v>0</v>
      </c>
      <c r="I1781" s="8">
        <f ca="1">IFERROR(__xludf.DUMMYFUNCTION("""COMPUTED_VALUE"""),0)</f>
        <v>0</v>
      </c>
      <c r="J1781" s="8">
        <f ca="1">IFERROR(__xludf.DUMMYFUNCTION("""COMPUTED_VALUE"""),0)</f>
        <v>0</v>
      </c>
      <c r="K1781" s="10" t="str">
        <f ca="1">IFERROR(__xludf.DUMMYFUNCTION("""COMPUTED_VALUE"""),"http://www.nola.com/crime/index.ssf/2018/02/how_many_school_shootings_2018.html")</f>
        <v>http://www.nola.com/crime/index.ssf/2018/02/how_many_school_shootings_2018.html</v>
      </c>
      <c r="L1781" s="8">
        <f ca="1">IFERROR(__xludf.DUMMYFUNCTION("""COMPUTED_VALUE"""),5)</f>
        <v>5</v>
      </c>
      <c r="M1781" s="8" t="str">
        <f ca="1">IFERROR(__xludf.DUMMYFUNCTION("""COMPUTED_VALUE"""),"Local")</f>
        <v>Local</v>
      </c>
      <c r="N1781" s="8">
        <f ca="1">IFERROR(__xludf.DUMMYFUNCTION("""COMPUTED_VALUE"""),2)</f>
        <v>2</v>
      </c>
      <c r="O1781" s="8" t="str">
        <f ca="1">IFERROR(__xludf.DUMMYFUNCTION("""COMPUTED_VALUE"""),"Winter")</f>
        <v>Winter</v>
      </c>
      <c r="P1781" s="8" t="str">
        <f ca="1">IFERROR(__xludf.DUMMYFUNCTION("""COMPUTED_VALUE"""),"New Orleans")</f>
        <v>New Orleans</v>
      </c>
      <c r="Q1781" s="8" t="str">
        <f ca="1">IFERROR(__xludf.DUMMYFUNCTION("""COMPUTED_VALUE"""),"LA")</f>
        <v>LA</v>
      </c>
      <c r="R1781" s="8" t="str">
        <f ca="1">IFERROR(__xludf.DUMMYFUNCTION("""COMPUTED_VALUE"""),"High")</f>
        <v>High</v>
      </c>
      <c r="S1781" s="8" t="str">
        <f ca="1">IFERROR(__xludf.DUMMYFUNCTION("""COMPUTED_VALUE"""),"Front of School")</f>
        <v>Front of School</v>
      </c>
      <c r="T1781" s="8" t="str">
        <f ca="1">IFERROR(__xludf.DUMMYFUNCTION("""COMPUTED_VALUE"""),"Outside on School Property")</f>
        <v>Outside on School Property</v>
      </c>
      <c r="U1781" s="8" t="str">
        <f ca="1">IFERROR(__xludf.DUMMYFUNCTION("""COMPUTED_VALUE"""),"Yes")</f>
        <v>Yes</v>
      </c>
      <c r="V1781" s="8" t="str">
        <f ca="1">IFERROR(__xludf.DUMMYFUNCTION("""COMPUTED_VALUE"""),"Afternoon Classes")</f>
        <v>Afternoon Classes</v>
      </c>
      <c r="W1781" s="11">
        <f ca="1">IFERROR(__xludf.DUMMYFUNCTION("""COMPUTED_VALUE"""),0.5625)</f>
        <v>0.5625</v>
      </c>
      <c r="X1781" s="8">
        <f ca="1">IFERROR(__xludf.DUMMYFUNCTION("""COMPUTED_VALUE"""),1)</f>
        <v>1</v>
      </c>
      <c r="Y1781" s="12" t="str">
        <f ca="1">IFERROR(__xludf.DUMMYFUNCTION("""COMPUTED_VALUE"""),"Drive-by shooting in front of school")</f>
        <v>Drive-by shooting in front of school</v>
      </c>
      <c r="Z1781" s="12" t="str">
        <f ca="1">IFERROR(__xludf.DUMMYFUNCTION("""COMPUTED_VALUE"""),"Drive-by shooting. Occupant of a pickup truck fired at a group of students outside the school. None were injured from the shooting, one student had superficial abrasions. Police reported it was likely gang related. One student tested positive for gunpowde"&amp;"r residue but his involvement was not confirmed; another student had ammo and was arrested.")</f>
        <v>Drive-by shooting. Occupant of a pickup truck fired at a group of students outside the school. None were injured from the shooting, one student had superficial abrasions. Police reported it was likely gang related. One student tested positive for gunpowder residue but his involvement was not confirmed; another student had ammo and was arrested.</v>
      </c>
      <c r="AA1781" s="8" t="str">
        <f ca="1">IFERROR(__xludf.DUMMYFUNCTION("""COMPUTED_VALUE"""),"Drive-by Shooting")</f>
        <v>Drive-by Shooting</v>
      </c>
      <c r="AB1781" s="8"/>
      <c r="AC1781" s="8" t="str">
        <f ca="1">IFERROR(__xludf.DUMMYFUNCTION("""COMPUTED_VALUE"""),"Yes")</f>
        <v>Yes</v>
      </c>
      <c r="AD1781" s="8" t="str">
        <f ca="1">IFERROR(__xludf.DUMMYFUNCTION("""COMPUTED_VALUE"""),"Victims Targeted")</f>
        <v>Victims Targeted</v>
      </c>
      <c r="AE1781" s="8"/>
      <c r="AF1781" s="8"/>
      <c r="AG1781" s="8" t="str">
        <f ca="1">IFERROR(__xludf.DUMMYFUNCTION("""COMPUTED_VALUE"""),"No")</f>
        <v>No</v>
      </c>
      <c r="AH1781" s="8" t="str">
        <f ca="1">IFERROR(__xludf.DUMMYFUNCTION("""COMPUTED_VALUE"""),"No")</f>
        <v>No</v>
      </c>
      <c r="AI1781" s="8" t="str">
        <f ca="1">IFERROR(__xludf.DUMMYFUNCTION("""COMPUTED_VALUE"""),"No")</f>
        <v>No</v>
      </c>
      <c r="AJ1781" s="8" t="str">
        <f ca="1">IFERROR(__xludf.DUMMYFUNCTION("""COMPUTED_VALUE"""),"No")</f>
        <v>No</v>
      </c>
      <c r="AK1781" s="8" t="str">
        <f ca="1">IFERROR(__xludf.DUMMYFUNCTION("""COMPUTED_VALUE"""),"No")</f>
        <v>No</v>
      </c>
      <c r="AL1781" s="8" t="str">
        <f ca="1">IFERROR(__xludf.DUMMYFUNCTION("""COMPUTED_VALUE"""),"Yes")</f>
        <v>Yes</v>
      </c>
      <c r="AM1781" s="8" t="str">
        <f ca="1">IFERROR(__xludf.DUMMYFUNCTION("""COMPUTED_VALUE"""),"No")</f>
        <v>No</v>
      </c>
      <c r="AN1781" s="8"/>
      <c r="AO1781" s="8" t="str">
        <f ca="1">IFERROR(__xludf.DUMMYFUNCTION("""COMPUTED_VALUE"""),"No")</f>
        <v>No</v>
      </c>
      <c r="AP1781" s="8" t="str">
        <f ca="1">IFERROR(__xludf.DUMMYFUNCTION("""COMPUTED_VALUE"""),"No")</f>
        <v>No</v>
      </c>
      <c r="AQ1781" s="8" t="str">
        <f ca="1">IFERROR(__xludf.DUMMYFUNCTION("""COMPUTED_VALUE"""),"Unknown")</f>
        <v>Unknown</v>
      </c>
      <c r="AR1781" s="8" t="str">
        <f ca="1">IFERROR(__xludf.DUMMYFUNCTION("""COMPUTED_VALUE"""),"NA")</f>
        <v>NA</v>
      </c>
      <c r="AS1781" s="8"/>
      <c r="AT1781" s="8" t="str">
        <f ca="1">IFERROR(__xludf.DUMMYFUNCTION("""COMPUTED_VALUE"""),"Yes")</f>
        <v>Yes</v>
      </c>
      <c r="AU1781" s="8">
        <f ca="1">IFERROR(__xludf.DUMMYFUNCTION("""COMPUTED_VALUE"""),29.93996)</f>
        <v>29.939959999999999</v>
      </c>
      <c r="AV1781" s="8">
        <f ca="1">IFERROR(__xludf.DUMMYFUNCTION("""COMPUTED_VALUE"""),-90.079691)</f>
        <v>-90.079690999999997</v>
      </c>
      <c r="AW1781" s="8"/>
      <c r="AX1781" s="8">
        <f ca="1">IFERROR(__xludf.DUMMYFUNCTION("""COMPUTED_VALUE"""),70113)</f>
        <v>70113</v>
      </c>
    </row>
    <row r="1782" spans="1:50" ht="60" x14ac:dyDescent="0.2">
      <c r="A1782" s="8" t="str">
        <f ca="1">IFERROR(__xludf.DUMMYFUNCTION("""COMPUTED_VALUE"""),"20180116VTMOM")</f>
        <v>20180116VTMOM</v>
      </c>
      <c r="B1782" s="8">
        <f ca="1">IFERROR(__xludf.DUMMYFUNCTION("""COMPUTED_VALUE"""),1)</f>
        <v>1</v>
      </c>
      <c r="C1782" s="8">
        <f ca="1">IFERROR(__xludf.DUMMYFUNCTION("""COMPUTED_VALUE"""),16)</f>
        <v>16</v>
      </c>
      <c r="D1782" s="8">
        <f ca="1">IFERROR(__xludf.DUMMYFUNCTION("""COMPUTED_VALUE"""),2018)</f>
        <v>2018</v>
      </c>
      <c r="E1782" s="9">
        <f ca="1">IFERROR(__xludf.DUMMYFUNCTION("""COMPUTED_VALUE"""),43116)</f>
        <v>43116</v>
      </c>
      <c r="F1782" s="8" t="str">
        <f ca="1">IFERROR(__xludf.DUMMYFUNCTION("""COMPUTED_VALUE"""),"Montpelier High School")</f>
        <v>Montpelier High School</v>
      </c>
      <c r="G1782" s="8">
        <f ca="1">IFERROR(__xludf.DUMMYFUNCTION("""COMPUTED_VALUE"""),0)</f>
        <v>0</v>
      </c>
      <c r="H1782" s="8">
        <f ca="1">IFERROR(__xludf.DUMMYFUNCTION("""COMPUTED_VALUE"""),0)</f>
        <v>0</v>
      </c>
      <c r="I1782" s="8">
        <f ca="1">IFERROR(__xludf.DUMMYFUNCTION("""COMPUTED_VALUE"""),0)</f>
        <v>0</v>
      </c>
      <c r="J1782" s="8">
        <f ca="1">IFERROR(__xludf.DUMMYFUNCTION("""COMPUTED_VALUE"""),1)</f>
        <v>1</v>
      </c>
      <c r="K1782" s="8" t="str">
        <f ca="1">IFERROR(__xludf.DUMMYFUNCTION("""COMPUTED_VALUE"""),"https://www.burlingtonfreepress.com/videos/news/2018/04/18/new-video-montpelier-fatal-police-shooting/530435002/ https://vtdigger.org/2018/01/16/armed-robbery-vermont-state-employees-credit-union-ends-standoff-montpelier-high-school/")</f>
        <v>https://www.burlingtonfreepress.com/videos/news/2018/04/18/new-video-montpelier-fatal-police-shooting/530435002/ https://vtdigger.org/2018/01/16/armed-robbery-vermont-state-employees-credit-union-ends-standoff-montpelier-high-school/</v>
      </c>
      <c r="L1782" s="8"/>
      <c r="M1782" s="8"/>
      <c r="N1782" s="8">
        <f ca="1">IFERROR(__xludf.DUMMYFUNCTION("""COMPUTED_VALUE"""),4)</f>
        <v>4</v>
      </c>
      <c r="O1782" s="8" t="str">
        <f ca="1">IFERROR(__xludf.DUMMYFUNCTION("""COMPUTED_VALUE"""),"Winter")</f>
        <v>Winter</v>
      </c>
      <c r="P1782" s="8" t="str">
        <f ca="1">IFERROR(__xludf.DUMMYFUNCTION("""COMPUTED_VALUE"""),"Montpelier")</f>
        <v>Montpelier</v>
      </c>
      <c r="Q1782" s="8" t="str">
        <f ca="1">IFERROR(__xludf.DUMMYFUNCTION("""COMPUTED_VALUE"""),"VT")</f>
        <v>VT</v>
      </c>
      <c r="R1782" s="8" t="str">
        <f ca="1">IFERROR(__xludf.DUMMYFUNCTION("""COMPUTED_VALUE"""),"High")</f>
        <v>High</v>
      </c>
      <c r="S1782" s="8" t="str">
        <f ca="1">IFERROR(__xludf.DUMMYFUNCTION("""COMPUTED_VALUE"""),"Outside on School Property")</f>
        <v>Outside on School Property</v>
      </c>
      <c r="T1782" s="8" t="str">
        <f ca="1">IFERROR(__xludf.DUMMYFUNCTION("""COMPUTED_VALUE"""),"Outside on School Property")</f>
        <v>Outside on School Property</v>
      </c>
      <c r="U1782" s="8" t="str">
        <f ca="1">IFERROR(__xludf.DUMMYFUNCTION("""COMPUTED_VALUE"""),"Yes")</f>
        <v>Yes</v>
      </c>
      <c r="V1782" s="8" t="str">
        <f ca="1">IFERROR(__xludf.DUMMYFUNCTION("""COMPUTED_VALUE"""),"Morning Classes")</f>
        <v>Morning Classes</v>
      </c>
      <c r="W1782" s="11">
        <f ca="1">IFERROR(__xludf.DUMMYFUNCTION("""COMPUTED_VALUE"""),0.395833333333333)</f>
        <v>0.39583333333333298</v>
      </c>
      <c r="X1782" s="8">
        <f ca="1">IFERROR(__xludf.DUMMYFUNCTION("""COMPUTED_VALUE"""),4)</f>
        <v>4</v>
      </c>
      <c r="Y1782" s="12" t="str">
        <f ca="1">IFERROR(__xludf.DUMMYFUNCTION("""COMPUTED_VALUE"""),"Armed bank robber shot by officers outside of school")</f>
        <v>Armed bank robber shot by officers outside of school</v>
      </c>
      <c r="Z1782" s="12" t="str">
        <f ca="1">IFERROR(__xludf.DUMMYFUNCTION("""COMPUTED_VALUE"""),"Suspect robbed bank and ran onto school property. Police caught up to him and ordered him to drop weapon. When he refused and raised the gun toward the officers, they shot him.")</f>
        <v>Suspect robbed bank and ran onto school property. Police caught up to him and ordered him to drop weapon. When he refused and raised the gun toward the officers, they shot him.</v>
      </c>
      <c r="AA1782" s="8" t="str">
        <f ca="1">IFERROR(__xludf.DUMMYFUNCTION("""COMPUTED_VALUE"""),"Illegal Activity")</f>
        <v>Illegal Activity</v>
      </c>
      <c r="AB1782" s="8"/>
      <c r="AC1782" s="8" t="str">
        <f ca="1">IFERROR(__xludf.DUMMYFUNCTION("""COMPUTED_VALUE"""),"No")</f>
        <v>No</v>
      </c>
      <c r="AD1782" s="8" t="str">
        <f ca="1">IFERROR(__xludf.DUMMYFUNCTION("""COMPUTED_VALUE"""),"Victims Targeted")</f>
        <v>Victims Targeted</v>
      </c>
      <c r="AE1782" s="8" t="str">
        <f ca="1">IFERROR(__xludf.DUMMYFUNCTION("""COMPUTED_VALUE"""),"No")</f>
        <v>No</v>
      </c>
      <c r="AF1782" s="8"/>
      <c r="AG1782" s="8" t="str">
        <f ca="1">IFERROR(__xludf.DUMMYFUNCTION("""COMPUTED_VALUE"""),"No")</f>
        <v>No</v>
      </c>
      <c r="AH1782" s="8" t="str">
        <f ca="1">IFERROR(__xludf.DUMMYFUNCTION("""COMPUTED_VALUE"""),"No")</f>
        <v>No</v>
      </c>
      <c r="AI1782" s="8" t="str">
        <f ca="1">IFERROR(__xludf.DUMMYFUNCTION("""COMPUTED_VALUE"""),"Yes")</f>
        <v>Yes</v>
      </c>
      <c r="AJ1782" s="8" t="str">
        <f ca="1">IFERROR(__xludf.DUMMYFUNCTION("""COMPUTED_VALUE"""),"N/A")</f>
        <v>N/A</v>
      </c>
      <c r="AK1782" s="8" t="str">
        <f ca="1">IFERROR(__xludf.DUMMYFUNCTION("""COMPUTED_VALUE"""),"N/A")</f>
        <v>N/A</v>
      </c>
      <c r="AL1782" s="8" t="str">
        <f ca="1">IFERROR(__xludf.DUMMYFUNCTION("""COMPUTED_VALUE"""),"N/A")</f>
        <v>N/A</v>
      </c>
      <c r="AM1782" s="8" t="str">
        <f ca="1">IFERROR(__xludf.DUMMYFUNCTION("""COMPUTED_VALUE"""),"No")</f>
        <v>No</v>
      </c>
      <c r="AN1782" s="8"/>
      <c r="AO1782" s="8" t="str">
        <f ca="1">IFERROR(__xludf.DUMMYFUNCTION("""COMPUTED_VALUE"""),"N/A")</f>
        <v>N/A</v>
      </c>
      <c r="AP1782" s="8"/>
      <c r="AQ1782" s="8" t="str">
        <f ca="1">IFERROR(__xludf.DUMMYFUNCTION("""COMPUTED_VALUE"""),"Unknown")</f>
        <v>Unknown</v>
      </c>
      <c r="AR1782" s="8" t="str">
        <f ca="1">IFERROR(__xludf.DUMMYFUNCTION("""COMPUTED_VALUE"""),"Outside/Off-Property")</f>
        <v>Outside/Off-Property</v>
      </c>
      <c r="AS1782" s="8" t="str">
        <f ca="1">IFERROR(__xludf.DUMMYFUNCTION("""COMPUTED_VALUE"""),"21-23")</f>
        <v>21-23</v>
      </c>
      <c r="AT1782" s="8"/>
      <c r="AU1782" s="8">
        <f ca="1">IFERROR(__xludf.DUMMYFUNCTION("""COMPUTED_VALUE"""),44.260503)</f>
        <v>44.260503</v>
      </c>
      <c r="AV1782" s="8">
        <f ca="1">IFERROR(__xludf.DUMMYFUNCTION("""COMPUTED_VALUE"""),-72.58723)</f>
        <v>-72.587230000000005</v>
      </c>
      <c r="AW1782" s="8"/>
      <c r="AX1782" s="8">
        <f ca="1">IFERROR(__xludf.DUMMYFUNCTION("""COMPUTED_VALUE"""),5602)</f>
        <v>5602</v>
      </c>
    </row>
    <row r="1783" spans="1:50" ht="45" x14ac:dyDescent="0.2">
      <c r="A1783" s="8" t="str">
        <f ca="1">IFERROR(__xludf.DUMMYFUNCTION("""COMPUTED_VALUE"""),"20180109AZCOS")</f>
        <v>20180109AZCOS</v>
      </c>
      <c r="B1783" s="8">
        <f ca="1">IFERROR(__xludf.DUMMYFUNCTION("""COMPUTED_VALUE"""),1)</f>
        <v>1</v>
      </c>
      <c r="C1783" s="8">
        <f ca="1">IFERROR(__xludf.DUMMYFUNCTION("""COMPUTED_VALUE"""),9)</f>
        <v>9</v>
      </c>
      <c r="D1783" s="8">
        <f ca="1">IFERROR(__xludf.DUMMYFUNCTION("""COMPUTED_VALUE"""),2018)</f>
        <v>2018</v>
      </c>
      <c r="E1783" s="9">
        <f ca="1">IFERROR(__xludf.DUMMYFUNCTION("""COMPUTED_VALUE"""),43109)</f>
        <v>43109</v>
      </c>
      <c r="F1783" s="8" t="str">
        <f ca="1">IFERROR(__xludf.DUMMYFUNCTION("""COMPUTED_VALUE"""),"Coronado Elementary School")</f>
        <v>Coronado Elementary School</v>
      </c>
      <c r="G1783" s="8">
        <f ca="1">IFERROR(__xludf.DUMMYFUNCTION("""COMPUTED_VALUE"""),0)</f>
        <v>0</v>
      </c>
      <c r="H1783" s="8">
        <f ca="1">IFERROR(__xludf.DUMMYFUNCTION("""COMPUTED_VALUE"""),0)</f>
        <v>0</v>
      </c>
      <c r="I1783" s="8">
        <f ca="1">IFERROR(__xludf.DUMMYFUNCTION("""COMPUTED_VALUE"""),0)</f>
        <v>0</v>
      </c>
      <c r="J1783" s="8">
        <f ca="1">IFERROR(__xludf.DUMMYFUNCTION("""COMPUTED_VALUE"""),1)</f>
        <v>1</v>
      </c>
      <c r="K1783" s="10" t="str">
        <f ca="1">IFERROR(__xludf.DUMMYFUNCTION("""COMPUTED_VALUE"""),"http://www.tucsonnewsnow.com/story/37226015/school-shooting-cochise-county-coronado-elementary-lockdown-suicide-sierra-vista")</f>
        <v>http://www.tucsonnewsnow.com/story/37226015/school-shooting-cochise-county-coronado-elementary-lockdown-suicide-sierra-vista</v>
      </c>
      <c r="L1783" s="8">
        <f ca="1">IFERROR(__xludf.DUMMYFUNCTION("""COMPUTED_VALUE"""),3)</f>
        <v>3</v>
      </c>
      <c r="M1783" s="8" t="str">
        <f ca="1">IFERROR(__xludf.DUMMYFUNCTION("""COMPUTED_VALUE"""),"Local")</f>
        <v>Local</v>
      </c>
      <c r="N1783" s="8">
        <f ca="1">IFERROR(__xludf.DUMMYFUNCTION("""COMPUTED_VALUE"""),2)</f>
        <v>2</v>
      </c>
      <c r="O1783" s="8" t="str">
        <f ca="1">IFERROR(__xludf.DUMMYFUNCTION("""COMPUTED_VALUE"""),"Winter")</f>
        <v>Winter</v>
      </c>
      <c r="P1783" s="8" t="str">
        <f ca="1">IFERROR(__xludf.DUMMYFUNCTION("""COMPUTED_VALUE"""),"Sierra Vista")</f>
        <v>Sierra Vista</v>
      </c>
      <c r="Q1783" s="8" t="str">
        <f ca="1">IFERROR(__xludf.DUMMYFUNCTION("""COMPUTED_VALUE"""),"AZ")</f>
        <v>AZ</v>
      </c>
      <c r="R1783" s="8" t="str">
        <f ca="1">IFERROR(__xludf.DUMMYFUNCTION("""COMPUTED_VALUE"""),"Elementary")</f>
        <v>Elementary</v>
      </c>
      <c r="S1783" s="8" t="str">
        <f ca="1">IFERROR(__xludf.DUMMYFUNCTION("""COMPUTED_VALUE"""),"Inside School Building")</f>
        <v>Inside School Building</v>
      </c>
      <c r="T1783" s="8" t="str">
        <f ca="1">IFERROR(__xludf.DUMMYFUNCTION("""COMPUTED_VALUE"""),"Inside School Building")</f>
        <v>Inside School Building</v>
      </c>
      <c r="U1783" s="8" t="str">
        <f ca="1">IFERROR(__xludf.DUMMYFUNCTION("""COMPUTED_VALUE"""),"Yes")</f>
        <v>Yes</v>
      </c>
      <c r="V1783" s="8" t="str">
        <f ca="1">IFERROR(__xludf.DUMMYFUNCTION("""COMPUTED_VALUE"""),"Morning Classes")</f>
        <v>Morning Classes</v>
      </c>
      <c r="W1783" s="11">
        <f ca="1">IFERROR(__xludf.DUMMYFUNCTION("""COMPUTED_VALUE"""),0.388888888888888)</f>
        <v>0.38888888888888801</v>
      </c>
      <c r="X1783" s="8">
        <f ca="1">IFERROR(__xludf.DUMMYFUNCTION("""COMPUTED_VALUE"""),1)</f>
        <v>1</v>
      </c>
      <c r="Y1783" s="12" t="str">
        <f ca="1">IFERROR(__xludf.DUMMYFUNCTION("""COMPUTED_VALUE"""),"Suicide inside of school")</f>
        <v>Suicide inside of school</v>
      </c>
      <c r="Z1783" s="12" t="str">
        <f ca="1">IFERROR(__xludf.DUMMYFUNCTION("""COMPUTED_VALUE"""),"Shooter fired single self-inflicted gunshot wound inside the school. School was locked down. No other students were injured. Gun belonged to a family member")</f>
        <v>Shooter fired single self-inflicted gunshot wound inside the school. School was locked down. No other students were injured. Gun belonged to a family member</v>
      </c>
      <c r="AA1783" s="8" t="str">
        <f ca="1">IFERROR(__xludf.DUMMYFUNCTION("""COMPUTED_VALUE"""),"Suicide/Attempted")</f>
        <v>Suicide/Attempted</v>
      </c>
      <c r="AB1783" s="8"/>
      <c r="AC1783" s="8" t="str">
        <f ca="1">IFERROR(__xludf.DUMMYFUNCTION("""COMPUTED_VALUE"""),"Yes")</f>
        <v>Yes</v>
      </c>
      <c r="AD1783" s="8" t="str">
        <f ca="1">IFERROR(__xludf.DUMMYFUNCTION("""COMPUTED_VALUE"""),"Victims Targeted")</f>
        <v>Victims Targeted</v>
      </c>
      <c r="AE1783" s="8" t="str">
        <f ca="1">IFERROR(__xludf.DUMMYFUNCTION("""COMPUTED_VALUE"""),"No")</f>
        <v>No</v>
      </c>
      <c r="AF1783" s="8"/>
      <c r="AG1783" s="8" t="str">
        <f ca="1">IFERROR(__xludf.DUMMYFUNCTION("""COMPUTED_VALUE"""),"No")</f>
        <v>No</v>
      </c>
      <c r="AH1783" s="8" t="str">
        <f ca="1">IFERROR(__xludf.DUMMYFUNCTION("""COMPUTED_VALUE"""),"No")</f>
        <v>No</v>
      </c>
      <c r="AI1783" s="8" t="str">
        <f ca="1">IFERROR(__xludf.DUMMYFUNCTION("""COMPUTED_VALUE"""),"No")</f>
        <v>No</v>
      </c>
      <c r="AJ1783" s="8"/>
      <c r="AK1783" s="8" t="str">
        <f ca="1">IFERROR(__xludf.DUMMYFUNCTION("""COMPUTED_VALUE"""),"No")</f>
        <v>No</v>
      </c>
      <c r="AL1783" s="8" t="str">
        <f ca="1">IFERROR(__xludf.DUMMYFUNCTION("""COMPUTED_VALUE"""),"No")</f>
        <v>No</v>
      </c>
      <c r="AM1783" s="8" t="str">
        <f ca="1">IFERROR(__xludf.DUMMYFUNCTION("""COMPUTED_VALUE"""),"No")</f>
        <v>No</v>
      </c>
      <c r="AN1783" s="8"/>
      <c r="AO1783" s="8" t="str">
        <f ca="1">IFERROR(__xludf.DUMMYFUNCTION("""COMPUTED_VALUE"""),"No")</f>
        <v>No</v>
      </c>
      <c r="AP1783" s="8"/>
      <c r="AQ1783" s="8" t="str">
        <f ca="1">IFERROR(__xludf.DUMMYFUNCTION("""COMPUTED_VALUE"""),"Unknown")</f>
        <v>Unknown</v>
      </c>
      <c r="AR1783" s="8" t="str">
        <f ca="1">IFERROR(__xludf.DUMMYFUNCTION("""COMPUTED_VALUE"""),"NA")</f>
        <v>NA</v>
      </c>
      <c r="AS1783" s="8">
        <f ca="1">IFERROR(__xludf.DUMMYFUNCTION("""COMPUTED_VALUE"""),1)</f>
        <v>1</v>
      </c>
      <c r="AT1783" s="8" t="str">
        <f ca="1">IFERROR(__xludf.DUMMYFUNCTION("""COMPUTED_VALUE"""),"Yes")</f>
        <v>Yes</v>
      </c>
      <c r="AU1783" s="8">
        <f ca="1">IFERROR(__xludf.DUMMYFUNCTION("""COMPUTED_VALUE"""),31.475482)</f>
        <v>31.475482</v>
      </c>
      <c r="AV1783" s="8">
        <f ca="1">IFERROR(__xludf.DUMMYFUNCTION("""COMPUTED_VALUE"""),-110.195974)</f>
        <v>-110.19597400000001</v>
      </c>
      <c r="AW1783" s="8"/>
      <c r="AX1783" s="8">
        <f ca="1">IFERROR(__xludf.DUMMYFUNCTION("""COMPUTED_VALUE"""),85650)</f>
        <v>85650</v>
      </c>
    </row>
    <row r="1784" spans="1:50" ht="60" x14ac:dyDescent="0.2">
      <c r="A1784" s="8" t="str">
        <f ca="1">IFERROR(__xludf.DUMMYFUNCTION("""COMPUTED_VALUE"""),"20180105IAFOF")</f>
        <v>20180105IAFOF</v>
      </c>
      <c r="B1784" s="8">
        <f ca="1">IFERROR(__xludf.DUMMYFUNCTION("""COMPUTED_VALUE"""),1)</f>
        <v>1</v>
      </c>
      <c r="C1784" s="8">
        <f ca="1">IFERROR(__xludf.DUMMYFUNCTION("""COMPUTED_VALUE"""),5)</f>
        <v>5</v>
      </c>
      <c r="D1784" s="8">
        <f ca="1">IFERROR(__xludf.DUMMYFUNCTION("""COMPUTED_VALUE"""),2018)</f>
        <v>2018</v>
      </c>
      <c r="E1784" s="9">
        <f ca="1">IFERROR(__xludf.DUMMYFUNCTION("""COMPUTED_VALUE"""),43105)</f>
        <v>43105</v>
      </c>
      <c r="F1784" s="8" t="str">
        <f ca="1">IFERROR(__xludf.DUMMYFUNCTION("""COMPUTED_VALUE"""),"Forest City School Bus")</f>
        <v>Forest City School Bus</v>
      </c>
      <c r="G1784" s="8">
        <f ca="1">IFERROR(__xludf.DUMMYFUNCTION("""COMPUTED_VALUE"""),0)</f>
        <v>0</v>
      </c>
      <c r="H1784" s="8">
        <f ca="1">IFERROR(__xludf.DUMMYFUNCTION("""COMPUTED_VALUE"""),0)</f>
        <v>0</v>
      </c>
      <c r="I1784" s="8">
        <f ca="1">IFERROR(__xludf.DUMMYFUNCTION("""COMPUTED_VALUE"""),0)</f>
        <v>0</v>
      </c>
      <c r="J1784" s="8">
        <f ca="1">IFERROR(__xludf.DUMMYFUNCTION("""COMPUTED_VALUE"""),0)</f>
        <v>0</v>
      </c>
      <c r="K1784" s="8" t="str">
        <f ca="1">IFERROR(__xludf.DUMMYFUNCTION("""COMPUTED_VALUE"""),"https://globegazette.com/news/local/crime-and-courts/forest-city-man-charged-with-shooting-out-school-bus-window/article_50912f6a-5e04-5025-a60b-d49a7ca3be86.html https://www.kimt.com/content/news/Probation-for-shooting-at-a-school-bus-504625251.html")</f>
        <v>https://globegazette.com/news/local/crime-and-courts/forest-city-man-charged-with-shooting-out-school-bus-window/article_50912f6a-5e04-5025-a60b-d49a7ca3be86.html https://www.kimt.com/content/news/Probation-for-shooting-at-a-school-bus-504625251.html</v>
      </c>
      <c r="L1784" s="8"/>
      <c r="M1784" s="8"/>
      <c r="N1784" s="8">
        <f ca="1">IFERROR(__xludf.DUMMYFUNCTION("""COMPUTED_VALUE"""),4)</f>
        <v>4</v>
      </c>
      <c r="O1784" s="8" t="str">
        <f ca="1">IFERROR(__xludf.DUMMYFUNCTION("""COMPUTED_VALUE"""),"Winter")</f>
        <v>Winter</v>
      </c>
      <c r="P1784" s="8" t="str">
        <f ca="1">IFERROR(__xludf.DUMMYFUNCTION("""COMPUTED_VALUE"""),"Forest City")</f>
        <v>Forest City</v>
      </c>
      <c r="Q1784" s="8" t="str">
        <f ca="1">IFERROR(__xludf.DUMMYFUNCTION("""COMPUTED_VALUE"""),"IA")</f>
        <v>IA</v>
      </c>
      <c r="R1784" s="8"/>
      <c r="S1784" s="8" t="str">
        <f ca="1">IFERROR(__xludf.DUMMYFUNCTION("""COMPUTED_VALUE"""),"School Bus")</f>
        <v>School Bus</v>
      </c>
      <c r="T1784" s="8" t="str">
        <f ca="1">IFERROR(__xludf.DUMMYFUNCTION("""COMPUTED_VALUE"""),"School Bus")</f>
        <v>School Bus</v>
      </c>
      <c r="U1784" s="8" t="str">
        <f ca="1">IFERROR(__xludf.DUMMYFUNCTION("""COMPUTED_VALUE"""),"Yes")</f>
        <v>Yes</v>
      </c>
      <c r="V1784" s="8" t="str">
        <f ca="1">IFERROR(__xludf.DUMMYFUNCTION("""COMPUTED_VALUE"""),"Before School")</f>
        <v>Before School</v>
      </c>
      <c r="W1784" s="8"/>
      <c r="X1784" s="8">
        <f ca="1">IFERROR(__xludf.DUMMYFUNCTION("""COMPUTED_VALUE"""),1)</f>
        <v>1</v>
      </c>
      <c r="Y1784" s="12" t="str">
        <f ca="1">IFERROR(__xludf.DUMMYFUNCTION("""COMPUTED_VALUE"""),"Shot occupied school bus with high-powered air rifle breaking window")</f>
        <v>Shot occupied school bus with high-powered air rifle breaking window</v>
      </c>
      <c r="Z1784" s="12" t="str">
        <f ca="1">IFERROR(__xludf.DUMMYFUNCTION("""COMPUTED_VALUE"""),"33YOM fired high powered air-rifle at occupied school bus breaking a window. No injuries.")</f>
        <v>33YOM fired high powered air-rifle at occupied school bus breaking a window. No injuries.</v>
      </c>
      <c r="AA1784" s="8" t="str">
        <f ca="1">IFERROR(__xludf.DUMMYFUNCTION("""COMPUTED_VALUE"""),"Intentional Property Damage")</f>
        <v>Intentional Property Damage</v>
      </c>
      <c r="AB1784" s="8"/>
      <c r="AC1784" s="8" t="str">
        <f ca="1">IFERROR(__xludf.DUMMYFUNCTION("""COMPUTED_VALUE"""),"No")</f>
        <v>No</v>
      </c>
      <c r="AD1784" s="8" t="str">
        <f ca="1">IFERROR(__xludf.DUMMYFUNCTION("""COMPUTED_VALUE"""),"Neither")</f>
        <v>Neither</v>
      </c>
      <c r="AE1784" s="8" t="str">
        <f ca="1">IFERROR(__xludf.DUMMYFUNCTION("""COMPUTED_VALUE"""),"No")</f>
        <v>No</v>
      </c>
      <c r="AF1784" s="8"/>
      <c r="AG1784" s="8" t="str">
        <f ca="1">IFERROR(__xludf.DUMMYFUNCTION("""COMPUTED_VALUE"""),"No")</f>
        <v>No</v>
      </c>
      <c r="AH1784" s="8" t="str">
        <f ca="1">IFERROR(__xludf.DUMMYFUNCTION("""COMPUTED_VALUE"""),"No")</f>
        <v>No</v>
      </c>
      <c r="AI1784" s="8" t="str">
        <f ca="1">IFERROR(__xludf.DUMMYFUNCTION("""COMPUTED_VALUE"""),"No")</f>
        <v>No</v>
      </c>
      <c r="AJ1784" s="8" t="str">
        <f ca="1">IFERROR(__xludf.DUMMYFUNCTION("""COMPUTED_VALUE"""),"No")</f>
        <v>No</v>
      </c>
      <c r="AK1784" s="8" t="str">
        <f ca="1">IFERROR(__xludf.DUMMYFUNCTION("""COMPUTED_VALUE"""),"No")</f>
        <v>No</v>
      </c>
      <c r="AL1784" s="8" t="str">
        <f ca="1">IFERROR(__xludf.DUMMYFUNCTION("""COMPUTED_VALUE"""),"No")</f>
        <v>No</v>
      </c>
      <c r="AM1784" s="8" t="str">
        <f ca="1">IFERROR(__xludf.DUMMYFUNCTION("""COMPUTED_VALUE"""),"No")</f>
        <v>No</v>
      </c>
      <c r="AN1784" s="8"/>
      <c r="AO1784" s="8" t="str">
        <f ca="1">IFERROR(__xludf.DUMMYFUNCTION("""COMPUTED_VALUE"""),"No")</f>
        <v>No</v>
      </c>
      <c r="AP1784" s="8"/>
      <c r="AQ1784" s="8" t="str">
        <f ca="1">IFERROR(__xludf.DUMMYFUNCTION("""COMPUTED_VALUE"""),"Unknown")</f>
        <v>Unknown</v>
      </c>
      <c r="AR1784" s="8" t="str">
        <f ca="1">IFERROR(__xludf.DUMMYFUNCTION("""COMPUTED_VALUE"""),"NA")</f>
        <v>NA</v>
      </c>
      <c r="AS1784" s="8">
        <f ca="1">IFERROR(__xludf.DUMMYFUNCTION("""COMPUTED_VALUE"""),1)</f>
        <v>1</v>
      </c>
      <c r="AT1784" s="8"/>
      <c r="AU1784" s="8">
        <f ca="1">IFERROR(__xludf.DUMMYFUNCTION("""COMPUTED_VALUE"""),43.259465)</f>
        <v>43.259464999999999</v>
      </c>
      <c r="AV1784" s="8">
        <f ca="1">IFERROR(__xludf.DUMMYFUNCTION("""COMPUTED_VALUE"""),-93.63741)</f>
        <v>-93.637410000000003</v>
      </c>
      <c r="AW1784" s="8"/>
      <c r="AX1784" s="8">
        <f ca="1">IFERROR(__xludf.DUMMYFUNCTION("""COMPUTED_VALUE"""),50436)</f>
        <v>50436</v>
      </c>
    </row>
    <row r="1785" spans="1:50" ht="30" x14ac:dyDescent="0.2">
      <c r="A1785" s="8" t="str">
        <f ca="1">IFERROR(__xludf.DUMMYFUNCTION("""COMPUTED_VALUE"""),"20180104WANES")</f>
        <v>20180104WANES</v>
      </c>
      <c r="B1785" s="8">
        <f ca="1">IFERROR(__xludf.DUMMYFUNCTION("""COMPUTED_VALUE"""),1)</f>
        <v>1</v>
      </c>
      <c r="C1785" s="8">
        <f ca="1">IFERROR(__xludf.DUMMYFUNCTION("""COMPUTED_VALUE"""),4)</f>
        <v>4</v>
      </c>
      <c r="D1785" s="8">
        <f ca="1">IFERROR(__xludf.DUMMYFUNCTION("""COMPUTED_VALUE"""),2018)</f>
        <v>2018</v>
      </c>
      <c r="E1785" s="9">
        <f ca="1">IFERROR(__xludf.DUMMYFUNCTION("""COMPUTED_VALUE"""),43104)</f>
        <v>43104</v>
      </c>
      <c r="F1785" s="8" t="str">
        <f ca="1">IFERROR(__xludf.DUMMYFUNCTION("""COMPUTED_VALUE"""),"New Start High School")</f>
        <v>New Start High School</v>
      </c>
      <c r="G1785" s="8">
        <f ca="1">IFERROR(__xludf.DUMMYFUNCTION("""COMPUTED_VALUE"""),0)</f>
        <v>0</v>
      </c>
      <c r="H1785" s="8">
        <f ca="1">IFERROR(__xludf.DUMMYFUNCTION("""COMPUTED_VALUE"""),0)</f>
        <v>0</v>
      </c>
      <c r="I1785" s="8">
        <f ca="1">IFERROR(__xludf.DUMMYFUNCTION("""COMPUTED_VALUE"""),0)</f>
        <v>0</v>
      </c>
      <c r="J1785" s="8">
        <f ca="1">IFERROR(__xludf.DUMMYFUNCTION("""COMPUTED_VALUE"""),0)</f>
        <v>0</v>
      </c>
      <c r="K1785" s="8" t="str">
        <f ca="1">IFERROR(__xludf.DUMMYFUNCTION("""COMPUTED_VALUE"""),"https://q13fox.com/2018/01/04/bullet-fired-into-window-at-highlines-new-start-high-school-but-no-injuries/
https://www.fox13seattle.com/news/bullet-fired-into-window-at-highlines-new-start-high-school-but-no-injuries")</f>
        <v>https://q13fox.com/2018/01/04/bullet-fired-into-window-at-highlines-new-start-high-school-but-no-injuries/
https://www.fox13seattle.com/news/bullet-fired-into-window-at-highlines-new-start-high-school-but-no-injuries</v>
      </c>
      <c r="L1785" s="8"/>
      <c r="M1785" s="8" t="str">
        <f ca="1">IFERROR(__xludf.DUMMYFUNCTION("""COMPUTED_VALUE"""),"Local")</f>
        <v>Local</v>
      </c>
      <c r="N1785" s="8">
        <f ca="1">IFERROR(__xludf.DUMMYFUNCTION("""COMPUTED_VALUE"""),3)</f>
        <v>3</v>
      </c>
      <c r="O1785" s="8" t="str">
        <f ca="1">IFERROR(__xludf.DUMMYFUNCTION("""COMPUTED_VALUE"""),"Winter")</f>
        <v>Winter</v>
      </c>
      <c r="P1785" s="8" t="str">
        <f ca="1">IFERROR(__xludf.DUMMYFUNCTION("""COMPUTED_VALUE"""),"Seattle")</f>
        <v>Seattle</v>
      </c>
      <c r="Q1785" s="8" t="str">
        <f ca="1">IFERROR(__xludf.DUMMYFUNCTION("""COMPUTED_VALUE"""),"WA")</f>
        <v>WA</v>
      </c>
      <c r="R1785" s="8" t="str">
        <f ca="1">IFERROR(__xludf.DUMMYFUNCTION("""COMPUTED_VALUE"""),"High")</f>
        <v>High</v>
      </c>
      <c r="S1785" s="8" t="str">
        <f ca="1">IFERROR(__xludf.DUMMYFUNCTION("""COMPUTED_VALUE"""),"Front of School")</f>
        <v>Front of School</v>
      </c>
      <c r="T1785" s="8" t="str">
        <f ca="1">IFERROR(__xludf.DUMMYFUNCTION("""COMPUTED_VALUE"""),"Outside on School Property")</f>
        <v>Outside on School Property</v>
      </c>
      <c r="U1785" s="8" t="str">
        <f ca="1">IFERROR(__xludf.DUMMYFUNCTION("""COMPUTED_VALUE"""),"Yes")</f>
        <v>Yes</v>
      </c>
      <c r="V1785" s="8" t="str">
        <f ca="1">IFERROR(__xludf.DUMMYFUNCTION("""COMPUTED_VALUE"""),"Afternoon Classes")</f>
        <v>Afternoon Classes</v>
      </c>
      <c r="W1785" s="11">
        <f ca="1">IFERROR(__xludf.DUMMYFUNCTION("""COMPUTED_VALUE"""),0.5625)</f>
        <v>0.5625</v>
      </c>
      <c r="X1785" s="8">
        <f ca="1">IFERROR(__xludf.DUMMYFUNCTION("""COMPUTED_VALUE"""),1)</f>
        <v>1</v>
      </c>
      <c r="Y1785" s="12" t="str">
        <f ca="1">IFERROR(__xludf.DUMMYFUNCTION("""COMPUTED_VALUE"""),"Damage to school property")</f>
        <v>Damage to school property</v>
      </c>
      <c r="Z1785" s="12" t="str">
        <f ca="1">IFERROR(__xludf.DUMMYFUNCTION("""COMPUTED_VALUE"""),"Shots fired outside high school during the school day. One round struck the school's admin office.")</f>
        <v>Shots fired outside high school during the school day. One round struck the school's admin office.</v>
      </c>
      <c r="AA1785" s="8" t="str">
        <f ca="1">IFERROR(__xludf.DUMMYFUNCTION("""COMPUTED_VALUE"""),"Intentional Property Damage")</f>
        <v>Intentional Property Damage</v>
      </c>
      <c r="AB1785" s="8"/>
      <c r="AC1785" s="8" t="str">
        <f ca="1">IFERROR(__xludf.DUMMYFUNCTION("""COMPUTED_VALUE"""),"Yes")</f>
        <v>Yes</v>
      </c>
      <c r="AD1785" s="8" t="str">
        <f ca="1">IFERROR(__xludf.DUMMYFUNCTION("""COMPUTED_VALUE"""),"NA")</f>
        <v>NA</v>
      </c>
      <c r="AE1785" s="8"/>
      <c r="AF1785" s="8"/>
      <c r="AG1785" s="8" t="str">
        <f ca="1">IFERROR(__xludf.DUMMYFUNCTION("""COMPUTED_VALUE"""),"No")</f>
        <v>No</v>
      </c>
      <c r="AH1785" s="8" t="str">
        <f ca="1">IFERROR(__xludf.DUMMYFUNCTION("""COMPUTED_VALUE"""),"No")</f>
        <v>No</v>
      </c>
      <c r="AI1785" s="8" t="str">
        <f ca="1">IFERROR(__xludf.DUMMYFUNCTION("""COMPUTED_VALUE"""),"No")</f>
        <v>No</v>
      </c>
      <c r="AJ1785" s="8" t="str">
        <f ca="1">IFERROR(__xludf.DUMMYFUNCTION("""COMPUTED_VALUE"""),"N/A")</f>
        <v>N/A</v>
      </c>
      <c r="AK1785" s="8" t="str">
        <f ca="1">IFERROR(__xludf.DUMMYFUNCTION("""COMPUTED_VALUE"""),"N/A")</f>
        <v>N/A</v>
      </c>
      <c r="AL1785" s="8"/>
      <c r="AM1785" s="8" t="str">
        <f ca="1">IFERROR(__xludf.DUMMYFUNCTION("""COMPUTED_VALUE"""),"No")</f>
        <v>No</v>
      </c>
      <c r="AN1785" s="8"/>
      <c r="AO1785" s="8" t="str">
        <f ca="1">IFERROR(__xludf.DUMMYFUNCTION("""COMPUTED_VALUE"""),"No")</f>
        <v>No</v>
      </c>
      <c r="AP1785" s="8"/>
      <c r="AQ1785" s="8" t="str">
        <f ca="1">IFERROR(__xludf.DUMMYFUNCTION("""COMPUTED_VALUE"""),"Unknown")</f>
        <v>Unknown</v>
      </c>
      <c r="AR1785" s="8" t="str">
        <f ca="1">IFERROR(__xludf.DUMMYFUNCTION("""COMPUTED_VALUE"""),"NA")</f>
        <v>NA</v>
      </c>
      <c r="AS1785" s="8">
        <f ca="1">IFERROR(__xludf.DUMMYFUNCTION("""COMPUTED_VALUE"""),2)</f>
        <v>2</v>
      </c>
      <c r="AT1785" s="8"/>
      <c r="AU1785" s="8">
        <f ca="1">IFERROR(__xludf.DUMMYFUNCTION("""COMPUTED_VALUE"""),47.496102)</f>
        <v>47.496102</v>
      </c>
      <c r="AV1785" s="8">
        <f ca="1">IFERROR(__xludf.DUMMYFUNCTION("""COMPUTED_VALUE"""),-122.342741)</f>
        <v>-122.342741</v>
      </c>
      <c r="AW1785" s="8"/>
      <c r="AX1785" s="8">
        <f ca="1">IFERROR(__xludf.DUMMYFUNCTION("""COMPUTED_VALUE"""),98146)</f>
        <v>98146</v>
      </c>
    </row>
    <row r="1786" spans="1:50" ht="60" x14ac:dyDescent="0.2">
      <c r="A1786" s="8" t="str">
        <f ca="1">IFERROR(__xludf.DUMMYFUNCTION("""COMPUTED_VALUE"""),"20171231WAPIM")</f>
        <v>20171231WAPIM</v>
      </c>
      <c r="B1786" s="8">
        <f ca="1">IFERROR(__xludf.DUMMYFUNCTION("""COMPUTED_VALUE"""),12)</f>
        <v>12</v>
      </c>
      <c r="C1786" s="8">
        <f ca="1">IFERROR(__xludf.DUMMYFUNCTION("""COMPUTED_VALUE"""),31)</f>
        <v>31</v>
      </c>
      <c r="D1786" s="8">
        <f ca="1">IFERROR(__xludf.DUMMYFUNCTION("""COMPUTED_VALUE"""),2017)</f>
        <v>2017</v>
      </c>
      <c r="E1786" s="9">
        <f ca="1">IFERROR(__xludf.DUMMYFUNCTION("""COMPUTED_VALUE"""),43100)</f>
        <v>43100</v>
      </c>
      <c r="F1786" s="8" t="str">
        <f ca="1">IFERROR(__xludf.DUMMYFUNCTION("""COMPUTED_VALUE"""),"Pinewood Elementary School")</f>
        <v>Pinewood Elementary School</v>
      </c>
      <c r="G1786" s="8">
        <f ca="1">IFERROR(__xludf.DUMMYFUNCTION("""COMPUTED_VALUE"""),0)</f>
        <v>0</v>
      </c>
      <c r="H1786" s="8">
        <f ca="1">IFERROR(__xludf.DUMMYFUNCTION("""COMPUTED_VALUE"""),0)</f>
        <v>0</v>
      </c>
      <c r="I1786" s="8">
        <f ca="1">IFERROR(__xludf.DUMMYFUNCTION("""COMPUTED_VALUE"""),0)</f>
        <v>0</v>
      </c>
      <c r="J1786" s="8">
        <f ca="1">IFERROR(__xludf.DUMMYFUNCTION("""COMPUTED_VALUE"""),0)</f>
        <v>0</v>
      </c>
      <c r="K1786" s="10" t="str">
        <f ca="1">IFERROR(__xludf.DUMMYFUNCTION("""COMPUTED_VALUE"""),"https://www.heraldnet.com/news/police-say-they-shot-up-the-school-then-bragged-about-it/")</f>
        <v>https://www.heraldnet.com/news/police-say-they-shot-up-the-school-then-bragged-about-it/</v>
      </c>
      <c r="L1786" s="8"/>
      <c r="M1786" s="8"/>
      <c r="N1786" s="8">
        <f ca="1">IFERROR(__xludf.DUMMYFUNCTION("""COMPUTED_VALUE"""),2)</f>
        <v>2</v>
      </c>
      <c r="O1786" s="8" t="str">
        <f ca="1">IFERROR(__xludf.DUMMYFUNCTION("""COMPUTED_VALUE"""),"Winter")</f>
        <v>Winter</v>
      </c>
      <c r="P1786" s="8" t="str">
        <f ca="1">IFERROR(__xludf.DUMMYFUNCTION("""COMPUTED_VALUE"""),"Marysville")</f>
        <v>Marysville</v>
      </c>
      <c r="Q1786" s="8" t="str">
        <f ca="1">IFERROR(__xludf.DUMMYFUNCTION("""COMPUTED_VALUE"""),"WA")</f>
        <v>WA</v>
      </c>
      <c r="R1786" s="8" t="str">
        <f ca="1">IFERROR(__xludf.DUMMYFUNCTION("""COMPUTED_VALUE"""),"Elementary")</f>
        <v>Elementary</v>
      </c>
      <c r="S1786" s="8" t="str">
        <f ca="1">IFERROR(__xludf.DUMMYFUNCTION("""COMPUTED_VALUE"""),"Beside Building")</f>
        <v>Beside Building</v>
      </c>
      <c r="T1786" s="8" t="str">
        <f ca="1">IFERROR(__xludf.DUMMYFUNCTION("""COMPUTED_VALUE"""),"Outside on School Property")</f>
        <v>Outside on School Property</v>
      </c>
      <c r="U1786" s="8" t="str">
        <f ca="1">IFERROR(__xludf.DUMMYFUNCTION("""COMPUTED_VALUE"""),"No")</f>
        <v>No</v>
      </c>
      <c r="V1786" s="8" t="str">
        <f ca="1">IFERROR(__xludf.DUMMYFUNCTION("""COMPUTED_VALUE"""),"Not a School Day")</f>
        <v>Not a School Day</v>
      </c>
      <c r="W1786" s="11">
        <f ca="1">IFERROR(__xludf.DUMMYFUNCTION("""COMPUTED_VALUE"""),0.996527777777777)</f>
        <v>0.99652777777777701</v>
      </c>
      <c r="X1786" s="8"/>
      <c r="Y1786" s="12" t="str">
        <f ca="1">IFERROR(__xludf.DUMMYFUNCTION("""COMPUTED_VALUE"""),"Two teens fired shots at school breaking windows")</f>
        <v>Two teens fired shots at school breaking windows</v>
      </c>
      <c r="Z1786" s="12" t="str">
        <f ca="1">IFERROR(__xludf.DUMMYFUNCTION("""COMPUTED_VALUE"""),"19YOM and 18YOM fired 60 shots at elementary school building on New Years Eve causing extensive property damage. Bragged to others about shooting and were arrested.")</f>
        <v>19YOM and 18YOM fired 60 shots at elementary school building on New Years Eve causing extensive property damage. Bragged to others about shooting and were arrested.</v>
      </c>
      <c r="AA1786" s="8" t="str">
        <f ca="1">IFERROR(__xludf.DUMMYFUNCTION("""COMPUTED_VALUE"""),"Intentional Property Damage")</f>
        <v>Intentional Property Damage</v>
      </c>
      <c r="AB1786" s="8"/>
      <c r="AC1786" s="8" t="str">
        <f ca="1">IFERROR(__xludf.DUMMYFUNCTION("""COMPUTED_VALUE"""),"No")</f>
        <v>No</v>
      </c>
      <c r="AD1786" s="8" t="str">
        <f ca="1">IFERROR(__xludf.DUMMYFUNCTION("""COMPUTED_VALUE"""),"Neither")</f>
        <v>Neither</v>
      </c>
      <c r="AE1786" s="8" t="str">
        <f ca="1">IFERROR(__xludf.DUMMYFUNCTION("""COMPUTED_VALUE"""),"Yes")</f>
        <v>Yes</v>
      </c>
      <c r="AF1786" s="8" t="str">
        <f ca="1">IFERROR(__xludf.DUMMYFUNCTION("""COMPUTED_VALUE"""),"Two shooters")</f>
        <v>Two shooters</v>
      </c>
      <c r="AG1786" s="8" t="str">
        <f ca="1">IFERROR(__xludf.DUMMYFUNCTION("""COMPUTED_VALUE"""),"No")</f>
        <v>No</v>
      </c>
      <c r="AH1786" s="8" t="str">
        <f ca="1">IFERROR(__xludf.DUMMYFUNCTION("""COMPUTED_VALUE"""),"No")</f>
        <v>No</v>
      </c>
      <c r="AI1786" s="8" t="str">
        <f ca="1">IFERROR(__xludf.DUMMYFUNCTION("""COMPUTED_VALUE"""),"No")</f>
        <v>No</v>
      </c>
      <c r="AJ1786" s="8" t="str">
        <f ca="1">IFERROR(__xludf.DUMMYFUNCTION("""COMPUTED_VALUE"""),"No")</f>
        <v>No</v>
      </c>
      <c r="AK1786" s="8" t="str">
        <f ca="1">IFERROR(__xludf.DUMMYFUNCTION("""COMPUTED_VALUE"""),"No")</f>
        <v>No</v>
      </c>
      <c r="AL1786" s="8" t="str">
        <f ca="1">IFERROR(__xludf.DUMMYFUNCTION("""COMPUTED_VALUE"""),"No")</f>
        <v>No</v>
      </c>
      <c r="AM1786" s="8" t="str">
        <f ca="1">IFERROR(__xludf.DUMMYFUNCTION("""COMPUTED_VALUE"""),"No")</f>
        <v>No</v>
      </c>
      <c r="AN1786" s="8"/>
      <c r="AO1786" s="8" t="str">
        <f ca="1">IFERROR(__xludf.DUMMYFUNCTION("""COMPUTED_VALUE"""),"No")</f>
        <v>No</v>
      </c>
      <c r="AP1786" s="8"/>
      <c r="AQ1786" s="8" t="str">
        <f ca="1">IFERROR(__xludf.DUMMYFUNCTION("""COMPUTED_VALUE"""),"Unknown")</f>
        <v>Unknown</v>
      </c>
      <c r="AR1786" s="8" t="str">
        <f ca="1">IFERROR(__xludf.DUMMYFUNCTION("""COMPUTED_VALUE"""),"NA")</f>
        <v>NA</v>
      </c>
      <c r="AS1786" s="8">
        <f ca="1">IFERROR(__xludf.DUMMYFUNCTION("""COMPUTED_VALUE"""),60)</f>
        <v>60</v>
      </c>
      <c r="AT1786" s="8"/>
      <c r="AU1786" s="8">
        <f ca="1">IFERROR(__xludf.DUMMYFUNCTION("""COMPUTED_VALUE"""),48.07347)</f>
        <v>48.07347</v>
      </c>
      <c r="AV1786" s="8">
        <f ca="1">IFERROR(__xludf.DUMMYFUNCTION("""COMPUTED_VALUE"""),-122.160669)</f>
        <v>-122.160669</v>
      </c>
      <c r="AW1786" s="8"/>
      <c r="AX1786" s="8">
        <f ca="1">IFERROR(__xludf.DUMMYFUNCTION("""COMPUTED_VALUE"""),98270)</f>
        <v>98270</v>
      </c>
    </row>
    <row r="1787" spans="1:50" ht="60" x14ac:dyDescent="0.2">
      <c r="A1787" s="8" t="str">
        <f ca="1">IFERROR(__xludf.DUMMYFUNCTION("""COMPUTED_VALUE"""),"20171231LAEDA")</f>
        <v>20171231LAEDA</v>
      </c>
      <c r="B1787" s="8">
        <f ca="1">IFERROR(__xludf.DUMMYFUNCTION("""COMPUTED_VALUE"""),12)</f>
        <v>12</v>
      </c>
      <c r="C1787" s="8">
        <f ca="1">IFERROR(__xludf.DUMMYFUNCTION("""COMPUTED_VALUE"""),31)</f>
        <v>31</v>
      </c>
      <c r="D1787" s="8">
        <f ca="1">IFERROR(__xludf.DUMMYFUNCTION("""COMPUTED_VALUE"""),2017)</f>
        <v>2017</v>
      </c>
      <c r="E1787" s="9">
        <f ca="1">IFERROR(__xludf.DUMMYFUNCTION("""COMPUTED_VALUE"""),43100)</f>
        <v>43100</v>
      </c>
      <c r="F1787" s="8" t="str">
        <f ca="1">IFERROR(__xludf.DUMMYFUNCTION("""COMPUTED_VALUE"""),"Edna Karr High School")</f>
        <v>Edna Karr High School</v>
      </c>
      <c r="G1787" s="8">
        <f ca="1">IFERROR(__xludf.DUMMYFUNCTION("""COMPUTED_VALUE"""),2)</f>
        <v>2</v>
      </c>
      <c r="H1787" s="8">
        <f ca="1">IFERROR(__xludf.DUMMYFUNCTION("""COMPUTED_VALUE"""),0)</f>
        <v>0</v>
      </c>
      <c r="I1787" s="8">
        <f ca="1">IFERROR(__xludf.DUMMYFUNCTION("""COMPUTED_VALUE"""),2)</f>
        <v>2</v>
      </c>
      <c r="J1787" s="8">
        <f ca="1">IFERROR(__xludf.DUMMYFUNCTION("""COMPUTED_VALUE"""),0)</f>
        <v>0</v>
      </c>
      <c r="K1787" s="10" t="str">
        <f ca="1">IFERROR(__xludf.DUMMYFUNCTION("""COMPUTED_VALUE"""),"https://www.nola.com/crime/index.ssf/2017/01/algiers_double_shooting.html")</f>
        <v>https://www.nola.com/crime/index.ssf/2017/01/algiers_double_shooting.html</v>
      </c>
      <c r="L1787" s="8"/>
      <c r="M1787" s="8"/>
      <c r="N1787" s="8">
        <f ca="1">IFERROR(__xludf.DUMMYFUNCTION("""COMPUTED_VALUE"""),2)</f>
        <v>2</v>
      </c>
      <c r="O1787" s="8" t="str">
        <f ca="1">IFERROR(__xludf.DUMMYFUNCTION("""COMPUTED_VALUE"""),"Winter")</f>
        <v>Winter</v>
      </c>
      <c r="P1787" s="8" t="str">
        <f ca="1">IFERROR(__xludf.DUMMYFUNCTION("""COMPUTED_VALUE"""),"Algiers")</f>
        <v>Algiers</v>
      </c>
      <c r="Q1787" s="8" t="str">
        <f ca="1">IFERROR(__xludf.DUMMYFUNCTION("""COMPUTED_VALUE"""),"LA")</f>
        <v>LA</v>
      </c>
      <c r="R1787" s="8" t="str">
        <f ca="1">IFERROR(__xludf.DUMMYFUNCTION("""COMPUTED_VALUE"""),"High")</f>
        <v>High</v>
      </c>
      <c r="S1787" s="8" t="str">
        <f ca="1">IFERROR(__xludf.DUMMYFUNCTION("""COMPUTED_VALUE"""),"Parking Lot")</f>
        <v>Parking Lot</v>
      </c>
      <c r="T1787" s="8" t="str">
        <f ca="1">IFERROR(__xludf.DUMMYFUNCTION("""COMPUTED_VALUE"""),"Outside on School Property")</f>
        <v>Outside on School Property</v>
      </c>
      <c r="U1787" s="8" t="str">
        <f ca="1">IFERROR(__xludf.DUMMYFUNCTION("""COMPUTED_VALUE"""),"No")</f>
        <v>No</v>
      </c>
      <c r="V1787" s="8" t="str">
        <f ca="1">IFERROR(__xludf.DUMMYFUNCTION("""COMPUTED_VALUE"""),"Sport Event")</f>
        <v>Sport Event</v>
      </c>
      <c r="W1787" s="11">
        <f ca="1">IFERROR(__xludf.DUMMYFUNCTION("""COMPUTED_VALUE"""),0.833333333333333)</f>
        <v>0.83333333333333304</v>
      </c>
      <c r="X1787" s="8">
        <f ca="1">IFERROR(__xludf.DUMMYFUNCTION("""COMPUTED_VALUE"""),1)</f>
        <v>1</v>
      </c>
      <c r="Y1787" s="12" t="str">
        <f ca="1">IFERROR(__xludf.DUMMYFUNCTION("""COMPUTED_VALUE"""),"Drive-by in parking lot outside of school during basketball game")</f>
        <v>Drive-by in parking lot outside of school during basketball game</v>
      </c>
      <c r="Z1787" s="12" t="str">
        <f ca="1">IFERROR(__xludf.DUMMYFUNCTION("""COMPUTED_VALUE"""),"2 non-students were denied entry to a high school basketball game. While sitting in their car in the parking lot, a car pulled up next to them and fired multiple times killing both of them.")</f>
        <v>2 non-students were denied entry to a high school basketball game. While sitting in their car in the parking lot, a car pulled up next to them and fired multiple times killing both of them.</v>
      </c>
      <c r="AA1787" s="8" t="str">
        <f ca="1">IFERROR(__xludf.DUMMYFUNCTION("""COMPUTED_VALUE"""),"Drive-by Shooting")</f>
        <v>Drive-by Shooting</v>
      </c>
      <c r="AB1787" s="8"/>
      <c r="AC1787" s="8" t="str">
        <f ca="1">IFERROR(__xludf.DUMMYFUNCTION("""COMPUTED_VALUE"""),"Yes")</f>
        <v>Yes</v>
      </c>
      <c r="AD1787" s="8" t="str">
        <f ca="1">IFERROR(__xludf.DUMMYFUNCTION("""COMPUTED_VALUE"""),"Victims Targeted")</f>
        <v>Victims Targeted</v>
      </c>
      <c r="AE1787" s="8" t="str">
        <f ca="1">IFERROR(__xludf.DUMMYFUNCTION("""COMPUTED_VALUE"""),"Yes")</f>
        <v>Yes</v>
      </c>
      <c r="AF1787" s="8" t="str">
        <f ca="1">IFERROR(__xludf.DUMMYFUNCTION("""COMPUTED_VALUE"""),"Multiple in car")</f>
        <v>Multiple in car</v>
      </c>
      <c r="AG1787" s="8" t="str">
        <f ca="1">IFERROR(__xludf.DUMMYFUNCTION("""COMPUTED_VALUE"""),"No")</f>
        <v>No</v>
      </c>
      <c r="AH1787" s="8" t="str">
        <f ca="1">IFERROR(__xludf.DUMMYFUNCTION("""COMPUTED_VALUE"""),"No")</f>
        <v>No</v>
      </c>
      <c r="AI1787" s="8" t="str">
        <f ca="1">IFERROR(__xludf.DUMMYFUNCTION("""COMPUTED_VALUE"""),"No")</f>
        <v>No</v>
      </c>
      <c r="AJ1787" s="8" t="str">
        <f ca="1">IFERROR(__xludf.DUMMYFUNCTION("""COMPUTED_VALUE"""),"No")</f>
        <v>No</v>
      </c>
      <c r="AK1787" s="8" t="str">
        <f ca="1">IFERROR(__xludf.DUMMYFUNCTION("""COMPUTED_VALUE"""),"No")</f>
        <v>No</v>
      </c>
      <c r="AL1787" s="8" t="str">
        <f ca="1">IFERROR(__xludf.DUMMYFUNCTION("""COMPUTED_VALUE"""),"No")</f>
        <v>No</v>
      </c>
      <c r="AM1787" s="8" t="str">
        <f ca="1">IFERROR(__xludf.DUMMYFUNCTION("""COMPUTED_VALUE"""),"No")</f>
        <v>No</v>
      </c>
      <c r="AN1787" s="8"/>
      <c r="AO1787" s="8" t="str">
        <f ca="1">IFERROR(__xludf.DUMMYFUNCTION("""COMPUTED_VALUE"""),"No")</f>
        <v>No</v>
      </c>
      <c r="AP1787" s="8"/>
      <c r="AQ1787" s="8" t="str">
        <f ca="1">IFERROR(__xludf.DUMMYFUNCTION("""COMPUTED_VALUE"""),"Unknown")</f>
        <v>Unknown</v>
      </c>
      <c r="AR1787" s="8" t="str">
        <f ca="1">IFERROR(__xludf.DUMMYFUNCTION("""COMPUTED_VALUE"""),"NA")</f>
        <v>NA</v>
      </c>
      <c r="AS1787" s="8" t="str">
        <f ca="1">IFERROR(__xludf.DUMMYFUNCTION("""COMPUTED_VALUE"""),"&lt;30")</f>
        <v>&lt;30</v>
      </c>
      <c r="AT1787" s="8"/>
      <c r="AU1787" s="8">
        <f ca="1">IFERROR(__xludf.DUMMYFUNCTION("""COMPUTED_VALUE"""),29.920332)</f>
        <v>29.920331999999998</v>
      </c>
      <c r="AV1787" s="8">
        <f ca="1">IFERROR(__xludf.DUMMYFUNCTION("""COMPUTED_VALUE"""),-90.003962)</f>
        <v>-90.003962000000001</v>
      </c>
      <c r="AW1787" s="8"/>
      <c r="AX1787" s="8">
        <f ca="1">IFERROR(__xludf.DUMMYFUNCTION("""COMPUTED_VALUE"""),70131)</f>
        <v>70131</v>
      </c>
    </row>
    <row r="1788" spans="1:50" ht="75" x14ac:dyDescent="0.2">
      <c r="A1788" s="8" t="str">
        <f ca="1">IFERROR(__xludf.DUMMYFUNCTION("""COMPUTED_VALUE"""),"20171227CALIL")</f>
        <v>20171227CALIL</v>
      </c>
      <c r="B1788" s="8">
        <f ca="1">IFERROR(__xludf.DUMMYFUNCTION("""COMPUTED_VALUE"""),12)</f>
        <v>12</v>
      </c>
      <c r="C1788" s="8">
        <f ca="1">IFERROR(__xludf.DUMMYFUNCTION("""COMPUTED_VALUE"""),27)</f>
        <v>27</v>
      </c>
      <c r="D1788" s="8">
        <f ca="1">IFERROR(__xludf.DUMMYFUNCTION("""COMPUTED_VALUE"""),2017)</f>
        <v>2017</v>
      </c>
      <c r="E1788" s="9">
        <f ca="1">IFERROR(__xludf.DUMMYFUNCTION("""COMPUTED_VALUE"""),43096)</f>
        <v>43096</v>
      </c>
      <c r="F1788" s="8" t="str">
        <f ca="1">IFERROR(__xludf.DUMMYFUNCTION("""COMPUTED_VALUE"""),"Lincoln Elementary School")</f>
        <v>Lincoln Elementary School</v>
      </c>
      <c r="G1788" s="8">
        <f ca="1">IFERROR(__xludf.DUMMYFUNCTION("""COMPUTED_VALUE"""),0)</f>
        <v>0</v>
      </c>
      <c r="H1788" s="8">
        <f ca="1">IFERROR(__xludf.DUMMYFUNCTION("""COMPUTED_VALUE"""),1)</f>
        <v>1</v>
      </c>
      <c r="I1788" s="8">
        <f ca="1">IFERROR(__xludf.DUMMYFUNCTION("""COMPUTED_VALUE"""),1)</f>
        <v>1</v>
      </c>
      <c r="J1788" s="8">
        <f ca="1">IFERROR(__xludf.DUMMYFUNCTION("""COMPUTED_VALUE"""),0)</f>
        <v>0</v>
      </c>
      <c r="K1788" s="10" t="str">
        <f ca="1">IFERROR(__xludf.DUMMYFUNCTION("""COMPUTED_VALUE"""),"https://www.dailynews.com/2017/12/28/man-arguing-with-girlfriend-in-lancaster-school-parking-lot-is-shot-by-another-man/")</f>
        <v>https://www.dailynews.com/2017/12/28/man-arguing-with-girlfriend-in-lancaster-school-parking-lot-is-shot-by-another-man/</v>
      </c>
      <c r="L1788" s="8"/>
      <c r="M1788" s="8"/>
      <c r="N1788" s="8">
        <f ca="1">IFERROR(__xludf.DUMMYFUNCTION("""COMPUTED_VALUE"""),2)</f>
        <v>2</v>
      </c>
      <c r="O1788" s="8" t="str">
        <f ca="1">IFERROR(__xludf.DUMMYFUNCTION("""COMPUTED_VALUE"""),"Winter")</f>
        <v>Winter</v>
      </c>
      <c r="P1788" s="8" t="str">
        <f ca="1">IFERROR(__xludf.DUMMYFUNCTION("""COMPUTED_VALUE"""),"Lancaster")</f>
        <v>Lancaster</v>
      </c>
      <c r="Q1788" s="8" t="str">
        <f ca="1">IFERROR(__xludf.DUMMYFUNCTION("""COMPUTED_VALUE"""),"CA")</f>
        <v>CA</v>
      </c>
      <c r="R1788" s="8" t="str">
        <f ca="1">IFERROR(__xludf.DUMMYFUNCTION("""COMPUTED_VALUE"""),"Elementary")</f>
        <v>Elementary</v>
      </c>
      <c r="S1788" s="8" t="str">
        <f ca="1">IFERROR(__xludf.DUMMYFUNCTION("""COMPUTED_VALUE"""),"Parking Lot")</f>
        <v>Parking Lot</v>
      </c>
      <c r="T1788" s="8" t="str">
        <f ca="1">IFERROR(__xludf.DUMMYFUNCTION("""COMPUTED_VALUE"""),"Outside on School Property")</f>
        <v>Outside on School Property</v>
      </c>
      <c r="U1788" s="8" t="str">
        <f ca="1">IFERROR(__xludf.DUMMYFUNCTION("""COMPUTED_VALUE"""),"No")</f>
        <v>No</v>
      </c>
      <c r="V1788" s="8" t="str">
        <f ca="1">IFERROR(__xludf.DUMMYFUNCTION("""COMPUTED_VALUE"""),"Evening")</f>
        <v>Evening</v>
      </c>
      <c r="W1788" s="11">
        <f ca="1">IFERROR(__xludf.DUMMYFUNCTION("""COMPUTED_VALUE"""),0.944444444444444)</f>
        <v>0.94444444444444398</v>
      </c>
      <c r="X1788" s="8">
        <f ca="1">IFERROR(__xludf.DUMMYFUNCTION("""COMPUTED_VALUE"""),1)</f>
        <v>1</v>
      </c>
      <c r="Y1788" s="12" t="str">
        <f ca="1">IFERROR(__xludf.DUMMYFUNCTION("""COMPUTED_VALUE"""),"Attempted to stop domestic then fled scene")</f>
        <v>Attempted to stop domestic then fled scene</v>
      </c>
      <c r="Z1788" s="12" t="str">
        <f ca="1">IFERROR(__xludf.DUMMYFUNCTION("""COMPUTED_VALUE"""),"A victim and his girlfriend were involved in an argument. They pulled into school parking lot to continue argument when unknown male approached and intervened. Unknown male (shooter) shot male twice then fled. Victim was taken to hospital and treated.")</f>
        <v>A victim and his girlfriend were involved in an argument. They pulled into school parking lot to continue argument when unknown male approached and intervened. Unknown male (shooter) shot male twice then fled. Victim was taken to hospital and treated.</v>
      </c>
      <c r="AA1788" s="8" t="str">
        <f ca="1">IFERROR(__xludf.DUMMYFUNCTION("""COMPUTED_VALUE"""),"Domestic w/ Targeted Victim")</f>
        <v>Domestic w/ Targeted Victim</v>
      </c>
      <c r="AB1788" s="8"/>
      <c r="AC1788" s="8" t="str">
        <f ca="1">IFERROR(__xludf.DUMMYFUNCTION("""COMPUTED_VALUE"""),"No")</f>
        <v>No</v>
      </c>
      <c r="AD1788" s="8" t="str">
        <f ca="1">IFERROR(__xludf.DUMMYFUNCTION("""COMPUTED_VALUE"""),"Victims Targeted")</f>
        <v>Victims Targeted</v>
      </c>
      <c r="AE1788" s="8"/>
      <c r="AF1788" s="8"/>
      <c r="AG1788" s="8" t="str">
        <f ca="1">IFERROR(__xludf.DUMMYFUNCTION("""COMPUTED_VALUE"""),"No")</f>
        <v>No</v>
      </c>
      <c r="AH1788" s="8" t="str">
        <f ca="1">IFERROR(__xludf.DUMMYFUNCTION("""COMPUTED_VALUE"""),"No")</f>
        <v>No</v>
      </c>
      <c r="AI1788" s="8" t="str">
        <f ca="1">IFERROR(__xludf.DUMMYFUNCTION("""COMPUTED_VALUE"""),"No")</f>
        <v>No</v>
      </c>
      <c r="AJ1788" s="8" t="str">
        <f ca="1">IFERROR(__xludf.DUMMYFUNCTION("""COMPUTED_VALUE"""),"No")</f>
        <v>No</v>
      </c>
      <c r="AK1788" s="8" t="str">
        <f ca="1">IFERROR(__xludf.DUMMYFUNCTION("""COMPUTED_VALUE"""),"No")</f>
        <v>No</v>
      </c>
      <c r="AL1788" s="8" t="str">
        <f ca="1">IFERROR(__xludf.DUMMYFUNCTION("""COMPUTED_VALUE"""),"No")</f>
        <v>No</v>
      </c>
      <c r="AM1788" s="8" t="str">
        <f ca="1">IFERROR(__xludf.DUMMYFUNCTION("""COMPUTED_VALUE"""),"No")</f>
        <v>No</v>
      </c>
      <c r="AN1788" s="8"/>
      <c r="AO1788" s="8" t="str">
        <f ca="1">IFERROR(__xludf.DUMMYFUNCTION("""COMPUTED_VALUE"""),"No")</f>
        <v>No</v>
      </c>
      <c r="AP1788" s="8"/>
      <c r="AQ1788" s="8" t="str">
        <f ca="1">IFERROR(__xludf.DUMMYFUNCTION("""COMPUTED_VALUE"""),"Unknown")</f>
        <v>Unknown</v>
      </c>
      <c r="AR1788" s="8" t="str">
        <f ca="1">IFERROR(__xludf.DUMMYFUNCTION("""COMPUTED_VALUE"""),"NA")</f>
        <v>NA</v>
      </c>
      <c r="AS1788" s="8">
        <f ca="1">IFERROR(__xludf.DUMMYFUNCTION("""COMPUTED_VALUE"""),2)</f>
        <v>2</v>
      </c>
      <c r="AT1788" s="8"/>
      <c r="AU1788" s="8">
        <f ca="1">IFERROR(__xludf.DUMMYFUNCTION("""COMPUTED_VALUE"""),34.682962)</f>
        <v>34.682962000000003</v>
      </c>
      <c r="AV1788" s="8">
        <f ca="1">IFERROR(__xludf.DUMMYFUNCTION("""COMPUTED_VALUE"""),-118.10435)</f>
        <v>-118.10435</v>
      </c>
      <c r="AW1788" s="8"/>
      <c r="AX1788" s="8">
        <f ca="1">IFERROR(__xludf.DUMMYFUNCTION("""COMPUTED_VALUE"""),93535)</f>
        <v>93535</v>
      </c>
    </row>
    <row r="1789" spans="1:50" ht="45" x14ac:dyDescent="0.2">
      <c r="A1789" s="8" t="str">
        <f ca="1">IFERROR(__xludf.DUMMYFUNCTION("""COMPUTED_VALUE"""),"20171219MIBEB")</f>
        <v>20171219MIBEB</v>
      </c>
      <c r="B1789" s="8">
        <f ca="1">IFERROR(__xludf.DUMMYFUNCTION("""COMPUTED_VALUE"""),12)</f>
        <v>12</v>
      </c>
      <c r="C1789" s="8">
        <f ca="1">IFERROR(__xludf.DUMMYFUNCTION("""COMPUTED_VALUE"""),19)</f>
        <v>19</v>
      </c>
      <c r="D1789" s="8">
        <f ca="1">IFERROR(__xludf.DUMMYFUNCTION("""COMPUTED_VALUE"""),2017)</f>
        <v>2017</v>
      </c>
      <c r="E1789" s="9">
        <f ca="1">IFERROR(__xludf.DUMMYFUNCTION("""COMPUTED_VALUE"""),43088)</f>
        <v>43088</v>
      </c>
      <c r="F1789" s="8" t="str">
        <f ca="1">IFERROR(__xludf.DUMMYFUNCTION("""COMPUTED_VALUE"""),"Beecher High School")</f>
        <v>Beecher High School</v>
      </c>
      <c r="G1789" s="8">
        <f ca="1">IFERROR(__xludf.DUMMYFUNCTION("""COMPUTED_VALUE"""),0)</f>
        <v>0</v>
      </c>
      <c r="H1789" s="8">
        <f ca="1">IFERROR(__xludf.DUMMYFUNCTION("""COMPUTED_VALUE"""),1)</f>
        <v>1</v>
      </c>
      <c r="I1789" s="8">
        <f ca="1">IFERROR(__xludf.DUMMYFUNCTION("""COMPUTED_VALUE"""),1)</f>
        <v>1</v>
      </c>
      <c r="J1789" s="8">
        <f ca="1">IFERROR(__xludf.DUMMYFUNCTION("""COMPUTED_VALUE"""),0)</f>
        <v>0</v>
      </c>
      <c r="K1789" s="10" t="str">
        <f ca="1">IFERROR(__xludf.DUMMYFUNCTION("""COMPUTED_VALUE"""),"http://www.wnem.com/story/37105109/breaking-police-investigate-shooting-at-beecher-high-school")</f>
        <v>http://www.wnem.com/story/37105109/breaking-police-investigate-shooting-at-beecher-high-school</v>
      </c>
      <c r="L1789" s="8"/>
      <c r="M1789" s="8"/>
      <c r="N1789" s="8">
        <f ca="1">IFERROR(__xludf.DUMMYFUNCTION("""COMPUTED_VALUE"""),2)</f>
        <v>2</v>
      </c>
      <c r="O1789" s="8" t="str">
        <f ca="1">IFERROR(__xludf.DUMMYFUNCTION("""COMPUTED_VALUE"""),"Winter")</f>
        <v>Winter</v>
      </c>
      <c r="P1789" s="8" t="str">
        <f ca="1">IFERROR(__xludf.DUMMYFUNCTION("""COMPUTED_VALUE"""),"Beecher")</f>
        <v>Beecher</v>
      </c>
      <c r="Q1789" s="8" t="str">
        <f ca="1">IFERROR(__xludf.DUMMYFUNCTION("""COMPUTED_VALUE"""),"MI")</f>
        <v>MI</v>
      </c>
      <c r="R1789" s="8" t="str">
        <f ca="1">IFERROR(__xludf.DUMMYFUNCTION("""COMPUTED_VALUE"""),"High")</f>
        <v>High</v>
      </c>
      <c r="S1789" s="8" t="str">
        <f ca="1">IFERROR(__xludf.DUMMYFUNCTION("""COMPUTED_VALUE"""),"Parking Lot")</f>
        <v>Parking Lot</v>
      </c>
      <c r="T1789" s="8" t="str">
        <f ca="1">IFERROR(__xludf.DUMMYFUNCTION("""COMPUTED_VALUE"""),"Outside on School Property")</f>
        <v>Outside on School Property</v>
      </c>
      <c r="U1789" s="8" t="str">
        <f ca="1">IFERROR(__xludf.DUMMYFUNCTION("""COMPUTED_VALUE"""),"No")</f>
        <v>No</v>
      </c>
      <c r="V1789" s="8" t="str">
        <f ca="1">IFERROR(__xludf.DUMMYFUNCTION("""COMPUTED_VALUE"""),"Sport Event")</f>
        <v>Sport Event</v>
      </c>
      <c r="W1789" s="8"/>
      <c r="X1789" s="8">
        <f ca="1">IFERROR(__xludf.DUMMYFUNCTION("""COMPUTED_VALUE"""),1)</f>
        <v>1</v>
      </c>
      <c r="Y1789" s="12" t="str">
        <f ca="1">IFERROR(__xludf.DUMMYFUNCTION("""COMPUTED_VALUE"""),"Student shot in parking lot after basketball game")</f>
        <v>Student shot in parking lot after basketball game</v>
      </c>
      <c r="Z1789" s="12" t="str">
        <f ca="1">IFERROR(__xludf.DUMMYFUNCTION("""COMPUTED_VALUE"""),"Student shot in parking lot during a fight after basketball game with rival school. Unknown who fired the shot. Students involved in fight fled.")</f>
        <v>Student shot in parking lot during a fight after basketball game with rival school. Unknown who fired the shot. Students involved in fight fled.</v>
      </c>
      <c r="AA1789" s="8" t="str">
        <f ca="1">IFERROR(__xludf.DUMMYFUNCTION("""COMPUTED_VALUE"""),"Escalation of Dispute")</f>
        <v>Escalation of Dispute</v>
      </c>
      <c r="AB1789" s="8"/>
      <c r="AC1789" s="8" t="str">
        <f ca="1">IFERROR(__xludf.DUMMYFUNCTION("""COMPUTED_VALUE"""),"Yes")</f>
        <v>Yes</v>
      </c>
      <c r="AD1789" s="8" t="str">
        <f ca="1">IFERROR(__xludf.DUMMYFUNCTION("""COMPUTED_VALUE"""),"Victims Targeted")</f>
        <v>Victims Targeted</v>
      </c>
      <c r="AE1789" s="8" t="str">
        <f ca="1">IFERROR(__xludf.DUMMYFUNCTION("""COMPUTED_VALUE"""),"Yes")</f>
        <v>Yes</v>
      </c>
      <c r="AF1789" s="8" t="str">
        <f ca="1">IFERROR(__xludf.DUMMYFUNCTION("""COMPUTED_VALUE"""),"Multiple involved in fight")</f>
        <v>Multiple involved in fight</v>
      </c>
      <c r="AG1789" s="8" t="str">
        <f ca="1">IFERROR(__xludf.DUMMYFUNCTION("""COMPUTED_VALUE"""),"No")</f>
        <v>No</v>
      </c>
      <c r="AH1789" s="8" t="str">
        <f ca="1">IFERROR(__xludf.DUMMYFUNCTION("""COMPUTED_VALUE"""),"No")</f>
        <v>No</v>
      </c>
      <c r="AI1789" s="8" t="str">
        <f ca="1">IFERROR(__xludf.DUMMYFUNCTION("""COMPUTED_VALUE"""),"No")</f>
        <v>No</v>
      </c>
      <c r="AJ1789" s="8" t="str">
        <f ca="1">IFERROR(__xludf.DUMMYFUNCTION("""COMPUTED_VALUE"""),"No")</f>
        <v>No</v>
      </c>
      <c r="AK1789" s="8" t="str">
        <f ca="1">IFERROR(__xludf.DUMMYFUNCTION("""COMPUTED_VALUE"""),"No")</f>
        <v>No</v>
      </c>
      <c r="AL1789" s="8" t="str">
        <f ca="1">IFERROR(__xludf.DUMMYFUNCTION("""COMPUTED_VALUE"""),"No")</f>
        <v>No</v>
      </c>
      <c r="AM1789" s="8" t="str">
        <f ca="1">IFERROR(__xludf.DUMMYFUNCTION("""COMPUTED_VALUE"""),"No")</f>
        <v>No</v>
      </c>
      <c r="AN1789" s="8"/>
      <c r="AO1789" s="8" t="str">
        <f ca="1">IFERROR(__xludf.DUMMYFUNCTION("""COMPUTED_VALUE"""),"No")</f>
        <v>No</v>
      </c>
      <c r="AP1789" s="8"/>
      <c r="AQ1789" s="8" t="str">
        <f ca="1">IFERROR(__xludf.DUMMYFUNCTION("""COMPUTED_VALUE"""),"Unknown")</f>
        <v>Unknown</v>
      </c>
      <c r="AR1789" s="8" t="str">
        <f ca="1">IFERROR(__xludf.DUMMYFUNCTION("""COMPUTED_VALUE"""),"NA")</f>
        <v>NA</v>
      </c>
      <c r="AS1789" s="8"/>
      <c r="AT1789" s="8"/>
      <c r="AU1789" s="8">
        <f ca="1">IFERROR(__xludf.DUMMYFUNCTION("""COMPUTED_VALUE"""),43.0900266)</f>
        <v>43.090026600000002</v>
      </c>
      <c r="AV1789" s="8">
        <f ca="1">IFERROR(__xludf.DUMMYFUNCTION("""COMPUTED_VALUE"""),-83.6944022)</f>
        <v>-83.694402199999999</v>
      </c>
      <c r="AW1789" s="8"/>
      <c r="AX1789" s="8">
        <f ca="1">IFERROR(__xludf.DUMMYFUNCTION("""COMPUTED_VALUE"""),48505)</f>
        <v>48505</v>
      </c>
    </row>
    <row r="1790" spans="1:50" ht="45" x14ac:dyDescent="0.2">
      <c r="A1790" s="8" t="str">
        <f ca="1">IFERROR(__xludf.DUMMYFUNCTION("""COMPUTED_VALUE"""),"20171214TXELD")</f>
        <v>20171214TXELD</v>
      </c>
      <c r="B1790" s="8">
        <f ca="1">IFERROR(__xludf.DUMMYFUNCTION("""COMPUTED_VALUE"""),12)</f>
        <v>12</v>
      </c>
      <c r="C1790" s="8">
        <f ca="1">IFERROR(__xludf.DUMMYFUNCTION("""COMPUTED_VALUE"""),14)</f>
        <v>14</v>
      </c>
      <c r="D1790" s="8">
        <f ca="1">IFERROR(__xludf.DUMMYFUNCTION("""COMPUTED_VALUE"""),2017)</f>
        <v>2017</v>
      </c>
      <c r="E1790" s="9">
        <f ca="1">IFERROR(__xludf.DUMMYFUNCTION("""COMPUTED_VALUE"""),43083)</f>
        <v>43083</v>
      </c>
      <c r="F1790" s="8" t="str">
        <f ca="1">IFERROR(__xludf.DUMMYFUNCTION("""COMPUTED_VALUE"""),"Elisha M. Pease Elementary School")</f>
        <v>Elisha M. Pease Elementary School</v>
      </c>
      <c r="G1790" s="8">
        <f ca="1">IFERROR(__xludf.DUMMYFUNCTION("""COMPUTED_VALUE"""),0)</f>
        <v>0</v>
      </c>
      <c r="H1790" s="8">
        <f ca="1">IFERROR(__xludf.DUMMYFUNCTION("""COMPUTED_VALUE"""),0)</f>
        <v>0</v>
      </c>
      <c r="I1790" s="8">
        <f ca="1">IFERROR(__xludf.DUMMYFUNCTION("""COMPUTED_VALUE"""),0)</f>
        <v>0</v>
      </c>
      <c r="J1790" s="8">
        <f ca="1">IFERROR(__xludf.DUMMYFUNCTION("""COMPUTED_VALUE"""),0)</f>
        <v>0</v>
      </c>
      <c r="K1790" s="10" t="str">
        <f ca="1">IFERROR(__xludf.DUMMYFUNCTION("""COMPUTED_VALUE"""),"https://www.nbcdfw.com/news/local/Dallas-ISD-Gun-Accidentally-Goes-Off-in-3rd-Grade-Classroom-464473823.html")</f>
        <v>https://www.nbcdfw.com/news/local/Dallas-ISD-Gun-Accidentally-Goes-Off-in-3rd-Grade-Classroom-464473823.html</v>
      </c>
      <c r="L1790" s="8"/>
      <c r="M1790" s="8"/>
      <c r="N1790" s="8">
        <f ca="1">IFERROR(__xludf.DUMMYFUNCTION("""COMPUTED_VALUE"""),2)</f>
        <v>2</v>
      </c>
      <c r="O1790" s="8" t="str">
        <f ca="1">IFERROR(__xludf.DUMMYFUNCTION("""COMPUTED_VALUE"""),"Winter")</f>
        <v>Winter</v>
      </c>
      <c r="P1790" s="8" t="str">
        <f ca="1">IFERROR(__xludf.DUMMYFUNCTION("""COMPUTED_VALUE"""),"Dallas")</f>
        <v>Dallas</v>
      </c>
      <c r="Q1790" s="8" t="str">
        <f ca="1">IFERROR(__xludf.DUMMYFUNCTION("""COMPUTED_VALUE"""),"TX")</f>
        <v>TX</v>
      </c>
      <c r="R1790" s="8" t="str">
        <f ca="1">IFERROR(__xludf.DUMMYFUNCTION("""COMPUTED_VALUE"""),"Elementary")</f>
        <v>Elementary</v>
      </c>
      <c r="S1790" s="8" t="str">
        <f ca="1">IFERROR(__xludf.DUMMYFUNCTION("""COMPUTED_VALUE"""),"Classroom")</f>
        <v>Classroom</v>
      </c>
      <c r="T1790" s="8" t="str">
        <f ca="1">IFERROR(__xludf.DUMMYFUNCTION("""COMPUTED_VALUE"""),"Inside School Building")</f>
        <v>Inside School Building</v>
      </c>
      <c r="U1790" s="8" t="str">
        <f ca="1">IFERROR(__xludf.DUMMYFUNCTION("""COMPUTED_VALUE"""),"Yes")</f>
        <v>Yes</v>
      </c>
      <c r="V1790" s="8" t="str">
        <f ca="1">IFERROR(__xludf.DUMMYFUNCTION("""COMPUTED_VALUE"""),"Dismissal")</f>
        <v>Dismissal</v>
      </c>
      <c r="W1790" s="8"/>
      <c r="X1790" s="8">
        <f ca="1">IFERROR(__xludf.DUMMYFUNCTION("""COMPUTED_VALUE"""),1)</f>
        <v>1</v>
      </c>
      <c r="Y1790" s="12" t="str">
        <f ca="1">IFERROR(__xludf.DUMMYFUNCTION("""COMPUTED_VALUE"""),"Gun in backpack of 3rd grader discharged")</f>
        <v>Gun in backpack of 3rd grader discharged</v>
      </c>
      <c r="Z1790" s="12" t="str">
        <f ca="1">IFERROR(__xludf.DUMMYFUNCTION("""COMPUTED_VALUE"""),"Gun in backpack of 3rd grader discharged in classroom. No injuries.")</f>
        <v>Gun in backpack of 3rd grader discharged in classroom. No injuries.</v>
      </c>
      <c r="AA1790" s="8" t="str">
        <f ca="1">IFERROR(__xludf.DUMMYFUNCTION("""COMPUTED_VALUE"""),"Accidental")</f>
        <v>Accidental</v>
      </c>
      <c r="AB1790" s="8"/>
      <c r="AC1790" s="8" t="str">
        <f ca="1">IFERROR(__xludf.DUMMYFUNCTION("""COMPUTED_VALUE"""),"Yes")</f>
        <v>Yes</v>
      </c>
      <c r="AD1790" s="8" t="str">
        <f ca="1">IFERROR(__xludf.DUMMYFUNCTION("""COMPUTED_VALUE"""),"Neither")</f>
        <v>Neither</v>
      </c>
      <c r="AE1790" s="8" t="str">
        <f ca="1">IFERROR(__xludf.DUMMYFUNCTION("""COMPUTED_VALUE"""),"No")</f>
        <v>No</v>
      </c>
      <c r="AF1790" s="8"/>
      <c r="AG1790" s="8" t="str">
        <f ca="1">IFERROR(__xludf.DUMMYFUNCTION("""COMPUTED_VALUE"""),"No")</f>
        <v>No</v>
      </c>
      <c r="AH1790" s="8" t="str">
        <f ca="1">IFERROR(__xludf.DUMMYFUNCTION("""COMPUTED_VALUE"""),"No")</f>
        <v>No</v>
      </c>
      <c r="AI1790" s="8" t="str">
        <f ca="1">IFERROR(__xludf.DUMMYFUNCTION("""COMPUTED_VALUE"""),"No")</f>
        <v>No</v>
      </c>
      <c r="AJ1790" s="8" t="str">
        <f ca="1">IFERROR(__xludf.DUMMYFUNCTION("""COMPUTED_VALUE"""),"No")</f>
        <v>No</v>
      </c>
      <c r="AK1790" s="8" t="str">
        <f ca="1">IFERROR(__xludf.DUMMYFUNCTION("""COMPUTED_VALUE"""),"No")</f>
        <v>No</v>
      </c>
      <c r="AL1790" s="8" t="str">
        <f ca="1">IFERROR(__xludf.DUMMYFUNCTION("""COMPUTED_VALUE"""),"No")</f>
        <v>No</v>
      </c>
      <c r="AM1790" s="8" t="str">
        <f ca="1">IFERROR(__xludf.DUMMYFUNCTION("""COMPUTED_VALUE"""),"No")</f>
        <v>No</v>
      </c>
      <c r="AN1790" s="8"/>
      <c r="AO1790" s="8" t="str">
        <f ca="1">IFERROR(__xludf.DUMMYFUNCTION("""COMPUTED_VALUE"""),"No")</f>
        <v>No</v>
      </c>
      <c r="AP1790" s="8"/>
      <c r="AQ1790" s="8" t="str">
        <f ca="1">IFERROR(__xludf.DUMMYFUNCTION("""COMPUTED_VALUE"""),"Unknown")</f>
        <v>Unknown</v>
      </c>
      <c r="AR1790" s="8" t="str">
        <f ca="1">IFERROR(__xludf.DUMMYFUNCTION("""COMPUTED_VALUE"""),"NA")</f>
        <v>NA</v>
      </c>
      <c r="AS1790" s="8">
        <f ca="1">IFERROR(__xludf.DUMMYFUNCTION("""COMPUTED_VALUE"""),1)</f>
        <v>1</v>
      </c>
      <c r="AT1790" s="8"/>
      <c r="AU1790" s="8">
        <f ca="1">IFERROR(__xludf.DUMMYFUNCTION("""COMPUTED_VALUE"""),32.697795)</f>
        <v>32.697794999999999</v>
      </c>
      <c r="AV1790" s="8">
        <f ca="1">IFERROR(__xludf.DUMMYFUNCTION("""COMPUTED_VALUE"""),-96.773474)</f>
        <v>-96.773473999999993</v>
      </c>
      <c r="AW1790" s="8"/>
      <c r="AX1790" s="8">
        <f ca="1">IFERROR(__xludf.DUMMYFUNCTION("""COMPUTED_VALUE"""),75216)</f>
        <v>75216</v>
      </c>
    </row>
    <row r="1791" spans="1:50" ht="60" x14ac:dyDescent="0.2">
      <c r="A1791" s="8" t="str">
        <f ca="1">IFERROR(__xludf.DUMMYFUNCTION("""COMPUTED_VALUE"""),"20171212TXSAP")</f>
        <v>20171212TXSAP</v>
      </c>
      <c r="B1791" s="8">
        <f ca="1">IFERROR(__xludf.DUMMYFUNCTION("""COMPUTED_VALUE"""),12)</f>
        <v>12</v>
      </c>
      <c r="C1791" s="8">
        <f ca="1">IFERROR(__xludf.DUMMYFUNCTION("""COMPUTED_VALUE"""),12)</f>
        <v>12</v>
      </c>
      <c r="D1791" s="8">
        <f ca="1">IFERROR(__xludf.DUMMYFUNCTION("""COMPUTED_VALUE"""),2017)</f>
        <v>2017</v>
      </c>
      <c r="E1791" s="9">
        <f ca="1">IFERROR(__xludf.DUMMYFUNCTION("""COMPUTED_VALUE"""),43081)</f>
        <v>43081</v>
      </c>
      <c r="F1791" s="8" t="str">
        <f ca="1">IFERROR(__xludf.DUMMYFUNCTION("""COMPUTED_VALUE"""),"Sam Rayburn High School")</f>
        <v>Sam Rayburn High School</v>
      </c>
      <c r="G1791" s="8">
        <f ca="1">IFERROR(__xludf.DUMMYFUNCTION("""COMPUTED_VALUE"""),0)</f>
        <v>0</v>
      </c>
      <c r="H1791" s="8">
        <f ca="1">IFERROR(__xludf.DUMMYFUNCTION("""COMPUTED_VALUE"""),2)</f>
        <v>2</v>
      </c>
      <c r="I1791" s="8">
        <f ca="1">IFERROR(__xludf.DUMMYFUNCTION("""COMPUTED_VALUE"""),2)</f>
        <v>2</v>
      </c>
      <c r="J1791" s="8">
        <f ca="1">IFERROR(__xludf.DUMMYFUNCTION("""COMPUTED_VALUE"""),0)</f>
        <v>0</v>
      </c>
      <c r="K1791" s="10" t="str">
        <f ca="1">IFERROR(__xludf.DUMMYFUNCTION("""COMPUTED_VALUE"""),"https://abc13.com/2-wounded-when-gun-goes-off-in-car-at-sam-rayburn-hs/2774679/")</f>
        <v>https://abc13.com/2-wounded-when-gun-goes-off-in-car-at-sam-rayburn-hs/2774679/</v>
      </c>
      <c r="L1791" s="8"/>
      <c r="M1791" s="8"/>
      <c r="N1791" s="8">
        <f ca="1">IFERROR(__xludf.DUMMYFUNCTION("""COMPUTED_VALUE"""),2)</f>
        <v>2</v>
      </c>
      <c r="O1791" s="8" t="str">
        <f ca="1">IFERROR(__xludf.DUMMYFUNCTION("""COMPUTED_VALUE"""),"Winter")</f>
        <v>Winter</v>
      </c>
      <c r="P1791" s="8" t="str">
        <f ca="1">IFERROR(__xludf.DUMMYFUNCTION("""COMPUTED_VALUE"""),"Pasadena")</f>
        <v>Pasadena</v>
      </c>
      <c r="Q1791" s="8" t="str">
        <f ca="1">IFERROR(__xludf.DUMMYFUNCTION("""COMPUTED_VALUE"""),"TX")</f>
        <v>TX</v>
      </c>
      <c r="R1791" s="8" t="str">
        <f ca="1">IFERROR(__xludf.DUMMYFUNCTION("""COMPUTED_VALUE"""),"High")</f>
        <v>High</v>
      </c>
      <c r="S1791" s="8" t="str">
        <f ca="1">IFERROR(__xludf.DUMMYFUNCTION("""COMPUTED_VALUE"""),"Parking Lot")</f>
        <v>Parking Lot</v>
      </c>
      <c r="T1791" s="8" t="str">
        <f ca="1">IFERROR(__xludf.DUMMYFUNCTION("""COMPUTED_VALUE"""),"Outside on School Property")</f>
        <v>Outside on School Property</v>
      </c>
      <c r="U1791" s="8" t="str">
        <f ca="1">IFERROR(__xludf.DUMMYFUNCTION("""COMPUTED_VALUE"""),"No")</f>
        <v>No</v>
      </c>
      <c r="V1791" s="8" t="str">
        <f ca="1">IFERROR(__xludf.DUMMYFUNCTION("""COMPUTED_VALUE"""),"School Event")</f>
        <v>School Event</v>
      </c>
      <c r="W1791" s="11">
        <f ca="1">IFERROR(__xludf.DUMMYFUNCTION("""COMPUTED_VALUE"""),0.75)</f>
        <v>0.75</v>
      </c>
      <c r="X1791" s="8">
        <f ca="1">IFERROR(__xludf.DUMMYFUNCTION("""COMPUTED_VALUE"""),1)</f>
        <v>1</v>
      </c>
      <c r="Y1791" s="12" t="str">
        <f ca="1">IFERROR(__xludf.DUMMYFUNCTION("""COMPUTED_VALUE"""),"Accidental discharge in car striking both occupants")</f>
        <v>Accidental discharge in car striking both occupants</v>
      </c>
      <c r="Z1791" s="12" t="str">
        <f ca="1">IFERROR(__xludf.DUMMYFUNCTION("""COMPUTED_VALUE"""),"Two relatives (21YOM and 20YOM) were dropping off supplies for choir concert at the school when gun in car discharged striking both of them.")</f>
        <v>Two relatives (21YOM and 20YOM) were dropping off supplies for choir concert at the school when gun in car discharged striking both of them.</v>
      </c>
      <c r="AA1791" s="8" t="str">
        <f ca="1">IFERROR(__xludf.DUMMYFUNCTION("""COMPUTED_VALUE"""),"Accidental")</f>
        <v>Accidental</v>
      </c>
      <c r="AB1791" s="8"/>
      <c r="AC1791" s="8" t="str">
        <f ca="1">IFERROR(__xludf.DUMMYFUNCTION("""COMPUTED_VALUE"""),"No")</f>
        <v>No</v>
      </c>
      <c r="AD1791" s="8" t="str">
        <f ca="1">IFERROR(__xludf.DUMMYFUNCTION("""COMPUTED_VALUE"""),"Random Shooting")</f>
        <v>Random Shooting</v>
      </c>
      <c r="AE1791" s="8" t="str">
        <f ca="1">IFERROR(__xludf.DUMMYFUNCTION("""COMPUTED_VALUE"""),"Yes")</f>
        <v>Yes</v>
      </c>
      <c r="AF1791" s="8" t="str">
        <f ca="1">IFERROR(__xludf.DUMMYFUNCTION("""COMPUTED_VALUE"""),"Two men in car when discharged")</f>
        <v>Two men in car when discharged</v>
      </c>
      <c r="AG1791" s="8" t="str">
        <f ca="1">IFERROR(__xludf.DUMMYFUNCTION("""COMPUTED_VALUE"""),"No")</f>
        <v>No</v>
      </c>
      <c r="AH1791" s="8" t="str">
        <f ca="1">IFERROR(__xludf.DUMMYFUNCTION("""COMPUTED_VALUE"""),"No")</f>
        <v>No</v>
      </c>
      <c r="AI1791" s="8" t="str">
        <f ca="1">IFERROR(__xludf.DUMMYFUNCTION("""COMPUTED_VALUE"""),"No")</f>
        <v>No</v>
      </c>
      <c r="AJ1791" s="8" t="str">
        <f ca="1">IFERROR(__xludf.DUMMYFUNCTION("""COMPUTED_VALUE"""),"No")</f>
        <v>No</v>
      </c>
      <c r="AK1791" s="8" t="str">
        <f ca="1">IFERROR(__xludf.DUMMYFUNCTION("""COMPUTED_VALUE"""),"No")</f>
        <v>No</v>
      </c>
      <c r="AL1791" s="8" t="str">
        <f ca="1">IFERROR(__xludf.DUMMYFUNCTION("""COMPUTED_VALUE"""),"No")</f>
        <v>No</v>
      </c>
      <c r="AM1791" s="8" t="str">
        <f ca="1">IFERROR(__xludf.DUMMYFUNCTION("""COMPUTED_VALUE"""),"No")</f>
        <v>No</v>
      </c>
      <c r="AN1791" s="8"/>
      <c r="AO1791" s="8" t="str">
        <f ca="1">IFERROR(__xludf.DUMMYFUNCTION("""COMPUTED_VALUE"""),"No")</f>
        <v>No</v>
      </c>
      <c r="AP1791" s="8"/>
      <c r="AQ1791" s="8" t="str">
        <f ca="1">IFERROR(__xludf.DUMMYFUNCTION("""COMPUTED_VALUE"""),"Unknown")</f>
        <v>Unknown</v>
      </c>
      <c r="AR1791" s="8" t="str">
        <f ca="1">IFERROR(__xludf.DUMMYFUNCTION("""COMPUTED_VALUE"""),"NA")</f>
        <v>NA</v>
      </c>
      <c r="AS1791" s="8">
        <f ca="1">IFERROR(__xludf.DUMMYFUNCTION("""COMPUTED_VALUE"""),1)</f>
        <v>1</v>
      </c>
      <c r="AT1791" s="8"/>
      <c r="AU1791" s="8">
        <f ca="1">IFERROR(__xludf.DUMMYFUNCTION("""COMPUTED_VALUE"""),29.677629)</f>
        <v>29.677629</v>
      </c>
      <c r="AV1791" s="8">
        <f ca="1">IFERROR(__xludf.DUMMYFUNCTION("""COMPUTED_VALUE"""),-95.180571)</f>
        <v>-95.180571</v>
      </c>
      <c r="AW1791" s="8"/>
      <c r="AX1791" s="8">
        <f ca="1">IFERROR(__xludf.DUMMYFUNCTION("""COMPUTED_VALUE"""),77502)</f>
        <v>77502</v>
      </c>
    </row>
    <row r="1792" spans="1:50" ht="60" x14ac:dyDescent="0.2">
      <c r="A1792" s="8" t="str">
        <f ca="1">IFERROR(__xludf.DUMMYFUNCTION("""COMPUTED_VALUE"""),"20171211NCHIH")</f>
        <v>20171211NCHIH</v>
      </c>
      <c r="B1792" s="8">
        <f ca="1">IFERROR(__xludf.DUMMYFUNCTION("""COMPUTED_VALUE"""),12)</f>
        <v>12</v>
      </c>
      <c r="C1792" s="8">
        <f ca="1">IFERROR(__xludf.DUMMYFUNCTION("""COMPUTED_VALUE"""),11)</f>
        <v>11</v>
      </c>
      <c r="D1792" s="8">
        <f ca="1">IFERROR(__xludf.DUMMYFUNCTION("""COMPUTED_VALUE"""),2017)</f>
        <v>2017</v>
      </c>
      <c r="E1792" s="9">
        <f ca="1">IFERROR(__xludf.DUMMYFUNCTION("""COMPUTED_VALUE"""),43080)</f>
        <v>43080</v>
      </c>
      <c r="F1792" s="8" t="str">
        <f ca="1">IFERROR(__xludf.DUMMYFUNCTION("""COMPUTED_VALUE"""),"High Point Central High School")</f>
        <v>High Point Central High School</v>
      </c>
      <c r="G1792" s="8">
        <f ca="1">IFERROR(__xludf.DUMMYFUNCTION("""COMPUTED_VALUE"""),0)</f>
        <v>0</v>
      </c>
      <c r="H1792" s="8">
        <f ca="1">IFERROR(__xludf.DUMMYFUNCTION("""COMPUTED_VALUE"""),0)</f>
        <v>0</v>
      </c>
      <c r="I1792" s="8">
        <f ca="1">IFERROR(__xludf.DUMMYFUNCTION("""COMPUTED_VALUE"""),0)</f>
        <v>0</v>
      </c>
      <c r="J1792" s="8">
        <f ca="1">IFERROR(__xludf.DUMMYFUNCTION("""COMPUTED_VALUE"""),0)</f>
        <v>0</v>
      </c>
      <c r="K1792" s="10" t="str">
        <f ca="1">IFERROR(__xludf.DUMMYFUNCTION("""COMPUTED_VALUE"""),"http://www.hpenews.com/free/shot-fired-at-central-high-school-no-one-injured/article_574ce5ba-dea8-11e7-b849-5ffd746bf19a.html")</f>
        <v>http://www.hpenews.com/free/shot-fired-at-central-high-school-no-one-injured/article_574ce5ba-dea8-11e7-b849-5ffd746bf19a.html</v>
      </c>
      <c r="L1792" s="8">
        <f ca="1">IFERROR(__xludf.DUMMYFUNCTION("""COMPUTED_VALUE"""),5)</f>
        <v>5</v>
      </c>
      <c r="M1792" s="8" t="str">
        <f ca="1">IFERROR(__xludf.DUMMYFUNCTION("""COMPUTED_VALUE"""),"Regional")</f>
        <v>Regional</v>
      </c>
      <c r="N1792" s="8">
        <f ca="1">IFERROR(__xludf.DUMMYFUNCTION("""COMPUTED_VALUE"""),2)</f>
        <v>2</v>
      </c>
      <c r="O1792" s="8" t="str">
        <f ca="1">IFERROR(__xludf.DUMMYFUNCTION("""COMPUTED_VALUE"""),"Winter")</f>
        <v>Winter</v>
      </c>
      <c r="P1792" s="8" t="str">
        <f ca="1">IFERROR(__xludf.DUMMYFUNCTION("""COMPUTED_VALUE"""),"High Point")</f>
        <v>High Point</v>
      </c>
      <c r="Q1792" s="8" t="str">
        <f ca="1">IFERROR(__xludf.DUMMYFUNCTION("""COMPUTED_VALUE"""),"NC")</f>
        <v>NC</v>
      </c>
      <c r="R1792" s="8" t="str">
        <f ca="1">IFERROR(__xludf.DUMMYFUNCTION("""COMPUTED_VALUE"""),"High")</f>
        <v>High</v>
      </c>
      <c r="S1792" s="8" t="str">
        <f ca="1">IFERROR(__xludf.DUMMYFUNCTION("""COMPUTED_VALUE"""),"Cafeteria")</f>
        <v>Cafeteria</v>
      </c>
      <c r="T1792" s="8" t="str">
        <f ca="1">IFERROR(__xludf.DUMMYFUNCTION("""COMPUTED_VALUE"""),"Inside School Building")</f>
        <v>Inside School Building</v>
      </c>
      <c r="U1792" s="8" t="str">
        <f ca="1">IFERROR(__xludf.DUMMYFUNCTION("""COMPUTED_VALUE"""),"Yes")</f>
        <v>Yes</v>
      </c>
      <c r="V1792" s="8" t="str">
        <f ca="1">IFERROR(__xludf.DUMMYFUNCTION("""COMPUTED_VALUE"""),"Afternoon Classes")</f>
        <v>Afternoon Classes</v>
      </c>
      <c r="W1792" s="11">
        <f ca="1">IFERROR(__xludf.DUMMYFUNCTION("""COMPUTED_VALUE"""),0.588888888888888)</f>
        <v>0.58888888888888802</v>
      </c>
      <c r="X1792" s="8">
        <f ca="1">IFERROR(__xludf.DUMMYFUNCTION("""COMPUTED_VALUE"""),1)</f>
        <v>1</v>
      </c>
      <c r="Y1792" s="12" t="str">
        <f ca="1">IFERROR(__xludf.DUMMYFUNCTION("""COMPUTED_VALUE"""),"Gang-related shooting near cafeteria")</f>
        <v>Gang-related shooting near cafeteria</v>
      </c>
      <c r="Z1792" s="12" t="str">
        <f ca="1">IFERROR(__xludf.DUMMYFUNCTION("""COMPUTED_VALUE"""),"A shot was fired near the cafeteria. No one was hurt, school went on lockdown. The suspect fled but was arrested. A second juvenile, current but suspended student, was also arrested in relation to the shooting. Gang-related.")</f>
        <v>A shot was fired near the cafeteria. No one was hurt, school went on lockdown. The suspect fled but was arrested. A second juvenile, current but suspended student, was also arrested in relation to the shooting. Gang-related.</v>
      </c>
      <c r="AA1792" s="8" t="str">
        <f ca="1">IFERROR(__xludf.DUMMYFUNCTION("""COMPUTED_VALUE"""),"Escalation of Dispute")</f>
        <v>Escalation of Dispute</v>
      </c>
      <c r="AB1792" s="8"/>
      <c r="AC1792" s="8" t="str">
        <f ca="1">IFERROR(__xludf.DUMMYFUNCTION("""COMPUTED_VALUE"""),"Yes")</f>
        <v>Yes</v>
      </c>
      <c r="AD1792" s="8" t="str">
        <f ca="1">IFERROR(__xludf.DUMMYFUNCTION("""COMPUTED_VALUE"""),"Victims Targeted")</f>
        <v>Victims Targeted</v>
      </c>
      <c r="AE1792" s="8"/>
      <c r="AF1792" s="8"/>
      <c r="AG1792" s="8" t="str">
        <f ca="1">IFERROR(__xludf.DUMMYFUNCTION("""COMPUTED_VALUE"""),"No")</f>
        <v>No</v>
      </c>
      <c r="AH1792" s="8" t="str">
        <f ca="1">IFERROR(__xludf.DUMMYFUNCTION("""COMPUTED_VALUE"""),"No")</f>
        <v>No</v>
      </c>
      <c r="AI1792" s="8" t="str">
        <f ca="1">IFERROR(__xludf.DUMMYFUNCTION("""COMPUTED_VALUE"""),"No")</f>
        <v>No</v>
      </c>
      <c r="AJ1792" s="8" t="str">
        <f ca="1">IFERROR(__xludf.DUMMYFUNCTION("""COMPUTED_VALUE"""),"No")</f>
        <v>No</v>
      </c>
      <c r="AK1792" s="8" t="str">
        <f ca="1">IFERROR(__xludf.DUMMYFUNCTION("""COMPUTED_VALUE"""),"No")</f>
        <v>No</v>
      </c>
      <c r="AL1792" s="8" t="str">
        <f ca="1">IFERROR(__xludf.DUMMYFUNCTION("""COMPUTED_VALUE"""),"Yes")</f>
        <v>Yes</v>
      </c>
      <c r="AM1792" s="8" t="str">
        <f ca="1">IFERROR(__xludf.DUMMYFUNCTION("""COMPUTED_VALUE"""),"No")</f>
        <v>No</v>
      </c>
      <c r="AN1792" s="8"/>
      <c r="AO1792" s="8" t="str">
        <f ca="1">IFERROR(__xludf.DUMMYFUNCTION("""COMPUTED_VALUE"""),"No")</f>
        <v>No</v>
      </c>
      <c r="AP1792" s="8" t="str">
        <f ca="1">IFERROR(__xludf.DUMMYFUNCTION("""COMPUTED_VALUE"""),"Yes")</f>
        <v>Yes</v>
      </c>
      <c r="AQ1792" s="8" t="str">
        <f ca="1">IFERROR(__xludf.DUMMYFUNCTION("""COMPUTED_VALUE"""),"Unknown")</f>
        <v>Unknown</v>
      </c>
      <c r="AR1792" s="8" t="str">
        <f ca="1">IFERROR(__xludf.DUMMYFUNCTION("""COMPUTED_VALUE"""),"NA")</f>
        <v>NA</v>
      </c>
      <c r="AS1792" s="8">
        <f ca="1">IFERROR(__xludf.DUMMYFUNCTION("""COMPUTED_VALUE"""),1)</f>
        <v>1</v>
      </c>
      <c r="AT1792" s="8" t="str">
        <f ca="1">IFERROR(__xludf.DUMMYFUNCTION("""COMPUTED_VALUE"""),"Yes")</f>
        <v>Yes</v>
      </c>
      <c r="AU1792" s="8">
        <f ca="1">IFERROR(__xludf.DUMMYFUNCTION("""COMPUTED_VALUE"""),35.95795)</f>
        <v>35.957949999999997</v>
      </c>
      <c r="AV1792" s="8">
        <f ca="1">IFERROR(__xludf.DUMMYFUNCTION("""COMPUTED_VALUE"""),-80.0231)</f>
        <v>-80.023099999999999</v>
      </c>
      <c r="AW1792" s="8"/>
      <c r="AX1792" s="8">
        <f ca="1">IFERROR(__xludf.DUMMYFUNCTION("""COMPUTED_VALUE"""),27262)</f>
        <v>27262</v>
      </c>
    </row>
    <row r="1793" spans="1:50" ht="45" x14ac:dyDescent="0.2">
      <c r="A1793" s="8" t="str">
        <f ca="1">IFERROR(__xludf.DUMMYFUNCTION("""COMPUTED_VALUE"""),"20171209ILCHC")</f>
        <v>20171209ILCHC</v>
      </c>
      <c r="B1793" s="8">
        <f ca="1">IFERROR(__xludf.DUMMYFUNCTION("""COMPUTED_VALUE"""),12)</f>
        <v>12</v>
      </c>
      <c r="C1793" s="8">
        <f ca="1">IFERROR(__xludf.DUMMYFUNCTION("""COMPUTED_VALUE"""),9)</f>
        <v>9</v>
      </c>
      <c r="D1793" s="8">
        <f ca="1">IFERROR(__xludf.DUMMYFUNCTION("""COMPUTED_VALUE"""),2017)</f>
        <v>2017</v>
      </c>
      <c r="E1793" s="9">
        <f ca="1">IFERROR(__xludf.DUMMYFUNCTION("""COMPUTED_VALUE"""),43078)</f>
        <v>43078</v>
      </c>
      <c r="F1793" s="8" t="str">
        <f ca="1">IFERROR(__xludf.DUMMYFUNCTION("""COMPUTED_VALUE"""),"Champaign Central High School")</f>
        <v>Champaign Central High School</v>
      </c>
      <c r="G1793" s="8">
        <f ca="1">IFERROR(__xludf.DUMMYFUNCTION("""COMPUTED_VALUE"""),0)</f>
        <v>0</v>
      </c>
      <c r="H1793" s="8">
        <f ca="1">IFERROR(__xludf.DUMMYFUNCTION("""COMPUTED_VALUE"""),3)</f>
        <v>3</v>
      </c>
      <c r="I1793" s="8">
        <f ca="1">IFERROR(__xludf.DUMMYFUNCTION("""COMPUTED_VALUE"""),3)</f>
        <v>3</v>
      </c>
      <c r="J1793" s="8">
        <f ca="1">IFERROR(__xludf.DUMMYFUNCTION("""COMPUTED_VALUE"""),0)</f>
        <v>0</v>
      </c>
      <c r="K1793" s="10" t="str">
        <f ca="1">IFERROR(__xludf.DUMMYFUNCTION("""COMPUTED_VALUE"""),"https://www.news-gazette.com/news/update-potential-fight-might-have-sparked-gunfire/article_644ff6c6-f9f5-5327-b078-630facba2e9b.html")</f>
        <v>https://www.news-gazette.com/news/update-potential-fight-might-have-sparked-gunfire/article_644ff6c6-f9f5-5327-b078-630facba2e9b.html</v>
      </c>
      <c r="L1793" s="8"/>
      <c r="M1793" s="8"/>
      <c r="N1793" s="8">
        <f ca="1">IFERROR(__xludf.DUMMYFUNCTION("""COMPUTED_VALUE"""),4)</f>
        <v>4</v>
      </c>
      <c r="O1793" s="8" t="str">
        <f ca="1">IFERROR(__xludf.DUMMYFUNCTION("""COMPUTED_VALUE"""),"Winter")</f>
        <v>Winter</v>
      </c>
      <c r="P1793" s="8" t="str">
        <f ca="1">IFERROR(__xludf.DUMMYFUNCTION("""COMPUTED_VALUE"""),"Champaign")</f>
        <v>Champaign</v>
      </c>
      <c r="Q1793" s="8" t="str">
        <f ca="1">IFERROR(__xludf.DUMMYFUNCTION("""COMPUTED_VALUE"""),"IL")</f>
        <v>IL</v>
      </c>
      <c r="R1793" s="8" t="str">
        <f ca="1">IFERROR(__xludf.DUMMYFUNCTION("""COMPUTED_VALUE"""),"High")</f>
        <v>High</v>
      </c>
      <c r="S1793" s="8" t="str">
        <f ca="1">IFERROR(__xludf.DUMMYFUNCTION("""COMPUTED_VALUE"""),"Parking Lot")</f>
        <v>Parking Lot</v>
      </c>
      <c r="T1793" s="8" t="str">
        <f ca="1">IFERROR(__xludf.DUMMYFUNCTION("""COMPUTED_VALUE"""),"Outside on School Property")</f>
        <v>Outside on School Property</v>
      </c>
      <c r="U1793" s="8" t="str">
        <f ca="1">IFERROR(__xludf.DUMMYFUNCTION("""COMPUTED_VALUE"""),"No")</f>
        <v>No</v>
      </c>
      <c r="V1793" s="8" t="str">
        <f ca="1">IFERROR(__xludf.DUMMYFUNCTION("""COMPUTED_VALUE"""),"Sport Event")</f>
        <v>Sport Event</v>
      </c>
      <c r="W1793" s="11">
        <f ca="1">IFERROR(__xludf.DUMMYFUNCTION("""COMPUTED_VALUE"""),0.888888888888888)</f>
        <v>0.88888888888888795</v>
      </c>
      <c r="X1793" s="8">
        <f ca="1">IFERROR(__xludf.DUMMYFUNCTION("""COMPUTED_VALUE"""),1)</f>
        <v>1</v>
      </c>
      <c r="Y1793" s="12" t="str">
        <f ca="1">IFERROR(__xludf.DUMMYFUNCTION("""COMPUTED_VALUE"""),"Shots fired during fight after basketball game")</f>
        <v>Shots fired during fight after basketball game</v>
      </c>
      <c r="Z1793" s="12" t="str">
        <f ca="1">IFERROR(__xludf.DUMMYFUNCTION("""COMPUTED_VALUE"""),"15YOF, 17YOF, and 18YOF were shot during fight outside of high school basketball game. Unknown shooter fled the scene.")</f>
        <v>15YOF, 17YOF, and 18YOF were shot during fight outside of high school basketball game. Unknown shooter fled the scene.</v>
      </c>
      <c r="AA1793" s="8" t="str">
        <f ca="1">IFERROR(__xludf.DUMMYFUNCTION("""COMPUTED_VALUE"""),"Escalation of Dispute")</f>
        <v>Escalation of Dispute</v>
      </c>
      <c r="AB1793" s="8"/>
      <c r="AC1793" s="8" t="str">
        <f ca="1">IFERROR(__xludf.DUMMYFUNCTION("""COMPUTED_VALUE"""),"Yes")</f>
        <v>Yes</v>
      </c>
      <c r="AD1793" s="8" t="str">
        <f ca="1">IFERROR(__xludf.DUMMYFUNCTION("""COMPUTED_VALUE"""),"Both")</f>
        <v>Both</v>
      </c>
      <c r="AE1793" s="8"/>
      <c r="AF1793" s="8"/>
      <c r="AG1793" s="8" t="str">
        <f ca="1">IFERROR(__xludf.DUMMYFUNCTION("""COMPUTED_VALUE"""),"No")</f>
        <v>No</v>
      </c>
      <c r="AH1793" s="8" t="str">
        <f ca="1">IFERROR(__xludf.DUMMYFUNCTION("""COMPUTED_VALUE"""),"No")</f>
        <v>No</v>
      </c>
      <c r="AI1793" s="8" t="str">
        <f ca="1">IFERROR(__xludf.DUMMYFUNCTION("""COMPUTED_VALUE"""),"No")</f>
        <v>No</v>
      </c>
      <c r="AJ1793" s="8" t="str">
        <f ca="1">IFERROR(__xludf.DUMMYFUNCTION("""COMPUTED_VALUE"""),"No")</f>
        <v>No</v>
      </c>
      <c r="AK1793" s="8" t="str">
        <f ca="1">IFERROR(__xludf.DUMMYFUNCTION("""COMPUTED_VALUE"""),"No")</f>
        <v>No</v>
      </c>
      <c r="AL1793" s="8" t="str">
        <f ca="1">IFERROR(__xludf.DUMMYFUNCTION("""COMPUTED_VALUE"""),"No")</f>
        <v>No</v>
      </c>
      <c r="AM1793" s="8" t="str">
        <f ca="1">IFERROR(__xludf.DUMMYFUNCTION("""COMPUTED_VALUE"""),"No")</f>
        <v>No</v>
      </c>
      <c r="AN1793" s="8"/>
      <c r="AO1793" s="8" t="str">
        <f ca="1">IFERROR(__xludf.DUMMYFUNCTION("""COMPUTED_VALUE"""),"No")</f>
        <v>No</v>
      </c>
      <c r="AP1793" s="8"/>
      <c r="AQ1793" s="8" t="str">
        <f ca="1">IFERROR(__xludf.DUMMYFUNCTION("""COMPUTED_VALUE"""),"None")</f>
        <v>None</v>
      </c>
      <c r="AR1793" s="8" t="str">
        <f ca="1">IFERROR(__xludf.DUMMYFUNCTION("""COMPUTED_VALUE"""),"NA")</f>
        <v>NA</v>
      </c>
      <c r="AS1793" s="8"/>
      <c r="AT1793" s="8"/>
      <c r="AU1793" s="8">
        <f ca="1">IFERROR(__xludf.DUMMYFUNCTION("""COMPUTED_VALUE"""),40.116831)</f>
        <v>40.116830999999998</v>
      </c>
      <c r="AV1793" s="8">
        <f ca="1">IFERROR(__xludf.DUMMYFUNCTION("""COMPUTED_VALUE"""),-88.253534)</f>
        <v>-88.253534000000002</v>
      </c>
      <c r="AW1793" s="8"/>
      <c r="AX1793" s="8">
        <f ca="1">IFERROR(__xludf.DUMMYFUNCTION("""COMPUTED_VALUE"""),61820)</f>
        <v>61820</v>
      </c>
    </row>
    <row r="1794" spans="1:50" ht="165" x14ac:dyDescent="0.2">
      <c r="A1794" s="8" t="str">
        <f ca="1">IFERROR(__xludf.DUMMYFUNCTION("""COMPUTED_VALUE"""),"20171207NMAZA")</f>
        <v>20171207NMAZA</v>
      </c>
      <c r="B1794" s="8">
        <f ca="1">IFERROR(__xludf.DUMMYFUNCTION("""COMPUTED_VALUE"""),12)</f>
        <v>12</v>
      </c>
      <c r="C1794" s="8">
        <f ca="1">IFERROR(__xludf.DUMMYFUNCTION("""COMPUTED_VALUE"""),7)</f>
        <v>7</v>
      </c>
      <c r="D1794" s="8">
        <f ca="1">IFERROR(__xludf.DUMMYFUNCTION("""COMPUTED_VALUE"""),2017)</f>
        <v>2017</v>
      </c>
      <c r="E1794" s="9">
        <f ca="1">IFERROR(__xludf.DUMMYFUNCTION("""COMPUTED_VALUE"""),43076)</f>
        <v>43076</v>
      </c>
      <c r="F1794" s="8" t="str">
        <f ca="1">IFERROR(__xludf.DUMMYFUNCTION("""COMPUTED_VALUE"""),"Aztec High School")</f>
        <v>Aztec High School</v>
      </c>
      <c r="G1794" s="8">
        <f ca="1">IFERROR(__xludf.DUMMYFUNCTION("""COMPUTED_VALUE"""),2)</f>
        <v>2</v>
      </c>
      <c r="H1794" s="8">
        <f ca="1">IFERROR(__xludf.DUMMYFUNCTION("""COMPUTED_VALUE"""),0)</f>
        <v>0</v>
      </c>
      <c r="I1794" s="8">
        <f ca="1">IFERROR(__xludf.DUMMYFUNCTION("""COMPUTED_VALUE"""),2)</f>
        <v>2</v>
      </c>
      <c r="J1794" s="8">
        <f ca="1">IFERROR(__xludf.DUMMYFUNCTION("""COMPUTED_VALUE"""),1)</f>
        <v>1</v>
      </c>
      <c r="K1794" s="8" t="str">
        <f ca="1">IFERROR(__xludf.DUMMYFUNCTION("""COMPUTED_VALUE"""),"https://lasvegassun.com/news/2021/apr/23/2017-campus-shooting-las-vegas-school-safety-event/ https://www.cnn.com/2017/12/08/us/aztec-high-school-shooting-william-atchison/index.html https://www.fbi.gov/file-repository/active-shooter-incidents-2000-2017.pd"&amp;"f")</f>
        <v>https://lasvegassun.com/news/2021/apr/23/2017-campus-shooting-las-vegas-school-safety-event/ https://www.cnn.com/2017/12/08/us/aztec-high-school-shooting-william-atchison/index.html https://www.fbi.gov/file-repository/active-shooter-incidents-2000-2017.pdf</v>
      </c>
      <c r="L1794" s="8">
        <f ca="1">IFERROR(__xludf.DUMMYFUNCTION("""COMPUTED_VALUE"""),100)</f>
        <v>100</v>
      </c>
      <c r="M1794" s="8" t="str">
        <f ca="1">IFERROR(__xludf.DUMMYFUNCTION("""COMPUTED_VALUE"""),"National")</f>
        <v>National</v>
      </c>
      <c r="N1794" s="8">
        <f ca="1">IFERROR(__xludf.DUMMYFUNCTION("""COMPUTED_VALUE"""),5)</f>
        <v>5</v>
      </c>
      <c r="O1794" s="8" t="str">
        <f ca="1">IFERROR(__xludf.DUMMYFUNCTION("""COMPUTED_VALUE"""),"Winter")</f>
        <v>Winter</v>
      </c>
      <c r="P1794" s="8" t="str">
        <f ca="1">IFERROR(__xludf.DUMMYFUNCTION("""COMPUTED_VALUE"""),"Aztec")</f>
        <v>Aztec</v>
      </c>
      <c r="Q1794" s="8" t="str">
        <f ca="1">IFERROR(__xludf.DUMMYFUNCTION("""COMPUTED_VALUE"""),"NM")</f>
        <v>NM</v>
      </c>
      <c r="R1794" s="8" t="str">
        <f ca="1">IFERROR(__xludf.DUMMYFUNCTION("""COMPUTED_VALUE"""),"High")</f>
        <v>High</v>
      </c>
      <c r="S1794" s="8" t="str">
        <f ca="1">IFERROR(__xludf.DUMMYFUNCTION("""COMPUTED_VALUE"""),"Classroom")</f>
        <v>Classroom</v>
      </c>
      <c r="T1794" s="8" t="str">
        <f ca="1">IFERROR(__xludf.DUMMYFUNCTION("""COMPUTED_VALUE"""),"Inside School Building")</f>
        <v>Inside School Building</v>
      </c>
      <c r="U1794" s="8" t="str">
        <f ca="1">IFERROR(__xludf.DUMMYFUNCTION("""COMPUTED_VALUE"""),"Yes")</f>
        <v>Yes</v>
      </c>
      <c r="V1794" s="8" t="str">
        <f ca="1">IFERROR(__xludf.DUMMYFUNCTION("""COMPUTED_VALUE"""),"Morning Classes")</f>
        <v>Morning Classes</v>
      </c>
      <c r="W1794" s="11">
        <f ca="1">IFERROR(__xludf.DUMMYFUNCTION("""COMPUTED_VALUE"""),0.336111111111111)</f>
        <v>0.33611111111111103</v>
      </c>
      <c r="X1794" s="8">
        <f ca="1">IFERROR(__xludf.DUMMYFUNCTION("""COMPUTED_VALUE"""),6)</f>
        <v>6</v>
      </c>
      <c r="Y1794" s="12" t="str">
        <f ca="1">IFERROR(__xludf.DUMMYFUNCTION("""COMPUTED_VALUE"""),"Planned mass shooting attack by former student")</f>
        <v>Planned mass shooting attack by former student</v>
      </c>
      <c r="Z1794" s="12" t="str">
        <f ca="1">IFERROR(__xludf.DUMMYFUNCTION("""COMPUTED_VALUE"""),"21-year-old former student pretended to be a student to gain entry into the building. School employees saw him with a handgun and called for a lockdown. Shooter fatally shot two students, then fired shots through the wall of the school office before fatal"&amp;"ly shooting himself. Shooter was investigated by the FBI and made extensive online posts and searches about school shootings. Shooter had attempted to buy a semi-automatic rifle. Shooter had created an video game map of the school that he used to practice"&amp;" prior to the attack and discussed the shooting online with other mass shooters.")</f>
        <v>21-year-old former student pretended to be a student to gain entry into the building. School employees saw him with a handgun and called for a lockdown. Shooter fatally shot two students, then fired shots through the wall of the school office before fatally shooting himself. Shooter was investigated by the FBI and made extensive online posts and searches about school shootings. Shooter had attempted to buy a semi-automatic rifle. Shooter had created an video game map of the school that he used to practice prior to the attack and discussed the shooting online with other mass shooters.</v>
      </c>
      <c r="AA1794" s="8" t="str">
        <f ca="1">IFERROR(__xludf.DUMMYFUNCTION("""COMPUTED_VALUE"""),"Indiscriminate Shooting")</f>
        <v>Indiscriminate Shooting</v>
      </c>
      <c r="AB1794" s="8"/>
      <c r="AC1794" s="8" t="str">
        <f ca="1">IFERROR(__xludf.DUMMYFUNCTION("""COMPUTED_VALUE"""),"Yes")</f>
        <v>Yes</v>
      </c>
      <c r="AD1794" s="8" t="str">
        <f ca="1">IFERROR(__xludf.DUMMYFUNCTION("""COMPUTED_VALUE"""),"Random Shooting")</f>
        <v>Random Shooting</v>
      </c>
      <c r="AE1794" s="8" t="str">
        <f ca="1">IFERROR(__xludf.DUMMYFUNCTION("""COMPUTED_VALUE"""),"No")</f>
        <v>No</v>
      </c>
      <c r="AF1794" s="8"/>
      <c r="AG1794" s="8" t="str">
        <f ca="1">IFERROR(__xludf.DUMMYFUNCTION("""COMPUTED_VALUE"""),"No")</f>
        <v>No</v>
      </c>
      <c r="AH1794" s="8" t="str">
        <f ca="1">IFERROR(__xludf.DUMMYFUNCTION("""COMPUTED_VALUE"""),"No")</f>
        <v>No</v>
      </c>
      <c r="AI1794" s="8" t="str">
        <f ca="1">IFERROR(__xludf.DUMMYFUNCTION("""COMPUTED_VALUE"""),"No")</f>
        <v>No</v>
      </c>
      <c r="AJ1794" s="8" t="str">
        <f ca="1">IFERROR(__xludf.DUMMYFUNCTION("""COMPUTED_VALUE"""),"Yes")</f>
        <v>Yes</v>
      </c>
      <c r="AK1794" s="8" t="str">
        <f ca="1">IFERROR(__xludf.DUMMYFUNCTION("""COMPUTED_VALUE"""),"No")</f>
        <v>No</v>
      </c>
      <c r="AL1794" s="8" t="str">
        <f ca="1">IFERROR(__xludf.DUMMYFUNCTION("""COMPUTED_VALUE"""),"No")</f>
        <v>No</v>
      </c>
      <c r="AM1794" s="8" t="str">
        <f ca="1">IFERROR(__xludf.DUMMYFUNCTION("""COMPUTED_VALUE"""),"Yes")</f>
        <v>Yes</v>
      </c>
      <c r="AN1794" s="8" t="str">
        <f ca="1">IFERROR(__xludf.DUMMYFUNCTION("""COMPUTED_VALUE"""),"Multiple Rooms")</f>
        <v>Multiple Rooms</v>
      </c>
      <c r="AO1794" s="8" t="str">
        <f ca="1">IFERROR(__xludf.DUMMYFUNCTION("""COMPUTED_VALUE"""),"Yes")</f>
        <v>Yes</v>
      </c>
      <c r="AP1794" s="8" t="str">
        <f ca="1">IFERROR(__xludf.DUMMYFUNCTION("""COMPUTED_VALUE"""),"No")</f>
        <v>No</v>
      </c>
      <c r="AQ1794" s="8" t="str">
        <f ca="1">IFERROR(__xludf.DUMMYFUNCTION("""COMPUTED_VALUE"""),"Unknown")</f>
        <v>Unknown</v>
      </c>
      <c r="AR1794" s="8" t="str">
        <f ca="1">IFERROR(__xludf.DUMMYFUNCTION("""COMPUTED_VALUE"""),"NA")</f>
        <v>NA</v>
      </c>
      <c r="AS1794" s="8">
        <f ca="1">IFERROR(__xludf.DUMMYFUNCTION("""COMPUTED_VALUE"""),82)</f>
        <v>82</v>
      </c>
      <c r="AT1794" s="8" t="str">
        <f ca="1">IFERROR(__xludf.DUMMYFUNCTION("""COMPUTED_VALUE"""),"Yes")</f>
        <v>Yes</v>
      </c>
      <c r="AU1794" s="8">
        <f ca="1">IFERROR(__xludf.DUMMYFUNCTION("""COMPUTED_VALUE"""),36.820644)</f>
        <v>36.820644000000001</v>
      </c>
      <c r="AV1794" s="8">
        <f ca="1">IFERROR(__xludf.DUMMYFUNCTION("""COMPUTED_VALUE"""),-107.990379)</f>
        <v>-107.990379</v>
      </c>
      <c r="AW1794" s="8"/>
      <c r="AX1794" s="8">
        <f ca="1">IFERROR(__xludf.DUMMYFUNCTION("""COMPUTED_VALUE"""),87410)</f>
        <v>87410</v>
      </c>
    </row>
    <row r="1795" spans="1:50" ht="30" x14ac:dyDescent="0.2">
      <c r="A1795" s="8" t="str">
        <f ca="1">IFERROR(__xludf.DUMMYFUNCTION("""COMPUTED_VALUE"""),"20171130VASAV")</f>
        <v>20171130VASAV</v>
      </c>
      <c r="B1795" s="8">
        <f ca="1">IFERROR(__xludf.DUMMYFUNCTION("""COMPUTED_VALUE"""),11)</f>
        <v>11</v>
      </c>
      <c r="C1795" s="8">
        <f ca="1">IFERROR(__xludf.DUMMYFUNCTION("""COMPUTED_VALUE"""),30)</f>
        <v>30</v>
      </c>
      <c r="D1795" s="8">
        <f ca="1">IFERROR(__xludf.DUMMYFUNCTION("""COMPUTED_VALUE"""),2017)</f>
        <v>2017</v>
      </c>
      <c r="E1795" s="9">
        <f ca="1">IFERROR(__xludf.DUMMYFUNCTION("""COMPUTED_VALUE"""),43069)</f>
        <v>43069</v>
      </c>
      <c r="F1795" s="8" t="str">
        <f ca="1">IFERROR(__xludf.DUMMYFUNCTION("""COMPUTED_VALUE"""),"Salem High School")</f>
        <v>Salem High School</v>
      </c>
      <c r="G1795" s="8">
        <f ca="1">IFERROR(__xludf.DUMMYFUNCTION("""COMPUTED_VALUE"""),0)</f>
        <v>0</v>
      </c>
      <c r="H1795" s="8">
        <f ca="1">IFERROR(__xludf.DUMMYFUNCTION("""COMPUTED_VALUE"""),0)</f>
        <v>0</v>
      </c>
      <c r="I1795" s="8">
        <f ca="1">IFERROR(__xludf.DUMMYFUNCTION("""COMPUTED_VALUE"""),0)</f>
        <v>0</v>
      </c>
      <c r="J1795" s="8">
        <f ca="1">IFERROR(__xludf.DUMMYFUNCTION("""COMPUTED_VALUE"""),1)</f>
        <v>1</v>
      </c>
      <c r="K1795" s="8" t="str">
        <f ca="1">IFERROR(__xludf.DUMMYFUNCTION("""COMPUTED_VALUE"""),"https://wtkr.com/2017/12/01/police-salem-hs-student-died-from-self-inflicted-gunshot-wound/ .  https://wtkr.com/2017/12/01/school-mourns-after-teen-shot-himself-in-school-bathroom/ https://www.wavy.com/news/salem-high-school-on-lockdown-due-to-student-wit"&amp;"h-medical-emergency/1078260255")</f>
        <v>https://wtkr.com/2017/12/01/police-salem-hs-student-died-from-self-inflicted-gunshot-wound/ .  https://wtkr.com/2017/12/01/school-mourns-after-teen-shot-himself-in-school-bathroom/ https://www.wavy.com/news/salem-high-school-on-lockdown-due-to-student-with-medical-emergency/1078260255</v>
      </c>
      <c r="L1795" s="8"/>
      <c r="M1795" s="8"/>
      <c r="N1795" s="8">
        <f ca="1">IFERROR(__xludf.DUMMYFUNCTION("""COMPUTED_VALUE"""),3)</f>
        <v>3</v>
      </c>
      <c r="O1795" s="8" t="str">
        <f ca="1">IFERROR(__xludf.DUMMYFUNCTION("""COMPUTED_VALUE"""),"Fall")</f>
        <v>Fall</v>
      </c>
      <c r="P1795" s="8" t="str">
        <f ca="1">IFERROR(__xludf.DUMMYFUNCTION("""COMPUTED_VALUE"""),"Virginia Beach")</f>
        <v>Virginia Beach</v>
      </c>
      <c r="Q1795" s="8" t="str">
        <f ca="1">IFERROR(__xludf.DUMMYFUNCTION("""COMPUTED_VALUE"""),"VA")</f>
        <v>VA</v>
      </c>
      <c r="R1795" s="8" t="str">
        <f ca="1">IFERROR(__xludf.DUMMYFUNCTION("""COMPUTED_VALUE"""),"High")</f>
        <v>High</v>
      </c>
      <c r="S1795" s="8" t="str">
        <f ca="1">IFERROR(__xludf.DUMMYFUNCTION("""COMPUTED_VALUE"""),"Inside School Building")</f>
        <v>Inside School Building</v>
      </c>
      <c r="T1795" s="8" t="str">
        <f ca="1">IFERROR(__xludf.DUMMYFUNCTION("""COMPUTED_VALUE"""),"Inside School Building")</f>
        <v>Inside School Building</v>
      </c>
      <c r="U1795" s="8" t="str">
        <f ca="1">IFERROR(__xludf.DUMMYFUNCTION("""COMPUTED_VALUE"""),"Yes")</f>
        <v>Yes</v>
      </c>
      <c r="V1795" s="8" t="str">
        <f ca="1">IFERROR(__xludf.DUMMYFUNCTION("""COMPUTED_VALUE"""),"School Start")</f>
        <v>School Start</v>
      </c>
      <c r="W1795" s="11">
        <f ca="1">IFERROR(__xludf.DUMMYFUNCTION("""COMPUTED_VALUE"""),0.340277777777777)</f>
        <v>0.34027777777777701</v>
      </c>
      <c r="X1795" s="8">
        <f ca="1">IFERROR(__xludf.DUMMYFUNCTION("""COMPUTED_VALUE"""),1)</f>
        <v>1</v>
      </c>
      <c r="Y1795" s="12" t="str">
        <f ca="1">IFERROR(__xludf.DUMMYFUNCTION("""COMPUTED_VALUE"""),"Student commit suicide in school")</f>
        <v>Student commit suicide in school</v>
      </c>
      <c r="Z1795" s="12" t="str">
        <f ca="1">IFERROR(__xludf.DUMMYFUNCTION("""COMPUTED_VALUE"""),"Student commit suicide inside school. Details unknown.")</f>
        <v>Student commit suicide inside school. Details unknown.</v>
      </c>
      <c r="AA1795" s="8" t="str">
        <f ca="1">IFERROR(__xludf.DUMMYFUNCTION("""COMPUTED_VALUE"""),"Suicide/Attempted")</f>
        <v>Suicide/Attempted</v>
      </c>
      <c r="AB1795" s="8"/>
      <c r="AC1795" s="8" t="str">
        <f ca="1">IFERROR(__xludf.DUMMYFUNCTION("""COMPUTED_VALUE"""),"Yes")</f>
        <v>Yes</v>
      </c>
      <c r="AD1795" s="8" t="str">
        <f ca="1">IFERROR(__xludf.DUMMYFUNCTION("""COMPUTED_VALUE"""),"Victims Targeted")</f>
        <v>Victims Targeted</v>
      </c>
      <c r="AE1795" s="8" t="str">
        <f ca="1">IFERROR(__xludf.DUMMYFUNCTION("""COMPUTED_VALUE"""),"No")</f>
        <v>No</v>
      </c>
      <c r="AF1795" s="8"/>
      <c r="AG1795" s="8" t="str">
        <f ca="1">IFERROR(__xludf.DUMMYFUNCTION("""COMPUTED_VALUE"""),"No")</f>
        <v>No</v>
      </c>
      <c r="AH1795" s="8" t="str">
        <f ca="1">IFERROR(__xludf.DUMMYFUNCTION("""COMPUTED_VALUE"""),"No")</f>
        <v>No</v>
      </c>
      <c r="AI1795" s="8" t="str">
        <f ca="1">IFERROR(__xludf.DUMMYFUNCTION("""COMPUTED_VALUE"""),"No")</f>
        <v>No</v>
      </c>
      <c r="AJ1795" s="8" t="str">
        <f ca="1">IFERROR(__xludf.DUMMYFUNCTION("""COMPUTED_VALUE"""),"No")</f>
        <v>No</v>
      </c>
      <c r="AK1795" s="8" t="str">
        <f ca="1">IFERROR(__xludf.DUMMYFUNCTION("""COMPUTED_VALUE"""),"No")</f>
        <v>No</v>
      </c>
      <c r="AL1795" s="8" t="str">
        <f ca="1">IFERROR(__xludf.DUMMYFUNCTION("""COMPUTED_VALUE"""),"No")</f>
        <v>No</v>
      </c>
      <c r="AM1795" s="8" t="str">
        <f ca="1">IFERROR(__xludf.DUMMYFUNCTION("""COMPUTED_VALUE"""),"No")</f>
        <v>No</v>
      </c>
      <c r="AN1795" s="8"/>
      <c r="AO1795" s="8" t="str">
        <f ca="1">IFERROR(__xludf.DUMMYFUNCTION("""COMPUTED_VALUE"""),"No")</f>
        <v>No</v>
      </c>
      <c r="AP1795" s="8"/>
      <c r="AQ1795" s="8" t="str">
        <f ca="1">IFERROR(__xludf.DUMMYFUNCTION("""COMPUTED_VALUE"""),"Unknown")</f>
        <v>Unknown</v>
      </c>
      <c r="AR1795" s="8" t="str">
        <f ca="1">IFERROR(__xludf.DUMMYFUNCTION("""COMPUTED_VALUE"""),"NA")</f>
        <v>NA</v>
      </c>
      <c r="AS1795" s="8">
        <f ca="1">IFERROR(__xludf.DUMMYFUNCTION("""COMPUTED_VALUE"""),1)</f>
        <v>1</v>
      </c>
      <c r="AT1795" s="8"/>
      <c r="AU1795" s="8">
        <f ca="1">IFERROR(__xludf.DUMMYFUNCTION("""COMPUTED_VALUE"""),36.782203)</f>
        <v>36.782203000000003</v>
      </c>
      <c r="AV1795" s="8">
        <f ca="1">IFERROR(__xludf.DUMMYFUNCTION("""COMPUTED_VALUE"""),-76.144101)</f>
        <v>-76.144101000000006</v>
      </c>
      <c r="AW1795" s="8"/>
      <c r="AX1795" s="8">
        <f ca="1">IFERROR(__xludf.DUMMYFUNCTION("""COMPUTED_VALUE"""),23464)</f>
        <v>23464</v>
      </c>
    </row>
    <row r="1796" spans="1:50" ht="60" x14ac:dyDescent="0.2">
      <c r="A1796" s="8" t="str">
        <f ca="1">IFERROR(__xludf.DUMMYFUNCTION("""COMPUTED_VALUE"""),"20171129OHBAL")</f>
        <v>20171129OHBAL</v>
      </c>
      <c r="B1796" s="8">
        <f ca="1">IFERROR(__xludf.DUMMYFUNCTION("""COMPUTED_VALUE"""),11)</f>
        <v>11</v>
      </c>
      <c r="C1796" s="8">
        <f ca="1">IFERROR(__xludf.DUMMYFUNCTION("""COMPUTED_VALUE"""),29)</f>
        <v>29</v>
      </c>
      <c r="D1796" s="8">
        <f ca="1">IFERROR(__xludf.DUMMYFUNCTION("""COMPUTED_VALUE"""),2017)</f>
        <v>2017</v>
      </c>
      <c r="E1796" s="9">
        <f ca="1">IFERROR(__xludf.DUMMYFUNCTION("""COMPUTED_VALUE"""),43068)</f>
        <v>43068</v>
      </c>
      <c r="F1796" s="8" t="str">
        <f ca="1">IFERROR(__xludf.DUMMYFUNCTION("""COMPUTED_VALUE"""),"Bath High School")</f>
        <v>Bath High School</v>
      </c>
      <c r="G1796" s="8">
        <f ca="1">IFERROR(__xludf.DUMMYFUNCTION("""COMPUTED_VALUE"""),0)</f>
        <v>0</v>
      </c>
      <c r="H1796" s="8">
        <f ca="1">IFERROR(__xludf.DUMMYFUNCTION("""COMPUTED_VALUE"""),0)</f>
        <v>0</v>
      </c>
      <c r="I1796" s="8">
        <f ca="1">IFERROR(__xludf.DUMMYFUNCTION("""COMPUTED_VALUE"""),0)</f>
        <v>0</v>
      </c>
      <c r="J1796" s="8">
        <f ca="1">IFERROR(__xludf.DUMMYFUNCTION("""COMPUTED_VALUE"""),0)</f>
        <v>0</v>
      </c>
      <c r="K1796" s="10" t="str">
        <f ca="1">IFERROR(__xludf.DUMMYFUNCTION("""COMPUTED_VALUE"""),"https://www.limaohio.com/news/273390/lima-man-arrested-after-gun-goes-off-accidentally-at-bath-high-school")</f>
        <v>https://www.limaohio.com/news/273390/lima-man-arrested-after-gun-goes-off-accidentally-at-bath-high-school</v>
      </c>
      <c r="L1796" s="8"/>
      <c r="M1796" s="8"/>
      <c r="N1796" s="8">
        <f ca="1">IFERROR(__xludf.DUMMYFUNCTION("""COMPUTED_VALUE"""),2)</f>
        <v>2</v>
      </c>
      <c r="O1796" s="8" t="str">
        <f ca="1">IFERROR(__xludf.DUMMYFUNCTION("""COMPUTED_VALUE"""),"Fall")</f>
        <v>Fall</v>
      </c>
      <c r="P1796" s="8" t="str">
        <f ca="1">IFERROR(__xludf.DUMMYFUNCTION("""COMPUTED_VALUE"""),"Lima")</f>
        <v>Lima</v>
      </c>
      <c r="Q1796" s="8" t="str">
        <f ca="1">IFERROR(__xludf.DUMMYFUNCTION("""COMPUTED_VALUE"""),"OH")</f>
        <v>OH</v>
      </c>
      <c r="R1796" s="8" t="str">
        <f ca="1">IFERROR(__xludf.DUMMYFUNCTION("""COMPUTED_VALUE"""),"High")</f>
        <v>High</v>
      </c>
      <c r="S1796" s="8" t="str">
        <f ca="1">IFERROR(__xludf.DUMMYFUNCTION("""COMPUTED_VALUE"""),"Gym")</f>
        <v>Gym</v>
      </c>
      <c r="T1796" s="8" t="str">
        <f ca="1">IFERROR(__xludf.DUMMYFUNCTION("""COMPUTED_VALUE"""),"Inside School Building")</f>
        <v>Inside School Building</v>
      </c>
      <c r="U1796" s="8" t="str">
        <f ca="1">IFERROR(__xludf.DUMMYFUNCTION("""COMPUTED_VALUE"""),"No")</f>
        <v>No</v>
      </c>
      <c r="V1796" s="8" t="str">
        <f ca="1">IFERROR(__xludf.DUMMYFUNCTION("""COMPUTED_VALUE"""),"Evening")</f>
        <v>Evening</v>
      </c>
      <c r="W1796" s="11">
        <f ca="1">IFERROR(__xludf.DUMMYFUNCTION("""COMPUTED_VALUE"""),0.791666666666666)</f>
        <v>0.79166666666666596</v>
      </c>
      <c r="X1796" s="8">
        <f ca="1">IFERROR(__xludf.DUMMYFUNCTION("""COMPUTED_VALUE"""),1)</f>
        <v>1</v>
      </c>
      <c r="Y1796" s="12" t="str">
        <f ca="1">IFERROR(__xludf.DUMMYFUNCTION("""COMPUTED_VALUE"""),"Gun discharged in man's pocket while at basketball referees' meeting")</f>
        <v>Gun discharged in man's pocket while at basketball referees' meeting</v>
      </c>
      <c r="Z1796" s="12" t="str">
        <f ca="1">IFERROR(__xludf.DUMMYFUNCTION("""COMPUTED_VALUE"""),"Gun discharged in 49YOM pocket while attending basketball referees meeting. No injuries. Arrested and charged with possession of firearm at school.")</f>
        <v>Gun discharged in 49YOM pocket while attending basketball referees meeting. No injuries. Arrested and charged with possession of firearm at school.</v>
      </c>
      <c r="AA1796" s="8" t="str">
        <f ca="1">IFERROR(__xludf.DUMMYFUNCTION("""COMPUTED_VALUE"""),"Accidental")</f>
        <v>Accidental</v>
      </c>
      <c r="AB1796" s="8"/>
      <c r="AC1796" s="8" t="str">
        <f ca="1">IFERROR(__xludf.DUMMYFUNCTION("""COMPUTED_VALUE"""),"No")</f>
        <v>No</v>
      </c>
      <c r="AD1796" s="8" t="str">
        <f ca="1">IFERROR(__xludf.DUMMYFUNCTION("""COMPUTED_VALUE"""),"Neither")</f>
        <v>Neither</v>
      </c>
      <c r="AE1796" s="8" t="str">
        <f ca="1">IFERROR(__xludf.DUMMYFUNCTION("""COMPUTED_VALUE"""),"No")</f>
        <v>No</v>
      </c>
      <c r="AF1796" s="8"/>
      <c r="AG1796" s="8" t="str">
        <f ca="1">IFERROR(__xludf.DUMMYFUNCTION("""COMPUTED_VALUE"""),"No")</f>
        <v>No</v>
      </c>
      <c r="AH1796" s="8" t="str">
        <f ca="1">IFERROR(__xludf.DUMMYFUNCTION("""COMPUTED_VALUE"""),"No")</f>
        <v>No</v>
      </c>
      <c r="AI1796" s="8" t="str">
        <f ca="1">IFERROR(__xludf.DUMMYFUNCTION("""COMPUTED_VALUE"""),"No")</f>
        <v>No</v>
      </c>
      <c r="AJ1796" s="8" t="str">
        <f ca="1">IFERROR(__xludf.DUMMYFUNCTION("""COMPUTED_VALUE"""),"No")</f>
        <v>No</v>
      </c>
      <c r="AK1796" s="8" t="str">
        <f ca="1">IFERROR(__xludf.DUMMYFUNCTION("""COMPUTED_VALUE"""),"No")</f>
        <v>No</v>
      </c>
      <c r="AL1796" s="8" t="str">
        <f ca="1">IFERROR(__xludf.DUMMYFUNCTION("""COMPUTED_VALUE"""),"No")</f>
        <v>No</v>
      </c>
      <c r="AM1796" s="8" t="str">
        <f ca="1">IFERROR(__xludf.DUMMYFUNCTION("""COMPUTED_VALUE"""),"No")</f>
        <v>No</v>
      </c>
      <c r="AN1796" s="8"/>
      <c r="AO1796" s="8" t="str">
        <f ca="1">IFERROR(__xludf.DUMMYFUNCTION("""COMPUTED_VALUE"""),"No")</f>
        <v>No</v>
      </c>
      <c r="AP1796" s="8"/>
      <c r="AQ1796" s="8" t="str">
        <f ca="1">IFERROR(__xludf.DUMMYFUNCTION("""COMPUTED_VALUE"""),"Unknown")</f>
        <v>Unknown</v>
      </c>
      <c r="AR1796" s="8" t="str">
        <f ca="1">IFERROR(__xludf.DUMMYFUNCTION("""COMPUTED_VALUE"""),"NA")</f>
        <v>NA</v>
      </c>
      <c r="AS1796" s="8">
        <f ca="1">IFERROR(__xludf.DUMMYFUNCTION("""COMPUTED_VALUE"""),1)</f>
        <v>1</v>
      </c>
      <c r="AT1796" s="8"/>
      <c r="AU1796" s="8">
        <f ca="1">IFERROR(__xludf.DUMMYFUNCTION("""COMPUTED_VALUE"""),40.77288)</f>
        <v>40.772880000000001</v>
      </c>
      <c r="AV1796" s="8">
        <f ca="1">IFERROR(__xludf.DUMMYFUNCTION("""COMPUTED_VALUE"""),-84.052087)</f>
        <v>-84.052087</v>
      </c>
      <c r="AW1796" s="8"/>
      <c r="AX1796" s="8">
        <f ca="1">IFERROR(__xludf.DUMMYFUNCTION("""COMPUTED_VALUE"""),45801)</f>
        <v>45801</v>
      </c>
    </row>
    <row r="1797" spans="1:50" ht="30" x14ac:dyDescent="0.2">
      <c r="A1797" s="8" t="str">
        <f ca="1">IFERROR(__xludf.DUMMYFUNCTION("""COMPUTED_VALUE"""),"20171128CABOS")</f>
        <v>20171128CABOS</v>
      </c>
      <c r="B1797" s="8">
        <f ca="1">IFERROR(__xludf.DUMMYFUNCTION("""COMPUTED_VALUE"""),11)</f>
        <v>11</v>
      </c>
      <c r="C1797" s="8">
        <f ca="1">IFERROR(__xludf.DUMMYFUNCTION("""COMPUTED_VALUE"""),28)</f>
        <v>28</v>
      </c>
      <c r="D1797" s="8">
        <f ca="1">IFERROR(__xludf.DUMMYFUNCTION("""COMPUTED_VALUE"""),2017)</f>
        <v>2017</v>
      </c>
      <c r="E1797" s="9">
        <f ca="1">IFERROR(__xludf.DUMMYFUNCTION("""COMPUTED_VALUE"""),43067)</f>
        <v>43067</v>
      </c>
      <c r="F1797" s="8" t="str">
        <f ca="1">IFERROR(__xludf.DUMMYFUNCTION("""COMPUTED_VALUE"""),"Booksin Elementary School")</f>
        <v>Booksin Elementary School</v>
      </c>
      <c r="G1797" s="8">
        <f ca="1">IFERROR(__xludf.DUMMYFUNCTION("""COMPUTED_VALUE"""),0)</f>
        <v>0</v>
      </c>
      <c r="H1797" s="8">
        <f ca="1">IFERROR(__xludf.DUMMYFUNCTION("""COMPUTED_VALUE"""),0)</f>
        <v>0</v>
      </c>
      <c r="I1797" s="8">
        <f ca="1">IFERROR(__xludf.DUMMYFUNCTION("""COMPUTED_VALUE"""),0)</f>
        <v>0</v>
      </c>
      <c r="J1797" s="8">
        <f ca="1">IFERROR(__xludf.DUMMYFUNCTION("""COMPUTED_VALUE"""),0)</f>
        <v>0</v>
      </c>
      <c r="K1797" s="8" t="str">
        <f ca="1">IFERROR(__xludf.DUMMYFUNCTION("""COMPUTED_VALUE"""),"http://www.ktvu.com/news/suspect-arrested-after-bullets-fired-at-booksin-elementary-in-san-jose  https://www.nbcbayarea.com/news/local/Arrest-Shooting-Booksin-Elementary-School-San-Jose-Police-460768833.html")</f>
        <v>http://www.ktvu.com/news/suspect-arrested-after-bullets-fired-at-booksin-elementary-in-san-jose  https://www.nbcbayarea.com/news/local/Arrest-Shooting-Booksin-Elementary-School-San-Jose-Police-460768833.html</v>
      </c>
      <c r="L1797" s="8"/>
      <c r="M1797" s="8"/>
      <c r="N1797" s="8">
        <f ca="1">IFERROR(__xludf.DUMMYFUNCTION("""COMPUTED_VALUE"""),3)</f>
        <v>3</v>
      </c>
      <c r="O1797" s="8" t="str">
        <f ca="1">IFERROR(__xludf.DUMMYFUNCTION("""COMPUTED_VALUE"""),"Fall")</f>
        <v>Fall</v>
      </c>
      <c r="P1797" s="8" t="str">
        <f ca="1">IFERROR(__xludf.DUMMYFUNCTION("""COMPUTED_VALUE"""),"San Jose")</f>
        <v>San Jose</v>
      </c>
      <c r="Q1797" s="8" t="str">
        <f ca="1">IFERROR(__xludf.DUMMYFUNCTION("""COMPUTED_VALUE"""),"CA")</f>
        <v>CA</v>
      </c>
      <c r="R1797" s="8" t="str">
        <f ca="1">IFERROR(__xludf.DUMMYFUNCTION("""COMPUTED_VALUE"""),"Elementary")</f>
        <v>Elementary</v>
      </c>
      <c r="S1797" s="8" t="str">
        <f ca="1">IFERROR(__xludf.DUMMYFUNCTION("""COMPUTED_VALUE"""),"Beside Building")</f>
        <v>Beside Building</v>
      </c>
      <c r="T1797" s="8" t="str">
        <f ca="1">IFERROR(__xludf.DUMMYFUNCTION("""COMPUTED_VALUE"""),"Outside on School Property")</f>
        <v>Outside on School Property</v>
      </c>
      <c r="U1797" s="8" t="str">
        <f ca="1">IFERROR(__xludf.DUMMYFUNCTION("""COMPUTED_VALUE"""),"No")</f>
        <v>No</v>
      </c>
      <c r="V1797" s="8" t="str">
        <f ca="1">IFERROR(__xludf.DUMMYFUNCTION("""COMPUTED_VALUE"""),"Night")</f>
        <v>Night</v>
      </c>
      <c r="W1797" s="11">
        <f ca="1">IFERROR(__xludf.DUMMYFUNCTION("""COMPUTED_VALUE"""),0.166666666666666)</f>
        <v>0.16666666666666599</v>
      </c>
      <c r="X1797" s="8">
        <f ca="1">IFERROR(__xludf.DUMMYFUNCTION("""COMPUTED_VALUE"""),1)</f>
        <v>1</v>
      </c>
      <c r="Y1797" s="12" t="str">
        <f ca="1">IFERROR(__xludf.DUMMYFUNCTION("""COMPUTED_VALUE"""),"Shot school security cameras")</f>
        <v>Shot school security cameras</v>
      </c>
      <c r="Z1797" s="12" t="str">
        <f ca="1">IFERROR(__xludf.DUMMYFUNCTION("""COMPUTED_VALUE"""),"Shooter shot two school security cameras. Later arrested at his home. Unknown motive.")</f>
        <v>Shooter shot two school security cameras. Later arrested at his home. Unknown motive.</v>
      </c>
      <c r="AA1797" s="8" t="str">
        <f ca="1">IFERROR(__xludf.DUMMYFUNCTION("""COMPUTED_VALUE"""),"Intentional Property Damage")</f>
        <v>Intentional Property Damage</v>
      </c>
      <c r="AB1797" s="8"/>
      <c r="AC1797" s="8" t="str">
        <f ca="1">IFERROR(__xludf.DUMMYFUNCTION("""COMPUTED_VALUE"""),"Yes")</f>
        <v>Yes</v>
      </c>
      <c r="AD1797" s="8" t="str">
        <f ca="1">IFERROR(__xludf.DUMMYFUNCTION("""COMPUTED_VALUE"""),"NA")</f>
        <v>NA</v>
      </c>
      <c r="AE1797" s="8"/>
      <c r="AF1797" s="8"/>
      <c r="AG1797" s="8" t="str">
        <f ca="1">IFERROR(__xludf.DUMMYFUNCTION("""COMPUTED_VALUE"""),"No")</f>
        <v>No</v>
      </c>
      <c r="AH1797" s="8" t="str">
        <f ca="1">IFERROR(__xludf.DUMMYFUNCTION("""COMPUTED_VALUE"""),"No")</f>
        <v>No</v>
      </c>
      <c r="AI1797" s="8" t="str">
        <f ca="1">IFERROR(__xludf.DUMMYFUNCTION("""COMPUTED_VALUE"""),"No")</f>
        <v>No</v>
      </c>
      <c r="AJ1797" s="8" t="str">
        <f ca="1">IFERROR(__xludf.DUMMYFUNCTION("""COMPUTED_VALUE"""),"N/A")</f>
        <v>N/A</v>
      </c>
      <c r="AK1797" s="8" t="str">
        <f ca="1">IFERROR(__xludf.DUMMYFUNCTION("""COMPUTED_VALUE"""),"N/A")</f>
        <v>N/A</v>
      </c>
      <c r="AL1797" s="8" t="str">
        <f ca="1">IFERROR(__xludf.DUMMYFUNCTION("""COMPUTED_VALUE"""),"No")</f>
        <v>No</v>
      </c>
      <c r="AM1797" s="8" t="str">
        <f ca="1">IFERROR(__xludf.DUMMYFUNCTION("""COMPUTED_VALUE"""),"No")</f>
        <v>No</v>
      </c>
      <c r="AN1797" s="8"/>
      <c r="AO1797" s="8" t="str">
        <f ca="1">IFERROR(__xludf.DUMMYFUNCTION("""COMPUTED_VALUE"""),"No")</f>
        <v>No</v>
      </c>
      <c r="AP1797" s="8"/>
      <c r="AQ1797" s="8" t="str">
        <f ca="1">IFERROR(__xludf.DUMMYFUNCTION("""COMPUTED_VALUE"""),"Unknown")</f>
        <v>Unknown</v>
      </c>
      <c r="AR1797" s="8" t="str">
        <f ca="1">IFERROR(__xludf.DUMMYFUNCTION("""COMPUTED_VALUE"""),"NA")</f>
        <v>NA</v>
      </c>
      <c r="AS1797" s="8"/>
      <c r="AT1797" s="8"/>
      <c r="AU1797" s="8">
        <f ca="1">IFERROR(__xludf.DUMMYFUNCTION("""COMPUTED_VALUE"""),37.288218)</f>
        <v>37.288218000000001</v>
      </c>
      <c r="AV1797" s="8">
        <f ca="1">IFERROR(__xludf.DUMMYFUNCTION("""COMPUTED_VALUE"""),-121.905659)</f>
        <v>-121.905659</v>
      </c>
      <c r="AW1797" s="8"/>
      <c r="AX1797" s="8">
        <f ca="1">IFERROR(__xludf.DUMMYFUNCTION("""COMPUTED_VALUE"""),95125)</f>
        <v>95125</v>
      </c>
    </row>
    <row r="1798" spans="1:50" ht="75" x14ac:dyDescent="0.2">
      <c r="A1798" s="8" t="str">
        <f ca="1">IFERROR(__xludf.DUMMYFUNCTION("""COMPUTED_VALUE"""),"20171123COMAD")</f>
        <v>20171123COMAD</v>
      </c>
      <c r="B1798" s="8">
        <f ca="1">IFERROR(__xludf.DUMMYFUNCTION("""COMPUTED_VALUE"""),11)</f>
        <v>11</v>
      </c>
      <c r="C1798" s="8">
        <f ca="1">IFERROR(__xludf.DUMMYFUNCTION("""COMPUTED_VALUE"""),23)</f>
        <v>23</v>
      </c>
      <c r="D1798" s="8">
        <f ca="1">IFERROR(__xludf.DUMMYFUNCTION("""COMPUTED_VALUE"""),2017)</f>
        <v>2017</v>
      </c>
      <c r="E1798" s="9">
        <f ca="1">IFERROR(__xludf.DUMMYFUNCTION("""COMPUTED_VALUE"""),43062)</f>
        <v>43062</v>
      </c>
      <c r="F1798" s="8" t="str">
        <f ca="1">IFERROR(__xludf.DUMMYFUNCTION("""COMPUTED_VALUE"""),"Manual High School")</f>
        <v>Manual High School</v>
      </c>
      <c r="G1798" s="8">
        <f ca="1">IFERROR(__xludf.DUMMYFUNCTION("""COMPUTED_VALUE"""),0)</f>
        <v>0</v>
      </c>
      <c r="H1798" s="8">
        <f ca="1">IFERROR(__xludf.DUMMYFUNCTION("""COMPUTED_VALUE"""),3)</f>
        <v>3</v>
      </c>
      <c r="I1798" s="8">
        <f ca="1">IFERROR(__xludf.DUMMYFUNCTION("""COMPUTED_VALUE"""),3)</f>
        <v>3</v>
      </c>
      <c r="J1798" s="8">
        <f ca="1">IFERROR(__xludf.DUMMYFUNCTION("""COMPUTED_VALUE"""),0)</f>
        <v>0</v>
      </c>
      <c r="K1798" s="10" t="str">
        <f ca="1">IFERROR(__xludf.DUMMYFUNCTION("""COMPUTED_VALUE"""),"https://www.denverpost.com/2017/11/23/shooting-near-manual-high-school-denver/")</f>
        <v>https://www.denverpost.com/2017/11/23/shooting-near-manual-high-school-denver/</v>
      </c>
      <c r="L1798" s="8"/>
      <c r="M1798" s="8"/>
      <c r="N1798" s="8">
        <f ca="1">IFERROR(__xludf.DUMMYFUNCTION("""COMPUTED_VALUE"""),2)</f>
        <v>2</v>
      </c>
      <c r="O1798" s="8" t="str">
        <f ca="1">IFERROR(__xludf.DUMMYFUNCTION("""COMPUTED_VALUE"""),"Fall")</f>
        <v>Fall</v>
      </c>
      <c r="P1798" s="8" t="str">
        <f ca="1">IFERROR(__xludf.DUMMYFUNCTION("""COMPUTED_VALUE"""),"Denver")</f>
        <v>Denver</v>
      </c>
      <c r="Q1798" s="8" t="str">
        <f ca="1">IFERROR(__xludf.DUMMYFUNCTION("""COMPUTED_VALUE"""),"CO")</f>
        <v>CO</v>
      </c>
      <c r="R1798" s="8" t="str">
        <f ca="1">IFERROR(__xludf.DUMMYFUNCTION("""COMPUTED_VALUE"""),"High")</f>
        <v>High</v>
      </c>
      <c r="S1798" s="8" t="str">
        <f ca="1">IFERROR(__xludf.DUMMYFUNCTION("""COMPUTED_VALUE"""),"Parking Lot")</f>
        <v>Parking Lot</v>
      </c>
      <c r="T1798" s="8" t="str">
        <f ca="1">IFERROR(__xludf.DUMMYFUNCTION("""COMPUTED_VALUE"""),"Outside on School Property")</f>
        <v>Outside on School Property</v>
      </c>
      <c r="U1798" s="8" t="str">
        <f ca="1">IFERROR(__xludf.DUMMYFUNCTION("""COMPUTED_VALUE"""),"No")</f>
        <v>No</v>
      </c>
      <c r="V1798" s="8" t="str">
        <f ca="1">IFERROR(__xludf.DUMMYFUNCTION("""COMPUTED_VALUE"""),"Not a School Day")</f>
        <v>Not a School Day</v>
      </c>
      <c r="W1798" s="11">
        <f ca="1">IFERROR(__xludf.DUMMYFUNCTION("""COMPUTED_VALUE"""),0.504166666666666)</f>
        <v>0.50416666666666599</v>
      </c>
      <c r="X1798" s="8">
        <f ca="1">IFERROR(__xludf.DUMMYFUNCTION("""COMPUTED_VALUE"""),1)</f>
        <v>1</v>
      </c>
      <c r="Y1798" s="12" t="str">
        <f ca="1">IFERROR(__xludf.DUMMYFUNCTION("""COMPUTED_VALUE"""),"Three gunman fired multiple shots at 3 victims inside of car in school parking lot")</f>
        <v>Three gunman fired multiple shots at 3 victims inside of car in school parking lot</v>
      </c>
      <c r="Z1798" s="12" t="str">
        <f ca="1">IFERROR(__xludf.DUMMYFUNCTION("""COMPUTED_VALUE"""),"Three unknown gunman fired multiple shots at 3 victims (woman and two boys) inside of a car parked in the school parking lot. Unknown suspects. Police said shooting was gang related.
 *Thanksgiving day and school was not in session")</f>
        <v>Three unknown gunman fired multiple shots at 3 victims (woman and two boys) inside of a car parked in the school parking lot. Unknown suspects. Police said shooting was gang related.
 *Thanksgiving day and school was not in session</v>
      </c>
      <c r="AA1798" s="8" t="str">
        <f ca="1">IFERROR(__xludf.DUMMYFUNCTION("""COMPUTED_VALUE"""),"Escalation of Dispute")</f>
        <v>Escalation of Dispute</v>
      </c>
      <c r="AB1798" s="8"/>
      <c r="AC1798" s="8" t="str">
        <f ca="1">IFERROR(__xludf.DUMMYFUNCTION("""COMPUTED_VALUE"""),"No")</f>
        <v>No</v>
      </c>
      <c r="AD1798" s="8"/>
      <c r="AE1798" s="8" t="str">
        <f ca="1">IFERROR(__xludf.DUMMYFUNCTION("""COMPUTED_VALUE"""),"Yes")</f>
        <v>Yes</v>
      </c>
      <c r="AF1798" s="8" t="str">
        <f ca="1">IFERROR(__xludf.DUMMYFUNCTION("""COMPUTED_VALUE"""),"Three gunmen")</f>
        <v>Three gunmen</v>
      </c>
      <c r="AG1798" s="8" t="str">
        <f ca="1">IFERROR(__xludf.DUMMYFUNCTION("""COMPUTED_VALUE"""),"No")</f>
        <v>No</v>
      </c>
      <c r="AH1798" s="8" t="str">
        <f ca="1">IFERROR(__xludf.DUMMYFUNCTION("""COMPUTED_VALUE"""),"No")</f>
        <v>No</v>
      </c>
      <c r="AI1798" s="8" t="str">
        <f ca="1">IFERROR(__xludf.DUMMYFUNCTION("""COMPUTED_VALUE"""),"No")</f>
        <v>No</v>
      </c>
      <c r="AJ1798" s="8" t="str">
        <f ca="1">IFERROR(__xludf.DUMMYFUNCTION("""COMPUTED_VALUE"""),"No")</f>
        <v>No</v>
      </c>
      <c r="AK1798" s="8" t="str">
        <f ca="1">IFERROR(__xludf.DUMMYFUNCTION("""COMPUTED_VALUE"""),"No")</f>
        <v>No</v>
      </c>
      <c r="AL1798" s="8" t="str">
        <f ca="1">IFERROR(__xludf.DUMMYFUNCTION("""COMPUTED_VALUE"""),"Yes")</f>
        <v>Yes</v>
      </c>
      <c r="AM1798" s="8" t="str">
        <f ca="1">IFERROR(__xludf.DUMMYFUNCTION("""COMPUTED_VALUE"""),"No")</f>
        <v>No</v>
      </c>
      <c r="AN1798" s="8"/>
      <c r="AO1798" s="8" t="str">
        <f ca="1">IFERROR(__xludf.DUMMYFUNCTION("""COMPUTED_VALUE"""),"No")</f>
        <v>No</v>
      </c>
      <c r="AP1798" s="8"/>
      <c r="AQ1798" s="8" t="str">
        <f ca="1">IFERROR(__xludf.DUMMYFUNCTION("""COMPUTED_VALUE"""),"Unknown")</f>
        <v>Unknown</v>
      </c>
      <c r="AR1798" s="8" t="str">
        <f ca="1">IFERROR(__xludf.DUMMYFUNCTION("""COMPUTED_VALUE"""),"NA")</f>
        <v>NA</v>
      </c>
      <c r="AS1798" s="8" t="str">
        <f ca="1">IFERROR(__xludf.DUMMYFUNCTION("""COMPUTED_VALUE"""),"&gt;10")</f>
        <v>&gt;10</v>
      </c>
      <c r="AT1798" s="8"/>
      <c r="AU1798" s="8">
        <f ca="1">IFERROR(__xludf.DUMMYFUNCTION("""COMPUTED_VALUE"""),39.756307)</f>
        <v>39.756307</v>
      </c>
      <c r="AV1798" s="8">
        <f ca="1">IFERROR(__xludf.DUMMYFUNCTION("""COMPUTED_VALUE"""),-104.967099)</f>
        <v>-104.967099</v>
      </c>
      <c r="AW1798" s="8"/>
      <c r="AX1798" s="8">
        <f ca="1">IFERROR(__xludf.DUMMYFUNCTION("""COMPUTED_VALUE"""),80205)</f>
        <v>80205</v>
      </c>
    </row>
    <row r="1799" spans="1:50" ht="75" x14ac:dyDescent="0.2">
      <c r="A1799" s="8" t="str">
        <f ca="1">IFERROR(__xludf.DUMMYFUNCTION("""COMPUTED_VALUE"""),"20171117TNNOJ")</f>
        <v>20171117TNNOJ</v>
      </c>
      <c r="B1799" s="8">
        <f ca="1">IFERROR(__xludf.DUMMYFUNCTION("""COMPUTED_VALUE"""),11)</f>
        <v>11</v>
      </c>
      <c r="C1799" s="8">
        <f ca="1">IFERROR(__xludf.DUMMYFUNCTION("""COMPUTED_VALUE"""),17)</f>
        <v>17</v>
      </c>
      <c r="D1799" s="8">
        <f ca="1">IFERROR(__xludf.DUMMYFUNCTION("""COMPUTED_VALUE"""),2017)</f>
        <v>2017</v>
      </c>
      <c r="E1799" s="9">
        <f ca="1">IFERROR(__xludf.DUMMYFUNCTION("""COMPUTED_VALUE"""),43056)</f>
        <v>43056</v>
      </c>
      <c r="F1799" s="8" t="str">
        <f ca="1">IFERROR(__xludf.DUMMYFUNCTION("""COMPUTED_VALUE"""),"North Side High School")</f>
        <v>North Side High School</v>
      </c>
      <c r="G1799" s="8">
        <f ca="1">IFERROR(__xludf.DUMMYFUNCTION("""COMPUTED_VALUE"""),0)</f>
        <v>0</v>
      </c>
      <c r="H1799" s="8">
        <f ca="1">IFERROR(__xludf.DUMMYFUNCTION("""COMPUTED_VALUE"""),0)</f>
        <v>0</v>
      </c>
      <c r="I1799" s="8">
        <f ca="1">IFERROR(__xludf.DUMMYFUNCTION("""COMPUTED_VALUE"""),0)</f>
        <v>0</v>
      </c>
      <c r="J1799" s="8">
        <f ca="1">IFERROR(__xludf.DUMMYFUNCTION("""COMPUTED_VALUE"""),0)</f>
        <v>0</v>
      </c>
      <c r="K1799" s="10" t="str">
        <f ca="1">IFERROR(__xludf.DUMMYFUNCTION("""COMPUTED_VALUE"""),"https://www.wbbjtv.com/2017/11/18/shots-fired-north-side-high-school-school-placed-brief-lockdown/")</f>
        <v>https://www.wbbjtv.com/2017/11/18/shots-fired-north-side-high-school-school-placed-brief-lockdown/</v>
      </c>
      <c r="L1799" s="8"/>
      <c r="M1799" s="8"/>
      <c r="N1799" s="8">
        <f ca="1">IFERROR(__xludf.DUMMYFUNCTION("""COMPUTED_VALUE"""),2)</f>
        <v>2</v>
      </c>
      <c r="O1799" s="8" t="str">
        <f ca="1">IFERROR(__xludf.DUMMYFUNCTION("""COMPUTED_VALUE"""),"Fall")</f>
        <v>Fall</v>
      </c>
      <c r="P1799" s="8" t="str">
        <f ca="1">IFERROR(__xludf.DUMMYFUNCTION("""COMPUTED_VALUE"""),"Jackson")</f>
        <v>Jackson</v>
      </c>
      <c r="Q1799" s="8" t="str">
        <f ca="1">IFERROR(__xludf.DUMMYFUNCTION("""COMPUTED_VALUE"""),"TN")</f>
        <v>TN</v>
      </c>
      <c r="R1799" s="8" t="str">
        <f ca="1">IFERROR(__xludf.DUMMYFUNCTION("""COMPUTED_VALUE"""),"High")</f>
        <v>High</v>
      </c>
      <c r="S1799" s="8" t="str">
        <f ca="1">IFERROR(__xludf.DUMMYFUNCTION("""COMPUTED_VALUE"""),"Parking Lot")</f>
        <v>Parking Lot</v>
      </c>
      <c r="T1799" s="8" t="str">
        <f ca="1">IFERROR(__xludf.DUMMYFUNCTION("""COMPUTED_VALUE"""),"Outside on School Property")</f>
        <v>Outside on School Property</v>
      </c>
      <c r="U1799" s="8" t="str">
        <f ca="1">IFERROR(__xludf.DUMMYFUNCTION("""COMPUTED_VALUE"""),"No")</f>
        <v>No</v>
      </c>
      <c r="V1799" s="8" t="str">
        <f ca="1">IFERROR(__xludf.DUMMYFUNCTION("""COMPUTED_VALUE"""),"Evening")</f>
        <v>Evening</v>
      </c>
      <c r="W1799" s="11">
        <f ca="1">IFERROR(__xludf.DUMMYFUNCTION("""COMPUTED_VALUE"""),0.895833333333333)</f>
        <v>0.89583333333333304</v>
      </c>
      <c r="X1799" s="8">
        <f ca="1">IFERROR(__xludf.DUMMYFUNCTION("""COMPUTED_VALUE"""),1)</f>
        <v>1</v>
      </c>
      <c r="Y1799" s="12" t="str">
        <f ca="1">IFERROR(__xludf.DUMMYFUNCTION("""COMPUTED_VALUE"""),"Shots fired in parking lot of school, school locked down, no injuries or suspect")</f>
        <v>Shots fired in parking lot of school, school locked down, no injuries or suspect</v>
      </c>
      <c r="Z1799" s="12" t="str">
        <f ca="1">IFERROR(__xludf.DUMMYFUNCTION("""COMPUTED_VALUE"""),"Multiple shots were fired in the parking lot of the school by an unknown gunman. No injuries or suspects.")</f>
        <v>Multiple shots were fired in the parking lot of the school by an unknown gunman. No injuries or suspects.</v>
      </c>
      <c r="AA1799" s="8" t="str">
        <f ca="1">IFERROR(__xludf.DUMMYFUNCTION("""COMPUTED_VALUE"""),"Escalation of Dispute")</f>
        <v>Escalation of Dispute</v>
      </c>
      <c r="AB1799" s="8"/>
      <c r="AC1799" s="8" t="str">
        <f ca="1">IFERROR(__xludf.DUMMYFUNCTION("""COMPUTED_VALUE"""),"No")</f>
        <v>No</v>
      </c>
      <c r="AD1799" s="8"/>
      <c r="AE1799" s="8" t="str">
        <f ca="1">IFERROR(__xludf.DUMMYFUNCTION("""COMPUTED_VALUE"""),"Unknown")</f>
        <v>Unknown</v>
      </c>
      <c r="AF1799" s="8"/>
      <c r="AG1799" s="8" t="str">
        <f ca="1">IFERROR(__xludf.DUMMYFUNCTION("""COMPUTED_VALUE"""),"No")</f>
        <v>No</v>
      </c>
      <c r="AH1799" s="8" t="str">
        <f ca="1">IFERROR(__xludf.DUMMYFUNCTION("""COMPUTED_VALUE"""),"No")</f>
        <v>No</v>
      </c>
      <c r="AI1799" s="8" t="str">
        <f ca="1">IFERROR(__xludf.DUMMYFUNCTION("""COMPUTED_VALUE"""),"No")</f>
        <v>No</v>
      </c>
      <c r="AJ1799" s="8" t="str">
        <f ca="1">IFERROR(__xludf.DUMMYFUNCTION("""COMPUTED_VALUE"""),"No")</f>
        <v>No</v>
      </c>
      <c r="AK1799" s="8" t="str">
        <f ca="1">IFERROR(__xludf.DUMMYFUNCTION("""COMPUTED_VALUE"""),"No")</f>
        <v>No</v>
      </c>
      <c r="AL1799" s="8"/>
      <c r="AM1799" s="8" t="str">
        <f ca="1">IFERROR(__xludf.DUMMYFUNCTION("""COMPUTED_VALUE"""),"No")</f>
        <v>No</v>
      </c>
      <c r="AN1799" s="8"/>
      <c r="AO1799" s="8" t="str">
        <f ca="1">IFERROR(__xludf.DUMMYFUNCTION("""COMPUTED_VALUE"""),"No")</f>
        <v>No</v>
      </c>
      <c r="AP1799" s="8"/>
      <c r="AQ1799" s="8" t="str">
        <f ca="1">IFERROR(__xludf.DUMMYFUNCTION("""COMPUTED_VALUE"""),"Unknown")</f>
        <v>Unknown</v>
      </c>
      <c r="AR1799" s="8" t="str">
        <f ca="1">IFERROR(__xludf.DUMMYFUNCTION("""COMPUTED_VALUE"""),"NA")</f>
        <v>NA</v>
      </c>
      <c r="AS1799" s="8" t="str">
        <f ca="1">IFERROR(__xludf.DUMMYFUNCTION("""COMPUTED_VALUE"""),"&lt;10")</f>
        <v>&lt;10</v>
      </c>
      <c r="AT1799" s="8"/>
      <c r="AU1799" s="8">
        <f ca="1">IFERROR(__xludf.DUMMYFUNCTION("""COMPUTED_VALUE"""),35.692266)</f>
        <v>35.692265999999996</v>
      </c>
      <c r="AV1799" s="8">
        <f ca="1">IFERROR(__xludf.DUMMYFUNCTION("""COMPUTED_VALUE"""),-88.828252)</f>
        <v>-88.828252000000006</v>
      </c>
      <c r="AW1799" s="8"/>
      <c r="AX1799" s="8">
        <f ca="1">IFERROR(__xludf.DUMMYFUNCTION("""COMPUTED_VALUE"""),38305)</f>
        <v>38305</v>
      </c>
    </row>
    <row r="1800" spans="1:50" ht="105" x14ac:dyDescent="0.2">
      <c r="A1800" s="8" t="str">
        <f ca="1">IFERROR(__xludf.DUMMYFUNCTION("""COMPUTED_VALUE"""),"20171114FLLAM")</f>
        <v>20171114FLLAM</v>
      </c>
      <c r="B1800" s="8">
        <f ca="1">IFERROR(__xludf.DUMMYFUNCTION("""COMPUTED_VALUE"""),11)</f>
        <v>11</v>
      </c>
      <c r="C1800" s="8">
        <f ca="1">IFERROR(__xludf.DUMMYFUNCTION("""COMPUTED_VALUE"""),14)</f>
        <v>14</v>
      </c>
      <c r="D1800" s="8">
        <f ca="1">IFERROR(__xludf.DUMMYFUNCTION("""COMPUTED_VALUE"""),2017)</f>
        <v>2017</v>
      </c>
      <c r="E1800" s="9">
        <f ca="1">IFERROR(__xludf.DUMMYFUNCTION("""COMPUTED_VALUE"""),43053)</f>
        <v>43053</v>
      </c>
      <c r="F1800" s="8" t="str">
        <f ca="1">IFERROR(__xludf.DUMMYFUNCTION("""COMPUTED_VALUE"""),"Lake Minneola High School")</f>
        <v>Lake Minneola High School</v>
      </c>
      <c r="G1800" s="8">
        <f ca="1">IFERROR(__xludf.DUMMYFUNCTION("""COMPUTED_VALUE"""),0)</f>
        <v>0</v>
      </c>
      <c r="H1800" s="8">
        <f ca="1">IFERROR(__xludf.DUMMYFUNCTION("""COMPUTED_VALUE"""),0)</f>
        <v>0</v>
      </c>
      <c r="I1800" s="8">
        <f ca="1">IFERROR(__xludf.DUMMYFUNCTION("""COMPUTED_VALUE"""),0)</f>
        <v>0</v>
      </c>
      <c r="J1800" s="8">
        <f ca="1">IFERROR(__xludf.DUMMYFUNCTION("""COMPUTED_VALUE"""),1)</f>
        <v>1</v>
      </c>
      <c r="K1800" s="8" t="str">
        <f ca="1">IFERROR(__xludf.DUMMYFUNCTION("""COMPUTED_VALUE"""),"https://www.wftv.com/news/local/deputies-student-shoots-himself-at-lake-minneola-high-school-no-active-shooter/647283326  http://www.orlandosentinel.com/news/breaking-news/os-lake-minneola-student-shoots-self-20171114-story.html  http://www.orlandosentine"&amp;"l.com/news/lake/os-lake-minneola-suicide-seth-sutherland-note-20171116-story.html")</f>
        <v>https://www.wftv.com/news/local/deputies-student-shoots-himself-at-lake-minneola-high-school-no-active-shooter/647283326  http://www.orlandosentinel.com/news/breaking-news/os-lake-minneola-student-shoots-self-20171114-story.html  http://www.orlandosentinel.com/news/lake/os-lake-minneola-suicide-seth-sutherland-note-20171116-story.html</v>
      </c>
      <c r="L1800" s="8"/>
      <c r="M1800" s="8"/>
      <c r="N1800" s="8">
        <f ca="1">IFERROR(__xludf.DUMMYFUNCTION("""COMPUTED_VALUE"""),3)</f>
        <v>3</v>
      </c>
      <c r="O1800" s="8" t="str">
        <f ca="1">IFERROR(__xludf.DUMMYFUNCTION("""COMPUTED_VALUE"""),"Fall")</f>
        <v>Fall</v>
      </c>
      <c r="P1800" s="8" t="str">
        <f ca="1">IFERROR(__xludf.DUMMYFUNCTION("""COMPUTED_VALUE"""),"Minneola")</f>
        <v>Minneola</v>
      </c>
      <c r="Q1800" s="8" t="str">
        <f ca="1">IFERROR(__xludf.DUMMYFUNCTION("""COMPUTED_VALUE"""),"FL")</f>
        <v>FL</v>
      </c>
      <c r="R1800" s="8" t="str">
        <f ca="1">IFERROR(__xludf.DUMMYFUNCTION("""COMPUTED_VALUE"""),"High")</f>
        <v>High</v>
      </c>
      <c r="S1800" s="8" t="str">
        <f ca="1">IFERROR(__xludf.DUMMYFUNCTION("""COMPUTED_VALUE"""),"Parking Lot")</f>
        <v>Parking Lot</v>
      </c>
      <c r="T1800" s="8" t="str">
        <f ca="1">IFERROR(__xludf.DUMMYFUNCTION("""COMPUTED_VALUE"""),"Outside on School Property")</f>
        <v>Outside on School Property</v>
      </c>
      <c r="U1800" s="8" t="str">
        <f ca="1">IFERROR(__xludf.DUMMYFUNCTION("""COMPUTED_VALUE"""),"Yes")</f>
        <v>Yes</v>
      </c>
      <c r="V1800" s="8" t="str">
        <f ca="1">IFERROR(__xludf.DUMMYFUNCTION("""COMPUTED_VALUE"""),"Morning Classes")</f>
        <v>Morning Classes</v>
      </c>
      <c r="W1800" s="8"/>
      <c r="X1800" s="8">
        <f ca="1">IFERROR(__xludf.DUMMYFUNCTION("""COMPUTED_VALUE"""),1)</f>
        <v>1</v>
      </c>
      <c r="Y1800" s="12" t="str">
        <f ca="1">IFERROR(__xludf.DUMMYFUNCTION("""COMPUTED_VALUE"""),"Suicide outside of school building")</f>
        <v>Suicide outside of school building</v>
      </c>
      <c r="Z1800" s="12" t="str">
        <f ca="1">IFERROR(__xludf.DUMMYFUNCTION("""COMPUTED_VALUE"""),"17 year old student shot/killed himself outside on school property near the bus loop during planned school fire drill. Student left note that he was depressed. Also left message on SnapChat ""Rest in peace [expletive] all of you who contributed to this."""&amp;" Was know to suffer from depression for past 4 years - came to a breaking point. left a two-page suicide note at home before going to school.")</f>
        <v>17 year old student shot/killed himself outside on school property near the bus loop during planned school fire drill. Student left note that he was depressed. Also left message on SnapChat "Rest in peace [expletive] all of you who contributed to this." Was know to suffer from depression for past 4 years - came to a breaking point. left a two-page suicide note at home before going to school.</v>
      </c>
      <c r="AA1800" s="8" t="str">
        <f ca="1">IFERROR(__xludf.DUMMYFUNCTION("""COMPUTED_VALUE"""),"Suicide/Attempted")</f>
        <v>Suicide/Attempted</v>
      </c>
      <c r="AB1800" s="8"/>
      <c r="AC1800" s="8" t="str">
        <f ca="1">IFERROR(__xludf.DUMMYFUNCTION("""COMPUTED_VALUE"""),"Yes")</f>
        <v>Yes</v>
      </c>
      <c r="AD1800" s="8" t="str">
        <f ca="1">IFERROR(__xludf.DUMMYFUNCTION("""COMPUTED_VALUE"""),"Victims Targeted")</f>
        <v>Victims Targeted</v>
      </c>
      <c r="AE1800" s="8" t="str">
        <f ca="1">IFERROR(__xludf.DUMMYFUNCTION("""COMPUTED_VALUE"""),"No")</f>
        <v>No</v>
      </c>
      <c r="AF1800" s="8"/>
      <c r="AG1800" s="8" t="str">
        <f ca="1">IFERROR(__xludf.DUMMYFUNCTION("""COMPUTED_VALUE"""),"No")</f>
        <v>No</v>
      </c>
      <c r="AH1800" s="8" t="str">
        <f ca="1">IFERROR(__xludf.DUMMYFUNCTION("""COMPUTED_VALUE"""),"No")</f>
        <v>No</v>
      </c>
      <c r="AI1800" s="8" t="str">
        <f ca="1">IFERROR(__xludf.DUMMYFUNCTION("""COMPUTED_VALUE"""),"No")</f>
        <v>No</v>
      </c>
      <c r="AJ1800" s="8" t="str">
        <f ca="1">IFERROR(__xludf.DUMMYFUNCTION("""COMPUTED_VALUE"""),"No")</f>
        <v>No</v>
      </c>
      <c r="AK1800" s="8" t="str">
        <f ca="1">IFERROR(__xludf.DUMMYFUNCTION("""COMPUTED_VALUE"""),"No")</f>
        <v>No</v>
      </c>
      <c r="AL1800" s="8" t="str">
        <f ca="1">IFERROR(__xludf.DUMMYFUNCTION("""COMPUTED_VALUE"""),"No")</f>
        <v>No</v>
      </c>
      <c r="AM1800" s="8" t="str">
        <f ca="1">IFERROR(__xludf.DUMMYFUNCTION("""COMPUTED_VALUE"""),"No")</f>
        <v>No</v>
      </c>
      <c r="AN1800" s="8"/>
      <c r="AO1800" s="8" t="str">
        <f ca="1">IFERROR(__xludf.DUMMYFUNCTION("""COMPUTED_VALUE"""),"No")</f>
        <v>No</v>
      </c>
      <c r="AP1800" s="8"/>
      <c r="AQ1800" s="8" t="str">
        <f ca="1">IFERROR(__xludf.DUMMYFUNCTION("""COMPUTED_VALUE"""),"Unknown")</f>
        <v>Unknown</v>
      </c>
      <c r="AR1800" s="8" t="str">
        <f ca="1">IFERROR(__xludf.DUMMYFUNCTION("""COMPUTED_VALUE"""),"NA")</f>
        <v>NA</v>
      </c>
      <c r="AS1800" s="8">
        <f ca="1">IFERROR(__xludf.DUMMYFUNCTION("""COMPUTED_VALUE"""),1)</f>
        <v>1</v>
      </c>
      <c r="AT1800" s="8"/>
      <c r="AU1800" s="8">
        <f ca="1">IFERROR(__xludf.DUMMYFUNCTION("""COMPUTED_VALUE"""),28.580784)</f>
        <v>28.580784000000001</v>
      </c>
      <c r="AV1800" s="8">
        <f ca="1">IFERROR(__xludf.DUMMYFUNCTION("""COMPUTED_VALUE"""),-81.720549)</f>
        <v>-81.720549000000005</v>
      </c>
      <c r="AW1800" s="8"/>
      <c r="AX1800" s="8">
        <f ca="1">IFERROR(__xludf.DUMMYFUNCTION("""COMPUTED_VALUE"""),34715)</f>
        <v>34715</v>
      </c>
    </row>
    <row r="1801" spans="1:50" ht="409.5" x14ac:dyDescent="0.2">
      <c r="A1801" s="8" t="str">
        <f ca="1">IFERROR(__xludf.DUMMYFUNCTION("""COMPUTED_VALUE"""),"20171114CARAR")</f>
        <v>20171114CARAR</v>
      </c>
      <c r="B1801" s="8">
        <f ca="1">IFERROR(__xludf.DUMMYFUNCTION("""COMPUTED_VALUE"""),11)</f>
        <v>11</v>
      </c>
      <c r="C1801" s="8">
        <f ca="1">IFERROR(__xludf.DUMMYFUNCTION("""COMPUTED_VALUE"""),14)</f>
        <v>14</v>
      </c>
      <c r="D1801" s="8">
        <f ca="1">IFERROR(__xludf.DUMMYFUNCTION("""COMPUTED_VALUE"""),2017)</f>
        <v>2017</v>
      </c>
      <c r="E1801" s="9">
        <f ca="1">IFERROR(__xludf.DUMMYFUNCTION("""COMPUTED_VALUE"""),43053)</f>
        <v>43053</v>
      </c>
      <c r="F1801" s="8" t="str">
        <f ca="1">IFERROR(__xludf.DUMMYFUNCTION("""COMPUTED_VALUE"""),"Rancho Tehama Elementary School")</f>
        <v>Rancho Tehama Elementary School</v>
      </c>
      <c r="G1801" s="8">
        <f ca="1">IFERROR(__xludf.DUMMYFUNCTION("""COMPUTED_VALUE"""),0)</f>
        <v>0</v>
      </c>
      <c r="H1801" s="8">
        <f ca="1">IFERROR(__xludf.DUMMYFUNCTION("""COMPUTED_VALUE"""),18)</f>
        <v>18</v>
      </c>
      <c r="I1801" s="8">
        <f ca="1">IFERROR(__xludf.DUMMYFUNCTION("""COMPUTED_VALUE"""),18)</f>
        <v>18</v>
      </c>
      <c r="J1801" s="8">
        <f ca="1">IFERROR(__xludf.DUMMYFUNCTION("""COMPUTED_VALUE"""),1)</f>
        <v>1</v>
      </c>
      <c r="K1801" s="8" t="str">
        <f ca="1">IFERROR(__xludf.DUMMYFUNCTION("""COMPUTED_VALUE"""),"https://www.cbsnews.com/news/california-shooting-gunman-kevin-janson-neal-threatened-victim-son-neighbor/ https://www.fbi.gov/file-repository/active-shooter-incidents-2000-2017.pdf.  https://www.usatoday.com/story/news/nation-now/2017/11/14/rancho-tehama-"&amp;"california-mass-killing/863246001/")</f>
        <v>https://www.cbsnews.com/news/california-shooting-gunman-kevin-janson-neal-threatened-victim-son-neighbor/ https://www.fbi.gov/file-repository/active-shooter-incidents-2000-2017.pdf.  https://www.usatoday.com/story/news/nation-now/2017/11/14/rancho-tehama-california-mass-killing/863246001/</v>
      </c>
      <c r="L1801" s="8">
        <f ca="1">IFERROR(__xludf.DUMMYFUNCTION("""COMPUTED_VALUE"""),100)</f>
        <v>100</v>
      </c>
      <c r="M1801" s="8" t="str">
        <f ca="1">IFERROR(__xludf.DUMMYFUNCTION("""COMPUTED_VALUE"""),"National")</f>
        <v>National</v>
      </c>
      <c r="N1801" s="8">
        <f ca="1">IFERROR(__xludf.DUMMYFUNCTION("""COMPUTED_VALUE"""),5)</f>
        <v>5</v>
      </c>
      <c r="O1801" s="8" t="str">
        <f ca="1">IFERROR(__xludf.DUMMYFUNCTION("""COMPUTED_VALUE"""),"Fall")</f>
        <v>Fall</v>
      </c>
      <c r="P1801" s="8" t="str">
        <f ca="1">IFERROR(__xludf.DUMMYFUNCTION("""COMPUTED_VALUE"""),"Rancho Tehama Reserve")</f>
        <v>Rancho Tehama Reserve</v>
      </c>
      <c r="Q1801" s="8" t="str">
        <f ca="1">IFERROR(__xludf.DUMMYFUNCTION("""COMPUTED_VALUE"""),"CA")</f>
        <v>CA</v>
      </c>
      <c r="R1801" s="8" t="str">
        <f ca="1">IFERROR(__xludf.DUMMYFUNCTION("""COMPUTED_VALUE"""),"Elementary")</f>
        <v>Elementary</v>
      </c>
      <c r="S1801" s="8" t="str">
        <f ca="1">IFERROR(__xludf.DUMMYFUNCTION("""COMPUTED_VALUE"""),"Beside Building")</f>
        <v>Beside Building</v>
      </c>
      <c r="T1801" s="8" t="str">
        <f ca="1">IFERROR(__xludf.DUMMYFUNCTION("""COMPUTED_VALUE"""),"Outside on School Property")</f>
        <v>Outside on School Property</v>
      </c>
      <c r="U1801" s="8" t="str">
        <f ca="1">IFERROR(__xludf.DUMMYFUNCTION("""COMPUTED_VALUE"""),"Yes")</f>
        <v>Yes</v>
      </c>
      <c r="V1801" s="8" t="str">
        <f ca="1">IFERROR(__xludf.DUMMYFUNCTION("""COMPUTED_VALUE"""),"Morning Classes")</f>
        <v>Morning Classes</v>
      </c>
      <c r="W1801" s="11">
        <f ca="1">IFERROR(__xludf.DUMMYFUNCTION("""COMPUTED_VALUE"""),0.326388888888888)</f>
        <v>0.32638888888888801</v>
      </c>
      <c r="X1801" s="8"/>
      <c r="Y1801" s="12" t="str">
        <f ca="1">IFERROR(__xludf.DUMMYFUNCTION("""COMPUTED_VALUE"""),"Man on methamphetamine was denied entry to school and fired shots at the building wounding 5 students")</f>
        <v>Man on methamphetamine was denied entry to school and fired shots at the building wounding 5 students</v>
      </c>
      <c r="Z1801" s="12" t="str">
        <f ca="1">IFERROR(__xludf.DUMMYFUNCTION("""COMPUTED_VALUE"""),"Owned several firearms, showed declining mental health prior to shooting spree across 8 different crime scenes. Went on random shooting spree after killing neighbors who he was in a dispute with over methamphetamine. Went to school because he knew neighbo"&amp;"r's grandson went there - wasn't able to gain access to school due to it being on lockdown. Crashed vehicle through school fence and fired rounds at the buildings. Shooter eventually killed himself. FBI Study: On November 14, 2017, at 7:53 a.m., Kevin Jan"&amp;"son Neal, 44, armed with a rifle and two handguns, began shooting at his neighbors, the first in a series of shootings occurring in Rancho Tehama Reserve, Tehama County, California. After killing three neighbors, he stole a car and began firing randomly a"&amp;"t vehicles and pedestrians as he drove around the community. After deliberately bumping into another car, the shooter fired into the car and wounded the driver and three passengers. The shooter then drove into the gate of a nearby elementary school. He wa"&amp;"s prevented from entering the school due to a lockdown, so he fired at the windows and doors of the building, wounding five children. Upon fleeing the school, the shooter continued to shoot at people as he drove around Rancho Tehama Reserve. Law enforceme"&amp;"nt pursued the shooter; they rammed his vehicle, forced him off the road, and exchanged gunfire. The shooter’s wife’s body was later discovered at the shooter’s home; the shooter apparently had shot and killed her the previous day. In total, five people w"&amp;"ere killed; 14 were wounded, eight from gunshot injuries (including one student) and six from shrapnel injuries (including four students). He shooter committed suicide after being shot and wounded by law enforcement during the pursuit.")</f>
        <v>Owned several firearms, showed declining mental health prior to shooting spree across 8 different crime scenes. Went on random shooting spree after killing neighbors who he was in a dispute with over methamphetamine. Went to school because he knew neighbor's grandson went there - wasn't able to gain access to school due to it being on lockdown. Crashed vehicle through school fence and fired rounds at the buildings. Shooter eventually killed himself. FBI Study: On November 14, 2017, at 7:53 a.m., Kevin Janson Neal, 44, armed with a rifle and two handguns, began shooting at his neighbors, the first in a series of shootings occurring in Rancho Tehama Reserve, Tehama County, California. After killing three neighbors, he stole a car and began firing randomly at vehicles and pedestrians as he drove around the community. After deliberately bumping into another car, the shooter fired into the car and wounded the driver and three passengers. The shooter then drove into the gate of a nearby elementary school. He was prevented from entering the school due to a lockdown, so he fired at the windows and doors of the building, wounding five children. Upon fleeing the school, the shooter continued to shoot at people as he drove around Rancho Tehama Reserve. Law enforcement pursued the shooter; they rammed his vehicle, forced him off the road, and exchanged gunfire. The shooter’s wife’s body was later discovered at the shooter’s home; the shooter apparently had shot and killed her the previous day. In total, five people were killed; 14 were wounded, eight from gunshot injuries (including one student) and six from shrapnel injuries (including four students). He shooter committed suicide after being shot and wounded by law enforcement during the pursuit.</v>
      </c>
      <c r="AA1801" s="8" t="str">
        <f ca="1">IFERROR(__xludf.DUMMYFUNCTION("""COMPUTED_VALUE"""),"Indiscriminate Shooting")</f>
        <v>Indiscriminate Shooting</v>
      </c>
      <c r="AB1801" s="8"/>
      <c r="AC1801" s="8" t="str">
        <f ca="1">IFERROR(__xludf.DUMMYFUNCTION("""COMPUTED_VALUE"""),"Yes")</f>
        <v>Yes</v>
      </c>
      <c r="AD1801" s="8" t="str">
        <f ca="1">IFERROR(__xludf.DUMMYFUNCTION("""COMPUTED_VALUE"""),"Random Shooting")</f>
        <v>Random Shooting</v>
      </c>
      <c r="AE1801" s="8" t="str">
        <f ca="1">IFERROR(__xludf.DUMMYFUNCTION("""COMPUTED_VALUE"""),"No")</f>
        <v>No</v>
      </c>
      <c r="AF1801" s="8"/>
      <c r="AG1801" s="8" t="str">
        <f ca="1">IFERROR(__xludf.DUMMYFUNCTION("""COMPUTED_VALUE"""),"No")</f>
        <v>No</v>
      </c>
      <c r="AH1801" s="8" t="str">
        <f ca="1">IFERROR(__xludf.DUMMYFUNCTION("""COMPUTED_VALUE"""),"No")</f>
        <v>No</v>
      </c>
      <c r="AI1801" s="8" t="str">
        <f ca="1">IFERROR(__xludf.DUMMYFUNCTION("""COMPUTED_VALUE"""),"No")</f>
        <v>No</v>
      </c>
      <c r="AJ1801" s="8" t="str">
        <f ca="1">IFERROR(__xludf.DUMMYFUNCTION("""COMPUTED_VALUE"""),"No")</f>
        <v>No</v>
      </c>
      <c r="AK1801" s="8" t="str">
        <f ca="1">IFERROR(__xludf.DUMMYFUNCTION("""COMPUTED_VALUE"""),"No")</f>
        <v>No</v>
      </c>
      <c r="AL1801" s="8" t="str">
        <f ca="1">IFERROR(__xludf.DUMMYFUNCTION("""COMPUTED_VALUE"""),"No")</f>
        <v>No</v>
      </c>
      <c r="AM1801" s="8" t="str">
        <f ca="1">IFERROR(__xludf.DUMMYFUNCTION("""COMPUTED_VALUE"""),"Yes")</f>
        <v>Yes</v>
      </c>
      <c r="AN1801" s="8" t="str">
        <f ca="1">IFERROR(__xludf.DUMMYFUNCTION("""COMPUTED_VALUE"""),"Outside")</f>
        <v>Outside</v>
      </c>
      <c r="AO1801" s="8" t="str">
        <f ca="1">IFERROR(__xludf.DUMMYFUNCTION("""COMPUTED_VALUE"""),"No")</f>
        <v>No</v>
      </c>
      <c r="AP1801" s="8" t="str">
        <f ca="1">IFERROR(__xludf.DUMMYFUNCTION("""COMPUTED_VALUE"""),"No")</f>
        <v>No</v>
      </c>
      <c r="AQ1801" s="8" t="str">
        <f ca="1">IFERROR(__xludf.DUMMYFUNCTION("""COMPUTED_VALUE"""),"None")</f>
        <v>None</v>
      </c>
      <c r="AR1801" s="8" t="str">
        <f ca="1">IFERROR(__xludf.DUMMYFUNCTION("""COMPUTED_VALUE"""),"NA")</f>
        <v>NA</v>
      </c>
      <c r="AS1801" s="8">
        <f ca="1">IFERROR(__xludf.DUMMYFUNCTION("""COMPUTED_VALUE"""),100)</f>
        <v>100</v>
      </c>
      <c r="AT1801" s="8" t="str">
        <f ca="1">IFERROR(__xludf.DUMMYFUNCTION("""COMPUTED_VALUE"""),"Yes")</f>
        <v>Yes</v>
      </c>
      <c r="AU1801" s="8">
        <f ca="1">IFERROR(__xludf.DUMMYFUNCTION("""COMPUTED_VALUE"""),40.018593)</f>
        <v>40.018593000000003</v>
      </c>
      <c r="AV1801" s="8">
        <f ca="1">IFERROR(__xludf.DUMMYFUNCTION("""COMPUTED_VALUE"""),-122.39306)</f>
        <v>-122.39306000000001</v>
      </c>
      <c r="AW1801" s="8"/>
      <c r="AX1801" s="8">
        <f ca="1">IFERROR(__xludf.DUMMYFUNCTION("""COMPUTED_VALUE"""),96021)</f>
        <v>96021</v>
      </c>
    </row>
    <row r="1802" spans="1:50" ht="60" x14ac:dyDescent="0.2">
      <c r="A1802" s="8" t="str">
        <f ca="1">IFERROR(__xludf.DUMMYFUNCTION("""COMPUTED_VALUE"""),"20171110GALAM")</f>
        <v>20171110GALAM</v>
      </c>
      <c r="B1802" s="8">
        <f ca="1">IFERROR(__xludf.DUMMYFUNCTION("""COMPUTED_VALUE"""),11)</f>
        <v>11</v>
      </c>
      <c r="C1802" s="8">
        <f ca="1">IFERROR(__xludf.DUMMYFUNCTION("""COMPUTED_VALUE"""),10)</f>
        <v>10</v>
      </c>
      <c r="D1802" s="8">
        <f ca="1">IFERROR(__xludf.DUMMYFUNCTION("""COMPUTED_VALUE"""),2017)</f>
        <v>2017</v>
      </c>
      <c r="E1802" s="9">
        <f ca="1">IFERROR(__xludf.DUMMYFUNCTION("""COMPUTED_VALUE"""),43049)</f>
        <v>43049</v>
      </c>
      <c r="F1802" s="8" t="str">
        <f ca="1">IFERROR(__xludf.DUMMYFUNCTION("""COMPUTED_VALUE"""),"Lakeview Academy")</f>
        <v>Lakeview Academy</v>
      </c>
      <c r="G1802" s="8">
        <f ca="1">IFERROR(__xludf.DUMMYFUNCTION("""COMPUTED_VALUE"""),0)</f>
        <v>0</v>
      </c>
      <c r="H1802" s="8">
        <f ca="1">IFERROR(__xludf.DUMMYFUNCTION("""COMPUTED_VALUE"""),0)</f>
        <v>0</v>
      </c>
      <c r="I1802" s="8">
        <f ca="1">IFERROR(__xludf.DUMMYFUNCTION("""COMPUTED_VALUE"""),0)</f>
        <v>0</v>
      </c>
      <c r="J1802" s="8">
        <f ca="1">IFERROR(__xludf.DUMMYFUNCTION("""COMPUTED_VALUE"""),0)</f>
        <v>0</v>
      </c>
      <c r="K1802" s="10" t="str">
        <f ca="1">IFERROR(__xludf.DUMMYFUNCTION("""COMPUTED_VALUE"""),"http://www.unionrecorder.com/news/update-gun-discharges-in-third-grader-s-book-bag/article_12323ddc-c65b-11e7-a275-f77a9d106f20.html")</f>
        <v>http://www.unionrecorder.com/news/update-gun-discharges-in-third-grader-s-book-bag/article_12323ddc-c65b-11e7-a275-f77a9d106f20.html</v>
      </c>
      <c r="L1802" s="8"/>
      <c r="M1802" s="8"/>
      <c r="N1802" s="8">
        <f ca="1">IFERROR(__xludf.DUMMYFUNCTION("""COMPUTED_VALUE"""),2)</f>
        <v>2</v>
      </c>
      <c r="O1802" s="8" t="str">
        <f ca="1">IFERROR(__xludf.DUMMYFUNCTION("""COMPUTED_VALUE"""),"Fall")</f>
        <v>Fall</v>
      </c>
      <c r="P1802" s="8" t="str">
        <f ca="1">IFERROR(__xludf.DUMMYFUNCTION("""COMPUTED_VALUE"""),"Milledgeville")</f>
        <v>Milledgeville</v>
      </c>
      <c r="Q1802" s="8" t="str">
        <f ca="1">IFERROR(__xludf.DUMMYFUNCTION("""COMPUTED_VALUE"""),"GA")</f>
        <v>GA</v>
      </c>
      <c r="R1802" s="8" t="str">
        <f ca="1">IFERROR(__xludf.DUMMYFUNCTION("""COMPUTED_VALUE"""),"Elementary")</f>
        <v>Elementary</v>
      </c>
      <c r="S1802" s="8" t="str">
        <f ca="1">IFERROR(__xludf.DUMMYFUNCTION("""COMPUTED_VALUE"""),"Classroom")</f>
        <v>Classroom</v>
      </c>
      <c r="T1802" s="8" t="str">
        <f ca="1">IFERROR(__xludf.DUMMYFUNCTION("""COMPUTED_VALUE"""),"Inside School Building")</f>
        <v>Inside School Building</v>
      </c>
      <c r="U1802" s="8" t="str">
        <f ca="1">IFERROR(__xludf.DUMMYFUNCTION("""COMPUTED_VALUE"""),"Yes")</f>
        <v>Yes</v>
      </c>
      <c r="V1802" s="8" t="str">
        <f ca="1">IFERROR(__xludf.DUMMYFUNCTION("""COMPUTED_VALUE"""),"Morning Classes")</f>
        <v>Morning Classes</v>
      </c>
      <c r="W1802" s="11">
        <f ca="1">IFERROR(__xludf.DUMMYFUNCTION("""COMPUTED_VALUE"""),0.354166666666666)</f>
        <v>0.35416666666666602</v>
      </c>
      <c r="X1802" s="8">
        <f ca="1">IFERROR(__xludf.DUMMYFUNCTION("""COMPUTED_VALUE"""),1)</f>
        <v>1</v>
      </c>
      <c r="Y1802" s="12" t="str">
        <f ca="1">IFERROR(__xludf.DUMMYFUNCTION("""COMPUTED_VALUE"""),"Gun in backpack discharged when student got book out")</f>
        <v>Gun in backpack discharged when student got book out</v>
      </c>
      <c r="Z1802" s="12" t="str">
        <f ca="1">IFERROR(__xludf.DUMMYFUNCTION("""COMPUTED_VALUE"""),"Gun in backpack of 8YOM student discharged striking wall when he got a book out. Gun was stolen in a residential burglary. Both parents and student denied any knowledge that the gun was in the backpack. No injuries.")</f>
        <v>Gun in backpack of 8YOM student discharged striking wall when he got a book out. Gun was stolen in a residential burglary. Both parents and student denied any knowledge that the gun was in the backpack. No injuries.</v>
      </c>
      <c r="AA1802" s="8" t="str">
        <f ca="1">IFERROR(__xludf.DUMMYFUNCTION("""COMPUTED_VALUE"""),"Accidental")</f>
        <v>Accidental</v>
      </c>
      <c r="AB1802" s="8"/>
      <c r="AC1802" s="8" t="str">
        <f ca="1">IFERROR(__xludf.DUMMYFUNCTION("""COMPUTED_VALUE"""),"Yes")</f>
        <v>Yes</v>
      </c>
      <c r="AD1802" s="8" t="str">
        <f ca="1">IFERROR(__xludf.DUMMYFUNCTION("""COMPUTED_VALUE"""),"Neither")</f>
        <v>Neither</v>
      </c>
      <c r="AE1802" s="8" t="str">
        <f ca="1">IFERROR(__xludf.DUMMYFUNCTION("""COMPUTED_VALUE"""),"No")</f>
        <v>No</v>
      </c>
      <c r="AF1802" s="8"/>
      <c r="AG1802" s="8" t="str">
        <f ca="1">IFERROR(__xludf.DUMMYFUNCTION("""COMPUTED_VALUE"""),"No")</f>
        <v>No</v>
      </c>
      <c r="AH1802" s="8" t="str">
        <f ca="1">IFERROR(__xludf.DUMMYFUNCTION("""COMPUTED_VALUE"""),"No")</f>
        <v>No</v>
      </c>
      <c r="AI1802" s="8" t="str">
        <f ca="1">IFERROR(__xludf.DUMMYFUNCTION("""COMPUTED_VALUE"""),"No")</f>
        <v>No</v>
      </c>
      <c r="AJ1802" s="8" t="str">
        <f ca="1">IFERROR(__xludf.DUMMYFUNCTION("""COMPUTED_VALUE"""),"No")</f>
        <v>No</v>
      </c>
      <c r="AK1802" s="8" t="str">
        <f ca="1">IFERROR(__xludf.DUMMYFUNCTION("""COMPUTED_VALUE"""),"No")</f>
        <v>No</v>
      </c>
      <c r="AL1802" s="8" t="str">
        <f ca="1">IFERROR(__xludf.DUMMYFUNCTION("""COMPUTED_VALUE"""),"No")</f>
        <v>No</v>
      </c>
      <c r="AM1802" s="8" t="str">
        <f ca="1">IFERROR(__xludf.DUMMYFUNCTION("""COMPUTED_VALUE"""),"No")</f>
        <v>No</v>
      </c>
      <c r="AN1802" s="8"/>
      <c r="AO1802" s="8" t="str">
        <f ca="1">IFERROR(__xludf.DUMMYFUNCTION("""COMPUTED_VALUE"""),"No")</f>
        <v>No</v>
      </c>
      <c r="AP1802" s="8"/>
      <c r="AQ1802" s="8" t="str">
        <f ca="1">IFERROR(__xludf.DUMMYFUNCTION("""COMPUTED_VALUE"""),"Unknown")</f>
        <v>Unknown</v>
      </c>
      <c r="AR1802" s="8" t="str">
        <f ca="1">IFERROR(__xludf.DUMMYFUNCTION("""COMPUTED_VALUE"""),"NA")</f>
        <v>NA</v>
      </c>
      <c r="AS1802" s="8">
        <f ca="1">IFERROR(__xludf.DUMMYFUNCTION("""COMPUTED_VALUE"""),1)</f>
        <v>1</v>
      </c>
      <c r="AT1802" s="8"/>
      <c r="AU1802" s="8">
        <f ca="1">IFERROR(__xludf.DUMMYFUNCTION("""COMPUTED_VALUE"""),33.09032)</f>
        <v>33.090319999999998</v>
      </c>
      <c r="AV1802" s="8">
        <f ca="1">IFERROR(__xludf.DUMMYFUNCTION("""COMPUTED_VALUE"""),-83.264325)</f>
        <v>-83.264324999999999</v>
      </c>
      <c r="AW1802" s="8"/>
      <c r="AX1802" s="8">
        <f ca="1">IFERROR(__xludf.DUMMYFUNCTION("""COMPUTED_VALUE"""),31061)</f>
        <v>31061</v>
      </c>
    </row>
    <row r="1803" spans="1:50" ht="120" x14ac:dyDescent="0.2">
      <c r="A1803" s="8" t="str">
        <f ca="1">IFERROR(__xludf.DUMMYFUNCTION("""COMPUTED_VALUE"""),"20171109GABEC")</f>
        <v>20171109GABEC</v>
      </c>
      <c r="B1803" s="8">
        <f ca="1">IFERROR(__xludf.DUMMYFUNCTION("""COMPUTED_VALUE"""),11)</f>
        <v>11</v>
      </c>
      <c r="C1803" s="8">
        <f ca="1">IFERROR(__xludf.DUMMYFUNCTION("""COMPUTED_VALUE"""),9)</f>
        <v>9</v>
      </c>
      <c r="D1803" s="8">
        <f ca="1">IFERROR(__xludf.DUMMYFUNCTION("""COMPUTED_VALUE"""),2017)</f>
        <v>2017</v>
      </c>
      <c r="E1803" s="9">
        <f ca="1">IFERROR(__xludf.DUMMYFUNCTION("""COMPUTED_VALUE"""),43048)</f>
        <v>43048</v>
      </c>
      <c r="F1803" s="8" t="str">
        <f ca="1">IFERROR(__xludf.DUMMYFUNCTION("""COMPUTED_VALUE"""),"Benjamin Banneker High School")</f>
        <v>Benjamin Banneker High School</v>
      </c>
      <c r="G1803" s="8">
        <f ca="1">IFERROR(__xludf.DUMMYFUNCTION("""COMPUTED_VALUE"""),0)</f>
        <v>0</v>
      </c>
      <c r="H1803" s="8">
        <f ca="1">IFERROR(__xludf.DUMMYFUNCTION("""COMPUTED_VALUE"""),2)</f>
        <v>2</v>
      </c>
      <c r="I1803" s="8">
        <f ca="1">IFERROR(__xludf.DUMMYFUNCTION("""COMPUTED_VALUE"""),2)</f>
        <v>2</v>
      </c>
      <c r="J1803" s="8">
        <f ca="1">IFERROR(__xludf.DUMMYFUNCTION("""COMPUTED_VALUE"""),0)</f>
        <v>0</v>
      </c>
      <c r="K1803" s="10" t="str">
        <f ca="1">IFERROR(__xludf.DUMMYFUNCTION("""COMPUTED_VALUE"""),"http://www.fox5atlanta.com/news/two-students-accidentally-shot-at-banneker-high-school-according-to-principal#/")</f>
        <v>http://www.fox5atlanta.com/news/two-students-accidentally-shot-at-banneker-high-school-according-to-principal#/</v>
      </c>
      <c r="L1803" s="8">
        <f ca="1">IFERROR(__xludf.DUMMYFUNCTION("""COMPUTED_VALUE"""),11)</f>
        <v>11</v>
      </c>
      <c r="M1803" s="8" t="str">
        <f ca="1">IFERROR(__xludf.DUMMYFUNCTION("""COMPUTED_VALUE"""),"National")</f>
        <v>National</v>
      </c>
      <c r="N1803" s="8">
        <f ca="1">IFERROR(__xludf.DUMMYFUNCTION("""COMPUTED_VALUE"""),2)</f>
        <v>2</v>
      </c>
      <c r="O1803" s="8" t="str">
        <f ca="1">IFERROR(__xludf.DUMMYFUNCTION("""COMPUTED_VALUE"""),"Fall")</f>
        <v>Fall</v>
      </c>
      <c r="P1803" s="8" t="str">
        <f ca="1">IFERROR(__xludf.DUMMYFUNCTION("""COMPUTED_VALUE"""),"College Park")</f>
        <v>College Park</v>
      </c>
      <c r="Q1803" s="8" t="str">
        <f ca="1">IFERROR(__xludf.DUMMYFUNCTION("""COMPUTED_VALUE"""),"GA")</f>
        <v>GA</v>
      </c>
      <c r="R1803" s="8" t="str">
        <f ca="1">IFERROR(__xludf.DUMMYFUNCTION("""COMPUTED_VALUE"""),"High")</f>
        <v>High</v>
      </c>
      <c r="S1803" s="8" t="str">
        <f ca="1">IFERROR(__xludf.DUMMYFUNCTION("""COMPUTED_VALUE"""),"Classroom")</f>
        <v>Classroom</v>
      </c>
      <c r="T1803" s="8" t="str">
        <f ca="1">IFERROR(__xludf.DUMMYFUNCTION("""COMPUTED_VALUE"""),"Inside School Building")</f>
        <v>Inside School Building</v>
      </c>
      <c r="U1803" s="8" t="str">
        <f ca="1">IFERROR(__xludf.DUMMYFUNCTION("""COMPUTED_VALUE"""),"Yes")</f>
        <v>Yes</v>
      </c>
      <c r="V1803" s="8" t="str">
        <f ca="1">IFERROR(__xludf.DUMMYFUNCTION("""COMPUTED_VALUE"""),"Afternoon Classes")</f>
        <v>Afternoon Classes</v>
      </c>
      <c r="W1803" s="11">
        <f ca="1">IFERROR(__xludf.DUMMYFUNCTION("""COMPUTED_VALUE"""),0.642361111111111)</f>
        <v>0.64236111111111105</v>
      </c>
      <c r="X1803" s="8">
        <f ca="1">IFERROR(__xludf.DUMMYFUNCTION("""COMPUTED_VALUE"""),1)</f>
        <v>1</v>
      </c>
      <c r="Y1803" s="12" t="str">
        <f ca="1">IFERROR(__xludf.DUMMYFUNCTION("""COMPUTED_VALUE"""),"Accidental discharge while showing off gun in classroom")</f>
        <v>Accidental discharge while showing off gun in classroom</v>
      </c>
      <c r="Z1803" s="12" t="str">
        <f ca="1">IFERROR(__xludf.DUMMYFUNCTION("""COMPUTED_VALUE"""),"A small caliber hand gun accidentally discharged in a 10th grade classroom. The gun was found in a box in a student's bag. One female student was shot in the ankle and the same bullet grazed another student. One student is to be charged with one count of "&amp;"possession of a weapon and one count of a weapon on campus. Two others are to be charged with reckless conduct because of their contact with the weapon.")</f>
        <v>A small caliber hand gun accidentally discharged in a 10th grade classroom. The gun was found in a box in a student's bag. One female student was shot in the ankle and the same bullet grazed another student. One student is to be charged with one count of possession of a weapon and one count of a weapon on campus. Two others are to be charged with reckless conduct because of their contact with the weapon.</v>
      </c>
      <c r="AA1803" s="8" t="str">
        <f ca="1">IFERROR(__xludf.DUMMYFUNCTION("""COMPUTED_VALUE"""),"Accidental")</f>
        <v>Accidental</v>
      </c>
      <c r="AB1803" s="8"/>
      <c r="AC1803" s="8" t="str">
        <f ca="1">IFERROR(__xludf.DUMMYFUNCTION("""COMPUTED_VALUE"""),"Yes")</f>
        <v>Yes</v>
      </c>
      <c r="AD1803" s="8" t="str">
        <f ca="1">IFERROR(__xludf.DUMMYFUNCTION("""COMPUTED_VALUE"""),"Neither")</f>
        <v>Neither</v>
      </c>
      <c r="AE1803" s="8" t="str">
        <f ca="1">IFERROR(__xludf.DUMMYFUNCTION("""COMPUTED_VALUE"""),"No")</f>
        <v>No</v>
      </c>
      <c r="AF1803" s="8"/>
      <c r="AG1803" s="8" t="str">
        <f ca="1">IFERROR(__xludf.DUMMYFUNCTION("""COMPUTED_VALUE"""),"No")</f>
        <v>No</v>
      </c>
      <c r="AH1803" s="8" t="str">
        <f ca="1">IFERROR(__xludf.DUMMYFUNCTION("""COMPUTED_VALUE"""),"No")</f>
        <v>No</v>
      </c>
      <c r="AI1803" s="8" t="str">
        <f ca="1">IFERROR(__xludf.DUMMYFUNCTION("""COMPUTED_VALUE"""),"No")</f>
        <v>No</v>
      </c>
      <c r="AJ1803" s="8" t="str">
        <f ca="1">IFERROR(__xludf.DUMMYFUNCTION("""COMPUTED_VALUE"""),"No")</f>
        <v>No</v>
      </c>
      <c r="AK1803" s="8" t="str">
        <f ca="1">IFERROR(__xludf.DUMMYFUNCTION("""COMPUTED_VALUE"""),"No")</f>
        <v>No</v>
      </c>
      <c r="AL1803" s="8" t="str">
        <f ca="1">IFERROR(__xludf.DUMMYFUNCTION("""COMPUTED_VALUE"""),"No")</f>
        <v>No</v>
      </c>
      <c r="AM1803" s="8" t="str">
        <f ca="1">IFERROR(__xludf.DUMMYFUNCTION("""COMPUTED_VALUE"""),"No")</f>
        <v>No</v>
      </c>
      <c r="AN1803" s="8"/>
      <c r="AO1803" s="8" t="str">
        <f ca="1">IFERROR(__xludf.DUMMYFUNCTION("""COMPUTED_VALUE"""),"No")</f>
        <v>No</v>
      </c>
      <c r="AP1803" s="8" t="str">
        <f ca="1">IFERROR(__xludf.DUMMYFUNCTION("""COMPUTED_VALUE"""),"No")</f>
        <v>No</v>
      </c>
      <c r="AQ1803" s="8" t="str">
        <f ca="1">IFERROR(__xludf.DUMMYFUNCTION("""COMPUTED_VALUE"""),"None")</f>
        <v>None</v>
      </c>
      <c r="AR1803" s="8" t="str">
        <f ca="1">IFERROR(__xludf.DUMMYFUNCTION("""COMPUTED_VALUE"""),"NA")</f>
        <v>NA</v>
      </c>
      <c r="AS1803" s="8">
        <f ca="1">IFERROR(__xludf.DUMMYFUNCTION("""COMPUTED_VALUE"""),1)</f>
        <v>1</v>
      </c>
      <c r="AT1803" s="8" t="str">
        <f ca="1">IFERROR(__xludf.DUMMYFUNCTION("""COMPUTED_VALUE"""),"No")</f>
        <v>No</v>
      </c>
      <c r="AU1803" s="8">
        <f ca="1">IFERROR(__xludf.DUMMYFUNCTION("""COMPUTED_VALUE"""),33.590608)</f>
        <v>33.590608000000003</v>
      </c>
      <c r="AV1803" s="8">
        <f ca="1">IFERROR(__xludf.DUMMYFUNCTION("""COMPUTED_VALUE"""),-84.519562)</f>
        <v>-84.519561999999993</v>
      </c>
      <c r="AW1803" s="8"/>
      <c r="AX1803" s="8">
        <f ca="1">IFERROR(__xludf.DUMMYFUNCTION("""COMPUTED_VALUE"""),30349)</f>
        <v>30349</v>
      </c>
    </row>
    <row r="1804" spans="1:50" ht="135" x14ac:dyDescent="0.2">
      <c r="A1804" s="8" t="str">
        <f ca="1">IFERROR(__xludf.DUMMYFUNCTION("""COMPUTED_VALUE"""),"20171103MIPAL")</f>
        <v>20171103MIPAL</v>
      </c>
      <c r="B1804" s="8">
        <f ca="1">IFERROR(__xludf.DUMMYFUNCTION("""COMPUTED_VALUE"""),11)</f>
        <v>11</v>
      </c>
      <c r="C1804" s="8">
        <f ca="1">IFERROR(__xludf.DUMMYFUNCTION("""COMPUTED_VALUE"""),3)</f>
        <v>3</v>
      </c>
      <c r="D1804" s="8">
        <f ca="1">IFERROR(__xludf.DUMMYFUNCTION("""COMPUTED_VALUE"""),2017)</f>
        <v>2017</v>
      </c>
      <c r="E1804" s="9">
        <f ca="1">IFERROR(__xludf.DUMMYFUNCTION("""COMPUTED_VALUE"""),43042)</f>
        <v>43042</v>
      </c>
      <c r="F1804" s="8" t="str">
        <f ca="1">IFERROR(__xludf.DUMMYFUNCTION("""COMPUTED_VALUE"""),"Pattengill Academy")</f>
        <v>Pattengill Academy</v>
      </c>
      <c r="G1804" s="8">
        <f ca="1">IFERROR(__xludf.DUMMYFUNCTION("""COMPUTED_VALUE"""),0)</f>
        <v>0</v>
      </c>
      <c r="H1804" s="8">
        <f ca="1">IFERROR(__xludf.DUMMYFUNCTION("""COMPUTED_VALUE"""),1)</f>
        <v>1</v>
      </c>
      <c r="I1804" s="8">
        <f ca="1">IFERROR(__xludf.DUMMYFUNCTION("""COMPUTED_VALUE"""),1)</f>
        <v>1</v>
      </c>
      <c r="J1804" s="8">
        <f ca="1">IFERROR(__xludf.DUMMYFUNCTION("""COMPUTED_VALUE"""),0)</f>
        <v>0</v>
      </c>
      <c r="K1804" s="10" t="str">
        <f ca="1">IFERROR(__xludf.DUMMYFUNCTION("""COMPUTED_VALUE"""),"https://rumble.com/v3x6k9-documents-reveal-what-police-think-happened-outside-pattengill-academy.html")</f>
        <v>https://rumble.com/v3x6k9-documents-reveal-what-police-think-happened-outside-pattengill-academy.html</v>
      </c>
      <c r="L1804" s="8">
        <f ca="1">IFERROR(__xludf.DUMMYFUNCTION("""COMPUTED_VALUE"""),5)</f>
        <v>5</v>
      </c>
      <c r="M1804" s="8" t="str">
        <f ca="1">IFERROR(__xludf.DUMMYFUNCTION("""COMPUTED_VALUE"""),"Regional")</f>
        <v>Regional</v>
      </c>
      <c r="N1804" s="8">
        <f ca="1">IFERROR(__xludf.DUMMYFUNCTION("""COMPUTED_VALUE"""),2)</f>
        <v>2</v>
      </c>
      <c r="O1804" s="8" t="str">
        <f ca="1">IFERROR(__xludf.DUMMYFUNCTION("""COMPUTED_VALUE"""),"Fall")</f>
        <v>Fall</v>
      </c>
      <c r="P1804" s="8" t="str">
        <f ca="1">IFERROR(__xludf.DUMMYFUNCTION("""COMPUTED_VALUE"""),"Lansing")</f>
        <v>Lansing</v>
      </c>
      <c r="Q1804" s="8" t="str">
        <f ca="1">IFERROR(__xludf.DUMMYFUNCTION("""COMPUTED_VALUE"""),"MI")</f>
        <v>MI</v>
      </c>
      <c r="R1804" s="8" t="str">
        <f ca="1">IFERROR(__xludf.DUMMYFUNCTION("""COMPUTED_VALUE"""),"Middle")</f>
        <v>Middle</v>
      </c>
      <c r="S1804" s="8" t="str">
        <f ca="1">IFERROR(__xludf.DUMMYFUNCTION("""COMPUTED_VALUE"""),"Parking Lot")</f>
        <v>Parking Lot</v>
      </c>
      <c r="T1804" s="8" t="str">
        <f ca="1">IFERROR(__xludf.DUMMYFUNCTION("""COMPUTED_VALUE"""),"Outside on School Property")</f>
        <v>Outside on School Property</v>
      </c>
      <c r="U1804" s="8" t="str">
        <f ca="1">IFERROR(__xludf.DUMMYFUNCTION("""COMPUTED_VALUE"""),"Yes")</f>
        <v>Yes</v>
      </c>
      <c r="V1804" s="8" t="str">
        <f ca="1">IFERROR(__xludf.DUMMYFUNCTION("""COMPUTED_VALUE"""),"Dismissal")</f>
        <v>Dismissal</v>
      </c>
      <c r="W1804" s="11">
        <f ca="1">IFERROR(__xludf.DUMMYFUNCTION("""COMPUTED_VALUE"""),0.6875)</f>
        <v>0.6875</v>
      </c>
      <c r="X1804" s="8">
        <f ca="1">IFERROR(__xludf.DUMMYFUNCTION("""COMPUTED_VALUE"""),1)</f>
        <v>1</v>
      </c>
      <c r="Y1804" s="12" t="str">
        <f ca="1">IFERROR(__xludf.DUMMYFUNCTION("""COMPUTED_VALUE"""),"Accidental discharge handling gun in school parking lot")</f>
        <v>Accidental discharge handling gun in school parking lot</v>
      </c>
      <c r="Z1804" s="12" t="str">
        <f ca="1">IFERROR(__xludf.DUMMYFUNCTION("""COMPUTED_VALUE"""),"The victim was sitting in a parked black SUV in front of the school, along with the shooter who was the driver, waiting for another student.The shooter reached to pick up the gun, which he had allegedly bought the day before, from under his seat in order "&amp;"to put it away to safety but accidentally shot the girl in the face, non-lethally. He drove her to the hospital and his car was found there. Police released an alert about him and the shooter turned himself in on the following Sunday.")</f>
        <v>The victim was sitting in a parked black SUV in front of the school, along with the shooter who was the driver, waiting for another student.The shooter reached to pick up the gun, which he had allegedly bought the day before, from under his seat in order to put it away to safety but accidentally shot the girl in the face, non-lethally. He drove her to the hospital and his car was found there. Police released an alert about him and the shooter turned himself in on the following Sunday.</v>
      </c>
      <c r="AA1804" s="8" t="str">
        <f ca="1">IFERROR(__xludf.DUMMYFUNCTION("""COMPUTED_VALUE"""),"Accidental")</f>
        <v>Accidental</v>
      </c>
      <c r="AB1804" s="8"/>
      <c r="AC1804" s="8" t="str">
        <f ca="1">IFERROR(__xludf.DUMMYFUNCTION("""COMPUTED_VALUE"""),"Yes")</f>
        <v>Yes</v>
      </c>
      <c r="AD1804" s="8" t="str">
        <f ca="1">IFERROR(__xludf.DUMMYFUNCTION("""COMPUTED_VALUE"""),"Neither")</f>
        <v>Neither</v>
      </c>
      <c r="AE1804" s="8"/>
      <c r="AF1804" s="8"/>
      <c r="AG1804" s="8" t="str">
        <f ca="1">IFERROR(__xludf.DUMMYFUNCTION("""COMPUTED_VALUE"""),"No")</f>
        <v>No</v>
      </c>
      <c r="AH1804" s="8" t="str">
        <f ca="1">IFERROR(__xludf.DUMMYFUNCTION("""COMPUTED_VALUE"""),"No")</f>
        <v>No</v>
      </c>
      <c r="AI1804" s="8" t="str">
        <f ca="1">IFERROR(__xludf.DUMMYFUNCTION("""COMPUTED_VALUE"""),"No")</f>
        <v>No</v>
      </c>
      <c r="AJ1804" s="8" t="str">
        <f ca="1">IFERROR(__xludf.DUMMYFUNCTION("""COMPUTED_VALUE"""),"No")</f>
        <v>No</v>
      </c>
      <c r="AK1804" s="8" t="str">
        <f ca="1">IFERROR(__xludf.DUMMYFUNCTION("""COMPUTED_VALUE"""),"No")</f>
        <v>No</v>
      </c>
      <c r="AL1804" s="8"/>
      <c r="AM1804" s="8" t="str">
        <f ca="1">IFERROR(__xludf.DUMMYFUNCTION("""COMPUTED_VALUE"""),"No")</f>
        <v>No</v>
      </c>
      <c r="AN1804" s="8"/>
      <c r="AO1804" s="8" t="str">
        <f ca="1">IFERROR(__xludf.DUMMYFUNCTION("""COMPUTED_VALUE"""),"No")</f>
        <v>No</v>
      </c>
      <c r="AP1804" s="8" t="str">
        <f ca="1">IFERROR(__xludf.DUMMYFUNCTION("""COMPUTED_VALUE"""),"No")</f>
        <v>No</v>
      </c>
      <c r="AQ1804" s="8" t="str">
        <f ca="1">IFERROR(__xludf.DUMMYFUNCTION("""COMPUTED_VALUE"""),"Unknown")</f>
        <v>Unknown</v>
      </c>
      <c r="AR1804" s="8" t="str">
        <f ca="1">IFERROR(__xludf.DUMMYFUNCTION("""COMPUTED_VALUE"""),"NA")</f>
        <v>NA</v>
      </c>
      <c r="AS1804" s="8">
        <f ca="1">IFERROR(__xludf.DUMMYFUNCTION("""COMPUTED_VALUE"""),1)</f>
        <v>1</v>
      </c>
      <c r="AT1804" s="8" t="str">
        <f ca="1">IFERROR(__xludf.DUMMYFUNCTION("""COMPUTED_VALUE"""),"Yes")</f>
        <v>Yes</v>
      </c>
      <c r="AU1804" s="8">
        <f ca="1">IFERROR(__xludf.DUMMYFUNCTION("""COMPUTED_VALUE"""),42.742209)</f>
        <v>42.742209000000003</v>
      </c>
      <c r="AV1804" s="8">
        <f ca="1">IFERROR(__xludf.DUMMYFUNCTION("""COMPUTED_VALUE"""),-84.521746)</f>
        <v>-84.521745999999993</v>
      </c>
      <c r="AW1804" s="8"/>
      <c r="AX1804" s="8">
        <f ca="1">IFERROR(__xludf.DUMMYFUNCTION("""COMPUTED_VALUE"""),48912)</f>
        <v>48912</v>
      </c>
    </row>
    <row r="1805" spans="1:50" ht="90" x14ac:dyDescent="0.2">
      <c r="A1805" s="8" t="str">
        <f ca="1">IFERROR(__xludf.DUMMYFUNCTION("""COMPUTED_VALUE"""),"20171027NYPRU")</f>
        <v>20171027NYPRU</v>
      </c>
      <c r="B1805" s="8">
        <f ca="1">IFERROR(__xludf.DUMMYFUNCTION("""COMPUTED_VALUE"""),10)</f>
        <v>10</v>
      </c>
      <c r="C1805" s="8">
        <f ca="1">IFERROR(__xludf.DUMMYFUNCTION("""COMPUTED_VALUE"""),27)</f>
        <v>27</v>
      </c>
      <c r="D1805" s="8">
        <f ca="1">IFERROR(__xludf.DUMMYFUNCTION("""COMPUTED_VALUE"""),2017)</f>
        <v>2017</v>
      </c>
      <c r="E1805" s="9">
        <f ca="1">IFERROR(__xludf.DUMMYFUNCTION("""COMPUTED_VALUE"""),43035)</f>
        <v>43035</v>
      </c>
      <c r="F1805" s="8" t="str">
        <f ca="1">IFERROR(__xludf.DUMMYFUNCTION("""COMPUTED_VALUE"""),"Proctor High School")</f>
        <v>Proctor High School</v>
      </c>
      <c r="G1805" s="8">
        <f ca="1">IFERROR(__xludf.DUMMYFUNCTION("""COMPUTED_VALUE"""),0)</f>
        <v>0</v>
      </c>
      <c r="H1805" s="8">
        <f ca="1">IFERROR(__xludf.DUMMYFUNCTION("""COMPUTED_VALUE"""),0)</f>
        <v>0</v>
      </c>
      <c r="I1805" s="8">
        <f ca="1">IFERROR(__xludf.DUMMYFUNCTION("""COMPUTED_VALUE"""),0)</f>
        <v>0</v>
      </c>
      <c r="J1805" s="8">
        <f ca="1">IFERROR(__xludf.DUMMYFUNCTION("""COMPUTED_VALUE"""),0)</f>
        <v>0</v>
      </c>
      <c r="K1805" s="10" t="str">
        <f ca="1">IFERROR(__xludf.DUMMYFUNCTION("""COMPUTED_VALUE"""),"https://www.wktv.com/content/news/453482573.html")</f>
        <v>https://www.wktv.com/content/news/453482573.html</v>
      </c>
      <c r="L1805" s="8"/>
      <c r="M1805" s="8"/>
      <c r="N1805" s="8">
        <f ca="1">IFERROR(__xludf.DUMMYFUNCTION("""COMPUTED_VALUE"""),4)</f>
        <v>4</v>
      </c>
      <c r="O1805" s="8" t="str">
        <f ca="1">IFERROR(__xludf.DUMMYFUNCTION("""COMPUTED_VALUE"""),"Fall")</f>
        <v>Fall</v>
      </c>
      <c r="P1805" s="8" t="str">
        <f ca="1">IFERROR(__xludf.DUMMYFUNCTION("""COMPUTED_VALUE"""),"Utica")</f>
        <v>Utica</v>
      </c>
      <c r="Q1805" s="8" t="str">
        <f ca="1">IFERROR(__xludf.DUMMYFUNCTION("""COMPUTED_VALUE"""),"NY")</f>
        <v>NY</v>
      </c>
      <c r="R1805" s="8" t="str">
        <f ca="1">IFERROR(__xludf.DUMMYFUNCTION("""COMPUTED_VALUE"""),"High")</f>
        <v>High</v>
      </c>
      <c r="S1805" s="8" t="str">
        <f ca="1">IFERROR(__xludf.DUMMYFUNCTION("""COMPUTED_VALUE"""),"Parking Lot (Bus)")</f>
        <v>Parking Lot (Bus)</v>
      </c>
      <c r="T1805" s="8" t="str">
        <f ca="1">IFERROR(__xludf.DUMMYFUNCTION("""COMPUTED_VALUE"""),"Outside on School Property")</f>
        <v>Outside on School Property</v>
      </c>
      <c r="U1805" s="8" t="str">
        <f ca="1">IFERROR(__xludf.DUMMYFUNCTION("""COMPUTED_VALUE"""),"Yes")</f>
        <v>Yes</v>
      </c>
      <c r="V1805" s="8" t="str">
        <f ca="1">IFERROR(__xludf.DUMMYFUNCTION("""COMPUTED_VALUE"""),"Dismissal")</f>
        <v>Dismissal</v>
      </c>
      <c r="W1805" s="11">
        <f ca="1">IFERROR(__xludf.DUMMYFUNCTION("""COMPUTED_VALUE"""),0.604166666666666)</f>
        <v>0.60416666666666596</v>
      </c>
      <c r="X1805" s="8">
        <f ca="1">IFERROR(__xludf.DUMMYFUNCTION("""COMPUTED_VALUE"""),1)</f>
        <v>1</v>
      </c>
      <c r="Y1805" s="12" t="str">
        <f ca="1">IFERROR(__xludf.DUMMYFUNCTION("""COMPUTED_VALUE"""),"Shots fired a person in school parking lot, missed and struck occupied school bus")</f>
        <v>Shots fired a person in school parking lot, missed and struck occupied school bus</v>
      </c>
      <c r="Z1805" s="12" t="str">
        <f ca="1">IFERROR(__xludf.DUMMYFUNCTION("""COMPUTED_VALUE"""),"Multiple shots fired from street next to the school at an individual in the school parking lot. Shots missed and struck a school bus with 20 students inside. Police were on the scene for a seperate fight. School was not locked down during the incident. Sh"&amp;"ooter in vehicle fled.")</f>
        <v>Multiple shots fired from street next to the school at an individual in the school parking lot. Shots missed and struck a school bus with 20 students inside. Police were on the scene for a seperate fight. School was not locked down during the incident. Shooter in vehicle fled.</v>
      </c>
      <c r="AA1805" s="8" t="str">
        <f ca="1">IFERROR(__xludf.DUMMYFUNCTION("""COMPUTED_VALUE"""),"Drive-by Shooting")</f>
        <v>Drive-by Shooting</v>
      </c>
      <c r="AB1805" s="8"/>
      <c r="AC1805" s="8" t="str">
        <f ca="1">IFERROR(__xludf.DUMMYFUNCTION("""COMPUTED_VALUE"""),"Yes")</f>
        <v>Yes</v>
      </c>
      <c r="AD1805" s="8" t="str">
        <f ca="1">IFERROR(__xludf.DUMMYFUNCTION("""COMPUTED_VALUE"""),"Victims Targeted")</f>
        <v>Victims Targeted</v>
      </c>
      <c r="AE1805" s="8"/>
      <c r="AF1805" s="8"/>
      <c r="AG1805" s="8" t="str">
        <f ca="1">IFERROR(__xludf.DUMMYFUNCTION("""COMPUTED_VALUE"""),"No")</f>
        <v>No</v>
      </c>
      <c r="AH1805" s="8" t="str">
        <f ca="1">IFERROR(__xludf.DUMMYFUNCTION("""COMPUTED_VALUE"""),"No")</f>
        <v>No</v>
      </c>
      <c r="AI1805" s="8" t="str">
        <f ca="1">IFERROR(__xludf.DUMMYFUNCTION("""COMPUTED_VALUE"""),"No")</f>
        <v>No</v>
      </c>
      <c r="AJ1805" s="8" t="str">
        <f ca="1">IFERROR(__xludf.DUMMYFUNCTION("""COMPUTED_VALUE"""),"No")</f>
        <v>No</v>
      </c>
      <c r="AK1805" s="8" t="str">
        <f ca="1">IFERROR(__xludf.DUMMYFUNCTION("""COMPUTED_VALUE"""),"No")</f>
        <v>No</v>
      </c>
      <c r="AL1805" s="8" t="str">
        <f ca="1">IFERROR(__xludf.DUMMYFUNCTION("""COMPUTED_VALUE"""),"No")</f>
        <v>No</v>
      </c>
      <c r="AM1805" s="8" t="str">
        <f ca="1">IFERROR(__xludf.DUMMYFUNCTION("""COMPUTED_VALUE"""),"No")</f>
        <v>No</v>
      </c>
      <c r="AN1805" s="8"/>
      <c r="AO1805" s="8" t="str">
        <f ca="1">IFERROR(__xludf.DUMMYFUNCTION("""COMPUTED_VALUE"""),"No")</f>
        <v>No</v>
      </c>
      <c r="AP1805" s="8"/>
      <c r="AQ1805" s="8" t="str">
        <f ca="1">IFERROR(__xludf.DUMMYFUNCTION("""COMPUTED_VALUE"""),"Unknown")</f>
        <v>Unknown</v>
      </c>
      <c r="AR1805" s="8" t="str">
        <f ca="1">IFERROR(__xludf.DUMMYFUNCTION("""COMPUTED_VALUE"""),"NA")</f>
        <v>NA</v>
      </c>
      <c r="AS1805" s="8"/>
      <c r="AT1805" s="8" t="str">
        <f ca="1">IFERROR(__xludf.DUMMYFUNCTION("""COMPUTED_VALUE"""),"No")</f>
        <v>No</v>
      </c>
      <c r="AU1805" s="8">
        <f ca="1">IFERROR(__xludf.DUMMYFUNCTION("""COMPUTED_VALUE"""),43.082372)</f>
        <v>43.082371999999999</v>
      </c>
      <c r="AV1805" s="8">
        <f ca="1">IFERROR(__xludf.DUMMYFUNCTION("""COMPUTED_VALUE"""),-75.214648)</f>
        <v>-75.214647999999997</v>
      </c>
      <c r="AW1805" s="8"/>
      <c r="AX1805" s="8">
        <f ca="1">IFERROR(__xludf.DUMMYFUNCTION("""COMPUTED_VALUE"""),13492)</f>
        <v>13492</v>
      </c>
    </row>
    <row r="1806" spans="1:50" ht="45" x14ac:dyDescent="0.2">
      <c r="A1806" s="8" t="str">
        <f ca="1">IFERROR(__xludf.DUMMYFUNCTION("""COMPUTED_VALUE"""),"20171020OHSTT")</f>
        <v>20171020OHSTT</v>
      </c>
      <c r="B1806" s="8">
        <f ca="1">IFERROR(__xludf.DUMMYFUNCTION("""COMPUTED_VALUE"""),10)</f>
        <v>10</v>
      </c>
      <c r="C1806" s="8">
        <f ca="1">IFERROR(__xludf.DUMMYFUNCTION("""COMPUTED_VALUE"""),20)</f>
        <v>20</v>
      </c>
      <c r="D1806" s="8">
        <f ca="1">IFERROR(__xludf.DUMMYFUNCTION("""COMPUTED_VALUE"""),2017)</f>
        <v>2017</v>
      </c>
      <c r="E1806" s="9">
        <f ca="1">IFERROR(__xludf.DUMMYFUNCTION("""COMPUTED_VALUE"""),43028)</f>
        <v>43028</v>
      </c>
      <c r="F1806" s="8" t="str">
        <f ca="1">IFERROR(__xludf.DUMMYFUNCTION("""COMPUTED_VALUE"""),"Start High School")</f>
        <v>Start High School</v>
      </c>
      <c r="G1806" s="8">
        <f ca="1">IFERROR(__xludf.DUMMYFUNCTION("""COMPUTED_VALUE"""),0)</f>
        <v>0</v>
      </c>
      <c r="H1806" s="8">
        <f ca="1">IFERROR(__xludf.DUMMYFUNCTION("""COMPUTED_VALUE"""),0)</f>
        <v>0</v>
      </c>
      <c r="I1806" s="8">
        <f ca="1">IFERROR(__xludf.DUMMYFUNCTION("""COMPUTED_VALUE"""),0)</f>
        <v>0</v>
      </c>
      <c r="J1806" s="8">
        <f ca="1">IFERROR(__xludf.DUMMYFUNCTION("""COMPUTED_VALUE"""),0)</f>
        <v>0</v>
      </c>
      <c r="K1806" s="10" t="str">
        <f ca="1">IFERROR(__xludf.DUMMYFUNCTION("""COMPUTED_VALUE"""),"https://www.wtol.com/article/text/news/police-shots-fired-in-parking-lot-area-of-start-high-school/512-4f7360d6-2e3f-434a-a6e6-0067351b41f4")</f>
        <v>https://www.wtol.com/article/text/news/police-shots-fired-in-parking-lot-area-of-start-high-school/512-4f7360d6-2e3f-434a-a6e6-0067351b41f4</v>
      </c>
      <c r="L1806" s="8"/>
      <c r="M1806" s="8"/>
      <c r="N1806" s="8">
        <f ca="1">IFERROR(__xludf.DUMMYFUNCTION("""COMPUTED_VALUE"""),3)</f>
        <v>3</v>
      </c>
      <c r="O1806" s="8" t="str">
        <f ca="1">IFERROR(__xludf.DUMMYFUNCTION("""COMPUTED_VALUE"""),"Fall")</f>
        <v>Fall</v>
      </c>
      <c r="P1806" s="8" t="str">
        <f ca="1">IFERROR(__xludf.DUMMYFUNCTION("""COMPUTED_VALUE"""),"Toledo")</f>
        <v>Toledo</v>
      </c>
      <c r="Q1806" s="8" t="str">
        <f ca="1">IFERROR(__xludf.DUMMYFUNCTION("""COMPUTED_VALUE"""),"OH")</f>
        <v>OH</v>
      </c>
      <c r="R1806" s="8" t="str">
        <f ca="1">IFERROR(__xludf.DUMMYFUNCTION("""COMPUTED_VALUE"""),"High")</f>
        <v>High</v>
      </c>
      <c r="S1806" s="8" t="str">
        <f ca="1">IFERROR(__xludf.DUMMYFUNCTION("""COMPUTED_VALUE"""),"Parking Lot")</f>
        <v>Parking Lot</v>
      </c>
      <c r="T1806" s="8" t="str">
        <f ca="1">IFERROR(__xludf.DUMMYFUNCTION("""COMPUTED_VALUE"""),"Outside on School Property")</f>
        <v>Outside on School Property</v>
      </c>
      <c r="U1806" s="8" t="str">
        <f ca="1">IFERROR(__xludf.DUMMYFUNCTION("""COMPUTED_VALUE"""),"No")</f>
        <v>No</v>
      </c>
      <c r="V1806" s="8" t="str">
        <f ca="1">IFERROR(__xludf.DUMMYFUNCTION("""COMPUTED_VALUE"""),"Sport Event")</f>
        <v>Sport Event</v>
      </c>
      <c r="W1806" s="11">
        <f ca="1">IFERROR(__xludf.DUMMYFUNCTION("""COMPUTED_VALUE"""),0.895833333333333)</f>
        <v>0.89583333333333304</v>
      </c>
      <c r="X1806" s="8">
        <f ca="1">IFERROR(__xludf.DUMMYFUNCTION("""COMPUTED_VALUE"""),1)</f>
        <v>1</v>
      </c>
      <c r="Y1806" s="12" t="str">
        <f ca="1">IFERROR(__xludf.DUMMYFUNCTION("""COMPUTED_VALUE"""),"Shots fired in parking lot during football game")</f>
        <v>Shots fired in parking lot during football game</v>
      </c>
      <c r="Z1806" s="12" t="str">
        <f ca="1">IFERROR(__xludf.DUMMYFUNCTION("""COMPUTED_VALUE"""),"Police officer heard shots fired in the parking lot of the high school during a football game. Officer observed a suspect riding away on a bicycle. No victims. No arrest made.")</f>
        <v>Police officer heard shots fired in the parking lot of the high school during a football game. Officer observed a suspect riding away on a bicycle. No victims. No arrest made.</v>
      </c>
      <c r="AA1806" s="8" t="str">
        <f ca="1">IFERROR(__xludf.DUMMYFUNCTION("""COMPUTED_VALUE"""),"Escalation of Dispute")</f>
        <v>Escalation of Dispute</v>
      </c>
      <c r="AB1806" s="8"/>
      <c r="AC1806" s="8" t="str">
        <f ca="1">IFERROR(__xludf.DUMMYFUNCTION("""COMPUTED_VALUE"""),"Yes")</f>
        <v>Yes</v>
      </c>
      <c r="AD1806" s="8"/>
      <c r="AE1806" s="8" t="str">
        <f ca="1">IFERROR(__xludf.DUMMYFUNCTION("""COMPUTED_VALUE"""),"No")</f>
        <v>No</v>
      </c>
      <c r="AF1806" s="8"/>
      <c r="AG1806" s="8" t="str">
        <f ca="1">IFERROR(__xludf.DUMMYFUNCTION("""COMPUTED_VALUE"""),"No")</f>
        <v>No</v>
      </c>
      <c r="AH1806" s="8" t="str">
        <f ca="1">IFERROR(__xludf.DUMMYFUNCTION("""COMPUTED_VALUE"""),"No")</f>
        <v>No</v>
      </c>
      <c r="AI1806" s="8" t="str">
        <f ca="1">IFERROR(__xludf.DUMMYFUNCTION("""COMPUTED_VALUE"""),"No")</f>
        <v>No</v>
      </c>
      <c r="AJ1806" s="8" t="str">
        <f ca="1">IFERROR(__xludf.DUMMYFUNCTION("""COMPUTED_VALUE"""),"No")</f>
        <v>No</v>
      </c>
      <c r="AK1806" s="8" t="str">
        <f ca="1">IFERROR(__xludf.DUMMYFUNCTION("""COMPUTED_VALUE"""),"No")</f>
        <v>No</v>
      </c>
      <c r="AL1806" s="8"/>
      <c r="AM1806" s="8" t="str">
        <f ca="1">IFERROR(__xludf.DUMMYFUNCTION("""COMPUTED_VALUE"""),"No")</f>
        <v>No</v>
      </c>
      <c r="AN1806" s="8"/>
      <c r="AO1806" s="8" t="str">
        <f ca="1">IFERROR(__xludf.DUMMYFUNCTION("""COMPUTED_VALUE"""),"No")</f>
        <v>No</v>
      </c>
      <c r="AP1806" s="8"/>
      <c r="AQ1806" s="8" t="str">
        <f ca="1">IFERROR(__xludf.DUMMYFUNCTION("""COMPUTED_VALUE"""),"None")</f>
        <v>None</v>
      </c>
      <c r="AR1806" s="8" t="str">
        <f ca="1">IFERROR(__xludf.DUMMYFUNCTION("""COMPUTED_VALUE"""),"NA")</f>
        <v>NA</v>
      </c>
      <c r="AS1806" s="8" t="str">
        <f ca="1">IFERROR(__xludf.DUMMYFUNCTION("""COMPUTED_VALUE"""),"&lt;10")</f>
        <v>&lt;10</v>
      </c>
      <c r="AT1806" s="8" t="str">
        <f ca="1">IFERROR(__xludf.DUMMYFUNCTION("""COMPUTED_VALUE"""),"No")</f>
        <v>No</v>
      </c>
      <c r="AU1806" s="8">
        <f ca="1">IFERROR(__xludf.DUMMYFUNCTION("""COMPUTED_VALUE"""),41.699181)</f>
        <v>41.699181000000003</v>
      </c>
      <c r="AV1806" s="8">
        <f ca="1">IFERROR(__xludf.DUMMYFUNCTION("""COMPUTED_VALUE"""),-83.591333)</f>
        <v>-83.591333000000006</v>
      </c>
      <c r="AW1806" s="8"/>
      <c r="AX1806" s="8">
        <f ca="1">IFERROR(__xludf.DUMMYFUNCTION("""COMPUTED_VALUE"""),43613)</f>
        <v>43613</v>
      </c>
    </row>
    <row r="1807" spans="1:50" ht="60" x14ac:dyDescent="0.2">
      <c r="A1807" s="8" t="str">
        <f ca="1">IFERROR(__xludf.DUMMYFUNCTION("""COMPUTED_VALUE"""),"20171014NCKEK")</f>
        <v>20171014NCKEK</v>
      </c>
      <c r="B1807" s="8">
        <f ca="1">IFERROR(__xludf.DUMMYFUNCTION("""COMPUTED_VALUE"""),10)</f>
        <v>10</v>
      </c>
      <c r="C1807" s="8">
        <f ca="1">IFERROR(__xludf.DUMMYFUNCTION("""COMPUTED_VALUE"""),14)</f>
        <v>14</v>
      </c>
      <c r="D1807" s="8">
        <f ca="1">IFERROR(__xludf.DUMMYFUNCTION("""COMPUTED_VALUE"""),2017)</f>
        <v>2017</v>
      </c>
      <c r="E1807" s="9">
        <f ca="1">IFERROR(__xludf.DUMMYFUNCTION("""COMPUTED_VALUE"""),43022)</f>
        <v>43022</v>
      </c>
      <c r="F1807" s="8" t="str">
        <f ca="1">IFERROR(__xludf.DUMMYFUNCTION("""COMPUTED_VALUE"""),"Kernersville Elementary School")</f>
        <v>Kernersville Elementary School</v>
      </c>
      <c r="G1807" s="8">
        <f ca="1">IFERROR(__xludf.DUMMYFUNCTION("""COMPUTED_VALUE"""),0)</f>
        <v>0</v>
      </c>
      <c r="H1807" s="8">
        <f ca="1">IFERROR(__xludf.DUMMYFUNCTION("""COMPUTED_VALUE"""),0)</f>
        <v>0</v>
      </c>
      <c r="I1807" s="8">
        <f ca="1">IFERROR(__xludf.DUMMYFUNCTION("""COMPUTED_VALUE"""),0)</f>
        <v>0</v>
      </c>
      <c r="J1807" s="8">
        <f ca="1">IFERROR(__xludf.DUMMYFUNCTION("""COMPUTED_VALUE"""),0)</f>
        <v>0</v>
      </c>
      <c r="K1807" s="10" t="str">
        <f ca="1">IFERROR(__xludf.DUMMYFUNCTION("""COMPUTED_VALUE"""),"https://www.journalnow.com/news/crime/man-charged-after-gun-fired-at-kernersville-youth-football-game/article_18fb0bef-80e1-530a-bc1f-b6b61ce4d8fd.html")</f>
        <v>https://www.journalnow.com/news/crime/man-charged-after-gun-fired-at-kernersville-youth-football-game/article_18fb0bef-80e1-530a-bc1f-b6b61ce4d8fd.html</v>
      </c>
      <c r="L1807" s="8"/>
      <c r="M1807" s="8"/>
      <c r="N1807" s="8">
        <f ca="1">IFERROR(__xludf.DUMMYFUNCTION("""COMPUTED_VALUE"""),3)</f>
        <v>3</v>
      </c>
      <c r="O1807" s="8" t="str">
        <f ca="1">IFERROR(__xludf.DUMMYFUNCTION("""COMPUTED_VALUE"""),"Fall")</f>
        <v>Fall</v>
      </c>
      <c r="P1807" s="8" t="str">
        <f ca="1">IFERROR(__xludf.DUMMYFUNCTION("""COMPUTED_VALUE"""),"Kernersville")</f>
        <v>Kernersville</v>
      </c>
      <c r="Q1807" s="8" t="str">
        <f ca="1">IFERROR(__xludf.DUMMYFUNCTION("""COMPUTED_VALUE"""),"NC")</f>
        <v>NC</v>
      </c>
      <c r="R1807" s="8" t="str">
        <f ca="1">IFERROR(__xludf.DUMMYFUNCTION("""COMPUTED_VALUE"""),"Elementary")</f>
        <v>Elementary</v>
      </c>
      <c r="S1807" s="8" t="str">
        <f ca="1">IFERROR(__xludf.DUMMYFUNCTION("""COMPUTED_VALUE"""),"Football Field/Track")</f>
        <v>Football Field/Track</v>
      </c>
      <c r="T1807" s="8" t="str">
        <f ca="1">IFERROR(__xludf.DUMMYFUNCTION("""COMPUTED_VALUE"""),"Outside on School Property")</f>
        <v>Outside on School Property</v>
      </c>
      <c r="U1807" s="8" t="str">
        <f ca="1">IFERROR(__xludf.DUMMYFUNCTION("""COMPUTED_VALUE"""),"No")</f>
        <v>No</v>
      </c>
      <c r="V1807" s="8" t="str">
        <f ca="1">IFERROR(__xludf.DUMMYFUNCTION("""COMPUTED_VALUE"""),"Sport Event")</f>
        <v>Sport Event</v>
      </c>
      <c r="W1807" s="11">
        <f ca="1">IFERROR(__xludf.DUMMYFUNCTION("""COMPUTED_VALUE"""),0.458333333333333)</f>
        <v>0.45833333333333298</v>
      </c>
      <c r="X1807" s="8">
        <f ca="1">IFERROR(__xludf.DUMMYFUNCTION("""COMPUTED_VALUE"""),1)</f>
        <v>1</v>
      </c>
      <c r="Y1807" s="12" t="str">
        <f ca="1">IFERROR(__xludf.DUMMYFUNCTION("""COMPUTED_VALUE"""),"Shot fired by parent during struggle with police officer during youth football game")</f>
        <v>Shot fired by parent during struggle with police officer during youth football game</v>
      </c>
      <c r="Z1807" s="12" t="str">
        <f ca="1">IFERROR(__xludf.DUMMYFUNCTION("""COMPUTED_VALUE"""),"Police were called for an irate parent at a youth football game. Parent (22YOM) pulled a gun and fired during the struggle with a police officer. Arrested and charged with multiple felonies. No injuries.")</f>
        <v>Police were called for an irate parent at a youth football game. Parent (22YOM) pulled a gun and fired during the struggle with a police officer. Arrested and charged with multiple felonies. No injuries.</v>
      </c>
      <c r="AA1807" s="8" t="str">
        <f ca="1">IFERROR(__xludf.DUMMYFUNCTION("""COMPUTED_VALUE"""),"Escalation of Dispute")</f>
        <v>Escalation of Dispute</v>
      </c>
      <c r="AB1807" s="8"/>
      <c r="AC1807" s="8" t="str">
        <f ca="1">IFERROR(__xludf.DUMMYFUNCTION("""COMPUTED_VALUE"""),"No")</f>
        <v>No</v>
      </c>
      <c r="AD1807" s="8" t="str">
        <f ca="1">IFERROR(__xludf.DUMMYFUNCTION("""COMPUTED_VALUE"""),"Victims Targeted")</f>
        <v>Victims Targeted</v>
      </c>
      <c r="AE1807" s="8" t="str">
        <f ca="1">IFERROR(__xludf.DUMMYFUNCTION("""COMPUTED_VALUE"""),"No")</f>
        <v>No</v>
      </c>
      <c r="AF1807" s="8"/>
      <c r="AG1807" s="8" t="str">
        <f ca="1">IFERROR(__xludf.DUMMYFUNCTION("""COMPUTED_VALUE"""),"No")</f>
        <v>No</v>
      </c>
      <c r="AH1807" s="8" t="str">
        <f ca="1">IFERROR(__xludf.DUMMYFUNCTION("""COMPUTED_VALUE"""),"No")</f>
        <v>No</v>
      </c>
      <c r="AI1807" s="8" t="str">
        <f ca="1">IFERROR(__xludf.DUMMYFUNCTION("""COMPUTED_VALUE"""),"No")</f>
        <v>No</v>
      </c>
      <c r="AJ1807" s="8" t="str">
        <f ca="1">IFERROR(__xludf.DUMMYFUNCTION("""COMPUTED_VALUE"""),"No")</f>
        <v>No</v>
      </c>
      <c r="AK1807" s="8" t="str">
        <f ca="1">IFERROR(__xludf.DUMMYFUNCTION("""COMPUTED_VALUE"""),"No")</f>
        <v>No</v>
      </c>
      <c r="AL1807" s="8" t="str">
        <f ca="1">IFERROR(__xludf.DUMMYFUNCTION("""COMPUTED_VALUE"""),"No")</f>
        <v>No</v>
      </c>
      <c r="AM1807" s="8" t="str">
        <f ca="1">IFERROR(__xludf.DUMMYFUNCTION("""COMPUTED_VALUE"""),"No")</f>
        <v>No</v>
      </c>
      <c r="AN1807" s="8"/>
      <c r="AO1807" s="8" t="str">
        <f ca="1">IFERROR(__xludf.DUMMYFUNCTION("""COMPUTED_VALUE"""),"No")</f>
        <v>No</v>
      </c>
      <c r="AP1807" s="8" t="str">
        <f ca="1">IFERROR(__xludf.DUMMYFUNCTION("""COMPUTED_VALUE"""),"No")</f>
        <v>No</v>
      </c>
      <c r="AQ1807" s="8" t="str">
        <f ca="1">IFERROR(__xludf.DUMMYFUNCTION("""COMPUTED_VALUE"""),"None")</f>
        <v>None</v>
      </c>
      <c r="AR1807" s="8" t="str">
        <f ca="1">IFERROR(__xludf.DUMMYFUNCTION("""COMPUTED_VALUE"""),"NA")</f>
        <v>NA</v>
      </c>
      <c r="AS1807" s="8">
        <f ca="1">IFERROR(__xludf.DUMMYFUNCTION("""COMPUTED_VALUE"""),1)</f>
        <v>1</v>
      </c>
      <c r="AT1807" s="8"/>
      <c r="AU1807" s="8">
        <f ca="1">IFERROR(__xludf.DUMMYFUNCTION("""COMPUTED_VALUE"""),36.126477)</f>
        <v>36.126477000000001</v>
      </c>
      <c r="AV1807" s="8">
        <f ca="1">IFERROR(__xludf.DUMMYFUNCTION("""COMPUTED_VALUE"""),-80.079962)</f>
        <v>-80.079961999999995</v>
      </c>
      <c r="AW1807" s="8"/>
      <c r="AX1807" s="8">
        <f ca="1">IFERROR(__xludf.DUMMYFUNCTION("""COMPUTED_VALUE"""),27284)</f>
        <v>27284</v>
      </c>
    </row>
    <row r="1808" spans="1:50" ht="45" x14ac:dyDescent="0.2">
      <c r="A1808" s="8" t="str">
        <f ca="1">IFERROR(__xludf.DUMMYFUNCTION("""COMPUTED_VALUE"""),"20171012NCCHC")</f>
        <v>20171012NCCHC</v>
      </c>
      <c r="B1808" s="8">
        <f ca="1">IFERROR(__xludf.DUMMYFUNCTION("""COMPUTED_VALUE"""),10)</f>
        <v>10</v>
      </c>
      <c r="C1808" s="8">
        <f ca="1">IFERROR(__xludf.DUMMYFUNCTION("""COMPUTED_VALUE"""),12)</f>
        <v>12</v>
      </c>
      <c r="D1808" s="8">
        <f ca="1">IFERROR(__xludf.DUMMYFUNCTION("""COMPUTED_VALUE"""),2017)</f>
        <v>2017</v>
      </c>
      <c r="E1808" s="9">
        <f ca="1">IFERROR(__xludf.DUMMYFUNCTION("""COMPUTED_VALUE"""),43020)</f>
        <v>43020</v>
      </c>
      <c r="F1808" s="8" t="str">
        <f ca="1">IFERROR(__xludf.DUMMYFUNCTION("""COMPUTED_VALUE"""),"Charlotte School Bus")</f>
        <v>Charlotte School Bus</v>
      </c>
      <c r="G1808" s="8">
        <f ca="1">IFERROR(__xludf.DUMMYFUNCTION("""COMPUTED_VALUE"""),0)</f>
        <v>0</v>
      </c>
      <c r="H1808" s="8">
        <f ca="1">IFERROR(__xludf.DUMMYFUNCTION("""COMPUTED_VALUE"""),0)</f>
        <v>0</v>
      </c>
      <c r="I1808" s="8">
        <f ca="1">IFERROR(__xludf.DUMMYFUNCTION("""COMPUTED_VALUE"""),0)</f>
        <v>0</v>
      </c>
      <c r="J1808" s="8">
        <f ca="1">IFERROR(__xludf.DUMMYFUNCTION("""COMPUTED_VALUE"""),0)</f>
        <v>0</v>
      </c>
      <c r="K1808" s="10" t="str">
        <f ca="1">IFERROR(__xludf.DUMMYFUNCTION("""COMPUTED_VALUE"""),"https://newsmaven.io/charlottealerts/news/video-drug-dispute-erupts-into-shootout-at-gas-station-school-bus-gets-hit-ffkja5HUBEKh-yZn1VMiVQ")</f>
        <v>https://newsmaven.io/charlottealerts/news/video-drug-dispute-erupts-into-shootout-at-gas-station-school-bus-gets-hit-ffkja5HUBEKh-yZn1VMiVQ</v>
      </c>
      <c r="L1808" s="8"/>
      <c r="M1808" s="8"/>
      <c r="N1808" s="8">
        <f ca="1">IFERROR(__xludf.DUMMYFUNCTION("""COMPUTED_VALUE"""),5)</f>
        <v>5</v>
      </c>
      <c r="O1808" s="8" t="str">
        <f ca="1">IFERROR(__xludf.DUMMYFUNCTION("""COMPUTED_VALUE"""),"Fall")</f>
        <v>Fall</v>
      </c>
      <c r="P1808" s="8" t="str">
        <f ca="1">IFERROR(__xludf.DUMMYFUNCTION("""COMPUTED_VALUE"""),"Charlotte")</f>
        <v>Charlotte</v>
      </c>
      <c r="Q1808" s="8" t="str">
        <f ca="1">IFERROR(__xludf.DUMMYFUNCTION("""COMPUTED_VALUE"""),"NC")</f>
        <v>NC</v>
      </c>
      <c r="R1808" s="8"/>
      <c r="S1808" s="8" t="str">
        <f ca="1">IFERROR(__xludf.DUMMYFUNCTION("""COMPUTED_VALUE"""),"School Bus")</f>
        <v>School Bus</v>
      </c>
      <c r="T1808" s="8" t="str">
        <f ca="1">IFERROR(__xludf.DUMMYFUNCTION("""COMPUTED_VALUE"""),"School Bus")</f>
        <v>School Bus</v>
      </c>
      <c r="U1808" s="8" t="str">
        <f ca="1">IFERROR(__xludf.DUMMYFUNCTION("""COMPUTED_VALUE"""),"Yes")</f>
        <v>Yes</v>
      </c>
      <c r="V1808" s="8" t="str">
        <f ca="1">IFERROR(__xludf.DUMMYFUNCTION("""COMPUTED_VALUE"""),"School Start")</f>
        <v>School Start</v>
      </c>
      <c r="W1808" s="11">
        <f ca="1">IFERROR(__xludf.DUMMYFUNCTION("""COMPUTED_VALUE"""),0.3125)</f>
        <v>0.3125</v>
      </c>
      <c r="X1808" s="8">
        <f ca="1">IFERROR(__xludf.DUMMYFUNCTION("""COMPUTED_VALUE"""),1)</f>
        <v>1</v>
      </c>
      <c r="Y1808" s="12" t="str">
        <f ca="1">IFERROR(__xludf.DUMMYFUNCTION("""COMPUTED_VALUE"""),"Bus with students struck by shots fired during drug dispute")</f>
        <v>Bus with students struck by shots fired during drug dispute</v>
      </c>
      <c r="Z1808" s="12" t="str">
        <f ca="1">IFERROR(__xludf.DUMMYFUNCTION("""COMPUTED_VALUE"""),"Bus with 19 students was struck by bullet fired during dispute between two adult men at a gas station. 30YOM and 37YOM each fired shots at each other.")</f>
        <v>Bus with 19 students was struck by bullet fired during dispute between two adult men at a gas station. 30YOM and 37YOM each fired shots at each other.</v>
      </c>
      <c r="AA1808" s="8" t="str">
        <f ca="1">IFERROR(__xludf.DUMMYFUNCTION("""COMPUTED_VALUE"""),"Escalation of Dispute")</f>
        <v>Escalation of Dispute</v>
      </c>
      <c r="AB1808" s="8"/>
      <c r="AC1808" s="8" t="str">
        <f ca="1">IFERROR(__xludf.DUMMYFUNCTION("""COMPUTED_VALUE"""),"Yes")</f>
        <v>Yes</v>
      </c>
      <c r="AD1808" s="8" t="str">
        <f ca="1">IFERROR(__xludf.DUMMYFUNCTION("""COMPUTED_VALUE"""),"Random Shooting")</f>
        <v>Random Shooting</v>
      </c>
      <c r="AE1808" s="8" t="str">
        <f ca="1">IFERROR(__xludf.DUMMYFUNCTION("""COMPUTED_VALUE"""),"No")</f>
        <v>No</v>
      </c>
      <c r="AF1808" s="8"/>
      <c r="AG1808" s="8" t="str">
        <f ca="1">IFERROR(__xludf.DUMMYFUNCTION("""COMPUTED_VALUE"""),"No")</f>
        <v>No</v>
      </c>
      <c r="AH1808" s="8" t="str">
        <f ca="1">IFERROR(__xludf.DUMMYFUNCTION("""COMPUTED_VALUE"""),"No")</f>
        <v>No</v>
      </c>
      <c r="AI1808" s="8" t="str">
        <f ca="1">IFERROR(__xludf.DUMMYFUNCTION("""COMPUTED_VALUE"""),"No")</f>
        <v>No</v>
      </c>
      <c r="AJ1808" s="8" t="str">
        <f ca="1">IFERROR(__xludf.DUMMYFUNCTION("""COMPUTED_VALUE"""),"No")</f>
        <v>No</v>
      </c>
      <c r="AK1808" s="8" t="str">
        <f ca="1">IFERROR(__xludf.DUMMYFUNCTION("""COMPUTED_VALUE"""),"No")</f>
        <v>No</v>
      </c>
      <c r="AL1808" s="8" t="str">
        <f ca="1">IFERROR(__xludf.DUMMYFUNCTION("""COMPUTED_VALUE"""),"No")</f>
        <v>No</v>
      </c>
      <c r="AM1808" s="8" t="str">
        <f ca="1">IFERROR(__xludf.DUMMYFUNCTION("""COMPUTED_VALUE"""),"No")</f>
        <v>No</v>
      </c>
      <c r="AN1808" s="8"/>
      <c r="AO1808" s="8" t="str">
        <f ca="1">IFERROR(__xludf.DUMMYFUNCTION("""COMPUTED_VALUE"""),"No")</f>
        <v>No</v>
      </c>
      <c r="AP1808" s="8" t="str">
        <f ca="1">IFERROR(__xludf.DUMMYFUNCTION("""COMPUTED_VALUE"""),"N/A")</f>
        <v>N/A</v>
      </c>
      <c r="AQ1808" s="8" t="str">
        <f ca="1">IFERROR(__xludf.DUMMYFUNCTION("""COMPUTED_VALUE"""),"Unknown")</f>
        <v>Unknown</v>
      </c>
      <c r="AR1808" s="8" t="str">
        <f ca="1">IFERROR(__xludf.DUMMYFUNCTION("""COMPUTED_VALUE"""),"Outside/Off-Property")</f>
        <v>Outside/Off-Property</v>
      </c>
      <c r="AS1808" s="13">
        <f ca="1">IFERROR(__xludf.DUMMYFUNCTION("""COMPUTED_VALUE"""),44691)</f>
        <v>44691</v>
      </c>
      <c r="AT1808" s="8"/>
      <c r="AU1808" s="8">
        <f ca="1">IFERROR(__xludf.DUMMYFUNCTION("""COMPUTED_VALUE"""),35.225393)</f>
        <v>35.225392999999997</v>
      </c>
      <c r="AV1808" s="8">
        <f ca="1">IFERROR(__xludf.DUMMYFUNCTION("""COMPUTED_VALUE"""),-80.845026)</f>
        <v>-80.845026000000004</v>
      </c>
      <c r="AW1808" s="8"/>
      <c r="AX1808" s="8">
        <f ca="1">IFERROR(__xludf.DUMMYFUNCTION("""COMPUTED_VALUE"""),28202)</f>
        <v>28202</v>
      </c>
    </row>
    <row r="1809" spans="1:50" ht="105" x14ac:dyDescent="0.2">
      <c r="A1809" s="8" t="str">
        <f ca="1">IFERROR(__xludf.DUMMYFUNCTION("""COMPUTED_VALUE"""),"20170930PAPUC")</f>
        <v>20170930PAPUC</v>
      </c>
      <c r="B1809" s="8">
        <f ca="1">IFERROR(__xludf.DUMMYFUNCTION("""COMPUTED_VALUE"""),9)</f>
        <v>9</v>
      </c>
      <c r="C1809" s="8">
        <f ca="1">IFERROR(__xludf.DUMMYFUNCTION("""COMPUTED_VALUE"""),30)</f>
        <v>30</v>
      </c>
      <c r="D1809" s="8">
        <f ca="1">IFERROR(__xludf.DUMMYFUNCTION("""COMPUTED_VALUE"""),2017)</f>
        <v>2017</v>
      </c>
      <c r="E1809" s="9">
        <f ca="1">IFERROR(__xludf.DUMMYFUNCTION("""COMPUTED_VALUE"""),43008)</f>
        <v>43008</v>
      </c>
      <c r="F1809" s="8" t="str">
        <f ca="1">IFERROR(__xludf.DUMMYFUNCTION("""COMPUTED_VALUE"""),"Purchase Line Elementary School")</f>
        <v>Purchase Line Elementary School</v>
      </c>
      <c r="G1809" s="8">
        <f ca="1">IFERROR(__xludf.DUMMYFUNCTION("""COMPUTED_VALUE"""),0)</f>
        <v>0</v>
      </c>
      <c r="H1809" s="8">
        <f ca="1">IFERROR(__xludf.DUMMYFUNCTION("""COMPUTED_VALUE"""),1)</f>
        <v>1</v>
      </c>
      <c r="I1809" s="8">
        <f ca="1">IFERROR(__xludf.DUMMYFUNCTION("""COMPUTED_VALUE"""),1)</f>
        <v>1</v>
      </c>
      <c r="J1809" s="8">
        <f ca="1">IFERROR(__xludf.DUMMYFUNCTION("""COMPUTED_VALUE"""),0)</f>
        <v>0</v>
      </c>
      <c r="K1809" s="10" t="str">
        <f ca="1">IFERROR(__xludf.DUMMYFUNCTION("""COMPUTED_VALUE"""),"https://triblive.com/local/regional/12794212-74/woman-shoots-boyfriend-in-indiana-county-school-parking-lot")</f>
        <v>https://triblive.com/local/regional/12794212-74/woman-shoots-boyfriend-in-indiana-county-school-parking-lot</v>
      </c>
      <c r="L1809" s="8"/>
      <c r="M1809" s="8"/>
      <c r="N1809" s="8">
        <f ca="1">IFERROR(__xludf.DUMMYFUNCTION("""COMPUTED_VALUE"""),2)</f>
        <v>2</v>
      </c>
      <c r="O1809" s="8" t="str">
        <f ca="1">IFERROR(__xludf.DUMMYFUNCTION("""COMPUTED_VALUE"""),"Fall")</f>
        <v>Fall</v>
      </c>
      <c r="P1809" s="8" t="str">
        <f ca="1">IFERROR(__xludf.DUMMYFUNCTION("""COMPUTED_VALUE"""),"Commodore")</f>
        <v>Commodore</v>
      </c>
      <c r="Q1809" s="8" t="str">
        <f ca="1">IFERROR(__xludf.DUMMYFUNCTION("""COMPUTED_VALUE"""),"PA")</f>
        <v>PA</v>
      </c>
      <c r="R1809" s="8" t="str">
        <f ca="1">IFERROR(__xludf.DUMMYFUNCTION("""COMPUTED_VALUE"""),"Elementary")</f>
        <v>Elementary</v>
      </c>
      <c r="S1809" s="8" t="str">
        <f ca="1">IFERROR(__xludf.DUMMYFUNCTION("""COMPUTED_VALUE"""),"Parking Lot")</f>
        <v>Parking Lot</v>
      </c>
      <c r="T1809" s="8" t="str">
        <f ca="1">IFERROR(__xludf.DUMMYFUNCTION("""COMPUTED_VALUE"""),"Outside on School Property")</f>
        <v>Outside on School Property</v>
      </c>
      <c r="U1809" s="8" t="str">
        <f ca="1">IFERROR(__xludf.DUMMYFUNCTION("""COMPUTED_VALUE"""),"No")</f>
        <v>No</v>
      </c>
      <c r="V1809" s="8" t="str">
        <f ca="1">IFERROR(__xludf.DUMMYFUNCTION("""COMPUTED_VALUE"""),"Night")</f>
        <v>Night</v>
      </c>
      <c r="W1809" s="11">
        <f ca="1">IFERROR(__xludf.DUMMYFUNCTION("""COMPUTED_VALUE"""),0.958333333333333)</f>
        <v>0.95833333333333304</v>
      </c>
      <c r="X1809" s="8">
        <f ca="1">IFERROR(__xludf.DUMMYFUNCTION("""COMPUTED_VALUE"""),1)</f>
        <v>1</v>
      </c>
      <c r="Y1809" s="12" t="str">
        <f ca="1">IFERROR(__xludf.DUMMYFUNCTION("""COMPUTED_VALUE"""),"Domestic, shot boyfriend in parking lot - claimed it was accidental")</f>
        <v>Domestic, shot boyfriend in parking lot - claimed it was accidental</v>
      </c>
      <c r="Z1809" s="12" t="str">
        <f ca="1">IFERROR(__xludf.DUMMYFUNCTION("""COMPUTED_VALUE"""),"Shooter and victim were driving at night when they became involved in an argument. After they pulled over and into school parking lot, shooter (female) got out of vehicle, pulled out .380 from her pocket and shot into the car striking her boyfriend (victi"&amp;"m) in the leg - shooter was later arrested at her house, which she shared with victim. Shooter later claimed it was accidental.")</f>
        <v>Shooter and victim were driving at night when they became involved in an argument. After they pulled over and into school parking lot, shooter (female) got out of vehicle, pulled out .380 from her pocket and shot into the car striking her boyfriend (victim) in the leg - shooter was later arrested at her house, which she shared with victim. Shooter later claimed it was accidental.</v>
      </c>
      <c r="AA1809" s="8" t="str">
        <f ca="1">IFERROR(__xludf.DUMMYFUNCTION("""COMPUTED_VALUE"""),"Domestic w/ Targeted Victim")</f>
        <v>Domestic w/ Targeted Victim</v>
      </c>
      <c r="AB1809" s="8"/>
      <c r="AC1809" s="8" t="str">
        <f ca="1">IFERROR(__xludf.DUMMYFUNCTION("""COMPUTED_VALUE"""),"No")</f>
        <v>No</v>
      </c>
      <c r="AD1809" s="8" t="str">
        <f ca="1">IFERROR(__xludf.DUMMYFUNCTION("""COMPUTED_VALUE"""),"Victims Targeted")</f>
        <v>Victims Targeted</v>
      </c>
      <c r="AE1809" s="8" t="str">
        <f ca="1">IFERROR(__xludf.DUMMYFUNCTION("""COMPUTED_VALUE"""),"No")</f>
        <v>No</v>
      </c>
      <c r="AF1809" s="8"/>
      <c r="AG1809" s="8" t="str">
        <f ca="1">IFERROR(__xludf.DUMMYFUNCTION("""COMPUTED_VALUE"""),"No")</f>
        <v>No</v>
      </c>
      <c r="AH1809" s="8" t="str">
        <f ca="1">IFERROR(__xludf.DUMMYFUNCTION("""COMPUTED_VALUE"""),"No")</f>
        <v>No</v>
      </c>
      <c r="AI1809" s="8" t="str">
        <f ca="1">IFERROR(__xludf.DUMMYFUNCTION("""COMPUTED_VALUE"""),"No")</f>
        <v>No</v>
      </c>
      <c r="AJ1809" s="8" t="str">
        <f ca="1">IFERROR(__xludf.DUMMYFUNCTION("""COMPUTED_VALUE"""),"No")</f>
        <v>No</v>
      </c>
      <c r="AK1809" s="8" t="str">
        <f ca="1">IFERROR(__xludf.DUMMYFUNCTION("""COMPUTED_VALUE"""),"Yes")</f>
        <v>Yes</v>
      </c>
      <c r="AL1809" s="8" t="str">
        <f ca="1">IFERROR(__xludf.DUMMYFUNCTION("""COMPUTED_VALUE"""),"No")</f>
        <v>No</v>
      </c>
      <c r="AM1809" s="8" t="str">
        <f ca="1">IFERROR(__xludf.DUMMYFUNCTION("""COMPUTED_VALUE"""),"No")</f>
        <v>No</v>
      </c>
      <c r="AN1809" s="8"/>
      <c r="AO1809" s="8" t="str">
        <f ca="1">IFERROR(__xludf.DUMMYFUNCTION("""COMPUTED_VALUE"""),"No")</f>
        <v>No</v>
      </c>
      <c r="AP1809" s="8"/>
      <c r="AQ1809" s="8" t="str">
        <f ca="1">IFERROR(__xludf.DUMMYFUNCTION("""COMPUTED_VALUE"""),"Unknown")</f>
        <v>Unknown</v>
      </c>
      <c r="AR1809" s="8" t="str">
        <f ca="1">IFERROR(__xludf.DUMMYFUNCTION("""COMPUTED_VALUE"""),"NA")</f>
        <v>NA</v>
      </c>
      <c r="AS1809" s="8">
        <f ca="1">IFERROR(__xludf.DUMMYFUNCTION("""COMPUTED_VALUE"""),1)</f>
        <v>1</v>
      </c>
      <c r="AT1809" s="8"/>
      <c r="AU1809" s="8">
        <f ca="1">IFERROR(__xludf.DUMMYFUNCTION("""COMPUTED_VALUE"""),40.735113)</f>
        <v>40.735112999999998</v>
      </c>
      <c r="AV1809" s="8">
        <f ca="1">IFERROR(__xludf.DUMMYFUNCTION("""COMPUTED_VALUE"""),-78.912284)</f>
        <v>-78.912284</v>
      </c>
      <c r="AW1809" s="8"/>
      <c r="AX1809" s="8">
        <f ca="1">IFERROR(__xludf.DUMMYFUNCTION("""COMPUTED_VALUE"""),15729)</f>
        <v>15729</v>
      </c>
    </row>
    <row r="1810" spans="1:50" ht="45" x14ac:dyDescent="0.2">
      <c r="A1810" s="8" t="str">
        <f ca="1">IFERROR(__xludf.DUMMYFUNCTION("""COMPUTED_VALUE"""),"20170929MOLEL")</f>
        <v>20170929MOLEL</v>
      </c>
      <c r="B1810" s="8">
        <f ca="1">IFERROR(__xludf.DUMMYFUNCTION("""COMPUTED_VALUE"""),9)</f>
        <v>9</v>
      </c>
      <c r="C1810" s="8">
        <f ca="1">IFERROR(__xludf.DUMMYFUNCTION("""COMPUTED_VALUE"""),29)</f>
        <v>29</v>
      </c>
      <c r="D1810" s="8">
        <f ca="1">IFERROR(__xludf.DUMMYFUNCTION("""COMPUTED_VALUE"""),2017)</f>
        <v>2017</v>
      </c>
      <c r="E1810" s="9">
        <f ca="1">IFERROR(__xludf.DUMMYFUNCTION("""COMPUTED_VALUE"""),43007)</f>
        <v>43007</v>
      </c>
      <c r="F1810" s="8" t="str">
        <f ca="1">IFERROR(__xludf.DUMMYFUNCTION("""COMPUTED_VALUE"""),"Lees Summit North High School")</f>
        <v>Lees Summit North High School</v>
      </c>
      <c r="G1810" s="8">
        <f ca="1">IFERROR(__xludf.DUMMYFUNCTION("""COMPUTED_VALUE"""),0)</f>
        <v>0</v>
      </c>
      <c r="H1810" s="8">
        <f ca="1">IFERROR(__xludf.DUMMYFUNCTION("""COMPUTED_VALUE"""),0)</f>
        <v>0</v>
      </c>
      <c r="I1810" s="8">
        <f ca="1">IFERROR(__xludf.DUMMYFUNCTION("""COMPUTED_VALUE"""),0)</f>
        <v>0</v>
      </c>
      <c r="J1810" s="8">
        <f ca="1">IFERROR(__xludf.DUMMYFUNCTION("""COMPUTED_VALUE"""),1)</f>
        <v>1</v>
      </c>
      <c r="K1810" s="10" t="str">
        <f ca="1">IFERROR(__xludf.DUMMYFUNCTION("""COMPUTED_VALUE"""),"https://fox4kc.com/2017/09/29/lees-summit-north-high-school-dismissing-students-early-due-to-an-incident/")</f>
        <v>https://fox4kc.com/2017/09/29/lees-summit-north-high-school-dismissing-students-early-due-to-an-incident/</v>
      </c>
      <c r="L1810" s="8"/>
      <c r="M1810" s="8"/>
      <c r="N1810" s="8">
        <f ca="1">IFERROR(__xludf.DUMMYFUNCTION("""COMPUTED_VALUE"""),2)</f>
        <v>2</v>
      </c>
      <c r="O1810" s="8" t="str">
        <f ca="1">IFERROR(__xludf.DUMMYFUNCTION("""COMPUTED_VALUE"""),"Fall")</f>
        <v>Fall</v>
      </c>
      <c r="P1810" s="8" t="str">
        <f ca="1">IFERROR(__xludf.DUMMYFUNCTION("""COMPUTED_VALUE"""),"Lees Summit")</f>
        <v>Lees Summit</v>
      </c>
      <c r="Q1810" s="8" t="str">
        <f ca="1">IFERROR(__xludf.DUMMYFUNCTION("""COMPUTED_VALUE"""),"MO")</f>
        <v>MO</v>
      </c>
      <c r="R1810" s="8" t="str">
        <f ca="1">IFERROR(__xludf.DUMMYFUNCTION("""COMPUTED_VALUE"""),"High")</f>
        <v>High</v>
      </c>
      <c r="S1810" s="8" t="str">
        <f ca="1">IFERROR(__xludf.DUMMYFUNCTION("""COMPUTED_VALUE"""),"Inside School Building")</f>
        <v>Inside School Building</v>
      </c>
      <c r="T1810" s="8" t="str">
        <f ca="1">IFERROR(__xludf.DUMMYFUNCTION("""COMPUTED_VALUE"""),"Inside School Building")</f>
        <v>Inside School Building</v>
      </c>
      <c r="U1810" s="8" t="str">
        <f ca="1">IFERROR(__xludf.DUMMYFUNCTION("""COMPUTED_VALUE"""),"Yes")</f>
        <v>Yes</v>
      </c>
      <c r="V1810" s="8" t="str">
        <f ca="1">IFERROR(__xludf.DUMMYFUNCTION("""COMPUTED_VALUE"""),"Morning Classes")</f>
        <v>Morning Classes</v>
      </c>
      <c r="W1810" s="11">
        <f ca="1">IFERROR(__xludf.DUMMYFUNCTION("""COMPUTED_VALUE"""),0.364583333333333)</f>
        <v>0.36458333333333298</v>
      </c>
      <c r="X1810" s="8">
        <f ca="1">IFERROR(__xludf.DUMMYFUNCTION("""COMPUTED_VALUE"""),1)</f>
        <v>1</v>
      </c>
      <c r="Y1810" s="12" t="str">
        <f ca="1">IFERROR(__xludf.DUMMYFUNCTION("""COMPUTED_VALUE"""),"Female student shot herself inside the school")</f>
        <v>Female student shot herself inside the school</v>
      </c>
      <c r="Z1810" s="12" t="str">
        <f ca="1">IFERROR(__xludf.DUMMYFUNCTION("""COMPUTED_VALUE"""),"Teenage female student fired one shot killing herself on the second floor of the high school. School was locked down and then dismissed.")</f>
        <v>Teenage female student fired one shot killing herself on the second floor of the high school. School was locked down and then dismissed.</v>
      </c>
      <c r="AA1810" s="8" t="str">
        <f ca="1">IFERROR(__xludf.DUMMYFUNCTION("""COMPUTED_VALUE"""),"Suicide/Attempted")</f>
        <v>Suicide/Attempted</v>
      </c>
      <c r="AB1810" s="8"/>
      <c r="AC1810" s="8" t="str">
        <f ca="1">IFERROR(__xludf.DUMMYFUNCTION("""COMPUTED_VALUE"""),"Yes")</f>
        <v>Yes</v>
      </c>
      <c r="AD1810" s="8" t="str">
        <f ca="1">IFERROR(__xludf.DUMMYFUNCTION("""COMPUTED_VALUE"""),"Victims Targeted")</f>
        <v>Victims Targeted</v>
      </c>
      <c r="AE1810" s="8" t="str">
        <f ca="1">IFERROR(__xludf.DUMMYFUNCTION("""COMPUTED_VALUE"""),"No")</f>
        <v>No</v>
      </c>
      <c r="AF1810" s="8"/>
      <c r="AG1810" s="8" t="str">
        <f ca="1">IFERROR(__xludf.DUMMYFUNCTION("""COMPUTED_VALUE"""),"No")</f>
        <v>No</v>
      </c>
      <c r="AH1810" s="8" t="str">
        <f ca="1">IFERROR(__xludf.DUMMYFUNCTION("""COMPUTED_VALUE"""),"No")</f>
        <v>No</v>
      </c>
      <c r="AI1810" s="8" t="str">
        <f ca="1">IFERROR(__xludf.DUMMYFUNCTION("""COMPUTED_VALUE"""),"No")</f>
        <v>No</v>
      </c>
      <c r="AJ1810" s="8" t="str">
        <f ca="1">IFERROR(__xludf.DUMMYFUNCTION("""COMPUTED_VALUE"""),"No")</f>
        <v>No</v>
      </c>
      <c r="AK1810" s="8" t="str">
        <f ca="1">IFERROR(__xludf.DUMMYFUNCTION("""COMPUTED_VALUE"""),"No")</f>
        <v>No</v>
      </c>
      <c r="AL1810" s="8" t="str">
        <f ca="1">IFERROR(__xludf.DUMMYFUNCTION("""COMPUTED_VALUE"""),"No")</f>
        <v>No</v>
      </c>
      <c r="AM1810" s="8" t="str">
        <f ca="1">IFERROR(__xludf.DUMMYFUNCTION("""COMPUTED_VALUE"""),"No")</f>
        <v>No</v>
      </c>
      <c r="AN1810" s="8"/>
      <c r="AO1810" s="8" t="str">
        <f ca="1">IFERROR(__xludf.DUMMYFUNCTION("""COMPUTED_VALUE"""),"No")</f>
        <v>No</v>
      </c>
      <c r="AP1810" s="8"/>
      <c r="AQ1810" s="8" t="str">
        <f ca="1">IFERROR(__xludf.DUMMYFUNCTION("""COMPUTED_VALUE"""),"Unknown")</f>
        <v>Unknown</v>
      </c>
      <c r="AR1810" s="8" t="str">
        <f ca="1">IFERROR(__xludf.DUMMYFUNCTION("""COMPUTED_VALUE"""),"NA")</f>
        <v>NA</v>
      </c>
      <c r="AS1810" s="8">
        <f ca="1">IFERROR(__xludf.DUMMYFUNCTION("""COMPUTED_VALUE"""),1)</f>
        <v>1</v>
      </c>
      <c r="AT1810" s="8"/>
      <c r="AU1810" s="8">
        <f ca="1">IFERROR(__xludf.DUMMYFUNCTION("""COMPUTED_VALUE"""),38.928846)</f>
        <v>38.928846</v>
      </c>
      <c r="AV1810" s="8">
        <f ca="1">IFERROR(__xludf.DUMMYFUNCTION("""COMPUTED_VALUE"""),-94.377877)</f>
        <v>-94.377876999999998</v>
      </c>
      <c r="AW1810" s="8"/>
      <c r="AX1810" s="8">
        <f ca="1">IFERROR(__xludf.DUMMYFUNCTION("""COMPUTED_VALUE"""),64086)</f>
        <v>64086</v>
      </c>
    </row>
    <row r="1811" spans="1:50" ht="75" x14ac:dyDescent="0.2">
      <c r="A1811" s="8" t="str">
        <f ca="1">IFERROR(__xludf.DUMMYFUNCTION("""COMPUTED_VALUE"""),"20170929CASUL")</f>
        <v>20170929CASUL</v>
      </c>
      <c r="B1811" s="8">
        <f ca="1">IFERROR(__xludf.DUMMYFUNCTION("""COMPUTED_VALUE"""),9)</f>
        <v>9</v>
      </c>
      <c r="C1811" s="8">
        <f ca="1">IFERROR(__xludf.DUMMYFUNCTION("""COMPUTED_VALUE"""),29)</f>
        <v>29</v>
      </c>
      <c r="D1811" s="8">
        <f ca="1">IFERROR(__xludf.DUMMYFUNCTION("""COMPUTED_VALUE"""),2017)</f>
        <v>2017</v>
      </c>
      <c r="E1811" s="9">
        <f ca="1">IFERROR(__xludf.DUMMYFUNCTION("""COMPUTED_VALUE"""),43007)</f>
        <v>43007</v>
      </c>
      <c r="F1811" s="8" t="str">
        <f ca="1">IFERROR(__xludf.DUMMYFUNCTION("""COMPUTED_VALUE"""),"Sun Valley High School")</f>
        <v>Sun Valley High School</v>
      </c>
      <c r="G1811" s="8">
        <f ca="1">IFERROR(__xludf.DUMMYFUNCTION("""COMPUTED_VALUE"""),0)</f>
        <v>0</v>
      </c>
      <c r="H1811" s="8">
        <f ca="1">IFERROR(__xludf.DUMMYFUNCTION("""COMPUTED_VALUE"""),5)</f>
        <v>5</v>
      </c>
      <c r="I1811" s="8">
        <f ca="1">IFERROR(__xludf.DUMMYFUNCTION("""COMPUTED_VALUE"""),5)</f>
        <v>5</v>
      </c>
      <c r="J1811" s="8">
        <f ca="1">IFERROR(__xludf.DUMMYFUNCTION("""COMPUTED_VALUE"""),0)</f>
        <v>0</v>
      </c>
      <c r="K1811" s="10" t="str">
        <f ca="1">IFERROR(__xludf.DUMMYFUNCTION("""COMPUTED_VALUE"""),"http://abc7.com/5-injured-in-bb-gun-shooting-at-sun-valley-high-school/2469755/")</f>
        <v>http://abc7.com/5-injured-in-bb-gun-shooting-at-sun-valley-high-school/2469755/</v>
      </c>
      <c r="L1811" s="8"/>
      <c r="M1811" s="8"/>
      <c r="N1811" s="8">
        <f ca="1">IFERROR(__xludf.DUMMYFUNCTION("""COMPUTED_VALUE"""),2)</f>
        <v>2</v>
      </c>
      <c r="O1811" s="8" t="str">
        <f ca="1">IFERROR(__xludf.DUMMYFUNCTION("""COMPUTED_VALUE"""),"Fall")</f>
        <v>Fall</v>
      </c>
      <c r="P1811" s="8" t="str">
        <f ca="1">IFERROR(__xludf.DUMMYFUNCTION("""COMPUTED_VALUE"""),"Los Angeles")</f>
        <v>Los Angeles</v>
      </c>
      <c r="Q1811" s="8" t="str">
        <f ca="1">IFERROR(__xludf.DUMMYFUNCTION("""COMPUTED_VALUE"""),"CA")</f>
        <v>CA</v>
      </c>
      <c r="R1811" s="8" t="str">
        <f ca="1">IFERROR(__xludf.DUMMYFUNCTION("""COMPUTED_VALUE"""),"High")</f>
        <v>High</v>
      </c>
      <c r="S1811" s="8" t="str">
        <f ca="1">IFERROR(__xludf.DUMMYFUNCTION("""COMPUTED_VALUE"""),"Off School Property")</f>
        <v>Off School Property</v>
      </c>
      <c r="T1811" s="8" t="str">
        <f ca="1">IFERROR(__xludf.DUMMYFUNCTION("""COMPUTED_VALUE"""),"Off School Property")</f>
        <v>Off School Property</v>
      </c>
      <c r="U1811" s="8" t="str">
        <f ca="1">IFERROR(__xludf.DUMMYFUNCTION("""COMPUTED_VALUE"""),"Yes")</f>
        <v>Yes</v>
      </c>
      <c r="V1811" s="8" t="str">
        <f ca="1">IFERROR(__xludf.DUMMYFUNCTION("""COMPUTED_VALUE"""),"Dismissal")</f>
        <v>Dismissal</v>
      </c>
      <c r="W1811" s="11">
        <f ca="1">IFERROR(__xludf.DUMMYFUNCTION("""COMPUTED_VALUE"""),0.645138888888888)</f>
        <v>0.64513888888888804</v>
      </c>
      <c r="X1811" s="8"/>
      <c r="Y1811" s="12" t="str">
        <f ca="1">IFERROR(__xludf.DUMMYFUNCTION("""COMPUTED_VALUE"""),"5 shot outside of school by BB fired from apartment building across the street")</f>
        <v>5 shot outside of school by BB fired from apartment building across the street</v>
      </c>
      <c r="Z1811" s="12" t="str">
        <f ca="1">IFERROR(__xludf.DUMMYFUNCTION("""COMPUTED_VALUE"""),"3 students and 2 adults were transported to the hospital after being shot by BBs fired from an apartment across the street. No shooter identified.")</f>
        <v>3 students and 2 adults were transported to the hospital after being shot by BBs fired from an apartment across the street. No shooter identified.</v>
      </c>
      <c r="AA1811" s="8" t="str">
        <f ca="1">IFERROR(__xludf.DUMMYFUNCTION("""COMPUTED_VALUE"""),"Unknown")</f>
        <v>Unknown</v>
      </c>
      <c r="AB1811" s="8"/>
      <c r="AC1811" s="8" t="str">
        <f ca="1">IFERROR(__xludf.DUMMYFUNCTION("""COMPUTED_VALUE"""),"Yes")</f>
        <v>Yes</v>
      </c>
      <c r="AD1811" s="8"/>
      <c r="AE1811" s="8"/>
      <c r="AF1811" s="8"/>
      <c r="AG1811" s="8" t="str">
        <f ca="1">IFERROR(__xludf.DUMMYFUNCTION("""COMPUTED_VALUE"""),"No")</f>
        <v>No</v>
      </c>
      <c r="AH1811" s="8" t="str">
        <f ca="1">IFERROR(__xludf.DUMMYFUNCTION("""COMPUTED_VALUE"""),"No")</f>
        <v>No</v>
      </c>
      <c r="AI1811" s="8" t="str">
        <f ca="1">IFERROR(__xludf.DUMMYFUNCTION("""COMPUTED_VALUE"""),"No")</f>
        <v>No</v>
      </c>
      <c r="AJ1811" s="8" t="str">
        <f ca="1">IFERROR(__xludf.DUMMYFUNCTION("""COMPUTED_VALUE"""),"No")</f>
        <v>No</v>
      </c>
      <c r="AK1811" s="8" t="str">
        <f ca="1">IFERROR(__xludf.DUMMYFUNCTION("""COMPUTED_VALUE"""),"No")</f>
        <v>No</v>
      </c>
      <c r="AL1811" s="8" t="str">
        <f ca="1">IFERROR(__xludf.DUMMYFUNCTION("""COMPUTED_VALUE"""),"No")</f>
        <v>No</v>
      </c>
      <c r="AM1811" s="8" t="str">
        <f ca="1">IFERROR(__xludf.DUMMYFUNCTION("""COMPUTED_VALUE"""),"No")</f>
        <v>No</v>
      </c>
      <c r="AN1811" s="8"/>
      <c r="AO1811" s="8" t="str">
        <f ca="1">IFERROR(__xludf.DUMMYFUNCTION("""COMPUTED_VALUE"""),"No")</f>
        <v>No</v>
      </c>
      <c r="AP1811" s="8"/>
      <c r="AQ1811" s="8" t="str">
        <f ca="1">IFERROR(__xludf.DUMMYFUNCTION("""COMPUTED_VALUE"""),"Unknown")</f>
        <v>Unknown</v>
      </c>
      <c r="AR1811" s="8" t="str">
        <f ca="1">IFERROR(__xludf.DUMMYFUNCTION("""COMPUTED_VALUE"""),"NA")</f>
        <v>NA</v>
      </c>
      <c r="AS1811" s="8"/>
      <c r="AT1811" s="8"/>
      <c r="AU1811" s="8">
        <f ca="1">IFERROR(__xludf.DUMMYFUNCTION("""COMPUTED_VALUE"""),34.235766)</f>
        <v>34.235765999999998</v>
      </c>
      <c r="AV1811" s="8">
        <f ca="1">IFERROR(__xludf.DUMMYFUNCTION("""COMPUTED_VALUE"""),-118.397107)</f>
        <v>-118.39710700000001</v>
      </c>
      <c r="AW1811" s="8"/>
      <c r="AX1811" s="8">
        <f ca="1">IFERROR(__xludf.DUMMYFUNCTION("""COMPUTED_VALUE"""),91352)</f>
        <v>91352</v>
      </c>
    </row>
    <row r="1812" spans="1:50" ht="135" x14ac:dyDescent="0.2">
      <c r="A1812" s="8" t="str">
        <f ca="1">IFERROR(__xludf.DUMMYFUNCTION("""COMPUTED_VALUE"""),"20170928KYSOL")</f>
        <v>20170928KYSOL</v>
      </c>
      <c r="B1812" s="8">
        <f ca="1">IFERROR(__xludf.DUMMYFUNCTION("""COMPUTED_VALUE"""),9)</f>
        <v>9</v>
      </c>
      <c r="C1812" s="8">
        <f ca="1">IFERROR(__xludf.DUMMYFUNCTION("""COMPUTED_VALUE"""),28)</f>
        <v>28</v>
      </c>
      <c r="D1812" s="8">
        <f ca="1">IFERROR(__xludf.DUMMYFUNCTION("""COMPUTED_VALUE"""),2017)</f>
        <v>2017</v>
      </c>
      <c r="E1812" s="9">
        <f ca="1">IFERROR(__xludf.DUMMYFUNCTION("""COMPUTED_VALUE"""),43006)</f>
        <v>43006</v>
      </c>
      <c r="F1812" s="8" t="str">
        <f ca="1">IFERROR(__xludf.DUMMYFUNCTION("""COMPUTED_VALUE"""),"Southern Middle School")</f>
        <v>Southern Middle School</v>
      </c>
      <c r="G1812" s="8">
        <f ca="1">IFERROR(__xludf.DUMMYFUNCTION("""COMPUTED_VALUE"""),0)</f>
        <v>0</v>
      </c>
      <c r="H1812" s="8">
        <f ca="1">IFERROR(__xludf.DUMMYFUNCTION("""COMPUTED_VALUE"""),0)</f>
        <v>0</v>
      </c>
      <c r="I1812" s="8">
        <f ca="1">IFERROR(__xludf.DUMMYFUNCTION("""COMPUTED_VALUE"""),0)</f>
        <v>0</v>
      </c>
      <c r="J1812" s="8">
        <f ca="1">IFERROR(__xludf.DUMMYFUNCTION("""COMPUTED_VALUE"""),0)</f>
        <v>0</v>
      </c>
      <c r="K1812" s="8" t="str">
        <f ca="1">IFERROR(__xludf.DUMMYFUNCTION("""COMPUTED_VALUE"""),"https://www.lexingtonky.gov/news/10-26-2017/two-men-wanted-connection-shooting-outside-middle-school; https://www.wkyt.com/content/news/Lexington-Police-respond-to-shooting-at-Southern-Middle-School--448589843.html")</f>
        <v>https://www.lexingtonky.gov/news/10-26-2017/two-men-wanted-connection-shooting-outside-middle-school; https://www.wkyt.com/content/news/Lexington-Police-respond-to-shooting-at-Southern-Middle-School--448589843.html</v>
      </c>
      <c r="L1812" s="8"/>
      <c r="M1812" s="8"/>
      <c r="N1812" s="8">
        <f ca="1">IFERROR(__xludf.DUMMYFUNCTION("""COMPUTED_VALUE"""),4)</f>
        <v>4</v>
      </c>
      <c r="O1812" s="8" t="str">
        <f ca="1">IFERROR(__xludf.DUMMYFUNCTION("""COMPUTED_VALUE"""),"Fall")</f>
        <v>Fall</v>
      </c>
      <c r="P1812" s="8" t="str">
        <f ca="1">IFERROR(__xludf.DUMMYFUNCTION("""COMPUTED_VALUE"""),"Lexington")</f>
        <v>Lexington</v>
      </c>
      <c r="Q1812" s="8" t="str">
        <f ca="1">IFERROR(__xludf.DUMMYFUNCTION("""COMPUTED_VALUE"""),"KY")</f>
        <v>KY</v>
      </c>
      <c r="R1812" s="8" t="str">
        <f ca="1">IFERROR(__xludf.DUMMYFUNCTION("""COMPUTED_VALUE"""),"Middle")</f>
        <v>Middle</v>
      </c>
      <c r="S1812" s="8" t="str">
        <f ca="1">IFERROR(__xludf.DUMMYFUNCTION("""COMPUTED_VALUE"""),"Football Field/Track")</f>
        <v>Football Field/Track</v>
      </c>
      <c r="T1812" s="8" t="str">
        <f ca="1">IFERROR(__xludf.DUMMYFUNCTION("""COMPUTED_VALUE"""),"Outside on School Property")</f>
        <v>Outside on School Property</v>
      </c>
      <c r="U1812" s="8" t="str">
        <f ca="1">IFERROR(__xludf.DUMMYFUNCTION("""COMPUTED_VALUE"""),"No")</f>
        <v>No</v>
      </c>
      <c r="V1812" s="8" t="str">
        <f ca="1">IFERROR(__xludf.DUMMYFUNCTION("""COMPUTED_VALUE"""),"Sport Event")</f>
        <v>Sport Event</v>
      </c>
      <c r="W1812" s="11">
        <f ca="1">IFERROR(__xludf.DUMMYFUNCTION("""COMPUTED_VALUE"""),0.8125)</f>
        <v>0.8125</v>
      </c>
      <c r="X1812" s="8">
        <f ca="1">IFERROR(__xludf.DUMMYFUNCTION("""COMPUTED_VALUE"""),1)</f>
        <v>1</v>
      </c>
      <c r="Y1812" s="12" t="str">
        <f ca="1">IFERROR(__xludf.DUMMYFUNCTION("""COMPUTED_VALUE"""),"Escalation of ongoing feud")</f>
        <v>Escalation of ongoing feud</v>
      </c>
      <c r="Z1812" s="12" t="str">
        <f ca="1">IFERROR(__xludf.DUMMYFUNCTION("""COMPUTED_VALUE"""),"Two men kidnapped a women and forced her to set up a meeting with a mutual acquaintance at the middle school. Upon arrival, a gun battle ensued in which one of the kidnappers was shot in the leg. The victim later sought medical attention at the local hosp"&amp;"ital and was detained by police for questioning. Although the shooting was not related to the sporting event, the students at the game were brought inside the school building and the school was placed on lockdown.")</f>
        <v>Two men kidnapped a women and forced her to set up a meeting with a mutual acquaintance at the middle school. Upon arrival, a gun battle ensued in which one of the kidnappers was shot in the leg. The victim later sought medical attention at the local hospital and was detained by police for questioning. Although the shooting was not related to the sporting event, the students at the game were brought inside the school building and the school was placed on lockdown.</v>
      </c>
      <c r="AA1812" s="8" t="str">
        <f ca="1">IFERROR(__xludf.DUMMYFUNCTION("""COMPUTED_VALUE"""),"Escalation of Dispute")</f>
        <v>Escalation of Dispute</v>
      </c>
      <c r="AB1812" s="8"/>
      <c r="AC1812" s="8" t="str">
        <f ca="1">IFERROR(__xludf.DUMMYFUNCTION("""COMPUTED_VALUE"""),"No")</f>
        <v>No</v>
      </c>
      <c r="AD1812" s="8"/>
      <c r="AE1812" s="8"/>
      <c r="AF1812" s="8"/>
      <c r="AG1812" s="8" t="str">
        <f ca="1">IFERROR(__xludf.DUMMYFUNCTION("""COMPUTED_VALUE"""),"No")</f>
        <v>No</v>
      </c>
      <c r="AH1812" s="8" t="str">
        <f ca="1">IFERROR(__xludf.DUMMYFUNCTION("""COMPUTED_VALUE"""),"No")</f>
        <v>No</v>
      </c>
      <c r="AI1812" s="8" t="str">
        <f ca="1">IFERROR(__xludf.DUMMYFUNCTION("""COMPUTED_VALUE"""),"No")</f>
        <v>No</v>
      </c>
      <c r="AJ1812" s="8" t="str">
        <f ca="1">IFERROR(__xludf.DUMMYFUNCTION("""COMPUTED_VALUE"""),"No")</f>
        <v>No</v>
      </c>
      <c r="AK1812" s="8" t="str">
        <f ca="1">IFERROR(__xludf.DUMMYFUNCTION("""COMPUTED_VALUE"""),"No")</f>
        <v>No</v>
      </c>
      <c r="AL1812" s="8" t="str">
        <f ca="1">IFERROR(__xludf.DUMMYFUNCTION("""COMPUTED_VALUE"""),"No")</f>
        <v>No</v>
      </c>
      <c r="AM1812" s="8" t="str">
        <f ca="1">IFERROR(__xludf.DUMMYFUNCTION("""COMPUTED_VALUE"""),"No")</f>
        <v>No</v>
      </c>
      <c r="AN1812" s="8"/>
      <c r="AO1812" s="8" t="str">
        <f ca="1">IFERROR(__xludf.DUMMYFUNCTION("""COMPUTED_VALUE"""),"No")</f>
        <v>No</v>
      </c>
      <c r="AP1812" s="8"/>
      <c r="AQ1812" s="8" t="str">
        <f ca="1">IFERROR(__xludf.DUMMYFUNCTION("""COMPUTED_VALUE"""),"Unknown")</f>
        <v>Unknown</v>
      </c>
      <c r="AR1812" s="8" t="str">
        <f ca="1">IFERROR(__xludf.DUMMYFUNCTION("""COMPUTED_VALUE"""),"NA")</f>
        <v>NA</v>
      </c>
      <c r="AS1812" s="8"/>
      <c r="AT1812" s="8"/>
      <c r="AU1812" s="8">
        <f ca="1">IFERROR(__xludf.DUMMYFUNCTION("""COMPUTED_VALUE"""),37.978994)</f>
        <v>37.978994</v>
      </c>
      <c r="AV1812" s="8">
        <f ca="1">IFERROR(__xludf.DUMMYFUNCTION("""COMPUTED_VALUE"""),-84.512185)</f>
        <v>-84.512185000000002</v>
      </c>
      <c r="AW1812" s="8"/>
      <c r="AX1812" s="8">
        <f ca="1">IFERROR(__xludf.DUMMYFUNCTION("""COMPUTED_VALUE"""),40517)</f>
        <v>40517</v>
      </c>
    </row>
    <row r="1813" spans="1:50" ht="165" x14ac:dyDescent="0.2">
      <c r="A1813" s="8" t="str">
        <f ca="1">IFERROR(__xludf.DUMMYFUNCTION("""COMPUTED_VALUE"""),"20170920ILMAM")</f>
        <v>20170920ILMAM</v>
      </c>
      <c r="B1813" s="8">
        <f ca="1">IFERROR(__xludf.DUMMYFUNCTION("""COMPUTED_VALUE"""),9)</f>
        <v>9</v>
      </c>
      <c r="C1813" s="8">
        <f ca="1">IFERROR(__xludf.DUMMYFUNCTION("""COMPUTED_VALUE"""),20)</f>
        <v>20</v>
      </c>
      <c r="D1813" s="8">
        <f ca="1">IFERROR(__xludf.DUMMYFUNCTION("""COMPUTED_VALUE"""),2017)</f>
        <v>2017</v>
      </c>
      <c r="E1813" s="9">
        <f ca="1">IFERROR(__xludf.DUMMYFUNCTION("""COMPUTED_VALUE"""),42998)</f>
        <v>42998</v>
      </c>
      <c r="F1813" s="8" t="str">
        <f ca="1">IFERROR(__xludf.DUMMYFUNCTION("""COMPUTED_VALUE"""),"Mattoon High School")</f>
        <v>Mattoon High School</v>
      </c>
      <c r="G1813" s="8">
        <f ca="1">IFERROR(__xludf.DUMMYFUNCTION("""COMPUTED_VALUE"""),0)</f>
        <v>0</v>
      </c>
      <c r="H1813" s="8">
        <f ca="1">IFERROR(__xludf.DUMMYFUNCTION("""COMPUTED_VALUE"""),1)</f>
        <v>1</v>
      </c>
      <c r="I1813" s="8">
        <f ca="1">IFERROR(__xludf.DUMMYFUNCTION("""COMPUTED_VALUE"""),1)</f>
        <v>1</v>
      </c>
      <c r="J1813" s="8">
        <f ca="1">IFERROR(__xludf.DUMMYFUNCTION("""COMPUTED_VALUE"""),0)</f>
        <v>0</v>
      </c>
      <c r="K1813" s="10" t="str">
        <f ca="1">IFERROR(__xludf.DUMMYFUNCTION("""COMPUTED_VALUE"""),"https://www.cnn.com/2017/09/22/us/illinois-teacher-hero/index.html
https://www.dailyeasternnews.com/2020/09/21/community-still-dealing-with-mattoon-high-school-shooting-3-years-later/ http://www.chicagotribune.com/news/local/breaking/ct-teen-evaluation-ma"&amp;"ttoon-school-shooting-20180216-story.html https://foxillinois.com/news/local/1-year-since-matton-high-school-shooting https://wrex.com/category/2018/10/11/high-school-shooting-suspect-sentence-to-juvenile-prison/")</f>
        <v>https://www.cnn.com/2017/09/22/us/illinois-teacher-hero/index.html
https://www.dailyeasternnews.com/2020/09/21/community-still-dealing-with-mattoon-high-school-shooting-3-years-later/ http://www.chicagotribune.com/news/local/breaking/ct-teen-evaluation-mattoon-school-shooting-20180216-story.html https://foxillinois.com/news/local/1-year-since-matton-high-school-shooting https://wrex.com/category/2018/10/11/high-school-shooting-suspect-sentence-to-juvenile-prison/</v>
      </c>
      <c r="L1813" s="8">
        <f ca="1">IFERROR(__xludf.DUMMYFUNCTION("""COMPUTED_VALUE"""),11)</f>
        <v>11</v>
      </c>
      <c r="M1813" s="8" t="str">
        <f ca="1">IFERROR(__xludf.DUMMYFUNCTION("""COMPUTED_VALUE"""),"National")</f>
        <v>National</v>
      </c>
      <c r="N1813" s="8">
        <f ca="1">IFERROR(__xludf.DUMMYFUNCTION("""COMPUTED_VALUE"""),4)</f>
        <v>4</v>
      </c>
      <c r="O1813" s="8" t="str">
        <f ca="1">IFERROR(__xludf.DUMMYFUNCTION("""COMPUTED_VALUE"""),"Fall")</f>
        <v>Fall</v>
      </c>
      <c r="P1813" s="8" t="str">
        <f ca="1">IFERROR(__xludf.DUMMYFUNCTION("""COMPUTED_VALUE"""),"Mattoon")</f>
        <v>Mattoon</v>
      </c>
      <c r="Q1813" s="8" t="str">
        <f ca="1">IFERROR(__xludf.DUMMYFUNCTION("""COMPUTED_VALUE"""),"IL")</f>
        <v>IL</v>
      </c>
      <c r="R1813" s="8" t="str">
        <f ca="1">IFERROR(__xludf.DUMMYFUNCTION("""COMPUTED_VALUE"""),"High")</f>
        <v>High</v>
      </c>
      <c r="S1813" s="8" t="str">
        <f ca="1">IFERROR(__xludf.DUMMYFUNCTION("""COMPUTED_VALUE"""),"Cafeteria")</f>
        <v>Cafeteria</v>
      </c>
      <c r="T1813" s="8" t="str">
        <f ca="1">IFERROR(__xludf.DUMMYFUNCTION("""COMPUTED_VALUE"""),"Inside School Building")</f>
        <v>Inside School Building</v>
      </c>
      <c r="U1813" s="8" t="str">
        <f ca="1">IFERROR(__xludf.DUMMYFUNCTION("""COMPUTED_VALUE"""),"Yes")</f>
        <v>Yes</v>
      </c>
      <c r="V1813" s="8" t="str">
        <f ca="1">IFERROR(__xludf.DUMMYFUNCTION("""COMPUTED_VALUE"""),"Lunch")</f>
        <v>Lunch</v>
      </c>
      <c r="W1813" s="11">
        <f ca="1">IFERROR(__xludf.DUMMYFUNCTION("""COMPUTED_VALUE"""),0.479166666666666)</f>
        <v>0.47916666666666602</v>
      </c>
      <c r="X1813" s="8">
        <f ca="1">IFERROR(__xludf.DUMMYFUNCTION("""COMPUTED_VALUE"""),1)</f>
        <v>1</v>
      </c>
      <c r="Y1813" s="12" t="str">
        <f ca="1">IFERROR(__xludf.DUMMYFUNCTION("""COMPUTED_VALUE"""),"Shooting in school cafeteria")</f>
        <v>Shooting in school cafeteria</v>
      </c>
      <c r="Z1813" s="12" t="str">
        <f ca="1">IFERROR(__xludf.DUMMYFUNCTION("""COMPUTED_VALUE"""),"Shooter drew weapon and attempted to fire at a girl in the cafeteria. Teacher grabbed his arm as he fired and the bullet struck another male student near her. Victim was random. Shooter was suspended in the past for getting in a fight with another girl wh"&amp;"o he claimed bullied him; Shooter planned to shoot that girl but she didn't show up so he decided to shoot at another. Parents made prior reports to school regarding son being bullied. Defense considering insanity plea. Shooter is in intensive mental heal"&amp;"th treatment program while awaiting trial, may be tried as an adult. No murder charge due to victim not being targeted.")</f>
        <v>Shooter drew weapon and attempted to fire at a girl in the cafeteria. Teacher grabbed his arm as he fired and the bullet struck another male student near her. Victim was random. Shooter was suspended in the past for getting in a fight with another girl who he claimed bullied him; Shooter planned to shoot that girl but she didn't show up so he decided to shoot at another. Parents made prior reports to school regarding son being bullied. Defense considering insanity plea. Shooter is in intensive mental health treatment program while awaiting trial, may be tried as an adult. No murder charge due to victim not being targeted.</v>
      </c>
      <c r="AA1813" s="8" t="str">
        <f ca="1">IFERROR(__xludf.DUMMYFUNCTION("""COMPUTED_VALUE"""),"Indiscriminate Shooting")</f>
        <v>Indiscriminate Shooting</v>
      </c>
      <c r="AB1813" s="8"/>
      <c r="AC1813" s="8" t="str">
        <f ca="1">IFERROR(__xludf.DUMMYFUNCTION("""COMPUTED_VALUE"""),"Yes")</f>
        <v>Yes</v>
      </c>
      <c r="AD1813" s="8" t="str">
        <f ca="1">IFERROR(__xludf.DUMMYFUNCTION("""COMPUTED_VALUE"""),"Both")</f>
        <v>Both</v>
      </c>
      <c r="AE1813" s="8" t="str">
        <f ca="1">IFERROR(__xludf.DUMMYFUNCTION("""COMPUTED_VALUE"""),"No")</f>
        <v>No</v>
      </c>
      <c r="AF1813" s="8"/>
      <c r="AG1813" s="8" t="str">
        <f ca="1">IFERROR(__xludf.DUMMYFUNCTION("""COMPUTED_VALUE"""),"No")</f>
        <v>No</v>
      </c>
      <c r="AH1813" s="8" t="str">
        <f ca="1">IFERROR(__xludf.DUMMYFUNCTION("""COMPUTED_VALUE"""),"No")</f>
        <v>No</v>
      </c>
      <c r="AI1813" s="8" t="str">
        <f ca="1">IFERROR(__xludf.DUMMYFUNCTION("""COMPUTED_VALUE"""),"No")</f>
        <v>No</v>
      </c>
      <c r="AJ1813" s="8" t="str">
        <f ca="1">IFERROR(__xludf.DUMMYFUNCTION("""COMPUTED_VALUE"""),"Yes")</f>
        <v>Yes</v>
      </c>
      <c r="AK1813" s="8" t="str">
        <f ca="1">IFERROR(__xludf.DUMMYFUNCTION("""COMPUTED_VALUE"""),"Yes")</f>
        <v>Yes</v>
      </c>
      <c r="AL1813" s="8" t="str">
        <f ca="1">IFERROR(__xludf.DUMMYFUNCTION("""COMPUTED_VALUE"""),"No")</f>
        <v>No</v>
      </c>
      <c r="AM1813" s="8" t="str">
        <f ca="1">IFERROR(__xludf.DUMMYFUNCTION("""COMPUTED_VALUE"""),"Yes")</f>
        <v>Yes</v>
      </c>
      <c r="AN1813" s="8" t="str">
        <f ca="1">IFERROR(__xludf.DUMMYFUNCTION("""COMPUTED_VALUE"""),"Single Room")</f>
        <v>Single Room</v>
      </c>
      <c r="AO1813" s="8" t="str">
        <f ca="1">IFERROR(__xludf.DUMMYFUNCTION("""COMPUTED_VALUE"""),"Yes")</f>
        <v>Yes</v>
      </c>
      <c r="AP1813" s="8" t="str">
        <f ca="1">IFERROR(__xludf.DUMMYFUNCTION("""COMPUTED_VALUE"""),"Yes")</f>
        <v>Yes</v>
      </c>
      <c r="AQ1813" s="8" t="str">
        <f ca="1">IFERROR(__xludf.DUMMYFUNCTION("""COMPUTED_VALUE"""),"Unknown")</f>
        <v>Unknown</v>
      </c>
      <c r="AR1813" s="8" t="str">
        <f ca="1">IFERROR(__xludf.DUMMYFUNCTION("""COMPUTED_VALUE"""),"NA")</f>
        <v>NA</v>
      </c>
      <c r="AS1813" s="8"/>
      <c r="AT1813" s="8" t="str">
        <f ca="1">IFERROR(__xludf.DUMMYFUNCTION("""COMPUTED_VALUE"""),"No")</f>
        <v>No</v>
      </c>
      <c r="AU1813" s="8">
        <f ca="1">IFERROR(__xludf.DUMMYFUNCTION("""COMPUTED_VALUE"""),39.474405)</f>
        <v>39.474404999999997</v>
      </c>
      <c r="AV1813" s="8">
        <f ca="1">IFERROR(__xludf.DUMMYFUNCTION("""COMPUTED_VALUE"""),-88.386955)</f>
        <v>-88.386955</v>
      </c>
      <c r="AW1813" s="8"/>
      <c r="AX1813" s="8">
        <f ca="1">IFERROR(__xludf.DUMMYFUNCTION("""COMPUTED_VALUE"""),61938)</f>
        <v>61938</v>
      </c>
    </row>
    <row r="1814" spans="1:50" ht="405" x14ac:dyDescent="0.2">
      <c r="A1814" s="8" t="str">
        <f ca="1">IFERROR(__xludf.DUMMYFUNCTION("""COMPUTED_VALUE"""),"20170913WAFRR")</f>
        <v>20170913WAFRR</v>
      </c>
      <c r="B1814" s="8">
        <f ca="1">IFERROR(__xludf.DUMMYFUNCTION("""COMPUTED_VALUE"""),9)</f>
        <v>9</v>
      </c>
      <c r="C1814" s="8">
        <f ca="1">IFERROR(__xludf.DUMMYFUNCTION("""COMPUTED_VALUE"""),13)</f>
        <v>13</v>
      </c>
      <c r="D1814" s="8">
        <f ca="1">IFERROR(__xludf.DUMMYFUNCTION("""COMPUTED_VALUE"""),2017)</f>
        <v>2017</v>
      </c>
      <c r="E1814" s="9">
        <f ca="1">IFERROR(__xludf.DUMMYFUNCTION("""COMPUTED_VALUE"""),42991)</f>
        <v>42991</v>
      </c>
      <c r="F1814" s="8" t="str">
        <f ca="1">IFERROR(__xludf.DUMMYFUNCTION("""COMPUTED_VALUE"""),"Freeman High School")</f>
        <v>Freeman High School</v>
      </c>
      <c r="G1814" s="8">
        <f ca="1">IFERROR(__xludf.DUMMYFUNCTION("""COMPUTED_VALUE"""),1)</f>
        <v>1</v>
      </c>
      <c r="H1814" s="8">
        <f ca="1">IFERROR(__xludf.DUMMYFUNCTION("""COMPUTED_VALUE"""),3)</f>
        <v>3</v>
      </c>
      <c r="I1814" s="8">
        <f ca="1">IFERROR(__xludf.DUMMYFUNCTION("""COMPUTED_VALUE"""),4)</f>
        <v>4</v>
      </c>
      <c r="J1814" s="8">
        <f ca="1">IFERROR(__xludf.DUMMYFUNCTION("""COMPUTED_VALUE"""),0)</f>
        <v>0</v>
      </c>
      <c r="K1814" s="10" t="str">
        <f ca="1">IFERROR(__xludf.DUMMYFUNCTION("""COMPUTED_VALUE"""),"https://www.spokesman.com/stories/2022/aug/19/the-true-cost-of-evil-freeman-high-school-shooter-/
https://www.spokesman.com/stories/2021/mar/31/trial-for-accused-freeman-school-shooter-moved-to-/ https://www.cbsnews.com/news/freeman-high-school-shooting-s"&amp;"uspect-said-he-was-bullied-police-documents-say/ http://www.spokesman.com/stories/2017/sep/18/search-warrant-shows-accused-killer-caleb-sharpe-m/ https://www.wpxi.com/news/judge-school-shooting-suspect-comments-are-admissible/753945642 https://www.fbi.gov"&amp;"/file-repository/active-shooter-incidents-2000-2017.pdf https://www.kxly.com/news/defense-issues-at-birth-may-have-led-to-brain-damage-in-freeman-school-shooter/1095763943 https://madison.com/news/national/judge-teen-charged-in-school-shooting-to-be-tried"&amp;"-as/article_907de2bb-92ad-59e0-a197-974630b40933.html https://komonews.com/news/local/teen-pleads-not-guilty-to-washington-school-shootings")</f>
        <v>https://www.spokesman.com/stories/2022/aug/19/the-true-cost-of-evil-freeman-high-school-shooter-/
https://www.spokesman.com/stories/2021/mar/31/trial-for-accused-freeman-school-shooter-moved-to-/ https://www.cbsnews.com/news/freeman-high-school-shooting-suspect-said-he-was-bullied-police-documents-say/ http://www.spokesman.com/stories/2017/sep/18/search-warrant-shows-accused-killer-caleb-sharpe-m/ https://www.wpxi.com/news/judge-school-shooting-suspect-comments-are-admissible/753945642 https://www.fbi.gov/file-repository/active-shooter-incidents-2000-2017.pdf https://www.kxly.com/news/defense-issues-at-birth-may-have-led-to-brain-damage-in-freeman-school-shooter/1095763943 https://madison.com/news/national/judge-teen-charged-in-school-shooting-to-be-tried-as/article_907de2bb-92ad-59e0-a197-974630b40933.html https://komonews.com/news/local/teen-pleads-not-guilty-to-washington-school-shootings</v>
      </c>
      <c r="L1814" s="8">
        <f ca="1">IFERROR(__xludf.DUMMYFUNCTION("""COMPUTED_VALUE"""),100)</f>
        <v>100</v>
      </c>
      <c r="M1814" s="8" t="str">
        <f ca="1">IFERROR(__xludf.DUMMYFUNCTION("""COMPUTED_VALUE"""),"National")</f>
        <v>National</v>
      </c>
      <c r="N1814" s="8">
        <f ca="1">IFERROR(__xludf.DUMMYFUNCTION("""COMPUTED_VALUE"""),5)</f>
        <v>5</v>
      </c>
      <c r="O1814" s="8" t="str">
        <f ca="1">IFERROR(__xludf.DUMMYFUNCTION("""COMPUTED_VALUE"""),"Fall")</f>
        <v>Fall</v>
      </c>
      <c r="P1814" s="8" t="str">
        <f ca="1">IFERROR(__xludf.DUMMYFUNCTION("""COMPUTED_VALUE"""),"Rockford")</f>
        <v>Rockford</v>
      </c>
      <c r="Q1814" s="8" t="str">
        <f ca="1">IFERROR(__xludf.DUMMYFUNCTION("""COMPUTED_VALUE"""),"WA")</f>
        <v>WA</v>
      </c>
      <c r="R1814" s="8" t="str">
        <f ca="1">IFERROR(__xludf.DUMMYFUNCTION("""COMPUTED_VALUE"""),"High")</f>
        <v>High</v>
      </c>
      <c r="S1814" s="8" t="str">
        <f ca="1">IFERROR(__xludf.DUMMYFUNCTION("""COMPUTED_VALUE"""),"Hallway")</f>
        <v>Hallway</v>
      </c>
      <c r="T1814" s="8" t="str">
        <f ca="1">IFERROR(__xludf.DUMMYFUNCTION("""COMPUTED_VALUE"""),"Inside School Building")</f>
        <v>Inside School Building</v>
      </c>
      <c r="U1814" s="8" t="str">
        <f ca="1">IFERROR(__xludf.DUMMYFUNCTION("""COMPUTED_VALUE"""),"Yes")</f>
        <v>Yes</v>
      </c>
      <c r="V1814" s="8" t="str">
        <f ca="1">IFERROR(__xludf.DUMMYFUNCTION("""COMPUTED_VALUE"""),"Morning Classes")</f>
        <v>Morning Classes</v>
      </c>
      <c r="W1814" s="11">
        <f ca="1">IFERROR(__xludf.DUMMYFUNCTION("""COMPUTED_VALUE"""),0.416666666666666)</f>
        <v>0.41666666666666602</v>
      </c>
      <c r="X1814" s="8">
        <f ca="1">IFERROR(__xludf.DUMMYFUNCTION("""COMPUTED_VALUE"""),1)</f>
        <v>1</v>
      </c>
      <c r="Y1814" s="12" t="str">
        <f ca="1">IFERROR(__xludf.DUMMYFUNCTION("""COMPUTED_VALUE"""),"Bullied at school")</f>
        <v>Bullied at school</v>
      </c>
      <c r="Z1814" s="12" t="str">
        <f ca="1">IFERROR(__xludf.DUMMYFUNCTION("""COMPUTED_VALUE"""),"""Killed student who bullied him, fired 3 random shots down hallway that wounded other students, shooter stopped when he was confronted by janitor; told police he wanted to teach classmates a lesson; targeted classmate told him """"I knew you were going t"&amp;"o shoot up the school when he pulled out the rifle, AR15 jammed and fired only with handgun, obsessed with school shooting, made multiple youtube videos about school shootings. Drew X's over the faces of his targets in the yearbook. Had written a plan abo"&amp;"ut the shooting that was found by another student and turned over to school officials - shooter was suspended as a result but allowed to return to the school. brought notes earlier in the school year, saying he was going to do """"something stupid"""" and"&amp;" might get killed or jailed"""". After his arrest, he told investigators that he was fascinated with school shootings and that he flipped a coin over whether or not to bring a gun to school and open fire. Investigators found evidence of possible pre-plann"&amp;"ing, though, including a diagram of the second floor of the school. FBI Study: On September 13, 2017, at 10:00 a.m., Caleb Sharpe, 15, armed with a rifle and a pistol, allegedly began shooting at Freeman High School in Rockford, Washington, where he was a"&amp;" student. One student was killed; three students were wounded. A school employee confronted the shooter, ordered him to the ground, and held him there until law enforcement arrived and took him into custody. ""
")</f>
        <v xml:space="preserve">"Killed student who bullied him, fired 3 random shots down hallway that wounded other students, shooter stopped when he was confronted by janitor; told police he wanted to teach classmates a lesson; targeted classmate told him ""I knew you were going to shoot up the school when he pulled out the rifle, AR15 jammed and fired only with handgun, obsessed with school shooting, made multiple youtube videos about school shootings. Drew X's over the faces of his targets in the yearbook. Had written a plan about the shooting that was found by another student and turned over to school officials - shooter was suspended as a result but allowed to return to the school. brought notes earlier in the school year, saying he was going to do ""something stupid"" and might get killed or jailed"". After his arrest, he told investigators that he was fascinated with school shootings and that he flipped a coin over whether or not to bring a gun to school and open fire. Investigators found evidence of possible pre-planning, though, including a diagram of the second floor of the school. FBI Study: On September 13, 2017, at 10:00 a.m., Caleb Sharpe, 15, armed with a rifle and a pistol, allegedly began shooting at Freeman High School in Rockford, Washington, where he was a student. One student was killed; three students were wounded. A school employee confronted the shooter, ordered him to the ground, and held him there until law enforcement arrived and took him into custody. "
</v>
      </c>
      <c r="AA1814" s="8" t="str">
        <f ca="1">IFERROR(__xludf.DUMMYFUNCTION("""COMPUTED_VALUE"""),"Indiscriminate Shooting")</f>
        <v>Indiscriminate Shooting</v>
      </c>
      <c r="AB1814" s="8"/>
      <c r="AC1814" s="8" t="str">
        <f ca="1">IFERROR(__xludf.DUMMYFUNCTION("""COMPUTED_VALUE"""),"Yes")</f>
        <v>Yes</v>
      </c>
      <c r="AD1814" s="8" t="str">
        <f ca="1">IFERROR(__xludf.DUMMYFUNCTION("""COMPUTED_VALUE"""),"Both")</f>
        <v>Both</v>
      </c>
      <c r="AE1814" s="8" t="str">
        <f ca="1">IFERROR(__xludf.DUMMYFUNCTION("""COMPUTED_VALUE"""),"No")</f>
        <v>No</v>
      </c>
      <c r="AF1814" s="8"/>
      <c r="AG1814" s="8" t="str">
        <f ca="1">IFERROR(__xludf.DUMMYFUNCTION("""COMPUTED_VALUE"""),"No")</f>
        <v>No</v>
      </c>
      <c r="AH1814" s="8" t="str">
        <f ca="1">IFERROR(__xludf.DUMMYFUNCTION("""COMPUTED_VALUE"""),"No")</f>
        <v>No</v>
      </c>
      <c r="AI1814" s="8" t="str">
        <f ca="1">IFERROR(__xludf.DUMMYFUNCTION("""COMPUTED_VALUE"""),"No")</f>
        <v>No</v>
      </c>
      <c r="AJ1814" s="8" t="str">
        <f ca="1">IFERROR(__xludf.DUMMYFUNCTION("""COMPUTED_VALUE"""),"Yes")</f>
        <v>Yes</v>
      </c>
      <c r="AK1814" s="8" t="str">
        <f ca="1">IFERROR(__xludf.DUMMYFUNCTION("""COMPUTED_VALUE"""),"No")</f>
        <v>No</v>
      </c>
      <c r="AL1814" s="8" t="str">
        <f ca="1">IFERROR(__xludf.DUMMYFUNCTION("""COMPUTED_VALUE"""),"No")</f>
        <v>No</v>
      </c>
      <c r="AM1814" s="8" t="str">
        <f ca="1">IFERROR(__xludf.DUMMYFUNCTION("""COMPUTED_VALUE"""),"Yes")</f>
        <v>Yes</v>
      </c>
      <c r="AN1814" s="8" t="str">
        <f ca="1">IFERROR(__xludf.DUMMYFUNCTION("""COMPUTED_VALUE"""),"Hallway")</f>
        <v>Hallway</v>
      </c>
      <c r="AO1814" s="8" t="str">
        <f ca="1">IFERROR(__xludf.DUMMYFUNCTION("""COMPUTED_VALUE"""),"Yes")</f>
        <v>Yes</v>
      </c>
      <c r="AP1814" s="8" t="str">
        <f ca="1">IFERROR(__xludf.DUMMYFUNCTION("""COMPUTED_VALUE"""),"No")</f>
        <v>No</v>
      </c>
      <c r="AQ1814" s="8" t="str">
        <f ca="1">IFERROR(__xludf.DUMMYFUNCTION("""COMPUTED_VALUE"""),"None")</f>
        <v>None</v>
      </c>
      <c r="AR1814" s="8" t="str">
        <f ca="1">IFERROR(__xludf.DUMMYFUNCTION("""COMPUTED_VALUE"""),"NA")</f>
        <v>NA</v>
      </c>
      <c r="AS1814" s="8"/>
      <c r="AT1814" s="8" t="str">
        <f ca="1">IFERROR(__xludf.DUMMYFUNCTION("""COMPUTED_VALUE"""),"Yes")</f>
        <v>Yes</v>
      </c>
      <c r="AU1814" s="8">
        <f ca="1">IFERROR(__xludf.DUMMYFUNCTION("""COMPUTED_VALUE"""),47.519877)</f>
        <v>47.519877000000001</v>
      </c>
      <c r="AV1814" s="8">
        <f ca="1">IFERROR(__xludf.DUMMYFUNCTION("""COMPUTED_VALUE"""),-117.196502)</f>
        <v>-117.196502</v>
      </c>
      <c r="AW1814" s="8"/>
      <c r="AX1814" s="8">
        <f ca="1">IFERROR(__xludf.DUMMYFUNCTION("""COMPUTED_VALUE"""),99030)</f>
        <v>99030</v>
      </c>
    </row>
    <row r="1815" spans="1:50" ht="120" x14ac:dyDescent="0.2">
      <c r="A1815" s="8" t="str">
        <f ca="1">IFERROR(__xludf.DUMMYFUNCTION("""COMPUTED_VALUE"""),"20170908OHCOC")</f>
        <v>20170908OHCOC</v>
      </c>
      <c r="B1815" s="8">
        <f ca="1">IFERROR(__xludf.DUMMYFUNCTION("""COMPUTED_VALUE"""),9)</f>
        <v>9</v>
      </c>
      <c r="C1815" s="8">
        <f ca="1">IFERROR(__xludf.DUMMYFUNCTION("""COMPUTED_VALUE"""),8)</f>
        <v>8</v>
      </c>
      <c r="D1815" s="8">
        <f ca="1">IFERROR(__xludf.DUMMYFUNCTION("""COMPUTED_VALUE"""),2017)</f>
        <v>2017</v>
      </c>
      <c r="E1815" s="9">
        <f ca="1">IFERROR(__xludf.DUMMYFUNCTION("""COMPUTED_VALUE"""),42986)</f>
        <v>42986</v>
      </c>
      <c r="F1815" s="8" t="str">
        <f ca="1">IFERROR(__xludf.DUMMYFUNCTION("""COMPUTED_VALUE"""),"Columbus Scioto 6-12")</f>
        <v>Columbus Scioto 6-12</v>
      </c>
      <c r="G1815" s="8">
        <f ca="1">IFERROR(__xludf.DUMMYFUNCTION("""COMPUTED_VALUE"""),0)</f>
        <v>0</v>
      </c>
      <c r="H1815" s="8">
        <f ca="1">IFERROR(__xludf.DUMMYFUNCTION("""COMPUTED_VALUE"""),0)</f>
        <v>0</v>
      </c>
      <c r="I1815" s="8">
        <f ca="1">IFERROR(__xludf.DUMMYFUNCTION("""COMPUTED_VALUE"""),0)</f>
        <v>0</v>
      </c>
      <c r="J1815" s="8">
        <f ca="1">IFERROR(__xludf.DUMMYFUNCTION("""COMPUTED_VALUE"""),0)</f>
        <v>0</v>
      </c>
      <c r="K1815" s="10" t="str">
        <f ca="1">IFERROR(__xludf.DUMMYFUNCTION("""COMPUTED_VALUE"""),"http://www.dispatch.com/news/20170912/counselor-describes-how-he-defused-columbus-scioto-school-shooter")</f>
        <v>http://www.dispatch.com/news/20170912/counselor-describes-how-he-defused-columbus-scioto-school-shooter</v>
      </c>
      <c r="L1815" s="8">
        <f ca="1">IFERROR(__xludf.DUMMYFUNCTION("""COMPUTED_VALUE"""),11)</f>
        <v>11</v>
      </c>
      <c r="M1815" s="8" t="str">
        <f ca="1">IFERROR(__xludf.DUMMYFUNCTION("""COMPUTED_VALUE"""),"National")</f>
        <v>National</v>
      </c>
      <c r="N1815" s="8">
        <f ca="1">IFERROR(__xludf.DUMMYFUNCTION("""COMPUTED_VALUE"""),2)</f>
        <v>2</v>
      </c>
      <c r="O1815" s="8" t="str">
        <f ca="1">IFERROR(__xludf.DUMMYFUNCTION("""COMPUTED_VALUE"""),"Fall")</f>
        <v>Fall</v>
      </c>
      <c r="P1815" s="8" t="str">
        <f ca="1">IFERROR(__xludf.DUMMYFUNCTION("""COMPUTED_VALUE"""),"Columbus")</f>
        <v>Columbus</v>
      </c>
      <c r="Q1815" s="8" t="str">
        <f ca="1">IFERROR(__xludf.DUMMYFUNCTION("""COMPUTED_VALUE"""),"OH")</f>
        <v>OH</v>
      </c>
      <c r="R1815" s="13">
        <f ca="1">IFERROR(__xludf.DUMMYFUNCTION("""COMPUTED_VALUE"""),44724)</f>
        <v>44724</v>
      </c>
      <c r="S1815" s="8" t="str">
        <f ca="1">IFERROR(__xludf.DUMMYFUNCTION("""COMPUTED_VALUE"""),"Hallway")</f>
        <v>Hallway</v>
      </c>
      <c r="T1815" s="8" t="str">
        <f ca="1">IFERROR(__xludf.DUMMYFUNCTION("""COMPUTED_VALUE"""),"Inside School Building")</f>
        <v>Inside School Building</v>
      </c>
      <c r="U1815" s="8" t="str">
        <f ca="1">IFERROR(__xludf.DUMMYFUNCTION("""COMPUTED_VALUE"""),"Yes")</f>
        <v>Yes</v>
      </c>
      <c r="V1815" s="8" t="str">
        <f ca="1">IFERROR(__xludf.DUMMYFUNCTION("""COMPUTED_VALUE"""),"Morning Classes")</f>
        <v>Morning Classes</v>
      </c>
      <c r="W1815" s="11">
        <f ca="1">IFERROR(__xludf.DUMMYFUNCTION("""COMPUTED_VALUE"""),0.35625)</f>
        <v>0.35625000000000001</v>
      </c>
      <c r="X1815" s="8"/>
      <c r="Y1815" s="12" t="str">
        <f ca="1">IFERROR(__xludf.DUMMYFUNCTION("""COMPUTED_VALUE"""),"Shooting by emotionally disturbed student")</f>
        <v>Shooting by emotionally disturbed student</v>
      </c>
      <c r="Z1815" s="12" t="str">
        <f ca="1">IFERROR(__xludf.DUMMYFUNCTION("""COMPUTED_VALUE"""),"A student in a school for emotionally and behaviorally disturbed students opened fire in the school building, no one was hurt. The shooter was engaged by the school counselor, who managed to convince the shooter to surrender the gun. The two had met earli"&amp;"er that day to discuss the shooter's mood. The counselor came out with the shooter and told the police that the gun was in a cabinet. The school was for emotionally disturbed students.")</f>
        <v>A student in a school for emotionally and behaviorally disturbed students opened fire in the school building, no one was hurt. The shooter was engaged by the school counselor, who managed to convince the shooter to surrender the gun. The two had met earlier that day to discuss the shooter's mood. The counselor came out with the shooter and told the police that the gun was in a cabinet. The school was for emotionally disturbed students.</v>
      </c>
      <c r="AA1815" s="8" t="str">
        <f ca="1">IFERROR(__xludf.DUMMYFUNCTION("""COMPUTED_VALUE"""),"Psychosis")</f>
        <v>Psychosis</v>
      </c>
      <c r="AB1815" s="8"/>
      <c r="AC1815" s="8" t="str">
        <f ca="1">IFERROR(__xludf.DUMMYFUNCTION("""COMPUTED_VALUE"""),"Yes")</f>
        <v>Yes</v>
      </c>
      <c r="AD1815" s="8" t="str">
        <f ca="1">IFERROR(__xludf.DUMMYFUNCTION("""COMPUTED_VALUE"""),"Neither")</f>
        <v>Neither</v>
      </c>
      <c r="AE1815" s="8" t="str">
        <f ca="1">IFERROR(__xludf.DUMMYFUNCTION("""COMPUTED_VALUE"""),"No")</f>
        <v>No</v>
      </c>
      <c r="AF1815" s="8"/>
      <c r="AG1815" s="8" t="str">
        <f ca="1">IFERROR(__xludf.DUMMYFUNCTION("""COMPUTED_VALUE"""),"No")</f>
        <v>No</v>
      </c>
      <c r="AH1815" s="8" t="str">
        <f ca="1">IFERROR(__xludf.DUMMYFUNCTION("""COMPUTED_VALUE"""),"No")</f>
        <v>No</v>
      </c>
      <c r="AI1815" s="8" t="str">
        <f ca="1">IFERROR(__xludf.DUMMYFUNCTION("""COMPUTED_VALUE"""),"No")</f>
        <v>No</v>
      </c>
      <c r="AJ1815" s="8"/>
      <c r="AK1815" s="8"/>
      <c r="AL1815" s="8" t="str">
        <f ca="1">IFERROR(__xludf.DUMMYFUNCTION("""COMPUTED_VALUE"""),"No")</f>
        <v>No</v>
      </c>
      <c r="AM1815" s="8" t="str">
        <f ca="1">IFERROR(__xludf.DUMMYFUNCTION("""COMPUTED_VALUE"""),"Yes")</f>
        <v>Yes</v>
      </c>
      <c r="AN1815" s="8" t="str">
        <f ca="1">IFERROR(__xludf.DUMMYFUNCTION("""COMPUTED_VALUE"""),"Single Room")</f>
        <v>Single Room</v>
      </c>
      <c r="AO1815" s="8" t="str">
        <f ca="1">IFERROR(__xludf.DUMMYFUNCTION("""COMPUTED_VALUE"""),"No")</f>
        <v>No</v>
      </c>
      <c r="AP1815" s="8" t="str">
        <f ca="1">IFERROR(__xludf.DUMMYFUNCTION("""COMPUTED_VALUE"""),"No")</f>
        <v>No</v>
      </c>
      <c r="AQ1815" s="8" t="str">
        <f ca="1">IFERROR(__xludf.DUMMYFUNCTION("""COMPUTED_VALUE"""),"None")</f>
        <v>None</v>
      </c>
      <c r="AR1815" s="8" t="str">
        <f ca="1">IFERROR(__xludf.DUMMYFUNCTION("""COMPUTED_VALUE"""),"NA")</f>
        <v>NA</v>
      </c>
      <c r="AS1815" s="8"/>
      <c r="AT1815" s="8" t="str">
        <f ca="1">IFERROR(__xludf.DUMMYFUNCTION("""COMPUTED_VALUE"""),"No")</f>
        <v>No</v>
      </c>
      <c r="AU1815" s="8">
        <f ca="1">IFERROR(__xludf.DUMMYFUNCTION("""COMPUTED_VALUE"""),39.901436)</f>
        <v>39.901435999999997</v>
      </c>
      <c r="AV1815" s="8">
        <f ca="1">IFERROR(__xludf.DUMMYFUNCTION("""COMPUTED_VALUE"""),-82.996656)</f>
        <v>-82.996656000000002</v>
      </c>
      <c r="AW1815" s="8"/>
      <c r="AX1815" s="8">
        <f ca="1">IFERROR(__xludf.DUMMYFUNCTION("""COMPUTED_VALUE"""),43207)</f>
        <v>43207</v>
      </c>
    </row>
    <row r="1816" spans="1:50" ht="45" x14ac:dyDescent="0.2">
      <c r="A1816" s="8" t="str">
        <f ca="1">IFERROR(__xludf.DUMMYFUNCTION("""COMPUTED_VALUE"""),"20170908ARNON")</f>
        <v>20170908ARNON</v>
      </c>
      <c r="B1816" s="8">
        <f ca="1">IFERROR(__xludf.DUMMYFUNCTION("""COMPUTED_VALUE"""),9)</f>
        <v>9</v>
      </c>
      <c r="C1816" s="8">
        <f ca="1">IFERROR(__xludf.DUMMYFUNCTION("""COMPUTED_VALUE"""),8)</f>
        <v>8</v>
      </c>
      <c r="D1816" s="8">
        <f ca="1">IFERROR(__xludf.DUMMYFUNCTION("""COMPUTED_VALUE"""),2017)</f>
        <v>2017</v>
      </c>
      <c r="E1816" s="9">
        <f ca="1">IFERROR(__xludf.DUMMYFUNCTION("""COMPUTED_VALUE"""),42986)</f>
        <v>42986</v>
      </c>
      <c r="F1816" s="8" t="str">
        <f ca="1">IFERROR(__xludf.DUMMYFUNCTION("""COMPUTED_VALUE"""),"North Little Rock High School")</f>
        <v>North Little Rock High School</v>
      </c>
      <c r="G1816" s="8">
        <f ca="1">IFERROR(__xludf.DUMMYFUNCTION("""COMPUTED_VALUE"""),0)</f>
        <v>0</v>
      </c>
      <c r="H1816" s="8">
        <f ca="1">IFERROR(__xludf.DUMMYFUNCTION("""COMPUTED_VALUE"""),1)</f>
        <v>1</v>
      </c>
      <c r="I1816" s="8">
        <f ca="1">IFERROR(__xludf.DUMMYFUNCTION("""COMPUTED_VALUE"""),1)</f>
        <v>1</v>
      </c>
      <c r="J1816" s="8">
        <f ca="1">IFERROR(__xludf.DUMMYFUNCTION("""COMPUTED_VALUE"""),0)</f>
        <v>0</v>
      </c>
      <c r="K1816" s="10" t="str">
        <f ca="1">IFERROR(__xludf.DUMMYFUNCTION("""COMPUTED_VALUE"""),"https://www.thv11.com/article/news/local/after-shooting-north-little-rock-high-to-increase-security-at-football-games/473815136")</f>
        <v>https://www.thv11.com/article/news/local/after-shooting-north-little-rock-high-to-increase-security-at-football-games/473815136</v>
      </c>
      <c r="L1816" s="8"/>
      <c r="M1816" s="8"/>
      <c r="N1816" s="8">
        <f ca="1">IFERROR(__xludf.DUMMYFUNCTION("""COMPUTED_VALUE"""),2)</f>
        <v>2</v>
      </c>
      <c r="O1816" s="8" t="str">
        <f ca="1">IFERROR(__xludf.DUMMYFUNCTION("""COMPUTED_VALUE"""),"Fall")</f>
        <v>Fall</v>
      </c>
      <c r="P1816" s="8" t="str">
        <f ca="1">IFERROR(__xludf.DUMMYFUNCTION("""COMPUTED_VALUE"""),"North Little Rock")</f>
        <v>North Little Rock</v>
      </c>
      <c r="Q1816" s="8" t="str">
        <f ca="1">IFERROR(__xludf.DUMMYFUNCTION("""COMPUTED_VALUE"""),"AR")</f>
        <v>AR</v>
      </c>
      <c r="R1816" s="8" t="str">
        <f ca="1">IFERROR(__xludf.DUMMYFUNCTION("""COMPUTED_VALUE"""),"High")</f>
        <v>High</v>
      </c>
      <c r="S1816" s="8" t="str">
        <f ca="1">IFERROR(__xludf.DUMMYFUNCTION("""COMPUTED_VALUE"""),"Parking Lot")</f>
        <v>Parking Lot</v>
      </c>
      <c r="T1816" s="8" t="str">
        <f ca="1">IFERROR(__xludf.DUMMYFUNCTION("""COMPUTED_VALUE"""),"Outside on School Property")</f>
        <v>Outside on School Property</v>
      </c>
      <c r="U1816" s="8" t="str">
        <f ca="1">IFERROR(__xludf.DUMMYFUNCTION("""COMPUTED_VALUE"""),"No")</f>
        <v>No</v>
      </c>
      <c r="V1816" s="8" t="str">
        <f ca="1">IFERROR(__xludf.DUMMYFUNCTION("""COMPUTED_VALUE"""),"Sport Event")</f>
        <v>Sport Event</v>
      </c>
      <c r="W1816" s="8"/>
      <c r="X1816" s="8">
        <f ca="1">IFERROR(__xludf.DUMMYFUNCTION("""COMPUTED_VALUE"""),1)</f>
        <v>1</v>
      </c>
      <c r="Y1816" s="12" t="str">
        <f ca="1">IFERROR(__xludf.DUMMYFUNCTION("""COMPUTED_VALUE"""),"Teen shot in parking lot during football game")</f>
        <v>Teen shot in parking lot during football game</v>
      </c>
      <c r="Z1816" s="12" t="str">
        <f ca="1">IFERROR(__xludf.DUMMYFUNCTION("""COMPUTED_VALUE"""),"Teen non-student shot in the parking lot of the school during a football game. Multiple rounds were fired. Suspect unknown. Motive unknown.")</f>
        <v>Teen non-student shot in the parking lot of the school during a football game. Multiple rounds were fired. Suspect unknown. Motive unknown.</v>
      </c>
      <c r="AA1816" s="8" t="str">
        <f ca="1">IFERROR(__xludf.DUMMYFUNCTION("""COMPUTED_VALUE"""),"Escalation of Dispute")</f>
        <v>Escalation of Dispute</v>
      </c>
      <c r="AB1816" s="8"/>
      <c r="AC1816" s="8" t="str">
        <f ca="1">IFERROR(__xludf.DUMMYFUNCTION("""COMPUTED_VALUE"""),"Yes")</f>
        <v>Yes</v>
      </c>
      <c r="AD1816" s="8" t="str">
        <f ca="1">IFERROR(__xludf.DUMMYFUNCTION("""COMPUTED_VALUE"""),"Victims Targeted")</f>
        <v>Victims Targeted</v>
      </c>
      <c r="AE1816" s="8" t="str">
        <f ca="1">IFERROR(__xludf.DUMMYFUNCTION("""COMPUTED_VALUE"""),"Unknown")</f>
        <v>Unknown</v>
      </c>
      <c r="AF1816" s="8"/>
      <c r="AG1816" s="8" t="str">
        <f ca="1">IFERROR(__xludf.DUMMYFUNCTION("""COMPUTED_VALUE"""),"No")</f>
        <v>No</v>
      </c>
      <c r="AH1816" s="8" t="str">
        <f ca="1">IFERROR(__xludf.DUMMYFUNCTION("""COMPUTED_VALUE"""),"No")</f>
        <v>No</v>
      </c>
      <c r="AI1816" s="8" t="str">
        <f ca="1">IFERROR(__xludf.DUMMYFUNCTION("""COMPUTED_VALUE"""),"No")</f>
        <v>No</v>
      </c>
      <c r="AJ1816" s="8" t="str">
        <f ca="1">IFERROR(__xludf.DUMMYFUNCTION("""COMPUTED_VALUE"""),"No")</f>
        <v>No</v>
      </c>
      <c r="AK1816" s="8" t="str">
        <f ca="1">IFERROR(__xludf.DUMMYFUNCTION("""COMPUTED_VALUE"""),"No")</f>
        <v>No</v>
      </c>
      <c r="AL1816" s="8"/>
      <c r="AM1816" s="8" t="str">
        <f ca="1">IFERROR(__xludf.DUMMYFUNCTION("""COMPUTED_VALUE"""),"No")</f>
        <v>No</v>
      </c>
      <c r="AN1816" s="8"/>
      <c r="AO1816" s="8" t="str">
        <f ca="1">IFERROR(__xludf.DUMMYFUNCTION("""COMPUTED_VALUE"""),"No")</f>
        <v>No</v>
      </c>
      <c r="AP1816" s="8"/>
      <c r="AQ1816" s="8" t="str">
        <f ca="1">IFERROR(__xludf.DUMMYFUNCTION("""COMPUTED_VALUE"""),"Unknown")</f>
        <v>Unknown</v>
      </c>
      <c r="AR1816" s="8" t="str">
        <f ca="1">IFERROR(__xludf.DUMMYFUNCTION("""COMPUTED_VALUE"""),"NA")</f>
        <v>NA</v>
      </c>
      <c r="AS1816" s="8"/>
      <c r="AT1816" s="8"/>
      <c r="AU1816" s="8">
        <f ca="1">IFERROR(__xludf.DUMMYFUNCTION("""COMPUTED_VALUE"""),34.776128)</f>
        <v>34.776128</v>
      </c>
      <c r="AV1816" s="8">
        <f ca="1">IFERROR(__xludf.DUMMYFUNCTION("""COMPUTED_VALUE"""),-92.268282)</f>
        <v>-92.268281999999999</v>
      </c>
      <c r="AW1816" s="8"/>
      <c r="AX1816" s="8">
        <f ca="1">IFERROR(__xludf.DUMMYFUNCTION("""COMPUTED_VALUE"""),72114)</f>
        <v>72114</v>
      </c>
    </row>
    <row r="1817" spans="1:50" ht="60" x14ac:dyDescent="0.2">
      <c r="A1817" s="8" t="str">
        <f ca="1">IFERROR(__xludf.DUMMYFUNCTION("""COMPUTED_VALUE"""),"20170831CAARS")</f>
        <v>20170831CAARS</v>
      </c>
      <c r="B1817" s="8">
        <f ca="1">IFERROR(__xludf.DUMMYFUNCTION("""COMPUTED_VALUE"""),8)</f>
        <v>8</v>
      </c>
      <c r="C1817" s="8">
        <f ca="1">IFERROR(__xludf.DUMMYFUNCTION("""COMPUTED_VALUE"""),31)</f>
        <v>31</v>
      </c>
      <c r="D1817" s="8">
        <f ca="1">IFERROR(__xludf.DUMMYFUNCTION("""COMPUTED_VALUE"""),2017)</f>
        <v>2017</v>
      </c>
      <c r="E1817" s="9">
        <f ca="1">IFERROR(__xludf.DUMMYFUNCTION("""COMPUTED_VALUE"""),42978)</f>
        <v>42978</v>
      </c>
      <c r="F1817" s="8" t="str">
        <f ca="1">IFERROR(__xludf.DUMMYFUNCTION("""COMPUTED_VALUE"""),"Arroyo Valley High School")</f>
        <v>Arroyo Valley High School</v>
      </c>
      <c r="G1817" s="8">
        <f ca="1">IFERROR(__xludf.DUMMYFUNCTION("""COMPUTED_VALUE"""),0)</f>
        <v>0</v>
      </c>
      <c r="H1817" s="8">
        <f ca="1">IFERROR(__xludf.DUMMYFUNCTION("""COMPUTED_VALUE"""),0)</f>
        <v>0</v>
      </c>
      <c r="I1817" s="8">
        <f ca="1">IFERROR(__xludf.DUMMYFUNCTION("""COMPUTED_VALUE"""),0)</f>
        <v>0</v>
      </c>
      <c r="J1817" s="8">
        <f ca="1">IFERROR(__xludf.DUMMYFUNCTION("""COMPUTED_VALUE"""),0)</f>
        <v>0</v>
      </c>
      <c r="K1817" s="10" t="str">
        <f ca="1">IFERROR(__xludf.DUMMYFUNCTION("""COMPUTED_VALUE"""),"https://www.sbsun.com/2017/09/01/shooting-cuts-arroyo-valley-high-school-football-game-short/")</f>
        <v>https://www.sbsun.com/2017/09/01/shooting-cuts-arroyo-valley-high-school-football-game-short/</v>
      </c>
      <c r="L1817" s="8"/>
      <c r="M1817" s="8"/>
      <c r="N1817" s="8">
        <f ca="1">IFERROR(__xludf.DUMMYFUNCTION("""COMPUTED_VALUE"""),3)</f>
        <v>3</v>
      </c>
      <c r="O1817" s="8" t="str">
        <f ca="1">IFERROR(__xludf.DUMMYFUNCTION("""COMPUTED_VALUE"""),"Summer")</f>
        <v>Summer</v>
      </c>
      <c r="P1817" s="8" t="str">
        <f ca="1">IFERROR(__xludf.DUMMYFUNCTION("""COMPUTED_VALUE"""),"San Bernardino")</f>
        <v>San Bernardino</v>
      </c>
      <c r="Q1817" s="8" t="str">
        <f ca="1">IFERROR(__xludf.DUMMYFUNCTION("""COMPUTED_VALUE"""),"CA")</f>
        <v>CA</v>
      </c>
      <c r="R1817" s="8" t="str">
        <f ca="1">IFERROR(__xludf.DUMMYFUNCTION("""COMPUTED_VALUE"""),"High")</f>
        <v>High</v>
      </c>
      <c r="S1817" s="8" t="str">
        <f ca="1">IFERROR(__xludf.DUMMYFUNCTION("""COMPUTED_VALUE"""),"Football Field/Track")</f>
        <v>Football Field/Track</v>
      </c>
      <c r="T1817" s="8" t="str">
        <f ca="1">IFERROR(__xludf.DUMMYFUNCTION("""COMPUTED_VALUE"""),"Outside on School Property")</f>
        <v>Outside on School Property</v>
      </c>
      <c r="U1817" s="8" t="str">
        <f ca="1">IFERROR(__xludf.DUMMYFUNCTION("""COMPUTED_VALUE"""),"No")</f>
        <v>No</v>
      </c>
      <c r="V1817" s="8" t="str">
        <f ca="1">IFERROR(__xludf.DUMMYFUNCTION("""COMPUTED_VALUE"""),"Sport Event")</f>
        <v>Sport Event</v>
      </c>
      <c r="W1817" s="11">
        <f ca="1">IFERROR(__xludf.DUMMYFUNCTION("""COMPUTED_VALUE"""),0.875)</f>
        <v>0.875</v>
      </c>
      <c r="X1817" s="8">
        <f ca="1">IFERROR(__xludf.DUMMYFUNCTION("""COMPUTED_VALUE"""),1)</f>
        <v>1</v>
      </c>
      <c r="Y1817" s="12" t="str">
        <f ca="1">IFERROR(__xludf.DUMMYFUNCTION("""COMPUTED_VALUE"""),"Shooting at football stadium following a fight inside")</f>
        <v>Shooting at football stadium following a fight inside</v>
      </c>
      <c r="Z1817" s="12" t="str">
        <f ca="1">IFERROR(__xludf.DUMMYFUNCTION("""COMPUTED_VALUE"""),"Group of young men were escorted out of the stadium after a fight inside. Once outside, 12 shots were fired from the fenceline of the stadium. Shooter fled in a vehicle. Remainder of game was suspended.")</f>
        <v>Group of young men were escorted out of the stadium after a fight inside. Once outside, 12 shots were fired from the fenceline of the stadium. Shooter fled in a vehicle. Remainder of game was suspended.</v>
      </c>
      <c r="AA1817" s="8" t="str">
        <f ca="1">IFERROR(__xludf.DUMMYFUNCTION("""COMPUTED_VALUE"""),"Escalation of Dispute")</f>
        <v>Escalation of Dispute</v>
      </c>
      <c r="AB1817" s="8"/>
      <c r="AC1817" s="8" t="str">
        <f ca="1">IFERROR(__xludf.DUMMYFUNCTION("""COMPUTED_VALUE"""),"Yes")</f>
        <v>Yes</v>
      </c>
      <c r="AD1817" s="8" t="str">
        <f ca="1">IFERROR(__xludf.DUMMYFUNCTION("""COMPUTED_VALUE"""),"Victims Targeted")</f>
        <v>Victims Targeted</v>
      </c>
      <c r="AE1817" s="8" t="str">
        <f ca="1">IFERROR(__xludf.DUMMYFUNCTION("""COMPUTED_VALUE"""),"Yes")</f>
        <v>Yes</v>
      </c>
      <c r="AF1817" s="8" t="str">
        <f ca="1">IFERROR(__xludf.DUMMYFUNCTION("""COMPUTED_VALUE"""),"Multiple men involved in fight")</f>
        <v>Multiple men involved in fight</v>
      </c>
      <c r="AG1817" s="8" t="str">
        <f ca="1">IFERROR(__xludf.DUMMYFUNCTION("""COMPUTED_VALUE"""),"No")</f>
        <v>No</v>
      </c>
      <c r="AH1817" s="8" t="str">
        <f ca="1">IFERROR(__xludf.DUMMYFUNCTION("""COMPUTED_VALUE"""),"No")</f>
        <v>No</v>
      </c>
      <c r="AI1817" s="8" t="str">
        <f ca="1">IFERROR(__xludf.DUMMYFUNCTION("""COMPUTED_VALUE"""),"No")</f>
        <v>No</v>
      </c>
      <c r="AJ1817" s="8" t="str">
        <f ca="1">IFERROR(__xludf.DUMMYFUNCTION("""COMPUTED_VALUE"""),"No")</f>
        <v>No</v>
      </c>
      <c r="AK1817" s="8" t="str">
        <f ca="1">IFERROR(__xludf.DUMMYFUNCTION("""COMPUTED_VALUE"""),"No")</f>
        <v>No</v>
      </c>
      <c r="AL1817" s="8" t="str">
        <f ca="1">IFERROR(__xludf.DUMMYFUNCTION("""COMPUTED_VALUE"""),"No")</f>
        <v>No</v>
      </c>
      <c r="AM1817" s="8" t="str">
        <f ca="1">IFERROR(__xludf.DUMMYFUNCTION("""COMPUTED_VALUE"""),"No")</f>
        <v>No</v>
      </c>
      <c r="AN1817" s="8"/>
      <c r="AO1817" s="8" t="str">
        <f ca="1">IFERROR(__xludf.DUMMYFUNCTION("""COMPUTED_VALUE"""),"No")</f>
        <v>No</v>
      </c>
      <c r="AP1817" s="8"/>
      <c r="AQ1817" s="8" t="str">
        <f ca="1">IFERROR(__xludf.DUMMYFUNCTION("""COMPUTED_VALUE"""),"Unknown")</f>
        <v>Unknown</v>
      </c>
      <c r="AR1817" s="8" t="str">
        <f ca="1">IFERROR(__xludf.DUMMYFUNCTION("""COMPUTED_VALUE"""),"NA")</f>
        <v>NA</v>
      </c>
      <c r="AS1817" s="8">
        <f ca="1">IFERROR(__xludf.DUMMYFUNCTION("""COMPUTED_VALUE"""),12)</f>
        <v>12</v>
      </c>
      <c r="AT1817" s="8"/>
      <c r="AU1817" s="8">
        <f ca="1">IFERROR(__xludf.DUMMYFUNCTION("""COMPUTED_VALUE"""),34.118531)</f>
        <v>34.118530999999997</v>
      </c>
      <c r="AV1817" s="8">
        <f ca="1">IFERROR(__xludf.DUMMYFUNCTION("""COMPUTED_VALUE"""),-117.327455)</f>
        <v>-117.327455</v>
      </c>
      <c r="AW1817" s="8"/>
      <c r="AX1817" s="8">
        <f ca="1">IFERROR(__xludf.DUMMYFUNCTION("""COMPUTED_VALUE"""),92411)</f>
        <v>92411</v>
      </c>
    </row>
    <row r="1818" spans="1:50" ht="60" x14ac:dyDescent="0.2">
      <c r="A1818" s="8" t="str">
        <f ca="1">IFERROR(__xludf.DUMMYFUNCTION("""COMPUTED_VALUE"""),"20170817GALIL")</f>
        <v>20170817GALIL</v>
      </c>
      <c r="B1818" s="8">
        <f ca="1">IFERROR(__xludf.DUMMYFUNCTION("""COMPUTED_VALUE"""),8)</f>
        <v>8</v>
      </c>
      <c r="C1818" s="8">
        <f ca="1">IFERROR(__xludf.DUMMYFUNCTION("""COMPUTED_VALUE"""),17)</f>
        <v>17</v>
      </c>
      <c r="D1818" s="8">
        <f ca="1">IFERROR(__xludf.DUMMYFUNCTION("""COMPUTED_VALUE"""),2017)</f>
        <v>2017</v>
      </c>
      <c r="E1818" s="9">
        <f ca="1">IFERROR(__xludf.DUMMYFUNCTION("""COMPUTED_VALUE"""),42964)</f>
        <v>42964</v>
      </c>
      <c r="F1818" s="8" t="str">
        <f ca="1">IFERROR(__xludf.DUMMYFUNCTION("""COMPUTED_VALUE"""),"Lithia Spring High")</f>
        <v>Lithia Spring High</v>
      </c>
      <c r="G1818" s="8">
        <f ca="1">IFERROR(__xludf.DUMMYFUNCTION("""COMPUTED_VALUE"""),0)</f>
        <v>0</v>
      </c>
      <c r="H1818" s="8">
        <f ca="1">IFERROR(__xludf.DUMMYFUNCTION("""COMPUTED_VALUE"""),0)</f>
        <v>0</v>
      </c>
      <c r="I1818" s="8">
        <f ca="1">IFERROR(__xludf.DUMMYFUNCTION("""COMPUTED_VALUE"""),0)</f>
        <v>0</v>
      </c>
      <c r="J1818" s="8">
        <f ca="1">IFERROR(__xludf.DUMMYFUNCTION("""COMPUTED_VALUE"""),0)</f>
        <v>0</v>
      </c>
      <c r="K1818" s="10" t="str">
        <f ca="1">IFERROR(__xludf.DUMMYFUNCTION("""COMPUTED_VALUE"""),"https://www.ajc.com/news/crime--law/veteran-lithia-springs-high-teacher-shoots-self-school-classes-canceled/ySkZFldVAcQEqaXTYrihbK/")</f>
        <v>https://www.ajc.com/news/crime--law/veteran-lithia-springs-high-teacher-shoots-self-school-classes-canceled/ySkZFldVAcQEqaXTYrihbK/</v>
      </c>
      <c r="L1818" s="8"/>
      <c r="M1818" s="8"/>
      <c r="N1818" s="8">
        <f ca="1">IFERROR(__xludf.DUMMYFUNCTION("""COMPUTED_VALUE"""),2)</f>
        <v>2</v>
      </c>
      <c r="O1818" s="8" t="str">
        <f ca="1">IFERROR(__xludf.DUMMYFUNCTION("""COMPUTED_VALUE"""),"Summer")</f>
        <v>Summer</v>
      </c>
      <c r="P1818" s="8" t="str">
        <f ca="1">IFERROR(__xludf.DUMMYFUNCTION("""COMPUTED_VALUE"""),"Lithia Springs")</f>
        <v>Lithia Springs</v>
      </c>
      <c r="Q1818" s="8" t="str">
        <f ca="1">IFERROR(__xludf.DUMMYFUNCTION("""COMPUTED_VALUE"""),"GA")</f>
        <v>GA</v>
      </c>
      <c r="R1818" s="8" t="str">
        <f ca="1">IFERROR(__xludf.DUMMYFUNCTION("""COMPUTED_VALUE"""),"High")</f>
        <v>High</v>
      </c>
      <c r="S1818" s="8" t="str">
        <f ca="1">IFERROR(__xludf.DUMMYFUNCTION("""COMPUTED_VALUE"""),"Classroom")</f>
        <v>Classroom</v>
      </c>
      <c r="T1818" s="8" t="str">
        <f ca="1">IFERROR(__xludf.DUMMYFUNCTION("""COMPUTED_VALUE"""),"Inside School Building")</f>
        <v>Inside School Building</v>
      </c>
      <c r="U1818" s="8" t="str">
        <f ca="1">IFERROR(__xludf.DUMMYFUNCTION("""COMPUTED_VALUE"""),"Yes")</f>
        <v>Yes</v>
      </c>
      <c r="V1818" s="8" t="str">
        <f ca="1">IFERROR(__xludf.DUMMYFUNCTION("""COMPUTED_VALUE"""),"School Start")</f>
        <v>School Start</v>
      </c>
      <c r="W1818" s="11">
        <f ca="1">IFERROR(__xludf.DUMMYFUNCTION("""COMPUTED_VALUE"""),0.302083333333333)</f>
        <v>0.30208333333333298</v>
      </c>
      <c r="X1818" s="8">
        <f ca="1">IFERROR(__xludf.DUMMYFUNCTION("""COMPUTED_VALUE"""),1)</f>
        <v>1</v>
      </c>
      <c r="Y1818" s="12" t="str">
        <f ca="1">IFERROR(__xludf.DUMMYFUNCTION("""COMPUTED_VALUE"""),"Teacher attempted suicide inside school during school day")</f>
        <v>Teacher attempted suicide inside school during school day</v>
      </c>
      <c r="Z1818" s="12" t="str">
        <f ca="1">IFERROR(__xludf.DUMMYFUNCTION("""COMPUTED_VALUE"""),"Teacher attempted suicide when school opened but before classes started. Students were not present during the shooting.")</f>
        <v>Teacher attempted suicide when school opened but before classes started. Students were not present during the shooting.</v>
      </c>
      <c r="AA1818" s="8" t="str">
        <f ca="1">IFERROR(__xludf.DUMMYFUNCTION("""COMPUTED_VALUE"""),"Suicide/Attempted")</f>
        <v>Suicide/Attempted</v>
      </c>
      <c r="AB1818" s="8"/>
      <c r="AC1818" s="8" t="str">
        <f ca="1">IFERROR(__xludf.DUMMYFUNCTION("""COMPUTED_VALUE"""),"Yes")</f>
        <v>Yes</v>
      </c>
      <c r="AD1818" s="8" t="str">
        <f ca="1">IFERROR(__xludf.DUMMYFUNCTION("""COMPUTED_VALUE"""),"Victims Targeted")</f>
        <v>Victims Targeted</v>
      </c>
      <c r="AE1818" s="8" t="str">
        <f ca="1">IFERROR(__xludf.DUMMYFUNCTION("""COMPUTED_VALUE"""),"No")</f>
        <v>No</v>
      </c>
      <c r="AF1818" s="8"/>
      <c r="AG1818" s="8" t="str">
        <f ca="1">IFERROR(__xludf.DUMMYFUNCTION("""COMPUTED_VALUE"""),"No")</f>
        <v>No</v>
      </c>
      <c r="AH1818" s="8" t="str">
        <f ca="1">IFERROR(__xludf.DUMMYFUNCTION("""COMPUTED_VALUE"""),"No")</f>
        <v>No</v>
      </c>
      <c r="AI1818" s="8" t="str">
        <f ca="1">IFERROR(__xludf.DUMMYFUNCTION("""COMPUTED_VALUE"""),"No")</f>
        <v>No</v>
      </c>
      <c r="AJ1818" s="8" t="str">
        <f ca="1">IFERROR(__xludf.DUMMYFUNCTION("""COMPUTED_VALUE"""),"No")</f>
        <v>No</v>
      </c>
      <c r="AK1818" s="8" t="str">
        <f ca="1">IFERROR(__xludf.DUMMYFUNCTION("""COMPUTED_VALUE"""),"No")</f>
        <v>No</v>
      </c>
      <c r="AL1818" s="8" t="str">
        <f ca="1">IFERROR(__xludf.DUMMYFUNCTION("""COMPUTED_VALUE"""),"No")</f>
        <v>No</v>
      </c>
      <c r="AM1818" s="8" t="str">
        <f ca="1">IFERROR(__xludf.DUMMYFUNCTION("""COMPUTED_VALUE"""),"No")</f>
        <v>No</v>
      </c>
      <c r="AN1818" s="8"/>
      <c r="AO1818" s="8" t="str">
        <f ca="1">IFERROR(__xludf.DUMMYFUNCTION("""COMPUTED_VALUE"""),"No")</f>
        <v>No</v>
      </c>
      <c r="AP1818" s="8"/>
      <c r="AQ1818" s="8" t="str">
        <f ca="1">IFERROR(__xludf.DUMMYFUNCTION("""COMPUTED_VALUE"""),"Unknown")</f>
        <v>Unknown</v>
      </c>
      <c r="AR1818" s="8" t="str">
        <f ca="1">IFERROR(__xludf.DUMMYFUNCTION("""COMPUTED_VALUE"""),"NA")</f>
        <v>NA</v>
      </c>
      <c r="AS1818" s="8">
        <f ca="1">IFERROR(__xludf.DUMMYFUNCTION("""COMPUTED_VALUE"""),1)</f>
        <v>1</v>
      </c>
      <c r="AT1818" s="8"/>
      <c r="AU1818" s="8">
        <f ca="1">IFERROR(__xludf.DUMMYFUNCTION("""COMPUTED_VALUE"""),33.755375)</f>
        <v>33.755375000000001</v>
      </c>
      <c r="AV1818" s="8">
        <f ca="1">IFERROR(__xludf.DUMMYFUNCTION("""COMPUTED_VALUE"""),-84.658024)</f>
        <v>-84.658023999999997</v>
      </c>
      <c r="AW1818" s="8"/>
      <c r="AX1818" s="8">
        <f ca="1">IFERROR(__xludf.DUMMYFUNCTION("""COMPUTED_VALUE"""),30122)</f>
        <v>30122</v>
      </c>
    </row>
    <row r="1819" spans="1:50" ht="45" x14ac:dyDescent="0.2">
      <c r="A1819" s="8" t="str">
        <f ca="1">IFERROR(__xludf.DUMMYFUNCTION("""COMPUTED_VALUE"""),"20170813NYHUH")</f>
        <v>20170813NYHUH</v>
      </c>
      <c r="B1819" s="8">
        <f ca="1">IFERROR(__xludf.DUMMYFUNCTION("""COMPUTED_VALUE"""),8)</f>
        <v>8</v>
      </c>
      <c r="C1819" s="8">
        <f ca="1">IFERROR(__xludf.DUMMYFUNCTION("""COMPUTED_VALUE"""),13)</f>
        <v>13</v>
      </c>
      <c r="D1819" s="8">
        <f ca="1">IFERROR(__xludf.DUMMYFUNCTION("""COMPUTED_VALUE"""),2017)</f>
        <v>2017</v>
      </c>
      <c r="E1819" s="9">
        <f ca="1">IFERROR(__xludf.DUMMYFUNCTION("""COMPUTED_VALUE"""),42960)</f>
        <v>42960</v>
      </c>
      <c r="F1819" s="8" t="str">
        <f ca="1">IFERROR(__xludf.DUMMYFUNCTION("""COMPUTED_VALUE"""),"Hudson County School Bus")</f>
        <v>Hudson County School Bus</v>
      </c>
      <c r="G1819" s="8">
        <f ca="1">IFERROR(__xludf.DUMMYFUNCTION("""COMPUTED_VALUE"""),0)</f>
        <v>0</v>
      </c>
      <c r="H1819" s="8">
        <f ca="1">IFERROR(__xludf.DUMMYFUNCTION("""COMPUTED_VALUE"""),2)</f>
        <v>2</v>
      </c>
      <c r="I1819" s="8">
        <f ca="1">IFERROR(__xludf.DUMMYFUNCTION("""COMPUTED_VALUE"""),2)</f>
        <v>2</v>
      </c>
      <c r="J1819" s="8">
        <f ca="1">IFERROR(__xludf.DUMMYFUNCTION("""COMPUTED_VALUE"""),0)</f>
        <v>0</v>
      </c>
      <c r="K1819" s="8" t="str">
        <f ca="1">IFERROR(__xludf.DUMMYFUNCTION("""COMPUTED_VALUE"""),"https://www.news10.com/news/hudson-man-indicted-in-a-four-year-police-investigation-of-shooting/ https://wnyt.com/columbia-county-ny-news/kevrone-lee-accused-of-shooting-at-school-bus-in-2017-columbia-county/6216222/")</f>
        <v>https://www.news10.com/news/hudson-man-indicted-in-a-four-year-police-investigation-of-shooting/ https://wnyt.com/columbia-county-ny-news/kevrone-lee-accused-of-shooting-at-school-bus-in-2017-columbia-county/6216222/</v>
      </c>
      <c r="L1819" s="8">
        <f ca="1">IFERROR(__xludf.DUMMYFUNCTION("""COMPUTED_VALUE"""),2)</f>
        <v>2</v>
      </c>
      <c r="M1819" s="8" t="str">
        <f ca="1">IFERROR(__xludf.DUMMYFUNCTION("""COMPUTED_VALUE"""),"Local")</f>
        <v>Local</v>
      </c>
      <c r="N1819" s="8">
        <f ca="1">IFERROR(__xludf.DUMMYFUNCTION("""COMPUTED_VALUE"""),4)</f>
        <v>4</v>
      </c>
      <c r="O1819" s="8" t="str">
        <f ca="1">IFERROR(__xludf.DUMMYFUNCTION("""COMPUTED_VALUE"""),"Summer")</f>
        <v>Summer</v>
      </c>
      <c r="P1819" s="8" t="str">
        <f ca="1">IFERROR(__xludf.DUMMYFUNCTION("""COMPUTED_VALUE"""),"Hudson")</f>
        <v>Hudson</v>
      </c>
      <c r="Q1819" s="8" t="str">
        <f ca="1">IFERROR(__xludf.DUMMYFUNCTION("""COMPUTED_VALUE"""),"NY")</f>
        <v>NY</v>
      </c>
      <c r="R1819" s="8"/>
      <c r="S1819" s="8" t="str">
        <f ca="1">IFERROR(__xludf.DUMMYFUNCTION("""COMPUTED_VALUE"""),"School Bus")</f>
        <v>School Bus</v>
      </c>
      <c r="T1819" s="8" t="str">
        <f ca="1">IFERROR(__xludf.DUMMYFUNCTION("""COMPUTED_VALUE"""),"School Bus")</f>
        <v>School Bus</v>
      </c>
      <c r="U1819" s="8"/>
      <c r="V1819" s="8"/>
      <c r="W1819" s="8"/>
      <c r="X1819" s="8">
        <f ca="1">IFERROR(__xludf.DUMMYFUNCTION("""COMPUTED_VALUE"""),1)</f>
        <v>1</v>
      </c>
      <c r="Y1819" s="12" t="str">
        <f ca="1">IFERROR(__xludf.DUMMYFUNCTION("""COMPUTED_VALUE"""),"2 children shot on school bus")</f>
        <v>2 children shot on school bus</v>
      </c>
      <c r="Z1819" s="12" t="str">
        <f ca="1">IFERROR(__xludf.DUMMYFUNCTION("""COMPUTED_VALUE"""),"Adult male fired multiple shots on the street striking two children on a school bus and another adult. Arrested 4 years later and charged with 6 counts of attempted murder.")</f>
        <v>Adult male fired multiple shots on the street striking two children on a school bus and another adult. Arrested 4 years later and charged with 6 counts of attempted murder.</v>
      </c>
      <c r="AA1819" s="8"/>
      <c r="AB1819" s="8"/>
      <c r="AC1819" s="8" t="str">
        <f ca="1">IFERROR(__xludf.DUMMYFUNCTION("""COMPUTED_VALUE"""),"Yes")</f>
        <v>Yes</v>
      </c>
      <c r="AD1819" s="8" t="str">
        <f ca="1">IFERROR(__xludf.DUMMYFUNCTION("""COMPUTED_VALUE"""),"Both")</f>
        <v>Both</v>
      </c>
      <c r="AE1819" s="8" t="str">
        <f ca="1">IFERROR(__xludf.DUMMYFUNCTION("""COMPUTED_VALUE"""),"No")</f>
        <v>No</v>
      </c>
      <c r="AF1819" s="8"/>
      <c r="AG1819" s="8" t="str">
        <f ca="1">IFERROR(__xludf.DUMMYFUNCTION("""COMPUTED_VALUE"""),"No")</f>
        <v>No</v>
      </c>
      <c r="AH1819" s="8" t="str">
        <f ca="1">IFERROR(__xludf.DUMMYFUNCTION("""COMPUTED_VALUE"""),"No")</f>
        <v>No</v>
      </c>
      <c r="AI1819" s="8" t="str">
        <f ca="1">IFERROR(__xludf.DUMMYFUNCTION("""COMPUTED_VALUE"""),"No")</f>
        <v>No</v>
      </c>
      <c r="AJ1819" s="8" t="str">
        <f ca="1">IFERROR(__xludf.DUMMYFUNCTION("""COMPUTED_VALUE"""),"No")</f>
        <v>No</v>
      </c>
      <c r="AK1819" s="8" t="str">
        <f ca="1">IFERROR(__xludf.DUMMYFUNCTION("""COMPUTED_VALUE"""),"No")</f>
        <v>No</v>
      </c>
      <c r="AL1819" s="8"/>
      <c r="AM1819" s="8" t="str">
        <f ca="1">IFERROR(__xludf.DUMMYFUNCTION("""COMPUTED_VALUE"""),"No")</f>
        <v>No</v>
      </c>
      <c r="AN1819" s="8"/>
      <c r="AO1819" s="8" t="str">
        <f ca="1">IFERROR(__xludf.DUMMYFUNCTION("""COMPUTED_VALUE"""),"No")</f>
        <v>No</v>
      </c>
      <c r="AP1819" s="8"/>
      <c r="AQ1819" s="8"/>
      <c r="AR1819" s="8" t="str">
        <f ca="1">IFERROR(__xludf.DUMMYFUNCTION("""COMPUTED_VALUE"""),"Outside/Off-Property")</f>
        <v>Outside/Off-Property</v>
      </c>
      <c r="AS1819" s="8"/>
      <c r="AT1819" s="8"/>
      <c r="AU1819" s="8">
        <f ca="1">IFERROR(__xludf.DUMMYFUNCTION("""COMPUTED_VALUE"""),42.252724)</f>
        <v>42.252724000000001</v>
      </c>
      <c r="AV1819" s="8">
        <f ca="1">IFERROR(__xludf.DUMMYFUNCTION("""COMPUTED_VALUE"""),-73.787481)</f>
        <v>-73.787481</v>
      </c>
      <c r="AW1819" s="8"/>
      <c r="AX1819" s="8">
        <f ca="1">IFERROR(__xludf.DUMMYFUNCTION("""COMPUTED_VALUE"""),12534)</f>
        <v>12534</v>
      </c>
    </row>
    <row r="1820" spans="1:50" ht="90" x14ac:dyDescent="0.2">
      <c r="A1820" s="8" t="str">
        <f ca="1">IFERROR(__xludf.DUMMYFUNCTION("""COMPUTED_VALUE"""),"20170801GABAV")</f>
        <v>20170801GABAV</v>
      </c>
      <c r="B1820" s="8">
        <f ca="1">IFERROR(__xludf.DUMMYFUNCTION("""COMPUTED_VALUE"""),8)</f>
        <v>8</v>
      </c>
      <c r="C1820" s="8">
        <f ca="1">IFERROR(__xludf.DUMMYFUNCTION("""COMPUTED_VALUE"""),1)</f>
        <v>1</v>
      </c>
      <c r="D1820" s="8">
        <f ca="1">IFERROR(__xludf.DUMMYFUNCTION("""COMPUTED_VALUE"""),2017)</f>
        <v>2017</v>
      </c>
      <c r="E1820" s="9">
        <f ca="1">IFERROR(__xludf.DUMMYFUNCTION("""COMPUTED_VALUE"""),42948)</f>
        <v>42948</v>
      </c>
      <c r="F1820" s="8" t="str">
        <f ca="1">IFERROR(__xludf.DUMMYFUNCTION("""COMPUTED_VALUE"""),"Bazemore-Hyder Stadium (Valdosta High School)")</f>
        <v>Bazemore-Hyder Stadium (Valdosta High School)</v>
      </c>
      <c r="G1820" s="8">
        <f ca="1">IFERROR(__xludf.DUMMYFUNCTION("""COMPUTED_VALUE"""),0)</f>
        <v>0</v>
      </c>
      <c r="H1820" s="8">
        <f ca="1">IFERROR(__xludf.DUMMYFUNCTION("""COMPUTED_VALUE"""),1)</f>
        <v>1</v>
      </c>
      <c r="I1820" s="8">
        <f ca="1">IFERROR(__xludf.DUMMYFUNCTION("""COMPUTED_VALUE"""),1)</f>
        <v>1</v>
      </c>
      <c r="J1820" s="8">
        <f ca="1">IFERROR(__xludf.DUMMYFUNCTION("""COMPUTED_VALUE"""),0)</f>
        <v>0</v>
      </c>
      <c r="K1820" s="10" t="str">
        <f ca="1">IFERROR(__xludf.DUMMYFUNCTION("""COMPUTED_VALUE"""),"https://www.wctv.tv/content/news/Shots-fired-during-Valdosta-Highs-Midnight-Madness-practice-437798503.html")</f>
        <v>https://www.wctv.tv/content/news/Shots-fired-during-Valdosta-Highs-Midnight-Madness-practice-437798503.html</v>
      </c>
      <c r="L1820" s="8"/>
      <c r="M1820" s="8"/>
      <c r="N1820" s="8">
        <f ca="1">IFERROR(__xludf.DUMMYFUNCTION("""COMPUTED_VALUE"""),3)</f>
        <v>3</v>
      </c>
      <c r="O1820" s="8" t="str">
        <f ca="1">IFERROR(__xludf.DUMMYFUNCTION("""COMPUTED_VALUE"""),"Summer")</f>
        <v>Summer</v>
      </c>
      <c r="P1820" s="8" t="str">
        <f ca="1">IFERROR(__xludf.DUMMYFUNCTION("""COMPUTED_VALUE"""),"Valdosta")</f>
        <v>Valdosta</v>
      </c>
      <c r="Q1820" s="8" t="str">
        <f ca="1">IFERROR(__xludf.DUMMYFUNCTION("""COMPUTED_VALUE"""),"GA")</f>
        <v>GA</v>
      </c>
      <c r="R1820" s="8" t="str">
        <f ca="1">IFERROR(__xludf.DUMMYFUNCTION("""COMPUTED_VALUE"""),"High")</f>
        <v>High</v>
      </c>
      <c r="S1820" s="8" t="str">
        <f ca="1">IFERROR(__xludf.DUMMYFUNCTION("""COMPUTED_VALUE"""),"Football Field/Track")</f>
        <v>Football Field/Track</v>
      </c>
      <c r="T1820" s="8" t="str">
        <f ca="1">IFERROR(__xludf.DUMMYFUNCTION("""COMPUTED_VALUE"""),"Outside on School Property")</f>
        <v>Outside on School Property</v>
      </c>
      <c r="U1820" s="8" t="str">
        <f ca="1">IFERROR(__xludf.DUMMYFUNCTION("""COMPUTED_VALUE"""),"No")</f>
        <v>No</v>
      </c>
      <c r="V1820" s="8" t="str">
        <f ca="1">IFERROR(__xludf.DUMMYFUNCTION("""COMPUTED_VALUE"""),"Sport Event")</f>
        <v>Sport Event</v>
      </c>
      <c r="W1820" s="11">
        <f ca="1">IFERROR(__xludf.DUMMYFUNCTION("""COMPUTED_VALUE"""),0.03125)</f>
        <v>3.125E-2</v>
      </c>
      <c r="X1820" s="8">
        <f ca="1">IFERROR(__xludf.DUMMYFUNCTION("""COMPUTED_VALUE"""),1)</f>
        <v>1</v>
      </c>
      <c r="Y1820" s="12" t="str">
        <f ca="1">IFERROR(__xludf.DUMMYFUNCTION("""COMPUTED_VALUE"""),"Female students shot during high school football practice")</f>
        <v>Female students shot during high school football practice</v>
      </c>
      <c r="Z1820" s="12" t="str">
        <f ca="1">IFERROR(__xludf.DUMMYFUNCTION("""COMPUTED_VALUE"""),"Female student was shot in the neck when shots were fired during a dispute outside of the ""Midnight Madness"" first football practice for Valdosta High School. 5 shell casings were recovered outside the stadium. Additional evidence was found in the stree"&amp;"t. After the shooting, the remainder of the practice was canceled.")</f>
        <v>Female student was shot in the neck when shots were fired during a dispute outside of the "Midnight Madness" first football practice for Valdosta High School. 5 shell casings were recovered outside the stadium. Additional evidence was found in the street. After the shooting, the remainder of the practice was canceled.</v>
      </c>
      <c r="AA1820" s="8" t="str">
        <f ca="1">IFERROR(__xludf.DUMMYFUNCTION("""COMPUTED_VALUE"""),"Escalation of Dispute")</f>
        <v>Escalation of Dispute</v>
      </c>
      <c r="AB1820" s="8"/>
      <c r="AC1820" s="8" t="str">
        <f ca="1">IFERROR(__xludf.DUMMYFUNCTION("""COMPUTED_VALUE"""),"Yes")</f>
        <v>Yes</v>
      </c>
      <c r="AD1820" s="8" t="str">
        <f ca="1">IFERROR(__xludf.DUMMYFUNCTION("""COMPUTED_VALUE"""),"Both")</f>
        <v>Both</v>
      </c>
      <c r="AE1820" s="8"/>
      <c r="AF1820" s="8"/>
      <c r="AG1820" s="8" t="str">
        <f ca="1">IFERROR(__xludf.DUMMYFUNCTION("""COMPUTED_VALUE"""),"No")</f>
        <v>No</v>
      </c>
      <c r="AH1820" s="8" t="str">
        <f ca="1">IFERROR(__xludf.DUMMYFUNCTION("""COMPUTED_VALUE"""),"No")</f>
        <v>No</v>
      </c>
      <c r="AI1820" s="8" t="str">
        <f ca="1">IFERROR(__xludf.DUMMYFUNCTION("""COMPUTED_VALUE"""),"No")</f>
        <v>No</v>
      </c>
      <c r="AJ1820" s="8" t="str">
        <f ca="1">IFERROR(__xludf.DUMMYFUNCTION("""COMPUTED_VALUE"""),"No")</f>
        <v>No</v>
      </c>
      <c r="AK1820" s="8" t="str">
        <f ca="1">IFERROR(__xludf.DUMMYFUNCTION("""COMPUTED_VALUE"""),"No")</f>
        <v>No</v>
      </c>
      <c r="AL1820" s="8" t="str">
        <f ca="1">IFERROR(__xludf.DUMMYFUNCTION("""COMPUTED_VALUE"""),"No")</f>
        <v>No</v>
      </c>
      <c r="AM1820" s="8" t="str">
        <f ca="1">IFERROR(__xludf.DUMMYFUNCTION("""COMPUTED_VALUE"""),"No")</f>
        <v>No</v>
      </c>
      <c r="AN1820" s="8"/>
      <c r="AO1820" s="8" t="str">
        <f ca="1">IFERROR(__xludf.DUMMYFUNCTION("""COMPUTED_VALUE"""),"No")</f>
        <v>No</v>
      </c>
      <c r="AP1820" s="8"/>
      <c r="AQ1820" s="8" t="str">
        <f ca="1">IFERROR(__xludf.DUMMYFUNCTION("""COMPUTED_VALUE"""),"Unknown")</f>
        <v>Unknown</v>
      </c>
      <c r="AR1820" s="8" t="str">
        <f ca="1">IFERROR(__xludf.DUMMYFUNCTION("""COMPUTED_VALUE"""),"NA")</f>
        <v>NA</v>
      </c>
      <c r="AS1820" s="8">
        <f ca="1">IFERROR(__xludf.DUMMYFUNCTION("""COMPUTED_VALUE"""),5)</f>
        <v>5</v>
      </c>
      <c r="AT1820" s="8"/>
      <c r="AU1820" s="8">
        <f ca="1">IFERROR(__xludf.DUMMYFUNCTION("""COMPUTED_VALUE"""),30.845907)</f>
        <v>30.845907</v>
      </c>
      <c r="AV1820" s="8">
        <f ca="1">IFERROR(__xludf.DUMMYFUNCTION("""COMPUTED_VALUE"""),-83.283882)</f>
        <v>-83.283882000000006</v>
      </c>
      <c r="AW1820" s="8"/>
      <c r="AX1820" s="8">
        <f ca="1">IFERROR(__xludf.DUMMYFUNCTION("""COMPUTED_VALUE"""),31698)</f>
        <v>31698</v>
      </c>
    </row>
    <row r="1821" spans="1:50" ht="90" x14ac:dyDescent="0.2">
      <c r="A1821" s="8" t="str">
        <f ca="1">IFERROR(__xludf.DUMMYFUNCTION("""COMPUTED_VALUE"""),"20170721UTSPS")</f>
        <v>20170721UTSPS</v>
      </c>
      <c r="B1821" s="8">
        <f ca="1">IFERROR(__xludf.DUMMYFUNCTION("""COMPUTED_VALUE"""),7)</f>
        <v>7</v>
      </c>
      <c r="C1821" s="8">
        <f ca="1">IFERROR(__xludf.DUMMYFUNCTION("""COMPUTED_VALUE"""),21)</f>
        <v>21</v>
      </c>
      <c r="D1821" s="8">
        <f ca="1">IFERROR(__xludf.DUMMYFUNCTION("""COMPUTED_VALUE"""),2017)</f>
        <v>2017</v>
      </c>
      <c r="E1821" s="9">
        <f ca="1">IFERROR(__xludf.DUMMYFUNCTION("""COMPUTED_VALUE"""),42937)</f>
        <v>42937</v>
      </c>
      <c r="F1821" s="8" t="str">
        <f ca="1">IFERROR(__xludf.DUMMYFUNCTION("""COMPUTED_VALUE"""),"Spanish Fork High School")</f>
        <v>Spanish Fork High School</v>
      </c>
      <c r="G1821" s="8">
        <f ca="1">IFERROR(__xludf.DUMMYFUNCTION("""COMPUTED_VALUE"""),0)</f>
        <v>0</v>
      </c>
      <c r="H1821" s="8">
        <f ca="1">IFERROR(__xludf.DUMMYFUNCTION("""COMPUTED_VALUE"""),1)</f>
        <v>1</v>
      </c>
      <c r="I1821" s="8">
        <f ca="1">IFERROR(__xludf.DUMMYFUNCTION("""COMPUTED_VALUE"""),1)</f>
        <v>1</v>
      </c>
      <c r="J1821" s="8">
        <f ca="1">IFERROR(__xludf.DUMMYFUNCTION("""COMPUTED_VALUE"""),1)</f>
        <v>1</v>
      </c>
      <c r="K1821" s="10" t="str">
        <f ca="1">IFERROR(__xludf.DUMMYFUNCTION("""COMPUTED_VALUE"""),"https://fox13now.com/2017/07/21/19-year-old-shoots-teen-at-spanish-fork-high-before-taking-own-life/")</f>
        <v>https://fox13now.com/2017/07/21/19-year-old-shoots-teen-at-spanish-fork-high-before-taking-own-life/</v>
      </c>
      <c r="L1821" s="8"/>
      <c r="M1821" s="8"/>
      <c r="N1821" s="8">
        <f ca="1">IFERROR(__xludf.DUMMYFUNCTION("""COMPUTED_VALUE"""),2)</f>
        <v>2</v>
      </c>
      <c r="O1821" s="8" t="str">
        <f ca="1">IFERROR(__xludf.DUMMYFUNCTION("""COMPUTED_VALUE"""),"Summer")</f>
        <v>Summer</v>
      </c>
      <c r="P1821" s="8" t="str">
        <f ca="1">IFERROR(__xludf.DUMMYFUNCTION("""COMPUTED_VALUE"""),"Spanish Fork")</f>
        <v>Spanish Fork</v>
      </c>
      <c r="Q1821" s="8" t="str">
        <f ca="1">IFERROR(__xludf.DUMMYFUNCTION("""COMPUTED_VALUE"""),"UT")</f>
        <v>UT</v>
      </c>
      <c r="R1821" s="8" t="str">
        <f ca="1">IFERROR(__xludf.DUMMYFUNCTION("""COMPUTED_VALUE"""),"High")</f>
        <v>High</v>
      </c>
      <c r="S1821" s="8" t="str">
        <f ca="1">IFERROR(__xludf.DUMMYFUNCTION("""COMPUTED_VALUE"""),"Parking Lot")</f>
        <v>Parking Lot</v>
      </c>
      <c r="T1821" s="8" t="str">
        <f ca="1">IFERROR(__xludf.DUMMYFUNCTION("""COMPUTED_VALUE"""),"Outside on School Property")</f>
        <v>Outside on School Property</v>
      </c>
      <c r="U1821" s="8" t="str">
        <f ca="1">IFERROR(__xludf.DUMMYFUNCTION("""COMPUTED_VALUE"""),"No")</f>
        <v>No</v>
      </c>
      <c r="V1821" s="8" t="str">
        <f ca="1">IFERROR(__xludf.DUMMYFUNCTION("""COMPUTED_VALUE"""),"Night")</f>
        <v>Night</v>
      </c>
      <c r="W1821" s="11">
        <f ca="1">IFERROR(__xludf.DUMMYFUNCTION("""COMPUTED_VALUE"""),0.104166666666666)</f>
        <v>0.10416666666666601</v>
      </c>
      <c r="X1821" s="8">
        <f ca="1">IFERROR(__xludf.DUMMYFUNCTION("""COMPUTED_VALUE"""),1)</f>
        <v>1</v>
      </c>
      <c r="Y1821" s="12" t="str">
        <f ca="1">IFERROR(__xludf.DUMMYFUNCTION("""COMPUTED_VALUE"""),"Shots fired during shooting in school parking lot, killed himself when confronted by police")</f>
        <v>Shots fired during shooting in school parking lot, killed himself when confronted by police</v>
      </c>
      <c r="Z1821" s="12" t="str">
        <f ca="1">IFERROR(__xludf.DUMMYFUNCTION("""COMPUTED_VALUE"""),"Shooter and victim meet in school parking lot to fight. While still inside the car, shooter pulled a gun on the victim. During a struggle for the gun, victim was shot in the arm. Victim and witnesses then fled. Shooter fired at them several times before f"&amp;"leeing the scene. Police later found and stopped the vehicle with shooter inside. The shooter then killed himself.")</f>
        <v>Shooter and victim meet in school parking lot to fight. While still inside the car, shooter pulled a gun on the victim. During a struggle for the gun, victim was shot in the arm. Victim and witnesses then fled. Shooter fired at them several times before fleeing the scene. Police later found and stopped the vehicle with shooter inside. The shooter then killed himself.</v>
      </c>
      <c r="AA1821" s="8" t="str">
        <f ca="1">IFERROR(__xludf.DUMMYFUNCTION("""COMPUTED_VALUE"""),"Escalation of Dispute")</f>
        <v>Escalation of Dispute</v>
      </c>
      <c r="AB1821" s="8"/>
      <c r="AC1821" s="8" t="str">
        <f ca="1">IFERROR(__xludf.DUMMYFUNCTION("""COMPUTED_VALUE"""),"No")</f>
        <v>No</v>
      </c>
      <c r="AD1821" s="8" t="str">
        <f ca="1">IFERROR(__xludf.DUMMYFUNCTION("""COMPUTED_VALUE"""),"Victims Targeted")</f>
        <v>Victims Targeted</v>
      </c>
      <c r="AE1821" s="8" t="str">
        <f ca="1">IFERROR(__xludf.DUMMYFUNCTION("""COMPUTED_VALUE"""),"Yes")</f>
        <v>Yes</v>
      </c>
      <c r="AF1821" s="8" t="str">
        <f ca="1">IFERROR(__xludf.DUMMYFUNCTION("""COMPUTED_VALUE"""),"Shooter was passenger in vehicle")</f>
        <v>Shooter was passenger in vehicle</v>
      </c>
      <c r="AG1821" s="8" t="str">
        <f ca="1">IFERROR(__xludf.DUMMYFUNCTION("""COMPUTED_VALUE"""),"No")</f>
        <v>No</v>
      </c>
      <c r="AH1821" s="8" t="str">
        <f ca="1">IFERROR(__xludf.DUMMYFUNCTION("""COMPUTED_VALUE"""),"No")</f>
        <v>No</v>
      </c>
      <c r="AI1821" s="8" t="str">
        <f ca="1">IFERROR(__xludf.DUMMYFUNCTION("""COMPUTED_VALUE"""),"No")</f>
        <v>No</v>
      </c>
      <c r="AJ1821" s="8" t="str">
        <f ca="1">IFERROR(__xludf.DUMMYFUNCTION("""COMPUTED_VALUE"""),"No")</f>
        <v>No</v>
      </c>
      <c r="AK1821" s="8" t="str">
        <f ca="1">IFERROR(__xludf.DUMMYFUNCTION("""COMPUTED_VALUE"""),"No")</f>
        <v>No</v>
      </c>
      <c r="AL1821" s="8" t="str">
        <f ca="1">IFERROR(__xludf.DUMMYFUNCTION("""COMPUTED_VALUE"""),"No")</f>
        <v>No</v>
      </c>
      <c r="AM1821" s="8" t="str">
        <f ca="1">IFERROR(__xludf.DUMMYFUNCTION("""COMPUTED_VALUE"""),"No")</f>
        <v>No</v>
      </c>
      <c r="AN1821" s="8"/>
      <c r="AO1821" s="8" t="str">
        <f ca="1">IFERROR(__xludf.DUMMYFUNCTION("""COMPUTED_VALUE"""),"No")</f>
        <v>No</v>
      </c>
      <c r="AP1821" s="8"/>
      <c r="AQ1821" s="8" t="str">
        <f ca="1">IFERROR(__xludf.DUMMYFUNCTION("""COMPUTED_VALUE"""),"Unknown")</f>
        <v>Unknown</v>
      </c>
      <c r="AR1821" s="8" t="str">
        <f ca="1">IFERROR(__xludf.DUMMYFUNCTION("""COMPUTED_VALUE"""),"NA")</f>
        <v>NA</v>
      </c>
      <c r="AS1821" s="8" t="str">
        <f ca="1">IFERROR(__xludf.DUMMYFUNCTION("""COMPUTED_VALUE"""),"&gt;5")</f>
        <v>&gt;5</v>
      </c>
      <c r="AT1821" s="8"/>
      <c r="AU1821" s="8">
        <f ca="1">IFERROR(__xludf.DUMMYFUNCTION("""COMPUTED_VALUE"""),40.111111)</f>
        <v>40.111111000000001</v>
      </c>
      <c r="AV1821" s="8">
        <f ca="1">IFERROR(__xludf.DUMMYFUNCTION("""COMPUTED_VALUE"""),-111.660818)</f>
        <v>-111.66081800000001</v>
      </c>
      <c r="AW1821" s="8"/>
      <c r="AX1821" s="8">
        <f ca="1">IFERROR(__xludf.DUMMYFUNCTION("""COMPUTED_VALUE"""),84660)</f>
        <v>84660</v>
      </c>
    </row>
    <row r="1822" spans="1:50" ht="60" x14ac:dyDescent="0.2">
      <c r="A1822" s="8" t="str">
        <f ca="1">IFERROR(__xludf.DUMMYFUNCTION("""COMPUTED_VALUE"""),"20170719WIHIM")</f>
        <v>20170719WIHIM</v>
      </c>
      <c r="B1822" s="8">
        <f ca="1">IFERROR(__xludf.DUMMYFUNCTION("""COMPUTED_VALUE"""),7)</f>
        <v>7</v>
      </c>
      <c r="C1822" s="8">
        <f ca="1">IFERROR(__xludf.DUMMYFUNCTION("""COMPUTED_VALUE"""),19)</f>
        <v>19</v>
      </c>
      <c r="D1822" s="8">
        <f ca="1">IFERROR(__xludf.DUMMYFUNCTION("""COMPUTED_VALUE"""),2017)</f>
        <v>2017</v>
      </c>
      <c r="E1822" s="9">
        <f ca="1">IFERROR(__xludf.DUMMYFUNCTION("""COMPUTED_VALUE"""),42935)</f>
        <v>42935</v>
      </c>
      <c r="F1822" s="8" t="str">
        <f ca="1">IFERROR(__xludf.DUMMYFUNCTION("""COMPUTED_VALUE"""),"Hickman Academy Preparatory School")</f>
        <v>Hickman Academy Preparatory School</v>
      </c>
      <c r="G1822" s="8">
        <f ca="1">IFERROR(__xludf.DUMMYFUNCTION("""COMPUTED_VALUE"""),0)</f>
        <v>0</v>
      </c>
      <c r="H1822" s="8">
        <f ca="1">IFERROR(__xludf.DUMMYFUNCTION("""COMPUTED_VALUE"""),1)</f>
        <v>1</v>
      </c>
      <c r="I1822" s="8">
        <f ca="1">IFERROR(__xludf.DUMMYFUNCTION("""COMPUTED_VALUE"""),1)</f>
        <v>1</v>
      </c>
      <c r="J1822" s="8">
        <f ca="1">IFERROR(__xludf.DUMMYFUNCTION("""COMPUTED_VALUE"""),0)</f>
        <v>0</v>
      </c>
      <c r="K1822" s="10" t="str">
        <f ca="1">IFERROR(__xludf.DUMMYFUNCTION("""COMPUTED_VALUE"""),"https://fox6now.com/2017/07/19/police-32-year-old-shot-multiple-times-inside-school-gym-in-milwaukee-during-basketball-game/")</f>
        <v>https://fox6now.com/2017/07/19/police-32-year-old-shot-multiple-times-inside-school-gym-in-milwaukee-during-basketball-game/</v>
      </c>
      <c r="L1822" s="8"/>
      <c r="M1822" s="8"/>
      <c r="N1822" s="8">
        <f ca="1">IFERROR(__xludf.DUMMYFUNCTION("""COMPUTED_VALUE"""),2)</f>
        <v>2</v>
      </c>
      <c r="O1822" s="8" t="str">
        <f ca="1">IFERROR(__xludf.DUMMYFUNCTION("""COMPUTED_VALUE"""),"Summer")</f>
        <v>Summer</v>
      </c>
      <c r="P1822" s="8" t="str">
        <f ca="1">IFERROR(__xludf.DUMMYFUNCTION("""COMPUTED_VALUE"""),"Milwaukee")</f>
        <v>Milwaukee</v>
      </c>
      <c r="Q1822" s="8" t="str">
        <f ca="1">IFERROR(__xludf.DUMMYFUNCTION("""COMPUTED_VALUE"""),"WI")</f>
        <v>WI</v>
      </c>
      <c r="R1822" s="8" t="str">
        <f ca="1">IFERROR(__xludf.DUMMYFUNCTION("""COMPUTED_VALUE"""),"High")</f>
        <v>High</v>
      </c>
      <c r="S1822" s="8" t="str">
        <f ca="1">IFERROR(__xludf.DUMMYFUNCTION("""COMPUTED_VALUE"""),"Gym")</f>
        <v>Gym</v>
      </c>
      <c r="T1822" s="8" t="str">
        <f ca="1">IFERROR(__xludf.DUMMYFUNCTION("""COMPUTED_VALUE"""),"Inside School Building")</f>
        <v>Inside School Building</v>
      </c>
      <c r="U1822" s="8" t="str">
        <f ca="1">IFERROR(__xludf.DUMMYFUNCTION("""COMPUTED_VALUE"""),"No")</f>
        <v>No</v>
      </c>
      <c r="V1822" s="8" t="str">
        <f ca="1">IFERROR(__xludf.DUMMYFUNCTION("""COMPUTED_VALUE"""),"Sport Event")</f>
        <v>Sport Event</v>
      </c>
      <c r="W1822" s="11">
        <f ca="1">IFERROR(__xludf.DUMMYFUNCTION("""COMPUTED_VALUE"""),0.875)</f>
        <v>0.875</v>
      </c>
      <c r="X1822" s="8">
        <f ca="1">IFERROR(__xludf.DUMMYFUNCTION("""COMPUTED_VALUE"""),1)</f>
        <v>1</v>
      </c>
      <c r="Y1822" s="12" t="str">
        <f ca="1">IFERROR(__xludf.DUMMYFUNCTION("""COMPUTED_VALUE"""),"Shot multiple times inside the school gym during basketball game")</f>
        <v>Shot multiple times inside the school gym during basketball game</v>
      </c>
      <c r="Z1822" s="12" t="str">
        <f ca="1">IFERROR(__xludf.DUMMYFUNCTION("""COMPUTED_VALUE"""),"Fight between two men. One left and came back with a handgun. 32YOM was shot multiple times inside the school gym during a basketball game by an unknown shooter who fled the scene.")</f>
        <v>Fight between two men. One left and came back with a handgun. 32YOM was shot multiple times inside the school gym during a basketball game by an unknown shooter who fled the scene.</v>
      </c>
      <c r="AA1822" s="8" t="str">
        <f ca="1">IFERROR(__xludf.DUMMYFUNCTION("""COMPUTED_VALUE"""),"Escalation of Dispute")</f>
        <v>Escalation of Dispute</v>
      </c>
      <c r="AB1822" s="8"/>
      <c r="AC1822" s="8" t="str">
        <f ca="1">IFERROR(__xludf.DUMMYFUNCTION("""COMPUTED_VALUE"""),"Yes")</f>
        <v>Yes</v>
      </c>
      <c r="AD1822" s="8" t="str">
        <f ca="1">IFERROR(__xludf.DUMMYFUNCTION("""COMPUTED_VALUE"""),"Victims Targeted")</f>
        <v>Victims Targeted</v>
      </c>
      <c r="AE1822" s="8"/>
      <c r="AF1822" s="8"/>
      <c r="AG1822" s="8" t="str">
        <f ca="1">IFERROR(__xludf.DUMMYFUNCTION("""COMPUTED_VALUE"""),"No")</f>
        <v>No</v>
      </c>
      <c r="AH1822" s="8" t="str">
        <f ca="1">IFERROR(__xludf.DUMMYFUNCTION("""COMPUTED_VALUE"""),"No")</f>
        <v>No</v>
      </c>
      <c r="AI1822" s="8" t="str">
        <f ca="1">IFERROR(__xludf.DUMMYFUNCTION("""COMPUTED_VALUE"""),"No")</f>
        <v>No</v>
      </c>
      <c r="AJ1822" s="8" t="str">
        <f ca="1">IFERROR(__xludf.DUMMYFUNCTION("""COMPUTED_VALUE"""),"No")</f>
        <v>No</v>
      </c>
      <c r="AK1822" s="8" t="str">
        <f ca="1">IFERROR(__xludf.DUMMYFUNCTION("""COMPUTED_VALUE"""),"No")</f>
        <v>No</v>
      </c>
      <c r="AL1822" s="8" t="str">
        <f ca="1">IFERROR(__xludf.DUMMYFUNCTION("""COMPUTED_VALUE"""),"No")</f>
        <v>No</v>
      </c>
      <c r="AM1822" s="8" t="str">
        <f ca="1">IFERROR(__xludf.DUMMYFUNCTION("""COMPUTED_VALUE"""),"No")</f>
        <v>No</v>
      </c>
      <c r="AN1822" s="8"/>
      <c r="AO1822" s="8" t="str">
        <f ca="1">IFERROR(__xludf.DUMMYFUNCTION("""COMPUTED_VALUE"""),"No")</f>
        <v>No</v>
      </c>
      <c r="AP1822" s="8"/>
      <c r="AQ1822" s="8" t="str">
        <f ca="1">IFERROR(__xludf.DUMMYFUNCTION("""COMPUTED_VALUE"""),"Unknown")</f>
        <v>Unknown</v>
      </c>
      <c r="AR1822" s="8" t="str">
        <f ca="1">IFERROR(__xludf.DUMMYFUNCTION("""COMPUTED_VALUE"""),"NA")</f>
        <v>NA</v>
      </c>
      <c r="AS1822" s="8" t="str">
        <f ca="1">IFERROR(__xludf.DUMMYFUNCTION("""COMPUTED_VALUE"""),"&lt;10")</f>
        <v>&lt;10</v>
      </c>
      <c r="AT1822" s="8"/>
      <c r="AU1822" s="8">
        <f ca="1">IFERROR(__xludf.DUMMYFUNCTION("""COMPUTED_VALUE"""),43.089639)</f>
        <v>43.089638999999998</v>
      </c>
      <c r="AV1822" s="8">
        <f ca="1">IFERROR(__xludf.DUMMYFUNCTION("""COMPUTED_VALUE"""),-87.992615)</f>
        <v>-87.992615000000001</v>
      </c>
      <c r="AW1822" s="8"/>
      <c r="AX1822" s="8">
        <f ca="1">IFERROR(__xludf.DUMMYFUNCTION("""COMPUTED_VALUE"""),53216)</f>
        <v>53216</v>
      </c>
    </row>
    <row r="1823" spans="1:50" ht="30" x14ac:dyDescent="0.2">
      <c r="A1823" s="8" t="str">
        <f ca="1">IFERROR(__xludf.DUMMYFUNCTION("""COMPUTED_VALUE"""),"20170622SCWIF")</f>
        <v>20170622SCWIF</v>
      </c>
      <c r="B1823" s="8">
        <f ca="1">IFERROR(__xludf.DUMMYFUNCTION("""COMPUTED_VALUE"""),6)</f>
        <v>6</v>
      </c>
      <c r="C1823" s="8">
        <f ca="1">IFERROR(__xludf.DUMMYFUNCTION("""COMPUTED_VALUE"""),22)</f>
        <v>22</v>
      </c>
      <c r="D1823" s="8">
        <f ca="1">IFERROR(__xludf.DUMMYFUNCTION("""COMPUTED_VALUE"""),2017)</f>
        <v>2017</v>
      </c>
      <c r="E1823" s="9">
        <f ca="1">IFERROR(__xludf.DUMMYFUNCTION("""COMPUTED_VALUE"""),42908)</f>
        <v>42908</v>
      </c>
      <c r="F1823" s="8" t="str">
        <f ca="1">IFERROR(__xludf.DUMMYFUNCTION("""COMPUTED_VALUE"""),"Wilson High School")</f>
        <v>Wilson High School</v>
      </c>
      <c r="G1823" s="8">
        <f ca="1">IFERROR(__xludf.DUMMYFUNCTION("""COMPUTED_VALUE"""),0)</f>
        <v>0</v>
      </c>
      <c r="H1823" s="8">
        <f ca="1">IFERROR(__xludf.DUMMYFUNCTION("""COMPUTED_VALUE"""),0)</f>
        <v>0</v>
      </c>
      <c r="I1823" s="8">
        <f ca="1">IFERROR(__xludf.DUMMYFUNCTION("""COMPUTED_VALUE"""),0)</f>
        <v>0</v>
      </c>
      <c r="J1823" s="8">
        <f ca="1">IFERROR(__xludf.DUMMYFUNCTION("""COMPUTED_VALUE"""),0)</f>
        <v>0</v>
      </c>
      <c r="K1823" s="10" t="str">
        <f ca="1">IFERROR(__xludf.DUMMYFUNCTION("""COMPUTED_VALUE"""),"https://www.wbtw.com/news/1-arrested-hospitalized-after-accidental-shooting-at-wilson-high-school/868539676")</f>
        <v>https://www.wbtw.com/news/1-arrested-hospitalized-after-accidental-shooting-at-wilson-high-school/868539676</v>
      </c>
      <c r="L1823" s="8"/>
      <c r="M1823" s="8"/>
      <c r="N1823" s="8">
        <f ca="1">IFERROR(__xludf.DUMMYFUNCTION("""COMPUTED_VALUE"""),2)</f>
        <v>2</v>
      </c>
      <c r="O1823" s="8" t="str">
        <f ca="1">IFERROR(__xludf.DUMMYFUNCTION("""COMPUTED_VALUE"""),"Summer")</f>
        <v>Summer</v>
      </c>
      <c r="P1823" s="8" t="str">
        <f ca="1">IFERROR(__xludf.DUMMYFUNCTION("""COMPUTED_VALUE"""),"Florence")</f>
        <v>Florence</v>
      </c>
      <c r="Q1823" s="8" t="str">
        <f ca="1">IFERROR(__xludf.DUMMYFUNCTION("""COMPUTED_VALUE"""),"SC")</f>
        <v>SC</v>
      </c>
      <c r="R1823" s="8" t="str">
        <f ca="1">IFERROR(__xludf.DUMMYFUNCTION("""COMPUTED_VALUE"""),"High")</f>
        <v>High</v>
      </c>
      <c r="S1823" s="8" t="str">
        <f ca="1">IFERROR(__xludf.DUMMYFUNCTION("""COMPUTED_VALUE"""),"Parking Lot")</f>
        <v>Parking Lot</v>
      </c>
      <c r="T1823" s="8" t="str">
        <f ca="1">IFERROR(__xludf.DUMMYFUNCTION("""COMPUTED_VALUE"""),"Outside on School Property")</f>
        <v>Outside on School Property</v>
      </c>
      <c r="U1823" s="8" t="str">
        <f ca="1">IFERROR(__xludf.DUMMYFUNCTION("""COMPUTED_VALUE"""),"Yes")</f>
        <v>Yes</v>
      </c>
      <c r="V1823" s="8" t="str">
        <f ca="1">IFERROR(__xludf.DUMMYFUNCTION("""COMPUTED_VALUE"""),"School Start")</f>
        <v>School Start</v>
      </c>
      <c r="W1823" s="11">
        <f ca="1">IFERROR(__xludf.DUMMYFUNCTION("""COMPUTED_VALUE"""),0.333333333333333)</f>
        <v>0.33333333333333298</v>
      </c>
      <c r="X1823" s="8">
        <f ca="1">IFERROR(__xludf.DUMMYFUNCTION("""COMPUTED_VALUE"""),1)</f>
        <v>1</v>
      </c>
      <c r="Y1823" s="12" t="str">
        <f ca="1">IFERROR(__xludf.DUMMYFUNCTION("""COMPUTED_VALUE"""),"Shot self in foot in car in parking lot")</f>
        <v>Shot self in foot in car in parking lot</v>
      </c>
      <c r="Z1823" s="12" t="str">
        <f ca="1">IFERROR(__xludf.DUMMYFUNCTION("""COMPUTED_VALUE"""),"Group of students were inside a vehicle in the parking lot. One accidentally fired a handgun striking himself in the foot.")</f>
        <v>Group of students were inside a vehicle in the parking lot. One accidentally fired a handgun striking himself in the foot.</v>
      </c>
      <c r="AA1823" s="8" t="str">
        <f ca="1">IFERROR(__xludf.DUMMYFUNCTION("""COMPUTED_VALUE"""),"Accidental")</f>
        <v>Accidental</v>
      </c>
      <c r="AB1823" s="8"/>
      <c r="AC1823" s="8" t="str">
        <f ca="1">IFERROR(__xludf.DUMMYFUNCTION("""COMPUTED_VALUE"""),"Yes")</f>
        <v>Yes</v>
      </c>
      <c r="AD1823" s="8" t="str">
        <f ca="1">IFERROR(__xludf.DUMMYFUNCTION("""COMPUTED_VALUE"""),"Neither")</f>
        <v>Neither</v>
      </c>
      <c r="AE1823" s="8" t="str">
        <f ca="1">IFERROR(__xludf.DUMMYFUNCTION("""COMPUTED_VALUE"""),"Yes")</f>
        <v>Yes</v>
      </c>
      <c r="AF1823" s="8" t="str">
        <f ca="1">IFERROR(__xludf.DUMMYFUNCTION("""COMPUTED_VALUE"""),"Multiple students in car")</f>
        <v>Multiple students in car</v>
      </c>
      <c r="AG1823" s="8" t="str">
        <f ca="1">IFERROR(__xludf.DUMMYFUNCTION("""COMPUTED_VALUE"""),"No")</f>
        <v>No</v>
      </c>
      <c r="AH1823" s="8" t="str">
        <f ca="1">IFERROR(__xludf.DUMMYFUNCTION("""COMPUTED_VALUE"""),"No")</f>
        <v>No</v>
      </c>
      <c r="AI1823" s="8" t="str">
        <f ca="1">IFERROR(__xludf.DUMMYFUNCTION("""COMPUTED_VALUE"""),"No")</f>
        <v>No</v>
      </c>
      <c r="AJ1823" s="8" t="str">
        <f ca="1">IFERROR(__xludf.DUMMYFUNCTION("""COMPUTED_VALUE"""),"No")</f>
        <v>No</v>
      </c>
      <c r="AK1823" s="8" t="str">
        <f ca="1">IFERROR(__xludf.DUMMYFUNCTION("""COMPUTED_VALUE"""),"No")</f>
        <v>No</v>
      </c>
      <c r="AL1823" s="8" t="str">
        <f ca="1">IFERROR(__xludf.DUMMYFUNCTION("""COMPUTED_VALUE"""),"No")</f>
        <v>No</v>
      </c>
      <c r="AM1823" s="8" t="str">
        <f ca="1">IFERROR(__xludf.DUMMYFUNCTION("""COMPUTED_VALUE"""),"No")</f>
        <v>No</v>
      </c>
      <c r="AN1823" s="8"/>
      <c r="AO1823" s="8" t="str">
        <f ca="1">IFERROR(__xludf.DUMMYFUNCTION("""COMPUTED_VALUE"""),"No")</f>
        <v>No</v>
      </c>
      <c r="AP1823" s="8"/>
      <c r="AQ1823" s="8" t="str">
        <f ca="1">IFERROR(__xludf.DUMMYFUNCTION("""COMPUTED_VALUE"""),"Unknown")</f>
        <v>Unknown</v>
      </c>
      <c r="AR1823" s="8" t="str">
        <f ca="1">IFERROR(__xludf.DUMMYFUNCTION("""COMPUTED_VALUE"""),"NA")</f>
        <v>NA</v>
      </c>
      <c r="AS1823" s="8">
        <f ca="1">IFERROR(__xludf.DUMMYFUNCTION("""COMPUTED_VALUE"""),1)</f>
        <v>1</v>
      </c>
      <c r="AT1823" s="8"/>
      <c r="AU1823" s="8">
        <f ca="1">IFERROR(__xludf.DUMMYFUNCTION("""COMPUTED_VALUE"""),34.21957)</f>
        <v>34.219569999999997</v>
      </c>
      <c r="AV1823" s="8">
        <f ca="1">IFERROR(__xludf.DUMMYFUNCTION("""COMPUTED_VALUE"""),-79.731579)</f>
        <v>-79.731578999999996</v>
      </c>
      <c r="AW1823" s="8"/>
      <c r="AX1823" s="8">
        <f ca="1">IFERROR(__xludf.DUMMYFUNCTION("""COMPUTED_VALUE"""),29506)</f>
        <v>29506</v>
      </c>
    </row>
    <row r="1824" spans="1:50" ht="105" x14ac:dyDescent="0.2">
      <c r="A1824" s="8" t="str">
        <f ca="1">IFERROR(__xludf.DUMMYFUNCTION("""COMPUTED_VALUE"""),"20170616ILWAC")</f>
        <v>20170616ILWAC</v>
      </c>
      <c r="B1824" s="8">
        <f ca="1">IFERROR(__xludf.DUMMYFUNCTION("""COMPUTED_VALUE"""),6)</f>
        <v>6</v>
      </c>
      <c r="C1824" s="8">
        <f ca="1">IFERROR(__xludf.DUMMYFUNCTION("""COMPUTED_VALUE"""),16)</f>
        <v>16</v>
      </c>
      <c r="D1824" s="8">
        <f ca="1">IFERROR(__xludf.DUMMYFUNCTION("""COMPUTED_VALUE"""),2017)</f>
        <v>2017</v>
      </c>
      <c r="E1824" s="9">
        <f ca="1">IFERROR(__xludf.DUMMYFUNCTION("""COMPUTED_VALUE"""),42902)</f>
        <v>42902</v>
      </c>
      <c r="F1824" s="8" t="str">
        <f ca="1">IFERROR(__xludf.DUMMYFUNCTION("""COMPUTED_VALUE"""),"Warren Elementary School")</f>
        <v>Warren Elementary School</v>
      </c>
      <c r="G1824" s="8">
        <f ca="1">IFERROR(__xludf.DUMMYFUNCTION("""COMPUTED_VALUE"""),0)</f>
        <v>0</v>
      </c>
      <c r="H1824" s="8">
        <f ca="1">IFERROR(__xludf.DUMMYFUNCTION("""COMPUTED_VALUE"""),2)</f>
        <v>2</v>
      </c>
      <c r="I1824" s="8">
        <f ca="1">IFERROR(__xludf.DUMMYFUNCTION("""COMPUTED_VALUE"""),2)</f>
        <v>2</v>
      </c>
      <c r="J1824" s="8">
        <f ca="1">IFERROR(__xludf.DUMMYFUNCTION("""COMPUTED_VALUE"""),0)</f>
        <v>0</v>
      </c>
      <c r="K1824" s="10" t="str">
        <f ca="1">IFERROR(__xludf.DUMMYFUNCTION("""COMPUTED_VALUE"""),"https://chicago.suntimes.com/crime/2-boys-man-charged-with-warren-elementary-school-shooting/")</f>
        <v>https://chicago.suntimes.com/crime/2-boys-man-charged-with-warren-elementary-school-shooting/</v>
      </c>
      <c r="L1824" s="8">
        <f ca="1">IFERROR(__xludf.DUMMYFUNCTION("""COMPUTED_VALUE"""),11)</f>
        <v>11</v>
      </c>
      <c r="M1824" s="8" t="str">
        <f ca="1">IFERROR(__xludf.DUMMYFUNCTION("""COMPUTED_VALUE"""),"National")</f>
        <v>National</v>
      </c>
      <c r="N1824" s="8">
        <f ca="1">IFERROR(__xludf.DUMMYFUNCTION("""COMPUTED_VALUE"""),2)</f>
        <v>2</v>
      </c>
      <c r="O1824" s="8" t="str">
        <f ca="1">IFERROR(__xludf.DUMMYFUNCTION("""COMPUTED_VALUE"""),"Summer")</f>
        <v>Summer</v>
      </c>
      <c r="P1824" s="8" t="str">
        <f ca="1">IFERROR(__xludf.DUMMYFUNCTION("""COMPUTED_VALUE"""),"Chicago")</f>
        <v>Chicago</v>
      </c>
      <c r="Q1824" s="8" t="str">
        <f ca="1">IFERROR(__xludf.DUMMYFUNCTION("""COMPUTED_VALUE"""),"IL")</f>
        <v>IL</v>
      </c>
      <c r="R1824" s="8" t="str">
        <f ca="1">IFERROR(__xludf.DUMMYFUNCTION("""COMPUTED_VALUE"""),"Elementary")</f>
        <v>Elementary</v>
      </c>
      <c r="S1824" s="8" t="str">
        <f ca="1">IFERROR(__xludf.DUMMYFUNCTION("""COMPUTED_VALUE"""),"Field (General)")</f>
        <v>Field (General)</v>
      </c>
      <c r="T1824" s="8" t="str">
        <f ca="1">IFERROR(__xludf.DUMMYFUNCTION("""COMPUTED_VALUE"""),"Outside on School Property")</f>
        <v>Outside on School Property</v>
      </c>
      <c r="U1824" s="8" t="str">
        <f ca="1">IFERROR(__xludf.DUMMYFUNCTION("""COMPUTED_VALUE"""),"Yes")</f>
        <v>Yes</v>
      </c>
      <c r="V1824" s="8" t="str">
        <f ca="1">IFERROR(__xludf.DUMMYFUNCTION("""COMPUTED_VALUE"""),"After School")</f>
        <v>After School</v>
      </c>
      <c r="W1824" s="11">
        <f ca="1">IFERROR(__xludf.DUMMYFUNCTION("""COMPUTED_VALUE"""),0.577083333333333)</f>
        <v>0.57708333333333295</v>
      </c>
      <c r="X1824" s="8">
        <f ca="1">IFERROR(__xludf.DUMMYFUNCTION("""COMPUTED_VALUE"""),1)</f>
        <v>1</v>
      </c>
      <c r="Y1824" s="12" t="str">
        <f ca="1">IFERROR(__xludf.DUMMYFUNCTION("""COMPUTED_VALUE"""),"Suspected gang attack on 2 former students; Victims were not the targets")</f>
        <v>Suspected gang attack on 2 former students; Victims were not the targets</v>
      </c>
      <c r="Z1824" s="12" t="str">
        <f ca="1">IFERROR(__xludf.DUMMYFUNCTION("""COMPUTED_VALUE"""),"2 former students tried to get into the end-of-the-year picnic next to the school. They were recognized and stopped by security guards. A black Jeep approached and shots were fired at the former students who ran toward the picnic and drew the gunfire to t"&amp;"he students. 2 girls were accidentally shot and wounded. Police pulled over the stolen vehicle 10 minutes later and arrested the suspects.")</f>
        <v>2 former students tried to get into the end-of-the-year picnic next to the school. They were recognized and stopped by security guards. A black Jeep approached and shots were fired at the former students who ran toward the picnic and drew the gunfire to the students. 2 girls were accidentally shot and wounded. Police pulled over the stolen vehicle 10 minutes later and arrested the suspects.</v>
      </c>
      <c r="AA1824" s="8" t="str">
        <f ca="1">IFERROR(__xludf.DUMMYFUNCTION("""COMPUTED_VALUE"""),"Drive-by Shooting")</f>
        <v>Drive-by Shooting</v>
      </c>
      <c r="AB1824" s="8"/>
      <c r="AC1824" s="8" t="str">
        <f ca="1">IFERROR(__xludf.DUMMYFUNCTION("""COMPUTED_VALUE"""),"Yes")</f>
        <v>Yes</v>
      </c>
      <c r="AD1824" s="8" t="str">
        <f ca="1">IFERROR(__xludf.DUMMYFUNCTION("""COMPUTED_VALUE"""),"Both")</f>
        <v>Both</v>
      </c>
      <c r="AE1824" s="8"/>
      <c r="AF1824" s="8"/>
      <c r="AG1824" s="8" t="str">
        <f ca="1">IFERROR(__xludf.DUMMYFUNCTION("""COMPUTED_VALUE"""),"No")</f>
        <v>No</v>
      </c>
      <c r="AH1824" s="8" t="str">
        <f ca="1">IFERROR(__xludf.DUMMYFUNCTION("""COMPUTED_VALUE"""),"No")</f>
        <v>No</v>
      </c>
      <c r="AI1824" s="8" t="str">
        <f ca="1">IFERROR(__xludf.DUMMYFUNCTION("""COMPUTED_VALUE"""),"No")</f>
        <v>No</v>
      </c>
      <c r="AJ1824" s="8" t="str">
        <f ca="1">IFERROR(__xludf.DUMMYFUNCTION("""COMPUTED_VALUE"""),"No")</f>
        <v>No</v>
      </c>
      <c r="AK1824" s="8" t="str">
        <f ca="1">IFERROR(__xludf.DUMMYFUNCTION("""COMPUTED_VALUE"""),"No")</f>
        <v>No</v>
      </c>
      <c r="AL1824" s="8" t="str">
        <f ca="1">IFERROR(__xludf.DUMMYFUNCTION("""COMPUTED_VALUE"""),"Yes")</f>
        <v>Yes</v>
      </c>
      <c r="AM1824" s="8" t="str">
        <f ca="1">IFERROR(__xludf.DUMMYFUNCTION("""COMPUTED_VALUE"""),"No")</f>
        <v>No</v>
      </c>
      <c r="AN1824" s="8"/>
      <c r="AO1824" s="8" t="str">
        <f ca="1">IFERROR(__xludf.DUMMYFUNCTION("""COMPUTED_VALUE"""),"No")</f>
        <v>No</v>
      </c>
      <c r="AP1824" s="8" t="str">
        <f ca="1">IFERROR(__xludf.DUMMYFUNCTION("""COMPUTED_VALUE"""),"Yes")</f>
        <v>Yes</v>
      </c>
      <c r="AQ1824" s="8" t="str">
        <f ca="1">IFERROR(__xludf.DUMMYFUNCTION("""COMPUTED_VALUE"""),"Unknown")</f>
        <v>Unknown</v>
      </c>
      <c r="AR1824" s="8" t="str">
        <f ca="1">IFERROR(__xludf.DUMMYFUNCTION("""COMPUTED_VALUE"""),"NA")</f>
        <v>NA</v>
      </c>
      <c r="AS1824" s="8"/>
      <c r="AT1824" s="8" t="str">
        <f ca="1">IFERROR(__xludf.DUMMYFUNCTION("""COMPUTED_VALUE"""),"Yes")</f>
        <v>Yes</v>
      </c>
      <c r="AU1824" s="8">
        <f ca="1">IFERROR(__xludf.DUMMYFUNCTION("""COMPUTED_VALUE"""),41.726922)</f>
        <v>41.726922000000002</v>
      </c>
      <c r="AV1824" s="8">
        <f ca="1">IFERROR(__xludf.DUMMYFUNCTION("""COMPUTED_VALUE"""),-87.575184)</f>
        <v>-87.575183999999993</v>
      </c>
      <c r="AW1824" s="8"/>
      <c r="AX1824" s="8">
        <f ca="1">IFERROR(__xludf.DUMMYFUNCTION("""COMPUTED_VALUE"""),60617)</f>
        <v>60617</v>
      </c>
    </row>
    <row r="1825" spans="1:50" ht="75" x14ac:dyDescent="0.2">
      <c r="A1825" s="8" t="str">
        <f ca="1">IFERROR(__xludf.DUMMYFUNCTION("""COMPUTED_VALUE"""),"20170526OKMCT")</f>
        <v>20170526OKMCT</v>
      </c>
      <c r="B1825" s="8">
        <f ca="1">IFERROR(__xludf.DUMMYFUNCTION("""COMPUTED_VALUE"""),5)</f>
        <v>5</v>
      </c>
      <c r="C1825" s="8">
        <f ca="1">IFERROR(__xludf.DUMMYFUNCTION("""COMPUTED_VALUE"""),26)</f>
        <v>26</v>
      </c>
      <c r="D1825" s="8">
        <f ca="1">IFERROR(__xludf.DUMMYFUNCTION("""COMPUTED_VALUE"""),2017)</f>
        <v>2017</v>
      </c>
      <c r="E1825" s="9">
        <f ca="1">IFERROR(__xludf.DUMMYFUNCTION("""COMPUTED_VALUE"""),42881)</f>
        <v>42881</v>
      </c>
      <c r="F1825" s="8" t="str">
        <f ca="1">IFERROR(__xludf.DUMMYFUNCTION("""COMPUTED_VALUE"""),"McLain High School")</f>
        <v>McLain High School</v>
      </c>
      <c r="G1825" s="8">
        <f ca="1">IFERROR(__xludf.DUMMYFUNCTION("""COMPUTED_VALUE"""),0)</f>
        <v>0</v>
      </c>
      <c r="H1825" s="8">
        <f ca="1">IFERROR(__xludf.DUMMYFUNCTION("""COMPUTED_VALUE"""),1)</f>
        <v>1</v>
      </c>
      <c r="I1825" s="8">
        <f ca="1">IFERROR(__xludf.DUMMYFUNCTION("""COMPUTED_VALUE"""),1)</f>
        <v>1</v>
      </c>
      <c r="J1825" s="8">
        <f ca="1">IFERROR(__xludf.DUMMYFUNCTION("""COMPUTED_VALUE"""),0)</f>
        <v>0</v>
      </c>
      <c r="K1825" s="10" t="str">
        <f ca="1">IFERROR(__xludf.DUMMYFUNCTION("""COMPUTED_VALUE"""),"https://www.fox23.com/news/tulsa-police-respond-to-reports-of-shots-fired-at-mcclain-high-school/436311154")</f>
        <v>https://www.fox23.com/news/tulsa-police-respond-to-reports-of-shots-fired-at-mcclain-high-school/436311154</v>
      </c>
      <c r="L1825" s="8"/>
      <c r="M1825" s="8"/>
      <c r="N1825" s="8">
        <f ca="1">IFERROR(__xludf.DUMMYFUNCTION("""COMPUTED_VALUE"""),3)</f>
        <v>3</v>
      </c>
      <c r="O1825" s="8" t="str">
        <f ca="1">IFERROR(__xludf.DUMMYFUNCTION("""COMPUTED_VALUE"""),"Spring")</f>
        <v>Spring</v>
      </c>
      <c r="P1825" s="8" t="str">
        <f ca="1">IFERROR(__xludf.DUMMYFUNCTION("""COMPUTED_VALUE"""),"Tulsa")</f>
        <v>Tulsa</v>
      </c>
      <c r="Q1825" s="8" t="str">
        <f ca="1">IFERROR(__xludf.DUMMYFUNCTION("""COMPUTED_VALUE"""),"OK")</f>
        <v>OK</v>
      </c>
      <c r="R1825" s="8" t="str">
        <f ca="1">IFERROR(__xludf.DUMMYFUNCTION("""COMPUTED_VALUE"""),"High")</f>
        <v>High</v>
      </c>
      <c r="S1825" s="8" t="str">
        <f ca="1">IFERROR(__xludf.DUMMYFUNCTION("""COMPUTED_VALUE"""),"Football Field/Track")</f>
        <v>Football Field/Track</v>
      </c>
      <c r="T1825" s="8" t="str">
        <f ca="1">IFERROR(__xludf.DUMMYFUNCTION("""COMPUTED_VALUE"""),"Outside on School Property")</f>
        <v>Outside on School Property</v>
      </c>
      <c r="U1825" s="8" t="str">
        <f ca="1">IFERROR(__xludf.DUMMYFUNCTION("""COMPUTED_VALUE"""),"No")</f>
        <v>No</v>
      </c>
      <c r="V1825" s="8" t="str">
        <f ca="1">IFERROR(__xludf.DUMMYFUNCTION("""COMPUTED_VALUE"""),"Sport Event")</f>
        <v>Sport Event</v>
      </c>
      <c r="W1825" s="8"/>
      <c r="X1825" s="8">
        <f ca="1">IFERROR(__xludf.DUMMYFUNCTION("""COMPUTED_VALUE"""),1)</f>
        <v>1</v>
      </c>
      <c r="Y1825" s="12" t="str">
        <f ca="1">IFERROR(__xludf.DUMMYFUNCTION("""COMPUTED_VALUE"""),"Student shot another student during a football game inside the stadium")</f>
        <v>Student shot another student during a football game inside the stadium</v>
      </c>
      <c r="Z1825" s="12" t="str">
        <f ca="1">IFERROR(__xludf.DUMMYFUNCTION("""COMPUTED_VALUE"""),"Student shot another student in the head during a football game. 6 campus police officers and 2 Tulsa PD officers were assigned to the game. Shooter was arrested after an extensive search.")</f>
        <v>Student shot another student in the head during a football game. 6 campus police officers and 2 Tulsa PD officers were assigned to the game. Shooter was arrested after an extensive search.</v>
      </c>
      <c r="AA1825" s="8" t="str">
        <f ca="1">IFERROR(__xludf.DUMMYFUNCTION("""COMPUTED_VALUE"""),"Escalation of Dispute")</f>
        <v>Escalation of Dispute</v>
      </c>
      <c r="AB1825" s="8"/>
      <c r="AC1825" s="8" t="str">
        <f ca="1">IFERROR(__xludf.DUMMYFUNCTION("""COMPUTED_VALUE"""),"Yes")</f>
        <v>Yes</v>
      </c>
      <c r="AD1825" s="8" t="str">
        <f ca="1">IFERROR(__xludf.DUMMYFUNCTION("""COMPUTED_VALUE"""),"Victims Targeted")</f>
        <v>Victims Targeted</v>
      </c>
      <c r="AE1825" s="8" t="str">
        <f ca="1">IFERROR(__xludf.DUMMYFUNCTION("""COMPUTED_VALUE"""),"No")</f>
        <v>No</v>
      </c>
      <c r="AF1825" s="8"/>
      <c r="AG1825" s="8" t="str">
        <f ca="1">IFERROR(__xludf.DUMMYFUNCTION("""COMPUTED_VALUE"""),"No")</f>
        <v>No</v>
      </c>
      <c r="AH1825" s="8" t="str">
        <f ca="1">IFERROR(__xludf.DUMMYFUNCTION("""COMPUTED_VALUE"""),"No")</f>
        <v>No</v>
      </c>
      <c r="AI1825" s="8" t="str">
        <f ca="1">IFERROR(__xludf.DUMMYFUNCTION("""COMPUTED_VALUE"""),"No")</f>
        <v>No</v>
      </c>
      <c r="AJ1825" s="8"/>
      <c r="AK1825" s="8" t="str">
        <f ca="1">IFERROR(__xludf.DUMMYFUNCTION("""COMPUTED_VALUE"""),"No")</f>
        <v>No</v>
      </c>
      <c r="AL1825" s="8"/>
      <c r="AM1825" s="8" t="str">
        <f ca="1">IFERROR(__xludf.DUMMYFUNCTION("""COMPUTED_VALUE"""),"No")</f>
        <v>No</v>
      </c>
      <c r="AN1825" s="8"/>
      <c r="AO1825" s="8" t="str">
        <f ca="1">IFERROR(__xludf.DUMMYFUNCTION("""COMPUTED_VALUE"""),"No")</f>
        <v>No</v>
      </c>
      <c r="AP1825" s="8" t="str">
        <f ca="1">IFERROR(__xludf.DUMMYFUNCTION("""COMPUTED_VALUE"""),"Yes")</f>
        <v>Yes</v>
      </c>
      <c r="AQ1825" s="8" t="str">
        <f ca="1">IFERROR(__xludf.DUMMYFUNCTION("""COMPUTED_VALUE"""),"None")</f>
        <v>None</v>
      </c>
      <c r="AR1825" s="8" t="str">
        <f ca="1">IFERROR(__xludf.DUMMYFUNCTION("""COMPUTED_VALUE"""),"NA")</f>
        <v>NA</v>
      </c>
      <c r="AS1825" s="8" t="str">
        <f ca="1">IFERROR(__xludf.DUMMYFUNCTION("""COMPUTED_VALUE"""),"&lt;10")</f>
        <v>&lt;10</v>
      </c>
      <c r="AT1825" s="8"/>
      <c r="AU1825" s="8">
        <f ca="1">IFERROR(__xludf.DUMMYFUNCTION("""COMPUTED_VALUE"""),36.22499)</f>
        <v>36.224989999999998</v>
      </c>
      <c r="AV1825" s="8">
        <f ca="1">IFERROR(__xludf.DUMMYFUNCTION("""COMPUTED_VALUE"""),-95.974045)</f>
        <v>-95.974045000000004</v>
      </c>
      <c r="AW1825" s="8"/>
      <c r="AX1825" s="8">
        <f ca="1">IFERROR(__xludf.DUMMYFUNCTION("""COMPUTED_VALUE"""),74126)</f>
        <v>74126</v>
      </c>
    </row>
    <row r="1826" spans="1:50" ht="45" x14ac:dyDescent="0.2">
      <c r="A1826" s="8" t="str">
        <f ca="1">IFERROR(__xludf.DUMMYFUNCTION("""COMPUTED_VALUE"""),"20170524NEMCO")</f>
        <v>20170524NEMCO</v>
      </c>
      <c r="B1826" s="8">
        <f ca="1">IFERROR(__xludf.DUMMYFUNCTION("""COMPUTED_VALUE"""),5)</f>
        <v>5</v>
      </c>
      <c r="C1826" s="8">
        <f ca="1">IFERROR(__xludf.DUMMYFUNCTION("""COMPUTED_VALUE"""),24)</f>
        <v>24</v>
      </c>
      <c r="D1826" s="8">
        <f ca="1">IFERROR(__xludf.DUMMYFUNCTION("""COMPUTED_VALUE"""),2017)</f>
        <v>2017</v>
      </c>
      <c r="E1826" s="9">
        <f ca="1">IFERROR(__xludf.DUMMYFUNCTION("""COMPUTED_VALUE"""),42879)</f>
        <v>42879</v>
      </c>
      <c r="F1826" s="8" t="str">
        <f ca="1">IFERROR(__xludf.DUMMYFUNCTION("""COMPUTED_VALUE"""),"McMillan Middle School")</f>
        <v>McMillan Middle School</v>
      </c>
      <c r="G1826" s="8">
        <f ca="1">IFERROR(__xludf.DUMMYFUNCTION("""COMPUTED_VALUE"""),1)</f>
        <v>1</v>
      </c>
      <c r="H1826" s="8">
        <f ca="1">IFERROR(__xludf.DUMMYFUNCTION("""COMPUTED_VALUE"""),0)</f>
        <v>0</v>
      </c>
      <c r="I1826" s="8">
        <f ca="1">IFERROR(__xludf.DUMMYFUNCTION("""COMPUTED_VALUE"""),1)</f>
        <v>1</v>
      </c>
      <c r="J1826" s="8">
        <f ca="1">IFERROR(__xludf.DUMMYFUNCTION("""COMPUTED_VALUE"""),0)</f>
        <v>0</v>
      </c>
      <c r="K1826" s="8" t="str">
        <f ca="1">IFERROR(__xludf.DUMMYFUNCTION("""COMPUTED_VALUE"""),"https://www.3newsnow.com/news/local-news/one-man-injured-in-north-omaha-shooting https://www.msn.com/en-us/news/crime/omaha-man-sentenced-in-2017-shooting-death-outside-school/ar-AAzRQTw")</f>
        <v>https://www.3newsnow.com/news/local-news/one-man-injured-in-north-omaha-shooting https://www.msn.com/en-us/news/crime/omaha-man-sentenced-in-2017-shooting-death-outside-school/ar-AAzRQTw</v>
      </c>
      <c r="L1826" s="8"/>
      <c r="M1826" s="8"/>
      <c r="N1826" s="8">
        <f ca="1">IFERROR(__xludf.DUMMYFUNCTION("""COMPUTED_VALUE"""),3)</f>
        <v>3</v>
      </c>
      <c r="O1826" s="8" t="str">
        <f ca="1">IFERROR(__xludf.DUMMYFUNCTION("""COMPUTED_VALUE"""),"Spring")</f>
        <v>Spring</v>
      </c>
      <c r="P1826" s="8" t="str">
        <f ca="1">IFERROR(__xludf.DUMMYFUNCTION("""COMPUTED_VALUE"""),"Omaha")</f>
        <v>Omaha</v>
      </c>
      <c r="Q1826" s="8" t="str">
        <f ca="1">IFERROR(__xludf.DUMMYFUNCTION("""COMPUTED_VALUE"""),"NE")</f>
        <v>NE</v>
      </c>
      <c r="R1826" s="8" t="str">
        <f ca="1">IFERROR(__xludf.DUMMYFUNCTION("""COMPUTED_VALUE"""),"Middle")</f>
        <v>Middle</v>
      </c>
      <c r="S1826" s="8" t="str">
        <f ca="1">IFERROR(__xludf.DUMMYFUNCTION("""COMPUTED_VALUE"""),"Parking Lot")</f>
        <v>Parking Lot</v>
      </c>
      <c r="T1826" s="8" t="str">
        <f ca="1">IFERROR(__xludf.DUMMYFUNCTION("""COMPUTED_VALUE"""),"Outside on School Property")</f>
        <v>Outside on School Property</v>
      </c>
      <c r="U1826" s="8" t="str">
        <f ca="1">IFERROR(__xludf.DUMMYFUNCTION("""COMPUTED_VALUE"""),"No")</f>
        <v>No</v>
      </c>
      <c r="V1826" s="8" t="str">
        <f ca="1">IFERROR(__xludf.DUMMYFUNCTION("""COMPUTED_VALUE"""),"Evening")</f>
        <v>Evening</v>
      </c>
      <c r="W1826" s="11">
        <f ca="1">IFERROR(__xludf.DUMMYFUNCTION("""COMPUTED_VALUE"""),0.833333333333333)</f>
        <v>0.83333333333333304</v>
      </c>
      <c r="X1826" s="8">
        <f ca="1">IFERROR(__xludf.DUMMYFUNCTION("""COMPUTED_VALUE"""),1)</f>
        <v>1</v>
      </c>
      <c r="Y1826" s="12" t="str">
        <f ca="1">IFERROR(__xludf.DUMMYFUNCTION("""COMPUTED_VALUE"""),"Shot in chest in school parking lot during robbery")</f>
        <v>Shot in chest in school parking lot during robbery</v>
      </c>
      <c r="Z1826" s="12" t="str">
        <f ca="1">IFERROR(__xludf.DUMMYFUNCTION("""COMPUTED_VALUE"""),"21YOM shot in the parking lot during a robbery by a 51 YOM")</f>
        <v>21YOM shot in the parking lot during a robbery by a 51 YOM</v>
      </c>
      <c r="AA1826" s="8" t="str">
        <f ca="1">IFERROR(__xludf.DUMMYFUNCTION("""COMPUTED_VALUE"""),"Illegal Activity")</f>
        <v>Illegal Activity</v>
      </c>
      <c r="AB1826" s="8"/>
      <c r="AC1826" s="8" t="str">
        <f ca="1">IFERROR(__xludf.DUMMYFUNCTION("""COMPUTED_VALUE"""),"No")</f>
        <v>No</v>
      </c>
      <c r="AD1826" s="8" t="str">
        <f ca="1">IFERROR(__xludf.DUMMYFUNCTION("""COMPUTED_VALUE"""),"Victims Targeted")</f>
        <v>Victims Targeted</v>
      </c>
      <c r="AE1826" s="8"/>
      <c r="AF1826" s="8"/>
      <c r="AG1826" s="8" t="str">
        <f ca="1">IFERROR(__xludf.DUMMYFUNCTION("""COMPUTED_VALUE"""),"No")</f>
        <v>No</v>
      </c>
      <c r="AH1826" s="8" t="str">
        <f ca="1">IFERROR(__xludf.DUMMYFUNCTION("""COMPUTED_VALUE"""),"No")</f>
        <v>No</v>
      </c>
      <c r="AI1826" s="8" t="str">
        <f ca="1">IFERROR(__xludf.DUMMYFUNCTION("""COMPUTED_VALUE"""),"No")</f>
        <v>No</v>
      </c>
      <c r="AJ1826" s="8" t="str">
        <f ca="1">IFERROR(__xludf.DUMMYFUNCTION("""COMPUTED_VALUE"""),"No")</f>
        <v>No</v>
      </c>
      <c r="AK1826" s="8" t="str">
        <f ca="1">IFERROR(__xludf.DUMMYFUNCTION("""COMPUTED_VALUE"""),"No")</f>
        <v>No</v>
      </c>
      <c r="AL1826" s="8" t="str">
        <f ca="1">IFERROR(__xludf.DUMMYFUNCTION("""COMPUTED_VALUE"""),"No")</f>
        <v>No</v>
      </c>
      <c r="AM1826" s="8" t="str">
        <f ca="1">IFERROR(__xludf.DUMMYFUNCTION("""COMPUTED_VALUE"""),"No")</f>
        <v>No</v>
      </c>
      <c r="AN1826" s="8"/>
      <c r="AO1826" s="8" t="str">
        <f ca="1">IFERROR(__xludf.DUMMYFUNCTION("""COMPUTED_VALUE"""),"No")</f>
        <v>No</v>
      </c>
      <c r="AP1826" s="8"/>
      <c r="AQ1826" s="8" t="str">
        <f ca="1">IFERROR(__xludf.DUMMYFUNCTION("""COMPUTED_VALUE"""),"Unknown")</f>
        <v>Unknown</v>
      </c>
      <c r="AR1826" s="8" t="str">
        <f ca="1">IFERROR(__xludf.DUMMYFUNCTION("""COMPUTED_VALUE"""),"NA")</f>
        <v>NA</v>
      </c>
      <c r="AS1826" s="8"/>
      <c r="AT1826" s="8"/>
      <c r="AU1826" s="8">
        <f ca="1">IFERROR(__xludf.DUMMYFUNCTION("""COMPUTED_VALUE"""),41.318196)</f>
        <v>41.318196</v>
      </c>
      <c r="AV1826" s="8">
        <f ca="1">IFERROR(__xludf.DUMMYFUNCTION("""COMPUTED_VALUE"""),-95.970139)</f>
        <v>-95.970139000000003</v>
      </c>
      <c r="AW1826" s="8"/>
      <c r="AX1826" s="8">
        <f ca="1">IFERROR(__xludf.DUMMYFUNCTION("""COMPUTED_VALUE"""),68112)</f>
        <v>68112</v>
      </c>
    </row>
    <row r="1827" spans="1:50" ht="75" x14ac:dyDescent="0.2">
      <c r="A1827" s="8" t="str">
        <f ca="1">IFERROR(__xludf.DUMMYFUNCTION("""COMPUTED_VALUE"""),"20170524ALGRG")</f>
        <v>20170524ALGRG</v>
      </c>
      <c r="B1827" s="8">
        <f ca="1">IFERROR(__xludf.DUMMYFUNCTION("""COMPUTED_VALUE"""),5)</f>
        <v>5</v>
      </c>
      <c r="C1827" s="8">
        <f ca="1">IFERROR(__xludf.DUMMYFUNCTION("""COMPUTED_VALUE"""),24)</f>
        <v>24</v>
      </c>
      <c r="D1827" s="8">
        <f ca="1">IFERROR(__xludf.DUMMYFUNCTION("""COMPUTED_VALUE"""),2017)</f>
        <v>2017</v>
      </c>
      <c r="E1827" s="9">
        <f ca="1">IFERROR(__xludf.DUMMYFUNCTION("""COMPUTED_VALUE"""),42879)</f>
        <v>42879</v>
      </c>
      <c r="F1827" s="8" t="str">
        <f ca="1">IFERROR(__xludf.DUMMYFUNCTION("""COMPUTED_VALUE"""),"Greensboro High School")</f>
        <v>Greensboro High School</v>
      </c>
      <c r="G1827" s="8">
        <f ca="1">IFERROR(__xludf.DUMMYFUNCTION("""COMPUTED_VALUE"""),0)</f>
        <v>0</v>
      </c>
      <c r="H1827" s="8">
        <f ca="1">IFERROR(__xludf.DUMMYFUNCTION("""COMPUTED_VALUE"""),0)</f>
        <v>0</v>
      </c>
      <c r="I1827" s="8">
        <f ca="1">IFERROR(__xludf.DUMMYFUNCTION("""COMPUTED_VALUE"""),0)</f>
        <v>0</v>
      </c>
      <c r="J1827" s="8">
        <f ca="1">IFERROR(__xludf.DUMMYFUNCTION("""COMPUTED_VALUE"""),0)</f>
        <v>0</v>
      </c>
      <c r="K1827" s="10" t="str">
        <f ca="1">IFERROR(__xludf.DUMMYFUNCTION("""COMPUTED_VALUE"""),"http://abc3340.com/news/local/greensboro-hs-student-in-police-custody-after-shooting-at-another-student")</f>
        <v>http://abc3340.com/news/local/greensboro-hs-student-in-police-custody-after-shooting-at-another-student</v>
      </c>
      <c r="L1827" s="8">
        <f ca="1">IFERROR(__xludf.DUMMYFUNCTION("""COMPUTED_VALUE"""),5)</f>
        <v>5</v>
      </c>
      <c r="M1827" s="8" t="str">
        <f ca="1">IFERROR(__xludf.DUMMYFUNCTION("""COMPUTED_VALUE"""),"Local")</f>
        <v>Local</v>
      </c>
      <c r="N1827" s="8">
        <f ca="1">IFERROR(__xludf.DUMMYFUNCTION("""COMPUTED_VALUE"""),2)</f>
        <v>2</v>
      </c>
      <c r="O1827" s="8" t="str">
        <f ca="1">IFERROR(__xludf.DUMMYFUNCTION("""COMPUTED_VALUE"""),"Spring")</f>
        <v>Spring</v>
      </c>
      <c r="P1827" s="8" t="str">
        <f ca="1">IFERROR(__xludf.DUMMYFUNCTION("""COMPUTED_VALUE"""),"Greensboro")</f>
        <v>Greensboro</v>
      </c>
      <c r="Q1827" s="8" t="str">
        <f ca="1">IFERROR(__xludf.DUMMYFUNCTION("""COMPUTED_VALUE"""),"AL")</f>
        <v>AL</v>
      </c>
      <c r="R1827" s="8" t="str">
        <f ca="1">IFERROR(__xludf.DUMMYFUNCTION("""COMPUTED_VALUE"""),"High")</f>
        <v>High</v>
      </c>
      <c r="S1827" s="8" t="str">
        <f ca="1">IFERROR(__xludf.DUMMYFUNCTION("""COMPUTED_VALUE"""),"Front of School")</f>
        <v>Front of School</v>
      </c>
      <c r="T1827" s="8" t="str">
        <f ca="1">IFERROR(__xludf.DUMMYFUNCTION("""COMPUTED_VALUE"""),"Outside on School Property")</f>
        <v>Outside on School Property</v>
      </c>
      <c r="U1827" s="8" t="str">
        <f ca="1">IFERROR(__xludf.DUMMYFUNCTION("""COMPUTED_VALUE"""),"Yes")</f>
        <v>Yes</v>
      </c>
      <c r="V1827" s="8" t="str">
        <f ca="1">IFERROR(__xludf.DUMMYFUNCTION("""COMPUTED_VALUE"""),"Morning Classes")</f>
        <v>Morning Classes</v>
      </c>
      <c r="W1827" s="11">
        <f ca="1">IFERROR(__xludf.DUMMYFUNCTION("""COMPUTED_VALUE"""),0.479166666666666)</f>
        <v>0.47916666666666602</v>
      </c>
      <c r="X1827" s="8">
        <f ca="1">IFERROR(__xludf.DUMMYFUNCTION("""COMPUTED_VALUE"""),1)</f>
        <v>1</v>
      </c>
      <c r="Y1827" s="12" t="str">
        <f ca="1">IFERROR(__xludf.DUMMYFUNCTION("""COMPUTED_VALUE"""),"Shot fired during argument outside of school")</f>
        <v>Shot fired during argument outside of school</v>
      </c>
      <c r="Z1827" s="12" t="str">
        <f ca="1">IFERROR(__xludf.DUMMYFUNCTION("""COMPUTED_VALUE"""),"2 students (both minors) were arguing at the school bus stop in front of the school. One of them fired the gun at the other student but missed. A 3rd student tackled the shooter and a teacher helped retrieve the gun. No one was hurt, the shooter was arres"&amp;"ted.")</f>
        <v>2 students (both minors) were arguing at the school bus stop in front of the school. One of them fired the gun at the other student but missed. A 3rd student tackled the shooter and a teacher helped retrieve the gun. No one was hurt, the shooter was arrested.</v>
      </c>
      <c r="AA1827" s="8" t="str">
        <f ca="1">IFERROR(__xludf.DUMMYFUNCTION("""COMPUTED_VALUE"""),"Escalation of Dispute")</f>
        <v>Escalation of Dispute</v>
      </c>
      <c r="AB1827" s="8"/>
      <c r="AC1827" s="8" t="str">
        <f ca="1">IFERROR(__xludf.DUMMYFUNCTION("""COMPUTED_VALUE"""),"Yes")</f>
        <v>Yes</v>
      </c>
      <c r="AD1827" s="8" t="str">
        <f ca="1">IFERROR(__xludf.DUMMYFUNCTION("""COMPUTED_VALUE"""),"Victims Targeted")</f>
        <v>Victims Targeted</v>
      </c>
      <c r="AE1827" s="8" t="str">
        <f ca="1">IFERROR(__xludf.DUMMYFUNCTION("""COMPUTED_VALUE"""),"No")</f>
        <v>No</v>
      </c>
      <c r="AF1827" s="8"/>
      <c r="AG1827" s="8" t="str">
        <f ca="1">IFERROR(__xludf.DUMMYFUNCTION("""COMPUTED_VALUE"""),"No")</f>
        <v>No</v>
      </c>
      <c r="AH1827" s="8" t="str">
        <f ca="1">IFERROR(__xludf.DUMMYFUNCTION("""COMPUTED_VALUE"""),"No")</f>
        <v>No</v>
      </c>
      <c r="AI1827" s="8" t="str">
        <f ca="1">IFERROR(__xludf.DUMMYFUNCTION("""COMPUTED_VALUE"""),"No")</f>
        <v>No</v>
      </c>
      <c r="AJ1827" s="8"/>
      <c r="AK1827" s="8"/>
      <c r="AL1827" s="8" t="str">
        <f ca="1">IFERROR(__xludf.DUMMYFUNCTION("""COMPUTED_VALUE"""),"No")</f>
        <v>No</v>
      </c>
      <c r="AM1827" s="8" t="str">
        <f ca="1">IFERROR(__xludf.DUMMYFUNCTION("""COMPUTED_VALUE"""),"No")</f>
        <v>No</v>
      </c>
      <c r="AN1827" s="8"/>
      <c r="AO1827" s="8" t="str">
        <f ca="1">IFERROR(__xludf.DUMMYFUNCTION("""COMPUTED_VALUE"""),"No")</f>
        <v>No</v>
      </c>
      <c r="AP1827" s="8" t="str">
        <f ca="1">IFERROR(__xludf.DUMMYFUNCTION("""COMPUTED_VALUE"""),"No")</f>
        <v>No</v>
      </c>
      <c r="AQ1827" s="8" t="str">
        <f ca="1">IFERROR(__xludf.DUMMYFUNCTION("""COMPUTED_VALUE"""),"Unknown")</f>
        <v>Unknown</v>
      </c>
      <c r="AR1827" s="8" t="str">
        <f ca="1">IFERROR(__xludf.DUMMYFUNCTION("""COMPUTED_VALUE"""),"NA")</f>
        <v>NA</v>
      </c>
      <c r="AS1827" s="8">
        <f ca="1">IFERROR(__xludf.DUMMYFUNCTION("""COMPUTED_VALUE"""),1)</f>
        <v>1</v>
      </c>
      <c r="AT1827" s="8" t="str">
        <f ca="1">IFERROR(__xludf.DUMMYFUNCTION("""COMPUTED_VALUE"""),"No")</f>
        <v>No</v>
      </c>
      <c r="AU1827" s="8">
        <f ca="1">IFERROR(__xludf.DUMMYFUNCTION("""COMPUTED_VALUE"""),32.70779)</f>
        <v>32.707790000000003</v>
      </c>
      <c r="AV1827" s="8">
        <f ca="1">IFERROR(__xludf.DUMMYFUNCTION("""COMPUTED_VALUE"""),-87.588257)</f>
        <v>-87.588256999999999</v>
      </c>
      <c r="AW1827" s="8"/>
      <c r="AX1827" s="8">
        <f ca="1">IFERROR(__xludf.DUMMYFUNCTION("""COMPUTED_VALUE"""),36744)</f>
        <v>36744</v>
      </c>
    </row>
    <row r="1828" spans="1:50" ht="45" x14ac:dyDescent="0.2">
      <c r="A1828" s="8" t="str">
        <f ca="1">IFERROR(__xludf.DUMMYFUNCTION("""COMPUTED_VALUE"""),"20170523TXKEK")</f>
        <v>20170523TXKEK</v>
      </c>
      <c r="B1828" s="8">
        <f ca="1">IFERROR(__xludf.DUMMYFUNCTION("""COMPUTED_VALUE"""),5)</f>
        <v>5</v>
      </c>
      <c r="C1828" s="8">
        <f ca="1">IFERROR(__xludf.DUMMYFUNCTION("""COMPUTED_VALUE"""),23)</f>
        <v>23</v>
      </c>
      <c r="D1828" s="8">
        <f ca="1">IFERROR(__xludf.DUMMYFUNCTION("""COMPUTED_VALUE"""),2017)</f>
        <v>2017</v>
      </c>
      <c r="E1828" s="9">
        <f ca="1">IFERROR(__xludf.DUMMYFUNCTION("""COMPUTED_VALUE"""),42878)</f>
        <v>42878</v>
      </c>
      <c r="F1828" s="8" t="str">
        <f ca="1">IFERROR(__xludf.DUMMYFUNCTION("""COMPUTED_VALUE"""),"Kirbyville High School")</f>
        <v>Kirbyville High School</v>
      </c>
      <c r="G1828" s="8">
        <f ca="1">IFERROR(__xludf.DUMMYFUNCTION("""COMPUTED_VALUE"""),0)</f>
        <v>0</v>
      </c>
      <c r="H1828" s="8">
        <f ca="1">IFERROR(__xludf.DUMMYFUNCTION("""COMPUTED_VALUE"""),0)</f>
        <v>0</v>
      </c>
      <c r="I1828" s="8">
        <f ca="1">IFERROR(__xludf.DUMMYFUNCTION("""COMPUTED_VALUE"""),0)</f>
        <v>0</v>
      </c>
      <c r="J1828" s="8">
        <f ca="1">IFERROR(__xludf.DUMMYFUNCTION("""COMPUTED_VALUE"""),1)</f>
        <v>1</v>
      </c>
      <c r="K1828" s="10" t="str">
        <f ca="1">IFERROR(__xludf.DUMMYFUNCTION("""COMPUTED_VALUE"""),"http://www.ktre.com/story/35506610/kirbyville-high-school-principal-resigns-then-shoots-kills-self-in-parking-lot")</f>
        <v>http://www.ktre.com/story/35506610/kirbyville-high-school-principal-resigns-then-shoots-kills-self-in-parking-lot</v>
      </c>
      <c r="L1828" s="8"/>
      <c r="M1828" s="8"/>
      <c r="N1828" s="8">
        <f ca="1">IFERROR(__xludf.DUMMYFUNCTION("""COMPUTED_VALUE"""),4)</f>
        <v>4</v>
      </c>
      <c r="O1828" s="8" t="str">
        <f ca="1">IFERROR(__xludf.DUMMYFUNCTION("""COMPUTED_VALUE"""),"Spring")</f>
        <v>Spring</v>
      </c>
      <c r="P1828" s="8" t="str">
        <f ca="1">IFERROR(__xludf.DUMMYFUNCTION("""COMPUTED_VALUE"""),"Kirbyville")</f>
        <v>Kirbyville</v>
      </c>
      <c r="Q1828" s="8" t="str">
        <f ca="1">IFERROR(__xludf.DUMMYFUNCTION("""COMPUTED_VALUE"""),"TX")</f>
        <v>TX</v>
      </c>
      <c r="R1828" s="8" t="str">
        <f ca="1">IFERROR(__xludf.DUMMYFUNCTION("""COMPUTED_VALUE"""),"High")</f>
        <v>High</v>
      </c>
      <c r="S1828" s="8" t="str">
        <f ca="1">IFERROR(__xludf.DUMMYFUNCTION("""COMPUTED_VALUE"""),"Parking Lot")</f>
        <v>Parking Lot</v>
      </c>
      <c r="T1828" s="8" t="str">
        <f ca="1">IFERROR(__xludf.DUMMYFUNCTION("""COMPUTED_VALUE"""),"Outside on School Property")</f>
        <v>Outside on School Property</v>
      </c>
      <c r="U1828" s="8" t="str">
        <f ca="1">IFERROR(__xludf.DUMMYFUNCTION("""COMPUTED_VALUE"""),"No")</f>
        <v>No</v>
      </c>
      <c r="V1828" s="8" t="str">
        <f ca="1">IFERROR(__xludf.DUMMYFUNCTION("""COMPUTED_VALUE"""),"After School")</f>
        <v>After School</v>
      </c>
      <c r="W1828" s="11">
        <f ca="1">IFERROR(__xludf.DUMMYFUNCTION("""COMPUTED_VALUE"""),0.666666666666666)</f>
        <v>0.66666666666666596</v>
      </c>
      <c r="X1828" s="8">
        <f ca="1">IFERROR(__xludf.DUMMYFUNCTION("""COMPUTED_VALUE"""),1)</f>
        <v>1</v>
      </c>
      <c r="Y1828" s="12" t="str">
        <f ca="1">IFERROR(__xludf.DUMMYFUNCTION("""COMPUTED_VALUE"""),"Principal resigned and shot self in parking lot")</f>
        <v>Principal resigned and shot self in parking lot</v>
      </c>
      <c r="Z1828" s="12" t="str">
        <f ca="1">IFERROR(__xludf.DUMMYFUNCTION("""COMPUTED_VALUE"""),"Principal resigned, walked out to parking lot, and shot self in vehicle.")</f>
        <v>Principal resigned, walked out to parking lot, and shot self in vehicle.</v>
      </c>
      <c r="AA1828" s="8" t="str">
        <f ca="1">IFERROR(__xludf.DUMMYFUNCTION("""COMPUTED_VALUE"""),"Suicide/Attempted")</f>
        <v>Suicide/Attempted</v>
      </c>
      <c r="AB1828" s="8"/>
      <c r="AC1828" s="8" t="str">
        <f ca="1">IFERROR(__xludf.DUMMYFUNCTION("""COMPUTED_VALUE"""),"Yes")</f>
        <v>Yes</v>
      </c>
      <c r="AD1828" s="8" t="str">
        <f ca="1">IFERROR(__xludf.DUMMYFUNCTION("""COMPUTED_VALUE"""),"Victims Targeted")</f>
        <v>Victims Targeted</v>
      </c>
      <c r="AE1828" s="8" t="str">
        <f ca="1">IFERROR(__xludf.DUMMYFUNCTION("""COMPUTED_VALUE"""),"No")</f>
        <v>No</v>
      </c>
      <c r="AF1828" s="8"/>
      <c r="AG1828" s="8" t="str">
        <f ca="1">IFERROR(__xludf.DUMMYFUNCTION("""COMPUTED_VALUE"""),"No")</f>
        <v>No</v>
      </c>
      <c r="AH1828" s="8" t="str">
        <f ca="1">IFERROR(__xludf.DUMMYFUNCTION("""COMPUTED_VALUE"""),"No")</f>
        <v>No</v>
      </c>
      <c r="AI1828" s="8" t="str">
        <f ca="1">IFERROR(__xludf.DUMMYFUNCTION("""COMPUTED_VALUE"""),"No")</f>
        <v>No</v>
      </c>
      <c r="AJ1828" s="8" t="str">
        <f ca="1">IFERROR(__xludf.DUMMYFUNCTION("""COMPUTED_VALUE"""),"No")</f>
        <v>No</v>
      </c>
      <c r="AK1828" s="8" t="str">
        <f ca="1">IFERROR(__xludf.DUMMYFUNCTION("""COMPUTED_VALUE"""),"No")</f>
        <v>No</v>
      </c>
      <c r="AL1828" s="8" t="str">
        <f ca="1">IFERROR(__xludf.DUMMYFUNCTION("""COMPUTED_VALUE"""),"No")</f>
        <v>No</v>
      </c>
      <c r="AM1828" s="8" t="str">
        <f ca="1">IFERROR(__xludf.DUMMYFUNCTION("""COMPUTED_VALUE"""),"No")</f>
        <v>No</v>
      </c>
      <c r="AN1828" s="8"/>
      <c r="AO1828" s="8" t="str">
        <f ca="1">IFERROR(__xludf.DUMMYFUNCTION("""COMPUTED_VALUE"""),"No")</f>
        <v>No</v>
      </c>
      <c r="AP1828" s="8"/>
      <c r="AQ1828" s="8" t="str">
        <f ca="1">IFERROR(__xludf.DUMMYFUNCTION("""COMPUTED_VALUE"""),"Unknown")</f>
        <v>Unknown</v>
      </c>
      <c r="AR1828" s="8" t="str">
        <f ca="1">IFERROR(__xludf.DUMMYFUNCTION("""COMPUTED_VALUE"""),"NA")</f>
        <v>NA</v>
      </c>
      <c r="AS1828" s="8">
        <f ca="1">IFERROR(__xludf.DUMMYFUNCTION("""COMPUTED_VALUE"""),1)</f>
        <v>1</v>
      </c>
      <c r="AT1828" s="8"/>
      <c r="AU1828" s="8">
        <f ca="1">IFERROR(__xludf.DUMMYFUNCTION("""COMPUTED_VALUE"""),30.649013)</f>
        <v>30.649013</v>
      </c>
      <c r="AV1828" s="8">
        <f ca="1">IFERROR(__xludf.DUMMYFUNCTION("""COMPUTED_VALUE"""),-93.896326)</f>
        <v>-93.896326000000002</v>
      </c>
      <c r="AW1828" s="8"/>
      <c r="AX1828" s="8">
        <f ca="1">IFERROR(__xludf.DUMMYFUNCTION("""COMPUTED_VALUE"""),75956)</f>
        <v>75956</v>
      </c>
    </row>
    <row r="1829" spans="1:50" ht="75" x14ac:dyDescent="0.2">
      <c r="A1829" s="8" t="str">
        <f ca="1">IFERROR(__xludf.DUMMYFUNCTION("""COMPUTED_VALUE"""),"20170515LAMOL")</f>
        <v>20170515LAMOL</v>
      </c>
      <c r="B1829" s="8">
        <f ca="1">IFERROR(__xludf.DUMMYFUNCTION("""COMPUTED_VALUE"""),5)</f>
        <v>5</v>
      </c>
      <c r="C1829" s="8">
        <f ca="1">IFERROR(__xludf.DUMMYFUNCTION("""COMPUTED_VALUE"""),15)</f>
        <v>15</v>
      </c>
      <c r="D1829" s="8">
        <f ca="1">IFERROR(__xludf.DUMMYFUNCTION("""COMPUTED_VALUE"""),2017)</f>
        <v>2017</v>
      </c>
      <c r="E1829" s="9">
        <f ca="1">IFERROR(__xludf.DUMMYFUNCTION("""COMPUTED_VALUE"""),42870)</f>
        <v>42870</v>
      </c>
      <c r="F1829" s="8" t="str">
        <f ca="1">IFERROR(__xludf.DUMMYFUNCTION("""COMPUTED_VALUE"""),"Moss Bluff Elementary School")</f>
        <v>Moss Bluff Elementary School</v>
      </c>
      <c r="G1829" s="8">
        <f ca="1">IFERROR(__xludf.DUMMYFUNCTION("""COMPUTED_VALUE"""),0)</f>
        <v>0</v>
      </c>
      <c r="H1829" s="8">
        <f ca="1">IFERROR(__xludf.DUMMYFUNCTION("""COMPUTED_VALUE"""),1)</f>
        <v>1</v>
      </c>
      <c r="I1829" s="8">
        <f ca="1">IFERROR(__xludf.DUMMYFUNCTION("""COMPUTED_VALUE"""),1)</f>
        <v>1</v>
      </c>
      <c r="J1829" s="8">
        <f ca="1">IFERROR(__xludf.DUMMYFUNCTION("""COMPUTED_VALUE"""),0)</f>
        <v>0</v>
      </c>
      <c r="K1829" s="10" t="str">
        <f ca="1">IFERROR(__xludf.DUMMYFUNCTION("""COMPUTED_VALUE"""),"http://www.americanpress.com/news/local/year-old-shot-at-moss-bluff-school/article_bf746d62-ee60-11e7-ad5c-7b6da485d0a4.html")</f>
        <v>http://www.americanpress.com/news/local/year-old-shot-at-moss-bluff-school/article_bf746d62-ee60-11e7-ad5c-7b6da485d0a4.html</v>
      </c>
      <c r="L1829" s="8">
        <f ca="1">IFERROR(__xludf.DUMMYFUNCTION("""COMPUTED_VALUE"""),5)</f>
        <v>5</v>
      </c>
      <c r="M1829" s="8" t="str">
        <f ca="1">IFERROR(__xludf.DUMMYFUNCTION("""COMPUTED_VALUE"""),"Local")</f>
        <v>Local</v>
      </c>
      <c r="N1829" s="8">
        <f ca="1">IFERROR(__xludf.DUMMYFUNCTION("""COMPUTED_VALUE"""),2)</f>
        <v>2</v>
      </c>
      <c r="O1829" s="8" t="str">
        <f ca="1">IFERROR(__xludf.DUMMYFUNCTION("""COMPUTED_VALUE"""),"Spring")</f>
        <v>Spring</v>
      </c>
      <c r="P1829" s="8" t="str">
        <f ca="1">IFERROR(__xludf.DUMMYFUNCTION("""COMPUTED_VALUE"""),"Lake Charles")</f>
        <v>Lake Charles</v>
      </c>
      <c r="Q1829" s="8" t="str">
        <f ca="1">IFERROR(__xludf.DUMMYFUNCTION("""COMPUTED_VALUE"""),"LA")</f>
        <v>LA</v>
      </c>
      <c r="R1829" s="8" t="str">
        <f ca="1">IFERROR(__xludf.DUMMYFUNCTION("""COMPUTED_VALUE"""),"Elementary")</f>
        <v>Elementary</v>
      </c>
      <c r="S1829" s="8" t="str">
        <f ca="1">IFERROR(__xludf.DUMMYFUNCTION("""COMPUTED_VALUE"""),"Inside School Building")</f>
        <v>Inside School Building</v>
      </c>
      <c r="T1829" s="8" t="str">
        <f ca="1">IFERROR(__xludf.DUMMYFUNCTION("""COMPUTED_VALUE"""),"Inside School Building")</f>
        <v>Inside School Building</v>
      </c>
      <c r="U1829" s="8" t="str">
        <f ca="1">IFERROR(__xludf.DUMMYFUNCTION("""COMPUTED_VALUE"""),"Yes")</f>
        <v>Yes</v>
      </c>
      <c r="V1829" s="8" t="str">
        <f ca="1">IFERROR(__xludf.DUMMYFUNCTION("""COMPUTED_VALUE"""),"Morning Classes")</f>
        <v>Morning Classes</v>
      </c>
      <c r="W1829" s="11">
        <f ca="1">IFERROR(__xludf.DUMMYFUNCTION("""COMPUTED_VALUE"""),0.326388888888888)</f>
        <v>0.32638888888888801</v>
      </c>
      <c r="X1829" s="8">
        <f ca="1">IFERROR(__xludf.DUMMYFUNCTION("""COMPUTED_VALUE"""),1)</f>
        <v>1</v>
      </c>
      <c r="Y1829" s="12" t="str">
        <f ca="1">IFERROR(__xludf.DUMMYFUNCTION("""COMPUTED_VALUE"""),"Accidental discharge when gun fell out of backpack")</f>
        <v>Accidental discharge when gun fell out of backpack</v>
      </c>
      <c r="Z1829" s="12" t="str">
        <f ca="1">IFERROR(__xludf.DUMMYFUNCTION("""COMPUTED_VALUE"""),"A student brought the gun in a backpack. The gun fell out and another student picked it up. The gun was accidentally discharged and hit a 3rd student in the stomach. The father and brother of the child who brought the gun were charged with negligence.")</f>
        <v>A student brought the gun in a backpack. The gun fell out and another student picked it up. The gun was accidentally discharged and hit a 3rd student in the stomach. The father and brother of the child who brought the gun were charged with negligence.</v>
      </c>
      <c r="AA1829" s="8" t="str">
        <f ca="1">IFERROR(__xludf.DUMMYFUNCTION("""COMPUTED_VALUE"""),"Accidental")</f>
        <v>Accidental</v>
      </c>
      <c r="AB1829" s="8"/>
      <c r="AC1829" s="8" t="str">
        <f ca="1">IFERROR(__xludf.DUMMYFUNCTION("""COMPUTED_VALUE"""),"Yes")</f>
        <v>Yes</v>
      </c>
      <c r="AD1829" s="8" t="str">
        <f ca="1">IFERROR(__xludf.DUMMYFUNCTION("""COMPUTED_VALUE"""),"Neither")</f>
        <v>Neither</v>
      </c>
      <c r="AE1829" s="8" t="str">
        <f ca="1">IFERROR(__xludf.DUMMYFUNCTION("""COMPUTED_VALUE"""),"No")</f>
        <v>No</v>
      </c>
      <c r="AF1829" s="8"/>
      <c r="AG1829" s="8" t="str">
        <f ca="1">IFERROR(__xludf.DUMMYFUNCTION("""COMPUTED_VALUE"""),"No")</f>
        <v>No</v>
      </c>
      <c r="AH1829" s="8" t="str">
        <f ca="1">IFERROR(__xludf.DUMMYFUNCTION("""COMPUTED_VALUE"""),"No")</f>
        <v>No</v>
      </c>
      <c r="AI1829" s="8" t="str">
        <f ca="1">IFERROR(__xludf.DUMMYFUNCTION("""COMPUTED_VALUE"""),"No")</f>
        <v>No</v>
      </c>
      <c r="AJ1829" s="8" t="str">
        <f ca="1">IFERROR(__xludf.DUMMYFUNCTION("""COMPUTED_VALUE"""),"No")</f>
        <v>No</v>
      </c>
      <c r="AK1829" s="8" t="str">
        <f ca="1">IFERROR(__xludf.DUMMYFUNCTION("""COMPUTED_VALUE"""),"No")</f>
        <v>No</v>
      </c>
      <c r="AL1829" s="8" t="str">
        <f ca="1">IFERROR(__xludf.DUMMYFUNCTION("""COMPUTED_VALUE"""),"No")</f>
        <v>No</v>
      </c>
      <c r="AM1829" s="8" t="str">
        <f ca="1">IFERROR(__xludf.DUMMYFUNCTION("""COMPUTED_VALUE"""),"No")</f>
        <v>No</v>
      </c>
      <c r="AN1829" s="8"/>
      <c r="AO1829" s="8" t="str">
        <f ca="1">IFERROR(__xludf.DUMMYFUNCTION("""COMPUTED_VALUE"""),"No")</f>
        <v>No</v>
      </c>
      <c r="AP1829" s="8" t="str">
        <f ca="1">IFERROR(__xludf.DUMMYFUNCTION("""COMPUTED_VALUE"""),"No")</f>
        <v>No</v>
      </c>
      <c r="AQ1829" s="8" t="str">
        <f ca="1">IFERROR(__xludf.DUMMYFUNCTION("""COMPUTED_VALUE"""),"Unknown")</f>
        <v>Unknown</v>
      </c>
      <c r="AR1829" s="8" t="str">
        <f ca="1">IFERROR(__xludf.DUMMYFUNCTION("""COMPUTED_VALUE"""),"NA")</f>
        <v>NA</v>
      </c>
      <c r="AS1829" s="8">
        <f ca="1">IFERROR(__xludf.DUMMYFUNCTION("""COMPUTED_VALUE"""),1)</f>
        <v>1</v>
      </c>
      <c r="AT1829" s="8" t="str">
        <f ca="1">IFERROR(__xludf.DUMMYFUNCTION("""COMPUTED_VALUE"""),"No")</f>
        <v>No</v>
      </c>
      <c r="AU1829" s="8">
        <f ca="1">IFERROR(__xludf.DUMMYFUNCTION("""COMPUTED_VALUE"""),30.29966)</f>
        <v>30.299659999999999</v>
      </c>
      <c r="AV1829" s="8">
        <f ca="1">IFERROR(__xludf.DUMMYFUNCTION("""COMPUTED_VALUE"""),-93.2032)</f>
        <v>-93.203199999999995</v>
      </c>
      <c r="AW1829" s="8"/>
      <c r="AX1829" s="8">
        <f ca="1">IFERROR(__xludf.DUMMYFUNCTION("""COMPUTED_VALUE"""),70611)</f>
        <v>70611</v>
      </c>
    </row>
    <row r="1830" spans="1:50" ht="60" x14ac:dyDescent="0.2">
      <c r="A1830" s="8" t="str">
        <f ca="1">IFERROR(__xludf.DUMMYFUNCTION("""COMPUTED_VALUE"""),"20170415ORMEP")</f>
        <v>20170415ORMEP</v>
      </c>
      <c r="B1830" s="8">
        <f ca="1">IFERROR(__xludf.DUMMYFUNCTION("""COMPUTED_VALUE"""),4)</f>
        <v>4</v>
      </c>
      <c r="C1830" s="8">
        <f ca="1">IFERROR(__xludf.DUMMYFUNCTION("""COMPUTED_VALUE"""),15)</f>
        <v>15</v>
      </c>
      <c r="D1830" s="8">
        <f ca="1">IFERROR(__xludf.DUMMYFUNCTION("""COMPUTED_VALUE"""),2017)</f>
        <v>2017</v>
      </c>
      <c r="E1830" s="9">
        <f ca="1">IFERROR(__xludf.DUMMYFUNCTION("""COMPUTED_VALUE"""),42840)</f>
        <v>42840</v>
      </c>
      <c r="F1830" s="8" t="str">
        <f ca="1">IFERROR(__xludf.DUMMYFUNCTION("""COMPUTED_VALUE"""),"Menlo Park Elementary School")</f>
        <v>Menlo Park Elementary School</v>
      </c>
      <c r="G1830" s="8">
        <f ca="1">IFERROR(__xludf.DUMMYFUNCTION("""COMPUTED_VALUE"""),1)</f>
        <v>1</v>
      </c>
      <c r="H1830" s="8">
        <f ca="1">IFERROR(__xludf.DUMMYFUNCTION("""COMPUTED_VALUE"""),0)</f>
        <v>0</v>
      </c>
      <c r="I1830" s="8">
        <f ca="1">IFERROR(__xludf.DUMMYFUNCTION("""COMPUTED_VALUE"""),1)</f>
        <v>1</v>
      </c>
      <c r="J1830" s="8">
        <f ca="1">IFERROR(__xludf.DUMMYFUNCTION("""COMPUTED_VALUE"""),0)</f>
        <v>0</v>
      </c>
      <c r="K1830" s="10" t="str">
        <f ca="1">IFERROR(__xludf.DUMMYFUNCTION("""COMPUTED_VALUE"""),"https://www.kptv.com/news/crime-stoppers-2017-deadly-shooting-near-menlo-park-elementary-school-remains-unsolved/article_c6c7f520-9dfd-11eb-90de-33d857869811.html")</f>
        <v>https://www.kptv.com/news/crime-stoppers-2017-deadly-shooting-near-menlo-park-elementary-school-remains-unsolved/article_c6c7f520-9dfd-11eb-90de-33d857869811.html</v>
      </c>
      <c r="L1830" s="8">
        <f ca="1">IFERROR(__xludf.DUMMYFUNCTION("""COMPUTED_VALUE"""),1)</f>
        <v>1</v>
      </c>
      <c r="M1830" s="8" t="str">
        <f ca="1">IFERROR(__xludf.DUMMYFUNCTION("""COMPUTED_VALUE"""),"Local")</f>
        <v>Local</v>
      </c>
      <c r="N1830" s="8">
        <f ca="1">IFERROR(__xludf.DUMMYFUNCTION("""COMPUTED_VALUE"""),3)</f>
        <v>3</v>
      </c>
      <c r="O1830" s="8" t="str">
        <f ca="1">IFERROR(__xludf.DUMMYFUNCTION("""COMPUTED_VALUE"""),"Spring")</f>
        <v>Spring</v>
      </c>
      <c r="P1830" s="8" t="str">
        <f ca="1">IFERROR(__xludf.DUMMYFUNCTION("""COMPUTED_VALUE"""),"Portland")</f>
        <v>Portland</v>
      </c>
      <c r="Q1830" s="8" t="str">
        <f ca="1">IFERROR(__xludf.DUMMYFUNCTION("""COMPUTED_VALUE"""),"OR")</f>
        <v>OR</v>
      </c>
      <c r="R1830" s="8" t="str">
        <f ca="1">IFERROR(__xludf.DUMMYFUNCTION("""COMPUTED_VALUE"""),"Elementary")</f>
        <v>Elementary</v>
      </c>
      <c r="S1830" s="8" t="str">
        <f ca="1">IFERROR(__xludf.DUMMYFUNCTION("""COMPUTED_VALUE"""),"Field (General)")</f>
        <v>Field (General)</v>
      </c>
      <c r="T1830" s="8" t="str">
        <f ca="1">IFERROR(__xludf.DUMMYFUNCTION("""COMPUTED_VALUE"""),"Outside on School Property")</f>
        <v>Outside on School Property</v>
      </c>
      <c r="U1830" s="8" t="str">
        <f ca="1">IFERROR(__xludf.DUMMYFUNCTION("""COMPUTED_VALUE"""),"No")</f>
        <v>No</v>
      </c>
      <c r="V1830" s="8" t="str">
        <f ca="1">IFERROR(__xludf.DUMMYFUNCTION("""COMPUTED_VALUE"""),"Not a School Day")</f>
        <v>Not a School Day</v>
      </c>
      <c r="W1830" s="11">
        <f ca="1">IFERROR(__xludf.DUMMYFUNCTION("""COMPUTED_VALUE"""),0.529166666666666)</f>
        <v>0.52916666666666601</v>
      </c>
      <c r="X1830" s="8">
        <f ca="1">IFERROR(__xludf.DUMMYFUNCTION("""COMPUTED_VALUE"""),1)</f>
        <v>1</v>
      </c>
      <c r="Y1830" s="12" t="str">
        <f ca="1">IFERROR(__xludf.DUMMYFUNCTION("""COMPUTED_VALUE"""),"Man shot and killed on the recreation field of the school")</f>
        <v>Man shot and killed on the recreation field of the school</v>
      </c>
      <c r="Z1830" s="12" t="str">
        <f ca="1">IFERROR(__xludf.DUMMYFUNCTION("""COMPUTED_VALUE"""),"A 38-year-old man was shot and killed at the entrance to the recreational field at the elementary school. 3 suspects fled the scene. Identify of the suspects is unknown. No arrests made. Motive unknown.")</f>
        <v>A 38-year-old man was shot and killed at the entrance to the recreational field at the elementary school. 3 suspects fled the scene. Identify of the suspects is unknown. No arrests made. Motive unknown.</v>
      </c>
      <c r="AA1830" s="8"/>
      <c r="AB1830" s="8"/>
      <c r="AC1830" s="8" t="str">
        <f ca="1">IFERROR(__xludf.DUMMYFUNCTION("""COMPUTED_VALUE"""),"No")</f>
        <v>No</v>
      </c>
      <c r="AD1830" s="8" t="str">
        <f ca="1">IFERROR(__xludf.DUMMYFUNCTION("""COMPUTED_VALUE"""),"Victims Targeted")</f>
        <v>Victims Targeted</v>
      </c>
      <c r="AE1830" s="8" t="str">
        <f ca="1">IFERROR(__xludf.DUMMYFUNCTION("""COMPUTED_VALUE"""),"Yes")</f>
        <v>Yes</v>
      </c>
      <c r="AF1830" s="8" t="str">
        <f ca="1">IFERROR(__xludf.DUMMYFUNCTION("""COMPUTED_VALUE"""),"3 suspects fled")</f>
        <v>3 suspects fled</v>
      </c>
      <c r="AG1830" s="8" t="str">
        <f ca="1">IFERROR(__xludf.DUMMYFUNCTION("""COMPUTED_VALUE"""),"No")</f>
        <v>No</v>
      </c>
      <c r="AH1830" s="8" t="str">
        <f ca="1">IFERROR(__xludf.DUMMYFUNCTION("""COMPUTED_VALUE"""),"No")</f>
        <v>No</v>
      </c>
      <c r="AI1830" s="8" t="str">
        <f ca="1">IFERROR(__xludf.DUMMYFUNCTION("""COMPUTED_VALUE"""),"No")</f>
        <v>No</v>
      </c>
      <c r="AJ1830" s="8" t="str">
        <f ca="1">IFERROR(__xludf.DUMMYFUNCTION("""COMPUTED_VALUE"""),"No")</f>
        <v>No</v>
      </c>
      <c r="AK1830" s="8" t="str">
        <f ca="1">IFERROR(__xludf.DUMMYFUNCTION("""COMPUTED_VALUE"""),"No")</f>
        <v>No</v>
      </c>
      <c r="AL1830" s="8"/>
      <c r="AM1830" s="8" t="str">
        <f ca="1">IFERROR(__xludf.DUMMYFUNCTION("""COMPUTED_VALUE"""),"No")</f>
        <v>No</v>
      </c>
      <c r="AN1830" s="8"/>
      <c r="AO1830" s="8" t="str">
        <f ca="1">IFERROR(__xludf.DUMMYFUNCTION("""COMPUTED_VALUE"""),"No")</f>
        <v>No</v>
      </c>
      <c r="AP1830" s="8"/>
      <c r="AQ1830" s="8"/>
      <c r="AR1830" s="8" t="str">
        <f ca="1">IFERROR(__xludf.DUMMYFUNCTION("""COMPUTED_VALUE"""),"Outside/Off-Property")</f>
        <v>Outside/Off-Property</v>
      </c>
      <c r="AS1830" s="8"/>
      <c r="AT1830" s="8"/>
      <c r="AU1830" s="8">
        <f ca="1">IFERROR(__xludf.DUMMYFUNCTION("""COMPUTED_VALUE"""),45.525337)</f>
        <v>45.525337</v>
      </c>
      <c r="AV1830" s="8">
        <f ca="1">IFERROR(__xludf.DUMMYFUNCTION("""COMPUTED_VALUE"""),-122.529963)</f>
        <v>-122.529963</v>
      </c>
      <c r="AW1830" s="8"/>
      <c r="AX1830" s="8">
        <f ca="1">IFERROR(__xludf.DUMMYFUNCTION("""COMPUTED_VALUE"""),97230)</f>
        <v>97230</v>
      </c>
    </row>
    <row r="1831" spans="1:50" ht="60" x14ac:dyDescent="0.2">
      <c r="A1831" s="8" t="str">
        <f ca="1">IFERROR(__xludf.DUMMYFUNCTION("""COMPUTED_VALUE"""),"20170415OKBOT")</f>
        <v>20170415OKBOT</v>
      </c>
      <c r="B1831" s="8">
        <f ca="1">IFERROR(__xludf.DUMMYFUNCTION("""COMPUTED_VALUE"""),4)</f>
        <v>4</v>
      </c>
      <c r="C1831" s="8">
        <f ca="1">IFERROR(__xludf.DUMMYFUNCTION("""COMPUTED_VALUE"""),15)</f>
        <v>15</v>
      </c>
      <c r="D1831" s="8">
        <f ca="1">IFERROR(__xludf.DUMMYFUNCTION("""COMPUTED_VALUE"""),2017)</f>
        <v>2017</v>
      </c>
      <c r="E1831" s="9">
        <f ca="1">IFERROR(__xludf.DUMMYFUNCTION("""COMPUTED_VALUE"""),42840)</f>
        <v>42840</v>
      </c>
      <c r="F1831" s="8" t="str">
        <f ca="1">IFERROR(__xludf.DUMMYFUNCTION("""COMPUTED_VALUE"""),"Booker T. Washington High School")</f>
        <v>Booker T. Washington High School</v>
      </c>
      <c r="G1831" s="8">
        <f ca="1">IFERROR(__xludf.DUMMYFUNCTION("""COMPUTED_VALUE"""),0)</f>
        <v>0</v>
      </c>
      <c r="H1831" s="8">
        <f ca="1">IFERROR(__xludf.DUMMYFUNCTION("""COMPUTED_VALUE"""),1)</f>
        <v>1</v>
      </c>
      <c r="I1831" s="8">
        <f ca="1">IFERROR(__xludf.DUMMYFUNCTION("""COMPUTED_VALUE"""),1)</f>
        <v>1</v>
      </c>
      <c r="J1831" s="8">
        <f ca="1">IFERROR(__xludf.DUMMYFUNCTION("""COMPUTED_VALUE"""),0)</f>
        <v>0</v>
      </c>
      <c r="K1831" s="10" t="str">
        <f ca="1">IFERROR(__xludf.DUMMYFUNCTION("""COMPUTED_VALUE"""),"https://www.tulsaworld.com/homepagelatest/man-shot-in-chest-at-booker-t-washington-high-school/article_f6b588e9-926b-5c04-a9c5-aee4dc5c7ee8.html")</f>
        <v>https://www.tulsaworld.com/homepagelatest/man-shot-in-chest-at-booker-t-washington-high-school/article_f6b588e9-926b-5c04-a9c5-aee4dc5c7ee8.html</v>
      </c>
      <c r="L1831" s="8"/>
      <c r="M1831" s="8"/>
      <c r="N1831" s="8">
        <f ca="1">IFERROR(__xludf.DUMMYFUNCTION("""COMPUTED_VALUE"""),2)</f>
        <v>2</v>
      </c>
      <c r="O1831" s="8" t="str">
        <f ca="1">IFERROR(__xludf.DUMMYFUNCTION("""COMPUTED_VALUE"""),"Spring")</f>
        <v>Spring</v>
      </c>
      <c r="P1831" s="8" t="str">
        <f ca="1">IFERROR(__xludf.DUMMYFUNCTION("""COMPUTED_VALUE"""),"Tulsa")</f>
        <v>Tulsa</v>
      </c>
      <c r="Q1831" s="8" t="str">
        <f ca="1">IFERROR(__xludf.DUMMYFUNCTION("""COMPUTED_VALUE"""),"OK")</f>
        <v>OK</v>
      </c>
      <c r="R1831" s="8" t="str">
        <f ca="1">IFERROR(__xludf.DUMMYFUNCTION("""COMPUTED_VALUE"""),"High")</f>
        <v>High</v>
      </c>
      <c r="S1831" s="8" t="str">
        <f ca="1">IFERROR(__xludf.DUMMYFUNCTION("""COMPUTED_VALUE"""),"Parking Lot")</f>
        <v>Parking Lot</v>
      </c>
      <c r="T1831" s="8" t="str">
        <f ca="1">IFERROR(__xludf.DUMMYFUNCTION("""COMPUTED_VALUE"""),"Outside on School Property")</f>
        <v>Outside on School Property</v>
      </c>
      <c r="U1831" s="8" t="str">
        <f ca="1">IFERROR(__xludf.DUMMYFUNCTION("""COMPUTED_VALUE"""),"No")</f>
        <v>No</v>
      </c>
      <c r="V1831" s="8" t="str">
        <f ca="1">IFERROR(__xludf.DUMMYFUNCTION("""COMPUTED_VALUE"""),"Not a School Day")</f>
        <v>Not a School Day</v>
      </c>
      <c r="W1831" s="11">
        <f ca="1">IFERROR(__xludf.DUMMYFUNCTION("""COMPUTED_VALUE"""),0.878472222222222)</f>
        <v>0.87847222222222199</v>
      </c>
      <c r="X1831" s="8">
        <f ca="1">IFERROR(__xludf.DUMMYFUNCTION("""COMPUTED_VALUE"""),1)</f>
        <v>1</v>
      </c>
      <c r="Y1831" s="12" t="str">
        <f ca="1">IFERROR(__xludf.DUMMYFUNCTION("""COMPUTED_VALUE"""),"Man shot in parking lot following basketball game for unknown reason")</f>
        <v>Man shot in parking lot following basketball game for unknown reason</v>
      </c>
      <c r="Z1831" s="12" t="str">
        <f ca="1">IFERROR(__xludf.DUMMYFUNCTION("""COMPUTED_VALUE"""),"52YOM shot and killed in parking lot of school following alumni basketball game. No shooter or motive known.")</f>
        <v>52YOM shot and killed in parking lot of school following alumni basketball game. No shooter or motive known.</v>
      </c>
      <c r="AA1831" s="8" t="str">
        <f ca="1">IFERROR(__xludf.DUMMYFUNCTION("""COMPUTED_VALUE"""),"Escalation of Dispute")</f>
        <v>Escalation of Dispute</v>
      </c>
      <c r="AB1831" s="8"/>
      <c r="AC1831" s="8" t="str">
        <f ca="1">IFERROR(__xludf.DUMMYFUNCTION("""COMPUTED_VALUE"""),"Yes")</f>
        <v>Yes</v>
      </c>
      <c r="AD1831" s="8"/>
      <c r="AE1831" s="8" t="str">
        <f ca="1">IFERROR(__xludf.DUMMYFUNCTION("""COMPUTED_VALUE"""),"Unknown")</f>
        <v>Unknown</v>
      </c>
      <c r="AF1831" s="8"/>
      <c r="AG1831" s="8" t="str">
        <f ca="1">IFERROR(__xludf.DUMMYFUNCTION("""COMPUTED_VALUE"""),"No")</f>
        <v>No</v>
      </c>
      <c r="AH1831" s="8" t="str">
        <f ca="1">IFERROR(__xludf.DUMMYFUNCTION("""COMPUTED_VALUE"""),"No")</f>
        <v>No</v>
      </c>
      <c r="AI1831" s="8" t="str">
        <f ca="1">IFERROR(__xludf.DUMMYFUNCTION("""COMPUTED_VALUE"""),"No")</f>
        <v>No</v>
      </c>
      <c r="AJ1831" s="8" t="str">
        <f ca="1">IFERROR(__xludf.DUMMYFUNCTION("""COMPUTED_VALUE"""),"No")</f>
        <v>No</v>
      </c>
      <c r="AK1831" s="8" t="str">
        <f ca="1">IFERROR(__xludf.DUMMYFUNCTION("""COMPUTED_VALUE"""),"No")</f>
        <v>No</v>
      </c>
      <c r="AL1831" s="8"/>
      <c r="AM1831" s="8" t="str">
        <f ca="1">IFERROR(__xludf.DUMMYFUNCTION("""COMPUTED_VALUE"""),"No")</f>
        <v>No</v>
      </c>
      <c r="AN1831" s="8"/>
      <c r="AO1831" s="8" t="str">
        <f ca="1">IFERROR(__xludf.DUMMYFUNCTION("""COMPUTED_VALUE"""),"No")</f>
        <v>No</v>
      </c>
      <c r="AP1831" s="8"/>
      <c r="AQ1831" s="8" t="str">
        <f ca="1">IFERROR(__xludf.DUMMYFUNCTION("""COMPUTED_VALUE"""),"Unknown")</f>
        <v>Unknown</v>
      </c>
      <c r="AR1831" s="8" t="str">
        <f ca="1">IFERROR(__xludf.DUMMYFUNCTION("""COMPUTED_VALUE"""),"NA")</f>
        <v>NA</v>
      </c>
      <c r="AS1831" s="8"/>
      <c r="AT1831" s="8"/>
      <c r="AU1831" s="8">
        <f ca="1">IFERROR(__xludf.DUMMYFUNCTION("""COMPUTED_VALUE"""),36.188308)</f>
        <v>36.188307999999999</v>
      </c>
      <c r="AV1831" s="8">
        <f ca="1">IFERROR(__xludf.DUMMYFUNCTION("""COMPUTED_VALUE"""),-95.970677)</f>
        <v>-95.970676999999995</v>
      </c>
      <c r="AW1831" s="8"/>
      <c r="AX1831" s="8">
        <f ca="1">IFERROR(__xludf.DUMMYFUNCTION("""COMPUTED_VALUE"""),74106)</f>
        <v>74106</v>
      </c>
    </row>
    <row r="1832" spans="1:50" ht="120" x14ac:dyDescent="0.2">
      <c r="A1832" s="8" t="str">
        <f ca="1">IFERROR(__xludf.DUMMYFUNCTION("""COMPUTED_VALUE"""),"20170410CANOS")</f>
        <v>20170410CANOS</v>
      </c>
      <c r="B1832" s="8">
        <f ca="1">IFERROR(__xludf.DUMMYFUNCTION("""COMPUTED_VALUE"""),4)</f>
        <v>4</v>
      </c>
      <c r="C1832" s="8">
        <f ca="1">IFERROR(__xludf.DUMMYFUNCTION("""COMPUTED_VALUE"""),10)</f>
        <v>10</v>
      </c>
      <c r="D1832" s="8">
        <f ca="1">IFERROR(__xludf.DUMMYFUNCTION("""COMPUTED_VALUE"""),2017)</f>
        <v>2017</v>
      </c>
      <c r="E1832" s="9">
        <f ca="1">IFERROR(__xludf.DUMMYFUNCTION("""COMPUTED_VALUE"""),42835)</f>
        <v>42835</v>
      </c>
      <c r="F1832" s="8" t="str">
        <f ca="1">IFERROR(__xludf.DUMMYFUNCTION("""COMPUTED_VALUE"""),"North Park Elementary School")</f>
        <v>North Park Elementary School</v>
      </c>
      <c r="G1832" s="8">
        <f ca="1">IFERROR(__xludf.DUMMYFUNCTION("""COMPUTED_VALUE"""),2)</f>
        <v>2</v>
      </c>
      <c r="H1832" s="8">
        <f ca="1">IFERROR(__xludf.DUMMYFUNCTION("""COMPUTED_VALUE"""),1)</f>
        <v>1</v>
      </c>
      <c r="I1832" s="8">
        <f ca="1">IFERROR(__xludf.DUMMYFUNCTION("""COMPUTED_VALUE"""),3)</f>
        <v>3</v>
      </c>
      <c r="J1832" s="8">
        <f ca="1">IFERROR(__xludf.DUMMYFUNCTION("""COMPUTED_VALUE"""),1)</f>
        <v>1</v>
      </c>
      <c r="K1832" s="8" t="str">
        <f ca="1">IFERROR(__xludf.DUMMYFUNCTION("""COMPUTED_VALUE"""),"https://www.cnn.com/2017/04/10/us/san-bernardino-school-shooting/index.html
https://abc7chicago.com/san-bernardino-school-shooting-williams-syndrome-jonathan-martinez-cedric-anderson/1874730/")</f>
        <v>https://www.cnn.com/2017/04/10/us/san-bernardino-school-shooting/index.html
https://abc7chicago.com/san-bernardino-school-shooting-williams-syndrome-jonathan-martinez-cedric-anderson/1874730/</v>
      </c>
      <c r="L1832" s="8">
        <f ca="1">IFERROR(__xludf.DUMMYFUNCTION("""COMPUTED_VALUE"""),11)</f>
        <v>11</v>
      </c>
      <c r="M1832" s="8" t="str">
        <f ca="1">IFERROR(__xludf.DUMMYFUNCTION("""COMPUTED_VALUE"""),"National")</f>
        <v>National</v>
      </c>
      <c r="N1832" s="8">
        <f ca="1">IFERROR(__xludf.DUMMYFUNCTION("""COMPUTED_VALUE"""),4)</f>
        <v>4</v>
      </c>
      <c r="O1832" s="8" t="str">
        <f ca="1">IFERROR(__xludf.DUMMYFUNCTION("""COMPUTED_VALUE"""),"Spring")</f>
        <v>Spring</v>
      </c>
      <c r="P1832" s="8" t="str">
        <f ca="1">IFERROR(__xludf.DUMMYFUNCTION("""COMPUTED_VALUE"""),"San Bernardino")</f>
        <v>San Bernardino</v>
      </c>
      <c r="Q1832" s="8" t="str">
        <f ca="1">IFERROR(__xludf.DUMMYFUNCTION("""COMPUTED_VALUE"""),"CA")</f>
        <v>CA</v>
      </c>
      <c r="R1832" s="8" t="str">
        <f ca="1">IFERROR(__xludf.DUMMYFUNCTION("""COMPUTED_VALUE"""),"Elementary")</f>
        <v>Elementary</v>
      </c>
      <c r="S1832" s="8" t="str">
        <f ca="1">IFERROR(__xludf.DUMMYFUNCTION("""COMPUTED_VALUE"""),"Classroom")</f>
        <v>Classroom</v>
      </c>
      <c r="T1832" s="8" t="str">
        <f ca="1">IFERROR(__xludf.DUMMYFUNCTION("""COMPUTED_VALUE"""),"Inside School Building")</f>
        <v>Inside School Building</v>
      </c>
      <c r="U1832" s="8" t="str">
        <f ca="1">IFERROR(__xludf.DUMMYFUNCTION("""COMPUTED_VALUE"""),"Yes")</f>
        <v>Yes</v>
      </c>
      <c r="V1832" s="8" t="str">
        <f ca="1">IFERROR(__xludf.DUMMYFUNCTION("""COMPUTED_VALUE"""),"Morning Classes")</f>
        <v>Morning Classes</v>
      </c>
      <c r="W1832" s="11">
        <f ca="1">IFERROR(__xludf.DUMMYFUNCTION("""COMPUTED_VALUE"""),0.4375)</f>
        <v>0.4375</v>
      </c>
      <c r="X1832" s="8">
        <f ca="1">IFERROR(__xludf.DUMMYFUNCTION("""COMPUTED_VALUE"""),1)</f>
        <v>1</v>
      </c>
      <c r="Y1832" s="12" t="str">
        <f ca="1">IFERROR(__xludf.DUMMYFUNCTION("""COMPUTED_VALUE"""),"Killed teacher (estranged wife) and then shot self in school classroom, two student struck")</f>
        <v>Killed teacher (estranged wife) and then shot self in school classroom, two student struck</v>
      </c>
      <c r="Z1832" s="12" t="str">
        <f ca="1">IFERROR(__xludf.DUMMYFUNCTION("""COMPUTED_VALUE"""),"Murder-suicide of estranged wife who was teacher. Shooter walked into the classroom armed with a large caliber revolver and opened fire without saying anything, two students hit by rounds who were behind the teacher; previous dropped charge for brandishin"&amp;"g a firearm, assault, and 2 restraining orders from other women. Wife talked to her family about her concerns about his behavior; relationship problems and a short marriage.")</f>
        <v>Murder-suicide of estranged wife who was teacher. Shooter walked into the classroom armed with a large caliber revolver and opened fire without saying anything, two students hit by rounds who were behind the teacher; previous dropped charge for brandishing a firearm, assault, and 2 restraining orders from other women. Wife talked to her family about her concerns about his behavior; relationship problems and a short marriage.</v>
      </c>
      <c r="AA1832" s="8" t="str">
        <f ca="1">IFERROR(__xludf.DUMMYFUNCTION("""COMPUTED_VALUE"""),"Domestic w/ Targeted Victim")</f>
        <v>Domestic w/ Targeted Victim</v>
      </c>
      <c r="AB1832" s="8" t="str">
        <f ca="1">IFERROR(__xludf.DUMMYFUNCTION("""COMPUTED_VALUE"""),"Targeted")</f>
        <v>Targeted</v>
      </c>
      <c r="AC1832" s="8" t="str">
        <f ca="1">IFERROR(__xludf.DUMMYFUNCTION("""COMPUTED_VALUE"""),"Yes")</f>
        <v>Yes</v>
      </c>
      <c r="AD1832" s="8" t="str">
        <f ca="1">IFERROR(__xludf.DUMMYFUNCTION("""COMPUTED_VALUE"""),"Both")</f>
        <v>Both</v>
      </c>
      <c r="AE1832" s="8" t="str">
        <f ca="1">IFERROR(__xludf.DUMMYFUNCTION("""COMPUTED_VALUE"""),"No")</f>
        <v>No</v>
      </c>
      <c r="AF1832" s="8"/>
      <c r="AG1832" s="8" t="str">
        <f ca="1">IFERROR(__xludf.DUMMYFUNCTION("""COMPUTED_VALUE"""),"No")</f>
        <v>No</v>
      </c>
      <c r="AH1832" s="8" t="str">
        <f ca="1">IFERROR(__xludf.DUMMYFUNCTION("""COMPUTED_VALUE"""),"No")</f>
        <v>No</v>
      </c>
      <c r="AI1832" s="8" t="str">
        <f ca="1">IFERROR(__xludf.DUMMYFUNCTION("""COMPUTED_VALUE"""),"No")</f>
        <v>No</v>
      </c>
      <c r="AJ1832" s="8" t="str">
        <f ca="1">IFERROR(__xludf.DUMMYFUNCTION("""COMPUTED_VALUE"""),"No")</f>
        <v>No</v>
      </c>
      <c r="AK1832" s="8" t="str">
        <f ca="1">IFERROR(__xludf.DUMMYFUNCTION("""COMPUTED_VALUE"""),"Yes")</f>
        <v>Yes</v>
      </c>
      <c r="AL1832" s="8" t="str">
        <f ca="1">IFERROR(__xludf.DUMMYFUNCTION("""COMPUTED_VALUE"""),"No")</f>
        <v>No</v>
      </c>
      <c r="AM1832" s="8" t="str">
        <f ca="1">IFERROR(__xludf.DUMMYFUNCTION("""COMPUTED_VALUE"""),"Yes")</f>
        <v>Yes</v>
      </c>
      <c r="AN1832" s="8" t="str">
        <f ca="1">IFERROR(__xludf.DUMMYFUNCTION("""COMPUTED_VALUE"""),"Single Room")</f>
        <v>Single Room</v>
      </c>
      <c r="AO1832" s="8" t="str">
        <f ca="1">IFERROR(__xludf.DUMMYFUNCTION("""COMPUTED_VALUE"""),"Yes")</f>
        <v>Yes</v>
      </c>
      <c r="AP1832" s="8" t="str">
        <f ca="1">IFERROR(__xludf.DUMMYFUNCTION("""COMPUTED_VALUE"""),"No")</f>
        <v>No</v>
      </c>
      <c r="AQ1832" s="8" t="str">
        <f ca="1">IFERROR(__xludf.DUMMYFUNCTION("""COMPUTED_VALUE"""),"None")</f>
        <v>None</v>
      </c>
      <c r="AR1832" s="8" t="str">
        <f ca="1">IFERROR(__xludf.DUMMYFUNCTION("""COMPUTED_VALUE"""),"NA")</f>
        <v>NA</v>
      </c>
      <c r="AS1832" s="8">
        <f ca="1">IFERROR(__xludf.DUMMYFUNCTION("""COMPUTED_VALUE"""),10)</f>
        <v>10</v>
      </c>
      <c r="AT1832" s="8" t="str">
        <f ca="1">IFERROR(__xludf.DUMMYFUNCTION("""COMPUTED_VALUE"""),"Yes")</f>
        <v>Yes</v>
      </c>
      <c r="AU1832" s="8">
        <f ca="1">IFERROR(__xludf.DUMMYFUNCTION("""COMPUTED_VALUE"""),34.179206)</f>
        <v>34.179206000000001</v>
      </c>
      <c r="AV1832" s="8">
        <f ca="1">IFERROR(__xludf.DUMMYFUNCTION("""COMPUTED_VALUE"""),-117.301804)</f>
        <v>-117.301804</v>
      </c>
      <c r="AW1832" s="8"/>
      <c r="AX1832" s="8">
        <f ca="1">IFERROR(__xludf.DUMMYFUNCTION("""COMPUTED_VALUE"""),92405)</f>
        <v>92405</v>
      </c>
    </row>
    <row r="1833" spans="1:50" ht="90" x14ac:dyDescent="0.2">
      <c r="A1833" s="8" t="str">
        <f ca="1">IFERROR(__xludf.DUMMYFUNCTION("""COMPUTED_VALUE"""),"20170405TNRAM")</f>
        <v>20170405TNRAM</v>
      </c>
      <c r="B1833" s="8">
        <f ca="1">IFERROR(__xludf.DUMMYFUNCTION("""COMPUTED_VALUE"""),4)</f>
        <v>4</v>
      </c>
      <c r="C1833" s="8">
        <f ca="1">IFERROR(__xludf.DUMMYFUNCTION("""COMPUTED_VALUE"""),5)</f>
        <v>5</v>
      </c>
      <c r="D1833" s="8">
        <f ca="1">IFERROR(__xludf.DUMMYFUNCTION("""COMPUTED_VALUE"""),2017)</f>
        <v>2017</v>
      </c>
      <c r="E1833" s="9">
        <f ca="1">IFERROR(__xludf.DUMMYFUNCTION("""COMPUTED_VALUE"""),42830)</f>
        <v>42830</v>
      </c>
      <c r="F1833" s="8" t="str">
        <f ca="1">IFERROR(__xludf.DUMMYFUNCTION("""COMPUTED_VALUE"""),"Raleigh Egypt High School")</f>
        <v>Raleigh Egypt High School</v>
      </c>
      <c r="G1833" s="8">
        <f ca="1">IFERROR(__xludf.DUMMYFUNCTION("""COMPUTED_VALUE"""),0)</f>
        <v>0</v>
      </c>
      <c r="H1833" s="8">
        <f ca="1">IFERROR(__xludf.DUMMYFUNCTION("""COMPUTED_VALUE"""),0)</f>
        <v>0</v>
      </c>
      <c r="I1833" s="8">
        <f ca="1">IFERROR(__xludf.DUMMYFUNCTION("""COMPUTED_VALUE"""),0)</f>
        <v>0</v>
      </c>
      <c r="J1833" s="8">
        <f ca="1">IFERROR(__xludf.DUMMYFUNCTION("""COMPUTED_VALUE"""),0)</f>
        <v>0</v>
      </c>
      <c r="K1833" s="10" t="str">
        <f ca="1">IFERROR(__xludf.DUMMYFUNCTION("""COMPUTED_VALUE"""),"https://www.localmemphis.com/article/news/local/19-year-old-found-shot-on-baseball-field-behind-raleigh-egypt-high-school/522-e736b428-22b9-41b9-922b-64b80f7efccd")</f>
        <v>https://www.localmemphis.com/article/news/local/19-year-old-found-shot-on-baseball-field-behind-raleigh-egypt-high-school/522-e736b428-22b9-41b9-922b-64b80f7efccd</v>
      </c>
      <c r="L1833" s="8">
        <f ca="1">IFERROR(__xludf.DUMMYFUNCTION("""COMPUTED_VALUE"""),1)</f>
        <v>1</v>
      </c>
      <c r="M1833" s="8" t="str">
        <f ca="1">IFERROR(__xludf.DUMMYFUNCTION("""COMPUTED_VALUE"""),"Local")</f>
        <v>Local</v>
      </c>
      <c r="N1833" s="8">
        <f ca="1">IFERROR(__xludf.DUMMYFUNCTION("""COMPUTED_VALUE"""),4)</f>
        <v>4</v>
      </c>
      <c r="O1833" s="8" t="str">
        <f ca="1">IFERROR(__xludf.DUMMYFUNCTION("""COMPUTED_VALUE"""),"Spring")</f>
        <v>Spring</v>
      </c>
      <c r="P1833" s="8" t="str">
        <f ca="1">IFERROR(__xludf.DUMMYFUNCTION("""COMPUTED_VALUE"""),"Memphis")</f>
        <v>Memphis</v>
      </c>
      <c r="Q1833" s="8" t="str">
        <f ca="1">IFERROR(__xludf.DUMMYFUNCTION("""COMPUTED_VALUE"""),"TN")</f>
        <v>TN</v>
      </c>
      <c r="R1833" s="8" t="str">
        <f ca="1">IFERROR(__xludf.DUMMYFUNCTION("""COMPUTED_VALUE"""),"High")</f>
        <v>High</v>
      </c>
      <c r="S1833" s="8" t="str">
        <f ca="1">IFERROR(__xludf.DUMMYFUNCTION("""COMPUTED_VALUE"""),"Field (General)")</f>
        <v>Field (General)</v>
      </c>
      <c r="T1833" s="8" t="str">
        <f ca="1">IFERROR(__xludf.DUMMYFUNCTION("""COMPUTED_VALUE"""),"Outside on School Property")</f>
        <v>Outside on School Property</v>
      </c>
      <c r="U1833" s="8" t="str">
        <f ca="1">IFERROR(__xludf.DUMMYFUNCTION("""COMPUTED_VALUE"""),"Yes")</f>
        <v>Yes</v>
      </c>
      <c r="V1833" s="8" t="str">
        <f ca="1">IFERROR(__xludf.DUMMYFUNCTION("""COMPUTED_VALUE"""),"Afternoon Classes")</f>
        <v>Afternoon Classes</v>
      </c>
      <c r="W1833" s="11">
        <f ca="1">IFERROR(__xludf.DUMMYFUNCTION("""COMPUTED_VALUE"""),0.604166666666666)</f>
        <v>0.60416666666666596</v>
      </c>
      <c r="X1833" s="8">
        <f ca="1">IFERROR(__xludf.DUMMYFUNCTION("""COMPUTED_VALUE"""),1)</f>
        <v>1</v>
      </c>
      <c r="Y1833" s="12" t="str">
        <f ca="1">IFERROR(__xludf.DUMMYFUNCTION("""COMPUTED_VALUE"""),"19-year-old non student shot himself in the leg on the baseball field during afternoon classes")</f>
        <v>19-year-old non student shot himself in the leg on the baseball field during afternoon classes</v>
      </c>
      <c r="Z1833" s="12" t="str">
        <f ca="1">IFERROR(__xludf.DUMMYFUNCTION("""COMPUTED_VALUE"""),"19-year-old non student shot himself in the leg on the baseball field during afternoon classes.")</f>
        <v>19-year-old non student shot himself in the leg on the baseball field during afternoon classes.</v>
      </c>
      <c r="AA1833" s="8" t="str">
        <f ca="1">IFERROR(__xludf.DUMMYFUNCTION("""COMPUTED_VALUE"""),"Accidental")</f>
        <v>Accidental</v>
      </c>
      <c r="AB1833" s="8" t="str">
        <f ca="1">IFERROR(__xludf.DUMMYFUNCTION("""COMPUTED_VALUE"""),"Spontaneous")</f>
        <v>Spontaneous</v>
      </c>
      <c r="AC1833" s="8" t="str">
        <f ca="1">IFERROR(__xludf.DUMMYFUNCTION("""COMPUTED_VALUE"""),"Yes")</f>
        <v>Yes</v>
      </c>
      <c r="AD1833" s="8" t="str">
        <f ca="1">IFERROR(__xludf.DUMMYFUNCTION("""COMPUTED_VALUE"""),"Neither")</f>
        <v>Neither</v>
      </c>
      <c r="AE1833" s="8" t="str">
        <f ca="1">IFERROR(__xludf.DUMMYFUNCTION("""COMPUTED_VALUE"""),"No")</f>
        <v>No</v>
      </c>
      <c r="AF1833" s="8"/>
      <c r="AG1833" s="8" t="str">
        <f ca="1">IFERROR(__xludf.DUMMYFUNCTION("""COMPUTED_VALUE"""),"No")</f>
        <v>No</v>
      </c>
      <c r="AH1833" s="8" t="str">
        <f ca="1">IFERROR(__xludf.DUMMYFUNCTION("""COMPUTED_VALUE"""),"No")</f>
        <v>No</v>
      </c>
      <c r="AI1833" s="8" t="str">
        <f ca="1">IFERROR(__xludf.DUMMYFUNCTION("""COMPUTED_VALUE"""),"No")</f>
        <v>No</v>
      </c>
      <c r="AJ1833" s="8" t="str">
        <f ca="1">IFERROR(__xludf.DUMMYFUNCTION("""COMPUTED_VALUE"""),"No")</f>
        <v>No</v>
      </c>
      <c r="AK1833" s="8" t="str">
        <f ca="1">IFERROR(__xludf.DUMMYFUNCTION("""COMPUTED_VALUE"""),"No")</f>
        <v>No</v>
      </c>
      <c r="AL1833" s="8" t="str">
        <f ca="1">IFERROR(__xludf.DUMMYFUNCTION("""COMPUTED_VALUE"""),"No")</f>
        <v>No</v>
      </c>
      <c r="AM1833" s="8" t="str">
        <f ca="1">IFERROR(__xludf.DUMMYFUNCTION("""COMPUTED_VALUE"""),"No")</f>
        <v>No</v>
      </c>
      <c r="AN1833" s="8" t="str">
        <f ca="1">IFERROR(__xludf.DUMMYFUNCTION("""COMPUTED_VALUE"""),"Outside")</f>
        <v>Outside</v>
      </c>
      <c r="AO1833" s="8" t="str">
        <f ca="1">IFERROR(__xludf.DUMMYFUNCTION("""COMPUTED_VALUE"""),"No")</f>
        <v>No</v>
      </c>
      <c r="AP1833" s="8"/>
      <c r="AQ1833" s="8"/>
      <c r="AR1833" s="8" t="str">
        <f ca="1">IFERROR(__xludf.DUMMYFUNCTION("""COMPUTED_VALUE"""),"Outside/Off-Property")</f>
        <v>Outside/Off-Property</v>
      </c>
      <c r="AS1833" s="8">
        <f ca="1">IFERROR(__xludf.DUMMYFUNCTION("""COMPUTED_VALUE"""),1)</f>
        <v>1</v>
      </c>
      <c r="AT1833" s="8"/>
      <c r="AU1833" s="8">
        <f ca="1">IFERROR(__xludf.DUMMYFUNCTION("""COMPUTED_VALUE"""),35.239736)</f>
        <v>35.239736000000001</v>
      </c>
      <c r="AV1833" s="8">
        <f ca="1">IFERROR(__xludf.DUMMYFUNCTION("""COMPUTED_VALUE"""),-89.931653)</f>
        <v>-89.931652999999997</v>
      </c>
      <c r="AW1833" s="8" t="str">
        <f ca="1">IFERROR(__xludf.DUMMYFUNCTION("""COMPUTED_VALUE"""),"Multiple detached buildings")</f>
        <v>Multiple detached buildings</v>
      </c>
      <c r="AX1833" s="8">
        <f ca="1">IFERROR(__xludf.DUMMYFUNCTION("""COMPUTED_VALUE"""),38128)</f>
        <v>38128</v>
      </c>
    </row>
    <row r="1834" spans="1:50" ht="135" x14ac:dyDescent="0.2">
      <c r="A1834" s="8" t="str">
        <f ca="1">IFERROR(__xludf.DUMMYFUNCTION("""COMPUTED_VALUE"""),"20170328PALIP")</f>
        <v>20170328PALIP</v>
      </c>
      <c r="B1834" s="8">
        <f ca="1">IFERROR(__xludf.DUMMYFUNCTION("""COMPUTED_VALUE"""),3)</f>
        <v>3</v>
      </c>
      <c r="C1834" s="8">
        <f ca="1">IFERROR(__xludf.DUMMYFUNCTION("""COMPUTED_VALUE"""),28)</f>
        <v>28</v>
      </c>
      <c r="D1834" s="8">
        <f ca="1">IFERROR(__xludf.DUMMYFUNCTION("""COMPUTED_VALUE"""),2017)</f>
        <v>2017</v>
      </c>
      <c r="E1834" s="9">
        <f ca="1">IFERROR(__xludf.DUMMYFUNCTION("""COMPUTED_VALUE"""),42822)</f>
        <v>42822</v>
      </c>
      <c r="F1834" s="8" t="str">
        <f ca="1">IFERROR(__xludf.DUMMYFUNCTION("""COMPUTED_VALUE"""),"Linton Middle School")</f>
        <v>Linton Middle School</v>
      </c>
      <c r="G1834" s="8">
        <f ca="1">IFERROR(__xludf.DUMMYFUNCTION("""COMPUTED_VALUE"""),0)</f>
        <v>0</v>
      </c>
      <c r="H1834" s="8">
        <f ca="1">IFERROR(__xludf.DUMMYFUNCTION("""COMPUTED_VALUE"""),1)</f>
        <v>1</v>
      </c>
      <c r="I1834" s="8">
        <f ca="1">IFERROR(__xludf.DUMMYFUNCTION("""COMPUTED_VALUE"""),1)</f>
        <v>1</v>
      </c>
      <c r="J1834" s="8">
        <f ca="1">IFERROR(__xludf.DUMMYFUNCTION("""COMPUTED_VALUE"""),1)</f>
        <v>1</v>
      </c>
      <c r="K1834" s="8" t="str">
        <f ca="1">IFERROR(__xludf.DUMMYFUNCTION("""COMPUTED_VALUE"""),"http://www.post-gazette.com/local/east/2017/03/28/Linton-Middle-School-shooting-Penn-Hills/stories/201703280186  http://www.post-gazette.com/local/east/2017/11/01/Details-fatal-shooting-Deven-Holloway-NIcholas-Knight-Penn-Hills-Linton-Middle-School/storie"&amp;"s/201711010188  https://triblive.com/local/pennhills/12896996-74/district-attorney-says-deven-holloways-shooting-death-outside-penn-hills-school-was")</f>
        <v>http://www.post-gazette.com/local/east/2017/03/28/Linton-Middle-School-shooting-Penn-Hills/stories/201703280186  http://www.post-gazette.com/local/east/2017/11/01/Details-fatal-shooting-Deven-Holloway-NIcholas-Knight-Penn-Hills-Linton-Middle-School/stories/201711010188  https://triblive.com/local/pennhills/12896996-74/district-attorney-says-deven-holloways-shooting-death-outside-penn-hills-school-was</v>
      </c>
      <c r="L1834" s="8"/>
      <c r="M1834" s="8"/>
      <c r="N1834" s="8">
        <f ca="1">IFERROR(__xludf.DUMMYFUNCTION("""COMPUTED_VALUE"""),3)</f>
        <v>3</v>
      </c>
      <c r="O1834" s="8" t="str">
        <f ca="1">IFERROR(__xludf.DUMMYFUNCTION("""COMPUTED_VALUE"""),"Spring")</f>
        <v>Spring</v>
      </c>
      <c r="P1834" s="8" t="str">
        <f ca="1">IFERROR(__xludf.DUMMYFUNCTION("""COMPUTED_VALUE"""),"Penn Hills")</f>
        <v>Penn Hills</v>
      </c>
      <c r="Q1834" s="8" t="str">
        <f ca="1">IFERROR(__xludf.DUMMYFUNCTION("""COMPUTED_VALUE"""),"PA")</f>
        <v>PA</v>
      </c>
      <c r="R1834" s="8" t="str">
        <f ca="1">IFERROR(__xludf.DUMMYFUNCTION("""COMPUTED_VALUE"""),"Middle")</f>
        <v>Middle</v>
      </c>
      <c r="S1834" s="8" t="str">
        <f ca="1">IFERROR(__xludf.DUMMYFUNCTION("""COMPUTED_VALUE"""),"Parking Lot")</f>
        <v>Parking Lot</v>
      </c>
      <c r="T1834" s="8" t="str">
        <f ca="1">IFERROR(__xludf.DUMMYFUNCTION("""COMPUTED_VALUE"""),"Outside on School Property")</f>
        <v>Outside on School Property</v>
      </c>
      <c r="U1834" s="8" t="str">
        <f ca="1">IFERROR(__xludf.DUMMYFUNCTION("""COMPUTED_VALUE"""),"No")</f>
        <v>No</v>
      </c>
      <c r="V1834" s="8" t="str">
        <f ca="1">IFERROR(__xludf.DUMMYFUNCTION("""COMPUTED_VALUE"""),"After School")</f>
        <v>After School</v>
      </c>
      <c r="W1834" s="11">
        <f ca="1">IFERROR(__xludf.DUMMYFUNCTION("""COMPUTED_VALUE"""),0.6875)</f>
        <v>0.6875</v>
      </c>
      <c r="X1834" s="8">
        <f ca="1">IFERROR(__xludf.DUMMYFUNCTION("""COMPUTED_VALUE"""),1)</f>
        <v>1</v>
      </c>
      <c r="Y1834" s="12" t="str">
        <f ca="1">IFERROR(__xludf.DUMMYFUNCTION("""COMPUTED_VALUE"""),"Attempted robbery gone wrong")</f>
        <v>Attempted robbery gone wrong</v>
      </c>
      <c r="Z1834" s="12" t="str">
        <f ca="1">IFERROR(__xludf.DUMMYFUNCTION("""COMPUTED_VALUE"""),"16 year old pulled gun on 22 year old after male and three friends parked at the school to play basketball. The back seat passenger got out at which time the 16 year old robber jumped in, pulled gun, and demanded money from everyone. When they tried to re"&amp;"ason with him, the robber hit driver in the head with the gun. The robber then got out of car and shot into it. The 22 year old driver then pulled his own gun and shot/killed robber then left scene. 22YOM was later arrested but not charged.")</f>
        <v>16 year old pulled gun on 22 year old after male and three friends parked at the school to play basketball. The back seat passenger got out at which time the 16 year old robber jumped in, pulled gun, and demanded money from everyone. When they tried to reason with him, the robber hit driver in the head with the gun. The robber then got out of car and shot into it. The 22 year old driver then pulled his own gun and shot/killed robber then left scene. 22YOM was later arrested but not charged.</v>
      </c>
      <c r="AA1834" s="8" t="str">
        <f ca="1">IFERROR(__xludf.DUMMYFUNCTION("""COMPUTED_VALUE"""),"Illegal Activity")</f>
        <v>Illegal Activity</v>
      </c>
      <c r="AB1834" s="8"/>
      <c r="AC1834" s="8" t="str">
        <f ca="1">IFERROR(__xludf.DUMMYFUNCTION("""COMPUTED_VALUE"""),"No")</f>
        <v>No</v>
      </c>
      <c r="AD1834" s="8" t="str">
        <f ca="1">IFERROR(__xludf.DUMMYFUNCTION("""COMPUTED_VALUE"""),"Victims Targeted")</f>
        <v>Victims Targeted</v>
      </c>
      <c r="AE1834" s="8" t="str">
        <f ca="1">IFERROR(__xludf.DUMMYFUNCTION("""COMPUTED_VALUE"""),"Yes")</f>
        <v>Yes</v>
      </c>
      <c r="AF1834" s="8" t="str">
        <f ca="1">IFERROR(__xludf.DUMMYFUNCTION("""COMPUTED_VALUE"""),"three other men with shooter - were with him to play basketball - victims of attempted robbery.")</f>
        <v>three other men with shooter - were with him to play basketball - victims of attempted robbery.</v>
      </c>
      <c r="AG1834" s="8" t="str">
        <f ca="1">IFERROR(__xludf.DUMMYFUNCTION("""COMPUTED_VALUE"""),"No")</f>
        <v>No</v>
      </c>
      <c r="AH1834" s="8" t="str">
        <f ca="1">IFERROR(__xludf.DUMMYFUNCTION("""COMPUTED_VALUE"""),"No")</f>
        <v>No</v>
      </c>
      <c r="AI1834" s="8" t="str">
        <f ca="1">IFERROR(__xludf.DUMMYFUNCTION("""COMPUTED_VALUE"""),"No")</f>
        <v>No</v>
      </c>
      <c r="AJ1834" s="8" t="str">
        <f ca="1">IFERROR(__xludf.DUMMYFUNCTION("""COMPUTED_VALUE"""),"No")</f>
        <v>No</v>
      </c>
      <c r="AK1834" s="8" t="str">
        <f ca="1">IFERROR(__xludf.DUMMYFUNCTION("""COMPUTED_VALUE"""),"No")</f>
        <v>No</v>
      </c>
      <c r="AL1834" s="8" t="str">
        <f ca="1">IFERROR(__xludf.DUMMYFUNCTION("""COMPUTED_VALUE"""),"No")</f>
        <v>No</v>
      </c>
      <c r="AM1834" s="8" t="str">
        <f ca="1">IFERROR(__xludf.DUMMYFUNCTION("""COMPUTED_VALUE"""),"No")</f>
        <v>No</v>
      </c>
      <c r="AN1834" s="8"/>
      <c r="AO1834" s="8" t="str">
        <f ca="1">IFERROR(__xludf.DUMMYFUNCTION("""COMPUTED_VALUE"""),"No")</f>
        <v>No</v>
      </c>
      <c r="AP1834" s="8"/>
      <c r="AQ1834" s="8" t="str">
        <f ca="1">IFERROR(__xludf.DUMMYFUNCTION("""COMPUTED_VALUE"""),"Unknown")</f>
        <v>Unknown</v>
      </c>
      <c r="AR1834" s="8" t="str">
        <f ca="1">IFERROR(__xludf.DUMMYFUNCTION("""COMPUTED_VALUE"""),"NA")</f>
        <v>NA</v>
      </c>
      <c r="AS1834" s="8" t="str">
        <f ca="1">IFERROR(__xludf.DUMMYFUNCTION("""COMPUTED_VALUE"""),"&lt;5")</f>
        <v>&lt;5</v>
      </c>
      <c r="AT1834" s="8"/>
      <c r="AU1834" s="8">
        <f ca="1">IFERROR(__xludf.DUMMYFUNCTION("""COMPUTED_VALUE"""),40.48076)</f>
        <v>40.480759999999997</v>
      </c>
      <c r="AV1834" s="8">
        <f ca="1">IFERROR(__xludf.DUMMYFUNCTION("""COMPUTED_VALUE"""),-79.813268)</f>
        <v>-79.813267999999994</v>
      </c>
      <c r="AW1834" s="8"/>
      <c r="AX1834" s="8">
        <f ca="1">IFERROR(__xludf.DUMMYFUNCTION("""COMPUTED_VALUE"""),15235)</f>
        <v>15235</v>
      </c>
    </row>
    <row r="1835" spans="1:50" ht="45" x14ac:dyDescent="0.2">
      <c r="A1835" s="8" t="str">
        <f ca="1">IFERROR(__xludf.DUMMYFUNCTION("""COMPUTED_VALUE"""),"20170321CAKIK")</f>
        <v>20170321CAKIK</v>
      </c>
      <c r="B1835" s="8">
        <f ca="1">IFERROR(__xludf.DUMMYFUNCTION("""COMPUTED_VALUE"""),3)</f>
        <v>3</v>
      </c>
      <c r="C1835" s="8">
        <f ca="1">IFERROR(__xludf.DUMMYFUNCTION("""COMPUTED_VALUE"""),21)</f>
        <v>21</v>
      </c>
      <c r="D1835" s="8">
        <f ca="1">IFERROR(__xludf.DUMMYFUNCTION("""COMPUTED_VALUE"""),2017)</f>
        <v>2017</v>
      </c>
      <c r="E1835" s="9">
        <f ca="1">IFERROR(__xludf.DUMMYFUNCTION("""COMPUTED_VALUE"""),42815)</f>
        <v>42815</v>
      </c>
      <c r="F1835" s="8" t="str">
        <f ca="1">IFERROR(__xludf.DUMMYFUNCTION("""COMPUTED_VALUE"""),"King City High School")</f>
        <v>King City High School</v>
      </c>
      <c r="G1835" s="8">
        <f ca="1">IFERROR(__xludf.DUMMYFUNCTION("""COMPUTED_VALUE"""),0)</f>
        <v>0</v>
      </c>
      <c r="H1835" s="8">
        <f ca="1">IFERROR(__xludf.DUMMYFUNCTION("""COMPUTED_VALUE"""),1)</f>
        <v>1</v>
      </c>
      <c r="I1835" s="8">
        <f ca="1">IFERROR(__xludf.DUMMYFUNCTION("""COMPUTED_VALUE"""),1)</f>
        <v>1</v>
      </c>
      <c r="J1835" s="8">
        <f ca="1">IFERROR(__xludf.DUMMYFUNCTION("""COMPUTED_VALUE"""),0)</f>
        <v>0</v>
      </c>
      <c r="K1835" s="10" t="str">
        <f ca="1">IFERROR(__xludf.DUMMYFUNCTION("""COMPUTED_VALUE"""),"https://www.thecalifornian.com/story/news/my-safety/2017/03/21/authorities-hunt-king-city-school-shooting-suspect/99464446/")</f>
        <v>https://www.thecalifornian.com/story/news/my-safety/2017/03/21/authorities-hunt-king-city-school-shooting-suspect/99464446/</v>
      </c>
      <c r="L1835" s="8">
        <f ca="1">IFERROR(__xludf.DUMMYFUNCTION("""COMPUTED_VALUE"""),11)</f>
        <v>11</v>
      </c>
      <c r="M1835" s="8" t="str">
        <f ca="1">IFERROR(__xludf.DUMMYFUNCTION("""COMPUTED_VALUE"""),"Regional")</f>
        <v>Regional</v>
      </c>
      <c r="N1835" s="8">
        <f ca="1">IFERROR(__xludf.DUMMYFUNCTION("""COMPUTED_VALUE"""),3)</f>
        <v>3</v>
      </c>
      <c r="O1835" s="8" t="str">
        <f ca="1">IFERROR(__xludf.DUMMYFUNCTION("""COMPUTED_VALUE"""),"Spring")</f>
        <v>Spring</v>
      </c>
      <c r="P1835" s="8" t="str">
        <f ca="1">IFERROR(__xludf.DUMMYFUNCTION("""COMPUTED_VALUE"""),"King City")</f>
        <v>King City</v>
      </c>
      <c r="Q1835" s="8" t="str">
        <f ca="1">IFERROR(__xludf.DUMMYFUNCTION("""COMPUTED_VALUE"""),"CA")</f>
        <v>CA</v>
      </c>
      <c r="R1835" s="8" t="str">
        <f ca="1">IFERROR(__xludf.DUMMYFUNCTION("""COMPUTED_VALUE"""),"High")</f>
        <v>High</v>
      </c>
      <c r="S1835" s="8" t="str">
        <f ca="1">IFERROR(__xludf.DUMMYFUNCTION("""COMPUTED_VALUE"""),"Parking Lot")</f>
        <v>Parking Lot</v>
      </c>
      <c r="T1835" s="8" t="str">
        <f ca="1">IFERROR(__xludf.DUMMYFUNCTION("""COMPUTED_VALUE"""),"Outside on School Property")</f>
        <v>Outside on School Property</v>
      </c>
      <c r="U1835" s="8" t="str">
        <f ca="1">IFERROR(__xludf.DUMMYFUNCTION("""COMPUTED_VALUE"""),"Yes")</f>
        <v>Yes</v>
      </c>
      <c r="V1835" s="8" t="str">
        <f ca="1">IFERROR(__xludf.DUMMYFUNCTION("""COMPUTED_VALUE"""),"Morning Classes")</f>
        <v>Morning Classes</v>
      </c>
      <c r="W1835" s="11">
        <f ca="1">IFERROR(__xludf.DUMMYFUNCTION("""COMPUTED_VALUE"""),0.458333333333333)</f>
        <v>0.45833333333333298</v>
      </c>
      <c r="X1835" s="8">
        <f ca="1">IFERROR(__xludf.DUMMYFUNCTION("""COMPUTED_VALUE"""),1)</f>
        <v>1</v>
      </c>
      <c r="Y1835" s="12" t="str">
        <f ca="1">IFERROR(__xludf.DUMMYFUNCTION("""COMPUTED_VALUE"""),"Drive-by outside of school")</f>
        <v>Drive-by outside of school</v>
      </c>
      <c r="Z1835" s="12" t="str">
        <f ca="1">IFERROR(__xludf.DUMMYFUNCTION("""COMPUTED_VALUE"""),"Victim was in his car when 2 males approached and started shooting. Shooters fled and victim (student) drove himself home before he went to the hospital. Likely gang-related.")</f>
        <v>Victim was in his car when 2 males approached and started shooting. Shooters fled and victim (student) drove himself home before he went to the hospital. Likely gang-related.</v>
      </c>
      <c r="AA1835" s="8" t="str">
        <f ca="1">IFERROR(__xludf.DUMMYFUNCTION("""COMPUTED_VALUE"""),"Drive-by Shooting")</f>
        <v>Drive-by Shooting</v>
      </c>
      <c r="AB1835" s="8"/>
      <c r="AC1835" s="8" t="str">
        <f ca="1">IFERROR(__xludf.DUMMYFUNCTION("""COMPUTED_VALUE"""),"Yes")</f>
        <v>Yes</v>
      </c>
      <c r="AD1835" s="8" t="str">
        <f ca="1">IFERROR(__xludf.DUMMYFUNCTION("""COMPUTED_VALUE"""),"Victims Targeted")</f>
        <v>Victims Targeted</v>
      </c>
      <c r="AE1835" s="8" t="str">
        <f ca="1">IFERROR(__xludf.DUMMYFUNCTION("""COMPUTED_VALUE"""),"Yes")</f>
        <v>Yes</v>
      </c>
      <c r="AF1835" s="8" t="str">
        <f ca="1">IFERROR(__xludf.DUMMYFUNCTION("""COMPUTED_VALUE"""),"two fled together")</f>
        <v>two fled together</v>
      </c>
      <c r="AG1835" s="8" t="str">
        <f ca="1">IFERROR(__xludf.DUMMYFUNCTION("""COMPUTED_VALUE"""),"No")</f>
        <v>No</v>
      </c>
      <c r="AH1835" s="8" t="str">
        <f ca="1">IFERROR(__xludf.DUMMYFUNCTION("""COMPUTED_VALUE"""),"No")</f>
        <v>No</v>
      </c>
      <c r="AI1835" s="8" t="str">
        <f ca="1">IFERROR(__xludf.DUMMYFUNCTION("""COMPUTED_VALUE"""),"No")</f>
        <v>No</v>
      </c>
      <c r="AJ1835" s="8" t="str">
        <f ca="1">IFERROR(__xludf.DUMMYFUNCTION("""COMPUTED_VALUE"""),"No")</f>
        <v>No</v>
      </c>
      <c r="AK1835" s="8" t="str">
        <f ca="1">IFERROR(__xludf.DUMMYFUNCTION("""COMPUTED_VALUE"""),"No")</f>
        <v>No</v>
      </c>
      <c r="AL1835" s="8" t="str">
        <f ca="1">IFERROR(__xludf.DUMMYFUNCTION("""COMPUTED_VALUE"""),"Yes")</f>
        <v>Yes</v>
      </c>
      <c r="AM1835" s="8" t="str">
        <f ca="1">IFERROR(__xludf.DUMMYFUNCTION("""COMPUTED_VALUE"""),"No")</f>
        <v>No</v>
      </c>
      <c r="AN1835" s="8"/>
      <c r="AO1835" s="8" t="str">
        <f ca="1">IFERROR(__xludf.DUMMYFUNCTION("""COMPUTED_VALUE"""),"No")</f>
        <v>No</v>
      </c>
      <c r="AP1835" s="8"/>
      <c r="AQ1835" s="8" t="str">
        <f ca="1">IFERROR(__xludf.DUMMYFUNCTION("""COMPUTED_VALUE"""),"Unknown")</f>
        <v>Unknown</v>
      </c>
      <c r="AR1835" s="8" t="str">
        <f ca="1">IFERROR(__xludf.DUMMYFUNCTION("""COMPUTED_VALUE"""),"NA")</f>
        <v>NA</v>
      </c>
      <c r="AS1835" s="8" t="str">
        <f ca="1">IFERROR(__xludf.DUMMYFUNCTION("""COMPUTED_VALUE"""),"&lt;10")</f>
        <v>&lt;10</v>
      </c>
      <c r="AT1835" s="8" t="str">
        <f ca="1">IFERROR(__xludf.DUMMYFUNCTION("""COMPUTED_VALUE"""),"Yes")</f>
        <v>Yes</v>
      </c>
      <c r="AU1835" s="8">
        <f ca="1">IFERROR(__xludf.DUMMYFUNCTION("""COMPUTED_VALUE"""),36.209328)</f>
        <v>36.209327999999999</v>
      </c>
      <c r="AV1835" s="8">
        <f ca="1">IFERROR(__xludf.DUMMYFUNCTION("""COMPUTED_VALUE"""),-121.134212)</f>
        <v>-121.13421200000001</v>
      </c>
      <c r="AW1835" s="8"/>
      <c r="AX1835" s="8">
        <f ca="1">IFERROR(__xludf.DUMMYFUNCTION("""COMPUTED_VALUE"""),93930)</f>
        <v>93930</v>
      </c>
    </row>
    <row r="1836" spans="1:50" ht="75" x14ac:dyDescent="0.2">
      <c r="A1836" s="8" t="str">
        <f ca="1">IFERROR(__xludf.DUMMYFUNCTION("""COMPUTED_VALUE"""),"20170316ALROM")</f>
        <v>20170316ALROM</v>
      </c>
      <c r="B1836" s="8">
        <f ca="1">IFERROR(__xludf.DUMMYFUNCTION("""COMPUTED_VALUE"""),3)</f>
        <v>3</v>
      </c>
      <c r="C1836" s="8">
        <f ca="1">IFERROR(__xludf.DUMMYFUNCTION("""COMPUTED_VALUE"""),16)</f>
        <v>16</v>
      </c>
      <c r="D1836" s="8">
        <f ca="1">IFERROR(__xludf.DUMMYFUNCTION("""COMPUTED_VALUE"""),2017)</f>
        <v>2017</v>
      </c>
      <c r="E1836" s="9">
        <f ca="1">IFERROR(__xludf.DUMMYFUNCTION("""COMPUTED_VALUE"""),42810)</f>
        <v>42810</v>
      </c>
      <c r="F1836" s="8" t="str">
        <f ca="1">IFERROR(__xludf.DUMMYFUNCTION("""COMPUTED_VALUE"""),"Robert E. Lee High School")</f>
        <v>Robert E. Lee High School</v>
      </c>
      <c r="G1836" s="8">
        <f ca="1">IFERROR(__xludf.DUMMYFUNCTION("""COMPUTED_VALUE"""),0)</f>
        <v>0</v>
      </c>
      <c r="H1836" s="8">
        <f ca="1">IFERROR(__xludf.DUMMYFUNCTION("""COMPUTED_VALUE"""),1)</f>
        <v>1</v>
      </c>
      <c r="I1836" s="8">
        <f ca="1">IFERROR(__xludf.DUMMYFUNCTION("""COMPUTED_VALUE"""),1)</f>
        <v>1</v>
      </c>
      <c r="J1836" s="8">
        <f ca="1">IFERROR(__xludf.DUMMYFUNCTION("""COMPUTED_VALUE"""),0)</f>
        <v>0</v>
      </c>
      <c r="K1836" s="8" t="str">
        <f ca="1">IFERROR(__xludf.DUMMYFUNCTION("""COMPUTED_VALUE"""),"https://www.wsfa.com/story/34932957/16-year-old-charged-in-shooting-that-injured-lee-high-school-student/ https://www.montgomeryadvertiser.com/story/news/2017/03/16/one-injured-shooting-near-robert-e-lee-high-school/99271332/")</f>
        <v>https://www.wsfa.com/story/34932957/16-year-old-charged-in-shooting-that-injured-lee-high-school-student/ https://www.montgomeryadvertiser.com/story/news/2017/03/16/one-injured-shooting-near-robert-e-lee-high-school/99271332/</v>
      </c>
      <c r="L1836" s="8"/>
      <c r="M1836" s="8" t="str">
        <f ca="1">IFERROR(__xludf.DUMMYFUNCTION("""COMPUTED_VALUE"""),"Local")</f>
        <v>Local</v>
      </c>
      <c r="N1836" s="8">
        <f ca="1">IFERROR(__xludf.DUMMYFUNCTION("""COMPUTED_VALUE"""),4)</f>
        <v>4</v>
      </c>
      <c r="O1836" s="8" t="str">
        <f ca="1">IFERROR(__xludf.DUMMYFUNCTION("""COMPUTED_VALUE"""),"Spring")</f>
        <v>Spring</v>
      </c>
      <c r="P1836" s="8" t="str">
        <f ca="1">IFERROR(__xludf.DUMMYFUNCTION("""COMPUTED_VALUE"""),"Montgomery")</f>
        <v>Montgomery</v>
      </c>
      <c r="Q1836" s="8" t="str">
        <f ca="1">IFERROR(__xludf.DUMMYFUNCTION("""COMPUTED_VALUE"""),"AL")</f>
        <v>AL</v>
      </c>
      <c r="R1836" s="8" t="str">
        <f ca="1">IFERROR(__xludf.DUMMYFUNCTION("""COMPUTED_VALUE"""),"High")</f>
        <v>High</v>
      </c>
      <c r="S1836" s="8" t="str">
        <f ca="1">IFERROR(__xludf.DUMMYFUNCTION("""COMPUTED_VALUE"""),"Parking Lot")</f>
        <v>Parking Lot</v>
      </c>
      <c r="T1836" s="8" t="str">
        <f ca="1">IFERROR(__xludf.DUMMYFUNCTION("""COMPUTED_VALUE"""),"Outside on School Property")</f>
        <v>Outside on School Property</v>
      </c>
      <c r="U1836" s="8" t="str">
        <f ca="1">IFERROR(__xludf.DUMMYFUNCTION("""COMPUTED_VALUE"""),"Yes")</f>
        <v>Yes</v>
      </c>
      <c r="V1836" s="8" t="str">
        <f ca="1">IFERROR(__xludf.DUMMYFUNCTION("""COMPUTED_VALUE"""),"Dismissal")</f>
        <v>Dismissal</v>
      </c>
      <c r="W1836" s="11">
        <f ca="1">IFERROR(__xludf.DUMMYFUNCTION("""COMPUTED_VALUE"""),0.625)</f>
        <v>0.625</v>
      </c>
      <c r="X1836" s="8">
        <f ca="1">IFERROR(__xludf.DUMMYFUNCTION("""COMPUTED_VALUE"""),1)</f>
        <v>1</v>
      </c>
      <c r="Y1836" s="12" t="str">
        <f ca="1">IFERROR(__xludf.DUMMYFUNCTION("""COMPUTED_VALUE"""),"Student fired shot at targeted student leaving school, missed and struck female student")</f>
        <v>Student fired shot at targeted student leaving school, missed and struck female student</v>
      </c>
      <c r="Z1836" s="12" t="str">
        <f ca="1">IFERROR(__xludf.DUMMYFUNCTION("""COMPUTED_VALUE"""),"16YOM student left school to get gun and returned at dismissal. He fired a specific student he targeted while he was leaving the school with a group of students. Shot missed and struck female student. Target fled area and shooter fired shots at him leavin"&amp;"g the area in a vehicle.")</f>
        <v>16YOM student left school to get gun and returned at dismissal. He fired a specific student he targeted while he was leaving the school with a group of students. Shot missed and struck female student. Target fled area and shooter fired shots at him leaving the area in a vehicle.</v>
      </c>
      <c r="AA1836" s="8" t="str">
        <f ca="1">IFERROR(__xludf.DUMMYFUNCTION("""COMPUTED_VALUE"""),"Escalation of Dispute")</f>
        <v>Escalation of Dispute</v>
      </c>
      <c r="AB1836" s="8"/>
      <c r="AC1836" s="8" t="str">
        <f ca="1">IFERROR(__xludf.DUMMYFUNCTION("""COMPUTED_VALUE"""),"Yes")</f>
        <v>Yes</v>
      </c>
      <c r="AD1836" s="8" t="str">
        <f ca="1">IFERROR(__xludf.DUMMYFUNCTION("""COMPUTED_VALUE"""),"Both")</f>
        <v>Both</v>
      </c>
      <c r="AE1836" s="8" t="str">
        <f ca="1">IFERROR(__xludf.DUMMYFUNCTION("""COMPUTED_VALUE"""),"No")</f>
        <v>No</v>
      </c>
      <c r="AF1836" s="8"/>
      <c r="AG1836" s="8" t="str">
        <f ca="1">IFERROR(__xludf.DUMMYFUNCTION("""COMPUTED_VALUE"""),"No")</f>
        <v>No</v>
      </c>
      <c r="AH1836" s="8" t="str">
        <f ca="1">IFERROR(__xludf.DUMMYFUNCTION("""COMPUTED_VALUE"""),"No")</f>
        <v>No</v>
      </c>
      <c r="AI1836" s="8" t="str">
        <f ca="1">IFERROR(__xludf.DUMMYFUNCTION("""COMPUTED_VALUE"""),"No")</f>
        <v>No</v>
      </c>
      <c r="AJ1836" s="8"/>
      <c r="AK1836" s="8" t="str">
        <f ca="1">IFERROR(__xludf.DUMMYFUNCTION("""COMPUTED_VALUE"""),"No")</f>
        <v>No</v>
      </c>
      <c r="AL1836" s="8" t="str">
        <f ca="1">IFERROR(__xludf.DUMMYFUNCTION("""COMPUTED_VALUE"""),"No")</f>
        <v>No</v>
      </c>
      <c r="AM1836" s="8" t="str">
        <f ca="1">IFERROR(__xludf.DUMMYFUNCTION("""COMPUTED_VALUE"""),"No")</f>
        <v>No</v>
      </c>
      <c r="AN1836" s="8"/>
      <c r="AO1836" s="8" t="str">
        <f ca="1">IFERROR(__xludf.DUMMYFUNCTION("""COMPUTED_VALUE"""),"No")</f>
        <v>No</v>
      </c>
      <c r="AP1836" s="8"/>
      <c r="AQ1836" s="8" t="str">
        <f ca="1">IFERROR(__xludf.DUMMYFUNCTION("""COMPUTED_VALUE"""),"Unknown")</f>
        <v>Unknown</v>
      </c>
      <c r="AR1836" s="8" t="str">
        <f ca="1">IFERROR(__xludf.DUMMYFUNCTION("""COMPUTED_VALUE"""),"NA")</f>
        <v>NA</v>
      </c>
      <c r="AS1836" s="8"/>
      <c r="AT1836" s="8"/>
      <c r="AU1836" s="8">
        <f ca="1">IFERROR(__xludf.DUMMYFUNCTION("""COMPUTED_VALUE"""),32.378476)</f>
        <v>32.378475999999999</v>
      </c>
      <c r="AV1836" s="8">
        <f ca="1">IFERROR(__xludf.DUMMYFUNCTION("""COMPUTED_VALUE"""),-86.271742)</f>
        <v>-86.271742000000003</v>
      </c>
      <c r="AW1836" s="8"/>
      <c r="AX1836" s="8">
        <f ca="1">IFERROR(__xludf.DUMMYFUNCTION("""COMPUTED_VALUE"""),36107)</f>
        <v>36107</v>
      </c>
    </row>
    <row r="1837" spans="1:50" ht="105" x14ac:dyDescent="0.2">
      <c r="A1837" s="8" t="str">
        <f ca="1">IFERROR(__xludf.DUMMYFUNCTION("""COMPUTED_VALUE"""),"20170218MNMAM")</f>
        <v>20170218MNMAM</v>
      </c>
      <c r="B1837" s="8">
        <f ca="1">IFERROR(__xludf.DUMMYFUNCTION("""COMPUTED_VALUE"""),2)</f>
        <v>2</v>
      </c>
      <c r="C1837" s="8">
        <f ca="1">IFERROR(__xludf.DUMMYFUNCTION("""COMPUTED_VALUE"""),18)</f>
        <v>18</v>
      </c>
      <c r="D1837" s="8">
        <f ca="1">IFERROR(__xludf.DUMMYFUNCTION("""COMPUTED_VALUE"""),2017)</f>
        <v>2017</v>
      </c>
      <c r="E1837" s="9">
        <f ca="1">IFERROR(__xludf.DUMMYFUNCTION("""COMPUTED_VALUE"""),42784)</f>
        <v>42784</v>
      </c>
      <c r="F1837" s="8" t="str">
        <f ca="1">IFERROR(__xludf.DUMMYFUNCTION("""COMPUTED_VALUE"""),"Maplewood Middle School")</f>
        <v>Maplewood Middle School</v>
      </c>
      <c r="G1837" s="8">
        <f ca="1">IFERROR(__xludf.DUMMYFUNCTION("""COMPUTED_VALUE"""),0)</f>
        <v>0</v>
      </c>
      <c r="H1837" s="8">
        <f ca="1">IFERROR(__xludf.DUMMYFUNCTION("""COMPUTED_VALUE"""),0)</f>
        <v>0</v>
      </c>
      <c r="I1837" s="8">
        <f ca="1">IFERROR(__xludf.DUMMYFUNCTION("""COMPUTED_VALUE"""),0)</f>
        <v>0</v>
      </c>
      <c r="J1837" s="8">
        <f ca="1">IFERROR(__xludf.DUMMYFUNCTION("""COMPUTED_VALUE"""),1)</f>
        <v>1</v>
      </c>
      <c r="K1837" s="10" t="str">
        <f ca="1">IFERROR(__xludf.DUMMYFUNCTION("""COMPUTED_VALUE"""),"https://www.twincities.com/2017/02/18/man-kidnaps-ex-fiancee-kills-himself-in-middle-school-parking-lot/")</f>
        <v>https://www.twincities.com/2017/02/18/man-kidnaps-ex-fiancee-kills-himself-in-middle-school-parking-lot/</v>
      </c>
      <c r="L1837" s="8">
        <f ca="1">IFERROR(__xludf.DUMMYFUNCTION("""COMPUTED_VALUE"""),1)</f>
        <v>1</v>
      </c>
      <c r="M1837" s="8" t="str">
        <f ca="1">IFERROR(__xludf.DUMMYFUNCTION("""COMPUTED_VALUE"""),"Local")</f>
        <v>Local</v>
      </c>
      <c r="N1837" s="8">
        <f ca="1">IFERROR(__xludf.DUMMYFUNCTION("""COMPUTED_VALUE"""),2)</f>
        <v>2</v>
      </c>
      <c r="O1837" s="8" t="str">
        <f ca="1">IFERROR(__xludf.DUMMYFUNCTION("""COMPUTED_VALUE"""),"Winter")</f>
        <v>Winter</v>
      </c>
      <c r="P1837" s="8" t="str">
        <f ca="1">IFERROR(__xludf.DUMMYFUNCTION("""COMPUTED_VALUE"""),"Maplewood")</f>
        <v>Maplewood</v>
      </c>
      <c r="Q1837" s="8" t="str">
        <f ca="1">IFERROR(__xludf.DUMMYFUNCTION("""COMPUTED_VALUE"""),"MN")</f>
        <v>MN</v>
      </c>
      <c r="R1837" s="8" t="str">
        <f ca="1">IFERROR(__xludf.DUMMYFUNCTION("""COMPUTED_VALUE"""),"Middle")</f>
        <v>Middle</v>
      </c>
      <c r="S1837" s="8" t="str">
        <f ca="1">IFERROR(__xludf.DUMMYFUNCTION("""COMPUTED_VALUE"""),"Parking Lot")</f>
        <v>Parking Lot</v>
      </c>
      <c r="T1837" s="8" t="str">
        <f ca="1">IFERROR(__xludf.DUMMYFUNCTION("""COMPUTED_VALUE"""),"Outside on School Property")</f>
        <v>Outside on School Property</v>
      </c>
      <c r="U1837" s="8" t="str">
        <f ca="1">IFERROR(__xludf.DUMMYFUNCTION("""COMPUTED_VALUE"""),"No")</f>
        <v>No</v>
      </c>
      <c r="V1837" s="8" t="str">
        <f ca="1">IFERROR(__xludf.DUMMYFUNCTION("""COMPUTED_VALUE"""),"Not a School Day")</f>
        <v>Not a School Day</v>
      </c>
      <c r="W1837" s="11">
        <f ca="1">IFERROR(__xludf.DUMMYFUNCTION("""COMPUTED_VALUE"""),0.25)</f>
        <v>0.25</v>
      </c>
      <c r="X1837" s="8"/>
      <c r="Y1837" s="12" t="str">
        <f ca="1">IFERROR(__xludf.DUMMYFUNCTION("""COMPUTED_VALUE"""),"Estranged fiance kidnaps the mother of his child (victim), kills himself at the school's parking lot, no relation to school")</f>
        <v>Estranged fiance kidnaps the mother of his child (victim), kills himself at the school's parking lot, no relation to school</v>
      </c>
      <c r="Z1837" s="12" t="str">
        <f ca="1">IFERROR(__xludf.DUMMYFUNCTION("""COMPUTED_VALUE"""),"Victim was being dropped off at her brother's house by a third party. Shooter was her estranged fiance who she had a child with. Shooter pointed a gun at them and kidnapped victim, drove her to the school's parking lot where she escaped, and and then shoo"&amp;"ter shot himself.")</f>
        <v>Victim was being dropped off at her brother's house by a third party. Shooter was her estranged fiance who she had a child with. Shooter pointed a gun at them and kidnapped victim, drove her to the school's parking lot where she escaped, and and then shooter shot himself.</v>
      </c>
      <c r="AA1837" s="8" t="str">
        <f ca="1">IFERROR(__xludf.DUMMYFUNCTION("""COMPUTED_VALUE"""),"Suicide/Attempted")</f>
        <v>Suicide/Attempted</v>
      </c>
      <c r="AB1837" s="8"/>
      <c r="AC1837" s="8" t="str">
        <f ca="1">IFERROR(__xludf.DUMMYFUNCTION("""COMPUTED_VALUE"""),"No")</f>
        <v>No</v>
      </c>
      <c r="AD1837" s="8" t="str">
        <f ca="1">IFERROR(__xludf.DUMMYFUNCTION("""COMPUTED_VALUE"""),"Victims Targeted")</f>
        <v>Victims Targeted</v>
      </c>
      <c r="AE1837" s="8" t="str">
        <f ca="1">IFERROR(__xludf.DUMMYFUNCTION("""COMPUTED_VALUE"""),"No")</f>
        <v>No</v>
      </c>
      <c r="AF1837" s="8"/>
      <c r="AG1837" s="8" t="str">
        <f ca="1">IFERROR(__xludf.DUMMYFUNCTION("""COMPUTED_VALUE"""),"Yes")</f>
        <v>Yes</v>
      </c>
      <c r="AH1837" s="8" t="str">
        <f ca="1">IFERROR(__xludf.DUMMYFUNCTION("""COMPUTED_VALUE"""),"No")</f>
        <v>No</v>
      </c>
      <c r="AI1837" s="8" t="str">
        <f ca="1">IFERROR(__xludf.DUMMYFUNCTION("""COMPUTED_VALUE"""),"No")</f>
        <v>No</v>
      </c>
      <c r="AJ1837" s="8" t="str">
        <f ca="1">IFERROR(__xludf.DUMMYFUNCTION("""COMPUTED_VALUE"""),"N/A")</f>
        <v>N/A</v>
      </c>
      <c r="AK1837" s="8"/>
      <c r="AL1837" s="8" t="str">
        <f ca="1">IFERROR(__xludf.DUMMYFUNCTION("""COMPUTED_VALUE"""),"No")</f>
        <v>No</v>
      </c>
      <c r="AM1837" s="8" t="str">
        <f ca="1">IFERROR(__xludf.DUMMYFUNCTION("""COMPUTED_VALUE"""),"No")</f>
        <v>No</v>
      </c>
      <c r="AN1837" s="8"/>
      <c r="AO1837" s="8" t="str">
        <f ca="1">IFERROR(__xludf.DUMMYFUNCTION("""COMPUTED_VALUE"""),"No")</f>
        <v>No</v>
      </c>
      <c r="AP1837" s="8"/>
      <c r="AQ1837" s="8" t="str">
        <f ca="1">IFERROR(__xludf.DUMMYFUNCTION("""COMPUTED_VALUE"""),"Unknown")</f>
        <v>Unknown</v>
      </c>
      <c r="AR1837" s="8" t="str">
        <f ca="1">IFERROR(__xludf.DUMMYFUNCTION("""COMPUTED_VALUE"""),"NA")</f>
        <v>NA</v>
      </c>
      <c r="AS1837" s="8">
        <f ca="1">IFERROR(__xludf.DUMMYFUNCTION("""COMPUTED_VALUE"""),1)</f>
        <v>1</v>
      </c>
      <c r="AT1837" s="8"/>
      <c r="AU1837" s="8">
        <f ca="1">IFERROR(__xludf.DUMMYFUNCTION("""COMPUTED_VALUE"""),44.998161)</f>
        <v>44.998161000000003</v>
      </c>
      <c r="AV1837" s="8">
        <f ca="1">IFERROR(__xludf.DUMMYFUNCTION("""COMPUTED_VALUE"""),-92.999321)</f>
        <v>-92.999320999999995</v>
      </c>
      <c r="AW1837" s="8"/>
      <c r="AX1837" s="8">
        <f ca="1">IFERROR(__xludf.DUMMYFUNCTION("""COMPUTED_VALUE"""),55109)</f>
        <v>55109</v>
      </c>
    </row>
    <row r="1838" spans="1:50" ht="75" x14ac:dyDescent="0.2">
      <c r="A1838" s="8" t="str">
        <f ca="1">IFERROR(__xludf.DUMMYFUNCTION("""COMPUTED_VALUE"""),"20170206LASCB")</f>
        <v>20170206LASCB</v>
      </c>
      <c r="B1838" s="8">
        <f ca="1">IFERROR(__xludf.DUMMYFUNCTION("""COMPUTED_VALUE"""),2)</f>
        <v>2</v>
      </c>
      <c r="C1838" s="8">
        <f ca="1">IFERROR(__xludf.DUMMYFUNCTION("""COMPUTED_VALUE"""),6)</f>
        <v>6</v>
      </c>
      <c r="D1838" s="8">
        <f ca="1">IFERROR(__xludf.DUMMYFUNCTION("""COMPUTED_VALUE"""),2017)</f>
        <v>2017</v>
      </c>
      <c r="E1838" s="9">
        <f ca="1">IFERROR(__xludf.DUMMYFUNCTION("""COMPUTED_VALUE"""),42772)</f>
        <v>42772</v>
      </c>
      <c r="F1838" s="8" t="str">
        <f ca="1">IFERROR(__xludf.DUMMYFUNCTION("""COMPUTED_VALUE"""),"Scotlandville Magnet High School")</f>
        <v>Scotlandville Magnet High School</v>
      </c>
      <c r="G1838" s="8">
        <f ca="1">IFERROR(__xludf.DUMMYFUNCTION("""COMPUTED_VALUE"""),0)</f>
        <v>0</v>
      </c>
      <c r="H1838" s="8">
        <f ca="1">IFERROR(__xludf.DUMMYFUNCTION("""COMPUTED_VALUE"""),0)</f>
        <v>0</v>
      </c>
      <c r="I1838" s="8">
        <f ca="1">IFERROR(__xludf.DUMMYFUNCTION("""COMPUTED_VALUE"""),0)</f>
        <v>0</v>
      </c>
      <c r="J1838" s="8">
        <f ca="1">IFERROR(__xludf.DUMMYFUNCTION("""COMPUTED_VALUE"""),0)</f>
        <v>0</v>
      </c>
      <c r="K1838" s="10" t="str">
        <f ca="1">IFERROR(__xludf.DUMMYFUNCTION("""COMPUTED_VALUE"""),"http://www.theadvocate.com/baton_rouge/news/crime_police/article_c0f86974-ed92-11e6-98ec-1fec7cb6253b.html")</f>
        <v>http://www.theadvocate.com/baton_rouge/news/crime_police/article_c0f86974-ed92-11e6-98ec-1fec7cb6253b.html</v>
      </c>
      <c r="L1838" s="8"/>
      <c r="M1838" s="8"/>
      <c r="N1838" s="8">
        <f ca="1">IFERROR(__xludf.DUMMYFUNCTION("""COMPUTED_VALUE"""),2)</f>
        <v>2</v>
      </c>
      <c r="O1838" s="8" t="str">
        <f ca="1">IFERROR(__xludf.DUMMYFUNCTION("""COMPUTED_VALUE"""),"Winter")</f>
        <v>Winter</v>
      </c>
      <c r="P1838" s="8" t="str">
        <f ca="1">IFERROR(__xludf.DUMMYFUNCTION("""COMPUTED_VALUE"""),"Baton Rouge")</f>
        <v>Baton Rouge</v>
      </c>
      <c r="Q1838" s="8" t="str">
        <f ca="1">IFERROR(__xludf.DUMMYFUNCTION("""COMPUTED_VALUE"""),"LA")</f>
        <v>LA</v>
      </c>
      <c r="R1838" s="8" t="str">
        <f ca="1">IFERROR(__xludf.DUMMYFUNCTION("""COMPUTED_VALUE"""),"High")</f>
        <v>High</v>
      </c>
      <c r="S1838" s="8" t="str">
        <f ca="1">IFERROR(__xludf.DUMMYFUNCTION("""COMPUTED_VALUE"""),"Outside on School Property")</f>
        <v>Outside on School Property</v>
      </c>
      <c r="T1838" s="8" t="str">
        <f ca="1">IFERROR(__xludf.DUMMYFUNCTION("""COMPUTED_VALUE"""),"Outside on School Property")</f>
        <v>Outside on School Property</v>
      </c>
      <c r="U1838" s="8" t="str">
        <f ca="1">IFERROR(__xludf.DUMMYFUNCTION("""COMPUTED_VALUE"""),"Yes")</f>
        <v>Yes</v>
      </c>
      <c r="V1838" s="8" t="str">
        <f ca="1">IFERROR(__xludf.DUMMYFUNCTION("""COMPUTED_VALUE"""),"Lunch")</f>
        <v>Lunch</v>
      </c>
      <c r="W1838" s="11">
        <f ca="1">IFERROR(__xludf.DUMMYFUNCTION("""COMPUTED_VALUE"""),0.5)</f>
        <v>0.5</v>
      </c>
      <c r="X1838" s="8">
        <f ca="1">IFERROR(__xludf.DUMMYFUNCTION("""COMPUTED_VALUE"""),1)</f>
        <v>1</v>
      </c>
      <c r="Y1838" s="12" t="str">
        <f ca="1">IFERROR(__xludf.DUMMYFUNCTION("""COMPUTED_VALUE"""),"Shots fired (all missed) during argument")</f>
        <v>Shots fired (all missed) during argument</v>
      </c>
      <c r="Z1838" s="12" t="str">
        <f ca="1">IFERROR(__xludf.DUMMYFUNCTION("""COMPUTED_VALUE"""),"The shooter was about to get into a fight with 2 other students (with whom he had an online argument) on campus when he took out a gun and fired 3 times. No one was hurt. The shooter fled the area but was arrested by an officer later. School was put on lo"&amp;"ckdown.")</f>
        <v>The shooter was about to get into a fight with 2 other students (with whom he had an online argument) on campus when he took out a gun and fired 3 times. No one was hurt. The shooter fled the area but was arrested by an officer later. School was put on lockdown.</v>
      </c>
      <c r="AA1838" s="8" t="str">
        <f ca="1">IFERROR(__xludf.DUMMYFUNCTION("""COMPUTED_VALUE"""),"Escalation of Dispute")</f>
        <v>Escalation of Dispute</v>
      </c>
      <c r="AB1838" s="8"/>
      <c r="AC1838" s="8" t="str">
        <f ca="1">IFERROR(__xludf.DUMMYFUNCTION("""COMPUTED_VALUE"""),"Yes")</f>
        <v>Yes</v>
      </c>
      <c r="AD1838" s="8" t="str">
        <f ca="1">IFERROR(__xludf.DUMMYFUNCTION("""COMPUTED_VALUE"""),"Neither")</f>
        <v>Neither</v>
      </c>
      <c r="AE1838" s="8"/>
      <c r="AF1838" s="8"/>
      <c r="AG1838" s="8" t="str">
        <f ca="1">IFERROR(__xludf.DUMMYFUNCTION("""COMPUTED_VALUE"""),"No")</f>
        <v>No</v>
      </c>
      <c r="AH1838" s="8" t="str">
        <f ca="1">IFERROR(__xludf.DUMMYFUNCTION("""COMPUTED_VALUE"""),"No")</f>
        <v>No</v>
      </c>
      <c r="AI1838" s="8" t="str">
        <f ca="1">IFERROR(__xludf.DUMMYFUNCTION("""COMPUTED_VALUE"""),"No")</f>
        <v>No</v>
      </c>
      <c r="AJ1838" s="8"/>
      <c r="AK1838" s="8"/>
      <c r="AL1838" s="8" t="str">
        <f ca="1">IFERROR(__xludf.DUMMYFUNCTION("""COMPUTED_VALUE"""),"No")</f>
        <v>No</v>
      </c>
      <c r="AM1838" s="8" t="str">
        <f ca="1">IFERROR(__xludf.DUMMYFUNCTION("""COMPUTED_VALUE"""),"No")</f>
        <v>No</v>
      </c>
      <c r="AN1838" s="8"/>
      <c r="AO1838" s="8" t="str">
        <f ca="1">IFERROR(__xludf.DUMMYFUNCTION("""COMPUTED_VALUE"""),"No")</f>
        <v>No</v>
      </c>
      <c r="AP1838" s="8" t="str">
        <f ca="1">IFERROR(__xludf.DUMMYFUNCTION("""COMPUTED_VALUE"""),"No")</f>
        <v>No</v>
      </c>
      <c r="AQ1838" s="8" t="str">
        <f ca="1">IFERROR(__xludf.DUMMYFUNCTION("""COMPUTED_VALUE"""),"None")</f>
        <v>None</v>
      </c>
      <c r="AR1838" s="8" t="str">
        <f ca="1">IFERROR(__xludf.DUMMYFUNCTION("""COMPUTED_VALUE"""),"NA")</f>
        <v>NA</v>
      </c>
      <c r="AS1838" s="8">
        <f ca="1">IFERROR(__xludf.DUMMYFUNCTION("""COMPUTED_VALUE"""),3)</f>
        <v>3</v>
      </c>
      <c r="AT1838" s="8" t="str">
        <f ca="1">IFERROR(__xludf.DUMMYFUNCTION("""COMPUTED_VALUE"""),"Yes")</f>
        <v>Yes</v>
      </c>
      <c r="AU1838" s="8">
        <f ca="1">IFERROR(__xludf.DUMMYFUNCTION("""COMPUTED_VALUE"""),30.53365)</f>
        <v>30.533650000000002</v>
      </c>
      <c r="AV1838" s="8">
        <f ca="1">IFERROR(__xludf.DUMMYFUNCTION("""COMPUTED_VALUE"""),-91.177851)</f>
        <v>-91.177851000000004</v>
      </c>
      <c r="AW1838" s="8"/>
      <c r="AX1838" s="8">
        <f ca="1">IFERROR(__xludf.DUMMYFUNCTION("""COMPUTED_VALUE"""),70807)</f>
        <v>70807</v>
      </c>
    </row>
    <row r="1839" spans="1:50" ht="150" x14ac:dyDescent="0.2">
      <c r="A1839" s="8" t="str">
        <f ca="1">IFERROR(__xludf.DUMMYFUNCTION("""COMPUTED_VALUE"""),"20170127SCSOA")</f>
        <v>20170127SCSOA</v>
      </c>
      <c r="B1839" s="8">
        <f ca="1">IFERROR(__xludf.DUMMYFUNCTION("""COMPUTED_VALUE"""),1)</f>
        <v>1</v>
      </c>
      <c r="C1839" s="8">
        <f ca="1">IFERROR(__xludf.DUMMYFUNCTION("""COMPUTED_VALUE"""),27)</f>
        <v>27</v>
      </c>
      <c r="D1839" s="8">
        <f ca="1">IFERROR(__xludf.DUMMYFUNCTION("""COMPUTED_VALUE"""),2017)</f>
        <v>2017</v>
      </c>
      <c r="E1839" s="9">
        <f ca="1">IFERROR(__xludf.DUMMYFUNCTION("""COMPUTED_VALUE"""),42762)</f>
        <v>42762</v>
      </c>
      <c r="F1839" s="8" t="str">
        <f ca="1">IFERROR(__xludf.DUMMYFUNCTION("""COMPUTED_VALUE"""),"South Aiken High School")</f>
        <v>South Aiken High School</v>
      </c>
      <c r="G1839" s="8">
        <f ca="1">IFERROR(__xludf.DUMMYFUNCTION("""COMPUTED_VALUE"""),0)</f>
        <v>0</v>
      </c>
      <c r="H1839" s="8">
        <f ca="1">IFERROR(__xludf.DUMMYFUNCTION("""COMPUTED_VALUE"""),3)</f>
        <v>3</v>
      </c>
      <c r="I1839" s="8">
        <f ca="1">IFERROR(__xludf.DUMMYFUNCTION("""COMPUTED_VALUE"""),3)</f>
        <v>3</v>
      </c>
      <c r="J1839" s="8">
        <f ca="1">IFERROR(__xludf.DUMMYFUNCTION("""COMPUTED_VALUE"""),0)</f>
        <v>0</v>
      </c>
      <c r="K1839" s="8" t="str">
        <f ca="1">IFERROR(__xludf.DUMMYFUNCTION("""COMPUTED_VALUE"""),"https://www.postandcourier.com/aikenstandard/news/suspect-in-2017-shooting-at-south-aiken-high-school-pleads-guilty/article_3297d982-721b-11eb-8b66-63e7255c0916.html https://www.aikenstandard.com/news/two-charged-in-connection-with-south-aiken-high-school"&amp;"-shooting/article_b4e9779c-e97b-11e6-aa68-974774435f6b.html")</f>
        <v>https://www.postandcourier.com/aikenstandard/news/suspect-in-2017-shooting-at-south-aiken-high-school-pleads-guilty/article_3297d982-721b-11eb-8b66-63e7255c0916.html https://www.aikenstandard.com/news/two-charged-in-connection-with-south-aiken-high-school-shooting/article_b4e9779c-e97b-11e6-aa68-974774435f6b.html</v>
      </c>
      <c r="L1839" s="8">
        <f ca="1">IFERROR(__xludf.DUMMYFUNCTION("""COMPUTED_VALUE"""),2)</f>
        <v>2</v>
      </c>
      <c r="M1839" s="8" t="str">
        <f ca="1">IFERROR(__xludf.DUMMYFUNCTION("""COMPUTED_VALUE"""),"Local")</f>
        <v>Local</v>
      </c>
      <c r="N1839" s="8">
        <f ca="1">IFERROR(__xludf.DUMMYFUNCTION("""COMPUTED_VALUE"""),5)</f>
        <v>5</v>
      </c>
      <c r="O1839" s="8" t="str">
        <f ca="1">IFERROR(__xludf.DUMMYFUNCTION("""COMPUTED_VALUE"""),"Winter")</f>
        <v>Winter</v>
      </c>
      <c r="P1839" s="8" t="str">
        <f ca="1">IFERROR(__xludf.DUMMYFUNCTION("""COMPUTED_VALUE"""),"Aiken")</f>
        <v>Aiken</v>
      </c>
      <c r="Q1839" s="8" t="str">
        <f ca="1">IFERROR(__xludf.DUMMYFUNCTION("""COMPUTED_VALUE"""),"SC")</f>
        <v>SC</v>
      </c>
      <c r="R1839" s="8" t="str">
        <f ca="1">IFERROR(__xludf.DUMMYFUNCTION("""COMPUTED_VALUE"""),"High")</f>
        <v>High</v>
      </c>
      <c r="S1839" s="8" t="str">
        <f ca="1">IFERROR(__xludf.DUMMYFUNCTION("""COMPUTED_VALUE"""),"Beside Building")</f>
        <v>Beside Building</v>
      </c>
      <c r="T1839" s="8" t="str">
        <f ca="1">IFERROR(__xludf.DUMMYFUNCTION("""COMPUTED_VALUE"""),"Outside on School Property")</f>
        <v>Outside on School Property</v>
      </c>
      <c r="U1839" s="8" t="str">
        <f ca="1">IFERROR(__xludf.DUMMYFUNCTION("""COMPUTED_VALUE"""),"No")</f>
        <v>No</v>
      </c>
      <c r="V1839" s="8" t="str">
        <f ca="1">IFERROR(__xludf.DUMMYFUNCTION("""COMPUTED_VALUE"""),"Sport Event")</f>
        <v>Sport Event</v>
      </c>
      <c r="W1839" s="11">
        <f ca="1">IFERROR(__xludf.DUMMYFUNCTION("""COMPUTED_VALUE"""),0.875)</f>
        <v>0.875</v>
      </c>
      <c r="X1839" s="8">
        <f ca="1">IFERROR(__xludf.DUMMYFUNCTION("""COMPUTED_VALUE"""),1)</f>
        <v>1</v>
      </c>
      <c r="Y1839" s="12" t="str">
        <f ca="1">IFERROR(__xludf.DUMMYFUNCTION("""COMPUTED_VALUE"""),"Fight outside basketball game (rival schools)")</f>
        <v>Fight outside basketball game (rival schools)</v>
      </c>
      <c r="Z1839" s="12" t="str">
        <f ca="1">IFERROR(__xludf.DUMMYFUNCTION("""COMPUTED_VALUE"""),"Large fight outside of basketball game attended by 1000 people. Two men flashed guns at each other prior to the fight. Multiple shots were fired striking 3 people (15-year-old female student, 14-year-old female student, and adult male). 18-year-old male a"&amp;"nd 19-year-old male were charged with carrying weapons on school property. 19-year-old male plead guilty in 2021 assault and battery of a high and aggravated nature, possession of a weapon on school property, breaking and entering into an automobile, crim"&amp;"inal conspiracy and attempted escape.")</f>
        <v>Large fight outside of basketball game attended by 1000 people. Two men flashed guns at each other prior to the fight. Multiple shots were fired striking 3 people (15-year-old female student, 14-year-old female student, and adult male). 18-year-old male and 19-year-old male were charged with carrying weapons on school property. 19-year-old male plead guilty in 2021 assault and battery of a high and aggravated nature, possession of a weapon on school property, breaking and entering into an automobile, criminal conspiracy and attempted escape.</v>
      </c>
      <c r="AA1839" s="8" t="str">
        <f ca="1">IFERROR(__xludf.DUMMYFUNCTION("""COMPUTED_VALUE"""),"Escalation of Dispute")</f>
        <v>Escalation of Dispute</v>
      </c>
      <c r="AB1839" s="8"/>
      <c r="AC1839" s="8" t="str">
        <f ca="1">IFERROR(__xludf.DUMMYFUNCTION("""COMPUTED_VALUE"""),"Yes")</f>
        <v>Yes</v>
      </c>
      <c r="AD1839" s="8" t="str">
        <f ca="1">IFERROR(__xludf.DUMMYFUNCTION("""COMPUTED_VALUE"""),"Both")</f>
        <v>Both</v>
      </c>
      <c r="AE1839" s="8" t="str">
        <f ca="1">IFERROR(__xludf.DUMMYFUNCTION("""COMPUTED_VALUE"""),"Yes")</f>
        <v>Yes</v>
      </c>
      <c r="AF1839" s="8" t="str">
        <f ca="1">IFERROR(__xludf.DUMMYFUNCTION("""COMPUTED_VALUE"""),"Two carrying guns involved in shooting")</f>
        <v>Two carrying guns involved in shooting</v>
      </c>
      <c r="AG1839" s="8" t="str">
        <f ca="1">IFERROR(__xludf.DUMMYFUNCTION("""COMPUTED_VALUE"""),"No")</f>
        <v>No</v>
      </c>
      <c r="AH1839" s="8" t="str">
        <f ca="1">IFERROR(__xludf.DUMMYFUNCTION("""COMPUTED_VALUE"""),"No")</f>
        <v>No</v>
      </c>
      <c r="AI1839" s="8" t="str">
        <f ca="1">IFERROR(__xludf.DUMMYFUNCTION("""COMPUTED_VALUE"""),"No")</f>
        <v>No</v>
      </c>
      <c r="AJ1839" s="8" t="str">
        <f ca="1">IFERROR(__xludf.DUMMYFUNCTION("""COMPUTED_VALUE"""),"No")</f>
        <v>No</v>
      </c>
      <c r="AK1839" s="8" t="str">
        <f ca="1">IFERROR(__xludf.DUMMYFUNCTION("""COMPUTED_VALUE"""),"No")</f>
        <v>No</v>
      </c>
      <c r="AL1839" s="8" t="str">
        <f ca="1">IFERROR(__xludf.DUMMYFUNCTION("""COMPUTED_VALUE"""),"Yes")</f>
        <v>Yes</v>
      </c>
      <c r="AM1839" s="8" t="str">
        <f ca="1">IFERROR(__xludf.DUMMYFUNCTION("""COMPUTED_VALUE"""),"No")</f>
        <v>No</v>
      </c>
      <c r="AN1839" s="8"/>
      <c r="AO1839" s="8" t="str">
        <f ca="1">IFERROR(__xludf.DUMMYFUNCTION("""COMPUTED_VALUE"""),"No")</f>
        <v>No</v>
      </c>
      <c r="AP1839" s="8" t="str">
        <f ca="1">IFERROR(__xludf.DUMMYFUNCTION("""COMPUTED_VALUE"""),"Yes")</f>
        <v>Yes</v>
      </c>
      <c r="AQ1839" s="8" t="str">
        <f ca="1">IFERROR(__xludf.DUMMYFUNCTION("""COMPUTED_VALUE"""),"Armed Guards")</f>
        <v>Armed Guards</v>
      </c>
      <c r="AR1839" s="8" t="str">
        <f ca="1">IFERROR(__xludf.DUMMYFUNCTION("""COMPUTED_VALUE"""),"Failed")</f>
        <v>Failed</v>
      </c>
      <c r="AS1839" s="8">
        <f ca="1">IFERROR(__xludf.DUMMYFUNCTION("""COMPUTED_VALUE"""),3)</f>
        <v>3</v>
      </c>
      <c r="AT1839" s="8"/>
      <c r="AU1839" s="8">
        <f ca="1">IFERROR(__xludf.DUMMYFUNCTION("""COMPUTED_VALUE"""),33.521815)</f>
        <v>33.521814999999997</v>
      </c>
      <c r="AV1839" s="8">
        <f ca="1">IFERROR(__xludf.DUMMYFUNCTION("""COMPUTED_VALUE"""),-81.712936)</f>
        <v>-81.712935999999999</v>
      </c>
      <c r="AW1839" s="8"/>
      <c r="AX1839" s="8">
        <f ca="1">IFERROR(__xludf.DUMMYFUNCTION("""COMPUTED_VALUE"""),29803)</f>
        <v>29803</v>
      </c>
    </row>
    <row r="1840" spans="1:50" ht="90" x14ac:dyDescent="0.2">
      <c r="A1840" s="8" t="str">
        <f ca="1">IFERROR(__xludf.DUMMYFUNCTION("""COMPUTED_VALUE"""),"20170127ILSCN")</f>
        <v>20170127ILSCN</v>
      </c>
      <c r="B1840" s="8">
        <f ca="1">IFERROR(__xludf.DUMMYFUNCTION("""COMPUTED_VALUE"""),1)</f>
        <v>1</v>
      </c>
      <c r="C1840" s="8">
        <f ca="1">IFERROR(__xludf.DUMMYFUNCTION("""COMPUTED_VALUE"""),27)</f>
        <v>27</v>
      </c>
      <c r="D1840" s="8">
        <f ca="1">IFERROR(__xludf.DUMMYFUNCTION("""COMPUTED_VALUE"""),2017)</f>
        <v>2017</v>
      </c>
      <c r="E1840" s="9">
        <f ca="1">IFERROR(__xludf.DUMMYFUNCTION("""COMPUTED_VALUE"""),42762)</f>
        <v>42762</v>
      </c>
      <c r="F1840" s="8" t="str">
        <f ca="1">IFERROR(__xludf.DUMMYFUNCTION("""COMPUTED_VALUE"""),"Thomas G Scullen Middle School")</f>
        <v>Thomas G Scullen Middle School</v>
      </c>
      <c r="G1840" s="8">
        <f ca="1">IFERROR(__xludf.DUMMYFUNCTION("""COMPUTED_VALUE"""),1)</f>
        <v>1</v>
      </c>
      <c r="H1840" s="8">
        <f ca="1">IFERROR(__xludf.DUMMYFUNCTION("""COMPUTED_VALUE"""),0)</f>
        <v>0</v>
      </c>
      <c r="I1840" s="8">
        <f ca="1">IFERROR(__xludf.DUMMYFUNCTION("""COMPUTED_VALUE"""),1)</f>
        <v>1</v>
      </c>
      <c r="J1840" s="8">
        <f ca="1">IFERROR(__xludf.DUMMYFUNCTION("""COMPUTED_VALUE"""),0)</f>
        <v>0</v>
      </c>
      <c r="K1840" s="8" t="str">
        <f ca="1">IFERROR(__xludf.DUMMYFUNCTION("""COMPUTED_VALUE"""),"https://chicago.cbslocal.com/2017/01/30/naperville-police-college-professor-may-have-been-targeted-in-fatal-shooting/ https://www.chicagotribune.com/suburbs/aurora-beacon-news/opinion/ct-abn-crosby-lange-murder-st-0116-20220114-dg4dzjn2fvfotmq6do6bgs6rbi-"&amp;"story.html https://www.cbsnews.com/news/naperville-shooting-of-professor-matthew-lange-in-car-may-have-been-targeted-act-cops-say/")</f>
        <v>https://chicago.cbslocal.com/2017/01/30/naperville-police-college-professor-may-have-been-targeted-in-fatal-shooting/ https://www.chicagotribune.com/suburbs/aurora-beacon-news/opinion/ct-abn-crosby-lange-murder-st-0116-20220114-dg4dzjn2fvfotmq6do6bgs6rbi-story.html https://www.cbsnews.com/news/naperville-shooting-of-professor-matthew-lange-in-car-may-have-been-targeted-act-cops-say/</v>
      </c>
      <c r="L1840" s="8">
        <f ca="1">IFERROR(__xludf.DUMMYFUNCTION("""COMPUTED_VALUE"""),10)</f>
        <v>10</v>
      </c>
      <c r="M1840" s="8" t="str">
        <f ca="1">IFERROR(__xludf.DUMMYFUNCTION("""COMPUTED_VALUE"""),"Regional")</f>
        <v>Regional</v>
      </c>
      <c r="N1840" s="8">
        <f ca="1">IFERROR(__xludf.DUMMYFUNCTION("""COMPUTED_VALUE"""),4)</f>
        <v>4</v>
      </c>
      <c r="O1840" s="8" t="str">
        <f ca="1">IFERROR(__xludf.DUMMYFUNCTION("""COMPUTED_VALUE"""),"Winter")</f>
        <v>Winter</v>
      </c>
      <c r="P1840" s="8" t="str">
        <f ca="1">IFERROR(__xludf.DUMMYFUNCTION("""COMPUTED_VALUE"""),"Naperville")</f>
        <v>Naperville</v>
      </c>
      <c r="Q1840" s="8" t="str">
        <f ca="1">IFERROR(__xludf.DUMMYFUNCTION("""COMPUTED_VALUE"""),"IL")</f>
        <v>IL</v>
      </c>
      <c r="R1840" s="8" t="str">
        <f ca="1">IFERROR(__xludf.DUMMYFUNCTION("""COMPUTED_VALUE"""),"Middle")</f>
        <v>Middle</v>
      </c>
      <c r="S1840" s="8" t="str">
        <f ca="1">IFERROR(__xludf.DUMMYFUNCTION("""COMPUTED_VALUE"""),"Parking Lot")</f>
        <v>Parking Lot</v>
      </c>
      <c r="T1840" s="8" t="str">
        <f ca="1">IFERROR(__xludf.DUMMYFUNCTION("""COMPUTED_VALUE"""),"Outside on School Property")</f>
        <v>Outside on School Property</v>
      </c>
      <c r="U1840" s="8" t="str">
        <f ca="1">IFERROR(__xludf.DUMMYFUNCTION("""COMPUTED_VALUE"""),"No")</f>
        <v>No</v>
      </c>
      <c r="V1840" s="8" t="str">
        <f ca="1">IFERROR(__xludf.DUMMYFUNCTION("""COMPUTED_VALUE"""),"Evening")</f>
        <v>Evening</v>
      </c>
      <c r="W1840" s="11">
        <f ca="1">IFERROR(__xludf.DUMMYFUNCTION("""COMPUTED_VALUE"""),0.833333333333333)</f>
        <v>0.83333333333333304</v>
      </c>
      <c r="X1840" s="8">
        <f ca="1">IFERROR(__xludf.DUMMYFUNCTION("""COMPUTED_VALUE"""),1)</f>
        <v>1</v>
      </c>
      <c r="Y1840" s="12" t="str">
        <f ca="1">IFERROR(__xludf.DUMMYFUNCTION("""COMPUTED_VALUE"""),"Adult male fatally shot in the parking lot while picking up child")</f>
        <v>Adult male fatally shot in the parking lot while picking up child</v>
      </c>
      <c r="Z1840" s="12" t="str">
        <f ca="1">IFERROR(__xludf.DUMMYFUNCTION("""COMPUTED_VALUE"""),"A 37-year-old male college professor was fatally shot while picking up his 4-year-old son from an evening program at the middle school. He was inside his vehicle and shot through a closed window. Police determined it was a targeted shooting and not a robb"&amp;"ery. Motive unknown. Suspect fled and was not identified.")</f>
        <v>A 37-year-old male college professor was fatally shot while picking up his 4-year-old son from an evening program at the middle school. He was inside his vehicle and shot through a closed window. Police determined it was a targeted shooting and not a robbery. Motive unknown. Suspect fled and was not identified.</v>
      </c>
      <c r="AA1840" s="8" t="str">
        <f ca="1">IFERROR(__xludf.DUMMYFUNCTION("""COMPUTED_VALUE"""),"Unknown")</f>
        <v>Unknown</v>
      </c>
      <c r="AB1840" s="8"/>
      <c r="AC1840" s="8" t="str">
        <f ca="1">IFERROR(__xludf.DUMMYFUNCTION("""COMPUTED_VALUE"""),"Yes")</f>
        <v>Yes</v>
      </c>
      <c r="AD1840" s="8" t="str">
        <f ca="1">IFERROR(__xludf.DUMMYFUNCTION("""COMPUTED_VALUE"""),"Victims Targeted")</f>
        <v>Victims Targeted</v>
      </c>
      <c r="AE1840" s="8" t="str">
        <f ca="1">IFERROR(__xludf.DUMMYFUNCTION("""COMPUTED_VALUE"""),"No")</f>
        <v>No</v>
      </c>
      <c r="AF1840" s="8"/>
      <c r="AG1840" s="8" t="str">
        <f ca="1">IFERROR(__xludf.DUMMYFUNCTION("""COMPUTED_VALUE"""),"No")</f>
        <v>No</v>
      </c>
      <c r="AH1840" s="8" t="str">
        <f ca="1">IFERROR(__xludf.DUMMYFUNCTION("""COMPUTED_VALUE"""),"No")</f>
        <v>No</v>
      </c>
      <c r="AI1840" s="8" t="str">
        <f ca="1">IFERROR(__xludf.DUMMYFUNCTION("""COMPUTED_VALUE"""),"No")</f>
        <v>No</v>
      </c>
      <c r="AJ1840" s="8" t="str">
        <f ca="1">IFERROR(__xludf.DUMMYFUNCTION("""COMPUTED_VALUE"""),"No")</f>
        <v>No</v>
      </c>
      <c r="AK1840" s="8" t="str">
        <f ca="1">IFERROR(__xludf.DUMMYFUNCTION("""COMPUTED_VALUE"""),"No")</f>
        <v>No</v>
      </c>
      <c r="AL1840" s="8" t="str">
        <f ca="1">IFERROR(__xludf.DUMMYFUNCTION("""COMPUTED_VALUE"""),"No")</f>
        <v>No</v>
      </c>
      <c r="AM1840" s="8" t="str">
        <f ca="1">IFERROR(__xludf.DUMMYFUNCTION("""COMPUTED_VALUE"""),"No")</f>
        <v>No</v>
      </c>
      <c r="AN1840" s="8"/>
      <c r="AO1840" s="8" t="str">
        <f ca="1">IFERROR(__xludf.DUMMYFUNCTION("""COMPUTED_VALUE"""),"No")</f>
        <v>No</v>
      </c>
      <c r="AP1840" s="8"/>
      <c r="AQ1840" s="8"/>
      <c r="AR1840" s="8" t="str">
        <f ca="1">IFERROR(__xludf.DUMMYFUNCTION("""COMPUTED_VALUE"""),"Outside/Off-Property")</f>
        <v>Outside/Off-Property</v>
      </c>
      <c r="AS1840" s="8"/>
      <c r="AT1840" s="8"/>
      <c r="AU1840" s="8">
        <f ca="1">IFERROR(__xludf.DUMMYFUNCTION("""COMPUTED_VALUE"""),41.69601)</f>
        <v>41.696010000000001</v>
      </c>
      <c r="AV1840" s="8">
        <f ca="1">IFERROR(__xludf.DUMMYFUNCTION("""COMPUTED_VALUE"""),-88.211005)</f>
        <v>-88.211005</v>
      </c>
      <c r="AW1840" s="8"/>
      <c r="AX1840" s="8">
        <f ca="1">IFERROR(__xludf.DUMMYFUNCTION("""COMPUTED_VALUE"""),60564)</f>
        <v>60564</v>
      </c>
    </row>
    <row r="1841" spans="1:50" ht="120" x14ac:dyDescent="0.2">
      <c r="A1841" s="8" t="str">
        <f ca="1">IFERROR(__xludf.DUMMYFUNCTION("""COMPUTED_VALUE"""),"20170120OHWEW")</f>
        <v>20170120OHWEW</v>
      </c>
      <c r="B1841" s="8">
        <f ca="1">IFERROR(__xludf.DUMMYFUNCTION("""COMPUTED_VALUE"""),1)</f>
        <v>1</v>
      </c>
      <c r="C1841" s="8">
        <f ca="1">IFERROR(__xludf.DUMMYFUNCTION("""COMPUTED_VALUE"""),20)</f>
        <v>20</v>
      </c>
      <c r="D1841" s="8">
        <f ca="1">IFERROR(__xludf.DUMMYFUNCTION("""COMPUTED_VALUE"""),2017)</f>
        <v>2017</v>
      </c>
      <c r="E1841" s="9">
        <f ca="1">IFERROR(__xludf.DUMMYFUNCTION("""COMPUTED_VALUE"""),42755)</f>
        <v>42755</v>
      </c>
      <c r="F1841" s="8" t="str">
        <f ca="1">IFERROR(__xludf.DUMMYFUNCTION("""COMPUTED_VALUE"""),"West Liberty-Salem High School")</f>
        <v>West Liberty-Salem High School</v>
      </c>
      <c r="G1841" s="8">
        <f ca="1">IFERROR(__xludf.DUMMYFUNCTION("""COMPUTED_VALUE"""),0)</f>
        <v>0</v>
      </c>
      <c r="H1841" s="8">
        <f ca="1">IFERROR(__xludf.DUMMYFUNCTION("""COMPUTED_VALUE"""),1)</f>
        <v>1</v>
      </c>
      <c r="I1841" s="8">
        <f ca="1">IFERROR(__xludf.DUMMYFUNCTION("""COMPUTED_VALUE"""),1)</f>
        <v>1</v>
      </c>
      <c r="J1841" s="8">
        <f ca="1">IFERROR(__xludf.DUMMYFUNCTION("""COMPUTED_VALUE"""),0)</f>
        <v>0</v>
      </c>
      <c r="K1841" s="10" t="str">
        <f ca="1">IFERROR(__xludf.DUMMYFUNCTION("""COMPUTED_VALUE"""),"https://www.campussafetymagazine.com/safety/west-liberty-salem-high-school-shooting/ https://www.whio.com/news/local/school-shooting-victim-graduates-cedarville-university-reflects-forgiving-shooter/WD3Q3LLQQ5EJ3NFGZORVXUMFYA/ https://www.springfieldnewss"&amp;"un.com/news/local-education/west-liberty-still-healing-year-after-school-shooting/XCffIKOYjkCzCGsQ5BzCGO/ https://www.mydaytondailynews.com/news/crime--law/west-liberty-salem-school-shooting-case-pushed-back-2018/NGROrKc1aatoWx7i76vwuK/ http://fox45now.co"&amp;"m/news/local/west-liberty-salem-shooting-suspect-allegedly-asked-victim-to-shoot-him-in-bathroom https://www.fbi.gov/file-repository/active-shooter-incidents-2000-2017.pdf https://www.whio.com/news/local/prosecutor-opposes-school-shooter-appeal-ohio-high-"&amp;"court/mFdMS0ZHweTNdy0nEDwV2I/")</f>
        <v>https://www.campussafetymagazine.com/safety/west-liberty-salem-high-school-shooting/ https://www.whio.com/news/local/school-shooting-victim-graduates-cedarville-university-reflects-forgiving-shooter/WD3Q3LLQQ5EJ3NFGZORVXUMFYA/ https://www.springfieldnewssun.com/news/local-education/west-liberty-still-healing-year-after-school-shooting/XCffIKOYjkCzCGsQ5BzCGO/ https://www.mydaytondailynews.com/news/crime--law/west-liberty-salem-school-shooting-case-pushed-back-2018/NGROrKc1aatoWx7i76vwuK/ http://fox45now.com/news/local/west-liberty-salem-shooting-suspect-allegedly-asked-victim-to-shoot-him-in-bathroom https://www.fbi.gov/file-repository/active-shooter-incidents-2000-2017.pdf https://www.whio.com/news/local/prosecutor-opposes-school-shooter-appeal-ohio-high-court/mFdMS0ZHweTNdy0nEDwV2I/</v>
      </c>
      <c r="L1841" s="8">
        <f ca="1">IFERROR(__xludf.DUMMYFUNCTION("""COMPUTED_VALUE"""),100)</f>
        <v>100</v>
      </c>
      <c r="M1841" s="8" t="str">
        <f ca="1">IFERROR(__xludf.DUMMYFUNCTION("""COMPUTED_VALUE"""),"National")</f>
        <v>National</v>
      </c>
      <c r="N1841" s="8">
        <f ca="1">IFERROR(__xludf.DUMMYFUNCTION("""COMPUTED_VALUE"""),5)</f>
        <v>5</v>
      </c>
      <c r="O1841" s="8" t="str">
        <f ca="1">IFERROR(__xludf.DUMMYFUNCTION("""COMPUTED_VALUE"""),"Winter")</f>
        <v>Winter</v>
      </c>
      <c r="P1841" s="8" t="str">
        <f ca="1">IFERROR(__xludf.DUMMYFUNCTION("""COMPUTED_VALUE"""),"West Liberty")</f>
        <v>West Liberty</v>
      </c>
      <c r="Q1841" s="8" t="str">
        <f ca="1">IFERROR(__xludf.DUMMYFUNCTION("""COMPUTED_VALUE"""),"OH")</f>
        <v>OH</v>
      </c>
      <c r="R1841" s="8" t="str">
        <f ca="1">IFERROR(__xludf.DUMMYFUNCTION("""COMPUTED_VALUE"""),"High")</f>
        <v>High</v>
      </c>
      <c r="S1841" s="8" t="str">
        <f ca="1">IFERROR(__xludf.DUMMYFUNCTION("""COMPUTED_VALUE"""),"Bathroom")</f>
        <v>Bathroom</v>
      </c>
      <c r="T1841" s="8" t="str">
        <f ca="1">IFERROR(__xludf.DUMMYFUNCTION("""COMPUTED_VALUE"""),"Inside School Building")</f>
        <v>Inside School Building</v>
      </c>
      <c r="U1841" s="8" t="str">
        <f ca="1">IFERROR(__xludf.DUMMYFUNCTION("""COMPUTED_VALUE"""),"Yes")</f>
        <v>Yes</v>
      </c>
      <c r="V1841" s="8" t="str">
        <f ca="1">IFERROR(__xludf.DUMMYFUNCTION("""COMPUTED_VALUE"""),"Morning Classes")</f>
        <v>Morning Classes</v>
      </c>
      <c r="W1841" s="11">
        <f ca="1">IFERROR(__xludf.DUMMYFUNCTION("""COMPUTED_VALUE"""),0.316666666666666)</f>
        <v>0.31666666666666599</v>
      </c>
      <c r="X1841" s="8"/>
      <c r="Y1841" s="12" t="str">
        <f ca="1">IFERROR(__xludf.DUMMYFUNCTION("""COMPUTED_VALUE"""),"Student snuck shotgun into school, prepared in bathroom, shot student who surprised him, then fired into two classrooms")</f>
        <v>Student snuck shotgun into school, prepared in bathroom, shot student who surprised him, then fired into two classrooms</v>
      </c>
      <c r="Z1841" s="12" t="str">
        <f ca="1">IFERROR(__xludf.DUMMYFUNCTION("""COMPUTED_VALUE"""),"Student was preparing for planned school shooting in the bathroom when another student walked in to check his hair before leaving for a debate team trip. The shooter shot him in the chest with a shotgun. Victim told shooter that nobody died yet, don't hur"&amp;"t anyone else, and go get help. Shooter went into hallway, fired at students who were running and then fired into 2 classroom before being tackled by a staff member.")</f>
        <v>Student was preparing for planned school shooting in the bathroom when another student walked in to check his hair before leaving for a debate team trip. The shooter shot him in the chest with a shotgun. Victim told shooter that nobody died yet, don't hurt anyone else, and go get help. Shooter went into hallway, fired at students who were running and then fired into 2 classroom before being tackled by a staff member.</v>
      </c>
      <c r="AA1841" s="8" t="str">
        <f ca="1">IFERROR(__xludf.DUMMYFUNCTION("""COMPUTED_VALUE"""),"Indiscriminate Shooting")</f>
        <v>Indiscriminate Shooting</v>
      </c>
      <c r="AB1841" s="8" t="str">
        <f ca="1">IFERROR(__xludf.DUMMYFUNCTION("""COMPUTED_VALUE"""),"Active Shooter/Planned Attack")</f>
        <v>Active Shooter/Planned Attack</v>
      </c>
      <c r="AC1841" s="8" t="str">
        <f ca="1">IFERROR(__xludf.DUMMYFUNCTION("""COMPUTED_VALUE"""),"Yes")</f>
        <v>Yes</v>
      </c>
      <c r="AD1841" s="8" t="str">
        <f ca="1">IFERROR(__xludf.DUMMYFUNCTION("""COMPUTED_VALUE"""),"Random Shooting")</f>
        <v>Random Shooting</v>
      </c>
      <c r="AE1841" s="8" t="str">
        <f ca="1">IFERROR(__xludf.DUMMYFUNCTION("""COMPUTED_VALUE"""),"No")</f>
        <v>No</v>
      </c>
      <c r="AF1841" s="8"/>
      <c r="AG1841" s="8" t="str">
        <f ca="1">IFERROR(__xludf.DUMMYFUNCTION("""COMPUTED_VALUE"""),"No")</f>
        <v>No</v>
      </c>
      <c r="AH1841" s="8" t="str">
        <f ca="1">IFERROR(__xludf.DUMMYFUNCTION("""COMPUTED_VALUE"""),"No")</f>
        <v>No</v>
      </c>
      <c r="AI1841" s="8" t="str">
        <f ca="1">IFERROR(__xludf.DUMMYFUNCTION("""COMPUTED_VALUE"""),"No")</f>
        <v>No</v>
      </c>
      <c r="AJ1841" s="8" t="str">
        <f ca="1">IFERROR(__xludf.DUMMYFUNCTION("""COMPUTED_VALUE"""),"No")</f>
        <v>No</v>
      </c>
      <c r="AK1841" s="8" t="str">
        <f ca="1">IFERROR(__xludf.DUMMYFUNCTION("""COMPUTED_VALUE"""),"No")</f>
        <v>No</v>
      </c>
      <c r="AL1841" s="8" t="str">
        <f ca="1">IFERROR(__xludf.DUMMYFUNCTION("""COMPUTED_VALUE"""),"No")</f>
        <v>No</v>
      </c>
      <c r="AM1841" s="8" t="str">
        <f ca="1">IFERROR(__xludf.DUMMYFUNCTION("""COMPUTED_VALUE"""),"Yes")</f>
        <v>Yes</v>
      </c>
      <c r="AN1841" s="8" t="str">
        <f ca="1">IFERROR(__xludf.DUMMYFUNCTION("""COMPUTED_VALUE"""),"Single Room")</f>
        <v>Single Room</v>
      </c>
      <c r="AO1841" s="8" t="str">
        <f ca="1">IFERROR(__xludf.DUMMYFUNCTION("""COMPUTED_VALUE"""),"Yes")</f>
        <v>Yes</v>
      </c>
      <c r="AP1841" s="8" t="str">
        <f ca="1">IFERROR(__xludf.DUMMYFUNCTION("""COMPUTED_VALUE"""),"No")</f>
        <v>No</v>
      </c>
      <c r="AQ1841" s="8" t="str">
        <f ca="1">IFERROR(__xludf.DUMMYFUNCTION("""COMPUTED_VALUE"""),"Unknown")</f>
        <v>Unknown</v>
      </c>
      <c r="AR1841" s="8" t="str">
        <f ca="1">IFERROR(__xludf.DUMMYFUNCTION("""COMPUTED_VALUE"""),"NA")</f>
        <v>NA</v>
      </c>
      <c r="AS1841" s="8">
        <f ca="1">IFERROR(__xludf.DUMMYFUNCTION("""COMPUTED_VALUE"""),99)</f>
        <v>99</v>
      </c>
      <c r="AT1841" s="8"/>
      <c r="AU1841" s="8">
        <f ca="1">IFERROR(__xludf.DUMMYFUNCTION("""COMPUTED_VALUE"""),40.215849)</f>
        <v>40.215848999999999</v>
      </c>
      <c r="AV1841" s="8">
        <f ca="1">IFERROR(__xludf.DUMMYFUNCTION("""COMPUTED_VALUE"""),-83.754659)</f>
        <v>-83.754659000000004</v>
      </c>
      <c r="AW1841" s="8"/>
      <c r="AX1841" s="8">
        <f ca="1">IFERROR(__xludf.DUMMYFUNCTION("""COMPUTED_VALUE"""),43357)</f>
        <v>43357</v>
      </c>
    </row>
    <row r="1842" spans="1:50" ht="60" x14ac:dyDescent="0.2">
      <c r="A1842" s="8" t="str">
        <f ca="1">IFERROR(__xludf.DUMMYFUNCTION("""COMPUTED_VALUE"""),"20170117FLFRE")</f>
        <v>20170117FLFRE</v>
      </c>
      <c r="B1842" s="8">
        <f ca="1">IFERROR(__xludf.DUMMYFUNCTION("""COMPUTED_VALUE"""),1)</f>
        <v>1</v>
      </c>
      <c r="C1842" s="8">
        <f ca="1">IFERROR(__xludf.DUMMYFUNCTION("""COMPUTED_VALUE"""),17)</f>
        <v>17</v>
      </c>
      <c r="D1842" s="8">
        <f ca="1">IFERROR(__xludf.DUMMYFUNCTION("""COMPUTED_VALUE"""),2017)</f>
        <v>2017</v>
      </c>
      <c r="E1842" s="9">
        <f ca="1">IFERROR(__xludf.DUMMYFUNCTION("""COMPUTED_VALUE"""),42752)</f>
        <v>42752</v>
      </c>
      <c r="F1842" s="8" t="str">
        <f ca="1">IFERROR(__xludf.DUMMYFUNCTION("""COMPUTED_VALUE"""),"Franklin County Elementary School")</f>
        <v>Franklin County Elementary School</v>
      </c>
      <c r="G1842" s="8">
        <f ca="1">IFERROR(__xludf.DUMMYFUNCTION("""COMPUTED_VALUE"""),0)</f>
        <v>0</v>
      </c>
      <c r="H1842" s="8">
        <f ca="1">IFERROR(__xludf.DUMMYFUNCTION("""COMPUTED_VALUE"""),0)</f>
        <v>0</v>
      </c>
      <c r="I1842" s="8">
        <f ca="1">IFERROR(__xludf.DUMMYFUNCTION("""COMPUTED_VALUE"""),0)</f>
        <v>0</v>
      </c>
      <c r="J1842" s="8">
        <f ca="1">IFERROR(__xludf.DUMMYFUNCTION("""COMPUTED_VALUE"""),0)</f>
        <v>0</v>
      </c>
      <c r="K1842" s="10" t="str">
        <f ca="1">IFERROR(__xludf.DUMMYFUNCTION("""COMPUTED_VALUE"""),"http://www.wtxl.com/news/gun-goes-off-at-franklin-county-school/article_5f86d63a-ddb1-11e6-b2c8-b722f449d29e.html")</f>
        <v>http://www.wtxl.com/news/gun-goes-off-at-franklin-county-school/article_5f86d63a-ddb1-11e6-b2c8-b722f449d29e.html</v>
      </c>
      <c r="L1842" s="8"/>
      <c r="M1842" s="8"/>
      <c r="N1842" s="8">
        <f ca="1">IFERROR(__xludf.DUMMYFUNCTION("""COMPUTED_VALUE"""),2)</f>
        <v>2</v>
      </c>
      <c r="O1842" s="8" t="str">
        <f ca="1">IFERROR(__xludf.DUMMYFUNCTION("""COMPUTED_VALUE"""),"Winter")</f>
        <v>Winter</v>
      </c>
      <c r="P1842" s="8" t="str">
        <f ca="1">IFERROR(__xludf.DUMMYFUNCTION("""COMPUTED_VALUE"""),"Eastpoint")</f>
        <v>Eastpoint</v>
      </c>
      <c r="Q1842" s="8" t="str">
        <f ca="1">IFERROR(__xludf.DUMMYFUNCTION("""COMPUTED_VALUE"""),"FL")</f>
        <v>FL</v>
      </c>
      <c r="R1842" s="8" t="str">
        <f ca="1">IFERROR(__xludf.DUMMYFUNCTION("""COMPUTED_VALUE"""),"Elementary")</f>
        <v>Elementary</v>
      </c>
      <c r="S1842" s="8" t="str">
        <f ca="1">IFERROR(__xludf.DUMMYFUNCTION("""COMPUTED_VALUE"""),"Parking Lot")</f>
        <v>Parking Lot</v>
      </c>
      <c r="T1842" s="8" t="str">
        <f ca="1">IFERROR(__xludf.DUMMYFUNCTION("""COMPUTED_VALUE"""),"Outside on School Property")</f>
        <v>Outside on School Property</v>
      </c>
      <c r="U1842" s="8" t="str">
        <f ca="1">IFERROR(__xludf.DUMMYFUNCTION("""COMPUTED_VALUE"""),"Yes")</f>
        <v>Yes</v>
      </c>
      <c r="V1842" s="8" t="str">
        <f ca="1">IFERROR(__xludf.DUMMYFUNCTION("""COMPUTED_VALUE"""),"Dismissal")</f>
        <v>Dismissal</v>
      </c>
      <c r="W1842" s="8"/>
      <c r="X1842" s="8">
        <f ca="1">IFERROR(__xludf.DUMMYFUNCTION("""COMPUTED_VALUE"""),1)</f>
        <v>1</v>
      </c>
      <c r="Y1842" s="12" t="str">
        <f ca="1">IFERROR(__xludf.DUMMYFUNCTION("""COMPUTED_VALUE"""),"Gun discharged in car while parent was picking child up")</f>
        <v>Gun discharged in car while parent was picking child up</v>
      </c>
      <c r="Z1842" s="12" t="str">
        <f ca="1">IFERROR(__xludf.DUMMYFUNCTION("""COMPUTED_VALUE"""),"Gun accidentally discharged in car while parent was picking child up. No injuries.")</f>
        <v>Gun accidentally discharged in car while parent was picking child up. No injuries.</v>
      </c>
      <c r="AA1842" s="8" t="str">
        <f ca="1">IFERROR(__xludf.DUMMYFUNCTION("""COMPUTED_VALUE"""),"Accidental")</f>
        <v>Accidental</v>
      </c>
      <c r="AB1842" s="8"/>
      <c r="AC1842" s="8" t="str">
        <f ca="1">IFERROR(__xludf.DUMMYFUNCTION("""COMPUTED_VALUE"""),"Yes")</f>
        <v>Yes</v>
      </c>
      <c r="AD1842" s="8" t="str">
        <f ca="1">IFERROR(__xludf.DUMMYFUNCTION("""COMPUTED_VALUE"""),"Neither")</f>
        <v>Neither</v>
      </c>
      <c r="AE1842" s="8" t="str">
        <f ca="1">IFERROR(__xludf.DUMMYFUNCTION("""COMPUTED_VALUE"""),"No")</f>
        <v>No</v>
      </c>
      <c r="AF1842" s="8"/>
      <c r="AG1842" s="8" t="str">
        <f ca="1">IFERROR(__xludf.DUMMYFUNCTION("""COMPUTED_VALUE"""),"No")</f>
        <v>No</v>
      </c>
      <c r="AH1842" s="8" t="str">
        <f ca="1">IFERROR(__xludf.DUMMYFUNCTION("""COMPUTED_VALUE"""),"No")</f>
        <v>No</v>
      </c>
      <c r="AI1842" s="8" t="str">
        <f ca="1">IFERROR(__xludf.DUMMYFUNCTION("""COMPUTED_VALUE"""),"No")</f>
        <v>No</v>
      </c>
      <c r="AJ1842" s="8" t="str">
        <f ca="1">IFERROR(__xludf.DUMMYFUNCTION("""COMPUTED_VALUE"""),"No")</f>
        <v>No</v>
      </c>
      <c r="AK1842" s="8" t="str">
        <f ca="1">IFERROR(__xludf.DUMMYFUNCTION("""COMPUTED_VALUE"""),"No")</f>
        <v>No</v>
      </c>
      <c r="AL1842" s="8" t="str">
        <f ca="1">IFERROR(__xludf.DUMMYFUNCTION("""COMPUTED_VALUE"""),"No")</f>
        <v>No</v>
      </c>
      <c r="AM1842" s="8" t="str">
        <f ca="1">IFERROR(__xludf.DUMMYFUNCTION("""COMPUTED_VALUE"""),"No")</f>
        <v>No</v>
      </c>
      <c r="AN1842" s="8"/>
      <c r="AO1842" s="8" t="str">
        <f ca="1">IFERROR(__xludf.DUMMYFUNCTION("""COMPUTED_VALUE"""),"No")</f>
        <v>No</v>
      </c>
      <c r="AP1842" s="8"/>
      <c r="AQ1842" s="8" t="str">
        <f ca="1">IFERROR(__xludf.DUMMYFUNCTION("""COMPUTED_VALUE"""),"Unknown")</f>
        <v>Unknown</v>
      </c>
      <c r="AR1842" s="8" t="str">
        <f ca="1">IFERROR(__xludf.DUMMYFUNCTION("""COMPUTED_VALUE"""),"NA")</f>
        <v>NA</v>
      </c>
      <c r="AS1842" s="8">
        <f ca="1">IFERROR(__xludf.DUMMYFUNCTION("""COMPUTED_VALUE"""),1)</f>
        <v>1</v>
      </c>
      <c r="AT1842" s="8"/>
      <c r="AU1842" s="8">
        <f ca="1">IFERROR(__xludf.DUMMYFUNCTION("""COMPUTED_VALUE"""),29.743527)</f>
        <v>29.743527</v>
      </c>
      <c r="AV1842" s="8">
        <f ca="1">IFERROR(__xludf.DUMMYFUNCTION("""COMPUTED_VALUE"""),-84.87649)</f>
        <v>-84.876490000000004</v>
      </c>
      <c r="AW1842" s="8"/>
      <c r="AX1842" s="8">
        <f ca="1">IFERROR(__xludf.DUMMYFUNCTION("""COMPUTED_VALUE"""),32328)</f>
        <v>32328</v>
      </c>
    </row>
    <row r="1843" spans="1:50" ht="45" x14ac:dyDescent="0.2">
      <c r="A1843" s="8" t="str">
        <f ca="1">IFERROR(__xludf.DUMMYFUNCTION("""COMPUTED_VALUE"""),"20170110ALALA")</f>
        <v>20170110ALALA</v>
      </c>
      <c r="B1843" s="8">
        <f ca="1">IFERROR(__xludf.DUMMYFUNCTION("""COMPUTED_VALUE"""),1)</f>
        <v>1</v>
      </c>
      <c r="C1843" s="8">
        <f ca="1">IFERROR(__xludf.DUMMYFUNCTION("""COMPUTED_VALUE"""),10)</f>
        <v>10</v>
      </c>
      <c r="D1843" s="8">
        <f ca="1">IFERROR(__xludf.DUMMYFUNCTION("""COMPUTED_VALUE"""),2017)</f>
        <v>2017</v>
      </c>
      <c r="E1843" s="9">
        <f ca="1">IFERROR(__xludf.DUMMYFUNCTION("""COMPUTED_VALUE"""),42745)</f>
        <v>42745</v>
      </c>
      <c r="F1843" s="8" t="str">
        <f ca="1">IFERROR(__xludf.DUMMYFUNCTION("""COMPUTED_VALUE"""),"Alexander City Middle School")</f>
        <v>Alexander City Middle School</v>
      </c>
      <c r="G1843" s="8">
        <f ca="1">IFERROR(__xludf.DUMMYFUNCTION("""COMPUTED_VALUE"""),0)</f>
        <v>0</v>
      </c>
      <c r="H1843" s="8">
        <f ca="1">IFERROR(__xludf.DUMMYFUNCTION("""COMPUTED_VALUE"""),0)</f>
        <v>0</v>
      </c>
      <c r="I1843" s="8">
        <f ca="1">IFERROR(__xludf.DUMMYFUNCTION("""COMPUTED_VALUE"""),0)</f>
        <v>0</v>
      </c>
      <c r="J1843" s="8">
        <f ca="1">IFERROR(__xludf.DUMMYFUNCTION("""COMPUTED_VALUE"""),0)</f>
        <v>0</v>
      </c>
      <c r="K1843" s="10" t="str">
        <f ca="1">IFERROR(__xludf.DUMMYFUNCTION("""COMPUTED_VALUE"""),"http://www.alexcityoutlook.com/2017/01/09/two-students-taken-into-custody-after-gun-goes-off-at-middle-school/")</f>
        <v>http://www.alexcityoutlook.com/2017/01/09/two-students-taken-into-custody-after-gun-goes-off-at-middle-school/</v>
      </c>
      <c r="L1843" s="8"/>
      <c r="M1843" s="8"/>
      <c r="N1843" s="8">
        <f ca="1">IFERROR(__xludf.DUMMYFUNCTION("""COMPUTED_VALUE"""),2)</f>
        <v>2</v>
      </c>
      <c r="O1843" s="8" t="str">
        <f ca="1">IFERROR(__xludf.DUMMYFUNCTION("""COMPUTED_VALUE"""),"Winter")</f>
        <v>Winter</v>
      </c>
      <c r="P1843" s="8" t="str">
        <f ca="1">IFERROR(__xludf.DUMMYFUNCTION("""COMPUTED_VALUE"""),"Alexander City")</f>
        <v>Alexander City</v>
      </c>
      <c r="Q1843" s="8" t="str">
        <f ca="1">IFERROR(__xludf.DUMMYFUNCTION("""COMPUTED_VALUE"""),"AL")</f>
        <v>AL</v>
      </c>
      <c r="R1843" s="8" t="str">
        <f ca="1">IFERROR(__xludf.DUMMYFUNCTION("""COMPUTED_VALUE"""),"Middle")</f>
        <v>Middle</v>
      </c>
      <c r="S1843" s="8" t="str">
        <f ca="1">IFERROR(__xludf.DUMMYFUNCTION("""COMPUTED_VALUE"""),"Inside School Building")</f>
        <v>Inside School Building</v>
      </c>
      <c r="T1843" s="8" t="str">
        <f ca="1">IFERROR(__xludf.DUMMYFUNCTION("""COMPUTED_VALUE"""),"Inside School Building")</f>
        <v>Inside School Building</v>
      </c>
      <c r="U1843" s="8" t="str">
        <f ca="1">IFERROR(__xludf.DUMMYFUNCTION("""COMPUTED_VALUE"""),"Yes")</f>
        <v>Yes</v>
      </c>
      <c r="V1843" s="8" t="str">
        <f ca="1">IFERROR(__xludf.DUMMYFUNCTION("""COMPUTED_VALUE"""),"Afternoon Classes")</f>
        <v>Afternoon Classes</v>
      </c>
      <c r="W1843" s="11">
        <f ca="1">IFERROR(__xludf.DUMMYFUNCTION("""COMPUTED_VALUE"""),0.541666666666666)</f>
        <v>0.54166666666666596</v>
      </c>
      <c r="X1843" s="8">
        <f ca="1">IFERROR(__xludf.DUMMYFUNCTION("""COMPUTED_VALUE"""),1)</f>
        <v>1</v>
      </c>
      <c r="Y1843" s="12" t="str">
        <f ca="1">IFERROR(__xludf.DUMMYFUNCTION("""COMPUTED_VALUE"""),"Student showing off gun, accidentally discharged")</f>
        <v>Student showing off gun, accidentally discharged</v>
      </c>
      <c r="Z1843" s="12" t="str">
        <f ca="1">IFERROR(__xludf.DUMMYFUNCTION("""COMPUTED_VALUE"""),"Gun fired while student was showing it off two other student. SRO was in the area and took custody of the weapon then detained both students. No injuries.")</f>
        <v>Gun fired while student was showing it off two other student. SRO was in the area and took custody of the weapon then detained both students. No injuries.</v>
      </c>
      <c r="AA1843" s="8" t="str">
        <f ca="1">IFERROR(__xludf.DUMMYFUNCTION("""COMPUTED_VALUE"""),"Accidental")</f>
        <v>Accidental</v>
      </c>
      <c r="AB1843" s="8"/>
      <c r="AC1843" s="8" t="str">
        <f ca="1">IFERROR(__xludf.DUMMYFUNCTION("""COMPUTED_VALUE"""),"Yes")</f>
        <v>Yes</v>
      </c>
      <c r="AD1843" s="8" t="str">
        <f ca="1">IFERROR(__xludf.DUMMYFUNCTION("""COMPUTED_VALUE"""),"Neither")</f>
        <v>Neither</v>
      </c>
      <c r="AE1843" s="8" t="str">
        <f ca="1">IFERROR(__xludf.DUMMYFUNCTION("""COMPUTED_VALUE"""),"No")</f>
        <v>No</v>
      </c>
      <c r="AF1843" s="8"/>
      <c r="AG1843" s="8" t="str">
        <f ca="1">IFERROR(__xludf.DUMMYFUNCTION("""COMPUTED_VALUE"""),"No")</f>
        <v>No</v>
      </c>
      <c r="AH1843" s="8" t="str">
        <f ca="1">IFERROR(__xludf.DUMMYFUNCTION("""COMPUTED_VALUE"""),"No")</f>
        <v>No</v>
      </c>
      <c r="AI1843" s="8" t="str">
        <f ca="1">IFERROR(__xludf.DUMMYFUNCTION("""COMPUTED_VALUE"""),"No")</f>
        <v>No</v>
      </c>
      <c r="AJ1843" s="8" t="str">
        <f ca="1">IFERROR(__xludf.DUMMYFUNCTION("""COMPUTED_VALUE"""),"No")</f>
        <v>No</v>
      </c>
      <c r="AK1843" s="8" t="str">
        <f ca="1">IFERROR(__xludf.DUMMYFUNCTION("""COMPUTED_VALUE"""),"No")</f>
        <v>No</v>
      </c>
      <c r="AL1843" s="8" t="str">
        <f ca="1">IFERROR(__xludf.DUMMYFUNCTION("""COMPUTED_VALUE"""),"No")</f>
        <v>No</v>
      </c>
      <c r="AM1843" s="8" t="str">
        <f ca="1">IFERROR(__xludf.DUMMYFUNCTION("""COMPUTED_VALUE"""),"No")</f>
        <v>No</v>
      </c>
      <c r="AN1843" s="8"/>
      <c r="AO1843" s="8" t="str">
        <f ca="1">IFERROR(__xludf.DUMMYFUNCTION("""COMPUTED_VALUE"""),"No")</f>
        <v>No</v>
      </c>
      <c r="AP1843" s="8"/>
      <c r="AQ1843" s="8" t="str">
        <f ca="1">IFERROR(__xludf.DUMMYFUNCTION("""COMPUTED_VALUE"""),"Unknown")</f>
        <v>Unknown</v>
      </c>
      <c r="AR1843" s="8" t="str">
        <f ca="1">IFERROR(__xludf.DUMMYFUNCTION("""COMPUTED_VALUE"""),"NA")</f>
        <v>NA</v>
      </c>
      <c r="AS1843" s="8">
        <f ca="1">IFERROR(__xludf.DUMMYFUNCTION("""COMPUTED_VALUE"""),1)</f>
        <v>1</v>
      </c>
      <c r="AT1843" s="8"/>
      <c r="AU1843" s="8">
        <f ca="1">IFERROR(__xludf.DUMMYFUNCTION("""COMPUTED_VALUE"""),32.945093)</f>
        <v>32.945093</v>
      </c>
      <c r="AV1843" s="8">
        <f ca="1">IFERROR(__xludf.DUMMYFUNCTION("""COMPUTED_VALUE"""),-85.948736)</f>
        <v>-85.948735999999997</v>
      </c>
      <c r="AW1843" s="8"/>
      <c r="AX1843" s="8">
        <f ca="1">IFERROR(__xludf.DUMMYFUNCTION("""COMPUTED_VALUE"""),35010)</f>
        <v>35010</v>
      </c>
    </row>
    <row r="1844" spans="1:50" ht="225" x14ac:dyDescent="0.2">
      <c r="A1844" s="8" t="str">
        <f ca="1">IFERROR(__xludf.DUMMYFUNCTION("""COMPUTED_VALUE"""),"20170103INCEE")</f>
        <v>20170103INCEE</v>
      </c>
      <c r="B1844" s="8">
        <f ca="1">IFERROR(__xludf.DUMMYFUNCTION("""COMPUTED_VALUE"""),1)</f>
        <v>1</v>
      </c>
      <c r="C1844" s="8">
        <f ca="1">IFERROR(__xludf.DUMMYFUNCTION("""COMPUTED_VALUE"""),3)</f>
        <v>3</v>
      </c>
      <c r="D1844" s="8">
        <f ca="1">IFERROR(__xludf.DUMMYFUNCTION("""COMPUTED_VALUE"""),2017)</f>
        <v>2017</v>
      </c>
      <c r="E1844" s="9">
        <f ca="1">IFERROR(__xludf.DUMMYFUNCTION("""COMPUTED_VALUE"""),42738)</f>
        <v>42738</v>
      </c>
      <c r="F1844" s="8" t="str">
        <f ca="1">IFERROR(__xludf.DUMMYFUNCTION("""COMPUTED_VALUE"""),"Central High School")</f>
        <v>Central High School</v>
      </c>
      <c r="G1844" s="8">
        <f ca="1">IFERROR(__xludf.DUMMYFUNCTION("""COMPUTED_VALUE"""),0)</f>
        <v>0</v>
      </c>
      <c r="H1844" s="8">
        <f ca="1">IFERROR(__xludf.DUMMYFUNCTION("""COMPUTED_VALUE"""),0)</f>
        <v>0</v>
      </c>
      <c r="I1844" s="8">
        <f ca="1">IFERROR(__xludf.DUMMYFUNCTION("""COMPUTED_VALUE"""),0)</f>
        <v>0</v>
      </c>
      <c r="J1844" s="8">
        <f ca="1">IFERROR(__xludf.DUMMYFUNCTION("""COMPUTED_VALUE"""),1)</f>
        <v>1</v>
      </c>
      <c r="K1844" s="10" t="str">
        <f ca="1">IFERROR(__xludf.DUMMYFUNCTION("""COMPUTED_VALUE"""),"https://www.courierpress.com/story/news/local/2017/01/03/coroner-arriving-after-police-activity-central-high-school/96101214/")</f>
        <v>https://www.courierpress.com/story/news/local/2017/01/03/coroner-arriving-after-police-activity-central-high-school/96101214/</v>
      </c>
      <c r="L1844" s="8">
        <f ca="1">IFERROR(__xludf.DUMMYFUNCTION("""COMPUTED_VALUE"""),1)</f>
        <v>1</v>
      </c>
      <c r="M1844" s="8" t="str">
        <f ca="1">IFERROR(__xludf.DUMMYFUNCTION("""COMPUTED_VALUE"""),"Local")</f>
        <v>Local</v>
      </c>
      <c r="N1844" s="8">
        <f ca="1">IFERROR(__xludf.DUMMYFUNCTION("""COMPUTED_VALUE"""),4)</f>
        <v>4</v>
      </c>
      <c r="O1844" s="8" t="str">
        <f ca="1">IFERROR(__xludf.DUMMYFUNCTION("""COMPUTED_VALUE"""),"Winter")</f>
        <v>Winter</v>
      </c>
      <c r="P1844" s="8" t="str">
        <f ca="1">IFERROR(__xludf.DUMMYFUNCTION("""COMPUTED_VALUE"""),"Evansville")</f>
        <v>Evansville</v>
      </c>
      <c r="Q1844" s="8" t="str">
        <f ca="1">IFERROR(__xludf.DUMMYFUNCTION("""COMPUTED_VALUE"""),"IN")</f>
        <v>IN</v>
      </c>
      <c r="R1844" s="8" t="str">
        <f ca="1">IFERROR(__xludf.DUMMYFUNCTION("""COMPUTED_VALUE"""),"High")</f>
        <v>High</v>
      </c>
      <c r="S1844" s="8" t="str">
        <f ca="1">IFERROR(__xludf.DUMMYFUNCTION("""COMPUTED_VALUE"""),"Front of School")</f>
        <v>Front of School</v>
      </c>
      <c r="T1844" s="8" t="str">
        <f ca="1">IFERROR(__xludf.DUMMYFUNCTION("""COMPUTED_VALUE"""),"Outside on School Property")</f>
        <v>Outside on School Property</v>
      </c>
      <c r="U1844" s="8" t="str">
        <f ca="1">IFERROR(__xludf.DUMMYFUNCTION("""COMPUTED_VALUE"""),"Yes")</f>
        <v>Yes</v>
      </c>
      <c r="V1844" s="8" t="str">
        <f ca="1">IFERROR(__xludf.DUMMYFUNCTION("""COMPUTED_VALUE"""),"School Start")</f>
        <v>School Start</v>
      </c>
      <c r="W1844" s="11">
        <f ca="1">IFERROR(__xludf.DUMMYFUNCTION("""COMPUTED_VALUE"""),0.291666666666666)</f>
        <v>0.29166666666666602</v>
      </c>
      <c r="X1844" s="8">
        <f ca="1">IFERROR(__xludf.DUMMYFUNCTION("""COMPUTED_VALUE"""),1)</f>
        <v>1</v>
      </c>
      <c r="Y1844" s="12" t="str">
        <f ca="1">IFERROR(__xludf.DUMMYFUNCTION("""COMPUTED_VALUE"""),"Student commit suicide in the parking lot, had multiple guns and ammo")</f>
        <v>Student commit suicide in the parking lot, had multiple guns and ammo</v>
      </c>
      <c r="Z1844" s="12" t="str">
        <f ca="1">IFERROR(__xludf.DUMMYFUNCTION("""COMPUTED_VALUE"""),"Evansville Police Department spokesman Sgt. Jason Cullum said Kellough's body was found by another student outside one of the school's doors just before 7 a.m. That student, police said, notified a school resource officer who was already inside. That offi"&amp;"cer alerted dispatchers and confirmed that Kellough was dead, according to Cullum. Several units from both the Evansville Police Department and the Vanderburgh County Sheriff's Office responded to the scene, but Cullum made assurances that there were no a"&amp;"dditional threats at the school. While police investigated, students and staff were redirected to other doors at the school but still allowed inside. Three guns, magazines and bullets found with teen who killed himself.
")</f>
        <v xml:space="preserve">Evansville Police Department spokesman Sgt. Jason Cullum said Kellough's body was found by another student outside one of the school's doors just before 7 a.m. That student, police said, notified a school resource officer who was already inside. That officer alerted dispatchers and confirmed that Kellough was dead, according to Cullum. Several units from both the Evansville Police Department and the Vanderburgh County Sheriff's Office responded to the scene, but Cullum made assurances that there were no additional threats at the school. While police investigated, students and staff were redirected to other doors at the school but still allowed inside. Three guns, magazines and bullets found with teen who killed himself.
</v>
      </c>
      <c r="AA1844" s="8" t="str">
        <f ca="1">IFERROR(__xludf.DUMMYFUNCTION("""COMPUTED_VALUE"""),"Indiscriminate Shooting")</f>
        <v>Indiscriminate Shooting</v>
      </c>
      <c r="AB1844" s="8"/>
      <c r="AC1844" s="8" t="str">
        <f ca="1">IFERROR(__xludf.DUMMYFUNCTION("""COMPUTED_VALUE"""),"Yes")</f>
        <v>Yes</v>
      </c>
      <c r="AD1844" s="8" t="str">
        <f ca="1">IFERROR(__xludf.DUMMYFUNCTION("""COMPUTED_VALUE"""),"Both")</f>
        <v>Both</v>
      </c>
      <c r="AE1844" s="8" t="str">
        <f ca="1">IFERROR(__xludf.DUMMYFUNCTION("""COMPUTED_VALUE"""),"No")</f>
        <v>No</v>
      </c>
      <c r="AF1844" s="8"/>
      <c r="AG1844" s="8" t="str">
        <f ca="1">IFERROR(__xludf.DUMMYFUNCTION("""COMPUTED_VALUE"""),"No")</f>
        <v>No</v>
      </c>
      <c r="AH1844" s="8" t="str">
        <f ca="1">IFERROR(__xludf.DUMMYFUNCTION("""COMPUTED_VALUE"""),"No")</f>
        <v>No</v>
      </c>
      <c r="AI1844" s="8" t="str">
        <f ca="1">IFERROR(__xludf.DUMMYFUNCTION("""COMPUTED_VALUE"""),"No")</f>
        <v>No</v>
      </c>
      <c r="AJ1844" s="8"/>
      <c r="AK1844" s="8" t="str">
        <f ca="1">IFERROR(__xludf.DUMMYFUNCTION("""COMPUTED_VALUE"""),"No")</f>
        <v>No</v>
      </c>
      <c r="AL1844" s="8" t="str">
        <f ca="1">IFERROR(__xludf.DUMMYFUNCTION("""COMPUTED_VALUE"""),"No")</f>
        <v>No</v>
      </c>
      <c r="AM1844" s="8" t="str">
        <f ca="1">IFERROR(__xludf.DUMMYFUNCTION("""COMPUTED_VALUE"""),"Yes")</f>
        <v>Yes</v>
      </c>
      <c r="AN1844" s="8" t="str">
        <f ca="1">IFERROR(__xludf.DUMMYFUNCTION("""COMPUTED_VALUE"""),"Outside")</f>
        <v>Outside</v>
      </c>
      <c r="AO1844" s="8" t="str">
        <f ca="1">IFERROR(__xludf.DUMMYFUNCTION("""COMPUTED_VALUE"""),"Yes")</f>
        <v>Yes</v>
      </c>
      <c r="AP1844" s="8"/>
      <c r="AQ1844" s="8"/>
      <c r="AR1844" s="8" t="str">
        <f ca="1">IFERROR(__xludf.DUMMYFUNCTION("""COMPUTED_VALUE"""),"Outside/Off-Property")</f>
        <v>Outside/Off-Property</v>
      </c>
      <c r="AS1844" s="8">
        <f ca="1">IFERROR(__xludf.DUMMYFUNCTION("""COMPUTED_VALUE"""),1)</f>
        <v>1</v>
      </c>
      <c r="AT1844" s="8"/>
      <c r="AU1844" s="8">
        <f ca="1">IFERROR(__xludf.DUMMYFUNCTION("""COMPUTED_VALUE"""),38.028889)</f>
        <v>38.028888999999999</v>
      </c>
      <c r="AV1844" s="8">
        <f ca="1">IFERROR(__xludf.DUMMYFUNCTION("""COMPUTED_VALUE"""),-87.577975)</f>
        <v>-87.577974999999995</v>
      </c>
      <c r="AW1844" s="8"/>
      <c r="AX1844" s="8">
        <f ca="1">IFERROR(__xludf.DUMMYFUNCTION("""COMPUTED_VALUE"""),47710)</f>
        <v>47710</v>
      </c>
    </row>
    <row r="1845" spans="1:50" ht="90" x14ac:dyDescent="0.2">
      <c r="A1845" s="8" t="str">
        <f ca="1">IFERROR(__xludf.DUMMYFUNCTION("""COMPUTED_VALUE"""),"20170101DELAH")</f>
        <v>20170101DELAH</v>
      </c>
      <c r="B1845" s="8">
        <f ca="1">IFERROR(__xludf.DUMMYFUNCTION("""COMPUTED_VALUE"""),1)</f>
        <v>1</v>
      </c>
      <c r="C1845" s="8">
        <f ca="1">IFERROR(__xludf.DUMMYFUNCTION("""COMPUTED_VALUE"""),1)</f>
        <v>1</v>
      </c>
      <c r="D1845" s="8">
        <f ca="1">IFERROR(__xludf.DUMMYFUNCTION("""COMPUTED_VALUE"""),2017)</f>
        <v>2017</v>
      </c>
      <c r="E1845" s="9">
        <f ca="1">IFERROR(__xludf.DUMMYFUNCTION("""COMPUTED_VALUE"""),42736)</f>
        <v>42736</v>
      </c>
      <c r="F1845" s="8" t="str">
        <f ca="1">IFERROR(__xludf.DUMMYFUNCTION("""COMPUTED_VALUE"""),"Lake Forest South Elementary School")</f>
        <v>Lake Forest South Elementary School</v>
      </c>
      <c r="G1845" s="8">
        <f ca="1">IFERROR(__xludf.DUMMYFUNCTION("""COMPUTED_VALUE"""),0)</f>
        <v>0</v>
      </c>
      <c r="H1845" s="8">
        <f ca="1">IFERROR(__xludf.DUMMYFUNCTION("""COMPUTED_VALUE"""),1)</f>
        <v>1</v>
      </c>
      <c r="I1845" s="8">
        <f ca="1">IFERROR(__xludf.DUMMYFUNCTION("""COMPUTED_VALUE"""),1)</f>
        <v>1</v>
      </c>
      <c r="J1845" s="8">
        <f ca="1">IFERROR(__xludf.DUMMYFUNCTION("""COMPUTED_VALUE"""),0)</f>
        <v>0</v>
      </c>
      <c r="K1845" s="8" t="str">
        <f ca="1">IFERROR(__xludf.DUMMYFUNCTION("""COMPUTED_VALUE"""),"https://www.newspapers.com/image/255982409/?terms=shot%2Bin%2Bschool%2Bparking%2Blot; http://www.wboc.com/story/34181932/dover-man-arrested-for-harrington-shooting")</f>
        <v>https://www.newspapers.com/image/255982409/?terms=shot%2Bin%2Bschool%2Bparking%2Blot; http://www.wboc.com/story/34181932/dover-man-arrested-for-harrington-shooting</v>
      </c>
      <c r="L1845" s="8"/>
      <c r="M1845" s="8"/>
      <c r="N1845" s="8">
        <f ca="1">IFERROR(__xludf.DUMMYFUNCTION("""COMPUTED_VALUE"""),2)</f>
        <v>2</v>
      </c>
      <c r="O1845" s="8" t="str">
        <f ca="1">IFERROR(__xludf.DUMMYFUNCTION("""COMPUTED_VALUE"""),"Winter")</f>
        <v>Winter</v>
      </c>
      <c r="P1845" s="8" t="str">
        <f ca="1">IFERROR(__xludf.DUMMYFUNCTION("""COMPUTED_VALUE"""),"Harrington")</f>
        <v>Harrington</v>
      </c>
      <c r="Q1845" s="8" t="str">
        <f ca="1">IFERROR(__xludf.DUMMYFUNCTION("""COMPUTED_VALUE"""),"DE")</f>
        <v>DE</v>
      </c>
      <c r="R1845" s="8" t="str">
        <f ca="1">IFERROR(__xludf.DUMMYFUNCTION("""COMPUTED_VALUE"""),"Elementary")</f>
        <v>Elementary</v>
      </c>
      <c r="S1845" s="8" t="str">
        <f ca="1">IFERROR(__xludf.DUMMYFUNCTION("""COMPUTED_VALUE"""),"Field (General)")</f>
        <v>Field (General)</v>
      </c>
      <c r="T1845" s="8" t="str">
        <f ca="1">IFERROR(__xludf.DUMMYFUNCTION("""COMPUTED_VALUE"""),"Outside on School Property")</f>
        <v>Outside on School Property</v>
      </c>
      <c r="U1845" s="8" t="str">
        <f ca="1">IFERROR(__xludf.DUMMYFUNCTION("""COMPUTED_VALUE"""),"No")</f>
        <v>No</v>
      </c>
      <c r="V1845" s="8" t="str">
        <f ca="1">IFERROR(__xludf.DUMMYFUNCTION("""COMPUTED_VALUE"""),"Not a School Day")</f>
        <v>Not a School Day</v>
      </c>
      <c r="W1845" s="11">
        <f ca="1">IFERROR(__xludf.DUMMYFUNCTION("""COMPUTED_VALUE"""),0.666666666666666)</f>
        <v>0.66666666666666596</v>
      </c>
      <c r="X1845" s="8">
        <f ca="1">IFERROR(__xludf.DUMMYFUNCTION("""COMPUTED_VALUE"""),1)</f>
        <v>1</v>
      </c>
      <c r="Y1845" s="12" t="str">
        <f ca="1">IFERROR(__xludf.DUMMYFUNCTION("""COMPUTED_VALUE"""),"Fight broke out among teens playing football on school grounds")</f>
        <v>Fight broke out among teens playing football on school grounds</v>
      </c>
      <c r="Z1845" s="12" t="str">
        <f ca="1">IFERROR(__xludf.DUMMYFUNCTION("""COMPUTED_VALUE"""),"A group of teens were playing football on school grounds when they got into a fight with another group of teens. Someone pulled a handgun and fired into the crowd, striking the victim in both legs. The shooter then gave the gun to another mn to get rid of"&amp;". Both shooter and accomplice were located, arrested, and charged.")</f>
        <v>A group of teens were playing football on school grounds when they got into a fight with another group of teens. Someone pulled a handgun and fired into the crowd, striking the victim in both legs. The shooter then gave the gun to another mn to get rid of. Both shooter and accomplice were located, arrested, and charged.</v>
      </c>
      <c r="AA1845" s="8" t="str">
        <f ca="1">IFERROR(__xludf.DUMMYFUNCTION("""COMPUTED_VALUE"""),"Escalation of Dispute")</f>
        <v>Escalation of Dispute</v>
      </c>
      <c r="AB1845" s="8"/>
      <c r="AC1845" s="8" t="str">
        <f ca="1">IFERROR(__xludf.DUMMYFUNCTION("""COMPUTED_VALUE"""),"No")</f>
        <v>No</v>
      </c>
      <c r="AD1845" s="8"/>
      <c r="AE1845" s="8" t="str">
        <f ca="1">IFERROR(__xludf.DUMMYFUNCTION("""COMPUTED_VALUE"""),"Yes")</f>
        <v>Yes</v>
      </c>
      <c r="AF1845" s="8" t="str">
        <f ca="1">IFERROR(__xludf.DUMMYFUNCTION("""COMPUTED_VALUE"""),"David Brown")</f>
        <v>David Brown</v>
      </c>
      <c r="AG1845" s="8" t="str">
        <f ca="1">IFERROR(__xludf.DUMMYFUNCTION("""COMPUTED_VALUE"""),"No")</f>
        <v>No</v>
      </c>
      <c r="AH1845" s="8" t="str">
        <f ca="1">IFERROR(__xludf.DUMMYFUNCTION("""COMPUTED_VALUE"""),"No")</f>
        <v>No</v>
      </c>
      <c r="AI1845" s="8" t="str">
        <f ca="1">IFERROR(__xludf.DUMMYFUNCTION("""COMPUTED_VALUE"""),"No")</f>
        <v>No</v>
      </c>
      <c r="AJ1845" s="8" t="str">
        <f ca="1">IFERROR(__xludf.DUMMYFUNCTION("""COMPUTED_VALUE"""),"No")</f>
        <v>No</v>
      </c>
      <c r="AK1845" s="8" t="str">
        <f ca="1">IFERROR(__xludf.DUMMYFUNCTION("""COMPUTED_VALUE"""),"No")</f>
        <v>No</v>
      </c>
      <c r="AL1845" s="8" t="str">
        <f ca="1">IFERROR(__xludf.DUMMYFUNCTION("""COMPUTED_VALUE"""),"No")</f>
        <v>No</v>
      </c>
      <c r="AM1845" s="8" t="str">
        <f ca="1">IFERROR(__xludf.DUMMYFUNCTION("""COMPUTED_VALUE"""),"No")</f>
        <v>No</v>
      </c>
      <c r="AN1845" s="8"/>
      <c r="AO1845" s="8" t="str">
        <f ca="1">IFERROR(__xludf.DUMMYFUNCTION("""COMPUTED_VALUE"""),"No")</f>
        <v>No</v>
      </c>
      <c r="AP1845" s="8"/>
      <c r="AQ1845" s="8" t="str">
        <f ca="1">IFERROR(__xludf.DUMMYFUNCTION("""COMPUTED_VALUE"""),"Unknown")</f>
        <v>Unknown</v>
      </c>
      <c r="AR1845" s="8" t="str">
        <f ca="1">IFERROR(__xludf.DUMMYFUNCTION("""COMPUTED_VALUE"""),"NA")</f>
        <v>NA</v>
      </c>
      <c r="AS1845" s="8" t="str">
        <f ca="1">IFERROR(__xludf.DUMMYFUNCTION("""COMPUTED_VALUE"""),"Multiple")</f>
        <v>Multiple</v>
      </c>
      <c r="AT1845" s="8"/>
      <c r="AU1845" s="8">
        <f ca="1">IFERROR(__xludf.DUMMYFUNCTION("""COMPUTED_VALUE"""),38.930504)</f>
        <v>38.930503999999999</v>
      </c>
      <c r="AV1845" s="8">
        <f ca="1">IFERROR(__xludf.DUMMYFUNCTION("""COMPUTED_VALUE"""),-75.583222)</f>
        <v>-75.583222000000006</v>
      </c>
      <c r="AW1845" s="8"/>
      <c r="AX1845" s="8">
        <f ca="1">IFERROR(__xludf.DUMMYFUNCTION("""COMPUTED_VALUE"""),19952)</f>
        <v>19952</v>
      </c>
    </row>
    <row r="1846" spans="1:50" ht="60" x14ac:dyDescent="0.2">
      <c r="A1846" s="8" t="str">
        <f ca="1">IFERROR(__xludf.DUMMYFUNCTION("""COMPUTED_VALUE"""),"20161216FLSAJ")</f>
        <v>20161216FLSAJ</v>
      </c>
      <c r="B1846" s="8">
        <f ca="1">IFERROR(__xludf.DUMMYFUNCTION("""COMPUTED_VALUE"""),12)</f>
        <v>12</v>
      </c>
      <c r="C1846" s="8">
        <f ca="1">IFERROR(__xludf.DUMMYFUNCTION("""COMPUTED_VALUE"""),16)</f>
        <v>16</v>
      </c>
      <c r="D1846" s="8">
        <f ca="1">IFERROR(__xludf.DUMMYFUNCTION("""COMPUTED_VALUE"""),2016)</f>
        <v>2016</v>
      </c>
      <c r="E1846" s="9">
        <f ca="1">IFERROR(__xludf.DUMMYFUNCTION("""COMPUTED_VALUE"""),42720)</f>
        <v>42720</v>
      </c>
      <c r="F1846" s="8" t="str">
        <f ca="1">IFERROR(__xludf.DUMMYFUNCTION("""COMPUTED_VALUE"""),"Samuel W. Wolfson High School")</f>
        <v>Samuel W. Wolfson High School</v>
      </c>
      <c r="G1846" s="8">
        <f ca="1">IFERROR(__xludf.DUMMYFUNCTION("""COMPUTED_VALUE"""),0)</f>
        <v>0</v>
      </c>
      <c r="H1846" s="8">
        <f ca="1">IFERROR(__xludf.DUMMYFUNCTION("""COMPUTED_VALUE"""),0)</f>
        <v>0</v>
      </c>
      <c r="I1846" s="8">
        <f ca="1">IFERROR(__xludf.DUMMYFUNCTION("""COMPUTED_VALUE"""),0)</f>
        <v>0</v>
      </c>
      <c r="J1846" s="8">
        <f ca="1">IFERROR(__xludf.DUMMYFUNCTION("""COMPUTED_VALUE"""),0)</f>
        <v>0</v>
      </c>
      <c r="K1846" s="8" t="str">
        <f ca="1">IFERROR(__xludf.DUMMYFUNCTION("""COMPUTED_VALUE"""),"https://www.actionnewsjax.com/news/local/police-shots-fired-into-a-jacksonville-school-bus/476620032/ https://www.news4jax.com/news/2016/12/18/police-17-year-old-arrested-in-school-bus-shooting/")</f>
        <v>https://www.actionnewsjax.com/news/local/police-shots-fired-into-a-jacksonville-school-bus/476620032/ https://www.news4jax.com/news/2016/12/18/police-17-year-old-arrested-in-school-bus-shooting/</v>
      </c>
      <c r="L1846" s="8">
        <f ca="1">IFERROR(__xludf.DUMMYFUNCTION("""COMPUTED_VALUE"""),2)</f>
        <v>2</v>
      </c>
      <c r="M1846" s="8" t="str">
        <f ca="1">IFERROR(__xludf.DUMMYFUNCTION("""COMPUTED_VALUE"""),"Local")</f>
        <v>Local</v>
      </c>
      <c r="N1846" s="8">
        <f ca="1">IFERROR(__xludf.DUMMYFUNCTION("""COMPUTED_VALUE"""),4)</f>
        <v>4</v>
      </c>
      <c r="O1846" s="8" t="str">
        <f ca="1">IFERROR(__xludf.DUMMYFUNCTION("""COMPUTED_VALUE"""),"Winter")</f>
        <v>Winter</v>
      </c>
      <c r="P1846" s="8" t="str">
        <f ca="1">IFERROR(__xludf.DUMMYFUNCTION("""COMPUTED_VALUE"""),"Jacksonville")</f>
        <v>Jacksonville</v>
      </c>
      <c r="Q1846" s="8" t="str">
        <f ca="1">IFERROR(__xludf.DUMMYFUNCTION("""COMPUTED_VALUE"""),"FL")</f>
        <v>FL</v>
      </c>
      <c r="R1846" s="8" t="str">
        <f ca="1">IFERROR(__xludf.DUMMYFUNCTION("""COMPUTED_VALUE"""),"High")</f>
        <v>High</v>
      </c>
      <c r="S1846" s="8" t="str">
        <f ca="1">IFERROR(__xludf.DUMMYFUNCTION("""COMPUTED_VALUE"""),"School Bus")</f>
        <v>School Bus</v>
      </c>
      <c r="T1846" s="8" t="str">
        <f ca="1">IFERROR(__xludf.DUMMYFUNCTION("""COMPUTED_VALUE"""),"School Bus")</f>
        <v>School Bus</v>
      </c>
      <c r="U1846" s="8" t="str">
        <f ca="1">IFERROR(__xludf.DUMMYFUNCTION("""COMPUTED_VALUE"""),"Yes")</f>
        <v>Yes</v>
      </c>
      <c r="V1846" s="8" t="str">
        <f ca="1">IFERROR(__xludf.DUMMYFUNCTION("""COMPUTED_VALUE"""),"Dismissal")</f>
        <v>Dismissal</v>
      </c>
      <c r="W1846" s="11">
        <f ca="1">IFERROR(__xludf.DUMMYFUNCTION("""COMPUTED_VALUE"""),0.618055555555555)</f>
        <v>0.61805555555555503</v>
      </c>
      <c r="X1846" s="8">
        <f ca="1">IFERROR(__xludf.DUMMYFUNCTION("""COMPUTED_VALUE"""),1)</f>
        <v>1</v>
      </c>
      <c r="Y1846" s="12" t="str">
        <f ca="1">IFERROR(__xludf.DUMMYFUNCTION("""COMPUTED_VALUE"""),"Teen shot BB gun at bus breaking window and injuring student inside")</f>
        <v>Teen shot BB gun at bus breaking window and injuring student inside</v>
      </c>
      <c r="Z1846" s="12" t="str">
        <f ca="1">IFERROR(__xludf.DUMMYFUNCTION("""COMPUTED_VALUE"""),"A 17 year-old male student fired a BB gun at the school bus which broke a window and injured a student inside. Teen was arrested and charged with a felony.")</f>
        <v>A 17 year-old male student fired a BB gun at the school bus which broke a window and injured a student inside. Teen was arrested and charged with a felony.</v>
      </c>
      <c r="AA1846" s="8" t="str">
        <f ca="1">IFERROR(__xludf.DUMMYFUNCTION("""COMPUTED_VALUE"""),"Intentional Property Damage")</f>
        <v>Intentional Property Damage</v>
      </c>
      <c r="AB1846" s="8"/>
      <c r="AC1846" s="8" t="str">
        <f ca="1">IFERROR(__xludf.DUMMYFUNCTION("""COMPUTED_VALUE"""),"Yes")</f>
        <v>Yes</v>
      </c>
      <c r="AD1846" s="8" t="str">
        <f ca="1">IFERROR(__xludf.DUMMYFUNCTION("""COMPUTED_VALUE"""),"Random Shooting")</f>
        <v>Random Shooting</v>
      </c>
      <c r="AE1846" s="8" t="str">
        <f ca="1">IFERROR(__xludf.DUMMYFUNCTION("""COMPUTED_VALUE"""),"No")</f>
        <v>No</v>
      </c>
      <c r="AF1846" s="8"/>
      <c r="AG1846" s="8" t="str">
        <f ca="1">IFERROR(__xludf.DUMMYFUNCTION("""COMPUTED_VALUE"""),"No")</f>
        <v>No</v>
      </c>
      <c r="AH1846" s="8" t="str">
        <f ca="1">IFERROR(__xludf.DUMMYFUNCTION("""COMPUTED_VALUE"""),"No")</f>
        <v>No</v>
      </c>
      <c r="AI1846" s="8" t="str">
        <f ca="1">IFERROR(__xludf.DUMMYFUNCTION("""COMPUTED_VALUE"""),"No")</f>
        <v>No</v>
      </c>
      <c r="AJ1846" s="8" t="str">
        <f ca="1">IFERROR(__xludf.DUMMYFUNCTION("""COMPUTED_VALUE"""),"No")</f>
        <v>No</v>
      </c>
      <c r="AK1846" s="8" t="str">
        <f ca="1">IFERROR(__xludf.DUMMYFUNCTION("""COMPUTED_VALUE"""),"No")</f>
        <v>No</v>
      </c>
      <c r="AL1846" s="8" t="str">
        <f ca="1">IFERROR(__xludf.DUMMYFUNCTION("""COMPUTED_VALUE"""),"No")</f>
        <v>No</v>
      </c>
      <c r="AM1846" s="8" t="str">
        <f ca="1">IFERROR(__xludf.DUMMYFUNCTION("""COMPUTED_VALUE"""),"No")</f>
        <v>No</v>
      </c>
      <c r="AN1846" s="8"/>
      <c r="AO1846" s="8" t="str">
        <f ca="1">IFERROR(__xludf.DUMMYFUNCTION("""COMPUTED_VALUE"""),"No")</f>
        <v>No</v>
      </c>
      <c r="AP1846" s="8"/>
      <c r="AQ1846" s="8"/>
      <c r="AR1846" s="8" t="str">
        <f ca="1">IFERROR(__xludf.DUMMYFUNCTION("""COMPUTED_VALUE"""),"Outside/Off-Property")</f>
        <v>Outside/Off-Property</v>
      </c>
      <c r="AS1846" s="8"/>
      <c r="AT1846" s="8"/>
      <c r="AU1846" s="8">
        <f ca="1">IFERROR(__xludf.DUMMYFUNCTION("""COMPUTED_VALUE"""),30.249594)</f>
        <v>30.249593999999998</v>
      </c>
      <c r="AV1846" s="8">
        <f ca="1">IFERROR(__xludf.DUMMYFUNCTION("""COMPUTED_VALUE"""),-81.615588)</f>
        <v>-81.615588000000002</v>
      </c>
      <c r="AW1846" s="8"/>
      <c r="AX1846" s="8">
        <f ca="1">IFERROR(__xludf.DUMMYFUNCTION("""COMPUTED_VALUE"""),32217)</f>
        <v>32217</v>
      </c>
    </row>
    <row r="1847" spans="1:50" ht="45" x14ac:dyDescent="0.2">
      <c r="A1847" s="8" t="str">
        <f ca="1">IFERROR(__xludf.DUMMYFUNCTION("""COMPUTED_VALUE"""),"20161209NVHUR")</f>
        <v>20161209NVHUR</v>
      </c>
      <c r="B1847" s="8">
        <f ca="1">IFERROR(__xludf.DUMMYFUNCTION("""COMPUTED_VALUE"""),12)</f>
        <v>12</v>
      </c>
      <c r="C1847" s="8">
        <f ca="1">IFERROR(__xludf.DUMMYFUNCTION("""COMPUTED_VALUE"""),7)</f>
        <v>7</v>
      </c>
      <c r="D1847" s="8">
        <f ca="1">IFERROR(__xludf.DUMMYFUNCTION("""COMPUTED_VALUE"""),2016)</f>
        <v>2016</v>
      </c>
      <c r="E1847" s="9">
        <f ca="1">IFERROR(__xludf.DUMMYFUNCTION("""COMPUTED_VALUE"""),42711)</f>
        <v>42711</v>
      </c>
      <c r="F1847" s="8" t="str">
        <f ca="1">IFERROR(__xludf.DUMMYFUNCTION("""COMPUTED_VALUE"""),"Hug High School")</f>
        <v>Hug High School</v>
      </c>
      <c r="G1847" s="8">
        <f ca="1">IFERROR(__xludf.DUMMYFUNCTION("""COMPUTED_VALUE"""),0)</f>
        <v>0</v>
      </c>
      <c r="H1847" s="8">
        <f ca="1">IFERROR(__xludf.DUMMYFUNCTION("""COMPUTED_VALUE"""),1)</f>
        <v>1</v>
      </c>
      <c r="I1847" s="8">
        <f ca="1">IFERROR(__xludf.DUMMYFUNCTION("""COMPUTED_VALUE"""),1)</f>
        <v>1</v>
      </c>
      <c r="J1847" s="8">
        <f ca="1">IFERROR(__xludf.DUMMYFUNCTION("""COMPUTED_VALUE"""),0)</f>
        <v>0</v>
      </c>
      <c r="K1847" s="8" t="str">
        <f ca="1">IFERROR(__xludf.DUMMYFUNCTION("""COMPUTED_VALUE"""),"https://www.rgj.com/story/news/education/2018/04/10/judge-orders-hug-high-student-who-shot-police-texas-treatment-center/505063002/   https://www.cbsnews.com/news/nevada-teen-shot-by-school-police-logan-clark-speaks-out/   https://www.newspapers.com/image"&amp;"/250043890/?terms=logan%2Bclark")</f>
        <v>https://www.rgj.com/story/news/education/2018/04/10/judge-orders-hug-high-student-who-shot-police-texas-treatment-center/505063002/   https://www.cbsnews.com/news/nevada-teen-shot-by-school-police-logan-clark-speaks-out/   https://www.newspapers.com/image/250043890/?terms=logan%2Bclark</v>
      </c>
      <c r="L1847" s="8"/>
      <c r="M1847" s="8"/>
      <c r="N1847" s="8">
        <f ca="1">IFERROR(__xludf.DUMMYFUNCTION("""COMPUTED_VALUE"""),3)</f>
        <v>3</v>
      </c>
      <c r="O1847" s="8" t="str">
        <f ca="1">IFERROR(__xludf.DUMMYFUNCTION("""COMPUTED_VALUE"""),"Winter")</f>
        <v>Winter</v>
      </c>
      <c r="P1847" s="8" t="str">
        <f ca="1">IFERROR(__xludf.DUMMYFUNCTION("""COMPUTED_VALUE"""),"Reno")</f>
        <v>Reno</v>
      </c>
      <c r="Q1847" s="8" t="str">
        <f ca="1">IFERROR(__xludf.DUMMYFUNCTION("""COMPUTED_VALUE"""),"NV")</f>
        <v>NV</v>
      </c>
      <c r="R1847" s="8" t="str">
        <f ca="1">IFERROR(__xludf.DUMMYFUNCTION("""COMPUTED_VALUE"""),"High")</f>
        <v>High</v>
      </c>
      <c r="S1847" s="8" t="str">
        <f ca="1">IFERROR(__xludf.DUMMYFUNCTION("""COMPUTED_VALUE"""),"Outside on School Property")</f>
        <v>Outside on School Property</v>
      </c>
      <c r="T1847" s="8" t="str">
        <f ca="1">IFERROR(__xludf.DUMMYFUNCTION("""COMPUTED_VALUE"""),"Outside on School Property")</f>
        <v>Outside on School Property</v>
      </c>
      <c r="U1847" s="8" t="str">
        <f ca="1">IFERROR(__xludf.DUMMYFUNCTION("""COMPUTED_VALUE"""),"Yes")</f>
        <v>Yes</v>
      </c>
      <c r="V1847" s="8" t="str">
        <f ca="1">IFERROR(__xludf.DUMMYFUNCTION("""COMPUTED_VALUE"""),"Morning Classes")</f>
        <v>Morning Classes</v>
      </c>
      <c r="W1847" s="11">
        <f ca="1">IFERROR(__xludf.DUMMYFUNCTION("""COMPUTED_VALUE"""),0.475694444444444)</f>
        <v>0.47569444444444398</v>
      </c>
      <c r="X1847" s="8">
        <f ca="1">IFERROR(__xludf.DUMMYFUNCTION("""COMPUTED_VALUE"""),1)</f>
        <v>1</v>
      </c>
      <c r="Y1847" s="12" t="str">
        <f ca="1">IFERROR(__xludf.DUMMYFUNCTION("""COMPUTED_VALUE"""),"Officer shot student holding knife")</f>
        <v>Officer shot student holding knife</v>
      </c>
      <c r="Z1847" s="12" t="str">
        <f ca="1">IFERROR(__xludf.DUMMYFUNCTION("""COMPUTED_VALUE"""),"Police officer shot a 14 year old student who was threatening other students with knives. Victim said he took knives to school after repeated bullying.")</f>
        <v>Police officer shot a 14 year old student who was threatening other students with knives. Victim said he took knives to school after repeated bullying.</v>
      </c>
      <c r="AA1847" s="8" t="str">
        <f ca="1">IFERROR(__xludf.DUMMYFUNCTION("""COMPUTED_VALUE"""),"Officer-Involved Shooting")</f>
        <v>Officer-Involved Shooting</v>
      </c>
      <c r="AB1847" s="8"/>
      <c r="AC1847" s="8" t="str">
        <f ca="1">IFERROR(__xludf.DUMMYFUNCTION("""COMPUTED_VALUE"""),"Yes")</f>
        <v>Yes</v>
      </c>
      <c r="AD1847" s="8" t="str">
        <f ca="1">IFERROR(__xludf.DUMMYFUNCTION("""COMPUTED_VALUE"""),"Victims Targeted")</f>
        <v>Victims Targeted</v>
      </c>
      <c r="AE1847" s="8" t="str">
        <f ca="1">IFERROR(__xludf.DUMMYFUNCTION("""COMPUTED_VALUE"""),"No")</f>
        <v>No</v>
      </c>
      <c r="AF1847" s="8"/>
      <c r="AG1847" s="8" t="str">
        <f ca="1">IFERROR(__xludf.DUMMYFUNCTION("""COMPUTED_VALUE"""),"No")</f>
        <v>No</v>
      </c>
      <c r="AH1847" s="8" t="str">
        <f ca="1">IFERROR(__xludf.DUMMYFUNCTION("""COMPUTED_VALUE"""),"No")</f>
        <v>No</v>
      </c>
      <c r="AI1847" s="8" t="str">
        <f ca="1">IFERROR(__xludf.DUMMYFUNCTION("""COMPUTED_VALUE"""),"Yes")</f>
        <v>Yes</v>
      </c>
      <c r="AJ1847" s="8"/>
      <c r="AK1847" s="8"/>
      <c r="AL1847" s="8"/>
      <c r="AM1847" s="8" t="str">
        <f ca="1">IFERROR(__xludf.DUMMYFUNCTION("""COMPUTED_VALUE"""),"No")</f>
        <v>No</v>
      </c>
      <c r="AN1847" s="8"/>
      <c r="AO1847" s="8"/>
      <c r="AP1847" s="8"/>
      <c r="AQ1847" s="8" t="str">
        <f ca="1">IFERROR(__xludf.DUMMYFUNCTION("""COMPUTED_VALUE"""),"Unknown")</f>
        <v>Unknown</v>
      </c>
      <c r="AR1847" s="8" t="str">
        <f ca="1">IFERROR(__xludf.DUMMYFUNCTION("""COMPUTED_VALUE"""),"NA")</f>
        <v>NA</v>
      </c>
      <c r="AS1847" s="8">
        <f ca="1">IFERROR(__xludf.DUMMYFUNCTION("""COMPUTED_VALUE"""),1)</f>
        <v>1</v>
      </c>
      <c r="AT1847" s="8"/>
      <c r="AU1847" s="8">
        <f ca="1">IFERROR(__xludf.DUMMYFUNCTION("""COMPUTED_VALUE"""),39.555085)</f>
        <v>39.555084999999998</v>
      </c>
      <c r="AV1847" s="8">
        <f ca="1">IFERROR(__xludf.DUMMYFUNCTION("""COMPUTED_VALUE"""),-119.797296)</f>
        <v>-119.797296</v>
      </c>
      <c r="AW1847" s="8"/>
      <c r="AX1847" s="8">
        <f ca="1">IFERROR(__xludf.DUMMYFUNCTION("""COMPUTED_VALUE"""),89512)</f>
        <v>89512</v>
      </c>
    </row>
    <row r="1848" spans="1:50" ht="45" x14ac:dyDescent="0.2">
      <c r="A1848" s="8" t="str">
        <f ca="1">IFERROR(__xludf.DUMMYFUNCTION("""COMPUTED_VALUE"""),"20161209MOBAS")</f>
        <v>20161209MOBAS</v>
      </c>
      <c r="B1848" s="8">
        <f ca="1">IFERROR(__xludf.DUMMYFUNCTION("""COMPUTED_VALUE"""),12)</f>
        <v>12</v>
      </c>
      <c r="C1848" s="8">
        <f ca="1">IFERROR(__xludf.DUMMYFUNCTION("""COMPUTED_VALUE"""),9)</f>
        <v>9</v>
      </c>
      <c r="D1848" s="8">
        <f ca="1">IFERROR(__xludf.DUMMYFUNCTION("""COMPUTED_VALUE"""),2016)</f>
        <v>2016</v>
      </c>
      <c r="E1848" s="9">
        <f ca="1">IFERROR(__xludf.DUMMYFUNCTION("""COMPUTED_VALUE"""),42713)</f>
        <v>42713</v>
      </c>
      <c r="F1848" s="8" t="str">
        <f ca="1">IFERROR(__xludf.DUMMYFUNCTION("""COMPUTED_VALUE"""),"Bayless High School")</f>
        <v>Bayless High School</v>
      </c>
      <c r="G1848" s="8">
        <f ca="1">IFERROR(__xludf.DUMMYFUNCTION("""COMPUTED_VALUE"""),0)</f>
        <v>0</v>
      </c>
      <c r="H1848" s="8">
        <f ca="1">IFERROR(__xludf.DUMMYFUNCTION("""COMPUTED_VALUE"""),1)</f>
        <v>1</v>
      </c>
      <c r="I1848" s="8">
        <f ca="1">IFERROR(__xludf.DUMMYFUNCTION("""COMPUTED_VALUE"""),1)</f>
        <v>1</v>
      </c>
      <c r="J1848" s="8">
        <f ca="1">IFERROR(__xludf.DUMMYFUNCTION("""COMPUTED_VALUE"""),0)</f>
        <v>0</v>
      </c>
      <c r="K1848" s="8" t="str">
        <f ca="1">IFERROR(__xludf.DUMMYFUNCTION("""COMPUTED_VALUE"""),"https://fox2now.com/2016/12/09/person-shot-on-bayless-high-school-campus-basketball-game-cancelled/ .   https://www.ksdk.com/article/news/local/high-school-shooting-linked-to-5-debt/63-367748785")</f>
        <v>https://fox2now.com/2016/12/09/person-shot-on-bayless-high-school-campus-basketball-game-cancelled/ .   https://www.ksdk.com/article/news/local/high-school-shooting-linked-to-5-debt/63-367748785</v>
      </c>
      <c r="L1848" s="8"/>
      <c r="M1848" s="8"/>
      <c r="N1848" s="8">
        <f ca="1">IFERROR(__xludf.DUMMYFUNCTION("""COMPUTED_VALUE"""),5)</f>
        <v>5</v>
      </c>
      <c r="O1848" s="8" t="str">
        <f ca="1">IFERROR(__xludf.DUMMYFUNCTION("""COMPUTED_VALUE"""),"Winter")</f>
        <v>Winter</v>
      </c>
      <c r="P1848" s="8" t="str">
        <f ca="1">IFERROR(__xludf.DUMMYFUNCTION("""COMPUTED_VALUE"""),"St. Louis")</f>
        <v>St. Louis</v>
      </c>
      <c r="Q1848" s="8" t="str">
        <f ca="1">IFERROR(__xludf.DUMMYFUNCTION("""COMPUTED_VALUE"""),"MO")</f>
        <v>MO</v>
      </c>
      <c r="R1848" s="8" t="str">
        <f ca="1">IFERROR(__xludf.DUMMYFUNCTION("""COMPUTED_VALUE"""),"High")</f>
        <v>High</v>
      </c>
      <c r="S1848" s="8" t="str">
        <f ca="1">IFERROR(__xludf.DUMMYFUNCTION("""COMPUTED_VALUE"""),"Gym")</f>
        <v>Gym</v>
      </c>
      <c r="T1848" s="8" t="str">
        <f ca="1">IFERROR(__xludf.DUMMYFUNCTION("""COMPUTED_VALUE"""),"Inside School Building")</f>
        <v>Inside School Building</v>
      </c>
      <c r="U1848" s="8" t="str">
        <f ca="1">IFERROR(__xludf.DUMMYFUNCTION("""COMPUTED_VALUE"""),"No")</f>
        <v>No</v>
      </c>
      <c r="V1848" s="8" t="str">
        <f ca="1">IFERROR(__xludf.DUMMYFUNCTION("""COMPUTED_VALUE"""),"Sport Event")</f>
        <v>Sport Event</v>
      </c>
      <c r="W1848" s="11">
        <f ca="1">IFERROR(__xludf.DUMMYFUNCTION("""COMPUTED_VALUE"""),0.802083333333333)</f>
        <v>0.80208333333333304</v>
      </c>
      <c r="X1848" s="8">
        <f ca="1">IFERROR(__xludf.DUMMYFUNCTION("""COMPUTED_VALUE"""),1)</f>
        <v>1</v>
      </c>
      <c r="Y1848" s="12" t="str">
        <f ca="1">IFERROR(__xludf.DUMMYFUNCTION("""COMPUTED_VALUE"""),"Fight ensued over a $5 debt")</f>
        <v>Fight ensued over a $5 debt</v>
      </c>
      <c r="Z1848" s="12" t="str">
        <f ca="1">IFERROR(__xludf.DUMMYFUNCTION("""COMPUTED_VALUE"""),"Three men entered the gym during a basketball game, confronted the victim about a $5 debt, shot him once, and fled the area. No suspect identified.")</f>
        <v>Three men entered the gym during a basketball game, confronted the victim about a $5 debt, shot him once, and fled the area. No suspect identified.</v>
      </c>
      <c r="AA1848" s="8" t="str">
        <f ca="1">IFERROR(__xludf.DUMMYFUNCTION("""COMPUTED_VALUE"""),"Escalation of Dispute")</f>
        <v>Escalation of Dispute</v>
      </c>
      <c r="AB1848" s="8"/>
      <c r="AC1848" s="8" t="str">
        <f ca="1">IFERROR(__xludf.DUMMYFUNCTION("""COMPUTED_VALUE"""),"Yes")</f>
        <v>Yes</v>
      </c>
      <c r="AD1848" s="8" t="str">
        <f ca="1">IFERROR(__xludf.DUMMYFUNCTION("""COMPUTED_VALUE"""),"Victims Targeted")</f>
        <v>Victims Targeted</v>
      </c>
      <c r="AE1848" s="8" t="str">
        <f ca="1">IFERROR(__xludf.DUMMYFUNCTION("""COMPUTED_VALUE"""),"Yes")</f>
        <v>Yes</v>
      </c>
      <c r="AF1848" s="8" t="str">
        <f ca="1">IFERROR(__xludf.DUMMYFUNCTION("""COMPUTED_VALUE"""),"Three men confronted victim")</f>
        <v>Three men confronted victim</v>
      </c>
      <c r="AG1848" s="8" t="str">
        <f ca="1">IFERROR(__xludf.DUMMYFUNCTION("""COMPUTED_VALUE"""),"No")</f>
        <v>No</v>
      </c>
      <c r="AH1848" s="8" t="str">
        <f ca="1">IFERROR(__xludf.DUMMYFUNCTION("""COMPUTED_VALUE"""),"No")</f>
        <v>No</v>
      </c>
      <c r="AI1848" s="8" t="str">
        <f ca="1">IFERROR(__xludf.DUMMYFUNCTION("""COMPUTED_VALUE"""),"No")</f>
        <v>No</v>
      </c>
      <c r="AJ1848" s="8" t="str">
        <f ca="1">IFERROR(__xludf.DUMMYFUNCTION("""COMPUTED_VALUE"""),"No")</f>
        <v>No</v>
      </c>
      <c r="AK1848" s="8" t="str">
        <f ca="1">IFERROR(__xludf.DUMMYFUNCTION("""COMPUTED_VALUE"""),"No")</f>
        <v>No</v>
      </c>
      <c r="AL1848" s="8" t="str">
        <f ca="1">IFERROR(__xludf.DUMMYFUNCTION("""COMPUTED_VALUE"""),"No")</f>
        <v>No</v>
      </c>
      <c r="AM1848" s="8" t="str">
        <f ca="1">IFERROR(__xludf.DUMMYFUNCTION("""COMPUTED_VALUE"""),"No")</f>
        <v>No</v>
      </c>
      <c r="AN1848" s="8"/>
      <c r="AO1848" s="8" t="str">
        <f ca="1">IFERROR(__xludf.DUMMYFUNCTION("""COMPUTED_VALUE"""),"No")</f>
        <v>No</v>
      </c>
      <c r="AP1848" s="8"/>
      <c r="AQ1848" s="8" t="str">
        <f ca="1">IFERROR(__xludf.DUMMYFUNCTION("""COMPUTED_VALUE"""),"Unknown")</f>
        <v>Unknown</v>
      </c>
      <c r="AR1848" s="8" t="str">
        <f ca="1">IFERROR(__xludf.DUMMYFUNCTION("""COMPUTED_VALUE"""),"NA")</f>
        <v>NA</v>
      </c>
      <c r="AS1848" s="8">
        <f ca="1">IFERROR(__xludf.DUMMYFUNCTION("""COMPUTED_VALUE"""),1)</f>
        <v>1</v>
      </c>
      <c r="AT1848" s="8"/>
      <c r="AU1848" s="8">
        <f ca="1">IFERROR(__xludf.DUMMYFUNCTION("""COMPUTED_VALUE"""),38.6270025)</f>
        <v>38.627002500000003</v>
      </c>
      <c r="AV1848" s="8">
        <f ca="1">IFERROR(__xludf.DUMMYFUNCTION("""COMPUTED_VALUE"""),-90.1994042)</f>
        <v>-90.199404200000004</v>
      </c>
      <c r="AW1848" s="8"/>
      <c r="AX1848" s="8">
        <f ca="1">IFERROR(__xludf.DUMMYFUNCTION("""COMPUTED_VALUE"""),63103)</f>
        <v>63103</v>
      </c>
    </row>
    <row r="1849" spans="1:50" ht="120" x14ac:dyDescent="0.2">
      <c r="A1849" s="8" t="str">
        <f ca="1">IFERROR(__xludf.DUMMYFUNCTION("""COMPUTED_VALUE"""),"20161201UTMUB")</f>
        <v>20161201UTMUB</v>
      </c>
      <c r="B1849" s="8">
        <f ca="1">IFERROR(__xludf.DUMMYFUNCTION("""COMPUTED_VALUE"""),12)</f>
        <v>12</v>
      </c>
      <c r="C1849" s="8">
        <f ca="1">IFERROR(__xludf.DUMMYFUNCTION("""COMPUTED_VALUE"""),1)</f>
        <v>1</v>
      </c>
      <c r="D1849" s="8">
        <f ca="1">IFERROR(__xludf.DUMMYFUNCTION("""COMPUTED_VALUE"""),2016)</f>
        <v>2016</v>
      </c>
      <c r="E1849" s="9">
        <f ca="1">IFERROR(__xludf.DUMMYFUNCTION("""COMPUTED_VALUE"""),42705)</f>
        <v>42705</v>
      </c>
      <c r="F1849" s="8" t="str">
        <f ca="1">IFERROR(__xludf.DUMMYFUNCTION("""COMPUTED_VALUE"""),"Mueller Park Junior High School")</f>
        <v>Mueller Park Junior High School</v>
      </c>
      <c r="G1849" s="8">
        <f ca="1">IFERROR(__xludf.DUMMYFUNCTION("""COMPUTED_VALUE"""),0)</f>
        <v>0</v>
      </c>
      <c r="H1849" s="8">
        <f ca="1">IFERROR(__xludf.DUMMYFUNCTION("""COMPUTED_VALUE"""),0)</f>
        <v>0</v>
      </c>
      <c r="I1849" s="8">
        <f ca="1">IFERROR(__xludf.DUMMYFUNCTION("""COMPUTED_VALUE"""),0)</f>
        <v>0</v>
      </c>
      <c r="J1849" s="8">
        <f ca="1">IFERROR(__xludf.DUMMYFUNCTION("""COMPUTED_VALUE"""),0)</f>
        <v>0</v>
      </c>
      <c r="K1849" s="10" t="str">
        <f ca="1">IFERROR(__xludf.DUMMYFUNCTION("""COMPUTED_VALUE"""),"http://www.standard.net/Police-Fire/2017/02/13/Teen-accused-of-shooting-gun-in-Mueller-Park-Jr-High-pleads-guilty")</f>
        <v>http://www.standard.net/Police-Fire/2017/02/13/Teen-accused-of-shooting-gun-in-Mueller-Park-Jr-High-pleads-guilty</v>
      </c>
      <c r="L1849" s="8">
        <f ca="1">IFERROR(__xludf.DUMMYFUNCTION("""COMPUTED_VALUE"""),11)</f>
        <v>11</v>
      </c>
      <c r="M1849" s="8" t="str">
        <f ca="1">IFERROR(__xludf.DUMMYFUNCTION("""COMPUTED_VALUE"""),"National")</f>
        <v>National</v>
      </c>
      <c r="N1849" s="8">
        <f ca="1">IFERROR(__xludf.DUMMYFUNCTION("""COMPUTED_VALUE"""),2)</f>
        <v>2</v>
      </c>
      <c r="O1849" s="8" t="str">
        <f ca="1">IFERROR(__xludf.DUMMYFUNCTION("""COMPUTED_VALUE"""),"Winter")</f>
        <v>Winter</v>
      </c>
      <c r="P1849" s="8" t="str">
        <f ca="1">IFERROR(__xludf.DUMMYFUNCTION("""COMPUTED_VALUE"""),"Bountiful")</f>
        <v>Bountiful</v>
      </c>
      <c r="Q1849" s="8" t="str">
        <f ca="1">IFERROR(__xludf.DUMMYFUNCTION("""COMPUTED_VALUE"""),"UT")</f>
        <v>UT</v>
      </c>
      <c r="R1849" s="8" t="str">
        <f ca="1">IFERROR(__xludf.DUMMYFUNCTION("""COMPUTED_VALUE"""),"Junior High")</f>
        <v>Junior High</v>
      </c>
      <c r="S1849" s="8" t="str">
        <f ca="1">IFERROR(__xludf.DUMMYFUNCTION("""COMPUTED_VALUE"""),"Classroom")</f>
        <v>Classroom</v>
      </c>
      <c r="T1849" s="8" t="str">
        <f ca="1">IFERROR(__xludf.DUMMYFUNCTION("""COMPUTED_VALUE"""),"Inside School Building")</f>
        <v>Inside School Building</v>
      </c>
      <c r="U1849" s="8" t="str">
        <f ca="1">IFERROR(__xludf.DUMMYFUNCTION("""COMPUTED_VALUE"""),"No")</f>
        <v>No</v>
      </c>
      <c r="V1849" s="8" t="str">
        <f ca="1">IFERROR(__xludf.DUMMYFUNCTION("""COMPUTED_VALUE"""),"Morning Classes")</f>
        <v>Morning Classes</v>
      </c>
      <c r="W1849" s="11">
        <f ca="1">IFERROR(__xludf.DUMMYFUNCTION("""COMPUTED_VALUE"""),0.342361111111111)</f>
        <v>0.34236111111111101</v>
      </c>
      <c r="X1849" s="8"/>
      <c r="Y1849" s="12" t="str">
        <f ca="1">IFERROR(__xludf.DUMMYFUNCTION("""COMPUTED_VALUE"""),"Fired shotgun into classroom ceiling and threatened to kill self, surrendered to parents")</f>
        <v>Fired shotgun into classroom ceiling and threatened to kill self, surrendered to parents</v>
      </c>
      <c r="Z1849" s="12" t="str">
        <f ca="1">IFERROR(__xludf.DUMMYFUNCTION("""COMPUTED_VALUE"""),"Shooter stole a fully-loaded shotgun, a handgun, and 2 boxes of ammo from his parents. Shooter entered the school, concealing the guns under a long coat; entered classroom and fired shotgun into ceiling, then pointed the shotgun at himself. Teachers engag"&amp;"ed him, no one was hurt. Parents noticed their son's different behavior and that 2 guns were missing then went to school and told him to surrender.")</f>
        <v>Shooter stole a fully-loaded shotgun, a handgun, and 2 boxes of ammo from his parents. Shooter entered the school, concealing the guns under a long coat; entered classroom and fired shotgun into ceiling, then pointed the shotgun at himself. Teachers engaged him, no one was hurt. Parents noticed their son's different behavior and that 2 guns were missing then went to school and told him to surrender.</v>
      </c>
      <c r="AA1849" s="8" t="str">
        <f ca="1">IFERROR(__xludf.DUMMYFUNCTION("""COMPUTED_VALUE"""),"Indiscriminate Shooting")</f>
        <v>Indiscriminate Shooting</v>
      </c>
      <c r="AB1849" s="8"/>
      <c r="AC1849" s="8" t="str">
        <f ca="1">IFERROR(__xludf.DUMMYFUNCTION("""COMPUTED_VALUE"""),"Yes")</f>
        <v>Yes</v>
      </c>
      <c r="AD1849" s="8" t="str">
        <f ca="1">IFERROR(__xludf.DUMMYFUNCTION("""COMPUTED_VALUE"""),"Random Shooting")</f>
        <v>Random Shooting</v>
      </c>
      <c r="AE1849" s="8" t="str">
        <f ca="1">IFERROR(__xludf.DUMMYFUNCTION("""COMPUTED_VALUE"""),"No")</f>
        <v>No</v>
      </c>
      <c r="AF1849" s="8"/>
      <c r="AG1849" s="8" t="str">
        <f ca="1">IFERROR(__xludf.DUMMYFUNCTION("""COMPUTED_VALUE"""),"No")</f>
        <v>No</v>
      </c>
      <c r="AH1849" s="8" t="str">
        <f ca="1">IFERROR(__xludf.DUMMYFUNCTION("""COMPUTED_VALUE"""),"No")</f>
        <v>No</v>
      </c>
      <c r="AI1849" s="8" t="str">
        <f ca="1">IFERROR(__xludf.DUMMYFUNCTION("""COMPUTED_VALUE"""),"No")</f>
        <v>No</v>
      </c>
      <c r="AJ1849" s="8" t="str">
        <f ca="1">IFERROR(__xludf.DUMMYFUNCTION("""COMPUTED_VALUE"""),"Yes")</f>
        <v>Yes</v>
      </c>
      <c r="AK1849" s="8" t="str">
        <f ca="1">IFERROR(__xludf.DUMMYFUNCTION("""COMPUTED_VALUE"""),"No")</f>
        <v>No</v>
      </c>
      <c r="AL1849" s="8" t="str">
        <f ca="1">IFERROR(__xludf.DUMMYFUNCTION("""COMPUTED_VALUE"""),"No")</f>
        <v>No</v>
      </c>
      <c r="AM1849" s="8" t="str">
        <f ca="1">IFERROR(__xludf.DUMMYFUNCTION("""COMPUTED_VALUE"""),"Yes")</f>
        <v>Yes</v>
      </c>
      <c r="AN1849" s="8" t="str">
        <f ca="1">IFERROR(__xludf.DUMMYFUNCTION("""COMPUTED_VALUE"""),"Single Room")</f>
        <v>Single Room</v>
      </c>
      <c r="AO1849" s="8" t="str">
        <f ca="1">IFERROR(__xludf.DUMMYFUNCTION("""COMPUTED_VALUE"""),"No")</f>
        <v>No</v>
      </c>
      <c r="AP1849" s="8" t="str">
        <f ca="1">IFERROR(__xludf.DUMMYFUNCTION("""COMPUTED_VALUE"""),"No")</f>
        <v>No</v>
      </c>
      <c r="AQ1849" s="8" t="str">
        <f ca="1">IFERROR(__xludf.DUMMYFUNCTION("""COMPUTED_VALUE"""),"Unknown")</f>
        <v>Unknown</v>
      </c>
      <c r="AR1849" s="8" t="str">
        <f ca="1">IFERROR(__xludf.DUMMYFUNCTION("""COMPUTED_VALUE"""),"NA")</f>
        <v>NA</v>
      </c>
      <c r="AS1849" s="8">
        <f ca="1">IFERROR(__xludf.DUMMYFUNCTION("""COMPUTED_VALUE"""),1)</f>
        <v>1</v>
      </c>
      <c r="AT1849" s="8"/>
      <c r="AU1849" s="8">
        <f ca="1">IFERROR(__xludf.DUMMYFUNCTION("""COMPUTED_VALUE"""),40.87223)</f>
        <v>40.872230000000002</v>
      </c>
      <c r="AV1849" s="8">
        <f ca="1">IFERROR(__xludf.DUMMYFUNCTION("""COMPUTED_VALUE"""),-111.861111)</f>
        <v>-111.86111099999999</v>
      </c>
      <c r="AW1849" s="8"/>
      <c r="AX1849" s="8">
        <f ca="1">IFERROR(__xludf.DUMMYFUNCTION("""COMPUTED_VALUE"""),84010)</f>
        <v>84010</v>
      </c>
    </row>
    <row r="1850" spans="1:50" ht="45" x14ac:dyDescent="0.2">
      <c r="A1850" s="8" t="str">
        <f ca="1">IFERROR(__xludf.DUMMYFUNCTION("""COMPUTED_VALUE"""),"20161117MNCRS")</f>
        <v>20161117MNCRS</v>
      </c>
      <c r="B1850" s="8">
        <f ca="1">IFERROR(__xludf.DUMMYFUNCTION("""COMPUTED_VALUE"""),11)</f>
        <v>11</v>
      </c>
      <c r="C1850" s="8">
        <f ca="1">IFERROR(__xludf.DUMMYFUNCTION("""COMPUTED_VALUE"""),17)</f>
        <v>17</v>
      </c>
      <c r="D1850" s="8">
        <f ca="1">IFERROR(__xludf.DUMMYFUNCTION("""COMPUTED_VALUE"""),2016)</f>
        <v>2016</v>
      </c>
      <c r="E1850" s="9">
        <f ca="1">IFERROR(__xludf.DUMMYFUNCTION("""COMPUTED_VALUE"""),42691)</f>
        <v>42691</v>
      </c>
      <c r="F1850" s="8" t="str">
        <f ca="1">IFERROR(__xludf.DUMMYFUNCTION("""COMPUTED_VALUE"""),"Crossroads Elementary School")</f>
        <v>Crossroads Elementary School</v>
      </c>
      <c r="G1850" s="8">
        <f ca="1">IFERROR(__xludf.DUMMYFUNCTION("""COMPUTED_VALUE"""),0)</f>
        <v>0</v>
      </c>
      <c r="H1850" s="8">
        <f ca="1">IFERROR(__xludf.DUMMYFUNCTION("""COMPUTED_VALUE"""),0)</f>
        <v>0</v>
      </c>
      <c r="I1850" s="8">
        <f ca="1">IFERROR(__xludf.DUMMYFUNCTION("""COMPUTED_VALUE"""),0)</f>
        <v>0</v>
      </c>
      <c r="J1850" s="8">
        <f ca="1">IFERROR(__xludf.DUMMYFUNCTION("""COMPUTED_VALUE"""),0)</f>
        <v>0</v>
      </c>
      <c r="K1850" s="8" t="str">
        <f ca="1">IFERROR(__xludf.DUMMYFUNCTION("""COMPUTED_VALUE"""),"http://www.startribune.com/gun-brought-by-student-goes-off-at-st-paul-elementary-school/401719485/  http://www.startribune.com/st-paul-first-grader-who-brought-gun-to-school-found-it-in-family-home/401926945/")</f>
        <v>http://www.startribune.com/gun-brought-by-student-goes-off-at-st-paul-elementary-school/401719485/  http://www.startribune.com/st-paul-first-grader-who-brought-gun-to-school-found-it-in-family-home/401926945/</v>
      </c>
      <c r="L1850" s="8"/>
      <c r="M1850" s="8"/>
      <c r="N1850" s="8">
        <f ca="1">IFERROR(__xludf.DUMMYFUNCTION("""COMPUTED_VALUE"""),3)</f>
        <v>3</v>
      </c>
      <c r="O1850" s="8" t="str">
        <f ca="1">IFERROR(__xludf.DUMMYFUNCTION("""COMPUTED_VALUE"""),"Fall")</f>
        <v>Fall</v>
      </c>
      <c r="P1850" s="8" t="str">
        <f ca="1">IFERROR(__xludf.DUMMYFUNCTION("""COMPUTED_VALUE"""),"St. Paul")</f>
        <v>St. Paul</v>
      </c>
      <c r="Q1850" s="8" t="str">
        <f ca="1">IFERROR(__xludf.DUMMYFUNCTION("""COMPUTED_VALUE"""),"MN")</f>
        <v>MN</v>
      </c>
      <c r="R1850" s="8" t="str">
        <f ca="1">IFERROR(__xludf.DUMMYFUNCTION("""COMPUTED_VALUE"""),"Elementary")</f>
        <v>Elementary</v>
      </c>
      <c r="S1850" s="8" t="str">
        <f ca="1">IFERROR(__xludf.DUMMYFUNCTION("""COMPUTED_VALUE"""),"Inside School Building")</f>
        <v>Inside School Building</v>
      </c>
      <c r="T1850" s="8" t="str">
        <f ca="1">IFERROR(__xludf.DUMMYFUNCTION("""COMPUTED_VALUE"""),"Inside School Building")</f>
        <v>Inside School Building</v>
      </c>
      <c r="U1850" s="8" t="str">
        <f ca="1">IFERROR(__xludf.DUMMYFUNCTION("""COMPUTED_VALUE"""),"Yes")</f>
        <v>Yes</v>
      </c>
      <c r="V1850" s="8" t="str">
        <f ca="1">IFERROR(__xludf.DUMMYFUNCTION("""COMPUTED_VALUE"""),"Morning Classes")</f>
        <v>Morning Classes</v>
      </c>
      <c r="W1850" s="11">
        <f ca="1">IFERROR(__xludf.DUMMYFUNCTION("""COMPUTED_VALUE"""),0.361111111111111)</f>
        <v>0.36111111111111099</v>
      </c>
      <c r="X1850" s="8">
        <f ca="1">IFERROR(__xludf.DUMMYFUNCTION("""COMPUTED_VALUE"""),1)</f>
        <v>1</v>
      </c>
      <c r="Y1850" s="12" t="str">
        <f ca="1">IFERROR(__xludf.DUMMYFUNCTION("""COMPUTED_VALUE"""),"Accidental discharge while showing off gun")</f>
        <v>Accidental discharge while showing off gun</v>
      </c>
      <c r="Z1850" s="12" t="str">
        <f ca="1">IFERROR(__xludf.DUMMYFUNCTION("""COMPUTED_VALUE"""),"7 year old brought a.38 caliber handgun to school. While showing to friends, an 8 year old student accidentally shot it. No injuries.")</f>
        <v>7 year old brought a.38 caliber handgun to school. While showing to friends, an 8 year old student accidentally shot it. No injuries.</v>
      </c>
      <c r="AA1850" s="8" t="str">
        <f ca="1">IFERROR(__xludf.DUMMYFUNCTION("""COMPUTED_VALUE"""),"Accidental")</f>
        <v>Accidental</v>
      </c>
      <c r="AB1850" s="8"/>
      <c r="AC1850" s="8" t="str">
        <f ca="1">IFERROR(__xludf.DUMMYFUNCTION("""COMPUTED_VALUE"""),"Yes")</f>
        <v>Yes</v>
      </c>
      <c r="AD1850" s="8" t="str">
        <f ca="1">IFERROR(__xludf.DUMMYFUNCTION("""COMPUTED_VALUE"""),"Neither")</f>
        <v>Neither</v>
      </c>
      <c r="AE1850" s="8" t="str">
        <f ca="1">IFERROR(__xludf.DUMMYFUNCTION("""COMPUTED_VALUE"""),"No")</f>
        <v>No</v>
      </c>
      <c r="AF1850" s="8"/>
      <c r="AG1850" s="8" t="str">
        <f ca="1">IFERROR(__xludf.DUMMYFUNCTION("""COMPUTED_VALUE"""),"No")</f>
        <v>No</v>
      </c>
      <c r="AH1850" s="8" t="str">
        <f ca="1">IFERROR(__xludf.DUMMYFUNCTION("""COMPUTED_VALUE"""),"No")</f>
        <v>No</v>
      </c>
      <c r="AI1850" s="8" t="str">
        <f ca="1">IFERROR(__xludf.DUMMYFUNCTION("""COMPUTED_VALUE"""),"No")</f>
        <v>No</v>
      </c>
      <c r="AJ1850" s="8" t="str">
        <f ca="1">IFERROR(__xludf.DUMMYFUNCTION("""COMPUTED_VALUE"""),"No")</f>
        <v>No</v>
      </c>
      <c r="AK1850" s="8" t="str">
        <f ca="1">IFERROR(__xludf.DUMMYFUNCTION("""COMPUTED_VALUE"""),"No")</f>
        <v>No</v>
      </c>
      <c r="AL1850" s="8" t="str">
        <f ca="1">IFERROR(__xludf.DUMMYFUNCTION("""COMPUTED_VALUE"""),"No")</f>
        <v>No</v>
      </c>
      <c r="AM1850" s="8" t="str">
        <f ca="1">IFERROR(__xludf.DUMMYFUNCTION("""COMPUTED_VALUE"""),"No")</f>
        <v>No</v>
      </c>
      <c r="AN1850" s="8"/>
      <c r="AO1850" s="8" t="str">
        <f ca="1">IFERROR(__xludf.DUMMYFUNCTION("""COMPUTED_VALUE"""),"No")</f>
        <v>No</v>
      </c>
      <c r="AP1850" s="8"/>
      <c r="AQ1850" s="8" t="str">
        <f ca="1">IFERROR(__xludf.DUMMYFUNCTION("""COMPUTED_VALUE"""),"Unknown")</f>
        <v>Unknown</v>
      </c>
      <c r="AR1850" s="8" t="str">
        <f ca="1">IFERROR(__xludf.DUMMYFUNCTION("""COMPUTED_VALUE"""),"NA")</f>
        <v>NA</v>
      </c>
      <c r="AS1850" s="8">
        <f ca="1">IFERROR(__xludf.DUMMYFUNCTION("""COMPUTED_VALUE"""),1)</f>
        <v>1</v>
      </c>
      <c r="AT1850" s="8"/>
      <c r="AU1850" s="8">
        <f ca="1">IFERROR(__xludf.DUMMYFUNCTION("""COMPUTED_VALUE"""),44.970808)</f>
        <v>44.970807999999998</v>
      </c>
      <c r="AV1850" s="8">
        <f ca="1">IFERROR(__xludf.DUMMYFUNCTION("""COMPUTED_VALUE"""),-93.123236)</f>
        <v>-93.123236000000006</v>
      </c>
      <c r="AW1850" s="8"/>
      <c r="AX1850" s="8">
        <f ca="1">IFERROR(__xludf.DUMMYFUNCTION("""COMPUTED_VALUE"""),55117)</f>
        <v>55117</v>
      </c>
    </row>
    <row r="1851" spans="1:50" ht="165" x14ac:dyDescent="0.2">
      <c r="A1851" s="8" t="str">
        <f ca="1">IFERROR(__xludf.DUMMYFUNCTION("""COMPUTED_VALUE"""),"20161111MIBAA")</f>
        <v>20161111MIBAA</v>
      </c>
      <c r="B1851" s="8">
        <f ca="1">IFERROR(__xludf.DUMMYFUNCTION("""COMPUTED_VALUE"""),11)</f>
        <v>11</v>
      </c>
      <c r="C1851" s="8">
        <f ca="1">IFERROR(__xludf.DUMMYFUNCTION("""COMPUTED_VALUE"""),11)</f>
        <v>11</v>
      </c>
      <c r="D1851" s="8">
        <f ca="1">IFERROR(__xludf.DUMMYFUNCTION("""COMPUTED_VALUE"""),2016)</f>
        <v>2016</v>
      </c>
      <c r="E1851" s="9">
        <f ca="1">IFERROR(__xludf.DUMMYFUNCTION("""COMPUTED_VALUE"""),42685)</f>
        <v>42685</v>
      </c>
      <c r="F1851" s="8" t="str">
        <f ca="1">IFERROR(__xludf.DUMMYFUNCTION("""COMPUTED_VALUE"""),"Bay City Western High School")</f>
        <v>Bay City Western High School</v>
      </c>
      <c r="G1851" s="8">
        <f ca="1">IFERROR(__xludf.DUMMYFUNCTION("""COMPUTED_VALUE"""),0)</f>
        <v>0</v>
      </c>
      <c r="H1851" s="8">
        <f ca="1">IFERROR(__xludf.DUMMYFUNCTION("""COMPUTED_VALUE"""),1)</f>
        <v>1</v>
      </c>
      <c r="I1851" s="8">
        <f ca="1">IFERROR(__xludf.DUMMYFUNCTION("""COMPUTED_VALUE"""),1)</f>
        <v>1</v>
      </c>
      <c r="J1851" s="8">
        <f ca="1">IFERROR(__xludf.DUMMYFUNCTION("""COMPUTED_VALUE"""),0)</f>
        <v>0</v>
      </c>
      <c r="K1851" s="10" t="str">
        <f ca="1">IFERROR(__xludf.DUMMYFUNCTION("""COMPUTED_VALUE"""),"http://www.mlive.com/news/bay-city/index.ssf/2016/12/deputy_who_fired_gun_in_school.html")</f>
        <v>http://www.mlive.com/news/bay-city/index.ssf/2016/12/deputy_who_fired_gun_in_school.html</v>
      </c>
      <c r="L1851" s="8">
        <f ca="1">IFERROR(__xludf.DUMMYFUNCTION("""COMPUTED_VALUE"""),5)</f>
        <v>5</v>
      </c>
      <c r="M1851" s="8" t="str">
        <f ca="1">IFERROR(__xludf.DUMMYFUNCTION("""COMPUTED_VALUE"""),"Local")</f>
        <v>Local</v>
      </c>
      <c r="N1851" s="8">
        <f ca="1">IFERROR(__xludf.DUMMYFUNCTION("""COMPUTED_VALUE"""),2)</f>
        <v>2</v>
      </c>
      <c r="O1851" s="8" t="str">
        <f ca="1">IFERROR(__xludf.DUMMYFUNCTION("""COMPUTED_VALUE"""),"Fall")</f>
        <v>Fall</v>
      </c>
      <c r="P1851" s="8" t="str">
        <f ca="1">IFERROR(__xludf.DUMMYFUNCTION("""COMPUTED_VALUE"""),"Auburn")</f>
        <v>Auburn</v>
      </c>
      <c r="Q1851" s="8" t="str">
        <f ca="1">IFERROR(__xludf.DUMMYFUNCTION("""COMPUTED_VALUE"""),"MI")</f>
        <v>MI</v>
      </c>
      <c r="R1851" s="8" t="str">
        <f ca="1">IFERROR(__xludf.DUMMYFUNCTION("""COMPUTED_VALUE"""),"High")</f>
        <v>High</v>
      </c>
      <c r="S1851" s="8" t="str">
        <f ca="1">IFERROR(__xludf.DUMMYFUNCTION("""COMPUTED_VALUE"""),"Office")</f>
        <v>Office</v>
      </c>
      <c r="T1851" s="8" t="str">
        <f ca="1">IFERROR(__xludf.DUMMYFUNCTION("""COMPUTED_VALUE"""),"Inside School Building")</f>
        <v>Inside School Building</v>
      </c>
      <c r="U1851" s="8" t="str">
        <f ca="1">IFERROR(__xludf.DUMMYFUNCTION("""COMPUTED_VALUE"""),"Yes")</f>
        <v>Yes</v>
      </c>
      <c r="V1851" s="8" t="str">
        <f ca="1">IFERROR(__xludf.DUMMYFUNCTION("""COMPUTED_VALUE"""),"Lunch")</f>
        <v>Lunch</v>
      </c>
      <c r="W1851" s="11">
        <f ca="1">IFERROR(__xludf.DUMMYFUNCTION("""COMPUTED_VALUE"""),0.520833333333333)</f>
        <v>0.52083333333333304</v>
      </c>
      <c r="X1851" s="8">
        <f ca="1">IFERROR(__xludf.DUMMYFUNCTION("""COMPUTED_VALUE"""),1)</f>
        <v>1</v>
      </c>
      <c r="Y1851" s="12" t="str">
        <f ca="1">IFERROR(__xludf.DUMMYFUNCTION("""COMPUTED_VALUE"""),"Accidental discharge by SRO. Attempted to cover-up discharge and was arrested.")</f>
        <v>Accidental discharge by SRO. Attempted to cover-up discharge and was arrested.</v>
      </c>
      <c r="Z1851" s="12" t="str">
        <f ca="1">IFERROR(__xludf.DUMMYFUNCTION("""COMPUTED_VALUE"""),"The shooter (the SRO) was testing the trigger pull force of his gun, which accidentally discharged. The bullet went through 2 walls, and after a ricochet, it scratched a teacher's neck. The victim picked up the bullet from the ground after it cooled down "&amp;"and gave it to the shooter to keep as evidence (since he was the SRO). The shooter did not admit he shot the gun. The shooter tried to dispose of the evidence by discarding it in the yard and left his gun in the car. The bullet was later found by a K9 off"&amp;"icer. The gun was recovered and the SRO was arrested. The shooter was a respected officer with long service.")</f>
        <v>The shooter (the SRO) was testing the trigger pull force of his gun, which accidentally discharged. The bullet went through 2 walls, and after a ricochet, it scratched a teacher's neck. The victim picked up the bullet from the ground after it cooled down and gave it to the shooter to keep as evidence (since he was the SRO). The shooter did not admit he shot the gun. The shooter tried to dispose of the evidence by discarding it in the yard and left his gun in the car. The bullet was later found by a K9 officer. The gun was recovered and the SRO was arrested. The shooter was a respected officer with long service.</v>
      </c>
      <c r="AA1851" s="8" t="str">
        <f ca="1">IFERROR(__xludf.DUMMYFUNCTION("""COMPUTED_VALUE"""),"Accidental")</f>
        <v>Accidental</v>
      </c>
      <c r="AB1851" s="8"/>
      <c r="AC1851" s="8" t="str">
        <f ca="1">IFERROR(__xludf.DUMMYFUNCTION("""COMPUTED_VALUE"""),"Yes")</f>
        <v>Yes</v>
      </c>
      <c r="AD1851" s="8" t="str">
        <f ca="1">IFERROR(__xludf.DUMMYFUNCTION("""COMPUTED_VALUE"""),"Neither")</f>
        <v>Neither</v>
      </c>
      <c r="AE1851" s="8"/>
      <c r="AF1851" s="8"/>
      <c r="AG1851" s="8" t="str">
        <f ca="1">IFERROR(__xludf.DUMMYFUNCTION("""COMPUTED_VALUE"""),"No")</f>
        <v>No</v>
      </c>
      <c r="AH1851" s="8" t="str">
        <f ca="1">IFERROR(__xludf.DUMMYFUNCTION("""COMPUTED_VALUE"""),"No")</f>
        <v>No</v>
      </c>
      <c r="AI1851" s="8" t="str">
        <f ca="1">IFERROR(__xludf.DUMMYFUNCTION("""COMPUTED_VALUE"""),"No")</f>
        <v>No</v>
      </c>
      <c r="AJ1851" s="8" t="str">
        <f ca="1">IFERROR(__xludf.DUMMYFUNCTION("""COMPUTED_VALUE"""),"No")</f>
        <v>No</v>
      </c>
      <c r="AK1851" s="8" t="str">
        <f ca="1">IFERROR(__xludf.DUMMYFUNCTION("""COMPUTED_VALUE"""),"No")</f>
        <v>No</v>
      </c>
      <c r="AL1851" s="8" t="str">
        <f ca="1">IFERROR(__xludf.DUMMYFUNCTION("""COMPUTED_VALUE"""),"No")</f>
        <v>No</v>
      </c>
      <c r="AM1851" s="8" t="str">
        <f ca="1">IFERROR(__xludf.DUMMYFUNCTION("""COMPUTED_VALUE"""),"No")</f>
        <v>No</v>
      </c>
      <c r="AN1851" s="8"/>
      <c r="AO1851" s="8" t="str">
        <f ca="1">IFERROR(__xludf.DUMMYFUNCTION("""COMPUTED_VALUE"""),"No")</f>
        <v>No</v>
      </c>
      <c r="AP1851" s="8" t="str">
        <f ca="1">IFERROR(__xludf.DUMMYFUNCTION("""COMPUTED_VALUE"""),"Yes")</f>
        <v>Yes</v>
      </c>
      <c r="AQ1851" s="8" t="str">
        <f ca="1">IFERROR(__xludf.DUMMYFUNCTION("""COMPUTED_VALUE"""),"Unknown")</f>
        <v>Unknown</v>
      </c>
      <c r="AR1851" s="8" t="str">
        <f ca="1">IFERROR(__xludf.DUMMYFUNCTION("""COMPUTED_VALUE"""),"NA")</f>
        <v>NA</v>
      </c>
      <c r="AS1851" s="8">
        <f ca="1">IFERROR(__xludf.DUMMYFUNCTION("""COMPUTED_VALUE"""),1)</f>
        <v>1</v>
      </c>
      <c r="AT1851" s="8" t="str">
        <f ca="1">IFERROR(__xludf.DUMMYFUNCTION("""COMPUTED_VALUE"""),"Yes")</f>
        <v>Yes</v>
      </c>
      <c r="AU1851" s="8">
        <f ca="1">IFERROR(__xludf.DUMMYFUNCTION("""COMPUTED_VALUE"""),43.604826)</f>
        <v>43.604826000000003</v>
      </c>
      <c r="AV1851" s="8">
        <f ca="1">IFERROR(__xludf.DUMMYFUNCTION("""COMPUTED_VALUE"""),-84.078127)</f>
        <v>-84.078126999999995</v>
      </c>
      <c r="AW1851" s="8"/>
      <c r="AX1851" s="8">
        <f ca="1">IFERROR(__xludf.DUMMYFUNCTION("""COMPUTED_VALUE"""),48611)</f>
        <v>48611</v>
      </c>
    </row>
    <row r="1852" spans="1:50" ht="30" x14ac:dyDescent="0.2">
      <c r="A1852" s="8" t="str">
        <f ca="1">IFERROR(__xludf.DUMMYFUNCTION("""COMPUTED_VALUE"""),"20161103COBEB")</f>
        <v>20161103COBEB</v>
      </c>
      <c r="B1852" s="8">
        <f ca="1">IFERROR(__xludf.DUMMYFUNCTION("""COMPUTED_VALUE"""),11)</f>
        <v>11</v>
      </c>
      <c r="C1852" s="8">
        <f ca="1">IFERROR(__xludf.DUMMYFUNCTION("""COMPUTED_VALUE"""),3)</f>
        <v>3</v>
      </c>
      <c r="D1852" s="8">
        <f ca="1">IFERROR(__xludf.DUMMYFUNCTION("""COMPUTED_VALUE"""),2016)</f>
        <v>2016</v>
      </c>
      <c r="E1852" s="9">
        <f ca="1">IFERROR(__xludf.DUMMYFUNCTION("""COMPUTED_VALUE"""),42677)</f>
        <v>42677</v>
      </c>
      <c r="F1852" s="8" t="str">
        <f ca="1">IFERROR(__xludf.DUMMYFUNCTION("""COMPUTED_VALUE"""),"Berthoud High School")</f>
        <v>Berthoud High School</v>
      </c>
      <c r="G1852" s="8">
        <f ca="1">IFERROR(__xludf.DUMMYFUNCTION("""COMPUTED_VALUE"""),0)</f>
        <v>0</v>
      </c>
      <c r="H1852" s="8">
        <f ca="1">IFERROR(__xludf.DUMMYFUNCTION("""COMPUTED_VALUE"""),0)</f>
        <v>0</v>
      </c>
      <c r="I1852" s="8">
        <f ca="1">IFERROR(__xludf.DUMMYFUNCTION("""COMPUTED_VALUE"""),0)</f>
        <v>0</v>
      </c>
      <c r="J1852" s="8">
        <f ca="1">IFERROR(__xludf.DUMMYFUNCTION("""COMPUTED_VALUE"""),1)</f>
        <v>1</v>
      </c>
      <c r="K1852" s="10" t="str">
        <f ca="1">IFERROR(__xludf.DUMMYFUNCTION("""COMPUTED_VALUE"""),"https://www.denverpost.com/2016/11/04/authorities-id-joshua-francis-berthoud-high-school-suicide/")</f>
        <v>https://www.denverpost.com/2016/11/04/authorities-id-joshua-francis-berthoud-high-school-suicide/</v>
      </c>
      <c r="L1852" s="8"/>
      <c r="M1852" s="8"/>
      <c r="N1852" s="8">
        <f ca="1">IFERROR(__xludf.DUMMYFUNCTION("""COMPUTED_VALUE"""),2)</f>
        <v>2</v>
      </c>
      <c r="O1852" s="8" t="str">
        <f ca="1">IFERROR(__xludf.DUMMYFUNCTION("""COMPUTED_VALUE"""),"Fall")</f>
        <v>Fall</v>
      </c>
      <c r="P1852" s="8" t="str">
        <f ca="1">IFERROR(__xludf.DUMMYFUNCTION("""COMPUTED_VALUE"""),"Berthoud")</f>
        <v>Berthoud</v>
      </c>
      <c r="Q1852" s="8" t="str">
        <f ca="1">IFERROR(__xludf.DUMMYFUNCTION("""COMPUTED_VALUE"""),"CO")</f>
        <v>CO</v>
      </c>
      <c r="R1852" s="8" t="str">
        <f ca="1">IFERROR(__xludf.DUMMYFUNCTION("""COMPUTED_VALUE"""),"High")</f>
        <v>High</v>
      </c>
      <c r="S1852" s="8" t="str">
        <f ca="1">IFERROR(__xludf.DUMMYFUNCTION("""COMPUTED_VALUE"""),"Inside School Building")</f>
        <v>Inside School Building</v>
      </c>
      <c r="T1852" s="8" t="str">
        <f ca="1">IFERROR(__xludf.DUMMYFUNCTION("""COMPUTED_VALUE"""),"Inside School Building")</f>
        <v>Inside School Building</v>
      </c>
      <c r="U1852" s="8" t="str">
        <f ca="1">IFERROR(__xludf.DUMMYFUNCTION("""COMPUTED_VALUE"""),"No")</f>
        <v>No</v>
      </c>
      <c r="V1852" s="8" t="str">
        <f ca="1">IFERROR(__xludf.DUMMYFUNCTION("""COMPUTED_VALUE"""),"Before School")</f>
        <v>Before School</v>
      </c>
      <c r="W1852" s="8"/>
      <c r="X1852" s="8">
        <f ca="1">IFERROR(__xludf.DUMMYFUNCTION("""COMPUTED_VALUE"""),1)</f>
        <v>1</v>
      </c>
      <c r="Y1852" s="12" t="str">
        <f ca="1">IFERROR(__xludf.DUMMYFUNCTION("""COMPUTED_VALUE"""),"Shot self inside the school")</f>
        <v>Shot self inside the school</v>
      </c>
      <c r="Z1852" s="12" t="str">
        <f ca="1">IFERROR(__xludf.DUMMYFUNCTION("""COMPUTED_VALUE"""),"15YOM killed himself inside the high school.")</f>
        <v>15YOM killed himself inside the high school.</v>
      </c>
      <c r="AA1852" s="8" t="str">
        <f ca="1">IFERROR(__xludf.DUMMYFUNCTION("""COMPUTED_VALUE"""),"Suicide/Attempted")</f>
        <v>Suicide/Attempted</v>
      </c>
      <c r="AB1852" s="8"/>
      <c r="AC1852" s="8" t="str">
        <f ca="1">IFERROR(__xludf.DUMMYFUNCTION("""COMPUTED_VALUE"""),"Yes")</f>
        <v>Yes</v>
      </c>
      <c r="AD1852" s="8" t="str">
        <f ca="1">IFERROR(__xludf.DUMMYFUNCTION("""COMPUTED_VALUE"""),"Victims Targeted")</f>
        <v>Victims Targeted</v>
      </c>
      <c r="AE1852" s="8" t="str">
        <f ca="1">IFERROR(__xludf.DUMMYFUNCTION("""COMPUTED_VALUE"""),"No")</f>
        <v>No</v>
      </c>
      <c r="AF1852" s="8"/>
      <c r="AG1852" s="8" t="str">
        <f ca="1">IFERROR(__xludf.DUMMYFUNCTION("""COMPUTED_VALUE"""),"No")</f>
        <v>No</v>
      </c>
      <c r="AH1852" s="8" t="str">
        <f ca="1">IFERROR(__xludf.DUMMYFUNCTION("""COMPUTED_VALUE"""),"No")</f>
        <v>No</v>
      </c>
      <c r="AI1852" s="8" t="str">
        <f ca="1">IFERROR(__xludf.DUMMYFUNCTION("""COMPUTED_VALUE"""),"No")</f>
        <v>No</v>
      </c>
      <c r="AJ1852" s="8" t="str">
        <f ca="1">IFERROR(__xludf.DUMMYFUNCTION("""COMPUTED_VALUE"""),"No")</f>
        <v>No</v>
      </c>
      <c r="AK1852" s="8" t="str">
        <f ca="1">IFERROR(__xludf.DUMMYFUNCTION("""COMPUTED_VALUE"""),"No")</f>
        <v>No</v>
      </c>
      <c r="AL1852" s="8" t="str">
        <f ca="1">IFERROR(__xludf.DUMMYFUNCTION("""COMPUTED_VALUE"""),"No")</f>
        <v>No</v>
      </c>
      <c r="AM1852" s="8" t="str">
        <f ca="1">IFERROR(__xludf.DUMMYFUNCTION("""COMPUTED_VALUE"""),"No")</f>
        <v>No</v>
      </c>
      <c r="AN1852" s="8"/>
      <c r="AO1852" s="8" t="str">
        <f ca="1">IFERROR(__xludf.DUMMYFUNCTION("""COMPUTED_VALUE"""),"No")</f>
        <v>No</v>
      </c>
      <c r="AP1852" s="8"/>
      <c r="AQ1852" s="8" t="str">
        <f ca="1">IFERROR(__xludf.DUMMYFUNCTION("""COMPUTED_VALUE"""),"Unknown")</f>
        <v>Unknown</v>
      </c>
      <c r="AR1852" s="8" t="str">
        <f ca="1">IFERROR(__xludf.DUMMYFUNCTION("""COMPUTED_VALUE"""),"NA")</f>
        <v>NA</v>
      </c>
      <c r="AS1852" s="8">
        <f ca="1">IFERROR(__xludf.DUMMYFUNCTION("""COMPUTED_VALUE"""),1)</f>
        <v>1</v>
      </c>
      <c r="AT1852" s="8"/>
      <c r="AU1852" s="8">
        <f ca="1">IFERROR(__xludf.DUMMYFUNCTION("""COMPUTED_VALUE"""),40.298894)</f>
        <v>40.298893999999997</v>
      </c>
      <c r="AV1852" s="8">
        <f ca="1">IFERROR(__xludf.DUMMYFUNCTION("""COMPUTED_VALUE"""),-105.086715)</f>
        <v>-105.086715</v>
      </c>
      <c r="AW1852" s="8"/>
      <c r="AX1852" s="8">
        <f ca="1">IFERROR(__xludf.DUMMYFUNCTION("""COMPUTED_VALUE"""),80513)</f>
        <v>80513</v>
      </c>
    </row>
    <row r="1853" spans="1:50" ht="30" x14ac:dyDescent="0.2">
      <c r="A1853" s="8" t="str">
        <f ca="1">IFERROR(__xludf.DUMMYFUNCTION("""COMPUTED_VALUE"""),"20161102COGRG")</f>
        <v>20161102COGRG</v>
      </c>
      <c r="B1853" s="8">
        <f ca="1">IFERROR(__xludf.DUMMYFUNCTION("""COMPUTED_VALUE"""),11)</f>
        <v>11</v>
      </c>
      <c r="C1853" s="8">
        <f ca="1">IFERROR(__xludf.DUMMYFUNCTION("""COMPUTED_VALUE"""),2)</f>
        <v>2</v>
      </c>
      <c r="D1853" s="8">
        <f ca="1">IFERROR(__xludf.DUMMYFUNCTION("""COMPUTED_VALUE"""),2016)</f>
        <v>2016</v>
      </c>
      <c r="E1853" s="9">
        <f ca="1">IFERROR(__xludf.DUMMYFUNCTION("""COMPUTED_VALUE"""),42676)</f>
        <v>42676</v>
      </c>
      <c r="F1853" s="8" t="str">
        <f ca="1">IFERROR(__xludf.DUMMYFUNCTION("""COMPUTED_VALUE"""),"Grand Junction High School")</f>
        <v>Grand Junction High School</v>
      </c>
      <c r="G1853" s="8">
        <f ca="1">IFERROR(__xludf.DUMMYFUNCTION("""COMPUTED_VALUE"""),0)</f>
        <v>0</v>
      </c>
      <c r="H1853" s="8">
        <f ca="1">IFERROR(__xludf.DUMMYFUNCTION("""COMPUTED_VALUE"""),0)</f>
        <v>0</v>
      </c>
      <c r="I1853" s="8">
        <f ca="1">IFERROR(__xludf.DUMMYFUNCTION("""COMPUTED_VALUE"""),0)</f>
        <v>0</v>
      </c>
      <c r="J1853" s="8">
        <f ca="1">IFERROR(__xludf.DUMMYFUNCTION("""COMPUTED_VALUE"""),1)</f>
        <v>1</v>
      </c>
      <c r="K1853" s="8" t="str">
        <f ca="1">IFERROR(__xludf.DUMMYFUNCTION("""COMPUTED_VALUE"""),"http://www.nydailynews.com/news/national/person-shoots-colorado-high-school-article-1.2855787  http://www.nbc11news.com/content/news/399726091.html")</f>
        <v>http://www.nydailynews.com/news/national/person-shoots-colorado-high-school-article-1.2855787  http://www.nbc11news.com/content/news/399726091.html</v>
      </c>
      <c r="L1853" s="8"/>
      <c r="M1853" s="8"/>
      <c r="N1853" s="8">
        <f ca="1">IFERROR(__xludf.DUMMYFUNCTION("""COMPUTED_VALUE"""),3)</f>
        <v>3</v>
      </c>
      <c r="O1853" s="8" t="str">
        <f ca="1">IFERROR(__xludf.DUMMYFUNCTION("""COMPUTED_VALUE"""),"Fall")</f>
        <v>Fall</v>
      </c>
      <c r="P1853" s="8" t="str">
        <f ca="1">IFERROR(__xludf.DUMMYFUNCTION("""COMPUTED_VALUE"""),"Grand Junction")</f>
        <v>Grand Junction</v>
      </c>
      <c r="Q1853" s="8" t="str">
        <f ca="1">IFERROR(__xludf.DUMMYFUNCTION("""COMPUTED_VALUE"""),"CO")</f>
        <v>CO</v>
      </c>
      <c r="R1853" s="8" t="str">
        <f ca="1">IFERROR(__xludf.DUMMYFUNCTION("""COMPUTED_VALUE"""),"High")</f>
        <v>High</v>
      </c>
      <c r="S1853" s="8" t="str">
        <f ca="1">IFERROR(__xludf.DUMMYFUNCTION("""COMPUTED_VALUE"""),"Parking Lot")</f>
        <v>Parking Lot</v>
      </c>
      <c r="T1853" s="8" t="str">
        <f ca="1">IFERROR(__xludf.DUMMYFUNCTION("""COMPUTED_VALUE"""),"Outside on School Property")</f>
        <v>Outside on School Property</v>
      </c>
      <c r="U1853" s="8" t="str">
        <f ca="1">IFERROR(__xludf.DUMMYFUNCTION("""COMPUTED_VALUE"""),"Yes")</f>
        <v>Yes</v>
      </c>
      <c r="V1853" s="8" t="str">
        <f ca="1">IFERROR(__xludf.DUMMYFUNCTION("""COMPUTED_VALUE"""),"After School")</f>
        <v>After School</v>
      </c>
      <c r="W1853" s="11">
        <f ca="1">IFERROR(__xludf.DUMMYFUNCTION("""COMPUTED_VALUE"""),0.625)</f>
        <v>0.625</v>
      </c>
      <c r="X1853" s="8">
        <f ca="1">IFERROR(__xludf.DUMMYFUNCTION("""COMPUTED_VALUE"""),1)</f>
        <v>1</v>
      </c>
      <c r="Y1853" s="12" t="str">
        <f ca="1">IFERROR(__xludf.DUMMYFUNCTION("""COMPUTED_VALUE"""),"Shot self in parking lot")</f>
        <v>Shot self in parking lot</v>
      </c>
      <c r="Z1853" s="12" t="str">
        <f ca="1">IFERROR(__xludf.DUMMYFUNCTION("""COMPUTED_VALUE"""),"Student killed himself sitting in his car in the parking lot.")</f>
        <v>Student killed himself sitting in his car in the parking lot.</v>
      </c>
      <c r="AA1853" s="8" t="str">
        <f ca="1">IFERROR(__xludf.DUMMYFUNCTION("""COMPUTED_VALUE"""),"Suicide/Attempted")</f>
        <v>Suicide/Attempted</v>
      </c>
      <c r="AB1853" s="8"/>
      <c r="AC1853" s="8" t="str">
        <f ca="1">IFERROR(__xludf.DUMMYFUNCTION("""COMPUTED_VALUE"""),"Yes")</f>
        <v>Yes</v>
      </c>
      <c r="AD1853" s="8" t="str">
        <f ca="1">IFERROR(__xludf.DUMMYFUNCTION("""COMPUTED_VALUE"""),"Victims Targeted")</f>
        <v>Victims Targeted</v>
      </c>
      <c r="AE1853" s="8" t="str">
        <f ca="1">IFERROR(__xludf.DUMMYFUNCTION("""COMPUTED_VALUE"""),"No")</f>
        <v>No</v>
      </c>
      <c r="AF1853" s="8"/>
      <c r="AG1853" s="8" t="str">
        <f ca="1">IFERROR(__xludf.DUMMYFUNCTION("""COMPUTED_VALUE"""),"No")</f>
        <v>No</v>
      </c>
      <c r="AH1853" s="8" t="str">
        <f ca="1">IFERROR(__xludf.DUMMYFUNCTION("""COMPUTED_VALUE"""),"No")</f>
        <v>No</v>
      </c>
      <c r="AI1853" s="8" t="str">
        <f ca="1">IFERROR(__xludf.DUMMYFUNCTION("""COMPUTED_VALUE"""),"No")</f>
        <v>No</v>
      </c>
      <c r="AJ1853" s="8"/>
      <c r="AK1853" s="8"/>
      <c r="AL1853" s="8" t="str">
        <f ca="1">IFERROR(__xludf.DUMMYFUNCTION("""COMPUTED_VALUE"""),"No")</f>
        <v>No</v>
      </c>
      <c r="AM1853" s="8" t="str">
        <f ca="1">IFERROR(__xludf.DUMMYFUNCTION("""COMPUTED_VALUE"""),"No")</f>
        <v>No</v>
      </c>
      <c r="AN1853" s="8"/>
      <c r="AO1853" s="8" t="str">
        <f ca="1">IFERROR(__xludf.DUMMYFUNCTION("""COMPUTED_VALUE"""),"No")</f>
        <v>No</v>
      </c>
      <c r="AP1853" s="8"/>
      <c r="AQ1853" s="8" t="str">
        <f ca="1">IFERROR(__xludf.DUMMYFUNCTION("""COMPUTED_VALUE"""),"Unknown")</f>
        <v>Unknown</v>
      </c>
      <c r="AR1853" s="8" t="str">
        <f ca="1">IFERROR(__xludf.DUMMYFUNCTION("""COMPUTED_VALUE"""),"NA")</f>
        <v>NA</v>
      </c>
      <c r="AS1853" s="8">
        <f ca="1">IFERROR(__xludf.DUMMYFUNCTION("""COMPUTED_VALUE"""),1)</f>
        <v>1</v>
      </c>
      <c r="AT1853" s="8"/>
      <c r="AU1853" s="8">
        <f ca="1">IFERROR(__xludf.DUMMYFUNCTION("""COMPUTED_VALUE"""),39.080269)</f>
        <v>39.080269000000001</v>
      </c>
      <c r="AV1853" s="8">
        <f ca="1">IFERROR(__xludf.DUMMYFUNCTION("""COMPUTED_VALUE"""),-108.563397)</f>
        <v>-108.56339699999999</v>
      </c>
      <c r="AW1853" s="8"/>
      <c r="AX1853" s="8">
        <f ca="1">IFERROR(__xludf.DUMMYFUNCTION("""COMPUTED_VALUE"""),81501)</f>
        <v>81501</v>
      </c>
    </row>
    <row r="1854" spans="1:50" ht="90" x14ac:dyDescent="0.2">
      <c r="A1854" s="8" t="str">
        <f ca="1">IFERROR(__xludf.DUMMYFUNCTION("""COMPUTED_VALUE"""),"20161025UTUNS")</f>
        <v>20161025UTUNS</v>
      </c>
      <c r="B1854" s="8">
        <f ca="1">IFERROR(__xludf.DUMMYFUNCTION("""COMPUTED_VALUE"""),10)</f>
        <v>10</v>
      </c>
      <c r="C1854" s="8">
        <f ca="1">IFERROR(__xludf.DUMMYFUNCTION("""COMPUTED_VALUE"""),25)</f>
        <v>25</v>
      </c>
      <c r="D1854" s="8">
        <f ca="1">IFERROR(__xludf.DUMMYFUNCTION("""COMPUTED_VALUE"""),2016)</f>
        <v>2016</v>
      </c>
      <c r="E1854" s="9">
        <f ca="1">IFERROR(__xludf.DUMMYFUNCTION("""COMPUTED_VALUE"""),42668)</f>
        <v>42668</v>
      </c>
      <c r="F1854" s="8" t="str">
        <f ca="1">IFERROR(__xludf.DUMMYFUNCTION("""COMPUTED_VALUE"""),"Union Middle School")</f>
        <v>Union Middle School</v>
      </c>
      <c r="G1854" s="8">
        <f ca="1">IFERROR(__xludf.DUMMYFUNCTION("""COMPUTED_VALUE"""),0)</f>
        <v>0</v>
      </c>
      <c r="H1854" s="8">
        <f ca="1">IFERROR(__xludf.DUMMYFUNCTION("""COMPUTED_VALUE"""),1)</f>
        <v>1</v>
      </c>
      <c r="I1854" s="8">
        <f ca="1">IFERROR(__xludf.DUMMYFUNCTION("""COMPUTED_VALUE"""),1)</f>
        <v>1</v>
      </c>
      <c r="J1854" s="8">
        <f ca="1">IFERROR(__xludf.DUMMYFUNCTION("""COMPUTED_VALUE"""),0)</f>
        <v>0</v>
      </c>
      <c r="K1854" s="10" t="str">
        <f ca="1">IFERROR(__xludf.DUMMYFUNCTION("""COMPUTED_VALUE"""),"https://www.ksl.com/?sid=42051617&amp;nid=148&amp;title=14-year-old-charged-with-attempted-murder-in-union-middle-school-shooting")</f>
        <v>https://www.ksl.com/?sid=42051617&amp;nid=148&amp;title=14-year-old-charged-with-attempted-murder-in-union-middle-school-shooting</v>
      </c>
      <c r="L1854" s="8">
        <f ca="1">IFERROR(__xludf.DUMMYFUNCTION("""COMPUTED_VALUE"""),5)</f>
        <v>5</v>
      </c>
      <c r="M1854" s="8" t="str">
        <f ca="1">IFERROR(__xludf.DUMMYFUNCTION("""COMPUTED_VALUE"""),"Regional")</f>
        <v>Regional</v>
      </c>
      <c r="N1854" s="8">
        <f ca="1">IFERROR(__xludf.DUMMYFUNCTION("""COMPUTED_VALUE"""),2)</f>
        <v>2</v>
      </c>
      <c r="O1854" s="8" t="str">
        <f ca="1">IFERROR(__xludf.DUMMYFUNCTION("""COMPUTED_VALUE"""),"Fall")</f>
        <v>Fall</v>
      </c>
      <c r="P1854" s="8" t="str">
        <f ca="1">IFERROR(__xludf.DUMMYFUNCTION("""COMPUTED_VALUE"""),"Sandy")</f>
        <v>Sandy</v>
      </c>
      <c r="Q1854" s="8" t="str">
        <f ca="1">IFERROR(__xludf.DUMMYFUNCTION("""COMPUTED_VALUE"""),"UT")</f>
        <v>UT</v>
      </c>
      <c r="R1854" s="8" t="str">
        <f ca="1">IFERROR(__xludf.DUMMYFUNCTION("""COMPUTED_VALUE"""),"Middle")</f>
        <v>Middle</v>
      </c>
      <c r="S1854" s="8" t="str">
        <f ca="1">IFERROR(__xludf.DUMMYFUNCTION("""COMPUTED_VALUE"""),"Beside Building")</f>
        <v>Beside Building</v>
      </c>
      <c r="T1854" s="8" t="str">
        <f ca="1">IFERROR(__xludf.DUMMYFUNCTION("""COMPUTED_VALUE"""),"Outside on School Property")</f>
        <v>Outside on School Property</v>
      </c>
      <c r="U1854" s="8" t="str">
        <f ca="1">IFERROR(__xludf.DUMMYFUNCTION("""COMPUTED_VALUE"""),"Yes")</f>
        <v>Yes</v>
      </c>
      <c r="V1854" s="8" t="str">
        <f ca="1">IFERROR(__xludf.DUMMYFUNCTION("""COMPUTED_VALUE"""),"Dismissal")</f>
        <v>Dismissal</v>
      </c>
      <c r="W1854" s="11">
        <f ca="1">IFERROR(__xludf.DUMMYFUNCTION("""COMPUTED_VALUE"""),0.625)</f>
        <v>0.625</v>
      </c>
      <c r="X1854" s="8">
        <f ca="1">IFERROR(__xludf.DUMMYFUNCTION("""COMPUTED_VALUE"""),1)</f>
        <v>1</v>
      </c>
      <c r="Y1854" s="12" t="str">
        <f ca="1">IFERROR(__xludf.DUMMYFUNCTION("""COMPUTED_VALUE"""),"Planned fight after school")</f>
        <v>Planned fight after school</v>
      </c>
      <c r="Z1854" s="12" t="str">
        <f ca="1">IFERROR(__xludf.DUMMYFUNCTION("""COMPUTED_VALUE"""),"Planned fight after school, ongoing conflict between shooter and 16 YO victim regarding the shooter's girlfriend, who previously dated the victim. Prior to the shooting, the two exchanged threatening messages on Facebook. Shooter showed other students the"&amp;" gun before the fight. Allegedly told another student not to go to school that day.")</f>
        <v>Planned fight after school, ongoing conflict between shooter and 16 YO victim regarding the shooter's girlfriend, who previously dated the victim. Prior to the shooting, the two exchanged threatening messages on Facebook. Shooter showed other students the gun before the fight. Allegedly told another student not to go to school that day.</v>
      </c>
      <c r="AA1854" s="8" t="str">
        <f ca="1">IFERROR(__xludf.DUMMYFUNCTION("""COMPUTED_VALUE"""),"Escalation of Dispute")</f>
        <v>Escalation of Dispute</v>
      </c>
      <c r="AB1854" s="8"/>
      <c r="AC1854" s="8" t="str">
        <f ca="1">IFERROR(__xludf.DUMMYFUNCTION("""COMPUTED_VALUE"""),"Yes")</f>
        <v>Yes</v>
      </c>
      <c r="AD1854" s="8" t="str">
        <f ca="1">IFERROR(__xludf.DUMMYFUNCTION("""COMPUTED_VALUE"""),"Victims Targeted")</f>
        <v>Victims Targeted</v>
      </c>
      <c r="AE1854" s="8" t="str">
        <f ca="1">IFERROR(__xludf.DUMMYFUNCTION("""COMPUTED_VALUE"""),"No")</f>
        <v>No</v>
      </c>
      <c r="AF1854" s="8"/>
      <c r="AG1854" s="8" t="str">
        <f ca="1">IFERROR(__xludf.DUMMYFUNCTION("""COMPUTED_VALUE"""),"No")</f>
        <v>No</v>
      </c>
      <c r="AH1854" s="8" t="str">
        <f ca="1">IFERROR(__xludf.DUMMYFUNCTION("""COMPUTED_VALUE"""),"No")</f>
        <v>No</v>
      </c>
      <c r="AI1854" s="8" t="str">
        <f ca="1">IFERROR(__xludf.DUMMYFUNCTION("""COMPUTED_VALUE"""),"No")</f>
        <v>No</v>
      </c>
      <c r="AJ1854" s="8" t="str">
        <f ca="1">IFERROR(__xludf.DUMMYFUNCTION("""COMPUTED_VALUE"""),"No")</f>
        <v>No</v>
      </c>
      <c r="AK1854" s="8" t="str">
        <f ca="1">IFERROR(__xludf.DUMMYFUNCTION("""COMPUTED_VALUE"""),"No")</f>
        <v>No</v>
      </c>
      <c r="AL1854" s="8" t="str">
        <f ca="1">IFERROR(__xludf.DUMMYFUNCTION("""COMPUTED_VALUE"""),"No")</f>
        <v>No</v>
      </c>
      <c r="AM1854" s="8" t="str">
        <f ca="1">IFERROR(__xludf.DUMMYFUNCTION("""COMPUTED_VALUE"""),"No")</f>
        <v>No</v>
      </c>
      <c r="AN1854" s="8"/>
      <c r="AO1854" s="8" t="str">
        <f ca="1">IFERROR(__xludf.DUMMYFUNCTION("""COMPUTED_VALUE"""),"No")</f>
        <v>No</v>
      </c>
      <c r="AP1854" s="8" t="str">
        <f ca="1">IFERROR(__xludf.DUMMYFUNCTION("""COMPUTED_VALUE"""),"No")</f>
        <v>No</v>
      </c>
      <c r="AQ1854" s="8" t="str">
        <f ca="1">IFERROR(__xludf.DUMMYFUNCTION("""COMPUTED_VALUE"""),"Unknown")</f>
        <v>Unknown</v>
      </c>
      <c r="AR1854" s="8" t="str">
        <f ca="1">IFERROR(__xludf.DUMMYFUNCTION("""COMPUTED_VALUE"""),"NA")</f>
        <v>NA</v>
      </c>
      <c r="AS1854" s="8">
        <f ca="1">IFERROR(__xludf.DUMMYFUNCTION("""COMPUTED_VALUE"""),3)</f>
        <v>3</v>
      </c>
      <c r="AT1854" s="8" t="str">
        <f ca="1">IFERROR(__xludf.DUMMYFUNCTION("""COMPUTED_VALUE"""),"No")</f>
        <v>No</v>
      </c>
      <c r="AU1854" s="8">
        <f ca="1">IFERROR(__xludf.DUMMYFUNCTION("""COMPUTED_VALUE"""),40.60715)</f>
        <v>40.607149999999997</v>
      </c>
      <c r="AV1854" s="8">
        <f ca="1">IFERROR(__xludf.DUMMYFUNCTION("""COMPUTED_VALUE"""),-111.873061)</f>
        <v>-111.87306100000001</v>
      </c>
      <c r="AW1854" s="8"/>
      <c r="AX1854" s="8">
        <f ca="1">IFERROR(__xludf.DUMMYFUNCTION("""COMPUTED_VALUE"""),84047)</f>
        <v>84047</v>
      </c>
    </row>
    <row r="1855" spans="1:50" ht="120" x14ac:dyDescent="0.2">
      <c r="A1855" s="8" t="str">
        <f ca="1">IFERROR(__xludf.DUMMYFUNCTION("""COMPUTED_VALUE"""),"20161018CAJUS")</f>
        <v>20161018CAJUS</v>
      </c>
      <c r="B1855" s="8">
        <f ca="1">IFERROR(__xludf.DUMMYFUNCTION("""COMPUTED_VALUE"""),10)</f>
        <v>10</v>
      </c>
      <c r="C1855" s="8">
        <f ca="1">IFERROR(__xludf.DUMMYFUNCTION("""COMPUTED_VALUE"""),18)</f>
        <v>18</v>
      </c>
      <c r="D1855" s="8">
        <f ca="1">IFERROR(__xludf.DUMMYFUNCTION("""COMPUTED_VALUE"""),2016)</f>
        <v>2016</v>
      </c>
      <c r="E1855" s="9">
        <f ca="1">IFERROR(__xludf.DUMMYFUNCTION("""COMPUTED_VALUE"""),42661)</f>
        <v>42661</v>
      </c>
      <c r="F1855" s="8" t="str">
        <f ca="1">IFERROR(__xludf.DUMMYFUNCTION("""COMPUTED_VALUE"""),"June Jordan High School for Equity")</f>
        <v>June Jordan High School for Equity</v>
      </c>
      <c r="G1855" s="8">
        <f ca="1">IFERROR(__xludf.DUMMYFUNCTION("""COMPUTED_VALUE"""),0)</f>
        <v>0</v>
      </c>
      <c r="H1855" s="8">
        <f ca="1">IFERROR(__xludf.DUMMYFUNCTION("""COMPUTED_VALUE"""),4)</f>
        <v>4</v>
      </c>
      <c r="I1855" s="8">
        <f ca="1">IFERROR(__xludf.DUMMYFUNCTION("""COMPUTED_VALUE"""),4)</f>
        <v>4</v>
      </c>
      <c r="J1855" s="8">
        <f ca="1">IFERROR(__xludf.DUMMYFUNCTION("""COMPUTED_VALUE"""),0)</f>
        <v>0</v>
      </c>
      <c r="K1855" s="10" t="str">
        <f ca="1">IFERROR(__xludf.DUMMYFUNCTION("""COMPUTED_VALUE"""),"https://www.sfgate.com/crime/article/Two-arrested-in-SF-school-shooting-that-injured-4-10005290.php")</f>
        <v>https://www.sfgate.com/crime/article/Two-arrested-in-SF-school-shooting-that-injured-4-10005290.php</v>
      </c>
      <c r="L1855" s="8">
        <f ca="1">IFERROR(__xludf.DUMMYFUNCTION("""COMPUTED_VALUE"""),5)</f>
        <v>5</v>
      </c>
      <c r="M1855" s="8" t="str">
        <f ca="1">IFERROR(__xludf.DUMMYFUNCTION("""COMPUTED_VALUE"""),"Regional")</f>
        <v>Regional</v>
      </c>
      <c r="N1855" s="8">
        <f ca="1">IFERROR(__xludf.DUMMYFUNCTION("""COMPUTED_VALUE"""),2)</f>
        <v>2</v>
      </c>
      <c r="O1855" s="8" t="str">
        <f ca="1">IFERROR(__xludf.DUMMYFUNCTION("""COMPUTED_VALUE"""),"Fall")</f>
        <v>Fall</v>
      </c>
      <c r="P1855" s="8" t="str">
        <f ca="1">IFERROR(__xludf.DUMMYFUNCTION("""COMPUTED_VALUE"""),"San Francisco")</f>
        <v>San Francisco</v>
      </c>
      <c r="Q1855" s="8" t="str">
        <f ca="1">IFERROR(__xludf.DUMMYFUNCTION("""COMPUTED_VALUE"""),"CA")</f>
        <v>CA</v>
      </c>
      <c r="R1855" s="8" t="str">
        <f ca="1">IFERROR(__xludf.DUMMYFUNCTION("""COMPUTED_VALUE"""),"High")</f>
        <v>High</v>
      </c>
      <c r="S1855" s="8" t="str">
        <f ca="1">IFERROR(__xludf.DUMMYFUNCTION("""COMPUTED_VALUE"""),"Parking Lot")</f>
        <v>Parking Lot</v>
      </c>
      <c r="T1855" s="8" t="str">
        <f ca="1">IFERROR(__xludf.DUMMYFUNCTION("""COMPUTED_VALUE"""),"Outside on School Property")</f>
        <v>Outside on School Property</v>
      </c>
      <c r="U1855" s="8" t="str">
        <f ca="1">IFERROR(__xludf.DUMMYFUNCTION("""COMPUTED_VALUE"""),"No")</f>
        <v>No</v>
      </c>
      <c r="V1855" s="8" t="str">
        <f ca="1">IFERROR(__xludf.DUMMYFUNCTION("""COMPUTED_VALUE"""),"After School")</f>
        <v>After School</v>
      </c>
      <c r="W1855" s="11">
        <f ca="1">IFERROR(__xludf.DUMMYFUNCTION("""COMPUTED_VALUE"""),0.638888888888888)</f>
        <v>0.63888888888888795</v>
      </c>
      <c r="X1855" s="8">
        <f ca="1">IFERROR(__xludf.DUMMYFUNCTION("""COMPUTED_VALUE"""),1)</f>
        <v>1</v>
      </c>
      <c r="Y1855" s="12" t="str">
        <f ca="1">IFERROR(__xludf.DUMMYFUNCTION("""COMPUTED_VALUE"""),"Shooting in parking lot")</f>
        <v>Shooting in parking lot</v>
      </c>
      <c r="Z1855" s="12" t="str">
        <f ca="1">IFERROR(__xludf.DUMMYFUNCTION("""COMPUTED_VALUE"""),"4 shooters (all minors/not students at that school) fired in the parking lot at the end of the school day. 15 YOF was seriously injured (target). 3 other male students have minor injuries. 4 more students may have been struck by BB guns. Police thought th"&amp;"e suspects may have still been inside because 3 of the victims walked inside the school and it seemed like the shooting happened there. Shooters fled the scene, 2 of them were later arrested 1 of them charged.")</f>
        <v>4 shooters (all minors/not students at that school) fired in the parking lot at the end of the school day. 15 YOF was seriously injured (target). 3 other male students have minor injuries. 4 more students may have been struck by BB guns. Police thought the suspects may have still been inside because 3 of the victims walked inside the school and it seemed like the shooting happened there. Shooters fled the scene, 2 of them were later arrested 1 of them charged.</v>
      </c>
      <c r="AA1855" s="8" t="str">
        <f ca="1">IFERROR(__xludf.DUMMYFUNCTION("""COMPUTED_VALUE"""),"Escalation of Dispute")</f>
        <v>Escalation of Dispute</v>
      </c>
      <c r="AB1855" s="8"/>
      <c r="AC1855" s="8" t="str">
        <f ca="1">IFERROR(__xludf.DUMMYFUNCTION("""COMPUTED_VALUE"""),"Yes")</f>
        <v>Yes</v>
      </c>
      <c r="AD1855" s="8" t="str">
        <f ca="1">IFERROR(__xludf.DUMMYFUNCTION("""COMPUTED_VALUE"""),"Both")</f>
        <v>Both</v>
      </c>
      <c r="AE1855" s="8" t="str">
        <f ca="1">IFERROR(__xludf.DUMMYFUNCTION("""COMPUTED_VALUE"""),"Yes")</f>
        <v>Yes</v>
      </c>
      <c r="AF1855" s="8" t="str">
        <f ca="1">IFERROR(__xludf.DUMMYFUNCTION("""COMPUTED_VALUE"""),"4 arrested")</f>
        <v>4 arrested</v>
      </c>
      <c r="AG1855" s="8" t="str">
        <f ca="1">IFERROR(__xludf.DUMMYFUNCTION("""COMPUTED_VALUE"""),"No")</f>
        <v>No</v>
      </c>
      <c r="AH1855" s="8" t="str">
        <f ca="1">IFERROR(__xludf.DUMMYFUNCTION("""COMPUTED_VALUE"""),"No")</f>
        <v>No</v>
      </c>
      <c r="AI1855" s="8" t="str">
        <f ca="1">IFERROR(__xludf.DUMMYFUNCTION("""COMPUTED_VALUE"""),"No")</f>
        <v>No</v>
      </c>
      <c r="AJ1855" s="8" t="str">
        <f ca="1">IFERROR(__xludf.DUMMYFUNCTION("""COMPUTED_VALUE"""),"No")</f>
        <v>No</v>
      </c>
      <c r="AK1855" s="8" t="str">
        <f ca="1">IFERROR(__xludf.DUMMYFUNCTION("""COMPUTED_VALUE"""),"No")</f>
        <v>No</v>
      </c>
      <c r="AL1855" s="8"/>
      <c r="AM1855" s="8" t="str">
        <f ca="1">IFERROR(__xludf.DUMMYFUNCTION("""COMPUTED_VALUE"""),"No")</f>
        <v>No</v>
      </c>
      <c r="AN1855" s="8"/>
      <c r="AO1855" s="8" t="str">
        <f ca="1">IFERROR(__xludf.DUMMYFUNCTION("""COMPUTED_VALUE"""),"No")</f>
        <v>No</v>
      </c>
      <c r="AP1855" s="8" t="str">
        <f ca="1">IFERROR(__xludf.DUMMYFUNCTION("""COMPUTED_VALUE"""),"No")</f>
        <v>No</v>
      </c>
      <c r="AQ1855" s="8" t="str">
        <f ca="1">IFERROR(__xludf.DUMMYFUNCTION("""COMPUTED_VALUE"""),"Unknown")</f>
        <v>Unknown</v>
      </c>
      <c r="AR1855" s="8" t="str">
        <f ca="1">IFERROR(__xludf.DUMMYFUNCTION("""COMPUTED_VALUE"""),"NA")</f>
        <v>NA</v>
      </c>
      <c r="AS1855" s="8" t="str">
        <f ca="1">IFERROR(__xludf.DUMMYFUNCTION("""COMPUTED_VALUE"""),"&gt;10")</f>
        <v>&gt;10</v>
      </c>
      <c r="AT1855" s="8" t="str">
        <f ca="1">IFERROR(__xludf.DUMMYFUNCTION("""COMPUTED_VALUE"""),"No")</f>
        <v>No</v>
      </c>
      <c r="AU1855" s="8">
        <f ca="1">IFERROR(__xludf.DUMMYFUNCTION("""COMPUTED_VALUE"""),37.719199)</f>
        <v>37.719199000000003</v>
      </c>
      <c r="AV1855" s="8">
        <f ca="1">IFERROR(__xludf.DUMMYFUNCTION("""COMPUTED_VALUE"""),-122.424722)</f>
        <v>-122.424722</v>
      </c>
      <c r="AW1855" s="8"/>
      <c r="AX1855" s="8">
        <f ca="1">IFERROR(__xludf.DUMMYFUNCTION("""COMPUTED_VALUE"""),94134)</f>
        <v>94134</v>
      </c>
    </row>
    <row r="1856" spans="1:50" ht="60" x14ac:dyDescent="0.2">
      <c r="A1856" s="8" t="str">
        <f ca="1">IFERROR(__xludf.DUMMYFUNCTION("""COMPUTED_VALUE"""),"20161015GABEA")</f>
        <v>20161015GABEA</v>
      </c>
      <c r="B1856" s="8">
        <f ca="1">IFERROR(__xludf.DUMMYFUNCTION("""COMPUTED_VALUE"""),10)</f>
        <v>10</v>
      </c>
      <c r="C1856" s="8">
        <f ca="1">IFERROR(__xludf.DUMMYFUNCTION("""COMPUTED_VALUE"""),15)</f>
        <v>15</v>
      </c>
      <c r="D1856" s="8">
        <f ca="1">IFERROR(__xludf.DUMMYFUNCTION("""COMPUTED_VALUE"""),2016)</f>
        <v>2016</v>
      </c>
      <c r="E1856" s="9">
        <f ca="1">IFERROR(__xludf.DUMMYFUNCTION("""COMPUTED_VALUE"""),42658)</f>
        <v>42658</v>
      </c>
      <c r="F1856" s="8" t="str">
        <f ca="1">IFERROR(__xludf.DUMMYFUNCTION("""COMPUTED_VALUE"""),"Benjamin E. Mays High School")</f>
        <v>Benjamin E. Mays High School</v>
      </c>
      <c r="G1856" s="8">
        <f ca="1">IFERROR(__xludf.DUMMYFUNCTION("""COMPUTED_VALUE"""),0)</f>
        <v>0</v>
      </c>
      <c r="H1856" s="8">
        <f ca="1">IFERROR(__xludf.DUMMYFUNCTION("""COMPUTED_VALUE"""),1)</f>
        <v>1</v>
      </c>
      <c r="I1856" s="8">
        <f ca="1">IFERROR(__xludf.DUMMYFUNCTION("""COMPUTED_VALUE"""),1)</f>
        <v>1</v>
      </c>
      <c r="J1856" s="8">
        <f ca="1">IFERROR(__xludf.DUMMYFUNCTION("""COMPUTED_VALUE"""),0)</f>
        <v>0</v>
      </c>
      <c r="K1856" s="10" t="str">
        <f ca="1">IFERROR(__xludf.DUMMYFUNCTION("""COMPUTED_VALUE"""),"http://usatodayhss.com/2016/student-shot-outside-atlanta-high-school-after-football-game")</f>
        <v>http://usatodayhss.com/2016/student-shot-outside-atlanta-high-school-after-football-game</v>
      </c>
      <c r="L1856" s="8">
        <f ca="1">IFERROR(__xludf.DUMMYFUNCTION("""COMPUTED_VALUE"""),1)</f>
        <v>1</v>
      </c>
      <c r="M1856" s="8" t="str">
        <f ca="1">IFERROR(__xludf.DUMMYFUNCTION("""COMPUTED_VALUE"""),"Local")</f>
        <v>Local</v>
      </c>
      <c r="N1856" s="8">
        <f ca="1">IFERROR(__xludf.DUMMYFUNCTION("""COMPUTED_VALUE"""),2)</f>
        <v>2</v>
      </c>
      <c r="O1856" s="8" t="str">
        <f ca="1">IFERROR(__xludf.DUMMYFUNCTION("""COMPUTED_VALUE"""),"Fall")</f>
        <v>Fall</v>
      </c>
      <c r="P1856" s="8" t="str">
        <f ca="1">IFERROR(__xludf.DUMMYFUNCTION("""COMPUTED_VALUE"""),"Atlanta")</f>
        <v>Atlanta</v>
      </c>
      <c r="Q1856" s="8" t="str">
        <f ca="1">IFERROR(__xludf.DUMMYFUNCTION("""COMPUTED_VALUE"""),"GA")</f>
        <v>GA</v>
      </c>
      <c r="R1856" s="8" t="str">
        <f ca="1">IFERROR(__xludf.DUMMYFUNCTION("""COMPUTED_VALUE"""),"High")</f>
        <v>High</v>
      </c>
      <c r="S1856" s="8" t="str">
        <f ca="1">IFERROR(__xludf.DUMMYFUNCTION("""COMPUTED_VALUE"""),"Parking Lot")</f>
        <v>Parking Lot</v>
      </c>
      <c r="T1856" s="8" t="str">
        <f ca="1">IFERROR(__xludf.DUMMYFUNCTION("""COMPUTED_VALUE"""),"Outside on School Property")</f>
        <v>Outside on School Property</v>
      </c>
      <c r="U1856" s="8" t="str">
        <f ca="1">IFERROR(__xludf.DUMMYFUNCTION("""COMPUTED_VALUE"""),"No")</f>
        <v>No</v>
      </c>
      <c r="V1856" s="8" t="str">
        <f ca="1">IFERROR(__xludf.DUMMYFUNCTION("""COMPUTED_VALUE"""),"Sport Event")</f>
        <v>Sport Event</v>
      </c>
      <c r="W1856" s="8"/>
      <c r="X1856" s="8">
        <f ca="1">IFERROR(__xludf.DUMMYFUNCTION("""COMPUTED_VALUE"""),1)</f>
        <v>1</v>
      </c>
      <c r="Y1856" s="12" t="str">
        <f ca="1">IFERROR(__xludf.DUMMYFUNCTION("""COMPUTED_VALUE"""),"Shots fired from a car in the parking lot after an evening football game")</f>
        <v>Shots fired from a car in the parking lot after an evening football game</v>
      </c>
      <c r="Z1856" s="12" t="str">
        <f ca="1">IFERROR(__xludf.DUMMYFUNCTION("""COMPUTED_VALUE"""),"Shot fired from car in parking lot after football game. One student injured. Unclear if victim was the intended target. Shooter fled in the vehicle.")</f>
        <v>Shot fired from car in parking lot after football game. One student injured. Unclear if victim was the intended target. Shooter fled in the vehicle.</v>
      </c>
      <c r="AA1856" s="8" t="str">
        <f ca="1">IFERROR(__xludf.DUMMYFUNCTION("""COMPUTED_VALUE"""),"Drive-by Shooting")</f>
        <v>Drive-by Shooting</v>
      </c>
      <c r="AB1856" s="8"/>
      <c r="AC1856" s="8" t="str">
        <f ca="1">IFERROR(__xludf.DUMMYFUNCTION("""COMPUTED_VALUE"""),"Yes")</f>
        <v>Yes</v>
      </c>
      <c r="AD1856" s="8"/>
      <c r="AE1856" s="8"/>
      <c r="AF1856" s="8"/>
      <c r="AG1856" s="8" t="str">
        <f ca="1">IFERROR(__xludf.DUMMYFUNCTION("""COMPUTED_VALUE"""),"No")</f>
        <v>No</v>
      </c>
      <c r="AH1856" s="8" t="str">
        <f ca="1">IFERROR(__xludf.DUMMYFUNCTION("""COMPUTED_VALUE"""),"No")</f>
        <v>No</v>
      </c>
      <c r="AI1856" s="8" t="str">
        <f ca="1">IFERROR(__xludf.DUMMYFUNCTION("""COMPUTED_VALUE"""),"No")</f>
        <v>No</v>
      </c>
      <c r="AJ1856" s="8" t="str">
        <f ca="1">IFERROR(__xludf.DUMMYFUNCTION("""COMPUTED_VALUE"""),"No")</f>
        <v>No</v>
      </c>
      <c r="AK1856" s="8" t="str">
        <f ca="1">IFERROR(__xludf.DUMMYFUNCTION("""COMPUTED_VALUE"""),"No")</f>
        <v>No</v>
      </c>
      <c r="AL1856" s="8" t="str">
        <f ca="1">IFERROR(__xludf.DUMMYFUNCTION("""COMPUTED_VALUE"""),"Yes")</f>
        <v>Yes</v>
      </c>
      <c r="AM1856" s="8" t="str">
        <f ca="1">IFERROR(__xludf.DUMMYFUNCTION("""COMPUTED_VALUE"""),"No")</f>
        <v>No</v>
      </c>
      <c r="AN1856" s="8"/>
      <c r="AO1856" s="8" t="str">
        <f ca="1">IFERROR(__xludf.DUMMYFUNCTION("""COMPUTED_VALUE"""),"No")</f>
        <v>No</v>
      </c>
      <c r="AP1856" s="8"/>
      <c r="AQ1856" s="8" t="str">
        <f ca="1">IFERROR(__xludf.DUMMYFUNCTION("""COMPUTED_VALUE"""),"Unknown")</f>
        <v>Unknown</v>
      </c>
      <c r="AR1856" s="8" t="str">
        <f ca="1">IFERROR(__xludf.DUMMYFUNCTION("""COMPUTED_VALUE"""),"NA")</f>
        <v>NA</v>
      </c>
      <c r="AS1856" s="8">
        <f ca="1">IFERROR(__xludf.DUMMYFUNCTION("""COMPUTED_VALUE"""),1)</f>
        <v>1</v>
      </c>
      <c r="AT1856" s="8" t="str">
        <f ca="1">IFERROR(__xludf.DUMMYFUNCTION("""COMPUTED_VALUE"""),"No")</f>
        <v>No</v>
      </c>
      <c r="AU1856" s="8">
        <f ca="1">IFERROR(__xludf.DUMMYFUNCTION("""COMPUTED_VALUE"""),33.734014)</f>
        <v>33.734014000000002</v>
      </c>
      <c r="AV1856" s="8">
        <f ca="1">IFERROR(__xludf.DUMMYFUNCTION("""COMPUTED_VALUE"""),-84.503851)</f>
        <v>-84.503850999999997</v>
      </c>
      <c r="AW1856" s="8"/>
      <c r="AX1856" s="8">
        <f ca="1">IFERROR(__xludf.DUMMYFUNCTION("""COMPUTED_VALUE"""),30331)</f>
        <v>30331</v>
      </c>
    </row>
    <row r="1857" spans="1:50" ht="75" x14ac:dyDescent="0.2">
      <c r="A1857" s="8" t="str">
        <f ca="1">IFERROR(__xludf.DUMMYFUNCTION("""COMPUTED_VALUE"""),"20161013OHLIC")</f>
        <v>20161013OHLIC</v>
      </c>
      <c r="B1857" s="8">
        <f ca="1">IFERROR(__xludf.DUMMYFUNCTION("""COMPUTED_VALUE"""),10)</f>
        <v>10</v>
      </c>
      <c r="C1857" s="8">
        <f ca="1">IFERROR(__xludf.DUMMYFUNCTION("""COMPUTED_VALUE"""),13)</f>
        <v>13</v>
      </c>
      <c r="D1857" s="8">
        <f ca="1">IFERROR(__xludf.DUMMYFUNCTION("""COMPUTED_VALUE"""),2016)</f>
        <v>2016</v>
      </c>
      <c r="E1857" s="9">
        <f ca="1">IFERROR(__xludf.DUMMYFUNCTION("""COMPUTED_VALUE"""),42656)</f>
        <v>42656</v>
      </c>
      <c r="F1857" s="8" t="str">
        <f ca="1">IFERROR(__xludf.DUMMYFUNCTION("""COMPUTED_VALUE"""),"Linden McKinley STEM Academy")</f>
        <v>Linden McKinley STEM Academy</v>
      </c>
      <c r="G1857" s="8">
        <f ca="1">IFERROR(__xludf.DUMMYFUNCTION("""COMPUTED_VALUE"""),0)</f>
        <v>0</v>
      </c>
      <c r="H1857" s="8">
        <f ca="1">IFERROR(__xludf.DUMMYFUNCTION("""COMPUTED_VALUE"""),2)</f>
        <v>2</v>
      </c>
      <c r="I1857" s="8">
        <f ca="1">IFERROR(__xludf.DUMMYFUNCTION("""COMPUTED_VALUE"""),2)</f>
        <v>2</v>
      </c>
      <c r="J1857" s="8">
        <f ca="1">IFERROR(__xludf.DUMMYFUNCTION("""COMPUTED_VALUE"""),0)</f>
        <v>0</v>
      </c>
      <c r="K1857" s="10" t="str">
        <f ca="1">IFERROR(__xludf.DUMMYFUNCTION("""COMPUTED_VALUE"""),"http://www.dispatch.com/content/stories/local/2016/10/20/Two-charged-in-Linden-McKinley-shooting.html")</f>
        <v>http://www.dispatch.com/content/stories/local/2016/10/20/Two-charged-in-Linden-McKinley-shooting.html</v>
      </c>
      <c r="L1857" s="8">
        <f ca="1">IFERROR(__xludf.DUMMYFUNCTION("""COMPUTED_VALUE"""),1)</f>
        <v>1</v>
      </c>
      <c r="M1857" s="8" t="str">
        <f ca="1">IFERROR(__xludf.DUMMYFUNCTION("""COMPUTED_VALUE"""),"Local")</f>
        <v>Local</v>
      </c>
      <c r="N1857" s="8">
        <f ca="1">IFERROR(__xludf.DUMMYFUNCTION("""COMPUTED_VALUE"""),2)</f>
        <v>2</v>
      </c>
      <c r="O1857" s="8" t="str">
        <f ca="1">IFERROR(__xludf.DUMMYFUNCTION("""COMPUTED_VALUE"""),"Fall")</f>
        <v>Fall</v>
      </c>
      <c r="P1857" s="8" t="str">
        <f ca="1">IFERROR(__xludf.DUMMYFUNCTION("""COMPUTED_VALUE"""),"Columbus")</f>
        <v>Columbus</v>
      </c>
      <c r="Q1857" s="8" t="str">
        <f ca="1">IFERROR(__xludf.DUMMYFUNCTION("""COMPUTED_VALUE"""),"OH")</f>
        <v>OH</v>
      </c>
      <c r="R1857" s="8" t="str">
        <f ca="1">IFERROR(__xludf.DUMMYFUNCTION("""COMPUTED_VALUE"""),"High")</f>
        <v>High</v>
      </c>
      <c r="S1857" s="8" t="str">
        <f ca="1">IFERROR(__xludf.DUMMYFUNCTION("""COMPUTED_VALUE"""),"Front of School")</f>
        <v>Front of School</v>
      </c>
      <c r="T1857" s="8" t="str">
        <f ca="1">IFERROR(__xludf.DUMMYFUNCTION("""COMPUTED_VALUE"""),"Outside on School Property")</f>
        <v>Outside on School Property</v>
      </c>
      <c r="U1857" s="8" t="str">
        <f ca="1">IFERROR(__xludf.DUMMYFUNCTION("""COMPUTED_VALUE"""),"No")</f>
        <v>No</v>
      </c>
      <c r="V1857" s="8" t="str">
        <f ca="1">IFERROR(__xludf.DUMMYFUNCTION("""COMPUTED_VALUE"""),"Dismissal")</f>
        <v>Dismissal</v>
      </c>
      <c r="W1857" s="11">
        <f ca="1">IFERROR(__xludf.DUMMYFUNCTION("""COMPUTED_VALUE"""),0.611111111111111)</f>
        <v>0.61111111111111105</v>
      </c>
      <c r="X1857" s="8">
        <f ca="1">IFERROR(__xludf.DUMMYFUNCTION("""COMPUTED_VALUE"""),1)</f>
        <v>1</v>
      </c>
      <c r="Y1857" s="12" t="str">
        <f ca="1">IFERROR(__xludf.DUMMYFUNCTION("""COMPUTED_VALUE"""),"Drive-by involving gang members outside of school")</f>
        <v>Drive-by involving gang members outside of school</v>
      </c>
      <c r="Z1857" s="12" t="str">
        <f ca="1">IFERROR(__xludf.DUMMYFUNCTION("""COMPUTED_VALUE"""),"Drive-by shooting outside of school, location of frequent shootings in high crime neighborhood. A witness reported that someone yelled a curse at the four people in the car (East Side residents) and then the group of students was shot at.")</f>
        <v>Drive-by shooting outside of school, location of frequent shootings in high crime neighborhood. A witness reported that someone yelled a curse at the four people in the car (East Side residents) and then the group of students was shot at.</v>
      </c>
      <c r="AA1857" s="8" t="str">
        <f ca="1">IFERROR(__xludf.DUMMYFUNCTION("""COMPUTED_VALUE"""),"Drive-by Shooting")</f>
        <v>Drive-by Shooting</v>
      </c>
      <c r="AB1857" s="8"/>
      <c r="AC1857" s="8" t="str">
        <f ca="1">IFERROR(__xludf.DUMMYFUNCTION("""COMPUTED_VALUE"""),"Yes")</f>
        <v>Yes</v>
      </c>
      <c r="AD1857" s="8" t="str">
        <f ca="1">IFERROR(__xludf.DUMMYFUNCTION("""COMPUTED_VALUE"""),"Victims Targeted")</f>
        <v>Victims Targeted</v>
      </c>
      <c r="AE1857" s="8"/>
      <c r="AF1857" s="8"/>
      <c r="AG1857" s="8" t="str">
        <f ca="1">IFERROR(__xludf.DUMMYFUNCTION("""COMPUTED_VALUE"""),"No")</f>
        <v>No</v>
      </c>
      <c r="AH1857" s="8" t="str">
        <f ca="1">IFERROR(__xludf.DUMMYFUNCTION("""COMPUTED_VALUE"""),"No")</f>
        <v>No</v>
      </c>
      <c r="AI1857" s="8" t="str">
        <f ca="1">IFERROR(__xludf.DUMMYFUNCTION("""COMPUTED_VALUE"""),"No")</f>
        <v>No</v>
      </c>
      <c r="AJ1857" s="8" t="str">
        <f ca="1">IFERROR(__xludf.DUMMYFUNCTION("""COMPUTED_VALUE"""),"No")</f>
        <v>No</v>
      </c>
      <c r="AK1857" s="8" t="str">
        <f ca="1">IFERROR(__xludf.DUMMYFUNCTION("""COMPUTED_VALUE"""),"No")</f>
        <v>No</v>
      </c>
      <c r="AL1857" s="8" t="str">
        <f ca="1">IFERROR(__xludf.DUMMYFUNCTION("""COMPUTED_VALUE"""),"Yes")</f>
        <v>Yes</v>
      </c>
      <c r="AM1857" s="8" t="str">
        <f ca="1">IFERROR(__xludf.DUMMYFUNCTION("""COMPUTED_VALUE"""),"No")</f>
        <v>No</v>
      </c>
      <c r="AN1857" s="8"/>
      <c r="AO1857" s="8" t="str">
        <f ca="1">IFERROR(__xludf.DUMMYFUNCTION("""COMPUTED_VALUE"""),"No")</f>
        <v>No</v>
      </c>
      <c r="AP1857" s="8" t="str">
        <f ca="1">IFERROR(__xludf.DUMMYFUNCTION("""COMPUTED_VALUE"""),"Yes")</f>
        <v>Yes</v>
      </c>
      <c r="AQ1857" s="8" t="str">
        <f ca="1">IFERROR(__xludf.DUMMYFUNCTION("""COMPUTED_VALUE"""),"Unknown")</f>
        <v>Unknown</v>
      </c>
      <c r="AR1857" s="8" t="str">
        <f ca="1">IFERROR(__xludf.DUMMYFUNCTION("""COMPUTED_VALUE"""),"NA")</f>
        <v>NA</v>
      </c>
      <c r="AS1857" s="8"/>
      <c r="AT1857" s="8" t="str">
        <f ca="1">IFERROR(__xludf.DUMMYFUNCTION("""COMPUTED_VALUE"""),"No")</f>
        <v>No</v>
      </c>
      <c r="AU1857" s="8">
        <f ca="1">IFERROR(__xludf.DUMMYFUNCTION("""COMPUTED_VALUE"""),40.009787)</f>
        <v>40.009787000000003</v>
      </c>
      <c r="AV1857" s="8">
        <f ca="1">IFERROR(__xludf.DUMMYFUNCTION("""COMPUTED_VALUE"""),-82.974114)</f>
        <v>-82.974114</v>
      </c>
      <c r="AW1857" s="8"/>
      <c r="AX1857" s="8">
        <f ca="1">IFERROR(__xludf.DUMMYFUNCTION("""COMPUTED_VALUE"""),43211)</f>
        <v>43211</v>
      </c>
    </row>
    <row r="1858" spans="1:50" ht="60" x14ac:dyDescent="0.2">
      <c r="A1858" s="8" t="str">
        <f ca="1">IFERROR(__xludf.DUMMYFUNCTION("""COMPUTED_VALUE"""),"20161011ALVIM")</f>
        <v>20161011ALVIM</v>
      </c>
      <c r="B1858" s="8">
        <f ca="1">IFERROR(__xludf.DUMMYFUNCTION("""COMPUTED_VALUE"""),10)</f>
        <v>10</v>
      </c>
      <c r="C1858" s="8">
        <f ca="1">IFERROR(__xludf.DUMMYFUNCTION("""COMPUTED_VALUE"""),11)</f>
        <v>11</v>
      </c>
      <c r="D1858" s="8">
        <f ca="1">IFERROR(__xludf.DUMMYFUNCTION("""COMPUTED_VALUE"""),2016)</f>
        <v>2016</v>
      </c>
      <c r="E1858" s="9">
        <f ca="1">IFERROR(__xludf.DUMMYFUNCTION("""COMPUTED_VALUE"""),42654)</f>
        <v>42654</v>
      </c>
      <c r="F1858" s="8" t="str">
        <f ca="1">IFERROR(__xludf.DUMMYFUNCTION("""COMPUTED_VALUE"""),"Vigor High School")</f>
        <v>Vigor High School</v>
      </c>
      <c r="G1858" s="8">
        <f ca="1">IFERROR(__xludf.DUMMYFUNCTION("""COMPUTED_VALUE"""),0)</f>
        <v>0</v>
      </c>
      <c r="H1858" s="8">
        <f ca="1">IFERROR(__xludf.DUMMYFUNCTION("""COMPUTED_VALUE"""),1)</f>
        <v>1</v>
      </c>
      <c r="I1858" s="8">
        <f ca="1">IFERROR(__xludf.DUMMYFUNCTION("""COMPUTED_VALUE"""),1)</f>
        <v>1</v>
      </c>
      <c r="J1858" s="8">
        <f ca="1">IFERROR(__xludf.DUMMYFUNCTION("""COMPUTED_VALUE"""),0)</f>
        <v>0</v>
      </c>
      <c r="K1858" s="10" t="str">
        <f ca="1">IFERROR(__xludf.DUMMYFUNCTION("""COMPUTED_VALUE"""),"https://www.al.com/news/mobile/index.ssf/2016/10/teen_injured_in_high_school_sh.html")</f>
        <v>https://www.al.com/news/mobile/index.ssf/2016/10/teen_injured_in_high_school_sh.html</v>
      </c>
      <c r="L1858" s="8">
        <f ca="1">IFERROR(__xludf.DUMMYFUNCTION("""COMPUTED_VALUE"""),1)</f>
        <v>1</v>
      </c>
      <c r="M1858" s="8" t="str">
        <f ca="1">IFERROR(__xludf.DUMMYFUNCTION("""COMPUTED_VALUE"""),"Local")</f>
        <v>Local</v>
      </c>
      <c r="N1858" s="8">
        <f ca="1">IFERROR(__xludf.DUMMYFUNCTION("""COMPUTED_VALUE"""),2)</f>
        <v>2</v>
      </c>
      <c r="O1858" s="8" t="str">
        <f ca="1">IFERROR(__xludf.DUMMYFUNCTION("""COMPUTED_VALUE"""),"Fall")</f>
        <v>Fall</v>
      </c>
      <c r="P1858" s="8" t="str">
        <f ca="1">IFERROR(__xludf.DUMMYFUNCTION("""COMPUTED_VALUE"""),"Mobile")</f>
        <v>Mobile</v>
      </c>
      <c r="Q1858" s="8" t="str">
        <f ca="1">IFERROR(__xludf.DUMMYFUNCTION("""COMPUTED_VALUE"""),"AL")</f>
        <v>AL</v>
      </c>
      <c r="R1858" s="8" t="str">
        <f ca="1">IFERROR(__xludf.DUMMYFUNCTION("""COMPUTED_VALUE"""),"High")</f>
        <v>High</v>
      </c>
      <c r="S1858" s="8" t="str">
        <f ca="1">IFERROR(__xludf.DUMMYFUNCTION("""COMPUTED_VALUE"""),"Outside on School Property")</f>
        <v>Outside on School Property</v>
      </c>
      <c r="T1858" s="8" t="str">
        <f ca="1">IFERROR(__xludf.DUMMYFUNCTION("""COMPUTED_VALUE"""),"Outside on School Property")</f>
        <v>Outside on School Property</v>
      </c>
      <c r="U1858" s="8" t="str">
        <f ca="1">IFERROR(__xludf.DUMMYFUNCTION("""COMPUTED_VALUE"""),"No")</f>
        <v>No</v>
      </c>
      <c r="V1858" s="8" t="str">
        <f ca="1">IFERROR(__xludf.DUMMYFUNCTION("""COMPUTED_VALUE"""),"After School")</f>
        <v>After School</v>
      </c>
      <c r="W1858" s="11">
        <f ca="1">IFERROR(__xludf.DUMMYFUNCTION("""COMPUTED_VALUE"""),0.65625)</f>
        <v>0.65625</v>
      </c>
      <c r="X1858" s="8">
        <f ca="1">IFERROR(__xludf.DUMMYFUNCTION("""COMPUTED_VALUE"""),1)</f>
        <v>1</v>
      </c>
      <c r="Y1858" s="12" t="str">
        <f ca="1">IFERROR(__xludf.DUMMYFUNCTION("""COMPUTED_VALUE"""),"Escalated argument, allegedly about money")</f>
        <v>Escalated argument, allegedly about money</v>
      </c>
      <c r="Z1858" s="12" t="str">
        <f ca="1">IFERROR(__xludf.DUMMYFUNCTION("""COMPUTED_VALUE"""),"Shot another student in the abdomen during a confrontation after school. The shooter and victim knew each other. Allegedly argued about money. Shooter turned himself in but did not disclose details.")</f>
        <v>Shot another student in the abdomen during a confrontation after school. The shooter and victim knew each other. Allegedly argued about money. Shooter turned himself in but did not disclose details.</v>
      </c>
      <c r="AA1858" s="8" t="str">
        <f ca="1">IFERROR(__xludf.DUMMYFUNCTION("""COMPUTED_VALUE"""),"Escalation of Dispute")</f>
        <v>Escalation of Dispute</v>
      </c>
      <c r="AB1858" s="8"/>
      <c r="AC1858" s="8" t="str">
        <f ca="1">IFERROR(__xludf.DUMMYFUNCTION("""COMPUTED_VALUE"""),"Yes")</f>
        <v>Yes</v>
      </c>
      <c r="AD1858" s="8" t="str">
        <f ca="1">IFERROR(__xludf.DUMMYFUNCTION("""COMPUTED_VALUE"""),"Victims Targeted")</f>
        <v>Victims Targeted</v>
      </c>
      <c r="AE1858" s="8" t="str">
        <f ca="1">IFERROR(__xludf.DUMMYFUNCTION("""COMPUTED_VALUE"""),"No")</f>
        <v>No</v>
      </c>
      <c r="AF1858" s="8"/>
      <c r="AG1858" s="8" t="str">
        <f ca="1">IFERROR(__xludf.DUMMYFUNCTION("""COMPUTED_VALUE"""),"No")</f>
        <v>No</v>
      </c>
      <c r="AH1858" s="8" t="str">
        <f ca="1">IFERROR(__xludf.DUMMYFUNCTION("""COMPUTED_VALUE"""),"No")</f>
        <v>No</v>
      </c>
      <c r="AI1858" s="8" t="str">
        <f ca="1">IFERROR(__xludf.DUMMYFUNCTION("""COMPUTED_VALUE"""),"No")</f>
        <v>No</v>
      </c>
      <c r="AJ1858" s="8" t="str">
        <f ca="1">IFERROR(__xludf.DUMMYFUNCTION("""COMPUTED_VALUE"""),"No")</f>
        <v>No</v>
      </c>
      <c r="AK1858" s="8" t="str">
        <f ca="1">IFERROR(__xludf.DUMMYFUNCTION("""COMPUTED_VALUE"""),"No")</f>
        <v>No</v>
      </c>
      <c r="AL1858" s="8" t="str">
        <f ca="1">IFERROR(__xludf.DUMMYFUNCTION("""COMPUTED_VALUE"""),"No")</f>
        <v>No</v>
      </c>
      <c r="AM1858" s="8" t="str">
        <f ca="1">IFERROR(__xludf.DUMMYFUNCTION("""COMPUTED_VALUE"""),"No")</f>
        <v>No</v>
      </c>
      <c r="AN1858" s="8"/>
      <c r="AO1858" s="8" t="str">
        <f ca="1">IFERROR(__xludf.DUMMYFUNCTION("""COMPUTED_VALUE"""),"No")</f>
        <v>No</v>
      </c>
      <c r="AP1858" s="8" t="str">
        <f ca="1">IFERROR(__xludf.DUMMYFUNCTION("""COMPUTED_VALUE"""),"No")</f>
        <v>No</v>
      </c>
      <c r="AQ1858" s="8" t="str">
        <f ca="1">IFERROR(__xludf.DUMMYFUNCTION("""COMPUTED_VALUE"""),"Unknown")</f>
        <v>Unknown</v>
      </c>
      <c r="AR1858" s="8" t="str">
        <f ca="1">IFERROR(__xludf.DUMMYFUNCTION("""COMPUTED_VALUE"""),"NA")</f>
        <v>NA</v>
      </c>
      <c r="AS1858" s="8">
        <f ca="1">IFERROR(__xludf.DUMMYFUNCTION("""COMPUTED_VALUE"""),1)</f>
        <v>1</v>
      </c>
      <c r="AT1858" s="8"/>
      <c r="AU1858" s="8">
        <f ca="1">IFERROR(__xludf.DUMMYFUNCTION("""COMPUTED_VALUE"""),30.743164)</f>
        <v>30.743164</v>
      </c>
      <c r="AV1858" s="8">
        <f ca="1">IFERROR(__xludf.DUMMYFUNCTION("""COMPUTED_VALUE"""),-88.080635)</f>
        <v>-88.080635000000001</v>
      </c>
      <c r="AW1858" s="8"/>
      <c r="AX1858" s="8">
        <f ca="1">IFERROR(__xludf.DUMMYFUNCTION("""COMPUTED_VALUE"""),36610)</f>
        <v>36610</v>
      </c>
    </row>
    <row r="1859" spans="1:50" ht="75" x14ac:dyDescent="0.2">
      <c r="A1859" s="8" t="str">
        <f ca="1">IFERROR(__xludf.DUMMYFUNCTION("""COMPUTED_VALUE"""),"20161006TXDUF")</f>
        <v>20161006TXDUF</v>
      </c>
      <c r="B1859" s="8">
        <f ca="1">IFERROR(__xludf.DUMMYFUNCTION("""COMPUTED_VALUE"""),10)</f>
        <v>10</v>
      </c>
      <c r="C1859" s="8">
        <f ca="1">IFERROR(__xludf.DUMMYFUNCTION("""COMPUTED_VALUE"""),6)</f>
        <v>6</v>
      </c>
      <c r="D1859" s="8">
        <f ca="1">IFERROR(__xludf.DUMMYFUNCTION("""COMPUTED_VALUE"""),2016)</f>
        <v>2016</v>
      </c>
      <c r="E1859" s="9">
        <f ca="1">IFERROR(__xludf.DUMMYFUNCTION("""COMPUTED_VALUE"""),42649)</f>
        <v>42649</v>
      </c>
      <c r="F1859" s="8" t="str">
        <f ca="1">IFERROR(__xludf.DUMMYFUNCTION("""COMPUTED_VALUE"""),"Dunbar HIgh School")</f>
        <v>Dunbar HIgh School</v>
      </c>
      <c r="G1859" s="8">
        <f ca="1">IFERROR(__xludf.DUMMYFUNCTION("""COMPUTED_VALUE"""),0)</f>
        <v>0</v>
      </c>
      <c r="H1859" s="8">
        <f ca="1">IFERROR(__xludf.DUMMYFUNCTION("""COMPUTED_VALUE"""),1)</f>
        <v>1</v>
      </c>
      <c r="I1859" s="8">
        <f ca="1">IFERROR(__xludf.DUMMYFUNCTION("""COMPUTED_VALUE"""),1)</f>
        <v>1</v>
      </c>
      <c r="J1859" s="8">
        <f ca="1">IFERROR(__xludf.DUMMYFUNCTION("""COMPUTED_VALUE"""),0)</f>
        <v>0</v>
      </c>
      <c r="K1859" s="8" t="str">
        <f ca="1">IFERROR(__xludf.DUMMYFUNCTION("""COMPUTED_VALUE"""),"https://www.star-telegram.com/news/local/community/fort-worth/article106591812.html  http://www.fox4news.com/news/person-shot-at-fort-worth-high-school-football-game")</f>
        <v>https://www.star-telegram.com/news/local/community/fort-worth/article106591812.html  http://www.fox4news.com/news/person-shot-at-fort-worth-high-school-football-game</v>
      </c>
      <c r="L1859" s="8"/>
      <c r="M1859" s="8"/>
      <c r="N1859" s="8">
        <f ca="1">IFERROR(__xludf.DUMMYFUNCTION("""COMPUTED_VALUE"""),3)</f>
        <v>3</v>
      </c>
      <c r="O1859" s="8" t="str">
        <f ca="1">IFERROR(__xludf.DUMMYFUNCTION("""COMPUTED_VALUE"""),"Fall")</f>
        <v>Fall</v>
      </c>
      <c r="P1859" s="8" t="str">
        <f ca="1">IFERROR(__xludf.DUMMYFUNCTION("""COMPUTED_VALUE"""),"Fort Worth")</f>
        <v>Fort Worth</v>
      </c>
      <c r="Q1859" s="8" t="str">
        <f ca="1">IFERROR(__xludf.DUMMYFUNCTION("""COMPUTED_VALUE"""),"TX")</f>
        <v>TX</v>
      </c>
      <c r="R1859" s="8" t="str">
        <f ca="1">IFERROR(__xludf.DUMMYFUNCTION("""COMPUTED_VALUE"""),"High")</f>
        <v>High</v>
      </c>
      <c r="S1859" s="8" t="str">
        <f ca="1">IFERROR(__xludf.DUMMYFUNCTION("""COMPUTED_VALUE"""),"Football Field/Track")</f>
        <v>Football Field/Track</v>
      </c>
      <c r="T1859" s="8" t="str">
        <f ca="1">IFERROR(__xludf.DUMMYFUNCTION("""COMPUTED_VALUE"""),"Outside on School Property")</f>
        <v>Outside on School Property</v>
      </c>
      <c r="U1859" s="8" t="str">
        <f ca="1">IFERROR(__xludf.DUMMYFUNCTION("""COMPUTED_VALUE"""),"No")</f>
        <v>No</v>
      </c>
      <c r="V1859" s="8" t="str">
        <f ca="1">IFERROR(__xludf.DUMMYFUNCTION("""COMPUTED_VALUE"""),"Sport Event")</f>
        <v>Sport Event</v>
      </c>
      <c r="W1859" s="11">
        <f ca="1">IFERROR(__xludf.DUMMYFUNCTION("""COMPUTED_VALUE"""),0.8125)</f>
        <v>0.8125</v>
      </c>
      <c r="X1859" s="8">
        <f ca="1">IFERROR(__xludf.DUMMYFUNCTION("""COMPUTED_VALUE"""),3)</f>
        <v>3</v>
      </c>
      <c r="Y1859" s="12" t="str">
        <f ca="1">IFERROR(__xludf.DUMMYFUNCTION("""COMPUTED_VALUE"""),"Shooting by gang members at football game")</f>
        <v>Shooting by gang members at football game</v>
      </c>
      <c r="Z1859" s="12" t="str">
        <f ca="1">IFERROR(__xludf.DUMMYFUNCTION("""COMPUTED_VALUE"""),"During a JV football game a white car pulled into school parking lot and shot 10-15 rounds - 18 year old male was struck in hip - non life threatening injury - no news reports of further info or names associated - police believe it was gang related.")</f>
        <v>During a JV football game a white car pulled into school parking lot and shot 10-15 rounds - 18 year old male was struck in hip - non life threatening injury - no news reports of further info or names associated - police believe it was gang related.</v>
      </c>
      <c r="AA1859" s="8" t="str">
        <f ca="1">IFERROR(__xludf.DUMMYFUNCTION("""COMPUTED_VALUE"""),"Drive-by Shooting")</f>
        <v>Drive-by Shooting</v>
      </c>
      <c r="AB1859" s="8"/>
      <c r="AC1859" s="8" t="str">
        <f ca="1">IFERROR(__xludf.DUMMYFUNCTION("""COMPUTED_VALUE"""),"Yes")</f>
        <v>Yes</v>
      </c>
      <c r="AD1859" s="8"/>
      <c r="AE1859" s="8"/>
      <c r="AF1859" s="8"/>
      <c r="AG1859" s="8" t="str">
        <f ca="1">IFERROR(__xludf.DUMMYFUNCTION("""COMPUTED_VALUE"""),"No")</f>
        <v>No</v>
      </c>
      <c r="AH1859" s="8" t="str">
        <f ca="1">IFERROR(__xludf.DUMMYFUNCTION("""COMPUTED_VALUE"""),"No")</f>
        <v>No</v>
      </c>
      <c r="AI1859" s="8" t="str">
        <f ca="1">IFERROR(__xludf.DUMMYFUNCTION("""COMPUTED_VALUE"""),"No")</f>
        <v>No</v>
      </c>
      <c r="AJ1859" s="8"/>
      <c r="AK1859" s="8"/>
      <c r="AL1859" s="8" t="str">
        <f ca="1">IFERROR(__xludf.DUMMYFUNCTION("""COMPUTED_VALUE"""),"Yes")</f>
        <v>Yes</v>
      </c>
      <c r="AM1859" s="8" t="str">
        <f ca="1">IFERROR(__xludf.DUMMYFUNCTION("""COMPUTED_VALUE"""),"No")</f>
        <v>No</v>
      </c>
      <c r="AN1859" s="8"/>
      <c r="AO1859" s="8" t="str">
        <f ca="1">IFERROR(__xludf.DUMMYFUNCTION("""COMPUTED_VALUE"""),"No")</f>
        <v>No</v>
      </c>
      <c r="AP1859" s="8"/>
      <c r="AQ1859" s="8" t="str">
        <f ca="1">IFERROR(__xludf.DUMMYFUNCTION("""COMPUTED_VALUE"""),"Unknown")</f>
        <v>Unknown</v>
      </c>
      <c r="AR1859" s="8" t="str">
        <f ca="1">IFERROR(__xludf.DUMMYFUNCTION("""COMPUTED_VALUE"""),"NA")</f>
        <v>NA</v>
      </c>
      <c r="AS1859" s="8" t="str">
        <f ca="1">IFERROR(__xludf.DUMMYFUNCTION("""COMPUTED_VALUE"""),"&gt;10")</f>
        <v>&gt;10</v>
      </c>
      <c r="AT1859" s="8"/>
      <c r="AU1859" s="8">
        <f ca="1">IFERROR(__xludf.DUMMYFUNCTION("""COMPUTED_VALUE"""),32.719649)</f>
        <v>32.719648999999997</v>
      </c>
      <c r="AV1859" s="8">
        <f ca="1">IFERROR(__xludf.DUMMYFUNCTION("""COMPUTED_VALUE"""),-97.23103)</f>
        <v>-97.231030000000004</v>
      </c>
      <c r="AW1859" s="8"/>
      <c r="AX1859" s="8">
        <f ca="1">IFERROR(__xludf.DUMMYFUNCTION("""COMPUTED_VALUE"""),76112)</f>
        <v>76112</v>
      </c>
    </row>
    <row r="1860" spans="1:50" ht="15" x14ac:dyDescent="0.2">
      <c r="A1860" s="8" t="str">
        <f ca="1">IFERROR(__xludf.DUMMYFUNCTION("""COMPUTED_VALUE"""),"20160930ILCHC")</f>
        <v>20160930ILCHC</v>
      </c>
      <c r="B1860" s="8">
        <f ca="1">IFERROR(__xludf.DUMMYFUNCTION("""COMPUTED_VALUE"""),9)</f>
        <v>9</v>
      </c>
      <c r="C1860" s="8">
        <f ca="1">IFERROR(__xludf.DUMMYFUNCTION("""COMPUTED_VALUE"""),30)</f>
        <v>30</v>
      </c>
      <c r="D1860" s="8">
        <f ca="1">IFERROR(__xludf.DUMMYFUNCTION("""COMPUTED_VALUE"""),2016)</f>
        <v>2016</v>
      </c>
      <c r="E1860" s="9">
        <f ca="1">IFERROR(__xludf.DUMMYFUNCTION("""COMPUTED_VALUE"""),42643)</f>
        <v>42643</v>
      </c>
      <c r="F1860" s="8" t="str">
        <f ca="1">IFERROR(__xludf.DUMMYFUNCTION("""COMPUTED_VALUE"""),"Christ of King Jesuit College Prep (bus)")</f>
        <v>Christ of King Jesuit College Prep (bus)</v>
      </c>
      <c r="G1860" s="8">
        <f ca="1">IFERROR(__xludf.DUMMYFUNCTION("""COMPUTED_VALUE"""),0)</f>
        <v>0</v>
      </c>
      <c r="H1860" s="8">
        <f ca="1">IFERROR(__xludf.DUMMYFUNCTION("""COMPUTED_VALUE"""),1)</f>
        <v>1</v>
      </c>
      <c r="I1860" s="8">
        <f ca="1">IFERROR(__xludf.DUMMYFUNCTION("""COMPUTED_VALUE"""),1)</f>
        <v>1</v>
      </c>
      <c r="J1860" s="8">
        <f ca="1">IFERROR(__xludf.DUMMYFUNCTION("""COMPUTED_VALUE"""),0)</f>
        <v>0</v>
      </c>
      <c r="K1860" s="10" t="str">
        <f ca="1">IFERROR(__xludf.DUMMYFUNCTION("""COMPUTED_VALUE"""),"https://www.nbcchicago.com/news/local/chicago-school-bus-driver-shot-395469231.html")</f>
        <v>https://www.nbcchicago.com/news/local/chicago-school-bus-driver-shot-395469231.html</v>
      </c>
      <c r="L1860" s="8">
        <f ca="1">IFERROR(__xludf.DUMMYFUNCTION("""COMPUTED_VALUE"""),1)</f>
        <v>1</v>
      </c>
      <c r="M1860" s="8" t="str">
        <f ca="1">IFERROR(__xludf.DUMMYFUNCTION("""COMPUTED_VALUE"""),"Local")</f>
        <v>Local</v>
      </c>
      <c r="N1860" s="8">
        <f ca="1">IFERROR(__xludf.DUMMYFUNCTION("""COMPUTED_VALUE"""),2)</f>
        <v>2</v>
      </c>
      <c r="O1860" s="8" t="str">
        <f ca="1">IFERROR(__xludf.DUMMYFUNCTION("""COMPUTED_VALUE"""),"Fall")</f>
        <v>Fall</v>
      </c>
      <c r="P1860" s="8" t="str">
        <f ca="1">IFERROR(__xludf.DUMMYFUNCTION("""COMPUTED_VALUE"""),"Chicago")</f>
        <v>Chicago</v>
      </c>
      <c r="Q1860" s="8" t="str">
        <f ca="1">IFERROR(__xludf.DUMMYFUNCTION("""COMPUTED_VALUE"""),"IL")</f>
        <v>IL</v>
      </c>
      <c r="R1860" s="8" t="str">
        <f ca="1">IFERROR(__xludf.DUMMYFUNCTION("""COMPUTED_VALUE"""),"High")</f>
        <v>High</v>
      </c>
      <c r="S1860" s="8" t="str">
        <f ca="1">IFERROR(__xludf.DUMMYFUNCTION("""COMPUTED_VALUE"""),"School Bus")</f>
        <v>School Bus</v>
      </c>
      <c r="T1860" s="8" t="str">
        <f ca="1">IFERROR(__xludf.DUMMYFUNCTION("""COMPUTED_VALUE"""),"School Bus")</f>
        <v>School Bus</v>
      </c>
      <c r="U1860" s="8" t="str">
        <f ca="1">IFERROR(__xludf.DUMMYFUNCTION("""COMPUTED_VALUE"""),"Yes")</f>
        <v>Yes</v>
      </c>
      <c r="V1860" s="8" t="str">
        <f ca="1">IFERROR(__xludf.DUMMYFUNCTION("""COMPUTED_VALUE"""),"After School")</f>
        <v>After School</v>
      </c>
      <c r="W1860" s="11">
        <f ca="1">IFERROR(__xludf.DUMMYFUNCTION("""COMPUTED_VALUE"""),0.729166666666666)</f>
        <v>0.72916666666666596</v>
      </c>
      <c r="X1860" s="8">
        <f ca="1">IFERROR(__xludf.DUMMYFUNCTION("""COMPUTED_VALUE"""),1)</f>
        <v>1</v>
      </c>
      <c r="Y1860" s="12" t="str">
        <f ca="1">IFERROR(__xludf.DUMMYFUNCTION("""COMPUTED_VALUE"""),"Shots fired at bus")</f>
        <v>Shots fired at bus</v>
      </c>
      <c r="Z1860" s="12" t="str">
        <f ca="1">IFERROR(__xludf.DUMMYFUNCTION("""COMPUTED_VALUE"""),"Bus driver shot while driving bus full of students")</f>
        <v>Bus driver shot while driving bus full of students</v>
      </c>
      <c r="AA1860" s="8" t="str">
        <f ca="1">IFERROR(__xludf.DUMMYFUNCTION("""COMPUTED_VALUE"""),"Unknown")</f>
        <v>Unknown</v>
      </c>
      <c r="AB1860" s="8"/>
      <c r="AC1860" s="8" t="str">
        <f ca="1">IFERROR(__xludf.DUMMYFUNCTION("""COMPUTED_VALUE"""),"Yes")</f>
        <v>Yes</v>
      </c>
      <c r="AD1860" s="8"/>
      <c r="AE1860" s="8"/>
      <c r="AF1860" s="8"/>
      <c r="AG1860" s="8" t="str">
        <f ca="1">IFERROR(__xludf.DUMMYFUNCTION("""COMPUTED_VALUE"""),"No")</f>
        <v>No</v>
      </c>
      <c r="AH1860" s="8" t="str">
        <f ca="1">IFERROR(__xludf.DUMMYFUNCTION("""COMPUTED_VALUE"""),"No")</f>
        <v>No</v>
      </c>
      <c r="AI1860" s="8" t="str">
        <f ca="1">IFERROR(__xludf.DUMMYFUNCTION("""COMPUTED_VALUE"""),"No")</f>
        <v>No</v>
      </c>
      <c r="AJ1860" s="8"/>
      <c r="AK1860" s="8" t="str">
        <f ca="1">IFERROR(__xludf.DUMMYFUNCTION("""COMPUTED_VALUE"""),"No")</f>
        <v>No</v>
      </c>
      <c r="AL1860" s="8"/>
      <c r="AM1860" s="8" t="str">
        <f ca="1">IFERROR(__xludf.DUMMYFUNCTION("""COMPUTED_VALUE"""),"No")</f>
        <v>No</v>
      </c>
      <c r="AN1860" s="8"/>
      <c r="AO1860" s="8" t="str">
        <f ca="1">IFERROR(__xludf.DUMMYFUNCTION("""COMPUTED_VALUE"""),"No")</f>
        <v>No</v>
      </c>
      <c r="AP1860" s="8"/>
      <c r="AQ1860" s="8" t="str">
        <f ca="1">IFERROR(__xludf.DUMMYFUNCTION("""COMPUTED_VALUE"""),"Unknown")</f>
        <v>Unknown</v>
      </c>
      <c r="AR1860" s="8" t="str">
        <f ca="1">IFERROR(__xludf.DUMMYFUNCTION("""COMPUTED_VALUE"""),"NA")</f>
        <v>NA</v>
      </c>
      <c r="AS1860" s="8">
        <f ca="1">IFERROR(__xludf.DUMMYFUNCTION("""COMPUTED_VALUE"""),1)</f>
        <v>1</v>
      </c>
      <c r="AT1860" s="8"/>
      <c r="AU1860" s="8">
        <f ca="1">IFERROR(__xludf.DUMMYFUNCTION("""COMPUTED_VALUE"""),41.876856)</f>
        <v>41.876855999999997</v>
      </c>
      <c r="AV1860" s="8">
        <f ca="1">IFERROR(__xludf.DUMMYFUNCTION("""COMPUTED_VALUE"""),-87.753026)</f>
        <v>-87.753026000000006</v>
      </c>
      <c r="AW1860" s="8"/>
      <c r="AX1860" s="8">
        <f ca="1">IFERROR(__xludf.DUMMYFUNCTION("""COMPUTED_VALUE"""),60644)</f>
        <v>60644</v>
      </c>
    </row>
    <row r="1861" spans="1:50" ht="120" x14ac:dyDescent="0.2">
      <c r="A1861" s="8" t="str">
        <f ca="1">IFERROR(__xludf.DUMMYFUNCTION("""COMPUTED_VALUE"""),"20160928TNSYP")</f>
        <v>20160928TNSYP</v>
      </c>
      <c r="B1861" s="8">
        <f ca="1">IFERROR(__xludf.DUMMYFUNCTION("""COMPUTED_VALUE"""),9)</f>
        <v>9</v>
      </c>
      <c r="C1861" s="8">
        <f ca="1">IFERROR(__xludf.DUMMYFUNCTION("""COMPUTED_VALUE"""),28)</f>
        <v>28</v>
      </c>
      <c r="D1861" s="8">
        <f ca="1">IFERROR(__xludf.DUMMYFUNCTION("""COMPUTED_VALUE"""),2016)</f>
        <v>2016</v>
      </c>
      <c r="E1861" s="9">
        <f ca="1">IFERROR(__xludf.DUMMYFUNCTION("""COMPUTED_VALUE"""),42641)</f>
        <v>42641</v>
      </c>
      <c r="F1861" s="8" t="str">
        <f ca="1">IFERROR(__xludf.DUMMYFUNCTION("""COMPUTED_VALUE"""),"Sycamore Middle School")</f>
        <v>Sycamore Middle School</v>
      </c>
      <c r="G1861" s="8">
        <f ca="1">IFERROR(__xludf.DUMMYFUNCTION("""COMPUTED_VALUE"""),0)</f>
        <v>0</v>
      </c>
      <c r="H1861" s="8">
        <f ca="1">IFERROR(__xludf.DUMMYFUNCTION("""COMPUTED_VALUE"""),0)</f>
        <v>0</v>
      </c>
      <c r="I1861" s="8">
        <f ca="1">IFERROR(__xludf.DUMMYFUNCTION("""COMPUTED_VALUE"""),0)</f>
        <v>0</v>
      </c>
      <c r="J1861" s="8">
        <f ca="1">IFERROR(__xludf.DUMMYFUNCTION("""COMPUTED_VALUE"""),0)</f>
        <v>0</v>
      </c>
      <c r="K1861" s="8" t="str">
        <f ca="1">IFERROR(__xludf.DUMMYFUNCTION("""COMPUTED_VALUE"""),"https://www.scadvocate.com/2016/10/11/armed-student-at-sycamore-middle-school-cheatham-county-september-28-2016/ https://www.wkrn.com/news/saving-sycamore-the-school-shooting-that-never-happened-four-years-later/ https://www.washingtonpost.com/news/mornin"&amp;"g-mix/wp/2016/09/30/a-teen-brought-a-gun-to-his-middle-school-this-counselor-talked-him-out-of-killing-teachers-and-a-cop/")</f>
        <v>https://www.scadvocate.com/2016/10/11/armed-student-at-sycamore-middle-school-cheatham-county-september-28-2016/ https://www.wkrn.com/news/saving-sycamore-the-school-shooting-that-never-happened-four-years-later/ https://www.washingtonpost.com/news/morning-mix/wp/2016/09/30/a-teen-brought-a-gun-to-his-middle-school-this-counselor-talked-him-out-of-killing-teachers-and-a-cop/</v>
      </c>
      <c r="L1861" s="8"/>
      <c r="M1861" s="8" t="str">
        <f ca="1">IFERROR(__xludf.DUMMYFUNCTION("""COMPUTED_VALUE"""),"National")</f>
        <v>National</v>
      </c>
      <c r="N1861" s="8">
        <f ca="1">IFERROR(__xludf.DUMMYFUNCTION("""COMPUTED_VALUE"""),5)</f>
        <v>5</v>
      </c>
      <c r="O1861" s="8" t="str">
        <f ca="1">IFERROR(__xludf.DUMMYFUNCTION("""COMPUTED_VALUE"""),"Fall")</f>
        <v>Fall</v>
      </c>
      <c r="P1861" s="8" t="str">
        <f ca="1">IFERROR(__xludf.DUMMYFUNCTION("""COMPUTED_VALUE"""),"Pleasant View")</f>
        <v>Pleasant View</v>
      </c>
      <c r="Q1861" s="8" t="str">
        <f ca="1">IFERROR(__xludf.DUMMYFUNCTION("""COMPUTED_VALUE"""),"TN")</f>
        <v>TN</v>
      </c>
      <c r="R1861" s="8" t="str">
        <f ca="1">IFERROR(__xludf.DUMMYFUNCTION("""COMPUTED_VALUE"""),"Middle")</f>
        <v>Middle</v>
      </c>
      <c r="S1861" s="8" t="str">
        <f ca="1">IFERROR(__xludf.DUMMYFUNCTION("""COMPUTED_VALUE"""),"Office")</f>
        <v>Office</v>
      </c>
      <c r="T1861" s="8" t="str">
        <f ca="1">IFERROR(__xludf.DUMMYFUNCTION("""COMPUTED_VALUE"""),"Inside School Building")</f>
        <v>Inside School Building</v>
      </c>
      <c r="U1861" s="8" t="str">
        <f ca="1">IFERROR(__xludf.DUMMYFUNCTION("""COMPUTED_VALUE"""),"Yes")</f>
        <v>Yes</v>
      </c>
      <c r="V1861" s="8" t="str">
        <f ca="1">IFERROR(__xludf.DUMMYFUNCTION("""COMPUTED_VALUE"""),"Morning Classes")</f>
        <v>Morning Classes</v>
      </c>
      <c r="W1861" s="11">
        <f ca="1">IFERROR(__xludf.DUMMYFUNCTION("""COMPUTED_VALUE"""),0.416666666666666)</f>
        <v>0.41666666666666602</v>
      </c>
      <c r="X1861" s="8">
        <f ca="1">IFERROR(__xludf.DUMMYFUNCTION("""COMPUTED_VALUE"""),90)</f>
        <v>90</v>
      </c>
      <c r="Y1861" s="12" t="str">
        <f ca="1">IFERROR(__xludf.DUMMYFUNCTION("""COMPUTED_VALUE"""),"Student told school counselor he planned to kill students and teachers, showed her gun, she talked him down")</f>
        <v>Student told school counselor he planned to kill students and teachers, showed her gun, she talked him down</v>
      </c>
      <c r="Z1861" s="12" t="str">
        <f ca="1">IFERROR(__xludf.DUMMYFUNCTION("""COMPUTED_VALUE"""),"A 14 year-old 8th grade student came to the school counselor's office after 1st period classes. He told her that he planned to kill other students and teachers then showed her a handgun. The counselor talked to the student for 90 minutes until he surrende"&amp;"red the handgun to her. She attempted to text school security but did not have cellphone service in her office. No shots were fired. Due to the student's age, his name was never released.")</f>
        <v>A 14 year-old 8th grade student came to the school counselor's office after 1st period classes. He told her that he planned to kill other students and teachers then showed her a handgun. The counselor talked to the student for 90 minutes until he surrendered the handgun to her. She attempted to text school security but did not have cellphone service in her office. No shots were fired. Due to the student's age, his name was never released.</v>
      </c>
      <c r="AA1861" s="8" t="str">
        <f ca="1">IFERROR(__xludf.DUMMYFUNCTION("""COMPUTED_VALUE"""),"Hostage/Standoff")</f>
        <v>Hostage/Standoff</v>
      </c>
      <c r="AB1861" s="8"/>
      <c r="AC1861" s="8" t="str">
        <f ca="1">IFERROR(__xludf.DUMMYFUNCTION("""COMPUTED_VALUE"""),"Yes")</f>
        <v>Yes</v>
      </c>
      <c r="AD1861" s="8" t="str">
        <f ca="1">IFERROR(__xludf.DUMMYFUNCTION("""COMPUTED_VALUE"""),"Victims Targeted")</f>
        <v>Victims Targeted</v>
      </c>
      <c r="AE1861" s="8" t="str">
        <f ca="1">IFERROR(__xludf.DUMMYFUNCTION("""COMPUTED_VALUE"""),"No")</f>
        <v>No</v>
      </c>
      <c r="AF1861" s="8"/>
      <c r="AG1861" s="8" t="str">
        <f ca="1">IFERROR(__xludf.DUMMYFUNCTION("""COMPUTED_VALUE"""),"Yes")</f>
        <v>Yes</v>
      </c>
      <c r="AH1861" s="8" t="str">
        <f ca="1">IFERROR(__xludf.DUMMYFUNCTION("""COMPUTED_VALUE"""),"Yes")</f>
        <v>Yes</v>
      </c>
      <c r="AI1861" s="8" t="str">
        <f ca="1">IFERROR(__xludf.DUMMYFUNCTION("""COMPUTED_VALUE"""),"No")</f>
        <v>No</v>
      </c>
      <c r="AJ1861" s="8"/>
      <c r="AK1861" s="8" t="str">
        <f ca="1">IFERROR(__xludf.DUMMYFUNCTION("""COMPUTED_VALUE"""),"No")</f>
        <v>No</v>
      </c>
      <c r="AL1861" s="8" t="str">
        <f ca="1">IFERROR(__xludf.DUMMYFUNCTION("""COMPUTED_VALUE"""),"No")</f>
        <v>No</v>
      </c>
      <c r="AM1861" s="8" t="str">
        <f ca="1">IFERROR(__xludf.DUMMYFUNCTION("""COMPUTED_VALUE"""),"No")</f>
        <v>No</v>
      </c>
      <c r="AN1861" s="8"/>
      <c r="AO1861" s="8" t="str">
        <f ca="1">IFERROR(__xludf.DUMMYFUNCTION("""COMPUTED_VALUE"""),"Yes")</f>
        <v>Yes</v>
      </c>
      <c r="AP1861" s="8" t="str">
        <f ca="1">IFERROR(__xludf.DUMMYFUNCTION("""COMPUTED_VALUE"""),"Yes")</f>
        <v>Yes</v>
      </c>
      <c r="AQ1861" s="8" t="str">
        <f ca="1">IFERROR(__xludf.DUMMYFUNCTION("""COMPUTED_VALUE"""),"Guards")</f>
        <v>Guards</v>
      </c>
      <c r="AR1861" s="8" t="str">
        <f ca="1">IFERROR(__xludf.DUMMYFUNCTION("""COMPUTED_VALUE"""),"Bypassed")</f>
        <v>Bypassed</v>
      </c>
      <c r="AS1861" s="8">
        <f ca="1">IFERROR(__xludf.DUMMYFUNCTION("""COMPUTED_VALUE"""),0)</f>
        <v>0</v>
      </c>
      <c r="AT1861" s="8" t="str">
        <f ca="1">IFERROR(__xludf.DUMMYFUNCTION("""COMPUTED_VALUE"""),"Yes")</f>
        <v>Yes</v>
      </c>
      <c r="AU1861" s="8">
        <f ca="1">IFERROR(__xludf.DUMMYFUNCTION("""COMPUTED_VALUE"""),36.368001)</f>
        <v>36.368001</v>
      </c>
      <c r="AV1861" s="8">
        <f ca="1">IFERROR(__xludf.DUMMYFUNCTION("""COMPUTED_VALUE"""),-87.048678)</f>
        <v>-87.048677999999995</v>
      </c>
      <c r="AW1861" s="8"/>
      <c r="AX1861" s="8">
        <f ca="1">IFERROR(__xludf.DUMMYFUNCTION("""COMPUTED_VALUE"""),37080)</f>
        <v>37080</v>
      </c>
    </row>
    <row r="1862" spans="1:50" ht="409.5" x14ac:dyDescent="0.2">
      <c r="A1862" s="8" t="str">
        <f ca="1">IFERROR(__xludf.DUMMYFUNCTION("""COMPUTED_VALUE"""),"20160928SCTOT")</f>
        <v>20160928SCTOT</v>
      </c>
      <c r="B1862" s="8">
        <f ca="1">IFERROR(__xludf.DUMMYFUNCTION("""COMPUTED_VALUE"""),9)</f>
        <v>9</v>
      </c>
      <c r="C1862" s="8">
        <f ca="1">IFERROR(__xludf.DUMMYFUNCTION("""COMPUTED_VALUE"""),28)</f>
        <v>28</v>
      </c>
      <c r="D1862" s="8">
        <f ca="1">IFERROR(__xludf.DUMMYFUNCTION("""COMPUTED_VALUE"""),2016)</f>
        <v>2016</v>
      </c>
      <c r="E1862" s="9">
        <f ca="1">IFERROR(__xludf.DUMMYFUNCTION("""COMPUTED_VALUE"""),42641)</f>
        <v>42641</v>
      </c>
      <c r="F1862" s="8" t="str">
        <f ca="1">IFERROR(__xludf.DUMMYFUNCTION("""COMPUTED_VALUE"""),"Townville Elementary School")</f>
        <v>Townville Elementary School</v>
      </c>
      <c r="G1862" s="8">
        <f ca="1">IFERROR(__xludf.DUMMYFUNCTION("""COMPUTED_VALUE"""),1)</f>
        <v>1</v>
      </c>
      <c r="H1862" s="8">
        <f ca="1">IFERROR(__xludf.DUMMYFUNCTION("""COMPUTED_VALUE"""),3)</f>
        <v>3</v>
      </c>
      <c r="I1862" s="8">
        <f ca="1">IFERROR(__xludf.DUMMYFUNCTION("""COMPUTED_VALUE"""),4)</f>
        <v>4</v>
      </c>
      <c r="J1862" s="8">
        <f ca="1">IFERROR(__xludf.DUMMYFUNCTION("""COMPUTED_VALUE"""),0)</f>
        <v>0</v>
      </c>
      <c r="K1862" s="8" t="str">
        <f ca="1">IFERROR(__xludf.DUMMYFUNCTION("""COMPUTED_VALUE"""),"https://www.wyff4.com/article/day-3-of-townville-school-shooter-jesse-osbornes-sentencing-trial-gets-underway-at-9-am/29796172 https://www.usatoday.com/story/news/nation-now/2018/02/19/accused-south-carolina-school-shooter/351199002/ https://www.fbi.gov/f"&amp;"ile-repository/active-shooter-incidents-2000-2017.pdf https://abcnews.go.com/US/wireStory/teen-charged-carolina-school-shooting-pleads-guilty-57650643 https://www.newsobserver.com/news/state/south-carolina/article222984205.html https://www.usatoday.com/st"&amp;"ory/news/nation/2019/11/12/townville-school-shooter-jesse-osborne-sentence-anderson-county-sc/2576845001/ https://www.greenvilleonline.com/story/news/local/south-carolina/2019/11/12/townville-school-shooting-jesse-osborne-court-sentencing-hearing-anderson"&amp;"-county-sc/2522008001/")</f>
        <v>https://www.wyff4.com/article/day-3-of-townville-school-shooter-jesse-osbornes-sentencing-trial-gets-underway-at-9-am/29796172 https://www.usatoday.com/story/news/nation-now/2018/02/19/accused-south-carolina-school-shooter/351199002/ https://www.fbi.gov/file-repository/active-shooter-incidents-2000-2017.pdf https://abcnews.go.com/US/wireStory/teen-charged-carolina-school-shooting-pleads-guilty-57650643 https://www.newsobserver.com/news/state/south-carolina/article222984205.html https://www.usatoday.com/story/news/nation/2019/11/12/townville-school-shooter-jesse-osborne-sentence-anderson-county-sc/2576845001/ https://www.greenvilleonline.com/story/news/local/south-carolina/2019/11/12/townville-school-shooting-jesse-osborne-court-sentencing-hearing-anderson-county-sc/2522008001/</v>
      </c>
      <c r="L1862" s="8">
        <f ca="1">IFERROR(__xludf.DUMMYFUNCTION("""COMPUTED_VALUE"""),100)</f>
        <v>100</v>
      </c>
      <c r="M1862" s="8" t="str">
        <f ca="1">IFERROR(__xludf.DUMMYFUNCTION("""COMPUTED_VALUE"""),"National")</f>
        <v>National</v>
      </c>
      <c r="N1862" s="8">
        <f ca="1">IFERROR(__xludf.DUMMYFUNCTION("""COMPUTED_VALUE"""),5)</f>
        <v>5</v>
      </c>
      <c r="O1862" s="8" t="str">
        <f ca="1">IFERROR(__xludf.DUMMYFUNCTION("""COMPUTED_VALUE"""),"Fall")</f>
        <v>Fall</v>
      </c>
      <c r="P1862" s="8" t="str">
        <f ca="1">IFERROR(__xludf.DUMMYFUNCTION("""COMPUTED_VALUE"""),"Townville")</f>
        <v>Townville</v>
      </c>
      <c r="Q1862" s="8" t="str">
        <f ca="1">IFERROR(__xludf.DUMMYFUNCTION("""COMPUTED_VALUE"""),"SC")</f>
        <v>SC</v>
      </c>
      <c r="R1862" s="8" t="str">
        <f ca="1">IFERROR(__xludf.DUMMYFUNCTION("""COMPUTED_VALUE"""),"Elementary")</f>
        <v>Elementary</v>
      </c>
      <c r="S1862" s="8" t="str">
        <f ca="1">IFERROR(__xludf.DUMMYFUNCTION("""COMPUTED_VALUE"""),"Playground")</f>
        <v>Playground</v>
      </c>
      <c r="T1862" s="8" t="str">
        <f ca="1">IFERROR(__xludf.DUMMYFUNCTION("""COMPUTED_VALUE"""),"Outside on School Property")</f>
        <v>Outside on School Property</v>
      </c>
      <c r="U1862" s="8" t="str">
        <f ca="1">IFERROR(__xludf.DUMMYFUNCTION("""COMPUTED_VALUE"""),"Yes")</f>
        <v>Yes</v>
      </c>
      <c r="V1862" s="8" t="str">
        <f ca="1">IFERROR(__xludf.DUMMYFUNCTION("""COMPUTED_VALUE"""),"Afternoon Classes")</f>
        <v>Afternoon Classes</v>
      </c>
      <c r="W1862" s="11">
        <f ca="1">IFERROR(__xludf.DUMMYFUNCTION("""COMPUTED_VALUE"""),0.572916666666666)</f>
        <v>0.57291666666666596</v>
      </c>
      <c r="X1862" s="8"/>
      <c r="Y1862" s="12" t="str">
        <f ca="1">IFERROR(__xludf.DUMMYFUNCTION("""COMPUTED_VALUE"""),"Planned attack, wanted to be the youngest mass shooter and to outdo previous shootings")</f>
        <v>Planned attack, wanted to be the youngest mass shooter and to outdo previous shootings</v>
      </c>
      <c r="Z1862" s="12" t="str">
        <f ca="1">IFERROR(__xludf.DUMMYFUNCTION("""COMPUTED_VALUE"""),"Killed father and then fired at elementary school playground where he went to school as a child; previously charged and expelled for bringing machete to school to kill bullies, homeschooling after; made social media threats prior to shooting; studied othe"&amp;"r school shootings; planned to kill more but gun jammed - tackled by an off duty firefighter, did not struggle. Records and testimony in the waiver hearing showed that Jesse Osborne had plotted the school shooting for months and had refined his plan in th"&amp;"e days prior. Instagram messages from an account attributed to Jesse Osborne show he had studied law-enforcement response times and that he told those he was messaging he would drive to a school ""four minutes away"" from his home. Shooter wanted another "&amp;"gun locked in his father's gun safe: the Ruger Mini-14, a semiautomatic rifle, but he could not get the combination. Shooter called his grandfather to tell him he had killed his (shooter's) father, sounded like he was crying and upset, grandfather found c"&amp;"orpse. Reported parents abused alcohol and shooter was bullied at school.
 Trail (11/12/2019): FBI Presented digital evidence that shooter planned to kill more than 50 students. Attempted suicide by jumping off of bridge 2 weeks prior to attack. Extensi"&amp;"ve online searches and postings about desire to be a school shooter. Fascination with Sandy Hook, Columbine, and Pulse Nightclub. Social media posting prior to shooting. Live on Skype during attack. Abused by father. Expelled from prior school for bringin"&amp;"g a knife to attack a bully. No friends his age, communicated only with people online. Psych evaluation found depression, suicidal thoughts, anger/rage, and early signs of personality disorder (cannot be diagnosed less than 18 years old).  
 FBI Study: "&amp;"On September 28, 2016, at 1:45 p.m., Jesse Dewitt Osborne, 14, armed with a handgun, allegedly began shooting at the Townville Elementary School playground in Townville, South Carolina. Prior to the shooting, the shooter, a former student, killed his fath"&amp;"er at their home. Two people were killed, including one student; three were wounded, one teacher and two students. A volunteer firefighter, who possessed a valid firearms permit, restrained the shooter until law enforcement officers arrived and apprehende"&amp;"d him.")</f>
        <v>Killed father and then fired at elementary school playground where he went to school as a child; previously charged and expelled for bringing machete to school to kill bullies, homeschooling after; made social media threats prior to shooting; studied other school shootings; planned to kill more but gun jammed - tackled by an off duty firefighter, did not struggle. Records and testimony in the waiver hearing showed that Jesse Osborne had plotted the school shooting for months and had refined his plan in the days prior. Instagram messages from an account attributed to Jesse Osborne show he had studied law-enforcement response times and that he told those he was messaging he would drive to a school "four minutes away" from his home. Shooter wanted another gun locked in his father's gun safe: the Ruger Mini-14, a semiautomatic rifle, but he could not get the combination. Shooter called his grandfather to tell him he had killed his (shooter's) father, sounded like he was crying and upset, grandfather found corpse. Reported parents abused alcohol and shooter was bullied at school.
 Trail (11/12/2019): FBI Presented digital evidence that shooter planned to kill more than 50 students. Attempted suicide by jumping off of bridge 2 weeks prior to attack. Extensive online searches and postings about desire to be a school shooter. Fascination with Sandy Hook, Columbine, and Pulse Nightclub. Social media posting prior to shooting. Live on Skype during attack. Abused by father. Expelled from prior school for bringing a knife to attack a bully. No friends his age, communicated only with people online. Psych evaluation found depression, suicidal thoughts, anger/rage, and early signs of personality disorder (cannot be diagnosed less than 18 years old).  
 FBI Study: On September 28, 2016, at 1:45 p.m., Jesse Dewitt Osborne, 14, armed with a handgun, allegedly began shooting at the Townville Elementary School playground in Townville, South Carolina. Prior to the shooting, the shooter, a former student, killed his father at their home. Two people were killed, including one student; three were wounded, one teacher and two students. A volunteer firefighter, who possessed a valid firearms permit, restrained the shooter until law enforcement officers arrived and apprehended him.</v>
      </c>
      <c r="AA1862" s="8" t="str">
        <f ca="1">IFERROR(__xludf.DUMMYFUNCTION("""COMPUTED_VALUE"""),"Indiscriminate Shooting")</f>
        <v>Indiscriminate Shooting</v>
      </c>
      <c r="AB1862" s="8"/>
      <c r="AC1862" s="8" t="str">
        <f ca="1">IFERROR(__xludf.DUMMYFUNCTION("""COMPUTED_VALUE"""),"Yes")</f>
        <v>Yes</v>
      </c>
      <c r="AD1862" s="8" t="str">
        <f ca="1">IFERROR(__xludf.DUMMYFUNCTION("""COMPUTED_VALUE"""),"Random Shooting")</f>
        <v>Random Shooting</v>
      </c>
      <c r="AE1862" s="8" t="str">
        <f ca="1">IFERROR(__xludf.DUMMYFUNCTION("""COMPUTED_VALUE"""),"No")</f>
        <v>No</v>
      </c>
      <c r="AF1862" s="8"/>
      <c r="AG1862" s="8" t="str">
        <f ca="1">IFERROR(__xludf.DUMMYFUNCTION("""COMPUTED_VALUE"""),"No")</f>
        <v>No</v>
      </c>
      <c r="AH1862" s="8" t="str">
        <f ca="1">IFERROR(__xludf.DUMMYFUNCTION("""COMPUTED_VALUE"""),"No")</f>
        <v>No</v>
      </c>
      <c r="AI1862" s="8" t="str">
        <f ca="1">IFERROR(__xludf.DUMMYFUNCTION("""COMPUTED_VALUE"""),"No")</f>
        <v>No</v>
      </c>
      <c r="AJ1862" s="8" t="str">
        <f ca="1">IFERROR(__xludf.DUMMYFUNCTION("""COMPUTED_VALUE"""),"Yes")</f>
        <v>Yes</v>
      </c>
      <c r="AK1862" s="8" t="str">
        <f ca="1">IFERROR(__xludf.DUMMYFUNCTION("""COMPUTED_VALUE"""),"No")</f>
        <v>No</v>
      </c>
      <c r="AL1862" s="8" t="str">
        <f ca="1">IFERROR(__xludf.DUMMYFUNCTION("""COMPUTED_VALUE"""),"No")</f>
        <v>No</v>
      </c>
      <c r="AM1862" s="8" t="str">
        <f ca="1">IFERROR(__xludf.DUMMYFUNCTION("""COMPUTED_VALUE"""),"Yes")</f>
        <v>Yes</v>
      </c>
      <c r="AN1862" s="8" t="str">
        <f ca="1">IFERROR(__xludf.DUMMYFUNCTION("""COMPUTED_VALUE"""),"Outside")</f>
        <v>Outside</v>
      </c>
      <c r="AO1862" s="8" t="str">
        <f ca="1">IFERROR(__xludf.DUMMYFUNCTION("""COMPUTED_VALUE"""),"Yes")</f>
        <v>Yes</v>
      </c>
      <c r="AP1862" s="8" t="str">
        <f ca="1">IFERROR(__xludf.DUMMYFUNCTION("""COMPUTED_VALUE"""),"No")</f>
        <v>No</v>
      </c>
      <c r="AQ1862" s="8" t="str">
        <f ca="1">IFERROR(__xludf.DUMMYFUNCTION("""COMPUTED_VALUE"""),"None")</f>
        <v>None</v>
      </c>
      <c r="AR1862" s="8" t="str">
        <f ca="1">IFERROR(__xludf.DUMMYFUNCTION("""COMPUTED_VALUE"""),"NA")</f>
        <v>NA</v>
      </c>
      <c r="AS1862" s="8"/>
      <c r="AT1862" s="8" t="str">
        <f ca="1">IFERROR(__xludf.DUMMYFUNCTION("""COMPUTED_VALUE"""),"Yes")</f>
        <v>Yes</v>
      </c>
      <c r="AU1862" s="8">
        <f ca="1">IFERROR(__xludf.DUMMYFUNCTION("""COMPUTED_VALUE"""),34.563835)</f>
        <v>34.563834999999997</v>
      </c>
      <c r="AV1862" s="8">
        <f ca="1">IFERROR(__xludf.DUMMYFUNCTION("""COMPUTED_VALUE"""),-82.90287)</f>
        <v>-82.902869999999993</v>
      </c>
      <c r="AW1862" s="8"/>
      <c r="AX1862" s="8">
        <f ca="1">IFERROR(__xludf.DUMMYFUNCTION("""COMPUTED_VALUE"""),29689)</f>
        <v>29689</v>
      </c>
    </row>
    <row r="1863" spans="1:50" ht="75" x14ac:dyDescent="0.2">
      <c r="A1863" s="8" t="str">
        <f ca="1">IFERROR(__xludf.DUMMYFUNCTION("""COMPUTED_VALUE"""),"20160927OHELC")</f>
        <v>20160927OHELC</v>
      </c>
      <c r="B1863" s="8">
        <f ca="1">IFERROR(__xludf.DUMMYFUNCTION("""COMPUTED_VALUE"""),9)</f>
        <v>9</v>
      </c>
      <c r="C1863" s="8">
        <f ca="1">IFERROR(__xludf.DUMMYFUNCTION("""COMPUTED_VALUE"""),27)</f>
        <v>27</v>
      </c>
      <c r="D1863" s="8">
        <f ca="1">IFERROR(__xludf.DUMMYFUNCTION("""COMPUTED_VALUE"""),2016)</f>
        <v>2016</v>
      </c>
      <c r="E1863" s="9">
        <f ca="1">IFERROR(__xludf.DUMMYFUNCTION("""COMPUTED_VALUE"""),42640)</f>
        <v>42640</v>
      </c>
      <c r="F1863" s="8" t="str">
        <f ca="1">IFERROR(__xludf.DUMMYFUNCTION("""COMPUTED_VALUE"""),"Elder High School")</f>
        <v>Elder High School</v>
      </c>
      <c r="G1863" s="8">
        <f ca="1">IFERROR(__xludf.DUMMYFUNCTION("""COMPUTED_VALUE"""),0)</f>
        <v>0</v>
      </c>
      <c r="H1863" s="8">
        <f ca="1">IFERROR(__xludf.DUMMYFUNCTION("""COMPUTED_VALUE"""),3)</f>
        <v>3</v>
      </c>
      <c r="I1863" s="8">
        <f ca="1">IFERROR(__xludf.DUMMYFUNCTION("""COMPUTED_VALUE"""),3)</f>
        <v>3</v>
      </c>
      <c r="J1863" s="8">
        <f ca="1">IFERROR(__xludf.DUMMYFUNCTION("""COMPUTED_VALUE"""),0)</f>
        <v>0</v>
      </c>
      <c r="K1863" s="10" t="str">
        <f ca="1">IFERROR(__xludf.DUMMYFUNCTION("""COMPUTED_VALUE"""),"https://www.wcpo.com/news/local-news/hamilton-county/cincinnati/three-people-shot-after-elder-high-soccer-game")</f>
        <v>https://www.wcpo.com/news/local-news/hamilton-county/cincinnati/three-people-shot-after-elder-high-soccer-game</v>
      </c>
      <c r="L1863" s="8"/>
      <c r="M1863" s="8"/>
      <c r="N1863" s="8">
        <f ca="1">IFERROR(__xludf.DUMMYFUNCTION("""COMPUTED_VALUE"""),3)</f>
        <v>3</v>
      </c>
      <c r="O1863" s="8" t="str">
        <f ca="1">IFERROR(__xludf.DUMMYFUNCTION("""COMPUTED_VALUE"""),"Fall")</f>
        <v>Fall</v>
      </c>
      <c r="P1863" s="8" t="str">
        <f ca="1">IFERROR(__xludf.DUMMYFUNCTION("""COMPUTED_VALUE"""),"Cincinnati")</f>
        <v>Cincinnati</v>
      </c>
      <c r="Q1863" s="8" t="str">
        <f ca="1">IFERROR(__xludf.DUMMYFUNCTION("""COMPUTED_VALUE"""),"OH")</f>
        <v>OH</v>
      </c>
      <c r="R1863" s="8" t="str">
        <f ca="1">IFERROR(__xludf.DUMMYFUNCTION("""COMPUTED_VALUE"""),"High")</f>
        <v>High</v>
      </c>
      <c r="S1863" s="8" t="str">
        <f ca="1">IFERROR(__xludf.DUMMYFUNCTION("""COMPUTED_VALUE"""),"Football Field/Track")</f>
        <v>Football Field/Track</v>
      </c>
      <c r="T1863" s="8" t="str">
        <f ca="1">IFERROR(__xludf.DUMMYFUNCTION("""COMPUTED_VALUE"""),"Outside on School Property")</f>
        <v>Outside on School Property</v>
      </c>
      <c r="U1863" s="8" t="str">
        <f ca="1">IFERROR(__xludf.DUMMYFUNCTION("""COMPUTED_VALUE"""),"No")</f>
        <v>No</v>
      </c>
      <c r="V1863" s="8" t="str">
        <f ca="1">IFERROR(__xludf.DUMMYFUNCTION("""COMPUTED_VALUE"""),"Sport Event")</f>
        <v>Sport Event</v>
      </c>
      <c r="W1863" s="11">
        <f ca="1">IFERROR(__xludf.DUMMYFUNCTION("""COMPUTED_VALUE"""),0.895833333333333)</f>
        <v>0.89583333333333304</v>
      </c>
      <c r="X1863" s="8">
        <f ca="1">IFERROR(__xludf.DUMMYFUNCTION("""COMPUTED_VALUE"""),1)</f>
        <v>1</v>
      </c>
      <c r="Y1863" s="12" t="str">
        <f ca="1">IFERROR(__xludf.DUMMYFUNCTION("""COMPUTED_VALUE"""),"3 shot after soccer game concluded")</f>
        <v>3 shot after soccer game concluded</v>
      </c>
      <c r="Z1863" s="12" t="str">
        <f ca="1">IFERROR(__xludf.DUMMYFUNCTION("""COMPUTED_VALUE"""),"Soccer coach was shot in the leg following a high school soccer game (unknown shooter from a distance). A retired police officer and his 20YOM son watching the game were struck by fragments. Police estimate the shot was fired from the treeline 100 yards a"&amp;"way. No suspect identified.")</f>
        <v>Soccer coach was shot in the leg following a high school soccer game (unknown shooter from a distance). A retired police officer and his 20YOM son watching the game were struck by fragments. Police estimate the shot was fired from the treeline 100 yards away. No suspect identified.</v>
      </c>
      <c r="AA1863" s="8" t="str">
        <f ca="1">IFERROR(__xludf.DUMMYFUNCTION("""COMPUTED_VALUE"""),"Indiscriminate Shooting")</f>
        <v>Indiscriminate Shooting</v>
      </c>
      <c r="AB1863" s="8"/>
      <c r="AC1863" s="8" t="str">
        <f ca="1">IFERROR(__xludf.DUMMYFUNCTION("""COMPUTED_VALUE"""),"Yes")</f>
        <v>Yes</v>
      </c>
      <c r="AD1863" s="8"/>
      <c r="AE1863" s="8"/>
      <c r="AF1863" s="8"/>
      <c r="AG1863" s="8" t="str">
        <f ca="1">IFERROR(__xludf.DUMMYFUNCTION("""COMPUTED_VALUE"""),"No")</f>
        <v>No</v>
      </c>
      <c r="AH1863" s="8" t="str">
        <f ca="1">IFERROR(__xludf.DUMMYFUNCTION("""COMPUTED_VALUE"""),"No")</f>
        <v>No</v>
      </c>
      <c r="AI1863" s="8" t="str">
        <f ca="1">IFERROR(__xludf.DUMMYFUNCTION("""COMPUTED_VALUE"""),"No")</f>
        <v>No</v>
      </c>
      <c r="AJ1863" s="8" t="str">
        <f ca="1">IFERROR(__xludf.DUMMYFUNCTION("""COMPUTED_VALUE"""),"No")</f>
        <v>No</v>
      </c>
      <c r="AK1863" s="8" t="str">
        <f ca="1">IFERROR(__xludf.DUMMYFUNCTION("""COMPUTED_VALUE"""),"No")</f>
        <v>No</v>
      </c>
      <c r="AL1863" s="8"/>
      <c r="AM1863" s="8" t="str">
        <f ca="1">IFERROR(__xludf.DUMMYFUNCTION("""COMPUTED_VALUE"""),"No")</f>
        <v>No</v>
      </c>
      <c r="AN1863" s="8"/>
      <c r="AO1863" s="8" t="str">
        <f ca="1">IFERROR(__xludf.DUMMYFUNCTION("""COMPUTED_VALUE"""),"No")</f>
        <v>No</v>
      </c>
      <c r="AP1863" s="8"/>
      <c r="AQ1863" s="8" t="str">
        <f ca="1">IFERROR(__xludf.DUMMYFUNCTION("""COMPUTED_VALUE"""),"Unknown")</f>
        <v>Unknown</v>
      </c>
      <c r="AR1863" s="8" t="str">
        <f ca="1">IFERROR(__xludf.DUMMYFUNCTION("""COMPUTED_VALUE"""),"Outside/Off-Property")</f>
        <v>Outside/Off-Property</v>
      </c>
      <c r="AS1863" s="8">
        <f ca="1">IFERROR(__xludf.DUMMYFUNCTION("""COMPUTED_VALUE"""),2)</f>
        <v>2</v>
      </c>
      <c r="AT1863" s="8"/>
      <c r="AU1863" s="8">
        <f ca="1">IFERROR(__xludf.DUMMYFUNCTION("""COMPUTED_VALUE"""),39.112476)</f>
        <v>39.112476000000001</v>
      </c>
      <c r="AV1863" s="8">
        <f ca="1">IFERROR(__xludf.DUMMYFUNCTION("""COMPUTED_VALUE"""),-84.58017)</f>
        <v>-84.580169999999995</v>
      </c>
      <c r="AW1863" s="8"/>
      <c r="AX1863" s="8">
        <f ca="1">IFERROR(__xludf.DUMMYFUNCTION("""COMPUTED_VALUE"""),45205)</f>
        <v>45205</v>
      </c>
    </row>
    <row r="1864" spans="1:50" ht="135" x14ac:dyDescent="0.2">
      <c r="A1864" s="8" t="str">
        <f ca="1">IFERROR(__xludf.DUMMYFUNCTION("""COMPUTED_VALUE"""),"20160926MSTAJ")</f>
        <v>20160926MSTAJ</v>
      </c>
      <c r="B1864" s="8">
        <f ca="1">IFERROR(__xludf.DUMMYFUNCTION("""COMPUTED_VALUE"""),9)</f>
        <v>9</v>
      </c>
      <c r="C1864" s="8">
        <f ca="1">IFERROR(__xludf.DUMMYFUNCTION("""COMPUTED_VALUE"""),26)</f>
        <v>26</v>
      </c>
      <c r="D1864" s="8">
        <f ca="1">IFERROR(__xludf.DUMMYFUNCTION("""COMPUTED_VALUE"""),2016)</f>
        <v>2016</v>
      </c>
      <c r="E1864" s="9">
        <f ca="1">IFERROR(__xludf.DUMMYFUNCTION("""COMPUTED_VALUE"""),42639)</f>
        <v>42639</v>
      </c>
      <c r="F1864" s="8" t="str">
        <f ca="1">IFERROR(__xludf.DUMMYFUNCTION("""COMPUTED_VALUE"""),"T A Wilson Academy (bus)")</f>
        <v>T A Wilson Academy (bus)</v>
      </c>
      <c r="G1864" s="8">
        <f ca="1">IFERROR(__xludf.DUMMYFUNCTION("""COMPUTED_VALUE"""),0)</f>
        <v>0</v>
      </c>
      <c r="H1864" s="8">
        <f ca="1">IFERROR(__xludf.DUMMYFUNCTION("""COMPUTED_VALUE"""),1)</f>
        <v>1</v>
      </c>
      <c r="I1864" s="8">
        <f ca="1">IFERROR(__xludf.DUMMYFUNCTION("""COMPUTED_VALUE"""),1)</f>
        <v>1</v>
      </c>
      <c r="J1864" s="8">
        <f ca="1">IFERROR(__xludf.DUMMYFUNCTION("""COMPUTED_VALUE"""),0)</f>
        <v>0</v>
      </c>
      <c r="K1864" s="10" t="str">
        <f ca="1">IFERROR(__xludf.DUMMYFUNCTION("""COMPUTED_VALUE"""),"http://www.mlive.com/news/jackson/index.ssf/2016/09/student_shot_on_school_bus_out.html")</f>
        <v>http://www.mlive.com/news/jackson/index.ssf/2016/09/student_shot_on_school_bus_out.html</v>
      </c>
      <c r="L1864" s="8">
        <f ca="1">IFERROR(__xludf.DUMMYFUNCTION("""COMPUTED_VALUE"""),5)</f>
        <v>5</v>
      </c>
      <c r="M1864" s="8" t="str">
        <f ca="1">IFERROR(__xludf.DUMMYFUNCTION("""COMPUTED_VALUE"""),"Local")</f>
        <v>Local</v>
      </c>
      <c r="N1864" s="8">
        <f ca="1">IFERROR(__xludf.DUMMYFUNCTION("""COMPUTED_VALUE"""),2)</f>
        <v>2</v>
      </c>
      <c r="O1864" s="8" t="str">
        <f ca="1">IFERROR(__xludf.DUMMYFUNCTION("""COMPUTED_VALUE"""),"Fall")</f>
        <v>Fall</v>
      </c>
      <c r="P1864" s="8" t="str">
        <f ca="1">IFERROR(__xludf.DUMMYFUNCTION("""COMPUTED_VALUE"""),"Jackson")</f>
        <v>Jackson</v>
      </c>
      <c r="Q1864" s="8" t="str">
        <f ca="1">IFERROR(__xludf.DUMMYFUNCTION("""COMPUTED_VALUE"""),"MS")</f>
        <v>MS</v>
      </c>
      <c r="R1864" s="8" t="str">
        <f ca="1">IFERROR(__xludf.DUMMYFUNCTION("""COMPUTED_VALUE"""),"High")</f>
        <v>High</v>
      </c>
      <c r="S1864" s="8" t="str">
        <f ca="1">IFERROR(__xludf.DUMMYFUNCTION("""COMPUTED_VALUE"""),"Front of School (Bus)")</f>
        <v>Front of School (Bus)</v>
      </c>
      <c r="T1864" s="8" t="str">
        <f ca="1">IFERROR(__xludf.DUMMYFUNCTION("""COMPUTED_VALUE"""),"Outside on School Property")</f>
        <v>Outside on School Property</v>
      </c>
      <c r="U1864" s="8" t="str">
        <f ca="1">IFERROR(__xludf.DUMMYFUNCTION("""COMPUTED_VALUE"""),"Yes")</f>
        <v>Yes</v>
      </c>
      <c r="V1864" s="8" t="str">
        <f ca="1">IFERROR(__xludf.DUMMYFUNCTION("""COMPUTED_VALUE"""),"Dismissal")</f>
        <v>Dismissal</v>
      </c>
      <c r="W1864" s="11">
        <f ca="1">IFERROR(__xludf.DUMMYFUNCTION("""COMPUTED_VALUE"""),0.604166666666666)</f>
        <v>0.60416666666666596</v>
      </c>
      <c r="X1864" s="8">
        <f ca="1">IFERROR(__xludf.DUMMYFUNCTION("""COMPUTED_VALUE"""),1)</f>
        <v>1</v>
      </c>
      <c r="Y1864" s="12" t="str">
        <f ca="1">IFERROR(__xludf.DUMMYFUNCTION("""COMPUTED_VALUE"""),"Shots fired during fight while getting onto school bus")</f>
        <v>Shots fired during fight while getting onto school bus</v>
      </c>
      <c r="Z1864" s="12" t="str">
        <f ca="1">IFERROR(__xludf.DUMMYFUNCTION("""COMPUTED_VALUE"""),"The victim was a student boarding the school bus. The shooter approached him from the back, called his name and fired a few shots and ran away. The victim was shot in the arm. Police said the victim was not cooperative he most likely knew the shooter from"&amp;" previous fights. The Shooter was never identified and charged but a suspect charged for another shooting was believed to be responsible. Victim was later summoned in court for violating probation (gun and marijuana possession).")</f>
        <v>The victim was a student boarding the school bus. The shooter approached him from the back, called his name and fired a few shots and ran away. The victim was shot in the arm. Police said the victim was not cooperative he most likely knew the shooter from previous fights. The Shooter was never identified and charged but a suspect charged for another shooting was believed to be responsible. Victim was later summoned in court for violating probation (gun and marijuana possession).</v>
      </c>
      <c r="AA1864" s="8" t="str">
        <f ca="1">IFERROR(__xludf.DUMMYFUNCTION("""COMPUTED_VALUE"""),"Escalation of Dispute")</f>
        <v>Escalation of Dispute</v>
      </c>
      <c r="AB1864" s="8"/>
      <c r="AC1864" s="8" t="str">
        <f ca="1">IFERROR(__xludf.DUMMYFUNCTION("""COMPUTED_VALUE"""),"Yes")</f>
        <v>Yes</v>
      </c>
      <c r="AD1864" s="8" t="str">
        <f ca="1">IFERROR(__xludf.DUMMYFUNCTION("""COMPUTED_VALUE"""),"Victims Targeted")</f>
        <v>Victims Targeted</v>
      </c>
      <c r="AE1864" s="8"/>
      <c r="AF1864" s="8"/>
      <c r="AG1864" s="8" t="str">
        <f ca="1">IFERROR(__xludf.DUMMYFUNCTION("""COMPUTED_VALUE"""),"No")</f>
        <v>No</v>
      </c>
      <c r="AH1864" s="8" t="str">
        <f ca="1">IFERROR(__xludf.DUMMYFUNCTION("""COMPUTED_VALUE"""),"No")</f>
        <v>No</v>
      </c>
      <c r="AI1864" s="8" t="str">
        <f ca="1">IFERROR(__xludf.DUMMYFUNCTION("""COMPUTED_VALUE"""),"No")</f>
        <v>No</v>
      </c>
      <c r="AJ1864" s="8" t="str">
        <f ca="1">IFERROR(__xludf.DUMMYFUNCTION("""COMPUTED_VALUE"""),"No")</f>
        <v>No</v>
      </c>
      <c r="AK1864" s="8"/>
      <c r="AL1864" s="8" t="str">
        <f ca="1">IFERROR(__xludf.DUMMYFUNCTION("""COMPUTED_VALUE"""),"No")</f>
        <v>No</v>
      </c>
      <c r="AM1864" s="8" t="str">
        <f ca="1">IFERROR(__xludf.DUMMYFUNCTION("""COMPUTED_VALUE"""),"No")</f>
        <v>No</v>
      </c>
      <c r="AN1864" s="8"/>
      <c r="AO1864" s="8" t="str">
        <f ca="1">IFERROR(__xludf.DUMMYFUNCTION("""COMPUTED_VALUE"""),"No")</f>
        <v>No</v>
      </c>
      <c r="AP1864" s="8" t="str">
        <f ca="1">IFERROR(__xludf.DUMMYFUNCTION("""COMPUTED_VALUE"""),"No")</f>
        <v>No</v>
      </c>
      <c r="AQ1864" s="8" t="str">
        <f ca="1">IFERROR(__xludf.DUMMYFUNCTION("""COMPUTED_VALUE"""),"Unknown")</f>
        <v>Unknown</v>
      </c>
      <c r="AR1864" s="8" t="str">
        <f ca="1">IFERROR(__xludf.DUMMYFUNCTION("""COMPUTED_VALUE"""),"NA")</f>
        <v>NA</v>
      </c>
      <c r="AS1864" s="8"/>
      <c r="AT1864" s="8" t="str">
        <f ca="1">IFERROR(__xludf.DUMMYFUNCTION("""COMPUTED_VALUE"""),"Yes")</f>
        <v>Yes</v>
      </c>
      <c r="AU1864" s="8">
        <f ca="1">IFERROR(__xludf.DUMMYFUNCTION("""COMPUTED_VALUE"""),32.2987573)</f>
        <v>32.298757299999998</v>
      </c>
      <c r="AV1864" s="8">
        <f ca="1">IFERROR(__xludf.DUMMYFUNCTION("""COMPUTED_VALUE"""),-90.1848103)</f>
        <v>-90.184810299999995</v>
      </c>
      <c r="AW1864" s="8"/>
      <c r="AX1864" s="8">
        <f ca="1">IFERROR(__xludf.DUMMYFUNCTION("""COMPUTED_VALUE"""),39201)</f>
        <v>39201</v>
      </c>
    </row>
    <row r="1865" spans="1:50" ht="90" x14ac:dyDescent="0.2">
      <c r="A1865" s="8" t="str">
        <f ca="1">IFERROR(__xludf.DUMMYFUNCTION("""COMPUTED_VALUE"""),"20160909PASMY")</f>
        <v>20160909PASMY</v>
      </c>
      <c r="B1865" s="8">
        <f ca="1">IFERROR(__xludf.DUMMYFUNCTION("""COMPUTED_VALUE"""),9)</f>
        <v>9</v>
      </c>
      <c r="C1865" s="8">
        <f ca="1">IFERROR(__xludf.DUMMYFUNCTION("""COMPUTED_VALUE"""),9)</f>
        <v>9</v>
      </c>
      <c r="D1865" s="8">
        <f ca="1">IFERROR(__xludf.DUMMYFUNCTION("""COMPUTED_VALUE"""),2016)</f>
        <v>2016</v>
      </c>
      <c r="E1865" s="9">
        <f ca="1">IFERROR(__xludf.DUMMYFUNCTION("""COMPUTED_VALUE"""),42622)</f>
        <v>42622</v>
      </c>
      <c r="F1865" s="8" t="str">
        <f ca="1">IFERROR(__xludf.DUMMYFUNCTION("""COMPUTED_VALUE"""),"Small Athletic Field (William Penn Senior High School game)")</f>
        <v>Small Athletic Field (William Penn Senior High School game)</v>
      </c>
      <c r="G1865" s="8">
        <f ca="1">IFERROR(__xludf.DUMMYFUNCTION("""COMPUTED_VALUE"""),0)</f>
        <v>0</v>
      </c>
      <c r="H1865" s="8">
        <f ca="1">IFERROR(__xludf.DUMMYFUNCTION("""COMPUTED_VALUE"""),2)</f>
        <v>2</v>
      </c>
      <c r="I1865" s="8">
        <f ca="1">IFERROR(__xludf.DUMMYFUNCTION("""COMPUTED_VALUE"""),2)</f>
        <v>2</v>
      </c>
      <c r="J1865" s="8">
        <f ca="1">IFERROR(__xludf.DUMMYFUNCTION("""COMPUTED_VALUE"""),0)</f>
        <v>0</v>
      </c>
      <c r="K1865" s="10" t="str">
        <f ca="1">IFERROR(__xludf.DUMMYFUNCTION("""COMPUTED_VALUE"""),"https://www.ydr.com/story/news/2016/09/09/shooting-reported-small-athletic-field-911-says/90154006/")</f>
        <v>https://www.ydr.com/story/news/2016/09/09/shooting-reported-small-athletic-field-911-says/90154006/</v>
      </c>
      <c r="L1865" s="8"/>
      <c r="M1865" s="8"/>
      <c r="N1865" s="8">
        <f ca="1">IFERROR(__xludf.DUMMYFUNCTION("""COMPUTED_VALUE"""),3)</f>
        <v>3</v>
      </c>
      <c r="O1865" s="8" t="str">
        <f ca="1">IFERROR(__xludf.DUMMYFUNCTION("""COMPUTED_VALUE"""),"Fall")</f>
        <v>Fall</v>
      </c>
      <c r="P1865" s="8" t="str">
        <f ca="1">IFERROR(__xludf.DUMMYFUNCTION("""COMPUTED_VALUE"""),"York")</f>
        <v>York</v>
      </c>
      <c r="Q1865" s="8" t="str">
        <f ca="1">IFERROR(__xludf.DUMMYFUNCTION("""COMPUTED_VALUE"""),"PA")</f>
        <v>PA</v>
      </c>
      <c r="R1865" s="8" t="str">
        <f ca="1">IFERROR(__xludf.DUMMYFUNCTION("""COMPUTED_VALUE"""),"High")</f>
        <v>High</v>
      </c>
      <c r="S1865" s="8" t="str">
        <f ca="1">IFERROR(__xludf.DUMMYFUNCTION("""COMPUTED_VALUE"""),"Parking Lot")</f>
        <v>Parking Lot</v>
      </c>
      <c r="T1865" s="8" t="str">
        <f ca="1">IFERROR(__xludf.DUMMYFUNCTION("""COMPUTED_VALUE"""),"Outside on School Property")</f>
        <v>Outside on School Property</v>
      </c>
      <c r="U1865" s="8" t="str">
        <f ca="1">IFERROR(__xludf.DUMMYFUNCTION("""COMPUTED_VALUE"""),"No")</f>
        <v>No</v>
      </c>
      <c r="V1865" s="8" t="str">
        <f ca="1">IFERROR(__xludf.DUMMYFUNCTION("""COMPUTED_VALUE"""),"Sport Event")</f>
        <v>Sport Event</v>
      </c>
      <c r="W1865" s="11">
        <f ca="1">IFERROR(__xludf.DUMMYFUNCTION("""COMPUTED_VALUE"""),0.895833333333333)</f>
        <v>0.89583333333333304</v>
      </c>
      <c r="X1865" s="8">
        <f ca="1">IFERROR(__xludf.DUMMYFUNCTION("""COMPUTED_VALUE"""),1)</f>
        <v>1</v>
      </c>
      <c r="Y1865" s="12" t="str">
        <f ca="1">IFERROR(__xludf.DUMMYFUNCTION("""COMPUTED_VALUE"""),"Shooting in parking lot after argument during the game")</f>
        <v>Shooting in parking lot after argument during the game</v>
      </c>
      <c r="Z1865" s="12" t="str">
        <f ca="1">IFERROR(__xludf.DUMMYFUNCTION("""COMPUTED_VALUE"""),"23YOM and 20YOM were shot in the stadium parking lot after an argument during the high school football game. Stadium was placed on lockdown when the shooting occured. Metal detectors were set up at the gates to the stadium and all fans were screened prior"&amp;" to entering. Bullets also struck a vehicle in the parking lot.")</f>
        <v>23YOM and 20YOM were shot in the stadium parking lot after an argument during the high school football game. Stadium was placed on lockdown when the shooting occured. Metal detectors were set up at the gates to the stadium and all fans were screened prior to entering. Bullets also struck a vehicle in the parking lot.</v>
      </c>
      <c r="AA1865" s="8" t="str">
        <f ca="1">IFERROR(__xludf.DUMMYFUNCTION("""COMPUTED_VALUE"""),"Escalation of Dispute")</f>
        <v>Escalation of Dispute</v>
      </c>
      <c r="AB1865" s="8"/>
      <c r="AC1865" s="8" t="str">
        <f ca="1">IFERROR(__xludf.DUMMYFUNCTION("""COMPUTED_VALUE"""),"Yes")</f>
        <v>Yes</v>
      </c>
      <c r="AD1865" s="8" t="str">
        <f ca="1">IFERROR(__xludf.DUMMYFUNCTION("""COMPUTED_VALUE"""),"Victims Targeted")</f>
        <v>Victims Targeted</v>
      </c>
      <c r="AE1865" s="8"/>
      <c r="AF1865" s="8"/>
      <c r="AG1865" s="8" t="str">
        <f ca="1">IFERROR(__xludf.DUMMYFUNCTION("""COMPUTED_VALUE"""),"No")</f>
        <v>No</v>
      </c>
      <c r="AH1865" s="8" t="str">
        <f ca="1">IFERROR(__xludf.DUMMYFUNCTION("""COMPUTED_VALUE"""),"No")</f>
        <v>No</v>
      </c>
      <c r="AI1865" s="8" t="str">
        <f ca="1">IFERROR(__xludf.DUMMYFUNCTION("""COMPUTED_VALUE"""),"No")</f>
        <v>No</v>
      </c>
      <c r="AJ1865" s="8" t="str">
        <f ca="1">IFERROR(__xludf.DUMMYFUNCTION("""COMPUTED_VALUE"""),"No")</f>
        <v>No</v>
      </c>
      <c r="AK1865" s="8" t="str">
        <f ca="1">IFERROR(__xludf.DUMMYFUNCTION("""COMPUTED_VALUE"""),"No")</f>
        <v>No</v>
      </c>
      <c r="AL1865" s="8" t="str">
        <f ca="1">IFERROR(__xludf.DUMMYFUNCTION("""COMPUTED_VALUE"""),"No")</f>
        <v>No</v>
      </c>
      <c r="AM1865" s="8" t="str">
        <f ca="1">IFERROR(__xludf.DUMMYFUNCTION("""COMPUTED_VALUE"""),"No")</f>
        <v>No</v>
      </c>
      <c r="AN1865" s="8"/>
      <c r="AO1865" s="8" t="str">
        <f ca="1">IFERROR(__xludf.DUMMYFUNCTION("""COMPUTED_VALUE"""),"No")</f>
        <v>No</v>
      </c>
      <c r="AP1865" s="8" t="str">
        <f ca="1">IFERROR(__xludf.DUMMYFUNCTION("""COMPUTED_VALUE"""),"Yes")</f>
        <v>Yes</v>
      </c>
      <c r="AQ1865" s="8" t="str">
        <f ca="1">IFERROR(__xludf.DUMMYFUNCTION("""COMPUTED_VALUE"""),"Metal Detectors Stadium")</f>
        <v>Metal Detectors Stadium</v>
      </c>
      <c r="AR1865" s="8" t="str">
        <f ca="1">IFERROR(__xludf.DUMMYFUNCTION("""COMPUTED_VALUE"""),"Outside/Off-Property")</f>
        <v>Outside/Off-Property</v>
      </c>
      <c r="AS1865" s="8"/>
      <c r="AT1865" s="8" t="str">
        <f ca="1">IFERROR(__xludf.DUMMYFUNCTION("""COMPUTED_VALUE"""),"Yes")</f>
        <v>Yes</v>
      </c>
      <c r="AU1865" s="8">
        <f ca="1">IFERROR(__xludf.DUMMYFUNCTION("""COMPUTED_VALUE"""),39.957652)</f>
        <v>39.957652000000003</v>
      </c>
      <c r="AV1865" s="8">
        <f ca="1">IFERROR(__xludf.DUMMYFUNCTION("""COMPUTED_VALUE"""),-76.728683)</f>
        <v>-76.728683000000004</v>
      </c>
      <c r="AW1865" s="8"/>
      <c r="AX1865" s="8">
        <f ca="1">IFERROR(__xludf.DUMMYFUNCTION("""COMPUTED_VALUE"""),17401)</f>
        <v>17401</v>
      </c>
    </row>
    <row r="1866" spans="1:50" ht="45" x14ac:dyDescent="0.2">
      <c r="A1866" s="8" t="str">
        <f ca="1">IFERROR(__xludf.DUMMYFUNCTION("""COMPUTED_VALUE"""),"20160909IACEC")</f>
        <v>20160909IACEC</v>
      </c>
      <c r="B1866" s="8">
        <f ca="1">IFERROR(__xludf.DUMMYFUNCTION("""COMPUTED_VALUE"""),9)</f>
        <v>9</v>
      </c>
      <c r="C1866" s="8">
        <f ca="1">IFERROR(__xludf.DUMMYFUNCTION("""COMPUTED_VALUE"""),9)</f>
        <v>9</v>
      </c>
      <c r="D1866" s="8">
        <f ca="1">IFERROR(__xludf.DUMMYFUNCTION("""COMPUTED_VALUE"""),2016)</f>
        <v>2016</v>
      </c>
      <c r="E1866" s="9">
        <f ca="1">IFERROR(__xludf.DUMMYFUNCTION("""COMPUTED_VALUE"""),42622)</f>
        <v>42622</v>
      </c>
      <c r="F1866" s="8" t="str">
        <f ca="1">IFERROR(__xludf.DUMMYFUNCTION("""COMPUTED_VALUE"""),"Cedar Rapids Jefferson High School")</f>
        <v>Cedar Rapids Jefferson High School</v>
      </c>
      <c r="G1866" s="8">
        <f ca="1">IFERROR(__xludf.DUMMYFUNCTION("""COMPUTED_VALUE"""),0)</f>
        <v>0</v>
      </c>
      <c r="H1866" s="8">
        <f ca="1">IFERROR(__xludf.DUMMYFUNCTION("""COMPUTED_VALUE"""),0)</f>
        <v>0</v>
      </c>
      <c r="I1866" s="8">
        <f ca="1">IFERROR(__xludf.DUMMYFUNCTION("""COMPUTED_VALUE"""),0)</f>
        <v>0</v>
      </c>
      <c r="J1866" s="8">
        <f ca="1">IFERROR(__xludf.DUMMYFUNCTION("""COMPUTED_VALUE"""),1)</f>
        <v>1</v>
      </c>
      <c r="K1866" s="8" t="str">
        <f ca="1">IFERROR(__xludf.DUMMYFUNCTION("""COMPUTED_VALUE"""),"https://www.thegazette.com/subject/news/public-safety/jefferson-student-who-shot-himself-has-died-20160912  https://www.desmoinesregister.com/story/news/2016/09/09/cedar-rapids-high-school-lockdown/90115882/")</f>
        <v>https://www.thegazette.com/subject/news/public-safety/jefferson-student-who-shot-himself-has-died-20160912  https://www.desmoinesregister.com/story/news/2016/09/09/cedar-rapids-high-school-lockdown/90115882/</v>
      </c>
      <c r="L1866" s="8"/>
      <c r="M1866" s="8"/>
      <c r="N1866" s="8">
        <f ca="1">IFERROR(__xludf.DUMMYFUNCTION("""COMPUTED_VALUE"""),3)</f>
        <v>3</v>
      </c>
      <c r="O1866" s="8" t="str">
        <f ca="1">IFERROR(__xludf.DUMMYFUNCTION("""COMPUTED_VALUE"""),"Fall")</f>
        <v>Fall</v>
      </c>
      <c r="P1866" s="8" t="str">
        <f ca="1">IFERROR(__xludf.DUMMYFUNCTION("""COMPUTED_VALUE"""),"Cedar Rapids")</f>
        <v>Cedar Rapids</v>
      </c>
      <c r="Q1866" s="8" t="str">
        <f ca="1">IFERROR(__xludf.DUMMYFUNCTION("""COMPUTED_VALUE"""),"IA")</f>
        <v>IA</v>
      </c>
      <c r="R1866" s="8" t="str">
        <f ca="1">IFERROR(__xludf.DUMMYFUNCTION("""COMPUTED_VALUE"""),"High")</f>
        <v>High</v>
      </c>
      <c r="S1866" s="8" t="str">
        <f ca="1">IFERROR(__xludf.DUMMYFUNCTION("""COMPUTED_VALUE"""),"Beside Building")</f>
        <v>Beside Building</v>
      </c>
      <c r="T1866" s="8" t="str">
        <f ca="1">IFERROR(__xludf.DUMMYFUNCTION("""COMPUTED_VALUE"""),"Outside on School Property")</f>
        <v>Outside on School Property</v>
      </c>
      <c r="U1866" s="8" t="str">
        <f ca="1">IFERROR(__xludf.DUMMYFUNCTION("""COMPUTED_VALUE"""),"Yes")</f>
        <v>Yes</v>
      </c>
      <c r="V1866" s="8" t="str">
        <f ca="1">IFERROR(__xludf.DUMMYFUNCTION("""COMPUTED_VALUE"""),"Morning Classes")</f>
        <v>Morning Classes</v>
      </c>
      <c r="W1866" s="11">
        <f ca="1">IFERROR(__xludf.DUMMYFUNCTION("""COMPUTED_VALUE"""),0.329861111111111)</f>
        <v>0.32986111111111099</v>
      </c>
      <c r="X1866" s="8">
        <f ca="1">IFERROR(__xludf.DUMMYFUNCTION("""COMPUTED_VALUE"""),1)</f>
        <v>1</v>
      </c>
      <c r="Y1866" s="12" t="str">
        <f ca="1">IFERROR(__xludf.DUMMYFUNCTION("""COMPUTED_VALUE"""),"Suicide in school auditorium")</f>
        <v>Suicide in school auditorium</v>
      </c>
      <c r="Z1866" s="12" t="str">
        <f ca="1">IFERROR(__xludf.DUMMYFUNCTION("""COMPUTED_VALUE"""),"15 year old boy shot/killed himself behind school auditorium. Online reports he was planning a school attack but nothing confirmed.")</f>
        <v>15 year old boy shot/killed himself behind school auditorium. Online reports he was planning a school attack but nothing confirmed.</v>
      </c>
      <c r="AA1866" s="8" t="str">
        <f ca="1">IFERROR(__xludf.DUMMYFUNCTION("""COMPUTED_VALUE"""),"Suicide/Attempted")</f>
        <v>Suicide/Attempted</v>
      </c>
      <c r="AB1866" s="8"/>
      <c r="AC1866" s="8" t="str">
        <f ca="1">IFERROR(__xludf.DUMMYFUNCTION("""COMPUTED_VALUE"""),"Yes")</f>
        <v>Yes</v>
      </c>
      <c r="AD1866" s="8" t="str">
        <f ca="1">IFERROR(__xludf.DUMMYFUNCTION("""COMPUTED_VALUE"""),"Victims Targeted")</f>
        <v>Victims Targeted</v>
      </c>
      <c r="AE1866" s="8" t="str">
        <f ca="1">IFERROR(__xludf.DUMMYFUNCTION("""COMPUTED_VALUE"""),"No")</f>
        <v>No</v>
      </c>
      <c r="AF1866" s="8"/>
      <c r="AG1866" s="8" t="str">
        <f ca="1">IFERROR(__xludf.DUMMYFUNCTION("""COMPUTED_VALUE"""),"No")</f>
        <v>No</v>
      </c>
      <c r="AH1866" s="8" t="str">
        <f ca="1">IFERROR(__xludf.DUMMYFUNCTION("""COMPUTED_VALUE"""),"No")</f>
        <v>No</v>
      </c>
      <c r="AI1866" s="8" t="str">
        <f ca="1">IFERROR(__xludf.DUMMYFUNCTION("""COMPUTED_VALUE"""),"No")</f>
        <v>No</v>
      </c>
      <c r="AJ1866" s="8"/>
      <c r="AK1866" s="8"/>
      <c r="AL1866" s="8" t="str">
        <f ca="1">IFERROR(__xludf.DUMMYFUNCTION("""COMPUTED_VALUE"""),"No")</f>
        <v>No</v>
      </c>
      <c r="AM1866" s="8" t="str">
        <f ca="1">IFERROR(__xludf.DUMMYFUNCTION("""COMPUTED_VALUE"""),"No")</f>
        <v>No</v>
      </c>
      <c r="AN1866" s="8"/>
      <c r="AO1866" s="8" t="str">
        <f ca="1">IFERROR(__xludf.DUMMYFUNCTION("""COMPUTED_VALUE"""),"No")</f>
        <v>No</v>
      </c>
      <c r="AP1866" s="8"/>
      <c r="AQ1866" s="8" t="str">
        <f ca="1">IFERROR(__xludf.DUMMYFUNCTION("""COMPUTED_VALUE"""),"Unknown")</f>
        <v>Unknown</v>
      </c>
      <c r="AR1866" s="8" t="str">
        <f ca="1">IFERROR(__xludf.DUMMYFUNCTION("""COMPUTED_VALUE"""),"NA")</f>
        <v>NA</v>
      </c>
      <c r="AS1866" s="8">
        <f ca="1">IFERROR(__xludf.DUMMYFUNCTION("""COMPUTED_VALUE"""),1)</f>
        <v>1</v>
      </c>
      <c r="AT1866" s="8"/>
      <c r="AU1866" s="8">
        <f ca="1">IFERROR(__xludf.DUMMYFUNCTION("""COMPUTED_VALUE"""),41.965698)</f>
        <v>41.965698000000003</v>
      </c>
      <c r="AV1866" s="8">
        <f ca="1">IFERROR(__xludf.DUMMYFUNCTION("""COMPUTED_VALUE"""),-91.698791)</f>
        <v>-91.698791</v>
      </c>
      <c r="AW1866" s="8"/>
      <c r="AX1866" s="8">
        <f ca="1">IFERROR(__xludf.DUMMYFUNCTION("""COMPUTED_VALUE"""),52405)</f>
        <v>52405</v>
      </c>
    </row>
    <row r="1867" spans="1:50" ht="75" x14ac:dyDescent="0.2">
      <c r="A1867" s="8" t="str">
        <f ca="1">IFERROR(__xludf.DUMMYFUNCTION("""COMPUTED_VALUE"""),"20160908TXALA")</f>
        <v>20160908TXALA</v>
      </c>
      <c r="B1867" s="8">
        <f ca="1">IFERROR(__xludf.DUMMYFUNCTION("""COMPUTED_VALUE"""),9)</f>
        <v>9</v>
      </c>
      <c r="C1867" s="8">
        <f ca="1">IFERROR(__xludf.DUMMYFUNCTION("""COMPUTED_VALUE"""),8)</f>
        <v>8</v>
      </c>
      <c r="D1867" s="8">
        <f ca="1">IFERROR(__xludf.DUMMYFUNCTION("""COMPUTED_VALUE"""),2016)</f>
        <v>2016</v>
      </c>
      <c r="E1867" s="9">
        <f ca="1">IFERROR(__xludf.DUMMYFUNCTION("""COMPUTED_VALUE"""),42621)</f>
        <v>42621</v>
      </c>
      <c r="F1867" s="8" t="str">
        <f ca="1">IFERROR(__xludf.DUMMYFUNCTION("""COMPUTED_VALUE"""),"Alpine High School")</f>
        <v>Alpine High School</v>
      </c>
      <c r="G1867" s="8">
        <f ca="1">IFERROR(__xludf.DUMMYFUNCTION("""COMPUTED_VALUE"""),0)</f>
        <v>0</v>
      </c>
      <c r="H1867" s="8">
        <f ca="1">IFERROR(__xludf.DUMMYFUNCTION("""COMPUTED_VALUE"""),2)</f>
        <v>2</v>
      </c>
      <c r="I1867" s="8">
        <f ca="1">IFERROR(__xludf.DUMMYFUNCTION("""COMPUTED_VALUE"""),2)</f>
        <v>2</v>
      </c>
      <c r="J1867" s="8">
        <f ca="1">IFERROR(__xludf.DUMMYFUNCTION("""COMPUTED_VALUE"""),1)</f>
        <v>1</v>
      </c>
      <c r="K1867" s="8" t="str">
        <f ca="1">IFERROR(__xludf.DUMMYFUNCTION("""COMPUTED_VALUE"""),"https://www.cnn.com/2016/09/08/us/texas-high-school-shooting/index.html https://apnews.com/2cfba6696074f0913e09e2ed5adcc593")</f>
        <v>https://www.cnn.com/2016/09/08/us/texas-high-school-shooting/index.html https://apnews.com/2cfba6696074f0913e09e2ed5adcc593</v>
      </c>
      <c r="L1867" s="8">
        <f ca="1">IFERROR(__xludf.DUMMYFUNCTION("""COMPUTED_VALUE"""),11)</f>
        <v>11</v>
      </c>
      <c r="M1867" s="8" t="str">
        <f ca="1">IFERROR(__xludf.DUMMYFUNCTION("""COMPUTED_VALUE"""),"Regional")</f>
        <v>Regional</v>
      </c>
      <c r="N1867" s="8">
        <f ca="1">IFERROR(__xludf.DUMMYFUNCTION("""COMPUTED_VALUE"""),3)</f>
        <v>3</v>
      </c>
      <c r="O1867" s="8" t="str">
        <f ca="1">IFERROR(__xludf.DUMMYFUNCTION("""COMPUTED_VALUE"""),"Fall")</f>
        <v>Fall</v>
      </c>
      <c r="P1867" s="8" t="str">
        <f ca="1">IFERROR(__xludf.DUMMYFUNCTION("""COMPUTED_VALUE"""),"Alpine")</f>
        <v>Alpine</v>
      </c>
      <c r="Q1867" s="8" t="str">
        <f ca="1">IFERROR(__xludf.DUMMYFUNCTION("""COMPUTED_VALUE"""),"TX")</f>
        <v>TX</v>
      </c>
      <c r="R1867" s="8" t="str">
        <f ca="1">IFERROR(__xludf.DUMMYFUNCTION("""COMPUTED_VALUE"""),"High")</f>
        <v>High</v>
      </c>
      <c r="S1867" s="8" t="str">
        <f ca="1">IFERROR(__xludf.DUMMYFUNCTION("""COMPUTED_VALUE"""),"Bathroom")</f>
        <v>Bathroom</v>
      </c>
      <c r="T1867" s="8" t="str">
        <f ca="1">IFERROR(__xludf.DUMMYFUNCTION("""COMPUTED_VALUE"""),"Inside School Building")</f>
        <v>Inside School Building</v>
      </c>
      <c r="U1867" s="8" t="str">
        <f ca="1">IFERROR(__xludf.DUMMYFUNCTION("""COMPUTED_VALUE"""),"Yes")</f>
        <v>Yes</v>
      </c>
      <c r="V1867" s="8" t="str">
        <f ca="1">IFERROR(__xludf.DUMMYFUNCTION("""COMPUTED_VALUE"""),"Morning Classes")</f>
        <v>Morning Classes</v>
      </c>
      <c r="W1867" s="11">
        <f ca="1">IFERROR(__xludf.DUMMYFUNCTION("""COMPUTED_VALUE"""),0.375)</f>
        <v>0.375</v>
      </c>
      <c r="X1867" s="8">
        <f ca="1">IFERROR(__xludf.DUMMYFUNCTION("""COMPUTED_VALUE"""),1)</f>
        <v>1</v>
      </c>
      <c r="Y1867" s="12" t="str">
        <f ca="1">IFERROR(__xludf.DUMMYFUNCTION("""COMPUTED_VALUE"""),"Attempted murder-suicide in school bathroom")</f>
        <v>Attempted murder-suicide in school bathroom</v>
      </c>
      <c r="Z1867" s="12" t="str">
        <f ca="1">IFERROR(__xludf.DUMMYFUNCTION("""COMPUTED_VALUE"""),"Female student intended to kill stepbrother but shot another female student who walked into the bathroom while she was loading the gun. She then killed herself. ""Very good student without behavior problems"". Police officer injured by accidental discharg"&amp;"e in the school during the response.")</f>
        <v>Female student intended to kill stepbrother but shot another female student who walked into the bathroom while she was loading the gun. She then killed herself. "Very good student without behavior problems". Police officer injured by accidental discharge in the school during the response.</v>
      </c>
      <c r="AA1867" s="8" t="str">
        <f ca="1">IFERROR(__xludf.DUMMYFUNCTION("""COMPUTED_VALUE"""),"Domestic w/ Targeted Victim")</f>
        <v>Domestic w/ Targeted Victim</v>
      </c>
      <c r="AB1867" s="8"/>
      <c r="AC1867" s="8" t="str">
        <f ca="1">IFERROR(__xludf.DUMMYFUNCTION("""COMPUTED_VALUE"""),"Yes")</f>
        <v>Yes</v>
      </c>
      <c r="AD1867" s="8" t="str">
        <f ca="1">IFERROR(__xludf.DUMMYFUNCTION("""COMPUTED_VALUE"""),"Both")</f>
        <v>Both</v>
      </c>
      <c r="AE1867" s="8" t="str">
        <f ca="1">IFERROR(__xludf.DUMMYFUNCTION("""COMPUTED_VALUE"""),"No")</f>
        <v>No</v>
      </c>
      <c r="AF1867" s="8"/>
      <c r="AG1867" s="8" t="str">
        <f ca="1">IFERROR(__xludf.DUMMYFUNCTION("""COMPUTED_VALUE"""),"No")</f>
        <v>No</v>
      </c>
      <c r="AH1867" s="8" t="str">
        <f ca="1">IFERROR(__xludf.DUMMYFUNCTION("""COMPUTED_VALUE"""),"No")</f>
        <v>No</v>
      </c>
      <c r="AI1867" s="8" t="str">
        <f ca="1">IFERROR(__xludf.DUMMYFUNCTION("""COMPUTED_VALUE"""),"No")</f>
        <v>No</v>
      </c>
      <c r="AJ1867" s="8" t="str">
        <f ca="1">IFERROR(__xludf.DUMMYFUNCTION("""COMPUTED_VALUE"""),"No")</f>
        <v>No</v>
      </c>
      <c r="AK1867" s="8" t="str">
        <f ca="1">IFERROR(__xludf.DUMMYFUNCTION("""COMPUTED_VALUE"""),"Yes")</f>
        <v>Yes</v>
      </c>
      <c r="AL1867" s="8" t="str">
        <f ca="1">IFERROR(__xludf.DUMMYFUNCTION("""COMPUTED_VALUE"""),"No")</f>
        <v>No</v>
      </c>
      <c r="AM1867" s="8" t="str">
        <f ca="1">IFERROR(__xludf.DUMMYFUNCTION("""COMPUTED_VALUE"""),"No")</f>
        <v>No</v>
      </c>
      <c r="AN1867" s="8"/>
      <c r="AO1867" s="8" t="str">
        <f ca="1">IFERROR(__xludf.DUMMYFUNCTION("""COMPUTED_VALUE"""),"No")</f>
        <v>No</v>
      </c>
      <c r="AP1867" s="8"/>
      <c r="AQ1867" s="8" t="str">
        <f ca="1">IFERROR(__xludf.DUMMYFUNCTION("""COMPUTED_VALUE"""),"Unknown")</f>
        <v>Unknown</v>
      </c>
      <c r="AR1867" s="8" t="str">
        <f ca="1">IFERROR(__xludf.DUMMYFUNCTION("""COMPUTED_VALUE"""),"NA")</f>
        <v>NA</v>
      </c>
      <c r="AS1867" s="8">
        <f ca="1">IFERROR(__xludf.DUMMYFUNCTION("""COMPUTED_VALUE"""),5)</f>
        <v>5</v>
      </c>
      <c r="AT1867" s="8" t="str">
        <f ca="1">IFERROR(__xludf.DUMMYFUNCTION("""COMPUTED_VALUE"""),"Yes")</f>
        <v>Yes</v>
      </c>
      <c r="AU1867" s="8">
        <f ca="1">IFERROR(__xludf.DUMMYFUNCTION("""COMPUTED_VALUE"""),30.371868)</f>
        <v>30.371867999999999</v>
      </c>
      <c r="AV1867" s="8">
        <f ca="1">IFERROR(__xludf.DUMMYFUNCTION("""COMPUTED_VALUE"""),-103.66584)</f>
        <v>-103.66584</v>
      </c>
      <c r="AW1867" s="8"/>
      <c r="AX1867" s="8">
        <f ca="1">IFERROR(__xludf.DUMMYFUNCTION("""COMPUTED_VALUE"""),79830)</f>
        <v>79830</v>
      </c>
    </row>
    <row r="1868" spans="1:50" ht="120" x14ac:dyDescent="0.2">
      <c r="A1868" s="8" t="str">
        <f ca="1">IFERROR(__xludf.DUMMYFUNCTION("""COMPUTED_VALUE"""),"20160907MIDED")</f>
        <v>20160907MIDED</v>
      </c>
      <c r="B1868" s="8">
        <f ca="1">IFERROR(__xludf.DUMMYFUNCTION("""COMPUTED_VALUE"""),9)</f>
        <v>9</v>
      </c>
      <c r="C1868" s="8">
        <f ca="1">IFERROR(__xludf.DUMMYFUNCTION("""COMPUTED_VALUE"""),7)</f>
        <v>7</v>
      </c>
      <c r="D1868" s="8">
        <f ca="1">IFERROR(__xludf.DUMMYFUNCTION("""COMPUTED_VALUE"""),2016)</f>
        <v>2016</v>
      </c>
      <c r="E1868" s="9">
        <f ca="1">IFERROR(__xludf.DUMMYFUNCTION("""COMPUTED_VALUE"""),42620)</f>
        <v>42620</v>
      </c>
      <c r="F1868" s="8" t="str">
        <f ca="1">IFERROR(__xludf.DUMMYFUNCTION("""COMPUTED_VALUE"""),"Detroit Collegiate Preparatory High School")</f>
        <v>Detroit Collegiate Preparatory High School</v>
      </c>
      <c r="G1868" s="8">
        <f ca="1">IFERROR(__xludf.DUMMYFUNCTION("""COMPUTED_VALUE"""),0)</f>
        <v>0</v>
      </c>
      <c r="H1868" s="8">
        <f ca="1">IFERROR(__xludf.DUMMYFUNCTION("""COMPUTED_VALUE"""),0)</f>
        <v>0</v>
      </c>
      <c r="I1868" s="8">
        <f ca="1">IFERROR(__xludf.DUMMYFUNCTION("""COMPUTED_VALUE"""),0)</f>
        <v>0</v>
      </c>
      <c r="J1868" s="8">
        <f ca="1">IFERROR(__xludf.DUMMYFUNCTION("""COMPUTED_VALUE"""),0)</f>
        <v>0</v>
      </c>
      <c r="K1868" s="10" t="str">
        <f ca="1">IFERROR(__xludf.DUMMYFUNCTION("""COMPUTED_VALUE"""),"http://detroit.cbslocal.com/2016/09/07/detroit-principals-vehicle-reportedly-shot-up-in-parking-lot-on-second-day-of-school/")</f>
        <v>http://detroit.cbslocal.com/2016/09/07/detroit-principals-vehicle-reportedly-shot-up-in-parking-lot-on-second-day-of-school/</v>
      </c>
      <c r="L1868" s="8"/>
      <c r="M1868" s="8"/>
      <c r="N1868" s="8">
        <f ca="1">IFERROR(__xludf.DUMMYFUNCTION("""COMPUTED_VALUE"""),2)</f>
        <v>2</v>
      </c>
      <c r="O1868" s="8" t="str">
        <f ca="1">IFERROR(__xludf.DUMMYFUNCTION("""COMPUTED_VALUE"""),"Fall")</f>
        <v>Fall</v>
      </c>
      <c r="P1868" s="8" t="str">
        <f ca="1">IFERROR(__xludf.DUMMYFUNCTION("""COMPUTED_VALUE"""),"Detroit")</f>
        <v>Detroit</v>
      </c>
      <c r="Q1868" s="8" t="str">
        <f ca="1">IFERROR(__xludf.DUMMYFUNCTION("""COMPUTED_VALUE"""),"MI")</f>
        <v>MI</v>
      </c>
      <c r="R1868" s="8" t="str">
        <f ca="1">IFERROR(__xludf.DUMMYFUNCTION("""COMPUTED_VALUE"""),"High")</f>
        <v>High</v>
      </c>
      <c r="S1868" s="8" t="str">
        <f ca="1">IFERROR(__xludf.DUMMYFUNCTION("""COMPUTED_VALUE"""),"Parking Lot")</f>
        <v>Parking Lot</v>
      </c>
      <c r="T1868" s="8" t="str">
        <f ca="1">IFERROR(__xludf.DUMMYFUNCTION("""COMPUTED_VALUE"""),"Outside on School Property")</f>
        <v>Outside on School Property</v>
      </c>
      <c r="U1868" s="8" t="str">
        <f ca="1">IFERROR(__xludf.DUMMYFUNCTION("""COMPUTED_VALUE"""),"Yes")</f>
        <v>Yes</v>
      </c>
      <c r="V1868" s="8" t="str">
        <f ca="1">IFERROR(__xludf.DUMMYFUNCTION("""COMPUTED_VALUE"""),"Before School")</f>
        <v>Before School</v>
      </c>
      <c r="W1868" s="11">
        <f ca="1">IFERROR(__xludf.DUMMYFUNCTION("""COMPUTED_VALUE"""),0.291666666666666)</f>
        <v>0.29166666666666602</v>
      </c>
      <c r="X1868" s="8"/>
      <c r="Y1868" s="12" t="str">
        <f ca="1">IFERROR(__xludf.DUMMYFUNCTION("""COMPUTED_VALUE"""),"Shots fired at principal's car")</f>
        <v>Shots fired at principal's car</v>
      </c>
      <c r="Z1868" s="12" t="str">
        <f ca="1">IFERROR(__xludf.DUMMYFUNCTION("""COMPUTED_VALUE"""),"The school principal was exiting the vehicle at the school parking lot when a shot hit the vehicle. He ran to the building and 2 more shots were fired at the vehicle. The shooter was hiding behind trees near the fence and fled right away. K9 officers lost"&amp;" tracks not far from the school and the shooter was not captured. The police wanted to interview a former student who was asked by the principal to leave the building the day before. No one was hurt.")</f>
        <v>The school principal was exiting the vehicle at the school parking lot when a shot hit the vehicle. He ran to the building and 2 more shots were fired at the vehicle. The shooter was hiding behind trees near the fence and fled right away. K9 officers lost tracks not far from the school and the shooter was not captured. The police wanted to interview a former student who was asked by the principal to leave the building the day before. No one was hurt.</v>
      </c>
      <c r="AA1868" s="8" t="str">
        <f ca="1">IFERROR(__xludf.DUMMYFUNCTION("""COMPUTED_VALUE"""),"Unknown")</f>
        <v>Unknown</v>
      </c>
      <c r="AB1868" s="8"/>
      <c r="AC1868" s="8" t="str">
        <f ca="1">IFERROR(__xludf.DUMMYFUNCTION("""COMPUTED_VALUE"""),"Yes")</f>
        <v>Yes</v>
      </c>
      <c r="AD1868" s="8" t="str">
        <f ca="1">IFERROR(__xludf.DUMMYFUNCTION("""COMPUTED_VALUE"""),"Victims Targeted")</f>
        <v>Victims Targeted</v>
      </c>
      <c r="AE1868" s="8"/>
      <c r="AF1868" s="8"/>
      <c r="AG1868" s="8" t="str">
        <f ca="1">IFERROR(__xludf.DUMMYFUNCTION("""COMPUTED_VALUE"""),"No")</f>
        <v>No</v>
      </c>
      <c r="AH1868" s="8" t="str">
        <f ca="1">IFERROR(__xludf.DUMMYFUNCTION("""COMPUTED_VALUE"""),"No")</f>
        <v>No</v>
      </c>
      <c r="AI1868" s="8" t="str">
        <f ca="1">IFERROR(__xludf.DUMMYFUNCTION("""COMPUTED_VALUE"""),"No")</f>
        <v>No</v>
      </c>
      <c r="AJ1868" s="8"/>
      <c r="AK1868" s="8"/>
      <c r="AL1868" s="8"/>
      <c r="AM1868" s="8" t="str">
        <f ca="1">IFERROR(__xludf.DUMMYFUNCTION("""COMPUTED_VALUE"""),"No")</f>
        <v>No</v>
      </c>
      <c r="AN1868" s="8"/>
      <c r="AO1868" s="8" t="str">
        <f ca="1">IFERROR(__xludf.DUMMYFUNCTION("""COMPUTED_VALUE"""),"No")</f>
        <v>No</v>
      </c>
      <c r="AP1868" s="8" t="str">
        <f ca="1">IFERROR(__xludf.DUMMYFUNCTION("""COMPUTED_VALUE"""),"No")</f>
        <v>No</v>
      </c>
      <c r="AQ1868" s="8" t="str">
        <f ca="1">IFERROR(__xludf.DUMMYFUNCTION("""COMPUTED_VALUE"""),"Unknown")</f>
        <v>Unknown</v>
      </c>
      <c r="AR1868" s="8" t="str">
        <f ca="1">IFERROR(__xludf.DUMMYFUNCTION("""COMPUTED_VALUE"""),"NA")</f>
        <v>NA</v>
      </c>
      <c r="AS1868" s="8">
        <f ca="1">IFERROR(__xludf.DUMMYFUNCTION("""COMPUTED_VALUE"""),3)</f>
        <v>3</v>
      </c>
      <c r="AT1868" s="8" t="str">
        <f ca="1">IFERROR(__xludf.DUMMYFUNCTION("""COMPUTED_VALUE"""),"No")</f>
        <v>No</v>
      </c>
      <c r="AU1868" s="8">
        <f ca="1">IFERROR(__xludf.DUMMYFUNCTION("""COMPUTED_VALUE"""),42.358036)</f>
        <v>42.358035999999998</v>
      </c>
      <c r="AV1868" s="8">
        <f ca="1">IFERROR(__xludf.DUMMYFUNCTION("""COMPUTED_VALUE"""),-83.103265)</f>
        <v>-83.103264999999993</v>
      </c>
      <c r="AW1868" s="8"/>
      <c r="AX1868" s="8">
        <f ca="1">IFERROR(__xludf.DUMMYFUNCTION("""COMPUTED_VALUE"""),48208)</f>
        <v>48208</v>
      </c>
    </row>
    <row r="1869" spans="1:50" ht="90" x14ac:dyDescent="0.2">
      <c r="A1869" s="8" t="str">
        <f ca="1">IFERROR(__xludf.DUMMYFUNCTION("""COMPUTED_VALUE"""),"20160902OKMCT")</f>
        <v>20160902OKMCT</v>
      </c>
      <c r="B1869" s="8">
        <f ca="1">IFERROR(__xludf.DUMMYFUNCTION("""COMPUTED_VALUE"""),9)</f>
        <v>9</v>
      </c>
      <c r="C1869" s="8">
        <f ca="1">IFERROR(__xludf.DUMMYFUNCTION("""COMPUTED_VALUE"""),2)</f>
        <v>2</v>
      </c>
      <c r="D1869" s="8">
        <f ca="1">IFERROR(__xludf.DUMMYFUNCTION("""COMPUTED_VALUE"""),2016)</f>
        <v>2016</v>
      </c>
      <c r="E1869" s="9">
        <f ca="1">IFERROR(__xludf.DUMMYFUNCTION("""COMPUTED_VALUE"""),42615)</f>
        <v>42615</v>
      </c>
      <c r="F1869" s="8" t="str">
        <f ca="1">IFERROR(__xludf.DUMMYFUNCTION("""COMPUTED_VALUE"""),"McClain High School")</f>
        <v>McClain High School</v>
      </c>
      <c r="G1869" s="8">
        <f ca="1">IFERROR(__xludf.DUMMYFUNCTION("""COMPUTED_VALUE"""),0)</f>
        <v>0</v>
      </c>
      <c r="H1869" s="8">
        <f ca="1">IFERROR(__xludf.DUMMYFUNCTION("""COMPUTED_VALUE"""),1)</f>
        <v>1</v>
      </c>
      <c r="I1869" s="8">
        <f ca="1">IFERROR(__xludf.DUMMYFUNCTION("""COMPUTED_VALUE"""),1)</f>
        <v>1</v>
      </c>
      <c r="J1869" s="8">
        <f ca="1">IFERROR(__xludf.DUMMYFUNCTION("""COMPUTED_VALUE"""),0)</f>
        <v>0</v>
      </c>
      <c r="K1869" s="8" t="str">
        <f ca="1">IFERROR(__xludf.DUMMYFUNCTION("""COMPUTED_VALUE"""),"http://www.nydailynews.com/news/national/okla-teen-shot-head-high-school-football-game-article-1.2776565 https://www.tulsaworld.com/news/local/crime-and-courts/student-pleads-guilty-to-shooting-during-mclain-football-game/article_bdffedaf-cd38-5d17-a5f2-f"&amp;"2c2c29924be.html")</f>
        <v>http://www.nydailynews.com/news/national/okla-teen-shot-head-high-school-football-game-article-1.2776565 https://www.tulsaworld.com/news/local/crime-and-courts/student-pleads-guilty-to-shooting-during-mclain-football-game/article_bdffedaf-cd38-5d17-a5f2-f2c2c29924be.html</v>
      </c>
      <c r="L1869" s="8">
        <f ca="1">IFERROR(__xludf.DUMMYFUNCTION("""COMPUTED_VALUE"""),5)</f>
        <v>5</v>
      </c>
      <c r="M1869" s="8" t="str">
        <f ca="1">IFERROR(__xludf.DUMMYFUNCTION("""COMPUTED_VALUE"""),"Local")</f>
        <v>Local</v>
      </c>
      <c r="N1869" s="8">
        <f ca="1">IFERROR(__xludf.DUMMYFUNCTION("""COMPUTED_VALUE"""),3)</f>
        <v>3</v>
      </c>
      <c r="O1869" s="8" t="str">
        <f ca="1">IFERROR(__xludf.DUMMYFUNCTION("""COMPUTED_VALUE"""),"Fall")</f>
        <v>Fall</v>
      </c>
      <c r="P1869" s="8" t="str">
        <f ca="1">IFERROR(__xludf.DUMMYFUNCTION("""COMPUTED_VALUE"""),"Tulsa")</f>
        <v>Tulsa</v>
      </c>
      <c r="Q1869" s="8" t="str">
        <f ca="1">IFERROR(__xludf.DUMMYFUNCTION("""COMPUTED_VALUE"""),"OK")</f>
        <v>OK</v>
      </c>
      <c r="R1869" s="8" t="str">
        <f ca="1">IFERROR(__xludf.DUMMYFUNCTION("""COMPUTED_VALUE"""),"High")</f>
        <v>High</v>
      </c>
      <c r="S1869" s="8" t="str">
        <f ca="1">IFERROR(__xludf.DUMMYFUNCTION("""COMPUTED_VALUE"""),"Football Field/Track")</f>
        <v>Football Field/Track</v>
      </c>
      <c r="T1869" s="8" t="str">
        <f ca="1">IFERROR(__xludf.DUMMYFUNCTION("""COMPUTED_VALUE"""),"Outside on School Property")</f>
        <v>Outside on School Property</v>
      </c>
      <c r="U1869" s="8" t="str">
        <f ca="1">IFERROR(__xludf.DUMMYFUNCTION("""COMPUTED_VALUE"""),"No")</f>
        <v>No</v>
      </c>
      <c r="V1869" s="8" t="str">
        <f ca="1">IFERROR(__xludf.DUMMYFUNCTION("""COMPUTED_VALUE"""),"Sport Event")</f>
        <v>Sport Event</v>
      </c>
      <c r="W1869" s="11">
        <f ca="1">IFERROR(__xludf.DUMMYFUNCTION("""COMPUTED_VALUE"""),0.885416666666666)</f>
        <v>0.88541666666666596</v>
      </c>
      <c r="X1869" s="8">
        <f ca="1">IFERROR(__xludf.DUMMYFUNCTION("""COMPUTED_VALUE"""),1)</f>
        <v>1</v>
      </c>
      <c r="Y1869" s="12" t="str">
        <f ca="1">IFERROR(__xludf.DUMMYFUNCTION("""COMPUTED_VALUE"""),"Gang-related altercation just before the shots were fired")</f>
        <v>Gang-related altercation just before the shots were fired</v>
      </c>
      <c r="Z1869" s="12" t="str">
        <f ca="1">IFERROR(__xludf.DUMMYFUNCTION("""COMPUTED_VALUE"""),"The shooter and the victim allegedly had an altercation at the end of a high school football game. The victim and his party allegedly showed the shooter gang signs. The shooter shot twice and hit the victim in the temple. The victim was taken to the hospi"&amp;"tal. The shooter fled right away but was apprehended outside the stadium.")</f>
        <v>The shooter and the victim allegedly had an altercation at the end of a high school football game. The victim and his party allegedly showed the shooter gang signs. The shooter shot twice and hit the victim in the temple. The victim was taken to the hospital. The shooter fled right away but was apprehended outside the stadium.</v>
      </c>
      <c r="AA1869" s="8" t="str">
        <f ca="1">IFERROR(__xludf.DUMMYFUNCTION("""COMPUTED_VALUE"""),"Escalation of Dispute")</f>
        <v>Escalation of Dispute</v>
      </c>
      <c r="AB1869" s="8"/>
      <c r="AC1869" s="8" t="str">
        <f ca="1">IFERROR(__xludf.DUMMYFUNCTION("""COMPUTED_VALUE"""),"Yes")</f>
        <v>Yes</v>
      </c>
      <c r="AD1869" s="8" t="str">
        <f ca="1">IFERROR(__xludf.DUMMYFUNCTION("""COMPUTED_VALUE"""),"Victims Targeted")</f>
        <v>Victims Targeted</v>
      </c>
      <c r="AE1869" s="8"/>
      <c r="AF1869" s="8"/>
      <c r="AG1869" s="8" t="str">
        <f ca="1">IFERROR(__xludf.DUMMYFUNCTION("""COMPUTED_VALUE"""),"No")</f>
        <v>No</v>
      </c>
      <c r="AH1869" s="8" t="str">
        <f ca="1">IFERROR(__xludf.DUMMYFUNCTION("""COMPUTED_VALUE"""),"No")</f>
        <v>No</v>
      </c>
      <c r="AI1869" s="8" t="str">
        <f ca="1">IFERROR(__xludf.DUMMYFUNCTION("""COMPUTED_VALUE"""),"No")</f>
        <v>No</v>
      </c>
      <c r="AJ1869" s="8" t="str">
        <f ca="1">IFERROR(__xludf.DUMMYFUNCTION("""COMPUTED_VALUE"""),"No")</f>
        <v>No</v>
      </c>
      <c r="AK1869" s="8" t="str">
        <f ca="1">IFERROR(__xludf.DUMMYFUNCTION("""COMPUTED_VALUE"""),"No")</f>
        <v>No</v>
      </c>
      <c r="AL1869" s="8" t="str">
        <f ca="1">IFERROR(__xludf.DUMMYFUNCTION("""COMPUTED_VALUE"""),"Yes")</f>
        <v>Yes</v>
      </c>
      <c r="AM1869" s="8" t="str">
        <f ca="1">IFERROR(__xludf.DUMMYFUNCTION("""COMPUTED_VALUE"""),"No")</f>
        <v>No</v>
      </c>
      <c r="AN1869" s="8"/>
      <c r="AO1869" s="8" t="str">
        <f ca="1">IFERROR(__xludf.DUMMYFUNCTION("""COMPUTED_VALUE"""),"No")</f>
        <v>No</v>
      </c>
      <c r="AP1869" s="8"/>
      <c r="AQ1869" s="8" t="str">
        <f ca="1">IFERROR(__xludf.DUMMYFUNCTION("""COMPUTED_VALUE"""),"Unknown")</f>
        <v>Unknown</v>
      </c>
      <c r="AR1869" s="8" t="str">
        <f ca="1">IFERROR(__xludf.DUMMYFUNCTION("""COMPUTED_VALUE"""),"NA")</f>
        <v>NA</v>
      </c>
      <c r="AS1869" s="8">
        <f ca="1">IFERROR(__xludf.DUMMYFUNCTION("""COMPUTED_VALUE"""),2)</f>
        <v>2</v>
      </c>
      <c r="AT1869" s="8" t="str">
        <f ca="1">IFERROR(__xludf.DUMMYFUNCTION("""COMPUTED_VALUE"""),"No")</f>
        <v>No</v>
      </c>
      <c r="AU1869" s="8">
        <f ca="1">IFERROR(__xludf.DUMMYFUNCTION("""COMPUTED_VALUE"""),36.225111)</f>
        <v>36.225110999999998</v>
      </c>
      <c r="AV1869" s="8">
        <f ca="1">IFERROR(__xludf.DUMMYFUNCTION("""COMPUTED_VALUE"""),-95.974495)</f>
        <v>-95.974495000000005</v>
      </c>
      <c r="AW1869" s="8"/>
      <c r="AX1869" s="8">
        <f ca="1">IFERROR(__xludf.DUMMYFUNCTION("""COMPUTED_VALUE"""),74126)</f>
        <v>74126</v>
      </c>
    </row>
    <row r="1870" spans="1:50" ht="45" x14ac:dyDescent="0.2">
      <c r="A1870" s="8" t="str">
        <f ca="1">IFERROR(__xludf.DUMMYFUNCTION("""COMPUTED_VALUE"""),"20160819FLSOM")</f>
        <v>20160819FLSOM</v>
      </c>
      <c r="B1870" s="8">
        <f ca="1">IFERROR(__xludf.DUMMYFUNCTION("""COMPUTED_VALUE"""),8)</f>
        <v>8</v>
      </c>
      <c r="C1870" s="8">
        <f ca="1">IFERROR(__xludf.DUMMYFUNCTION("""COMPUTED_VALUE"""),19)</f>
        <v>19</v>
      </c>
      <c r="D1870" s="8">
        <f ca="1">IFERROR(__xludf.DUMMYFUNCTION("""COMPUTED_VALUE"""),2016)</f>
        <v>2016</v>
      </c>
      <c r="E1870" s="9">
        <f ca="1">IFERROR(__xludf.DUMMYFUNCTION("""COMPUTED_VALUE"""),42601)</f>
        <v>42601</v>
      </c>
      <c r="F1870" s="8" t="str">
        <f ca="1">IFERROR(__xludf.DUMMYFUNCTION("""COMPUTED_VALUE"""),"Southridge High School")</f>
        <v>Southridge High School</v>
      </c>
      <c r="G1870" s="8">
        <f ca="1">IFERROR(__xludf.DUMMYFUNCTION("""COMPUTED_VALUE"""),0)</f>
        <v>0</v>
      </c>
      <c r="H1870" s="8">
        <f ca="1">IFERROR(__xludf.DUMMYFUNCTION("""COMPUTED_VALUE"""),0)</f>
        <v>0</v>
      </c>
      <c r="I1870" s="8">
        <f ca="1">IFERROR(__xludf.DUMMYFUNCTION("""COMPUTED_VALUE"""),0)</f>
        <v>0</v>
      </c>
      <c r="J1870" s="8">
        <f ca="1">IFERROR(__xludf.DUMMYFUNCTION("""COMPUTED_VALUE"""),0)</f>
        <v>0</v>
      </c>
      <c r="K1870" s="10" t="str">
        <f ca="1">IFERROR(__xludf.DUMMYFUNCTION("""COMPUTED_VALUE"""),"https://www.local10.com/news/2016/08/20/shots-fired-at-southridge-vs-south-plantation-football-game-police-say/")</f>
        <v>https://www.local10.com/news/2016/08/20/shots-fired-at-southridge-vs-south-plantation-football-game-police-say/</v>
      </c>
      <c r="L1870" s="8"/>
      <c r="M1870" s="8"/>
      <c r="N1870" s="8">
        <f ca="1">IFERROR(__xludf.DUMMYFUNCTION("""COMPUTED_VALUE"""),3)</f>
        <v>3</v>
      </c>
      <c r="O1870" s="8" t="str">
        <f ca="1">IFERROR(__xludf.DUMMYFUNCTION("""COMPUTED_VALUE"""),"Summer")</f>
        <v>Summer</v>
      </c>
      <c r="P1870" s="8" t="str">
        <f ca="1">IFERROR(__xludf.DUMMYFUNCTION("""COMPUTED_VALUE"""),"Miami")</f>
        <v>Miami</v>
      </c>
      <c r="Q1870" s="8" t="str">
        <f ca="1">IFERROR(__xludf.DUMMYFUNCTION("""COMPUTED_VALUE"""),"FL")</f>
        <v>FL</v>
      </c>
      <c r="R1870" s="8" t="str">
        <f ca="1">IFERROR(__xludf.DUMMYFUNCTION("""COMPUTED_VALUE"""),"High")</f>
        <v>High</v>
      </c>
      <c r="S1870" s="8" t="str">
        <f ca="1">IFERROR(__xludf.DUMMYFUNCTION("""COMPUTED_VALUE"""),"Parking Lot")</f>
        <v>Parking Lot</v>
      </c>
      <c r="T1870" s="8" t="str">
        <f ca="1">IFERROR(__xludf.DUMMYFUNCTION("""COMPUTED_VALUE"""),"Outside on School Property")</f>
        <v>Outside on School Property</v>
      </c>
      <c r="U1870" s="8" t="str">
        <f ca="1">IFERROR(__xludf.DUMMYFUNCTION("""COMPUTED_VALUE"""),"No")</f>
        <v>No</v>
      </c>
      <c r="V1870" s="8" t="str">
        <f ca="1">IFERROR(__xludf.DUMMYFUNCTION("""COMPUTED_VALUE"""),"Sport Event")</f>
        <v>Sport Event</v>
      </c>
      <c r="W1870" s="11">
        <f ca="1">IFERROR(__xludf.DUMMYFUNCTION("""COMPUTED_VALUE"""),0.902777777777777)</f>
        <v>0.90277777777777701</v>
      </c>
      <c r="X1870" s="8">
        <f ca="1">IFERROR(__xludf.DUMMYFUNCTION("""COMPUTED_VALUE"""),1)</f>
        <v>1</v>
      </c>
      <c r="Y1870" s="12" t="str">
        <f ca="1">IFERROR(__xludf.DUMMYFUNCTION("""COMPUTED_VALUE"""),"Shots fired in parking lot during football game")</f>
        <v>Shots fired in parking lot during football game</v>
      </c>
      <c r="Z1870" s="12" t="str">
        <f ca="1">IFERROR(__xludf.DUMMYFUNCTION("""COMPUTED_VALUE"""),"Shots fired in parking lot during high school football game. Vehicle in the parking lot was struck. No injuries. Police arrested a man who was not a student at either school.")</f>
        <v>Shots fired in parking lot during high school football game. Vehicle in the parking lot was struck. No injuries. Police arrested a man who was not a student at either school.</v>
      </c>
      <c r="AA1870" s="8" t="str">
        <f ca="1">IFERROR(__xludf.DUMMYFUNCTION("""COMPUTED_VALUE"""),"Escalation of Dispute")</f>
        <v>Escalation of Dispute</v>
      </c>
      <c r="AB1870" s="8"/>
      <c r="AC1870" s="8" t="str">
        <f ca="1">IFERROR(__xludf.DUMMYFUNCTION("""COMPUTED_VALUE"""),"Yes")</f>
        <v>Yes</v>
      </c>
      <c r="AD1870" s="8"/>
      <c r="AE1870" s="8" t="str">
        <f ca="1">IFERROR(__xludf.DUMMYFUNCTION("""COMPUTED_VALUE"""),"No")</f>
        <v>No</v>
      </c>
      <c r="AF1870" s="8"/>
      <c r="AG1870" s="8" t="str">
        <f ca="1">IFERROR(__xludf.DUMMYFUNCTION("""COMPUTED_VALUE"""),"No")</f>
        <v>No</v>
      </c>
      <c r="AH1870" s="8" t="str">
        <f ca="1">IFERROR(__xludf.DUMMYFUNCTION("""COMPUTED_VALUE"""),"No")</f>
        <v>No</v>
      </c>
      <c r="AI1870" s="8" t="str">
        <f ca="1">IFERROR(__xludf.DUMMYFUNCTION("""COMPUTED_VALUE"""),"No")</f>
        <v>No</v>
      </c>
      <c r="AJ1870" s="8" t="str">
        <f ca="1">IFERROR(__xludf.DUMMYFUNCTION("""COMPUTED_VALUE"""),"No")</f>
        <v>No</v>
      </c>
      <c r="AK1870" s="8" t="str">
        <f ca="1">IFERROR(__xludf.DUMMYFUNCTION("""COMPUTED_VALUE"""),"No")</f>
        <v>No</v>
      </c>
      <c r="AL1870" s="8"/>
      <c r="AM1870" s="8" t="str">
        <f ca="1">IFERROR(__xludf.DUMMYFUNCTION("""COMPUTED_VALUE"""),"No")</f>
        <v>No</v>
      </c>
      <c r="AN1870" s="8"/>
      <c r="AO1870" s="8" t="str">
        <f ca="1">IFERROR(__xludf.DUMMYFUNCTION("""COMPUTED_VALUE"""),"No")</f>
        <v>No</v>
      </c>
      <c r="AP1870" s="8"/>
      <c r="AQ1870" s="8" t="str">
        <f ca="1">IFERROR(__xludf.DUMMYFUNCTION("""COMPUTED_VALUE"""),"Unknown")</f>
        <v>Unknown</v>
      </c>
      <c r="AR1870" s="8" t="str">
        <f ca="1">IFERROR(__xludf.DUMMYFUNCTION("""COMPUTED_VALUE"""),"NA")</f>
        <v>NA</v>
      </c>
      <c r="AS1870" s="8"/>
      <c r="AT1870" s="8"/>
      <c r="AU1870" s="8">
        <f ca="1">IFERROR(__xludf.DUMMYFUNCTION("""COMPUTED_VALUE"""),25.586308)</f>
        <v>25.586307999999999</v>
      </c>
      <c r="AV1870" s="8">
        <f ca="1">IFERROR(__xludf.DUMMYFUNCTION("""COMPUTED_VALUE"""),-80.375722)</f>
        <v>-80.375721999999996</v>
      </c>
      <c r="AW1870" s="8"/>
      <c r="AX1870" s="8">
        <f ca="1">IFERROR(__xludf.DUMMYFUNCTION("""COMPUTED_VALUE"""),33197)</f>
        <v>33197</v>
      </c>
    </row>
    <row r="1871" spans="1:50" ht="75" x14ac:dyDescent="0.2">
      <c r="A1871" s="8" t="str">
        <f ca="1">IFERROR(__xludf.DUMMYFUNCTION("""COMPUTED_VALUE"""),"20160817OHWEC")</f>
        <v>20160817OHWEC</v>
      </c>
      <c r="B1871" s="8">
        <f ca="1">IFERROR(__xludf.DUMMYFUNCTION("""COMPUTED_VALUE"""),8)</f>
        <v>8</v>
      </c>
      <c r="C1871" s="8">
        <f ca="1">IFERROR(__xludf.DUMMYFUNCTION("""COMPUTED_VALUE"""),17)</f>
        <v>17</v>
      </c>
      <c r="D1871" s="8">
        <f ca="1">IFERROR(__xludf.DUMMYFUNCTION("""COMPUTED_VALUE"""),2016)</f>
        <v>2016</v>
      </c>
      <c r="E1871" s="9">
        <f ca="1">IFERROR(__xludf.DUMMYFUNCTION("""COMPUTED_VALUE"""),42599)</f>
        <v>42599</v>
      </c>
      <c r="F1871" s="8" t="str">
        <f ca="1">IFERROR(__xludf.DUMMYFUNCTION("""COMPUTED_VALUE"""),"Wedgewood Middle School")</f>
        <v>Wedgewood Middle School</v>
      </c>
      <c r="G1871" s="8">
        <f ca="1">IFERROR(__xludf.DUMMYFUNCTION("""COMPUTED_VALUE"""),0)</f>
        <v>0</v>
      </c>
      <c r="H1871" s="8">
        <f ca="1">IFERROR(__xludf.DUMMYFUNCTION("""COMPUTED_VALUE"""),2)</f>
        <v>2</v>
      </c>
      <c r="I1871" s="8">
        <f ca="1">IFERROR(__xludf.DUMMYFUNCTION("""COMPUTED_VALUE"""),2)</f>
        <v>2</v>
      </c>
      <c r="J1871" s="8">
        <f ca="1">IFERROR(__xludf.DUMMYFUNCTION("""COMPUTED_VALUE"""),0)</f>
        <v>0</v>
      </c>
      <c r="K1871" s="10" t="str">
        <f ca="1">IFERROR(__xludf.DUMMYFUNCTION("""COMPUTED_VALUE"""),"http://www.nbc4i.com/news/one-shot-at-west-side-middle-school-police-looking-for-group-of-males-as-suspects/1114333465")</f>
        <v>http://www.nbc4i.com/news/one-shot-at-west-side-middle-school-police-looking-for-group-of-males-as-suspects/1114333465</v>
      </c>
      <c r="L1871" s="8">
        <f ca="1">IFERROR(__xludf.DUMMYFUNCTION("""COMPUTED_VALUE"""),1)</f>
        <v>1</v>
      </c>
      <c r="M1871" s="8" t="str">
        <f ca="1">IFERROR(__xludf.DUMMYFUNCTION("""COMPUTED_VALUE"""),"Local")</f>
        <v>Local</v>
      </c>
      <c r="N1871" s="8">
        <f ca="1">IFERROR(__xludf.DUMMYFUNCTION("""COMPUTED_VALUE"""),2)</f>
        <v>2</v>
      </c>
      <c r="O1871" s="8" t="str">
        <f ca="1">IFERROR(__xludf.DUMMYFUNCTION("""COMPUTED_VALUE"""),"Summer")</f>
        <v>Summer</v>
      </c>
      <c r="P1871" s="8" t="str">
        <f ca="1">IFERROR(__xludf.DUMMYFUNCTION("""COMPUTED_VALUE"""),"Columbus")</f>
        <v>Columbus</v>
      </c>
      <c r="Q1871" s="8" t="str">
        <f ca="1">IFERROR(__xludf.DUMMYFUNCTION("""COMPUTED_VALUE"""),"OH")</f>
        <v>OH</v>
      </c>
      <c r="R1871" s="8" t="str">
        <f ca="1">IFERROR(__xludf.DUMMYFUNCTION("""COMPUTED_VALUE"""),"Middle")</f>
        <v>Middle</v>
      </c>
      <c r="S1871" s="8" t="str">
        <f ca="1">IFERROR(__xludf.DUMMYFUNCTION("""COMPUTED_VALUE"""),"Parking Lot")</f>
        <v>Parking Lot</v>
      </c>
      <c r="T1871" s="8" t="str">
        <f ca="1">IFERROR(__xludf.DUMMYFUNCTION("""COMPUTED_VALUE"""),"Outside on School Property")</f>
        <v>Outside on School Property</v>
      </c>
      <c r="U1871" s="8" t="str">
        <f ca="1">IFERROR(__xludf.DUMMYFUNCTION("""COMPUTED_VALUE"""),"No")</f>
        <v>No</v>
      </c>
      <c r="V1871" s="8" t="str">
        <f ca="1">IFERROR(__xludf.DUMMYFUNCTION("""COMPUTED_VALUE"""),"Evening")</f>
        <v>Evening</v>
      </c>
      <c r="W1871" s="11">
        <f ca="1">IFERROR(__xludf.DUMMYFUNCTION("""COMPUTED_VALUE"""),0.840277777777777)</f>
        <v>0.84027777777777701</v>
      </c>
      <c r="X1871" s="8">
        <f ca="1">IFERROR(__xludf.DUMMYFUNCTION("""COMPUTED_VALUE"""),1)</f>
        <v>1</v>
      </c>
      <c r="Y1871" s="12" t="str">
        <f ca="1">IFERROR(__xludf.DUMMYFUNCTION("""COMPUTED_VALUE"""),"2 people shot in a car; shooter was in another car")</f>
        <v>2 people shot in a car; shooter was in another car</v>
      </c>
      <c r="Z1871" s="12" t="str">
        <f ca="1">IFERROR(__xludf.DUMMYFUNCTION("""COMPUTED_VALUE"""),"Victims were sitting in a car when a man pulled up in a black SUV and told them, ""Don't move."" The unidentified man then pulled out a gun and started shooting at the car, hitting Shariff in the leg and Mohamed in the back. No further information on the "&amp;"investigation or motives.")</f>
        <v>Victims were sitting in a car when a man pulled up in a black SUV and told them, "Don't move." The unidentified man then pulled out a gun and started shooting at the car, hitting Shariff in the leg and Mohamed in the back. No further information on the investigation or motives.</v>
      </c>
      <c r="AA1871" s="8" t="str">
        <f ca="1">IFERROR(__xludf.DUMMYFUNCTION("""COMPUTED_VALUE"""),"Unknown")</f>
        <v>Unknown</v>
      </c>
      <c r="AB1871" s="8"/>
      <c r="AC1871" s="8" t="str">
        <f ca="1">IFERROR(__xludf.DUMMYFUNCTION("""COMPUTED_VALUE"""),"No")</f>
        <v>No</v>
      </c>
      <c r="AD1871" s="8"/>
      <c r="AE1871" s="8"/>
      <c r="AF1871" s="8"/>
      <c r="AG1871" s="8" t="str">
        <f ca="1">IFERROR(__xludf.DUMMYFUNCTION("""COMPUTED_VALUE"""),"No")</f>
        <v>No</v>
      </c>
      <c r="AH1871" s="8" t="str">
        <f ca="1">IFERROR(__xludf.DUMMYFUNCTION("""COMPUTED_VALUE"""),"No")</f>
        <v>No</v>
      </c>
      <c r="AI1871" s="8" t="str">
        <f ca="1">IFERROR(__xludf.DUMMYFUNCTION("""COMPUTED_VALUE"""),"No")</f>
        <v>No</v>
      </c>
      <c r="AJ1871" s="8"/>
      <c r="AK1871" s="8" t="str">
        <f ca="1">IFERROR(__xludf.DUMMYFUNCTION("""COMPUTED_VALUE"""),"No")</f>
        <v>No</v>
      </c>
      <c r="AL1871" s="8"/>
      <c r="AM1871" s="8" t="str">
        <f ca="1">IFERROR(__xludf.DUMMYFUNCTION("""COMPUTED_VALUE"""),"No")</f>
        <v>No</v>
      </c>
      <c r="AN1871" s="8"/>
      <c r="AO1871" s="8" t="str">
        <f ca="1">IFERROR(__xludf.DUMMYFUNCTION("""COMPUTED_VALUE"""),"No")</f>
        <v>No</v>
      </c>
      <c r="AP1871" s="8"/>
      <c r="AQ1871" s="8" t="str">
        <f ca="1">IFERROR(__xludf.DUMMYFUNCTION("""COMPUTED_VALUE"""),"Unknown")</f>
        <v>Unknown</v>
      </c>
      <c r="AR1871" s="8" t="str">
        <f ca="1">IFERROR(__xludf.DUMMYFUNCTION("""COMPUTED_VALUE"""),"NA")</f>
        <v>NA</v>
      </c>
      <c r="AS1871" s="8"/>
      <c r="AT1871" s="8"/>
      <c r="AU1871" s="8">
        <f ca="1">IFERROR(__xludf.DUMMYFUNCTION("""COMPUTED_VALUE"""),39.936308)</f>
        <v>39.936307999999997</v>
      </c>
      <c r="AV1871" s="8">
        <f ca="1">IFERROR(__xludf.DUMMYFUNCTION("""COMPUTED_VALUE"""),-83.099559)</f>
        <v>-83.099558999999999</v>
      </c>
      <c r="AW1871" s="8"/>
      <c r="AX1871" s="8">
        <f ca="1">IFERROR(__xludf.DUMMYFUNCTION("""COMPUTED_VALUE"""),43328)</f>
        <v>43328</v>
      </c>
    </row>
    <row r="1872" spans="1:50" ht="90" x14ac:dyDescent="0.2">
      <c r="A1872" s="8" t="str">
        <f ca="1">IFERROR(__xludf.DUMMYFUNCTION("""COMPUTED_VALUE"""),"20160725MOAVA")</f>
        <v>20160725MOAVA</v>
      </c>
      <c r="B1872" s="8">
        <f ca="1">IFERROR(__xludf.DUMMYFUNCTION("""COMPUTED_VALUE"""),7)</f>
        <v>7</v>
      </c>
      <c r="C1872" s="8">
        <f ca="1">IFERROR(__xludf.DUMMYFUNCTION("""COMPUTED_VALUE"""),25)</f>
        <v>25</v>
      </c>
      <c r="D1872" s="8">
        <f ca="1">IFERROR(__xludf.DUMMYFUNCTION("""COMPUTED_VALUE"""),2016)</f>
        <v>2016</v>
      </c>
      <c r="E1872" s="9">
        <f ca="1">IFERROR(__xludf.DUMMYFUNCTION("""COMPUTED_VALUE"""),42576)</f>
        <v>42576</v>
      </c>
      <c r="F1872" s="8" t="str">
        <f ca="1">IFERROR(__xludf.DUMMYFUNCTION("""COMPUTED_VALUE"""),"Ava High School")</f>
        <v>Ava High School</v>
      </c>
      <c r="G1872" s="8">
        <f ca="1">IFERROR(__xludf.DUMMYFUNCTION("""COMPUTED_VALUE"""),0)</f>
        <v>0</v>
      </c>
      <c r="H1872" s="8">
        <f ca="1">IFERROR(__xludf.DUMMYFUNCTION("""COMPUTED_VALUE"""),1)</f>
        <v>1</v>
      </c>
      <c r="I1872" s="8">
        <f ca="1">IFERROR(__xludf.DUMMYFUNCTION("""COMPUTED_VALUE"""),1)</f>
        <v>1</v>
      </c>
      <c r="J1872" s="8">
        <f ca="1">IFERROR(__xludf.DUMMYFUNCTION("""COMPUTED_VALUE"""),1)</f>
        <v>1</v>
      </c>
      <c r="K1872" s="8" t="str">
        <f ca="1">IFERROR(__xludf.DUMMYFUNCTION("""COMPUTED_VALUE"""),"https://www.news-leader.com/story/news/crime/2016/07/25/1-dead-1-injured-shooting-ava-school-parking-lot-police-say/87519312/  https://douglascountyherald.com/2016/07/late-night-shooting-at-ava-school-parking-lot/")</f>
        <v>https://www.news-leader.com/story/news/crime/2016/07/25/1-dead-1-injured-shooting-ava-school-parking-lot-police-say/87519312/  https://douglascountyherald.com/2016/07/late-night-shooting-at-ava-school-parking-lot/</v>
      </c>
      <c r="L1872" s="8"/>
      <c r="M1872" s="8"/>
      <c r="N1872" s="8">
        <f ca="1">IFERROR(__xludf.DUMMYFUNCTION("""COMPUTED_VALUE"""),3)</f>
        <v>3</v>
      </c>
      <c r="O1872" s="8" t="str">
        <f ca="1">IFERROR(__xludf.DUMMYFUNCTION("""COMPUTED_VALUE"""),"Summer")</f>
        <v>Summer</v>
      </c>
      <c r="P1872" s="8" t="str">
        <f ca="1">IFERROR(__xludf.DUMMYFUNCTION("""COMPUTED_VALUE"""),"Ava")</f>
        <v>Ava</v>
      </c>
      <c r="Q1872" s="8" t="str">
        <f ca="1">IFERROR(__xludf.DUMMYFUNCTION("""COMPUTED_VALUE"""),"MO")</f>
        <v>MO</v>
      </c>
      <c r="R1872" s="8" t="str">
        <f ca="1">IFERROR(__xludf.DUMMYFUNCTION("""COMPUTED_VALUE"""),"High")</f>
        <v>High</v>
      </c>
      <c r="S1872" s="8" t="str">
        <f ca="1">IFERROR(__xludf.DUMMYFUNCTION("""COMPUTED_VALUE"""),"Parking Lot")</f>
        <v>Parking Lot</v>
      </c>
      <c r="T1872" s="8" t="str">
        <f ca="1">IFERROR(__xludf.DUMMYFUNCTION("""COMPUTED_VALUE"""),"Outside on School Property")</f>
        <v>Outside on School Property</v>
      </c>
      <c r="U1872" s="8" t="str">
        <f ca="1">IFERROR(__xludf.DUMMYFUNCTION("""COMPUTED_VALUE"""),"No")</f>
        <v>No</v>
      </c>
      <c r="V1872" s="8" t="str">
        <f ca="1">IFERROR(__xludf.DUMMYFUNCTION("""COMPUTED_VALUE"""),"Night")</f>
        <v>Night</v>
      </c>
      <c r="W1872" s="11">
        <f ca="1">IFERROR(__xludf.DUMMYFUNCTION("""COMPUTED_VALUE"""),0.0729166666666666)</f>
        <v>7.2916666666666602E-2</v>
      </c>
      <c r="X1872" s="8">
        <f ca="1">IFERROR(__xludf.DUMMYFUNCTION("""COMPUTED_VALUE"""),2)</f>
        <v>2</v>
      </c>
      <c r="Y1872" s="12" t="str">
        <f ca="1">IFERROR(__xludf.DUMMYFUNCTION("""COMPUTED_VALUE"""),"Planned fight in school parking lot")</f>
        <v>Planned fight in school parking lot</v>
      </c>
      <c r="Z1872" s="12" t="str">
        <f ca="1">IFERROR(__xludf.DUMMYFUNCTION("""COMPUTED_VALUE"""),"Shooter and victim met at school parking lot to fight. 10 to 15 other people were there to watch. Shooter approached victim, pulled gun from pants, and shot him. Victim ran behind a vehicle and was then shot twice more by shooter. Shooter then turned gun "&amp;"on himself. Shooter died and the victim recovered.")</f>
        <v>Shooter and victim met at school parking lot to fight. 10 to 15 other people were there to watch. Shooter approached victim, pulled gun from pants, and shot him. Victim ran behind a vehicle and was then shot twice more by shooter. Shooter then turned gun on himself. Shooter died and the victim recovered.</v>
      </c>
      <c r="AA1872" s="8" t="str">
        <f ca="1">IFERROR(__xludf.DUMMYFUNCTION("""COMPUTED_VALUE"""),"Escalation of Dispute")</f>
        <v>Escalation of Dispute</v>
      </c>
      <c r="AB1872" s="8"/>
      <c r="AC1872" s="8" t="str">
        <f ca="1">IFERROR(__xludf.DUMMYFUNCTION("""COMPUTED_VALUE"""),"No")</f>
        <v>No</v>
      </c>
      <c r="AD1872" s="8" t="str">
        <f ca="1">IFERROR(__xludf.DUMMYFUNCTION("""COMPUTED_VALUE"""),"Victims Targeted")</f>
        <v>Victims Targeted</v>
      </c>
      <c r="AE1872" s="8" t="str">
        <f ca="1">IFERROR(__xludf.DUMMYFUNCTION("""COMPUTED_VALUE"""),"No")</f>
        <v>No</v>
      </c>
      <c r="AF1872" s="8"/>
      <c r="AG1872" s="8" t="str">
        <f ca="1">IFERROR(__xludf.DUMMYFUNCTION("""COMPUTED_VALUE"""),"No")</f>
        <v>No</v>
      </c>
      <c r="AH1872" s="8" t="str">
        <f ca="1">IFERROR(__xludf.DUMMYFUNCTION("""COMPUTED_VALUE"""),"No")</f>
        <v>No</v>
      </c>
      <c r="AI1872" s="8" t="str">
        <f ca="1">IFERROR(__xludf.DUMMYFUNCTION("""COMPUTED_VALUE"""),"No")</f>
        <v>No</v>
      </c>
      <c r="AJ1872" s="8" t="str">
        <f ca="1">IFERROR(__xludf.DUMMYFUNCTION("""COMPUTED_VALUE"""),"No")</f>
        <v>No</v>
      </c>
      <c r="AK1872" s="8" t="str">
        <f ca="1">IFERROR(__xludf.DUMMYFUNCTION("""COMPUTED_VALUE"""),"No")</f>
        <v>No</v>
      </c>
      <c r="AL1872" s="8" t="str">
        <f ca="1">IFERROR(__xludf.DUMMYFUNCTION("""COMPUTED_VALUE"""),"No")</f>
        <v>No</v>
      </c>
      <c r="AM1872" s="8" t="str">
        <f ca="1">IFERROR(__xludf.DUMMYFUNCTION("""COMPUTED_VALUE"""),"No")</f>
        <v>No</v>
      </c>
      <c r="AN1872" s="8"/>
      <c r="AO1872" s="8" t="str">
        <f ca="1">IFERROR(__xludf.DUMMYFUNCTION("""COMPUTED_VALUE"""),"No")</f>
        <v>No</v>
      </c>
      <c r="AP1872" s="8"/>
      <c r="AQ1872" s="8" t="str">
        <f ca="1">IFERROR(__xludf.DUMMYFUNCTION("""COMPUTED_VALUE"""),"Unknown")</f>
        <v>Unknown</v>
      </c>
      <c r="AR1872" s="8" t="str">
        <f ca="1">IFERROR(__xludf.DUMMYFUNCTION("""COMPUTED_VALUE"""),"NA")</f>
        <v>NA</v>
      </c>
      <c r="AS1872" s="8">
        <f ca="1">IFERROR(__xludf.DUMMYFUNCTION("""COMPUTED_VALUE"""),4)</f>
        <v>4</v>
      </c>
      <c r="AT1872" s="8"/>
      <c r="AU1872" s="8">
        <f ca="1">IFERROR(__xludf.DUMMYFUNCTION("""COMPUTED_VALUE"""),36.956338)</f>
        <v>36.956338000000002</v>
      </c>
      <c r="AV1872" s="8">
        <f ca="1">IFERROR(__xludf.DUMMYFUNCTION("""COMPUTED_VALUE"""),-92.658975)</f>
        <v>-92.658974999999998</v>
      </c>
      <c r="AW1872" s="8"/>
      <c r="AX1872" s="8">
        <f ca="1">IFERROR(__xludf.DUMMYFUNCTION("""COMPUTED_VALUE"""),65608)</f>
        <v>65608</v>
      </c>
    </row>
    <row r="1873" spans="1:50" ht="90" x14ac:dyDescent="0.2">
      <c r="A1873" s="8" t="str">
        <f ca="1">IFERROR(__xludf.DUMMYFUNCTION("""COMPUTED_VALUE"""),"20160630CAWOH")</f>
        <v>20160630CAWOH</v>
      </c>
      <c r="B1873" s="8">
        <f ca="1">IFERROR(__xludf.DUMMYFUNCTION("""COMPUTED_VALUE"""),6)</f>
        <v>6</v>
      </c>
      <c r="C1873" s="8">
        <f ca="1">IFERROR(__xludf.DUMMYFUNCTION("""COMPUTED_VALUE"""),30)</f>
        <v>30</v>
      </c>
      <c r="D1873" s="8">
        <f ca="1">IFERROR(__xludf.DUMMYFUNCTION("""COMPUTED_VALUE"""),2016)</f>
        <v>2016</v>
      </c>
      <c r="E1873" s="9">
        <f ca="1">IFERROR(__xludf.DUMMYFUNCTION("""COMPUTED_VALUE"""),42551)</f>
        <v>42551</v>
      </c>
      <c r="F1873" s="8" t="str">
        <f ca="1">IFERROR(__xludf.DUMMYFUNCTION("""COMPUTED_VALUE"""),"Woodrow Wilson Junior High School")</f>
        <v>Woodrow Wilson Junior High School</v>
      </c>
      <c r="G1873" s="8">
        <f ca="1">IFERROR(__xludf.DUMMYFUNCTION("""COMPUTED_VALUE"""),0)</f>
        <v>0</v>
      </c>
      <c r="H1873" s="8">
        <f ca="1">IFERROR(__xludf.DUMMYFUNCTION("""COMPUTED_VALUE"""),1)</f>
        <v>1</v>
      </c>
      <c r="I1873" s="8">
        <f ca="1">IFERROR(__xludf.DUMMYFUNCTION("""COMPUTED_VALUE"""),1)</f>
        <v>1</v>
      </c>
      <c r="J1873" s="8">
        <f ca="1">IFERROR(__xludf.DUMMYFUNCTION("""COMPUTED_VALUE"""),0)</f>
        <v>0</v>
      </c>
      <c r="K1873" s="10" t="str">
        <f ca="1">IFERROR(__xludf.DUMMYFUNCTION("""COMPUTED_VALUE"""),"https://hanfordsentinel.com/news/local/crime/police-woman-shot-at-hanford-junior-high-school/article_e202ea04-65e0-5150-ad82-cea69301fb51.html")</f>
        <v>https://hanfordsentinel.com/news/local/crime/police-woman-shot-at-hanford-junior-high-school/article_e202ea04-65e0-5150-ad82-cea69301fb51.html</v>
      </c>
      <c r="L1873" s="8">
        <f ca="1">IFERROR(__xludf.DUMMYFUNCTION("""COMPUTED_VALUE"""),1)</f>
        <v>1</v>
      </c>
      <c r="M1873" s="8" t="str">
        <f ca="1">IFERROR(__xludf.DUMMYFUNCTION("""COMPUTED_VALUE"""),"Local")</f>
        <v>Local</v>
      </c>
      <c r="N1873" s="8">
        <f ca="1">IFERROR(__xludf.DUMMYFUNCTION("""COMPUTED_VALUE"""),2)</f>
        <v>2</v>
      </c>
      <c r="O1873" s="8" t="str">
        <f ca="1">IFERROR(__xludf.DUMMYFUNCTION("""COMPUTED_VALUE"""),"Summer")</f>
        <v>Summer</v>
      </c>
      <c r="P1873" s="8" t="str">
        <f ca="1">IFERROR(__xludf.DUMMYFUNCTION("""COMPUTED_VALUE"""),"Hanford")</f>
        <v>Hanford</v>
      </c>
      <c r="Q1873" s="8" t="str">
        <f ca="1">IFERROR(__xludf.DUMMYFUNCTION("""COMPUTED_VALUE"""),"CA")</f>
        <v>CA</v>
      </c>
      <c r="R1873" s="8" t="str">
        <f ca="1">IFERROR(__xludf.DUMMYFUNCTION("""COMPUTED_VALUE"""),"Junior High")</f>
        <v>Junior High</v>
      </c>
      <c r="S1873" s="8" t="str">
        <f ca="1">IFERROR(__xludf.DUMMYFUNCTION("""COMPUTED_VALUE"""),"Outside on School Property")</f>
        <v>Outside on School Property</v>
      </c>
      <c r="T1873" s="8" t="str">
        <f ca="1">IFERROR(__xludf.DUMMYFUNCTION("""COMPUTED_VALUE"""),"Outside on School Property")</f>
        <v>Outside on School Property</v>
      </c>
      <c r="U1873" s="8" t="str">
        <f ca="1">IFERROR(__xludf.DUMMYFUNCTION("""COMPUTED_VALUE"""),"No")</f>
        <v>No</v>
      </c>
      <c r="V1873" s="8" t="str">
        <f ca="1">IFERROR(__xludf.DUMMYFUNCTION("""COMPUTED_VALUE"""),"Evening")</f>
        <v>Evening</v>
      </c>
      <c r="W1873" s="11">
        <f ca="1">IFERROR(__xludf.DUMMYFUNCTION("""COMPUTED_VALUE"""),0.815972222222222)</f>
        <v>0.81597222222222199</v>
      </c>
      <c r="X1873" s="8">
        <f ca="1">IFERROR(__xludf.DUMMYFUNCTION("""COMPUTED_VALUE"""),1)</f>
        <v>1</v>
      </c>
      <c r="Y1873" s="12" t="str">
        <f ca="1">IFERROR(__xludf.DUMMYFUNCTION("""COMPUTED_VALUE"""),"Motive unknown, gang task force investigated, no evident gang affiliation of the victim")</f>
        <v>Motive unknown, gang task force investigated, no evident gang affiliation of the victim</v>
      </c>
      <c r="Z1873" s="12" t="str">
        <f ca="1">IFERROR(__xludf.DUMMYFUNCTION("""COMPUTED_VALUE"""),"A woman was shot in the leg. Police found shell casings. No motive identified.")</f>
        <v>A woman was shot in the leg. Police found shell casings. No motive identified.</v>
      </c>
      <c r="AA1873" s="8" t="str">
        <f ca="1">IFERROR(__xludf.DUMMYFUNCTION("""COMPUTED_VALUE"""),"Unknown")</f>
        <v>Unknown</v>
      </c>
      <c r="AB1873" s="8"/>
      <c r="AC1873" s="8" t="str">
        <f ca="1">IFERROR(__xludf.DUMMYFUNCTION("""COMPUTED_VALUE"""),"No")</f>
        <v>No</v>
      </c>
      <c r="AD1873" s="8"/>
      <c r="AE1873" s="8"/>
      <c r="AF1873" s="8"/>
      <c r="AG1873" s="8" t="str">
        <f ca="1">IFERROR(__xludf.DUMMYFUNCTION("""COMPUTED_VALUE"""),"No")</f>
        <v>No</v>
      </c>
      <c r="AH1873" s="8" t="str">
        <f ca="1">IFERROR(__xludf.DUMMYFUNCTION("""COMPUTED_VALUE"""),"No")</f>
        <v>No</v>
      </c>
      <c r="AI1873" s="8" t="str">
        <f ca="1">IFERROR(__xludf.DUMMYFUNCTION("""COMPUTED_VALUE"""),"No")</f>
        <v>No</v>
      </c>
      <c r="AJ1873" s="8"/>
      <c r="AK1873" s="8" t="str">
        <f ca="1">IFERROR(__xludf.DUMMYFUNCTION("""COMPUTED_VALUE"""),"No")</f>
        <v>No</v>
      </c>
      <c r="AL1873" s="8" t="str">
        <f ca="1">IFERROR(__xludf.DUMMYFUNCTION("""COMPUTED_VALUE"""),"No")</f>
        <v>No</v>
      </c>
      <c r="AM1873" s="8" t="str">
        <f ca="1">IFERROR(__xludf.DUMMYFUNCTION("""COMPUTED_VALUE"""),"No")</f>
        <v>No</v>
      </c>
      <c r="AN1873" s="8"/>
      <c r="AO1873" s="8" t="str">
        <f ca="1">IFERROR(__xludf.DUMMYFUNCTION("""COMPUTED_VALUE"""),"No")</f>
        <v>No</v>
      </c>
      <c r="AP1873" s="8"/>
      <c r="AQ1873" s="8" t="str">
        <f ca="1">IFERROR(__xludf.DUMMYFUNCTION("""COMPUTED_VALUE"""),"Unknown")</f>
        <v>Unknown</v>
      </c>
      <c r="AR1873" s="8" t="str">
        <f ca="1">IFERROR(__xludf.DUMMYFUNCTION("""COMPUTED_VALUE"""),"NA")</f>
        <v>NA</v>
      </c>
      <c r="AS1873" s="8" t="str">
        <f ca="1">IFERROR(__xludf.DUMMYFUNCTION("""COMPUTED_VALUE"""),"&lt;10")</f>
        <v>&lt;10</v>
      </c>
      <c r="AT1873" s="8"/>
      <c r="AU1873" s="8">
        <f ca="1">IFERROR(__xludf.DUMMYFUNCTION("""COMPUTED_VALUE"""),36.334357)</f>
        <v>36.334356999999997</v>
      </c>
      <c r="AV1873" s="8">
        <f ca="1">IFERROR(__xludf.DUMMYFUNCTION("""COMPUTED_VALUE"""),-119.654528)</f>
        <v>-119.654528</v>
      </c>
      <c r="AW1873" s="8"/>
      <c r="AX1873" s="8">
        <f ca="1">IFERROR(__xludf.DUMMYFUNCTION("""COMPUTED_VALUE"""),93230)</f>
        <v>93230</v>
      </c>
    </row>
    <row r="1874" spans="1:50" ht="60" x14ac:dyDescent="0.2">
      <c r="A1874" s="8" t="str">
        <f ca="1">IFERROR(__xludf.DUMMYFUNCTION("""COMPUTED_VALUE"""),"20160616ILMCC")</f>
        <v>20160616ILMCC</v>
      </c>
      <c r="B1874" s="8">
        <f ca="1">IFERROR(__xludf.DUMMYFUNCTION("""COMPUTED_VALUE"""),6)</f>
        <v>6</v>
      </c>
      <c r="C1874" s="8">
        <f ca="1">IFERROR(__xludf.DUMMYFUNCTION("""COMPUTED_VALUE"""),16)</f>
        <v>16</v>
      </c>
      <c r="D1874" s="8">
        <f ca="1">IFERROR(__xludf.DUMMYFUNCTION("""COMPUTED_VALUE"""),2016)</f>
        <v>2016</v>
      </c>
      <c r="E1874" s="9">
        <f ca="1">IFERROR(__xludf.DUMMYFUNCTION("""COMPUTED_VALUE"""),42537)</f>
        <v>42537</v>
      </c>
      <c r="F1874" s="8" t="str">
        <f ca="1">IFERROR(__xludf.DUMMYFUNCTION("""COMPUTED_VALUE"""),"Mcnair Elementary School")</f>
        <v>Mcnair Elementary School</v>
      </c>
      <c r="G1874" s="8">
        <f ca="1">IFERROR(__xludf.DUMMYFUNCTION("""COMPUTED_VALUE"""),1)</f>
        <v>1</v>
      </c>
      <c r="H1874" s="8">
        <f ca="1">IFERROR(__xludf.DUMMYFUNCTION("""COMPUTED_VALUE"""),0)</f>
        <v>0</v>
      </c>
      <c r="I1874" s="8">
        <f ca="1">IFERROR(__xludf.DUMMYFUNCTION("""COMPUTED_VALUE"""),1)</f>
        <v>1</v>
      </c>
      <c r="J1874" s="8">
        <f ca="1">IFERROR(__xludf.DUMMYFUNCTION("""COMPUTED_VALUE"""),0)</f>
        <v>0</v>
      </c>
      <c r="K1874" s="10" t="str">
        <f ca="1">IFERROR(__xludf.DUMMYFUNCTION("""COMPUTED_VALUE"""),"http://abc7chicago.com/news/cps-employee-fatally-shot-outside-mcnair-elementary-school/1388692/")</f>
        <v>http://abc7chicago.com/news/cps-employee-fatally-shot-outside-mcnair-elementary-school/1388692/</v>
      </c>
      <c r="L1874" s="8">
        <f ca="1">IFERROR(__xludf.DUMMYFUNCTION("""COMPUTED_VALUE"""),1)</f>
        <v>1</v>
      </c>
      <c r="M1874" s="8" t="str">
        <f ca="1">IFERROR(__xludf.DUMMYFUNCTION("""COMPUTED_VALUE"""),"Local")</f>
        <v>Local</v>
      </c>
      <c r="N1874" s="8">
        <f ca="1">IFERROR(__xludf.DUMMYFUNCTION("""COMPUTED_VALUE"""),2)</f>
        <v>2</v>
      </c>
      <c r="O1874" s="8" t="str">
        <f ca="1">IFERROR(__xludf.DUMMYFUNCTION("""COMPUTED_VALUE"""),"Summer")</f>
        <v>Summer</v>
      </c>
      <c r="P1874" s="8" t="str">
        <f ca="1">IFERROR(__xludf.DUMMYFUNCTION("""COMPUTED_VALUE"""),"Chicago")</f>
        <v>Chicago</v>
      </c>
      <c r="Q1874" s="8" t="str">
        <f ca="1">IFERROR(__xludf.DUMMYFUNCTION("""COMPUTED_VALUE"""),"IL")</f>
        <v>IL</v>
      </c>
      <c r="R1874" s="8" t="str">
        <f ca="1">IFERROR(__xludf.DUMMYFUNCTION("""COMPUTED_VALUE"""),"Elementary")</f>
        <v>Elementary</v>
      </c>
      <c r="S1874" s="8" t="str">
        <f ca="1">IFERROR(__xludf.DUMMYFUNCTION("""COMPUTED_VALUE"""),"Parking Lot")</f>
        <v>Parking Lot</v>
      </c>
      <c r="T1874" s="8" t="str">
        <f ca="1">IFERROR(__xludf.DUMMYFUNCTION("""COMPUTED_VALUE"""),"Outside on School Property")</f>
        <v>Outside on School Property</v>
      </c>
      <c r="U1874" s="8" t="str">
        <f ca="1">IFERROR(__xludf.DUMMYFUNCTION("""COMPUTED_VALUE"""),"Yes")</f>
        <v>Yes</v>
      </c>
      <c r="V1874" s="8" t="str">
        <f ca="1">IFERROR(__xludf.DUMMYFUNCTION("""COMPUTED_VALUE"""),"Lunch")</f>
        <v>Lunch</v>
      </c>
      <c r="W1874" s="11">
        <f ca="1">IFERROR(__xludf.DUMMYFUNCTION("""COMPUTED_VALUE"""),0.520833333333333)</f>
        <v>0.52083333333333304</v>
      </c>
      <c r="X1874" s="8">
        <f ca="1">IFERROR(__xludf.DUMMYFUNCTION("""COMPUTED_VALUE"""),1)</f>
        <v>1</v>
      </c>
      <c r="Y1874" s="12" t="str">
        <f ca="1">IFERROR(__xludf.DUMMYFUNCTION("""COMPUTED_VALUE"""),"School employee shot in the head outside of the school")</f>
        <v>School employee shot in the head outside of the school</v>
      </c>
      <c r="Z1874" s="12" t="str">
        <f ca="1">IFERROR(__xludf.DUMMYFUNCTION("""COMPUTED_VALUE"""),"School employee was shot once in the head outside of the school by an unknown shooter, as the victim was getting in his car. Shooter approached on foot but fled in a vehicle. School was locked down. Shooter was not identified.")</f>
        <v>School employee was shot once in the head outside of the school by an unknown shooter, as the victim was getting in his car. Shooter approached on foot but fled in a vehicle. School was locked down. Shooter was not identified.</v>
      </c>
      <c r="AA1874" s="8" t="str">
        <f ca="1">IFERROR(__xludf.DUMMYFUNCTION("""COMPUTED_VALUE"""),"Unknown")</f>
        <v>Unknown</v>
      </c>
      <c r="AB1874" s="8"/>
      <c r="AC1874" s="8" t="str">
        <f ca="1">IFERROR(__xludf.DUMMYFUNCTION("""COMPUTED_VALUE"""),"Yes")</f>
        <v>Yes</v>
      </c>
      <c r="AD1874" s="8" t="str">
        <f ca="1">IFERROR(__xludf.DUMMYFUNCTION("""COMPUTED_VALUE"""),"Victims Targeted")</f>
        <v>Victims Targeted</v>
      </c>
      <c r="AE1874" s="8"/>
      <c r="AF1874" s="8"/>
      <c r="AG1874" s="8" t="str">
        <f ca="1">IFERROR(__xludf.DUMMYFUNCTION("""COMPUTED_VALUE"""),"No")</f>
        <v>No</v>
      </c>
      <c r="AH1874" s="8" t="str">
        <f ca="1">IFERROR(__xludf.DUMMYFUNCTION("""COMPUTED_VALUE"""),"No")</f>
        <v>No</v>
      </c>
      <c r="AI1874" s="8" t="str">
        <f ca="1">IFERROR(__xludf.DUMMYFUNCTION("""COMPUTED_VALUE"""),"No")</f>
        <v>No</v>
      </c>
      <c r="AJ1874" s="8"/>
      <c r="AK1874" s="8" t="str">
        <f ca="1">IFERROR(__xludf.DUMMYFUNCTION("""COMPUTED_VALUE"""),"No")</f>
        <v>No</v>
      </c>
      <c r="AL1874" s="8" t="str">
        <f ca="1">IFERROR(__xludf.DUMMYFUNCTION("""COMPUTED_VALUE"""),"No")</f>
        <v>No</v>
      </c>
      <c r="AM1874" s="8" t="str">
        <f ca="1">IFERROR(__xludf.DUMMYFUNCTION("""COMPUTED_VALUE"""),"No")</f>
        <v>No</v>
      </c>
      <c r="AN1874" s="8"/>
      <c r="AO1874" s="8" t="str">
        <f ca="1">IFERROR(__xludf.DUMMYFUNCTION("""COMPUTED_VALUE"""),"No")</f>
        <v>No</v>
      </c>
      <c r="AP1874" s="8" t="str">
        <f ca="1">IFERROR(__xludf.DUMMYFUNCTION("""COMPUTED_VALUE"""),"No")</f>
        <v>No</v>
      </c>
      <c r="AQ1874" s="8" t="str">
        <f ca="1">IFERROR(__xludf.DUMMYFUNCTION("""COMPUTED_VALUE"""),"Unknown")</f>
        <v>Unknown</v>
      </c>
      <c r="AR1874" s="8" t="str">
        <f ca="1">IFERROR(__xludf.DUMMYFUNCTION("""COMPUTED_VALUE"""),"NA")</f>
        <v>NA</v>
      </c>
      <c r="AS1874" s="8">
        <f ca="1">IFERROR(__xludf.DUMMYFUNCTION("""COMPUTED_VALUE"""),1)</f>
        <v>1</v>
      </c>
      <c r="AT1874" s="8" t="str">
        <f ca="1">IFERROR(__xludf.DUMMYFUNCTION("""COMPUTED_VALUE"""),"Yes")</f>
        <v>Yes</v>
      </c>
      <c r="AU1874" s="8">
        <f ca="1">IFERROR(__xludf.DUMMYFUNCTION("""COMPUTED_VALUE"""),41.897986)</f>
        <v>41.897986000000003</v>
      </c>
      <c r="AV1874" s="8">
        <f ca="1">IFERROR(__xludf.DUMMYFUNCTION("""COMPUTED_VALUE"""),-87.747277)</f>
        <v>-87.747276999999997</v>
      </c>
      <c r="AW1874" s="8"/>
      <c r="AX1874" s="8">
        <f ca="1">IFERROR(__xludf.DUMMYFUNCTION("""COMPUTED_VALUE"""),60651)</f>
        <v>60651</v>
      </c>
    </row>
    <row r="1875" spans="1:50" ht="60" x14ac:dyDescent="0.2">
      <c r="A1875" s="8" t="str">
        <f ca="1">IFERROR(__xludf.DUMMYFUNCTION("""COMPUTED_VALUE"""),"20160608MAJED")</f>
        <v>20160608MAJED</v>
      </c>
      <c r="B1875" s="8">
        <f ca="1">IFERROR(__xludf.DUMMYFUNCTION("""COMPUTED_VALUE"""),6)</f>
        <v>6</v>
      </c>
      <c r="C1875" s="8">
        <f ca="1">IFERROR(__xludf.DUMMYFUNCTION("""COMPUTED_VALUE"""),8)</f>
        <v>8</v>
      </c>
      <c r="D1875" s="8">
        <f ca="1">IFERROR(__xludf.DUMMYFUNCTION("""COMPUTED_VALUE"""),2016)</f>
        <v>2016</v>
      </c>
      <c r="E1875" s="9">
        <f ca="1">IFERROR(__xludf.DUMMYFUNCTION("""COMPUTED_VALUE"""),42529)</f>
        <v>42529</v>
      </c>
      <c r="F1875" s="8" t="str">
        <f ca="1">IFERROR(__xludf.DUMMYFUNCTION("""COMPUTED_VALUE"""),"Jeremiah Burke High School")</f>
        <v>Jeremiah Burke High School</v>
      </c>
      <c r="G1875" s="8">
        <f ca="1">IFERROR(__xludf.DUMMYFUNCTION("""COMPUTED_VALUE"""),1)</f>
        <v>1</v>
      </c>
      <c r="H1875" s="8">
        <f ca="1">IFERROR(__xludf.DUMMYFUNCTION("""COMPUTED_VALUE"""),3)</f>
        <v>3</v>
      </c>
      <c r="I1875" s="8">
        <f ca="1">IFERROR(__xludf.DUMMYFUNCTION("""COMPUTED_VALUE"""),4)</f>
        <v>4</v>
      </c>
      <c r="J1875" s="8">
        <f ca="1">IFERROR(__xludf.DUMMYFUNCTION("""COMPUTED_VALUE"""),0)</f>
        <v>0</v>
      </c>
      <c r="K1875" s="10" t="str">
        <f ca="1">IFERROR(__xludf.DUMMYFUNCTION("""COMPUTED_VALUE"""),"http://boston.cbslocal.com/2016/06/22/raekwon-brown-murder-arrests-jeremiah-burke-high-school-shooting-boston-police/")</f>
        <v>http://boston.cbslocal.com/2016/06/22/raekwon-brown-murder-arrests-jeremiah-burke-high-school-shooting-boston-police/</v>
      </c>
      <c r="L1875" s="8">
        <f ca="1">IFERROR(__xludf.DUMMYFUNCTION("""COMPUTED_VALUE"""),11)</f>
        <v>11</v>
      </c>
      <c r="M1875" s="8" t="str">
        <f ca="1">IFERROR(__xludf.DUMMYFUNCTION("""COMPUTED_VALUE"""),"Regional")</f>
        <v>Regional</v>
      </c>
      <c r="N1875" s="8">
        <f ca="1">IFERROR(__xludf.DUMMYFUNCTION("""COMPUTED_VALUE"""),2)</f>
        <v>2</v>
      </c>
      <c r="O1875" s="8" t="str">
        <f ca="1">IFERROR(__xludf.DUMMYFUNCTION("""COMPUTED_VALUE"""),"Summer")</f>
        <v>Summer</v>
      </c>
      <c r="P1875" s="8" t="str">
        <f ca="1">IFERROR(__xludf.DUMMYFUNCTION("""COMPUTED_VALUE"""),"Dorchester")</f>
        <v>Dorchester</v>
      </c>
      <c r="Q1875" s="8" t="str">
        <f ca="1">IFERROR(__xludf.DUMMYFUNCTION("""COMPUTED_VALUE"""),"MA")</f>
        <v>MA</v>
      </c>
      <c r="R1875" s="8" t="str">
        <f ca="1">IFERROR(__xludf.DUMMYFUNCTION("""COMPUTED_VALUE"""),"High")</f>
        <v>High</v>
      </c>
      <c r="S1875" s="8" t="str">
        <f ca="1">IFERROR(__xludf.DUMMYFUNCTION("""COMPUTED_VALUE"""),"Front of School")</f>
        <v>Front of School</v>
      </c>
      <c r="T1875" s="8" t="str">
        <f ca="1">IFERROR(__xludf.DUMMYFUNCTION("""COMPUTED_VALUE"""),"Outside on School Property")</f>
        <v>Outside on School Property</v>
      </c>
      <c r="U1875" s="8" t="str">
        <f ca="1">IFERROR(__xludf.DUMMYFUNCTION("""COMPUTED_VALUE"""),"Yes")</f>
        <v>Yes</v>
      </c>
      <c r="V1875" s="8" t="str">
        <f ca="1">IFERROR(__xludf.DUMMYFUNCTION("""COMPUTED_VALUE"""),"Afternoon Classes")</f>
        <v>Afternoon Classes</v>
      </c>
      <c r="W1875" s="11">
        <f ca="1">IFERROR(__xludf.DUMMYFUNCTION("""COMPUTED_VALUE"""),0.541666666666666)</f>
        <v>0.54166666666666596</v>
      </c>
      <c r="X1875" s="8">
        <f ca="1">IFERROR(__xludf.DUMMYFUNCTION("""COMPUTED_VALUE"""),1)</f>
        <v>1</v>
      </c>
      <c r="Y1875" s="12" t="str">
        <f ca="1">IFERROR(__xludf.DUMMYFUNCTION("""COMPUTED_VALUE"""),"Drive-by, victim targeted, shooters have extended criminal history")</f>
        <v>Drive-by, victim targeted, shooters have extended criminal history</v>
      </c>
      <c r="Z1875" s="12" t="str">
        <f ca="1">IFERROR(__xludf.DUMMYFUNCTION("""COMPUTED_VALUE"""),"Two shooters in a vehicle fired at the victim outside of the school at the end of the day; other injuries were grazed")</f>
        <v>Two shooters in a vehicle fired at the victim outside of the school at the end of the day; other injuries were grazed</v>
      </c>
      <c r="AA1875" s="8" t="str">
        <f ca="1">IFERROR(__xludf.DUMMYFUNCTION("""COMPUTED_VALUE"""),"Drive-by Shooting")</f>
        <v>Drive-by Shooting</v>
      </c>
      <c r="AB1875" s="8"/>
      <c r="AC1875" s="8" t="str">
        <f ca="1">IFERROR(__xludf.DUMMYFUNCTION("""COMPUTED_VALUE"""),"Yes")</f>
        <v>Yes</v>
      </c>
      <c r="AD1875" s="8" t="str">
        <f ca="1">IFERROR(__xludf.DUMMYFUNCTION("""COMPUTED_VALUE"""),"Both")</f>
        <v>Both</v>
      </c>
      <c r="AE1875" s="8"/>
      <c r="AF1875" s="8"/>
      <c r="AG1875" s="8" t="str">
        <f ca="1">IFERROR(__xludf.DUMMYFUNCTION("""COMPUTED_VALUE"""),"No")</f>
        <v>No</v>
      </c>
      <c r="AH1875" s="8" t="str">
        <f ca="1">IFERROR(__xludf.DUMMYFUNCTION("""COMPUTED_VALUE"""),"No")</f>
        <v>No</v>
      </c>
      <c r="AI1875" s="8" t="str">
        <f ca="1">IFERROR(__xludf.DUMMYFUNCTION("""COMPUTED_VALUE"""),"No")</f>
        <v>No</v>
      </c>
      <c r="AJ1875" s="8" t="str">
        <f ca="1">IFERROR(__xludf.DUMMYFUNCTION("""COMPUTED_VALUE"""),"No")</f>
        <v>No</v>
      </c>
      <c r="AK1875" s="8" t="str">
        <f ca="1">IFERROR(__xludf.DUMMYFUNCTION("""COMPUTED_VALUE"""),"No")</f>
        <v>No</v>
      </c>
      <c r="AL1875" s="8" t="str">
        <f ca="1">IFERROR(__xludf.DUMMYFUNCTION("""COMPUTED_VALUE"""),"Yes")</f>
        <v>Yes</v>
      </c>
      <c r="AM1875" s="8" t="str">
        <f ca="1">IFERROR(__xludf.DUMMYFUNCTION("""COMPUTED_VALUE"""),"No")</f>
        <v>No</v>
      </c>
      <c r="AN1875" s="8"/>
      <c r="AO1875" s="8" t="str">
        <f ca="1">IFERROR(__xludf.DUMMYFUNCTION("""COMPUTED_VALUE"""),"No")</f>
        <v>No</v>
      </c>
      <c r="AP1875" s="8"/>
      <c r="AQ1875" s="8" t="str">
        <f ca="1">IFERROR(__xludf.DUMMYFUNCTION("""COMPUTED_VALUE"""),"Unknown")</f>
        <v>Unknown</v>
      </c>
      <c r="AR1875" s="8" t="str">
        <f ca="1">IFERROR(__xludf.DUMMYFUNCTION("""COMPUTED_VALUE"""),"NA")</f>
        <v>NA</v>
      </c>
      <c r="AS1875" s="8"/>
      <c r="AT1875" s="8" t="str">
        <f ca="1">IFERROR(__xludf.DUMMYFUNCTION("""COMPUTED_VALUE"""),"Yes")</f>
        <v>Yes</v>
      </c>
      <c r="AU1875" s="8">
        <f ca="1">IFERROR(__xludf.DUMMYFUNCTION("""COMPUTED_VALUE"""),42.307113)</f>
        <v>42.307113000000001</v>
      </c>
      <c r="AV1875" s="8">
        <f ca="1">IFERROR(__xludf.DUMMYFUNCTION("""COMPUTED_VALUE"""),-71.081259)</f>
        <v>-71.081259000000003</v>
      </c>
      <c r="AW1875" s="8"/>
      <c r="AX1875" s="8">
        <f ca="1">IFERROR(__xludf.DUMMYFUNCTION("""COMPUTED_VALUE"""),2121)</f>
        <v>2121</v>
      </c>
    </row>
    <row r="1876" spans="1:50" ht="75" x14ac:dyDescent="0.2">
      <c r="A1876" s="8" t="str">
        <f ca="1">IFERROR(__xludf.DUMMYFUNCTION("""COMPUTED_VALUE"""),"20160515KSAUA")</f>
        <v>20160515KSAUA</v>
      </c>
      <c r="B1876" s="8">
        <f ca="1">IFERROR(__xludf.DUMMYFUNCTION("""COMPUTED_VALUE"""),5)</f>
        <v>5</v>
      </c>
      <c r="C1876" s="8">
        <f ca="1">IFERROR(__xludf.DUMMYFUNCTION("""COMPUTED_VALUE"""),15)</f>
        <v>15</v>
      </c>
      <c r="D1876" s="8">
        <f ca="1">IFERROR(__xludf.DUMMYFUNCTION("""COMPUTED_VALUE"""),2016)</f>
        <v>2016</v>
      </c>
      <c r="E1876" s="9">
        <f ca="1">IFERROR(__xludf.DUMMYFUNCTION("""COMPUTED_VALUE"""),42505)</f>
        <v>42505</v>
      </c>
      <c r="F1876" s="8" t="str">
        <f ca="1">IFERROR(__xludf.DUMMYFUNCTION("""COMPUTED_VALUE"""),"Augusta High School")</f>
        <v>Augusta High School</v>
      </c>
      <c r="G1876" s="8">
        <f ca="1">IFERROR(__xludf.DUMMYFUNCTION("""COMPUTED_VALUE"""),0)</f>
        <v>0</v>
      </c>
      <c r="H1876" s="8">
        <f ca="1">IFERROR(__xludf.DUMMYFUNCTION("""COMPUTED_VALUE"""),1)</f>
        <v>1</v>
      </c>
      <c r="I1876" s="8">
        <f ca="1">IFERROR(__xludf.DUMMYFUNCTION("""COMPUTED_VALUE"""),1)</f>
        <v>1</v>
      </c>
      <c r="J1876" s="8">
        <f ca="1">IFERROR(__xludf.DUMMYFUNCTION("""COMPUTED_VALUE"""),0)</f>
        <v>0</v>
      </c>
      <c r="K1876" s="10" t="str">
        <f ca="1">IFERROR(__xludf.DUMMYFUNCTION("""COMPUTED_VALUE"""),"http://www.kwch.com/content/news/One-seriously-hurt-at-possible-shooting-at-Augusta-high-school-379583611.html  https://www.kansas.com/news/local/article77782117.html")</f>
        <v>http://www.kwch.com/content/news/One-seriously-hurt-at-possible-shooting-at-Augusta-high-school-379583611.html  https://www.kansas.com/news/local/article77782117.html</v>
      </c>
      <c r="L1876" s="8"/>
      <c r="M1876" s="8" t="str">
        <f ca="1">IFERROR(__xludf.DUMMYFUNCTION("""COMPUTED_VALUE"""),"Local")</f>
        <v>Local</v>
      </c>
      <c r="N1876" s="8">
        <f ca="1">IFERROR(__xludf.DUMMYFUNCTION("""COMPUTED_VALUE"""),3)</f>
        <v>3</v>
      </c>
      <c r="O1876" s="8" t="str">
        <f ca="1">IFERROR(__xludf.DUMMYFUNCTION("""COMPUTED_VALUE"""),"Spring")</f>
        <v>Spring</v>
      </c>
      <c r="P1876" s="8" t="str">
        <f ca="1">IFERROR(__xludf.DUMMYFUNCTION("""COMPUTED_VALUE"""),"Augusta")</f>
        <v>Augusta</v>
      </c>
      <c r="Q1876" s="8" t="str">
        <f ca="1">IFERROR(__xludf.DUMMYFUNCTION("""COMPUTED_VALUE"""),"KS")</f>
        <v>KS</v>
      </c>
      <c r="R1876" s="8" t="str">
        <f ca="1">IFERROR(__xludf.DUMMYFUNCTION("""COMPUTED_VALUE"""),"High")</f>
        <v>High</v>
      </c>
      <c r="S1876" s="8" t="str">
        <f ca="1">IFERROR(__xludf.DUMMYFUNCTION("""COMPUTED_VALUE"""),"Football Field/Track")</f>
        <v>Football Field/Track</v>
      </c>
      <c r="T1876" s="8" t="str">
        <f ca="1">IFERROR(__xludf.DUMMYFUNCTION("""COMPUTED_VALUE"""),"Outside on School Property")</f>
        <v>Outside on School Property</v>
      </c>
      <c r="U1876" s="8" t="str">
        <f ca="1">IFERROR(__xludf.DUMMYFUNCTION("""COMPUTED_VALUE"""),"No")</f>
        <v>No</v>
      </c>
      <c r="V1876" s="8" t="str">
        <f ca="1">IFERROR(__xludf.DUMMYFUNCTION("""COMPUTED_VALUE"""),"School Event")</f>
        <v>School Event</v>
      </c>
      <c r="W1876" s="11">
        <f ca="1">IFERROR(__xludf.DUMMYFUNCTION("""COMPUTED_VALUE"""),0.579861111111111)</f>
        <v>0.57986111111111105</v>
      </c>
      <c r="X1876" s="8">
        <f ca="1">IFERROR(__xludf.DUMMYFUNCTION("""COMPUTED_VALUE"""),1)</f>
        <v>1</v>
      </c>
      <c r="Y1876" s="12" t="str">
        <f ca="1">IFERROR(__xludf.DUMMYFUNCTION("""COMPUTED_VALUE"""),"Accidental discharge adjusting gun during graduation")</f>
        <v>Accidental discharge adjusting gun during graduation</v>
      </c>
      <c r="Z1876" s="12" t="str">
        <f ca="1">IFERROR(__xludf.DUMMYFUNCTION("""COMPUTED_VALUE"""),"Shooter was attending a high school graduation - he was wearing a legally owned and concealed handgun on his ankle, when it became uncomfortable, he attempted to readjust it at which time it went off striking him in the foot and another woman in the calf.")</f>
        <v>Shooter was attending a high school graduation - he was wearing a legally owned and concealed handgun on his ankle, when it became uncomfortable, he attempted to readjust it at which time it went off striking him in the foot and another woman in the calf.</v>
      </c>
      <c r="AA1876" s="8" t="str">
        <f ca="1">IFERROR(__xludf.DUMMYFUNCTION("""COMPUTED_VALUE"""),"Accidental")</f>
        <v>Accidental</v>
      </c>
      <c r="AB1876" s="8"/>
      <c r="AC1876" s="8" t="str">
        <f ca="1">IFERROR(__xludf.DUMMYFUNCTION("""COMPUTED_VALUE"""),"Yes")</f>
        <v>Yes</v>
      </c>
      <c r="AD1876" s="8" t="str">
        <f ca="1">IFERROR(__xludf.DUMMYFUNCTION("""COMPUTED_VALUE"""),"Random Shooting")</f>
        <v>Random Shooting</v>
      </c>
      <c r="AE1876" s="8" t="str">
        <f ca="1">IFERROR(__xludf.DUMMYFUNCTION("""COMPUTED_VALUE"""),"No")</f>
        <v>No</v>
      </c>
      <c r="AF1876" s="8"/>
      <c r="AG1876" s="8" t="str">
        <f ca="1">IFERROR(__xludf.DUMMYFUNCTION("""COMPUTED_VALUE"""),"No")</f>
        <v>No</v>
      </c>
      <c r="AH1876" s="8" t="str">
        <f ca="1">IFERROR(__xludf.DUMMYFUNCTION("""COMPUTED_VALUE"""),"No")</f>
        <v>No</v>
      </c>
      <c r="AI1876" s="8" t="str">
        <f ca="1">IFERROR(__xludf.DUMMYFUNCTION("""COMPUTED_VALUE"""),"No")</f>
        <v>No</v>
      </c>
      <c r="AJ1876" s="8" t="str">
        <f ca="1">IFERROR(__xludf.DUMMYFUNCTION("""COMPUTED_VALUE"""),"No")</f>
        <v>No</v>
      </c>
      <c r="AK1876" s="8" t="str">
        <f ca="1">IFERROR(__xludf.DUMMYFUNCTION("""COMPUTED_VALUE"""),"No")</f>
        <v>No</v>
      </c>
      <c r="AL1876" s="8" t="str">
        <f ca="1">IFERROR(__xludf.DUMMYFUNCTION("""COMPUTED_VALUE"""),"No")</f>
        <v>No</v>
      </c>
      <c r="AM1876" s="8" t="str">
        <f ca="1">IFERROR(__xludf.DUMMYFUNCTION("""COMPUTED_VALUE"""),"No")</f>
        <v>No</v>
      </c>
      <c r="AN1876" s="8"/>
      <c r="AO1876" s="8" t="str">
        <f ca="1">IFERROR(__xludf.DUMMYFUNCTION("""COMPUTED_VALUE"""),"No")</f>
        <v>No</v>
      </c>
      <c r="AP1876" s="8"/>
      <c r="AQ1876" s="8" t="str">
        <f ca="1">IFERROR(__xludf.DUMMYFUNCTION("""COMPUTED_VALUE"""),"Unknown")</f>
        <v>Unknown</v>
      </c>
      <c r="AR1876" s="8" t="str">
        <f ca="1">IFERROR(__xludf.DUMMYFUNCTION("""COMPUTED_VALUE"""),"NA")</f>
        <v>NA</v>
      </c>
      <c r="AS1876" s="8">
        <f ca="1">IFERROR(__xludf.DUMMYFUNCTION("""COMPUTED_VALUE"""),1)</f>
        <v>1</v>
      </c>
      <c r="AT1876" s="8"/>
      <c r="AU1876" s="8">
        <f ca="1">IFERROR(__xludf.DUMMYFUNCTION("""COMPUTED_VALUE"""),37.6866844)</f>
        <v>37.686684399999997</v>
      </c>
      <c r="AV1876" s="8">
        <f ca="1">IFERROR(__xludf.DUMMYFUNCTION("""COMPUTED_VALUE"""),-96.9767023)</f>
        <v>-96.976702299999999</v>
      </c>
      <c r="AW1876" s="8"/>
      <c r="AX1876" s="8">
        <f ca="1">IFERROR(__xludf.DUMMYFUNCTION("""COMPUTED_VALUE"""),67010)</f>
        <v>67010</v>
      </c>
    </row>
    <row r="1877" spans="1:50" ht="90" x14ac:dyDescent="0.2">
      <c r="A1877" s="8" t="str">
        <f ca="1">IFERROR(__xludf.DUMMYFUNCTION("""COMPUTED_VALUE"""),"20160513SCSOG")</f>
        <v>20160513SCSOG</v>
      </c>
      <c r="B1877" s="8">
        <f ca="1">IFERROR(__xludf.DUMMYFUNCTION("""COMPUTED_VALUE"""),5)</f>
        <v>5</v>
      </c>
      <c r="C1877" s="8">
        <f ca="1">IFERROR(__xludf.DUMMYFUNCTION("""COMPUTED_VALUE"""),13)</f>
        <v>13</v>
      </c>
      <c r="D1877" s="8">
        <f ca="1">IFERROR(__xludf.DUMMYFUNCTION("""COMPUTED_VALUE"""),2016)</f>
        <v>2016</v>
      </c>
      <c r="E1877" s="9">
        <f ca="1">IFERROR(__xludf.DUMMYFUNCTION("""COMPUTED_VALUE"""),42503)</f>
        <v>42503</v>
      </c>
      <c r="F1877" s="8" t="str">
        <f ca="1">IFERROR(__xludf.DUMMYFUNCTION("""COMPUTED_VALUE"""),"Southside High School")</f>
        <v>Southside High School</v>
      </c>
      <c r="G1877" s="8">
        <f ca="1">IFERROR(__xludf.DUMMYFUNCTION("""COMPUTED_VALUE"""),0)</f>
        <v>0</v>
      </c>
      <c r="H1877" s="8">
        <f ca="1">IFERROR(__xludf.DUMMYFUNCTION("""COMPUTED_VALUE"""),0)</f>
        <v>0</v>
      </c>
      <c r="I1877" s="8">
        <f ca="1">IFERROR(__xludf.DUMMYFUNCTION("""COMPUTED_VALUE"""),0)</f>
        <v>0</v>
      </c>
      <c r="J1877" s="8">
        <f ca="1">IFERROR(__xludf.DUMMYFUNCTION("""COMPUTED_VALUE"""),0)</f>
        <v>0</v>
      </c>
      <c r="K1877" s="10" t="str">
        <f ca="1">IFERROR(__xludf.DUMMYFUNCTION("""COMPUTED_VALUE"""),"http://www.wyff4.com/article/2-more-teens-charged-shooting-at-southside-high-school/7022388")</f>
        <v>http://www.wyff4.com/article/2-more-teens-charged-shooting-at-southside-high-school/7022388</v>
      </c>
      <c r="L1877" s="8">
        <f ca="1">IFERROR(__xludf.DUMMYFUNCTION("""COMPUTED_VALUE"""),5)</f>
        <v>5</v>
      </c>
      <c r="M1877" s="8" t="str">
        <f ca="1">IFERROR(__xludf.DUMMYFUNCTION("""COMPUTED_VALUE"""),"Local")</f>
        <v>Local</v>
      </c>
      <c r="N1877" s="8">
        <f ca="1">IFERROR(__xludf.DUMMYFUNCTION("""COMPUTED_VALUE"""),2)</f>
        <v>2</v>
      </c>
      <c r="O1877" s="8" t="str">
        <f ca="1">IFERROR(__xludf.DUMMYFUNCTION("""COMPUTED_VALUE"""),"Spring")</f>
        <v>Spring</v>
      </c>
      <c r="P1877" s="8" t="str">
        <f ca="1">IFERROR(__xludf.DUMMYFUNCTION("""COMPUTED_VALUE"""),"Greenville")</f>
        <v>Greenville</v>
      </c>
      <c r="Q1877" s="8" t="str">
        <f ca="1">IFERROR(__xludf.DUMMYFUNCTION("""COMPUTED_VALUE"""),"SC")</f>
        <v>SC</v>
      </c>
      <c r="R1877" s="8" t="str">
        <f ca="1">IFERROR(__xludf.DUMMYFUNCTION("""COMPUTED_VALUE"""),"High")</f>
        <v>High</v>
      </c>
      <c r="S1877" s="8" t="str">
        <f ca="1">IFERROR(__xludf.DUMMYFUNCTION("""COMPUTED_VALUE"""),"Cafeteria")</f>
        <v>Cafeteria</v>
      </c>
      <c r="T1877" s="8" t="str">
        <f ca="1">IFERROR(__xludf.DUMMYFUNCTION("""COMPUTED_VALUE"""),"Inside School Building")</f>
        <v>Inside School Building</v>
      </c>
      <c r="U1877" s="8" t="str">
        <f ca="1">IFERROR(__xludf.DUMMYFUNCTION("""COMPUTED_VALUE"""),"Yes")</f>
        <v>Yes</v>
      </c>
      <c r="V1877" s="8" t="str">
        <f ca="1">IFERROR(__xludf.DUMMYFUNCTION("""COMPUTED_VALUE"""),"School Start")</f>
        <v>School Start</v>
      </c>
      <c r="W1877" s="11">
        <f ca="1">IFERROR(__xludf.DUMMYFUNCTION("""COMPUTED_VALUE"""),0.354166666666666)</f>
        <v>0.35416666666666602</v>
      </c>
      <c r="X1877" s="8">
        <f ca="1">IFERROR(__xludf.DUMMYFUNCTION("""COMPUTED_VALUE"""),1)</f>
        <v>1</v>
      </c>
      <c r="Y1877" s="12" t="str">
        <f ca="1">IFERROR(__xludf.DUMMYFUNCTION("""COMPUTED_VALUE"""),"Accidental discharge of gun in backpack")</f>
        <v>Accidental discharge of gun in backpack</v>
      </c>
      <c r="Z1877" s="12" t="str">
        <f ca="1">IFERROR(__xludf.DUMMYFUNCTION("""COMPUTED_VALUE"""),"Shooter accidentally discharged a firearm from a backpack, striking himself in the stomach, while in the cafeteria. Shooter surrendered the weapon to law enforcement while the school was being evacuated. Second teen was charged with bringing the gun to sc"&amp;"hool and giving it to the shooter. No indication of a planned shooting.")</f>
        <v>Shooter accidentally discharged a firearm from a backpack, striking himself in the stomach, while in the cafeteria. Shooter surrendered the weapon to law enforcement while the school was being evacuated. Second teen was charged with bringing the gun to school and giving it to the shooter. No indication of a planned shooting.</v>
      </c>
      <c r="AA1877" s="8" t="str">
        <f ca="1">IFERROR(__xludf.DUMMYFUNCTION("""COMPUTED_VALUE"""),"Accidental")</f>
        <v>Accidental</v>
      </c>
      <c r="AB1877" s="8"/>
      <c r="AC1877" s="8" t="str">
        <f ca="1">IFERROR(__xludf.DUMMYFUNCTION("""COMPUTED_VALUE"""),"Yes")</f>
        <v>Yes</v>
      </c>
      <c r="AD1877" s="8" t="str">
        <f ca="1">IFERROR(__xludf.DUMMYFUNCTION("""COMPUTED_VALUE"""),"Neither")</f>
        <v>Neither</v>
      </c>
      <c r="AE1877" s="8" t="str">
        <f ca="1">IFERROR(__xludf.DUMMYFUNCTION("""COMPUTED_VALUE"""),"No")</f>
        <v>No</v>
      </c>
      <c r="AF1877" s="8"/>
      <c r="AG1877" s="8" t="str">
        <f ca="1">IFERROR(__xludf.DUMMYFUNCTION("""COMPUTED_VALUE"""),"No")</f>
        <v>No</v>
      </c>
      <c r="AH1877" s="8" t="str">
        <f ca="1">IFERROR(__xludf.DUMMYFUNCTION("""COMPUTED_VALUE"""),"No")</f>
        <v>No</v>
      </c>
      <c r="AI1877" s="8" t="str">
        <f ca="1">IFERROR(__xludf.DUMMYFUNCTION("""COMPUTED_VALUE"""),"No")</f>
        <v>No</v>
      </c>
      <c r="AJ1877" s="8" t="str">
        <f ca="1">IFERROR(__xludf.DUMMYFUNCTION("""COMPUTED_VALUE"""),"No")</f>
        <v>No</v>
      </c>
      <c r="AK1877" s="8" t="str">
        <f ca="1">IFERROR(__xludf.DUMMYFUNCTION("""COMPUTED_VALUE"""),"No")</f>
        <v>No</v>
      </c>
      <c r="AL1877" s="8" t="str">
        <f ca="1">IFERROR(__xludf.DUMMYFUNCTION("""COMPUTED_VALUE"""),"No")</f>
        <v>No</v>
      </c>
      <c r="AM1877" s="8" t="str">
        <f ca="1">IFERROR(__xludf.DUMMYFUNCTION("""COMPUTED_VALUE"""),"No")</f>
        <v>No</v>
      </c>
      <c r="AN1877" s="8"/>
      <c r="AO1877" s="8" t="str">
        <f ca="1">IFERROR(__xludf.DUMMYFUNCTION("""COMPUTED_VALUE"""),"No")</f>
        <v>No</v>
      </c>
      <c r="AP1877" s="8" t="str">
        <f ca="1">IFERROR(__xludf.DUMMYFUNCTION("""COMPUTED_VALUE"""),"Yes")</f>
        <v>Yes</v>
      </c>
      <c r="AQ1877" s="8" t="str">
        <f ca="1">IFERROR(__xludf.DUMMYFUNCTION("""COMPUTED_VALUE"""),"None")</f>
        <v>None</v>
      </c>
      <c r="AR1877" s="8" t="str">
        <f ca="1">IFERROR(__xludf.DUMMYFUNCTION("""COMPUTED_VALUE"""),"NA")</f>
        <v>NA</v>
      </c>
      <c r="AS1877" s="8">
        <f ca="1">IFERROR(__xludf.DUMMYFUNCTION("""COMPUTED_VALUE"""),1)</f>
        <v>1</v>
      </c>
      <c r="AT1877" s="8" t="str">
        <f ca="1">IFERROR(__xludf.DUMMYFUNCTION("""COMPUTED_VALUE"""),"Yes")</f>
        <v>Yes</v>
      </c>
      <c r="AU1877" s="8">
        <f ca="1">IFERROR(__xludf.DUMMYFUNCTION("""COMPUTED_VALUE"""),34.796595)</f>
        <v>34.796595000000003</v>
      </c>
      <c r="AV1877" s="8">
        <f ca="1">IFERROR(__xludf.DUMMYFUNCTION("""COMPUTED_VALUE"""),-82.404006)</f>
        <v>-82.404005999999995</v>
      </c>
      <c r="AW1877" s="8"/>
      <c r="AX1877" s="8">
        <f ca="1">IFERROR(__xludf.DUMMYFUNCTION("""COMPUTED_VALUE"""),29605)</f>
        <v>29605</v>
      </c>
    </row>
    <row r="1878" spans="1:50" ht="45" x14ac:dyDescent="0.2">
      <c r="A1878" s="8" t="str">
        <f ca="1">IFERROR(__xludf.DUMMYFUNCTION("""COMPUTED_VALUE"""),"20160506IDROT")</f>
        <v>20160506IDROT</v>
      </c>
      <c r="B1878" s="8">
        <f ca="1">IFERROR(__xludf.DUMMYFUNCTION("""COMPUTED_VALUE"""),5)</f>
        <v>5</v>
      </c>
      <c r="C1878" s="8">
        <f ca="1">IFERROR(__xludf.DUMMYFUNCTION("""COMPUTED_VALUE"""),6)</f>
        <v>6</v>
      </c>
      <c r="D1878" s="8">
        <f ca="1">IFERROR(__xludf.DUMMYFUNCTION("""COMPUTED_VALUE"""),2016)</f>
        <v>2016</v>
      </c>
      <c r="E1878" s="9">
        <f ca="1">IFERROR(__xludf.DUMMYFUNCTION("""COMPUTED_VALUE"""),42496)</f>
        <v>42496</v>
      </c>
      <c r="F1878" s="8" t="str">
        <f ca="1">IFERROR(__xludf.DUMMYFUNCTION("""COMPUTED_VALUE"""),"Robert Stuart Middle School")</f>
        <v>Robert Stuart Middle School</v>
      </c>
      <c r="G1878" s="8">
        <f ca="1">IFERROR(__xludf.DUMMYFUNCTION("""COMPUTED_VALUE"""),0)</f>
        <v>0</v>
      </c>
      <c r="H1878" s="8">
        <f ca="1">IFERROR(__xludf.DUMMYFUNCTION("""COMPUTED_VALUE"""),0)</f>
        <v>0</v>
      </c>
      <c r="I1878" s="8">
        <f ca="1">IFERROR(__xludf.DUMMYFUNCTION("""COMPUTED_VALUE"""),0)</f>
        <v>0</v>
      </c>
      <c r="J1878" s="8">
        <f ca="1">IFERROR(__xludf.DUMMYFUNCTION("""COMPUTED_VALUE"""),0)</f>
        <v>0</v>
      </c>
      <c r="K1878" s="10" t="str">
        <f ca="1">IFERROR(__xludf.DUMMYFUNCTION("""COMPUTED_VALUE"""),"https://magicvalley.com/news/local/education/update-school-district-students-in-custody-after-gun-fired-at/article_f23be68f-936b-51ce-847a-f0a02e99f3a0.html")</f>
        <v>https://magicvalley.com/news/local/education/update-school-district-students-in-custody-after-gun-fired-at/article_f23be68f-936b-51ce-847a-f0a02e99f3a0.html</v>
      </c>
      <c r="L1878" s="8"/>
      <c r="M1878" s="8"/>
      <c r="N1878" s="8">
        <f ca="1">IFERROR(__xludf.DUMMYFUNCTION("""COMPUTED_VALUE"""),2)</f>
        <v>2</v>
      </c>
      <c r="O1878" s="8" t="str">
        <f ca="1">IFERROR(__xludf.DUMMYFUNCTION("""COMPUTED_VALUE"""),"Spring")</f>
        <v>Spring</v>
      </c>
      <c r="P1878" s="8" t="str">
        <f ca="1">IFERROR(__xludf.DUMMYFUNCTION("""COMPUTED_VALUE"""),"Twin Falls")</f>
        <v>Twin Falls</v>
      </c>
      <c r="Q1878" s="8" t="str">
        <f ca="1">IFERROR(__xludf.DUMMYFUNCTION("""COMPUTED_VALUE"""),"ID")</f>
        <v>ID</v>
      </c>
      <c r="R1878" s="8" t="str">
        <f ca="1">IFERROR(__xludf.DUMMYFUNCTION("""COMPUTED_VALUE"""),"Middle")</f>
        <v>Middle</v>
      </c>
      <c r="S1878" s="8" t="str">
        <f ca="1">IFERROR(__xludf.DUMMYFUNCTION("""COMPUTED_VALUE"""),"Classroom")</f>
        <v>Classroom</v>
      </c>
      <c r="T1878" s="8" t="str">
        <f ca="1">IFERROR(__xludf.DUMMYFUNCTION("""COMPUTED_VALUE"""),"Inside School Building")</f>
        <v>Inside School Building</v>
      </c>
      <c r="U1878" s="8" t="str">
        <f ca="1">IFERROR(__xludf.DUMMYFUNCTION("""COMPUTED_VALUE"""),"Yes")</f>
        <v>Yes</v>
      </c>
      <c r="V1878" s="8" t="str">
        <f ca="1">IFERROR(__xludf.DUMMYFUNCTION("""COMPUTED_VALUE"""),"Afternoon Classes")</f>
        <v>Afternoon Classes</v>
      </c>
      <c r="W1878" s="11">
        <f ca="1">IFERROR(__xludf.DUMMYFUNCTION("""COMPUTED_VALUE"""),0.53125)</f>
        <v>0.53125</v>
      </c>
      <c r="X1878" s="8">
        <f ca="1">IFERROR(__xludf.DUMMYFUNCTION("""COMPUTED_VALUE"""),1)</f>
        <v>1</v>
      </c>
      <c r="Y1878" s="12" t="str">
        <f ca="1">IFERROR(__xludf.DUMMYFUNCTION("""COMPUTED_VALUE"""),"Accidental discharge of gun in backpack")</f>
        <v>Accidental discharge of gun in backpack</v>
      </c>
      <c r="Z1878" s="12" t="str">
        <f ca="1">IFERROR(__xludf.DUMMYFUNCTION("""COMPUTED_VALUE"""),"14 year old shooter brought two guns to school - one was stolen and the other had the serial number altered. During class one of the guns was accidentally fired into a desk leg")</f>
        <v>14 year old shooter brought two guns to school - one was stolen and the other had the serial number altered. During class one of the guns was accidentally fired into a desk leg</v>
      </c>
      <c r="AA1878" s="8" t="str">
        <f ca="1">IFERROR(__xludf.DUMMYFUNCTION("""COMPUTED_VALUE"""),"Accidental")</f>
        <v>Accidental</v>
      </c>
      <c r="AB1878" s="8"/>
      <c r="AC1878" s="8" t="str">
        <f ca="1">IFERROR(__xludf.DUMMYFUNCTION("""COMPUTED_VALUE"""),"Yes")</f>
        <v>Yes</v>
      </c>
      <c r="AD1878" s="8" t="str">
        <f ca="1">IFERROR(__xludf.DUMMYFUNCTION("""COMPUTED_VALUE"""),"Neither")</f>
        <v>Neither</v>
      </c>
      <c r="AE1878" s="8" t="str">
        <f ca="1">IFERROR(__xludf.DUMMYFUNCTION("""COMPUTED_VALUE"""),"Yes")</f>
        <v>Yes</v>
      </c>
      <c r="AF1878" s="8" t="str">
        <f ca="1">IFERROR(__xludf.DUMMYFUNCTION("""COMPUTED_VALUE"""),"2 other boys were charged with same crime as they were with shooter during the time of shooting")</f>
        <v>2 other boys were charged with same crime as they were with shooter during the time of shooting</v>
      </c>
      <c r="AG1878" s="8" t="str">
        <f ca="1">IFERROR(__xludf.DUMMYFUNCTION("""COMPUTED_VALUE"""),"No")</f>
        <v>No</v>
      </c>
      <c r="AH1878" s="8" t="str">
        <f ca="1">IFERROR(__xludf.DUMMYFUNCTION("""COMPUTED_VALUE"""),"No")</f>
        <v>No</v>
      </c>
      <c r="AI1878" s="8" t="str">
        <f ca="1">IFERROR(__xludf.DUMMYFUNCTION("""COMPUTED_VALUE"""),"No")</f>
        <v>No</v>
      </c>
      <c r="AJ1878" s="8" t="str">
        <f ca="1">IFERROR(__xludf.DUMMYFUNCTION("""COMPUTED_VALUE"""),"N/A")</f>
        <v>N/A</v>
      </c>
      <c r="AK1878" s="8" t="str">
        <f ca="1">IFERROR(__xludf.DUMMYFUNCTION("""COMPUTED_VALUE"""),"N/A")</f>
        <v>N/A</v>
      </c>
      <c r="AL1878" s="8" t="str">
        <f ca="1">IFERROR(__xludf.DUMMYFUNCTION("""COMPUTED_VALUE"""),"No")</f>
        <v>No</v>
      </c>
      <c r="AM1878" s="8" t="str">
        <f ca="1">IFERROR(__xludf.DUMMYFUNCTION("""COMPUTED_VALUE"""),"No")</f>
        <v>No</v>
      </c>
      <c r="AN1878" s="8"/>
      <c r="AO1878" s="8" t="str">
        <f ca="1">IFERROR(__xludf.DUMMYFUNCTION("""COMPUTED_VALUE"""),"No")</f>
        <v>No</v>
      </c>
      <c r="AP1878" s="8" t="str">
        <f ca="1">IFERROR(__xludf.DUMMYFUNCTION("""COMPUTED_VALUE"""),"Yes")</f>
        <v>Yes</v>
      </c>
      <c r="AQ1878" s="8" t="str">
        <f ca="1">IFERROR(__xludf.DUMMYFUNCTION("""COMPUTED_VALUE"""),"Unknown")</f>
        <v>Unknown</v>
      </c>
      <c r="AR1878" s="8" t="str">
        <f ca="1">IFERROR(__xludf.DUMMYFUNCTION("""COMPUTED_VALUE"""),"NA")</f>
        <v>NA</v>
      </c>
      <c r="AS1878" s="8">
        <f ca="1">IFERROR(__xludf.DUMMYFUNCTION("""COMPUTED_VALUE"""),1)</f>
        <v>1</v>
      </c>
      <c r="AT1878" s="8"/>
      <c r="AU1878" s="8">
        <f ca="1">IFERROR(__xludf.DUMMYFUNCTION("""COMPUTED_VALUE"""),42.575306)</f>
        <v>42.575305999999998</v>
      </c>
      <c r="AV1878" s="8">
        <f ca="1">IFERROR(__xludf.DUMMYFUNCTION("""COMPUTED_VALUE"""),-114.492307)</f>
        <v>-114.492307</v>
      </c>
      <c r="AW1878" s="8"/>
      <c r="AX1878" s="8">
        <f ca="1">IFERROR(__xludf.DUMMYFUNCTION("""COMPUTED_VALUE"""),83301)</f>
        <v>83301</v>
      </c>
    </row>
    <row r="1879" spans="1:50" ht="60" x14ac:dyDescent="0.2">
      <c r="A1879" s="8" t="str">
        <f ca="1">IFERROR(__xludf.DUMMYFUNCTION("""COMPUTED_VALUE"""),"20160506FLOSP")</f>
        <v>20160506FLOSP</v>
      </c>
      <c r="B1879" s="8">
        <f ca="1">IFERROR(__xludf.DUMMYFUNCTION("""COMPUTED_VALUE"""),5)</f>
        <v>5</v>
      </c>
      <c r="C1879" s="8">
        <f ca="1">IFERROR(__xludf.DUMMYFUNCTION("""COMPUTED_VALUE"""),6)</f>
        <v>6</v>
      </c>
      <c r="D1879" s="8">
        <f ca="1">IFERROR(__xludf.DUMMYFUNCTION("""COMPUTED_VALUE"""),2016)</f>
        <v>2016</v>
      </c>
      <c r="E1879" s="9">
        <f ca="1">IFERROR(__xludf.DUMMYFUNCTION("""COMPUTED_VALUE"""),42496)</f>
        <v>42496</v>
      </c>
      <c r="F1879" s="8" t="str">
        <f ca="1">IFERROR(__xludf.DUMMYFUNCTION("""COMPUTED_VALUE"""),"Oscar Patterson Elementary School")</f>
        <v>Oscar Patterson Elementary School</v>
      </c>
      <c r="G1879" s="8">
        <f ca="1">IFERROR(__xludf.DUMMYFUNCTION("""COMPUTED_VALUE"""),0)</f>
        <v>0</v>
      </c>
      <c r="H1879" s="8">
        <f ca="1">IFERROR(__xludf.DUMMYFUNCTION("""COMPUTED_VALUE"""),0)</f>
        <v>0</v>
      </c>
      <c r="I1879" s="8">
        <f ca="1">IFERROR(__xludf.DUMMYFUNCTION("""COMPUTED_VALUE"""),0)</f>
        <v>0</v>
      </c>
      <c r="J1879" s="8">
        <f ca="1">IFERROR(__xludf.DUMMYFUNCTION("""COMPUTED_VALUE"""),0)</f>
        <v>0</v>
      </c>
      <c r="K1879" s="10" t="str">
        <f ca="1">IFERROR(__xludf.DUMMYFUNCTION("""COMPUTED_VALUE"""),"http://www.newsherald.com/news/20160509/probe-into-detention-officers-accidental-shooting-near-oscar-patterson-underway")</f>
        <v>http://www.newsherald.com/news/20160509/probe-into-detention-officers-accidental-shooting-near-oscar-patterson-underway</v>
      </c>
      <c r="L1879" s="8"/>
      <c r="M1879" s="8"/>
      <c r="N1879" s="8">
        <f ca="1">IFERROR(__xludf.DUMMYFUNCTION("""COMPUTED_VALUE"""),2)</f>
        <v>2</v>
      </c>
      <c r="O1879" s="8" t="str">
        <f ca="1">IFERROR(__xludf.DUMMYFUNCTION("""COMPUTED_VALUE"""),"Spring")</f>
        <v>Spring</v>
      </c>
      <c r="P1879" s="8" t="str">
        <f ca="1">IFERROR(__xludf.DUMMYFUNCTION("""COMPUTED_VALUE"""),"Panama City")</f>
        <v>Panama City</v>
      </c>
      <c r="Q1879" s="8" t="str">
        <f ca="1">IFERROR(__xludf.DUMMYFUNCTION("""COMPUTED_VALUE"""),"FL")</f>
        <v>FL</v>
      </c>
      <c r="R1879" s="8" t="str">
        <f ca="1">IFERROR(__xludf.DUMMYFUNCTION("""COMPUTED_VALUE"""),"Elementary")</f>
        <v>Elementary</v>
      </c>
      <c r="S1879" s="8" t="str">
        <f ca="1">IFERROR(__xludf.DUMMYFUNCTION("""COMPUTED_VALUE"""),"Office")</f>
        <v>Office</v>
      </c>
      <c r="T1879" s="8" t="str">
        <f ca="1">IFERROR(__xludf.DUMMYFUNCTION("""COMPUTED_VALUE"""),"Inside School Building")</f>
        <v>Inside School Building</v>
      </c>
      <c r="U1879" s="8" t="str">
        <f ca="1">IFERROR(__xludf.DUMMYFUNCTION("""COMPUTED_VALUE"""),"Yes")</f>
        <v>Yes</v>
      </c>
      <c r="V1879" s="8"/>
      <c r="W1879" s="8"/>
      <c r="X1879" s="8">
        <f ca="1">IFERROR(__xludf.DUMMYFUNCTION("""COMPUTED_VALUE"""),1)</f>
        <v>1</v>
      </c>
      <c r="Y1879" s="12" t="str">
        <f ca="1">IFERROR(__xludf.DUMMYFUNCTION("""COMPUTED_VALUE"""),"Accidental discharge during interview of school employee")</f>
        <v>Accidental discharge during interview of school employee</v>
      </c>
      <c r="Z1879" s="12" t="str">
        <f ca="1">IFERROR(__xludf.DUMMYFUNCTION("""COMPUTED_VALUE"""),"Shooter was a part-time jailer who was at school for a job interview when he accidentally shot himself in the knee.")</f>
        <v>Shooter was a part-time jailer who was at school for a job interview when he accidentally shot himself in the knee.</v>
      </c>
      <c r="AA1879" s="8" t="str">
        <f ca="1">IFERROR(__xludf.DUMMYFUNCTION("""COMPUTED_VALUE"""),"Accidental")</f>
        <v>Accidental</v>
      </c>
      <c r="AB1879" s="8"/>
      <c r="AC1879" s="8" t="str">
        <f ca="1">IFERROR(__xludf.DUMMYFUNCTION("""COMPUTED_VALUE"""),"Yes")</f>
        <v>Yes</v>
      </c>
      <c r="AD1879" s="8" t="str">
        <f ca="1">IFERROR(__xludf.DUMMYFUNCTION("""COMPUTED_VALUE"""),"Random Shooting")</f>
        <v>Random Shooting</v>
      </c>
      <c r="AE1879" s="8" t="str">
        <f ca="1">IFERROR(__xludf.DUMMYFUNCTION("""COMPUTED_VALUE"""),"No")</f>
        <v>No</v>
      </c>
      <c r="AF1879" s="8"/>
      <c r="AG1879" s="8" t="str">
        <f ca="1">IFERROR(__xludf.DUMMYFUNCTION("""COMPUTED_VALUE"""),"No")</f>
        <v>No</v>
      </c>
      <c r="AH1879" s="8" t="str">
        <f ca="1">IFERROR(__xludf.DUMMYFUNCTION("""COMPUTED_VALUE"""),"No")</f>
        <v>No</v>
      </c>
      <c r="AI1879" s="8" t="str">
        <f ca="1">IFERROR(__xludf.DUMMYFUNCTION("""COMPUTED_VALUE"""),"No")</f>
        <v>No</v>
      </c>
      <c r="AJ1879" s="8" t="str">
        <f ca="1">IFERROR(__xludf.DUMMYFUNCTION("""COMPUTED_VALUE"""),"No")</f>
        <v>No</v>
      </c>
      <c r="AK1879" s="8" t="str">
        <f ca="1">IFERROR(__xludf.DUMMYFUNCTION("""COMPUTED_VALUE"""),"No")</f>
        <v>No</v>
      </c>
      <c r="AL1879" s="8" t="str">
        <f ca="1">IFERROR(__xludf.DUMMYFUNCTION("""COMPUTED_VALUE"""),"No")</f>
        <v>No</v>
      </c>
      <c r="AM1879" s="8" t="str">
        <f ca="1">IFERROR(__xludf.DUMMYFUNCTION("""COMPUTED_VALUE"""),"No")</f>
        <v>No</v>
      </c>
      <c r="AN1879" s="8"/>
      <c r="AO1879" s="8" t="str">
        <f ca="1">IFERROR(__xludf.DUMMYFUNCTION("""COMPUTED_VALUE"""),"No")</f>
        <v>No</v>
      </c>
      <c r="AP1879" s="8"/>
      <c r="AQ1879" s="8" t="str">
        <f ca="1">IFERROR(__xludf.DUMMYFUNCTION("""COMPUTED_VALUE"""),"Unknown")</f>
        <v>Unknown</v>
      </c>
      <c r="AR1879" s="8" t="str">
        <f ca="1">IFERROR(__xludf.DUMMYFUNCTION("""COMPUTED_VALUE"""),"NA")</f>
        <v>NA</v>
      </c>
      <c r="AS1879" s="8">
        <f ca="1">IFERROR(__xludf.DUMMYFUNCTION("""COMPUTED_VALUE"""),1)</f>
        <v>1</v>
      </c>
      <c r="AT1879" s="8"/>
      <c r="AU1879" s="8">
        <f ca="1">IFERROR(__xludf.DUMMYFUNCTION("""COMPUTED_VALUE"""),30.166306)</f>
        <v>30.166305999999999</v>
      </c>
      <c r="AV1879" s="8">
        <f ca="1">IFERROR(__xludf.DUMMYFUNCTION("""COMPUTED_VALUE"""),-85.638797)</f>
        <v>-85.638796999999997</v>
      </c>
      <c r="AW1879" s="8"/>
      <c r="AX1879" s="8">
        <f ca="1">IFERROR(__xludf.DUMMYFUNCTION("""COMPUTED_VALUE"""),32401)</f>
        <v>32401</v>
      </c>
    </row>
    <row r="1880" spans="1:50" ht="75" x14ac:dyDescent="0.2">
      <c r="A1880" s="8" t="str">
        <f ca="1">IFERROR(__xludf.DUMMYFUNCTION("""COMPUTED_VALUE"""),"20160505MDHIB")</f>
        <v>20160505MDHIB</v>
      </c>
      <c r="B1880" s="8">
        <f ca="1">IFERROR(__xludf.DUMMYFUNCTION("""COMPUTED_VALUE"""),5)</f>
        <v>5</v>
      </c>
      <c r="C1880" s="8">
        <f ca="1">IFERROR(__xludf.DUMMYFUNCTION("""COMPUTED_VALUE"""),5)</f>
        <v>5</v>
      </c>
      <c r="D1880" s="8">
        <f ca="1">IFERROR(__xludf.DUMMYFUNCTION("""COMPUTED_VALUE"""),2016)</f>
        <v>2016</v>
      </c>
      <c r="E1880" s="9">
        <f ca="1">IFERROR(__xludf.DUMMYFUNCTION("""COMPUTED_VALUE"""),42495)</f>
        <v>42495</v>
      </c>
      <c r="F1880" s="8" t="str">
        <f ca="1">IFERROR(__xludf.DUMMYFUNCTION("""COMPUTED_VALUE"""),"High Point High School")</f>
        <v>High Point High School</v>
      </c>
      <c r="G1880" s="8">
        <f ca="1">IFERROR(__xludf.DUMMYFUNCTION("""COMPUTED_VALUE"""),1)</f>
        <v>1</v>
      </c>
      <c r="H1880" s="8">
        <f ca="1">IFERROR(__xludf.DUMMYFUNCTION("""COMPUTED_VALUE"""),1)</f>
        <v>1</v>
      </c>
      <c r="I1880" s="8">
        <f ca="1">IFERROR(__xludf.DUMMYFUNCTION("""COMPUTED_VALUE"""),2)</f>
        <v>2</v>
      </c>
      <c r="J1880" s="8">
        <f ca="1">IFERROR(__xludf.DUMMYFUNCTION("""COMPUTED_VALUE"""),0)</f>
        <v>0</v>
      </c>
      <c r="K1880" s="10" t="str">
        <f ca="1">IFERROR(__xludf.DUMMYFUNCTION("""COMPUTED_VALUE"""),"https://www.nbcwashington.com/news/local/Shooting-High-Point-High-School-378322341.html")</f>
        <v>https://www.nbcwashington.com/news/local/Shooting-High-Point-High-School-378322341.html</v>
      </c>
      <c r="L1880" s="8">
        <f ca="1">IFERROR(__xludf.DUMMYFUNCTION("""COMPUTED_VALUE"""),5)</f>
        <v>5</v>
      </c>
      <c r="M1880" s="8" t="str">
        <f ca="1">IFERROR(__xludf.DUMMYFUNCTION("""COMPUTED_VALUE"""),"Regional")</f>
        <v>Regional</v>
      </c>
      <c r="N1880" s="8">
        <f ca="1">IFERROR(__xludf.DUMMYFUNCTION("""COMPUTED_VALUE"""),2)</f>
        <v>2</v>
      </c>
      <c r="O1880" s="8" t="str">
        <f ca="1">IFERROR(__xludf.DUMMYFUNCTION("""COMPUTED_VALUE"""),"Spring")</f>
        <v>Spring</v>
      </c>
      <c r="P1880" s="8" t="str">
        <f ca="1">IFERROR(__xludf.DUMMYFUNCTION("""COMPUTED_VALUE"""),"Beltsville")</f>
        <v>Beltsville</v>
      </c>
      <c r="Q1880" s="8" t="str">
        <f ca="1">IFERROR(__xludf.DUMMYFUNCTION("""COMPUTED_VALUE"""),"MD")</f>
        <v>MD</v>
      </c>
      <c r="R1880" s="8" t="str">
        <f ca="1">IFERROR(__xludf.DUMMYFUNCTION("""COMPUTED_VALUE"""),"High")</f>
        <v>High</v>
      </c>
      <c r="S1880" s="8" t="str">
        <f ca="1">IFERROR(__xludf.DUMMYFUNCTION("""COMPUTED_VALUE"""),"Parking Lot")</f>
        <v>Parking Lot</v>
      </c>
      <c r="T1880" s="8" t="str">
        <f ca="1">IFERROR(__xludf.DUMMYFUNCTION("""COMPUTED_VALUE"""),"Outside on School Property")</f>
        <v>Outside on School Property</v>
      </c>
      <c r="U1880" s="8" t="str">
        <f ca="1">IFERROR(__xludf.DUMMYFUNCTION("""COMPUTED_VALUE"""),"No")</f>
        <v>No</v>
      </c>
      <c r="V1880" s="8" t="str">
        <f ca="1">IFERROR(__xludf.DUMMYFUNCTION("""COMPUTED_VALUE"""),"After School")</f>
        <v>After School</v>
      </c>
      <c r="W1880" s="11">
        <f ca="1">IFERROR(__xludf.DUMMYFUNCTION("""COMPUTED_VALUE"""),0.694444444444444)</f>
        <v>0.69444444444444398</v>
      </c>
      <c r="X1880" s="8">
        <f ca="1">IFERROR(__xludf.DUMMYFUNCTION("""COMPUTED_VALUE"""),1)</f>
        <v>1</v>
      </c>
      <c r="Y1880" s="12" t="str">
        <f ca="1">IFERROR(__xludf.DUMMYFUNCTION("""COMPUTED_VALUE"""),"Domestic, killed ex-wife in parking lot")</f>
        <v>Domestic, killed ex-wife in parking lot</v>
      </c>
      <c r="Z1880" s="12" t="str">
        <f ca="1">IFERROR(__xludf.DUMMYFUNCTION("""COMPUTED_VALUE"""),"Shooter killed estranged wife in the parking lot while she was waiting to pick up their child, following an altercation between the two. Bystander tried to intervene and was shot in the arm. Shooter fled the scene and was arrested later. Victim had a rest"&amp;"raining order against the shooter.")</f>
        <v>Shooter killed estranged wife in the parking lot while she was waiting to pick up their child, following an altercation between the two. Bystander tried to intervene and was shot in the arm. Shooter fled the scene and was arrested later. Victim had a restraining order against the shooter.</v>
      </c>
      <c r="AA1880" s="8" t="str">
        <f ca="1">IFERROR(__xludf.DUMMYFUNCTION("""COMPUTED_VALUE"""),"Domestic w/ Targeted Victim")</f>
        <v>Domestic w/ Targeted Victim</v>
      </c>
      <c r="AB1880" s="8"/>
      <c r="AC1880" s="8" t="str">
        <f ca="1">IFERROR(__xludf.DUMMYFUNCTION("""COMPUTED_VALUE"""),"Yes")</f>
        <v>Yes</v>
      </c>
      <c r="AD1880" s="8" t="str">
        <f ca="1">IFERROR(__xludf.DUMMYFUNCTION("""COMPUTED_VALUE"""),"Both")</f>
        <v>Both</v>
      </c>
      <c r="AE1880" s="8"/>
      <c r="AF1880" s="8"/>
      <c r="AG1880" s="8" t="str">
        <f ca="1">IFERROR(__xludf.DUMMYFUNCTION("""COMPUTED_VALUE"""),"No")</f>
        <v>No</v>
      </c>
      <c r="AH1880" s="8" t="str">
        <f ca="1">IFERROR(__xludf.DUMMYFUNCTION("""COMPUTED_VALUE"""),"No")</f>
        <v>No</v>
      </c>
      <c r="AI1880" s="8" t="str">
        <f ca="1">IFERROR(__xludf.DUMMYFUNCTION("""COMPUTED_VALUE"""),"No")</f>
        <v>No</v>
      </c>
      <c r="AJ1880" s="8"/>
      <c r="AK1880" s="8" t="str">
        <f ca="1">IFERROR(__xludf.DUMMYFUNCTION("""COMPUTED_VALUE"""),"Yes")</f>
        <v>Yes</v>
      </c>
      <c r="AL1880" s="8" t="str">
        <f ca="1">IFERROR(__xludf.DUMMYFUNCTION("""COMPUTED_VALUE"""),"No")</f>
        <v>No</v>
      </c>
      <c r="AM1880" s="8" t="str">
        <f ca="1">IFERROR(__xludf.DUMMYFUNCTION("""COMPUTED_VALUE"""),"No")</f>
        <v>No</v>
      </c>
      <c r="AN1880" s="8"/>
      <c r="AO1880" s="8" t="str">
        <f ca="1">IFERROR(__xludf.DUMMYFUNCTION("""COMPUTED_VALUE"""),"No")</f>
        <v>No</v>
      </c>
      <c r="AP1880" s="8"/>
      <c r="AQ1880" s="8" t="str">
        <f ca="1">IFERROR(__xludf.DUMMYFUNCTION("""COMPUTED_VALUE"""),"Unknown")</f>
        <v>Unknown</v>
      </c>
      <c r="AR1880" s="8" t="str">
        <f ca="1">IFERROR(__xludf.DUMMYFUNCTION("""COMPUTED_VALUE"""),"NA")</f>
        <v>NA</v>
      </c>
      <c r="AS1880" s="8">
        <f ca="1">IFERROR(__xludf.DUMMYFUNCTION("""COMPUTED_VALUE"""),2)</f>
        <v>2</v>
      </c>
      <c r="AT1880" s="8" t="str">
        <f ca="1">IFERROR(__xludf.DUMMYFUNCTION("""COMPUTED_VALUE"""),"Yes")</f>
        <v>Yes</v>
      </c>
      <c r="AU1880" s="8">
        <f ca="1">IFERROR(__xludf.DUMMYFUNCTION("""COMPUTED_VALUE"""),39.042519)</f>
        <v>39.042518999999999</v>
      </c>
      <c r="AV1880" s="8">
        <f ca="1">IFERROR(__xludf.DUMMYFUNCTION("""COMPUTED_VALUE"""),-76.943681)</f>
        <v>-76.943680999999998</v>
      </c>
      <c r="AW1880" s="8"/>
      <c r="AX1880" s="8">
        <f ca="1">IFERROR(__xludf.DUMMYFUNCTION("""COMPUTED_VALUE"""),20705)</f>
        <v>20705</v>
      </c>
    </row>
    <row r="1881" spans="1:50" ht="75" x14ac:dyDescent="0.2">
      <c r="A1881" s="8" t="str">
        <f ca="1">IFERROR(__xludf.DUMMYFUNCTION("""COMPUTED_VALUE"""),"20160504COEAP")</f>
        <v>20160504COEAP</v>
      </c>
      <c r="B1881" s="8">
        <f ca="1">IFERROR(__xludf.DUMMYFUNCTION("""COMPUTED_VALUE"""),5)</f>
        <v>5</v>
      </c>
      <c r="C1881" s="8">
        <f ca="1">IFERROR(__xludf.DUMMYFUNCTION("""COMPUTED_VALUE"""),4)</f>
        <v>4</v>
      </c>
      <c r="D1881" s="8">
        <f ca="1">IFERROR(__xludf.DUMMYFUNCTION("""COMPUTED_VALUE"""),2016)</f>
        <v>2016</v>
      </c>
      <c r="E1881" s="9">
        <f ca="1">IFERROR(__xludf.DUMMYFUNCTION("""COMPUTED_VALUE"""),42494)</f>
        <v>42494</v>
      </c>
      <c r="F1881" s="8" t="str">
        <f ca="1">IFERROR(__xludf.DUMMYFUNCTION("""COMPUTED_VALUE"""),"East High School")</f>
        <v>East High School</v>
      </c>
      <c r="G1881" s="8">
        <f ca="1">IFERROR(__xludf.DUMMYFUNCTION("""COMPUTED_VALUE"""),0)</f>
        <v>0</v>
      </c>
      <c r="H1881" s="8">
        <f ca="1">IFERROR(__xludf.DUMMYFUNCTION("""COMPUTED_VALUE"""),1)</f>
        <v>1</v>
      </c>
      <c r="I1881" s="8">
        <f ca="1">IFERROR(__xludf.DUMMYFUNCTION("""COMPUTED_VALUE"""),1)</f>
        <v>1</v>
      </c>
      <c r="J1881" s="8">
        <f ca="1">IFERROR(__xludf.DUMMYFUNCTION("""COMPUTED_VALUE"""),1)</f>
        <v>1</v>
      </c>
      <c r="K1881" s="10" t="str">
        <f ca="1">IFERROR(__xludf.DUMMYFUNCTION("""COMPUTED_VALUE"""),"http://www.kktv.com/home/headlines/PD-East-High-School-Staff-Hurt-In-Drive-By-Shooting-Near-School-378173411.html")</f>
        <v>http://www.kktv.com/home/headlines/PD-East-High-School-Staff-Hurt-In-Drive-By-Shooting-Near-School-378173411.html</v>
      </c>
      <c r="L1881" s="8">
        <f ca="1">IFERROR(__xludf.DUMMYFUNCTION("""COMPUTED_VALUE"""),5)</f>
        <v>5</v>
      </c>
      <c r="M1881" s="8" t="str">
        <f ca="1">IFERROR(__xludf.DUMMYFUNCTION("""COMPUTED_VALUE"""),"Local")</f>
        <v>Local</v>
      </c>
      <c r="N1881" s="8">
        <f ca="1">IFERROR(__xludf.DUMMYFUNCTION("""COMPUTED_VALUE"""),2)</f>
        <v>2</v>
      </c>
      <c r="O1881" s="8" t="str">
        <f ca="1">IFERROR(__xludf.DUMMYFUNCTION("""COMPUTED_VALUE"""),"Spring")</f>
        <v>Spring</v>
      </c>
      <c r="P1881" s="8" t="str">
        <f ca="1">IFERROR(__xludf.DUMMYFUNCTION("""COMPUTED_VALUE"""),"Pueblo")</f>
        <v>Pueblo</v>
      </c>
      <c r="Q1881" s="8" t="str">
        <f ca="1">IFERROR(__xludf.DUMMYFUNCTION("""COMPUTED_VALUE"""),"CO")</f>
        <v>CO</v>
      </c>
      <c r="R1881" s="8" t="str">
        <f ca="1">IFERROR(__xludf.DUMMYFUNCTION("""COMPUTED_VALUE"""),"High")</f>
        <v>High</v>
      </c>
      <c r="S1881" s="8" t="str">
        <f ca="1">IFERROR(__xludf.DUMMYFUNCTION("""COMPUTED_VALUE"""),"Parking Lot")</f>
        <v>Parking Lot</v>
      </c>
      <c r="T1881" s="8" t="str">
        <f ca="1">IFERROR(__xludf.DUMMYFUNCTION("""COMPUTED_VALUE"""),"Outside on School Property")</f>
        <v>Outside on School Property</v>
      </c>
      <c r="U1881" s="8" t="str">
        <f ca="1">IFERROR(__xludf.DUMMYFUNCTION("""COMPUTED_VALUE"""),"No")</f>
        <v>No</v>
      </c>
      <c r="V1881" s="8" t="str">
        <f ca="1">IFERROR(__xludf.DUMMYFUNCTION("""COMPUTED_VALUE"""),"After School")</f>
        <v>After School</v>
      </c>
      <c r="W1881" s="11">
        <f ca="1">IFERROR(__xludf.DUMMYFUNCTION("""COMPUTED_VALUE"""),0.625)</f>
        <v>0.625</v>
      </c>
      <c r="X1881" s="8">
        <f ca="1">IFERROR(__xludf.DUMMYFUNCTION("""COMPUTED_VALUE"""),1)</f>
        <v>1</v>
      </c>
      <c r="Y1881" s="12" t="str">
        <f ca="1">IFERROR(__xludf.DUMMYFUNCTION("""COMPUTED_VALUE"""),"Drive-by, teacher injured, most likely targeted, murder-suicide")</f>
        <v>Drive-by, teacher injured, most likely targeted, murder-suicide</v>
      </c>
      <c r="Z1881" s="12" t="str">
        <f ca="1">IFERROR(__xludf.DUMMYFUNCTION("""COMPUTED_VALUE"""),"Shooter fired 3 shots from a van while driving through the parking lot of the school. An unidentified teacher was struck. The driver of the van was later found dead from a self-inflicted gunshot wound in an area away from the school. Most likely targeted.")</f>
        <v>Shooter fired 3 shots from a van while driving through the parking lot of the school. An unidentified teacher was struck. The driver of the van was later found dead from a self-inflicted gunshot wound in an area away from the school. Most likely targeted.</v>
      </c>
      <c r="AA1881" s="8" t="str">
        <f ca="1">IFERROR(__xludf.DUMMYFUNCTION("""COMPUTED_VALUE"""),"Drive-by Shooting")</f>
        <v>Drive-by Shooting</v>
      </c>
      <c r="AB1881" s="8"/>
      <c r="AC1881" s="8" t="str">
        <f ca="1">IFERROR(__xludf.DUMMYFUNCTION("""COMPUTED_VALUE"""),"No")</f>
        <v>No</v>
      </c>
      <c r="AD1881" s="8" t="str">
        <f ca="1">IFERROR(__xludf.DUMMYFUNCTION("""COMPUTED_VALUE"""),"Victims Targeted")</f>
        <v>Victims Targeted</v>
      </c>
      <c r="AE1881" s="8" t="str">
        <f ca="1">IFERROR(__xludf.DUMMYFUNCTION("""COMPUTED_VALUE"""),"No")</f>
        <v>No</v>
      </c>
      <c r="AF1881" s="8"/>
      <c r="AG1881" s="8" t="str">
        <f ca="1">IFERROR(__xludf.DUMMYFUNCTION("""COMPUTED_VALUE"""),"No")</f>
        <v>No</v>
      </c>
      <c r="AH1881" s="8" t="str">
        <f ca="1">IFERROR(__xludf.DUMMYFUNCTION("""COMPUTED_VALUE"""),"No")</f>
        <v>No</v>
      </c>
      <c r="AI1881" s="8" t="str">
        <f ca="1">IFERROR(__xludf.DUMMYFUNCTION("""COMPUTED_VALUE"""),"No")</f>
        <v>No</v>
      </c>
      <c r="AJ1881" s="8"/>
      <c r="AK1881" s="8" t="str">
        <f ca="1">IFERROR(__xludf.DUMMYFUNCTION("""COMPUTED_VALUE"""),"No")</f>
        <v>No</v>
      </c>
      <c r="AL1881" s="8" t="str">
        <f ca="1">IFERROR(__xludf.DUMMYFUNCTION("""COMPUTED_VALUE"""),"No")</f>
        <v>No</v>
      </c>
      <c r="AM1881" s="8" t="str">
        <f ca="1">IFERROR(__xludf.DUMMYFUNCTION("""COMPUTED_VALUE"""),"No")</f>
        <v>No</v>
      </c>
      <c r="AN1881" s="8"/>
      <c r="AO1881" s="8" t="str">
        <f ca="1">IFERROR(__xludf.DUMMYFUNCTION("""COMPUTED_VALUE"""),"No")</f>
        <v>No</v>
      </c>
      <c r="AP1881" s="8" t="str">
        <f ca="1">IFERROR(__xludf.DUMMYFUNCTION("""COMPUTED_VALUE"""),"No")</f>
        <v>No</v>
      </c>
      <c r="AQ1881" s="8" t="str">
        <f ca="1">IFERROR(__xludf.DUMMYFUNCTION("""COMPUTED_VALUE"""),"Unknown")</f>
        <v>Unknown</v>
      </c>
      <c r="AR1881" s="8" t="str">
        <f ca="1">IFERROR(__xludf.DUMMYFUNCTION("""COMPUTED_VALUE"""),"NA")</f>
        <v>NA</v>
      </c>
      <c r="AS1881" s="8">
        <f ca="1">IFERROR(__xludf.DUMMYFUNCTION("""COMPUTED_VALUE"""),3)</f>
        <v>3</v>
      </c>
      <c r="AT1881" s="8" t="str">
        <f ca="1">IFERROR(__xludf.DUMMYFUNCTION("""COMPUTED_VALUE"""),"Yes")</f>
        <v>Yes</v>
      </c>
      <c r="AU1881" s="8">
        <f ca="1">IFERROR(__xludf.DUMMYFUNCTION("""COMPUTED_VALUE"""),38.289654)</f>
        <v>38.289653999999999</v>
      </c>
      <c r="AV1881" s="8">
        <f ca="1">IFERROR(__xludf.DUMMYFUNCTION("""COMPUTED_VALUE"""),-104.577323)</f>
        <v>-104.57732300000001</v>
      </c>
      <c r="AW1881" s="8"/>
      <c r="AX1881" s="8">
        <f ca="1">IFERROR(__xludf.DUMMYFUNCTION("""COMPUTED_VALUE"""),81001)</f>
        <v>81001</v>
      </c>
    </row>
    <row r="1882" spans="1:50" ht="75" x14ac:dyDescent="0.2">
      <c r="A1882" s="8" t="str">
        <f ca="1">IFERROR(__xludf.DUMMYFUNCTION("""COMPUTED_VALUE"""),"20160502TXKID")</f>
        <v>20160502TXKID</v>
      </c>
      <c r="B1882" s="8">
        <f ca="1">IFERROR(__xludf.DUMMYFUNCTION("""COMPUTED_VALUE"""),5)</f>
        <v>5</v>
      </c>
      <c r="C1882" s="8">
        <f ca="1">IFERROR(__xludf.DUMMYFUNCTION("""COMPUTED_VALUE"""),2)</f>
        <v>2</v>
      </c>
      <c r="D1882" s="8">
        <f ca="1">IFERROR(__xludf.DUMMYFUNCTION("""COMPUTED_VALUE"""),2016)</f>
        <v>2016</v>
      </c>
      <c r="E1882" s="9">
        <f ca="1">IFERROR(__xludf.DUMMYFUNCTION("""COMPUTED_VALUE"""),42492)</f>
        <v>42492</v>
      </c>
      <c r="F1882" s="8" t="str">
        <f ca="1">IFERROR(__xludf.DUMMYFUNCTION("""COMPUTED_VALUE"""),"Kimball High School")</f>
        <v>Kimball High School</v>
      </c>
      <c r="G1882" s="8">
        <f ca="1">IFERROR(__xludf.DUMMYFUNCTION("""COMPUTED_VALUE"""),0)</f>
        <v>0</v>
      </c>
      <c r="H1882" s="8">
        <f ca="1">IFERROR(__xludf.DUMMYFUNCTION("""COMPUTED_VALUE"""),0)</f>
        <v>0</v>
      </c>
      <c r="I1882" s="8">
        <f ca="1">IFERROR(__xludf.DUMMYFUNCTION("""COMPUTED_VALUE"""),0)</f>
        <v>0</v>
      </c>
      <c r="J1882" s="8">
        <f ca="1">IFERROR(__xludf.DUMMYFUNCTION("""COMPUTED_VALUE"""),0)</f>
        <v>0</v>
      </c>
      <c r="K1882" s="8" t="str">
        <f ca="1">IFERROR(__xludf.DUMMYFUNCTION("""COMPUTED_VALUE"""),"https://www.dallasnews.com/news/news/2016/05/02/student-wounded-in-shooting-at-kimball-high-dallas-isd-spokesman-says . http://www.fox4news.com/news/mom-explains-why-student-brought-gun-to-kimball-high-school")</f>
        <v>https://www.dallasnews.com/news/news/2016/05/02/student-wounded-in-shooting-at-kimball-high-dallas-isd-spokesman-says . http://www.fox4news.com/news/mom-explains-why-student-brought-gun-to-kimball-high-school</v>
      </c>
      <c r="L1882" s="8"/>
      <c r="M1882" s="8"/>
      <c r="N1882" s="8">
        <f ca="1">IFERROR(__xludf.DUMMYFUNCTION("""COMPUTED_VALUE"""),3)</f>
        <v>3</v>
      </c>
      <c r="O1882" s="8" t="str">
        <f ca="1">IFERROR(__xludf.DUMMYFUNCTION("""COMPUTED_VALUE"""),"Spring")</f>
        <v>Spring</v>
      </c>
      <c r="P1882" s="8" t="str">
        <f ca="1">IFERROR(__xludf.DUMMYFUNCTION("""COMPUTED_VALUE"""),"Dallas")</f>
        <v>Dallas</v>
      </c>
      <c r="Q1882" s="8" t="str">
        <f ca="1">IFERROR(__xludf.DUMMYFUNCTION("""COMPUTED_VALUE"""),"TX")</f>
        <v>TX</v>
      </c>
      <c r="R1882" s="8" t="str">
        <f ca="1">IFERROR(__xludf.DUMMYFUNCTION("""COMPUTED_VALUE"""),"High")</f>
        <v>High</v>
      </c>
      <c r="S1882" s="8" t="str">
        <f ca="1">IFERROR(__xludf.DUMMYFUNCTION("""COMPUTED_VALUE"""),"Classroom")</f>
        <v>Classroom</v>
      </c>
      <c r="T1882" s="8" t="str">
        <f ca="1">IFERROR(__xludf.DUMMYFUNCTION("""COMPUTED_VALUE"""),"Inside School Building")</f>
        <v>Inside School Building</v>
      </c>
      <c r="U1882" s="8" t="str">
        <f ca="1">IFERROR(__xludf.DUMMYFUNCTION("""COMPUTED_VALUE"""),"Yes")</f>
        <v>Yes</v>
      </c>
      <c r="V1882" s="8" t="str">
        <f ca="1">IFERROR(__xludf.DUMMYFUNCTION("""COMPUTED_VALUE"""),"Morning Classes")</f>
        <v>Morning Classes</v>
      </c>
      <c r="W1882" s="11">
        <f ca="1">IFERROR(__xludf.DUMMYFUNCTION("""COMPUTED_VALUE"""),0.333333333333333)</f>
        <v>0.33333333333333298</v>
      </c>
      <c r="X1882" s="8">
        <f ca="1">IFERROR(__xludf.DUMMYFUNCTION("""COMPUTED_VALUE"""),1)</f>
        <v>1</v>
      </c>
      <c r="Y1882" s="12" t="str">
        <f ca="1">IFERROR(__xludf.DUMMYFUNCTION("""COMPUTED_VALUE"""),"Accidental discharge showing off gun")</f>
        <v>Accidental discharge showing off gun</v>
      </c>
      <c r="Z1882" s="12" t="str">
        <f ca="1">IFERROR(__xludf.DUMMYFUNCTION("""COMPUTED_VALUE"""),"Shooter brought .22 caliber gun to school - after showing it to a friend it accidentally discharged when he was putting it back in pocket - according to subsequent interview with mother, her son brought gun to school to commit suicide as a result of being"&amp;" chronically bullied.")</f>
        <v>Shooter brought .22 caliber gun to school - after showing it to a friend it accidentally discharged when he was putting it back in pocket - according to subsequent interview with mother, her son brought gun to school to commit suicide as a result of being chronically bullied.</v>
      </c>
      <c r="AA1882" s="8" t="str">
        <f ca="1">IFERROR(__xludf.DUMMYFUNCTION("""COMPUTED_VALUE"""),"Accidental")</f>
        <v>Accidental</v>
      </c>
      <c r="AB1882" s="8"/>
      <c r="AC1882" s="8" t="str">
        <f ca="1">IFERROR(__xludf.DUMMYFUNCTION("""COMPUTED_VALUE"""),"Yes")</f>
        <v>Yes</v>
      </c>
      <c r="AD1882" s="8" t="str">
        <f ca="1">IFERROR(__xludf.DUMMYFUNCTION("""COMPUTED_VALUE"""),"Random Shooting")</f>
        <v>Random Shooting</v>
      </c>
      <c r="AE1882" s="8" t="str">
        <f ca="1">IFERROR(__xludf.DUMMYFUNCTION("""COMPUTED_VALUE"""),"No")</f>
        <v>No</v>
      </c>
      <c r="AF1882" s="8"/>
      <c r="AG1882" s="8" t="str">
        <f ca="1">IFERROR(__xludf.DUMMYFUNCTION("""COMPUTED_VALUE"""),"No")</f>
        <v>No</v>
      </c>
      <c r="AH1882" s="8" t="str">
        <f ca="1">IFERROR(__xludf.DUMMYFUNCTION("""COMPUTED_VALUE"""),"No")</f>
        <v>No</v>
      </c>
      <c r="AI1882" s="8" t="str">
        <f ca="1">IFERROR(__xludf.DUMMYFUNCTION("""COMPUTED_VALUE"""),"No")</f>
        <v>No</v>
      </c>
      <c r="AJ1882" s="8" t="str">
        <f ca="1">IFERROR(__xludf.DUMMYFUNCTION("""COMPUTED_VALUE"""),"Yes")</f>
        <v>Yes</v>
      </c>
      <c r="AK1882" s="8" t="str">
        <f ca="1">IFERROR(__xludf.DUMMYFUNCTION("""COMPUTED_VALUE"""),"No")</f>
        <v>No</v>
      </c>
      <c r="AL1882" s="8" t="str">
        <f ca="1">IFERROR(__xludf.DUMMYFUNCTION("""COMPUTED_VALUE"""),"No")</f>
        <v>No</v>
      </c>
      <c r="AM1882" s="8" t="str">
        <f ca="1">IFERROR(__xludf.DUMMYFUNCTION("""COMPUTED_VALUE"""),"No")</f>
        <v>No</v>
      </c>
      <c r="AN1882" s="8"/>
      <c r="AO1882" s="8" t="str">
        <f ca="1">IFERROR(__xludf.DUMMYFUNCTION("""COMPUTED_VALUE"""),"No")</f>
        <v>No</v>
      </c>
      <c r="AP1882" s="8"/>
      <c r="AQ1882" s="8" t="str">
        <f ca="1">IFERROR(__xludf.DUMMYFUNCTION("""COMPUTED_VALUE"""),"Metal Detectors")</f>
        <v>Metal Detectors</v>
      </c>
      <c r="AR1882" s="8" t="str">
        <f ca="1">IFERROR(__xludf.DUMMYFUNCTION("""COMPUTED_VALUE"""),"Failed")</f>
        <v>Failed</v>
      </c>
      <c r="AS1882" s="8">
        <f ca="1">IFERROR(__xludf.DUMMYFUNCTION("""COMPUTED_VALUE"""),1)</f>
        <v>1</v>
      </c>
      <c r="AT1882" s="8" t="str">
        <f ca="1">IFERROR(__xludf.DUMMYFUNCTION("""COMPUTED_VALUE"""),"Yes")</f>
        <v>Yes</v>
      </c>
      <c r="AU1882" s="8">
        <f ca="1">IFERROR(__xludf.DUMMYFUNCTION("""COMPUTED_VALUE"""),32.699105)</f>
        <v>32.699105000000003</v>
      </c>
      <c r="AV1882" s="8">
        <f ca="1">IFERROR(__xludf.DUMMYFUNCTION("""COMPUTED_VALUE"""),-96.877038)</f>
        <v>-96.877037999999999</v>
      </c>
      <c r="AW1882" s="8"/>
      <c r="AX1882" s="8">
        <f ca="1">IFERROR(__xludf.DUMMYFUNCTION("""COMPUTED_VALUE"""),75233)</f>
        <v>75233</v>
      </c>
    </row>
    <row r="1883" spans="1:50" ht="375" x14ac:dyDescent="0.2">
      <c r="A1883" s="8" t="str">
        <f ca="1">IFERROR(__xludf.DUMMYFUNCTION("""COMPUTED_VALUE"""),"20160423WIANA")</f>
        <v>20160423WIANA</v>
      </c>
      <c r="B1883" s="8">
        <f ca="1">IFERROR(__xludf.DUMMYFUNCTION("""COMPUTED_VALUE"""),4)</f>
        <v>4</v>
      </c>
      <c r="C1883" s="8">
        <f ca="1">IFERROR(__xludf.DUMMYFUNCTION("""COMPUTED_VALUE"""),23)</f>
        <v>23</v>
      </c>
      <c r="D1883" s="8">
        <f ca="1">IFERROR(__xludf.DUMMYFUNCTION("""COMPUTED_VALUE"""),2016)</f>
        <v>2016</v>
      </c>
      <c r="E1883" s="9">
        <f ca="1">IFERROR(__xludf.DUMMYFUNCTION("""COMPUTED_VALUE"""),42483)</f>
        <v>42483</v>
      </c>
      <c r="F1883" s="8" t="str">
        <f ca="1">IFERROR(__xludf.DUMMYFUNCTION("""COMPUTED_VALUE"""),"Antigo High School")</f>
        <v>Antigo High School</v>
      </c>
      <c r="G1883" s="8">
        <f ca="1">IFERROR(__xludf.DUMMYFUNCTION("""COMPUTED_VALUE"""),0)</f>
        <v>0</v>
      </c>
      <c r="H1883" s="8">
        <f ca="1">IFERROR(__xludf.DUMMYFUNCTION("""COMPUTED_VALUE"""),2)</f>
        <v>2</v>
      </c>
      <c r="I1883" s="8">
        <f ca="1">IFERROR(__xludf.DUMMYFUNCTION("""COMPUTED_VALUE"""),2)</f>
        <v>2</v>
      </c>
      <c r="J1883" s="8">
        <f ca="1">IFERROR(__xludf.DUMMYFUNCTION("""COMPUTED_VALUE"""),1)</f>
        <v>1</v>
      </c>
      <c r="K1883" s="8" t="str">
        <f ca="1">IFERROR(__xludf.DUMMYFUNCTION("""COMPUTED_VALUE"""),"https://www.wausaudailyherald.com/story/news/crime/2016/07/14/prom-officer-cleared-wrongdoing/87086168/ https://www.fbi.gov/file-repository/active-shooter-incidents-2000-2017.pdf https://www.wausaudailyherald.com/story/news/crime/2016/07/14/prom-officer-c"&amp;"leared-wrongdoing/87086168/")</f>
        <v>https://www.wausaudailyherald.com/story/news/crime/2016/07/14/prom-officer-cleared-wrongdoing/87086168/ https://www.fbi.gov/file-repository/active-shooter-incidents-2000-2017.pdf https://www.wausaudailyherald.com/story/news/crime/2016/07/14/prom-officer-cleared-wrongdoing/87086168/</v>
      </c>
      <c r="L1883" s="8">
        <f ca="1">IFERROR(__xludf.DUMMYFUNCTION("""COMPUTED_VALUE"""),11)</f>
        <v>11</v>
      </c>
      <c r="M1883" s="8" t="str">
        <f ca="1">IFERROR(__xludf.DUMMYFUNCTION("""COMPUTED_VALUE"""),"International")</f>
        <v>International</v>
      </c>
      <c r="N1883" s="8">
        <f ca="1">IFERROR(__xludf.DUMMYFUNCTION("""COMPUTED_VALUE"""),5)</f>
        <v>5</v>
      </c>
      <c r="O1883" s="8" t="str">
        <f ca="1">IFERROR(__xludf.DUMMYFUNCTION("""COMPUTED_VALUE"""),"Spring")</f>
        <v>Spring</v>
      </c>
      <c r="P1883" s="8" t="str">
        <f ca="1">IFERROR(__xludf.DUMMYFUNCTION("""COMPUTED_VALUE"""),"Antigo")</f>
        <v>Antigo</v>
      </c>
      <c r="Q1883" s="8" t="str">
        <f ca="1">IFERROR(__xludf.DUMMYFUNCTION("""COMPUTED_VALUE"""),"WI")</f>
        <v>WI</v>
      </c>
      <c r="R1883" s="8" t="str">
        <f ca="1">IFERROR(__xludf.DUMMYFUNCTION("""COMPUTED_VALUE"""),"High")</f>
        <v>High</v>
      </c>
      <c r="S1883" s="8" t="str">
        <f ca="1">IFERROR(__xludf.DUMMYFUNCTION("""COMPUTED_VALUE"""),"Parking Lot")</f>
        <v>Parking Lot</v>
      </c>
      <c r="T1883" s="8" t="str">
        <f ca="1">IFERROR(__xludf.DUMMYFUNCTION("""COMPUTED_VALUE"""),"Outside on School Property")</f>
        <v>Outside on School Property</v>
      </c>
      <c r="U1883" s="8" t="str">
        <f ca="1">IFERROR(__xludf.DUMMYFUNCTION("""COMPUTED_VALUE"""),"No")</f>
        <v>No</v>
      </c>
      <c r="V1883" s="8" t="str">
        <f ca="1">IFERROR(__xludf.DUMMYFUNCTION("""COMPUTED_VALUE"""),"School Event")</f>
        <v>School Event</v>
      </c>
      <c r="W1883" s="11">
        <f ca="1">IFERROR(__xludf.DUMMYFUNCTION("""COMPUTED_VALUE"""),0.958333333333333)</f>
        <v>0.95833333333333304</v>
      </c>
      <c r="X1883" s="8">
        <f ca="1">IFERROR(__xludf.DUMMYFUNCTION("""COMPUTED_VALUE"""),1)</f>
        <v>1</v>
      </c>
      <c r="Y1883" s="12" t="str">
        <f ca="1">IFERROR(__xludf.DUMMYFUNCTION("""COMPUTED_VALUE"""),"Shot ex-girlfriend after break-up")</f>
        <v>Shot ex-girlfriend after break-up</v>
      </c>
      <c r="Z1883" s="12" t="str">
        <f ca="1">IFERROR(__xludf.DUMMYFUNCTION("""COMPUTED_VALUE"""),"Victim had recently broken up with the shooter (they were each other's first girl/boyfriend) and he attempted suicide immediately after. Victim reported he was too clingy and she ended it. He later asked her if she would commit suicide with him, she refus"&amp;"ed and cut contact. Shooter bought rifle 2 weeks prior from a gun show, was proud and posted photos (no threats). A friend gave shooter a ride the day before to buy ammo (he bought all the store had in stock). Shooter shot ex-girlfriend and prom date and "&amp;"then was killed by a police officer in the parking lot. Fired 10/45 rounds. Gun jammed. Friends of the shooter said he was normal and social. Shooter was an assistant teacher nearby, possibly picked location because of ex-girlfriend. Bullied for years. Bu"&amp;"llying was so severe that victim was pulled from 8th grade for a semester by parents.
 FBI Study: On April 23, 2016, at 11:02 p.m., Jakob Edward Wagner, 18, armed with a rifle, began shooting outside a prom being held at his former school, Antigo High S"&amp;"chool in Antigo, Wisconsin. Two law enforcement officers, who were on the premises, heard the shots and responded immediately. No one was killed; two students were wounded. The shooter was wounded in an exchange of gunfire with law enforcement officers an"&amp;"d later died at the hospital.")</f>
        <v>Victim had recently broken up with the shooter (they were each other's first girl/boyfriend) and he attempted suicide immediately after. Victim reported he was too clingy and she ended it. He later asked her if she would commit suicide with him, she refused and cut contact. Shooter bought rifle 2 weeks prior from a gun show, was proud and posted photos (no threats). A friend gave shooter a ride the day before to buy ammo (he bought all the store had in stock). Shooter shot ex-girlfriend and prom date and then was killed by a police officer in the parking lot. Fired 10/45 rounds. Gun jammed. Friends of the shooter said he was normal and social. Shooter was an assistant teacher nearby, possibly picked location because of ex-girlfriend. Bullied for years. Bullying was so severe that victim was pulled from 8th grade for a semester by parents.
 FBI Study: On April 23, 2016, at 11:02 p.m., Jakob Edward Wagner, 18, armed with a rifle, began shooting outside a prom being held at his former school, Antigo High School in Antigo, Wisconsin. Two law enforcement officers, who were on the premises, heard the shots and responded immediately. No one was killed; two students were wounded. The shooter was wounded in an exchange of gunfire with law enforcement officers and later died at the hospital.</v>
      </c>
      <c r="AA1883" s="8" t="str">
        <f ca="1">IFERROR(__xludf.DUMMYFUNCTION("""COMPUTED_VALUE"""),"Domestic w/ Targeted Victim")</f>
        <v>Domestic w/ Targeted Victim</v>
      </c>
      <c r="AB1883" s="8"/>
      <c r="AC1883" s="8" t="str">
        <f ca="1">IFERROR(__xludf.DUMMYFUNCTION("""COMPUTED_VALUE"""),"Yes")</f>
        <v>Yes</v>
      </c>
      <c r="AD1883" s="8" t="str">
        <f ca="1">IFERROR(__xludf.DUMMYFUNCTION("""COMPUTED_VALUE"""),"Victims Targeted")</f>
        <v>Victims Targeted</v>
      </c>
      <c r="AE1883" s="8" t="str">
        <f ca="1">IFERROR(__xludf.DUMMYFUNCTION("""COMPUTED_VALUE"""),"No")</f>
        <v>No</v>
      </c>
      <c r="AF1883" s="8"/>
      <c r="AG1883" s="8" t="str">
        <f ca="1">IFERROR(__xludf.DUMMYFUNCTION("""COMPUTED_VALUE"""),"No")</f>
        <v>No</v>
      </c>
      <c r="AH1883" s="8" t="str">
        <f ca="1">IFERROR(__xludf.DUMMYFUNCTION("""COMPUTED_VALUE"""),"No")</f>
        <v>No</v>
      </c>
      <c r="AI1883" s="8" t="str">
        <f ca="1">IFERROR(__xludf.DUMMYFUNCTION("""COMPUTED_VALUE"""),"No")</f>
        <v>No</v>
      </c>
      <c r="AJ1883" s="8" t="str">
        <f ca="1">IFERROR(__xludf.DUMMYFUNCTION("""COMPUTED_VALUE"""),"Yes")</f>
        <v>Yes</v>
      </c>
      <c r="AK1883" s="8" t="str">
        <f ca="1">IFERROR(__xludf.DUMMYFUNCTION("""COMPUTED_VALUE"""),"Yes")</f>
        <v>Yes</v>
      </c>
      <c r="AL1883" s="8" t="str">
        <f ca="1">IFERROR(__xludf.DUMMYFUNCTION("""COMPUTED_VALUE"""),"No")</f>
        <v>No</v>
      </c>
      <c r="AM1883" s="8" t="str">
        <f ca="1">IFERROR(__xludf.DUMMYFUNCTION("""COMPUTED_VALUE"""),"Yes")</f>
        <v>Yes</v>
      </c>
      <c r="AN1883" s="8" t="str">
        <f ca="1">IFERROR(__xludf.DUMMYFUNCTION("""COMPUTED_VALUE"""),"Outside")</f>
        <v>Outside</v>
      </c>
      <c r="AO1883" s="8" t="str">
        <f ca="1">IFERROR(__xludf.DUMMYFUNCTION("""COMPUTED_VALUE"""),"Yes")</f>
        <v>Yes</v>
      </c>
      <c r="AP1883" s="8" t="str">
        <f ca="1">IFERROR(__xludf.DUMMYFUNCTION("""COMPUTED_VALUE"""),"No")</f>
        <v>No</v>
      </c>
      <c r="AQ1883" s="8" t="str">
        <f ca="1">IFERROR(__xludf.DUMMYFUNCTION("""COMPUTED_VALUE"""),"Unknown")</f>
        <v>Unknown</v>
      </c>
      <c r="AR1883" s="8" t="str">
        <f ca="1">IFERROR(__xludf.DUMMYFUNCTION("""COMPUTED_VALUE"""),"NA")</f>
        <v>NA</v>
      </c>
      <c r="AS1883" s="8">
        <f ca="1">IFERROR(__xludf.DUMMYFUNCTION("""COMPUTED_VALUE"""),10)</f>
        <v>10</v>
      </c>
      <c r="AT1883" s="8"/>
      <c r="AU1883" s="8">
        <f ca="1">IFERROR(__xludf.DUMMYFUNCTION("""COMPUTED_VALUE"""),45.133788)</f>
        <v>45.133788000000003</v>
      </c>
      <c r="AV1883" s="8">
        <f ca="1">IFERROR(__xludf.DUMMYFUNCTION("""COMPUTED_VALUE"""),-89.174795)</f>
        <v>-89.174795000000003</v>
      </c>
      <c r="AW1883" s="8"/>
      <c r="AX1883" s="8">
        <f ca="1">IFERROR(__xludf.DUMMYFUNCTION("""COMPUTED_VALUE"""),54409)</f>
        <v>54409</v>
      </c>
    </row>
    <row r="1884" spans="1:50" ht="90" x14ac:dyDescent="0.2">
      <c r="A1884" s="8" t="str">
        <f ca="1">IFERROR(__xludf.DUMMYFUNCTION("""COMPUTED_VALUE"""),"20160315ALHUB")</f>
        <v>20160315ALHUB</v>
      </c>
      <c r="B1884" s="8">
        <f ca="1">IFERROR(__xludf.DUMMYFUNCTION("""COMPUTED_VALUE"""),3)</f>
        <v>3</v>
      </c>
      <c r="C1884" s="8">
        <f ca="1">IFERROR(__xludf.DUMMYFUNCTION("""COMPUTED_VALUE"""),15)</f>
        <v>15</v>
      </c>
      <c r="D1884" s="8">
        <f ca="1">IFERROR(__xludf.DUMMYFUNCTION("""COMPUTED_VALUE"""),2016)</f>
        <v>2016</v>
      </c>
      <c r="E1884" s="9">
        <f ca="1">IFERROR(__xludf.DUMMYFUNCTION("""COMPUTED_VALUE"""),42444)</f>
        <v>42444</v>
      </c>
      <c r="F1884" s="8" t="str">
        <f ca="1">IFERROR(__xludf.DUMMYFUNCTION("""COMPUTED_VALUE"""),"Huffman High School")</f>
        <v>Huffman High School</v>
      </c>
      <c r="G1884" s="8">
        <f ca="1">IFERROR(__xludf.DUMMYFUNCTION("""COMPUTED_VALUE"""),0)</f>
        <v>0</v>
      </c>
      <c r="H1884" s="8">
        <f ca="1">IFERROR(__xludf.DUMMYFUNCTION("""COMPUTED_VALUE"""),1)</f>
        <v>1</v>
      </c>
      <c r="I1884" s="8">
        <f ca="1">IFERROR(__xludf.DUMMYFUNCTION("""COMPUTED_VALUE"""),1)</f>
        <v>1</v>
      </c>
      <c r="J1884" s="8">
        <f ca="1">IFERROR(__xludf.DUMMYFUNCTION("""COMPUTED_VALUE"""),0)</f>
        <v>0</v>
      </c>
      <c r="K1884" s="10" t="str">
        <f ca="1">IFERROR(__xludf.DUMMYFUNCTION("""COMPUTED_VALUE"""),"http://www.wbrc.com/story/31487356/birmingham-police-identify-suspect-arrested-charged-in-huffman-high-school-shooting")</f>
        <v>http://www.wbrc.com/story/31487356/birmingham-police-identify-suspect-arrested-charged-in-huffman-high-school-shooting</v>
      </c>
      <c r="L1884" s="8">
        <f ca="1">IFERROR(__xludf.DUMMYFUNCTION("""COMPUTED_VALUE"""),5)</f>
        <v>5</v>
      </c>
      <c r="M1884" s="8" t="str">
        <f ca="1">IFERROR(__xludf.DUMMYFUNCTION("""COMPUTED_VALUE"""),"Local")</f>
        <v>Local</v>
      </c>
      <c r="N1884" s="8">
        <f ca="1">IFERROR(__xludf.DUMMYFUNCTION("""COMPUTED_VALUE"""),2)</f>
        <v>2</v>
      </c>
      <c r="O1884" s="8" t="str">
        <f ca="1">IFERROR(__xludf.DUMMYFUNCTION("""COMPUTED_VALUE"""),"Spring")</f>
        <v>Spring</v>
      </c>
      <c r="P1884" s="8" t="str">
        <f ca="1">IFERROR(__xludf.DUMMYFUNCTION("""COMPUTED_VALUE"""),"Birmingham")</f>
        <v>Birmingham</v>
      </c>
      <c r="Q1884" s="8" t="str">
        <f ca="1">IFERROR(__xludf.DUMMYFUNCTION("""COMPUTED_VALUE"""),"AL")</f>
        <v>AL</v>
      </c>
      <c r="R1884" s="8" t="str">
        <f ca="1">IFERROR(__xludf.DUMMYFUNCTION("""COMPUTED_VALUE"""),"High")</f>
        <v>High</v>
      </c>
      <c r="S1884" s="8" t="str">
        <f ca="1">IFERROR(__xludf.DUMMYFUNCTION("""COMPUTED_VALUE"""),"Parking Lot")</f>
        <v>Parking Lot</v>
      </c>
      <c r="T1884" s="8" t="str">
        <f ca="1">IFERROR(__xludf.DUMMYFUNCTION("""COMPUTED_VALUE"""),"Outside on School Property")</f>
        <v>Outside on School Property</v>
      </c>
      <c r="U1884" s="8" t="str">
        <f ca="1">IFERROR(__xludf.DUMMYFUNCTION("""COMPUTED_VALUE"""),"Yes")</f>
        <v>Yes</v>
      </c>
      <c r="V1884" s="8" t="str">
        <f ca="1">IFERROR(__xludf.DUMMYFUNCTION("""COMPUTED_VALUE"""),"Dismissal")</f>
        <v>Dismissal</v>
      </c>
      <c r="W1884" s="11">
        <f ca="1">IFERROR(__xludf.DUMMYFUNCTION("""COMPUTED_VALUE"""),0.604166666666666)</f>
        <v>0.60416666666666596</v>
      </c>
      <c r="X1884" s="8">
        <f ca="1">IFERROR(__xludf.DUMMYFUNCTION("""COMPUTED_VALUE"""),1)</f>
        <v>1</v>
      </c>
      <c r="Y1884" s="12" t="str">
        <f ca="1">IFERROR(__xludf.DUMMYFUNCTION("""COMPUTED_VALUE"""),"Shots fired during fight")</f>
        <v>Shots fired during fight</v>
      </c>
      <c r="Z1884" s="12" t="str">
        <f ca="1">IFERROR(__xludf.DUMMYFUNCTION("""COMPUTED_VALUE"""),"A few students got in a fight, one of them called his brother (the shooter), who was not a student. He arrived in a car, got out, and opened fire, the targeted student started running but got a minor arm injury. The SROs engaged the shooter right away and"&amp;" he was arrested. The school went on lockdown when the shots went out.")</f>
        <v>A few students got in a fight, one of them called his brother (the shooter), who was not a student. He arrived in a car, got out, and opened fire, the targeted student started running but got a minor arm injury. The SROs engaged the shooter right away and he was arrested. The school went on lockdown when the shots went out.</v>
      </c>
      <c r="AA1884" s="8" t="str">
        <f ca="1">IFERROR(__xludf.DUMMYFUNCTION("""COMPUTED_VALUE"""),"Escalation of Dispute")</f>
        <v>Escalation of Dispute</v>
      </c>
      <c r="AB1884" s="8"/>
      <c r="AC1884" s="8" t="str">
        <f ca="1">IFERROR(__xludf.DUMMYFUNCTION("""COMPUTED_VALUE"""),"Yes")</f>
        <v>Yes</v>
      </c>
      <c r="AD1884" s="8" t="str">
        <f ca="1">IFERROR(__xludf.DUMMYFUNCTION("""COMPUTED_VALUE"""),"Victims Targeted")</f>
        <v>Victims Targeted</v>
      </c>
      <c r="AE1884" s="8" t="str">
        <f ca="1">IFERROR(__xludf.DUMMYFUNCTION("""COMPUTED_VALUE"""),"No")</f>
        <v>No</v>
      </c>
      <c r="AF1884" s="8"/>
      <c r="AG1884" s="8" t="str">
        <f ca="1">IFERROR(__xludf.DUMMYFUNCTION("""COMPUTED_VALUE"""),"No")</f>
        <v>No</v>
      </c>
      <c r="AH1884" s="8" t="str">
        <f ca="1">IFERROR(__xludf.DUMMYFUNCTION("""COMPUTED_VALUE"""),"No")</f>
        <v>No</v>
      </c>
      <c r="AI1884" s="8" t="str">
        <f ca="1">IFERROR(__xludf.DUMMYFUNCTION("""COMPUTED_VALUE"""),"No")</f>
        <v>No</v>
      </c>
      <c r="AJ1884" s="8" t="str">
        <f ca="1">IFERROR(__xludf.DUMMYFUNCTION("""COMPUTED_VALUE"""),"No")</f>
        <v>No</v>
      </c>
      <c r="AK1884" s="8" t="str">
        <f ca="1">IFERROR(__xludf.DUMMYFUNCTION("""COMPUTED_VALUE"""),"No")</f>
        <v>No</v>
      </c>
      <c r="AL1884" s="8" t="str">
        <f ca="1">IFERROR(__xludf.DUMMYFUNCTION("""COMPUTED_VALUE"""),"No")</f>
        <v>No</v>
      </c>
      <c r="AM1884" s="8" t="str">
        <f ca="1">IFERROR(__xludf.DUMMYFUNCTION("""COMPUTED_VALUE"""),"No")</f>
        <v>No</v>
      </c>
      <c r="AN1884" s="8"/>
      <c r="AO1884" s="8" t="str">
        <f ca="1">IFERROR(__xludf.DUMMYFUNCTION("""COMPUTED_VALUE"""),"No")</f>
        <v>No</v>
      </c>
      <c r="AP1884" s="8" t="str">
        <f ca="1">IFERROR(__xludf.DUMMYFUNCTION("""COMPUTED_VALUE"""),"Yes")</f>
        <v>Yes</v>
      </c>
      <c r="AQ1884" s="8" t="str">
        <f ca="1">IFERROR(__xludf.DUMMYFUNCTION("""COMPUTED_VALUE"""),"Unknown")</f>
        <v>Unknown</v>
      </c>
      <c r="AR1884" s="8" t="str">
        <f ca="1">IFERROR(__xludf.DUMMYFUNCTION("""COMPUTED_VALUE"""),"NA")</f>
        <v>NA</v>
      </c>
      <c r="AS1884" s="8"/>
      <c r="AT1884" s="8" t="str">
        <f ca="1">IFERROR(__xludf.DUMMYFUNCTION("""COMPUTED_VALUE"""),"Yes")</f>
        <v>Yes</v>
      </c>
      <c r="AU1884" s="8">
        <f ca="1">IFERROR(__xludf.DUMMYFUNCTION("""COMPUTED_VALUE"""),33.61291)</f>
        <v>33.612909999999999</v>
      </c>
      <c r="AV1884" s="8">
        <f ca="1">IFERROR(__xludf.DUMMYFUNCTION("""COMPUTED_VALUE"""),-86.682)</f>
        <v>-86.682000000000002</v>
      </c>
      <c r="AW1884" s="8"/>
      <c r="AX1884" s="8">
        <f ca="1">IFERROR(__xludf.DUMMYFUNCTION("""COMPUTED_VALUE"""),35215)</f>
        <v>35215</v>
      </c>
    </row>
    <row r="1885" spans="1:50" ht="409.5" x14ac:dyDescent="0.2">
      <c r="A1885" s="8" t="str">
        <f ca="1">IFERROR(__xludf.DUMMYFUNCTION("""COMPUTED_VALUE"""),"20160229OHMAM")</f>
        <v>20160229OHMAM</v>
      </c>
      <c r="B1885" s="8">
        <f ca="1">IFERROR(__xludf.DUMMYFUNCTION("""COMPUTED_VALUE"""),2)</f>
        <v>2</v>
      </c>
      <c r="C1885" s="8">
        <f ca="1">IFERROR(__xludf.DUMMYFUNCTION("""COMPUTED_VALUE"""),29)</f>
        <v>29</v>
      </c>
      <c r="D1885" s="8">
        <f ca="1">IFERROR(__xludf.DUMMYFUNCTION("""COMPUTED_VALUE"""),2016)</f>
        <v>2016</v>
      </c>
      <c r="E1885" s="9">
        <f ca="1">IFERROR(__xludf.DUMMYFUNCTION("""COMPUTED_VALUE"""),42429)</f>
        <v>42429</v>
      </c>
      <c r="F1885" s="8" t="str">
        <f ca="1">IFERROR(__xludf.DUMMYFUNCTION("""COMPUTED_VALUE"""),"Madison High School")</f>
        <v>Madison High School</v>
      </c>
      <c r="G1885" s="8">
        <f ca="1">IFERROR(__xludf.DUMMYFUNCTION("""COMPUTED_VALUE"""),0)</f>
        <v>0</v>
      </c>
      <c r="H1885" s="8">
        <f ca="1">IFERROR(__xludf.DUMMYFUNCTION("""COMPUTED_VALUE"""),4)</f>
        <v>4</v>
      </c>
      <c r="I1885" s="8">
        <f ca="1">IFERROR(__xludf.DUMMYFUNCTION("""COMPUTED_VALUE"""),4)</f>
        <v>4</v>
      </c>
      <c r="J1885" s="8">
        <f ca="1">IFERROR(__xludf.DUMMYFUNCTION("""COMPUTED_VALUE"""),0)</f>
        <v>0</v>
      </c>
      <c r="K1885" s="8" t="str">
        <f ca="1">IFERROR(__xludf.DUMMYFUNCTION("""COMPUTED_VALUE"""),"https://www.cincinnati.com/story/news/2018/02/23/school-shooter-his-own-words-wasnt-wanted-anyone/360102002/ https://www.fbi.gov/file-repository/active-shooter-incidents-2000-2017.pdf")</f>
        <v>https://www.cincinnati.com/story/news/2018/02/23/school-shooter-his-own-words-wasnt-wanted-anyone/360102002/ https://www.fbi.gov/file-repository/active-shooter-incidents-2000-2017.pdf</v>
      </c>
      <c r="L1885" s="8">
        <f ca="1">IFERROR(__xludf.DUMMYFUNCTION("""COMPUTED_VALUE"""),11)</f>
        <v>11</v>
      </c>
      <c r="M1885" s="8" t="str">
        <f ca="1">IFERROR(__xludf.DUMMYFUNCTION("""COMPUTED_VALUE"""),"National")</f>
        <v>National</v>
      </c>
      <c r="N1885" s="8">
        <f ca="1">IFERROR(__xludf.DUMMYFUNCTION("""COMPUTED_VALUE"""),5)</f>
        <v>5</v>
      </c>
      <c r="O1885" s="8" t="str">
        <f ca="1">IFERROR(__xludf.DUMMYFUNCTION("""COMPUTED_VALUE"""),"Winter")</f>
        <v>Winter</v>
      </c>
      <c r="P1885" s="8" t="str">
        <f ca="1">IFERROR(__xludf.DUMMYFUNCTION("""COMPUTED_VALUE"""),"Middletown")</f>
        <v>Middletown</v>
      </c>
      <c r="Q1885" s="8" t="str">
        <f ca="1">IFERROR(__xludf.DUMMYFUNCTION("""COMPUTED_VALUE"""),"OH")</f>
        <v>OH</v>
      </c>
      <c r="R1885" s="8" t="str">
        <f ca="1">IFERROR(__xludf.DUMMYFUNCTION("""COMPUTED_VALUE"""),"High")</f>
        <v>High</v>
      </c>
      <c r="S1885" s="8" t="str">
        <f ca="1">IFERROR(__xludf.DUMMYFUNCTION("""COMPUTED_VALUE"""),"Cafeteria")</f>
        <v>Cafeteria</v>
      </c>
      <c r="T1885" s="8" t="str">
        <f ca="1">IFERROR(__xludf.DUMMYFUNCTION("""COMPUTED_VALUE"""),"Inside School Building")</f>
        <v>Inside School Building</v>
      </c>
      <c r="U1885" s="8" t="str">
        <f ca="1">IFERROR(__xludf.DUMMYFUNCTION("""COMPUTED_VALUE"""),"Yes")</f>
        <v>Yes</v>
      </c>
      <c r="V1885" s="8" t="str">
        <f ca="1">IFERROR(__xludf.DUMMYFUNCTION("""COMPUTED_VALUE"""),"Lunch")</f>
        <v>Lunch</v>
      </c>
      <c r="W1885" s="11">
        <f ca="1">IFERROR(__xludf.DUMMYFUNCTION("""COMPUTED_VALUE"""),0.46875)</f>
        <v>0.46875</v>
      </c>
      <c r="X1885" s="8"/>
      <c r="Y1885" s="12" t="str">
        <f ca="1">IFERROR(__xludf.DUMMYFUNCTION("""COMPUTED_VALUE"""),"Fired multiple shots in school cafeteria")</f>
        <v>Fired multiple shots in school cafeteria</v>
      </c>
      <c r="Z1885" s="12" t="str">
        <f ca="1">IFERROR(__xludf.DUMMYFUNCTION("""COMPUTED_VALUE"""),"Shooter reported he felt neglected by both his parents, did not get enough attention because all his other siblings. Parents separated when he was little, father got custody, lived with step-mom and -siblings. Shooter had been taking ADHD medications sinc"&amp;"e he was 6, he started abusing Adderall since he was 13. Reportedly, the medication was making him angry and emotional but he was saving up pills and taking several at a time. Shooter felt somewhat close to his grandmother, whom he visited the weekend pri"&amp;"or to brag about his BB gun his mother bought him, grandmother showed him her handgun. Shooter stayed at his grandmother's and stole her handgun that night. Shooter was hesitating if he should have taken it but was scared to admit it and get in trouble. R"&amp;"eportedly, he only took it to show off and did not mean to shoot people. When shooter brought the gun to school in his backpack, he felt anxious the whole time. At first, he put the clip in one pocket and the gun in the other but the clip was slipping so "&amp;"he put it in the gun. Shooter had told 2 other students about the gun and they got scared he would do something because of the way he had been feeling so one of them warned another student and she panicked. Shooter had taken a large dose of Adderall the n"&amp;"ight before and the anxiety kept building up, he panicked and blacked out, that is when the shooting happened. 2 students shot, 2 injured by either fragments or other. Shooter was on the wrestling team, both students shot were also on the wrestling team. "&amp;"Shooter had no previous behavioral issues. Rejected from the track team because of poor grades, when he was eligible, parents did not let him join. 
 FBI Study: On February 29, 2016, at 11:30 a.m., James Austin Hancock, 14, armed with a handgun, alleged"&amp;"ly began shooting in the cafeteria of Madison Junior/Senior High School in Middletown, Ohio. He shot two students before fleeing the building. No one was killed; four students were wounded (two from shrapnel). The shooter was apprehended near the school b"&amp;"y law enforcement officers.")</f>
        <v>Shooter reported he felt neglected by both his parents, did not get enough attention because all his other siblings. Parents separated when he was little, father got custody, lived with step-mom and -siblings. Shooter had been taking ADHD medications since he was 6, he started abusing Adderall since he was 13. Reportedly, the medication was making him angry and emotional but he was saving up pills and taking several at a time. Shooter felt somewhat close to his grandmother, whom he visited the weekend prior to brag about his BB gun his mother bought him, grandmother showed him her handgun. Shooter stayed at his grandmother's and stole her handgun that night. Shooter was hesitating if he should have taken it but was scared to admit it and get in trouble. Reportedly, he only took it to show off and did not mean to shoot people. When shooter brought the gun to school in his backpack, he felt anxious the whole time. At first, he put the clip in one pocket and the gun in the other but the clip was slipping so he put it in the gun. Shooter had told 2 other students about the gun and they got scared he would do something because of the way he had been feeling so one of them warned another student and she panicked. Shooter had taken a large dose of Adderall the night before and the anxiety kept building up, he panicked and blacked out, that is when the shooting happened. 2 students shot, 2 injured by either fragments or other. Shooter was on the wrestling team, both students shot were also on the wrestling team. Shooter had no previous behavioral issues. Rejected from the track team because of poor grades, when he was eligible, parents did not let him join. 
 FBI Study: On February 29, 2016, at 11:30 a.m., James Austin Hancock, 14, armed with a handgun, allegedly began shooting in the cafeteria of Madison Junior/Senior High School in Middletown, Ohio. He shot two students before fleeing the building. No one was killed; four students were wounded (two from shrapnel). The shooter was apprehended near the school by law enforcement officers.</v>
      </c>
      <c r="AA1885" s="8" t="str">
        <f ca="1">IFERROR(__xludf.DUMMYFUNCTION("""COMPUTED_VALUE"""),"Indiscriminate Shooting")</f>
        <v>Indiscriminate Shooting</v>
      </c>
      <c r="AB1885" s="8"/>
      <c r="AC1885" s="8" t="str">
        <f ca="1">IFERROR(__xludf.DUMMYFUNCTION("""COMPUTED_VALUE"""),"Yes")</f>
        <v>Yes</v>
      </c>
      <c r="AD1885" s="8" t="str">
        <f ca="1">IFERROR(__xludf.DUMMYFUNCTION("""COMPUTED_VALUE"""),"Random Shooting")</f>
        <v>Random Shooting</v>
      </c>
      <c r="AE1885" s="8"/>
      <c r="AF1885" s="8"/>
      <c r="AG1885" s="8" t="str">
        <f ca="1">IFERROR(__xludf.DUMMYFUNCTION("""COMPUTED_VALUE"""),"No")</f>
        <v>No</v>
      </c>
      <c r="AH1885" s="8" t="str">
        <f ca="1">IFERROR(__xludf.DUMMYFUNCTION("""COMPUTED_VALUE"""),"No")</f>
        <v>No</v>
      </c>
      <c r="AI1885" s="8" t="str">
        <f ca="1">IFERROR(__xludf.DUMMYFUNCTION("""COMPUTED_VALUE"""),"No")</f>
        <v>No</v>
      </c>
      <c r="AJ1885" s="8" t="str">
        <f ca="1">IFERROR(__xludf.DUMMYFUNCTION("""COMPUTED_VALUE"""),"Yes")</f>
        <v>Yes</v>
      </c>
      <c r="AK1885" s="8" t="str">
        <f ca="1">IFERROR(__xludf.DUMMYFUNCTION("""COMPUTED_VALUE"""),"No")</f>
        <v>No</v>
      </c>
      <c r="AL1885" s="8" t="str">
        <f ca="1">IFERROR(__xludf.DUMMYFUNCTION("""COMPUTED_VALUE"""),"No")</f>
        <v>No</v>
      </c>
      <c r="AM1885" s="8" t="str">
        <f ca="1">IFERROR(__xludf.DUMMYFUNCTION("""COMPUTED_VALUE"""),"Yes")</f>
        <v>Yes</v>
      </c>
      <c r="AN1885" s="8" t="str">
        <f ca="1">IFERROR(__xludf.DUMMYFUNCTION("""COMPUTED_VALUE"""),"Multiple Rooms")</f>
        <v>Multiple Rooms</v>
      </c>
      <c r="AO1885" s="8" t="str">
        <f ca="1">IFERROR(__xludf.DUMMYFUNCTION("""COMPUTED_VALUE"""),"Yes")</f>
        <v>Yes</v>
      </c>
      <c r="AP1885" s="8" t="str">
        <f ca="1">IFERROR(__xludf.DUMMYFUNCTION("""COMPUTED_VALUE"""),"Yes")</f>
        <v>Yes</v>
      </c>
      <c r="AQ1885" s="8" t="str">
        <f ca="1">IFERROR(__xludf.DUMMYFUNCTION("""COMPUTED_VALUE"""),"Unknown")</f>
        <v>Unknown</v>
      </c>
      <c r="AR1885" s="8" t="str">
        <f ca="1">IFERROR(__xludf.DUMMYFUNCTION("""COMPUTED_VALUE"""),"NA")</f>
        <v>NA</v>
      </c>
      <c r="AS1885" s="8" t="str">
        <f ca="1">IFERROR(__xludf.DUMMYFUNCTION("""COMPUTED_VALUE"""),"&lt;10")</f>
        <v>&lt;10</v>
      </c>
      <c r="AT1885" s="8" t="str">
        <f ca="1">IFERROR(__xludf.DUMMYFUNCTION("""COMPUTED_VALUE"""),"Yes")</f>
        <v>Yes</v>
      </c>
      <c r="AU1885" s="8">
        <f ca="1">IFERROR(__xludf.DUMMYFUNCTION("""COMPUTED_VALUE"""),39.53385)</f>
        <v>39.533850000000001</v>
      </c>
      <c r="AV1885" s="8">
        <f ca="1">IFERROR(__xludf.DUMMYFUNCTION("""COMPUTED_VALUE"""),-84.4433)</f>
        <v>-84.443299999999994</v>
      </c>
      <c r="AW1885" s="8"/>
      <c r="AX1885" s="8">
        <f ca="1">IFERROR(__xludf.DUMMYFUNCTION("""COMPUTED_VALUE"""),45042)</f>
        <v>45042</v>
      </c>
    </row>
    <row r="1886" spans="1:50" ht="90" x14ac:dyDescent="0.2">
      <c r="A1886" s="8" t="str">
        <f ca="1">IFERROR(__xludf.DUMMYFUNCTION("""COMPUTED_VALUE"""),"20160226TXPAP")</f>
        <v>20160226TXPAP</v>
      </c>
      <c r="B1886" s="8">
        <f ca="1">IFERROR(__xludf.DUMMYFUNCTION("""COMPUTED_VALUE"""),2)</f>
        <v>2</v>
      </c>
      <c r="C1886" s="8">
        <f ca="1">IFERROR(__xludf.DUMMYFUNCTION("""COMPUTED_VALUE"""),26)</f>
        <v>26</v>
      </c>
      <c r="D1886" s="8">
        <f ca="1">IFERROR(__xludf.DUMMYFUNCTION("""COMPUTED_VALUE"""),2016)</f>
        <v>2016</v>
      </c>
      <c r="E1886" s="9">
        <f ca="1">IFERROR(__xludf.DUMMYFUNCTION("""COMPUTED_VALUE"""),42426)</f>
        <v>42426</v>
      </c>
      <c r="F1886" s="8" t="str">
        <f ca="1">IFERROR(__xludf.DUMMYFUNCTION("""COMPUTED_VALUE"""),"Palestine High School")</f>
        <v>Palestine High School</v>
      </c>
      <c r="G1886" s="8">
        <f ca="1">IFERROR(__xludf.DUMMYFUNCTION("""COMPUTED_VALUE"""),0)</f>
        <v>0</v>
      </c>
      <c r="H1886" s="8">
        <f ca="1">IFERROR(__xludf.DUMMYFUNCTION("""COMPUTED_VALUE"""),2)</f>
        <v>2</v>
      </c>
      <c r="I1886" s="8">
        <f ca="1">IFERROR(__xludf.DUMMYFUNCTION("""COMPUTED_VALUE"""),2)</f>
        <v>2</v>
      </c>
      <c r="J1886" s="8">
        <f ca="1">IFERROR(__xludf.DUMMYFUNCTION("""COMPUTED_VALUE"""),0)</f>
        <v>0</v>
      </c>
      <c r="K1886" s="8" t="str">
        <f ca="1">IFERROR(__xludf.DUMMYFUNCTION("""COMPUTED_VALUE"""),"http://www.palestineherald.com/news/shooter-information-discovered-in-palestine-high-school-shooting/article_9c5b35bc-dd1f-11e5-8308-db3a1319177b.html . http://www.kltv.com/story/34391367/man-sentenced-to-20-years-for-shooting-at-palestine-high-school")</f>
        <v>http://www.palestineherald.com/news/shooter-information-discovered-in-palestine-high-school-shooting/article_9c5b35bc-dd1f-11e5-8308-db3a1319177b.html . http://www.kltv.com/story/34391367/man-sentenced-to-20-years-for-shooting-at-palestine-high-school</v>
      </c>
      <c r="L1886" s="8"/>
      <c r="M1886" s="8"/>
      <c r="N1886" s="8">
        <f ca="1">IFERROR(__xludf.DUMMYFUNCTION("""COMPUTED_VALUE"""),3)</f>
        <v>3</v>
      </c>
      <c r="O1886" s="8" t="str">
        <f ca="1">IFERROR(__xludf.DUMMYFUNCTION("""COMPUTED_VALUE"""),"Winter")</f>
        <v>Winter</v>
      </c>
      <c r="P1886" s="8" t="str">
        <f ca="1">IFERROR(__xludf.DUMMYFUNCTION("""COMPUTED_VALUE"""),"Palestine")</f>
        <v>Palestine</v>
      </c>
      <c r="Q1886" s="8" t="str">
        <f ca="1">IFERROR(__xludf.DUMMYFUNCTION("""COMPUTED_VALUE"""),"TX")</f>
        <v>TX</v>
      </c>
      <c r="R1886" s="8" t="str">
        <f ca="1">IFERROR(__xludf.DUMMYFUNCTION("""COMPUTED_VALUE"""),"High")</f>
        <v>High</v>
      </c>
      <c r="S1886" s="8" t="str">
        <f ca="1">IFERROR(__xludf.DUMMYFUNCTION("""COMPUTED_VALUE"""),"Parking Lot")</f>
        <v>Parking Lot</v>
      </c>
      <c r="T1886" s="8" t="str">
        <f ca="1">IFERROR(__xludf.DUMMYFUNCTION("""COMPUTED_VALUE"""),"Outside on School Property")</f>
        <v>Outside on School Property</v>
      </c>
      <c r="U1886" s="8" t="str">
        <f ca="1">IFERROR(__xludf.DUMMYFUNCTION("""COMPUTED_VALUE"""),"No")</f>
        <v>No</v>
      </c>
      <c r="V1886" s="8" t="str">
        <f ca="1">IFERROR(__xludf.DUMMYFUNCTION("""COMPUTED_VALUE"""),"Sport Event")</f>
        <v>Sport Event</v>
      </c>
      <c r="W1886" s="11">
        <f ca="1">IFERROR(__xludf.DUMMYFUNCTION("""COMPUTED_VALUE"""),0.747222222222222)</f>
        <v>0.74722222222222201</v>
      </c>
      <c r="X1886" s="8">
        <f ca="1">IFERROR(__xludf.DUMMYFUNCTION("""COMPUTED_VALUE"""),4)</f>
        <v>4</v>
      </c>
      <c r="Y1886" s="12" t="str">
        <f ca="1">IFERROR(__xludf.DUMMYFUNCTION("""COMPUTED_VALUE"""),"Ex-husband shoots ex-wife and her boyfriend")</f>
        <v>Ex-husband shoots ex-wife and her boyfriend</v>
      </c>
      <c r="Z1886" s="12" t="str">
        <f ca="1">IFERROR(__xludf.DUMMYFUNCTION("""COMPUTED_VALUE"""),"Shooter was father of son playing in basketball game at HS. When shooter arrived to school he saw his ex-wife and her boyfriend in parking lot. Shooter grabs gun and shoots male - he tried to shoot female but gun jammed so he pistol whipped her. Shooter c"&amp;"aught, charged, and sentenced to 20 years.")</f>
        <v>Shooter was father of son playing in basketball game at HS. When shooter arrived to school he saw his ex-wife and her boyfriend in parking lot. Shooter grabs gun and shoots male - he tried to shoot female but gun jammed so he pistol whipped her. Shooter caught, charged, and sentenced to 20 years.</v>
      </c>
      <c r="AA1886" s="8" t="str">
        <f ca="1">IFERROR(__xludf.DUMMYFUNCTION("""COMPUTED_VALUE"""),"Domestic w/ Targeted Victim")</f>
        <v>Domestic w/ Targeted Victim</v>
      </c>
      <c r="AB1886" s="8"/>
      <c r="AC1886" s="8" t="str">
        <f ca="1">IFERROR(__xludf.DUMMYFUNCTION("""COMPUTED_VALUE"""),"Yes")</f>
        <v>Yes</v>
      </c>
      <c r="AD1886" s="8" t="str">
        <f ca="1">IFERROR(__xludf.DUMMYFUNCTION("""COMPUTED_VALUE"""),"Victims Targeted")</f>
        <v>Victims Targeted</v>
      </c>
      <c r="AE1886" s="8" t="str">
        <f ca="1">IFERROR(__xludf.DUMMYFUNCTION("""COMPUTED_VALUE"""),"No")</f>
        <v>No</v>
      </c>
      <c r="AF1886" s="8"/>
      <c r="AG1886" s="8" t="str">
        <f ca="1">IFERROR(__xludf.DUMMYFUNCTION("""COMPUTED_VALUE"""),"No")</f>
        <v>No</v>
      </c>
      <c r="AH1886" s="8" t="str">
        <f ca="1">IFERROR(__xludf.DUMMYFUNCTION("""COMPUTED_VALUE"""),"No")</f>
        <v>No</v>
      </c>
      <c r="AI1886" s="8" t="str">
        <f ca="1">IFERROR(__xludf.DUMMYFUNCTION("""COMPUTED_VALUE"""),"No")</f>
        <v>No</v>
      </c>
      <c r="AJ1886" s="8" t="str">
        <f ca="1">IFERROR(__xludf.DUMMYFUNCTION("""COMPUTED_VALUE"""),"No")</f>
        <v>No</v>
      </c>
      <c r="AK1886" s="8" t="str">
        <f ca="1">IFERROR(__xludf.DUMMYFUNCTION("""COMPUTED_VALUE"""),"Yes")</f>
        <v>Yes</v>
      </c>
      <c r="AL1886" s="8" t="str">
        <f ca="1">IFERROR(__xludf.DUMMYFUNCTION("""COMPUTED_VALUE"""),"No")</f>
        <v>No</v>
      </c>
      <c r="AM1886" s="8" t="str">
        <f ca="1">IFERROR(__xludf.DUMMYFUNCTION("""COMPUTED_VALUE"""),"No")</f>
        <v>No</v>
      </c>
      <c r="AN1886" s="8"/>
      <c r="AO1886" s="8" t="str">
        <f ca="1">IFERROR(__xludf.DUMMYFUNCTION("""COMPUTED_VALUE"""),"No")</f>
        <v>No</v>
      </c>
      <c r="AP1886" s="8"/>
      <c r="AQ1886" s="8" t="str">
        <f ca="1">IFERROR(__xludf.DUMMYFUNCTION("""COMPUTED_VALUE"""),"Unknown")</f>
        <v>Unknown</v>
      </c>
      <c r="AR1886" s="8" t="str">
        <f ca="1">IFERROR(__xludf.DUMMYFUNCTION("""COMPUTED_VALUE"""),"NA")</f>
        <v>NA</v>
      </c>
      <c r="AS1886" s="8" t="str">
        <f ca="1">IFERROR(__xludf.DUMMYFUNCTION("""COMPUTED_VALUE"""),"&lt;10")</f>
        <v>&lt;10</v>
      </c>
      <c r="AT1886" s="8"/>
      <c r="AU1886" s="8">
        <f ca="1">IFERROR(__xludf.DUMMYFUNCTION("""COMPUTED_VALUE"""),31.73781)</f>
        <v>31.73781</v>
      </c>
      <c r="AV1886" s="8">
        <f ca="1">IFERROR(__xludf.DUMMYFUNCTION("""COMPUTED_VALUE"""),-95.604869)</f>
        <v>-95.604868999999994</v>
      </c>
      <c r="AW1886" s="8"/>
      <c r="AX1886" s="8">
        <f ca="1">IFERROR(__xludf.DUMMYFUNCTION("""COMPUTED_VALUE"""),75801)</f>
        <v>75801</v>
      </c>
    </row>
    <row r="1887" spans="1:50" ht="60" x14ac:dyDescent="0.2">
      <c r="A1887" s="8" t="str">
        <f ca="1">IFERROR(__xludf.DUMMYFUNCTION("""COMPUTED_VALUE"""),"20160217PACHC")</f>
        <v>20160217PACHC</v>
      </c>
      <c r="B1887" s="8">
        <f ca="1">IFERROR(__xludf.DUMMYFUNCTION("""COMPUTED_VALUE"""),2)</f>
        <v>2</v>
      </c>
      <c r="C1887" s="8">
        <f ca="1">IFERROR(__xludf.DUMMYFUNCTION("""COMPUTED_VALUE"""),17)</f>
        <v>17</v>
      </c>
      <c r="D1887" s="8">
        <f ca="1">IFERROR(__xludf.DUMMYFUNCTION("""COMPUTED_VALUE"""),2016)</f>
        <v>2016</v>
      </c>
      <c r="E1887" s="9">
        <f ca="1">IFERROR(__xludf.DUMMYFUNCTION("""COMPUTED_VALUE"""),42417)</f>
        <v>42417</v>
      </c>
      <c r="F1887" s="8" t="str">
        <f ca="1">IFERROR(__xludf.DUMMYFUNCTION("""COMPUTED_VALUE"""),"Chester High School (bus)")</f>
        <v>Chester High School (bus)</v>
      </c>
      <c r="G1887" s="8">
        <f ca="1">IFERROR(__xludf.DUMMYFUNCTION("""COMPUTED_VALUE"""),0)</f>
        <v>0</v>
      </c>
      <c r="H1887" s="8">
        <f ca="1">IFERROR(__xludf.DUMMYFUNCTION("""COMPUTED_VALUE"""),1)</f>
        <v>1</v>
      </c>
      <c r="I1887" s="8">
        <f ca="1">IFERROR(__xludf.DUMMYFUNCTION("""COMPUTED_VALUE"""),1)</f>
        <v>1</v>
      </c>
      <c r="J1887" s="8">
        <f ca="1">IFERROR(__xludf.DUMMYFUNCTION("""COMPUTED_VALUE"""),0)</f>
        <v>0</v>
      </c>
      <c r="K1887" s="10" t="str">
        <f ca="1">IFERROR(__xludf.DUMMYFUNCTION("""COMPUTED_VALUE"""),"http://www.delcotimes.com/general-news/20160222/cops-chester-probes-source-of-gun-teen-used-in-shooting")</f>
        <v>http://www.delcotimes.com/general-news/20160222/cops-chester-probes-source-of-gun-teen-used-in-shooting</v>
      </c>
      <c r="L1887" s="8">
        <f ca="1">IFERROR(__xludf.DUMMYFUNCTION("""COMPUTED_VALUE"""),1)</f>
        <v>1</v>
      </c>
      <c r="M1887" s="8" t="str">
        <f ca="1">IFERROR(__xludf.DUMMYFUNCTION("""COMPUTED_VALUE"""),"Local")</f>
        <v>Local</v>
      </c>
      <c r="N1887" s="8">
        <f ca="1">IFERROR(__xludf.DUMMYFUNCTION("""COMPUTED_VALUE"""),2)</f>
        <v>2</v>
      </c>
      <c r="O1887" s="8" t="str">
        <f ca="1">IFERROR(__xludf.DUMMYFUNCTION("""COMPUTED_VALUE"""),"Winter")</f>
        <v>Winter</v>
      </c>
      <c r="P1887" s="8" t="str">
        <f ca="1">IFERROR(__xludf.DUMMYFUNCTION("""COMPUTED_VALUE"""),"Chester")</f>
        <v>Chester</v>
      </c>
      <c r="Q1887" s="8" t="str">
        <f ca="1">IFERROR(__xludf.DUMMYFUNCTION("""COMPUTED_VALUE"""),"PA")</f>
        <v>PA</v>
      </c>
      <c r="R1887" s="8" t="str">
        <f ca="1">IFERROR(__xludf.DUMMYFUNCTION("""COMPUTED_VALUE"""),"High")</f>
        <v>High</v>
      </c>
      <c r="S1887" s="8" t="str">
        <f ca="1">IFERROR(__xludf.DUMMYFUNCTION("""COMPUTED_VALUE"""),"School Bus")</f>
        <v>School Bus</v>
      </c>
      <c r="T1887" s="8" t="str">
        <f ca="1">IFERROR(__xludf.DUMMYFUNCTION("""COMPUTED_VALUE"""),"School Bus")</f>
        <v>School Bus</v>
      </c>
      <c r="U1887" s="8" t="str">
        <f ca="1">IFERROR(__xludf.DUMMYFUNCTION("""COMPUTED_VALUE"""),"Yes")</f>
        <v>Yes</v>
      </c>
      <c r="V1887" s="8" t="str">
        <f ca="1">IFERROR(__xludf.DUMMYFUNCTION("""COMPUTED_VALUE"""),"Lunch")</f>
        <v>Lunch</v>
      </c>
      <c r="W1887" s="11">
        <f ca="1">IFERROR(__xludf.DUMMYFUNCTION("""COMPUTED_VALUE"""),0.458333333333333)</f>
        <v>0.45833333333333298</v>
      </c>
      <c r="X1887" s="8">
        <f ca="1">IFERROR(__xludf.DUMMYFUNCTION("""COMPUTED_VALUE"""),1)</f>
        <v>1</v>
      </c>
      <c r="Y1887" s="12" t="str">
        <f ca="1">IFERROR(__xludf.DUMMYFUNCTION("""COMPUTED_VALUE"""),"Gang related; Shot another student while exiting school bus")</f>
        <v>Gang related; Shot another student while exiting school bus</v>
      </c>
      <c r="Z1887" s="12" t="str">
        <f ca="1">IFERROR(__xludf.DUMMYFUNCTION("""COMPUTED_VALUE"""),"Shooter fired 4 shots striking another student once while exiting school bus. Shooting is believed to be gang related.")</f>
        <v>Shooter fired 4 shots striking another student once while exiting school bus. Shooting is believed to be gang related.</v>
      </c>
      <c r="AA1887" s="8" t="str">
        <f ca="1">IFERROR(__xludf.DUMMYFUNCTION("""COMPUTED_VALUE"""),"Escalation of Dispute")</f>
        <v>Escalation of Dispute</v>
      </c>
      <c r="AB1887" s="8"/>
      <c r="AC1887" s="8" t="str">
        <f ca="1">IFERROR(__xludf.DUMMYFUNCTION("""COMPUTED_VALUE"""),"Yes")</f>
        <v>Yes</v>
      </c>
      <c r="AD1887" s="8" t="str">
        <f ca="1">IFERROR(__xludf.DUMMYFUNCTION("""COMPUTED_VALUE"""),"Victims Targeted")</f>
        <v>Victims Targeted</v>
      </c>
      <c r="AE1887" s="8"/>
      <c r="AF1887" s="8"/>
      <c r="AG1887" s="8" t="str">
        <f ca="1">IFERROR(__xludf.DUMMYFUNCTION("""COMPUTED_VALUE"""),"No")</f>
        <v>No</v>
      </c>
      <c r="AH1887" s="8" t="str">
        <f ca="1">IFERROR(__xludf.DUMMYFUNCTION("""COMPUTED_VALUE"""),"No")</f>
        <v>No</v>
      </c>
      <c r="AI1887" s="8" t="str">
        <f ca="1">IFERROR(__xludf.DUMMYFUNCTION("""COMPUTED_VALUE"""),"No")</f>
        <v>No</v>
      </c>
      <c r="AJ1887" s="8"/>
      <c r="AK1887" s="8" t="str">
        <f ca="1">IFERROR(__xludf.DUMMYFUNCTION("""COMPUTED_VALUE"""),"No")</f>
        <v>No</v>
      </c>
      <c r="AL1887" s="8" t="str">
        <f ca="1">IFERROR(__xludf.DUMMYFUNCTION("""COMPUTED_VALUE"""),"Yes")</f>
        <v>Yes</v>
      </c>
      <c r="AM1887" s="8" t="str">
        <f ca="1">IFERROR(__xludf.DUMMYFUNCTION("""COMPUTED_VALUE"""),"No")</f>
        <v>No</v>
      </c>
      <c r="AN1887" s="8"/>
      <c r="AO1887" s="8" t="str">
        <f ca="1">IFERROR(__xludf.DUMMYFUNCTION("""COMPUTED_VALUE"""),"No")</f>
        <v>No</v>
      </c>
      <c r="AP1887" s="8" t="str">
        <f ca="1">IFERROR(__xludf.DUMMYFUNCTION("""COMPUTED_VALUE"""),"No")</f>
        <v>No</v>
      </c>
      <c r="AQ1887" s="8" t="str">
        <f ca="1">IFERROR(__xludf.DUMMYFUNCTION("""COMPUTED_VALUE"""),"None")</f>
        <v>None</v>
      </c>
      <c r="AR1887" s="8" t="str">
        <f ca="1">IFERROR(__xludf.DUMMYFUNCTION("""COMPUTED_VALUE"""),"NA")</f>
        <v>NA</v>
      </c>
      <c r="AS1887" s="8">
        <f ca="1">IFERROR(__xludf.DUMMYFUNCTION("""COMPUTED_VALUE"""),4)</f>
        <v>4</v>
      </c>
      <c r="AT1887" s="8" t="str">
        <f ca="1">IFERROR(__xludf.DUMMYFUNCTION("""COMPUTED_VALUE"""),"No")</f>
        <v>No</v>
      </c>
      <c r="AU1887" s="8">
        <f ca="1">IFERROR(__xludf.DUMMYFUNCTION("""COMPUTED_VALUE"""),39.849557)</f>
        <v>39.849556999999997</v>
      </c>
      <c r="AV1887" s="8">
        <f ca="1">IFERROR(__xludf.DUMMYFUNCTION("""COMPUTED_VALUE"""),-75.3557457)</f>
        <v>-75.3557457</v>
      </c>
      <c r="AW1887" s="8"/>
      <c r="AX1887" s="8">
        <f ca="1">IFERROR(__xludf.DUMMYFUNCTION("""COMPUTED_VALUE"""),19013)</f>
        <v>19013</v>
      </c>
    </row>
    <row r="1888" spans="1:50" ht="75" x14ac:dyDescent="0.2">
      <c r="A1888" s="8" t="str">
        <f ca="1">IFERROR(__xludf.DUMMYFUNCTION("""COMPUTED_VALUE"""),"20160217FLROH")</f>
        <v>20160217FLROH</v>
      </c>
      <c r="B1888" s="8">
        <f ca="1">IFERROR(__xludf.DUMMYFUNCTION("""COMPUTED_VALUE"""),2)</f>
        <v>2</v>
      </c>
      <c r="C1888" s="8">
        <f ca="1">IFERROR(__xludf.DUMMYFUNCTION("""COMPUTED_VALUE"""),17)</f>
        <v>17</v>
      </c>
      <c r="D1888" s="8">
        <f ca="1">IFERROR(__xludf.DUMMYFUNCTION("""COMPUTED_VALUE"""),2016)</f>
        <v>2016</v>
      </c>
      <c r="E1888" s="9">
        <f ca="1">IFERROR(__xludf.DUMMYFUNCTION("""COMPUTED_VALUE"""),42417)</f>
        <v>42417</v>
      </c>
      <c r="F1888" s="8" t="str">
        <f ca="1">IFERROR(__xludf.DUMMYFUNCTION("""COMPUTED_VALUE"""),"Rock Crusher Elementary School")</f>
        <v>Rock Crusher Elementary School</v>
      </c>
      <c r="G1888" s="8">
        <f ca="1">IFERROR(__xludf.DUMMYFUNCTION("""COMPUTED_VALUE"""),0)</f>
        <v>0</v>
      </c>
      <c r="H1888" s="8">
        <f ca="1">IFERROR(__xludf.DUMMYFUNCTION("""COMPUTED_VALUE"""),0)</f>
        <v>0</v>
      </c>
      <c r="I1888" s="8">
        <f ca="1">IFERROR(__xludf.DUMMYFUNCTION("""COMPUTED_VALUE"""),0)</f>
        <v>0</v>
      </c>
      <c r="J1888" s="8">
        <f ca="1">IFERROR(__xludf.DUMMYFUNCTION("""COMPUTED_VALUE"""),0)</f>
        <v>0</v>
      </c>
      <c r="K1888" s="10" t="str">
        <f ca="1">IFERROR(__xludf.DUMMYFUNCTION("""COMPUTED_VALUE"""),"https://www.wfla.com/news/local-news/loaded-gun-discharges-at-citrus-co-elementary-school/1051971907")</f>
        <v>https://www.wfla.com/news/local-news/loaded-gun-discharges-at-citrus-co-elementary-school/1051971907</v>
      </c>
      <c r="L1888" s="8"/>
      <c r="M1888" s="8"/>
      <c r="N1888" s="8">
        <f ca="1">IFERROR(__xludf.DUMMYFUNCTION("""COMPUTED_VALUE"""),2)</f>
        <v>2</v>
      </c>
      <c r="O1888" s="8" t="str">
        <f ca="1">IFERROR(__xludf.DUMMYFUNCTION("""COMPUTED_VALUE"""),"Winter")</f>
        <v>Winter</v>
      </c>
      <c r="P1888" s="8" t="str">
        <f ca="1">IFERROR(__xludf.DUMMYFUNCTION("""COMPUTED_VALUE"""),"Homosassa")</f>
        <v>Homosassa</v>
      </c>
      <c r="Q1888" s="8" t="str">
        <f ca="1">IFERROR(__xludf.DUMMYFUNCTION("""COMPUTED_VALUE"""),"FL")</f>
        <v>FL</v>
      </c>
      <c r="R1888" s="8" t="str">
        <f ca="1">IFERROR(__xludf.DUMMYFUNCTION("""COMPUTED_VALUE"""),"Elementary")</f>
        <v>Elementary</v>
      </c>
      <c r="S1888" s="8" t="str">
        <f ca="1">IFERROR(__xludf.DUMMYFUNCTION("""COMPUTED_VALUE"""),"Beside Building")</f>
        <v>Beside Building</v>
      </c>
      <c r="T1888" s="8" t="str">
        <f ca="1">IFERROR(__xludf.DUMMYFUNCTION("""COMPUTED_VALUE"""),"Outside on School Property")</f>
        <v>Outside on School Property</v>
      </c>
      <c r="U1888" s="8" t="str">
        <f ca="1">IFERROR(__xludf.DUMMYFUNCTION("""COMPUTED_VALUE"""),"Yes")</f>
        <v>Yes</v>
      </c>
      <c r="V1888" s="8" t="str">
        <f ca="1">IFERROR(__xludf.DUMMYFUNCTION("""COMPUTED_VALUE"""),"School Start")</f>
        <v>School Start</v>
      </c>
      <c r="W1888" s="11">
        <f ca="1">IFERROR(__xludf.DUMMYFUNCTION("""COMPUTED_VALUE"""),0.333333333333333)</f>
        <v>0.33333333333333298</v>
      </c>
      <c r="X1888" s="8">
        <f ca="1">IFERROR(__xludf.DUMMYFUNCTION("""COMPUTED_VALUE"""),1)</f>
        <v>1</v>
      </c>
      <c r="Y1888" s="12" t="str">
        <f ca="1">IFERROR(__xludf.DUMMYFUNCTION("""COMPUTED_VALUE"""),"Parent dropped gun, parent told janitor who picked it up and accidentally fired")</f>
        <v>Parent dropped gun, parent told janitor who picked it up and accidentally fired</v>
      </c>
      <c r="Z1888" s="12" t="str">
        <f ca="1">IFERROR(__xludf.DUMMYFUNCTION("""COMPUTED_VALUE"""),"Parent dropping off a child accidentally dropped a gun outside of the school. A different parent saw the gun and notified school officials. When the janitor picked it up, he accidentally fired it thinking it was a fake gun.")</f>
        <v>Parent dropping off a child accidentally dropped a gun outside of the school. A different parent saw the gun and notified school officials. When the janitor picked it up, he accidentally fired it thinking it was a fake gun.</v>
      </c>
      <c r="AA1888" s="8" t="str">
        <f ca="1">IFERROR(__xludf.DUMMYFUNCTION("""COMPUTED_VALUE"""),"Accidental")</f>
        <v>Accidental</v>
      </c>
      <c r="AB1888" s="8"/>
      <c r="AC1888" s="8" t="str">
        <f ca="1">IFERROR(__xludf.DUMMYFUNCTION("""COMPUTED_VALUE"""),"Yes")</f>
        <v>Yes</v>
      </c>
      <c r="AD1888" s="8" t="str">
        <f ca="1">IFERROR(__xludf.DUMMYFUNCTION("""COMPUTED_VALUE"""),"NA")</f>
        <v>NA</v>
      </c>
      <c r="AE1888" s="8" t="str">
        <f ca="1">IFERROR(__xludf.DUMMYFUNCTION("""COMPUTED_VALUE"""),"No")</f>
        <v>No</v>
      </c>
      <c r="AF1888" s="8"/>
      <c r="AG1888" s="8" t="str">
        <f ca="1">IFERROR(__xludf.DUMMYFUNCTION("""COMPUTED_VALUE"""),"No")</f>
        <v>No</v>
      </c>
      <c r="AH1888" s="8" t="str">
        <f ca="1">IFERROR(__xludf.DUMMYFUNCTION("""COMPUTED_VALUE"""),"N/A")</f>
        <v>N/A</v>
      </c>
      <c r="AI1888" s="8" t="str">
        <f ca="1">IFERROR(__xludf.DUMMYFUNCTION("""COMPUTED_VALUE"""),"No")</f>
        <v>No</v>
      </c>
      <c r="AJ1888" s="8" t="str">
        <f ca="1">IFERROR(__xludf.DUMMYFUNCTION("""COMPUTED_VALUE"""),"N/A")</f>
        <v>N/A</v>
      </c>
      <c r="AK1888" s="8" t="str">
        <f ca="1">IFERROR(__xludf.DUMMYFUNCTION("""COMPUTED_VALUE"""),"N/A")</f>
        <v>N/A</v>
      </c>
      <c r="AL1888" s="8" t="str">
        <f ca="1">IFERROR(__xludf.DUMMYFUNCTION("""COMPUTED_VALUE"""),"N/A")</f>
        <v>N/A</v>
      </c>
      <c r="AM1888" s="8" t="str">
        <f ca="1">IFERROR(__xludf.DUMMYFUNCTION("""COMPUTED_VALUE"""),"No")</f>
        <v>No</v>
      </c>
      <c r="AN1888" s="8"/>
      <c r="AO1888" s="8" t="str">
        <f ca="1">IFERROR(__xludf.DUMMYFUNCTION("""COMPUTED_VALUE"""),"N/A")</f>
        <v>N/A</v>
      </c>
      <c r="AP1888" s="8"/>
      <c r="AQ1888" s="8" t="str">
        <f ca="1">IFERROR(__xludf.DUMMYFUNCTION("""COMPUTED_VALUE"""),"Unknown")</f>
        <v>Unknown</v>
      </c>
      <c r="AR1888" s="8" t="str">
        <f ca="1">IFERROR(__xludf.DUMMYFUNCTION("""COMPUTED_VALUE"""),"NA")</f>
        <v>NA</v>
      </c>
      <c r="AS1888" s="8">
        <f ca="1">IFERROR(__xludf.DUMMYFUNCTION("""COMPUTED_VALUE"""),1)</f>
        <v>1</v>
      </c>
      <c r="AT1888" s="8"/>
      <c r="AU1888" s="8">
        <f ca="1">IFERROR(__xludf.DUMMYFUNCTION("""COMPUTED_VALUE"""),28.848785)</f>
        <v>28.848784999999999</v>
      </c>
      <c r="AV1888" s="8">
        <f ca="1">IFERROR(__xludf.DUMMYFUNCTION("""COMPUTED_VALUE"""),-82.536858)</f>
        <v>-82.536857999999995</v>
      </c>
      <c r="AW1888" s="8"/>
      <c r="AX1888" s="8">
        <f ca="1">IFERROR(__xludf.DUMMYFUNCTION("""COMPUTED_VALUE"""),34429)</f>
        <v>34429</v>
      </c>
    </row>
    <row r="1889" spans="1:50" ht="135" x14ac:dyDescent="0.2">
      <c r="A1889" s="8" t="str">
        <f ca="1">IFERROR(__xludf.DUMMYFUNCTION("""COMPUTED_VALUE"""),"20160212AZING")</f>
        <v>20160212AZING</v>
      </c>
      <c r="B1889" s="8">
        <f ca="1">IFERROR(__xludf.DUMMYFUNCTION("""COMPUTED_VALUE"""),2)</f>
        <v>2</v>
      </c>
      <c r="C1889" s="8">
        <f ca="1">IFERROR(__xludf.DUMMYFUNCTION("""COMPUTED_VALUE"""),12)</f>
        <v>12</v>
      </c>
      <c r="D1889" s="8">
        <f ca="1">IFERROR(__xludf.DUMMYFUNCTION("""COMPUTED_VALUE"""),2016)</f>
        <v>2016</v>
      </c>
      <c r="E1889" s="9">
        <f ca="1">IFERROR(__xludf.DUMMYFUNCTION("""COMPUTED_VALUE"""),42412)</f>
        <v>42412</v>
      </c>
      <c r="F1889" s="8" t="str">
        <f ca="1">IFERROR(__xludf.DUMMYFUNCTION("""COMPUTED_VALUE"""),"Independence High School")</f>
        <v>Independence High School</v>
      </c>
      <c r="G1889" s="8">
        <f ca="1">IFERROR(__xludf.DUMMYFUNCTION("""COMPUTED_VALUE"""),1)</f>
        <v>1</v>
      </c>
      <c r="H1889" s="8">
        <f ca="1">IFERROR(__xludf.DUMMYFUNCTION("""COMPUTED_VALUE"""),0)</f>
        <v>0</v>
      </c>
      <c r="I1889" s="8">
        <f ca="1">IFERROR(__xludf.DUMMYFUNCTION("""COMPUTED_VALUE"""),1)</f>
        <v>1</v>
      </c>
      <c r="J1889" s="8">
        <f ca="1">IFERROR(__xludf.DUMMYFUNCTION("""COMPUTED_VALUE"""),1)</f>
        <v>1</v>
      </c>
      <c r="K1889" s="8" t="str">
        <f ca="1">IFERROR(__xludf.DUMMYFUNCTION("""COMPUTED_VALUE"""),"https://www.azcentral.com/story/news/local/glendale/breaking/2016/02/12/glendale-independence-high-school-shooting/80282174/
 Details verified by Glendale AZ PD on 11/1/2018")</f>
        <v>https://www.azcentral.com/story/news/local/glendale/breaking/2016/02/12/glendale-independence-high-school-shooting/80282174/
 Details verified by Glendale AZ PD on 11/1/2018</v>
      </c>
      <c r="L1889" s="8">
        <f ca="1">IFERROR(__xludf.DUMMYFUNCTION("""COMPUTED_VALUE"""),11)</f>
        <v>11</v>
      </c>
      <c r="M1889" s="8" t="str">
        <f ca="1">IFERROR(__xludf.DUMMYFUNCTION("""COMPUTED_VALUE"""),"National")</f>
        <v>National</v>
      </c>
      <c r="N1889" s="8">
        <f ca="1">IFERROR(__xludf.DUMMYFUNCTION("""COMPUTED_VALUE"""),5)</f>
        <v>5</v>
      </c>
      <c r="O1889" s="8" t="str">
        <f ca="1">IFERROR(__xludf.DUMMYFUNCTION("""COMPUTED_VALUE"""),"Winter")</f>
        <v>Winter</v>
      </c>
      <c r="P1889" s="8" t="str">
        <f ca="1">IFERROR(__xludf.DUMMYFUNCTION("""COMPUTED_VALUE"""),"Glendale")</f>
        <v>Glendale</v>
      </c>
      <c r="Q1889" s="8" t="str">
        <f ca="1">IFERROR(__xludf.DUMMYFUNCTION("""COMPUTED_VALUE"""),"AZ")</f>
        <v>AZ</v>
      </c>
      <c r="R1889" s="8" t="str">
        <f ca="1">IFERROR(__xludf.DUMMYFUNCTION("""COMPUTED_VALUE"""),"High")</f>
        <v>High</v>
      </c>
      <c r="S1889" s="8" t="str">
        <f ca="1">IFERROR(__xludf.DUMMYFUNCTION("""COMPUTED_VALUE"""),"Courtyard")</f>
        <v>Courtyard</v>
      </c>
      <c r="T1889" s="8" t="str">
        <f ca="1">IFERROR(__xludf.DUMMYFUNCTION("""COMPUTED_VALUE"""),"Outside on School Property")</f>
        <v>Outside on School Property</v>
      </c>
      <c r="U1889" s="8" t="str">
        <f ca="1">IFERROR(__xludf.DUMMYFUNCTION("""COMPUTED_VALUE"""),"Yes")</f>
        <v>Yes</v>
      </c>
      <c r="V1889" s="8" t="str">
        <f ca="1">IFERROR(__xludf.DUMMYFUNCTION("""COMPUTED_VALUE"""),"Before School")</f>
        <v>Before School</v>
      </c>
      <c r="W1889" s="11">
        <f ca="1">IFERROR(__xludf.DUMMYFUNCTION("""COMPUTED_VALUE"""),0.328472222222222)</f>
        <v>0.328472222222222</v>
      </c>
      <c r="X1889" s="8">
        <f ca="1">IFERROR(__xludf.DUMMYFUNCTION("""COMPUTED_VALUE"""),1)</f>
        <v>1</v>
      </c>
      <c r="Y1889" s="12" t="str">
        <f ca="1">IFERROR(__xludf.DUMMYFUNCTION("""COMPUTED_VALUE"""),"Murder-suicide between 2 female students")</f>
        <v>Murder-suicide between 2 female students</v>
      </c>
      <c r="Z1889" s="12" t="str">
        <f ca="1">IFERROR(__xludf.DUMMYFUNCTION("""COMPUTED_VALUE"""),"Two female students had been in relationship. Shooter killed other female and then killed herself. A detailed suicide note was left - apologetic and with details about the gun and family to help first responders. The gun was given to the shooter by anothe"&amp;"r 15YOM student. Shooter tried to relief him from blame, stating she lied she needed it for self-defense. Girls had a relationship crisis, victim agreed to stay together but shooter did not feel loved and had to end it. Bodies found next to school buildin"&amp;"g.")</f>
        <v>Two female students had been in relationship. Shooter killed other female and then killed herself. A detailed suicide note was left - apologetic and with details about the gun and family to help first responders. The gun was given to the shooter by another 15YOM student. Shooter tried to relief him from blame, stating she lied she needed it for self-defense. Girls had a relationship crisis, victim agreed to stay together but shooter did not feel loved and had to end it. Bodies found next to school building.</v>
      </c>
      <c r="AA1889" s="8" t="str">
        <f ca="1">IFERROR(__xludf.DUMMYFUNCTION("""COMPUTED_VALUE"""),"Domestic w/ Targeted Victim")</f>
        <v>Domestic w/ Targeted Victim</v>
      </c>
      <c r="AB1889" s="8"/>
      <c r="AC1889" s="8" t="str">
        <f ca="1">IFERROR(__xludf.DUMMYFUNCTION("""COMPUTED_VALUE"""),"Yes")</f>
        <v>Yes</v>
      </c>
      <c r="AD1889" s="8" t="str">
        <f ca="1">IFERROR(__xludf.DUMMYFUNCTION("""COMPUTED_VALUE"""),"Victims Targeted")</f>
        <v>Victims Targeted</v>
      </c>
      <c r="AE1889" s="8" t="str">
        <f ca="1">IFERROR(__xludf.DUMMYFUNCTION("""COMPUTED_VALUE"""),"No")</f>
        <v>No</v>
      </c>
      <c r="AF1889" s="8"/>
      <c r="AG1889" s="8" t="str">
        <f ca="1">IFERROR(__xludf.DUMMYFUNCTION("""COMPUTED_VALUE"""),"No")</f>
        <v>No</v>
      </c>
      <c r="AH1889" s="8" t="str">
        <f ca="1">IFERROR(__xludf.DUMMYFUNCTION("""COMPUTED_VALUE"""),"No")</f>
        <v>No</v>
      </c>
      <c r="AI1889" s="8" t="str">
        <f ca="1">IFERROR(__xludf.DUMMYFUNCTION("""COMPUTED_VALUE"""),"No")</f>
        <v>No</v>
      </c>
      <c r="AJ1889" s="8" t="str">
        <f ca="1">IFERROR(__xludf.DUMMYFUNCTION("""COMPUTED_VALUE"""),"No")</f>
        <v>No</v>
      </c>
      <c r="AK1889" s="8" t="str">
        <f ca="1">IFERROR(__xludf.DUMMYFUNCTION("""COMPUTED_VALUE"""),"Yes")</f>
        <v>Yes</v>
      </c>
      <c r="AL1889" s="8" t="str">
        <f ca="1">IFERROR(__xludf.DUMMYFUNCTION("""COMPUTED_VALUE"""),"No")</f>
        <v>No</v>
      </c>
      <c r="AM1889" s="8" t="str">
        <f ca="1">IFERROR(__xludf.DUMMYFUNCTION("""COMPUTED_VALUE"""),"No")</f>
        <v>No</v>
      </c>
      <c r="AN1889" s="8"/>
      <c r="AO1889" s="8" t="str">
        <f ca="1">IFERROR(__xludf.DUMMYFUNCTION("""COMPUTED_VALUE"""),"No")</f>
        <v>No</v>
      </c>
      <c r="AP1889" s="8" t="str">
        <f ca="1">IFERROR(__xludf.DUMMYFUNCTION("""COMPUTED_VALUE"""),"No")</f>
        <v>No</v>
      </c>
      <c r="AQ1889" s="8" t="str">
        <f ca="1">IFERROR(__xludf.DUMMYFUNCTION("""COMPUTED_VALUE"""),"None")</f>
        <v>None</v>
      </c>
      <c r="AR1889" s="8" t="str">
        <f ca="1">IFERROR(__xludf.DUMMYFUNCTION("""COMPUTED_VALUE"""),"NA")</f>
        <v>NA</v>
      </c>
      <c r="AS1889" s="8">
        <f ca="1">IFERROR(__xludf.DUMMYFUNCTION("""COMPUTED_VALUE"""),2)</f>
        <v>2</v>
      </c>
      <c r="AT1889" s="8" t="str">
        <f ca="1">IFERROR(__xludf.DUMMYFUNCTION("""COMPUTED_VALUE"""),"Yes")</f>
        <v>Yes</v>
      </c>
      <c r="AU1889" s="8">
        <f ca="1">IFERROR(__xludf.DUMMYFUNCTION("""COMPUTED_VALUE"""),33.53216)</f>
        <v>33.532159999999998</v>
      </c>
      <c r="AV1889" s="8">
        <f ca="1">IFERROR(__xludf.DUMMYFUNCTION("""COMPUTED_VALUE"""),-112.221)</f>
        <v>-112.221</v>
      </c>
      <c r="AW1889" s="8"/>
      <c r="AX1889" s="8">
        <f ca="1">IFERROR(__xludf.DUMMYFUNCTION("""COMPUTED_VALUE"""),85303)</f>
        <v>85303</v>
      </c>
    </row>
    <row r="1890" spans="1:50" ht="60" x14ac:dyDescent="0.2">
      <c r="A1890" s="8" t="str">
        <f ca="1">IFERROR(__xludf.DUMMYFUNCTION("""COMPUTED_VALUE"""),"20160209MIMUM")</f>
        <v>20160209MIMUM</v>
      </c>
      <c r="B1890" s="8">
        <f ca="1">IFERROR(__xludf.DUMMYFUNCTION("""COMPUTED_VALUE"""),2)</f>
        <v>2</v>
      </c>
      <c r="C1890" s="8">
        <f ca="1">IFERROR(__xludf.DUMMYFUNCTION("""COMPUTED_VALUE"""),9)</f>
        <v>9</v>
      </c>
      <c r="D1890" s="8">
        <f ca="1">IFERROR(__xludf.DUMMYFUNCTION("""COMPUTED_VALUE"""),2016)</f>
        <v>2016</v>
      </c>
      <c r="E1890" s="9">
        <f ca="1">IFERROR(__xludf.DUMMYFUNCTION("""COMPUTED_VALUE"""),42409)</f>
        <v>42409</v>
      </c>
      <c r="F1890" s="8" t="str">
        <f ca="1">IFERROR(__xludf.DUMMYFUNCTION("""COMPUTED_VALUE"""),"Muskegon Heights High School")</f>
        <v>Muskegon Heights High School</v>
      </c>
      <c r="G1890" s="8">
        <f ca="1">IFERROR(__xludf.DUMMYFUNCTION("""COMPUTED_VALUE"""),0)</f>
        <v>0</v>
      </c>
      <c r="H1890" s="8">
        <f ca="1">IFERROR(__xludf.DUMMYFUNCTION("""COMPUTED_VALUE"""),3)</f>
        <v>3</v>
      </c>
      <c r="I1890" s="8">
        <f ca="1">IFERROR(__xludf.DUMMYFUNCTION("""COMPUTED_VALUE"""),3)</f>
        <v>3</v>
      </c>
      <c r="J1890" s="8">
        <f ca="1">IFERROR(__xludf.DUMMYFUNCTION("""COMPUTED_VALUE"""),0)</f>
        <v>0</v>
      </c>
      <c r="K1890" s="8" t="str">
        <f ca="1">IFERROR(__xludf.DUMMYFUNCTION("""COMPUTED_VALUE"""),"http://www.mlive.com/news/muskegon/index.ssf/2017/04/man_who_shot_3_outside_school.html    https://www.woodtv.com/news/muskegon-county/suspect-in-musk-hts-hs-shooting-to-be-charged/1085276652")</f>
        <v>http://www.mlive.com/news/muskegon/index.ssf/2017/04/man_who_shot_3_outside_school.html    https://www.woodtv.com/news/muskegon-county/suspect-in-musk-hts-hs-shooting-to-be-charged/1085276652</v>
      </c>
      <c r="L1890" s="8">
        <f ca="1">IFERROR(__xludf.DUMMYFUNCTION("""COMPUTED_VALUE"""),1)</f>
        <v>1</v>
      </c>
      <c r="M1890" s="8" t="str">
        <f ca="1">IFERROR(__xludf.DUMMYFUNCTION("""COMPUTED_VALUE"""),"Local")</f>
        <v>Local</v>
      </c>
      <c r="N1890" s="8">
        <f ca="1">IFERROR(__xludf.DUMMYFUNCTION("""COMPUTED_VALUE"""),3)</f>
        <v>3</v>
      </c>
      <c r="O1890" s="8" t="str">
        <f ca="1">IFERROR(__xludf.DUMMYFUNCTION("""COMPUTED_VALUE"""),"Winter")</f>
        <v>Winter</v>
      </c>
      <c r="P1890" s="8" t="str">
        <f ca="1">IFERROR(__xludf.DUMMYFUNCTION("""COMPUTED_VALUE"""),"Muskegon Heights")</f>
        <v>Muskegon Heights</v>
      </c>
      <c r="Q1890" s="8" t="str">
        <f ca="1">IFERROR(__xludf.DUMMYFUNCTION("""COMPUTED_VALUE"""),"MI")</f>
        <v>MI</v>
      </c>
      <c r="R1890" s="8" t="str">
        <f ca="1">IFERROR(__xludf.DUMMYFUNCTION("""COMPUTED_VALUE"""),"High")</f>
        <v>High</v>
      </c>
      <c r="S1890" s="8" t="str">
        <f ca="1">IFERROR(__xludf.DUMMYFUNCTION("""COMPUTED_VALUE"""),"Parking Lot")</f>
        <v>Parking Lot</v>
      </c>
      <c r="T1890" s="8" t="str">
        <f ca="1">IFERROR(__xludf.DUMMYFUNCTION("""COMPUTED_VALUE"""),"Outside on School Property")</f>
        <v>Outside on School Property</v>
      </c>
      <c r="U1890" s="8" t="str">
        <f ca="1">IFERROR(__xludf.DUMMYFUNCTION("""COMPUTED_VALUE"""),"No")</f>
        <v>No</v>
      </c>
      <c r="V1890" s="8" t="str">
        <f ca="1">IFERROR(__xludf.DUMMYFUNCTION("""COMPUTED_VALUE"""),"Sport Event")</f>
        <v>Sport Event</v>
      </c>
      <c r="W1890" s="8"/>
      <c r="X1890" s="8">
        <f ca="1">IFERROR(__xludf.DUMMYFUNCTION("""COMPUTED_VALUE"""),1)</f>
        <v>1</v>
      </c>
      <c r="Y1890" s="12" t="str">
        <f ca="1">IFERROR(__xludf.DUMMYFUNCTION("""COMPUTED_VALUE"""),"Gang related shooting after basketball game")</f>
        <v>Gang related shooting after basketball game</v>
      </c>
      <c r="Z1890" s="12" t="str">
        <f ca="1">IFERROR(__xludf.DUMMYFUNCTION("""COMPUTED_VALUE"""),"Fired at group of students at the school's parking lot after a basketball game. Shooter and the group he was with were not let in the game. Shooter was shot 3 times by a nearby Deputy when he refused to drop the weapon.")</f>
        <v>Fired at group of students at the school's parking lot after a basketball game. Shooter and the group he was with were not let in the game. Shooter was shot 3 times by a nearby Deputy when he refused to drop the weapon.</v>
      </c>
      <c r="AA1890" s="8" t="str">
        <f ca="1">IFERROR(__xludf.DUMMYFUNCTION("""COMPUTED_VALUE"""),"Escalation of Dispute")</f>
        <v>Escalation of Dispute</v>
      </c>
      <c r="AB1890" s="8"/>
      <c r="AC1890" s="8" t="str">
        <f ca="1">IFERROR(__xludf.DUMMYFUNCTION("""COMPUTED_VALUE"""),"Yes")</f>
        <v>Yes</v>
      </c>
      <c r="AD1890" s="8" t="str">
        <f ca="1">IFERROR(__xludf.DUMMYFUNCTION("""COMPUTED_VALUE"""),"Both")</f>
        <v>Both</v>
      </c>
      <c r="AE1890" s="8" t="str">
        <f ca="1">IFERROR(__xludf.DUMMYFUNCTION("""COMPUTED_VALUE"""),"No")</f>
        <v>No</v>
      </c>
      <c r="AF1890" s="8"/>
      <c r="AG1890" s="8" t="str">
        <f ca="1">IFERROR(__xludf.DUMMYFUNCTION("""COMPUTED_VALUE"""),"No")</f>
        <v>No</v>
      </c>
      <c r="AH1890" s="8" t="str">
        <f ca="1">IFERROR(__xludf.DUMMYFUNCTION("""COMPUTED_VALUE"""),"No")</f>
        <v>No</v>
      </c>
      <c r="AI1890" s="8" t="str">
        <f ca="1">IFERROR(__xludf.DUMMYFUNCTION("""COMPUTED_VALUE"""),"No")</f>
        <v>No</v>
      </c>
      <c r="AJ1890" s="8" t="str">
        <f ca="1">IFERROR(__xludf.DUMMYFUNCTION("""COMPUTED_VALUE"""),"No")</f>
        <v>No</v>
      </c>
      <c r="AK1890" s="8" t="str">
        <f ca="1">IFERROR(__xludf.DUMMYFUNCTION("""COMPUTED_VALUE"""),"No")</f>
        <v>No</v>
      </c>
      <c r="AL1890" s="8" t="str">
        <f ca="1">IFERROR(__xludf.DUMMYFUNCTION("""COMPUTED_VALUE"""),"Yes")</f>
        <v>Yes</v>
      </c>
      <c r="AM1890" s="8" t="str">
        <f ca="1">IFERROR(__xludf.DUMMYFUNCTION("""COMPUTED_VALUE"""),"No")</f>
        <v>No</v>
      </c>
      <c r="AN1890" s="8"/>
      <c r="AO1890" s="8" t="str">
        <f ca="1">IFERROR(__xludf.DUMMYFUNCTION("""COMPUTED_VALUE"""),"No")</f>
        <v>No</v>
      </c>
      <c r="AP1890" s="8"/>
      <c r="AQ1890" s="8" t="str">
        <f ca="1">IFERROR(__xludf.DUMMYFUNCTION("""COMPUTED_VALUE"""),"Unknown")</f>
        <v>Unknown</v>
      </c>
      <c r="AR1890" s="8" t="str">
        <f ca="1">IFERROR(__xludf.DUMMYFUNCTION("""COMPUTED_VALUE"""),"NA")</f>
        <v>NA</v>
      </c>
      <c r="AS1890" s="8"/>
      <c r="AT1890" s="8" t="str">
        <f ca="1">IFERROR(__xludf.DUMMYFUNCTION("""COMPUTED_VALUE"""),"Yes")</f>
        <v>Yes</v>
      </c>
      <c r="AU1890" s="8">
        <f ca="1">IFERROR(__xludf.DUMMYFUNCTION("""COMPUTED_VALUE"""),43.208351)</f>
        <v>43.208351</v>
      </c>
      <c r="AV1890" s="8">
        <f ca="1">IFERROR(__xludf.DUMMYFUNCTION("""COMPUTED_VALUE"""),-86.249019)</f>
        <v>-86.249019000000004</v>
      </c>
      <c r="AW1890" s="8"/>
      <c r="AX1890" s="8">
        <f ca="1">IFERROR(__xludf.DUMMYFUNCTION("""COMPUTED_VALUE"""),49444)</f>
        <v>49444</v>
      </c>
    </row>
    <row r="1891" spans="1:50" ht="75" x14ac:dyDescent="0.2">
      <c r="A1891" s="8" t="str">
        <f ca="1">IFERROR(__xludf.DUMMYFUNCTION("""COMPUTED_VALUE"""),"20160129PABEP")</f>
        <v>20160129PABEP</v>
      </c>
      <c r="B1891" s="8">
        <f ca="1">IFERROR(__xludf.DUMMYFUNCTION("""COMPUTED_VALUE"""),1)</f>
        <v>1</v>
      </c>
      <c r="C1891" s="8">
        <f ca="1">IFERROR(__xludf.DUMMYFUNCTION("""COMPUTED_VALUE"""),29)</f>
        <v>29</v>
      </c>
      <c r="D1891" s="8">
        <f ca="1">IFERROR(__xludf.DUMMYFUNCTION("""COMPUTED_VALUE"""),2016)</f>
        <v>2016</v>
      </c>
      <c r="E1891" s="9">
        <f ca="1">IFERROR(__xludf.DUMMYFUNCTION("""COMPUTED_VALUE"""),42398)</f>
        <v>42398</v>
      </c>
      <c r="F1891" s="8" t="str">
        <f ca="1">IFERROR(__xludf.DUMMYFUNCTION("""COMPUTED_VALUE"""),"Benjamin Franklin High School")</f>
        <v>Benjamin Franklin High School</v>
      </c>
      <c r="G1891" s="8">
        <f ca="1">IFERROR(__xludf.DUMMYFUNCTION("""COMPUTED_VALUE"""),0)</f>
        <v>0</v>
      </c>
      <c r="H1891" s="8">
        <f ca="1">IFERROR(__xludf.DUMMYFUNCTION("""COMPUTED_VALUE"""),0)</f>
        <v>0</v>
      </c>
      <c r="I1891" s="8">
        <f ca="1">IFERROR(__xludf.DUMMYFUNCTION("""COMPUTED_VALUE"""),0)</f>
        <v>0</v>
      </c>
      <c r="J1891" s="8">
        <f ca="1">IFERROR(__xludf.DUMMYFUNCTION("""COMPUTED_VALUE"""),0)</f>
        <v>0</v>
      </c>
      <c r="K1891" s="10" t="str">
        <f ca="1">IFERROR(__xludf.DUMMYFUNCTION("""COMPUTED_VALUE"""),"https://www.nbcphiladelphia.com/news/local/BREAKING-Benjamin-Franklin-High-School-on-Lockdown-After-Shell-Casing-Found-in-Stairwell--366996461.html")</f>
        <v>https://www.nbcphiladelphia.com/news/local/BREAKING-Benjamin-Franklin-High-School-on-Lockdown-After-Shell-Casing-Found-in-Stairwell--366996461.html</v>
      </c>
      <c r="L1891" s="8">
        <f ca="1">IFERROR(__xludf.DUMMYFUNCTION("""COMPUTED_VALUE"""),5)</f>
        <v>5</v>
      </c>
      <c r="M1891" s="8" t="str">
        <f ca="1">IFERROR(__xludf.DUMMYFUNCTION("""COMPUTED_VALUE"""),"Local")</f>
        <v>Local</v>
      </c>
      <c r="N1891" s="8">
        <f ca="1">IFERROR(__xludf.DUMMYFUNCTION("""COMPUTED_VALUE"""),2)</f>
        <v>2</v>
      </c>
      <c r="O1891" s="8" t="str">
        <f ca="1">IFERROR(__xludf.DUMMYFUNCTION("""COMPUTED_VALUE"""),"Winter")</f>
        <v>Winter</v>
      </c>
      <c r="P1891" s="8" t="str">
        <f ca="1">IFERROR(__xludf.DUMMYFUNCTION("""COMPUTED_VALUE"""),"Philadelphia")</f>
        <v>Philadelphia</v>
      </c>
      <c r="Q1891" s="8" t="str">
        <f ca="1">IFERROR(__xludf.DUMMYFUNCTION("""COMPUTED_VALUE"""),"PA")</f>
        <v>PA</v>
      </c>
      <c r="R1891" s="8" t="str">
        <f ca="1">IFERROR(__xludf.DUMMYFUNCTION("""COMPUTED_VALUE"""),"High")</f>
        <v>High</v>
      </c>
      <c r="S1891" s="8" t="str">
        <f ca="1">IFERROR(__xludf.DUMMYFUNCTION("""COMPUTED_VALUE"""),"Hallway")</f>
        <v>Hallway</v>
      </c>
      <c r="T1891" s="8" t="str">
        <f ca="1">IFERROR(__xludf.DUMMYFUNCTION("""COMPUTED_VALUE"""),"Inside School Building")</f>
        <v>Inside School Building</v>
      </c>
      <c r="U1891" s="8" t="str">
        <f ca="1">IFERROR(__xludf.DUMMYFUNCTION("""COMPUTED_VALUE"""),"Yes")</f>
        <v>Yes</v>
      </c>
      <c r="V1891" s="8" t="str">
        <f ca="1">IFERROR(__xludf.DUMMYFUNCTION("""COMPUTED_VALUE"""),"Lunch")</f>
        <v>Lunch</v>
      </c>
      <c r="W1891" s="11">
        <f ca="1">IFERROR(__xludf.DUMMYFUNCTION("""COMPUTED_VALUE"""),0.5)</f>
        <v>0.5</v>
      </c>
      <c r="X1891" s="8">
        <f ca="1">IFERROR(__xludf.DUMMYFUNCTION("""COMPUTED_VALUE"""),1)</f>
        <v>1</v>
      </c>
      <c r="Y1891" s="12" t="str">
        <f ca="1">IFERROR(__xludf.DUMMYFUNCTION("""COMPUTED_VALUE"""),"Shots fired during fight in school hallway")</f>
        <v>Shots fired during fight in school hallway</v>
      </c>
      <c r="Z1891" s="12" t="str">
        <f ca="1">IFERROR(__xludf.DUMMYFUNCTION("""COMPUTED_VALUE"""),"Shooter brought a gun to school to settle a score after his friend had been involved in a fight, several students were involved in a physical altercation in the hallway. Shooter shot at the targeted person but no one was hurt. Assigned guards on all floor"&amp;"s and metal detectors at entrances.")</f>
        <v>Shooter brought a gun to school to settle a score after his friend had been involved in a fight, several students were involved in a physical altercation in the hallway. Shooter shot at the targeted person but no one was hurt. Assigned guards on all floors and metal detectors at entrances.</v>
      </c>
      <c r="AA1891" s="8" t="str">
        <f ca="1">IFERROR(__xludf.DUMMYFUNCTION("""COMPUTED_VALUE"""),"Escalation of Dispute")</f>
        <v>Escalation of Dispute</v>
      </c>
      <c r="AB1891" s="8"/>
      <c r="AC1891" s="8" t="str">
        <f ca="1">IFERROR(__xludf.DUMMYFUNCTION("""COMPUTED_VALUE"""),"Yes")</f>
        <v>Yes</v>
      </c>
      <c r="AD1891" s="8" t="str">
        <f ca="1">IFERROR(__xludf.DUMMYFUNCTION("""COMPUTED_VALUE"""),"Victims Targeted")</f>
        <v>Victims Targeted</v>
      </c>
      <c r="AE1891" s="8" t="str">
        <f ca="1">IFERROR(__xludf.DUMMYFUNCTION("""COMPUTED_VALUE"""),"No")</f>
        <v>No</v>
      </c>
      <c r="AF1891" s="8"/>
      <c r="AG1891" s="8" t="str">
        <f ca="1">IFERROR(__xludf.DUMMYFUNCTION("""COMPUTED_VALUE"""),"No")</f>
        <v>No</v>
      </c>
      <c r="AH1891" s="8" t="str">
        <f ca="1">IFERROR(__xludf.DUMMYFUNCTION("""COMPUTED_VALUE"""),"No")</f>
        <v>No</v>
      </c>
      <c r="AI1891" s="8" t="str">
        <f ca="1">IFERROR(__xludf.DUMMYFUNCTION("""COMPUTED_VALUE"""),"No")</f>
        <v>No</v>
      </c>
      <c r="AJ1891" s="8" t="str">
        <f ca="1">IFERROR(__xludf.DUMMYFUNCTION("""COMPUTED_VALUE"""),"No")</f>
        <v>No</v>
      </c>
      <c r="AK1891" s="8" t="str">
        <f ca="1">IFERROR(__xludf.DUMMYFUNCTION("""COMPUTED_VALUE"""),"No")</f>
        <v>No</v>
      </c>
      <c r="AL1891" s="8" t="str">
        <f ca="1">IFERROR(__xludf.DUMMYFUNCTION("""COMPUTED_VALUE"""),"No")</f>
        <v>No</v>
      </c>
      <c r="AM1891" s="8" t="str">
        <f ca="1">IFERROR(__xludf.DUMMYFUNCTION("""COMPUTED_VALUE"""),"No")</f>
        <v>No</v>
      </c>
      <c r="AN1891" s="8"/>
      <c r="AO1891" s="8" t="str">
        <f ca="1">IFERROR(__xludf.DUMMYFUNCTION("""COMPUTED_VALUE"""),"No")</f>
        <v>No</v>
      </c>
      <c r="AP1891" s="8" t="str">
        <f ca="1">IFERROR(__xludf.DUMMYFUNCTION("""COMPUTED_VALUE"""),"Yes")</f>
        <v>Yes</v>
      </c>
      <c r="AQ1891" s="8" t="str">
        <f ca="1">IFERROR(__xludf.DUMMYFUNCTION("""COMPUTED_VALUE"""),"Metal Detectors All Entrances; Guards")</f>
        <v>Metal Detectors All Entrances; Guards</v>
      </c>
      <c r="AR1891" s="8" t="str">
        <f ca="1">IFERROR(__xludf.DUMMYFUNCTION("""COMPUTED_VALUE"""),"Bypassed")</f>
        <v>Bypassed</v>
      </c>
      <c r="AS1891" s="8">
        <f ca="1">IFERROR(__xludf.DUMMYFUNCTION("""COMPUTED_VALUE"""),1)</f>
        <v>1</v>
      </c>
      <c r="AT1891" s="8" t="str">
        <f ca="1">IFERROR(__xludf.DUMMYFUNCTION("""COMPUTED_VALUE"""),"Yes")</f>
        <v>Yes</v>
      </c>
      <c r="AU1891" s="8">
        <f ca="1">IFERROR(__xludf.DUMMYFUNCTION("""COMPUTED_VALUE"""),39.96367)</f>
        <v>39.96367</v>
      </c>
      <c r="AV1891" s="8">
        <f ca="1">IFERROR(__xludf.DUMMYFUNCTION("""COMPUTED_VALUE"""),-75.162)</f>
        <v>-75.162000000000006</v>
      </c>
      <c r="AW1891" s="8"/>
      <c r="AX1891" s="8">
        <f ca="1">IFERROR(__xludf.DUMMYFUNCTION("""COMPUTED_VALUE"""),19130)</f>
        <v>19130</v>
      </c>
    </row>
    <row r="1892" spans="1:50" ht="75" x14ac:dyDescent="0.2">
      <c r="A1892" s="8" t="str">
        <f ca="1">IFERROR(__xludf.DUMMYFUNCTION("""COMPUTED_VALUE"""),"20160122INLAI")</f>
        <v>20160122INLAI</v>
      </c>
      <c r="B1892" s="8">
        <f ca="1">IFERROR(__xludf.DUMMYFUNCTION("""COMPUTED_VALUE"""),1)</f>
        <v>1</v>
      </c>
      <c r="C1892" s="8">
        <f ca="1">IFERROR(__xludf.DUMMYFUNCTION("""COMPUTED_VALUE"""),22)</f>
        <v>22</v>
      </c>
      <c r="D1892" s="8">
        <f ca="1">IFERROR(__xludf.DUMMYFUNCTION("""COMPUTED_VALUE"""),2016)</f>
        <v>2016</v>
      </c>
      <c r="E1892" s="9">
        <f ca="1">IFERROR(__xludf.DUMMYFUNCTION("""COMPUTED_VALUE"""),42391)</f>
        <v>42391</v>
      </c>
      <c r="F1892" s="8" t="str">
        <f ca="1">IFERROR(__xludf.DUMMYFUNCTION("""COMPUTED_VALUE"""),"Lawrence Central High School")</f>
        <v>Lawrence Central High School</v>
      </c>
      <c r="G1892" s="8">
        <f ca="1">IFERROR(__xludf.DUMMYFUNCTION("""COMPUTED_VALUE"""),0)</f>
        <v>0</v>
      </c>
      <c r="H1892" s="8">
        <f ca="1">IFERROR(__xludf.DUMMYFUNCTION("""COMPUTED_VALUE"""),1)</f>
        <v>1</v>
      </c>
      <c r="I1892" s="8">
        <f ca="1">IFERROR(__xludf.DUMMYFUNCTION("""COMPUTED_VALUE"""),1)</f>
        <v>1</v>
      </c>
      <c r="J1892" s="8">
        <f ca="1">IFERROR(__xludf.DUMMYFUNCTION("""COMPUTED_VALUE"""),0)</f>
        <v>0</v>
      </c>
      <c r="K1892" s="10" t="str">
        <f ca="1">IFERROR(__xludf.DUMMYFUNCTION("""COMPUTED_VALUE"""),"https://www.indystar.com/story/news/crime/2016/01/25/teen-charged-shooting-lawrence-central-high-school/79319130/")</f>
        <v>https://www.indystar.com/story/news/crime/2016/01/25/teen-charged-shooting-lawrence-central-high-school/79319130/</v>
      </c>
      <c r="L1892" s="8">
        <f ca="1">IFERROR(__xludf.DUMMYFUNCTION("""COMPUTED_VALUE"""),5)</f>
        <v>5</v>
      </c>
      <c r="M1892" s="8" t="str">
        <f ca="1">IFERROR(__xludf.DUMMYFUNCTION("""COMPUTED_VALUE"""),"Local")</f>
        <v>Local</v>
      </c>
      <c r="N1892" s="8">
        <f ca="1">IFERROR(__xludf.DUMMYFUNCTION("""COMPUTED_VALUE"""),2)</f>
        <v>2</v>
      </c>
      <c r="O1892" s="8" t="str">
        <f ca="1">IFERROR(__xludf.DUMMYFUNCTION("""COMPUTED_VALUE"""),"Winter")</f>
        <v>Winter</v>
      </c>
      <c r="P1892" s="8" t="str">
        <f ca="1">IFERROR(__xludf.DUMMYFUNCTION("""COMPUTED_VALUE"""),"Indianapolis")</f>
        <v>Indianapolis</v>
      </c>
      <c r="Q1892" s="8" t="str">
        <f ca="1">IFERROR(__xludf.DUMMYFUNCTION("""COMPUTED_VALUE"""),"IN")</f>
        <v>IN</v>
      </c>
      <c r="R1892" s="8" t="str">
        <f ca="1">IFERROR(__xludf.DUMMYFUNCTION("""COMPUTED_VALUE"""),"High")</f>
        <v>High</v>
      </c>
      <c r="S1892" s="8" t="str">
        <f ca="1">IFERROR(__xludf.DUMMYFUNCTION("""COMPUTED_VALUE"""),"Beside Building")</f>
        <v>Beside Building</v>
      </c>
      <c r="T1892" s="8" t="str">
        <f ca="1">IFERROR(__xludf.DUMMYFUNCTION("""COMPUTED_VALUE"""),"Outside on School Property")</f>
        <v>Outside on School Property</v>
      </c>
      <c r="U1892" s="8" t="str">
        <f ca="1">IFERROR(__xludf.DUMMYFUNCTION("""COMPUTED_VALUE"""),"No")</f>
        <v>No</v>
      </c>
      <c r="V1892" s="8" t="str">
        <f ca="1">IFERROR(__xludf.DUMMYFUNCTION("""COMPUTED_VALUE"""),"Sport Event")</f>
        <v>Sport Event</v>
      </c>
      <c r="W1892" s="11">
        <f ca="1">IFERROR(__xludf.DUMMYFUNCTION("""COMPUTED_VALUE"""),0.895833333333333)</f>
        <v>0.89583333333333304</v>
      </c>
      <c r="X1892" s="8">
        <f ca="1">IFERROR(__xludf.DUMMYFUNCTION("""COMPUTED_VALUE"""),1)</f>
        <v>1</v>
      </c>
      <c r="Y1892" s="12" t="str">
        <f ca="1">IFERROR(__xludf.DUMMYFUNCTION("""COMPUTED_VALUE"""),"Shots during fight at basketball game")</f>
        <v>Shots during fight at basketball game</v>
      </c>
      <c r="Z1892" s="12" t="str">
        <f ca="1">IFERROR(__xludf.DUMMYFUNCTION("""COMPUTED_VALUE"""),"Shooter shot fellow student in the leg during a dispute following a basketball game. There had been an ongoing dispute between the shooter and victim for more than a year. The shooter fled but was brought to the police department by a parent to confess.")</f>
        <v>Shooter shot fellow student in the leg during a dispute following a basketball game. There had been an ongoing dispute between the shooter and victim for more than a year. The shooter fled but was brought to the police department by a parent to confess.</v>
      </c>
      <c r="AA1892" s="8" t="str">
        <f ca="1">IFERROR(__xludf.DUMMYFUNCTION("""COMPUTED_VALUE"""),"Escalation of Dispute")</f>
        <v>Escalation of Dispute</v>
      </c>
      <c r="AB1892" s="8"/>
      <c r="AC1892" s="8" t="str">
        <f ca="1">IFERROR(__xludf.DUMMYFUNCTION("""COMPUTED_VALUE"""),"Yes")</f>
        <v>Yes</v>
      </c>
      <c r="AD1892" s="8" t="str">
        <f ca="1">IFERROR(__xludf.DUMMYFUNCTION("""COMPUTED_VALUE"""),"Victims Targeted")</f>
        <v>Victims Targeted</v>
      </c>
      <c r="AE1892" s="8"/>
      <c r="AF1892" s="8"/>
      <c r="AG1892" s="8" t="str">
        <f ca="1">IFERROR(__xludf.DUMMYFUNCTION("""COMPUTED_VALUE"""),"No")</f>
        <v>No</v>
      </c>
      <c r="AH1892" s="8" t="str">
        <f ca="1">IFERROR(__xludf.DUMMYFUNCTION("""COMPUTED_VALUE"""),"No")</f>
        <v>No</v>
      </c>
      <c r="AI1892" s="8" t="str">
        <f ca="1">IFERROR(__xludf.DUMMYFUNCTION("""COMPUTED_VALUE"""),"No")</f>
        <v>No</v>
      </c>
      <c r="AJ1892" s="8" t="str">
        <f ca="1">IFERROR(__xludf.DUMMYFUNCTION("""COMPUTED_VALUE"""),"No")</f>
        <v>No</v>
      </c>
      <c r="AK1892" s="8" t="str">
        <f ca="1">IFERROR(__xludf.DUMMYFUNCTION("""COMPUTED_VALUE"""),"No")</f>
        <v>No</v>
      </c>
      <c r="AL1892" s="8" t="str">
        <f ca="1">IFERROR(__xludf.DUMMYFUNCTION("""COMPUTED_VALUE"""),"No")</f>
        <v>No</v>
      </c>
      <c r="AM1892" s="8" t="str">
        <f ca="1">IFERROR(__xludf.DUMMYFUNCTION("""COMPUTED_VALUE"""),"No")</f>
        <v>No</v>
      </c>
      <c r="AN1892" s="8"/>
      <c r="AO1892" s="8" t="str">
        <f ca="1">IFERROR(__xludf.DUMMYFUNCTION("""COMPUTED_VALUE"""),"No")</f>
        <v>No</v>
      </c>
      <c r="AP1892" s="8"/>
      <c r="AQ1892" s="8" t="str">
        <f ca="1">IFERROR(__xludf.DUMMYFUNCTION("""COMPUTED_VALUE"""),"Unknown")</f>
        <v>Unknown</v>
      </c>
      <c r="AR1892" s="8" t="str">
        <f ca="1">IFERROR(__xludf.DUMMYFUNCTION("""COMPUTED_VALUE"""),"NA")</f>
        <v>NA</v>
      </c>
      <c r="AS1892" s="8">
        <f ca="1">IFERROR(__xludf.DUMMYFUNCTION("""COMPUTED_VALUE"""),1)</f>
        <v>1</v>
      </c>
      <c r="AT1892" s="8"/>
      <c r="AU1892" s="8">
        <f ca="1">IFERROR(__xludf.DUMMYFUNCTION("""COMPUTED_VALUE"""),39.856299)</f>
        <v>39.856299</v>
      </c>
      <c r="AV1892" s="8">
        <f ca="1">IFERROR(__xludf.DUMMYFUNCTION("""COMPUTED_VALUE"""),-86.038998)</f>
        <v>-86.038998000000007</v>
      </c>
      <c r="AW1892" s="8"/>
      <c r="AX1892" s="8">
        <f ca="1">IFERROR(__xludf.DUMMYFUNCTION("""COMPUTED_VALUE"""),46226)</f>
        <v>46226</v>
      </c>
    </row>
    <row r="1893" spans="1:50" ht="45" x14ac:dyDescent="0.2">
      <c r="A1893" s="8" t="str">
        <f ca="1">IFERROR(__xludf.DUMMYFUNCTION("""COMPUTED_VALUE"""),"20160120INNOI")</f>
        <v>20160120INNOI</v>
      </c>
      <c r="B1893" s="8">
        <f ca="1">IFERROR(__xludf.DUMMYFUNCTION("""COMPUTED_VALUE"""),1)</f>
        <v>1</v>
      </c>
      <c r="C1893" s="8">
        <f ca="1">IFERROR(__xludf.DUMMYFUNCTION("""COMPUTED_VALUE"""),20)</f>
        <v>20</v>
      </c>
      <c r="D1893" s="8">
        <f ca="1">IFERROR(__xludf.DUMMYFUNCTION("""COMPUTED_VALUE"""),2016)</f>
        <v>2016</v>
      </c>
      <c r="E1893" s="9">
        <f ca="1">IFERROR(__xludf.DUMMYFUNCTION("""COMPUTED_VALUE"""),42389)</f>
        <v>42389</v>
      </c>
      <c r="F1893" s="8" t="str">
        <f ca="1">IFERROR(__xludf.DUMMYFUNCTION("""COMPUTED_VALUE"""),"Northwestern Community High School")</f>
        <v>Northwestern Community High School</v>
      </c>
      <c r="G1893" s="8">
        <f ca="1">IFERROR(__xludf.DUMMYFUNCTION("""COMPUTED_VALUE"""),0)</f>
        <v>0</v>
      </c>
      <c r="H1893" s="8">
        <f ca="1">IFERROR(__xludf.DUMMYFUNCTION("""COMPUTED_VALUE"""),0)</f>
        <v>0</v>
      </c>
      <c r="I1893" s="8">
        <f ca="1">IFERROR(__xludf.DUMMYFUNCTION("""COMPUTED_VALUE"""),0)</f>
        <v>0</v>
      </c>
      <c r="J1893" s="8">
        <f ca="1">IFERROR(__xludf.DUMMYFUNCTION("""COMPUTED_VALUE"""),0)</f>
        <v>0</v>
      </c>
      <c r="K1893" s="10" t="str">
        <f ca="1">IFERROR(__xludf.DUMMYFUNCTION("""COMPUTED_VALUE"""),"https://www.theindychannel.com/news/local-news/gun-goes-off-outside-northwest-community-hs")</f>
        <v>https://www.theindychannel.com/news/local-news/gun-goes-off-outside-northwest-community-hs</v>
      </c>
      <c r="L1893" s="8"/>
      <c r="M1893" s="8"/>
      <c r="N1893" s="8">
        <f ca="1">IFERROR(__xludf.DUMMYFUNCTION("""COMPUTED_VALUE"""),2)</f>
        <v>2</v>
      </c>
      <c r="O1893" s="8" t="str">
        <f ca="1">IFERROR(__xludf.DUMMYFUNCTION("""COMPUTED_VALUE"""),"Winter")</f>
        <v>Winter</v>
      </c>
      <c r="P1893" s="8" t="str">
        <f ca="1">IFERROR(__xludf.DUMMYFUNCTION("""COMPUTED_VALUE"""),"Indianapolis")</f>
        <v>Indianapolis</v>
      </c>
      <c r="Q1893" s="8" t="str">
        <f ca="1">IFERROR(__xludf.DUMMYFUNCTION("""COMPUTED_VALUE"""),"IN")</f>
        <v>IN</v>
      </c>
      <c r="R1893" s="8" t="str">
        <f ca="1">IFERROR(__xludf.DUMMYFUNCTION("""COMPUTED_VALUE"""),"High")</f>
        <v>High</v>
      </c>
      <c r="S1893" s="8" t="str">
        <f ca="1">IFERROR(__xludf.DUMMYFUNCTION("""COMPUTED_VALUE"""),"Parking Lot")</f>
        <v>Parking Lot</v>
      </c>
      <c r="T1893" s="8" t="str">
        <f ca="1">IFERROR(__xludf.DUMMYFUNCTION("""COMPUTED_VALUE"""),"Outside on School Property")</f>
        <v>Outside on School Property</v>
      </c>
      <c r="U1893" s="8" t="str">
        <f ca="1">IFERROR(__xludf.DUMMYFUNCTION("""COMPUTED_VALUE"""),"Yes")</f>
        <v>Yes</v>
      </c>
      <c r="V1893" s="8" t="str">
        <f ca="1">IFERROR(__xludf.DUMMYFUNCTION("""COMPUTED_VALUE"""),"Before School")</f>
        <v>Before School</v>
      </c>
      <c r="W1893" s="8"/>
      <c r="X1893" s="8">
        <f ca="1">IFERROR(__xludf.DUMMYFUNCTION("""COMPUTED_VALUE"""),1)</f>
        <v>1</v>
      </c>
      <c r="Y1893" s="12" t="str">
        <f ca="1">IFERROR(__xludf.DUMMYFUNCTION("""COMPUTED_VALUE"""),"Accidental discharge of gun in car")</f>
        <v>Accidental discharge of gun in car</v>
      </c>
      <c r="Z1893" s="12" t="str">
        <f ca="1">IFERROR(__xludf.DUMMYFUNCTION("""COMPUTED_VALUE"""),"Man accidentally discharged his firearm while putting it into the glovebox of his vehicle before school - no further media reports aside from single source listed.")</f>
        <v>Man accidentally discharged his firearm while putting it into the glovebox of his vehicle before school - no further media reports aside from single source listed.</v>
      </c>
      <c r="AA1893" s="8" t="str">
        <f ca="1">IFERROR(__xludf.DUMMYFUNCTION("""COMPUTED_VALUE"""),"Accidental")</f>
        <v>Accidental</v>
      </c>
      <c r="AB1893" s="8"/>
      <c r="AC1893" s="8" t="str">
        <f ca="1">IFERROR(__xludf.DUMMYFUNCTION("""COMPUTED_VALUE"""),"No")</f>
        <v>No</v>
      </c>
      <c r="AD1893" s="8" t="str">
        <f ca="1">IFERROR(__xludf.DUMMYFUNCTION("""COMPUTED_VALUE"""),"NA")</f>
        <v>NA</v>
      </c>
      <c r="AE1893" s="8" t="str">
        <f ca="1">IFERROR(__xludf.DUMMYFUNCTION("""COMPUTED_VALUE"""),"No")</f>
        <v>No</v>
      </c>
      <c r="AF1893" s="8"/>
      <c r="AG1893" s="8" t="str">
        <f ca="1">IFERROR(__xludf.DUMMYFUNCTION("""COMPUTED_VALUE"""),"No")</f>
        <v>No</v>
      </c>
      <c r="AH1893" s="8" t="str">
        <f ca="1">IFERROR(__xludf.DUMMYFUNCTION("""COMPUTED_VALUE"""),"No")</f>
        <v>No</v>
      </c>
      <c r="AI1893" s="8" t="str">
        <f ca="1">IFERROR(__xludf.DUMMYFUNCTION("""COMPUTED_VALUE"""),"No")</f>
        <v>No</v>
      </c>
      <c r="AJ1893" s="8" t="str">
        <f ca="1">IFERROR(__xludf.DUMMYFUNCTION("""COMPUTED_VALUE"""),"N/A")</f>
        <v>N/A</v>
      </c>
      <c r="AK1893" s="8" t="str">
        <f ca="1">IFERROR(__xludf.DUMMYFUNCTION("""COMPUTED_VALUE"""),"N/A")</f>
        <v>N/A</v>
      </c>
      <c r="AL1893" s="8" t="str">
        <f ca="1">IFERROR(__xludf.DUMMYFUNCTION("""COMPUTED_VALUE"""),"No")</f>
        <v>No</v>
      </c>
      <c r="AM1893" s="8" t="str">
        <f ca="1">IFERROR(__xludf.DUMMYFUNCTION("""COMPUTED_VALUE"""),"No")</f>
        <v>No</v>
      </c>
      <c r="AN1893" s="8"/>
      <c r="AO1893" s="8" t="str">
        <f ca="1">IFERROR(__xludf.DUMMYFUNCTION("""COMPUTED_VALUE"""),"No")</f>
        <v>No</v>
      </c>
      <c r="AP1893" s="8"/>
      <c r="AQ1893" s="8" t="str">
        <f ca="1">IFERROR(__xludf.DUMMYFUNCTION("""COMPUTED_VALUE"""),"Unknown")</f>
        <v>Unknown</v>
      </c>
      <c r="AR1893" s="8" t="str">
        <f ca="1">IFERROR(__xludf.DUMMYFUNCTION("""COMPUTED_VALUE"""),"NA")</f>
        <v>NA</v>
      </c>
      <c r="AS1893" s="8">
        <f ca="1">IFERROR(__xludf.DUMMYFUNCTION("""COMPUTED_VALUE"""),1)</f>
        <v>1</v>
      </c>
      <c r="AT1893" s="8"/>
      <c r="AU1893" s="8">
        <f ca="1">IFERROR(__xludf.DUMMYFUNCTION("""COMPUTED_VALUE"""),39.814898)</f>
        <v>39.814897999999999</v>
      </c>
      <c r="AV1893" s="8">
        <f ca="1">IFERROR(__xludf.DUMMYFUNCTION("""COMPUTED_VALUE"""),-86.257332)</f>
        <v>-86.257332000000005</v>
      </c>
      <c r="AW1893" s="8"/>
      <c r="AX1893" s="8">
        <f ca="1">IFERROR(__xludf.DUMMYFUNCTION("""COMPUTED_VALUE"""),46224)</f>
        <v>46224</v>
      </c>
    </row>
    <row r="1894" spans="1:50" ht="75" x14ac:dyDescent="0.2">
      <c r="A1894" s="8" t="str">
        <f ca="1">IFERROR(__xludf.DUMMYFUNCTION("""COMPUTED_VALUE"""),"20160113ARHAB")</f>
        <v>20160113ARHAB</v>
      </c>
      <c r="B1894" s="8">
        <f ca="1">IFERROR(__xludf.DUMMYFUNCTION("""COMPUTED_VALUE"""),1)</f>
        <v>1</v>
      </c>
      <c r="C1894" s="8">
        <f ca="1">IFERROR(__xludf.DUMMYFUNCTION("""COMPUTED_VALUE"""),13)</f>
        <v>13</v>
      </c>
      <c r="D1894" s="8">
        <f ca="1">IFERROR(__xludf.DUMMYFUNCTION("""COMPUTED_VALUE"""),2016)</f>
        <v>2016</v>
      </c>
      <c r="E1894" s="9">
        <f ca="1">IFERROR(__xludf.DUMMYFUNCTION("""COMPUTED_VALUE"""),42382)</f>
        <v>42382</v>
      </c>
      <c r="F1894" s="8" t="str">
        <f ca="1">IFERROR(__xludf.DUMMYFUNCTION("""COMPUTED_VALUE"""),"Harmony Grove High School")</f>
        <v>Harmony Grove High School</v>
      </c>
      <c r="G1894" s="8">
        <f ca="1">IFERROR(__xludf.DUMMYFUNCTION("""COMPUTED_VALUE"""),0)</f>
        <v>0</v>
      </c>
      <c r="H1894" s="8">
        <f ca="1">IFERROR(__xludf.DUMMYFUNCTION("""COMPUTED_VALUE"""),1)</f>
        <v>1</v>
      </c>
      <c r="I1894" s="8">
        <f ca="1">IFERROR(__xludf.DUMMYFUNCTION("""COMPUTED_VALUE"""),1)</f>
        <v>1</v>
      </c>
      <c r="J1894" s="8">
        <f ca="1">IFERROR(__xludf.DUMMYFUNCTION("""COMPUTED_VALUE"""),0)</f>
        <v>0</v>
      </c>
      <c r="K1894" s="10" t="str">
        <f ca="1">IFERROR(__xludf.DUMMYFUNCTION("""COMPUTED_VALUE"""),"http://www.arkansasonline.com/news/2016/jan/14/student-accidentally-shot-outside-high-school-ouac/")</f>
        <v>http://www.arkansasonline.com/news/2016/jan/14/student-accidentally-shot-outside-high-school-ouac/</v>
      </c>
      <c r="L1894" s="8">
        <f ca="1">IFERROR(__xludf.DUMMYFUNCTION("""COMPUTED_VALUE"""),1)</f>
        <v>1</v>
      </c>
      <c r="M1894" s="8" t="str">
        <f ca="1">IFERROR(__xludf.DUMMYFUNCTION("""COMPUTED_VALUE"""),"Local")</f>
        <v>Local</v>
      </c>
      <c r="N1894" s="8">
        <f ca="1">IFERROR(__xludf.DUMMYFUNCTION("""COMPUTED_VALUE"""),2)</f>
        <v>2</v>
      </c>
      <c r="O1894" s="8" t="str">
        <f ca="1">IFERROR(__xludf.DUMMYFUNCTION("""COMPUTED_VALUE"""),"Winter")</f>
        <v>Winter</v>
      </c>
      <c r="P1894" s="8" t="str">
        <f ca="1">IFERROR(__xludf.DUMMYFUNCTION("""COMPUTED_VALUE"""),"Benton")</f>
        <v>Benton</v>
      </c>
      <c r="Q1894" s="8" t="str">
        <f ca="1">IFERROR(__xludf.DUMMYFUNCTION("""COMPUTED_VALUE"""),"AR")</f>
        <v>AR</v>
      </c>
      <c r="R1894" s="8" t="str">
        <f ca="1">IFERROR(__xludf.DUMMYFUNCTION("""COMPUTED_VALUE"""),"High")</f>
        <v>High</v>
      </c>
      <c r="S1894" s="8" t="str">
        <f ca="1">IFERROR(__xludf.DUMMYFUNCTION("""COMPUTED_VALUE"""),"Parking Lot")</f>
        <v>Parking Lot</v>
      </c>
      <c r="T1894" s="8" t="str">
        <f ca="1">IFERROR(__xludf.DUMMYFUNCTION("""COMPUTED_VALUE"""),"Outside on School Property")</f>
        <v>Outside on School Property</v>
      </c>
      <c r="U1894" s="8" t="str">
        <f ca="1">IFERROR(__xludf.DUMMYFUNCTION("""COMPUTED_VALUE"""),"No")</f>
        <v>No</v>
      </c>
      <c r="V1894" s="8" t="str">
        <f ca="1">IFERROR(__xludf.DUMMYFUNCTION("""COMPUTED_VALUE"""),"After School")</f>
        <v>After School</v>
      </c>
      <c r="W1894" s="11">
        <f ca="1">IFERROR(__xludf.DUMMYFUNCTION("""COMPUTED_VALUE"""),0.625)</f>
        <v>0.625</v>
      </c>
      <c r="X1894" s="8">
        <f ca="1">IFERROR(__xludf.DUMMYFUNCTION("""COMPUTED_VALUE"""),1)</f>
        <v>1</v>
      </c>
      <c r="Y1894" s="12" t="str">
        <f ca="1">IFERROR(__xludf.DUMMYFUNCTION("""COMPUTED_VALUE"""),"Accidental discharge in parking lot")</f>
        <v>Accidental discharge in parking lot</v>
      </c>
      <c r="Z1894" s="12" t="str">
        <f ca="1">IFERROR(__xludf.DUMMYFUNCTION("""COMPUTED_VALUE"""),"Three students were sitting in a car in the parking lot after school. The 17YOM shooter found the gun in the car and accidentally fired it causing a minor injury to the back seat passenger. The gun was owned by the 18YOM student who may also face charges.")</f>
        <v>Three students were sitting in a car in the parking lot after school. The 17YOM shooter found the gun in the car and accidentally fired it causing a minor injury to the back seat passenger. The gun was owned by the 18YOM student who may also face charges.</v>
      </c>
      <c r="AA1894" s="8" t="str">
        <f ca="1">IFERROR(__xludf.DUMMYFUNCTION("""COMPUTED_VALUE"""),"Accidental")</f>
        <v>Accidental</v>
      </c>
      <c r="AB1894" s="8"/>
      <c r="AC1894" s="8" t="str">
        <f ca="1">IFERROR(__xludf.DUMMYFUNCTION("""COMPUTED_VALUE"""),"Yes")</f>
        <v>Yes</v>
      </c>
      <c r="AD1894" s="8" t="str">
        <f ca="1">IFERROR(__xludf.DUMMYFUNCTION("""COMPUTED_VALUE"""),"Random Shooting")</f>
        <v>Random Shooting</v>
      </c>
      <c r="AE1894" s="8" t="str">
        <f ca="1">IFERROR(__xludf.DUMMYFUNCTION("""COMPUTED_VALUE"""),"No")</f>
        <v>No</v>
      </c>
      <c r="AF1894" s="8"/>
      <c r="AG1894" s="8" t="str">
        <f ca="1">IFERROR(__xludf.DUMMYFUNCTION("""COMPUTED_VALUE"""),"No")</f>
        <v>No</v>
      </c>
      <c r="AH1894" s="8" t="str">
        <f ca="1">IFERROR(__xludf.DUMMYFUNCTION("""COMPUTED_VALUE"""),"No")</f>
        <v>No</v>
      </c>
      <c r="AI1894" s="8" t="str">
        <f ca="1">IFERROR(__xludf.DUMMYFUNCTION("""COMPUTED_VALUE"""),"No")</f>
        <v>No</v>
      </c>
      <c r="AJ1894" s="8" t="str">
        <f ca="1">IFERROR(__xludf.DUMMYFUNCTION("""COMPUTED_VALUE"""),"No")</f>
        <v>No</v>
      </c>
      <c r="AK1894" s="8" t="str">
        <f ca="1">IFERROR(__xludf.DUMMYFUNCTION("""COMPUTED_VALUE"""),"No")</f>
        <v>No</v>
      </c>
      <c r="AL1894" s="8" t="str">
        <f ca="1">IFERROR(__xludf.DUMMYFUNCTION("""COMPUTED_VALUE"""),"No")</f>
        <v>No</v>
      </c>
      <c r="AM1894" s="8" t="str">
        <f ca="1">IFERROR(__xludf.DUMMYFUNCTION("""COMPUTED_VALUE"""),"No")</f>
        <v>No</v>
      </c>
      <c r="AN1894" s="8"/>
      <c r="AO1894" s="8" t="str">
        <f ca="1">IFERROR(__xludf.DUMMYFUNCTION("""COMPUTED_VALUE"""),"No")</f>
        <v>No</v>
      </c>
      <c r="AP1894" s="8" t="str">
        <f ca="1">IFERROR(__xludf.DUMMYFUNCTION("""COMPUTED_VALUE"""),"No")</f>
        <v>No</v>
      </c>
      <c r="AQ1894" s="8" t="str">
        <f ca="1">IFERROR(__xludf.DUMMYFUNCTION("""COMPUTED_VALUE"""),"None")</f>
        <v>None</v>
      </c>
      <c r="AR1894" s="8" t="str">
        <f ca="1">IFERROR(__xludf.DUMMYFUNCTION("""COMPUTED_VALUE"""),"NA")</f>
        <v>NA</v>
      </c>
      <c r="AS1894" s="8">
        <f ca="1">IFERROR(__xludf.DUMMYFUNCTION("""COMPUTED_VALUE"""),1)</f>
        <v>1</v>
      </c>
      <c r="AT1894" s="8" t="str">
        <f ca="1">IFERROR(__xludf.DUMMYFUNCTION("""COMPUTED_VALUE"""),"No")</f>
        <v>No</v>
      </c>
      <c r="AU1894" s="8">
        <f ca="1">IFERROR(__xludf.DUMMYFUNCTION("""COMPUTED_VALUE"""),33.6514)</f>
        <v>33.651400000000002</v>
      </c>
      <c r="AV1894" s="8">
        <f ca="1">IFERROR(__xludf.DUMMYFUNCTION("""COMPUTED_VALUE"""),-92.7796)</f>
        <v>-92.779600000000002</v>
      </c>
      <c r="AW1894" s="8"/>
      <c r="AX1894" s="8">
        <f ca="1">IFERROR(__xludf.DUMMYFUNCTION("""COMPUTED_VALUE"""),71701)</f>
        <v>71701</v>
      </c>
    </row>
    <row r="1895" spans="1:50" ht="75" x14ac:dyDescent="0.2">
      <c r="A1895" s="8" t="str">
        <f ca="1">IFERROR(__xludf.DUMMYFUNCTION("""COMPUTED_VALUE"""),"20160112DECED")</f>
        <v>20160112DECED</v>
      </c>
      <c r="B1895" s="8">
        <f ca="1">IFERROR(__xludf.DUMMYFUNCTION("""COMPUTED_VALUE"""),1)</f>
        <v>1</v>
      </c>
      <c r="C1895" s="8">
        <f ca="1">IFERROR(__xludf.DUMMYFUNCTION("""COMPUTED_VALUE"""),12)</f>
        <v>12</v>
      </c>
      <c r="D1895" s="8">
        <f ca="1">IFERROR(__xludf.DUMMYFUNCTION("""COMPUTED_VALUE"""),2016)</f>
        <v>2016</v>
      </c>
      <c r="E1895" s="9">
        <f ca="1">IFERROR(__xludf.DUMMYFUNCTION("""COMPUTED_VALUE"""),42381)</f>
        <v>42381</v>
      </c>
      <c r="F1895" s="8" t="str">
        <f ca="1">IFERROR(__xludf.DUMMYFUNCTION("""COMPUTED_VALUE"""),"Central Middle School")</f>
        <v>Central Middle School</v>
      </c>
      <c r="G1895" s="8">
        <f ca="1">IFERROR(__xludf.DUMMYFUNCTION("""COMPUTED_VALUE"""),0)</f>
        <v>0</v>
      </c>
      <c r="H1895" s="8">
        <f ca="1">IFERROR(__xludf.DUMMYFUNCTION("""COMPUTED_VALUE"""),0)</f>
        <v>0</v>
      </c>
      <c r="I1895" s="8">
        <f ca="1">IFERROR(__xludf.DUMMYFUNCTION("""COMPUTED_VALUE"""),0)</f>
        <v>0</v>
      </c>
      <c r="J1895" s="8">
        <f ca="1">IFERROR(__xludf.DUMMYFUNCTION("""COMPUTED_VALUE"""),0)</f>
        <v>0</v>
      </c>
      <c r="K1895" s="10" t="str">
        <f ca="1">IFERROR(__xludf.DUMMYFUNCTION("""COMPUTED_VALUE"""),"http://www.doverpost.com/news/20160112/update-students-arrested-after-shot-fired-at-central-middle-school")</f>
        <v>http://www.doverpost.com/news/20160112/update-students-arrested-after-shot-fired-at-central-middle-school</v>
      </c>
      <c r="L1895" s="8">
        <f ca="1">IFERROR(__xludf.DUMMYFUNCTION("""COMPUTED_VALUE"""),1)</f>
        <v>1</v>
      </c>
      <c r="M1895" s="8" t="str">
        <f ca="1">IFERROR(__xludf.DUMMYFUNCTION("""COMPUTED_VALUE"""),"Local")</f>
        <v>Local</v>
      </c>
      <c r="N1895" s="8">
        <f ca="1">IFERROR(__xludf.DUMMYFUNCTION("""COMPUTED_VALUE"""),2)</f>
        <v>2</v>
      </c>
      <c r="O1895" s="8" t="str">
        <f ca="1">IFERROR(__xludf.DUMMYFUNCTION("""COMPUTED_VALUE"""),"Winter")</f>
        <v>Winter</v>
      </c>
      <c r="P1895" s="8" t="str">
        <f ca="1">IFERROR(__xludf.DUMMYFUNCTION("""COMPUTED_VALUE"""),"Dover")</f>
        <v>Dover</v>
      </c>
      <c r="Q1895" s="8" t="str">
        <f ca="1">IFERROR(__xludf.DUMMYFUNCTION("""COMPUTED_VALUE"""),"DE")</f>
        <v>DE</v>
      </c>
      <c r="R1895" s="8" t="str">
        <f ca="1">IFERROR(__xludf.DUMMYFUNCTION("""COMPUTED_VALUE"""),"Middle")</f>
        <v>Middle</v>
      </c>
      <c r="S1895" s="8" t="str">
        <f ca="1">IFERROR(__xludf.DUMMYFUNCTION("""COMPUTED_VALUE"""),"Bathroom")</f>
        <v>Bathroom</v>
      </c>
      <c r="T1895" s="8" t="str">
        <f ca="1">IFERROR(__xludf.DUMMYFUNCTION("""COMPUTED_VALUE"""),"Inside School Building")</f>
        <v>Inside School Building</v>
      </c>
      <c r="U1895" s="8" t="str">
        <f ca="1">IFERROR(__xludf.DUMMYFUNCTION("""COMPUTED_VALUE"""),"Yes")</f>
        <v>Yes</v>
      </c>
      <c r="V1895" s="8" t="str">
        <f ca="1">IFERROR(__xludf.DUMMYFUNCTION("""COMPUTED_VALUE"""),"Lunch")</f>
        <v>Lunch</v>
      </c>
      <c r="W1895" s="11">
        <f ca="1">IFERROR(__xludf.DUMMYFUNCTION("""COMPUTED_VALUE"""),0.510416666666666)</f>
        <v>0.51041666666666596</v>
      </c>
      <c r="X1895" s="8">
        <f ca="1">IFERROR(__xludf.DUMMYFUNCTION("""COMPUTED_VALUE"""),1)</f>
        <v>1</v>
      </c>
      <c r="Y1895" s="12" t="str">
        <f ca="1">IFERROR(__xludf.DUMMYFUNCTION("""COMPUTED_VALUE"""),"Accidental discharge in bathroom")</f>
        <v>Accidental discharge in bathroom</v>
      </c>
      <c r="Z1895" s="12" t="str">
        <f ca="1">IFERROR(__xludf.DUMMYFUNCTION("""COMPUTED_VALUE"""),"Another student stole a handgun and gave it to the shooter in the bathroom of the school. A single shot was fired. Believed to be an accidental discharge. Toilet was damaged and shooter fled the scene. No injuries. Shooter was discovered after reviewing v"&amp;"ideo footage and arrested.")</f>
        <v>Another student stole a handgun and gave it to the shooter in the bathroom of the school. A single shot was fired. Believed to be an accidental discharge. Toilet was damaged and shooter fled the scene. No injuries. Shooter was discovered after reviewing video footage and arrested.</v>
      </c>
      <c r="AA1895" s="8" t="str">
        <f ca="1">IFERROR(__xludf.DUMMYFUNCTION("""COMPUTED_VALUE"""),"Accidental")</f>
        <v>Accidental</v>
      </c>
      <c r="AB1895" s="8"/>
      <c r="AC1895" s="8" t="str">
        <f ca="1">IFERROR(__xludf.DUMMYFUNCTION("""COMPUTED_VALUE"""),"Yes")</f>
        <v>Yes</v>
      </c>
      <c r="AD1895" s="8" t="str">
        <f ca="1">IFERROR(__xludf.DUMMYFUNCTION("""COMPUTED_VALUE"""),"Neither")</f>
        <v>Neither</v>
      </c>
      <c r="AE1895" s="8"/>
      <c r="AF1895" s="8"/>
      <c r="AG1895" s="8" t="str">
        <f ca="1">IFERROR(__xludf.DUMMYFUNCTION("""COMPUTED_VALUE"""),"No")</f>
        <v>No</v>
      </c>
      <c r="AH1895" s="8" t="str">
        <f ca="1">IFERROR(__xludf.DUMMYFUNCTION("""COMPUTED_VALUE"""),"No")</f>
        <v>No</v>
      </c>
      <c r="AI1895" s="8" t="str">
        <f ca="1">IFERROR(__xludf.DUMMYFUNCTION("""COMPUTED_VALUE"""),"No")</f>
        <v>No</v>
      </c>
      <c r="AJ1895" s="8" t="str">
        <f ca="1">IFERROR(__xludf.DUMMYFUNCTION("""COMPUTED_VALUE"""),"No")</f>
        <v>No</v>
      </c>
      <c r="AK1895" s="8" t="str">
        <f ca="1">IFERROR(__xludf.DUMMYFUNCTION("""COMPUTED_VALUE"""),"No")</f>
        <v>No</v>
      </c>
      <c r="AL1895" s="8" t="str">
        <f ca="1">IFERROR(__xludf.DUMMYFUNCTION("""COMPUTED_VALUE"""),"No")</f>
        <v>No</v>
      </c>
      <c r="AM1895" s="8" t="str">
        <f ca="1">IFERROR(__xludf.DUMMYFUNCTION("""COMPUTED_VALUE"""),"No")</f>
        <v>No</v>
      </c>
      <c r="AN1895" s="8"/>
      <c r="AO1895" s="8" t="str">
        <f ca="1">IFERROR(__xludf.DUMMYFUNCTION("""COMPUTED_VALUE"""),"No")</f>
        <v>No</v>
      </c>
      <c r="AP1895" s="8" t="str">
        <f ca="1">IFERROR(__xludf.DUMMYFUNCTION("""COMPUTED_VALUE"""),"Yes")</f>
        <v>Yes</v>
      </c>
      <c r="AQ1895" s="8" t="str">
        <f ca="1">IFERROR(__xludf.DUMMYFUNCTION("""COMPUTED_VALUE"""),"None")</f>
        <v>None</v>
      </c>
      <c r="AR1895" s="8" t="str">
        <f ca="1">IFERROR(__xludf.DUMMYFUNCTION("""COMPUTED_VALUE"""),"NA")</f>
        <v>NA</v>
      </c>
      <c r="AS1895" s="8">
        <f ca="1">IFERROR(__xludf.DUMMYFUNCTION("""COMPUTED_VALUE"""),1)</f>
        <v>1</v>
      </c>
      <c r="AT1895" s="8" t="str">
        <f ca="1">IFERROR(__xludf.DUMMYFUNCTION("""COMPUTED_VALUE"""),"Yes")</f>
        <v>Yes</v>
      </c>
      <c r="AU1895" s="8">
        <f ca="1">IFERROR(__xludf.DUMMYFUNCTION("""COMPUTED_VALUE"""),39.164373)</f>
        <v>39.164372999999998</v>
      </c>
      <c r="AV1895" s="8">
        <f ca="1">IFERROR(__xludf.DUMMYFUNCTION("""COMPUTED_VALUE"""),-75.52294)</f>
        <v>-75.522940000000006</v>
      </c>
      <c r="AW1895" s="8"/>
      <c r="AX1895" s="8">
        <f ca="1">IFERROR(__xludf.DUMMYFUNCTION("""COMPUTED_VALUE"""),19901)</f>
        <v>19901</v>
      </c>
    </row>
    <row r="1896" spans="1:50" ht="120" x14ac:dyDescent="0.2">
      <c r="A1896" s="8" t="str">
        <f ca="1">IFERROR(__xludf.DUMMYFUNCTION("""COMPUTED_VALUE"""),"20151204KSWEW")</f>
        <v>20151204KSWEW</v>
      </c>
      <c r="B1896" s="8">
        <f ca="1">IFERROR(__xludf.DUMMYFUNCTION("""COMPUTED_VALUE"""),12)</f>
        <v>12</v>
      </c>
      <c r="C1896" s="8">
        <f ca="1">IFERROR(__xludf.DUMMYFUNCTION("""COMPUTED_VALUE"""),4)</f>
        <v>4</v>
      </c>
      <c r="D1896" s="8">
        <f ca="1">IFERROR(__xludf.DUMMYFUNCTION("""COMPUTED_VALUE"""),2015)</f>
        <v>2015</v>
      </c>
      <c r="E1896" s="9">
        <f ca="1">IFERROR(__xludf.DUMMYFUNCTION("""COMPUTED_VALUE"""),42342)</f>
        <v>42342</v>
      </c>
      <c r="F1896" s="8" t="str">
        <f ca="1">IFERROR(__xludf.DUMMYFUNCTION("""COMPUTED_VALUE"""),"West High School")</f>
        <v>West High School</v>
      </c>
      <c r="G1896" s="8">
        <f ca="1">IFERROR(__xludf.DUMMYFUNCTION("""COMPUTED_VALUE"""),0)</f>
        <v>0</v>
      </c>
      <c r="H1896" s="8">
        <f ca="1">IFERROR(__xludf.DUMMYFUNCTION("""COMPUTED_VALUE"""),1)</f>
        <v>1</v>
      </c>
      <c r="I1896" s="8">
        <f ca="1">IFERROR(__xludf.DUMMYFUNCTION("""COMPUTED_VALUE"""),1)</f>
        <v>1</v>
      </c>
      <c r="J1896" s="8">
        <f ca="1">IFERROR(__xludf.DUMMYFUNCTION("""COMPUTED_VALUE"""),0)</f>
        <v>0</v>
      </c>
      <c r="K1896" s="8" t="str">
        <f ca="1">IFERROR(__xludf.DUMMYFUNCTION("""COMPUTED_VALUE"""),"https://www-1.kansas.com/news/local/crime/article48180155.html https://www.cbsnews.com/news/armed-teenager-running-toward-school-shot-by-wichita-police-officer/")</f>
        <v>https://www-1.kansas.com/news/local/crime/article48180155.html https://www.cbsnews.com/news/armed-teenager-running-toward-school-shot-by-wichita-police-officer/</v>
      </c>
      <c r="L1896" s="8"/>
      <c r="M1896" s="8"/>
      <c r="N1896" s="8">
        <f ca="1">IFERROR(__xludf.DUMMYFUNCTION("""COMPUTED_VALUE"""),4)</f>
        <v>4</v>
      </c>
      <c r="O1896" s="8" t="str">
        <f ca="1">IFERROR(__xludf.DUMMYFUNCTION("""COMPUTED_VALUE"""),"Winter")</f>
        <v>Winter</v>
      </c>
      <c r="P1896" s="8" t="str">
        <f ca="1">IFERROR(__xludf.DUMMYFUNCTION("""COMPUTED_VALUE"""),"Wichita")</f>
        <v>Wichita</v>
      </c>
      <c r="Q1896" s="8" t="str">
        <f ca="1">IFERROR(__xludf.DUMMYFUNCTION("""COMPUTED_VALUE"""),"KS")</f>
        <v>KS</v>
      </c>
      <c r="R1896" s="8" t="str">
        <f ca="1">IFERROR(__xludf.DUMMYFUNCTION("""COMPUTED_VALUE"""),"High")</f>
        <v>High</v>
      </c>
      <c r="S1896" s="8" t="str">
        <f ca="1">IFERROR(__xludf.DUMMYFUNCTION("""COMPUTED_VALUE"""),"Beside Building")</f>
        <v>Beside Building</v>
      </c>
      <c r="T1896" s="8" t="str">
        <f ca="1">IFERROR(__xludf.DUMMYFUNCTION("""COMPUTED_VALUE"""),"Outside on School Property")</f>
        <v>Outside on School Property</v>
      </c>
      <c r="U1896" s="8" t="str">
        <f ca="1">IFERROR(__xludf.DUMMYFUNCTION("""COMPUTED_VALUE"""),"No")</f>
        <v>No</v>
      </c>
      <c r="V1896" s="8" t="str">
        <f ca="1">IFERROR(__xludf.DUMMYFUNCTION("""COMPUTED_VALUE"""),"Sport Event")</f>
        <v>Sport Event</v>
      </c>
      <c r="W1896" s="11">
        <f ca="1">IFERROR(__xludf.DUMMYFUNCTION("""COMPUTED_VALUE"""),0.770833333333333)</f>
        <v>0.77083333333333304</v>
      </c>
      <c r="X1896" s="8">
        <f ca="1">IFERROR(__xludf.DUMMYFUNCTION("""COMPUTED_VALUE"""),1)</f>
        <v>1</v>
      </c>
      <c r="Y1896" s="12" t="str">
        <f ca="1">IFERROR(__xludf.DUMMYFUNCTION("""COMPUTED_VALUE"""),"17YOM student with gun attempted to flee into school was shot by police")</f>
        <v>17YOM student with gun attempted to flee into school was shot by police</v>
      </c>
      <c r="Z1896" s="12" t="str">
        <f ca="1">IFERROR(__xludf.DUMMYFUNCTION("""COMPUTED_VALUE"""),"As part of an investigation of a double murder earlier in the week, police attempted a traffic stop near the tennis courts of the school. A 17YOM student fled the vehicle and was chased by officers toward the school building. 10 feet from the door to the "&amp;"school, the 17YOM pointed a handgun at officers and was shot. A basketball game was taking place in the school during the shooting with 300 attendees. School was locked down for 30 minutes.")</f>
        <v>As part of an investigation of a double murder earlier in the week, police attempted a traffic stop near the tennis courts of the school. A 17YOM student fled the vehicle and was chased by officers toward the school building. 10 feet from the door to the school, the 17YOM pointed a handgun at officers and was shot. A basketball game was taking place in the school during the shooting with 300 attendees. School was locked down for 30 minutes.</v>
      </c>
      <c r="AA1896" s="8" t="str">
        <f ca="1">IFERROR(__xludf.DUMMYFUNCTION("""COMPUTED_VALUE"""),"Illegal Activity")</f>
        <v>Illegal Activity</v>
      </c>
      <c r="AB1896" s="8"/>
      <c r="AC1896" s="8" t="str">
        <f ca="1">IFERROR(__xludf.DUMMYFUNCTION("""COMPUTED_VALUE"""),"Yes")</f>
        <v>Yes</v>
      </c>
      <c r="AD1896" s="8"/>
      <c r="AE1896" s="8" t="str">
        <f ca="1">IFERROR(__xludf.DUMMYFUNCTION("""COMPUTED_VALUE"""),"No")</f>
        <v>No</v>
      </c>
      <c r="AF1896" s="8"/>
      <c r="AG1896" s="8" t="str">
        <f ca="1">IFERROR(__xludf.DUMMYFUNCTION("""COMPUTED_VALUE"""),"No")</f>
        <v>No</v>
      </c>
      <c r="AH1896" s="8" t="str">
        <f ca="1">IFERROR(__xludf.DUMMYFUNCTION("""COMPUTED_VALUE"""),"No")</f>
        <v>No</v>
      </c>
      <c r="AI1896" s="8" t="str">
        <f ca="1">IFERROR(__xludf.DUMMYFUNCTION("""COMPUTED_VALUE"""),"Yes")</f>
        <v>Yes</v>
      </c>
      <c r="AJ1896" s="8" t="str">
        <f ca="1">IFERROR(__xludf.DUMMYFUNCTION("""COMPUTED_VALUE"""),"No")</f>
        <v>No</v>
      </c>
      <c r="AK1896" s="8" t="str">
        <f ca="1">IFERROR(__xludf.DUMMYFUNCTION("""COMPUTED_VALUE"""),"No")</f>
        <v>No</v>
      </c>
      <c r="AL1896" s="8"/>
      <c r="AM1896" s="8" t="str">
        <f ca="1">IFERROR(__xludf.DUMMYFUNCTION("""COMPUTED_VALUE"""),"No")</f>
        <v>No</v>
      </c>
      <c r="AN1896" s="8"/>
      <c r="AO1896" s="8" t="str">
        <f ca="1">IFERROR(__xludf.DUMMYFUNCTION("""COMPUTED_VALUE"""),"No")</f>
        <v>No</v>
      </c>
      <c r="AP1896" s="8"/>
      <c r="AQ1896" s="8" t="str">
        <f ca="1">IFERROR(__xludf.DUMMYFUNCTION("""COMPUTED_VALUE"""),"Unknown")</f>
        <v>Unknown</v>
      </c>
      <c r="AR1896" s="8" t="str">
        <f ca="1">IFERROR(__xludf.DUMMYFUNCTION("""COMPUTED_VALUE"""),"NA")</f>
        <v>NA</v>
      </c>
      <c r="AS1896" s="8"/>
      <c r="AT1896" s="8" t="str">
        <f ca="1">IFERROR(__xludf.DUMMYFUNCTION("""COMPUTED_VALUE"""),"Yes")</f>
        <v>Yes</v>
      </c>
      <c r="AU1896" s="8">
        <f ca="1">IFERROR(__xludf.DUMMYFUNCTION("""COMPUTED_VALUE"""),37.673876)</f>
        <v>37.673876</v>
      </c>
      <c r="AV1896" s="8">
        <f ca="1">IFERROR(__xludf.DUMMYFUNCTION("""COMPUTED_VALUE"""),-97.348097)</f>
        <v>-97.348096999999996</v>
      </c>
      <c r="AW1896" s="8"/>
      <c r="AX1896" s="8">
        <f ca="1">IFERROR(__xludf.DUMMYFUNCTION("""COMPUTED_VALUE"""),67201)</f>
        <v>67201</v>
      </c>
    </row>
    <row r="1897" spans="1:50" ht="45" x14ac:dyDescent="0.2">
      <c r="A1897" s="8" t="str">
        <f ca="1">IFERROR(__xludf.DUMMYFUNCTION("""COMPUTED_VALUE"""),"20151120FLNAM")</f>
        <v>20151120FLNAM</v>
      </c>
      <c r="B1897" s="8">
        <f ca="1">IFERROR(__xludf.DUMMYFUNCTION("""COMPUTED_VALUE"""),11)</f>
        <v>11</v>
      </c>
      <c r="C1897" s="8">
        <f ca="1">IFERROR(__xludf.DUMMYFUNCTION("""COMPUTED_VALUE"""),20)</f>
        <v>20</v>
      </c>
      <c r="D1897" s="8">
        <f ca="1">IFERROR(__xludf.DUMMYFUNCTION("""COMPUTED_VALUE"""),2015)</f>
        <v>2015</v>
      </c>
      <c r="E1897" s="9">
        <f ca="1">IFERROR(__xludf.DUMMYFUNCTION("""COMPUTED_VALUE"""),42328)</f>
        <v>42328</v>
      </c>
      <c r="F1897" s="8" t="str">
        <f ca="1">IFERROR(__xludf.DUMMYFUNCTION("""COMPUTED_VALUE"""),"Nathaniel “Traz” Powell Stadium (high school game)")</f>
        <v>Nathaniel “Traz” Powell Stadium (high school game)</v>
      </c>
      <c r="G1897" s="8">
        <f ca="1">IFERROR(__xludf.DUMMYFUNCTION("""COMPUTED_VALUE"""),0)</f>
        <v>0</v>
      </c>
      <c r="H1897" s="8">
        <f ca="1">IFERROR(__xludf.DUMMYFUNCTION("""COMPUTED_VALUE"""),0)</f>
        <v>0</v>
      </c>
      <c r="I1897" s="8">
        <f ca="1">IFERROR(__xludf.DUMMYFUNCTION("""COMPUTED_VALUE"""),0)</f>
        <v>0</v>
      </c>
      <c r="J1897" s="8">
        <f ca="1">IFERROR(__xludf.DUMMYFUNCTION("""COMPUTED_VALUE"""),0)</f>
        <v>0</v>
      </c>
      <c r="K1897" s="10" t="str">
        <f ca="1">IFERROR(__xludf.DUMMYFUNCTION("""COMPUTED_VALUE"""),"https://www.miamiherald.com/news/local/community/miami-dade/article45747750.html")</f>
        <v>https://www.miamiherald.com/news/local/community/miami-dade/article45747750.html</v>
      </c>
      <c r="L1897" s="8"/>
      <c r="M1897" s="8"/>
      <c r="N1897" s="8">
        <f ca="1">IFERROR(__xludf.DUMMYFUNCTION("""COMPUTED_VALUE"""),3)</f>
        <v>3</v>
      </c>
      <c r="O1897" s="8" t="str">
        <f ca="1">IFERROR(__xludf.DUMMYFUNCTION("""COMPUTED_VALUE"""),"Fall")</f>
        <v>Fall</v>
      </c>
      <c r="P1897" s="8" t="str">
        <f ca="1">IFERROR(__xludf.DUMMYFUNCTION("""COMPUTED_VALUE"""),"Miami")</f>
        <v>Miami</v>
      </c>
      <c r="Q1897" s="8" t="str">
        <f ca="1">IFERROR(__xludf.DUMMYFUNCTION("""COMPUTED_VALUE"""),"FL")</f>
        <v>FL</v>
      </c>
      <c r="R1897" s="8" t="str">
        <f ca="1">IFERROR(__xludf.DUMMYFUNCTION("""COMPUTED_VALUE"""),"High")</f>
        <v>High</v>
      </c>
      <c r="S1897" s="8" t="str">
        <f ca="1">IFERROR(__xludf.DUMMYFUNCTION("""COMPUTED_VALUE"""),"Football Field/Track")</f>
        <v>Football Field/Track</v>
      </c>
      <c r="T1897" s="8" t="str">
        <f ca="1">IFERROR(__xludf.DUMMYFUNCTION("""COMPUTED_VALUE"""),"Outside on School Property")</f>
        <v>Outside on School Property</v>
      </c>
      <c r="U1897" s="8" t="str">
        <f ca="1">IFERROR(__xludf.DUMMYFUNCTION("""COMPUTED_VALUE"""),"No")</f>
        <v>No</v>
      </c>
      <c r="V1897" s="8" t="str">
        <f ca="1">IFERROR(__xludf.DUMMYFUNCTION("""COMPUTED_VALUE"""),"Sport Event")</f>
        <v>Sport Event</v>
      </c>
      <c r="W1897" s="11">
        <f ca="1">IFERROR(__xludf.DUMMYFUNCTION("""COMPUTED_VALUE"""),0.885416666666666)</f>
        <v>0.88541666666666596</v>
      </c>
      <c r="X1897" s="8">
        <f ca="1">IFERROR(__xludf.DUMMYFUNCTION("""COMPUTED_VALUE"""),1)</f>
        <v>1</v>
      </c>
      <c r="Y1897" s="12" t="str">
        <f ca="1">IFERROR(__xludf.DUMMYFUNCTION("""COMPUTED_VALUE"""),"Shots fired in stands at end of football game")</f>
        <v>Shots fired in stands at end of football game</v>
      </c>
      <c r="Z1897" s="12" t="str">
        <f ca="1">IFERROR(__xludf.DUMMYFUNCTION("""COMPUTED_VALUE"""),"Shots fired during high school football playoff game in the stands with 5 minutes remaining. Stadium was evacuated. 3 teens arrested. No injuries")</f>
        <v>Shots fired during high school football playoff game in the stands with 5 minutes remaining. Stadium was evacuated. 3 teens arrested. No injuries</v>
      </c>
      <c r="AA1897" s="8" t="str">
        <f ca="1">IFERROR(__xludf.DUMMYFUNCTION("""COMPUTED_VALUE"""),"Escalation of Dispute")</f>
        <v>Escalation of Dispute</v>
      </c>
      <c r="AB1897" s="8"/>
      <c r="AC1897" s="8" t="str">
        <f ca="1">IFERROR(__xludf.DUMMYFUNCTION("""COMPUTED_VALUE"""),"Yes")</f>
        <v>Yes</v>
      </c>
      <c r="AD1897" s="8"/>
      <c r="AE1897" s="8" t="str">
        <f ca="1">IFERROR(__xludf.DUMMYFUNCTION("""COMPUTED_VALUE"""),"Yes")</f>
        <v>Yes</v>
      </c>
      <c r="AF1897" s="8" t="str">
        <f ca="1">IFERROR(__xludf.DUMMYFUNCTION("""COMPUTED_VALUE"""),"3 teens arrested")</f>
        <v>3 teens arrested</v>
      </c>
      <c r="AG1897" s="8" t="str">
        <f ca="1">IFERROR(__xludf.DUMMYFUNCTION("""COMPUTED_VALUE"""),"No")</f>
        <v>No</v>
      </c>
      <c r="AH1897" s="8" t="str">
        <f ca="1">IFERROR(__xludf.DUMMYFUNCTION("""COMPUTED_VALUE"""),"No")</f>
        <v>No</v>
      </c>
      <c r="AI1897" s="8" t="str">
        <f ca="1">IFERROR(__xludf.DUMMYFUNCTION("""COMPUTED_VALUE"""),"No")</f>
        <v>No</v>
      </c>
      <c r="AJ1897" s="8" t="str">
        <f ca="1">IFERROR(__xludf.DUMMYFUNCTION("""COMPUTED_VALUE"""),"No")</f>
        <v>No</v>
      </c>
      <c r="AK1897" s="8" t="str">
        <f ca="1">IFERROR(__xludf.DUMMYFUNCTION("""COMPUTED_VALUE"""),"No")</f>
        <v>No</v>
      </c>
      <c r="AL1897" s="8"/>
      <c r="AM1897" s="8" t="str">
        <f ca="1">IFERROR(__xludf.DUMMYFUNCTION("""COMPUTED_VALUE"""),"No")</f>
        <v>No</v>
      </c>
      <c r="AN1897" s="8"/>
      <c r="AO1897" s="8" t="str">
        <f ca="1">IFERROR(__xludf.DUMMYFUNCTION("""COMPUTED_VALUE"""),"No")</f>
        <v>No</v>
      </c>
      <c r="AP1897" s="8"/>
      <c r="AQ1897" s="8" t="str">
        <f ca="1">IFERROR(__xludf.DUMMYFUNCTION("""COMPUTED_VALUE"""),"Unknown")</f>
        <v>Unknown</v>
      </c>
      <c r="AR1897" s="8" t="str">
        <f ca="1">IFERROR(__xludf.DUMMYFUNCTION("""COMPUTED_VALUE"""),"NA")</f>
        <v>NA</v>
      </c>
      <c r="AS1897" s="8"/>
      <c r="AT1897" s="8" t="str">
        <f ca="1">IFERROR(__xludf.DUMMYFUNCTION("""COMPUTED_VALUE"""),"Yes")</f>
        <v>Yes</v>
      </c>
      <c r="AU1897" s="8">
        <f ca="1">IFERROR(__xludf.DUMMYFUNCTION("""COMPUTED_VALUE"""),25.872422)</f>
        <v>25.872422</v>
      </c>
      <c r="AV1897" s="8">
        <f ca="1">IFERROR(__xludf.DUMMYFUNCTION("""COMPUTED_VALUE"""),-80.248136)</f>
        <v>-80.248136000000002</v>
      </c>
      <c r="AW1897" s="8"/>
      <c r="AX1897" s="8">
        <f ca="1">IFERROR(__xludf.DUMMYFUNCTION("""COMPUTED_VALUE"""),33013)</f>
        <v>33013</v>
      </c>
    </row>
    <row r="1898" spans="1:50" ht="60" x14ac:dyDescent="0.2">
      <c r="A1898" s="8" t="str">
        <f ca="1">IFERROR(__xludf.DUMMYFUNCTION("""COMPUTED_VALUE"""),"20151111ARSUS")</f>
        <v>20151111ARSUS</v>
      </c>
      <c r="B1898" s="8">
        <f ca="1">IFERROR(__xludf.DUMMYFUNCTION("""COMPUTED_VALUE"""),11)</f>
        <v>11</v>
      </c>
      <c r="C1898" s="8">
        <f ca="1">IFERROR(__xludf.DUMMYFUNCTION("""COMPUTED_VALUE"""),11)</f>
        <v>11</v>
      </c>
      <c r="D1898" s="8">
        <f ca="1">IFERROR(__xludf.DUMMYFUNCTION("""COMPUTED_VALUE"""),2015)</f>
        <v>2015</v>
      </c>
      <c r="E1898" s="9">
        <f ca="1">IFERROR(__xludf.DUMMYFUNCTION("""COMPUTED_VALUE"""),42319)</f>
        <v>42319</v>
      </c>
      <c r="F1898" s="8" t="str">
        <f ca="1">IFERROR(__xludf.DUMMYFUNCTION("""COMPUTED_VALUE"""),"Sulphur Rock Magnet School")</f>
        <v>Sulphur Rock Magnet School</v>
      </c>
      <c r="G1898" s="8">
        <f ca="1">IFERROR(__xludf.DUMMYFUNCTION("""COMPUTED_VALUE"""),0)</f>
        <v>0</v>
      </c>
      <c r="H1898" s="8">
        <f ca="1">IFERROR(__xludf.DUMMYFUNCTION("""COMPUTED_VALUE"""),1)</f>
        <v>1</v>
      </c>
      <c r="I1898" s="8">
        <f ca="1">IFERROR(__xludf.DUMMYFUNCTION("""COMPUTED_VALUE"""),1)</f>
        <v>1</v>
      </c>
      <c r="J1898" s="8">
        <f ca="1">IFERROR(__xludf.DUMMYFUNCTION("""COMPUTED_VALUE"""),0)</f>
        <v>0</v>
      </c>
      <c r="K1898" s="10" t="str">
        <f ca="1">IFERROR(__xludf.DUMMYFUNCTION("""COMPUTED_VALUE"""),"https://www.kait8.com/story/30492261/gun-goes-off-in-school-parking-lot-hitting-junior-high-student/")</f>
        <v>https://www.kait8.com/story/30492261/gun-goes-off-in-school-parking-lot-hitting-junior-high-student/</v>
      </c>
      <c r="L1898" s="8"/>
      <c r="M1898" s="8"/>
      <c r="N1898" s="8">
        <f ca="1">IFERROR(__xludf.DUMMYFUNCTION("""COMPUTED_VALUE"""),4)</f>
        <v>4</v>
      </c>
      <c r="O1898" s="8" t="str">
        <f ca="1">IFERROR(__xludf.DUMMYFUNCTION("""COMPUTED_VALUE"""),"Fall")</f>
        <v>Fall</v>
      </c>
      <c r="P1898" s="8" t="str">
        <f ca="1">IFERROR(__xludf.DUMMYFUNCTION("""COMPUTED_VALUE"""),"Sulphur Rock")</f>
        <v>Sulphur Rock</v>
      </c>
      <c r="Q1898" s="8" t="str">
        <f ca="1">IFERROR(__xludf.DUMMYFUNCTION("""COMPUTED_VALUE"""),"AR")</f>
        <v>AR</v>
      </c>
      <c r="R1898" s="8" t="str">
        <f ca="1">IFERROR(__xludf.DUMMYFUNCTION("""COMPUTED_VALUE"""),"Unknown")</f>
        <v>Unknown</v>
      </c>
      <c r="S1898" s="8" t="str">
        <f ca="1">IFERROR(__xludf.DUMMYFUNCTION("""COMPUTED_VALUE"""),"Parking Lot")</f>
        <v>Parking Lot</v>
      </c>
      <c r="T1898" s="8" t="str">
        <f ca="1">IFERROR(__xludf.DUMMYFUNCTION("""COMPUTED_VALUE"""),"Outside on School Property")</f>
        <v>Outside on School Property</v>
      </c>
      <c r="U1898" s="8" t="str">
        <f ca="1">IFERROR(__xludf.DUMMYFUNCTION("""COMPUTED_VALUE"""),"Yes")</f>
        <v>Yes</v>
      </c>
      <c r="V1898" s="8" t="str">
        <f ca="1">IFERROR(__xludf.DUMMYFUNCTION("""COMPUTED_VALUE"""),"Dismissal")</f>
        <v>Dismissal</v>
      </c>
      <c r="W1898" s="11">
        <f ca="1">IFERROR(__xludf.DUMMYFUNCTION("""COMPUTED_VALUE"""),0.645833333333333)</f>
        <v>0.64583333333333304</v>
      </c>
      <c r="X1898" s="8">
        <f ca="1">IFERROR(__xludf.DUMMYFUNCTION("""COMPUTED_VALUE"""),1)</f>
        <v>1</v>
      </c>
      <c r="Y1898" s="12" t="str">
        <f ca="1">IFERROR(__xludf.DUMMYFUNCTION("""COMPUTED_VALUE"""),"Accidental discharge showing gun to other student in the parking lot")</f>
        <v>Accidental discharge showing gun to other student in the parking lot</v>
      </c>
      <c r="Z1898" s="12" t="str">
        <f ca="1">IFERROR(__xludf.DUMMYFUNCTION("""COMPUTED_VALUE"""),"Student was showing off gun in the school parking lot while waiting for the bus. Gun discharged and struck another student in the leg. Police determined the shooting was an accident.")</f>
        <v>Student was showing off gun in the school parking lot while waiting for the bus. Gun discharged and struck another student in the leg. Police determined the shooting was an accident.</v>
      </c>
      <c r="AA1898" s="8" t="str">
        <f ca="1">IFERROR(__xludf.DUMMYFUNCTION("""COMPUTED_VALUE"""),"Accidental")</f>
        <v>Accidental</v>
      </c>
      <c r="AB1898" s="8"/>
      <c r="AC1898" s="8" t="str">
        <f ca="1">IFERROR(__xludf.DUMMYFUNCTION("""COMPUTED_VALUE"""),"Yes")</f>
        <v>Yes</v>
      </c>
      <c r="AD1898" s="8" t="str">
        <f ca="1">IFERROR(__xludf.DUMMYFUNCTION("""COMPUTED_VALUE"""),"Random Shooting")</f>
        <v>Random Shooting</v>
      </c>
      <c r="AE1898" s="8" t="str">
        <f ca="1">IFERROR(__xludf.DUMMYFUNCTION("""COMPUTED_VALUE"""),"Yes")</f>
        <v>Yes</v>
      </c>
      <c r="AF1898" s="8" t="str">
        <f ca="1">IFERROR(__xludf.DUMMYFUNCTION("""COMPUTED_VALUE"""),"Showing gun to other student")</f>
        <v>Showing gun to other student</v>
      </c>
      <c r="AG1898" s="8" t="str">
        <f ca="1">IFERROR(__xludf.DUMMYFUNCTION("""COMPUTED_VALUE"""),"No")</f>
        <v>No</v>
      </c>
      <c r="AH1898" s="8" t="str">
        <f ca="1">IFERROR(__xludf.DUMMYFUNCTION("""COMPUTED_VALUE"""),"No")</f>
        <v>No</v>
      </c>
      <c r="AI1898" s="8" t="str">
        <f ca="1">IFERROR(__xludf.DUMMYFUNCTION("""COMPUTED_VALUE"""),"No")</f>
        <v>No</v>
      </c>
      <c r="AJ1898" s="8" t="str">
        <f ca="1">IFERROR(__xludf.DUMMYFUNCTION("""COMPUTED_VALUE"""),"No")</f>
        <v>No</v>
      </c>
      <c r="AK1898" s="8" t="str">
        <f ca="1">IFERROR(__xludf.DUMMYFUNCTION("""COMPUTED_VALUE"""),"No")</f>
        <v>No</v>
      </c>
      <c r="AL1898" s="8" t="str">
        <f ca="1">IFERROR(__xludf.DUMMYFUNCTION("""COMPUTED_VALUE"""),"No")</f>
        <v>No</v>
      </c>
      <c r="AM1898" s="8" t="str">
        <f ca="1">IFERROR(__xludf.DUMMYFUNCTION("""COMPUTED_VALUE"""),"No")</f>
        <v>No</v>
      </c>
      <c r="AN1898" s="8"/>
      <c r="AO1898" s="8" t="str">
        <f ca="1">IFERROR(__xludf.DUMMYFUNCTION("""COMPUTED_VALUE"""),"No")</f>
        <v>No</v>
      </c>
      <c r="AP1898" s="8"/>
      <c r="AQ1898" s="8" t="str">
        <f ca="1">IFERROR(__xludf.DUMMYFUNCTION("""COMPUTED_VALUE"""),"Unknown")</f>
        <v>Unknown</v>
      </c>
      <c r="AR1898" s="8" t="str">
        <f ca="1">IFERROR(__xludf.DUMMYFUNCTION("""COMPUTED_VALUE"""),"NA")</f>
        <v>NA</v>
      </c>
      <c r="AS1898" s="8">
        <f ca="1">IFERROR(__xludf.DUMMYFUNCTION("""COMPUTED_VALUE"""),1)</f>
        <v>1</v>
      </c>
      <c r="AT1898" s="8" t="str">
        <f ca="1">IFERROR(__xludf.DUMMYFUNCTION("""COMPUTED_VALUE"""),"No")</f>
        <v>No</v>
      </c>
      <c r="AU1898" s="8">
        <f ca="1">IFERROR(__xludf.DUMMYFUNCTION("""COMPUTED_VALUE"""),35.755548)</f>
        <v>35.755547999999997</v>
      </c>
      <c r="AV1898" s="8">
        <f ca="1">IFERROR(__xludf.DUMMYFUNCTION("""COMPUTED_VALUE"""),-91.500728)</f>
        <v>-91.500727999999995</v>
      </c>
      <c r="AW1898" s="8"/>
      <c r="AX1898" s="8">
        <f ca="1">IFERROR(__xludf.DUMMYFUNCTION("""COMPUTED_VALUE"""),72579)</f>
        <v>72579</v>
      </c>
    </row>
    <row r="1899" spans="1:50" ht="120" x14ac:dyDescent="0.2">
      <c r="A1899" s="8" t="str">
        <f ca="1">IFERROR(__xludf.DUMMYFUNCTION("""COMPUTED_VALUE"""),"20151110FLLEL")</f>
        <v>20151110FLLEL</v>
      </c>
      <c r="B1899" s="8">
        <f ca="1">IFERROR(__xludf.DUMMYFUNCTION("""COMPUTED_VALUE"""),11)</f>
        <v>11</v>
      </c>
      <c r="C1899" s="8">
        <f ca="1">IFERROR(__xludf.DUMMYFUNCTION("""COMPUTED_VALUE"""),10)</f>
        <v>10</v>
      </c>
      <c r="D1899" s="8">
        <f ca="1">IFERROR(__xludf.DUMMYFUNCTION("""COMPUTED_VALUE"""),2015)</f>
        <v>2015</v>
      </c>
      <c r="E1899" s="9">
        <f ca="1">IFERROR(__xludf.DUMMYFUNCTION("""COMPUTED_VALUE"""),42318)</f>
        <v>42318</v>
      </c>
      <c r="F1899" s="8" t="str">
        <f ca="1">IFERROR(__xludf.DUMMYFUNCTION("""COMPUTED_VALUE"""),"Lecanto High School")</f>
        <v>Lecanto High School</v>
      </c>
      <c r="G1899" s="8">
        <f ca="1">IFERROR(__xludf.DUMMYFUNCTION("""COMPUTED_VALUE"""),0)</f>
        <v>0</v>
      </c>
      <c r="H1899" s="8">
        <f ca="1">IFERROR(__xludf.DUMMYFUNCTION("""COMPUTED_VALUE"""),0)</f>
        <v>0</v>
      </c>
      <c r="I1899" s="8">
        <f ca="1">IFERROR(__xludf.DUMMYFUNCTION("""COMPUTED_VALUE"""),0)</f>
        <v>0</v>
      </c>
      <c r="J1899" s="8">
        <f ca="1">IFERROR(__xludf.DUMMYFUNCTION("""COMPUTED_VALUE"""),0)</f>
        <v>0</v>
      </c>
      <c r="K1899" s="10" t="str">
        <f ca="1">IFERROR(__xludf.DUMMYFUNCTION("""COMPUTED_VALUE"""),"https://www.tampabay.com/news/publicsafety/lecanto-high-student-airlifted-after-self-inflicted-gunshot/2253353/")</f>
        <v>https://www.tampabay.com/news/publicsafety/lecanto-high-student-airlifted-after-self-inflicted-gunshot/2253353/</v>
      </c>
      <c r="L1899" s="8">
        <f ca="1">IFERROR(__xludf.DUMMYFUNCTION("""COMPUTED_VALUE"""),10)</f>
        <v>10</v>
      </c>
      <c r="M1899" s="8" t="str">
        <f ca="1">IFERROR(__xludf.DUMMYFUNCTION("""COMPUTED_VALUE"""),"Local")</f>
        <v>Local</v>
      </c>
      <c r="N1899" s="8">
        <f ca="1">IFERROR(__xludf.DUMMYFUNCTION("""COMPUTED_VALUE"""),4)</f>
        <v>4</v>
      </c>
      <c r="O1899" s="8" t="str">
        <f ca="1">IFERROR(__xludf.DUMMYFUNCTION("""COMPUTED_VALUE"""),"Fall")</f>
        <v>Fall</v>
      </c>
      <c r="P1899" s="8" t="str">
        <f ca="1">IFERROR(__xludf.DUMMYFUNCTION("""COMPUTED_VALUE"""),"Lecanto")</f>
        <v>Lecanto</v>
      </c>
      <c r="Q1899" s="8" t="str">
        <f ca="1">IFERROR(__xludf.DUMMYFUNCTION("""COMPUTED_VALUE"""),"FL")</f>
        <v>FL</v>
      </c>
      <c r="R1899" s="8" t="str">
        <f ca="1">IFERROR(__xludf.DUMMYFUNCTION("""COMPUTED_VALUE"""),"High")</f>
        <v>High</v>
      </c>
      <c r="S1899" s="8" t="str">
        <f ca="1">IFERROR(__xludf.DUMMYFUNCTION("""COMPUTED_VALUE"""),"Classroom")</f>
        <v>Classroom</v>
      </c>
      <c r="T1899" s="8" t="str">
        <f ca="1">IFERROR(__xludf.DUMMYFUNCTION("""COMPUTED_VALUE"""),"Inside School Building")</f>
        <v>Inside School Building</v>
      </c>
      <c r="U1899" s="8" t="str">
        <f ca="1">IFERROR(__xludf.DUMMYFUNCTION("""COMPUTED_VALUE"""),"Yes")</f>
        <v>Yes</v>
      </c>
      <c r="V1899" s="8" t="str">
        <f ca="1">IFERROR(__xludf.DUMMYFUNCTION("""COMPUTED_VALUE"""),"Morning Classes")</f>
        <v>Morning Classes</v>
      </c>
      <c r="W1899" s="11">
        <f ca="1">IFERROR(__xludf.DUMMYFUNCTION("""COMPUTED_VALUE"""),0.4375)</f>
        <v>0.4375</v>
      </c>
      <c r="X1899" s="8">
        <f ca="1">IFERROR(__xludf.DUMMYFUNCTION("""COMPUTED_VALUE"""),1)</f>
        <v>1</v>
      </c>
      <c r="Y1899" s="12" t="str">
        <f ca="1">IFERROR(__xludf.DUMMYFUNCTION("""COMPUTED_VALUE"""),"Student shot himself in the head in front of his English class")</f>
        <v>Student shot himself in the head in front of his English class</v>
      </c>
      <c r="Z1899" s="12" t="str">
        <f ca="1">IFERROR(__xludf.DUMMYFUNCTION("""COMPUTED_VALUE"""),"There were more questions than answers on Tuesday after a 15-year-old freshman shot himself in the head with a 9mm semiautomatic pistol in front of his English class at Lecanto High School that morning. The student, who was not identified, survived. No on"&amp;"e else was injured. There are four student resource officers assigned to the complex. Students do not have to pass through metal detectors upon entering the schools.")</f>
        <v>There were more questions than answers on Tuesday after a 15-year-old freshman shot himself in the head with a 9mm semiautomatic pistol in front of his English class at Lecanto High School that morning. The student, who was not identified, survived. No one else was injured. There are four student resource officers assigned to the complex. Students do not have to pass through metal detectors upon entering the schools.</v>
      </c>
      <c r="AA1899" s="8" t="str">
        <f ca="1">IFERROR(__xludf.DUMMYFUNCTION("""COMPUTED_VALUE"""),"Suicide/Attempted")</f>
        <v>Suicide/Attempted</v>
      </c>
      <c r="AB1899" s="8" t="str">
        <f ca="1">IFERROR(__xludf.DUMMYFUNCTION("""COMPUTED_VALUE"""),"Targeted")</f>
        <v>Targeted</v>
      </c>
      <c r="AC1899" s="8" t="str">
        <f ca="1">IFERROR(__xludf.DUMMYFUNCTION("""COMPUTED_VALUE"""),"Yes")</f>
        <v>Yes</v>
      </c>
      <c r="AD1899" s="8" t="str">
        <f ca="1">IFERROR(__xludf.DUMMYFUNCTION("""COMPUTED_VALUE"""),"Victims Targeted")</f>
        <v>Victims Targeted</v>
      </c>
      <c r="AE1899" s="8" t="str">
        <f ca="1">IFERROR(__xludf.DUMMYFUNCTION("""COMPUTED_VALUE"""),"No")</f>
        <v>No</v>
      </c>
      <c r="AF1899" s="8"/>
      <c r="AG1899" s="8" t="str">
        <f ca="1">IFERROR(__xludf.DUMMYFUNCTION("""COMPUTED_VALUE"""),"No")</f>
        <v>No</v>
      </c>
      <c r="AH1899" s="8" t="str">
        <f ca="1">IFERROR(__xludf.DUMMYFUNCTION("""COMPUTED_VALUE"""),"No")</f>
        <v>No</v>
      </c>
      <c r="AI1899" s="8" t="str">
        <f ca="1">IFERROR(__xludf.DUMMYFUNCTION("""COMPUTED_VALUE"""),"No")</f>
        <v>No</v>
      </c>
      <c r="AJ1899" s="8"/>
      <c r="AK1899" s="8" t="str">
        <f ca="1">IFERROR(__xludf.DUMMYFUNCTION("""COMPUTED_VALUE"""),"n")</f>
        <v>n</v>
      </c>
      <c r="AL1899" s="8" t="str">
        <f ca="1">IFERROR(__xludf.DUMMYFUNCTION("""COMPUTED_VALUE"""),"No")</f>
        <v>No</v>
      </c>
      <c r="AM1899" s="8" t="str">
        <f ca="1">IFERROR(__xludf.DUMMYFUNCTION("""COMPUTED_VALUE"""),"No")</f>
        <v>No</v>
      </c>
      <c r="AN1899" s="8" t="str">
        <f ca="1">IFERROR(__xludf.DUMMYFUNCTION("""COMPUTED_VALUE"""),"Single Room")</f>
        <v>Single Room</v>
      </c>
      <c r="AO1899" s="8" t="str">
        <f ca="1">IFERROR(__xludf.DUMMYFUNCTION("""COMPUTED_VALUE"""),"No")</f>
        <v>No</v>
      </c>
      <c r="AP1899" s="8" t="str">
        <f ca="1">IFERROR(__xludf.DUMMYFUNCTION("""COMPUTED_VALUE"""),"Yes")</f>
        <v>Yes</v>
      </c>
      <c r="AQ1899" s="8"/>
      <c r="AR1899" s="8" t="str">
        <f ca="1">IFERROR(__xludf.DUMMYFUNCTION("""COMPUTED_VALUE"""),"Failed")</f>
        <v>Failed</v>
      </c>
      <c r="AS1899" s="8">
        <f ca="1">IFERROR(__xludf.DUMMYFUNCTION("""COMPUTED_VALUE"""),1)</f>
        <v>1</v>
      </c>
      <c r="AT1899" s="8" t="str">
        <f ca="1">IFERROR(__xludf.DUMMYFUNCTION("""COMPUTED_VALUE"""),"Yes")</f>
        <v>Yes</v>
      </c>
      <c r="AU1899" s="8">
        <f ca="1">IFERROR(__xludf.DUMMYFUNCTION("""COMPUTED_VALUE"""),28.82449)</f>
        <v>28.824490000000001</v>
      </c>
      <c r="AV1899" s="8">
        <f ca="1">IFERROR(__xludf.DUMMYFUNCTION("""COMPUTED_VALUE"""),-82.4992)</f>
        <v>-82.499200000000002</v>
      </c>
      <c r="AW1899" s="8"/>
      <c r="AX1899" s="8">
        <f ca="1">IFERROR(__xludf.DUMMYFUNCTION("""COMPUTED_VALUE"""),34461)</f>
        <v>34461</v>
      </c>
    </row>
    <row r="1900" spans="1:50" ht="105" x14ac:dyDescent="0.2">
      <c r="A1900" s="8" t="str">
        <f ca="1">IFERROR(__xludf.DUMMYFUNCTION("""COMPUTED_VALUE"""),"20151105GAVEM")</f>
        <v>20151105GAVEM</v>
      </c>
      <c r="B1900" s="8">
        <f ca="1">IFERROR(__xludf.DUMMYFUNCTION("""COMPUTED_VALUE"""),11)</f>
        <v>11</v>
      </c>
      <c r="C1900" s="8">
        <f ca="1">IFERROR(__xludf.DUMMYFUNCTION("""COMPUTED_VALUE"""),5)</f>
        <v>5</v>
      </c>
      <c r="D1900" s="8">
        <f ca="1">IFERROR(__xludf.DUMMYFUNCTION("""COMPUTED_VALUE"""),2015)</f>
        <v>2015</v>
      </c>
      <c r="E1900" s="9">
        <f ca="1">IFERROR(__xludf.DUMMYFUNCTION("""COMPUTED_VALUE"""),42313)</f>
        <v>42313</v>
      </c>
      <c r="F1900" s="8" t="str">
        <f ca="1">IFERROR(__xludf.DUMMYFUNCTION("""COMPUTED_VALUE"""),"Vereen School")</f>
        <v>Vereen School</v>
      </c>
      <c r="G1900" s="8">
        <f ca="1">IFERROR(__xludf.DUMMYFUNCTION("""COMPUTED_VALUE"""),0)</f>
        <v>0</v>
      </c>
      <c r="H1900" s="8">
        <f ca="1">IFERROR(__xludf.DUMMYFUNCTION("""COMPUTED_VALUE"""),0)</f>
        <v>0</v>
      </c>
      <c r="I1900" s="8">
        <f ca="1">IFERROR(__xludf.DUMMYFUNCTION("""COMPUTED_VALUE"""),0)</f>
        <v>0</v>
      </c>
      <c r="J1900" s="8">
        <f ca="1">IFERROR(__xludf.DUMMYFUNCTION("""COMPUTED_VALUE"""),0)</f>
        <v>0</v>
      </c>
      <c r="K1900" s="10" t="str">
        <f ca="1">IFERROR(__xludf.DUMMYFUNCTION("""COMPUTED_VALUE"""),"http://www.moultrieobserver.com/news/local_news/student-fires-gun-during-struggle/article_149e02cc-84db-11e5-8369-ef294cd8fd87.html")</f>
        <v>http://www.moultrieobserver.com/news/local_news/student-fires-gun-during-struggle/article_149e02cc-84db-11e5-8369-ef294cd8fd87.html</v>
      </c>
      <c r="L1900" s="8">
        <f ca="1">IFERROR(__xludf.DUMMYFUNCTION("""COMPUTED_VALUE"""),1)</f>
        <v>1</v>
      </c>
      <c r="M1900" s="8" t="str">
        <f ca="1">IFERROR(__xludf.DUMMYFUNCTION("""COMPUTED_VALUE"""),"Local")</f>
        <v>Local</v>
      </c>
      <c r="N1900" s="8">
        <f ca="1">IFERROR(__xludf.DUMMYFUNCTION("""COMPUTED_VALUE"""),2)</f>
        <v>2</v>
      </c>
      <c r="O1900" s="8" t="str">
        <f ca="1">IFERROR(__xludf.DUMMYFUNCTION("""COMPUTED_VALUE"""),"Fall")</f>
        <v>Fall</v>
      </c>
      <c r="P1900" s="8" t="str">
        <f ca="1">IFERROR(__xludf.DUMMYFUNCTION("""COMPUTED_VALUE"""),"Moultrie")</f>
        <v>Moultrie</v>
      </c>
      <c r="Q1900" s="8" t="str">
        <f ca="1">IFERROR(__xludf.DUMMYFUNCTION("""COMPUTED_VALUE"""),"GA")</f>
        <v>GA</v>
      </c>
      <c r="R1900" s="8" t="str">
        <f ca="1">IFERROR(__xludf.DUMMYFUNCTION("""COMPUTED_VALUE"""),"Other")</f>
        <v>Other</v>
      </c>
      <c r="S1900" s="8" t="str">
        <f ca="1">IFERROR(__xludf.DUMMYFUNCTION("""COMPUTED_VALUE"""),"Classroom")</f>
        <v>Classroom</v>
      </c>
      <c r="T1900" s="8" t="str">
        <f ca="1">IFERROR(__xludf.DUMMYFUNCTION("""COMPUTED_VALUE"""),"Inside School Building")</f>
        <v>Inside School Building</v>
      </c>
      <c r="U1900" s="8" t="str">
        <f ca="1">IFERROR(__xludf.DUMMYFUNCTION("""COMPUTED_VALUE"""),"Yes")</f>
        <v>Yes</v>
      </c>
      <c r="V1900" s="8"/>
      <c r="W1900" s="8"/>
      <c r="X1900" s="8"/>
      <c r="Y1900" s="12" t="str">
        <f ca="1">IFERROR(__xludf.DUMMYFUNCTION("""COMPUTED_VALUE"""),"Student fired gun in SRO holster during physical confrontation")</f>
        <v>Student fired gun in SRO holster during physical confrontation</v>
      </c>
      <c r="Z1900" s="12" t="str">
        <f ca="1">IFERROR(__xludf.DUMMYFUNCTION("""COMPUTED_VALUE"""),"9YOM student was throwing chairs and acting violent in the classroom. SRO responded to take the student to the time out room. While being escorted out, the student grabbed the SRO's gun and fired a shot inside the holster. No one was injured, the bullet w"&amp;"ent in the floor. The student said he intended to fire the gun. School is for emotionally and mentally challenged students.")</f>
        <v>9YOM student was throwing chairs and acting violent in the classroom. SRO responded to take the student to the time out room. While being escorted out, the student grabbed the SRO's gun and fired a shot inside the holster. No one was injured, the bullet went in the floor. The student said he intended to fire the gun. School is for emotionally and mentally challenged students.</v>
      </c>
      <c r="AA1900" s="8" t="str">
        <f ca="1">IFERROR(__xludf.DUMMYFUNCTION("""COMPUTED_VALUE"""),"Psychosis")</f>
        <v>Psychosis</v>
      </c>
      <c r="AB1900" s="8"/>
      <c r="AC1900" s="8" t="str">
        <f ca="1">IFERROR(__xludf.DUMMYFUNCTION("""COMPUTED_VALUE"""),"Yes")</f>
        <v>Yes</v>
      </c>
      <c r="AD1900" s="8" t="str">
        <f ca="1">IFERROR(__xludf.DUMMYFUNCTION("""COMPUTED_VALUE"""),"Neither")</f>
        <v>Neither</v>
      </c>
      <c r="AE1900" s="8" t="str">
        <f ca="1">IFERROR(__xludf.DUMMYFUNCTION("""COMPUTED_VALUE"""),"No")</f>
        <v>No</v>
      </c>
      <c r="AF1900" s="8"/>
      <c r="AG1900" s="8" t="str">
        <f ca="1">IFERROR(__xludf.DUMMYFUNCTION("""COMPUTED_VALUE"""),"No")</f>
        <v>No</v>
      </c>
      <c r="AH1900" s="8" t="str">
        <f ca="1">IFERROR(__xludf.DUMMYFUNCTION("""COMPUTED_VALUE"""),"No")</f>
        <v>No</v>
      </c>
      <c r="AI1900" s="8" t="str">
        <f ca="1">IFERROR(__xludf.DUMMYFUNCTION("""COMPUTED_VALUE"""),"No")</f>
        <v>No</v>
      </c>
      <c r="AJ1900" s="8" t="str">
        <f ca="1">IFERROR(__xludf.DUMMYFUNCTION("""COMPUTED_VALUE"""),"No")</f>
        <v>No</v>
      </c>
      <c r="AK1900" s="8" t="str">
        <f ca="1">IFERROR(__xludf.DUMMYFUNCTION("""COMPUTED_VALUE"""),"No")</f>
        <v>No</v>
      </c>
      <c r="AL1900" s="8" t="str">
        <f ca="1">IFERROR(__xludf.DUMMYFUNCTION("""COMPUTED_VALUE"""),"No")</f>
        <v>No</v>
      </c>
      <c r="AM1900" s="8" t="str">
        <f ca="1">IFERROR(__xludf.DUMMYFUNCTION("""COMPUTED_VALUE"""),"No")</f>
        <v>No</v>
      </c>
      <c r="AN1900" s="8"/>
      <c r="AO1900" s="8" t="str">
        <f ca="1">IFERROR(__xludf.DUMMYFUNCTION("""COMPUTED_VALUE"""),"No")</f>
        <v>No</v>
      </c>
      <c r="AP1900" s="8" t="str">
        <f ca="1">IFERROR(__xludf.DUMMYFUNCTION("""COMPUTED_VALUE"""),"Yes")</f>
        <v>Yes</v>
      </c>
      <c r="AQ1900" s="8" t="str">
        <f ca="1">IFERROR(__xludf.DUMMYFUNCTION("""COMPUTED_VALUE"""),"Unknown")</f>
        <v>Unknown</v>
      </c>
      <c r="AR1900" s="8" t="str">
        <f ca="1">IFERROR(__xludf.DUMMYFUNCTION("""COMPUTED_VALUE"""),"NA")</f>
        <v>NA</v>
      </c>
      <c r="AS1900" s="8">
        <f ca="1">IFERROR(__xludf.DUMMYFUNCTION("""COMPUTED_VALUE"""),1)</f>
        <v>1</v>
      </c>
      <c r="AT1900" s="8" t="str">
        <f ca="1">IFERROR(__xludf.DUMMYFUNCTION("""COMPUTED_VALUE"""),"No")</f>
        <v>No</v>
      </c>
      <c r="AU1900" s="8">
        <f ca="1">IFERROR(__xludf.DUMMYFUNCTION("""COMPUTED_VALUE"""),31.175943)</f>
        <v>31.175943</v>
      </c>
      <c r="AV1900" s="8">
        <f ca="1">IFERROR(__xludf.DUMMYFUNCTION("""COMPUTED_VALUE"""),-83.804368)</f>
        <v>-83.804367999999997</v>
      </c>
      <c r="AW1900" s="8"/>
      <c r="AX1900" s="8">
        <f ca="1">IFERROR(__xludf.DUMMYFUNCTION("""COMPUTED_VALUE"""),31768)</f>
        <v>31768</v>
      </c>
    </row>
    <row r="1901" spans="1:50" ht="45" x14ac:dyDescent="0.2">
      <c r="A1901" s="8" t="str">
        <f ca="1">IFERROR(__xludf.DUMMYFUNCTION("""COMPUTED_VALUE"""),"20151024TXEDS")</f>
        <v>20151024TXEDS</v>
      </c>
      <c r="B1901" s="8">
        <f ca="1">IFERROR(__xludf.DUMMYFUNCTION("""COMPUTED_VALUE"""),10)</f>
        <v>10</v>
      </c>
      <c r="C1901" s="8">
        <f ca="1">IFERROR(__xludf.DUMMYFUNCTION("""COMPUTED_VALUE"""),24)</f>
        <v>24</v>
      </c>
      <c r="D1901" s="8">
        <f ca="1">IFERROR(__xludf.DUMMYFUNCTION("""COMPUTED_VALUE"""),2015)</f>
        <v>2015</v>
      </c>
      <c r="E1901" s="9">
        <f ca="1">IFERROR(__xludf.DUMMYFUNCTION("""COMPUTED_VALUE"""),42301)</f>
        <v>42301</v>
      </c>
      <c r="F1901" s="8" t="str">
        <f ca="1">IFERROR(__xludf.DUMMYFUNCTION("""COMPUTED_VALUE"""),"Ed White Middle School")</f>
        <v>Ed White Middle School</v>
      </c>
      <c r="G1901" s="8">
        <f ca="1">IFERROR(__xludf.DUMMYFUNCTION("""COMPUTED_VALUE"""),1)</f>
        <v>1</v>
      </c>
      <c r="H1901" s="8">
        <f ca="1">IFERROR(__xludf.DUMMYFUNCTION("""COMPUTED_VALUE"""),0)</f>
        <v>0</v>
      </c>
      <c r="I1901" s="8">
        <f ca="1">IFERROR(__xludf.DUMMYFUNCTION("""COMPUTED_VALUE"""),1)</f>
        <v>1</v>
      </c>
      <c r="J1901" s="8">
        <f ca="1">IFERROR(__xludf.DUMMYFUNCTION("""COMPUTED_VALUE"""),0)</f>
        <v>0</v>
      </c>
      <c r="K1901" s="10" t="str">
        <f ca="1">IFERROR(__xludf.DUMMYFUNCTION("""COMPUTED_VALUE"""),"https://www.mysanantonio.com/news/local/article/Man-fatally-shot-in-middle-school-parking-lot-6588994.php")</f>
        <v>https://www.mysanantonio.com/news/local/article/Man-fatally-shot-in-middle-school-parking-lot-6588994.php</v>
      </c>
      <c r="L1901" s="8"/>
      <c r="M1901" s="8"/>
      <c r="N1901" s="8">
        <f ca="1">IFERROR(__xludf.DUMMYFUNCTION("""COMPUTED_VALUE"""),4)</f>
        <v>4</v>
      </c>
      <c r="O1901" s="8" t="str">
        <f ca="1">IFERROR(__xludf.DUMMYFUNCTION("""COMPUTED_VALUE"""),"Fall")</f>
        <v>Fall</v>
      </c>
      <c r="P1901" s="8" t="str">
        <f ca="1">IFERROR(__xludf.DUMMYFUNCTION("""COMPUTED_VALUE"""),"San Antonio")</f>
        <v>San Antonio</v>
      </c>
      <c r="Q1901" s="8" t="str">
        <f ca="1">IFERROR(__xludf.DUMMYFUNCTION("""COMPUTED_VALUE"""),"TX")</f>
        <v>TX</v>
      </c>
      <c r="R1901" s="8" t="str">
        <f ca="1">IFERROR(__xludf.DUMMYFUNCTION("""COMPUTED_VALUE"""),"Middle")</f>
        <v>Middle</v>
      </c>
      <c r="S1901" s="8" t="str">
        <f ca="1">IFERROR(__xludf.DUMMYFUNCTION("""COMPUTED_VALUE"""),"Parking Lot")</f>
        <v>Parking Lot</v>
      </c>
      <c r="T1901" s="8" t="str">
        <f ca="1">IFERROR(__xludf.DUMMYFUNCTION("""COMPUTED_VALUE"""),"Outside on School Property")</f>
        <v>Outside on School Property</v>
      </c>
      <c r="U1901" s="8" t="str">
        <f ca="1">IFERROR(__xludf.DUMMYFUNCTION("""COMPUTED_VALUE"""),"No")</f>
        <v>No</v>
      </c>
      <c r="V1901" s="8" t="str">
        <f ca="1">IFERROR(__xludf.DUMMYFUNCTION("""COMPUTED_VALUE"""),"Night")</f>
        <v>Night</v>
      </c>
      <c r="W1901" s="11">
        <f ca="1">IFERROR(__xludf.DUMMYFUNCTION("""COMPUTED_VALUE"""),0.125)</f>
        <v>0.125</v>
      </c>
      <c r="X1901" s="8">
        <f ca="1">IFERROR(__xludf.DUMMYFUNCTION("""COMPUTED_VALUE"""),1)</f>
        <v>1</v>
      </c>
      <c r="Y1901" s="12" t="str">
        <f ca="1">IFERROR(__xludf.DUMMYFUNCTION("""COMPUTED_VALUE"""),"Adult male killed in school parking lot late at night")</f>
        <v>Adult male killed in school parking lot late at night</v>
      </c>
      <c r="Z1901" s="12" t="str">
        <f ca="1">IFERROR(__xludf.DUMMYFUNCTION("""COMPUTED_VALUE"""),"25YOM was killed in school parking lot by unknown shooter who fled the scene in a white SUV. Unknown motive or circumstances.")</f>
        <v>25YOM was killed in school parking lot by unknown shooter who fled the scene in a white SUV. Unknown motive or circumstances.</v>
      </c>
      <c r="AA1901" s="8" t="str">
        <f ca="1">IFERROR(__xludf.DUMMYFUNCTION("""COMPUTED_VALUE"""),"Escalation of Dispute")</f>
        <v>Escalation of Dispute</v>
      </c>
      <c r="AB1901" s="8"/>
      <c r="AC1901" s="8" t="str">
        <f ca="1">IFERROR(__xludf.DUMMYFUNCTION("""COMPUTED_VALUE"""),"No")</f>
        <v>No</v>
      </c>
      <c r="AD1901" s="8" t="str">
        <f ca="1">IFERROR(__xludf.DUMMYFUNCTION("""COMPUTED_VALUE"""),"Victims Targeted")</f>
        <v>Victims Targeted</v>
      </c>
      <c r="AE1901" s="8"/>
      <c r="AF1901" s="8"/>
      <c r="AG1901" s="8" t="str">
        <f ca="1">IFERROR(__xludf.DUMMYFUNCTION("""COMPUTED_VALUE"""),"No")</f>
        <v>No</v>
      </c>
      <c r="AH1901" s="8" t="str">
        <f ca="1">IFERROR(__xludf.DUMMYFUNCTION("""COMPUTED_VALUE"""),"No")</f>
        <v>No</v>
      </c>
      <c r="AI1901" s="8" t="str">
        <f ca="1">IFERROR(__xludf.DUMMYFUNCTION("""COMPUTED_VALUE"""),"No")</f>
        <v>No</v>
      </c>
      <c r="AJ1901" s="8" t="str">
        <f ca="1">IFERROR(__xludf.DUMMYFUNCTION("""COMPUTED_VALUE"""),"No")</f>
        <v>No</v>
      </c>
      <c r="AK1901" s="8" t="str">
        <f ca="1">IFERROR(__xludf.DUMMYFUNCTION("""COMPUTED_VALUE"""),"No")</f>
        <v>No</v>
      </c>
      <c r="AL1901" s="8"/>
      <c r="AM1901" s="8" t="str">
        <f ca="1">IFERROR(__xludf.DUMMYFUNCTION("""COMPUTED_VALUE"""),"No")</f>
        <v>No</v>
      </c>
      <c r="AN1901" s="8"/>
      <c r="AO1901" s="8" t="str">
        <f ca="1">IFERROR(__xludf.DUMMYFUNCTION("""COMPUTED_VALUE"""),"No")</f>
        <v>No</v>
      </c>
      <c r="AP1901" s="8"/>
      <c r="AQ1901" s="8" t="str">
        <f ca="1">IFERROR(__xludf.DUMMYFUNCTION("""COMPUTED_VALUE"""),"Unknown")</f>
        <v>Unknown</v>
      </c>
      <c r="AR1901" s="8" t="str">
        <f ca="1">IFERROR(__xludf.DUMMYFUNCTION("""COMPUTED_VALUE"""),"NA")</f>
        <v>NA</v>
      </c>
      <c r="AS1901" s="8"/>
      <c r="AT1901" s="8" t="str">
        <f ca="1">IFERROR(__xludf.DUMMYFUNCTION("""COMPUTED_VALUE"""),"N/A")</f>
        <v>N/A</v>
      </c>
      <c r="AU1901" s="8">
        <f ca="1">IFERROR(__xludf.DUMMYFUNCTION("""COMPUTED_VALUE"""),29.505523)</f>
        <v>29.505523</v>
      </c>
      <c r="AV1901" s="8">
        <f ca="1">IFERROR(__xludf.DUMMYFUNCTION("""COMPUTED_VALUE"""),-98.380893)</f>
        <v>-98.380893</v>
      </c>
      <c r="AW1901" s="8"/>
      <c r="AX1901" s="8">
        <f ca="1">IFERROR(__xludf.DUMMYFUNCTION("""COMPUTED_VALUE"""),78218)</f>
        <v>78218</v>
      </c>
    </row>
    <row r="1902" spans="1:50" ht="105" x14ac:dyDescent="0.2">
      <c r="A1902" s="8" t="str">
        <f ca="1">IFERROR(__xludf.DUMMYFUNCTION("""COMPUTED_VALUE"""),"20151015TXKAS")</f>
        <v>20151015TXKAS</v>
      </c>
      <c r="B1902" s="8">
        <f ca="1">IFERROR(__xludf.DUMMYFUNCTION("""COMPUTED_VALUE"""),10)</f>
        <v>10</v>
      </c>
      <c r="C1902" s="8">
        <f ca="1">IFERROR(__xludf.DUMMYFUNCTION("""COMPUTED_VALUE"""),15)</f>
        <v>15</v>
      </c>
      <c r="D1902" s="8">
        <f ca="1">IFERROR(__xludf.DUMMYFUNCTION("""COMPUTED_VALUE"""),2015)</f>
        <v>2015</v>
      </c>
      <c r="E1902" s="9">
        <f ca="1">IFERROR(__xludf.DUMMYFUNCTION("""COMPUTED_VALUE"""),42292)</f>
        <v>42292</v>
      </c>
      <c r="F1902" s="8" t="str">
        <f ca="1">IFERROR(__xludf.DUMMYFUNCTION("""COMPUTED_VALUE"""),"Karen Wagner High School")</f>
        <v>Karen Wagner High School</v>
      </c>
      <c r="G1902" s="8">
        <f ca="1">IFERROR(__xludf.DUMMYFUNCTION("""COMPUTED_VALUE"""),0)</f>
        <v>0</v>
      </c>
      <c r="H1902" s="8">
        <f ca="1">IFERROR(__xludf.DUMMYFUNCTION("""COMPUTED_VALUE"""),0)</f>
        <v>0</v>
      </c>
      <c r="I1902" s="8">
        <f ca="1">IFERROR(__xludf.DUMMYFUNCTION("""COMPUTED_VALUE"""),0)</f>
        <v>0</v>
      </c>
      <c r="J1902" s="8">
        <f ca="1">IFERROR(__xludf.DUMMYFUNCTION("""COMPUTED_VALUE"""),0)</f>
        <v>0</v>
      </c>
      <c r="K1902" s="10" t="str">
        <f ca="1">IFERROR(__xludf.DUMMYFUNCTION("""COMPUTED_VALUE"""),"http://news4sanantonio.com/news/local/deputies-arrest-wagner-high-school-shooting-suspect")</f>
        <v>http://news4sanantonio.com/news/local/deputies-arrest-wagner-high-school-shooting-suspect</v>
      </c>
      <c r="L1902" s="8">
        <f ca="1">IFERROR(__xludf.DUMMYFUNCTION("""COMPUTED_VALUE"""),1)</f>
        <v>1</v>
      </c>
      <c r="M1902" s="8" t="str">
        <f ca="1">IFERROR(__xludf.DUMMYFUNCTION("""COMPUTED_VALUE"""),"Local")</f>
        <v>Local</v>
      </c>
      <c r="N1902" s="8">
        <f ca="1">IFERROR(__xludf.DUMMYFUNCTION("""COMPUTED_VALUE"""),2)</f>
        <v>2</v>
      </c>
      <c r="O1902" s="8" t="str">
        <f ca="1">IFERROR(__xludf.DUMMYFUNCTION("""COMPUTED_VALUE"""),"Fall")</f>
        <v>Fall</v>
      </c>
      <c r="P1902" s="8" t="str">
        <f ca="1">IFERROR(__xludf.DUMMYFUNCTION("""COMPUTED_VALUE"""),"San Antonio")</f>
        <v>San Antonio</v>
      </c>
      <c r="Q1902" s="8" t="str">
        <f ca="1">IFERROR(__xludf.DUMMYFUNCTION("""COMPUTED_VALUE"""),"TX")</f>
        <v>TX</v>
      </c>
      <c r="R1902" s="8" t="str">
        <f ca="1">IFERROR(__xludf.DUMMYFUNCTION("""COMPUTED_VALUE"""),"High")</f>
        <v>High</v>
      </c>
      <c r="S1902" s="8" t="str">
        <f ca="1">IFERROR(__xludf.DUMMYFUNCTION("""COMPUTED_VALUE"""),"Parking Lot")</f>
        <v>Parking Lot</v>
      </c>
      <c r="T1902" s="8" t="str">
        <f ca="1">IFERROR(__xludf.DUMMYFUNCTION("""COMPUTED_VALUE"""),"Outside on School Property")</f>
        <v>Outside on School Property</v>
      </c>
      <c r="U1902" s="8" t="str">
        <f ca="1">IFERROR(__xludf.DUMMYFUNCTION("""COMPUTED_VALUE"""),"Yes")</f>
        <v>Yes</v>
      </c>
      <c r="V1902" s="8" t="str">
        <f ca="1">IFERROR(__xludf.DUMMYFUNCTION("""COMPUTED_VALUE"""),"Morning Classes")</f>
        <v>Morning Classes</v>
      </c>
      <c r="W1902" s="11">
        <f ca="1">IFERROR(__xludf.DUMMYFUNCTION("""COMPUTED_VALUE"""),0.375)</f>
        <v>0.375</v>
      </c>
      <c r="X1902" s="8">
        <f ca="1">IFERROR(__xludf.DUMMYFUNCTION("""COMPUTED_VALUE"""),1)</f>
        <v>1</v>
      </c>
      <c r="Y1902" s="12" t="str">
        <f ca="1">IFERROR(__xludf.DUMMYFUNCTION("""COMPUTED_VALUE"""),"Fired shots at principals car after friend reprimanded")</f>
        <v>Fired shots at principals car after friend reprimanded</v>
      </c>
      <c r="Z1902" s="12" t="str">
        <f ca="1">IFERROR(__xludf.DUMMYFUNCTION("""COMPUTED_VALUE"""),"22YOF shooter was angry because the principal had reprimanded her friend. She struck the principal's vehicle with a baseball bat multiple times then fired a gun at it breaking the windows. Shooter left the scene and was arrested at her place of employment"&amp;". A gun was found at shooter's home, not clear if it's the weapon used. No injuries.")</f>
        <v>22YOF shooter was angry because the principal had reprimanded her friend. She struck the principal's vehicle with a baseball bat multiple times then fired a gun at it breaking the windows. Shooter left the scene and was arrested at her place of employment. A gun was found at shooter's home, not clear if it's the weapon used. No injuries.</v>
      </c>
      <c r="AA1902" s="8" t="str">
        <f ca="1">IFERROR(__xludf.DUMMYFUNCTION("""COMPUTED_VALUE"""),"Anger Over Grade/Suspension/Discipline")</f>
        <v>Anger Over Grade/Suspension/Discipline</v>
      </c>
      <c r="AB1902" s="8"/>
      <c r="AC1902" s="8" t="str">
        <f ca="1">IFERROR(__xludf.DUMMYFUNCTION("""COMPUTED_VALUE"""),"Yes")</f>
        <v>Yes</v>
      </c>
      <c r="AD1902" s="8" t="str">
        <f ca="1">IFERROR(__xludf.DUMMYFUNCTION("""COMPUTED_VALUE"""),"Victims Targeted")</f>
        <v>Victims Targeted</v>
      </c>
      <c r="AE1902" s="8" t="str">
        <f ca="1">IFERROR(__xludf.DUMMYFUNCTION("""COMPUTED_VALUE"""),"No")</f>
        <v>No</v>
      </c>
      <c r="AF1902" s="8"/>
      <c r="AG1902" s="8" t="str">
        <f ca="1">IFERROR(__xludf.DUMMYFUNCTION("""COMPUTED_VALUE"""),"No")</f>
        <v>No</v>
      </c>
      <c r="AH1902" s="8" t="str">
        <f ca="1">IFERROR(__xludf.DUMMYFUNCTION("""COMPUTED_VALUE"""),"No")</f>
        <v>No</v>
      </c>
      <c r="AI1902" s="8" t="str">
        <f ca="1">IFERROR(__xludf.DUMMYFUNCTION("""COMPUTED_VALUE"""),"No")</f>
        <v>No</v>
      </c>
      <c r="AJ1902" s="8" t="str">
        <f ca="1">IFERROR(__xludf.DUMMYFUNCTION("""COMPUTED_VALUE"""),"No")</f>
        <v>No</v>
      </c>
      <c r="AK1902" s="8" t="str">
        <f ca="1">IFERROR(__xludf.DUMMYFUNCTION("""COMPUTED_VALUE"""),"No")</f>
        <v>No</v>
      </c>
      <c r="AL1902" s="8" t="str">
        <f ca="1">IFERROR(__xludf.DUMMYFUNCTION("""COMPUTED_VALUE"""),"No")</f>
        <v>No</v>
      </c>
      <c r="AM1902" s="8" t="str">
        <f ca="1">IFERROR(__xludf.DUMMYFUNCTION("""COMPUTED_VALUE"""),"No")</f>
        <v>No</v>
      </c>
      <c r="AN1902" s="8"/>
      <c r="AO1902" s="8" t="str">
        <f ca="1">IFERROR(__xludf.DUMMYFUNCTION("""COMPUTED_VALUE"""),"No")</f>
        <v>No</v>
      </c>
      <c r="AP1902" s="8" t="str">
        <f ca="1">IFERROR(__xludf.DUMMYFUNCTION("""COMPUTED_VALUE"""),"No")</f>
        <v>No</v>
      </c>
      <c r="AQ1902" s="8" t="str">
        <f ca="1">IFERROR(__xludf.DUMMYFUNCTION("""COMPUTED_VALUE"""),"None")</f>
        <v>None</v>
      </c>
      <c r="AR1902" s="8" t="str">
        <f ca="1">IFERROR(__xludf.DUMMYFUNCTION("""COMPUTED_VALUE"""),"NA")</f>
        <v>NA</v>
      </c>
      <c r="AS1902" s="8"/>
      <c r="AT1902" s="8" t="str">
        <f ca="1">IFERROR(__xludf.DUMMYFUNCTION("""COMPUTED_VALUE"""),"No")</f>
        <v>No</v>
      </c>
      <c r="AU1902" s="8">
        <f ca="1">IFERROR(__xludf.DUMMYFUNCTION("""COMPUTED_VALUE"""),29.45738)</f>
        <v>29.457380000000001</v>
      </c>
      <c r="AV1902" s="8">
        <f ca="1">IFERROR(__xludf.DUMMYFUNCTION("""COMPUTED_VALUE"""),-98.3578)</f>
        <v>-98.357799999999997</v>
      </c>
      <c r="AW1902" s="8"/>
      <c r="AX1902" s="8">
        <f ca="1">IFERROR(__xludf.DUMMYFUNCTION("""COMPUTED_VALUE"""),78244)</f>
        <v>78244</v>
      </c>
    </row>
    <row r="1903" spans="1:50" ht="120" x14ac:dyDescent="0.2">
      <c r="A1903" s="8" t="str">
        <f ca="1">IFERROR(__xludf.DUMMYFUNCTION("""COMPUTED_VALUE"""),"20150930SDHAH")</f>
        <v>20150930SDHAH</v>
      </c>
      <c r="B1903" s="8">
        <f ca="1">IFERROR(__xludf.DUMMYFUNCTION("""COMPUTED_VALUE"""),9)</f>
        <v>9</v>
      </c>
      <c r="C1903" s="8">
        <f ca="1">IFERROR(__xludf.DUMMYFUNCTION("""COMPUTED_VALUE"""),30)</f>
        <v>30</v>
      </c>
      <c r="D1903" s="8">
        <f ca="1">IFERROR(__xludf.DUMMYFUNCTION("""COMPUTED_VALUE"""),2015)</f>
        <v>2015</v>
      </c>
      <c r="E1903" s="9">
        <f ca="1">IFERROR(__xludf.DUMMYFUNCTION("""COMPUTED_VALUE"""),42277)</f>
        <v>42277</v>
      </c>
      <c r="F1903" s="8" t="str">
        <f ca="1">IFERROR(__xludf.DUMMYFUNCTION("""COMPUTED_VALUE"""),"Harrisburg High School")</f>
        <v>Harrisburg High School</v>
      </c>
      <c r="G1903" s="8">
        <f ca="1">IFERROR(__xludf.DUMMYFUNCTION("""COMPUTED_VALUE"""),0)</f>
        <v>0</v>
      </c>
      <c r="H1903" s="8">
        <f ca="1">IFERROR(__xludf.DUMMYFUNCTION("""COMPUTED_VALUE"""),1)</f>
        <v>1</v>
      </c>
      <c r="I1903" s="8">
        <f ca="1">IFERROR(__xludf.DUMMYFUNCTION("""COMPUTED_VALUE"""),1)</f>
        <v>1</v>
      </c>
      <c r="J1903" s="8">
        <f ca="1">IFERROR(__xludf.DUMMYFUNCTION("""COMPUTED_VALUE"""),0)</f>
        <v>0</v>
      </c>
      <c r="K1903" s="10" t="str">
        <f ca="1">IFERROR(__xludf.DUMMYFUNCTION("""COMPUTED_VALUE"""),"https://www.keloland.com/news/local-news/harrisburg-school-shooter-faces-rape-charge/ https://www.argusleader.com/story/news/2017/08/09/suspect-harrisburg-school-shooting-appear-court-today/552939001/
https://www.dakotanewsnow.com/2023/04/19/harrisburg-sc"&amp;"hool-shooter-violates-probation-sentenced-10-years-prison/")</f>
        <v>https://www.keloland.com/news/local-news/harrisburg-school-shooter-faces-rape-charge/ https://www.argusleader.com/story/news/2017/08/09/suspect-harrisburg-school-shooting-appear-court-today/552939001/
https://www.dakotanewsnow.com/2023/04/19/harrisburg-school-shooter-violates-probation-sentenced-10-years-prison/</v>
      </c>
      <c r="L1903" s="8">
        <f ca="1">IFERROR(__xludf.DUMMYFUNCTION("""COMPUTED_VALUE"""),2)</f>
        <v>2</v>
      </c>
      <c r="M1903" s="8" t="str">
        <f ca="1">IFERROR(__xludf.DUMMYFUNCTION("""COMPUTED_VALUE"""),"Local")</f>
        <v>Local</v>
      </c>
      <c r="N1903" s="8">
        <f ca="1">IFERROR(__xludf.DUMMYFUNCTION("""COMPUTED_VALUE"""),4)</f>
        <v>4</v>
      </c>
      <c r="O1903" s="8" t="str">
        <f ca="1">IFERROR(__xludf.DUMMYFUNCTION("""COMPUTED_VALUE"""),"Fall")</f>
        <v>Fall</v>
      </c>
      <c r="P1903" s="8" t="str">
        <f ca="1">IFERROR(__xludf.DUMMYFUNCTION("""COMPUTED_VALUE"""),"Harrisburg")</f>
        <v>Harrisburg</v>
      </c>
      <c r="Q1903" s="8" t="str">
        <f ca="1">IFERROR(__xludf.DUMMYFUNCTION("""COMPUTED_VALUE"""),"SD")</f>
        <v>SD</v>
      </c>
      <c r="R1903" s="8" t="str">
        <f ca="1">IFERROR(__xludf.DUMMYFUNCTION("""COMPUTED_VALUE"""),"High")</f>
        <v>High</v>
      </c>
      <c r="S1903" s="8" t="str">
        <f ca="1">IFERROR(__xludf.DUMMYFUNCTION("""COMPUTED_VALUE"""),"Office")</f>
        <v>Office</v>
      </c>
      <c r="T1903" s="8" t="str">
        <f ca="1">IFERROR(__xludf.DUMMYFUNCTION("""COMPUTED_VALUE"""),"Inside School Building")</f>
        <v>Inside School Building</v>
      </c>
      <c r="U1903" s="8" t="str">
        <f ca="1">IFERROR(__xludf.DUMMYFUNCTION("""COMPUTED_VALUE"""),"Yes")</f>
        <v>Yes</v>
      </c>
      <c r="V1903" s="8" t="str">
        <f ca="1">IFERROR(__xludf.DUMMYFUNCTION("""COMPUTED_VALUE"""),"Morning Classes")</f>
        <v>Morning Classes</v>
      </c>
      <c r="W1903" s="11">
        <f ca="1">IFERROR(__xludf.DUMMYFUNCTION("""COMPUTED_VALUE"""),0.416666666666666)</f>
        <v>0.41666666666666602</v>
      </c>
      <c r="X1903" s="8">
        <f ca="1">IFERROR(__xludf.DUMMYFUNCTION("""COMPUTED_VALUE"""),1)</f>
        <v>1</v>
      </c>
      <c r="Y1903" s="12" t="str">
        <f ca="1">IFERROR(__xludf.DUMMYFUNCTION("""COMPUTED_VALUE"""),"Suspected mental illness and inability to adjust to the new school")</f>
        <v>Suspected mental illness and inability to adjust to the new school</v>
      </c>
      <c r="Z1903" s="12" t="str">
        <f ca="1">IFERROR(__xludf.DUMMYFUNCTION("""COMPUTED_VALUE"""),"Shooter walked into principal's office and fired single shot (had 50 rounds). Gun jammed and two other staff members tackled him. School officials said the student needed help and they failed him. Shooter had no history of violence and showed remorse in c"&amp;"ourt. Transferred to the school from out-of-state and had trouble adjusting to the new school. Sentenced to mental health treatment and did not get jail time.")</f>
        <v>Shooter walked into principal's office and fired single shot (had 50 rounds). Gun jammed and two other staff members tackled him. School officials said the student needed help and they failed him. Shooter had no history of violence and showed remorse in court. Transferred to the school from out-of-state and had trouble adjusting to the new school. Sentenced to mental health treatment and did not get jail time.</v>
      </c>
      <c r="AA1903" s="8" t="str">
        <f ca="1">IFERROR(__xludf.DUMMYFUNCTION("""COMPUTED_VALUE"""),"Psychosis")</f>
        <v>Psychosis</v>
      </c>
      <c r="AB1903" s="8"/>
      <c r="AC1903" s="8" t="str">
        <f ca="1">IFERROR(__xludf.DUMMYFUNCTION("""COMPUTED_VALUE"""),"Yes")</f>
        <v>Yes</v>
      </c>
      <c r="AD1903" s="8" t="str">
        <f ca="1">IFERROR(__xludf.DUMMYFUNCTION("""COMPUTED_VALUE"""),"Victims Targeted")</f>
        <v>Victims Targeted</v>
      </c>
      <c r="AE1903" s="8" t="str">
        <f ca="1">IFERROR(__xludf.DUMMYFUNCTION("""COMPUTED_VALUE"""),"No")</f>
        <v>No</v>
      </c>
      <c r="AF1903" s="8"/>
      <c r="AG1903" s="8" t="str">
        <f ca="1">IFERROR(__xludf.DUMMYFUNCTION("""COMPUTED_VALUE"""),"No")</f>
        <v>No</v>
      </c>
      <c r="AH1903" s="8" t="str">
        <f ca="1">IFERROR(__xludf.DUMMYFUNCTION("""COMPUTED_VALUE"""),"No")</f>
        <v>No</v>
      </c>
      <c r="AI1903" s="8" t="str">
        <f ca="1">IFERROR(__xludf.DUMMYFUNCTION("""COMPUTED_VALUE"""),"No")</f>
        <v>No</v>
      </c>
      <c r="AJ1903" s="8" t="str">
        <f ca="1">IFERROR(__xludf.DUMMYFUNCTION("""COMPUTED_VALUE"""),"No")</f>
        <v>No</v>
      </c>
      <c r="AK1903" s="8" t="str">
        <f ca="1">IFERROR(__xludf.DUMMYFUNCTION("""COMPUTED_VALUE"""),"No")</f>
        <v>No</v>
      </c>
      <c r="AL1903" s="8" t="str">
        <f ca="1">IFERROR(__xludf.DUMMYFUNCTION("""COMPUTED_VALUE"""),"No")</f>
        <v>No</v>
      </c>
      <c r="AM1903" s="8" t="str">
        <f ca="1">IFERROR(__xludf.DUMMYFUNCTION("""COMPUTED_VALUE"""),"Yes")</f>
        <v>Yes</v>
      </c>
      <c r="AN1903" s="8" t="str">
        <f ca="1">IFERROR(__xludf.DUMMYFUNCTION("""COMPUTED_VALUE"""),"Hallway")</f>
        <v>Hallway</v>
      </c>
      <c r="AO1903" s="8" t="str">
        <f ca="1">IFERROR(__xludf.DUMMYFUNCTION("""COMPUTED_VALUE"""),"Yes")</f>
        <v>Yes</v>
      </c>
      <c r="AP1903" s="8" t="str">
        <f ca="1">IFERROR(__xludf.DUMMYFUNCTION("""COMPUTED_VALUE"""),"No")</f>
        <v>No</v>
      </c>
      <c r="AQ1903" s="8" t="str">
        <f ca="1">IFERROR(__xludf.DUMMYFUNCTION("""COMPUTED_VALUE"""),"Unknown")</f>
        <v>Unknown</v>
      </c>
      <c r="AR1903" s="8" t="str">
        <f ca="1">IFERROR(__xludf.DUMMYFUNCTION("""COMPUTED_VALUE"""),"NA")</f>
        <v>NA</v>
      </c>
      <c r="AS1903" s="8">
        <f ca="1">IFERROR(__xludf.DUMMYFUNCTION("""COMPUTED_VALUE"""),1)</f>
        <v>1</v>
      </c>
      <c r="AT1903" s="8" t="str">
        <f ca="1">IFERROR(__xludf.DUMMYFUNCTION("""COMPUTED_VALUE"""),"No")</f>
        <v>No</v>
      </c>
      <c r="AU1903" s="8">
        <f ca="1">IFERROR(__xludf.DUMMYFUNCTION("""COMPUTED_VALUE"""),43.43212)</f>
        <v>43.432119999999998</v>
      </c>
      <c r="AV1903" s="8">
        <f ca="1">IFERROR(__xludf.DUMMYFUNCTION("""COMPUTED_VALUE"""),-96.6998)</f>
        <v>-96.699799999999996</v>
      </c>
      <c r="AW1903" s="8"/>
      <c r="AX1903" s="8">
        <f ca="1">IFERROR(__xludf.DUMMYFUNCTION("""COMPUTED_VALUE"""),57032)</f>
        <v>57032</v>
      </c>
    </row>
    <row r="1904" spans="1:50" ht="75" x14ac:dyDescent="0.2">
      <c r="A1904" s="8" t="str">
        <f ca="1">IFERROR(__xludf.DUMMYFUNCTION("""COMPUTED_VALUE"""),"20150922NCCES")</f>
        <v>20150922NCCES</v>
      </c>
      <c r="B1904" s="8">
        <f ca="1">IFERROR(__xludf.DUMMYFUNCTION("""COMPUTED_VALUE"""),9)</f>
        <v>9</v>
      </c>
      <c r="C1904" s="8">
        <f ca="1">IFERROR(__xludf.DUMMYFUNCTION("""COMPUTED_VALUE"""),22)</f>
        <v>22</v>
      </c>
      <c r="D1904" s="8">
        <f ca="1">IFERROR(__xludf.DUMMYFUNCTION("""COMPUTED_VALUE"""),2015)</f>
        <v>2015</v>
      </c>
      <c r="E1904" s="9">
        <f ca="1">IFERROR(__xludf.DUMMYFUNCTION("""COMPUTED_VALUE"""),42269)</f>
        <v>42269</v>
      </c>
      <c r="F1904" s="8" t="str">
        <f ca="1">IFERROR(__xludf.DUMMYFUNCTION("""COMPUTED_VALUE"""),"Central Elementary School")</f>
        <v>Central Elementary School</v>
      </c>
      <c r="G1904" s="8">
        <f ca="1">IFERROR(__xludf.DUMMYFUNCTION("""COMPUTED_VALUE"""),0)</f>
        <v>0</v>
      </c>
      <c r="H1904" s="8">
        <f ca="1">IFERROR(__xludf.DUMMYFUNCTION("""COMPUTED_VALUE"""),1)</f>
        <v>1</v>
      </c>
      <c r="I1904" s="8">
        <f ca="1">IFERROR(__xludf.DUMMYFUNCTION("""COMPUTED_VALUE"""),1)</f>
        <v>1</v>
      </c>
      <c r="J1904" s="8">
        <f ca="1">IFERROR(__xludf.DUMMYFUNCTION("""COMPUTED_VALUE"""),0)</f>
        <v>0</v>
      </c>
      <c r="K1904" s="8" t="str">
        <f ca="1">IFERROR(__xludf.DUMMYFUNCTION("""COMPUTED_VALUE"""),"https://www.cbsnews.com/news/one-injured-in-shooting-at-north-carolina-elementary-school/ . http://raycomgroup.worldnow.com/story/30090650/sheriff-husband-shot-by-wife-at-elementary-school-in-critical-condition-no-arrest-yet . https://www.statesville.com/"&amp;"news/statesville-woman-who-shot-husband-in-refuses-plea-offer/article_2aab8258-2239-11e8-a5b7-1b403b35d306.html . https://www.charlotteobserver.com/news/local/crime/article89833462.html")</f>
        <v>https://www.cbsnews.com/news/one-injured-in-shooting-at-north-carolina-elementary-school/ . http://raycomgroup.worldnow.com/story/30090650/sheriff-husband-shot-by-wife-at-elementary-school-in-critical-condition-no-arrest-yet . https://www.statesville.com/news/statesville-woman-who-shot-husband-in-refuses-plea-offer/article_2aab8258-2239-11e8-a5b7-1b403b35d306.html . https://www.charlotteobserver.com/news/local/crime/article89833462.html</v>
      </c>
      <c r="L1904" s="8"/>
      <c r="M1904" s="8"/>
      <c r="N1904" s="8">
        <f ca="1">IFERROR(__xludf.DUMMYFUNCTION("""COMPUTED_VALUE"""),3)</f>
        <v>3</v>
      </c>
      <c r="O1904" s="8" t="str">
        <f ca="1">IFERROR(__xludf.DUMMYFUNCTION("""COMPUTED_VALUE"""),"Fall")</f>
        <v>Fall</v>
      </c>
      <c r="P1904" s="8" t="str">
        <f ca="1">IFERROR(__xludf.DUMMYFUNCTION("""COMPUTED_VALUE"""),"Stateville")</f>
        <v>Stateville</v>
      </c>
      <c r="Q1904" s="8" t="str">
        <f ca="1">IFERROR(__xludf.DUMMYFUNCTION("""COMPUTED_VALUE"""),"NC")</f>
        <v>NC</v>
      </c>
      <c r="R1904" s="8" t="str">
        <f ca="1">IFERROR(__xludf.DUMMYFUNCTION("""COMPUTED_VALUE"""),"Elementary")</f>
        <v>Elementary</v>
      </c>
      <c r="S1904" s="8" t="str">
        <f ca="1">IFERROR(__xludf.DUMMYFUNCTION("""COMPUTED_VALUE"""),"Parking Lot")</f>
        <v>Parking Lot</v>
      </c>
      <c r="T1904" s="8" t="str">
        <f ca="1">IFERROR(__xludf.DUMMYFUNCTION("""COMPUTED_VALUE"""),"Outside on School Property")</f>
        <v>Outside on School Property</v>
      </c>
      <c r="U1904" s="8" t="str">
        <f ca="1">IFERROR(__xludf.DUMMYFUNCTION("""COMPUTED_VALUE"""),"Yes")</f>
        <v>Yes</v>
      </c>
      <c r="V1904" s="8" t="str">
        <f ca="1">IFERROR(__xludf.DUMMYFUNCTION("""COMPUTED_VALUE"""),"Dismissal")</f>
        <v>Dismissal</v>
      </c>
      <c r="W1904" s="11">
        <f ca="1">IFERROR(__xludf.DUMMYFUNCTION("""COMPUTED_VALUE"""),0.625)</f>
        <v>0.625</v>
      </c>
      <c r="X1904" s="8">
        <f ca="1">IFERROR(__xludf.DUMMYFUNCTION("""COMPUTED_VALUE"""),1)</f>
        <v>1</v>
      </c>
      <c r="Y1904" s="12" t="str">
        <f ca="1">IFERROR(__xludf.DUMMYFUNCTION("""COMPUTED_VALUE"""),"Wife shot estranged husband in school parking lot")</f>
        <v>Wife shot estranged husband in school parking lot</v>
      </c>
      <c r="Z1904" s="12" t="str">
        <f ca="1">IFERROR(__xludf.DUMMYFUNCTION("""COMPUTED_VALUE"""),"Husband and estranged wife drove to school to pick up their oldest of two children. Wife pulled gun on husband and shot him twice. Wife then walked into school with gun and surrendered. Wife later stated husband was abusive and she was protecting herself")</f>
        <v>Husband and estranged wife drove to school to pick up their oldest of two children. Wife pulled gun on husband and shot him twice. Wife then walked into school with gun and surrendered. Wife later stated husband was abusive and she was protecting herself</v>
      </c>
      <c r="AA1904" s="8" t="str">
        <f ca="1">IFERROR(__xludf.DUMMYFUNCTION("""COMPUTED_VALUE"""),"Domestic w/ Targeted Victim")</f>
        <v>Domestic w/ Targeted Victim</v>
      </c>
      <c r="AB1904" s="8"/>
      <c r="AC1904" s="8" t="str">
        <f ca="1">IFERROR(__xludf.DUMMYFUNCTION("""COMPUTED_VALUE"""),"Yes")</f>
        <v>Yes</v>
      </c>
      <c r="AD1904" s="8" t="str">
        <f ca="1">IFERROR(__xludf.DUMMYFUNCTION("""COMPUTED_VALUE"""),"Victims Targeted")</f>
        <v>Victims Targeted</v>
      </c>
      <c r="AE1904" s="8" t="str">
        <f ca="1">IFERROR(__xludf.DUMMYFUNCTION("""COMPUTED_VALUE"""),"No")</f>
        <v>No</v>
      </c>
      <c r="AF1904" s="8"/>
      <c r="AG1904" s="8" t="str">
        <f ca="1">IFERROR(__xludf.DUMMYFUNCTION("""COMPUTED_VALUE"""),"No")</f>
        <v>No</v>
      </c>
      <c r="AH1904" s="8" t="str">
        <f ca="1">IFERROR(__xludf.DUMMYFUNCTION("""COMPUTED_VALUE"""),"No")</f>
        <v>No</v>
      </c>
      <c r="AI1904" s="8" t="str">
        <f ca="1">IFERROR(__xludf.DUMMYFUNCTION("""COMPUTED_VALUE"""),"No")</f>
        <v>No</v>
      </c>
      <c r="AJ1904" s="8" t="str">
        <f ca="1">IFERROR(__xludf.DUMMYFUNCTION("""COMPUTED_VALUE"""),"No")</f>
        <v>No</v>
      </c>
      <c r="AK1904" s="8" t="str">
        <f ca="1">IFERROR(__xludf.DUMMYFUNCTION("""COMPUTED_VALUE"""),"Yes")</f>
        <v>Yes</v>
      </c>
      <c r="AL1904" s="8" t="str">
        <f ca="1">IFERROR(__xludf.DUMMYFUNCTION("""COMPUTED_VALUE"""),"No")</f>
        <v>No</v>
      </c>
      <c r="AM1904" s="8" t="str">
        <f ca="1">IFERROR(__xludf.DUMMYFUNCTION("""COMPUTED_VALUE"""),"No")</f>
        <v>No</v>
      </c>
      <c r="AN1904" s="8"/>
      <c r="AO1904" s="8" t="str">
        <f ca="1">IFERROR(__xludf.DUMMYFUNCTION("""COMPUTED_VALUE"""),"No")</f>
        <v>No</v>
      </c>
      <c r="AP1904" s="8"/>
      <c r="AQ1904" s="8" t="str">
        <f ca="1">IFERROR(__xludf.DUMMYFUNCTION("""COMPUTED_VALUE"""),"None")</f>
        <v>None</v>
      </c>
      <c r="AR1904" s="8" t="str">
        <f ca="1">IFERROR(__xludf.DUMMYFUNCTION("""COMPUTED_VALUE"""),"NA")</f>
        <v>NA</v>
      </c>
      <c r="AS1904" s="8">
        <f ca="1">IFERROR(__xludf.DUMMYFUNCTION("""COMPUTED_VALUE"""),2)</f>
        <v>2</v>
      </c>
      <c r="AT1904" s="8" t="str">
        <f ca="1">IFERROR(__xludf.DUMMYFUNCTION("""COMPUTED_VALUE"""),"Yes")</f>
        <v>Yes</v>
      </c>
      <c r="AU1904" s="8">
        <f ca="1">IFERROR(__xludf.DUMMYFUNCTION("""COMPUTED_VALUE"""),35.928082)</f>
        <v>35.928082000000003</v>
      </c>
      <c r="AV1904" s="8">
        <f ca="1">IFERROR(__xludf.DUMMYFUNCTION("""COMPUTED_VALUE"""),-80.960816)</f>
        <v>-80.960815999999994</v>
      </c>
      <c r="AW1904" s="8"/>
      <c r="AX1904" s="8">
        <f ca="1">IFERROR(__xludf.DUMMYFUNCTION("""COMPUTED_VALUE"""),28689)</f>
        <v>28689</v>
      </c>
    </row>
    <row r="1905" spans="1:50" ht="75" x14ac:dyDescent="0.2">
      <c r="A1905" s="8" t="str">
        <f ca="1">IFERROR(__xludf.DUMMYFUNCTION("""COMPUTED_VALUE"""),"20150911LANOL")</f>
        <v>20150911LANOL</v>
      </c>
      <c r="B1905" s="8">
        <f ca="1">IFERROR(__xludf.DUMMYFUNCTION("""COMPUTED_VALUE"""),9)</f>
        <v>9</v>
      </c>
      <c r="C1905" s="8">
        <f ca="1">IFERROR(__xludf.DUMMYFUNCTION("""COMPUTED_VALUE"""),11)</f>
        <v>11</v>
      </c>
      <c r="D1905" s="8">
        <f ca="1">IFERROR(__xludf.DUMMYFUNCTION("""COMPUTED_VALUE"""),2015)</f>
        <v>2015</v>
      </c>
      <c r="E1905" s="9">
        <f ca="1">IFERROR(__xludf.DUMMYFUNCTION("""COMPUTED_VALUE"""),42258)</f>
        <v>42258</v>
      </c>
      <c r="F1905" s="8" t="str">
        <f ca="1">IFERROR(__xludf.DUMMYFUNCTION("""COMPUTED_VALUE"""),"Northside High School")</f>
        <v>Northside High School</v>
      </c>
      <c r="G1905" s="8">
        <f ca="1">IFERROR(__xludf.DUMMYFUNCTION("""COMPUTED_VALUE"""),0)</f>
        <v>0</v>
      </c>
      <c r="H1905" s="8">
        <f ca="1">IFERROR(__xludf.DUMMYFUNCTION("""COMPUTED_VALUE"""),1)</f>
        <v>1</v>
      </c>
      <c r="I1905" s="8">
        <f ca="1">IFERROR(__xludf.DUMMYFUNCTION("""COMPUTED_VALUE"""),1)</f>
        <v>1</v>
      </c>
      <c r="J1905" s="8">
        <f ca="1">IFERROR(__xludf.DUMMYFUNCTION("""COMPUTED_VALUE"""),0)</f>
        <v>0</v>
      </c>
      <c r="K1905" s="8" t="str">
        <f ca="1">IFERROR(__xludf.DUMMYFUNCTION("""COMPUTED_VALUE"""),"https://www.theadvocate.com/acadiana/news/article_7a1fecc3-9963-53f3-a359-661957c087b9.html . http://www.katc.com/story/30015486/girl-shot-in-northside-highs-parking-lot-friday-night")</f>
        <v>https://www.theadvocate.com/acadiana/news/article_7a1fecc3-9963-53f3-a359-661957c087b9.html . http://www.katc.com/story/30015486/girl-shot-in-northside-highs-parking-lot-friday-night</v>
      </c>
      <c r="L1905" s="8"/>
      <c r="M1905" s="8"/>
      <c r="N1905" s="8">
        <f ca="1">IFERROR(__xludf.DUMMYFUNCTION("""COMPUTED_VALUE"""),3)</f>
        <v>3</v>
      </c>
      <c r="O1905" s="8" t="str">
        <f ca="1">IFERROR(__xludf.DUMMYFUNCTION("""COMPUTED_VALUE"""),"Fall")</f>
        <v>Fall</v>
      </c>
      <c r="P1905" s="8" t="str">
        <f ca="1">IFERROR(__xludf.DUMMYFUNCTION("""COMPUTED_VALUE"""),"Lafayette")</f>
        <v>Lafayette</v>
      </c>
      <c r="Q1905" s="8" t="str">
        <f ca="1">IFERROR(__xludf.DUMMYFUNCTION("""COMPUTED_VALUE"""),"LA")</f>
        <v>LA</v>
      </c>
      <c r="R1905" s="8" t="str">
        <f ca="1">IFERROR(__xludf.DUMMYFUNCTION("""COMPUTED_VALUE"""),"High")</f>
        <v>High</v>
      </c>
      <c r="S1905" s="8" t="str">
        <f ca="1">IFERROR(__xludf.DUMMYFUNCTION("""COMPUTED_VALUE"""),"Front of School")</f>
        <v>Front of School</v>
      </c>
      <c r="T1905" s="8" t="str">
        <f ca="1">IFERROR(__xludf.DUMMYFUNCTION("""COMPUTED_VALUE"""),"Outside on School Property")</f>
        <v>Outside on School Property</v>
      </c>
      <c r="U1905" s="8" t="str">
        <f ca="1">IFERROR(__xludf.DUMMYFUNCTION("""COMPUTED_VALUE"""),"No")</f>
        <v>No</v>
      </c>
      <c r="V1905" s="8" t="str">
        <f ca="1">IFERROR(__xludf.DUMMYFUNCTION("""COMPUTED_VALUE"""),"Sport Event")</f>
        <v>Sport Event</v>
      </c>
      <c r="W1905" s="11">
        <f ca="1">IFERROR(__xludf.DUMMYFUNCTION("""COMPUTED_VALUE"""),0.913194444444444)</f>
        <v>0.91319444444444398</v>
      </c>
      <c r="X1905" s="8">
        <f ca="1">IFERROR(__xludf.DUMMYFUNCTION("""COMPUTED_VALUE"""),1)</f>
        <v>1</v>
      </c>
      <c r="Y1905" s="12" t="str">
        <f ca="1">IFERROR(__xludf.DUMMYFUNCTION("""COMPUTED_VALUE"""),"Bystander shot during drive-by")</f>
        <v>Bystander shot during drive-by</v>
      </c>
      <c r="Z1905" s="12" t="str">
        <f ca="1">IFERROR(__xludf.DUMMYFUNCTION("""COMPUTED_VALUE"""),"17 year old victim was walking from football game to front of school when several shots were fired in the area. Victim was shot in the arm. An SUV in the parking lot was also shot several times. Suspects were described as two black males.")</f>
        <v>17 year old victim was walking from football game to front of school when several shots were fired in the area. Victim was shot in the arm. An SUV in the parking lot was also shot several times. Suspects were described as two black males.</v>
      </c>
      <c r="AA1905" s="8" t="str">
        <f ca="1">IFERROR(__xludf.DUMMYFUNCTION("""COMPUTED_VALUE"""),"Drive-by Shooting")</f>
        <v>Drive-by Shooting</v>
      </c>
      <c r="AB1905" s="8"/>
      <c r="AC1905" s="8" t="str">
        <f ca="1">IFERROR(__xludf.DUMMYFUNCTION("""COMPUTED_VALUE"""),"Yes")</f>
        <v>Yes</v>
      </c>
      <c r="AD1905" s="8" t="str">
        <f ca="1">IFERROR(__xludf.DUMMYFUNCTION("""COMPUTED_VALUE"""),"Random Shooting")</f>
        <v>Random Shooting</v>
      </c>
      <c r="AE1905" s="8"/>
      <c r="AF1905" s="8"/>
      <c r="AG1905" s="8" t="str">
        <f ca="1">IFERROR(__xludf.DUMMYFUNCTION("""COMPUTED_VALUE"""),"No")</f>
        <v>No</v>
      </c>
      <c r="AH1905" s="8" t="str">
        <f ca="1">IFERROR(__xludf.DUMMYFUNCTION("""COMPUTED_VALUE"""),"No")</f>
        <v>No</v>
      </c>
      <c r="AI1905" s="8" t="str">
        <f ca="1">IFERROR(__xludf.DUMMYFUNCTION("""COMPUTED_VALUE"""),"No")</f>
        <v>No</v>
      </c>
      <c r="AJ1905" s="8" t="str">
        <f ca="1">IFERROR(__xludf.DUMMYFUNCTION("""COMPUTED_VALUE"""),"No")</f>
        <v>No</v>
      </c>
      <c r="AK1905" s="8" t="str">
        <f ca="1">IFERROR(__xludf.DUMMYFUNCTION("""COMPUTED_VALUE"""),"No")</f>
        <v>No</v>
      </c>
      <c r="AL1905" s="8"/>
      <c r="AM1905" s="8" t="str">
        <f ca="1">IFERROR(__xludf.DUMMYFUNCTION("""COMPUTED_VALUE"""),"No")</f>
        <v>No</v>
      </c>
      <c r="AN1905" s="8"/>
      <c r="AO1905" s="8" t="str">
        <f ca="1">IFERROR(__xludf.DUMMYFUNCTION("""COMPUTED_VALUE"""),"No")</f>
        <v>No</v>
      </c>
      <c r="AP1905" s="8"/>
      <c r="AQ1905" s="8" t="str">
        <f ca="1">IFERROR(__xludf.DUMMYFUNCTION("""COMPUTED_VALUE"""),"Unknown")</f>
        <v>Unknown</v>
      </c>
      <c r="AR1905" s="8" t="str">
        <f ca="1">IFERROR(__xludf.DUMMYFUNCTION("""COMPUTED_VALUE"""),"NA")</f>
        <v>NA</v>
      </c>
      <c r="AS1905" s="8"/>
      <c r="AT1905" s="8"/>
      <c r="AU1905" s="8">
        <f ca="1">IFERROR(__xludf.DUMMYFUNCTION("""COMPUTED_VALUE"""),30.251437)</f>
        <v>30.251436999999999</v>
      </c>
      <c r="AV1905" s="8">
        <f ca="1">IFERROR(__xludf.DUMMYFUNCTION("""COMPUTED_VALUE"""),-92.003224)</f>
        <v>-92.003224000000003</v>
      </c>
      <c r="AW1905" s="8"/>
      <c r="AX1905" s="8">
        <f ca="1">IFERROR(__xludf.DUMMYFUNCTION("""COMPUTED_VALUE"""),70501)</f>
        <v>70501</v>
      </c>
    </row>
    <row r="1906" spans="1:50" ht="75" x14ac:dyDescent="0.2">
      <c r="A1906" s="8" t="str">
        <f ca="1">IFERROR(__xludf.DUMMYFUNCTION("""COMPUTED_VALUE"""),"20150903ORNEN")</f>
        <v>20150903ORNEN</v>
      </c>
      <c r="B1906" s="8">
        <f ca="1">IFERROR(__xludf.DUMMYFUNCTION("""COMPUTED_VALUE"""),9)</f>
        <v>9</v>
      </c>
      <c r="C1906" s="8">
        <f ca="1">IFERROR(__xludf.DUMMYFUNCTION("""COMPUTED_VALUE"""),3)</f>
        <v>3</v>
      </c>
      <c r="D1906" s="8">
        <f ca="1">IFERROR(__xludf.DUMMYFUNCTION("""COMPUTED_VALUE"""),2015)</f>
        <v>2015</v>
      </c>
      <c r="E1906" s="9">
        <f ca="1">IFERROR(__xludf.DUMMYFUNCTION("""COMPUTED_VALUE"""),42250)</f>
        <v>42250</v>
      </c>
      <c r="F1906" s="8" t="str">
        <f ca="1">IFERROR(__xludf.DUMMYFUNCTION("""COMPUTED_VALUE"""),"Newberg High School")</f>
        <v>Newberg High School</v>
      </c>
      <c r="G1906" s="8">
        <f ca="1">IFERROR(__xludf.DUMMYFUNCTION("""COMPUTED_VALUE"""),0)</f>
        <v>0</v>
      </c>
      <c r="H1906" s="8">
        <f ca="1">IFERROR(__xludf.DUMMYFUNCTION("""COMPUTED_VALUE"""),0)</f>
        <v>0</v>
      </c>
      <c r="I1906" s="8">
        <f ca="1">IFERROR(__xludf.DUMMYFUNCTION("""COMPUTED_VALUE"""),0)</f>
        <v>0</v>
      </c>
      <c r="J1906" s="8">
        <f ca="1">IFERROR(__xludf.DUMMYFUNCTION("""COMPUTED_VALUE"""),0)</f>
        <v>0</v>
      </c>
      <c r="K1906" s="10" t="str">
        <f ca="1">IFERROR(__xludf.DUMMYFUNCTION("""COMPUTED_VALUE"""),"https://www.statesmanjournal.com/story/news/2015/09/04/man-arrested-after-shots-fired-near-newberg-high-school/71699392/")</f>
        <v>https://www.statesmanjournal.com/story/news/2015/09/04/man-arrested-after-shots-fired-near-newberg-high-school/71699392/</v>
      </c>
      <c r="L1906" s="8"/>
      <c r="M1906" s="8"/>
      <c r="N1906" s="8">
        <f ca="1">IFERROR(__xludf.DUMMYFUNCTION("""COMPUTED_VALUE"""),3)</f>
        <v>3</v>
      </c>
      <c r="O1906" s="8" t="str">
        <f ca="1">IFERROR(__xludf.DUMMYFUNCTION("""COMPUTED_VALUE"""),"Fall")</f>
        <v>Fall</v>
      </c>
      <c r="P1906" s="8" t="str">
        <f ca="1">IFERROR(__xludf.DUMMYFUNCTION("""COMPUTED_VALUE"""),"Newberg")</f>
        <v>Newberg</v>
      </c>
      <c r="Q1906" s="8" t="str">
        <f ca="1">IFERROR(__xludf.DUMMYFUNCTION("""COMPUTED_VALUE"""),"OR")</f>
        <v>OR</v>
      </c>
      <c r="R1906" s="8" t="str">
        <f ca="1">IFERROR(__xludf.DUMMYFUNCTION("""COMPUTED_VALUE"""),"High")</f>
        <v>High</v>
      </c>
      <c r="S1906" s="8" t="str">
        <f ca="1">IFERROR(__xludf.DUMMYFUNCTION("""COMPUTED_VALUE"""),"Football Field/Track")</f>
        <v>Football Field/Track</v>
      </c>
      <c r="T1906" s="8" t="str">
        <f ca="1">IFERROR(__xludf.DUMMYFUNCTION("""COMPUTED_VALUE"""),"Outside on School Property")</f>
        <v>Outside on School Property</v>
      </c>
      <c r="U1906" s="8" t="str">
        <f ca="1">IFERROR(__xludf.DUMMYFUNCTION("""COMPUTED_VALUE"""),"No")</f>
        <v>No</v>
      </c>
      <c r="V1906" s="8" t="str">
        <f ca="1">IFERROR(__xludf.DUMMYFUNCTION("""COMPUTED_VALUE"""),"Sport Event")</f>
        <v>Sport Event</v>
      </c>
      <c r="W1906" s="11">
        <f ca="1">IFERROR(__xludf.DUMMYFUNCTION("""COMPUTED_VALUE"""),0.854166666666666)</f>
        <v>0.85416666666666596</v>
      </c>
      <c r="X1906" s="8">
        <f ca="1">IFERROR(__xludf.DUMMYFUNCTION("""COMPUTED_VALUE"""),1)</f>
        <v>1</v>
      </c>
      <c r="Y1906" s="12" t="str">
        <f ca="1">IFERROR(__xludf.DUMMYFUNCTION("""COMPUTED_VALUE"""),"Shots fired off the school campus struck the beachers during a sporting event")</f>
        <v>Shots fired off the school campus struck the beachers during a sporting event</v>
      </c>
      <c r="Z1906" s="12" t="str">
        <f ca="1">IFERROR(__xludf.DUMMYFUNCTION("""COMPUTED_VALUE"""),"53YOM fired multiple shots near the school during an evening athletic event. Shots struck the bleachers. 150 people were in the stadium and evacuated to the gym. Police found bullets on the track near the metal bleachers.")</f>
        <v>53YOM fired multiple shots near the school during an evening athletic event. Shots struck the bleachers. 150 people were in the stadium and evacuated to the gym. Police found bullets on the track near the metal bleachers.</v>
      </c>
      <c r="AA1906" s="8" t="str">
        <f ca="1">IFERROR(__xludf.DUMMYFUNCTION("""COMPUTED_VALUE"""),"Escalation of Dispute")</f>
        <v>Escalation of Dispute</v>
      </c>
      <c r="AB1906" s="8"/>
      <c r="AC1906" s="8" t="str">
        <f ca="1">IFERROR(__xludf.DUMMYFUNCTION("""COMPUTED_VALUE"""),"Yes")</f>
        <v>Yes</v>
      </c>
      <c r="AD1906" s="8"/>
      <c r="AE1906" s="8" t="str">
        <f ca="1">IFERROR(__xludf.DUMMYFUNCTION("""COMPUTED_VALUE"""),"No")</f>
        <v>No</v>
      </c>
      <c r="AF1906" s="8"/>
      <c r="AG1906" s="8" t="str">
        <f ca="1">IFERROR(__xludf.DUMMYFUNCTION("""COMPUTED_VALUE"""),"No")</f>
        <v>No</v>
      </c>
      <c r="AH1906" s="8" t="str">
        <f ca="1">IFERROR(__xludf.DUMMYFUNCTION("""COMPUTED_VALUE"""),"No")</f>
        <v>No</v>
      </c>
      <c r="AI1906" s="8" t="str">
        <f ca="1">IFERROR(__xludf.DUMMYFUNCTION("""COMPUTED_VALUE"""),"No")</f>
        <v>No</v>
      </c>
      <c r="AJ1906" s="8" t="str">
        <f ca="1">IFERROR(__xludf.DUMMYFUNCTION("""COMPUTED_VALUE"""),"No")</f>
        <v>No</v>
      </c>
      <c r="AK1906" s="8" t="str">
        <f ca="1">IFERROR(__xludf.DUMMYFUNCTION("""COMPUTED_VALUE"""),"No")</f>
        <v>No</v>
      </c>
      <c r="AL1906" s="8" t="str">
        <f ca="1">IFERROR(__xludf.DUMMYFUNCTION("""COMPUTED_VALUE"""),"No")</f>
        <v>No</v>
      </c>
      <c r="AM1906" s="8" t="str">
        <f ca="1">IFERROR(__xludf.DUMMYFUNCTION("""COMPUTED_VALUE"""),"No")</f>
        <v>No</v>
      </c>
      <c r="AN1906" s="8"/>
      <c r="AO1906" s="8" t="str">
        <f ca="1">IFERROR(__xludf.DUMMYFUNCTION("""COMPUTED_VALUE"""),"No")</f>
        <v>No</v>
      </c>
      <c r="AP1906" s="8"/>
      <c r="AQ1906" s="8" t="str">
        <f ca="1">IFERROR(__xludf.DUMMYFUNCTION("""COMPUTED_VALUE"""),"Unknown")</f>
        <v>Unknown</v>
      </c>
      <c r="AR1906" s="8" t="str">
        <f ca="1">IFERROR(__xludf.DUMMYFUNCTION("""COMPUTED_VALUE"""),"NA")</f>
        <v>NA</v>
      </c>
      <c r="AS1906" s="8"/>
      <c r="AT1906" s="8" t="str">
        <f ca="1">IFERROR(__xludf.DUMMYFUNCTION("""COMPUTED_VALUE"""),"Yes")</f>
        <v>Yes</v>
      </c>
      <c r="AU1906" s="8">
        <f ca="1">IFERROR(__xludf.DUMMYFUNCTION("""COMPUTED_VALUE"""),45.311396)</f>
        <v>45.311396000000002</v>
      </c>
      <c r="AV1906" s="8">
        <f ca="1">IFERROR(__xludf.DUMMYFUNCTION("""COMPUTED_VALUE"""),-122.955349)</f>
        <v>-122.955349</v>
      </c>
      <c r="AW1906" s="8"/>
      <c r="AX1906" s="8">
        <f ca="1">IFERROR(__xludf.DUMMYFUNCTION("""COMPUTED_VALUE"""),97132)</f>
        <v>97132</v>
      </c>
    </row>
    <row r="1907" spans="1:50" ht="75" x14ac:dyDescent="0.2">
      <c r="A1907" s="8" t="str">
        <f ca="1">IFERROR(__xludf.DUMMYFUNCTION("""COMPUTED_VALUE"""),"20150825GAWSA")</f>
        <v>20150825GAWSA</v>
      </c>
      <c r="B1907" s="8">
        <f ca="1">IFERROR(__xludf.DUMMYFUNCTION("""COMPUTED_VALUE"""),8)</f>
        <v>8</v>
      </c>
      <c r="C1907" s="8">
        <f ca="1">IFERROR(__xludf.DUMMYFUNCTION("""COMPUTED_VALUE"""),25)</f>
        <v>25</v>
      </c>
      <c r="D1907" s="8">
        <f ca="1">IFERROR(__xludf.DUMMYFUNCTION("""COMPUTED_VALUE"""),2015)</f>
        <v>2015</v>
      </c>
      <c r="E1907" s="9">
        <f ca="1">IFERROR(__xludf.DUMMYFUNCTION("""COMPUTED_VALUE"""),42241)</f>
        <v>42241</v>
      </c>
      <c r="F1907" s="8" t="str">
        <f ca="1">IFERROR(__xludf.DUMMYFUNCTION("""COMPUTED_VALUE"""),"W S Hornsby Elementary School")</f>
        <v>W S Hornsby Elementary School</v>
      </c>
      <c r="G1907" s="8">
        <f ca="1">IFERROR(__xludf.DUMMYFUNCTION("""COMPUTED_VALUE"""),0)</f>
        <v>0</v>
      </c>
      <c r="H1907" s="8">
        <f ca="1">IFERROR(__xludf.DUMMYFUNCTION("""COMPUTED_VALUE"""),1)</f>
        <v>1</v>
      </c>
      <c r="I1907" s="8">
        <f ca="1">IFERROR(__xludf.DUMMYFUNCTION("""COMPUTED_VALUE"""),1)</f>
        <v>1</v>
      </c>
      <c r="J1907" s="8">
        <f ca="1">IFERROR(__xludf.DUMMYFUNCTION("""COMPUTED_VALUE"""),0)</f>
        <v>0</v>
      </c>
      <c r="K1907" s="10" t="str">
        <f ca="1">IFERROR(__xludf.DUMMYFUNCTION("""COMPUTED_VALUE"""),"http://www.wrdw.com/home/headlines/BREAKING-Student-at-Hornsby-School-shot-and-taken-to-hospital-322826461.html")</f>
        <v>http://www.wrdw.com/home/headlines/BREAKING-Student-at-Hornsby-School-shot-and-taken-to-hospital-322826461.html</v>
      </c>
      <c r="L1907" s="8">
        <f ca="1">IFERROR(__xludf.DUMMYFUNCTION("""COMPUTED_VALUE"""),1)</f>
        <v>1</v>
      </c>
      <c r="M1907" s="8" t="str">
        <f ca="1">IFERROR(__xludf.DUMMYFUNCTION("""COMPUTED_VALUE"""),"Local")</f>
        <v>Local</v>
      </c>
      <c r="N1907" s="8">
        <f ca="1">IFERROR(__xludf.DUMMYFUNCTION("""COMPUTED_VALUE"""),2)</f>
        <v>2</v>
      </c>
      <c r="O1907" s="8" t="str">
        <f ca="1">IFERROR(__xludf.DUMMYFUNCTION("""COMPUTED_VALUE"""),"Summer")</f>
        <v>Summer</v>
      </c>
      <c r="P1907" s="8" t="str">
        <f ca="1">IFERROR(__xludf.DUMMYFUNCTION("""COMPUTED_VALUE"""),"Augusta")</f>
        <v>Augusta</v>
      </c>
      <c r="Q1907" s="8" t="str">
        <f ca="1">IFERROR(__xludf.DUMMYFUNCTION("""COMPUTED_VALUE"""),"GA")</f>
        <v>GA</v>
      </c>
      <c r="R1907" s="8" t="str">
        <f ca="1">IFERROR(__xludf.DUMMYFUNCTION("""COMPUTED_VALUE"""),"Elementary")</f>
        <v>Elementary</v>
      </c>
      <c r="S1907" s="8" t="str">
        <f ca="1">IFERROR(__xludf.DUMMYFUNCTION("""COMPUTED_VALUE"""),"Classroom")</f>
        <v>Classroom</v>
      </c>
      <c r="T1907" s="8" t="str">
        <f ca="1">IFERROR(__xludf.DUMMYFUNCTION("""COMPUTED_VALUE"""),"Inside School Building")</f>
        <v>Inside School Building</v>
      </c>
      <c r="U1907" s="8" t="str">
        <f ca="1">IFERROR(__xludf.DUMMYFUNCTION("""COMPUTED_VALUE"""),"Yes")</f>
        <v>Yes</v>
      </c>
      <c r="V1907" s="8" t="str">
        <f ca="1">IFERROR(__xludf.DUMMYFUNCTION("""COMPUTED_VALUE"""),"Morning Classes")</f>
        <v>Morning Classes</v>
      </c>
      <c r="W1907" s="11">
        <f ca="1">IFERROR(__xludf.DUMMYFUNCTION("""COMPUTED_VALUE"""),0.447916666666666)</f>
        <v>0.44791666666666602</v>
      </c>
      <c r="X1907" s="8">
        <f ca="1">IFERROR(__xludf.DUMMYFUNCTION("""COMPUTED_VALUE"""),1)</f>
        <v>1</v>
      </c>
      <c r="Y1907" s="12" t="str">
        <f ca="1">IFERROR(__xludf.DUMMYFUNCTION("""COMPUTED_VALUE"""),"Accidental discharge playing with gun in classroom")</f>
        <v>Accidental discharge playing with gun in classroom</v>
      </c>
      <c r="Z1907" s="12" t="str">
        <f ca="1">IFERROR(__xludf.DUMMYFUNCTION("""COMPUTED_VALUE"""),"Shooter (3rd grade student) stole his grandmother's boyfriend's gun and brought it to school. Shooter was playing with the gun under his desk when it accidentally discharged and wounded a female student. The adult who owned the gun turned himself in and w"&amp;"as charged.")</f>
        <v>Shooter (3rd grade student) stole his grandmother's boyfriend's gun and brought it to school. Shooter was playing with the gun under his desk when it accidentally discharged and wounded a female student. The adult who owned the gun turned himself in and was charged.</v>
      </c>
      <c r="AA1907" s="8" t="str">
        <f ca="1">IFERROR(__xludf.DUMMYFUNCTION("""COMPUTED_VALUE"""),"Accidental")</f>
        <v>Accidental</v>
      </c>
      <c r="AB1907" s="8"/>
      <c r="AC1907" s="8" t="str">
        <f ca="1">IFERROR(__xludf.DUMMYFUNCTION("""COMPUTED_VALUE"""),"Yes")</f>
        <v>Yes</v>
      </c>
      <c r="AD1907" s="8" t="str">
        <f ca="1">IFERROR(__xludf.DUMMYFUNCTION("""COMPUTED_VALUE"""),"Neither")</f>
        <v>Neither</v>
      </c>
      <c r="AE1907" s="8" t="str">
        <f ca="1">IFERROR(__xludf.DUMMYFUNCTION("""COMPUTED_VALUE"""),"No")</f>
        <v>No</v>
      </c>
      <c r="AF1907" s="8"/>
      <c r="AG1907" s="8" t="str">
        <f ca="1">IFERROR(__xludf.DUMMYFUNCTION("""COMPUTED_VALUE"""),"No")</f>
        <v>No</v>
      </c>
      <c r="AH1907" s="8" t="str">
        <f ca="1">IFERROR(__xludf.DUMMYFUNCTION("""COMPUTED_VALUE"""),"No")</f>
        <v>No</v>
      </c>
      <c r="AI1907" s="8" t="str">
        <f ca="1">IFERROR(__xludf.DUMMYFUNCTION("""COMPUTED_VALUE"""),"No")</f>
        <v>No</v>
      </c>
      <c r="AJ1907" s="8" t="str">
        <f ca="1">IFERROR(__xludf.DUMMYFUNCTION("""COMPUTED_VALUE"""),"No")</f>
        <v>No</v>
      </c>
      <c r="AK1907" s="8" t="str">
        <f ca="1">IFERROR(__xludf.DUMMYFUNCTION("""COMPUTED_VALUE"""),"No")</f>
        <v>No</v>
      </c>
      <c r="AL1907" s="8" t="str">
        <f ca="1">IFERROR(__xludf.DUMMYFUNCTION("""COMPUTED_VALUE"""),"No")</f>
        <v>No</v>
      </c>
      <c r="AM1907" s="8" t="str">
        <f ca="1">IFERROR(__xludf.DUMMYFUNCTION("""COMPUTED_VALUE"""),"No")</f>
        <v>No</v>
      </c>
      <c r="AN1907" s="8"/>
      <c r="AO1907" s="8" t="str">
        <f ca="1">IFERROR(__xludf.DUMMYFUNCTION("""COMPUTED_VALUE"""),"No")</f>
        <v>No</v>
      </c>
      <c r="AP1907" s="8" t="str">
        <f ca="1">IFERROR(__xludf.DUMMYFUNCTION("""COMPUTED_VALUE"""),"Yes")</f>
        <v>Yes</v>
      </c>
      <c r="AQ1907" s="8" t="str">
        <f ca="1">IFERROR(__xludf.DUMMYFUNCTION("""COMPUTED_VALUE"""),"None")</f>
        <v>None</v>
      </c>
      <c r="AR1907" s="8" t="str">
        <f ca="1">IFERROR(__xludf.DUMMYFUNCTION("""COMPUTED_VALUE"""),"NA")</f>
        <v>NA</v>
      </c>
      <c r="AS1907" s="8">
        <f ca="1">IFERROR(__xludf.DUMMYFUNCTION("""COMPUTED_VALUE"""),1)</f>
        <v>1</v>
      </c>
      <c r="AT1907" s="8" t="str">
        <f ca="1">IFERROR(__xludf.DUMMYFUNCTION("""COMPUTED_VALUE"""),"No")</f>
        <v>No</v>
      </c>
      <c r="AU1907" s="8">
        <f ca="1">IFERROR(__xludf.DUMMYFUNCTION("""COMPUTED_VALUE"""),33.459564)</f>
        <v>33.459564</v>
      </c>
      <c r="AV1907" s="8">
        <f ca="1">IFERROR(__xludf.DUMMYFUNCTION("""COMPUTED_VALUE"""),-81.937992)</f>
        <v>-81.937991999999994</v>
      </c>
      <c r="AW1907" s="8"/>
      <c r="AX1907" s="8">
        <f ca="1">IFERROR(__xludf.DUMMYFUNCTION("""COMPUTED_VALUE"""),30901)</f>
        <v>30901</v>
      </c>
    </row>
    <row r="1908" spans="1:50" ht="60" x14ac:dyDescent="0.2">
      <c r="A1908" s="8" t="str">
        <f ca="1">IFERROR(__xludf.DUMMYFUNCTION("""COMPUTED_VALUE"""),"20150823TXWIR")</f>
        <v>20150823TXWIR</v>
      </c>
      <c r="B1908" s="8">
        <f ca="1">IFERROR(__xludf.DUMMYFUNCTION("""COMPUTED_VALUE"""),8)</f>
        <v>8</v>
      </c>
      <c r="C1908" s="8">
        <f ca="1">IFERROR(__xludf.DUMMYFUNCTION("""COMPUTED_VALUE"""),23)</f>
        <v>23</v>
      </c>
      <c r="D1908" s="8">
        <f ca="1">IFERROR(__xludf.DUMMYFUNCTION("""COMPUTED_VALUE"""),2015)</f>
        <v>2015</v>
      </c>
      <c r="E1908" s="9">
        <f ca="1">IFERROR(__xludf.DUMMYFUNCTION("""COMPUTED_VALUE"""),42239)</f>
        <v>42239</v>
      </c>
      <c r="F1908" s="8" t="str">
        <f ca="1">IFERROR(__xludf.DUMMYFUNCTION("""COMPUTED_VALUE"""),"William Velasquez Elementary School")</f>
        <v>William Velasquez Elementary School</v>
      </c>
      <c r="G1908" s="8">
        <f ca="1">IFERROR(__xludf.DUMMYFUNCTION("""COMPUTED_VALUE"""),0)</f>
        <v>0</v>
      </c>
      <c r="H1908" s="8">
        <f ca="1">IFERROR(__xludf.DUMMYFUNCTION("""COMPUTED_VALUE"""),0)</f>
        <v>0</v>
      </c>
      <c r="I1908" s="8">
        <f ca="1">IFERROR(__xludf.DUMMYFUNCTION("""COMPUTED_VALUE"""),0)</f>
        <v>0</v>
      </c>
      <c r="J1908" s="8">
        <f ca="1">IFERROR(__xludf.DUMMYFUNCTION("""COMPUTED_VALUE"""),0)</f>
        <v>0</v>
      </c>
      <c r="K1908" s="8" t="str">
        <f ca="1">IFERROR(__xludf.DUMMYFUNCTION("""COMPUTED_VALUE"""),"http://abc13.com/news/20-year-old-arrested-after-bizarre-alleged-shooting-bagpipes-incident-at-school/953170/ . https://www.chron.com/neighborhood/fortbend/news/article/Men-with-guns-trespass-at-Richmond-elementary-6460655.php")</f>
        <v>http://abc13.com/news/20-year-old-arrested-after-bizarre-alleged-shooting-bagpipes-incident-at-school/953170/ . https://www.chron.com/neighborhood/fortbend/news/article/Men-with-guns-trespass-at-Richmond-elementary-6460655.php</v>
      </c>
      <c r="L1908" s="8"/>
      <c r="M1908" s="8"/>
      <c r="N1908" s="8">
        <f ca="1">IFERROR(__xludf.DUMMYFUNCTION("""COMPUTED_VALUE"""),3)</f>
        <v>3</v>
      </c>
      <c r="O1908" s="8" t="str">
        <f ca="1">IFERROR(__xludf.DUMMYFUNCTION("""COMPUTED_VALUE"""),"Summer")</f>
        <v>Summer</v>
      </c>
      <c r="P1908" s="8" t="str">
        <f ca="1">IFERROR(__xludf.DUMMYFUNCTION("""COMPUTED_VALUE"""),"Richmond")</f>
        <v>Richmond</v>
      </c>
      <c r="Q1908" s="8" t="str">
        <f ca="1">IFERROR(__xludf.DUMMYFUNCTION("""COMPUTED_VALUE"""),"TX")</f>
        <v>TX</v>
      </c>
      <c r="R1908" s="8" t="str">
        <f ca="1">IFERROR(__xludf.DUMMYFUNCTION("""COMPUTED_VALUE"""),"Elementary")</f>
        <v>Elementary</v>
      </c>
      <c r="S1908" s="8" t="str">
        <f ca="1">IFERROR(__xludf.DUMMYFUNCTION("""COMPUTED_VALUE"""),"Other")</f>
        <v>Other</v>
      </c>
      <c r="T1908" s="8" t="str">
        <f ca="1">IFERROR(__xludf.DUMMYFUNCTION("""COMPUTED_VALUE"""),"Outside on School Property")</f>
        <v>Outside on School Property</v>
      </c>
      <c r="U1908" s="8" t="str">
        <f ca="1">IFERROR(__xludf.DUMMYFUNCTION("""COMPUTED_VALUE"""),"No")</f>
        <v>No</v>
      </c>
      <c r="V1908" s="8" t="str">
        <f ca="1">IFERROR(__xludf.DUMMYFUNCTION("""COMPUTED_VALUE"""),"Not a School Day")</f>
        <v>Not a School Day</v>
      </c>
      <c r="W1908" s="11">
        <f ca="1">IFERROR(__xludf.DUMMYFUNCTION("""COMPUTED_VALUE"""),0.333333333333333)</f>
        <v>0.33333333333333298</v>
      </c>
      <c r="X1908" s="8"/>
      <c r="Y1908" s="12" t="str">
        <f ca="1">IFERROR(__xludf.DUMMYFUNCTION("""COMPUTED_VALUE"""),"Fired at random victims from the roof of the school")</f>
        <v>Fired at random victims from the roof of the school</v>
      </c>
      <c r="Z1908" s="12" t="str">
        <f ca="1">IFERROR(__xludf.DUMMYFUNCTION("""COMPUTED_VALUE"""),"Shooter was on the roof of the school randomly shooting - was arrested and charged - no one was injured or threatened during the incident. Shooter stated he was going through personal problems - gun came back stolen.")</f>
        <v>Shooter was on the roof of the school randomly shooting - was arrested and charged - no one was injured or threatened during the incident. Shooter stated he was going through personal problems - gun came back stolen.</v>
      </c>
      <c r="AA1908" s="8" t="str">
        <f ca="1">IFERROR(__xludf.DUMMYFUNCTION("""COMPUTED_VALUE"""),"Indiscriminate Shooting")</f>
        <v>Indiscriminate Shooting</v>
      </c>
      <c r="AB1908" s="8"/>
      <c r="AC1908" s="8" t="str">
        <f ca="1">IFERROR(__xludf.DUMMYFUNCTION("""COMPUTED_VALUE"""),"No")</f>
        <v>No</v>
      </c>
      <c r="AD1908" s="8" t="str">
        <f ca="1">IFERROR(__xludf.DUMMYFUNCTION("""COMPUTED_VALUE"""),"Neither")</f>
        <v>Neither</v>
      </c>
      <c r="AE1908" s="8" t="str">
        <f ca="1">IFERROR(__xludf.DUMMYFUNCTION("""COMPUTED_VALUE"""),"No")</f>
        <v>No</v>
      </c>
      <c r="AF1908" s="8"/>
      <c r="AG1908" s="8" t="str">
        <f ca="1">IFERROR(__xludf.DUMMYFUNCTION("""COMPUTED_VALUE"""),"No")</f>
        <v>No</v>
      </c>
      <c r="AH1908" s="8" t="str">
        <f ca="1">IFERROR(__xludf.DUMMYFUNCTION("""COMPUTED_VALUE"""),"No")</f>
        <v>No</v>
      </c>
      <c r="AI1908" s="8" t="str">
        <f ca="1">IFERROR(__xludf.DUMMYFUNCTION("""COMPUTED_VALUE"""),"No")</f>
        <v>No</v>
      </c>
      <c r="AJ1908" s="8" t="str">
        <f ca="1">IFERROR(__xludf.DUMMYFUNCTION("""COMPUTED_VALUE"""),"No")</f>
        <v>No</v>
      </c>
      <c r="AK1908" s="8" t="str">
        <f ca="1">IFERROR(__xludf.DUMMYFUNCTION("""COMPUTED_VALUE"""),"No")</f>
        <v>No</v>
      </c>
      <c r="AL1908" s="8" t="str">
        <f ca="1">IFERROR(__xludf.DUMMYFUNCTION("""COMPUTED_VALUE"""),"No")</f>
        <v>No</v>
      </c>
      <c r="AM1908" s="8" t="str">
        <f ca="1">IFERROR(__xludf.DUMMYFUNCTION("""COMPUTED_VALUE"""),"Yes")</f>
        <v>Yes</v>
      </c>
      <c r="AN1908" s="8" t="str">
        <f ca="1">IFERROR(__xludf.DUMMYFUNCTION("""COMPUTED_VALUE"""),"Outside")</f>
        <v>Outside</v>
      </c>
      <c r="AO1908" s="8" t="str">
        <f ca="1">IFERROR(__xludf.DUMMYFUNCTION("""COMPUTED_VALUE"""),"No")</f>
        <v>No</v>
      </c>
      <c r="AP1908" s="8"/>
      <c r="AQ1908" s="8" t="str">
        <f ca="1">IFERROR(__xludf.DUMMYFUNCTION("""COMPUTED_VALUE"""),"Unknown")</f>
        <v>Unknown</v>
      </c>
      <c r="AR1908" s="8" t="str">
        <f ca="1">IFERROR(__xludf.DUMMYFUNCTION("""COMPUTED_VALUE"""),"NA")</f>
        <v>NA</v>
      </c>
      <c r="AS1908" s="8"/>
      <c r="AT1908" s="8"/>
      <c r="AU1908" s="8">
        <f ca="1">IFERROR(__xludf.DUMMYFUNCTION("""COMPUTED_VALUE"""),29.539087)</f>
        <v>29.539086999999999</v>
      </c>
      <c r="AV1908" s="8">
        <f ca="1">IFERROR(__xludf.DUMMYFUNCTION("""COMPUTED_VALUE"""),-95.683296)</f>
        <v>-95.683295999999999</v>
      </c>
      <c r="AW1908" s="8"/>
      <c r="AX1908" s="8">
        <f ca="1">IFERROR(__xludf.DUMMYFUNCTION("""COMPUTED_VALUE"""),77469)</f>
        <v>77469</v>
      </c>
    </row>
    <row r="1909" spans="1:50" ht="90" x14ac:dyDescent="0.2">
      <c r="A1909" s="8" t="str">
        <f ca="1">IFERROR(__xludf.DUMMYFUNCTION("""COMPUTED_VALUE"""),"20150808TXPAP")</f>
        <v>20150808TXPAP</v>
      </c>
      <c r="B1909" s="8">
        <f ca="1">IFERROR(__xludf.DUMMYFUNCTION("""COMPUTED_VALUE"""),8)</f>
        <v>8</v>
      </c>
      <c r="C1909" s="8">
        <f ca="1">IFERROR(__xludf.DUMMYFUNCTION("""COMPUTED_VALUE"""),8)</f>
        <v>8</v>
      </c>
      <c r="D1909" s="8">
        <f ca="1">IFERROR(__xludf.DUMMYFUNCTION("""COMPUTED_VALUE"""),2015)</f>
        <v>2015</v>
      </c>
      <c r="E1909" s="9">
        <f ca="1">IFERROR(__xludf.DUMMYFUNCTION("""COMPUTED_VALUE"""),42224)</f>
        <v>42224</v>
      </c>
      <c r="F1909" s="8" t="str">
        <f ca="1">IFERROR(__xludf.DUMMYFUNCTION("""COMPUTED_VALUE"""),"Paradise High School")</f>
        <v>Paradise High School</v>
      </c>
      <c r="G1909" s="8">
        <f ca="1">IFERROR(__xludf.DUMMYFUNCTION("""COMPUTED_VALUE"""),0)</f>
        <v>0</v>
      </c>
      <c r="H1909" s="8">
        <f ca="1">IFERROR(__xludf.DUMMYFUNCTION("""COMPUTED_VALUE"""),0)</f>
        <v>0</v>
      </c>
      <c r="I1909" s="8">
        <f ca="1">IFERROR(__xludf.DUMMYFUNCTION("""COMPUTED_VALUE"""),0)</f>
        <v>0</v>
      </c>
      <c r="J1909" s="8">
        <f ca="1">IFERROR(__xludf.DUMMYFUNCTION("""COMPUTED_VALUE"""),0)</f>
        <v>0</v>
      </c>
      <c r="K1909" s="8" t="str">
        <f ca="1">IFERROR(__xludf.DUMMYFUNCTION("""COMPUTED_VALUE"""),"https://www.star-telegram.com/news/local/crime/article30493332.html . https://www.wcmessenger.com/2015/news/man-fires-shots-on-school-property/")</f>
        <v>https://www.star-telegram.com/news/local/crime/article30493332.html . https://www.wcmessenger.com/2015/news/man-fires-shots-on-school-property/</v>
      </c>
      <c r="L1909" s="8"/>
      <c r="M1909" s="8"/>
      <c r="N1909" s="8">
        <f ca="1">IFERROR(__xludf.DUMMYFUNCTION("""COMPUTED_VALUE"""),3)</f>
        <v>3</v>
      </c>
      <c r="O1909" s="8" t="str">
        <f ca="1">IFERROR(__xludf.DUMMYFUNCTION("""COMPUTED_VALUE"""),"Summer")</f>
        <v>Summer</v>
      </c>
      <c r="P1909" s="8" t="str">
        <f ca="1">IFERROR(__xludf.DUMMYFUNCTION("""COMPUTED_VALUE"""),"Paradise")</f>
        <v>Paradise</v>
      </c>
      <c r="Q1909" s="8" t="str">
        <f ca="1">IFERROR(__xludf.DUMMYFUNCTION("""COMPUTED_VALUE"""),"TX")</f>
        <v>TX</v>
      </c>
      <c r="R1909" s="8" t="str">
        <f ca="1">IFERROR(__xludf.DUMMYFUNCTION("""COMPUTED_VALUE"""),"High")</f>
        <v>High</v>
      </c>
      <c r="S1909" s="8" t="str">
        <f ca="1">IFERROR(__xludf.DUMMYFUNCTION("""COMPUTED_VALUE"""),"Parking Lot")</f>
        <v>Parking Lot</v>
      </c>
      <c r="T1909" s="8" t="str">
        <f ca="1">IFERROR(__xludf.DUMMYFUNCTION("""COMPUTED_VALUE"""),"Outside on School Property")</f>
        <v>Outside on School Property</v>
      </c>
      <c r="U1909" s="8" t="str">
        <f ca="1">IFERROR(__xludf.DUMMYFUNCTION("""COMPUTED_VALUE"""),"No")</f>
        <v>No</v>
      </c>
      <c r="V1909" s="8" t="str">
        <f ca="1">IFERROR(__xludf.DUMMYFUNCTION("""COMPUTED_VALUE"""),"Not a School Day")</f>
        <v>Not a School Day</v>
      </c>
      <c r="W1909" s="11">
        <f ca="1">IFERROR(__xludf.DUMMYFUNCTION("""COMPUTED_VALUE"""),0.302083333333333)</f>
        <v>0.30208333333333298</v>
      </c>
      <c r="X1909" s="8">
        <f ca="1">IFERROR(__xludf.DUMMYFUNCTION("""COMPUTED_VALUE"""),2)</f>
        <v>2</v>
      </c>
      <c r="Y1909" s="12" t="str">
        <f ca="1">IFERROR(__xludf.DUMMYFUNCTION("""COMPUTED_VALUE"""),"Random shooting on school property - not directed at anyone")</f>
        <v>Random shooting on school property - not directed at anyone</v>
      </c>
      <c r="Z1909" s="12" t="str">
        <f ca="1">IFERROR(__xludf.DUMMYFUNCTION("""COMPUTED_VALUE"""),"Shooter was driving erratically in his truck while firing two shots from his 9mm hand gun either while on school property or at school property - he was later arrested and charged with multiple crimes - no one was known to be threatened by shooting. Alcoh"&amp;"ol was believed to play a part is shooter's behavior.")</f>
        <v>Shooter was driving erratically in his truck while firing two shots from his 9mm hand gun either while on school property or at school property - he was later arrested and charged with multiple crimes - no one was known to be threatened by shooting. Alcohol was believed to play a part is shooter's behavior.</v>
      </c>
      <c r="AA1909" s="8" t="str">
        <f ca="1">IFERROR(__xludf.DUMMYFUNCTION("""COMPUTED_VALUE"""),"Intentional Property Damage")</f>
        <v>Intentional Property Damage</v>
      </c>
      <c r="AB1909" s="8"/>
      <c r="AC1909" s="8" t="str">
        <f ca="1">IFERROR(__xludf.DUMMYFUNCTION("""COMPUTED_VALUE"""),"No")</f>
        <v>No</v>
      </c>
      <c r="AD1909" s="8" t="str">
        <f ca="1">IFERROR(__xludf.DUMMYFUNCTION("""COMPUTED_VALUE"""),"Neither")</f>
        <v>Neither</v>
      </c>
      <c r="AE1909" s="8" t="str">
        <f ca="1">IFERROR(__xludf.DUMMYFUNCTION("""COMPUTED_VALUE"""),"No")</f>
        <v>No</v>
      </c>
      <c r="AF1909" s="8"/>
      <c r="AG1909" s="8" t="str">
        <f ca="1">IFERROR(__xludf.DUMMYFUNCTION("""COMPUTED_VALUE"""),"No")</f>
        <v>No</v>
      </c>
      <c r="AH1909" s="8" t="str">
        <f ca="1">IFERROR(__xludf.DUMMYFUNCTION("""COMPUTED_VALUE"""),"No")</f>
        <v>No</v>
      </c>
      <c r="AI1909" s="8" t="str">
        <f ca="1">IFERROR(__xludf.DUMMYFUNCTION("""COMPUTED_VALUE"""),"No")</f>
        <v>No</v>
      </c>
      <c r="AJ1909" s="8" t="str">
        <f ca="1">IFERROR(__xludf.DUMMYFUNCTION("""COMPUTED_VALUE"""),"No")</f>
        <v>No</v>
      </c>
      <c r="AK1909" s="8" t="str">
        <f ca="1">IFERROR(__xludf.DUMMYFUNCTION("""COMPUTED_VALUE"""),"No")</f>
        <v>No</v>
      </c>
      <c r="AL1909" s="8" t="str">
        <f ca="1">IFERROR(__xludf.DUMMYFUNCTION("""COMPUTED_VALUE"""),"No")</f>
        <v>No</v>
      </c>
      <c r="AM1909" s="8" t="str">
        <f ca="1">IFERROR(__xludf.DUMMYFUNCTION("""COMPUTED_VALUE"""),"No")</f>
        <v>No</v>
      </c>
      <c r="AN1909" s="8"/>
      <c r="AO1909" s="8" t="str">
        <f ca="1">IFERROR(__xludf.DUMMYFUNCTION("""COMPUTED_VALUE"""),"No")</f>
        <v>No</v>
      </c>
      <c r="AP1909" s="8"/>
      <c r="AQ1909" s="8" t="str">
        <f ca="1">IFERROR(__xludf.DUMMYFUNCTION("""COMPUTED_VALUE"""),"Unknown")</f>
        <v>Unknown</v>
      </c>
      <c r="AR1909" s="8" t="str">
        <f ca="1">IFERROR(__xludf.DUMMYFUNCTION("""COMPUTED_VALUE"""),"NA")</f>
        <v>NA</v>
      </c>
      <c r="AS1909" s="8">
        <f ca="1">IFERROR(__xludf.DUMMYFUNCTION("""COMPUTED_VALUE"""),2)</f>
        <v>2</v>
      </c>
      <c r="AT1909" s="8"/>
      <c r="AU1909" s="8">
        <f ca="1">IFERROR(__xludf.DUMMYFUNCTION("""COMPUTED_VALUE"""),33.143925)</f>
        <v>33.143925000000003</v>
      </c>
      <c r="AV1909" s="8">
        <f ca="1">IFERROR(__xludf.DUMMYFUNCTION("""COMPUTED_VALUE"""),-97.692275)</f>
        <v>-97.692274999999995</v>
      </c>
      <c r="AW1909" s="8"/>
      <c r="AX1909" s="8">
        <f ca="1">IFERROR(__xludf.DUMMYFUNCTION("""COMPUTED_VALUE"""),76073)</f>
        <v>76073</v>
      </c>
    </row>
    <row r="1910" spans="1:50" ht="105" x14ac:dyDescent="0.2">
      <c r="A1910" s="8" t="str">
        <f ca="1">IFERROR(__xludf.DUMMYFUNCTION("""COMPUTED_VALUE"""),"20150724TXELC")</f>
        <v>20150724TXELC</v>
      </c>
      <c r="B1910" s="8">
        <f ca="1">IFERROR(__xludf.DUMMYFUNCTION("""COMPUTED_VALUE"""),7)</f>
        <v>7</v>
      </c>
      <c r="C1910" s="8">
        <f ca="1">IFERROR(__xludf.DUMMYFUNCTION("""COMPUTED_VALUE"""),24)</f>
        <v>24</v>
      </c>
      <c r="D1910" s="8">
        <f ca="1">IFERROR(__xludf.DUMMYFUNCTION("""COMPUTED_VALUE"""),2015)</f>
        <v>2015</v>
      </c>
      <c r="E1910" s="9">
        <f ca="1">IFERROR(__xludf.DUMMYFUNCTION("""COMPUTED_VALUE"""),42209)</f>
        <v>42209</v>
      </c>
      <c r="F1910" s="8" t="str">
        <f ca="1">IFERROR(__xludf.DUMMYFUNCTION("""COMPUTED_VALUE"""),"Elolf Elementary School")</f>
        <v>Elolf Elementary School</v>
      </c>
      <c r="G1910" s="8">
        <f ca="1">IFERROR(__xludf.DUMMYFUNCTION("""COMPUTED_VALUE"""),1)</f>
        <v>1</v>
      </c>
      <c r="H1910" s="8">
        <f ca="1">IFERROR(__xludf.DUMMYFUNCTION("""COMPUTED_VALUE"""),0)</f>
        <v>0</v>
      </c>
      <c r="I1910" s="8">
        <f ca="1">IFERROR(__xludf.DUMMYFUNCTION("""COMPUTED_VALUE"""),1)</f>
        <v>1</v>
      </c>
      <c r="J1910" s="8">
        <f ca="1">IFERROR(__xludf.DUMMYFUNCTION("""COMPUTED_VALUE"""),0)</f>
        <v>0</v>
      </c>
      <c r="K1910" s="8" t="str">
        <f ca="1">IFERROR(__xludf.DUMMYFUNCTION("""COMPUTED_VALUE"""),"https://www.mysanantonio.com/news/local/article/Trial-starts-for-Converse-teen-accused-in-drug-9291119.php . https://www.ksat.com/news/teen-to-stand-trial-as-adult-in-capital-murder-case")</f>
        <v>https://www.mysanantonio.com/news/local/article/Trial-starts-for-Converse-teen-accused-in-drug-9291119.php . https://www.ksat.com/news/teen-to-stand-trial-as-adult-in-capital-murder-case</v>
      </c>
      <c r="L1910" s="8"/>
      <c r="M1910" s="8"/>
      <c r="N1910" s="8">
        <f ca="1">IFERROR(__xludf.DUMMYFUNCTION("""COMPUTED_VALUE"""),3)</f>
        <v>3</v>
      </c>
      <c r="O1910" s="8" t="str">
        <f ca="1">IFERROR(__xludf.DUMMYFUNCTION("""COMPUTED_VALUE"""),"Summer")</f>
        <v>Summer</v>
      </c>
      <c r="P1910" s="8" t="str">
        <f ca="1">IFERROR(__xludf.DUMMYFUNCTION("""COMPUTED_VALUE"""),"Converse")</f>
        <v>Converse</v>
      </c>
      <c r="Q1910" s="8" t="str">
        <f ca="1">IFERROR(__xludf.DUMMYFUNCTION("""COMPUTED_VALUE"""),"TX")</f>
        <v>TX</v>
      </c>
      <c r="R1910" s="8" t="str">
        <f ca="1">IFERROR(__xludf.DUMMYFUNCTION("""COMPUTED_VALUE"""),"Elementary")</f>
        <v>Elementary</v>
      </c>
      <c r="S1910" s="8" t="str">
        <f ca="1">IFERROR(__xludf.DUMMYFUNCTION("""COMPUTED_VALUE"""),"Parking Lot")</f>
        <v>Parking Lot</v>
      </c>
      <c r="T1910" s="8" t="str">
        <f ca="1">IFERROR(__xludf.DUMMYFUNCTION("""COMPUTED_VALUE"""),"Outside on School Property")</f>
        <v>Outside on School Property</v>
      </c>
      <c r="U1910" s="8" t="str">
        <f ca="1">IFERROR(__xludf.DUMMYFUNCTION("""COMPUTED_VALUE"""),"No")</f>
        <v>No</v>
      </c>
      <c r="V1910" s="8" t="str">
        <f ca="1">IFERROR(__xludf.DUMMYFUNCTION("""COMPUTED_VALUE"""),"Not a School Day")</f>
        <v>Not a School Day</v>
      </c>
      <c r="W1910" s="11">
        <f ca="1">IFERROR(__xludf.DUMMYFUNCTION("""COMPUTED_VALUE"""),0.541666666666666)</f>
        <v>0.54166666666666596</v>
      </c>
      <c r="X1910" s="8">
        <f ca="1">IFERROR(__xludf.DUMMYFUNCTION("""COMPUTED_VALUE"""),1)</f>
        <v>1</v>
      </c>
      <c r="Y1910" s="12" t="str">
        <f ca="1">IFERROR(__xludf.DUMMYFUNCTION("""COMPUTED_VALUE"""),"Drug deal/robbery gone bad")</f>
        <v>Drug deal/robbery gone bad</v>
      </c>
      <c r="Z1910" s="12" t="str">
        <f ca="1">IFERROR(__xludf.DUMMYFUNCTION("""COMPUTED_VALUE"""),"Shooter and victim knew each other and had exchanged ""bad"" looks earlier in the day - as a result, the shooter had a drug deal set up with victim so he could rob him. During the drug deal in the school parking lot, both the shooter and victim pulled gun"&amp;"s on each other and began shooting - both were hit - the victim died - shooter was caught and charged with capital murder.")</f>
        <v>Shooter and victim knew each other and had exchanged "bad" looks earlier in the day - as a result, the shooter had a drug deal set up with victim so he could rob him. During the drug deal in the school parking lot, both the shooter and victim pulled guns on each other and began shooting - both were hit - the victim died - shooter was caught and charged with capital murder.</v>
      </c>
      <c r="AA1910" s="8" t="str">
        <f ca="1">IFERROR(__xludf.DUMMYFUNCTION("""COMPUTED_VALUE"""),"Illegal Activity")</f>
        <v>Illegal Activity</v>
      </c>
      <c r="AB1910" s="8"/>
      <c r="AC1910" s="8" t="str">
        <f ca="1">IFERROR(__xludf.DUMMYFUNCTION("""COMPUTED_VALUE"""),"No")</f>
        <v>No</v>
      </c>
      <c r="AD1910" s="8" t="str">
        <f ca="1">IFERROR(__xludf.DUMMYFUNCTION("""COMPUTED_VALUE"""),"Victims Targeted")</f>
        <v>Victims Targeted</v>
      </c>
      <c r="AE1910" s="8" t="str">
        <f ca="1">IFERROR(__xludf.DUMMYFUNCTION("""COMPUTED_VALUE"""),"Yes")</f>
        <v>Yes</v>
      </c>
      <c r="AF1910" s="8" t="str">
        <f ca="1">IFERROR(__xludf.DUMMYFUNCTION("""COMPUTED_VALUE"""),"4 other juveniles were with shooter - there to rob victim")</f>
        <v>4 other juveniles were with shooter - there to rob victim</v>
      </c>
      <c r="AG1910" s="8" t="str">
        <f ca="1">IFERROR(__xludf.DUMMYFUNCTION("""COMPUTED_VALUE"""),"No")</f>
        <v>No</v>
      </c>
      <c r="AH1910" s="8" t="str">
        <f ca="1">IFERROR(__xludf.DUMMYFUNCTION("""COMPUTED_VALUE"""),"No")</f>
        <v>No</v>
      </c>
      <c r="AI1910" s="8" t="str">
        <f ca="1">IFERROR(__xludf.DUMMYFUNCTION("""COMPUTED_VALUE"""),"No")</f>
        <v>No</v>
      </c>
      <c r="AJ1910" s="8" t="str">
        <f ca="1">IFERROR(__xludf.DUMMYFUNCTION("""COMPUTED_VALUE"""),"No")</f>
        <v>No</v>
      </c>
      <c r="AK1910" s="8" t="str">
        <f ca="1">IFERROR(__xludf.DUMMYFUNCTION("""COMPUTED_VALUE"""),"No")</f>
        <v>No</v>
      </c>
      <c r="AL1910" s="8" t="str">
        <f ca="1">IFERROR(__xludf.DUMMYFUNCTION("""COMPUTED_VALUE"""),"No")</f>
        <v>No</v>
      </c>
      <c r="AM1910" s="8" t="str">
        <f ca="1">IFERROR(__xludf.DUMMYFUNCTION("""COMPUTED_VALUE"""),"No")</f>
        <v>No</v>
      </c>
      <c r="AN1910" s="8"/>
      <c r="AO1910" s="8" t="str">
        <f ca="1">IFERROR(__xludf.DUMMYFUNCTION("""COMPUTED_VALUE"""),"No")</f>
        <v>No</v>
      </c>
      <c r="AP1910" s="8"/>
      <c r="AQ1910" s="8" t="str">
        <f ca="1">IFERROR(__xludf.DUMMYFUNCTION("""COMPUTED_VALUE"""),"Unknown")</f>
        <v>Unknown</v>
      </c>
      <c r="AR1910" s="8" t="str">
        <f ca="1">IFERROR(__xludf.DUMMYFUNCTION("""COMPUTED_VALUE"""),"NA")</f>
        <v>NA</v>
      </c>
      <c r="AS1910" s="8"/>
      <c r="AT1910" s="8"/>
      <c r="AU1910" s="8">
        <f ca="1">IFERROR(__xludf.DUMMYFUNCTION("""COMPUTED_VALUE"""),39.1264092)</f>
        <v>39.126409199999998</v>
      </c>
      <c r="AV1910" s="8">
        <f ca="1">IFERROR(__xludf.DUMMYFUNCTION("""COMPUTED_VALUE"""),-94.8266378)</f>
        <v>-94.8266378</v>
      </c>
      <c r="AW1910" s="8"/>
      <c r="AX1910" s="8">
        <f ca="1">IFERROR(__xludf.DUMMYFUNCTION("""COMPUTED_VALUE"""),66109)</f>
        <v>66109</v>
      </c>
    </row>
    <row r="1911" spans="1:50" ht="75" x14ac:dyDescent="0.2">
      <c r="A1911" s="8" t="str">
        <f ca="1">IFERROR(__xludf.DUMMYFUNCTION("""COMPUTED_VALUE"""),"20150705TXCOD")</f>
        <v>20150705TXCOD</v>
      </c>
      <c r="B1911" s="8">
        <f ca="1">IFERROR(__xludf.DUMMYFUNCTION("""COMPUTED_VALUE"""),7)</f>
        <v>7</v>
      </c>
      <c r="C1911" s="8">
        <f ca="1">IFERROR(__xludf.DUMMYFUNCTION("""COMPUTED_VALUE"""),5)</f>
        <v>5</v>
      </c>
      <c r="D1911" s="8">
        <f ca="1">IFERROR(__xludf.DUMMYFUNCTION("""COMPUTED_VALUE"""),2015)</f>
        <v>2015</v>
      </c>
      <c r="E1911" s="9">
        <f ca="1">IFERROR(__xludf.DUMMYFUNCTION("""COMPUTED_VALUE"""),42190)</f>
        <v>42190</v>
      </c>
      <c r="F1911" s="8" t="str">
        <f ca="1">IFERROR(__xludf.DUMMYFUNCTION("""COMPUTED_VALUE"""),"Coppell Middle School East")</f>
        <v>Coppell Middle School East</v>
      </c>
      <c r="G1911" s="8">
        <f ca="1">IFERROR(__xludf.DUMMYFUNCTION("""COMPUTED_VALUE"""),0)</f>
        <v>0</v>
      </c>
      <c r="H1911" s="8">
        <f ca="1">IFERROR(__xludf.DUMMYFUNCTION("""COMPUTED_VALUE"""),1)</f>
        <v>1</v>
      </c>
      <c r="I1911" s="8">
        <f ca="1">IFERROR(__xludf.DUMMYFUNCTION("""COMPUTED_VALUE"""),1)</f>
        <v>1</v>
      </c>
      <c r="J1911" s="8">
        <f ca="1">IFERROR(__xludf.DUMMYFUNCTION("""COMPUTED_VALUE"""),0)</f>
        <v>0</v>
      </c>
      <c r="K1911" s="8" t="str">
        <f ca="1">IFERROR(__xludf.DUMMYFUNCTION("""COMPUTED_VALUE"""),"https://www.star-telegram.com/sports/dfwvarsity/article26576590.html . http://www.fox4news.com/news/suspect-charged-in-shooting-that-injured-byu-football-signee")</f>
        <v>https://www.star-telegram.com/sports/dfwvarsity/article26576590.html . http://www.fox4news.com/news/suspect-charged-in-shooting-that-injured-byu-football-signee</v>
      </c>
      <c r="L1911" s="8"/>
      <c r="M1911" s="8"/>
      <c r="N1911" s="8">
        <f ca="1">IFERROR(__xludf.DUMMYFUNCTION("""COMPUTED_VALUE"""),3)</f>
        <v>3</v>
      </c>
      <c r="O1911" s="8" t="str">
        <f ca="1">IFERROR(__xludf.DUMMYFUNCTION("""COMPUTED_VALUE"""),"Summer")</f>
        <v>Summer</v>
      </c>
      <c r="P1911" s="8" t="str">
        <f ca="1">IFERROR(__xludf.DUMMYFUNCTION("""COMPUTED_VALUE"""),"Dallas")</f>
        <v>Dallas</v>
      </c>
      <c r="Q1911" s="8" t="str">
        <f ca="1">IFERROR(__xludf.DUMMYFUNCTION("""COMPUTED_VALUE"""),"TX")</f>
        <v>TX</v>
      </c>
      <c r="R1911" s="8" t="str">
        <f ca="1">IFERROR(__xludf.DUMMYFUNCTION("""COMPUTED_VALUE"""),"High")</f>
        <v>High</v>
      </c>
      <c r="S1911" s="8" t="str">
        <f ca="1">IFERROR(__xludf.DUMMYFUNCTION("""COMPUTED_VALUE"""),"Parking Lot")</f>
        <v>Parking Lot</v>
      </c>
      <c r="T1911" s="8" t="str">
        <f ca="1">IFERROR(__xludf.DUMMYFUNCTION("""COMPUTED_VALUE"""),"Outside on School Property")</f>
        <v>Outside on School Property</v>
      </c>
      <c r="U1911" s="8" t="str">
        <f ca="1">IFERROR(__xludf.DUMMYFUNCTION("""COMPUTED_VALUE"""),"No")</f>
        <v>No</v>
      </c>
      <c r="V1911" s="8" t="str">
        <f ca="1">IFERROR(__xludf.DUMMYFUNCTION("""COMPUTED_VALUE"""),"Not a School Day")</f>
        <v>Not a School Day</v>
      </c>
      <c r="W1911" s="11">
        <f ca="1">IFERROR(__xludf.DUMMYFUNCTION("""COMPUTED_VALUE"""),0.75)</f>
        <v>0.75</v>
      </c>
      <c r="X1911" s="8">
        <f ca="1">IFERROR(__xludf.DUMMYFUNCTION("""COMPUTED_VALUE"""),1)</f>
        <v>1</v>
      </c>
      <c r="Y1911" s="12" t="str">
        <f ca="1">IFERROR(__xludf.DUMMYFUNCTION("""COMPUTED_VALUE"""),"Shots fired during dispute over money at basketball game")</f>
        <v>Shots fired during dispute over money at basketball game</v>
      </c>
      <c r="Z1911" s="12" t="str">
        <f ca="1">IFERROR(__xludf.DUMMYFUNCTION("""COMPUTED_VALUE"""),"Victim was at school to play basketball - vehicle drove into parking lot and shooter got out and chased victim - shot at him several times, victim was struck in the arm. Suspect fled but was later arrested - stated the shooting was based on an earlier arg"&amp;"ument with victim over money.")</f>
        <v>Victim was at school to play basketball - vehicle drove into parking lot and shooter got out and chased victim - shot at him several times, victim was struck in the arm. Suspect fled but was later arrested - stated the shooting was based on an earlier argument with victim over money.</v>
      </c>
      <c r="AA1911" s="8" t="str">
        <f ca="1">IFERROR(__xludf.DUMMYFUNCTION("""COMPUTED_VALUE"""),"Escalation of Dispute")</f>
        <v>Escalation of Dispute</v>
      </c>
      <c r="AB1911" s="8"/>
      <c r="AC1911" s="8" t="str">
        <f ca="1">IFERROR(__xludf.DUMMYFUNCTION("""COMPUTED_VALUE"""),"No")</f>
        <v>No</v>
      </c>
      <c r="AD1911" s="8" t="str">
        <f ca="1">IFERROR(__xludf.DUMMYFUNCTION("""COMPUTED_VALUE"""),"Victims Targeted")</f>
        <v>Victims Targeted</v>
      </c>
      <c r="AE1911" s="8"/>
      <c r="AF1911" s="8"/>
      <c r="AG1911" s="8" t="str">
        <f ca="1">IFERROR(__xludf.DUMMYFUNCTION("""COMPUTED_VALUE"""),"No")</f>
        <v>No</v>
      </c>
      <c r="AH1911" s="8" t="str">
        <f ca="1">IFERROR(__xludf.DUMMYFUNCTION("""COMPUTED_VALUE"""),"No")</f>
        <v>No</v>
      </c>
      <c r="AI1911" s="8" t="str">
        <f ca="1">IFERROR(__xludf.DUMMYFUNCTION("""COMPUTED_VALUE"""),"No")</f>
        <v>No</v>
      </c>
      <c r="AJ1911" s="8" t="str">
        <f ca="1">IFERROR(__xludf.DUMMYFUNCTION("""COMPUTED_VALUE"""),"No")</f>
        <v>No</v>
      </c>
      <c r="AK1911" s="8" t="str">
        <f ca="1">IFERROR(__xludf.DUMMYFUNCTION("""COMPUTED_VALUE"""),"No")</f>
        <v>No</v>
      </c>
      <c r="AL1911" s="8" t="str">
        <f ca="1">IFERROR(__xludf.DUMMYFUNCTION("""COMPUTED_VALUE"""),"No")</f>
        <v>No</v>
      </c>
      <c r="AM1911" s="8" t="str">
        <f ca="1">IFERROR(__xludf.DUMMYFUNCTION("""COMPUTED_VALUE"""),"No")</f>
        <v>No</v>
      </c>
      <c r="AN1911" s="8"/>
      <c r="AO1911" s="8" t="str">
        <f ca="1">IFERROR(__xludf.DUMMYFUNCTION("""COMPUTED_VALUE"""),"No")</f>
        <v>No</v>
      </c>
      <c r="AP1911" s="8"/>
      <c r="AQ1911" s="8" t="str">
        <f ca="1">IFERROR(__xludf.DUMMYFUNCTION("""COMPUTED_VALUE"""),"Unknown")</f>
        <v>Unknown</v>
      </c>
      <c r="AR1911" s="8" t="str">
        <f ca="1">IFERROR(__xludf.DUMMYFUNCTION("""COMPUTED_VALUE"""),"NA")</f>
        <v>NA</v>
      </c>
      <c r="AS1911" s="8">
        <f ca="1">IFERROR(__xludf.DUMMYFUNCTION("""COMPUTED_VALUE"""),6)</f>
        <v>6</v>
      </c>
      <c r="AT1911" s="8"/>
      <c r="AU1911" s="8">
        <f ca="1">IFERROR(__xludf.DUMMYFUNCTION("""COMPUTED_VALUE"""),32.7766642)</f>
        <v>32.776664199999999</v>
      </c>
      <c r="AV1911" s="8">
        <f ca="1">IFERROR(__xludf.DUMMYFUNCTION("""COMPUTED_VALUE"""),-96.7969879)</f>
        <v>-96.796987900000005</v>
      </c>
      <c r="AW1911" s="8"/>
      <c r="AX1911" s="8">
        <f ca="1">IFERROR(__xludf.DUMMYFUNCTION("""COMPUTED_VALUE"""),75201)</f>
        <v>75201</v>
      </c>
    </row>
    <row r="1912" spans="1:50" ht="75" x14ac:dyDescent="0.2">
      <c r="A1912" s="8" t="str">
        <f ca="1">IFERROR(__xludf.DUMMYFUNCTION("""COMPUTED_VALUE"""),"20150629TXJOS")</f>
        <v>20150629TXJOS</v>
      </c>
      <c r="B1912" s="8">
        <f ca="1">IFERROR(__xludf.DUMMYFUNCTION("""COMPUTED_VALUE"""),6)</f>
        <v>6</v>
      </c>
      <c r="C1912" s="8">
        <f ca="1">IFERROR(__xludf.DUMMYFUNCTION("""COMPUTED_VALUE"""),29)</f>
        <v>29</v>
      </c>
      <c r="D1912" s="8">
        <f ca="1">IFERROR(__xludf.DUMMYFUNCTION("""COMPUTED_VALUE"""),2015)</f>
        <v>2015</v>
      </c>
      <c r="E1912" s="9">
        <f ca="1">IFERROR(__xludf.DUMMYFUNCTION("""COMPUTED_VALUE"""),42184)</f>
        <v>42184</v>
      </c>
      <c r="F1912" s="8" t="str">
        <f ca="1">IFERROR(__xludf.DUMMYFUNCTION("""COMPUTED_VALUE"""),"John Jay High School")</f>
        <v>John Jay High School</v>
      </c>
      <c r="G1912" s="8">
        <f ca="1">IFERROR(__xludf.DUMMYFUNCTION("""COMPUTED_VALUE"""),0)</f>
        <v>0</v>
      </c>
      <c r="H1912" s="8">
        <f ca="1">IFERROR(__xludf.DUMMYFUNCTION("""COMPUTED_VALUE"""),0)</f>
        <v>0</v>
      </c>
      <c r="I1912" s="8">
        <f ca="1">IFERROR(__xludf.DUMMYFUNCTION("""COMPUTED_VALUE"""),0)</f>
        <v>0</v>
      </c>
      <c r="J1912" s="8">
        <f ca="1">IFERROR(__xludf.DUMMYFUNCTION("""COMPUTED_VALUE"""),1)</f>
        <v>1</v>
      </c>
      <c r="K1912" s="10" t="str">
        <f ca="1">IFERROR(__xludf.DUMMYFUNCTION("""COMPUTED_VALUE"""),"https://www.mysanantonio.com/news/local/article/Suspect-killed-by-polcie-during-chase-identified-6355557.php")</f>
        <v>https://www.mysanantonio.com/news/local/article/Suspect-killed-by-polcie-during-chase-identified-6355557.php</v>
      </c>
      <c r="L1912" s="8"/>
      <c r="M1912" s="8"/>
      <c r="N1912" s="8">
        <f ca="1">IFERROR(__xludf.DUMMYFUNCTION("""COMPUTED_VALUE"""),2)</f>
        <v>2</v>
      </c>
      <c r="O1912" s="8" t="str">
        <f ca="1">IFERROR(__xludf.DUMMYFUNCTION("""COMPUTED_VALUE"""),"Summer")</f>
        <v>Summer</v>
      </c>
      <c r="P1912" s="8" t="str">
        <f ca="1">IFERROR(__xludf.DUMMYFUNCTION("""COMPUTED_VALUE"""),"San Antonio")</f>
        <v>San Antonio</v>
      </c>
      <c r="Q1912" s="8" t="str">
        <f ca="1">IFERROR(__xludf.DUMMYFUNCTION("""COMPUTED_VALUE"""),"TX")</f>
        <v>TX</v>
      </c>
      <c r="R1912" s="8" t="str">
        <f ca="1">IFERROR(__xludf.DUMMYFUNCTION("""COMPUTED_VALUE"""),"High")</f>
        <v>High</v>
      </c>
      <c r="S1912" s="8" t="str">
        <f ca="1">IFERROR(__xludf.DUMMYFUNCTION("""COMPUTED_VALUE"""),"Field (General)")</f>
        <v>Field (General)</v>
      </c>
      <c r="T1912" s="8" t="str">
        <f ca="1">IFERROR(__xludf.DUMMYFUNCTION("""COMPUTED_VALUE"""),"Outside on School Property")</f>
        <v>Outside on School Property</v>
      </c>
      <c r="U1912" s="8" t="str">
        <f ca="1">IFERROR(__xludf.DUMMYFUNCTION("""COMPUTED_VALUE"""),"Yes")</f>
        <v>Yes</v>
      </c>
      <c r="V1912" s="8" t="str">
        <f ca="1">IFERROR(__xludf.DUMMYFUNCTION("""COMPUTED_VALUE"""),"Afternoon Classes")</f>
        <v>Afternoon Classes</v>
      </c>
      <c r="W1912" s="11">
        <f ca="1">IFERROR(__xludf.DUMMYFUNCTION("""COMPUTED_VALUE"""),0.5625)</f>
        <v>0.5625</v>
      </c>
      <c r="X1912" s="8">
        <f ca="1">IFERROR(__xludf.DUMMYFUNCTION("""COMPUTED_VALUE"""),1)</f>
        <v>1</v>
      </c>
      <c r="Y1912" s="12" t="str">
        <f ca="1">IFERROR(__xludf.DUMMYFUNCTION("""COMPUTED_VALUE"""),"Police officer shot suspect after vehicle pursuit")</f>
        <v>Police officer shot suspect after vehicle pursuit</v>
      </c>
      <c r="Z1912" s="12" t="str">
        <f ca="1">IFERROR(__xludf.DUMMYFUNCTION("""COMPUTED_VALUE"""),"During routine traffic stop suspect flees scene and runs onto school campus. Suspect chased and caught by undercover officer. Suspect tries to jump fence, but guns falls from waistband - when suspect reaches for gun, officer shoots suspect three times kil"&amp;"ling him.")</f>
        <v>During routine traffic stop suspect flees scene and runs onto school campus. Suspect chased and caught by undercover officer. Suspect tries to jump fence, but guns falls from waistband - when suspect reaches for gun, officer shoots suspect three times killing him.</v>
      </c>
      <c r="AA1912" s="8" t="str">
        <f ca="1">IFERROR(__xludf.DUMMYFUNCTION("""COMPUTED_VALUE"""),"Illegal Activity")</f>
        <v>Illegal Activity</v>
      </c>
      <c r="AB1912" s="8"/>
      <c r="AC1912" s="8" t="str">
        <f ca="1">IFERROR(__xludf.DUMMYFUNCTION("""COMPUTED_VALUE"""),"Yes")</f>
        <v>Yes</v>
      </c>
      <c r="AD1912" s="8" t="str">
        <f ca="1">IFERROR(__xludf.DUMMYFUNCTION("""COMPUTED_VALUE"""),"Victims Targeted")</f>
        <v>Victims Targeted</v>
      </c>
      <c r="AE1912" s="8" t="str">
        <f ca="1">IFERROR(__xludf.DUMMYFUNCTION("""COMPUTED_VALUE"""),"No")</f>
        <v>No</v>
      </c>
      <c r="AF1912" s="8"/>
      <c r="AG1912" s="8" t="str">
        <f ca="1">IFERROR(__xludf.DUMMYFUNCTION("""COMPUTED_VALUE"""),"No")</f>
        <v>No</v>
      </c>
      <c r="AH1912" s="8" t="str">
        <f ca="1">IFERROR(__xludf.DUMMYFUNCTION("""COMPUTED_VALUE"""),"No")</f>
        <v>No</v>
      </c>
      <c r="AI1912" s="8" t="str">
        <f ca="1">IFERROR(__xludf.DUMMYFUNCTION("""COMPUTED_VALUE"""),"Yes")</f>
        <v>Yes</v>
      </c>
      <c r="AJ1912" s="8" t="str">
        <f ca="1">IFERROR(__xludf.DUMMYFUNCTION("""COMPUTED_VALUE"""),"N/A")</f>
        <v>N/A</v>
      </c>
      <c r="AK1912" s="8" t="str">
        <f ca="1">IFERROR(__xludf.DUMMYFUNCTION("""COMPUTED_VALUE"""),"N/A")</f>
        <v>N/A</v>
      </c>
      <c r="AL1912" s="8" t="str">
        <f ca="1">IFERROR(__xludf.DUMMYFUNCTION("""COMPUTED_VALUE"""),"N/A")</f>
        <v>N/A</v>
      </c>
      <c r="AM1912" s="8" t="str">
        <f ca="1">IFERROR(__xludf.DUMMYFUNCTION("""COMPUTED_VALUE"""),"No")</f>
        <v>No</v>
      </c>
      <c r="AN1912" s="8"/>
      <c r="AO1912" s="8" t="str">
        <f ca="1">IFERROR(__xludf.DUMMYFUNCTION("""COMPUTED_VALUE"""),"N/A")</f>
        <v>N/A</v>
      </c>
      <c r="AP1912" s="8"/>
      <c r="AQ1912" s="8" t="str">
        <f ca="1">IFERROR(__xludf.DUMMYFUNCTION("""COMPUTED_VALUE"""),"Unknown")</f>
        <v>Unknown</v>
      </c>
      <c r="AR1912" s="8" t="str">
        <f ca="1">IFERROR(__xludf.DUMMYFUNCTION("""COMPUTED_VALUE"""),"NA")</f>
        <v>NA</v>
      </c>
      <c r="AS1912" s="8">
        <f ca="1">IFERROR(__xludf.DUMMYFUNCTION("""COMPUTED_VALUE"""),3)</f>
        <v>3</v>
      </c>
      <c r="AT1912" s="8"/>
      <c r="AU1912" s="8">
        <f ca="1">IFERROR(__xludf.DUMMYFUNCTION("""COMPUTED_VALUE"""),29.418371)</f>
        <v>29.418371</v>
      </c>
      <c r="AV1912" s="8">
        <f ca="1">IFERROR(__xludf.DUMMYFUNCTION("""COMPUTED_VALUE"""),-98.640251)</f>
        <v>-98.640251000000006</v>
      </c>
      <c r="AW1912" s="8"/>
      <c r="AX1912" s="8">
        <f ca="1">IFERROR(__xludf.DUMMYFUNCTION("""COMPUTED_VALUE"""),78227)</f>
        <v>78227</v>
      </c>
    </row>
    <row r="1913" spans="1:50" ht="45" x14ac:dyDescent="0.2">
      <c r="A1913" s="8" t="str">
        <f ca="1">IFERROR(__xludf.DUMMYFUNCTION("""COMPUTED_VALUE"""),"20150627CTSAH")</f>
        <v>20150627CTSAH</v>
      </c>
      <c r="B1913" s="8">
        <f ca="1">IFERROR(__xludf.DUMMYFUNCTION("""COMPUTED_VALUE"""),6)</f>
        <v>6</v>
      </c>
      <c r="C1913" s="8">
        <f ca="1">IFERROR(__xludf.DUMMYFUNCTION("""COMPUTED_VALUE"""),27)</f>
        <v>27</v>
      </c>
      <c r="D1913" s="8">
        <f ca="1">IFERROR(__xludf.DUMMYFUNCTION("""COMPUTED_VALUE"""),2015)</f>
        <v>2015</v>
      </c>
      <c r="E1913" s="9">
        <f ca="1">IFERROR(__xludf.DUMMYFUNCTION("""COMPUTED_VALUE"""),42182)</f>
        <v>42182</v>
      </c>
      <c r="F1913" s="8" t="str">
        <f ca="1">IFERROR(__xludf.DUMMYFUNCTION("""COMPUTED_VALUE"""),"Sarah J. Rawson Elementary School")</f>
        <v>Sarah J. Rawson Elementary School</v>
      </c>
      <c r="G1913" s="8">
        <f ca="1">IFERROR(__xludf.DUMMYFUNCTION("""COMPUTED_VALUE"""),1)</f>
        <v>1</v>
      </c>
      <c r="H1913" s="8">
        <f ca="1">IFERROR(__xludf.DUMMYFUNCTION("""COMPUTED_VALUE"""),3)</f>
        <v>3</v>
      </c>
      <c r="I1913" s="8">
        <f ca="1">IFERROR(__xludf.DUMMYFUNCTION("""COMPUTED_VALUE"""),4)</f>
        <v>4</v>
      </c>
      <c r="J1913" s="8">
        <f ca="1">IFERROR(__xludf.DUMMYFUNCTION("""COMPUTED_VALUE"""),0)</f>
        <v>0</v>
      </c>
      <c r="K1913" s="10" t="str">
        <f ca="1">IFERROR(__xludf.DUMMYFUNCTION("""COMPUTED_VALUE"""),"https://www.ibtimes.com/hartford-shooting-leaves-four-injured-rawson-elementary-school-basketball-tournament-1986922")</f>
        <v>https://www.ibtimes.com/hartford-shooting-leaves-four-injured-rawson-elementary-school-basketball-tournament-1986922</v>
      </c>
      <c r="L1913" s="8"/>
      <c r="M1913" s="8"/>
      <c r="N1913" s="8">
        <f ca="1">IFERROR(__xludf.DUMMYFUNCTION("""COMPUTED_VALUE"""),2)</f>
        <v>2</v>
      </c>
      <c r="O1913" s="8" t="str">
        <f ca="1">IFERROR(__xludf.DUMMYFUNCTION("""COMPUTED_VALUE"""),"Summer")</f>
        <v>Summer</v>
      </c>
      <c r="P1913" s="8" t="str">
        <f ca="1">IFERROR(__xludf.DUMMYFUNCTION("""COMPUTED_VALUE"""),"Hartford")</f>
        <v>Hartford</v>
      </c>
      <c r="Q1913" s="8" t="str">
        <f ca="1">IFERROR(__xludf.DUMMYFUNCTION("""COMPUTED_VALUE"""),"CT")</f>
        <v>CT</v>
      </c>
      <c r="R1913" s="8" t="str">
        <f ca="1">IFERROR(__xludf.DUMMYFUNCTION("""COMPUTED_VALUE"""),"Elementary")</f>
        <v>Elementary</v>
      </c>
      <c r="S1913" s="8" t="str">
        <f ca="1">IFERROR(__xludf.DUMMYFUNCTION("""COMPUTED_VALUE"""),"Gym")</f>
        <v>Gym</v>
      </c>
      <c r="T1913" s="8" t="str">
        <f ca="1">IFERROR(__xludf.DUMMYFUNCTION("""COMPUTED_VALUE"""),"Inside School Building")</f>
        <v>Inside School Building</v>
      </c>
      <c r="U1913" s="8" t="str">
        <f ca="1">IFERROR(__xludf.DUMMYFUNCTION("""COMPUTED_VALUE"""),"No")</f>
        <v>No</v>
      </c>
      <c r="V1913" s="8" t="str">
        <f ca="1">IFERROR(__xludf.DUMMYFUNCTION("""COMPUTED_VALUE"""),"Sport Event")</f>
        <v>Sport Event</v>
      </c>
      <c r="W1913" s="11">
        <f ca="1">IFERROR(__xludf.DUMMYFUNCTION("""COMPUTED_VALUE"""),0.770833333333333)</f>
        <v>0.77083333333333304</v>
      </c>
      <c r="X1913" s="8">
        <f ca="1">IFERROR(__xludf.DUMMYFUNCTION("""COMPUTED_VALUE"""),1)</f>
        <v>1</v>
      </c>
      <c r="Y1913" s="12" t="str">
        <f ca="1">IFERROR(__xludf.DUMMYFUNCTION("""COMPUTED_VALUE"""),"Four shot in school gym during basketball game")</f>
        <v>Four shot in school gym during basketball game</v>
      </c>
      <c r="Z1913" s="12" t="str">
        <f ca="1">IFERROR(__xludf.DUMMYFUNCTION("""COMPUTED_VALUE"""),"4 non-student teens were shot in the school gym during a basketball game. Police did not identify any suspects or how many shooters/shots fired there were.")</f>
        <v>4 non-student teens were shot in the school gym during a basketball game. Police did not identify any suspects or how many shooters/shots fired there were.</v>
      </c>
      <c r="AA1913" s="8" t="str">
        <f ca="1">IFERROR(__xludf.DUMMYFUNCTION("""COMPUTED_VALUE"""),"Escalation of Dispute")</f>
        <v>Escalation of Dispute</v>
      </c>
      <c r="AB1913" s="8"/>
      <c r="AC1913" s="8" t="str">
        <f ca="1">IFERROR(__xludf.DUMMYFUNCTION("""COMPUTED_VALUE"""),"No")</f>
        <v>No</v>
      </c>
      <c r="AD1913" s="8"/>
      <c r="AE1913" s="8" t="str">
        <f ca="1">IFERROR(__xludf.DUMMYFUNCTION("""COMPUTED_VALUE"""),"Unknown")</f>
        <v>Unknown</v>
      </c>
      <c r="AF1913" s="8"/>
      <c r="AG1913" s="8" t="str">
        <f ca="1">IFERROR(__xludf.DUMMYFUNCTION("""COMPUTED_VALUE"""),"No")</f>
        <v>No</v>
      </c>
      <c r="AH1913" s="8" t="str">
        <f ca="1">IFERROR(__xludf.DUMMYFUNCTION("""COMPUTED_VALUE"""),"No")</f>
        <v>No</v>
      </c>
      <c r="AI1913" s="8" t="str">
        <f ca="1">IFERROR(__xludf.DUMMYFUNCTION("""COMPUTED_VALUE"""),"No")</f>
        <v>No</v>
      </c>
      <c r="AJ1913" s="8" t="str">
        <f ca="1">IFERROR(__xludf.DUMMYFUNCTION("""COMPUTED_VALUE"""),"No")</f>
        <v>No</v>
      </c>
      <c r="AK1913" s="8" t="str">
        <f ca="1">IFERROR(__xludf.DUMMYFUNCTION("""COMPUTED_VALUE"""),"No")</f>
        <v>No</v>
      </c>
      <c r="AL1913" s="8" t="str">
        <f ca="1">IFERROR(__xludf.DUMMYFUNCTION("""COMPUTED_VALUE"""),"No")</f>
        <v>No</v>
      </c>
      <c r="AM1913" s="8" t="str">
        <f ca="1">IFERROR(__xludf.DUMMYFUNCTION("""COMPUTED_VALUE"""),"No")</f>
        <v>No</v>
      </c>
      <c r="AN1913" s="8"/>
      <c r="AO1913" s="8" t="str">
        <f ca="1">IFERROR(__xludf.DUMMYFUNCTION("""COMPUTED_VALUE"""),"No")</f>
        <v>No</v>
      </c>
      <c r="AP1913" s="8"/>
      <c r="AQ1913" s="8" t="str">
        <f ca="1">IFERROR(__xludf.DUMMYFUNCTION("""COMPUTED_VALUE"""),"Unknown")</f>
        <v>Unknown</v>
      </c>
      <c r="AR1913" s="8" t="str">
        <f ca="1">IFERROR(__xludf.DUMMYFUNCTION("""COMPUTED_VALUE"""),"NA")</f>
        <v>NA</v>
      </c>
      <c r="AS1913" s="8"/>
      <c r="AT1913" s="8"/>
      <c r="AU1913" s="8">
        <f ca="1">IFERROR(__xludf.DUMMYFUNCTION("""COMPUTED_VALUE"""),41.796076)</f>
        <v>41.796075999999999</v>
      </c>
      <c r="AV1913" s="8">
        <f ca="1">IFERROR(__xludf.DUMMYFUNCTION("""COMPUTED_VALUE"""),-72.700825)</f>
        <v>-72.700824999999995</v>
      </c>
      <c r="AW1913" s="8"/>
      <c r="AX1913" s="8">
        <f ca="1">IFERROR(__xludf.DUMMYFUNCTION("""COMPUTED_VALUE"""),6112)</f>
        <v>6112</v>
      </c>
    </row>
    <row r="1914" spans="1:50" ht="75" x14ac:dyDescent="0.2">
      <c r="A1914" s="8" t="str">
        <f ca="1">IFERROR(__xludf.DUMMYFUNCTION("""COMPUTED_VALUE"""),"20150623NEFOF")</f>
        <v>20150623NEFOF</v>
      </c>
      <c r="B1914" s="8">
        <f ca="1">IFERROR(__xludf.DUMMYFUNCTION("""COMPUTED_VALUE"""),6)</f>
        <v>6</v>
      </c>
      <c r="C1914" s="8">
        <f ca="1">IFERROR(__xludf.DUMMYFUNCTION("""COMPUTED_VALUE"""),23)</f>
        <v>23</v>
      </c>
      <c r="D1914" s="8">
        <f ca="1">IFERROR(__xludf.DUMMYFUNCTION("""COMPUTED_VALUE"""),2015)</f>
        <v>2015</v>
      </c>
      <c r="E1914" s="9">
        <f ca="1">IFERROR(__xludf.DUMMYFUNCTION("""COMPUTED_VALUE"""),42178)</f>
        <v>42178</v>
      </c>
      <c r="F1914" s="8" t="str">
        <f ca="1">IFERROR(__xludf.DUMMYFUNCTION("""COMPUTED_VALUE"""),"Fort Calhoun Elementary School")</f>
        <v>Fort Calhoun Elementary School</v>
      </c>
      <c r="G1914" s="8">
        <f ca="1">IFERROR(__xludf.DUMMYFUNCTION("""COMPUTED_VALUE"""),0)</f>
        <v>0</v>
      </c>
      <c r="H1914" s="8">
        <f ca="1">IFERROR(__xludf.DUMMYFUNCTION("""COMPUTED_VALUE"""),0)</f>
        <v>0</v>
      </c>
      <c r="I1914" s="8">
        <f ca="1">IFERROR(__xludf.DUMMYFUNCTION("""COMPUTED_VALUE"""),0)</f>
        <v>0</v>
      </c>
      <c r="J1914" s="8">
        <f ca="1">IFERROR(__xludf.DUMMYFUNCTION("""COMPUTED_VALUE"""),0)</f>
        <v>0</v>
      </c>
      <c r="K1914" s="8" t="str">
        <f ca="1">IFERROR(__xludf.DUMMYFUNCTION("""COMPUTED_VALUE"""),"http://www.enterprisepub.com/news/fort_calhoun/deputies-make-two-arrests-in-fort-calhoun-shooting/article_75cc1cce-1a22-11e5-b470-630fb310ca4d.html . http://www.fox4news.com/news/suspect-charged-in-shooting-that-injured-byu-football-signee")</f>
        <v>http://www.enterprisepub.com/news/fort_calhoun/deputies-make-two-arrests-in-fort-calhoun-shooting/article_75cc1cce-1a22-11e5-b470-630fb310ca4d.html . http://www.fox4news.com/news/suspect-charged-in-shooting-that-injured-byu-football-signee</v>
      </c>
      <c r="L1914" s="8"/>
      <c r="M1914" s="8"/>
      <c r="N1914" s="8">
        <f ca="1">IFERROR(__xludf.DUMMYFUNCTION("""COMPUTED_VALUE"""),3)</f>
        <v>3</v>
      </c>
      <c r="O1914" s="8" t="str">
        <f ca="1">IFERROR(__xludf.DUMMYFUNCTION("""COMPUTED_VALUE"""),"Summer")</f>
        <v>Summer</v>
      </c>
      <c r="P1914" s="8" t="str">
        <f ca="1">IFERROR(__xludf.DUMMYFUNCTION("""COMPUTED_VALUE"""),"Fort Calhoun")</f>
        <v>Fort Calhoun</v>
      </c>
      <c r="Q1914" s="8" t="str">
        <f ca="1">IFERROR(__xludf.DUMMYFUNCTION("""COMPUTED_VALUE"""),"NE")</f>
        <v>NE</v>
      </c>
      <c r="R1914" s="8" t="str">
        <f ca="1">IFERROR(__xludf.DUMMYFUNCTION("""COMPUTED_VALUE"""),"Elementary")</f>
        <v>Elementary</v>
      </c>
      <c r="S1914" s="8" t="str">
        <f ca="1">IFERROR(__xludf.DUMMYFUNCTION("""COMPUTED_VALUE"""),"Parking Lot")</f>
        <v>Parking Lot</v>
      </c>
      <c r="T1914" s="8" t="str">
        <f ca="1">IFERROR(__xludf.DUMMYFUNCTION("""COMPUTED_VALUE"""),"Outside on School Property")</f>
        <v>Outside on School Property</v>
      </c>
      <c r="U1914" s="8" t="str">
        <f ca="1">IFERROR(__xludf.DUMMYFUNCTION("""COMPUTED_VALUE"""),"No")</f>
        <v>No</v>
      </c>
      <c r="V1914" s="8" t="str">
        <f ca="1">IFERROR(__xludf.DUMMYFUNCTION("""COMPUTED_VALUE"""),"Evening")</f>
        <v>Evening</v>
      </c>
      <c r="W1914" s="11">
        <f ca="1">IFERROR(__xludf.DUMMYFUNCTION("""COMPUTED_VALUE"""),0.8125)</f>
        <v>0.8125</v>
      </c>
      <c r="X1914" s="8">
        <f ca="1">IFERROR(__xludf.DUMMYFUNCTION("""COMPUTED_VALUE"""),1)</f>
        <v>1</v>
      </c>
      <c r="Y1914" s="12" t="str">
        <f ca="1">IFERROR(__xludf.DUMMYFUNCTION("""COMPUTED_VALUE"""),"Meeting in parking lot between non-students turned violent")</f>
        <v>Meeting in parking lot between non-students turned violent</v>
      </c>
      <c r="Z1914" s="12" t="str">
        <f ca="1">IFERROR(__xludf.DUMMYFUNCTION("""COMPUTED_VALUE"""),"A meeting unrelated to the school took place on the school parking lot - it then turned violent and a subject fired several shots at others in the parking lot - main suspect charged with 4 counts with attempted first degree murder among other things.")</f>
        <v>A meeting unrelated to the school took place on the school parking lot - it then turned violent and a subject fired several shots at others in the parking lot - main suspect charged with 4 counts with attempted first degree murder among other things.</v>
      </c>
      <c r="AA1914" s="8" t="str">
        <f ca="1">IFERROR(__xludf.DUMMYFUNCTION("""COMPUTED_VALUE"""),"Escalation of Dispute")</f>
        <v>Escalation of Dispute</v>
      </c>
      <c r="AB1914" s="8"/>
      <c r="AC1914" s="8" t="str">
        <f ca="1">IFERROR(__xludf.DUMMYFUNCTION("""COMPUTED_VALUE"""),"No")</f>
        <v>No</v>
      </c>
      <c r="AD1914" s="8" t="str">
        <f ca="1">IFERROR(__xludf.DUMMYFUNCTION("""COMPUTED_VALUE"""),"Victims Targeted")</f>
        <v>Victims Targeted</v>
      </c>
      <c r="AE1914" s="8" t="str">
        <f ca="1">IFERROR(__xludf.DUMMYFUNCTION("""COMPUTED_VALUE"""),"Yes")</f>
        <v>Yes</v>
      </c>
      <c r="AF1914" s="8" t="str">
        <f ca="1">IFERROR(__xludf.DUMMYFUNCTION("""COMPUTED_VALUE"""),"Davante Valoon (20)")</f>
        <v>Davante Valoon (20)</v>
      </c>
      <c r="AG1914" s="8" t="str">
        <f ca="1">IFERROR(__xludf.DUMMYFUNCTION("""COMPUTED_VALUE"""),"No")</f>
        <v>No</v>
      </c>
      <c r="AH1914" s="8" t="str">
        <f ca="1">IFERROR(__xludf.DUMMYFUNCTION("""COMPUTED_VALUE"""),"No")</f>
        <v>No</v>
      </c>
      <c r="AI1914" s="8" t="str">
        <f ca="1">IFERROR(__xludf.DUMMYFUNCTION("""COMPUTED_VALUE"""),"No")</f>
        <v>No</v>
      </c>
      <c r="AJ1914" s="8" t="str">
        <f ca="1">IFERROR(__xludf.DUMMYFUNCTION("""COMPUTED_VALUE"""),"No")</f>
        <v>No</v>
      </c>
      <c r="AK1914" s="8" t="str">
        <f ca="1">IFERROR(__xludf.DUMMYFUNCTION("""COMPUTED_VALUE"""),"No")</f>
        <v>No</v>
      </c>
      <c r="AL1914" s="8" t="str">
        <f ca="1">IFERROR(__xludf.DUMMYFUNCTION("""COMPUTED_VALUE"""),"No")</f>
        <v>No</v>
      </c>
      <c r="AM1914" s="8" t="str">
        <f ca="1">IFERROR(__xludf.DUMMYFUNCTION("""COMPUTED_VALUE"""),"No")</f>
        <v>No</v>
      </c>
      <c r="AN1914" s="8"/>
      <c r="AO1914" s="8" t="str">
        <f ca="1">IFERROR(__xludf.DUMMYFUNCTION("""COMPUTED_VALUE"""),"No")</f>
        <v>No</v>
      </c>
      <c r="AP1914" s="8"/>
      <c r="AQ1914" s="8" t="str">
        <f ca="1">IFERROR(__xludf.DUMMYFUNCTION("""COMPUTED_VALUE"""),"Unknown")</f>
        <v>Unknown</v>
      </c>
      <c r="AR1914" s="8" t="str">
        <f ca="1">IFERROR(__xludf.DUMMYFUNCTION("""COMPUTED_VALUE"""),"NA")</f>
        <v>NA</v>
      </c>
      <c r="AS1914" s="8"/>
      <c r="AT1914" s="8"/>
      <c r="AU1914" s="8">
        <f ca="1">IFERROR(__xludf.DUMMYFUNCTION("""COMPUTED_VALUE"""),41.456226)</f>
        <v>41.456226000000001</v>
      </c>
      <c r="AV1914" s="8">
        <f ca="1">IFERROR(__xludf.DUMMYFUNCTION("""COMPUTED_VALUE"""),-96.021729)</f>
        <v>-96.021728999999993</v>
      </c>
      <c r="AW1914" s="8"/>
      <c r="AX1914" s="8">
        <f ca="1">IFERROR(__xludf.DUMMYFUNCTION("""COMPUTED_VALUE"""),68023)</f>
        <v>68023</v>
      </c>
    </row>
    <row r="1915" spans="1:50" ht="105" x14ac:dyDescent="0.2">
      <c r="A1915" s="8" t="str">
        <f ca="1">IFERROR(__xludf.DUMMYFUNCTION("""COMPUTED_VALUE"""),"20150604NCSOF")</f>
        <v>20150604NCSOF</v>
      </c>
      <c r="B1915" s="8">
        <f ca="1">IFERROR(__xludf.DUMMYFUNCTION("""COMPUTED_VALUE"""),6)</f>
        <v>6</v>
      </c>
      <c r="C1915" s="8">
        <f ca="1">IFERROR(__xludf.DUMMYFUNCTION("""COMPUTED_VALUE"""),4)</f>
        <v>4</v>
      </c>
      <c r="D1915" s="8">
        <f ca="1">IFERROR(__xludf.DUMMYFUNCTION("""COMPUTED_VALUE"""),2015)</f>
        <v>2015</v>
      </c>
      <c r="E1915" s="9">
        <f ca="1">IFERROR(__xludf.DUMMYFUNCTION("""COMPUTED_VALUE"""),42159)</f>
        <v>42159</v>
      </c>
      <c r="F1915" s="8" t="str">
        <f ca="1">IFERROR(__xludf.DUMMYFUNCTION("""COMPUTED_VALUE"""),"South Macon Elementary School")</f>
        <v>South Macon Elementary School</v>
      </c>
      <c r="G1915" s="8">
        <f ca="1">IFERROR(__xludf.DUMMYFUNCTION("""COMPUTED_VALUE"""),0)</f>
        <v>0</v>
      </c>
      <c r="H1915" s="8">
        <f ca="1">IFERROR(__xludf.DUMMYFUNCTION("""COMPUTED_VALUE"""),0)</f>
        <v>0</v>
      </c>
      <c r="I1915" s="8">
        <f ca="1">IFERROR(__xludf.DUMMYFUNCTION("""COMPUTED_VALUE"""),0)</f>
        <v>0</v>
      </c>
      <c r="J1915" s="8">
        <f ca="1">IFERROR(__xludf.DUMMYFUNCTION("""COMPUTED_VALUE"""),0)</f>
        <v>0</v>
      </c>
      <c r="K1915" s="10" t="str">
        <f ca="1">IFERROR(__xludf.DUMMYFUNCTION("""COMPUTED_VALUE"""),"https://www.citizen-times.com/story/news/crime/2015/06/04/armed-suspects-found-macon-county-school-custody/28467377/")</f>
        <v>https://www.citizen-times.com/story/news/crime/2015/06/04/armed-suspects-found-macon-county-school-custody/28467377/</v>
      </c>
      <c r="L1915" s="8"/>
      <c r="M1915" s="8" t="str">
        <f ca="1">IFERROR(__xludf.DUMMYFUNCTION("""COMPUTED_VALUE"""),"Local")</f>
        <v>Local</v>
      </c>
      <c r="N1915" s="8">
        <f ca="1">IFERROR(__xludf.DUMMYFUNCTION("""COMPUTED_VALUE"""),3)</f>
        <v>3</v>
      </c>
      <c r="O1915" s="8" t="str">
        <f ca="1">IFERROR(__xludf.DUMMYFUNCTION("""COMPUTED_VALUE"""),"Summer")</f>
        <v>Summer</v>
      </c>
      <c r="P1915" s="8" t="str">
        <f ca="1">IFERROR(__xludf.DUMMYFUNCTION("""COMPUTED_VALUE"""),"Franklin")</f>
        <v>Franklin</v>
      </c>
      <c r="Q1915" s="8" t="str">
        <f ca="1">IFERROR(__xludf.DUMMYFUNCTION("""COMPUTED_VALUE"""),"NC")</f>
        <v>NC</v>
      </c>
      <c r="R1915" s="8" t="str">
        <f ca="1">IFERROR(__xludf.DUMMYFUNCTION("""COMPUTED_VALUE"""),"Elementary")</f>
        <v>Elementary</v>
      </c>
      <c r="S1915" s="8" t="str">
        <f ca="1">IFERROR(__xludf.DUMMYFUNCTION("""COMPUTED_VALUE"""),"Parking Lot")</f>
        <v>Parking Lot</v>
      </c>
      <c r="T1915" s="8" t="str">
        <f ca="1">IFERROR(__xludf.DUMMYFUNCTION("""COMPUTED_VALUE"""),"Outside on School Property")</f>
        <v>Outside on School Property</v>
      </c>
      <c r="U1915" s="8" t="str">
        <f ca="1">IFERROR(__xludf.DUMMYFUNCTION("""COMPUTED_VALUE"""),"Yes")</f>
        <v>Yes</v>
      </c>
      <c r="V1915" s="8" t="str">
        <f ca="1">IFERROR(__xludf.DUMMYFUNCTION("""COMPUTED_VALUE"""),"Before School")</f>
        <v>Before School</v>
      </c>
      <c r="W1915" s="11">
        <f ca="1">IFERROR(__xludf.DUMMYFUNCTION("""COMPUTED_VALUE"""),0.227083333333333)</f>
        <v>0.227083333333333</v>
      </c>
      <c r="X1915" s="8">
        <f ca="1">IFERROR(__xludf.DUMMYFUNCTION("""COMPUTED_VALUE"""),1)</f>
        <v>1</v>
      </c>
      <c r="Y1915" s="12" t="str">
        <f ca="1">IFERROR(__xludf.DUMMYFUNCTION("""COMPUTED_VALUE"""),"Male and female came to school with several guns, shot/killed a cat, had plan to kill children")</f>
        <v>Male and female came to school with several guns, shot/killed a cat, had plan to kill children</v>
      </c>
      <c r="Z1915" s="12" t="str">
        <f ca="1">IFERROR(__xludf.DUMMYFUNCTION("""COMPUTED_VALUE"""),"A male and female came to school with multiple guns - they were confronted in early morning hours by bus driver who called police. Police responded and the subjects refused to cooperate - subjects were tased and arrested. They advised if it was God's will"&amp;" to kill the children, they would have. They shot/killed cat on school property - charged with multiple crimes. Police believed subjects were on drugs")</f>
        <v>A male and female came to school with multiple guns - they were confronted in early morning hours by bus driver who called police. Police responded and the subjects refused to cooperate - subjects were tased and arrested. They advised if it was God's will to kill the children, they would have. They shot/killed cat on school property - charged with multiple crimes. Police believed subjects were on drugs</v>
      </c>
      <c r="AA1915" s="8" t="str">
        <f ca="1">IFERROR(__xludf.DUMMYFUNCTION("""COMPUTED_VALUE"""),"Indiscriminate Shooting")</f>
        <v>Indiscriminate Shooting</v>
      </c>
      <c r="AB1915" s="8"/>
      <c r="AC1915" s="8" t="str">
        <f ca="1">IFERROR(__xludf.DUMMYFUNCTION("""COMPUTED_VALUE"""),"Yes")</f>
        <v>Yes</v>
      </c>
      <c r="AD1915" s="8" t="str">
        <f ca="1">IFERROR(__xludf.DUMMYFUNCTION("""COMPUTED_VALUE"""),"Random Shooting")</f>
        <v>Random Shooting</v>
      </c>
      <c r="AE1915" s="8" t="str">
        <f ca="1">IFERROR(__xludf.DUMMYFUNCTION("""COMPUTED_VALUE"""),"Yes")</f>
        <v>Yes</v>
      </c>
      <c r="AF1915" s="8" t="str">
        <f ca="1">IFERROR(__xludf.DUMMYFUNCTION("""COMPUTED_VALUE"""),"Two adults involved")</f>
        <v>Two adults involved</v>
      </c>
      <c r="AG1915" s="8" t="str">
        <f ca="1">IFERROR(__xludf.DUMMYFUNCTION("""COMPUTED_VALUE"""),"No")</f>
        <v>No</v>
      </c>
      <c r="AH1915" s="8" t="str">
        <f ca="1">IFERROR(__xludf.DUMMYFUNCTION("""COMPUTED_VALUE"""),"No")</f>
        <v>No</v>
      </c>
      <c r="AI1915" s="8" t="str">
        <f ca="1">IFERROR(__xludf.DUMMYFUNCTION("""COMPUTED_VALUE"""),"No")</f>
        <v>No</v>
      </c>
      <c r="AJ1915" s="8" t="str">
        <f ca="1">IFERROR(__xludf.DUMMYFUNCTION("""COMPUTED_VALUE"""),"No")</f>
        <v>No</v>
      </c>
      <c r="AK1915" s="8" t="str">
        <f ca="1">IFERROR(__xludf.DUMMYFUNCTION("""COMPUTED_VALUE"""),"No")</f>
        <v>No</v>
      </c>
      <c r="AL1915" s="8" t="str">
        <f ca="1">IFERROR(__xludf.DUMMYFUNCTION("""COMPUTED_VALUE"""),"No")</f>
        <v>No</v>
      </c>
      <c r="AM1915" s="8" t="str">
        <f ca="1">IFERROR(__xludf.DUMMYFUNCTION("""COMPUTED_VALUE"""),"Yes")</f>
        <v>Yes</v>
      </c>
      <c r="AN1915" s="8" t="str">
        <f ca="1">IFERROR(__xludf.DUMMYFUNCTION("""COMPUTED_VALUE"""),"Outside")</f>
        <v>Outside</v>
      </c>
      <c r="AO1915" s="8" t="str">
        <f ca="1">IFERROR(__xludf.DUMMYFUNCTION("""COMPUTED_VALUE"""),"Yes")</f>
        <v>Yes</v>
      </c>
      <c r="AP1915" s="8"/>
      <c r="AQ1915" s="8" t="str">
        <f ca="1">IFERROR(__xludf.DUMMYFUNCTION("""COMPUTED_VALUE"""),"Unknown")</f>
        <v>Unknown</v>
      </c>
      <c r="AR1915" s="8" t="str">
        <f ca="1">IFERROR(__xludf.DUMMYFUNCTION("""COMPUTED_VALUE"""),"NA")</f>
        <v>NA</v>
      </c>
      <c r="AS1915" s="8">
        <f ca="1">IFERROR(__xludf.DUMMYFUNCTION("""COMPUTED_VALUE"""),1)</f>
        <v>1</v>
      </c>
      <c r="AT1915" s="8"/>
      <c r="AU1915" s="8">
        <f ca="1">IFERROR(__xludf.DUMMYFUNCTION("""COMPUTED_VALUE"""),35.113357)</f>
        <v>35.113357000000001</v>
      </c>
      <c r="AV1915" s="8">
        <f ca="1">IFERROR(__xludf.DUMMYFUNCTION("""COMPUTED_VALUE"""),-83.399297)</f>
        <v>-83.399297000000004</v>
      </c>
      <c r="AW1915" s="8"/>
      <c r="AX1915" s="8">
        <f ca="1">IFERROR(__xludf.DUMMYFUNCTION("""COMPUTED_VALUE"""),28734)</f>
        <v>28734</v>
      </c>
    </row>
    <row r="1916" spans="1:50" ht="60" x14ac:dyDescent="0.2">
      <c r="A1916" s="8" t="str">
        <f ca="1">IFERROR(__xludf.DUMMYFUNCTION("""COMPUTED_VALUE"""),"20150527FLEVE")</f>
        <v>20150527FLEVE</v>
      </c>
      <c r="B1916" s="8">
        <f ca="1">IFERROR(__xludf.DUMMYFUNCTION("""COMPUTED_VALUE"""),5)</f>
        <v>5</v>
      </c>
      <c r="C1916" s="8">
        <f ca="1">IFERROR(__xludf.DUMMYFUNCTION("""COMPUTED_VALUE"""),27)</f>
        <v>27</v>
      </c>
      <c r="D1916" s="8">
        <f ca="1">IFERROR(__xludf.DUMMYFUNCTION("""COMPUTED_VALUE"""),2015)</f>
        <v>2015</v>
      </c>
      <c r="E1916" s="9">
        <f ca="1">IFERROR(__xludf.DUMMYFUNCTION("""COMPUTED_VALUE"""),42151)</f>
        <v>42151</v>
      </c>
      <c r="F1916" s="8" t="str">
        <f ca="1">IFERROR(__xludf.DUMMYFUNCTION("""COMPUTED_VALUE"""),"Everglades City School")</f>
        <v>Everglades City School</v>
      </c>
      <c r="G1916" s="8">
        <f ca="1">IFERROR(__xludf.DUMMYFUNCTION("""COMPUTED_VALUE"""),0)</f>
        <v>0</v>
      </c>
      <c r="H1916" s="8">
        <f ca="1">IFERROR(__xludf.DUMMYFUNCTION("""COMPUTED_VALUE"""),1)</f>
        <v>1</v>
      </c>
      <c r="I1916" s="8">
        <f ca="1">IFERROR(__xludf.DUMMYFUNCTION("""COMPUTED_VALUE"""),1)</f>
        <v>1</v>
      </c>
      <c r="J1916" s="8">
        <f ca="1">IFERROR(__xludf.DUMMYFUNCTION("""COMPUTED_VALUE"""),0)</f>
        <v>0</v>
      </c>
      <c r="K1916" s="10" t="str">
        <f ca="1">IFERROR(__xludf.DUMMYFUNCTION("""COMPUTED_VALUE"""),"http://archive.naplesnews.com/news/crime/everglades-city-man-charged-in-shooting-ep-1109639680-337933051.html")</f>
        <v>http://archive.naplesnews.com/news/crime/everglades-city-man-charged-in-shooting-ep-1109639680-337933051.html</v>
      </c>
      <c r="L1916" s="8"/>
      <c r="M1916" s="8"/>
      <c r="N1916" s="8">
        <f ca="1">IFERROR(__xludf.DUMMYFUNCTION("""COMPUTED_VALUE"""),2)</f>
        <v>2</v>
      </c>
      <c r="O1916" s="8" t="str">
        <f ca="1">IFERROR(__xludf.DUMMYFUNCTION("""COMPUTED_VALUE"""),"Spring")</f>
        <v>Spring</v>
      </c>
      <c r="P1916" s="8" t="str">
        <f ca="1">IFERROR(__xludf.DUMMYFUNCTION("""COMPUTED_VALUE"""),"Everglades City")</f>
        <v>Everglades City</v>
      </c>
      <c r="Q1916" s="8" t="str">
        <f ca="1">IFERROR(__xludf.DUMMYFUNCTION("""COMPUTED_VALUE"""),"FL")</f>
        <v>FL</v>
      </c>
      <c r="R1916" s="8" t="str">
        <f ca="1">IFERROR(__xludf.DUMMYFUNCTION("""COMPUTED_VALUE"""),"K-12")</f>
        <v>K-12</v>
      </c>
      <c r="S1916" s="8" t="str">
        <f ca="1">IFERROR(__xludf.DUMMYFUNCTION("""COMPUTED_VALUE"""),"Beside Building")</f>
        <v>Beside Building</v>
      </c>
      <c r="T1916" s="8" t="str">
        <f ca="1">IFERROR(__xludf.DUMMYFUNCTION("""COMPUTED_VALUE"""),"Outside on School Property")</f>
        <v>Outside on School Property</v>
      </c>
      <c r="U1916" s="8" t="str">
        <f ca="1">IFERROR(__xludf.DUMMYFUNCTION("""COMPUTED_VALUE"""),"No")</f>
        <v>No</v>
      </c>
      <c r="V1916" s="8" t="str">
        <f ca="1">IFERROR(__xludf.DUMMYFUNCTION("""COMPUTED_VALUE"""),"Evening")</f>
        <v>Evening</v>
      </c>
      <c r="W1916" s="11">
        <f ca="1">IFERROR(__xludf.DUMMYFUNCTION("""COMPUTED_VALUE"""),0.84375)</f>
        <v>0.84375</v>
      </c>
      <c r="X1916" s="8">
        <f ca="1">IFERROR(__xludf.DUMMYFUNCTION("""COMPUTED_VALUE"""),1)</f>
        <v>1</v>
      </c>
      <c r="Y1916" s="12" t="str">
        <f ca="1">IFERROR(__xludf.DUMMYFUNCTION("""COMPUTED_VALUE"""),"Fight between men behind school, one fired shots at the other")</f>
        <v>Fight between men behind school, one fired shots at the other</v>
      </c>
      <c r="Z1916" s="12" t="str">
        <f ca="1">IFERROR(__xludf.DUMMYFUNCTION("""COMPUTED_VALUE"""),"Fight between 51YOM and 30YOM behind the school. 51YOM got a gun from vehicle and fired 4 shots striking the victim one in the hand. Drove away from the scene.")</f>
        <v>Fight between 51YOM and 30YOM behind the school. 51YOM got a gun from vehicle and fired 4 shots striking the victim one in the hand. Drove away from the scene.</v>
      </c>
      <c r="AA1916" s="8" t="str">
        <f ca="1">IFERROR(__xludf.DUMMYFUNCTION("""COMPUTED_VALUE"""),"Escalation of Dispute")</f>
        <v>Escalation of Dispute</v>
      </c>
      <c r="AB1916" s="8"/>
      <c r="AC1916" s="8" t="str">
        <f ca="1">IFERROR(__xludf.DUMMYFUNCTION("""COMPUTED_VALUE"""),"No")</f>
        <v>No</v>
      </c>
      <c r="AD1916" s="8" t="str">
        <f ca="1">IFERROR(__xludf.DUMMYFUNCTION("""COMPUTED_VALUE"""),"Victims Targeted")</f>
        <v>Victims Targeted</v>
      </c>
      <c r="AE1916" s="8" t="str">
        <f ca="1">IFERROR(__xludf.DUMMYFUNCTION("""COMPUTED_VALUE"""),"No")</f>
        <v>No</v>
      </c>
      <c r="AF1916" s="8"/>
      <c r="AG1916" s="8" t="str">
        <f ca="1">IFERROR(__xludf.DUMMYFUNCTION("""COMPUTED_VALUE"""),"No")</f>
        <v>No</v>
      </c>
      <c r="AH1916" s="8" t="str">
        <f ca="1">IFERROR(__xludf.DUMMYFUNCTION("""COMPUTED_VALUE"""),"No")</f>
        <v>No</v>
      </c>
      <c r="AI1916" s="8" t="str">
        <f ca="1">IFERROR(__xludf.DUMMYFUNCTION("""COMPUTED_VALUE"""),"No")</f>
        <v>No</v>
      </c>
      <c r="AJ1916" s="8" t="str">
        <f ca="1">IFERROR(__xludf.DUMMYFUNCTION("""COMPUTED_VALUE"""),"No")</f>
        <v>No</v>
      </c>
      <c r="AK1916" s="8"/>
      <c r="AL1916" s="8" t="str">
        <f ca="1">IFERROR(__xludf.DUMMYFUNCTION("""COMPUTED_VALUE"""),"No")</f>
        <v>No</v>
      </c>
      <c r="AM1916" s="8" t="str">
        <f ca="1">IFERROR(__xludf.DUMMYFUNCTION("""COMPUTED_VALUE"""),"No")</f>
        <v>No</v>
      </c>
      <c r="AN1916" s="8"/>
      <c r="AO1916" s="8" t="str">
        <f ca="1">IFERROR(__xludf.DUMMYFUNCTION("""COMPUTED_VALUE"""),"No")</f>
        <v>No</v>
      </c>
      <c r="AP1916" s="8"/>
      <c r="AQ1916" s="8" t="str">
        <f ca="1">IFERROR(__xludf.DUMMYFUNCTION("""COMPUTED_VALUE"""),"Unknown")</f>
        <v>Unknown</v>
      </c>
      <c r="AR1916" s="8" t="str">
        <f ca="1">IFERROR(__xludf.DUMMYFUNCTION("""COMPUTED_VALUE"""),"NA")</f>
        <v>NA</v>
      </c>
      <c r="AS1916" s="8">
        <f ca="1">IFERROR(__xludf.DUMMYFUNCTION("""COMPUTED_VALUE"""),4)</f>
        <v>4</v>
      </c>
      <c r="AT1916" s="8"/>
      <c r="AU1916" s="8">
        <f ca="1">IFERROR(__xludf.DUMMYFUNCTION("""COMPUTED_VALUE"""),25.864105)</f>
        <v>25.864104999999999</v>
      </c>
      <c r="AV1916" s="8">
        <f ca="1">IFERROR(__xludf.DUMMYFUNCTION("""COMPUTED_VALUE"""),-81.386821)</f>
        <v>-81.386820999999998</v>
      </c>
      <c r="AW1916" s="8"/>
      <c r="AX1916" s="8">
        <f ca="1">IFERROR(__xludf.DUMMYFUNCTION("""COMPUTED_VALUE"""),34139)</f>
        <v>34139</v>
      </c>
    </row>
    <row r="1917" spans="1:50" ht="45" x14ac:dyDescent="0.2">
      <c r="A1917" s="8" t="str">
        <f ca="1">IFERROR(__xludf.DUMMYFUNCTION("""COMPUTED_VALUE"""),"20150524MISOF")</f>
        <v>20150524MISOF</v>
      </c>
      <c r="B1917" s="8">
        <f ca="1">IFERROR(__xludf.DUMMYFUNCTION("""COMPUTED_VALUE"""),5)</f>
        <v>5</v>
      </c>
      <c r="C1917" s="8">
        <f ca="1">IFERROR(__xludf.DUMMYFUNCTION("""COMPUTED_VALUE"""),24)</f>
        <v>24</v>
      </c>
      <c r="D1917" s="8">
        <f ca="1">IFERROR(__xludf.DUMMYFUNCTION("""COMPUTED_VALUE"""),2015)</f>
        <v>2015</v>
      </c>
      <c r="E1917" s="9">
        <f ca="1">IFERROR(__xludf.DUMMYFUNCTION("""COMPUTED_VALUE"""),42148)</f>
        <v>42148</v>
      </c>
      <c r="F1917" s="8" t="str">
        <f ca="1">IFERROR(__xludf.DUMMYFUNCTION("""COMPUTED_VALUE"""),"Southwestern Classical Academy")</f>
        <v>Southwestern Classical Academy</v>
      </c>
      <c r="G1917" s="8">
        <f ca="1">IFERROR(__xludf.DUMMYFUNCTION("""COMPUTED_VALUE"""),0)</f>
        <v>0</v>
      </c>
      <c r="H1917" s="8">
        <f ca="1">IFERROR(__xludf.DUMMYFUNCTION("""COMPUTED_VALUE"""),7)</f>
        <v>7</v>
      </c>
      <c r="I1917" s="8">
        <f ca="1">IFERROR(__xludf.DUMMYFUNCTION("""COMPUTED_VALUE"""),7)</f>
        <v>7</v>
      </c>
      <c r="J1917" s="8">
        <f ca="1">IFERROR(__xludf.DUMMYFUNCTION("""COMPUTED_VALUE"""),0)</f>
        <v>0</v>
      </c>
      <c r="K1917" s="8" t="str">
        <f ca="1">IFERROR(__xludf.DUMMYFUNCTION("""COMPUTED_VALUE"""),"https://www.mlive.com/news/flint/index.ssf/2015/05/two_men_charged_in_shooting_at.html  https://www.mlive.com/news/flint/index.ssf/2017/02/dna_match_ties_former_high_sch.html")</f>
        <v>https://www.mlive.com/news/flint/index.ssf/2015/05/two_men_charged_in_shooting_at.html  https://www.mlive.com/news/flint/index.ssf/2017/02/dna_match_ties_former_high_sch.html</v>
      </c>
      <c r="L1917" s="8"/>
      <c r="M1917" s="8"/>
      <c r="N1917" s="8">
        <f ca="1">IFERROR(__xludf.DUMMYFUNCTION("""COMPUTED_VALUE"""),3)</f>
        <v>3</v>
      </c>
      <c r="O1917" s="8" t="str">
        <f ca="1">IFERROR(__xludf.DUMMYFUNCTION("""COMPUTED_VALUE"""),"Spring")</f>
        <v>Spring</v>
      </c>
      <c r="P1917" s="8" t="str">
        <f ca="1">IFERROR(__xludf.DUMMYFUNCTION("""COMPUTED_VALUE"""),"Flint")</f>
        <v>Flint</v>
      </c>
      <c r="Q1917" s="8" t="str">
        <f ca="1">IFERROR(__xludf.DUMMYFUNCTION("""COMPUTED_VALUE"""),"MI")</f>
        <v>MI</v>
      </c>
      <c r="R1917" s="8" t="str">
        <f ca="1">IFERROR(__xludf.DUMMYFUNCTION("""COMPUTED_VALUE"""),"Elementary")</f>
        <v>Elementary</v>
      </c>
      <c r="S1917" s="8" t="str">
        <f ca="1">IFERROR(__xludf.DUMMYFUNCTION("""COMPUTED_VALUE"""),"Parking Lot")</f>
        <v>Parking Lot</v>
      </c>
      <c r="T1917" s="8" t="str">
        <f ca="1">IFERROR(__xludf.DUMMYFUNCTION("""COMPUTED_VALUE"""),"Outside on School Property")</f>
        <v>Outside on School Property</v>
      </c>
      <c r="U1917" s="8" t="str">
        <f ca="1">IFERROR(__xludf.DUMMYFUNCTION("""COMPUTED_VALUE"""),"No")</f>
        <v>No</v>
      </c>
      <c r="V1917" s="8" t="str">
        <f ca="1">IFERROR(__xludf.DUMMYFUNCTION("""COMPUTED_VALUE"""),"Not a School Day")</f>
        <v>Not a School Day</v>
      </c>
      <c r="W1917" s="11">
        <f ca="1">IFERROR(__xludf.DUMMYFUNCTION("""COMPUTED_VALUE"""),0.0833333333333333)</f>
        <v>8.3333333333333301E-2</v>
      </c>
      <c r="X1917" s="8">
        <f ca="1">IFERROR(__xludf.DUMMYFUNCTION("""COMPUTED_VALUE"""),1)</f>
        <v>1</v>
      </c>
      <c r="Y1917" s="12" t="str">
        <f ca="1">IFERROR(__xludf.DUMMYFUNCTION("""COMPUTED_VALUE"""),"Shots fired during fight outside of school")</f>
        <v>Shots fired during fight outside of school</v>
      </c>
      <c r="Z1917" s="12" t="str">
        <f ca="1">IFERROR(__xludf.DUMMYFUNCTION("""COMPUTED_VALUE"""),"Shots fired during late night fight that occurred while large crowd of people were gathered outside of school.")</f>
        <v>Shots fired during late night fight that occurred while large crowd of people were gathered outside of school.</v>
      </c>
      <c r="AA1917" s="8" t="str">
        <f ca="1">IFERROR(__xludf.DUMMYFUNCTION("""COMPUTED_VALUE"""),"Escalation of Dispute")</f>
        <v>Escalation of Dispute</v>
      </c>
      <c r="AB1917" s="8"/>
      <c r="AC1917" s="8" t="str">
        <f ca="1">IFERROR(__xludf.DUMMYFUNCTION("""COMPUTED_VALUE"""),"No")</f>
        <v>No</v>
      </c>
      <c r="AD1917" s="8"/>
      <c r="AE1917" s="8"/>
      <c r="AF1917" s="8"/>
      <c r="AG1917" s="8" t="str">
        <f ca="1">IFERROR(__xludf.DUMMYFUNCTION("""COMPUTED_VALUE"""),"No")</f>
        <v>No</v>
      </c>
      <c r="AH1917" s="8" t="str">
        <f ca="1">IFERROR(__xludf.DUMMYFUNCTION("""COMPUTED_VALUE"""),"No")</f>
        <v>No</v>
      </c>
      <c r="AI1917" s="8" t="str">
        <f ca="1">IFERROR(__xludf.DUMMYFUNCTION("""COMPUTED_VALUE"""),"No")</f>
        <v>No</v>
      </c>
      <c r="AJ1917" s="8"/>
      <c r="AK1917" s="8"/>
      <c r="AL1917" s="8" t="str">
        <f ca="1">IFERROR(__xludf.DUMMYFUNCTION("""COMPUTED_VALUE"""),"No")</f>
        <v>No</v>
      </c>
      <c r="AM1917" s="8" t="str">
        <f ca="1">IFERROR(__xludf.DUMMYFUNCTION("""COMPUTED_VALUE"""),"No")</f>
        <v>No</v>
      </c>
      <c r="AN1917" s="8"/>
      <c r="AO1917" s="8" t="str">
        <f ca="1">IFERROR(__xludf.DUMMYFUNCTION("""COMPUTED_VALUE"""),"No")</f>
        <v>No</v>
      </c>
      <c r="AP1917" s="8"/>
      <c r="AQ1917" s="8" t="str">
        <f ca="1">IFERROR(__xludf.DUMMYFUNCTION("""COMPUTED_VALUE"""),"Unknown")</f>
        <v>Unknown</v>
      </c>
      <c r="AR1917" s="8" t="str">
        <f ca="1">IFERROR(__xludf.DUMMYFUNCTION("""COMPUTED_VALUE"""),"NA")</f>
        <v>NA</v>
      </c>
      <c r="AS1917" s="8"/>
      <c r="AT1917" s="8"/>
      <c r="AU1917" s="8">
        <f ca="1">IFERROR(__xludf.DUMMYFUNCTION("""COMPUTED_VALUE"""),42.998049)</f>
        <v>42.998049000000002</v>
      </c>
      <c r="AV1917" s="8">
        <f ca="1">IFERROR(__xludf.DUMMYFUNCTION("""COMPUTED_VALUE"""),-83.699786)</f>
        <v>-83.699786000000003</v>
      </c>
      <c r="AW1917" s="8"/>
      <c r="AX1917" s="8">
        <f ca="1">IFERROR(__xludf.DUMMYFUNCTION("""COMPUTED_VALUE"""),48507)</f>
        <v>48507</v>
      </c>
    </row>
    <row r="1918" spans="1:50" ht="90" x14ac:dyDescent="0.2">
      <c r="A1918" s="8" t="str">
        <f ca="1">IFERROR(__xludf.DUMMYFUNCTION("""COMPUTED_VALUE"""),"20150521FLDUJ")</f>
        <v>20150521FLDUJ</v>
      </c>
      <c r="B1918" s="8">
        <f ca="1">IFERROR(__xludf.DUMMYFUNCTION("""COMPUTED_VALUE"""),5)</f>
        <v>5</v>
      </c>
      <c r="C1918" s="8">
        <f ca="1">IFERROR(__xludf.DUMMYFUNCTION("""COMPUTED_VALUE"""),21)</f>
        <v>21</v>
      </c>
      <c r="D1918" s="8">
        <f ca="1">IFERROR(__xludf.DUMMYFUNCTION("""COMPUTED_VALUE"""),2015)</f>
        <v>2015</v>
      </c>
      <c r="E1918" s="9">
        <f ca="1">IFERROR(__xludf.DUMMYFUNCTION("""COMPUTED_VALUE"""),42145)</f>
        <v>42145</v>
      </c>
      <c r="F1918" s="8" t="str">
        <f ca="1">IFERROR(__xludf.DUMMYFUNCTION("""COMPUTED_VALUE"""),"Duval County School Bus")</f>
        <v>Duval County School Bus</v>
      </c>
      <c r="G1918" s="8">
        <f ca="1">IFERROR(__xludf.DUMMYFUNCTION("""COMPUTED_VALUE"""),0)</f>
        <v>0</v>
      </c>
      <c r="H1918" s="8">
        <f ca="1">IFERROR(__xludf.DUMMYFUNCTION("""COMPUTED_VALUE"""),2)</f>
        <v>2</v>
      </c>
      <c r="I1918" s="8">
        <f ca="1">IFERROR(__xludf.DUMMYFUNCTION("""COMPUTED_VALUE"""),2)</f>
        <v>2</v>
      </c>
      <c r="J1918" s="8">
        <f ca="1">IFERROR(__xludf.DUMMYFUNCTION("""COMPUTED_VALUE"""),0)</f>
        <v>0</v>
      </c>
      <c r="K1918" s="8" t="str">
        <f ca="1">IFERROR(__xludf.DUMMYFUNCTION("""COMPUTED_VALUE"""),"https://www.news4jax.com/news/2016/05/17/school-bus-shooter-pleads-guilty-sentenced/ https://www.actionnewsjax.com/news/local/school-bus-shooting-suspect-arrested-georgia/43406704/")</f>
        <v>https://www.news4jax.com/news/2016/05/17/school-bus-shooter-pleads-guilty-sentenced/ https://www.actionnewsjax.com/news/local/school-bus-shooting-suspect-arrested-georgia/43406704/</v>
      </c>
      <c r="L1918" s="8">
        <f ca="1">IFERROR(__xludf.DUMMYFUNCTION("""COMPUTED_VALUE"""),2)</f>
        <v>2</v>
      </c>
      <c r="M1918" s="8" t="str">
        <f ca="1">IFERROR(__xludf.DUMMYFUNCTION("""COMPUTED_VALUE"""),"Local")</f>
        <v>Local</v>
      </c>
      <c r="N1918" s="8">
        <f ca="1">IFERROR(__xludf.DUMMYFUNCTION("""COMPUTED_VALUE"""),5)</f>
        <v>5</v>
      </c>
      <c r="O1918" s="8" t="str">
        <f ca="1">IFERROR(__xludf.DUMMYFUNCTION("""COMPUTED_VALUE"""),"Spring")</f>
        <v>Spring</v>
      </c>
      <c r="P1918" s="8" t="str">
        <f ca="1">IFERROR(__xludf.DUMMYFUNCTION("""COMPUTED_VALUE"""),"Jacksonville")</f>
        <v>Jacksonville</v>
      </c>
      <c r="Q1918" s="8" t="str">
        <f ca="1">IFERROR(__xludf.DUMMYFUNCTION("""COMPUTED_VALUE"""),"FL")</f>
        <v>FL</v>
      </c>
      <c r="R1918" s="8" t="str">
        <f ca="1">IFERROR(__xludf.DUMMYFUNCTION("""COMPUTED_VALUE"""),"High")</f>
        <v>High</v>
      </c>
      <c r="S1918" s="8" t="str">
        <f ca="1">IFERROR(__xludf.DUMMYFUNCTION("""COMPUTED_VALUE"""),"School Bus")</f>
        <v>School Bus</v>
      </c>
      <c r="T1918" s="8" t="str">
        <f ca="1">IFERROR(__xludf.DUMMYFUNCTION("""COMPUTED_VALUE"""),"School Bus")</f>
        <v>School Bus</v>
      </c>
      <c r="U1918" s="8" t="str">
        <f ca="1">IFERROR(__xludf.DUMMYFUNCTION("""COMPUTED_VALUE"""),"Yes")</f>
        <v>Yes</v>
      </c>
      <c r="V1918" s="8" t="str">
        <f ca="1">IFERROR(__xludf.DUMMYFUNCTION("""COMPUTED_VALUE"""),"Dismissal")</f>
        <v>Dismissal</v>
      </c>
      <c r="W1918" s="8"/>
      <c r="X1918" s="8">
        <f ca="1">IFERROR(__xludf.DUMMYFUNCTION("""COMPUTED_VALUE"""),1)</f>
        <v>1</v>
      </c>
      <c r="Y1918" s="12" t="str">
        <f ca="1">IFERROR(__xludf.DUMMYFUNCTION("""COMPUTED_VALUE"""),"Teen fired 5 shots into school bus injuring 2 teen girls")</f>
        <v>Teen fired 5 shots into school bus injuring 2 teen girls</v>
      </c>
      <c r="Z1918" s="12" t="str">
        <f ca="1">IFERROR(__xludf.DUMMYFUNCTION("""COMPUTED_VALUE"""),"A 16 year-old male standing on street outside of school bus started yelling at teens inside the bus. As the bus driver pulled away, the teen fired 5 shots into the school bus striking two teen girls. Shooter fled the scene and was arrested a week later in"&amp;" Georgia. Teen shot himself during the attempt to arrest him and was treated.")</f>
        <v>A 16 year-old male standing on street outside of school bus started yelling at teens inside the bus. As the bus driver pulled away, the teen fired 5 shots into the school bus striking two teen girls. Shooter fled the scene and was arrested a week later in Georgia. Teen shot himself during the attempt to arrest him and was treated.</v>
      </c>
      <c r="AA1918" s="8" t="str">
        <f ca="1">IFERROR(__xludf.DUMMYFUNCTION("""COMPUTED_VALUE"""),"Escalation of Dispute")</f>
        <v>Escalation of Dispute</v>
      </c>
      <c r="AB1918" s="8"/>
      <c r="AC1918" s="8" t="str">
        <f ca="1">IFERROR(__xludf.DUMMYFUNCTION("""COMPUTED_VALUE"""),"Yes")</f>
        <v>Yes</v>
      </c>
      <c r="AD1918" s="8" t="str">
        <f ca="1">IFERROR(__xludf.DUMMYFUNCTION("""COMPUTED_VALUE"""),"Both")</f>
        <v>Both</v>
      </c>
      <c r="AE1918" s="8" t="str">
        <f ca="1">IFERROR(__xludf.DUMMYFUNCTION("""COMPUTED_VALUE"""),"No")</f>
        <v>No</v>
      </c>
      <c r="AF1918" s="8"/>
      <c r="AG1918" s="8" t="str">
        <f ca="1">IFERROR(__xludf.DUMMYFUNCTION("""COMPUTED_VALUE"""),"No")</f>
        <v>No</v>
      </c>
      <c r="AH1918" s="8" t="str">
        <f ca="1">IFERROR(__xludf.DUMMYFUNCTION("""COMPUTED_VALUE"""),"No")</f>
        <v>No</v>
      </c>
      <c r="AI1918" s="8" t="str">
        <f ca="1">IFERROR(__xludf.DUMMYFUNCTION("""COMPUTED_VALUE"""),"No")</f>
        <v>No</v>
      </c>
      <c r="AJ1918" s="8" t="str">
        <f ca="1">IFERROR(__xludf.DUMMYFUNCTION("""COMPUTED_VALUE"""),"No")</f>
        <v>No</v>
      </c>
      <c r="AK1918" s="8" t="str">
        <f ca="1">IFERROR(__xludf.DUMMYFUNCTION("""COMPUTED_VALUE"""),"No")</f>
        <v>No</v>
      </c>
      <c r="AL1918" s="8"/>
      <c r="AM1918" s="8" t="str">
        <f ca="1">IFERROR(__xludf.DUMMYFUNCTION("""COMPUTED_VALUE"""),"No")</f>
        <v>No</v>
      </c>
      <c r="AN1918" s="8"/>
      <c r="AO1918" s="8" t="str">
        <f ca="1">IFERROR(__xludf.DUMMYFUNCTION("""COMPUTED_VALUE"""),"No")</f>
        <v>No</v>
      </c>
      <c r="AP1918" s="8"/>
      <c r="AQ1918" s="8"/>
      <c r="AR1918" s="8" t="str">
        <f ca="1">IFERROR(__xludf.DUMMYFUNCTION("""COMPUTED_VALUE"""),"Outside/Off-Property")</f>
        <v>Outside/Off-Property</v>
      </c>
      <c r="AS1918" s="8">
        <f ca="1">IFERROR(__xludf.DUMMYFUNCTION("""COMPUTED_VALUE"""),5)</f>
        <v>5</v>
      </c>
      <c r="AT1918" s="8"/>
      <c r="AU1918" s="8">
        <f ca="1">IFERROR(__xludf.DUMMYFUNCTION("""COMPUTED_VALUE"""),30.2338)</f>
        <v>30.233799999999999</v>
      </c>
      <c r="AV1918" s="8">
        <f ca="1">IFERROR(__xludf.DUMMYFUNCTION("""COMPUTED_VALUE"""),-81.731405)</f>
        <v>-81.731404999999995</v>
      </c>
      <c r="AW1918" s="8"/>
      <c r="AX1918" s="8">
        <f ca="1">IFERROR(__xludf.DUMMYFUNCTION("""COMPUTED_VALUE"""),32244)</f>
        <v>32244</v>
      </c>
    </row>
    <row r="1919" spans="1:50" ht="45" x14ac:dyDescent="0.2">
      <c r="A1919" s="8" t="str">
        <f ca="1">IFERROR(__xludf.DUMMYFUNCTION("""COMPUTED_VALUE"""),"20150520TXROR")</f>
        <v>20150520TXROR</v>
      </c>
      <c r="B1919" s="8">
        <f ca="1">IFERROR(__xludf.DUMMYFUNCTION("""COMPUTED_VALUE"""),5)</f>
        <v>5</v>
      </c>
      <c r="C1919" s="8">
        <f ca="1">IFERROR(__xludf.DUMMYFUNCTION("""COMPUTED_VALUE"""),20)</f>
        <v>20</v>
      </c>
      <c r="D1919" s="8">
        <f ca="1">IFERROR(__xludf.DUMMYFUNCTION("""COMPUTED_VALUE"""),2015)</f>
        <v>2015</v>
      </c>
      <c r="E1919" s="9">
        <f ca="1">IFERROR(__xludf.DUMMYFUNCTION("""COMPUTED_VALUE"""),42144)</f>
        <v>42144</v>
      </c>
      <c r="F1919" s="8" t="str">
        <f ca="1">IFERROR(__xludf.DUMMYFUNCTION("""COMPUTED_VALUE"""),"Robinson High School")</f>
        <v>Robinson High School</v>
      </c>
      <c r="G1919" s="8">
        <f ca="1">IFERROR(__xludf.DUMMYFUNCTION("""COMPUTED_VALUE"""),0)</f>
        <v>0</v>
      </c>
      <c r="H1919" s="8">
        <f ca="1">IFERROR(__xludf.DUMMYFUNCTION("""COMPUTED_VALUE"""),0)</f>
        <v>0</v>
      </c>
      <c r="I1919" s="8">
        <f ca="1">IFERROR(__xludf.DUMMYFUNCTION("""COMPUTED_VALUE"""),0)</f>
        <v>0</v>
      </c>
      <c r="J1919" s="8">
        <f ca="1">IFERROR(__xludf.DUMMYFUNCTION("""COMPUTED_VALUE"""),1)</f>
        <v>1</v>
      </c>
      <c r="K1919" s="8" t="str">
        <f ca="1">IFERROR(__xludf.DUMMYFUNCTION("""COMPUTED_VALUE"""),"https://www.wacotrib.com/news/education/robinson-high-school-senior-commits-suicide-at-school/article_b2551e6b-17d0-5985-821c-8f5871602d06.html  https://www.dailydot.com/irl/student-suicide-tweet-parking-lot/")</f>
        <v>https://www.wacotrib.com/news/education/robinson-high-school-senior-commits-suicide-at-school/article_b2551e6b-17d0-5985-821c-8f5871602d06.html  https://www.dailydot.com/irl/student-suicide-tweet-parking-lot/</v>
      </c>
      <c r="L1919" s="8"/>
      <c r="M1919" s="8"/>
      <c r="N1919" s="8">
        <f ca="1">IFERROR(__xludf.DUMMYFUNCTION("""COMPUTED_VALUE"""),3)</f>
        <v>3</v>
      </c>
      <c r="O1919" s="8" t="str">
        <f ca="1">IFERROR(__xludf.DUMMYFUNCTION("""COMPUTED_VALUE"""),"Spring")</f>
        <v>Spring</v>
      </c>
      <c r="P1919" s="8" t="str">
        <f ca="1">IFERROR(__xludf.DUMMYFUNCTION("""COMPUTED_VALUE"""),"Robinson")</f>
        <v>Robinson</v>
      </c>
      <c r="Q1919" s="8" t="str">
        <f ca="1">IFERROR(__xludf.DUMMYFUNCTION("""COMPUTED_VALUE"""),"TX")</f>
        <v>TX</v>
      </c>
      <c r="R1919" s="8" t="str">
        <f ca="1">IFERROR(__xludf.DUMMYFUNCTION("""COMPUTED_VALUE"""),"High")</f>
        <v>High</v>
      </c>
      <c r="S1919" s="8" t="str">
        <f ca="1">IFERROR(__xludf.DUMMYFUNCTION("""COMPUTED_VALUE"""),"Parking Lot")</f>
        <v>Parking Lot</v>
      </c>
      <c r="T1919" s="8" t="str">
        <f ca="1">IFERROR(__xludf.DUMMYFUNCTION("""COMPUTED_VALUE"""),"Outside on School Property")</f>
        <v>Outside on School Property</v>
      </c>
      <c r="U1919" s="8" t="str">
        <f ca="1">IFERROR(__xludf.DUMMYFUNCTION("""COMPUTED_VALUE"""),"Yes")</f>
        <v>Yes</v>
      </c>
      <c r="V1919" s="8" t="str">
        <f ca="1">IFERROR(__xludf.DUMMYFUNCTION("""COMPUTED_VALUE"""),"Morning Classes")</f>
        <v>Morning Classes</v>
      </c>
      <c r="W1919" s="11">
        <f ca="1">IFERROR(__xludf.DUMMYFUNCTION("""COMPUTED_VALUE"""),0.395833333333333)</f>
        <v>0.39583333333333298</v>
      </c>
      <c r="X1919" s="8">
        <f ca="1">IFERROR(__xludf.DUMMYFUNCTION("""COMPUTED_VALUE"""),1)</f>
        <v>1</v>
      </c>
      <c r="Y1919" s="12" t="str">
        <f ca="1">IFERROR(__xludf.DUMMYFUNCTION("""COMPUTED_VALUE"""),"Suicide in school")</f>
        <v>Suicide in school</v>
      </c>
      <c r="Z1919" s="12" t="str">
        <f ca="1">IFERROR(__xludf.DUMMYFUNCTION("""COMPUTED_VALUE"""),"Shooter committed suicide - prior to killing self he shot the gun three times and left Twitter note stating he loved everyone but this was coming for a long time.")</f>
        <v>Shooter committed suicide - prior to killing self he shot the gun three times and left Twitter note stating he loved everyone but this was coming for a long time.</v>
      </c>
      <c r="AA1919" s="8" t="str">
        <f ca="1">IFERROR(__xludf.DUMMYFUNCTION("""COMPUTED_VALUE"""),"Suicide/Attempted")</f>
        <v>Suicide/Attempted</v>
      </c>
      <c r="AB1919" s="8"/>
      <c r="AC1919" s="8" t="str">
        <f ca="1">IFERROR(__xludf.DUMMYFUNCTION("""COMPUTED_VALUE"""),"Yes")</f>
        <v>Yes</v>
      </c>
      <c r="AD1919" s="8" t="str">
        <f ca="1">IFERROR(__xludf.DUMMYFUNCTION("""COMPUTED_VALUE"""),"Both")</f>
        <v>Both</v>
      </c>
      <c r="AE1919" s="8" t="str">
        <f ca="1">IFERROR(__xludf.DUMMYFUNCTION("""COMPUTED_VALUE"""),"No")</f>
        <v>No</v>
      </c>
      <c r="AF1919" s="8"/>
      <c r="AG1919" s="8" t="str">
        <f ca="1">IFERROR(__xludf.DUMMYFUNCTION("""COMPUTED_VALUE"""),"No")</f>
        <v>No</v>
      </c>
      <c r="AH1919" s="8" t="str">
        <f ca="1">IFERROR(__xludf.DUMMYFUNCTION("""COMPUTED_VALUE"""),"No")</f>
        <v>No</v>
      </c>
      <c r="AI1919" s="8" t="str">
        <f ca="1">IFERROR(__xludf.DUMMYFUNCTION("""COMPUTED_VALUE"""),"No")</f>
        <v>No</v>
      </c>
      <c r="AJ1919" s="8"/>
      <c r="AK1919" s="8"/>
      <c r="AL1919" s="8" t="str">
        <f ca="1">IFERROR(__xludf.DUMMYFUNCTION("""COMPUTED_VALUE"""),"No")</f>
        <v>No</v>
      </c>
      <c r="AM1919" s="8" t="str">
        <f ca="1">IFERROR(__xludf.DUMMYFUNCTION("""COMPUTED_VALUE"""),"No")</f>
        <v>No</v>
      </c>
      <c r="AN1919" s="8"/>
      <c r="AO1919" s="8" t="str">
        <f ca="1">IFERROR(__xludf.DUMMYFUNCTION("""COMPUTED_VALUE"""),"No")</f>
        <v>No</v>
      </c>
      <c r="AP1919" s="8"/>
      <c r="AQ1919" s="8" t="str">
        <f ca="1">IFERROR(__xludf.DUMMYFUNCTION("""COMPUTED_VALUE"""),"Unknown")</f>
        <v>Unknown</v>
      </c>
      <c r="AR1919" s="8" t="str">
        <f ca="1">IFERROR(__xludf.DUMMYFUNCTION("""COMPUTED_VALUE"""),"NA")</f>
        <v>NA</v>
      </c>
      <c r="AS1919" s="8">
        <f ca="1">IFERROR(__xludf.DUMMYFUNCTION("""COMPUTED_VALUE"""),4)</f>
        <v>4</v>
      </c>
      <c r="AT1919" s="8"/>
      <c r="AU1919" s="8">
        <f ca="1">IFERROR(__xludf.DUMMYFUNCTION("""COMPUTED_VALUE"""),31.462661)</f>
        <v>31.462661000000001</v>
      </c>
      <c r="AV1919" s="8">
        <f ca="1">IFERROR(__xludf.DUMMYFUNCTION("""COMPUTED_VALUE"""),-97.121528)</f>
        <v>-97.121527999999998</v>
      </c>
      <c r="AW1919" s="8"/>
      <c r="AX1919" s="8">
        <f ca="1">IFERROR(__xludf.DUMMYFUNCTION("""COMPUTED_VALUE"""),76706)</f>
        <v>76706</v>
      </c>
    </row>
    <row r="1920" spans="1:50" ht="150" x14ac:dyDescent="0.2">
      <c r="A1920" s="8" t="str">
        <f ca="1">IFERROR(__xludf.DUMMYFUNCTION("""COMPUTED_VALUE"""),"20150512FLUNJ")</f>
        <v>20150512FLUNJ</v>
      </c>
      <c r="B1920" s="8">
        <f ca="1">IFERROR(__xludf.DUMMYFUNCTION("""COMPUTED_VALUE"""),5)</f>
        <v>5</v>
      </c>
      <c r="C1920" s="8">
        <f ca="1">IFERROR(__xludf.DUMMYFUNCTION("""COMPUTED_VALUE"""),12)</f>
        <v>12</v>
      </c>
      <c r="D1920" s="8">
        <f ca="1">IFERROR(__xludf.DUMMYFUNCTION("""COMPUTED_VALUE"""),2015)</f>
        <v>2015</v>
      </c>
      <c r="E1920" s="9">
        <f ca="1">IFERROR(__xludf.DUMMYFUNCTION("""COMPUTED_VALUE"""),42136)</f>
        <v>42136</v>
      </c>
      <c r="F1920" s="8" t="str">
        <f ca="1">IFERROR(__xludf.DUMMYFUNCTION("""COMPUTED_VALUE"""),"Unknown School (bus)")</f>
        <v>Unknown School (bus)</v>
      </c>
      <c r="G1920" s="8">
        <f ca="1">IFERROR(__xludf.DUMMYFUNCTION("""COMPUTED_VALUE"""),0)</f>
        <v>0</v>
      </c>
      <c r="H1920" s="8">
        <f ca="1">IFERROR(__xludf.DUMMYFUNCTION("""COMPUTED_VALUE"""),2)</f>
        <v>2</v>
      </c>
      <c r="I1920" s="8">
        <f ca="1">IFERROR(__xludf.DUMMYFUNCTION("""COMPUTED_VALUE"""),2)</f>
        <v>2</v>
      </c>
      <c r="J1920" s="8">
        <f ca="1">IFERROR(__xludf.DUMMYFUNCTION("""COMPUTED_VALUE"""),0)</f>
        <v>0</v>
      </c>
      <c r="K1920" s="10" t="str">
        <f ca="1">IFERROR(__xludf.DUMMYFUNCTION("""COMPUTED_VALUE"""),"http://www.jacksonville.com/breaking-news/2015-05-14/story/two-students-shot-school-bus-jacksonvilles-westside-police-searching")</f>
        <v>http://www.jacksonville.com/breaking-news/2015-05-14/story/two-students-shot-school-bus-jacksonvilles-westside-police-searching</v>
      </c>
      <c r="L1920" s="8">
        <f ca="1">IFERROR(__xludf.DUMMYFUNCTION("""COMPUTED_VALUE"""),1)</f>
        <v>1</v>
      </c>
      <c r="M1920" s="8" t="str">
        <f ca="1">IFERROR(__xludf.DUMMYFUNCTION("""COMPUTED_VALUE"""),"Local")</f>
        <v>Local</v>
      </c>
      <c r="N1920" s="8">
        <f ca="1">IFERROR(__xludf.DUMMYFUNCTION("""COMPUTED_VALUE"""),2)</f>
        <v>2</v>
      </c>
      <c r="O1920" s="8" t="str">
        <f ca="1">IFERROR(__xludf.DUMMYFUNCTION("""COMPUTED_VALUE"""),"Spring")</f>
        <v>Spring</v>
      </c>
      <c r="P1920" s="8" t="str">
        <f ca="1">IFERROR(__xludf.DUMMYFUNCTION("""COMPUTED_VALUE"""),"Jacksonville")</f>
        <v>Jacksonville</v>
      </c>
      <c r="Q1920" s="8" t="str">
        <f ca="1">IFERROR(__xludf.DUMMYFUNCTION("""COMPUTED_VALUE"""),"FL")</f>
        <v>FL</v>
      </c>
      <c r="R1920" s="8"/>
      <c r="S1920" s="8" t="str">
        <f ca="1">IFERROR(__xludf.DUMMYFUNCTION("""COMPUTED_VALUE"""),"School Bus")</f>
        <v>School Bus</v>
      </c>
      <c r="T1920" s="8" t="str">
        <f ca="1">IFERROR(__xludf.DUMMYFUNCTION("""COMPUTED_VALUE"""),"School Bus")</f>
        <v>School Bus</v>
      </c>
      <c r="U1920" s="8" t="str">
        <f ca="1">IFERROR(__xludf.DUMMYFUNCTION("""COMPUTED_VALUE"""),"No")</f>
        <v>No</v>
      </c>
      <c r="V1920" s="8" t="str">
        <f ca="1">IFERROR(__xludf.DUMMYFUNCTION("""COMPUTED_VALUE"""),"After School")</f>
        <v>After School</v>
      </c>
      <c r="W1920" s="11">
        <f ca="1">IFERROR(__xludf.DUMMYFUNCTION("""COMPUTED_VALUE"""),0.6875)</f>
        <v>0.6875</v>
      </c>
      <c r="X1920" s="8">
        <f ca="1">IFERROR(__xludf.DUMMYFUNCTION("""COMPUTED_VALUE"""),1)</f>
        <v>1</v>
      </c>
      <c r="Y1920" s="12" t="str">
        <f ca="1">IFERROR(__xludf.DUMMYFUNCTION("""COMPUTED_VALUE"""),"Shots struck school bus during gang related shooting")</f>
        <v>Shots struck school bus during gang related shooting</v>
      </c>
      <c r="Z1920" s="12" t="str">
        <f ca="1">IFERROR(__xludf.DUMMYFUNCTION("""COMPUTED_VALUE"""),"Two unknown males tried to board the school bus during an altercation with another group of male students on the bus (unknown school). The shooters were waiting at the bus stop, the fight was reportedly planned. The driver pressed on the gas and tried to "&amp;"escape. When they were unable to board, they fired shots at the bus striking two girls who were not involved. Not confirmed which school the victims go to but it is one of the following: James Weldon Johnson Academy (middle), Maddy Rutherford (alternative"&amp;"), or Grand Park (6-12).")</f>
        <v>Two unknown males tried to board the school bus during an altercation with another group of male students on the bus (unknown school). The shooters were waiting at the bus stop, the fight was reportedly planned. The driver pressed on the gas and tried to escape. When they were unable to board, they fired shots at the bus striking two girls who were not involved. Not confirmed which school the victims go to but it is one of the following: James Weldon Johnson Academy (middle), Maddy Rutherford (alternative), or Grand Park (6-12).</v>
      </c>
      <c r="AA1920" s="8" t="str">
        <f ca="1">IFERROR(__xludf.DUMMYFUNCTION("""COMPUTED_VALUE"""),"Escalation of Dispute")</f>
        <v>Escalation of Dispute</v>
      </c>
      <c r="AB1920" s="8"/>
      <c r="AC1920" s="8" t="str">
        <f ca="1">IFERROR(__xludf.DUMMYFUNCTION("""COMPUTED_VALUE"""),"Yes")</f>
        <v>Yes</v>
      </c>
      <c r="AD1920" s="8" t="str">
        <f ca="1">IFERROR(__xludf.DUMMYFUNCTION("""COMPUTED_VALUE"""),"Both")</f>
        <v>Both</v>
      </c>
      <c r="AE1920" s="8" t="str">
        <f ca="1">IFERROR(__xludf.DUMMYFUNCTION("""COMPUTED_VALUE"""),"Yes")</f>
        <v>Yes</v>
      </c>
      <c r="AF1920" s="8" t="str">
        <f ca="1">IFERROR(__xludf.DUMMYFUNCTION("""COMPUTED_VALUE"""),"Two students involved")</f>
        <v>Two students involved</v>
      </c>
      <c r="AG1920" s="8" t="str">
        <f ca="1">IFERROR(__xludf.DUMMYFUNCTION("""COMPUTED_VALUE"""),"No")</f>
        <v>No</v>
      </c>
      <c r="AH1920" s="8" t="str">
        <f ca="1">IFERROR(__xludf.DUMMYFUNCTION("""COMPUTED_VALUE"""),"No")</f>
        <v>No</v>
      </c>
      <c r="AI1920" s="8" t="str">
        <f ca="1">IFERROR(__xludf.DUMMYFUNCTION("""COMPUTED_VALUE"""),"No")</f>
        <v>No</v>
      </c>
      <c r="AJ1920" s="8" t="str">
        <f ca="1">IFERROR(__xludf.DUMMYFUNCTION("""COMPUTED_VALUE"""),"No")</f>
        <v>No</v>
      </c>
      <c r="AK1920" s="8" t="str">
        <f ca="1">IFERROR(__xludf.DUMMYFUNCTION("""COMPUTED_VALUE"""),"No")</f>
        <v>No</v>
      </c>
      <c r="AL1920" s="8" t="str">
        <f ca="1">IFERROR(__xludf.DUMMYFUNCTION("""COMPUTED_VALUE"""),"Yes")</f>
        <v>Yes</v>
      </c>
      <c r="AM1920" s="8" t="str">
        <f ca="1">IFERROR(__xludf.DUMMYFUNCTION("""COMPUTED_VALUE"""),"No")</f>
        <v>No</v>
      </c>
      <c r="AN1920" s="8"/>
      <c r="AO1920" s="8" t="str">
        <f ca="1">IFERROR(__xludf.DUMMYFUNCTION("""COMPUTED_VALUE"""),"No")</f>
        <v>No</v>
      </c>
      <c r="AP1920" s="8" t="str">
        <f ca="1">IFERROR(__xludf.DUMMYFUNCTION("""COMPUTED_VALUE"""),"N/A")</f>
        <v>N/A</v>
      </c>
      <c r="AQ1920" s="8" t="str">
        <f ca="1">IFERROR(__xludf.DUMMYFUNCTION("""COMPUTED_VALUE"""),"Unknown")</f>
        <v>Unknown</v>
      </c>
      <c r="AR1920" s="8" t="str">
        <f ca="1">IFERROR(__xludf.DUMMYFUNCTION("""COMPUTED_VALUE"""),"NA")</f>
        <v>NA</v>
      </c>
      <c r="AS1920" s="8">
        <f ca="1">IFERROR(__xludf.DUMMYFUNCTION("""COMPUTED_VALUE"""),5)</f>
        <v>5</v>
      </c>
      <c r="AT1920" s="8" t="str">
        <f ca="1">IFERROR(__xludf.DUMMYFUNCTION("""COMPUTED_VALUE"""),"N/A")</f>
        <v>N/A</v>
      </c>
      <c r="AU1920" s="8">
        <f ca="1">IFERROR(__xludf.DUMMYFUNCTION("""COMPUTED_VALUE"""),30.23408)</f>
        <v>30.234079999999999</v>
      </c>
      <c r="AV1920" s="8">
        <f ca="1">IFERROR(__xludf.DUMMYFUNCTION("""COMPUTED_VALUE"""),-81.739366)</f>
        <v>-81.739366000000004</v>
      </c>
      <c r="AW1920" s="8"/>
      <c r="AX1920" s="8">
        <f ca="1">IFERROR(__xludf.DUMMYFUNCTION("""COMPUTED_VALUE"""),32244)</f>
        <v>32244</v>
      </c>
    </row>
    <row r="1921" spans="1:50" ht="90" x14ac:dyDescent="0.2">
      <c r="A1921" s="8" t="str">
        <f ca="1">IFERROR(__xludf.DUMMYFUNCTION("""COMPUTED_VALUE"""),"20150512AZCOT")</f>
        <v>20150512AZCOT</v>
      </c>
      <c r="B1921" s="8">
        <f ca="1">IFERROR(__xludf.DUMMYFUNCTION("""COMPUTED_VALUE"""),5)</f>
        <v>5</v>
      </c>
      <c r="C1921" s="8">
        <f ca="1">IFERROR(__xludf.DUMMYFUNCTION("""COMPUTED_VALUE"""),12)</f>
        <v>12</v>
      </c>
      <c r="D1921" s="8">
        <f ca="1">IFERROR(__xludf.DUMMYFUNCTION("""COMPUTED_VALUE"""),2015)</f>
        <v>2015</v>
      </c>
      <c r="E1921" s="9">
        <f ca="1">IFERROR(__xludf.DUMMYFUNCTION("""COMPUTED_VALUE"""),42136)</f>
        <v>42136</v>
      </c>
      <c r="F1921" s="8" t="str">
        <f ca="1">IFERROR(__xludf.DUMMYFUNCTION("""COMPUTED_VALUE"""),"Corona del Sol High School")</f>
        <v>Corona del Sol High School</v>
      </c>
      <c r="G1921" s="8">
        <f ca="1">IFERROR(__xludf.DUMMYFUNCTION("""COMPUTED_VALUE"""),0)</f>
        <v>0</v>
      </c>
      <c r="H1921" s="8">
        <f ca="1">IFERROR(__xludf.DUMMYFUNCTION("""COMPUTED_VALUE"""),0)</f>
        <v>0</v>
      </c>
      <c r="I1921" s="8">
        <f ca="1">IFERROR(__xludf.DUMMYFUNCTION("""COMPUTED_VALUE"""),0)</f>
        <v>0</v>
      </c>
      <c r="J1921" s="8">
        <f ca="1">IFERROR(__xludf.DUMMYFUNCTION("""COMPUTED_VALUE"""),1)</f>
        <v>1</v>
      </c>
      <c r="K1921" s="8" t="str">
        <f ca="1">IFERROR(__xludf.DUMMYFUNCTION("""COMPUTED_VALUE"""),"https://www.azcentral.com/story/news/local/tempe/2015/05/12/tempe-corona-lockdown-abrk/27175081/ . http://www.dailymail.co.uk/news/article-3078920/There-going-suicide-school-right-Chilling-tweet-popular-high-school-track-star-18-sent-moments-killed-campus"&amp;".html")</f>
        <v>https://www.azcentral.com/story/news/local/tempe/2015/05/12/tempe-corona-lockdown-abrk/27175081/ . http://www.dailymail.co.uk/news/article-3078920/There-going-suicide-school-right-Chilling-tweet-popular-high-school-track-star-18-sent-moments-killed-campus.html</v>
      </c>
      <c r="L1921" s="8"/>
      <c r="M1921" s="8"/>
      <c r="N1921" s="8">
        <f ca="1">IFERROR(__xludf.DUMMYFUNCTION("""COMPUTED_VALUE"""),3)</f>
        <v>3</v>
      </c>
      <c r="O1921" s="8" t="str">
        <f ca="1">IFERROR(__xludf.DUMMYFUNCTION("""COMPUTED_VALUE"""),"Spring")</f>
        <v>Spring</v>
      </c>
      <c r="P1921" s="8" t="str">
        <f ca="1">IFERROR(__xludf.DUMMYFUNCTION("""COMPUTED_VALUE"""),"Tempe")</f>
        <v>Tempe</v>
      </c>
      <c r="Q1921" s="8" t="str">
        <f ca="1">IFERROR(__xludf.DUMMYFUNCTION("""COMPUTED_VALUE"""),"AZ")</f>
        <v>AZ</v>
      </c>
      <c r="R1921" s="8" t="str">
        <f ca="1">IFERROR(__xludf.DUMMYFUNCTION("""COMPUTED_VALUE"""),"High")</f>
        <v>High</v>
      </c>
      <c r="S1921" s="8" t="str">
        <f ca="1">IFERROR(__xludf.DUMMYFUNCTION("""COMPUTED_VALUE"""),"Hallway")</f>
        <v>Hallway</v>
      </c>
      <c r="T1921" s="8" t="str">
        <f ca="1">IFERROR(__xludf.DUMMYFUNCTION("""COMPUTED_VALUE"""),"Outside on School Property")</f>
        <v>Outside on School Property</v>
      </c>
      <c r="U1921" s="8" t="str">
        <f ca="1">IFERROR(__xludf.DUMMYFUNCTION("""COMPUTED_VALUE"""),"Yes")</f>
        <v>Yes</v>
      </c>
      <c r="V1921" s="8" t="str">
        <f ca="1">IFERROR(__xludf.DUMMYFUNCTION("""COMPUTED_VALUE"""),"Morning Classes")</f>
        <v>Morning Classes</v>
      </c>
      <c r="W1921" s="11">
        <f ca="1">IFERROR(__xludf.DUMMYFUNCTION("""COMPUTED_VALUE"""),0.375)</f>
        <v>0.375</v>
      </c>
      <c r="X1921" s="8">
        <f ca="1">IFERROR(__xludf.DUMMYFUNCTION("""COMPUTED_VALUE"""),1)</f>
        <v>1</v>
      </c>
      <c r="Y1921" s="12" t="str">
        <f ca="1">IFERROR(__xludf.DUMMYFUNCTION("""COMPUTED_VALUE"""),"Suicide is school breezeway at start of school day")</f>
        <v>Suicide is school breezeway at start of school day</v>
      </c>
      <c r="Z1921" s="12" t="str">
        <f ca="1">IFERROR(__xludf.DUMMYFUNCTION("""COMPUTED_VALUE"""),"18 year old student athlete shot himself in school breezeway. SRO attempted to talk boy out of shooting. School lockdown was announced at 9:00 am continued until 10:15 am. No other students threatened or injured. Motive remained unknown. Posted his intent"&amp;" to commit suicide on Twitter prior to shooting.")</f>
        <v>18 year old student athlete shot himself in school breezeway. SRO attempted to talk boy out of shooting. School lockdown was announced at 9:00 am continued until 10:15 am. No other students threatened or injured. Motive remained unknown. Posted his intent to commit suicide on Twitter prior to shooting.</v>
      </c>
      <c r="AA1921" s="8" t="str">
        <f ca="1">IFERROR(__xludf.DUMMYFUNCTION("""COMPUTED_VALUE"""),"Suicide/Attempted")</f>
        <v>Suicide/Attempted</v>
      </c>
      <c r="AB1921" s="8"/>
      <c r="AC1921" s="8" t="str">
        <f ca="1">IFERROR(__xludf.DUMMYFUNCTION("""COMPUTED_VALUE"""),"Yes")</f>
        <v>Yes</v>
      </c>
      <c r="AD1921" s="8" t="str">
        <f ca="1">IFERROR(__xludf.DUMMYFUNCTION("""COMPUTED_VALUE"""),"Victims Targeted")</f>
        <v>Victims Targeted</v>
      </c>
      <c r="AE1921" s="8" t="str">
        <f ca="1">IFERROR(__xludf.DUMMYFUNCTION("""COMPUTED_VALUE"""),"No")</f>
        <v>No</v>
      </c>
      <c r="AF1921" s="8"/>
      <c r="AG1921" s="8" t="str">
        <f ca="1">IFERROR(__xludf.DUMMYFUNCTION("""COMPUTED_VALUE"""),"No")</f>
        <v>No</v>
      </c>
      <c r="AH1921" s="8" t="str">
        <f ca="1">IFERROR(__xludf.DUMMYFUNCTION("""COMPUTED_VALUE"""),"No")</f>
        <v>No</v>
      </c>
      <c r="AI1921" s="8" t="str">
        <f ca="1">IFERROR(__xludf.DUMMYFUNCTION("""COMPUTED_VALUE"""),"No")</f>
        <v>No</v>
      </c>
      <c r="AJ1921" s="8"/>
      <c r="AK1921" s="8"/>
      <c r="AL1921" s="8" t="str">
        <f ca="1">IFERROR(__xludf.DUMMYFUNCTION("""COMPUTED_VALUE"""),"No")</f>
        <v>No</v>
      </c>
      <c r="AM1921" s="8" t="str">
        <f ca="1">IFERROR(__xludf.DUMMYFUNCTION("""COMPUTED_VALUE"""),"No")</f>
        <v>No</v>
      </c>
      <c r="AN1921" s="8"/>
      <c r="AO1921" s="8" t="str">
        <f ca="1">IFERROR(__xludf.DUMMYFUNCTION("""COMPUTED_VALUE"""),"No")</f>
        <v>No</v>
      </c>
      <c r="AP1921" s="8" t="str">
        <f ca="1">IFERROR(__xludf.DUMMYFUNCTION("""COMPUTED_VALUE"""),"Yes")</f>
        <v>Yes</v>
      </c>
      <c r="AQ1921" s="8" t="str">
        <f ca="1">IFERROR(__xludf.DUMMYFUNCTION("""COMPUTED_VALUE"""),"Unknown")</f>
        <v>Unknown</v>
      </c>
      <c r="AR1921" s="8" t="str">
        <f ca="1">IFERROR(__xludf.DUMMYFUNCTION("""COMPUTED_VALUE"""),"NA")</f>
        <v>NA</v>
      </c>
      <c r="AS1921" s="8">
        <f ca="1">IFERROR(__xludf.DUMMYFUNCTION("""COMPUTED_VALUE"""),1)</f>
        <v>1</v>
      </c>
      <c r="AT1921" s="8" t="str">
        <f ca="1">IFERROR(__xludf.DUMMYFUNCTION("""COMPUTED_VALUE"""),"Yes")</f>
        <v>Yes</v>
      </c>
      <c r="AU1921" s="8">
        <f ca="1">IFERROR(__xludf.DUMMYFUNCTION("""COMPUTED_VALUE"""),33.325693)</f>
        <v>33.325693000000001</v>
      </c>
      <c r="AV1921" s="8">
        <f ca="1">IFERROR(__xludf.DUMMYFUNCTION("""COMPUTED_VALUE"""),-111.92663)</f>
        <v>-111.92663</v>
      </c>
      <c r="AW1921" s="8"/>
      <c r="AX1921" s="8">
        <f ca="1">IFERROR(__xludf.DUMMYFUNCTION("""COMPUTED_VALUE"""),85284)</f>
        <v>85284</v>
      </c>
    </row>
    <row r="1922" spans="1:50" ht="45" x14ac:dyDescent="0.2">
      <c r="A1922" s="8" t="str">
        <f ca="1">IFERROR(__xludf.DUMMYFUNCTION("""COMPUTED_VALUE"""),"20150505GACOC")</f>
        <v>20150505GACOC</v>
      </c>
      <c r="B1922" s="8">
        <f ca="1">IFERROR(__xludf.DUMMYFUNCTION("""COMPUTED_VALUE"""),5)</f>
        <v>5</v>
      </c>
      <c r="C1922" s="8">
        <f ca="1">IFERROR(__xludf.DUMMYFUNCTION("""COMPUTED_VALUE"""),5)</f>
        <v>5</v>
      </c>
      <c r="D1922" s="8">
        <f ca="1">IFERROR(__xludf.DUMMYFUNCTION("""COMPUTED_VALUE"""),2015)</f>
        <v>2015</v>
      </c>
      <c r="E1922" s="9">
        <f ca="1">IFERROR(__xludf.DUMMYFUNCTION("""COMPUTED_VALUE"""),42129)</f>
        <v>42129</v>
      </c>
      <c r="F1922" s="8" t="str">
        <f ca="1">IFERROR(__xludf.DUMMYFUNCTION("""COMPUTED_VALUE"""),"Conyers Middle School")</f>
        <v>Conyers Middle School</v>
      </c>
      <c r="G1922" s="8">
        <f ca="1">IFERROR(__xludf.DUMMYFUNCTION("""COMPUTED_VALUE"""),0)</f>
        <v>0</v>
      </c>
      <c r="H1922" s="8">
        <f ca="1">IFERROR(__xludf.DUMMYFUNCTION("""COMPUTED_VALUE"""),0)</f>
        <v>0</v>
      </c>
      <c r="I1922" s="8">
        <f ca="1">IFERROR(__xludf.DUMMYFUNCTION("""COMPUTED_VALUE"""),0)</f>
        <v>0</v>
      </c>
      <c r="J1922" s="8">
        <f ca="1">IFERROR(__xludf.DUMMYFUNCTION("""COMPUTED_VALUE"""),0)</f>
        <v>0</v>
      </c>
      <c r="K1922" s="8" t="str">
        <f ca="1">IFERROR(__xludf.DUMMYFUNCTION("""COMPUTED_VALUE"""),"https://www.wsbtv.com/news/local/police-shot-fired-inside-conyers-middle-school/53886537 . http://www.cbs46.com/story/28983116/gun-fired-at-conyers-middle-school")</f>
        <v>https://www.wsbtv.com/news/local/police-shot-fired-inside-conyers-middle-school/53886537 . http://www.cbs46.com/story/28983116/gun-fired-at-conyers-middle-school</v>
      </c>
      <c r="L1922" s="8"/>
      <c r="M1922" s="8"/>
      <c r="N1922" s="8">
        <f ca="1">IFERROR(__xludf.DUMMYFUNCTION("""COMPUTED_VALUE"""),3)</f>
        <v>3</v>
      </c>
      <c r="O1922" s="8" t="str">
        <f ca="1">IFERROR(__xludf.DUMMYFUNCTION("""COMPUTED_VALUE"""),"Spring")</f>
        <v>Spring</v>
      </c>
      <c r="P1922" s="8" t="str">
        <f ca="1">IFERROR(__xludf.DUMMYFUNCTION("""COMPUTED_VALUE"""),"Conyers")</f>
        <v>Conyers</v>
      </c>
      <c r="Q1922" s="8" t="str">
        <f ca="1">IFERROR(__xludf.DUMMYFUNCTION("""COMPUTED_VALUE"""),"GA")</f>
        <v>GA</v>
      </c>
      <c r="R1922" s="8" t="str">
        <f ca="1">IFERROR(__xludf.DUMMYFUNCTION("""COMPUTED_VALUE"""),"Middle")</f>
        <v>Middle</v>
      </c>
      <c r="S1922" s="8" t="str">
        <f ca="1">IFERROR(__xludf.DUMMYFUNCTION("""COMPUTED_VALUE"""),"Bathroom")</f>
        <v>Bathroom</v>
      </c>
      <c r="T1922" s="8" t="str">
        <f ca="1">IFERROR(__xludf.DUMMYFUNCTION("""COMPUTED_VALUE"""),"Inside School Building")</f>
        <v>Inside School Building</v>
      </c>
      <c r="U1922" s="8" t="str">
        <f ca="1">IFERROR(__xludf.DUMMYFUNCTION("""COMPUTED_VALUE"""),"Yes")</f>
        <v>Yes</v>
      </c>
      <c r="V1922" s="8" t="str">
        <f ca="1">IFERROR(__xludf.DUMMYFUNCTION("""COMPUTED_VALUE"""),"Afternoon Classes")</f>
        <v>Afternoon Classes</v>
      </c>
      <c r="W1922" s="11">
        <f ca="1">IFERROR(__xludf.DUMMYFUNCTION("""COMPUTED_VALUE"""),0.541666666666666)</f>
        <v>0.54166666666666596</v>
      </c>
      <c r="X1922" s="8">
        <f ca="1">IFERROR(__xludf.DUMMYFUNCTION("""COMPUTED_VALUE"""),1)</f>
        <v>1</v>
      </c>
      <c r="Y1922" s="12" t="str">
        <f ca="1">IFERROR(__xludf.DUMMYFUNCTION("""COMPUTED_VALUE"""),"Accidental shooting in school bathroom")</f>
        <v>Accidental shooting in school bathroom</v>
      </c>
      <c r="Z1922" s="12" t="str">
        <f ca="1">IFERROR(__xludf.DUMMYFUNCTION("""COMPUTED_VALUE"""),"14 year old boy brought gun to school with one bullet. Took gun in bathroom and shot bullet. Shot was not fired at anyone and the boy was detained.")</f>
        <v>14 year old boy brought gun to school with one bullet. Took gun in bathroom and shot bullet. Shot was not fired at anyone and the boy was detained.</v>
      </c>
      <c r="AA1922" s="8" t="str">
        <f ca="1">IFERROR(__xludf.DUMMYFUNCTION("""COMPUTED_VALUE"""),"Accidental")</f>
        <v>Accidental</v>
      </c>
      <c r="AB1922" s="8"/>
      <c r="AC1922" s="8" t="str">
        <f ca="1">IFERROR(__xludf.DUMMYFUNCTION("""COMPUTED_VALUE"""),"Yes")</f>
        <v>Yes</v>
      </c>
      <c r="AD1922" s="8" t="str">
        <f ca="1">IFERROR(__xludf.DUMMYFUNCTION("""COMPUTED_VALUE"""),"Neither")</f>
        <v>Neither</v>
      </c>
      <c r="AE1922" s="8" t="str">
        <f ca="1">IFERROR(__xludf.DUMMYFUNCTION("""COMPUTED_VALUE"""),"No")</f>
        <v>No</v>
      </c>
      <c r="AF1922" s="8"/>
      <c r="AG1922" s="8" t="str">
        <f ca="1">IFERROR(__xludf.DUMMYFUNCTION("""COMPUTED_VALUE"""),"No")</f>
        <v>No</v>
      </c>
      <c r="AH1922" s="8" t="str">
        <f ca="1">IFERROR(__xludf.DUMMYFUNCTION("""COMPUTED_VALUE"""),"No")</f>
        <v>No</v>
      </c>
      <c r="AI1922" s="8" t="str">
        <f ca="1">IFERROR(__xludf.DUMMYFUNCTION("""COMPUTED_VALUE"""),"No")</f>
        <v>No</v>
      </c>
      <c r="AJ1922" s="8"/>
      <c r="AK1922" s="8"/>
      <c r="AL1922" s="8"/>
      <c r="AM1922" s="8" t="str">
        <f ca="1">IFERROR(__xludf.DUMMYFUNCTION("""COMPUTED_VALUE"""),"No")</f>
        <v>No</v>
      </c>
      <c r="AN1922" s="8"/>
      <c r="AO1922" s="8"/>
      <c r="AP1922" s="8"/>
      <c r="AQ1922" s="8" t="str">
        <f ca="1">IFERROR(__xludf.DUMMYFUNCTION("""COMPUTED_VALUE"""),"Unknown")</f>
        <v>Unknown</v>
      </c>
      <c r="AR1922" s="8" t="str">
        <f ca="1">IFERROR(__xludf.DUMMYFUNCTION("""COMPUTED_VALUE"""),"NA")</f>
        <v>NA</v>
      </c>
      <c r="AS1922" s="8">
        <f ca="1">IFERROR(__xludf.DUMMYFUNCTION("""COMPUTED_VALUE"""),1)</f>
        <v>1</v>
      </c>
      <c r="AT1922" s="8"/>
      <c r="AU1922" s="8">
        <f ca="1">IFERROR(__xludf.DUMMYFUNCTION("""COMPUTED_VALUE"""),33.683765)</f>
        <v>33.683765000000001</v>
      </c>
      <c r="AV1922" s="8">
        <f ca="1">IFERROR(__xludf.DUMMYFUNCTION("""COMPUTED_VALUE"""),-84.004668)</f>
        <v>-84.004667999999995</v>
      </c>
      <c r="AW1922" s="8"/>
      <c r="AX1922" s="8">
        <f ca="1">IFERROR(__xludf.DUMMYFUNCTION("""COMPUTED_VALUE"""),30012)</f>
        <v>30012</v>
      </c>
    </row>
    <row r="1923" spans="1:50" ht="60" x14ac:dyDescent="0.2">
      <c r="A1923" s="8" t="str">
        <f ca="1">IFERROR(__xludf.DUMMYFUNCTION("""COMPUTED_VALUE"""),"20150504OHWIC")</f>
        <v>20150504OHWIC</v>
      </c>
      <c r="B1923" s="8">
        <f ca="1">IFERROR(__xludf.DUMMYFUNCTION("""COMPUTED_VALUE"""),5)</f>
        <v>5</v>
      </c>
      <c r="C1923" s="8">
        <f ca="1">IFERROR(__xludf.DUMMYFUNCTION("""COMPUTED_VALUE"""),4)</f>
        <v>4</v>
      </c>
      <c r="D1923" s="8">
        <f ca="1">IFERROR(__xludf.DUMMYFUNCTION("""COMPUTED_VALUE"""),2015)</f>
        <v>2015</v>
      </c>
      <c r="E1923" s="9">
        <f ca="1">IFERROR(__xludf.DUMMYFUNCTION("""COMPUTED_VALUE"""),42128)</f>
        <v>42128</v>
      </c>
      <c r="F1923" s="8" t="str">
        <f ca="1">IFERROR(__xludf.DUMMYFUNCTION("""COMPUTED_VALUE"""),"Willow Elementary School")</f>
        <v>Willow Elementary School</v>
      </c>
      <c r="G1923" s="8">
        <f ca="1">IFERROR(__xludf.DUMMYFUNCTION("""COMPUTED_VALUE"""),1)</f>
        <v>1</v>
      </c>
      <c r="H1923" s="8">
        <f ca="1">IFERROR(__xludf.DUMMYFUNCTION("""COMPUTED_VALUE"""),1)</f>
        <v>1</v>
      </c>
      <c r="I1923" s="8">
        <f ca="1">IFERROR(__xludf.DUMMYFUNCTION("""COMPUTED_VALUE"""),2)</f>
        <v>2</v>
      </c>
      <c r="J1923" s="8">
        <f ca="1">IFERROR(__xludf.DUMMYFUNCTION("""COMPUTED_VALUE"""),0)</f>
        <v>0</v>
      </c>
      <c r="K1923" s="8" t="str">
        <f ca="1">IFERROR(__xludf.DUMMYFUNCTION("""COMPUTED_VALUE"""),"https://www.cleveland.com/metro/index.ssf/2015/05/man_killed_in_double_shooting.html . https://www.facebook.com/TheC.O.R.P.216/photos/a.1028442057212927.1073741827.1028376723886127/1061545243902608/?type=1&amp;theater")</f>
        <v>https://www.cleveland.com/metro/index.ssf/2015/05/man_killed_in_double_shooting.html . https://www.facebook.com/TheC.O.R.P.216/photos/a.1028442057212927.1073741827.1028376723886127/1061545243902608/?type=1&amp;theater</v>
      </c>
      <c r="L1923" s="8"/>
      <c r="M1923" s="8"/>
      <c r="N1923" s="8">
        <f ca="1">IFERROR(__xludf.DUMMYFUNCTION("""COMPUTED_VALUE"""),3)</f>
        <v>3</v>
      </c>
      <c r="O1923" s="8" t="str">
        <f ca="1">IFERROR(__xludf.DUMMYFUNCTION("""COMPUTED_VALUE"""),"Spring")</f>
        <v>Spring</v>
      </c>
      <c r="P1923" s="8" t="str">
        <f ca="1">IFERROR(__xludf.DUMMYFUNCTION("""COMPUTED_VALUE"""),"Cleveland")</f>
        <v>Cleveland</v>
      </c>
      <c r="Q1923" s="8" t="str">
        <f ca="1">IFERROR(__xludf.DUMMYFUNCTION("""COMPUTED_VALUE"""),"OH")</f>
        <v>OH</v>
      </c>
      <c r="R1923" s="8" t="str">
        <f ca="1">IFERROR(__xludf.DUMMYFUNCTION("""COMPUTED_VALUE"""),"Elementary")</f>
        <v>Elementary</v>
      </c>
      <c r="S1923" s="8" t="str">
        <f ca="1">IFERROR(__xludf.DUMMYFUNCTION("""COMPUTED_VALUE"""),"Playground")</f>
        <v>Playground</v>
      </c>
      <c r="T1923" s="8" t="str">
        <f ca="1">IFERROR(__xludf.DUMMYFUNCTION("""COMPUTED_VALUE"""),"Outside on School Property")</f>
        <v>Outside on School Property</v>
      </c>
      <c r="U1923" s="8" t="str">
        <f ca="1">IFERROR(__xludf.DUMMYFUNCTION("""COMPUTED_VALUE"""),"No")</f>
        <v>No</v>
      </c>
      <c r="V1923" s="8" t="str">
        <f ca="1">IFERROR(__xludf.DUMMYFUNCTION("""COMPUTED_VALUE"""),"Night")</f>
        <v>Night</v>
      </c>
      <c r="W1923" s="11">
        <f ca="1">IFERROR(__xludf.DUMMYFUNCTION("""COMPUTED_VALUE"""),0.958333333333333)</f>
        <v>0.95833333333333304</v>
      </c>
      <c r="X1923" s="8"/>
      <c r="Y1923" s="12" t="str">
        <f ca="1">IFERROR(__xludf.DUMMYFUNCTION("""COMPUTED_VALUE"""),"Adult victims shot outside of school")</f>
        <v>Adult victims shot outside of school</v>
      </c>
      <c r="Z1923" s="12" t="str">
        <f ca="1">IFERROR(__xludf.DUMMYFUNCTION("""COMPUTED_VALUE"""),"Two victims were found shot, one killed, the other wounded on school playground. Motive and details of shooting unknown. Unknown relationship to school. Possible drive by shooting.")</f>
        <v>Two victims were found shot, one killed, the other wounded on school playground. Motive and details of shooting unknown. Unknown relationship to school. Possible drive by shooting.</v>
      </c>
      <c r="AA1923" s="8" t="str">
        <f ca="1">IFERROR(__xludf.DUMMYFUNCTION("""COMPUTED_VALUE"""),"Drive-by Shooting")</f>
        <v>Drive-by Shooting</v>
      </c>
      <c r="AB1923" s="8"/>
      <c r="AC1923" s="8" t="str">
        <f ca="1">IFERROR(__xludf.DUMMYFUNCTION("""COMPUTED_VALUE"""),"No")</f>
        <v>No</v>
      </c>
      <c r="AD1923" s="8"/>
      <c r="AE1923" s="8"/>
      <c r="AF1923" s="8"/>
      <c r="AG1923" s="8" t="str">
        <f ca="1">IFERROR(__xludf.DUMMYFUNCTION("""COMPUTED_VALUE"""),"No")</f>
        <v>No</v>
      </c>
      <c r="AH1923" s="8" t="str">
        <f ca="1">IFERROR(__xludf.DUMMYFUNCTION("""COMPUTED_VALUE"""),"No")</f>
        <v>No</v>
      </c>
      <c r="AI1923" s="8" t="str">
        <f ca="1">IFERROR(__xludf.DUMMYFUNCTION("""COMPUTED_VALUE"""),"No")</f>
        <v>No</v>
      </c>
      <c r="AJ1923" s="8"/>
      <c r="AK1923" s="8"/>
      <c r="AL1923" s="8"/>
      <c r="AM1923" s="8" t="str">
        <f ca="1">IFERROR(__xludf.DUMMYFUNCTION("""COMPUTED_VALUE"""),"No")</f>
        <v>No</v>
      </c>
      <c r="AN1923" s="8"/>
      <c r="AO1923" s="8" t="str">
        <f ca="1">IFERROR(__xludf.DUMMYFUNCTION("""COMPUTED_VALUE"""),"No")</f>
        <v>No</v>
      </c>
      <c r="AP1923" s="8"/>
      <c r="AQ1923" s="8" t="str">
        <f ca="1">IFERROR(__xludf.DUMMYFUNCTION("""COMPUTED_VALUE"""),"Unknown")</f>
        <v>Unknown</v>
      </c>
      <c r="AR1923" s="8" t="str">
        <f ca="1">IFERROR(__xludf.DUMMYFUNCTION("""COMPUTED_VALUE"""),"NA")</f>
        <v>NA</v>
      </c>
      <c r="AS1923" s="8"/>
      <c r="AT1923" s="8"/>
      <c r="AU1923" s="8">
        <f ca="1">IFERROR(__xludf.DUMMYFUNCTION("""COMPUTED_VALUE"""),41.475273)</f>
        <v>41.475273000000001</v>
      </c>
      <c r="AV1923" s="8">
        <f ca="1">IFERROR(__xludf.DUMMYFUNCTION("""COMPUTED_VALUE"""),-81.656284)</f>
        <v>-81.656283999999999</v>
      </c>
      <c r="AW1923" s="8"/>
      <c r="AX1923" s="8">
        <f ca="1">IFERROR(__xludf.DUMMYFUNCTION("""COMPUTED_VALUE"""),44127)</f>
        <v>44127</v>
      </c>
    </row>
    <row r="1924" spans="1:50" ht="45" x14ac:dyDescent="0.2">
      <c r="A1924" s="8" t="str">
        <f ca="1">IFERROR(__xludf.DUMMYFUNCTION("""COMPUTED_VALUE"""),"20150428MDDRW")</f>
        <v>20150428MDDRW</v>
      </c>
      <c r="B1924" s="8">
        <f ca="1">IFERROR(__xludf.DUMMYFUNCTION("""COMPUTED_VALUE"""),4)</f>
        <v>4</v>
      </c>
      <c r="C1924" s="8">
        <f ca="1">IFERROR(__xludf.DUMMYFUNCTION("""COMPUTED_VALUE"""),28)</f>
        <v>28</v>
      </c>
      <c r="D1924" s="8">
        <f ca="1">IFERROR(__xludf.DUMMYFUNCTION("""COMPUTED_VALUE"""),2015)</f>
        <v>2015</v>
      </c>
      <c r="E1924" s="9">
        <f ca="1">IFERROR(__xludf.DUMMYFUNCTION("""COMPUTED_VALUE"""),42122)</f>
        <v>42122</v>
      </c>
      <c r="F1924" s="8" t="str">
        <f ca="1">IFERROR(__xludf.DUMMYFUNCTION("""COMPUTED_VALUE"""),"Dr. Gustavus Brown Elementary School")</f>
        <v>Dr. Gustavus Brown Elementary School</v>
      </c>
      <c r="G1924" s="8">
        <f ca="1">IFERROR(__xludf.DUMMYFUNCTION("""COMPUTED_VALUE"""),0)</f>
        <v>0</v>
      </c>
      <c r="H1924" s="8">
        <f ca="1">IFERROR(__xludf.DUMMYFUNCTION("""COMPUTED_VALUE"""),1)</f>
        <v>1</v>
      </c>
      <c r="I1924" s="8">
        <f ca="1">IFERROR(__xludf.DUMMYFUNCTION("""COMPUTED_VALUE"""),1)</f>
        <v>1</v>
      </c>
      <c r="J1924" s="8">
        <f ca="1">IFERROR(__xludf.DUMMYFUNCTION("""COMPUTED_VALUE"""),0)</f>
        <v>0</v>
      </c>
      <c r="K1924" s="10" t="str">
        <f ca="1">IFERROR(__xludf.DUMMYFUNCTION("""COMPUTED_VALUE"""),"https://smnewsnet.com/archives/283458/man-shot-behind-school/")</f>
        <v>https://smnewsnet.com/archives/283458/man-shot-behind-school/</v>
      </c>
      <c r="L1924" s="8"/>
      <c r="M1924" s="8"/>
      <c r="N1924" s="8">
        <f ca="1">IFERROR(__xludf.DUMMYFUNCTION("""COMPUTED_VALUE"""),3)</f>
        <v>3</v>
      </c>
      <c r="O1924" s="8" t="str">
        <f ca="1">IFERROR(__xludf.DUMMYFUNCTION("""COMPUTED_VALUE"""),"Spring")</f>
        <v>Spring</v>
      </c>
      <c r="P1924" s="8" t="str">
        <f ca="1">IFERROR(__xludf.DUMMYFUNCTION("""COMPUTED_VALUE"""),"Waldorf")</f>
        <v>Waldorf</v>
      </c>
      <c r="Q1924" s="8" t="str">
        <f ca="1">IFERROR(__xludf.DUMMYFUNCTION("""COMPUTED_VALUE"""),"MD")</f>
        <v>MD</v>
      </c>
      <c r="R1924" s="8" t="str">
        <f ca="1">IFERROR(__xludf.DUMMYFUNCTION("""COMPUTED_VALUE"""),"Elementary")</f>
        <v>Elementary</v>
      </c>
      <c r="S1924" s="8" t="str">
        <f ca="1">IFERROR(__xludf.DUMMYFUNCTION("""COMPUTED_VALUE"""),"Basketball Court")</f>
        <v>Basketball Court</v>
      </c>
      <c r="T1924" s="8" t="str">
        <f ca="1">IFERROR(__xludf.DUMMYFUNCTION("""COMPUTED_VALUE"""),"Outside on School Property")</f>
        <v>Outside on School Property</v>
      </c>
      <c r="U1924" s="8" t="str">
        <f ca="1">IFERROR(__xludf.DUMMYFUNCTION("""COMPUTED_VALUE"""),"No")</f>
        <v>No</v>
      </c>
      <c r="V1924" s="8" t="str">
        <f ca="1">IFERROR(__xludf.DUMMYFUNCTION("""COMPUTED_VALUE"""),"Evening")</f>
        <v>Evening</v>
      </c>
      <c r="W1924" s="11">
        <f ca="1">IFERROR(__xludf.DUMMYFUNCTION("""COMPUTED_VALUE"""),0.765972222222222)</f>
        <v>0.76597222222222205</v>
      </c>
      <c r="X1924" s="8">
        <f ca="1">IFERROR(__xludf.DUMMYFUNCTION("""COMPUTED_VALUE"""),1)</f>
        <v>1</v>
      </c>
      <c r="Y1924" s="12" t="str">
        <f ca="1">IFERROR(__xludf.DUMMYFUNCTION("""COMPUTED_VALUE"""),"22YOM shot on school basketball court")</f>
        <v>22YOM shot on school basketball court</v>
      </c>
      <c r="Z1924" s="12" t="str">
        <f ca="1">IFERROR(__xludf.DUMMYFUNCTION("""COMPUTED_VALUE"""),"22YOM was shot on school basketball court. Shooter exited a car, fired at him, and fled the area. Police said the shooting was not random. No information about shooter.")</f>
        <v>22YOM was shot on school basketball court. Shooter exited a car, fired at him, and fled the area. Police said the shooting was not random. No information about shooter.</v>
      </c>
      <c r="AA1924" s="8" t="str">
        <f ca="1">IFERROR(__xludf.DUMMYFUNCTION("""COMPUTED_VALUE"""),"Escalation of Dispute")</f>
        <v>Escalation of Dispute</v>
      </c>
      <c r="AB1924" s="8"/>
      <c r="AC1924" s="8" t="str">
        <f ca="1">IFERROR(__xludf.DUMMYFUNCTION("""COMPUTED_VALUE"""),"No")</f>
        <v>No</v>
      </c>
      <c r="AD1924" s="8" t="str">
        <f ca="1">IFERROR(__xludf.DUMMYFUNCTION("""COMPUTED_VALUE"""),"Victims Targeted")</f>
        <v>Victims Targeted</v>
      </c>
      <c r="AE1924" s="8" t="str">
        <f ca="1">IFERROR(__xludf.DUMMYFUNCTION("""COMPUTED_VALUE"""),"Yes")</f>
        <v>Yes</v>
      </c>
      <c r="AF1924" s="8" t="str">
        <f ca="1">IFERROR(__xludf.DUMMYFUNCTION("""COMPUTED_VALUE"""),"Shooter was driven by someone else in vehicle")</f>
        <v>Shooter was driven by someone else in vehicle</v>
      </c>
      <c r="AG1924" s="8" t="str">
        <f ca="1">IFERROR(__xludf.DUMMYFUNCTION("""COMPUTED_VALUE"""),"No")</f>
        <v>No</v>
      </c>
      <c r="AH1924" s="8" t="str">
        <f ca="1">IFERROR(__xludf.DUMMYFUNCTION("""COMPUTED_VALUE"""),"No")</f>
        <v>No</v>
      </c>
      <c r="AI1924" s="8" t="str">
        <f ca="1">IFERROR(__xludf.DUMMYFUNCTION("""COMPUTED_VALUE"""),"No")</f>
        <v>No</v>
      </c>
      <c r="AJ1924" s="8" t="str">
        <f ca="1">IFERROR(__xludf.DUMMYFUNCTION("""COMPUTED_VALUE"""),"No")</f>
        <v>No</v>
      </c>
      <c r="AK1924" s="8" t="str">
        <f ca="1">IFERROR(__xludf.DUMMYFUNCTION("""COMPUTED_VALUE"""),"No")</f>
        <v>No</v>
      </c>
      <c r="AL1924" s="8"/>
      <c r="AM1924" s="8" t="str">
        <f ca="1">IFERROR(__xludf.DUMMYFUNCTION("""COMPUTED_VALUE"""),"No")</f>
        <v>No</v>
      </c>
      <c r="AN1924" s="8"/>
      <c r="AO1924" s="8" t="str">
        <f ca="1">IFERROR(__xludf.DUMMYFUNCTION("""COMPUTED_VALUE"""),"No")</f>
        <v>No</v>
      </c>
      <c r="AP1924" s="8" t="str">
        <f ca="1">IFERROR(__xludf.DUMMYFUNCTION("""COMPUTED_VALUE"""),"No")</f>
        <v>No</v>
      </c>
      <c r="AQ1924" s="8" t="str">
        <f ca="1">IFERROR(__xludf.DUMMYFUNCTION("""COMPUTED_VALUE"""),"Unknown")</f>
        <v>Unknown</v>
      </c>
      <c r="AR1924" s="8" t="str">
        <f ca="1">IFERROR(__xludf.DUMMYFUNCTION("""COMPUTED_VALUE"""),"NA")</f>
        <v>NA</v>
      </c>
      <c r="AS1924" s="8" t="str">
        <f ca="1">IFERROR(__xludf.DUMMYFUNCTION("""COMPUTED_VALUE"""),"&lt;10")</f>
        <v>&lt;10</v>
      </c>
      <c r="AT1924" s="8" t="str">
        <f ca="1">IFERROR(__xludf.DUMMYFUNCTION("""COMPUTED_VALUE"""),"N/A")</f>
        <v>N/A</v>
      </c>
      <c r="AU1924" s="8">
        <f ca="1">IFERROR(__xludf.DUMMYFUNCTION("""COMPUTED_VALUE"""),38.594615)</f>
        <v>38.594614999999997</v>
      </c>
      <c r="AV1924" s="8">
        <f ca="1">IFERROR(__xludf.DUMMYFUNCTION("""COMPUTED_VALUE"""),-76.919971)</f>
        <v>-76.919971000000004</v>
      </c>
      <c r="AW1924" s="8"/>
      <c r="AX1924" s="8">
        <f ca="1">IFERROR(__xludf.DUMMYFUNCTION("""COMPUTED_VALUE"""),20602)</f>
        <v>20602</v>
      </c>
    </row>
    <row r="1925" spans="1:50" ht="150" x14ac:dyDescent="0.2">
      <c r="A1925" s="8" t="str">
        <f ca="1">IFERROR(__xludf.DUMMYFUNCTION("""COMPUTED_VALUE"""),"20150427WANOL")</f>
        <v>20150427WANOL</v>
      </c>
      <c r="B1925" s="8">
        <f ca="1">IFERROR(__xludf.DUMMYFUNCTION("""COMPUTED_VALUE"""),4)</f>
        <v>4</v>
      </c>
      <c r="C1925" s="8">
        <f ca="1">IFERROR(__xludf.DUMMYFUNCTION("""COMPUTED_VALUE"""),27)</f>
        <v>27</v>
      </c>
      <c r="D1925" s="8">
        <f ca="1">IFERROR(__xludf.DUMMYFUNCTION("""COMPUTED_VALUE"""),2015)</f>
        <v>2015</v>
      </c>
      <c r="E1925" s="9">
        <f ca="1">IFERROR(__xludf.DUMMYFUNCTION("""COMPUTED_VALUE"""),42121)</f>
        <v>42121</v>
      </c>
      <c r="F1925" s="8" t="str">
        <f ca="1">IFERROR(__xludf.DUMMYFUNCTION("""COMPUTED_VALUE"""),"North Thurston High School")</f>
        <v>North Thurston High School</v>
      </c>
      <c r="G1925" s="8">
        <f ca="1">IFERROR(__xludf.DUMMYFUNCTION("""COMPUTED_VALUE"""),0)</f>
        <v>0</v>
      </c>
      <c r="H1925" s="8">
        <f ca="1">IFERROR(__xludf.DUMMYFUNCTION("""COMPUTED_VALUE"""),0)</f>
        <v>0</v>
      </c>
      <c r="I1925" s="8">
        <f ca="1">IFERROR(__xludf.DUMMYFUNCTION("""COMPUTED_VALUE"""),0)</f>
        <v>0</v>
      </c>
      <c r="J1925" s="8">
        <f ca="1">IFERROR(__xludf.DUMMYFUNCTION("""COMPUTED_VALUE"""),0)</f>
        <v>0</v>
      </c>
      <c r="K1925" s="8" t="str">
        <f ca="1">IFERROR(__xludf.DUMMYFUNCTION("""COMPUTED_VALUE"""),"https://www.theolympian.com/news/local/education/article74949547.html
https://www.lmtribune.com/northwest/charges-filed-against-teen-in-shooting/article_b756bf0b-3978-5de3-909e-16155b0d1aba.html")</f>
        <v>https://www.theolympian.com/news/local/education/article74949547.html
https://www.lmtribune.com/northwest/charges-filed-against-teen-in-shooting/article_b756bf0b-3978-5de3-909e-16155b0d1aba.html</v>
      </c>
      <c r="L1925" s="8">
        <f ca="1">IFERROR(__xludf.DUMMYFUNCTION("""COMPUTED_VALUE"""),5)</f>
        <v>5</v>
      </c>
      <c r="M1925" s="8" t="str">
        <f ca="1">IFERROR(__xludf.DUMMYFUNCTION("""COMPUTED_VALUE"""),"Local")</f>
        <v>Local</v>
      </c>
      <c r="N1925" s="8">
        <f ca="1">IFERROR(__xludf.DUMMYFUNCTION("""COMPUTED_VALUE"""),4)</f>
        <v>4</v>
      </c>
      <c r="O1925" s="8" t="str">
        <f ca="1">IFERROR(__xludf.DUMMYFUNCTION("""COMPUTED_VALUE"""),"Spring")</f>
        <v>Spring</v>
      </c>
      <c r="P1925" s="8" t="str">
        <f ca="1">IFERROR(__xludf.DUMMYFUNCTION("""COMPUTED_VALUE"""),"Lacey")</f>
        <v>Lacey</v>
      </c>
      <c r="Q1925" s="8" t="str">
        <f ca="1">IFERROR(__xludf.DUMMYFUNCTION("""COMPUTED_VALUE"""),"WA")</f>
        <v>WA</v>
      </c>
      <c r="R1925" s="8" t="str">
        <f ca="1">IFERROR(__xludf.DUMMYFUNCTION("""COMPUTED_VALUE"""),"High")</f>
        <v>High</v>
      </c>
      <c r="S1925" s="8" t="str">
        <f ca="1">IFERROR(__xludf.DUMMYFUNCTION("""COMPUTED_VALUE"""),"Hallway")</f>
        <v>Hallway</v>
      </c>
      <c r="T1925" s="8" t="str">
        <f ca="1">IFERROR(__xludf.DUMMYFUNCTION("""COMPUTED_VALUE"""),"Inside School Building")</f>
        <v>Inside School Building</v>
      </c>
      <c r="U1925" s="8" t="str">
        <f ca="1">IFERROR(__xludf.DUMMYFUNCTION("""COMPUTED_VALUE"""),"Yes")</f>
        <v>Yes</v>
      </c>
      <c r="V1925" s="8" t="str">
        <f ca="1">IFERROR(__xludf.DUMMYFUNCTION("""COMPUTED_VALUE"""),"Morning Classes")</f>
        <v>Morning Classes</v>
      </c>
      <c r="W1925" s="11">
        <f ca="1">IFERROR(__xludf.DUMMYFUNCTION("""COMPUTED_VALUE"""),0.308333333333333)</f>
        <v>0.30833333333333302</v>
      </c>
      <c r="X1925" s="8">
        <f ca="1">IFERROR(__xludf.DUMMYFUNCTION("""COMPUTED_VALUE"""),1)</f>
        <v>1</v>
      </c>
      <c r="Y1925" s="12" t="str">
        <f ca="1">IFERROR(__xludf.DUMMYFUNCTION("""COMPUTED_VALUE"""),"Fired two shots before being tackled by teacher")</f>
        <v>Fired two shots before being tackled by teacher</v>
      </c>
      <c r="Z1925" s="12" t="str">
        <f ca="1">IFERROR(__xludf.DUMMYFUNCTION("""COMPUTED_VALUE"""),"Shooter appeared near the cafeteria smoking and fired two shots into the ceiling of hallway/common area. Administrator hear shots and ordered lockdown/multiple calls to 911. Immediately tackled by the teacher while still holding the gun. No students were "&amp;"injured. Allegedly planned ""suicide by cop"". Had criminal history, still on probation when the moved to the new school. Only been attending school for 1 month prior the shootin. Allegedly he was bullied and called derogatory names in all schools. Previo"&amp;"usly suspended at least 10 times")</f>
        <v>Shooter appeared near the cafeteria smoking and fired two shots into the ceiling of hallway/common area. Administrator hear shots and ordered lockdown/multiple calls to 911. Immediately tackled by the teacher while still holding the gun. No students were injured. Allegedly planned "suicide by cop". Had criminal history, still on probation when the moved to the new school. Only been attending school for 1 month prior the shootin. Allegedly he was bullied and called derogatory names in all schools. Previously suspended at least 10 times</v>
      </c>
      <c r="AA1925" s="8" t="str">
        <f ca="1">IFERROR(__xludf.DUMMYFUNCTION("""COMPUTED_VALUE"""),"Indiscriminate Shooting")</f>
        <v>Indiscriminate Shooting</v>
      </c>
      <c r="AB1925" s="8"/>
      <c r="AC1925" s="8" t="str">
        <f ca="1">IFERROR(__xludf.DUMMYFUNCTION("""COMPUTED_VALUE"""),"Yes")</f>
        <v>Yes</v>
      </c>
      <c r="AD1925" s="8" t="str">
        <f ca="1">IFERROR(__xludf.DUMMYFUNCTION("""COMPUTED_VALUE"""),"Neither")</f>
        <v>Neither</v>
      </c>
      <c r="AE1925" s="8" t="str">
        <f ca="1">IFERROR(__xludf.DUMMYFUNCTION("""COMPUTED_VALUE"""),"No")</f>
        <v>No</v>
      </c>
      <c r="AF1925" s="8"/>
      <c r="AG1925" s="8" t="str">
        <f ca="1">IFERROR(__xludf.DUMMYFUNCTION("""COMPUTED_VALUE"""),"No")</f>
        <v>No</v>
      </c>
      <c r="AH1925" s="8" t="str">
        <f ca="1">IFERROR(__xludf.DUMMYFUNCTION("""COMPUTED_VALUE"""),"No")</f>
        <v>No</v>
      </c>
      <c r="AI1925" s="8" t="str">
        <f ca="1">IFERROR(__xludf.DUMMYFUNCTION("""COMPUTED_VALUE"""),"No")</f>
        <v>No</v>
      </c>
      <c r="AJ1925" s="8" t="str">
        <f ca="1">IFERROR(__xludf.DUMMYFUNCTION("""COMPUTED_VALUE"""),"Yes")</f>
        <v>Yes</v>
      </c>
      <c r="AK1925" s="8" t="str">
        <f ca="1">IFERROR(__xludf.DUMMYFUNCTION("""COMPUTED_VALUE"""),"No")</f>
        <v>No</v>
      </c>
      <c r="AL1925" s="8" t="str">
        <f ca="1">IFERROR(__xludf.DUMMYFUNCTION("""COMPUTED_VALUE"""),"No")</f>
        <v>No</v>
      </c>
      <c r="AM1925" s="8" t="str">
        <f ca="1">IFERROR(__xludf.DUMMYFUNCTION("""COMPUTED_VALUE"""),"Yes")</f>
        <v>Yes</v>
      </c>
      <c r="AN1925" s="8" t="str">
        <f ca="1">IFERROR(__xludf.DUMMYFUNCTION("""COMPUTED_VALUE"""),"Single Room")</f>
        <v>Single Room</v>
      </c>
      <c r="AO1925" s="8" t="str">
        <f ca="1">IFERROR(__xludf.DUMMYFUNCTION("""COMPUTED_VALUE"""),"Yes")</f>
        <v>Yes</v>
      </c>
      <c r="AP1925" s="8" t="str">
        <f ca="1">IFERROR(__xludf.DUMMYFUNCTION("""COMPUTED_VALUE"""),"Yes")</f>
        <v>Yes</v>
      </c>
      <c r="AQ1925" s="8" t="str">
        <f ca="1">IFERROR(__xludf.DUMMYFUNCTION("""COMPUTED_VALUE"""),"Unknown")</f>
        <v>Unknown</v>
      </c>
      <c r="AR1925" s="8" t="str">
        <f ca="1">IFERROR(__xludf.DUMMYFUNCTION("""COMPUTED_VALUE"""),"NA")</f>
        <v>NA</v>
      </c>
      <c r="AS1925" s="8">
        <f ca="1">IFERROR(__xludf.DUMMYFUNCTION("""COMPUTED_VALUE"""),2)</f>
        <v>2</v>
      </c>
      <c r="AT1925" s="8" t="str">
        <f ca="1">IFERROR(__xludf.DUMMYFUNCTION("""COMPUTED_VALUE"""),"Yes")</f>
        <v>Yes</v>
      </c>
      <c r="AU1925" s="8">
        <f ca="1">IFERROR(__xludf.DUMMYFUNCTION("""COMPUTED_VALUE"""),47.051956)</f>
        <v>47.051955999999997</v>
      </c>
      <c r="AV1925" s="8">
        <f ca="1">IFERROR(__xludf.DUMMYFUNCTION("""COMPUTED_VALUE"""),-122.83241)</f>
        <v>-122.83241</v>
      </c>
      <c r="AW1925" s="8"/>
      <c r="AX1925" s="8">
        <f ca="1">IFERROR(__xludf.DUMMYFUNCTION("""COMPUTED_VALUE"""),98506)</f>
        <v>98506</v>
      </c>
    </row>
    <row r="1926" spans="1:50" ht="60" x14ac:dyDescent="0.2">
      <c r="A1926" s="8" t="str">
        <f ca="1">IFERROR(__xludf.DUMMYFUNCTION("""COMPUTED_VALUE"""),"20150422NVRUL")</f>
        <v>20150422NVRUL</v>
      </c>
      <c r="B1926" s="8">
        <f ca="1">IFERROR(__xludf.DUMMYFUNCTION("""COMPUTED_VALUE"""),4)</f>
        <v>4</v>
      </c>
      <c r="C1926" s="8">
        <f ca="1">IFERROR(__xludf.DUMMYFUNCTION("""COMPUTED_VALUE"""),22)</f>
        <v>22</v>
      </c>
      <c r="D1926" s="8">
        <f ca="1">IFERROR(__xludf.DUMMYFUNCTION("""COMPUTED_VALUE"""),2015)</f>
        <v>2015</v>
      </c>
      <c r="E1926" s="9">
        <f ca="1">IFERROR(__xludf.DUMMYFUNCTION("""COMPUTED_VALUE"""),42116)</f>
        <v>42116</v>
      </c>
      <c r="F1926" s="8" t="str">
        <f ca="1">IFERROR(__xludf.DUMMYFUNCTION("""COMPUTED_VALUE"""),"Ruth Deskin Elementary School")</f>
        <v>Ruth Deskin Elementary School</v>
      </c>
      <c r="G1926" s="8">
        <f ca="1">IFERROR(__xludf.DUMMYFUNCTION("""COMPUTED_VALUE"""),0)</f>
        <v>0</v>
      </c>
      <c r="H1926" s="8">
        <f ca="1">IFERROR(__xludf.DUMMYFUNCTION("""COMPUTED_VALUE"""),0)</f>
        <v>0</v>
      </c>
      <c r="I1926" s="8">
        <f ca="1">IFERROR(__xludf.DUMMYFUNCTION("""COMPUTED_VALUE"""),0)</f>
        <v>0</v>
      </c>
      <c r="J1926" s="8">
        <f ca="1">IFERROR(__xludf.DUMMYFUNCTION("""COMPUTED_VALUE"""),0)</f>
        <v>0</v>
      </c>
      <c r="K1926" s="10" t="str">
        <f ca="1">IFERROR(__xludf.DUMMYFUNCTION("""COMPUTED_VALUE"""),"https://www.cbsnews.com/news/boy-11-arrested-after-accidentally-firing-handgun-at-school/")</f>
        <v>https://www.cbsnews.com/news/boy-11-arrested-after-accidentally-firing-handgun-at-school/</v>
      </c>
      <c r="L1926" s="8"/>
      <c r="M1926" s="8"/>
      <c r="N1926" s="8">
        <f ca="1">IFERROR(__xludf.DUMMYFUNCTION("""COMPUTED_VALUE"""),2)</f>
        <v>2</v>
      </c>
      <c r="O1926" s="8" t="str">
        <f ca="1">IFERROR(__xludf.DUMMYFUNCTION("""COMPUTED_VALUE"""),"Spring")</f>
        <v>Spring</v>
      </c>
      <c r="P1926" s="8" t="str">
        <f ca="1">IFERROR(__xludf.DUMMYFUNCTION("""COMPUTED_VALUE"""),"Las Vegas")</f>
        <v>Las Vegas</v>
      </c>
      <c r="Q1926" s="8" t="str">
        <f ca="1">IFERROR(__xludf.DUMMYFUNCTION("""COMPUTED_VALUE"""),"NV")</f>
        <v>NV</v>
      </c>
      <c r="R1926" s="8" t="str">
        <f ca="1">IFERROR(__xludf.DUMMYFUNCTION("""COMPUTED_VALUE"""),"Elementary")</f>
        <v>Elementary</v>
      </c>
      <c r="S1926" s="8" t="str">
        <f ca="1">IFERROR(__xludf.DUMMYFUNCTION("""COMPUTED_VALUE"""),"Classroom")</f>
        <v>Classroom</v>
      </c>
      <c r="T1926" s="8" t="str">
        <f ca="1">IFERROR(__xludf.DUMMYFUNCTION("""COMPUTED_VALUE"""),"Inside School Building")</f>
        <v>Inside School Building</v>
      </c>
      <c r="U1926" s="8" t="str">
        <f ca="1">IFERROR(__xludf.DUMMYFUNCTION("""COMPUTED_VALUE"""),"Yes")</f>
        <v>Yes</v>
      </c>
      <c r="V1926" s="8" t="str">
        <f ca="1">IFERROR(__xludf.DUMMYFUNCTION("""COMPUTED_VALUE"""),"Afternoon Classes")</f>
        <v>Afternoon Classes</v>
      </c>
      <c r="W1926" s="11">
        <f ca="1">IFERROR(__xludf.DUMMYFUNCTION("""COMPUTED_VALUE"""),0.638888888888888)</f>
        <v>0.63888888888888795</v>
      </c>
      <c r="X1926" s="8">
        <f ca="1">IFERROR(__xludf.DUMMYFUNCTION("""COMPUTED_VALUE"""),1)</f>
        <v>1</v>
      </c>
      <c r="Y1926" s="12" t="str">
        <f ca="1">IFERROR(__xludf.DUMMYFUNCTION("""COMPUTED_VALUE"""),"Accidental discharge of gun in backpack")</f>
        <v>Accidental discharge of gun in backpack</v>
      </c>
      <c r="Z1926" s="12" t="str">
        <f ca="1">IFERROR(__xludf.DUMMYFUNCTION("""COMPUTED_VALUE"""),"11YOM shooter had .45 caliber and BB gun in backpack. While waiting for bell to ring to finish the day, the boy reached into his backpack and gun accidentally fired. Discharged single bullet into desk. No injuries.")</f>
        <v>11YOM shooter had .45 caliber and BB gun in backpack. While waiting for bell to ring to finish the day, the boy reached into his backpack and gun accidentally fired. Discharged single bullet into desk. No injuries.</v>
      </c>
      <c r="AA1926" s="8" t="str">
        <f ca="1">IFERROR(__xludf.DUMMYFUNCTION("""COMPUTED_VALUE"""),"Accidental")</f>
        <v>Accidental</v>
      </c>
      <c r="AB1926" s="8"/>
      <c r="AC1926" s="8" t="str">
        <f ca="1">IFERROR(__xludf.DUMMYFUNCTION("""COMPUTED_VALUE"""),"Yes")</f>
        <v>Yes</v>
      </c>
      <c r="AD1926" s="8" t="str">
        <f ca="1">IFERROR(__xludf.DUMMYFUNCTION("""COMPUTED_VALUE"""),"Neither")</f>
        <v>Neither</v>
      </c>
      <c r="AE1926" s="8" t="str">
        <f ca="1">IFERROR(__xludf.DUMMYFUNCTION("""COMPUTED_VALUE"""),"No")</f>
        <v>No</v>
      </c>
      <c r="AF1926" s="8"/>
      <c r="AG1926" s="8" t="str">
        <f ca="1">IFERROR(__xludf.DUMMYFUNCTION("""COMPUTED_VALUE"""),"No")</f>
        <v>No</v>
      </c>
      <c r="AH1926" s="8" t="str">
        <f ca="1">IFERROR(__xludf.DUMMYFUNCTION("""COMPUTED_VALUE"""),"No")</f>
        <v>No</v>
      </c>
      <c r="AI1926" s="8" t="str">
        <f ca="1">IFERROR(__xludf.DUMMYFUNCTION("""COMPUTED_VALUE"""),"No")</f>
        <v>No</v>
      </c>
      <c r="AJ1926" s="8" t="str">
        <f ca="1">IFERROR(__xludf.DUMMYFUNCTION("""COMPUTED_VALUE"""),"No")</f>
        <v>No</v>
      </c>
      <c r="AK1926" s="8" t="str">
        <f ca="1">IFERROR(__xludf.DUMMYFUNCTION("""COMPUTED_VALUE"""),"No")</f>
        <v>No</v>
      </c>
      <c r="AL1926" s="8" t="str">
        <f ca="1">IFERROR(__xludf.DUMMYFUNCTION("""COMPUTED_VALUE"""),"No")</f>
        <v>No</v>
      </c>
      <c r="AM1926" s="8" t="str">
        <f ca="1">IFERROR(__xludf.DUMMYFUNCTION("""COMPUTED_VALUE"""),"No")</f>
        <v>No</v>
      </c>
      <c r="AN1926" s="8"/>
      <c r="AO1926" s="8" t="str">
        <f ca="1">IFERROR(__xludf.DUMMYFUNCTION("""COMPUTED_VALUE"""),"No")</f>
        <v>No</v>
      </c>
      <c r="AP1926" s="8"/>
      <c r="AQ1926" s="8" t="str">
        <f ca="1">IFERROR(__xludf.DUMMYFUNCTION("""COMPUTED_VALUE"""),"Unknown")</f>
        <v>Unknown</v>
      </c>
      <c r="AR1926" s="8" t="str">
        <f ca="1">IFERROR(__xludf.DUMMYFUNCTION("""COMPUTED_VALUE"""),"NA")</f>
        <v>NA</v>
      </c>
      <c r="AS1926" s="8">
        <f ca="1">IFERROR(__xludf.DUMMYFUNCTION("""COMPUTED_VALUE"""),1)</f>
        <v>1</v>
      </c>
      <c r="AT1926" s="8"/>
      <c r="AU1926" s="8">
        <f ca="1">IFERROR(__xludf.DUMMYFUNCTION("""COMPUTED_VALUE"""),36.1699412)</f>
        <v>36.169941199999997</v>
      </c>
      <c r="AV1926" s="8">
        <f ca="1">IFERROR(__xludf.DUMMYFUNCTION("""COMPUTED_VALUE"""),-115.1398296)</f>
        <v>-115.1398296</v>
      </c>
      <c r="AW1926" s="8"/>
      <c r="AX1926" s="8">
        <f ca="1">IFERROR(__xludf.DUMMYFUNCTION("""COMPUTED_VALUE"""),89101)</f>
        <v>89101</v>
      </c>
    </row>
    <row r="1927" spans="1:50" ht="30" x14ac:dyDescent="0.2">
      <c r="A1927" s="8" t="str">
        <f ca="1">IFERROR(__xludf.DUMMYFUNCTION("""COMPUTED_VALUE"""),"20150417TXSES")</f>
        <v>20150417TXSES</v>
      </c>
      <c r="B1927" s="8">
        <f ca="1">IFERROR(__xludf.DUMMYFUNCTION("""COMPUTED_VALUE"""),4)</f>
        <v>4</v>
      </c>
      <c r="C1927" s="8">
        <f ca="1">IFERROR(__xludf.DUMMYFUNCTION("""COMPUTED_VALUE"""),17)</f>
        <v>17</v>
      </c>
      <c r="D1927" s="8">
        <f ca="1">IFERROR(__xludf.DUMMYFUNCTION("""COMPUTED_VALUE"""),2015)</f>
        <v>2015</v>
      </c>
      <c r="E1927" s="9">
        <f ca="1">IFERROR(__xludf.DUMMYFUNCTION("""COMPUTED_VALUE"""),42111)</f>
        <v>42111</v>
      </c>
      <c r="F1927" s="8" t="str">
        <f ca="1">IFERROR(__xludf.DUMMYFUNCTION("""COMPUTED_VALUE"""),"Seguin High School")</f>
        <v>Seguin High School</v>
      </c>
      <c r="G1927" s="8">
        <f ca="1">IFERROR(__xludf.DUMMYFUNCTION("""COMPUTED_VALUE"""),0)</f>
        <v>0</v>
      </c>
      <c r="H1927" s="8">
        <f ca="1">IFERROR(__xludf.DUMMYFUNCTION("""COMPUTED_VALUE"""),0)</f>
        <v>0</v>
      </c>
      <c r="I1927" s="8">
        <f ca="1">IFERROR(__xludf.DUMMYFUNCTION("""COMPUTED_VALUE"""),0)</f>
        <v>0</v>
      </c>
      <c r="J1927" s="8">
        <f ca="1">IFERROR(__xludf.DUMMYFUNCTION("""COMPUTED_VALUE"""),1)</f>
        <v>1</v>
      </c>
      <c r="K1927" s="10" t="str">
        <f ca="1">IFERROR(__xludf.DUMMYFUNCTION("""COMPUTED_VALUE"""),"https://www.ksat.com/news/school-official-seguin-high-school-student-shoots-kills-self")</f>
        <v>https://www.ksat.com/news/school-official-seguin-high-school-student-shoots-kills-self</v>
      </c>
      <c r="L1927" s="8"/>
      <c r="M1927" s="8"/>
      <c r="N1927" s="8">
        <f ca="1">IFERROR(__xludf.DUMMYFUNCTION("""COMPUTED_VALUE"""),2)</f>
        <v>2</v>
      </c>
      <c r="O1927" s="8" t="str">
        <f ca="1">IFERROR(__xludf.DUMMYFUNCTION("""COMPUTED_VALUE"""),"Spring")</f>
        <v>Spring</v>
      </c>
      <c r="P1927" s="8" t="str">
        <f ca="1">IFERROR(__xludf.DUMMYFUNCTION("""COMPUTED_VALUE"""),"Seguin")</f>
        <v>Seguin</v>
      </c>
      <c r="Q1927" s="8" t="str">
        <f ca="1">IFERROR(__xludf.DUMMYFUNCTION("""COMPUTED_VALUE"""),"TX")</f>
        <v>TX</v>
      </c>
      <c r="R1927" s="8" t="str">
        <f ca="1">IFERROR(__xludf.DUMMYFUNCTION("""COMPUTED_VALUE"""),"High")</f>
        <v>High</v>
      </c>
      <c r="S1927" s="8" t="str">
        <f ca="1">IFERROR(__xludf.DUMMYFUNCTION("""COMPUTED_VALUE"""),"Beside Building")</f>
        <v>Beside Building</v>
      </c>
      <c r="T1927" s="8" t="str">
        <f ca="1">IFERROR(__xludf.DUMMYFUNCTION("""COMPUTED_VALUE"""),"Outside on School Property")</f>
        <v>Outside on School Property</v>
      </c>
      <c r="U1927" s="8" t="str">
        <f ca="1">IFERROR(__xludf.DUMMYFUNCTION("""COMPUTED_VALUE"""),"Yes")</f>
        <v>Yes</v>
      </c>
      <c r="V1927" s="8" t="str">
        <f ca="1">IFERROR(__xludf.DUMMYFUNCTION("""COMPUTED_VALUE"""),"Morning Classes")</f>
        <v>Morning Classes</v>
      </c>
      <c r="W1927" s="11">
        <f ca="1">IFERROR(__xludf.DUMMYFUNCTION("""COMPUTED_VALUE"""),0.395833333333333)</f>
        <v>0.39583333333333298</v>
      </c>
      <c r="X1927" s="8">
        <f ca="1">IFERROR(__xludf.DUMMYFUNCTION("""COMPUTED_VALUE"""),1)</f>
        <v>1</v>
      </c>
      <c r="Y1927" s="12" t="str">
        <f ca="1">IFERROR(__xludf.DUMMYFUNCTION("""COMPUTED_VALUE"""),"Suicide outside of school building")</f>
        <v>Suicide outside of school building</v>
      </c>
      <c r="Z1927" s="12" t="str">
        <f ca="1">IFERROR(__xludf.DUMMYFUNCTION("""COMPUTED_VALUE"""),"18 year old shooter. Son of a police officer. Shot himself outside of school on Friday. School placed on lockdown.")</f>
        <v>18 year old shooter. Son of a police officer. Shot himself outside of school on Friday. School placed on lockdown.</v>
      </c>
      <c r="AA1927" s="8" t="str">
        <f ca="1">IFERROR(__xludf.DUMMYFUNCTION("""COMPUTED_VALUE"""),"Suicide/Attempted")</f>
        <v>Suicide/Attempted</v>
      </c>
      <c r="AB1927" s="8"/>
      <c r="AC1927" s="8" t="str">
        <f ca="1">IFERROR(__xludf.DUMMYFUNCTION("""COMPUTED_VALUE"""),"Yes")</f>
        <v>Yes</v>
      </c>
      <c r="AD1927" s="8" t="str">
        <f ca="1">IFERROR(__xludf.DUMMYFUNCTION("""COMPUTED_VALUE"""),"Victims Targeted")</f>
        <v>Victims Targeted</v>
      </c>
      <c r="AE1927" s="8" t="str">
        <f ca="1">IFERROR(__xludf.DUMMYFUNCTION("""COMPUTED_VALUE"""),"No")</f>
        <v>No</v>
      </c>
      <c r="AF1927" s="8"/>
      <c r="AG1927" s="8" t="str">
        <f ca="1">IFERROR(__xludf.DUMMYFUNCTION("""COMPUTED_VALUE"""),"No")</f>
        <v>No</v>
      </c>
      <c r="AH1927" s="8" t="str">
        <f ca="1">IFERROR(__xludf.DUMMYFUNCTION("""COMPUTED_VALUE"""),"No")</f>
        <v>No</v>
      </c>
      <c r="AI1927" s="8" t="str">
        <f ca="1">IFERROR(__xludf.DUMMYFUNCTION("""COMPUTED_VALUE"""),"No")</f>
        <v>No</v>
      </c>
      <c r="AJ1927" s="8"/>
      <c r="AK1927" s="8"/>
      <c r="AL1927" s="8" t="str">
        <f ca="1">IFERROR(__xludf.DUMMYFUNCTION("""COMPUTED_VALUE"""),"No")</f>
        <v>No</v>
      </c>
      <c r="AM1927" s="8" t="str">
        <f ca="1">IFERROR(__xludf.DUMMYFUNCTION("""COMPUTED_VALUE"""),"No")</f>
        <v>No</v>
      </c>
      <c r="AN1927" s="8"/>
      <c r="AO1927" s="8" t="str">
        <f ca="1">IFERROR(__xludf.DUMMYFUNCTION("""COMPUTED_VALUE"""),"No")</f>
        <v>No</v>
      </c>
      <c r="AP1927" s="8"/>
      <c r="AQ1927" s="8" t="str">
        <f ca="1">IFERROR(__xludf.DUMMYFUNCTION("""COMPUTED_VALUE"""),"Unknown")</f>
        <v>Unknown</v>
      </c>
      <c r="AR1927" s="8" t="str">
        <f ca="1">IFERROR(__xludf.DUMMYFUNCTION("""COMPUTED_VALUE"""),"NA")</f>
        <v>NA</v>
      </c>
      <c r="AS1927" s="8">
        <f ca="1">IFERROR(__xludf.DUMMYFUNCTION("""COMPUTED_VALUE"""),1)</f>
        <v>1</v>
      </c>
      <c r="AT1927" s="8" t="str">
        <f ca="1">IFERROR(__xludf.DUMMYFUNCTION("""COMPUTED_VALUE"""),"Yes")</f>
        <v>Yes</v>
      </c>
      <c r="AU1927" s="8">
        <f ca="1">IFERROR(__xludf.DUMMYFUNCTION("""COMPUTED_VALUE"""),29.5688411)</f>
        <v>29.5688411</v>
      </c>
      <c r="AV1927" s="8">
        <f ca="1">IFERROR(__xludf.DUMMYFUNCTION("""COMPUTED_VALUE"""),-97.9647269)</f>
        <v>-97.964726900000002</v>
      </c>
      <c r="AW1927" s="8"/>
      <c r="AX1927" s="8">
        <f ca="1">IFERROR(__xludf.DUMMYFUNCTION("""COMPUTED_VALUE"""),78155)</f>
        <v>78155</v>
      </c>
    </row>
    <row r="1928" spans="1:50" ht="45" x14ac:dyDescent="0.2">
      <c r="A1928" s="8" t="str">
        <f ca="1">IFERROR(__xludf.DUMMYFUNCTION("""COMPUTED_VALUE"""),"20150330MOPEU")</f>
        <v>20150330MOPEU</v>
      </c>
      <c r="B1928" s="8">
        <f ca="1">IFERROR(__xludf.DUMMYFUNCTION("""COMPUTED_VALUE"""),3)</f>
        <v>3</v>
      </c>
      <c r="C1928" s="8">
        <f ca="1">IFERROR(__xludf.DUMMYFUNCTION("""COMPUTED_VALUE"""),30)</f>
        <v>30</v>
      </c>
      <c r="D1928" s="8">
        <f ca="1">IFERROR(__xludf.DUMMYFUNCTION("""COMPUTED_VALUE"""),2015)</f>
        <v>2015</v>
      </c>
      <c r="E1928" s="9">
        <f ca="1">IFERROR(__xludf.DUMMYFUNCTION("""COMPUTED_VALUE"""),42093)</f>
        <v>42093</v>
      </c>
      <c r="F1928" s="8" t="str">
        <f ca="1">IFERROR(__xludf.DUMMYFUNCTION("""COMPUTED_VALUE"""),"Pershing Elementary School")</f>
        <v>Pershing Elementary School</v>
      </c>
      <c r="G1928" s="8">
        <f ca="1">IFERROR(__xludf.DUMMYFUNCTION("""COMPUTED_VALUE"""),0)</f>
        <v>0</v>
      </c>
      <c r="H1928" s="8">
        <f ca="1">IFERROR(__xludf.DUMMYFUNCTION("""COMPUTED_VALUE"""),1)</f>
        <v>1</v>
      </c>
      <c r="I1928" s="8">
        <f ca="1">IFERROR(__xludf.DUMMYFUNCTION("""COMPUTED_VALUE"""),1)</f>
        <v>1</v>
      </c>
      <c r="J1928" s="8">
        <f ca="1">IFERROR(__xludf.DUMMYFUNCTION("""COMPUTED_VALUE"""),0)</f>
        <v>0</v>
      </c>
      <c r="K1928" s="8" t="str">
        <f ca="1">IFERROR(__xludf.DUMMYFUNCTION("""COMPUTED_VALUE"""),"http://www.kmov.com/story/28697457/man-arrested-in-connection-with-shooting-at-university-city-school . http://www.kmov.com/story/28654494/large-police-presence-at-university-city-elementary-school")</f>
        <v>http://www.kmov.com/story/28697457/man-arrested-in-connection-with-shooting-at-university-city-school . http://www.kmov.com/story/28654494/large-police-presence-at-university-city-elementary-school</v>
      </c>
      <c r="L1928" s="8"/>
      <c r="M1928" s="8"/>
      <c r="N1928" s="8">
        <f ca="1">IFERROR(__xludf.DUMMYFUNCTION("""COMPUTED_VALUE"""),3)</f>
        <v>3</v>
      </c>
      <c r="O1928" s="8" t="str">
        <f ca="1">IFERROR(__xludf.DUMMYFUNCTION("""COMPUTED_VALUE"""),"Spring")</f>
        <v>Spring</v>
      </c>
      <c r="P1928" s="8" t="str">
        <f ca="1">IFERROR(__xludf.DUMMYFUNCTION("""COMPUTED_VALUE"""),"University City")</f>
        <v>University City</v>
      </c>
      <c r="Q1928" s="8" t="str">
        <f ca="1">IFERROR(__xludf.DUMMYFUNCTION("""COMPUTED_VALUE"""),"MO")</f>
        <v>MO</v>
      </c>
      <c r="R1928" s="8" t="str">
        <f ca="1">IFERROR(__xludf.DUMMYFUNCTION("""COMPUTED_VALUE"""),"Elementary")</f>
        <v>Elementary</v>
      </c>
      <c r="S1928" s="8" t="str">
        <f ca="1">IFERROR(__xludf.DUMMYFUNCTION("""COMPUTED_VALUE"""),"Outside on School Property")</f>
        <v>Outside on School Property</v>
      </c>
      <c r="T1928" s="8" t="str">
        <f ca="1">IFERROR(__xludf.DUMMYFUNCTION("""COMPUTED_VALUE"""),"Outside on School Property")</f>
        <v>Outside on School Property</v>
      </c>
      <c r="U1928" s="8" t="str">
        <f ca="1">IFERROR(__xludf.DUMMYFUNCTION("""COMPUTED_VALUE"""),"No")</f>
        <v>No</v>
      </c>
      <c r="V1928" s="8" t="str">
        <f ca="1">IFERROR(__xludf.DUMMYFUNCTION("""COMPUTED_VALUE"""),"Evening")</f>
        <v>Evening</v>
      </c>
      <c r="W1928" s="11">
        <f ca="1">IFERROR(__xludf.DUMMYFUNCTION("""COMPUTED_VALUE"""),0.729166666666666)</f>
        <v>0.72916666666666596</v>
      </c>
      <c r="X1928" s="8">
        <f ca="1">IFERROR(__xludf.DUMMYFUNCTION("""COMPUTED_VALUE"""),1)</f>
        <v>1</v>
      </c>
      <c r="Y1928" s="12" t="str">
        <f ca="1">IFERROR(__xludf.DUMMYFUNCTION("""COMPUTED_VALUE"""),"Dispute between victim and two other men")</f>
        <v>Dispute between victim and two other men</v>
      </c>
      <c r="Z1928" s="12" t="str">
        <f ca="1">IFERROR(__xludf.DUMMYFUNCTION("""COMPUTED_VALUE"""),"Argument between victim and two other men while on school property. No known relation to school. Victim shot in the buttocks")</f>
        <v>Argument between victim and two other men while on school property. No known relation to school. Victim shot in the buttocks</v>
      </c>
      <c r="AA1928" s="8" t="str">
        <f ca="1">IFERROR(__xludf.DUMMYFUNCTION("""COMPUTED_VALUE"""),"Escalation of Dispute")</f>
        <v>Escalation of Dispute</v>
      </c>
      <c r="AB1928" s="8"/>
      <c r="AC1928" s="8" t="str">
        <f ca="1">IFERROR(__xludf.DUMMYFUNCTION("""COMPUTED_VALUE"""),"No")</f>
        <v>No</v>
      </c>
      <c r="AD1928" s="8"/>
      <c r="AE1928" s="8"/>
      <c r="AF1928" s="8"/>
      <c r="AG1928" s="8" t="str">
        <f ca="1">IFERROR(__xludf.DUMMYFUNCTION("""COMPUTED_VALUE"""),"No")</f>
        <v>No</v>
      </c>
      <c r="AH1928" s="8" t="str">
        <f ca="1">IFERROR(__xludf.DUMMYFUNCTION("""COMPUTED_VALUE"""),"No")</f>
        <v>No</v>
      </c>
      <c r="AI1928" s="8" t="str">
        <f ca="1">IFERROR(__xludf.DUMMYFUNCTION("""COMPUTED_VALUE"""),"No")</f>
        <v>No</v>
      </c>
      <c r="AJ1928" s="8" t="str">
        <f ca="1">IFERROR(__xludf.DUMMYFUNCTION("""COMPUTED_VALUE"""),"No")</f>
        <v>No</v>
      </c>
      <c r="AK1928" s="8" t="str">
        <f ca="1">IFERROR(__xludf.DUMMYFUNCTION("""COMPUTED_VALUE"""),"No")</f>
        <v>No</v>
      </c>
      <c r="AL1928" s="8" t="str">
        <f ca="1">IFERROR(__xludf.DUMMYFUNCTION("""COMPUTED_VALUE"""),"No")</f>
        <v>No</v>
      </c>
      <c r="AM1928" s="8" t="str">
        <f ca="1">IFERROR(__xludf.DUMMYFUNCTION("""COMPUTED_VALUE"""),"No")</f>
        <v>No</v>
      </c>
      <c r="AN1928" s="8"/>
      <c r="AO1928" s="8" t="str">
        <f ca="1">IFERROR(__xludf.DUMMYFUNCTION("""COMPUTED_VALUE"""),"No")</f>
        <v>No</v>
      </c>
      <c r="AP1928" s="8"/>
      <c r="AQ1928" s="8" t="str">
        <f ca="1">IFERROR(__xludf.DUMMYFUNCTION("""COMPUTED_VALUE"""),"Unknown")</f>
        <v>Unknown</v>
      </c>
      <c r="AR1928" s="8" t="str">
        <f ca="1">IFERROR(__xludf.DUMMYFUNCTION("""COMPUTED_VALUE"""),"NA")</f>
        <v>NA</v>
      </c>
      <c r="AS1928" s="8"/>
      <c r="AT1928" s="8"/>
      <c r="AU1928" s="8">
        <f ca="1">IFERROR(__xludf.DUMMYFUNCTION("""COMPUTED_VALUE"""),38.6682407)</f>
        <v>38.668240699999998</v>
      </c>
      <c r="AV1928" s="8">
        <f ca="1">IFERROR(__xludf.DUMMYFUNCTION("""COMPUTED_VALUE"""),-90.3324856)</f>
        <v>-90.332485599999998</v>
      </c>
      <c r="AW1928" s="8"/>
      <c r="AX1928" s="8">
        <f ca="1">IFERROR(__xludf.DUMMYFUNCTION("""COMPUTED_VALUE"""),63130)</f>
        <v>63130</v>
      </c>
    </row>
    <row r="1929" spans="1:50" ht="30" x14ac:dyDescent="0.2">
      <c r="A1929" s="8" t="str">
        <f ca="1">IFERROR(__xludf.DUMMYFUNCTION("""COMPUTED_VALUE"""),"20150215CATEM")</f>
        <v>20150215CATEM</v>
      </c>
      <c r="B1929" s="8">
        <f ca="1">IFERROR(__xludf.DUMMYFUNCTION("""COMPUTED_VALUE"""),2)</f>
        <v>2</v>
      </c>
      <c r="C1929" s="8">
        <f ca="1">IFERROR(__xludf.DUMMYFUNCTION("""COMPUTED_VALUE"""),15)</f>
        <v>15</v>
      </c>
      <c r="D1929" s="8">
        <f ca="1">IFERROR(__xludf.DUMMYFUNCTION("""COMPUTED_VALUE"""),2015)</f>
        <v>2015</v>
      </c>
      <c r="E1929" s="9">
        <f ca="1">IFERROR(__xludf.DUMMYFUNCTION("""COMPUTED_VALUE"""),42050)</f>
        <v>42050</v>
      </c>
      <c r="F1929" s="8" t="str">
        <f ca="1">IFERROR(__xludf.DUMMYFUNCTION("""COMPUTED_VALUE"""),"Tenaya Middle School")</f>
        <v>Tenaya Middle School</v>
      </c>
      <c r="G1929" s="8">
        <f ca="1">IFERROR(__xludf.DUMMYFUNCTION("""COMPUTED_VALUE"""),1)</f>
        <v>1</v>
      </c>
      <c r="H1929" s="8">
        <f ca="1">IFERROR(__xludf.DUMMYFUNCTION("""COMPUTED_VALUE"""),0)</f>
        <v>0</v>
      </c>
      <c r="I1929" s="8">
        <f ca="1">IFERROR(__xludf.DUMMYFUNCTION("""COMPUTED_VALUE"""),1)</f>
        <v>1</v>
      </c>
      <c r="J1929" s="8">
        <f ca="1">IFERROR(__xludf.DUMMYFUNCTION("""COMPUTED_VALUE"""),0)</f>
        <v>0</v>
      </c>
      <c r="K1929" s="10" t="str">
        <f ca="1">IFERROR(__xludf.DUMMYFUNCTION("""COMPUTED_VALUE"""),"http://www.mercedsunstar.com/news/local/crime/article11963273.html")</f>
        <v>http://www.mercedsunstar.com/news/local/crime/article11963273.html</v>
      </c>
      <c r="L1929" s="8">
        <f ca="1">IFERROR(__xludf.DUMMYFUNCTION("""COMPUTED_VALUE"""),1)</f>
        <v>1</v>
      </c>
      <c r="M1929" s="8" t="str">
        <f ca="1">IFERROR(__xludf.DUMMYFUNCTION("""COMPUTED_VALUE"""),"Local")</f>
        <v>Local</v>
      </c>
      <c r="N1929" s="8">
        <f ca="1">IFERROR(__xludf.DUMMYFUNCTION("""COMPUTED_VALUE"""),2)</f>
        <v>2</v>
      </c>
      <c r="O1929" s="8" t="str">
        <f ca="1">IFERROR(__xludf.DUMMYFUNCTION("""COMPUTED_VALUE"""),"Winter")</f>
        <v>Winter</v>
      </c>
      <c r="P1929" s="8" t="str">
        <f ca="1">IFERROR(__xludf.DUMMYFUNCTION("""COMPUTED_VALUE"""),"Merced")</f>
        <v>Merced</v>
      </c>
      <c r="Q1929" s="8" t="str">
        <f ca="1">IFERROR(__xludf.DUMMYFUNCTION("""COMPUTED_VALUE"""),"CA")</f>
        <v>CA</v>
      </c>
      <c r="R1929" s="8" t="str">
        <f ca="1">IFERROR(__xludf.DUMMYFUNCTION("""COMPUTED_VALUE"""),"Middle")</f>
        <v>Middle</v>
      </c>
      <c r="S1929" s="8" t="str">
        <f ca="1">IFERROR(__xludf.DUMMYFUNCTION("""COMPUTED_VALUE"""),"Parking Lot")</f>
        <v>Parking Lot</v>
      </c>
      <c r="T1929" s="8" t="str">
        <f ca="1">IFERROR(__xludf.DUMMYFUNCTION("""COMPUTED_VALUE"""),"Outside on School Property")</f>
        <v>Outside on School Property</v>
      </c>
      <c r="U1929" s="8" t="str">
        <f ca="1">IFERROR(__xludf.DUMMYFUNCTION("""COMPUTED_VALUE"""),"No")</f>
        <v>No</v>
      </c>
      <c r="V1929" s="8" t="str">
        <f ca="1">IFERROR(__xludf.DUMMYFUNCTION("""COMPUTED_VALUE"""),"Not a School Day")</f>
        <v>Not a School Day</v>
      </c>
      <c r="W1929" s="11">
        <f ca="1">IFERROR(__xludf.DUMMYFUNCTION("""COMPUTED_VALUE"""),0.829861111111111)</f>
        <v>0.82986111111111105</v>
      </c>
      <c r="X1929" s="8">
        <f ca="1">IFERROR(__xludf.DUMMYFUNCTION("""COMPUTED_VALUE"""),1)</f>
        <v>1</v>
      </c>
      <c r="Y1929" s="12" t="str">
        <f ca="1">IFERROR(__xludf.DUMMYFUNCTION("""COMPUTED_VALUE"""),"Jealousy -victim dating ex girlfriend")</f>
        <v>Jealousy -victim dating ex girlfriend</v>
      </c>
      <c r="Z1929" s="12" t="str">
        <f ca="1">IFERROR(__xludf.DUMMYFUNCTION("""COMPUTED_VALUE"""),"Shooting occurred at 7pm in the parking lot. Unknown if victim was student at school.")</f>
        <v>Shooting occurred at 7pm in the parking lot. Unknown if victim was student at school.</v>
      </c>
      <c r="AA1929" s="8" t="str">
        <f ca="1">IFERROR(__xludf.DUMMYFUNCTION("""COMPUTED_VALUE"""),"Domestic w/ Targeted Victim")</f>
        <v>Domestic w/ Targeted Victim</v>
      </c>
      <c r="AB1929" s="8"/>
      <c r="AC1929" s="8" t="str">
        <f ca="1">IFERROR(__xludf.DUMMYFUNCTION("""COMPUTED_VALUE"""),"No")</f>
        <v>No</v>
      </c>
      <c r="AD1929" s="8" t="str">
        <f ca="1">IFERROR(__xludf.DUMMYFUNCTION("""COMPUTED_VALUE"""),"Victims Targeted")</f>
        <v>Victims Targeted</v>
      </c>
      <c r="AE1929" s="8" t="str">
        <f ca="1">IFERROR(__xludf.DUMMYFUNCTION("""COMPUTED_VALUE"""),"Yes")</f>
        <v>Yes</v>
      </c>
      <c r="AF1929" s="8" t="str">
        <f ca="1">IFERROR(__xludf.DUMMYFUNCTION("""COMPUTED_VALUE"""),"Franco Adrian Ortiz, 20, was the driver")</f>
        <v>Franco Adrian Ortiz, 20, was the driver</v>
      </c>
      <c r="AG1929" s="8" t="str">
        <f ca="1">IFERROR(__xludf.DUMMYFUNCTION("""COMPUTED_VALUE"""),"No")</f>
        <v>No</v>
      </c>
      <c r="AH1929" s="8" t="str">
        <f ca="1">IFERROR(__xludf.DUMMYFUNCTION("""COMPUTED_VALUE"""),"No")</f>
        <v>No</v>
      </c>
      <c r="AI1929" s="8" t="str">
        <f ca="1">IFERROR(__xludf.DUMMYFUNCTION("""COMPUTED_VALUE"""),"No")</f>
        <v>No</v>
      </c>
      <c r="AJ1929" s="8" t="str">
        <f ca="1">IFERROR(__xludf.DUMMYFUNCTION("""COMPUTED_VALUE"""),"No")</f>
        <v>No</v>
      </c>
      <c r="AK1929" s="8" t="str">
        <f ca="1">IFERROR(__xludf.DUMMYFUNCTION("""COMPUTED_VALUE"""),"No")</f>
        <v>No</v>
      </c>
      <c r="AL1929" s="8" t="str">
        <f ca="1">IFERROR(__xludf.DUMMYFUNCTION("""COMPUTED_VALUE"""),"No")</f>
        <v>No</v>
      </c>
      <c r="AM1929" s="8" t="str">
        <f ca="1">IFERROR(__xludf.DUMMYFUNCTION("""COMPUTED_VALUE"""),"No")</f>
        <v>No</v>
      </c>
      <c r="AN1929" s="8"/>
      <c r="AO1929" s="8" t="str">
        <f ca="1">IFERROR(__xludf.DUMMYFUNCTION("""COMPUTED_VALUE"""),"No")</f>
        <v>No</v>
      </c>
      <c r="AP1929" s="8"/>
      <c r="AQ1929" s="8" t="str">
        <f ca="1">IFERROR(__xludf.DUMMYFUNCTION("""COMPUTED_VALUE"""),"Unknown")</f>
        <v>Unknown</v>
      </c>
      <c r="AR1929" s="8" t="str">
        <f ca="1">IFERROR(__xludf.DUMMYFUNCTION("""COMPUTED_VALUE"""),"NA")</f>
        <v>NA</v>
      </c>
      <c r="AS1929" s="8"/>
      <c r="AT1929" s="8" t="str">
        <f ca="1">IFERROR(__xludf.DUMMYFUNCTION("""COMPUTED_VALUE"""),"N/A")</f>
        <v>N/A</v>
      </c>
      <c r="AU1929" s="8">
        <f ca="1">IFERROR(__xludf.DUMMYFUNCTION("""COMPUTED_VALUE"""),37.293658)</f>
        <v>37.293658000000001</v>
      </c>
      <c r="AV1929" s="8">
        <f ca="1">IFERROR(__xludf.DUMMYFUNCTION("""COMPUTED_VALUE"""),-120.494039)</f>
        <v>-120.494039</v>
      </c>
      <c r="AW1929" s="8"/>
      <c r="AX1929" s="8">
        <f ca="1">IFERROR(__xludf.DUMMYFUNCTION("""COMPUTED_VALUE"""),95341)</f>
        <v>95341</v>
      </c>
    </row>
    <row r="1930" spans="1:50" ht="75" x14ac:dyDescent="0.2">
      <c r="A1930" s="8" t="str">
        <f ca="1">IFERROR(__xludf.DUMMYFUNCTION("""COMPUTED_VALUE"""),"20150215ARLAL")</f>
        <v>20150215ARLAL</v>
      </c>
      <c r="B1930" s="8">
        <f ca="1">IFERROR(__xludf.DUMMYFUNCTION("""COMPUTED_VALUE"""),2)</f>
        <v>2</v>
      </c>
      <c r="C1930" s="8">
        <f ca="1">IFERROR(__xludf.DUMMYFUNCTION("""COMPUTED_VALUE"""),15)</f>
        <v>15</v>
      </c>
      <c r="D1930" s="8">
        <f ca="1">IFERROR(__xludf.DUMMYFUNCTION("""COMPUTED_VALUE"""),2015)</f>
        <v>2015</v>
      </c>
      <c r="E1930" s="9">
        <f ca="1">IFERROR(__xludf.DUMMYFUNCTION("""COMPUTED_VALUE"""),42050)</f>
        <v>42050</v>
      </c>
      <c r="F1930" s="8" t="str">
        <f ca="1">IFERROR(__xludf.DUMMYFUNCTION("""COMPUTED_VALUE"""),"Lawson Elementary School")</f>
        <v>Lawson Elementary School</v>
      </c>
      <c r="G1930" s="8">
        <f ca="1">IFERROR(__xludf.DUMMYFUNCTION("""COMPUTED_VALUE"""),0)</f>
        <v>0</v>
      </c>
      <c r="H1930" s="8">
        <f ca="1">IFERROR(__xludf.DUMMYFUNCTION("""COMPUTED_VALUE"""),2)</f>
        <v>2</v>
      </c>
      <c r="I1930" s="8">
        <f ca="1">IFERROR(__xludf.DUMMYFUNCTION("""COMPUTED_VALUE"""),2)</f>
        <v>2</v>
      </c>
      <c r="J1930" s="8">
        <f ca="1">IFERROR(__xludf.DUMMYFUNCTION("""COMPUTED_VALUE"""),0)</f>
        <v>0</v>
      </c>
      <c r="K1930" s="8" t="str">
        <f ca="1">IFERROR(__xludf.DUMMYFUNCTION("""COMPUTED_VALUE"""),"https://www.kark.com/news/shooting-on-elementary-school-parking-lot-leaves-2-in-serious-condition/205094549  http://www.pressreader.com/usa/arkansas-democrat-gazette/20150216/281981786024357")</f>
        <v>https://www.kark.com/news/shooting-on-elementary-school-parking-lot-leaves-2-in-serious-condition/205094549  http://www.pressreader.com/usa/arkansas-democrat-gazette/20150216/281981786024357</v>
      </c>
      <c r="L1930" s="8"/>
      <c r="M1930" s="8"/>
      <c r="N1930" s="8">
        <f ca="1">IFERROR(__xludf.DUMMYFUNCTION("""COMPUTED_VALUE"""),3)</f>
        <v>3</v>
      </c>
      <c r="O1930" s="8" t="str">
        <f ca="1">IFERROR(__xludf.DUMMYFUNCTION("""COMPUTED_VALUE"""),"Winter")</f>
        <v>Winter</v>
      </c>
      <c r="P1930" s="8" t="str">
        <f ca="1">IFERROR(__xludf.DUMMYFUNCTION("""COMPUTED_VALUE"""),"Little Rock")</f>
        <v>Little Rock</v>
      </c>
      <c r="Q1930" s="8" t="str">
        <f ca="1">IFERROR(__xludf.DUMMYFUNCTION("""COMPUTED_VALUE"""),"AR")</f>
        <v>AR</v>
      </c>
      <c r="R1930" s="8" t="str">
        <f ca="1">IFERROR(__xludf.DUMMYFUNCTION("""COMPUTED_VALUE"""),"Elementary")</f>
        <v>Elementary</v>
      </c>
      <c r="S1930" s="8" t="str">
        <f ca="1">IFERROR(__xludf.DUMMYFUNCTION("""COMPUTED_VALUE"""),"Parking Lot")</f>
        <v>Parking Lot</v>
      </c>
      <c r="T1930" s="8" t="str">
        <f ca="1">IFERROR(__xludf.DUMMYFUNCTION("""COMPUTED_VALUE"""),"Outside on School Property")</f>
        <v>Outside on School Property</v>
      </c>
      <c r="U1930" s="8" t="str">
        <f ca="1">IFERROR(__xludf.DUMMYFUNCTION("""COMPUTED_VALUE"""),"No")</f>
        <v>No</v>
      </c>
      <c r="V1930" s="8" t="str">
        <f ca="1">IFERROR(__xludf.DUMMYFUNCTION("""COMPUTED_VALUE"""),"Not a School Day")</f>
        <v>Not a School Day</v>
      </c>
      <c r="W1930" s="11">
        <f ca="1">IFERROR(__xludf.DUMMYFUNCTION("""COMPUTED_VALUE"""),0.0833333333333333)</f>
        <v>8.3333333333333301E-2</v>
      </c>
      <c r="X1930" s="8">
        <f ca="1">IFERROR(__xludf.DUMMYFUNCTION("""COMPUTED_VALUE"""),1)</f>
        <v>1</v>
      </c>
      <c r="Y1930" s="12" t="str">
        <f ca="1">IFERROR(__xludf.DUMMYFUNCTION("""COMPUTED_VALUE"""),"Domestic dispute at the school")</f>
        <v>Domestic dispute at the school</v>
      </c>
      <c r="Z1930" s="12" t="str">
        <f ca="1">IFERROR(__xludf.DUMMYFUNCTION("""COMPUTED_VALUE"""),"Shooter was called to the school by his wife who said she was fighting with another person in the school parking lot. Shooter responded and shot both victims (relation to both victims). Shooter then left scene and was later arrested by police.")</f>
        <v>Shooter was called to the school by his wife who said she was fighting with another person in the school parking lot. Shooter responded and shot both victims (relation to both victims). Shooter then left scene and was later arrested by police.</v>
      </c>
      <c r="AA1930" s="8" t="str">
        <f ca="1">IFERROR(__xludf.DUMMYFUNCTION("""COMPUTED_VALUE"""),"Domestic w/ Targeted Victim")</f>
        <v>Domestic w/ Targeted Victim</v>
      </c>
      <c r="AB1930" s="8"/>
      <c r="AC1930" s="8" t="str">
        <f ca="1">IFERROR(__xludf.DUMMYFUNCTION("""COMPUTED_VALUE"""),"No")</f>
        <v>No</v>
      </c>
      <c r="AD1930" s="8" t="str">
        <f ca="1">IFERROR(__xludf.DUMMYFUNCTION("""COMPUTED_VALUE"""),"Victims Targeted")</f>
        <v>Victims Targeted</v>
      </c>
      <c r="AE1930" s="8"/>
      <c r="AF1930" s="8"/>
      <c r="AG1930" s="8" t="str">
        <f ca="1">IFERROR(__xludf.DUMMYFUNCTION("""COMPUTED_VALUE"""),"No")</f>
        <v>No</v>
      </c>
      <c r="AH1930" s="8" t="str">
        <f ca="1">IFERROR(__xludf.DUMMYFUNCTION("""COMPUTED_VALUE"""),"No")</f>
        <v>No</v>
      </c>
      <c r="AI1930" s="8" t="str">
        <f ca="1">IFERROR(__xludf.DUMMYFUNCTION("""COMPUTED_VALUE"""),"No")</f>
        <v>No</v>
      </c>
      <c r="AJ1930" s="8" t="str">
        <f ca="1">IFERROR(__xludf.DUMMYFUNCTION("""COMPUTED_VALUE"""),"No")</f>
        <v>No</v>
      </c>
      <c r="AK1930" s="8" t="str">
        <f ca="1">IFERROR(__xludf.DUMMYFUNCTION("""COMPUTED_VALUE"""),"Yes")</f>
        <v>Yes</v>
      </c>
      <c r="AL1930" s="8" t="str">
        <f ca="1">IFERROR(__xludf.DUMMYFUNCTION("""COMPUTED_VALUE"""),"No")</f>
        <v>No</v>
      </c>
      <c r="AM1930" s="8" t="str">
        <f ca="1">IFERROR(__xludf.DUMMYFUNCTION("""COMPUTED_VALUE"""),"No")</f>
        <v>No</v>
      </c>
      <c r="AN1930" s="8"/>
      <c r="AO1930" s="8" t="str">
        <f ca="1">IFERROR(__xludf.DUMMYFUNCTION("""COMPUTED_VALUE"""),"No")</f>
        <v>No</v>
      </c>
      <c r="AP1930" s="8"/>
      <c r="AQ1930" s="8" t="str">
        <f ca="1">IFERROR(__xludf.DUMMYFUNCTION("""COMPUTED_VALUE"""),"Unknown")</f>
        <v>Unknown</v>
      </c>
      <c r="AR1930" s="8" t="str">
        <f ca="1">IFERROR(__xludf.DUMMYFUNCTION("""COMPUTED_VALUE"""),"NA")</f>
        <v>NA</v>
      </c>
      <c r="AS1930" s="8"/>
      <c r="AT1930" s="8"/>
      <c r="AU1930" s="8">
        <f ca="1">IFERROR(__xludf.DUMMYFUNCTION("""COMPUTED_VALUE"""),34.7464809)</f>
        <v>34.746480900000002</v>
      </c>
      <c r="AV1930" s="8">
        <f ca="1">IFERROR(__xludf.DUMMYFUNCTION("""COMPUTED_VALUE"""),-92.2895948)</f>
        <v>-92.289594800000003</v>
      </c>
      <c r="AW1930" s="8"/>
      <c r="AX1930" s="8">
        <f ca="1">IFERROR(__xludf.DUMMYFUNCTION("""COMPUTED_VALUE"""),72201)</f>
        <v>72201</v>
      </c>
    </row>
    <row r="1931" spans="1:50" ht="60" x14ac:dyDescent="0.2">
      <c r="A1931" s="8" t="str">
        <f ca="1">IFERROR(__xludf.DUMMYFUNCTION("""COMPUTED_VALUE"""),"20150204MDFRF")</f>
        <v>20150204MDFRF</v>
      </c>
      <c r="B1931" s="8">
        <f ca="1">IFERROR(__xludf.DUMMYFUNCTION("""COMPUTED_VALUE"""),2)</f>
        <v>2</v>
      </c>
      <c r="C1931" s="8">
        <f ca="1">IFERROR(__xludf.DUMMYFUNCTION("""COMPUTED_VALUE"""),4)</f>
        <v>4</v>
      </c>
      <c r="D1931" s="8">
        <f ca="1">IFERROR(__xludf.DUMMYFUNCTION("""COMPUTED_VALUE"""),2015)</f>
        <v>2015</v>
      </c>
      <c r="E1931" s="9">
        <f ca="1">IFERROR(__xludf.DUMMYFUNCTION("""COMPUTED_VALUE"""),42039)</f>
        <v>42039</v>
      </c>
      <c r="F1931" s="8" t="str">
        <f ca="1">IFERROR(__xludf.DUMMYFUNCTION("""COMPUTED_VALUE"""),"Frederick High School")</f>
        <v>Frederick High School</v>
      </c>
      <c r="G1931" s="8">
        <f ca="1">IFERROR(__xludf.DUMMYFUNCTION("""COMPUTED_VALUE"""),0)</f>
        <v>0</v>
      </c>
      <c r="H1931" s="8">
        <f ca="1">IFERROR(__xludf.DUMMYFUNCTION("""COMPUTED_VALUE"""),2)</f>
        <v>2</v>
      </c>
      <c r="I1931" s="8">
        <f ca="1">IFERROR(__xludf.DUMMYFUNCTION("""COMPUTED_VALUE"""),2)</f>
        <v>2</v>
      </c>
      <c r="J1931" s="8">
        <f ca="1">IFERROR(__xludf.DUMMYFUNCTION("""COMPUTED_VALUE"""),0)</f>
        <v>0</v>
      </c>
      <c r="K1931" s="10" t="str">
        <f ca="1">IFERROR(__xludf.DUMMYFUNCTION("""COMPUTED_VALUE"""),"https://www.fredericknewspost.com/subjects/crime_and_justice/updated-two-students-wounded-in-frederick-high-school-shooting/article_153b667f-90c2-5c8c-b4ed-9c4ba869e442.html")</f>
        <v>https://www.fredericknewspost.com/subjects/crime_and_justice/updated-two-students-wounded-in-frederick-high-school-shooting/article_153b667f-90c2-5c8c-b4ed-9c4ba869e442.html</v>
      </c>
      <c r="L1931" s="8">
        <f ca="1">IFERROR(__xludf.DUMMYFUNCTION("""COMPUTED_VALUE"""),1)</f>
        <v>1</v>
      </c>
      <c r="M1931" s="8" t="str">
        <f ca="1">IFERROR(__xludf.DUMMYFUNCTION("""COMPUTED_VALUE"""),"Local")</f>
        <v>Local</v>
      </c>
      <c r="N1931" s="8">
        <f ca="1">IFERROR(__xludf.DUMMYFUNCTION("""COMPUTED_VALUE"""),2)</f>
        <v>2</v>
      </c>
      <c r="O1931" s="8" t="str">
        <f ca="1">IFERROR(__xludf.DUMMYFUNCTION("""COMPUTED_VALUE"""),"Winter")</f>
        <v>Winter</v>
      </c>
      <c r="P1931" s="8" t="str">
        <f ca="1">IFERROR(__xludf.DUMMYFUNCTION("""COMPUTED_VALUE"""),"Frederick")</f>
        <v>Frederick</v>
      </c>
      <c r="Q1931" s="8" t="str">
        <f ca="1">IFERROR(__xludf.DUMMYFUNCTION("""COMPUTED_VALUE"""),"MD")</f>
        <v>MD</v>
      </c>
      <c r="R1931" s="8" t="str">
        <f ca="1">IFERROR(__xludf.DUMMYFUNCTION("""COMPUTED_VALUE"""),"High")</f>
        <v>High</v>
      </c>
      <c r="S1931" s="8" t="str">
        <f ca="1">IFERROR(__xludf.DUMMYFUNCTION("""COMPUTED_VALUE"""),"Parking Lot")</f>
        <v>Parking Lot</v>
      </c>
      <c r="T1931" s="8" t="str">
        <f ca="1">IFERROR(__xludf.DUMMYFUNCTION("""COMPUTED_VALUE"""),"Outside on School Property")</f>
        <v>Outside on School Property</v>
      </c>
      <c r="U1931" s="8" t="str">
        <f ca="1">IFERROR(__xludf.DUMMYFUNCTION("""COMPUTED_VALUE"""),"No")</f>
        <v>No</v>
      </c>
      <c r="V1931" s="8" t="str">
        <f ca="1">IFERROR(__xludf.DUMMYFUNCTION("""COMPUTED_VALUE"""),"Sport Event")</f>
        <v>Sport Event</v>
      </c>
      <c r="W1931" s="11">
        <f ca="1">IFERROR(__xludf.DUMMYFUNCTION("""COMPUTED_VALUE"""),0.833333333333333)</f>
        <v>0.83333333333333304</v>
      </c>
      <c r="X1931" s="8">
        <f ca="1">IFERROR(__xludf.DUMMYFUNCTION("""COMPUTED_VALUE"""),1)</f>
        <v>1</v>
      </c>
      <c r="Y1931" s="12" t="str">
        <f ca="1">IFERROR(__xludf.DUMMYFUNCTION("""COMPUTED_VALUE"""),"Gang related shooting in front of school")</f>
        <v>Gang related shooting in front of school</v>
      </c>
      <c r="Z1931" s="12" t="str">
        <f ca="1">IFERROR(__xludf.DUMMYFUNCTION("""COMPUTED_VALUE"""),"Two teens (14 and 15) were shot in front of the school, one in the chest and one in the leg during a cross town rival basketball game in the gym. The 2 shooters fled; most likely gang-related.")</f>
        <v>Two teens (14 and 15) were shot in front of the school, one in the chest and one in the leg during a cross town rival basketball game in the gym. The 2 shooters fled; most likely gang-related.</v>
      </c>
      <c r="AA1931" s="8" t="str">
        <f ca="1">IFERROR(__xludf.DUMMYFUNCTION("""COMPUTED_VALUE"""),"Escalation of Dispute")</f>
        <v>Escalation of Dispute</v>
      </c>
      <c r="AB1931" s="8"/>
      <c r="AC1931" s="8" t="str">
        <f ca="1">IFERROR(__xludf.DUMMYFUNCTION("""COMPUTED_VALUE"""),"Yes")</f>
        <v>Yes</v>
      </c>
      <c r="AD1931" s="8" t="str">
        <f ca="1">IFERROR(__xludf.DUMMYFUNCTION("""COMPUTED_VALUE"""),"Victims Targeted")</f>
        <v>Victims Targeted</v>
      </c>
      <c r="AE1931" s="8" t="str">
        <f ca="1">IFERROR(__xludf.DUMMYFUNCTION("""COMPUTED_VALUE"""),"Yes")</f>
        <v>Yes</v>
      </c>
      <c r="AF1931" s="8" t="str">
        <f ca="1">IFERROR(__xludf.DUMMYFUNCTION("""COMPUTED_VALUE"""),"Chandler Davenport, 19")</f>
        <v>Chandler Davenport, 19</v>
      </c>
      <c r="AG1931" s="8" t="str">
        <f ca="1">IFERROR(__xludf.DUMMYFUNCTION("""COMPUTED_VALUE"""),"No")</f>
        <v>No</v>
      </c>
      <c r="AH1931" s="8" t="str">
        <f ca="1">IFERROR(__xludf.DUMMYFUNCTION("""COMPUTED_VALUE"""),"No")</f>
        <v>No</v>
      </c>
      <c r="AI1931" s="8" t="str">
        <f ca="1">IFERROR(__xludf.DUMMYFUNCTION("""COMPUTED_VALUE"""),"No")</f>
        <v>No</v>
      </c>
      <c r="AJ1931" s="8" t="str">
        <f ca="1">IFERROR(__xludf.DUMMYFUNCTION("""COMPUTED_VALUE"""),"No")</f>
        <v>No</v>
      </c>
      <c r="AK1931" s="8" t="str">
        <f ca="1">IFERROR(__xludf.DUMMYFUNCTION("""COMPUTED_VALUE"""),"No")</f>
        <v>No</v>
      </c>
      <c r="AL1931" s="8" t="str">
        <f ca="1">IFERROR(__xludf.DUMMYFUNCTION("""COMPUTED_VALUE"""),"Yes")</f>
        <v>Yes</v>
      </c>
      <c r="AM1931" s="8" t="str">
        <f ca="1">IFERROR(__xludf.DUMMYFUNCTION("""COMPUTED_VALUE"""),"No")</f>
        <v>No</v>
      </c>
      <c r="AN1931" s="8"/>
      <c r="AO1931" s="8" t="str">
        <f ca="1">IFERROR(__xludf.DUMMYFUNCTION("""COMPUTED_VALUE"""),"No")</f>
        <v>No</v>
      </c>
      <c r="AP1931" s="8" t="str">
        <f ca="1">IFERROR(__xludf.DUMMYFUNCTION("""COMPUTED_VALUE"""),"N/A")</f>
        <v>N/A</v>
      </c>
      <c r="AQ1931" s="8" t="str">
        <f ca="1">IFERROR(__xludf.DUMMYFUNCTION("""COMPUTED_VALUE"""),"Unknown")</f>
        <v>Unknown</v>
      </c>
      <c r="AR1931" s="8" t="str">
        <f ca="1">IFERROR(__xludf.DUMMYFUNCTION("""COMPUTED_VALUE"""),"NA")</f>
        <v>NA</v>
      </c>
      <c r="AS1931" s="8">
        <f ca="1">IFERROR(__xludf.DUMMYFUNCTION("""COMPUTED_VALUE"""),2)</f>
        <v>2</v>
      </c>
      <c r="AT1931" s="8" t="str">
        <f ca="1">IFERROR(__xludf.DUMMYFUNCTION("""COMPUTED_VALUE"""),"Yes")</f>
        <v>Yes</v>
      </c>
      <c r="AU1931" s="8">
        <f ca="1">IFERROR(__xludf.DUMMYFUNCTION("""COMPUTED_VALUE"""),39.418064)</f>
        <v>39.418064000000001</v>
      </c>
      <c r="AV1931" s="8">
        <f ca="1">IFERROR(__xludf.DUMMYFUNCTION("""COMPUTED_VALUE"""),-77.42762)</f>
        <v>-77.427620000000005</v>
      </c>
      <c r="AW1931" s="8"/>
      <c r="AX1931" s="8">
        <f ca="1">IFERROR(__xludf.DUMMYFUNCTION("""COMPUTED_VALUE"""),21701)</f>
        <v>21701</v>
      </c>
    </row>
    <row r="1932" spans="1:50" ht="120" x14ac:dyDescent="0.2">
      <c r="A1932" s="8" t="str">
        <f ca="1">IFERROR(__xludf.DUMMYFUNCTION("""COMPUTED_VALUE"""),"20150126MNHAR")</f>
        <v>20150126MNHAR</v>
      </c>
      <c r="B1932" s="8">
        <f ca="1">IFERROR(__xludf.DUMMYFUNCTION("""COMPUTED_VALUE"""),1)</f>
        <v>1</v>
      </c>
      <c r="C1932" s="8">
        <f ca="1">IFERROR(__xludf.DUMMYFUNCTION("""COMPUTED_VALUE"""),26)</f>
        <v>26</v>
      </c>
      <c r="D1932" s="8">
        <f ca="1">IFERROR(__xludf.DUMMYFUNCTION("""COMPUTED_VALUE"""),2015)</f>
        <v>2015</v>
      </c>
      <c r="E1932" s="9">
        <f ca="1">IFERROR(__xludf.DUMMYFUNCTION("""COMPUTED_VALUE"""),42030)</f>
        <v>42030</v>
      </c>
      <c r="F1932" s="8" t="str">
        <f ca="1">IFERROR(__xludf.DUMMYFUNCTION("""COMPUTED_VALUE"""),"Hand in Hand Montessori")</f>
        <v>Hand in Hand Montessori</v>
      </c>
      <c r="G1932" s="8">
        <f ca="1">IFERROR(__xludf.DUMMYFUNCTION("""COMPUTED_VALUE"""),0)</f>
        <v>0</v>
      </c>
      <c r="H1932" s="8">
        <f ca="1">IFERROR(__xludf.DUMMYFUNCTION("""COMPUTED_VALUE"""),0)</f>
        <v>0</v>
      </c>
      <c r="I1932" s="8">
        <f ca="1">IFERROR(__xludf.DUMMYFUNCTION("""COMPUTED_VALUE"""),0)</f>
        <v>0</v>
      </c>
      <c r="J1932" s="8">
        <f ca="1">IFERROR(__xludf.DUMMYFUNCTION("""COMPUTED_VALUE"""),1)</f>
        <v>1</v>
      </c>
      <c r="K1932" s="10" t="str">
        <f ca="1">IFERROR(__xludf.DUMMYFUNCTION("""COMPUTED_VALUE"""),"https://minnesota.cbslocal.com/2015/01/26/police-man-fires-shot-at-school-before-shooting-himself/")</f>
        <v>https://minnesota.cbslocal.com/2015/01/26/police-man-fires-shot-at-school-before-shooting-himself/</v>
      </c>
      <c r="L1932" s="8">
        <f ca="1">IFERROR(__xludf.DUMMYFUNCTION("""COMPUTED_VALUE"""),1)</f>
        <v>1</v>
      </c>
      <c r="M1932" s="8" t="str">
        <f ca="1">IFERROR(__xludf.DUMMYFUNCTION("""COMPUTED_VALUE"""),"Local")</f>
        <v>Local</v>
      </c>
      <c r="N1932" s="8">
        <f ca="1">IFERROR(__xludf.DUMMYFUNCTION("""COMPUTED_VALUE"""),2)</f>
        <v>2</v>
      </c>
      <c r="O1932" s="8" t="str">
        <f ca="1">IFERROR(__xludf.DUMMYFUNCTION("""COMPUTED_VALUE"""),"Winter")</f>
        <v>Winter</v>
      </c>
      <c r="P1932" s="8" t="str">
        <f ca="1">IFERROR(__xludf.DUMMYFUNCTION("""COMPUTED_VALUE"""),"Roseville")</f>
        <v>Roseville</v>
      </c>
      <c r="Q1932" s="8" t="str">
        <f ca="1">IFERROR(__xludf.DUMMYFUNCTION("""COMPUTED_VALUE"""),"MN")</f>
        <v>MN</v>
      </c>
      <c r="R1932" s="8" t="str">
        <f ca="1">IFERROR(__xludf.DUMMYFUNCTION("""COMPUTED_VALUE"""),"Other")</f>
        <v>Other</v>
      </c>
      <c r="S1932" s="8" t="str">
        <f ca="1">IFERROR(__xludf.DUMMYFUNCTION("""COMPUTED_VALUE"""),"Cafeteria; Parking Lot")</f>
        <v>Cafeteria; Parking Lot</v>
      </c>
      <c r="T1932" s="8" t="str">
        <f ca="1">IFERROR(__xludf.DUMMYFUNCTION("""COMPUTED_VALUE"""),"Both Inside/Outside")</f>
        <v>Both Inside/Outside</v>
      </c>
      <c r="U1932" s="8" t="str">
        <f ca="1">IFERROR(__xludf.DUMMYFUNCTION("""COMPUTED_VALUE"""),"Yes")</f>
        <v>Yes</v>
      </c>
      <c r="V1932" s="8" t="str">
        <f ca="1">IFERROR(__xludf.DUMMYFUNCTION("""COMPUTED_VALUE"""),"Dismissal")</f>
        <v>Dismissal</v>
      </c>
      <c r="W1932" s="11">
        <f ca="1">IFERROR(__xludf.DUMMYFUNCTION("""COMPUTED_VALUE"""),0.629861111111111)</f>
        <v>0.62986111111111098</v>
      </c>
      <c r="X1932" s="8">
        <f ca="1">IFERROR(__xludf.DUMMYFUNCTION("""COMPUTED_VALUE"""),1)</f>
        <v>1</v>
      </c>
      <c r="Y1932" s="12" t="str">
        <f ca="1">IFERROR(__xludf.DUMMYFUNCTION("""COMPUTED_VALUE"""),"Shot at school windows then shot self in car")</f>
        <v>Shot at school windows then shot self in car</v>
      </c>
      <c r="Z1932" s="12" t="str">
        <f ca="1">IFERROR(__xludf.DUMMYFUNCTION("""COMPUTED_VALUE"""),"Shooter shot through the school cafeteria window and then shot himself in the car. Earlier the day shooter had shared suicidal thoughts with a friend who reported it. Police tried to check on welfare but found shooter in his car in front of the school. Mo"&amp;"tive and relation with school are unknown. Two school employees were in the kitchen when the bullet came through the window; neither was injured. No students were in the cafeteria at the time.")</f>
        <v>Shooter shot through the school cafeteria window and then shot himself in the car. Earlier the day shooter had shared suicidal thoughts with a friend who reported it. Police tried to check on welfare but found shooter in his car in front of the school. Motive and relation with school are unknown. Two school employees were in the kitchen when the bullet came through the window; neither was injured. No students were in the cafeteria at the time.</v>
      </c>
      <c r="AA1932" s="8" t="str">
        <f ca="1">IFERROR(__xludf.DUMMYFUNCTION("""COMPUTED_VALUE"""),"Suicide/Attempted")</f>
        <v>Suicide/Attempted</v>
      </c>
      <c r="AB1932" s="8"/>
      <c r="AC1932" s="8" t="str">
        <f ca="1">IFERROR(__xludf.DUMMYFUNCTION("""COMPUTED_VALUE"""),"Yes")</f>
        <v>Yes</v>
      </c>
      <c r="AD1932" s="8" t="str">
        <f ca="1">IFERROR(__xludf.DUMMYFUNCTION("""COMPUTED_VALUE"""),"Neither")</f>
        <v>Neither</v>
      </c>
      <c r="AE1932" s="8" t="str">
        <f ca="1">IFERROR(__xludf.DUMMYFUNCTION("""COMPUTED_VALUE"""),"No")</f>
        <v>No</v>
      </c>
      <c r="AF1932" s="8"/>
      <c r="AG1932" s="8" t="str">
        <f ca="1">IFERROR(__xludf.DUMMYFUNCTION("""COMPUTED_VALUE"""),"No")</f>
        <v>No</v>
      </c>
      <c r="AH1932" s="8" t="str">
        <f ca="1">IFERROR(__xludf.DUMMYFUNCTION("""COMPUTED_VALUE"""),"No")</f>
        <v>No</v>
      </c>
      <c r="AI1932" s="8" t="str">
        <f ca="1">IFERROR(__xludf.DUMMYFUNCTION("""COMPUTED_VALUE"""),"No")</f>
        <v>No</v>
      </c>
      <c r="AJ1932" s="8" t="str">
        <f ca="1">IFERROR(__xludf.DUMMYFUNCTION("""COMPUTED_VALUE"""),"N/A")</f>
        <v>N/A</v>
      </c>
      <c r="AK1932" s="8"/>
      <c r="AL1932" s="8"/>
      <c r="AM1932" s="8" t="str">
        <f ca="1">IFERROR(__xludf.DUMMYFUNCTION("""COMPUTED_VALUE"""),"No")</f>
        <v>No</v>
      </c>
      <c r="AN1932" s="8"/>
      <c r="AO1932" s="8" t="str">
        <f ca="1">IFERROR(__xludf.DUMMYFUNCTION("""COMPUTED_VALUE"""),"No")</f>
        <v>No</v>
      </c>
      <c r="AP1932" s="8" t="str">
        <f ca="1">IFERROR(__xludf.DUMMYFUNCTION("""COMPUTED_VALUE"""),"No")</f>
        <v>No</v>
      </c>
      <c r="AQ1932" s="8" t="str">
        <f ca="1">IFERROR(__xludf.DUMMYFUNCTION("""COMPUTED_VALUE"""),"Unknown")</f>
        <v>Unknown</v>
      </c>
      <c r="AR1932" s="8" t="str">
        <f ca="1">IFERROR(__xludf.DUMMYFUNCTION("""COMPUTED_VALUE"""),"NA")</f>
        <v>NA</v>
      </c>
      <c r="AS1932" s="8">
        <f ca="1">IFERROR(__xludf.DUMMYFUNCTION("""COMPUTED_VALUE"""),2)</f>
        <v>2</v>
      </c>
      <c r="AT1932" s="8" t="str">
        <f ca="1">IFERROR(__xludf.DUMMYFUNCTION("""COMPUTED_VALUE"""),"No")</f>
        <v>No</v>
      </c>
      <c r="AU1932" s="8">
        <f ca="1">IFERROR(__xludf.DUMMYFUNCTION("""COMPUTED_VALUE"""),45.004709)</f>
        <v>45.004708999999998</v>
      </c>
      <c r="AV1932" s="8">
        <f ca="1">IFERROR(__xludf.DUMMYFUNCTION("""COMPUTED_VALUE"""),-93.177024)</f>
        <v>-93.177024000000003</v>
      </c>
      <c r="AW1932" s="8"/>
      <c r="AX1932" s="8">
        <f ca="1">IFERROR(__xludf.DUMMYFUNCTION("""COMPUTED_VALUE"""),55113)</f>
        <v>55113</v>
      </c>
    </row>
    <row r="1933" spans="1:50" ht="90" x14ac:dyDescent="0.2">
      <c r="A1933" s="8" t="str">
        <f ca="1">IFERROR(__xludf.DUMMYFUNCTION("""COMPUTED_VALUE"""),"20150122SCROH")</f>
        <v>20150122SCROH</v>
      </c>
      <c r="B1933" s="8">
        <f ca="1">IFERROR(__xludf.DUMMYFUNCTION("""COMPUTED_VALUE"""),1)</f>
        <v>1</v>
      </c>
      <c r="C1933" s="8">
        <f ca="1">IFERROR(__xludf.DUMMYFUNCTION("""COMPUTED_VALUE"""),22)</f>
        <v>22</v>
      </c>
      <c r="D1933" s="8">
        <f ca="1">IFERROR(__xludf.DUMMYFUNCTION("""COMPUTED_VALUE"""),2015)</f>
        <v>2015</v>
      </c>
      <c r="E1933" s="9">
        <f ca="1">IFERROR(__xludf.DUMMYFUNCTION("""COMPUTED_VALUE"""),42026)</f>
        <v>42026</v>
      </c>
      <c r="F1933" s="8" t="str">
        <f ca="1">IFERROR(__xludf.DUMMYFUNCTION("""COMPUTED_VALUE"""),"Royal Live Oaks Academy")</f>
        <v>Royal Live Oaks Academy</v>
      </c>
      <c r="G1933" s="8">
        <f ca="1">IFERROR(__xludf.DUMMYFUNCTION("""COMPUTED_VALUE"""),0)</f>
        <v>0</v>
      </c>
      <c r="H1933" s="8">
        <f ca="1">IFERROR(__xludf.DUMMYFUNCTION("""COMPUTED_VALUE"""),0)</f>
        <v>0</v>
      </c>
      <c r="I1933" s="8">
        <f ca="1">IFERROR(__xludf.DUMMYFUNCTION("""COMPUTED_VALUE"""),0)</f>
        <v>0</v>
      </c>
      <c r="J1933" s="8">
        <f ca="1">IFERROR(__xludf.DUMMYFUNCTION("""COMPUTED_VALUE"""),0)</f>
        <v>0</v>
      </c>
      <c r="K1933" s="8" t="str">
        <f ca="1">IFERROR(__xludf.DUMMYFUNCTION("""COMPUTED_VALUE"""),"http://www.wsmv.com/story/27926526/2-men-student-arrested-after-shots-fired-reported-near-hardeeville-school  http://www.savannahnow.com/article/20150123/NEWS/301239822")</f>
        <v>http://www.wsmv.com/story/27926526/2-men-student-arrested-after-shots-fired-reported-near-hardeeville-school  http://www.savannahnow.com/article/20150123/NEWS/301239822</v>
      </c>
      <c r="L1933" s="8"/>
      <c r="M1933" s="8"/>
      <c r="N1933" s="8">
        <f ca="1">IFERROR(__xludf.DUMMYFUNCTION("""COMPUTED_VALUE"""),3)</f>
        <v>3</v>
      </c>
      <c r="O1933" s="8" t="str">
        <f ca="1">IFERROR(__xludf.DUMMYFUNCTION("""COMPUTED_VALUE"""),"Winter")</f>
        <v>Winter</v>
      </c>
      <c r="P1933" s="8" t="str">
        <f ca="1">IFERROR(__xludf.DUMMYFUNCTION("""COMPUTED_VALUE"""),"Hardeeville")</f>
        <v>Hardeeville</v>
      </c>
      <c r="Q1933" s="8" t="str">
        <f ca="1">IFERROR(__xludf.DUMMYFUNCTION("""COMPUTED_VALUE"""),"SC")</f>
        <v>SC</v>
      </c>
      <c r="R1933" s="8" t="str">
        <f ca="1">IFERROR(__xludf.DUMMYFUNCTION("""COMPUTED_VALUE"""),"K-12")</f>
        <v>K-12</v>
      </c>
      <c r="S1933" s="8" t="str">
        <f ca="1">IFERROR(__xludf.DUMMYFUNCTION("""COMPUTED_VALUE"""),"Field (General)")</f>
        <v>Field (General)</v>
      </c>
      <c r="T1933" s="8" t="str">
        <f ca="1">IFERROR(__xludf.DUMMYFUNCTION("""COMPUTED_VALUE"""),"Outside on School Property")</f>
        <v>Outside on School Property</v>
      </c>
      <c r="U1933" s="8" t="str">
        <f ca="1">IFERROR(__xludf.DUMMYFUNCTION("""COMPUTED_VALUE"""),"Yes")</f>
        <v>Yes</v>
      </c>
      <c r="V1933" s="8" t="str">
        <f ca="1">IFERROR(__xludf.DUMMYFUNCTION("""COMPUTED_VALUE"""),"School Event")</f>
        <v>School Event</v>
      </c>
      <c r="W1933" s="11">
        <f ca="1">IFERROR(__xludf.DUMMYFUNCTION("""COMPUTED_VALUE"""),0.708333333333333)</f>
        <v>0.70833333333333304</v>
      </c>
      <c r="X1933" s="8">
        <f ca="1">IFERROR(__xludf.DUMMYFUNCTION("""COMPUTED_VALUE"""),2)</f>
        <v>2</v>
      </c>
      <c r="Y1933" s="12" t="str">
        <f ca="1">IFERROR(__xludf.DUMMYFUNCTION("""COMPUTED_VALUE"""),"Possible escalation from fight the day prior")</f>
        <v>Possible escalation from fight the day prior</v>
      </c>
      <c r="Z1933" s="12" t="str">
        <f ca="1">IFERROR(__xludf.DUMMYFUNCTION("""COMPUTED_VALUE"""),"Fight occurred previous day. Next day a male who was associated with the fight brought friends to school with him for scare tactic. Shooter was a juvenile student at the school. Fired weapon into air while running into woods with two other males. All subj"&amp;"ects arrested. Shooting occurred during grand opening of new cafeteria.")</f>
        <v>Fight occurred previous day. Next day a male who was associated with the fight brought friends to school with him for scare tactic. Shooter was a juvenile student at the school. Fired weapon into air while running into woods with two other males. All subjects arrested. Shooting occurred during grand opening of new cafeteria.</v>
      </c>
      <c r="AA1933" s="8" t="str">
        <f ca="1">IFERROR(__xludf.DUMMYFUNCTION("""COMPUTED_VALUE"""),"Escalation of Dispute")</f>
        <v>Escalation of Dispute</v>
      </c>
      <c r="AB1933" s="8"/>
      <c r="AC1933" s="8" t="str">
        <f ca="1">IFERROR(__xludf.DUMMYFUNCTION("""COMPUTED_VALUE"""),"Yes")</f>
        <v>Yes</v>
      </c>
      <c r="AD1933" s="8"/>
      <c r="AE1933" s="8" t="str">
        <f ca="1">IFERROR(__xludf.DUMMYFUNCTION("""COMPUTED_VALUE"""),"Yes")</f>
        <v>Yes</v>
      </c>
      <c r="AF1933" s="8" t="str">
        <f ca="1">IFERROR(__xludf.DUMMYFUNCTION("""COMPUTED_VALUE"""),"two adult males were with juvenile - when caught they also had guns.")</f>
        <v>two adult males were with juvenile - when caught they also had guns.</v>
      </c>
      <c r="AG1933" s="8" t="str">
        <f ca="1">IFERROR(__xludf.DUMMYFUNCTION("""COMPUTED_VALUE"""),"No")</f>
        <v>No</v>
      </c>
      <c r="AH1933" s="8" t="str">
        <f ca="1">IFERROR(__xludf.DUMMYFUNCTION("""COMPUTED_VALUE"""),"No")</f>
        <v>No</v>
      </c>
      <c r="AI1933" s="8" t="str">
        <f ca="1">IFERROR(__xludf.DUMMYFUNCTION("""COMPUTED_VALUE"""),"No")</f>
        <v>No</v>
      </c>
      <c r="AJ1933" s="8" t="str">
        <f ca="1">IFERROR(__xludf.DUMMYFUNCTION("""COMPUTED_VALUE"""),"No")</f>
        <v>No</v>
      </c>
      <c r="AK1933" s="8" t="str">
        <f ca="1">IFERROR(__xludf.DUMMYFUNCTION("""COMPUTED_VALUE"""),"No")</f>
        <v>No</v>
      </c>
      <c r="AL1933" s="8" t="str">
        <f ca="1">IFERROR(__xludf.DUMMYFUNCTION("""COMPUTED_VALUE"""),"No")</f>
        <v>No</v>
      </c>
      <c r="AM1933" s="8" t="str">
        <f ca="1">IFERROR(__xludf.DUMMYFUNCTION("""COMPUTED_VALUE"""),"No")</f>
        <v>No</v>
      </c>
      <c r="AN1933" s="8"/>
      <c r="AO1933" s="8"/>
      <c r="AP1933" s="8"/>
      <c r="AQ1933" s="8" t="str">
        <f ca="1">IFERROR(__xludf.DUMMYFUNCTION("""COMPUTED_VALUE"""),"Unknown")</f>
        <v>Unknown</v>
      </c>
      <c r="AR1933" s="8" t="str">
        <f ca="1">IFERROR(__xludf.DUMMYFUNCTION("""COMPUTED_VALUE"""),"NA")</f>
        <v>NA</v>
      </c>
      <c r="AS1933" s="8"/>
      <c r="AT1933" s="8"/>
      <c r="AU1933" s="8">
        <f ca="1">IFERROR(__xludf.DUMMYFUNCTION("""COMPUTED_VALUE"""),32.2871413)</f>
        <v>32.287141300000002</v>
      </c>
      <c r="AV1933" s="8">
        <f ca="1">IFERROR(__xludf.DUMMYFUNCTION("""COMPUTED_VALUE"""),-81.0806665)</f>
        <v>-81.080666500000007</v>
      </c>
      <c r="AW1933" s="8"/>
      <c r="AX1933" s="8">
        <f ca="1">IFERROR(__xludf.DUMMYFUNCTION("""COMPUTED_VALUE"""),29927)</f>
        <v>29927</v>
      </c>
    </row>
    <row r="1934" spans="1:50" ht="60" x14ac:dyDescent="0.2">
      <c r="A1934" s="8" t="str">
        <f ca="1">IFERROR(__xludf.DUMMYFUNCTION("""COMPUTED_VALUE"""),"20150120ALWIM")</f>
        <v>20150120ALWIM</v>
      </c>
      <c r="B1934" s="8">
        <f ca="1">IFERROR(__xludf.DUMMYFUNCTION("""COMPUTED_VALUE"""),1)</f>
        <v>1</v>
      </c>
      <c r="C1934" s="8">
        <f ca="1">IFERROR(__xludf.DUMMYFUNCTION("""COMPUTED_VALUE"""),20)</f>
        <v>20</v>
      </c>
      <c r="D1934" s="8">
        <f ca="1">IFERROR(__xludf.DUMMYFUNCTION("""COMPUTED_VALUE"""),2015)</f>
        <v>2015</v>
      </c>
      <c r="E1934" s="9">
        <f ca="1">IFERROR(__xludf.DUMMYFUNCTION("""COMPUTED_VALUE"""),42024)</f>
        <v>42024</v>
      </c>
      <c r="F1934" s="8" t="str">
        <f ca="1">IFERROR(__xludf.DUMMYFUNCTION("""COMPUTED_VALUE"""),"Williamson High School")</f>
        <v>Williamson High School</v>
      </c>
      <c r="G1934" s="8">
        <f ca="1">IFERROR(__xludf.DUMMYFUNCTION("""COMPUTED_VALUE"""),0)</f>
        <v>0</v>
      </c>
      <c r="H1934" s="8">
        <f ca="1">IFERROR(__xludf.DUMMYFUNCTION("""COMPUTED_VALUE"""),1)</f>
        <v>1</v>
      </c>
      <c r="I1934" s="8">
        <f ca="1">IFERROR(__xludf.DUMMYFUNCTION("""COMPUTED_VALUE"""),1)</f>
        <v>1</v>
      </c>
      <c r="J1934" s="8">
        <f ca="1">IFERROR(__xludf.DUMMYFUNCTION("""COMPUTED_VALUE"""),0)</f>
        <v>0</v>
      </c>
      <c r="K1934" s="10" t="str">
        <f ca="1">IFERROR(__xludf.DUMMYFUNCTION("""COMPUTED_VALUE"""),"https://www.al.com/news/mobile/index.ssf/2015/01/one_shot_in_the_buttock_after.html")</f>
        <v>https://www.al.com/news/mobile/index.ssf/2015/01/one_shot_in_the_buttock_after.html</v>
      </c>
      <c r="L1934" s="8"/>
      <c r="M1934" s="8"/>
      <c r="N1934" s="8">
        <f ca="1">IFERROR(__xludf.DUMMYFUNCTION("""COMPUTED_VALUE"""),2)</f>
        <v>2</v>
      </c>
      <c r="O1934" s="8" t="str">
        <f ca="1">IFERROR(__xludf.DUMMYFUNCTION("""COMPUTED_VALUE"""),"Winter")</f>
        <v>Winter</v>
      </c>
      <c r="P1934" s="8" t="str">
        <f ca="1">IFERROR(__xludf.DUMMYFUNCTION("""COMPUTED_VALUE"""),"Mobile")</f>
        <v>Mobile</v>
      </c>
      <c r="Q1934" s="8" t="str">
        <f ca="1">IFERROR(__xludf.DUMMYFUNCTION("""COMPUTED_VALUE"""),"AL")</f>
        <v>AL</v>
      </c>
      <c r="R1934" s="8" t="str">
        <f ca="1">IFERROR(__xludf.DUMMYFUNCTION("""COMPUTED_VALUE"""),"High")</f>
        <v>High</v>
      </c>
      <c r="S1934" s="8" t="str">
        <f ca="1">IFERROR(__xludf.DUMMYFUNCTION("""COMPUTED_VALUE"""),"Beside Building")</f>
        <v>Beside Building</v>
      </c>
      <c r="T1934" s="8" t="str">
        <f ca="1">IFERROR(__xludf.DUMMYFUNCTION("""COMPUTED_VALUE"""),"Outside on School Property")</f>
        <v>Outside on School Property</v>
      </c>
      <c r="U1934" s="8" t="str">
        <f ca="1">IFERROR(__xludf.DUMMYFUNCTION("""COMPUTED_VALUE"""),"No")</f>
        <v>No</v>
      </c>
      <c r="V1934" s="8" t="str">
        <f ca="1">IFERROR(__xludf.DUMMYFUNCTION("""COMPUTED_VALUE"""),"Evening")</f>
        <v>Evening</v>
      </c>
      <c r="W1934" s="8"/>
      <c r="X1934" s="8">
        <f ca="1">IFERROR(__xludf.DUMMYFUNCTION("""COMPUTED_VALUE"""),1)</f>
        <v>1</v>
      </c>
      <c r="Y1934" s="12" t="str">
        <f ca="1">IFERROR(__xludf.DUMMYFUNCTION("""COMPUTED_VALUE"""),"Shooting outside school after basketball game, bystander hit")</f>
        <v>Shooting outside school after basketball game, bystander hit</v>
      </c>
      <c r="Z1934" s="12" t="str">
        <f ca="1">IFERROR(__xludf.DUMMYFUNCTION("""COMPUTED_VALUE"""),"Middle age man walking past school was struck by a shot. A group of teens were fighting when an unknown shooter fired. No suspect.")</f>
        <v>Middle age man walking past school was struck by a shot. A group of teens were fighting when an unknown shooter fired. No suspect.</v>
      </c>
      <c r="AA1934" s="8" t="str">
        <f ca="1">IFERROR(__xludf.DUMMYFUNCTION("""COMPUTED_VALUE"""),"Escalation of Dispute")</f>
        <v>Escalation of Dispute</v>
      </c>
      <c r="AB1934" s="8"/>
      <c r="AC1934" s="8" t="str">
        <f ca="1">IFERROR(__xludf.DUMMYFUNCTION("""COMPUTED_VALUE"""),"No")</f>
        <v>No</v>
      </c>
      <c r="AD1934" s="8" t="str">
        <f ca="1">IFERROR(__xludf.DUMMYFUNCTION("""COMPUTED_VALUE"""),"Random Shooting")</f>
        <v>Random Shooting</v>
      </c>
      <c r="AE1934" s="8" t="str">
        <f ca="1">IFERROR(__xludf.DUMMYFUNCTION("""COMPUTED_VALUE"""),"Yes")</f>
        <v>Yes</v>
      </c>
      <c r="AF1934" s="8" t="str">
        <f ca="1">IFERROR(__xludf.DUMMYFUNCTION("""COMPUTED_VALUE"""),"Group of students fighting")</f>
        <v>Group of students fighting</v>
      </c>
      <c r="AG1934" s="8" t="str">
        <f ca="1">IFERROR(__xludf.DUMMYFUNCTION("""COMPUTED_VALUE"""),"No")</f>
        <v>No</v>
      </c>
      <c r="AH1934" s="8" t="str">
        <f ca="1">IFERROR(__xludf.DUMMYFUNCTION("""COMPUTED_VALUE"""),"No")</f>
        <v>No</v>
      </c>
      <c r="AI1934" s="8" t="str">
        <f ca="1">IFERROR(__xludf.DUMMYFUNCTION("""COMPUTED_VALUE"""),"No")</f>
        <v>No</v>
      </c>
      <c r="AJ1934" s="8" t="str">
        <f ca="1">IFERROR(__xludf.DUMMYFUNCTION("""COMPUTED_VALUE"""),"No")</f>
        <v>No</v>
      </c>
      <c r="AK1934" s="8" t="str">
        <f ca="1">IFERROR(__xludf.DUMMYFUNCTION("""COMPUTED_VALUE"""),"No")</f>
        <v>No</v>
      </c>
      <c r="AL1934" s="8" t="str">
        <f ca="1">IFERROR(__xludf.DUMMYFUNCTION("""COMPUTED_VALUE"""),"No")</f>
        <v>No</v>
      </c>
      <c r="AM1934" s="8" t="str">
        <f ca="1">IFERROR(__xludf.DUMMYFUNCTION("""COMPUTED_VALUE"""),"No")</f>
        <v>No</v>
      </c>
      <c r="AN1934" s="8"/>
      <c r="AO1934" s="8" t="str">
        <f ca="1">IFERROR(__xludf.DUMMYFUNCTION("""COMPUTED_VALUE"""),"No")</f>
        <v>No</v>
      </c>
      <c r="AP1934" s="8"/>
      <c r="AQ1934" s="8" t="str">
        <f ca="1">IFERROR(__xludf.DUMMYFUNCTION("""COMPUTED_VALUE"""),"Unknown")</f>
        <v>Unknown</v>
      </c>
      <c r="AR1934" s="8" t="str">
        <f ca="1">IFERROR(__xludf.DUMMYFUNCTION("""COMPUTED_VALUE"""),"NA")</f>
        <v>NA</v>
      </c>
      <c r="AS1934" s="8"/>
      <c r="AT1934" s="8"/>
      <c r="AU1934" s="8">
        <f ca="1">IFERROR(__xludf.DUMMYFUNCTION("""COMPUTED_VALUE"""),30.6953657)</f>
        <v>30.6953657</v>
      </c>
      <c r="AV1934" s="8">
        <f ca="1">IFERROR(__xludf.DUMMYFUNCTION("""COMPUTED_VALUE"""),-88.0398912)</f>
        <v>-88.0398912</v>
      </c>
      <c r="AW1934" s="8"/>
      <c r="AX1934" s="8">
        <f ca="1">IFERROR(__xludf.DUMMYFUNCTION("""COMPUTED_VALUE"""),36602)</f>
        <v>36602</v>
      </c>
    </row>
    <row r="1935" spans="1:50" ht="165" x14ac:dyDescent="0.2">
      <c r="A1935" s="8" t="str">
        <f ca="1">IFERROR(__xludf.DUMMYFUNCTION("""COMPUTED_VALUE"""),"20150116FLVAO")</f>
        <v>20150116FLVAO</v>
      </c>
      <c r="B1935" s="8">
        <f ca="1">IFERROR(__xludf.DUMMYFUNCTION("""COMPUTED_VALUE"""),1)</f>
        <v>1</v>
      </c>
      <c r="C1935" s="8">
        <f ca="1">IFERROR(__xludf.DUMMYFUNCTION("""COMPUTED_VALUE"""),16)</f>
        <v>16</v>
      </c>
      <c r="D1935" s="8">
        <f ca="1">IFERROR(__xludf.DUMMYFUNCTION("""COMPUTED_VALUE"""),2015)</f>
        <v>2015</v>
      </c>
      <c r="E1935" s="9">
        <f ca="1">IFERROR(__xludf.DUMMYFUNCTION("""COMPUTED_VALUE"""),42020)</f>
        <v>42020</v>
      </c>
      <c r="F1935" s="8" t="str">
        <f ca="1">IFERROR(__xludf.DUMMYFUNCTION("""COMPUTED_VALUE"""),"Vanguard High School")</f>
        <v>Vanguard High School</v>
      </c>
      <c r="G1935" s="8">
        <f ca="1">IFERROR(__xludf.DUMMYFUNCTION("""COMPUTED_VALUE"""),0)</f>
        <v>0</v>
      </c>
      <c r="H1935" s="8">
        <f ca="1">IFERROR(__xludf.DUMMYFUNCTION("""COMPUTED_VALUE"""),2)</f>
        <v>2</v>
      </c>
      <c r="I1935" s="8">
        <f ca="1">IFERROR(__xludf.DUMMYFUNCTION("""COMPUTED_VALUE"""),2)</f>
        <v>2</v>
      </c>
      <c r="J1935" s="8">
        <f ca="1">IFERROR(__xludf.DUMMYFUNCTION("""COMPUTED_VALUE"""),0)</f>
        <v>0</v>
      </c>
      <c r="K1935" s="10" t="str">
        <f ca="1">IFERROR(__xludf.DUMMYFUNCTION("""COMPUTED_VALUE"""),"http://www.ocalapost.com/shooting-at-vanguard-high-injured-2/")</f>
        <v>http://www.ocalapost.com/shooting-at-vanguard-high-injured-2/</v>
      </c>
      <c r="L1935" s="8">
        <f ca="1">IFERROR(__xludf.DUMMYFUNCTION("""COMPUTED_VALUE"""),1)</f>
        <v>1</v>
      </c>
      <c r="M1935" s="8" t="str">
        <f ca="1">IFERROR(__xludf.DUMMYFUNCTION("""COMPUTED_VALUE"""),"Local")</f>
        <v>Local</v>
      </c>
      <c r="N1935" s="8">
        <f ca="1">IFERROR(__xludf.DUMMYFUNCTION("""COMPUTED_VALUE"""),2)</f>
        <v>2</v>
      </c>
      <c r="O1935" s="8" t="str">
        <f ca="1">IFERROR(__xludf.DUMMYFUNCTION("""COMPUTED_VALUE"""),"Winter")</f>
        <v>Winter</v>
      </c>
      <c r="P1935" s="8" t="str">
        <f ca="1">IFERROR(__xludf.DUMMYFUNCTION("""COMPUTED_VALUE"""),"Ocala")</f>
        <v>Ocala</v>
      </c>
      <c r="Q1935" s="8" t="str">
        <f ca="1">IFERROR(__xludf.DUMMYFUNCTION("""COMPUTED_VALUE"""),"FL")</f>
        <v>FL</v>
      </c>
      <c r="R1935" s="8" t="str">
        <f ca="1">IFERROR(__xludf.DUMMYFUNCTION("""COMPUTED_VALUE"""),"High")</f>
        <v>High</v>
      </c>
      <c r="S1935" s="8" t="str">
        <f ca="1">IFERROR(__xludf.DUMMYFUNCTION("""COMPUTED_VALUE"""),"Parking Lot")</f>
        <v>Parking Lot</v>
      </c>
      <c r="T1935" s="8" t="str">
        <f ca="1">IFERROR(__xludf.DUMMYFUNCTION("""COMPUTED_VALUE"""),"Outside on School Property")</f>
        <v>Outside on School Property</v>
      </c>
      <c r="U1935" s="8" t="str">
        <f ca="1">IFERROR(__xludf.DUMMYFUNCTION("""COMPUTED_VALUE"""),"No")</f>
        <v>No</v>
      </c>
      <c r="V1935" s="8" t="str">
        <f ca="1">IFERROR(__xludf.DUMMYFUNCTION("""COMPUTED_VALUE"""),"Sport Event")</f>
        <v>Sport Event</v>
      </c>
      <c r="W1935" s="8"/>
      <c r="X1935" s="8">
        <f ca="1">IFERROR(__xludf.DUMMYFUNCTION("""COMPUTED_VALUE"""),1)</f>
        <v>1</v>
      </c>
      <c r="Y1935" s="12" t="str">
        <f ca="1">IFERROR(__xludf.DUMMYFUNCTION("""COMPUTED_VALUE"""),"Gang related shooting in parking lot")</f>
        <v>Gang related shooting in parking lot</v>
      </c>
      <c r="Z1935" s="12" t="str">
        <f ca="1">IFERROR(__xludf.DUMMYFUNCTION("""COMPUTED_VALUE"""),"A female student was walking through the parking lot when she was struck in the arm by a bullet. The older female was in her car backing out of the parking lot when bullets hit her windows, causing glass to hit her arm. About an hour and a half after the "&amp;"shooting, someone posted a message on Facebook alleging they were the shooter. The message even contained the hashtag “#imissed (sorry).” The Facebook post was deleted immediately after it was posted. Shooter was arrested months later and was uncooperativ"&amp;"e; police reported the victims were not the intended target.")</f>
        <v>A female student was walking through the parking lot when she was struck in the arm by a bullet. The older female was in her car backing out of the parking lot when bullets hit her windows, causing glass to hit her arm. About an hour and a half after the shooting, someone posted a message on Facebook alleging they were the shooter. The message even contained the hashtag “#imissed (sorry).” The Facebook post was deleted immediately after it was posted. Shooter was arrested months later and was uncooperative; police reported the victims were not the intended target.</v>
      </c>
      <c r="AA1935" s="8" t="str">
        <f ca="1">IFERROR(__xludf.DUMMYFUNCTION("""COMPUTED_VALUE"""),"Drive-by Shooting")</f>
        <v>Drive-by Shooting</v>
      </c>
      <c r="AB1935" s="8"/>
      <c r="AC1935" s="8" t="str">
        <f ca="1">IFERROR(__xludf.DUMMYFUNCTION("""COMPUTED_VALUE"""),"Yes")</f>
        <v>Yes</v>
      </c>
      <c r="AD1935" s="8" t="str">
        <f ca="1">IFERROR(__xludf.DUMMYFUNCTION("""COMPUTED_VALUE"""),"Both")</f>
        <v>Both</v>
      </c>
      <c r="AE1935" s="8" t="str">
        <f ca="1">IFERROR(__xludf.DUMMYFUNCTION("""COMPUTED_VALUE"""),"No")</f>
        <v>No</v>
      </c>
      <c r="AF1935" s="8"/>
      <c r="AG1935" s="8" t="str">
        <f ca="1">IFERROR(__xludf.DUMMYFUNCTION("""COMPUTED_VALUE"""),"No")</f>
        <v>No</v>
      </c>
      <c r="AH1935" s="8" t="str">
        <f ca="1">IFERROR(__xludf.DUMMYFUNCTION("""COMPUTED_VALUE"""),"No")</f>
        <v>No</v>
      </c>
      <c r="AI1935" s="8" t="str">
        <f ca="1">IFERROR(__xludf.DUMMYFUNCTION("""COMPUTED_VALUE"""),"No")</f>
        <v>No</v>
      </c>
      <c r="AJ1935" s="8"/>
      <c r="AK1935" s="8" t="str">
        <f ca="1">IFERROR(__xludf.DUMMYFUNCTION("""COMPUTED_VALUE"""),"No")</f>
        <v>No</v>
      </c>
      <c r="AL1935" s="8" t="str">
        <f ca="1">IFERROR(__xludf.DUMMYFUNCTION("""COMPUTED_VALUE"""),"Yes")</f>
        <v>Yes</v>
      </c>
      <c r="AM1935" s="8" t="str">
        <f ca="1">IFERROR(__xludf.DUMMYFUNCTION("""COMPUTED_VALUE"""),"No")</f>
        <v>No</v>
      </c>
      <c r="AN1935" s="8"/>
      <c r="AO1935" s="8" t="str">
        <f ca="1">IFERROR(__xludf.DUMMYFUNCTION("""COMPUTED_VALUE"""),"No")</f>
        <v>No</v>
      </c>
      <c r="AP1935" s="8" t="str">
        <f ca="1">IFERROR(__xludf.DUMMYFUNCTION("""COMPUTED_VALUE"""),"Yes")</f>
        <v>Yes</v>
      </c>
      <c r="AQ1935" s="8" t="str">
        <f ca="1">IFERROR(__xludf.DUMMYFUNCTION("""COMPUTED_VALUE"""),"Unknown")</f>
        <v>Unknown</v>
      </c>
      <c r="AR1935" s="8" t="str">
        <f ca="1">IFERROR(__xludf.DUMMYFUNCTION("""COMPUTED_VALUE"""),"NA")</f>
        <v>NA</v>
      </c>
      <c r="AS1935" s="8"/>
      <c r="AT1935" s="8" t="str">
        <f ca="1">IFERROR(__xludf.DUMMYFUNCTION("""COMPUTED_VALUE"""),"No")</f>
        <v>No</v>
      </c>
      <c r="AU1935" s="8">
        <f ca="1">IFERROR(__xludf.DUMMYFUNCTION("""COMPUTED_VALUE"""),29.220046)</f>
        <v>29.220046</v>
      </c>
      <c r="AV1935" s="8">
        <f ca="1">IFERROR(__xludf.DUMMYFUNCTION("""COMPUTED_VALUE"""),-82.136465)</f>
        <v>-82.136465000000001</v>
      </c>
      <c r="AW1935" s="8"/>
      <c r="AX1935" s="8">
        <f ca="1">IFERROR(__xludf.DUMMYFUNCTION("""COMPUTED_VALUE"""),34475)</f>
        <v>34475</v>
      </c>
    </row>
    <row r="1936" spans="1:50" ht="90" x14ac:dyDescent="0.2">
      <c r="A1936" s="8" t="str">
        <f ca="1">IFERROR(__xludf.DUMMYFUNCTION("""COMPUTED_VALUE"""),"20150115WIWIM")</f>
        <v>20150115WIWIM</v>
      </c>
      <c r="B1936" s="8">
        <f ca="1">IFERROR(__xludf.DUMMYFUNCTION("""COMPUTED_VALUE"""),1)</f>
        <v>1</v>
      </c>
      <c r="C1936" s="8">
        <f ca="1">IFERROR(__xludf.DUMMYFUNCTION("""COMPUTED_VALUE"""),15)</f>
        <v>15</v>
      </c>
      <c r="D1936" s="8">
        <f ca="1">IFERROR(__xludf.DUMMYFUNCTION("""COMPUTED_VALUE"""),2015)</f>
        <v>2015</v>
      </c>
      <c r="E1936" s="9">
        <f ca="1">IFERROR(__xludf.DUMMYFUNCTION("""COMPUTED_VALUE"""),42019)</f>
        <v>42019</v>
      </c>
      <c r="F1936" s="8" t="str">
        <f ca="1">IFERROR(__xludf.DUMMYFUNCTION("""COMPUTED_VALUE"""),"Wisconsin Lutheran High School")</f>
        <v>Wisconsin Lutheran High School</v>
      </c>
      <c r="G1936" s="8">
        <f ca="1">IFERROR(__xludf.DUMMYFUNCTION("""COMPUTED_VALUE"""),0)</f>
        <v>0</v>
      </c>
      <c r="H1936" s="8">
        <f ca="1">IFERROR(__xludf.DUMMYFUNCTION("""COMPUTED_VALUE"""),3)</f>
        <v>3</v>
      </c>
      <c r="I1936" s="8">
        <f ca="1">IFERROR(__xludf.DUMMYFUNCTION("""COMPUTED_VALUE"""),3)</f>
        <v>3</v>
      </c>
      <c r="J1936" s="8">
        <f ca="1">IFERROR(__xludf.DUMMYFUNCTION("""COMPUTED_VALUE"""),0)</f>
        <v>0</v>
      </c>
      <c r="K1936" s="10" t="str">
        <f ca="1">IFERROR(__xludf.DUMMYFUNCTION("""COMPUTED_VALUE"""),"http://archive.jsonline.com/news/crime/milwaukee-man-charged-in-wisconsin-lutheran-high-school-shooting-b99431381z1-289512441.html/")</f>
        <v>http://archive.jsonline.com/news/crime/milwaukee-man-charged-in-wisconsin-lutheran-high-school-shooting-b99431381z1-289512441.html/</v>
      </c>
      <c r="L1936" s="8">
        <f ca="1">IFERROR(__xludf.DUMMYFUNCTION("""COMPUTED_VALUE"""),5)</f>
        <v>5</v>
      </c>
      <c r="M1936" s="8" t="str">
        <f ca="1">IFERROR(__xludf.DUMMYFUNCTION("""COMPUTED_VALUE"""),"Local")</f>
        <v>Local</v>
      </c>
      <c r="N1936" s="8">
        <f ca="1">IFERROR(__xludf.DUMMYFUNCTION("""COMPUTED_VALUE"""),2)</f>
        <v>2</v>
      </c>
      <c r="O1936" s="8" t="str">
        <f ca="1">IFERROR(__xludf.DUMMYFUNCTION("""COMPUTED_VALUE"""),"Winter")</f>
        <v>Winter</v>
      </c>
      <c r="P1936" s="8" t="str">
        <f ca="1">IFERROR(__xludf.DUMMYFUNCTION("""COMPUTED_VALUE"""),"Milwaukee")</f>
        <v>Milwaukee</v>
      </c>
      <c r="Q1936" s="8" t="str">
        <f ca="1">IFERROR(__xludf.DUMMYFUNCTION("""COMPUTED_VALUE"""),"WI")</f>
        <v>WI</v>
      </c>
      <c r="R1936" s="8" t="str">
        <f ca="1">IFERROR(__xludf.DUMMYFUNCTION("""COMPUTED_VALUE"""),"High")</f>
        <v>High</v>
      </c>
      <c r="S1936" s="8" t="str">
        <f ca="1">IFERROR(__xludf.DUMMYFUNCTION("""COMPUTED_VALUE"""),"Parking Lot")</f>
        <v>Parking Lot</v>
      </c>
      <c r="T1936" s="8" t="str">
        <f ca="1">IFERROR(__xludf.DUMMYFUNCTION("""COMPUTED_VALUE"""),"Outside on School Property")</f>
        <v>Outside on School Property</v>
      </c>
      <c r="U1936" s="8" t="str">
        <f ca="1">IFERROR(__xludf.DUMMYFUNCTION("""COMPUTED_VALUE"""),"No")</f>
        <v>No</v>
      </c>
      <c r="V1936" s="8" t="str">
        <f ca="1">IFERROR(__xludf.DUMMYFUNCTION("""COMPUTED_VALUE"""),"Sport Event")</f>
        <v>Sport Event</v>
      </c>
      <c r="W1936" s="8"/>
      <c r="X1936" s="8"/>
      <c r="Y1936" s="12" t="str">
        <f ca="1">IFERROR(__xludf.DUMMYFUNCTION("""COMPUTED_VALUE"""),"Shots fired by family members of rival teams during fight at basketball game")</f>
        <v>Shots fired by family members of rival teams during fight at basketball game</v>
      </c>
      <c r="Z1936" s="12" t="str">
        <f ca="1">IFERROR(__xludf.DUMMYFUNCTION("""COMPUTED_VALUE"""),"Escalated argument between two families of two female students who argued during a basketball game between rival schools. Shooter was one of the girls' fathers and fired at the other father striking him then striking unrelated parties (student and teacher"&amp;") in the leg and foot. Incident happened outside the school.")</f>
        <v>Escalated argument between two families of two female students who argued during a basketball game between rival schools. Shooter was one of the girls' fathers and fired at the other father striking him then striking unrelated parties (student and teacher) in the leg and foot. Incident happened outside the school.</v>
      </c>
      <c r="AA1936" s="8" t="str">
        <f ca="1">IFERROR(__xludf.DUMMYFUNCTION("""COMPUTED_VALUE"""),"Escalation of Dispute")</f>
        <v>Escalation of Dispute</v>
      </c>
      <c r="AB1936" s="8"/>
      <c r="AC1936" s="8" t="str">
        <f ca="1">IFERROR(__xludf.DUMMYFUNCTION("""COMPUTED_VALUE"""),"Yes")</f>
        <v>Yes</v>
      </c>
      <c r="AD1936" s="8" t="str">
        <f ca="1">IFERROR(__xludf.DUMMYFUNCTION("""COMPUTED_VALUE"""),"Both")</f>
        <v>Both</v>
      </c>
      <c r="AE1936" s="8" t="str">
        <f ca="1">IFERROR(__xludf.DUMMYFUNCTION("""COMPUTED_VALUE"""),"No")</f>
        <v>No</v>
      </c>
      <c r="AF1936" s="8"/>
      <c r="AG1936" s="8" t="str">
        <f ca="1">IFERROR(__xludf.DUMMYFUNCTION("""COMPUTED_VALUE"""),"No")</f>
        <v>No</v>
      </c>
      <c r="AH1936" s="8" t="str">
        <f ca="1">IFERROR(__xludf.DUMMYFUNCTION("""COMPUTED_VALUE"""),"No")</f>
        <v>No</v>
      </c>
      <c r="AI1936" s="8" t="str">
        <f ca="1">IFERROR(__xludf.DUMMYFUNCTION("""COMPUTED_VALUE"""),"No")</f>
        <v>No</v>
      </c>
      <c r="AJ1936" s="8" t="str">
        <f ca="1">IFERROR(__xludf.DUMMYFUNCTION("""COMPUTED_VALUE"""),"N/A")</f>
        <v>N/A</v>
      </c>
      <c r="AK1936" s="8" t="str">
        <f ca="1">IFERROR(__xludf.DUMMYFUNCTION("""COMPUTED_VALUE"""),"No")</f>
        <v>No</v>
      </c>
      <c r="AL1936" s="8" t="str">
        <f ca="1">IFERROR(__xludf.DUMMYFUNCTION("""COMPUTED_VALUE"""),"Yes")</f>
        <v>Yes</v>
      </c>
      <c r="AM1936" s="8" t="str">
        <f ca="1">IFERROR(__xludf.DUMMYFUNCTION("""COMPUTED_VALUE"""),"No")</f>
        <v>No</v>
      </c>
      <c r="AN1936" s="8"/>
      <c r="AO1936" s="8" t="str">
        <f ca="1">IFERROR(__xludf.DUMMYFUNCTION("""COMPUTED_VALUE"""),"No")</f>
        <v>No</v>
      </c>
      <c r="AP1936" s="8"/>
      <c r="AQ1936" s="8" t="str">
        <f ca="1">IFERROR(__xludf.DUMMYFUNCTION("""COMPUTED_VALUE"""),"Unknown")</f>
        <v>Unknown</v>
      </c>
      <c r="AR1936" s="8" t="str">
        <f ca="1">IFERROR(__xludf.DUMMYFUNCTION("""COMPUTED_VALUE"""),"NA")</f>
        <v>NA</v>
      </c>
      <c r="AS1936" s="8"/>
      <c r="AT1936" s="8" t="str">
        <f ca="1">IFERROR(__xludf.DUMMYFUNCTION("""COMPUTED_VALUE"""),"N/A")</f>
        <v>N/A</v>
      </c>
      <c r="AU1936" s="8">
        <f ca="1">IFERROR(__xludf.DUMMYFUNCTION("""COMPUTED_VALUE"""),43.034763)</f>
        <v>43.034762999999998</v>
      </c>
      <c r="AV1936" s="8">
        <f ca="1">IFERROR(__xludf.DUMMYFUNCTION("""COMPUTED_VALUE"""),-88.015401)</f>
        <v>-88.015400999999997</v>
      </c>
      <c r="AW1936" s="8"/>
      <c r="AX1936" s="8">
        <f ca="1">IFERROR(__xludf.DUMMYFUNCTION("""COMPUTED_VALUE"""),53213)</f>
        <v>53213</v>
      </c>
    </row>
    <row r="1937" spans="1:50" ht="75" x14ac:dyDescent="0.2">
      <c r="A1937" s="8" t="str">
        <f ca="1">IFERROR(__xludf.DUMMYFUNCTION("""COMPUTED_VALUE"""),"20141217MIGOW")</f>
        <v>20141217MIGOW</v>
      </c>
      <c r="B1937" s="8">
        <f ca="1">IFERROR(__xludf.DUMMYFUNCTION("""COMPUTED_VALUE"""),12)</f>
        <v>12</v>
      </c>
      <c r="C1937" s="8">
        <f ca="1">IFERROR(__xludf.DUMMYFUNCTION("""COMPUTED_VALUE"""),17)</f>
        <v>17</v>
      </c>
      <c r="D1937" s="8">
        <f ca="1">IFERROR(__xludf.DUMMYFUNCTION("""COMPUTED_VALUE"""),2014)</f>
        <v>2014</v>
      </c>
      <c r="E1937" s="9">
        <f ca="1">IFERROR(__xludf.DUMMYFUNCTION("""COMPUTED_VALUE"""),41990)</f>
        <v>41990</v>
      </c>
      <c r="F1937" s="8" t="str">
        <f ca="1">IFERROR(__xludf.DUMMYFUNCTION("""COMPUTED_VALUE"""),"Godfrey Lee High School")</f>
        <v>Godfrey Lee High School</v>
      </c>
      <c r="G1937" s="8">
        <f ca="1">IFERROR(__xludf.DUMMYFUNCTION("""COMPUTED_VALUE"""),0)</f>
        <v>0</v>
      </c>
      <c r="H1937" s="8">
        <f ca="1">IFERROR(__xludf.DUMMYFUNCTION("""COMPUTED_VALUE"""),1)</f>
        <v>1</v>
      </c>
      <c r="I1937" s="8">
        <f ca="1">IFERROR(__xludf.DUMMYFUNCTION("""COMPUTED_VALUE"""),1)</f>
        <v>1</v>
      </c>
      <c r="J1937" s="8">
        <f ca="1">IFERROR(__xludf.DUMMYFUNCTION("""COMPUTED_VALUE"""),0)</f>
        <v>0</v>
      </c>
      <c r="K1937" s="10" t="str">
        <f ca="1">IFERROR(__xludf.DUMMYFUNCTION("""COMPUTED_VALUE"""),"https://fox17online.com/2014/12/17/basketball-player-shot-outside-godfrey-lee-high-school/")</f>
        <v>https://fox17online.com/2014/12/17/basketball-player-shot-outside-godfrey-lee-high-school/</v>
      </c>
      <c r="L1937" s="8"/>
      <c r="M1937" s="8"/>
      <c r="N1937" s="8">
        <f ca="1">IFERROR(__xludf.DUMMYFUNCTION("""COMPUTED_VALUE"""),4)</f>
        <v>4</v>
      </c>
      <c r="O1937" s="8" t="str">
        <f ca="1">IFERROR(__xludf.DUMMYFUNCTION("""COMPUTED_VALUE"""),"Winter")</f>
        <v>Winter</v>
      </c>
      <c r="P1937" s="8" t="str">
        <f ca="1">IFERROR(__xludf.DUMMYFUNCTION("""COMPUTED_VALUE"""),"Wyoming")</f>
        <v>Wyoming</v>
      </c>
      <c r="Q1937" s="8" t="str">
        <f ca="1">IFERROR(__xludf.DUMMYFUNCTION("""COMPUTED_VALUE"""),"MI")</f>
        <v>MI</v>
      </c>
      <c r="R1937" s="8" t="str">
        <f ca="1">IFERROR(__xludf.DUMMYFUNCTION("""COMPUTED_VALUE"""),"High")</f>
        <v>High</v>
      </c>
      <c r="S1937" s="8" t="str">
        <f ca="1">IFERROR(__xludf.DUMMYFUNCTION("""COMPUTED_VALUE"""),"Parking Lot")</f>
        <v>Parking Lot</v>
      </c>
      <c r="T1937" s="8" t="str">
        <f ca="1">IFERROR(__xludf.DUMMYFUNCTION("""COMPUTED_VALUE"""),"Outside on School Property")</f>
        <v>Outside on School Property</v>
      </c>
      <c r="U1937" s="8" t="str">
        <f ca="1">IFERROR(__xludf.DUMMYFUNCTION("""COMPUTED_VALUE"""),"No")</f>
        <v>No</v>
      </c>
      <c r="V1937" s="8" t="str">
        <f ca="1">IFERROR(__xludf.DUMMYFUNCTION("""COMPUTED_VALUE"""),"Sport Event")</f>
        <v>Sport Event</v>
      </c>
      <c r="W1937" s="11">
        <f ca="1">IFERROR(__xludf.DUMMYFUNCTION("""COMPUTED_VALUE"""),0.833333333333333)</f>
        <v>0.83333333333333304</v>
      </c>
      <c r="X1937" s="8">
        <f ca="1">IFERROR(__xludf.DUMMYFUNCTION("""COMPUTED_VALUE"""),1)</f>
        <v>1</v>
      </c>
      <c r="Y1937" s="12" t="str">
        <f ca="1">IFERROR(__xludf.DUMMYFUNCTION("""COMPUTED_VALUE"""),"Student shot leaving basketball practice, ran back to school")</f>
        <v>Student shot leaving basketball practice, ran back to school</v>
      </c>
      <c r="Z1937" s="12" t="str">
        <f ca="1">IFERROR(__xludf.DUMMYFUNCTION("""COMPUTED_VALUE"""),"14YOM student shot after leaving basketball practice with 3 other students. Victim was shot in the leg and ran back to the school for assistance. Police searched the area but were unable to identify a suspect. School opened the following day with increase"&amp;"d security.")</f>
        <v>14YOM student shot after leaving basketball practice with 3 other students. Victim was shot in the leg and ran back to the school for assistance. Police searched the area but were unable to identify a suspect. School opened the following day with increased security.</v>
      </c>
      <c r="AA1937" s="8" t="str">
        <f ca="1">IFERROR(__xludf.DUMMYFUNCTION("""COMPUTED_VALUE"""),"Unknown")</f>
        <v>Unknown</v>
      </c>
      <c r="AB1937" s="8"/>
      <c r="AC1937" s="8" t="str">
        <f ca="1">IFERROR(__xludf.DUMMYFUNCTION("""COMPUTED_VALUE"""),"Yes")</f>
        <v>Yes</v>
      </c>
      <c r="AD1937" s="8" t="str">
        <f ca="1">IFERROR(__xludf.DUMMYFUNCTION("""COMPUTED_VALUE"""),"Victims Targeted")</f>
        <v>Victims Targeted</v>
      </c>
      <c r="AE1937" s="8"/>
      <c r="AF1937" s="8"/>
      <c r="AG1937" s="8" t="str">
        <f ca="1">IFERROR(__xludf.DUMMYFUNCTION("""COMPUTED_VALUE"""),"No")</f>
        <v>No</v>
      </c>
      <c r="AH1937" s="8" t="str">
        <f ca="1">IFERROR(__xludf.DUMMYFUNCTION("""COMPUTED_VALUE"""),"No")</f>
        <v>No</v>
      </c>
      <c r="AI1937" s="8" t="str">
        <f ca="1">IFERROR(__xludf.DUMMYFUNCTION("""COMPUTED_VALUE"""),"No")</f>
        <v>No</v>
      </c>
      <c r="AJ1937" s="8" t="str">
        <f ca="1">IFERROR(__xludf.DUMMYFUNCTION("""COMPUTED_VALUE"""),"No")</f>
        <v>No</v>
      </c>
      <c r="AK1937" s="8" t="str">
        <f ca="1">IFERROR(__xludf.DUMMYFUNCTION("""COMPUTED_VALUE"""),"No")</f>
        <v>No</v>
      </c>
      <c r="AL1937" s="8"/>
      <c r="AM1937" s="8" t="str">
        <f ca="1">IFERROR(__xludf.DUMMYFUNCTION("""COMPUTED_VALUE"""),"No")</f>
        <v>No</v>
      </c>
      <c r="AN1937" s="8"/>
      <c r="AO1937" s="8" t="str">
        <f ca="1">IFERROR(__xludf.DUMMYFUNCTION("""COMPUTED_VALUE"""),"No")</f>
        <v>No</v>
      </c>
      <c r="AP1937" s="8"/>
      <c r="AQ1937" s="8" t="str">
        <f ca="1">IFERROR(__xludf.DUMMYFUNCTION("""COMPUTED_VALUE"""),"Unknown")</f>
        <v>Unknown</v>
      </c>
      <c r="AR1937" s="8" t="str">
        <f ca="1">IFERROR(__xludf.DUMMYFUNCTION("""COMPUTED_VALUE"""),"NA")</f>
        <v>NA</v>
      </c>
      <c r="AS1937" s="8"/>
      <c r="AT1937" s="8"/>
      <c r="AU1937" s="8">
        <f ca="1">IFERROR(__xludf.DUMMYFUNCTION("""COMPUTED_VALUE"""),42.911782)</f>
        <v>42.911782000000002</v>
      </c>
      <c r="AV1937" s="8">
        <f ca="1">IFERROR(__xludf.DUMMYFUNCTION("""COMPUTED_VALUE"""),-85.697176)</f>
        <v>-85.697175999999999</v>
      </c>
      <c r="AW1937" s="8"/>
      <c r="AX1937" s="8">
        <f ca="1">IFERROR(__xludf.DUMMYFUNCTION("""COMPUTED_VALUE"""),49509)</f>
        <v>49509</v>
      </c>
    </row>
    <row r="1938" spans="1:50" ht="150" x14ac:dyDescent="0.2">
      <c r="A1938" s="8" t="str">
        <f ca="1">IFERROR(__xludf.DUMMYFUNCTION("""COMPUTED_VALUE"""),"20141217MEBEW")</f>
        <v>20141217MEBEW</v>
      </c>
      <c r="B1938" s="8">
        <f ca="1">IFERROR(__xludf.DUMMYFUNCTION("""COMPUTED_VALUE"""),12)</f>
        <v>12</v>
      </c>
      <c r="C1938" s="8">
        <f ca="1">IFERROR(__xludf.DUMMYFUNCTION("""COMPUTED_VALUE"""),17)</f>
        <v>17</v>
      </c>
      <c r="D1938" s="8">
        <f ca="1">IFERROR(__xludf.DUMMYFUNCTION("""COMPUTED_VALUE"""),2014)</f>
        <v>2014</v>
      </c>
      <c r="E1938" s="9">
        <f ca="1">IFERROR(__xludf.DUMMYFUNCTION("""COMPUTED_VALUE"""),41990)</f>
        <v>41990</v>
      </c>
      <c r="F1938" s="8" t="str">
        <f ca="1">IFERROR(__xludf.DUMMYFUNCTION("""COMPUTED_VALUE"""),"Benton Elementary School")</f>
        <v>Benton Elementary School</v>
      </c>
      <c r="G1938" s="8">
        <f ca="1">IFERROR(__xludf.DUMMYFUNCTION("""COMPUTED_VALUE"""),0)</f>
        <v>0</v>
      </c>
      <c r="H1938" s="8">
        <f ca="1">IFERROR(__xludf.DUMMYFUNCTION("""COMPUTED_VALUE"""),0)</f>
        <v>0</v>
      </c>
      <c r="I1938" s="8">
        <f ca="1">IFERROR(__xludf.DUMMYFUNCTION("""COMPUTED_VALUE"""),0)</f>
        <v>0</v>
      </c>
      <c r="J1938" s="8">
        <f ca="1">IFERROR(__xludf.DUMMYFUNCTION("""COMPUTED_VALUE"""),1)</f>
        <v>1</v>
      </c>
      <c r="K1938" s="10" t="str">
        <f ca="1">IFERROR(__xludf.DUMMYFUNCTION("""COMPUTED_VALUE"""),"https://www.centralmaine.com/2014/12/18/man-who-shot-himself-at-school-was-suspected-in-waterville-rape-police-say/")</f>
        <v>https://www.centralmaine.com/2014/12/18/man-who-shot-himself-at-school-was-suspected-in-waterville-rape-police-say/</v>
      </c>
      <c r="L1938" s="8">
        <f ca="1">IFERROR(__xludf.DUMMYFUNCTION("""COMPUTED_VALUE"""),5)</f>
        <v>5</v>
      </c>
      <c r="M1938" s="8" t="str">
        <f ca="1">IFERROR(__xludf.DUMMYFUNCTION("""COMPUTED_VALUE"""),"Local")</f>
        <v>Local</v>
      </c>
      <c r="N1938" s="8">
        <f ca="1">IFERROR(__xludf.DUMMYFUNCTION("""COMPUTED_VALUE"""),2)</f>
        <v>2</v>
      </c>
      <c r="O1938" s="8" t="str">
        <f ca="1">IFERROR(__xludf.DUMMYFUNCTION("""COMPUTED_VALUE"""),"Winter")</f>
        <v>Winter</v>
      </c>
      <c r="P1938" s="8" t="str">
        <f ca="1">IFERROR(__xludf.DUMMYFUNCTION("""COMPUTED_VALUE"""),"Waterville")</f>
        <v>Waterville</v>
      </c>
      <c r="Q1938" s="8" t="str">
        <f ca="1">IFERROR(__xludf.DUMMYFUNCTION("""COMPUTED_VALUE"""),"ME")</f>
        <v>ME</v>
      </c>
      <c r="R1938" s="8" t="str">
        <f ca="1">IFERROR(__xludf.DUMMYFUNCTION("""COMPUTED_VALUE"""),"Elementary")</f>
        <v>Elementary</v>
      </c>
      <c r="S1938" s="8" t="str">
        <f ca="1">IFERROR(__xludf.DUMMYFUNCTION("""COMPUTED_VALUE"""),"Beside Building")</f>
        <v>Beside Building</v>
      </c>
      <c r="T1938" s="8" t="str">
        <f ca="1">IFERROR(__xludf.DUMMYFUNCTION("""COMPUTED_VALUE"""),"Outside on School Property")</f>
        <v>Outside on School Property</v>
      </c>
      <c r="U1938" s="8" t="str">
        <f ca="1">IFERROR(__xludf.DUMMYFUNCTION("""COMPUTED_VALUE"""),"Yes")</f>
        <v>Yes</v>
      </c>
      <c r="V1938" s="8" t="str">
        <f ca="1">IFERROR(__xludf.DUMMYFUNCTION("""COMPUTED_VALUE"""),"Afternoon Classes")</f>
        <v>Afternoon Classes</v>
      </c>
      <c r="W1938" s="11">
        <f ca="1">IFERROR(__xludf.DUMMYFUNCTION("""COMPUTED_VALUE"""),0.604166666666666)</f>
        <v>0.60416666666666596</v>
      </c>
      <c r="X1938" s="8">
        <f ca="1">IFERROR(__xludf.DUMMYFUNCTION("""COMPUTED_VALUE"""),1)</f>
        <v>1</v>
      </c>
      <c r="Y1938" s="12" t="str">
        <f ca="1">IFERROR(__xludf.DUMMYFUNCTION("""COMPUTED_VALUE"""),"Suicide when police approached rapist in parking lot")</f>
        <v>Suicide when police approached rapist in parking lot</v>
      </c>
      <c r="Z1938" s="12" t="str">
        <f ca="1">IFERROR(__xludf.DUMMYFUNCTION("""COMPUTED_VALUE"""),"Shooter had kidnapped and raped a teenage girl earlier that day - he took her to a storage shed which he had made into a place to keep her locked up. He told her he had been considering suicide for a while and that if he was able to commit such a heinous "&amp;"crime like rape/kidnapping, he should be able to kill himself. After raping girl, he left, drove to middle school and shot himself as police approached - police also found several needles in car as well - possibly drug related. Someone posted a 4th grade "&amp;"photo, showing shooter attended the school back then.")</f>
        <v>Shooter had kidnapped and raped a teenage girl earlier that day - he took her to a storage shed which he had made into a place to keep her locked up. He told her he had been considering suicide for a while and that if he was able to commit such a heinous crime like rape/kidnapping, he should be able to kill himself. After raping girl, he left, drove to middle school and shot himself as police approached - police also found several needles in car as well - possibly drug related. Someone posted a 4th grade photo, showing shooter attended the school back then.</v>
      </c>
      <c r="AA1938" s="8" t="str">
        <f ca="1">IFERROR(__xludf.DUMMYFUNCTION("""COMPUTED_VALUE"""),"Suicide/Attempted")</f>
        <v>Suicide/Attempted</v>
      </c>
      <c r="AB1938" s="8"/>
      <c r="AC1938" s="8" t="str">
        <f ca="1">IFERROR(__xludf.DUMMYFUNCTION("""COMPUTED_VALUE"""),"Yes")</f>
        <v>Yes</v>
      </c>
      <c r="AD1938" s="8" t="str">
        <f ca="1">IFERROR(__xludf.DUMMYFUNCTION("""COMPUTED_VALUE"""),"Victims Targeted")</f>
        <v>Victims Targeted</v>
      </c>
      <c r="AE1938" s="8" t="str">
        <f ca="1">IFERROR(__xludf.DUMMYFUNCTION("""COMPUTED_VALUE"""),"No")</f>
        <v>No</v>
      </c>
      <c r="AF1938" s="8"/>
      <c r="AG1938" s="8" t="str">
        <f ca="1">IFERROR(__xludf.DUMMYFUNCTION("""COMPUTED_VALUE"""),"No")</f>
        <v>No</v>
      </c>
      <c r="AH1938" s="8" t="str">
        <f ca="1">IFERROR(__xludf.DUMMYFUNCTION("""COMPUTED_VALUE"""),"No")</f>
        <v>No</v>
      </c>
      <c r="AI1938" s="8" t="str">
        <f ca="1">IFERROR(__xludf.DUMMYFUNCTION("""COMPUTED_VALUE"""),"No")</f>
        <v>No</v>
      </c>
      <c r="AJ1938" s="8" t="str">
        <f ca="1">IFERROR(__xludf.DUMMYFUNCTION("""COMPUTED_VALUE"""),"No")</f>
        <v>No</v>
      </c>
      <c r="AK1938" s="8" t="str">
        <f ca="1">IFERROR(__xludf.DUMMYFUNCTION("""COMPUTED_VALUE"""),"No")</f>
        <v>No</v>
      </c>
      <c r="AL1938" s="8" t="str">
        <f ca="1">IFERROR(__xludf.DUMMYFUNCTION("""COMPUTED_VALUE"""),"No")</f>
        <v>No</v>
      </c>
      <c r="AM1938" s="8"/>
      <c r="AN1938" s="8"/>
      <c r="AO1938" s="8" t="str">
        <f ca="1">IFERROR(__xludf.DUMMYFUNCTION("""COMPUTED_VALUE"""),"No")</f>
        <v>No</v>
      </c>
      <c r="AP1938" s="8" t="str">
        <f ca="1">IFERROR(__xludf.DUMMYFUNCTION("""COMPUTED_VALUE"""),"No")</f>
        <v>No</v>
      </c>
      <c r="AQ1938" s="8" t="str">
        <f ca="1">IFERROR(__xludf.DUMMYFUNCTION("""COMPUTED_VALUE"""),"Unknown")</f>
        <v>Unknown</v>
      </c>
      <c r="AR1938" s="8" t="str">
        <f ca="1">IFERROR(__xludf.DUMMYFUNCTION("""COMPUTED_VALUE"""),"NA")</f>
        <v>NA</v>
      </c>
      <c r="AS1938" s="8">
        <f ca="1">IFERROR(__xludf.DUMMYFUNCTION("""COMPUTED_VALUE"""),1)</f>
        <v>1</v>
      </c>
      <c r="AT1938" s="8" t="str">
        <f ca="1">IFERROR(__xludf.DUMMYFUNCTION("""COMPUTED_VALUE"""),"Yes")</f>
        <v>Yes</v>
      </c>
      <c r="AU1938" s="8">
        <f ca="1">IFERROR(__xludf.DUMMYFUNCTION("""COMPUTED_VALUE"""),44.589692)</f>
        <v>44.589691999999999</v>
      </c>
      <c r="AV1938" s="8">
        <f ca="1">IFERROR(__xludf.DUMMYFUNCTION("""COMPUTED_VALUE"""),-69.576841)</f>
        <v>-69.576841000000002</v>
      </c>
      <c r="AW1938" s="8"/>
      <c r="AX1938" s="8">
        <f ca="1">IFERROR(__xludf.DUMMYFUNCTION("""COMPUTED_VALUE"""),4901)</f>
        <v>4901</v>
      </c>
    </row>
    <row r="1939" spans="1:50" ht="60" x14ac:dyDescent="0.2">
      <c r="A1939" s="8" t="str">
        <f ca="1">IFERROR(__xludf.DUMMYFUNCTION("""COMPUTED_VALUE"""),"20141216PASUP")</f>
        <v>20141216PASUP</v>
      </c>
      <c r="B1939" s="8">
        <f ca="1">IFERROR(__xludf.DUMMYFUNCTION("""COMPUTED_VALUE"""),12)</f>
        <v>12</v>
      </c>
      <c r="C1939" s="8">
        <f ca="1">IFERROR(__xludf.DUMMYFUNCTION("""COMPUTED_VALUE"""),16)</f>
        <v>16</v>
      </c>
      <c r="D1939" s="8">
        <f ca="1">IFERROR(__xludf.DUMMYFUNCTION("""COMPUTED_VALUE"""),2014)</f>
        <v>2014</v>
      </c>
      <c r="E1939" s="9">
        <f ca="1">IFERROR(__xludf.DUMMYFUNCTION("""COMPUTED_VALUE"""),41989)</f>
        <v>41989</v>
      </c>
      <c r="F1939" s="8" t="str">
        <f ca="1">IFERROR(__xludf.DUMMYFUNCTION("""COMPUTED_VALUE"""),"Sunnyside Elementary School")</f>
        <v>Sunnyside Elementary School</v>
      </c>
      <c r="G1939" s="8">
        <f ca="1">IFERROR(__xludf.DUMMYFUNCTION("""COMPUTED_VALUE"""),1)</f>
        <v>1</v>
      </c>
      <c r="H1939" s="8">
        <f ca="1">IFERROR(__xludf.DUMMYFUNCTION("""COMPUTED_VALUE"""),0)</f>
        <v>0</v>
      </c>
      <c r="I1939" s="8">
        <f ca="1">IFERROR(__xludf.DUMMYFUNCTION("""COMPUTED_VALUE"""),1)</f>
        <v>1</v>
      </c>
      <c r="J1939" s="8">
        <f ca="1">IFERROR(__xludf.DUMMYFUNCTION("""COMPUTED_VALUE"""),0)</f>
        <v>0</v>
      </c>
      <c r="K1939" s="10" t="str">
        <f ca="1">IFERROR(__xludf.DUMMYFUNCTION("""COMPUTED_VALUE"""),"https://pittsburgh.cbslocal.com/2014/12/17/shooting-at-stanton-heights-elementary-school/")</f>
        <v>https://pittsburgh.cbslocal.com/2014/12/17/shooting-at-stanton-heights-elementary-school/</v>
      </c>
      <c r="L1939" s="8"/>
      <c r="M1939" s="8"/>
      <c r="N1939" s="8">
        <f ca="1">IFERROR(__xludf.DUMMYFUNCTION("""COMPUTED_VALUE"""),2)</f>
        <v>2</v>
      </c>
      <c r="O1939" s="8" t="str">
        <f ca="1">IFERROR(__xludf.DUMMYFUNCTION("""COMPUTED_VALUE"""),"Winter")</f>
        <v>Winter</v>
      </c>
      <c r="P1939" s="8" t="str">
        <f ca="1">IFERROR(__xludf.DUMMYFUNCTION("""COMPUTED_VALUE"""),"Pittsburgh")</f>
        <v>Pittsburgh</v>
      </c>
      <c r="Q1939" s="8" t="str">
        <f ca="1">IFERROR(__xludf.DUMMYFUNCTION("""COMPUTED_VALUE"""),"PA")</f>
        <v>PA</v>
      </c>
      <c r="R1939" s="8" t="str">
        <f ca="1">IFERROR(__xludf.DUMMYFUNCTION("""COMPUTED_VALUE"""),"Elementary")</f>
        <v>Elementary</v>
      </c>
      <c r="S1939" s="8" t="str">
        <f ca="1">IFERROR(__xludf.DUMMYFUNCTION("""COMPUTED_VALUE"""),"Parking Lot")</f>
        <v>Parking Lot</v>
      </c>
      <c r="T1939" s="8" t="str">
        <f ca="1">IFERROR(__xludf.DUMMYFUNCTION("""COMPUTED_VALUE"""),"Outside on School Property")</f>
        <v>Outside on School Property</v>
      </c>
      <c r="U1939" s="8" t="str">
        <f ca="1">IFERROR(__xludf.DUMMYFUNCTION("""COMPUTED_VALUE"""),"No")</f>
        <v>No</v>
      </c>
      <c r="V1939" s="8" t="str">
        <f ca="1">IFERROR(__xludf.DUMMYFUNCTION("""COMPUTED_VALUE"""),"Night")</f>
        <v>Night</v>
      </c>
      <c r="W1939" s="11">
        <f ca="1">IFERROR(__xludf.DUMMYFUNCTION("""COMPUTED_VALUE"""),0.958333333333333)</f>
        <v>0.95833333333333304</v>
      </c>
      <c r="X1939" s="8">
        <f ca="1">IFERROR(__xludf.DUMMYFUNCTION("""COMPUTED_VALUE"""),1)</f>
        <v>1</v>
      </c>
      <c r="Y1939" s="12" t="str">
        <f ca="1">IFERROR(__xludf.DUMMYFUNCTION("""COMPUTED_VALUE"""),"Victim was found shot to death in his car parked on school lot")</f>
        <v>Victim was found shot to death in his car parked on school lot</v>
      </c>
      <c r="Z1939" s="12" t="str">
        <f ca="1">IFERROR(__xludf.DUMMYFUNCTION("""COMPUTED_VALUE"""),"Victim was found shot to death in his car which was parked on the school lot. The vehicle's window was broken out. Police believed he was shot/killed the night before as neighbors reported hearing gunshots around 11pm,")</f>
        <v>Victim was found shot to death in his car which was parked on the school lot. The vehicle's window was broken out. Police believed he was shot/killed the night before as neighbors reported hearing gunshots around 11pm,</v>
      </c>
      <c r="AA1939" s="8" t="str">
        <f ca="1">IFERROR(__xludf.DUMMYFUNCTION("""COMPUTED_VALUE"""),"Unknown")</f>
        <v>Unknown</v>
      </c>
      <c r="AB1939" s="8"/>
      <c r="AC1939" s="8" t="str">
        <f ca="1">IFERROR(__xludf.DUMMYFUNCTION("""COMPUTED_VALUE"""),"No")</f>
        <v>No</v>
      </c>
      <c r="AD1939" s="8"/>
      <c r="AE1939" s="8"/>
      <c r="AF1939" s="8"/>
      <c r="AG1939" s="8" t="str">
        <f ca="1">IFERROR(__xludf.DUMMYFUNCTION("""COMPUTED_VALUE"""),"No")</f>
        <v>No</v>
      </c>
      <c r="AH1939" s="8" t="str">
        <f ca="1">IFERROR(__xludf.DUMMYFUNCTION("""COMPUTED_VALUE"""),"No")</f>
        <v>No</v>
      </c>
      <c r="AI1939" s="8" t="str">
        <f ca="1">IFERROR(__xludf.DUMMYFUNCTION("""COMPUTED_VALUE"""),"No")</f>
        <v>No</v>
      </c>
      <c r="AJ1939" s="8"/>
      <c r="AK1939" s="8"/>
      <c r="AL1939" s="8"/>
      <c r="AM1939" s="8"/>
      <c r="AN1939" s="8"/>
      <c r="AO1939" s="8"/>
      <c r="AP1939" s="8"/>
      <c r="AQ1939" s="8" t="str">
        <f ca="1">IFERROR(__xludf.DUMMYFUNCTION("""COMPUTED_VALUE"""),"Unknown")</f>
        <v>Unknown</v>
      </c>
      <c r="AR1939" s="8" t="str">
        <f ca="1">IFERROR(__xludf.DUMMYFUNCTION("""COMPUTED_VALUE"""),"NA")</f>
        <v>NA</v>
      </c>
      <c r="AS1939" s="8"/>
      <c r="AT1939" s="8"/>
      <c r="AU1939" s="8">
        <f ca="1">IFERROR(__xludf.DUMMYFUNCTION("""COMPUTED_VALUE"""),40.4406248)</f>
        <v>40.440624800000002</v>
      </c>
      <c r="AV1939" s="8">
        <f ca="1">IFERROR(__xludf.DUMMYFUNCTION("""COMPUTED_VALUE"""),-79.9958864)</f>
        <v>-79.995886400000003</v>
      </c>
      <c r="AW1939" s="8"/>
      <c r="AX1939" s="8">
        <f ca="1">IFERROR(__xludf.DUMMYFUNCTION("""COMPUTED_VALUE"""),15222)</f>
        <v>15222</v>
      </c>
    </row>
    <row r="1940" spans="1:50" ht="75" x14ac:dyDescent="0.2">
      <c r="A1940" s="8" t="str">
        <f ca="1">IFERROR(__xludf.DUMMYFUNCTION("""COMPUTED_VALUE"""),"20141212ORROP")</f>
        <v>20141212ORROP</v>
      </c>
      <c r="B1940" s="8">
        <f ca="1">IFERROR(__xludf.DUMMYFUNCTION("""COMPUTED_VALUE"""),12)</f>
        <v>12</v>
      </c>
      <c r="C1940" s="8">
        <f ca="1">IFERROR(__xludf.DUMMYFUNCTION("""COMPUTED_VALUE"""),12)</f>
        <v>12</v>
      </c>
      <c r="D1940" s="8">
        <f ca="1">IFERROR(__xludf.DUMMYFUNCTION("""COMPUTED_VALUE"""),2014)</f>
        <v>2014</v>
      </c>
      <c r="E1940" s="9">
        <f ca="1">IFERROR(__xludf.DUMMYFUNCTION("""COMPUTED_VALUE"""),41985)</f>
        <v>41985</v>
      </c>
      <c r="F1940" s="8" t="str">
        <f ca="1">IFERROR(__xludf.DUMMYFUNCTION("""COMPUTED_VALUE"""),"Rosemary Anderson High School")</f>
        <v>Rosemary Anderson High School</v>
      </c>
      <c r="G1940" s="8">
        <f ca="1">IFERROR(__xludf.DUMMYFUNCTION("""COMPUTED_VALUE"""),0)</f>
        <v>0</v>
      </c>
      <c r="H1940" s="8">
        <f ca="1">IFERROR(__xludf.DUMMYFUNCTION("""COMPUTED_VALUE"""),4)</f>
        <v>4</v>
      </c>
      <c r="I1940" s="8">
        <f ca="1">IFERROR(__xludf.DUMMYFUNCTION("""COMPUTED_VALUE"""),4)</f>
        <v>4</v>
      </c>
      <c r="J1940" s="8">
        <f ca="1">IFERROR(__xludf.DUMMYFUNCTION("""COMPUTED_VALUE"""),0)</f>
        <v>0</v>
      </c>
      <c r="K1940" s="10" t="str">
        <f ca="1">IFERROR(__xludf.DUMMYFUNCTION("""COMPUTED_VALUE"""),"http://www.oregonlive.com/portland/index.ssf/2015/05/teen_who_shot_four_outside_ros.html")</f>
        <v>http://www.oregonlive.com/portland/index.ssf/2015/05/teen_who_shot_four_outside_ros.html</v>
      </c>
      <c r="L1940" s="8">
        <f ca="1">IFERROR(__xludf.DUMMYFUNCTION("""COMPUTED_VALUE"""),5)</f>
        <v>5</v>
      </c>
      <c r="M1940" s="8" t="str">
        <f ca="1">IFERROR(__xludf.DUMMYFUNCTION("""COMPUTED_VALUE"""),"Local")</f>
        <v>Local</v>
      </c>
      <c r="N1940" s="8">
        <f ca="1">IFERROR(__xludf.DUMMYFUNCTION("""COMPUTED_VALUE"""),2)</f>
        <v>2</v>
      </c>
      <c r="O1940" s="8" t="str">
        <f ca="1">IFERROR(__xludf.DUMMYFUNCTION("""COMPUTED_VALUE"""),"Winter")</f>
        <v>Winter</v>
      </c>
      <c r="P1940" s="8" t="str">
        <f ca="1">IFERROR(__xludf.DUMMYFUNCTION("""COMPUTED_VALUE"""),"Portland")</f>
        <v>Portland</v>
      </c>
      <c r="Q1940" s="8" t="str">
        <f ca="1">IFERROR(__xludf.DUMMYFUNCTION("""COMPUTED_VALUE"""),"OR")</f>
        <v>OR</v>
      </c>
      <c r="R1940" s="8" t="str">
        <f ca="1">IFERROR(__xludf.DUMMYFUNCTION("""COMPUTED_VALUE"""),"High")</f>
        <v>High</v>
      </c>
      <c r="S1940" s="8" t="str">
        <f ca="1">IFERROR(__xludf.DUMMYFUNCTION("""COMPUTED_VALUE"""),"Beside Building")</f>
        <v>Beside Building</v>
      </c>
      <c r="T1940" s="8" t="str">
        <f ca="1">IFERROR(__xludf.DUMMYFUNCTION("""COMPUTED_VALUE"""),"Outside on School Property")</f>
        <v>Outside on School Property</v>
      </c>
      <c r="U1940" s="8" t="str">
        <f ca="1">IFERROR(__xludf.DUMMYFUNCTION("""COMPUTED_VALUE"""),"Yes")</f>
        <v>Yes</v>
      </c>
      <c r="V1940" s="8" t="str">
        <f ca="1">IFERROR(__xludf.DUMMYFUNCTION("""COMPUTED_VALUE"""),"Lunch")</f>
        <v>Lunch</v>
      </c>
      <c r="W1940" s="8"/>
      <c r="X1940" s="8"/>
      <c r="Y1940" s="12" t="str">
        <f ca="1">IFERROR(__xludf.DUMMYFUNCTION("""COMPUTED_VALUE"""),"Gang related shooting outside of school during lunch")</f>
        <v>Gang related shooting outside of school during lunch</v>
      </c>
      <c r="Z1940" s="12" t="str">
        <f ca="1">IFERROR(__xludf.DUMMYFUNCTION("""COMPUTED_VALUE"""),"Gang-related shooting outside of school during lunch. Dispute between students and shooter fired at a group of students associated with rival gang, students injured. The school is a charter for troubled students. 1 shooter and 2 accomplices arrested.")</f>
        <v>Gang-related shooting outside of school during lunch. Dispute between students and shooter fired at a group of students associated with rival gang, students injured. The school is a charter for troubled students. 1 shooter and 2 accomplices arrested.</v>
      </c>
      <c r="AA1940" s="8" t="str">
        <f ca="1">IFERROR(__xludf.DUMMYFUNCTION("""COMPUTED_VALUE"""),"Escalation of Dispute")</f>
        <v>Escalation of Dispute</v>
      </c>
      <c r="AB1940" s="8"/>
      <c r="AC1940" s="8" t="str">
        <f ca="1">IFERROR(__xludf.DUMMYFUNCTION("""COMPUTED_VALUE"""),"Yes")</f>
        <v>Yes</v>
      </c>
      <c r="AD1940" s="8" t="str">
        <f ca="1">IFERROR(__xludf.DUMMYFUNCTION("""COMPUTED_VALUE"""),"Victims Targeted")</f>
        <v>Victims Targeted</v>
      </c>
      <c r="AE1940" s="8" t="str">
        <f ca="1">IFERROR(__xludf.DUMMYFUNCTION("""COMPUTED_VALUE"""),"Yes")</f>
        <v>Yes</v>
      </c>
      <c r="AF1940" s="8" t="str">
        <f ca="1">IFERROR(__xludf.DUMMYFUNCTION("""COMPUTED_VALUE"""),"Lonzo Murphy (BROTHER),22 and Marquel Dugas, 18")</f>
        <v>Lonzo Murphy (BROTHER),22 and Marquel Dugas, 18</v>
      </c>
      <c r="AG1940" s="8" t="str">
        <f ca="1">IFERROR(__xludf.DUMMYFUNCTION("""COMPUTED_VALUE"""),"No")</f>
        <v>No</v>
      </c>
      <c r="AH1940" s="8" t="str">
        <f ca="1">IFERROR(__xludf.DUMMYFUNCTION("""COMPUTED_VALUE"""),"No")</f>
        <v>No</v>
      </c>
      <c r="AI1940" s="8" t="str">
        <f ca="1">IFERROR(__xludf.DUMMYFUNCTION("""COMPUTED_VALUE"""),"No")</f>
        <v>No</v>
      </c>
      <c r="AJ1940" s="8" t="str">
        <f ca="1">IFERROR(__xludf.DUMMYFUNCTION("""COMPUTED_VALUE"""),"No")</f>
        <v>No</v>
      </c>
      <c r="AK1940" s="8" t="str">
        <f ca="1">IFERROR(__xludf.DUMMYFUNCTION("""COMPUTED_VALUE"""),"No")</f>
        <v>No</v>
      </c>
      <c r="AL1940" s="8" t="str">
        <f ca="1">IFERROR(__xludf.DUMMYFUNCTION("""COMPUTED_VALUE"""),"Yes")</f>
        <v>Yes</v>
      </c>
      <c r="AM1940" s="8"/>
      <c r="AN1940" s="8"/>
      <c r="AO1940" s="8" t="str">
        <f ca="1">IFERROR(__xludf.DUMMYFUNCTION("""COMPUTED_VALUE"""),"No")</f>
        <v>No</v>
      </c>
      <c r="AP1940" s="8"/>
      <c r="AQ1940" s="8" t="str">
        <f ca="1">IFERROR(__xludf.DUMMYFUNCTION("""COMPUTED_VALUE"""),"Unknown")</f>
        <v>Unknown</v>
      </c>
      <c r="AR1940" s="8" t="str">
        <f ca="1">IFERROR(__xludf.DUMMYFUNCTION("""COMPUTED_VALUE"""),"NA")</f>
        <v>NA</v>
      </c>
      <c r="AS1940" s="8">
        <f ca="1">IFERROR(__xludf.DUMMYFUNCTION("""COMPUTED_VALUE"""),5)</f>
        <v>5</v>
      </c>
      <c r="AT1940" s="8" t="str">
        <f ca="1">IFERROR(__xludf.DUMMYFUNCTION("""COMPUTED_VALUE"""),"Yes")</f>
        <v>Yes</v>
      </c>
      <c r="AU1940" s="8">
        <f ca="1">IFERROR(__xludf.DUMMYFUNCTION("""COMPUTED_VALUE"""),45.563047)</f>
        <v>45.563046999999997</v>
      </c>
      <c r="AV1940" s="8">
        <f ca="1">IFERROR(__xludf.DUMMYFUNCTION("""COMPUTED_VALUE"""),-122.673328)</f>
        <v>-122.673328</v>
      </c>
      <c r="AW1940" s="8"/>
      <c r="AX1940" s="8">
        <f ca="1">IFERROR(__xludf.DUMMYFUNCTION("""COMPUTED_VALUE"""),97217)</f>
        <v>97217</v>
      </c>
    </row>
    <row r="1941" spans="1:50" ht="180" x14ac:dyDescent="0.2">
      <c r="A1941" s="8" t="str">
        <f ca="1">IFERROR(__xludf.DUMMYFUNCTION("""COMPUTED_VALUE"""),"20141120FLMIM")</f>
        <v>20141120FLMIM</v>
      </c>
      <c r="B1941" s="8">
        <f ca="1">IFERROR(__xludf.DUMMYFUNCTION("""COMPUTED_VALUE"""),11)</f>
        <v>11</v>
      </c>
      <c r="C1941" s="8">
        <f ca="1">IFERROR(__xludf.DUMMYFUNCTION("""COMPUTED_VALUE"""),20)</f>
        <v>20</v>
      </c>
      <c r="D1941" s="8">
        <f ca="1">IFERROR(__xludf.DUMMYFUNCTION("""COMPUTED_VALUE"""),2014)</f>
        <v>2014</v>
      </c>
      <c r="E1941" s="9">
        <f ca="1">IFERROR(__xludf.DUMMYFUNCTION("""COMPUTED_VALUE"""),41963)</f>
        <v>41963</v>
      </c>
      <c r="F1941" s="8" t="str">
        <f ca="1">IFERROR(__xludf.DUMMYFUNCTION("""COMPUTED_VALUE"""),"Miami Carol City High School")</f>
        <v>Miami Carol City High School</v>
      </c>
      <c r="G1941" s="8">
        <f ca="1">IFERROR(__xludf.DUMMYFUNCTION("""COMPUTED_VALUE"""),1)</f>
        <v>1</v>
      </c>
      <c r="H1941" s="8">
        <f ca="1">IFERROR(__xludf.DUMMYFUNCTION("""COMPUTED_VALUE"""),1)</f>
        <v>1</v>
      </c>
      <c r="I1941" s="8">
        <f ca="1">IFERROR(__xludf.DUMMYFUNCTION("""COMPUTED_VALUE"""),2)</f>
        <v>2</v>
      </c>
      <c r="J1941" s="8">
        <f ca="1">IFERROR(__xludf.DUMMYFUNCTION("""COMPUTED_VALUE"""),0)</f>
        <v>0</v>
      </c>
      <c r="K1941" s="10" t="str">
        <f ca="1">IFERROR(__xludf.DUMMYFUNCTION("""COMPUTED_VALUE"""),"https://www.miamiherald.com/news/local/crime/article4139118.html")</f>
        <v>https://www.miamiherald.com/news/local/crime/article4139118.html</v>
      </c>
      <c r="L1941" s="8">
        <f ca="1">IFERROR(__xludf.DUMMYFUNCTION("""COMPUTED_VALUE"""),1)</f>
        <v>1</v>
      </c>
      <c r="M1941" s="8" t="str">
        <f ca="1">IFERROR(__xludf.DUMMYFUNCTION("""COMPUTED_VALUE"""),"Local")</f>
        <v>Local</v>
      </c>
      <c r="N1941" s="8">
        <f ca="1">IFERROR(__xludf.DUMMYFUNCTION("""COMPUTED_VALUE"""),2)</f>
        <v>2</v>
      </c>
      <c r="O1941" s="8" t="str">
        <f ca="1">IFERROR(__xludf.DUMMYFUNCTION("""COMPUTED_VALUE"""),"Fall")</f>
        <v>Fall</v>
      </c>
      <c r="P1941" s="8" t="str">
        <f ca="1">IFERROR(__xludf.DUMMYFUNCTION("""COMPUTED_VALUE"""),"Miami")</f>
        <v>Miami</v>
      </c>
      <c r="Q1941" s="8" t="str">
        <f ca="1">IFERROR(__xludf.DUMMYFUNCTION("""COMPUTED_VALUE"""),"FL")</f>
        <v>FL</v>
      </c>
      <c r="R1941" s="8" t="str">
        <f ca="1">IFERROR(__xludf.DUMMYFUNCTION("""COMPUTED_VALUE"""),"High")</f>
        <v>High</v>
      </c>
      <c r="S1941" s="8" t="str">
        <f ca="1">IFERROR(__xludf.DUMMYFUNCTION("""COMPUTED_VALUE"""),"Basketball Court")</f>
        <v>Basketball Court</v>
      </c>
      <c r="T1941" s="8" t="str">
        <f ca="1">IFERROR(__xludf.DUMMYFUNCTION("""COMPUTED_VALUE"""),"Outside on School Property")</f>
        <v>Outside on School Property</v>
      </c>
      <c r="U1941" s="8" t="str">
        <f ca="1">IFERROR(__xludf.DUMMYFUNCTION("""COMPUTED_VALUE"""),"Yes")</f>
        <v>Yes</v>
      </c>
      <c r="V1941" s="8" t="str">
        <f ca="1">IFERROR(__xludf.DUMMYFUNCTION("""COMPUTED_VALUE"""),"After School")</f>
        <v>After School</v>
      </c>
      <c r="W1941" s="11">
        <f ca="1">IFERROR(__xludf.DUMMYFUNCTION("""COMPUTED_VALUE"""),0.645833333333333)</f>
        <v>0.64583333333333304</v>
      </c>
      <c r="X1941" s="8"/>
      <c r="Y1941" s="12" t="str">
        <f ca="1">IFERROR(__xludf.DUMMYFUNCTION("""COMPUTED_VALUE"""),"Shots fired during fight between rival groups")</f>
        <v>Shots fired during fight between rival groups</v>
      </c>
      <c r="Z1941" s="12" t="str">
        <f ca="1">IFERROR(__xludf.DUMMYFUNCTION("""COMPUTED_VALUE"""),"An ongoing feud between rival parties escalated into a fight after the school day, and 1 student died, 1 was injured (the injured sought help at the school). An eyewitness reported that the fight happened either on school property or near a basketball cou"&amp;"rt at a public park adjacent to the school. It was an hour after school had ended for the day. Neither the victims, nor the suspects were students at the school, the victims were teenagers, the suspects were 1 teenager (the shooter) and 1 adult, both were"&amp;" later arrested. You tube videos with fights the year prior match some of the names involved. A female who knows the people involved reported that the feud has been going on for years.")</f>
        <v>An ongoing feud between rival parties escalated into a fight after the school day, and 1 student died, 1 was injured (the injured sought help at the school). An eyewitness reported that the fight happened either on school property or near a basketball court at a public park adjacent to the school. It was an hour after school had ended for the day. Neither the victims, nor the suspects were students at the school, the victims were teenagers, the suspects were 1 teenager (the shooter) and 1 adult, both were later arrested. You tube videos with fights the year prior match some of the names involved. A female who knows the people involved reported that the feud has been going on for years.</v>
      </c>
      <c r="AA1941" s="8" t="str">
        <f ca="1">IFERROR(__xludf.DUMMYFUNCTION("""COMPUTED_VALUE"""),"Escalation of Dispute")</f>
        <v>Escalation of Dispute</v>
      </c>
      <c r="AB1941" s="8"/>
      <c r="AC1941" s="8" t="str">
        <f ca="1">IFERROR(__xludf.DUMMYFUNCTION("""COMPUTED_VALUE"""),"Yes")</f>
        <v>Yes</v>
      </c>
      <c r="AD1941" s="8" t="str">
        <f ca="1">IFERROR(__xludf.DUMMYFUNCTION("""COMPUTED_VALUE"""),"Victims Targeted")</f>
        <v>Victims Targeted</v>
      </c>
      <c r="AE1941" s="8" t="str">
        <f ca="1">IFERROR(__xludf.DUMMYFUNCTION("""COMPUTED_VALUE"""),"Yes")</f>
        <v>Yes</v>
      </c>
      <c r="AF1941" s="8" t="str">
        <f ca="1">IFERROR(__xludf.DUMMYFUNCTION("""COMPUTED_VALUE"""),"an adult, later arrested")</f>
        <v>an adult, later arrested</v>
      </c>
      <c r="AG1941" s="8" t="str">
        <f ca="1">IFERROR(__xludf.DUMMYFUNCTION("""COMPUTED_VALUE"""),"No")</f>
        <v>No</v>
      </c>
      <c r="AH1941" s="8" t="str">
        <f ca="1">IFERROR(__xludf.DUMMYFUNCTION("""COMPUTED_VALUE"""),"No")</f>
        <v>No</v>
      </c>
      <c r="AI1941" s="8" t="str">
        <f ca="1">IFERROR(__xludf.DUMMYFUNCTION("""COMPUTED_VALUE"""),"No")</f>
        <v>No</v>
      </c>
      <c r="AJ1941" s="8" t="str">
        <f ca="1">IFERROR(__xludf.DUMMYFUNCTION("""COMPUTED_VALUE"""),"No")</f>
        <v>No</v>
      </c>
      <c r="AK1941" s="8" t="str">
        <f ca="1">IFERROR(__xludf.DUMMYFUNCTION("""COMPUTED_VALUE"""),"No")</f>
        <v>No</v>
      </c>
      <c r="AL1941" s="8" t="str">
        <f ca="1">IFERROR(__xludf.DUMMYFUNCTION("""COMPUTED_VALUE"""),"Yes")</f>
        <v>Yes</v>
      </c>
      <c r="AM1941" s="8"/>
      <c r="AN1941" s="8"/>
      <c r="AO1941" s="8" t="str">
        <f ca="1">IFERROR(__xludf.DUMMYFUNCTION("""COMPUTED_VALUE"""),"No")</f>
        <v>No</v>
      </c>
      <c r="AP1941" s="8"/>
      <c r="AQ1941" s="8" t="str">
        <f ca="1">IFERROR(__xludf.DUMMYFUNCTION("""COMPUTED_VALUE"""),"Unknown")</f>
        <v>Unknown</v>
      </c>
      <c r="AR1941" s="8" t="str">
        <f ca="1">IFERROR(__xludf.DUMMYFUNCTION("""COMPUTED_VALUE"""),"NA")</f>
        <v>NA</v>
      </c>
      <c r="AS1941" s="8"/>
      <c r="AT1941" s="8" t="str">
        <f ca="1">IFERROR(__xludf.DUMMYFUNCTION("""COMPUTED_VALUE"""),"Yes")</f>
        <v>Yes</v>
      </c>
      <c r="AU1941" s="8">
        <f ca="1">IFERROR(__xludf.DUMMYFUNCTION("""COMPUTED_VALUE"""),25.942269)</f>
        <v>25.942269</v>
      </c>
      <c r="AV1941" s="8">
        <f ca="1">IFERROR(__xludf.DUMMYFUNCTION("""COMPUTED_VALUE"""),-80.255624)</f>
        <v>-80.255623999999997</v>
      </c>
      <c r="AW1941" s="8"/>
      <c r="AX1941" s="8">
        <f ca="1">IFERROR(__xludf.DUMMYFUNCTION("""COMPUTED_VALUE"""),33015)</f>
        <v>33015</v>
      </c>
    </row>
    <row r="1942" spans="1:50" ht="150" x14ac:dyDescent="0.2">
      <c r="A1942" s="8" t="str">
        <f ca="1">IFERROR(__xludf.DUMMYFUNCTION("""COMPUTED_VALUE"""),"20141024WAMAM")</f>
        <v>20141024WAMAM</v>
      </c>
      <c r="B1942" s="8">
        <f ca="1">IFERROR(__xludf.DUMMYFUNCTION("""COMPUTED_VALUE"""),10)</f>
        <v>10</v>
      </c>
      <c r="C1942" s="8">
        <f ca="1">IFERROR(__xludf.DUMMYFUNCTION("""COMPUTED_VALUE"""),24)</f>
        <v>24</v>
      </c>
      <c r="D1942" s="8">
        <f ca="1">IFERROR(__xludf.DUMMYFUNCTION("""COMPUTED_VALUE"""),2014)</f>
        <v>2014</v>
      </c>
      <c r="E1942" s="9">
        <f ca="1">IFERROR(__xludf.DUMMYFUNCTION("""COMPUTED_VALUE"""),41936)</f>
        <v>41936</v>
      </c>
      <c r="F1942" s="8" t="str">
        <f ca="1">IFERROR(__xludf.DUMMYFUNCTION("""COMPUTED_VALUE"""),"Marysville Pilchuck High School")</f>
        <v>Marysville Pilchuck High School</v>
      </c>
      <c r="G1942" s="8">
        <f ca="1">IFERROR(__xludf.DUMMYFUNCTION("""COMPUTED_VALUE"""),4)</f>
        <v>4</v>
      </c>
      <c r="H1942" s="8">
        <f ca="1">IFERROR(__xludf.DUMMYFUNCTION("""COMPUTED_VALUE"""),3)</f>
        <v>3</v>
      </c>
      <c r="I1942" s="8">
        <f ca="1">IFERROR(__xludf.DUMMYFUNCTION("""COMPUTED_VALUE"""),7)</f>
        <v>7</v>
      </c>
      <c r="J1942" s="8">
        <f ca="1">IFERROR(__xludf.DUMMYFUNCTION("""COMPUTED_VALUE"""),1)</f>
        <v>1</v>
      </c>
      <c r="K1942" s="8" t="str">
        <f ca="1">IFERROR(__xludf.DUMMYFUNCTION("""COMPUTED_VALUE"""),"https://www.cnn.com/2014/10/26/us/washington-school-shooting/index.html
http://www.newsweek.com/2015/09/25/jaylen-ray-fryberg-marysville-pilchuck-high-school-shooting-372669.html https://www.fbi.gov/file-repository/active-shooter-incidents-2000-2017.pdf")</f>
        <v>https://www.cnn.com/2014/10/26/us/washington-school-shooting/index.html
http://www.newsweek.com/2015/09/25/jaylen-ray-fryberg-marysville-pilchuck-high-school-shooting-372669.html https://www.fbi.gov/file-repository/active-shooter-incidents-2000-2017.pdf</v>
      </c>
      <c r="L1942" s="8">
        <f ca="1">IFERROR(__xludf.DUMMYFUNCTION("""COMPUTED_VALUE"""),11)</f>
        <v>11</v>
      </c>
      <c r="M1942" s="8" t="str">
        <f ca="1">IFERROR(__xludf.DUMMYFUNCTION("""COMPUTED_VALUE"""),"National")</f>
        <v>National</v>
      </c>
      <c r="N1942" s="8">
        <f ca="1">IFERROR(__xludf.DUMMYFUNCTION("""COMPUTED_VALUE"""),5)</f>
        <v>5</v>
      </c>
      <c r="O1942" s="8" t="str">
        <f ca="1">IFERROR(__xludf.DUMMYFUNCTION("""COMPUTED_VALUE"""),"Fall")</f>
        <v>Fall</v>
      </c>
      <c r="P1942" s="8" t="str">
        <f ca="1">IFERROR(__xludf.DUMMYFUNCTION("""COMPUTED_VALUE"""),"Marysville")</f>
        <v>Marysville</v>
      </c>
      <c r="Q1942" s="8" t="str">
        <f ca="1">IFERROR(__xludf.DUMMYFUNCTION("""COMPUTED_VALUE"""),"WA")</f>
        <v>WA</v>
      </c>
      <c r="R1942" s="8" t="str">
        <f ca="1">IFERROR(__xludf.DUMMYFUNCTION("""COMPUTED_VALUE"""),"High")</f>
        <v>High</v>
      </c>
      <c r="S1942" s="8" t="str">
        <f ca="1">IFERROR(__xludf.DUMMYFUNCTION("""COMPUTED_VALUE"""),"Cafeteria")</f>
        <v>Cafeteria</v>
      </c>
      <c r="T1942" s="8" t="str">
        <f ca="1">IFERROR(__xludf.DUMMYFUNCTION("""COMPUTED_VALUE"""),"Inside School Building")</f>
        <v>Inside School Building</v>
      </c>
      <c r="U1942" s="8" t="str">
        <f ca="1">IFERROR(__xludf.DUMMYFUNCTION("""COMPUTED_VALUE"""),"Yes")</f>
        <v>Yes</v>
      </c>
      <c r="V1942" s="8" t="str">
        <f ca="1">IFERROR(__xludf.DUMMYFUNCTION("""COMPUTED_VALUE"""),"Lunch")</f>
        <v>Lunch</v>
      </c>
      <c r="W1942" s="11">
        <f ca="1">IFERROR(__xludf.DUMMYFUNCTION("""COMPUTED_VALUE"""),0.44375)</f>
        <v>0.44374999999999998</v>
      </c>
      <c r="X1942" s="8">
        <f ca="1">IFERROR(__xludf.DUMMYFUNCTION("""COMPUTED_VALUE"""),1)</f>
        <v>1</v>
      </c>
      <c r="Y1942" s="12" t="str">
        <f ca="1">IFERROR(__xludf.DUMMYFUNCTION("""COMPUTED_VALUE"""),"Shooting in cafeteria after break-up with girlfriend")</f>
        <v>Shooting in cafeteria after break-up with girlfriend</v>
      </c>
      <c r="Z1942" s="12" t="str">
        <f ca="1">IFERROR(__xludf.DUMMYFUNCTION("""COMPUTED_VALUE"""),"Bullied by other students for being Native American. Good student and very involved with tribe, played sports. Hunting was primary hobby, stole gun from father. Became upset following a breakup, posted online and messaged ex-girlfriend with warnings. Shoo"&amp;"ter sent suicide note to family members just before the shooting, and fired handgun at each of his friends seated at the cafeteria table during lunch then shot himself, wrote he needed ""his crew with him"". Allegedly, one of the female victims refused to"&amp;" date him.")</f>
        <v>Bullied by other students for being Native American. Good student and very involved with tribe, played sports. Hunting was primary hobby, stole gun from father. Became upset following a breakup, posted online and messaged ex-girlfriend with warnings. Shooter sent suicide note to family members just before the shooting, and fired handgun at each of his friends seated at the cafeteria table during lunch then shot himself, wrote he needed "his crew with him". Allegedly, one of the female victims refused to date him.</v>
      </c>
      <c r="AA1942" s="8" t="str">
        <f ca="1">IFERROR(__xludf.DUMMYFUNCTION("""COMPUTED_VALUE"""),"Indiscriminate Shooting")</f>
        <v>Indiscriminate Shooting</v>
      </c>
      <c r="AB1942" s="8"/>
      <c r="AC1942" s="8" t="str">
        <f ca="1">IFERROR(__xludf.DUMMYFUNCTION("""COMPUTED_VALUE"""),"Yes")</f>
        <v>Yes</v>
      </c>
      <c r="AD1942" s="8" t="str">
        <f ca="1">IFERROR(__xludf.DUMMYFUNCTION("""COMPUTED_VALUE"""),"Victims Targeted")</f>
        <v>Victims Targeted</v>
      </c>
      <c r="AE1942" s="8" t="str">
        <f ca="1">IFERROR(__xludf.DUMMYFUNCTION("""COMPUTED_VALUE"""),"No")</f>
        <v>No</v>
      </c>
      <c r="AF1942" s="8"/>
      <c r="AG1942" s="8" t="str">
        <f ca="1">IFERROR(__xludf.DUMMYFUNCTION("""COMPUTED_VALUE"""),"No")</f>
        <v>No</v>
      </c>
      <c r="AH1942" s="8" t="str">
        <f ca="1">IFERROR(__xludf.DUMMYFUNCTION("""COMPUTED_VALUE"""),"No")</f>
        <v>No</v>
      </c>
      <c r="AI1942" s="8" t="str">
        <f ca="1">IFERROR(__xludf.DUMMYFUNCTION("""COMPUTED_VALUE"""),"No")</f>
        <v>No</v>
      </c>
      <c r="AJ1942" s="8" t="str">
        <f ca="1">IFERROR(__xludf.DUMMYFUNCTION("""COMPUTED_VALUE"""),"Yes")</f>
        <v>Yes</v>
      </c>
      <c r="AK1942" s="8" t="str">
        <f ca="1">IFERROR(__xludf.DUMMYFUNCTION("""COMPUTED_VALUE"""),"Yes")</f>
        <v>Yes</v>
      </c>
      <c r="AL1942" s="8" t="str">
        <f ca="1">IFERROR(__xludf.DUMMYFUNCTION("""COMPUTED_VALUE"""),"No")</f>
        <v>No</v>
      </c>
      <c r="AM1942" s="8" t="str">
        <f ca="1">IFERROR(__xludf.DUMMYFUNCTION("""COMPUTED_VALUE"""),"Yes")</f>
        <v>Yes</v>
      </c>
      <c r="AN1942" s="8" t="str">
        <f ca="1">IFERROR(__xludf.DUMMYFUNCTION("""COMPUTED_VALUE"""),"Single Room")</f>
        <v>Single Room</v>
      </c>
      <c r="AO1942" s="8" t="str">
        <f ca="1">IFERROR(__xludf.DUMMYFUNCTION("""COMPUTED_VALUE"""),"Yes")</f>
        <v>Yes</v>
      </c>
      <c r="AP1942" s="8" t="str">
        <f ca="1">IFERROR(__xludf.DUMMYFUNCTION("""COMPUTED_VALUE"""),"Yes")</f>
        <v>Yes</v>
      </c>
      <c r="AQ1942" s="8" t="str">
        <f ca="1">IFERROR(__xludf.DUMMYFUNCTION("""COMPUTED_VALUE"""),"Unknown")</f>
        <v>Unknown</v>
      </c>
      <c r="AR1942" s="8" t="str">
        <f ca="1">IFERROR(__xludf.DUMMYFUNCTION("""COMPUTED_VALUE"""),"NA")</f>
        <v>NA</v>
      </c>
      <c r="AS1942" s="8"/>
      <c r="AT1942" s="8" t="str">
        <f ca="1">IFERROR(__xludf.DUMMYFUNCTION("""COMPUTED_VALUE"""),"Yes")</f>
        <v>Yes</v>
      </c>
      <c r="AU1942" s="8">
        <f ca="1">IFERROR(__xludf.DUMMYFUNCTION("""COMPUTED_VALUE"""),48.09582)</f>
        <v>48.095820000000003</v>
      </c>
      <c r="AV1942" s="8">
        <f ca="1">IFERROR(__xludf.DUMMYFUNCTION("""COMPUTED_VALUE"""),-122.154021)</f>
        <v>-122.154021</v>
      </c>
      <c r="AW1942" s="8"/>
      <c r="AX1942" s="8">
        <f ca="1">IFERROR(__xludf.DUMMYFUNCTION("""COMPUTED_VALUE"""),98271)</f>
        <v>98271</v>
      </c>
    </row>
    <row r="1943" spans="1:50" ht="75" x14ac:dyDescent="0.2">
      <c r="A1943" s="8" t="str">
        <f ca="1">IFERROR(__xludf.DUMMYFUNCTION("""COMPUTED_VALUE"""),"20141024GALAA")</f>
        <v>20141024GALAA</v>
      </c>
      <c r="B1943" s="8">
        <f ca="1">IFERROR(__xludf.DUMMYFUNCTION("""COMPUTED_VALUE"""),10)</f>
        <v>10</v>
      </c>
      <c r="C1943" s="8">
        <f ca="1">IFERROR(__xludf.DUMMYFUNCTION("""COMPUTED_VALUE"""),24)</f>
        <v>24</v>
      </c>
      <c r="D1943" s="8">
        <f ca="1">IFERROR(__xludf.DUMMYFUNCTION("""COMPUTED_VALUE"""),2014)</f>
        <v>2014</v>
      </c>
      <c r="E1943" s="9">
        <f ca="1">IFERROR(__xludf.DUMMYFUNCTION("""COMPUTED_VALUE"""),41936)</f>
        <v>41936</v>
      </c>
      <c r="F1943" s="8" t="str">
        <f ca="1">IFERROR(__xludf.DUMMYFUNCTION("""COMPUTED_VALUE"""),"Lakewood Stadium (Mays High School Game)")</f>
        <v>Lakewood Stadium (Mays High School Game)</v>
      </c>
      <c r="G1943" s="8">
        <f ca="1">IFERROR(__xludf.DUMMYFUNCTION("""COMPUTED_VALUE"""),0)</f>
        <v>0</v>
      </c>
      <c r="H1943" s="8">
        <f ca="1">IFERROR(__xludf.DUMMYFUNCTION("""COMPUTED_VALUE"""),1)</f>
        <v>1</v>
      </c>
      <c r="I1943" s="8">
        <f ca="1">IFERROR(__xludf.DUMMYFUNCTION("""COMPUTED_VALUE"""),1)</f>
        <v>1</v>
      </c>
      <c r="J1943" s="8">
        <f ca="1">IFERROR(__xludf.DUMMYFUNCTION("""COMPUTED_VALUE"""),0)</f>
        <v>0</v>
      </c>
      <c r="K1943" s="10" t="str">
        <f ca="1">IFERROR(__xludf.DUMMYFUNCTION("""COMPUTED_VALUE"""),"https://www.wsbtv.com/news/shots-fired-lakewood-stadium/137231817")</f>
        <v>https://www.wsbtv.com/news/shots-fired-lakewood-stadium/137231817</v>
      </c>
      <c r="L1943" s="8"/>
      <c r="M1943" s="8"/>
      <c r="N1943" s="8">
        <f ca="1">IFERROR(__xludf.DUMMYFUNCTION("""COMPUTED_VALUE"""),4)</f>
        <v>4</v>
      </c>
      <c r="O1943" s="8" t="str">
        <f ca="1">IFERROR(__xludf.DUMMYFUNCTION("""COMPUTED_VALUE"""),"Fall")</f>
        <v>Fall</v>
      </c>
      <c r="P1943" s="8" t="str">
        <f ca="1">IFERROR(__xludf.DUMMYFUNCTION("""COMPUTED_VALUE"""),"Atlanta")</f>
        <v>Atlanta</v>
      </c>
      <c r="Q1943" s="8" t="str">
        <f ca="1">IFERROR(__xludf.DUMMYFUNCTION("""COMPUTED_VALUE"""),"GA")</f>
        <v>GA</v>
      </c>
      <c r="R1943" s="8" t="str">
        <f ca="1">IFERROR(__xludf.DUMMYFUNCTION("""COMPUTED_VALUE"""),"High")</f>
        <v>High</v>
      </c>
      <c r="S1943" s="8" t="str">
        <f ca="1">IFERROR(__xludf.DUMMYFUNCTION("""COMPUTED_VALUE"""),"Parking Lot")</f>
        <v>Parking Lot</v>
      </c>
      <c r="T1943" s="8" t="str">
        <f ca="1">IFERROR(__xludf.DUMMYFUNCTION("""COMPUTED_VALUE"""),"Outside on School Property")</f>
        <v>Outside on School Property</v>
      </c>
      <c r="U1943" s="8" t="str">
        <f ca="1">IFERROR(__xludf.DUMMYFUNCTION("""COMPUTED_VALUE"""),"No")</f>
        <v>No</v>
      </c>
      <c r="V1943" s="8" t="str">
        <f ca="1">IFERROR(__xludf.DUMMYFUNCTION("""COMPUTED_VALUE"""),"Sport Event")</f>
        <v>Sport Event</v>
      </c>
      <c r="W1943" s="11">
        <f ca="1">IFERROR(__xludf.DUMMYFUNCTION("""COMPUTED_VALUE"""),0.958333333333333)</f>
        <v>0.95833333333333304</v>
      </c>
      <c r="X1943" s="8">
        <f ca="1">IFERROR(__xludf.DUMMYFUNCTION("""COMPUTED_VALUE"""),1)</f>
        <v>1</v>
      </c>
      <c r="Y1943" s="12" t="str">
        <f ca="1">IFERROR(__xludf.DUMMYFUNCTION("""COMPUTED_VALUE"""),"Shots fired in parking lot during football game")</f>
        <v>Shots fired in parking lot during football game</v>
      </c>
      <c r="Z1943" s="12" t="str">
        <f ca="1">IFERROR(__xludf.DUMMYFUNCTION("""COMPUTED_VALUE"""),"Shots fired in parking lot during high school football game. Police officers assigned to the game saw the shooting occur and one fired at the shooter (stuck in arm). Three other guns were recovered. Remainder of game and other games were cancelled.")</f>
        <v>Shots fired in parking lot during high school football game. Police officers assigned to the game saw the shooting occur and one fired at the shooter (stuck in arm). Three other guns were recovered. Remainder of game and other games were cancelled.</v>
      </c>
      <c r="AA1943" s="8" t="str">
        <f ca="1">IFERROR(__xludf.DUMMYFUNCTION("""COMPUTED_VALUE"""),"Escalation of Dispute")</f>
        <v>Escalation of Dispute</v>
      </c>
      <c r="AB1943" s="8"/>
      <c r="AC1943" s="8" t="str">
        <f ca="1">IFERROR(__xludf.DUMMYFUNCTION("""COMPUTED_VALUE"""),"Yes")</f>
        <v>Yes</v>
      </c>
      <c r="AD1943" s="8" t="str">
        <f ca="1">IFERROR(__xludf.DUMMYFUNCTION("""COMPUTED_VALUE"""),"Victims Targeted")</f>
        <v>Victims Targeted</v>
      </c>
      <c r="AE1943" s="8" t="str">
        <f ca="1">IFERROR(__xludf.DUMMYFUNCTION("""COMPUTED_VALUE"""),"Yes")</f>
        <v>Yes</v>
      </c>
      <c r="AF1943" s="8" t="str">
        <f ca="1">IFERROR(__xludf.DUMMYFUNCTION("""COMPUTED_VALUE"""),"3 guns recovered, looking for additional suspects")</f>
        <v>3 guns recovered, looking for additional suspects</v>
      </c>
      <c r="AG1943" s="8" t="str">
        <f ca="1">IFERROR(__xludf.DUMMYFUNCTION("""COMPUTED_VALUE"""),"No")</f>
        <v>No</v>
      </c>
      <c r="AH1943" s="8" t="str">
        <f ca="1">IFERROR(__xludf.DUMMYFUNCTION("""COMPUTED_VALUE"""),"No")</f>
        <v>No</v>
      </c>
      <c r="AI1943" s="8" t="str">
        <f ca="1">IFERROR(__xludf.DUMMYFUNCTION("""COMPUTED_VALUE"""),"No")</f>
        <v>No</v>
      </c>
      <c r="AJ1943" s="8" t="str">
        <f ca="1">IFERROR(__xludf.DUMMYFUNCTION("""COMPUTED_VALUE"""),"No")</f>
        <v>No</v>
      </c>
      <c r="AK1943" s="8" t="str">
        <f ca="1">IFERROR(__xludf.DUMMYFUNCTION("""COMPUTED_VALUE"""),"No")</f>
        <v>No</v>
      </c>
      <c r="AL1943" s="8"/>
      <c r="AM1943" s="8" t="str">
        <f ca="1">IFERROR(__xludf.DUMMYFUNCTION("""COMPUTED_VALUE"""),"No")</f>
        <v>No</v>
      </c>
      <c r="AN1943" s="8"/>
      <c r="AO1943" s="8" t="str">
        <f ca="1">IFERROR(__xludf.DUMMYFUNCTION("""COMPUTED_VALUE"""),"No")</f>
        <v>No</v>
      </c>
      <c r="AP1943" s="8" t="str">
        <f ca="1">IFERROR(__xludf.DUMMYFUNCTION("""COMPUTED_VALUE"""),"Yes")</f>
        <v>Yes</v>
      </c>
      <c r="AQ1943" s="8" t="str">
        <f ca="1">IFERROR(__xludf.DUMMYFUNCTION("""COMPUTED_VALUE"""),"Unknown")</f>
        <v>Unknown</v>
      </c>
      <c r="AR1943" s="8" t="str">
        <f ca="1">IFERROR(__xludf.DUMMYFUNCTION("""COMPUTED_VALUE"""),"NA")</f>
        <v>NA</v>
      </c>
      <c r="AS1943" s="8"/>
      <c r="AT1943" s="8"/>
      <c r="AU1943" s="8">
        <f ca="1">IFERROR(__xludf.DUMMYFUNCTION("""COMPUTED_VALUE"""),33.702617)</f>
        <v>33.702616999999996</v>
      </c>
      <c r="AV1943" s="8">
        <f ca="1">IFERROR(__xludf.DUMMYFUNCTION("""COMPUTED_VALUE"""),-84.387438)</f>
        <v>-84.387438000000003</v>
      </c>
      <c r="AW1943" s="8"/>
      <c r="AX1943" s="8">
        <f ca="1">IFERROR(__xludf.DUMMYFUNCTION("""COMPUTED_VALUE"""),30315)</f>
        <v>30315</v>
      </c>
    </row>
    <row r="1944" spans="1:50" ht="60" x14ac:dyDescent="0.2">
      <c r="A1944" s="8" t="str">
        <f ca="1">IFERROR(__xludf.DUMMYFUNCTION("""COMPUTED_VALUE"""),"20141021TNAMM")</f>
        <v>20141021TNAMM</v>
      </c>
      <c r="B1944" s="8">
        <f ca="1">IFERROR(__xludf.DUMMYFUNCTION("""COMPUTED_VALUE"""),10)</f>
        <v>10</v>
      </c>
      <c r="C1944" s="8">
        <f ca="1">IFERROR(__xludf.DUMMYFUNCTION("""COMPUTED_VALUE"""),21)</f>
        <v>21</v>
      </c>
      <c r="D1944" s="8">
        <f ca="1">IFERROR(__xludf.DUMMYFUNCTION("""COMPUTED_VALUE"""),2014)</f>
        <v>2014</v>
      </c>
      <c r="E1944" s="9">
        <f ca="1">IFERROR(__xludf.DUMMYFUNCTION("""COMPUTED_VALUE"""),41933)</f>
        <v>41933</v>
      </c>
      <c r="F1944" s="8" t="str">
        <f ca="1">IFERROR(__xludf.DUMMYFUNCTION("""COMPUTED_VALUE"""),"A Maceo Walker Middle School")</f>
        <v>A Maceo Walker Middle School</v>
      </c>
      <c r="G1944" s="8">
        <f ca="1">IFERROR(__xludf.DUMMYFUNCTION("""COMPUTED_VALUE"""),0)</f>
        <v>0</v>
      </c>
      <c r="H1944" s="8">
        <f ca="1">IFERROR(__xludf.DUMMYFUNCTION("""COMPUTED_VALUE"""),1)</f>
        <v>1</v>
      </c>
      <c r="I1944" s="8">
        <f ca="1">IFERROR(__xludf.DUMMYFUNCTION("""COMPUTED_VALUE"""),1)</f>
        <v>1</v>
      </c>
      <c r="J1944" s="8">
        <f ca="1">IFERROR(__xludf.DUMMYFUNCTION("""COMPUTED_VALUE"""),0)</f>
        <v>0</v>
      </c>
      <c r="K1944" s="10" t="str">
        <f ca="1">IFERROR(__xludf.DUMMYFUNCTION("""COMPUTED_VALUE"""),"http://archive.commercialappeal.com/news/crime/student-shoots-himself-in-leg-at-a-maceo-walker-middle-memphis-police-say-ep-692582895-324312081.html/")</f>
        <v>http://archive.commercialappeal.com/news/crime/student-shoots-himself-in-leg-at-a-maceo-walker-middle-memphis-police-say-ep-692582895-324312081.html/</v>
      </c>
      <c r="L1944" s="8">
        <f ca="1">IFERROR(__xludf.DUMMYFUNCTION("""COMPUTED_VALUE"""),1)</f>
        <v>1</v>
      </c>
      <c r="M1944" s="8" t="str">
        <f ca="1">IFERROR(__xludf.DUMMYFUNCTION("""COMPUTED_VALUE"""),"Local")</f>
        <v>Local</v>
      </c>
      <c r="N1944" s="8">
        <f ca="1">IFERROR(__xludf.DUMMYFUNCTION("""COMPUTED_VALUE"""),2)</f>
        <v>2</v>
      </c>
      <c r="O1944" s="8" t="str">
        <f ca="1">IFERROR(__xludf.DUMMYFUNCTION("""COMPUTED_VALUE"""),"Fall")</f>
        <v>Fall</v>
      </c>
      <c r="P1944" s="8" t="str">
        <f ca="1">IFERROR(__xludf.DUMMYFUNCTION("""COMPUTED_VALUE"""),"Memphis")</f>
        <v>Memphis</v>
      </c>
      <c r="Q1944" s="8" t="str">
        <f ca="1">IFERROR(__xludf.DUMMYFUNCTION("""COMPUTED_VALUE"""),"TN")</f>
        <v>TN</v>
      </c>
      <c r="R1944" s="8" t="str">
        <f ca="1">IFERROR(__xludf.DUMMYFUNCTION("""COMPUTED_VALUE"""),"Middle")</f>
        <v>Middle</v>
      </c>
      <c r="S1944" s="8" t="str">
        <f ca="1">IFERROR(__xludf.DUMMYFUNCTION("""COMPUTED_VALUE"""),"Hallway")</f>
        <v>Hallway</v>
      </c>
      <c r="T1944" s="8" t="str">
        <f ca="1">IFERROR(__xludf.DUMMYFUNCTION("""COMPUTED_VALUE"""),"Inside School Building")</f>
        <v>Inside School Building</v>
      </c>
      <c r="U1944" s="8" t="str">
        <f ca="1">IFERROR(__xludf.DUMMYFUNCTION("""COMPUTED_VALUE"""),"Yes")</f>
        <v>Yes</v>
      </c>
      <c r="V1944" s="8" t="str">
        <f ca="1">IFERROR(__xludf.DUMMYFUNCTION("""COMPUTED_VALUE"""),"Morning Classes")</f>
        <v>Morning Classes</v>
      </c>
      <c r="W1944" s="11">
        <f ca="1">IFERROR(__xludf.DUMMYFUNCTION("""COMPUTED_VALUE"""),0.322916666666666)</f>
        <v>0.32291666666666602</v>
      </c>
      <c r="X1944" s="8">
        <f ca="1">IFERROR(__xludf.DUMMYFUNCTION("""COMPUTED_VALUE"""),1)</f>
        <v>1</v>
      </c>
      <c r="Y1944" s="12" t="str">
        <f ca="1">IFERROR(__xludf.DUMMYFUNCTION("""COMPUTED_VALUE"""),"Accidental discharge of gun in bag in classroom")</f>
        <v>Accidental discharge of gun in bag in classroom</v>
      </c>
      <c r="Z1944" s="12" t="str">
        <f ca="1">IFERROR(__xludf.DUMMYFUNCTION("""COMPUTED_VALUE"""),"13 year old male brought gun to school - during class break he stopped to show it to his classmates when he dropped his bag and the gun fired striking the boy in his leg - boy was taken to hospital, treated and released.")</f>
        <v>13 year old male brought gun to school - during class break he stopped to show it to his classmates when he dropped his bag and the gun fired striking the boy in his leg - boy was taken to hospital, treated and released.</v>
      </c>
      <c r="AA1944" s="8" t="str">
        <f ca="1">IFERROR(__xludf.DUMMYFUNCTION("""COMPUTED_VALUE"""),"Accidental")</f>
        <v>Accidental</v>
      </c>
      <c r="AB1944" s="8"/>
      <c r="AC1944" s="8" t="str">
        <f ca="1">IFERROR(__xludf.DUMMYFUNCTION("""COMPUTED_VALUE"""),"Yes")</f>
        <v>Yes</v>
      </c>
      <c r="AD1944" s="8" t="str">
        <f ca="1">IFERROR(__xludf.DUMMYFUNCTION("""COMPUTED_VALUE"""),"Random Shooting")</f>
        <v>Random Shooting</v>
      </c>
      <c r="AE1944" s="8" t="str">
        <f ca="1">IFERROR(__xludf.DUMMYFUNCTION("""COMPUTED_VALUE"""),"No")</f>
        <v>No</v>
      </c>
      <c r="AF1944" s="8"/>
      <c r="AG1944" s="8" t="str">
        <f ca="1">IFERROR(__xludf.DUMMYFUNCTION("""COMPUTED_VALUE"""),"No")</f>
        <v>No</v>
      </c>
      <c r="AH1944" s="8" t="str">
        <f ca="1">IFERROR(__xludf.DUMMYFUNCTION("""COMPUTED_VALUE"""),"No")</f>
        <v>No</v>
      </c>
      <c r="AI1944" s="8" t="str">
        <f ca="1">IFERROR(__xludf.DUMMYFUNCTION("""COMPUTED_VALUE"""),"No")</f>
        <v>No</v>
      </c>
      <c r="AJ1944" s="8" t="str">
        <f ca="1">IFERROR(__xludf.DUMMYFUNCTION("""COMPUTED_VALUE"""),"No")</f>
        <v>No</v>
      </c>
      <c r="AK1944" s="8" t="str">
        <f ca="1">IFERROR(__xludf.DUMMYFUNCTION("""COMPUTED_VALUE"""),"No")</f>
        <v>No</v>
      </c>
      <c r="AL1944" s="8" t="str">
        <f ca="1">IFERROR(__xludf.DUMMYFUNCTION("""COMPUTED_VALUE"""),"No")</f>
        <v>No</v>
      </c>
      <c r="AM1944" s="8"/>
      <c r="AN1944" s="8"/>
      <c r="AO1944" s="8" t="str">
        <f ca="1">IFERROR(__xludf.DUMMYFUNCTION("""COMPUTED_VALUE"""),"No")</f>
        <v>No</v>
      </c>
      <c r="AP1944" s="8" t="str">
        <f ca="1">IFERROR(__xludf.DUMMYFUNCTION("""COMPUTED_VALUE"""),"No")</f>
        <v>No</v>
      </c>
      <c r="AQ1944" s="8" t="str">
        <f ca="1">IFERROR(__xludf.DUMMYFUNCTION("""COMPUTED_VALUE"""),"Metal Detectors Bypassed")</f>
        <v>Metal Detectors Bypassed</v>
      </c>
      <c r="AR1944" s="8" t="str">
        <f ca="1">IFERROR(__xludf.DUMMYFUNCTION("""COMPUTED_VALUE"""),"Bypassed")</f>
        <v>Bypassed</v>
      </c>
      <c r="AS1944" s="8">
        <f ca="1">IFERROR(__xludf.DUMMYFUNCTION("""COMPUTED_VALUE"""),1)</f>
        <v>1</v>
      </c>
      <c r="AT1944" s="8" t="str">
        <f ca="1">IFERROR(__xludf.DUMMYFUNCTION("""COMPUTED_VALUE"""),"No")</f>
        <v>No</v>
      </c>
      <c r="AU1944" s="8">
        <f ca="1">IFERROR(__xludf.DUMMYFUNCTION("""COMPUTED_VALUE"""),35.037013)</f>
        <v>35.037013000000002</v>
      </c>
      <c r="AV1944" s="8">
        <f ca="1">IFERROR(__xludf.DUMMYFUNCTION("""COMPUTED_VALUE"""),-90.000387)</f>
        <v>-90.000387000000003</v>
      </c>
      <c r="AW1944" s="8"/>
      <c r="AX1944" s="8">
        <f ca="1">IFERROR(__xludf.DUMMYFUNCTION("""COMPUTED_VALUE"""),38116)</f>
        <v>38116</v>
      </c>
    </row>
    <row r="1945" spans="1:50" ht="60" x14ac:dyDescent="0.2">
      <c r="A1945" s="8" t="str">
        <f ca="1">IFERROR(__xludf.DUMMYFUNCTION("""COMPUTED_VALUE"""),"20141003GALAF")</f>
        <v>20141003GALAF</v>
      </c>
      <c r="B1945" s="8">
        <f ca="1">IFERROR(__xludf.DUMMYFUNCTION("""COMPUTED_VALUE"""),10)</f>
        <v>10</v>
      </c>
      <c r="C1945" s="8">
        <f ca="1">IFERROR(__xludf.DUMMYFUNCTION("""COMPUTED_VALUE"""),3)</f>
        <v>3</v>
      </c>
      <c r="D1945" s="8">
        <f ca="1">IFERROR(__xludf.DUMMYFUNCTION("""COMPUTED_VALUE"""),2014)</f>
        <v>2014</v>
      </c>
      <c r="E1945" s="9">
        <f ca="1">IFERROR(__xludf.DUMMYFUNCTION("""COMPUTED_VALUE"""),41915)</f>
        <v>41915</v>
      </c>
      <c r="F1945" s="8" t="str">
        <f ca="1">IFERROR(__xludf.DUMMYFUNCTION("""COMPUTED_VALUE"""),"Langston Hughes High School")</f>
        <v>Langston Hughes High School</v>
      </c>
      <c r="G1945" s="8">
        <f ca="1">IFERROR(__xludf.DUMMYFUNCTION("""COMPUTED_VALUE"""),1)</f>
        <v>1</v>
      </c>
      <c r="H1945" s="8">
        <f ca="1">IFERROR(__xludf.DUMMYFUNCTION("""COMPUTED_VALUE"""),0)</f>
        <v>0</v>
      </c>
      <c r="I1945" s="8">
        <f ca="1">IFERROR(__xludf.DUMMYFUNCTION("""COMPUTED_VALUE"""),1)</f>
        <v>1</v>
      </c>
      <c r="J1945" s="8">
        <f ca="1">IFERROR(__xludf.DUMMYFUNCTION("""COMPUTED_VALUE"""),0)</f>
        <v>0</v>
      </c>
      <c r="K1945" s="10" t="str">
        <f ca="1">IFERROR(__xludf.DUMMYFUNCTION("""COMPUTED_VALUE"""),"https://www.wsbtv.com/news/17-year-old-shot-killed-after-high-school-football/137193168")</f>
        <v>https://www.wsbtv.com/news/17-year-old-shot-killed-after-high-school-football/137193168</v>
      </c>
      <c r="L1945" s="8">
        <f ca="1">IFERROR(__xludf.DUMMYFUNCTION("""COMPUTED_VALUE"""),5)</f>
        <v>5</v>
      </c>
      <c r="M1945" s="8" t="str">
        <f ca="1">IFERROR(__xludf.DUMMYFUNCTION("""COMPUTED_VALUE"""),"Local")</f>
        <v>Local</v>
      </c>
      <c r="N1945" s="8">
        <f ca="1">IFERROR(__xludf.DUMMYFUNCTION("""COMPUTED_VALUE"""),2)</f>
        <v>2</v>
      </c>
      <c r="O1945" s="8" t="str">
        <f ca="1">IFERROR(__xludf.DUMMYFUNCTION("""COMPUTED_VALUE"""),"Fall")</f>
        <v>Fall</v>
      </c>
      <c r="P1945" s="8" t="str">
        <f ca="1">IFERROR(__xludf.DUMMYFUNCTION("""COMPUTED_VALUE"""),"Fairburn")</f>
        <v>Fairburn</v>
      </c>
      <c r="Q1945" s="8" t="str">
        <f ca="1">IFERROR(__xludf.DUMMYFUNCTION("""COMPUTED_VALUE"""),"GA")</f>
        <v>GA</v>
      </c>
      <c r="R1945" s="8" t="str">
        <f ca="1">IFERROR(__xludf.DUMMYFUNCTION("""COMPUTED_VALUE"""),"High")</f>
        <v>High</v>
      </c>
      <c r="S1945" s="8" t="str">
        <f ca="1">IFERROR(__xludf.DUMMYFUNCTION("""COMPUTED_VALUE"""),"Football Field/Track")</f>
        <v>Football Field/Track</v>
      </c>
      <c r="T1945" s="8" t="str">
        <f ca="1">IFERROR(__xludf.DUMMYFUNCTION("""COMPUTED_VALUE"""),"Outside on School Property")</f>
        <v>Outside on School Property</v>
      </c>
      <c r="U1945" s="8" t="str">
        <f ca="1">IFERROR(__xludf.DUMMYFUNCTION("""COMPUTED_VALUE"""),"No")</f>
        <v>No</v>
      </c>
      <c r="V1945" s="8" t="str">
        <f ca="1">IFERROR(__xludf.DUMMYFUNCTION("""COMPUTED_VALUE"""),"Sport Event")</f>
        <v>Sport Event</v>
      </c>
      <c r="W1945" s="11">
        <f ca="1">IFERROR(__xludf.DUMMYFUNCTION("""COMPUTED_VALUE"""),0.916666666666666)</f>
        <v>0.91666666666666596</v>
      </c>
      <c r="X1945" s="8">
        <f ca="1">IFERROR(__xludf.DUMMYFUNCTION("""COMPUTED_VALUE"""),1)</f>
        <v>1</v>
      </c>
      <c r="Y1945" s="12" t="str">
        <f ca="1">IFERROR(__xludf.DUMMYFUNCTION("""COMPUTED_VALUE"""),"Altercation following football game; gang affiliation suspected but not confirmed")</f>
        <v>Altercation following football game; gang affiliation suspected but not confirmed</v>
      </c>
      <c r="Z1945" s="12" t="str">
        <f ca="1">IFERROR(__xludf.DUMMYFUNCTION("""COMPUTED_VALUE"""),"Fight between students following a football game escalated into shooting.")</f>
        <v>Fight between students following a football game escalated into shooting.</v>
      </c>
      <c r="AA1945" s="8" t="str">
        <f ca="1">IFERROR(__xludf.DUMMYFUNCTION("""COMPUTED_VALUE"""),"Escalation of Dispute")</f>
        <v>Escalation of Dispute</v>
      </c>
      <c r="AB1945" s="8"/>
      <c r="AC1945" s="8" t="str">
        <f ca="1">IFERROR(__xludf.DUMMYFUNCTION("""COMPUTED_VALUE"""),"Yes")</f>
        <v>Yes</v>
      </c>
      <c r="AD1945" s="8" t="str">
        <f ca="1">IFERROR(__xludf.DUMMYFUNCTION("""COMPUTED_VALUE"""),"Victims Targeted")</f>
        <v>Victims Targeted</v>
      </c>
      <c r="AE1945" s="8" t="str">
        <f ca="1">IFERROR(__xludf.DUMMYFUNCTION("""COMPUTED_VALUE"""),"Yes")</f>
        <v>Yes</v>
      </c>
      <c r="AF1945" s="8" t="str">
        <f ca="1">IFERROR(__xludf.DUMMYFUNCTION("""COMPUTED_VALUE"""),"Antione “Twon” Stephion Battle, 19")</f>
        <v>Antione “Twon” Stephion Battle, 19</v>
      </c>
      <c r="AG1945" s="8" t="str">
        <f ca="1">IFERROR(__xludf.DUMMYFUNCTION("""COMPUTED_VALUE"""),"No")</f>
        <v>No</v>
      </c>
      <c r="AH1945" s="8" t="str">
        <f ca="1">IFERROR(__xludf.DUMMYFUNCTION("""COMPUTED_VALUE"""),"No")</f>
        <v>No</v>
      </c>
      <c r="AI1945" s="8" t="str">
        <f ca="1">IFERROR(__xludf.DUMMYFUNCTION("""COMPUTED_VALUE"""),"No")</f>
        <v>No</v>
      </c>
      <c r="AJ1945" s="8" t="str">
        <f ca="1">IFERROR(__xludf.DUMMYFUNCTION("""COMPUTED_VALUE"""),"No")</f>
        <v>No</v>
      </c>
      <c r="AK1945" s="8" t="str">
        <f ca="1">IFERROR(__xludf.DUMMYFUNCTION("""COMPUTED_VALUE"""),"No")</f>
        <v>No</v>
      </c>
      <c r="AL1945" s="8" t="str">
        <f ca="1">IFERROR(__xludf.DUMMYFUNCTION("""COMPUTED_VALUE"""),"Yes")</f>
        <v>Yes</v>
      </c>
      <c r="AM1945" s="8"/>
      <c r="AN1945" s="8"/>
      <c r="AO1945" s="8" t="str">
        <f ca="1">IFERROR(__xludf.DUMMYFUNCTION("""COMPUTED_VALUE"""),"No")</f>
        <v>No</v>
      </c>
      <c r="AP1945" s="8"/>
      <c r="AQ1945" s="8" t="str">
        <f ca="1">IFERROR(__xludf.DUMMYFUNCTION("""COMPUTED_VALUE"""),"Unknown")</f>
        <v>Unknown</v>
      </c>
      <c r="AR1945" s="8" t="str">
        <f ca="1">IFERROR(__xludf.DUMMYFUNCTION("""COMPUTED_VALUE"""),"NA")</f>
        <v>NA</v>
      </c>
      <c r="AS1945" s="8"/>
      <c r="AT1945" s="8"/>
      <c r="AU1945" s="8">
        <f ca="1">IFERROR(__xludf.DUMMYFUNCTION("""COMPUTED_VALUE"""),33.5670562)</f>
        <v>33.567056200000003</v>
      </c>
      <c r="AV1945" s="8">
        <f ca="1">IFERROR(__xludf.DUMMYFUNCTION("""COMPUTED_VALUE"""),-84.5810418)</f>
        <v>-84.581041799999994</v>
      </c>
      <c r="AW1945" s="8"/>
      <c r="AX1945" s="8">
        <f ca="1">IFERROR(__xludf.DUMMYFUNCTION("""COMPUTED_VALUE"""),30213)</f>
        <v>30213</v>
      </c>
    </row>
    <row r="1946" spans="1:50" ht="60" x14ac:dyDescent="0.2">
      <c r="A1946" s="8" t="str">
        <f ca="1">IFERROR(__xludf.DUMMYFUNCTION("""COMPUTED_VALUE"""),"20140930NCALA")</f>
        <v>20140930NCALA</v>
      </c>
      <c r="B1946" s="8">
        <f ca="1">IFERROR(__xludf.DUMMYFUNCTION("""COMPUTED_VALUE"""),9)</f>
        <v>9</v>
      </c>
      <c r="C1946" s="8">
        <f ca="1">IFERROR(__xludf.DUMMYFUNCTION("""COMPUTED_VALUE"""),30)</f>
        <v>30</v>
      </c>
      <c r="D1946" s="8">
        <f ca="1">IFERROR(__xludf.DUMMYFUNCTION("""COMPUTED_VALUE"""),2014)</f>
        <v>2014</v>
      </c>
      <c r="E1946" s="9">
        <f ca="1">IFERROR(__xludf.DUMMYFUNCTION("""COMPUTED_VALUE"""),41912)</f>
        <v>41912</v>
      </c>
      <c r="F1946" s="8" t="str">
        <f ca="1">IFERROR(__xludf.DUMMYFUNCTION("""COMPUTED_VALUE"""),"Albemarle High School")</f>
        <v>Albemarle High School</v>
      </c>
      <c r="G1946" s="8">
        <f ca="1">IFERROR(__xludf.DUMMYFUNCTION("""COMPUTED_VALUE"""),0)</f>
        <v>0</v>
      </c>
      <c r="H1946" s="8">
        <f ca="1">IFERROR(__xludf.DUMMYFUNCTION("""COMPUTED_VALUE"""),1)</f>
        <v>1</v>
      </c>
      <c r="I1946" s="8">
        <f ca="1">IFERROR(__xludf.DUMMYFUNCTION("""COMPUTED_VALUE"""),1)</f>
        <v>1</v>
      </c>
      <c r="J1946" s="8">
        <f ca="1">IFERROR(__xludf.DUMMYFUNCTION("""COMPUTED_VALUE"""),0)</f>
        <v>0</v>
      </c>
      <c r="K1946" s="10" t="str">
        <f ca="1">IFERROR(__xludf.DUMMYFUNCTION("""COMPUTED_VALUE"""),"https://www.usatoday.com/story/news/2014/09/30/police-1-shot-at-albemarle-high-school-1-in-custody/16469203/")</f>
        <v>https://www.usatoday.com/story/news/2014/09/30/police-1-shot-at-albemarle-high-school-1-in-custody/16469203/</v>
      </c>
      <c r="L1946" s="8">
        <f ca="1">IFERROR(__xludf.DUMMYFUNCTION("""COMPUTED_VALUE"""),5)</f>
        <v>5</v>
      </c>
      <c r="M1946" s="8" t="str">
        <f ca="1">IFERROR(__xludf.DUMMYFUNCTION("""COMPUTED_VALUE"""),"Local")</f>
        <v>Local</v>
      </c>
      <c r="N1946" s="8">
        <f ca="1">IFERROR(__xludf.DUMMYFUNCTION("""COMPUTED_VALUE"""),2)</f>
        <v>2</v>
      </c>
      <c r="O1946" s="8" t="str">
        <f ca="1">IFERROR(__xludf.DUMMYFUNCTION("""COMPUTED_VALUE"""),"Fall")</f>
        <v>Fall</v>
      </c>
      <c r="P1946" s="8" t="str">
        <f ca="1">IFERROR(__xludf.DUMMYFUNCTION("""COMPUTED_VALUE"""),"Albemarle")</f>
        <v>Albemarle</v>
      </c>
      <c r="Q1946" s="8" t="str">
        <f ca="1">IFERROR(__xludf.DUMMYFUNCTION("""COMPUTED_VALUE"""),"NC")</f>
        <v>NC</v>
      </c>
      <c r="R1946" s="8" t="str">
        <f ca="1">IFERROR(__xludf.DUMMYFUNCTION("""COMPUTED_VALUE"""),"High")</f>
        <v>High</v>
      </c>
      <c r="S1946" s="8" t="str">
        <f ca="1">IFERROR(__xludf.DUMMYFUNCTION("""COMPUTED_VALUE"""),"Courtyard")</f>
        <v>Courtyard</v>
      </c>
      <c r="T1946" s="8" t="str">
        <f ca="1">IFERROR(__xludf.DUMMYFUNCTION("""COMPUTED_VALUE"""),"Outside on School Property")</f>
        <v>Outside on School Property</v>
      </c>
      <c r="U1946" s="8" t="str">
        <f ca="1">IFERROR(__xludf.DUMMYFUNCTION("""COMPUTED_VALUE"""),"Yes")</f>
        <v>Yes</v>
      </c>
      <c r="V1946" s="8" t="str">
        <f ca="1">IFERROR(__xludf.DUMMYFUNCTION("""COMPUTED_VALUE"""),"Before School")</f>
        <v>Before School</v>
      </c>
      <c r="W1946" s="11">
        <f ca="1">IFERROR(__xludf.DUMMYFUNCTION("""COMPUTED_VALUE"""),0.319444444444444)</f>
        <v>0.31944444444444398</v>
      </c>
      <c r="X1946" s="8"/>
      <c r="Y1946" s="12" t="str">
        <f ca="1">IFERROR(__xludf.DUMMYFUNCTION("""COMPUTED_VALUE"""),"Shooting during fight in school parking lot")</f>
        <v>Shooting during fight in school parking lot</v>
      </c>
      <c r="Z1946" s="12" t="str">
        <f ca="1">IFERROR(__xludf.DUMMYFUNCTION("""COMPUTED_VALUE"""),"Ongoing fight between two students lasted for at least few days and escalated into shooting in the courtyard before classes started. One of the students was shot in the leg, the shooter surrendered and dropped the gun.")</f>
        <v>Ongoing fight between two students lasted for at least few days and escalated into shooting in the courtyard before classes started. One of the students was shot in the leg, the shooter surrendered and dropped the gun.</v>
      </c>
      <c r="AA1946" s="8" t="str">
        <f ca="1">IFERROR(__xludf.DUMMYFUNCTION("""COMPUTED_VALUE"""),"Escalation of Dispute")</f>
        <v>Escalation of Dispute</v>
      </c>
      <c r="AB1946" s="8"/>
      <c r="AC1946" s="8" t="str">
        <f ca="1">IFERROR(__xludf.DUMMYFUNCTION("""COMPUTED_VALUE"""),"Yes")</f>
        <v>Yes</v>
      </c>
      <c r="AD1946" s="8" t="str">
        <f ca="1">IFERROR(__xludf.DUMMYFUNCTION("""COMPUTED_VALUE"""),"Victims Targeted")</f>
        <v>Victims Targeted</v>
      </c>
      <c r="AE1946" s="8" t="str">
        <f ca="1">IFERROR(__xludf.DUMMYFUNCTION("""COMPUTED_VALUE"""),"No")</f>
        <v>No</v>
      </c>
      <c r="AF1946" s="8"/>
      <c r="AG1946" s="8" t="str">
        <f ca="1">IFERROR(__xludf.DUMMYFUNCTION("""COMPUTED_VALUE"""),"No")</f>
        <v>No</v>
      </c>
      <c r="AH1946" s="8" t="str">
        <f ca="1">IFERROR(__xludf.DUMMYFUNCTION("""COMPUTED_VALUE"""),"No")</f>
        <v>No</v>
      </c>
      <c r="AI1946" s="8" t="str">
        <f ca="1">IFERROR(__xludf.DUMMYFUNCTION("""COMPUTED_VALUE"""),"No")</f>
        <v>No</v>
      </c>
      <c r="AJ1946" s="8" t="str">
        <f ca="1">IFERROR(__xludf.DUMMYFUNCTION("""COMPUTED_VALUE"""),"No")</f>
        <v>No</v>
      </c>
      <c r="AK1946" s="8" t="str">
        <f ca="1">IFERROR(__xludf.DUMMYFUNCTION("""COMPUTED_VALUE"""),"No")</f>
        <v>No</v>
      </c>
      <c r="AL1946" s="8" t="str">
        <f ca="1">IFERROR(__xludf.DUMMYFUNCTION("""COMPUTED_VALUE"""),"No")</f>
        <v>No</v>
      </c>
      <c r="AM1946" s="8"/>
      <c r="AN1946" s="8"/>
      <c r="AO1946" s="8" t="str">
        <f ca="1">IFERROR(__xludf.DUMMYFUNCTION("""COMPUTED_VALUE"""),"No")</f>
        <v>No</v>
      </c>
      <c r="AP1946" s="8" t="str">
        <f ca="1">IFERROR(__xludf.DUMMYFUNCTION("""COMPUTED_VALUE"""),"Yes")</f>
        <v>Yes</v>
      </c>
      <c r="AQ1946" s="8" t="str">
        <f ca="1">IFERROR(__xludf.DUMMYFUNCTION("""COMPUTED_VALUE"""),"Unknown")</f>
        <v>Unknown</v>
      </c>
      <c r="AR1946" s="8" t="str">
        <f ca="1">IFERROR(__xludf.DUMMYFUNCTION("""COMPUTED_VALUE"""),"NA")</f>
        <v>NA</v>
      </c>
      <c r="AS1946" s="8">
        <f ca="1">IFERROR(__xludf.DUMMYFUNCTION("""COMPUTED_VALUE"""),2)</f>
        <v>2</v>
      </c>
      <c r="AT1946" s="8" t="str">
        <f ca="1">IFERROR(__xludf.DUMMYFUNCTION("""COMPUTED_VALUE"""),"Yes")</f>
        <v>Yes</v>
      </c>
      <c r="AU1946" s="8">
        <f ca="1">IFERROR(__xludf.DUMMYFUNCTION("""COMPUTED_VALUE"""),35.371268)</f>
        <v>35.371268000000001</v>
      </c>
      <c r="AV1946" s="8">
        <f ca="1">IFERROR(__xludf.DUMMYFUNCTION("""COMPUTED_VALUE"""),-80.193152)</f>
        <v>-80.193151999999998</v>
      </c>
      <c r="AW1946" s="8"/>
      <c r="AX1946" s="8">
        <f ca="1">IFERROR(__xludf.DUMMYFUNCTION("""COMPUTED_VALUE"""),28001)</f>
        <v>28001</v>
      </c>
    </row>
    <row r="1947" spans="1:50" ht="120" x14ac:dyDescent="0.2">
      <c r="A1947" s="8" t="str">
        <f ca="1">IFERROR(__xludf.DUMMYFUNCTION("""COMPUTED_VALUE"""),"20140930KYFEL")</f>
        <v>20140930KYFEL</v>
      </c>
      <c r="B1947" s="8">
        <f ca="1">IFERROR(__xludf.DUMMYFUNCTION("""COMPUTED_VALUE"""),9)</f>
        <v>9</v>
      </c>
      <c r="C1947" s="8">
        <f ca="1">IFERROR(__xludf.DUMMYFUNCTION("""COMPUTED_VALUE"""),30)</f>
        <v>30</v>
      </c>
      <c r="D1947" s="8">
        <f ca="1">IFERROR(__xludf.DUMMYFUNCTION("""COMPUTED_VALUE"""),2014)</f>
        <v>2014</v>
      </c>
      <c r="E1947" s="9">
        <f ca="1">IFERROR(__xludf.DUMMYFUNCTION("""COMPUTED_VALUE"""),41912)</f>
        <v>41912</v>
      </c>
      <c r="F1947" s="8" t="str">
        <f ca="1">IFERROR(__xludf.DUMMYFUNCTION("""COMPUTED_VALUE"""),"Fern Creek Traditional High School")</f>
        <v>Fern Creek Traditional High School</v>
      </c>
      <c r="G1947" s="8">
        <f ca="1">IFERROR(__xludf.DUMMYFUNCTION("""COMPUTED_VALUE"""),0)</f>
        <v>0</v>
      </c>
      <c r="H1947" s="8">
        <f ca="1">IFERROR(__xludf.DUMMYFUNCTION("""COMPUTED_VALUE"""),1)</f>
        <v>1</v>
      </c>
      <c r="I1947" s="8">
        <f ca="1">IFERROR(__xludf.DUMMYFUNCTION("""COMPUTED_VALUE"""),1)</f>
        <v>1</v>
      </c>
      <c r="J1947" s="8">
        <f ca="1">IFERROR(__xludf.DUMMYFUNCTION("""COMPUTED_VALUE"""),0)</f>
        <v>0</v>
      </c>
      <c r="K1947" s="10" t="str">
        <f ca="1">IFERROR(__xludf.DUMMYFUNCTION("""COMPUTED_VALUE"""),"http://www.wdrb.com/story/31888475/teen-sentenced-for-shooting-fern-creek-high-school-student-in-2014")</f>
        <v>http://www.wdrb.com/story/31888475/teen-sentenced-for-shooting-fern-creek-high-school-student-in-2014</v>
      </c>
      <c r="L1947" s="8">
        <f ca="1">IFERROR(__xludf.DUMMYFUNCTION("""COMPUTED_VALUE"""),5)</f>
        <v>5</v>
      </c>
      <c r="M1947" s="8" t="str">
        <f ca="1">IFERROR(__xludf.DUMMYFUNCTION("""COMPUTED_VALUE"""),"Local")</f>
        <v>Local</v>
      </c>
      <c r="N1947" s="8">
        <f ca="1">IFERROR(__xludf.DUMMYFUNCTION("""COMPUTED_VALUE"""),2)</f>
        <v>2</v>
      </c>
      <c r="O1947" s="8" t="str">
        <f ca="1">IFERROR(__xludf.DUMMYFUNCTION("""COMPUTED_VALUE"""),"Fall")</f>
        <v>Fall</v>
      </c>
      <c r="P1947" s="8" t="str">
        <f ca="1">IFERROR(__xludf.DUMMYFUNCTION("""COMPUTED_VALUE"""),"Louisville")</f>
        <v>Louisville</v>
      </c>
      <c r="Q1947" s="8" t="str">
        <f ca="1">IFERROR(__xludf.DUMMYFUNCTION("""COMPUTED_VALUE"""),"KY")</f>
        <v>KY</v>
      </c>
      <c r="R1947" s="8" t="str">
        <f ca="1">IFERROR(__xludf.DUMMYFUNCTION("""COMPUTED_VALUE"""),"High")</f>
        <v>High</v>
      </c>
      <c r="S1947" s="8" t="str">
        <f ca="1">IFERROR(__xludf.DUMMYFUNCTION("""COMPUTED_VALUE"""),"Hallway")</f>
        <v>Hallway</v>
      </c>
      <c r="T1947" s="8" t="str">
        <f ca="1">IFERROR(__xludf.DUMMYFUNCTION("""COMPUTED_VALUE"""),"Inside School Building")</f>
        <v>Inside School Building</v>
      </c>
      <c r="U1947" s="8" t="str">
        <f ca="1">IFERROR(__xludf.DUMMYFUNCTION("""COMPUTED_VALUE"""),"Yes")</f>
        <v>Yes</v>
      </c>
      <c r="V1947" s="8" t="str">
        <f ca="1">IFERROR(__xludf.DUMMYFUNCTION("""COMPUTED_VALUE"""),"Afternoon Classes")</f>
        <v>Afternoon Classes</v>
      </c>
      <c r="W1947" s="11">
        <f ca="1">IFERROR(__xludf.DUMMYFUNCTION("""COMPUTED_VALUE"""),0.541666666666666)</f>
        <v>0.54166666666666596</v>
      </c>
      <c r="X1947" s="8">
        <f ca="1">IFERROR(__xludf.DUMMYFUNCTION("""COMPUTED_VALUE"""),1)</f>
        <v>1</v>
      </c>
      <c r="Y1947" s="12" t="str">
        <f ca="1">IFERROR(__xludf.DUMMYFUNCTION("""COMPUTED_VALUE"""),"Shots during dispute over iPad/money")</f>
        <v>Shots during dispute over iPad/money</v>
      </c>
      <c r="Z1947" s="12" t="str">
        <f ca="1">IFERROR(__xludf.DUMMYFUNCTION("""COMPUTED_VALUE"""),"Allegedly shooter told police he ""got mad"" because he believed the other student had given him a counterfeit $100 bill in exchange for an iPad, shooter shot and injured the other student. Shooter fled the scene and was found at a nearby apartment comple"&amp;"x. Shooter had previous charge for possession of a handgun by a minor. After the shooting, shooter was put on probation, which he violated by possessing a gun, and will serve the sentence in jail.")</f>
        <v>Allegedly shooter told police he "got mad" because he believed the other student had given him a counterfeit $100 bill in exchange for an iPad, shooter shot and injured the other student. Shooter fled the scene and was found at a nearby apartment complex. Shooter had previous charge for possession of a handgun by a minor. After the shooting, shooter was put on probation, which he violated by possessing a gun, and will serve the sentence in jail.</v>
      </c>
      <c r="AA1947" s="8" t="str">
        <f ca="1">IFERROR(__xludf.DUMMYFUNCTION("""COMPUTED_VALUE"""),"Escalation of Dispute")</f>
        <v>Escalation of Dispute</v>
      </c>
      <c r="AB1947" s="8"/>
      <c r="AC1947" s="8" t="str">
        <f ca="1">IFERROR(__xludf.DUMMYFUNCTION("""COMPUTED_VALUE"""),"Yes")</f>
        <v>Yes</v>
      </c>
      <c r="AD1947" s="8" t="str">
        <f ca="1">IFERROR(__xludf.DUMMYFUNCTION("""COMPUTED_VALUE"""),"Victims Targeted")</f>
        <v>Victims Targeted</v>
      </c>
      <c r="AE1947" s="8" t="str">
        <f ca="1">IFERROR(__xludf.DUMMYFUNCTION("""COMPUTED_VALUE"""),"No")</f>
        <v>No</v>
      </c>
      <c r="AF1947" s="8"/>
      <c r="AG1947" s="8" t="str">
        <f ca="1">IFERROR(__xludf.DUMMYFUNCTION("""COMPUTED_VALUE"""),"No")</f>
        <v>No</v>
      </c>
      <c r="AH1947" s="8" t="str">
        <f ca="1">IFERROR(__xludf.DUMMYFUNCTION("""COMPUTED_VALUE"""),"No")</f>
        <v>No</v>
      </c>
      <c r="AI1947" s="8" t="str">
        <f ca="1">IFERROR(__xludf.DUMMYFUNCTION("""COMPUTED_VALUE"""),"No")</f>
        <v>No</v>
      </c>
      <c r="AJ1947" s="8" t="str">
        <f ca="1">IFERROR(__xludf.DUMMYFUNCTION("""COMPUTED_VALUE"""),"No")</f>
        <v>No</v>
      </c>
      <c r="AK1947" s="8" t="str">
        <f ca="1">IFERROR(__xludf.DUMMYFUNCTION("""COMPUTED_VALUE"""),"No")</f>
        <v>No</v>
      </c>
      <c r="AL1947" s="8" t="str">
        <f ca="1">IFERROR(__xludf.DUMMYFUNCTION("""COMPUTED_VALUE"""),"No")</f>
        <v>No</v>
      </c>
      <c r="AM1947" s="8"/>
      <c r="AN1947" s="8"/>
      <c r="AO1947" s="8" t="str">
        <f ca="1">IFERROR(__xludf.DUMMYFUNCTION("""COMPUTED_VALUE"""),"No")</f>
        <v>No</v>
      </c>
      <c r="AP1947" s="8" t="str">
        <f ca="1">IFERROR(__xludf.DUMMYFUNCTION("""COMPUTED_VALUE"""),"Yes")</f>
        <v>Yes</v>
      </c>
      <c r="AQ1947" s="8" t="str">
        <f ca="1">IFERROR(__xludf.DUMMYFUNCTION("""COMPUTED_VALUE"""),"Unknown")</f>
        <v>Unknown</v>
      </c>
      <c r="AR1947" s="8" t="str">
        <f ca="1">IFERROR(__xludf.DUMMYFUNCTION("""COMPUTED_VALUE"""),"NA")</f>
        <v>NA</v>
      </c>
      <c r="AS1947" s="8"/>
      <c r="AT1947" s="8" t="str">
        <f ca="1">IFERROR(__xludf.DUMMYFUNCTION("""COMPUTED_VALUE"""),"Yes")</f>
        <v>Yes</v>
      </c>
      <c r="AU1947" s="8">
        <f ca="1">IFERROR(__xludf.DUMMYFUNCTION("""COMPUTED_VALUE"""),38.156605)</f>
        <v>38.156604999999999</v>
      </c>
      <c r="AV1947" s="8">
        <f ca="1">IFERROR(__xludf.DUMMYFUNCTION("""COMPUTED_VALUE"""),-85.592357)</f>
        <v>-85.592357000000007</v>
      </c>
      <c r="AW1947" s="8"/>
      <c r="AX1947" s="8">
        <f ca="1">IFERROR(__xludf.DUMMYFUNCTION("""COMPUTED_VALUE"""),40291)</f>
        <v>40291</v>
      </c>
    </row>
    <row r="1948" spans="1:50" ht="120" x14ac:dyDescent="0.2">
      <c r="A1948" s="8" t="str">
        <f ca="1">IFERROR(__xludf.DUMMYFUNCTION("""COMPUTED_VALUE"""),"20140925NHWEM")</f>
        <v>20140925NHWEM</v>
      </c>
      <c r="B1948" s="8">
        <f ca="1">IFERROR(__xludf.DUMMYFUNCTION("""COMPUTED_VALUE"""),9)</f>
        <v>9</v>
      </c>
      <c r="C1948" s="8">
        <f ca="1">IFERROR(__xludf.DUMMYFUNCTION("""COMPUTED_VALUE"""),25)</f>
        <v>25</v>
      </c>
      <c r="D1948" s="8">
        <f ca="1">IFERROR(__xludf.DUMMYFUNCTION("""COMPUTED_VALUE"""),2014)</f>
        <v>2014</v>
      </c>
      <c r="E1948" s="9">
        <f ca="1">IFERROR(__xludf.DUMMYFUNCTION("""COMPUTED_VALUE"""),41907)</f>
        <v>41907</v>
      </c>
      <c r="F1948" s="8" t="str">
        <f ca="1">IFERROR(__xludf.DUMMYFUNCTION("""COMPUTED_VALUE"""),"West High School")</f>
        <v>West High School</v>
      </c>
      <c r="G1948" s="8">
        <f ca="1">IFERROR(__xludf.DUMMYFUNCTION("""COMPUTED_VALUE"""),0)</f>
        <v>0</v>
      </c>
      <c r="H1948" s="8">
        <f ca="1">IFERROR(__xludf.DUMMYFUNCTION("""COMPUTED_VALUE"""),0)</f>
        <v>0</v>
      </c>
      <c r="I1948" s="8">
        <f ca="1">IFERROR(__xludf.DUMMYFUNCTION("""COMPUTED_VALUE"""),0)</f>
        <v>0</v>
      </c>
      <c r="J1948" s="8">
        <f ca="1">IFERROR(__xludf.DUMMYFUNCTION("""COMPUTED_VALUE"""),0)</f>
        <v>0</v>
      </c>
      <c r="K1948" s="10" t="str">
        <f ca="1">IFERROR(__xludf.DUMMYFUNCTION("""COMPUTED_VALUE"""),"https://manchesterinklink.com/man-gun-knife-arrested-inside-west-hs-lockdown/")</f>
        <v>https://manchesterinklink.com/man-gun-knife-arrested-inside-west-hs-lockdown/</v>
      </c>
      <c r="L1948" s="8"/>
      <c r="M1948" s="8"/>
      <c r="N1948" s="8">
        <f ca="1">IFERROR(__xludf.DUMMYFUNCTION("""COMPUTED_VALUE"""),3)</f>
        <v>3</v>
      </c>
      <c r="O1948" s="8" t="str">
        <f ca="1">IFERROR(__xludf.DUMMYFUNCTION("""COMPUTED_VALUE"""),"Fall")</f>
        <v>Fall</v>
      </c>
      <c r="P1948" s="8" t="str">
        <f ca="1">IFERROR(__xludf.DUMMYFUNCTION("""COMPUTED_VALUE"""),"Manchester")</f>
        <v>Manchester</v>
      </c>
      <c r="Q1948" s="8" t="str">
        <f ca="1">IFERROR(__xludf.DUMMYFUNCTION("""COMPUTED_VALUE"""),"NH")</f>
        <v>NH</v>
      </c>
      <c r="R1948" s="8" t="str">
        <f ca="1">IFERROR(__xludf.DUMMYFUNCTION("""COMPUTED_VALUE"""),"High")</f>
        <v>High</v>
      </c>
      <c r="S1948" s="8" t="str">
        <f ca="1">IFERROR(__xludf.DUMMYFUNCTION("""COMPUTED_VALUE"""),"Cafeteria")</f>
        <v>Cafeteria</v>
      </c>
      <c r="T1948" s="8" t="str">
        <f ca="1">IFERROR(__xludf.DUMMYFUNCTION("""COMPUTED_VALUE"""),"Inside School Building")</f>
        <v>Inside School Building</v>
      </c>
      <c r="U1948" s="8" t="str">
        <f ca="1">IFERROR(__xludf.DUMMYFUNCTION("""COMPUTED_VALUE"""),"Yes")</f>
        <v>Yes</v>
      </c>
      <c r="V1948" s="8" t="str">
        <f ca="1">IFERROR(__xludf.DUMMYFUNCTION("""COMPUTED_VALUE"""),"School Start")</f>
        <v>School Start</v>
      </c>
      <c r="W1948" s="11">
        <f ca="1">IFERROR(__xludf.DUMMYFUNCTION("""COMPUTED_VALUE"""),0.322916666666666)</f>
        <v>0.32291666666666602</v>
      </c>
      <c r="X1948" s="8">
        <f ca="1">IFERROR(__xludf.DUMMYFUNCTION("""COMPUTED_VALUE"""),135)</f>
        <v>135</v>
      </c>
      <c r="Y1948" s="12" t="str">
        <f ca="1">IFERROR(__xludf.DUMMYFUNCTION("""COMPUTED_VALUE"""),"Former student walked into cafeteria with pellet gun and knife resulting in lockdown and active shooter response")</f>
        <v>Former student walked into cafeteria with pellet gun and knife resulting in lockdown and active shooter response</v>
      </c>
      <c r="Z1948" s="12" t="str">
        <f ca="1">IFERROR(__xludf.DUMMYFUNCTION("""COMPUTED_VALUE"""),"21YOM former student entered school with authentic looking pellet gun pistol and knife at the start of the school day. School went on lockdown and police responded to active shooter. Shooter was subdued in a classroom 1 hour and 45 minutes after entering "&amp;"school. No injuries.")</f>
        <v>21YOM former student entered school with authentic looking pellet gun pistol and knife at the start of the school day. School went on lockdown and police responded to active shooter. Shooter was subdued in a classroom 1 hour and 45 minutes after entering school. No injuries.</v>
      </c>
      <c r="AA1948" s="8" t="str">
        <f ca="1">IFERROR(__xludf.DUMMYFUNCTION("""COMPUTED_VALUE"""),"Hostage/Standoff")</f>
        <v>Hostage/Standoff</v>
      </c>
      <c r="AB1948" s="8"/>
      <c r="AC1948" s="8" t="str">
        <f ca="1">IFERROR(__xludf.DUMMYFUNCTION("""COMPUTED_VALUE"""),"Yes")</f>
        <v>Yes</v>
      </c>
      <c r="AD1948" s="8" t="str">
        <f ca="1">IFERROR(__xludf.DUMMYFUNCTION("""COMPUTED_VALUE"""),"Neither")</f>
        <v>Neither</v>
      </c>
      <c r="AE1948" s="8" t="str">
        <f ca="1">IFERROR(__xludf.DUMMYFUNCTION("""COMPUTED_VALUE"""),"No")</f>
        <v>No</v>
      </c>
      <c r="AF1948" s="8"/>
      <c r="AG1948" s="8" t="str">
        <f ca="1">IFERROR(__xludf.DUMMYFUNCTION("""COMPUTED_VALUE"""),"No")</f>
        <v>No</v>
      </c>
      <c r="AH1948" s="8" t="str">
        <f ca="1">IFERROR(__xludf.DUMMYFUNCTION("""COMPUTED_VALUE"""),"No")</f>
        <v>No</v>
      </c>
      <c r="AI1948" s="8" t="str">
        <f ca="1">IFERROR(__xludf.DUMMYFUNCTION("""COMPUTED_VALUE"""),"No")</f>
        <v>No</v>
      </c>
      <c r="AJ1948" s="8"/>
      <c r="AK1948" s="8" t="str">
        <f ca="1">IFERROR(__xludf.DUMMYFUNCTION("""COMPUTED_VALUE"""),"No")</f>
        <v>No</v>
      </c>
      <c r="AL1948" s="8" t="str">
        <f ca="1">IFERROR(__xludf.DUMMYFUNCTION("""COMPUTED_VALUE"""),"No")</f>
        <v>No</v>
      </c>
      <c r="AM1948" s="8" t="str">
        <f ca="1">IFERROR(__xludf.DUMMYFUNCTION("""COMPUTED_VALUE"""),"Yes")</f>
        <v>Yes</v>
      </c>
      <c r="AN1948" s="8" t="str">
        <f ca="1">IFERROR(__xludf.DUMMYFUNCTION("""COMPUTED_VALUE"""),"Multiple Rooms")</f>
        <v>Multiple Rooms</v>
      </c>
      <c r="AO1948" s="8" t="str">
        <f ca="1">IFERROR(__xludf.DUMMYFUNCTION("""COMPUTED_VALUE"""),"No")</f>
        <v>No</v>
      </c>
      <c r="AP1948" s="8"/>
      <c r="AQ1948" s="8" t="str">
        <f ca="1">IFERROR(__xludf.DUMMYFUNCTION("""COMPUTED_VALUE"""),"Unknown")</f>
        <v>Unknown</v>
      </c>
      <c r="AR1948" s="8" t="str">
        <f ca="1">IFERROR(__xludf.DUMMYFUNCTION("""COMPUTED_VALUE"""),"NA")</f>
        <v>NA</v>
      </c>
      <c r="AS1948" s="8">
        <f ca="1">IFERROR(__xludf.DUMMYFUNCTION("""COMPUTED_VALUE"""),0)</f>
        <v>0</v>
      </c>
      <c r="AT1948" s="8"/>
      <c r="AU1948" s="8">
        <f ca="1">IFERROR(__xludf.DUMMYFUNCTION("""COMPUTED_VALUE"""),42.986172)</f>
        <v>42.986172000000003</v>
      </c>
      <c r="AV1948" s="8">
        <f ca="1">IFERROR(__xludf.DUMMYFUNCTION("""COMPUTED_VALUE"""),-71.47469)</f>
        <v>-71.474689999999995</v>
      </c>
      <c r="AW1948" s="8"/>
      <c r="AX1948" s="8">
        <f ca="1">IFERROR(__xludf.DUMMYFUNCTION("""COMPUTED_VALUE"""),3102)</f>
        <v>3102</v>
      </c>
    </row>
    <row r="1949" spans="1:50" ht="75" x14ac:dyDescent="0.2">
      <c r="A1949" s="8" t="str">
        <f ca="1">IFERROR(__xludf.DUMMYFUNCTION("""COMPUTED_VALUE"""),"20140919IANOD")</f>
        <v>20140919IANOD</v>
      </c>
      <c r="B1949" s="8">
        <f ca="1">IFERROR(__xludf.DUMMYFUNCTION("""COMPUTED_VALUE"""),9)</f>
        <v>9</v>
      </c>
      <c r="C1949" s="8">
        <f ca="1">IFERROR(__xludf.DUMMYFUNCTION("""COMPUTED_VALUE"""),19)</f>
        <v>19</v>
      </c>
      <c r="D1949" s="8">
        <f ca="1">IFERROR(__xludf.DUMMYFUNCTION("""COMPUTED_VALUE"""),2014)</f>
        <v>2014</v>
      </c>
      <c r="E1949" s="9">
        <f ca="1">IFERROR(__xludf.DUMMYFUNCTION("""COMPUTED_VALUE"""),41901)</f>
        <v>41901</v>
      </c>
      <c r="F1949" s="8" t="str">
        <f ca="1">IFERROR(__xludf.DUMMYFUNCTION("""COMPUTED_VALUE"""),"North High School")</f>
        <v>North High School</v>
      </c>
      <c r="G1949" s="8">
        <f ca="1">IFERROR(__xludf.DUMMYFUNCTION("""COMPUTED_VALUE"""),0)</f>
        <v>0</v>
      </c>
      <c r="H1949" s="8">
        <f ca="1">IFERROR(__xludf.DUMMYFUNCTION("""COMPUTED_VALUE"""),1)</f>
        <v>1</v>
      </c>
      <c r="I1949" s="8">
        <f ca="1">IFERROR(__xludf.DUMMYFUNCTION("""COMPUTED_VALUE"""),1)</f>
        <v>1</v>
      </c>
      <c r="J1949" s="8">
        <f ca="1">IFERROR(__xludf.DUMMYFUNCTION("""COMPUTED_VALUE"""),0)</f>
        <v>0</v>
      </c>
      <c r="K1949" s="10" t="str">
        <f ca="1">IFERROR(__xludf.DUMMYFUNCTION("""COMPUTED_VALUE"""),"https://www.desmoinesregister.com/story/news/crime-and-courts/2014/12/22/teen-arrested-shooting-north-high-school/20767421/")</f>
        <v>https://www.desmoinesregister.com/story/news/crime-and-courts/2014/12/22/teen-arrested-shooting-north-high-school/20767421/</v>
      </c>
      <c r="L1949" s="8">
        <f ca="1">IFERROR(__xludf.DUMMYFUNCTION("""COMPUTED_VALUE"""),1)</f>
        <v>1</v>
      </c>
      <c r="M1949" s="8" t="str">
        <f ca="1">IFERROR(__xludf.DUMMYFUNCTION("""COMPUTED_VALUE"""),"Local")</f>
        <v>Local</v>
      </c>
      <c r="N1949" s="8">
        <f ca="1">IFERROR(__xludf.DUMMYFUNCTION("""COMPUTED_VALUE"""),2)</f>
        <v>2</v>
      </c>
      <c r="O1949" s="8" t="str">
        <f ca="1">IFERROR(__xludf.DUMMYFUNCTION("""COMPUTED_VALUE"""),"Fall")</f>
        <v>Fall</v>
      </c>
      <c r="P1949" s="8" t="str">
        <f ca="1">IFERROR(__xludf.DUMMYFUNCTION("""COMPUTED_VALUE"""),"Des Moines")</f>
        <v>Des Moines</v>
      </c>
      <c r="Q1949" s="8" t="str">
        <f ca="1">IFERROR(__xludf.DUMMYFUNCTION("""COMPUTED_VALUE"""),"IA")</f>
        <v>IA</v>
      </c>
      <c r="R1949" s="8" t="str">
        <f ca="1">IFERROR(__xludf.DUMMYFUNCTION("""COMPUTED_VALUE"""),"High")</f>
        <v>High</v>
      </c>
      <c r="S1949" s="8" t="str">
        <f ca="1">IFERROR(__xludf.DUMMYFUNCTION("""COMPUTED_VALUE"""),"Front of School")</f>
        <v>Front of School</v>
      </c>
      <c r="T1949" s="8" t="str">
        <f ca="1">IFERROR(__xludf.DUMMYFUNCTION("""COMPUTED_VALUE"""),"Outside on School Property")</f>
        <v>Outside on School Property</v>
      </c>
      <c r="U1949" s="8" t="str">
        <f ca="1">IFERROR(__xludf.DUMMYFUNCTION("""COMPUTED_VALUE"""),"No")</f>
        <v>No</v>
      </c>
      <c r="V1949" s="8" t="str">
        <f ca="1">IFERROR(__xludf.DUMMYFUNCTION("""COMPUTED_VALUE"""),"Not a School Day")</f>
        <v>Not a School Day</v>
      </c>
      <c r="W1949" s="11">
        <f ca="1">IFERROR(__xludf.DUMMYFUNCTION("""COMPUTED_VALUE"""),0.916666666666666)</f>
        <v>0.91666666666666596</v>
      </c>
      <c r="X1949" s="8">
        <f ca="1">IFERROR(__xludf.DUMMYFUNCTION("""COMPUTED_VALUE"""),1)</f>
        <v>1</v>
      </c>
      <c r="Y1949" s="12" t="str">
        <f ca="1">IFERROR(__xludf.DUMMYFUNCTION("""COMPUTED_VALUE"""),"Drive-by shooting outside of school")</f>
        <v>Drive-by shooting outside of school</v>
      </c>
      <c r="Z1949" s="12" t="str">
        <f ca="1">IFERROR(__xludf.DUMMYFUNCTION("""COMPUTED_VALUE"""),"14YOM driving a car fired a single shotgun shell at a group of students waiting at the bus stop near the school. The victim was shot in the neck (non-lethally) but did not report it right away. Unknown if any of the people involved is a student at the sch"&amp;"ool.")</f>
        <v>14YOM driving a car fired a single shotgun shell at a group of students waiting at the bus stop near the school. The victim was shot in the neck (non-lethally) but did not report it right away. Unknown if any of the people involved is a student at the school.</v>
      </c>
      <c r="AA1949" s="8" t="str">
        <f ca="1">IFERROR(__xludf.DUMMYFUNCTION("""COMPUTED_VALUE"""),"Drive-by Shooting")</f>
        <v>Drive-by Shooting</v>
      </c>
      <c r="AB1949" s="8"/>
      <c r="AC1949" s="8" t="str">
        <f ca="1">IFERROR(__xludf.DUMMYFUNCTION("""COMPUTED_VALUE"""),"Yes")</f>
        <v>Yes</v>
      </c>
      <c r="AD1949" s="8" t="str">
        <f ca="1">IFERROR(__xludf.DUMMYFUNCTION("""COMPUTED_VALUE"""),"Victims Targeted")</f>
        <v>Victims Targeted</v>
      </c>
      <c r="AE1949" s="8" t="str">
        <f ca="1">IFERROR(__xludf.DUMMYFUNCTION("""COMPUTED_VALUE"""),"No")</f>
        <v>No</v>
      </c>
      <c r="AF1949" s="8"/>
      <c r="AG1949" s="8" t="str">
        <f ca="1">IFERROR(__xludf.DUMMYFUNCTION("""COMPUTED_VALUE"""),"No")</f>
        <v>No</v>
      </c>
      <c r="AH1949" s="8" t="str">
        <f ca="1">IFERROR(__xludf.DUMMYFUNCTION("""COMPUTED_VALUE"""),"No")</f>
        <v>No</v>
      </c>
      <c r="AI1949" s="8" t="str">
        <f ca="1">IFERROR(__xludf.DUMMYFUNCTION("""COMPUTED_VALUE"""),"No")</f>
        <v>No</v>
      </c>
      <c r="AJ1949" s="8" t="str">
        <f ca="1">IFERROR(__xludf.DUMMYFUNCTION("""COMPUTED_VALUE"""),"No")</f>
        <v>No</v>
      </c>
      <c r="AK1949" s="8" t="str">
        <f ca="1">IFERROR(__xludf.DUMMYFUNCTION("""COMPUTED_VALUE"""),"No")</f>
        <v>No</v>
      </c>
      <c r="AL1949" s="8" t="str">
        <f ca="1">IFERROR(__xludf.DUMMYFUNCTION("""COMPUTED_VALUE"""),"Yes")</f>
        <v>Yes</v>
      </c>
      <c r="AM1949" s="8"/>
      <c r="AN1949" s="8"/>
      <c r="AO1949" s="8" t="str">
        <f ca="1">IFERROR(__xludf.DUMMYFUNCTION("""COMPUTED_VALUE"""),"No")</f>
        <v>No</v>
      </c>
      <c r="AP1949" s="8" t="str">
        <f ca="1">IFERROR(__xludf.DUMMYFUNCTION("""COMPUTED_VALUE"""),"N/A")</f>
        <v>N/A</v>
      </c>
      <c r="AQ1949" s="8" t="str">
        <f ca="1">IFERROR(__xludf.DUMMYFUNCTION("""COMPUTED_VALUE"""),"Unknown")</f>
        <v>Unknown</v>
      </c>
      <c r="AR1949" s="8" t="str">
        <f ca="1">IFERROR(__xludf.DUMMYFUNCTION("""COMPUTED_VALUE"""),"NA")</f>
        <v>NA</v>
      </c>
      <c r="AS1949" s="8">
        <f ca="1">IFERROR(__xludf.DUMMYFUNCTION("""COMPUTED_VALUE"""),1)</f>
        <v>1</v>
      </c>
      <c r="AT1949" s="8"/>
      <c r="AU1949" s="8">
        <f ca="1">IFERROR(__xludf.DUMMYFUNCTION("""COMPUTED_VALUE"""),41.617842)</f>
        <v>41.617842000000003</v>
      </c>
      <c r="AV1949" s="8">
        <f ca="1">IFERROR(__xludf.DUMMYFUNCTION("""COMPUTED_VALUE"""),-93.62267)</f>
        <v>-93.622669999999999</v>
      </c>
      <c r="AW1949" s="8"/>
      <c r="AX1949" s="8">
        <f ca="1">IFERROR(__xludf.DUMMYFUNCTION("""COMPUTED_VALUE"""),50313)</f>
        <v>50313</v>
      </c>
    </row>
    <row r="1950" spans="1:50" ht="60" x14ac:dyDescent="0.2">
      <c r="A1950" s="8" t="str">
        <f ca="1">IFERROR(__xludf.DUMMYFUNCTION("""COMPUTED_VALUE"""),"20140911UTWET")</f>
        <v>20140911UTWET</v>
      </c>
      <c r="B1950" s="8">
        <f ca="1">IFERROR(__xludf.DUMMYFUNCTION("""COMPUTED_VALUE"""),9)</f>
        <v>9</v>
      </c>
      <c r="C1950" s="8">
        <f ca="1">IFERROR(__xludf.DUMMYFUNCTION("""COMPUTED_VALUE"""),11)</f>
        <v>11</v>
      </c>
      <c r="D1950" s="8">
        <f ca="1">IFERROR(__xludf.DUMMYFUNCTION("""COMPUTED_VALUE"""),2014)</f>
        <v>2014</v>
      </c>
      <c r="E1950" s="9">
        <f ca="1">IFERROR(__xludf.DUMMYFUNCTION("""COMPUTED_VALUE"""),41893)</f>
        <v>41893</v>
      </c>
      <c r="F1950" s="8" t="str">
        <f ca="1">IFERROR(__xludf.DUMMYFUNCTION("""COMPUTED_VALUE"""),"Westbrook Elementary School")</f>
        <v>Westbrook Elementary School</v>
      </c>
      <c r="G1950" s="8">
        <f ca="1">IFERROR(__xludf.DUMMYFUNCTION("""COMPUTED_VALUE"""),0)</f>
        <v>0</v>
      </c>
      <c r="H1950" s="8">
        <f ca="1">IFERROR(__xludf.DUMMYFUNCTION("""COMPUTED_VALUE"""),0)</f>
        <v>0</v>
      </c>
      <c r="I1950" s="8">
        <f ca="1">IFERROR(__xludf.DUMMYFUNCTION("""COMPUTED_VALUE"""),0)</f>
        <v>0</v>
      </c>
      <c r="J1950" s="8">
        <f ca="1">IFERROR(__xludf.DUMMYFUNCTION("""COMPUTED_VALUE"""),0)</f>
        <v>0</v>
      </c>
      <c r="K1950" s="8" t="str">
        <f ca="1">IFERROR(__xludf.DUMMYFUNCTION("""COMPUTED_VALUE"""),"https://www.huffingtonpost.com/2014/09/11/teacher-accidentally-shoots-herself_n_5805080.html . http://www.msnbc.com/msnbc/utah-teacher-shoots-herself-the-leg-while-school . http://archive.sltrib.com/article.php?id=1787604&amp;itype=CMSID . https://www.deseret"&amp;"news.com/article/865612812/Teacher-charged-with-accidentally-shooting-gun-at-school-resigns.html")</f>
        <v>https://www.huffingtonpost.com/2014/09/11/teacher-accidentally-shoots-herself_n_5805080.html . http://www.msnbc.com/msnbc/utah-teacher-shoots-herself-the-leg-while-school . http://archive.sltrib.com/article.php?id=1787604&amp;itype=CMSID . https://www.deseretnews.com/article/865612812/Teacher-charged-with-accidentally-shooting-gun-at-school-resigns.html</v>
      </c>
      <c r="L1950" s="8"/>
      <c r="M1950" s="8"/>
      <c r="N1950" s="8">
        <f ca="1">IFERROR(__xludf.DUMMYFUNCTION("""COMPUTED_VALUE"""),3)</f>
        <v>3</v>
      </c>
      <c r="O1950" s="8" t="str">
        <f ca="1">IFERROR(__xludf.DUMMYFUNCTION("""COMPUTED_VALUE"""),"Fall")</f>
        <v>Fall</v>
      </c>
      <c r="P1950" s="8" t="str">
        <f ca="1">IFERROR(__xludf.DUMMYFUNCTION("""COMPUTED_VALUE"""),"Taylorsville")</f>
        <v>Taylorsville</v>
      </c>
      <c r="Q1950" s="8" t="str">
        <f ca="1">IFERROR(__xludf.DUMMYFUNCTION("""COMPUTED_VALUE"""),"UT")</f>
        <v>UT</v>
      </c>
      <c r="R1950" s="8" t="str">
        <f ca="1">IFERROR(__xludf.DUMMYFUNCTION("""COMPUTED_VALUE"""),"Elementary")</f>
        <v>Elementary</v>
      </c>
      <c r="S1950" s="8" t="str">
        <f ca="1">IFERROR(__xludf.DUMMYFUNCTION("""COMPUTED_VALUE"""),"Bathroom")</f>
        <v>Bathroom</v>
      </c>
      <c r="T1950" s="8" t="str">
        <f ca="1">IFERROR(__xludf.DUMMYFUNCTION("""COMPUTED_VALUE"""),"Inside School Building")</f>
        <v>Inside School Building</v>
      </c>
      <c r="U1950" s="8" t="str">
        <f ca="1">IFERROR(__xludf.DUMMYFUNCTION("""COMPUTED_VALUE"""),"Yes")</f>
        <v>Yes</v>
      </c>
      <c r="V1950" s="8" t="str">
        <f ca="1">IFERROR(__xludf.DUMMYFUNCTION("""COMPUTED_VALUE"""),"Before School")</f>
        <v>Before School</v>
      </c>
      <c r="W1950" s="11">
        <f ca="1">IFERROR(__xludf.DUMMYFUNCTION("""COMPUTED_VALUE"""),0.375)</f>
        <v>0.375</v>
      </c>
      <c r="X1950" s="8">
        <f ca="1">IFERROR(__xludf.DUMMYFUNCTION("""COMPUTED_VALUE"""),1)</f>
        <v>1</v>
      </c>
      <c r="Y1950" s="12" t="str">
        <f ca="1">IFERROR(__xludf.DUMMYFUNCTION("""COMPUTED_VALUE"""),"Accidental discharge of teacher's gun")</f>
        <v>Accidental discharge of teacher's gun</v>
      </c>
      <c r="Z1950" s="12" t="str">
        <f ca="1">IFERROR(__xludf.DUMMYFUNCTION("""COMPUTED_VALUE"""),"Teacher, who was authorized to carry weapon and had concealed firearm permit, accidentally shot herself in leg while in faculty bathroom. Teacher later charged with misdemeanor and resigns.")</f>
        <v>Teacher, who was authorized to carry weapon and had concealed firearm permit, accidentally shot herself in leg while in faculty bathroom. Teacher later charged with misdemeanor and resigns.</v>
      </c>
      <c r="AA1950" s="8" t="str">
        <f ca="1">IFERROR(__xludf.DUMMYFUNCTION("""COMPUTED_VALUE"""),"Accidental")</f>
        <v>Accidental</v>
      </c>
      <c r="AB1950" s="8"/>
      <c r="AC1950" s="8" t="str">
        <f ca="1">IFERROR(__xludf.DUMMYFUNCTION("""COMPUTED_VALUE"""),"Yes")</f>
        <v>Yes</v>
      </c>
      <c r="AD1950" s="8" t="str">
        <f ca="1">IFERROR(__xludf.DUMMYFUNCTION("""COMPUTED_VALUE"""),"Random Shooting")</f>
        <v>Random Shooting</v>
      </c>
      <c r="AE1950" s="8" t="str">
        <f ca="1">IFERROR(__xludf.DUMMYFUNCTION("""COMPUTED_VALUE"""),"No")</f>
        <v>No</v>
      </c>
      <c r="AF1950" s="8"/>
      <c r="AG1950" s="8" t="str">
        <f ca="1">IFERROR(__xludf.DUMMYFUNCTION("""COMPUTED_VALUE"""),"No")</f>
        <v>No</v>
      </c>
      <c r="AH1950" s="8" t="str">
        <f ca="1">IFERROR(__xludf.DUMMYFUNCTION("""COMPUTED_VALUE"""),"No")</f>
        <v>No</v>
      </c>
      <c r="AI1950" s="8" t="str">
        <f ca="1">IFERROR(__xludf.DUMMYFUNCTION("""COMPUTED_VALUE"""),"No")</f>
        <v>No</v>
      </c>
      <c r="AJ1950" s="8" t="str">
        <f ca="1">IFERROR(__xludf.DUMMYFUNCTION("""COMPUTED_VALUE"""),"No")</f>
        <v>No</v>
      </c>
      <c r="AK1950" s="8" t="str">
        <f ca="1">IFERROR(__xludf.DUMMYFUNCTION("""COMPUTED_VALUE"""),"No")</f>
        <v>No</v>
      </c>
      <c r="AL1950" s="8" t="str">
        <f ca="1">IFERROR(__xludf.DUMMYFUNCTION("""COMPUTED_VALUE"""),"No")</f>
        <v>No</v>
      </c>
      <c r="AM1950" s="8"/>
      <c r="AN1950" s="8"/>
      <c r="AO1950" s="8" t="str">
        <f ca="1">IFERROR(__xludf.DUMMYFUNCTION("""COMPUTED_VALUE"""),"No")</f>
        <v>No</v>
      </c>
      <c r="AP1950" s="8"/>
      <c r="AQ1950" s="8" t="str">
        <f ca="1">IFERROR(__xludf.DUMMYFUNCTION("""COMPUTED_VALUE"""),"Unknown")</f>
        <v>Unknown</v>
      </c>
      <c r="AR1950" s="8" t="str">
        <f ca="1">IFERROR(__xludf.DUMMYFUNCTION("""COMPUTED_VALUE"""),"NA")</f>
        <v>NA</v>
      </c>
      <c r="AS1950" s="8">
        <f ca="1">IFERROR(__xludf.DUMMYFUNCTION("""COMPUTED_VALUE"""),1)</f>
        <v>1</v>
      </c>
      <c r="AT1950" s="8"/>
      <c r="AU1950" s="8">
        <f ca="1">IFERROR(__xludf.DUMMYFUNCTION("""COMPUTED_VALUE"""),40.6677248)</f>
        <v>40.667724800000002</v>
      </c>
      <c r="AV1950" s="8">
        <f ca="1">IFERROR(__xludf.DUMMYFUNCTION("""COMPUTED_VALUE"""),-111.9388258)</f>
        <v>-111.9388258</v>
      </c>
      <c r="AW1950" s="8"/>
      <c r="AX1950" s="8">
        <f ca="1">IFERROR(__xludf.DUMMYFUNCTION("""COMPUTED_VALUE"""),84123)</f>
        <v>84123</v>
      </c>
    </row>
    <row r="1951" spans="1:50" ht="60" x14ac:dyDescent="0.2">
      <c r="A1951" s="8" t="str">
        <f ca="1">IFERROR(__xludf.DUMMYFUNCTION("""COMPUTED_VALUE"""),"20140910FLGRL")</f>
        <v>20140910FLGRL</v>
      </c>
      <c r="B1951" s="8">
        <f ca="1">IFERROR(__xludf.DUMMYFUNCTION("""COMPUTED_VALUE"""),9)</f>
        <v>9</v>
      </c>
      <c r="C1951" s="8">
        <f ca="1">IFERROR(__xludf.DUMMYFUNCTION("""COMPUTED_VALUE"""),10)</f>
        <v>10</v>
      </c>
      <c r="D1951" s="8">
        <f ca="1">IFERROR(__xludf.DUMMYFUNCTION("""COMPUTED_VALUE"""),2014)</f>
        <v>2014</v>
      </c>
      <c r="E1951" s="9">
        <f ca="1">IFERROR(__xludf.DUMMYFUNCTION("""COMPUTED_VALUE"""),41892)</f>
        <v>41892</v>
      </c>
      <c r="F1951" s="8" t="str">
        <f ca="1">IFERROR(__xludf.DUMMYFUNCTION("""COMPUTED_VALUE"""),"Greenwood Lakes Middle School")</f>
        <v>Greenwood Lakes Middle School</v>
      </c>
      <c r="G1951" s="8">
        <f ca="1">IFERROR(__xludf.DUMMYFUNCTION("""COMPUTED_VALUE"""),0)</f>
        <v>0</v>
      </c>
      <c r="H1951" s="8">
        <f ca="1">IFERROR(__xludf.DUMMYFUNCTION("""COMPUTED_VALUE"""),0)</f>
        <v>0</v>
      </c>
      <c r="I1951" s="8">
        <f ca="1">IFERROR(__xludf.DUMMYFUNCTION("""COMPUTED_VALUE"""),0)</f>
        <v>0</v>
      </c>
      <c r="J1951" s="8">
        <f ca="1">IFERROR(__xludf.DUMMYFUNCTION("""COMPUTED_VALUE"""),1)</f>
        <v>1</v>
      </c>
      <c r="K1951" s="8" t="str">
        <f ca="1">IFERROR(__xludf.DUMMYFUNCTION("""COMPUTED_VALUE"""),"http://www.orlandosentinel.com/features/education/os-gun-suicide-school-campus-seminole-20150225-story.html . http://www.orlandosentinel.com/news/breaking-news/os-greenwood-lakes-middle-suicide-20140911-story.html")</f>
        <v>http://www.orlandosentinel.com/features/education/os-gun-suicide-school-campus-seminole-20150225-story.html . http://www.orlandosentinel.com/news/breaking-news/os-greenwood-lakes-middle-suicide-20140911-story.html</v>
      </c>
      <c r="L1951" s="8"/>
      <c r="M1951" s="8"/>
      <c r="N1951" s="8">
        <f ca="1">IFERROR(__xludf.DUMMYFUNCTION("""COMPUTED_VALUE"""),3)</f>
        <v>3</v>
      </c>
      <c r="O1951" s="8" t="str">
        <f ca="1">IFERROR(__xludf.DUMMYFUNCTION("""COMPUTED_VALUE"""),"Fall")</f>
        <v>Fall</v>
      </c>
      <c r="P1951" s="8" t="str">
        <f ca="1">IFERROR(__xludf.DUMMYFUNCTION("""COMPUTED_VALUE"""),"Lake Mary")</f>
        <v>Lake Mary</v>
      </c>
      <c r="Q1951" s="8" t="str">
        <f ca="1">IFERROR(__xludf.DUMMYFUNCTION("""COMPUTED_VALUE"""),"FL")</f>
        <v>FL</v>
      </c>
      <c r="R1951" s="8" t="str">
        <f ca="1">IFERROR(__xludf.DUMMYFUNCTION("""COMPUTED_VALUE"""),"Middle")</f>
        <v>Middle</v>
      </c>
      <c r="S1951" s="8" t="str">
        <f ca="1">IFERROR(__xludf.DUMMYFUNCTION("""COMPUTED_VALUE"""),"Bathroom")</f>
        <v>Bathroom</v>
      </c>
      <c r="T1951" s="8" t="str">
        <f ca="1">IFERROR(__xludf.DUMMYFUNCTION("""COMPUTED_VALUE"""),"Inside School Building")</f>
        <v>Inside School Building</v>
      </c>
      <c r="U1951" s="8" t="str">
        <f ca="1">IFERROR(__xludf.DUMMYFUNCTION("""COMPUTED_VALUE"""),"Yes")</f>
        <v>Yes</v>
      </c>
      <c r="V1951" s="8" t="str">
        <f ca="1">IFERROR(__xludf.DUMMYFUNCTION("""COMPUTED_VALUE"""),"After School")</f>
        <v>After School</v>
      </c>
      <c r="W1951" s="11">
        <f ca="1">IFERROR(__xludf.DUMMYFUNCTION("""COMPUTED_VALUE"""),0.708333333333333)</f>
        <v>0.70833333333333304</v>
      </c>
      <c r="X1951" s="8">
        <f ca="1">IFERROR(__xludf.DUMMYFUNCTION("""COMPUTED_VALUE"""),1)</f>
        <v>1</v>
      </c>
      <c r="Y1951" s="12" t="str">
        <f ca="1">IFERROR(__xludf.DUMMYFUNCTION("""COMPUTED_VALUE"""),"Suicide in school bathroom")</f>
        <v>Suicide in school bathroom</v>
      </c>
      <c r="Z1951" s="12" t="str">
        <f ca="1">IFERROR(__xludf.DUMMYFUNCTION("""COMPUTED_VALUE"""),"Boy shot and killed himself in the bathroom of school using father's 40 caliber Smith and Wesson pistol, which had been locked up and secured in home. Boy was small for his age and was in a fight at school two days prior.")</f>
        <v>Boy shot and killed himself in the bathroom of school using father's 40 caliber Smith and Wesson pistol, which had been locked up and secured in home. Boy was small for his age and was in a fight at school two days prior.</v>
      </c>
      <c r="AA1951" s="8" t="str">
        <f ca="1">IFERROR(__xludf.DUMMYFUNCTION("""COMPUTED_VALUE"""),"Suicide/Attempted")</f>
        <v>Suicide/Attempted</v>
      </c>
      <c r="AB1951" s="8"/>
      <c r="AC1951" s="8" t="str">
        <f ca="1">IFERROR(__xludf.DUMMYFUNCTION("""COMPUTED_VALUE"""),"Yes")</f>
        <v>Yes</v>
      </c>
      <c r="AD1951" s="8" t="str">
        <f ca="1">IFERROR(__xludf.DUMMYFUNCTION("""COMPUTED_VALUE"""),"Victims Targeted")</f>
        <v>Victims Targeted</v>
      </c>
      <c r="AE1951" s="8" t="str">
        <f ca="1">IFERROR(__xludf.DUMMYFUNCTION("""COMPUTED_VALUE"""),"No")</f>
        <v>No</v>
      </c>
      <c r="AF1951" s="8"/>
      <c r="AG1951" s="8" t="str">
        <f ca="1">IFERROR(__xludf.DUMMYFUNCTION("""COMPUTED_VALUE"""),"No")</f>
        <v>No</v>
      </c>
      <c r="AH1951" s="8" t="str">
        <f ca="1">IFERROR(__xludf.DUMMYFUNCTION("""COMPUTED_VALUE"""),"No")</f>
        <v>No</v>
      </c>
      <c r="AI1951" s="8" t="str">
        <f ca="1">IFERROR(__xludf.DUMMYFUNCTION("""COMPUTED_VALUE"""),"No")</f>
        <v>No</v>
      </c>
      <c r="AJ1951" s="8" t="str">
        <f ca="1">IFERROR(__xludf.DUMMYFUNCTION("""COMPUTED_VALUE"""),"Yes")</f>
        <v>Yes</v>
      </c>
      <c r="AK1951" s="8" t="str">
        <f ca="1">IFERROR(__xludf.DUMMYFUNCTION("""COMPUTED_VALUE"""),"No")</f>
        <v>No</v>
      </c>
      <c r="AL1951" s="8" t="str">
        <f ca="1">IFERROR(__xludf.DUMMYFUNCTION("""COMPUTED_VALUE"""),"No")</f>
        <v>No</v>
      </c>
      <c r="AM1951" s="8"/>
      <c r="AN1951" s="8"/>
      <c r="AO1951" s="8" t="str">
        <f ca="1">IFERROR(__xludf.DUMMYFUNCTION("""COMPUTED_VALUE"""),"No")</f>
        <v>No</v>
      </c>
      <c r="AP1951" s="8"/>
      <c r="AQ1951" s="8" t="str">
        <f ca="1">IFERROR(__xludf.DUMMYFUNCTION("""COMPUTED_VALUE"""),"Unknown")</f>
        <v>Unknown</v>
      </c>
      <c r="AR1951" s="8" t="str">
        <f ca="1">IFERROR(__xludf.DUMMYFUNCTION("""COMPUTED_VALUE"""),"NA")</f>
        <v>NA</v>
      </c>
      <c r="AS1951" s="8">
        <f ca="1">IFERROR(__xludf.DUMMYFUNCTION("""COMPUTED_VALUE"""),1)</f>
        <v>1</v>
      </c>
      <c r="AT1951" s="8"/>
      <c r="AU1951" s="8">
        <f ca="1">IFERROR(__xludf.DUMMYFUNCTION("""COMPUTED_VALUE"""),28.7588833)</f>
        <v>28.758883300000001</v>
      </c>
      <c r="AV1951" s="8">
        <f ca="1">IFERROR(__xludf.DUMMYFUNCTION("""COMPUTED_VALUE"""),-81.3178446)</f>
        <v>-81.317844600000001</v>
      </c>
      <c r="AW1951" s="8"/>
      <c r="AX1951" s="8">
        <f ca="1">IFERROR(__xludf.DUMMYFUNCTION("""COMPUTED_VALUE"""),32746)</f>
        <v>32746</v>
      </c>
    </row>
    <row r="1952" spans="1:50" ht="90" x14ac:dyDescent="0.2">
      <c r="A1952" s="8" t="str">
        <f ca="1">IFERROR(__xludf.DUMMYFUNCTION("""COMPUTED_VALUE"""),"20140909FLSTM")</f>
        <v>20140909FLSTM</v>
      </c>
      <c r="B1952" s="8">
        <f ca="1">IFERROR(__xludf.DUMMYFUNCTION("""COMPUTED_VALUE"""),9)</f>
        <v>9</v>
      </c>
      <c r="C1952" s="8">
        <f ca="1">IFERROR(__xludf.DUMMYFUNCTION("""COMPUTED_VALUE"""),9)</f>
        <v>9</v>
      </c>
      <c r="D1952" s="8">
        <f ca="1">IFERROR(__xludf.DUMMYFUNCTION("""COMPUTED_VALUE"""),2014)</f>
        <v>2014</v>
      </c>
      <c r="E1952" s="9">
        <f ca="1">IFERROR(__xludf.DUMMYFUNCTION("""COMPUTED_VALUE"""),41891)</f>
        <v>41891</v>
      </c>
      <c r="F1952" s="8" t="str">
        <f ca="1">IFERROR(__xludf.DUMMYFUNCTION("""COMPUTED_VALUE"""),"Stellar Leadership Academy")</f>
        <v>Stellar Leadership Academy</v>
      </c>
      <c r="G1952" s="8">
        <f ca="1">IFERROR(__xludf.DUMMYFUNCTION("""COMPUTED_VALUE"""),0)</f>
        <v>0</v>
      </c>
      <c r="H1952" s="8">
        <f ca="1">IFERROR(__xludf.DUMMYFUNCTION("""COMPUTED_VALUE"""),1)</f>
        <v>1</v>
      </c>
      <c r="I1952" s="8">
        <f ca="1">IFERROR(__xludf.DUMMYFUNCTION("""COMPUTED_VALUE"""),1)</f>
        <v>1</v>
      </c>
      <c r="J1952" s="8">
        <f ca="1">IFERROR(__xludf.DUMMYFUNCTION("""COMPUTED_VALUE"""),0)</f>
        <v>0</v>
      </c>
      <c r="K1952" s="10" t="str">
        <f ca="1">IFERROR(__xludf.DUMMYFUNCTION("""COMPUTED_VALUE"""),"https://www.local10.com/news/florida/miami-dade/5-in-custody-after-shooting-outside-northwest-miami-dade-county-school")</f>
        <v>https://www.local10.com/news/florida/miami-dade/5-in-custody-after-shooting-outside-northwest-miami-dade-county-school</v>
      </c>
      <c r="L1952" s="8">
        <f ca="1">IFERROR(__xludf.DUMMYFUNCTION("""COMPUTED_VALUE"""),1)</f>
        <v>1</v>
      </c>
      <c r="M1952" s="8" t="str">
        <f ca="1">IFERROR(__xludf.DUMMYFUNCTION("""COMPUTED_VALUE"""),"Local")</f>
        <v>Local</v>
      </c>
      <c r="N1952" s="8">
        <f ca="1">IFERROR(__xludf.DUMMYFUNCTION("""COMPUTED_VALUE"""),2)</f>
        <v>2</v>
      </c>
      <c r="O1952" s="8" t="str">
        <f ca="1">IFERROR(__xludf.DUMMYFUNCTION("""COMPUTED_VALUE"""),"Fall")</f>
        <v>Fall</v>
      </c>
      <c r="P1952" s="8" t="str">
        <f ca="1">IFERROR(__xludf.DUMMYFUNCTION("""COMPUTED_VALUE"""),"Miami")</f>
        <v>Miami</v>
      </c>
      <c r="Q1952" s="8" t="str">
        <f ca="1">IFERROR(__xludf.DUMMYFUNCTION("""COMPUTED_VALUE"""),"FL")</f>
        <v>FL</v>
      </c>
      <c r="R1952" s="8" t="str">
        <f ca="1">IFERROR(__xludf.DUMMYFUNCTION("""COMPUTED_VALUE"""),"High")</f>
        <v>High</v>
      </c>
      <c r="S1952" s="8" t="str">
        <f ca="1">IFERROR(__xludf.DUMMYFUNCTION("""COMPUTED_VALUE"""),"Beside Building")</f>
        <v>Beside Building</v>
      </c>
      <c r="T1952" s="8" t="str">
        <f ca="1">IFERROR(__xludf.DUMMYFUNCTION("""COMPUTED_VALUE"""),"Outside on School Property")</f>
        <v>Outside on School Property</v>
      </c>
      <c r="U1952" s="8" t="str">
        <f ca="1">IFERROR(__xludf.DUMMYFUNCTION("""COMPUTED_VALUE"""),"Yes")</f>
        <v>Yes</v>
      </c>
      <c r="V1952" s="8" t="str">
        <f ca="1">IFERROR(__xludf.DUMMYFUNCTION("""COMPUTED_VALUE"""),"Afternoon Classes")</f>
        <v>Afternoon Classes</v>
      </c>
      <c r="W1952" s="8"/>
      <c r="X1952" s="8"/>
      <c r="Y1952" s="12" t="str">
        <f ca="1">IFERROR(__xludf.DUMMYFUNCTION("""COMPUTED_VALUE"""),"Fight in parking lot")</f>
        <v>Fight in parking lot</v>
      </c>
      <c r="Z1952" s="12" t="str">
        <f ca="1">IFERROR(__xludf.DUMMYFUNCTION("""COMPUTED_VALUE"""),"Fight outside a school for risk youth escalated into a shooting. All of the involved parties fled the scene following the shooting - 5 suspects fled in a vehicle, the victim entered the nearest store. Police followed the suspects who crashed their vehicle"&amp;" shortly after, and were all arrested. Not confirmed if any of the juveniles involved was a student.")</f>
        <v>Fight outside a school for risk youth escalated into a shooting. All of the involved parties fled the scene following the shooting - 5 suspects fled in a vehicle, the victim entered the nearest store. Police followed the suspects who crashed their vehicle shortly after, and were all arrested. Not confirmed if any of the juveniles involved was a student.</v>
      </c>
      <c r="AA1952" s="8" t="str">
        <f ca="1">IFERROR(__xludf.DUMMYFUNCTION("""COMPUTED_VALUE"""),"Escalation of Dispute")</f>
        <v>Escalation of Dispute</v>
      </c>
      <c r="AB1952" s="8"/>
      <c r="AC1952" s="8" t="str">
        <f ca="1">IFERROR(__xludf.DUMMYFUNCTION("""COMPUTED_VALUE"""),"Yes")</f>
        <v>Yes</v>
      </c>
      <c r="AD1952" s="8" t="str">
        <f ca="1">IFERROR(__xludf.DUMMYFUNCTION("""COMPUTED_VALUE"""),"Victims Targeted")</f>
        <v>Victims Targeted</v>
      </c>
      <c r="AE1952" s="8" t="str">
        <f ca="1">IFERROR(__xludf.DUMMYFUNCTION("""COMPUTED_VALUE"""),"Yes")</f>
        <v>Yes</v>
      </c>
      <c r="AF1952" s="8" t="str">
        <f ca="1">IFERROR(__xludf.DUMMYFUNCTION("""COMPUTED_VALUE"""),"5 suspects total")</f>
        <v>5 suspects total</v>
      </c>
      <c r="AG1952" s="8" t="str">
        <f ca="1">IFERROR(__xludf.DUMMYFUNCTION("""COMPUTED_VALUE"""),"No")</f>
        <v>No</v>
      </c>
      <c r="AH1952" s="8" t="str">
        <f ca="1">IFERROR(__xludf.DUMMYFUNCTION("""COMPUTED_VALUE"""),"No")</f>
        <v>No</v>
      </c>
      <c r="AI1952" s="8" t="str">
        <f ca="1">IFERROR(__xludf.DUMMYFUNCTION("""COMPUTED_VALUE"""),"No")</f>
        <v>No</v>
      </c>
      <c r="AJ1952" s="8" t="str">
        <f ca="1">IFERROR(__xludf.DUMMYFUNCTION("""COMPUTED_VALUE"""),"No")</f>
        <v>No</v>
      </c>
      <c r="AK1952" s="8" t="str">
        <f ca="1">IFERROR(__xludf.DUMMYFUNCTION("""COMPUTED_VALUE"""),"No")</f>
        <v>No</v>
      </c>
      <c r="AL1952" s="8" t="str">
        <f ca="1">IFERROR(__xludf.DUMMYFUNCTION("""COMPUTED_VALUE"""),"No")</f>
        <v>No</v>
      </c>
      <c r="AM1952" s="8"/>
      <c r="AN1952" s="8"/>
      <c r="AO1952" s="8" t="str">
        <f ca="1">IFERROR(__xludf.DUMMYFUNCTION("""COMPUTED_VALUE"""),"No")</f>
        <v>No</v>
      </c>
      <c r="AP1952" s="8" t="str">
        <f ca="1">IFERROR(__xludf.DUMMYFUNCTION("""COMPUTED_VALUE"""),"No")</f>
        <v>No</v>
      </c>
      <c r="AQ1952" s="8" t="str">
        <f ca="1">IFERROR(__xludf.DUMMYFUNCTION("""COMPUTED_VALUE"""),"Unknown")</f>
        <v>Unknown</v>
      </c>
      <c r="AR1952" s="8" t="str">
        <f ca="1">IFERROR(__xludf.DUMMYFUNCTION("""COMPUTED_VALUE"""),"NA")</f>
        <v>NA</v>
      </c>
      <c r="AS1952" s="8"/>
      <c r="AT1952" s="8"/>
      <c r="AU1952" s="8">
        <f ca="1">IFERROR(__xludf.DUMMYFUNCTION("""COMPUTED_VALUE"""),25.84814)</f>
        <v>25.848140000000001</v>
      </c>
      <c r="AV1952" s="8">
        <f ca="1">IFERROR(__xludf.DUMMYFUNCTION("""COMPUTED_VALUE"""),-80.243461)</f>
        <v>-80.243460999999996</v>
      </c>
      <c r="AW1952" s="8"/>
      <c r="AX1952" s="8">
        <f ca="1">IFERROR(__xludf.DUMMYFUNCTION("""COMPUTED_VALUE"""),33147)</f>
        <v>33147</v>
      </c>
    </row>
    <row r="1953" spans="1:50" ht="90" x14ac:dyDescent="0.2">
      <c r="A1953" s="8" t="str">
        <f ca="1">IFERROR(__xludf.DUMMYFUNCTION("""COMPUTED_VALUE"""),"20140814VASAN")</f>
        <v>20140814VASAN</v>
      </c>
      <c r="B1953" s="8">
        <f ca="1">IFERROR(__xludf.DUMMYFUNCTION("""COMPUTED_VALUE"""),8)</f>
        <v>8</v>
      </c>
      <c r="C1953" s="8">
        <f ca="1">IFERROR(__xludf.DUMMYFUNCTION("""COMPUTED_VALUE"""),14)</f>
        <v>14</v>
      </c>
      <c r="D1953" s="8">
        <f ca="1">IFERROR(__xludf.DUMMYFUNCTION("""COMPUTED_VALUE"""),2014)</f>
        <v>2014</v>
      </c>
      <c r="E1953" s="9">
        <f ca="1">IFERROR(__xludf.DUMMYFUNCTION("""COMPUTED_VALUE"""),41865)</f>
        <v>41865</v>
      </c>
      <c r="F1953" s="8" t="str">
        <f ca="1">IFERROR(__xludf.DUMMYFUNCTION("""COMPUTED_VALUE"""),"Saunders Elementary School")</f>
        <v>Saunders Elementary School</v>
      </c>
      <c r="G1953" s="8">
        <f ca="1">IFERROR(__xludf.DUMMYFUNCTION("""COMPUTED_VALUE"""),2)</f>
        <v>2</v>
      </c>
      <c r="H1953" s="8">
        <f ca="1">IFERROR(__xludf.DUMMYFUNCTION("""COMPUTED_VALUE"""),1)</f>
        <v>1</v>
      </c>
      <c r="I1953" s="8">
        <f ca="1">IFERROR(__xludf.DUMMYFUNCTION("""COMPUTED_VALUE"""),3)</f>
        <v>3</v>
      </c>
      <c r="J1953" s="8">
        <f ca="1">IFERROR(__xludf.DUMMYFUNCTION("""COMPUTED_VALUE"""),0)</f>
        <v>0</v>
      </c>
      <c r="K1953" s="8" t="str">
        <f ca="1">IFERROR(__xludf.DUMMYFUNCTION("""COMPUTED_VALUE"""),"http://www.dailypress.com/news/crime/dp-men-shot-dead-saunders-newport-news-story.html . https://wtkr.com/2014/08/15/only-on-3-police-say-teen-who-murdered-2-warwick-high-students-used-12-gauge-shotgun/ . http://www.dailypress.com/news/crime/dp-nws-double"&amp;"-murder-hearing-20150122-story.html")</f>
        <v>http://www.dailypress.com/news/crime/dp-men-shot-dead-saunders-newport-news-story.html . https://wtkr.com/2014/08/15/only-on-3-police-say-teen-who-murdered-2-warwick-high-students-used-12-gauge-shotgun/ . http://www.dailypress.com/news/crime/dp-nws-double-murder-hearing-20150122-story.html</v>
      </c>
      <c r="L1953" s="8"/>
      <c r="M1953" s="8"/>
      <c r="N1953" s="8">
        <f ca="1">IFERROR(__xludf.DUMMYFUNCTION("""COMPUTED_VALUE"""),3)</f>
        <v>3</v>
      </c>
      <c r="O1953" s="8" t="str">
        <f ca="1">IFERROR(__xludf.DUMMYFUNCTION("""COMPUTED_VALUE"""),"Summer")</f>
        <v>Summer</v>
      </c>
      <c r="P1953" s="8" t="str">
        <f ca="1">IFERROR(__xludf.DUMMYFUNCTION("""COMPUTED_VALUE"""),"Newport News")</f>
        <v>Newport News</v>
      </c>
      <c r="Q1953" s="8" t="str">
        <f ca="1">IFERROR(__xludf.DUMMYFUNCTION("""COMPUTED_VALUE"""),"VA")</f>
        <v>VA</v>
      </c>
      <c r="R1953" s="8" t="str">
        <f ca="1">IFERROR(__xludf.DUMMYFUNCTION("""COMPUTED_VALUE"""),"Elementary")</f>
        <v>Elementary</v>
      </c>
      <c r="S1953" s="8" t="str">
        <f ca="1">IFERROR(__xludf.DUMMYFUNCTION("""COMPUTED_VALUE"""),"Parking Lot")</f>
        <v>Parking Lot</v>
      </c>
      <c r="T1953" s="8" t="str">
        <f ca="1">IFERROR(__xludf.DUMMYFUNCTION("""COMPUTED_VALUE"""),"Outside on School Property")</f>
        <v>Outside on School Property</v>
      </c>
      <c r="U1953" s="8" t="str">
        <f ca="1">IFERROR(__xludf.DUMMYFUNCTION("""COMPUTED_VALUE"""),"No")</f>
        <v>No</v>
      </c>
      <c r="V1953" s="8" t="str">
        <f ca="1">IFERROR(__xludf.DUMMYFUNCTION("""COMPUTED_VALUE"""),"Not a School Day")</f>
        <v>Not a School Day</v>
      </c>
      <c r="W1953" s="11">
        <f ca="1">IFERROR(__xludf.DUMMYFUNCTION("""COMPUTED_VALUE"""),0.0625)</f>
        <v>6.25E-2</v>
      </c>
      <c r="X1953" s="8">
        <f ca="1">IFERROR(__xludf.DUMMYFUNCTION("""COMPUTED_VALUE"""),2)</f>
        <v>2</v>
      </c>
      <c r="Y1953" s="12" t="str">
        <f ca="1">IFERROR(__xludf.DUMMYFUNCTION("""COMPUTED_VALUE"""),"Dispute - ongoing feud - possible gang violence")</f>
        <v>Dispute - ongoing feud - possible gang violence</v>
      </c>
      <c r="Z1953" s="12" t="str">
        <f ca="1">IFERROR(__xludf.DUMMYFUNCTION("""COMPUTED_VALUE"""),"Teens were at school parking lot waiting to do drug deal, shooter advised they were dival gang members and he had been given permission to take care of the situation - shooter, who was passenger in vehicle had shotgun with him - when the car pulled onto t"&amp;"he school parking lot, shooter said he saw a gun and began shooting.")</f>
        <v>Teens were at school parking lot waiting to do drug deal, shooter advised they were dival gang members and he had been given permission to take care of the situation - shooter, who was passenger in vehicle had shotgun with him - when the car pulled onto the school parking lot, shooter said he saw a gun and began shooting.</v>
      </c>
      <c r="AA1953" s="8" t="str">
        <f ca="1">IFERROR(__xludf.DUMMYFUNCTION("""COMPUTED_VALUE"""),"Escalation of Dispute")</f>
        <v>Escalation of Dispute</v>
      </c>
      <c r="AB1953" s="8"/>
      <c r="AC1953" s="8" t="str">
        <f ca="1">IFERROR(__xludf.DUMMYFUNCTION("""COMPUTED_VALUE"""),"No")</f>
        <v>No</v>
      </c>
      <c r="AD1953" s="8" t="str">
        <f ca="1">IFERROR(__xludf.DUMMYFUNCTION("""COMPUTED_VALUE"""),"Victims Targeted")</f>
        <v>Victims Targeted</v>
      </c>
      <c r="AE1953" s="8" t="str">
        <f ca="1">IFERROR(__xludf.DUMMYFUNCTION("""COMPUTED_VALUE"""),"Yes")</f>
        <v>Yes</v>
      </c>
      <c r="AF1953" s="8" t="str">
        <f ca="1">IFERROR(__xludf.DUMMYFUNCTION("""COMPUTED_VALUE"""),"Driver of vehicle shooter was riding in")</f>
        <v>Driver of vehicle shooter was riding in</v>
      </c>
      <c r="AG1953" s="8" t="str">
        <f ca="1">IFERROR(__xludf.DUMMYFUNCTION("""COMPUTED_VALUE"""),"No")</f>
        <v>No</v>
      </c>
      <c r="AH1953" s="8" t="str">
        <f ca="1">IFERROR(__xludf.DUMMYFUNCTION("""COMPUTED_VALUE"""),"No")</f>
        <v>No</v>
      </c>
      <c r="AI1953" s="8" t="str">
        <f ca="1">IFERROR(__xludf.DUMMYFUNCTION("""COMPUTED_VALUE"""),"No")</f>
        <v>No</v>
      </c>
      <c r="AJ1953" s="8" t="str">
        <f ca="1">IFERROR(__xludf.DUMMYFUNCTION("""COMPUTED_VALUE"""),"No")</f>
        <v>No</v>
      </c>
      <c r="AK1953" s="8" t="str">
        <f ca="1">IFERROR(__xludf.DUMMYFUNCTION("""COMPUTED_VALUE"""),"No")</f>
        <v>No</v>
      </c>
      <c r="AL1953" s="8" t="str">
        <f ca="1">IFERROR(__xludf.DUMMYFUNCTION("""COMPUTED_VALUE"""),"Yes")</f>
        <v>Yes</v>
      </c>
      <c r="AM1953" s="8"/>
      <c r="AN1953" s="8"/>
      <c r="AO1953" s="8" t="str">
        <f ca="1">IFERROR(__xludf.DUMMYFUNCTION("""COMPUTED_VALUE"""),"No")</f>
        <v>No</v>
      </c>
      <c r="AP1953" s="8"/>
      <c r="AQ1953" s="8" t="str">
        <f ca="1">IFERROR(__xludf.DUMMYFUNCTION("""COMPUTED_VALUE"""),"Unknown")</f>
        <v>Unknown</v>
      </c>
      <c r="AR1953" s="8" t="str">
        <f ca="1">IFERROR(__xludf.DUMMYFUNCTION("""COMPUTED_VALUE"""),"NA")</f>
        <v>NA</v>
      </c>
      <c r="AS1953" s="8"/>
      <c r="AT1953" s="8"/>
      <c r="AU1953" s="8">
        <f ca="1">IFERROR(__xludf.DUMMYFUNCTION("""COMPUTED_VALUE"""),37.0870821)</f>
        <v>37.087082100000003</v>
      </c>
      <c r="AV1953" s="8">
        <f ca="1">IFERROR(__xludf.DUMMYFUNCTION("""COMPUTED_VALUE"""),-76.4730122)</f>
        <v>-76.473012199999999</v>
      </c>
      <c r="AW1953" s="8"/>
      <c r="AX1953" s="8">
        <f ca="1">IFERROR(__xludf.DUMMYFUNCTION("""COMPUTED_VALUE"""),23606)</f>
        <v>23606</v>
      </c>
    </row>
    <row r="1954" spans="1:50" ht="45" x14ac:dyDescent="0.2">
      <c r="A1954" s="8" t="str">
        <f ca="1">IFERROR(__xludf.DUMMYFUNCTION("""COMPUTED_VALUE"""),"20140813MDHEF")</f>
        <v>20140813MDHEF</v>
      </c>
      <c r="B1954" s="8">
        <f ca="1">IFERROR(__xludf.DUMMYFUNCTION("""COMPUTED_VALUE"""),8)</f>
        <v>8</v>
      </c>
      <c r="C1954" s="8">
        <f ca="1">IFERROR(__xludf.DUMMYFUNCTION("""COMPUTED_VALUE"""),13)</f>
        <v>13</v>
      </c>
      <c r="D1954" s="8">
        <f ca="1">IFERROR(__xludf.DUMMYFUNCTION("""COMPUTED_VALUE"""),2014)</f>
        <v>2014</v>
      </c>
      <c r="E1954" s="9">
        <f ca="1">IFERROR(__xludf.DUMMYFUNCTION("""COMPUTED_VALUE"""),41864)</f>
        <v>41864</v>
      </c>
      <c r="F1954" s="8" t="str">
        <f ca="1">IFERROR(__xludf.DUMMYFUNCTION("""COMPUTED_VALUE"""),"Heather Ridge High School")</f>
        <v>Heather Ridge High School</v>
      </c>
      <c r="G1954" s="8">
        <f ca="1">IFERROR(__xludf.DUMMYFUNCTION("""COMPUTED_VALUE"""),0)</f>
        <v>0</v>
      </c>
      <c r="H1954" s="8">
        <f ca="1">IFERROR(__xludf.DUMMYFUNCTION("""COMPUTED_VALUE"""),0)</f>
        <v>0</v>
      </c>
      <c r="I1954" s="8">
        <f ca="1">IFERROR(__xludf.DUMMYFUNCTION("""COMPUTED_VALUE"""),0)</f>
        <v>0</v>
      </c>
      <c r="J1954" s="8">
        <f ca="1">IFERROR(__xludf.DUMMYFUNCTION("""COMPUTED_VALUE"""),0)</f>
        <v>0</v>
      </c>
      <c r="K1954" s="10" t="str">
        <f ca="1">IFERROR(__xludf.DUMMYFUNCTION("""COMPUTED_VALUE"""),"https://www.fredericknewspost.com/news/crime_and_justice/cops_and_crime/two-face-charges-in-wednesday-gunfire-at-heather-ridge-school/article_737ade83-ddbb-5d49-af29-7f18d962e3a3.html")</f>
        <v>https://www.fredericknewspost.com/news/crime_and_justice/cops_and_crime/two-face-charges-in-wednesday-gunfire-at-heather-ridge-school/article_737ade83-ddbb-5d49-af29-7f18d962e3a3.html</v>
      </c>
      <c r="L1954" s="8"/>
      <c r="M1954" s="8"/>
      <c r="N1954" s="8">
        <f ca="1">IFERROR(__xludf.DUMMYFUNCTION("""COMPUTED_VALUE"""),2)</f>
        <v>2</v>
      </c>
      <c r="O1954" s="8" t="str">
        <f ca="1">IFERROR(__xludf.DUMMYFUNCTION("""COMPUTED_VALUE"""),"Summer")</f>
        <v>Summer</v>
      </c>
      <c r="P1954" s="8" t="str">
        <f ca="1">IFERROR(__xludf.DUMMYFUNCTION("""COMPUTED_VALUE"""),"Fredrick")</f>
        <v>Fredrick</v>
      </c>
      <c r="Q1954" s="8" t="str">
        <f ca="1">IFERROR(__xludf.DUMMYFUNCTION("""COMPUTED_VALUE"""),"MD")</f>
        <v>MD</v>
      </c>
      <c r="R1954" s="8" t="str">
        <f ca="1">IFERROR(__xludf.DUMMYFUNCTION("""COMPUTED_VALUE"""),"High")</f>
        <v>High</v>
      </c>
      <c r="S1954" s="8" t="str">
        <f ca="1">IFERROR(__xludf.DUMMYFUNCTION("""COMPUTED_VALUE"""),"Beside Building")</f>
        <v>Beside Building</v>
      </c>
      <c r="T1954" s="8" t="str">
        <f ca="1">IFERROR(__xludf.DUMMYFUNCTION("""COMPUTED_VALUE"""),"Outside on School Property")</f>
        <v>Outside on School Property</v>
      </c>
      <c r="U1954" s="8" t="str">
        <f ca="1">IFERROR(__xludf.DUMMYFUNCTION("""COMPUTED_VALUE"""),"No")</f>
        <v>No</v>
      </c>
      <c r="V1954" s="8" t="str">
        <f ca="1">IFERROR(__xludf.DUMMYFUNCTION("""COMPUTED_VALUE"""),"Evening")</f>
        <v>Evening</v>
      </c>
      <c r="W1954" s="11">
        <f ca="1">IFERROR(__xludf.DUMMYFUNCTION("""COMPUTED_VALUE"""),0.78125)</f>
        <v>0.78125</v>
      </c>
      <c r="X1954" s="8">
        <f ca="1">IFERROR(__xludf.DUMMYFUNCTION("""COMPUTED_VALUE"""),1)</f>
        <v>1</v>
      </c>
      <c r="Y1954" s="12" t="str">
        <f ca="1">IFERROR(__xludf.DUMMYFUNCTION("""COMPUTED_VALUE"""),"Two men shot at each other - both missed")</f>
        <v>Two men shot at each other - both missed</v>
      </c>
      <c r="Z1954" s="12" t="str">
        <f ca="1">IFERROR(__xludf.DUMMYFUNCTION("""COMPUTED_VALUE"""),"Two teens involved in an altercation shot at each other but both missed - no injuries - both teens arrested and charged.")</f>
        <v>Two teens involved in an altercation shot at each other but both missed - no injuries - both teens arrested and charged.</v>
      </c>
      <c r="AA1954" s="8" t="str">
        <f ca="1">IFERROR(__xludf.DUMMYFUNCTION("""COMPUTED_VALUE"""),"Escalation of Dispute")</f>
        <v>Escalation of Dispute</v>
      </c>
      <c r="AB1954" s="8"/>
      <c r="AC1954" s="8" t="str">
        <f ca="1">IFERROR(__xludf.DUMMYFUNCTION("""COMPUTED_VALUE"""),"No")</f>
        <v>No</v>
      </c>
      <c r="AD1954" s="8" t="str">
        <f ca="1">IFERROR(__xludf.DUMMYFUNCTION("""COMPUTED_VALUE"""),"Neither")</f>
        <v>Neither</v>
      </c>
      <c r="AE1954" s="8"/>
      <c r="AF1954" s="8"/>
      <c r="AG1954" s="8" t="str">
        <f ca="1">IFERROR(__xludf.DUMMYFUNCTION("""COMPUTED_VALUE"""),"No")</f>
        <v>No</v>
      </c>
      <c r="AH1954" s="8" t="str">
        <f ca="1">IFERROR(__xludf.DUMMYFUNCTION("""COMPUTED_VALUE"""),"No")</f>
        <v>No</v>
      </c>
      <c r="AI1954" s="8" t="str">
        <f ca="1">IFERROR(__xludf.DUMMYFUNCTION("""COMPUTED_VALUE"""),"No")</f>
        <v>No</v>
      </c>
      <c r="AJ1954" s="8" t="str">
        <f ca="1">IFERROR(__xludf.DUMMYFUNCTION("""COMPUTED_VALUE"""),"No")</f>
        <v>No</v>
      </c>
      <c r="AK1954" s="8" t="str">
        <f ca="1">IFERROR(__xludf.DUMMYFUNCTION("""COMPUTED_VALUE"""),"No")</f>
        <v>No</v>
      </c>
      <c r="AL1954" s="8" t="str">
        <f ca="1">IFERROR(__xludf.DUMMYFUNCTION("""COMPUTED_VALUE"""),"No")</f>
        <v>No</v>
      </c>
      <c r="AM1954" s="8"/>
      <c r="AN1954" s="8"/>
      <c r="AO1954" s="8" t="str">
        <f ca="1">IFERROR(__xludf.DUMMYFUNCTION("""COMPUTED_VALUE"""),"No")</f>
        <v>No</v>
      </c>
      <c r="AP1954" s="8"/>
      <c r="AQ1954" s="8" t="str">
        <f ca="1">IFERROR(__xludf.DUMMYFUNCTION("""COMPUTED_VALUE"""),"Unknown")</f>
        <v>Unknown</v>
      </c>
      <c r="AR1954" s="8" t="str">
        <f ca="1">IFERROR(__xludf.DUMMYFUNCTION("""COMPUTED_VALUE"""),"NA")</f>
        <v>NA</v>
      </c>
      <c r="AS1954" s="8"/>
      <c r="AT1954" s="8"/>
      <c r="AU1954" s="8">
        <f ca="1">IFERROR(__xludf.DUMMYFUNCTION("""COMPUTED_VALUE"""),39.4142688)</f>
        <v>39.414268800000002</v>
      </c>
      <c r="AV1954" s="8">
        <f ca="1">IFERROR(__xludf.DUMMYFUNCTION("""COMPUTED_VALUE"""),-77.4105409)</f>
        <v>-77.410540900000001</v>
      </c>
      <c r="AW1954" s="8"/>
      <c r="AX1954" s="8">
        <f ca="1">IFERROR(__xludf.DUMMYFUNCTION("""COMPUTED_VALUE"""),21701)</f>
        <v>21701</v>
      </c>
    </row>
    <row r="1955" spans="1:50" ht="60" x14ac:dyDescent="0.2">
      <c r="A1955" s="8" t="str">
        <f ca="1">IFERROR(__xludf.DUMMYFUNCTION("""COMPUTED_VALUE"""),"20140623MOKEB")</f>
        <v>20140623MOKEB</v>
      </c>
      <c r="B1955" s="8">
        <f ca="1">IFERROR(__xludf.DUMMYFUNCTION("""COMPUTED_VALUE"""),6)</f>
        <v>6</v>
      </c>
      <c r="C1955" s="8">
        <f ca="1">IFERROR(__xludf.DUMMYFUNCTION("""COMPUTED_VALUE"""),23)</f>
        <v>23</v>
      </c>
      <c r="D1955" s="8">
        <f ca="1">IFERROR(__xludf.DUMMYFUNCTION("""COMPUTED_VALUE"""),2014)</f>
        <v>2014</v>
      </c>
      <c r="E1955" s="9">
        <f ca="1">IFERROR(__xludf.DUMMYFUNCTION("""COMPUTED_VALUE"""),41813)</f>
        <v>41813</v>
      </c>
      <c r="F1955" s="8" t="str">
        <f ca="1">IFERROR(__xludf.DUMMYFUNCTION("""COMPUTED_VALUE"""),"Kelly High School")</f>
        <v>Kelly High School</v>
      </c>
      <c r="G1955" s="8">
        <f ca="1">IFERROR(__xludf.DUMMYFUNCTION("""COMPUTED_VALUE"""),1)</f>
        <v>1</v>
      </c>
      <c r="H1955" s="8">
        <f ca="1">IFERROR(__xludf.DUMMYFUNCTION("""COMPUTED_VALUE"""),0)</f>
        <v>0</v>
      </c>
      <c r="I1955" s="8">
        <f ca="1">IFERROR(__xludf.DUMMYFUNCTION("""COMPUTED_VALUE"""),1)</f>
        <v>1</v>
      </c>
      <c r="J1955" s="8">
        <f ca="1">IFERROR(__xludf.DUMMYFUNCTION("""COMPUTED_VALUE"""),0)</f>
        <v>0</v>
      </c>
      <c r="K1955" s="8" t="str">
        <f ca="1">IFERROR(__xludf.DUMMYFUNCTION("""COMPUTED_VALUE"""),"https://www.semissourian.com/story/2104193.html . http://www.kfvs12.com/story/25851145/hundreds-gather-to-remember-teen-killed-in-accidental-shooting-at-school-parking-lot")</f>
        <v>https://www.semissourian.com/story/2104193.html . http://www.kfvs12.com/story/25851145/hundreds-gather-to-remember-teen-killed-in-accidental-shooting-at-school-parking-lot</v>
      </c>
      <c r="L1955" s="8"/>
      <c r="M1955" s="8"/>
      <c r="N1955" s="8">
        <f ca="1">IFERROR(__xludf.DUMMYFUNCTION("""COMPUTED_VALUE"""),3)</f>
        <v>3</v>
      </c>
      <c r="O1955" s="8" t="str">
        <f ca="1">IFERROR(__xludf.DUMMYFUNCTION("""COMPUTED_VALUE"""),"Summer")</f>
        <v>Summer</v>
      </c>
      <c r="P1955" s="8" t="str">
        <f ca="1">IFERROR(__xludf.DUMMYFUNCTION("""COMPUTED_VALUE"""),"Benton")</f>
        <v>Benton</v>
      </c>
      <c r="Q1955" s="8" t="str">
        <f ca="1">IFERROR(__xludf.DUMMYFUNCTION("""COMPUTED_VALUE"""),"MO")</f>
        <v>MO</v>
      </c>
      <c r="R1955" s="8" t="str">
        <f ca="1">IFERROR(__xludf.DUMMYFUNCTION("""COMPUTED_VALUE"""),"High")</f>
        <v>High</v>
      </c>
      <c r="S1955" s="8" t="str">
        <f ca="1">IFERROR(__xludf.DUMMYFUNCTION("""COMPUTED_VALUE"""),"Basketball Court")</f>
        <v>Basketball Court</v>
      </c>
      <c r="T1955" s="8" t="str">
        <f ca="1">IFERROR(__xludf.DUMMYFUNCTION("""COMPUTED_VALUE"""),"Outside on School Property")</f>
        <v>Outside on School Property</v>
      </c>
      <c r="U1955" s="8" t="str">
        <f ca="1">IFERROR(__xludf.DUMMYFUNCTION("""COMPUTED_VALUE"""),"No")</f>
        <v>No</v>
      </c>
      <c r="V1955" s="8" t="str">
        <f ca="1">IFERROR(__xludf.DUMMYFUNCTION("""COMPUTED_VALUE"""),"After School")</f>
        <v>After School</v>
      </c>
      <c r="W1955" s="11">
        <f ca="1">IFERROR(__xludf.DUMMYFUNCTION("""COMPUTED_VALUE"""),0.84375)</f>
        <v>0.84375</v>
      </c>
      <c r="X1955" s="8">
        <f ca="1">IFERROR(__xludf.DUMMYFUNCTION("""COMPUTED_VALUE"""),1)</f>
        <v>1</v>
      </c>
      <c r="Y1955" s="12" t="str">
        <f ca="1">IFERROR(__xludf.DUMMYFUNCTION("""COMPUTED_VALUE"""),"Accidental discharge in parking lot")</f>
        <v>Accidental discharge in parking lot</v>
      </c>
      <c r="Z1955" s="12" t="str">
        <f ca="1">IFERROR(__xludf.DUMMYFUNCTION("""COMPUTED_VALUE"""),"Four friends were leaving school after playing basketball - while inside one of the boy's trucks, a firearm was handed over at which time it was accidentally discharged, striking the victim in the head - killing him.")</f>
        <v>Four friends were leaving school after playing basketball - while inside one of the boy's trucks, a firearm was handed over at which time it was accidentally discharged, striking the victim in the head - killing him.</v>
      </c>
      <c r="AA1955" s="8" t="str">
        <f ca="1">IFERROR(__xludf.DUMMYFUNCTION("""COMPUTED_VALUE"""),"Accidental")</f>
        <v>Accidental</v>
      </c>
      <c r="AB1955" s="8"/>
      <c r="AC1955" s="8" t="str">
        <f ca="1">IFERROR(__xludf.DUMMYFUNCTION("""COMPUTED_VALUE"""),"Yes")</f>
        <v>Yes</v>
      </c>
      <c r="AD1955" s="8" t="str">
        <f ca="1">IFERROR(__xludf.DUMMYFUNCTION("""COMPUTED_VALUE"""),"Random Shooting")</f>
        <v>Random Shooting</v>
      </c>
      <c r="AE1955" s="8" t="str">
        <f ca="1">IFERROR(__xludf.DUMMYFUNCTION("""COMPUTED_VALUE"""),"No")</f>
        <v>No</v>
      </c>
      <c r="AF1955" s="8"/>
      <c r="AG1955" s="8" t="str">
        <f ca="1">IFERROR(__xludf.DUMMYFUNCTION("""COMPUTED_VALUE"""),"No")</f>
        <v>No</v>
      </c>
      <c r="AH1955" s="8" t="str">
        <f ca="1">IFERROR(__xludf.DUMMYFUNCTION("""COMPUTED_VALUE"""),"No")</f>
        <v>No</v>
      </c>
      <c r="AI1955" s="8" t="str">
        <f ca="1">IFERROR(__xludf.DUMMYFUNCTION("""COMPUTED_VALUE"""),"No")</f>
        <v>No</v>
      </c>
      <c r="AJ1955" s="8" t="str">
        <f ca="1">IFERROR(__xludf.DUMMYFUNCTION("""COMPUTED_VALUE"""),"No")</f>
        <v>No</v>
      </c>
      <c r="AK1955" s="8" t="str">
        <f ca="1">IFERROR(__xludf.DUMMYFUNCTION("""COMPUTED_VALUE"""),"No")</f>
        <v>No</v>
      </c>
      <c r="AL1955" s="8" t="str">
        <f ca="1">IFERROR(__xludf.DUMMYFUNCTION("""COMPUTED_VALUE"""),"No")</f>
        <v>No</v>
      </c>
      <c r="AM1955" s="8"/>
      <c r="AN1955" s="8"/>
      <c r="AO1955" s="8" t="str">
        <f ca="1">IFERROR(__xludf.DUMMYFUNCTION("""COMPUTED_VALUE"""),"No")</f>
        <v>No</v>
      </c>
      <c r="AP1955" s="8"/>
      <c r="AQ1955" s="8" t="str">
        <f ca="1">IFERROR(__xludf.DUMMYFUNCTION("""COMPUTED_VALUE"""),"Unknown")</f>
        <v>Unknown</v>
      </c>
      <c r="AR1955" s="8" t="str">
        <f ca="1">IFERROR(__xludf.DUMMYFUNCTION("""COMPUTED_VALUE"""),"NA")</f>
        <v>NA</v>
      </c>
      <c r="AS1955" s="8">
        <f ca="1">IFERROR(__xludf.DUMMYFUNCTION("""COMPUTED_VALUE"""),1)</f>
        <v>1</v>
      </c>
      <c r="AT1955" s="8"/>
      <c r="AU1955" s="8">
        <f ca="1">IFERROR(__xludf.DUMMYFUNCTION("""COMPUTED_VALUE"""),37.0978279)</f>
        <v>37.097827899999999</v>
      </c>
      <c r="AV1955" s="8">
        <f ca="1">IFERROR(__xludf.DUMMYFUNCTION("""COMPUTED_VALUE"""),-89.5625848)</f>
        <v>-89.562584799999996</v>
      </c>
      <c r="AW1955" s="8"/>
      <c r="AX1955" s="8">
        <f ca="1">IFERROR(__xludf.DUMMYFUNCTION("""COMPUTED_VALUE"""),63736)</f>
        <v>63736</v>
      </c>
    </row>
    <row r="1956" spans="1:50" ht="210" x14ac:dyDescent="0.2">
      <c r="A1956" s="8" t="str">
        <f ca="1">IFERROR(__xludf.DUMMYFUNCTION("""COMPUTED_VALUE"""),"20140610ORRET")</f>
        <v>20140610ORRET</v>
      </c>
      <c r="B1956" s="8">
        <f ca="1">IFERROR(__xludf.DUMMYFUNCTION("""COMPUTED_VALUE"""),6)</f>
        <v>6</v>
      </c>
      <c r="C1956" s="8">
        <f ca="1">IFERROR(__xludf.DUMMYFUNCTION("""COMPUTED_VALUE"""),10)</f>
        <v>10</v>
      </c>
      <c r="D1956" s="8">
        <f ca="1">IFERROR(__xludf.DUMMYFUNCTION("""COMPUTED_VALUE"""),2014)</f>
        <v>2014</v>
      </c>
      <c r="E1956" s="9">
        <f ca="1">IFERROR(__xludf.DUMMYFUNCTION("""COMPUTED_VALUE"""),41800)</f>
        <v>41800</v>
      </c>
      <c r="F1956" s="8" t="str">
        <f ca="1">IFERROR(__xludf.DUMMYFUNCTION("""COMPUTED_VALUE"""),"Reynolds High School")</f>
        <v>Reynolds High School</v>
      </c>
      <c r="G1956" s="8">
        <f ca="1">IFERROR(__xludf.DUMMYFUNCTION("""COMPUTED_VALUE"""),1)</f>
        <v>1</v>
      </c>
      <c r="H1956" s="8">
        <f ca="1">IFERROR(__xludf.DUMMYFUNCTION("""COMPUTED_VALUE"""),1)</f>
        <v>1</v>
      </c>
      <c r="I1956" s="8">
        <f ca="1">IFERROR(__xludf.DUMMYFUNCTION("""COMPUTED_VALUE"""),2)</f>
        <v>2</v>
      </c>
      <c r="J1956" s="8">
        <f ca="1">IFERROR(__xludf.DUMMYFUNCTION("""COMPUTED_VALUE"""),1)</f>
        <v>1</v>
      </c>
      <c r="K1956" s="8" t="str">
        <f ca="1">IFERROR(__xludf.DUMMYFUNCTION("""COMPUTED_VALUE"""),"https://www.usatoday.com/story/news/nation/2014/06/10/reynolds-high-school-shooting-portland/10279083/ http://www.oregonlive.com/portland/index.ssf/2015/04/troutdale_police_release_31_pa.html http://katu.com/news/local/police-15-year-old-reynolds-hs-shoot"&amp;"er-was-armed-with-assault-rifle https://www.fbi.gov/file-repository/active-shooter-incidents-2000-2017.pdf https://www.csmonitor.com/USA/USA-Update/2014/0612/Reynolds-High-School-shooter-quiet-kind-and-fascinated-by-guns https://www.kgw.com/article/news/j"&amp;"une-2014-student-killed-teacher-hurt-at-reynolds-high/283-71431805")</f>
        <v>https://www.usatoday.com/story/news/nation/2014/06/10/reynolds-high-school-shooting-portland/10279083/ http://www.oregonlive.com/portland/index.ssf/2015/04/troutdale_police_release_31_pa.html http://katu.com/news/local/police-15-year-old-reynolds-hs-shooter-was-armed-with-assault-rifle https://www.fbi.gov/file-repository/active-shooter-incidents-2000-2017.pdf https://www.csmonitor.com/USA/USA-Update/2014/0612/Reynolds-High-School-shooter-quiet-kind-and-fascinated-by-guns https://www.kgw.com/article/news/june-2014-student-killed-teacher-hurt-at-reynolds-high/283-71431805</v>
      </c>
      <c r="L1956" s="8">
        <f ca="1">IFERROR(__xludf.DUMMYFUNCTION("""COMPUTED_VALUE"""),11)</f>
        <v>11</v>
      </c>
      <c r="M1956" s="8" t="str">
        <f ca="1">IFERROR(__xludf.DUMMYFUNCTION("""COMPUTED_VALUE"""),"Local")</f>
        <v>Local</v>
      </c>
      <c r="N1956" s="8">
        <f ca="1">IFERROR(__xludf.DUMMYFUNCTION("""COMPUTED_VALUE"""),5)</f>
        <v>5</v>
      </c>
      <c r="O1956" s="8" t="str">
        <f ca="1">IFERROR(__xludf.DUMMYFUNCTION("""COMPUTED_VALUE"""),"Summer")</f>
        <v>Summer</v>
      </c>
      <c r="P1956" s="8" t="str">
        <f ca="1">IFERROR(__xludf.DUMMYFUNCTION("""COMPUTED_VALUE"""),"Troutdale")</f>
        <v>Troutdale</v>
      </c>
      <c r="Q1956" s="8" t="str">
        <f ca="1">IFERROR(__xludf.DUMMYFUNCTION("""COMPUTED_VALUE"""),"OR")</f>
        <v>OR</v>
      </c>
      <c r="R1956" s="8" t="str">
        <f ca="1">IFERROR(__xludf.DUMMYFUNCTION("""COMPUTED_VALUE"""),"High")</f>
        <v>High</v>
      </c>
      <c r="S1956" s="8" t="str">
        <f ca="1">IFERROR(__xludf.DUMMYFUNCTION("""COMPUTED_VALUE"""),"Gym")</f>
        <v>Gym</v>
      </c>
      <c r="T1956" s="8" t="str">
        <f ca="1">IFERROR(__xludf.DUMMYFUNCTION("""COMPUTED_VALUE"""),"Inside School Building")</f>
        <v>Inside School Building</v>
      </c>
      <c r="U1956" s="8" t="str">
        <f ca="1">IFERROR(__xludf.DUMMYFUNCTION("""COMPUTED_VALUE"""),"Yes")</f>
        <v>Yes</v>
      </c>
      <c r="V1956" s="8" t="str">
        <f ca="1">IFERROR(__xludf.DUMMYFUNCTION("""COMPUTED_VALUE"""),"Morning Classes")</f>
        <v>Morning Classes</v>
      </c>
      <c r="W1956" s="11">
        <f ca="1">IFERROR(__xludf.DUMMYFUNCTION("""COMPUTED_VALUE"""),0.338194444444444)</f>
        <v>0.33819444444444402</v>
      </c>
      <c r="X1956" s="8"/>
      <c r="Y1956" s="12" t="str">
        <f ca="1">IFERROR(__xludf.DUMMYFUNCTION("""COMPUTED_VALUE"""),"Planned attack on the school")</f>
        <v>Planned attack on the school</v>
      </c>
      <c r="Z1956" s="12" t="str">
        <f ca="1">IFERROR(__xludf.DUMMYFUNCTION("""COMPUTED_VALUE"""),"Shooter fired AR 15 at another student and gym teacher in boys locker room. Rifle was brought in a guitar case, Confronted by police and ran into bathroom stall and shot himself. Journal cited plan for school shooting because other students were sinners a"&amp;"nd smoked cigarettes. Shooter had experience shooting with his brother and father. Shooter has knowledge of where the keys to a locked gun closet and locked rifle case were stored in the house. Family members reported the shooter had acted normally the mo"&amp;"rning prior to the shooting and had told his family members ""love you, see you later"" when he left that morning. Involved with junior ROTC program. Students reported he talked about guns often and liked firearms pictures on social media. Plan documents "&amp;"found.")</f>
        <v>Shooter fired AR 15 at another student and gym teacher in boys locker room. Rifle was brought in a guitar case, Confronted by police and ran into bathroom stall and shot himself. Journal cited plan for school shooting because other students were sinners and smoked cigarettes. Shooter had experience shooting with his brother and father. Shooter has knowledge of where the keys to a locked gun closet and locked rifle case were stored in the house. Family members reported the shooter had acted normally the morning prior to the shooting and had told his family members "love you, see you later" when he left that morning. Involved with junior ROTC program. Students reported he talked about guns often and liked firearms pictures on social media. Plan documents found.</v>
      </c>
      <c r="AA1956" s="8" t="str">
        <f ca="1">IFERROR(__xludf.DUMMYFUNCTION("""COMPUTED_VALUE"""),"Indiscriminate Shooting")</f>
        <v>Indiscriminate Shooting</v>
      </c>
      <c r="AB1956" s="8"/>
      <c r="AC1956" s="8" t="str">
        <f ca="1">IFERROR(__xludf.DUMMYFUNCTION("""COMPUTED_VALUE"""),"Yes")</f>
        <v>Yes</v>
      </c>
      <c r="AD1956" s="8" t="str">
        <f ca="1">IFERROR(__xludf.DUMMYFUNCTION("""COMPUTED_VALUE"""),"Both")</f>
        <v>Both</v>
      </c>
      <c r="AE1956" s="8" t="str">
        <f ca="1">IFERROR(__xludf.DUMMYFUNCTION("""COMPUTED_VALUE"""),"No")</f>
        <v>No</v>
      </c>
      <c r="AF1956" s="8"/>
      <c r="AG1956" s="8" t="str">
        <f ca="1">IFERROR(__xludf.DUMMYFUNCTION("""COMPUTED_VALUE"""),"No")</f>
        <v>No</v>
      </c>
      <c r="AH1956" s="8" t="str">
        <f ca="1">IFERROR(__xludf.DUMMYFUNCTION("""COMPUTED_VALUE"""),"No")</f>
        <v>No</v>
      </c>
      <c r="AI1956" s="8" t="str">
        <f ca="1">IFERROR(__xludf.DUMMYFUNCTION("""COMPUTED_VALUE"""),"No")</f>
        <v>No</v>
      </c>
      <c r="AJ1956" s="8" t="str">
        <f ca="1">IFERROR(__xludf.DUMMYFUNCTION("""COMPUTED_VALUE"""),"No")</f>
        <v>No</v>
      </c>
      <c r="AK1956" s="8" t="str">
        <f ca="1">IFERROR(__xludf.DUMMYFUNCTION("""COMPUTED_VALUE"""),"No")</f>
        <v>No</v>
      </c>
      <c r="AL1956" s="8" t="str">
        <f ca="1">IFERROR(__xludf.DUMMYFUNCTION("""COMPUTED_VALUE"""),"No")</f>
        <v>No</v>
      </c>
      <c r="AM1956" s="8" t="str">
        <f ca="1">IFERROR(__xludf.DUMMYFUNCTION("""COMPUTED_VALUE"""),"Yes")</f>
        <v>Yes</v>
      </c>
      <c r="AN1956" s="8" t="str">
        <f ca="1">IFERROR(__xludf.DUMMYFUNCTION("""COMPUTED_VALUE"""),"Single Room")</f>
        <v>Single Room</v>
      </c>
      <c r="AO1956" s="8" t="str">
        <f ca="1">IFERROR(__xludf.DUMMYFUNCTION("""COMPUTED_VALUE"""),"Yes")</f>
        <v>Yes</v>
      </c>
      <c r="AP1956" s="8" t="str">
        <f ca="1">IFERROR(__xludf.DUMMYFUNCTION("""COMPUTED_VALUE"""),"Yes")</f>
        <v>Yes</v>
      </c>
      <c r="AQ1956" s="8" t="str">
        <f ca="1">IFERROR(__xludf.DUMMYFUNCTION("""COMPUTED_VALUE"""),"Unknown")</f>
        <v>Unknown</v>
      </c>
      <c r="AR1956" s="8" t="str">
        <f ca="1">IFERROR(__xludf.DUMMYFUNCTION("""COMPUTED_VALUE"""),"NA")</f>
        <v>NA</v>
      </c>
      <c r="AS1956" s="8"/>
      <c r="AT1956" s="8" t="str">
        <f ca="1">IFERROR(__xludf.DUMMYFUNCTION("""COMPUTED_VALUE"""),"Yes")</f>
        <v>Yes</v>
      </c>
      <c r="AU1956" s="8">
        <f ca="1">IFERROR(__xludf.DUMMYFUNCTION("""COMPUTED_VALUE"""),45.5285)</f>
        <v>45.528500000000001</v>
      </c>
      <c r="AV1956" s="8">
        <f ca="1">IFERROR(__xludf.DUMMYFUNCTION("""COMPUTED_VALUE"""),-122.4026)</f>
        <v>-122.40260000000001</v>
      </c>
      <c r="AW1956" s="8"/>
      <c r="AX1956" s="8">
        <f ca="1">IFERROR(__xludf.DUMMYFUNCTION("""COMPUTED_VALUE"""),97060)</f>
        <v>97060</v>
      </c>
    </row>
    <row r="1957" spans="1:50" ht="90" x14ac:dyDescent="0.2">
      <c r="A1957" s="8" t="str">
        <f ca="1">IFERROR(__xludf.DUMMYFUNCTION("""COMPUTED_VALUE"""),"20140521WICLM")</f>
        <v>20140521WICLM</v>
      </c>
      <c r="B1957" s="8">
        <f ca="1">IFERROR(__xludf.DUMMYFUNCTION("""COMPUTED_VALUE"""),5)</f>
        <v>5</v>
      </c>
      <c r="C1957" s="8">
        <f ca="1">IFERROR(__xludf.DUMMYFUNCTION("""COMPUTED_VALUE"""),21)</f>
        <v>21</v>
      </c>
      <c r="D1957" s="8">
        <f ca="1">IFERROR(__xludf.DUMMYFUNCTION("""COMPUTED_VALUE"""),2014)</f>
        <v>2014</v>
      </c>
      <c r="E1957" s="9">
        <f ca="1">IFERROR(__xludf.DUMMYFUNCTION("""COMPUTED_VALUE"""),41780)</f>
        <v>41780</v>
      </c>
      <c r="F1957" s="8" t="str">
        <f ca="1">IFERROR(__xludf.DUMMYFUNCTION("""COMPUTED_VALUE"""),"Clarke Street Elementary School")</f>
        <v>Clarke Street Elementary School</v>
      </c>
      <c r="G1957" s="8">
        <f ca="1">IFERROR(__xludf.DUMMYFUNCTION("""COMPUTED_VALUE"""),1)</f>
        <v>1</v>
      </c>
      <c r="H1957" s="8">
        <f ca="1">IFERROR(__xludf.DUMMYFUNCTION("""COMPUTED_VALUE"""),0)</f>
        <v>0</v>
      </c>
      <c r="I1957" s="8">
        <f ca="1">IFERROR(__xludf.DUMMYFUNCTION("""COMPUTED_VALUE"""),1)</f>
        <v>1</v>
      </c>
      <c r="J1957" s="8">
        <f ca="1">IFERROR(__xludf.DUMMYFUNCTION("""COMPUTED_VALUE"""),0)</f>
        <v>0</v>
      </c>
      <c r="K1957" s="8" t="str">
        <f ca="1">IFERROR(__xludf.DUMMYFUNCTION("""COMPUTED_VALUE"""),"http://archive.jsonline.com/news/crime/before-playground-tragedy-shots-were-fired-but-no-one-hurt-b99437655z1-291309961.html/  http://archive.jsonline.com/news/crime/man-18-charged-in-milwaukee-playground-shooting-b99279387z1-260962571.html/ . https://www"&amp;".newspapers.com/image/129890147/?terms=clarke%2Bstreet%2Belementary%2Bschool")</f>
        <v>http://archive.jsonline.com/news/crime/before-playground-tragedy-shots-were-fired-but-no-one-hurt-b99437655z1-291309961.html/  http://archive.jsonline.com/news/crime/man-18-charged-in-milwaukee-playground-shooting-b99279387z1-260962571.html/ . https://www.newspapers.com/image/129890147/?terms=clarke%2Bstreet%2Belementary%2Bschool</v>
      </c>
      <c r="L1957" s="8"/>
      <c r="M1957" s="8"/>
      <c r="N1957" s="8">
        <f ca="1">IFERROR(__xludf.DUMMYFUNCTION("""COMPUTED_VALUE"""),3)</f>
        <v>3</v>
      </c>
      <c r="O1957" s="8" t="str">
        <f ca="1">IFERROR(__xludf.DUMMYFUNCTION("""COMPUTED_VALUE"""),"Spring")</f>
        <v>Spring</v>
      </c>
      <c r="P1957" s="8" t="str">
        <f ca="1">IFERROR(__xludf.DUMMYFUNCTION("""COMPUTED_VALUE"""),"Milwaukee")</f>
        <v>Milwaukee</v>
      </c>
      <c r="Q1957" s="8" t="str">
        <f ca="1">IFERROR(__xludf.DUMMYFUNCTION("""COMPUTED_VALUE"""),"WI")</f>
        <v>WI</v>
      </c>
      <c r="R1957" s="8" t="str">
        <f ca="1">IFERROR(__xludf.DUMMYFUNCTION("""COMPUTED_VALUE"""),"Elementary")</f>
        <v>Elementary</v>
      </c>
      <c r="S1957" s="8" t="str">
        <f ca="1">IFERROR(__xludf.DUMMYFUNCTION("""COMPUTED_VALUE"""),"Front of School")</f>
        <v>Front of School</v>
      </c>
      <c r="T1957" s="8" t="str">
        <f ca="1">IFERROR(__xludf.DUMMYFUNCTION("""COMPUTED_VALUE"""),"Outside on School Property")</f>
        <v>Outside on School Property</v>
      </c>
      <c r="U1957" s="8" t="str">
        <f ca="1">IFERROR(__xludf.DUMMYFUNCTION("""COMPUTED_VALUE"""),"No")</f>
        <v>No</v>
      </c>
      <c r="V1957" s="8" t="str">
        <f ca="1">IFERROR(__xludf.DUMMYFUNCTION("""COMPUTED_VALUE"""),"Evening")</f>
        <v>Evening</v>
      </c>
      <c r="W1957" s="11">
        <f ca="1">IFERROR(__xludf.DUMMYFUNCTION("""COMPUTED_VALUE"""),0.791666666666666)</f>
        <v>0.79166666666666596</v>
      </c>
      <c r="X1957" s="8">
        <f ca="1">IFERROR(__xludf.DUMMYFUNCTION("""COMPUTED_VALUE"""),5)</f>
        <v>5</v>
      </c>
      <c r="Y1957" s="12" t="str">
        <f ca="1">IFERROR(__xludf.DUMMYFUNCTION("""COMPUTED_VALUE"""),"Dispute between men - bystander shot")</f>
        <v>Dispute between men - bystander shot</v>
      </c>
      <c r="Z1957" s="12" t="str">
        <f ca="1">IFERROR(__xludf.DUMMYFUNCTION("""COMPUTED_VALUE"""),"Two men became involved in a verbal argument. Shooter, who was on a bike advised police he was accused of stealing the bike belonging to another man. Shooter said other man began to pull a gun at which time, shooter pulled gun fired until it was empty - h"&amp;"e later sold gun for $250 - victim was hit in crossfire. Victim later died.")</f>
        <v>Two men became involved in a verbal argument. Shooter, who was on a bike advised police he was accused of stealing the bike belonging to another man. Shooter said other man began to pull a gun at which time, shooter pulled gun fired until it was empty - he later sold gun for $250 - victim was hit in crossfire. Victim later died.</v>
      </c>
      <c r="AA1957" s="8" t="str">
        <f ca="1">IFERROR(__xludf.DUMMYFUNCTION("""COMPUTED_VALUE"""),"Illegal Activity")</f>
        <v>Illegal Activity</v>
      </c>
      <c r="AB1957" s="8"/>
      <c r="AC1957" s="8" t="str">
        <f ca="1">IFERROR(__xludf.DUMMYFUNCTION("""COMPUTED_VALUE"""),"No")</f>
        <v>No</v>
      </c>
      <c r="AD1957" s="8" t="str">
        <f ca="1">IFERROR(__xludf.DUMMYFUNCTION("""COMPUTED_VALUE"""),"Random Shooting")</f>
        <v>Random Shooting</v>
      </c>
      <c r="AE1957" s="8"/>
      <c r="AF1957" s="8"/>
      <c r="AG1957" s="8" t="str">
        <f ca="1">IFERROR(__xludf.DUMMYFUNCTION("""COMPUTED_VALUE"""),"No")</f>
        <v>No</v>
      </c>
      <c r="AH1957" s="8" t="str">
        <f ca="1">IFERROR(__xludf.DUMMYFUNCTION("""COMPUTED_VALUE"""),"No")</f>
        <v>No</v>
      </c>
      <c r="AI1957" s="8" t="str">
        <f ca="1">IFERROR(__xludf.DUMMYFUNCTION("""COMPUTED_VALUE"""),"No")</f>
        <v>No</v>
      </c>
      <c r="AJ1957" s="8" t="str">
        <f ca="1">IFERROR(__xludf.DUMMYFUNCTION("""COMPUTED_VALUE"""),"No")</f>
        <v>No</v>
      </c>
      <c r="AK1957" s="8" t="str">
        <f ca="1">IFERROR(__xludf.DUMMYFUNCTION("""COMPUTED_VALUE"""),"No")</f>
        <v>No</v>
      </c>
      <c r="AL1957" s="8" t="str">
        <f ca="1">IFERROR(__xludf.DUMMYFUNCTION("""COMPUTED_VALUE"""),"No")</f>
        <v>No</v>
      </c>
      <c r="AM1957" s="8"/>
      <c r="AN1957" s="8"/>
      <c r="AO1957" s="8" t="str">
        <f ca="1">IFERROR(__xludf.DUMMYFUNCTION("""COMPUTED_VALUE"""),"No")</f>
        <v>No</v>
      </c>
      <c r="AP1957" s="8"/>
      <c r="AQ1957" s="8" t="str">
        <f ca="1">IFERROR(__xludf.DUMMYFUNCTION("""COMPUTED_VALUE"""),"Unknown")</f>
        <v>Unknown</v>
      </c>
      <c r="AR1957" s="8" t="str">
        <f ca="1">IFERROR(__xludf.DUMMYFUNCTION("""COMPUTED_VALUE"""),"NA")</f>
        <v>NA</v>
      </c>
      <c r="AS1957" s="8" t="str">
        <f ca="1">IFERROR(__xludf.DUMMYFUNCTION("""COMPUTED_VALUE"""),"20+")</f>
        <v>20+</v>
      </c>
      <c r="AT1957" s="8"/>
      <c r="AU1957" s="8">
        <f ca="1">IFERROR(__xludf.DUMMYFUNCTION("""COMPUTED_VALUE"""),43.0389025)</f>
        <v>43.038902499999999</v>
      </c>
      <c r="AV1957" s="8">
        <f ca="1">IFERROR(__xludf.DUMMYFUNCTION("""COMPUTED_VALUE"""),-87.9064736)</f>
        <v>-87.906473599999998</v>
      </c>
      <c r="AW1957" s="8"/>
      <c r="AX1957" s="8">
        <f ca="1">IFERROR(__xludf.DUMMYFUNCTION("""COMPUTED_VALUE"""),53203)</f>
        <v>53203</v>
      </c>
    </row>
    <row r="1958" spans="1:50" ht="75" x14ac:dyDescent="0.2">
      <c r="A1958" s="8" t="str">
        <f ca="1">IFERROR(__xludf.DUMMYFUNCTION("""COMPUTED_VALUE"""),"20140514CAJOR")</f>
        <v>20140514CAJOR</v>
      </c>
      <c r="B1958" s="8">
        <f ca="1">IFERROR(__xludf.DUMMYFUNCTION("""COMPUTED_VALUE"""),5)</f>
        <v>5</v>
      </c>
      <c r="C1958" s="8">
        <f ca="1">IFERROR(__xludf.DUMMYFUNCTION("""COMPUTED_VALUE"""),14)</f>
        <v>14</v>
      </c>
      <c r="D1958" s="8">
        <f ca="1">IFERROR(__xludf.DUMMYFUNCTION("""COMPUTED_VALUE"""),2014)</f>
        <v>2014</v>
      </c>
      <c r="E1958" s="9">
        <f ca="1">IFERROR(__xludf.DUMMYFUNCTION("""COMPUTED_VALUE"""),41773)</f>
        <v>41773</v>
      </c>
      <c r="F1958" s="8" t="str">
        <f ca="1">IFERROR(__xludf.DUMMYFUNCTION("""COMPUTED_VALUE"""),"John F. Kennedy High School")</f>
        <v>John F. Kennedy High School</v>
      </c>
      <c r="G1958" s="8">
        <f ca="1">IFERROR(__xludf.DUMMYFUNCTION("""COMPUTED_VALUE"""),0)</f>
        <v>0</v>
      </c>
      <c r="H1958" s="8">
        <f ca="1">IFERROR(__xludf.DUMMYFUNCTION("""COMPUTED_VALUE"""),1)</f>
        <v>1</v>
      </c>
      <c r="I1958" s="8">
        <f ca="1">IFERROR(__xludf.DUMMYFUNCTION("""COMPUTED_VALUE"""),1)</f>
        <v>1</v>
      </c>
      <c r="J1958" s="8">
        <f ca="1">IFERROR(__xludf.DUMMYFUNCTION("""COMPUTED_VALUE"""),0)</f>
        <v>0</v>
      </c>
      <c r="K1958" s="10" t="str">
        <f ca="1">IFERROR(__xludf.DUMMYFUNCTION("""COMPUTED_VALUE"""),"https://www.nbcbayarea.com/news/local/Student-Shot-Kennedy-High-School-in-Richmond-on-Lockdown-259238751.html")</f>
        <v>https://www.nbcbayarea.com/news/local/Student-Shot-Kennedy-High-School-in-Richmond-on-Lockdown-259238751.html</v>
      </c>
      <c r="L1958" s="8">
        <f ca="1">IFERROR(__xludf.DUMMYFUNCTION("""COMPUTED_VALUE"""),1)</f>
        <v>1</v>
      </c>
      <c r="M1958" s="8" t="str">
        <f ca="1">IFERROR(__xludf.DUMMYFUNCTION("""COMPUTED_VALUE"""),"Local")</f>
        <v>Local</v>
      </c>
      <c r="N1958" s="8">
        <f ca="1">IFERROR(__xludf.DUMMYFUNCTION("""COMPUTED_VALUE"""),2)</f>
        <v>2</v>
      </c>
      <c r="O1958" s="8" t="str">
        <f ca="1">IFERROR(__xludf.DUMMYFUNCTION("""COMPUTED_VALUE"""),"Spring")</f>
        <v>Spring</v>
      </c>
      <c r="P1958" s="8" t="str">
        <f ca="1">IFERROR(__xludf.DUMMYFUNCTION("""COMPUTED_VALUE"""),"Richmond")</f>
        <v>Richmond</v>
      </c>
      <c r="Q1958" s="8" t="str">
        <f ca="1">IFERROR(__xludf.DUMMYFUNCTION("""COMPUTED_VALUE"""),"CA")</f>
        <v>CA</v>
      </c>
      <c r="R1958" s="8" t="str">
        <f ca="1">IFERROR(__xludf.DUMMYFUNCTION("""COMPUTED_VALUE"""),"High")</f>
        <v>High</v>
      </c>
      <c r="S1958" s="8" t="str">
        <f ca="1">IFERROR(__xludf.DUMMYFUNCTION("""COMPUTED_VALUE"""),"Off School Property")</f>
        <v>Off School Property</v>
      </c>
      <c r="T1958" s="8" t="str">
        <f ca="1">IFERROR(__xludf.DUMMYFUNCTION("""COMPUTED_VALUE"""),"Off School Property")</f>
        <v>Off School Property</v>
      </c>
      <c r="U1958" s="8" t="str">
        <f ca="1">IFERROR(__xludf.DUMMYFUNCTION("""COMPUTED_VALUE"""),"Yes")</f>
        <v>Yes</v>
      </c>
      <c r="V1958" s="8" t="str">
        <f ca="1">IFERROR(__xludf.DUMMYFUNCTION("""COMPUTED_VALUE"""),"Before School")</f>
        <v>Before School</v>
      </c>
      <c r="W1958" s="11">
        <f ca="1">IFERROR(__xludf.DUMMYFUNCTION("""COMPUTED_VALUE"""),0.375)</f>
        <v>0.375</v>
      </c>
      <c r="X1958" s="8"/>
      <c r="Y1958" s="12" t="str">
        <f ca="1">IFERROR(__xludf.DUMMYFUNCTION("""COMPUTED_VALUE"""),"Drive-by shooting after fight")</f>
        <v>Drive-by shooting after fight</v>
      </c>
      <c r="Z1958" s="12" t="str">
        <f ca="1">IFERROR(__xludf.DUMMYFUNCTION("""COMPUTED_VALUE"""),"Fight between rival gang members had occurred earlier at the park across from the school, which escalated into a shooting. Not known if the victim participated in the altercation. Victim got shot in the leg and made it to the school for help.")</f>
        <v>Fight between rival gang members had occurred earlier at the park across from the school, which escalated into a shooting. Not known if the victim participated in the altercation. Victim got shot in the leg and made it to the school for help.</v>
      </c>
      <c r="AA1958" s="8" t="str">
        <f ca="1">IFERROR(__xludf.DUMMYFUNCTION("""COMPUTED_VALUE"""),"Drive-by Shooting")</f>
        <v>Drive-by Shooting</v>
      </c>
      <c r="AB1958" s="8"/>
      <c r="AC1958" s="8" t="str">
        <f ca="1">IFERROR(__xludf.DUMMYFUNCTION("""COMPUTED_VALUE"""),"No")</f>
        <v>No</v>
      </c>
      <c r="AD1958" s="8"/>
      <c r="AE1958" s="8"/>
      <c r="AF1958" s="8"/>
      <c r="AG1958" s="8" t="str">
        <f ca="1">IFERROR(__xludf.DUMMYFUNCTION("""COMPUTED_VALUE"""),"No")</f>
        <v>No</v>
      </c>
      <c r="AH1958" s="8" t="str">
        <f ca="1">IFERROR(__xludf.DUMMYFUNCTION("""COMPUTED_VALUE"""),"No")</f>
        <v>No</v>
      </c>
      <c r="AI1958" s="8" t="str">
        <f ca="1">IFERROR(__xludf.DUMMYFUNCTION("""COMPUTED_VALUE"""),"No")</f>
        <v>No</v>
      </c>
      <c r="AJ1958" s="8" t="str">
        <f ca="1">IFERROR(__xludf.DUMMYFUNCTION("""COMPUTED_VALUE"""),"No")</f>
        <v>No</v>
      </c>
      <c r="AK1958" s="8" t="str">
        <f ca="1">IFERROR(__xludf.DUMMYFUNCTION("""COMPUTED_VALUE"""),"No")</f>
        <v>No</v>
      </c>
      <c r="AL1958" s="8" t="str">
        <f ca="1">IFERROR(__xludf.DUMMYFUNCTION("""COMPUTED_VALUE"""),"Yes")</f>
        <v>Yes</v>
      </c>
      <c r="AM1958" s="8"/>
      <c r="AN1958" s="8"/>
      <c r="AO1958" s="8" t="str">
        <f ca="1">IFERROR(__xludf.DUMMYFUNCTION("""COMPUTED_VALUE"""),"No")</f>
        <v>No</v>
      </c>
      <c r="AP1958" s="8" t="str">
        <f ca="1">IFERROR(__xludf.DUMMYFUNCTION("""COMPUTED_VALUE"""),"Yes")</f>
        <v>Yes</v>
      </c>
      <c r="AQ1958" s="8" t="str">
        <f ca="1">IFERROR(__xludf.DUMMYFUNCTION("""COMPUTED_VALUE"""),"Unknown")</f>
        <v>Unknown</v>
      </c>
      <c r="AR1958" s="8" t="str">
        <f ca="1">IFERROR(__xludf.DUMMYFUNCTION("""COMPUTED_VALUE"""),"NA")</f>
        <v>NA</v>
      </c>
      <c r="AS1958" s="8"/>
      <c r="AT1958" s="8" t="str">
        <f ca="1">IFERROR(__xludf.DUMMYFUNCTION("""COMPUTED_VALUE"""),"Yes")</f>
        <v>Yes</v>
      </c>
      <c r="AU1958" s="8">
        <f ca="1">IFERROR(__xludf.DUMMYFUNCTION("""COMPUTED_VALUE"""),37.925482)</f>
        <v>37.925482000000002</v>
      </c>
      <c r="AV1958" s="8">
        <f ca="1">IFERROR(__xludf.DUMMYFUNCTION("""COMPUTED_VALUE"""),-122.325595)</f>
        <v>-122.32559500000001</v>
      </c>
      <c r="AW1958" s="8"/>
      <c r="AX1958" s="8">
        <f ca="1">IFERROR(__xludf.DUMMYFUNCTION("""COMPUTED_VALUE"""),94804)</f>
        <v>94804</v>
      </c>
    </row>
    <row r="1959" spans="1:50" ht="30" x14ac:dyDescent="0.2">
      <c r="A1959" s="8" t="str">
        <f ca="1">IFERROR(__xludf.DUMMYFUNCTION("""COMPUTED_VALUE"""),"20140503WAHOE")</f>
        <v>20140503WAHOE</v>
      </c>
      <c r="B1959" s="8">
        <f ca="1">IFERROR(__xludf.DUMMYFUNCTION("""COMPUTED_VALUE"""),5)</f>
        <v>5</v>
      </c>
      <c r="C1959" s="8">
        <f ca="1">IFERROR(__xludf.DUMMYFUNCTION("""COMPUTED_VALUE"""),3)</f>
        <v>3</v>
      </c>
      <c r="D1959" s="8">
        <f ca="1">IFERROR(__xludf.DUMMYFUNCTION("""COMPUTED_VALUE"""),2014)</f>
        <v>2014</v>
      </c>
      <c r="E1959" s="9">
        <f ca="1">IFERROR(__xludf.DUMMYFUNCTION("""COMPUTED_VALUE"""),41762)</f>
        <v>41762</v>
      </c>
      <c r="F1959" s="8" t="str">
        <f ca="1">IFERROR(__xludf.DUMMYFUNCTION("""COMPUTED_VALUE"""),"Horizon Elementary School")</f>
        <v>Horizon Elementary School</v>
      </c>
      <c r="G1959" s="8">
        <f ca="1">IFERROR(__xludf.DUMMYFUNCTION("""COMPUTED_VALUE"""),0)</f>
        <v>0</v>
      </c>
      <c r="H1959" s="8">
        <f ca="1">IFERROR(__xludf.DUMMYFUNCTION("""COMPUTED_VALUE"""),1)</f>
        <v>1</v>
      </c>
      <c r="I1959" s="8">
        <f ca="1">IFERROR(__xludf.DUMMYFUNCTION("""COMPUTED_VALUE"""),1)</f>
        <v>1</v>
      </c>
      <c r="J1959" s="8">
        <f ca="1">IFERROR(__xludf.DUMMYFUNCTION("""COMPUTED_VALUE"""),0)</f>
        <v>0</v>
      </c>
      <c r="K1959" s="10" t="str">
        <f ca="1">IFERROR(__xludf.DUMMYFUNCTION("""COMPUTED_VALUE"""),"http://www.newsofmillcreek.com/content/weekend-shooting-horizon-elementary-school")</f>
        <v>http://www.newsofmillcreek.com/content/weekend-shooting-horizon-elementary-school</v>
      </c>
      <c r="L1959" s="8"/>
      <c r="M1959" s="8"/>
      <c r="N1959" s="8">
        <f ca="1">IFERROR(__xludf.DUMMYFUNCTION("""COMPUTED_VALUE"""),2)</f>
        <v>2</v>
      </c>
      <c r="O1959" s="8" t="str">
        <f ca="1">IFERROR(__xludf.DUMMYFUNCTION("""COMPUTED_VALUE"""),"Spring")</f>
        <v>Spring</v>
      </c>
      <c r="P1959" s="8" t="str">
        <f ca="1">IFERROR(__xludf.DUMMYFUNCTION("""COMPUTED_VALUE"""),"Everett")</f>
        <v>Everett</v>
      </c>
      <c r="Q1959" s="8" t="str">
        <f ca="1">IFERROR(__xludf.DUMMYFUNCTION("""COMPUTED_VALUE"""),"WA")</f>
        <v>WA</v>
      </c>
      <c r="R1959" s="8" t="str">
        <f ca="1">IFERROR(__xludf.DUMMYFUNCTION("""COMPUTED_VALUE"""),"Elementary")</f>
        <v>Elementary</v>
      </c>
      <c r="S1959" s="8" t="str">
        <f ca="1">IFERROR(__xludf.DUMMYFUNCTION("""COMPUTED_VALUE"""),"Basketball Court")</f>
        <v>Basketball Court</v>
      </c>
      <c r="T1959" s="8" t="str">
        <f ca="1">IFERROR(__xludf.DUMMYFUNCTION("""COMPUTED_VALUE"""),"Outside on School Property")</f>
        <v>Outside on School Property</v>
      </c>
      <c r="U1959" s="8" t="str">
        <f ca="1">IFERROR(__xludf.DUMMYFUNCTION("""COMPUTED_VALUE"""),"No")</f>
        <v>No</v>
      </c>
      <c r="V1959" s="8" t="str">
        <f ca="1">IFERROR(__xludf.DUMMYFUNCTION("""COMPUTED_VALUE"""),"Not a School Day")</f>
        <v>Not a School Day</v>
      </c>
      <c r="W1959" s="11">
        <f ca="1">IFERROR(__xludf.DUMMYFUNCTION("""COMPUTED_VALUE"""),0.770833333333333)</f>
        <v>0.77083333333333304</v>
      </c>
      <c r="X1959" s="8">
        <f ca="1">IFERROR(__xludf.DUMMYFUNCTION("""COMPUTED_VALUE"""),1)</f>
        <v>1</v>
      </c>
      <c r="Y1959" s="12" t="str">
        <f ca="1">IFERROR(__xludf.DUMMYFUNCTION("""COMPUTED_VALUE"""),"Dispute on basketball court")</f>
        <v>Dispute on basketball court</v>
      </c>
      <c r="Z1959" s="12" t="str">
        <f ca="1">IFERROR(__xludf.DUMMYFUNCTION("""COMPUTED_VALUE"""),"15YOM shot on basketball court during dispute. Police said the incident was gang related.")</f>
        <v>15YOM shot on basketball court during dispute. Police said the incident was gang related.</v>
      </c>
      <c r="AA1959" s="8" t="str">
        <f ca="1">IFERROR(__xludf.DUMMYFUNCTION("""COMPUTED_VALUE"""),"Escalation of Dispute")</f>
        <v>Escalation of Dispute</v>
      </c>
      <c r="AB1959" s="8"/>
      <c r="AC1959" s="8" t="str">
        <f ca="1">IFERROR(__xludf.DUMMYFUNCTION("""COMPUTED_VALUE"""),"No")</f>
        <v>No</v>
      </c>
      <c r="AD1959" s="8"/>
      <c r="AE1959" s="8"/>
      <c r="AF1959" s="8"/>
      <c r="AG1959" s="8" t="str">
        <f ca="1">IFERROR(__xludf.DUMMYFUNCTION("""COMPUTED_VALUE"""),"No")</f>
        <v>No</v>
      </c>
      <c r="AH1959" s="8" t="str">
        <f ca="1">IFERROR(__xludf.DUMMYFUNCTION("""COMPUTED_VALUE"""),"No")</f>
        <v>No</v>
      </c>
      <c r="AI1959" s="8" t="str">
        <f ca="1">IFERROR(__xludf.DUMMYFUNCTION("""COMPUTED_VALUE"""),"No")</f>
        <v>No</v>
      </c>
      <c r="AJ1959" s="8"/>
      <c r="AK1959" s="8" t="str">
        <f ca="1">IFERROR(__xludf.DUMMYFUNCTION("""COMPUTED_VALUE"""),"No")</f>
        <v>No</v>
      </c>
      <c r="AL1959" s="8" t="str">
        <f ca="1">IFERROR(__xludf.DUMMYFUNCTION("""COMPUTED_VALUE"""),"Yes")</f>
        <v>Yes</v>
      </c>
      <c r="AM1959" s="8"/>
      <c r="AN1959" s="8"/>
      <c r="AO1959" s="8" t="str">
        <f ca="1">IFERROR(__xludf.DUMMYFUNCTION("""COMPUTED_VALUE"""),"No")</f>
        <v>No</v>
      </c>
      <c r="AP1959" s="8"/>
      <c r="AQ1959" s="8" t="str">
        <f ca="1">IFERROR(__xludf.DUMMYFUNCTION("""COMPUTED_VALUE"""),"Unknown")</f>
        <v>Unknown</v>
      </c>
      <c r="AR1959" s="8" t="str">
        <f ca="1">IFERROR(__xludf.DUMMYFUNCTION("""COMPUTED_VALUE"""),"NA")</f>
        <v>NA</v>
      </c>
      <c r="AS1959" s="8"/>
      <c r="AT1959" s="8"/>
      <c r="AU1959" s="8">
        <f ca="1">IFERROR(__xludf.DUMMYFUNCTION("""COMPUTED_VALUE"""),47.920589)</f>
        <v>47.920589</v>
      </c>
      <c r="AV1959" s="8">
        <f ca="1">IFERROR(__xludf.DUMMYFUNCTION("""COMPUTED_VALUE"""),-122.237437)</f>
        <v>-122.237437</v>
      </c>
      <c r="AW1959" s="8"/>
      <c r="AX1959" s="8">
        <f ca="1">IFERROR(__xludf.DUMMYFUNCTION("""COMPUTED_VALUE"""),98204)</f>
        <v>98204</v>
      </c>
    </row>
    <row r="1960" spans="1:50" ht="90" x14ac:dyDescent="0.2">
      <c r="A1960" s="8" t="str">
        <f ca="1">IFERROR(__xludf.DUMMYFUNCTION("""COMPUTED_VALUE"""),"20140421UTPRP")</f>
        <v>20140421UTPRP</v>
      </c>
      <c r="B1960" s="8">
        <f ca="1">IFERROR(__xludf.DUMMYFUNCTION("""COMPUTED_VALUE"""),4)</f>
        <v>4</v>
      </c>
      <c r="C1960" s="8">
        <f ca="1">IFERROR(__xludf.DUMMYFUNCTION("""COMPUTED_VALUE"""),21)</f>
        <v>21</v>
      </c>
      <c r="D1960" s="8">
        <f ca="1">IFERROR(__xludf.DUMMYFUNCTION("""COMPUTED_VALUE"""),2014)</f>
        <v>2014</v>
      </c>
      <c r="E1960" s="9">
        <f ca="1">IFERROR(__xludf.DUMMYFUNCTION("""COMPUTED_VALUE"""),41750)</f>
        <v>41750</v>
      </c>
      <c r="F1960" s="8" t="str">
        <f ca="1">IFERROR(__xludf.DUMMYFUNCTION("""COMPUTED_VALUE"""),"Provo High School")</f>
        <v>Provo High School</v>
      </c>
      <c r="G1960" s="8">
        <f ca="1">IFERROR(__xludf.DUMMYFUNCTION("""COMPUTED_VALUE"""),0)</f>
        <v>0</v>
      </c>
      <c r="H1960" s="8">
        <f ca="1">IFERROR(__xludf.DUMMYFUNCTION("""COMPUTED_VALUE"""),0)</f>
        <v>0</v>
      </c>
      <c r="I1960" s="8">
        <f ca="1">IFERROR(__xludf.DUMMYFUNCTION("""COMPUTED_VALUE"""),0)</f>
        <v>0</v>
      </c>
      <c r="J1960" s="8">
        <f ca="1">IFERROR(__xludf.DUMMYFUNCTION("""COMPUTED_VALUE"""),0)</f>
        <v>0</v>
      </c>
      <c r="K1960" s="8" t="str">
        <f ca="1">IFERROR(__xludf.DUMMYFUNCTION("""COMPUTED_VALUE"""),"https://www.heraldextra.com/news/local/central/provo/student-shoots-himself-at-provo-high-didn-t-target-others/article_928ce059-c44a-528b-a4de-d8e3dc895f42.html  http://archive.sltrib.com/article.php?id=57847514&amp;itype=CMSID . https://www.good4utah.com/new"&amp;"s/local-utah-state-news-/student-shoots-himself-at-provo-high/207007613")</f>
        <v>https://www.heraldextra.com/news/local/central/provo/student-shoots-himself-at-provo-high-didn-t-target-others/article_928ce059-c44a-528b-a4de-d8e3dc895f42.html  http://archive.sltrib.com/article.php?id=57847514&amp;itype=CMSID . https://www.good4utah.com/news/local-utah-state-news-/student-shoots-himself-at-provo-high/207007613</v>
      </c>
      <c r="L1960" s="8"/>
      <c r="M1960" s="8"/>
      <c r="N1960" s="8">
        <f ca="1">IFERROR(__xludf.DUMMYFUNCTION("""COMPUTED_VALUE"""),3)</f>
        <v>3</v>
      </c>
      <c r="O1960" s="8" t="str">
        <f ca="1">IFERROR(__xludf.DUMMYFUNCTION("""COMPUTED_VALUE"""),"Spring")</f>
        <v>Spring</v>
      </c>
      <c r="P1960" s="8" t="str">
        <f ca="1">IFERROR(__xludf.DUMMYFUNCTION("""COMPUTED_VALUE"""),"Provo")</f>
        <v>Provo</v>
      </c>
      <c r="Q1960" s="8" t="str">
        <f ca="1">IFERROR(__xludf.DUMMYFUNCTION("""COMPUTED_VALUE"""),"UT")</f>
        <v>UT</v>
      </c>
      <c r="R1960" s="8" t="str">
        <f ca="1">IFERROR(__xludf.DUMMYFUNCTION("""COMPUTED_VALUE"""),"High")</f>
        <v>High</v>
      </c>
      <c r="S1960" s="8" t="str">
        <f ca="1">IFERROR(__xludf.DUMMYFUNCTION("""COMPUTED_VALUE"""),"Beside Building")</f>
        <v>Beside Building</v>
      </c>
      <c r="T1960" s="8" t="str">
        <f ca="1">IFERROR(__xludf.DUMMYFUNCTION("""COMPUTED_VALUE"""),"Outside on School Property")</f>
        <v>Outside on School Property</v>
      </c>
      <c r="U1960" s="8" t="str">
        <f ca="1">IFERROR(__xludf.DUMMYFUNCTION("""COMPUTED_VALUE"""),"Yes")</f>
        <v>Yes</v>
      </c>
      <c r="V1960" s="8" t="str">
        <f ca="1">IFERROR(__xludf.DUMMYFUNCTION("""COMPUTED_VALUE"""),"Afternoon Classes")</f>
        <v>Afternoon Classes</v>
      </c>
      <c r="W1960" s="11">
        <f ca="1">IFERROR(__xludf.DUMMYFUNCTION("""COMPUTED_VALUE"""),0.604166666666666)</f>
        <v>0.60416666666666596</v>
      </c>
      <c r="X1960" s="8">
        <f ca="1">IFERROR(__xludf.DUMMYFUNCTION("""COMPUTED_VALUE"""),1)</f>
        <v>1</v>
      </c>
      <c r="Y1960" s="12" t="str">
        <f ca="1">IFERROR(__xludf.DUMMYFUNCTION("""COMPUTED_VALUE"""),"Suicide attempt, student shot self in face")</f>
        <v>Suicide attempt, student shot self in face</v>
      </c>
      <c r="Z1960" s="12" t="str">
        <f ca="1">IFERROR(__xludf.DUMMYFUNCTION("""COMPUTED_VALUE"""),"14 year old male brought .22 caliber gun to school in backpack - shortly before the dismissal bell, student went behind  a school building and shot himself in the face. The bullet went in one cheek and out the other chipping a tooth and causing no serious"&amp;" damage - after the shooting, the student went back inside and called 911")</f>
        <v>14 year old male brought .22 caliber gun to school in backpack - shortly before the dismissal bell, student went behind  a school building and shot himself in the face. The bullet went in one cheek and out the other chipping a tooth and causing no serious damage - after the shooting, the student went back inside and called 911</v>
      </c>
      <c r="AA1960" s="8" t="str">
        <f ca="1">IFERROR(__xludf.DUMMYFUNCTION("""COMPUTED_VALUE"""),"Suicide/Attempted")</f>
        <v>Suicide/Attempted</v>
      </c>
      <c r="AB1960" s="8"/>
      <c r="AC1960" s="8" t="str">
        <f ca="1">IFERROR(__xludf.DUMMYFUNCTION("""COMPUTED_VALUE"""),"Yes")</f>
        <v>Yes</v>
      </c>
      <c r="AD1960" s="8" t="str">
        <f ca="1">IFERROR(__xludf.DUMMYFUNCTION("""COMPUTED_VALUE"""),"Victims Targeted")</f>
        <v>Victims Targeted</v>
      </c>
      <c r="AE1960" s="8" t="str">
        <f ca="1">IFERROR(__xludf.DUMMYFUNCTION("""COMPUTED_VALUE"""),"No")</f>
        <v>No</v>
      </c>
      <c r="AF1960" s="8"/>
      <c r="AG1960" s="8" t="str">
        <f ca="1">IFERROR(__xludf.DUMMYFUNCTION("""COMPUTED_VALUE"""),"No")</f>
        <v>No</v>
      </c>
      <c r="AH1960" s="8" t="str">
        <f ca="1">IFERROR(__xludf.DUMMYFUNCTION("""COMPUTED_VALUE"""),"No")</f>
        <v>No</v>
      </c>
      <c r="AI1960" s="8" t="str">
        <f ca="1">IFERROR(__xludf.DUMMYFUNCTION("""COMPUTED_VALUE"""),"No")</f>
        <v>No</v>
      </c>
      <c r="AJ1960" s="8"/>
      <c r="AK1960" s="8"/>
      <c r="AL1960" s="8" t="str">
        <f ca="1">IFERROR(__xludf.DUMMYFUNCTION("""COMPUTED_VALUE"""),"No")</f>
        <v>No</v>
      </c>
      <c r="AM1960" s="8"/>
      <c r="AN1960" s="8"/>
      <c r="AO1960" s="8" t="str">
        <f ca="1">IFERROR(__xludf.DUMMYFUNCTION("""COMPUTED_VALUE"""),"No")</f>
        <v>No</v>
      </c>
      <c r="AP1960" s="8"/>
      <c r="AQ1960" s="8" t="str">
        <f ca="1">IFERROR(__xludf.DUMMYFUNCTION("""COMPUTED_VALUE"""),"None")</f>
        <v>None</v>
      </c>
      <c r="AR1960" s="8" t="str">
        <f ca="1">IFERROR(__xludf.DUMMYFUNCTION("""COMPUTED_VALUE"""),"NA")</f>
        <v>NA</v>
      </c>
      <c r="AS1960" s="8">
        <f ca="1">IFERROR(__xludf.DUMMYFUNCTION("""COMPUTED_VALUE"""),1)</f>
        <v>1</v>
      </c>
      <c r="AT1960" s="8"/>
      <c r="AU1960" s="8">
        <f ca="1">IFERROR(__xludf.DUMMYFUNCTION("""COMPUTED_VALUE"""),40.2338438)</f>
        <v>40.233843800000002</v>
      </c>
      <c r="AV1960" s="8">
        <f ca="1">IFERROR(__xludf.DUMMYFUNCTION("""COMPUTED_VALUE"""),-111.6585337)</f>
        <v>-111.65853370000001</v>
      </c>
      <c r="AW1960" s="8"/>
      <c r="AX1960" s="8">
        <f ca="1">IFERROR(__xludf.DUMMYFUNCTION("""COMPUTED_VALUE"""),84603)</f>
        <v>84603</v>
      </c>
    </row>
    <row r="1961" spans="1:50" ht="90" x14ac:dyDescent="0.2">
      <c r="A1961" s="8" t="str">
        <f ca="1">IFERROR(__xludf.DUMMYFUNCTION("""COMPUTED_VALUE"""),"20140421INSTG")</f>
        <v>20140421INSTG</v>
      </c>
      <c r="B1961" s="8">
        <f ca="1">IFERROR(__xludf.DUMMYFUNCTION("""COMPUTED_VALUE"""),4)</f>
        <v>4</v>
      </c>
      <c r="C1961" s="8">
        <f ca="1">IFERROR(__xludf.DUMMYFUNCTION("""COMPUTED_VALUE"""),21)</f>
        <v>21</v>
      </c>
      <c r="D1961" s="8">
        <f ca="1">IFERROR(__xludf.DUMMYFUNCTION("""COMPUTED_VALUE"""),2014)</f>
        <v>2014</v>
      </c>
      <c r="E1961" s="9">
        <f ca="1">IFERROR(__xludf.DUMMYFUNCTION("""COMPUTED_VALUE"""),41750)</f>
        <v>41750</v>
      </c>
      <c r="F1961" s="8" t="str">
        <f ca="1">IFERROR(__xludf.DUMMYFUNCTION("""COMPUTED_VALUE"""),"St. Mary Catholic School")</f>
        <v>St. Mary Catholic School</v>
      </c>
      <c r="G1961" s="8">
        <f ca="1">IFERROR(__xludf.DUMMYFUNCTION("""COMPUTED_VALUE"""),1)</f>
        <v>1</v>
      </c>
      <c r="H1961" s="8">
        <f ca="1">IFERROR(__xludf.DUMMYFUNCTION("""COMPUTED_VALUE"""),0)</f>
        <v>0</v>
      </c>
      <c r="I1961" s="8">
        <f ca="1">IFERROR(__xludf.DUMMYFUNCTION("""COMPUTED_VALUE"""),1)</f>
        <v>1</v>
      </c>
      <c r="J1961" s="8">
        <f ca="1">IFERROR(__xludf.DUMMYFUNCTION("""COMPUTED_VALUE"""),1)</f>
        <v>1</v>
      </c>
      <c r="K1961" s="8" t="str">
        <f ca="1">IFERROR(__xludf.DUMMYFUNCTION("""COMPUTED_VALUE"""),"https://www.nbcchicago.com/news/local/Man-Shoots-Estranged-Wife-in-School-Parking-Lot-256119341.html   https://www.nwitimes.com/news/local/lake/griffith/fatal-shooting-at-church-parking-lot-in-griffith/article_94f13feb-244f-51f5-82c2-89075f963b59.html . h"&amp;"ttps://www.cbsnews.com/news/cops-man-killed-wife-outside-indiana-school-infront-of-kids/")</f>
        <v>https://www.nbcchicago.com/news/local/Man-Shoots-Estranged-Wife-in-School-Parking-Lot-256119341.html   https://www.nwitimes.com/news/local/lake/griffith/fatal-shooting-at-church-parking-lot-in-griffith/article_94f13feb-244f-51f5-82c2-89075f963b59.html . https://www.cbsnews.com/news/cops-man-killed-wife-outside-indiana-school-infront-of-kids/</v>
      </c>
      <c r="L1961" s="8"/>
      <c r="M1961" s="8"/>
      <c r="N1961" s="8">
        <f ca="1">IFERROR(__xludf.DUMMYFUNCTION("""COMPUTED_VALUE"""),3)</f>
        <v>3</v>
      </c>
      <c r="O1961" s="8" t="str">
        <f ca="1">IFERROR(__xludf.DUMMYFUNCTION("""COMPUTED_VALUE"""),"Spring")</f>
        <v>Spring</v>
      </c>
      <c r="P1961" s="8" t="str">
        <f ca="1">IFERROR(__xludf.DUMMYFUNCTION("""COMPUTED_VALUE"""),"Griffith")</f>
        <v>Griffith</v>
      </c>
      <c r="Q1961" s="8" t="str">
        <f ca="1">IFERROR(__xludf.DUMMYFUNCTION("""COMPUTED_VALUE"""),"IN")</f>
        <v>IN</v>
      </c>
      <c r="R1961" s="8" t="str">
        <f ca="1">IFERROR(__xludf.DUMMYFUNCTION("""COMPUTED_VALUE"""),"High")</f>
        <v>High</v>
      </c>
      <c r="S1961" s="8" t="str">
        <f ca="1">IFERROR(__xludf.DUMMYFUNCTION("""COMPUTED_VALUE"""),"Parking Lot")</f>
        <v>Parking Lot</v>
      </c>
      <c r="T1961" s="8" t="str">
        <f ca="1">IFERROR(__xludf.DUMMYFUNCTION("""COMPUTED_VALUE"""),"Outside on School Property")</f>
        <v>Outside on School Property</v>
      </c>
      <c r="U1961" s="8" t="str">
        <f ca="1">IFERROR(__xludf.DUMMYFUNCTION("""COMPUTED_VALUE"""),"Yes")</f>
        <v>Yes</v>
      </c>
      <c r="V1961" s="8" t="str">
        <f ca="1">IFERROR(__xludf.DUMMYFUNCTION("""COMPUTED_VALUE"""),"After School")</f>
        <v>After School</v>
      </c>
      <c r="W1961" s="11">
        <f ca="1">IFERROR(__xludf.DUMMYFUNCTION("""COMPUTED_VALUE"""),0.6875)</f>
        <v>0.6875</v>
      </c>
      <c r="X1961" s="8">
        <f ca="1">IFERROR(__xludf.DUMMYFUNCTION("""COMPUTED_VALUE"""),1)</f>
        <v>1</v>
      </c>
      <c r="Y1961" s="12" t="str">
        <f ca="1">IFERROR(__xludf.DUMMYFUNCTION("""COMPUTED_VALUE"""),"Husband killed wife on school property while she was dropping of children")</f>
        <v>Husband killed wife on school property while she was dropping of children</v>
      </c>
      <c r="Z1961" s="12" t="str">
        <f ca="1">IFERROR(__xludf.DUMMYFUNCTION("""COMPUTED_VALUE"""),"Husband kills wife on school property - she was there picking up their daughter after having already picked up their son - both children witnessed the event - husband leaves property goes home and kills himself after being confronted by police in his gara"&amp;"ge - known to have domestic issues.")</f>
        <v>Husband kills wife on school property - she was there picking up their daughter after having already picked up their son - both children witnessed the event - husband leaves property goes home and kills himself after being confronted by police in his garage - known to have domestic issues.</v>
      </c>
      <c r="AA1961" s="8" t="str">
        <f ca="1">IFERROR(__xludf.DUMMYFUNCTION("""COMPUTED_VALUE"""),"Murder/Suicide")</f>
        <v>Murder/Suicide</v>
      </c>
      <c r="AB1961" s="8"/>
      <c r="AC1961" s="8" t="str">
        <f ca="1">IFERROR(__xludf.DUMMYFUNCTION("""COMPUTED_VALUE"""),"Yes")</f>
        <v>Yes</v>
      </c>
      <c r="AD1961" s="8" t="str">
        <f ca="1">IFERROR(__xludf.DUMMYFUNCTION("""COMPUTED_VALUE"""),"Victims Targeted")</f>
        <v>Victims Targeted</v>
      </c>
      <c r="AE1961" s="8" t="str">
        <f ca="1">IFERROR(__xludf.DUMMYFUNCTION("""COMPUTED_VALUE"""),"No")</f>
        <v>No</v>
      </c>
      <c r="AF1961" s="8"/>
      <c r="AG1961" s="8" t="str">
        <f ca="1">IFERROR(__xludf.DUMMYFUNCTION("""COMPUTED_VALUE"""),"No")</f>
        <v>No</v>
      </c>
      <c r="AH1961" s="8" t="str">
        <f ca="1">IFERROR(__xludf.DUMMYFUNCTION("""COMPUTED_VALUE"""),"No")</f>
        <v>No</v>
      </c>
      <c r="AI1961" s="8" t="str">
        <f ca="1">IFERROR(__xludf.DUMMYFUNCTION("""COMPUTED_VALUE"""),"No")</f>
        <v>No</v>
      </c>
      <c r="AJ1961" s="8" t="str">
        <f ca="1">IFERROR(__xludf.DUMMYFUNCTION("""COMPUTED_VALUE"""),"No")</f>
        <v>No</v>
      </c>
      <c r="AK1961" s="8" t="str">
        <f ca="1">IFERROR(__xludf.DUMMYFUNCTION("""COMPUTED_VALUE"""),"Yes")</f>
        <v>Yes</v>
      </c>
      <c r="AL1961" s="8" t="str">
        <f ca="1">IFERROR(__xludf.DUMMYFUNCTION("""COMPUTED_VALUE"""),"No")</f>
        <v>No</v>
      </c>
      <c r="AM1961" s="8"/>
      <c r="AN1961" s="8"/>
      <c r="AO1961" s="8" t="str">
        <f ca="1">IFERROR(__xludf.DUMMYFUNCTION("""COMPUTED_VALUE"""),"No")</f>
        <v>No</v>
      </c>
      <c r="AP1961" s="8"/>
      <c r="AQ1961" s="8" t="str">
        <f ca="1">IFERROR(__xludf.DUMMYFUNCTION("""COMPUTED_VALUE"""),"Unknown")</f>
        <v>Unknown</v>
      </c>
      <c r="AR1961" s="8" t="str">
        <f ca="1">IFERROR(__xludf.DUMMYFUNCTION("""COMPUTED_VALUE"""),"NA")</f>
        <v>NA</v>
      </c>
      <c r="AS1961" s="8"/>
      <c r="AT1961" s="8"/>
      <c r="AU1961" s="8">
        <f ca="1">IFERROR(__xludf.DUMMYFUNCTION("""COMPUTED_VALUE"""),41.5283693)</f>
        <v>41.528369300000001</v>
      </c>
      <c r="AV1961" s="8">
        <f ca="1">IFERROR(__xludf.DUMMYFUNCTION("""COMPUTED_VALUE"""),-87.4236497)</f>
        <v>-87.423649699999999</v>
      </c>
      <c r="AW1961" s="8"/>
      <c r="AX1961" s="8">
        <f ca="1">IFERROR(__xludf.DUMMYFUNCTION("""COMPUTED_VALUE"""),46319)</f>
        <v>46319</v>
      </c>
    </row>
    <row r="1962" spans="1:50" ht="90" x14ac:dyDescent="0.2">
      <c r="A1962" s="8" t="str">
        <f ca="1">IFERROR(__xludf.DUMMYFUNCTION("""COMPUTED_VALUE"""),"20140411MIEAD")</f>
        <v>20140411MIEAD</v>
      </c>
      <c r="B1962" s="8">
        <f ca="1">IFERROR(__xludf.DUMMYFUNCTION("""COMPUTED_VALUE"""),4)</f>
        <v>4</v>
      </c>
      <c r="C1962" s="8">
        <f ca="1">IFERROR(__xludf.DUMMYFUNCTION("""COMPUTED_VALUE"""),11)</f>
        <v>11</v>
      </c>
      <c r="D1962" s="8">
        <f ca="1">IFERROR(__xludf.DUMMYFUNCTION("""COMPUTED_VALUE"""),2014)</f>
        <v>2014</v>
      </c>
      <c r="E1962" s="9">
        <f ca="1">IFERROR(__xludf.DUMMYFUNCTION("""COMPUTED_VALUE"""),41740)</f>
        <v>41740</v>
      </c>
      <c r="F1962" s="8" t="str">
        <f ca="1">IFERROR(__xludf.DUMMYFUNCTION("""COMPUTED_VALUE"""),"East English Village Preparatory Academy")</f>
        <v>East English Village Preparatory Academy</v>
      </c>
      <c r="G1962" s="8">
        <f ca="1">IFERROR(__xludf.DUMMYFUNCTION("""COMPUTED_VALUE"""),1)</f>
        <v>1</v>
      </c>
      <c r="H1962" s="8">
        <f ca="1">IFERROR(__xludf.DUMMYFUNCTION("""COMPUTED_VALUE"""),0)</f>
        <v>0</v>
      </c>
      <c r="I1962" s="8">
        <f ca="1">IFERROR(__xludf.DUMMYFUNCTION("""COMPUTED_VALUE"""),1)</f>
        <v>1</v>
      </c>
      <c r="J1962" s="8">
        <f ca="1">IFERROR(__xludf.DUMMYFUNCTION("""COMPUTED_VALUE"""),0)</f>
        <v>0</v>
      </c>
      <c r="K1962" s="10" t="str">
        <f ca="1">IFERROR(__xludf.DUMMYFUNCTION("""COMPUTED_VALUE"""),"https://www.cbsnews.com/news/cops-fatal-shooting-outside-detroit-high-school-gang-related/")</f>
        <v>https://www.cbsnews.com/news/cops-fatal-shooting-outside-detroit-high-school-gang-related/</v>
      </c>
      <c r="L1962" s="8">
        <f ca="1">IFERROR(__xludf.DUMMYFUNCTION("""COMPUTED_VALUE"""),1)</f>
        <v>1</v>
      </c>
      <c r="M1962" s="8" t="str">
        <f ca="1">IFERROR(__xludf.DUMMYFUNCTION("""COMPUTED_VALUE"""),"Local")</f>
        <v>Local</v>
      </c>
      <c r="N1962" s="8">
        <f ca="1">IFERROR(__xludf.DUMMYFUNCTION("""COMPUTED_VALUE"""),2)</f>
        <v>2</v>
      </c>
      <c r="O1962" s="8" t="str">
        <f ca="1">IFERROR(__xludf.DUMMYFUNCTION("""COMPUTED_VALUE"""),"Spring")</f>
        <v>Spring</v>
      </c>
      <c r="P1962" s="8" t="str">
        <f ca="1">IFERROR(__xludf.DUMMYFUNCTION("""COMPUTED_VALUE"""),"Detroit")</f>
        <v>Detroit</v>
      </c>
      <c r="Q1962" s="8" t="str">
        <f ca="1">IFERROR(__xludf.DUMMYFUNCTION("""COMPUTED_VALUE"""),"MI")</f>
        <v>MI</v>
      </c>
      <c r="R1962" s="8" t="str">
        <f ca="1">IFERROR(__xludf.DUMMYFUNCTION("""COMPUTED_VALUE"""),"Unknown")</f>
        <v>Unknown</v>
      </c>
      <c r="S1962" s="8" t="str">
        <f ca="1">IFERROR(__xludf.DUMMYFUNCTION("""COMPUTED_VALUE"""),"Parking Lot")</f>
        <v>Parking Lot</v>
      </c>
      <c r="T1962" s="8" t="str">
        <f ca="1">IFERROR(__xludf.DUMMYFUNCTION("""COMPUTED_VALUE"""),"Outside on School Property")</f>
        <v>Outside on School Property</v>
      </c>
      <c r="U1962" s="8" t="str">
        <f ca="1">IFERROR(__xludf.DUMMYFUNCTION("""COMPUTED_VALUE"""),"No")</f>
        <v>No</v>
      </c>
      <c r="V1962" s="8" t="str">
        <f ca="1">IFERROR(__xludf.DUMMYFUNCTION("""COMPUTED_VALUE"""),"School Event")</f>
        <v>School Event</v>
      </c>
      <c r="W1962" s="11">
        <f ca="1">IFERROR(__xludf.DUMMYFUNCTION("""COMPUTED_VALUE"""),0.895833333333333)</f>
        <v>0.89583333333333304</v>
      </c>
      <c r="X1962" s="8">
        <f ca="1">IFERROR(__xludf.DUMMYFUNCTION("""COMPUTED_VALUE"""),1)</f>
        <v>1</v>
      </c>
      <c r="Y1962" s="12" t="str">
        <f ca="1">IFERROR(__xludf.DUMMYFUNCTION("""COMPUTED_VALUE"""),"Drive-by shooting targeted crowd of students")</f>
        <v>Drive-by shooting targeted crowd of students</v>
      </c>
      <c r="Z1962" s="12" t="str">
        <f ca="1">IFERROR(__xludf.DUMMYFUNCTION("""COMPUTED_VALUE"""),"Car with multiple suspects fired into the crowd of students in the parking lot during a school ceremony in the evening. Police reported the shooting involved rival gang members. The victim was not a student, he was attending the ceremony because of his un"&amp;"cle. Victim was not a gang member himself.")</f>
        <v>Car with multiple suspects fired into the crowd of students in the parking lot during a school ceremony in the evening. Police reported the shooting involved rival gang members. The victim was not a student, he was attending the ceremony because of his uncle. Victim was not a gang member himself.</v>
      </c>
      <c r="AA1962" s="8" t="str">
        <f ca="1">IFERROR(__xludf.DUMMYFUNCTION("""COMPUTED_VALUE"""),"Drive-by Shooting")</f>
        <v>Drive-by Shooting</v>
      </c>
      <c r="AB1962" s="8"/>
      <c r="AC1962" s="8" t="str">
        <f ca="1">IFERROR(__xludf.DUMMYFUNCTION("""COMPUTED_VALUE"""),"Yes")</f>
        <v>Yes</v>
      </c>
      <c r="AD1962" s="8" t="str">
        <f ca="1">IFERROR(__xludf.DUMMYFUNCTION("""COMPUTED_VALUE"""),"Both")</f>
        <v>Both</v>
      </c>
      <c r="AE1962" s="8" t="str">
        <f ca="1">IFERROR(__xludf.DUMMYFUNCTION("""COMPUTED_VALUE"""),"Yes")</f>
        <v>Yes</v>
      </c>
      <c r="AF1962" s="8" t="str">
        <f ca="1">IFERROR(__xludf.DUMMYFUNCTION("""COMPUTED_VALUE"""),"4 suspects, not clear how many of them fired guns")</f>
        <v>4 suspects, not clear how many of them fired guns</v>
      </c>
      <c r="AG1962" s="8" t="str">
        <f ca="1">IFERROR(__xludf.DUMMYFUNCTION("""COMPUTED_VALUE"""),"No")</f>
        <v>No</v>
      </c>
      <c r="AH1962" s="8" t="str">
        <f ca="1">IFERROR(__xludf.DUMMYFUNCTION("""COMPUTED_VALUE"""),"No")</f>
        <v>No</v>
      </c>
      <c r="AI1962" s="8" t="str">
        <f ca="1">IFERROR(__xludf.DUMMYFUNCTION("""COMPUTED_VALUE"""),"No")</f>
        <v>No</v>
      </c>
      <c r="AJ1962" s="8" t="str">
        <f ca="1">IFERROR(__xludf.DUMMYFUNCTION("""COMPUTED_VALUE"""),"No")</f>
        <v>No</v>
      </c>
      <c r="AK1962" s="8" t="str">
        <f ca="1">IFERROR(__xludf.DUMMYFUNCTION("""COMPUTED_VALUE"""),"No")</f>
        <v>No</v>
      </c>
      <c r="AL1962" s="8" t="str">
        <f ca="1">IFERROR(__xludf.DUMMYFUNCTION("""COMPUTED_VALUE"""),"Yes")</f>
        <v>Yes</v>
      </c>
      <c r="AM1962" s="8"/>
      <c r="AN1962" s="8"/>
      <c r="AO1962" s="8" t="str">
        <f ca="1">IFERROR(__xludf.DUMMYFUNCTION("""COMPUTED_VALUE"""),"No")</f>
        <v>No</v>
      </c>
      <c r="AP1962" s="8"/>
      <c r="AQ1962" s="8" t="str">
        <f ca="1">IFERROR(__xludf.DUMMYFUNCTION("""COMPUTED_VALUE"""),"Unknown")</f>
        <v>Unknown</v>
      </c>
      <c r="AR1962" s="8" t="str">
        <f ca="1">IFERROR(__xludf.DUMMYFUNCTION("""COMPUTED_VALUE"""),"NA")</f>
        <v>NA</v>
      </c>
      <c r="AS1962" s="8"/>
      <c r="AT1962" s="8" t="str">
        <f ca="1">IFERROR(__xludf.DUMMYFUNCTION("""COMPUTED_VALUE"""),"No")</f>
        <v>No</v>
      </c>
      <c r="AU1962" s="8">
        <f ca="1">IFERROR(__xludf.DUMMYFUNCTION("""COMPUTED_VALUE"""),42.409013)</f>
        <v>42.409013000000002</v>
      </c>
      <c r="AV1962" s="8">
        <f ca="1">IFERROR(__xludf.DUMMYFUNCTION("""COMPUTED_VALUE"""),-82.926221)</f>
        <v>-82.926220999999998</v>
      </c>
      <c r="AW1962" s="8"/>
      <c r="AX1962" s="8">
        <f ca="1">IFERROR(__xludf.DUMMYFUNCTION("""COMPUTED_VALUE"""),48224)</f>
        <v>48224</v>
      </c>
    </row>
    <row r="1963" spans="1:50" ht="105" x14ac:dyDescent="0.2">
      <c r="A1963" s="8" t="str">
        <f ca="1">IFERROR(__xludf.DUMMYFUNCTION("""COMPUTED_VALUE"""),"20140410OHLIC")</f>
        <v>20140410OHLIC</v>
      </c>
      <c r="B1963" s="8">
        <f ca="1">IFERROR(__xludf.DUMMYFUNCTION("""COMPUTED_VALUE"""),4)</f>
        <v>4</v>
      </c>
      <c r="C1963" s="8">
        <f ca="1">IFERROR(__xludf.DUMMYFUNCTION("""COMPUTED_VALUE"""),10)</f>
        <v>10</v>
      </c>
      <c r="D1963" s="8">
        <f ca="1">IFERROR(__xludf.DUMMYFUNCTION("""COMPUTED_VALUE"""),2014)</f>
        <v>2014</v>
      </c>
      <c r="E1963" s="9">
        <f ca="1">IFERROR(__xludf.DUMMYFUNCTION("""COMPUTED_VALUE"""),41739)</f>
        <v>41739</v>
      </c>
      <c r="F1963" s="8" t="str">
        <f ca="1">IFERROR(__xludf.DUMMYFUNCTION("""COMPUTED_VALUE"""),"Liberty Elementary School")</f>
        <v>Liberty Elementary School</v>
      </c>
      <c r="G1963" s="8">
        <f ca="1">IFERROR(__xludf.DUMMYFUNCTION("""COMPUTED_VALUE"""),0)</f>
        <v>0</v>
      </c>
      <c r="H1963" s="8">
        <f ca="1">IFERROR(__xludf.DUMMYFUNCTION("""COMPUTED_VALUE"""),2)</f>
        <v>2</v>
      </c>
      <c r="I1963" s="8">
        <f ca="1">IFERROR(__xludf.DUMMYFUNCTION("""COMPUTED_VALUE"""),2)</f>
        <v>2</v>
      </c>
      <c r="J1963" s="8">
        <f ca="1">IFERROR(__xludf.DUMMYFUNCTION("""COMPUTED_VALUE"""),0)</f>
        <v>0</v>
      </c>
      <c r="K1963" s="8" t="str">
        <f ca="1">IFERROR(__xludf.DUMMYFUNCTION("""COMPUTED_VALUE"""),"https://www.cleveland.com/nation/index.ssf/2014/04/police_arrest_suspect_in_shoot.html 
 Book: Dool, Jonathan Ending School Shootings : School and District Tools for Prevention and Action http://www.wfmj.com/story/25218892/shooting-near-ohio-grade-school-"&amp;"leads-to-lockdown")</f>
        <v>https://www.cleveland.com/nation/index.ssf/2014/04/police_arrest_suspect_in_shoot.html 
 Book: Dool, Jonathan Ending School Shootings : School and District Tools for Prevention and Action http://www.wfmj.com/story/25218892/shooting-near-ohio-grade-school-leads-to-lockdown</v>
      </c>
      <c r="L1963" s="8"/>
      <c r="M1963" s="8"/>
      <c r="N1963" s="8">
        <f ca="1">IFERROR(__xludf.DUMMYFUNCTION("""COMPUTED_VALUE"""),3)</f>
        <v>3</v>
      </c>
      <c r="O1963" s="8" t="str">
        <f ca="1">IFERROR(__xludf.DUMMYFUNCTION("""COMPUTED_VALUE"""),"Spring")</f>
        <v>Spring</v>
      </c>
      <c r="P1963" s="8" t="str">
        <f ca="1">IFERROR(__xludf.DUMMYFUNCTION("""COMPUTED_VALUE"""),"Columbus")</f>
        <v>Columbus</v>
      </c>
      <c r="Q1963" s="8" t="str">
        <f ca="1">IFERROR(__xludf.DUMMYFUNCTION("""COMPUTED_VALUE"""),"OH")</f>
        <v>OH</v>
      </c>
      <c r="R1963" s="8" t="str">
        <f ca="1">IFERROR(__xludf.DUMMYFUNCTION("""COMPUTED_VALUE"""),"Elementary")</f>
        <v>Elementary</v>
      </c>
      <c r="S1963" s="8" t="str">
        <f ca="1">IFERROR(__xludf.DUMMYFUNCTION("""COMPUTED_VALUE"""),"Front of School")</f>
        <v>Front of School</v>
      </c>
      <c r="T1963" s="8" t="str">
        <f ca="1">IFERROR(__xludf.DUMMYFUNCTION("""COMPUTED_VALUE"""),"Outside on School Property")</f>
        <v>Outside on School Property</v>
      </c>
      <c r="U1963" s="8" t="str">
        <f ca="1">IFERROR(__xludf.DUMMYFUNCTION("""COMPUTED_VALUE"""),"Yes")</f>
        <v>Yes</v>
      </c>
      <c r="V1963" s="8" t="str">
        <f ca="1">IFERROR(__xludf.DUMMYFUNCTION("""COMPUTED_VALUE"""),"Dismissal")</f>
        <v>Dismissal</v>
      </c>
      <c r="W1963" s="11">
        <f ca="1">IFERROR(__xludf.DUMMYFUNCTION("""COMPUTED_VALUE"""),0.645833333333333)</f>
        <v>0.64583333333333304</v>
      </c>
      <c r="X1963" s="8">
        <f ca="1">IFERROR(__xludf.DUMMYFUNCTION("""COMPUTED_VALUE"""),1)</f>
        <v>1</v>
      </c>
      <c r="Y1963" s="12" t="str">
        <f ca="1">IFERROR(__xludf.DUMMYFUNCTION("""COMPUTED_VALUE"""),"Two non-student teens shot in front of school during argument over cell phone")</f>
        <v>Two non-student teens shot in front of school during argument over cell phone</v>
      </c>
      <c r="Z1963" s="12" t="str">
        <f ca="1">IFERROR(__xludf.DUMMYFUNCTION("""COMPUTED_VALUE"""),"Two people, including a 14 year-old boy, were hospitalized after a shooting in front of Liberty Elementary School. A 14 year-old boy was transported to Nationwide Children's Hospital in critical condition and a 20 year-old victim was transported to Grant "&amp;"Medical Center in stable condition. Both victims were shot in the legs. The elementary school and a nearby high school were put on lockdown.")</f>
        <v>Two people, including a 14 year-old boy, were hospitalized after a shooting in front of Liberty Elementary School. A 14 year-old boy was transported to Nationwide Children's Hospital in critical condition and a 20 year-old victim was transported to Grant Medical Center in stable condition. Both victims were shot in the legs. The elementary school and a nearby high school were put on lockdown.</v>
      </c>
      <c r="AA1963" s="8" t="str">
        <f ca="1">IFERROR(__xludf.DUMMYFUNCTION("""COMPUTED_VALUE"""),"Escalation of Dispute")</f>
        <v>Escalation of Dispute</v>
      </c>
      <c r="AB1963" s="8"/>
      <c r="AC1963" s="8" t="str">
        <f ca="1">IFERROR(__xludf.DUMMYFUNCTION("""COMPUTED_VALUE"""),"Yes")</f>
        <v>Yes</v>
      </c>
      <c r="AD1963" s="8" t="str">
        <f ca="1">IFERROR(__xludf.DUMMYFUNCTION("""COMPUTED_VALUE"""),"Victims Targeted")</f>
        <v>Victims Targeted</v>
      </c>
      <c r="AE1963" s="8" t="str">
        <f ca="1">IFERROR(__xludf.DUMMYFUNCTION("""COMPUTED_VALUE"""),"No")</f>
        <v>No</v>
      </c>
      <c r="AF1963" s="8"/>
      <c r="AG1963" s="8" t="str">
        <f ca="1">IFERROR(__xludf.DUMMYFUNCTION("""COMPUTED_VALUE"""),"No")</f>
        <v>No</v>
      </c>
      <c r="AH1963" s="8" t="str">
        <f ca="1">IFERROR(__xludf.DUMMYFUNCTION("""COMPUTED_VALUE"""),"No")</f>
        <v>No</v>
      </c>
      <c r="AI1963" s="8" t="str">
        <f ca="1">IFERROR(__xludf.DUMMYFUNCTION("""COMPUTED_VALUE"""),"No")</f>
        <v>No</v>
      </c>
      <c r="AJ1963" s="8" t="str">
        <f ca="1">IFERROR(__xludf.DUMMYFUNCTION("""COMPUTED_VALUE"""),"No")</f>
        <v>No</v>
      </c>
      <c r="AK1963" s="8" t="str">
        <f ca="1">IFERROR(__xludf.DUMMYFUNCTION("""COMPUTED_VALUE"""),"No")</f>
        <v>No</v>
      </c>
      <c r="AL1963" s="8" t="str">
        <f ca="1">IFERROR(__xludf.DUMMYFUNCTION("""COMPUTED_VALUE"""),"No")</f>
        <v>No</v>
      </c>
      <c r="AM1963" s="8"/>
      <c r="AN1963" s="8"/>
      <c r="AO1963" s="8" t="str">
        <f ca="1">IFERROR(__xludf.DUMMYFUNCTION("""COMPUTED_VALUE"""),"No")</f>
        <v>No</v>
      </c>
      <c r="AP1963" s="8"/>
      <c r="AQ1963" s="8" t="str">
        <f ca="1">IFERROR(__xludf.DUMMYFUNCTION("""COMPUTED_VALUE"""),"Unknown")</f>
        <v>Unknown</v>
      </c>
      <c r="AR1963" s="8" t="str">
        <f ca="1">IFERROR(__xludf.DUMMYFUNCTION("""COMPUTED_VALUE"""),"NA")</f>
        <v>NA</v>
      </c>
      <c r="AS1963" s="8" t="str">
        <f ca="1">IFERROR(__xludf.DUMMYFUNCTION("""COMPUTED_VALUE"""),"&lt;10")</f>
        <v>&lt;10</v>
      </c>
      <c r="AT1963" s="8"/>
      <c r="AU1963" s="8">
        <f ca="1">IFERROR(__xludf.DUMMYFUNCTION("""COMPUTED_VALUE"""),39.917736)</f>
        <v>39.917735999999998</v>
      </c>
      <c r="AV1963" s="8">
        <f ca="1">IFERROR(__xludf.DUMMYFUNCTION("""COMPUTED_VALUE"""),-82.853837)</f>
        <v>-82.853836999999999</v>
      </c>
      <c r="AW1963" s="8"/>
      <c r="AX1963" s="8">
        <f ca="1">IFERROR(__xludf.DUMMYFUNCTION("""COMPUTED_VALUE"""),43109)</f>
        <v>43109</v>
      </c>
    </row>
    <row r="1964" spans="1:50" ht="30" x14ac:dyDescent="0.2">
      <c r="A1964" s="8" t="str">
        <f ca="1">IFERROR(__xludf.DUMMYFUNCTION("""COMPUTED_VALUE"""),"20140409NCDHG")</f>
        <v>20140409NCDHG</v>
      </c>
      <c r="B1964" s="8">
        <f ca="1">IFERROR(__xludf.DUMMYFUNCTION("""COMPUTED_VALUE"""),4)</f>
        <v>4</v>
      </c>
      <c r="C1964" s="8">
        <f ca="1">IFERROR(__xludf.DUMMYFUNCTION("""COMPUTED_VALUE"""),9)</f>
        <v>9</v>
      </c>
      <c r="D1964" s="8">
        <f ca="1">IFERROR(__xludf.DUMMYFUNCTION("""COMPUTED_VALUE"""),2014)</f>
        <v>2014</v>
      </c>
      <c r="E1964" s="9">
        <f ca="1">IFERROR(__xludf.DUMMYFUNCTION("""COMPUTED_VALUE"""),41738)</f>
        <v>41738</v>
      </c>
      <c r="F1964" s="8" t="str">
        <f ca="1">IFERROR(__xludf.DUMMYFUNCTION("""COMPUTED_VALUE"""),"D H Conley High School")</f>
        <v>D H Conley High School</v>
      </c>
      <c r="G1964" s="8">
        <f ca="1">IFERROR(__xludf.DUMMYFUNCTION("""COMPUTED_VALUE"""),0)</f>
        <v>0</v>
      </c>
      <c r="H1964" s="8">
        <f ca="1">IFERROR(__xludf.DUMMYFUNCTION("""COMPUTED_VALUE"""),0)</f>
        <v>0</v>
      </c>
      <c r="I1964" s="8">
        <f ca="1">IFERROR(__xludf.DUMMYFUNCTION("""COMPUTED_VALUE"""),0)</f>
        <v>0</v>
      </c>
      <c r="J1964" s="8">
        <f ca="1">IFERROR(__xludf.DUMMYFUNCTION("""COMPUTED_VALUE"""),0)</f>
        <v>0</v>
      </c>
      <c r="K1964" s="10" t="str">
        <f ca="1">IFERROR(__xludf.DUMMYFUNCTION("""COMPUTED_VALUE"""),"https://wcti12.com/archive/two-j-h-rose-students-arrested-for-shooting-near-d-h-conley-1")</f>
        <v>https://wcti12.com/archive/two-j-h-rose-students-arrested-for-shooting-near-d-h-conley-1</v>
      </c>
      <c r="L1964" s="8">
        <f ca="1">IFERROR(__xludf.DUMMYFUNCTION("""COMPUTED_VALUE"""),1)</f>
        <v>1</v>
      </c>
      <c r="M1964" s="8" t="str">
        <f ca="1">IFERROR(__xludf.DUMMYFUNCTION("""COMPUTED_VALUE"""),"Local")</f>
        <v>Local</v>
      </c>
      <c r="N1964" s="8">
        <f ca="1">IFERROR(__xludf.DUMMYFUNCTION("""COMPUTED_VALUE"""),2)</f>
        <v>2</v>
      </c>
      <c r="O1964" s="8" t="str">
        <f ca="1">IFERROR(__xludf.DUMMYFUNCTION("""COMPUTED_VALUE"""),"Spring")</f>
        <v>Spring</v>
      </c>
      <c r="P1964" s="8" t="str">
        <f ca="1">IFERROR(__xludf.DUMMYFUNCTION("""COMPUTED_VALUE"""),"Greenville")</f>
        <v>Greenville</v>
      </c>
      <c r="Q1964" s="8" t="str">
        <f ca="1">IFERROR(__xludf.DUMMYFUNCTION("""COMPUTED_VALUE"""),"NC")</f>
        <v>NC</v>
      </c>
      <c r="R1964" s="8" t="str">
        <f ca="1">IFERROR(__xludf.DUMMYFUNCTION("""COMPUTED_VALUE"""),"High")</f>
        <v>High</v>
      </c>
      <c r="S1964" s="8" t="str">
        <f ca="1">IFERROR(__xludf.DUMMYFUNCTION("""COMPUTED_VALUE"""),"Beside Building")</f>
        <v>Beside Building</v>
      </c>
      <c r="T1964" s="8" t="str">
        <f ca="1">IFERROR(__xludf.DUMMYFUNCTION("""COMPUTED_VALUE"""),"Outside on School Property")</f>
        <v>Outside on School Property</v>
      </c>
      <c r="U1964" s="8" t="str">
        <f ca="1">IFERROR(__xludf.DUMMYFUNCTION("""COMPUTED_VALUE"""),"Yes")</f>
        <v>Yes</v>
      </c>
      <c r="V1964" s="8" t="str">
        <f ca="1">IFERROR(__xludf.DUMMYFUNCTION("""COMPUTED_VALUE"""),"Afternoon Classes")</f>
        <v>Afternoon Classes</v>
      </c>
      <c r="W1964" s="11">
        <f ca="1">IFERROR(__xludf.DUMMYFUNCTION("""COMPUTED_VALUE"""),0.5625)</f>
        <v>0.5625</v>
      </c>
      <c r="X1964" s="8">
        <f ca="1">IFERROR(__xludf.DUMMYFUNCTION("""COMPUTED_VALUE"""),1)</f>
        <v>1</v>
      </c>
      <c r="Y1964" s="12" t="str">
        <f ca="1">IFERROR(__xludf.DUMMYFUNCTION("""COMPUTED_VALUE"""),"Shot at rival school building")</f>
        <v>Shot at rival school building</v>
      </c>
      <c r="Z1964" s="12" t="str">
        <f ca="1">IFERROR(__xludf.DUMMYFUNCTION("""COMPUTED_VALUE"""),"Two students from a rival high school fired at the school building. Nobody was injured.")</f>
        <v>Two students from a rival high school fired at the school building. Nobody was injured.</v>
      </c>
      <c r="AA1964" s="8" t="str">
        <f ca="1">IFERROR(__xludf.DUMMYFUNCTION("""COMPUTED_VALUE"""),"Intentional Property Damage")</f>
        <v>Intentional Property Damage</v>
      </c>
      <c r="AB1964" s="8"/>
      <c r="AC1964" s="8" t="str">
        <f ca="1">IFERROR(__xludf.DUMMYFUNCTION("""COMPUTED_VALUE"""),"Yes")</f>
        <v>Yes</v>
      </c>
      <c r="AD1964" s="8" t="str">
        <f ca="1">IFERROR(__xludf.DUMMYFUNCTION("""COMPUTED_VALUE"""),"Neither")</f>
        <v>Neither</v>
      </c>
      <c r="AE1964" s="8" t="str">
        <f ca="1">IFERROR(__xludf.DUMMYFUNCTION("""COMPUTED_VALUE"""),"Yes")</f>
        <v>Yes</v>
      </c>
      <c r="AF1964" s="8" t="str">
        <f ca="1">IFERROR(__xludf.DUMMYFUNCTION("""COMPUTED_VALUE"""),"Jeffrey Charles Gough, 17, was the driver")</f>
        <v>Jeffrey Charles Gough, 17, was the driver</v>
      </c>
      <c r="AG1964" s="8" t="str">
        <f ca="1">IFERROR(__xludf.DUMMYFUNCTION("""COMPUTED_VALUE"""),"No")</f>
        <v>No</v>
      </c>
      <c r="AH1964" s="8" t="str">
        <f ca="1">IFERROR(__xludf.DUMMYFUNCTION("""COMPUTED_VALUE"""),"No")</f>
        <v>No</v>
      </c>
      <c r="AI1964" s="8" t="str">
        <f ca="1">IFERROR(__xludf.DUMMYFUNCTION("""COMPUTED_VALUE"""),"No")</f>
        <v>No</v>
      </c>
      <c r="AJ1964" s="8" t="str">
        <f ca="1">IFERROR(__xludf.DUMMYFUNCTION("""COMPUTED_VALUE"""),"No")</f>
        <v>No</v>
      </c>
      <c r="AK1964" s="8" t="str">
        <f ca="1">IFERROR(__xludf.DUMMYFUNCTION("""COMPUTED_VALUE"""),"No")</f>
        <v>No</v>
      </c>
      <c r="AL1964" s="8" t="str">
        <f ca="1">IFERROR(__xludf.DUMMYFUNCTION("""COMPUTED_VALUE"""),"Yes")</f>
        <v>Yes</v>
      </c>
      <c r="AM1964" s="8"/>
      <c r="AN1964" s="8"/>
      <c r="AO1964" s="8" t="str">
        <f ca="1">IFERROR(__xludf.DUMMYFUNCTION("""COMPUTED_VALUE"""),"No")</f>
        <v>No</v>
      </c>
      <c r="AP1964" s="8" t="str">
        <f ca="1">IFERROR(__xludf.DUMMYFUNCTION("""COMPUTED_VALUE"""),"No")</f>
        <v>No</v>
      </c>
      <c r="AQ1964" s="8" t="str">
        <f ca="1">IFERROR(__xludf.DUMMYFUNCTION("""COMPUTED_VALUE"""),"Unknown")</f>
        <v>Unknown</v>
      </c>
      <c r="AR1964" s="8" t="str">
        <f ca="1">IFERROR(__xludf.DUMMYFUNCTION("""COMPUTED_VALUE"""),"NA")</f>
        <v>NA</v>
      </c>
      <c r="AS1964" s="8"/>
      <c r="AT1964" s="8"/>
      <c r="AU1964" s="8">
        <f ca="1">IFERROR(__xludf.DUMMYFUNCTION("""COMPUTED_VALUE"""),35.5306)</f>
        <v>35.5306</v>
      </c>
      <c r="AV1964" s="8">
        <f ca="1">IFERROR(__xludf.DUMMYFUNCTION("""COMPUTED_VALUE"""),-77.3248)</f>
        <v>-77.324799999999996</v>
      </c>
      <c r="AW1964" s="8"/>
      <c r="AX1964" s="8">
        <f ca="1">IFERROR(__xludf.DUMMYFUNCTION("""COMPUTED_VALUE"""),27858)</f>
        <v>27858</v>
      </c>
    </row>
    <row r="1965" spans="1:50" ht="90" x14ac:dyDescent="0.2">
      <c r="A1965" s="8" t="str">
        <f ca="1">IFERROR(__xludf.DUMMYFUNCTION("""COMPUTED_VALUE"""),"20140403NJUNN")</f>
        <v>20140403NJUNN</v>
      </c>
      <c r="B1965" s="8">
        <f ca="1">IFERROR(__xludf.DUMMYFUNCTION("""COMPUTED_VALUE"""),4)</f>
        <v>4</v>
      </c>
      <c r="C1965" s="8">
        <f ca="1">IFERROR(__xludf.DUMMYFUNCTION("""COMPUTED_VALUE"""),3)</f>
        <v>3</v>
      </c>
      <c r="D1965" s="8">
        <f ca="1">IFERROR(__xludf.DUMMYFUNCTION("""COMPUTED_VALUE"""),2014)</f>
        <v>2014</v>
      </c>
      <c r="E1965" s="9">
        <f ca="1">IFERROR(__xludf.DUMMYFUNCTION("""COMPUTED_VALUE"""),41732)</f>
        <v>41732</v>
      </c>
      <c r="F1965" s="8" t="str">
        <f ca="1">IFERROR(__xludf.DUMMYFUNCTION("""COMPUTED_VALUE"""),"Unknown School (bus)")</f>
        <v>Unknown School (bus)</v>
      </c>
      <c r="G1965" s="8">
        <f ca="1">IFERROR(__xludf.DUMMYFUNCTION("""COMPUTED_VALUE"""),0)</f>
        <v>0</v>
      </c>
      <c r="H1965" s="8">
        <f ca="1">IFERROR(__xludf.DUMMYFUNCTION("""COMPUTED_VALUE"""),0)</f>
        <v>0</v>
      </c>
      <c r="I1965" s="8">
        <f ca="1">IFERROR(__xludf.DUMMYFUNCTION("""COMPUTED_VALUE"""),0)</f>
        <v>0</v>
      </c>
      <c r="J1965" s="8">
        <f ca="1">IFERROR(__xludf.DUMMYFUNCTION("""COMPUTED_VALUE"""),0)</f>
        <v>0</v>
      </c>
      <c r="K1965" s="10" t="str">
        <f ca="1">IFERROR(__xludf.DUMMYFUNCTION("""COMPUTED_VALUE"""),"https://www.nbcnewyork.com/news/local/Newark-Shooting-Man-Wounded-School-Bus-Bullet-Hole-253840881.html")</f>
        <v>https://www.nbcnewyork.com/news/local/Newark-Shooting-Man-Wounded-School-Bus-Bullet-Hole-253840881.html</v>
      </c>
      <c r="L1965" s="8"/>
      <c r="M1965" s="8"/>
      <c r="N1965" s="8">
        <f ca="1">IFERROR(__xludf.DUMMYFUNCTION("""COMPUTED_VALUE"""),3)</f>
        <v>3</v>
      </c>
      <c r="O1965" s="8" t="str">
        <f ca="1">IFERROR(__xludf.DUMMYFUNCTION("""COMPUTED_VALUE"""),"Spring")</f>
        <v>Spring</v>
      </c>
      <c r="P1965" s="8" t="str">
        <f ca="1">IFERROR(__xludf.DUMMYFUNCTION("""COMPUTED_VALUE"""),"Newark")</f>
        <v>Newark</v>
      </c>
      <c r="Q1965" s="8" t="str">
        <f ca="1">IFERROR(__xludf.DUMMYFUNCTION("""COMPUTED_VALUE"""),"NJ")</f>
        <v>NJ</v>
      </c>
      <c r="R1965" s="8"/>
      <c r="S1965" s="8" t="str">
        <f ca="1">IFERROR(__xludf.DUMMYFUNCTION("""COMPUTED_VALUE"""),"School Bus")</f>
        <v>School Bus</v>
      </c>
      <c r="T1965" s="8" t="str">
        <f ca="1">IFERROR(__xludf.DUMMYFUNCTION("""COMPUTED_VALUE"""),"School Bus")</f>
        <v>School Bus</v>
      </c>
      <c r="U1965" s="8" t="str">
        <f ca="1">IFERROR(__xludf.DUMMYFUNCTION("""COMPUTED_VALUE"""),"Yes")</f>
        <v>Yes</v>
      </c>
      <c r="V1965" s="8" t="str">
        <f ca="1">IFERROR(__xludf.DUMMYFUNCTION("""COMPUTED_VALUE"""),"Afternoon Classes")</f>
        <v>Afternoon Classes</v>
      </c>
      <c r="W1965" s="11">
        <f ca="1">IFERROR(__xludf.DUMMYFUNCTION("""COMPUTED_VALUE"""),0.552083333333333)</f>
        <v>0.55208333333333304</v>
      </c>
      <c r="X1965" s="8">
        <f ca="1">IFERROR(__xludf.DUMMYFUNCTION("""COMPUTED_VALUE"""),1)</f>
        <v>1</v>
      </c>
      <c r="Y1965" s="12" t="str">
        <f ca="1">IFERROR(__xludf.DUMMYFUNCTION("""COMPUTED_VALUE"""),"Shots fired struck school bus occupied by 6 students (all taken to hospital w/o injuries)")</f>
        <v>Shots fired struck school bus occupied by 6 students (all taken to hospital w/o injuries)</v>
      </c>
      <c r="Z1965" s="12" t="str">
        <f ca="1">IFERROR(__xludf.DUMMYFUNCTION("""COMPUTED_VALUE"""),"Bullet struck bus carrying 6 special education students and 2 school staff members. All 8 were taken to the hospital but no injuries were found. An adult male unrelated to the school was struck and injured. Multiple adult males fled the scene. The bus was"&amp;" not the intended target. Shooting happened after dispute. Four unknown males fled scene.")</f>
        <v>Bullet struck bus carrying 6 special education students and 2 school staff members. All 8 were taken to the hospital but no injuries were found. An adult male unrelated to the school was struck and injured. Multiple adult males fled the scene. The bus was not the intended target. Shooting happened after dispute. Four unknown males fled scene.</v>
      </c>
      <c r="AA1965" s="8" t="str">
        <f ca="1">IFERROR(__xludf.DUMMYFUNCTION("""COMPUTED_VALUE"""),"Escalation of Dispute")</f>
        <v>Escalation of Dispute</v>
      </c>
      <c r="AB1965" s="8"/>
      <c r="AC1965" s="8" t="str">
        <f ca="1">IFERROR(__xludf.DUMMYFUNCTION("""COMPUTED_VALUE"""),"Yes")</f>
        <v>Yes</v>
      </c>
      <c r="AD1965" s="8" t="str">
        <f ca="1">IFERROR(__xludf.DUMMYFUNCTION("""COMPUTED_VALUE"""),"Victims Targeted")</f>
        <v>Victims Targeted</v>
      </c>
      <c r="AE1965" s="8" t="str">
        <f ca="1">IFERROR(__xludf.DUMMYFUNCTION("""COMPUTED_VALUE"""),"Yes")</f>
        <v>Yes</v>
      </c>
      <c r="AF1965" s="8" t="str">
        <f ca="1">IFERROR(__xludf.DUMMYFUNCTION("""COMPUTED_VALUE"""),"4 males fled scene")</f>
        <v>4 males fled scene</v>
      </c>
      <c r="AG1965" s="8" t="str">
        <f ca="1">IFERROR(__xludf.DUMMYFUNCTION("""COMPUTED_VALUE"""),"No")</f>
        <v>No</v>
      </c>
      <c r="AH1965" s="8" t="str">
        <f ca="1">IFERROR(__xludf.DUMMYFUNCTION("""COMPUTED_VALUE"""),"No")</f>
        <v>No</v>
      </c>
      <c r="AI1965" s="8" t="str">
        <f ca="1">IFERROR(__xludf.DUMMYFUNCTION("""COMPUTED_VALUE"""),"No")</f>
        <v>No</v>
      </c>
      <c r="AJ1965" s="8" t="str">
        <f ca="1">IFERROR(__xludf.DUMMYFUNCTION("""COMPUTED_VALUE"""),"No")</f>
        <v>No</v>
      </c>
      <c r="AK1965" s="8" t="str">
        <f ca="1">IFERROR(__xludf.DUMMYFUNCTION("""COMPUTED_VALUE"""),"No")</f>
        <v>No</v>
      </c>
      <c r="AL1965" s="8" t="str">
        <f ca="1">IFERROR(__xludf.DUMMYFUNCTION("""COMPUTED_VALUE"""),"No")</f>
        <v>No</v>
      </c>
      <c r="AM1965" s="8"/>
      <c r="AN1965" s="8"/>
      <c r="AO1965" s="8" t="str">
        <f ca="1">IFERROR(__xludf.DUMMYFUNCTION("""COMPUTED_VALUE"""),"No")</f>
        <v>No</v>
      </c>
      <c r="AP1965" s="8"/>
      <c r="AQ1965" s="8" t="str">
        <f ca="1">IFERROR(__xludf.DUMMYFUNCTION("""COMPUTED_VALUE"""),"Unknown")</f>
        <v>Unknown</v>
      </c>
      <c r="AR1965" s="8" t="str">
        <f ca="1">IFERROR(__xludf.DUMMYFUNCTION("""COMPUTED_VALUE"""),"NA")</f>
        <v>NA</v>
      </c>
      <c r="AS1965" s="8"/>
      <c r="AT1965" s="8"/>
      <c r="AU1965" s="8">
        <f ca="1">IFERROR(__xludf.DUMMYFUNCTION("""COMPUTED_VALUE"""),40.715872)</f>
        <v>40.715871999999997</v>
      </c>
      <c r="AV1965" s="8">
        <f ca="1">IFERROR(__xludf.DUMMYFUNCTION("""COMPUTED_VALUE"""),-74.15581)</f>
        <v>-74.155810000000002</v>
      </c>
      <c r="AW1965" s="8"/>
      <c r="AX1965" s="8">
        <f ca="1">IFERROR(__xludf.DUMMYFUNCTION("""COMPUTED_VALUE"""),7114)</f>
        <v>7114</v>
      </c>
    </row>
    <row r="1966" spans="1:50" ht="75" x14ac:dyDescent="0.2">
      <c r="A1966" s="8" t="str">
        <f ca="1">IFERROR(__xludf.DUMMYFUNCTION("""COMPUTED_VALUE"""),"20140325GABEC")</f>
        <v>20140325GABEC</v>
      </c>
      <c r="B1966" s="8">
        <f ca="1">IFERROR(__xludf.DUMMYFUNCTION("""COMPUTED_VALUE"""),3)</f>
        <v>3</v>
      </c>
      <c r="C1966" s="8">
        <f ca="1">IFERROR(__xludf.DUMMYFUNCTION("""COMPUTED_VALUE"""),25)</f>
        <v>25</v>
      </c>
      <c r="D1966" s="8">
        <f ca="1">IFERROR(__xludf.DUMMYFUNCTION("""COMPUTED_VALUE"""),2014)</f>
        <v>2014</v>
      </c>
      <c r="E1966" s="9">
        <f ca="1">IFERROR(__xludf.DUMMYFUNCTION("""COMPUTED_VALUE"""),41723)</f>
        <v>41723</v>
      </c>
      <c r="F1966" s="8" t="str">
        <f ca="1">IFERROR(__xludf.DUMMYFUNCTION("""COMPUTED_VALUE"""),"Benjamin Banneker High School")</f>
        <v>Benjamin Banneker High School</v>
      </c>
      <c r="G1966" s="8">
        <f ca="1">IFERROR(__xludf.DUMMYFUNCTION("""COMPUTED_VALUE"""),0)</f>
        <v>0</v>
      </c>
      <c r="H1966" s="8">
        <f ca="1">IFERROR(__xludf.DUMMYFUNCTION("""COMPUTED_VALUE"""),0)</f>
        <v>0</v>
      </c>
      <c r="I1966" s="8">
        <f ca="1">IFERROR(__xludf.DUMMYFUNCTION("""COMPUTED_VALUE"""),0)</f>
        <v>0</v>
      </c>
      <c r="J1966" s="8">
        <f ca="1">IFERROR(__xludf.DUMMYFUNCTION("""COMPUTED_VALUE"""),0)</f>
        <v>0</v>
      </c>
      <c r="K1966" s="10" t="str">
        <f ca="1">IFERROR(__xludf.DUMMYFUNCTION("""COMPUTED_VALUE"""),"https://www.ajc.com/news/local/fourth-person-arrested-after-shots-fired-outside-banneker-high-school/E7iAqMZysw5q4XheUNHn9K/")</f>
        <v>https://www.ajc.com/news/local/fourth-person-arrested-after-shots-fired-outside-banneker-high-school/E7iAqMZysw5q4XheUNHn9K/</v>
      </c>
      <c r="L1966" s="8">
        <f ca="1">IFERROR(__xludf.DUMMYFUNCTION("""COMPUTED_VALUE"""),1)</f>
        <v>1</v>
      </c>
      <c r="M1966" s="8" t="str">
        <f ca="1">IFERROR(__xludf.DUMMYFUNCTION("""COMPUTED_VALUE"""),"Local")</f>
        <v>Local</v>
      </c>
      <c r="N1966" s="8">
        <f ca="1">IFERROR(__xludf.DUMMYFUNCTION("""COMPUTED_VALUE"""),2)</f>
        <v>2</v>
      </c>
      <c r="O1966" s="8" t="str">
        <f ca="1">IFERROR(__xludf.DUMMYFUNCTION("""COMPUTED_VALUE"""),"Spring")</f>
        <v>Spring</v>
      </c>
      <c r="P1966" s="8" t="str">
        <f ca="1">IFERROR(__xludf.DUMMYFUNCTION("""COMPUTED_VALUE"""),"College Park")</f>
        <v>College Park</v>
      </c>
      <c r="Q1966" s="8" t="str">
        <f ca="1">IFERROR(__xludf.DUMMYFUNCTION("""COMPUTED_VALUE"""),"GA")</f>
        <v>GA</v>
      </c>
      <c r="R1966" s="8" t="str">
        <f ca="1">IFERROR(__xludf.DUMMYFUNCTION("""COMPUTED_VALUE"""),"High")</f>
        <v>High</v>
      </c>
      <c r="S1966" s="8" t="str">
        <f ca="1">IFERROR(__xludf.DUMMYFUNCTION("""COMPUTED_VALUE"""),"Parking Lot")</f>
        <v>Parking Lot</v>
      </c>
      <c r="T1966" s="8" t="str">
        <f ca="1">IFERROR(__xludf.DUMMYFUNCTION("""COMPUTED_VALUE"""),"Outside on School Property")</f>
        <v>Outside on School Property</v>
      </c>
      <c r="U1966" s="8" t="str">
        <f ca="1">IFERROR(__xludf.DUMMYFUNCTION("""COMPUTED_VALUE"""),"Yes")</f>
        <v>Yes</v>
      </c>
      <c r="V1966" s="8" t="str">
        <f ca="1">IFERROR(__xludf.DUMMYFUNCTION("""COMPUTED_VALUE"""),"Afternoon Classes")</f>
        <v>Afternoon Classes</v>
      </c>
      <c r="W1966" s="11">
        <f ca="1">IFERROR(__xludf.DUMMYFUNCTION("""COMPUTED_VALUE"""),0.541666666666666)</f>
        <v>0.54166666666666596</v>
      </c>
      <c r="X1966" s="8">
        <f ca="1">IFERROR(__xludf.DUMMYFUNCTION("""COMPUTED_VALUE"""),1)</f>
        <v>1</v>
      </c>
      <c r="Y1966" s="12" t="str">
        <f ca="1">IFERROR(__xludf.DUMMYFUNCTION("""COMPUTED_VALUE"""),"Shots during fight between 5 student")</f>
        <v>Shots during fight between 5 student</v>
      </c>
      <c r="Z1966" s="12" t="str">
        <f ca="1">IFERROR(__xludf.DUMMYFUNCTION("""COMPUTED_VALUE"""),"An argument between 4 or 5 students escalated, they went to the school parking lot and several shots were fired in the air. No one was hurt. Two juveniles have been charged with disorderly conduct and two young adults face reckless conduct and firearms-re"&amp;"lated charges.")</f>
        <v>An argument between 4 or 5 students escalated, they went to the school parking lot and several shots were fired in the air. No one was hurt. Two juveniles have been charged with disorderly conduct and two young adults face reckless conduct and firearms-related charges.</v>
      </c>
      <c r="AA1966" s="8" t="str">
        <f ca="1">IFERROR(__xludf.DUMMYFUNCTION("""COMPUTED_VALUE"""),"Escalation of Dispute")</f>
        <v>Escalation of Dispute</v>
      </c>
      <c r="AB1966" s="8"/>
      <c r="AC1966" s="8" t="str">
        <f ca="1">IFERROR(__xludf.DUMMYFUNCTION("""COMPUTED_VALUE"""),"Yes")</f>
        <v>Yes</v>
      </c>
      <c r="AD1966" s="8" t="str">
        <f ca="1">IFERROR(__xludf.DUMMYFUNCTION("""COMPUTED_VALUE"""),"Victims Targeted")</f>
        <v>Victims Targeted</v>
      </c>
      <c r="AE1966" s="8" t="str">
        <f ca="1">IFERROR(__xludf.DUMMYFUNCTION("""COMPUTED_VALUE"""),"Yes")</f>
        <v>Yes</v>
      </c>
      <c r="AF1966" s="8" t="str">
        <f ca="1">IFERROR(__xludf.DUMMYFUNCTION("""COMPUTED_VALUE"""),"3 more people were arrested but their involvement was not revealed.")</f>
        <v>3 more people were arrested but their involvement was not revealed.</v>
      </c>
      <c r="AG1966" s="8" t="str">
        <f ca="1">IFERROR(__xludf.DUMMYFUNCTION("""COMPUTED_VALUE"""),"No")</f>
        <v>No</v>
      </c>
      <c r="AH1966" s="8" t="str">
        <f ca="1">IFERROR(__xludf.DUMMYFUNCTION("""COMPUTED_VALUE"""),"No")</f>
        <v>No</v>
      </c>
      <c r="AI1966" s="8" t="str">
        <f ca="1">IFERROR(__xludf.DUMMYFUNCTION("""COMPUTED_VALUE"""),"No")</f>
        <v>No</v>
      </c>
      <c r="AJ1966" s="8" t="str">
        <f ca="1">IFERROR(__xludf.DUMMYFUNCTION("""COMPUTED_VALUE"""),"No")</f>
        <v>No</v>
      </c>
      <c r="AK1966" s="8" t="str">
        <f ca="1">IFERROR(__xludf.DUMMYFUNCTION("""COMPUTED_VALUE"""),"No")</f>
        <v>No</v>
      </c>
      <c r="AL1966" s="8" t="str">
        <f ca="1">IFERROR(__xludf.DUMMYFUNCTION("""COMPUTED_VALUE"""),"No")</f>
        <v>No</v>
      </c>
      <c r="AM1966" s="8"/>
      <c r="AN1966" s="8"/>
      <c r="AO1966" s="8" t="str">
        <f ca="1">IFERROR(__xludf.DUMMYFUNCTION("""COMPUTED_VALUE"""),"No")</f>
        <v>No</v>
      </c>
      <c r="AP1966" s="8" t="str">
        <f ca="1">IFERROR(__xludf.DUMMYFUNCTION("""COMPUTED_VALUE"""),"No")</f>
        <v>No</v>
      </c>
      <c r="AQ1966" s="8" t="str">
        <f ca="1">IFERROR(__xludf.DUMMYFUNCTION("""COMPUTED_VALUE"""),"None")</f>
        <v>None</v>
      </c>
      <c r="AR1966" s="8" t="str">
        <f ca="1">IFERROR(__xludf.DUMMYFUNCTION("""COMPUTED_VALUE"""),"NA")</f>
        <v>NA</v>
      </c>
      <c r="AS1966" s="8"/>
      <c r="AT1966" s="8" t="str">
        <f ca="1">IFERROR(__xludf.DUMMYFUNCTION("""COMPUTED_VALUE"""),"Yes")</f>
        <v>Yes</v>
      </c>
      <c r="AU1966" s="8">
        <f ca="1">IFERROR(__xludf.DUMMYFUNCTION("""COMPUTED_VALUE"""),33.593)</f>
        <v>33.593000000000004</v>
      </c>
      <c r="AV1966" s="8">
        <f ca="1">IFERROR(__xludf.DUMMYFUNCTION("""COMPUTED_VALUE"""),-84.5176)</f>
        <v>-84.517600000000002</v>
      </c>
      <c r="AW1966" s="8"/>
      <c r="AX1966" s="8"/>
    </row>
    <row r="1967" spans="1:50" ht="105" x14ac:dyDescent="0.2">
      <c r="A1967" s="8" t="str">
        <f ca="1">IFERROR(__xludf.DUMMYFUNCTION("""COMPUTED_VALUE"""),"20140312FLACM")</f>
        <v>20140312FLACM</v>
      </c>
      <c r="B1967" s="8">
        <f ca="1">IFERROR(__xludf.DUMMYFUNCTION("""COMPUTED_VALUE"""),3)</f>
        <v>3</v>
      </c>
      <c r="C1967" s="8">
        <f ca="1">IFERROR(__xludf.DUMMYFUNCTION("""COMPUTED_VALUE"""),12)</f>
        <v>12</v>
      </c>
      <c r="D1967" s="8">
        <f ca="1">IFERROR(__xludf.DUMMYFUNCTION("""COMPUTED_VALUE"""),2014)</f>
        <v>2014</v>
      </c>
      <c r="E1967" s="9">
        <f ca="1">IFERROR(__xludf.DUMMYFUNCTION("""COMPUTED_VALUE"""),41710)</f>
        <v>41710</v>
      </c>
      <c r="F1967" s="8" t="str">
        <f ca="1">IFERROR(__xludf.DUMMYFUNCTION("""COMPUTED_VALUE"""),"Academy of Knowledge Preschool")</f>
        <v>Academy of Knowledge Preschool</v>
      </c>
      <c r="G1967" s="8">
        <f ca="1">IFERROR(__xludf.DUMMYFUNCTION("""COMPUTED_VALUE"""),1)</f>
        <v>1</v>
      </c>
      <c r="H1967" s="8">
        <f ca="1">IFERROR(__xludf.DUMMYFUNCTION("""COMPUTED_VALUE"""),0)</f>
        <v>0</v>
      </c>
      <c r="I1967" s="8">
        <f ca="1">IFERROR(__xludf.DUMMYFUNCTION("""COMPUTED_VALUE"""),1)</f>
        <v>1</v>
      </c>
      <c r="J1967" s="8">
        <f ca="1">IFERROR(__xludf.DUMMYFUNCTION("""COMPUTED_VALUE"""),0)</f>
        <v>0</v>
      </c>
      <c r="K1967" s="10" t="str">
        <f ca="1">IFERROR(__xludf.DUMMYFUNCTION("""COMPUTED_VALUE"""),"http://miami.cbslocal.com/2014/03/14/man-accused-of-murdering-wife-near-miami-dade-preschool/")</f>
        <v>http://miami.cbslocal.com/2014/03/14/man-accused-of-murdering-wife-near-miami-dade-preschool/</v>
      </c>
      <c r="L1967" s="8">
        <f ca="1">IFERROR(__xludf.DUMMYFUNCTION("""COMPUTED_VALUE"""),1)</f>
        <v>1</v>
      </c>
      <c r="M1967" s="8" t="str">
        <f ca="1">IFERROR(__xludf.DUMMYFUNCTION("""COMPUTED_VALUE"""),"Local")</f>
        <v>Local</v>
      </c>
      <c r="N1967" s="8">
        <f ca="1">IFERROR(__xludf.DUMMYFUNCTION("""COMPUTED_VALUE"""),2)</f>
        <v>2</v>
      </c>
      <c r="O1967" s="8" t="str">
        <f ca="1">IFERROR(__xludf.DUMMYFUNCTION("""COMPUTED_VALUE"""),"Spring")</f>
        <v>Spring</v>
      </c>
      <c r="P1967" s="8" t="str">
        <f ca="1">IFERROR(__xludf.DUMMYFUNCTION("""COMPUTED_VALUE"""),"Miami")</f>
        <v>Miami</v>
      </c>
      <c r="Q1967" s="8" t="str">
        <f ca="1">IFERROR(__xludf.DUMMYFUNCTION("""COMPUTED_VALUE"""),"FL")</f>
        <v>FL</v>
      </c>
      <c r="R1967" s="8" t="str">
        <f ca="1">IFERROR(__xludf.DUMMYFUNCTION("""COMPUTED_VALUE"""),"Other")</f>
        <v>Other</v>
      </c>
      <c r="S1967" s="8" t="str">
        <f ca="1">IFERROR(__xludf.DUMMYFUNCTION("""COMPUTED_VALUE"""),"Parking Lot")</f>
        <v>Parking Lot</v>
      </c>
      <c r="T1967" s="8" t="str">
        <f ca="1">IFERROR(__xludf.DUMMYFUNCTION("""COMPUTED_VALUE"""),"Outside on School Property")</f>
        <v>Outside on School Property</v>
      </c>
      <c r="U1967" s="8" t="str">
        <f ca="1">IFERROR(__xludf.DUMMYFUNCTION("""COMPUTED_VALUE"""),"Yes")</f>
        <v>Yes</v>
      </c>
      <c r="V1967" s="8" t="str">
        <f ca="1">IFERROR(__xludf.DUMMYFUNCTION("""COMPUTED_VALUE"""),"Afternoon Classes")</f>
        <v>Afternoon Classes</v>
      </c>
      <c r="W1967" s="11">
        <f ca="1">IFERROR(__xludf.DUMMYFUNCTION("""COMPUTED_VALUE"""),0.5)</f>
        <v>0.5</v>
      </c>
      <c r="X1967" s="8">
        <f ca="1">IFERROR(__xludf.DUMMYFUNCTION("""COMPUTED_VALUE"""),1)</f>
        <v>1</v>
      </c>
      <c r="Y1967" s="12" t="str">
        <f ca="1">IFERROR(__xludf.DUMMYFUNCTION("""COMPUTED_VALUE"""),"Husband killed wife (teacher)")</f>
        <v>Husband killed wife (teacher)</v>
      </c>
      <c r="Z1967" s="12" t="str">
        <f ca="1">IFERROR(__xludf.DUMMYFUNCTION("""COMPUTED_VALUE"""),"Husband killed his wife (preschool teacher somewhere else) in the parking lot behind the school. No location connection. Argument started a few blocks away in their home, victim fled and shooter followed. Fight escalated, shooter shot victim dead and fled"&amp;" in his vehicle. School cameras captured him and he was later arrested. School went on lockdown and then dismissed.")</f>
        <v>Husband killed his wife (preschool teacher somewhere else) in the parking lot behind the school. No location connection. Argument started a few blocks away in their home, victim fled and shooter followed. Fight escalated, shooter shot victim dead and fled in his vehicle. School cameras captured him and he was later arrested. School went on lockdown and then dismissed.</v>
      </c>
      <c r="AA1967" s="8" t="str">
        <f ca="1">IFERROR(__xludf.DUMMYFUNCTION("""COMPUTED_VALUE"""),"Domestic w/ Targeted Victim")</f>
        <v>Domestic w/ Targeted Victim</v>
      </c>
      <c r="AB1967" s="8"/>
      <c r="AC1967" s="8" t="str">
        <f ca="1">IFERROR(__xludf.DUMMYFUNCTION("""COMPUTED_VALUE"""),"Yes")</f>
        <v>Yes</v>
      </c>
      <c r="AD1967" s="8" t="str">
        <f ca="1">IFERROR(__xludf.DUMMYFUNCTION("""COMPUTED_VALUE"""),"Victims Targeted")</f>
        <v>Victims Targeted</v>
      </c>
      <c r="AE1967" s="8" t="str">
        <f ca="1">IFERROR(__xludf.DUMMYFUNCTION("""COMPUTED_VALUE"""),"No")</f>
        <v>No</v>
      </c>
      <c r="AF1967" s="8"/>
      <c r="AG1967" s="8" t="str">
        <f ca="1">IFERROR(__xludf.DUMMYFUNCTION("""COMPUTED_VALUE"""),"No")</f>
        <v>No</v>
      </c>
      <c r="AH1967" s="8" t="str">
        <f ca="1">IFERROR(__xludf.DUMMYFUNCTION("""COMPUTED_VALUE"""),"No")</f>
        <v>No</v>
      </c>
      <c r="AI1967" s="8" t="str">
        <f ca="1">IFERROR(__xludf.DUMMYFUNCTION("""COMPUTED_VALUE"""),"No")</f>
        <v>No</v>
      </c>
      <c r="AJ1967" s="8" t="str">
        <f ca="1">IFERROR(__xludf.DUMMYFUNCTION("""COMPUTED_VALUE"""),"No")</f>
        <v>No</v>
      </c>
      <c r="AK1967" s="8" t="str">
        <f ca="1">IFERROR(__xludf.DUMMYFUNCTION("""COMPUTED_VALUE"""),"Yes")</f>
        <v>Yes</v>
      </c>
      <c r="AL1967" s="8" t="str">
        <f ca="1">IFERROR(__xludf.DUMMYFUNCTION("""COMPUTED_VALUE"""),"No")</f>
        <v>No</v>
      </c>
      <c r="AM1967" s="8" t="str">
        <f ca="1">IFERROR(__xludf.DUMMYFUNCTION("""COMPUTED_VALUE"""),"Yes")</f>
        <v>Yes</v>
      </c>
      <c r="AN1967" s="8" t="str">
        <f ca="1">IFERROR(__xludf.DUMMYFUNCTION("""COMPUTED_VALUE"""),"Outside")</f>
        <v>Outside</v>
      </c>
      <c r="AO1967" s="8" t="str">
        <f ca="1">IFERROR(__xludf.DUMMYFUNCTION("""COMPUTED_VALUE"""),"No")</f>
        <v>No</v>
      </c>
      <c r="AP1967" s="8" t="str">
        <f ca="1">IFERROR(__xludf.DUMMYFUNCTION("""COMPUTED_VALUE"""),"N/A")</f>
        <v>N/A</v>
      </c>
      <c r="AQ1967" s="8" t="str">
        <f ca="1">IFERROR(__xludf.DUMMYFUNCTION("""COMPUTED_VALUE"""),"Unknown")</f>
        <v>Unknown</v>
      </c>
      <c r="AR1967" s="8" t="str">
        <f ca="1">IFERROR(__xludf.DUMMYFUNCTION("""COMPUTED_VALUE"""),"NA")</f>
        <v>NA</v>
      </c>
      <c r="AS1967" s="8">
        <f ca="1">IFERROR(__xludf.DUMMYFUNCTION("""COMPUTED_VALUE"""),1)</f>
        <v>1</v>
      </c>
      <c r="AT1967" s="8" t="str">
        <f ca="1">IFERROR(__xludf.DUMMYFUNCTION("""COMPUTED_VALUE"""),"Yes")</f>
        <v>Yes</v>
      </c>
      <c r="AU1967" s="8">
        <f ca="1">IFERROR(__xludf.DUMMYFUNCTION("""COMPUTED_VALUE"""),25.882331)</f>
        <v>25.882331000000001</v>
      </c>
      <c r="AV1967" s="8">
        <f ca="1">IFERROR(__xludf.DUMMYFUNCTION("""COMPUTED_VALUE"""),-80.235633)</f>
        <v>-80.235633000000007</v>
      </c>
      <c r="AW1967" s="8"/>
      <c r="AX1967" s="8">
        <f ca="1">IFERROR(__xludf.DUMMYFUNCTION("""COMPUTED_VALUE"""),33167)</f>
        <v>33167</v>
      </c>
    </row>
    <row r="1968" spans="1:50" ht="45" x14ac:dyDescent="0.2">
      <c r="A1968" s="8" t="str">
        <f ca="1">IFERROR(__xludf.DUMMYFUNCTION("""COMPUTED_VALUE"""),"20140307LAMAT")</f>
        <v>20140307LAMAT</v>
      </c>
      <c r="B1968" s="8">
        <f ca="1">IFERROR(__xludf.DUMMYFUNCTION("""COMPUTED_VALUE"""),3)</f>
        <v>3</v>
      </c>
      <c r="C1968" s="8">
        <f ca="1">IFERROR(__xludf.DUMMYFUNCTION("""COMPUTED_VALUE"""),7)</f>
        <v>7</v>
      </c>
      <c r="D1968" s="8">
        <f ca="1">IFERROR(__xludf.DUMMYFUNCTION("""COMPUTED_VALUE"""),2014)</f>
        <v>2014</v>
      </c>
      <c r="E1968" s="9">
        <f ca="1">IFERROR(__xludf.DUMMYFUNCTION("""COMPUTED_VALUE"""),41705)</f>
        <v>41705</v>
      </c>
      <c r="F1968" s="8" t="str">
        <f ca="1">IFERROR(__xludf.DUMMYFUNCTION("""COMPUTED_VALUE"""),"Madison Parish High School")</f>
        <v>Madison Parish High School</v>
      </c>
      <c r="G1968" s="8">
        <f ca="1">IFERROR(__xludf.DUMMYFUNCTION("""COMPUTED_VALUE"""),0)</f>
        <v>0</v>
      </c>
      <c r="H1968" s="8">
        <f ca="1">IFERROR(__xludf.DUMMYFUNCTION("""COMPUTED_VALUE"""),1)</f>
        <v>1</v>
      </c>
      <c r="I1968" s="8">
        <f ca="1">IFERROR(__xludf.DUMMYFUNCTION("""COMPUTED_VALUE"""),1)</f>
        <v>1</v>
      </c>
      <c r="J1968" s="8">
        <f ca="1">IFERROR(__xludf.DUMMYFUNCTION("""COMPUTED_VALUE"""),0)</f>
        <v>0</v>
      </c>
      <c r="K1968" s="10" t="str">
        <f ca="1">IFERROR(__xludf.DUMMYFUNCTION("""COMPUTED_VALUE"""),"https://www.myarklamiss.com/crime/update-17-year-old-arrested-in-connection-with-friday-nights-shooting-in-madison-parish/166472643")</f>
        <v>https://www.myarklamiss.com/crime/update-17-year-old-arrested-in-connection-with-friday-nights-shooting-in-madison-parish/166472643</v>
      </c>
      <c r="L1968" s="8"/>
      <c r="M1968" s="8"/>
      <c r="N1968" s="8">
        <f ca="1">IFERROR(__xludf.DUMMYFUNCTION("""COMPUTED_VALUE"""),2)</f>
        <v>2</v>
      </c>
      <c r="O1968" s="8" t="str">
        <f ca="1">IFERROR(__xludf.DUMMYFUNCTION("""COMPUTED_VALUE"""),"Spring")</f>
        <v>Spring</v>
      </c>
      <c r="P1968" s="8" t="str">
        <f ca="1">IFERROR(__xludf.DUMMYFUNCTION("""COMPUTED_VALUE"""),"Tallulah")</f>
        <v>Tallulah</v>
      </c>
      <c r="Q1968" s="8" t="str">
        <f ca="1">IFERROR(__xludf.DUMMYFUNCTION("""COMPUTED_VALUE"""),"LA")</f>
        <v>LA</v>
      </c>
      <c r="R1968" s="8" t="str">
        <f ca="1">IFERROR(__xludf.DUMMYFUNCTION("""COMPUTED_VALUE"""),"High")</f>
        <v>High</v>
      </c>
      <c r="S1968" s="8" t="str">
        <f ca="1">IFERROR(__xludf.DUMMYFUNCTION("""COMPUTED_VALUE"""),"Front of School")</f>
        <v>Front of School</v>
      </c>
      <c r="T1968" s="8" t="str">
        <f ca="1">IFERROR(__xludf.DUMMYFUNCTION("""COMPUTED_VALUE"""),"Outside on School Property")</f>
        <v>Outside on School Property</v>
      </c>
      <c r="U1968" s="8" t="str">
        <f ca="1">IFERROR(__xludf.DUMMYFUNCTION("""COMPUTED_VALUE"""),"No")</f>
        <v>No</v>
      </c>
      <c r="V1968" s="8" t="str">
        <f ca="1">IFERROR(__xludf.DUMMYFUNCTION("""COMPUTED_VALUE"""),"School Event")</f>
        <v>School Event</v>
      </c>
      <c r="W1968" s="8"/>
      <c r="X1968" s="8"/>
      <c r="Y1968" s="12" t="str">
        <f ca="1">IFERROR(__xludf.DUMMYFUNCTION("""COMPUTED_VALUE"""),"Shooting after fundraiser at high school")</f>
        <v>Shooting after fundraiser at high school</v>
      </c>
      <c r="Z1968" s="12" t="str">
        <f ca="1">IFERROR(__xludf.DUMMYFUNCTION("""COMPUTED_VALUE"""),"17 year old shooter shot 16 year old victim in arm during a fundraiser at the high school.")</f>
        <v>17 year old shooter shot 16 year old victim in arm during a fundraiser at the high school.</v>
      </c>
      <c r="AA1968" s="8" t="str">
        <f ca="1">IFERROR(__xludf.DUMMYFUNCTION("""COMPUTED_VALUE"""),"Unknown")</f>
        <v>Unknown</v>
      </c>
      <c r="AB1968" s="8"/>
      <c r="AC1968" s="8" t="str">
        <f ca="1">IFERROR(__xludf.DUMMYFUNCTION("""COMPUTED_VALUE"""),"Yes")</f>
        <v>Yes</v>
      </c>
      <c r="AD1968" s="8"/>
      <c r="AE1968" s="8" t="str">
        <f ca="1">IFERROR(__xludf.DUMMYFUNCTION("""COMPUTED_VALUE"""),"No")</f>
        <v>No</v>
      </c>
      <c r="AF1968" s="8"/>
      <c r="AG1968" s="8" t="str">
        <f ca="1">IFERROR(__xludf.DUMMYFUNCTION("""COMPUTED_VALUE"""),"No")</f>
        <v>No</v>
      </c>
      <c r="AH1968" s="8" t="str">
        <f ca="1">IFERROR(__xludf.DUMMYFUNCTION("""COMPUTED_VALUE"""),"No")</f>
        <v>No</v>
      </c>
      <c r="AI1968" s="8" t="str">
        <f ca="1">IFERROR(__xludf.DUMMYFUNCTION("""COMPUTED_VALUE"""),"No")</f>
        <v>No</v>
      </c>
      <c r="AJ1968" s="8"/>
      <c r="AK1968" s="8"/>
      <c r="AL1968" s="8"/>
      <c r="AM1968" s="8"/>
      <c r="AN1968" s="8"/>
      <c r="AO1968" s="8"/>
      <c r="AP1968" s="8"/>
      <c r="AQ1968" s="8" t="str">
        <f ca="1">IFERROR(__xludf.DUMMYFUNCTION("""COMPUTED_VALUE"""),"Unknown")</f>
        <v>Unknown</v>
      </c>
      <c r="AR1968" s="8" t="str">
        <f ca="1">IFERROR(__xludf.DUMMYFUNCTION("""COMPUTED_VALUE"""),"NA")</f>
        <v>NA</v>
      </c>
      <c r="AS1968" s="8">
        <f ca="1">IFERROR(__xludf.DUMMYFUNCTION("""COMPUTED_VALUE"""),1)</f>
        <v>1</v>
      </c>
      <c r="AT1968" s="8"/>
      <c r="AU1968" s="8">
        <f ca="1">IFERROR(__xludf.DUMMYFUNCTION("""COMPUTED_VALUE"""),32.398178)</f>
        <v>32.398178000000001</v>
      </c>
      <c r="AV1968" s="8">
        <f ca="1">IFERROR(__xludf.DUMMYFUNCTION("""COMPUTED_VALUE"""),-91.207213)</f>
        <v>-91.207212999999996</v>
      </c>
      <c r="AW1968" s="8"/>
      <c r="AX1968" s="8">
        <f ca="1">IFERROR(__xludf.DUMMYFUNCTION("""COMPUTED_VALUE"""),71282)</f>
        <v>71282</v>
      </c>
    </row>
    <row r="1969" spans="1:50" ht="120" x14ac:dyDescent="0.2">
      <c r="A1969" s="8" t="str">
        <f ca="1">IFERROR(__xludf.DUMMYFUNCTION("""COMPUTED_VALUE"""),"20140220MIRAR")</f>
        <v>20140220MIRAR</v>
      </c>
      <c r="B1969" s="8">
        <f ca="1">IFERROR(__xludf.DUMMYFUNCTION("""COMPUTED_VALUE"""),2)</f>
        <v>2</v>
      </c>
      <c r="C1969" s="8">
        <f ca="1">IFERROR(__xludf.DUMMYFUNCTION("""COMPUTED_VALUE"""),20)</f>
        <v>20</v>
      </c>
      <c r="D1969" s="8">
        <f ca="1">IFERROR(__xludf.DUMMYFUNCTION("""COMPUTED_VALUE"""),2014)</f>
        <v>2014</v>
      </c>
      <c r="E1969" s="9">
        <f ca="1">IFERROR(__xludf.DUMMYFUNCTION("""COMPUTED_VALUE"""),41690)</f>
        <v>41690</v>
      </c>
      <c r="F1969" s="8" t="str">
        <f ca="1">IFERROR(__xludf.DUMMYFUNCTION("""COMPUTED_VALUE"""),"Raytown Success Academy")</f>
        <v>Raytown Success Academy</v>
      </c>
      <c r="G1969" s="8">
        <f ca="1">IFERROR(__xludf.DUMMYFUNCTION("""COMPUTED_VALUE"""),1)</f>
        <v>1</v>
      </c>
      <c r="H1969" s="8">
        <f ca="1">IFERROR(__xludf.DUMMYFUNCTION("""COMPUTED_VALUE"""),0)</f>
        <v>0</v>
      </c>
      <c r="I1969" s="8">
        <f ca="1">IFERROR(__xludf.DUMMYFUNCTION("""COMPUTED_VALUE"""),1)</f>
        <v>1</v>
      </c>
      <c r="J1969" s="8">
        <f ca="1">IFERROR(__xludf.DUMMYFUNCTION("""COMPUTED_VALUE"""),0)</f>
        <v>0</v>
      </c>
      <c r="K1969" s="10" t="str">
        <f ca="1">IFERROR(__xludf.DUMMYFUNCTION("""COMPUTED_VALUE"""),"http://www.kansascity.com/news/local/crime/article9772547.html")</f>
        <v>http://www.kansascity.com/news/local/crime/article9772547.html</v>
      </c>
      <c r="L1969" s="8">
        <f ca="1">IFERROR(__xludf.DUMMYFUNCTION("""COMPUTED_VALUE"""),5)</f>
        <v>5</v>
      </c>
      <c r="M1969" s="8" t="str">
        <f ca="1">IFERROR(__xludf.DUMMYFUNCTION("""COMPUTED_VALUE"""),"Local")</f>
        <v>Local</v>
      </c>
      <c r="N1969" s="8">
        <f ca="1">IFERROR(__xludf.DUMMYFUNCTION("""COMPUTED_VALUE"""),2)</f>
        <v>2</v>
      </c>
      <c r="O1969" s="8" t="str">
        <f ca="1">IFERROR(__xludf.DUMMYFUNCTION("""COMPUTED_VALUE"""),"Winter")</f>
        <v>Winter</v>
      </c>
      <c r="P1969" s="8" t="str">
        <f ca="1">IFERROR(__xludf.DUMMYFUNCTION("""COMPUTED_VALUE"""),"Kansas City")</f>
        <v>Kansas City</v>
      </c>
      <c r="Q1969" s="8" t="str">
        <f ca="1">IFERROR(__xludf.DUMMYFUNCTION("""COMPUTED_VALUE"""),"MO")</f>
        <v>MO</v>
      </c>
      <c r="R1969" s="8" t="str">
        <f ca="1">IFERROR(__xludf.DUMMYFUNCTION("""COMPUTED_VALUE"""),"High")</f>
        <v>High</v>
      </c>
      <c r="S1969" s="8" t="str">
        <f ca="1">IFERROR(__xludf.DUMMYFUNCTION("""COMPUTED_VALUE"""),"Parking Lot")</f>
        <v>Parking Lot</v>
      </c>
      <c r="T1969" s="8" t="str">
        <f ca="1">IFERROR(__xludf.DUMMYFUNCTION("""COMPUTED_VALUE"""),"Outside on School Property")</f>
        <v>Outside on School Property</v>
      </c>
      <c r="U1969" s="8" t="str">
        <f ca="1">IFERROR(__xludf.DUMMYFUNCTION("""COMPUTED_VALUE"""),"Yes")</f>
        <v>Yes</v>
      </c>
      <c r="V1969" s="8" t="str">
        <f ca="1">IFERROR(__xludf.DUMMYFUNCTION("""COMPUTED_VALUE"""),"Morning Classes")</f>
        <v>Morning Classes</v>
      </c>
      <c r="W1969" s="11">
        <f ca="1">IFERROR(__xludf.DUMMYFUNCTION("""COMPUTED_VALUE"""),0.4375)</f>
        <v>0.4375</v>
      </c>
      <c r="X1969" s="8">
        <f ca="1">IFERROR(__xludf.DUMMYFUNCTION("""COMPUTED_VALUE"""),1)</f>
        <v>1</v>
      </c>
      <c r="Y1969" s="12" t="str">
        <f ca="1">IFERROR(__xludf.DUMMYFUNCTION("""COMPUTED_VALUE"""),"Jealousy over victim dating suspect's ex-girlfriend")</f>
        <v>Jealousy over victim dating suspect's ex-girlfriend</v>
      </c>
      <c r="Z1969" s="12" t="str">
        <f ca="1">IFERROR(__xludf.DUMMYFUNCTION("""COMPUTED_VALUE"""),"Suspect waiting in school parking lot for over 20 min. for victim to arrive with suspect's ex-girlfriend and kids. Suspect argued with ex-girlfriend outside the car, then went back to the car, opened the driver's door and shot victim multiple times. Suspe"&amp;"ct was arrested on scene. Suspect was a security guard - had retrieved gun from pawn shop earlier that morning. Reportedly, suspect couldn't accept victim ""stealing his family"".")</f>
        <v>Suspect waiting in school parking lot for over 20 min. for victim to arrive with suspect's ex-girlfriend and kids. Suspect argued with ex-girlfriend outside the car, then went back to the car, opened the driver's door and shot victim multiple times. Suspect was arrested on scene. Suspect was a security guard - had retrieved gun from pawn shop earlier that morning. Reportedly, suspect couldn't accept victim "stealing his family".</v>
      </c>
      <c r="AA1969" s="8" t="str">
        <f ca="1">IFERROR(__xludf.DUMMYFUNCTION("""COMPUTED_VALUE"""),"Domestic w/ Targeted Victim")</f>
        <v>Domestic w/ Targeted Victim</v>
      </c>
      <c r="AB1969" s="8"/>
      <c r="AC1969" s="8" t="str">
        <f ca="1">IFERROR(__xludf.DUMMYFUNCTION("""COMPUTED_VALUE"""),"Yes")</f>
        <v>Yes</v>
      </c>
      <c r="AD1969" s="8" t="str">
        <f ca="1">IFERROR(__xludf.DUMMYFUNCTION("""COMPUTED_VALUE"""),"Victims Targeted")</f>
        <v>Victims Targeted</v>
      </c>
      <c r="AE1969" s="8" t="str">
        <f ca="1">IFERROR(__xludf.DUMMYFUNCTION("""COMPUTED_VALUE"""),"No")</f>
        <v>No</v>
      </c>
      <c r="AF1969" s="8"/>
      <c r="AG1969" s="8" t="str">
        <f ca="1">IFERROR(__xludf.DUMMYFUNCTION("""COMPUTED_VALUE"""),"No")</f>
        <v>No</v>
      </c>
      <c r="AH1969" s="8" t="str">
        <f ca="1">IFERROR(__xludf.DUMMYFUNCTION("""COMPUTED_VALUE"""),"No")</f>
        <v>No</v>
      </c>
      <c r="AI1969" s="8" t="str">
        <f ca="1">IFERROR(__xludf.DUMMYFUNCTION("""COMPUTED_VALUE"""),"No")</f>
        <v>No</v>
      </c>
      <c r="AJ1969" s="8" t="str">
        <f ca="1">IFERROR(__xludf.DUMMYFUNCTION("""COMPUTED_VALUE"""),"N/A")</f>
        <v>N/A</v>
      </c>
      <c r="AK1969" s="8" t="str">
        <f ca="1">IFERROR(__xludf.DUMMYFUNCTION("""COMPUTED_VALUE"""),"No")</f>
        <v>No</v>
      </c>
      <c r="AL1969" s="8" t="str">
        <f ca="1">IFERROR(__xludf.DUMMYFUNCTION("""COMPUTED_VALUE"""),"No")</f>
        <v>No</v>
      </c>
      <c r="AM1969" s="8"/>
      <c r="AN1969" s="8"/>
      <c r="AO1969" s="8" t="str">
        <f ca="1">IFERROR(__xludf.DUMMYFUNCTION("""COMPUTED_VALUE"""),"No")</f>
        <v>No</v>
      </c>
      <c r="AP1969" s="8" t="str">
        <f ca="1">IFERROR(__xludf.DUMMYFUNCTION("""COMPUTED_VALUE"""),"No")</f>
        <v>No</v>
      </c>
      <c r="AQ1969" s="8" t="str">
        <f ca="1">IFERROR(__xludf.DUMMYFUNCTION("""COMPUTED_VALUE"""),"Unknown")</f>
        <v>Unknown</v>
      </c>
      <c r="AR1969" s="8" t="str">
        <f ca="1">IFERROR(__xludf.DUMMYFUNCTION("""COMPUTED_VALUE"""),"NA")</f>
        <v>NA</v>
      </c>
      <c r="AS1969" s="8">
        <f ca="1">IFERROR(__xludf.DUMMYFUNCTION("""COMPUTED_VALUE"""),14)</f>
        <v>14</v>
      </c>
      <c r="AT1969" s="8" t="str">
        <f ca="1">IFERROR(__xludf.DUMMYFUNCTION("""COMPUTED_VALUE"""),"Yes")</f>
        <v>Yes</v>
      </c>
      <c r="AU1969" s="8">
        <f ca="1">IFERROR(__xludf.DUMMYFUNCTION("""COMPUTED_VALUE"""),39.094)</f>
        <v>39.094000000000001</v>
      </c>
      <c r="AV1969" s="8">
        <f ca="1">IFERROR(__xludf.DUMMYFUNCTION("""COMPUTED_VALUE"""),-94.5688)</f>
        <v>-94.568799999999996</v>
      </c>
      <c r="AW1969" s="8"/>
      <c r="AX1969" s="8">
        <f ca="1">IFERROR(__xludf.DUMMYFUNCTION("""COMPUTED_VALUE"""),64106)</f>
        <v>64106</v>
      </c>
    </row>
    <row r="1970" spans="1:50" ht="60" x14ac:dyDescent="0.2">
      <c r="A1970" s="8" t="str">
        <f ca="1">IFERROR(__xludf.DUMMYFUNCTION("""COMPUTED_VALUE"""),"20140211IAGLG")</f>
        <v>20140211IAGLG</v>
      </c>
      <c r="B1970" s="8">
        <f ca="1">IFERROR(__xludf.DUMMYFUNCTION("""COMPUTED_VALUE"""),2)</f>
        <v>2</v>
      </c>
      <c r="C1970" s="8">
        <f ca="1">IFERROR(__xludf.DUMMYFUNCTION("""COMPUTED_VALUE"""),11)</f>
        <v>11</v>
      </c>
      <c r="D1970" s="8">
        <f ca="1">IFERROR(__xludf.DUMMYFUNCTION("""COMPUTED_VALUE"""),2014)</f>
        <v>2014</v>
      </c>
      <c r="E1970" s="9">
        <f ca="1">IFERROR(__xludf.DUMMYFUNCTION("""COMPUTED_VALUE"""),41681)</f>
        <v>41681</v>
      </c>
      <c r="F1970" s="8" t="str">
        <f ca="1">IFERROR(__xludf.DUMMYFUNCTION("""COMPUTED_VALUE"""),"Glenwood West Elementary School")</f>
        <v>Glenwood West Elementary School</v>
      </c>
      <c r="G1970" s="8">
        <f ca="1">IFERROR(__xludf.DUMMYFUNCTION("""COMPUTED_VALUE"""),0)</f>
        <v>0</v>
      </c>
      <c r="H1970" s="8">
        <f ca="1">IFERROR(__xludf.DUMMYFUNCTION("""COMPUTED_VALUE"""),1)</f>
        <v>1</v>
      </c>
      <c r="I1970" s="8">
        <f ca="1">IFERROR(__xludf.DUMMYFUNCTION("""COMPUTED_VALUE"""),1)</f>
        <v>1</v>
      </c>
      <c r="J1970" s="8">
        <f ca="1">IFERROR(__xludf.DUMMYFUNCTION("""COMPUTED_VALUE"""),0)</f>
        <v>0</v>
      </c>
      <c r="K1970" s="10" t="str">
        <f ca="1">IFERROR(__xludf.DUMMYFUNCTION("""COMPUTED_VALUE"""),"https://www.kmaland.com/news/charges-filed-in-glenwood-accidental-shooting/article_71bb9b24-883c-11e3-bf82-001a4bcf6878.html")</f>
        <v>https://www.kmaland.com/news/charges-filed-in-glenwood-accidental-shooting/article_71bb9b24-883c-11e3-bf82-001a4bcf6878.html</v>
      </c>
      <c r="L1970" s="8">
        <f ca="1">IFERROR(__xludf.DUMMYFUNCTION("""COMPUTED_VALUE"""),5)</f>
        <v>5</v>
      </c>
      <c r="M1970" s="8" t="str">
        <f ca="1">IFERROR(__xludf.DUMMYFUNCTION("""COMPUTED_VALUE"""),"Local")</f>
        <v>Local</v>
      </c>
      <c r="N1970" s="8">
        <f ca="1">IFERROR(__xludf.DUMMYFUNCTION("""COMPUTED_VALUE"""),4)</f>
        <v>4</v>
      </c>
      <c r="O1970" s="8" t="str">
        <f ca="1">IFERROR(__xludf.DUMMYFUNCTION("""COMPUTED_VALUE"""),"Winter")</f>
        <v>Winter</v>
      </c>
      <c r="P1970" s="8" t="str">
        <f ca="1">IFERROR(__xludf.DUMMYFUNCTION("""COMPUTED_VALUE"""),"Flenwood")</f>
        <v>Flenwood</v>
      </c>
      <c r="Q1970" s="8" t="str">
        <f ca="1">IFERROR(__xludf.DUMMYFUNCTION("""COMPUTED_VALUE"""),"IA")</f>
        <v>IA</v>
      </c>
      <c r="R1970" s="8" t="str">
        <f ca="1">IFERROR(__xludf.DUMMYFUNCTION("""COMPUTED_VALUE"""),"Elementary")</f>
        <v>Elementary</v>
      </c>
      <c r="S1970" s="8" t="str">
        <f ca="1">IFERROR(__xludf.DUMMYFUNCTION("""COMPUTED_VALUE"""),"Parking Lot")</f>
        <v>Parking Lot</v>
      </c>
      <c r="T1970" s="8" t="str">
        <f ca="1">IFERROR(__xludf.DUMMYFUNCTION("""COMPUTED_VALUE"""),"Outside on School Property")</f>
        <v>Outside on School Property</v>
      </c>
      <c r="U1970" s="8" t="str">
        <f ca="1">IFERROR(__xludf.DUMMYFUNCTION("""COMPUTED_VALUE"""),"Yes")</f>
        <v>Yes</v>
      </c>
      <c r="V1970" s="8" t="str">
        <f ca="1">IFERROR(__xludf.DUMMYFUNCTION("""COMPUTED_VALUE"""),"Dismissal")</f>
        <v>Dismissal</v>
      </c>
      <c r="W1970" s="11">
        <f ca="1">IFERROR(__xludf.DUMMYFUNCTION("""COMPUTED_VALUE"""),0.625)</f>
        <v>0.625</v>
      </c>
      <c r="X1970" s="8">
        <f ca="1">IFERROR(__xludf.DUMMYFUNCTION("""COMPUTED_VALUE"""),1)</f>
        <v>1</v>
      </c>
      <c r="Y1970" s="12" t="str">
        <f ca="1">IFERROR(__xludf.DUMMYFUNCTION("""COMPUTED_VALUE"""),"Parent shot self in school parking lot while waiting to pickup child")</f>
        <v>Parent shot self in school parking lot while waiting to pickup child</v>
      </c>
      <c r="Z1970" s="12" t="str">
        <f ca="1">IFERROR(__xludf.DUMMYFUNCTION("""COMPUTED_VALUE"""),"Authorities say Good accidentally shot himself in the leg at Glenwood West Elementary School's playground pickup area late Friday afternoon. Good was reportedly sitting in his vehicle when the vehicle accidentially discharged.")</f>
        <v>Authorities say Good accidentally shot himself in the leg at Glenwood West Elementary School's playground pickup area late Friday afternoon. Good was reportedly sitting in his vehicle when the vehicle accidentially discharged.</v>
      </c>
      <c r="AA1970" s="8" t="str">
        <f ca="1">IFERROR(__xludf.DUMMYFUNCTION("""COMPUTED_VALUE"""),"Accidental")</f>
        <v>Accidental</v>
      </c>
      <c r="AB1970" s="8" t="str">
        <f ca="1">IFERROR(__xludf.DUMMYFUNCTION("""COMPUTED_VALUE"""),"Spontaneous")</f>
        <v>Spontaneous</v>
      </c>
      <c r="AC1970" s="8" t="str">
        <f ca="1">IFERROR(__xludf.DUMMYFUNCTION("""COMPUTED_VALUE"""),"Yes")</f>
        <v>Yes</v>
      </c>
      <c r="AD1970" s="8" t="str">
        <f ca="1">IFERROR(__xludf.DUMMYFUNCTION("""COMPUTED_VALUE"""),"Neither")</f>
        <v>Neither</v>
      </c>
      <c r="AE1970" s="8" t="str">
        <f ca="1">IFERROR(__xludf.DUMMYFUNCTION("""COMPUTED_VALUE"""),"No")</f>
        <v>No</v>
      </c>
      <c r="AF1970" s="8"/>
      <c r="AG1970" s="8" t="str">
        <f ca="1">IFERROR(__xludf.DUMMYFUNCTION("""COMPUTED_VALUE"""),"No")</f>
        <v>No</v>
      </c>
      <c r="AH1970" s="8" t="str">
        <f ca="1">IFERROR(__xludf.DUMMYFUNCTION("""COMPUTED_VALUE"""),"No")</f>
        <v>No</v>
      </c>
      <c r="AI1970" s="8" t="str">
        <f ca="1">IFERROR(__xludf.DUMMYFUNCTION("""COMPUTED_VALUE"""),"No")</f>
        <v>No</v>
      </c>
      <c r="AJ1970" s="8" t="str">
        <f ca="1">IFERROR(__xludf.DUMMYFUNCTION("""COMPUTED_VALUE"""),"No")</f>
        <v>No</v>
      </c>
      <c r="AK1970" s="8" t="str">
        <f ca="1">IFERROR(__xludf.DUMMYFUNCTION("""COMPUTED_VALUE"""),"No")</f>
        <v>No</v>
      </c>
      <c r="AL1970" s="8" t="str">
        <f ca="1">IFERROR(__xludf.DUMMYFUNCTION("""COMPUTED_VALUE"""),"No")</f>
        <v>No</v>
      </c>
      <c r="AM1970" s="8" t="str">
        <f ca="1">IFERROR(__xludf.DUMMYFUNCTION("""COMPUTED_VALUE"""),"No")</f>
        <v>No</v>
      </c>
      <c r="AN1970" s="8" t="str">
        <f ca="1">IFERROR(__xludf.DUMMYFUNCTION("""COMPUTED_VALUE"""),"Outside")</f>
        <v>Outside</v>
      </c>
      <c r="AO1970" s="8" t="str">
        <f ca="1">IFERROR(__xludf.DUMMYFUNCTION("""COMPUTED_VALUE"""),"No")</f>
        <v>No</v>
      </c>
      <c r="AP1970" s="8"/>
      <c r="AQ1970" s="8"/>
      <c r="AR1970" s="8"/>
      <c r="AS1970" s="8">
        <f ca="1">IFERROR(__xludf.DUMMYFUNCTION("""COMPUTED_VALUE"""),1)</f>
        <v>1</v>
      </c>
      <c r="AT1970" s="8" t="str">
        <f ca="1">IFERROR(__xludf.DUMMYFUNCTION("""COMPUTED_VALUE"""),"No")</f>
        <v>No</v>
      </c>
      <c r="AU1970" s="8">
        <f ca="1">IFERROR(__xludf.DUMMYFUNCTION("""COMPUTED_VALUE"""),41.045908)</f>
        <v>41.045907999999997</v>
      </c>
      <c r="AV1970" s="8">
        <f ca="1">IFERROR(__xludf.DUMMYFUNCTION("""COMPUTED_VALUE"""),-95.748171)</f>
        <v>-95.748170999999999</v>
      </c>
      <c r="AW1970" s="8"/>
      <c r="AX1970" s="8">
        <f ca="1">IFERROR(__xludf.DUMMYFUNCTION("""COMPUTED_VALUE"""),51534)</f>
        <v>51534</v>
      </c>
    </row>
    <row r="1971" spans="1:50" ht="90" x14ac:dyDescent="0.2">
      <c r="A1971" s="8" t="str">
        <f ca="1">IFERROR(__xludf.DUMMYFUNCTION("""COMPUTED_VALUE"""),"20140211OHCHL")</f>
        <v>20140211OHCHL</v>
      </c>
      <c r="B1971" s="8">
        <f ca="1">IFERROR(__xludf.DUMMYFUNCTION("""COMPUTED_VALUE"""),2)</f>
        <v>2</v>
      </c>
      <c r="C1971" s="8">
        <f ca="1">IFERROR(__xludf.DUMMYFUNCTION("""COMPUTED_VALUE"""),11)</f>
        <v>11</v>
      </c>
      <c r="D1971" s="8">
        <f ca="1">IFERROR(__xludf.DUMMYFUNCTION("""COMPUTED_VALUE"""),2014)</f>
        <v>2014</v>
      </c>
      <c r="E1971" s="9">
        <f ca="1">IFERROR(__xludf.DUMMYFUNCTION("""COMPUTED_VALUE"""),41681)</f>
        <v>41681</v>
      </c>
      <c r="F1971" s="8" t="str">
        <f ca="1">IFERROR(__xludf.DUMMYFUNCTION("""COMPUTED_VALUE"""),"Charles F. Brush High School")</f>
        <v>Charles F. Brush High School</v>
      </c>
      <c r="G1971" s="8">
        <f ca="1">IFERROR(__xludf.DUMMYFUNCTION("""COMPUTED_VALUE"""),0)</f>
        <v>0</v>
      </c>
      <c r="H1971" s="8">
        <f ca="1">IFERROR(__xludf.DUMMYFUNCTION("""COMPUTED_VALUE"""),0)</f>
        <v>0</v>
      </c>
      <c r="I1971" s="8">
        <f ca="1">IFERROR(__xludf.DUMMYFUNCTION("""COMPUTED_VALUE"""),0)</f>
        <v>0</v>
      </c>
      <c r="J1971" s="8">
        <f ca="1">IFERROR(__xludf.DUMMYFUNCTION("""COMPUTED_VALUE"""),0)</f>
        <v>0</v>
      </c>
      <c r="K1971" s="8" t="str">
        <f ca="1">IFERROR(__xludf.DUMMYFUNCTION("""COMPUTED_VALUE"""),"https://fox8.com/2014/02/11/2-arrests-after-shots-fired-in-brush-high-school-parking-lot/ https://www.cleveland.com/metro/index.ssf/2014/02/police_two_boys_charged_in_bru.html http://www.cleveland19.com/story/24698624/shots-fired-at-brush-high-school")</f>
        <v>https://fox8.com/2014/02/11/2-arrests-after-shots-fired-in-brush-high-school-parking-lot/ https://www.cleveland.com/metro/index.ssf/2014/02/police_two_boys_charged_in_bru.html http://www.cleveland19.com/story/24698624/shots-fired-at-brush-high-school</v>
      </c>
      <c r="L1971" s="8"/>
      <c r="M1971" s="8"/>
      <c r="N1971" s="8">
        <f ca="1">IFERROR(__xludf.DUMMYFUNCTION("""COMPUTED_VALUE"""),3)</f>
        <v>3</v>
      </c>
      <c r="O1971" s="8" t="str">
        <f ca="1">IFERROR(__xludf.DUMMYFUNCTION("""COMPUTED_VALUE"""),"Winter")</f>
        <v>Winter</v>
      </c>
      <c r="P1971" s="8" t="str">
        <f ca="1">IFERROR(__xludf.DUMMYFUNCTION("""COMPUTED_VALUE"""),"Lyndhurt")</f>
        <v>Lyndhurt</v>
      </c>
      <c r="Q1971" s="8" t="str">
        <f ca="1">IFERROR(__xludf.DUMMYFUNCTION("""COMPUTED_VALUE"""),"OH")</f>
        <v>OH</v>
      </c>
      <c r="R1971" s="8" t="str">
        <f ca="1">IFERROR(__xludf.DUMMYFUNCTION("""COMPUTED_VALUE"""),"High")</f>
        <v>High</v>
      </c>
      <c r="S1971" s="8" t="str">
        <f ca="1">IFERROR(__xludf.DUMMYFUNCTION("""COMPUTED_VALUE"""),"Parking Lot")</f>
        <v>Parking Lot</v>
      </c>
      <c r="T1971" s="8" t="str">
        <f ca="1">IFERROR(__xludf.DUMMYFUNCTION("""COMPUTED_VALUE"""),"Outside on School Property")</f>
        <v>Outside on School Property</v>
      </c>
      <c r="U1971" s="8" t="str">
        <f ca="1">IFERROR(__xludf.DUMMYFUNCTION("""COMPUTED_VALUE"""),"No")</f>
        <v>No</v>
      </c>
      <c r="V1971" s="8" t="str">
        <f ca="1">IFERROR(__xludf.DUMMYFUNCTION("""COMPUTED_VALUE"""),"Sport Event")</f>
        <v>Sport Event</v>
      </c>
      <c r="W1971" s="11">
        <f ca="1">IFERROR(__xludf.DUMMYFUNCTION("""COMPUTED_VALUE"""),0.854166666666666)</f>
        <v>0.85416666666666596</v>
      </c>
      <c r="X1971" s="8">
        <f ca="1">IFERROR(__xludf.DUMMYFUNCTION("""COMPUTED_VALUE"""),1)</f>
        <v>1</v>
      </c>
      <c r="Y1971" s="12" t="str">
        <f ca="1">IFERROR(__xludf.DUMMYFUNCTION("""COMPUTED_VALUE"""),"Shots fired during fight in parking lot during basketball game")</f>
        <v>Shots fired during fight in parking lot during basketball game</v>
      </c>
      <c r="Z1971" s="12" t="str">
        <f ca="1">IFERROR(__xludf.DUMMYFUNCTION("""COMPUTED_VALUE"""),"Two 17YOM were involved in dispute with 18YOM at basketball game over a girl. Fight occurred in the parking lot. 5 shots were fired and all missed. 5 shots were fired (all missed) during fight in the parking lot during a basketball game. Shooter fled the "&amp;"scene following the shooting. Weapon was recovered and a 17YOM was arrested.")</f>
        <v>Two 17YOM were involved in dispute with 18YOM at basketball game over a girl. Fight occurred in the parking lot. 5 shots were fired and all missed. 5 shots were fired (all missed) during fight in the parking lot during a basketball game. Shooter fled the scene following the shooting. Weapon was recovered and a 17YOM was arrested.</v>
      </c>
      <c r="AA1971" s="8" t="str">
        <f ca="1">IFERROR(__xludf.DUMMYFUNCTION("""COMPUTED_VALUE"""),"Escalation of Dispute")</f>
        <v>Escalation of Dispute</v>
      </c>
      <c r="AB1971" s="8"/>
      <c r="AC1971" s="8" t="str">
        <f ca="1">IFERROR(__xludf.DUMMYFUNCTION("""COMPUTED_VALUE"""),"Yes")</f>
        <v>Yes</v>
      </c>
      <c r="AD1971" s="8" t="str">
        <f ca="1">IFERROR(__xludf.DUMMYFUNCTION("""COMPUTED_VALUE"""),"Victims Targeted")</f>
        <v>Victims Targeted</v>
      </c>
      <c r="AE1971" s="8" t="str">
        <f ca="1">IFERROR(__xludf.DUMMYFUNCTION("""COMPUTED_VALUE"""),"Yes")</f>
        <v>Yes</v>
      </c>
      <c r="AF1971" s="8" t="str">
        <f ca="1">IFERROR(__xludf.DUMMYFUNCTION("""COMPUTED_VALUE"""),"2 arrested")</f>
        <v>2 arrested</v>
      </c>
      <c r="AG1971" s="8" t="str">
        <f ca="1">IFERROR(__xludf.DUMMYFUNCTION("""COMPUTED_VALUE"""),"No")</f>
        <v>No</v>
      </c>
      <c r="AH1971" s="8" t="str">
        <f ca="1">IFERROR(__xludf.DUMMYFUNCTION("""COMPUTED_VALUE"""),"No")</f>
        <v>No</v>
      </c>
      <c r="AI1971" s="8" t="str">
        <f ca="1">IFERROR(__xludf.DUMMYFUNCTION("""COMPUTED_VALUE"""),"No")</f>
        <v>No</v>
      </c>
      <c r="AJ1971" s="8" t="str">
        <f ca="1">IFERROR(__xludf.DUMMYFUNCTION("""COMPUTED_VALUE"""),"No")</f>
        <v>No</v>
      </c>
      <c r="AK1971" s="8" t="str">
        <f ca="1">IFERROR(__xludf.DUMMYFUNCTION("""COMPUTED_VALUE"""),"No")</f>
        <v>No</v>
      </c>
      <c r="AL1971" s="8" t="str">
        <f ca="1">IFERROR(__xludf.DUMMYFUNCTION("""COMPUTED_VALUE"""),"No")</f>
        <v>No</v>
      </c>
      <c r="AM1971" s="8"/>
      <c r="AN1971" s="8"/>
      <c r="AO1971" s="8" t="str">
        <f ca="1">IFERROR(__xludf.DUMMYFUNCTION("""COMPUTED_VALUE"""),"No")</f>
        <v>No</v>
      </c>
      <c r="AP1971" s="8"/>
      <c r="AQ1971" s="8" t="str">
        <f ca="1">IFERROR(__xludf.DUMMYFUNCTION("""COMPUTED_VALUE"""),"Unknown")</f>
        <v>Unknown</v>
      </c>
      <c r="AR1971" s="8" t="str">
        <f ca="1">IFERROR(__xludf.DUMMYFUNCTION("""COMPUTED_VALUE"""),"NA")</f>
        <v>NA</v>
      </c>
      <c r="AS1971" s="8">
        <f ca="1">IFERROR(__xludf.DUMMYFUNCTION("""COMPUTED_VALUE"""),5)</f>
        <v>5</v>
      </c>
      <c r="AT1971" s="8"/>
      <c r="AU1971" s="8">
        <f ca="1">IFERROR(__xludf.DUMMYFUNCTION("""COMPUTED_VALUE"""),41.521775)</f>
        <v>41.521774999999998</v>
      </c>
      <c r="AV1971" s="8">
        <f ca="1">IFERROR(__xludf.DUMMYFUNCTION("""COMPUTED_VALUE"""),-81.505576)</f>
        <v>-81.505576000000005</v>
      </c>
      <c r="AW1971" s="8"/>
      <c r="AX1971" s="8">
        <f ca="1">IFERROR(__xludf.DUMMYFUNCTION("""COMPUTED_VALUE"""),44124)</f>
        <v>44124</v>
      </c>
    </row>
    <row r="1972" spans="1:50" ht="120" x14ac:dyDescent="0.2">
      <c r="A1972" s="8" t="str">
        <f ca="1">IFERROR(__xludf.DUMMYFUNCTION("""COMPUTED_VALUE"""),"20140210NCSAS")</f>
        <v>20140210NCSAS</v>
      </c>
      <c r="B1972" s="8">
        <f ca="1">IFERROR(__xludf.DUMMYFUNCTION("""COMPUTED_VALUE"""),2)</f>
        <v>2</v>
      </c>
      <c r="C1972" s="8">
        <f ca="1">IFERROR(__xludf.DUMMYFUNCTION("""COMPUTED_VALUE"""),10)</f>
        <v>10</v>
      </c>
      <c r="D1972" s="8">
        <f ca="1">IFERROR(__xludf.DUMMYFUNCTION("""COMPUTED_VALUE"""),2014)</f>
        <v>2014</v>
      </c>
      <c r="E1972" s="9">
        <f ca="1">IFERROR(__xludf.DUMMYFUNCTION("""COMPUTED_VALUE"""),41680)</f>
        <v>41680</v>
      </c>
      <c r="F1972" s="8" t="str">
        <f ca="1">IFERROR(__xludf.DUMMYFUNCTION("""COMPUTED_VALUE"""),"Salisbury High School")</f>
        <v>Salisbury High School</v>
      </c>
      <c r="G1972" s="8">
        <f ca="1">IFERROR(__xludf.DUMMYFUNCTION("""COMPUTED_VALUE"""),0)</f>
        <v>0</v>
      </c>
      <c r="H1972" s="8">
        <f ca="1">IFERROR(__xludf.DUMMYFUNCTION("""COMPUTED_VALUE"""),1)</f>
        <v>1</v>
      </c>
      <c r="I1972" s="8">
        <f ca="1">IFERROR(__xludf.DUMMYFUNCTION("""COMPUTED_VALUE"""),1)</f>
        <v>1</v>
      </c>
      <c r="J1972" s="8">
        <f ca="1">IFERROR(__xludf.DUMMYFUNCTION("""COMPUTED_VALUE"""),0)</f>
        <v>0</v>
      </c>
      <c r="K1972" s="10" t="str">
        <f ca="1">IFERROR(__xludf.DUMMYFUNCTION("""COMPUTED_VALUE"""),"http://www.wbtv.com/story/24683911/student-shot-at-salisbury-high-school")</f>
        <v>http://www.wbtv.com/story/24683911/student-shot-at-salisbury-high-school</v>
      </c>
      <c r="L1972" s="8">
        <f ca="1">IFERROR(__xludf.DUMMYFUNCTION("""COMPUTED_VALUE"""),5)</f>
        <v>5</v>
      </c>
      <c r="M1972" s="8" t="str">
        <f ca="1">IFERROR(__xludf.DUMMYFUNCTION("""COMPUTED_VALUE"""),"Local")</f>
        <v>Local</v>
      </c>
      <c r="N1972" s="8">
        <f ca="1">IFERROR(__xludf.DUMMYFUNCTION("""COMPUTED_VALUE"""),2)</f>
        <v>2</v>
      </c>
      <c r="O1972" s="8" t="str">
        <f ca="1">IFERROR(__xludf.DUMMYFUNCTION("""COMPUTED_VALUE"""),"Winter")</f>
        <v>Winter</v>
      </c>
      <c r="P1972" s="8" t="str">
        <f ca="1">IFERROR(__xludf.DUMMYFUNCTION("""COMPUTED_VALUE"""),"Salisbury")</f>
        <v>Salisbury</v>
      </c>
      <c r="Q1972" s="8" t="str">
        <f ca="1">IFERROR(__xludf.DUMMYFUNCTION("""COMPUTED_VALUE"""),"NC")</f>
        <v>NC</v>
      </c>
      <c r="R1972" s="8" t="str">
        <f ca="1">IFERROR(__xludf.DUMMYFUNCTION("""COMPUTED_VALUE"""),"High")</f>
        <v>High</v>
      </c>
      <c r="S1972" s="8" t="str">
        <f ca="1">IFERROR(__xludf.DUMMYFUNCTION("""COMPUTED_VALUE"""),"Beside Building")</f>
        <v>Beside Building</v>
      </c>
      <c r="T1972" s="8" t="str">
        <f ca="1">IFERROR(__xludf.DUMMYFUNCTION("""COMPUTED_VALUE"""),"Outside on School Property")</f>
        <v>Outside on School Property</v>
      </c>
      <c r="U1972" s="8" t="str">
        <f ca="1">IFERROR(__xludf.DUMMYFUNCTION("""COMPUTED_VALUE"""),"No")</f>
        <v>No</v>
      </c>
      <c r="V1972" s="8" t="str">
        <f ca="1">IFERROR(__xludf.DUMMYFUNCTION("""COMPUTED_VALUE"""),"Dismissal")</f>
        <v>Dismissal</v>
      </c>
      <c r="W1972" s="11">
        <f ca="1">IFERROR(__xludf.DUMMYFUNCTION("""COMPUTED_VALUE"""),0.5)</f>
        <v>0.5</v>
      </c>
      <c r="X1972" s="8">
        <f ca="1">IFERROR(__xludf.DUMMYFUNCTION("""COMPUTED_VALUE"""),1)</f>
        <v>1</v>
      </c>
      <c r="Y1972" s="12" t="str">
        <f ca="1">IFERROR(__xludf.DUMMYFUNCTION("""COMPUTED_VALUE"""),"Shots during fight in gym")</f>
        <v>Shots during fight in gym</v>
      </c>
      <c r="Z1972" s="12" t="str">
        <f ca="1">IFERROR(__xludf.DUMMYFUNCTION("""COMPUTED_VALUE"""),"A group of males (not students at the school) entered the gym and started causing trouble (allegedly, following an argument over the weekend); the situation escalated into a physical fight outside of the school. The shooter fired striking a 3rd party (stu"&amp;"dent) who was trying to break up the fight. All of the involved parties fled the scene after the shooting. Shooter was arrested at a family members house later that night.")</f>
        <v>A group of males (not students at the school) entered the gym and started causing trouble (allegedly, following an argument over the weekend); the situation escalated into a physical fight outside of the school. The shooter fired striking a 3rd party (student) who was trying to break up the fight. All of the involved parties fled the scene after the shooting. Shooter was arrested at a family members house later that night.</v>
      </c>
      <c r="AA1972" s="8" t="str">
        <f ca="1">IFERROR(__xludf.DUMMYFUNCTION("""COMPUTED_VALUE"""),"Escalation of Dispute")</f>
        <v>Escalation of Dispute</v>
      </c>
      <c r="AB1972" s="8"/>
      <c r="AC1972" s="8" t="str">
        <f ca="1">IFERROR(__xludf.DUMMYFUNCTION("""COMPUTED_VALUE"""),"Yes")</f>
        <v>Yes</v>
      </c>
      <c r="AD1972" s="8" t="str">
        <f ca="1">IFERROR(__xludf.DUMMYFUNCTION("""COMPUTED_VALUE"""),"Both")</f>
        <v>Both</v>
      </c>
      <c r="AE1972" s="8" t="str">
        <f ca="1">IFERROR(__xludf.DUMMYFUNCTION("""COMPUTED_VALUE"""),"Yes")</f>
        <v>Yes</v>
      </c>
      <c r="AF1972" s="8" t="str">
        <f ca="1">IFERROR(__xludf.DUMMYFUNCTION("""COMPUTED_VALUE"""),"A group of males, not students there")</f>
        <v>A group of males, not students there</v>
      </c>
      <c r="AG1972" s="8" t="str">
        <f ca="1">IFERROR(__xludf.DUMMYFUNCTION("""COMPUTED_VALUE"""),"No")</f>
        <v>No</v>
      </c>
      <c r="AH1972" s="8" t="str">
        <f ca="1">IFERROR(__xludf.DUMMYFUNCTION("""COMPUTED_VALUE"""),"No")</f>
        <v>No</v>
      </c>
      <c r="AI1972" s="8" t="str">
        <f ca="1">IFERROR(__xludf.DUMMYFUNCTION("""COMPUTED_VALUE"""),"No")</f>
        <v>No</v>
      </c>
      <c r="AJ1972" s="8" t="str">
        <f ca="1">IFERROR(__xludf.DUMMYFUNCTION("""COMPUTED_VALUE"""),"No")</f>
        <v>No</v>
      </c>
      <c r="AK1972" s="8" t="str">
        <f ca="1">IFERROR(__xludf.DUMMYFUNCTION("""COMPUTED_VALUE"""),"No")</f>
        <v>No</v>
      </c>
      <c r="AL1972" s="8" t="str">
        <f ca="1">IFERROR(__xludf.DUMMYFUNCTION("""COMPUTED_VALUE"""),"No")</f>
        <v>No</v>
      </c>
      <c r="AM1972" s="8"/>
      <c r="AN1972" s="8"/>
      <c r="AO1972" s="8" t="str">
        <f ca="1">IFERROR(__xludf.DUMMYFUNCTION("""COMPUTED_VALUE"""),"No")</f>
        <v>No</v>
      </c>
      <c r="AP1972" s="8" t="str">
        <f ca="1">IFERROR(__xludf.DUMMYFUNCTION("""COMPUTED_VALUE"""),"No")</f>
        <v>No</v>
      </c>
      <c r="AQ1972" s="8" t="str">
        <f ca="1">IFERROR(__xludf.DUMMYFUNCTION("""COMPUTED_VALUE"""),"None")</f>
        <v>None</v>
      </c>
      <c r="AR1972" s="8" t="str">
        <f ca="1">IFERROR(__xludf.DUMMYFUNCTION("""COMPUTED_VALUE"""),"NA")</f>
        <v>NA</v>
      </c>
      <c r="AS1972" s="8">
        <f ca="1">IFERROR(__xludf.DUMMYFUNCTION("""COMPUTED_VALUE"""),1)</f>
        <v>1</v>
      </c>
      <c r="AT1972" s="8" t="str">
        <f ca="1">IFERROR(__xludf.DUMMYFUNCTION("""COMPUTED_VALUE"""),"No")</f>
        <v>No</v>
      </c>
      <c r="AU1972" s="8">
        <f ca="1">IFERROR(__xludf.DUMMYFUNCTION("""COMPUTED_VALUE"""),35.6648)</f>
        <v>35.6648</v>
      </c>
      <c r="AV1972" s="8">
        <f ca="1">IFERROR(__xludf.DUMMYFUNCTION("""COMPUTED_VALUE"""),-80.4849)</f>
        <v>-80.484899999999996</v>
      </c>
      <c r="AW1972" s="8"/>
      <c r="AX1972" s="8">
        <f ca="1">IFERROR(__xludf.DUMMYFUNCTION("""COMPUTED_VALUE"""),28144)</f>
        <v>28144</v>
      </c>
    </row>
    <row r="1973" spans="1:50" ht="60" x14ac:dyDescent="0.2">
      <c r="A1973" s="8" t="str">
        <f ca="1">IFERROR(__xludf.DUMMYFUNCTION("""COMPUTED_VALUE"""),"20140207ORBEB")</f>
        <v>20140207ORBEB</v>
      </c>
      <c r="B1973" s="8">
        <f ca="1">IFERROR(__xludf.DUMMYFUNCTION("""COMPUTED_VALUE"""),2)</f>
        <v>2</v>
      </c>
      <c r="C1973" s="8">
        <f ca="1">IFERROR(__xludf.DUMMYFUNCTION("""COMPUTED_VALUE"""),7)</f>
        <v>7</v>
      </c>
      <c r="D1973" s="8">
        <f ca="1">IFERROR(__xludf.DUMMYFUNCTION("""COMPUTED_VALUE"""),2014)</f>
        <v>2014</v>
      </c>
      <c r="E1973" s="9">
        <f ca="1">IFERROR(__xludf.DUMMYFUNCTION("""COMPUTED_VALUE"""),41677)</f>
        <v>41677</v>
      </c>
      <c r="F1973" s="8" t="str">
        <f ca="1">IFERROR(__xludf.DUMMYFUNCTION("""COMPUTED_VALUE"""),"Bend High School")</f>
        <v>Bend High School</v>
      </c>
      <c r="G1973" s="8">
        <f ca="1">IFERROR(__xludf.DUMMYFUNCTION("""COMPUTED_VALUE"""),0)</f>
        <v>0</v>
      </c>
      <c r="H1973" s="8">
        <f ca="1">IFERROR(__xludf.DUMMYFUNCTION("""COMPUTED_VALUE"""),0)</f>
        <v>0</v>
      </c>
      <c r="I1973" s="8">
        <f ca="1">IFERROR(__xludf.DUMMYFUNCTION("""COMPUTED_VALUE"""),0)</f>
        <v>0</v>
      </c>
      <c r="J1973" s="8">
        <f ca="1">IFERROR(__xludf.DUMMYFUNCTION("""COMPUTED_VALUE"""),1)</f>
        <v>1</v>
      </c>
      <c r="K1973" s="10" t="str">
        <f ca="1">IFERROR(__xludf.DUMMYFUNCTION("""COMPUTED_VALUE"""),"https://www.bendbulletin.com/home/1790423-151/details-emerge-in-bend-high-suicide")</f>
        <v>https://www.bendbulletin.com/home/1790423-151/details-emerge-in-bend-high-suicide</v>
      </c>
      <c r="L1973" s="8">
        <f ca="1">IFERROR(__xludf.DUMMYFUNCTION("""COMPUTED_VALUE"""),1)</f>
        <v>1</v>
      </c>
      <c r="M1973" s="8" t="str">
        <f ca="1">IFERROR(__xludf.DUMMYFUNCTION("""COMPUTED_VALUE"""),"Local")</f>
        <v>Local</v>
      </c>
      <c r="N1973" s="8">
        <f ca="1">IFERROR(__xludf.DUMMYFUNCTION("""COMPUTED_VALUE"""),2)</f>
        <v>2</v>
      </c>
      <c r="O1973" s="8" t="str">
        <f ca="1">IFERROR(__xludf.DUMMYFUNCTION("""COMPUTED_VALUE"""),"Winter")</f>
        <v>Winter</v>
      </c>
      <c r="P1973" s="8" t="str">
        <f ca="1">IFERROR(__xludf.DUMMYFUNCTION("""COMPUTED_VALUE"""),"Bend")</f>
        <v>Bend</v>
      </c>
      <c r="Q1973" s="8" t="str">
        <f ca="1">IFERROR(__xludf.DUMMYFUNCTION("""COMPUTED_VALUE"""),"OR")</f>
        <v>OR</v>
      </c>
      <c r="R1973" s="8" t="str">
        <f ca="1">IFERROR(__xludf.DUMMYFUNCTION("""COMPUTED_VALUE"""),"High")</f>
        <v>High</v>
      </c>
      <c r="S1973" s="8" t="str">
        <f ca="1">IFERROR(__xludf.DUMMYFUNCTION("""COMPUTED_VALUE"""),"Classroom")</f>
        <v>Classroom</v>
      </c>
      <c r="T1973" s="8" t="str">
        <f ca="1">IFERROR(__xludf.DUMMYFUNCTION("""COMPUTED_VALUE"""),"Inside School Building")</f>
        <v>Inside School Building</v>
      </c>
      <c r="U1973" s="8" t="str">
        <f ca="1">IFERROR(__xludf.DUMMYFUNCTION("""COMPUTED_VALUE"""),"Yes")</f>
        <v>Yes</v>
      </c>
      <c r="V1973" s="8" t="str">
        <f ca="1">IFERROR(__xludf.DUMMYFUNCTION("""COMPUTED_VALUE"""),"Morning Classes")</f>
        <v>Morning Classes</v>
      </c>
      <c r="W1973" s="11">
        <f ca="1">IFERROR(__xludf.DUMMYFUNCTION("""COMPUTED_VALUE"""),0.5)</f>
        <v>0.5</v>
      </c>
      <c r="X1973" s="8">
        <f ca="1">IFERROR(__xludf.DUMMYFUNCTION("""COMPUTED_VALUE"""),1)</f>
        <v>1</v>
      </c>
      <c r="Y1973" s="12" t="str">
        <f ca="1">IFERROR(__xludf.DUMMYFUNCTION("""COMPUTED_VALUE"""),"Suicide in classroom")</f>
        <v>Suicide in classroom</v>
      </c>
      <c r="Z1973" s="12" t="str">
        <f ca="1">IFERROR(__xludf.DUMMYFUNCTION("""COMPUTED_VALUE"""),"A male student entered a modular classroom and fatally shot himself using his own hunting rifle. He did not seem to want to harm anyone else. He was a teaching assistant and reportedly in good terms with everyone.")</f>
        <v>A male student entered a modular classroom and fatally shot himself using his own hunting rifle. He did not seem to want to harm anyone else. He was a teaching assistant and reportedly in good terms with everyone.</v>
      </c>
      <c r="AA1973" s="8" t="str">
        <f ca="1">IFERROR(__xludf.DUMMYFUNCTION("""COMPUTED_VALUE"""),"Suicide/Attempted")</f>
        <v>Suicide/Attempted</v>
      </c>
      <c r="AB1973" s="8"/>
      <c r="AC1973" s="8" t="str">
        <f ca="1">IFERROR(__xludf.DUMMYFUNCTION("""COMPUTED_VALUE"""),"Yes")</f>
        <v>Yes</v>
      </c>
      <c r="AD1973" s="8" t="str">
        <f ca="1">IFERROR(__xludf.DUMMYFUNCTION("""COMPUTED_VALUE"""),"Neither")</f>
        <v>Neither</v>
      </c>
      <c r="AE1973" s="8" t="str">
        <f ca="1">IFERROR(__xludf.DUMMYFUNCTION("""COMPUTED_VALUE"""),"No")</f>
        <v>No</v>
      </c>
      <c r="AF1973" s="8"/>
      <c r="AG1973" s="8" t="str">
        <f ca="1">IFERROR(__xludf.DUMMYFUNCTION("""COMPUTED_VALUE"""),"No")</f>
        <v>No</v>
      </c>
      <c r="AH1973" s="8" t="str">
        <f ca="1">IFERROR(__xludf.DUMMYFUNCTION("""COMPUTED_VALUE"""),"No")</f>
        <v>No</v>
      </c>
      <c r="AI1973" s="8" t="str">
        <f ca="1">IFERROR(__xludf.DUMMYFUNCTION("""COMPUTED_VALUE"""),"No")</f>
        <v>No</v>
      </c>
      <c r="AJ1973" s="8" t="str">
        <f ca="1">IFERROR(__xludf.DUMMYFUNCTION("""COMPUTED_VALUE"""),"No")</f>
        <v>No</v>
      </c>
      <c r="AK1973" s="8" t="str">
        <f ca="1">IFERROR(__xludf.DUMMYFUNCTION("""COMPUTED_VALUE"""),"No")</f>
        <v>No</v>
      </c>
      <c r="AL1973" s="8" t="str">
        <f ca="1">IFERROR(__xludf.DUMMYFUNCTION("""COMPUTED_VALUE"""),"No")</f>
        <v>No</v>
      </c>
      <c r="AM1973" s="8"/>
      <c r="AN1973" s="8"/>
      <c r="AO1973" s="8" t="str">
        <f ca="1">IFERROR(__xludf.DUMMYFUNCTION("""COMPUTED_VALUE"""),"No")</f>
        <v>No</v>
      </c>
      <c r="AP1973" s="8" t="str">
        <f ca="1">IFERROR(__xludf.DUMMYFUNCTION("""COMPUTED_VALUE"""),"No")</f>
        <v>No</v>
      </c>
      <c r="AQ1973" s="8" t="str">
        <f ca="1">IFERROR(__xludf.DUMMYFUNCTION("""COMPUTED_VALUE"""),"None")</f>
        <v>None</v>
      </c>
      <c r="AR1973" s="8" t="str">
        <f ca="1">IFERROR(__xludf.DUMMYFUNCTION("""COMPUTED_VALUE"""),"NA")</f>
        <v>NA</v>
      </c>
      <c r="AS1973" s="8">
        <f ca="1">IFERROR(__xludf.DUMMYFUNCTION("""COMPUTED_VALUE"""),1)</f>
        <v>1</v>
      </c>
      <c r="AT1973" s="8" t="str">
        <f ca="1">IFERROR(__xludf.DUMMYFUNCTION("""COMPUTED_VALUE"""),"Yes")</f>
        <v>Yes</v>
      </c>
      <c r="AU1973" s="8">
        <f ca="1">IFERROR(__xludf.DUMMYFUNCTION("""COMPUTED_VALUE"""),44.0523)</f>
        <v>44.052300000000002</v>
      </c>
      <c r="AV1973" s="8">
        <f ca="1">IFERROR(__xludf.DUMMYFUNCTION("""COMPUTED_VALUE"""),-121.2959)</f>
        <v>-121.2959</v>
      </c>
      <c r="AW1973" s="8"/>
      <c r="AX1973" s="8">
        <f ca="1">IFERROR(__xludf.DUMMYFUNCTION("""COMPUTED_VALUE"""),97702)</f>
        <v>97702</v>
      </c>
    </row>
    <row r="1974" spans="1:50" ht="90" x14ac:dyDescent="0.2">
      <c r="A1974" s="8" t="str">
        <f ca="1">IFERROR(__xludf.DUMMYFUNCTION("""COMPUTED_VALUE"""),"20140131IANOD")</f>
        <v>20140131IANOD</v>
      </c>
      <c r="B1974" s="8">
        <f ca="1">IFERROR(__xludf.DUMMYFUNCTION("""COMPUTED_VALUE"""),1)</f>
        <v>1</v>
      </c>
      <c r="C1974" s="8">
        <f ca="1">IFERROR(__xludf.DUMMYFUNCTION("""COMPUTED_VALUE"""),31)</f>
        <v>31</v>
      </c>
      <c r="D1974" s="8">
        <f ca="1">IFERROR(__xludf.DUMMYFUNCTION("""COMPUTED_VALUE"""),2014)</f>
        <v>2014</v>
      </c>
      <c r="E1974" s="9">
        <f ca="1">IFERROR(__xludf.DUMMYFUNCTION("""COMPUTED_VALUE"""),41670)</f>
        <v>41670</v>
      </c>
      <c r="F1974" s="8" t="str">
        <f ca="1">IFERROR(__xludf.DUMMYFUNCTION("""COMPUTED_VALUE"""),"North High School")</f>
        <v>North High School</v>
      </c>
      <c r="G1974" s="8">
        <f ca="1">IFERROR(__xludf.DUMMYFUNCTION("""COMPUTED_VALUE"""),0)</f>
        <v>0</v>
      </c>
      <c r="H1974" s="8">
        <f ca="1">IFERROR(__xludf.DUMMYFUNCTION("""COMPUTED_VALUE"""),1)</f>
        <v>1</v>
      </c>
      <c r="I1974" s="8">
        <f ca="1">IFERROR(__xludf.DUMMYFUNCTION("""COMPUTED_VALUE"""),1)</f>
        <v>1</v>
      </c>
      <c r="J1974" s="8">
        <f ca="1">IFERROR(__xludf.DUMMYFUNCTION("""COMPUTED_VALUE"""),0)</f>
        <v>0</v>
      </c>
      <c r="K1974" s="10" t="str">
        <f ca="1">IFERROR(__xludf.DUMMYFUNCTION("""COMPUTED_VALUE"""),"http://www.kcci.com/article/police-investigate-shooting-outside-north-high-school/6888652")</f>
        <v>http://www.kcci.com/article/police-investigate-shooting-outside-north-high-school/6888652</v>
      </c>
      <c r="L1974" s="8">
        <f ca="1">IFERROR(__xludf.DUMMYFUNCTION("""COMPUTED_VALUE"""),1)</f>
        <v>1</v>
      </c>
      <c r="M1974" s="8" t="str">
        <f ca="1">IFERROR(__xludf.DUMMYFUNCTION("""COMPUTED_VALUE"""),"Local")</f>
        <v>Local</v>
      </c>
      <c r="N1974" s="8">
        <f ca="1">IFERROR(__xludf.DUMMYFUNCTION("""COMPUTED_VALUE"""),2)</f>
        <v>2</v>
      </c>
      <c r="O1974" s="8" t="str">
        <f ca="1">IFERROR(__xludf.DUMMYFUNCTION("""COMPUTED_VALUE"""),"Winter")</f>
        <v>Winter</v>
      </c>
      <c r="P1974" s="8" t="str">
        <f ca="1">IFERROR(__xludf.DUMMYFUNCTION("""COMPUTED_VALUE"""),"Des Moines")</f>
        <v>Des Moines</v>
      </c>
      <c r="Q1974" s="8" t="str">
        <f ca="1">IFERROR(__xludf.DUMMYFUNCTION("""COMPUTED_VALUE"""),"IA")</f>
        <v>IA</v>
      </c>
      <c r="R1974" s="8" t="str">
        <f ca="1">IFERROR(__xludf.DUMMYFUNCTION("""COMPUTED_VALUE"""),"High")</f>
        <v>High</v>
      </c>
      <c r="S1974" s="8" t="str">
        <f ca="1">IFERROR(__xludf.DUMMYFUNCTION("""COMPUTED_VALUE"""),"Basketball Court")</f>
        <v>Basketball Court</v>
      </c>
      <c r="T1974" s="8" t="str">
        <f ca="1">IFERROR(__xludf.DUMMYFUNCTION("""COMPUTED_VALUE"""),"Outside on School Property")</f>
        <v>Outside on School Property</v>
      </c>
      <c r="U1974" s="8" t="str">
        <f ca="1">IFERROR(__xludf.DUMMYFUNCTION("""COMPUTED_VALUE"""),"No")</f>
        <v>No</v>
      </c>
      <c r="V1974" s="8" t="str">
        <f ca="1">IFERROR(__xludf.DUMMYFUNCTION("""COMPUTED_VALUE"""),"Sport Event")</f>
        <v>Sport Event</v>
      </c>
      <c r="W1974" s="8"/>
      <c r="X1974" s="8"/>
      <c r="Y1974" s="12" t="str">
        <f ca="1">IFERROR(__xludf.DUMMYFUNCTION("""COMPUTED_VALUE"""),"Fight after basketball game")</f>
        <v>Fight after basketball game</v>
      </c>
      <c r="Z1974" s="12" t="str">
        <f ca="1">IFERROR(__xludf.DUMMYFUNCTION("""COMPUTED_VALUE"""),"Reportedly, victim and her cousins were waiting for a ride after a basketball game. Six black males arrived in a car and started yelling, then fired shots, one of which hit the railing first, and then grabbed victims leg. Victim reported her cousins knew "&amp;"the shooters but no one involved was willing to cooperate further.")</f>
        <v>Reportedly, victim and her cousins were waiting for a ride after a basketball game. Six black males arrived in a car and started yelling, then fired shots, one of which hit the railing first, and then grabbed victims leg. Victim reported her cousins knew the shooters but no one involved was willing to cooperate further.</v>
      </c>
      <c r="AA1974" s="8" t="str">
        <f ca="1">IFERROR(__xludf.DUMMYFUNCTION("""COMPUTED_VALUE"""),"Drive-by Shooting")</f>
        <v>Drive-by Shooting</v>
      </c>
      <c r="AB1974" s="8"/>
      <c r="AC1974" s="8" t="str">
        <f ca="1">IFERROR(__xludf.DUMMYFUNCTION("""COMPUTED_VALUE"""),"Yes")</f>
        <v>Yes</v>
      </c>
      <c r="AD1974" s="8" t="str">
        <f ca="1">IFERROR(__xludf.DUMMYFUNCTION("""COMPUTED_VALUE"""),"Random Shooting")</f>
        <v>Random Shooting</v>
      </c>
      <c r="AE1974" s="8" t="str">
        <f ca="1">IFERROR(__xludf.DUMMYFUNCTION("""COMPUTED_VALUE"""),"Yes")</f>
        <v>Yes</v>
      </c>
      <c r="AF1974" s="8" t="str">
        <f ca="1">IFERROR(__xludf.DUMMYFUNCTION("""COMPUTED_VALUE"""),"six suspects total, unknown how many fired shots")</f>
        <v>six suspects total, unknown how many fired shots</v>
      </c>
      <c r="AG1974" s="8" t="str">
        <f ca="1">IFERROR(__xludf.DUMMYFUNCTION("""COMPUTED_VALUE"""),"No")</f>
        <v>No</v>
      </c>
      <c r="AH1974" s="8" t="str">
        <f ca="1">IFERROR(__xludf.DUMMYFUNCTION("""COMPUTED_VALUE"""),"No")</f>
        <v>No</v>
      </c>
      <c r="AI1974" s="8" t="str">
        <f ca="1">IFERROR(__xludf.DUMMYFUNCTION("""COMPUTED_VALUE"""),"No")</f>
        <v>No</v>
      </c>
      <c r="AJ1974" s="8" t="str">
        <f ca="1">IFERROR(__xludf.DUMMYFUNCTION("""COMPUTED_VALUE"""),"No")</f>
        <v>No</v>
      </c>
      <c r="AK1974" s="8" t="str">
        <f ca="1">IFERROR(__xludf.DUMMYFUNCTION("""COMPUTED_VALUE"""),"No")</f>
        <v>No</v>
      </c>
      <c r="AL1974" s="8" t="str">
        <f ca="1">IFERROR(__xludf.DUMMYFUNCTION("""COMPUTED_VALUE"""),"Yes")</f>
        <v>Yes</v>
      </c>
      <c r="AM1974" s="8"/>
      <c r="AN1974" s="8"/>
      <c r="AO1974" s="8" t="str">
        <f ca="1">IFERROR(__xludf.DUMMYFUNCTION("""COMPUTED_VALUE"""),"No")</f>
        <v>No</v>
      </c>
      <c r="AP1974" s="8" t="str">
        <f ca="1">IFERROR(__xludf.DUMMYFUNCTION("""COMPUTED_VALUE"""),"No")</f>
        <v>No</v>
      </c>
      <c r="AQ1974" s="8" t="str">
        <f ca="1">IFERROR(__xludf.DUMMYFUNCTION("""COMPUTED_VALUE"""),"Unknown")</f>
        <v>Unknown</v>
      </c>
      <c r="AR1974" s="8" t="str">
        <f ca="1">IFERROR(__xludf.DUMMYFUNCTION("""COMPUTED_VALUE"""),"NA")</f>
        <v>NA</v>
      </c>
      <c r="AS1974" s="8"/>
      <c r="AT1974" s="8" t="str">
        <f ca="1">IFERROR(__xludf.DUMMYFUNCTION("""COMPUTED_VALUE"""),"No")</f>
        <v>No</v>
      </c>
      <c r="AU1974" s="8">
        <f ca="1">IFERROR(__xludf.DUMMYFUNCTION("""COMPUTED_VALUE"""),41.617842)</f>
        <v>41.617842000000003</v>
      </c>
      <c r="AV1974" s="8">
        <f ca="1">IFERROR(__xludf.DUMMYFUNCTION("""COMPUTED_VALUE"""),-93.62267)</f>
        <v>-93.622669999999999</v>
      </c>
      <c r="AW1974" s="8"/>
      <c r="AX1974" s="8">
        <f ca="1">IFERROR(__xludf.DUMMYFUNCTION("""COMPUTED_VALUE"""),50313)</f>
        <v>50313</v>
      </c>
    </row>
    <row r="1975" spans="1:50" ht="75" x14ac:dyDescent="0.2">
      <c r="A1975" s="8" t="str">
        <f ca="1">IFERROR(__xludf.DUMMYFUNCTION("""COMPUTED_VALUE"""),"20140131AZCEP")</f>
        <v>20140131AZCEP</v>
      </c>
      <c r="B1975" s="8">
        <f ca="1">IFERROR(__xludf.DUMMYFUNCTION("""COMPUTED_VALUE"""),1)</f>
        <v>1</v>
      </c>
      <c r="C1975" s="8">
        <f ca="1">IFERROR(__xludf.DUMMYFUNCTION("""COMPUTED_VALUE"""),31)</f>
        <v>31</v>
      </c>
      <c r="D1975" s="8">
        <f ca="1">IFERROR(__xludf.DUMMYFUNCTION("""COMPUTED_VALUE"""),2014)</f>
        <v>2014</v>
      </c>
      <c r="E1975" s="9">
        <f ca="1">IFERROR(__xludf.DUMMYFUNCTION("""COMPUTED_VALUE"""),41670)</f>
        <v>41670</v>
      </c>
      <c r="F1975" s="8" t="str">
        <f ca="1">IFERROR(__xludf.DUMMYFUNCTION("""COMPUTED_VALUE"""),"Cesar Chavez High School")</f>
        <v>Cesar Chavez High School</v>
      </c>
      <c r="G1975" s="8">
        <f ca="1">IFERROR(__xludf.DUMMYFUNCTION("""COMPUTED_VALUE"""),0)</f>
        <v>0</v>
      </c>
      <c r="H1975" s="8">
        <f ca="1">IFERROR(__xludf.DUMMYFUNCTION("""COMPUTED_VALUE"""),0)</f>
        <v>0</v>
      </c>
      <c r="I1975" s="8">
        <f ca="1">IFERROR(__xludf.DUMMYFUNCTION("""COMPUTED_VALUE"""),0)</f>
        <v>0</v>
      </c>
      <c r="J1975" s="8">
        <f ca="1">IFERROR(__xludf.DUMMYFUNCTION("""COMPUTED_VALUE"""),0)</f>
        <v>0</v>
      </c>
      <c r="K1975" s="10" t="str">
        <f ca="1">IFERROR(__xludf.DUMMYFUNCTION("""COMPUTED_VALUE"""),"https://www.azcentral.com/story/news/local/phoenix/2014/04/03/phoenix-police-make-arrests-chavez-high-school-shooting-abrk/7264833/")</f>
        <v>https://www.azcentral.com/story/news/local/phoenix/2014/04/03/phoenix-police-make-arrests-chavez-high-school-shooting-abrk/7264833/</v>
      </c>
      <c r="L1975" s="8">
        <f ca="1">IFERROR(__xludf.DUMMYFUNCTION("""COMPUTED_VALUE"""),5)</f>
        <v>5</v>
      </c>
      <c r="M1975" s="8" t="str">
        <f ca="1">IFERROR(__xludf.DUMMYFUNCTION("""COMPUTED_VALUE"""),"Local")</f>
        <v>Local</v>
      </c>
      <c r="N1975" s="8">
        <f ca="1">IFERROR(__xludf.DUMMYFUNCTION("""COMPUTED_VALUE"""),2)</f>
        <v>2</v>
      </c>
      <c r="O1975" s="8" t="str">
        <f ca="1">IFERROR(__xludf.DUMMYFUNCTION("""COMPUTED_VALUE"""),"Winter")</f>
        <v>Winter</v>
      </c>
      <c r="P1975" s="8" t="str">
        <f ca="1">IFERROR(__xludf.DUMMYFUNCTION("""COMPUTED_VALUE"""),"Phoenix")</f>
        <v>Phoenix</v>
      </c>
      <c r="Q1975" s="8" t="str">
        <f ca="1">IFERROR(__xludf.DUMMYFUNCTION("""COMPUTED_VALUE"""),"AZ")</f>
        <v>AZ</v>
      </c>
      <c r="R1975" s="8" t="str">
        <f ca="1">IFERROR(__xludf.DUMMYFUNCTION("""COMPUTED_VALUE"""),"High")</f>
        <v>High</v>
      </c>
      <c r="S1975" s="8" t="str">
        <f ca="1">IFERROR(__xludf.DUMMYFUNCTION("""COMPUTED_VALUE"""),"Basketball Court")</f>
        <v>Basketball Court</v>
      </c>
      <c r="T1975" s="8" t="str">
        <f ca="1">IFERROR(__xludf.DUMMYFUNCTION("""COMPUTED_VALUE"""),"Outside on School Property")</f>
        <v>Outside on School Property</v>
      </c>
      <c r="U1975" s="8" t="str">
        <f ca="1">IFERROR(__xludf.DUMMYFUNCTION("""COMPUTED_VALUE"""),"No")</f>
        <v>No</v>
      </c>
      <c r="V1975" s="8" t="str">
        <f ca="1">IFERROR(__xludf.DUMMYFUNCTION("""COMPUTED_VALUE"""),"Sport Event")</f>
        <v>Sport Event</v>
      </c>
      <c r="W1975" s="8"/>
      <c r="X1975" s="8"/>
      <c r="Y1975" s="12" t="str">
        <f ca="1">IFERROR(__xludf.DUMMYFUNCTION("""COMPUTED_VALUE"""),"Gang related following basketball game")</f>
        <v>Gang related following basketball game</v>
      </c>
      <c r="Z1975" s="12" t="str">
        <f ca="1">IFERROR(__xludf.DUMMYFUNCTION("""COMPUTED_VALUE"""),"15 shots were fired during fight between rival gang members during basketball game. Nobody was struck by any of the gun fire. 4 suspects were arrested (none were students). Students reported that there had been rumors about a planned fight between the gan"&amp;"gs.")</f>
        <v>15 shots were fired during fight between rival gang members during basketball game. Nobody was struck by any of the gun fire. 4 suspects were arrested (none were students). Students reported that there had been rumors about a planned fight between the gangs.</v>
      </c>
      <c r="AA1975" s="8" t="str">
        <f ca="1">IFERROR(__xludf.DUMMYFUNCTION("""COMPUTED_VALUE"""),"Escalation of Dispute")</f>
        <v>Escalation of Dispute</v>
      </c>
      <c r="AB1975" s="8"/>
      <c r="AC1975" s="8" t="str">
        <f ca="1">IFERROR(__xludf.DUMMYFUNCTION("""COMPUTED_VALUE"""),"No")</f>
        <v>No</v>
      </c>
      <c r="AD1975" s="8" t="str">
        <f ca="1">IFERROR(__xludf.DUMMYFUNCTION("""COMPUTED_VALUE"""),"Neither")</f>
        <v>Neither</v>
      </c>
      <c r="AE1975" s="8" t="str">
        <f ca="1">IFERROR(__xludf.DUMMYFUNCTION("""COMPUTED_VALUE"""),"Yes")</f>
        <v>Yes</v>
      </c>
      <c r="AF1975" s="8" t="str">
        <f ca="1">IFERROR(__xludf.DUMMYFUNCTION("""COMPUTED_VALUE"""),"Deric McWilliams, 23 and Jordan Earl Norman, 17")</f>
        <v>Deric McWilliams, 23 and Jordan Earl Norman, 17</v>
      </c>
      <c r="AG1975" s="8" t="str">
        <f ca="1">IFERROR(__xludf.DUMMYFUNCTION("""COMPUTED_VALUE"""),"No")</f>
        <v>No</v>
      </c>
      <c r="AH1975" s="8" t="str">
        <f ca="1">IFERROR(__xludf.DUMMYFUNCTION("""COMPUTED_VALUE"""),"No")</f>
        <v>No</v>
      </c>
      <c r="AI1975" s="8" t="str">
        <f ca="1">IFERROR(__xludf.DUMMYFUNCTION("""COMPUTED_VALUE"""),"No")</f>
        <v>No</v>
      </c>
      <c r="AJ1975" s="8" t="str">
        <f ca="1">IFERROR(__xludf.DUMMYFUNCTION("""COMPUTED_VALUE"""),"No")</f>
        <v>No</v>
      </c>
      <c r="AK1975" s="8" t="str">
        <f ca="1">IFERROR(__xludf.DUMMYFUNCTION("""COMPUTED_VALUE"""),"No")</f>
        <v>No</v>
      </c>
      <c r="AL1975" s="8" t="str">
        <f ca="1">IFERROR(__xludf.DUMMYFUNCTION("""COMPUTED_VALUE"""),"Yes")</f>
        <v>Yes</v>
      </c>
      <c r="AM1975" s="8"/>
      <c r="AN1975" s="8"/>
      <c r="AO1975" s="8" t="str">
        <f ca="1">IFERROR(__xludf.DUMMYFUNCTION("""COMPUTED_VALUE"""),"No")</f>
        <v>No</v>
      </c>
      <c r="AP1975" s="8" t="str">
        <f ca="1">IFERROR(__xludf.DUMMYFUNCTION("""COMPUTED_VALUE"""),"No")</f>
        <v>No</v>
      </c>
      <c r="AQ1975" s="8" t="str">
        <f ca="1">IFERROR(__xludf.DUMMYFUNCTION("""COMPUTED_VALUE"""),"None")</f>
        <v>None</v>
      </c>
      <c r="AR1975" s="8" t="str">
        <f ca="1">IFERROR(__xludf.DUMMYFUNCTION("""COMPUTED_VALUE"""),"NA")</f>
        <v>NA</v>
      </c>
      <c r="AS1975" s="8" t="str">
        <f ca="1">IFERROR(__xludf.DUMMYFUNCTION("""COMPUTED_VALUE"""),"&gt;10")</f>
        <v>&gt;10</v>
      </c>
      <c r="AT1975" s="8" t="str">
        <f ca="1">IFERROR(__xludf.DUMMYFUNCTION("""COMPUTED_VALUE"""),"No")</f>
        <v>No</v>
      </c>
      <c r="AU1975" s="8">
        <f ca="1">IFERROR(__xludf.DUMMYFUNCTION("""COMPUTED_VALUE"""),33.376657)</f>
        <v>33.376657000000002</v>
      </c>
      <c r="AV1975" s="8">
        <f ca="1">IFERROR(__xludf.DUMMYFUNCTION("""COMPUTED_VALUE"""),-112.143361)</f>
        <v>-112.143361</v>
      </c>
      <c r="AW1975" s="8"/>
      <c r="AX1975" s="8">
        <f ca="1">IFERROR(__xludf.DUMMYFUNCTION("""COMPUTED_VALUE"""),85339)</f>
        <v>85339</v>
      </c>
    </row>
    <row r="1976" spans="1:50" ht="105" x14ac:dyDescent="0.2">
      <c r="A1976" s="8" t="str">
        <f ca="1">IFERROR(__xludf.DUMMYFUNCTION("""COMPUTED_VALUE"""),"20140128HIPRH")</f>
        <v>20140128HIPRH</v>
      </c>
      <c r="B1976" s="8">
        <f ca="1">IFERROR(__xludf.DUMMYFUNCTION("""COMPUTED_VALUE"""),1)</f>
        <v>1</v>
      </c>
      <c r="C1976" s="8">
        <f ca="1">IFERROR(__xludf.DUMMYFUNCTION("""COMPUTED_VALUE"""),28)</f>
        <v>28</v>
      </c>
      <c r="D1976" s="8">
        <f ca="1">IFERROR(__xludf.DUMMYFUNCTION("""COMPUTED_VALUE"""),2014)</f>
        <v>2014</v>
      </c>
      <c r="E1976" s="9">
        <f ca="1">IFERROR(__xludf.DUMMYFUNCTION("""COMPUTED_VALUE"""),41667)</f>
        <v>41667</v>
      </c>
      <c r="F1976" s="8" t="str">
        <f ca="1">IFERROR(__xludf.DUMMYFUNCTION("""COMPUTED_VALUE"""),"President Theodore Roosevelt High")</f>
        <v>President Theodore Roosevelt High</v>
      </c>
      <c r="G1976" s="8">
        <f ca="1">IFERROR(__xludf.DUMMYFUNCTION("""COMPUTED_VALUE"""),0)</f>
        <v>0</v>
      </c>
      <c r="H1976" s="8">
        <f ca="1">IFERROR(__xludf.DUMMYFUNCTION("""COMPUTED_VALUE"""),1)</f>
        <v>1</v>
      </c>
      <c r="I1976" s="8">
        <f ca="1">IFERROR(__xludf.DUMMYFUNCTION("""COMPUTED_VALUE"""),1)</f>
        <v>1</v>
      </c>
      <c r="J1976" s="8">
        <f ca="1">IFERROR(__xludf.DUMMYFUNCTION("""COMPUTED_VALUE"""),0)</f>
        <v>0</v>
      </c>
      <c r="K1976" s="10" t="str">
        <f ca="1">IFERROR(__xludf.DUMMYFUNCTION("""COMPUTED_VALUE"""),"http://articles.chicagotribune.com/keyword/roosevelt-high-school")</f>
        <v>http://articles.chicagotribune.com/keyword/roosevelt-high-school</v>
      </c>
      <c r="L1976" s="8"/>
      <c r="M1976" s="8"/>
      <c r="N1976" s="8">
        <f ca="1">IFERROR(__xludf.DUMMYFUNCTION("""COMPUTED_VALUE"""),2)</f>
        <v>2</v>
      </c>
      <c r="O1976" s="8" t="str">
        <f ca="1">IFERROR(__xludf.DUMMYFUNCTION("""COMPUTED_VALUE"""),"Winter")</f>
        <v>Winter</v>
      </c>
      <c r="P1976" s="8" t="str">
        <f ca="1">IFERROR(__xludf.DUMMYFUNCTION("""COMPUTED_VALUE"""),"Honolulu")</f>
        <v>Honolulu</v>
      </c>
      <c r="Q1976" s="8" t="str">
        <f ca="1">IFERROR(__xludf.DUMMYFUNCTION("""COMPUTED_VALUE"""),"HI")</f>
        <v>HI</v>
      </c>
      <c r="R1976" s="8" t="str">
        <f ca="1">IFERROR(__xludf.DUMMYFUNCTION("""COMPUTED_VALUE"""),"High")</f>
        <v>High</v>
      </c>
      <c r="S1976" s="8" t="str">
        <f ca="1">IFERROR(__xludf.DUMMYFUNCTION("""COMPUTED_VALUE"""),"Office")</f>
        <v>Office</v>
      </c>
      <c r="T1976" s="8" t="str">
        <f ca="1">IFERROR(__xludf.DUMMYFUNCTION("""COMPUTED_VALUE"""),"Inside School Building")</f>
        <v>Inside School Building</v>
      </c>
      <c r="U1976" s="8" t="str">
        <f ca="1">IFERROR(__xludf.DUMMYFUNCTION("""COMPUTED_VALUE"""),"No")</f>
        <v>No</v>
      </c>
      <c r="V1976" s="8" t="str">
        <f ca="1">IFERROR(__xludf.DUMMYFUNCTION("""COMPUTED_VALUE"""),"Not a School Day")</f>
        <v>Not a School Day</v>
      </c>
      <c r="W1976" s="11">
        <f ca="1">IFERROR(__xludf.DUMMYFUNCTION("""COMPUTED_VALUE"""),0.354166666666666)</f>
        <v>0.35416666666666602</v>
      </c>
      <c r="X1976" s="8">
        <f ca="1">IFERROR(__xludf.DUMMYFUNCTION("""COMPUTED_VALUE"""),1)</f>
        <v>1</v>
      </c>
      <c r="Y1976" s="12" t="str">
        <f ca="1">IFERROR(__xludf.DUMMYFUNCTION("""COMPUTED_VALUE"""),"Officers fired a disorderly student")</f>
        <v>Officers fired a disorderly student</v>
      </c>
      <c r="Z1976" s="12" t="str">
        <f ca="1">IFERROR(__xludf.DUMMYFUNCTION("""COMPUTED_VALUE"""),"School administrators called police because the student became disorderly while trying to register. 3 officers arrived on scene, suspect punched two of the officers and started slashing a third with a kitchen knife. One officer fired two shots, hitting th"&amp;"e teen in the arm. Suspect had a long juvenile record, mental illness, and had run away numerous times from home and institutions.")</f>
        <v>School administrators called police because the student became disorderly while trying to register. 3 officers arrived on scene, suspect punched two of the officers and started slashing a third with a kitchen knife. One officer fired two shots, hitting the teen in the arm. Suspect had a long juvenile record, mental illness, and had run away numerous times from home and institutions.</v>
      </c>
      <c r="AA1976" s="8" t="str">
        <f ca="1">IFERROR(__xludf.DUMMYFUNCTION("""COMPUTED_VALUE"""),"Illegal Activity")</f>
        <v>Illegal Activity</v>
      </c>
      <c r="AB1976" s="8"/>
      <c r="AC1976" s="8" t="str">
        <f ca="1">IFERROR(__xludf.DUMMYFUNCTION("""COMPUTED_VALUE"""),"Yes")</f>
        <v>Yes</v>
      </c>
      <c r="AD1976" s="8" t="str">
        <f ca="1">IFERROR(__xludf.DUMMYFUNCTION("""COMPUTED_VALUE"""),"Victims Targeted")</f>
        <v>Victims Targeted</v>
      </c>
      <c r="AE1976" s="8" t="str">
        <f ca="1">IFERROR(__xludf.DUMMYFUNCTION("""COMPUTED_VALUE"""),"No")</f>
        <v>No</v>
      </c>
      <c r="AF1976" s="8"/>
      <c r="AG1976" s="8" t="str">
        <f ca="1">IFERROR(__xludf.DUMMYFUNCTION("""COMPUTED_VALUE"""),"No")</f>
        <v>No</v>
      </c>
      <c r="AH1976" s="8" t="str">
        <f ca="1">IFERROR(__xludf.DUMMYFUNCTION("""COMPUTED_VALUE"""),"No")</f>
        <v>No</v>
      </c>
      <c r="AI1976" s="8" t="str">
        <f ca="1">IFERROR(__xludf.DUMMYFUNCTION("""COMPUTED_VALUE"""),"Yes")</f>
        <v>Yes</v>
      </c>
      <c r="AJ1976" s="8" t="str">
        <f ca="1">IFERROR(__xludf.DUMMYFUNCTION("""COMPUTED_VALUE"""),"N/A")</f>
        <v>N/A</v>
      </c>
      <c r="AK1976" s="8" t="str">
        <f ca="1">IFERROR(__xludf.DUMMYFUNCTION("""COMPUTED_VALUE"""),"N/A")</f>
        <v>N/A</v>
      </c>
      <c r="AL1976" s="8" t="str">
        <f ca="1">IFERROR(__xludf.DUMMYFUNCTION("""COMPUTED_VALUE"""),"N/A")</f>
        <v>N/A</v>
      </c>
      <c r="AM1976" s="8" t="str">
        <f ca="1">IFERROR(__xludf.DUMMYFUNCTION("""COMPUTED_VALUE"""),"N/A")</f>
        <v>N/A</v>
      </c>
      <c r="AN1976" s="8"/>
      <c r="AO1976" s="8" t="str">
        <f ca="1">IFERROR(__xludf.DUMMYFUNCTION("""COMPUTED_VALUE"""),"N/A")</f>
        <v>N/A</v>
      </c>
      <c r="AP1976" s="8" t="str">
        <f ca="1">IFERROR(__xludf.DUMMYFUNCTION("""COMPUTED_VALUE"""),"No")</f>
        <v>No</v>
      </c>
      <c r="AQ1976" s="8" t="str">
        <f ca="1">IFERROR(__xludf.DUMMYFUNCTION("""COMPUTED_VALUE"""),"Unknown")</f>
        <v>Unknown</v>
      </c>
      <c r="AR1976" s="8" t="str">
        <f ca="1">IFERROR(__xludf.DUMMYFUNCTION("""COMPUTED_VALUE"""),"NA")</f>
        <v>NA</v>
      </c>
      <c r="AS1976" s="8">
        <f ca="1">IFERROR(__xludf.DUMMYFUNCTION("""COMPUTED_VALUE"""),1)</f>
        <v>1</v>
      </c>
      <c r="AT1976" s="8"/>
      <c r="AU1976" s="8">
        <f ca="1">IFERROR(__xludf.DUMMYFUNCTION("""COMPUTED_VALUE"""),21.3104)</f>
        <v>21.310400000000001</v>
      </c>
      <c r="AV1976" s="8">
        <f ca="1">IFERROR(__xludf.DUMMYFUNCTION("""COMPUTED_VALUE"""),-157.8372)</f>
        <v>-157.8372</v>
      </c>
      <c r="AW1976" s="8"/>
      <c r="AX1976" s="8">
        <f ca="1">IFERROR(__xludf.DUMMYFUNCTION("""COMPUTED_VALUE"""),98622)</f>
        <v>98622</v>
      </c>
    </row>
    <row r="1977" spans="1:50" ht="75" x14ac:dyDescent="0.2">
      <c r="A1977" s="8" t="str">
        <f ca="1">IFERROR(__xludf.DUMMYFUNCTION("""COMPUTED_VALUE"""),"20140127ILREC")</f>
        <v>20140127ILREC</v>
      </c>
      <c r="B1977" s="8">
        <f ca="1">IFERROR(__xludf.DUMMYFUNCTION("""COMPUTED_VALUE"""),1)</f>
        <v>1</v>
      </c>
      <c r="C1977" s="8">
        <f ca="1">IFERROR(__xludf.DUMMYFUNCTION("""COMPUTED_VALUE"""),27)</f>
        <v>27</v>
      </c>
      <c r="D1977" s="8">
        <f ca="1">IFERROR(__xludf.DUMMYFUNCTION("""COMPUTED_VALUE"""),2014)</f>
        <v>2014</v>
      </c>
      <c r="E1977" s="9">
        <f ca="1">IFERROR(__xludf.DUMMYFUNCTION("""COMPUTED_VALUE"""),41666)</f>
        <v>41666</v>
      </c>
      <c r="F1977" s="8" t="str">
        <f ca="1">IFERROR(__xludf.DUMMYFUNCTION("""COMPUTED_VALUE"""),"Rebound High School")</f>
        <v>Rebound High School</v>
      </c>
      <c r="G1977" s="8">
        <f ca="1">IFERROR(__xludf.DUMMYFUNCTION("""COMPUTED_VALUE"""),0)</f>
        <v>0</v>
      </c>
      <c r="H1977" s="8">
        <f ca="1">IFERROR(__xludf.DUMMYFUNCTION("""COMPUTED_VALUE"""),1)</f>
        <v>1</v>
      </c>
      <c r="I1977" s="8">
        <f ca="1">IFERROR(__xludf.DUMMYFUNCTION("""COMPUTED_VALUE"""),1)</f>
        <v>1</v>
      </c>
      <c r="J1977" s="8">
        <f ca="1">IFERROR(__xludf.DUMMYFUNCTION("""COMPUTED_VALUE"""),0)</f>
        <v>0</v>
      </c>
      <c r="K1977" s="10" t="str">
        <f ca="1">IFERROR(__xludf.DUMMYFUNCTION("""COMPUTED_VALUE"""),"http://www.kfvs12.com/story/24557239/1-injured-in-shooting-on-carbondale-school-parking-lot")</f>
        <v>http://www.kfvs12.com/story/24557239/1-injured-in-shooting-on-carbondale-school-parking-lot</v>
      </c>
      <c r="L1977" s="8">
        <f ca="1">IFERROR(__xludf.DUMMYFUNCTION("""COMPUTED_VALUE"""),1)</f>
        <v>1</v>
      </c>
      <c r="M1977" s="8" t="str">
        <f ca="1">IFERROR(__xludf.DUMMYFUNCTION("""COMPUTED_VALUE"""),"Local")</f>
        <v>Local</v>
      </c>
      <c r="N1977" s="8">
        <f ca="1">IFERROR(__xludf.DUMMYFUNCTION("""COMPUTED_VALUE"""),2)</f>
        <v>2</v>
      </c>
      <c r="O1977" s="8" t="str">
        <f ca="1">IFERROR(__xludf.DUMMYFUNCTION("""COMPUTED_VALUE"""),"Winter")</f>
        <v>Winter</v>
      </c>
      <c r="P1977" s="8" t="str">
        <f ca="1">IFERROR(__xludf.DUMMYFUNCTION("""COMPUTED_VALUE"""),"Carbondale")</f>
        <v>Carbondale</v>
      </c>
      <c r="Q1977" s="8" t="str">
        <f ca="1">IFERROR(__xludf.DUMMYFUNCTION("""COMPUTED_VALUE"""),"IL")</f>
        <v>IL</v>
      </c>
      <c r="R1977" s="8" t="str">
        <f ca="1">IFERROR(__xludf.DUMMYFUNCTION("""COMPUTED_VALUE"""),"High")</f>
        <v>High</v>
      </c>
      <c r="S1977" s="8" t="str">
        <f ca="1">IFERROR(__xludf.DUMMYFUNCTION("""COMPUTED_VALUE"""),"Parking Lot")</f>
        <v>Parking Lot</v>
      </c>
      <c r="T1977" s="8" t="str">
        <f ca="1">IFERROR(__xludf.DUMMYFUNCTION("""COMPUTED_VALUE"""),"Outside on School Property")</f>
        <v>Outside on School Property</v>
      </c>
      <c r="U1977" s="8" t="str">
        <f ca="1">IFERROR(__xludf.DUMMYFUNCTION("""COMPUTED_VALUE"""),"Yes")</f>
        <v>Yes</v>
      </c>
      <c r="V1977" s="8" t="str">
        <f ca="1">IFERROR(__xludf.DUMMYFUNCTION("""COMPUTED_VALUE"""),"Lunch")</f>
        <v>Lunch</v>
      </c>
      <c r="W1977" s="11">
        <f ca="1">IFERROR(__xludf.DUMMYFUNCTION("""COMPUTED_VALUE"""),0.5)</f>
        <v>0.5</v>
      </c>
      <c r="X1977" s="8">
        <f ca="1">IFERROR(__xludf.DUMMYFUNCTION("""COMPUTED_VALUE"""),1)</f>
        <v>1</v>
      </c>
      <c r="Y1977" s="12" t="str">
        <f ca="1">IFERROR(__xludf.DUMMYFUNCTION("""COMPUTED_VALUE"""),"Argument at lunch in parking lot")</f>
        <v>Argument at lunch in parking lot</v>
      </c>
      <c r="Z1977" s="12" t="str">
        <f ca="1">IFERROR(__xludf.DUMMYFUNCTION("""COMPUTED_VALUE"""),"Argument occurred in the school parking lot during lunch. The shooter pulled a handgun and fired striking the father of another student. The high school is for students 16 or older who have dropped out of other schools to get a diploma or GED.")</f>
        <v>Argument occurred in the school parking lot during lunch. The shooter pulled a handgun and fired striking the father of another student. The high school is for students 16 or older who have dropped out of other schools to get a diploma or GED.</v>
      </c>
      <c r="AA1977" s="8" t="str">
        <f ca="1">IFERROR(__xludf.DUMMYFUNCTION("""COMPUTED_VALUE"""),"Escalation of Dispute")</f>
        <v>Escalation of Dispute</v>
      </c>
      <c r="AB1977" s="8"/>
      <c r="AC1977" s="8" t="str">
        <f ca="1">IFERROR(__xludf.DUMMYFUNCTION("""COMPUTED_VALUE"""),"Yes")</f>
        <v>Yes</v>
      </c>
      <c r="AD1977" s="8" t="str">
        <f ca="1">IFERROR(__xludf.DUMMYFUNCTION("""COMPUTED_VALUE"""),"Victims Targeted")</f>
        <v>Victims Targeted</v>
      </c>
      <c r="AE1977" s="8" t="str">
        <f ca="1">IFERROR(__xludf.DUMMYFUNCTION("""COMPUTED_VALUE"""),"Yes")</f>
        <v>Yes</v>
      </c>
      <c r="AF1977" s="8" t="str">
        <f ca="1">IFERROR(__xludf.DUMMYFUNCTION("""COMPUTED_VALUE"""),"17 YO male was arrested")</f>
        <v>17 YO male was arrested</v>
      </c>
      <c r="AG1977" s="8" t="str">
        <f ca="1">IFERROR(__xludf.DUMMYFUNCTION("""COMPUTED_VALUE"""),"No")</f>
        <v>No</v>
      </c>
      <c r="AH1977" s="8" t="str">
        <f ca="1">IFERROR(__xludf.DUMMYFUNCTION("""COMPUTED_VALUE"""),"No")</f>
        <v>No</v>
      </c>
      <c r="AI1977" s="8" t="str">
        <f ca="1">IFERROR(__xludf.DUMMYFUNCTION("""COMPUTED_VALUE"""),"No")</f>
        <v>No</v>
      </c>
      <c r="AJ1977" s="8"/>
      <c r="AK1977" s="8" t="str">
        <f ca="1">IFERROR(__xludf.DUMMYFUNCTION("""COMPUTED_VALUE"""),"No")</f>
        <v>No</v>
      </c>
      <c r="AL1977" s="8" t="str">
        <f ca="1">IFERROR(__xludf.DUMMYFUNCTION("""COMPUTED_VALUE"""),"No")</f>
        <v>No</v>
      </c>
      <c r="AM1977" s="8"/>
      <c r="AN1977" s="8"/>
      <c r="AO1977" s="8" t="str">
        <f ca="1">IFERROR(__xludf.DUMMYFUNCTION("""COMPUTED_VALUE"""),"No")</f>
        <v>No</v>
      </c>
      <c r="AP1977" s="8" t="str">
        <f ca="1">IFERROR(__xludf.DUMMYFUNCTION("""COMPUTED_VALUE"""),"No")</f>
        <v>No</v>
      </c>
      <c r="AQ1977" s="8" t="str">
        <f ca="1">IFERROR(__xludf.DUMMYFUNCTION("""COMPUTED_VALUE"""),"None")</f>
        <v>None</v>
      </c>
      <c r="AR1977" s="8" t="str">
        <f ca="1">IFERROR(__xludf.DUMMYFUNCTION("""COMPUTED_VALUE"""),"NA")</f>
        <v>NA</v>
      </c>
      <c r="AS1977" s="8">
        <f ca="1">IFERROR(__xludf.DUMMYFUNCTION("""COMPUTED_VALUE"""),1)</f>
        <v>1</v>
      </c>
      <c r="AT1977" s="8" t="str">
        <f ca="1">IFERROR(__xludf.DUMMYFUNCTION("""COMPUTED_VALUE"""),"Yes")</f>
        <v>Yes</v>
      </c>
      <c r="AU1977" s="8">
        <f ca="1">IFERROR(__xludf.DUMMYFUNCTION("""COMPUTED_VALUE"""),37.727439)</f>
        <v>37.727438999999997</v>
      </c>
      <c r="AV1977" s="8">
        <f ca="1">IFERROR(__xludf.DUMMYFUNCTION("""COMPUTED_VALUE"""),-89.227812)</f>
        <v>-89.227812</v>
      </c>
      <c r="AW1977" s="8"/>
      <c r="AX1977" s="8">
        <f ca="1">IFERROR(__xludf.DUMMYFUNCTION("""COMPUTED_VALUE"""),62901)</f>
        <v>62901</v>
      </c>
    </row>
    <row r="1978" spans="1:50" ht="60" x14ac:dyDescent="0.2">
      <c r="A1978" s="8" t="str">
        <f ca="1">IFERROR(__xludf.DUMMYFUNCTION("""COMPUTED_VALUE"""),"20140117PADEP")</f>
        <v>20140117PADEP</v>
      </c>
      <c r="B1978" s="8">
        <f ca="1">IFERROR(__xludf.DUMMYFUNCTION("""COMPUTED_VALUE"""),1)</f>
        <v>1</v>
      </c>
      <c r="C1978" s="8">
        <f ca="1">IFERROR(__xludf.DUMMYFUNCTION("""COMPUTED_VALUE"""),17)</f>
        <v>17</v>
      </c>
      <c r="D1978" s="8">
        <f ca="1">IFERROR(__xludf.DUMMYFUNCTION("""COMPUTED_VALUE"""),2014)</f>
        <v>2014</v>
      </c>
      <c r="E1978" s="9">
        <f ca="1">IFERROR(__xludf.DUMMYFUNCTION("""COMPUTED_VALUE"""),41656)</f>
        <v>41656</v>
      </c>
      <c r="F1978" s="8" t="str">
        <f ca="1">IFERROR(__xludf.DUMMYFUNCTION("""COMPUTED_VALUE"""),"Delaware Valley Charter School")</f>
        <v>Delaware Valley Charter School</v>
      </c>
      <c r="G1978" s="8">
        <f ca="1">IFERROR(__xludf.DUMMYFUNCTION("""COMPUTED_VALUE"""),0)</f>
        <v>0</v>
      </c>
      <c r="H1978" s="8">
        <f ca="1">IFERROR(__xludf.DUMMYFUNCTION("""COMPUTED_VALUE"""),2)</f>
        <v>2</v>
      </c>
      <c r="I1978" s="8">
        <f ca="1">IFERROR(__xludf.DUMMYFUNCTION("""COMPUTED_VALUE"""),2)</f>
        <v>2</v>
      </c>
      <c r="J1978" s="8">
        <f ca="1">IFERROR(__xludf.DUMMYFUNCTION("""COMPUTED_VALUE"""),0)</f>
        <v>0</v>
      </c>
      <c r="K1978" s="8" t="str">
        <f ca="1">IFERROR(__xludf.DUMMYFUNCTION("""COMPUTED_VALUE"""),"https://www.newspapers.com/image/120827956/?terms=school%20gym%20shooting%20wounded&amp;match=1
http://www.philly.com/philly/news/2nd_teen_charged_in_Delaware_Valley_Charter_High_School_shooting.html")</f>
        <v>https://www.newspapers.com/image/120827956/?terms=school%20gym%20shooting%20wounded&amp;match=1
http://www.philly.com/philly/news/2nd_teen_charged_in_Delaware_Valley_Charter_High_School_shooting.html</v>
      </c>
      <c r="L1978" s="8"/>
      <c r="M1978" s="8" t="str">
        <f ca="1">IFERROR(__xludf.DUMMYFUNCTION("""COMPUTED_VALUE"""),"Regional")</f>
        <v>Regional</v>
      </c>
      <c r="N1978" s="8">
        <f ca="1">IFERROR(__xludf.DUMMYFUNCTION("""COMPUTED_VALUE"""),4)</f>
        <v>4</v>
      </c>
      <c r="O1978" s="8" t="str">
        <f ca="1">IFERROR(__xludf.DUMMYFUNCTION("""COMPUTED_VALUE"""),"Winter")</f>
        <v>Winter</v>
      </c>
      <c r="P1978" s="8" t="str">
        <f ca="1">IFERROR(__xludf.DUMMYFUNCTION("""COMPUTED_VALUE"""),"Philadelphia")</f>
        <v>Philadelphia</v>
      </c>
      <c r="Q1978" s="8" t="str">
        <f ca="1">IFERROR(__xludf.DUMMYFUNCTION("""COMPUTED_VALUE"""),"PA")</f>
        <v>PA</v>
      </c>
      <c r="R1978" s="8" t="str">
        <f ca="1">IFERROR(__xludf.DUMMYFUNCTION("""COMPUTED_VALUE"""),"High")</f>
        <v>High</v>
      </c>
      <c r="S1978" s="8" t="str">
        <f ca="1">IFERROR(__xludf.DUMMYFUNCTION("""COMPUTED_VALUE"""),"Gym")</f>
        <v>Gym</v>
      </c>
      <c r="T1978" s="8" t="str">
        <f ca="1">IFERROR(__xludf.DUMMYFUNCTION("""COMPUTED_VALUE"""),"Inside School Building")</f>
        <v>Inside School Building</v>
      </c>
      <c r="U1978" s="8" t="str">
        <f ca="1">IFERROR(__xludf.DUMMYFUNCTION("""COMPUTED_VALUE"""),"No")</f>
        <v>No</v>
      </c>
      <c r="V1978" s="8" t="str">
        <f ca="1">IFERROR(__xludf.DUMMYFUNCTION("""COMPUTED_VALUE"""),"Sport Event")</f>
        <v>Sport Event</v>
      </c>
      <c r="W1978" s="11">
        <f ca="1">IFERROR(__xludf.DUMMYFUNCTION("""COMPUTED_VALUE"""),0.645833333333333)</f>
        <v>0.64583333333333304</v>
      </c>
      <c r="X1978" s="8">
        <f ca="1">IFERROR(__xludf.DUMMYFUNCTION("""COMPUTED_VALUE"""),1)</f>
        <v>1</v>
      </c>
      <c r="Y1978" s="12" t="str">
        <f ca="1">IFERROR(__xludf.DUMMYFUNCTION("""COMPUTED_VALUE"""),"Fight during afternoon basketball game")</f>
        <v>Fight during afternoon basketball game</v>
      </c>
      <c r="Z1978" s="12" t="str">
        <f ca="1">IFERROR(__xludf.DUMMYFUNCTION("""COMPUTED_VALUE"""),"Fight broke out during an after school basketball game in the school gym. The shooter pulled a handgun and fired multiple shots causing minor injuries to 2 students. Shooter fled the scene after the shooting.")</f>
        <v>Fight broke out during an after school basketball game in the school gym. The shooter pulled a handgun and fired multiple shots causing minor injuries to 2 students. Shooter fled the scene after the shooting.</v>
      </c>
      <c r="AA1978" s="8" t="str">
        <f ca="1">IFERROR(__xludf.DUMMYFUNCTION("""COMPUTED_VALUE"""),"Escalation of Dispute")</f>
        <v>Escalation of Dispute</v>
      </c>
      <c r="AB1978" s="8"/>
      <c r="AC1978" s="8" t="str">
        <f ca="1">IFERROR(__xludf.DUMMYFUNCTION("""COMPUTED_VALUE"""),"Yes")</f>
        <v>Yes</v>
      </c>
      <c r="AD1978" s="8" t="str">
        <f ca="1">IFERROR(__xludf.DUMMYFUNCTION("""COMPUTED_VALUE"""),"Both")</f>
        <v>Both</v>
      </c>
      <c r="AE1978" s="8" t="str">
        <f ca="1">IFERROR(__xludf.DUMMYFUNCTION("""COMPUTED_VALUE"""),"No")</f>
        <v>No</v>
      </c>
      <c r="AF1978" s="8"/>
      <c r="AG1978" s="8" t="str">
        <f ca="1">IFERROR(__xludf.DUMMYFUNCTION("""COMPUTED_VALUE"""),"No")</f>
        <v>No</v>
      </c>
      <c r="AH1978" s="8" t="str">
        <f ca="1">IFERROR(__xludf.DUMMYFUNCTION("""COMPUTED_VALUE"""),"No")</f>
        <v>No</v>
      </c>
      <c r="AI1978" s="8" t="str">
        <f ca="1">IFERROR(__xludf.DUMMYFUNCTION("""COMPUTED_VALUE"""),"No")</f>
        <v>No</v>
      </c>
      <c r="AJ1978" s="8" t="str">
        <f ca="1">IFERROR(__xludf.DUMMYFUNCTION("""COMPUTED_VALUE"""),"No")</f>
        <v>No</v>
      </c>
      <c r="AK1978" s="8" t="str">
        <f ca="1">IFERROR(__xludf.DUMMYFUNCTION("""COMPUTED_VALUE"""),"No")</f>
        <v>No</v>
      </c>
      <c r="AL1978" s="8" t="str">
        <f ca="1">IFERROR(__xludf.DUMMYFUNCTION("""COMPUTED_VALUE"""),"No")</f>
        <v>No</v>
      </c>
      <c r="AM1978" s="8"/>
      <c r="AN1978" s="8"/>
      <c r="AO1978" s="8" t="str">
        <f ca="1">IFERROR(__xludf.DUMMYFUNCTION("""COMPUTED_VALUE"""),"No")</f>
        <v>No</v>
      </c>
      <c r="AP1978" s="8" t="str">
        <f ca="1">IFERROR(__xludf.DUMMYFUNCTION("""COMPUTED_VALUE"""),"Yes")</f>
        <v>Yes</v>
      </c>
      <c r="AQ1978" s="8" t="str">
        <f ca="1">IFERROR(__xludf.DUMMYFUNCTION("""COMPUTED_VALUE"""),"Unknown")</f>
        <v>Unknown</v>
      </c>
      <c r="AR1978" s="8" t="str">
        <f ca="1">IFERROR(__xludf.DUMMYFUNCTION("""COMPUTED_VALUE"""),"NA")</f>
        <v>NA</v>
      </c>
      <c r="AS1978" s="8"/>
      <c r="AT1978" s="8"/>
      <c r="AU1978" s="8">
        <f ca="1">IFERROR(__xludf.DUMMYFUNCTION("""COMPUTED_VALUE"""),40.0331)</f>
        <v>40.033099999999997</v>
      </c>
      <c r="AV1978" s="8">
        <f ca="1">IFERROR(__xludf.DUMMYFUNCTION("""COMPUTED_VALUE"""),-75.1446)</f>
        <v>-75.144599999999997</v>
      </c>
      <c r="AW1978" s="8"/>
      <c r="AX1978" s="8">
        <f ca="1">IFERROR(__xludf.DUMMYFUNCTION("""COMPUTED_VALUE"""),19141)</f>
        <v>19141</v>
      </c>
    </row>
    <row r="1979" spans="1:50" ht="60" x14ac:dyDescent="0.2">
      <c r="A1979" s="8" t="str">
        <f ca="1">IFERROR(__xludf.DUMMYFUNCTION("""COMPUTED_VALUE"""),"20140115PAKIL")</f>
        <v>20140115PAKIL</v>
      </c>
      <c r="B1979" s="8">
        <f ca="1">IFERROR(__xludf.DUMMYFUNCTION("""COMPUTED_VALUE"""),1)</f>
        <v>1</v>
      </c>
      <c r="C1979" s="8">
        <f ca="1">IFERROR(__xludf.DUMMYFUNCTION("""COMPUTED_VALUE"""),14)</f>
        <v>14</v>
      </c>
      <c r="D1979" s="8">
        <f ca="1">IFERROR(__xludf.DUMMYFUNCTION("""COMPUTED_VALUE"""),2014)</f>
        <v>2014</v>
      </c>
      <c r="E1979" s="9">
        <f ca="1">IFERROR(__xludf.DUMMYFUNCTION("""COMPUTED_VALUE"""),41654)</f>
        <v>41654</v>
      </c>
      <c r="F1979" s="8" t="str">
        <f ca="1">IFERROR(__xludf.DUMMYFUNCTION("""COMPUTED_VALUE"""),"King Elementary School")</f>
        <v>King Elementary School</v>
      </c>
      <c r="G1979" s="8">
        <f ca="1">IFERROR(__xludf.DUMMYFUNCTION("""COMPUTED_VALUE"""),0)</f>
        <v>0</v>
      </c>
      <c r="H1979" s="8">
        <f ca="1">IFERROR(__xludf.DUMMYFUNCTION("""COMPUTED_VALUE"""),0)</f>
        <v>0</v>
      </c>
      <c r="I1979" s="8">
        <f ca="1">IFERROR(__xludf.DUMMYFUNCTION("""COMPUTED_VALUE"""),0)</f>
        <v>0</v>
      </c>
      <c r="J1979" s="8">
        <f ca="1">IFERROR(__xludf.DUMMYFUNCTION("""COMPUTED_VALUE"""),0)</f>
        <v>0</v>
      </c>
      <c r="K1979" s="10" t="str">
        <f ca="1">IFERROR(__xludf.DUMMYFUNCTION("""COMPUTED_VALUE"""),"https://www.wgal.com/article/police-shot-fired-at-elementary-school-playground/6229898")</f>
        <v>https://www.wgal.com/article/police-shot-fired-at-elementary-school-playground/6229898</v>
      </c>
      <c r="L1979" s="8">
        <f ca="1">IFERROR(__xludf.DUMMYFUNCTION("""COMPUTED_VALUE"""),1)</f>
        <v>1</v>
      </c>
      <c r="M1979" s="8" t="str">
        <f ca="1">IFERROR(__xludf.DUMMYFUNCTION("""COMPUTED_VALUE"""),"Local")</f>
        <v>Local</v>
      </c>
      <c r="N1979" s="8">
        <f ca="1">IFERROR(__xludf.DUMMYFUNCTION("""COMPUTED_VALUE"""),2)</f>
        <v>2</v>
      </c>
      <c r="O1979" s="8" t="str">
        <f ca="1">IFERROR(__xludf.DUMMYFUNCTION("""COMPUTED_VALUE"""),"Winter")</f>
        <v>Winter</v>
      </c>
      <c r="P1979" s="8" t="str">
        <f ca="1">IFERROR(__xludf.DUMMYFUNCTION("""COMPUTED_VALUE"""),"Lancaster")</f>
        <v>Lancaster</v>
      </c>
      <c r="Q1979" s="8" t="str">
        <f ca="1">IFERROR(__xludf.DUMMYFUNCTION("""COMPUTED_VALUE"""),"PA")</f>
        <v>PA</v>
      </c>
      <c r="R1979" s="8" t="str">
        <f ca="1">IFERROR(__xludf.DUMMYFUNCTION("""COMPUTED_VALUE"""),"Elementary")</f>
        <v>Elementary</v>
      </c>
      <c r="S1979" s="8" t="str">
        <f ca="1">IFERROR(__xludf.DUMMYFUNCTION("""COMPUTED_VALUE"""),"Playground")</f>
        <v>Playground</v>
      </c>
      <c r="T1979" s="8" t="str">
        <f ca="1">IFERROR(__xludf.DUMMYFUNCTION("""COMPUTED_VALUE"""),"Outside on School Property")</f>
        <v>Outside on School Property</v>
      </c>
      <c r="U1979" s="8" t="str">
        <f ca="1">IFERROR(__xludf.DUMMYFUNCTION("""COMPUTED_VALUE"""),"Yes")</f>
        <v>Yes</v>
      </c>
      <c r="V1979" s="8" t="str">
        <f ca="1">IFERROR(__xludf.DUMMYFUNCTION("""COMPUTED_VALUE"""),"Afternoon Classes")</f>
        <v>Afternoon Classes</v>
      </c>
      <c r="W1979" s="11">
        <f ca="1">IFERROR(__xludf.DUMMYFUNCTION("""COMPUTED_VALUE"""),0.616666666666666)</f>
        <v>0.61666666666666603</v>
      </c>
      <c r="X1979" s="8">
        <f ca="1">IFERROR(__xludf.DUMMYFUNCTION("""COMPUTED_VALUE"""),1)</f>
        <v>1</v>
      </c>
      <c r="Y1979" s="12" t="str">
        <f ca="1">IFERROR(__xludf.DUMMYFUNCTION("""COMPUTED_VALUE"""),"Shot fired on school playground")</f>
        <v>Shot fired on school playground</v>
      </c>
      <c r="Z1979" s="12" t="str">
        <f ca="1">IFERROR(__xludf.DUMMYFUNCTION("""COMPUTED_VALUE"""),"Two men fled the playground area of the school after one fired a single shot from a handgun. Police found 1 shell casing. No one was hurt and the property was not damaged.")</f>
        <v>Two men fled the playground area of the school after one fired a single shot from a handgun. Police found 1 shell casing. No one was hurt and the property was not damaged.</v>
      </c>
      <c r="AA1979" s="8" t="str">
        <f ca="1">IFERROR(__xludf.DUMMYFUNCTION("""COMPUTED_VALUE"""),"Unknown")</f>
        <v>Unknown</v>
      </c>
      <c r="AB1979" s="8"/>
      <c r="AC1979" s="8" t="str">
        <f ca="1">IFERROR(__xludf.DUMMYFUNCTION("""COMPUTED_VALUE"""),"Yes")</f>
        <v>Yes</v>
      </c>
      <c r="AD1979" s="8"/>
      <c r="AE1979" s="8" t="str">
        <f ca="1">IFERROR(__xludf.DUMMYFUNCTION("""COMPUTED_VALUE"""),"No")</f>
        <v>No</v>
      </c>
      <c r="AF1979" s="8"/>
      <c r="AG1979" s="8" t="str">
        <f ca="1">IFERROR(__xludf.DUMMYFUNCTION("""COMPUTED_VALUE"""),"No")</f>
        <v>No</v>
      </c>
      <c r="AH1979" s="8" t="str">
        <f ca="1">IFERROR(__xludf.DUMMYFUNCTION("""COMPUTED_VALUE"""),"No")</f>
        <v>No</v>
      </c>
      <c r="AI1979" s="8" t="str">
        <f ca="1">IFERROR(__xludf.DUMMYFUNCTION("""COMPUTED_VALUE"""),"No")</f>
        <v>No</v>
      </c>
      <c r="AJ1979" s="8" t="str">
        <f ca="1">IFERROR(__xludf.DUMMYFUNCTION("""COMPUTED_VALUE"""),"N/A")</f>
        <v>N/A</v>
      </c>
      <c r="AK1979" s="8" t="str">
        <f ca="1">IFERROR(__xludf.DUMMYFUNCTION("""COMPUTED_VALUE"""),"No")</f>
        <v>No</v>
      </c>
      <c r="AL1979" s="8"/>
      <c r="AM1979" s="8"/>
      <c r="AN1979" s="8"/>
      <c r="AO1979" s="8" t="str">
        <f ca="1">IFERROR(__xludf.DUMMYFUNCTION("""COMPUTED_VALUE"""),"No")</f>
        <v>No</v>
      </c>
      <c r="AP1979" s="8" t="str">
        <f ca="1">IFERROR(__xludf.DUMMYFUNCTION("""COMPUTED_VALUE"""),"No")</f>
        <v>No</v>
      </c>
      <c r="AQ1979" s="8" t="str">
        <f ca="1">IFERROR(__xludf.DUMMYFUNCTION("""COMPUTED_VALUE"""),"Unknown")</f>
        <v>Unknown</v>
      </c>
      <c r="AR1979" s="8" t="str">
        <f ca="1">IFERROR(__xludf.DUMMYFUNCTION("""COMPUTED_VALUE"""),"NA")</f>
        <v>NA</v>
      </c>
      <c r="AS1979" s="8">
        <f ca="1">IFERROR(__xludf.DUMMYFUNCTION("""COMPUTED_VALUE"""),1)</f>
        <v>1</v>
      </c>
      <c r="AT1979" s="8" t="str">
        <f ca="1">IFERROR(__xludf.DUMMYFUNCTION("""COMPUTED_VALUE"""),"Yes")</f>
        <v>Yes</v>
      </c>
      <c r="AU1979" s="8">
        <f ca="1">IFERROR(__xludf.DUMMYFUNCTION("""COMPUTED_VALUE"""),40.0344)</f>
        <v>40.034399999999998</v>
      </c>
      <c r="AV1979" s="8">
        <f ca="1">IFERROR(__xludf.DUMMYFUNCTION("""COMPUTED_VALUE"""),-76.2998)</f>
        <v>-76.299800000000005</v>
      </c>
      <c r="AW1979" s="8"/>
      <c r="AX1979" s="8">
        <f ca="1">IFERROR(__xludf.DUMMYFUNCTION("""COMPUTED_VALUE"""),17602)</f>
        <v>17602</v>
      </c>
    </row>
    <row r="1980" spans="1:50" ht="195" x14ac:dyDescent="0.2">
      <c r="A1980" s="8" t="str">
        <f ca="1">IFERROR(__xludf.DUMMYFUNCTION("""COMPUTED_VALUE"""),"20140114NMBER")</f>
        <v>20140114NMBER</v>
      </c>
      <c r="B1980" s="8">
        <f ca="1">IFERROR(__xludf.DUMMYFUNCTION("""COMPUTED_VALUE"""),1)</f>
        <v>1</v>
      </c>
      <c r="C1980" s="8">
        <f ca="1">IFERROR(__xludf.DUMMYFUNCTION("""COMPUTED_VALUE"""),14)</f>
        <v>14</v>
      </c>
      <c r="D1980" s="8">
        <f ca="1">IFERROR(__xludf.DUMMYFUNCTION("""COMPUTED_VALUE"""),2014)</f>
        <v>2014</v>
      </c>
      <c r="E1980" s="9">
        <f ca="1">IFERROR(__xludf.DUMMYFUNCTION("""COMPUTED_VALUE"""),41653)</f>
        <v>41653</v>
      </c>
      <c r="F1980" s="8" t="str">
        <f ca="1">IFERROR(__xludf.DUMMYFUNCTION("""COMPUTED_VALUE"""),"Berrendo Middle School")</f>
        <v>Berrendo Middle School</v>
      </c>
      <c r="G1980" s="8">
        <f ca="1">IFERROR(__xludf.DUMMYFUNCTION("""COMPUTED_VALUE"""),0)</f>
        <v>0</v>
      </c>
      <c r="H1980" s="8">
        <f ca="1">IFERROR(__xludf.DUMMYFUNCTION("""COMPUTED_VALUE"""),2)</f>
        <v>2</v>
      </c>
      <c r="I1980" s="8">
        <f ca="1">IFERROR(__xludf.DUMMYFUNCTION("""COMPUTED_VALUE"""),2)</f>
        <v>2</v>
      </c>
      <c r="J1980" s="8">
        <f ca="1">IFERROR(__xludf.DUMMYFUNCTION("""COMPUTED_VALUE"""),0)</f>
        <v>0</v>
      </c>
      <c r="K1980" s="8" t="str">
        <f ca="1">IFERROR(__xludf.DUMMYFUNCTION("""COMPUTED_VALUE"""),"https://parade.com/253330/viannguyen/meet-john-masterson-the-amazing-hero-teacher-of-the-new-mexico-school-shooting/
https://www.kcbd.com/2021/10/15/survivor-roswell-school-shooting-urges-adults-teach-kids-gun-safety/ https://www.cnn.com/2014/01/15/justic"&amp;"e/new-mexico-school-shooting/ https://www.fbi.gov/file-repository/active-shooter-incidents-2000-2017.pdf")</f>
        <v>https://parade.com/253330/viannguyen/meet-john-masterson-the-amazing-hero-teacher-of-the-new-mexico-school-shooting/
https://www.kcbd.com/2021/10/15/survivor-roswell-school-shooting-urges-adults-teach-kids-gun-safety/ https://www.cnn.com/2014/01/15/justice/new-mexico-school-shooting/ https://www.fbi.gov/file-repository/active-shooter-incidents-2000-2017.pdf</v>
      </c>
      <c r="L1980" s="8">
        <f ca="1">IFERROR(__xludf.DUMMYFUNCTION("""COMPUTED_VALUE"""),11)</f>
        <v>11</v>
      </c>
      <c r="M1980" s="8" t="str">
        <f ca="1">IFERROR(__xludf.DUMMYFUNCTION("""COMPUTED_VALUE"""),"National")</f>
        <v>National</v>
      </c>
      <c r="N1980" s="8">
        <f ca="1">IFERROR(__xludf.DUMMYFUNCTION("""COMPUTED_VALUE"""),5)</f>
        <v>5</v>
      </c>
      <c r="O1980" s="8" t="str">
        <f ca="1">IFERROR(__xludf.DUMMYFUNCTION("""COMPUTED_VALUE"""),"Winter")</f>
        <v>Winter</v>
      </c>
      <c r="P1980" s="8" t="str">
        <f ca="1">IFERROR(__xludf.DUMMYFUNCTION("""COMPUTED_VALUE"""),"Roswell")</f>
        <v>Roswell</v>
      </c>
      <c r="Q1980" s="8" t="str">
        <f ca="1">IFERROR(__xludf.DUMMYFUNCTION("""COMPUTED_VALUE"""),"NM")</f>
        <v>NM</v>
      </c>
      <c r="R1980" s="8" t="str">
        <f ca="1">IFERROR(__xludf.DUMMYFUNCTION("""COMPUTED_VALUE"""),"Middle")</f>
        <v>Middle</v>
      </c>
      <c r="S1980" s="8" t="str">
        <f ca="1">IFERROR(__xludf.DUMMYFUNCTION("""COMPUTED_VALUE"""),"Gym")</f>
        <v>Gym</v>
      </c>
      <c r="T1980" s="8" t="str">
        <f ca="1">IFERROR(__xludf.DUMMYFUNCTION("""COMPUTED_VALUE"""),"Inside School Building")</f>
        <v>Inside School Building</v>
      </c>
      <c r="U1980" s="8" t="str">
        <f ca="1">IFERROR(__xludf.DUMMYFUNCTION("""COMPUTED_VALUE"""),"Yes")</f>
        <v>Yes</v>
      </c>
      <c r="V1980" s="8" t="str">
        <f ca="1">IFERROR(__xludf.DUMMYFUNCTION("""COMPUTED_VALUE"""),"Before School")</f>
        <v>Before School</v>
      </c>
      <c r="W1980" s="11">
        <f ca="1">IFERROR(__xludf.DUMMYFUNCTION("""COMPUTED_VALUE"""),0.3125)</f>
        <v>0.3125</v>
      </c>
      <c r="X1980" s="8">
        <f ca="1">IFERROR(__xludf.DUMMYFUNCTION("""COMPUTED_VALUE"""),1)</f>
        <v>1</v>
      </c>
      <c r="Y1980" s="12" t="str">
        <f ca="1">IFERROR(__xludf.DUMMYFUNCTION("""COMPUTED_VALUE"""),"Planned attack at school due to bullying")</f>
        <v>Planned attack at school due to bullying</v>
      </c>
      <c r="Z1980" s="12" t="str">
        <f ca="1">IFERROR(__xludf.DUMMYFUNCTION("""COMPUTED_VALUE"""),"Shooter sawed off shotgun barrel so it would fit in his backpack. Told furniture store owner he was going to be an advocate against bullying by shooting other students. Warned other students to stay away from the gym prior to the shooting. Wrote detailed "&amp;"journal entries about planning shooting including note to family, wanted revenge against a bully; considered using a handgun and a knife; expected to go to jail. There were 3 shells in the shotgun, shooter fired once at the ceiling, once at the floor, and"&amp;" once at the students. A teacher told him to put the gun down and shooter surrendered. An off-duty police officer who happened to be dropping his son off at school ran to help. Shotgun belonged to father.")</f>
        <v>Shooter sawed off shotgun barrel so it would fit in his backpack. Told furniture store owner he was going to be an advocate against bullying by shooting other students. Warned other students to stay away from the gym prior to the shooting. Wrote detailed journal entries about planning shooting including note to family, wanted revenge against a bully; considered using a handgun and a knife; expected to go to jail. There were 3 shells in the shotgun, shooter fired once at the ceiling, once at the floor, and once at the students. A teacher told him to put the gun down and shooter surrendered. An off-duty police officer who happened to be dropping his son off at school ran to help. Shotgun belonged to father.</v>
      </c>
      <c r="AA1980" s="8" t="str">
        <f ca="1">IFERROR(__xludf.DUMMYFUNCTION("""COMPUTED_VALUE"""),"Indiscriminate Shooting")</f>
        <v>Indiscriminate Shooting</v>
      </c>
      <c r="AB1980" s="8"/>
      <c r="AC1980" s="8" t="str">
        <f ca="1">IFERROR(__xludf.DUMMYFUNCTION("""COMPUTED_VALUE"""),"Yes")</f>
        <v>Yes</v>
      </c>
      <c r="AD1980" s="8" t="str">
        <f ca="1">IFERROR(__xludf.DUMMYFUNCTION("""COMPUTED_VALUE"""),"Random Shooting")</f>
        <v>Random Shooting</v>
      </c>
      <c r="AE1980" s="8" t="str">
        <f ca="1">IFERROR(__xludf.DUMMYFUNCTION("""COMPUTED_VALUE"""),"No")</f>
        <v>No</v>
      </c>
      <c r="AF1980" s="8"/>
      <c r="AG1980" s="8" t="str">
        <f ca="1">IFERROR(__xludf.DUMMYFUNCTION("""COMPUTED_VALUE"""),"No")</f>
        <v>No</v>
      </c>
      <c r="AH1980" s="8" t="str">
        <f ca="1">IFERROR(__xludf.DUMMYFUNCTION("""COMPUTED_VALUE"""),"No")</f>
        <v>No</v>
      </c>
      <c r="AI1980" s="8" t="str">
        <f ca="1">IFERROR(__xludf.DUMMYFUNCTION("""COMPUTED_VALUE"""),"No")</f>
        <v>No</v>
      </c>
      <c r="AJ1980" s="8" t="str">
        <f ca="1">IFERROR(__xludf.DUMMYFUNCTION("""COMPUTED_VALUE"""),"Yes")</f>
        <v>Yes</v>
      </c>
      <c r="AK1980" s="8" t="str">
        <f ca="1">IFERROR(__xludf.DUMMYFUNCTION("""COMPUTED_VALUE"""),"No")</f>
        <v>No</v>
      </c>
      <c r="AL1980" s="8" t="str">
        <f ca="1">IFERROR(__xludf.DUMMYFUNCTION("""COMPUTED_VALUE"""),"No")</f>
        <v>No</v>
      </c>
      <c r="AM1980" s="8" t="str">
        <f ca="1">IFERROR(__xludf.DUMMYFUNCTION("""COMPUTED_VALUE"""),"Yes")</f>
        <v>Yes</v>
      </c>
      <c r="AN1980" s="8" t="str">
        <f ca="1">IFERROR(__xludf.DUMMYFUNCTION("""COMPUTED_VALUE"""),"Single Room")</f>
        <v>Single Room</v>
      </c>
      <c r="AO1980" s="8" t="str">
        <f ca="1">IFERROR(__xludf.DUMMYFUNCTION("""COMPUTED_VALUE"""),"Yes")</f>
        <v>Yes</v>
      </c>
      <c r="AP1980" s="8" t="str">
        <f ca="1">IFERROR(__xludf.DUMMYFUNCTION("""COMPUTED_VALUE"""),"No")</f>
        <v>No</v>
      </c>
      <c r="AQ1980" s="8" t="str">
        <f ca="1">IFERROR(__xludf.DUMMYFUNCTION("""COMPUTED_VALUE"""),"Unknown")</f>
        <v>Unknown</v>
      </c>
      <c r="AR1980" s="8" t="str">
        <f ca="1">IFERROR(__xludf.DUMMYFUNCTION("""COMPUTED_VALUE"""),"NA")</f>
        <v>NA</v>
      </c>
      <c r="AS1980" s="8">
        <f ca="1">IFERROR(__xludf.DUMMYFUNCTION("""COMPUTED_VALUE"""),3)</f>
        <v>3</v>
      </c>
      <c r="AT1980" s="8" t="str">
        <f ca="1">IFERROR(__xludf.DUMMYFUNCTION("""COMPUTED_VALUE"""),"No")</f>
        <v>No</v>
      </c>
      <c r="AU1980" s="8">
        <f ca="1">IFERROR(__xludf.DUMMYFUNCTION("""COMPUTED_VALUE"""),33.4736)</f>
        <v>33.473599999999998</v>
      </c>
      <c r="AV1980" s="8">
        <f ca="1">IFERROR(__xludf.DUMMYFUNCTION("""COMPUTED_VALUE"""),-104.5115)</f>
        <v>-104.5115</v>
      </c>
      <c r="AW1980" s="8"/>
      <c r="AX1980" s="8">
        <f ca="1">IFERROR(__xludf.DUMMYFUNCTION("""COMPUTED_VALUE"""),88201)</f>
        <v>88201</v>
      </c>
    </row>
    <row r="1981" spans="1:50" ht="45" x14ac:dyDescent="0.2">
      <c r="A1981" s="8" t="str">
        <f ca="1">IFERROR(__xludf.DUMMYFUNCTION("""COMPUTED_VALUE"""),"20140114LASTB")</f>
        <v>20140114LASTB</v>
      </c>
      <c r="B1981" s="8">
        <f ca="1">IFERROR(__xludf.DUMMYFUNCTION("""COMPUTED_VALUE"""),1)</f>
        <v>1</v>
      </c>
      <c r="C1981" s="8">
        <f ca="1">IFERROR(__xludf.DUMMYFUNCTION("""COMPUTED_VALUE"""),14)</f>
        <v>14</v>
      </c>
      <c r="D1981" s="8">
        <f ca="1">IFERROR(__xludf.DUMMYFUNCTION("""COMPUTED_VALUE"""),2014)</f>
        <v>2014</v>
      </c>
      <c r="E1981" s="9">
        <f ca="1">IFERROR(__xludf.DUMMYFUNCTION("""COMPUTED_VALUE"""),41653)</f>
        <v>41653</v>
      </c>
      <c r="F1981" s="8" t="str">
        <f ca="1">IFERROR(__xludf.DUMMYFUNCTION("""COMPUTED_VALUE"""),"St. James High School")</f>
        <v>St. James High School</v>
      </c>
      <c r="G1981" s="8">
        <f ca="1">IFERROR(__xludf.DUMMYFUNCTION("""COMPUTED_VALUE"""),0)</f>
        <v>0</v>
      </c>
      <c r="H1981" s="8">
        <f ca="1">IFERROR(__xludf.DUMMYFUNCTION("""COMPUTED_VALUE"""),1)</f>
        <v>1</v>
      </c>
      <c r="I1981" s="8">
        <f ca="1">IFERROR(__xludf.DUMMYFUNCTION("""COMPUTED_VALUE"""),1)</f>
        <v>1</v>
      </c>
      <c r="J1981" s="8">
        <f ca="1">IFERROR(__xludf.DUMMYFUNCTION("""COMPUTED_VALUE"""),0)</f>
        <v>0</v>
      </c>
      <c r="K1981" s="10" t="str">
        <f ca="1">IFERROR(__xludf.DUMMYFUNCTION("""COMPUTED_VALUE"""),"https://www.wbrz.com/news/man-sentenced-to-15-years-for-2014-drive-by-shooting-outside-of-st-james-high-school/")</f>
        <v>https://www.wbrz.com/news/man-sentenced-to-15-years-for-2014-drive-by-shooting-outside-of-st-james-high-school/</v>
      </c>
      <c r="L1981" s="8"/>
      <c r="M1981" s="8"/>
      <c r="N1981" s="8">
        <f ca="1">IFERROR(__xludf.DUMMYFUNCTION("""COMPUTED_VALUE"""),4)</f>
        <v>4</v>
      </c>
      <c r="O1981" s="8" t="str">
        <f ca="1">IFERROR(__xludf.DUMMYFUNCTION("""COMPUTED_VALUE"""),"Winter")</f>
        <v>Winter</v>
      </c>
      <c r="P1981" s="8" t="str">
        <f ca="1">IFERROR(__xludf.DUMMYFUNCTION("""COMPUTED_VALUE"""),"Baton Rouge")</f>
        <v>Baton Rouge</v>
      </c>
      <c r="Q1981" s="8" t="str">
        <f ca="1">IFERROR(__xludf.DUMMYFUNCTION("""COMPUTED_VALUE"""),"LA")</f>
        <v>LA</v>
      </c>
      <c r="R1981" s="8" t="str">
        <f ca="1">IFERROR(__xludf.DUMMYFUNCTION("""COMPUTED_VALUE"""),"High")</f>
        <v>High</v>
      </c>
      <c r="S1981" s="8" t="str">
        <f ca="1">IFERROR(__xludf.DUMMYFUNCTION("""COMPUTED_VALUE"""),"Parking Lot")</f>
        <v>Parking Lot</v>
      </c>
      <c r="T1981" s="8" t="str">
        <f ca="1">IFERROR(__xludf.DUMMYFUNCTION("""COMPUTED_VALUE"""),"Outside on School Property")</f>
        <v>Outside on School Property</v>
      </c>
      <c r="U1981" s="8" t="str">
        <f ca="1">IFERROR(__xludf.DUMMYFUNCTION("""COMPUTED_VALUE"""),"No")</f>
        <v>No</v>
      </c>
      <c r="V1981" s="8" t="str">
        <f ca="1">IFERROR(__xludf.DUMMYFUNCTION("""COMPUTED_VALUE"""),"Sport Event")</f>
        <v>Sport Event</v>
      </c>
      <c r="W1981" s="8"/>
      <c r="X1981" s="8">
        <f ca="1">IFERROR(__xludf.DUMMYFUNCTION("""COMPUTED_VALUE"""),1)</f>
        <v>1</v>
      </c>
      <c r="Y1981" s="12" t="str">
        <f ca="1">IFERROR(__xludf.DUMMYFUNCTION("""COMPUTED_VALUE"""),"Drive by shooting after basketball game")</f>
        <v>Drive by shooting after basketball game</v>
      </c>
      <c r="Z1981" s="12" t="str">
        <f ca="1">IFERROR(__xludf.DUMMYFUNCTION("""COMPUTED_VALUE"""),"17YOM shot 19YOM in targeted drive by shooting outside of high school basketball game.")</f>
        <v>17YOM shot 19YOM in targeted drive by shooting outside of high school basketball game.</v>
      </c>
      <c r="AA1981" s="8" t="str">
        <f ca="1">IFERROR(__xludf.DUMMYFUNCTION("""COMPUTED_VALUE"""),"Drive-by Shooting")</f>
        <v>Drive-by Shooting</v>
      </c>
      <c r="AB1981" s="8"/>
      <c r="AC1981" s="8" t="str">
        <f ca="1">IFERROR(__xludf.DUMMYFUNCTION("""COMPUTED_VALUE"""),"Yes")</f>
        <v>Yes</v>
      </c>
      <c r="AD1981" s="8" t="str">
        <f ca="1">IFERROR(__xludf.DUMMYFUNCTION("""COMPUTED_VALUE"""),"Victims Targeted")</f>
        <v>Victims Targeted</v>
      </c>
      <c r="AE1981" s="8" t="str">
        <f ca="1">IFERROR(__xludf.DUMMYFUNCTION("""COMPUTED_VALUE"""),"No")</f>
        <v>No</v>
      </c>
      <c r="AF1981" s="8"/>
      <c r="AG1981" s="8" t="str">
        <f ca="1">IFERROR(__xludf.DUMMYFUNCTION("""COMPUTED_VALUE"""),"No")</f>
        <v>No</v>
      </c>
      <c r="AH1981" s="8" t="str">
        <f ca="1">IFERROR(__xludf.DUMMYFUNCTION("""COMPUTED_VALUE"""),"No")</f>
        <v>No</v>
      </c>
      <c r="AI1981" s="8" t="str">
        <f ca="1">IFERROR(__xludf.DUMMYFUNCTION("""COMPUTED_VALUE"""),"No")</f>
        <v>No</v>
      </c>
      <c r="AJ1981" s="8" t="str">
        <f ca="1">IFERROR(__xludf.DUMMYFUNCTION("""COMPUTED_VALUE"""),"No")</f>
        <v>No</v>
      </c>
      <c r="AK1981" s="8" t="str">
        <f ca="1">IFERROR(__xludf.DUMMYFUNCTION("""COMPUTED_VALUE"""),"No")</f>
        <v>No</v>
      </c>
      <c r="AL1981" s="8" t="str">
        <f ca="1">IFERROR(__xludf.DUMMYFUNCTION("""COMPUTED_VALUE"""),"No")</f>
        <v>No</v>
      </c>
      <c r="AM1981" s="8" t="str">
        <f ca="1">IFERROR(__xludf.DUMMYFUNCTION("""COMPUTED_VALUE"""),"No")</f>
        <v>No</v>
      </c>
      <c r="AN1981" s="8"/>
      <c r="AO1981" s="8" t="str">
        <f ca="1">IFERROR(__xludf.DUMMYFUNCTION("""COMPUTED_VALUE"""),"No")</f>
        <v>No</v>
      </c>
      <c r="AP1981" s="8"/>
      <c r="AQ1981" s="8" t="str">
        <f ca="1">IFERROR(__xludf.DUMMYFUNCTION("""COMPUTED_VALUE"""),"Unknown")</f>
        <v>Unknown</v>
      </c>
      <c r="AR1981" s="8" t="str">
        <f ca="1">IFERROR(__xludf.DUMMYFUNCTION("""COMPUTED_VALUE"""),"Outside/Off-Property")</f>
        <v>Outside/Off-Property</v>
      </c>
      <c r="AS1981" s="8" t="str">
        <f ca="1">IFERROR(__xludf.DUMMYFUNCTION("""COMPUTED_VALUE"""),"&lt;10")</f>
        <v>&lt;10</v>
      </c>
      <c r="AT1981" s="8"/>
      <c r="AU1981" s="8">
        <f ca="1">IFERROR(__xludf.DUMMYFUNCTION("""COMPUTED_VALUE"""),30.457678)</f>
        <v>30.457678000000001</v>
      </c>
      <c r="AV1981" s="8">
        <f ca="1">IFERROR(__xludf.DUMMYFUNCTION("""COMPUTED_VALUE"""),-91.105935)</f>
        <v>-91.105935000000002</v>
      </c>
      <c r="AW1981" s="8"/>
      <c r="AX1981" s="8">
        <f ca="1">IFERROR(__xludf.DUMMYFUNCTION("""COMPUTED_VALUE"""),70806)</f>
        <v>70806</v>
      </c>
    </row>
    <row r="1982" spans="1:50" ht="75" x14ac:dyDescent="0.2">
      <c r="A1982" s="8" t="str">
        <f ca="1">IFERROR(__xludf.DUMMYFUNCTION("""COMPUTED_VALUE"""),"20140113CTHIN")</f>
        <v>20140113CTHIN</v>
      </c>
      <c r="B1982" s="8">
        <f ca="1">IFERROR(__xludf.DUMMYFUNCTION("""COMPUTED_VALUE"""),1)</f>
        <v>1</v>
      </c>
      <c r="C1982" s="8">
        <f ca="1">IFERROR(__xludf.DUMMYFUNCTION("""COMPUTED_VALUE"""),13)</f>
        <v>13</v>
      </c>
      <c r="D1982" s="8">
        <f ca="1">IFERROR(__xludf.DUMMYFUNCTION("""COMPUTED_VALUE"""),2014)</f>
        <v>2014</v>
      </c>
      <c r="E1982" s="9">
        <f ca="1">IFERROR(__xludf.DUMMYFUNCTION("""COMPUTED_VALUE"""),41652)</f>
        <v>41652</v>
      </c>
      <c r="F1982" s="8" t="str">
        <f ca="1">IFERROR(__xludf.DUMMYFUNCTION("""COMPUTED_VALUE"""),"Hillhouse High School")</f>
        <v>Hillhouse High School</v>
      </c>
      <c r="G1982" s="8">
        <f ca="1">IFERROR(__xludf.DUMMYFUNCTION("""COMPUTED_VALUE"""),0)</f>
        <v>0</v>
      </c>
      <c r="H1982" s="8">
        <f ca="1">IFERROR(__xludf.DUMMYFUNCTION("""COMPUTED_VALUE"""),1)</f>
        <v>1</v>
      </c>
      <c r="I1982" s="8">
        <f ca="1">IFERROR(__xludf.DUMMYFUNCTION("""COMPUTED_VALUE"""),1)</f>
        <v>1</v>
      </c>
      <c r="J1982" s="8">
        <f ca="1">IFERROR(__xludf.DUMMYFUNCTION("""COMPUTED_VALUE"""),0)</f>
        <v>0</v>
      </c>
      <c r="K1982" s="10" t="str">
        <f ca="1">IFERROR(__xludf.DUMMYFUNCTION("""COMPUTED_VALUE"""),"https://www.nhregister.com/connecticut/article/New-Haven-teen-to-serve-6-years-in-two-shooting-11351580.php")</f>
        <v>https://www.nhregister.com/connecticut/article/New-Haven-teen-to-serve-6-years-in-two-shooting-11351580.php</v>
      </c>
      <c r="L1982" s="8">
        <f ca="1">IFERROR(__xludf.DUMMYFUNCTION("""COMPUTED_VALUE"""),1)</f>
        <v>1</v>
      </c>
      <c r="M1982" s="8" t="str">
        <f ca="1">IFERROR(__xludf.DUMMYFUNCTION("""COMPUTED_VALUE"""),"Local")</f>
        <v>Local</v>
      </c>
      <c r="N1982" s="8">
        <f ca="1">IFERROR(__xludf.DUMMYFUNCTION("""COMPUTED_VALUE"""),2)</f>
        <v>2</v>
      </c>
      <c r="O1982" s="8" t="str">
        <f ca="1">IFERROR(__xludf.DUMMYFUNCTION("""COMPUTED_VALUE"""),"Winter")</f>
        <v>Winter</v>
      </c>
      <c r="P1982" s="8" t="str">
        <f ca="1">IFERROR(__xludf.DUMMYFUNCTION("""COMPUTED_VALUE"""),"New Haven")</f>
        <v>New Haven</v>
      </c>
      <c r="Q1982" s="8" t="str">
        <f ca="1">IFERROR(__xludf.DUMMYFUNCTION("""COMPUTED_VALUE"""),"CT")</f>
        <v>CT</v>
      </c>
      <c r="R1982" s="8" t="str">
        <f ca="1">IFERROR(__xludf.DUMMYFUNCTION("""COMPUTED_VALUE"""),"High")</f>
        <v>High</v>
      </c>
      <c r="S1982" s="8" t="str">
        <f ca="1">IFERROR(__xludf.DUMMYFUNCTION("""COMPUTED_VALUE"""),"Basketball Court")</f>
        <v>Basketball Court</v>
      </c>
      <c r="T1982" s="8" t="str">
        <f ca="1">IFERROR(__xludf.DUMMYFUNCTION("""COMPUTED_VALUE"""),"Outside on School Property")</f>
        <v>Outside on School Property</v>
      </c>
      <c r="U1982" s="8" t="str">
        <f ca="1">IFERROR(__xludf.DUMMYFUNCTION("""COMPUTED_VALUE"""),"No")</f>
        <v>No</v>
      </c>
      <c r="V1982" s="8" t="str">
        <f ca="1">IFERROR(__xludf.DUMMYFUNCTION("""COMPUTED_VALUE"""),"Sport Event")</f>
        <v>Sport Event</v>
      </c>
      <c r="W1982" s="11">
        <f ca="1">IFERROR(__xludf.DUMMYFUNCTION("""COMPUTED_VALUE"""),0.826388888888888)</f>
        <v>0.82638888888888795</v>
      </c>
      <c r="X1982" s="8">
        <f ca="1">IFERROR(__xludf.DUMMYFUNCTION("""COMPUTED_VALUE"""),1)</f>
        <v>1</v>
      </c>
      <c r="Y1982" s="12" t="str">
        <f ca="1">IFERROR(__xludf.DUMMYFUNCTION("""COMPUTED_VALUE"""),"Fight between rival basketball teams")</f>
        <v>Fight between rival basketball teams</v>
      </c>
      <c r="Z1982" s="12" t="str">
        <f ca="1">IFERROR(__xludf.DUMMYFUNCTION("""COMPUTED_VALUE"""),"Fight between students from rival high schools following a basketball game. The shooter fired into a group of people striking one of them in the hand and leg. Shooter fled the scene. A gun was found near the scene but it wan son connected to the shooting.")</f>
        <v>Fight between students from rival high schools following a basketball game. The shooter fired into a group of people striking one of them in the hand and leg. Shooter fled the scene. A gun was found near the scene but it wan son connected to the shooting.</v>
      </c>
      <c r="AA1982" s="8" t="str">
        <f ca="1">IFERROR(__xludf.DUMMYFUNCTION("""COMPUTED_VALUE"""),"Escalation of Dispute")</f>
        <v>Escalation of Dispute</v>
      </c>
      <c r="AB1982" s="8"/>
      <c r="AC1982" s="8" t="str">
        <f ca="1">IFERROR(__xludf.DUMMYFUNCTION("""COMPUTED_VALUE"""),"Yes")</f>
        <v>Yes</v>
      </c>
      <c r="AD1982" s="8" t="str">
        <f ca="1">IFERROR(__xludf.DUMMYFUNCTION("""COMPUTED_VALUE"""),"Victims Targeted")</f>
        <v>Victims Targeted</v>
      </c>
      <c r="AE1982" s="8" t="str">
        <f ca="1">IFERROR(__xludf.DUMMYFUNCTION("""COMPUTED_VALUE"""),"No")</f>
        <v>No</v>
      </c>
      <c r="AF1982" s="8"/>
      <c r="AG1982" s="8" t="str">
        <f ca="1">IFERROR(__xludf.DUMMYFUNCTION("""COMPUTED_VALUE"""),"No")</f>
        <v>No</v>
      </c>
      <c r="AH1982" s="8" t="str">
        <f ca="1">IFERROR(__xludf.DUMMYFUNCTION("""COMPUTED_VALUE"""),"No")</f>
        <v>No</v>
      </c>
      <c r="AI1982" s="8" t="str">
        <f ca="1">IFERROR(__xludf.DUMMYFUNCTION("""COMPUTED_VALUE"""),"No")</f>
        <v>No</v>
      </c>
      <c r="AJ1982" s="8" t="str">
        <f ca="1">IFERROR(__xludf.DUMMYFUNCTION("""COMPUTED_VALUE"""),"No")</f>
        <v>No</v>
      </c>
      <c r="AK1982" s="8" t="str">
        <f ca="1">IFERROR(__xludf.DUMMYFUNCTION("""COMPUTED_VALUE"""),"No")</f>
        <v>No</v>
      </c>
      <c r="AL1982" s="8" t="str">
        <f ca="1">IFERROR(__xludf.DUMMYFUNCTION("""COMPUTED_VALUE"""),"Yes")</f>
        <v>Yes</v>
      </c>
      <c r="AM1982" s="8"/>
      <c r="AN1982" s="8"/>
      <c r="AO1982" s="8" t="str">
        <f ca="1">IFERROR(__xludf.DUMMYFUNCTION("""COMPUTED_VALUE"""),"No")</f>
        <v>No</v>
      </c>
      <c r="AP1982" s="8" t="str">
        <f ca="1">IFERROR(__xludf.DUMMYFUNCTION("""COMPUTED_VALUE"""),"N/A")</f>
        <v>N/A</v>
      </c>
      <c r="AQ1982" s="8" t="str">
        <f ca="1">IFERROR(__xludf.DUMMYFUNCTION("""COMPUTED_VALUE"""),"Unknown")</f>
        <v>Unknown</v>
      </c>
      <c r="AR1982" s="8" t="str">
        <f ca="1">IFERROR(__xludf.DUMMYFUNCTION("""COMPUTED_VALUE"""),"NA")</f>
        <v>NA</v>
      </c>
      <c r="AS1982" s="8" t="str">
        <f ca="1">IFERROR(__xludf.DUMMYFUNCTION("""COMPUTED_VALUE"""),"&lt;10")</f>
        <v>&lt;10</v>
      </c>
      <c r="AT1982" s="8" t="str">
        <f ca="1">IFERROR(__xludf.DUMMYFUNCTION("""COMPUTED_VALUE"""),"N/A")</f>
        <v>N/A</v>
      </c>
      <c r="AU1982" s="8">
        <f ca="1">IFERROR(__xludf.DUMMYFUNCTION("""COMPUTED_VALUE"""),41.323251)</f>
        <v>41.323250999999999</v>
      </c>
      <c r="AV1982" s="8">
        <f ca="1">IFERROR(__xludf.DUMMYFUNCTION("""COMPUTED_VALUE"""),-72.937476)</f>
        <v>-72.937476000000004</v>
      </c>
      <c r="AW1982" s="8"/>
      <c r="AX1982" s="8">
        <f ca="1">IFERROR(__xludf.DUMMYFUNCTION("""COMPUTED_VALUE"""),6511)</f>
        <v>6511</v>
      </c>
    </row>
    <row r="1983" spans="1:50" ht="90" x14ac:dyDescent="0.2">
      <c r="A1983" s="8" t="str">
        <f ca="1">IFERROR(__xludf.DUMMYFUNCTION("""COMPUTED_VALUE"""),"20140109TNLIJ")</f>
        <v>20140109TNLIJ</v>
      </c>
      <c r="B1983" s="8">
        <f ca="1">IFERROR(__xludf.DUMMYFUNCTION("""COMPUTED_VALUE"""),1)</f>
        <v>1</v>
      </c>
      <c r="C1983" s="8">
        <f ca="1">IFERROR(__xludf.DUMMYFUNCTION("""COMPUTED_VALUE"""),9)</f>
        <v>9</v>
      </c>
      <c r="D1983" s="8">
        <f ca="1">IFERROR(__xludf.DUMMYFUNCTION("""COMPUTED_VALUE"""),2014)</f>
        <v>2014</v>
      </c>
      <c r="E1983" s="9">
        <f ca="1">IFERROR(__xludf.DUMMYFUNCTION("""COMPUTED_VALUE"""),41648)</f>
        <v>41648</v>
      </c>
      <c r="F1983" s="8" t="str">
        <f ca="1">IFERROR(__xludf.DUMMYFUNCTION("""COMPUTED_VALUE"""),"Liberty Technology Magnet High School")</f>
        <v>Liberty Technology Magnet High School</v>
      </c>
      <c r="G1983" s="8">
        <f ca="1">IFERROR(__xludf.DUMMYFUNCTION("""COMPUTED_VALUE"""),0)</f>
        <v>0</v>
      </c>
      <c r="H1983" s="8">
        <f ca="1">IFERROR(__xludf.DUMMYFUNCTION("""COMPUTED_VALUE"""),1)</f>
        <v>1</v>
      </c>
      <c r="I1983" s="8">
        <f ca="1">IFERROR(__xludf.DUMMYFUNCTION("""COMPUTED_VALUE"""),1)</f>
        <v>1</v>
      </c>
      <c r="J1983" s="8">
        <f ca="1">IFERROR(__xludf.DUMMYFUNCTION("""COMPUTED_VALUE"""),0)</f>
        <v>0</v>
      </c>
      <c r="K1983" s="10" t="str">
        <f ca="1">IFERROR(__xludf.DUMMYFUNCTION("""COMPUTED_VALUE"""),"http://www.wbbjtv.com/2014/01/10/police-charge-suspect-in-liberty-tech-shooting/")</f>
        <v>http://www.wbbjtv.com/2014/01/10/police-charge-suspect-in-liberty-tech-shooting/</v>
      </c>
      <c r="L1983" s="8">
        <f ca="1">IFERROR(__xludf.DUMMYFUNCTION("""COMPUTED_VALUE"""),1)</f>
        <v>1</v>
      </c>
      <c r="M1983" s="8" t="str">
        <f ca="1">IFERROR(__xludf.DUMMYFUNCTION("""COMPUTED_VALUE"""),"Local")</f>
        <v>Local</v>
      </c>
      <c r="N1983" s="8">
        <f ca="1">IFERROR(__xludf.DUMMYFUNCTION("""COMPUTED_VALUE"""),2)</f>
        <v>2</v>
      </c>
      <c r="O1983" s="8" t="str">
        <f ca="1">IFERROR(__xludf.DUMMYFUNCTION("""COMPUTED_VALUE"""),"Winter")</f>
        <v>Winter</v>
      </c>
      <c r="P1983" s="8" t="str">
        <f ca="1">IFERROR(__xludf.DUMMYFUNCTION("""COMPUTED_VALUE"""),"Jackson")</f>
        <v>Jackson</v>
      </c>
      <c r="Q1983" s="8" t="str">
        <f ca="1">IFERROR(__xludf.DUMMYFUNCTION("""COMPUTED_VALUE"""),"TN")</f>
        <v>TN</v>
      </c>
      <c r="R1983" s="8" t="str">
        <f ca="1">IFERROR(__xludf.DUMMYFUNCTION("""COMPUTED_VALUE"""),"High")</f>
        <v>High</v>
      </c>
      <c r="S1983" s="8" t="str">
        <f ca="1">IFERROR(__xludf.DUMMYFUNCTION("""COMPUTED_VALUE"""),"Parking Lot")</f>
        <v>Parking Lot</v>
      </c>
      <c r="T1983" s="8" t="str">
        <f ca="1">IFERROR(__xludf.DUMMYFUNCTION("""COMPUTED_VALUE"""),"Outside on School Property")</f>
        <v>Outside on School Property</v>
      </c>
      <c r="U1983" s="8" t="str">
        <f ca="1">IFERROR(__xludf.DUMMYFUNCTION("""COMPUTED_VALUE"""),"No")</f>
        <v>No</v>
      </c>
      <c r="V1983" s="8" t="str">
        <f ca="1">IFERROR(__xludf.DUMMYFUNCTION("""COMPUTED_VALUE"""),"Dismissal")</f>
        <v>Dismissal</v>
      </c>
      <c r="W1983" s="11">
        <f ca="1">IFERROR(__xludf.DUMMYFUNCTION("""COMPUTED_VALUE"""),0.597916666666666)</f>
        <v>0.59791666666666599</v>
      </c>
      <c r="X1983" s="8">
        <f ca="1">IFERROR(__xludf.DUMMYFUNCTION("""COMPUTED_VALUE"""),1)</f>
        <v>1</v>
      </c>
      <c r="Y1983" s="12" t="str">
        <f ca="1">IFERROR(__xludf.DUMMYFUNCTION("""COMPUTED_VALUE"""),"Fight about a girl in parking lot")</f>
        <v>Fight about a girl in parking lot</v>
      </c>
      <c r="Z1983" s="12" t="str">
        <f ca="1">IFERROR(__xludf.DUMMYFUNCTION("""COMPUTED_VALUE"""),"Fight between two students in the parking lot after school, allegedly about a girl. The shooter fired a handgun at the other student causing a minor injury. Shooter fled the scene and was later arrested at his grandmother's house with the weapon. Gun was "&amp;"recovered near the house and its serial number was altered.")</f>
        <v>Fight between two students in the parking lot after school, allegedly about a girl. The shooter fired a handgun at the other student causing a minor injury. Shooter fled the scene and was later arrested at his grandmother's house with the weapon. Gun was recovered near the house and its serial number was altered.</v>
      </c>
      <c r="AA1983" s="8" t="str">
        <f ca="1">IFERROR(__xludf.DUMMYFUNCTION("""COMPUTED_VALUE"""),"Escalation of Dispute")</f>
        <v>Escalation of Dispute</v>
      </c>
      <c r="AB1983" s="8"/>
      <c r="AC1983" s="8" t="str">
        <f ca="1">IFERROR(__xludf.DUMMYFUNCTION("""COMPUTED_VALUE"""),"Yes")</f>
        <v>Yes</v>
      </c>
      <c r="AD1983" s="8" t="str">
        <f ca="1">IFERROR(__xludf.DUMMYFUNCTION("""COMPUTED_VALUE"""),"Victims Targeted")</f>
        <v>Victims Targeted</v>
      </c>
      <c r="AE1983" s="8" t="str">
        <f ca="1">IFERROR(__xludf.DUMMYFUNCTION("""COMPUTED_VALUE"""),"No")</f>
        <v>No</v>
      </c>
      <c r="AF1983" s="8"/>
      <c r="AG1983" s="8" t="str">
        <f ca="1">IFERROR(__xludf.DUMMYFUNCTION("""COMPUTED_VALUE"""),"No")</f>
        <v>No</v>
      </c>
      <c r="AH1983" s="8" t="str">
        <f ca="1">IFERROR(__xludf.DUMMYFUNCTION("""COMPUTED_VALUE"""),"No")</f>
        <v>No</v>
      </c>
      <c r="AI1983" s="8" t="str">
        <f ca="1">IFERROR(__xludf.DUMMYFUNCTION("""COMPUTED_VALUE"""),"No")</f>
        <v>No</v>
      </c>
      <c r="AJ1983" s="8" t="str">
        <f ca="1">IFERROR(__xludf.DUMMYFUNCTION("""COMPUTED_VALUE"""),"No")</f>
        <v>No</v>
      </c>
      <c r="AK1983" s="8" t="str">
        <f ca="1">IFERROR(__xludf.DUMMYFUNCTION("""COMPUTED_VALUE"""),"No")</f>
        <v>No</v>
      </c>
      <c r="AL1983" s="8" t="str">
        <f ca="1">IFERROR(__xludf.DUMMYFUNCTION("""COMPUTED_VALUE"""),"No")</f>
        <v>No</v>
      </c>
      <c r="AM1983" s="8"/>
      <c r="AN1983" s="8"/>
      <c r="AO1983" s="8" t="str">
        <f ca="1">IFERROR(__xludf.DUMMYFUNCTION("""COMPUTED_VALUE"""),"No")</f>
        <v>No</v>
      </c>
      <c r="AP1983" s="8" t="str">
        <f ca="1">IFERROR(__xludf.DUMMYFUNCTION("""COMPUTED_VALUE"""),"No")</f>
        <v>No</v>
      </c>
      <c r="AQ1983" s="8" t="str">
        <f ca="1">IFERROR(__xludf.DUMMYFUNCTION("""COMPUTED_VALUE"""),"Unknown")</f>
        <v>Unknown</v>
      </c>
      <c r="AR1983" s="8" t="str">
        <f ca="1">IFERROR(__xludf.DUMMYFUNCTION("""COMPUTED_VALUE"""),"NA")</f>
        <v>NA</v>
      </c>
      <c r="AS1983" s="8">
        <f ca="1">IFERROR(__xludf.DUMMYFUNCTION("""COMPUTED_VALUE"""),1)</f>
        <v>1</v>
      </c>
      <c r="AT1983" s="8" t="str">
        <f ca="1">IFERROR(__xludf.DUMMYFUNCTION("""COMPUTED_VALUE"""),"No")</f>
        <v>No</v>
      </c>
      <c r="AU1983" s="8">
        <f ca="1">IFERROR(__xludf.DUMMYFUNCTION("""COMPUTED_VALUE"""),35.675)</f>
        <v>35.674999999999997</v>
      </c>
      <c r="AV1983" s="8">
        <f ca="1">IFERROR(__xludf.DUMMYFUNCTION("""COMPUTED_VALUE"""),-88.7593)</f>
        <v>-88.759299999999996</v>
      </c>
      <c r="AW1983" s="8"/>
      <c r="AX1983" s="8">
        <f ca="1">IFERROR(__xludf.DUMMYFUNCTION("""COMPUTED_VALUE"""),38362)</f>
        <v>38362</v>
      </c>
    </row>
    <row r="1984" spans="1:50" ht="120" x14ac:dyDescent="0.2">
      <c r="A1984" s="8" t="str">
        <f ca="1">IFERROR(__xludf.DUMMYFUNCTION("""COMPUTED_VALUE"""),"20131219CAEDF")</f>
        <v>20131219CAEDF</v>
      </c>
      <c r="B1984" s="8">
        <f ca="1">IFERROR(__xludf.DUMMYFUNCTION("""COMPUTED_VALUE"""),12)</f>
        <v>12</v>
      </c>
      <c r="C1984" s="8">
        <f ca="1">IFERROR(__xludf.DUMMYFUNCTION("""COMPUTED_VALUE"""),19)</f>
        <v>19</v>
      </c>
      <c r="D1984" s="8">
        <f ca="1">IFERROR(__xludf.DUMMYFUNCTION("""COMPUTED_VALUE"""),2013)</f>
        <v>2013</v>
      </c>
      <c r="E1984" s="9">
        <f ca="1">IFERROR(__xludf.DUMMYFUNCTION("""COMPUTED_VALUE"""),41627)</f>
        <v>41627</v>
      </c>
      <c r="F1984" s="8" t="str">
        <f ca="1">IFERROR(__xludf.DUMMYFUNCTION("""COMPUTED_VALUE"""),"Edison High School")</f>
        <v>Edison High School</v>
      </c>
      <c r="G1984" s="8">
        <f ca="1">IFERROR(__xludf.DUMMYFUNCTION("""COMPUTED_VALUE"""),0)</f>
        <v>0</v>
      </c>
      <c r="H1984" s="8">
        <f ca="1">IFERROR(__xludf.DUMMYFUNCTION("""COMPUTED_VALUE"""),1)</f>
        <v>1</v>
      </c>
      <c r="I1984" s="8">
        <f ca="1">IFERROR(__xludf.DUMMYFUNCTION("""COMPUTED_VALUE"""),1)</f>
        <v>1</v>
      </c>
      <c r="J1984" s="8">
        <f ca="1">IFERROR(__xludf.DUMMYFUNCTION("""COMPUTED_VALUE"""),0)</f>
        <v>0</v>
      </c>
      <c r="K1984" s="10" t="str">
        <f ca="1">IFERROR(__xludf.DUMMYFUNCTION("""COMPUTED_VALUE"""),"https://kmph.com/archive/fresno-police-arrest-four-teens-related-to-edison-high-school-shooting")</f>
        <v>https://kmph.com/archive/fresno-police-arrest-four-teens-related-to-edison-high-school-shooting</v>
      </c>
      <c r="L1984" s="8">
        <f ca="1">IFERROR(__xludf.DUMMYFUNCTION("""COMPUTED_VALUE"""),1)</f>
        <v>1</v>
      </c>
      <c r="M1984" s="8" t="str">
        <f ca="1">IFERROR(__xludf.DUMMYFUNCTION("""COMPUTED_VALUE"""),"Local")</f>
        <v>Local</v>
      </c>
      <c r="N1984" s="8">
        <f ca="1">IFERROR(__xludf.DUMMYFUNCTION("""COMPUTED_VALUE"""),2)</f>
        <v>2</v>
      </c>
      <c r="O1984" s="8" t="str">
        <f ca="1">IFERROR(__xludf.DUMMYFUNCTION("""COMPUTED_VALUE"""),"Winter")</f>
        <v>Winter</v>
      </c>
      <c r="P1984" s="8" t="str">
        <f ca="1">IFERROR(__xludf.DUMMYFUNCTION("""COMPUTED_VALUE"""),"Fresno")</f>
        <v>Fresno</v>
      </c>
      <c r="Q1984" s="8" t="str">
        <f ca="1">IFERROR(__xludf.DUMMYFUNCTION("""COMPUTED_VALUE"""),"CA")</f>
        <v>CA</v>
      </c>
      <c r="R1984" s="8" t="str">
        <f ca="1">IFERROR(__xludf.DUMMYFUNCTION("""COMPUTED_VALUE"""),"High")</f>
        <v>High</v>
      </c>
      <c r="S1984" s="8" t="str">
        <f ca="1">IFERROR(__xludf.DUMMYFUNCTION("""COMPUTED_VALUE"""),"Gym")</f>
        <v>Gym</v>
      </c>
      <c r="T1984" s="8" t="str">
        <f ca="1">IFERROR(__xludf.DUMMYFUNCTION("""COMPUTED_VALUE"""),"Inside School Building")</f>
        <v>Inside School Building</v>
      </c>
      <c r="U1984" s="8" t="str">
        <f ca="1">IFERROR(__xludf.DUMMYFUNCTION("""COMPUTED_VALUE"""),"No")</f>
        <v>No</v>
      </c>
      <c r="V1984" s="8" t="str">
        <f ca="1">IFERROR(__xludf.DUMMYFUNCTION("""COMPUTED_VALUE"""),"Evening")</f>
        <v>Evening</v>
      </c>
      <c r="W1984" s="11">
        <f ca="1">IFERROR(__xludf.DUMMYFUNCTION("""COMPUTED_VALUE"""),0.791666666666666)</f>
        <v>0.79166666666666596</v>
      </c>
      <c r="X1984" s="8">
        <f ca="1">IFERROR(__xludf.DUMMYFUNCTION("""COMPUTED_VALUE"""),1)</f>
        <v>1</v>
      </c>
      <c r="Y1984" s="12" t="str">
        <f ca="1">IFERROR(__xludf.DUMMYFUNCTION("""COMPUTED_VALUE"""),"Attempted robbery, victims random, spontaneous act")</f>
        <v>Attempted robbery, victims random, spontaneous act</v>
      </c>
      <c r="Z1984" s="12" t="str">
        <f ca="1">IFERROR(__xludf.DUMMYFUNCTION("""COMPUTED_VALUE"""),"4 juvenile males - gang members - attempted to rob the school's athletic trainer while he was inside the school building. There was a struggle and the athletic trainer was shot multiple times. The janitor hid in a different room. Shooter and other suspect"&amp;"s fled the area. Later caught - shooter confessed. Motive was robbery. Suspects had attacked an elderly woman before they went to the school. Suspects reported that the act was spontaneous.")</f>
        <v>4 juvenile males - gang members - attempted to rob the school's athletic trainer while he was inside the school building. There was a struggle and the athletic trainer was shot multiple times. The janitor hid in a different room. Shooter and other suspects fled the area. Later caught - shooter confessed. Motive was robbery. Suspects had attacked an elderly woman before they went to the school. Suspects reported that the act was spontaneous.</v>
      </c>
      <c r="AA1984" s="8" t="str">
        <f ca="1">IFERROR(__xludf.DUMMYFUNCTION("""COMPUTED_VALUE"""),"Illegal Activity")</f>
        <v>Illegal Activity</v>
      </c>
      <c r="AB1984" s="8"/>
      <c r="AC1984" s="8" t="str">
        <f ca="1">IFERROR(__xludf.DUMMYFUNCTION("""COMPUTED_VALUE"""),"Yes")</f>
        <v>Yes</v>
      </c>
      <c r="AD1984" s="8" t="str">
        <f ca="1">IFERROR(__xludf.DUMMYFUNCTION("""COMPUTED_VALUE"""),"Random Shooting")</f>
        <v>Random Shooting</v>
      </c>
      <c r="AE1984" s="8" t="str">
        <f ca="1">IFERROR(__xludf.DUMMYFUNCTION("""COMPUTED_VALUE"""),"Yes")</f>
        <v>Yes</v>
      </c>
      <c r="AF1984" s="8" t="str">
        <f ca="1">IFERROR(__xludf.DUMMYFUNCTION("""COMPUTED_VALUE"""),"3 additional gang members ages 16 and 17")</f>
        <v>3 additional gang members ages 16 and 17</v>
      </c>
      <c r="AG1984" s="8" t="str">
        <f ca="1">IFERROR(__xludf.DUMMYFUNCTION("""COMPUTED_VALUE"""),"No")</f>
        <v>No</v>
      </c>
      <c r="AH1984" s="8" t="str">
        <f ca="1">IFERROR(__xludf.DUMMYFUNCTION("""COMPUTED_VALUE"""),"No")</f>
        <v>No</v>
      </c>
      <c r="AI1984" s="8" t="str">
        <f ca="1">IFERROR(__xludf.DUMMYFUNCTION("""COMPUTED_VALUE"""),"No")</f>
        <v>No</v>
      </c>
      <c r="AJ1984" s="8" t="str">
        <f ca="1">IFERROR(__xludf.DUMMYFUNCTION("""COMPUTED_VALUE"""),"No")</f>
        <v>No</v>
      </c>
      <c r="AK1984" s="8" t="str">
        <f ca="1">IFERROR(__xludf.DUMMYFUNCTION("""COMPUTED_VALUE"""),"No")</f>
        <v>No</v>
      </c>
      <c r="AL1984" s="8" t="str">
        <f ca="1">IFERROR(__xludf.DUMMYFUNCTION("""COMPUTED_VALUE"""),"Yes")</f>
        <v>Yes</v>
      </c>
      <c r="AM1984" s="8"/>
      <c r="AN1984" s="8"/>
      <c r="AO1984" s="8" t="str">
        <f ca="1">IFERROR(__xludf.DUMMYFUNCTION("""COMPUTED_VALUE"""),"No")</f>
        <v>No</v>
      </c>
      <c r="AP1984" s="8"/>
      <c r="AQ1984" s="8" t="str">
        <f ca="1">IFERROR(__xludf.DUMMYFUNCTION("""COMPUTED_VALUE"""),"Unknown")</f>
        <v>Unknown</v>
      </c>
      <c r="AR1984" s="8" t="str">
        <f ca="1">IFERROR(__xludf.DUMMYFUNCTION("""COMPUTED_VALUE"""),"NA")</f>
        <v>NA</v>
      </c>
      <c r="AS1984" s="8">
        <f ca="1">IFERROR(__xludf.DUMMYFUNCTION("""COMPUTED_VALUE"""),4)</f>
        <v>4</v>
      </c>
      <c r="AT1984" s="8" t="str">
        <f ca="1">IFERROR(__xludf.DUMMYFUNCTION("""COMPUTED_VALUE"""),"N/A")</f>
        <v>N/A</v>
      </c>
      <c r="AU1984" s="8">
        <f ca="1">IFERROR(__xludf.DUMMYFUNCTION("""COMPUTED_VALUE"""),36.720587)</f>
        <v>36.720587000000002</v>
      </c>
      <c r="AV1984" s="8">
        <f ca="1">IFERROR(__xludf.DUMMYFUNCTION("""COMPUTED_VALUE"""),-119.802835)</f>
        <v>-119.802835</v>
      </c>
      <c r="AW1984" s="8"/>
      <c r="AX1984" s="8">
        <f ca="1">IFERROR(__xludf.DUMMYFUNCTION("""COMPUTED_VALUE"""),93706)</f>
        <v>93706</v>
      </c>
    </row>
    <row r="1985" spans="1:50" ht="150" x14ac:dyDescent="0.2">
      <c r="A1985" s="8" t="str">
        <f ca="1">IFERROR(__xludf.DUMMYFUNCTION("""COMPUTED_VALUE"""),"20131213COARC")</f>
        <v>20131213COARC</v>
      </c>
      <c r="B1985" s="8">
        <f ca="1">IFERROR(__xludf.DUMMYFUNCTION("""COMPUTED_VALUE"""),12)</f>
        <v>12</v>
      </c>
      <c r="C1985" s="8">
        <f ca="1">IFERROR(__xludf.DUMMYFUNCTION("""COMPUTED_VALUE"""),13)</f>
        <v>13</v>
      </c>
      <c r="D1985" s="8">
        <f ca="1">IFERROR(__xludf.DUMMYFUNCTION("""COMPUTED_VALUE"""),2013)</f>
        <v>2013</v>
      </c>
      <c r="E1985" s="9">
        <f ca="1">IFERROR(__xludf.DUMMYFUNCTION("""COMPUTED_VALUE"""),41621)</f>
        <v>41621</v>
      </c>
      <c r="F1985" s="8" t="str">
        <f ca="1">IFERROR(__xludf.DUMMYFUNCTION("""COMPUTED_VALUE"""),"Arapahoe High School")</f>
        <v>Arapahoe High School</v>
      </c>
      <c r="G1985" s="8">
        <f ca="1">IFERROR(__xludf.DUMMYFUNCTION("""COMPUTED_VALUE"""),1)</f>
        <v>1</v>
      </c>
      <c r="H1985" s="8">
        <f ca="1">IFERROR(__xludf.DUMMYFUNCTION("""COMPUTED_VALUE"""),0)</f>
        <v>0</v>
      </c>
      <c r="I1985" s="8">
        <f ca="1">IFERROR(__xludf.DUMMYFUNCTION("""COMPUTED_VALUE"""),1)</f>
        <v>1</v>
      </c>
      <c r="J1985" s="8">
        <f ca="1">IFERROR(__xludf.DUMMYFUNCTION("""COMPUTED_VALUE"""),1)</f>
        <v>1</v>
      </c>
      <c r="K1985" s="8" t="str">
        <f ca="1">IFERROR(__xludf.DUMMYFUNCTION("""COMPUTED_VALUE"""),"https://www.denverpost.com/2013/12/13/shooting-at-arapahoe-high-school-1-girl-in-critical-condition-gunman-dead/ https://www.cnn.com/2013/12/14/us/colorado-school-shooting/index.html https://www.fbi.gov/file-repository/active-shooter-incidents-2000-2017.p"&amp;"df")</f>
        <v>https://www.denverpost.com/2013/12/13/shooting-at-arapahoe-high-school-1-girl-in-critical-condition-gunman-dead/ https://www.cnn.com/2013/12/14/us/colorado-school-shooting/index.html https://www.fbi.gov/file-repository/active-shooter-incidents-2000-2017.pdf</v>
      </c>
      <c r="L1985" s="8">
        <f ca="1">IFERROR(__xludf.DUMMYFUNCTION("""COMPUTED_VALUE"""),1)</f>
        <v>1</v>
      </c>
      <c r="M1985" s="8" t="str">
        <f ca="1">IFERROR(__xludf.DUMMYFUNCTION("""COMPUTED_VALUE"""),"National")</f>
        <v>National</v>
      </c>
      <c r="N1985" s="8">
        <f ca="1">IFERROR(__xludf.DUMMYFUNCTION("""COMPUTED_VALUE"""),5)</f>
        <v>5</v>
      </c>
      <c r="O1985" s="8" t="str">
        <f ca="1">IFERROR(__xludf.DUMMYFUNCTION("""COMPUTED_VALUE"""),"Winter")</f>
        <v>Winter</v>
      </c>
      <c r="P1985" s="8" t="str">
        <f ca="1">IFERROR(__xludf.DUMMYFUNCTION("""COMPUTED_VALUE"""),"Centennial")</f>
        <v>Centennial</v>
      </c>
      <c r="Q1985" s="8" t="str">
        <f ca="1">IFERROR(__xludf.DUMMYFUNCTION("""COMPUTED_VALUE"""),"CO")</f>
        <v>CO</v>
      </c>
      <c r="R1985" s="8" t="str">
        <f ca="1">IFERROR(__xludf.DUMMYFUNCTION("""COMPUTED_VALUE"""),"High")</f>
        <v>High</v>
      </c>
      <c r="S1985" s="8" t="str">
        <f ca="1">IFERROR(__xludf.DUMMYFUNCTION("""COMPUTED_VALUE"""),"Other")</f>
        <v>Other</v>
      </c>
      <c r="T1985" s="8" t="str">
        <f ca="1">IFERROR(__xludf.DUMMYFUNCTION("""COMPUTED_VALUE"""),"Inside School Building")</f>
        <v>Inside School Building</v>
      </c>
      <c r="U1985" s="8" t="str">
        <f ca="1">IFERROR(__xludf.DUMMYFUNCTION("""COMPUTED_VALUE"""),"Yes")</f>
        <v>Yes</v>
      </c>
      <c r="V1985" s="8" t="str">
        <f ca="1">IFERROR(__xludf.DUMMYFUNCTION("""COMPUTED_VALUE"""),"Lunch")</f>
        <v>Lunch</v>
      </c>
      <c r="W1985" s="11">
        <f ca="1">IFERROR(__xludf.DUMMYFUNCTION("""COMPUTED_VALUE"""),0)</f>
        <v>0</v>
      </c>
      <c r="X1985" s="8">
        <f ca="1">IFERROR(__xludf.DUMMYFUNCTION("""COMPUTED_VALUE"""),2)</f>
        <v>2</v>
      </c>
      <c r="Y1985" s="12" t="str">
        <f ca="1">IFERROR(__xludf.DUMMYFUNCTION("""COMPUTED_VALUE"""),"Planned attack, confronted by SRO and commit suicide")</f>
        <v>Planned attack, confronted by SRO and commit suicide</v>
      </c>
      <c r="Z1985" s="12" t="str">
        <f ca="1">IFERROR(__xludf.DUMMYFUNCTION("""COMPUTED_VALUE"""),"Shooter walked into school with shotgun, molotov cocktails, and ammunition. Fired 5 shots down hallways killing one student (no relation to shooter). Threw molotov cocktail into library. Confronted by SRO and commit suicide. Intended target appeared to be"&amp;" librarian who was in charge of the debate team he was a member of. Bullied by peers. One cross country and debate team. Good grades, very intelligent. Described as ""social misfit"". Eagle Scout. ""Last person you would expect to shoot up a high school"""&amp;" - fellow student. Shooting lasted 80 seconds.")</f>
        <v>Shooter walked into school with shotgun, molotov cocktails, and ammunition. Fired 5 shots down hallways killing one student (no relation to shooter). Threw molotov cocktail into library. Confronted by SRO and commit suicide. Intended target appeared to be librarian who was in charge of the debate team he was a member of. Bullied by peers. One cross country and debate team. Good grades, very intelligent. Described as "social misfit". Eagle Scout. "Last person you would expect to shoot up a high school" - fellow student. Shooting lasted 80 seconds.</v>
      </c>
      <c r="AA1985" s="8" t="str">
        <f ca="1">IFERROR(__xludf.DUMMYFUNCTION("""COMPUTED_VALUE"""),"Indiscriminate Shooting")</f>
        <v>Indiscriminate Shooting</v>
      </c>
      <c r="AB1985" s="8"/>
      <c r="AC1985" s="8" t="str">
        <f ca="1">IFERROR(__xludf.DUMMYFUNCTION("""COMPUTED_VALUE"""),"Yes")</f>
        <v>Yes</v>
      </c>
      <c r="AD1985" s="8" t="str">
        <f ca="1">IFERROR(__xludf.DUMMYFUNCTION("""COMPUTED_VALUE"""),"Both")</f>
        <v>Both</v>
      </c>
      <c r="AE1985" s="8" t="str">
        <f ca="1">IFERROR(__xludf.DUMMYFUNCTION("""COMPUTED_VALUE"""),"No")</f>
        <v>No</v>
      </c>
      <c r="AF1985" s="8"/>
      <c r="AG1985" s="8" t="str">
        <f ca="1">IFERROR(__xludf.DUMMYFUNCTION("""COMPUTED_VALUE"""),"No")</f>
        <v>No</v>
      </c>
      <c r="AH1985" s="8" t="str">
        <f ca="1">IFERROR(__xludf.DUMMYFUNCTION("""COMPUTED_VALUE"""),"No")</f>
        <v>No</v>
      </c>
      <c r="AI1985" s="8" t="str">
        <f ca="1">IFERROR(__xludf.DUMMYFUNCTION("""COMPUTED_VALUE"""),"No")</f>
        <v>No</v>
      </c>
      <c r="AJ1985" s="8" t="str">
        <f ca="1">IFERROR(__xludf.DUMMYFUNCTION("""COMPUTED_VALUE"""),"Yes")</f>
        <v>Yes</v>
      </c>
      <c r="AK1985" s="8" t="str">
        <f ca="1">IFERROR(__xludf.DUMMYFUNCTION("""COMPUTED_VALUE"""),"No")</f>
        <v>No</v>
      </c>
      <c r="AL1985" s="8" t="str">
        <f ca="1">IFERROR(__xludf.DUMMYFUNCTION("""COMPUTED_VALUE"""),"No")</f>
        <v>No</v>
      </c>
      <c r="AM1985" s="8" t="str">
        <f ca="1">IFERROR(__xludf.DUMMYFUNCTION("""COMPUTED_VALUE"""),"Yes")</f>
        <v>Yes</v>
      </c>
      <c r="AN1985" s="8" t="str">
        <f ca="1">IFERROR(__xludf.DUMMYFUNCTION("""COMPUTED_VALUE"""),"Multiple Rooms")</f>
        <v>Multiple Rooms</v>
      </c>
      <c r="AO1985" s="8" t="str">
        <f ca="1">IFERROR(__xludf.DUMMYFUNCTION("""COMPUTED_VALUE"""),"Yes")</f>
        <v>Yes</v>
      </c>
      <c r="AP1985" s="8" t="str">
        <f ca="1">IFERROR(__xludf.DUMMYFUNCTION("""COMPUTED_VALUE"""),"Yes")</f>
        <v>Yes</v>
      </c>
      <c r="AQ1985" s="8" t="str">
        <f ca="1">IFERROR(__xludf.DUMMYFUNCTION("""COMPUTED_VALUE"""),"Unknown")</f>
        <v>Unknown</v>
      </c>
      <c r="AR1985" s="8" t="str">
        <f ca="1">IFERROR(__xludf.DUMMYFUNCTION("""COMPUTED_VALUE"""),"NA")</f>
        <v>NA</v>
      </c>
      <c r="AS1985" s="8">
        <f ca="1">IFERROR(__xludf.DUMMYFUNCTION("""COMPUTED_VALUE"""),5)</f>
        <v>5</v>
      </c>
      <c r="AT1985" s="8" t="str">
        <f ca="1">IFERROR(__xludf.DUMMYFUNCTION("""COMPUTED_VALUE"""),"No")</f>
        <v>No</v>
      </c>
      <c r="AU1985" s="8">
        <f ca="1">IFERROR(__xludf.DUMMYFUNCTION("""COMPUTED_VALUE"""),39.5817)</f>
        <v>39.581699999999998</v>
      </c>
      <c r="AV1985" s="8">
        <f ca="1">IFERROR(__xludf.DUMMYFUNCTION("""COMPUTED_VALUE"""),-104.9628)</f>
        <v>-104.9628</v>
      </c>
      <c r="AW1985" s="8"/>
      <c r="AX1985" s="8">
        <f ca="1">IFERROR(__xludf.DUMMYFUNCTION("""COMPUTED_VALUE"""),80122)</f>
        <v>80122</v>
      </c>
    </row>
    <row r="1986" spans="1:50" ht="165" x14ac:dyDescent="0.2">
      <c r="A1986" s="8" t="str">
        <f ca="1">IFERROR(__xludf.DUMMYFUNCTION("""COMPUTED_VALUE"""),"20131204FLWEW")</f>
        <v>20131204FLWEW</v>
      </c>
      <c r="B1986" s="8">
        <f ca="1">IFERROR(__xludf.DUMMYFUNCTION("""COMPUTED_VALUE"""),12)</f>
        <v>12</v>
      </c>
      <c r="C1986" s="8">
        <f ca="1">IFERROR(__xludf.DUMMYFUNCTION("""COMPUTED_VALUE"""),4)</f>
        <v>4</v>
      </c>
      <c r="D1986" s="8">
        <f ca="1">IFERROR(__xludf.DUMMYFUNCTION("""COMPUTED_VALUE"""),2013)</f>
        <v>2013</v>
      </c>
      <c r="E1986" s="9">
        <f ca="1">IFERROR(__xludf.DUMMYFUNCTION("""COMPUTED_VALUE"""),41612)</f>
        <v>41612</v>
      </c>
      <c r="F1986" s="8" t="str">
        <f ca="1">IFERROR(__xludf.DUMMYFUNCTION("""COMPUTED_VALUE"""),"West Orange High School")</f>
        <v>West Orange High School</v>
      </c>
      <c r="G1986" s="8">
        <f ca="1">IFERROR(__xludf.DUMMYFUNCTION("""COMPUTED_VALUE"""),0)</f>
        <v>0</v>
      </c>
      <c r="H1986" s="8">
        <f ca="1">IFERROR(__xludf.DUMMYFUNCTION("""COMPUTED_VALUE"""),1)</f>
        <v>1</v>
      </c>
      <c r="I1986" s="8">
        <f ca="1">IFERROR(__xludf.DUMMYFUNCTION("""COMPUTED_VALUE"""),1)</f>
        <v>1</v>
      </c>
      <c r="J1986" s="8">
        <f ca="1">IFERROR(__xludf.DUMMYFUNCTION("""COMPUTED_VALUE"""),0)</f>
        <v>0</v>
      </c>
      <c r="K1986" s="10" t="str">
        <f ca="1">IFERROR(__xludf.DUMMYFUNCTION("""COMPUTED_VALUE"""),"https://www.clickorlando.com/news/student-shot-in-face-at-west-orange-high-school-_2015110710074418")</f>
        <v>https://www.clickorlando.com/news/student-shot-in-face-at-west-orange-high-school-_2015110710074418</v>
      </c>
      <c r="L1986" s="8">
        <f ca="1">IFERROR(__xludf.DUMMYFUNCTION("""COMPUTED_VALUE"""),5)</f>
        <v>5</v>
      </c>
      <c r="M1986" s="8" t="str">
        <f ca="1">IFERROR(__xludf.DUMMYFUNCTION("""COMPUTED_VALUE"""),"Local")</f>
        <v>Local</v>
      </c>
      <c r="N1986" s="8">
        <f ca="1">IFERROR(__xludf.DUMMYFUNCTION("""COMPUTED_VALUE"""),2)</f>
        <v>2</v>
      </c>
      <c r="O1986" s="8" t="str">
        <f ca="1">IFERROR(__xludf.DUMMYFUNCTION("""COMPUTED_VALUE"""),"Winter")</f>
        <v>Winter</v>
      </c>
      <c r="P1986" s="8" t="str">
        <f ca="1">IFERROR(__xludf.DUMMYFUNCTION("""COMPUTED_VALUE"""),"Winter Garden")</f>
        <v>Winter Garden</v>
      </c>
      <c r="Q1986" s="8" t="str">
        <f ca="1">IFERROR(__xludf.DUMMYFUNCTION("""COMPUTED_VALUE"""),"FL")</f>
        <v>FL</v>
      </c>
      <c r="R1986" s="8" t="str">
        <f ca="1">IFERROR(__xludf.DUMMYFUNCTION("""COMPUTED_VALUE"""),"High")</f>
        <v>High</v>
      </c>
      <c r="S1986" s="8" t="str">
        <f ca="1">IFERROR(__xludf.DUMMYFUNCTION("""COMPUTED_VALUE"""),"Beside Building")</f>
        <v>Beside Building</v>
      </c>
      <c r="T1986" s="8" t="str">
        <f ca="1">IFERROR(__xludf.DUMMYFUNCTION("""COMPUTED_VALUE"""),"Outside on School Property")</f>
        <v>Outside on School Property</v>
      </c>
      <c r="U1986" s="8" t="str">
        <f ca="1">IFERROR(__xludf.DUMMYFUNCTION("""COMPUTED_VALUE"""),"No")</f>
        <v>No</v>
      </c>
      <c r="V1986" s="8" t="str">
        <f ca="1">IFERROR(__xludf.DUMMYFUNCTION("""COMPUTED_VALUE"""),"Dismissal")</f>
        <v>Dismissal</v>
      </c>
      <c r="W1986" s="11">
        <f ca="1">IFERROR(__xludf.DUMMYFUNCTION("""COMPUTED_VALUE"""),0.552083333333333)</f>
        <v>0.55208333333333304</v>
      </c>
      <c r="X1986" s="8">
        <f ca="1">IFERROR(__xludf.DUMMYFUNCTION("""COMPUTED_VALUE"""),1)</f>
        <v>1</v>
      </c>
      <c r="Y1986" s="12" t="str">
        <f ca="1">IFERROR(__xludf.DUMMYFUNCTION("""COMPUTED_VALUE"""),"Shots fired during fight over cell phone")</f>
        <v>Shots fired during fight over cell phone</v>
      </c>
      <c r="Z1986" s="12" t="str">
        <f ca="1">IFERROR(__xludf.DUMMYFUNCTION("""COMPUTED_VALUE"""),"Fight between shooter and student after school that escalated into shooting. Victim was shot in face and abdomen. Victim allegedly threw Shooter's phone at a bus. Also, victim had previous warnings because of fights and officials had talked to him about b"&amp;"ehavioral problems. Shooter was a known gang member. School officials administered first aid. There were witnesses but they left to avoid trouble. Shooter was suspended from the school at the time of the shooting following a physical altercation with anot"&amp;"her student. Shooter fled the area immediately after the shooting.")</f>
        <v>Fight between shooter and student after school that escalated into shooting. Victim was shot in face and abdomen. Victim allegedly threw Shooter's phone at a bus. Also, victim had previous warnings because of fights and officials had talked to him about behavioral problems. Shooter was a known gang member. School officials administered first aid. There were witnesses but they left to avoid trouble. Shooter was suspended from the school at the time of the shooting following a physical altercation with another student. Shooter fled the area immediately after the shooting.</v>
      </c>
      <c r="AA1986" s="8" t="str">
        <f ca="1">IFERROR(__xludf.DUMMYFUNCTION("""COMPUTED_VALUE"""),"Escalation of Dispute")</f>
        <v>Escalation of Dispute</v>
      </c>
      <c r="AB1986" s="8"/>
      <c r="AC1986" s="8" t="str">
        <f ca="1">IFERROR(__xludf.DUMMYFUNCTION("""COMPUTED_VALUE"""),"Yes")</f>
        <v>Yes</v>
      </c>
      <c r="AD1986" s="8" t="str">
        <f ca="1">IFERROR(__xludf.DUMMYFUNCTION("""COMPUTED_VALUE"""),"Victims Targeted")</f>
        <v>Victims Targeted</v>
      </c>
      <c r="AE1986" s="8" t="str">
        <f ca="1">IFERROR(__xludf.DUMMYFUNCTION("""COMPUTED_VALUE"""),"No")</f>
        <v>No</v>
      </c>
      <c r="AF1986" s="8"/>
      <c r="AG1986" s="8" t="str">
        <f ca="1">IFERROR(__xludf.DUMMYFUNCTION("""COMPUTED_VALUE"""),"No")</f>
        <v>No</v>
      </c>
      <c r="AH1986" s="8" t="str">
        <f ca="1">IFERROR(__xludf.DUMMYFUNCTION("""COMPUTED_VALUE"""),"No")</f>
        <v>No</v>
      </c>
      <c r="AI1986" s="8" t="str">
        <f ca="1">IFERROR(__xludf.DUMMYFUNCTION("""COMPUTED_VALUE"""),"No")</f>
        <v>No</v>
      </c>
      <c r="AJ1986" s="8" t="str">
        <f ca="1">IFERROR(__xludf.DUMMYFUNCTION("""COMPUTED_VALUE"""),"No")</f>
        <v>No</v>
      </c>
      <c r="AK1986" s="8" t="str">
        <f ca="1">IFERROR(__xludf.DUMMYFUNCTION("""COMPUTED_VALUE"""),"No")</f>
        <v>No</v>
      </c>
      <c r="AL1986" s="8" t="str">
        <f ca="1">IFERROR(__xludf.DUMMYFUNCTION("""COMPUTED_VALUE"""),"No")</f>
        <v>No</v>
      </c>
      <c r="AM1986" s="8"/>
      <c r="AN1986" s="8"/>
      <c r="AO1986" s="8" t="str">
        <f ca="1">IFERROR(__xludf.DUMMYFUNCTION("""COMPUTED_VALUE"""),"No")</f>
        <v>No</v>
      </c>
      <c r="AP1986" s="8" t="str">
        <f ca="1">IFERROR(__xludf.DUMMYFUNCTION("""COMPUTED_VALUE"""),"No")</f>
        <v>No</v>
      </c>
      <c r="AQ1986" s="8" t="str">
        <f ca="1">IFERROR(__xludf.DUMMYFUNCTION("""COMPUTED_VALUE"""),"Metal Detectors Intermittent")</f>
        <v>Metal Detectors Intermittent</v>
      </c>
      <c r="AR1986" s="8" t="str">
        <f ca="1">IFERROR(__xludf.DUMMYFUNCTION("""COMPUTED_VALUE"""),"Bypassed")</f>
        <v>Bypassed</v>
      </c>
      <c r="AS1986" s="8">
        <f ca="1">IFERROR(__xludf.DUMMYFUNCTION("""COMPUTED_VALUE"""),1)</f>
        <v>1</v>
      </c>
      <c r="AT1986" s="8" t="str">
        <f ca="1">IFERROR(__xludf.DUMMYFUNCTION("""COMPUTED_VALUE"""),"Yes")</f>
        <v>Yes</v>
      </c>
      <c r="AU1986" s="8">
        <f ca="1">IFERROR(__xludf.DUMMYFUNCTION("""COMPUTED_VALUE"""),28.5428)</f>
        <v>28.5428</v>
      </c>
      <c r="AV1986" s="8">
        <f ca="1">IFERROR(__xludf.DUMMYFUNCTION("""COMPUTED_VALUE"""),-81.5673)</f>
        <v>-81.567300000000003</v>
      </c>
      <c r="AW1986" s="8"/>
      <c r="AX1986" s="8">
        <f ca="1">IFERROR(__xludf.DUMMYFUNCTION("""COMPUTED_VALUE"""),34787)</f>
        <v>34787</v>
      </c>
    </row>
    <row r="1987" spans="1:50" ht="90" x14ac:dyDescent="0.2">
      <c r="A1987" s="8" t="str">
        <f ca="1">IFERROR(__xludf.DUMMYFUNCTION("""COMPUTED_VALUE"""),"20131113PABRP")</f>
        <v>20131113PABRP</v>
      </c>
      <c r="B1987" s="8">
        <f ca="1">IFERROR(__xludf.DUMMYFUNCTION("""COMPUTED_VALUE"""),11)</f>
        <v>11</v>
      </c>
      <c r="C1987" s="8">
        <f ca="1">IFERROR(__xludf.DUMMYFUNCTION("""COMPUTED_VALUE"""),13)</f>
        <v>13</v>
      </c>
      <c r="D1987" s="8">
        <f ca="1">IFERROR(__xludf.DUMMYFUNCTION("""COMPUTED_VALUE"""),2013)</f>
        <v>2013</v>
      </c>
      <c r="E1987" s="9">
        <f ca="1">IFERROR(__xludf.DUMMYFUNCTION("""COMPUTED_VALUE"""),41591)</f>
        <v>41591</v>
      </c>
      <c r="F1987" s="8" t="str">
        <f ca="1">IFERROR(__xludf.DUMMYFUNCTION("""COMPUTED_VALUE"""),"Brashear High School")</f>
        <v>Brashear High School</v>
      </c>
      <c r="G1987" s="8">
        <f ca="1">IFERROR(__xludf.DUMMYFUNCTION("""COMPUTED_VALUE"""),0)</f>
        <v>0</v>
      </c>
      <c r="H1987" s="8">
        <f ca="1">IFERROR(__xludf.DUMMYFUNCTION("""COMPUTED_VALUE"""),3)</f>
        <v>3</v>
      </c>
      <c r="I1987" s="8">
        <f ca="1">IFERROR(__xludf.DUMMYFUNCTION("""COMPUTED_VALUE"""),3)</f>
        <v>3</v>
      </c>
      <c r="J1987" s="8">
        <f ca="1">IFERROR(__xludf.DUMMYFUNCTION("""COMPUTED_VALUE"""),0)</f>
        <v>0</v>
      </c>
      <c r="K1987" s="10" t="str">
        <f ca="1">IFERROR(__xludf.DUMMYFUNCTION("""COMPUTED_VALUE"""),"https://www.palmbeachpost.com/news/local/arrest-made-shooting-near-brashear-high-school/NGHP1kh1t1kOrBfjCno91K/  https://www.newspapers.com/image/440186960/?terms=student%2Bshot
https://www.cbsnews.com/pittsburgh/news/young-man-sentenced-to-12-30-years-fo"&amp;"r-2013-brashear-h-s-shooting/")</f>
        <v>https://www.palmbeachpost.com/news/local/arrest-made-shooting-near-brashear-high-school/NGHP1kh1t1kOrBfjCno91K/  https://www.newspapers.com/image/440186960/?terms=student%2Bshot
https://www.cbsnews.com/pittsburgh/news/young-man-sentenced-to-12-30-years-for-2013-brashear-h-s-shooting/</v>
      </c>
      <c r="L1987" s="8">
        <f ca="1">IFERROR(__xludf.DUMMYFUNCTION("""COMPUTED_VALUE"""),3)</f>
        <v>3</v>
      </c>
      <c r="M1987" s="8" t="str">
        <f ca="1">IFERROR(__xludf.DUMMYFUNCTION("""COMPUTED_VALUE"""),"Local")</f>
        <v>Local</v>
      </c>
      <c r="N1987" s="8">
        <f ca="1">IFERROR(__xludf.DUMMYFUNCTION("""COMPUTED_VALUE"""),5)</f>
        <v>5</v>
      </c>
      <c r="O1987" s="8" t="str">
        <f ca="1">IFERROR(__xludf.DUMMYFUNCTION("""COMPUTED_VALUE"""),"Fall")</f>
        <v>Fall</v>
      </c>
      <c r="P1987" s="8" t="str">
        <f ca="1">IFERROR(__xludf.DUMMYFUNCTION("""COMPUTED_VALUE"""),"Pittsburgh")</f>
        <v>Pittsburgh</v>
      </c>
      <c r="Q1987" s="8" t="str">
        <f ca="1">IFERROR(__xludf.DUMMYFUNCTION("""COMPUTED_VALUE"""),"PA")</f>
        <v>PA</v>
      </c>
      <c r="R1987" s="8" t="str">
        <f ca="1">IFERROR(__xludf.DUMMYFUNCTION("""COMPUTED_VALUE"""),"High")</f>
        <v>High</v>
      </c>
      <c r="S1987" s="8" t="str">
        <f ca="1">IFERROR(__xludf.DUMMYFUNCTION("""COMPUTED_VALUE"""),"Beside Building")</f>
        <v>Beside Building</v>
      </c>
      <c r="T1987" s="8" t="str">
        <f ca="1">IFERROR(__xludf.DUMMYFUNCTION("""COMPUTED_VALUE"""),"Outside on School Property")</f>
        <v>Outside on School Property</v>
      </c>
      <c r="U1987" s="8" t="str">
        <f ca="1">IFERROR(__xludf.DUMMYFUNCTION("""COMPUTED_VALUE"""),"Yes")</f>
        <v>Yes</v>
      </c>
      <c r="V1987" s="8" t="str">
        <f ca="1">IFERROR(__xludf.DUMMYFUNCTION("""COMPUTED_VALUE"""),"After School")</f>
        <v>After School</v>
      </c>
      <c r="W1987" s="11">
        <f ca="1">IFERROR(__xludf.DUMMYFUNCTION("""COMPUTED_VALUE"""),0.625)</f>
        <v>0.625</v>
      </c>
      <c r="X1987" s="8">
        <f ca="1">IFERROR(__xludf.DUMMYFUNCTION("""COMPUTED_VALUE"""),1)</f>
        <v>1</v>
      </c>
      <c r="Y1987" s="12" t="str">
        <f ca="1">IFERROR(__xludf.DUMMYFUNCTION("""COMPUTED_VALUE"""),"Shooting was revenge for previous fight")</f>
        <v>Shooting was revenge for previous fight</v>
      </c>
      <c r="Z1987" s="12" t="str">
        <f ca="1">IFERROR(__xludf.DUMMYFUNCTION("""COMPUTED_VALUE"""),"Allegedly, shooter was assaulted and robbed by the victims the month prior, the case was investigated but shooter said he would take care of it himself. Shooter allegedly ambushed the victims from a wooded area outside of school property, and fired shots."&amp;" They were a group of 4, 3 got wounded and ran to the school for safety.")</f>
        <v>Allegedly, shooter was assaulted and robbed by the victims the month prior, the case was investigated but shooter said he would take care of it himself. Shooter allegedly ambushed the victims from a wooded area outside of school property, and fired shots. They were a group of 4, 3 got wounded and ran to the school for safety.</v>
      </c>
      <c r="AA1987" s="8" t="str">
        <f ca="1">IFERROR(__xludf.DUMMYFUNCTION("""COMPUTED_VALUE"""),"Escalation of Dispute")</f>
        <v>Escalation of Dispute</v>
      </c>
      <c r="AB1987" s="8" t="str">
        <f ca="1">IFERROR(__xludf.DUMMYFUNCTION("""COMPUTED_VALUE"""),"Targeted")</f>
        <v>Targeted</v>
      </c>
      <c r="AC1987" s="8" t="str">
        <f ca="1">IFERROR(__xludf.DUMMYFUNCTION("""COMPUTED_VALUE"""),"Yes")</f>
        <v>Yes</v>
      </c>
      <c r="AD1987" s="8" t="str">
        <f ca="1">IFERROR(__xludf.DUMMYFUNCTION("""COMPUTED_VALUE"""),"Victims Targeted")</f>
        <v>Victims Targeted</v>
      </c>
      <c r="AE1987" s="8" t="str">
        <f ca="1">IFERROR(__xludf.DUMMYFUNCTION("""COMPUTED_VALUE"""),"Yes")</f>
        <v>Yes</v>
      </c>
      <c r="AF1987" s="8" t="str">
        <f ca="1">IFERROR(__xludf.DUMMYFUNCTION("""COMPUTED_VALUE"""),"One other person accompanied shooter; witness initially said he saw the shooter fire but later contradicted his statement on the witness stand")</f>
        <v>One other person accompanied shooter; witness initially said he saw the shooter fire but later contradicted his statement on the witness stand</v>
      </c>
      <c r="AG1987" s="8" t="str">
        <f ca="1">IFERROR(__xludf.DUMMYFUNCTION("""COMPUTED_VALUE"""),"No")</f>
        <v>No</v>
      </c>
      <c r="AH1987" s="8" t="str">
        <f ca="1">IFERROR(__xludf.DUMMYFUNCTION("""COMPUTED_VALUE"""),"No")</f>
        <v>No</v>
      </c>
      <c r="AI1987" s="8" t="str">
        <f ca="1">IFERROR(__xludf.DUMMYFUNCTION("""COMPUTED_VALUE"""),"No")</f>
        <v>No</v>
      </c>
      <c r="AJ1987" s="8" t="str">
        <f ca="1">IFERROR(__xludf.DUMMYFUNCTION("""COMPUTED_VALUE"""),"No")</f>
        <v>No</v>
      </c>
      <c r="AK1987" s="8" t="str">
        <f ca="1">IFERROR(__xludf.DUMMYFUNCTION("""COMPUTED_VALUE"""),"No")</f>
        <v>No</v>
      </c>
      <c r="AL1987" s="8" t="str">
        <f ca="1">IFERROR(__xludf.DUMMYFUNCTION("""COMPUTED_VALUE"""),"No")</f>
        <v>No</v>
      </c>
      <c r="AM1987" s="8" t="str">
        <f ca="1">IFERROR(__xludf.DUMMYFUNCTION("""COMPUTED_VALUE"""),"No")</f>
        <v>No</v>
      </c>
      <c r="AN1987" s="8" t="str">
        <f ca="1">IFERROR(__xludf.DUMMYFUNCTION("""COMPUTED_VALUE"""),"Outside")</f>
        <v>Outside</v>
      </c>
      <c r="AO1987" s="8" t="str">
        <f ca="1">IFERROR(__xludf.DUMMYFUNCTION("""COMPUTED_VALUE"""),"Yes")</f>
        <v>Yes</v>
      </c>
      <c r="AP1987" s="8" t="str">
        <f ca="1">IFERROR(__xludf.DUMMYFUNCTION("""COMPUTED_VALUE"""),"N/A")</f>
        <v>N/A</v>
      </c>
      <c r="AQ1987" s="8" t="str">
        <f ca="1">IFERROR(__xludf.DUMMYFUNCTION("""COMPUTED_VALUE"""),"Unknown")</f>
        <v>Unknown</v>
      </c>
      <c r="AR1987" s="8" t="str">
        <f ca="1">IFERROR(__xludf.DUMMYFUNCTION("""COMPUTED_VALUE"""),"NA")</f>
        <v>NA</v>
      </c>
      <c r="AS1987" s="8"/>
      <c r="AT1987" s="8" t="str">
        <f ca="1">IFERROR(__xludf.DUMMYFUNCTION("""COMPUTED_VALUE"""),"Yes")</f>
        <v>Yes</v>
      </c>
      <c r="AU1987" s="8">
        <f ca="1">IFERROR(__xludf.DUMMYFUNCTION("""COMPUTED_VALUE"""),40.420048)</f>
        <v>40.420048000000001</v>
      </c>
      <c r="AV1987" s="8">
        <f ca="1">IFERROR(__xludf.DUMMYFUNCTION("""COMPUTED_VALUE"""),-80.016321)</f>
        <v>-80.016321000000005</v>
      </c>
      <c r="AW1987" s="8"/>
      <c r="AX1987" s="8">
        <f ca="1">IFERROR(__xludf.DUMMYFUNCTION("""COMPUTED_VALUE"""),15220)</f>
        <v>15220</v>
      </c>
    </row>
    <row r="1988" spans="1:50" ht="105" x14ac:dyDescent="0.2">
      <c r="A1988" s="8" t="str">
        <f ca="1">IFERROR(__xludf.DUMMYFUNCTION("""COMPUTED_VALUE"""),"20131103GASTL")</f>
        <v>20131103GASTL</v>
      </c>
      <c r="B1988" s="8">
        <f ca="1">IFERROR(__xludf.DUMMYFUNCTION("""COMPUTED_VALUE"""),11)</f>
        <v>11</v>
      </c>
      <c r="C1988" s="8">
        <f ca="1">IFERROR(__xludf.DUMMYFUNCTION("""COMPUTED_VALUE"""),3)</f>
        <v>3</v>
      </c>
      <c r="D1988" s="8">
        <f ca="1">IFERROR(__xludf.DUMMYFUNCTION("""COMPUTED_VALUE"""),2013)</f>
        <v>2013</v>
      </c>
      <c r="E1988" s="9">
        <f ca="1">IFERROR(__xludf.DUMMYFUNCTION("""COMPUTED_VALUE"""),41581)</f>
        <v>41581</v>
      </c>
      <c r="F1988" s="8" t="str">
        <f ca="1">IFERROR(__xludf.DUMMYFUNCTION("""COMPUTED_VALUE"""),"Stephenson High School")</f>
        <v>Stephenson High School</v>
      </c>
      <c r="G1988" s="8">
        <f ca="1">IFERROR(__xludf.DUMMYFUNCTION("""COMPUTED_VALUE"""),0)</f>
        <v>0</v>
      </c>
      <c r="H1988" s="8">
        <f ca="1">IFERROR(__xludf.DUMMYFUNCTION("""COMPUTED_VALUE"""),1)</f>
        <v>1</v>
      </c>
      <c r="I1988" s="8">
        <f ca="1">IFERROR(__xludf.DUMMYFUNCTION("""COMPUTED_VALUE"""),1)</f>
        <v>1</v>
      </c>
      <c r="J1988" s="8">
        <f ca="1">IFERROR(__xludf.DUMMYFUNCTION("""COMPUTED_VALUE"""),0)</f>
        <v>0</v>
      </c>
      <c r="K1988" s="10" t="str">
        <f ca="1">IFERROR(__xludf.DUMMYFUNCTION("""COMPUTED_VALUE"""),"https://patch.com/georgia/stonemountain/stephenson-high-student-shot-at-school")</f>
        <v>https://patch.com/georgia/stonemountain/stephenson-high-student-shot-at-school</v>
      </c>
      <c r="L1988" s="8">
        <f ca="1">IFERROR(__xludf.DUMMYFUNCTION("""COMPUTED_VALUE"""),1)</f>
        <v>1</v>
      </c>
      <c r="M1988" s="8" t="str">
        <f ca="1">IFERROR(__xludf.DUMMYFUNCTION("""COMPUTED_VALUE"""),"Local")</f>
        <v>Local</v>
      </c>
      <c r="N1988" s="8">
        <f ca="1">IFERROR(__xludf.DUMMYFUNCTION("""COMPUTED_VALUE"""),2)</f>
        <v>2</v>
      </c>
      <c r="O1988" s="8" t="str">
        <f ca="1">IFERROR(__xludf.DUMMYFUNCTION("""COMPUTED_VALUE"""),"Fall")</f>
        <v>Fall</v>
      </c>
      <c r="P1988" s="8" t="str">
        <f ca="1">IFERROR(__xludf.DUMMYFUNCTION("""COMPUTED_VALUE"""),"Lithonia")</f>
        <v>Lithonia</v>
      </c>
      <c r="Q1988" s="8" t="str">
        <f ca="1">IFERROR(__xludf.DUMMYFUNCTION("""COMPUTED_VALUE"""),"GA")</f>
        <v>GA</v>
      </c>
      <c r="R1988" s="8" t="str">
        <f ca="1">IFERROR(__xludf.DUMMYFUNCTION("""COMPUTED_VALUE"""),"High")</f>
        <v>High</v>
      </c>
      <c r="S1988" s="8" t="str">
        <f ca="1">IFERROR(__xludf.DUMMYFUNCTION("""COMPUTED_VALUE"""),"Parking Lot")</f>
        <v>Parking Lot</v>
      </c>
      <c r="T1988" s="8" t="str">
        <f ca="1">IFERROR(__xludf.DUMMYFUNCTION("""COMPUTED_VALUE"""),"Outside on School Property")</f>
        <v>Outside on School Property</v>
      </c>
      <c r="U1988" s="8" t="str">
        <f ca="1">IFERROR(__xludf.DUMMYFUNCTION("""COMPUTED_VALUE"""),"No")</f>
        <v>No</v>
      </c>
      <c r="V1988" s="8" t="str">
        <f ca="1">IFERROR(__xludf.DUMMYFUNCTION("""COMPUTED_VALUE"""),"Not a School Day")</f>
        <v>Not a School Day</v>
      </c>
      <c r="W1988" s="8"/>
      <c r="X1988" s="8">
        <f ca="1">IFERROR(__xludf.DUMMYFUNCTION("""COMPUTED_VALUE"""),1)</f>
        <v>1</v>
      </c>
      <c r="Y1988" s="12" t="str">
        <f ca="1">IFERROR(__xludf.DUMMYFUNCTION("""COMPUTED_VALUE"""),"Fight between rival football teams")</f>
        <v>Fight between rival football teams</v>
      </c>
      <c r="Z1988" s="12" t="str">
        <f ca="1">IFERROR(__xludf.DUMMYFUNCTION("""COMPUTED_VALUE"""),"The victim (a football player) was at the school for a team meeting to view video from Friday night’s game when a fight broke out in the parking lot with teenagers that are students of the school. The victim was shot in the abdomen. Allegedly, the victim "&amp;"was a bystander and did not participate in the fight. The suspects left in a car, some of them were later arrested.")</f>
        <v>The victim (a football player) was at the school for a team meeting to view video from Friday night’s game when a fight broke out in the parking lot with teenagers that are students of the school. The victim was shot in the abdomen. Allegedly, the victim was a bystander and did not participate in the fight. The suspects left in a car, some of them were later arrested.</v>
      </c>
      <c r="AA1988" s="8" t="str">
        <f ca="1">IFERROR(__xludf.DUMMYFUNCTION("""COMPUTED_VALUE"""),"Escalation of Dispute")</f>
        <v>Escalation of Dispute</v>
      </c>
      <c r="AB1988" s="8"/>
      <c r="AC1988" s="8" t="str">
        <f ca="1">IFERROR(__xludf.DUMMYFUNCTION("""COMPUTED_VALUE"""),"Yes")</f>
        <v>Yes</v>
      </c>
      <c r="AD1988" s="8" t="str">
        <f ca="1">IFERROR(__xludf.DUMMYFUNCTION("""COMPUTED_VALUE"""),"Random Shooting")</f>
        <v>Random Shooting</v>
      </c>
      <c r="AE1988" s="8" t="str">
        <f ca="1">IFERROR(__xludf.DUMMYFUNCTION("""COMPUTED_VALUE"""),"Yes")</f>
        <v>Yes</v>
      </c>
      <c r="AF1988" s="8" t="str">
        <f ca="1">IFERROR(__xludf.DUMMYFUNCTION("""COMPUTED_VALUE"""),"A group of rival students")</f>
        <v>A group of rival students</v>
      </c>
      <c r="AG1988" s="8" t="str">
        <f ca="1">IFERROR(__xludf.DUMMYFUNCTION("""COMPUTED_VALUE"""),"No")</f>
        <v>No</v>
      </c>
      <c r="AH1988" s="8" t="str">
        <f ca="1">IFERROR(__xludf.DUMMYFUNCTION("""COMPUTED_VALUE"""),"No")</f>
        <v>No</v>
      </c>
      <c r="AI1988" s="8" t="str">
        <f ca="1">IFERROR(__xludf.DUMMYFUNCTION("""COMPUTED_VALUE"""),"No")</f>
        <v>No</v>
      </c>
      <c r="AJ1988" s="8" t="str">
        <f ca="1">IFERROR(__xludf.DUMMYFUNCTION("""COMPUTED_VALUE"""),"No")</f>
        <v>No</v>
      </c>
      <c r="AK1988" s="8" t="str">
        <f ca="1">IFERROR(__xludf.DUMMYFUNCTION("""COMPUTED_VALUE"""),"No")</f>
        <v>No</v>
      </c>
      <c r="AL1988" s="8" t="str">
        <f ca="1">IFERROR(__xludf.DUMMYFUNCTION("""COMPUTED_VALUE"""),"No")</f>
        <v>No</v>
      </c>
      <c r="AM1988" s="8"/>
      <c r="AN1988" s="8"/>
      <c r="AO1988" s="8" t="str">
        <f ca="1">IFERROR(__xludf.DUMMYFUNCTION("""COMPUTED_VALUE"""),"No")</f>
        <v>No</v>
      </c>
      <c r="AP1988" s="8" t="str">
        <f ca="1">IFERROR(__xludf.DUMMYFUNCTION("""COMPUTED_VALUE"""),"N/A")</f>
        <v>N/A</v>
      </c>
      <c r="AQ1988" s="8" t="str">
        <f ca="1">IFERROR(__xludf.DUMMYFUNCTION("""COMPUTED_VALUE"""),"Unknown")</f>
        <v>Unknown</v>
      </c>
      <c r="AR1988" s="8" t="str">
        <f ca="1">IFERROR(__xludf.DUMMYFUNCTION("""COMPUTED_VALUE"""),"NA")</f>
        <v>NA</v>
      </c>
      <c r="AS1988" s="8">
        <f ca="1">IFERROR(__xludf.DUMMYFUNCTION("""COMPUTED_VALUE"""),1)</f>
        <v>1</v>
      </c>
      <c r="AT1988" s="8" t="str">
        <f ca="1">IFERROR(__xludf.DUMMYFUNCTION("""COMPUTED_VALUE"""),"N/A")</f>
        <v>N/A</v>
      </c>
      <c r="AU1988" s="8">
        <f ca="1">IFERROR(__xludf.DUMMYFUNCTION("""COMPUTED_VALUE"""),33.775452)</f>
        <v>33.775452000000001</v>
      </c>
      <c r="AV1988" s="8">
        <f ca="1">IFERROR(__xludf.DUMMYFUNCTION("""COMPUTED_VALUE"""),-84.121158)</f>
        <v>-84.121157999999994</v>
      </c>
      <c r="AW1988" s="8"/>
      <c r="AX1988" s="8">
        <f ca="1">IFERROR(__xludf.DUMMYFUNCTION("""COMPUTED_VALUE"""),30087)</f>
        <v>30087</v>
      </c>
    </row>
    <row r="1989" spans="1:50" ht="45" x14ac:dyDescent="0.2">
      <c r="A1989" s="8" t="str">
        <f ca="1">IFERROR(__xludf.DUMMYFUNCTION("""COMPUTED_VALUE"""),"20131101IAALA")</f>
        <v>20131101IAALA</v>
      </c>
      <c r="B1989" s="8">
        <f ca="1">IFERROR(__xludf.DUMMYFUNCTION("""COMPUTED_VALUE"""),11)</f>
        <v>11</v>
      </c>
      <c r="C1989" s="8">
        <f ca="1">IFERROR(__xludf.DUMMYFUNCTION("""COMPUTED_VALUE"""),1)</f>
        <v>1</v>
      </c>
      <c r="D1989" s="8">
        <f ca="1">IFERROR(__xludf.DUMMYFUNCTION("""COMPUTED_VALUE"""),2013)</f>
        <v>2013</v>
      </c>
      <c r="E1989" s="9">
        <f ca="1">IFERROR(__xludf.DUMMYFUNCTION("""COMPUTED_VALUE"""),41579)</f>
        <v>41579</v>
      </c>
      <c r="F1989" s="8" t="str">
        <f ca="1">IFERROR(__xludf.DUMMYFUNCTION("""COMPUTED_VALUE"""),"Algona High School")</f>
        <v>Algona High School</v>
      </c>
      <c r="G1989" s="8">
        <f ca="1">IFERROR(__xludf.DUMMYFUNCTION("""COMPUTED_VALUE"""),0)</f>
        <v>0</v>
      </c>
      <c r="H1989" s="8">
        <f ca="1">IFERROR(__xludf.DUMMYFUNCTION("""COMPUTED_VALUE"""),0)</f>
        <v>0</v>
      </c>
      <c r="I1989" s="8">
        <f ca="1">IFERROR(__xludf.DUMMYFUNCTION("""COMPUTED_VALUE"""),0)</f>
        <v>0</v>
      </c>
      <c r="J1989" s="8">
        <f ca="1">IFERROR(__xludf.DUMMYFUNCTION("""COMPUTED_VALUE"""),1)</f>
        <v>1</v>
      </c>
      <c r="K1989" s="10" t="str">
        <f ca="1">IFERROR(__xludf.DUMMYFUNCTION("""COMPUTED_VALUE"""),"https://whotv.com/2013/11/01/schools-closed-body-found-at-algona-school/")</f>
        <v>https://whotv.com/2013/11/01/schools-closed-body-found-at-algona-school/</v>
      </c>
      <c r="L1989" s="8">
        <f ca="1">IFERROR(__xludf.DUMMYFUNCTION("""COMPUTED_VALUE"""),1)</f>
        <v>1</v>
      </c>
      <c r="M1989" s="8" t="str">
        <f ca="1">IFERROR(__xludf.DUMMYFUNCTION("""COMPUTED_VALUE"""),"Local")</f>
        <v>Local</v>
      </c>
      <c r="N1989" s="8">
        <f ca="1">IFERROR(__xludf.DUMMYFUNCTION("""COMPUTED_VALUE"""),2)</f>
        <v>2</v>
      </c>
      <c r="O1989" s="8" t="str">
        <f ca="1">IFERROR(__xludf.DUMMYFUNCTION("""COMPUTED_VALUE"""),"Fall")</f>
        <v>Fall</v>
      </c>
      <c r="P1989" s="8" t="str">
        <f ca="1">IFERROR(__xludf.DUMMYFUNCTION("""COMPUTED_VALUE"""),"Algona")</f>
        <v>Algona</v>
      </c>
      <c r="Q1989" s="8" t="str">
        <f ca="1">IFERROR(__xludf.DUMMYFUNCTION("""COMPUTED_VALUE"""),"IA")</f>
        <v>IA</v>
      </c>
      <c r="R1989" s="8" t="str">
        <f ca="1">IFERROR(__xludf.DUMMYFUNCTION("""COMPUTED_VALUE"""),"High")</f>
        <v>High</v>
      </c>
      <c r="S1989" s="8" t="str">
        <f ca="1">IFERROR(__xludf.DUMMYFUNCTION("""COMPUTED_VALUE"""),"Field (General)")</f>
        <v>Field (General)</v>
      </c>
      <c r="T1989" s="8" t="str">
        <f ca="1">IFERROR(__xludf.DUMMYFUNCTION("""COMPUTED_VALUE"""),"Outside on School Property")</f>
        <v>Outside on School Property</v>
      </c>
      <c r="U1989" s="8" t="str">
        <f ca="1">IFERROR(__xludf.DUMMYFUNCTION("""COMPUTED_VALUE"""),"No")</f>
        <v>No</v>
      </c>
      <c r="V1989" s="8" t="str">
        <f ca="1">IFERROR(__xludf.DUMMYFUNCTION("""COMPUTED_VALUE"""),"Night")</f>
        <v>Night</v>
      </c>
      <c r="W1989" s="11">
        <f ca="1">IFERROR(__xludf.DUMMYFUNCTION("""COMPUTED_VALUE"""),0.0555555555555555)</f>
        <v>5.5555555555555497E-2</v>
      </c>
      <c r="X1989" s="8">
        <f ca="1">IFERROR(__xludf.DUMMYFUNCTION("""COMPUTED_VALUE"""),1)</f>
        <v>1</v>
      </c>
      <c r="Y1989" s="12" t="str">
        <f ca="1">IFERROR(__xludf.DUMMYFUNCTION("""COMPUTED_VALUE"""),"Suicide on school property")</f>
        <v>Suicide on school property</v>
      </c>
      <c r="Z1989" s="12" t="str">
        <f ca="1">IFERROR(__xludf.DUMMYFUNCTION("""COMPUTED_VALUE"""),"Shooter died of a self inflicted gunshot wound - was former marine and former graduate of school where he shot himself.")</f>
        <v>Shooter died of a self inflicted gunshot wound - was former marine and former graduate of school where he shot himself.</v>
      </c>
      <c r="AA1989" s="8" t="str">
        <f ca="1">IFERROR(__xludf.DUMMYFUNCTION("""COMPUTED_VALUE"""),"Suicide/Attempted")</f>
        <v>Suicide/Attempted</v>
      </c>
      <c r="AB1989" s="8"/>
      <c r="AC1989" s="8" t="str">
        <f ca="1">IFERROR(__xludf.DUMMYFUNCTION("""COMPUTED_VALUE"""),"No")</f>
        <v>No</v>
      </c>
      <c r="AD1989" s="8" t="str">
        <f ca="1">IFERROR(__xludf.DUMMYFUNCTION("""COMPUTED_VALUE"""),"Victims Targeted")</f>
        <v>Victims Targeted</v>
      </c>
      <c r="AE1989" s="8" t="str">
        <f ca="1">IFERROR(__xludf.DUMMYFUNCTION("""COMPUTED_VALUE"""),"No")</f>
        <v>No</v>
      </c>
      <c r="AF1989" s="8"/>
      <c r="AG1989" s="8" t="str">
        <f ca="1">IFERROR(__xludf.DUMMYFUNCTION("""COMPUTED_VALUE"""),"No")</f>
        <v>No</v>
      </c>
      <c r="AH1989" s="8" t="str">
        <f ca="1">IFERROR(__xludf.DUMMYFUNCTION("""COMPUTED_VALUE"""),"No")</f>
        <v>No</v>
      </c>
      <c r="AI1989" s="8" t="str">
        <f ca="1">IFERROR(__xludf.DUMMYFUNCTION("""COMPUTED_VALUE"""),"No")</f>
        <v>No</v>
      </c>
      <c r="AJ1989" s="8" t="str">
        <f ca="1">IFERROR(__xludf.DUMMYFUNCTION("""COMPUTED_VALUE"""),"No")</f>
        <v>No</v>
      </c>
      <c r="AK1989" s="8" t="str">
        <f ca="1">IFERROR(__xludf.DUMMYFUNCTION("""COMPUTED_VALUE"""),"No")</f>
        <v>No</v>
      </c>
      <c r="AL1989" s="8" t="str">
        <f ca="1">IFERROR(__xludf.DUMMYFUNCTION("""COMPUTED_VALUE"""),"No")</f>
        <v>No</v>
      </c>
      <c r="AM1989" s="8"/>
      <c r="AN1989" s="8"/>
      <c r="AO1989" s="8" t="str">
        <f ca="1">IFERROR(__xludf.DUMMYFUNCTION("""COMPUTED_VALUE"""),"No")</f>
        <v>No</v>
      </c>
      <c r="AP1989" s="8" t="str">
        <f ca="1">IFERROR(__xludf.DUMMYFUNCTION("""COMPUTED_VALUE"""),"N/A")</f>
        <v>N/A</v>
      </c>
      <c r="AQ1989" s="8" t="str">
        <f ca="1">IFERROR(__xludf.DUMMYFUNCTION("""COMPUTED_VALUE"""),"Unknown")</f>
        <v>Unknown</v>
      </c>
      <c r="AR1989" s="8" t="str">
        <f ca="1">IFERROR(__xludf.DUMMYFUNCTION("""COMPUTED_VALUE"""),"NA")</f>
        <v>NA</v>
      </c>
      <c r="AS1989" s="8">
        <f ca="1">IFERROR(__xludf.DUMMYFUNCTION("""COMPUTED_VALUE"""),1)</f>
        <v>1</v>
      </c>
      <c r="AT1989" s="8" t="str">
        <f ca="1">IFERROR(__xludf.DUMMYFUNCTION("""COMPUTED_VALUE"""),"N/A")</f>
        <v>N/A</v>
      </c>
      <c r="AU1989" s="8">
        <f ca="1">IFERROR(__xludf.DUMMYFUNCTION("""COMPUTED_VALUE"""),43.063609)</f>
        <v>43.063609</v>
      </c>
      <c r="AV1989" s="8">
        <f ca="1">IFERROR(__xludf.DUMMYFUNCTION("""COMPUTED_VALUE"""),-94.222759)</f>
        <v>-94.222758999999996</v>
      </c>
      <c r="AW1989" s="8"/>
      <c r="AX1989" s="8">
        <f ca="1">IFERROR(__xludf.DUMMYFUNCTION("""COMPUTED_VALUE"""),50511)</f>
        <v>50511</v>
      </c>
    </row>
    <row r="1990" spans="1:50" ht="75" x14ac:dyDescent="0.2">
      <c r="A1990" s="8" t="str">
        <f ca="1">IFERROR(__xludf.DUMMYFUNCTION("""COMPUTED_VALUE"""),"20131023CANEC")</f>
        <v>20131023CANEC</v>
      </c>
      <c r="B1990" s="8">
        <f ca="1">IFERROR(__xludf.DUMMYFUNCTION("""COMPUTED_VALUE"""),10)</f>
        <v>10</v>
      </c>
      <c r="C1990" s="8">
        <f ca="1">IFERROR(__xludf.DUMMYFUNCTION("""COMPUTED_VALUE"""),23)</f>
        <v>23</v>
      </c>
      <c r="D1990" s="8">
        <f ca="1">IFERROR(__xludf.DUMMYFUNCTION("""COMPUTED_VALUE"""),2013)</f>
        <v>2013</v>
      </c>
      <c r="E1990" s="9">
        <f ca="1">IFERROR(__xludf.DUMMYFUNCTION("""COMPUTED_VALUE"""),41570)</f>
        <v>41570</v>
      </c>
      <c r="F1990" s="8" t="str">
        <f ca="1">IFERROR(__xludf.DUMMYFUNCTION("""COMPUTED_VALUE"""),"Newman Elementary School")</f>
        <v>Newman Elementary School</v>
      </c>
      <c r="G1990" s="8">
        <f ca="1">IFERROR(__xludf.DUMMYFUNCTION("""COMPUTED_VALUE"""),0)</f>
        <v>0</v>
      </c>
      <c r="H1990" s="8">
        <f ca="1">IFERROR(__xludf.DUMMYFUNCTION("""COMPUTED_VALUE"""),3)</f>
        <v>3</v>
      </c>
      <c r="I1990" s="8">
        <f ca="1">IFERROR(__xludf.DUMMYFUNCTION("""COMPUTED_VALUE"""),3)</f>
        <v>3</v>
      </c>
      <c r="J1990" s="8">
        <f ca="1">IFERROR(__xludf.DUMMYFUNCTION("""COMPUTED_VALUE"""),0)</f>
        <v>0</v>
      </c>
      <c r="K1990" s="10" t="str">
        <f ca="1">IFERROR(__xludf.DUMMYFUNCTION("""COMPUTED_VALUE"""),"https://www.nbclosangeles.com/news/local/Chino-Newman-Elementary-School-Safety-Demonstration-Weapon-Gun-Misfires-Injures-228984301.html")</f>
        <v>https://www.nbclosangeles.com/news/local/Chino-Newman-Elementary-School-Safety-Demonstration-Weapon-Gun-Misfires-Injures-228984301.html</v>
      </c>
      <c r="L1990" s="8">
        <f ca="1">IFERROR(__xludf.DUMMYFUNCTION("""COMPUTED_VALUE"""),1)</f>
        <v>1</v>
      </c>
      <c r="M1990" s="8" t="str">
        <f ca="1">IFERROR(__xludf.DUMMYFUNCTION("""COMPUTED_VALUE"""),"Local")</f>
        <v>Local</v>
      </c>
      <c r="N1990" s="8">
        <f ca="1">IFERROR(__xludf.DUMMYFUNCTION("""COMPUTED_VALUE"""),2)</f>
        <v>2</v>
      </c>
      <c r="O1990" s="8" t="str">
        <f ca="1">IFERROR(__xludf.DUMMYFUNCTION("""COMPUTED_VALUE"""),"Fall")</f>
        <v>Fall</v>
      </c>
      <c r="P1990" s="8" t="str">
        <f ca="1">IFERROR(__xludf.DUMMYFUNCTION("""COMPUTED_VALUE"""),"Chino")</f>
        <v>Chino</v>
      </c>
      <c r="Q1990" s="8" t="str">
        <f ca="1">IFERROR(__xludf.DUMMYFUNCTION("""COMPUTED_VALUE"""),"CA")</f>
        <v>CA</v>
      </c>
      <c r="R1990" s="8" t="str">
        <f ca="1">IFERROR(__xludf.DUMMYFUNCTION("""COMPUTED_VALUE"""),"Elementary")</f>
        <v>Elementary</v>
      </c>
      <c r="S1990" s="8" t="str">
        <f ca="1">IFERROR(__xludf.DUMMYFUNCTION("""COMPUTED_VALUE"""),"Front of School")</f>
        <v>Front of School</v>
      </c>
      <c r="T1990" s="8" t="str">
        <f ca="1">IFERROR(__xludf.DUMMYFUNCTION("""COMPUTED_VALUE"""),"Outside on School Property")</f>
        <v>Outside on School Property</v>
      </c>
      <c r="U1990" s="8" t="str">
        <f ca="1">IFERROR(__xludf.DUMMYFUNCTION("""COMPUTED_VALUE"""),"Yes")</f>
        <v>Yes</v>
      </c>
      <c r="V1990" s="8" t="str">
        <f ca="1">IFERROR(__xludf.DUMMYFUNCTION("""COMPUTED_VALUE"""),"Morning Classes")</f>
        <v>Morning Classes</v>
      </c>
      <c r="W1990" s="11">
        <f ca="1">IFERROR(__xludf.DUMMYFUNCTION("""COMPUTED_VALUE"""),0.468055555555555)</f>
        <v>0.468055555555555</v>
      </c>
      <c r="X1990" s="8">
        <f ca="1">IFERROR(__xludf.DUMMYFUNCTION("""COMPUTED_VALUE"""),1)</f>
        <v>1</v>
      </c>
      <c r="Y1990" s="12" t="str">
        <f ca="1">IFERROR(__xludf.DUMMYFUNCTION("""COMPUTED_VALUE"""),"Accidental discharge during safety presentation")</f>
        <v>Accidental discharge during safety presentation</v>
      </c>
      <c r="Z1990" s="12" t="str">
        <f ca="1">IFERROR(__xludf.DUMMYFUNCTION("""COMPUTED_VALUE"""),"During a safety presentation, a child pulled the trigger on an AR-15 that was mounted on a police officer's motorcycle, the weapon was never removed. The officers were playing with the kids and were not attending to their weapons.Three students were injur"&amp;"ed by shrapnels.")</f>
        <v>During a safety presentation, a child pulled the trigger on an AR-15 that was mounted on a police officer's motorcycle, the weapon was never removed. The officers were playing with the kids and were not attending to their weapons.Three students were injured by shrapnels.</v>
      </c>
      <c r="AA1990" s="8" t="str">
        <f ca="1">IFERROR(__xludf.DUMMYFUNCTION("""COMPUTED_VALUE"""),"Accidental")</f>
        <v>Accidental</v>
      </c>
      <c r="AB1990" s="8"/>
      <c r="AC1990" s="8" t="str">
        <f ca="1">IFERROR(__xludf.DUMMYFUNCTION("""COMPUTED_VALUE"""),"Yes")</f>
        <v>Yes</v>
      </c>
      <c r="AD1990" s="8" t="str">
        <f ca="1">IFERROR(__xludf.DUMMYFUNCTION("""COMPUTED_VALUE"""),"Random Shooting")</f>
        <v>Random Shooting</v>
      </c>
      <c r="AE1990" s="8" t="str">
        <f ca="1">IFERROR(__xludf.DUMMYFUNCTION("""COMPUTED_VALUE"""),"No")</f>
        <v>No</v>
      </c>
      <c r="AF1990" s="8"/>
      <c r="AG1990" s="8" t="str">
        <f ca="1">IFERROR(__xludf.DUMMYFUNCTION("""COMPUTED_VALUE"""),"No")</f>
        <v>No</v>
      </c>
      <c r="AH1990" s="8" t="str">
        <f ca="1">IFERROR(__xludf.DUMMYFUNCTION("""COMPUTED_VALUE"""),"No")</f>
        <v>No</v>
      </c>
      <c r="AI1990" s="8" t="str">
        <f ca="1">IFERROR(__xludf.DUMMYFUNCTION("""COMPUTED_VALUE"""),"No")</f>
        <v>No</v>
      </c>
      <c r="AJ1990" s="8" t="str">
        <f ca="1">IFERROR(__xludf.DUMMYFUNCTION("""COMPUTED_VALUE"""),"No")</f>
        <v>No</v>
      </c>
      <c r="AK1990" s="8" t="str">
        <f ca="1">IFERROR(__xludf.DUMMYFUNCTION("""COMPUTED_VALUE"""),"No")</f>
        <v>No</v>
      </c>
      <c r="AL1990" s="8" t="str">
        <f ca="1">IFERROR(__xludf.DUMMYFUNCTION("""COMPUTED_VALUE"""),"No")</f>
        <v>No</v>
      </c>
      <c r="AM1990" s="8"/>
      <c r="AN1990" s="8"/>
      <c r="AO1990" s="8" t="str">
        <f ca="1">IFERROR(__xludf.DUMMYFUNCTION("""COMPUTED_VALUE"""),"No")</f>
        <v>No</v>
      </c>
      <c r="AP1990" s="8" t="str">
        <f ca="1">IFERROR(__xludf.DUMMYFUNCTION("""COMPUTED_VALUE"""),"No")</f>
        <v>No</v>
      </c>
      <c r="AQ1990" s="8" t="str">
        <f ca="1">IFERROR(__xludf.DUMMYFUNCTION("""COMPUTED_VALUE"""),"Unknown")</f>
        <v>Unknown</v>
      </c>
      <c r="AR1990" s="8" t="str">
        <f ca="1">IFERROR(__xludf.DUMMYFUNCTION("""COMPUTED_VALUE"""),"NA")</f>
        <v>NA</v>
      </c>
      <c r="AS1990" s="8">
        <f ca="1">IFERROR(__xludf.DUMMYFUNCTION("""COMPUTED_VALUE"""),1)</f>
        <v>1</v>
      </c>
      <c r="AT1990" s="8" t="str">
        <f ca="1">IFERROR(__xludf.DUMMYFUNCTION("""COMPUTED_VALUE"""),"No")</f>
        <v>No</v>
      </c>
      <c r="AU1990" s="8">
        <f ca="1">IFERROR(__xludf.DUMMYFUNCTION("""COMPUTED_VALUE"""),34.0271)</f>
        <v>34.027099999999997</v>
      </c>
      <c r="AV1990" s="8">
        <f ca="1">IFERROR(__xludf.DUMMYFUNCTION("""COMPUTED_VALUE"""),-117.7144)</f>
        <v>-117.7144</v>
      </c>
      <c r="AW1990" s="8"/>
      <c r="AX1990" s="8">
        <f ca="1">IFERROR(__xludf.DUMMYFUNCTION("""COMPUTED_VALUE"""),91710)</f>
        <v>91710</v>
      </c>
    </row>
    <row r="1991" spans="1:50" ht="195" x14ac:dyDescent="0.2">
      <c r="A1991" s="8" t="str">
        <f ca="1">IFERROR(__xludf.DUMMYFUNCTION("""COMPUTED_VALUE"""),"20131021NVSPS")</f>
        <v>20131021NVSPS</v>
      </c>
      <c r="B1991" s="8">
        <f ca="1">IFERROR(__xludf.DUMMYFUNCTION("""COMPUTED_VALUE"""),10)</f>
        <v>10</v>
      </c>
      <c r="C1991" s="8">
        <f ca="1">IFERROR(__xludf.DUMMYFUNCTION("""COMPUTED_VALUE"""),21)</f>
        <v>21</v>
      </c>
      <c r="D1991" s="8">
        <f ca="1">IFERROR(__xludf.DUMMYFUNCTION("""COMPUTED_VALUE"""),2013)</f>
        <v>2013</v>
      </c>
      <c r="E1991" s="9">
        <f ca="1">IFERROR(__xludf.DUMMYFUNCTION("""COMPUTED_VALUE"""),41568)</f>
        <v>41568</v>
      </c>
      <c r="F1991" s="8" t="str">
        <f ca="1">IFERROR(__xludf.DUMMYFUNCTION("""COMPUTED_VALUE"""),"Sparks Middle School")</f>
        <v>Sparks Middle School</v>
      </c>
      <c r="G1991" s="8">
        <f ca="1">IFERROR(__xludf.DUMMYFUNCTION("""COMPUTED_VALUE"""),1)</f>
        <v>1</v>
      </c>
      <c r="H1991" s="8">
        <f ca="1">IFERROR(__xludf.DUMMYFUNCTION("""COMPUTED_VALUE"""),2)</f>
        <v>2</v>
      </c>
      <c r="I1991" s="8">
        <f ca="1">IFERROR(__xludf.DUMMYFUNCTION("""COMPUTED_VALUE"""),3)</f>
        <v>3</v>
      </c>
      <c r="J1991" s="8">
        <f ca="1">IFERROR(__xludf.DUMMYFUNCTION("""COMPUTED_VALUE"""),1)</f>
        <v>1</v>
      </c>
      <c r="K1991" s="8" t="str">
        <f ca="1">IFERROR(__xludf.DUMMYFUNCTION("""COMPUTED_VALUE"""),"https://www.rgj.com/story/news/crime/2014/05/13/sparks-middle-school-shooting-report/9050153/ https://www.fbi.gov/file-repository/active-shooter-incidents-2000-2017.pdf")</f>
        <v>https://www.rgj.com/story/news/crime/2014/05/13/sparks-middle-school-shooting-report/9050153/ https://www.fbi.gov/file-repository/active-shooter-incidents-2000-2017.pdf</v>
      </c>
      <c r="L1991" s="8">
        <f ca="1">IFERROR(__xludf.DUMMYFUNCTION("""COMPUTED_VALUE"""),11)</f>
        <v>11</v>
      </c>
      <c r="M1991" s="8" t="str">
        <f ca="1">IFERROR(__xludf.DUMMYFUNCTION("""COMPUTED_VALUE"""),"National")</f>
        <v>National</v>
      </c>
      <c r="N1991" s="8">
        <f ca="1">IFERROR(__xludf.DUMMYFUNCTION("""COMPUTED_VALUE"""),5)</f>
        <v>5</v>
      </c>
      <c r="O1991" s="8" t="str">
        <f ca="1">IFERROR(__xludf.DUMMYFUNCTION("""COMPUTED_VALUE"""),"Fall")</f>
        <v>Fall</v>
      </c>
      <c r="P1991" s="8" t="str">
        <f ca="1">IFERROR(__xludf.DUMMYFUNCTION("""COMPUTED_VALUE"""),"Sparks")</f>
        <v>Sparks</v>
      </c>
      <c r="Q1991" s="8" t="str">
        <f ca="1">IFERROR(__xludf.DUMMYFUNCTION("""COMPUTED_VALUE"""),"NV")</f>
        <v>NV</v>
      </c>
      <c r="R1991" s="8" t="str">
        <f ca="1">IFERROR(__xludf.DUMMYFUNCTION("""COMPUTED_VALUE"""),"Middle")</f>
        <v>Middle</v>
      </c>
      <c r="S1991" s="8" t="str">
        <f ca="1">IFERROR(__xludf.DUMMYFUNCTION("""COMPUTED_VALUE"""),"Beside Building")</f>
        <v>Beside Building</v>
      </c>
      <c r="T1991" s="8" t="str">
        <f ca="1">IFERROR(__xludf.DUMMYFUNCTION("""COMPUTED_VALUE"""),"Outside on School Property")</f>
        <v>Outside on School Property</v>
      </c>
      <c r="U1991" s="8" t="str">
        <f ca="1">IFERROR(__xludf.DUMMYFUNCTION("""COMPUTED_VALUE"""),"Yes")</f>
        <v>Yes</v>
      </c>
      <c r="V1991" s="8" t="str">
        <f ca="1">IFERROR(__xludf.DUMMYFUNCTION("""COMPUTED_VALUE"""),"Before School")</f>
        <v>Before School</v>
      </c>
      <c r="W1991" s="11">
        <f ca="1">IFERROR(__xludf.DUMMYFUNCTION("""COMPUTED_VALUE"""),0.302083333333333)</f>
        <v>0.30208333333333298</v>
      </c>
      <c r="X1991" s="8">
        <f ca="1">IFERROR(__xludf.DUMMYFUNCTION("""COMPUTED_VALUE"""),3)</f>
        <v>3</v>
      </c>
      <c r="Y1991" s="12" t="str">
        <f ca="1">IFERROR(__xludf.DUMMYFUNCTION("""COMPUTED_VALUE"""),"Planned attack following bullying")</f>
        <v>Planned attack following bullying</v>
      </c>
      <c r="Z1991" s="12" t="str">
        <f ca="1">IFERROR(__xludf.DUMMYFUNCTION("""COMPUTED_VALUE"""),"Shooter pulled handgun out of backpack outside of school before the doors opened. Fired at a friend who walked toward him. Killed a teacher who rushed at him. Fired striking one other student before committing suicide. Attempted to take his BB gun to scho"&amp;"ol the day of the shooting but parent would not let him. Student who was shot said they were friends. Shooter was made fun of for speech impediment and spilling water on his pants. Some reports of bullying. Shooter was revely put on medication, had differ"&amp;"ent mental issues and visited therapists; had unstable personality. While shooting, allegedly said they were ruining his life so he would ruin theirs. Shooter googled violence-related words and played violent games.")</f>
        <v>Shooter pulled handgun out of backpack outside of school before the doors opened. Fired at a friend who walked toward him. Killed a teacher who rushed at him. Fired striking one other student before committing suicide. Attempted to take his BB gun to school the day of the shooting but parent would not let him. Student who was shot said they were friends. Shooter was made fun of for speech impediment and spilling water on his pants. Some reports of bullying. Shooter was revely put on medication, had different mental issues and visited therapists; had unstable personality. While shooting, allegedly said they were ruining his life so he would ruin theirs. Shooter googled violence-related words and played violent games.</v>
      </c>
      <c r="AA1991" s="8" t="str">
        <f ca="1">IFERROR(__xludf.DUMMYFUNCTION("""COMPUTED_VALUE"""),"Indiscriminate Shooting")</f>
        <v>Indiscriminate Shooting</v>
      </c>
      <c r="AB1991" s="8"/>
      <c r="AC1991" s="8" t="str">
        <f ca="1">IFERROR(__xludf.DUMMYFUNCTION("""COMPUTED_VALUE"""),"Yes")</f>
        <v>Yes</v>
      </c>
      <c r="AD1991" s="8" t="str">
        <f ca="1">IFERROR(__xludf.DUMMYFUNCTION("""COMPUTED_VALUE"""),"Both")</f>
        <v>Both</v>
      </c>
      <c r="AE1991" s="8" t="str">
        <f ca="1">IFERROR(__xludf.DUMMYFUNCTION("""COMPUTED_VALUE"""),"No")</f>
        <v>No</v>
      </c>
      <c r="AF1991" s="8"/>
      <c r="AG1991" s="8" t="str">
        <f ca="1">IFERROR(__xludf.DUMMYFUNCTION("""COMPUTED_VALUE"""),"No")</f>
        <v>No</v>
      </c>
      <c r="AH1991" s="8" t="str">
        <f ca="1">IFERROR(__xludf.DUMMYFUNCTION("""COMPUTED_VALUE"""),"No")</f>
        <v>No</v>
      </c>
      <c r="AI1991" s="8" t="str">
        <f ca="1">IFERROR(__xludf.DUMMYFUNCTION("""COMPUTED_VALUE"""),"No")</f>
        <v>No</v>
      </c>
      <c r="AJ1991" s="8" t="str">
        <f ca="1">IFERROR(__xludf.DUMMYFUNCTION("""COMPUTED_VALUE"""),"Yes")</f>
        <v>Yes</v>
      </c>
      <c r="AK1991" s="8" t="str">
        <f ca="1">IFERROR(__xludf.DUMMYFUNCTION("""COMPUTED_VALUE"""),"No")</f>
        <v>No</v>
      </c>
      <c r="AL1991" s="8" t="str">
        <f ca="1">IFERROR(__xludf.DUMMYFUNCTION("""COMPUTED_VALUE"""),"No")</f>
        <v>No</v>
      </c>
      <c r="AM1991" s="8" t="str">
        <f ca="1">IFERROR(__xludf.DUMMYFUNCTION("""COMPUTED_VALUE"""),"Yes")</f>
        <v>Yes</v>
      </c>
      <c r="AN1991" s="8" t="str">
        <f ca="1">IFERROR(__xludf.DUMMYFUNCTION("""COMPUTED_VALUE"""),"Single Room")</f>
        <v>Single Room</v>
      </c>
      <c r="AO1991" s="8" t="str">
        <f ca="1">IFERROR(__xludf.DUMMYFUNCTION("""COMPUTED_VALUE"""),"Yes")</f>
        <v>Yes</v>
      </c>
      <c r="AP1991" s="8" t="str">
        <f ca="1">IFERROR(__xludf.DUMMYFUNCTION("""COMPUTED_VALUE"""),"No")</f>
        <v>No</v>
      </c>
      <c r="AQ1991" s="8" t="str">
        <f ca="1">IFERROR(__xludf.DUMMYFUNCTION("""COMPUTED_VALUE"""),"Unknown")</f>
        <v>Unknown</v>
      </c>
      <c r="AR1991" s="8" t="str">
        <f ca="1">IFERROR(__xludf.DUMMYFUNCTION("""COMPUTED_VALUE"""),"NA")</f>
        <v>NA</v>
      </c>
      <c r="AS1991" s="8">
        <f ca="1">IFERROR(__xludf.DUMMYFUNCTION("""COMPUTED_VALUE"""),4)</f>
        <v>4</v>
      </c>
      <c r="AT1991" s="8" t="str">
        <f ca="1">IFERROR(__xludf.DUMMYFUNCTION("""COMPUTED_VALUE"""),"No")</f>
        <v>No</v>
      </c>
      <c r="AU1991" s="8">
        <f ca="1">IFERROR(__xludf.DUMMYFUNCTION("""COMPUTED_VALUE"""),39.5517)</f>
        <v>39.551699999999997</v>
      </c>
      <c r="AV1991" s="8">
        <f ca="1">IFERROR(__xludf.DUMMYFUNCTION("""COMPUTED_VALUE"""),-119.7694)</f>
        <v>-119.7694</v>
      </c>
      <c r="AW1991" s="8"/>
      <c r="AX1991" s="8">
        <f ca="1">IFERROR(__xludf.DUMMYFUNCTION("""COMPUTED_VALUE"""),89431)</f>
        <v>89431</v>
      </c>
    </row>
    <row r="1992" spans="1:50" ht="60" x14ac:dyDescent="0.2">
      <c r="A1992" s="8" t="str">
        <f ca="1">IFERROR(__xludf.DUMMYFUNCTION("""COMPUTED_VALUE"""),"20131015TXLAA")</f>
        <v>20131015TXLAA</v>
      </c>
      <c r="B1992" s="8">
        <f ca="1">IFERROR(__xludf.DUMMYFUNCTION("""COMPUTED_VALUE"""),10)</f>
        <v>10</v>
      </c>
      <c r="C1992" s="8">
        <f ca="1">IFERROR(__xludf.DUMMYFUNCTION("""COMPUTED_VALUE"""),15)</f>
        <v>15</v>
      </c>
      <c r="D1992" s="8">
        <f ca="1">IFERROR(__xludf.DUMMYFUNCTION("""COMPUTED_VALUE"""),2013)</f>
        <v>2013</v>
      </c>
      <c r="E1992" s="9">
        <f ca="1">IFERROR(__xludf.DUMMYFUNCTION("""COMPUTED_VALUE"""),41562)</f>
        <v>41562</v>
      </c>
      <c r="F1992" s="8" t="str">
        <f ca="1">IFERROR(__xludf.DUMMYFUNCTION("""COMPUTED_VALUE"""),"Lanier High School")</f>
        <v>Lanier High School</v>
      </c>
      <c r="G1992" s="8">
        <f ca="1">IFERROR(__xludf.DUMMYFUNCTION("""COMPUTED_VALUE"""),0)</f>
        <v>0</v>
      </c>
      <c r="H1992" s="8">
        <f ca="1">IFERROR(__xludf.DUMMYFUNCTION("""COMPUTED_VALUE"""),0)</f>
        <v>0</v>
      </c>
      <c r="I1992" s="8">
        <f ca="1">IFERROR(__xludf.DUMMYFUNCTION("""COMPUTED_VALUE"""),0)</f>
        <v>0</v>
      </c>
      <c r="J1992" s="8">
        <f ca="1">IFERROR(__xludf.DUMMYFUNCTION("""COMPUTED_VALUE"""),1)</f>
        <v>1</v>
      </c>
      <c r="K1992" s="10" t="str">
        <f ca="1">IFERROR(__xludf.DUMMYFUNCTION("""COMPUTED_VALUE"""),"http://www.foxnews.com/world/2013/10/17/texas-student-kills-himself-in-front-high-school-classmates.html")</f>
        <v>http://www.foxnews.com/world/2013/10/17/texas-student-kills-himself-in-front-high-school-classmates.html</v>
      </c>
      <c r="L1992" s="8">
        <f ca="1">IFERROR(__xludf.DUMMYFUNCTION("""COMPUTED_VALUE"""),5)</f>
        <v>5</v>
      </c>
      <c r="M1992" s="8" t="str">
        <f ca="1">IFERROR(__xludf.DUMMYFUNCTION("""COMPUTED_VALUE"""),"National")</f>
        <v>National</v>
      </c>
      <c r="N1992" s="8">
        <f ca="1">IFERROR(__xludf.DUMMYFUNCTION("""COMPUTED_VALUE"""),2)</f>
        <v>2</v>
      </c>
      <c r="O1992" s="8" t="str">
        <f ca="1">IFERROR(__xludf.DUMMYFUNCTION("""COMPUTED_VALUE"""),"Fall")</f>
        <v>Fall</v>
      </c>
      <c r="P1992" s="8" t="str">
        <f ca="1">IFERROR(__xludf.DUMMYFUNCTION("""COMPUTED_VALUE"""),"Austin")</f>
        <v>Austin</v>
      </c>
      <c r="Q1992" s="8" t="str">
        <f ca="1">IFERROR(__xludf.DUMMYFUNCTION("""COMPUTED_VALUE"""),"TX")</f>
        <v>TX</v>
      </c>
      <c r="R1992" s="8" t="str">
        <f ca="1">IFERROR(__xludf.DUMMYFUNCTION("""COMPUTED_VALUE"""),"High")</f>
        <v>High</v>
      </c>
      <c r="S1992" s="8" t="str">
        <f ca="1">IFERROR(__xludf.DUMMYFUNCTION("""COMPUTED_VALUE"""),"Courtyard")</f>
        <v>Courtyard</v>
      </c>
      <c r="T1992" s="8" t="str">
        <f ca="1">IFERROR(__xludf.DUMMYFUNCTION("""COMPUTED_VALUE"""),"Outside on School Property")</f>
        <v>Outside on School Property</v>
      </c>
      <c r="U1992" s="8" t="str">
        <f ca="1">IFERROR(__xludf.DUMMYFUNCTION("""COMPUTED_VALUE"""),"Yes")</f>
        <v>Yes</v>
      </c>
      <c r="V1992" s="8" t="str">
        <f ca="1">IFERROR(__xludf.DUMMYFUNCTION("""COMPUTED_VALUE"""),"Lunch")</f>
        <v>Lunch</v>
      </c>
      <c r="W1992" s="11">
        <f ca="1">IFERROR(__xludf.DUMMYFUNCTION("""COMPUTED_VALUE"""),0.502777777777777)</f>
        <v>0.50277777777777699</v>
      </c>
      <c r="X1992" s="8">
        <f ca="1">IFERROR(__xludf.DUMMYFUNCTION("""COMPUTED_VALUE"""),1)</f>
        <v>1</v>
      </c>
      <c r="Y1992" s="12" t="str">
        <f ca="1">IFERROR(__xludf.DUMMYFUNCTION("""COMPUTED_VALUE"""),"Suicide in school courtyard")</f>
        <v>Suicide in school courtyard</v>
      </c>
      <c r="Z1992" s="12" t="str">
        <f ca="1">IFERROR(__xludf.DUMMYFUNCTION("""COMPUTED_VALUE"""),"Shooter was sitting alone in a courtyard outside the cafeteria when he pulled a handgun from his hoodie and shot himself. Shooter posted a suicide note on facebook prior to shooting and a photo with a gun.")</f>
        <v>Shooter was sitting alone in a courtyard outside the cafeteria when he pulled a handgun from his hoodie and shot himself. Shooter posted a suicide note on facebook prior to shooting and a photo with a gun.</v>
      </c>
      <c r="AA1992" s="8" t="str">
        <f ca="1">IFERROR(__xludf.DUMMYFUNCTION("""COMPUTED_VALUE"""),"Suicide/Attempted")</f>
        <v>Suicide/Attempted</v>
      </c>
      <c r="AB1992" s="8"/>
      <c r="AC1992" s="8" t="str">
        <f ca="1">IFERROR(__xludf.DUMMYFUNCTION("""COMPUTED_VALUE"""),"Yes")</f>
        <v>Yes</v>
      </c>
      <c r="AD1992" s="8" t="str">
        <f ca="1">IFERROR(__xludf.DUMMYFUNCTION("""COMPUTED_VALUE"""),"Victims Targeted")</f>
        <v>Victims Targeted</v>
      </c>
      <c r="AE1992" s="8" t="str">
        <f ca="1">IFERROR(__xludf.DUMMYFUNCTION("""COMPUTED_VALUE"""),"No")</f>
        <v>No</v>
      </c>
      <c r="AF1992" s="8"/>
      <c r="AG1992" s="8" t="str">
        <f ca="1">IFERROR(__xludf.DUMMYFUNCTION("""COMPUTED_VALUE"""),"No")</f>
        <v>No</v>
      </c>
      <c r="AH1992" s="8" t="str">
        <f ca="1">IFERROR(__xludf.DUMMYFUNCTION("""COMPUTED_VALUE"""),"No")</f>
        <v>No</v>
      </c>
      <c r="AI1992" s="8" t="str">
        <f ca="1">IFERROR(__xludf.DUMMYFUNCTION("""COMPUTED_VALUE"""),"No")</f>
        <v>No</v>
      </c>
      <c r="AJ1992" s="8" t="str">
        <f ca="1">IFERROR(__xludf.DUMMYFUNCTION("""COMPUTED_VALUE"""),"No")</f>
        <v>No</v>
      </c>
      <c r="AK1992" s="8" t="str">
        <f ca="1">IFERROR(__xludf.DUMMYFUNCTION("""COMPUTED_VALUE"""),"No")</f>
        <v>No</v>
      </c>
      <c r="AL1992" s="8" t="str">
        <f ca="1">IFERROR(__xludf.DUMMYFUNCTION("""COMPUTED_VALUE"""),"No")</f>
        <v>No</v>
      </c>
      <c r="AM1992" s="8"/>
      <c r="AN1992" s="8"/>
      <c r="AO1992" s="8" t="str">
        <f ca="1">IFERROR(__xludf.DUMMYFUNCTION("""COMPUTED_VALUE"""),"No")</f>
        <v>No</v>
      </c>
      <c r="AP1992" s="8" t="str">
        <f ca="1">IFERROR(__xludf.DUMMYFUNCTION("""COMPUTED_VALUE"""),"No")</f>
        <v>No</v>
      </c>
      <c r="AQ1992" s="8" t="str">
        <f ca="1">IFERROR(__xludf.DUMMYFUNCTION("""COMPUTED_VALUE"""),"None")</f>
        <v>None</v>
      </c>
      <c r="AR1992" s="8" t="str">
        <f ca="1">IFERROR(__xludf.DUMMYFUNCTION("""COMPUTED_VALUE"""),"NA")</f>
        <v>NA</v>
      </c>
      <c r="AS1992" s="8">
        <f ca="1">IFERROR(__xludf.DUMMYFUNCTION("""COMPUTED_VALUE"""),1)</f>
        <v>1</v>
      </c>
      <c r="AT1992" s="8" t="str">
        <f ca="1">IFERROR(__xludf.DUMMYFUNCTION("""COMPUTED_VALUE"""),"Yes")</f>
        <v>Yes</v>
      </c>
      <c r="AU1992" s="8">
        <f ca="1">IFERROR(__xludf.DUMMYFUNCTION("""COMPUTED_VALUE"""),30.3606)</f>
        <v>30.360600000000002</v>
      </c>
      <c r="AV1992" s="8">
        <f ca="1">IFERROR(__xludf.DUMMYFUNCTION("""COMPUTED_VALUE"""),-97.708)</f>
        <v>-97.707999999999998</v>
      </c>
      <c r="AW1992" s="8"/>
      <c r="AX1992" s="8">
        <f ca="1">IFERROR(__xludf.DUMMYFUNCTION("""COMPUTED_VALUE"""),78758)</f>
        <v>78758</v>
      </c>
    </row>
    <row r="1993" spans="1:50" ht="105" x14ac:dyDescent="0.2">
      <c r="A1993" s="8" t="str">
        <f ca="1">IFERROR(__xludf.DUMMYFUNCTION("""COMPUTED_VALUE"""),"20131004FLAGP")</f>
        <v>20131004FLAGP</v>
      </c>
      <c r="B1993" s="8">
        <f ca="1">IFERROR(__xludf.DUMMYFUNCTION("""COMPUTED_VALUE"""),10)</f>
        <v>10</v>
      </c>
      <c r="C1993" s="8">
        <f ca="1">IFERROR(__xludf.DUMMYFUNCTION("""COMPUTED_VALUE"""),4)</f>
        <v>4</v>
      </c>
      <c r="D1993" s="8">
        <f ca="1">IFERROR(__xludf.DUMMYFUNCTION("""COMPUTED_VALUE"""),2013)</f>
        <v>2013</v>
      </c>
      <c r="E1993" s="9">
        <f ca="1">IFERROR(__xludf.DUMMYFUNCTION("""COMPUTED_VALUE"""),41551)</f>
        <v>41551</v>
      </c>
      <c r="F1993" s="8" t="str">
        <f ca="1">IFERROR(__xludf.DUMMYFUNCTION("""COMPUTED_VALUE"""),"Agape Christian Academy")</f>
        <v>Agape Christian Academy</v>
      </c>
      <c r="G1993" s="8">
        <f ca="1">IFERROR(__xludf.DUMMYFUNCTION("""COMPUTED_VALUE"""),0)</f>
        <v>0</v>
      </c>
      <c r="H1993" s="8">
        <f ca="1">IFERROR(__xludf.DUMMYFUNCTION("""COMPUTED_VALUE"""),2)</f>
        <v>2</v>
      </c>
      <c r="I1993" s="8">
        <f ca="1">IFERROR(__xludf.DUMMYFUNCTION("""COMPUTED_VALUE"""),2)</f>
        <v>2</v>
      </c>
      <c r="J1993" s="8">
        <f ca="1">IFERROR(__xludf.DUMMYFUNCTION("""COMPUTED_VALUE"""),0)</f>
        <v>0</v>
      </c>
      <c r="K1993" s="10" t="str">
        <f ca="1">IFERROR(__xludf.DUMMYFUNCTION("""COMPUTED_VALUE"""),"https://www.wftv.com/news/local/teen-shot-agape-christian-academy-pine-hills/270794978")</f>
        <v>https://www.wftv.com/news/local/teen-shot-agape-christian-academy-pine-hills/270794978</v>
      </c>
      <c r="L1993" s="8">
        <f ca="1">IFERROR(__xludf.DUMMYFUNCTION("""COMPUTED_VALUE"""),1)</f>
        <v>1</v>
      </c>
      <c r="M1993" s="8" t="str">
        <f ca="1">IFERROR(__xludf.DUMMYFUNCTION("""COMPUTED_VALUE"""),"Local")</f>
        <v>Local</v>
      </c>
      <c r="N1993" s="8">
        <f ca="1">IFERROR(__xludf.DUMMYFUNCTION("""COMPUTED_VALUE"""),2)</f>
        <v>2</v>
      </c>
      <c r="O1993" s="8" t="str">
        <f ca="1">IFERROR(__xludf.DUMMYFUNCTION("""COMPUTED_VALUE"""),"Fall")</f>
        <v>Fall</v>
      </c>
      <c r="P1993" s="8" t="str">
        <f ca="1">IFERROR(__xludf.DUMMYFUNCTION("""COMPUTED_VALUE"""),"Pine Hills")</f>
        <v>Pine Hills</v>
      </c>
      <c r="Q1993" s="8" t="str">
        <f ca="1">IFERROR(__xludf.DUMMYFUNCTION("""COMPUTED_VALUE"""),"FL")</f>
        <v>FL</v>
      </c>
      <c r="R1993" s="8" t="str">
        <f ca="1">IFERROR(__xludf.DUMMYFUNCTION("""COMPUTED_VALUE"""),"K-12")</f>
        <v>K-12</v>
      </c>
      <c r="S1993" s="8" t="str">
        <f ca="1">IFERROR(__xludf.DUMMYFUNCTION("""COMPUTED_VALUE"""),"Football Field/Track")</f>
        <v>Football Field/Track</v>
      </c>
      <c r="T1993" s="8" t="str">
        <f ca="1">IFERROR(__xludf.DUMMYFUNCTION("""COMPUTED_VALUE"""),"Outside on School Property")</f>
        <v>Outside on School Property</v>
      </c>
      <c r="U1993" s="8" t="str">
        <f ca="1">IFERROR(__xludf.DUMMYFUNCTION("""COMPUTED_VALUE"""),"No")</f>
        <v>No</v>
      </c>
      <c r="V1993" s="8" t="str">
        <f ca="1">IFERROR(__xludf.DUMMYFUNCTION("""COMPUTED_VALUE"""),"Dismissal")</f>
        <v>Dismissal</v>
      </c>
      <c r="W1993" s="11">
        <f ca="1">IFERROR(__xludf.DUMMYFUNCTION("""COMPUTED_VALUE"""),0.583333333333333)</f>
        <v>0.58333333333333304</v>
      </c>
      <c r="X1993" s="8">
        <f ca="1">IFERROR(__xludf.DUMMYFUNCTION("""COMPUTED_VALUE"""),1)</f>
        <v>1</v>
      </c>
      <c r="Y1993" s="12" t="str">
        <f ca="1">IFERROR(__xludf.DUMMYFUNCTION("""COMPUTED_VALUE"""),"Fight prior to football game, escalated Ongoing dispute")</f>
        <v>Fight prior to football game, escalated Ongoing dispute</v>
      </c>
      <c r="Z1993" s="12" t="str">
        <f ca="1">IFERROR(__xludf.DUMMYFUNCTION("""COMPUTED_VALUE"""),"Fight occurred between players on the football team and a person or persons not attending the school while preparing for the game. The shooter fired shots that grazed two students causing minor injuries. The shooter fled in a vehicle and was not identifie"&amp;"d. Police reported this was part of an ongoing dispute. 16 year old student shot was intended target, 17 year old was bystander.")</f>
        <v>Fight occurred between players on the football team and a person or persons not attending the school while preparing for the game. The shooter fired shots that grazed two students causing minor injuries. The shooter fled in a vehicle and was not identified. Police reported this was part of an ongoing dispute. 16 year old student shot was intended target, 17 year old was bystander.</v>
      </c>
      <c r="AA1993" s="8" t="str">
        <f ca="1">IFERROR(__xludf.DUMMYFUNCTION("""COMPUTED_VALUE"""),"Escalation of Dispute")</f>
        <v>Escalation of Dispute</v>
      </c>
      <c r="AB1993" s="8"/>
      <c r="AC1993" s="8" t="str">
        <f ca="1">IFERROR(__xludf.DUMMYFUNCTION("""COMPUTED_VALUE"""),"Yes")</f>
        <v>Yes</v>
      </c>
      <c r="AD1993" s="8" t="str">
        <f ca="1">IFERROR(__xludf.DUMMYFUNCTION("""COMPUTED_VALUE"""),"Both")</f>
        <v>Both</v>
      </c>
      <c r="AE1993" s="8" t="str">
        <f ca="1">IFERROR(__xludf.DUMMYFUNCTION("""COMPUTED_VALUE"""),"Yes")</f>
        <v>Yes</v>
      </c>
      <c r="AF1993" s="8" t="str">
        <f ca="1">IFERROR(__xludf.DUMMYFUNCTION("""COMPUTED_VALUE"""),"a group of males")</f>
        <v>a group of males</v>
      </c>
      <c r="AG1993" s="8" t="str">
        <f ca="1">IFERROR(__xludf.DUMMYFUNCTION("""COMPUTED_VALUE"""),"No")</f>
        <v>No</v>
      </c>
      <c r="AH1993" s="8" t="str">
        <f ca="1">IFERROR(__xludf.DUMMYFUNCTION("""COMPUTED_VALUE"""),"No")</f>
        <v>No</v>
      </c>
      <c r="AI1993" s="8" t="str">
        <f ca="1">IFERROR(__xludf.DUMMYFUNCTION("""COMPUTED_VALUE"""),"No")</f>
        <v>No</v>
      </c>
      <c r="AJ1993" s="8" t="str">
        <f ca="1">IFERROR(__xludf.DUMMYFUNCTION("""COMPUTED_VALUE"""),"No")</f>
        <v>No</v>
      </c>
      <c r="AK1993" s="8" t="str">
        <f ca="1">IFERROR(__xludf.DUMMYFUNCTION("""COMPUTED_VALUE"""),"No")</f>
        <v>No</v>
      </c>
      <c r="AL1993" s="8" t="str">
        <f ca="1">IFERROR(__xludf.DUMMYFUNCTION("""COMPUTED_VALUE"""),"Yes")</f>
        <v>Yes</v>
      </c>
      <c r="AM1993" s="8"/>
      <c r="AN1993" s="8"/>
      <c r="AO1993" s="8" t="str">
        <f ca="1">IFERROR(__xludf.DUMMYFUNCTION("""COMPUTED_VALUE"""),"No")</f>
        <v>No</v>
      </c>
      <c r="AP1993" s="8" t="str">
        <f ca="1">IFERROR(__xludf.DUMMYFUNCTION("""COMPUTED_VALUE"""),"No")</f>
        <v>No</v>
      </c>
      <c r="AQ1993" s="8" t="str">
        <f ca="1">IFERROR(__xludf.DUMMYFUNCTION("""COMPUTED_VALUE"""),"None")</f>
        <v>None</v>
      </c>
      <c r="AR1993" s="8" t="str">
        <f ca="1">IFERROR(__xludf.DUMMYFUNCTION("""COMPUTED_VALUE"""),"NA")</f>
        <v>NA</v>
      </c>
      <c r="AS1993" s="8">
        <f ca="1">IFERROR(__xludf.DUMMYFUNCTION("""COMPUTED_VALUE"""),2)</f>
        <v>2</v>
      </c>
      <c r="AT1993" s="8" t="str">
        <f ca="1">IFERROR(__xludf.DUMMYFUNCTION("""COMPUTED_VALUE"""),"No")</f>
        <v>No</v>
      </c>
      <c r="AU1993" s="8">
        <f ca="1">IFERROR(__xludf.DUMMYFUNCTION("""COMPUTED_VALUE"""),28.57586)</f>
        <v>28.575859999999999</v>
      </c>
      <c r="AV1993" s="8">
        <f ca="1">IFERROR(__xludf.DUMMYFUNCTION("""COMPUTED_VALUE"""),-81.475051)</f>
        <v>-81.475050999999993</v>
      </c>
      <c r="AW1993" s="8"/>
      <c r="AX1993" s="8">
        <f ca="1">IFERROR(__xludf.DUMMYFUNCTION("""COMPUTED_VALUE"""),32818)</f>
        <v>32818</v>
      </c>
    </row>
    <row r="1994" spans="1:50" ht="75" x14ac:dyDescent="0.2">
      <c r="A1994" s="8" t="str">
        <f ca="1">IFERROR(__xludf.DUMMYFUNCTION("""COMPUTED_VALUE"""),"20131002NHWIS")</f>
        <v>20131002NHWIS</v>
      </c>
      <c r="B1994" s="8">
        <f ca="1">IFERROR(__xludf.DUMMYFUNCTION("""COMPUTED_VALUE"""),10)</f>
        <v>10</v>
      </c>
      <c r="C1994" s="8">
        <f ca="1">IFERROR(__xludf.DUMMYFUNCTION("""COMPUTED_VALUE"""),2)</f>
        <v>2</v>
      </c>
      <c r="D1994" s="8">
        <f ca="1">IFERROR(__xludf.DUMMYFUNCTION("""COMPUTED_VALUE"""),2013)</f>
        <v>2013</v>
      </c>
      <c r="E1994" s="9">
        <f ca="1">IFERROR(__xludf.DUMMYFUNCTION("""COMPUTED_VALUE"""),41549)</f>
        <v>41549</v>
      </c>
      <c r="F1994" s="8" t="str">
        <f ca="1">IFERROR(__xludf.DUMMYFUNCTION("""COMPUTED_VALUE"""),"Winnisquam Regional School District")</f>
        <v>Winnisquam Regional School District</v>
      </c>
      <c r="G1994" s="8">
        <f ca="1">IFERROR(__xludf.DUMMYFUNCTION("""COMPUTED_VALUE"""),0)</f>
        <v>0</v>
      </c>
      <c r="H1994" s="8">
        <f ca="1">IFERROR(__xludf.DUMMYFUNCTION("""COMPUTED_VALUE"""),0)</f>
        <v>0</v>
      </c>
      <c r="I1994" s="8">
        <f ca="1">IFERROR(__xludf.DUMMYFUNCTION("""COMPUTED_VALUE"""),0)</f>
        <v>0</v>
      </c>
      <c r="J1994" s="8">
        <f ca="1">IFERROR(__xludf.DUMMYFUNCTION("""COMPUTED_VALUE"""),0)</f>
        <v>0</v>
      </c>
      <c r="K1994" s="10" t="str">
        <f ca="1">IFERROR(__xludf.DUMMYFUNCTION("""COMPUTED_VALUE"""),"https://boston.cbslocal.com/2013/10/04/police-nh-man-fired-pellet-gun-at-school-bus-over-students-obscene-gesture/")</f>
        <v>https://boston.cbslocal.com/2013/10/04/police-nh-man-fired-pellet-gun-at-school-bus-over-students-obscene-gesture/</v>
      </c>
      <c r="L1994" s="8"/>
      <c r="M1994" s="8"/>
      <c r="N1994" s="8">
        <f ca="1">IFERROR(__xludf.DUMMYFUNCTION("""COMPUTED_VALUE"""),2)</f>
        <v>2</v>
      </c>
      <c r="O1994" s="8" t="str">
        <f ca="1">IFERROR(__xludf.DUMMYFUNCTION("""COMPUTED_VALUE"""),"Fall")</f>
        <v>Fall</v>
      </c>
      <c r="P1994" s="8" t="str">
        <f ca="1">IFERROR(__xludf.DUMMYFUNCTION("""COMPUTED_VALUE"""),"Sanbornton")</f>
        <v>Sanbornton</v>
      </c>
      <c r="Q1994" s="8" t="str">
        <f ca="1">IFERROR(__xludf.DUMMYFUNCTION("""COMPUTED_VALUE"""),"NH")</f>
        <v>NH</v>
      </c>
      <c r="R1994" s="8"/>
      <c r="S1994" s="8" t="str">
        <f ca="1">IFERROR(__xludf.DUMMYFUNCTION("""COMPUTED_VALUE"""),"School Bus")</f>
        <v>School Bus</v>
      </c>
      <c r="T1994" s="8" t="str">
        <f ca="1">IFERROR(__xludf.DUMMYFUNCTION("""COMPUTED_VALUE"""),"School Bus")</f>
        <v>School Bus</v>
      </c>
      <c r="U1994" s="8" t="str">
        <f ca="1">IFERROR(__xludf.DUMMYFUNCTION("""COMPUTED_VALUE"""),"Yes")</f>
        <v>Yes</v>
      </c>
      <c r="V1994" s="8" t="str">
        <f ca="1">IFERROR(__xludf.DUMMYFUNCTION("""COMPUTED_VALUE"""),"After School")</f>
        <v>After School</v>
      </c>
      <c r="W1994" s="8"/>
      <c r="X1994" s="8"/>
      <c r="Y1994" s="12" t="str">
        <f ca="1">IFERROR(__xludf.DUMMYFUNCTION("""COMPUTED_VALUE"""),"Adult male fired shots at school bus after students made obscene gestures at him")</f>
        <v>Adult male fired shots at school bus after students made obscene gestures at him</v>
      </c>
      <c r="Z1994" s="12" t="str">
        <f ca="1">IFERROR(__xludf.DUMMYFUNCTION("""COMPUTED_VALUE"""),"24YOM fired multiple shots from pellet gun at school bus after students made obscene gestures at him. No injuries. Shooter was arrested.")</f>
        <v>24YOM fired multiple shots from pellet gun at school bus after students made obscene gestures at him. No injuries. Shooter was arrested.</v>
      </c>
      <c r="AA1994" s="8" t="str">
        <f ca="1">IFERROR(__xludf.DUMMYFUNCTION("""COMPUTED_VALUE"""),"Escalation of Dispute")</f>
        <v>Escalation of Dispute</v>
      </c>
      <c r="AB1994" s="8"/>
      <c r="AC1994" s="8" t="str">
        <f ca="1">IFERROR(__xludf.DUMMYFUNCTION("""COMPUTED_VALUE"""),"Yes")</f>
        <v>Yes</v>
      </c>
      <c r="AD1994" s="8" t="str">
        <f ca="1">IFERROR(__xludf.DUMMYFUNCTION("""COMPUTED_VALUE"""),"Random Shooting")</f>
        <v>Random Shooting</v>
      </c>
      <c r="AE1994" s="8" t="str">
        <f ca="1">IFERROR(__xludf.DUMMYFUNCTION("""COMPUTED_VALUE"""),"No")</f>
        <v>No</v>
      </c>
      <c r="AF1994" s="8"/>
      <c r="AG1994" s="8" t="str">
        <f ca="1">IFERROR(__xludf.DUMMYFUNCTION("""COMPUTED_VALUE"""),"No")</f>
        <v>No</v>
      </c>
      <c r="AH1994" s="8" t="str">
        <f ca="1">IFERROR(__xludf.DUMMYFUNCTION("""COMPUTED_VALUE"""),"No")</f>
        <v>No</v>
      </c>
      <c r="AI1994" s="8" t="str">
        <f ca="1">IFERROR(__xludf.DUMMYFUNCTION("""COMPUTED_VALUE"""),"No")</f>
        <v>No</v>
      </c>
      <c r="AJ1994" s="8" t="str">
        <f ca="1">IFERROR(__xludf.DUMMYFUNCTION("""COMPUTED_VALUE"""),"No")</f>
        <v>No</v>
      </c>
      <c r="AK1994" s="8" t="str">
        <f ca="1">IFERROR(__xludf.DUMMYFUNCTION("""COMPUTED_VALUE"""),"No")</f>
        <v>No</v>
      </c>
      <c r="AL1994" s="8" t="str">
        <f ca="1">IFERROR(__xludf.DUMMYFUNCTION("""COMPUTED_VALUE"""),"No")</f>
        <v>No</v>
      </c>
      <c r="AM1994" s="8"/>
      <c r="AN1994" s="8"/>
      <c r="AO1994" s="8" t="str">
        <f ca="1">IFERROR(__xludf.DUMMYFUNCTION("""COMPUTED_VALUE"""),"No")</f>
        <v>No</v>
      </c>
      <c r="AP1994" s="8"/>
      <c r="AQ1994" s="8" t="str">
        <f ca="1">IFERROR(__xludf.DUMMYFUNCTION("""COMPUTED_VALUE"""),"Unknown")</f>
        <v>Unknown</v>
      </c>
      <c r="AR1994" s="8" t="str">
        <f ca="1">IFERROR(__xludf.DUMMYFUNCTION("""COMPUTED_VALUE"""),"NA")</f>
        <v>NA</v>
      </c>
      <c r="AS1994" s="8" t="str">
        <f ca="1">IFERROR(__xludf.DUMMYFUNCTION("""COMPUTED_VALUE"""),"&lt;10")</f>
        <v>&lt;10</v>
      </c>
      <c r="AT1994" s="8"/>
      <c r="AU1994" s="8">
        <f ca="1">IFERROR(__xludf.DUMMYFUNCTION("""COMPUTED_VALUE"""),43.52353)</f>
        <v>43.523530000000001</v>
      </c>
      <c r="AV1994" s="8">
        <f ca="1">IFERROR(__xludf.DUMMYFUNCTION("""COMPUTED_VALUE"""),-71.595513)</f>
        <v>-71.595512999999997</v>
      </c>
      <c r="AW1994" s="8"/>
      <c r="AX1994" s="8">
        <f ca="1">IFERROR(__xludf.DUMMYFUNCTION("""COMPUTED_VALUE"""),3269)</f>
        <v>3269</v>
      </c>
    </row>
    <row r="1995" spans="1:50" ht="30" x14ac:dyDescent="0.2">
      <c r="A1995" s="8" t="str">
        <f ca="1">IFERROR(__xludf.DUMMYFUNCTION("""COMPUTED_VALUE"""),"20130928MENEG")</f>
        <v>20130928MENEG</v>
      </c>
      <c r="B1995" s="8">
        <f ca="1">IFERROR(__xludf.DUMMYFUNCTION("""COMPUTED_VALUE"""),9)</f>
        <v>9</v>
      </c>
      <c r="C1995" s="8">
        <f ca="1">IFERROR(__xludf.DUMMYFUNCTION("""COMPUTED_VALUE"""),28)</f>
        <v>28</v>
      </c>
      <c r="D1995" s="8">
        <f ca="1">IFERROR(__xludf.DUMMYFUNCTION("""COMPUTED_VALUE"""),2013)</f>
        <v>2013</v>
      </c>
      <c r="E1995" s="9">
        <f ca="1">IFERROR(__xludf.DUMMYFUNCTION("""COMPUTED_VALUE"""),41545)</f>
        <v>41545</v>
      </c>
      <c r="F1995" s="8" t="str">
        <f ca="1">IFERROR(__xludf.DUMMYFUNCTION("""COMPUTED_VALUE"""),"New Gloucester High School")</f>
        <v>New Gloucester High School</v>
      </c>
      <c r="G1995" s="8">
        <f ca="1">IFERROR(__xludf.DUMMYFUNCTION("""COMPUTED_VALUE"""),0)</f>
        <v>0</v>
      </c>
      <c r="H1995" s="8">
        <f ca="1">IFERROR(__xludf.DUMMYFUNCTION("""COMPUTED_VALUE"""),0)</f>
        <v>0</v>
      </c>
      <c r="I1995" s="8">
        <f ca="1">IFERROR(__xludf.DUMMYFUNCTION("""COMPUTED_VALUE"""),0)</f>
        <v>0</v>
      </c>
      <c r="J1995" s="8">
        <f ca="1">IFERROR(__xludf.DUMMYFUNCTION("""COMPUTED_VALUE"""),1)</f>
        <v>1</v>
      </c>
      <c r="K1995" s="10" t="str">
        <f ca="1">IFERROR(__xludf.DUMMYFUNCTION("""COMPUTED_VALUE"""),"https://www.pressherald.com/2013/09/28/19-year-old-kills-himself-at-gray-new-gloucester-high-school/")</f>
        <v>https://www.pressherald.com/2013/09/28/19-year-old-kills-himself-at-gray-new-gloucester-high-school/</v>
      </c>
      <c r="L1995" s="8">
        <f ca="1">IFERROR(__xludf.DUMMYFUNCTION("""COMPUTED_VALUE"""),1)</f>
        <v>1</v>
      </c>
      <c r="M1995" s="8" t="str">
        <f ca="1">IFERROR(__xludf.DUMMYFUNCTION("""COMPUTED_VALUE"""),"Local")</f>
        <v>Local</v>
      </c>
      <c r="N1995" s="8">
        <f ca="1">IFERROR(__xludf.DUMMYFUNCTION("""COMPUTED_VALUE"""),2)</f>
        <v>2</v>
      </c>
      <c r="O1995" s="8" t="str">
        <f ca="1">IFERROR(__xludf.DUMMYFUNCTION("""COMPUTED_VALUE"""),"Fall")</f>
        <v>Fall</v>
      </c>
      <c r="P1995" s="8" t="str">
        <f ca="1">IFERROR(__xludf.DUMMYFUNCTION("""COMPUTED_VALUE"""),"Gray")</f>
        <v>Gray</v>
      </c>
      <c r="Q1995" s="8" t="str">
        <f ca="1">IFERROR(__xludf.DUMMYFUNCTION("""COMPUTED_VALUE"""),"ME")</f>
        <v>ME</v>
      </c>
      <c r="R1995" s="8" t="str">
        <f ca="1">IFERROR(__xludf.DUMMYFUNCTION("""COMPUTED_VALUE"""),"High")</f>
        <v>High</v>
      </c>
      <c r="S1995" s="8" t="str">
        <f ca="1">IFERROR(__xludf.DUMMYFUNCTION("""COMPUTED_VALUE"""),"Parking Lot")</f>
        <v>Parking Lot</v>
      </c>
      <c r="T1995" s="8" t="str">
        <f ca="1">IFERROR(__xludf.DUMMYFUNCTION("""COMPUTED_VALUE"""),"Outside on School Property")</f>
        <v>Outside on School Property</v>
      </c>
      <c r="U1995" s="8" t="str">
        <f ca="1">IFERROR(__xludf.DUMMYFUNCTION("""COMPUTED_VALUE"""),"No")</f>
        <v>No</v>
      </c>
      <c r="V1995" s="8" t="str">
        <f ca="1">IFERROR(__xludf.DUMMYFUNCTION("""COMPUTED_VALUE"""),"Not a School Day")</f>
        <v>Not a School Day</v>
      </c>
      <c r="W1995" s="11">
        <f ca="1">IFERROR(__xludf.DUMMYFUNCTION("""COMPUTED_VALUE"""),0.534722222222222)</f>
        <v>0.53472222222222199</v>
      </c>
      <c r="X1995" s="8">
        <f ca="1">IFERROR(__xludf.DUMMYFUNCTION("""COMPUTED_VALUE"""),1)</f>
        <v>1</v>
      </c>
      <c r="Y1995" s="12" t="str">
        <f ca="1">IFERROR(__xludf.DUMMYFUNCTION("""COMPUTED_VALUE"""),"Suicide in school parking lot")</f>
        <v>Suicide in school parking lot</v>
      </c>
      <c r="Z1995" s="12" t="str">
        <f ca="1">IFERROR(__xludf.DUMMYFUNCTION("""COMPUTED_VALUE"""),"19 year old male - no relation to school - shot himself in parking lot")</f>
        <v>19 year old male - no relation to school - shot himself in parking lot</v>
      </c>
      <c r="AA1995" s="8" t="str">
        <f ca="1">IFERROR(__xludf.DUMMYFUNCTION("""COMPUTED_VALUE"""),"Suicide/Attempted")</f>
        <v>Suicide/Attempted</v>
      </c>
      <c r="AB1995" s="8"/>
      <c r="AC1995" s="8" t="str">
        <f ca="1">IFERROR(__xludf.DUMMYFUNCTION("""COMPUTED_VALUE"""),"No")</f>
        <v>No</v>
      </c>
      <c r="AD1995" s="8" t="str">
        <f ca="1">IFERROR(__xludf.DUMMYFUNCTION("""COMPUTED_VALUE"""),"Victims Targeted")</f>
        <v>Victims Targeted</v>
      </c>
      <c r="AE1995" s="8" t="str">
        <f ca="1">IFERROR(__xludf.DUMMYFUNCTION("""COMPUTED_VALUE"""),"No")</f>
        <v>No</v>
      </c>
      <c r="AF1995" s="8"/>
      <c r="AG1995" s="8" t="str">
        <f ca="1">IFERROR(__xludf.DUMMYFUNCTION("""COMPUTED_VALUE"""),"No")</f>
        <v>No</v>
      </c>
      <c r="AH1995" s="8" t="str">
        <f ca="1">IFERROR(__xludf.DUMMYFUNCTION("""COMPUTED_VALUE"""),"No")</f>
        <v>No</v>
      </c>
      <c r="AI1995" s="8" t="str">
        <f ca="1">IFERROR(__xludf.DUMMYFUNCTION("""COMPUTED_VALUE"""),"No")</f>
        <v>No</v>
      </c>
      <c r="AJ1995" s="8"/>
      <c r="AK1995" s="8"/>
      <c r="AL1995" s="8" t="str">
        <f ca="1">IFERROR(__xludf.DUMMYFUNCTION("""COMPUTED_VALUE"""),"No")</f>
        <v>No</v>
      </c>
      <c r="AM1995" s="8"/>
      <c r="AN1995" s="8"/>
      <c r="AO1995" s="8" t="str">
        <f ca="1">IFERROR(__xludf.DUMMYFUNCTION("""COMPUTED_VALUE"""),"No")</f>
        <v>No</v>
      </c>
      <c r="AP1995" s="8" t="str">
        <f ca="1">IFERROR(__xludf.DUMMYFUNCTION("""COMPUTED_VALUE"""),"N/A")</f>
        <v>N/A</v>
      </c>
      <c r="AQ1995" s="8" t="str">
        <f ca="1">IFERROR(__xludf.DUMMYFUNCTION("""COMPUTED_VALUE"""),"Unknown")</f>
        <v>Unknown</v>
      </c>
      <c r="AR1995" s="8" t="str">
        <f ca="1">IFERROR(__xludf.DUMMYFUNCTION("""COMPUTED_VALUE"""),"NA")</f>
        <v>NA</v>
      </c>
      <c r="AS1995" s="8">
        <f ca="1">IFERROR(__xludf.DUMMYFUNCTION("""COMPUTED_VALUE"""),1)</f>
        <v>1</v>
      </c>
      <c r="AT1995" s="8" t="str">
        <f ca="1">IFERROR(__xludf.DUMMYFUNCTION("""COMPUTED_VALUE"""),"Yes")</f>
        <v>Yes</v>
      </c>
      <c r="AU1995" s="8">
        <f ca="1">IFERROR(__xludf.DUMMYFUNCTION("""COMPUTED_VALUE"""),43.903887)</f>
        <v>43.903886999999997</v>
      </c>
      <c r="AV1995" s="8">
        <f ca="1">IFERROR(__xludf.DUMMYFUNCTION("""COMPUTED_VALUE"""),-70.347688)</f>
        <v>-70.347688000000005</v>
      </c>
      <c r="AW1995" s="8"/>
      <c r="AX1995" s="8">
        <f ca="1">IFERROR(__xludf.DUMMYFUNCTION("""COMPUTED_VALUE"""),4039)</f>
        <v>4039</v>
      </c>
    </row>
    <row r="1996" spans="1:50" ht="90" x14ac:dyDescent="0.2">
      <c r="A1996" s="8" t="str">
        <f ca="1">IFERROR(__xludf.DUMMYFUNCTION("""COMPUTED_VALUE"""),"20130927ILROC")</f>
        <v>20130927ILROC</v>
      </c>
      <c r="B1996" s="8">
        <f ca="1">IFERROR(__xludf.DUMMYFUNCTION("""COMPUTED_VALUE"""),9)</f>
        <v>9</v>
      </c>
      <c r="C1996" s="8">
        <f ca="1">IFERROR(__xludf.DUMMYFUNCTION("""COMPUTED_VALUE"""),27)</f>
        <v>27</v>
      </c>
      <c r="D1996" s="8">
        <f ca="1">IFERROR(__xludf.DUMMYFUNCTION("""COMPUTED_VALUE"""),2013)</f>
        <v>2013</v>
      </c>
      <c r="E1996" s="9">
        <f ca="1">IFERROR(__xludf.DUMMYFUNCTION("""COMPUTED_VALUE"""),41544)</f>
        <v>41544</v>
      </c>
      <c r="F1996" s="8" t="str">
        <f ca="1">IFERROR(__xludf.DUMMYFUNCTION("""COMPUTED_VALUE"""),"Roosevelt High School")</f>
        <v>Roosevelt High School</v>
      </c>
      <c r="G1996" s="8">
        <f ca="1">IFERROR(__xludf.DUMMYFUNCTION("""COMPUTED_VALUE"""),0)</f>
        <v>0</v>
      </c>
      <c r="H1996" s="8">
        <f ca="1">IFERROR(__xludf.DUMMYFUNCTION("""COMPUTED_VALUE"""),1)</f>
        <v>1</v>
      </c>
      <c r="I1996" s="8">
        <f ca="1">IFERROR(__xludf.DUMMYFUNCTION("""COMPUTED_VALUE"""),1)</f>
        <v>1</v>
      </c>
      <c r="J1996" s="8">
        <f ca="1">IFERROR(__xludf.DUMMYFUNCTION("""COMPUTED_VALUE"""),0)</f>
        <v>0</v>
      </c>
      <c r="K1996" s="10" t="str">
        <f ca="1">IFERROR(__xludf.DUMMYFUNCTION("""COMPUTED_VALUE"""),"https://www.dnainfo.com/chicago/20130927/albany-park/teen-arrested-for-shooting-student-near-roosevelt-high-school/slideshow/443194/#slide-1")</f>
        <v>https://www.dnainfo.com/chicago/20130927/albany-park/teen-arrested-for-shooting-student-near-roosevelt-high-school/slideshow/443194/#slide-1</v>
      </c>
      <c r="L1996" s="8">
        <f ca="1">IFERROR(__xludf.DUMMYFUNCTION("""COMPUTED_VALUE"""),1)</f>
        <v>1</v>
      </c>
      <c r="M1996" s="8" t="str">
        <f ca="1">IFERROR(__xludf.DUMMYFUNCTION("""COMPUTED_VALUE"""),"Local")</f>
        <v>Local</v>
      </c>
      <c r="N1996" s="8">
        <f ca="1">IFERROR(__xludf.DUMMYFUNCTION("""COMPUTED_VALUE"""),2)</f>
        <v>2</v>
      </c>
      <c r="O1996" s="8" t="str">
        <f ca="1">IFERROR(__xludf.DUMMYFUNCTION("""COMPUTED_VALUE"""),"Fall")</f>
        <v>Fall</v>
      </c>
      <c r="P1996" s="8" t="str">
        <f ca="1">IFERROR(__xludf.DUMMYFUNCTION("""COMPUTED_VALUE"""),"Chicago")</f>
        <v>Chicago</v>
      </c>
      <c r="Q1996" s="8" t="str">
        <f ca="1">IFERROR(__xludf.DUMMYFUNCTION("""COMPUTED_VALUE"""),"IL")</f>
        <v>IL</v>
      </c>
      <c r="R1996" s="8" t="str">
        <f ca="1">IFERROR(__xludf.DUMMYFUNCTION("""COMPUTED_VALUE"""),"High")</f>
        <v>High</v>
      </c>
      <c r="S1996" s="8" t="str">
        <f ca="1">IFERROR(__xludf.DUMMYFUNCTION("""COMPUTED_VALUE"""),"Beside Building")</f>
        <v>Beside Building</v>
      </c>
      <c r="T1996" s="8" t="str">
        <f ca="1">IFERROR(__xludf.DUMMYFUNCTION("""COMPUTED_VALUE"""),"Outside on School Property")</f>
        <v>Outside on School Property</v>
      </c>
      <c r="U1996" s="8" t="str">
        <f ca="1">IFERROR(__xludf.DUMMYFUNCTION("""COMPUTED_VALUE"""),"Yes")</f>
        <v>Yes</v>
      </c>
      <c r="V1996" s="8" t="str">
        <f ca="1">IFERROR(__xludf.DUMMYFUNCTION("""COMPUTED_VALUE"""),"Dismissal")</f>
        <v>Dismissal</v>
      </c>
      <c r="W1996" s="11">
        <f ca="1">IFERROR(__xludf.DUMMYFUNCTION("""COMPUTED_VALUE"""),0.600694444444444)</f>
        <v>0.60069444444444398</v>
      </c>
      <c r="X1996" s="8">
        <f ca="1">IFERROR(__xludf.DUMMYFUNCTION("""COMPUTED_VALUE"""),1)</f>
        <v>1</v>
      </c>
      <c r="Y1996" s="12" t="str">
        <f ca="1">IFERROR(__xludf.DUMMYFUNCTION("""COMPUTED_VALUE"""),"Robbery outside of school")</f>
        <v>Robbery outside of school</v>
      </c>
      <c r="Z1996" s="12" t="str">
        <f ca="1">IFERROR(__xludf.DUMMYFUNCTION("""COMPUTED_VALUE"""),"18YOM shot a 15YOM during an attempted robbery outside of the school. Another student pushed the shooter's hand down so victim was shot in the leg. The shooter then hid the gun in the backpack of a 9YOM and ran away. Shooting occurred at street intersecti"&amp;"on at school - across the street at the bus station - not on school property.")</f>
        <v>18YOM shot a 15YOM during an attempted robbery outside of the school. Another student pushed the shooter's hand down so victim was shot in the leg. The shooter then hid the gun in the backpack of a 9YOM and ran away. Shooting occurred at street intersection at school - across the street at the bus station - not on school property.</v>
      </c>
      <c r="AA1996" s="8" t="str">
        <f ca="1">IFERROR(__xludf.DUMMYFUNCTION("""COMPUTED_VALUE"""),"Illegal Activity")</f>
        <v>Illegal Activity</v>
      </c>
      <c r="AB1996" s="8"/>
      <c r="AC1996" s="8" t="str">
        <f ca="1">IFERROR(__xludf.DUMMYFUNCTION("""COMPUTED_VALUE"""),"Yes")</f>
        <v>Yes</v>
      </c>
      <c r="AD1996" s="8" t="str">
        <f ca="1">IFERROR(__xludf.DUMMYFUNCTION("""COMPUTED_VALUE"""),"Victims Targeted")</f>
        <v>Victims Targeted</v>
      </c>
      <c r="AE1996" s="8" t="str">
        <f ca="1">IFERROR(__xludf.DUMMYFUNCTION("""COMPUTED_VALUE"""),"Yes")</f>
        <v>Yes</v>
      </c>
      <c r="AF1996" s="8" t="str">
        <f ca="1">IFERROR(__xludf.DUMMYFUNCTION("""COMPUTED_VALUE"""),"9 year old boy - not charged")</f>
        <v>9 year old boy - not charged</v>
      </c>
      <c r="AG1996" s="8" t="str">
        <f ca="1">IFERROR(__xludf.DUMMYFUNCTION("""COMPUTED_VALUE"""),"No")</f>
        <v>No</v>
      </c>
      <c r="AH1996" s="8" t="str">
        <f ca="1">IFERROR(__xludf.DUMMYFUNCTION("""COMPUTED_VALUE"""),"No")</f>
        <v>No</v>
      </c>
      <c r="AI1996" s="8" t="str">
        <f ca="1">IFERROR(__xludf.DUMMYFUNCTION("""COMPUTED_VALUE"""),"No")</f>
        <v>No</v>
      </c>
      <c r="AJ1996" s="8" t="str">
        <f ca="1">IFERROR(__xludf.DUMMYFUNCTION("""COMPUTED_VALUE"""),"No")</f>
        <v>No</v>
      </c>
      <c r="AK1996" s="8" t="str">
        <f ca="1">IFERROR(__xludf.DUMMYFUNCTION("""COMPUTED_VALUE"""),"No")</f>
        <v>No</v>
      </c>
      <c r="AL1996" s="8" t="str">
        <f ca="1">IFERROR(__xludf.DUMMYFUNCTION("""COMPUTED_VALUE"""),"No")</f>
        <v>No</v>
      </c>
      <c r="AM1996" s="8"/>
      <c r="AN1996" s="8"/>
      <c r="AO1996" s="8" t="str">
        <f ca="1">IFERROR(__xludf.DUMMYFUNCTION("""COMPUTED_VALUE"""),"No")</f>
        <v>No</v>
      </c>
      <c r="AP1996" s="8" t="str">
        <f ca="1">IFERROR(__xludf.DUMMYFUNCTION("""COMPUTED_VALUE"""),"N/A")</f>
        <v>N/A</v>
      </c>
      <c r="AQ1996" s="8" t="str">
        <f ca="1">IFERROR(__xludf.DUMMYFUNCTION("""COMPUTED_VALUE"""),"Unknown")</f>
        <v>Unknown</v>
      </c>
      <c r="AR1996" s="8" t="str">
        <f ca="1">IFERROR(__xludf.DUMMYFUNCTION("""COMPUTED_VALUE"""),"NA")</f>
        <v>NA</v>
      </c>
      <c r="AS1996" s="8">
        <f ca="1">IFERROR(__xludf.DUMMYFUNCTION("""COMPUTED_VALUE"""),1)</f>
        <v>1</v>
      </c>
      <c r="AT1996" s="8" t="str">
        <f ca="1">IFERROR(__xludf.DUMMYFUNCTION("""COMPUTED_VALUE"""),"N/A")</f>
        <v>N/A</v>
      </c>
      <c r="AU1996" s="8">
        <f ca="1">IFERROR(__xludf.DUMMYFUNCTION("""COMPUTED_VALUE"""),41.966691)</f>
        <v>41.966690999999997</v>
      </c>
      <c r="AV1996" s="8">
        <f ca="1">IFERROR(__xludf.DUMMYFUNCTION("""COMPUTED_VALUE"""),-87.711608)</f>
        <v>-87.711607999999998</v>
      </c>
      <c r="AW1996" s="8"/>
      <c r="AX1996" s="8">
        <f ca="1">IFERROR(__xludf.DUMMYFUNCTION("""COMPUTED_VALUE"""),60659)</f>
        <v>60659</v>
      </c>
    </row>
    <row r="1997" spans="1:50" ht="75" x14ac:dyDescent="0.2">
      <c r="A1997" s="8" t="str">
        <f ca="1">IFERROR(__xludf.DUMMYFUNCTION("""COMPUTED_VALUE"""),"20130830NCCAW")</f>
        <v>20130830NCCAW</v>
      </c>
      <c r="B1997" s="8">
        <f ca="1">IFERROR(__xludf.DUMMYFUNCTION("""COMPUTED_VALUE"""),8)</f>
        <v>8</v>
      </c>
      <c r="C1997" s="8">
        <f ca="1">IFERROR(__xludf.DUMMYFUNCTION("""COMPUTED_VALUE"""),30)</f>
        <v>30</v>
      </c>
      <c r="D1997" s="8">
        <f ca="1">IFERROR(__xludf.DUMMYFUNCTION("""COMPUTED_VALUE"""),2013)</f>
        <v>2013</v>
      </c>
      <c r="E1997" s="9">
        <f ca="1">IFERROR(__xludf.DUMMYFUNCTION("""COMPUTED_VALUE"""),41516)</f>
        <v>41516</v>
      </c>
      <c r="F1997" s="8" t="str">
        <f ca="1">IFERROR(__xludf.DUMMYFUNCTION("""COMPUTED_VALUE"""),"Carver High School")</f>
        <v>Carver High School</v>
      </c>
      <c r="G1997" s="8">
        <f ca="1">IFERROR(__xludf.DUMMYFUNCTION("""COMPUTED_VALUE"""),0)</f>
        <v>0</v>
      </c>
      <c r="H1997" s="8">
        <f ca="1">IFERROR(__xludf.DUMMYFUNCTION("""COMPUTED_VALUE"""),1)</f>
        <v>1</v>
      </c>
      <c r="I1997" s="8">
        <f ca="1">IFERROR(__xludf.DUMMYFUNCTION("""COMPUTED_VALUE"""),1)</f>
        <v>1</v>
      </c>
      <c r="J1997" s="8">
        <f ca="1">IFERROR(__xludf.DUMMYFUNCTION("""COMPUTED_VALUE"""),0)</f>
        <v>0</v>
      </c>
      <c r="K1997" s="8" t="str">
        <f ca="1">IFERROR(__xludf.DUMMYFUNCTION("""COMPUTED_VALUE"""),"https://myfox8.com/news/police-reported-shooting-at-carver-high-school/
https://www.journalnow.com/news/local/update--year-old-charged-in-shooting-at-carver/article_247ee7d0-11a4-11e3-b183-001a4bcf6878.html")</f>
        <v>https://myfox8.com/news/police-reported-shooting-at-carver-high-school/
https://www.journalnow.com/news/local/update--year-old-charged-in-shooting-at-carver/article_247ee7d0-11a4-11e3-b183-001a4bcf6878.html</v>
      </c>
      <c r="L1997" s="8">
        <f ca="1">IFERROR(__xludf.DUMMYFUNCTION("""COMPUTED_VALUE"""),5)</f>
        <v>5</v>
      </c>
      <c r="M1997" s="8" t="str">
        <f ca="1">IFERROR(__xludf.DUMMYFUNCTION("""COMPUTED_VALUE"""),"Local")</f>
        <v>Local</v>
      </c>
      <c r="N1997" s="8">
        <f ca="1">IFERROR(__xludf.DUMMYFUNCTION("""COMPUTED_VALUE"""),4)</f>
        <v>4</v>
      </c>
      <c r="O1997" s="8" t="str">
        <f ca="1">IFERROR(__xludf.DUMMYFUNCTION("""COMPUTED_VALUE"""),"Summer")</f>
        <v>Summer</v>
      </c>
      <c r="P1997" s="8" t="str">
        <f ca="1">IFERROR(__xludf.DUMMYFUNCTION("""COMPUTED_VALUE"""),"Winston-Salem")</f>
        <v>Winston-Salem</v>
      </c>
      <c r="Q1997" s="8" t="str">
        <f ca="1">IFERROR(__xludf.DUMMYFUNCTION("""COMPUTED_VALUE"""),"NC")</f>
        <v>NC</v>
      </c>
      <c r="R1997" s="8" t="str">
        <f ca="1">IFERROR(__xludf.DUMMYFUNCTION("""COMPUTED_VALUE"""),"High")</f>
        <v>High</v>
      </c>
      <c r="S1997" s="8" t="str">
        <f ca="1">IFERROR(__xludf.DUMMYFUNCTION("""COMPUTED_VALUE"""),"Beside Building")</f>
        <v>Beside Building</v>
      </c>
      <c r="T1997" s="8" t="str">
        <f ca="1">IFERROR(__xludf.DUMMYFUNCTION("""COMPUTED_VALUE"""),"Outside on School Property")</f>
        <v>Outside on School Property</v>
      </c>
      <c r="U1997" s="8" t="str">
        <f ca="1">IFERROR(__xludf.DUMMYFUNCTION("""COMPUTED_VALUE"""),"Yes")</f>
        <v>Yes</v>
      </c>
      <c r="V1997" s="8" t="str">
        <f ca="1">IFERROR(__xludf.DUMMYFUNCTION("""COMPUTED_VALUE"""),"Afternoon Classes")</f>
        <v>Afternoon Classes</v>
      </c>
      <c r="W1997" s="11">
        <f ca="1">IFERROR(__xludf.DUMMYFUNCTION("""COMPUTED_VALUE"""),0.600694444444444)</f>
        <v>0.60069444444444398</v>
      </c>
      <c r="X1997" s="8">
        <f ca="1">IFERROR(__xludf.DUMMYFUNCTION("""COMPUTED_VALUE"""),1)</f>
        <v>1</v>
      </c>
      <c r="Y1997" s="12" t="str">
        <f ca="1">IFERROR(__xludf.DUMMYFUNCTION("""COMPUTED_VALUE"""),"Shots fired during fight")</f>
        <v>Shots fired during fight</v>
      </c>
      <c r="Z1997" s="12" t="str">
        <f ca="1">IFERROR(__xludf.DUMMYFUNCTION("""COMPUTED_VALUE"""),"Ongoing dispute between two students escalated into fight, incident happened at the end of a fire drill. Shooter claimed it was a result of being bullied by victim. Shooter fired 4-5 shots. SRO was nearby and arrested the shooter. Victim had a criminal re"&amp;"cord.")</f>
        <v>Ongoing dispute between two students escalated into fight, incident happened at the end of a fire drill. Shooter claimed it was a result of being bullied by victim. Shooter fired 4-5 shots. SRO was nearby and arrested the shooter. Victim had a criminal record.</v>
      </c>
      <c r="AA1997" s="8" t="str">
        <f ca="1">IFERROR(__xludf.DUMMYFUNCTION("""COMPUTED_VALUE"""),"Escalation of Dispute")</f>
        <v>Escalation of Dispute</v>
      </c>
      <c r="AB1997" s="8"/>
      <c r="AC1997" s="8" t="str">
        <f ca="1">IFERROR(__xludf.DUMMYFUNCTION("""COMPUTED_VALUE"""),"Yes")</f>
        <v>Yes</v>
      </c>
      <c r="AD1997" s="8" t="str">
        <f ca="1">IFERROR(__xludf.DUMMYFUNCTION("""COMPUTED_VALUE"""),"Victims Targeted")</f>
        <v>Victims Targeted</v>
      </c>
      <c r="AE1997" s="8" t="str">
        <f ca="1">IFERROR(__xludf.DUMMYFUNCTION("""COMPUTED_VALUE"""),"No")</f>
        <v>No</v>
      </c>
      <c r="AF1997" s="8"/>
      <c r="AG1997" s="8" t="str">
        <f ca="1">IFERROR(__xludf.DUMMYFUNCTION("""COMPUTED_VALUE"""),"No")</f>
        <v>No</v>
      </c>
      <c r="AH1997" s="8" t="str">
        <f ca="1">IFERROR(__xludf.DUMMYFUNCTION("""COMPUTED_VALUE"""),"No")</f>
        <v>No</v>
      </c>
      <c r="AI1997" s="8" t="str">
        <f ca="1">IFERROR(__xludf.DUMMYFUNCTION("""COMPUTED_VALUE"""),"No")</f>
        <v>No</v>
      </c>
      <c r="AJ1997" s="8" t="str">
        <f ca="1">IFERROR(__xludf.DUMMYFUNCTION("""COMPUTED_VALUE"""),"Yes")</f>
        <v>Yes</v>
      </c>
      <c r="AK1997" s="8" t="str">
        <f ca="1">IFERROR(__xludf.DUMMYFUNCTION("""COMPUTED_VALUE"""),"No")</f>
        <v>No</v>
      </c>
      <c r="AL1997" s="8" t="str">
        <f ca="1">IFERROR(__xludf.DUMMYFUNCTION("""COMPUTED_VALUE"""),"No")</f>
        <v>No</v>
      </c>
      <c r="AM1997" s="8"/>
      <c r="AN1997" s="8"/>
      <c r="AO1997" s="8" t="str">
        <f ca="1">IFERROR(__xludf.DUMMYFUNCTION("""COMPUTED_VALUE"""),"No")</f>
        <v>No</v>
      </c>
      <c r="AP1997" s="8" t="str">
        <f ca="1">IFERROR(__xludf.DUMMYFUNCTION("""COMPUTED_VALUE"""),"Yes")</f>
        <v>Yes</v>
      </c>
      <c r="AQ1997" s="8" t="str">
        <f ca="1">IFERROR(__xludf.DUMMYFUNCTION("""COMPUTED_VALUE"""),"Unknown")</f>
        <v>Unknown</v>
      </c>
      <c r="AR1997" s="8" t="str">
        <f ca="1">IFERROR(__xludf.DUMMYFUNCTION("""COMPUTED_VALUE"""),"NA")</f>
        <v>NA</v>
      </c>
      <c r="AS1997" s="8">
        <f ca="1">IFERROR(__xludf.DUMMYFUNCTION("""COMPUTED_VALUE"""),5)</f>
        <v>5</v>
      </c>
      <c r="AT1997" s="8" t="str">
        <f ca="1">IFERROR(__xludf.DUMMYFUNCTION("""COMPUTED_VALUE"""),"Yes")</f>
        <v>Yes</v>
      </c>
      <c r="AU1997" s="8">
        <f ca="1">IFERROR(__xludf.DUMMYFUNCTION("""COMPUTED_VALUE"""),36.1343)</f>
        <v>36.134300000000003</v>
      </c>
      <c r="AV1997" s="8">
        <f ca="1">IFERROR(__xludf.DUMMYFUNCTION("""COMPUTED_VALUE"""),-80.2066)</f>
        <v>-80.206599999999995</v>
      </c>
      <c r="AW1997" s="8"/>
      <c r="AX1997" s="8">
        <f ca="1">IFERROR(__xludf.DUMMYFUNCTION("""COMPUTED_VALUE"""),27105)</f>
        <v>27105</v>
      </c>
    </row>
    <row r="1998" spans="1:50" ht="60" x14ac:dyDescent="0.2">
      <c r="A1998" s="8" t="str">
        <f ca="1">IFERROR(__xludf.DUMMYFUNCTION("""COMPUTED_VALUE"""),"20130823MSNOS")</f>
        <v>20130823MSNOS</v>
      </c>
      <c r="B1998" s="8">
        <f ca="1">IFERROR(__xludf.DUMMYFUNCTION("""COMPUTED_VALUE"""),8)</f>
        <v>8</v>
      </c>
      <c r="C1998" s="8">
        <f ca="1">IFERROR(__xludf.DUMMYFUNCTION("""COMPUTED_VALUE"""),23)</f>
        <v>23</v>
      </c>
      <c r="D1998" s="8">
        <f ca="1">IFERROR(__xludf.DUMMYFUNCTION("""COMPUTED_VALUE"""),2013)</f>
        <v>2013</v>
      </c>
      <c r="E1998" s="9">
        <f ca="1">IFERROR(__xludf.DUMMYFUNCTION("""COMPUTED_VALUE"""),41509)</f>
        <v>41509</v>
      </c>
      <c r="F1998" s="8" t="str">
        <f ca="1">IFERROR(__xludf.DUMMYFUNCTION("""COMPUTED_VALUE"""),"North Panola High School")</f>
        <v>North Panola High School</v>
      </c>
      <c r="G1998" s="8">
        <f ca="1">IFERROR(__xludf.DUMMYFUNCTION("""COMPUTED_VALUE"""),1)</f>
        <v>1</v>
      </c>
      <c r="H1998" s="8">
        <f ca="1">IFERROR(__xludf.DUMMYFUNCTION("""COMPUTED_VALUE"""),2)</f>
        <v>2</v>
      </c>
      <c r="I1998" s="8">
        <f ca="1">IFERROR(__xludf.DUMMYFUNCTION("""COMPUTED_VALUE"""),3)</f>
        <v>3</v>
      </c>
      <c r="J1998" s="8">
        <f ca="1">IFERROR(__xludf.DUMMYFUNCTION("""COMPUTED_VALUE"""),0)</f>
        <v>0</v>
      </c>
      <c r="K1998" s="10" t="str">
        <f ca="1">IFERROR(__xludf.DUMMYFUNCTION("""COMPUTED_VALUE"""),"http://blog.gulflive.com/mississippi-press-news/2013/08/3_gang_members_arrested_after.html")</f>
        <v>http://blog.gulflive.com/mississippi-press-news/2013/08/3_gang_members_arrested_after.html</v>
      </c>
      <c r="L1998" s="8">
        <f ca="1">IFERROR(__xludf.DUMMYFUNCTION("""COMPUTED_VALUE"""),5)</f>
        <v>5</v>
      </c>
      <c r="M1998" s="8" t="str">
        <f ca="1">IFERROR(__xludf.DUMMYFUNCTION("""COMPUTED_VALUE"""),"Local")</f>
        <v>Local</v>
      </c>
      <c r="N1998" s="8">
        <f ca="1">IFERROR(__xludf.DUMMYFUNCTION("""COMPUTED_VALUE"""),2)</f>
        <v>2</v>
      </c>
      <c r="O1998" s="8" t="str">
        <f ca="1">IFERROR(__xludf.DUMMYFUNCTION("""COMPUTED_VALUE"""),"Summer")</f>
        <v>Summer</v>
      </c>
      <c r="P1998" s="8" t="str">
        <f ca="1">IFERROR(__xludf.DUMMYFUNCTION("""COMPUTED_VALUE"""),"Sardis")</f>
        <v>Sardis</v>
      </c>
      <c r="Q1998" s="8" t="str">
        <f ca="1">IFERROR(__xludf.DUMMYFUNCTION("""COMPUTED_VALUE"""),"MS")</f>
        <v>MS</v>
      </c>
      <c r="R1998" s="8" t="str">
        <f ca="1">IFERROR(__xludf.DUMMYFUNCTION("""COMPUTED_VALUE"""),"High")</f>
        <v>High</v>
      </c>
      <c r="S1998" s="8" t="str">
        <f ca="1">IFERROR(__xludf.DUMMYFUNCTION("""COMPUTED_VALUE"""),"Football Field/Track")</f>
        <v>Football Field/Track</v>
      </c>
      <c r="T1998" s="8" t="str">
        <f ca="1">IFERROR(__xludf.DUMMYFUNCTION("""COMPUTED_VALUE"""),"Outside on School Property")</f>
        <v>Outside on School Property</v>
      </c>
      <c r="U1998" s="8" t="str">
        <f ca="1">IFERROR(__xludf.DUMMYFUNCTION("""COMPUTED_VALUE"""),"No")</f>
        <v>No</v>
      </c>
      <c r="V1998" s="8" t="str">
        <f ca="1">IFERROR(__xludf.DUMMYFUNCTION("""COMPUTED_VALUE"""),"Evening")</f>
        <v>Evening</v>
      </c>
      <c r="W1998" s="11">
        <f ca="1">IFERROR(__xludf.DUMMYFUNCTION("""COMPUTED_VALUE"""),0.9375)</f>
        <v>0.9375</v>
      </c>
      <c r="X1998" s="8">
        <f ca="1">IFERROR(__xludf.DUMMYFUNCTION("""COMPUTED_VALUE"""),5)</f>
        <v>5</v>
      </c>
      <c r="Y1998" s="12" t="str">
        <f ca="1">IFERROR(__xludf.DUMMYFUNCTION("""COMPUTED_VALUE"""),"Gang related shooting at football game")</f>
        <v>Gang related shooting at football game</v>
      </c>
      <c r="Z1998" s="12" t="str">
        <f ca="1">IFERROR(__xludf.DUMMYFUNCTION("""COMPUTED_VALUE"""),"Three men fired shots and killed a student who was affiliated with a rival gang. 2 other people were injured in the crossfire. Police reported the dispute was a continuation of an altercation at a nightclub the night before.")</f>
        <v>Three men fired shots and killed a student who was affiliated with a rival gang. 2 other people were injured in the crossfire. Police reported the dispute was a continuation of an altercation at a nightclub the night before.</v>
      </c>
      <c r="AA1998" s="8" t="str">
        <f ca="1">IFERROR(__xludf.DUMMYFUNCTION("""COMPUTED_VALUE"""),"Escalation of Dispute")</f>
        <v>Escalation of Dispute</v>
      </c>
      <c r="AB1998" s="8"/>
      <c r="AC1998" s="8" t="str">
        <f ca="1">IFERROR(__xludf.DUMMYFUNCTION("""COMPUTED_VALUE"""),"Yes")</f>
        <v>Yes</v>
      </c>
      <c r="AD1998" s="8"/>
      <c r="AE1998" s="8" t="str">
        <f ca="1">IFERROR(__xludf.DUMMYFUNCTION("""COMPUTED_VALUE"""),"Yes")</f>
        <v>Yes</v>
      </c>
      <c r="AF1998" s="8" t="str">
        <f ca="1">IFERROR(__xludf.DUMMYFUNCTION("""COMPUTED_VALUE"""),"2 more suspects charged")</f>
        <v>2 more suspects charged</v>
      </c>
      <c r="AG1998" s="8" t="str">
        <f ca="1">IFERROR(__xludf.DUMMYFUNCTION("""COMPUTED_VALUE"""),"No")</f>
        <v>No</v>
      </c>
      <c r="AH1998" s="8" t="str">
        <f ca="1">IFERROR(__xludf.DUMMYFUNCTION("""COMPUTED_VALUE"""),"No")</f>
        <v>No</v>
      </c>
      <c r="AI1998" s="8" t="str">
        <f ca="1">IFERROR(__xludf.DUMMYFUNCTION("""COMPUTED_VALUE"""),"No")</f>
        <v>No</v>
      </c>
      <c r="AJ1998" s="8" t="str">
        <f ca="1">IFERROR(__xludf.DUMMYFUNCTION("""COMPUTED_VALUE"""),"No")</f>
        <v>No</v>
      </c>
      <c r="AK1998" s="8" t="str">
        <f ca="1">IFERROR(__xludf.DUMMYFUNCTION("""COMPUTED_VALUE"""),"No")</f>
        <v>No</v>
      </c>
      <c r="AL1998" s="8" t="str">
        <f ca="1">IFERROR(__xludf.DUMMYFUNCTION("""COMPUTED_VALUE"""),"Yes")</f>
        <v>Yes</v>
      </c>
      <c r="AM1998" s="8"/>
      <c r="AN1998" s="8"/>
      <c r="AO1998" s="8" t="str">
        <f ca="1">IFERROR(__xludf.DUMMYFUNCTION("""COMPUTED_VALUE"""),"No")</f>
        <v>No</v>
      </c>
      <c r="AP1998" s="8" t="str">
        <f ca="1">IFERROR(__xludf.DUMMYFUNCTION("""COMPUTED_VALUE"""),"N/A")</f>
        <v>N/A</v>
      </c>
      <c r="AQ1998" s="8" t="str">
        <f ca="1">IFERROR(__xludf.DUMMYFUNCTION("""COMPUTED_VALUE"""),"Unknown")</f>
        <v>Unknown</v>
      </c>
      <c r="AR1998" s="8" t="str">
        <f ca="1">IFERROR(__xludf.DUMMYFUNCTION("""COMPUTED_VALUE"""),"NA")</f>
        <v>NA</v>
      </c>
      <c r="AS1998" s="8">
        <f ca="1">IFERROR(__xludf.DUMMYFUNCTION("""COMPUTED_VALUE"""),5)</f>
        <v>5</v>
      </c>
      <c r="AT1998" s="8" t="str">
        <f ca="1">IFERROR(__xludf.DUMMYFUNCTION("""COMPUTED_VALUE"""),"Yes")</f>
        <v>Yes</v>
      </c>
      <c r="AU1998" s="8">
        <f ca="1">IFERROR(__xludf.DUMMYFUNCTION("""COMPUTED_VALUE"""),34.444086)</f>
        <v>34.444085999999999</v>
      </c>
      <c r="AV1998" s="8">
        <f ca="1">IFERROR(__xludf.DUMMYFUNCTION("""COMPUTED_VALUE"""),-89.922971)</f>
        <v>-89.922971000000004</v>
      </c>
      <c r="AW1998" s="8"/>
      <c r="AX1998" s="8">
        <f ca="1">IFERROR(__xludf.DUMMYFUNCTION("""COMPUTED_VALUE"""),38666)</f>
        <v>38666</v>
      </c>
    </row>
    <row r="1999" spans="1:50" ht="75" x14ac:dyDescent="0.2">
      <c r="A1999" s="8" t="str">
        <f ca="1">IFERROR(__xludf.DUMMYFUNCTION("""COMPUTED_VALUE"""),"20130822TNWEM")</f>
        <v>20130822TNWEM</v>
      </c>
      <c r="B1999" s="8">
        <f ca="1">IFERROR(__xludf.DUMMYFUNCTION("""COMPUTED_VALUE"""),8)</f>
        <v>8</v>
      </c>
      <c r="C1999" s="8">
        <f ca="1">IFERROR(__xludf.DUMMYFUNCTION("""COMPUTED_VALUE"""),22)</f>
        <v>22</v>
      </c>
      <c r="D1999" s="8">
        <f ca="1">IFERROR(__xludf.DUMMYFUNCTION("""COMPUTED_VALUE"""),2013)</f>
        <v>2013</v>
      </c>
      <c r="E1999" s="9">
        <f ca="1">IFERROR(__xludf.DUMMYFUNCTION("""COMPUTED_VALUE"""),41508)</f>
        <v>41508</v>
      </c>
      <c r="F1999" s="8" t="str">
        <f ca="1">IFERROR(__xludf.DUMMYFUNCTION("""COMPUTED_VALUE"""),"Westside Elementary School")</f>
        <v>Westside Elementary School</v>
      </c>
      <c r="G1999" s="8">
        <f ca="1">IFERROR(__xludf.DUMMYFUNCTION("""COMPUTED_VALUE"""),0)</f>
        <v>0</v>
      </c>
      <c r="H1999" s="8">
        <f ca="1">IFERROR(__xludf.DUMMYFUNCTION("""COMPUTED_VALUE"""),0)</f>
        <v>0</v>
      </c>
      <c r="I1999" s="8">
        <f ca="1">IFERROR(__xludf.DUMMYFUNCTION("""COMPUTED_VALUE"""),0)</f>
        <v>0</v>
      </c>
      <c r="J1999" s="8">
        <f ca="1">IFERROR(__xludf.DUMMYFUNCTION("""COMPUTED_VALUE"""),0)</f>
        <v>0</v>
      </c>
      <c r="K1999" s="10" t="str">
        <f ca="1">IFERROR(__xludf.DUMMYFUNCTION("""COMPUTED_VALUE"""),"http://www.wmcactionnews5.com/story/23229636/5-year-old-fires-gun-in-school-cafeteria")</f>
        <v>http://www.wmcactionnews5.com/story/23229636/5-year-old-fires-gun-in-school-cafeteria</v>
      </c>
      <c r="L1999" s="8">
        <f ca="1">IFERROR(__xludf.DUMMYFUNCTION("""COMPUTED_VALUE"""),1)</f>
        <v>1</v>
      </c>
      <c r="M1999" s="8" t="str">
        <f ca="1">IFERROR(__xludf.DUMMYFUNCTION("""COMPUTED_VALUE"""),"Local")</f>
        <v>Local</v>
      </c>
      <c r="N1999" s="8">
        <f ca="1">IFERROR(__xludf.DUMMYFUNCTION("""COMPUTED_VALUE"""),2)</f>
        <v>2</v>
      </c>
      <c r="O1999" s="8" t="str">
        <f ca="1">IFERROR(__xludf.DUMMYFUNCTION("""COMPUTED_VALUE"""),"Summer")</f>
        <v>Summer</v>
      </c>
      <c r="P1999" s="8" t="str">
        <f ca="1">IFERROR(__xludf.DUMMYFUNCTION("""COMPUTED_VALUE"""),"Memphis")</f>
        <v>Memphis</v>
      </c>
      <c r="Q1999" s="8" t="str">
        <f ca="1">IFERROR(__xludf.DUMMYFUNCTION("""COMPUTED_VALUE"""),"TN")</f>
        <v>TN</v>
      </c>
      <c r="R1999" s="8" t="str">
        <f ca="1">IFERROR(__xludf.DUMMYFUNCTION("""COMPUTED_VALUE"""),"Elementary")</f>
        <v>Elementary</v>
      </c>
      <c r="S1999" s="8" t="str">
        <f ca="1">IFERROR(__xludf.DUMMYFUNCTION("""COMPUTED_VALUE"""),"Cafeteria")</f>
        <v>Cafeteria</v>
      </c>
      <c r="T1999" s="8" t="str">
        <f ca="1">IFERROR(__xludf.DUMMYFUNCTION("""COMPUTED_VALUE"""),"Inside School Building")</f>
        <v>Inside School Building</v>
      </c>
      <c r="U1999" s="8" t="str">
        <f ca="1">IFERROR(__xludf.DUMMYFUNCTION("""COMPUTED_VALUE"""),"Yes")</f>
        <v>Yes</v>
      </c>
      <c r="V1999" s="8" t="str">
        <f ca="1">IFERROR(__xludf.DUMMYFUNCTION("""COMPUTED_VALUE"""),"School Start")</f>
        <v>School Start</v>
      </c>
      <c r="W1999" s="11">
        <f ca="1">IFERROR(__xludf.DUMMYFUNCTION("""COMPUTED_VALUE"""),0.333333333333333)</f>
        <v>0.33333333333333298</v>
      </c>
      <c r="X1999" s="8">
        <f ca="1">IFERROR(__xludf.DUMMYFUNCTION("""COMPUTED_VALUE"""),1)</f>
        <v>1</v>
      </c>
      <c r="Y1999" s="12" t="str">
        <f ca="1">IFERROR(__xludf.DUMMYFUNCTION("""COMPUTED_VALUE"""),"Accidental discharge in backpack")</f>
        <v>Accidental discharge in backpack</v>
      </c>
      <c r="Z1999" s="12" t="str">
        <f ca="1">IFERROR(__xludf.DUMMYFUNCTION("""COMPUTED_VALUE"""),"5 year old brought gun to school - accidentally went off while in backpack - children were in cafeteria waiting for first bell to ring to begin class - no injuries. School officials did not contact police right away. County security officer was called fir"&amp;"st and arrived on scene.")</f>
        <v>5 year old brought gun to school - accidentally went off while in backpack - children were in cafeteria waiting for first bell to ring to begin class - no injuries. School officials did not contact police right away. County security officer was called first and arrived on scene.</v>
      </c>
      <c r="AA1999" s="8" t="str">
        <f ca="1">IFERROR(__xludf.DUMMYFUNCTION("""COMPUTED_VALUE"""),"Accidental")</f>
        <v>Accidental</v>
      </c>
      <c r="AB1999" s="8"/>
      <c r="AC1999" s="8" t="str">
        <f ca="1">IFERROR(__xludf.DUMMYFUNCTION("""COMPUTED_VALUE"""),"Yes")</f>
        <v>Yes</v>
      </c>
      <c r="AD1999" s="8" t="str">
        <f ca="1">IFERROR(__xludf.DUMMYFUNCTION("""COMPUTED_VALUE"""),"Neither")</f>
        <v>Neither</v>
      </c>
      <c r="AE1999" s="8" t="str">
        <f ca="1">IFERROR(__xludf.DUMMYFUNCTION("""COMPUTED_VALUE"""),"No")</f>
        <v>No</v>
      </c>
      <c r="AF1999" s="8"/>
      <c r="AG1999" s="8" t="str">
        <f ca="1">IFERROR(__xludf.DUMMYFUNCTION("""COMPUTED_VALUE"""),"No")</f>
        <v>No</v>
      </c>
      <c r="AH1999" s="8" t="str">
        <f ca="1">IFERROR(__xludf.DUMMYFUNCTION("""COMPUTED_VALUE"""),"No")</f>
        <v>No</v>
      </c>
      <c r="AI1999" s="8" t="str">
        <f ca="1">IFERROR(__xludf.DUMMYFUNCTION("""COMPUTED_VALUE"""),"No")</f>
        <v>No</v>
      </c>
      <c r="AJ1999" s="8" t="str">
        <f ca="1">IFERROR(__xludf.DUMMYFUNCTION("""COMPUTED_VALUE"""),"No")</f>
        <v>No</v>
      </c>
      <c r="AK1999" s="8" t="str">
        <f ca="1">IFERROR(__xludf.DUMMYFUNCTION("""COMPUTED_VALUE"""),"No")</f>
        <v>No</v>
      </c>
      <c r="AL1999" s="8" t="str">
        <f ca="1">IFERROR(__xludf.DUMMYFUNCTION("""COMPUTED_VALUE"""),"No")</f>
        <v>No</v>
      </c>
      <c r="AM1999" s="8"/>
      <c r="AN1999" s="8"/>
      <c r="AO1999" s="8" t="str">
        <f ca="1">IFERROR(__xludf.DUMMYFUNCTION("""COMPUTED_VALUE"""),"No")</f>
        <v>No</v>
      </c>
      <c r="AP1999" s="8"/>
      <c r="AQ1999" s="8" t="str">
        <f ca="1">IFERROR(__xludf.DUMMYFUNCTION("""COMPUTED_VALUE"""),"Unknown")</f>
        <v>Unknown</v>
      </c>
      <c r="AR1999" s="8" t="str">
        <f ca="1">IFERROR(__xludf.DUMMYFUNCTION("""COMPUTED_VALUE"""),"NA")</f>
        <v>NA</v>
      </c>
      <c r="AS1999" s="8">
        <f ca="1">IFERROR(__xludf.DUMMYFUNCTION("""COMPUTED_VALUE"""),1)</f>
        <v>1</v>
      </c>
      <c r="AT1999" s="8" t="str">
        <f ca="1">IFERROR(__xludf.DUMMYFUNCTION("""COMPUTED_VALUE"""),"No")</f>
        <v>No</v>
      </c>
      <c r="AU1999" s="8">
        <f ca="1">IFERROR(__xludf.DUMMYFUNCTION("""COMPUTED_VALUE"""),35.217125)</f>
        <v>35.217125000000003</v>
      </c>
      <c r="AV1999" s="8">
        <f ca="1">IFERROR(__xludf.DUMMYFUNCTION("""COMPUTED_VALUE"""),-90.037319)</f>
        <v>-90.037318999999997</v>
      </c>
      <c r="AW1999" s="8"/>
      <c r="AX1999" s="8">
        <f ca="1">IFERROR(__xludf.DUMMYFUNCTION("""COMPUTED_VALUE"""),38127)</f>
        <v>38127</v>
      </c>
    </row>
    <row r="2000" spans="1:50" ht="240" x14ac:dyDescent="0.2">
      <c r="A2000" s="8" t="str">
        <f ca="1">IFERROR(__xludf.DUMMYFUNCTION("""COMPUTED_VALUE"""),"20130820GAROD")</f>
        <v>20130820GAROD</v>
      </c>
      <c r="B2000" s="8">
        <f ca="1">IFERROR(__xludf.DUMMYFUNCTION("""COMPUTED_VALUE"""),8)</f>
        <v>8</v>
      </c>
      <c r="C2000" s="8">
        <f ca="1">IFERROR(__xludf.DUMMYFUNCTION("""COMPUTED_VALUE"""),20)</f>
        <v>20</v>
      </c>
      <c r="D2000" s="8">
        <f ca="1">IFERROR(__xludf.DUMMYFUNCTION("""COMPUTED_VALUE"""),2013)</f>
        <v>2013</v>
      </c>
      <c r="E2000" s="9">
        <f ca="1">IFERROR(__xludf.DUMMYFUNCTION("""COMPUTED_VALUE"""),41506)</f>
        <v>41506</v>
      </c>
      <c r="F2000" s="8" t="str">
        <f ca="1">IFERROR(__xludf.DUMMYFUNCTION("""COMPUTED_VALUE"""),"Ronald E. McNair Discovery Learning Academy")</f>
        <v>Ronald E. McNair Discovery Learning Academy</v>
      </c>
      <c r="G2000" s="8">
        <f ca="1">IFERROR(__xludf.DUMMYFUNCTION("""COMPUTED_VALUE"""),0)</f>
        <v>0</v>
      </c>
      <c r="H2000" s="8">
        <f ca="1">IFERROR(__xludf.DUMMYFUNCTION("""COMPUTED_VALUE"""),0)</f>
        <v>0</v>
      </c>
      <c r="I2000" s="8">
        <f ca="1">IFERROR(__xludf.DUMMYFUNCTION("""COMPUTED_VALUE"""),0)</f>
        <v>0</v>
      </c>
      <c r="J2000" s="8">
        <f ca="1">IFERROR(__xludf.DUMMYFUNCTION("""COMPUTED_VALUE"""),0)</f>
        <v>0</v>
      </c>
      <c r="K2000" s="10" t="str">
        <f ca="1">IFERROR(__xludf.DUMMYFUNCTION("""COMPUTED_VALUE"""),"https://www.nbcnews.com/news/us-news/authorities-georgia-shooting-suspect-had-nearly-500-rounds-ammunition-flna6C10968110 https://www.11alive.com/article/features/she-saved-a-school-from-a-mass-shooting-years-later-antoinette-tuff-continues-to-inspire-and"&amp;"-teach-tuff-tactics/85-165e5660-a34e-4b53-bc3e-d4289599417d
https://abcnews.go.com/amp/US/elementary-school-clerk-convinced-suspect-put-weapons-surrender/story?id=20014879")</f>
        <v>https://www.nbcnews.com/news/us-news/authorities-georgia-shooting-suspect-had-nearly-500-rounds-ammunition-flna6C10968110 https://www.11alive.com/article/features/she-saved-a-school-from-a-mass-shooting-years-later-antoinette-tuff-continues-to-inspire-and-teach-tuff-tactics/85-165e5660-a34e-4b53-bc3e-d4289599417d
https://abcnews.go.com/amp/US/elementary-school-clerk-convinced-suspect-put-weapons-surrender/story?id=20014879</v>
      </c>
      <c r="L2000" s="8">
        <f ca="1">IFERROR(__xludf.DUMMYFUNCTION("""COMPUTED_VALUE"""),11)</f>
        <v>11</v>
      </c>
      <c r="M2000" s="8" t="str">
        <f ca="1">IFERROR(__xludf.DUMMYFUNCTION("""COMPUTED_VALUE"""),"International")</f>
        <v>International</v>
      </c>
      <c r="N2000" s="8">
        <f ca="1">IFERROR(__xludf.DUMMYFUNCTION("""COMPUTED_VALUE"""),4)</f>
        <v>4</v>
      </c>
      <c r="O2000" s="8" t="str">
        <f ca="1">IFERROR(__xludf.DUMMYFUNCTION("""COMPUTED_VALUE"""),"Summer")</f>
        <v>Summer</v>
      </c>
      <c r="P2000" s="8" t="str">
        <f ca="1">IFERROR(__xludf.DUMMYFUNCTION("""COMPUTED_VALUE"""),"Decatur")</f>
        <v>Decatur</v>
      </c>
      <c r="Q2000" s="8" t="str">
        <f ca="1">IFERROR(__xludf.DUMMYFUNCTION("""COMPUTED_VALUE"""),"GA")</f>
        <v>GA</v>
      </c>
      <c r="R2000" s="8" t="str">
        <f ca="1">IFERROR(__xludf.DUMMYFUNCTION("""COMPUTED_VALUE"""),"Elementary")</f>
        <v>Elementary</v>
      </c>
      <c r="S2000" s="8" t="str">
        <f ca="1">IFERROR(__xludf.DUMMYFUNCTION("""COMPUTED_VALUE"""),"Office")</f>
        <v>Office</v>
      </c>
      <c r="T2000" s="8" t="str">
        <f ca="1">IFERROR(__xludf.DUMMYFUNCTION("""COMPUTED_VALUE"""),"Inside School Building")</f>
        <v>Inside School Building</v>
      </c>
      <c r="U2000" s="8" t="str">
        <f ca="1">IFERROR(__xludf.DUMMYFUNCTION("""COMPUTED_VALUE"""),"Yes")</f>
        <v>Yes</v>
      </c>
      <c r="V2000" s="8" t="str">
        <f ca="1">IFERROR(__xludf.DUMMYFUNCTION("""COMPUTED_VALUE"""),"Morning Classes")</f>
        <v>Morning Classes</v>
      </c>
      <c r="W2000" s="11">
        <f ca="1">IFERROR(__xludf.DUMMYFUNCTION("""COMPUTED_VALUE"""),0.535416666666666)</f>
        <v>0.53541666666666599</v>
      </c>
      <c r="X2000" s="8">
        <f ca="1">IFERROR(__xludf.DUMMYFUNCTION("""COMPUTED_VALUE"""),1)</f>
        <v>1</v>
      </c>
      <c r="Y2000" s="12" t="str">
        <f ca="1">IFERROR(__xludf.DUMMYFUNCTION("""COMPUTED_VALUE"""),"Bipolar, had assault rifle and multiple other weapons, exchanged fire with police outside of school")</f>
        <v>Bipolar, had assault rifle and multiple other weapons, exchanged fire with police outside of school</v>
      </c>
      <c r="Z2000" s="12" t="str">
        <f ca="1">IFERROR(__xludf.DUMMYFUNCTION("""COMPUTED_VALUE"""),"Shooter had bipolar disorder. Recently stopped taking medication. Walked into office of elementary school with an AK47 and held two employees hostage. Told employee to call a local TV station to film cops dying. Had 498 rounds with him. School employee ta"&amp;"lked him down and he eventually surrendered to police. Allegedly, shooter said he had nothing to live for and he was ready to die. Fired 6 rounds at police outside of school. Not clear if he had other weapons. Affiliation with school is unclear. Got rifle"&amp;" from someone else, took a selfie with the weapon prior to shooting, recovered from shooter's phone. The female housing him reported that he didn't seem to have any friends, that his birth mother was dead and that he didn't know his father; also shooter w"&amp;"as quiet and didn't show any violent tendencies. Brother reported shooter had threatened to shoot him in the past.")</f>
        <v>Shooter had bipolar disorder. Recently stopped taking medication. Walked into office of elementary school with an AK47 and held two employees hostage. Told employee to call a local TV station to film cops dying. Had 498 rounds with him. School employee talked him down and he eventually surrendered to police. Allegedly, shooter said he had nothing to live for and he was ready to die. Fired 6 rounds at police outside of school. Not clear if he had other weapons. Affiliation with school is unclear. Got rifle from someone else, took a selfie with the weapon prior to shooting, recovered from shooter's phone. The female housing him reported that he didn't seem to have any friends, that his birth mother was dead and that he didn't know his father; also shooter was quiet and didn't show any violent tendencies. Brother reported shooter had threatened to shoot him in the past.</v>
      </c>
      <c r="AA2000" s="8" t="str">
        <f ca="1">IFERROR(__xludf.DUMMYFUNCTION("""COMPUTED_VALUE"""),"Psychosis")</f>
        <v>Psychosis</v>
      </c>
      <c r="AB2000" s="8"/>
      <c r="AC2000" s="8" t="str">
        <f ca="1">IFERROR(__xludf.DUMMYFUNCTION("""COMPUTED_VALUE"""),"Yes")</f>
        <v>Yes</v>
      </c>
      <c r="AD2000" s="8" t="str">
        <f ca="1">IFERROR(__xludf.DUMMYFUNCTION("""COMPUTED_VALUE"""),"Victims Targeted")</f>
        <v>Victims Targeted</v>
      </c>
      <c r="AE2000" s="8" t="str">
        <f ca="1">IFERROR(__xludf.DUMMYFUNCTION("""COMPUTED_VALUE"""),"No")</f>
        <v>No</v>
      </c>
      <c r="AF2000" s="8"/>
      <c r="AG2000" s="8" t="str">
        <f ca="1">IFERROR(__xludf.DUMMYFUNCTION("""COMPUTED_VALUE"""),"Yes")</f>
        <v>Yes</v>
      </c>
      <c r="AH2000" s="8" t="str">
        <f ca="1">IFERROR(__xludf.DUMMYFUNCTION("""COMPUTED_VALUE"""),"No")</f>
        <v>No</v>
      </c>
      <c r="AI2000" s="8" t="str">
        <f ca="1">IFERROR(__xludf.DUMMYFUNCTION("""COMPUTED_VALUE"""),"No")</f>
        <v>No</v>
      </c>
      <c r="AJ2000" s="8" t="str">
        <f ca="1">IFERROR(__xludf.DUMMYFUNCTION("""COMPUTED_VALUE"""),"No")</f>
        <v>No</v>
      </c>
      <c r="AK2000" s="8" t="str">
        <f ca="1">IFERROR(__xludf.DUMMYFUNCTION("""COMPUTED_VALUE"""),"No")</f>
        <v>No</v>
      </c>
      <c r="AL2000" s="8" t="str">
        <f ca="1">IFERROR(__xludf.DUMMYFUNCTION("""COMPUTED_VALUE"""),"No")</f>
        <v>No</v>
      </c>
      <c r="AM2000" s="8" t="str">
        <f ca="1">IFERROR(__xludf.DUMMYFUNCTION("""COMPUTED_VALUE"""),"Yes")</f>
        <v>Yes</v>
      </c>
      <c r="AN2000" s="8" t="str">
        <f ca="1">IFERROR(__xludf.DUMMYFUNCTION("""COMPUTED_VALUE"""),"Single Room")</f>
        <v>Single Room</v>
      </c>
      <c r="AO2000" s="8" t="str">
        <f ca="1">IFERROR(__xludf.DUMMYFUNCTION("""COMPUTED_VALUE"""),"Yes")</f>
        <v>Yes</v>
      </c>
      <c r="AP2000" s="8" t="str">
        <f ca="1">IFERROR(__xludf.DUMMYFUNCTION("""COMPUTED_VALUE"""),"No")</f>
        <v>No</v>
      </c>
      <c r="AQ2000" s="8" t="str">
        <f ca="1">IFERROR(__xludf.DUMMYFUNCTION("""COMPUTED_VALUE"""),"Unknown")</f>
        <v>Unknown</v>
      </c>
      <c r="AR2000" s="8" t="str">
        <f ca="1">IFERROR(__xludf.DUMMYFUNCTION("""COMPUTED_VALUE"""),"NA")</f>
        <v>NA</v>
      </c>
      <c r="AS2000" s="8">
        <f ca="1">IFERROR(__xludf.DUMMYFUNCTION("""COMPUTED_VALUE"""),6)</f>
        <v>6</v>
      </c>
      <c r="AT2000" s="8" t="str">
        <f ca="1">IFERROR(__xludf.DUMMYFUNCTION("""COMPUTED_VALUE"""),"No")</f>
        <v>No</v>
      </c>
      <c r="AU2000" s="8">
        <f ca="1">IFERROR(__xludf.DUMMYFUNCTION("""COMPUTED_VALUE"""),33.7273)</f>
        <v>33.7273</v>
      </c>
      <c r="AV2000" s="8">
        <f ca="1">IFERROR(__xludf.DUMMYFUNCTION("""COMPUTED_VALUE"""),-84.3068)</f>
        <v>-84.306799999999996</v>
      </c>
      <c r="AW2000" s="8"/>
      <c r="AX2000" s="8">
        <f ca="1">IFERROR(__xludf.DUMMYFUNCTION("""COMPUTED_VALUE"""),30032)</f>
        <v>30032</v>
      </c>
    </row>
    <row r="2001" spans="1:50" ht="210" x14ac:dyDescent="0.2">
      <c r="A2001" s="8" t="str">
        <f ca="1">IFERROR(__xludf.DUMMYFUNCTION("""COMPUTED_VALUE"""),"20130815TNNOC")</f>
        <v>20130815TNNOC</v>
      </c>
      <c r="B2001" s="8">
        <f ca="1">IFERROR(__xludf.DUMMYFUNCTION("""COMPUTED_VALUE"""),8)</f>
        <v>8</v>
      </c>
      <c r="C2001" s="8">
        <f ca="1">IFERROR(__xludf.DUMMYFUNCTION("""COMPUTED_VALUE"""),15)</f>
        <v>15</v>
      </c>
      <c r="D2001" s="8">
        <f ca="1">IFERROR(__xludf.DUMMYFUNCTION("""COMPUTED_VALUE"""),2013)</f>
        <v>2013</v>
      </c>
      <c r="E2001" s="9">
        <f ca="1">IFERROR(__xludf.DUMMYFUNCTION("""COMPUTED_VALUE"""),41501)</f>
        <v>41501</v>
      </c>
      <c r="F2001" s="8" t="str">
        <f ca="1">IFERROR(__xludf.DUMMYFUNCTION("""COMPUTED_VALUE"""),"Northwest High School")</f>
        <v>Northwest High School</v>
      </c>
      <c r="G2001" s="8">
        <f ca="1">IFERROR(__xludf.DUMMYFUNCTION("""COMPUTED_VALUE"""),1)</f>
        <v>1</v>
      </c>
      <c r="H2001" s="8">
        <f ca="1">IFERROR(__xludf.DUMMYFUNCTION("""COMPUTED_VALUE"""),0)</f>
        <v>0</v>
      </c>
      <c r="I2001" s="8">
        <f ca="1">IFERROR(__xludf.DUMMYFUNCTION("""COMPUTED_VALUE"""),1)</f>
        <v>1</v>
      </c>
      <c r="J2001" s="8">
        <f ca="1">IFERROR(__xludf.DUMMYFUNCTION("""COMPUTED_VALUE"""),0)</f>
        <v>0</v>
      </c>
      <c r="K2001" s="10" t="str">
        <f ca="1">IFERROR(__xludf.DUMMYFUNCTION("""COMPUTED_VALUE"""),"https://www.theleafchronicle.com/story/news/2017/03/10/one-familys-emotional-trial-ends-without-answers/98871314/")</f>
        <v>https://www.theleafchronicle.com/story/news/2017/03/10/one-familys-emotional-trial-ends-without-answers/98871314/</v>
      </c>
      <c r="L2001" s="8">
        <f ca="1">IFERROR(__xludf.DUMMYFUNCTION("""COMPUTED_VALUE"""),5)</f>
        <v>5</v>
      </c>
      <c r="M2001" s="8" t="str">
        <f ca="1">IFERROR(__xludf.DUMMYFUNCTION("""COMPUTED_VALUE"""),"Local")</f>
        <v>Local</v>
      </c>
      <c r="N2001" s="8">
        <f ca="1">IFERROR(__xludf.DUMMYFUNCTION("""COMPUTED_VALUE"""),2)</f>
        <v>2</v>
      </c>
      <c r="O2001" s="8" t="str">
        <f ca="1">IFERROR(__xludf.DUMMYFUNCTION("""COMPUTED_VALUE"""),"Summer")</f>
        <v>Summer</v>
      </c>
      <c r="P2001" s="8" t="str">
        <f ca="1">IFERROR(__xludf.DUMMYFUNCTION("""COMPUTED_VALUE"""),"Clarksville")</f>
        <v>Clarksville</v>
      </c>
      <c r="Q2001" s="8" t="str">
        <f ca="1">IFERROR(__xludf.DUMMYFUNCTION("""COMPUTED_VALUE"""),"TN")</f>
        <v>TN</v>
      </c>
      <c r="R2001" s="8" t="str">
        <f ca="1">IFERROR(__xludf.DUMMYFUNCTION("""COMPUTED_VALUE"""),"Middle")</f>
        <v>Middle</v>
      </c>
      <c r="S2001" s="8" t="str">
        <f ca="1">IFERROR(__xludf.DUMMYFUNCTION("""COMPUTED_VALUE"""),"Parking Lot")</f>
        <v>Parking Lot</v>
      </c>
      <c r="T2001" s="8" t="str">
        <f ca="1">IFERROR(__xludf.DUMMYFUNCTION("""COMPUTED_VALUE"""),"Outside on School Property")</f>
        <v>Outside on School Property</v>
      </c>
      <c r="U2001" s="8" t="str">
        <f ca="1">IFERROR(__xludf.DUMMYFUNCTION("""COMPUTED_VALUE"""),"No")</f>
        <v>No</v>
      </c>
      <c r="V2001" s="8" t="str">
        <f ca="1">IFERROR(__xludf.DUMMYFUNCTION("""COMPUTED_VALUE"""),"Night")</f>
        <v>Night</v>
      </c>
      <c r="W2001" s="11">
        <f ca="1">IFERROR(__xludf.DUMMYFUNCTION("""COMPUTED_VALUE"""),0.0833333333333333)</f>
        <v>8.3333333333333301E-2</v>
      </c>
      <c r="X2001" s="8">
        <f ca="1">IFERROR(__xludf.DUMMYFUNCTION("""COMPUTED_VALUE"""),1)</f>
        <v>1</v>
      </c>
      <c r="Y2001" s="12" t="str">
        <f ca="1">IFERROR(__xludf.DUMMYFUNCTION("""COMPUTED_VALUE"""),"Fight between non-students in school parking lot")</f>
        <v>Fight between non-students in school parking lot</v>
      </c>
      <c r="Z2001" s="12" t="str">
        <f ca="1">IFERROR(__xludf.DUMMYFUNCTION("""COMPUTED_VALUE"""),"Victim, shooter, and accomplices met in local bar. One of the suspects' ex girlfriend reported the men had an argument. Shooter allegedly offered the victim a ride home, stopped at a crack house on the way, where shooter claims victim got a gun. Shooter s"&amp;"tated he pulled into school parking lot because victim was going to throw up. Shooter said victim pulled gun on him but it dropped to the floor - shooter said he picked up gun and it fired striking/killing victim. The other suspects were also there in ano"&amp;"ther car, the girlfriend was sleeping in the back. The video footage from the parking lot is from too far away. Allegedly, shooter tried to clean the blood stains and to get rid of the car. The case was declared a mistrial and no public reason was provide"&amp;"d.")</f>
        <v>Victim, shooter, and accomplices met in local bar. One of the suspects' ex girlfriend reported the men had an argument. Shooter allegedly offered the victim a ride home, stopped at a crack house on the way, where shooter claims victim got a gun. Shooter stated he pulled into school parking lot because victim was going to throw up. Shooter said victim pulled gun on him but it dropped to the floor - shooter said he picked up gun and it fired striking/killing victim. The other suspects were also there in another car, the girlfriend was sleeping in the back. The video footage from the parking lot is from too far away. Allegedly, shooter tried to clean the blood stains and to get rid of the car. The case was declared a mistrial and no public reason was provided.</v>
      </c>
      <c r="AA2001" s="8" t="str">
        <f ca="1">IFERROR(__xludf.DUMMYFUNCTION("""COMPUTED_VALUE"""),"Escalation of Dispute")</f>
        <v>Escalation of Dispute</v>
      </c>
      <c r="AB2001" s="8"/>
      <c r="AC2001" s="8" t="str">
        <f ca="1">IFERROR(__xludf.DUMMYFUNCTION("""COMPUTED_VALUE"""),"No")</f>
        <v>No</v>
      </c>
      <c r="AD2001" s="8" t="str">
        <f ca="1">IFERROR(__xludf.DUMMYFUNCTION("""COMPUTED_VALUE"""),"Victims Targeted")</f>
        <v>Victims Targeted</v>
      </c>
      <c r="AE2001" s="8" t="str">
        <f ca="1">IFERROR(__xludf.DUMMYFUNCTION("""COMPUTED_VALUE"""),"Yes")</f>
        <v>Yes</v>
      </c>
      <c r="AF2001" s="8" t="str">
        <f ca="1">IFERROR(__xludf.DUMMYFUNCTION("""COMPUTED_VALUE"""),"Reginald Nesmith. Kevin Forman")</f>
        <v>Reginald Nesmith. Kevin Forman</v>
      </c>
      <c r="AG2001" s="8" t="str">
        <f ca="1">IFERROR(__xludf.DUMMYFUNCTION("""COMPUTED_VALUE"""),"No")</f>
        <v>No</v>
      </c>
      <c r="AH2001" s="8" t="str">
        <f ca="1">IFERROR(__xludf.DUMMYFUNCTION("""COMPUTED_VALUE"""),"No")</f>
        <v>No</v>
      </c>
      <c r="AI2001" s="8" t="str">
        <f ca="1">IFERROR(__xludf.DUMMYFUNCTION("""COMPUTED_VALUE"""),"No")</f>
        <v>No</v>
      </c>
      <c r="AJ2001" s="8" t="str">
        <f ca="1">IFERROR(__xludf.DUMMYFUNCTION("""COMPUTED_VALUE"""),"No")</f>
        <v>No</v>
      </c>
      <c r="AK2001" s="8" t="str">
        <f ca="1">IFERROR(__xludf.DUMMYFUNCTION("""COMPUTED_VALUE"""),"No")</f>
        <v>No</v>
      </c>
      <c r="AL2001" s="8" t="str">
        <f ca="1">IFERROR(__xludf.DUMMYFUNCTION("""COMPUTED_VALUE"""),"No")</f>
        <v>No</v>
      </c>
      <c r="AM2001" s="8"/>
      <c r="AN2001" s="8"/>
      <c r="AO2001" s="8" t="str">
        <f ca="1">IFERROR(__xludf.DUMMYFUNCTION("""COMPUTED_VALUE"""),"No")</f>
        <v>No</v>
      </c>
      <c r="AP2001" s="8" t="str">
        <f ca="1">IFERROR(__xludf.DUMMYFUNCTION("""COMPUTED_VALUE"""),"N/A")</f>
        <v>N/A</v>
      </c>
      <c r="AQ2001" s="8" t="str">
        <f ca="1">IFERROR(__xludf.DUMMYFUNCTION("""COMPUTED_VALUE"""),"Unknown")</f>
        <v>Unknown</v>
      </c>
      <c r="AR2001" s="8" t="str">
        <f ca="1">IFERROR(__xludf.DUMMYFUNCTION("""COMPUTED_VALUE"""),"NA")</f>
        <v>NA</v>
      </c>
      <c r="AS2001" s="8">
        <f ca="1">IFERROR(__xludf.DUMMYFUNCTION("""COMPUTED_VALUE"""),1)</f>
        <v>1</v>
      </c>
      <c r="AT2001" s="8" t="str">
        <f ca="1">IFERROR(__xludf.DUMMYFUNCTION("""COMPUTED_VALUE"""),"N/A")</f>
        <v>N/A</v>
      </c>
      <c r="AU2001" s="8">
        <f ca="1">IFERROR(__xludf.DUMMYFUNCTION("""COMPUTED_VALUE"""),36.575367)</f>
        <v>36.575367</v>
      </c>
      <c r="AV2001" s="8">
        <f ca="1">IFERROR(__xludf.DUMMYFUNCTION("""COMPUTED_VALUE"""),-87.431358)</f>
        <v>-87.431358000000003</v>
      </c>
      <c r="AW2001" s="8"/>
      <c r="AX2001" s="8">
        <f ca="1">IFERROR(__xludf.DUMMYFUNCTION("""COMPUTED_VALUE"""),37042)</f>
        <v>37042</v>
      </c>
    </row>
    <row r="2002" spans="1:50" ht="75" x14ac:dyDescent="0.2">
      <c r="A2002" s="8" t="str">
        <f ca="1">IFERROR(__xludf.DUMMYFUNCTION("""COMPUTED_VALUE"""),"20130619FLALW")</f>
        <v>20130619FLALW</v>
      </c>
      <c r="B2002" s="8">
        <f ca="1">IFERROR(__xludf.DUMMYFUNCTION("""COMPUTED_VALUE"""),6)</f>
        <v>6</v>
      </c>
      <c r="C2002" s="8">
        <f ca="1">IFERROR(__xludf.DUMMYFUNCTION("""COMPUTED_VALUE"""),19)</f>
        <v>19</v>
      </c>
      <c r="D2002" s="8">
        <f ca="1">IFERROR(__xludf.DUMMYFUNCTION("""COMPUTED_VALUE"""),2013)</f>
        <v>2013</v>
      </c>
      <c r="E2002" s="9">
        <f ca="1">IFERROR(__xludf.DUMMYFUNCTION("""COMPUTED_VALUE"""),41444)</f>
        <v>41444</v>
      </c>
      <c r="F2002" s="8" t="str">
        <f ca="1">IFERROR(__xludf.DUMMYFUNCTION("""COMPUTED_VALUE"""),"Alexander W. Dreyfoos School of the Arts")</f>
        <v>Alexander W. Dreyfoos School of the Arts</v>
      </c>
      <c r="G2002" s="8">
        <f ca="1">IFERROR(__xludf.DUMMYFUNCTION("""COMPUTED_VALUE"""),2)</f>
        <v>2</v>
      </c>
      <c r="H2002" s="8">
        <f ca="1">IFERROR(__xludf.DUMMYFUNCTION("""COMPUTED_VALUE"""),0)</f>
        <v>0</v>
      </c>
      <c r="I2002" s="8">
        <f ca="1">IFERROR(__xludf.DUMMYFUNCTION("""COMPUTED_VALUE"""),2)</f>
        <v>2</v>
      </c>
      <c r="J2002" s="8">
        <f ca="1">IFERROR(__xludf.DUMMYFUNCTION("""COMPUTED_VALUE"""),0)</f>
        <v>0</v>
      </c>
      <c r="K2002" s="10" t="str">
        <f ca="1">IFERROR(__xludf.DUMMYFUNCTION("""COMPUTED_VALUE"""),"https://www.cbsnews.com/news/two-custodians-found-shot-to-death-at-fla-high-school-police-name-person-of-interest-report-says/")</f>
        <v>https://www.cbsnews.com/news/two-custodians-found-shot-to-death-at-fla-high-school-police-name-person-of-interest-report-says/</v>
      </c>
      <c r="L2002" s="8">
        <f ca="1">IFERROR(__xludf.DUMMYFUNCTION("""COMPUTED_VALUE"""),11)</f>
        <v>11</v>
      </c>
      <c r="M2002" s="8" t="str">
        <f ca="1">IFERROR(__xludf.DUMMYFUNCTION("""COMPUTED_VALUE"""),"International")</f>
        <v>International</v>
      </c>
      <c r="N2002" s="8">
        <f ca="1">IFERROR(__xludf.DUMMYFUNCTION("""COMPUTED_VALUE"""),4)</f>
        <v>4</v>
      </c>
      <c r="O2002" s="8" t="str">
        <f ca="1">IFERROR(__xludf.DUMMYFUNCTION("""COMPUTED_VALUE"""),"Summer")</f>
        <v>Summer</v>
      </c>
      <c r="P2002" s="8" t="str">
        <f ca="1">IFERROR(__xludf.DUMMYFUNCTION("""COMPUTED_VALUE"""),"West Palm Beach")</f>
        <v>West Palm Beach</v>
      </c>
      <c r="Q2002" s="8" t="str">
        <f ca="1">IFERROR(__xludf.DUMMYFUNCTION("""COMPUTED_VALUE"""),"FL")</f>
        <v>FL</v>
      </c>
      <c r="R2002" s="8" t="str">
        <f ca="1">IFERROR(__xludf.DUMMYFUNCTION("""COMPUTED_VALUE"""),"High")</f>
        <v>High</v>
      </c>
      <c r="S2002" s="8" t="str">
        <f ca="1">IFERROR(__xludf.DUMMYFUNCTION("""COMPUTED_VALUE"""),"Office")</f>
        <v>Office</v>
      </c>
      <c r="T2002" s="8" t="str">
        <f ca="1">IFERROR(__xludf.DUMMYFUNCTION("""COMPUTED_VALUE"""),"Inside School Building")</f>
        <v>Inside School Building</v>
      </c>
      <c r="U2002" s="8" t="str">
        <f ca="1">IFERROR(__xludf.DUMMYFUNCTION("""COMPUTED_VALUE"""),"No")</f>
        <v>No</v>
      </c>
      <c r="V2002" s="8" t="str">
        <f ca="1">IFERROR(__xludf.DUMMYFUNCTION("""COMPUTED_VALUE"""),"Not a School Day")</f>
        <v>Not a School Day</v>
      </c>
      <c r="W2002" s="11">
        <f ca="1">IFERROR(__xludf.DUMMYFUNCTION("""COMPUTED_VALUE"""),0.270833333333333)</f>
        <v>0.27083333333333298</v>
      </c>
      <c r="X2002" s="8">
        <f ca="1">IFERROR(__xludf.DUMMYFUNCTION("""COMPUTED_VALUE"""),1)</f>
        <v>1</v>
      </c>
      <c r="Y2002" s="12" t="str">
        <f ca="1">IFERROR(__xludf.DUMMYFUNCTION("""COMPUTED_VALUE"""),"School maintenance worker killed co-workers")</f>
        <v>School maintenance worker killed co-workers</v>
      </c>
      <c r="Z2002" s="12" t="str">
        <f ca="1">IFERROR(__xludf.DUMMYFUNCTION("""COMPUTED_VALUE"""),"Shooter was maintenance man at school - shot and killed two co-workers then fled to Columbia - In 2017 he turned himself in to local authorities and returned to US to face charges of first degree murder. Shooter had a history of violent behavior exhibited"&amp;" at the school in the past.")</f>
        <v>Shooter was maintenance man at school - shot and killed two co-workers then fled to Columbia - In 2017 he turned himself in to local authorities and returned to US to face charges of first degree murder. Shooter had a history of violent behavior exhibited at the school in the past.</v>
      </c>
      <c r="AA2002" s="8" t="str">
        <f ca="1">IFERROR(__xludf.DUMMYFUNCTION("""COMPUTED_VALUE"""),"Escalation of Dispute")</f>
        <v>Escalation of Dispute</v>
      </c>
      <c r="AB2002" s="8"/>
      <c r="AC2002" s="8" t="str">
        <f ca="1">IFERROR(__xludf.DUMMYFUNCTION("""COMPUTED_VALUE"""),"Yes")</f>
        <v>Yes</v>
      </c>
      <c r="AD2002" s="8" t="str">
        <f ca="1">IFERROR(__xludf.DUMMYFUNCTION("""COMPUTED_VALUE"""),"Victims Targeted")</f>
        <v>Victims Targeted</v>
      </c>
      <c r="AE2002" s="8" t="str">
        <f ca="1">IFERROR(__xludf.DUMMYFUNCTION("""COMPUTED_VALUE"""),"No")</f>
        <v>No</v>
      </c>
      <c r="AF2002" s="8"/>
      <c r="AG2002" s="8" t="str">
        <f ca="1">IFERROR(__xludf.DUMMYFUNCTION("""COMPUTED_VALUE"""),"No")</f>
        <v>No</v>
      </c>
      <c r="AH2002" s="8" t="str">
        <f ca="1">IFERROR(__xludf.DUMMYFUNCTION("""COMPUTED_VALUE"""),"No")</f>
        <v>No</v>
      </c>
      <c r="AI2002" s="8" t="str">
        <f ca="1">IFERROR(__xludf.DUMMYFUNCTION("""COMPUTED_VALUE"""),"No")</f>
        <v>No</v>
      </c>
      <c r="AJ2002" s="8" t="str">
        <f ca="1">IFERROR(__xludf.DUMMYFUNCTION("""COMPUTED_VALUE"""),"No")</f>
        <v>No</v>
      </c>
      <c r="AK2002" s="8" t="str">
        <f ca="1">IFERROR(__xludf.DUMMYFUNCTION("""COMPUTED_VALUE"""),"No")</f>
        <v>No</v>
      </c>
      <c r="AL2002" s="8" t="str">
        <f ca="1">IFERROR(__xludf.DUMMYFUNCTION("""COMPUTED_VALUE"""),"No")</f>
        <v>No</v>
      </c>
      <c r="AM2002" s="8"/>
      <c r="AN2002" s="8"/>
      <c r="AO2002" s="8" t="str">
        <f ca="1">IFERROR(__xludf.DUMMYFUNCTION("""COMPUTED_VALUE"""),"No")</f>
        <v>No</v>
      </c>
      <c r="AP2002" s="8"/>
      <c r="AQ2002" s="8" t="str">
        <f ca="1">IFERROR(__xludf.DUMMYFUNCTION("""COMPUTED_VALUE"""),"Unknown")</f>
        <v>Unknown</v>
      </c>
      <c r="AR2002" s="8" t="str">
        <f ca="1">IFERROR(__xludf.DUMMYFUNCTION("""COMPUTED_VALUE"""),"NA")</f>
        <v>NA</v>
      </c>
      <c r="AS2002" s="8">
        <f ca="1">IFERROR(__xludf.DUMMYFUNCTION("""COMPUTED_VALUE"""),4)</f>
        <v>4</v>
      </c>
      <c r="AT2002" s="8" t="str">
        <f ca="1">IFERROR(__xludf.DUMMYFUNCTION("""COMPUTED_VALUE"""),"N/A")</f>
        <v>N/A</v>
      </c>
      <c r="AU2002" s="8">
        <f ca="1">IFERROR(__xludf.DUMMYFUNCTION("""COMPUTED_VALUE"""),26.708669)</f>
        <v>26.708669</v>
      </c>
      <c r="AV2002" s="8">
        <f ca="1">IFERROR(__xludf.DUMMYFUNCTION("""COMPUTED_VALUE"""),-80.061305)</f>
        <v>-80.061305000000004</v>
      </c>
      <c r="AW2002" s="8"/>
      <c r="AX2002" s="8">
        <f ca="1">IFERROR(__xludf.DUMMYFUNCTION("""COMPUTED_VALUE"""),33401)</f>
        <v>33401</v>
      </c>
    </row>
    <row r="2003" spans="1:50" ht="90" x14ac:dyDescent="0.2">
      <c r="A2003" s="8" t="str">
        <f ca="1">IFERROR(__xludf.DUMMYFUNCTION("""COMPUTED_VALUE"""),"20130618NCHIC")</f>
        <v>20130618NCHIC</v>
      </c>
      <c r="B2003" s="8">
        <f ca="1">IFERROR(__xludf.DUMMYFUNCTION("""COMPUTED_VALUE"""),6)</f>
        <v>6</v>
      </c>
      <c r="C2003" s="8">
        <f ca="1">IFERROR(__xludf.DUMMYFUNCTION("""COMPUTED_VALUE"""),18)</f>
        <v>18</v>
      </c>
      <c r="D2003" s="8">
        <f ca="1">IFERROR(__xludf.DUMMYFUNCTION("""COMPUTED_VALUE"""),2013)</f>
        <v>2013</v>
      </c>
      <c r="E2003" s="9">
        <f ca="1">IFERROR(__xludf.DUMMYFUNCTION("""COMPUTED_VALUE"""),41443)</f>
        <v>41443</v>
      </c>
      <c r="F2003" s="8" t="str">
        <f ca="1">IFERROR(__xludf.DUMMYFUNCTION("""COMPUTED_VALUE"""),"Hidden Valley Elementary School")</f>
        <v>Hidden Valley Elementary School</v>
      </c>
      <c r="G2003" s="8">
        <f ca="1">IFERROR(__xludf.DUMMYFUNCTION("""COMPUTED_VALUE"""),0)</f>
        <v>0</v>
      </c>
      <c r="H2003" s="8">
        <f ca="1">IFERROR(__xludf.DUMMYFUNCTION("""COMPUTED_VALUE"""),1)</f>
        <v>1</v>
      </c>
      <c r="I2003" s="8">
        <f ca="1">IFERROR(__xludf.DUMMYFUNCTION("""COMPUTED_VALUE"""),1)</f>
        <v>1</v>
      </c>
      <c r="J2003" s="8">
        <f ca="1">IFERROR(__xludf.DUMMYFUNCTION("""COMPUTED_VALUE"""),1)</f>
        <v>1</v>
      </c>
      <c r="K2003" s="10" t="str">
        <f ca="1">IFERROR(__xludf.DUMMYFUNCTION("""COMPUTED_VALUE"""),"https://www.wsoctv.com/news/local/gunfire-school-campus-part-undercover-drug-operati/335014423")</f>
        <v>https://www.wsoctv.com/news/local/gunfire-school-campus-part-undercover-drug-operati/335014423</v>
      </c>
      <c r="L2003" s="8">
        <f ca="1">IFERROR(__xludf.DUMMYFUNCTION("""COMPUTED_VALUE"""),1)</f>
        <v>1</v>
      </c>
      <c r="M2003" s="8" t="str">
        <f ca="1">IFERROR(__xludf.DUMMYFUNCTION("""COMPUTED_VALUE"""),"Local")</f>
        <v>Local</v>
      </c>
      <c r="N2003" s="8">
        <f ca="1">IFERROR(__xludf.DUMMYFUNCTION("""COMPUTED_VALUE"""),2)</f>
        <v>2</v>
      </c>
      <c r="O2003" s="8" t="str">
        <f ca="1">IFERROR(__xludf.DUMMYFUNCTION("""COMPUTED_VALUE"""),"Summer")</f>
        <v>Summer</v>
      </c>
      <c r="P2003" s="8" t="str">
        <f ca="1">IFERROR(__xludf.DUMMYFUNCTION("""COMPUTED_VALUE"""),"Charlotte")</f>
        <v>Charlotte</v>
      </c>
      <c r="Q2003" s="8" t="str">
        <f ca="1">IFERROR(__xludf.DUMMYFUNCTION("""COMPUTED_VALUE"""),"NC")</f>
        <v>NC</v>
      </c>
      <c r="R2003" s="8" t="str">
        <f ca="1">IFERROR(__xludf.DUMMYFUNCTION("""COMPUTED_VALUE"""),"Elementary")</f>
        <v>Elementary</v>
      </c>
      <c r="S2003" s="8" t="str">
        <f ca="1">IFERROR(__xludf.DUMMYFUNCTION("""COMPUTED_VALUE"""),"Parking Lot")</f>
        <v>Parking Lot</v>
      </c>
      <c r="T2003" s="8" t="str">
        <f ca="1">IFERROR(__xludf.DUMMYFUNCTION("""COMPUTED_VALUE"""),"Outside on School Property")</f>
        <v>Outside on School Property</v>
      </c>
      <c r="U2003" s="8" t="str">
        <f ca="1">IFERROR(__xludf.DUMMYFUNCTION("""COMPUTED_VALUE"""),"No")</f>
        <v>No</v>
      </c>
      <c r="V2003" s="8" t="str">
        <f ca="1">IFERROR(__xludf.DUMMYFUNCTION("""COMPUTED_VALUE"""),"After School")</f>
        <v>After School</v>
      </c>
      <c r="W2003" s="11">
        <f ca="1">IFERROR(__xludf.DUMMYFUNCTION("""COMPUTED_VALUE"""),0.583333333333333)</f>
        <v>0.58333333333333304</v>
      </c>
      <c r="X2003" s="8">
        <f ca="1">IFERROR(__xludf.DUMMYFUNCTION("""COMPUTED_VALUE"""),1)</f>
        <v>1</v>
      </c>
      <c r="Y2003" s="12" t="str">
        <f ca="1">IFERROR(__xludf.DUMMYFUNCTION("""COMPUTED_VALUE"""),"Undercover officers were shot at by suspects during drug deal")</f>
        <v>Undercover officers were shot at by suspects during drug deal</v>
      </c>
      <c r="Z2003" s="12" t="str">
        <f ca="1">IFERROR(__xludf.DUMMYFUNCTION("""COMPUTED_VALUE"""),"Undercover operation took place on school parking lot - after undercover drug deal, the suspect tried to rob the undercover officers and they exchanged shots. The suspect was shot in the head and died later in the hospital, the informant was injured, the "&amp;"second suspect fled but was arrested the next day.")</f>
        <v>Undercover operation took place on school parking lot - after undercover drug deal, the suspect tried to rob the undercover officers and they exchanged shots. The suspect was shot in the head and died later in the hospital, the informant was injured, the second suspect fled but was arrested the next day.</v>
      </c>
      <c r="AA2003" s="8" t="str">
        <f ca="1">IFERROR(__xludf.DUMMYFUNCTION("""COMPUTED_VALUE"""),"Illegal Activity")</f>
        <v>Illegal Activity</v>
      </c>
      <c r="AB2003" s="8"/>
      <c r="AC2003" s="8" t="str">
        <f ca="1">IFERROR(__xludf.DUMMYFUNCTION("""COMPUTED_VALUE"""),"No")</f>
        <v>No</v>
      </c>
      <c r="AD2003" s="8" t="str">
        <f ca="1">IFERROR(__xludf.DUMMYFUNCTION("""COMPUTED_VALUE"""),"Victims Targeted")</f>
        <v>Victims Targeted</v>
      </c>
      <c r="AE2003" s="8" t="str">
        <f ca="1">IFERROR(__xludf.DUMMYFUNCTION("""COMPUTED_VALUE"""),"Yes")</f>
        <v>Yes</v>
      </c>
      <c r="AF2003" s="8" t="str">
        <f ca="1">IFERROR(__xludf.DUMMYFUNCTION("""COMPUTED_VALUE"""),"Two suspects shot at officers")</f>
        <v>Two suspects shot at officers</v>
      </c>
      <c r="AG2003" s="8" t="str">
        <f ca="1">IFERROR(__xludf.DUMMYFUNCTION("""COMPUTED_VALUE"""),"No")</f>
        <v>No</v>
      </c>
      <c r="AH2003" s="8" t="str">
        <f ca="1">IFERROR(__xludf.DUMMYFUNCTION("""COMPUTED_VALUE"""),"No")</f>
        <v>No</v>
      </c>
      <c r="AI2003" s="8" t="str">
        <f ca="1">IFERROR(__xludf.DUMMYFUNCTION("""COMPUTED_VALUE"""),"Yes")</f>
        <v>Yes</v>
      </c>
      <c r="AJ2003" s="8" t="str">
        <f ca="1">IFERROR(__xludf.DUMMYFUNCTION("""COMPUTED_VALUE"""),"No")</f>
        <v>No</v>
      </c>
      <c r="AK2003" s="8" t="str">
        <f ca="1">IFERROR(__xludf.DUMMYFUNCTION("""COMPUTED_VALUE"""),"No")</f>
        <v>No</v>
      </c>
      <c r="AL2003" s="8" t="str">
        <f ca="1">IFERROR(__xludf.DUMMYFUNCTION("""COMPUTED_VALUE"""),"No")</f>
        <v>No</v>
      </c>
      <c r="AM2003" s="8"/>
      <c r="AN2003" s="8"/>
      <c r="AO2003" s="8" t="str">
        <f ca="1">IFERROR(__xludf.DUMMYFUNCTION("""COMPUTED_VALUE"""),"No")</f>
        <v>No</v>
      </c>
      <c r="AP2003" s="8"/>
      <c r="AQ2003" s="8" t="str">
        <f ca="1">IFERROR(__xludf.DUMMYFUNCTION("""COMPUTED_VALUE"""),"Unknown")</f>
        <v>Unknown</v>
      </c>
      <c r="AR2003" s="8" t="str">
        <f ca="1">IFERROR(__xludf.DUMMYFUNCTION("""COMPUTED_VALUE"""),"NA")</f>
        <v>NA</v>
      </c>
      <c r="AS2003" s="8" t="str">
        <f ca="1">IFERROR(__xludf.DUMMYFUNCTION("""COMPUTED_VALUE"""),"&gt;10")</f>
        <v>&gt;10</v>
      </c>
      <c r="AT2003" s="8" t="str">
        <f ca="1">IFERROR(__xludf.DUMMYFUNCTION("""COMPUTED_VALUE"""),"N/A")</f>
        <v>N/A</v>
      </c>
      <c r="AU2003" s="8">
        <f ca="1">IFERROR(__xludf.DUMMYFUNCTION("""COMPUTED_VALUE"""),35.269277)</f>
        <v>35.269277000000002</v>
      </c>
      <c r="AV2003" s="8">
        <f ca="1">IFERROR(__xludf.DUMMYFUNCTION("""COMPUTED_VALUE"""),-80.781962)</f>
        <v>-80.781961999999993</v>
      </c>
      <c r="AW2003" s="8"/>
      <c r="AX2003" s="8">
        <f ca="1">IFERROR(__xludf.DUMMYFUNCTION("""COMPUTED_VALUE"""),28213)</f>
        <v>28213</v>
      </c>
    </row>
    <row r="2004" spans="1:50" ht="60" x14ac:dyDescent="0.2">
      <c r="A2004" s="8" t="str">
        <f ca="1">IFERROR(__xludf.DUMMYFUNCTION("""COMPUTED_VALUE"""),"20130523FLREH")</f>
        <v>20130523FLREH</v>
      </c>
      <c r="B2004" s="8">
        <f ca="1">IFERROR(__xludf.DUMMYFUNCTION("""COMPUTED_VALUE"""),5)</f>
        <v>5</v>
      </c>
      <c r="C2004" s="8">
        <f ca="1">IFERROR(__xludf.DUMMYFUNCTION("""COMPUTED_VALUE"""),23)</f>
        <v>23</v>
      </c>
      <c r="D2004" s="8">
        <f ca="1">IFERROR(__xludf.DUMMYFUNCTION("""COMPUTED_VALUE"""),2013)</f>
        <v>2013</v>
      </c>
      <c r="E2004" s="9">
        <f ca="1">IFERROR(__xludf.DUMMYFUNCTION("""COMPUTED_VALUE"""),41417)</f>
        <v>41417</v>
      </c>
      <c r="F2004" s="8" t="str">
        <f ca="1">IFERROR(__xludf.DUMMYFUNCTION("""COMPUTED_VALUE"""),"Redland Middle School")</f>
        <v>Redland Middle School</v>
      </c>
      <c r="G2004" s="8">
        <f ca="1">IFERROR(__xludf.DUMMYFUNCTION("""COMPUTED_VALUE"""),0)</f>
        <v>0</v>
      </c>
      <c r="H2004" s="8">
        <f ca="1">IFERROR(__xludf.DUMMYFUNCTION("""COMPUTED_VALUE"""),1)</f>
        <v>1</v>
      </c>
      <c r="I2004" s="8">
        <f ca="1">IFERROR(__xludf.DUMMYFUNCTION("""COMPUTED_VALUE"""),1)</f>
        <v>1</v>
      </c>
      <c r="J2004" s="8">
        <f ca="1">IFERROR(__xludf.DUMMYFUNCTION("""COMPUTED_VALUE"""),0)</f>
        <v>0</v>
      </c>
      <c r="K2004" s="10" t="str">
        <f ca="1">IFERROR(__xludf.DUMMYFUNCTION("""COMPUTED_VALUE"""),"https://www.nbcmiami.com/news/local/Redland-Middle-School-Student-Injured-After-Bullet-Thrown-on-Floor-Exploded-Official-208862711.html")</f>
        <v>https://www.nbcmiami.com/news/local/Redland-Middle-School-Student-Injured-After-Bullet-Thrown-on-Floor-Exploded-Official-208862711.html</v>
      </c>
      <c r="L2004" s="8">
        <f ca="1">IFERROR(__xludf.DUMMYFUNCTION("""COMPUTED_VALUE"""),5)</f>
        <v>5</v>
      </c>
      <c r="M2004" s="8" t="str">
        <f ca="1">IFERROR(__xludf.DUMMYFUNCTION("""COMPUTED_VALUE"""),"Regional")</f>
        <v>Regional</v>
      </c>
      <c r="N2004" s="8">
        <f ca="1">IFERROR(__xludf.DUMMYFUNCTION("""COMPUTED_VALUE"""),2)</f>
        <v>2</v>
      </c>
      <c r="O2004" s="8" t="str">
        <f ca="1">IFERROR(__xludf.DUMMYFUNCTION("""COMPUTED_VALUE"""),"Spring")</f>
        <v>Spring</v>
      </c>
      <c r="P2004" s="8" t="str">
        <f ca="1">IFERROR(__xludf.DUMMYFUNCTION("""COMPUTED_VALUE"""),"Homestead")</f>
        <v>Homestead</v>
      </c>
      <c r="Q2004" s="8" t="str">
        <f ca="1">IFERROR(__xludf.DUMMYFUNCTION("""COMPUTED_VALUE"""),"FL")</f>
        <v>FL</v>
      </c>
      <c r="R2004" s="8" t="str">
        <f ca="1">IFERROR(__xludf.DUMMYFUNCTION("""COMPUTED_VALUE"""),"Middle")</f>
        <v>Middle</v>
      </c>
      <c r="S2004" s="8" t="str">
        <f ca="1">IFERROR(__xludf.DUMMYFUNCTION("""COMPUTED_VALUE"""),"Classroom")</f>
        <v>Classroom</v>
      </c>
      <c r="T2004" s="8" t="str">
        <f ca="1">IFERROR(__xludf.DUMMYFUNCTION("""COMPUTED_VALUE"""),"Inside School Building")</f>
        <v>Inside School Building</v>
      </c>
      <c r="U2004" s="8" t="str">
        <f ca="1">IFERROR(__xludf.DUMMYFUNCTION("""COMPUTED_VALUE"""),"Yes")</f>
        <v>Yes</v>
      </c>
      <c r="V2004" s="8" t="str">
        <f ca="1">IFERROR(__xludf.DUMMYFUNCTION("""COMPUTED_VALUE"""),"Afternoon Classes")</f>
        <v>Afternoon Classes</v>
      </c>
      <c r="W2004" s="11">
        <f ca="1">IFERROR(__xludf.DUMMYFUNCTION("""COMPUTED_VALUE"""),0.611111111111111)</f>
        <v>0.61111111111111105</v>
      </c>
      <c r="X2004" s="8">
        <f ca="1">IFERROR(__xludf.DUMMYFUNCTION("""COMPUTED_VALUE"""),1)</f>
        <v>1</v>
      </c>
      <c r="Y2004" s="12" t="str">
        <f ca="1">IFERROR(__xludf.DUMMYFUNCTION("""COMPUTED_VALUE"""),"Accidental; gun in backpack discharged in classroom")</f>
        <v>Accidental; gun in backpack discharged in classroom</v>
      </c>
      <c r="Z2004" s="12" t="str">
        <f ca="1">IFERROR(__xludf.DUMMYFUNCTION("""COMPUTED_VALUE"""),"11 year old boy put a gun in his backpack and brought it to school. When he dropped his backpack, the gun accidentally fired shooting another male classmate in the leg.")</f>
        <v>11 year old boy put a gun in his backpack and brought it to school. When he dropped his backpack, the gun accidentally fired shooting another male classmate in the leg.</v>
      </c>
      <c r="AA2004" s="8" t="str">
        <f ca="1">IFERROR(__xludf.DUMMYFUNCTION("""COMPUTED_VALUE"""),"Accidental")</f>
        <v>Accidental</v>
      </c>
      <c r="AB2004" s="8"/>
      <c r="AC2004" s="8" t="str">
        <f ca="1">IFERROR(__xludf.DUMMYFUNCTION("""COMPUTED_VALUE"""),"Yes")</f>
        <v>Yes</v>
      </c>
      <c r="AD2004" s="8" t="str">
        <f ca="1">IFERROR(__xludf.DUMMYFUNCTION("""COMPUTED_VALUE"""),"Random Shooting")</f>
        <v>Random Shooting</v>
      </c>
      <c r="AE2004" s="8" t="str">
        <f ca="1">IFERROR(__xludf.DUMMYFUNCTION("""COMPUTED_VALUE"""),"No")</f>
        <v>No</v>
      </c>
      <c r="AF2004" s="8"/>
      <c r="AG2004" s="8" t="str">
        <f ca="1">IFERROR(__xludf.DUMMYFUNCTION("""COMPUTED_VALUE"""),"No")</f>
        <v>No</v>
      </c>
      <c r="AH2004" s="8" t="str">
        <f ca="1">IFERROR(__xludf.DUMMYFUNCTION("""COMPUTED_VALUE"""),"No")</f>
        <v>No</v>
      </c>
      <c r="AI2004" s="8" t="str">
        <f ca="1">IFERROR(__xludf.DUMMYFUNCTION("""COMPUTED_VALUE"""),"No")</f>
        <v>No</v>
      </c>
      <c r="AJ2004" s="8" t="str">
        <f ca="1">IFERROR(__xludf.DUMMYFUNCTION("""COMPUTED_VALUE"""),"No")</f>
        <v>No</v>
      </c>
      <c r="AK2004" s="8" t="str">
        <f ca="1">IFERROR(__xludf.DUMMYFUNCTION("""COMPUTED_VALUE"""),"No")</f>
        <v>No</v>
      </c>
      <c r="AL2004" s="8" t="str">
        <f ca="1">IFERROR(__xludf.DUMMYFUNCTION("""COMPUTED_VALUE"""),"No")</f>
        <v>No</v>
      </c>
      <c r="AM2004" s="8"/>
      <c r="AN2004" s="8"/>
      <c r="AO2004" s="8" t="str">
        <f ca="1">IFERROR(__xludf.DUMMYFUNCTION("""COMPUTED_VALUE"""),"No")</f>
        <v>No</v>
      </c>
      <c r="AP2004" s="8" t="str">
        <f ca="1">IFERROR(__xludf.DUMMYFUNCTION("""COMPUTED_VALUE"""),"No")</f>
        <v>No</v>
      </c>
      <c r="AQ2004" s="8" t="str">
        <f ca="1">IFERROR(__xludf.DUMMYFUNCTION("""COMPUTED_VALUE"""),"Unknown")</f>
        <v>Unknown</v>
      </c>
      <c r="AR2004" s="8" t="str">
        <f ca="1">IFERROR(__xludf.DUMMYFUNCTION("""COMPUTED_VALUE"""),"NA")</f>
        <v>NA</v>
      </c>
      <c r="AS2004" s="8">
        <f ca="1">IFERROR(__xludf.DUMMYFUNCTION("""COMPUTED_VALUE"""),1)</f>
        <v>1</v>
      </c>
      <c r="AT2004" s="8" t="str">
        <f ca="1">IFERROR(__xludf.DUMMYFUNCTION("""COMPUTED_VALUE"""),"Yes")</f>
        <v>Yes</v>
      </c>
      <c r="AU2004" s="8">
        <f ca="1">IFERROR(__xludf.DUMMYFUNCTION("""COMPUTED_VALUE"""),25.5369)</f>
        <v>25.536899999999999</v>
      </c>
      <c r="AV2004" s="8">
        <f ca="1">IFERROR(__xludf.DUMMYFUNCTION("""COMPUTED_VALUE"""),-80.453001)</f>
        <v>-80.453001</v>
      </c>
      <c r="AW2004" s="8"/>
      <c r="AX2004" s="8">
        <f ca="1">IFERROR(__xludf.DUMMYFUNCTION("""COMPUTED_VALUE"""),33031)</f>
        <v>33031</v>
      </c>
    </row>
    <row r="2005" spans="1:50" ht="240" x14ac:dyDescent="0.2">
      <c r="A2005" s="8" t="str">
        <f ca="1">IFERROR(__xludf.DUMMYFUNCTION("""COMPUTED_VALUE"""),"20130513ALOSB")</f>
        <v>20130513ALOSB</v>
      </c>
      <c r="B2005" s="8">
        <f ca="1">IFERROR(__xludf.DUMMYFUNCTION("""COMPUTED_VALUE"""),5)</f>
        <v>5</v>
      </c>
      <c r="C2005" s="8">
        <f ca="1">IFERROR(__xludf.DUMMYFUNCTION("""COMPUTED_VALUE"""),13)</f>
        <v>13</v>
      </c>
      <c r="D2005" s="8">
        <f ca="1">IFERROR(__xludf.DUMMYFUNCTION("""COMPUTED_VALUE"""),2013)</f>
        <v>2013</v>
      </c>
      <c r="E2005" s="9">
        <f ca="1">IFERROR(__xludf.DUMMYFUNCTION("""COMPUTED_VALUE"""),41407)</f>
        <v>41407</v>
      </c>
      <c r="F2005" s="8" t="str">
        <f ca="1">IFERROR(__xludf.DUMMYFUNCTION("""COMPUTED_VALUE"""),"Ossie Ware Mitchell Middle School")</f>
        <v>Ossie Ware Mitchell Middle School</v>
      </c>
      <c r="G2005" s="8">
        <f ca="1">IFERROR(__xludf.DUMMYFUNCTION("""COMPUTED_VALUE"""),0)</f>
        <v>0</v>
      </c>
      <c r="H2005" s="8">
        <f ca="1">IFERROR(__xludf.DUMMYFUNCTION("""COMPUTED_VALUE"""),0)</f>
        <v>0</v>
      </c>
      <c r="I2005" s="8">
        <f ca="1">IFERROR(__xludf.DUMMYFUNCTION("""COMPUTED_VALUE"""),0)</f>
        <v>0</v>
      </c>
      <c r="J2005" s="8">
        <f ca="1">IFERROR(__xludf.DUMMYFUNCTION("""COMPUTED_VALUE"""),0)</f>
        <v>0</v>
      </c>
      <c r="K2005" s="10" t="str">
        <f ca="1">IFERROR(__xludf.DUMMYFUNCTION("""COMPUTED_VALUE"""),"http://www.wbrc.com/story/22251179/parent-allegedly-fires-gun-when-daughters-fight-at-school")</f>
        <v>http://www.wbrc.com/story/22251179/parent-allegedly-fires-gun-when-daughters-fight-at-school</v>
      </c>
      <c r="L2005" s="8">
        <f ca="1">IFERROR(__xludf.DUMMYFUNCTION("""COMPUTED_VALUE"""),1)</f>
        <v>1</v>
      </c>
      <c r="M2005" s="8" t="str">
        <f ca="1">IFERROR(__xludf.DUMMYFUNCTION("""COMPUTED_VALUE"""),"Local")</f>
        <v>Local</v>
      </c>
      <c r="N2005" s="8">
        <f ca="1">IFERROR(__xludf.DUMMYFUNCTION("""COMPUTED_VALUE"""),2)</f>
        <v>2</v>
      </c>
      <c r="O2005" s="8" t="str">
        <f ca="1">IFERROR(__xludf.DUMMYFUNCTION("""COMPUTED_VALUE"""),"Spring")</f>
        <v>Spring</v>
      </c>
      <c r="P2005" s="8" t="str">
        <f ca="1">IFERROR(__xludf.DUMMYFUNCTION("""COMPUTED_VALUE"""),"Birmingham")</f>
        <v>Birmingham</v>
      </c>
      <c r="Q2005" s="8" t="str">
        <f ca="1">IFERROR(__xludf.DUMMYFUNCTION("""COMPUTED_VALUE"""),"AL")</f>
        <v>AL</v>
      </c>
      <c r="R2005" s="8" t="str">
        <f ca="1">IFERROR(__xludf.DUMMYFUNCTION("""COMPUTED_VALUE"""),"Middle")</f>
        <v>Middle</v>
      </c>
      <c r="S2005" s="8" t="str">
        <f ca="1">IFERROR(__xludf.DUMMYFUNCTION("""COMPUTED_VALUE"""),"Parking Lot")</f>
        <v>Parking Lot</v>
      </c>
      <c r="T2005" s="8" t="str">
        <f ca="1">IFERROR(__xludf.DUMMYFUNCTION("""COMPUTED_VALUE"""),"Outside on School Property")</f>
        <v>Outside on School Property</v>
      </c>
      <c r="U2005" s="8" t="str">
        <f ca="1">IFERROR(__xludf.DUMMYFUNCTION("""COMPUTED_VALUE"""),"Yes")</f>
        <v>Yes</v>
      </c>
      <c r="V2005" s="8" t="str">
        <f ca="1">IFERROR(__xludf.DUMMYFUNCTION("""COMPUTED_VALUE"""),"After School")</f>
        <v>After School</v>
      </c>
      <c r="W2005" s="8"/>
      <c r="X2005" s="8">
        <f ca="1">IFERROR(__xludf.DUMMYFUNCTION("""COMPUTED_VALUE"""),1)</f>
        <v>1</v>
      </c>
      <c r="Y2005" s="12" t="str">
        <f ca="1">IFERROR(__xludf.DUMMYFUNCTION("""COMPUTED_VALUE"""),"Mother of student fired shot during large fight")</f>
        <v>Mother of student fired shot during large fight</v>
      </c>
      <c r="Z2005" s="12" t="str">
        <f ca="1">IFERROR(__xludf.DUMMYFUNCTION("""COMPUTED_VALUE"""),"While fight was occuring between multiple female students, a mother of one of the student grabbed a gun from her car and allegedly fired one shot into the ground. During that time the father of the other 2 girls was trying to break up the fight and was to"&amp;"ld later that the shooter allegedly pointed the gun at him before she shot at the ground. No one was injured. Shooter was arrested and charged with reckless endangerment, as well as ""certain persons forbidden to possess firearms"", and possession of mari"&amp;"juana, which she had at the time of the shooting. Allegedly, shooter's daughter had beaten one of the other girls up before, parents filed a complaint and were told the accused girl would be moved to a different school but that did not happen. When the at"&amp;"tacked girl recovered, parents sent her back to school and the accused girl attacked her again, which started the conflict that ended in shooting.")</f>
        <v>While fight was occuring between multiple female students, a mother of one of the student grabbed a gun from her car and allegedly fired one shot into the ground. During that time the father of the other 2 girls was trying to break up the fight and was told later that the shooter allegedly pointed the gun at him before she shot at the ground. No one was injured. Shooter was arrested and charged with reckless endangerment, as well as "certain persons forbidden to possess firearms", and possession of marijuana, which she had at the time of the shooting. Allegedly, shooter's daughter had beaten one of the other girls up before, parents filed a complaint and were told the accused girl would be moved to a different school but that did not happen. When the attacked girl recovered, parents sent her back to school and the accused girl attacked her again, which started the conflict that ended in shooting.</v>
      </c>
      <c r="AA2005" s="8" t="str">
        <f ca="1">IFERROR(__xludf.DUMMYFUNCTION("""COMPUTED_VALUE"""),"Escalation of Dispute")</f>
        <v>Escalation of Dispute</v>
      </c>
      <c r="AB2005" s="8"/>
      <c r="AC2005" s="8" t="str">
        <f ca="1">IFERROR(__xludf.DUMMYFUNCTION("""COMPUTED_VALUE"""),"Yes")</f>
        <v>Yes</v>
      </c>
      <c r="AD2005" s="8" t="str">
        <f ca="1">IFERROR(__xludf.DUMMYFUNCTION("""COMPUTED_VALUE"""),"NA")</f>
        <v>NA</v>
      </c>
      <c r="AE2005" s="8" t="str">
        <f ca="1">IFERROR(__xludf.DUMMYFUNCTION("""COMPUTED_VALUE"""),"No")</f>
        <v>No</v>
      </c>
      <c r="AF2005" s="8"/>
      <c r="AG2005" s="8" t="str">
        <f ca="1">IFERROR(__xludf.DUMMYFUNCTION("""COMPUTED_VALUE"""),"No")</f>
        <v>No</v>
      </c>
      <c r="AH2005" s="8" t="str">
        <f ca="1">IFERROR(__xludf.DUMMYFUNCTION("""COMPUTED_VALUE"""),"No")</f>
        <v>No</v>
      </c>
      <c r="AI2005" s="8" t="str">
        <f ca="1">IFERROR(__xludf.DUMMYFUNCTION("""COMPUTED_VALUE"""),"No")</f>
        <v>No</v>
      </c>
      <c r="AJ2005" s="8" t="str">
        <f ca="1">IFERROR(__xludf.DUMMYFUNCTION("""COMPUTED_VALUE"""),"No")</f>
        <v>No</v>
      </c>
      <c r="AK2005" s="8" t="str">
        <f ca="1">IFERROR(__xludf.DUMMYFUNCTION("""COMPUTED_VALUE"""),"No")</f>
        <v>No</v>
      </c>
      <c r="AL2005" s="8" t="str">
        <f ca="1">IFERROR(__xludf.DUMMYFUNCTION("""COMPUTED_VALUE"""),"No")</f>
        <v>No</v>
      </c>
      <c r="AM2005" s="8"/>
      <c r="AN2005" s="8"/>
      <c r="AO2005" s="8" t="str">
        <f ca="1">IFERROR(__xludf.DUMMYFUNCTION("""COMPUTED_VALUE"""),"No")</f>
        <v>No</v>
      </c>
      <c r="AP2005" s="8" t="str">
        <f ca="1">IFERROR(__xludf.DUMMYFUNCTION("""COMPUTED_VALUE"""),"No")</f>
        <v>No</v>
      </c>
      <c r="AQ2005" s="8" t="str">
        <f ca="1">IFERROR(__xludf.DUMMYFUNCTION("""COMPUTED_VALUE"""),"Unknown")</f>
        <v>Unknown</v>
      </c>
      <c r="AR2005" s="8" t="str">
        <f ca="1">IFERROR(__xludf.DUMMYFUNCTION("""COMPUTED_VALUE"""),"NA")</f>
        <v>NA</v>
      </c>
      <c r="AS2005" s="8">
        <f ca="1">IFERROR(__xludf.DUMMYFUNCTION("""COMPUTED_VALUE"""),1)</f>
        <v>1</v>
      </c>
      <c r="AT2005" s="8" t="str">
        <f ca="1">IFERROR(__xludf.DUMMYFUNCTION("""COMPUTED_VALUE"""),"No")</f>
        <v>No</v>
      </c>
      <c r="AU2005" s="8">
        <f ca="1">IFERROR(__xludf.DUMMYFUNCTION("""COMPUTED_VALUE"""),33.565115)</f>
        <v>33.565114999999999</v>
      </c>
      <c r="AV2005" s="8">
        <f ca="1">IFERROR(__xludf.DUMMYFUNCTION("""COMPUTED_VALUE"""),-86.715305)</f>
        <v>-86.715305000000001</v>
      </c>
      <c r="AW2005" s="8"/>
      <c r="AX2005" s="8">
        <f ca="1">IFERROR(__xludf.DUMMYFUNCTION("""COMPUTED_VALUE"""),35206)</f>
        <v>35206</v>
      </c>
    </row>
    <row r="2006" spans="1:50" ht="90" x14ac:dyDescent="0.2">
      <c r="A2006" s="8" t="str">
        <f ca="1">IFERROR(__xludf.DUMMYFUNCTION("""COMPUTED_VALUE"""),"20130430NMTUT")</f>
        <v>20130430NMTUT</v>
      </c>
      <c r="B2006" s="8">
        <f ca="1">IFERROR(__xludf.DUMMYFUNCTION("""COMPUTED_VALUE"""),4)</f>
        <v>4</v>
      </c>
      <c r="C2006" s="8">
        <f ca="1">IFERROR(__xludf.DUMMYFUNCTION("""COMPUTED_VALUE"""),30)</f>
        <v>30</v>
      </c>
      <c r="D2006" s="8">
        <f ca="1">IFERROR(__xludf.DUMMYFUNCTION("""COMPUTED_VALUE"""),2013)</f>
        <v>2013</v>
      </c>
      <c r="E2006" s="9">
        <f ca="1">IFERROR(__xludf.DUMMYFUNCTION("""COMPUTED_VALUE"""),41394)</f>
        <v>41394</v>
      </c>
      <c r="F2006" s="8" t="str">
        <f ca="1">IFERROR(__xludf.DUMMYFUNCTION("""COMPUTED_VALUE"""),"Tularosa Elementary School")</f>
        <v>Tularosa Elementary School</v>
      </c>
      <c r="G2006" s="8">
        <f ca="1">IFERROR(__xludf.DUMMYFUNCTION("""COMPUTED_VALUE"""),0)</f>
        <v>0</v>
      </c>
      <c r="H2006" s="8">
        <f ca="1">IFERROR(__xludf.DUMMYFUNCTION("""COMPUTED_VALUE"""),0)</f>
        <v>0</v>
      </c>
      <c r="I2006" s="8">
        <f ca="1">IFERROR(__xludf.DUMMYFUNCTION("""COMPUTED_VALUE"""),0)</f>
        <v>0</v>
      </c>
      <c r="J2006" s="8">
        <f ca="1">IFERROR(__xludf.DUMMYFUNCTION("""COMPUTED_VALUE"""),1)</f>
        <v>1</v>
      </c>
      <c r="K2006" s="10" t="str">
        <f ca="1">IFERROR(__xludf.DUMMYFUNCTION("""COMPUTED_VALUE"""),"https://www.abqjournal.com/253495/grand-jury-shooting-outside-school-was-justified.html")</f>
        <v>https://www.abqjournal.com/253495/grand-jury-shooting-outside-school-was-justified.html</v>
      </c>
      <c r="L2006" s="8">
        <f ca="1">IFERROR(__xludf.DUMMYFUNCTION("""COMPUTED_VALUE"""),1)</f>
        <v>1</v>
      </c>
      <c r="M2006" s="8" t="str">
        <f ca="1">IFERROR(__xludf.DUMMYFUNCTION("""COMPUTED_VALUE"""),"Local")</f>
        <v>Local</v>
      </c>
      <c r="N2006" s="8">
        <f ca="1">IFERROR(__xludf.DUMMYFUNCTION("""COMPUTED_VALUE"""),2)</f>
        <v>2</v>
      </c>
      <c r="O2006" s="8" t="str">
        <f ca="1">IFERROR(__xludf.DUMMYFUNCTION("""COMPUTED_VALUE"""),"Spring")</f>
        <v>Spring</v>
      </c>
      <c r="P2006" s="8" t="str">
        <f ca="1">IFERROR(__xludf.DUMMYFUNCTION("""COMPUTED_VALUE"""),"Tularosa")</f>
        <v>Tularosa</v>
      </c>
      <c r="Q2006" s="8" t="str">
        <f ca="1">IFERROR(__xludf.DUMMYFUNCTION("""COMPUTED_VALUE"""),"NM")</f>
        <v>NM</v>
      </c>
      <c r="R2006" s="8" t="str">
        <f ca="1">IFERROR(__xludf.DUMMYFUNCTION("""COMPUTED_VALUE"""),"Elementary")</f>
        <v>Elementary</v>
      </c>
      <c r="S2006" s="8" t="str">
        <f ca="1">IFERROR(__xludf.DUMMYFUNCTION("""COMPUTED_VALUE"""),"Outside on School Property")</f>
        <v>Outside on School Property</v>
      </c>
      <c r="T2006" s="8" t="str">
        <f ca="1">IFERROR(__xludf.DUMMYFUNCTION("""COMPUTED_VALUE"""),"Outside on School Property")</f>
        <v>Outside on School Property</v>
      </c>
      <c r="U2006" s="8" t="str">
        <f ca="1">IFERROR(__xludf.DUMMYFUNCTION("""COMPUTED_VALUE"""),"No")</f>
        <v>No</v>
      </c>
      <c r="V2006" s="8" t="str">
        <f ca="1">IFERROR(__xludf.DUMMYFUNCTION("""COMPUTED_VALUE"""),"Night")</f>
        <v>Night</v>
      </c>
      <c r="W2006" s="8"/>
      <c r="X2006" s="8"/>
      <c r="Y2006" s="12" t="str">
        <f ca="1">IFERROR(__xludf.DUMMYFUNCTION("""COMPUTED_VALUE"""),"Suspect exchanged fire with officer and was shot dead on scene")</f>
        <v>Suspect exchanged fire with officer and was shot dead on scene</v>
      </c>
      <c r="Z2006" s="12" t="str">
        <f ca="1">IFERROR(__xludf.DUMMYFUNCTION("""COMPUTED_VALUE"""),"Officer involved shooting of 19 year old suspect who was shot / killed on school property. Officer was checking on a school when he spotted a male who had a warrant out for his arrest. The male (later - victim) pulled out a .22 rifle, exchanged shots with"&amp;" officer and sheriff's deputies, and was shot dead on scene.")</f>
        <v>Officer involved shooting of 19 year old suspect who was shot / killed on school property. Officer was checking on a school when he spotted a male who had a warrant out for his arrest. The male (later - victim) pulled out a .22 rifle, exchanged shots with officer and sheriff's deputies, and was shot dead on scene.</v>
      </c>
      <c r="AA2006" s="8" t="str">
        <f ca="1">IFERROR(__xludf.DUMMYFUNCTION("""COMPUTED_VALUE"""),"Illegal Activity")</f>
        <v>Illegal Activity</v>
      </c>
      <c r="AB2006" s="8"/>
      <c r="AC2006" s="8" t="str">
        <f ca="1">IFERROR(__xludf.DUMMYFUNCTION("""COMPUTED_VALUE"""),"No")</f>
        <v>No</v>
      </c>
      <c r="AD2006" s="8" t="str">
        <f ca="1">IFERROR(__xludf.DUMMYFUNCTION("""COMPUTED_VALUE"""),"Victims Targeted")</f>
        <v>Victims Targeted</v>
      </c>
      <c r="AE2006" s="8" t="str">
        <f ca="1">IFERROR(__xludf.DUMMYFUNCTION("""COMPUTED_VALUE"""),"No")</f>
        <v>No</v>
      </c>
      <c r="AF2006" s="8"/>
      <c r="AG2006" s="8" t="str">
        <f ca="1">IFERROR(__xludf.DUMMYFUNCTION("""COMPUTED_VALUE"""),"No")</f>
        <v>No</v>
      </c>
      <c r="AH2006" s="8" t="str">
        <f ca="1">IFERROR(__xludf.DUMMYFUNCTION("""COMPUTED_VALUE"""),"No")</f>
        <v>No</v>
      </c>
      <c r="AI2006" s="8" t="str">
        <f ca="1">IFERROR(__xludf.DUMMYFUNCTION("""COMPUTED_VALUE"""),"Yes")</f>
        <v>Yes</v>
      </c>
      <c r="AJ2006" s="8" t="str">
        <f ca="1">IFERROR(__xludf.DUMMYFUNCTION("""COMPUTED_VALUE"""),"No")</f>
        <v>No</v>
      </c>
      <c r="AK2006" s="8" t="str">
        <f ca="1">IFERROR(__xludf.DUMMYFUNCTION("""COMPUTED_VALUE"""),"No")</f>
        <v>No</v>
      </c>
      <c r="AL2006" s="8" t="str">
        <f ca="1">IFERROR(__xludf.DUMMYFUNCTION("""COMPUTED_VALUE"""),"No")</f>
        <v>No</v>
      </c>
      <c r="AM2006" s="8"/>
      <c r="AN2006" s="8"/>
      <c r="AO2006" s="8" t="str">
        <f ca="1">IFERROR(__xludf.DUMMYFUNCTION("""COMPUTED_VALUE"""),"No")</f>
        <v>No</v>
      </c>
      <c r="AP2006" s="8" t="str">
        <f ca="1">IFERROR(__xludf.DUMMYFUNCTION("""COMPUTED_VALUE"""),"N/A")</f>
        <v>N/A</v>
      </c>
      <c r="AQ2006" s="8" t="str">
        <f ca="1">IFERROR(__xludf.DUMMYFUNCTION("""COMPUTED_VALUE"""),"Unknown")</f>
        <v>Unknown</v>
      </c>
      <c r="AR2006" s="8" t="str">
        <f ca="1">IFERROR(__xludf.DUMMYFUNCTION("""COMPUTED_VALUE"""),"NA")</f>
        <v>NA</v>
      </c>
      <c r="AS2006" s="8">
        <f ca="1">IFERROR(__xludf.DUMMYFUNCTION("""COMPUTED_VALUE"""),1)</f>
        <v>1</v>
      </c>
      <c r="AT2006" s="8" t="str">
        <f ca="1">IFERROR(__xludf.DUMMYFUNCTION("""COMPUTED_VALUE"""),"N/A")</f>
        <v>N/A</v>
      </c>
      <c r="AU2006" s="8">
        <f ca="1">IFERROR(__xludf.DUMMYFUNCTION("""COMPUTED_VALUE"""),33.073231)</f>
        <v>33.073231</v>
      </c>
      <c r="AV2006" s="8">
        <f ca="1">IFERROR(__xludf.DUMMYFUNCTION("""COMPUTED_VALUE"""),-106.011681)</f>
        <v>-106.011681</v>
      </c>
      <c r="AW2006" s="8"/>
      <c r="AX2006" s="8">
        <f ca="1">IFERROR(__xludf.DUMMYFUNCTION("""COMPUTED_VALUE"""),88352)</f>
        <v>88352</v>
      </c>
    </row>
    <row r="2007" spans="1:50" ht="105" x14ac:dyDescent="0.2">
      <c r="A2007" s="8" t="str">
        <f ca="1">IFERROR(__xludf.DUMMYFUNCTION("""COMPUTED_VALUE"""),"20130429OHLAC")</f>
        <v>20130429OHLAC</v>
      </c>
      <c r="B2007" s="8">
        <f ca="1">IFERROR(__xludf.DUMMYFUNCTION("""COMPUTED_VALUE"""),4)</f>
        <v>4</v>
      </c>
      <c r="C2007" s="8">
        <f ca="1">IFERROR(__xludf.DUMMYFUNCTION("""COMPUTED_VALUE"""),29)</f>
        <v>29</v>
      </c>
      <c r="D2007" s="8">
        <f ca="1">IFERROR(__xludf.DUMMYFUNCTION("""COMPUTED_VALUE"""),2013)</f>
        <v>2013</v>
      </c>
      <c r="E2007" s="9">
        <f ca="1">IFERROR(__xludf.DUMMYFUNCTION("""COMPUTED_VALUE"""),41393)</f>
        <v>41393</v>
      </c>
      <c r="F2007" s="8" t="str">
        <f ca="1">IFERROR(__xludf.DUMMYFUNCTION("""COMPUTED_VALUE"""),"La Salle High School")</f>
        <v>La Salle High School</v>
      </c>
      <c r="G2007" s="8">
        <f ca="1">IFERROR(__xludf.DUMMYFUNCTION("""COMPUTED_VALUE"""),0)</f>
        <v>0</v>
      </c>
      <c r="H2007" s="8">
        <f ca="1">IFERROR(__xludf.DUMMYFUNCTION("""COMPUTED_VALUE"""),0)</f>
        <v>0</v>
      </c>
      <c r="I2007" s="8">
        <f ca="1">IFERROR(__xludf.DUMMYFUNCTION("""COMPUTED_VALUE"""),0)</f>
        <v>0</v>
      </c>
      <c r="J2007" s="8">
        <f ca="1">IFERROR(__xludf.DUMMYFUNCTION("""COMPUTED_VALUE"""),0)</f>
        <v>0</v>
      </c>
      <c r="K2007" s="10" t="str">
        <f ca="1">IFERROR(__xludf.DUMMYFUNCTION("""COMPUTED_VALUE"""),"https://www.cbsnews.com/news/la-salle-high-school-shooting-update-gun-used-in-ohio-classroom-came-from-home-police-say/")</f>
        <v>https://www.cbsnews.com/news/la-salle-high-school-shooting-update-gun-used-in-ohio-classroom-came-from-home-police-say/</v>
      </c>
      <c r="L2007" s="8">
        <f ca="1">IFERROR(__xludf.DUMMYFUNCTION("""COMPUTED_VALUE"""),1)</f>
        <v>1</v>
      </c>
      <c r="M2007" s="8" t="str">
        <f ca="1">IFERROR(__xludf.DUMMYFUNCTION("""COMPUTED_VALUE"""),"Local")</f>
        <v>Local</v>
      </c>
      <c r="N2007" s="8">
        <f ca="1">IFERROR(__xludf.DUMMYFUNCTION("""COMPUTED_VALUE"""),2)</f>
        <v>2</v>
      </c>
      <c r="O2007" s="8" t="str">
        <f ca="1">IFERROR(__xludf.DUMMYFUNCTION("""COMPUTED_VALUE"""),"Spring")</f>
        <v>Spring</v>
      </c>
      <c r="P2007" s="8" t="str">
        <f ca="1">IFERROR(__xludf.DUMMYFUNCTION("""COMPUTED_VALUE"""),"Cincinnati")</f>
        <v>Cincinnati</v>
      </c>
      <c r="Q2007" s="8" t="str">
        <f ca="1">IFERROR(__xludf.DUMMYFUNCTION("""COMPUTED_VALUE"""),"OH")</f>
        <v>OH</v>
      </c>
      <c r="R2007" s="8" t="str">
        <f ca="1">IFERROR(__xludf.DUMMYFUNCTION("""COMPUTED_VALUE"""),"High")</f>
        <v>High</v>
      </c>
      <c r="S2007" s="8" t="str">
        <f ca="1">IFERROR(__xludf.DUMMYFUNCTION("""COMPUTED_VALUE"""),"Classroom")</f>
        <v>Classroom</v>
      </c>
      <c r="T2007" s="8" t="str">
        <f ca="1">IFERROR(__xludf.DUMMYFUNCTION("""COMPUTED_VALUE"""),"Inside School Building")</f>
        <v>Inside School Building</v>
      </c>
      <c r="U2007" s="8" t="str">
        <f ca="1">IFERROR(__xludf.DUMMYFUNCTION("""COMPUTED_VALUE"""),"Yes")</f>
        <v>Yes</v>
      </c>
      <c r="V2007" s="8" t="str">
        <f ca="1">IFERROR(__xludf.DUMMYFUNCTION("""COMPUTED_VALUE"""),"Morning Classes")</f>
        <v>Morning Classes</v>
      </c>
      <c r="W2007" s="11">
        <f ca="1">IFERROR(__xludf.DUMMYFUNCTION("""COMPUTED_VALUE"""),0.333333333333333)</f>
        <v>0.33333333333333298</v>
      </c>
      <c r="X2007" s="8">
        <f ca="1">IFERROR(__xludf.DUMMYFUNCTION("""COMPUTED_VALUE"""),1)</f>
        <v>1</v>
      </c>
      <c r="Y2007" s="12" t="str">
        <f ca="1">IFERROR(__xludf.DUMMYFUNCTION("""COMPUTED_VALUE"""),"Suicide attempt during class in classroom")</f>
        <v>Suicide attempt during class in classroom</v>
      </c>
      <c r="Z2007" s="12" t="str">
        <f ca="1">IFERROR(__xludf.DUMMYFUNCTION("""COMPUTED_VALUE"""),"Shooter brough .45 caliber from home and while seated in the front row of his morning classes, pulled the gun out, chambered a round and shot himself - no motive was given. Shooter made the top honor roll on the most recent academic report and has been ac"&amp;"tive in Boy Scouts, had an extensive record of community service, and was ""highly involved"" in school life.")</f>
        <v>Shooter brough .45 caliber from home and while seated in the front row of his morning classes, pulled the gun out, chambered a round and shot himself - no motive was given. Shooter made the top honor roll on the most recent academic report and has been active in Boy Scouts, had an extensive record of community service, and was "highly involved" in school life.</v>
      </c>
      <c r="AA2007" s="8" t="str">
        <f ca="1">IFERROR(__xludf.DUMMYFUNCTION("""COMPUTED_VALUE"""),"Suicide/Attempted")</f>
        <v>Suicide/Attempted</v>
      </c>
      <c r="AB2007" s="8"/>
      <c r="AC2007" s="8" t="str">
        <f ca="1">IFERROR(__xludf.DUMMYFUNCTION("""COMPUTED_VALUE"""),"Yes")</f>
        <v>Yes</v>
      </c>
      <c r="AD2007" s="8" t="str">
        <f ca="1">IFERROR(__xludf.DUMMYFUNCTION("""COMPUTED_VALUE"""),"Victims Targeted")</f>
        <v>Victims Targeted</v>
      </c>
      <c r="AE2007" s="8" t="str">
        <f ca="1">IFERROR(__xludf.DUMMYFUNCTION("""COMPUTED_VALUE"""),"No")</f>
        <v>No</v>
      </c>
      <c r="AF2007" s="8"/>
      <c r="AG2007" s="8" t="str">
        <f ca="1">IFERROR(__xludf.DUMMYFUNCTION("""COMPUTED_VALUE"""),"No")</f>
        <v>No</v>
      </c>
      <c r="AH2007" s="8" t="str">
        <f ca="1">IFERROR(__xludf.DUMMYFUNCTION("""COMPUTED_VALUE"""),"No")</f>
        <v>No</v>
      </c>
      <c r="AI2007" s="8" t="str">
        <f ca="1">IFERROR(__xludf.DUMMYFUNCTION("""COMPUTED_VALUE"""),"No")</f>
        <v>No</v>
      </c>
      <c r="AJ2007" s="8"/>
      <c r="AK2007" s="8" t="str">
        <f ca="1">IFERROR(__xludf.DUMMYFUNCTION("""COMPUTED_VALUE"""),"No")</f>
        <v>No</v>
      </c>
      <c r="AL2007" s="8" t="str">
        <f ca="1">IFERROR(__xludf.DUMMYFUNCTION("""COMPUTED_VALUE"""),"No")</f>
        <v>No</v>
      </c>
      <c r="AM2007" s="8"/>
      <c r="AN2007" s="8"/>
      <c r="AO2007" s="8" t="str">
        <f ca="1">IFERROR(__xludf.DUMMYFUNCTION("""COMPUTED_VALUE"""),"No")</f>
        <v>No</v>
      </c>
      <c r="AP2007" s="8" t="str">
        <f ca="1">IFERROR(__xludf.DUMMYFUNCTION("""COMPUTED_VALUE"""),"No")</f>
        <v>No</v>
      </c>
      <c r="AQ2007" s="8" t="str">
        <f ca="1">IFERROR(__xludf.DUMMYFUNCTION("""COMPUTED_VALUE"""),"None")</f>
        <v>None</v>
      </c>
      <c r="AR2007" s="8" t="str">
        <f ca="1">IFERROR(__xludf.DUMMYFUNCTION("""COMPUTED_VALUE"""),"NA")</f>
        <v>NA</v>
      </c>
      <c r="AS2007" s="8">
        <f ca="1">IFERROR(__xludf.DUMMYFUNCTION("""COMPUTED_VALUE"""),1)</f>
        <v>1</v>
      </c>
      <c r="AT2007" s="8" t="str">
        <f ca="1">IFERROR(__xludf.DUMMYFUNCTION("""COMPUTED_VALUE"""),"Yes")</f>
        <v>Yes</v>
      </c>
      <c r="AU2007" s="8">
        <f ca="1">IFERROR(__xludf.DUMMYFUNCTION("""COMPUTED_VALUE"""),39.189162)</f>
        <v>39.189162000000003</v>
      </c>
      <c r="AV2007" s="8">
        <f ca="1">IFERROR(__xludf.DUMMYFUNCTION("""COMPUTED_VALUE"""),-84.586704)</f>
        <v>-84.586703999999997</v>
      </c>
      <c r="AW2007" s="8"/>
      <c r="AX2007" s="8">
        <f ca="1">IFERROR(__xludf.DUMMYFUNCTION("""COMPUTED_VALUE"""),45239)</f>
        <v>45239</v>
      </c>
    </row>
    <row r="2008" spans="1:50" ht="60" x14ac:dyDescent="0.2">
      <c r="A2008" s="8" t="str">
        <f ca="1">IFERROR(__xludf.DUMMYFUNCTION("""COMPUTED_VALUE"""),"20130416TXTET")</f>
        <v>20130416TXTET</v>
      </c>
      <c r="B2008" s="8">
        <f ca="1">IFERROR(__xludf.DUMMYFUNCTION("""COMPUTED_VALUE"""),4)</f>
        <v>4</v>
      </c>
      <c r="C2008" s="8">
        <f ca="1">IFERROR(__xludf.DUMMYFUNCTION("""COMPUTED_VALUE"""),16)</f>
        <v>16</v>
      </c>
      <c r="D2008" s="8">
        <f ca="1">IFERROR(__xludf.DUMMYFUNCTION("""COMPUTED_VALUE"""),2013)</f>
        <v>2013</v>
      </c>
      <c r="E2008" s="9">
        <f ca="1">IFERROR(__xludf.DUMMYFUNCTION("""COMPUTED_VALUE"""),41380)</f>
        <v>41380</v>
      </c>
      <c r="F2008" s="8" t="str">
        <f ca="1">IFERROR(__xludf.DUMMYFUNCTION("""COMPUTED_VALUE"""),"Temple High School")</f>
        <v>Temple High School</v>
      </c>
      <c r="G2008" s="8">
        <f ca="1">IFERROR(__xludf.DUMMYFUNCTION("""COMPUTED_VALUE"""),0)</f>
        <v>0</v>
      </c>
      <c r="H2008" s="8">
        <f ca="1">IFERROR(__xludf.DUMMYFUNCTION("""COMPUTED_VALUE"""),0)</f>
        <v>0</v>
      </c>
      <c r="I2008" s="8">
        <f ca="1">IFERROR(__xludf.DUMMYFUNCTION("""COMPUTED_VALUE"""),0)</f>
        <v>0</v>
      </c>
      <c r="J2008" s="8">
        <f ca="1">IFERROR(__xludf.DUMMYFUNCTION("""COMPUTED_VALUE"""),1)</f>
        <v>1</v>
      </c>
      <c r="K2008" s="10" t="str">
        <f ca="1">IFERROR(__xludf.DUMMYFUNCTION("""COMPUTED_VALUE"""),"http://ktemnews.com/student-who-shot-himself-at-temple-high-school-has-died/")</f>
        <v>http://ktemnews.com/student-who-shot-himself-at-temple-high-school-has-died/</v>
      </c>
      <c r="L2008" s="8"/>
      <c r="M2008" s="8"/>
      <c r="N2008" s="8">
        <f ca="1">IFERROR(__xludf.DUMMYFUNCTION("""COMPUTED_VALUE"""),2)</f>
        <v>2</v>
      </c>
      <c r="O2008" s="8" t="str">
        <f ca="1">IFERROR(__xludf.DUMMYFUNCTION("""COMPUTED_VALUE"""),"Spring")</f>
        <v>Spring</v>
      </c>
      <c r="P2008" s="8" t="str">
        <f ca="1">IFERROR(__xludf.DUMMYFUNCTION("""COMPUTED_VALUE"""),"Temple")</f>
        <v>Temple</v>
      </c>
      <c r="Q2008" s="8" t="str">
        <f ca="1">IFERROR(__xludf.DUMMYFUNCTION("""COMPUTED_VALUE"""),"TX")</f>
        <v>TX</v>
      </c>
      <c r="R2008" s="8" t="str">
        <f ca="1">IFERROR(__xludf.DUMMYFUNCTION("""COMPUTED_VALUE"""),"High")</f>
        <v>High</v>
      </c>
      <c r="S2008" s="8" t="str">
        <f ca="1">IFERROR(__xludf.DUMMYFUNCTION("""COMPUTED_VALUE"""),"Other")</f>
        <v>Other</v>
      </c>
      <c r="T2008" s="8" t="str">
        <f ca="1">IFERROR(__xludf.DUMMYFUNCTION("""COMPUTED_VALUE"""),"Outside on School Property")</f>
        <v>Outside on School Property</v>
      </c>
      <c r="U2008" s="8" t="str">
        <f ca="1">IFERROR(__xludf.DUMMYFUNCTION("""COMPUTED_VALUE"""),"Yes")</f>
        <v>Yes</v>
      </c>
      <c r="V2008" s="8" t="str">
        <f ca="1">IFERROR(__xludf.DUMMYFUNCTION("""COMPUTED_VALUE"""),"Morning Classes")</f>
        <v>Morning Classes</v>
      </c>
      <c r="W2008" s="8"/>
      <c r="X2008" s="8">
        <f ca="1">IFERROR(__xludf.DUMMYFUNCTION("""COMPUTED_VALUE"""),1)</f>
        <v>1</v>
      </c>
      <c r="Y2008" s="12" t="str">
        <f ca="1">IFERROR(__xludf.DUMMYFUNCTION("""COMPUTED_VALUE"""),"Student shot self on school tennis court during the school day")</f>
        <v>Student shot self on school tennis court during the school day</v>
      </c>
      <c r="Z2008" s="12" t="str">
        <f ca="1">IFERROR(__xludf.DUMMYFUNCTION("""COMPUTED_VALUE"""),"15YOM student shot himself in the head on the school tennis courts during morning classes.")</f>
        <v>15YOM student shot himself in the head on the school tennis courts during morning classes.</v>
      </c>
      <c r="AA2008" s="8" t="str">
        <f ca="1">IFERROR(__xludf.DUMMYFUNCTION("""COMPUTED_VALUE"""),"Suicide/Attempted")</f>
        <v>Suicide/Attempted</v>
      </c>
      <c r="AB2008" s="8"/>
      <c r="AC2008" s="8" t="str">
        <f ca="1">IFERROR(__xludf.DUMMYFUNCTION("""COMPUTED_VALUE"""),"Yes")</f>
        <v>Yes</v>
      </c>
      <c r="AD2008" s="8" t="str">
        <f ca="1">IFERROR(__xludf.DUMMYFUNCTION("""COMPUTED_VALUE"""),"Victims Targeted")</f>
        <v>Victims Targeted</v>
      </c>
      <c r="AE2008" s="8" t="str">
        <f ca="1">IFERROR(__xludf.DUMMYFUNCTION("""COMPUTED_VALUE"""),"No")</f>
        <v>No</v>
      </c>
      <c r="AF2008" s="8"/>
      <c r="AG2008" s="8" t="str">
        <f ca="1">IFERROR(__xludf.DUMMYFUNCTION("""COMPUTED_VALUE"""),"No")</f>
        <v>No</v>
      </c>
      <c r="AH2008" s="8" t="str">
        <f ca="1">IFERROR(__xludf.DUMMYFUNCTION("""COMPUTED_VALUE"""),"No")</f>
        <v>No</v>
      </c>
      <c r="AI2008" s="8" t="str">
        <f ca="1">IFERROR(__xludf.DUMMYFUNCTION("""COMPUTED_VALUE"""),"No")</f>
        <v>No</v>
      </c>
      <c r="AJ2008" s="8" t="str">
        <f ca="1">IFERROR(__xludf.DUMMYFUNCTION("""COMPUTED_VALUE"""),"No")</f>
        <v>No</v>
      </c>
      <c r="AK2008" s="8" t="str">
        <f ca="1">IFERROR(__xludf.DUMMYFUNCTION("""COMPUTED_VALUE"""),"No")</f>
        <v>No</v>
      </c>
      <c r="AL2008" s="8" t="str">
        <f ca="1">IFERROR(__xludf.DUMMYFUNCTION("""COMPUTED_VALUE"""),"No")</f>
        <v>No</v>
      </c>
      <c r="AM2008" s="8"/>
      <c r="AN2008" s="8"/>
      <c r="AO2008" s="8" t="str">
        <f ca="1">IFERROR(__xludf.DUMMYFUNCTION("""COMPUTED_VALUE"""),"No")</f>
        <v>No</v>
      </c>
      <c r="AP2008" s="8"/>
      <c r="AQ2008" s="8" t="str">
        <f ca="1">IFERROR(__xludf.DUMMYFUNCTION("""COMPUTED_VALUE"""),"Unknown")</f>
        <v>Unknown</v>
      </c>
      <c r="AR2008" s="8" t="str">
        <f ca="1">IFERROR(__xludf.DUMMYFUNCTION("""COMPUTED_VALUE"""),"NA")</f>
        <v>NA</v>
      </c>
      <c r="AS2008" s="8">
        <f ca="1">IFERROR(__xludf.DUMMYFUNCTION("""COMPUTED_VALUE"""),1)</f>
        <v>1</v>
      </c>
      <c r="AT2008" s="8"/>
      <c r="AU2008" s="8">
        <f ca="1">IFERROR(__xludf.DUMMYFUNCTION("""COMPUTED_VALUE"""),31.106354)</f>
        <v>31.106354</v>
      </c>
      <c r="AV2008" s="8">
        <f ca="1">IFERROR(__xludf.DUMMYFUNCTION("""COMPUTED_VALUE"""),-97.353054)</f>
        <v>-97.353054</v>
      </c>
      <c r="AW2008" s="8"/>
      <c r="AX2008" s="8">
        <f ca="1">IFERROR(__xludf.DUMMYFUNCTION("""COMPUTED_VALUE"""),76504)</f>
        <v>76504</v>
      </c>
    </row>
    <row r="2009" spans="1:50" ht="165" x14ac:dyDescent="0.2">
      <c r="A2009" s="8" t="str">
        <f ca="1">IFERROR(__xludf.DUMMYFUNCTION("""COMPUTED_VALUE"""),"20130321MIDAS")</f>
        <v>20130321MIDAS</v>
      </c>
      <c r="B2009" s="8">
        <f ca="1">IFERROR(__xludf.DUMMYFUNCTION("""COMPUTED_VALUE"""),3)</f>
        <v>3</v>
      </c>
      <c r="C2009" s="8">
        <f ca="1">IFERROR(__xludf.DUMMYFUNCTION("""COMPUTED_VALUE"""),21)</f>
        <v>21</v>
      </c>
      <c r="D2009" s="8">
        <f ca="1">IFERROR(__xludf.DUMMYFUNCTION("""COMPUTED_VALUE"""),2013)</f>
        <v>2013</v>
      </c>
      <c r="E2009" s="9">
        <f ca="1">IFERROR(__xludf.DUMMYFUNCTION("""COMPUTED_VALUE"""),41354)</f>
        <v>41354</v>
      </c>
      <c r="F2009" s="8" t="str">
        <f ca="1">IFERROR(__xludf.DUMMYFUNCTION("""COMPUTED_VALUE"""),"Davidson Middle School")</f>
        <v>Davidson Middle School</v>
      </c>
      <c r="G2009" s="8">
        <f ca="1">IFERROR(__xludf.DUMMYFUNCTION("""COMPUTED_VALUE"""),0)</f>
        <v>0</v>
      </c>
      <c r="H2009" s="8">
        <f ca="1">IFERROR(__xludf.DUMMYFUNCTION("""COMPUTED_VALUE"""),0)</f>
        <v>0</v>
      </c>
      <c r="I2009" s="8">
        <f ca="1">IFERROR(__xludf.DUMMYFUNCTION("""COMPUTED_VALUE"""),0)</f>
        <v>0</v>
      </c>
      <c r="J2009" s="8">
        <f ca="1">IFERROR(__xludf.DUMMYFUNCTION("""COMPUTED_VALUE"""),1)</f>
        <v>1</v>
      </c>
      <c r="K2009" s="10" t="str">
        <f ca="1">IFERROR(__xludf.DUMMYFUNCTION("""COMPUTED_VALUE"""),"https://www.usatoday.com/story/news/nation/2013/03/21/michigan-student-13-commits-suicide/2006643/")</f>
        <v>https://www.usatoday.com/story/news/nation/2013/03/21/michigan-student-13-commits-suicide/2006643/</v>
      </c>
      <c r="L2009" s="8">
        <f ca="1">IFERROR(__xludf.DUMMYFUNCTION("""COMPUTED_VALUE"""),5)</f>
        <v>5</v>
      </c>
      <c r="M2009" s="8" t="str">
        <f ca="1">IFERROR(__xludf.DUMMYFUNCTION("""COMPUTED_VALUE"""),"Regional")</f>
        <v>Regional</v>
      </c>
      <c r="N2009" s="8">
        <f ca="1">IFERROR(__xludf.DUMMYFUNCTION("""COMPUTED_VALUE"""),2)</f>
        <v>2</v>
      </c>
      <c r="O2009" s="8" t="str">
        <f ca="1">IFERROR(__xludf.DUMMYFUNCTION("""COMPUTED_VALUE"""),"Spring")</f>
        <v>Spring</v>
      </c>
      <c r="P2009" s="8" t="str">
        <f ca="1">IFERROR(__xludf.DUMMYFUNCTION("""COMPUTED_VALUE"""),"Southgate")</f>
        <v>Southgate</v>
      </c>
      <c r="Q2009" s="8" t="str">
        <f ca="1">IFERROR(__xludf.DUMMYFUNCTION("""COMPUTED_VALUE"""),"MI")</f>
        <v>MI</v>
      </c>
      <c r="R2009" s="8" t="str">
        <f ca="1">IFERROR(__xludf.DUMMYFUNCTION("""COMPUTED_VALUE"""),"Middle")</f>
        <v>Middle</v>
      </c>
      <c r="S2009" s="8" t="str">
        <f ca="1">IFERROR(__xludf.DUMMYFUNCTION("""COMPUTED_VALUE"""),"Bathroom")</f>
        <v>Bathroom</v>
      </c>
      <c r="T2009" s="8" t="str">
        <f ca="1">IFERROR(__xludf.DUMMYFUNCTION("""COMPUTED_VALUE"""),"Inside School Building")</f>
        <v>Inside School Building</v>
      </c>
      <c r="U2009" s="8" t="str">
        <f ca="1">IFERROR(__xludf.DUMMYFUNCTION("""COMPUTED_VALUE"""),"Yes")</f>
        <v>Yes</v>
      </c>
      <c r="V2009" s="8" t="str">
        <f ca="1">IFERROR(__xludf.DUMMYFUNCTION("""COMPUTED_VALUE"""),"Before School")</f>
        <v>Before School</v>
      </c>
      <c r="W2009" s="11">
        <f ca="1">IFERROR(__xludf.DUMMYFUNCTION("""COMPUTED_VALUE"""),0.333333333333333)</f>
        <v>0.33333333333333298</v>
      </c>
      <c r="X2009" s="8">
        <f ca="1">IFERROR(__xludf.DUMMYFUNCTION("""COMPUTED_VALUE"""),1)</f>
        <v>1</v>
      </c>
      <c r="Y2009" s="12" t="str">
        <f ca="1">IFERROR(__xludf.DUMMYFUNCTION("""COMPUTED_VALUE"""),"Suicide in school bathroom")</f>
        <v>Suicide in school bathroom</v>
      </c>
      <c r="Z2009" s="12" t="str">
        <f ca="1">IFERROR(__xludf.DUMMYFUNCTION("""COMPUTED_VALUE"""),"13 year old student shot himself in head with 40 Glock pistol in school bathroom before school began. Reports were contradictory: some students said that shooter was bullied - made fun of for his clothes and hygiene, and was depressed, but the majority sa"&amp;"id he was nice and funny and was friends with everyone. Shooter left suicide note that he was having a hard time dealing with life - was more of a goodbye letter - no mention of bullying, another student was mentioned in the letter but it sounded more lik"&amp;"e a goodbye. Gun belonged to family member and was accessible.")</f>
        <v>13 year old student shot himself in head with 40 Glock pistol in school bathroom before school began. Reports were contradictory: some students said that shooter was bullied - made fun of for his clothes and hygiene, and was depressed, but the majority said he was nice and funny and was friends with everyone. Shooter left suicide note that he was having a hard time dealing with life - was more of a goodbye letter - no mention of bullying, another student was mentioned in the letter but it sounded more like a goodbye. Gun belonged to family member and was accessible.</v>
      </c>
      <c r="AA2009" s="8" t="str">
        <f ca="1">IFERROR(__xludf.DUMMYFUNCTION("""COMPUTED_VALUE"""),"Suicide/Attempted")</f>
        <v>Suicide/Attempted</v>
      </c>
      <c r="AB2009" s="8"/>
      <c r="AC2009" s="8" t="str">
        <f ca="1">IFERROR(__xludf.DUMMYFUNCTION("""COMPUTED_VALUE"""),"Yes")</f>
        <v>Yes</v>
      </c>
      <c r="AD2009" s="8" t="str">
        <f ca="1">IFERROR(__xludf.DUMMYFUNCTION("""COMPUTED_VALUE"""),"Victims Targeted")</f>
        <v>Victims Targeted</v>
      </c>
      <c r="AE2009" s="8" t="str">
        <f ca="1">IFERROR(__xludf.DUMMYFUNCTION("""COMPUTED_VALUE"""),"No")</f>
        <v>No</v>
      </c>
      <c r="AF2009" s="8"/>
      <c r="AG2009" s="8" t="str">
        <f ca="1">IFERROR(__xludf.DUMMYFUNCTION("""COMPUTED_VALUE"""),"No")</f>
        <v>No</v>
      </c>
      <c r="AH2009" s="8" t="str">
        <f ca="1">IFERROR(__xludf.DUMMYFUNCTION("""COMPUTED_VALUE"""),"No")</f>
        <v>No</v>
      </c>
      <c r="AI2009" s="8" t="str">
        <f ca="1">IFERROR(__xludf.DUMMYFUNCTION("""COMPUTED_VALUE"""),"No")</f>
        <v>No</v>
      </c>
      <c r="AJ2009" s="8" t="str">
        <f ca="1">IFERROR(__xludf.DUMMYFUNCTION("""COMPUTED_VALUE"""),"No")</f>
        <v>No</v>
      </c>
      <c r="AK2009" s="8" t="str">
        <f ca="1">IFERROR(__xludf.DUMMYFUNCTION("""COMPUTED_VALUE"""),"No")</f>
        <v>No</v>
      </c>
      <c r="AL2009" s="8" t="str">
        <f ca="1">IFERROR(__xludf.DUMMYFUNCTION("""COMPUTED_VALUE"""),"No")</f>
        <v>No</v>
      </c>
      <c r="AM2009" s="8"/>
      <c r="AN2009" s="8"/>
      <c r="AO2009" s="8" t="str">
        <f ca="1">IFERROR(__xludf.DUMMYFUNCTION("""COMPUTED_VALUE"""),"No")</f>
        <v>No</v>
      </c>
      <c r="AP2009" s="8" t="str">
        <f ca="1">IFERROR(__xludf.DUMMYFUNCTION("""COMPUTED_VALUE"""),"No")</f>
        <v>No</v>
      </c>
      <c r="AQ2009" s="8" t="str">
        <f ca="1">IFERROR(__xludf.DUMMYFUNCTION("""COMPUTED_VALUE"""),"None")</f>
        <v>None</v>
      </c>
      <c r="AR2009" s="8" t="str">
        <f ca="1">IFERROR(__xludf.DUMMYFUNCTION("""COMPUTED_VALUE"""),"NA")</f>
        <v>NA</v>
      </c>
      <c r="AS2009" s="8">
        <f ca="1">IFERROR(__xludf.DUMMYFUNCTION("""COMPUTED_VALUE"""),1)</f>
        <v>1</v>
      </c>
      <c r="AT2009" s="8" t="str">
        <f ca="1">IFERROR(__xludf.DUMMYFUNCTION("""COMPUTED_VALUE"""),"Yes")</f>
        <v>Yes</v>
      </c>
      <c r="AU2009" s="8">
        <f ca="1">IFERROR(__xludf.DUMMYFUNCTION("""COMPUTED_VALUE"""),42.192469)</f>
        <v>42.192469000000003</v>
      </c>
      <c r="AV2009" s="8">
        <f ca="1">IFERROR(__xludf.DUMMYFUNCTION("""COMPUTED_VALUE"""),-83.19454)</f>
        <v>-83.194540000000003</v>
      </c>
      <c r="AW2009" s="8"/>
      <c r="AX2009" s="8">
        <f ca="1">IFERROR(__xludf.DUMMYFUNCTION("""COMPUTED_VALUE"""),48195)</f>
        <v>48195</v>
      </c>
    </row>
    <row r="2010" spans="1:50" ht="75" x14ac:dyDescent="0.2">
      <c r="A2010" s="8" t="str">
        <f ca="1">IFERROR(__xludf.DUMMYFUNCTION("""COMPUTED_VALUE"""),"20130227GAGRA")</f>
        <v>20130227GAGRA</v>
      </c>
      <c r="B2010" s="8">
        <f ca="1">IFERROR(__xludf.DUMMYFUNCTION("""COMPUTED_VALUE"""),2)</f>
        <v>2</v>
      </c>
      <c r="C2010" s="8">
        <f ca="1">IFERROR(__xludf.DUMMYFUNCTION("""COMPUTED_VALUE"""),27)</f>
        <v>27</v>
      </c>
      <c r="D2010" s="8">
        <f ca="1">IFERROR(__xludf.DUMMYFUNCTION("""COMPUTED_VALUE"""),2013)</f>
        <v>2013</v>
      </c>
      <c r="E2010" s="9">
        <f ca="1">IFERROR(__xludf.DUMMYFUNCTION("""COMPUTED_VALUE"""),41332)</f>
        <v>41332</v>
      </c>
      <c r="F2010" s="8" t="str">
        <f ca="1">IFERROR(__xludf.DUMMYFUNCTION("""COMPUTED_VALUE"""),"Grady High School")</f>
        <v>Grady High School</v>
      </c>
      <c r="G2010" s="8">
        <f ca="1">IFERROR(__xludf.DUMMYFUNCTION("""COMPUTED_VALUE"""),0)</f>
        <v>0</v>
      </c>
      <c r="H2010" s="8">
        <f ca="1">IFERROR(__xludf.DUMMYFUNCTION("""COMPUTED_VALUE"""),0)</f>
        <v>0</v>
      </c>
      <c r="I2010" s="8">
        <f ca="1">IFERROR(__xludf.DUMMYFUNCTION("""COMPUTED_VALUE"""),0)</f>
        <v>0</v>
      </c>
      <c r="J2010" s="8">
        <f ca="1">IFERROR(__xludf.DUMMYFUNCTION("""COMPUTED_VALUE"""),0)</f>
        <v>0</v>
      </c>
      <c r="K2010" s="10" t="str">
        <f ca="1">IFERROR(__xludf.DUMMYFUNCTION("""COMPUTED_VALUE"""),"https://www.ajc.com/news/local/student-who-shot-herself-grady-high-due-court/2tFBhv5vj4RC2VqPUjIIxH/?icmp=np_inform_variation-control")</f>
        <v>https://www.ajc.com/news/local/student-who-shot-herself-grady-high-due-court/2tFBhv5vj4RC2VqPUjIIxH/?icmp=np_inform_variation-control</v>
      </c>
      <c r="L2010" s="8">
        <f ca="1">IFERROR(__xludf.DUMMYFUNCTION("""COMPUTED_VALUE"""),5)</f>
        <v>5</v>
      </c>
      <c r="M2010" s="8" t="str">
        <f ca="1">IFERROR(__xludf.DUMMYFUNCTION("""COMPUTED_VALUE"""),"Regional")</f>
        <v>Regional</v>
      </c>
      <c r="N2010" s="8">
        <f ca="1">IFERROR(__xludf.DUMMYFUNCTION("""COMPUTED_VALUE"""),2)</f>
        <v>2</v>
      </c>
      <c r="O2010" s="8" t="str">
        <f ca="1">IFERROR(__xludf.DUMMYFUNCTION("""COMPUTED_VALUE"""),"Winter")</f>
        <v>Winter</v>
      </c>
      <c r="P2010" s="8" t="str">
        <f ca="1">IFERROR(__xludf.DUMMYFUNCTION("""COMPUTED_VALUE"""),"Atlanta")</f>
        <v>Atlanta</v>
      </c>
      <c r="Q2010" s="8" t="str">
        <f ca="1">IFERROR(__xludf.DUMMYFUNCTION("""COMPUTED_VALUE"""),"GA")</f>
        <v>GA</v>
      </c>
      <c r="R2010" s="8" t="str">
        <f ca="1">IFERROR(__xludf.DUMMYFUNCTION("""COMPUTED_VALUE"""),"High")</f>
        <v>High</v>
      </c>
      <c r="S2010" s="8" t="str">
        <f ca="1">IFERROR(__xludf.DUMMYFUNCTION("""COMPUTED_VALUE"""),"Courtyard")</f>
        <v>Courtyard</v>
      </c>
      <c r="T2010" s="8" t="str">
        <f ca="1">IFERROR(__xludf.DUMMYFUNCTION("""COMPUTED_VALUE"""),"Outside on School Property")</f>
        <v>Outside on School Property</v>
      </c>
      <c r="U2010" s="8" t="str">
        <f ca="1">IFERROR(__xludf.DUMMYFUNCTION("""COMPUTED_VALUE"""),"Yes")</f>
        <v>Yes</v>
      </c>
      <c r="V2010" s="8" t="str">
        <f ca="1">IFERROR(__xludf.DUMMYFUNCTION("""COMPUTED_VALUE"""),"Morning Classes")</f>
        <v>Morning Classes</v>
      </c>
      <c r="W2010" s="11">
        <f ca="1">IFERROR(__xludf.DUMMYFUNCTION("""COMPUTED_VALUE"""),0.395833333333333)</f>
        <v>0.39583333333333298</v>
      </c>
      <c r="X2010" s="8">
        <f ca="1">IFERROR(__xludf.DUMMYFUNCTION("""COMPUTED_VALUE"""),1)</f>
        <v>1</v>
      </c>
      <c r="Y2010" s="12" t="str">
        <f ca="1">IFERROR(__xludf.DUMMYFUNCTION("""COMPUTED_VALUE"""),"Accidental discharge in pocket while running to class")</f>
        <v>Accidental discharge in pocket while running to class</v>
      </c>
      <c r="Z2010" s="12" t="str">
        <f ca="1">IFERROR(__xludf.DUMMYFUNCTION("""COMPUTED_VALUE"""),"Shooter accidentally shot herself in thigh while walking through the courtyard. Although school was equipped with metal detectors, the shooter was running late for class so was able to bypass security by being let in through gymnasium doors. Gun later fou"&amp;"nd to be stolen.")</f>
        <v>Shooter accidentally shot herself in thigh while walking through the courtyard. Although school was equipped with metal detectors, the shooter was running late for class so was able to bypass security by being let in through gymnasium doors. Gun later found to be stolen.</v>
      </c>
      <c r="AA2010" s="8" t="str">
        <f ca="1">IFERROR(__xludf.DUMMYFUNCTION("""COMPUTED_VALUE"""),"Accidental")</f>
        <v>Accidental</v>
      </c>
      <c r="AB2010" s="8"/>
      <c r="AC2010" s="8" t="str">
        <f ca="1">IFERROR(__xludf.DUMMYFUNCTION("""COMPUTED_VALUE"""),"Yes")</f>
        <v>Yes</v>
      </c>
      <c r="AD2010" s="8" t="str">
        <f ca="1">IFERROR(__xludf.DUMMYFUNCTION("""COMPUTED_VALUE"""),"Random Shooting")</f>
        <v>Random Shooting</v>
      </c>
      <c r="AE2010" s="8" t="str">
        <f ca="1">IFERROR(__xludf.DUMMYFUNCTION("""COMPUTED_VALUE"""),"No")</f>
        <v>No</v>
      </c>
      <c r="AF2010" s="8"/>
      <c r="AG2010" s="8" t="str">
        <f ca="1">IFERROR(__xludf.DUMMYFUNCTION("""COMPUTED_VALUE"""),"No")</f>
        <v>No</v>
      </c>
      <c r="AH2010" s="8" t="str">
        <f ca="1">IFERROR(__xludf.DUMMYFUNCTION("""COMPUTED_VALUE"""),"No")</f>
        <v>No</v>
      </c>
      <c r="AI2010" s="8" t="str">
        <f ca="1">IFERROR(__xludf.DUMMYFUNCTION("""COMPUTED_VALUE"""),"No")</f>
        <v>No</v>
      </c>
      <c r="AJ2010" s="8" t="str">
        <f ca="1">IFERROR(__xludf.DUMMYFUNCTION("""COMPUTED_VALUE"""),"No")</f>
        <v>No</v>
      </c>
      <c r="AK2010" s="8" t="str">
        <f ca="1">IFERROR(__xludf.DUMMYFUNCTION("""COMPUTED_VALUE"""),"No")</f>
        <v>No</v>
      </c>
      <c r="AL2010" s="8" t="str">
        <f ca="1">IFERROR(__xludf.DUMMYFUNCTION("""COMPUTED_VALUE"""),"No")</f>
        <v>No</v>
      </c>
      <c r="AM2010" s="8"/>
      <c r="AN2010" s="8"/>
      <c r="AO2010" s="8" t="str">
        <f ca="1">IFERROR(__xludf.DUMMYFUNCTION("""COMPUTED_VALUE"""),"No")</f>
        <v>No</v>
      </c>
      <c r="AP2010" s="8" t="str">
        <f ca="1">IFERROR(__xludf.DUMMYFUNCTION("""COMPUTED_VALUE"""),"Yes")</f>
        <v>Yes</v>
      </c>
      <c r="AQ2010" s="8" t="str">
        <f ca="1">IFERROR(__xludf.DUMMYFUNCTION("""COMPUTED_VALUE"""),"Metal Detectors Front Only")</f>
        <v>Metal Detectors Front Only</v>
      </c>
      <c r="AR2010" s="8" t="str">
        <f ca="1">IFERROR(__xludf.DUMMYFUNCTION("""COMPUTED_VALUE"""),"Bypassed")</f>
        <v>Bypassed</v>
      </c>
      <c r="AS2010" s="8">
        <f ca="1">IFERROR(__xludf.DUMMYFUNCTION("""COMPUTED_VALUE"""),1)</f>
        <v>1</v>
      </c>
      <c r="AT2010" s="8" t="str">
        <f ca="1">IFERROR(__xludf.DUMMYFUNCTION("""COMPUTED_VALUE"""),"Yes")</f>
        <v>Yes</v>
      </c>
      <c r="AU2010" s="8">
        <f ca="1">IFERROR(__xludf.DUMMYFUNCTION("""COMPUTED_VALUE"""),33.781657)</f>
        <v>33.781657000000003</v>
      </c>
      <c r="AV2010" s="8">
        <f ca="1">IFERROR(__xludf.DUMMYFUNCTION("""COMPUTED_VALUE"""),-84.369447)</f>
        <v>-84.369446999999994</v>
      </c>
      <c r="AW2010" s="8"/>
      <c r="AX2010" s="8">
        <f ca="1">IFERROR(__xludf.DUMMYFUNCTION("""COMPUTED_VALUE"""),30324)</f>
        <v>30324</v>
      </c>
    </row>
    <row r="2011" spans="1:50" ht="90" x14ac:dyDescent="0.2">
      <c r="A2011" s="8" t="str">
        <f ca="1">IFERROR(__xludf.DUMMYFUNCTION("""COMPUTED_VALUE"""),"20130213CAHIS")</f>
        <v>20130213CAHIS</v>
      </c>
      <c r="B2011" s="8">
        <f ca="1">IFERROR(__xludf.DUMMYFUNCTION("""COMPUTED_VALUE"""),2)</f>
        <v>2</v>
      </c>
      <c r="C2011" s="8">
        <f ca="1">IFERROR(__xludf.DUMMYFUNCTION("""COMPUTED_VALUE"""),13)</f>
        <v>13</v>
      </c>
      <c r="D2011" s="8">
        <f ca="1">IFERROR(__xludf.DUMMYFUNCTION("""COMPUTED_VALUE"""),2013)</f>
        <v>2013</v>
      </c>
      <c r="E2011" s="9">
        <f ca="1">IFERROR(__xludf.DUMMYFUNCTION("""COMPUTED_VALUE"""),41318)</f>
        <v>41318</v>
      </c>
      <c r="F2011" s="8" t="str">
        <f ca="1">IFERROR(__xludf.DUMMYFUNCTION("""COMPUTED_VALUE"""),"Hillside Elementary School")</f>
        <v>Hillside Elementary School</v>
      </c>
      <c r="G2011" s="8">
        <f ca="1">IFERROR(__xludf.DUMMYFUNCTION("""COMPUTED_VALUE"""),1)</f>
        <v>1</v>
      </c>
      <c r="H2011" s="8">
        <f ca="1">IFERROR(__xludf.DUMMYFUNCTION("""COMPUTED_VALUE"""),0)</f>
        <v>0</v>
      </c>
      <c r="I2011" s="8">
        <f ca="1">IFERROR(__xludf.DUMMYFUNCTION("""COMPUTED_VALUE"""),1)</f>
        <v>1</v>
      </c>
      <c r="J2011" s="8">
        <f ca="1">IFERROR(__xludf.DUMMYFUNCTION("""COMPUTED_VALUE"""),0)</f>
        <v>0</v>
      </c>
      <c r="K2011" s="10" t="str">
        <f ca="1">IFERROR(__xludf.DUMMYFUNCTION("""COMPUTED_VALUE"""),"https://patch.com/california/sanleandro/man-sentenced-to-prison-for-fatal-2013-shooting-at-hillside-elementary")</f>
        <v>https://patch.com/california/sanleandro/man-sentenced-to-prison-for-fatal-2013-shooting-at-hillside-elementary</v>
      </c>
      <c r="L2011" s="8">
        <f ca="1">IFERROR(__xludf.DUMMYFUNCTION("""COMPUTED_VALUE"""),1)</f>
        <v>1</v>
      </c>
      <c r="M2011" s="8" t="str">
        <f ca="1">IFERROR(__xludf.DUMMYFUNCTION("""COMPUTED_VALUE"""),"Local")</f>
        <v>Local</v>
      </c>
      <c r="N2011" s="8">
        <f ca="1">IFERROR(__xludf.DUMMYFUNCTION("""COMPUTED_VALUE"""),2)</f>
        <v>2</v>
      </c>
      <c r="O2011" s="8" t="str">
        <f ca="1">IFERROR(__xludf.DUMMYFUNCTION("""COMPUTED_VALUE"""),"Winter")</f>
        <v>Winter</v>
      </c>
      <c r="P2011" s="8" t="str">
        <f ca="1">IFERROR(__xludf.DUMMYFUNCTION("""COMPUTED_VALUE"""),"San Leandro")</f>
        <v>San Leandro</v>
      </c>
      <c r="Q2011" s="8" t="str">
        <f ca="1">IFERROR(__xludf.DUMMYFUNCTION("""COMPUTED_VALUE"""),"CA")</f>
        <v>CA</v>
      </c>
      <c r="R2011" s="8" t="str">
        <f ca="1">IFERROR(__xludf.DUMMYFUNCTION("""COMPUTED_VALUE"""),"Elementary")</f>
        <v>Elementary</v>
      </c>
      <c r="S2011" s="8" t="str">
        <f ca="1">IFERROR(__xludf.DUMMYFUNCTION("""COMPUTED_VALUE"""),"Beside Building")</f>
        <v>Beside Building</v>
      </c>
      <c r="T2011" s="8" t="str">
        <f ca="1">IFERROR(__xludf.DUMMYFUNCTION("""COMPUTED_VALUE"""),"Outside on School Property")</f>
        <v>Outside on School Property</v>
      </c>
      <c r="U2011" s="8" t="str">
        <f ca="1">IFERROR(__xludf.DUMMYFUNCTION("""COMPUTED_VALUE"""),"No")</f>
        <v>No</v>
      </c>
      <c r="V2011" s="8" t="str">
        <f ca="1">IFERROR(__xludf.DUMMYFUNCTION("""COMPUTED_VALUE"""),"Evening")</f>
        <v>Evening</v>
      </c>
      <c r="W2011" s="11">
        <f ca="1">IFERROR(__xludf.DUMMYFUNCTION("""COMPUTED_VALUE"""),0.864583333333333)</f>
        <v>0.86458333333333304</v>
      </c>
      <c r="X2011" s="8">
        <f ca="1">IFERROR(__xludf.DUMMYFUNCTION("""COMPUTED_VALUE"""),1)</f>
        <v>1</v>
      </c>
      <c r="Y2011" s="12" t="str">
        <f ca="1">IFERROR(__xludf.DUMMYFUNCTION("""COMPUTED_VALUE"""),"Anger over victim refusing to pay $5 after losing dice game")</f>
        <v>Anger over victim refusing to pay $5 after losing dice game</v>
      </c>
      <c r="Z2011" s="12" t="str">
        <f ca="1">IFERROR(__xludf.DUMMYFUNCTION("""COMPUTED_VALUE"""),"20 year old shooter and 18 year old victim were playing dice on school grounds. Victim lost dice game and refused to pay shooter $5. Shooter went to a friend's house, got gun, and came back to school grounds where he shot and killed victim. Shooter was la"&amp;"ter caught and received 15 years in prison.")</f>
        <v>20 year old shooter and 18 year old victim were playing dice on school grounds. Victim lost dice game and refused to pay shooter $5. Shooter went to a friend's house, got gun, and came back to school grounds where he shot and killed victim. Shooter was later caught and received 15 years in prison.</v>
      </c>
      <c r="AA2011" s="8" t="str">
        <f ca="1">IFERROR(__xludf.DUMMYFUNCTION("""COMPUTED_VALUE"""),"Escalation of Dispute")</f>
        <v>Escalation of Dispute</v>
      </c>
      <c r="AB2011" s="8"/>
      <c r="AC2011" s="8" t="str">
        <f ca="1">IFERROR(__xludf.DUMMYFUNCTION("""COMPUTED_VALUE"""),"Yes")</f>
        <v>Yes</v>
      </c>
      <c r="AD2011" s="8" t="str">
        <f ca="1">IFERROR(__xludf.DUMMYFUNCTION("""COMPUTED_VALUE"""),"Victims Targeted")</f>
        <v>Victims Targeted</v>
      </c>
      <c r="AE2011" s="8" t="str">
        <f ca="1">IFERROR(__xludf.DUMMYFUNCTION("""COMPUTED_VALUE"""),"Yes")</f>
        <v>Yes</v>
      </c>
      <c r="AF2011" s="8" t="str">
        <f ca="1">IFERROR(__xludf.DUMMYFUNCTION("""COMPUTED_VALUE"""),"2 other black males were with shooter, they were not charged.")</f>
        <v>2 other black males were with shooter, they were not charged.</v>
      </c>
      <c r="AG2011" s="8" t="str">
        <f ca="1">IFERROR(__xludf.DUMMYFUNCTION("""COMPUTED_VALUE"""),"No")</f>
        <v>No</v>
      </c>
      <c r="AH2011" s="8" t="str">
        <f ca="1">IFERROR(__xludf.DUMMYFUNCTION("""COMPUTED_VALUE"""),"No")</f>
        <v>No</v>
      </c>
      <c r="AI2011" s="8" t="str">
        <f ca="1">IFERROR(__xludf.DUMMYFUNCTION("""COMPUTED_VALUE"""),"No")</f>
        <v>No</v>
      </c>
      <c r="AJ2011" s="8" t="str">
        <f ca="1">IFERROR(__xludf.DUMMYFUNCTION("""COMPUTED_VALUE"""),"No")</f>
        <v>No</v>
      </c>
      <c r="AK2011" s="8" t="str">
        <f ca="1">IFERROR(__xludf.DUMMYFUNCTION("""COMPUTED_VALUE"""),"No")</f>
        <v>No</v>
      </c>
      <c r="AL2011" s="8" t="str">
        <f ca="1">IFERROR(__xludf.DUMMYFUNCTION("""COMPUTED_VALUE"""),"No")</f>
        <v>No</v>
      </c>
      <c r="AM2011" s="8"/>
      <c r="AN2011" s="8"/>
      <c r="AO2011" s="8" t="str">
        <f ca="1">IFERROR(__xludf.DUMMYFUNCTION("""COMPUTED_VALUE"""),"No")</f>
        <v>No</v>
      </c>
      <c r="AP2011" s="8"/>
      <c r="AQ2011" s="8" t="str">
        <f ca="1">IFERROR(__xludf.DUMMYFUNCTION("""COMPUTED_VALUE"""),"Unknown")</f>
        <v>Unknown</v>
      </c>
      <c r="AR2011" s="8" t="str">
        <f ca="1">IFERROR(__xludf.DUMMYFUNCTION("""COMPUTED_VALUE"""),"NA")</f>
        <v>NA</v>
      </c>
      <c r="AS2011" s="8">
        <f ca="1">IFERROR(__xludf.DUMMYFUNCTION("""COMPUTED_VALUE"""),2)</f>
        <v>2</v>
      </c>
      <c r="AT2011" s="8"/>
      <c r="AU2011" s="8">
        <f ca="1">IFERROR(__xludf.DUMMYFUNCTION("""COMPUTED_VALUE"""),37.702867)</f>
        <v>37.702866999999998</v>
      </c>
      <c r="AV2011" s="8">
        <f ca="1">IFERROR(__xludf.DUMMYFUNCTION("""COMPUTED_VALUE"""),-122.114736)</f>
        <v>-122.11473599999999</v>
      </c>
      <c r="AW2011" s="8"/>
      <c r="AX2011" s="8">
        <f ca="1">IFERROR(__xludf.DUMMYFUNCTION("""COMPUTED_VALUE"""),94578)</f>
        <v>94578</v>
      </c>
    </row>
    <row r="2012" spans="1:50" ht="105" x14ac:dyDescent="0.2">
      <c r="A2012" s="8" t="str">
        <f ca="1">IFERROR(__xludf.DUMMYFUNCTION("""COMPUTED_VALUE"""),"20130201MIMAD")</f>
        <v>20130201MIMAD</v>
      </c>
      <c r="B2012" s="8">
        <f ca="1">IFERROR(__xludf.DUMMYFUNCTION("""COMPUTED_VALUE"""),2)</f>
        <v>2</v>
      </c>
      <c r="C2012" s="8">
        <f ca="1">IFERROR(__xludf.DUMMYFUNCTION("""COMPUTED_VALUE"""),1)</f>
        <v>1</v>
      </c>
      <c r="D2012" s="8">
        <f ca="1">IFERROR(__xludf.DUMMYFUNCTION("""COMPUTED_VALUE"""),2013)</f>
        <v>2013</v>
      </c>
      <c r="E2012" s="9">
        <f ca="1">IFERROR(__xludf.DUMMYFUNCTION("""COMPUTED_VALUE"""),41306)</f>
        <v>41306</v>
      </c>
      <c r="F2012" s="8" t="str">
        <f ca="1">IFERROR(__xludf.DUMMYFUNCTION("""COMPUTED_VALUE"""),"Martin Luther King High School")</f>
        <v>Martin Luther King High School</v>
      </c>
      <c r="G2012" s="8">
        <f ca="1">IFERROR(__xludf.DUMMYFUNCTION("""COMPUTED_VALUE"""),1)</f>
        <v>1</v>
      </c>
      <c r="H2012" s="8">
        <f ca="1">IFERROR(__xludf.DUMMYFUNCTION("""COMPUTED_VALUE"""),1)</f>
        <v>1</v>
      </c>
      <c r="I2012" s="8">
        <f ca="1">IFERROR(__xludf.DUMMYFUNCTION("""COMPUTED_VALUE"""),2)</f>
        <v>2</v>
      </c>
      <c r="J2012" s="8">
        <f ca="1">IFERROR(__xludf.DUMMYFUNCTION("""COMPUTED_VALUE"""),1)</f>
        <v>1</v>
      </c>
      <c r="K2012" s="10" t="str">
        <f ca="1">IFERROR(__xludf.DUMMYFUNCTION("""COMPUTED_VALUE"""),"https://www.wxyz.com/news/man-shot-near-martin-luther-king-jr-high-school-in-detroit")</f>
        <v>https://www.wxyz.com/news/man-shot-near-martin-luther-king-jr-high-school-in-detroit</v>
      </c>
      <c r="L2012" s="8">
        <f ca="1">IFERROR(__xludf.DUMMYFUNCTION("""COMPUTED_VALUE"""),1)</f>
        <v>1</v>
      </c>
      <c r="M2012" s="8" t="str">
        <f ca="1">IFERROR(__xludf.DUMMYFUNCTION("""COMPUTED_VALUE"""),"Local")</f>
        <v>Local</v>
      </c>
      <c r="N2012" s="8">
        <f ca="1">IFERROR(__xludf.DUMMYFUNCTION("""COMPUTED_VALUE"""),2)</f>
        <v>2</v>
      </c>
      <c r="O2012" s="8" t="str">
        <f ca="1">IFERROR(__xludf.DUMMYFUNCTION("""COMPUTED_VALUE"""),"Winter")</f>
        <v>Winter</v>
      </c>
      <c r="P2012" s="8" t="str">
        <f ca="1">IFERROR(__xludf.DUMMYFUNCTION("""COMPUTED_VALUE"""),"Detroit")</f>
        <v>Detroit</v>
      </c>
      <c r="Q2012" s="8" t="str">
        <f ca="1">IFERROR(__xludf.DUMMYFUNCTION("""COMPUTED_VALUE"""),"MI")</f>
        <v>MI</v>
      </c>
      <c r="R2012" s="8" t="str">
        <f ca="1">IFERROR(__xludf.DUMMYFUNCTION("""COMPUTED_VALUE"""),"High")</f>
        <v>High</v>
      </c>
      <c r="S2012" s="8" t="str">
        <f ca="1">IFERROR(__xludf.DUMMYFUNCTION("""COMPUTED_VALUE"""),"Parking Lot")</f>
        <v>Parking Lot</v>
      </c>
      <c r="T2012" s="8" t="str">
        <f ca="1">IFERROR(__xludf.DUMMYFUNCTION("""COMPUTED_VALUE"""),"Outside on School Property")</f>
        <v>Outside on School Property</v>
      </c>
      <c r="U2012" s="8" t="str">
        <f ca="1">IFERROR(__xludf.DUMMYFUNCTION("""COMPUTED_VALUE"""),"No")</f>
        <v>No</v>
      </c>
      <c r="V2012" s="8" t="str">
        <f ca="1">IFERROR(__xludf.DUMMYFUNCTION("""COMPUTED_VALUE"""),"Evening")</f>
        <v>Evening</v>
      </c>
      <c r="W2012" s="11">
        <f ca="1">IFERROR(__xludf.DUMMYFUNCTION("""COMPUTED_VALUE"""),0.8125)</f>
        <v>0.8125</v>
      </c>
      <c r="X2012" s="8">
        <f ca="1">IFERROR(__xludf.DUMMYFUNCTION("""COMPUTED_VALUE"""),1)</f>
        <v>1</v>
      </c>
      <c r="Y2012" s="12" t="str">
        <f ca="1">IFERROR(__xludf.DUMMYFUNCTION("""COMPUTED_VALUE"""),"Teens attempted to rob basketball coach, shot both of them killing one (reserve police officer)")</f>
        <v>Teens attempted to rob basketball coach, shot both of them killing one (reserve police officer)</v>
      </c>
      <c r="Z2012" s="12" t="str">
        <f ca="1">IFERROR(__xludf.DUMMYFUNCTION("""COMPUTED_VALUE"""),"Two teens attempted to rob the basketball coach in the parking lot while he was leaving the school, escorting two female players to their cars. Suspects pulled out a gun but the coach was also armed and shot both of them, killing one. Coach was a reserve "&amp;"police officer. Called 911 and stayed on the scene until police arrived. Court ruled justified homicide.")</f>
        <v>Two teens attempted to rob the basketball coach in the parking lot while he was leaving the school, escorting two female players to their cars. Suspects pulled out a gun but the coach was also armed and shot both of them, killing one. Coach was a reserve police officer. Called 911 and stayed on the scene until police arrived. Court ruled justified homicide.</v>
      </c>
      <c r="AA2012" s="8" t="str">
        <f ca="1">IFERROR(__xludf.DUMMYFUNCTION("""COMPUTED_VALUE"""),"Illegal Activity")</f>
        <v>Illegal Activity</v>
      </c>
      <c r="AB2012" s="8"/>
      <c r="AC2012" s="8" t="str">
        <f ca="1">IFERROR(__xludf.DUMMYFUNCTION("""COMPUTED_VALUE"""),"Yes")</f>
        <v>Yes</v>
      </c>
      <c r="AD2012" s="8" t="str">
        <f ca="1">IFERROR(__xludf.DUMMYFUNCTION("""COMPUTED_VALUE"""),"Neither")</f>
        <v>Neither</v>
      </c>
      <c r="AE2012" s="8" t="str">
        <f ca="1">IFERROR(__xludf.DUMMYFUNCTION("""COMPUTED_VALUE"""),"Yes")</f>
        <v>Yes</v>
      </c>
      <c r="AF2012" s="8" t="str">
        <f ca="1">IFERROR(__xludf.DUMMYFUNCTION("""COMPUTED_VALUE"""),"2 suspects total, 1 handgun")</f>
        <v>2 suspects total, 1 handgun</v>
      </c>
      <c r="AG2012" s="8" t="str">
        <f ca="1">IFERROR(__xludf.DUMMYFUNCTION("""COMPUTED_VALUE"""),"No")</f>
        <v>No</v>
      </c>
      <c r="AH2012" s="8" t="str">
        <f ca="1">IFERROR(__xludf.DUMMYFUNCTION("""COMPUTED_VALUE"""),"No")</f>
        <v>No</v>
      </c>
      <c r="AI2012" s="8" t="str">
        <f ca="1">IFERROR(__xludf.DUMMYFUNCTION("""COMPUTED_VALUE"""),"Yes")</f>
        <v>Yes</v>
      </c>
      <c r="AJ2012" s="8" t="str">
        <f ca="1">IFERROR(__xludf.DUMMYFUNCTION("""COMPUTED_VALUE"""),"No")</f>
        <v>No</v>
      </c>
      <c r="AK2012" s="8" t="str">
        <f ca="1">IFERROR(__xludf.DUMMYFUNCTION("""COMPUTED_VALUE"""),"No")</f>
        <v>No</v>
      </c>
      <c r="AL2012" s="8" t="str">
        <f ca="1">IFERROR(__xludf.DUMMYFUNCTION("""COMPUTED_VALUE"""),"No")</f>
        <v>No</v>
      </c>
      <c r="AM2012" s="8"/>
      <c r="AN2012" s="8"/>
      <c r="AO2012" s="8" t="str">
        <f ca="1">IFERROR(__xludf.DUMMYFUNCTION("""COMPUTED_VALUE"""),"No")</f>
        <v>No</v>
      </c>
      <c r="AP2012" s="8" t="str">
        <f ca="1">IFERROR(__xludf.DUMMYFUNCTION("""COMPUTED_VALUE"""),"N/A")</f>
        <v>N/A</v>
      </c>
      <c r="AQ2012" s="8" t="str">
        <f ca="1">IFERROR(__xludf.DUMMYFUNCTION("""COMPUTED_VALUE"""),"Unknown")</f>
        <v>Unknown</v>
      </c>
      <c r="AR2012" s="8" t="str">
        <f ca="1">IFERROR(__xludf.DUMMYFUNCTION("""COMPUTED_VALUE"""),"NA")</f>
        <v>NA</v>
      </c>
      <c r="AS2012" s="8"/>
      <c r="AT2012" s="8" t="str">
        <f ca="1">IFERROR(__xludf.DUMMYFUNCTION("""COMPUTED_VALUE"""),"N/A")</f>
        <v>N/A</v>
      </c>
      <c r="AU2012" s="8">
        <f ca="1">IFERROR(__xludf.DUMMYFUNCTION("""COMPUTED_VALUE"""),42.343229)</f>
        <v>42.343229000000001</v>
      </c>
      <c r="AV2012" s="8">
        <f ca="1">IFERROR(__xludf.DUMMYFUNCTION("""COMPUTED_VALUE"""),-83.013763)</f>
        <v>-83.013762999999997</v>
      </c>
      <c r="AW2012" s="8"/>
      <c r="AX2012" s="8">
        <f ca="1">IFERROR(__xludf.DUMMYFUNCTION("""COMPUTED_VALUE"""),48207)</f>
        <v>48207</v>
      </c>
    </row>
    <row r="2013" spans="1:50" ht="105" x14ac:dyDescent="0.2">
      <c r="A2013" s="8" t="str">
        <f ca="1">IFERROR(__xludf.DUMMYFUNCTION("""COMPUTED_VALUE"""),"20130131GAPRA")</f>
        <v>20130131GAPRA</v>
      </c>
      <c r="B2013" s="8">
        <f ca="1">IFERROR(__xludf.DUMMYFUNCTION("""COMPUTED_VALUE"""),1)</f>
        <v>1</v>
      </c>
      <c r="C2013" s="8">
        <f ca="1">IFERROR(__xludf.DUMMYFUNCTION("""COMPUTED_VALUE"""),31)</f>
        <v>31</v>
      </c>
      <c r="D2013" s="8">
        <f ca="1">IFERROR(__xludf.DUMMYFUNCTION("""COMPUTED_VALUE"""),2013)</f>
        <v>2013</v>
      </c>
      <c r="E2013" s="9">
        <f ca="1">IFERROR(__xludf.DUMMYFUNCTION("""COMPUTED_VALUE"""),41305)</f>
        <v>41305</v>
      </c>
      <c r="F2013" s="8" t="str">
        <f ca="1">IFERROR(__xludf.DUMMYFUNCTION("""COMPUTED_VALUE"""),"Price Middle School")</f>
        <v>Price Middle School</v>
      </c>
      <c r="G2013" s="8">
        <f ca="1">IFERROR(__xludf.DUMMYFUNCTION("""COMPUTED_VALUE"""),0)</f>
        <v>0</v>
      </c>
      <c r="H2013" s="8">
        <f ca="1">IFERROR(__xludf.DUMMYFUNCTION("""COMPUTED_VALUE"""),1)</f>
        <v>1</v>
      </c>
      <c r="I2013" s="8">
        <f ca="1">IFERROR(__xludf.DUMMYFUNCTION("""COMPUTED_VALUE"""),1)</f>
        <v>1</v>
      </c>
      <c r="J2013" s="8">
        <f ca="1">IFERROR(__xludf.DUMMYFUNCTION("""COMPUTED_VALUE"""),0)</f>
        <v>0</v>
      </c>
      <c r="K2013" s="10" t="str">
        <f ca="1">IFERROR(__xludf.DUMMYFUNCTION("""COMPUTED_VALUE"""),"https://www.cbsnews.com/news/police-teen-shot-by-fellow-student-at-ga-school/")</f>
        <v>https://www.cbsnews.com/news/police-teen-shot-by-fellow-student-at-ga-school/</v>
      </c>
      <c r="L2013" s="8">
        <f ca="1">IFERROR(__xludf.DUMMYFUNCTION("""COMPUTED_VALUE"""),5)</f>
        <v>5</v>
      </c>
      <c r="M2013" s="8" t="str">
        <f ca="1">IFERROR(__xludf.DUMMYFUNCTION("""COMPUTED_VALUE"""),"Local")</f>
        <v>Local</v>
      </c>
      <c r="N2013" s="8">
        <f ca="1">IFERROR(__xludf.DUMMYFUNCTION("""COMPUTED_VALUE"""),2)</f>
        <v>2</v>
      </c>
      <c r="O2013" s="8" t="str">
        <f ca="1">IFERROR(__xludf.DUMMYFUNCTION("""COMPUTED_VALUE"""),"Winter")</f>
        <v>Winter</v>
      </c>
      <c r="P2013" s="8" t="str">
        <f ca="1">IFERROR(__xludf.DUMMYFUNCTION("""COMPUTED_VALUE"""),"Atlanta")</f>
        <v>Atlanta</v>
      </c>
      <c r="Q2013" s="8" t="str">
        <f ca="1">IFERROR(__xludf.DUMMYFUNCTION("""COMPUTED_VALUE"""),"GA")</f>
        <v>GA</v>
      </c>
      <c r="R2013" s="8" t="str">
        <f ca="1">IFERROR(__xludf.DUMMYFUNCTION("""COMPUTED_VALUE"""),"Middle")</f>
        <v>Middle</v>
      </c>
      <c r="S2013" s="8" t="str">
        <f ca="1">IFERROR(__xludf.DUMMYFUNCTION("""COMPUTED_VALUE"""),"Hallway")</f>
        <v>Hallway</v>
      </c>
      <c r="T2013" s="8" t="str">
        <f ca="1">IFERROR(__xludf.DUMMYFUNCTION("""COMPUTED_VALUE"""),"Inside School Building")</f>
        <v>Inside School Building</v>
      </c>
      <c r="U2013" s="8" t="str">
        <f ca="1">IFERROR(__xludf.DUMMYFUNCTION("""COMPUTED_VALUE"""),"Yes")</f>
        <v>Yes</v>
      </c>
      <c r="V2013" s="8" t="str">
        <f ca="1">IFERROR(__xludf.DUMMYFUNCTION("""COMPUTED_VALUE"""),"Afternoon Classes")</f>
        <v>Afternoon Classes</v>
      </c>
      <c r="W2013" s="11">
        <f ca="1">IFERROR(__xludf.DUMMYFUNCTION("""COMPUTED_VALUE"""),0.576388888888888)</f>
        <v>0.57638888888888795</v>
      </c>
      <c r="X2013" s="8">
        <f ca="1">IFERROR(__xludf.DUMMYFUNCTION("""COMPUTED_VALUE"""),1)</f>
        <v>1</v>
      </c>
      <c r="Y2013" s="12" t="str">
        <f ca="1">IFERROR(__xludf.DUMMYFUNCTION("""COMPUTED_VALUE"""),"Fight between classes; possibly gang-related")</f>
        <v>Fight between classes; possibly gang-related</v>
      </c>
      <c r="Z2013" s="12" t="str">
        <f ca="1">IFERROR(__xludf.DUMMYFUNCTION("""COMPUTED_VALUE"""),"Incident occurred between two students between classes. Allegedly, the 2 students had an ongoing conflict. The victim reported that he encountered the shooter who pulled out a gun, the victim started running and was shot in the back. A nearby SRO was able"&amp;" to immediately disarm the shooter. Principle cited a serious problem with gun violence in the community around the school. Possible gang related.")</f>
        <v>Incident occurred between two students between classes. Allegedly, the 2 students had an ongoing conflict. The victim reported that he encountered the shooter who pulled out a gun, the victim started running and was shot in the back. A nearby SRO was able to immediately disarm the shooter. Principle cited a serious problem with gun violence in the community around the school. Possible gang related.</v>
      </c>
      <c r="AA2013" s="8" t="str">
        <f ca="1">IFERROR(__xludf.DUMMYFUNCTION("""COMPUTED_VALUE"""),"Escalation of Dispute")</f>
        <v>Escalation of Dispute</v>
      </c>
      <c r="AB2013" s="8"/>
      <c r="AC2013" s="8" t="str">
        <f ca="1">IFERROR(__xludf.DUMMYFUNCTION("""COMPUTED_VALUE"""),"Yes")</f>
        <v>Yes</v>
      </c>
      <c r="AD2013" s="8" t="str">
        <f ca="1">IFERROR(__xludf.DUMMYFUNCTION("""COMPUTED_VALUE"""),"Victims Targeted")</f>
        <v>Victims Targeted</v>
      </c>
      <c r="AE2013" s="8" t="str">
        <f ca="1">IFERROR(__xludf.DUMMYFUNCTION("""COMPUTED_VALUE"""),"No")</f>
        <v>No</v>
      </c>
      <c r="AF2013" s="8"/>
      <c r="AG2013" s="8" t="str">
        <f ca="1">IFERROR(__xludf.DUMMYFUNCTION("""COMPUTED_VALUE"""),"No")</f>
        <v>No</v>
      </c>
      <c r="AH2013" s="8" t="str">
        <f ca="1">IFERROR(__xludf.DUMMYFUNCTION("""COMPUTED_VALUE"""),"No")</f>
        <v>No</v>
      </c>
      <c r="AI2013" s="8" t="str">
        <f ca="1">IFERROR(__xludf.DUMMYFUNCTION("""COMPUTED_VALUE"""),"No")</f>
        <v>No</v>
      </c>
      <c r="AJ2013" s="8" t="str">
        <f ca="1">IFERROR(__xludf.DUMMYFUNCTION("""COMPUTED_VALUE"""),"No")</f>
        <v>No</v>
      </c>
      <c r="AK2013" s="8" t="str">
        <f ca="1">IFERROR(__xludf.DUMMYFUNCTION("""COMPUTED_VALUE"""),"No")</f>
        <v>No</v>
      </c>
      <c r="AL2013" s="8" t="str">
        <f ca="1">IFERROR(__xludf.DUMMYFUNCTION("""COMPUTED_VALUE"""),"Yes")</f>
        <v>Yes</v>
      </c>
      <c r="AM2013" s="8"/>
      <c r="AN2013" s="8"/>
      <c r="AO2013" s="8" t="str">
        <f ca="1">IFERROR(__xludf.DUMMYFUNCTION("""COMPUTED_VALUE"""),"No")</f>
        <v>No</v>
      </c>
      <c r="AP2013" s="8" t="str">
        <f ca="1">IFERROR(__xludf.DUMMYFUNCTION("""COMPUTED_VALUE"""),"Yes")</f>
        <v>Yes</v>
      </c>
      <c r="AQ2013" s="8" t="str">
        <f ca="1">IFERROR(__xludf.DUMMYFUNCTION("""COMPUTED_VALUE"""),"Metal Detectors Failed")</f>
        <v>Metal Detectors Failed</v>
      </c>
      <c r="AR2013" s="8" t="str">
        <f ca="1">IFERROR(__xludf.DUMMYFUNCTION("""COMPUTED_VALUE"""),"Failed")</f>
        <v>Failed</v>
      </c>
      <c r="AS2013" s="8"/>
      <c r="AT2013" s="8" t="str">
        <f ca="1">IFERROR(__xludf.DUMMYFUNCTION("""COMPUTED_VALUE"""),"Yes")</f>
        <v>Yes</v>
      </c>
      <c r="AU2013" s="8">
        <f ca="1">IFERROR(__xludf.DUMMYFUNCTION("""COMPUTED_VALUE"""),33.708922)</f>
        <v>33.708922000000001</v>
      </c>
      <c r="AV2013" s="8">
        <f ca="1">IFERROR(__xludf.DUMMYFUNCTION("""COMPUTED_VALUE"""),-84.387458)</f>
        <v>-84.387457999999995</v>
      </c>
      <c r="AW2013" s="8"/>
      <c r="AX2013" s="8">
        <f ca="1">IFERROR(__xludf.DUMMYFUNCTION("""COMPUTED_VALUE"""),30315)</f>
        <v>30315</v>
      </c>
    </row>
    <row r="2014" spans="1:50" ht="90" x14ac:dyDescent="0.2">
      <c r="A2014" s="8" t="str">
        <f ca="1">IFERROR(__xludf.DUMMYFUNCTION("""COMPUTED_VALUE"""),"20130129ALDAM")</f>
        <v>20130129ALDAM</v>
      </c>
      <c r="B2014" s="8">
        <f ca="1">IFERROR(__xludf.DUMMYFUNCTION("""COMPUTED_VALUE"""),1)</f>
        <v>1</v>
      </c>
      <c r="C2014" s="8">
        <f ca="1">IFERROR(__xludf.DUMMYFUNCTION("""COMPUTED_VALUE"""),29)</f>
        <v>29</v>
      </c>
      <c r="D2014" s="8">
        <f ca="1">IFERROR(__xludf.DUMMYFUNCTION("""COMPUTED_VALUE"""),2013)</f>
        <v>2013</v>
      </c>
      <c r="E2014" s="9">
        <f ca="1">IFERROR(__xludf.DUMMYFUNCTION("""COMPUTED_VALUE"""),41303)</f>
        <v>41303</v>
      </c>
      <c r="F2014" s="8" t="str">
        <f ca="1">IFERROR(__xludf.DUMMYFUNCTION("""COMPUTED_VALUE"""),"Dale County School Bus")</f>
        <v>Dale County School Bus</v>
      </c>
      <c r="G2014" s="8">
        <f ca="1">IFERROR(__xludf.DUMMYFUNCTION("""COMPUTED_VALUE"""),1)</f>
        <v>1</v>
      </c>
      <c r="H2014" s="8">
        <f ca="1">IFERROR(__xludf.DUMMYFUNCTION("""COMPUTED_VALUE"""),0)</f>
        <v>0</v>
      </c>
      <c r="I2014" s="8">
        <f ca="1">IFERROR(__xludf.DUMMYFUNCTION("""COMPUTED_VALUE"""),1)</f>
        <v>1</v>
      </c>
      <c r="J2014" s="8">
        <f ca="1">IFERROR(__xludf.DUMMYFUNCTION("""COMPUTED_VALUE"""),0)</f>
        <v>0</v>
      </c>
      <c r="K2014" s="8" t="str">
        <f ca="1">IFERROR(__xludf.DUMMYFUNCTION("""COMPUTED_VALUE"""),"https://www.al.com/montgomery/2013/02/jimmy_lee_dykes_paranoid_poor.html https://www.cbsnews.com/news/fbi-hostage-crisis-jimmy-dykes-kidnapping-hostage-ethan-gilman/")</f>
        <v>https://www.al.com/montgomery/2013/02/jimmy_lee_dykes_paranoid_poor.html https://www.cbsnews.com/news/fbi-hostage-crisis-jimmy-dykes-kidnapping-hostage-ethan-gilman/</v>
      </c>
      <c r="L2014" s="8"/>
      <c r="M2014" s="8" t="str">
        <f ca="1">IFERROR(__xludf.DUMMYFUNCTION("""COMPUTED_VALUE"""),"International")</f>
        <v>International</v>
      </c>
      <c r="N2014" s="8">
        <f ca="1">IFERROR(__xludf.DUMMYFUNCTION("""COMPUTED_VALUE"""),5)</f>
        <v>5</v>
      </c>
      <c r="O2014" s="8" t="str">
        <f ca="1">IFERROR(__xludf.DUMMYFUNCTION("""COMPUTED_VALUE"""),"Winter")</f>
        <v>Winter</v>
      </c>
      <c r="P2014" s="8" t="str">
        <f ca="1">IFERROR(__xludf.DUMMYFUNCTION("""COMPUTED_VALUE"""),"Midland City")</f>
        <v>Midland City</v>
      </c>
      <c r="Q2014" s="8" t="str">
        <f ca="1">IFERROR(__xludf.DUMMYFUNCTION("""COMPUTED_VALUE"""),"AL")</f>
        <v>AL</v>
      </c>
      <c r="R2014" s="8" t="str">
        <f ca="1">IFERROR(__xludf.DUMMYFUNCTION("""COMPUTED_VALUE"""),"Elementary")</f>
        <v>Elementary</v>
      </c>
      <c r="S2014" s="8" t="str">
        <f ca="1">IFERROR(__xludf.DUMMYFUNCTION("""COMPUTED_VALUE"""),"School Bus")</f>
        <v>School Bus</v>
      </c>
      <c r="T2014" s="8" t="str">
        <f ca="1">IFERROR(__xludf.DUMMYFUNCTION("""COMPUTED_VALUE"""),"School Bus")</f>
        <v>School Bus</v>
      </c>
      <c r="U2014" s="8" t="str">
        <f ca="1">IFERROR(__xludf.DUMMYFUNCTION("""COMPUTED_VALUE"""),"Yes")</f>
        <v>Yes</v>
      </c>
      <c r="V2014" s="8" t="str">
        <f ca="1">IFERROR(__xludf.DUMMYFUNCTION("""COMPUTED_VALUE"""),"Dismissal")</f>
        <v>Dismissal</v>
      </c>
      <c r="W2014" s="11">
        <f ca="1">IFERROR(__xludf.DUMMYFUNCTION("""COMPUTED_VALUE"""),0.645833333333333)</f>
        <v>0.64583333333333304</v>
      </c>
      <c r="X2014" s="8">
        <f ca="1">IFERROR(__xludf.DUMMYFUNCTION("""COMPUTED_VALUE"""),1)</f>
        <v>1</v>
      </c>
      <c r="Y2014" s="12" t="str">
        <f ca="1">IFERROR(__xludf.DUMMYFUNCTION("""COMPUTED_VALUE"""),"Man shot bus driver and abducted student from school bus")</f>
        <v>Man shot bus driver and abducted student from school bus</v>
      </c>
      <c r="Z2014" s="12" t="str">
        <f ca="1">IFERROR(__xludf.DUMMYFUNCTION("""COMPUTED_VALUE"""),"A 65 year-old man with anti-government grievances boarded a school bus full of students, shot the bus driver, and kidnapped a 5 year-old student. He took the student to an underground bunker and had a extended standoff with the FBI. He planned to use the "&amp;"child hostages to get media attention.")</f>
        <v>A 65 year-old man with anti-government grievances boarded a school bus full of students, shot the bus driver, and kidnapped a 5 year-old student. He took the student to an underground bunker and had a extended standoff with the FBI. He planned to use the child hostages to get media attention.</v>
      </c>
      <c r="AA2014" s="8" t="str">
        <f ca="1">IFERROR(__xludf.DUMMYFUNCTION("""COMPUTED_VALUE"""),"Hostage/Standoff")</f>
        <v>Hostage/Standoff</v>
      </c>
      <c r="AB2014" s="8"/>
      <c r="AC2014" s="8" t="str">
        <f ca="1">IFERROR(__xludf.DUMMYFUNCTION("""COMPUTED_VALUE"""),"Yes")</f>
        <v>Yes</v>
      </c>
      <c r="AD2014" s="8" t="str">
        <f ca="1">IFERROR(__xludf.DUMMYFUNCTION("""COMPUTED_VALUE"""),"Random Shooting")</f>
        <v>Random Shooting</v>
      </c>
      <c r="AE2014" s="8" t="str">
        <f ca="1">IFERROR(__xludf.DUMMYFUNCTION("""COMPUTED_VALUE"""),"No")</f>
        <v>No</v>
      </c>
      <c r="AF2014" s="8"/>
      <c r="AG2014" s="8" t="str">
        <f ca="1">IFERROR(__xludf.DUMMYFUNCTION("""COMPUTED_VALUE"""),"Yes")</f>
        <v>Yes</v>
      </c>
      <c r="AH2014" s="8" t="str">
        <f ca="1">IFERROR(__xludf.DUMMYFUNCTION("""COMPUTED_VALUE"""),"No")</f>
        <v>No</v>
      </c>
      <c r="AI2014" s="8" t="str">
        <f ca="1">IFERROR(__xludf.DUMMYFUNCTION("""COMPUTED_VALUE"""),"No")</f>
        <v>No</v>
      </c>
      <c r="AJ2014" s="8" t="str">
        <f ca="1">IFERROR(__xludf.DUMMYFUNCTION("""COMPUTED_VALUE"""),"No")</f>
        <v>No</v>
      </c>
      <c r="AK2014" s="8" t="str">
        <f ca="1">IFERROR(__xludf.DUMMYFUNCTION("""COMPUTED_VALUE"""),"No")</f>
        <v>No</v>
      </c>
      <c r="AL2014" s="8" t="str">
        <f ca="1">IFERROR(__xludf.DUMMYFUNCTION("""COMPUTED_VALUE"""),"No")</f>
        <v>No</v>
      </c>
      <c r="AM2014" s="8" t="str">
        <f ca="1">IFERROR(__xludf.DUMMYFUNCTION("""COMPUTED_VALUE"""),"No")</f>
        <v>No</v>
      </c>
      <c r="AN2014" s="8"/>
      <c r="AO2014" s="8" t="str">
        <f ca="1">IFERROR(__xludf.DUMMYFUNCTION("""COMPUTED_VALUE"""),"Yes")</f>
        <v>Yes</v>
      </c>
      <c r="AP2014" s="8"/>
      <c r="AQ2014" s="8"/>
      <c r="AR2014" s="8" t="str">
        <f ca="1">IFERROR(__xludf.DUMMYFUNCTION("""COMPUTED_VALUE"""),"Outside/Off-Property")</f>
        <v>Outside/Off-Property</v>
      </c>
      <c r="AS2014" s="8">
        <f ca="1">IFERROR(__xludf.DUMMYFUNCTION("""COMPUTED_VALUE"""),5)</f>
        <v>5</v>
      </c>
      <c r="AT2014" s="8"/>
      <c r="AU2014" s="8">
        <f ca="1">IFERROR(__xludf.DUMMYFUNCTION("""COMPUTED_VALUE"""),31.316656)</f>
        <v>31.316655999999998</v>
      </c>
      <c r="AV2014" s="8">
        <f ca="1">IFERROR(__xludf.DUMMYFUNCTION("""COMPUTED_VALUE"""),-85.495325)</f>
        <v>-85.495324999999994</v>
      </c>
      <c r="AW2014" s="8"/>
      <c r="AX2014" s="8">
        <f ca="1">IFERROR(__xludf.DUMMYFUNCTION("""COMPUTED_VALUE"""),36350)</f>
        <v>36350</v>
      </c>
    </row>
    <row r="2015" spans="1:50" ht="90" x14ac:dyDescent="0.2">
      <c r="A2015" s="8" t="str">
        <f ca="1">IFERROR(__xludf.DUMMYFUNCTION("""COMPUTED_VALUE"""),"20130111MIOSD")</f>
        <v>20130111MIOSD</v>
      </c>
      <c r="B2015" s="8">
        <f ca="1">IFERROR(__xludf.DUMMYFUNCTION("""COMPUTED_VALUE"""),1)</f>
        <v>1</v>
      </c>
      <c r="C2015" s="8">
        <f ca="1">IFERROR(__xludf.DUMMYFUNCTION("""COMPUTED_VALUE"""),11)</f>
        <v>11</v>
      </c>
      <c r="D2015" s="8">
        <f ca="1">IFERROR(__xludf.DUMMYFUNCTION("""COMPUTED_VALUE"""),2013)</f>
        <v>2013</v>
      </c>
      <c r="E2015" s="9">
        <f ca="1">IFERROR(__xludf.DUMMYFUNCTION("""COMPUTED_VALUE"""),41285)</f>
        <v>41285</v>
      </c>
      <c r="F2015" s="8" t="str">
        <f ca="1">IFERROR(__xludf.DUMMYFUNCTION("""COMPUTED_VALUE"""),"Osborn High School")</f>
        <v>Osborn High School</v>
      </c>
      <c r="G2015" s="8">
        <f ca="1">IFERROR(__xludf.DUMMYFUNCTION("""COMPUTED_VALUE"""),0)</f>
        <v>0</v>
      </c>
      <c r="H2015" s="8">
        <f ca="1">IFERROR(__xludf.DUMMYFUNCTION("""COMPUTED_VALUE"""),1)</f>
        <v>1</v>
      </c>
      <c r="I2015" s="8">
        <f ca="1">IFERROR(__xludf.DUMMYFUNCTION("""COMPUTED_VALUE"""),1)</f>
        <v>1</v>
      </c>
      <c r="J2015" s="8">
        <f ca="1">IFERROR(__xludf.DUMMYFUNCTION("""COMPUTED_VALUE"""),0)</f>
        <v>0</v>
      </c>
      <c r="K2015" s="10" t="str">
        <f ca="1">IFERROR(__xludf.DUMMYFUNCTION("""COMPUTED_VALUE"""),"https://www.wxyz.com/news/region/detroit/16-year-old-boy-shot-at-after-basketball-game-in-detroit")</f>
        <v>https://www.wxyz.com/news/region/detroit/16-year-old-boy-shot-at-after-basketball-game-in-detroit</v>
      </c>
      <c r="L2015" s="8">
        <f ca="1">IFERROR(__xludf.DUMMYFUNCTION("""COMPUTED_VALUE"""),1)</f>
        <v>1</v>
      </c>
      <c r="M2015" s="8" t="str">
        <f ca="1">IFERROR(__xludf.DUMMYFUNCTION("""COMPUTED_VALUE"""),"Local")</f>
        <v>Local</v>
      </c>
      <c r="N2015" s="8">
        <f ca="1">IFERROR(__xludf.DUMMYFUNCTION("""COMPUTED_VALUE"""),2)</f>
        <v>2</v>
      </c>
      <c r="O2015" s="8" t="str">
        <f ca="1">IFERROR(__xludf.DUMMYFUNCTION("""COMPUTED_VALUE"""),"Winter")</f>
        <v>Winter</v>
      </c>
      <c r="P2015" s="8" t="str">
        <f ca="1">IFERROR(__xludf.DUMMYFUNCTION("""COMPUTED_VALUE"""),"Detroit")</f>
        <v>Detroit</v>
      </c>
      <c r="Q2015" s="8" t="str">
        <f ca="1">IFERROR(__xludf.DUMMYFUNCTION("""COMPUTED_VALUE"""),"MI")</f>
        <v>MI</v>
      </c>
      <c r="R2015" s="8" t="str">
        <f ca="1">IFERROR(__xludf.DUMMYFUNCTION("""COMPUTED_VALUE"""),"High")</f>
        <v>High</v>
      </c>
      <c r="S2015" s="8" t="str">
        <f ca="1">IFERROR(__xludf.DUMMYFUNCTION("""COMPUTED_VALUE"""),"Basketball Court")</f>
        <v>Basketball Court</v>
      </c>
      <c r="T2015" s="8" t="str">
        <f ca="1">IFERROR(__xludf.DUMMYFUNCTION("""COMPUTED_VALUE"""),"Off School Property")</f>
        <v>Off School Property</v>
      </c>
      <c r="U2015" s="8" t="str">
        <f ca="1">IFERROR(__xludf.DUMMYFUNCTION("""COMPUTED_VALUE"""),"No")</f>
        <v>No</v>
      </c>
      <c r="V2015" s="8" t="str">
        <f ca="1">IFERROR(__xludf.DUMMYFUNCTION("""COMPUTED_VALUE"""),"Sport Event")</f>
        <v>Sport Event</v>
      </c>
      <c r="W2015" s="8"/>
      <c r="X2015" s="8">
        <f ca="1">IFERROR(__xludf.DUMMYFUNCTION("""COMPUTED_VALUE"""),1)</f>
        <v>1</v>
      </c>
      <c r="Y2015" s="12" t="str">
        <f ca="1">IFERROR(__xludf.DUMMYFUNCTION("""COMPUTED_VALUE"""),"Fight after basketball game")</f>
        <v>Fight after basketball game</v>
      </c>
      <c r="Z2015" s="12" t="str">
        <f ca="1">IFERROR(__xludf.DUMMYFUNCTION("""COMPUTED_VALUE"""),"Fight occurred following an organized high school basketball game involving multiple juveniles. Shots were fired and one juvenile was struck in the leg. Police questioned multiple juveniles and were unable to identify a suspect. Shooting occurred across t"&amp;"he street from school - not on school property.")</f>
        <v>Fight occurred following an organized high school basketball game involving multiple juveniles. Shots were fired and one juvenile was struck in the leg. Police questioned multiple juveniles and were unable to identify a suspect. Shooting occurred across the street from school - not on school property.</v>
      </c>
      <c r="AA2015" s="8" t="str">
        <f ca="1">IFERROR(__xludf.DUMMYFUNCTION("""COMPUTED_VALUE"""),"Escalation of Dispute")</f>
        <v>Escalation of Dispute</v>
      </c>
      <c r="AB2015" s="8"/>
      <c r="AC2015" s="8" t="str">
        <f ca="1">IFERROR(__xludf.DUMMYFUNCTION("""COMPUTED_VALUE"""),"Yes")</f>
        <v>Yes</v>
      </c>
      <c r="AD2015" s="8" t="str">
        <f ca="1">IFERROR(__xludf.DUMMYFUNCTION("""COMPUTED_VALUE"""),"Victims Targeted")</f>
        <v>Victims Targeted</v>
      </c>
      <c r="AE2015" s="8"/>
      <c r="AF2015" s="8"/>
      <c r="AG2015" s="8" t="str">
        <f ca="1">IFERROR(__xludf.DUMMYFUNCTION("""COMPUTED_VALUE"""),"No")</f>
        <v>No</v>
      </c>
      <c r="AH2015" s="8" t="str">
        <f ca="1">IFERROR(__xludf.DUMMYFUNCTION("""COMPUTED_VALUE"""),"No")</f>
        <v>No</v>
      </c>
      <c r="AI2015" s="8" t="str">
        <f ca="1">IFERROR(__xludf.DUMMYFUNCTION("""COMPUTED_VALUE"""),"No")</f>
        <v>No</v>
      </c>
      <c r="AJ2015" s="8" t="str">
        <f ca="1">IFERROR(__xludf.DUMMYFUNCTION("""COMPUTED_VALUE"""),"No")</f>
        <v>No</v>
      </c>
      <c r="AK2015" s="8" t="str">
        <f ca="1">IFERROR(__xludf.DUMMYFUNCTION("""COMPUTED_VALUE"""),"No")</f>
        <v>No</v>
      </c>
      <c r="AL2015" s="8" t="str">
        <f ca="1">IFERROR(__xludf.DUMMYFUNCTION("""COMPUTED_VALUE"""),"No")</f>
        <v>No</v>
      </c>
      <c r="AM2015" s="8"/>
      <c r="AN2015" s="8"/>
      <c r="AO2015" s="8" t="str">
        <f ca="1">IFERROR(__xludf.DUMMYFUNCTION("""COMPUTED_VALUE"""),"No")</f>
        <v>No</v>
      </c>
      <c r="AP2015" s="8" t="str">
        <f ca="1">IFERROR(__xludf.DUMMYFUNCTION("""COMPUTED_VALUE"""),"N/A")</f>
        <v>N/A</v>
      </c>
      <c r="AQ2015" s="8" t="str">
        <f ca="1">IFERROR(__xludf.DUMMYFUNCTION("""COMPUTED_VALUE"""),"Unknown")</f>
        <v>Unknown</v>
      </c>
      <c r="AR2015" s="8" t="str">
        <f ca="1">IFERROR(__xludf.DUMMYFUNCTION("""COMPUTED_VALUE"""),"NA")</f>
        <v>NA</v>
      </c>
      <c r="AS2015" s="8" t="str">
        <f ca="1">IFERROR(__xludf.DUMMYFUNCTION("""COMPUTED_VALUE"""),"&lt;10")</f>
        <v>&lt;10</v>
      </c>
      <c r="AT2015" s="8" t="str">
        <f ca="1">IFERROR(__xludf.DUMMYFUNCTION("""COMPUTED_VALUE"""),"N/A")</f>
        <v>N/A</v>
      </c>
      <c r="AU2015" s="8">
        <f ca="1">IFERROR(__xludf.DUMMYFUNCTION("""COMPUTED_VALUE"""),42.433935)</f>
        <v>42.433934999999998</v>
      </c>
      <c r="AV2015" s="8">
        <f ca="1">IFERROR(__xludf.DUMMYFUNCTION("""COMPUTED_VALUE"""),-83.003089)</f>
        <v>-83.003089000000003</v>
      </c>
      <c r="AW2015" s="8"/>
      <c r="AX2015" s="8">
        <f ca="1">IFERROR(__xludf.DUMMYFUNCTION("""COMPUTED_VALUE"""),48282)</f>
        <v>48282</v>
      </c>
    </row>
    <row r="2016" spans="1:50" ht="120" x14ac:dyDescent="0.2">
      <c r="A2016" s="8" t="str">
        <f ca="1">IFERROR(__xludf.DUMMYFUNCTION("""COMPUTED_VALUE"""),"20130110CATAT")</f>
        <v>20130110CATAT</v>
      </c>
      <c r="B2016" s="8">
        <f ca="1">IFERROR(__xludf.DUMMYFUNCTION("""COMPUTED_VALUE"""),1)</f>
        <v>1</v>
      </c>
      <c r="C2016" s="8">
        <f ca="1">IFERROR(__xludf.DUMMYFUNCTION("""COMPUTED_VALUE"""),10)</f>
        <v>10</v>
      </c>
      <c r="D2016" s="8">
        <f ca="1">IFERROR(__xludf.DUMMYFUNCTION("""COMPUTED_VALUE"""),2013)</f>
        <v>2013</v>
      </c>
      <c r="E2016" s="9">
        <f ca="1">IFERROR(__xludf.DUMMYFUNCTION("""COMPUTED_VALUE"""),41284)</f>
        <v>41284</v>
      </c>
      <c r="F2016" s="8" t="str">
        <f ca="1">IFERROR(__xludf.DUMMYFUNCTION("""COMPUTED_VALUE"""),"Taft Union High School")</f>
        <v>Taft Union High School</v>
      </c>
      <c r="G2016" s="8">
        <f ca="1">IFERROR(__xludf.DUMMYFUNCTION("""COMPUTED_VALUE"""),0)</f>
        <v>0</v>
      </c>
      <c r="H2016" s="8">
        <f ca="1">IFERROR(__xludf.DUMMYFUNCTION("""COMPUTED_VALUE"""),2)</f>
        <v>2</v>
      </c>
      <c r="I2016" s="8">
        <f ca="1">IFERROR(__xludf.DUMMYFUNCTION("""COMPUTED_VALUE"""),2)</f>
        <v>2</v>
      </c>
      <c r="J2016" s="8">
        <f ca="1">IFERROR(__xludf.DUMMYFUNCTION("""COMPUTED_VALUE"""),0)</f>
        <v>0</v>
      </c>
      <c r="K2016" s="8" t="str">
        <f ca="1">IFERROR(__xludf.DUMMYFUNCTION("""COMPUTED_VALUE"""),"https://bakersfieldnow.com/news/local/bryan-oliver-takes-plea-deal-in-taft-hs-shooting-case https://www.fbi.gov/file-repository/active-shooter-incidents-2000-2017.pdf")</f>
        <v>https://bakersfieldnow.com/news/local/bryan-oliver-takes-plea-deal-in-taft-hs-shooting-case https://www.fbi.gov/file-repository/active-shooter-incidents-2000-2017.pdf</v>
      </c>
      <c r="L2016" s="8">
        <f ca="1">IFERROR(__xludf.DUMMYFUNCTION("""COMPUTED_VALUE"""),11)</f>
        <v>11</v>
      </c>
      <c r="M2016" s="8" t="str">
        <f ca="1">IFERROR(__xludf.DUMMYFUNCTION("""COMPUTED_VALUE"""),"National")</f>
        <v>National</v>
      </c>
      <c r="N2016" s="8">
        <f ca="1">IFERROR(__xludf.DUMMYFUNCTION("""COMPUTED_VALUE"""),5)</f>
        <v>5</v>
      </c>
      <c r="O2016" s="8" t="str">
        <f ca="1">IFERROR(__xludf.DUMMYFUNCTION("""COMPUTED_VALUE"""),"Winter")</f>
        <v>Winter</v>
      </c>
      <c r="P2016" s="8" t="str">
        <f ca="1">IFERROR(__xludf.DUMMYFUNCTION("""COMPUTED_VALUE"""),"Taft")</f>
        <v>Taft</v>
      </c>
      <c r="Q2016" s="8" t="str">
        <f ca="1">IFERROR(__xludf.DUMMYFUNCTION("""COMPUTED_VALUE"""),"CA")</f>
        <v>CA</v>
      </c>
      <c r="R2016" s="8" t="str">
        <f ca="1">IFERROR(__xludf.DUMMYFUNCTION("""COMPUTED_VALUE"""),"High")</f>
        <v>High</v>
      </c>
      <c r="S2016" s="8" t="str">
        <f ca="1">IFERROR(__xludf.DUMMYFUNCTION("""COMPUTED_VALUE"""),"Hallway")</f>
        <v>Hallway</v>
      </c>
      <c r="T2016" s="8" t="str">
        <f ca="1">IFERROR(__xludf.DUMMYFUNCTION("""COMPUTED_VALUE"""),"Inside School Building")</f>
        <v>Inside School Building</v>
      </c>
      <c r="U2016" s="8" t="str">
        <f ca="1">IFERROR(__xludf.DUMMYFUNCTION("""COMPUTED_VALUE"""),"Yes")</f>
        <v>Yes</v>
      </c>
      <c r="V2016" s="8" t="str">
        <f ca="1">IFERROR(__xludf.DUMMYFUNCTION("""COMPUTED_VALUE"""),"Morning Classes")</f>
        <v>Morning Classes</v>
      </c>
      <c r="W2016" s="11">
        <f ca="1">IFERROR(__xludf.DUMMYFUNCTION("""COMPUTED_VALUE"""),0.375)</f>
        <v>0.375</v>
      </c>
      <c r="X2016" s="8">
        <f ca="1">IFERROR(__xludf.DUMMYFUNCTION("""COMPUTED_VALUE"""),1)</f>
        <v>1</v>
      </c>
      <c r="Y2016" s="12" t="str">
        <f ca="1">IFERROR(__xludf.DUMMYFUNCTION("""COMPUTED_VALUE"""),"Targeted shooting of bully")</f>
        <v>Targeted shooting of bully</v>
      </c>
      <c r="Z2016" s="12" t="str">
        <f ca="1">IFERROR(__xludf.DUMMYFUNCTION("""COMPUTED_VALUE"""),"3 suspects dressed in the school uniforms entered school property. After locating the target they were after, they chased both him and another student trying to help get victim get away. One of the suspects shot at the victim several times but only hit a "&amp;"parked car. The suspects were later identified, and the shooter turned himself in. The judge in the case denied treating the shooter as a youthful offender because of his juvenile criminal record.")</f>
        <v>3 suspects dressed in the school uniforms entered school property. After locating the target they were after, they chased both him and another student trying to help get victim get away. One of the suspects shot at the victim several times but only hit a parked car. The suspects were later identified, and the shooter turned himself in. The judge in the case denied treating the shooter as a youthful offender because of his juvenile criminal record.</v>
      </c>
      <c r="AA2016" s="8" t="str">
        <f ca="1">IFERROR(__xludf.DUMMYFUNCTION("""COMPUTED_VALUE"""),"Bullying")</f>
        <v>Bullying</v>
      </c>
      <c r="AB2016" s="8"/>
      <c r="AC2016" s="8" t="str">
        <f ca="1">IFERROR(__xludf.DUMMYFUNCTION("""COMPUTED_VALUE"""),"Yes")</f>
        <v>Yes</v>
      </c>
      <c r="AD2016" s="8" t="str">
        <f ca="1">IFERROR(__xludf.DUMMYFUNCTION("""COMPUTED_VALUE"""),"Both")</f>
        <v>Both</v>
      </c>
      <c r="AE2016" s="8" t="str">
        <f ca="1">IFERROR(__xludf.DUMMYFUNCTION("""COMPUTED_VALUE"""),"No")</f>
        <v>No</v>
      </c>
      <c r="AF2016" s="8"/>
      <c r="AG2016" s="8" t="str">
        <f ca="1">IFERROR(__xludf.DUMMYFUNCTION("""COMPUTED_VALUE"""),"No")</f>
        <v>No</v>
      </c>
      <c r="AH2016" s="8" t="str">
        <f ca="1">IFERROR(__xludf.DUMMYFUNCTION("""COMPUTED_VALUE"""),"No")</f>
        <v>No</v>
      </c>
      <c r="AI2016" s="8" t="str">
        <f ca="1">IFERROR(__xludf.DUMMYFUNCTION("""COMPUTED_VALUE"""),"No")</f>
        <v>No</v>
      </c>
      <c r="AJ2016" s="8" t="str">
        <f ca="1">IFERROR(__xludf.DUMMYFUNCTION("""COMPUTED_VALUE"""),"Yes")</f>
        <v>Yes</v>
      </c>
      <c r="AK2016" s="8" t="str">
        <f ca="1">IFERROR(__xludf.DUMMYFUNCTION("""COMPUTED_VALUE"""),"No")</f>
        <v>No</v>
      </c>
      <c r="AL2016" s="8" t="str">
        <f ca="1">IFERROR(__xludf.DUMMYFUNCTION("""COMPUTED_VALUE"""),"No")</f>
        <v>No</v>
      </c>
      <c r="AM2016" s="8" t="str">
        <f ca="1">IFERROR(__xludf.DUMMYFUNCTION("""COMPUTED_VALUE"""),"Yes")</f>
        <v>Yes</v>
      </c>
      <c r="AN2016" s="8" t="str">
        <f ca="1">IFERROR(__xludf.DUMMYFUNCTION("""COMPUTED_VALUE"""),"Multiple Rooms")</f>
        <v>Multiple Rooms</v>
      </c>
      <c r="AO2016" s="8" t="str">
        <f ca="1">IFERROR(__xludf.DUMMYFUNCTION("""COMPUTED_VALUE"""),"Yes")</f>
        <v>Yes</v>
      </c>
      <c r="AP2016" s="8" t="str">
        <f ca="1">IFERROR(__xludf.DUMMYFUNCTION("""COMPUTED_VALUE"""),"Yes")</f>
        <v>Yes</v>
      </c>
      <c r="AQ2016" s="8" t="str">
        <f ca="1">IFERROR(__xludf.DUMMYFUNCTION("""COMPUTED_VALUE"""),"None")</f>
        <v>None</v>
      </c>
      <c r="AR2016" s="8" t="str">
        <f ca="1">IFERROR(__xludf.DUMMYFUNCTION("""COMPUTED_VALUE"""),"NA")</f>
        <v>NA</v>
      </c>
      <c r="AS2016" s="8">
        <f ca="1">IFERROR(__xludf.DUMMYFUNCTION("""COMPUTED_VALUE"""),2)</f>
        <v>2</v>
      </c>
      <c r="AT2016" s="8" t="str">
        <f ca="1">IFERROR(__xludf.DUMMYFUNCTION("""COMPUTED_VALUE"""),"Yes")</f>
        <v>Yes</v>
      </c>
      <c r="AU2016" s="8">
        <f ca="1">IFERROR(__xludf.DUMMYFUNCTION("""COMPUTED_VALUE"""),35.146242)</f>
        <v>35.146242000000001</v>
      </c>
      <c r="AV2016" s="8">
        <f ca="1">IFERROR(__xludf.DUMMYFUNCTION("""COMPUTED_VALUE"""),-119.460434)</f>
        <v>-119.46043400000001</v>
      </c>
      <c r="AW2016" s="8"/>
      <c r="AX2016" s="8">
        <f ca="1">IFERROR(__xludf.DUMMYFUNCTION("""COMPUTED_VALUE"""),93268)</f>
        <v>93268</v>
      </c>
    </row>
    <row r="2017" spans="1:50" ht="45" x14ac:dyDescent="0.2">
      <c r="A2017" s="8" t="str">
        <f ca="1">IFERROR(__xludf.DUMMYFUNCTION("""COMPUTED_VALUE"""),"20130107FLAPF")</f>
        <v>20130107FLAPF</v>
      </c>
      <c r="B2017" s="8">
        <f ca="1">IFERROR(__xludf.DUMMYFUNCTION("""COMPUTED_VALUE"""),1)</f>
        <v>1</v>
      </c>
      <c r="C2017" s="8">
        <f ca="1">IFERROR(__xludf.DUMMYFUNCTION("""COMPUTED_VALUE"""),7)</f>
        <v>7</v>
      </c>
      <c r="D2017" s="8">
        <f ca="1">IFERROR(__xludf.DUMMYFUNCTION("""COMPUTED_VALUE"""),2013)</f>
        <v>2013</v>
      </c>
      <c r="E2017" s="9">
        <f ca="1">IFERROR(__xludf.DUMMYFUNCTION("""COMPUTED_VALUE"""),41281)</f>
        <v>41281</v>
      </c>
      <c r="F2017" s="8" t="str">
        <f ca="1">IFERROR(__xludf.DUMMYFUNCTION("""COMPUTED_VALUE"""),"Apostolic Revival Center Christian School")</f>
        <v>Apostolic Revival Center Christian School</v>
      </c>
      <c r="G2017" s="8">
        <f ca="1">IFERROR(__xludf.DUMMYFUNCTION("""COMPUTED_VALUE"""),1)</f>
        <v>1</v>
      </c>
      <c r="H2017" s="8">
        <f ca="1">IFERROR(__xludf.DUMMYFUNCTION("""COMPUTED_VALUE"""),0)</f>
        <v>0</v>
      </c>
      <c r="I2017" s="8">
        <f ca="1">IFERROR(__xludf.DUMMYFUNCTION("""COMPUTED_VALUE"""),1)</f>
        <v>1</v>
      </c>
      <c r="J2017" s="8">
        <f ca="1">IFERROR(__xludf.DUMMYFUNCTION("""COMPUTED_VALUE"""),0)</f>
        <v>0</v>
      </c>
      <c r="K2017" s="10" t="str">
        <f ca="1">IFERROR(__xludf.DUMMYFUNCTION("""COMPUTED_VALUE"""),"https://www.usatoday.com/story/news/nation/2013/01/08/school-shooting-florida/1817149/")</f>
        <v>https://www.usatoday.com/story/news/nation/2013/01/08/school-shooting-florida/1817149/</v>
      </c>
      <c r="L2017" s="8">
        <f ca="1">IFERROR(__xludf.DUMMYFUNCTION("""COMPUTED_VALUE"""),5)</f>
        <v>5</v>
      </c>
      <c r="M2017" s="8" t="str">
        <f ca="1">IFERROR(__xludf.DUMMYFUNCTION("""COMPUTED_VALUE"""),"Local")</f>
        <v>Local</v>
      </c>
      <c r="N2017" s="8">
        <f ca="1">IFERROR(__xludf.DUMMYFUNCTION("""COMPUTED_VALUE"""),2)</f>
        <v>2</v>
      </c>
      <c r="O2017" s="8" t="str">
        <f ca="1">IFERROR(__xludf.DUMMYFUNCTION("""COMPUTED_VALUE"""),"Winter")</f>
        <v>Winter</v>
      </c>
      <c r="P2017" s="8" t="str">
        <f ca="1">IFERROR(__xludf.DUMMYFUNCTION("""COMPUTED_VALUE"""),"Fort Myers")</f>
        <v>Fort Myers</v>
      </c>
      <c r="Q2017" s="8" t="str">
        <f ca="1">IFERROR(__xludf.DUMMYFUNCTION("""COMPUTED_VALUE"""),"FL")</f>
        <v>FL</v>
      </c>
      <c r="R2017" s="8" t="str">
        <f ca="1">IFERROR(__xludf.DUMMYFUNCTION("""COMPUTED_VALUE"""),"K-8")</f>
        <v>K-8</v>
      </c>
      <c r="S2017" s="8" t="str">
        <f ca="1">IFERROR(__xludf.DUMMYFUNCTION("""COMPUTED_VALUE"""),"Parking Lot")</f>
        <v>Parking Lot</v>
      </c>
      <c r="T2017" s="8" t="str">
        <f ca="1">IFERROR(__xludf.DUMMYFUNCTION("""COMPUTED_VALUE"""),"Outside on School Property")</f>
        <v>Outside on School Property</v>
      </c>
      <c r="U2017" s="8" t="str">
        <f ca="1">IFERROR(__xludf.DUMMYFUNCTION("""COMPUTED_VALUE"""),"Yes")</f>
        <v>Yes</v>
      </c>
      <c r="V2017" s="8" t="str">
        <f ca="1">IFERROR(__xludf.DUMMYFUNCTION("""COMPUTED_VALUE"""),"Morning Classes")</f>
        <v>Morning Classes</v>
      </c>
      <c r="W2017" s="11">
        <f ca="1">IFERROR(__xludf.DUMMYFUNCTION("""COMPUTED_VALUE"""),0.458333333333333)</f>
        <v>0.45833333333333298</v>
      </c>
      <c r="X2017" s="8">
        <f ca="1">IFERROR(__xludf.DUMMYFUNCTION("""COMPUTED_VALUE"""),1)</f>
        <v>1</v>
      </c>
      <c r="Y2017" s="12" t="str">
        <f ca="1">IFERROR(__xludf.DUMMYFUNCTION("""COMPUTED_VALUE"""),"Gang shooting outside of school")</f>
        <v>Gang shooting outside of school</v>
      </c>
      <c r="Z2017" s="12" t="str">
        <f ca="1">IFERROR(__xludf.DUMMYFUNCTION("""COMPUTED_VALUE"""),"5 shot fired in parking lot of school during the school day. Unidentified adult male killed. School was locked down. Police said the shooting was gang related.")</f>
        <v>5 shot fired in parking lot of school during the school day. Unidentified adult male killed. School was locked down. Police said the shooting was gang related.</v>
      </c>
      <c r="AA2017" s="8" t="str">
        <f ca="1">IFERROR(__xludf.DUMMYFUNCTION("""COMPUTED_VALUE"""),"Escalation of Dispute")</f>
        <v>Escalation of Dispute</v>
      </c>
      <c r="AB2017" s="8"/>
      <c r="AC2017" s="8" t="str">
        <f ca="1">IFERROR(__xludf.DUMMYFUNCTION("""COMPUTED_VALUE"""),"Yes")</f>
        <v>Yes</v>
      </c>
      <c r="AD2017" s="8" t="str">
        <f ca="1">IFERROR(__xludf.DUMMYFUNCTION("""COMPUTED_VALUE"""),"Victims Targeted")</f>
        <v>Victims Targeted</v>
      </c>
      <c r="AE2017" s="8"/>
      <c r="AF2017" s="8"/>
      <c r="AG2017" s="8" t="str">
        <f ca="1">IFERROR(__xludf.DUMMYFUNCTION("""COMPUTED_VALUE"""),"No")</f>
        <v>No</v>
      </c>
      <c r="AH2017" s="8" t="str">
        <f ca="1">IFERROR(__xludf.DUMMYFUNCTION("""COMPUTED_VALUE"""),"No")</f>
        <v>No</v>
      </c>
      <c r="AI2017" s="8" t="str">
        <f ca="1">IFERROR(__xludf.DUMMYFUNCTION("""COMPUTED_VALUE"""),"No")</f>
        <v>No</v>
      </c>
      <c r="AJ2017" s="8" t="str">
        <f ca="1">IFERROR(__xludf.DUMMYFUNCTION("""COMPUTED_VALUE"""),"N/A")</f>
        <v>N/A</v>
      </c>
      <c r="AK2017" s="8" t="str">
        <f ca="1">IFERROR(__xludf.DUMMYFUNCTION("""COMPUTED_VALUE"""),"No")</f>
        <v>No</v>
      </c>
      <c r="AL2017" s="8" t="str">
        <f ca="1">IFERROR(__xludf.DUMMYFUNCTION("""COMPUTED_VALUE"""),"Yes")</f>
        <v>Yes</v>
      </c>
      <c r="AM2017" s="8"/>
      <c r="AN2017" s="8"/>
      <c r="AO2017" s="8" t="str">
        <f ca="1">IFERROR(__xludf.DUMMYFUNCTION("""COMPUTED_VALUE"""),"No")</f>
        <v>No</v>
      </c>
      <c r="AP2017" s="8" t="str">
        <f ca="1">IFERROR(__xludf.DUMMYFUNCTION("""COMPUTED_VALUE"""),"No")</f>
        <v>No</v>
      </c>
      <c r="AQ2017" s="8" t="str">
        <f ca="1">IFERROR(__xludf.DUMMYFUNCTION("""COMPUTED_VALUE"""),"Unknown")</f>
        <v>Unknown</v>
      </c>
      <c r="AR2017" s="8" t="str">
        <f ca="1">IFERROR(__xludf.DUMMYFUNCTION("""COMPUTED_VALUE"""),"NA")</f>
        <v>NA</v>
      </c>
      <c r="AS2017" s="8"/>
      <c r="AT2017" s="8" t="str">
        <f ca="1">IFERROR(__xludf.DUMMYFUNCTION("""COMPUTED_VALUE"""),"Yes")</f>
        <v>Yes</v>
      </c>
      <c r="AU2017" s="8">
        <f ca="1">IFERROR(__xludf.DUMMYFUNCTION("""COMPUTED_VALUE"""),26.639501)</f>
        <v>26.639500999999999</v>
      </c>
      <c r="AV2017" s="8">
        <f ca="1">IFERROR(__xludf.DUMMYFUNCTION("""COMPUTED_VALUE"""),-81.834492)</f>
        <v>-81.834491999999997</v>
      </c>
      <c r="AW2017" s="8"/>
      <c r="AX2017" s="8">
        <f ca="1">IFERROR(__xludf.DUMMYFUNCTION("""COMPUTED_VALUE"""),33916)</f>
        <v>33916</v>
      </c>
    </row>
    <row r="2018" spans="1:50" ht="409.5" x14ac:dyDescent="0.2">
      <c r="A2018" s="8" t="str">
        <f ca="1">IFERROR(__xludf.DUMMYFUNCTION("""COMPUTED_VALUE"""),"20121214CTSAN")</f>
        <v>20121214CTSAN</v>
      </c>
      <c r="B2018" s="8">
        <f ca="1">IFERROR(__xludf.DUMMYFUNCTION("""COMPUTED_VALUE"""),12)</f>
        <v>12</v>
      </c>
      <c r="C2018" s="8">
        <f ca="1">IFERROR(__xludf.DUMMYFUNCTION("""COMPUTED_VALUE"""),14)</f>
        <v>14</v>
      </c>
      <c r="D2018" s="8">
        <f ca="1">IFERROR(__xludf.DUMMYFUNCTION("""COMPUTED_VALUE"""),2012)</f>
        <v>2012</v>
      </c>
      <c r="E2018" s="9">
        <f ca="1">IFERROR(__xludf.DUMMYFUNCTION("""COMPUTED_VALUE"""),41257)</f>
        <v>41257</v>
      </c>
      <c r="F2018" s="8" t="str">
        <f ca="1">IFERROR(__xludf.DUMMYFUNCTION("""COMPUTED_VALUE"""),"Sandy Hook Elementary School")</f>
        <v>Sandy Hook Elementary School</v>
      </c>
      <c r="G2018" s="8">
        <f ca="1">IFERROR(__xludf.DUMMYFUNCTION("""COMPUTED_VALUE"""),26)</f>
        <v>26</v>
      </c>
      <c r="H2018" s="8">
        <f ca="1">IFERROR(__xludf.DUMMYFUNCTION("""COMPUTED_VALUE"""),2)</f>
        <v>2</v>
      </c>
      <c r="I2018" s="8">
        <f ca="1">IFERROR(__xludf.DUMMYFUNCTION("""COMPUTED_VALUE"""),28)</f>
        <v>28</v>
      </c>
      <c r="J2018" s="8">
        <f ca="1">IFERROR(__xludf.DUMMYFUNCTION("""COMPUTED_VALUE"""),1)</f>
        <v>1</v>
      </c>
      <c r="K2018" s="8" t="str">
        <f ca="1">IFERROR(__xludf.DUMMYFUNCTION("""COMPUTED_VALUE"""),"http://www.nydailynews.com/news/national/lupica-lanza-plotted-massacre-years-article-1.1291408?print https://www.fbi.gov/file-repository/active-shooter-incidents-2000-2017.pdf")</f>
        <v>http://www.nydailynews.com/news/national/lupica-lanza-plotted-massacre-years-article-1.1291408?print https://www.fbi.gov/file-repository/active-shooter-incidents-2000-2017.pdf</v>
      </c>
      <c r="L2018" s="8">
        <f ca="1">IFERROR(__xludf.DUMMYFUNCTION("""COMPUTED_VALUE"""),100)</f>
        <v>100</v>
      </c>
      <c r="M2018" s="8" t="str">
        <f ca="1">IFERROR(__xludf.DUMMYFUNCTION("""COMPUTED_VALUE"""),"International")</f>
        <v>International</v>
      </c>
      <c r="N2018" s="8">
        <f ca="1">IFERROR(__xludf.DUMMYFUNCTION("""COMPUTED_VALUE"""),5)</f>
        <v>5</v>
      </c>
      <c r="O2018" s="8" t="str">
        <f ca="1">IFERROR(__xludf.DUMMYFUNCTION("""COMPUTED_VALUE"""),"Winter")</f>
        <v>Winter</v>
      </c>
      <c r="P2018" s="8" t="str">
        <f ca="1">IFERROR(__xludf.DUMMYFUNCTION("""COMPUTED_VALUE"""),"Newtown")</f>
        <v>Newtown</v>
      </c>
      <c r="Q2018" s="8" t="str">
        <f ca="1">IFERROR(__xludf.DUMMYFUNCTION("""COMPUTED_VALUE"""),"CT")</f>
        <v>CT</v>
      </c>
      <c r="R2018" s="8" t="str">
        <f ca="1">IFERROR(__xludf.DUMMYFUNCTION("""COMPUTED_VALUE"""),"Elementary")</f>
        <v>Elementary</v>
      </c>
      <c r="S2018" s="8" t="str">
        <f ca="1">IFERROR(__xludf.DUMMYFUNCTION("""COMPUTED_VALUE"""),"Classroom")</f>
        <v>Classroom</v>
      </c>
      <c r="T2018" s="8" t="str">
        <f ca="1">IFERROR(__xludf.DUMMYFUNCTION("""COMPUTED_VALUE"""),"Inside School Building")</f>
        <v>Inside School Building</v>
      </c>
      <c r="U2018" s="8" t="str">
        <f ca="1">IFERROR(__xludf.DUMMYFUNCTION("""COMPUTED_VALUE"""),"Yes")</f>
        <v>Yes</v>
      </c>
      <c r="V2018" s="8" t="str">
        <f ca="1">IFERROR(__xludf.DUMMYFUNCTION("""COMPUTED_VALUE"""),"Morning Classes")</f>
        <v>Morning Classes</v>
      </c>
      <c r="W2018" s="11">
        <f ca="1">IFERROR(__xludf.DUMMYFUNCTION("""COMPUTED_VALUE"""),0.399305555555555)</f>
        <v>0.39930555555555503</v>
      </c>
      <c r="X2018" s="8">
        <f ca="1">IFERROR(__xludf.DUMMYFUNCTION("""COMPUTED_VALUE"""),5)</f>
        <v>5</v>
      </c>
      <c r="Y2018" s="12" t="str">
        <f ca="1">IFERROR(__xludf.DUMMYFUNCTION("""COMPUTED_VALUE"""),"Shooter though society was broken and mass shooting helps save children from negative influence")</f>
        <v>Shooter though society was broken and mass shooting helps save children from negative influence</v>
      </c>
      <c r="Z2018" s="12" t="str">
        <f ca="1">IFERROR(__xludf.DUMMYFUNCTION("""COMPUTED_VALUE"""),"On Dec 14, 2012, Adam Lanza walked into Sandy Hook Elementary and shot 26 people (20 were children), after killing his mother in their home. 156 shots were fired in 5 minutes - shooter had multiple weapons with him, 10mm Glock was found jammed next to the"&amp;" body, after he used to kill himself, 9mm Sig Sauer was never fired. Shooter reportedly shouted ""Look at me"" and was swearing. Leaked police investigation noted shooter had created a 7x4 spreadsheet listing top 500 mass killings with weapons used and sc"&amp;"oresheet; he had removed the hard drive from his computer and damaged it prior to the shooting Shooter reloaded every time he entered a new room even if the clip was not empty. Shooter's mother was making straw purchases of guns for him, encouraging his g"&amp;"un obsession. Shooter shot his mother before he went to the school and finally he shot himself. Shooter was carrying his brother's ID and police initially thought he was the shooter. Police found a safe with over 1400 rounds of ammo in his home, multiple "&amp;"weapons, NRA certificate, and a photograph holding a gun to his head. Shooter had cut off contact with both his father and brother in the two years before the shooting and at one point communicated with his mother, who lived in the same house, only by ema"&amp;"il. He had his windows covered with black garbage bags. He was mostly living in isolation and played computer games. He was home-schooled since 8th grade. He was examined by several psychiatrist, took medication for a short time but was not open to therap"&amp;"y. He started editing Wikipedia entries on various well-known mass murderers.")</f>
        <v>On Dec 14, 2012, Adam Lanza walked into Sandy Hook Elementary and shot 26 people (20 were children), after killing his mother in their home. 156 shots were fired in 5 minutes - shooter had multiple weapons with him, 10mm Glock was found jammed next to the body, after he used to kill himself, 9mm Sig Sauer was never fired. Shooter reportedly shouted "Look at me" and was swearing. Leaked police investigation noted shooter had created a 7x4 spreadsheet listing top 500 mass killings with weapons used and scoresheet; he had removed the hard drive from his computer and damaged it prior to the shooting Shooter reloaded every time he entered a new room even if the clip was not empty. Shooter's mother was making straw purchases of guns for him, encouraging his gun obsession. Shooter shot his mother before he went to the school and finally he shot himself. Shooter was carrying his brother's ID and police initially thought he was the shooter. Police found a safe with over 1400 rounds of ammo in his home, multiple weapons, NRA certificate, and a photograph holding a gun to his head. Shooter had cut off contact with both his father and brother in the two years before the shooting and at one point communicated with his mother, who lived in the same house, only by email. He had his windows covered with black garbage bags. He was mostly living in isolation and played computer games. He was home-schooled since 8th grade. He was examined by several psychiatrist, took medication for a short time but was not open to therapy. He started editing Wikipedia entries on various well-known mass murderers.</v>
      </c>
      <c r="AA2018" s="8" t="str">
        <f ca="1">IFERROR(__xludf.DUMMYFUNCTION("""COMPUTED_VALUE"""),"Indiscriminate Shooting")</f>
        <v>Indiscriminate Shooting</v>
      </c>
      <c r="AB2018" s="8"/>
      <c r="AC2018" s="8" t="str">
        <f ca="1">IFERROR(__xludf.DUMMYFUNCTION("""COMPUTED_VALUE"""),"Yes")</f>
        <v>Yes</v>
      </c>
      <c r="AD2018" s="8" t="str">
        <f ca="1">IFERROR(__xludf.DUMMYFUNCTION("""COMPUTED_VALUE"""),"Random Shooting")</f>
        <v>Random Shooting</v>
      </c>
      <c r="AE2018" s="8" t="str">
        <f ca="1">IFERROR(__xludf.DUMMYFUNCTION("""COMPUTED_VALUE"""),"No")</f>
        <v>No</v>
      </c>
      <c r="AF2018" s="8"/>
      <c r="AG2018" s="8" t="str">
        <f ca="1">IFERROR(__xludf.DUMMYFUNCTION("""COMPUTED_VALUE"""),"No")</f>
        <v>No</v>
      </c>
      <c r="AH2018" s="8" t="str">
        <f ca="1">IFERROR(__xludf.DUMMYFUNCTION("""COMPUTED_VALUE"""),"No")</f>
        <v>No</v>
      </c>
      <c r="AI2018" s="8" t="str">
        <f ca="1">IFERROR(__xludf.DUMMYFUNCTION("""COMPUTED_VALUE"""),"No")</f>
        <v>No</v>
      </c>
      <c r="AJ2018" s="8"/>
      <c r="AK2018" s="8" t="str">
        <f ca="1">IFERROR(__xludf.DUMMYFUNCTION("""COMPUTED_VALUE"""),"No")</f>
        <v>No</v>
      </c>
      <c r="AL2018" s="8" t="str">
        <f ca="1">IFERROR(__xludf.DUMMYFUNCTION("""COMPUTED_VALUE"""),"No")</f>
        <v>No</v>
      </c>
      <c r="AM2018" s="8" t="str">
        <f ca="1">IFERROR(__xludf.DUMMYFUNCTION("""COMPUTED_VALUE"""),"Yes")</f>
        <v>Yes</v>
      </c>
      <c r="AN2018" s="8" t="str">
        <f ca="1">IFERROR(__xludf.DUMMYFUNCTION("""COMPUTED_VALUE"""),"Multiple Rooms")</f>
        <v>Multiple Rooms</v>
      </c>
      <c r="AO2018" s="8" t="str">
        <f ca="1">IFERROR(__xludf.DUMMYFUNCTION("""COMPUTED_VALUE"""),"Yes")</f>
        <v>Yes</v>
      </c>
      <c r="AP2018" s="8" t="str">
        <f ca="1">IFERROR(__xludf.DUMMYFUNCTION("""COMPUTED_VALUE"""),"No")</f>
        <v>No</v>
      </c>
      <c r="AQ2018" s="8" t="str">
        <f ca="1">IFERROR(__xludf.DUMMYFUNCTION("""COMPUTED_VALUE"""),"None")</f>
        <v>None</v>
      </c>
      <c r="AR2018" s="8" t="str">
        <f ca="1">IFERROR(__xludf.DUMMYFUNCTION("""COMPUTED_VALUE"""),"NA")</f>
        <v>NA</v>
      </c>
      <c r="AS2018" s="8"/>
      <c r="AT2018" s="8" t="str">
        <f ca="1">IFERROR(__xludf.DUMMYFUNCTION("""COMPUTED_VALUE"""),"Yes")</f>
        <v>Yes</v>
      </c>
      <c r="AU2018" s="8">
        <f ca="1">IFERROR(__xludf.DUMMYFUNCTION("""COMPUTED_VALUE"""),41.419856)</f>
        <v>41.419856000000003</v>
      </c>
      <c r="AV2018" s="8">
        <f ca="1">IFERROR(__xludf.DUMMYFUNCTION("""COMPUTED_VALUE"""),-73.277507)</f>
        <v>-73.277507</v>
      </c>
      <c r="AW2018" s="8"/>
      <c r="AX2018" s="8">
        <f ca="1">IFERROR(__xludf.DUMMYFUNCTION("""COMPUTED_VALUE"""),6482)</f>
        <v>6482</v>
      </c>
    </row>
    <row r="2019" spans="1:50" ht="60" x14ac:dyDescent="0.2">
      <c r="A2019" s="8" t="str">
        <f ca="1">IFERROR(__xludf.DUMMYFUNCTION("""COMPUTED_VALUE"""),"20121210TXSPH")</f>
        <v>20121210TXSPH</v>
      </c>
      <c r="B2019" s="8">
        <f ca="1">IFERROR(__xludf.DUMMYFUNCTION("""COMPUTED_VALUE"""),12)</f>
        <v>12</v>
      </c>
      <c r="C2019" s="8">
        <f ca="1">IFERROR(__xludf.DUMMYFUNCTION("""COMPUTED_VALUE"""),10)</f>
        <v>10</v>
      </c>
      <c r="D2019" s="8">
        <f ca="1">IFERROR(__xludf.DUMMYFUNCTION("""COMPUTED_VALUE"""),2012)</f>
        <v>2012</v>
      </c>
      <c r="E2019" s="9">
        <f ca="1">IFERROR(__xludf.DUMMYFUNCTION("""COMPUTED_VALUE"""),41253)</f>
        <v>41253</v>
      </c>
      <c r="F2019" s="8" t="str">
        <f ca="1">IFERROR(__xludf.DUMMYFUNCTION("""COMPUTED_VALUE"""),"Spring Woods High School")</f>
        <v>Spring Woods High School</v>
      </c>
      <c r="G2019" s="8">
        <f ca="1">IFERROR(__xludf.DUMMYFUNCTION("""COMPUTED_VALUE"""),0)</f>
        <v>0</v>
      </c>
      <c r="H2019" s="8">
        <f ca="1">IFERROR(__xludf.DUMMYFUNCTION("""COMPUTED_VALUE"""),0)</f>
        <v>0</v>
      </c>
      <c r="I2019" s="8">
        <f ca="1">IFERROR(__xludf.DUMMYFUNCTION("""COMPUTED_VALUE"""),0)</f>
        <v>0</v>
      </c>
      <c r="J2019" s="8">
        <f ca="1">IFERROR(__xludf.DUMMYFUNCTION("""COMPUTED_VALUE"""),0)</f>
        <v>0</v>
      </c>
      <c r="K2019" s="10" t="str">
        <f ca="1">IFERROR(__xludf.DUMMYFUNCTION("""COMPUTED_VALUE"""),"https://abc13.com/archive/8915159/")</f>
        <v>https://abc13.com/archive/8915159/</v>
      </c>
      <c r="L2019" s="8">
        <f ca="1">IFERROR(__xludf.DUMMYFUNCTION("""COMPUTED_VALUE"""),1)</f>
        <v>1</v>
      </c>
      <c r="M2019" s="8" t="str">
        <f ca="1">IFERROR(__xludf.DUMMYFUNCTION("""COMPUTED_VALUE"""),"Local")</f>
        <v>Local</v>
      </c>
      <c r="N2019" s="8">
        <f ca="1">IFERROR(__xludf.DUMMYFUNCTION("""COMPUTED_VALUE"""),2)</f>
        <v>2</v>
      </c>
      <c r="O2019" s="8" t="str">
        <f ca="1">IFERROR(__xludf.DUMMYFUNCTION("""COMPUTED_VALUE"""),"Winter")</f>
        <v>Winter</v>
      </c>
      <c r="P2019" s="8" t="str">
        <f ca="1">IFERROR(__xludf.DUMMYFUNCTION("""COMPUTED_VALUE"""),"Houston")</f>
        <v>Houston</v>
      </c>
      <c r="Q2019" s="8" t="str">
        <f ca="1">IFERROR(__xludf.DUMMYFUNCTION("""COMPUTED_VALUE"""),"TX")</f>
        <v>TX</v>
      </c>
      <c r="R2019" s="8" t="str">
        <f ca="1">IFERROR(__xludf.DUMMYFUNCTION("""COMPUTED_VALUE"""),"High")</f>
        <v>High</v>
      </c>
      <c r="S2019" s="8" t="str">
        <f ca="1">IFERROR(__xludf.DUMMYFUNCTION("""COMPUTED_VALUE"""),"Classroom")</f>
        <v>Classroom</v>
      </c>
      <c r="T2019" s="8" t="str">
        <f ca="1">IFERROR(__xludf.DUMMYFUNCTION("""COMPUTED_VALUE"""),"Inside School Building")</f>
        <v>Inside School Building</v>
      </c>
      <c r="U2019" s="8" t="str">
        <f ca="1">IFERROR(__xludf.DUMMYFUNCTION("""COMPUTED_VALUE"""),"Yes")</f>
        <v>Yes</v>
      </c>
      <c r="V2019" s="8" t="str">
        <f ca="1">IFERROR(__xludf.DUMMYFUNCTION("""COMPUTED_VALUE"""),"Morning Classes")</f>
        <v>Morning Classes</v>
      </c>
      <c r="W2019" s="11">
        <f ca="1">IFERROR(__xludf.DUMMYFUNCTION("""COMPUTED_VALUE"""),0.458333333333333)</f>
        <v>0.45833333333333298</v>
      </c>
      <c r="X2019" s="8">
        <f ca="1">IFERROR(__xludf.DUMMYFUNCTION("""COMPUTED_VALUE"""),1)</f>
        <v>1</v>
      </c>
      <c r="Y2019" s="12" t="str">
        <f ca="1">IFERROR(__xludf.DUMMYFUNCTION("""COMPUTED_VALUE"""),"Showing off gun, accidentally fired, arrested by officer assigned to school")</f>
        <v>Showing off gun, accidentally fired, arrested by officer assigned to school</v>
      </c>
      <c r="Z2019" s="12" t="str">
        <f ca="1">IFERROR(__xludf.DUMMYFUNCTION("""COMPUTED_VALUE"""),"15YOM student was showing off handgun to 30 other students in classroom when he accidentally fired it, which sent a bullet through a door and into the hallway. No injuries. Arrested by officer assigned to school.")</f>
        <v>15YOM student was showing off handgun to 30 other students in classroom when he accidentally fired it, which sent a bullet through a door and into the hallway. No injuries. Arrested by officer assigned to school.</v>
      </c>
      <c r="AA2019" s="8" t="str">
        <f ca="1">IFERROR(__xludf.DUMMYFUNCTION("""COMPUTED_VALUE"""),"Accidental")</f>
        <v>Accidental</v>
      </c>
      <c r="AB2019" s="8"/>
      <c r="AC2019" s="8" t="str">
        <f ca="1">IFERROR(__xludf.DUMMYFUNCTION("""COMPUTED_VALUE"""),"Yes")</f>
        <v>Yes</v>
      </c>
      <c r="AD2019" s="8" t="str">
        <f ca="1">IFERROR(__xludf.DUMMYFUNCTION("""COMPUTED_VALUE"""),"Neither")</f>
        <v>Neither</v>
      </c>
      <c r="AE2019" s="8" t="str">
        <f ca="1">IFERROR(__xludf.DUMMYFUNCTION("""COMPUTED_VALUE"""),"No")</f>
        <v>No</v>
      </c>
      <c r="AF2019" s="8"/>
      <c r="AG2019" s="8" t="str">
        <f ca="1">IFERROR(__xludf.DUMMYFUNCTION("""COMPUTED_VALUE"""),"No")</f>
        <v>No</v>
      </c>
      <c r="AH2019" s="8" t="str">
        <f ca="1">IFERROR(__xludf.DUMMYFUNCTION("""COMPUTED_VALUE"""),"No")</f>
        <v>No</v>
      </c>
      <c r="AI2019" s="8" t="str">
        <f ca="1">IFERROR(__xludf.DUMMYFUNCTION("""COMPUTED_VALUE"""),"No")</f>
        <v>No</v>
      </c>
      <c r="AJ2019" s="8" t="str">
        <f ca="1">IFERROR(__xludf.DUMMYFUNCTION("""COMPUTED_VALUE"""),"No")</f>
        <v>No</v>
      </c>
      <c r="AK2019" s="8" t="str">
        <f ca="1">IFERROR(__xludf.DUMMYFUNCTION("""COMPUTED_VALUE"""),"No")</f>
        <v>No</v>
      </c>
      <c r="AL2019" s="8" t="str">
        <f ca="1">IFERROR(__xludf.DUMMYFUNCTION("""COMPUTED_VALUE"""),"No")</f>
        <v>No</v>
      </c>
      <c r="AM2019" s="8"/>
      <c r="AN2019" s="8"/>
      <c r="AO2019" s="8" t="str">
        <f ca="1">IFERROR(__xludf.DUMMYFUNCTION("""COMPUTED_VALUE"""),"No")</f>
        <v>No</v>
      </c>
      <c r="AP2019" s="8" t="str">
        <f ca="1">IFERROR(__xludf.DUMMYFUNCTION("""COMPUTED_VALUE"""),"Yes")</f>
        <v>Yes</v>
      </c>
      <c r="AQ2019" s="8" t="str">
        <f ca="1">IFERROR(__xludf.DUMMYFUNCTION("""COMPUTED_VALUE"""),"Unknown")</f>
        <v>Unknown</v>
      </c>
      <c r="AR2019" s="8" t="str">
        <f ca="1">IFERROR(__xludf.DUMMYFUNCTION("""COMPUTED_VALUE"""),"NA")</f>
        <v>NA</v>
      </c>
      <c r="AS2019" s="8">
        <f ca="1">IFERROR(__xludf.DUMMYFUNCTION("""COMPUTED_VALUE"""),1)</f>
        <v>1</v>
      </c>
      <c r="AT2019" s="8" t="str">
        <f ca="1">IFERROR(__xludf.DUMMYFUNCTION("""COMPUTED_VALUE"""),"No")</f>
        <v>No</v>
      </c>
      <c r="AU2019" s="8">
        <f ca="1">IFERROR(__xludf.DUMMYFUNCTION("""COMPUTED_VALUE"""),29.810325)</f>
        <v>29.810324999999999</v>
      </c>
      <c r="AV2019" s="8">
        <f ca="1">IFERROR(__xludf.DUMMYFUNCTION("""COMPUTED_VALUE"""),-95.547876)</f>
        <v>-95.547876000000002</v>
      </c>
      <c r="AW2019" s="8"/>
      <c r="AX2019" s="8">
        <f ca="1">IFERROR(__xludf.DUMMYFUNCTION("""COMPUTED_VALUE"""),77080)</f>
        <v>77080</v>
      </c>
    </row>
    <row r="2020" spans="1:50" ht="60" x14ac:dyDescent="0.2">
      <c r="A2020" s="8" t="str">
        <f ca="1">IFERROR(__xludf.DUMMYFUNCTION("""COMPUTED_VALUE"""),"20121019ILBAC")</f>
        <v>20121019ILBAC</v>
      </c>
      <c r="B2020" s="8">
        <f ca="1">IFERROR(__xludf.DUMMYFUNCTION("""COMPUTED_VALUE"""),10)</f>
        <v>10</v>
      </c>
      <c r="C2020" s="8">
        <f ca="1">IFERROR(__xludf.DUMMYFUNCTION("""COMPUTED_VALUE"""),19)</f>
        <v>19</v>
      </c>
      <c r="D2020" s="8">
        <f ca="1">IFERROR(__xludf.DUMMYFUNCTION("""COMPUTED_VALUE"""),2012)</f>
        <v>2012</v>
      </c>
      <c r="E2020" s="9">
        <f ca="1">IFERROR(__xludf.DUMMYFUNCTION("""COMPUTED_VALUE"""),41201)</f>
        <v>41201</v>
      </c>
      <c r="F2020" s="8" t="str">
        <f ca="1">IFERROR(__xludf.DUMMYFUNCTION("""COMPUTED_VALUE"""),"Banner Academy South")</f>
        <v>Banner Academy South</v>
      </c>
      <c r="G2020" s="8">
        <f ca="1">IFERROR(__xludf.DUMMYFUNCTION("""COMPUTED_VALUE"""),1)</f>
        <v>1</v>
      </c>
      <c r="H2020" s="8">
        <f ca="1">IFERROR(__xludf.DUMMYFUNCTION("""COMPUTED_VALUE"""),0)</f>
        <v>0</v>
      </c>
      <c r="I2020" s="8">
        <f ca="1">IFERROR(__xludf.DUMMYFUNCTION("""COMPUTED_VALUE"""),1)</f>
        <v>1</v>
      </c>
      <c r="J2020" s="8">
        <f ca="1">IFERROR(__xludf.DUMMYFUNCTION("""COMPUTED_VALUE"""),0)</f>
        <v>0</v>
      </c>
      <c r="K2020" s="10" t="str">
        <f ca="1">IFERROR(__xludf.DUMMYFUNCTION("""COMPUTED_VALUE"""),"http://articles.chicagotribune.com/2012-10-30/news/chi-2nd-teen-charged-in-murder-of-teen-outside-south-side-high-school-20121030_1_adult-with-first-degree-murder-terrance-wright-banner-academy-south")</f>
        <v>http://articles.chicagotribune.com/2012-10-30/news/chi-2nd-teen-charged-in-murder-of-teen-outside-south-side-high-school-20121030_1_adult-with-first-degree-murder-terrance-wright-banner-academy-south</v>
      </c>
      <c r="L2020" s="8">
        <f ca="1">IFERROR(__xludf.DUMMYFUNCTION("""COMPUTED_VALUE"""),1)</f>
        <v>1</v>
      </c>
      <c r="M2020" s="8" t="str">
        <f ca="1">IFERROR(__xludf.DUMMYFUNCTION("""COMPUTED_VALUE"""),"Local")</f>
        <v>Local</v>
      </c>
      <c r="N2020" s="8">
        <f ca="1">IFERROR(__xludf.DUMMYFUNCTION("""COMPUTED_VALUE"""),3)</f>
        <v>3</v>
      </c>
      <c r="O2020" s="8" t="str">
        <f ca="1">IFERROR(__xludf.DUMMYFUNCTION("""COMPUTED_VALUE"""),"Fall")</f>
        <v>Fall</v>
      </c>
      <c r="P2020" s="8" t="str">
        <f ca="1">IFERROR(__xludf.DUMMYFUNCTION("""COMPUTED_VALUE"""),"Chicago")</f>
        <v>Chicago</v>
      </c>
      <c r="Q2020" s="8" t="str">
        <f ca="1">IFERROR(__xludf.DUMMYFUNCTION("""COMPUTED_VALUE"""),"IL")</f>
        <v>IL</v>
      </c>
      <c r="R2020" s="8" t="str">
        <f ca="1">IFERROR(__xludf.DUMMYFUNCTION("""COMPUTED_VALUE"""),"Other")</f>
        <v>Other</v>
      </c>
      <c r="S2020" s="8" t="str">
        <f ca="1">IFERROR(__xludf.DUMMYFUNCTION("""COMPUTED_VALUE"""),"Beside Building")</f>
        <v>Beside Building</v>
      </c>
      <c r="T2020" s="8" t="str">
        <f ca="1">IFERROR(__xludf.DUMMYFUNCTION("""COMPUTED_VALUE"""),"Outside on School Property")</f>
        <v>Outside on School Property</v>
      </c>
      <c r="U2020" s="8" t="str">
        <f ca="1">IFERROR(__xludf.DUMMYFUNCTION("""COMPUTED_VALUE"""),"No")</f>
        <v>No</v>
      </c>
      <c r="V2020" s="8" t="str">
        <f ca="1">IFERROR(__xludf.DUMMYFUNCTION("""COMPUTED_VALUE"""),"After School")</f>
        <v>After School</v>
      </c>
      <c r="W2020" s="8"/>
      <c r="X2020" s="8"/>
      <c r="Y2020" s="12" t="str">
        <f ca="1">IFERROR(__xludf.DUMMYFUNCTION("""COMPUTED_VALUE"""),"Victim shot during robbery")</f>
        <v>Victim shot during robbery</v>
      </c>
      <c r="Z2020" s="12" t="str">
        <f ca="1">IFERROR(__xludf.DUMMYFUNCTION("""COMPUTED_VALUE"""),"Victim was approached after school by 5 would-be robbers. Victim struggled and was shot dead by a 14YOM who was later charged with murder; a 16YOM accomplice was charged as an adult.")</f>
        <v>Victim was approached after school by 5 would-be robbers. Victim struggled and was shot dead by a 14YOM who was later charged with murder; a 16YOM accomplice was charged as an adult.</v>
      </c>
      <c r="AA2020" s="8" t="str">
        <f ca="1">IFERROR(__xludf.DUMMYFUNCTION("""COMPUTED_VALUE"""),"Illegal Activity")</f>
        <v>Illegal Activity</v>
      </c>
      <c r="AB2020" s="8"/>
      <c r="AC2020" s="8" t="str">
        <f ca="1">IFERROR(__xludf.DUMMYFUNCTION("""COMPUTED_VALUE"""),"Yes")</f>
        <v>Yes</v>
      </c>
      <c r="AD2020" s="8" t="str">
        <f ca="1">IFERROR(__xludf.DUMMYFUNCTION("""COMPUTED_VALUE"""),"Victims Targeted")</f>
        <v>Victims Targeted</v>
      </c>
      <c r="AE2020" s="8" t="str">
        <f ca="1">IFERROR(__xludf.DUMMYFUNCTION("""COMPUTED_VALUE"""),"Yes")</f>
        <v>Yes</v>
      </c>
      <c r="AF2020" s="8" t="str">
        <f ca="1">IFERROR(__xludf.DUMMYFUNCTION("""COMPUTED_VALUE"""),"Jarone Carter 16")</f>
        <v>Jarone Carter 16</v>
      </c>
      <c r="AG2020" s="8" t="str">
        <f ca="1">IFERROR(__xludf.DUMMYFUNCTION("""COMPUTED_VALUE"""),"No")</f>
        <v>No</v>
      </c>
      <c r="AH2020" s="8" t="str">
        <f ca="1">IFERROR(__xludf.DUMMYFUNCTION("""COMPUTED_VALUE"""),"No")</f>
        <v>No</v>
      </c>
      <c r="AI2020" s="8" t="str">
        <f ca="1">IFERROR(__xludf.DUMMYFUNCTION("""COMPUTED_VALUE"""),"No")</f>
        <v>No</v>
      </c>
      <c r="AJ2020" s="8" t="str">
        <f ca="1">IFERROR(__xludf.DUMMYFUNCTION("""COMPUTED_VALUE"""),"No")</f>
        <v>No</v>
      </c>
      <c r="AK2020" s="8" t="str">
        <f ca="1">IFERROR(__xludf.DUMMYFUNCTION("""COMPUTED_VALUE"""),"No")</f>
        <v>No</v>
      </c>
      <c r="AL2020" s="8" t="str">
        <f ca="1">IFERROR(__xludf.DUMMYFUNCTION("""COMPUTED_VALUE"""),"No")</f>
        <v>No</v>
      </c>
      <c r="AM2020" s="8"/>
      <c r="AN2020" s="8"/>
      <c r="AO2020" s="8" t="str">
        <f ca="1">IFERROR(__xludf.DUMMYFUNCTION("""COMPUTED_VALUE"""),"No")</f>
        <v>No</v>
      </c>
      <c r="AP2020" s="8" t="str">
        <f ca="1">IFERROR(__xludf.DUMMYFUNCTION("""COMPUTED_VALUE"""),"N/A")</f>
        <v>N/A</v>
      </c>
      <c r="AQ2020" s="8" t="str">
        <f ca="1">IFERROR(__xludf.DUMMYFUNCTION("""COMPUTED_VALUE"""),"Unknown")</f>
        <v>Unknown</v>
      </c>
      <c r="AR2020" s="8" t="str">
        <f ca="1">IFERROR(__xludf.DUMMYFUNCTION("""COMPUTED_VALUE"""),"NA")</f>
        <v>NA</v>
      </c>
      <c r="AS2020" s="8"/>
      <c r="AT2020" s="8" t="str">
        <f ca="1">IFERROR(__xludf.DUMMYFUNCTION("""COMPUTED_VALUE"""),"N/A")</f>
        <v>N/A</v>
      </c>
      <c r="AU2020" s="8">
        <f ca="1">IFERROR(__xludf.DUMMYFUNCTION("""COMPUTED_VALUE"""),41.895664)</f>
        <v>41.895663999999996</v>
      </c>
      <c r="AV2020" s="8">
        <f ca="1">IFERROR(__xludf.DUMMYFUNCTION("""COMPUTED_VALUE"""),-87.753962)</f>
        <v>-87.753962000000001</v>
      </c>
      <c r="AW2020" s="8"/>
      <c r="AX2020" s="8">
        <f ca="1">IFERROR(__xludf.DUMMYFUNCTION("""COMPUTED_VALUE"""),60651)</f>
        <v>60651</v>
      </c>
    </row>
    <row r="2021" spans="1:50" ht="60" x14ac:dyDescent="0.2">
      <c r="A2021" s="8" t="str">
        <f ca="1">IFERROR(__xludf.DUMMYFUNCTION("""COMPUTED_VALUE"""),"20121012NDFAF")</f>
        <v>20121012NDFAF</v>
      </c>
      <c r="B2021" s="8">
        <f ca="1">IFERROR(__xludf.DUMMYFUNCTION("""COMPUTED_VALUE"""),10)</f>
        <v>10</v>
      </c>
      <c r="C2021" s="8">
        <f ca="1">IFERROR(__xludf.DUMMYFUNCTION("""COMPUTED_VALUE"""),12)</f>
        <v>12</v>
      </c>
      <c r="D2021" s="8">
        <f ca="1">IFERROR(__xludf.DUMMYFUNCTION("""COMPUTED_VALUE"""),2012)</f>
        <v>2012</v>
      </c>
      <c r="E2021" s="9">
        <f ca="1">IFERROR(__xludf.DUMMYFUNCTION("""COMPUTED_VALUE"""),41194)</f>
        <v>41194</v>
      </c>
      <c r="F2021" s="8" t="str">
        <f ca="1">IFERROR(__xludf.DUMMYFUNCTION("""COMPUTED_VALUE"""),"Fairmount Public School")</f>
        <v>Fairmount Public School</v>
      </c>
      <c r="G2021" s="8">
        <f ca="1">IFERROR(__xludf.DUMMYFUNCTION("""COMPUTED_VALUE"""),0)</f>
        <v>0</v>
      </c>
      <c r="H2021" s="8">
        <f ca="1">IFERROR(__xludf.DUMMYFUNCTION("""COMPUTED_VALUE"""),0)</f>
        <v>0</v>
      </c>
      <c r="I2021" s="8">
        <f ca="1">IFERROR(__xludf.DUMMYFUNCTION("""COMPUTED_VALUE"""),0)</f>
        <v>0</v>
      </c>
      <c r="J2021" s="8">
        <f ca="1">IFERROR(__xludf.DUMMYFUNCTION("""COMPUTED_VALUE"""),0)</f>
        <v>0</v>
      </c>
      <c r="K2021" s="8" t="str">
        <f ca="1">IFERROR(__xludf.DUMMYFUNCTION("""COMPUTED_VALUE"""),"https://www.cnn.com/2012/10/11/us/north-dakota-school-shooting/index.html http://www.grandforksherald.com/content/nd-high-school-student-shoots-self-class-apparent-suicide-attempt")</f>
        <v>https://www.cnn.com/2012/10/11/us/north-dakota-school-shooting/index.html http://www.grandforksherald.com/content/nd-high-school-student-shoots-self-class-apparent-suicide-attempt</v>
      </c>
      <c r="L2021" s="8"/>
      <c r="M2021" s="8"/>
      <c r="N2021" s="8">
        <f ca="1">IFERROR(__xludf.DUMMYFUNCTION("""COMPUTED_VALUE"""),3)</f>
        <v>3</v>
      </c>
      <c r="O2021" s="8" t="str">
        <f ca="1">IFERROR(__xludf.DUMMYFUNCTION("""COMPUTED_VALUE"""),"Fall")</f>
        <v>Fall</v>
      </c>
      <c r="P2021" s="8" t="str">
        <f ca="1">IFERROR(__xludf.DUMMYFUNCTION("""COMPUTED_VALUE"""),"Fairmont")</f>
        <v>Fairmont</v>
      </c>
      <c r="Q2021" s="8" t="str">
        <f ca="1">IFERROR(__xludf.DUMMYFUNCTION("""COMPUTED_VALUE"""),"ND")</f>
        <v>ND</v>
      </c>
      <c r="R2021" s="8" t="str">
        <f ca="1">IFERROR(__xludf.DUMMYFUNCTION("""COMPUTED_VALUE"""),"High")</f>
        <v>High</v>
      </c>
      <c r="S2021" s="8" t="str">
        <f ca="1">IFERROR(__xludf.DUMMYFUNCTION("""COMPUTED_VALUE"""),"Classroom")</f>
        <v>Classroom</v>
      </c>
      <c r="T2021" s="8" t="str">
        <f ca="1">IFERROR(__xludf.DUMMYFUNCTION("""COMPUTED_VALUE"""),"Inside School Building")</f>
        <v>Inside School Building</v>
      </c>
      <c r="U2021" s="8" t="str">
        <f ca="1">IFERROR(__xludf.DUMMYFUNCTION("""COMPUTED_VALUE"""),"Yes")</f>
        <v>Yes</v>
      </c>
      <c r="V2021" s="8" t="str">
        <f ca="1">IFERROR(__xludf.DUMMYFUNCTION("""COMPUTED_VALUE"""),"Morning Classes")</f>
        <v>Morning Classes</v>
      </c>
      <c r="W2021" s="8"/>
      <c r="X2021" s="8">
        <f ca="1">IFERROR(__xludf.DUMMYFUNCTION("""COMPUTED_VALUE"""),1)</f>
        <v>1</v>
      </c>
      <c r="Y2021" s="12" t="str">
        <f ca="1">IFERROR(__xludf.DUMMYFUNCTION("""COMPUTED_VALUE"""),"Student shot self in the front of the classroom")</f>
        <v>Student shot self in the front of the classroom</v>
      </c>
      <c r="Z2021" s="12" t="str">
        <f ca="1">IFERROR(__xludf.DUMMYFUNCTION("""COMPUTED_VALUE"""),"Freshman student walked to the front of the classroom, said ""I'm sorry"", and shot himself. Student was taken to hospital and survived. 8 students were in the classroom. Principal said the student had no behavioral or disciplinary issues.")</f>
        <v>Freshman student walked to the front of the classroom, said "I'm sorry", and shot himself. Student was taken to hospital and survived. 8 students were in the classroom. Principal said the student had no behavioral or disciplinary issues.</v>
      </c>
      <c r="AA2021" s="8" t="str">
        <f ca="1">IFERROR(__xludf.DUMMYFUNCTION("""COMPUTED_VALUE"""),"Suicide/Attempted")</f>
        <v>Suicide/Attempted</v>
      </c>
      <c r="AB2021" s="8"/>
      <c r="AC2021" s="8" t="str">
        <f ca="1">IFERROR(__xludf.DUMMYFUNCTION("""COMPUTED_VALUE"""),"Yes")</f>
        <v>Yes</v>
      </c>
      <c r="AD2021" s="8" t="str">
        <f ca="1">IFERROR(__xludf.DUMMYFUNCTION("""COMPUTED_VALUE"""),"Victims Targeted")</f>
        <v>Victims Targeted</v>
      </c>
      <c r="AE2021" s="8" t="str">
        <f ca="1">IFERROR(__xludf.DUMMYFUNCTION("""COMPUTED_VALUE"""),"No")</f>
        <v>No</v>
      </c>
      <c r="AF2021" s="8"/>
      <c r="AG2021" s="8" t="str">
        <f ca="1">IFERROR(__xludf.DUMMYFUNCTION("""COMPUTED_VALUE"""),"No")</f>
        <v>No</v>
      </c>
      <c r="AH2021" s="8" t="str">
        <f ca="1">IFERROR(__xludf.DUMMYFUNCTION("""COMPUTED_VALUE"""),"No")</f>
        <v>No</v>
      </c>
      <c r="AI2021" s="8" t="str">
        <f ca="1">IFERROR(__xludf.DUMMYFUNCTION("""COMPUTED_VALUE"""),"No")</f>
        <v>No</v>
      </c>
      <c r="AJ2021" s="8" t="str">
        <f ca="1">IFERROR(__xludf.DUMMYFUNCTION("""COMPUTED_VALUE"""),"No")</f>
        <v>No</v>
      </c>
      <c r="AK2021" s="8" t="str">
        <f ca="1">IFERROR(__xludf.DUMMYFUNCTION("""COMPUTED_VALUE"""),"No")</f>
        <v>No</v>
      </c>
      <c r="AL2021" s="8" t="str">
        <f ca="1">IFERROR(__xludf.DUMMYFUNCTION("""COMPUTED_VALUE"""),"No")</f>
        <v>No</v>
      </c>
      <c r="AM2021" s="8"/>
      <c r="AN2021" s="8"/>
      <c r="AO2021" s="8" t="str">
        <f ca="1">IFERROR(__xludf.DUMMYFUNCTION("""COMPUTED_VALUE"""),"No")</f>
        <v>No</v>
      </c>
      <c r="AP2021" s="8" t="str">
        <f ca="1">IFERROR(__xludf.DUMMYFUNCTION("""COMPUTED_VALUE"""),"No")</f>
        <v>No</v>
      </c>
      <c r="AQ2021" s="8" t="str">
        <f ca="1">IFERROR(__xludf.DUMMYFUNCTION("""COMPUTED_VALUE"""),"Unknown")</f>
        <v>Unknown</v>
      </c>
      <c r="AR2021" s="8" t="str">
        <f ca="1">IFERROR(__xludf.DUMMYFUNCTION("""COMPUTED_VALUE"""),"NA")</f>
        <v>NA</v>
      </c>
      <c r="AS2021" s="8">
        <f ca="1">IFERROR(__xludf.DUMMYFUNCTION("""COMPUTED_VALUE"""),1)</f>
        <v>1</v>
      </c>
      <c r="AT2021" s="8"/>
      <c r="AU2021" s="8">
        <f ca="1">IFERROR(__xludf.DUMMYFUNCTION("""COMPUTED_VALUE"""),46.055299)</f>
        <v>46.055298999999998</v>
      </c>
      <c r="AV2021" s="8">
        <f ca="1">IFERROR(__xludf.DUMMYFUNCTION("""COMPUTED_VALUE"""),-96.59993)</f>
        <v>-96.599930000000001</v>
      </c>
      <c r="AW2021" s="8"/>
      <c r="AX2021" s="8">
        <f ca="1">IFERROR(__xludf.DUMMYFUNCTION("""COMPUTED_VALUE"""),58030)</f>
        <v>58030</v>
      </c>
    </row>
    <row r="2022" spans="1:50" ht="60" x14ac:dyDescent="0.2">
      <c r="A2022" s="8" t="str">
        <f ca="1">IFERROR(__xludf.DUMMYFUNCTION("""COMPUTED_VALUE"""),"20120926OKSTS")</f>
        <v>20120926OKSTS</v>
      </c>
      <c r="B2022" s="8">
        <f ca="1">IFERROR(__xludf.DUMMYFUNCTION("""COMPUTED_VALUE"""),9)</f>
        <v>9</v>
      </c>
      <c r="C2022" s="8">
        <f ca="1">IFERROR(__xludf.DUMMYFUNCTION("""COMPUTED_VALUE"""),26)</f>
        <v>26</v>
      </c>
      <c r="D2022" s="8">
        <f ca="1">IFERROR(__xludf.DUMMYFUNCTION("""COMPUTED_VALUE"""),2012)</f>
        <v>2012</v>
      </c>
      <c r="E2022" s="9">
        <f ca="1">IFERROR(__xludf.DUMMYFUNCTION("""COMPUTED_VALUE"""),41178)</f>
        <v>41178</v>
      </c>
      <c r="F2022" s="8" t="str">
        <f ca="1">IFERROR(__xludf.DUMMYFUNCTION("""COMPUTED_VALUE"""),"Stillwater Junior High School")</f>
        <v>Stillwater Junior High School</v>
      </c>
      <c r="G2022" s="8">
        <f ca="1">IFERROR(__xludf.DUMMYFUNCTION("""COMPUTED_VALUE"""),0)</f>
        <v>0</v>
      </c>
      <c r="H2022" s="8">
        <f ca="1">IFERROR(__xludf.DUMMYFUNCTION("""COMPUTED_VALUE"""),0)</f>
        <v>0</v>
      </c>
      <c r="I2022" s="8">
        <f ca="1">IFERROR(__xludf.DUMMYFUNCTION("""COMPUTED_VALUE"""),0)</f>
        <v>0</v>
      </c>
      <c r="J2022" s="8">
        <f ca="1">IFERROR(__xludf.DUMMYFUNCTION("""COMPUTED_VALUE"""),1)</f>
        <v>1</v>
      </c>
      <c r="K2022" s="10" t="str">
        <f ca="1">IFERROR(__xludf.DUMMYFUNCTION("""COMPUTED_VALUE"""),"https://www.newspapers.com/image/452822197")</f>
        <v>https://www.newspapers.com/image/452822197</v>
      </c>
      <c r="L2022" s="8">
        <f ca="1">IFERROR(__xludf.DUMMYFUNCTION("""COMPUTED_VALUE"""),11)</f>
        <v>11</v>
      </c>
      <c r="M2022" s="8" t="str">
        <f ca="1">IFERROR(__xludf.DUMMYFUNCTION("""COMPUTED_VALUE"""),"National")</f>
        <v>National</v>
      </c>
      <c r="N2022" s="8">
        <f ca="1">IFERROR(__xludf.DUMMYFUNCTION("""COMPUTED_VALUE"""),3)</f>
        <v>3</v>
      </c>
      <c r="O2022" s="8" t="str">
        <f ca="1">IFERROR(__xludf.DUMMYFUNCTION("""COMPUTED_VALUE"""),"Fall")</f>
        <v>Fall</v>
      </c>
      <c r="P2022" s="8" t="str">
        <f ca="1">IFERROR(__xludf.DUMMYFUNCTION("""COMPUTED_VALUE"""),"Stillwater")</f>
        <v>Stillwater</v>
      </c>
      <c r="Q2022" s="8" t="str">
        <f ca="1">IFERROR(__xludf.DUMMYFUNCTION("""COMPUTED_VALUE"""),"OK")</f>
        <v>OK</v>
      </c>
      <c r="R2022" s="8" t="str">
        <f ca="1">IFERROR(__xludf.DUMMYFUNCTION("""COMPUTED_VALUE"""),"Junior High")</f>
        <v>Junior High</v>
      </c>
      <c r="S2022" s="8" t="str">
        <f ca="1">IFERROR(__xludf.DUMMYFUNCTION("""COMPUTED_VALUE"""),"Hallway")</f>
        <v>Hallway</v>
      </c>
      <c r="T2022" s="8" t="str">
        <f ca="1">IFERROR(__xludf.DUMMYFUNCTION("""COMPUTED_VALUE"""),"Inside School Building")</f>
        <v>Inside School Building</v>
      </c>
      <c r="U2022" s="8" t="str">
        <f ca="1">IFERROR(__xludf.DUMMYFUNCTION("""COMPUTED_VALUE"""),"Yes")</f>
        <v>Yes</v>
      </c>
      <c r="V2022" s="8" t="str">
        <f ca="1">IFERROR(__xludf.DUMMYFUNCTION("""COMPUTED_VALUE"""),"Before School")</f>
        <v>Before School</v>
      </c>
      <c r="W2022" s="11">
        <f ca="1">IFERROR(__xludf.DUMMYFUNCTION("""COMPUTED_VALUE"""),0.326388888888888)</f>
        <v>0.32638888888888801</v>
      </c>
      <c r="X2022" s="8">
        <f ca="1">IFERROR(__xludf.DUMMYFUNCTION("""COMPUTED_VALUE"""),1)</f>
        <v>1</v>
      </c>
      <c r="Y2022" s="12" t="str">
        <f ca="1">IFERROR(__xludf.DUMMYFUNCTION("""COMPUTED_VALUE"""),"Suicide in school hallway following bullying")</f>
        <v>Suicide in school hallway following bullying</v>
      </c>
      <c r="Z2022" s="12" t="str">
        <f ca="1">IFERROR(__xludf.DUMMYFUNCTION("""COMPUTED_VALUE"""),"13 year old shooter shot himself in the head in the school hallway 10 minutes prior to class beginning. Students reported he was being bullied and made fun of, being called ""carrot top"" because of his hair.")</f>
        <v>13 year old shooter shot himself in the head in the school hallway 10 minutes prior to class beginning. Students reported he was being bullied and made fun of, being called "carrot top" because of his hair.</v>
      </c>
      <c r="AA2022" s="8" t="str">
        <f ca="1">IFERROR(__xludf.DUMMYFUNCTION("""COMPUTED_VALUE"""),"Suicide/Attempted")</f>
        <v>Suicide/Attempted</v>
      </c>
      <c r="AB2022" s="8"/>
      <c r="AC2022" s="8" t="str">
        <f ca="1">IFERROR(__xludf.DUMMYFUNCTION("""COMPUTED_VALUE"""),"Yes")</f>
        <v>Yes</v>
      </c>
      <c r="AD2022" s="8" t="str">
        <f ca="1">IFERROR(__xludf.DUMMYFUNCTION("""COMPUTED_VALUE"""),"Victims Targeted")</f>
        <v>Victims Targeted</v>
      </c>
      <c r="AE2022" s="8" t="str">
        <f ca="1">IFERROR(__xludf.DUMMYFUNCTION("""COMPUTED_VALUE"""),"No")</f>
        <v>No</v>
      </c>
      <c r="AF2022" s="8"/>
      <c r="AG2022" s="8" t="str">
        <f ca="1">IFERROR(__xludf.DUMMYFUNCTION("""COMPUTED_VALUE"""),"No")</f>
        <v>No</v>
      </c>
      <c r="AH2022" s="8" t="str">
        <f ca="1">IFERROR(__xludf.DUMMYFUNCTION("""COMPUTED_VALUE"""),"No")</f>
        <v>No</v>
      </c>
      <c r="AI2022" s="8" t="str">
        <f ca="1">IFERROR(__xludf.DUMMYFUNCTION("""COMPUTED_VALUE"""),"No")</f>
        <v>No</v>
      </c>
      <c r="AJ2022" s="8" t="str">
        <f ca="1">IFERROR(__xludf.DUMMYFUNCTION("""COMPUTED_VALUE"""),"No")</f>
        <v>No</v>
      </c>
      <c r="AK2022" s="8" t="str">
        <f ca="1">IFERROR(__xludf.DUMMYFUNCTION("""COMPUTED_VALUE"""),"No")</f>
        <v>No</v>
      </c>
      <c r="AL2022" s="8" t="str">
        <f ca="1">IFERROR(__xludf.DUMMYFUNCTION("""COMPUTED_VALUE"""),"No")</f>
        <v>No</v>
      </c>
      <c r="AM2022" s="8"/>
      <c r="AN2022" s="8"/>
      <c r="AO2022" s="8" t="str">
        <f ca="1">IFERROR(__xludf.DUMMYFUNCTION("""COMPUTED_VALUE"""),"No")</f>
        <v>No</v>
      </c>
      <c r="AP2022" s="8" t="str">
        <f ca="1">IFERROR(__xludf.DUMMYFUNCTION("""COMPUTED_VALUE"""),"Yes")</f>
        <v>Yes</v>
      </c>
      <c r="AQ2022" s="8" t="str">
        <f ca="1">IFERROR(__xludf.DUMMYFUNCTION("""COMPUTED_VALUE"""),"Unknown")</f>
        <v>Unknown</v>
      </c>
      <c r="AR2022" s="8" t="str">
        <f ca="1">IFERROR(__xludf.DUMMYFUNCTION("""COMPUTED_VALUE"""),"NA")</f>
        <v>NA</v>
      </c>
      <c r="AS2022" s="8">
        <f ca="1">IFERROR(__xludf.DUMMYFUNCTION("""COMPUTED_VALUE"""),1)</f>
        <v>1</v>
      </c>
      <c r="AT2022" s="8" t="str">
        <f ca="1">IFERROR(__xludf.DUMMYFUNCTION("""COMPUTED_VALUE"""),"Yes")</f>
        <v>Yes</v>
      </c>
      <c r="AU2022" s="8">
        <f ca="1">IFERROR(__xludf.DUMMYFUNCTION("""COMPUTED_VALUE"""),36.140298)</f>
        <v>36.140298000000001</v>
      </c>
      <c r="AV2022" s="8">
        <f ca="1">IFERROR(__xludf.DUMMYFUNCTION("""COMPUTED_VALUE"""),-97.039067)</f>
        <v>-97.039067000000003</v>
      </c>
      <c r="AW2022" s="8"/>
      <c r="AX2022" s="8">
        <f ca="1">IFERROR(__xludf.DUMMYFUNCTION("""COMPUTED_VALUE"""),74075)</f>
        <v>74075</v>
      </c>
    </row>
    <row r="2023" spans="1:50" ht="105" x14ac:dyDescent="0.2">
      <c r="A2023" s="8" t="str">
        <f ca="1">IFERROR(__xludf.DUMMYFUNCTION("""COMPUTED_VALUE"""),"20120907ILNON")</f>
        <v>20120907ILNON</v>
      </c>
      <c r="B2023" s="8">
        <f ca="1">IFERROR(__xludf.DUMMYFUNCTION("""COMPUTED_VALUE"""),9)</f>
        <v>9</v>
      </c>
      <c r="C2023" s="8">
        <f ca="1">IFERROR(__xludf.DUMMYFUNCTION("""COMPUTED_VALUE"""),7)</f>
        <v>7</v>
      </c>
      <c r="D2023" s="8">
        <f ca="1">IFERROR(__xludf.DUMMYFUNCTION("""COMPUTED_VALUE"""),2012)</f>
        <v>2012</v>
      </c>
      <c r="E2023" s="9">
        <f ca="1">IFERROR(__xludf.DUMMYFUNCTION("""COMPUTED_VALUE"""),41159)</f>
        <v>41159</v>
      </c>
      <c r="F2023" s="8" t="str">
        <f ca="1">IFERROR(__xludf.DUMMYFUNCTION("""COMPUTED_VALUE"""),"Normal Community High School")</f>
        <v>Normal Community High School</v>
      </c>
      <c r="G2023" s="8">
        <f ca="1">IFERROR(__xludf.DUMMYFUNCTION("""COMPUTED_VALUE"""),0)</f>
        <v>0</v>
      </c>
      <c r="H2023" s="8">
        <f ca="1">IFERROR(__xludf.DUMMYFUNCTION("""COMPUTED_VALUE"""),0)</f>
        <v>0</v>
      </c>
      <c r="I2023" s="8">
        <f ca="1">IFERROR(__xludf.DUMMYFUNCTION("""COMPUTED_VALUE"""),0)</f>
        <v>0</v>
      </c>
      <c r="J2023" s="8">
        <f ca="1">IFERROR(__xludf.DUMMYFUNCTION("""COMPUTED_VALUE"""),0)</f>
        <v>0</v>
      </c>
      <c r="K2023" s="8" t="str">
        <f ca="1">IFERROR(__xludf.DUMMYFUNCTION("""COMPUTED_VALUE"""),"https://news.illinoisstate.edu/2020/03/profile-in-courage-how-life-has-changed-for-teacher-who-stopped-school-shooting/
https://www.sj-r.com/story/news/crime/2012/09/10/lincoln-teacher-disarmed-student-in/41746235007/
http://www.pantagraph.com/news/local/"&amp;"crime-and-courts/boy-gets-juvenile-prison-term-for-nchs-shooting/article_6ddfd6ea-85e1-11e2-aff0-0019bb2963f4.html")</f>
        <v>https://news.illinoisstate.edu/2020/03/profile-in-courage-how-life-has-changed-for-teacher-who-stopped-school-shooting/
https://www.sj-r.com/story/news/crime/2012/09/10/lincoln-teacher-disarmed-student-in/41746235007/
http://www.pantagraph.com/news/local/crime-and-courts/boy-gets-juvenile-prison-term-for-nchs-shooting/article_6ddfd6ea-85e1-11e2-aff0-0019bb2963f4.html</v>
      </c>
      <c r="L2023" s="8">
        <f ca="1">IFERROR(__xludf.DUMMYFUNCTION("""COMPUTED_VALUE"""),5)</f>
        <v>5</v>
      </c>
      <c r="M2023" s="8" t="str">
        <f ca="1">IFERROR(__xludf.DUMMYFUNCTION("""COMPUTED_VALUE"""),"Regional")</f>
        <v>Regional</v>
      </c>
      <c r="N2023" s="8">
        <f ca="1">IFERROR(__xludf.DUMMYFUNCTION("""COMPUTED_VALUE"""),3)</f>
        <v>3</v>
      </c>
      <c r="O2023" s="8" t="str">
        <f ca="1">IFERROR(__xludf.DUMMYFUNCTION("""COMPUTED_VALUE"""),"Fall")</f>
        <v>Fall</v>
      </c>
      <c r="P2023" s="8" t="str">
        <f ca="1">IFERROR(__xludf.DUMMYFUNCTION("""COMPUTED_VALUE"""),"Normal")</f>
        <v>Normal</v>
      </c>
      <c r="Q2023" s="8" t="str">
        <f ca="1">IFERROR(__xludf.DUMMYFUNCTION("""COMPUTED_VALUE"""),"IL")</f>
        <v>IL</v>
      </c>
      <c r="R2023" s="8" t="str">
        <f ca="1">IFERROR(__xludf.DUMMYFUNCTION("""COMPUTED_VALUE"""),"High")</f>
        <v>High</v>
      </c>
      <c r="S2023" s="8" t="str">
        <f ca="1">IFERROR(__xludf.DUMMYFUNCTION("""COMPUTED_VALUE"""),"Classroom")</f>
        <v>Classroom</v>
      </c>
      <c r="T2023" s="8" t="str">
        <f ca="1">IFERROR(__xludf.DUMMYFUNCTION("""COMPUTED_VALUE"""),"Inside School Building")</f>
        <v>Inside School Building</v>
      </c>
      <c r="U2023" s="8" t="str">
        <f ca="1">IFERROR(__xludf.DUMMYFUNCTION("""COMPUTED_VALUE"""),"Yes")</f>
        <v>Yes</v>
      </c>
      <c r="V2023" s="8" t="str">
        <f ca="1">IFERROR(__xludf.DUMMYFUNCTION("""COMPUTED_VALUE"""),"Morning Classes")</f>
        <v>Morning Classes</v>
      </c>
      <c r="W2023" s="11">
        <f ca="1">IFERROR(__xludf.DUMMYFUNCTION("""COMPUTED_VALUE"""),0.333333333333333)</f>
        <v>0.33333333333333298</v>
      </c>
      <c r="X2023" s="8"/>
      <c r="Y2023" s="12" t="str">
        <f ca="1">IFERROR(__xludf.DUMMYFUNCTION("""COMPUTED_VALUE"""),"Fired shots into ceiling and held class hostage")</f>
        <v>Fired shots into ceiling and held class hostage</v>
      </c>
      <c r="Z2023" s="12" t="str">
        <f ca="1">IFERROR(__xludf.DUMMYFUNCTION("""COMPUTED_VALUE"""),"Shooter fired 4 shots into the ceiling of the classroom and held the class hostage. Shooter was eventually tackled by teacher. Shooter had told other students about suicidal and homicidal thoughts. Shooter had 3 handguns, knife, and hatchet in his backpac"&amp;"k, and allegedly a canteen with kerosine, and bottle of painkillers. Had talked about cutting students heads off and putting them on flag pole.")</f>
        <v>Shooter fired 4 shots into the ceiling of the classroom and held the class hostage. Shooter was eventually tackled by teacher. Shooter had told other students about suicidal and homicidal thoughts. Shooter had 3 handguns, knife, and hatchet in his backpack, and allegedly a canteen with kerosine, and bottle of painkillers. Had talked about cutting students heads off and putting them on flag pole.</v>
      </c>
      <c r="AA2023" s="8" t="str">
        <f ca="1">IFERROR(__xludf.DUMMYFUNCTION("""COMPUTED_VALUE"""),"Hostage/Standoff")</f>
        <v>Hostage/Standoff</v>
      </c>
      <c r="AB2023" s="8"/>
      <c r="AC2023" s="8" t="str">
        <f ca="1">IFERROR(__xludf.DUMMYFUNCTION("""COMPUTED_VALUE"""),"Yes")</f>
        <v>Yes</v>
      </c>
      <c r="AD2023" s="8" t="str">
        <f ca="1">IFERROR(__xludf.DUMMYFUNCTION("""COMPUTED_VALUE"""),"Neither")</f>
        <v>Neither</v>
      </c>
      <c r="AE2023" s="8" t="str">
        <f ca="1">IFERROR(__xludf.DUMMYFUNCTION("""COMPUTED_VALUE"""),"No")</f>
        <v>No</v>
      </c>
      <c r="AF2023" s="8"/>
      <c r="AG2023" s="8" t="str">
        <f ca="1">IFERROR(__xludf.DUMMYFUNCTION("""COMPUTED_VALUE"""),"Yes")</f>
        <v>Yes</v>
      </c>
      <c r="AH2023" s="8" t="str">
        <f ca="1">IFERROR(__xludf.DUMMYFUNCTION("""COMPUTED_VALUE"""),"No")</f>
        <v>No</v>
      </c>
      <c r="AI2023" s="8" t="str">
        <f ca="1">IFERROR(__xludf.DUMMYFUNCTION("""COMPUTED_VALUE"""),"No")</f>
        <v>No</v>
      </c>
      <c r="AJ2023" s="8" t="str">
        <f ca="1">IFERROR(__xludf.DUMMYFUNCTION("""COMPUTED_VALUE"""),"Yes")</f>
        <v>Yes</v>
      </c>
      <c r="AK2023" s="8" t="str">
        <f ca="1">IFERROR(__xludf.DUMMYFUNCTION("""COMPUTED_VALUE"""),"No")</f>
        <v>No</v>
      </c>
      <c r="AL2023" s="8" t="str">
        <f ca="1">IFERROR(__xludf.DUMMYFUNCTION("""COMPUTED_VALUE"""),"No")</f>
        <v>No</v>
      </c>
      <c r="AM2023" s="8" t="str">
        <f ca="1">IFERROR(__xludf.DUMMYFUNCTION("""COMPUTED_VALUE"""),"Yes")</f>
        <v>Yes</v>
      </c>
      <c r="AN2023" s="8" t="str">
        <f ca="1">IFERROR(__xludf.DUMMYFUNCTION("""COMPUTED_VALUE"""),"Single Room")</f>
        <v>Single Room</v>
      </c>
      <c r="AO2023" s="8" t="str">
        <f ca="1">IFERROR(__xludf.DUMMYFUNCTION("""COMPUTED_VALUE"""),"Yes")</f>
        <v>Yes</v>
      </c>
      <c r="AP2023" s="8" t="str">
        <f ca="1">IFERROR(__xludf.DUMMYFUNCTION("""COMPUTED_VALUE"""),"No")</f>
        <v>No</v>
      </c>
      <c r="AQ2023" s="8" t="str">
        <f ca="1">IFERROR(__xludf.DUMMYFUNCTION("""COMPUTED_VALUE"""),"Unknown")</f>
        <v>Unknown</v>
      </c>
      <c r="AR2023" s="8" t="str">
        <f ca="1">IFERROR(__xludf.DUMMYFUNCTION("""COMPUTED_VALUE"""),"NA")</f>
        <v>NA</v>
      </c>
      <c r="AS2023" s="8"/>
      <c r="AT2023" s="8" t="str">
        <f ca="1">IFERROR(__xludf.DUMMYFUNCTION("""COMPUTED_VALUE"""),"No")</f>
        <v>No</v>
      </c>
      <c r="AU2023" s="8">
        <f ca="1">IFERROR(__xludf.DUMMYFUNCTION("""COMPUTED_VALUE"""),40.532957)</f>
        <v>40.532957000000003</v>
      </c>
      <c r="AV2023" s="8">
        <f ca="1">IFERROR(__xludf.DUMMYFUNCTION("""COMPUTED_VALUE"""),-88.914524)</f>
        <v>-88.914524</v>
      </c>
      <c r="AW2023" s="8"/>
      <c r="AX2023" s="8">
        <f ca="1">IFERROR(__xludf.DUMMYFUNCTION("""COMPUTED_VALUE"""),61761)</f>
        <v>61761</v>
      </c>
    </row>
    <row r="2024" spans="1:50" ht="409.5" x14ac:dyDescent="0.2">
      <c r="A2024" s="8" t="str">
        <f ca="1">IFERROR(__xludf.DUMMYFUNCTION("""COMPUTED_VALUE"""),"20120827MDPEP")</f>
        <v>20120827MDPEP</v>
      </c>
      <c r="B2024" s="8">
        <f ca="1">IFERROR(__xludf.DUMMYFUNCTION("""COMPUTED_VALUE"""),8)</f>
        <v>8</v>
      </c>
      <c r="C2024" s="8">
        <f ca="1">IFERROR(__xludf.DUMMYFUNCTION("""COMPUTED_VALUE"""),27)</f>
        <v>27</v>
      </c>
      <c r="D2024" s="8">
        <f ca="1">IFERROR(__xludf.DUMMYFUNCTION("""COMPUTED_VALUE"""),2012)</f>
        <v>2012</v>
      </c>
      <c r="E2024" s="9">
        <f ca="1">IFERROR(__xludf.DUMMYFUNCTION("""COMPUTED_VALUE"""),41148)</f>
        <v>41148</v>
      </c>
      <c r="F2024" s="8" t="str">
        <f ca="1">IFERROR(__xludf.DUMMYFUNCTION("""COMPUTED_VALUE"""),"Perry Hall High School")</f>
        <v>Perry Hall High School</v>
      </c>
      <c r="G2024" s="8">
        <f ca="1">IFERROR(__xludf.DUMMYFUNCTION("""COMPUTED_VALUE"""),0)</f>
        <v>0</v>
      </c>
      <c r="H2024" s="8">
        <f ca="1">IFERROR(__xludf.DUMMYFUNCTION("""COMPUTED_VALUE"""),1)</f>
        <v>1</v>
      </c>
      <c r="I2024" s="8">
        <f ca="1">IFERROR(__xludf.DUMMYFUNCTION("""COMPUTED_VALUE"""),1)</f>
        <v>1</v>
      </c>
      <c r="J2024" s="8">
        <f ca="1">IFERROR(__xludf.DUMMYFUNCTION("""COMPUTED_VALUE"""),0)</f>
        <v>0</v>
      </c>
      <c r="K2024" s="8" t="str">
        <f ca="1">IFERROR(__xludf.DUMMYFUNCTION("""COMPUTED_VALUE"""),"http://www.baltimoresun.com/news/maryland/baltimore-county/perry-hall/bs-md-gladden-sentencing-20130225-story.html https://www.fbi.gov/file-repository/active-shooter-incidents-2000-2017.pdf")</f>
        <v>http://www.baltimoresun.com/news/maryland/baltimore-county/perry-hall/bs-md-gladden-sentencing-20130225-story.html https://www.fbi.gov/file-repository/active-shooter-incidents-2000-2017.pdf</v>
      </c>
      <c r="L2024" s="8">
        <f ca="1">IFERROR(__xludf.DUMMYFUNCTION("""COMPUTED_VALUE"""),100)</f>
        <v>100</v>
      </c>
      <c r="M2024" s="8" t="str">
        <f ca="1">IFERROR(__xludf.DUMMYFUNCTION("""COMPUTED_VALUE"""),"International")</f>
        <v>International</v>
      </c>
      <c r="N2024" s="8">
        <f ca="1">IFERROR(__xludf.DUMMYFUNCTION("""COMPUTED_VALUE"""),5)</f>
        <v>5</v>
      </c>
      <c r="O2024" s="8" t="str">
        <f ca="1">IFERROR(__xludf.DUMMYFUNCTION("""COMPUTED_VALUE"""),"Summer")</f>
        <v>Summer</v>
      </c>
      <c r="P2024" s="8" t="str">
        <f ca="1">IFERROR(__xludf.DUMMYFUNCTION("""COMPUTED_VALUE"""),"Perry Hall")</f>
        <v>Perry Hall</v>
      </c>
      <c r="Q2024" s="8" t="str">
        <f ca="1">IFERROR(__xludf.DUMMYFUNCTION("""COMPUTED_VALUE"""),"MD")</f>
        <v>MD</v>
      </c>
      <c r="R2024" s="8" t="str">
        <f ca="1">IFERROR(__xludf.DUMMYFUNCTION("""COMPUTED_VALUE"""),"High")</f>
        <v>High</v>
      </c>
      <c r="S2024" s="8" t="str">
        <f ca="1">IFERROR(__xludf.DUMMYFUNCTION("""COMPUTED_VALUE"""),"Cafeteria")</f>
        <v>Cafeteria</v>
      </c>
      <c r="T2024" s="8" t="str">
        <f ca="1">IFERROR(__xludf.DUMMYFUNCTION("""COMPUTED_VALUE"""),"Inside School Building")</f>
        <v>Inside School Building</v>
      </c>
      <c r="U2024" s="8" t="str">
        <f ca="1">IFERROR(__xludf.DUMMYFUNCTION("""COMPUTED_VALUE"""),"Yes")</f>
        <v>Yes</v>
      </c>
      <c r="V2024" s="8" t="str">
        <f ca="1">IFERROR(__xludf.DUMMYFUNCTION("""COMPUTED_VALUE"""),"Morning Classes")</f>
        <v>Morning Classes</v>
      </c>
      <c r="W2024" s="11">
        <f ca="1">IFERROR(__xludf.DUMMYFUNCTION("""COMPUTED_VALUE"""),0.447916666666666)</f>
        <v>0.44791666666666602</v>
      </c>
      <c r="X2024" s="8">
        <f ca="1">IFERROR(__xludf.DUMMYFUNCTION("""COMPUTED_VALUE"""),1)</f>
        <v>1</v>
      </c>
      <c r="Y2024" s="12" t="str">
        <f ca="1">IFERROR(__xludf.DUMMYFUNCTION("""COMPUTED_VALUE"""),"Fired shotgun in cafeteria, tackled by school employee and other students")</f>
        <v>Fired shotgun in cafeteria, tackled by school employee and other students</v>
      </c>
      <c r="Z2024" s="12" t="str">
        <f ca="1">IFERROR(__xludf.DUMMYFUNCTION("""COMPUTED_VALUE"""),"Shooter fired shotgun in the cafeteria at the start of the school day and hit a special needs student in the back. A school guidance counselor attempted to subdue him and a 2nd shot was fired in the ceiling. Many members of the staffed rushed and the SRO "&amp;"subdued him. Allegedly, shooter attended morning classes, went to the restroom where he assembled a 12-gauge shotgun and headed to the cafeteria. Most students were still in class and went on lockdown. Shooter brought 21 rounds of ammunition and a bottle "&amp;"of vodka to school as well. Suspect posted on social media the morning of the shooting. Shooter talked on a recorded phone from the jail about wishing he was at Sandy Hook and not caring if his victims die. Students reported that shooter bullied other stu"&amp;"dents. Shooter reported he meant to kill more people, and that ""he'd been having suicidal thought for over 6 years, not because he hates himself but because he doesn't like people and he doesn't see the point in life since we die in the end"". Parents ha"&amp;"d been divorced and there have been suicides in the family but judge threw out mental health claims. Sentenced as an adult to 35 years in prison. Police searched shooter's home and found 11 guns, including shotguns, rifles, a 9mm handgun and two antique p"&amp;"istols, and police also found marijuana. Shooter's father had a criminal past too. In 2010 police executed a search warrant at his home, looking for drugs and guns. Police seized a 12-gauge shotgun, along with marijuana, and prosecutors later sought the f"&amp;"orfeiture of the shotgun and a .45-caliber handgun. Shooter's stepfather is facing charges for illegal gun possession, as he had previous grand theft charges, and drug possession.")</f>
        <v>Shooter fired shotgun in the cafeteria at the start of the school day and hit a special needs student in the back. A school guidance counselor attempted to subdue him and a 2nd shot was fired in the ceiling. Many members of the staffed rushed and the SRO subdued him. Allegedly, shooter attended morning classes, went to the restroom where he assembled a 12-gauge shotgun and headed to the cafeteria. Most students were still in class and went on lockdown. Shooter brought 21 rounds of ammunition and a bottle of vodka to school as well. Suspect posted on social media the morning of the shooting. Shooter talked on a recorded phone from the jail about wishing he was at Sandy Hook and not caring if his victims die. Students reported that shooter bullied other students. Shooter reported he meant to kill more people, and that "he'd been having suicidal thought for over 6 years, not because he hates himself but because he doesn't like people and he doesn't see the point in life since we die in the end". Parents had been divorced and there have been suicides in the family but judge threw out mental health claims. Sentenced as an adult to 35 years in prison. Police searched shooter's home and found 11 guns, including shotguns, rifles, a 9mm handgun and two antique pistols, and police also found marijuana. Shooter's father had a criminal past too. In 2010 police executed a search warrant at his home, looking for drugs and guns. Police seized a 12-gauge shotgun, along with marijuana, and prosecutors later sought the forfeiture of the shotgun and a .45-caliber handgun. Shooter's stepfather is facing charges for illegal gun possession, as he had previous grand theft charges, and drug possession.</v>
      </c>
      <c r="AA2024" s="8" t="str">
        <f ca="1">IFERROR(__xludf.DUMMYFUNCTION("""COMPUTED_VALUE"""),"Indiscriminate Shooting")</f>
        <v>Indiscriminate Shooting</v>
      </c>
      <c r="AB2024" s="8"/>
      <c r="AC2024" s="8" t="str">
        <f ca="1">IFERROR(__xludf.DUMMYFUNCTION("""COMPUTED_VALUE"""),"Yes")</f>
        <v>Yes</v>
      </c>
      <c r="AD2024" s="8" t="str">
        <f ca="1">IFERROR(__xludf.DUMMYFUNCTION("""COMPUTED_VALUE"""),"Random Shooting")</f>
        <v>Random Shooting</v>
      </c>
      <c r="AE2024" s="8" t="str">
        <f ca="1">IFERROR(__xludf.DUMMYFUNCTION("""COMPUTED_VALUE"""),"No")</f>
        <v>No</v>
      </c>
      <c r="AF2024" s="8"/>
      <c r="AG2024" s="8" t="str">
        <f ca="1">IFERROR(__xludf.DUMMYFUNCTION("""COMPUTED_VALUE"""),"No")</f>
        <v>No</v>
      </c>
      <c r="AH2024" s="8" t="str">
        <f ca="1">IFERROR(__xludf.DUMMYFUNCTION("""COMPUTED_VALUE"""),"No")</f>
        <v>No</v>
      </c>
      <c r="AI2024" s="8" t="str">
        <f ca="1">IFERROR(__xludf.DUMMYFUNCTION("""COMPUTED_VALUE"""),"No")</f>
        <v>No</v>
      </c>
      <c r="AJ2024" s="8" t="str">
        <f ca="1">IFERROR(__xludf.DUMMYFUNCTION("""COMPUTED_VALUE"""),"No")</f>
        <v>No</v>
      </c>
      <c r="AK2024" s="8" t="str">
        <f ca="1">IFERROR(__xludf.DUMMYFUNCTION("""COMPUTED_VALUE"""),"No")</f>
        <v>No</v>
      </c>
      <c r="AL2024" s="8" t="str">
        <f ca="1">IFERROR(__xludf.DUMMYFUNCTION("""COMPUTED_VALUE"""),"No")</f>
        <v>No</v>
      </c>
      <c r="AM2024" s="8" t="str">
        <f ca="1">IFERROR(__xludf.DUMMYFUNCTION("""COMPUTED_VALUE"""),"Yes")</f>
        <v>Yes</v>
      </c>
      <c r="AN2024" s="8" t="str">
        <f ca="1">IFERROR(__xludf.DUMMYFUNCTION("""COMPUTED_VALUE"""),"Single Room")</f>
        <v>Single Room</v>
      </c>
      <c r="AO2024" s="8" t="str">
        <f ca="1">IFERROR(__xludf.DUMMYFUNCTION("""COMPUTED_VALUE"""),"Yes")</f>
        <v>Yes</v>
      </c>
      <c r="AP2024" s="8" t="str">
        <f ca="1">IFERROR(__xludf.DUMMYFUNCTION("""COMPUTED_VALUE"""),"Yes")</f>
        <v>Yes</v>
      </c>
      <c r="AQ2024" s="8" t="str">
        <f ca="1">IFERROR(__xludf.DUMMYFUNCTION("""COMPUTED_VALUE"""),"Unknown")</f>
        <v>Unknown</v>
      </c>
      <c r="AR2024" s="8" t="str">
        <f ca="1">IFERROR(__xludf.DUMMYFUNCTION("""COMPUTED_VALUE"""),"NA")</f>
        <v>NA</v>
      </c>
      <c r="AS2024" s="8">
        <f ca="1">IFERROR(__xludf.DUMMYFUNCTION("""COMPUTED_VALUE"""),2)</f>
        <v>2</v>
      </c>
      <c r="AT2024" s="8" t="str">
        <f ca="1">IFERROR(__xludf.DUMMYFUNCTION("""COMPUTED_VALUE"""),"Yes")</f>
        <v>Yes</v>
      </c>
      <c r="AU2024" s="8">
        <f ca="1">IFERROR(__xludf.DUMMYFUNCTION("""COMPUTED_VALUE"""),39.392751)</f>
        <v>39.392750999999997</v>
      </c>
      <c r="AV2024" s="8">
        <f ca="1">IFERROR(__xludf.DUMMYFUNCTION("""COMPUTED_VALUE"""),-76.46475)</f>
        <v>-76.464749999999995</v>
      </c>
      <c r="AW2024" s="8"/>
      <c r="AX2024" s="8">
        <f ca="1">IFERROR(__xludf.DUMMYFUNCTION("""COMPUTED_VALUE"""),21236)</f>
        <v>21236</v>
      </c>
    </row>
    <row r="2025" spans="1:50" ht="60" x14ac:dyDescent="0.2">
      <c r="A2025" s="8" t="str">
        <f ca="1">IFERROR(__xludf.DUMMYFUNCTION("""COMPUTED_VALUE"""),"20120824GABAH")</f>
        <v>20120824GABAH</v>
      </c>
      <c r="B2025" s="8">
        <f ca="1">IFERROR(__xludf.DUMMYFUNCTION("""COMPUTED_VALUE"""),8)</f>
        <v>8</v>
      </c>
      <c r="C2025" s="8">
        <f ca="1">IFERROR(__xludf.DUMMYFUNCTION("""COMPUTED_VALUE"""),24)</f>
        <v>24</v>
      </c>
      <c r="D2025" s="8">
        <f ca="1">IFERROR(__xludf.DUMMYFUNCTION("""COMPUTED_VALUE"""),2012)</f>
        <v>2012</v>
      </c>
      <c r="E2025" s="9">
        <f ca="1">IFERROR(__xludf.DUMMYFUNCTION("""COMPUTED_VALUE"""),41145)</f>
        <v>41145</v>
      </c>
      <c r="F2025" s="8" t="str">
        <f ca="1">IFERROR(__xludf.DUMMYFUNCTION("""COMPUTED_VALUE"""),"Banks County High School")</f>
        <v>Banks County High School</v>
      </c>
      <c r="G2025" s="8">
        <f ca="1">IFERROR(__xludf.DUMMYFUNCTION("""COMPUTED_VALUE"""),0)</f>
        <v>0</v>
      </c>
      <c r="H2025" s="8">
        <f ca="1">IFERROR(__xludf.DUMMYFUNCTION("""COMPUTED_VALUE"""),0)</f>
        <v>0</v>
      </c>
      <c r="I2025" s="8">
        <f ca="1">IFERROR(__xludf.DUMMYFUNCTION("""COMPUTED_VALUE"""),0)</f>
        <v>0</v>
      </c>
      <c r="J2025" s="8">
        <f ca="1">IFERROR(__xludf.DUMMYFUNCTION("""COMPUTED_VALUE"""),1)</f>
        <v>1</v>
      </c>
      <c r="K2025" s="10" t="str">
        <f ca="1">IFERROR(__xludf.DUMMYFUNCTION("""COMPUTED_VALUE"""),"https://921wlhr.com/banks-county-hs-students-mourn-loss-of-two-classmates/")</f>
        <v>https://921wlhr.com/banks-county-hs-students-mourn-loss-of-two-classmates/</v>
      </c>
      <c r="L2025" s="8"/>
      <c r="M2025" s="8"/>
      <c r="N2025" s="8">
        <f ca="1">IFERROR(__xludf.DUMMYFUNCTION("""COMPUTED_VALUE"""),3)</f>
        <v>3</v>
      </c>
      <c r="O2025" s="8" t="str">
        <f ca="1">IFERROR(__xludf.DUMMYFUNCTION("""COMPUTED_VALUE"""),"Summer")</f>
        <v>Summer</v>
      </c>
      <c r="P2025" s="8" t="str">
        <f ca="1">IFERROR(__xludf.DUMMYFUNCTION("""COMPUTED_VALUE"""),"Homer")</f>
        <v>Homer</v>
      </c>
      <c r="Q2025" s="8" t="str">
        <f ca="1">IFERROR(__xludf.DUMMYFUNCTION("""COMPUTED_VALUE"""),"GA")</f>
        <v>GA</v>
      </c>
      <c r="R2025" s="8" t="str">
        <f ca="1">IFERROR(__xludf.DUMMYFUNCTION("""COMPUTED_VALUE"""),"High")</f>
        <v>High</v>
      </c>
      <c r="S2025" s="8" t="str">
        <f ca="1">IFERROR(__xludf.DUMMYFUNCTION("""COMPUTED_VALUE"""),"Bathroom")</f>
        <v>Bathroom</v>
      </c>
      <c r="T2025" s="8" t="str">
        <f ca="1">IFERROR(__xludf.DUMMYFUNCTION("""COMPUTED_VALUE"""),"Inside School Building")</f>
        <v>Inside School Building</v>
      </c>
      <c r="U2025" s="8" t="str">
        <f ca="1">IFERROR(__xludf.DUMMYFUNCTION("""COMPUTED_VALUE"""),"Yes")</f>
        <v>Yes</v>
      </c>
      <c r="V2025" s="8" t="str">
        <f ca="1">IFERROR(__xludf.DUMMYFUNCTION("""COMPUTED_VALUE"""),"Morning Classes")</f>
        <v>Morning Classes</v>
      </c>
      <c r="W2025" s="11">
        <f ca="1">IFERROR(__xludf.DUMMYFUNCTION("""COMPUTED_VALUE"""),0.333333333333333)</f>
        <v>0.33333333333333298</v>
      </c>
      <c r="X2025" s="8">
        <f ca="1">IFERROR(__xludf.DUMMYFUNCTION("""COMPUTED_VALUE"""),1)</f>
        <v>1</v>
      </c>
      <c r="Y2025" s="12" t="str">
        <f ca="1">IFERROR(__xludf.DUMMYFUNCTION("""COMPUTED_VALUE"""),"15 YOM student shot self in school bathroom")</f>
        <v>15 YOM student shot self in school bathroom</v>
      </c>
      <c r="Z2025" s="12" t="str">
        <f ca="1">IFERROR(__xludf.DUMMYFUNCTION("""COMPUTED_VALUE"""),"15 YOM student shot self in head in school bathroom. School officials described the students as being very troubled for a long time. School was locked down for 4 hours following shooting.")</f>
        <v>15 YOM student shot self in head in school bathroom. School officials described the students as being very troubled for a long time. School was locked down for 4 hours following shooting.</v>
      </c>
      <c r="AA2025" s="8" t="str">
        <f ca="1">IFERROR(__xludf.DUMMYFUNCTION("""COMPUTED_VALUE"""),"Suicide/Attempted")</f>
        <v>Suicide/Attempted</v>
      </c>
      <c r="AB2025" s="8"/>
      <c r="AC2025" s="8" t="str">
        <f ca="1">IFERROR(__xludf.DUMMYFUNCTION("""COMPUTED_VALUE"""),"Yes")</f>
        <v>Yes</v>
      </c>
      <c r="AD2025" s="8" t="str">
        <f ca="1">IFERROR(__xludf.DUMMYFUNCTION("""COMPUTED_VALUE"""),"Victims Targeted")</f>
        <v>Victims Targeted</v>
      </c>
      <c r="AE2025" s="8" t="str">
        <f ca="1">IFERROR(__xludf.DUMMYFUNCTION("""COMPUTED_VALUE"""),"No")</f>
        <v>No</v>
      </c>
      <c r="AF2025" s="8"/>
      <c r="AG2025" s="8" t="str">
        <f ca="1">IFERROR(__xludf.DUMMYFUNCTION("""COMPUTED_VALUE"""),"No")</f>
        <v>No</v>
      </c>
      <c r="AH2025" s="8" t="str">
        <f ca="1">IFERROR(__xludf.DUMMYFUNCTION("""COMPUTED_VALUE"""),"No")</f>
        <v>No</v>
      </c>
      <c r="AI2025" s="8" t="str">
        <f ca="1">IFERROR(__xludf.DUMMYFUNCTION("""COMPUTED_VALUE"""),"No")</f>
        <v>No</v>
      </c>
      <c r="AJ2025" s="8"/>
      <c r="AK2025" s="8" t="str">
        <f ca="1">IFERROR(__xludf.DUMMYFUNCTION("""COMPUTED_VALUE"""),"No")</f>
        <v>No</v>
      </c>
      <c r="AL2025" s="8" t="str">
        <f ca="1">IFERROR(__xludf.DUMMYFUNCTION("""COMPUTED_VALUE"""),"No")</f>
        <v>No</v>
      </c>
      <c r="AM2025" s="8"/>
      <c r="AN2025" s="8"/>
      <c r="AO2025" s="8" t="str">
        <f ca="1">IFERROR(__xludf.DUMMYFUNCTION("""COMPUTED_VALUE"""),"No")</f>
        <v>No</v>
      </c>
      <c r="AP2025" s="8"/>
      <c r="AQ2025" s="8" t="str">
        <f ca="1">IFERROR(__xludf.DUMMYFUNCTION("""COMPUTED_VALUE"""),"Unknown")</f>
        <v>Unknown</v>
      </c>
      <c r="AR2025" s="8" t="str">
        <f ca="1">IFERROR(__xludf.DUMMYFUNCTION("""COMPUTED_VALUE"""),"NA")</f>
        <v>NA</v>
      </c>
      <c r="AS2025" s="8">
        <f ca="1">IFERROR(__xludf.DUMMYFUNCTION("""COMPUTED_VALUE"""),1)</f>
        <v>1</v>
      </c>
      <c r="AT2025" s="8"/>
      <c r="AU2025" s="8">
        <f ca="1">IFERROR(__xludf.DUMMYFUNCTION("""COMPUTED_VALUE"""),34.308909)</f>
        <v>34.308909</v>
      </c>
      <c r="AV2025" s="8">
        <f ca="1">IFERROR(__xludf.DUMMYFUNCTION("""COMPUTED_VALUE"""),-83.498242)</f>
        <v>-83.498242000000005</v>
      </c>
      <c r="AW2025" s="8"/>
      <c r="AX2025" s="8">
        <f ca="1">IFERROR(__xludf.DUMMYFUNCTION("""COMPUTED_VALUE"""),30547)</f>
        <v>30547</v>
      </c>
    </row>
    <row r="2026" spans="1:50" ht="105" x14ac:dyDescent="0.2">
      <c r="A2026" s="8" t="str">
        <f ca="1">IFERROR(__xludf.DUMMYFUNCTION("""COMPUTED_VALUE"""),"20120816TNHAM")</f>
        <v>20120816TNHAM</v>
      </c>
      <c r="B2026" s="8">
        <f ca="1">IFERROR(__xludf.DUMMYFUNCTION("""COMPUTED_VALUE"""),8)</f>
        <v>8</v>
      </c>
      <c r="C2026" s="8">
        <f ca="1">IFERROR(__xludf.DUMMYFUNCTION("""COMPUTED_VALUE"""),16)</f>
        <v>16</v>
      </c>
      <c r="D2026" s="8">
        <f ca="1">IFERROR(__xludf.DUMMYFUNCTION("""COMPUTED_VALUE"""),2012)</f>
        <v>2012</v>
      </c>
      <c r="E2026" s="9">
        <f ca="1">IFERROR(__xludf.DUMMYFUNCTION("""COMPUTED_VALUE"""),41137)</f>
        <v>41137</v>
      </c>
      <c r="F2026" s="8" t="str">
        <f ca="1">IFERROR(__xludf.DUMMYFUNCTION("""COMPUTED_VALUE"""),"Hamilton High School")</f>
        <v>Hamilton High School</v>
      </c>
      <c r="G2026" s="8">
        <f ca="1">IFERROR(__xludf.DUMMYFUNCTION("""COMPUTED_VALUE"""),0)</f>
        <v>0</v>
      </c>
      <c r="H2026" s="8">
        <f ca="1">IFERROR(__xludf.DUMMYFUNCTION("""COMPUTED_VALUE"""),0)</f>
        <v>0</v>
      </c>
      <c r="I2026" s="8">
        <f ca="1">IFERROR(__xludf.DUMMYFUNCTION("""COMPUTED_VALUE"""),0)</f>
        <v>0</v>
      </c>
      <c r="J2026" s="8">
        <f ca="1">IFERROR(__xludf.DUMMYFUNCTION("""COMPUTED_VALUE"""),0)</f>
        <v>0</v>
      </c>
      <c r="K2026" s="10" t="str">
        <f ca="1">IFERROR(__xludf.DUMMYFUNCTION("""COMPUTED_VALUE"""),"http://www.wmcactionnews5.com/story/19307558/students-shot-at-outside-memphis-high-school")</f>
        <v>http://www.wmcactionnews5.com/story/19307558/students-shot-at-outside-memphis-high-school</v>
      </c>
      <c r="L2026" s="8">
        <f ca="1">IFERROR(__xludf.DUMMYFUNCTION("""COMPUTED_VALUE"""),1)</f>
        <v>1</v>
      </c>
      <c r="M2026" s="8" t="str">
        <f ca="1">IFERROR(__xludf.DUMMYFUNCTION("""COMPUTED_VALUE"""),"Local")</f>
        <v>Local</v>
      </c>
      <c r="N2026" s="8">
        <f ca="1">IFERROR(__xludf.DUMMYFUNCTION("""COMPUTED_VALUE"""),2)</f>
        <v>2</v>
      </c>
      <c r="O2026" s="8" t="str">
        <f ca="1">IFERROR(__xludf.DUMMYFUNCTION("""COMPUTED_VALUE"""),"Summer")</f>
        <v>Summer</v>
      </c>
      <c r="P2026" s="8" t="str">
        <f ca="1">IFERROR(__xludf.DUMMYFUNCTION("""COMPUTED_VALUE"""),"Memphis")</f>
        <v>Memphis</v>
      </c>
      <c r="Q2026" s="8" t="str">
        <f ca="1">IFERROR(__xludf.DUMMYFUNCTION("""COMPUTED_VALUE"""),"TN")</f>
        <v>TN</v>
      </c>
      <c r="R2026" s="8" t="str">
        <f ca="1">IFERROR(__xludf.DUMMYFUNCTION("""COMPUTED_VALUE"""),"High")</f>
        <v>High</v>
      </c>
      <c r="S2026" s="8" t="str">
        <f ca="1">IFERROR(__xludf.DUMMYFUNCTION("""COMPUTED_VALUE"""),"Front of School")</f>
        <v>Front of School</v>
      </c>
      <c r="T2026" s="8" t="str">
        <f ca="1">IFERROR(__xludf.DUMMYFUNCTION("""COMPUTED_VALUE"""),"Outside on School Property")</f>
        <v>Outside on School Property</v>
      </c>
      <c r="U2026" s="8" t="str">
        <f ca="1">IFERROR(__xludf.DUMMYFUNCTION("""COMPUTED_VALUE"""),"No")</f>
        <v>No</v>
      </c>
      <c r="V2026" s="8" t="str">
        <f ca="1">IFERROR(__xludf.DUMMYFUNCTION("""COMPUTED_VALUE"""),"Evening")</f>
        <v>Evening</v>
      </c>
      <c r="W2026" s="11">
        <f ca="1">IFERROR(__xludf.DUMMYFUNCTION("""COMPUTED_VALUE"""),0.708333333333333)</f>
        <v>0.70833333333333304</v>
      </c>
      <c r="X2026" s="8">
        <f ca="1">IFERROR(__xludf.DUMMYFUNCTION("""COMPUTED_VALUE"""),1)</f>
        <v>1</v>
      </c>
      <c r="Y2026" s="12" t="str">
        <f ca="1">IFERROR(__xludf.DUMMYFUNCTION("""COMPUTED_VALUE"""),"Gang retaliation for prior incident")</f>
        <v>Gang retaliation for prior incident</v>
      </c>
      <c r="Z2026" s="12" t="str">
        <f ca="1">IFERROR(__xludf.DUMMYFUNCTION("""COMPUTED_VALUE"""),"Gang-related shooting (allegedly by ʺGrape Street Crips"") in retaliation for a shooting the previous week. Shots coming from across the street were fired at 2 students (allegedly ""Bloods"") but nobody was injured. Allegedly a member of the Crips later t"&amp;"old police the shooting was retaliation against a Bloods gang member. A lot of gang activity reported in the area.")</f>
        <v>Gang-related shooting (allegedly by ʺGrape Street Crips") in retaliation for a shooting the previous week. Shots coming from across the street were fired at 2 students (allegedly "Bloods") but nobody was injured. Allegedly a member of the Crips later told police the shooting was retaliation against a Bloods gang member. A lot of gang activity reported in the area.</v>
      </c>
      <c r="AA2026" s="8" t="str">
        <f ca="1">IFERROR(__xludf.DUMMYFUNCTION("""COMPUTED_VALUE"""),"Escalation of Dispute")</f>
        <v>Escalation of Dispute</v>
      </c>
      <c r="AB2026" s="8"/>
      <c r="AC2026" s="8" t="str">
        <f ca="1">IFERROR(__xludf.DUMMYFUNCTION("""COMPUTED_VALUE"""),"No")</f>
        <v>No</v>
      </c>
      <c r="AD2026" s="8" t="str">
        <f ca="1">IFERROR(__xludf.DUMMYFUNCTION("""COMPUTED_VALUE"""),"Victims Targeted")</f>
        <v>Victims Targeted</v>
      </c>
      <c r="AE2026" s="8"/>
      <c r="AF2026" s="8"/>
      <c r="AG2026" s="8" t="str">
        <f ca="1">IFERROR(__xludf.DUMMYFUNCTION("""COMPUTED_VALUE"""),"No")</f>
        <v>No</v>
      </c>
      <c r="AH2026" s="8" t="str">
        <f ca="1">IFERROR(__xludf.DUMMYFUNCTION("""COMPUTED_VALUE"""),"No")</f>
        <v>No</v>
      </c>
      <c r="AI2026" s="8" t="str">
        <f ca="1">IFERROR(__xludf.DUMMYFUNCTION("""COMPUTED_VALUE"""),"No")</f>
        <v>No</v>
      </c>
      <c r="AJ2026" s="8" t="str">
        <f ca="1">IFERROR(__xludf.DUMMYFUNCTION("""COMPUTED_VALUE"""),"No")</f>
        <v>No</v>
      </c>
      <c r="AK2026" s="8" t="str">
        <f ca="1">IFERROR(__xludf.DUMMYFUNCTION("""COMPUTED_VALUE"""),"No")</f>
        <v>No</v>
      </c>
      <c r="AL2026" s="8" t="str">
        <f ca="1">IFERROR(__xludf.DUMMYFUNCTION("""COMPUTED_VALUE"""),"Yes")</f>
        <v>Yes</v>
      </c>
      <c r="AM2026" s="8"/>
      <c r="AN2026" s="8"/>
      <c r="AO2026" s="8" t="str">
        <f ca="1">IFERROR(__xludf.DUMMYFUNCTION("""COMPUTED_VALUE"""),"No")</f>
        <v>No</v>
      </c>
      <c r="AP2026" s="8" t="str">
        <f ca="1">IFERROR(__xludf.DUMMYFUNCTION("""COMPUTED_VALUE"""),"N/A")</f>
        <v>N/A</v>
      </c>
      <c r="AQ2026" s="8" t="str">
        <f ca="1">IFERROR(__xludf.DUMMYFUNCTION("""COMPUTED_VALUE"""),"Unknown")</f>
        <v>Unknown</v>
      </c>
      <c r="AR2026" s="8" t="str">
        <f ca="1">IFERROR(__xludf.DUMMYFUNCTION("""COMPUTED_VALUE"""),"NA")</f>
        <v>NA</v>
      </c>
      <c r="AS2026" s="8"/>
      <c r="AT2026" s="8" t="str">
        <f ca="1">IFERROR(__xludf.DUMMYFUNCTION("""COMPUTED_VALUE"""),"N/A")</f>
        <v>N/A</v>
      </c>
      <c r="AU2026" s="8">
        <f ca="1">IFERROR(__xludf.DUMMYFUNCTION("""COMPUTED_VALUE"""),35.099912)</f>
        <v>35.099912000000003</v>
      </c>
      <c r="AV2026" s="8">
        <f ca="1">IFERROR(__xludf.DUMMYFUNCTION("""COMPUTED_VALUE"""),-90.016592)</f>
        <v>-90.016592000000003</v>
      </c>
      <c r="AW2026" s="8"/>
      <c r="AX2026" s="8">
        <f ca="1">IFERROR(__xludf.DUMMYFUNCTION("""COMPUTED_VALUE"""),38106)</f>
        <v>38106</v>
      </c>
    </row>
    <row r="2027" spans="1:50" ht="30" x14ac:dyDescent="0.2">
      <c r="A2027" s="8" t="str">
        <f ca="1">IFERROR(__xludf.DUMMYFUNCTION("""COMPUTED_VALUE"""),"20120706RINAP")</f>
        <v>20120706RINAP</v>
      </c>
      <c r="B2027" s="8">
        <f ca="1">IFERROR(__xludf.DUMMYFUNCTION("""COMPUTED_VALUE"""),7)</f>
        <v>7</v>
      </c>
      <c r="C2027" s="8">
        <f ca="1">IFERROR(__xludf.DUMMYFUNCTION("""COMPUTED_VALUE"""),6)</f>
        <v>6</v>
      </c>
      <c r="D2027" s="8">
        <f ca="1">IFERROR(__xludf.DUMMYFUNCTION("""COMPUTED_VALUE"""),2012)</f>
        <v>2012</v>
      </c>
      <c r="E2027" s="9">
        <f ca="1">IFERROR(__xludf.DUMMYFUNCTION("""COMPUTED_VALUE"""),41096)</f>
        <v>41096</v>
      </c>
      <c r="F2027" s="8" t="str">
        <f ca="1">IFERROR(__xludf.DUMMYFUNCTION("""COMPUTED_VALUE"""),"Nathaniel Greene Elementary School")</f>
        <v>Nathaniel Greene Elementary School</v>
      </c>
      <c r="G2027" s="8">
        <f ca="1">IFERROR(__xludf.DUMMYFUNCTION("""COMPUTED_VALUE"""),1)</f>
        <v>1</v>
      </c>
      <c r="H2027" s="8">
        <f ca="1">IFERROR(__xludf.DUMMYFUNCTION("""COMPUTED_VALUE"""),0)</f>
        <v>0</v>
      </c>
      <c r="I2027" s="8">
        <f ca="1">IFERROR(__xludf.DUMMYFUNCTION("""COMPUTED_VALUE"""),1)</f>
        <v>1</v>
      </c>
      <c r="J2027" s="8">
        <f ca="1">IFERROR(__xludf.DUMMYFUNCTION("""COMPUTED_VALUE"""),0)</f>
        <v>0</v>
      </c>
      <c r="K2027" s="10" t="str">
        <f ca="1">IFERROR(__xludf.DUMMYFUNCTION("""COMPUTED_VALUE"""),"https://www.abc6.com/story/18962837/pawtucket-police-investigate-shooting-behind-fire-station")</f>
        <v>https://www.abc6.com/story/18962837/pawtucket-police-investigate-shooting-behind-fire-station</v>
      </c>
      <c r="L2027" s="8"/>
      <c r="M2027" s="8"/>
      <c r="N2027" s="8">
        <f ca="1">IFERROR(__xludf.DUMMYFUNCTION("""COMPUTED_VALUE"""),3)</f>
        <v>3</v>
      </c>
      <c r="O2027" s="8" t="str">
        <f ca="1">IFERROR(__xludf.DUMMYFUNCTION("""COMPUTED_VALUE"""),"Summer")</f>
        <v>Summer</v>
      </c>
      <c r="P2027" s="8" t="str">
        <f ca="1">IFERROR(__xludf.DUMMYFUNCTION("""COMPUTED_VALUE"""),"Pawtucket")</f>
        <v>Pawtucket</v>
      </c>
      <c r="Q2027" s="8" t="str">
        <f ca="1">IFERROR(__xludf.DUMMYFUNCTION("""COMPUTED_VALUE"""),"RI")</f>
        <v>RI</v>
      </c>
      <c r="R2027" s="8" t="str">
        <f ca="1">IFERROR(__xludf.DUMMYFUNCTION("""COMPUTED_VALUE"""),"Elementary")</f>
        <v>Elementary</v>
      </c>
      <c r="S2027" s="8" t="str">
        <f ca="1">IFERROR(__xludf.DUMMYFUNCTION("""COMPUTED_VALUE"""),"Beside Building")</f>
        <v>Beside Building</v>
      </c>
      <c r="T2027" s="8" t="str">
        <f ca="1">IFERROR(__xludf.DUMMYFUNCTION("""COMPUTED_VALUE"""),"Outside on School Property")</f>
        <v>Outside on School Property</v>
      </c>
      <c r="U2027" s="8" t="str">
        <f ca="1">IFERROR(__xludf.DUMMYFUNCTION("""COMPUTED_VALUE"""),"No")</f>
        <v>No</v>
      </c>
      <c r="V2027" s="8" t="str">
        <f ca="1">IFERROR(__xludf.DUMMYFUNCTION("""COMPUTED_VALUE"""),"Night")</f>
        <v>Night</v>
      </c>
      <c r="W2027" s="11">
        <f ca="1">IFERROR(__xludf.DUMMYFUNCTION("""COMPUTED_VALUE"""),0.125)</f>
        <v>0.125</v>
      </c>
      <c r="X2027" s="8">
        <f ca="1">IFERROR(__xludf.DUMMYFUNCTION("""COMPUTED_VALUE"""),1)</f>
        <v>1</v>
      </c>
      <c r="Y2027" s="12" t="str">
        <f ca="1">IFERROR(__xludf.DUMMYFUNCTION("""COMPUTED_VALUE"""),"20YOM shot and killed behind school")</f>
        <v>20YOM shot and killed behind school</v>
      </c>
      <c r="Z2027" s="12" t="str">
        <f ca="1">IFERROR(__xludf.DUMMYFUNCTION("""COMPUTED_VALUE"""),"20YOM shot and killed by 20YOM behind elementary school following ongoing dispute with the shooter.")</f>
        <v>20YOM shot and killed by 20YOM behind elementary school following ongoing dispute with the shooter.</v>
      </c>
      <c r="AA2027" s="8" t="str">
        <f ca="1">IFERROR(__xludf.DUMMYFUNCTION("""COMPUTED_VALUE"""),"Escalation of Dispute")</f>
        <v>Escalation of Dispute</v>
      </c>
      <c r="AB2027" s="8"/>
      <c r="AC2027" s="8" t="str">
        <f ca="1">IFERROR(__xludf.DUMMYFUNCTION("""COMPUTED_VALUE"""),"No")</f>
        <v>No</v>
      </c>
      <c r="AD2027" s="8" t="str">
        <f ca="1">IFERROR(__xludf.DUMMYFUNCTION("""COMPUTED_VALUE"""),"Victims Targeted")</f>
        <v>Victims Targeted</v>
      </c>
      <c r="AE2027" s="8" t="str">
        <f ca="1">IFERROR(__xludf.DUMMYFUNCTION("""COMPUTED_VALUE"""),"No")</f>
        <v>No</v>
      </c>
      <c r="AF2027" s="8"/>
      <c r="AG2027" s="8" t="str">
        <f ca="1">IFERROR(__xludf.DUMMYFUNCTION("""COMPUTED_VALUE"""),"No")</f>
        <v>No</v>
      </c>
      <c r="AH2027" s="8" t="str">
        <f ca="1">IFERROR(__xludf.DUMMYFUNCTION("""COMPUTED_VALUE"""),"No")</f>
        <v>No</v>
      </c>
      <c r="AI2027" s="8" t="str">
        <f ca="1">IFERROR(__xludf.DUMMYFUNCTION("""COMPUTED_VALUE"""),"No")</f>
        <v>No</v>
      </c>
      <c r="AJ2027" s="8" t="str">
        <f ca="1">IFERROR(__xludf.DUMMYFUNCTION("""COMPUTED_VALUE"""),"No")</f>
        <v>No</v>
      </c>
      <c r="AK2027" s="8" t="str">
        <f ca="1">IFERROR(__xludf.DUMMYFUNCTION("""COMPUTED_VALUE"""),"No")</f>
        <v>No</v>
      </c>
      <c r="AL2027" s="8" t="str">
        <f ca="1">IFERROR(__xludf.DUMMYFUNCTION("""COMPUTED_VALUE"""),"No")</f>
        <v>No</v>
      </c>
      <c r="AM2027" s="8" t="str">
        <f ca="1">IFERROR(__xludf.DUMMYFUNCTION("""COMPUTED_VALUE"""),"No")</f>
        <v>No</v>
      </c>
      <c r="AN2027" s="8"/>
      <c r="AO2027" s="8" t="str">
        <f ca="1">IFERROR(__xludf.DUMMYFUNCTION("""COMPUTED_VALUE"""),"No")</f>
        <v>No</v>
      </c>
      <c r="AP2027" s="8" t="str">
        <f ca="1">IFERROR(__xludf.DUMMYFUNCTION("""COMPUTED_VALUE"""),"N/A")</f>
        <v>N/A</v>
      </c>
      <c r="AQ2027" s="8" t="str">
        <f ca="1">IFERROR(__xludf.DUMMYFUNCTION("""COMPUTED_VALUE"""),"Unknown")</f>
        <v>Unknown</v>
      </c>
      <c r="AR2027" s="8" t="str">
        <f ca="1">IFERROR(__xludf.DUMMYFUNCTION("""COMPUTED_VALUE"""),"NA")</f>
        <v>NA</v>
      </c>
      <c r="AS2027" s="8"/>
      <c r="AT2027" s="8" t="str">
        <f ca="1">IFERROR(__xludf.DUMMYFUNCTION("""COMPUTED_VALUE"""),"N/A")</f>
        <v>N/A</v>
      </c>
      <c r="AU2027" s="8">
        <f ca="1">IFERROR(__xludf.DUMMYFUNCTION("""COMPUTED_VALUE"""),41.867805)</f>
        <v>41.867804999999997</v>
      </c>
      <c r="AV2027" s="8">
        <f ca="1">IFERROR(__xludf.DUMMYFUNCTION("""COMPUTED_VALUE"""),-71.41215)</f>
        <v>-71.412149999999997</v>
      </c>
      <c r="AW2027" s="8"/>
      <c r="AX2027" s="8">
        <f ca="1">IFERROR(__xludf.DUMMYFUNCTION("""COMPUTED_VALUE"""),2860)</f>
        <v>2860</v>
      </c>
    </row>
    <row r="2028" spans="1:50" ht="195" x14ac:dyDescent="0.2">
      <c r="A2028" s="8" t="str">
        <f ca="1">IFERROR(__xludf.DUMMYFUNCTION("""COMPUTED_VALUE"""),"20120525NCMAC")</f>
        <v>20120525NCMAC</v>
      </c>
      <c r="B2028" s="8">
        <f ca="1">IFERROR(__xludf.DUMMYFUNCTION("""COMPUTED_VALUE"""),5)</f>
        <v>5</v>
      </c>
      <c r="C2028" s="8">
        <f ca="1">IFERROR(__xludf.DUMMYFUNCTION("""COMPUTED_VALUE"""),25)</f>
        <v>25</v>
      </c>
      <c r="D2028" s="8">
        <f ca="1">IFERROR(__xludf.DUMMYFUNCTION("""COMPUTED_VALUE"""),2012)</f>
        <v>2012</v>
      </c>
      <c r="E2028" s="9">
        <f ca="1">IFERROR(__xludf.DUMMYFUNCTION("""COMPUTED_VALUE"""),41054)</f>
        <v>41054</v>
      </c>
      <c r="F2028" s="8" t="str">
        <f ca="1">IFERROR(__xludf.DUMMYFUNCTION("""COMPUTED_VALUE"""),"Mary Scroggs Elementary School")</f>
        <v>Mary Scroggs Elementary School</v>
      </c>
      <c r="G2028" s="8">
        <f ca="1">IFERROR(__xludf.DUMMYFUNCTION("""COMPUTED_VALUE"""),1)</f>
        <v>1</v>
      </c>
      <c r="H2028" s="8">
        <f ca="1">IFERROR(__xludf.DUMMYFUNCTION("""COMPUTED_VALUE"""),0)</f>
        <v>0</v>
      </c>
      <c r="I2028" s="8">
        <f ca="1">IFERROR(__xludf.DUMMYFUNCTION("""COMPUTED_VALUE"""),1)</f>
        <v>1</v>
      </c>
      <c r="J2028" s="8">
        <f ca="1">IFERROR(__xludf.DUMMYFUNCTION("""COMPUTED_VALUE"""),0)</f>
        <v>0</v>
      </c>
      <c r="K2028" s="10" t="str">
        <f ca="1">IFERROR(__xludf.DUMMYFUNCTION("""COMPUTED_VALUE"""),"http://www.dailytarheel.com/article/2014/10/man-pleads-guilty-of-murder-in-scroggs-elementary-shooting")</f>
        <v>http://www.dailytarheel.com/article/2014/10/man-pleads-guilty-of-murder-in-scroggs-elementary-shooting</v>
      </c>
      <c r="L2028" s="8">
        <f ca="1">IFERROR(__xludf.DUMMYFUNCTION("""COMPUTED_VALUE"""),5)</f>
        <v>5</v>
      </c>
      <c r="M2028" s="8" t="str">
        <f ca="1">IFERROR(__xludf.DUMMYFUNCTION("""COMPUTED_VALUE"""),"Local")</f>
        <v>Local</v>
      </c>
      <c r="N2028" s="8">
        <f ca="1">IFERROR(__xludf.DUMMYFUNCTION("""COMPUTED_VALUE"""),3)</f>
        <v>3</v>
      </c>
      <c r="O2028" s="8" t="str">
        <f ca="1">IFERROR(__xludf.DUMMYFUNCTION("""COMPUTED_VALUE"""),"Spring")</f>
        <v>Spring</v>
      </c>
      <c r="P2028" s="8" t="str">
        <f ca="1">IFERROR(__xludf.DUMMYFUNCTION("""COMPUTED_VALUE"""),"Chapel Hill")</f>
        <v>Chapel Hill</v>
      </c>
      <c r="Q2028" s="8" t="str">
        <f ca="1">IFERROR(__xludf.DUMMYFUNCTION("""COMPUTED_VALUE"""),"NC")</f>
        <v>NC</v>
      </c>
      <c r="R2028" s="8" t="str">
        <f ca="1">IFERROR(__xludf.DUMMYFUNCTION("""COMPUTED_VALUE"""),"Elementary")</f>
        <v>Elementary</v>
      </c>
      <c r="S2028" s="8" t="str">
        <f ca="1">IFERROR(__xludf.DUMMYFUNCTION("""COMPUTED_VALUE"""),"Parking Lot")</f>
        <v>Parking Lot</v>
      </c>
      <c r="T2028" s="8" t="str">
        <f ca="1">IFERROR(__xludf.DUMMYFUNCTION("""COMPUTED_VALUE"""),"Outside on School Property")</f>
        <v>Outside on School Property</v>
      </c>
      <c r="U2028" s="8" t="str">
        <f ca="1">IFERROR(__xludf.DUMMYFUNCTION("""COMPUTED_VALUE"""),"Yes")</f>
        <v>Yes</v>
      </c>
      <c r="V2028" s="8" t="str">
        <f ca="1">IFERROR(__xludf.DUMMYFUNCTION("""COMPUTED_VALUE"""),"Dismissal")</f>
        <v>Dismissal</v>
      </c>
      <c r="W2028" s="11">
        <f ca="1">IFERROR(__xludf.DUMMYFUNCTION("""COMPUTED_VALUE"""),0.586111111111111)</f>
        <v>0.58611111111111103</v>
      </c>
      <c r="X2028" s="8">
        <f ca="1">IFERROR(__xludf.DUMMYFUNCTION("""COMPUTED_VALUE"""),1)</f>
        <v>1</v>
      </c>
      <c r="Y2028" s="12" t="str">
        <f ca="1">IFERROR(__xludf.DUMMYFUNCTION("""COMPUTED_VALUE"""),"Killed estranged wife at school")</f>
        <v>Killed estranged wife at school</v>
      </c>
      <c r="Z2028" s="12" t="str">
        <f ca="1">IFERROR(__xludf.DUMMYFUNCTION("""COMPUTED_VALUE"""),"Suspect shot his estranged wife in the face multiple times at the school where their children attended, as she was going to pick them up. In an earlier incident he allegedly trapped victim at home after she told him she wanted a divorce, but she escaped a"&amp;"nd went to the neighbors. Victim had obtained a domestic violence protective order against shooter and he was prohibited from possessing firearms. The protective order states that Cherfaoui had threatened to kill his wife if she took the children and said"&amp;" that he was willing to be a martyr for his children. Shooter and victim were involved in a divorce, custody and child support battle at the time of the shooting. Shooter is prohibited from contacting his children.")</f>
        <v>Suspect shot his estranged wife in the face multiple times at the school where their children attended, as she was going to pick them up. In an earlier incident he allegedly trapped victim at home after she told him she wanted a divorce, but she escaped and went to the neighbors. Victim had obtained a domestic violence protective order against shooter and he was prohibited from possessing firearms. The protective order states that Cherfaoui had threatened to kill his wife if she took the children and said that he was willing to be a martyr for his children. Shooter and victim were involved in a divorce, custody and child support battle at the time of the shooting. Shooter is prohibited from contacting his children.</v>
      </c>
      <c r="AA2028" s="8" t="str">
        <f ca="1">IFERROR(__xludf.DUMMYFUNCTION("""COMPUTED_VALUE"""),"Domestic w/ Targeted Victim")</f>
        <v>Domestic w/ Targeted Victim</v>
      </c>
      <c r="AB2028" s="8"/>
      <c r="AC2028" s="8" t="str">
        <f ca="1">IFERROR(__xludf.DUMMYFUNCTION("""COMPUTED_VALUE"""),"Yes")</f>
        <v>Yes</v>
      </c>
      <c r="AD2028" s="8" t="str">
        <f ca="1">IFERROR(__xludf.DUMMYFUNCTION("""COMPUTED_VALUE"""),"Victims Targeted")</f>
        <v>Victims Targeted</v>
      </c>
      <c r="AE2028" s="8" t="str">
        <f ca="1">IFERROR(__xludf.DUMMYFUNCTION("""COMPUTED_VALUE"""),"No")</f>
        <v>No</v>
      </c>
      <c r="AF2028" s="8"/>
      <c r="AG2028" s="8" t="str">
        <f ca="1">IFERROR(__xludf.DUMMYFUNCTION("""COMPUTED_VALUE"""),"No")</f>
        <v>No</v>
      </c>
      <c r="AH2028" s="8" t="str">
        <f ca="1">IFERROR(__xludf.DUMMYFUNCTION("""COMPUTED_VALUE"""),"No")</f>
        <v>No</v>
      </c>
      <c r="AI2028" s="8" t="str">
        <f ca="1">IFERROR(__xludf.DUMMYFUNCTION("""COMPUTED_VALUE"""),"No")</f>
        <v>No</v>
      </c>
      <c r="AJ2028" s="8" t="str">
        <f ca="1">IFERROR(__xludf.DUMMYFUNCTION("""COMPUTED_VALUE"""),"No")</f>
        <v>No</v>
      </c>
      <c r="AK2028" s="8" t="str">
        <f ca="1">IFERROR(__xludf.DUMMYFUNCTION("""COMPUTED_VALUE"""),"Yes")</f>
        <v>Yes</v>
      </c>
      <c r="AL2028" s="8" t="str">
        <f ca="1">IFERROR(__xludf.DUMMYFUNCTION("""COMPUTED_VALUE"""),"No")</f>
        <v>No</v>
      </c>
      <c r="AM2028" s="8"/>
      <c r="AN2028" s="8"/>
      <c r="AO2028" s="8" t="str">
        <f ca="1">IFERROR(__xludf.DUMMYFUNCTION("""COMPUTED_VALUE"""),"No")</f>
        <v>No</v>
      </c>
      <c r="AP2028" s="8" t="str">
        <f ca="1">IFERROR(__xludf.DUMMYFUNCTION("""COMPUTED_VALUE"""),"No")</f>
        <v>No</v>
      </c>
      <c r="AQ2028" s="8" t="str">
        <f ca="1">IFERROR(__xludf.DUMMYFUNCTION("""COMPUTED_VALUE"""),"Unknown")</f>
        <v>Unknown</v>
      </c>
      <c r="AR2028" s="8" t="str">
        <f ca="1">IFERROR(__xludf.DUMMYFUNCTION("""COMPUTED_VALUE"""),"NA")</f>
        <v>NA</v>
      </c>
      <c r="AS2028" s="8"/>
      <c r="AT2028" s="8" t="str">
        <f ca="1">IFERROR(__xludf.DUMMYFUNCTION("""COMPUTED_VALUE"""),"Yes")</f>
        <v>Yes</v>
      </c>
      <c r="AU2028" s="8">
        <f ca="1">IFERROR(__xludf.DUMMYFUNCTION("""COMPUTED_VALUE"""),35.879134)</f>
        <v>35.879134000000001</v>
      </c>
      <c r="AV2028" s="8">
        <f ca="1">IFERROR(__xludf.DUMMYFUNCTION("""COMPUTED_VALUE"""),-79.068634)</f>
        <v>-79.068634000000003</v>
      </c>
      <c r="AW2028" s="8"/>
      <c r="AX2028" s="8">
        <f ca="1">IFERROR(__xludf.DUMMYFUNCTION("""COMPUTED_VALUE"""),27516)</f>
        <v>27516</v>
      </c>
    </row>
    <row r="2029" spans="1:50" ht="180" x14ac:dyDescent="0.2">
      <c r="A2029" s="8" t="str">
        <f ca="1">IFERROR(__xludf.DUMMYFUNCTION("""COMPUTED_VALUE"""),"20120525AZWEA")</f>
        <v>20120525AZWEA</v>
      </c>
      <c r="B2029" s="8">
        <f ca="1">IFERROR(__xludf.DUMMYFUNCTION("""COMPUTED_VALUE"""),5)</f>
        <v>5</v>
      </c>
      <c r="C2029" s="8">
        <f ca="1">IFERROR(__xludf.DUMMYFUNCTION("""COMPUTED_VALUE"""),25)</f>
        <v>25</v>
      </c>
      <c r="D2029" s="8">
        <f ca="1">IFERROR(__xludf.DUMMYFUNCTION("""COMPUTED_VALUE"""),2012)</f>
        <v>2012</v>
      </c>
      <c r="E2029" s="9">
        <f ca="1">IFERROR(__xludf.DUMMYFUNCTION("""COMPUTED_VALUE"""),41054)</f>
        <v>41054</v>
      </c>
      <c r="F2029" s="8" t="str">
        <f ca="1">IFERROR(__xludf.DUMMYFUNCTION("""COMPUTED_VALUE"""),"West View High School")</f>
        <v>West View High School</v>
      </c>
      <c r="G2029" s="8">
        <f ca="1">IFERROR(__xludf.DUMMYFUNCTION("""COMPUTED_VALUE"""),1)</f>
        <v>1</v>
      </c>
      <c r="H2029" s="8">
        <f ca="1">IFERROR(__xludf.DUMMYFUNCTION("""COMPUTED_VALUE"""),0)</f>
        <v>0</v>
      </c>
      <c r="I2029" s="8">
        <f ca="1">IFERROR(__xludf.DUMMYFUNCTION("""COMPUTED_VALUE"""),1)</f>
        <v>1</v>
      </c>
      <c r="J2029" s="8">
        <f ca="1">IFERROR(__xludf.DUMMYFUNCTION("""COMPUTED_VALUE"""),0)</f>
        <v>0</v>
      </c>
      <c r="K2029" s="8" t="str">
        <f ca="1">IFERROR(__xludf.DUMMYFUNCTION("""COMPUTED_VALUE"""),"https://arizonadailyindependent.com/2013/10/12/man-sentenced-for-killing-girlfriend-in-avondale-school-parking-lot/; https://www.newspapers.com/image/517463636/?terms=shot%2Bin%2Bhigh%2Bschool%2Bparking%2Blot; https://www.newspapers.com/image/120972968/; "&amp;"https://www.dailymail.co.uk/news/article-2150456/Takesha-Barnes-Mother-killed-boyfriend-attends-daughters-graduation.html; https://casetext.com/case/state-v-moton-21")</f>
        <v>https://arizonadailyindependent.com/2013/10/12/man-sentenced-for-killing-girlfriend-in-avondale-school-parking-lot/; https://www.newspapers.com/image/517463636/?terms=shot%2Bin%2Bhigh%2Bschool%2Bparking%2Blot; https://www.newspapers.com/image/120972968/; https://www.dailymail.co.uk/news/article-2150456/Takesha-Barnes-Mother-killed-boyfriend-attends-daughters-graduation.html; https://casetext.com/case/state-v-moton-21</v>
      </c>
      <c r="L2029" s="8"/>
      <c r="M2029" s="8"/>
      <c r="N2029" s="8">
        <f ca="1">IFERROR(__xludf.DUMMYFUNCTION("""COMPUTED_VALUE"""),5)</f>
        <v>5</v>
      </c>
      <c r="O2029" s="8" t="str">
        <f ca="1">IFERROR(__xludf.DUMMYFUNCTION("""COMPUTED_VALUE"""),"Spring")</f>
        <v>Spring</v>
      </c>
      <c r="P2029" s="8" t="str">
        <f ca="1">IFERROR(__xludf.DUMMYFUNCTION("""COMPUTED_VALUE"""),"Avondale")</f>
        <v>Avondale</v>
      </c>
      <c r="Q2029" s="8" t="str">
        <f ca="1">IFERROR(__xludf.DUMMYFUNCTION("""COMPUTED_VALUE"""),"AZ")</f>
        <v>AZ</v>
      </c>
      <c r="R2029" s="8" t="str">
        <f ca="1">IFERROR(__xludf.DUMMYFUNCTION("""COMPUTED_VALUE"""),"High")</f>
        <v>High</v>
      </c>
      <c r="S2029" s="8" t="str">
        <f ca="1">IFERROR(__xludf.DUMMYFUNCTION("""COMPUTED_VALUE"""),"Parking Lot")</f>
        <v>Parking Lot</v>
      </c>
      <c r="T2029" s="8" t="str">
        <f ca="1">IFERROR(__xludf.DUMMYFUNCTION("""COMPUTED_VALUE"""),"Outside on School Property")</f>
        <v>Outside on School Property</v>
      </c>
      <c r="U2029" s="8" t="str">
        <f ca="1">IFERROR(__xludf.DUMMYFUNCTION("""COMPUTED_VALUE"""),"Yes")</f>
        <v>Yes</v>
      </c>
      <c r="V2029" s="8" t="str">
        <f ca="1">IFERROR(__xludf.DUMMYFUNCTION("""COMPUTED_VALUE"""),"School Event")</f>
        <v>School Event</v>
      </c>
      <c r="W2029" s="11">
        <f ca="1">IFERROR(__xludf.DUMMYFUNCTION("""COMPUTED_VALUE"""),0.579861111111111)</f>
        <v>0.57986111111111105</v>
      </c>
      <c r="X2029" s="8">
        <f ca="1">IFERROR(__xludf.DUMMYFUNCTION("""COMPUTED_VALUE"""),1)</f>
        <v>1</v>
      </c>
      <c r="Y2029" s="12" t="str">
        <f ca="1">IFERROR(__xludf.DUMMYFUNCTION("""COMPUTED_VALUE"""),"Domestic violence")</f>
        <v>Domestic violence</v>
      </c>
      <c r="Z2029" s="12" t="str">
        <f ca="1">IFERROR(__xludf.DUMMYFUNCTION("""COMPUTED_VALUE"""),"Victim was in relationship with shooter marred by domestic violence. Victim was at high school with her children attending 8th grade promotion ceremony for her daughter. Upon leaving victim asked security guard to escort her to her vehicle out of fear she"&amp;" would be attacked. While escorting, security guard saw shooter hiding behind cars - told victim to lock herself in her car and flee. Shooter pulled handgun from waistband and began chasing victim through parking lot. Victim got into vehicle but it wouldn"&amp;"'t start. Shooter walked to driver's side of vehicle and shot victim several times. He fled on motorcycle, was later arrested and sentenced.")</f>
        <v>Victim was in relationship with shooter marred by domestic violence. Victim was at high school with her children attending 8th grade promotion ceremony for her daughter. Upon leaving victim asked security guard to escort her to her vehicle out of fear she would be attacked. While escorting, security guard saw shooter hiding behind cars - told victim to lock herself in her car and flee. Shooter pulled handgun from waistband and began chasing victim through parking lot. Victim got into vehicle but it wouldn't start. Shooter walked to driver's side of vehicle and shot victim several times. He fled on motorcycle, was later arrested and sentenced.</v>
      </c>
      <c r="AA2029" s="8" t="str">
        <f ca="1">IFERROR(__xludf.DUMMYFUNCTION("""COMPUTED_VALUE"""),"Domestic w/ Targeted Victim")</f>
        <v>Domestic w/ Targeted Victim</v>
      </c>
      <c r="AB2029" s="8"/>
      <c r="AC2029" s="8" t="str">
        <f ca="1">IFERROR(__xludf.DUMMYFUNCTION("""COMPUTED_VALUE"""),"Yes")</f>
        <v>Yes</v>
      </c>
      <c r="AD2029" s="8" t="str">
        <f ca="1">IFERROR(__xludf.DUMMYFUNCTION("""COMPUTED_VALUE"""),"Victims Targeted")</f>
        <v>Victims Targeted</v>
      </c>
      <c r="AE2029" s="8" t="str">
        <f ca="1">IFERROR(__xludf.DUMMYFUNCTION("""COMPUTED_VALUE"""),"No")</f>
        <v>No</v>
      </c>
      <c r="AF2029" s="8"/>
      <c r="AG2029" s="8" t="str">
        <f ca="1">IFERROR(__xludf.DUMMYFUNCTION("""COMPUTED_VALUE"""),"No")</f>
        <v>No</v>
      </c>
      <c r="AH2029" s="8" t="str">
        <f ca="1">IFERROR(__xludf.DUMMYFUNCTION("""COMPUTED_VALUE"""),"No")</f>
        <v>No</v>
      </c>
      <c r="AI2029" s="8" t="str">
        <f ca="1">IFERROR(__xludf.DUMMYFUNCTION("""COMPUTED_VALUE"""),"No")</f>
        <v>No</v>
      </c>
      <c r="AJ2029" s="8" t="str">
        <f ca="1">IFERROR(__xludf.DUMMYFUNCTION("""COMPUTED_VALUE"""),"No")</f>
        <v>No</v>
      </c>
      <c r="AK2029" s="8" t="str">
        <f ca="1">IFERROR(__xludf.DUMMYFUNCTION("""COMPUTED_VALUE"""),"Yes")</f>
        <v>Yes</v>
      </c>
      <c r="AL2029" s="8" t="str">
        <f ca="1">IFERROR(__xludf.DUMMYFUNCTION("""COMPUTED_VALUE"""),"No")</f>
        <v>No</v>
      </c>
      <c r="AM2029" s="8" t="str">
        <f ca="1">IFERROR(__xludf.DUMMYFUNCTION("""COMPUTED_VALUE"""),"No")</f>
        <v>No</v>
      </c>
      <c r="AN2029" s="8"/>
      <c r="AO2029" s="8" t="str">
        <f ca="1">IFERROR(__xludf.DUMMYFUNCTION("""COMPUTED_VALUE"""),"No")</f>
        <v>No</v>
      </c>
      <c r="AP2029" s="8" t="str">
        <f ca="1">IFERROR(__xludf.DUMMYFUNCTION("""COMPUTED_VALUE"""),"No")</f>
        <v>No</v>
      </c>
      <c r="AQ2029" s="8" t="str">
        <f ca="1">IFERROR(__xludf.DUMMYFUNCTION("""COMPUTED_VALUE"""),"Unknown")</f>
        <v>Unknown</v>
      </c>
      <c r="AR2029" s="8" t="str">
        <f ca="1">IFERROR(__xludf.DUMMYFUNCTION("""COMPUTED_VALUE"""),"NA")</f>
        <v>NA</v>
      </c>
      <c r="AS2029" s="8">
        <f ca="1">IFERROR(__xludf.DUMMYFUNCTION("""COMPUTED_VALUE"""),5)</f>
        <v>5</v>
      </c>
      <c r="AT2029" s="8"/>
      <c r="AU2029" s="8">
        <f ca="1">IFERROR(__xludf.DUMMYFUNCTION("""COMPUTED_VALUE"""),33.489991)</f>
        <v>33.489991000000003</v>
      </c>
      <c r="AV2029" s="8">
        <f ca="1">IFERROR(__xludf.DUMMYFUNCTION("""COMPUTED_VALUE"""),-112.292702)</f>
        <v>-112.29270200000001</v>
      </c>
      <c r="AW2029" s="8"/>
      <c r="AX2029" s="8">
        <f ca="1">IFERROR(__xludf.DUMMYFUNCTION("""COMPUTED_VALUE"""),85392)</f>
        <v>85392</v>
      </c>
    </row>
    <row r="2030" spans="1:50" ht="90" x14ac:dyDescent="0.2">
      <c r="A2030" s="8" t="str">
        <f ca="1">IFERROR(__xludf.DUMMYFUNCTION("""COMPUTED_VALUE"""),"20120401ARKIR")</f>
        <v>20120401ARKIR</v>
      </c>
      <c r="B2030" s="8">
        <f ca="1">IFERROR(__xludf.DUMMYFUNCTION("""COMPUTED_VALUE"""),4)</f>
        <v>4</v>
      </c>
      <c r="C2030" s="8">
        <f ca="1">IFERROR(__xludf.DUMMYFUNCTION("""COMPUTED_VALUE"""),1)</f>
        <v>1</v>
      </c>
      <c r="D2030" s="8">
        <f ca="1">IFERROR(__xludf.DUMMYFUNCTION("""COMPUTED_VALUE"""),2012)</f>
        <v>2012</v>
      </c>
      <c r="E2030" s="9">
        <f ca="1">IFERROR(__xludf.DUMMYFUNCTION("""COMPUTED_VALUE"""),41000)</f>
        <v>41000</v>
      </c>
      <c r="F2030" s="8" t="str">
        <f ca="1">IFERROR(__xludf.DUMMYFUNCTION("""COMPUTED_VALUE"""),"Kirksey Middle School")</f>
        <v>Kirksey Middle School</v>
      </c>
      <c r="G2030" s="8">
        <f ca="1">IFERROR(__xludf.DUMMYFUNCTION("""COMPUTED_VALUE"""),0)</f>
        <v>0</v>
      </c>
      <c r="H2030" s="8">
        <f ca="1">IFERROR(__xludf.DUMMYFUNCTION("""COMPUTED_VALUE"""),1)</f>
        <v>1</v>
      </c>
      <c r="I2030" s="8">
        <f ca="1">IFERROR(__xludf.DUMMYFUNCTION("""COMPUTED_VALUE"""),1)</f>
        <v>1</v>
      </c>
      <c r="J2030" s="8">
        <f ca="1">IFERROR(__xludf.DUMMYFUNCTION("""COMPUTED_VALUE"""),0)</f>
        <v>0</v>
      </c>
      <c r="K2030" s="8" t="str">
        <f ca="1">IFERROR(__xludf.DUMMYFUNCTION("""COMPUTED_VALUE"""),"https://5newsonline.com/2012/04/02/rogers-police-investigate-shooting/  http://www.arkansasonline.com/news/2012/apr/02/rogers-police-investigate-shooting/")</f>
        <v>https://5newsonline.com/2012/04/02/rogers-police-investigate-shooting/  http://www.arkansasonline.com/news/2012/apr/02/rogers-police-investigate-shooting/</v>
      </c>
      <c r="L2030" s="8">
        <f ca="1">IFERROR(__xludf.DUMMYFUNCTION("""COMPUTED_VALUE"""),1)</f>
        <v>1</v>
      </c>
      <c r="M2030" s="8" t="str">
        <f ca="1">IFERROR(__xludf.DUMMYFUNCTION("""COMPUTED_VALUE"""),"Local")</f>
        <v>Local</v>
      </c>
      <c r="N2030" s="8">
        <f ca="1">IFERROR(__xludf.DUMMYFUNCTION("""COMPUTED_VALUE"""),2)</f>
        <v>2</v>
      </c>
      <c r="O2030" s="8" t="str">
        <f ca="1">IFERROR(__xludf.DUMMYFUNCTION("""COMPUTED_VALUE"""),"Spring")</f>
        <v>Spring</v>
      </c>
      <c r="P2030" s="8" t="str">
        <f ca="1">IFERROR(__xludf.DUMMYFUNCTION("""COMPUTED_VALUE"""),"Rogers")</f>
        <v>Rogers</v>
      </c>
      <c r="Q2030" s="8" t="str">
        <f ca="1">IFERROR(__xludf.DUMMYFUNCTION("""COMPUTED_VALUE"""),"AR")</f>
        <v>AR</v>
      </c>
      <c r="R2030" s="8" t="str">
        <f ca="1">IFERROR(__xludf.DUMMYFUNCTION("""COMPUTED_VALUE"""),"Middle")</f>
        <v>Middle</v>
      </c>
      <c r="S2030" s="8" t="str">
        <f ca="1">IFERROR(__xludf.DUMMYFUNCTION("""COMPUTED_VALUE"""),"Parking Lot")</f>
        <v>Parking Lot</v>
      </c>
      <c r="T2030" s="8" t="str">
        <f ca="1">IFERROR(__xludf.DUMMYFUNCTION("""COMPUTED_VALUE"""),"Outside on School Property")</f>
        <v>Outside on School Property</v>
      </c>
      <c r="U2030" s="8" t="str">
        <f ca="1">IFERROR(__xludf.DUMMYFUNCTION("""COMPUTED_VALUE"""),"No")</f>
        <v>No</v>
      </c>
      <c r="V2030" s="8" t="str">
        <f ca="1">IFERROR(__xludf.DUMMYFUNCTION("""COMPUTED_VALUE"""),"Evening")</f>
        <v>Evening</v>
      </c>
      <c r="W2030" s="11">
        <f ca="1">IFERROR(__xludf.DUMMYFUNCTION("""COMPUTED_VALUE"""),0.915277777777777)</f>
        <v>0.91527777777777697</v>
      </c>
      <c r="X2030" s="8">
        <f ca="1">IFERROR(__xludf.DUMMYFUNCTION("""COMPUTED_VALUE"""),1)</f>
        <v>1</v>
      </c>
      <c r="Y2030" s="12" t="str">
        <f ca="1">IFERROR(__xludf.DUMMYFUNCTION("""COMPUTED_VALUE"""),"Fight in school parking lot")</f>
        <v>Fight in school parking lot</v>
      </c>
      <c r="Z2030" s="12" t="str">
        <f ca="1">IFERROR(__xludf.DUMMYFUNCTION("""COMPUTED_VALUE"""),"Shooter and victim met at the middle school parking lot to fight - during the fight, shooter shot several rounds, one of which hit victim in the foot. Victim was later taken to hospital, treated and released. Shooter was also taken to hospital after he wa"&amp;"s beaten up by others on the scene after firing shots. Shooter was eventually arrested and charged.")</f>
        <v>Shooter and victim met at the middle school parking lot to fight - during the fight, shooter shot several rounds, one of which hit victim in the foot. Victim was later taken to hospital, treated and released. Shooter was also taken to hospital after he was beaten up by others on the scene after firing shots. Shooter was eventually arrested and charged.</v>
      </c>
      <c r="AA2030" s="8" t="str">
        <f ca="1">IFERROR(__xludf.DUMMYFUNCTION("""COMPUTED_VALUE"""),"Escalation of Dispute")</f>
        <v>Escalation of Dispute</v>
      </c>
      <c r="AB2030" s="8"/>
      <c r="AC2030" s="8" t="str">
        <f ca="1">IFERROR(__xludf.DUMMYFUNCTION("""COMPUTED_VALUE"""),"No")</f>
        <v>No</v>
      </c>
      <c r="AD2030" s="8" t="str">
        <f ca="1">IFERROR(__xludf.DUMMYFUNCTION("""COMPUTED_VALUE"""),"Both")</f>
        <v>Both</v>
      </c>
      <c r="AE2030" s="8" t="str">
        <f ca="1">IFERROR(__xludf.DUMMYFUNCTION("""COMPUTED_VALUE"""),"No")</f>
        <v>No</v>
      </c>
      <c r="AF2030" s="8"/>
      <c r="AG2030" s="8" t="str">
        <f ca="1">IFERROR(__xludf.DUMMYFUNCTION("""COMPUTED_VALUE"""),"No")</f>
        <v>No</v>
      </c>
      <c r="AH2030" s="8" t="str">
        <f ca="1">IFERROR(__xludf.DUMMYFUNCTION("""COMPUTED_VALUE"""),"No")</f>
        <v>No</v>
      </c>
      <c r="AI2030" s="8" t="str">
        <f ca="1">IFERROR(__xludf.DUMMYFUNCTION("""COMPUTED_VALUE"""),"No")</f>
        <v>No</v>
      </c>
      <c r="AJ2030" s="8" t="str">
        <f ca="1">IFERROR(__xludf.DUMMYFUNCTION("""COMPUTED_VALUE"""),"No")</f>
        <v>No</v>
      </c>
      <c r="AK2030" s="8" t="str">
        <f ca="1">IFERROR(__xludf.DUMMYFUNCTION("""COMPUTED_VALUE"""),"No")</f>
        <v>No</v>
      </c>
      <c r="AL2030" s="8" t="str">
        <f ca="1">IFERROR(__xludf.DUMMYFUNCTION("""COMPUTED_VALUE"""),"No")</f>
        <v>No</v>
      </c>
      <c r="AM2030" s="8"/>
      <c r="AN2030" s="8"/>
      <c r="AO2030" s="8" t="str">
        <f ca="1">IFERROR(__xludf.DUMMYFUNCTION("""COMPUTED_VALUE"""),"No")</f>
        <v>No</v>
      </c>
      <c r="AP2030" s="8" t="str">
        <f ca="1">IFERROR(__xludf.DUMMYFUNCTION("""COMPUTED_VALUE"""),"N/A")</f>
        <v>N/A</v>
      </c>
      <c r="AQ2030" s="8" t="str">
        <f ca="1">IFERROR(__xludf.DUMMYFUNCTION("""COMPUTED_VALUE"""),"Unknown")</f>
        <v>Unknown</v>
      </c>
      <c r="AR2030" s="8" t="str">
        <f ca="1">IFERROR(__xludf.DUMMYFUNCTION("""COMPUTED_VALUE"""),"NA")</f>
        <v>NA</v>
      </c>
      <c r="AS2030" s="8" t="str">
        <f ca="1">IFERROR(__xludf.DUMMYFUNCTION("""COMPUTED_VALUE"""),"&lt;5")</f>
        <v>&lt;5</v>
      </c>
      <c r="AT2030" s="8" t="str">
        <f ca="1">IFERROR(__xludf.DUMMYFUNCTION("""COMPUTED_VALUE"""),"N/A")</f>
        <v>N/A</v>
      </c>
      <c r="AU2030" s="8">
        <f ca="1">IFERROR(__xludf.DUMMYFUNCTION("""COMPUTED_VALUE"""),36.298019)</f>
        <v>36.298018999999996</v>
      </c>
      <c r="AV2030" s="8">
        <f ca="1">IFERROR(__xludf.DUMMYFUNCTION("""COMPUTED_VALUE"""),-94.119702)</f>
        <v>-94.119702000000004</v>
      </c>
      <c r="AW2030" s="8"/>
      <c r="AX2030" s="8">
        <f ca="1">IFERROR(__xludf.DUMMYFUNCTION("""COMPUTED_VALUE"""),72758)</f>
        <v>72758</v>
      </c>
    </row>
    <row r="2031" spans="1:50" ht="120" x14ac:dyDescent="0.2">
      <c r="A2031" s="8" t="str">
        <f ca="1">IFERROR(__xludf.DUMMYFUNCTION("""COMPUTED_VALUE"""),"20120315ALLEM")</f>
        <v>20120315ALLEM</v>
      </c>
      <c r="B2031" s="8">
        <f ca="1">IFERROR(__xludf.DUMMYFUNCTION("""COMPUTED_VALUE"""),3)</f>
        <v>3</v>
      </c>
      <c r="C2031" s="8">
        <f ca="1">IFERROR(__xludf.DUMMYFUNCTION("""COMPUTED_VALUE"""),15)</f>
        <v>15</v>
      </c>
      <c r="D2031" s="8">
        <f ca="1">IFERROR(__xludf.DUMMYFUNCTION("""COMPUTED_VALUE"""),2012)</f>
        <v>2012</v>
      </c>
      <c r="E2031" s="9">
        <f ca="1">IFERROR(__xludf.DUMMYFUNCTION("""COMPUTED_VALUE"""),40983)</f>
        <v>40983</v>
      </c>
      <c r="F2031" s="8" t="str">
        <f ca="1">IFERROR(__xludf.DUMMYFUNCTION("""COMPUTED_VALUE"""),"LeFlore High School")</f>
        <v>LeFlore High School</v>
      </c>
      <c r="G2031" s="8">
        <f ca="1">IFERROR(__xludf.DUMMYFUNCTION("""COMPUTED_VALUE"""),0)</f>
        <v>0</v>
      </c>
      <c r="H2031" s="8">
        <f ca="1">IFERROR(__xludf.DUMMYFUNCTION("""COMPUTED_VALUE"""),0)</f>
        <v>0</v>
      </c>
      <c r="I2031" s="8">
        <f ca="1">IFERROR(__xludf.DUMMYFUNCTION("""COMPUTED_VALUE"""),0)</f>
        <v>0</v>
      </c>
      <c r="J2031" s="8">
        <f ca="1">IFERROR(__xludf.DUMMYFUNCTION("""COMPUTED_VALUE"""),0)</f>
        <v>0</v>
      </c>
      <c r="K2031" s="8" t="str">
        <f ca="1">IFERROR(__xludf.DUMMYFUNCTION("""COMPUTED_VALUE"""),"http://blog.al.com/live/2013/06/mobile_teens_to_be_tried_as_ad.html  http://blog.al.com/live/2012/03/leflore_high_shooting_teen_arr.html  http://blog.al.com/live/2012/05/second_youth_charged_in_connec.html")</f>
        <v>http://blog.al.com/live/2013/06/mobile_teens_to_be_tried_as_ad.html  http://blog.al.com/live/2012/03/leflore_high_shooting_teen_arr.html  http://blog.al.com/live/2012/05/second_youth_charged_in_connec.html</v>
      </c>
      <c r="L2031" s="8">
        <f ca="1">IFERROR(__xludf.DUMMYFUNCTION("""COMPUTED_VALUE"""),1)</f>
        <v>1</v>
      </c>
      <c r="M2031" s="8" t="str">
        <f ca="1">IFERROR(__xludf.DUMMYFUNCTION("""COMPUTED_VALUE"""),"Local")</f>
        <v>Local</v>
      </c>
      <c r="N2031" s="8">
        <f ca="1">IFERROR(__xludf.DUMMYFUNCTION("""COMPUTED_VALUE"""),4)</f>
        <v>4</v>
      </c>
      <c r="O2031" s="8" t="str">
        <f ca="1">IFERROR(__xludf.DUMMYFUNCTION("""COMPUTED_VALUE"""),"Spring")</f>
        <v>Spring</v>
      </c>
      <c r="P2031" s="8" t="str">
        <f ca="1">IFERROR(__xludf.DUMMYFUNCTION("""COMPUTED_VALUE"""),"Mobile")</f>
        <v>Mobile</v>
      </c>
      <c r="Q2031" s="8" t="str">
        <f ca="1">IFERROR(__xludf.DUMMYFUNCTION("""COMPUTED_VALUE"""),"AL")</f>
        <v>AL</v>
      </c>
      <c r="R2031" s="8" t="str">
        <f ca="1">IFERROR(__xludf.DUMMYFUNCTION("""COMPUTED_VALUE"""),"High")</f>
        <v>High</v>
      </c>
      <c r="S2031" s="8" t="str">
        <f ca="1">IFERROR(__xludf.DUMMYFUNCTION("""COMPUTED_VALUE"""),"Parking Lot")</f>
        <v>Parking Lot</v>
      </c>
      <c r="T2031" s="8" t="str">
        <f ca="1">IFERROR(__xludf.DUMMYFUNCTION("""COMPUTED_VALUE"""),"Outside on School Property")</f>
        <v>Outside on School Property</v>
      </c>
      <c r="U2031" s="8" t="str">
        <f ca="1">IFERROR(__xludf.DUMMYFUNCTION("""COMPUTED_VALUE"""),"Yes")</f>
        <v>Yes</v>
      </c>
      <c r="V2031" s="8" t="str">
        <f ca="1">IFERROR(__xludf.DUMMYFUNCTION("""COMPUTED_VALUE"""),"Morning Classes")</f>
        <v>Morning Classes</v>
      </c>
      <c r="W2031" s="11">
        <f ca="1">IFERROR(__xludf.DUMMYFUNCTION("""COMPUTED_VALUE"""),0.451388888888888)</f>
        <v>0.45138888888888801</v>
      </c>
      <c r="X2031" s="8">
        <f ca="1">IFERROR(__xludf.DUMMYFUNCTION("""COMPUTED_VALUE"""),1)</f>
        <v>1</v>
      </c>
      <c r="Y2031" s="12" t="str">
        <f ca="1">IFERROR(__xludf.DUMMYFUNCTION("""COMPUTED_VALUE"""),"Targeted gang shooting in school")</f>
        <v>Targeted gang shooting in school</v>
      </c>
      <c r="Z2031" s="12" t="str">
        <f ca="1">IFERROR(__xludf.DUMMYFUNCTION("""COMPUTED_VALUE"""),"3 suspects dressed in the school uniforms entered school property. After locating the target they were after, they chased both him and another student trying to help get victim get away. One of the suspects shot at the victim several times but only hit a "&amp;"parked car. The suspects were later identified, and the shooter turned himself in. The judge in the case denied treating the shooter as a youthful offender because of his juvenile criminal record.")</f>
        <v>3 suspects dressed in the school uniforms entered school property. After locating the target they were after, they chased both him and another student trying to help get victim get away. One of the suspects shot at the victim several times but only hit a parked car. The suspects were later identified, and the shooter turned himself in. The judge in the case denied treating the shooter as a youthful offender because of his juvenile criminal record.</v>
      </c>
      <c r="AA2031" s="8" t="str">
        <f ca="1">IFERROR(__xludf.DUMMYFUNCTION("""COMPUTED_VALUE"""),"Escalation of Dispute")</f>
        <v>Escalation of Dispute</v>
      </c>
      <c r="AB2031" s="8"/>
      <c r="AC2031" s="8" t="str">
        <f ca="1">IFERROR(__xludf.DUMMYFUNCTION("""COMPUTED_VALUE"""),"Yes")</f>
        <v>Yes</v>
      </c>
      <c r="AD2031" s="8" t="str">
        <f ca="1">IFERROR(__xludf.DUMMYFUNCTION("""COMPUTED_VALUE"""),"Victims Targeted")</f>
        <v>Victims Targeted</v>
      </c>
      <c r="AE2031" s="8" t="str">
        <f ca="1">IFERROR(__xludf.DUMMYFUNCTION("""COMPUTED_VALUE"""),"Yes")</f>
        <v>Yes</v>
      </c>
      <c r="AF2031" s="8" t="str">
        <f ca="1">IFERROR(__xludf.DUMMYFUNCTION("""COMPUTED_VALUE"""),"Julian Demond Woods, 15; possibly 1 more M")</f>
        <v>Julian Demond Woods, 15; possibly 1 more M</v>
      </c>
      <c r="AG2031" s="8" t="str">
        <f ca="1">IFERROR(__xludf.DUMMYFUNCTION("""COMPUTED_VALUE"""),"No")</f>
        <v>No</v>
      </c>
      <c r="AH2031" s="8" t="str">
        <f ca="1">IFERROR(__xludf.DUMMYFUNCTION("""COMPUTED_VALUE"""),"No")</f>
        <v>No</v>
      </c>
      <c r="AI2031" s="8" t="str">
        <f ca="1">IFERROR(__xludf.DUMMYFUNCTION("""COMPUTED_VALUE"""),"No")</f>
        <v>No</v>
      </c>
      <c r="AJ2031" s="8" t="str">
        <f ca="1">IFERROR(__xludf.DUMMYFUNCTION("""COMPUTED_VALUE"""),"No")</f>
        <v>No</v>
      </c>
      <c r="AK2031" s="8" t="str">
        <f ca="1">IFERROR(__xludf.DUMMYFUNCTION("""COMPUTED_VALUE"""),"No")</f>
        <v>No</v>
      </c>
      <c r="AL2031" s="8" t="str">
        <f ca="1">IFERROR(__xludf.DUMMYFUNCTION("""COMPUTED_VALUE"""),"Yes")</f>
        <v>Yes</v>
      </c>
      <c r="AM2031" s="8"/>
      <c r="AN2031" s="8"/>
      <c r="AO2031" s="8" t="str">
        <f ca="1">IFERROR(__xludf.DUMMYFUNCTION("""COMPUTED_VALUE"""),"No")</f>
        <v>No</v>
      </c>
      <c r="AP2031" s="8" t="str">
        <f ca="1">IFERROR(__xludf.DUMMYFUNCTION("""COMPUTED_VALUE"""),"No")</f>
        <v>No</v>
      </c>
      <c r="AQ2031" s="8" t="str">
        <f ca="1">IFERROR(__xludf.DUMMYFUNCTION("""COMPUTED_VALUE"""),"Unknown")</f>
        <v>Unknown</v>
      </c>
      <c r="AR2031" s="8" t="str">
        <f ca="1">IFERROR(__xludf.DUMMYFUNCTION("""COMPUTED_VALUE"""),"NA")</f>
        <v>NA</v>
      </c>
      <c r="AS2031" s="8"/>
      <c r="AT2031" s="8"/>
      <c r="AU2031" s="8">
        <f ca="1">IFERROR(__xludf.DUMMYFUNCTION("""COMPUTED_VALUE"""),30.714388)</f>
        <v>30.714388</v>
      </c>
      <c r="AV2031" s="8">
        <f ca="1">IFERROR(__xludf.DUMMYFUNCTION("""COMPUTED_VALUE"""),-88.087332)</f>
        <v>-88.087332000000004</v>
      </c>
      <c r="AW2031" s="8"/>
      <c r="AX2031" s="8">
        <f ca="1">IFERROR(__xludf.DUMMYFUNCTION("""COMPUTED_VALUE"""),36617)</f>
        <v>36617</v>
      </c>
    </row>
    <row r="2032" spans="1:50" ht="195" x14ac:dyDescent="0.2">
      <c r="A2032" s="8" t="str">
        <f ca="1">IFERROR(__xludf.DUMMYFUNCTION("""COMPUTED_VALUE"""),"20120306FLEPJ")</f>
        <v>20120306FLEPJ</v>
      </c>
      <c r="B2032" s="8">
        <f ca="1">IFERROR(__xludf.DUMMYFUNCTION("""COMPUTED_VALUE"""),3)</f>
        <v>3</v>
      </c>
      <c r="C2032" s="8">
        <f ca="1">IFERROR(__xludf.DUMMYFUNCTION("""COMPUTED_VALUE"""),6)</f>
        <v>6</v>
      </c>
      <c r="D2032" s="8">
        <f ca="1">IFERROR(__xludf.DUMMYFUNCTION("""COMPUTED_VALUE"""),2012)</f>
        <v>2012</v>
      </c>
      <c r="E2032" s="9">
        <f ca="1">IFERROR(__xludf.DUMMYFUNCTION("""COMPUTED_VALUE"""),40974)</f>
        <v>40974</v>
      </c>
      <c r="F2032" s="8" t="str">
        <f ca="1">IFERROR(__xludf.DUMMYFUNCTION("""COMPUTED_VALUE"""),"Episcopal School of Jacksonville")</f>
        <v>Episcopal School of Jacksonville</v>
      </c>
      <c r="G2032" s="8">
        <f ca="1">IFERROR(__xludf.DUMMYFUNCTION("""COMPUTED_VALUE"""),1)</f>
        <v>1</v>
      </c>
      <c r="H2032" s="8">
        <f ca="1">IFERROR(__xludf.DUMMYFUNCTION("""COMPUTED_VALUE"""),0)</f>
        <v>0</v>
      </c>
      <c r="I2032" s="8">
        <f ca="1">IFERROR(__xludf.DUMMYFUNCTION("""COMPUTED_VALUE"""),1)</f>
        <v>1</v>
      </c>
      <c r="J2032" s="8">
        <f ca="1">IFERROR(__xludf.DUMMYFUNCTION("""COMPUTED_VALUE"""),1)</f>
        <v>1</v>
      </c>
      <c r="K2032" s="8" t="str">
        <f ca="1">IFERROR(__xludf.DUMMYFUNCTION("""COMPUTED_VALUE"""),"http://www.jacksonville.com/article/20120420/NEWS/801254519 https://www.jacksonville.com/story/news/crime/2012/04/20/shane-no-no-new-details-episcopal-school-shooting/15869192007/")</f>
        <v>http://www.jacksonville.com/article/20120420/NEWS/801254519 https://www.jacksonville.com/story/news/crime/2012/04/20/shane-no-no-new-details-episcopal-school-shooting/15869192007/</v>
      </c>
      <c r="L2032" s="8">
        <f ca="1">IFERROR(__xludf.DUMMYFUNCTION("""COMPUTED_VALUE"""),11)</f>
        <v>11</v>
      </c>
      <c r="M2032" s="8" t="str">
        <f ca="1">IFERROR(__xludf.DUMMYFUNCTION("""COMPUTED_VALUE"""),"International")</f>
        <v>International</v>
      </c>
      <c r="N2032" s="8">
        <f ca="1">IFERROR(__xludf.DUMMYFUNCTION("""COMPUTED_VALUE"""),4)</f>
        <v>4</v>
      </c>
      <c r="O2032" s="8" t="str">
        <f ca="1">IFERROR(__xludf.DUMMYFUNCTION("""COMPUTED_VALUE"""),"Spring")</f>
        <v>Spring</v>
      </c>
      <c r="P2032" s="8" t="str">
        <f ca="1">IFERROR(__xludf.DUMMYFUNCTION("""COMPUTED_VALUE"""),"Jacksonville")</f>
        <v>Jacksonville</v>
      </c>
      <c r="Q2032" s="8" t="str">
        <f ca="1">IFERROR(__xludf.DUMMYFUNCTION("""COMPUTED_VALUE"""),"FL")</f>
        <v>FL</v>
      </c>
      <c r="R2032" s="8" t="str">
        <f ca="1">IFERROR(__xludf.DUMMYFUNCTION("""COMPUTED_VALUE"""),"Unknown")</f>
        <v>Unknown</v>
      </c>
      <c r="S2032" s="8" t="str">
        <f ca="1">IFERROR(__xludf.DUMMYFUNCTION("""COMPUTED_VALUE"""),"Office")</f>
        <v>Office</v>
      </c>
      <c r="T2032" s="8" t="str">
        <f ca="1">IFERROR(__xludf.DUMMYFUNCTION("""COMPUTED_VALUE"""),"Inside School Building")</f>
        <v>Inside School Building</v>
      </c>
      <c r="U2032" s="8" t="str">
        <f ca="1">IFERROR(__xludf.DUMMYFUNCTION("""COMPUTED_VALUE"""),"Yes")</f>
        <v>Yes</v>
      </c>
      <c r="V2032" s="8" t="str">
        <f ca="1">IFERROR(__xludf.DUMMYFUNCTION("""COMPUTED_VALUE"""),"Afternoon Classes")</f>
        <v>Afternoon Classes</v>
      </c>
      <c r="W2032" s="11">
        <f ca="1">IFERROR(__xludf.DUMMYFUNCTION("""COMPUTED_VALUE"""),0.552083333333333)</f>
        <v>0.55208333333333304</v>
      </c>
      <c r="X2032" s="8"/>
      <c r="Y2032" s="12" t="str">
        <f ca="1">IFERROR(__xludf.DUMMYFUNCTION("""COMPUTED_VALUE"""),"Fired teacher killed principal and self")</f>
        <v>Fired teacher killed principal and self</v>
      </c>
      <c r="Z2032" s="12" t="str">
        <f ca="1">IFERROR(__xludf.DUMMYFUNCTION("""COMPUTED_VALUE"""),"Teacher (shooter) was fired for incompetence earlier that day and returned to the school later, entering the principal's office through the unlocked back door. Shooter was carrying an AK-47, which he transported in a guitar case. He shot and killed the pr"&amp;"inciple and then killed himself. The other teacher in the room was not hurt. Police found 11 shell casings, a loaded rifle clip with 30 rounds inside and a plastic bag with 32 more bullets. Police searched his home and did not find any evidence for planni"&amp;"ng, only a gun show event circled on the calendar. Students reported he had talked about bringing guns to school. He was a Spanish teacher but had started teaching about Marxism and ranting during class.")</f>
        <v>Teacher (shooter) was fired for incompetence earlier that day and returned to the school later, entering the principal's office through the unlocked back door. Shooter was carrying an AK-47, which he transported in a guitar case. He shot and killed the principle and then killed himself. The other teacher in the room was not hurt. Police found 11 shell casings, a loaded rifle clip with 30 rounds inside and a plastic bag with 32 more bullets. Police searched his home and did not find any evidence for planning, only a gun show event circled on the calendar. Students reported he had talked about bringing guns to school. He was a Spanish teacher but had started teaching about Marxism and ranting during class.</v>
      </c>
      <c r="AA2032" s="8" t="str">
        <f ca="1">IFERROR(__xludf.DUMMYFUNCTION("""COMPUTED_VALUE"""),"Anger Over Grade/Suspension/Discipline")</f>
        <v>Anger Over Grade/Suspension/Discipline</v>
      </c>
      <c r="AB2032" s="8"/>
      <c r="AC2032" s="8" t="str">
        <f ca="1">IFERROR(__xludf.DUMMYFUNCTION("""COMPUTED_VALUE"""),"Yes")</f>
        <v>Yes</v>
      </c>
      <c r="AD2032" s="8" t="str">
        <f ca="1">IFERROR(__xludf.DUMMYFUNCTION("""COMPUTED_VALUE"""),"Victims Targeted")</f>
        <v>Victims Targeted</v>
      </c>
      <c r="AE2032" s="8" t="str">
        <f ca="1">IFERROR(__xludf.DUMMYFUNCTION("""COMPUTED_VALUE"""),"No")</f>
        <v>No</v>
      </c>
      <c r="AF2032" s="8"/>
      <c r="AG2032" s="8" t="str">
        <f ca="1">IFERROR(__xludf.DUMMYFUNCTION("""COMPUTED_VALUE"""),"No")</f>
        <v>No</v>
      </c>
      <c r="AH2032" s="8" t="str">
        <f ca="1">IFERROR(__xludf.DUMMYFUNCTION("""COMPUTED_VALUE"""),"No")</f>
        <v>No</v>
      </c>
      <c r="AI2032" s="8" t="str">
        <f ca="1">IFERROR(__xludf.DUMMYFUNCTION("""COMPUTED_VALUE"""),"No")</f>
        <v>No</v>
      </c>
      <c r="AJ2032" s="8" t="str">
        <f ca="1">IFERROR(__xludf.DUMMYFUNCTION("""COMPUTED_VALUE"""),"No")</f>
        <v>No</v>
      </c>
      <c r="AK2032" s="8" t="str">
        <f ca="1">IFERROR(__xludf.DUMMYFUNCTION("""COMPUTED_VALUE"""),"No")</f>
        <v>No</v>
      </c>
      <c r="AL2032" s="8" t="str">
        <f ca="1">IFERROR(__xludf.DUMMYFUNCTION("""COMPUTED_VALUE"""),"No")</f>
        <v>No</v>
      </c>
      <c r="AM2032" s="8" t="str">
        <f ca="1">IFERROR(__xludf.DUMMYFUNCTION("""COMPUTED_VALUE"""),"Yes")</f>
        <v>Yes</v>
      </c>
      <c r="AN2032" s="8" t="str">
        <f ca="1">IFERROR(__xludf.DUMMYFUNCTION("""COMPUTED_VALUE"""),"Multiple Rooms")</f>
        <v>Multiple Rooms</v>
      </c>
      <c r="AO2032" s="8" t="str">
        <f ca="1">IFERROR(__xludf.DUMMYFUNCTION("""COMPUTED_VALUE"""),"Yes")</f>
        <v>Yes</v>
      </c>
      <c r="AP2032" s="8" t="str">
        <f ca="1">IFERROR(__xludf.DUMMYFUNCTION("""COMPUTED_VALUE"""),"No")</f>
        <v>No</v>
      </c>
      <c r="AQ2032" s="8" t="str">
        <f ca="1">IFERROR(__xludf.DUMMYFUNCTION("""COMPUTED_VALUE"""),"Unknown")</f>
        <v>Unknown</v>
      </c>
      <c r="AR2032" s="8" t="str">
        <f ca="1">IFERROR(__xludf.DUMMYFUNCTION("""COMPUTED_VALUE"""),"NA")</f>
        <v>NA</v>
      </c>
      <c r="AS2032" s="8" t="str">
        <f ca="1">IFERROR(__xludf.DUMMYFUNCTION("""COMPUTED_VALUE"""),"&lt;5")</f>
        <v>&lt;5</v>
      </c>
      <c r="AT2032" s="8" t="str">
        <f ca="1">IFERROR(__xludf.DUMMYFUNCTION("""COMPUTED_VALUE"""),"No")</f>
        <v>No</v>
      </c>
      <c r="AU2032" s="8">
        <f ca="1">IFERROR(__xludf.DUMMYFUNCTION("""COMPUTED_VALUE"""),30.310691)</f>
        <v>30.310690999999998</v>
      </c>
      <c r="AV2032" s="8">
        <f ca="1">IFERROR(__xludf.DUMMYFUNCTION("""COMPUTED_VALUE"""),-81.621768)</f>
        <v>-81.621768000000003</v>
      </c>
      <c r="AW2032" s="8"/>
      <c r="AX2032" s="8">
        <f ca="1">IFERROR(__xludf.DUMMYFUNCTION("""COMPUTED_VALUE"""),32211)</f>
        <v>32211</v>
      </c>
    </row>
    <row r="2033" spans="1:50" ht="165" x14ac:dyDescent="0.2">
      <c r="A2033" s="8" t="str">
        <f ca="1">IFERROR(__xludf.DUMMYFUNCTION("""COMPUTED_VALUE"""),"20120227OHCHC")</f>
        <v>20120227OHCHC</v>
      </c>
      <c r="B2033" s="8">
        <f ca="1">IFERROR(__xludf.DUMMYFUNCTION("""COMPUTED_VALUE"""),2)</f>
        <v>2</v>
      </c>
      <c r="C2033" s="8">
        <f ca="1">IFERROR(__xludf.DUMMYFUNCTION("""COMPUTED_VALUE"""),27)</f>
        <v>27</v>
      </c>
      <c r="D2033" s="8">
        <f ca="1">IFERROR(__xludf.DUMMYFUNCTION("""COMPUTED_VALUE"""),2012)</f>
        <v>2012</v>
      </c>
      <c r="E2033" s="9">
        <f ca="1">IFERROR(__xludf.DUMMYFUNCTION("""COMPUTED_VALUE"""),40966)</f>
        <v>40966</v>
      </c>
      <c r="F2033" s="8" t="str">
        <f ca="1">IFERROR(__xludf.DUMMYFUNCTION("""COMPUTED_VALUE"""),"Chardon High School")</f>
        <v>Chardon High School</v>
      </c>
      <c r="G2033" s="8">
        <f ca="1">IFERROR(__xludf.DUMMYFUNCTION("""COMPUTED_VALUE"""),3)</f>
        <v>3</v>
      </c>
      <c r="H2033" s="8">
        <f ca="1">IFERROR(__xludf.DUMMYFUNCTION("""COMPUTED_VALUE"""),3)</f>
        <v>3</v>
      </c>
      <c r="I2033" s="8">
        <f ca="1">IFERROR(__xludf.DUMMYFUNCTION("""COMPUTED_VALUE"""),6)</f>
        <v>6</v>
      </c>
      <c r="J2033" s="8">
        <f ca="1">IFERROR(__xludf.DUMMYFUNCTION("""COMPUTED_VALUE"""),0)</f>
        <v>0</v>
      </c>
      <c r="K2033" s="8" t="str">
        <f ca="1">IFERROR(__xludf.DUMMYFUNCTION("""COMPUTED_VALUE"""),"http://www.nydailynews.com/news/national/ohio-teen-faces-life-prison-shooting-rampage-left-high-school-students-dead-article-1.1292702 https://www.fbi.gov/file-repository/active-shooter-incidents-2000-2017.pdf")</f>
        <v>http://www.nydailynews.com/news/national/ohio-teen-faces-life-prison-shooting-rampage-left-high-school-students-dead-article-1.1292702 https://www.fbi.gov/file-repository/active-shooter-incidents-2000-2017.pdf</v>
      </c>
      <c r="L2033" s="8">
        <f ca="1">IFERROR(__xludf.DUMMYFUNCTION("""COMPUTED_VALUE"""),11)</f>
        <v>11</v>
      </c>
      <c r="M2033" s="8" t="str">
        <f ca="1">IFERROR(__xludf.DUMMYFUNCTION("""COMPUTED_VALUE"""),"National")</f>
        <v>National</v>
      </c>
      <c r="N2033" s="8">
        <f ca="1">IFERROR(__xludf.DUMMYFUNCTION("""COMPUTED_VALUE"""),5)</f>
        <v>5</v>
      </c>
      <c r="O2033" s="8" t="str">
        <f ca="1">IFERROR(__xludf.DUMMYFUNCTION("""COMPUTED_VALUE"""),"Winter")</f>
        <v>Winter</v>
      </c>
      <c r="P2033" s="8" t="str">
        <f ca="1">IFERROR(__xludf.DUMMYFUNCTION("""COMPUTED_VALUE"""),"Chardon")</f>
        <v>Chardon</v>
      </c>
      <c r="Q2033" s="8" t="str">
        <f ca="1">IFERROR(__xludf.DUMMYFUNCTION("""COMPUTED_VALUE"""),"OH")</f>
        <v>OH</v>
      </c>
      <c r="R2033" s="8" t="str">
        <f ca="1">IFERROR(__xludf.DUMMYFUNCTION("""COMPUTED_VALUE"""),"High")</f>
        <v>High</v>
      </c>
      <c r="S2033" s="8" t="str">
        <f ca="1">IFERROR(__xludf.DUMMYFUNCTION("""COMPUTED_VALUE"""),"Cafeteria")</f>
        <v>Cafeteria</v>
      </c>
      <c r="T2033" s="8" t="str">
        <f ca="1">IFERROR(__xludf.DUMMYFUNCTION("""COMPUTED_VALUE"""),"Inside School Building")</f>
        <v>Inside School Building</v>
      </c>
      <c r="U2033" s="8" t="str">
        <f ca="1">IFERROR(__xludf.DUMMYFUNCTION("""COMPUTED_VALUE"""),"Yes")</f>
        <v>Yes</v>
      </c>
      <c r="V2033" s="8" t="str">
        <f ca="1">IFERROR(__xludf.DUMMYFUNCTION("""COMPUTED_VALUE"""),"School Start")</f>
        <v>School Start</v>
      </c>
      <c r="W2033" s="11">
        <f ca="1">IFERROR(__xludf.DUMMYFUNCTION("""COMPUTED_VALUE"""),0.3125)</f>
        <v>0.3125</v>
      </c>
      <c r="X2033" s="8"/>
      <c r="Y2033" s="12" t="str">
        <f ca="1">IFERROR(__xludf.DUMMYFUNCTION("""COMPUTED_VALUE"""),"Planned attack, fired at random victims then walked out of school to surrender to police")</f>
        <v>Planned attack, fired at random victims then walked out of school to surrender to police</v>
      </c>
      <c r="Z2033" s="12" t="str">
        <f ca="1">IFERROR(__xludf.DUMMYFUNCTION("""COMPUTED_VALUE"""),"Shooter was troubled student who had been sent to alternative school. Walked into the cafeteria of his former high school and began firing a handgun at random students. After the shooting he walked outside and sat on the side of the road until police arri"&amp;"ved. He reported that he had no reason for picking any of them and he aimed for their heads to reduce pain. Wrote ""killer"" on his white t-shirt during trial, made obscene statements and gestures to the victims' families and smirked the whole time. Shoot"&amp;"er pleads guilty and was sentenced to life without parole. Shooter escaped from prison 2 years later but was recaptured.")</f>
        <v>Shooter was troubled student who had been sent to alternative school. Walked into the cafeteria of his former high school and began firing a handgun at random students. After the shooting he walked outside and sat on the side of the road until police arrived. He reported that he had no reason for picking any of them and he aimed for their heads to reduce pain. Wrote "killer" on his white t-shirt during trial, made obscene statements and gestures to the victims' families and smirked the whole time. Shooter pleads guilty and was sentenced to life without parole. Shooter escaped from prison 2 years later but was recaptured.</v>
      </c>
      <c r="AA2033" s="8" t="str">
        <f ca="1">IFERROR(__xludf.DUMMYFUNCTION("""COMPUTED_VALUE"""),"Indiscriminate Shooting")</f>
        <v>Indiscriminate Shooting</v>
      </c>
      <c r="AB2033" s="8"/>
      <c r="AC2033" s="8" t="str">
        <f ca="1">IFERROR(__xludf.DUMMYFUNCTION("""COMPUTED_VALUE"""),"Yes")</f>
        <v>Yes</v>
      </c>
      <c r="AD2033" s="8" t="str">
        <f ca="1">IFERROR(__xludf.DUMMYFUNCTION("""COMPUTED_VALUE"""),"Random Shooting")</f>
        <v>Random Shooting</v>
      </c>
      <c r="AE2033" s="8" t="str">
        <f ca="1">IFERROR(__xludf.DUMMYFUNCTION("""COMPUTED_VALUE"""),"No")</f>
        <v>No</v>
      </c>
      <c r="AF2033" s="8"/>
      <c r="AG2033" s="8" t="str">
        <f ca="1">IFERROR(__xludf.DUMMYFUNCTION("""COMPUTED_VALUE"""),"No")</f>
        <v>No</v>
      </c>
      <c r="AH2033" s="8" t="str">
        <f ca="1">IFERROR(__xludf.DUMMYFUNCTION("""COMPUTED_VALUE"""),"No")</f>
        <v>No</v>
      </c>
      <c r="AI2033" s="8" t="str">
        <f ca="1">IFERROR(__xludf.DUMMYFUNCTION("""COMPUTED_VALUE"""),"No")</f>
        <v>No</v>
      </c>
      <c r="AJ2033" s="8" t="str">
        <f ca="1">IFERROR(__xludf.DUMMYFUNCTION("""COMPUTED_VALUE"""),"No")</f>
        <v>No</v>
      </c>
      <c r="AK2033" s="8" t="str">
        <f ca="1">IFERROR(__xludf.DUMMYFUNCTION("""COMPUTED_VALUE"""),"No")</f>
        <v>No</v>
      </c>
      <c r="AL2033" s="8" t="str">
        <f ca="1">IFERROR(__xludf.DUMMYFUNCTION("""COMPUTED_VALUE"""),"No")</f>
        <v>No</v>
      </c>
      <c r="AM2033" s="8" t="str">
        <f ca="1">IFERROR(__xludf.DUMMYFUNCTION("""COMPUTED_VALUE"""),"Yes")</f>
        <v>Yes</v>
      </c>
      <c r="AN2033" s="8" t="str">
        <f ca="1">IFERROR(__xludf.DUMMYFUNCTION("""COMPUTED_VALUE"""),"Single Room")</f>
        <v>Single Room</v>
      </c>
      <c r="AO2033" s="8" t="str">
        <f ca="1">IFERROR(__xludf.DUMMYFUNCTION("""COMPUTED_VALUE"""),"Yes")</f>
        <v>Yes</v>
      </c>
      <c r="AP2033" s="8" t="str">
        <f ca="1">IFERROR(__xludf.DUMMYFUNCTION("""COMPUTED_VALUE"""),"No")</f>
        <v>No</v>
      </c>
      <c r="AQ2033" s="8" t="str">
        <f ca="1">IFERROR(__xludf.DUMMYFUNCTION("""COMPUTED_VALUE"""),"None")</f>
        <v>None</v>
      </c>
      <c r="AR2033" s="8" t="str">
        <f ca="1">IFERROR(__xludf.DUMMYFUNCTION("""COMPUTED_VALUE"""),"NA")</f>
        <v>NA</v>
      </c>
      <c r="AS2033" s="8"/>
      <c r="AT2033" s="8" t="str">
        <f ca="1">IFERROR(__xludf.DUMMYFUNCTION("""COMPUTED_VALUE"""),"No")</f>
        <v>No</v>
      </c>
      <c r="AU2033" s="8">
        <f ca="1">IFERROR(__xludf.DUMMYFUNCTION("""COMPUTED_VALUE"""),41.591022)</f>
        <v>41.591022000000002</v>
      </c>
      <c r="AV2033" s="8">
        <f ca="1">IFERROR(__xludf.DUMMYFUNCTION("""COMPUTED_VALUE"""),-81.200369)</f>
        <v>-81.200368999999995</v>
      </c>
      <c r="AW2033" s="8"/>
      <c r="AX2033" s="8">
        <f ca="1">IFERROR(__xludf.DUMMYFUNCTION("""COMPUTED_VALUE"""),44024)</f>
        <v>44024</v>
      </c>
    </row>
    <row r="2034" spans="1:50" ht="105" x14ac:dyDescent="0.2">
      <c r="A2034" s="8" t="str">
        <f ca="1">IFERROR(__xludf.DUMMYFUNCTION("""COMPUTED_VALUE"""),"20120222WAARB")</f>
        <v>20120222WAARB</v>
      </c>
      <c r="B2034" s="8">
        <f ca="1">IFERROR(__xludf.DUMMYFUNCTION("""COMPUTED_VALUE"""),2)</f>
        <v>2</v>
      </c>
      <c r="C2034" s="8">
        <f ca="1">IFERROR(__xludf.DUMMYFUNCTION("""COMPUTED_VALUE"""),22)</f>
        <v>22</v>
      </c>
      <c r="D2034" s="8">
        <f ca="1">IFERROR(__xludf.DUMMYFUNCTION("""COMPUTED_VALUE"""),2012)</f>
        <v>2012</v>
      </c>
      <c r="E2034" s="9">
        <f ca="1">IFERROR(__xludf.DUMMYFUNCTION("""COMPUTED_VALUE"""),40961)</f>
        <v>40961</v>
      </c>
      <c r="F2034" s="8" t="str">
        <f ca="1">IFERROR(__xludf.DUMMYFUNCTION("""COMPUTED_VALUE"""),"Armin Jahr Elementary School")</f>
        <v>Armin Jahr Elementary School</v>
      </c>
      <c r="G2034" s="8">
        <f ca="1">IFERROR(__xludf.DUMMYFUNCTION("""COMPUTED_VALUE"""),0)</f>
        <v>0</v>
      </c>
      <c r="H2034" s="8">
        <f ca="1">IFERROR(__xludf.DUMMYFUNCTION("""COMPUTED_VALUE"""),1)</f>
        <v>1</v>
      </c>
      <c r="I2034" s="8">
        <f ca="1">IFERROR(__xludf.DUMMYFUNCTION("""COMPUTED_VALUE"""),1)</f>
        <v>1</v>
      </c>
      <c r="J2034" s="8">
        <f ca="1">IFERROR(__xludf.DUMMYFUNCTION("""COMPUTED_VALUE"""),0)</f>
        <v>0</v>
      </c>
      <c r="K2034" s="8" t="str">
        <f ca="1">IFERROR(__xludf.DUMMYFUNCTION("""COMPUTED_VALUE"""),"https://www.kitsapsun.com/story/news/2021/06/16/nine-years-after-being-shot-bremerton-classroom-amina-headed-college/7707334002/ ttp://archive.kitsapsun.com/news/code-911/student-shot-at-armin-jahr-elementary-school-in-bremerton-ep-417752434-356869261.htm"&amp;"l")</f>
        <v>https://www.kitsapsun.com/story/news/2021/06/16/nine-years-after-being-shot-bremerton-classroom-amina-headed-college/7707334002/ ttp://archive.kitsapsun.com/news/code-911/student-shot-at-armin-jahr-elementary-school-in-bremerton-ep-417752434-356869261.html</v>
      </c>
      <c r="L2034" s="8">
        <f ca="1">IFERROR(__xludf.DUMMYFUNCTION("""COMPUTED_VALUE"""),11)</f>
        <v>11</v>
      </c>
      <c r="M2034" s="8" t="str">
        <f ca="1">IFERROR(__xludf.DUMMYFUNCTION("""COMPUTED_VALUE"""),"National")</f>
        <v>National</v>
      </c>
      <c r="N2034" s="8">
        <f ca="1">IFERROR(__xludf.DUMMYFUNCTION("""COMPUTED_VALUE"""),5)</f>
        <v>5</v>
      </c>
      <c r="O2034" s="8" t="str">
        <f ca="1">IFERROR(__xludf.DUMMYFUNCTION("""COMPUTED_VALUE"""),"Winter")</f>
        <v>Winter</v>
      </c>
      <c r="P2034" s="8" t="str">
        <f ca="1">IFERROR(__xludf.DUMMYFUNCTION("""COMPUTED_VALUE"""),"Bremerton")</f>
        <v>Bremerton</v>
      </c>
      <c r="Q2034" s="8" t="str">
        <f ca="1">IFERROR(__xludf.DUMMYFUNCTION("""COMPUTED_VALUE"""),"WA")</f>
        <v>WA</v>
      </c>
      <c r="R2034" s="8" t="str">
        <f ca="1">IFERROR(__xludf.DUMMYFUNCTION("""COMPUTED_VALUE"""),"Elementary")</f>
        <v>Elementary</v>
      </c>
      <c r="S2034" s="8" t="str">
        <f ca="1">IFERROR(__xludf.DUMMYFUNCTION("""COMPUTED_VALUE"""),"Hallway")</f>
        <v>Hallway</v>
      </c>
      <c r="T2034" s="8" t="str">
        <f ca="1">IFERROR(__xludf.DUMMYFUNCTION("""COMPUTED_VALUE"""),"Inside School Building")</f>
        <v>Inside School Building</v>
      </c>
      <c r="U2034" s="8" t="str">
        <f ca="1">IFERROR(__xludf.DUMMYFUNCTION("""COMPUTED_VALUE"""),"Yes")</f>
        <v>Yes</v>
      </c>
      <c r="V2034" s="8" t="str">
        <f ca="1">IFERROR(__xludf.DUMMYFUNCTION("""COMPUTED_VALUE"""),"Dismissal")</f>
        <v>Dismissal</v>
      </c>
      <c r="W2034" s="11">
        <f ca="1">IFERROR(__xludf.DUMMYFUNCTION("""COMPUTED_VALUE"""),0.5625)</f>
        <v>0.5625</v>
      </c>
      <c r="X2034" s="8">
        <f ca="1">IFERROR(__xludf.DUMMYFUNCTION("""COMPUTED_VALUE"""),1)</f>
        <v>1</v>
      </c>
      <c r="Y2034" s="12" t="str">
        <f ca="1">IFERROR(__xludf.DUMMYFUNCTION("""COMPUTED_VALUE"""),"Accidental discharge in backpack")</f>
        <v>Accidental discharge in backpack</v>
      </c>
      <c r="Z2034" s="12" t="str">
        <f ca="1">IFERROR(__xludf.DUMMYFUNCTION("""COMPUTED_VALUE"""),"Shooter (student) stole the gun from a dresser drawer in his mother's home and brought it to school because he feared other students. The gun accidentally discharged from the backpack and injured a female student. The bullet broke her arm and struck her s"&amp;"pine. Both boys were charged, as well as the shooter's mother and her boyfriend for keeping accessible guns in the house.")</f>
        <v>Shooter (student) stole the gun from a dresser drawer in his mother's home and brought it to school because he feared other students. The gun accidentally discharged from the backpack and injured a female student. The bullet broke her arm and struck her spine. Both boys were charged, as well as the shooter's mother and her boyfriend for keeping accessible guns in the house.</v>
      </c>
      <c r="AA2034" s="8" t="str">
        <f ca="1">IFERROR(__xludf.DUMMYFUNCTION("""COMPUTED_VALUE"""),"Accidental")</f>
        <v>Accidental</v>
      </c>
      <c r="AB2034" s="8"/>
      <c r="AC2034" s="8" t="str">
        <f ca="1">IFERROR(__xludf.DUMMYFUNCTION("""COMPUTED_VALUE"""),"Yes")</f>
        <v>Yes</v>
      </c>
      <c r="AD2034" s="8" t="str">
        <f ca="1">IFERROR(__xludf.DUMMYFUNCTION("""COMPUTED_VALUE"""),"Random Shooting")</f>
        <v>Random Shooting</v>
      </c>
      <c r="AE2034" s="8" t="str">
        <f ca="1">IFERROR(__xludf.DUMMYFUNCTION("""COMPUTED_VALUE"""),"Yes")</f>
        <v>Yes</v>
      </c>
      <c r="AF2034" s="8" t="str">
        <f ca="1">IFERROR(__xludf.DUMMYFUNCTION("""COMPUTED_VALUE"""),"Shooter brought the gun to give to another student")</f>
        <v>Shooter brought the gun to give to another student</v>
      </c>
      <c r="AG2034" s="8" t="str">
        <f ca="1">IFERROR(__xludf.DUMMYFUNCTION("""COMPUTED_VALUE"""),"No")</f>
        <v>No</v>
      </c>
      <c r="AH2034" s="8" t="str">
        <f ca="1">IFERROR(__xludf.DUMMYFUNCTION("""COMPUTED_VALUE"""),"No")</f>
        <v>No</v>
      </c>
      <c r="AI2034" s="8" t="str">
        <f ca="1">IFERROR(__xludf.DUMMYFUNCTION("""COMPUTED_VALUE"""),"No")</f>
        <v>No</v>
      </c>
      <c r="AJ2034" s="8" t="str">
        <f ca="1">IFERROR(__xludf.DUMMYFUNCTION("""COMPUTED_VALUE"""),"Yes")</f>
        <v>Yes</v>
      </c>
      <c r="AK2034" s="8" t="str">
        <f ca="1">IFERROR(__xludf.DUMMYFUNCTION("""COMPUTED_VALUE"""),"No")</f>
        <v>No</v>
      </c>
      <c r="AL2034" s="8" t="str">
        <f ca="1">IFERROR(__xludf.DUMMYFUNCTION("""COMPUTED_VALUE"""),"No")</f>
        <v>No</v>
      </c>
      <c r="AM2034" s="8" t="str">
        <f ca="1">IFERROR(__xludf.DUMMYFUNCTION("""COMPUTED_VALUE"""),"No")</f>
        <v>No</v>
      </c>
      <c r="AN2034" s="8"/>
      <c r="AO2034" s="8" t="str">
        <f ca="1">IFERROR(__xludf.DUMMYFUNCTION("""COMPUTED_VALUE"""),"No")</f>
        <v>No</v>
      </c>
      <c r="AP2034" s="8" t="str">
        <f ca="1">IFERROR(__xludf.DUMMYFUNCTION("""COMPUTED_VALUE"""),"No")</f>
        <v>No</v>
      </c>
      <c r="AQ2034" s="8" t="str">
        <f ca="1">IFERROR(__xludf.DUMMYFUNCTION("""COMPUTED_VALUE"""),"Unknown")</f>
        <v>Unknown</v>
      </c>
      <c r="AR2034" s="8" t="str">
        <f ca="1">IFERROR(__xludf.DUMMYFUNCTION("""COMPUTED_VALUE"""),"NA")</f>
        <v>NA</v>
      </c>
      <c r="AS2034" s="8">
        <f ca="1">IFERROR(__xludf.DUMMYFUNCTION("""COMPUTED_VALUE"""),1)</f>
        <v>1</v>
      </c>
      <c r="AT2034" s="8" t="str">
        <f ca="1">IFERROR(__xludf.DUMMYFUNCTION("""COMPUTED_VALUE"""),"Yes")</f>
        <v>Yes</v>
      </c>
      <c r="AU2034" s="8">
        <f ca="1">IFERROR(__xludf.DUMMYFUNCTION("""COMPUTED_VALUE"""),47.592646)</f>
        <v>47.592646000000002</v>
      </c>
      <c r="AV2034" s="8">
        <f ca="1">IFERROR(__xludf.DUMMYFUNCTION("""COMPUTED_VALUE"""),-122.635595)</f>
        <v>-122.635595</v>
      </c>
      <c r="AW2034" s="8"/>
      <c r="AX2034" s="8">
        <f ca="1">IFERROR(__xludf.DUMMYFUNCTION("""COMPUTED_VALUE"""),98310)</f>
        <v>98310</v>
      </c>
    </row>
    <row r="2035" spans="1:50" ht="75" x14ac:dyDescent="0.2">
      <c r="A2035" s="8" t="str">
        <f ca="1">IFERROR(__xludf.DUMMYFUNCTION("""COMPUTED_VALUE"""),"20120210NHWAW")</f>
        <v>20120210NHWAW</v>
      </c>
      <c r="B2035" s="8">
        <f ca="1">IFERROR(__xludf.DUMMYFUNCTION("""COMPUTED_VALUE"""),2)</f>
        <v>2</v>
      </c>
      <c r="C2035" s="8">
        <f ca="1">IFERROR(__xludf.DUMMYFUNCTION("""COMPUTED_VALUE"""),10)</f>
        <v>10</v>
      </c>
      <c r="D2035" s="8">
        <f ca="1">IFERROR(__xludf.DUMMYFUNCTION("""COMPUTED_VALUE"""),2012)</f>
        <v>2012</v>
      </c>
      <c r="E2035" s="9">
        <f ca="1">IFERROR(__xludf.DUMMYFUNCTION("""COMPUTED_VALUE"""),40949)</f>
        <v>40949</v>
      </c>
      <c r="F2035" s="8" t="str">
        <f ca="1">IFERROR(__xludf.DUMMYFUNCTION("""COMPUTED_VALUE"""),"Walpole Elementary School")</f>
        <v>Walpole Elementary School</v>
      </c>
      <c r="G2035" s="8">
        <f ca="1">IFERROR(__xludf.DUMMYFUNCTION("""COMPUTED_VALUE"""),0)</f>
        <v>0</v>
      </c>
      <c r="H2035" s="8">
        <f ca="1">IFERROR(__xludf.DUMMYFUNCTION("""COMPUTED_VALUE"""),0)</f>
        <v>0</v>
      </c>
      <c r="I2035" s="8">
        <f ca="1">IFERROR(__xludf.DUMMYFUNCTION("""COMPUTED_VALUE"""),0)</f>
        <v>0</v>
      </c>
      <c r="J2035" s="8">
        <f ca="1">IFERROR(__xludf.DUMMYFUNCTION("""COMPUTED_VALUE"""),0)</f>
        <v>0</v>
      </c>
      <c r="K2035" s="10" t="str">
        <f ca="1">IFERROR(__xludf.DUMMYFUNCTION("""COMPUTED_VALUE"""),"https://www.cbsnews.com/news/14-year-old-shoots-self-in-nh-school-cafeteria/")</f>
        <v>https://www.cbsnews.com/news/14-year-old-shoots-self-in-nh-school-cafeteria/</v>
      </c>
      <c r="L2035" s="8">
        <f ca="1">IFERROR(__xludf.DUMMYFUNCTION("""COMPUTED_VALUE"""),11)</f>
        <v>11</v>
      </c>
      <c r="M2035" s="8" t="str">
        <f ca="1">IFERROR(__xludf.DUMMYFUNCTION("""COMPUTED_VALUE"""),"National")</f>
        <v>National</v>
      </c>
      <c r="N2035" s="8">
        <f ca="1">IFERROR(__xludf.DUMMYFUNCTION("""COMPUTED_VALUE"""),2)</f>
        <v>2</v>
      </c>
      <c r="O2035" s="8" t="str">
        <f ca="1">IFERROR(__xludf.DUMMYFUNCTION("""COMPUTED_VALUE"""),"Winter")</f>
        <v>Winter</v>
      </c>
      <c r="P2035" s="8" t="str">
        <f ca="1">IFERROR(__xludf.DUMMYFUNCTION("""COMPUTED_VALUE"""),"Walpole")</f>
        <v>Walpole</v>
      </c>
      <c r="Q2035" s="8" t="str">
        <f ca="1">IFERROR(__xludf.DUMMYFUNCTION("""COMPUTED_VALUE"""),"NH")</f>
        <v>NH</v>
      </c>
      <c r="R2035" s="8" t="str">
        <f ca="1">IFERROR(__xludf.DUMMYFUNCTION("""COMPUTED_VALUE"""),"Elementary")</f>
        <v>Elementary</v>
      </c>
      <c r="S2035" s="8" t="str">
        <f ca="1">IFERROR(__xludf.DUMMYFUNCTION("""COMPUTED_VALUE"""),"Cafeteria")</f>
        <v>Cafeteria</v>
      </c>
      <c r="T2035" s="8" t="str">
        <f ca="1">IFERROR(__xludf.DUMMYFUNCTION("""COMPUTED_VALUE"""),"Inside School Building")</f>
        <v>Inside School Building</v>
      </c>
      <c r="U2035" s="8" t="str">
        <f ca="1">IFERROR(__xludf.DUMMYFUNCTION("""COMPUTED_VALUE"""),"Yes")</f>
        <v>Yes</v>
      </c>
      <c r="V2035" s="8" t="str">
        <f ca="1">IFERROR(__xludf.DUMMYFUNCTION("""COMPUTED_VALUE"""),"Lunch")</f>
        <v>Lunch</v>
      </c>
      <c r="W2035" s="11">
        <f ca="1">IFERROR(__xludf.DUMMYFUNCTION("""COMPUTED_VALUE"""),0.458333333333333)</f>
        <v>0.45833333333333298</v>
      </c>
      <c r="X2035" s="8">
        <f ca="1">IFERROR(__xludf.DUMMYFUNCTION("""COMPUTED_VALUE"""),1)</f>
        <v>1</v>
      </c>
      <c r="Y2035" s="12" t="str">
        <f ca="1">IFERROR(__xludf.DUMMYFUNCTION("""COMPUTED_VALUE"""),"Attempted suicide in cafeteria")</f>
        <v>Attempted suicide in cafeteria</v>
      </c>
      <c r="Z2035" s="12" t="str">
        <f ca="1">IFERROR(__xludf.DUMMYFUNCTION("""COMPUTED_VALUE"""),"14YOM student shot himself with (allegedly) a shotgun at the cafeteria and was taken to the hospital. Another student reported shooter has been passing notes claiming that he was depressed, some students mentioned he had girlfriend issues.")</f>
        <v>14YOM student shot himself with (allegedly) a shotgun at the cafeteria and was taken to the hospital. Another student reported shooter has been passing notes claiming that he was depressed, some students mentioned he had girlfriend issues.</v>
      </c>
      <c r="AA2035" s="8" t="str">
        <f ca="1">IFERROR(__xludf.DUMMYFUNCTION("""COMPUTED_VALUE"""),"Suicide/Attempted")</f>
        <v>Suicide/Attempted</v>
      </c>
      <c r="AB2035" s="8"/>
      <c r="AC2035" s="8" t="str">
        <f ca="1">IFERROR(__xludf.DUMMYFUNCTION("""COMPUTED_VALUE"""),"Yes")</f>
        <v>Yes</v>
      </c>
      <c r="AD2035" s="8" t="str">
        <f ca="1">IFERROR(__xludf.DUMMYFUNCTION("""COMPUTED_VALUE"""),"Victims Targeted")</f>
        <v>Victims Targeted</v>
      </c>
      <c r="AE2035" s="8" t="str">
        <f ca="1">IFERROR(__xludf.DUMMYFUNCTION("""COMPUTED_VALUE"""),"No")</f>
        <v>No</v>
      </c>
      <c r="AF2035" s="8"/>
      <c r="AG2035" s="8" t="str">
        <f ca="1">IFERROR(__xludf.DUMMYFUNCTION("""COMPUTED_VALUE"""),"No")</f>
        <v>No</v>
      </c>
      <c r="AH2035" s="8" t="str">
        <f ca="1">IFERROR(__xludf.DUMMYFUNCTION("""COMPUTED_VALUE"""),"No")</f>
        <v>No</v>
      </c>
      <c r="AI2035" s="8" t="str">
        <f ca="1">IFERROR(__xludf.DUMMYFUNCTION("""COMPUTED_VALUE"""),"No")</f>
        <v>No</v>
      </c>
      <c r="AJ2035" s="8"/>
      <c r="AK2035" s="8" t="str">
        <f ca="1">IFERROR(__xludf.DUMMYFUNCTION("""COMPUTED_VALUE"""),"No")</f>
        <v>No</v>
      </c>
      <c r="AL2035" s="8" t="str">
        <f ca="1">IFERROR(__xludf.DUMMYFUNCTION("""COMPUTED_VALUE"""),"No")</f>
        <v>No</v>
      </c>
      <c r="AM2035" s="8"/>
      <c r="AN2035" s="8"/>
      <c r="AO2035" s="8" t="str">
        <f ca="1">IFERROR(__xludf.DUMMYFUNCTION("""COMPUTED_VALUE"""),"No")</f>
        <v>No</v>
      </c>
      <c r="AP2035" s="8" t="str">
        <f ca="1">IFERROR(__xludf.DUMMYFUNCTION("""COMPUTED_VALUE"""),"No")</f>
        <v>No</v>
      </c>
      <c r="AQ2035" s="8" t="str">
        <f ca="1">IFERROR(__xludf.DUMMYFUNCTION("""COMPUTED_VALUE"""),"Unknown")</f>
        <v>Unknown</v>
      </c>
      <c r="AR2035" s="8" t="str">
        <f ca="1">IFERROR(__xludf.DUMMYFUNCTION("""COMPUTED_VALUE"""),"NA")</f>
        <v>NA</v>
      </c>
      <c r="AS2035" s="8">
        <f ca="1">IFERROR(__xludf.DUMMYFUNCTION("""COMPUTED_VALUE"""),1)</f>
        <v>1</v>
      </c>
      <c r="AT2035" s="8" t="str">
        <f ca="1">IFERROR(__xludf.DUMMYFUNCTION("""COMPUTED_VALUE"""),"Yes")</f>
        <v>Yes</v>
      </c>
      <c r="AU2035" s="8">
        <f ca="1">IFERROR(__xludf.DUMMYFUNCTION("""COMPUTED_VALUE"""),43.085987)</f>
        <v>43.085987000000003</v>
      </c>
      <c r="AV2035" s="8">
        <f ca="1">IFERROR(__xludf.DUMMYFUNCTION("""COMPUTED_VALUE"""),-72.427872)</f>
        <v>-72.427871999999994</v>
      </c>
      <c r="AW2035" s="8"/>
      <c r="AX2035" s="8">
        <f ca="1">IFERROR(__xludf.DUMMYFUNCTION("""COMPUTED_VALUE"""),3608)</f>
        <v>3608</v>
      </c>
    </row>
    <row r="2036" spans="1:50" ht="195" x14ac:dyDescent="0.2">
      <c r="A2036" s="8" t="str">
        <f ca="1">IFERROR(__xludf.DUMMYFUNCTION("""COMPUTED_VALUE"""),"20120110TXNOH")</f>
        <v>20120110TXNOH</v>
      </c>
      <c r="B2036" s="8">
        <f ca="1">IFERROR(__xludf.DUMMYFUNCTION("""COMPUTED_VALUE"""),1)</f>
        <v>1</v>
      </c>
      <c r="C2036" s="8">
        <f ca="1">IFERROR(__xludf.DUMMYFUNCTION("""COMPUTED_VALUE"""),10)</f>
        <v>10</v>
      </c>
      <c r="D2036" s="8">
        <f ca="1">IFERROR(__xludf.DUMMYFUNCTION("""COMPUTED_VALUE"""),2012)</f>
        <v>2012</v>
      </c>
      <c r="E2036" s="9">
        <f ca="1">IFERROR(__xludf.DUMMYFUNCTION("""COMPUTED_VALUE"""),40918)</f>
        <v>40918</v>
      </c>
      <c r="F2036" s="8" t="str">
        <f ca="1">IFERROR(__xludf.DUMMYFUNCTION("""COMPUTED_VALUE"""),"North Forest High School")</f>
        <v>North Forest High School</v>
      </c>
      <c r="G2036" s="8">
        <f ca="1">IFERROR(__xludf.DUMMYFUNCTION("""COMPUTED_VALUE"""),0)</f>
        <v>0</v>
      </c>
      <c r="H2036" s="8">
        <f ca="1">IFERROR(__xludf.DUMMYFUNCTION("""COMPUTED_VALUE"""),1)</f>
        <v>1</v>
      </c>
      <c r="I2036" s="8">
        <f ca="1">IFERROR(__xludf.DUMMYFUNCTION("""COMPUTED_VALUE"""),1)</f>
        <v>1</v>
      </c>
      <c r="J2036" s="8">
        <f ca="1">IFERROR(__xludf.DUMMYFUNCTION("""COMPUTED_VALUE"""),0)</f>
        <v>0</v>
      </c>
      <c r="K2036" s="10" t="str">
        <f ca="1">IFERROR(__xludf.DUMMYFUNCTION("""COMPUTED_VALUE"""),"https://www.chron.com/news/houston-texas/article/Teen-shot-at-North-Forest-High-School-2457718.php")</f>
        <v>https://www.chron.com/news/houston-texas/article/Teen-shot-at-North-Forest-High-School-2457718.php</v>
      </c>
      <c r="L2036" s="8">
        <f ca="1">IFERROR(__xludf.DUMMYFUNCTION("""COMPUTED_VALUE"""),5)</f>
        <v>5</v>
      </c>
      <c r="M2036" s="8" t="str">
        <f ca="1">IFERROR(__xludf.DUMMYFUNCTION("""COMPUTED_VALUE"""),"Local")</f>
        <v>Local</v>
      </c>
      <c r="N2036" s="8">
        <f ca="1">IFERROR(__xludf.DUMMYFUNCTION("""COMPUTED_VALUE"""),2)</f>
        <v>2</v>
      </c>
      <c r="O2036" s="8" t="str">
        <f ca="1">IFERROR(__xludf.DUMMYFUNCTION("""COMPUTED_VALUE"""),"Winter")</f>
        <v>Winter</v>
      </c>
      <c r="P2036" s="8" t="str">
        <f ca="1">IFERROR(__xludf.DUMMYFUNCTION("""COMPUTED_VALUE"""),"Houston")</f>
        <v>Houston</v>
      </c>
      <c r="Q2036" s="8" t="str">
        <f ca="1">IFERROR(__xludf.DUMMYFUNCTION("""COMPUTED_VALUE"""),"TX")</f>
        <v>TX</v>
      </c>
      <c r="R2036" s="8" t="str">
        <f ca="1">IFERROR(__xludf.DUMMYFUNCTION("""COMPUTED_VALUE"""),"High")</f>
        <v>High</v>
      </c>
      <c r="S2036" s="8" t="str">
        <f ca="1">IFERROR(__xludf.DUMMYFUNCTION("""COMPUTED_VALUE"""),"Hallway")</f>
        <v>Hallway</v>
      </c>
      <c r="T2036" s="8" t="str">
        <f ca="1">IFERROR(__xludf.DUMMYFUNCTION("""COMPUTED_VALUE"""),"Inside School Building")</f>
        <v>Inside School Building</v>
      </c>
      <c r="U2036" s="8" t="str">
        <f ca="1">IFERROR(__xludf.DUMMYFUNCTION("""COMPUTED_VALUE"""),"Yes")</f>
        <v>Yes</v>
      </c>
      <c r="V2036" s="8" t="str">
        <f ca="1">IFERROR(__xludf.DUMMYFUNCTION("""COMPUTED_VALUE"""),"Afternoon Classes")</f>
        <v>Afternoon Classes</v>
      </c>
      <c r="W2036" s="11">
        <f ca="1">IFERROR(__xludf.DUMMYFUNCTION("""COMPUTED_VALUE"""),0.520833333333333)</f>
        <v>0.52083333333333304</v>
      </c>
      <c r="X2036" s="8">
        <f ca="1">IFERROR(__xludf.DUMMYFUNCTION("""COMPUTED_VALUE"""),1)</f>
        <v>1</v>
      </c>
      <c r="Y2036" s="12" t="str">
        <f ca="1">IFERROR(__xludf.DUMMYFUNCTION("""COMPUTED_VALUE"""),"Shot bully during dispute")</f>
        <v>Shot bully during dispute</v>
      </c>
      <c r="Z2036" s="12" t="str">
        <f ca="1">IFERROR(__xludf.DUMMYFUNCTION("""COMPUTED_VALUE"""),"18 YOM shot a 16 YOM in the leg during a dispute. Police reported that a fight between a group of students began outside the school and continued inside of the school. Shooter was quickly apprehended by a teacher who is also a police officer. The school h"&amp;"as metal detectors and frequent issues with firearms and violence. Backpacks that are not clear are prohibited. Shooter claimed he was being bullied and was in fear for his life. Shooter's family supported the claim and said school officials knew about it"&amp;" and that the shooter had been under attack by 3 other students and one of them punched him. No records were found for filing complaints but a student confirmed shooter was being bullied.")</f>
        <v>18 YOM shot a 16 YOM in the leg during a dispute. Police reported that a fight between a group of students began outside the school and continued inside of the school. Shooter was quickly apprehended by a teacher who is also a police officer. The school has metal detectors and frequent issues with firearms and violence. Backpacks that are not clear are prohibited. Shooter claimed he was being bullied and was in fear for his life. Shooter's family supported the claim and said school officials knew about it and that the shooter had been under attack by 3 other students and one of them punched him. No records were found for filing complaints but a student confirmed shooter was being bullied.</v>
      </c>
      <c r="AA2036" s="8" t="str">
        <f ca="1">IFERROR(__xludf.DUMMYFUNCTION("""COMPUTED_VALUE"""),"Bullying")</f>
        <v>Bullying</v>
      </c>
      <c r="AB2036" s="8"/>
      <c r="AC2036" s="8" t="str">
        <f ca="1">IFERROR(__xludf.DUMMYFUNCTION("""COMPUTED_VALUE"""),"Yes")</f>
        <v>Yes</v>
      </c>
      <c r="AD2036" s="8" t="str">
        <f ca="1">IFERROR(__xludf.DUMMYFUNCTION("""COMPUTED_VALUE"""),"Both")</f>
        <v>Both</v>
      </c>
      <c r="AE2036" s="8" t="str">
        <f ca="1">IFERROR(__xludf.DUMMYFUNCTION("""COMPUTED_VALUE"""),"No")</f>
        <v>No</v>
      </c>
      <c r="AF2036" s="8"/>
      <c r="AG2036" s="8" t="str">
        <f ca="1">IFERROR(__xludf.DUMMYFUNCTION("""COMPUTED_VALUE"""),"No")</f>
        <v>No</v>
      </c>
      <c r="AH2036" s="8" t="str">
        <f ca="1">IFERROR(__xludf.DUMMYFUNCTION("""COMPUTED_VALUE"""),"No")</f>
        <v>No</v>
      </c>
      <c r="AI2036" s="8" t="str">
        <f ca="1">IFERROR(__xludf.DUMMYFUNCTION("""COMPUTED_VALUE"""),"No")</f>
        <v>No</v>
      </c>
      <c r="AJ2036" s="8"/>
      <c r="AK2036" s="8" t="str">
        <f ca="1">IFERROR(__xludf.DUMMYFUNCTION("""COMPUTED_VALUE"""),"No")</f>
        <v>No</v>
      </c>
      <c r="AL2036" s="8" t="str">
        <f ca="1">IFERROR(__xludf.DUMMYFUNCTION("""COMPUTED_VALUE"""),"No")</f>
        <v>No</v>
      </c>
      <c r="AM2036" s="8"/>
      <c r="AN2036" s="8"/>
      <c r="AO2036" s="8" t="str">
        <f ca="1">IFERROR(__xludf.DUMMYFUNCTION("""COMPUTED_VALUE"""),"No")</f>
        <v>No</v>
      </c>
      <c r="AP2036" s="8" t="str">
        <f ca="1">IFERROR(__xludf.DUMMYFUNCTION("""COMPUTED_VALUE"""),"No")</f>
        <v>No</v>
      </c>
      <c r="AQ2036" s="8" t="str">
        <f ca="1">IFERROR(__xludf.DUMMYFUNCTION("""COMPUTED_VALUE"""),"Metal Detectors Failed")</f>
        <v>Metal Detectors Failed</v>
      </c>
      <c r="AR2036" s="8" t="str">
        <f ca="1">IFERROR(__xludf.DUMMYFUNCTION("""COMPUTED_VALUE"""),"Failed")</f>
        <v>Failed</v>
      </c>
      <c r="AS2036" s="8">
        <f ca="1">IFERROR(__xludf.DUMMYFUNCTION("""COMPUTED_VALUE"""),1)</f>
        <v>1</v>
      </c>
      <c r="AT2036" s="8" t="str">
        <f ca="1">IFERROR(__xludf.DUMMYFUNCTION("""COMPUTED_VALUE"""),"No")</f>
        <v>No</v>
      </c>
      <c r="AU2036" s="8">
        <f ca="1">IFERROR(__xludf.DUMMYFUNCTION("""COMPUTED_VALUE"""),29.866624)</f>
        <v>29.866624000000002</v>
      </c>
      <c r="AV2036" s="8">
        <f ca="1">IFERROR(__xludf.DUMMYFUNCTION("""COMPUTED_VALUE"""),-95.259786)</f>
        <v>-95.259786000000005</v>
      </c>
      <c r="AW2036" s="8"/>
      <c r="AX2036" s="8">
        <f ca="1">IFERROR(__xludf.DUMMYFUNCTION("""COMPUTED_VALUE"""),77078)</f>
        <v>77078</v>
      </c>
    </row>
    <row r="2037" spans="1:50" ht="60" x14ac:dyDescent="0.2">
      <c r="A2037" s="8" t="str">
        <f ca="1">IFERROR(__xludf.DUMMYFUNCTION("""COMPUTED_VALUE"""),"20120104TXCUB")</f>
        <v>20120104TXCUB</v>
      </c>
      <c r="B2037" s="8">
        <f ca="1">IFERROR(__xludf.DUMMYFUNCTION("""COMPUTED_VALUE"""),1)</f>
        <v>1</v>
      </c>
      <c r="C2037" s="8">
        <f ca="1">IFERROR(__xludf.DUMMYFUNCTION("""COMPUTED_VALUE"""),4)</f>
        <v>4</v>
      </c>
      <c r="D2037" s="8">
        <f ca="1">IFERROR(__xludf.DUMMYFUNCTION("""COMPUTED_VALUE"""),2012)</f>
        <v>2012</v>
      </c>
      <c r="E2037" s="9">
        <f ca="1">IFERROR(__xludf.DUMMYFUNCTION("""COMPUTED_VALUE"""),40912)</f>
        <v>40912</v>
      </c>
      <c r="F2037" s="8" t="str">
        <f ca="1">IFERROR(__xludf.DUMMYFUNCTION("""COMPUTED_VALUE"""),"Cummings Middle School")</f>
        <v>Cummings Middle School</v>
      </c>
      <c r="G2037" s="8">
        <f ca="1">IFERROR(__xludf.DUMMYFUNCTION("""COMPUTED_VALUE"""),0)</f>
        <v>0</v>
      </c>
      <c r="H2037" s="8">
        <f ca="1">IFERROR(__xludf.DUMMYFUNCTION("""COMPUTED_VALUE"""),0)</f>
        <v>0</v>
      </c>
      <c r="I2037" s="8">
        <f ca="1">IFERROR(__xludf.DUMMYFUNCTION("""COMPUTED_VALUE"""),0)</f>
        <v>0</v>
      </c>
      <c r="J2037" s="8">
        <f ca="1">IFERROR(__xludf.DUMMYFUNCTION("""COMPUTED_VALUE"""),1)</f>
        <v>1</v>
      </c>
      <c r="K2037" s="10" t="str">
        <f ca="1">IFERROR(__xludf.DUMMYFUNCTION("""COMPUTED_VALUE"""),"https://www.mysanantonio.com/news/local_news/article/Deadly-day-in-Brownsville-2440652.php")</f>
        <v>https://www.mysanantonio.com/news/local_news/article/Deadly-day-in-Brownsville-2440652.php</v>
      </c>
      <c r="L2037" s="8"/>
      <c r="M2037" s="8" t="str">
        <f ca="1">IFERROR(__xludf.DUMMYFUNCTION("""COMPUTED_VALUE"""),"Regional")</f>
        <v>Regional</v>
      </c>
      <c r="N2037" s="8">
        <f ca="1">IFERROR(__xludf.DUMMYFUNCTION("""COMPUTED_VALUE"""),2)</f>
        <v>2</v>
      </c>
      <c r="O2037" s="8" t="str">
        <f ca="1">IFERROR(__xludf.DUMMYFUNCTION("""COMPUTED_VALUE"""),"Winter")</f>
        <v>Winter</v>
      </c>
      <c r="P2037" s="8" t="str">
        <f ca="1">IFERROR(__xludf.DUMMYFUNCTION("""COMPUTED_VALUE"""),"Brownsville")</f>
        <v>Brownsville</v>
      </c>
      <c r="Q2037" s="8" t="str">
        <f ca="1">IFERROR(__xludf.DUMMYFUNCTION("""COMPUTED_VALUE"""),"TX")</f>
        <v>TX</v>
      </c>
      <c r="R2037" s="8" t="str">
        <f ca="1">IFERROR(__xludf.DUMMYFUNCTION("""COMPUTED_VALUE"""),"Middle")</f>
        <v>Middle</v>
      </c>
      <c r="S2037" s="8" t="str">
        <f ca="1">IFERROR(__xludf.DUMMYFUNCTION("""COMPUTED_VALUE"""),"Hallway")</f>
        <v>Hallway</v>
      </c>
      <c r="T2037" s="8" t="str">
        <f ca="1">IFERROR(__xludf.DUMMYFUNCTION("""COMPUTED_VALUE"""),"Inside School Building")</f>
        <v>Inside School Building</v>
      </c>
      <c r="U2037" s="8" t="str">
        <f ca="1">IFERROR(__xludf.DUMMYFUNCTION("""COMPUTED_VALUE"""),"Yes")</f>
        <v>Yes</v>
      </c>
      <c r="V2037" s="8" t="str">
        <f ca="1">IFERROR(__xludf.DUMMYFUNCTION("""COMPUTED_VALUE"""),"School Start")</f>
        <v>School Start</v>
      </c>
      <c r="W2037" s="11">
        <f ca="1">IFERROR(__xludf.DUMMYFUNCTION("""COMPUTED_VALUE"""),0.333333333333333)</f>
        <v>0.33333333333333298</v>
      </c>
      <c r="X2037" s="8">
        <f ca="1">IFERROR(__xludf.DUMMYFUNCTION("""COMPUTED_VALUE"""),1)</f>
        <v>1</v>
      </c>
      <c r="Y2037" s="12" t="str">
        <f ca="1">IFERROR(__xludf.DUMMYFUNCTION("""COMPUTED_VALUE"""),"Police officer killed student holding airsoft pistol")</f>
        <v>Police officer killed student holding airsoft pistol</v>
      </c>
      <c r="Z2037" s="12" t="str">
        <f ca="1">IFERROR(__xludf.DUMMYFUNCTION("""COMPUTED_VALUE"""),"Student was holding an airsoft pistol that looked like a real firearm. Student refused the orders from the police officer to drop the weapon. The student pointed the weapon at the officer and the officer fired twice killing him.")</f>
        <v>Student was holding an airsoft pistol that looked like a real firearm. Student refused the orders from the police officer to drop the weapon. The student pointed the weapon at the officer and the officer fired twice killing him.</v>
      </c>
      <c r="AA2037" s="8" t="str">
        <f ca="1">IFERROR(__xludf.DUMMYFUNCTION("""COMPUTED_VALUE"""),"Officer-Involved Shooting")</f>
        <v>Officer-Involved Shooting</v>
      </c>
      <c r="AB2037" s="8"/>
      <c r="AC2037" s="8" t="str">
        <f ca="1">IFERROR(__xludf.DUMMYFUNCTION("""COMPUTED_VALUE"""),"Yes")</f>
        <v>Yes</v>
      </c>
      <c r="AD2037" s="8" t="str">
        <f ca="1">IFERROR(__xludf.DUMMYFUNCTION("""COMPUTED_VALUE"""),"Neither")</f>
        <v>Neither</v>
      </c>
      <c r="AE2037" s="8" t="str">
        <f ca="1">IFERROR(__xludf.DUMMYFUNCTION("""COMPUTED_VALUE"""),"No")</f>
        <v>No</v>
      </c>
      <c r="AF2037" s="8"/>
      <c r="AG2037" s="8" t="str">
        <f ca="1">IFERROR(__xludf.DUMMYFUNCTION("""COMPUTED_VALUE"""),"No")</f>
        <v>No</v>
      </c>
      <c r="AH2037" s="8" t="str">
        <f ca="1">IFERROR(__xludf.DUMMYFUNCTION("""COMPUTED_VALUE"""),"No")</f>
        <v>No</v>
      </c>
      <c r="AI2037" s="8" t="str">
        <f ca="1">IFERROR(__xludf.DUMMYFUNCTION("""COMPUTED_VALUE"""),"Yes")</f>
        <v>Yes</v>
      </c>
      <c r="AJ2037" s="8" t="str">
        <f ca="1">IFERROR(__xludf.DUMMYFUNCTION("""COMPUTED_VALUE"""),"N/A")</f>
        <v>N/A</v>
      </c>
      <c r="AK2037" s="8" t="str">
        <f ca="1">IFERROR(__xludf.DUMMYFUNCTION("""COMPUTED_VALUE"""),"N/A")</f>
        <v>N/A</v>
      </c>
      <c r="AL2037" s="8" t="str">
        <f ca="1">IFERROR(__xludf.DUMMYFUNCTION("""COMPUTED_VALUE"""),"N/A")</f>
        <v>N/A</v>
      </c>
      <c r="AM2037" s="8" t="str">
        <f ca="1">IFERROR(__xludf.DUMMYFUNCTION("""COMPUTED_VALUE"""),"N/A")</f>
        <v>N/A</v>
      </c>
      <c r="AN2037" s="8"/>
      <c r="AO2037" s="8" t="str">
        <f ca="1">IFERROR(__xludf.DUMMYFUNCTION("""COMPUTED_VALUE"""),"N/A")</f>
        <v>N/A</v>
      </c>
      <c r="AP2037" s="8" t="str">
        <f ca="1">IFERROR(__xludf.DUMMYFUNCTION("""COMPUTED_VALUE"""),"No")</f>
        <v>No</v>
      </c>
      <c r="AQ2037" s="8" t="str">
        <f ca="1">IFERROR(__xludf.DUMMYFUNCTION("""COMPUTED_VALUE"""),"Unknown")</f>
        <v>Unknown</v>
      </c>
      <c r="AR2037" s="8" t="str">
        <f ca="1">IFERROR(__xludf.DUMMYFUNCTION("""COMPUTED_VALUE"""),"NA")</f>
        <v>NA</v>
      </c>
      <c r="AS2037" s="8">
        <f ca="1">IFERROR(__xludf.DUMMYFUNCTION("""COMPUTED_VALUE"""),2)</f>
        <v>2</v>
      </c>
      <c r="AT2037" s="8"/>
      <c r="AU2037" s="8">
        <f ca="1">IFERROR(__xludf.DUMMYFUNCTION("""COMPUTED_VALUE"""),25.913886)</f>
        <v>25.913886000000002</v>
      </c>
      <c r="AV2037" s="8">
        <f ca="1">IFERROR(__xludf.DUMMYFUNCTION("""COMPUTED_VALUE"""),-97.493034)</f>
        <v>-97.493033999999994</v>
      </c>
      <c r="AW2037" s="8"/>
      <c r="AX2037" s="8">
        <f ca="1">IFERROR(__xludf.DUMMYFUNCTION("""COMPUTED_VALUE"""),78520)</f>
        <v>78520</v>
      </c>
    </row>
    <row r="2038" spans="1:50" ht="60" x14ac:dyDescent="0.2">
      <c r="A2038" s="8" t="str">
        <f ca="1">IFERROR(__xludf.DUMMYFUNCTION("""COMPUTED_VALUE"""),"20111228MINOF")</f>
        <v>20111228MINOF</v>
      </c>
      <c r="B2038" s="8">
        <f ca="1">IFERROR(__xludf.DUMMYFUNCTION("""COMPUTED_VALUE"""),12)</f>
        <v>12</v>
      </c>
      <c r="C2038" s="8">
        <f ca="1">IFERROR(__xludf.DUMMYFUNCTION("""COMPUTED_VALUE"""),28)</f>
        <v>28</v>
      </c>
      <c r="D2038" s="8">
        <f ca="1">IFERROR(__xludf.DUMMYFUNCTION("""COMPUTED_VALUE"""),2011)</f>
        <v>2011</v>
      </c>
      <c r="E2038" s="9">
        <f ca="1">IFERROR(__xludf.DUMMYFUNCTION("""COMPUTED_VALUE"""),40905)</f>
        <v>40905</v>
      </c>
      <c r="F2038" s="8" t="str">
        <f ca="1">IFERROR(__xludf.DUMMYFUNCTION("""COMPUTED_VALUE"""),"Northern High School")</f>
        <v>Northern High School</v>
      </c>
      <c r="G2038" s="8">
        <f ca="1">IFERROR(__xludf.DUMMYFUNCTION("""COMPUTED_VALUE"""),0)</f>
        <v>0</v>
      </c>
      <c r="H2038" s="8">
        <f ca="1">IFERROR(__xludf.DUMMYFUNCTION("""COMPUTED_VALUE"""),1)</f>
        <v>1</v>
      </c>
      <c r="I2038" s="8">
        <f ca="1">IFERROR(__xludf.DUMMYFUNCTION("""COMPUTED_VALUE"""),1)</f>
        <v>1</v>
      </c>
      <c r="J2038" s="8">
        <f ca="1">IFERROR(__xludf.DUMMYFUNCTION("""COMPUTED_VALUE"""),0)</f>
        <v>0</v>
      </c>
      <c r="K2038" s="8" t="str">
        <f ca="1">IFERROR(__xludf.DUMMYFUNCTION("""COMPUTED_VALUE"""),"https://www.mlive.com/news/flint/index.ssf/2011/12/one_person_shot_outside_northe.html https://www.mlive.com/news/flint/index.ssf/2012/01/second_17-year-old_man_arreste.html")</f>
        <v>https://www.mlive.com/news/flint/index.ssf/2011/12/one_person_shot_outside_northe.html https://www.mlive.com/news/flint/index.ssf/2012/01/second_17-year-old_man_arreste.html</v>
      </c>
      <c r="L2038" s="8"/>
      <c r="M2038" s="8"/>
      <c r="N2038" s="8">
        <f ca="1">IFERROR(__xludf.DUMMYFUNCTION("""COMPUTED_VALUE"""),3)</f>
        <v>3</v>
      </c>
      <c r="O2038" s="8" t="str">
        <f ca="1">IFERROR(__xludf.DUMMYFUNCTION("""COMPUTED_VALUE"""),"Winter")</f>
        <v>Winter</v>
      </c>
      <c r="P2038" s="8" t="str">
        <f ca="1">IFERROR(__xludf.DUMMYFUNCTION("""COMPUTED_VALUE"""),"Flint")</f>
        <v>Flint</v>
      </c>
      <c r="Q2038" s="8" t="str">
        <f ca="1">IFERROR(__xludf.DUMMYFUNCTION("""COMPUTED_VALUE"""),"MI")</f>
        <v>MI</v>
      </c>
      <c r="R2038" s="8" t="str">
        <f ca="1">IFERROR(__xludf.DUMMYFUNCTION("""COMPUTED_VALUE"""),"High")</f>
        <v>High</v>
      </c>
      <c r="S2038" s="8" t="str">
        <f ca="1">IFERROR(__xludf.DUMMYFUNCTION("""COMPUTED_VALUE"""),"Beside Building")</f>
        <v>Beside Building</v>
      </c>
      <c r="T2038" s="8" t="str">
        <f ca="1">IFERROR(__xludf.DUMMYFUNCTION("""COMPUTED_VALUE"""),"Outside on School Property")</f>
        <v>Outside on School Property</v>
      </c>
      <c r="U2038" s="8" t="str">
        <f ca="1">IFERROR(__xludf.DUMMYFUNCTION("""COMPUTED_VALUE"""),"No")</f>
        <v>No</v>
      </c>
      <c r="V2038" s="8" t="str">
        <f ca="1">IFERROR(__xludf.DUMMYFUNCTION("""COMPUTED_VALUE"""),"Sport Event")</f>
        <v>Sport Event</v>
      </c>
      <c r="W2038" s="8"/>
      <c r="X2038" s="8">
        <f ca="1">IFERROR(__xludf.DUMMYFUNCTION("""COMPUTED_VALUE"""),1)</f>
        <v>1</v>
      </c>
      <c r="Y2038" s="12" t="str">
        <f ca="1">IFERROR(__xludf.DUMMYFUNCTION("""COMPUTED_VALUE"""),"Shots fired during fight outside of school during basketball game")</f>
        <v>Shots fired during fight outside of school during basketball game</v>
      </c>
      <c r="Z2038" s="12" t="str">
        <f ca="1">IFERROR(__xludf.DUMMYFUNCTION("""COMPUTED_VALUE"""),"Shots fired during fight outside of basketball game. One male was injured. Two 17 YOMs were later arrested, unclear if they were students. Basketball game continued and participants were unaware of the shooting outside.")</f>
        <v>Shots fired during fight outside of basketball game. One male was injured. Two 17 YOMs were later arrested, unclear if they were students. Basketball game continued and participants were unaware of the shooting outside.</v>
      </c>
      <c r="AA2038" s="8" t="str">
        <f ca="1">IFERROR(__xludf.DUMMYFUNCTION("""COMPUTED_VALUE"""),"Escalation of Dispute")</f>
        <v>Escalation of Dispute</v>
      </c>
      <c r="AB2038" s="8"/>
      <c r="AC2038" s="8" t="str">
        <f ca="1">IFERROR(__xludf.DUMMYFUNCTION("""COMPUTED_VALUE"""),"Yes")</f>
        <v>Yes</v>
      </c>
      <c r="AD2038" s="8"/>
      <c r="AE2038" s="8" t="str">
        <f ca="1">IFERROR(__xludf.DUMMYFUNCTION("""COMPUTED_VALUE"""),"Yes")</f>
        <v>Yes</v>
      </c>
      <c r="AF2038" s="8" t="str">
        <f ca="1">IFERROR(__xludf.DUMMYFUNCTION("""COMPUTED_VALUE"""),"2 arrested")</f>
        <v>2 arrested</v>
      </c>
      <c r="AG2038" s="8" t="str">
        <f ca="1">IFERROR(__xludf.DUMMYFUNCTION("""COMPUTED_VALUE"""),"No")</f>
        <v>No</v>
      </c>
      <c r="AH2038" s="8" t="str">
        <f ca="1">IFERROR(__xludf.DUMMYFUNCTION("""COMPUTED_VALUE"""),"No")</f>
        <v>No</v>
      </c>
      <c r="AI2038" s="8" t="str">
        <f ca="1">IFERROR(__xludf.DUMMYFUNCTION("""COMPUTED_VALUE"""),"No")</f>
        <v>No</v>
      </c>
      <c r="AJ2038" s="8" t="str">
        <f ca="1">IFERROR(__xludf.DUMMYFUNCTION("""COMPUTED_VALUE"""),"No")</f>
        <v>No</v>
      </c>
      <c r="AK2038" s="8" t="str">
        <f ca="1">IFERROR(__xludf.DUMMYFUNCTION("""COMPUTED_VALUE"""),"No")</f>
        <v>No</v>
      </c>
      <c r="AL2038" s="8" t="str">
        <f ca="1">IFERROR(__xludf.DUMMYFUNCTION("""COMPUTED_VALUE"""),"No")</f>
        <v>No</v>
      </c>
      <c r="AM2038" s="8"/>
      <c r="AN2038" s="8"/>
      <c r="AO2038" s="8" t="str">
        <f ca="1">IFERROR(__xludf.DUMMYFUNCTION("""COMPUTED_VALUE"""),"No")</f>
        <v>No</v>
      </c>
      <c r="AP2038" s="8"/>
      <c r="AQ2038" s="8" t="str">
        <f ca="1">IFERROR(__xludf.DUMMYFUNCTION("""COMPUTED_VALUE"""),"Unknown")</f>
        <v>Unknown</v>
      </c>
      <c r="AR2038" s="8" t="str">
        <f ca="1">IFERROR(__xludf.DUMMYFUNCTION("""COMPUTED_VALUE"""),"NA")</f>
        <v>NA</v>
      </c>
      <c r="AS2038" s="8" t="str">
        <f ca="1">IFERROR(__xludf.DUMMYFUNCTION("""COMPUTED_VALUE"""),"&lt;10")</f>
        <v>&lt;10</v>
      </c>
      <c r="AT2038" s="8"/>
      <c r="AU2038" s="8">
        <f ca="1">IFERROR(__xludf.DUMMYFUNCTION("""COMPUTED_VALUE"""),43.036226)</f>
        <v>43.036225999999999</v>
      </c>
      <c r="AV2038" s="8">
        <f ca="1">IFERROR(__xludf.DUMMYFUNCTION("""COMPUTED_VALUE"""),-83.73604)</f>
        <v>-83.736040000000003</v>
      </c>
      <c r="AW2038" s="8"/>
      <c r="AX2038" s="8">
        <f ca="1">IFERROR(__xludf.DUMMYFUNCTION("""COMPUTED_VALUE"""),48504)</f>
        <v>48504</v>
      </c>
    </row>
    <row r="2039" spans="1:50" ht="90" x14ac:dyDescent="0.2">
      <c r="A2039" s="8" t="str">
        <f ca="1">IFERROR(__xludf.DUMMYFUNCTION("""COMPUTED_VALUE"""),"20111212TXHAE")</f>
        <v>20111212TXHAE</v>
      </c>
      <c r="B2039" s="8">
        <f ca="1">IFERROR(__xludf.DUMMYFUNCTION("""COMPUTED_VALUE"""),12)</f>
        <v>12</v>
      </c>
      <c r="C2039" s="8">
        <f ca="1">IFERROR(__xludf.DUMMYFUNCTION("""COMPUTED_VALUE"""),12)</f>
        <v>12</v>
      </c>
      <c r="D2039" s="8">
        <f ca="1">IFERROR(__xludf.DUMMYFUNCTION("""COMPUTED_VALUE"""),2011)</f>
        <v>2011</v>
      </c>
      <c r="E2039" s="9">
        <f ca="1">IFERROR(__xludf.DUMMYFUNCTION("""COMPUTED_VALUE"""),40889)</f>
        <v>40889</v>
      </c>
      <c r="F2039" s="8" t="str">
        <f ca="1">IFERROR(__xludf.DUMMYFUNCTION("""COMPUTED_VALUE"""),"Harwell Middle School")</f>
        <v>Harwell Middle School</v>
      </c>
      <c r="G2039" s="8">
        <f ca="1">IFERROR(__xludf.DUMMYFUNCTION("""COMPUTED_VALUE"""),0)</f>
        <v>0</v>
      </c>
      <c r="H2039" s="8">
        <f ca="1">IFERROR(__xludf.DUMMYFUNCTION("""COMPUTED_VALUE"""),2)</f>
        <v>2</v>
      </c>
      <c r="I2039" s="8">
        <f ca="1">IFERROR(__xludf.DUMMYFUNCTION("""COMPUTED_VALUE"""),2)</f>
        <v>2</v>
      </c>
      <c r="J2039" s="8">
        <f ca="1">IFERROR(__xludf.DUMMYFUNCTION("""COMPUTED_VALUE"""),0)</f>
        <v>0</v>
      </c>
      <c r="K2039" s="8" t="str">
        <f ca="1">IFERROR(__xludf.DUMMYFUNCTION("""COMPUTED_VALUE"""),"https://www.newspapers.com/image/331539601/?terms=HARWELL%2BMIDDLE%2BSCHOOL  https://www.newspapers.com/image/332520089/?terms=dustin%2Bwesley%2Bcook  https://www.newspapers.com/image/331443515/?terms=dustin%2Bwesley%2Bcook  https://www.newspapers.com/ima"&amp;"ge/285698903/?terms=dustin%2Bwesley%2Bcook")</f>
        <v>https://www.newspapers.com/image/331539601/?terms=HARWELL%2BMIDDLE%2BSCHOOL  https://www.newspapers.com/image/332520089/?terms=dustin%2Bwesley%2Bcook  https://www.newspapers.com/image/331443515/?terms=dustin%2Bwesley%2Bcook  https://www.newspapers.com/image/285698903/?terms=dustin%2Bwesley%2Bcook</v>
      </c>
      <c r="L2039" s="8"/>
      <c r="M2039" s="8"/>
      <c r="N2039" s="8">
        <f ca="1">IFERROR(__xludf.DUMMYFUNCTION("""COMPUTED_VALUE"""),3)</f>
        <v>3</v>
      </c>
      <c r="O2039" s="8" t="str">
        <f ca="1">IFERROR(__xludf.DUMMYFUNCTION("""COMPUTED_VALUE"""),"Winter")</f>
        <v>Winter</v>
      </c>
      <c r="P2039" s="8" t="str">
        <f ca="1">IFERROR(__xludf.DUMMYFUNCTION("""COMPUTED_VALUE"""),"Edinburg")</f>
        <v>Edinburg</v>
      </c>
      <c r="Q2039" s="8" t="str">
        <f ca="1">IFERROR(__xludf.DUMMYFUNCTION("""COMPUTED_VALUE"""),"TX")</f>
        <v>TX</v>
      </c>
      <c r="R2039" s="8" t="str">
        <f ca="1">IFERROR(__xludf.DUMMYFUNCTION("""COMPUTED_VALUE"""),"Middle")</f>
        <v>Middle</v>
      </c>
      <c r="S2039" s="8" t="str">
        <f ca="1">IFERROR(__xludf.DUMMYFUNCTION("""COMPUTED_VALUE"""),"Basketball Court")</f>
        <v>Basketball Court</v>
      </c>
      <c r="T2039" s="8" t="str">
        <f ca="1">IFERROR(__xludf.DUMMYFUNCTION("""COMPUTED_VALUE"""),"Outside on School Property")</f>
        <v>Outside on School Property</v>
      </c>
      <c r="U2039" s="8" t="str">
        <f ca="1">IFERROR(__xludf.DUMMYFUNCTION("""COMPUTED_VALUE"""),"Yes")</f>
        <v>Yes</v>
      </c>
      <c r="V2039" s="8" t="str">
        <f ca="1">IFERROR(__xludf.DUMMYFUNCTION("""COMPUTED_VALUE"""),"After School")</f>
        <v>After School</v>
      </c>
      <c r="W2039" s="11">
        <f ca="1">IFERROR(__xludf.DUMMYFUNCTION("""COMPUTED_VALUE"""),0.697916666666666)</f>
        <v>0.69791666666666596</v>
      </c>
      <c r="X2039" s="8">
        <f ca="1">IFERROR(__xludf.DUMMYFUNCTION("""COMPUTED_VALUE"""),1)</f>
        <v>1</v>
      </c>
      <c r="Y2039" s="12" t="str">
        <f ca="1">IFERROR(__xludf.DUMMYFUNCTION("""COMPUTED_VALUE"""),"Shooter was target practicing 1 mile away")</f>
        <v>Shooter was target practicing 1 mile away</v>
      </c>
      <c r="Z2039" s="12" t="str">
        <f ca="1">IFERROR(__xludf.DUMMYFUNCTION("""COMPUTED_VALUE"""),"Two middle school boys were trying out for school basketball team when they were shot. Three area hunters were detained but later released. Shooter, Dustin Wesley Cook, 36, turned himself in - he was charged with aggravated assault although the shootings "&amp;"were deemed accidental.")</f>
        <v>Two middle school boys were trying out for school basketball team when they were shot. Three area hunters were detained but later released. Shooter, Dustin Wesley Cook, 36, turned himself in - he was charged with aggravated assault although the shootings were deemed accidental.</v>
      </c>
      <c r="AA2039" s="8" t="str">
        <f ca="1">IFERROR(__xludf.DUMMYFUNCTION("""COMPUTED_VALUE"""),"Accidental")</f>
        <v>Accidental</v>
      </c>
      <c r="AB2039" s="8"/>
      <c r="AC2039" s="8" t="str">
        <f ca="1">IFERROR(__xludf.DUMMYFUNCTION("""COMPUTED_VALUE"""),"Yes")</f>
        <v>Yes</v>
      </c>
      <c r="AD2039" s="8"/>
      <c r="AE2039" s="8" t="str">
        <f ca="1">IFERROR(__xludf.DUMMYFUNCTION("""COMPUTED_VALUE"""),"No")</f>
        <v>No</v>
      </c>
      <c r="AF2039" s="8"/>
      <c r="AG2039" s="8" t="str">
        <f ca="1">IFERROR(__xludf.DUMMYFUNCTION("""COMPUTED_VALUE"""),"No")</f>
        <v>No</v>
      </c>
      <c r="AH2039" s="8" t="str">
        <f ca="1">IFERROR(__xludf.DUMMYFUNCTION("""COMPUTED_VALUE"""),"No")</f>
        <v>No</v>
      </c>
      <c r="AI2039" s="8" t="str">
        <f ca="1">IFERROR(__xludf.DUMMYFUNCTION("""COMPUTED_VALUE"""),"No")</f>
        <v>No</v>
      </c>
      <c r="AJ2039" s="8" t="str">
        <f ca="1">IFERROR(__xludf.DUMMYFUNCTION("""COMPUTED_VALUE"""),"No")</f>
        <v>No</v>
      </c>
      <c r="AK2039" s="8" t="str">
        <f ca="1">IFERROR(__xludf.DUMMYFUNCTION("""COMPUTED_VALUE"""),"No")</f>
        <v>No</v>
      </c>
      <c r="AL2039" s="8" t="str">
        <f ca="1">IFERROR(__xludf.DUMMYFUNCTION("""COMPUTED_VALUE"""),"No")</f>
        <v>No</v>
      </c>
      <c r="AM2039" s="8"/>
      <c r="AN2039" s="8"/>
      <c r="AO2039" s="8" t="str">
        <f ca="1">IFERROR(__xludf.DUMMYFUNCTION("""COMPUTED_VALUE"""),"No")</f>
        <v>No</v>
      </c>
      <c r="AP2039" s="8"/>
      <c r="AQ2039" s="8" t="str">
        <f ca="1">IFERROR(__xludf.DUMMYFUNCTION("""COMPUTED_VALUE"""),"Unknown")</f>
        <v>Unknown</v>
      </c>
      <c r="AR2039" s="8" t="str">
        <f ca="1">IFERROR(__xludf.DUMMYFUNCTION("""COMPUTED_VALUE"""),"NA")</f>
        <v>NA</v>
      </c>
      <c r="AS2039" s="8">
        <f ca="1">IFERROR(__xludf.DUMMYFUNCTION("""COMPUTED_VALUE"""),2)</f>
        <v>2</v>
      </c>
      <c r="AT2039" s="8"/>
      <c r="AU2039" s="8">
        <f ca="1">IFERROR(__xludf.DUMMYFUNCTION("""COMPUTED_VALUE"""),26.390166)</f>
        <v>26.390166000000001</v>
      </c>
      <c r="AV2039" s="8">
        <f ca="1">IFERROR(__xludf.DUMMYFUNCTION("""COMPUTED_VALUE"""),-98.088925)</f>
        <v>-98.088925000000003</v>
      </c>
      <c r="AW2039" s="8"/>
      <c r="AX2039" s="8">
        <f ca="1">IFERROR(__xludf.DUMMYFUNCTION("""COMPUTED_VALUE"""),78542)</f>
        <v>78542</v>
      </c>
    </row>
    <row r="2040" spans="1:50" ht="150" x14ac:dyDescent="0.2">
      <c r="A2040" s="8" t="str">
        <f ca="1">IFERROR(__xludf.DUMMYFUNCTION("""COMPUTED_VALUE"""),"20111024NCCAF")</f>
        <v>20111024NCCAF</v>
      </c>
      <c r="B2040" s="8">
        <f ca="1">IFERROR(__xludf.DUMMYFUNCTION("""COMPUTED_VALUE"""),10)</f>
        <v>10</v>
      </c>
      <c r="C2040" s="8">
        <f ca="1">IFERROR(__xludf.DUMMYFUNCTION("""COMPUTED_VALUE"""),24)</f>
        <v>24</v>
      </c>
      <c r="D2040" s="8">
        <f ca="1">IFERROR(__xludf.DUMMYFUNCTION("""COMPUTED_VALUE"""),2011)</f>
        <v>2011</v>
      </c>
      <c r="E2040" s="9">
        <f ca="1">IFERROR(__xludf.DUMMYFUNCTION("""COMPUTED_VALUE"""),40840)</f>
        <v>40840</v>
      </c>
      <c r="F2040" s="8" t="str">
        <f ca="1">IFERROR(__xludf.DUMMYFUNCTION("""COMPUTED_VALUE"""),"Cape Fear High School")</f>
        <v>Cape Fear High School</v>
      </c>
      <c r="G2040" s="8">
        <f ca="1">IFERROR(__xludf.DUMMYFUNCTION("""COMPUTED_VALUE"""),0)</f>
        <v>0</v>
      </c>
      <c r="H2040" s="8">
        <f ca="1">IFERROR(__xludf.DUMMYFUNCTION("""COMPUTED_VALUE"""),1)</f>
        <v>1</v>
      </c>
      <c r="I2040" s="8">
        <f ca="1">IFERROR(__xludf.DUMMYFUNCTION("""COMPUTED_VALUE"""),1)</f>
        <v>1</v>
      </c>
      <c r="J2040" s="8">
        <f ca="1">IFERROR(__xludf.DUMMYFUNCTION("""COMPUTED_VALUE"""),0)</f>
        <v>0</v>
      </c>
      <c r="K2040" s="10" t="str">
        <f ca="1">IFERROR(__xludf.DUMMYFUNCTION("""COMPUTED_VALUE"""),"http://www.fayobserver.com/news/20180817/cape-fear-high-shooting-lawsuit-settled-for-2-million")</f>
        <v>http://www.fayobserver.com/news/20180817/cape-fear-high-shooting-lawsuit-settled-for-2-million</v>
      </c>
      <c r="L2040" s="8">
        <f ca="1">IFERROR(__xludf.DUMMYFUNCTION("""COMPUTED_VALUE"""),11)</f>
        <v>11</v>
      </c>
      <c r="M2040" s="8" t="str">
        <f ca="1">IFERROR(__xludf.DUMMYFUNCTION("""COMPUTED_VALUE"""),"National")</f>
        <v>National</v>
      </c>
      <c r="N2040" s="8">
        <f ca="1">IFERROR(__xludf.DUMMYFUNCTION("""COMPUTED_VALUE"""),3)</f>
        <v>3</v>
      </c>
      <c r="O2040" s="8" t="str">
        <f ca="1">IFERROR(__xludf.DUMMYFUNCTION("""COMPUTED_VALUE"""),"Fall")</f>
        <v>Fall</v>
      </c>
      <c r="P2040" s="8" t="str">
        <f ca="1">IFERROR(__xludf.DUMMYFUNCTION("""COMPUTED_VALUE"""),"Fayetteville")</f>
        <v>Fayetteville</v>
      </c>
      <c r="Q2040" s="8" t="str">
        <f ca="1">IFERROR(__xludf.DUMMYFUNCTION("""COMPUTED_VALUE"""),"NC")</f>
        <v>NC</v>
      </c>
      <c r="R2040" s="8" t="str">
        <f ca="1">IFERROR(__xludf.DUMMYFUNCTION("""COMPUTED_VALUE"""),"High")</f>
        <v>High</v>
      </c>
      <c r="S2040" s="8" t="str">
        <f ca="1">IFERROR(__xludf.DUMMYFUNCTION("""COMPUTED_VALUE"""),"Beside Building")</f>
        <v>Beside Building</v>
      </c>
      <c r="T2040" s="8" t="str">
        <f ca="1">IFERROR(__xludf.DUMMYFUNCTION("""COMPUTED_VALUE"""),"Outside on School Property")</f>
        <v>Outside on School Property</v>
      </c>
      <c r="U2040" s="8" t="str">
        <f ca="1">IFERROR(__xludf.DUMMYFUNCTION("""COMPUTED_VALUE"""),"Yes")</f>
        <v>Yes</v>
      </c>
      <c r="V2040" s="8" t="str">
        <f ca="1">IFERROR(__xludf.DUMMYFUNCTION("""COMPUTED_VALUE"""),"Afternoon Classes")</f>
        <v>Afternoon Classes</v>
      </c>
      <c r="W2040" s="11">
        <f ca="1">IFERROR(__xludf.DUMMYFUNCTION("""COMPUTED_VALUE"""),0.541666666666666)</f>
        <v>0.54166666666666596</v>
      </c>
      <c r="X2040" s="8">
        <f ca="1">IFERROR(__xludf.DUMMYFUNCTION("""COMPUTED_VALUE"""),1)</f>
        <v>1</v>
      </c>
      <c r="Y2040" s="12" t="str">
        <f ca="1">IFERROR(__xludf.DUMMYFUNCTION("""COMPUTED_VALUE"""),"Revenge for prior fight, missed intended target")</f>
        <v>Revenge for prior fight, missed intended target</v>
      </c>
      <c r="Z2040" s="12" t="str">
        <f ca="1">IFERROR(__xludf.DUMMYFUNCTION("""COMPUTED_VALUE"""),"15 YOM shot a .22 rifle at another student who had a physical altercation with his cousin the prior week.  Shooter reported that he was hit by a swinging door, the weapon discharged and hit a female student in the neck. Shooter fled the scene after the sh"&amp;"ooting and was arrested at his home. Single round fired. School security video cameras showed that shooter wandered the halls for hours with the rifle concealed under his clothing. Shooter did not disclose who was the intended target.18YOM accomplice also"&amp;" faces charges.")</f>
        <v>15 YOM shot a .22 rifle at another student who had a physical altercation with his cousin the prior week.  Shooter reported that he was hit by a swinging door, the weapon discharged and hit a female student in the neck. Shooter fled the scene after the shooting and was arrested at his home. Single round fired. School security video cameras showed that shooter wandered the halls for hours with the rifle concealed under his clothing. Shooter did not disclose who was the intended target.18YOM accomplice also faces charges.</v>
      </c>
      <c r="AA2040" s="8" t="str">
        <f ca="1">IFERROR(__xludf.DUMMYFUNCTION("""COMPUTED_VALUE"""),"Escalation of Dispute")</f>
        <v>Escalation of Dispute</v>
      </c>
      <c r="AB2040" s="8"/>
      <c r="AC2040" s="8" t="str">
        <f ca="1">IFERROR(__xludf.DUMMYFUNCTION("""COMPUTED_VALUE"""),"Yes")</f>
        <v>Yes</v>
      </c>
      <c r="AD2040" s="8" t="str">
        <f ca="1">IFERROR(__xludf.DUMMYFUNCTION("""COMPUTED_VALUE"""),"Random Shooting")</f>
        <v>Random Shooting</v>
      </c>
      <c r="AE2040" s="8" t="str">
        <f ca="1">IFERROR(__xludf.DUMMYFUNCTION("""COMPUTED_VALUE"""),"Yes")</f>
        <v>Yes</v>
      </c>
      <c r="AF2040" s="8" t="str">
        <f ca="1">IFERROR(__xludf.DUMMYFUNCTION("""COMPUTED_VALUE"""),"Ta'Von McLaurin, 18, was charged with felonious aiding and abetting")</f>
        <v>Ta'Von McLaurin, 18, was charged with felonious aiding and abetting</v>
      </c>
      <c r="AG2040" s="8" t="str">
        <f ca="1">IFERROR(__xludf.DUMMYFUNCTION("""COMPUTED_VALUE"""),"No")</f>
        <v>No</v>
      </c>
      <c r="AH2040" s="8" t="str">
        <f ca="1">IFERROR(__xludf.DUMMYFUNCTION("""COMPUTED_VALUE"""),"No")</f>
        <v>No</v>
      </c>
      <c r="AI2040" s="8" t="str">
        <f ca="1">IFERROR(__xludf.DUMMYFUNCTION("""COMPUTED_VALUE"""),"No")</f>
        <v>No</v>
      </c>
      <c r="AJ2040" s="8" t="str">
        <f ca="1">IFERROR(__xludf.DUMMYFUNCTION("""COMPUTED_VALUE"""),"No")</f>
        <v>No</v>
      </c>
      <c r="AK2040" s="8" t="str">
        <f ca="1">IFERROR(__xludf.DUMMYFUNCTION("""COMPUTED_VALUE"""),"No")</f>
        <v>No</v>
      </c>
      <c r="AL2040" s="8" t="str">
        <f ca="1">IFERROR(__xludf.DUMMYFUNCTION("""COMPUTED_VALUE"""),"No")</f>
        <v>No</v>
      </c>
      <c r="AM2040" s="8"/>
      <c r="AN2040" s="8"/>
      <c r="AO2040" s="8" t="str">
        <f ca="1">IFERROR(__xludf.DUMMYFUNCTION("""COMPUTED_VALUE"""),"No")</f>
        <v>No</v>
      </c>
      <c r="AP2040" s="8" t="str">
        <f ca="1">IFERROR(__xludf.DUMMYFUNCTION("""COMPUTED_VALUE"""),"No")</f>
        <v>No</v>
      </c>
      <c r="AQ2040" s="8" t="str">
        <f ca="1">IFERROR(__xludf.DUMMYFUNCTION("""COMPUTED_VALUE"""),"None")</f>
        <v>None</v>
      </c>
      <c r="AR2040" s="8" t="str">
        <f ca="1">IFERROR(__xludf.DUMMYFUNCTION("""COMPUTED_VALUE"""),"NA")</f>
        <v>NA</v>
      </c>
      <c r="AS2040" s="8">
        <f ca="1">IFERROR(__xludf.DUMMYFUNCTION("""COMPUTED_VALUE"""),1)</f>
        <v>1</v>
      </c>
      <c r="AT2040" s="8" t="str">
        <f ca="1">IFERROR(__xludf.DUMMYFUNCTION("""COMPUTED_VALUE"""),"Yes")</f>
        <v>Yes</v>
      </c>
      <c r="AU2040" s="8">
        <f ca="1">IFERROR(__xludf.DUMMYFUNCTION("""COMPUTED_VALUE"""),35.034714)</f>
        <v>35.034714000000001</v>
      </c>
      <c r="AV2040" s="8">
        <f ca="1">IFERROR(__xludf.DUMMYFUNCTION("""COMPUTED_VALUE"""),-78.761961)</f>
        <v>-78.761960999999999</v>
      </c>
      <c r="AW2040" s="8"/>
      <c r="AX2040" s="8">
        <f ca="1">IFERROR(__xludf.DUMMYFUNCTION("""COMPUTED_VALUE"""),28312)</f>
        <v>28312</v>
      </c>
    </row>
    <row r="2041" spans="1:50" ht="75" x14ac:dyDescent="0.2">
      <c r="A2041" s="8" t="str">
        <f ca="1">IFERROR(__xludf.DUMMYFUNCTION("""COMPUTED_VALUE"""),"20110930ORWIP")</f>
        <v>20110930ORWIP</v>
      </c>
      <c r="B2041" s="8">
        <f ca="1">IFERROR(__xludf.DUMMYFUNCTION("""COMPUTED_VALUE"""),9)</f>
        <v>9</v>
      </c>
      <c r="C2041" s="8">
        <f ca="1">IFERROR(__xludf.DUMMYFUNCTION("""COMPUTED_VALUE"""),30)</f>
        <v>30</v>
      </c>
      <c r="D2041" s="8">
        <f ca="1">IFERROR(__xludf.DUMMYFUNCTION("""COMPUTED_VALUE"""),2011)</f>
        <v>2011</v>
      </c>
      <c r="E2041" s="9">
        <f ca="1">IFERROR(__xludf.DUMMYFUNCTION("""COMPUTED_VALUE"""),40816)</f>
        <v>40816</v>
      </c>
      <c r="F2041" s="8" t="str">
        <f ca="1">IFERROR(__xludf.DUMMYFUNCTION("""COMPUTED_VALUE"""),"Wilson High School")</f>
        <v>Wilson High School</v>
      </c>
      <c r="G2041" s="8">
        <f ca="1">IFERROR(__xludf.DUMMYFUNCTION("""COMPUTED_VALUE"""),0)</f>
        <v>0</v>
      </c>
      <c r="H2041" s="8">
        <f ca="1">IFERROR(__xludf.DUMMYFUNCTION("""COMPUTED_VALUE"""),0)</f>
        <v>0</v>
      </c>
      <c r="I2041" s="8">
        <f ca="1">IFERROR(__xludf.DUMMYFUNCTION("""COMPUTED_VALUE"""),0)</f>
        <v>0</v>
      </c>
      <c r="J2041" s="8">
        <f ca="1">IFERROR(__xludf.DUMMYFUNCTION("""COMPUTED_VALUE"""),0)</f>
        <v>0</v>
      </c>
      <c r="K2041" s="10" t="str">
        <f ca="1">IFERROR(__xludf.DUMMYFUNCTION("""COMPUTED_VALUE"""),"https://www.kgw.com/article/news/4-arrested-for-shots-fired-outside-wilson-high/283-73396732")</f>
        <v>https://www.kgw.com/article/news/4-arrested-for-shots-fired-outside-wilson-high/283-73396732</v>
      </c>
      <c r="L2041" s="8"/>
      <c r="M2041" s="8"/>
      <c r="N2041" s="8">
        <f ca="1">IFERROR(__xludf.DUMMYFUNCTION("""COMPUTED_VALUE"""),3)</f>
        <v>3</v>
      </c>
      <c r="O2041" s="8" t="str">
        <f ca="1">IFERROR(__xludf.DUMMYFUNCTION("""COMPUTED_VALUE"""),"Fall")</f>
        <v>Fall</v>
      </c>
      <c r="P2041" s="8" t="str">
        <f ca="1">IFERROR(__xludf.DUMMYFUNCTION("""COMPUTED_VALUE"""),"Portland")</f>
        <v>Portland</v>
      </c>
      <c r="Q2041" s="8" t="str">
        <f ca="1">IFERROR(__xludf.DUMMYFUNCTION("""COMPUTED_VALUE"""),"OR")</f>
        <v>OR</v>
      </c>
      <c r="R2041" s="8" t="str">
        <f ca="1">IFERROR(__xludf.DUMMYFUNCTION("""COMPUTED_VALUE"""),"High")</f>
        <v>High</v>
      </c>
      <c r="S2041" s="8" t="str">
        <f ca="1">IFERROR(__xludf.DUMMYFUNCTION("""COMPUTED_VALUE"""),"Parking Lot")</f>
        <v>Parking Lot</v>
      </c>
      <c r="T2041" s="8" t="str">
        <f ca="1">IFERROR(__xludf.DUMMYFUNCTION("""COMPUTED_VALUE"""),"Outside on School Property")</f>
        <v>Outside on School Property</v>
      </c>
      <c r="U2041" s="8" t="str">
        <f ca="1">IFERROR(__xludf.DUMMYFUNCTION("""COMPUTED_VALUE"""),"No")</f>
        <v>No</v>
      </c>
      <c r="V2041" s="8" t="str">
        <f ca="1">IFERROR(__xludf.DUMMYFUNCTION("""COMPUTED_VALUE"""),"Sport Event")</f>
        <v>Sport Event</v>
      </c>
      <c r="W2041" s="11">
        <f ca="1">IFERROR(__xludf.DUMMYFUNCTION("""COMPUTED_VALUE"""),0.875)</f>
        <v>0.875</v>
      </c>
      <c r="X2041" s="8">
        <f ca="1">IFERROR(__xludf.DUMMYFUNCTION("""COMPUTED_VALUE"""),1)</f>
        <v>1</v>
      </c>
      <c r="Y2041" s="12" t="str">
        <f ca="1">IFERROR(__xludf.DUMMYFUNCTION("""COMPUTED_VALUE"""),"Shots fired at crowd school parking lot following fight earlier in the day")</f>
        <v>Shots fired at crowd school parking lot following fight earlier in the day</v>
      </c>
      <c r="Z2041" s="12" t="str">
        <f ca="1">IFERROR(__xludf.DUMMYFUNCTION("""COMPUTED_VALUE"""),"4 teens arrested after shots were fired from a car at a crowd in the school parking lot following a football game. There had been a fight earlier in the day related to the shooting. All shots missed and no one was injured. Police believe the shooting is g"&amp;"ang related.")</f>
        <v>4 teens arrested after shots were fired from a car at a crowd in the school parking lot following a football game. There had been a fight earlier in the day related to the shooting. All shots missed and no one was injured. Police believe the shooting is gang related.</v>
      </c>
      <c r="AA2041" s="8" t="str">
        <f ca="1">IFERROR(__xludf.DUMMYFUNCTION("""COMPUTED_VALUE"""),"Drive-by Shooting")</f>
        <v>Drive-by Shooting</v>
      </c>
      <c r="AB2041" s="8"/>
      <c r="AC2041" s="8" t="str">
        <f ca="1">IFERROR(__xludf.DUMMYFUNCTION("""COMPUTED_VALUE"""),"No")</f>
        <v>No</v>
      </c>
      <c r="AD2041" s="8" t="str">
        <f ca="1">IFERROR(__xludf.DUMMYFUNCTION("""COMPUTED_VALUE"""),"Victims Targeted")</f>
        <v>Victims Targeted</v>
      </c>
      <c r="AE2041" s="8" t="str">
        <f ca="1">IFERROR(__xludf.DUMMYFUNCTION("""COMPUTED_VALUE"""),"Yes")</f>
        <v>Yes</v>
      </c>
      <c r="AF2041" s="8" t="str">
        <f ca="1">IFERROR(__xludf.DUMMYFUNCTION("""COMPUTED_VALUE"""),"17-year-old Austin Michael Whittaker and 16-year-old Garrison Elwood Britton on charges of attempted assault")</f>
        <v>17-year-old Austin Michael Whittaker and 16-year-old Garrison Elwood Britton on charges of attempted assault</v>
      </c>
      <c r="AG2041" s="8" t="str">
        <f ca="1">IFERROR(__xludf.DUMMYFUNCTION("""COMPUTED_VALUE"""),"No")</f>
        <v>No</v>
      </c>
      <c r="AH2041" s="8" t="str">
        <f ca="1">IFERROR(__xludf.DUMMYFUNCTION("""COMPUTED_VALUE"""),"No")</f>
        <v>No</v>
      </c>
      <c r="AI2041" s="8" t="str">
        <f ca="1">IFERROR(__xludf.DUMMYFUNCTION("""COMPUTED_VALUE"""),"No")</f>
        <v>No</v>
      </c>
      <c r="AJ2041" s="8" t="str">
        <f ca="1">IFERROR(__xludf.DUMMYFUNCTION("""COMPUTED_VALUE"""),"No")</f>
        <v>No</v>
      </c>
      <c r="AK2041" s="8" t="str">
        <f ca="1">IFERROR(__xludf.DUMMYFUNCTION("""COMPUTED_VALUE"""),"No")</f>
        <v>No</v>
      </c>
      <c r="AL2041" s="8" t="str">
        <f ca="1">IFERROR(__xludf.DUMMYFUNCTION("""COMPUTED_VALUE"""),"Yes")</f>
        <v>Yes</v>
      </c>
      <c r="AM2041" s="8" t="str">
        <f ca="1">IFERROR(__xludf.DUMMYFUNCTION("""COMPUTED_VALUE"""),"No")</f>
        <v>No</v>
      </c>
      <c r="AN2041" s="8"/>
      <c r="AO2041" s="8" t="str">
        <f ca="1">IFERROR(__xludf.DUMMYFUNCTION("""COMPUTED_VALUE"""),"No")</f>
        <v>No</v>
      </c>
      <c r="AP2041" s="8"/>
      <c r="AQ2041" s="8" t="str">
        <f ca="1">IFERROR(__xludf.DUMMYFUNCTION("""COMPUTED_VALUE"""),"Unknown")</f>
        <v>Unknown</v>
      </c>
      <c r="AR2041" s="8" t="str">
        <f ca="1">IFERROR(__xludf.DUMMYFUNCTION("""COMPUTED_VALUE"""),"NA")</f>
        <v>NA</v>
      </c>
      <c r="AS2041" s="8"/>
      <c r="AT2041" s="8"/>
      <c r="AU2041" s="8">
        <f ca="1">IFERROR(__xludf.DUMMYFUNCTION("""COMPUTED_VALUE"""),45.477095)</f>
        <v>45.477094999999998</v>
      </c>
      <c r="AV2041" s="8">
        <f ca="1">IFERROR(__xludf.DUMMYFUNCTION("""COMPUTED_VALUE"""),-122.689826)</f>
        <v>-122.689826</v>
      </c>
      <c r="AW2041" s="8"/>
      <c r="AX2041" s="8">
        <f ca="1">IFERROR(__xludf.DUMMYFUNCTION("""COMPUTED_VALUE"""),97239)</f>
        <v>97239</v>
      </c>
    </row>
    <row r="2042" spans="1:50" ht="60" x14ac:dyDescent="0.2">
      <c r="A2042" s="8" t="str">
        <f ca="1">IFERROR(__xludf.DUMMYFUNCTION("""COMPUTED_VALUE"""),"20110930NCGAC")</f>
        <v>20110930NCGAC</v>
      </c>
      <c r="B2042" s="8">
        <f ca="1">IFERROR(__xludf.DUMMYFUNCTION("""COMPUTED_VALUE"""),9)</f>
        <v>9</v>
      </c>
      <c r="C2042" s="8">
        <f ca="1">IFERROR(__xludf.DUMMYFUNCTION("""COMPUTED_VALUE"""),30)</f>
        <v>30</v>
      </c>
      <c r="D2042" s="8">
        <f ca="1">IFERROR(__xludf.DUMMYFUNCTION("""COMPUTED_VALUE"""),2011)</f>
        <v>2011</v>
      </c>
      <c r="E2042" s="9">
        <f ca="1">IFERROR(__xludf.DUMMYFUNCTION("""COMPUTED_VALUE"""),40816)</f>
        <v>40816</v>
      </c>
      <c r="F2042" s="8" t="str">
        <f ca="1">IFERROR(__xludf.DUMMYFUNCTION("""COMPUTED_VALUE"""),"Garinger High School")</f>
        <v>Garinger High School</v>
      </c>
      <c r="G2042" s="8">
        <f ca="1">IFERROR(__xludf.DUMMYFUNCTION("""COMPUTED_VALUE"""),0)</f>
        <v>0</v>
      </c>
      <c r="H2042" s="8">
        <f ca="1">IFERROR(__xludf.DUMMYFUNCTION("""COMPUTED_VALUE"""),1)</f>
        <v>1</v>
      </c>
      <c r="I2042" s="8">
        <f ca="1">IFERROR(__xludf.DUMMYFUNCTION("""COMPUTED_VALUE"""),1)</f>
        <v>1</v>
      </c>
      <c r="J2042" s="8">
        <f ca="1">IFERROR(__xludf.DUMMYFUNCTION("""COMPUTED_VALUE"""),0)</f>
        <v>0</v>
      </c>
      <c r="K2042" s="10" t="str">
        <f ca="1">IFERROR(__xludf.DUMMYFUNCTION("""COMPUTED_VALUE"""),"https://www.wbtv.com/story/15592235/man-shot-twice-at-garinger-high-school-police-say/")</f>
        <v>https://www.wbtv.com/story/15592235/man-shot-twice-at-garinger-high-school-police-say/</v>
      </c>
      <c r="L2042" s="8"/>
      <c r="M2042" s="8"/>
      <c r="N2042" s="8">
        <f ca="1">IFERROR(__xludf.DUMMYFUNCTION("""COMPUTED_VALUE"""),3)</f>
        <v>3</v>
      </c>
      <c r="O2042" s="8" t="str">
        <f ca="1">IFERROR(__xludf.DUMMYFUNCTION("""COMPUTED_VALUE"""),"Fall")</f>
        <v>Fall</v>
      </c>
      <c r="P2042" s="8" t="str">
        <f ca="1">IFERROR(__xludf.DUMMYFUNCTION("""COMPUTED_VALUE"""),"Charlotte")</f>
        <v>Charlotte</v>
      </c>
      <c r="Q2042" s="8" t="str">
        <f ca="1">IFERROR(__xludf.DUMMYFUNCTION("""COMPUTED_VALUE"""),"NC")</f>
        <v>NC</v>
      </c>
      <c r="R2042" s="8" t="str">
        <f ca="1">IFERROR(__xludf.DUMMYFUNCTION("""COMPUTED_VALUE"""),"High")</f>
        <v>High</v>
      </c>
      <c r="S2042" s="8" t="str">
        <f ca="1">IFERROR(__xludf.DUMMYFUNCTION("""COMPUTED_VALUE"""),"Parking Lot")</f>
        <v>Parking Lot</v>
      </c>
      <c r="T2042" s="8" t="str">
        <f ca="1">IFERROR(__xludf.DUMMYFUNCTION("""COMPUTED_VALUE"""),"Outside on School Property")</f>
        <v>Outside on School Property</v>
      </c>
      <c r="U2042" s="8" t="str">
        <f ca="1">IFERROR(__xludf.DUMMYFUNCTION("""COMPUTED_VALUE"""),"No")</f>
        <v>No</v>
      </c>
      <c r="V2042" s="8" t="str">
        <f ca="1">IFERROR(__xludf.DUMMYFUNCTION("""COMPUTED_VALUE"""),"Sport Event")</f>
        <v>Sport Event</v>
      </c>
      <c r="W2042" s="11">
        <f ca="1">IFERROR(__xludf.DUMMYFUNCTION("""COMPUTED_VALUE"""),0.916666666666666)</f>
        <v>0.91666666666666596</v>
      </c>
      <c r="X2042" s="8">
        <f ca="1">IFERROR(__xludf.DUMMYFUNCTION("""COMPUTED_VALUE"""),1)</f>
        <v>1</v>
      </c>
      <c r="Y2042" s="12" t="str">
        <f ca="1">IFERROR(__xludf.DUMMYFUNCTION("""COMPUTED_VALUE"""),"Teen shot in parking lot during football game")</f>
        <v>Teen shot in parking lot during football game</v>
      </c>
      <c r="Z2042" s="12" t="str">
        <f ca="1">IFERROR(__xludf.DUMMYFUNCTION("""COMPUTED_VALUE"""),"17YOM shot in school parking lot during football game. Shooter fled. Football game was not interrupted. 18YOM was arrested for having a gun on school property, unclear if he was shooter (parents said he was friends with victim).")</f>
        <v>17YOM shot in school parking lot during football game. Shooter fled. Football game was not interrupted. 18YOM was arrested for having a gun on school property, unclear if he was shooter (parents said he was friends with victim).</v>
      </c>
      <c r="AA2042" s="8" t="str">
        <f ca="1">IFERROR(__xludf.DUMMYFUNCTION("""COMPUTED_VALUE"""),"Escalation of Dispute")</f>
        <v>Escalation of Dispute</v>
      </c>
      <c r="AB2042" s="8"/>
      <c r="AC2042" s="8" t="str">
        <f ca="1">IFERROR(__xludf.DUMMYFUNCTION("""COMPUTED_VALUE"""),"Yes")</f>
        <v>Yes</v>
      </c>
      <c r="AD2042" s="8" t="str">
        <f ca="1">IFERROR(__xludf.DUMMYFUNCTION("""COMPUTED_VALUE"""),"Victims Targeted")</f>
        <v>Victims Targeted</v>
      </c>
      <c r="AE2042" s="8"/>
      <c r="AF2042" s="8"/>
      <c r="AG2042" s="8" t="str">
        <f ca="1">IFERROR(__xludf.DUMMYFUNCTION("""COMPUTED_VALUE"""),"No")</f>
        <v>No</v>
      </c>
      <c r="AH2042" s="8" t="str">
        <f ca="1">IFERROR(__xludf.DUMMYFUNCTION("""COMPUTED_VALUE"""),"No")</f>
        <v>No</v>
      </c>
      <c r="AI2042" s="8" t="str">
        <f ca="1">IFERROR(__xludf.DUMMYFUNCTION("""COMPUTED_VALUE"""),"No")</f>
        <v>No</v>
      </c>
      <c r="AJ2042" s="8" t="str">
        <f ca="1">IFERROR(__xludf.DUMMYFUNCTION("""COMPUTED_VALUE"""),"No")</f>
        <v>No</v>
      </c>
      <c r="AK2042" s="8" t="str">
        <f ca="1">IFERROR(__xludf.DUMMYFUNCTION("""COMPUTED_VALUE"""),"No")</f>
        <v>No</v>
      </c>
      <c r="AL2042" s="8" t="str">
        <f ca="1">IFERROR(__xludf.DUMMYFUNCTION("""COMPUTED_VALUE"""),"Yes")</f>
        <v>Yes</v>
      </c>
      <c r="AM2042" s="8" t="str">
        <f ca="1">IFERROR(__xludf.DUMMYFUNCTION("""COMPUTED_VALUE"""),"No")</f>
        <v>No</v>
      </c>
      <c r="AN2042" s="8"/>
      <c r="AO2042" s="8" t="str">
        <f ca="1">IFERROR(__xludf.DUMMYFUNCTION("""COMPUTED_VALUE"""),"No")</f>
        <v>No</v>
      </c>
      <c r="AP2042" s="8"/>
      <c r="AQ2042" s="8" t="str">
        <f ca="1">IFERROR(__xludf.DUMMYFUNCTION("""COMPUTED_VALUE"""),"Unknown")</f>
        <v>Unknown</v>
      </c>
      <c r="AR2042" s="8" t="str">
        <f ca="1">IFERROR(__xludf.DUMMYFUNCTION("""COMPUTED_VALUE"""),"NA")</f>
        <v>NA</v>
      </c>
      <c r="AS2042" s="8"/>
      <c r="AT2042" s="8" t="str">
        <f ca="1">IFERROR(__xludf.DUMMYFUNCTION("""COMPUTED_VALUE"""),"No")</f>
        <v>No</v>
      </c>
      <c r="AU2042" s="8">
        <f ca="1">IFERROR(__xludf.DUMMYFUNCTION("""COMPUTED_VALUE"""),35.241298)</f>
        <v>35.241298</v>
      </c>
      <c r="AV2042" s="8">
        <f ca="1">IFERROR(__xludf.DUMMYFUNCTION("""COMPUTED_VALUE"""),-80.782429)</f>
        <v>-80.782428999999993</v>
      </c>
      <c r="AW2042" s="8"/>
      <c r="AX2042" s="8">
        <f ca="1">IFERROR(__xludf.DUMMYFUNCTION("""COMPUTED_VALUE"""),28205)</f>
        <v>28205</v>
      </c>
    </row>
    <row r="2043" spans="1:50" ht="90" x14ac:dyDescent="0.2">
      <c r="A2043" s="8" t="str">
        <f ca="1">IFERROR(__xludf.DUMMYFUNCTION("""COMPUTED_VALUE"""),"20110923WAISS")</f>
        <v>20110923WAISS</v>
      </c>
      <c r="B2043" s="8">
        <f ca="1">IFERROR(__xludf.DUMMYFUNCTION("""COMPUTED_VALUE"""),9)</f>
        <v>9</v>
      </c>
      <c r="C2043" s="8">
        <f ca="1">IFERROR(__xludf.DUMMYFUNCTION("""COMPUTED_VALUE"""),23)</f>
        <v>23</v>
      </c>
      <c r="D2043" s="8">
        <f ca="1">IFERROR(__xludf.DUMMYFUNCTION("""COMPUTED_VALUE"""),2011)</f>
        <v>2011</v>
      </c>
      <c r="E2043" s="9">
        <f ca="1">IFERROR(__xludf.DUMMYFUNCTION("""COMPUTED_VALUE"""),40809)</f>
        <v>40809</v>
      </c>
      <c r="F2043" s="8" t="str">
        <f ca="1">IFERROR(__xludf.DUMMYFUNCTION("""COMPUTED_VALUE"""),"Issaquah High School")</f>
        <v>Issaquah High School</v>
      </c>
      <c r="G2043" s="8">
        <f ca="1">IFERROR(__xludf.DUMMYFUNCTION("""COMPUTED_VALUE"""),0)</f>
        <v>0</v>
      </c>
      <c r="H2043" s="8">
        <f ca="1">IFERROR(__xludf.DUMMYFUNCTION("""COMPUTED_VALUE"""),0)</f>
        <v>0</v>
      </c>
      <c r="I2043" s="8">
        <f ca="1">IFERROR(__xludf.DUMMYFUNCTION("""COMPUTED_VALUE"""),0)</f>
        <v>0</v>
      </c>
      <c r="J2043" s="8">
        <f ca="1">IFERROR(__xludf.DUMMYFUNCTION("""COMPUTED_VALUE"""),1)</f>
        <v>1</v>
      </c>
      <c r="K2043" s="8" t="str">
        <f ca="1">IFERROR(__xludf.DUMMYFUNCTION("""COMPUTED_VALUE"""),"https://www.khq.com/news/update-motive-unknown-in-shooting-near-issaquah-school/article_ab6eb88e-8035-5dbf-9b3f-3193fbd8ed5e.html https://www.dailymail.co.uk/news/article-2041530/Gunman-shot-dead-sending-Issaquah-High-School-football-fans-running-away-ope"&amp;"ned-fire.html")</f>
        <v>https://www.khq.com/news/update-motive-unknown-in-shooting-near-issaquah-school/article_ab6eb88e-8035-5dbf-9b3f-3193fbd8ed5e.html https://www.dailymail.co.uk/news/article-2041530/Gunman-shot-dead-sending-Issaquah-High-School-football-fans-running-away-opened-fire.html</v>
      </c>
      <c r="L2043" s="8"/>
      <c r="M2043" s="8"/>
      <c r="N2043" s="8">
        <f ca="1">IFERROR(__xludf.DUMMYFUNCTION("""COMPUTED_VALUE"""),3)</f>
        <v>3</v>
      </c>
      <c r="O2043" s="8" t="str">
        <f ca="1">IFERROR(__xludf.DUMMYFUNCTION("""COMPUTED_VALUE"""),"Fall")</f>
        <v>Fall</v>
      </c>
      <c r="P2043" s="8" t="str">
        <f ca="1">IFERROR(__xludf.DUMMYFUNCTION("""COMPUTED_VALUE"""),"Seattle")</f>
        <v>Seattle</v>
      </c>
      <c r="Q2043" s="8" t="str">
        <f ca="1">IFERROR(__xludf.DUMMYFUNCTION("""COMPUTED_VALUE"""),"WA")</f>
        <v>WA</v>
      </c>
      <c r="R2043" s="8" t="str">
        <f ca="1">IFERROR(__xludf.DUMMYFUNCTION("""COMPUTED_VALUE"""),"High")</f>
        <v>High</v>
      </c>
      <c r="S2043" s="8" t="str">
        <f ca="1">IFERROR(__xludf.DUMMYFUNCTION("""COMPUTED_VALUE"""),"Football Field/Track")</f>
        <v>Football Field/Track</v>
      </c>
      <c r="T2043" s="8" t="str">
        <f ca="1">IFERROR(__xludf.DUMMYFUNCTION("""COMPUTED_VALUE"""),"Off School Property")</f>
        <v>Off School Property</v>
      </c>
      <c r="U2043" s="8" t="str">
        <f ca="1">IFERROR(__xludf.DUMMYFUNCTION("""COMPUTED_VALUE"""),"No")</f>
        <v>No</v>
      </c>
      <c r="V2043" s="8" t="str">
        <f ca="1">IFERROR(__xludf.DUMMYFUNCTION("""COMPUTED_VALUE"""),"Sport Event")</f>
        <v>Sport Event</v>
      </c>
      <c r="W2043" s="11">
        <f ca="1">IFERROR(__xludf.DUMMYFUNCTION("""COMPUTED_VALUE"""),0.791666666666666)</f>
        <v>0.79166666666666596</v>
      </c>
      <c r="X2043" s="8"/>
      <c r="Y2043" s="12" t="str">
        <f ca="1">IFERROR(__xludf.DUMMYFUNCTION("""COMPUTED_VALUE"""),"51 year-old male in camo with rifle fired multiple shots outside high school football game, shot and killed by police")</f>
        <v>51 year-old male in camo with rifle fired multiple shots outside high school football game, shot and killed by police</v>
      </c>
      <c r="Z2043" s="12" t="str">
        <f ca="1">IFERROR(__xludf.DUMMYFUNCTION("""COMPUTED_VALUE"""),"51YOM in camo clothing with rifle was pursued in vehicle by police. He stopped near a school and started firing shots at police and the field. Police rushed attendees at the game behind the bleachers. Police shot and killed the shooter in the street outsi"&amp;"de. Motive and target of shooting unknown.")</f>
        <v>51YOM in camo clothing with rifle was pursued in vehicle by police. He stopped near a school and started firing shots at police and the field. Police rushed attendees at the game behind the bleachers. Police shot and killed the shooter in the street outside. Motive and target of shooting unknown.</v>
      </c>
      <c r="AA2043" s="8" t="str">
        <f ca="1">IFERROR(__xludf.DUMMYFUNCTION("""COMPUTED_VALUE"""),"Indiscriminate Shooting")</f>
        <v>Indiscriminate Shooting</v>
      </c>
      <c r="AB2043" s="8"/>
      <c r="AC2043" s="8" t="str">
        <f ca="1">IFERROR(__xludf.DUMMYFUNCTION("""COMPUTED_VALUE"""),"Yes")</f>
        <v>Yes</v>
      </c>
      <c r="AD2043" s="8"/>
      <c r="AE2043" s="8" t="str">
        <f ca="1">IFERROR(__xludf.DUMMYFUNCTION("""COMPUTED_VALUE"""),"No")</f>
        <v>No</v>
      </c>
      <c r="AF2043" s="8"/>
      <c r="AG2043" s="8" t="str">
        <f ca="1">IFERROR(__xludf.DUMMYFUNCTION("""COMPUTED_VALUE"""),"No")</f>
        <v>No</v>
      </c>
      <c r="AH2043" s="8" t="str">
        <f ca="1">IFERROR(__xludf.DUMMYFUNCTION("""COMPUTED_VALUE"""),"No")</f>
        <v>No</v>
      </c>
      <c r="AI2043" s="8" t="str">
        <f ca="1">IFERROR(__xludf.DUMMYFUNCTION("""COMPUTED_VALUE"""),"No")</f>
        <v>No</v>
      </c>
      <c r="AJ2043" s="8" t="str">
        <f ca="1">IFERROR(__xludf.DUMMYFUNCTION("""COMPUTED_VALUE"""),"No")</f>
        <v>No</v>
      </c>
      <c r="AK2043" s="8" t="str">
        <f ca="1">IFERROR(__xludf.DUMMYFUNCTION("""COMPUTED_VALUE"""),"No")</f>
        <v>No</v>
      </c>
      <c r="AL2043" s="8" t="str">
        <f ca="1">IFERROR(__xludf.DUMMYFUNCTION("""COMPUTED_VALUE"""),"No")</f>
        <v>No</v>
      </c>
      <c r="AM2043" s="8" t="str">
        <f ca="1">IFERROR(__xludf.DUMMYFUNCTION("""COMPUTED_VALUE"""),"Yes")</f>
        <v>Yes</v>
      </c>
      <c r="AN2043" s="8" t="str">
        <f ca="1">IFERROR(__xludf.DUMMYFUNCTION("""COMPUTED_VALUE"""),"Outside")</f>
        <v>Outside</v>
      </c>
      <c r="AO2043" s="8" t="str">
        <f ca="1">IFERROR(__xludf.DUMMYFUNCTION("""COMPUTED_VALUE"""),"No")</f>
        <v>No</v>
      </c>
      <c r="AP2043" s="8"/>
      <c r="AQ2043" s="8" t="str">
        <f ca="1">IFERROR(__xludf.DUMMYFUNCTION("""COMPUTED_VALUE"""),"Unknown")</f>
        <v>Unknown</v>
      </c>
      <c r="AR2043" s="8" t="str">
        <f ca="1">IFERROR(__xludf.DUMMYFUNCTION("""COMPUTED_VALUE"""),"NA")</f>
        <v>NA</v>
      </c>
      <c r="AS2043" s="8"/>
      <c r="AT2043" s="8"/>
      <c r="AU2043" s="8">
        <f ca="1">IFERROR(__xludf.DUMMYFUNCTION("""COMPUTED_VALUE"""),47.522442)</f>
        <v>47.522441999999998</v>
      </c>
      <c r="AV2043" s="8">
        <f ca="1">IFERROR(__xludf.DUMMYFUNCTION("""COMPUTED_VALUE"""),-122.028759)</f>
        <v>-122.02875899999999</v>
      </c>
      <c r="AW2043" s="8"/>
      <c r="AX2043" s="8">
        <f ca="1">IFERROR(__xludf.DUMMYFUNCTION("""COMPUTED_VALUE"""),98027)</f>
        <v>98027</v>
      </c>
    </row>
    <row r="2044" spans="1:50" ht="180" x14ac:dyDescent="0.2">
      <c r="A2044" s="8" t="str">
        <f ca="1">IFERROR(__xludf.DUMMYFUNCTION("""COMPUTED_VALUE"""),"20110523HIHIP")</f>
        <v>20110523HIHIP</v>
      </c>
      <c r="B2044" s="8">
        <f ca="1">IFERROR(__xludf.DUMMYFUNCTION("""COMPUTED_VALUE"""),5)</f>
        <v>5</v>
      </c>
      <c r="C2044" s="8">
        <f ca="1">IFERROR(__xludf.DUMMYFUNCTION("""COMPUTED_VALUE"""),23)</f>
        <v>23</v>
      </c>
      <c r="D2044" s="8">
        <f ca="1">IFERROR(__xludf.DUMMYFUNCTION("""COMPUTED_VALUE"""),2011)</f>
        <v>2011</v>
      </c>
      <c r="E2044" s="9">
        <f ca="1">IFERROR(__xludf.DUMMYFUNCTION("""COMPUTED_VALUE"""),40686)</f>
        <v>40686</v>
      </c>
      <c r="F2044" s="8" t="str">
        <f ca="1">IFERROR(__xludf.DUMMYFUNCTION("""COMPUTED_VALUE"""),"Highlands Intermediate School")</f>
        <v>Highlands Intermediate School</v>
      </c>
      <c r="G2044" s="8">
        <f ca="1">IFERROR(__xludf.DUMMYFUNCTION("""COMPUTED_VALUE"""),0)</f>
        <v>0</v>
      </c>
      <c r="H2044" s="8">
        <f ca="1">IFERROR(__xludf.DUMMYFUNCTION("""COMPUTED_VALUE"""),1)</f>
        <v>1</v>
      </c>
      <c r="I2044" s="8">
        <f ca="1">IFERROR(__xludf.DUMMYFUNCTION("""COMPUTED_VALUE"""),1)</f>
        <v>1</v>
      </c>
      <c r="J2044" s="8">
        <f ca="1">IFERROR(__xludf.DUMMYFUNCTION("""COMPUTED_VALUE"""),0)</f>
        <v>0</v>
      </c>
      <c r="K2044" s="8" t="str">
        <f ca="1">IFERROR(__xludf.DUMMYFUNCTION("""COMPUTED_VALUE"""),"http://www.staradvertiser.com/2011/06/15/breaking-news/third-boy-arrested-in-highlands-school-shooting/    https://www.newspapers.com/image/321875717/?terms=Highland%2BIntermediate%2Bschool")</f>
        <v>http://www.staradvertiser.com/2011/06/15/breaking-news/third-boy-arrested-in-highlands-school-shooting/    https://www.newspapers.com/image/321875717/?terms=Highland%2BIntermediate%2Bschool</v>
      </c>
      <c r="L2044" s="8">
        <f ca="1">IFERROR(__xludf.DUMMYFUNCTION("""COMPUTED_VALUE"""),1)</f>
        <v>1</v>
      </c>
      <c r="M2044" s="8" t="str">
        <f ca="1">IFERROR(__xludf.DUMMYFUNCTION("""COMPUTED_VALUE"""),"Local")</f>
        <v>Local</v>
      </c>
      <c r="N2044" s="8">
        <f ca="1">IFERROR(__xludf.DUMMYFUNCTION("""COMPUTED_VALUE"""),3)</f>
        <v>3</v>
      </c>
      <c r="O2044" s="8" t="str">
        <f ca="1">IFERROR(__xludf.DUMMYFUNCTION("""COMPUTED_VALUE"""),"Spring")</f>
        <v>Spring</v>
      </c>
      <c r="P2044" s="8" t="str">
        <f ca="1">IFERROR(__xludf.DUMMYFUNCTION("""COMPUTED_VALUE"""),"Pearl City")</f>
        <v>Pearl City</v>
      </c>
      <c r="Q2044" s="8" t="str">
        <f ca="1">IFERROR(__xludf.DUMMYFUNCTION("""COMPUTED_VALUE"""),"HI")</f>
        <v>HI</v>
      </c>
      <c r="R2044" s="8" t="str">
        <f ca="1">IFERROR(__xludf.DUMMYFUNCTION("""COMPUTED_VALUE"""),"Middle")</f>
        <v>Middle</v>
      </c>
      <c r="S2044" s="8" t="str">
        <f ca="1">IFERROR(__xludf.DUMMYFUNCTION("""COMPUTED_VALUE"""),"Beside Building")</f>
        <v>Beside Building</v>
      </c>
      <c r="T2044" s="8" t="str">
        <f ca="1">IFERROR(__xludf.DUMMYFUNCTION("""COMPUTED_VALUE"""),"Outside on School Property")</f>
        <v>Outside on School Property</v>
      </c>
      <c r="U2044" s="8" t="str">
        <f ca="1">IFERROR(__xludf.DUMMYFUNCTION("""COMPUTED_VALUE"""),"Yes")</f>
        <v>Yes</v>
      </c>
      <c r="V2044" s="8" t="str">
        <f ca="1">IFERROR(__xludf.DUMMYFUNCTION("""COMPUTED_VALUE"""),"Before School")</f>
        <v>Before School</v>
      </c>
      <c r="W2044" s="11">
        <f ca="1">IFERROR(__xludf.DUMMYFUNCTION("""COMPUTED_VALUE"""),0.270833333333333)</f>
        <v>0.27083333333333298</v>
      </c>
      <c r="X2044" s="8">
        <f ca="1">IFERROR(__xludf.DUMMYFUNCTION("""COMPUTED_VALUE"""),1)</f>
        <v>1</v>
      </c>
      <c r="Y2044" s="12" t="str">
        <f ca="1">IFERROR(__xludf.DUMMYFUNCTION("""COMPUTED_VALUE"""),"Accidental discharge when handling gun found behind school")</f>
        <v>Accidental discharge when handling gun found behind school</v>
      </c>
      <c r="Z2044" s="12" t="str">
        <f ca="1">IFERROR(__xludf.DUMMYFUNCTION("""COMPUTED_VALUE"""),"Shooter reported that he found the gun on Friday behind the school gym, but didn't pick the weapon up until Monday morning. The 14 year-old student told his father that he was showing the firearm to some friends when one of them pushed it away, and that i"&amp;"s when the weapon discharged. The bullet hit a wall, ricocheted, then broke into pieces that struck another student. Police arrested 3 juveniles in connection with the shooting. Allegedly, a 14YOM student stole the gun from his father the Christmas prior,"&amp;" sold it to a 16YOM student, who sold it to the 14YOM student who discharged it during the incident. The adult owner of the gun confirmed it was stolen but he never reported it.")</f>
        <v>Shooter reported that he found the gun on Friday behind the school gym, but didn't pick the weapon up until Monday morning. The 14 year-old student told his father that he was showing the firearm to some friends when one of them pushed it away, and that is when the weapon discharged. The bullet hit a wall, ricocheted, then broke into pieces that struck another student. Police arrested 3 juveniles in connection with the shooting. Allegedly, a 14YOM student stole the gun from his father the Christmas prior, sold it to a 16YOM student, who sold it to the 14YOM student who discharged it during the incident. The adult owner of the gun confirmed it was stolen but he never reported it.</v>
      </c>
      <c r="AA2044" s="8" t="str">
        <f ca="1">IFERROR(__xludf.DUMMYFUNCTION("""COMPUTED_VALUE"""),"Accidental")</f>
        <v>Accidental</v>
      </c>
      <c r="AB2044" s="8"/>
      <c r="AC2044" s="8" t="str">
        <f ca="1">IFERROR(__xludf.DUMMYFUNCTION("""COMPUTED_VALUE"""),"Yes")</f>
        <v>Yes</v>
      </c>
      <c r="AD2044" s="8" t="str">
        <f ca="1">IFERROR(__xludf.DUMMYFUNCTION("""COMPUTED_VALUE"""),"Random Shooting")</f>
        <v>Random Shooting</v>
      </c>
      <c r="AE2044" s="8" t="str">
        <f ca="1">IFERROR(__xludf.DUMMYFUNCTION("""COMPUTED_VALUE"""),"No")</f>
        <v>No</v>
      </c>
      <c r="AF2044" s="8"/>
      <c r="AG2044" s="8" t="str">
        <f ca="1">IFERROR(__xludf.DUMMYFUNCTION("""COMPUTED_VALUE"""),"No")</f>
        <v>No</v>
      </c>
      <c r="AH2044" s="8" t="str">
        <f ca="1">IFERROR(__xludf.DUMMYFUNCTION("""COMPUTED_VALUE"""),"No")</f>
        <v>No</v>
      </c>
      <c r="AI2044" s="8" t="str">
        <f ca="1">IFERROR(__xludf.DUMMYFUNCTION("""COMPUTED_VALUE"""),"No")</f>
        <v>No</v>
      </c>
      <c r="AJ2044" s="8" t="str">
        <f ca="1">IFERROR(__xludf.DUMMYFUNCTION("""COMPUTED_VALUE"""),"No")</f>
        <v>No</v>
      </c>
      <c r="AK2044" s="8" t="str">
        <f ca="1">IFERROR(__xludf.DUMMYFUNCTION("""COMPUTED_VALUE"""),"No")</f>
        <v>No</v>
      </c>
      <c r="AL2044" s="8" t="str">
        <f ca="1">IFERROR(__xludf.DUMMYFUNCTION("""COMPUTED_VALUE"""),"No")</f>
        <v>No</v>
      </c>
      <c r="AM2044" s="8"/>
      <c r="AN2044" s="8"/>
      <c r="AO2044" s="8" t="str">
        <f ca="1">IFERROR(__xludf.DUMMYFUNCTION("""COMPUTED_VALUE"""),"No")</f>
        <v>No</v>
      </c>
      <c r="AP2044" s="8"/>
      <c r="AQ2044" s="8" t="str">
        <f ca="1">IFERROR(__xludf.DUMMYFUNCTION("""COMPUTED_VALUE"""),"Unknown")</f>
        <v>Unknown</v>
      </c>
      <c r="AR2044" s="8" t="str">
        <f ca="1">IFERROR(__xludf.DUMMYFUNCTION("""COMPUTED_VALUE"""),"NA")</f>
        <v>NA</v>
      </c>
      <c r="AS2044" s="8">
        <f ca="1">IFERROR(__xludf.DUMMYFUNCTION("""COMPUTED_VALUE"""),1)</f>
        <v>1</v>
      </c>
      <c r="AT2044" s="8"/>
      <c r="AU2044" s="8">
        <f ca="1">IFERROR(__xludf.DUMMYFUNCTION("""COMPUTED_VALUE"""),21.400742)</f>
        <v>21.400742000000001</v>
      </c>
      <c r="AV2044" s="8">
        <f ca="1">IFERROR(__xludf.DUMMYFUNCTION("""COMPUTED_VALUE"""),-157.962638)</f>
        <v>-157.962638</v>
      </c>
      <c r="AW2044" s="8"/>
      <c r="AX2044" s="8">
        <f ca="1">IFERROR(__xludf.DUMMYFUNCTION("""COMPUTED_VALUE"""),96782)</f>
        <v>96782</v>
      </c>
    </row>
    <row r="2045" spans="1:50" ht="60" x14ac:dyDescent="0.2">
      <c r="A2045" s="8" t="str">
        <f ca="1">IFERROR(__xludf.DUMMYFUNCTION("""COMPUTED_VALUE"""),"20110517WAHOE")</f>
        <v>20110517WAHOE</v>
      </c>
      <c r="B2045" s="8">
        <f ca="1">IFERROR(__xludf.DUMMYFUNCTION("""COMPUTED_VALUE"""),5)</f>
        <v>5</v>
      </c>
      <c r="C2045" s="8">
        <f ca="1">IFERROR(__xludf.DUMMYFUNCTION("""COMPUTED_VALUE"""),17)</f>
        <v>17</v>
      </c>
      <c r="D2045" s="8">
        <f ca="1">IFERROR(__xludf.DUMMYFUNCTION("""COMPUTED_VALUE"""),2011)</f>
        <v>2011</v>
      </c>
      <c r="E2045" s="9">
        <f ca="1">IFERROR(__xludf.DUMMYFUNCTION("""COMPUTED_VALUE"""),40680)</f>
        <v>40680</v>
      </c>
      <c r="F2045" s="8" t="str">
        <f ca="1">IFERROR(__xludf.DUMMYFUNCTION("""COMPUTED_VALUE"""),"Horizon Elementary School")</f>
        <v>Horizon Elementary School</v>
      </c>
      <c r="G2045" s="8">
        <f ca="1">IFERROR(__xludf.DUMMYFUNCTION("""COMPUTED_VALUE"""),0)</f>
        <v>0</v>
      </c>
      <c r="H2045" s="8">
        <f ca="1">IFERROR(__xludf.DUMMYFUNCTION("""COMPUTED_VALUE"""),1)</f>
        <v>1</v>
      </c>
      <c r="I2045" s="8">
        <f ca="1">IFERROR(__xludf.DUMMYFUNCTION("""COMPUTED_VALUE"""),1)</f>
        <v>1</v>
      </c>
      <c r="J2045" s="8">
        <f ca="1">IFERROR(__xludf.DUMMYFUNCTION("""COMPUTED_VALUE"""),0)</f>
        <v>0</v>
      </c>
      <c r="K2045" s="10" t="str">
        <f ca="1">IFERROR(__xludf.DUMMYFUNCTION("""COMPUTED_VALUE"""),"https://www.heraldnet.com/news/marysville-teen-sentenced-to-10-years-for-shooting-outside-everett-school/")</f>
        <v>https://www.heraldnet.com/news/marysville-teen-sentenced-to-10-years-for-shooting-outside-everett-school/</v>
      </c>
      <c r="L2045" s="8">
        <f ca="1">IFERROR(__xludf.DUMMYFUNCTION("""COMPUTED_VALUE"""),1)</f>
        <v>1</v>
      </c>
      <c r="M2045" s="8" t="str">
        <f ca="1">IFERROR(__xludf.DUMMYFUNCTION("""COMPUTED_VALUE"""),"Local")</f>
        <v>Local</v>
      </c>
      <c r="N2045" s="8">
        <f ca="1">IFERROR(__xludf.DUMMYFUNCTION("""COMPUTED_VALUE"""),3)</f>
        <v>3</v>
      </c>
      <c r="O2045" s="8" t="str">
        <f ca="1">IFERROR(__xludf.DUMMYFUNCTION("""COMPUTED_VALUE"""),"Spring")</f>
        <v>Spring</v>
      </c>
      <c r="P2045" s="8" t="str">
        <f ca="1">IFERROR(__xludf.DUMMYFUNCTION("""COMPUTED_VALUE"""),"Everett")</f>
        <v>Everett</v>
      </c>
      <c r="Q2045" s="8" t="str">
        <f ca="1">IFERROR(__xludf.DUMMYFUNCTION("""COMPUTED_VALUE"""),"WA")</f>
        <v>WA</v>
      </c>
      <c r="R2045" s="8" t="str">
        <f ca="1">IFERROR(__xludf.DUMMYFUNCTION("""COMPUTED_VALUE"""),"Elementary")</f>
        <v>Elementary</v>
      </c>
      <c r="S2045" s="8" t="str">
        <f ca="1">IFERROR(__xludf.DUMMYFUNCTION("""COMPUTED_VALUE"""),"Basketball Court")</f>
        <v>Basketball Court</v>
      </c>
      <c r="T2045" s="8" t="str">
        <f ca="1">IFERROR(__xludf.DUMMYFUNCTION("""COMPUTED_VALUE"""),"Outside on School Property")</f>
        <v>Outside on School Property</v>
      </c>
      <c r="U2045" s="8" t="str">
        <f ca="1">IFERROR(__xludf.DUMMYFUNCTION("""COMPUTED_VALUE"""),"No")</f>
        <v>No</v>
      </c>
      <c r="V2045" s="8" t="str">
        <f ca="1">IFERROR(__xludf.DUMMYFUNCTION("""COMPUTED_VALUE"""),"Evening")</f>
        <v>Evening</v>
      </c>
      <c r="W2045" s="11">
        <f ca="1">IFERROR(__xludf.DUMMYFUNCTION("""COMPUTED_VALUE"""),0.770833333333333)</f>
        <v>0.77083333333333304</v>
      </c>
      <c r="X2045" s="8">
        <f ca="1">IFERROR(__xludf.DUMMYFUNCTION("""COMPUTED_VALUE"""),1)</f>
        <v>1</v>
      </c>
      <c r="Y2045" s="12" t="str">
        <f ca="1">IFERROR(__xludf.DUMMYFUNCTION("""COMPUTED_VALUE"""),"Argument on the outdoor basketball court, result of an ongoing gang feud")</f>
        <v>Argument on the outdoor basketball court, result of an ongoing gang feud</v>
      </c>
      <c r="Z2045" s="12" t="str">
        <f ca="1">IFERROR(__xludf.DUMMYFUNCTION("""COMPUTED_VALUE"""),"A group of teens were playing basketball when an argument ensued - one teen pulled out a gun and shot another in the chest. Shooter fled, but was caught by police - sentenced to 10 years in jail")</f>
        <v>A group of teens were playing basketball when an argument ensued - one teen pulled out a gun and shot another in the chest. Shooter fled, but was caught by police - sentenced to 10 years in jail</v>
      </c>
      <c r="AA2045" s="8" t="str">
        <f ca="1">IFERROR(__xludf.DUMMYFUNCTION("""COMPUTED_VALUE"""),"Escalation of Dispute")</f>
        <v>Escalation of Dispute</v>
      </c>
      <c r="AB2045" s="8"/>
      <c r="AC2045" s="8" t="str">
        <f ca="1">IFERROR(__xludf.DUMMYFUNCTION("""COMPUTED_VALUE"""),"No")</f>
        <v>No</v>
      </c>
      <c r="AD2045" s="8" t="str">
        <f ca="1">IFERROR(__xludf.DUMMYFUNCTION("""COMPUTED_VALUE"""),"Victims Targeted")</f>
        <v>Victims Targeted</v>
      </c>
      <c r="AE2045" s="8"/>
      <c r="AF2045" s="8"/>
      <c r="AG2045" s="8" t="str">
        <f ca="1">IFERROR(__xludf.DUMMYFUNCTION("""COMPUTED_VALUE"""),"No")</f>
        <v>No</v>
      </c>
      <c r="AH2045" s="8" t="str">
        <f ca="1">IFERROR(__xludf.DUMMYFUNCTION("""COMPUTED_VALUE"""),"No")</f>
        <v>No</v>
      </c>
      <c r="AI2045" s="8" t="str">
        <f ca="1">IFERROR(__xludf.DUMMYFUNCTION("""COMPUTED_VALUE"""),"No")</f>
        <v>No</v>
      </c>
      <c r="AJ2045" s="8" t="str">
        <f ca="1">IFERROR(__xludf.DUMMYFUNCTION("""COMPUTED_VALUE"""),"No")</f>
        <v>No</v>
      </c>
      <c r="AK2045" s="8" t="str">
        <f ca="1">IFERROR(__xludf.DUMMYFUNCTION("""COMPUTED_VALUE"""),"No")</f>
        <v>No</v>
      </c>
      <c r="AL2045" s="8" t="str">
        <f ca="1">IFERROR(__xludf.DUMMYFUNCTION("""COMPUTED_VALUE"""),"Yes")</f>
        <v>Yes</v>
      </c>
      <c r="AM2045" s="8"/>
      <c r="AN2045" s="8"/>
      <c r="AO2045" s="8" t="str">
        <f ca="1">IFERROR(__xludf.DUMMYFUNCTION("""COMPUTED_VALUE"""),"No")</f>
        <v>No</v>
      </c>
      <c r="AP2045" s="8" t="str">
        <f ca="1">IFERROR(__xludf.DUMMYFUNCTION("""COMPUTED_VALUE"""),"N/A")</f>
        <v>N/A</v>
      </c>
      <c r="AQ2045" s="8" t="str">
        <f ca="1">IFERROR(__xludf.DUMMYFUNCTION("""COMPUTED_VALUE"""),"Unknown")</f>
        <v>Unknown</v>
      </c>
      <c r="AR2045" s="8" t="str">
        <f ca="1">IFERROR(__xludf.DUMMYFUNCTION("""COMPUTED_VALUE"""),"NA")</f>
        <v>NA</v>
      </c>
      <c r="AS2045" s="8"/>
      <c r="AT2045" s="8" t="str">
        <f ca="1">IFERROR(__xludf.DUMMYFUNCTION("""COMPUTED_VALUE"""),"N/A")</f>
        <v>N/A</v>
      </c>
      <c r="AU2045" s="8">
        <f ca="1">IFERROR(__xludf.DUMMYFUNCTION("""COMPUTED_VALUE"""),47.920912)</f>
        <v>47.920912000000001</v>
      </c>
      <c r="AV2045" s="8">
        <f ca="1">IFERROR(__xludf.DUMMYFUNCTION("""COMPUTED_VALUE"""),-122.237233)</f>
        <v>-122.237233</v>
      </c>
      <c r="AW2045" s="8"/>
      <c r="AX2045" s="8">
        <f ca="1">IFERROR(__xludf.DUMMYFUNCTION("""COMPUTED_VALUE"""),98204)</f>
        <v>98204</v>
      </c>
    </row>
    <row r="2046" spans="1:50" ht="60" x14ac:dyDescent="0.2">
      <c r="A2046" s="8" t="str">
        <f ca="1">IFERROR(__xludf.DUMMYFUNCTION("""COMPUTED_VALUE"""),"20110419TXBEH")</f>
        <v>20110419TXBEH</v>
      </c>
      <c r="B2046" s="8">
        <f ca="1">IFERROR(__xludf.DUMMYFUNCTION("""COMPUTED_VALUE"""),4)</f>
        <v>4</v>
      </c>
      <c r="C2046" s="8">
        <f ca="1">IFERROR(__xludf.DUMMYFUNCTION("""COMPUTED_VALUE"""),19)</f>
        <v>19</v>
      </c>
      <c r="D2046" s="8">
        <f ca="1">IFERROR(__xludf.DUMMYFUNCTION("""COMPUTED_VALUE"""),2011)</f>
        <v>2011</v>
      </c>
      <c r="E2046" s="9">
        <f ca="1">IFERROR(__xludf.DUMMYFUNCTION("""COMPUTED_VALUE"""),40652)</f>
        <v>40652</v>
      </c>
      <c r="F2046" s="8" t="str">
        <f ca="1">IFERROR(__xludf.DUMMYFUNCTION("""COMPUTED_VALUE"""),"Betsy Ross Elementary School")</f>
        <v>Betsy Ross Elementary School</v>
      </c>
      <c r="G2046" s="8">
        <f ca="1">IFERROR(__xludf.DUMMYFUNCTION("""COMPUTED_VALUE"""),0)</f>
        <v>0</v>
      </c>
      <c r="H2046" s="8">
        <f ca="1">IFERROR(__xludf.DUMMYFUNCTION("""COMPUTED_VALUE"""),3)</f>
        <v>3</v>
      </c>
      <c r="I2046" s="8">
        <f ca="1">IFERROR(__xludf.DUMMYFUNCTION("""COMPUTED_VALUE"""),3)</f>
        <v>3</v>
      </c>
      <c r="J2046" s="8">
        <f ca="1">IFERROR(__xludf.DUMMYFUNCTION("""COMPUTED_VALUE"""),0)</f>
        <v>0</v>
      </c>
      <c r="K2046" s="8" t="str">
        <f ca="1">IFERROR(__xludf.DUMMYFUNCTION("""COMPUTED_VALUE"""),"https://www.cbsnews.com/news/texas-schoolboy-6-accidentally-discharges-gun-in-cafeteria-three-children-wounded-say-police/ https://www.nydailynews.com/news/national/kindergartener-drops-gun-brought-houston-betsy-ross-elementary-school-3-kids-wounded-artic"&amp;"le-1.110998 https://www.cbsnews.com/news/texas-schoolboy-6-accidentally-discharges-gun-in-cafeteria-three-children-wounded-say-police/")</f>
        <v>https://www.cbsnews.com/news/texas-schoolboy-6-accidentally-discharges-gun-in-cafeteria-three-children-wounded-say-police/ https://www.nydailynews.com/news/national/kindergartener-drops-gun-brought-houston-betsy-ross-elementary-school-3-kids-wounded-article-1.110998 https://www.cbsnews.com/news/texas-schoolboy-6-accidentally-discharges-gun-in-cafeteria-three-children-wounded-say-police/</v>
      </c>
      <c r="L2046" s="8">
        <f ca="1">IFERROR(__xludf.DUMMYFUNCTION("""COMPUTED_VALUE"""),5)</f>
        <v>5</v>
      </c>
      <c r="M2046" s="8" t="str">
        <f ca="1">IFERROR(__xludf.DUMMYFUNCTION("""COMPUTED_VALUE"""),"National")</f>
        <v>National</v>
      </c>
      <c r="N2046" s="8">
        <f ca="1">IFERROR(__xludf.DUMMYFUNCTION("""COMPUTED_VALUE"""),4)</f>
        <v>4</v>
      </c>
      <c r="O2046" s="8" t="str">
        <f ca="1">IFERROR(__xludf.DUMMYFUNCTION("""COMPUTED_VALUE"""),"Spring")</f>
        <v>Spring</v>
      </c>
      <c r="P2046" s="8" t="str">
        <f ca="1">IFERROR(__xludf.DUMMYFUNCTION("""COMPUTED_VALUE"""),"Houston")</f>
        <v>Houston</v>
      </c>
      <c r="Q2046" s="8" t="str">
        <f ca="1">IFERROR(__xludf.DUMMYFUNCTION("""COMPUTED_VALUE"""),"TX")</f>
        <v>TX</v>
      </c>
      <c r="R2046" s="8" t="str">
        <f ca="1">IFERROR(__xludf.DUMMYFUNCTION("""COMPUTED_VALUE"""),"Elementary")</f>
        <v>Elementary</v>
      </c>
      <c r="S2046" s="8" t="str">
        <f ca="1">IFERROR(__xludf.DUMMYFUNCTION("""COMPUTED_VALUE"""),"Cafeteria")</f>
        <v>Cafeteria</v>
      </c>
      <c r="T2046" s="8" t="str">
        <f ca="1">IFERROR(__xludf.DUMMYFUNCTION("""COMPUTED_VALUE"""),"Inside School Building")</f>
        <v>Inside School Building</v>
      </c>
      <c r="U2046" s="8" t="str">
        <f ca="1">IFERROR(__xludf.DUMMYFUNCTION("""COMPUTED_VALUE"""),"Yes")</f>
        <v>Yes</v>
      </c>
      <c r="V2046" s="8" t="str">
        <f ca="1">IFERROR(__xludf.DUMMYFUNCTION("""COMPUTED_VALUE"""),"Lunch")</f>
        <v>Lunch</v>
      </c>
      <c r="W2046" s="11">
        <f ca="1">IFERROR(__xludf.DUMMYFUNCTION("""COMPUTED_VALUE"""),0.458333333333333)</f>
        <v>0.45833333333333298</v>
      </c>
      <c r="X2046" s="8">
        <f ca="1">IFERROR(__xludf.DUMMYFUNCTION("""COMPUTED_VALUE"""),1)</f>
        <v>1</v>
      </c>
      <c r="Y2046" s="12" t="str">
        <f ca="1">IFERROR(__xludf.DUMMYFUNCTION("""COMPUTED_VALUE"""),"Gun fell out of pocket of 6 YOM student in cafeteria, injured 3")</f>
        <v>Gun fell out of pocket of 6 YOM student in cafeteria, injured 3</v>
      </c>
      <c r="Z2046" s="12" t="str">
        <f ca="1">IFERROR(__xludf.DUMMYFUNCTION("""COMPUTED_VALUE"""),"A handgun fell out of the pocket of a 6YOM student when he sat down for lunch in cafeteria and discharged injuring 3 other students.")</f>
        <v>A handgun fell out of the pocket of a 6YOM student when he sat down for lunch in cafeteria and discharged injuring 3 other students.</v>
      </c>
      <c r="AA2046" s="8" t="str">
        <f ca="1">IFERROR(__xludf.DUMMYFUNCTION("""COMPUTED_VALUE"""),"Accidental")</f>
        <v>Accidental</v>
      </c>
      <c r="AB2046" s="8"/>
      <c r="AC2046" s="8" t="str">
        <f ca="1">IFERROR(__xludf.DUMMYFUNCTION("""COMPUTED_VALUE"""),"Yes")</f>
        <v>Yes</v>
      </c>
      <c r="AD2046" s="8" t="str">
        <f ca="1">IFERROR(__xludf.DUMMYFUNCTION("""COMPUTED_VALUE"""),"Random Shooting")</f>
        <v>Random Shooting</v>
      </c>
      <c r="AE2046" s="8" t="str">
        <f ca="1">IFERROR(__xludf.DUMMYFUNCTION("""COMPUTED_VALUE"""),"No")</f>
        <v>No</v>
      </c>
      <c r="AF2046" s="8"/>
      <c r="AG2046" s="8" t="str">
        <f ca="1">IFERROR(__xludf.DUMMYFUNCTION("""COMPUTED_VALUE"""),"No")</f>
        <v>No</v>
      </c>
      <c r="AH2046" s="8" t="str">
        <f ca="1">IFERROR(__xludf.DUMMYFUNCTION("""COMPUTED_VALUE"""),"No")</f>
        <v>No</v>
      </c>
      <c r="AI2046" s="8" t="str">
        <f ca="1">IFERROR(__xludf.DUMMYFUNCTION("""COMPUTED_VALUE"""),"No")</f>
        <v>No</v>
      </c>
      <c r="AJ2046" s="8" t="str">
        <f ca="1">IFERROR(__xludf.DUMMYFUNCTION("""COMPUTED_VALUE"""),"No")</f>
        <v>No</v>
      </c>
      <c r="AK2046" s="8" t="str">
        <f ca="1">IFERROR(__xludf.DUMMYFUNCTION("""COMPUTED_VALUE"""),"No")</f>
        <v>No</v>
      </c>
      <c r="AL2046" s="8" t="str">
        <f ca="1">IFERROR(__xludf.DUMMYFUNCTION("""COMPUTED_VALUE"""),"No")</f>
        <v>No</v>
      </c>
      <c r="AM2046" s="8"/>
      <c r="AN2046" s="8"/>
      <c r="AO2046" s="8" t="str">
        <f ca="1">IFERROR(__xludf.DUMMYFUNCTION("""COMPUTED_VALUE"""),"No")</f>
        <v>No</v>
      </c>
      <c r="AP2046" s="8" t="str">
        <f ca="1">IFERROR(__xludf.DUMMYFUNCTION("""COMPUTED_VALUE"""),"No")</f>
        <v>No</v>
      </c>
      <c r="AQ2046" s="8" t="str">
        <f ca="1">IFERROR(__xludf.DUMMYFUNCTION("""COMPUTED_VALUE"""),"None")</f>
        <v>None</v>
      </c>
      <c r="AR2046" s="8" t="str">
        <f ca="1">IFERROR(__xludf.DUMMYFUNCTION("""COMPUTED_VALUE"""),"NA")</f>
        <v>NA</v>
      </c>
      <c r="AS2046" s="8">
        <f ca="1">IFERROR(__xludf.DUMMYFUNCTION("""COMPUTED_VALUE"""),1)</f>
        <v>1</v>
      </c>
      <c r="AT2046" s="8" t="str">
        <f ca="1">IFERROR(__xludf.DUMMYFUNCTION("""COMPUTED_VALUE"""),"No")</f>
        <v>No</v>
      </c>
      <c r="AU2046" s="8">
        <f ca="1">IFERROR(__xludf.DUMMYFUNCTION("""COMPUTED_VALUE"""),29.800671)</f>
        <v>29.800671000000001</v>
      </c>
      <c r="AV2046" s="8">
        <f ca="1">IFERROR(__xludf.DUMMYFUNCTION("""COMPUTED_VALUE"""),-95.340855)</f>
        <v>-95.340855000000005</v>
      </c>
      <c r="AW2046" s="8"/>
      <c r="AX2046" s="8">
        <f ca="1">IFERROR(__xludf.DUMMYFUNCTION("""COMPUTED_VALUE"""),77026)</f>
        <v>77026</v>
      </c>
    </row>
    <row r="2047" spans="1:50" ht="90" x14ac:dyDescent="0.2">
      <c r="A2047" s="8" t="str">
        <f ca="1">IFERROR(__xludf.DUMMYFUNCTION("""COMPUTED_VALUE"""),"20110413FLSHA")</f>
        <v>20110413FLSHA</v>
      </c>
      <c r="B2047" s="8">
        <f ca="1">IFERROR(__xludf.DUMMYFUNCTION("""COMPUTED_VALUE"""),4)</f>
        <v>4</v>
      </c>
      <c r="C2047" s="8">
        <f ca="1">IFERROR(__xludf.DUMMYFUNCTION("""COMPUTED_VALUE"""),13)</f>
        <v>13</v>
      </c>
      <c r="D2047" s="8">
        <f ca="1">IFERROR(__xludf.DUMMYFUNCTION("""COMPUTED_VALUE"""),2011)</f>
        <v>2011</v>
      </c>
      <c r="E2047" s="9">
        <f ca="1">IFERROR(__xludf.DUMMYFUNCTION("""COMPUTED_VALUE"""),40646)</f>
        <v>40646</v>
      </c>
      <c r="F2047" s="8" t="str">
        <f ca="1">IFERROR(__xludf.DUMMYFUNCTION("""COMPUTED_VALUE"""),"Sheeler Charter High School")</f>
        <v>Sheeler Charter High School</v>
      </c>
      <c r="G2047" s="8">
        <f ca="1">IFERROR(__xludf.DUMMYFUNCTION("""COMPUTED_VALUE"""),0)</f>
        <v>0</v>
      </c>
      <c r="H2047" s="8">
        <f ca="1">IFERROR(__xludf.DUMMYFUNCTION("""COMPUTED_VALUE"""),1)</f>
        <v>1</v>
      </c>
      <c r="I2047" s="8">
        <f ca="1">IFERROR(__xludf.DUMMYFUNCTION("""COMPUTED_VALUE"""),1)</f>
        <v>1</v>
      </c>
      <c r="J2047" s="8">
        <f ca="1">IFERROR(__xludf.DUMMYFUNCTION("""COMPUTED_VALUE"""),0)</f>
        <v>0</v>
      </c>
      <c r="K2047" s="8" t="str">
        <f ca="1">IFERROR(__xludf.DUMMYFUNCTION("""COMPUTED_VALUE"""),"https://www.wftv.com/news/2-teens-facing-charges-after-shooting-outside-scho/286627477  https://www.newspapers.com/image/268436937/?terms=sheeler%2Bcharter%2Bhigh%2Bschool")</f>
        <v>https://www.wftv.com/news/2-teens-facing-charges-after-shooting-outside-scho/286627477  https://www.newspapers.com/image/268436937/?terms=sheeler%2Bcharter%2Bhigh%2Bschool</v>
      </c>
      <c r="L2047" s="8">
        <f ca="1">IFERROR(__xludf.DUMMYFUNCTION("""COMPUTED_VALUE"""),1)</f>
        <v>1</v>
      </c>
      <c r="M2047" s="8" t="str">
        <f ca="1">IFERROR(__xludf.DUMMYFUNCTION("""COMPUTED_VALUE"""),"Local")</f>
        <v>Local</v>
      </c>
      <c r="N2047" s="8">
        <f ca="1">IFERROR(__xludf.DUMMYFUNCTION("""COMPUTED_VALUE"""),3)</f>
        <v>3</v>
      </c>
      <c r="O2047" s="8" t="str">
        <f ca="1">IFERROR(__xludf.DUMMYFUNCTION("""COMPUTED_VALUE"""),"Spring")</f>
        <v>Spring</v>
      </c>
      <c r="P2047" s="8" t="str">
        <f ca="1">IFERROR(__xludf.DUMMYFUNCTION("""COMPUTED_VALUE"""),"Apopka")</f>
        <v>Apopka</v>
      </c>
      <c r="Q2047" s="8" t="str">
        <f ca="1">IFERROR(__xludf.DUMMYFUNCTION("""COMPUTED_VALUE"""),"FL")</f>
        <v>FL</v>
      </c>
      <c r="R2047" s="8" t="str">
        <f ca="1">IFERROR(__xludf.DUMMYFUNCTION("""COMPUTED_VALUE"""),"High")</f>
        <v>High</v>
      </c>
      <c r="S2047" s="8" t="str">
        <f ca="1">IFERROR(__xludf.DUMMYFUNCTION("""COMPUTED_VALUE"""),"Parking Lot")</f>
        <v>Parking Lot</v>
      </c>
      <c r="T2047" s="8" t="str">
        <f ca="1">IFERROR(__xludf.DUMMYFUNCTION("""COMPUTED_VALUE"""),"Outside on School Property")</f>
        <v>Outside on School Property</v>
      </c>
      <c r="U2047" s="8" t="str">
        <f ca="1">IFERROR(__xludf.DUMMYFUNCTION("""COMPUTED_VALUE"""),"Yes")</f>
        <v>Yes</v>
      </c>
      <c r="V2047" s="8" t="str">
        <f ca="1">IFERROR(__xludf.DUMMYFUNCTION("""COMPUTED_VALUE"""),"Lunch")</f>
        <v>Lunch</v>
      </c>
      <c r="W2047" s="11">
        <f ca="1">IFERROR(__xludf.DUMMYFUNCTION("""COMPUTED_VALUE"""),0.5)</f>
        <v>0.5</v>
      </c>
      <c r="X2047" s="8">
        <f ca="1">IFERROR(__xludf.DUMMYFUNCTION("""COMPUTED_VALUE"""),1)</f>
        <v>1</v>
      </c>
      <c r="Y2047" s="12" t="str">
        <f ca="1">IFERROR(__xludf.DUMMYFUNCTION("""COMPUTED_VALUE"""),"Fight in school parking lot")</f>
        <v>Fight in school parking lot</v>
      </c>
      <c r="Z2047" s="12" t="str">
        <f ca="1">IFERROR(__xludf.DUMMYFUNCTION("""COMPUTED_VALUE"""),"The suspects, two non students, approached a student at the parking lot and an argument started. A school administrator tried to break off the fights but one of the suspects pulled a gun and accidentally shot the other suspect. Both suspects fled and were"&amp;" later apprehended, the gun was recovered.")</f>
        <v>The suspects, two non students, approached a student at the parking lot and an argument started. A school administrator tried to break off the fights but one of the suspects pulled a gun and accidentally shot the other suspect. Both suspects fled and were later apprehended, the gun was recovered.</v>
      </c>
      <c r="AA2047" s="8" t="str">
        <f ca="1">IFERROR(__xludf.DUMMYFUNCTION("""COMPUTED_VALUE"""),"Escalation of Dispute")</f>
        <v>Escalation of Dispute</v>
      </c>
      <c r="AB2047" s="8"/>
      <c r="AC2047" s="8" t="str">
        <f ca="1">IFERROR(__xludf.DUMMYFUNCTION("""COMPUTED_VALUE"""),"Yes")</f>
        <v>Yes</v>
      </c>
      <c r="AD2047" s="8" t="str">
        <f ca="1">IFERROR(__xludf.DUMMYFUNCTION("""COMPUTED_VALUE"""),"Both")</f>
        <v>Both</v>
      </c>
      <c r="AE2047" s="8" t="str">
        <f ca="1">IFERROR(__xludf.DUMMYFUNCTION("""COMPUTED_VALUE"""),"Yes")</f>
        <v>Yes</v>
      </c>
      <c r="AF2047" s="8" t="str">
        <f ca="1">IFERROR(__xludf.DUMMYFUNCTION("""COMPUTED_VALUE"""),"Other non-student (17 YOM) accomplice was shot accidentally, later charged with battery and trespassing")</f>
        <v>Other non-student (17 YOM) accomplice was shot accidentally, later charged with battery and trespassing</v>
      </c>
      <c r="AG2047" s="8" t="str">
        <f ca="1">IFERROR(__xludf.DUMMYFUNCTION("""COMPUTED_VALUE"""),"No")</f>
        <v>No</v>
      </c>
      <c r="AH2047" s="8" t="str">
        <f ca="1">IFERROR(__xludf.DUMMYFUNCTION("""COMPUTED_VALUE"""),"No")</f>
        <v>No</v>
      </c>
      <c r="AI2047" s="8" t="str">
        <f ca="1">IFERROR(__xludf.DUMMYFUNCTION("""COMPUTED_VALUE"""),"No")</f>
        <v>No</v>
      </c>
      <c r="AJ2047" s="8" t="str">
        <f ca="1">IFERROR(__xludf.DUMMYFUNCTION("""COMPUTED_VALUE"""),"No")</f>
        <v>No</v>
      </c>
      <c r="AK2047" s="8" t="str">
        <f ca="1">IFERROR(__xludf.DUMMYFUNCTION("""COMPUTED_VALUE"""),"No")</f>
        <v>No</v>
      </c>
      <c r="AL2047" s="8" t="str">
        <f ca="1">IFERROR(__xludf.DUMMYFUNCTION("""COMPUTED_VALUE"""),"No")</f>
        <v>No</v>
      </c>
      <c r="AM2047" s="8"/>
      <c r="AN2047" s="8"/>
      <c r="AO2047" s="8" t="str">
        <f ca="1">IFERROR(__xludf.DUMMYFUNCTION("""COMPUTED_VALUE"""),"No")</f>
        <v>No</v>
      </c>
      <c r="AP2047" s="8" t="str">
        <f ca="1">IFERROR(__xludf.DUMMYFUNCTION("""COMPUTED_VALUE"""),"Yes")</f>
        <v>Yes</v>
      </c>
      <c r="AQ2047" s="8" t="str">
        <f ca="1">IFERROR(__xludf.DUMMYFUNCTION("""COMPUTED_VALUE"""),"Metal Detectors")</f>
        <v>Metal Detectors</v>
      </c>
      <c r="AR2047" s="8" t="str">
        <f ca="1">IFERROR(__xludf.DUMMYFUNCTION("""COMPUTED_VALUE"""),"Outside/Off-Property")</f>
        <v>Outside/Off-Property</v>
      </c>
      <c r="AS2047" s="8">
        <f ca="1">IFERROR(__xludf.DUMMYFUNCTION("""COMPUTED_VALUE"""),1)</f>
        <v>1</v>
      </c>
      <c r="AT2047" s="8" t="str">
        <f ca="1">IFERROR(__xludf.DUMMYFUNCTION("""COMPUTED_VALUE"""),"No")</f>
        <v>No</v>
      </c>
      <c r="AU2047" s="8">
        <f ca="1">IFERROR(__xludf.DUMMYFUNCTION("""COMPUTED_VALUE"""),28.673768)</f>
        <v>28.673767999999999</v>
      </c>
      <c r="AV2047" s="8">
        <f ca="1">IFERROR(__xludf.DUMMYFUNCTION("""COMPUTED_VALUE"""),-81.493569)</f>
        <v>-81.493568999999994</v>
      </c>
      <c r="AW2047" s="8"/>
      <c r="AX2047" s="8">
        <f ca="1">IFERROR(__xludf.DUMMYFUNCTION("""COMPUTED_VALUE"""),32703)</f>
        <v>32703</v>
      </c>
    </row>
    <row r="2048" spans="1:50" ht="150" x14ac:dyDescent="0.2">
      <c r="A2048" s="8" t="str">
        <f ca="1">IFERROR(__xludf.DUMMYFUNCTION("""COMPUTED_VALUE"""),"20110330TXWOH")</f>
        <v>20110330TXWOH</v>
      </c>
      <c r="B2048" s="8">
        <f ca="1">IFERROR(__xludf.DUMMYFUNCTION("""COMPUTED_VALUE"""),3)</f>
        <v>3</v>
      </c>
      <c r="C2048" s="8">
        <f ca="1">IFERROR(__xludf.DUMMYFUNCTION("""COMPUTED_VALUE"""),30)</f>
        <v>30</v>
      </c>
      <c r="D2048" s="8">
        <f ca="1">IFERROR(__xludf.DUMMYFUNCTION("""COMPUTED_VALUE"""),2011)</f>
        <v>2011</v>
      </c>
      <c r="E2048" s="9">
        <f ca="1">IFERROR(__xludf.DUMMYFUNCTION("""COMPUTED_VALUE"""),40632)</f>
        <v>40632</v>
      </c>
      <c r="F2048" s="8" t="str">
        <f ca="1">IFERROR(__xludf.DUMMYFUNCTION("""COMPUTED_VALUE"""),"Worthing High School")</f>
        <v>Worthing High School</v>
      </c>
      <c r="G2048" s="8">
        <f ca="1">IFERROR(__xludf.DUMMYFUNCTION("""COMPUTED_VALUE"""),1)</f>
        <v>1</v>
      </c>
      <c r="H2048" s="8">
        <f ca="1">IFERROR(__xludf.DUMMYFUNCTION("""COMPUTED_VALUE"""),5)</f>
        <v>5</v>
      </c>
      <c r="I2048" s="8">
        <f ca="1">IFERROR(__xludf.DUMMYFUNCTION("""COMPUTED_VALUE"""),6)</f>
        <v>6</v>
      </c>
      <c r="J2048" s="8">
        <f ca="1">IFERROR(__xludf.DUMMYFUNCTION("""COMPUTED_VALUE"""),0)</f>
        <v>0</v>
      </c>
      <c r="K2048" s="10" t="str">
        <f ca="1">IFERROR(__xludf.DUMMYFUNCTION("""COMPUTED_VALUE"""),"https://abc13.com/archive/8044190/")</f>
        <v>https://abc13.com/archive/8044190/</v>
      </c>
      <c r="L2048" s="8">
        <f ca="1">IFERROR(__xludf.DUMMYFUNCTION("""COMPUTED_VALUE"""),5)</f>
        <v>5</v>
      </c>
      <c r="M2048" s="8" t="str">
        <f ca="1">IFERROR(__xludf.DUMMYFUNCTION("""COMPUTED_VALUE"""),"Local")</f>
        <v>Local</v>
      </c>
      <c r="N2048" s="8">
        <f ca="1">IFERROR(__xludf.DUMMYFUNCTION("""COMPUTED_VALUE"""),2)</f>
        <v>2</v>
      </c>
      <c r="O2048" s="8" t="str">
        <f ca="1">IFERROR(__xludf.DUMMYFUNCTION("""COMPUTED_VALUE"""),"Spring")</f>
        <v>Spring</v>
      </c>
      <c r="P2048" s="8" t="str">
        <f ca="1">IFERROR(__xludf.DUMMYFUNCTION("""COMPUTED_VALUE"""),"Houston")</f>
        <v>Houston</v>
      </c>
      <c r="Q2048" s="8" t="str">
        <f ca="1">IFERROR(__xludf.DUMMYFUNCTION("""COMPUTED_VALUE"""),"TX")</f>
        <v>TX</v>
      </c>
      <c r="R2048" s="8" t="str">
        <f ca="1">IFERROR(__xludf.DUMMYFUNCTION("""COMPUTED_VALUE"""),"High")</f>
        <v>High</v>
      </c>
      <c r="S2048" s="8" t="str">
        <f ca="1">IFERROR(__xludf.DUMMYFUNCTION("""COMPUTED_VALUE"""),"Football Field/Track")</f>
        <v>Football Field/Track</v>
      </c>
      <c r="T2048" s="8" t="str">
        <f ca="1">IFERROR(__xludf.DUMMYFUNCTION("""COMPUTED_VALUE"""),"Outside on School Property")</f>
        <v>Outside on School Property</v>
      </c>
      <c r="U2048" s="8" t="str">
        <f ca="1">IFERROR(__xludf.DUMMYFUNCTION("""COMPUTED_VALUE"""),"No")</f>
        <v>No</v>
      </c>
      <c r="V2048" s="8" t="str">
        <f ca="1">IFERROR(__xludf.DUMMYFUNCTION("""COMPUTED_VALUE"""),"Sport Event")</f>
        <v>Sport Event</v>
      </c>
      <c r="W2048" s="11">
        <f ca="1">IFERROR(__xludf.DUMMYFUNCTION("""COMPUTED_VALUE"""),0.78125)</f>
        <v>0.78125</v>
      </c>
      <c r="X2048" s="8">
        <f ca="1">IFERROR(__xludf.DUMMYFUNCTION("""COMPUTED_VALUE"""),1)</f>
        <v>1</v>
      </c>
      <c r="Y2048" s="12" t="str">
        <f ca="1">IFERROR(__xludf.DUMMYFUNCTION("""COMPUTED_VALUE"""),"Gang related shooting at football game")</f>
        <v>Gang related shooting at football game</v>
      </c>
      <c r="Z2048" s="12" t="str">
        <f ca="1">IFERROR(__xludf.DUMMYFUNCTION("""COMPUTED_VALUE"""),"2 gangs from rival schools - Early 103 from Yates High School, and the Murder Mob from Worthing High School, clashed during a football game on the school field. The fist fight included bystanders. Two of the rival gang members went back to their car and s"&amp;"tarted shooting. Someone on the field started shooting back and the car left. The other shooter was not identified. The rival gang's car was later found with blood on the door and gunshot holes. 1 person was killed and 5 were wounded, including the 2 riva"&amp;"l gang members.")</f>
        <v>2 gangs from rival schools - Early 103 from Yates High School, and the Murder Mob from Worthing High School, clashed during a football game on the school field. The fist fight included bystanders. Two of the rival gang members went back to their car and started shooting. Someone on the field started shooting back and the car left. The other shooter was not identified. The rival gang's car was later found with blood on the door and gunshot holes. 1 person was killed and 5 were wounded, including the 2 rival gang members.</v>
      </c>
      <c r="AA2048" s="8" t="str">
        <f ca="1">IFERROR(__xludf.DUMMYFUNCTION("""COMPUTED_VALUE"""),"Escalation of Dispute")</f>
        <v>Escalation of Dispute</v>
      </c>
      <c r="AB2048" s="8"/>
      <c r="AC2048" s="8" t="str">
        <f ca="1">IFERROR(__xludf.DUMMYFUNCTION("""COMPUTED_VALUE"""),"Yes")</f>
        <v>Yes</v>
      </c>
      <c r="AD2048" s="8" t="str">
        <f ca="1">IFERROR(__xludf.DUMMYFUNCTION("""COMPUTED_VALUE"""),"Both")</f>
        <v>Both</v>
      </c>
      <c r="AE2048" s="8"/>
      <c r="AF2048" s="8"/>
      <c r="AG2048" s="8" t="str">
        <f ca="1">IFERROR(__xludf.DUMMYFUNCTION("""COMPUTED_VALUE"""),"No")</f>
        <v>No</v>
      </c>
      <c r="AH2048" s="8" t="str">
        <f ca="1">IFERROR(__xludf.DUMMYFUNCTION("""COMPUTED_VALUE"""),"No")</f>
        <v>No</v>
      </c>
      <c r="AI2048" s="8" t="str">
        <f ca="1">IFERROR(__xludf.DUMMYFUNCTION("""COMPUTED_VALUE"""),"No")</f>
        <v>No</v>
      </c>
      <c r="AJ2048" s="8" t="str">
        <f ca="1">IFERROR(__xludf.DUMMYFUNCTION("""COMPUTED_VALUE"""),"No")</f>
        <v>No</v>
      </c>
      <c r="AK2048" s="8" t="str">
        <f ca="1">IFERROR(__xludf.DUMMYFUNCTION("""COMPUTED_VALUE"""),"No")</f>
        <v>No</v>
      </c>
      <c r="AL2048" s="8" t="str">
        <f ca="1">IFERROR(__xludf.DUMMYFUNCTION("""COMPUTED_VALUE"""),"Yes")</f>
        <v>Yes</v>
      </c>
      <c r="AM2048" s="8"/>
      <c r="AN2048" s="8"/>
      <c r="AO2048" s="8" t="str">
        <f ca="1">IFERROR(__xludf.DUMMYFUNCTION("""COMPUTED_VALUE"""),"No")</f>
        <v>No</v>
      </c>
      <c r="AP2048" s="8" t="str">
        <f ca="1">IFERROR(__xludf.DUMMYFUNCTION("""COMPUTED_VALUE"""),"N/A")</f>
        <v>N/A</v>
      </c>
      <c r="AQ2048" s="8" t="str">
        <f ca="1">IFERROR(__xludf.DUMMYFUNCTION("""COMPUTED_VALUE"""),"Unknown")</f>
        <v>Unknown</v>
      </c>
      <c r="AR2048" s="8" t="str">
        <f ca="1">IFERROR(__xludf.DUMMYFUNCTION("""COMPUTED_VALUE"""),"NA")</f>
        <v>NA</v>
      </c>
      <c r="AS2048" s="8"/>
      <c r="AT2048" s="8" t="str">
        <f ca="1">IFERROR(__xludf.DUMMYFUNCTION("""COMPUTED_VALUE"""),"No")</f>
        <v>No</v>
      </c>
      <c r="AU2048" s="8">
        <f ca="1">IFERROR(__xludf.DUMMYFUNCTION("""COMPUTED_VALUE"""),29.657075)</f>
        <v>29.657074999999999</v>
      </c>
      <c r="AV2048" s="8">
        <f ca="1">IFERROR(__xludf.DUMMYFUNCTION("""COMPUTED_VALUE"""),-95.367519)</f>
        <v>-95.367519000000001</v>
      </c>
      <c r="AW2048" s="8"/>
      <c r="AX2048" s="8">
        <f ca="1">IFERROR(__xludf.DUMMYFUNCTION("""COMPUTED_VALUE"""),77051)</f>
        <v>77051</v>
      </c>
    </row>
    <row r="2049" spans="1:50" ht="150" x14ac:dyDescent="0.2">
      <c r="A2049" s="8" t="str">
        <f ca="1">IFERROR(__xludf.DUMMYFUNCTION("""COMPUTED_VALUE"""),"20110325INMAM")</f>
        <v>20110325INMAM</v>
      </c>
      <c r="B2049" s="8">
        <f ca="1">IFERROR(__xludf.DUMMYFUNCTION("""COMPUTED_VALUE"""),3)</f>
        <v>3</v>
      </c>
      <c r="C2049" s="8">
        <f ca="1">IFERROR(__xludf.DUMMYFUNCTION("""COMPUTED_VALUE"""),25)</f>
        <v>25</v>
      </c>
      <c r="D2049" s="8">
        <f ca="1">IFERROR(__xludf.DUMMYFUNCTION("""COMPUTED_VALUE"""),2011)</f>
        <v>2011</v>
      </c>
      <c r="E2049" s="9">
        <f ca="1">IFERROR(__xludf.DUMMYFUNCTION("""COMPUTED_VALUE"""),40627)</f>
        <v>40627</v>
      </c>
      <c r="F2049" s="8" t="str">
        <f ca="1">IFERROR(__xludf.DUMMYFUNCTION("""COMPUTED_VALUE"""),"Martinsville West Middle School")</f>
        <v>Martinsville West Middle School</v>
      </c>
      <c r="G2049" s="8">
        <f ca="1">IFERROR(__xludf.DUMMYFUNCTION("""COMPUTED_VALUE"""),0)</f>
        <v>0</v>
      </c>
      <c r="H2049" s="8">
        <f ca="1">IFERROR(__xludf.DUMMYFUNCTION("""COMPUTED_VALUE"""),1)</f>
        <v>1</v>
      </c>
      <c r="I2049" s="8">
        <f ca="1">IFERROR(__xludf.DUMMYFUNCTION("""COMPUTED_VALUE"""),1)</f>
        <v>1</v>
      </c>
      <c r="J2049" s="8">
        <f ca="1">IFERROR(__xludf.DUMMYFUNCTION("""COMPUTED_VALUE"""),0)</f>
        <v>0</v>
      </c>
      <c r="K2049" s="10" t="str">
        <f ca="1">IFERROR(__xludf.DUMMYFUNCTION("""COMPUTED_VALUE"""),"https://www.courtlistener.com/pdf/2012/06/11/michael_phelps_v._state_of_indiana.pdf")</f>
        <v>https://www.courtlistener.com/pdf/2012/06/11/michael_phelps_v._state_of_indiana.pdf</v>
      </c>
      <c r="L2049" s="8">
        <f ca="1">IFERROR(__xludf.DUMMYFUNCTION("""COMPUTED_VALUE"""),11)</f>
        <v>11</v>
      </c>
      <c r="M2049" s="8" t="str">
        <f ca="1">IFERROR(__xludf.DUMMYFUNCTION("""COMPUTED_VALUE"""),"National")</f>
        <v>National</v>
      </c>
      <c r="N2049" s="8">
        <f ca="1">IFERROR(__xludf.DUMMYFUNCTION("""COMPUTED_VALUE"""),5)</f>
        <v>5</v>
      </c>
      <c r="O2049" s="8" t="str">
        <f ca="1">IFERROR(__xludf.DUMMYFUNCTION("""COMPUTED_VALUE"""),"Spring")</f>
        <v>Spring</v>
      </c>
      <c r="P2049" s="8" t="str">
        <f ca="1">IFERROR(__xludf.DUMMYFUNCTION("""COMPUTED_VALUE"""),"Martinsville")</f>
        <v>Martinsville</v>
      </c>
      <c r="Q2049" s="8" t="str">
        <f ca="1">IFERROR(__xludf.DUMMYFUNCTION("""COMPUTED_VALUE"""),"IN")</f>
        <v>IN</v>
      </c>
      <c r="R2049" s="8" t="str">
        <f ca="1">IFERROR(__xludf.DUMMYFUNCTION("""COMPUTED_VALUE"""),"Middle")</f>
        <v>Middle</v>
      </c>
      <c r="S2049" s="8" t="str">
        <f ca="1">IFERROR(__xludf.DUMMYFUNCTION("""COMPUTED_VALUE"""),"Hallway")</f>
        <v>Hallway</v>
      </c>
      <c r="T2049" s="8" t="str">
        <f ca="1">IFERROR(__xludf.DUMMYFUNCTION("""COMPUTED_VALUE"""),"Inside School Building")</f>
        <v>Inside School Building</v>
      </c>
      <c r="U2049" s="8" t="str">
        <f ca="1">IFERROR(__xludf.DUMMYFUNCTION("""COMPUTED_VALUE"""),"Yes")</f>
        <v>Yes</v>
      </c>
      <c r="V2049" s="8" t="str">
        <f ca="1">IFERROR(__xludf.DUMMYFUNCTION("""COMPUTED_VALUE"""),"Before School")</f>
        <v>Before School</v>
      </c>
      <c r="W2049" s="11">
        <f ca="1">IFERROR(__xludf.DUMMYFUNCTION("""COMPUTED_VALUE"""),0.291666666666666)</f>
        <v>0.29166666666666602</v>
      </c>
      <c r="X2049" s="8">
        <f ca="1">IFERROR(__xludf.DUMMYFUNCTION("""COMPUTED_VALUE"""),1)</f>
        <v>1</v>
      </c>
      <c r="Y2049" s="12" t="str">
        <f ca="1">IFERROR(__xludf.DUMMYFUNCTION("""COMPUTED_VALUE"""),"Shooter and victim had multiple prior fights")</f>
        <v>Shooter and victim had multiple prior fights</v>
      </c>
      <c r="Z2049" s="12" t="str">
        <f ca="1">IFERROR(__xludf.DUMMYFUNCTION("""COMPUTED_VALUE"""),"The shooter and victim had a fist fight days prior to the shooting, allegedly over a girl. The shooter was expelled from school for making a bomb threat the week prior, violating his probation after being adjudicated as a delinquent. Multiple disciplinary"&amp;" issues for years. The shooter mention in front of at least 3 people he was planning on shooting the victim. Shooter stole gun from former stepfather. Reportedly, victim refused to fight shooter and shooter shot him twice in the stomach, fled, and ditched"&amp;" the gun in a wooded area. Full court document available.")</f>
        <v>The shooter and victim had a fist fight days prior to the shooting, allegedly over a girl. The shooter was expelled from school for making a bomb threat the week prior, violating his probation after being adjudicated as a delinquent. Multiple disciplinary issues for years. The shooter mention in front of at least 3 people he was planning on shooting the victim. Shooter stole gun from former stepfather. Reportedly, victim refused to fight shooter and shooter shot him twice in the stomach, fled, and ditched the gun in a wooded area. Full court document available.</v>
      </c>
      <c r="AA2049" s="8" t="str">
        <f ca="1">IFERROR(__xludf.DUMMYFUNCTION("""COMPUTED_VALUE"""),"Escalation of Dispute")</f>
        <v>Escalation of Dispute</v>
      </c>
      <c r="AB2049" s="8"/>
      <c r="AC2049" s="8" t="str">
        <f ca="1">IFERROR(__xludf.DUMMYFUNCTION("""COMPUTED_VALUE"""),"Yes")</f>
        <v>Yes</v>
      </c>
      <c r="AD2049" s="8" t="str">
        <f ca="1">IFERROR(__xludf.DUMMYFUNCTION("""COMPUTED_VALUE"""),"Victims Targeted")</f>
        <v>Victims Targeted</v>
      </c>
      <c r="AE2049" s="8" t="str">
        <f ca="1">IFERROR(__xludf.DUMMYFUNCTION("""COMPUTED_VALUE"""),"No")</f>
        <v>No</v>
      </c>
      <c r="AF2049" s="8"/>
      <c r="AG2049" s="8" t="str">
        <f ca="1">IFERROR(__xludf.DUMMYFUNCTION("""COMPUTED_VALUE"""),"No")</f>
        <v>No</v>
      </c>
      <c r="AH2049" s="8" t="str">
        <f ca="1">IFERROR(__xludf.DUMMYFUNCTION("""COMPUTED_VALUE"""),"No")</f>
        <v>No</v>
      </c>
      <c r="AI2049" s="8" t="str">
        <f ca="1">IFERROR(__xludf.DUMMYFUNCTION("""COMPUTED_VALUE"""),"No")</f>
        <v>No</v>
      </c>
      <c r="AJ2049" s="8" t="str">
        <f ca="1">IFERROR(__xludf.DUMMYFUNCTION("""COMPUTED_VALUE"""),"No")</f>
        <v>No</v>
      </c>
      <c r="AK2049" s="8" t="str">
        <f ca="1">IFERROR(__xludf.DUMMYFUNCTION("""COMPUTED_VALUE"""),"Yes")</f>
        <v>Yes</v>
      </c>
      <c r="AL2049" s="8" t="str">
        <f ca="1">IFERROR(__xludf.DUMMYFUNCTION("""COMPUTED_VALUE"""),"No")</f>
        <v>No</v>
      </c>
      <c r="AM2049" s="8"/>
      <c r="AN2049" s="8"/>
      <c r="AO2049" s="8" t="str">
        <f ca="1">IFERROR(__xludf.DUMMYFUNCTION("""COMPUTED_VALUE"""),"No")</f>
        <v>No</v>
      </c>
      <c r="AP2049" s="8" t="str">
        <f ca="1">IFERROR(__xludf.DUMMYFUNCTION("""COMPUTED_VALUE"""),"No")</f>
        <v>No</v>
      </c>
      <c r="AQ2049" s="8" t="str">
        <f ca="1">IFERROR(__xludf.DUMMYFUNCTION("""COMPUTED_VALUE"""),"None")</f>
        <v>None</v>
      </c>
      <c r="AR2049" s="8" t="str">
        <f ca="1">IFERROR(__xludf.DUMMYFUNCTION("""COMPUTED_VALUE"""),"NA")</f>
        <v>NA</v>
      </c>
      <c r="AS2049" s="8">
        <f ca="1">IFERROR(__xludf.DUMMYFUNCTION("""COMPUTED_VALUE"""),2)</f>
        <v>2</v>
      </c>
      <c r="AT2049" s="8" t="str">
        <f ca="1">IFERROR(__xludf.DUMMYFUNCTION("""COMPUTED_VALUE"""),"Yes")</f>
        <v>Yes</v>
      </c>
      <c r="AU2049" s="8">
        <f ca="1">IFERROR(__xludf.DUMMYFUNCTION("""COMPUTED_VALUE"""),39.419235)</f>
        <v>39.419235</v>
      </c>
      <c r="AV2049" s="8">
        <f ca="1">IFERROR(__xludf.DUMMYFUNCTION("""COMPUTED_VALUE"""),-86.427459)</f>
        <v>-86.427458999999999</v>
      </c>
      <c r="AW2049" s="8"/>
      <c r="AX2049" s="8">
        <f ca="1">IFERROR(__xludf.DUMMYFUNCTION("""COMPUTED_VALUE"""),46151)</f>
        <v>46151</v>
      </c>
    </row>
    <row r="2050" spans="1:50" ht="90" x14ac:dyDescent="0.2">
      <c r="A2050" s="8" t="str">
        <f ca="1">IFERROR(__xludf.DUMMYFUNCTION("""COMPUTED_VALUE"""),"20110202CALOP")</f>
        <v>20110202CALOP</v>
      </c>
      <c r="B2050" s="8">
        <f ca="1">IFERROR(__xludf.DUMMYFUNCTION("""COMPUTED_VALUE"""),2)</f>
        <v>2</v>
      </c>
      <c r="C2050" s="8">
        <f ca="1">IFERROR(__xludf.DUMMYFUNCTION("""COMPUTED_VALUE"""),2)</f>
        <v>2</v>
      </c>
      <c r="D2050" s="8">
        <f ca="1">IFERROR(__xludf.DUMMYFUNCTION("""COMPUTED_VALUE"""),2011)</f>
        <v>2011</v>
      </c>
      <c r="E2050" s="9">
        <f ca="1">IFERROR(__xludf.DUMMYFUNCTION("""COMPUTED_VALUE"""),40576)</f>
        <v>40576</v>
      </c>
      <c r="F2050" s="8" t="str">
        <f ca="1">IFERROR(__xludf.DUMMYFUNCTION("""COMPUTED_VALUE"""),"Louisiana Schnell Elementary School")</f>
        <v>Louisiana Schnell Elementary School</v>
      </c>
      <c r="G2050" s="8">
        <f ca="1">IFERROR(__xludf.DUMMYFUNCTION("""COMPUTED_VALUE"""),1)</f>
        <v>1</v>
      </c>
      <c r="H2050" s="8">
        <f ca="1">IFERROR(__xludf.DUMMYFUNCTION("""COMPUTED_VALUE"""),0)</f>
        <v>0</v>
      </c>
      <c r="I2050" s="8">
        <f ca="1">IFERROR(__xludf.DUMMYFUNCTION("""COMPUTED_VALUE"""),1)</f>
        <v>1</v>
      </c>
      <c r="J2050" s="8">
        <f ca="1">IFERROR(__xludf.DUMMYFUNCTION("""COMPUTED_VALUE"""),0)</f>
        <v>0</v>
      </c>
      <c r="K2050" s="10" t="str">
        <f ca="1">IFERROR(__xludf.DUMMYFUNCTION("""COMPUTED_VALUE"""),"https://sacramento.cbslocal.com/2012/04/24/verdict-reached-in-placerville-principal-slaying/")</f>
        <v>https://sacramento.cbslocal.com/2012/04/24/verdict-reached-in-placerville-principal-slaying/</v>
      </c>
      <c r="L2050" s="8">
        <f ca="1">IFERROR(__xludf.DUMMYFUNCTION("""COMPUTED_VALUE"""),5)</f>
        <v>5</v>
      </c>
      <c r="M2050" s="8" t="str">
        <f ca="1">IFERROR(__xludf.DUMMYFUNCTION("""COMPUTED_VALUE"""),"National")</f>
        <v>National</v>
      </c>
      <c r="N2050" s="8">
        <f ca="1">IFERROR(__xludf.DUMMYFUNCTION("""COMPUTED_VALUE"""),4)</f>
        <v>4</v>
      </c>
      <c r="O2050" s="8" t="str">
        <f ca="1">IFERROR(__xludf.DUMMYFUNCTION("""COMPUTED_VALUE"""),"Winter")</f>
        <v>Winter</v>
      </c>
      <c r="P2050" s="8" t="str">
        <f ca="1">IFERROR(__xludf.DUMMYFUNCTION("""COMPUTED_VALUE"""),"Placerville")</f>
        <v>Placerville</v>
      </c>
      <c r="Q2050" s="8" t="str">
        <f ca="1">IFERROR(__xludf.DUMMYFUNCTION("""COMPUTED_VALUE"""),"CA")</f>
        <v>CA</v>
      </c>
      <c r="R2050" s="8" t="str">
        <f ca="1">IFERROR(__xludf.DUMMYFUNCTION("""COMPUTED_VALUE"""),"Elementary")</f>
        <v>Elementary</v>
      </c>
      <c r="S2050" s="8" t="str">
        <f ca="1">IFERROR(__xludf.DUMMYFUNCTION("""COMPUTED_VALUE"""),"Office")</f>
        <v>Office</v>
      </c>
      <c r="T2050" s="8" t="str">
        <f ca="1">IFERROR(__xludf.DUMMYFUNCTION("""COMPUTED_VALUE"""),"Inside School Building")</f>
        <v>Inside School Building</v>
      </c>
      <c r="U2050" s="8" t="str">
        <f ca="1">IFERROR(__xludf.DUMMYFUNCTION("""COMPUTED_VALUE"""),"Yes")</f>
        <v>Yes</v>
      </c>
      <c r="V2050" s="8" t="str">
        <f ca="1">IFERROR(__xludf.DUMMYFUNCTION("""COMPUTED_VALUE"""),"Morning Classes")</f>
        <v>Morning Classes</v>
      </c>
      <c r="W2050" s="11">
        <f ca="1">IFERROR(__xludf.DUMMYFUNCTION("""COMPUTED_VALUE"""),0.442361111111111)</f>
        <v>0.44236111111111098</v>
      </c>
      <c r="X2050" s="8">
        <f ca="1">IFERROR(__xludf.DUMMYFUNCTION("""COMPUTED_VALUE"""),1)</f>
        <v>1</v>
      </c>
      <c r="Y2050" s="12" t="str">
        <f ca="1">IFERROR(__xludf.DUMMYFUNCTION("""COMPUTED_VALUE"""),"Dispute over hiring of new employee")</f>
        <v>Dispute over hiring of new employee</v>
      </c>
      <c r="Z2050" s="12" t="str">
        <f ca="1">IFERROR(__xludf.DUMMYFUNCTION("""COMPUTED_VALUE"""),"Suspect was janitor at school who shot principal after janitor wasn't allowed to offer input on the hiring of a night janitor. Suspect was dismissed for the day, allegedly went home to get a gun, came back to the school and shot the victim 3 times. Shoote"&amp;"r and victim were reported to have been friends.")</f>
        <v>Suspect was janitor at school who shot principal after janitor wasn't allowed to offer input on the hiring of a night janitor. Suspect was dismissed for the day, allegedly went home to get a gun, came back to the school and shot the victim 3 times. Shooter and victim were reported to have been friends.</v>
      </c>
      <c r="AA2050" s="8" t="str">
        <f ca="1">IFERROR(__xludf.DUMMYFUNCTION("""COMPUTED_VALUE"""),"Escalation of Dispute")</f>
        <v>Escalation of Dispute</v>
      </c>
      <c r="AB2050" s="8"/>
      <c r="AC2050" s="8" t="str">
        <f ca="1">IFERROR(__xludf.DUMMYFUNCTION("""COMPUTED_VALUE"""),"Yes")</f>
        <v>Yes</v>
      </c>
      <c r="AD2050" s="8" t="str">
        <f ca="1">IFERROR(__xludf.DUMMYFUNCTION("""COMPUTED_VALUE"""),"Victims Targeted")</f>
        <v>Victims Targeted</v>
      </c>
      <c r="AE2050" s="8" t="str">
        <f ca="1">IFERROR(__xludf.DUMMYFUNCTION("""COMPUTED_VALUE"""),"No")</f>
        <v>No</v>
      </c>
      <c r="AF2050" s="8"/>
      <c r="AG2050" s="8" t="str">
        <f ca="1">IFERROR(__xludf.DUMMYFUNCTION("""COMPUTED_VALUE"""),"No")</f>
        <v>No</v>
      </c>
      <c r="AH2050" s="8" t="str">
        <f ca="1">IFERROR(__xludf.DUMMYFUNCTION("""COMPUTED_VALUE"""),"No")</f>
        <v>No</v>
      </c>
      <c r="AI2050" s="8" t="str">
        <f ca="1">IFERROR(__xludf.DUMMYFUNCTION("""COMPUTED_VALUE"""),"No")</f>
        <v>No</v>
      </c>
      <c r="AJ2050" s="8" t="str">
        <f ca="1">IFERROR(__xludf.DUMMYFUNCTION("""COMPUTED_VALUE"""),"No")</f>
        <v>No</v>
      </c>
      <c r="AK2050" s="8" t="str">
        <f ca="1">IFERROR(__xludf.DUMMYFUNCTION("""COMPUTED_VALUE"""),"No")</f>
        <v>No</v>
      </c>
      <c r="AL2050" s="8" t="str">
        <f ca="1">IFERROR(__xludf.DUMMYFUNCTION("""COMPUTED_VALUE"""),"No")</f>
        <v>No</v>
      </c>
      <c r="AM2050" s="8"/>
      <c r="AN2050" s="8"/>
      <c r="AO2050" s="8" t="str">
        <f ca="1">IFERROR(__xludf.DUMMYFUNCTION("""COMPUTED_VALUE"""),"No")</f>
        <v>No</v>
      </c>
      <c r="AP2050" s="8" t="str">
        <f ca="1">IFERROR(__xludf.DUMMYFUNCTION("""COMPUTED_VALUE"""),"No")</f>
        <v>No</v>
      </c>
      <c r="AQ2050" s="8" t="str">
        <f ca="1">IFERROR(__xludf.DUMMYFUNCTION("""COMPUTED_VALUE"""),"None")</f>
        <v>None</v>
      </c>
      <c r="AR2050" s="8" t="str">
        <f ca="1">IFERROR(__xludf.DUMMYFUNCTION("""COMPUTED_VALUE"""),"NA")</f>
        <v>NA</v>
      </c>
      <c r="AS2050" s="8">
        <f ca="1">IFERROR(__xludf.DUMMYFUNCTION("""COMPUTED_VALUE"""),3)</f>
        <v>3</v>
      </c>
      <c r="AT2050" s="8" t="str">
        <f ca="1">IFERROR(__xludf.DUMMYFUNCTION("""COMPUTED_VALUE"""),"Yes")</f>
        <v>Yes</v>
      </c>
      <c r="AU2050" s="8">
        <f ca="1">IFERROR(__xludf.DUMMYFUNCTION("""COMPUTED_VALUE"""),38.734871)</f>
        <v>38.734870999999998</v>
      </c>
      <c r="AV2050" s="8">
        <f ca="1">IFERROR(__xludf.DUMMYFUNCTION("""COMPUTED_VALUE"""),-120.777394)</f>
        <v>-120.777394</v>
      </c>
      <c r="AW2050" s="8"/>
      <c r="AX2050" s="8">
        <f ca="1">IFERROR(__xludf.DUMMYFUNCTION("""COMPUTED_VALUE"""),95667)</f>
        <v>95667</v>
      </c>
    </row>
    <row r="2051" spans="1:50" ht="135" x14ac:dyDescent="0.2">
      <c r="A2051" s="8" t="str">
        <f ca="1">IFERROR(__xludf.DUMMYFUNCTION("""COMPUTED_VALUE"""),"20110118CAGAL")</f>
        <v>20110118CAGAL</v>
      </c>
      <c r="B2051" s="8">
        <f ca="1">IFERROR(__xludf.DUMMYFUNCTION("""COMPUTED_VALUE"""),1)</f>
        <v>1</v>
      </c>
      <c r="C2051" s="8">
        <f ca="1">IFERROR(__xludf.DUMMYFUNCTION("""COMPUTED_VALUE"""),18)</f>
        <v>18</v>
      </c>
      <c r="D2051" s="8">
        <f ca="1">IFERROR(__xludf.DUMMYFUNCTION("""COMPUTED_VALUE"""),2011)</f>
        <v>2011</v>
      </c>
      <c r="E2051" s="9">
        <f ca="1">IFERROR(__xludf.DUMMYFUNCTION("""COMPUTED_VALUE"""),40561)</f>
        <v>40561</v>
      </c>
      <c r="F2051" s="8" t="str">
        <f ca="1">IFERROR(__xludf.DUMMYFUNCTION("""COMPUTED_VALUE"""),"Gardena High School")</f>
        <v>Gardena High School</v>
      </c>
      <c r="G2051" s="8">
        <f ca="1">IFERROR(__xludf.DUMMYFUNCTION("""COMPUTED_VALUE"""),0)</f>
        <v>0</v>
      </c>
      <c r="H2051" s="8">
        <f ca="1">IFERROR(__xludf.DUMMYFUNCTION("""COMPUTED_VALUE"""),2)</f>
        <v>2</v>
      </c>
      <c r="I2051" s="8">
        <f ca="1">IFERROR(__xludf.DUMMYFUNCTION("""COMPUTED_VALUE"""),2)</f>
        <v>2</v>
      </c>
      <c r="J2051" s="8">
        <f ca="1">IFERROR(__xludf.DUMMYFUNCTION("""COMPUTED_VALUE"""),0)</f>
        <v>0</v>
      </c>
      <c r="K2051" s="10" t="str">
        <f ca="1">IFERROR(__xludf.DUMMYFUNCTION("""COMPUTED_VALUE"""),"https://www.dailybreeze.com/2011/04/11/gardena-high-student-gets-9-months-for-having-gun-that-discharged/")</f>
        <v>https://www.dailybreeze.com/2011/04/11/gardena-high-student-gets-9-months-for-having-gun-that-discharged/</v>
      </c>
      <c r="L2051" s="8">
        <f ca="1">IFERROR(__xludf.DUMMYFUNCTION("""COMPUTED_VALUE"""),5)</f>
        <v>5</v>
      </c>
      <c r="M2051" s="8" t="str">
        <f ca="1">IFERROR(__xludf.DUMMYFUNCTION("""COMPUTED_VALUE"""),"National")</f>
        <v>National</v>
      </c>
      <c r="N2051" s="8">
        <f ca="1">IFERROR(__xludf.DUMMYFUNCTION("""COMPUTED_VALUE"""),4)</f>
        <v>4</v>
      </c>
      <c r="O2051" s="8" t="str">
        <f ca="1">IFERROR(__xludf.DUMMYFUNCTION("""COMPUTED_VALUE"""),"Winter")</f>
        <v>Winter</v>
      </c>
      <c r="P2051" s="8" t="str">
        <f ca="1">IFERROR(__xludf.DUMMYFUNCTION("""COMPUTED_VALUE"""),"Los Angeles")</f>
        <v>Los Angeles</v>
      </c>
      <c r="Q2051" s="8" t="str">
        <f ca="1">IFERROR(__xludf.DUMMYFUNCTION("""COMPUTED_VALUE"""),"CA")</f>
        <v>CA</v>
      </c>
      <c r="R2051" s="8" t="str">
        <f ca="1">IFERROR(__xludf.DUMMYFUNCTION("""COMPUTED_VALUE"""),"High")</f>
        <v>High</v>
      </c>
      <c r="S2051" s="8" t="str">
        <f ca="1">IFERROR(__xludf.DUMMYFUNCTION("""COMPUTED_VALUE"""),"Classroom")</f>
        <v>Classroom</v>
      </c>
      <c r="T2051" s="8" t="str">
        <f ca="1">IFERROR(__xludf.DUMMYFUNCTION("""COMPUTED_VALUE"""),"Inside School Building")</f>
        <v>Inside School Building</v>
      </c>
      <c r="U2051" s="8" t="str">
        <f ca="1">IFERROR(__xludf.DUMMYFUNCTION("""COMPUTED_VALUE"""),"Yes")</f>
        <v>Yes</v>
      </c>
      <c r="V2051" s="8" t="str">
        <f ca="1">IFERROR(__xludf.DUMMYFUNCTION("""COMPUTED_VALUE"""),"Morning Classes")</f>
        <v>Morning Classes</v>
      </c>
      <c r="W2051" s="11">
        <f ca="1">IFERROR(__xludf.DUMMYFUNCTION("""COMPUTED_VALUE"""),0.444444444444444)</f>
        <v>0.44444444444444398</v>
      </c>
      <c r="X2051" s="8">
        <f ca="1">IFERROR(__xludf.DUMMYFUNCTION("""COMPUTED_VALUE"""),1)</f>
        <v>1</v>
      </c>
      <c r="Y2051" s="12" t="str">
        <f ca="1">IFERROR(__xludf.DUMMYFUNCTION("""COMPUTED_VALUE"""),"Gun was in backpack, accidentally went off striking two students")</f>
        <v>Gun was in backpack, accidentally went off striking two students</v>
      </c>
      <c r="Z2051" s="12" t="str">
        <f ca="1">IFERROR(__xludf.DUMMYFUNCTION("""COMPUTED_VALUE"""),"Shooter had handgun in bag. Gun accidentally went off striking one student in the head and the other in the neck. Student was arrested at school. Allegedly, shooter was carrying gun to protect himself while going to and from school, fearing bullies/gangs."&amp;" Most people reported he was a nice kid, one person reported he had anger issues. Shooter was on probation for punching another student a year prior. Two other students helped shooter change and get rid of backpack but no charges were filed.")</f>
        <v>Shooter had handgun in bag. Gun accidentally went off striking one student in the head and the other in the neck. Student was arrested at school. Allegedly, shooter was carrying gun to protect himself while going to and from school, fearing bullies/gangs. Most people reported he was a nice kid, one person reported he had anger issues. Shooter was on probation for punching another student a year prior. Two other students helped shooter change and get rid of backpack but no charges were filed.</v>
      </c>
      <c r="AA2051" s="8" t="str">
        <f ca="1">IFERROR(__xludf.DUMMYFUNCTION("""COMPUTED_VALUE"""),"Accidental")</f>
        <v>Accidental</v>
      </c>
      <c r="AB2051" s="8"/>
      <c r="AC2051" s="8" t="str">
        <f ca="1">IFERROR(__xludf.DUMMYFUNCTION("""COMPUTED_VALUE"""),"Yes")</f>
        <v>Yes</v>
      </c>
      <c r="AD2051" s="8" t="str">
        <f ca="1">IFERROR(__xludf.DUMMYFUNCTION("""COMPUTED_VALUE"""),"Random Shooting")</f>
        <v>Random Shooting</v>
      </c>
      <c r="AE2051" s="8" t="str">
        <f ca="1">IFERROR(__xludf.DUMMYFUNCTION("""COMPUTED_VALUE"""),"Yes")</f>
        <v>Yes</v>
      </c>
      <c r="AF2051" s="8" t="str">
        <f ca="1">IFERROR(__xludf.DUMMYFUNCTION("""COMPUTED_VALUE"""),"15YOF and 16YOM helped shooter change and get rid of backpack, no charges")</f>
        <v>15YOF and 16YOM helped shooter change and get rid of backpack, no charges</v>
      </c>
      <c r="AG2051" s="8" t="str">
        <f ca="1">IFERROR(__xludf.DUMMYFUNCTION("""COMPUTED_VALUE"""),"No")</f>
        <v>No</v>
      </c>
      <c r="AH2051" s="8" t="str">
        <f ca="1">IFERROR(__xludf.DUMMYFUNCTION("""COMPUTED_VALUE"""),"No")</f>
        <v>No</v>
      </c>
      <c r="AI2051" s="8" t="str">
        <f ca="1">IFERROR(__xludf.DUMMYFUNCTION("""COMPUTED_VALUE"""),"No")</f>
        <v>No</v>
      </c>
      <c r="AJ2051" s="8" t="str">
        <f ca="1">IFERROR(__xludf.DUMMYFUNCTION("""COMPUTED_VALUE"""),"No")</f>
        <v>No</v>
      </c>
      <c r="AK2051" s="8" t="str">
        <f ca="1">IFERROR(__xludf.DUMMYFUNCTION("""COMPUTED_VALUE"""),"No")</f>
        <v>No</v>
      </c>
      <c r="AL2051" s="8" t="str">
        <f ca="1">IFERROR(__xludf.DUMMYFUNCTION("""COMPUTED_VALUE"""),"No")</f>
        <v>No</v>
      </c>
      <c r="AM2051" s="8"/>
      <c r="AN2051" s="8"/>
      <c r="AO2051" s="8" t="str">
        <f ca="1">IFERROR(__xludf.DUMMYFUNCTION("""COMPUTED_VALUE"""),"No")</f>
        <v>No</v>
      </c>
      <c r="AP2051" s="8" t="str">
        <f ca="1">IFERROR(__xludf.DUMMYFUNCTION("""COMPUTED_VALUE"""),"Yes")</f>
        <v>Yes</v>
      </c>
      <c r="AQ2051" s="8" t="str">
        <f ca="1">IFERROR(__xludf.DUMMYFUNCTION("""COMPUTED_VALUE"""),"Manual Search")</f>
        <v>Manual Search</v>
      </c>
      <c r="AR2051" s="8" t="str">
        <f ca="1">IFERROR(__xludf.DUMMYFUNCTION("""COMPUTED_VALUE"""),"Bypassed")</f>
        <v>Bypassed</v>
      </c>
      <c r="AS2051" s="8">
        <f ca="1">IFERROR(__xludf.DUMMYFUNCTION("""COMPUTED_VALUE"""),1)</f>
        <v>1</v>
      </c>
      <c r="AT2051" s="8" t="str">
        <f ca="1">IFERROR(__xludf.DUMMYFUNCTION("""COMPUTED_VALUE"""),"Yes")</f>
        <v>Yes</v>
      </c>
      <c r="AU2051" s="8">
        <f ca="1">IFERROR(__xludf.DUMMYFUNCTION("""COMPUTED_VALUE"""),33.867169)</f>
        <v>33.867168999999997</v>
      </c>
      <c r="AV2051" s="8">
        <f ca="1">IFERROR(__xludf.DUMMYFUNCTION("""COMPUTED_VALUE"""),-118.297569)</f>
        <v>-118.297569</v>
      </c>
      <c r="AW2051" s="8"/>
      <c r="AX2051" s="8">
        <f ca="1">IFERROR(__xludf.DUMMYFUNCTION("""COMPUTED_VALUE"""),90248)</f>
        <v>90248</v>
      </c>
    </row>
    <row r="2052" spans="1:50" ht="409.5" x14ac:dyDescent="0.2">
      <c r="A2052" s="8" t="str">
        <f ca="1">IFERROR(__xludf.DUMMYFUNCTION("""COMPUTED_VALUE"""),"20110105NEMIO")</f>
        <v>20110105NEMIO</v>
      </c>
      <c r="B2052" s="8">
        <f ca="1">IFERROR(__xludf.DUMMYFUNCTION("""COMPUTED_VALUE"""),1)</f>
        <v>1</v>
      </c>
      <c r="C2052" s="8">
        <f ca="1">IFERROR(__xludf.DUMMYFUNCTION("""COMPUTED_VALUE"""),5)</f>
        <v>5</v>
      </c>
      <c r="D2052" s="8">
        <f ca="1">IFERROR(__xludf.DUMMYFUNCTION("""COMPUTED_VALUE"""),2011)</f>
        <v>2011</v>
      </c>
      <c r="E2052" s="9">
        <f ca="1">IFERROR(__xludf.DUMMYFUNCTION("""COMPUTED_VALUE"""),40548)</f>
        <v>40548</v>
      </c>
      <c r="F2052" s="8" t="str">
        <f ca="1">IFERROR(__xludf.DUMMYFUNCTION("""COMPUTED_VALUE"""),"Millard South High School")</f>
        <v>Millard South High School</v>
      </c>
      <c r="G2052" s="8">
        <f ca="1">IFERROR(__xludf.DUMMYFUNCTION("""COMPUTED_VALUE"""),1)</f>
        <v>1</v>
      </c>
      <c r="H2052" s="8">
        <f ca="1">IFERROR(__xludf.DUMMYFUNCTION("""COMPUTED_VALUE"""),1)</f>
        <v>1</v>
      </c>
      <c r="I2052" s="8">
        <f ca="1">IFERROR(__xludf.DUMMYFUNCTION("""COMPUTED_VALUE"""),2)</f>
        <v>2</v>
      </c>
      <c r="J2052" s="8">
        <f ca="1">IFERROR(__xludf.DUMMYFUNCTION("""COMPUTED_VALUE"""),1)</f>
        <v>1</v>
      </c>
      <c r="K2052" s="8" t="str">
        <f ca="1">IFERROR(__xludf.DUMMYFUNCTION("""COMPUTED_VALUE"""),"https://www.lubbockonline.com/story/news/nation-world/2011/01/07/police-gunman-suspended-omaha-school-shooting/15250798007/
https://journalstar.com/news/state-and-regional/nebraska/the-millard-south-shooting-timeline/article_ef16c15d-c67e-54b5-b4fa-0742ed"&amp;"c6085d.html")</f>
        <v>https://www.lubbockonline.com/story/news/nation-world/2011/01/07/police-gunman-suspended-omaha-school-shooting/15250798007/
https://journalstar.com/news/state-and-regional/nebraska/the-millard-south-shooting-timeline/article_ef16c15d-c67e-54b5-b4fa-0742edc6085d.html</v>
      </c>
      <c r="L2052" s="8">
        <f ca="1">IFERROR(__xludf.DUMMYFUNCTION("""COMPUTED_VALUE"""),11)</f>
        <v>11</v>
      </c>
      <c r="M2052" s="8" t="str">
        <f ca="1">IFERROR(__xludf.DUMMYFUNCTION("""COMPUTED_VALUE"""),"National")</f>
        <v>National</v>
      </c>
      <c r="N2052" s="8">
        <f ca="1">IFERROR(__xludf.DUMMYFUNCTION("""COMPUTED_VALUE"""),5)</f>
        <v>5</v>
      </c>
      <c r="O2052" s="8" t="str">
        <f ca="1">IFERROR(__xludf.DUMMYFUNCTION("""COMPUTED_VALUE"""),"Winter")</f>
        <v>Winter</v>
      </c>
      <c r="P2052" s="8" t="str">
        <f ca="1">IFERROR(__xludf.DUMMYFUNCTION("""COMPUTED_VALUE"""),"Omaha")</f>
        <v>Omaha</v>
      </c>
      <c r="Q2052" s="8" t="str">
        <f ca="1">IFERROR(__xludf.DUMMYFUNCTION("""COMPUTED_VALUE"""),"NE")</f>
        <v>NE</v>
      </c>
      <c r="R2052" s="8" t="str">
        <f ca="1">IFERROR(__xludf.DUMMYFUNCTION("""COMPUTED_VALUE"""),"High")</f>
        <v>High</v>
      </c>
      <c r="S2052" s="8" t="str">
        <f ca="1">IFERROR(__xludf.DUMMYFUNCTION("""COMPUTED_VALUE"""),"Office")</f>
        <v>Office</v>
      </c>
      <c r="T2052" s="8" t="str">
        <f ca="1">IFERROR(__xludf.DUMMYFUNCTION("""COMPUTED_VALUE"""),"Inside School Building")</f>
        <v>Inside School Building</v>
      </c>
      <c r="U2052" s="8" t="str">
        <f ca="1">IFERROR(__xludf.DUMMYFUNCTION("""COMPUTED_VALUE"""),"Yes")</f>
        <v>Yes</v>
      </c>
      <c r="V2052" s="8" t="str">
        <f ca="1">IFERROR(__xludf.DUMMYFUNCTION("""COMPUTED_VALUE"""),"Lunch")</f>
        <v>Lunch</v>
      </c>
      <c r="W2052" s="11">
        <f ca="1">IFERROR(__xludf.DUMMYFUNCTION("""COMPUTED_VALUE"""),0.53125)</f>
        <v>0.53125</v>
      </c>
      <c r="X2052" s="8">
        <f ca="1">IFERROR(__xludf.DUMMYFUNCTION("""COMPUTED_VALUE"""),1)</f>
        <v>1</v>
      </c>
      <c r="Y2052" s="12" t="str">
        <f ca="1">IFERROR(__xludf.DUMMYFUNCTION("""COMPUTED_VALUE"""),"Shot principal and vice principal, fired at other staff, fled in vehicle and killed self")</f>
        <v>Shot principal and vice principal, fired at other staff, fled in vehicle and killed self</v>
      </c>
      <c r="Z2052" s="12" t="str">
        <f ca="1">IFERROR(__xludf.DUMMYFUNCTION("""COMPUTED_VALUE"""),"Shooter shot and wounded the Principal, shot the Vice Principal dead, headed out and pointed the gun at the guard who ducked before shooter could shoot. Shooter then shot at a school custodian but the debris wounded the nurse. Shooter left the school in a"&amp;" vehicle and was found dead with a self inflicted GSW a mile from the school. The shooter father was a local police detective. No students were injured. Shooter had left the facebook post: ""Everybody that used to know me I'm sry but Omaha changed me and "&amp;"(expletive) me up. and the school I attend is even worse ur gonna hear about the evil (expletive) I did but that (expletive) school drove me to this. I wont u guys to remember me for who I was b4 this ik. I greatly affected the lives of the families ruine"&amp;"d but I'm sorry. goodbye."" Earlier that day shooter was called to the principal's office about his criminal trespass for driving his car on the school's football field and track on New Year's Eve (he was criminally charged and his father locked up his ca"&amp;"r). Shooter was suspended for 19 days and escorted out of the school by security but he returned later that day with the gun. Shooter grew up with his mother but had recently moved to live with his father, reasons are unknown. Shooter had posted on Facebo"&amp;"ok he hated it there but his friends reported he was a fun, thrill-seeking guy and did not seem to have problems adapting, except for his father being more strict than he was used to. K2 was found in his system. Shooter had done community service in the p"&amp;"ast for something he had done but is not on his criminal record. Had problems with authority figures.")</f>
        <v>Shooter shot and wounded the Principal, shot the Vice Principal dead, headed out and pointed the gun at the guard who ducked before shooter could shoot. Shooter then shot at a school custodian but the debris wounded the nurse. Shooter left the school in a vehicle and was found dead with a self inflicted GSW a mile from the school. The shooter father was a local police detective. No students were injured. Shooter had left the facebook post: "Everybody that used to know me I'm sry but Omaha changed me and (expletive) me up. and the school I attend is even worse ur gonna hear about the evil (expletive) I did but that (expletive) school drove me to this. I wont u guys to remember me for who I was b4 this ik. I greatly affected the lives of the families ruined but I'm sorry. goodbye." Earlier that day shooter was called to the principal's office about his criminal trespass for driving his car on the school's football field and track on New Year's Eve (he was criminally charged and his father locked up his car). Shooter was suspended for 19 days and escorted out of the school by security but he returned later that day with the gun. Shooter grew up with his mother but had recently moved to live with his father, reasons are unknown. Shooter had posted on Facebook he hated it there but his friends reported he was a fun, thrill-seeking guy and did not seem to have problems adapting, except for his father being more strict than he was used to. K2 was found in his system. Shooter had done community service in the past for something he had done but is not on his criminal record. Had problems with authority figures.</v>
      </c>
      <c r="AA2052" s="8" t="str">
        <f ca="1">IFERROR(__xludf.DUMMYFUNCTION("""COMPUTED_VALUE"""),"Anger Over Grade/Suspension/Discipline")</f>
        <v>Anger Over Grade/Suspension/Discipline</v>
      </c>
      <c r="AB2052" s="8" t="str">
        <f ca="1">IFERROR(__xludf.DUMMYFUNCTION("""COMPUTED_VALUE"""),"Targeted")</f>
        <v>Targeted</v>
      </c>
      <c r="AC2052" s="8" t="str">
        <f ca="1">IFERROR(__xludf.DUMMYFUNCTION("""COMPUTED_VALUE"""),"Yes")</f>
        <v>Yes</v>
      </c>
      <c r="AD2052" s="8" t="str">
        <f ca="1">IFERROR(__xludf.DUMMYFUNCTION("""COMPUTED_VALUE"""),"Both")</f>
        <v>Both</v>
      </c>
      <c r="AE2052" s="8" t="str">
        <f ca="1">IFERROR(__xludf.DUMMYFUNCTION("""COMPUTED_VALUE"""),"No")</f>
        <v>No</v>
      </c>
      <c r="AF2052" s="8"/>
      <c r="AG2052" s="8" t="str">
        <f ca="1">IFERROR(__xludf.DUMMYFUNCTION("""COMPUTED_VALUE"""),"No")</f>
        <v>No</v>
      </c>
      <c r="AH2052" s="8" t="str">
        <f ca="1">IFERROR(__xludf.DUMMYFUNCTION("""COMPUTED_VALUE"""),"No")</f>
        <v>No</v>
      </c>
      <c r="AI2052" s="8" t="str">
        <f ca="1">IFERROR(__xludf.DUMMYFUNCTION("""COMPUTED_VALUE"""),"No")</f>
        <v>No</v>
      </c>
      <c r="AJ2052" s="8" t="str">
        <f ca="1">IFERROR(__xludf.DUMMYFUNCTION("""COMPUTED_VALUE"""),"No")</f>
        <v>No</v>
      </c>
      <c r="AK2052" s="8" t="str">
        <f ca="1">IFERROR(__xludf.DUMMYFUNCTION("""COMPUTED_VALUE"""),"No")</f>
        <v>No</v>
      </c>
      <c r="AL2052" s="8" t="str">
        <f ca="1">IFERROR(__xludf.DUMMYFUNCTION("""COMPUTED_VALUE"""),"No")</f>
        <v>No</v>
      </c>
      <c r="AM2052" s="8" t="str">
        <f ca="1">IFERROR(__xludf.DUMMYFUNCTION("""COMPUTED_VALUE"""),"Yes")</f>
        <v>Yes</v>
      </c>
      <c r="AN2052" s="8" t="str">
        <f ca="1">IFERROR(__xludf.DUMMYFUNCTION("""COMPUTED_VALUE"""),"Multiple Rooms")</f>
        <v>Multiple Rooms</v>
      </c>
      <c r="AO2052" s="8" t="str">
        <f ca="1">IFERROR(__xludf.DUMMYFUNCTION("""COMPUTED_VALUE"""),"Yes")</f>
        <v>Yes</v>
      </c>
      <c r="AP2052" s="8" t="str">
        <f ca="1">IFERROR(__xludf.DUMMYFUNCTION("""COMPUTED_VALUE"""),"Yes")</f>
        <v>Yes</v>
      </c>
      <c r="AQ2052" s="8" t="str">
        <f ca="1">IFERROR(__xludf.DUMMYFUNCTION("""COMPUTED_VALUE"""),"Armed Guards")</f>
        <v>Armed Guards</v>
      </c>
      <c r="AR2052" s="8" t="str">
        <f ca="1">IFERROR(__xludf.DUMMYFUNCTION("""COMPUTED_VALUE"""),"NA")</f>
        <v>NA</v>
      </c>
      <c r="AS2052" s="8">
        <f ca="1">IFERROR(__xludf.DUMMYFUNCTION("""COMPUTED_VALUE"""),7)</f>
        <v>7</v>
      </c>
      <c r="AT2052" s="8" t="str">
        <f ca="1">IFERROR(__xludf.DUMMYFUNCTION("""COMPUTED_VALUE"""),"Yes")</f>
        <v>Yes</v>
      </c>
      <c r="AU2052" s="8">
        <f ca="1">IFERROR(__xludf.DUMMYFUNCTION("""COMPUTED_VALUE"""),41.204027)</f>
        <v>41.204027000000004</v>
      </c>
      <c r="AV2052" s="8">
        <f ca="1">IFERROR(__xludf.DUMMYFUNCTION("""COMPUTED_VALUE"""),-96.146557)</f>
        <v>-96.146557000000001</v>
      </c>
      <c r="AW2052" s="8"/>
      <c r="AX2052" s="8">
        <f ca="1">IFERROR(__xludf.DUMMYFUNCTION("""COMPUTED_VALUE"""),68137)</f>
        <v>68137</v>
      </c>
    </row>
    <row r="2053" spans="1:50" ht="45" x14ac:dyDescent="0.2">
      <c r="A2053" s="8" t="str">
        <f ca="1">IFERROR(__xludf.DUMMYFUNCTION("""COMPUTED_VALUE"""),"20110104INCRC")</f>
        <v>20110104INCRC</v>
      </c>
      <c r="B2053" s="8">
        <f ca="1">IFERROR(__xludf.DUMMYFUNCTION("""COMPUTED_VALUE"""),1)</f>
        <v>1</v>
      </c>
      <c r="C2053" s="8">
        <f ca="1">IFERROR(__xludf.DUMMYFUNCTION("""COMPUTED_VALUE"""),4)</f>
        <v>4</v>
      </c>
      <c r="D2053" s="8">
        <f ca="1">IFERROR(__xludf.DUMMYFUNCTION("""COMPUTED_VALUE"""),2011)</f>
        <v>2011</v>
      </c>
      <c r="E2053" s="9">
        <f ca="1">IFERROR(__xludf.DUMMYFUNCTION("""COMPUTED_VALUE"""),40547)</f>
        <v>40547</v>
      </c>
      <c r="F2053" s="8" t="str">
        <f ca="1">IFERROR(__xludf.DUMMYFUNCTION("""COMPUTED_VALUE"""),"Crown Point School bus")</f>
        <v>Crown Point School bus</v>
      </c>
      <c r="G2053" s="8">
        <f ca="1">IFERROR(__xludf.DUMMYFUNCTION("""COMPUTED_VALUE"""),0)</f>
        <v>0</v>
      </c>
      <c r="H2053" s="8">
        <f ca="1">IFERROR(__xludf.DUMMYFUNCTION("""COMPUTED_VALUE"""),0)</f>
        <v>0</v>
      </c>
      <c r="I2053" s="8">
        <f ca="1">IFERROR(__xludf.DUMMYFUNCTION("""COMPUTED_VALUE"""),0)</f>
        <v>0</v>
      </c>
      <c r="J2053" s="8">
        <f ca="1">IFERROR(__xludf.DUMMYFUNCTION("""COMPUTED_VALUE"""),0)</f>
        <v>0</v>
      </c>
      <c r="K2053" s="10" t="str">
        <f ca="1">IFERROR(__xludf.DUMMYFUNCTION("""COMPUTED_VALUE"""),"https://www.newspapers.com/image/310759931/?terms=school%2B%2Bbus%2Bshooting")</f>
        <v>https://www.newspapers.com/image/310759931/?terms=school%2B%2Bbus%2Bshooting</v>
      </c>
      <c r="L2053" s="8"/>
      <c r="M2053" s="8"/>
      <c r="N2053" s="8">
        <f ca="1">IFERROR(__xludf.DUMMYFUNCTION("""COMPUTED_VALUE"""),2)</f>
        <v>2</v>
      </c>
      <c r="O2053" s="8" t="str">
        <f ca="1">IFERROR(__xludf.DUMMYFUNCTION("""COMPUTED_VALUE"""),"Winter")</f>
        <v>Winter</v>
      </c>
      <c r="P2053" s="8" t="str">
        <f ca="1">IFERROR(__xludf.DUMMYFUNCTION("""COMPUTED_VALUE"""),"Crown Point")</f>
        <v>Crown Point</v>
      </c>
      <c r="Q2053" s="8" t="str">
        <f ca="1">IFERROR(__xludf.DUMMYFUNCTION("""COMPUTED_VALUE"""),"IN")</f>
        <v>IN</v>
      </c>
      <c r="R2053" s="8" t="str">
        <f ca="1">IFERROR(__xludf.DUMMYFUNCTION("""COMPUTED_VALUE"""),"K-12")</f>
        <v>K-12</v>
      </c>
      <c r="S2053" s="8" t="str">
        <f ca="1">IFERROR(__xludf.DUMMYFUNCTION("""COMPUTED_VALUE"""),"School Bus")</f>
        <v>School Bus</v>
      </c>
      <c r="T2053" s="8" t="str">
        <f ca="1">IFERROR(__xludf.DUMMYFUNCTION("""COMPUTED_VALUE"""),"School Bus")</f>
        <v>School Bus</v>
      </c>
      <c r="U2053" s="8" t="str">
        <f ca="1">IFERROR(__xludf.DUMMYFUNCTION("""COMPUTED_VALUE"""),"No")</f>
        <v>No</v>
      </c>
      <c r="V2053" s="8" t="str">
        <f ca="1">IFERROR(__xludf.DUMMYFUNCTION("""COMPUTED_VALUE"""),"Before School")</f>
        <v>Before School</v>
      </c>
      <c r="W2053" s="11">
        <f ca="1">IFERROR(__xludf.DUMMYFUNCTION("""COMPUTED_VALUE"""),0.25)</f>
        <v>0.25</v>
      </c>
      <c r="X2053" s="8">
        <f ca="1">IFERROR(__xludf.DUMMYFUNCTION("""COMPUTED_VALUE"""),1)</f>
        <v>1</v>
      </c>
      <c r="Y2053" s="12" t="str">
        <f ca="1">IFERROR(__xludf.DUMMYFUNCTION("""COMPUTED_VALUE"""),"Back window of school bus shot with BB gun - no injuries")</f>
        <v>Back window of school bus shot with BB gun - no injuries</v>
      </c>
      <c r="Z2053" s="12" t="str">
        <f ca="1">IFERROR(__xludf.DUMMYFUNCTION("""COMPUTED_VALUE"""),"In the early morning hours before any students were aboard, the back window of a school bus was shot by a bb gun - unknown shooter")</f>
        <v>In the early morning hours before any students were aboard, the back window of a school bus was shot by a bb gun - unknown shooter</v>
      </c>
      <c r="AA2053" s="8" t="str">
        <f ca="1">IFERROR(__xludf.DUMMYFUNCTION("""COMPUTED_VALUE"""),"Intentional Property Damage")</f>
        <v>Intentional Property Damage</v>
      </c>
      <c r="AB2053" s="8"/>
      <c r="AC2053" s="8" t="str">
        <f ca="1">IFERROR(__xludf.DUMMYFUNCTION("""COMPUTED_VALUE"""),"No")</f>
        <v>No</v>
      </c>
      <c r="AD2053" s="8" t="str">
        <f ca="1">IFERROR(__xludf.DUMMYFUNCTION("""COMPUTED_VALUE"""),"NA")</f>
        <v>NA</v>
      </c>
      <c r="AE2053" s="8"/>
      <c r="AF2053" s="8"/>
      <c r="AG2053" s="8" t="str">
        <f ca="1">IFERROR(__xludf.DUMMYFUNCTION("""COMPUTED_VALUE"""),"No")</f>
        <v>No</v>
      </c>
      <c r="AH2053" s="8" t="str">
        <f ca="1">IFERROR(__xludf.DUMMYFUNCTION("""COMPUTED_VALUE"""),"No")</f>
        <v>No</v>
      </c>
      <c r="AI2053" s="8" t="str">
        <f ca="1">IFERROR(__xludf.DUMMYFUNCTION("""COMPUTED_VALUE"""),"No")</f>
        <v>No</v>
      </c>
      <c r="AJ2053" s="8" t="str">
        <f ca="1">IFERROR(__xludf.DUMMYFUNCTION("""COMPUTED_VALUE"""),"No")</f>
        <v>No</v>
      </c>
      <c r="AK2053" s="8"/>
      <c r="AL2053" s="8"/>
      <c r="AM2053" s="8"/>
      <c r="AN2053" s="8"/>
      <c r="AO2053" s="8" t="str">
        <f ca="1">IFERROR(__xludf.DUMMYFUNCTION("""COMPUTED_VALUE"""),"No")</f>
        <v>No</v>
      </c>
      <c r="AP2053" s="8"/>
      <c r="AQ2053" s="8" t="str">
        <f ca="1">IFERROR(__xludf.DUMMYFUNCTION("""COMPUTED_VALUE"""),"Unknown")</f>
        <v>Unknown</v>
      </c>
      <c r="AR2053" s="8" t="str">
        <f ca="1">IFERROR(__xludf.DUMMYFUNCTION("""COMPUTED_VALUE"""),"NA")</f>
        <v>NA</v>
      </c>
      <c r="AS2053" s="8">
        <f ca="1">IFERROR(__xludf.DUMMYFUNCTION("""COMPUTED_VALUE"""),1)</f>
        <v>1</v>
      </c>
      <c r="AT2053" s="8"/>
      <c r="AU2053" s="8">
        <f ca="1">IFERROR(__xludf.DUMMYFUNCTION("""COMPUTED_VALUE"""),41.420435)</f>
        <v>41.420434999999998</v>
      </c>
      <c r="AV2053" s="8">
        <f ca="1">IFERROR(__xludf.DUMMYFUNCTION("""COMPUTED_VALUE"""),-87.362946)</f>
        <v>-87.362945999999994</v>
      </c>
      <c r="AW2053" s="8"/>
      <c r="AX2053" s="8">
        <f ca="1">IFERROR(__xludf.DUMMYFUNCTION("""COMPUTED_VALUE"""),46307)</f>
        <v>46307</v>
      </c>
    </row>
    <row r="2054" spans="1:50" ht="105" x14ac:dyDescent="0.2">
      <c r="A2054" s="8" t="str">
        <f ca="1">IFERROR(__xludf.DUMMYFUNCTION("""COMPUTED_VALUE"""),"20101206COAUA")</f>
        <v>20101206COAUA</v>
      </c>
      <c r="B2054" s="8">
        <f ca="1">IFERROR(__xludf.DUMMYFUNCTION("""COMPUTED_VALUE"""),12)</f>
        <v>12</v>
      </c>
      <c r="C2054" s="8">
        <f ca="1">IFERROR(__xludf.DUMMYFUNCTION("""COMPUTED_VALUE"""),6)</f>
        <v>6</v>
      </c>
      <c r="D2054" s="8">
        <f ca="1">IFERROR(__xludf.DUMMYFUNCTION("""COMPUTED_VALUE"""),2010)</f>
        <v>2010</v>
      </c>
      <c r="E2054" s="9">
        <f ca="1">IFERROR(__xludf.DUMMYFUNCTION("""COMPUTED_VALUE"""),40518)</f>
        <v>40518</v>
      </c>
      <c r="F2054" s="8" t="str">
        <f ca="1">IFERROR(__xludf.DUMMYFUNCTION("""COMPUTED_VALUE"""),"Aurora Central High School")</f>
        <v>Aurora Central High School</v>
      </c>
      <c r="G2054" s="8">
        <f ca="1">IFERROR(__xludf.DUMMYFUNCTION("""COMPUTED_VALUE"""),0)</f>
        <v>0</v>
      </c>
      <c r="H2054" s="8">
        <f ca="1">IFERROR(__xludf.DUMMYFUNCTION("""COMPUTED_VALUE"""),1)</f>
        <v>1</v>
      </c>
      <c r="I2054" s="8">
        <f ca="1">IFERROR(__xludf.DUMMYFUNCTION("""COMPUTED_VALUE"""),1)</f>
        <v>1</v>
      </c>
      <c r="J2054" s="8">
        <f ca="1">IFERROR(__xludf.DUMMYFUNCTION("""COMPUTED_VALUE"""),0)</f>
        <v>0</v>
      </c>
      <c r="K2054" s="10" t="str">
        <f ca="1">IFERROR(__xludf.DUMMYFUNCTION("""COMPUTED_VALUE"""),"https://www.denverpost.com/2015/11/19/court-reverses-conviction-in-2010-aurora-shooting-that-paralyzed-victim/")</f>
        <v>https://www.denverpost.com/2015/11/19/court-reverses-conviction-in-2010-aurora-shooting-that-paralyzed-victim/</v>
      </c>
      <c r="L2054" s="8">
        <f ca="1">IFERROR(__xludf.DUMMYFUNCTION("""COMPUTED_VALUE"""),5)</f>
        <v>5</v>
      </c>
      <c r="M2054" s="8" t="str">
        <f ca="1">IFERROR(__xludf.DUMMYFUNCTION("""COMPUTED_VALUE"""),"Local")</f>
        <v>Local</v>
      </c>
      <c r="N2054" s="8">
        <f ca="1">IFERROR(__xludf.DUMMYFUNCTION("""COMPUTED_VALUE"""),4)</f>
        <v>4</v>
      </c>
      <c r="O2054" s="8" t="str">
        <f ca="1">IFERROR(__xludf.DUMMYFUNCTION("""COMPUTED_VALUE"""),"Winter")</f>
        <v>Winter</v>
      </c>
      <c r="P2054" s="8" t="str">
        <f ca="1">IFERROR(__xludf.DUMMYFUNCTION("""COMPUTED_VALUE"""),"Aurora")</f>
        <v>Aurora</v>
      </c>
      <c r="Q2054" s="8" t="str">
        <f ca="1">IFERROR(__xludf.DUMMYFUNCTION("""COMPUTED_VALUE"""),"CO")</f>
        <v>CO</v>
      </c>
      <c r="R2054" s="8" t="str">
        <f ca="1">IFERROR(__xludf.DUMMYFUNCTION("""COMPUTED_VALUE"""),"High")</f>
        <v>High</v>
      </c>
      <c r="S2054" s="8" t="str">
        <f ca="1">IFERROR(__xludf.DUMMYFUNCTION("""COMPUTED_VALUE"""),"Front of School")</f>
        <v>Front of School</v>
      </c>
      <c r="T2054" s="8" t="str">
        <f ca="1">IFERROR(__xludf.DUMMYFUNCTION("""COMPUTED_VALUE"""),"Outside on School Property")</f>
        <v>Outside on School Property</v>
      </c>
      <c r="U2054" s="8" t="str">
        <f ca="1">IFERROR(__xludf.DUMMYFUNCTION("""COMPUTED_VALUE"""),"No")</f>
        <v>No</v>
      </c>
      <c r="V2054" s="8" t="str">
        <f ca="1">IFERROR(__xludf.DUMMYFUNCTION("""COMPUTED_VALUE"""),"Dismissal")</f>
        <v>Dismissal</v>
      </c>
      <c r="W2054" s="11">
        <f ca="1">IFERROR(__xludf.DUMMYFUNCTION("""COMPUTED_VALUE"""),0.604166666666666)</f>
        <v>0.60416666666666596</v>
      </c>
      <c r="X2054" s="8">
        <f ca="1">IFERROR(__xludf.DUMMYFUNCTION("""COMPUTED_VALUE"""),1)</f>
        <v>1</v>
      </c>
      <c r="Y2054" s="12" t="str">
        <f ca="1">IFERROR(__xludf.DUMMYFUNCTION("""COMPUTED_VALUE"""),"Bystander student shot during drive-by, gang related")</f>
        <v>Bystander student shot during drive-by, gang related</v>
      </c>
      <c r="Z2054" s="12" t="str">
        <f ca="1">IFERROR(__xludf.DUMMYFUNCTION("""COMPUTED_VALUE"""),"Female student was shot during gang-related drive by shooting. Police said she was not the intended target. Shooter was a passenger in a car, started arguing with people from a rival gang but when shots were fired, six unrelated students were caught in th"&amp;"e fire. Shooter was a former student and an illegal immigrant. Shooter was later caught and sentenced to 35 years.")</f>
        <v>Female student was shot during gang-related drive by shooting. Police said she was not the intended target. Shooter was a passenger in a car, started arguing with people from a rival gang but when shots were fired, six unrelated students were caught in the fire. Shooter was a former student and an illegal immigrant. Shooter was later caught and sentenced to 35 years.</v>
      </c>
      <c r="AA2054" s="8" t="str">
        <f ca="1">IFERROR(__xludf.DUMMYFUNCTION("""COMPUTED_VALUE"""),"Drive-by Shooting")</f>
        <v>Drive-by Shooting</v>
      </c>
      <c r="AB2054" s="8"/>
      <c r="AC2054" s="8" t="str">
        <f ca="1">IFERROR(__xludf.DUMMYFUNCTION("""COMPUTED_VALUE"""),"Yes")</f>
        <v>Yes</v>
      </c>
      <c r="AD2054" s="8" t="str">
        <f ca="1">IFERROR(__xludf.DUMMYFUNCTION("""COMPUTED_VALUE"""),"Both")</f>
        <v>Both</v>
      </c>
      <c r="AE2054" s="8" t="str">
        <f ca="1">IFERROR(__xludf.DUMMYFUNCTION("""COMPUTED_VALUE"""),"Yes")</f>
        <v>Yes</v>
      </c>
      <c r="AF2054" s="8" t="str">
        <f ca="1">IFERROR(__xludf.DUMMYFUNCTION("""COMPUTED_VALUE"""),"the driver of the car, no arrest")</f>
        <v>the driver of the car, no arrest</v>
      </c>
      <c r="AG2054" s="8" t="str">
        <f ca="1">IFERROR(__xludf.DUMMYFUNCTION("""COMPUTED_VALUE"""),"No")</f>
        <v>No</v>
      </c>
      <c r="AH2054" s="8" t="str">
        <f ca="1">IFERROR(__xludf.DUMMYFUNCTION("""COMPUTED_VALUE"""),"No")</f>
        <v>No</v>
      </c>
      <c r="AI2054" s="8" t="str">
        <f ca="1">IFERROR(__xludf.DUMMYFUNCTION("""COMPUTED_VALUE"""),"No")</f>
        <v>No</v>
      </c>
      <c r="AJ2054" s="8" t="str">
        <f ca="1">IFERROR(__xludf.DUMMYFUNCTION("""COMPUTED_VALUE"""),"No")</f>
        <v>No</v>
      </c>
      <c r="AK2054" s="8" t="str">
        <f ca="1">IFERROR(__xludf.DUMMYFUNCTION("""COMPUTED_VALUE"""),"No")</f>
        <v>No</v>
      </c>
      <c r="AL2054" s="8" t="str">
        <f ca="1">IFERROR(__xludf.DUMMYFUNCTION("""COMPUTED_VALUE"""),"Yes")</f>
        <v>Yes</v>
      </c>
      <c r="AM2054" s="8"/>
      <c r="AN2054" s="8"/>
      <c r="AO2054" s="8" t="str">
        <f ca="1">IFERROR(__xludf.DUMMYFUNCTION("""COMPUTED_VALUE"""),"No")</f>
        <v>No</v>
      </c>
      <c r="AP2054" s="8" t="str">
        <f ca="1">IFERROR(__xludf.DUMMYFUNCTION("""COMPUTED_VALUE"""),"N/A")</f>
        <v>N/A</v>
      </c>
      <c r="AQ2054" s="8" t="str">
        <f ca="1">IFERROR(__xludf.DUMMYFUNCTION("""COMPUTED_VALUE"""),"Unknown")</f>
        <v>Unknown</v>
      </c>
      <c r="AR2054" s="8" t="str">
        <f ca="1">IFERROR(__xludf.DUMMYFUNCTION("""COMPUTED_VALUE"""),"NA")</f>
        <v>NA</v>
      </c>
      <c r="AS2054" s="8">
        <f ca="1">IFERROR(__xludf.DUMMYFUNCTION("""COMPUTED_VALUE"""),1)</f>
        <v>1</v>
      </c>
      <c r="AT2054" s="8"/>
      <c r="AU2054" s="8">
        <f ca="1">IFERROR(__xludf.DUMMYFUNCTION("""COMPUTED_VALUE"""),39.732033)</f>
        <v>39.732033000000001</v>
      </c>
      <c r="AV2054" s="8">
        <f ca="1">IFERROR(__xludf.DUMMYFUNCTION("""COMPUTED_VALUE"""),-104.851836)</f>
        <v>-104.85183600000001</v>
      </c>
      <c r="AW2054" s="8"/>
      <c r="AX2054" s="8">
        <f ca="1">IFERROR(__xludf.DUMMYFUNCTION("""COMPUTED_VALUE"""),80010)</f>
        <v>80010</v>
      </c>
    </row>
    <row r="2055" spans="1:50" ht="270" x14ac:dyDescent="0.2">
      <c r="A2055" s="8" t="str">
        <f ca="1">IFERROR(__xludf.DUMMYFUNCTION("""COMPUTED_VALUE"""),"20101129WIMAM")</f>
        <v>20101129WIMAM</v>
      </c>
      <c r="B2055" s="8">
        <f ca="1">IFERROR(__xludf.DUMMYFUNCTION("""COMPUTED_VALUE"""),11)</f>
        <v>11</v>
      </c>
      <c r="C2055" s="8">
        <f ca="1">IFERROR(__xludf.DUMMYFUNCTION("""COMPUTED_VALUE"""),29)</f>
        <v>29</v>
      </c>
      <c r="D2055" s="8">
        <f ca="1">IFERROR(__xludf.DUMMYFUNCTION("""COMPUTED_VALUE"""),2010)</f>
        <v>2010</v>
      </c>
      <c r="E2055" s="9">
        <f ca="1">IFERROR(__xludf.DUMMYFUNCTION("""COMPUTED_VALUE"""),40511)</f>
        <v>40511</v>
      </c>
      <c r="F2055" s="8" t="str">
        <f ca="1">IFERROR(__xludf.DUMMYFUNCTION("""COMPUTED_VALUE"""),"Marinette High School")</f>
        <v>Marinette High School</v>
      </c>
      <c r="G2055" s="8">
        <f ca="1">IFERROR(__xludf.DUMMYFUNCTION("""COMPUTED_VALUE"""),0)</f>
        <v>0</v>
      </c>
      <c r="H2055" s="8">
        <f ca="1">IFERROR(__xludf.DUMMYFUNCTION("""COMPUTED_VALUE"""),0)</f>
        <v>0</v>
      </c>
      <c r="I2055" s="8">
        <f ca="1">IFERROR(__xludf.DUMMYFUNCTION("""COMPUTED_VALUE"""),0)</f>
        <v>0</v>
      </c>
      <c r="J2055" s="8">
        <f ca="1">IFERROR(__xludf.DUMMYFUNCTION("""COMPUTED_VALUE"""),1)</f>
        <v>1</v>
      </c>
      <c r="K2055" s="10" t="str">
        <f ca="1">IFERROR(__xludf.DUMMYFUNCTION("""COMPUTED_VALUE"""),"https://madison.com/wsj/news/local/crime_and_courts/no-clues-found-in-marinette-school-standoff-that-ended-in/article_62c3dbb3-1712-52ec-b275-d599eff149de.html")</f>
        <v>https://madison.com/wsj/news/local/crime_and_courts/no-clues-found-in-marinette-school-standoff-that-ended-in/article_62c3dbb3-1712-52ec-b275-d599eff149de.html</v>
      </c>
      <c r="L2055" s="8">
        <f ca="1">IFERROR(__xludf.DUMMYFUNCTION("""COMPUTED_VALUE"""),11)</f>
        <v>11</v>
      </c>
      <c r="M2055" s="8" t="str">
        <f ca="1">IFERROR(__xludf.DUMMYFUNCTION("""COMPUTED_VALUE"""),"International")</f>
        <v>International</v>
      </c>
      <c r="N2055" s="8">
        <f ca="1">IFERROR(__xludf.DUMMYFUNCTION("""COMPUTED_VALUE"""),2)</f>
        <v>2</v>
      </c>
      <c r="O2055" s="8" t="str">
        <f ca="1">IFERROR(__xludf.DUMMYFUNCTION("""COMPUTED_VALUE"""),"Fall")</f>
        <v>Fall</v>
      </c>
      <c r="P2055" s="8" t="str">
        <f ca="1">IFERROR(__xludf.DUMMYFUNCTION("""COMPUTED_VALUE"""),"Marinette")</f>
        <v>Marinette</v>
      </c>
      <c r="Q2055" s="8" t="str">
        <f ca="1">IFERROR(__xludf.DUMMYFUNCTION("""COMPUTED_VALUE"""),"WI")</f>
        <v>WI</v>
      </c>
      <c r="R2055" s="8" t="str">
        <f ca="1">IFERROR(__xludf.DUMMYFUNCTION("""COMPUTED_VALUE"""),"High")</f>
        <v>High</v>
      </c>
      <c r="S2055" s="8" t="str">
        <f ca="1">IFERROR(__xludf.DUMMYFUNCTION("""COMPUTED_VALUE"""),"Classroom")</f>
        <v>Classroom</v>
      </c>
      <c r="T2055" s="8" t="str">
        <f ca="1">IFERROR(__xludf.DUMMYFUNCTION("""COMPUTED_VALUE"""),"Inside School Building")</f>
        <v>Inside School Building</v>
      </c>
      <c r="U2055" s="8" t="str">
        <f ca="1">IFERROR(__xludf.DUMMYFUNCTION("""COMPUTED_VALUE"""),"No")</f>
        <v>No</v>
      </c>
      <c r="V2055" s="8" t="str">
        <f ca="1">IFERROR(__xludf.DUMMYFUNCTION("""COMPUTED_VALUE"""),"Evening")</f>
        <v>Evening</v>
      </c>
      <c r="W2055" s="11">
        <f ca="1">IFERROR(__xludf.DUMMYFUNCTION("""COMPUTED_VALUE"""),0.8125)</f>
        <v>0.8125</v>
      </c>
      <c r="X2055" s="8">
        <f ca="1">IFERROR(__xludf.DUMMYFUNCTION("""COMPUTED_VALUE"""),1)</f>
        <v>1</v>
      </c>
      <c r="Y2055" s="12" t="str">
        <f ca="1">IFERROR(__xludf.DUMMYFUNCTION("""COMPUTED_VALUE"""),"Took class hostage before commiting suicide when police entered")</f>
        <v>Took class hostage before commiting suicide when police entered</v>
      </c>
      <c r="Z2055" s="12" t="str">
        <f ca="1">IFERROR(__xludf.DUMMYFUNCTION("""COMPUTED_VALUE"""),"Shooter left to use bathroom and returned with a backpack containing two guns. Fired at the projector and took the class and teacher hostage for hours. Shooter first fired three shots from one gun and laid another gun and the ammunition on a podium, later"&amp;" shot three more rounds at a telephone and a computer. SWAT officers entered and as one of them caught shooter's hand, he pulled the trigger and shot himself. Shooter never pointed his weapon at anyone or made any demand except telling people not to leave"&amp;". Other students stated he appeared sad and depressed - everyone tried to engage him in casual conversations and keep him calm. Shooter allowed some students to leave before firing self-inflicted GSW to his head. Shooter was a good student and liked by cl"&amp;"assmates. No early warning signs were indicated. No suicide note, postings, or other explanation. Police only found a drawing that shows a bomb, a helicopter, a parachute, an outdoor scene, but did not think it was related to the incident.")</f>
        <v>Shooter left to use bathroom and returned with a backpack containing two guns. Fired at the projector and took the class and teacher hostage for hours. Shooter first fired three shots from one gun and laid another gun and the ammunition on a podium, later shot three more rounds at a telephone and a computer. SWAT officers entered and as one of them caught shooter's hand, he pulled the trigger and shot himself. Shooter never pointed his weapon at anyone or made any demand except telling people not to leave. Other students stated he appeared sad and depressed - everyone tried to engage him in casual conversations and keep him calm. Shooter allowed some students to leave before firing self-inflicted GSW to his head. Shooter was a good student and liked by classmates. No early warning signs were indicated. No suicide note, postings, or other explanation. Police only found a drawing that shows a bomb, a helicopter, a parachute, an outdoor scene, but did not think it was related to the incident.</v>
      </c>
      <c r="AA2055" s="8" t="str">
        <f ca="1">IFERROR(__xludf.DUMMYFUNCTION("""COMPUTED_VALUE"""),"Hostage/Standoff")</f>
        <v>Hostage/Standoff</v>
      </c>
      <c r="AB2055" s="8"/>
      <c r="AC2055" s="8" t="str">
        <f ca="1">IFERROR(__xludf.DUMMYFUNCTION("""COMPUTED_VALUE"""),"Yes")</f>
        <v>Yes</v>
      </c>
      <c r="AD2055" s="8" t="str">
        <f ca="1">IFERROR(__xludf.DUMMYFUNCTION("""COMPUTED_VALUE"""),"Victims Targeted")</f>
        <v>Victims Targeted</v>
      </c>
      <c r="AE2055" s="8" t="str">
        <f ca="1">IFERROR(__xludf.DUMMYFUNCTION("""COMPUTED_VALUE"""),"No")</f>
        <v>No</v>
      </c>
      <c r="AF2055" s="8"/>
      <c r="AG2055" s="8" t="str">
        <f ca="1">IFERROR(__xludf.DUMMYFUNCTION("""COMPUTED_VALUE"""),"Yes")</f>
        <v>Yes</v>
      </c>
      <c r="AH2055" s="8" t="str">
        <f ca="1">IFERROR(__xludf.DUMMYFUNCTION("""COMPUTED_VALUE"""),"Yes")</f>
        <v>Yes</v>
      </c>
      <c r="AI2055" s="8" t="str">
        <f ca="1">IFERROR(__xludf.DUMMYFUNCTION("""COMPUTED_VALUE"""),"No")</f>
        <v>No</v>
      </c>
      <c r="AJ2055" s="8" t="str">
        <f ca="1">IFERROR(__xludf.DUMMYFUNCTION("""COMPUTED_VALUE"""),"No")</f>
        <v>No</v>
      </c>
      <c r="AK2055" s="8" t="str">
        <f ca="1">IFERROR(__xludf.DUMMYFUNCTION("""COMPUTED_VALUE"""),"No")</f>
        <v>No</v>
      </c>
      <c r="AL2055" s="8" t="str">
        <f ca="1">IFERROR(__xludf.DUMMYFUNCTION("""COMPUTED_VALUE"""),"No")</f>
        <v>No</v>
      </c>
      <c r="AM2055" s="8" t="str">
        <f ca="1">IFERROR(__xludf.DUMMYFUNCTION("""COMPUTED_VALUE"""),"Yes")</f>
        <v>Yes</v>
      </c>
      <c r="AN2055" s="8" t="str">
        <f ca="1">IFERROR(__xludf.DUMMYFUNCTION("""COMPUTED_VALUE"""),"Single Room")</f>
        <v>Single Room</v>
      </c>
      <c r="AO2055" s="8" t="str">
        <f ca="1">IFERROR(__xludf.DUMMYFUNCTION("""COMPUTED_VALUE"""),"No")</f>
        <v>No</v>
      </c>
      <c r="AP2055" s="8" t="str">
        <f ca="1">IFERROR(__xludf.DUMMYFUNCTION("""COMPUTED_VALUE"""),"No")</f>
        <v>No</v>
      </c>
      <c r="AQ2055" s="8" t="str">
        <f ca="1">IFERROR(__xludf.DUMMYFUNCTION("""COMPUTED_VALUE"""),"Unknown")</f>
        <v>Unknown</v>
      </c>
      <c r="AR2055" s="8" t="str">
        <f ca="1">IFERROR(__xludf.DUMMYFUNCTION("""COMPUTED_VALUE"""),"NA")</f>
        <v>NA</v>
      </c>
      <c r="AS2055" s="8">
        <f ca="1">IFERROR(__xludf.DUMMYFUNCTION("""COMPUTED_VALUE"""),4)</f>
        <v>4</v>
      </c>
      <c r="AT2055" s="8" t="str">
        <f ca="1">IFERROR(__xludf.DUMMYFUNCTION("""COMPUTED_VALUE"""),"No")</f>
        <v>No</v>
      </c>
      <c r="AU2055" s="8">
        <f ca="1">IFERROR(__xludf.DUMMYFUNCTION("""COMPUTED_VALUE"""),45.08168)</f>
        <v>45.081679999999999</v>
      </c>
      <c r="AV2055" s="8">
        <f ca="1">IFERROR(__xludf.DUMMYFUNCTION("""COMPUTED_VALUE"""),-87.62902)</f>
        <v>-87.629019999999997</v>
      </c>
      <c r="AW2055" s="8"/>
      <c r="AX2055" s="8">
        <f ca="1">IFERROR(__xludf.DUMMYFUNCTION("""COMPUTED_VALUE"""),54143)</f>
        <v>54143</v>
      </c>
    </row>
    <row r="2056" spans="1:50" ht="75" x14ac:dyDescent="0.2">
      <c r="A2056" s="8" t="str">
        <f ca="1">IFERROR(__xludf.DUMMYFUNCTION("""COMPUTED_VALUE"""),"20101023KSTOT")</f>
        <v>20101023KSTOT</v>
      </c>
      <c r="B2056" s="8">
        <f ca="1">IFERROR(__xludf.DUMMYFUNCTION("""COMPUTED_VALUE"""),10)</f>
        <v>10</v>
      </c>
      <c r="C2056" s="8">
        <f ca="1">IFERROR(__xludf.DUMMYFUNCTION("""COMPUTED_VALUE"""),23)</f>
        <v>23</v>
      </c>
      <c r="D2056" s="8">
        <f ca="1">IFERROR(__xludf.DUMMYFUNCTION("""COMPUTED_VALUE"""),2010)</f>
        <v>2010</v>
      </c>
      <c r="E2056" s="9">
        <f ca="1">IFERROR(__xludf.DUMMYFUNCTION("""COMPUTED_VALUE"""),40474)</f>
        <v>40474</v>
      </c>
      <c r="F2056" s="8" t="str">
        <f ca="1">IFERROR(__xludf.DUMMYFUNCTION("""COMPUTED_VALUE"""),"Topeka West High School")</f>
        <v>Topeka West High School</v>
      </c>
      <c r="G2056" s="8">
        <f ca="1">IFERROR(__xludf.DUMMYFUNCTION("""COMPUTED_VALUE"""),1)</f>
        <v>1</v>
      </c>
      <c r="H2056" s="8">
        <f ca="1">IFERROR(__xludf.DUMMYFUNCTION("""COMPUTED_VALUE"""),1)</f>
        <v>1</v>
      </c>
      <c r="I2056" s="8">
        <f ca="1">IFERROR(__xludf.DUMMYFUNCTION("""COMPUTED_VALUE"""),2)</f>
        <v>2</v>
      </c>
      <c r="J2056" s="8">
        <f ca="1">IFERROR(__xludf.DUMMYFUNCTION("""COMPUTED_VALUE"""),0)</f>
        <v>0</v>
      </c>
      <c r="K2056" s="8" t="str">
        <f ca="1">IFERROR(__xludf.DUMMYFUNCTION("""COMPUTED_VALUE"""),"https://www.wibw.com/home/headlines/Shooting_At_Topeka_West_High_School_105624733.html https://www.cjonline.com/news/2013-04-11/woman-gets-10-years-fatal-shooting-topeka-west")</f>
        <v>https://www.wibw.com/home/headlines/Shooting_At_Topeka_West_High_School_105624733.html https://www.cjonline.com/news/2013-04-11/woman-gets-10-years-fatal-shooting-topeka-west</v>
      </c>
      <c r="L2056" s="8">
        <f ca="1">IFERROR(__xludf.DUMMYFUNCTION("""COMPUTED_VALUE"""),11)</f>
        <v>11</v>
      </c>
      <c r="M2056" s="8" t="str">
        <f ca="1">IFERROR(__xludf.DUMMYFUNCTION("""COMPUTED_VALUE"""),"Local")</f>
        <v>Local</v>
      </c>
      <c r="N2056" s="8">
        <f ca="1">IFERROR(__xludf.DUMMYFUNCTION("""COMPUTED_VALUE"""),5)</f>
        <v>5</v>
      </c>
      <c r="O2056" s="8" t="str">
        <f ca="1">IFERROR(__xludf.DUMMYFUNCTION("""COMPUTED_VALUE"""),"Fall")</f>
        <v>Fall</v>
      </c>
      <c r="P2056" s="8" t="str">
        <f ca="1">IFERROR(__xludf.DUMMYFUNCTION("""COMPUTED_VALUE"""),"Topeka")</f>
        <v>Topeka</v>
      </c>
      <c r="Q2056" s="8" t="str">
        <f ca="1">IFERROR(__xludf.DUMMYFUNCTION("""COMPUTED_VALUE"""),"KS")</f>
        <v>KS</v>
      </c>
      <c r="R2056" s="8" t="str">
        <f ca="1">IFERROR(__xludf.DUMMYFUNCTION("""COMPUTED_VALUE"""),"High")</f>
        <v>High</v>
      </c>
      <c r="S2056" s="8" t="str">
        <f ca="1">IFERROR(__xludf.DUMMYFUNCTION("""COMPUTED_VALUE"""),"Field (General)")</f>
        <v>Field (General)</v>
      </c>
      <c r="T2056" s="8" t="str">
        <f ca="1">IFERROR(__xludf.DUMMYFUNCTION("""COMPUTED_VALUE"""),"Outside on School Property")</f>
        <v>Outside on School Property</v>
      </c>
      <c r="U2056" s="8" t="str">
        <f ca="1">IFERROR(__xludf.DUMMYFUNCTION("""COMPUTED_VALUE"""),"No")</f>
        <v>No</v>
      </c>
      <c r="V2056" s="8" t="str">
        <f ca="1">IFERROR(__xludf.DUMMYFUNCTION("""COMPUTED_VALUE"""),"Evening")</f>
        <v>Evening</v>
      </c>
      <c r="W2056" s="11">
        <f ca="1">IFERROR(__xludf.DUMMYFUNCTION("""COMPUTED_VALUE"""),0.9375)</f>
        <v>0.9375</v>
      </c>
      <c r="X2056" s="8">
        <f ca="1">IFERROR(__xludf.DUMMYFUNCTION("""COMPUTED_VALUE"""),1)</f>
        <v>1</v>
      </c>
      <c r="Y2056" s="12" t="str">
        <f ca="1">IFERROR(__xludf.DUMMYFUNCTION("""COMPUTED_VALUE"""),"Drug deal gone bad")</f>
        <v>Drug deal gone bad</v>
      </c>
      <c r="Z2056" s="12" t="str">
        <f ca="1">IFERROR(__xludf.DUMMYFUNCTION("""COMPUTED_VALUE"""),"Two victims went to meet suspects on school grounds to buy marijuana. Either the deal went bad or it was an ambush, but one victim was killed and the other wounded -  all 4 suspects (2 males and 2 females) apprehended and charged.")</f>
        <v>Two victims went to meet suspects on school grounds to buy marijuana. Either the deal went bad or it was an ambush, but one victim was killed and the other wounded -  all 4 suspects (2 males and 2 females) apprehended and charged.</v>
      </c>
      <c r="AA2056" s="8" t="str">
        <f ca="1">IFERROR(__xludf.DUMMYFUNCTION("""COMPUTED_VALUE"""),"Illegal Activity")</f>
        <v>Illegal Activity</v>
      </c>
      <c r="AB2056" s="8"/>
      <c r="AC2056" s="8" t="str">
        <f ca="1">IFERROR(__xludf.DUMMYFUNCTION("""COMPUTED_VALUE"""),"No")</f>
        <v>No</v>
      </c>
      <c r="AD2056" s="8" t="str">
        <f ca="1">IFERROR(__xludf.DUMMYFUNCTION("""COMPUTED_VALUE"""),"Victims Targeted")</f>
        <v>Victims Targeted</v>
      </c>
      <c r="AE2056" s="8" t="str">
        <f ca="1">IFERROR(__xludf.DUMMYFUNCTION("""COMPUTED_VALUE"""),"Yes")</f>
        <v>Yes</v>
      </c>
      <c r="AF2056" s="8" t="str">
        <f ca="1">IFERROR(__xludf.DUMMYFUNCTION("""COMPUTED_VALUE"""),"Samantha Dawn Carroll, 23, was the driver: pleaded guilty to conspiracy to commit felony first-degree murder and no contest to the intimidation and was sentenced to 10 years in prison; Samantha Lindsay Hochard, 20, pleaded no contest to one count of solic"&amp;"itation to commit felony murder, a level-three person felony; and aggravated battery, great bodily harm, a level-four person felony, and was sentenced to 59 months in the custody of the Kansas Department of Corrections")</f>
        <v>Samantha Dawn Carroll, 23, was the driver: pleaded guilty to conspiracy to commit felony first-degree murder and no contest to the intimidation and was sentenced to 10 years in prison; Samantha Lindsay Hochard, 20, pleaded no contest to one count of solicitation to commit felony murder, a level-three person felony; and aggravated battery, great bodily harm, a level-four person felony, and was sentenced to 59 months in the custody of the Kansas Department of Corrections</v>
      </c>
      <c r="AG2056" s="8" t="str">
        <f ca="1">IFERROR(__xludf.DUMMYFUNCTION("""COMPUTED_VALUE"""),"No")</f>
        <v>No</v>
      </c>
      <c r="AH2056" s="8" t="str">
        <f ca="1">IFERROR(__xludf.DUMMYFUNCTION("""COMPUTED_VALUE"""),"No")</f>
        <v>No</v>
      </c>
      <c r="AI2056" s="8" t="str">
        <f ca="1">IFERROR(__xludf.DUMMYFUNCTION("""COMPUTED_VALUE"""),"No")</f>
        <v>No</v>
      </c>
      <c r="AJ2056" s="8" t="str">
        <f ca="1">IFERROR(__xludf.DUMMYFUNCTION("""COMPUTED_VALUE"""),"No")</f>
        <v>No</v>
      </c>
      <c r="AK2056" s="8" t="str">
        <f ca="1">IFERROR(__xludf.DUMMYFUNCTION("""COMPUTED_VALUE"""),"No")</f>
        <v>No</v>
      </c>
      <c r="AL2056" s="8" t="str">
        <f ca="1">IFERROR(__xludf.DUMMYFUNCTION("""COMPUTED_VALUE"""),"No")</f>
        <v>No</v>
      </c>
      <c r="AM2056" s="8"/>
      <c r="AN2056" s="8"/>
      <c r="AO2056" s="8" t="str">
        <f ca="1">IFERROR(__xludf.DUMMYFUNCTION("""COMPUTED_VALUE"""),"No")</f>
        <v>No</v>
      </c>
      <c r="AP2056" s="8" t="str">
        <f ca="1">IFERROR(__xludf.DUMMYFUNCTION("""COMPUTED_VALUE"""),"N/A")</f>
        <v>N/A</v>
      </c>
      <c r="AQ2056" s="8" t="str">
        <f ca="1">IFERROR(__xludf.DUMMYFUNCTION("""COMPUTED_VALUE"""),"Unknown")</f>
        <v>Unknown</v>
      </c>
      <c r="AR2056" s="8" t="str">
        <f ca="1">IFERROR(__xludf.DUMMYFUNCTION("""COMPUTED_VALUE"""),"NA")</f>
        <v>NA</v>
      </c>
      <c r="AS2056" s="8"/>
      <c r="AT2056" s="8" t="str">
        <f ca="1">IFERROR(__xludf.DUMMYFUNCTION("""COMPUTED_VALUE"""),"N/A")</f>
        <v>N/A</v>
      </c>
      <c r="AU2056" s="8">
        <f ca="1">IFERROR(__xludf.DUMMYFUNCTION("""COMPUTED_VALUE"""),39.031741)</f>
        <v>39.031740999999997</v>
      </c>
      <c r="AV2056" s="8">
        <f ca="1">IFERROR(__xludf.DUMMYFUNCTION("""COMPUTED_VALUE"""),-95.746967)</f>
        <v>-95.746966999999998</v>
      </c>
      <c r="AW2056" s="8"/>
      <c r="AX2056" s="8">
        <f ca="1">IFERROR(__xludf.DUMMYFUNCTION("""COMPUTED_VALUE"""),66604)</f>
        <v>66604</v>
      </c>
    </row>
    <row r="2057" spans="1:50" ht="90" x14ac:dyDescent="0.2">
      <c r="A2057" s="8" t="str">
        <f ca="1">IFERROR(__xludf.DUMMYFUNCTION("""COMPUTED_VALUE"""),"20101008CAKEC")</f>
        <v>20101008CAKEC</v>
      </c>
      <c r="B2057" s="8">
        <f ca="1">IFERROR(__xludf.DUMMYFUNCTION("""COMPUTED_VALUE"""),10)</f>
        <v>10</v>
      </c>
      <c r="C2057" s="8">
        <f ca="1">IFERROR(__xludf.DUMMYFUNCTION("""COMPUTED_VALUE"""),8)</f>
        <v>8</v>
      </c>
      <c r="D2057" s="8">
        <f ca="1">IFERROR(__xludf.DUMMYFUNCTION("""COMPUTED_VALUE"""),2010)</f>
        <v>2010</v>
      </c>
      <c r="E2057" s="9">
        <f ca="1">IFERROR(__xludf.DUMMYFUNCTION("""COMPUTED_VALUE"""),40459)</f>
        <v>40459</v>
      </c>
      <c r="F2057" s="8" t="str">
        <f ca="1">IFERROR(__xludf.DUMMYFUNCTION("""COMPUTED_VALUE"""),"Kelly Elementary School")</f>
        <v>Kelly Elementary School</v>
      </c>
      <c r="G2057" s="8">
        <f ca="1">IFERROR(__xludf.DUMMYFUNCTION("""COMPUTED_VALUE"""),0)</f>
        <v>0</v>
      </c>
      <c r="H2057" s="8">
        <f ca="1">IFERROR(__xludf.DUMMYFUNCTION("""COMPUTED_VALUE"""),2)</f>
        <v>2</v>
      </c>
      <c r="I2057" s="8">
        <f ca="1">IFERROR(__xludf.DUMMYFUNCTION("""COMPUTED_VALUE"""),2)</f>
        <v>2</v>
      </c>
      <c r="J2057" s="8">
        <f ca="1">IFERROR(__xludf.DUMMYFUNCTION("""COMPUTED_VALUE"""),0)</f>
        <v>0</v>
      </c>
      <c r="K2057" s="8" t="str">
        <f ca="1">IFERROR(__xludf.DUMMYFUNCTION("""COMPUTED_VALUE"""),"http://www.cbs8.com/story/13293293/shots-fired-at-kelly-elementary-school-in-carlsbad https://www.fbi.gov/file-repository/active-shooter-incidents-2000-2017.pdf")</f>
        <v>http://www.cbs8.com/story/13293293/shots-fired-at-kelly-elementary-school-in-carlsbad https://www.fbi.gov/file-repository/active-shooter-incidents-2000-2017.pdf</v>
      </c>
      <c r="L2057" s="8"/>
      <c r="M2057" s="8"/>
      <c r="N2057" s="8">
        <f ca="1">IFERROR(__xludf.DUMMYFUNCTION("""COMPUTED_VALUE"""),5)</f>
        <v>5</v>
      </c>
      <c r="O2057" s="8" t="str">
        <f ca="1">IFERROR(__xludf.DUMMYFUNCTION("""COMPUTED_VALUE"""),"Fall")</f>
        <v>Fall</v>
      </c>
      <c r="P2057" s="8" t="str">
        <f ca="1">IFERROR(__xludf.DUMMYFUNCTION("""COMPUTED_VALUE"""),"Carlsbad")</f>
        <v>Carlsbad</v>
      </c>
      <c r="Q2057" s="8" t="str">
        <f ca="1">IFERROR(__xludf.DUMMYFUNCTION("""COMPUTED_VALUE"""),"CA")</f>
        <v>CA</v>
      </c>
      <c r="R2057" s="8" t="str">
        <f ca="1">IFERROR(__xludf.DUMMYFUNCTION("""COMPUTED_VALUE"""),"Elementary")</f>
        <v>Elementary</v>
      </c>
      <c r="S2057" s="8" t="str">
        <f ca="1">IFERROR(__xludf.DUMMYFUNCTION("""COMPUTED_VALUE"""),"Playground")</f>
        <v>Playground</v>
      </c>
      <c r="T2057" s="8" t="str">
        <f ca="1">IFERROR(__xludf.DUMMYFUNCTION("""COMPUTED_VALUE"""),"Outside on School Property")</f>
        <v>Outside on School Property</v>
      </c>
      <c r="U2057" s="8" t="str">
        <f ca="1">IFERROR(__xludf.DUMMYFUNCTION("""COMPUTED_VALUE"""),"Yes")</f>
        <v>Yes</v>
      </c>
      <c r="V2057" s="8" t="str">
        <f ca="1">IFERROR(__xludf.DUMMYFUNCTION("""COMPUTED_VALUE"""),"Lunch")</f>
        <v>Lunch</v>
      </c>
      <c r="W2057" s="11">
        <f ca="1">IFERROR(__xludf.DUMMYFUNCTION("""COMPUTED_VALUE"""),0.5)</f>
        <v>0.5</v>
      </c>
      <c r="X2057" s="8">
        <f ca="1">IFERROR(__xludf.DUMMYFUNCTION("""COMPUTED_VALUE"""),2)</f>
        <v>2</v>
      </c>
      <c r="Y2057" s="12" t="str">
        <f ca="1">IFERROR(__xludf.DUMMYFUNCTION("""COMPUTED_VALUE"""),"Fired shot at school playground, struck by driver who saw shooting occuring")</f>
        <v>Fired shot at school playground, struck by driver who saw shooting occuring</v>
      </c>
      <c r="Z2057" s="12" t="str">
        <f ca="1">IFERROR(__xludf.DUMMYFUNCTION("""COMPUTED_VALUE"""),"Shooter fired at a elementary school playground from a distance with a .357 revolver. Shooter also had gas can and propane tank. Shots struck two students. Nearby construction worker who heard the shots and saw him shooting intervened. One of the workers "&amp;"used his truck to knock shooter down while two other workers subdued him.")</f>
        <v>Shooter fired at a elementary school playground from a distance with a .357 revolver. Shooter also had gas can and propane tank. Shots struck two students. Nearby construction worker who heard the shots and saw him shooting intervened. One of the workers used his truck to knock shooter down while two other workers subdued him.</v>
      </c>
      <c r="AA2057" s="8" t="str">
        <f ca="1">IFERROR(__xludf.DUMMYFUNCTION("""COMPUTED_VALUE"""),"Indiscriminate Shooting")</f>
        <v>Indiscriminate Shooting</v>
      </c>
      <c r="AB2057" s="8"/>
      <c r="AC2057" s="8" t="str">
        <f ca="1">IFERROR(__xludf.DUMMYFUNCTION("""COMPUTED_VALUE"""),"Yes")</f>
        <v>Yes</v>
      </c>
      <c r="AD2057" s="8" t="str">
        <f ca="1">IFERROR(__xludf.DUMMYFUNCTION("""COMPUTED_VALUE"""),"Random Shooting")</f>
        <v>Random Shooting</v>
      </c>
      <c r="AE2057" s="8" t="str">
        <f ca="1">IFERROR(__xludf.DUMMYFUNCTION("""COMPUTED_VALUE"""),"No")</f>
        <v>No</v>
      </c>
      <c r="AF2057" s="8"/>
      <c r="AG2057" s="8" t="str">
        <f ca="1">IFERROR(__xludf.DUMMYFUNCTION("""COMPUTED_VALUE"""),"No")</f>
        <v>No</v>
      </c>
      <c r="AH2057" s="8" t="str">
        <f ca="1">IFERROR(__xludf.DUMMYFUNCTION("""COMPUTED_VALUE"""),"No")</f>
        <v>No</v>
      </c>
      <c r="AI2057" s="8" t="str">
        <f ca="1">IFERROR(__xludf.DUMMYFUNCTION("""COMPUTED_VALUE"""),"No")</f>
        <v>No</v>
      </c>
      <c r="AJ2057" s="8" t="str">
        <f ca="1">IFERROR(__xludf.DUMMYFUNCTION("""COMPUTED_VALUE"""),"No")</f>
        <v>No</v>
      </c>
      <c r="AK2057" s="8" t="str">
        <f ca="1">IFERROR(__xludf.DUMMYFUNCTION("""COMPUTED_VALUE"""),"No")</f>
        <v>No</v>
      </c>
      <c r="AL2057" s="8" t="str">
        <f ca="1">IFERROR(__xludf.DUMMYFUNCTION("""COMPUTED_VALUE"""),"No")</f>
        <v>No</v>
      </c>
      <c r="AM2057" s="8" t="str">
        <f ca="1">IFERROR(__xludf.DUMMYFUNCTION("""COMPUTED_VALUE"""),"Yes")</f>
        <v>Yes</v>
      </c>
      <c r="AN2057" s="8" t="str">
        <f ca="1">IFERROR(__xludf.DUMMYFUNCTION("""COMPUTED_VALUE"""),"Outside")</f>
        <v>Outside</v>
      </c>
      <c r="AO2057" s="8" t="str">
        <f ca="1">IFERROR(__xludf.DUMMYFUNCTION("""COMPUTED_VALUE"""),"Yes")</f>
        <v>Yes</v>
      </c>
      <c r="AP2057" s="8" t="str">
        <f ca="1">IFERROR(__xludf.DUMMYFUNCTION("""COMPUTED_VALUE"""),"No")</f>
        <v>No</v>
      </c>
      <c r="AQ2057" s="8" t="str">
        <f ca="1">IFERROR(__xludf.DUMMYFUNCTION("""COMPUTED_VALUE"""),"Unknown")</f>
        <v>Unknown</v>
      </c>
      <c r="AR2057" s="8" t="str">
        <f ca="1">IFERROR(__xludf.DUMMYFUNCTION("""COMPUTED_VALUE"""),"NA")</f>
        <v>NA</v>
      </c>
      <c r="AS2057" s="8">
        <f ca="1">IFERROR(__xludf.DUMMYFUNCTION("""COMPUTED_VALUE"""),6)</f>
        <v>6</v>
      </c>
      <c r="AT2057" s="8"/>
      <c r="AU2057" s="8">
        <f ca="1">IFERROR(__xludf.DUMMYFUNCTION("""COMPUTED_VALUE"""),33.147179)</f>
        <v>33.147179000000001</v>
      </c>
      <c r="AV2057" s="8">
        <f ca="1">IFERROR(__xludf.DUMMYFUNCTION("""COMPUTED_VALUE"""),-117.312076)</f>
        <v>-117.312076</v>
      </c>
      <c r="AW2057" s="8"/>
      <c r="AX2057" s="8">
        <f ca="1">IFERROR(__xludf.DUMMYFUNCTION("""COMPUTED_VALUE"""),92008)</f>
        <v>92008</v>
      </c>
    </row>
    <row r="2058" spans="1:50" ht="45" x14ac:dyDescent="0.2">
      <c r="A2058" s="8" t="str">
        <f ca="1">IFERROR(__xludf.DUMMYFUNCTION("""COMPUTED_VALUE"""),"20101001CAALS")</f>
        <v>20101001CAALS</v>
      </c>
      <c r="B2058" s="8">
        <f ca="1">IFERROR(__xludf.DUMMYFUNCTION("""COMPUTED_VALUE"""),10)</f>
        <v>10</v>
      </c>
      <c r="C2058" s="8">
        <f ca="1">IFERROR(__xludf.DUMMYFUNCTION("""COMPUTED_VALUE"""),1)</f>
        <v>1</v>
      </c>
      <c r="D2058" s="8">
        <f ca="1">IFERROR(__xludf.DUMMYFUNCTION("""COMPUTED_VALUE"""),2010)</f>
        <v>2010</v>
      </c>
      <c r="E2058" s="9">
        <f ca="1">IFERROR(__xludf.DUMMYFUNCTION("""COMPUTED_VALUE"""),40452)</f>
        <v>40452</v>
      </c>
      <c r="F2058" s="8" t="str">
        <f ca="1">IFERROR(__xludf.DUMMYFUNCTION("""COMPUTED_VALUE"""),"Alisal High School")</f>
        <v>Alisal High School</v>
      </c>
      <c r="G2058" s="8">
        <f ca="1">IFERROR(__xludf.DUMMYFUNCTION("""COMPUTED_VALUE"""),1)</f>
        <v>1</v>
      </c>
      <c r="H2058" s="8">
        <f ca="1">IFERROR(__xludf.DUMMYFUNCTION("""COMPUTED_VALUE"""),0)</f>
        <v>0</v>
      </c>
      <c r="I2058" s="8">
        <f ca="1">IFERROR(__xludf.DUMMYFUNCTION("""COMPUTED_VALUE"""),1)</f>
        <v>1</v>
      </c>
      <c r="J2058" s="8">
        <f ca="1">IFERROR(__xludf.DUMMYFUNCTION("""COMPUTED_VALUE"""),0)</f>
        <v>0</v>
      </c>
      <c r="K2058" s="8" t="str">
        <f ca="1">IFERROR(__xludf.DUMMYFUNCTION("""COMPUTED_VALUE"""),"http://www.montereyherald.com/article/ZZ/20101001/NEWS/101008895 .   https://www.newspapers.com/image/280535784/?terms=alisal%2Bhigh%2Bschool%2Bshooting")</f>
        <v>http://www.montereyherald.com/article/ZZ/20101001/NEWS/101008895 .   https://www.newspapers.com/image/280535784/?terms=alisal%2Bhigh%2Bschool%2Bshooting</v>
      </c>
      <c r="L2058" s="8"/>
      <c r="M2058" s="8"/>
      <c r="N2058" s="8">
        <f ca="1">IFERROR(__xludf.DUMMYFUNCTION("""COMPUTED_VALUE"""),2)</f>
        <v>2</v>
      </c>
      <c r="O2058" s="8" t="str">
        <f ca="1">IFERROR(__xludf.DUMMYFUNCTION("""COMPUTED_VALUE"""),"Fall")</f>
        <v>Fall</v>
      </c>
      <c r="P2058" s="8" t="str">
        <f ca="1">IFERROR(__xludf.DUMMYFUNCTION("""COMPUTED_VALUE"""),"Salinas")</f>
        <v>Salinas</v>
      </c>
      <c r="Q2058" s="8" t="str">
        <f ca="1">IFERROR(__xludf.DUMMYFUNCTION("""COMPUTED_VALUE"""),"CA")</f>
        <v>CA</v>
      </c>
      <c r="R2058" s="8" t="str">
        <f ca="1">IFERROR(__xludf.DUMMYFUNCTION("""COMPUTED_VALUE"""),"High")</f>
        <v>High</v>
      </c>
      <c r="S2058" s="8" t="str">
        <f ca="1">IFERROR(__xludf.DUMMYFUNCTION("""COMPUTED_VALUE"""),"Beside Building")</f>
        <v>Beside Building</v>
      </c>
      <c r="T2058" s="8" t="str">
        <f ca="1">IFERROR(__xludf.DUMMYFUNCTION("""COMPUTED_VALUE"""),"Outside on School Property")</f>
        <v>Outside on School Property</v>
      </c>
      <c r="U2058" s="8" t="str">
        <f ca="1">IFERROR(__xludf.DUMMYFUNCTION("""COMPUTED_VALUE"""),"Yes")</f>
        <v>Yes</v>
      </c>
      <c r="V2058" s="8" t="str">
        <f ca="1">IFERROR(__xludf.DUMMYFUNCTION("""COMPUTED_VALUE"""),"School Start")</f>
        <v>School Start</v>
      </c>
      <c r="W2058" s="11">
        <f ca="1">IFERROR(__xludf.DUMMYFUNCTION("""COMPUTED_VALUE"""),0.328472222222222)</f>
        <v>0.328472222222222</v>
      </c>
      <c r="X2058" s="8">
        <f ca="1">IFERROR(__xludf.DUMMYFUNCTION("""COMPUTED_VALUE"""),1)</f>
        <v>1</v>
      </c>
      <c r="Y2058" s="12" t="str">
        <f ca="1">IFERROR(__xludf.DUMMYFUNCTION("""COMPUTED_VALUE"""),"Gang-related shooting outside of school.")</f>
        <v>Gang-related shooting outside of school.</v>
      </c>
      <c r="Z2058" s="12" t="str">
        <f ca="1">IFERROR(__xludf.DUMMYFUNCTION("""COMPUTED_VALUE"""),"Unidentified shooter fired multiple shots at the victim when he walked onto school grounds. Shooter fled the scene. Police reported the shooting was gang related.")</f>
        <v>Unidentified shooter fired multiple shots at the victim when he walked onto school grounds. Shooter fled the scene. Police reported the shooting was gang related.</v>
      </c>
      <c r="AA2058" s="8" t="str">
        <f ca="1">IFERROR(__xludf.DUMMYFUNCTION("""COMPUTED_VALUE"""),"Escalation of Dispute")</f>
        <v>Escalation of Dispute</v>
      </c>
      <c r="AB2058" s="8"/>
      <c r="AC2058" s="8" t="str">
        <f ca="1">IFERROR(__xludf.DUMMYFUNCTION("""COMPUTED_VALUE"""),"Yes")</f>
        <v>Yes</v>
      </c>
      <c r="AD2058" s="8" t="str">
        <f ca="1">IFERROR(__xludf.DUMMYFUNCTION("""COMPUTED_VALUE"""),"Victims Targeted")</f>
        <v>Victims Targeted</v>
      </c>
      <c r="AE2058" s="8"/>
      <c r="AF2058" s="8"/>
      <c r="AG2058" s="8" t="str">
        <f ca="1">IFERROR(__xludf.DUMMYFUNCTION("""COMPUTED_VALUE"""),"No")</f>
        <v>No</v>
      </c>
      <c r="AH2058" s="8" t="str">
        <f ca="1">IFERROR(__xludf.DUMMYFUNCTION("""COMPUTED_VALUE"""),"No")</f>
        <v>No</v>
      </c>
      <c r="AI2058" s="8" t="str">
        <f ca="1">IFERROR(__xludf.DUMMYFUNCTION("""COMPUTED_VALUE"""),"No")</f>
        <v>No</v>
      </c>
      <c r="AJ2058" s="8"/>
      <c r="AK2058" s="8" t="str">
        <f ca="1">IFERROR(__xludf.DUMMYFUNCTION("""COMPUTED_VALUE"""),"No")</f>
        <v>No</v>
      </c>
      <c r="AL2058" s="8" t="str">
        <f ca="1">IFERROR(__xludf.DUMMYFUNCTION("""COMPUTED_VALUE"""),"Yes")</f>
        <v>Yes</v>
      </c>
      <c r="AM2058" s="8"/>
      <c r="AN2058" s="8"/>
      <c r="AO2058" s="8" t="str">
        <f ca="1">IFERROR(__xludf.DUMMYFUNCTION("""COMPUTED_VALUE"""),"No")</f>
        <v>No</v>
      </c>
      <c r="AP2058" s="8" t="str">
        <f ca="1">IFERROR(__xludf.DUMMYFUNCTION("""COMPUTED_VALUE"""),"No")</f>
        <v>No</v>
      </c>
      <c r="AQ2058" s="8" t="str">
        <f ca="1">IFERROR(__xludf.DUMMYFUNCTION("""COMPUTED_VALUE"""),"Unknown")</f>
        <v>Unknown</v>
      </c>
      <c r="AR2058" s="8" t="str">
        <f ca="1">IFERROR(__xludf.DUMMYFUNCTION("""COMPUTED_VALUE"""),"NA")</f>
        <v>NA</v>
      </c>
      <c r="AS2058" s="8" t="str">
        <f ca="1">IFERROR(__xludf.DUMMYFUNCTION("""COMPUTED_VALUE"""),"&lt;5")</f>
        <v>&lt;5</v>
      </c>
      <c r="AT2058" s="8"/>
      <c r="AU2058" s="8">
        <f ca="1">IFERROR(__xludf.DUMMYFUNCTION("""COMPUTED_VALUE"""),36.684584)</f>
        <v>36.684584000000001</v>
      </c>
      <c r="AV2058" s="8">
        <f ca="1">IFERROR(__xludf.DUMMYFUNCTION("""COMPUTED_VALUE"""),-121.600821)</f>
        <v>-121.600821</v>
      </c>
      <c r="AW2058" s="8"/>
      <c r="AX2058" s="8">
        <f ca="1">IFERROR(__xludf.DUMMYFUNCTION("""COMPUTED_VALUE"""),93905)</f>
        <v>93905</v>
      </c>
    </row>
    <row r="2059" spans="1:50" ht="135" x14ac:dyDescent="0.2">
      <c r="A2059" s="8" t="str">
        <f ca="1">IFERROR(__xludf.DUMMYFUNCTION("""COMPUTED_VALUE"""),"20100921SCSOC")</f>
        <v>20100921SCSOC</v>
      </c>
      <c r="B2059" s="8">
        <f ca="1">IFERROR(__xludf.DUMMYFUNCTION("""COMPUTED_VALUE"""),9)</f>
        <v>9</v>
      </c>
      <c r="C2059" s="8">
        <f ca="1">IFERROR(__xludf.DUMMYFUNCTION("""COMPUTED_VALUE"""),21)</f>
        <v>21</v>
      </c>
      <c r="D2059" s="8">
        <f ca="1">IFERROR(__xludf.DUMMYFUNCTION("""COMPUTED_VALUE"""),2010)</f>
        <v>2010</v>
      </c>
      <c r="E2059" s="9">
        <f ca="1">IFERROR(__xludf.DUMMYFUNCTION("""COMPUTED_VALUE"""),40442)</f>
        <v>40442</v>
      </c>
      <c r="F2059" s="8" t="str">
        <f ca="1">IFERROR(__xludf.DUMMYFUNCTION("""COMPUTED_VALUE"""),"Socastee High School")</f>
        <v>Socastee High School</v>
      </c>
      <c r="G2059" s="8">
        <f ca="1">IFERROR(__xludf.DUMMYFUNCTION("""COMPUTED_VALUE"""),0)</f>
        <v>0</v>
      </c>
      <c r="H2059" s="8">
        <f ca="1">IFERROR(__xludf.DUMMYFUNCTION("""COMPUTED_VALUE"""),1)</f>
        <v>1</v>
      </c>
      <c r="I2059" s="8">
        <f ca="1">IFERROR(__xludf.DUMMYFUNCTION("""COMPUTED_VALUE"""),1)</f>
        <v>1</v>
      </c>
      <c r="J2059" s="8">
        <f ca="1">IFERROR(__xludf.DUMMYFUNCTION("""COMPUTED_VALUE"""),0)</f>
        <v>0</v>
      </c>
      <c r="K2059" s="8" t="str">
        <f ca="1">IFERROR(__xludf.DUMMYFUNCTION("""COMPUTED_VALUE"""),"https://www.scnow.com/news/local/article_04883685-d7bf-56ec-a60b-6d38dce94a06.html .   https://www.myrtlebeachonline.com/latest-news/article16608194.html .  http://www.wmbfnews.com/story/13192276/police-respond-to-incident-at-socastee-hs https://www.scnow"&amp;".com/news/local/former-socastee-high-student-sentenced-to-six-years-for-shooting/article_04883685-d7bf-56ec-a60b-6d38dce94a06.html")</f>
        <v>https://www.scnow.com/news/local/article_04883685-d7bf-56ec-a60b-6d38dce94a06.html .   https://www.myrtlebeachonline.com/latest-news/article16608194.html .  http://www.wmbfnews.com/story/13192276/police-respond-to-incident-at-socastee-hs https://www.scnow.com/news/local/former-socastee-high-student-sentenced-to-six-years-for-shooting/article_04883685-d7bf-56ec-a60b-6d38dce94a06.html</v>
      </c>
      <c r="L2059" s="8"/>
      <c r="M2059" s="8"/>
      <c r="N2059" s="8">
        <f ca="1">IFERROR(__xludf.DUMMYFUNCTION("""COMPUTED_VALUE"""),4)</f>
        <v>4</v>
      </c>
      <c r="O2059" s="8" t="str">
        <f ca="1">IFERROR(__xludf.DUMMYFUNCTION("""COMPUTED_VALUE"""),"Fall")</f>
        <v>Fall</v>
      </c>
      <c r="P2059" s="8" t="str">
        <f ca="1">IFERROR(__xludf.DUMMYFUNCTION("""COMPUTED_VALUE"""),"Conway")</f>
        <v>Conway</v>
      </c>
      <c r="Q2059" s="8" t="str">
        <f ca="1">IFERROR(__xludf.DUMMYFUNCTION("""COMPUTED_VALUE"""),"SC")</f>
        <v>SC</v>
      </c>
      <c r="R2059" s="8" t="str">
        <f ca="1">IFERROR(__xludf.DUMMYFUNCTION("""COMPUTED_VALUE"""),"High")</f>
        <v>High</v>
      </c>
      <c r="S2059" s="8" t="str">
        <f ca="1">IFERROR(__xludf.DUMMYFUNCTION("""COMPUTED_VALUE"""),"Office")</f>
        <v>Office</v>
      </c>
      <c r="T2059" s="8" t="str">
        <f ca="1">IFERROR(__xludf.DUMMYFUNCTION("""COMPUTED_VALUE"""),"Inside School Building")</f>
        <v>Inside School Building</v>
      </c>
      <c r="U2059" s="8" t="str">
        <f ca="1">IFERROR(__xludf.DUMMYFUNCTION("""COMPUTED_VALUE"""),"Yes")</f>
        <v>Yes</v>
      </c>
      <c r="V2059" s="8" t="str">
        <f ca="1">IFERROR(__xludf.DUMMYFUNCTION("""COMPUTED_VALUE"""),"Afternoon Classes")</f>
        <v>Afternoon Classes</v>
      </c>
      <c r="W2059" s="11">
        <f ca="1">IFERROR(__xludf.DUMMYFUNCTION("""COMPUTED_VALUE"""),0.583333333333333)</f>
        <v>0.58333333333333304</v>
      </c>
      <c r="X2059" s="8">
        <f ca="1">IFERROR(__xludf.DUMMYFUNCTION("""COMPUTED_VALUE"""),1)</f>
        <v>1</v>
      </c>
      <c r="Y2059" s="12" t="str">
        <f ca="1">IFERROR(__xludf.DUMMYFUNCTION("""COMPUTED_VALUE"""),"Fired shot at SRO when officer searched his bag")</f>
        <v>Fired shot at SRO when officer searched his bag</v>
      </c>
      <c r="Z2059" s="12" t="str">
        <f ca="1">IFERROR(__xludf.DUMMYFUNCTION("""COMPUTED_VALUE"""),"Shooter was a 15YOM former student who was not known to school officials. Fired handgun in the SRO's office when SRO attempted to search his bag. SRO was burned by the gun firing but was not shot. He was able to wrestle the gun away from the shooter. Shoo"&amp;"ter was good student but was bullied for years. Grandmother reported him coming home from school with marks and bruises. Correctional officers reported fascination with guns and violence. Shooter also had two pipe bombs in his bag.")</f>
        <v>Shooter was a 15YOM former student who was not known to school officials. Fired handgun in the SRO's office when SRO attempted to search his bag. SRO was burned by the gun firing but was not shot. He was able to wrestle the gun away from the shooter. Shooter was good student but was bullied for years. Grandmother reported him coming home from school with marks and bruises. Correctional officers reported fascination with guns and violence. Shooter also had two pipe bombs in his bag.</v>
      </c>
      <c r="AA2059" s="8" t="str">
        <f ca="1">IFERROR(__xludf.DUMMYFUNCTION("""COMPUTED_VALUE"""),"Bullying")</f>
        <v>Bullying</v>
      </c>
      <c r="AB2059" s="8"/>
      <c r="AC2059" s="8" t="str">
        <f ca="1">IFERROR(__xludf.DUMMYFUNCTION("""COMPUTED_VALUE"""),"Yes")</f>
        <v>Yes</v>
      </c>
      <c r="AD2059" s="8" t="str">
        <f ca="1">IFERROR(__xludf.DUMMYFUNCTION("""COMPUTED_VALUE"""),"Victims Targeted")</f>
        <v>Victims Targeted</v>
      </c>
      <c r="AE2059" s="8" t="str">
        <f ca="1">IFERROR(__xludf.DUMMYFUNCTION("""COMPUTED_VALUE"""),"No")</f>
        <v>No</v>
      </c>
      <c r="AF2059" s="8"/>
      <c r="AG2059" s="8" t="str">
        <f ca="1">IFERROR(__xludf.DUMMYFUNCTION("""COMPUTED_VALUE"""),"No")</f>
        <v>No</v>
      </c>
      <c r="AH2059" s="8" t="str">
        <f ca="1">IFERROR(__xludf.DUMMYFUNCTION("""COMPUTED_VALUE"""),"No")</f>
        <v>No</v>
      </c>
      <c r="AI2059" s="8" t="str">
        <f ca="1">IFERROR(__xludf.DUMMYFUNCTION("""COMPUTED_VALUE"""),"No")</f>
        <v>No</v>
      </c>
      <c r="AJ2059" s="8" t="str">
        <f ca="1">IFERROR(__xludf.DUMMYFUNCTION("""COMPUTED_VALUE"""),"Yes")</f>
        <v>Yes</v>
      </c>
      <c r="AK2059" s="8" t="str">
        <f ca="1">IFERROR(__xludf.DUMMYFUNCTION("""COMPUTED_VALUE"""),"No")</f>
        <v>No</v>
      </c>
      <c r="AL2059" s="8" t="str">
        <f ca="1">IFERROR(__xludf.DUMMYFUNCTION("""COMPUTED_VALUE"""),"No")</f>
        <v>No</v>
      </c>
      <c r="AM2059" s="8" t="str">
        <f ca="1">IFERROR(__xludf.DUMMYFUNCTION("""COMPUTED_VALUE"""),"Yes")</f>
        <v>Yes</v>
      </c>
      <c r="AN2059" s="8" t="str">
        <f ca="1">IFERROR(__xludf.DUMMYFUNCTION("""COMPUTED_VALUE"""),"Single Room")</f>
        <v>Single Room</v>
      </c>
      <c r="AO2059" s="8" t="str">
        <f ca="1">IFERROR(__xludf.DUMMYFUNCTION("""COMPUTED_VALUE"""),"Yes")</f>
        <v>Yes</v>
      </c>
      <c r="AP2059" s="8" t="str">
        <f ca="1">IFERROR(__xludf.DUMMYFUNCTION("""COMPUTED_VALUE"""),"Yes")</f>
        <v>Yes</v>
      </c>
      <c r="AQ2059" s="8" t="str">
        <f ca="1">IFERROR(__xludf.DUMMYFUNCTION("""COMPUTED_VALUE"""),"None")</f>
        <v>None</v>
      </c>
      <c r="AR2059" s="8" t="str">
        <f ca="1">IFERROR(__xludf.DUMMYFUNCTION("""COMPUTED_VALUE"""),"NA")</f>
        <v>NA</v>
      </c>
      <c r="AS2059" s="8">
        <f ca="1">IFERROR(__xludf.DUMMYFUNCTION("""COMPUTED_VALUE"""),1)</f>
        <v>1</v>
      </c>
      <c r="AT2059" s="8"/>
      <c r="AU2059" s="8">
        <f ca="1">IFERROR(__xludf.DUMMYFUNCTION("""COMPUTED_VALUE"""),33.684563)</f>
        <v>33.684562999999997</v>
      </c>
      <c r="AV2059" s="8">
        <f ca="1">IFERROR(__xludf.DUMMYFUNCTION("""COMPUTED_VALUE"""),-78.997562)</f>
        <v>-78.997562000000002</v>
      </c>
      <c r="AW2059" s="8"/>
      <c r="AX2059" s="8">
        <f ca="1">IFERROR(__xludf.DUMMYFUNCTION("""COMPUTED_VALUE"""),29575)</f>
        <v>29575</v>
      </c>
    </row>
    <row r="2060" spans="1:50" ht="75" x14ac:dyDescent="0.2">
      <c r="A2060" s="8" t="str">
        <f ca="1">IFERROR(__xludf.DUMMYFUNCTION("""COMPUTED_VALUE"""),"20100908MIMUD")</f>
        <v>20100908MIMUD</v>
      </c>
      <c r="B2060" s="8">
        <f ca="1">IFERROR(__xludf.DUMMYFUNCTION("""COMPUTED_VALUE"""),9)</f>
        <v>9</v>
      </c>
      <c r="C2060" s="8">
        <f ca="1">IFERROR(__xludf.DUMMYFUNCTION("""COMPUTED_VALUE"""),8)</f>
        <v>8</v>
      </c>
      <c r="D2060" s="8">
        <f ca="1">IFERROR(__xludf.DUMMYFUNCTION("""COMPUTED_VALUE"""),2010)</f>
        <v>2010</v>
      </c>
      <c r="E2060" s="9">
        <f ca="1">IFERROR(__xludf.DUMMYFUNCTION("""COMPUTED_VALUE"""),40429)</f>
        <v>40429</v>
      </c>
      <c r="F2060" s="8" t="str">
        <f ca="1">IFERROR(__xludf.DUMMYFUNCTION("""COMPUTED_VALUE"""),"Mumford High School")</f>
        <v>Mumford High School</v>
      </c>
      <c r="G2060" s="8">
        <f ca="1">IFERROR(__xludf.DUMMYFUNCTION("""COMPUTED_VALUE"""),0)</f>
        <v>0</v>
      </c>
      <c r="H2060" s="8">
        <f ca="1">IFERROR(__xludf.DUMMYFUNCTION("""COMPUTED_VALUE"""),2)</f>
        <v>2</v>
      </c>
      <c r="I2060" s="8">
        <f ca="1">IFERROR(__xludf.DUMMYFUNCTION("""COMPUTED_VALUE"""),2)</f>
        <v>2</v>
      </c>
      <c r="J2060" s="8">
        <f ca="1">IFERROR(__xludf.DUMMYFUNCTION("""COMPUTED_VALUE"""),0)</f>
        <v>0</v>
      </c>
      <c r="K2060" s="8" t="str">
        <f ca="1">IFERROR(__xludf.DUMMYFUNCTION("""COMPUTED_VALUE"""),"https://michronicleonline.com/2010/09/13/second-teen-charged-in-mumford-shooting/ .    https://www.huffingtonpost.com/2010/09/07/mumford-high-school-shoot_n_707971.html .  https://www.mlive.com/news/detroit/index.ssf/2010/09/detroit_police_detain_two_stud"&amp;".html")</f>
        <v>https://michronicleonline.com/2010/09/13/second-teen-charged-in-mumford-shooting/ .    https://www.huffingtonpost.com/2010/09/07/mumford-high-school-shoot_n_707971.html .  https://www.mlive.com/news/detroit/index.ssf/2010/09/detroit_police_detain_two_stud.html</v>
      </c>
      <c r="L2060" s="8"/>
      <c r="M2060" s="8"/>
      <c r="N2060" s="8">
        <f ca="1">IFERROR(__xludf.DUMMYFUNCTION("""COMPUTED_VALUE"""),2)</f>
        <v>2</v>
      </c>
      <c r="O2060" s="8" t="str">
        <f ca="1">IFERROR(__xludf.DUMMYFUNCTION("""COMPUTED_VALUE"""),"Fall")</f>
        <v>Fall</v>
      </c>
      <c r="P2060" s="8" t="str">
        <f ca="1">IFERROR(__xludf.DUMMYFUNCTION("""COMPUTED_VALUE"""),"Detroit")</f>
        <v>Detroit</v>
      </c>
      <c r="Q2060" s="8" t="str">
        <f ca="1">IFERROR(__xludf.DUMMYFUNCTION("""COMPUTED_VALUE"""),"MI")</f>
        <v>MI</v>
      </c>
      <c r="R2060" s="8" t="str">
        <f ca="1">IFERROR(__xludf.DUMMYFUNCTION("""COMPUTED_VALUE"""),"High")</f>
        <v>High</v>
      </c>
      <c r="S2060" s="8" t="str">
        <f ca="1">IFERROR(__xludf.DUMMYFUNCTION("""COMPUTED_VALUE"""),"Beside Building")</f>
        <v>Beside Building</v>
      </c>
      <c r="T2060" s="8" t="str">
        <f ca="1">IFERROR(__xludf.DUMMYFUNCTION("""COMPUTED_VALUE"""),"Outside on School Property")</f>
        <v>Outside on School Property</v>
      </c>
      <c r="U2060" s="8" t="str">
        <f ca="1">IFERROR(__xludf.DUMMYFUNCTION("""COMPUTED_VALUE"""),"Yes")</f>
        <v>Yes</v>
      </c>
      <c r="V2060" s="8"/>
      <c r="W2060" s="11">
        <f ca="1">IFERROR(__xludf.DUMMYFUNCTION("""COMPUTED_VALUE"""),0.645833333333333)</f>
        <v>0.64583333333333304</v>
      </c>
      <c r="X2060" s="8">
        <f ca="1">IFERROR(__xludf.DUMMYFUNCTION("""COMPUTED_VALUE"""),1)</f>
        <v>1</v>
      </c>
      <c r="Y2060" s="12" t="str">
        <f ca="1">IFERROR(__xludf.DUMMYFUNCTION("""COMPUTED_VALUE"""),"Fight outside of school")</f>
        <v>Fight outside of school</v>
      </c>
      <c r="Z2060" s="12" t="str">
        <f ca="1">IFERROR(__xludf.DUMMYFUNCTION("""COMPUTED_VALUE"""),"Physical altercation escalated into shooting outside of the school prior to the first day of classes. Two students who were not involved in the shooting were stuck (minor injuries). Shooter fled the scene. Argument began on school property - shooting took"&amp;" place across the street from school")</f>
        <v>Physical altercation escalated into shooting outside of the school prior to the first day of classes. Two students who were not involved in the shooting were stuck (minor injuries). Shooter fled the scene. Argument began on school property - shooting took place across the street from school</v>
      </c>
      <c r="AA2060" s="8" t="str">
        <f ca="1">IFERROR(__xludf.DUMMYFUNCTION("""COMPUTED_VALUE"""),"Escalation of Dispute")</f>
        <v>Escalation of Dispute</v>
      </c>
      <c r="AB2060" s="8"/>
      <c r="AC2060" s="8" t="str">
        <f ca="1">IFERROR(__xludf.DUMMYFUNCTION("""COMPUTED_VALUE"""),"Yes")</f>
        <v>Yes</v>
      </c>
      <c r="AD2060" s="8" t="str">
        <f ca="1">IFERROR(__xludf.DUMMYFUNCTION("""COMPUTED_VALUE"""),"Random Shooting")</f>
        <v>Random Shooting</v>
      </c>
      <c r="AE2060" s="8"/>
      <c r="AF2060" s="8"/>
      <c r="AG2060" s="8" t="str">
        <f ca="1">IFERROR(__xludf.DUMMYFUNCTION("""COMPUTED_VALUE"""),"No")</f>
        <v>No</v>
      </c>
      <c r="AH2060" s="8" t="str">
        <f ca="1">IFERROR(__xludf.DUMMYFUNCTION("""COMPUTED_VALUE"""),"No")</f>
        <v>No</v>
      </c>
      <c r="AI2060" s="8" t="str">
        <f ca="1">IFERROR(__xludf.DUMMYFUNCTION("""COMPUTED_VALUE"""),"No")</f>
        <v>No</v>
      </c>
      <c r="AJ2060" s="8" t="str">
        <f ca="1">IFERROR(__xludf.DUMMYFUNCTION("""COMPUTED_VALUE"""),"No")</f>
        <v>No</v>
      </c>
      <c r="AK2060" s="8" t="str">
        <f ca="1">IFERROR(__xludf.DUMMYFUNCTION("""COMPUTED_VALUE"""),"No")</f>
        <v>No</v>
      </c>
      <c r="AL2060" s="8" t="str">
        <f ca="1">IFERROR(__xludf.DUMMYFUNCTION("""COMPUTED_VALUE"""),"No")</f>
        <v>No</v>
      </c>
      <c r="AM2060" s="8"/>
      <c r="AN2060" s="8"/>
      <c r="AO2060" s="8" t="str">
        <f ca="1">IFERROR(__xludf.DUMMYFUNCTION("""COMPUTED_VALUE"""),"No")</f>
        <v>No</v>
      </c>
      <c r="AP2060" s="8"/>
      <c r="AQ2060" s="8" t="str">
        <f ca="1">IFERROR(__xludf.DUMMYFUNCTION("""COMPUTED_VALUE"""),"Unknown")</f>
        <v>Unknown</v>
      </c>
      <c r="AR2060" s="8" t="str">
        <f ca="1">IFERROR(__xludf.DUMMYFUNCTION("""COMPUTED_VALUE"""),"NA")</f>
        <v>NA</v>
      </c>
      <c r="AS2060" s="8"/>
      <c r="AT2060" s="8"/>
      <c r="AU2060" s="8">
        <f ca="1">IFERROR(__xludf.DUMMYFUNCTION("""COMPUTED_VALUE"""),42.421319)</f>
        <v>42.421318999999997</v>
      </c>
      <c r="AV2060" s="8">
        <f ca="1">IFERROR(__xludf.DUMMYFUNCTION("""COMPUTED_VALUE"""),-83.163215)</f>
        <v>-83.163214999999994</v>
      </c>
      <c r="AW2060" s="8"/>
      <c r="AX2060" s="8">
        <f ca="1">IFERROR(__xludf.DUMMYFUNCTION("""COMPUTED_VALUE"""),48221)</f>
        <v>48221</v>
      </c>
    </row>
    <row r="2061" spans="1:50" ht="225" x14ac:dyDescent="0.2">
      <c r="A2061" s="8" t="str">
        <f ca="1">IFERROR(__xludf.DUMMYFUNCTION("""COMPUTED_VALUE"""),"20100830TNSUB")</f>
        <v>20100830TNSUB</v>
      </c>
      <c r="B2061" s="8">
        <f ca="1">IFERROR(__xludf.DUMMYFUNCTION("""COMPUTED_VALUE"""),8)</f>
        <v>8</v>
      </c>
      <c r="C2061" s="8">
        <f ca="1">IFERROR(__xludf.DUMMYFUNCTION("""COMPUTED_VALUE"""),30)</f>
        <v>30</v>
      </c>
      <c r="D2061" s="8">
        <f ca="1">IFERROR(__xludf.DUMMYFUNCTION("""COMPUTED_VALUE"""),2010)</f>
        <v>2010</v>
      </c>
      <c r="E2061" s="9">
        <f ca="1">IFERROR(__xludf.DUMMYFUNCTION("""COMPUTED_VALUE"""),40420)</f>
        <v>40420</v>
      </c>
      <c r="F2061" s="8" t="str">
        <f ca="1">IFERROR(__xludf.DUMMYFUNCTION("""COMPUTED_VALUE"""),"Sullivan Central High School")</f>
        <v>Sullivan Central High School</v>
      </c>
      <c r="G2061" s="8">
        <f ca="1">IFERROR(__xludf.DUMMYFUNCTION("""COMPUTED_VALUE"""),1)</f>
        <v>1</v>
      </c>
      <c r="H2061" s="8">
        <f ca="1">IFERROR(__xludf.DUMMYFUNCTION("""COMPUTED_VALUE"""),0)</f>
        <v>0</v>
      </c>
      <c r="I2061" s="8">
        <f ca="1">IFERROR(__xludf.DUMMYFUNCTION("""COMPUTED_VALUE"""),1)</f>
        <v>1</v>
      </c>
      <c r="J2061" s="8">
        <f ca="1">IFERROR(__xludf.DUMMYFUNCTION("""COMPUTED_VALUE"""),0)</f>
        <v>0</v>
      </c>
      <c r="K2061" s="8" t="str">
        <f ca="1">IFERROR(__xludf.DUMMYFUNCTION("""COMPUTED_VALUE"""),"https://www.heraldcourier.com/news/gunman-killed-at-sullivan-central/article_35434f30-00d3-522f-98f1-58f372591713.html .  https://www.snopes.com/fact-check/carolyn-gudger/ https://www.heraldcourier.com/news/updated-surveillance-video-released-from-2010-su"&amp;"llivan-central-high-school-standoff/article_1b3eeed1-ff31-56ca-bc3f-edf773e926c9.html")</f>
        <v>https://www.heraldcourier.com/news/gunman-killed-at-sullivan-central/article_35434f30-00d3-522f-98f1-58f372591713.html .  https://www.snopes.com/fact-check/carolyn-gudger/ https://www.heraldcourier.com/news/updated-surveillance-video-released-from-2010-sullivan-central-high-school-standoff/article_1b3eeed1-ff31-56ca-bc3f-edf773e926c9.html</v>
      </c>
      <c r="L2061" s="8"/>
      <c r="M2061" s="8"/>
      <c r="N2061" s="8">
        <f ca="1">IFERROR(__xludf.DUMMYFUNCTION("""COMPUTED_VALUE"""),5)</f>
        <v>5</v>
      </c>
      <c r="O2061" s="8" t="str">
        <f ca="1">IFERROR(__xludf.DUMMYFUNCTION("""COMPUTED_VALUE"""),"Summer")</f>
        <v>Summer</v>
      </c>
      <c r="P2061" s="8" t="str">
        <f ca="1">IFERROR(__xludf.DUMMYFUNCTION("""COMPUTED_VALUE"""),"Blountville")</f>
        <v>Blountville</v>
      </c>
      <c r="Q2061" s="8" t="str">
        <f ca="1">IFERROR(__xludf.DUMMYFUNCTION("""COMPUTED_VALUE"""),"TN")</f>
        <v>TN</v>
      </c>
      <c r="R2061" s="8" t="str">
        <f ca="1">IFERROR(__xludf.DUMMYFUNCTION("""COMPUTED_VALUE"""),"High")</f>
        <v>High</v>
      </c>
      <c r="S2061" s="8" t="str">
        <f ca="1">IFERROR(__xludf.DUMMYFUNCTION("""COMPUTED_VALUE"""),"Hallway")</f>
        <v>Hallway</v>
      </c>
      <c r="T2061" s="8" t="str">
        <f ca="1">IFERROR(__xludf.DUMMYFUNCTION("""COMPUTED_VALUE"""),"Inside School Building")</f>
        <v>Inside School Building</v>
      </c>
      <c r="U2061" s="8" t="str">
        <f ca="1">IFERROR(__xludf.DUMMYFUNCTION("""COMPUTED_VALUE"""),"Yes")</f>
        <v>Yes</v>
      </c>
      <c r="V2061" s="8" t="str">
        <f ca="1">IFERROR(__xludf.DUMMYFUNCTION("""COMPUTED_VALUE"""),"Morning Classes")</f>
        <v>Morning Classes</v>
      </c>
      <c r="W2061" s="11">
        <f ca="1">IFERROR(__xludf.DUMMYFUNCTION("""COMPUTED_VALUE"""),0.386111111111111)</f>
        <v>0.38611111111111102</v>
      </c>
      <c r="X2061" s="8">
        <f ca="1">IFERROR(__xludf.DUMMYFUNCTION("""COMPUTED_VALUE"""),10)</f>
        <v>10</v>
      </c>
      <c r="Y2061" s="12" t="str">
        <f ca="1">IFERROR(__xludf.DUMMYFUNCTION("""COMPUTED_VALUE"""),"Officer shot adult male who had gun at school after standoff")</f>
        <v>Officer shot adult male who had gun at school after standoff</v>
      </c>
      <c r="Z2061" s="12" t="str">
        <f ca="1">IFERROR(__xludf.DUMMYFUNCTION("""COMPUTED_VALUE"""),"A 62 year-old male Vietnam War Veteran drove to school where his brother worked as a janitor. He entered the school, pulled his weapon, a .380 caliber handgun, and pointed it at a student. The shooter also had second loaded handgun with him. The School Re"&amp;"source Officer pulled her weapon and pointed it at the suspect. School lockdown procedures were initiated. For approximately 10 minutes, there was a standoff with both the shooter and the SRO pointing weapons at each other. Two other deputies arrived and "&amp;"cornered the shooter and they ordered him to drop his weapon. When he refused, the deputies shot and killed him. The shooter had a history of legal problems and interactions with local law enforcement. Charged with stalking the mail carrier who delivered "&amp;"to his house and police officers had recommended a mental evaluation.")</f>
        <v>A 62 year-old male Vietnam War Veteran drove to school where his brother worked as a janitor. He entered the school, pulled his weapon, a .380 caliber handgun, and pointed it at a student. The shooter also had second loaded handgun with him. The School Resource Officer pulled her weapon and pointed it at the suspect. School lockdown procedures were initiated. For approximately 10 minutes, there was a standoff with both the shooter and the SRO pointing weapons at each other. Two other deputies arrived and cornered the shooter and they ordered him to drop his weapon. When he refused, the deputies shot and killed him. The shooter had a history of legal problems and interactions with local law enforcement. Charged with stalking the mail carrier who delivered to his house and police officers had recommended a mental evaluation.</v>
      </c>
      <c r="AA2061" s="8" t="str">
        <f ca="1">IFERROR(__xludf.DUMMYFUNCTION("""COMPUTED_VALUE"""),"Hostage/Standoff")</f>
        <v>Hostage/Standoff</v>
      </c>
      <c r="AB2061" s="8"/>
      <c r="AC2061" s="8" t="str">
        <f ca="1">IFERROR(__xludf.DUMMYFUNCTION("""COMPUTED_VALUE"""),"Yes")</f>
        <v>Yes</v>
      </c>
      <c r="AD2061" s="8" t="str">
        <f ca="1">IFERROR(__xludf.DUMMYFUNCTION("""COMPUTED_VALUE"""),"Victims Targeted")</f>
        <v>Victims Targeted</v>
      </c>
      <c r="AE2061" s="8" t="str">
        <f ca="1">IFERROR(__xludf.DUMMYFUNCTION("""COMPUTED_VALUE"""),"No")</f>
        <v>No</v>
      </c>
      <c r="AF2061" s="8"/>
      <c r="AG2061" s="8" t="str">
        <f ca="1">IFERROR(__xludf.DUMMYFUNCTION("""COMPUTED_VALUE"""),"Yes")</f>
        <v>Yes</v>
      </c>
      <c r="AH2061" s="8" t="str">
        <f ca="1">IFERROR(__xludf.DUMMYFUNCTION("""COMPUTED_VALUE"""),"No")</f>
        <v>No</v>
      </c>
      <c r="AI2061" s="8" t="str">
        <f ca="1">IFERROR(__xludf.DUMMYFUNCTION("""COMPUTED_VALUE"""),"No")</f>
        <v>No</v>
      </c>
      <c r="AJ2061" s="8" t="str">
        <f ca="1">IFERROR(__xludf.DUMMYFUNCTION("""COMPUTED_VALUE"""),"No")</f>
        <v>No</v>
      </c>
      <c r="AK2061" s="8" t="str">
        <f ca="1">IFERROR(__xludf.DUMMYFUNCTION("""COMPUTED_VALUE"""),"No")</f>
        <v>No</v>
      </c>
      <c r="AL2061" s="8" t="str">
        <f ca="1">IFERROR(__xludf.DUMMYFUNCTION("""COMPUTED_VALUE"""),"No")</f>
        <v>No</v>
      </c>
      <c r="AM2061" s="8" t="str">
        <f ca="1">IFERROR(__xludf.DUMMYFUNCTION("""COMPUTED_VALUE"""),"Yes")</f>
        <v>Yes</v>
      </c>
      <c r="AN2061" s="8" t="str">
        <f ca="1">IFERROR(__xludf.DUMMYFUNCTION("""COMPUTED_VALUE"""),"Multiple Rooms")</f>
        <v>Multiple Rooms</v>
      </c>
      <c r="AO2061" s="8"/>
      <c r="AP2061" s="8" t="str">
        <f ca="1">IFERROR(__xludf.DUMMYFUNCTION("""COMPUTED_VALUE"""),"Yes")</f>
        <v>Yes</v>
      </c>
      <c r="AQ2061" s="8" t="str">
        <f ca="1">IFERROR(__xludf.DUMMYFUNCTION("""COMPUTED_VALUE"""),"Unknown")</f>
        <v>Unknown</v>
      </c>
      <c r="AR2061" s="8" t="str">
        <f ca="1">IFERROR(__xludf.DUMMYFUNCTION("""COMPUTED_VALUE"""),"NA")</f>
        <v>NA</v>
      </c>
      <c r="AS2061" s="8">
        <f ca="1">IFERROR(__xludf.DUMMYFUNCTION("""COMPUTED_VALUE"""),0)</f>
        <v>0</v>
      </c>
      <c r="AT2061" s="8" t="str">
        <f ca="1">IFERROR(__xludf.DUMMYFUNCTION("""COMPUTED_VALUE"""),"Yes")</f>
        <v>Yes</v>
      </c>
      <c r="AU2061" s="8">
        <f ca="1">IFERROR(__xludf.DUMMYFUNCTION("""COMPUTED_VALUE"""),36.529604)</f>
        <v>36.529603999999999</v>
      </c>
      <c r="AV2061" s="8">
        <f ca="1">IFERROR(__xludf.DUMMYFUNCTION("""COMPUTED_VALUE"""),-82.38717)</f>
        <v>-82.387169999999998</v>
      </c>
      <c r="AW2061" s="8"/>
      <c r="AX2061" s="8">
        <f ca="1">IFERROR(__xludf.DUMMYFUNCTION("""COMPUTED_VALUE"""),37617)</f>
        <v>37617</v>
      </c>
    </row>
    <row r="2062" spans="1:50" ht="75" x14ac:dyDescent="0.2">
      <c r="A2062" s="8" t="str">
        <f ca="1">IFERROR(__xludf.DUMMYFUNCTION("""COMPUTED_VALUE"""),"20100518CASOS")</f>
        <v>20100518CASOS</v>
      </c>
      <c r="B2062" s="8">
        <f ca="1">IFERROR(__xludf.DUMMYFUNCTION("""COMPUTED_VALUE"""),5)</f>
        <v>5</v>
      </c>
      <c r="C2062" s="8">
        <f ca="1">IFERROR(__xludf.DUMMYFUNCTION("""COMPUTED_VALUE"""),18)</f>
        <v>18</v>
      </c>
      <c r="D2062" s="8">
        <f ca="1">IFERROR(__xludf.DUMMYFUNCTION("""COMPUTED_VALUE"""),2010)</f>
        <v>2010</v>
      </c>
      <c r="E2062" s="9">
        <f ca="1">IFERROR(__xludf.DUMMYFUNCTION("""COMPUTED_VALUE"""),40316)</f>
        <v>40316</v>
      </c>
      <c r="F2062" s="8" t="str">
        <f ca="1">IFERROR(__xludf.DUMMYFUNCTION("""COMPUTED_VALUE"""),"South Gate High School")</f>
        <v>South Gate High School</v>
      </c>
      <c r="G2062" s="8">
        <f ca="1">IFERROR(__xludf.DUMMYFUNCTION("""COMPUTED_VALUE"""),0)</f>
        <v>0</v>
      </c>
      <c r="H2062" s="8">
        <f ca="1">IFERROR(__xludf.DUMMYFUNCTION("""COMPUTED_VALUE"""),1)</f>
        <v>1</v>
      </c>
      <c r="I2062" s="8">
        <f ca="1">IFERROR(__xludf.DUMMYFUNCTION("""COMPUTED_VALUE"""),1)</f>
        <v>1</v>
      </c>
      <c r="J2062" s="8">
        <f ca="1">IFERROR(__xludf.DUMMYFUNCTION("""COMPUTED_VALUE"""),0)</f>
        <v>0</v>
      </c>
      <c r="K2062" s="8" t="str">
        <f ca="1">IFERROR(__xludf.DUMMYFUNCTION("""COMPUTED_VALUE"""),"https://abc7.com/archive/7448106/ .  https://www.dailynews.com/2010/05/18/student-at-south-gate-high-school-shot-on-campus/")</f>
        <v>https://abc7.com/archive/7448106/ .  https://www.dailynews.com/2010/05/18/student-at-south-gate-high-school-shot-on-campus/</v>
      </c>
      <c r="L2062" s="8"/>
      <c r="M2062" s="8"/>
      <c r="N2062" s="8">
        <f ca="1">IFERROR(__xludf.DUMMYFUNCTION("""COMPUTED_VALUE"""),3)</f>
        <v>3</v>
      </c>
      <c r="O2062" s="8" t="str">
        <f ca="1">IFERROR(__xludf.DUMMYFUNCTION("""COMPUTED_VALUE"""),"Spring")</f>
        <v>Spring</v>
      </c>
      <c r="P2062" s="8" t="str">
        <f ca="1">IFERROR(__xludf.DUMMYFUNCTION("""COMPUTED_VALUE"""),"South Gate")</f>
        <v>South Gate</v>
      </c>
      <c r="Q2062" s="8" t="str">
        <f ca="1">IFERROR(__xludf.DUMMYFUNCTION("""COMPUTED_VALUE"""),"CA")</f>
        <v>CA</v>
      </c>
      <c r="R2062" s="8" t="str">
        <f ca="1">IFERROR(__xludf.DUMMYFUNCTION("""COMPUTED_VALUE"""),"High")</f>
        <v>High</v>
      </c>
      <c r="S2062" s="8" t="str">
        <f ca="1">IFERROR(__xludf.DUMMYFUNCTION("""COMPUTED_VALUE"""),"Beside Building")</f>
        <v>Beside Building</v>
      </c>
      <c r="T2062" s="8" t="str">
        <f ca="1">IFERROR(__xludf.DUMMYFUNCTION("""COMPUTED_VALUE"""),"Outside on School Property")</f>
        <v>Outside on School Property</v>
      </c>
      <c r="U2062" s="8" t="str">
        <f ca="1">IFERROR(__xludf.DUMMYFUNCTION("""COMPUTED_VALUE"""),"Yes")</f>
        <v>Yes</v>
      </c>
      <c r="V2062" s="8" t="str">
        <f ca="1">IFERROR(__xludf.DUMMYFUNCTION("""COMPUTED_VALUE"""),"Before School")</f>
        <v>Before School</v>
      </c>
      <c r="W2062" s="11">
        <f ca="1">IFERROR(__xludf.DUMMYFUNCTION("""COMPUTED_VALUE"""),0.327083333333333)</f>
        <v>0.327083333333333</v>
      </c>
      <c r="X2062" s="8">
        <f ca="1">IFERROR(__xludf.DUMMYFUNCTION("""COMPUTED_VALUE"""),1)</f>
        <v>1</v>
      </c>
      <c r="Y2062" s="12" t="str">
        <f ca="1">IFERROR(__xludf.DUMMYFUNCTION("""COMPUTED_VALUE"""),"Targeted shooting outside of school")</f>
        <v>Targeted shooting outside of school</v>
      </c>
      <c r="Z2062" s="12" t="str">
        <f ca="1">IFERROR(__xludf.DUMMYFUNCTION("""COMPUTED_VALUE"""),"17 year old shooter walked onto school property, pulled gun out, and targeted a single victim. Shooter was former student at the high school. Shooter fled towards the direction of his new high school. Police located and arrested shooter approximately 1 ho"&amp;"ur later.")</f>
        <v>17 year old shooter walked onto school property, pulled gun out, and targeted a single victim. Shooter was former student at the high school. Shooter fled towards the direction of his new high school. Police located and arrested shooter approximately 1 hour later.</v>
      </c>
      <c r="AA2062" s="8" t="str">
        <f ca="1">IFERROR(__xludf.DUMMYFUNCTION("""COMPUTED_VALUE"""),"Escalation of Dispute")</f>
        <v>Escalation of Dispute</v>
      </c>
      <c r="AB2062" s="8"/>
      <c r="AC2062" s="8" t="str">
        <f ca="1">IFERROR(__xludf.DUMMYFUNCTION("""COMPUTED_VALUE"""),"Yes")</f>
        <v>Yes</v>
      </c>
      <c r="AD2062" s="8" t="str">
        <f ca="1">IFERROR(__xludf.DUMMYFUNCTION("""COMPUTED_VALUE"""),"Both")</f>
        <v>Both</v>
      </c>
      <c r="AE2062" s="8"/>
      <c r="AF2062" s="8"/>
      <c r="AG2062" s="8" t="str">
        <f ca="1">IFERROR(__xludf.DUMMYFUNCTION("""COMPUTED_VALUE"""),"No")</f>
        <v>No</v>
      </c>
      <c r="AH2062" s="8" t="str">
        <f ca="1">IFERROR(__xludf.DUMMYFUNCTION("""COMPUTED_VALUE"""),"No")</f>
        <v>No</v>
      </c>
      <c r="AI2062" s="8" t="str">
        <f ca="1">IFERROR(__xludf.DUMMYFUNCTION("""COMPUTED_VALUE"""),"No")</f>
        <v>No</v>
      </c>
      <c r="AJ2062" s="8"/>
      <c r="AK2062" s="8"/>
      <c r="AL2062" s="8"/>
      <c r="AM2062" s="8"/>
      <c r="AN2062" s="8"/>
      <c r="AO2062" s="8" t="str">
        <f ca="1">IFERROR(__xludf.DUMMYFUNCTION("""COMPUTED_VALUE"""),"No")</f>
        <v>No</v>
      </c>
      <c r="AP2062" s="8" t="str">
        <f ca="1">IFERROR(__xludf.DUMMYFUNCTION("""COMPUTED_VALUE"""),"No")</f>
        <v>No</v>
      </c>
      <c r="AQ2062" s="8" t="str">
        <f ca="1">IFERROR(__xludf.DUMMYFUNCTION("""COMPUTED_VALUE"""),"Unknown")</f>
        <v>Unknown</v>
      </c>
      <c r="AR2062" s="8" t="str">
        <f ca="1">IFERROR(__xludf.DUMMYFUNCTION("""COMPUTED_VALUE"""),"NA")</f>
        <v>NA</v>
      </c>
      <c r="AS2062" s="8">
        <f ca="1">IFERROR(__xludf.DUMMYFUNCTION("""COMPUTED_VALUE"""),1)</f>
        <v>1</v>
      </c>
      <c r="AT2062" s="8"/>
      <c r="AU2062" s="8">
        <f ca="1">IFERROR(__xludf.DUMMYFUNCTION("""COMPUTED_VALUE"""),33.956364)</f>
        <v>33.956364000000001</v>
      </c>
      <c r="AV2062" s="8">
        <f ca="1">IFERROR(__xludf.DUMMYFUNCTION("""COMPUTED_VALUE"""),-118.209684)</f>
        <v>-118.209684</v>
      </c>
      <c r="AW2062" s="8"/>
      <c r="AX2062" s="8">
        <f ca="1">IFERROR(__xludf.DUMMYFUNCTION("""COMPUTED_VALUE"""),90280)</f>
        <v>90280</v>
      </c>
    </row>
    <row r="2063" spans="1:50" ht="60" x14ac:dyDescent="0.2">
      <c r="A2063" s="8" t="str">
        <f ca="1">IFERROR(__xludf.DUMMYFUNCTION("""COMPUTED_VALUE"""),"20100428VAWOP")</f>
        <v>20100428VAWOP</v>
      </c>
      <c r="B2063" s="8">
        <f ca="1">IFERROR(__xludf.DUMMYFUNCTION("""COMPUTED_VALUE"""),4)</f>
        <v>4</v>
      </c>
      <c r="C2063" s="8">
        <f ca="1">IFERROR(__xludf.DUMMYFUNCTION("""COMPUTED_VALUE"""),28)</f>
        <v>28</v>
      </c>
      <c r="D2063" s="8">
        <f ca="1">IFERROR(__xludf.DUMMYFUNCTION("""COMPUTED_VALUE"""),2010)</f>
        <v>2010</v>
      </c>
      <c r="E2063" s="9">
        <f ca="1">IFERROR(__xludf.DUMMYFUNCTION("""COMPUTED_VALUE"""),40296)</f>
        <v>40296</v>
      </c>
      <c r="F2063" s="8" t="str">
        <f ca="1">IFERROR(__xludf.DUMMYFUNCTION("""COMPUTED_VALUE"""),"Woodrow Wilson High School")</f>
        <v>Woodrow Wilson High School</v>
      </c>
      <c r="G2063" s="8">
        <f ca="1">IFERROR(__xludf.DUMMYFUNCTION("""COMPUTED_VALUE"""),0)</f>
        <v>0</v>
      </c>
      <c r="H2063" s="8">
        <f ca="1">IFERROR(__xludf.DUMMYFUNCTION("""COMPUTED_VALUE"""),0)</f>
        <v>0</v>
      </c>
      <c r="I2063" s="8">
        <f ca="1">IFERROR(__xludf.DUMMYFUNCTION("""COMPUTED_VALUE"""),0)</f>
        <v>0</v>
      </c>
      <c r="J2063" s="8">
        <f ca="1">IFERROR(__xludf.DUMMYFUNCTION("""COMPUTED_VALUE"""),0)</f>
        <v>0</v>
      </c>
      <c r="K2063" s="8" t="str">
        <f ca="1">IFERROR(__xludf.DUMMYFUNCTION("""COMPUTED_VALUE"""),"https://pilotonline.com/news/local/crime/article_23ff5ef3-ffe1-5890-854c-d591b2f1b71e.html .  https://pilotonline.com/news/local/crime/article_54e2aece-4ff9-5c55-971c-c16add764d69.html")</f>
        <v>https://pilotonline.com/news/local/crime/article_23ff5ef3-ffe1-5890-854c-d591b2f1b71e.html .  https://pilotonline.com/news/local/crime/article_54e2aece-4ff9-5c55-971c-c16add764d69.html</v>
      </c>
      <c r="L2063" s="8"/>
      <c r="M2063" s="8"/>
      <c r="N2063" s="8">
        <f ca="1">IFERROR(__xludf.DUMMYFUNCTION("""COMPUTED_VALUE"""),3)</f>
        <v>3</v>
      </c>
      <c r="O2063" s="8" t="str">
        <f ca="1">IFERROR(__xludf.DUMMYFUNCTION("""COMPUTED_VALUE"""),"Spring")</f>
        <v>Spring</v>
      </c>
      <c r="P2063" s="8" t="str">
        <f ca="1">IFERROR(__xludf.DUMMYFUNCTION("""COMPUTED_VALUE"""),"Portsmouth")</f>
        <v>Portsmouth</v>
      </c>
      <c r="Q2063" s="8" t="str">
        <f ca="1">IFERROR(__xludf.DUMMYFUNCTION("""COMPUTED_VALUE"""),"VA")</f>
        <v>VA</v>
      </c>
      <c r="R2063" s="8" t="str">
        <f ca="1">IFERROR(__xludf.DUMMYFUNCTION("""COMPUTED_VALUE"""),"High")</f>
        <v>High</v>
      </c>
      <c r="S2063" s="8" t="str">
        <f ca="1">IFERROR(__xludf.DUMMYFUNCTION("""COMPUTED_VALUE"""),"Cafeteria")</f>
        <v>Cafeteria</v>
      </c>
      <c r="T2063" s="8" t="str">
        <f ca="1">IFERROR(__xludf.DUMMYFUNCTION("""COMPUTED_VALUE"""),"Inside School Building")</f>
        <v>Inside School Building</v>
      </c>
      <c r="U2063" s="8" t="str">
        <f ca="1">IFERROR(__xludf.DUMMYFUNCTION("""COMPUTED_VALUE"""),"Yes")</f>
        <v>Yes</v>
      </c>
      <c r="V2063" s="8" t="str">
        <f ca="1">IFERROR(__xludf.DUMMYFUNCTION("""COMPUTED_VALUE"""),"Lunch")</f>
        <v>Lunch</v>
      </c>
      <c r="W2063" s="11">
        <f ca="1">IFERROR(__xludf.DUMMYFUNCTION("""COMPUTED_VALUE"""),0.510416666666666)</f>
        <v>0.51041666666666596</v>
      </c>
      <c r="X2063" s="8">
        <f ca="1">IFERROR(__xludf.DUMMYFUNCTION("""COMPUTED_VALUE"""),1)</f>
        <v>1</v>
      </c>
      <c r="Y2063" s="12" t="str">
        <f ca="1">IFERROR(__xludf.DUMMYFUNCTION("""COMPUTED_VALUE"""),"Fired shots into ceiling of cafeteria")</f>
        <v>Fired shots into ceiling of cafeteria</v>
      </c>
      <c r="Z2063" s="12" t="str">
        <f ca="1">IFERROR(__xludf.DUMMYFUNCTION("""COMPUTED_VALUE"""),"Shooter carried gun around school and made comments about people picking on him. While in a crowded cafeteria, shooter shot weapon three times into air then put the gun on table and walked away.")</f>
        <v>Shooter carried gun around school and made comments about people picking on him. While in a crowded cafeteria, shooter shot weapon three times into air then put the gun on table and walked away.</v>
      </c>
      <c r="AA2063" s="8" t="str">
        <f ca="1">IFERROR(__xludf.DUMMYFUNCTION("""COMPUTED_VALUE"""),"Bullying")</f>
        <v>Bullying</v>
      </c>
      <c r="AB2063" s="8"/>
      <c r="AC2063" s="8" t="str">
        <f ca="1">IFERROR(__xludf.DUMMYFUNCTION("""COMPUTED_VALUE"""),"Yes")</f>
        <v>Yes</v>
      </c>
      <c r="AD2063" s="8" t="str">
        <f ca="1">IFERROR(__xludf.DUMMYFUNCTION("""COMPUTED_VALUE"""),"Neither")</f>
        <v>Neither</v>
      </c>
      <c r="AE2063" s="8"/>
      <c r="AF2063" s="8"/>
      <c r="AG2063" s="8" t="str">
        <f ca="1">IFERROR(__xludf.DUMMYFUNCTION("""COMPUTED_VALUE"""),"No")</f>
        <v>No</v>
      </c>
      <c r="AH2063" s="8" t="str">
        <f ca="1">IFERROR(__xludf.DUMMYFUNCTION("""COMPUTED_VALUE"""),"No")</f>
        <v>No</v>
      </c>
      <c r="AI2063" s="8" t="str">
        <f ca="1">IFERROR(__xludf.DUMMYFUNCTION("""COMPUTED_VALUE"""),"No")</f>
        <v>No</v>
      </c>
      <c r="AJ2063" s="8" t="str">
        <f ca="1">IFERROR(__xludf.DUMMYFUNCTION("""COMPUTED_VALUE"""),"Yes")</f>
        <v>Yes</v>
      </c>
      <c r="AK2063" s="8" t="str">
        <f ca="1">IFERROR(__xludf.DUMMYFUNCTION("""COMPUTED_VALUE"""),"No")</f>
        <v>No</v>
      </c>
      <c r="AL2063" s="8" t="str">
        <f ca="1">IFERROR(__xludf.DUMMYFUNCTION("""COMPUTED_VALUE"""),"No")</f>
        <v>No</v>
      </c>
      <c r="AM2063" s="8" t="str">
        <f ca="1">IFERROR(__xludf.DUMMYFUNCTION("""COMPUTED_VALUE"""),"Yes")</f>
        <v>Yes</v>
      </c>
      <c r="AN2063" s="8" t="str">
        <f ca="1">IFERROR(__xludf.DUMMYFUNCTION("""COMPUTED_VALUE"""),"Single Room")</f>
        <v>Single Room</v>
      </c>
      <c r="AO2063" s="8" t="str">
        <f ca="1">IFERROR(__xludf.DUMMYFUNCTION("""COMPUTED_VALUE"""),"No")</f>
        <v>No</v>
      </c>
      <c r="AP2063" s="8" t="str">
        <f ca="1">IFERROR(__xludf.DUMMYFUNCTION("""COMPUTED_VALUE"""),"No")</f>
        <v>No</v>
      </c>
      <c r="AQ2063" s="8" t="str">
        <f ca="1">IFERROR(__xludf.DUMMYFUNCTION("""COMPUTED_VALUE"""),"Unknown")</f>
        <v>Unknown</v>
      </c>
      <c r="AR2063" s="8" t="str">
        <f ca="1">IFERROR(__xludf.DUMMYFUNCTION("""COMPUTED_VALUE"""),"NA")</f>
        <v>NA</v>
      </c>
      <c r="AS2063" s="8">
        <f ca="1">IFERROR(__xludf.DUMMYFUNCTION("""COMPUTED_VALUE"""),3)</f>
        <v>3</v>
      </c>
      <c r="AT2063" s="8"/>
      <c r="AU2063" s="8">
        <f ca="1">IFERROR(__xludf.DUMMYFUNCTION("""COMPUTED_VALUE"""),36.813962)</f>
        <v>36.813961999999997</v>
      </c>
      <c r="AV2063" s="8">
        <f ca="1">IFERROR(__xludf.DUMMYFUNCTION("""COMPUTED_VALUE"""),-76.379848)</f>
        <v>-76.379847999999996</v>
      </c>
      <c r="AW2063" s="8"/>
      <c r="AX2063" s="8">
        <f ca="1">IFERROR(__xludf.DUMMYFUNCTION("""COMPUTED_VALUE"""),23701)</f>
        <v>23701</v>
      </c>
    </row>
    <row r="2064" spans="1:50" ht="75" x14ac:dyDescent="0.2">
      <c r="A2064" s="8" t="str">
        <f ca="1">IFERROR(__xludf.DUMMYFUNCTION("""COMPUTED_VALUE"""),"20100226WABIT")</f>
        <v>20100226WABIT</v>
      </c>
      <c r="B2064" s="8">
        <f ca="1">IFERROR(__xludf.DUMMYFUNCTION("""COMPUTED_VALUE"""),2)</f>
        <v>2</v>
      </c>
      <c r="C2064" s="8">
        <f ca="1">IFERROR(__xludf.DUMMYFUNCTION("""COMPUTED_VALUE"""),26)</f>
        <v>26</v>
      </c>
      <c r="D2064" s="8">
        <f ca="1">IFERROR(__xludf.DUMMYFUNCTION("""COMPUTED_VALUE"""),2010)</f>
        <v>2010</v>
      </c>
      <c r="E2064" s="9">
        <f ca="1">IFERROR(__xludf.DUMMYFUNCTION("""COMPUTED_VALUE"""),40235)</f>
        <v>40235</v>
      </c>
      <c r="F2064" s="8" t="str">
        <f ca="1">IFERROR(__xludf.DUMMYFUNCTION("""COMPUTED_VALUE"""),"Birney Elementary School")</f>
        <v>Birney Elementary School</v>
      </c>
      <c r="G2064" s="8">
        <f ca="1">IFERROR(__xludf.DUMMYFUNCTION("""COMPUTED_VALUE"""),1)</f>
        <v>1</v>
      </c>
      <c r="H2064" s="8">
        <f ca="1">IFERROR(__xludf.DUMMYFUNCTION("""COMPUTED_VALUE"""),0)</f>
        <v>0</v>
      </c>
      <c r="I2064" s="8">
        <f ca="1">IFERROR(__xludf.DUMMYFUNCTION("""COMPUTED_VALUE"""),1)</f>
        <v>1</v>
      </c>
      <c r="J2064" s="8">
        <f ca="1">IFERROR(__xludf.DUMMYFUNCTION("""COMPUTED_VALUE"""),0)</f>
        <v>0</v>
      </c>
      <c r="K2064" s="8" t="str">
        <f ca="1">IFERROR(__xludf.DUMMYFUNCTION("""COMPUTED_VALUE"""),"http://www.truecrimereport.com/2010/03/jennifer_paulson_special_ed_te.php  https://www.seattletimes.com/seattle-news/obsessed-man-shoots-kills-teacher/")</f>
        <v>http://www.truecrimereport.com/2010/03/jennifer_paulson_special_ed_te.php  https://www.seattletimes.com/seattle-news/obsessed-man-shoots-kills-teacher/</v>
      </c>
      <c r="L2064" s="8"/>
      <c r="M2064" s="8"/>
      <c r="N2064" s="8">
        <f ca="1">IFERROR(__xludf.DUMMYFUNCTION("""COMPUTED_VALUE"""),3)</f>
        <v>3</v>
      </c>
      <c r="O2064" s="8" t="str">
        <f ca="1">IFERROR(__xludf.DUMMYFUNCTION("""COMPUTED_VALUE"""),"Winter")</f>
        <v>Winter</v>
      </c>
      <c r="P2064" s="8" t="str">
        <f ca="1">IFERROR(__xludf.DUMMYFUNCTION("""COMPUTED_VALUE"""),"Tacoma")</f>
        <v>Tacoma</v>
      </c>
      <c r="Q2064" s="8" t="str">
        <f ca="1">IFERROR(__xludf.DUMMYFUNCTION("""COMPUTED_VALUE"""),"WA")</f>
        <v>WA</v>
      </c>
      <c r="R2064" s="8" t="str">
        <f ca="1">IFERROR(__xludf.DUMMYFUNCTION("""COMPUTED_VALUE"""),"Elementary")</f>
        <v>Elementary</v>
      </c>
      <c r="S2064" s="8" t="str">
        <f ca="1">IFERROR(__xludf.DUMMYFUNCTION("""COMPUTED_VALUE"""),"Beside Building")</f>
        <v>Beside Building</v>
      </c>
      <c r="T2064" s="8" t="str">
        <f ca="1">IFERROR(__xludf.DUMMYFUNCTION("""COMPUTED_VALUE"""),"Outside on School Property")</f>
        <v>Outside on School Property</v>
      </c>
      <c r="U2064" s="8" t="str">
        <f ca="1">IFERROR(__xludf.DUMMYFUNCTION("""COMPUTED_VALUE"""),"Yes")</f>
        <v>Yes</v>
      </c>
      <c r="V2064" s="8" t="str">
        <f ca="1">IFERROR(__xludf.DUMMYFUNCTION("""COMPUTED_VALUE"""),"Before School")</f>
        <v>Before School</v>
      </c>
      <c r="W2064" s="8"/>
      <c r="X2064" s="8">
        <f ca="1">IFERROR(__xludf.DUMMYFUNCTION("""COMPUTED_VALUE"""),1)</f>
        <v>1</v>
      </c>
      <c r="Y2064" s="12" t="str">
        <f ca="1">IFERROR(__xludf.DUMMYFUNCTION("""COMPUTED_VALUE"""),"Stalker killed teacher")</f>
        <v>Stalker killed teacher</v>
      </c>
      <c r="Z2064" s="12" t="str">
        <f ca="1">IFERROR(__xludf.DUMMYFUNCTION("""COMPUTED_VALUE"""),"Shooter was friends with victim - became infatuated with her - she filed restraining order against him in 2008. He showed up to the school where she worked as a special education teacher and shot her. Suspect was later killed by deputies 10 miles away fro"&amp;"m school.")</f>
        <v>Shooter was friends with victim - became infatuated with her - she filed restraining order against him in 2008. He showed up to the school where she worked as a special education teacher and shot her. Suspect was later killed by deputies 10 miles away from school.</v>
      </c>
      <c r="AA2064" s="8" t="str">
        <f ca="1">IFERROR(__xludf.DUMMYFUNCTION("""COMPUTED_VALUE"""),"Domestic w/ Targeted Victim")</f>
        <v>Domestic w/ Targeted Victim</v>
      </c>
      <c r="AB2064" s="8"/>
      <c r="AC2064" s="8" t="str">
        <f ca="1">IFERROR(__xludf.DUMMYFUNCTION("""COMPUTED_VALUE"""),"Yes")</f>
        <v>Yes</v>
      </c>
      <c r="AD2064" s="8" t="str">
        <f ca="1">IFERROR(__xludf.DUMMYFUNCTION("""COMPUTED_VALUE"""),"Victims Targeted")</f>
        <v>Victims Targeted</v>
      </c>
      <c r="AE2064" s="8"/>
      <c r="AF2064" s="8"/>
      <c r="AG2064" s="8" t="str">
        <f ca="1">IFERROR(__xludf.DUMMYFUNCTION("""COMPUTED_VALUE"""),"No")</f>
        <v>No</v>
      </c>
      <c r="AH2064" s="8" t="str">
        <f ca="1">IFERROR(__xludf.DUMMYFUNCTION("""COMPUTED_VALUE"""),"No")</f>
        <v>No</v>
      </c>
      <c r="AI2064" s="8" t="str">
        <f ca="1">IFERROR(__xludf.DUMMYFUNCTION("""COMPUTED_VALUE"""),"No")</f>
        <v>No</v>
      </c>
      <c r="AJ2064" s="8" t="str">
        <f ca="1">IFERROR(__xludf.DUMMYFUNCTION("""COMPUTED_VALUE"""),"No")</f>
        <v>No</v>
      </c>
      <c r="AK2064" s="8" t="str">
        <f ca="1">IFERROR(__xludf.DUMMYFUNCTION("""COMPUTED_VALUE"""),"No")</f>
        <v>No</v>
      </c>
      <c r="AL2064" s="8" t="str">
        <f ca="1">IFERROR(__xludf.DUMMYFUNCTION("""COMPUTED_VALUE"""),"No")</f>
        <v>No</v>
      </c>
      <c r="AM2064" s="8"/>
      <c r="AN2064" s="8"/>
      <c r="AO2064" s="8" t="str">
        <f ca="1">IFERROR(__xludf.DUMMYFUNCTION("""COMPUTED_VALUE"""),"No")</f>
        <v>No</v>
      </c>
      <c r="AP2064" s="8"/>
      <c r="AQ2064" s="8" t="str">
        <f ca="1">IFERROR(__xludf.DUMMYFUNCTION("""COMPUTED_VALUE"""),"Unknown")</f>
        <v>Unknown</v>
      </c>
      <c r="AR2064" s="8" t="str">
        <f ca="1">IFERROR(__xludf.DUMMYFUNCTION("""COMPUTED_VALUE"""),"NA")</f>
        <v>NA</v>
      </c>
      <c r="AS2064" s="8">
        <f ca="1">IFERROR(__xludf.DUMMYFUNCTION("""COMPUTED_VALUE"""),3)</f>
        <v>3</v>
      </c>
      <c r="AT2064" s="8"/>
      <c r="AU2064" s="8">
        <f ca="1">IFERROR(__xludf.DUMMYFUNCTION("""COMPUTED_VALUE"""),47.187691)</f>
        <v>47.187691000000001</v>
      </c>
      <c r="AV2064" s="8">
        <f ca="1">IFERROR(__xludf.DUMMYFUNCTION("""COMPUTED_VALUE"""),-122.450668)</f>
        <v>-122.45066799999999</v>
      </c>
      <c r="AW2064" s="8"/>
      <c r="AX2064" s="8">
        <f ca="1">IFERROR(__xludf.DUMMYFUNCTION("""COMPUTED_VALUE"""),98408)</f>
        <v>98408</v>
      </c>
    </row>
    <row r="2065" spans="1:50" ht="135" x14ac:dyDescent="0.2">
      <c r="A2065" s="8" t="str">
        <f ca="1">IFERROR(__xludf.DUMMYFUNCTION("""COMPUTED_VALUE"""),"20100223CODEL")</f>
        <v>20100223CODEL</v>
      </c>
      <c r="B2065" s="8">
        <f ca="1">IFERROR(__xludf.DUMMYFUNCTION("""COMPUTED_VALUE"""),2)</f>
        <v>2</v>
      </c>
      <c r="C2065" s="8">
        <f ca="1">IFERROR(__xludf.DUMMYFUNCTION("""COMPUTED_VALUE"""),23)</f>
        <v>23</v>
      </c>
      <c r="D2065" s="8">
        <f ca="1">IFERROR(__xludf.DUMMYFUNCTION("""COMPUTED_VALUE"""),2010)</f>
        <v>2010</v>
      </c>
      <c r="E2065" s="9">
        <f ca="1">IFERROR(__xludf.DUMMYFUNCTION("""COMPUTED_VALUE"""),40232)</f>
        <v>40232</v>
      </c>
      <c r="F2065" s="8" t="str">
        <f ca="1">IFERROR(__xludf.DUMMYFUNCTION("""COMPUTED_VALUE"""),"Deer Creek Middle School")</f>
        <v>Deer Creek Middle School</v>
      </c>
      <c r="G2065" s="8">
        <f ca="1">IFERROR(__xludf.DUMMYFUNCTION("""COMPUTED_VALUE"""),0)</f>
        <v>0</v>
      </c>
      <c r="H2065" s="8">
        <f ca="1">IFERROR(__xludf.DUMMYFUNCTION("""COMPUTED_VALUE"""),2)</f>
        <v>2</v>
      </c>
      <c r="I2065" s="8">
        <f ca="1">IFERROR(__xludf.DUMMYFUNCTION("""COMPUTED_VALUE"""),2)</f>
        <v>2</v>
      </c>
      <c r="J2065" s="8">
        <f ca="1">IFERROR(__xludf.DUMMYFUNCTION("""COMPUTED_VALUE"""),0)</f>
        <v>0</v>
      </c>
      <c r="K2065" s="8" t="str">
        <f ca="1">IFERROR(__xludf.DUMMYFUNCTION("""COMPUTED_VALUE"""),"https://www.denverpost.com/2010/02/23/2-students-shot-1-man-arrested-at-deer-creek-middle-school/ https://www.thedenverchannel.com/news/2-students-shot-at-deer-creek-middle-school https://www.fbi.gov/file-repository/active-shooter-incidents-2000-2017.pdf "&amp;".   https://www.newspapers.com/image/452595264/?terms=BRUCO%2BEASTWOOD . https://www.newspapers.com/image/227117028/?terms=BRUCO%2BEASTWOOD")</f>
        <v>https://www.denverpost.com/2010/02/23/2-students-shot-1-man-arrested-at-deer-creek-middle-school/ https://www.thedenverchannel.com/news/2-students-shot-at-deer-creek-middle-school https://www.fbi.gov/file-repository/active-shooter-incidents-2000-2017.pdf .   https://www.newspapers.com/image/452595264/?terms=BRUCO%2BEASTWOOD . https://www.newspapers.com/image/227117028/?terms=BRUCO%2BEASTWOOD</v>
      </c>
      <c r="L2065" s="8"/>
      <c r="M2065" s="8" t="str">
        <f ca="1">IFERROR(__xludf.DUMMYFUNCTION("""COMPUTED_VALUE"""),"Regional")</f>
        <v>Regional</v>
      </c>
      <c r="N2065" s="8">
        <f ca="1">IFERROR(__xludf.DUMMYFUNCTION("""COMPUTED_VALUE"""),5)</f>
        <v>5</v>
      </c>
      <c r="O2065" s="8" t="str">
        <f ca="1">IFERROR(__xludf.DUMMYFUNCTION("""COMPUTED_VALUE"""),"Winter")</f>
        <v>Winter</v>
      </c>
      <c r="P2065" s="8" t="str">
        <f ca="1">IFERROR(__xludf.DUMMYFUNCTION("""COMPUTED_VALUE"""),"Littleton")</f>
        <v>Littleton</v>
      </c>
      <c r="Q2065" s="8" t="str">
        <f ca="1">IFERROR(__xludf.DUMMYFUNCTION("""COMPUTED_VALUE"""),"CO")</f>
        <v>CO</v>
      </c>
      <c r="R2065" s="8" t="str">
        <f ca="1">IFERROR(__xludf.DUMMYFUNCTION("""COMPUTED_VALUE"""),"Middle")</f>
        <v>Middle</v>
      </c>
      <c r="S2065" s="8" t="str">
        <f ca="1">IFERROR(__xludf.DUMMYFUNCTION("""COMPUTED_VALUE"""),"Front of School")</f>
        <v>Front of School</v>
      </c>
      <c r="T2065" s="8" t="str">
        <f ca="1">IFERROR(__xludf.DUMMYFUNCTION("""COMPUTED_VALUE"""),"Outside on School Property")</f>
        <v>Outside on School Property</v>
      </c>
      <c r="U2065" s="8" t="str">
        <f ca="1">IFERROR(__xludf.DUMMYFUNCTION("""COMPUTED_VALUE"""),"Yes")</f>
        <v>Yes</v>
      </c>
      <c r="V2065" s="8" t="str">
        <f ca="1">IFERROR(__xludf.DUMMYFUNCTION("""COMPUTED_VALUE"""),"Dismissal")</f>
        <v>Dismissal</v>
      </c>
      <c r="W2065" s="11">
        <f ca="1">IFERROR(__xludf.DUMMYFUNCTION("""COMPUTED_VALUE"""),0.634722222222222)</f>
        <v>0.63472222222222197</v>
      </c>
      <c r="X2065" s="8">
        <f ca="1">IFERROR(__xludf.DUMMYFUNCTION("""COMPUTED_VALUE"""),1)</f>
        <v>1</v>
      </c>
      <c r="Y2065" s="12" t="str">
        <f ca="1">IFERROR(__xludf.DUMMYFUNCTION("""COMPUTED_VALUE"""),"Shot two students outside of school, tackled by teacher, severe mental illness")</f>
        <v>Shot two students outside of school, tackled by teacher, severe mental illness</v>
      </c>
      <c r="Z2065" s="12" t="str">
        <f ca="1">IFERROR(__xludf.DUMMYFUNCTION("""COMPUTED_VALUE"""),"32-year-old shooter fired hunting rifle at the school bus stop at the end of the school day striking a female and male student. Shooter was tackled by a teacher and bus driver. Shooter was mumbling ""I fight for freedom"". Shooter had been seen around the"&amp;" school on previous occasions. Shooter was former student at school. Shooter diagnosed with severe mental illness (hallucinations, psychotic episodes, paranoid psycho). Later found not guilty by reason of insanity")</f>
        <v>32-year-old shooter fired hunting rifle at the school bus stop at the end of the school day striking a female and male student. Shooter was tackled by a teacher and bus driver. Shooter was mumbling "I fight for freedom". Shooter had been seen around the school on previous occasions. Shooter was former student at school. Shooter diagnosed with severe mental illness (hallucinations, psychotic episodes, paranoid psycho). Later found not guilty by reason of insanity</v>
      </c>
      <c r="AA2065" s="8" t="str">
        <f ca="1">IFERROR(__xludf.DUMMYFUNCTION("""COMPUTED_VALUE"""),"Psychosis")</f>
        <v>Psychosis</v>
      </c>
      <c r="AB2065" s="8"/>
      <c r="AC2065" s="8" t="str">
        <f ca="1">IFERROR(__xludf.DUMMYFUNCTION("""COMPUTED_VALUE"""),"Yes")</f>
        <v>Yes</v>
      </c>
      <c r="AD2065" s="8" t="str">
        <f ca="1">IFERROR(__xludf.DUMMYFUNCTION("""COMPUTED_VALUE"""),"Random Shooting")</f>
        <v>Random Shooting</v>
      </c>
      <c r="AE2065" s="8" t="str">
        <f ca="1">IFERROR(__xludf.DUMMYFUNCTION("""COMPUTED_VALUE"""),"No")</f>
        <v>No</v>
      </c>
      <c r="AF2065" s="8"/>
      <c r="AG2065" s="8" t="str">
        <f ca="1">IFERROR(__xludf.DUMMYFUNCTION("""COMPUTED_VALUE"""),"No")</f>
        <v>No</v>
      </c>
      <c r="AH2065" s="8" t="str">
        <f ca="1">IFERROR(__xludf.DUMMYFUNCTION("""COMPUTED_VALUE"""),"No")</f>
        <v>No</v>
      </c>
      <c r="AI2065" s="8" t="str">
        <f ca="1">IFERROR(__xludf.DUMMYFUNCTION("""COMPUTED_VALUE"""),"No")</f>
        <v>No</v>
      </c>
      <c r="AJ2065" s="8"/>
      <c r="AK2065" s="8" t="str">
        <f ca="1">IFERROR(__xludf.DUMMYFUNCTION("""COMPUTED_VALUE"""),"No")</f>
        <v>No</v>
      </c>
      <c r="AL2065" s="8" t="str">
        <f ca="1">IFERROR(__xludf.DUMMYFUNCTION("""COMPUTED_VALUE"""),"No")</f>
        <v>No</v>
      </c>
      <c r="AM2065" s="8" t="str">
        <f ca="1">IFERROR(__xludf.DUMMYFUNCTION("""COMPUTED_VALUE"""),"Yes")</f>
        <v>Yes</v>
      </c>
      <c r="AN2065" s="8" t="str">
        <f ca="1">IFERROR(__xludf.DUMMYFUNCTION("""COMPUTED_VALUE"""),"Outside")</f>
        <v>Outside</v>
      </c>
      <c r="AO2065" s="8" t="str">
        <f ca="1">IFERROR(__xludf.DUMMYFUNCTION("""COMPUTED_VALUE"""),"No")</f>
        <v>No</v>
      </c>
      <c r="AP2065" s="8" t="str">
        <f ca="1">IFERROR(__xludf.DUMMYFUNCTION("""COMPUTED_VALUE"""),"No")</f>
        <v>No</v>
      </c>
      <c r="AQ2065" s="8" t="str">
        <f ca="1">IFERROR(__xludf.DUMMYFUNCTION("""COMPUTED_VALUE"""),"Unknown")</f>
        <v>Unknown</v>
      </c>
      <c r="AR2065" s="8" t="str">
        <f ca="1">IFERROR(__xludf.DUMMYFUNCTION("""COMPUTED_VALUE"""),"NA")</f>
        <v>NA</v>
      </c>
      <c r="AS2065" s="8">
        <f ca="1">IFERROR(__xludf.DUMMYFUNCTION("""COMPUTED_VALUE"""),2)</f>
        <v>2</v>
      </c>
      <c r="AT2065" s="8"/>
      <c r="AU2065" s="8">
        <f ca="1">IFERROR(__xludf.DUMMYFUNCTION("""COMPUTED_VALUE"""),39.58663)</f>
        <v>39.58663</v>
      </c>
      <c r="AV2065" s="8">
        <f ca="1">IFERROR(__xludf.DUMMYFUNCTION("""COMPUTED_VALUE"""),-105.102026)</f>
        <v>-105.102026</v>
      </c>
      <c r="AW2065" s="8"/>
      <c r="AX2065" s="8">
        <f ca="1">IFERROR(__xludf.DUMMYFUNCTION("""COMPUTED_VALUE"""),80127)</f>
        <v>80127</v>
      </c>
    </row>
    <row r="2066" spans="1:50" ht="75" x14ac:dyDescent="0.2">
      <c r="A2066" s="8" t="str">
        <f ca="1">IFERROR(__xludf.DUMMYFUNCTION("""COMPUTED_VALUE"""),"20100210TNINK")</f>
        <v>20100210TNINK</v>
      </c>
      <c r="B2066" s="8">
        <f ca="1">IFERROR(__xludf.DUMMYFUNCTION("""COMPUTED_VALUE"""),2)</f>
        <v>2</v>
      </c>
      <c r="C2066" s="8">
        <f ca="1">IFERROR(__xludf.DUMMYFUNCTION("""COMPUTED_VALUE"""),10)</f>
        <v>10</v>
      </c>
      <c r="D2066" s="8">
        <f ca="1">IFERROR(__xludf.DUMMYFUNCTION("""COMPUTED_VALUE"""),2010)</f>
        <v>2010</v>
      </c>
      <c r="E2066" s="9">
        <f ca="1">IFERROR(__xludf.DUMMYFUNCTION("""COMPUTED_VALUE"""),40219)</f>
        <v>40219</v>
      </c>
      <c r="F2066" s="8" t="str">
        <f ca="1">IFERROR(__xludf.DUMMYFUNCTION("""COMPUTED_VALUE"""),"Inskip Elementary School")</f>
        <v>Inskip Elementary School</v>
      </c>
      <c r="G2066" s="8">
        <f ca="1">IFERROR(__xludf.DUMMYFUNCTION("""COMPUTED_VALUE"""),0)</f>
        <v>0</v>
      </c>
      <c r="H2066" s="8">
        <f ca="1">IFERROR(__xludf.DUMMYFUNCTION("""COMPUTED_VALUE"""),2)</f>
        <v>2</v>
      </c>
      <c r="I2066" s="8">
        <f ca="1">IFERROR(__xludf.DUMMYFUNCTION("""COMPUTED_VALUE"""),2)</f>
        <v>2</v>
      </c>
      <c r="J2066" s="8">
        <f ca="1">IFERROR(__xludf.DUMMYFUNCTION("""COMPUTED_VALUE"""),0)</f>
        <v>0</v>
      </c>
      <c r="K2066" s="8" t="str">
        <f ca="1">IFERROR(__xludf.DUMMYFUNCTION("""COMPUTED_VALUE"""),"http://archive.knoxnews.com/news/local/judge-sentences-inskip-shooter-mark-foster-to-56-years-ep-402656909-357418151.html/ https://www.fbi.gov/file-repository/active-shooter-incidents-2000-2017.pdf https://archive.knoxnews.com/news/local/brother-of-allege"&amp;"d-shooter-at-inskip-elementary-blames-schools-ep-408962277-358918221.html")</f>
        <v>http://archive.knoxnews.com/news/local/judge-sentences-inskip-shooter-mark-foster-to-56-years-ep-402656909-357418151.html/ https://www.fbi.gov/file-repository/active-shooter-incidents-2000-2017.pdf https://archive.knoxnews.com/news/local/brother-of-alleged-shooter-at-inskip-elementary-blames-schools-ep-408962277-358918221.html</v>
      </c>
      <c r="L2066" s="8"/>
      <c r="M2066" s="8" t="str">
        <f ca="1">IFERROR(__xludf.DUMMYFUNCTION("""COMPUTED_VALUE"""),"Local")</f>
        <v>Local</v>
      </c>
      <c r="N2066" s="8">
        <f ca="1">IFERROR(__xludf.DUMMYFUNCTION("""COMPUTED_VALUE"""),5)</f>
        <v>5</v>
      </c>
      <c r="O2066" s="8" t="str">
        <f ca="1">IFERROR(__xludf.DUMMYFUNCTION("""COMPUTED_VALUE"""),"Winter")</f>
        <v>Winter</v>
      </c>
      <c r="P2066" s="8" t="str">
        <f ca="1">IFERROR(__xludf.DUMMYFUNCTION("""COMPUTED_VALUE"""),"Knoxville")</f>
        <v>Knoxville</v>
      </c>
      <c r="Q2066" s="8" t="str">
        <f ca="1">IFERROR(__xludf.DUMMYFUNCTION("""COMPUTED_VALUE"""),"TN")</f>
        <v>TN</v>
      </c>
      <c r="R2066" s="8" t="str">
        <f ca="1">IFERROR(__xludf.DUMMYFUNCTION("""COMPUTED_VALUE"""),"High")</f>
        <v>High</v>
      </c>
      <c r="S2066" s="8" t="str">
        <f ca="1">IFERROR(__xludf.DUMMYFUNCTION("""COMPUTED_VALUE"""),"Office")</f>
        <v>Office</v>
      </c>
      <c r="T2066" s="8" t="str">
        <f ca="1">IFERROR(__xludf.DUMMYFUNCTION("""COMPUTED_VALUE"""),"Inside School Building")</f>
        <v>Inside School Building</v>
      </c>
      <c r="U2066" s="8" t="str">
        <f ca="1">IFERROR(__xludf.DUMMYFUNCTION("""COMPUTED_VALUE"""),"No")</f>
        <v>No</v>
      </c>
      <c r="V2066" s="8" t="str">
        <f ca="1">IFERROR(__xludf.DUMMYFUNCTION("""COMPUTED_VALUE"""),"After School")</f>
        <v>After School</v>
      </c>
      <c r="W2066" s="11">
        <f ca="1">IFERROR(__xludf.DUMMYFUNCTION("""COMPUTED_VALUE"""),0.541666666666666)</f>
        <v>0.54166666666666596</v>
      </c>
      <c r="X2066" s="8">
        <f ca="1">IFERROR(__xludf.DUMMYFUNCTION("""COMPUTED_VALUE"""),1)</f>
        <v>1</v>
      </c>
      <c r="Y2066" s="12" t="str">
        <f ca="1">IFERROR(__xludf.DUMMYFUNCTION("""COMPUTED_VALUE"""),"Teacher told he wasn't being rehired next year, shot principal and asst principal")</f>
        <v>Teacher told he wasn't being rehired next year, shot principal and asst principal</v>
      </c>
      <c r="Z2066" s="12" t="str">
        <f ca="1">IFERROR(__xludf.DUMMYFUNCTION("""COMPUTED_VALUE"""),"48YOM teacher was told that his contract was not going renewed next school year. Shot principal and assistant principal then fled the scene. Arrested by police.")</f>
        <v>48YOM teacher was told that his contract was not going renewed next school year. Shot principal and assistant principal then fled the scene. Arrested by police.</v>
      </c>
      <c r="AA2066" s="8" t="str">
        <f ca="1">IFERROR(__xludf.DUMMYFUNCTION("""COMPUTED_VALUE"""),"Anger Over Grade/Suspension/Discipline")</f>
        <v>Anger Over Grade/Suspension/Discipline</v>
      </c>
      <c r="AB2066" s="8"/>
      <c r="AC2066" s="8" t="str">
        <f ca="1">IFERROR(__xludf.DUMMYFUNCTION("""COMPUTED_VALUE"""),"Yes")</f>
        <v>Yes</v>
      </c>
      <c r="AD2066" s="8" t="str">
        <f ca="1">IFERROR(__xludf.DUMMYFUNCTION("""COMPUTED_VALUE"""),"Victims Targeted")</f>
        <v>Victims Targeted</v>
      </c>
      <c r="AE2066" s="8" t="str">
        <f ca="1">IFERROR(__xludf.DUMMYFUNCTION("""COMPUTED_VALUE"""),"No")</f>
        <v>No</v>
      </c>
      <c r="AF2066" s="8"/>
      <c r="AG2066" s="8" t="str">
        <f ca="1">IFERROR(__xludf.DUMMYFUNCTION("""COMPUTED_VALUE"""),"No")</f>
        <v>No</v>
      </c>
      <c r="AH2066" s="8" t="str">
        <f ca="1">IFERROR(__xludf.DUMMYFUNCTION("""COMPUTED_VALUE"""),"No")</f>
        <v>No</v>
      </c>
      <c r="AI2066" s="8" t="str">
        <f ca="1">IFERROR(__xludf.DUMMYFUNCTION("""COMPUTED_VALUE"""),"No")</f>
        <v>No</v>
      </c>
      <c r="AJ2066" s="8" t="str">
        <f ca="1">IFERROR(__xludf.DUMMYFUNCTION("""COMPUTED_VALUE"""),"No")</f>
        <v>No</v>
      </c>
      <c r="AK2066" s="8" t="str">
        <f ca="1">IFERROR(__xludf.DUMMYFUNCTION("""COMPUTED_VALUE"""),"No")</f>
        <v>No</v>
      </c>
      <c r="AL2066" s="8" t="str">
        <f ca="1">IFERROR(__xludf.DUMMYFUNCTION("""COMPUTED_VALUE"""),"No")</f>
        <v>No</v>
      </c>
      <c r="AM2066" s="8" t="str">
        <f ca="1">IFERROR(__xludf.DUMMYFUNCTION("""COMPUTED_VALUE"""),"No")</f>
        <v>No</v>
      </c>
      <c r="AN2066" s="8"/>
      <c r="AO2066" s="8" t="str">
        <f ca="1">IFERROR(__xludf.DUMMYFUNCTION("""COMPUTED_VALUE"""),"No")</f>
        <v>No</v>
      </c>
      <c r="AP2066" s="8"/>
      <c r="AQ2066" s="8" t="str">
        <f ca="1">IFERROR(__xludf.DUMMYFUNCTION("""COMPUTED_VALUE"""),"Unknown")</f>
        <v>Unknown</v>
      </c>
      <c r="AR2066" s="8" t="str">
        <f ca="1">IFERROR(__xludf.DUMMYFUNCTION("""COMPUTED_VALUE"""),"NA")</f>
        <v>NA</v>
      </c>
      <c r="AS2066" s="8" t="str">
        <f ca="1">IFERROR(__xludf.DUMMYFUNCTION("""COMPUTED_VALUE"""),"&lt;10")</f>
        <v>&lt;10</v>
      </c>
      <c r="AT2066" s="8"/>
      <c r="AU2066" s="8">
        <f ca="1">IFERROR(__xludf.DUMMYFUNCTION("""COMPUTED_VALUE"""),36.010024)</f>
        <v>36.010024000000001</v>
      </c>
      <c r="AV2066" s="8">
        <f ca="1">IFERROR(__xludf.DUMMYFUNCTION("""COMPUTED_VALUE"""),-83.959148)</f>
        <v>-83.959147999999999</v>
      </c>
      <c r="AW2066" s="8"/>
      <c r="AX2066" s="8">
        <f ca="1">IFERROR(__xludf.DUMMYFUNCTION("""COMPUTED_VALUE"""),37912)</f>
        <v>37912</v>
      </c>
    </row>
    <row r="2067" spans="1:50" ht="180" x14ac:dyDescent="0.2">
      <c r="A2067" s="8" t="str">
        <f ca="1">IFERROR(__xludf.DUMMYFUNCTION("""COMPUTED_VALUE"""),"20100205ALDIM")</f>
        <v>20100205ALDIM</v>
      </c>
      <c r="B2067" s="8">
        <f ca="1">IFERROR(__xludf.DUMMYFUNCTION("""COMPUTED_VALUE"""),2)</f>
        <v>2</v>
      </c>
      <c r="C2067" s="8">
        <f ca="1">IFERROR(__xludf.DUMMYFUNCTION("""COMPUTED_VALUE"""),5)</f>
        <v>5</v>
      </c>
      <c r="D2067" s="8">
        <f ca="1">IFERROR(__xludf.DUMMYFUNCTION("""COMPUTED_VALUE"""),2010)</f>
        <v>2010</v>
      </c>
      <c r="E2067" s="9">
        <f ca="1">IFERROR(__xludf.DUMMYFUNCTION("""COMPUTED_VALUE"""),40214)</f>
        <v>40214</v>
      </c>
      <c r="F2067" s="8" t="str">
        <f ca="1">IFERROR(__xludf.DUMMYFUNCTION("""COMPUTED_VALUE"""),"Discovery Middle School")</f>
        <v>Discovery Middle School</v>
      </c>
      <c r="G2067" s="8">
        <f ca="1">IFERROR(__xludf.DUMMYFUNCTION("""COMPUTED_VALUE"""),1)</f>
        <v>1</v>
      </c>
      <c r="H2067" s="8">
        <f ca="1">IFERROR(__xludf.DUMMYFUNCTION("""COMPUTED_VALUE"""),0)</f>
        <v>0</v>
      </c>
      <c r="I2067" s="8">
        <f ca="1">IFERROR(__xludf.DUMMYFUNCTION("""COMPUTED_VALUE"""),1)</f>
        <v>1</v>
      </c>
      <c r="J2067" s="8">
        <f ca="1">IFERROR(__xludf.DUMMYFUNCTION("""COMPUTED_VALUE"""),0)</f>
        <v>0</v>
      </c>
      <c r="K2067" s="8" t="str">
        <f ca="1">IFERROR(__xludf.DUMMYFUNCTION("""COMPUTED_VALUE"""),"http://www.cnn.com/2010/CRIME/02/06/alabama.student.killed/index.html https://whnt.com/2020/02/04/10-years-later-discovery-middle-school-shooting-leaves-lasting-impact-on-madison/")</f>
        <v>http://www.cnn.com/2010/CRIME/02/06/alabama.student.killed/index.html https://whnt.com/2020/02/04/10-years-later-discovery-middle-school-shooting-leaves-lasting-impact-on-madison/</v>
      </c>
      <c r="L2067" s="8"/>
      <c r="M2067" s="8"/>
      <c r="N2067" s="8">
        <f ca="1">IFERROR(__xludf.DUMMYFUNCTION("""COMPUTED_VALUE"""),4)</f>
        <v>4</v>
      </c>
      <c r="O2067" s="8" t="str">
        <f ca="1">IFERROR(__xludf.DUMMYFUNCTION("""COMPUTED_VALUE"""),"Winter")</f>
        <v>Winter</v>
      </c>
      <c r="P2067" s="8" t="str">
        <f ca="1">IFERROR(__xludf.DUMMYFUNCTION("""COMPUTED_VALUE"""),"Madison")</f>
        <v>Madison</v>
      </c>
      <c r="Q2067" s="8" t="str">
        <f ca="1">IFERROR(__xludf.DUMMYFUNCTION("""COMPUTED_VALUE"""),"AL")</f>
        <v>AL</v>
      </c>
      <c r="R2067" s="8" t="str">
        <f ca="1">IFERROR(__xludf.DUMMYFUNCTION("""COMPUTED_VALUE"""),"Middle")</f>
        <v>Middle</v>
      </c>
      <c r="S2067" s="8" t="str">
        <f ca="1">IFERROR(__xludf.DUMMYFUNCTION("""COMPUTED_VALUE"""),"Hallway")</f>
        <v>Hallway</v>
      </c>
      <c r="T2067" s="8" t="str">
        <f ca="1">IFERROR(__xludf.DUMMYFUNCTION("""COMPUTED_VALUE"""),"Inside School Building")</f>
        <v>Inside School Building</v>
      </c>
      <c r="U2067" s="8" t="str">
        <f ca="1">IFERROR(__xludf.DUMMYFUNCTION("""COMPUTED_VALUE"""),"Yes")</f>
        <v>Yes</v>
      </c>
      <c r="V2067" s="8" t="str">
        <f ca="1">IFERROR(__xludf.DUMMYFUNCTION("""COMPUTED_VALUE"""),"Afternoon Classes")</f>
        <v>Afternoon Classes</v>
      </c>
      <c r="W2067" s="11">
        <f ca="1">IFERROR(__xludf.DUMMYFUNCTION("""COMPUTED_VALUE"""),0.572916666666666)</f>
        <v>0.57291666666666596</v>
      </c>
      <c r="X2067" s="8">
        <f ca="1">IFERROR(__xludf.DUMMYFUNCTION("""COMPUTED_VALUE"""),1)</f>
        <v>1</v>
      </c>
      <c r="Y2067" s="12" t="str">
        <f ca="1">IFERROR(__xludf.DUMMYFUNCTION("""COMPUTED_VALUE"""),"Student in head by another student in hallway, details remain unclear")</f>
        <v>Student in head by another student in hallway, details remain unclear</v>
      </c>
      <c r="Z2067" s="12" t="str">
        <f ca="1">IFERROR(__xludf.DUMMYFUNCTION("""COMPUTED_VALUE"""),"Shooter shot the victim in the back of the head in the hallway of the school. Students reported the shooter was ""fed up with gang related things"". No other students were injured. Shooter was taken into custody by SRO. Shooter and mother attempted to fle"&amp;"e the country to Pakistan prior to the trial. Experts debated if there was a mental health component and if there were any gang affiliations. Students reported that they did not know of any gang association with the victim (14 at the time of the shooting)"&amp;". 
 After the shooting, the school system added SROs and behavior councilors to all 11 schools and a full time security director. The school system also created a reporting hotline.")</f>
        <v>Shooter shot the victim in the back of the head in the hallway of the school. Students reported the shooter was "fed up with gang related things". No other students were injured. Shooter was taken into custody by SRO. Shooter and mother attempted to flee the country to Pakistan prior to the trial. Experts debated if there was a mental health component and if there were any gang affiliations. Students reported that they did not know of any gang association with the victim (14 at the time of the shooting). 
 After the shooting, the school system added SROs and behavior councilors to all 11 schools and a full time security director. The school system also created a reporting hotline.</v>
      </c>
      <c r="AA2067" s="8" t="str">
        <f ca="1">IFERROR(__xludf.DUMMYFUNCTION("""COMPUTED_VALUE"""),"Psychosis")</f>
        <v>Psychosis</v>
      </c>
      <c r="AB2067" s="8"/>
      <c r="AC2067" s="8" t="str">
        <f ca="1">IFERROR(__xludf.DUMMYFUNCTION("""COMPUTED_VALUE"""),"Yes")</f>
        <v>Yes</v>
      </c>
      <c r="AD2067" s="8" t="str">
        <f ca="1">IFERROR(__xludf.DUMMYFUNCTION("""COMPUTED_VALUE"""),"Victims Targeted")</f>
        <v>Victims Targeted</v>
      </c>
      <c r="AE2067" s="8" t="str">
        <f ca="1">IFERROR(__xludf.DUMMYFUNCTION("""COMPUTED_VALUE"""),"No")</f>
        <v>No</v>
      </c>
      <c r="AF2067" s="8"/>
      <c r="AG2067" s="8" t="str">
        <f ca="1">IFERROR(__xludf.DUMMYFUNCTION("""COMPUTED_VALUE"""),"No")</f>
        <v>No</v>
      </c>
      <c r="AH2067" s="8" t="str">
        <f ca="1">IFERROR(__xludf.DUMMYFUNCTION("""COMPUTED_VALUE"""),"No")</f>
        <v>No</v>
      </c>
      <c r="AI2067" s="8" t="str">
        <f ca="1">IFERROR(__xludf.DUMMYFUNCTION("""COMPUTED_VALUE"""),"No")</f>
        <v>No</v>
      </c>
      <c r="AJ2067" s="8"/>
      <c r="AK2067" s="8" t="str">
        <f ca="1">IFERROR(__xludf.DUMMYFUNCTION("""COMPUTED_VALUE"""),"No")</f>
        <v>No</v>
      </c>
      <c r="AL2067" s="8"/>
      <c r="AM2067" s="8" t="str">
        <f ca="1">IFERROR(__xludf.DUMMYFUNCTION("""COMPUTED_VALUE"""),"Yes")</f>
        <v>Yes</v>
      </c>
      <c r="AN2067" s="8" t="str">
        <f ca="1">IFERROR(__xludf.DUMMYFUNCTION("""COMPUTED_VALUE"""),"Hallway")</f>
        <v>Hallway</v>
      </c>
      <c r="AO2067" s="8" t="str">
        <f ca="1">IFERROR(__xludf.DUMMYFUNCTION("""COMPUTED_VALUE"""),"No")</f>
        <v>No</v>
      </c>
      <c r="AP2067" s="8" t="str">
        <f ca="1">IFERROR(__xludf.DUMMYFUNCTION("""COMPUTED_VALUE"""),"Yes")</f>
        <v>Yes</v>
      </c>
      <c r="AQ2067" s="8" t="str">
        <f ca="1">IFERROR(__xludf.DUMMYFUNCTION("""COMPUTED_VALUE"""),"None")</f>
        <v>None</v>
      </c>
      <c r="AR2067" s="8" t="str">
        <f ca="1">IFERROR(__xludf.DUMMYFUNCTION("""COMPUTED_VALUE"""),"NA")</f>
        <v>NA</v>
      </c>
      <c r="AS2067" s="8">
        <f ca="1">IFERROR(__xludf.DUMMYFUNCTION("""COMPUTED_VALUE"""),1)</f>
        <v>1</v>
      </c>
      <c r="AT2067" s="8" t="str">
        <f ca="1">IFERROR(__xludf.DUMMYFUNCTION("""COMPUTED_VALUE"""),"Yes")</f>
        <v>Yes</v>
      </c>
      <c r="AU2067" s="8">
        <f ca="1">IFERROR(__xludf.DUMMYFUNCTION("""COMPUTED_VALUE"""),34.740813)</f>
        <v>34.740813000000003</v>
      </c>
      <c r="AV2067" s="8">
        <f ca="1">IFERROR(__xludf.DUMMYFUNCTION("""COMPUTED_VALUE"""),-86.742234)</f>
        <v>-86.742233999999996</v>
      </c>
      <c r="AW2067" s="8"/>
      <c r="AX2067" s="8">
        <f ca="1">IFERROR(__xludf.DUMMYFUNCTION("""COMPUTED_VALUE"""),35758)</f>
        <v>35758</v>
      </c>
    </row>
    <row r="2068" spans="1:50" ht="60" x14ac:dyDescent="0.2">
      <c r="A2068" s="8" t="str">
        <f ca="1">IFERROR(__xludf.DUMMYFUNCTION("""COMPUTED_VALUE"""),"20100120ALLIL")</f>
        <v>20100120ALLIL</v>
      </c>
      <c r="B2068" s="8">
        <f ca="1">IFERROR(__xludf.DUMMYFUNCTION("""COMPUTED_VALUE"""),1)</f>
        <v>1</v>
      </c>
      <c r="C2068" s="8">
        <f ca="1">IFERROR(__xludf.DUMMYFUNCTION("""COMPUTED_VALUE"""),20)</f>
        <v>20</v>
      </c>
      <c r="D2068" s="8">
        <f ca="1">IFERROR(__xludf.DUMMYFUNCTION("""COMPUTED_VALUE"""),2010)</f>
        <v>2010</v>
      </c>
      <c r="E2068" s="9">
        <f ca="1">IFERROR(__xludf.DUMMYFUNCTION("""COMPUTED_VALUE"""),40198)</f>
        <v>40198</v>
      </c>
      <c r="F2068" s="8" t="str">
        <f ca="1">IFERROR(__xludf.DUMMYFUNCTION("""COMPUTED_VALUE"""),"Livington High School")</f>
        <v>Livington High School</v>
      </c>
      <c r="G2068" s="8">
        <f ca="1">IFERROR(__xludf.DUMMYFUNCTION("""COMPUTED_VALUE"""),0)</f>
        <v>0</v>
      </c>
      <c r="H2068" s="8">
        <f ca="1">IFERROR(__xludf.DUMMYFUNCTION("""COMPUTED_VALUE"""),1)</f>
        <v>1</v>
      </c>
      <c r="I2068" s="8">
        <f ca="1">IFERROR(__xludf.DUMMYFUNCTION("""COMPUTED_VALUE"""),1)</f>
        <v>1</v>
      </c>
      <c r="J2068" s="8">
        <f ca="1">IFERROR(__xludf.DUMMYFUNCTION("""COMPUTED_VALUE"""),0)</f>
        <v>0</v>
      </c>
      <c r="K2068" s="8" t="str">
        <f ca="1">IFERROR(__xludf.DUMMYFUNCTION("""COMPUTED_VALUE"""),"http://www.westalabamawatchman.com/gray-enters-guilty-plea-in-capital-murder-case/  http://blog.al.com/live/2010/01/livingston_teacher_killed_at_s.html  http://www.wtok.com/home/headlines/82217492.html")</f>
        <v>http://www.westalabamawatchman.com/gray-enters-guilty-plea-in-capital-murder-case/  http://blog.al.com/live/2010/01/livingston_teacher_killed_at_s.html  http://www.wtok.com/home/headlines/82217492.html</v>
      </c>
      <c r="L2068" s="8"/>
      <c r="M2068" s="8"/>
      <c r="N2068" s="8">
        <f ca="1">IFERROR(__xludf.DUMMYFUNCTION("""COMPUTED_VALUE"""),3)</f>
        <v>3</v>
      </c>
      <c r="O2068" s="8" t="str">
        <f ca="1">IFERROR(__xludf.DUMMYFUNCTION("""COMPUTED_VALUE"""),"Winter")</f>
        <v>Winter</v>
      </c>
      <c r="P2068" s="8" t="str">
        <f ca="1">IFERROR(__xludf.DUMMYFUNCTION("""COMPUTED_VALUE"""),"Livington")</f>
        <v>Livington</v>
      </c>
      <c r="Q2068" s="8" t="str">
        <f ca="1">IFERROR(__xludf.DUMMYFUNCTION("""COMPUTED_VALUE"""),"AL")</f>
        <v>AL</v>
      </c>
      <c r="R2068" s="8" t="str">
        <f ca="1">IFERROR(__xludf.DUMMYFUNCTION("""COMPUTED_VALUE"""),"High")</f>
        <v>High</v>
      </c>
      <c r="S2068" s="8" t="str">
        <f ca="1">IFERROR(__xludf.DUMMYFUNCTION("""COMPUTED_VALUE"""),"Beside Building")</f>
        <v>Beside Building</v>
      </c>
      <c r="T2068" s="8" t="str">
        <f ca="1">IFERROR(__xludf.DUMMYFUNCTION("""COMPUTED_VALUE"""),"Outside on School Property")</f>
        <v>Outside on School Property</v>
      </c>
      <c r="U2068" s="8" t="str">
        <f ca="1">IFERROR(__xludf.DUMMYFUNCTION("""COMPUTED_VALUE"""),"Yes")</f>
        <v>Yes</v>
      </c>
      <c r="V2068" s="8" t="str">
        <f ca="1">IFERROR(__xludf.DUMMYFUNCTION("""COMPUTED_VALUE"""),"Afternoon Classes")</f>
        <v>Afternoon Classes</v>
      </c>
      <c r="W2068" s="11">
        <f ca="1">IFERROR(__xludf.DUMMYFUNCTION("""COMPUTED_VALUE"""),0.625)</f>
        <v>0.625</v>
      </c>
      <c r="X2068" s="8">
        <f ca="1">IFERROR(__xludf.DUMMYFUNCTION("""COMPUTED_VALUE"""),1)</f>
        <v>1</v>
      </c>
      <c r="Y2068" s="12" t="str">
        <f ca="1">IFERROR(__xludf.DUMMYFUNCTION("""COMPUTED_VALUE"""),"Husband killed wife outside of school")</f>
        <v>Husband killed wife outside of school</v>
      </c>
      <c r="Z2068" s="12" t="str">
        <f ca="1">IFERROR(__xludf.DUMMYFUNCTION("""COMPUTED_VALUE"""),"Husband went to estranged wife's school and shot her prior to the 3pm bell ringing. Suspect then fled in car and was chased by police who caught/arrested him after he wrecked. Eventually pled guilty")</f>
        <v>Husband went to estranged wife's school and shot her prior to the 3pm bell ringing. Suspect then fled in car and was chased by police who caught/arrested him after he wrecked. Eventually pled guilty</v>
      </c>
      <c r="AA2068" s="8" t="str">
        <f ca="1">IFERROR(__xludf.DUMMYFUNCTION("""COMPUTED_VALUE"""),"Domestic w/ Targeted Victim")</f>
        <v>Domestic w/ Targeted Victim</v>
      </c>
      <c r="AB2068" s="8"/>
      <c r="AC2068" s="8" t="str">
        <f ca="1">IFERROR(__xludf.DUMMYFUNCTION("""COMPUTED_VALUE"""),"Yes")</f>
        <v>Yes</v>
      </c>
      <c r="AD2068" s="8" t="str">
        <f ca="1">IFERROR(__xludf.DUMMYFUNCTION("""COMPUTED_VALUE"""),"Victims Targeted")</f>
        <v>Victims Targeted</v>
      </c>
      <c r="AE2068" s="8" t="str">
        <f ca="1">IFERROR(__xludf.DUMMYFUNCTION("""COMPUTED_VALUE"""),"No")</f>
        <v>No</v>
      </c>
      <c r="AF2068" s="8"/>
      <c r="AG2068" s="8" t="str">
        <f ca="1">IFERROR(__xludf.DUMMYFUNCTION("""COMPUTED_VALUE"""),"No")</f>
        <v>No</v>
      </c>
      <c r="AH2068" s="8" t="str">
        <f ca="1">IFERROR(__xludf.DUMMYFUNCTION("""COMPUTED_VALUE"""),"No")</f>
        <v>No</v>
      </c>
      <c r="AI2068" s="8" t="str">
        <f ca="1">IFERROR(__xludf.DUMMYFUNCTION("""COMPUTED_VALUE"""),"No")</f>
        <v>No</v>
      </c>
      <c r="AJ2068" s="8" t="str">
        <f ca="1">IFERROR(__xludf.DUMMYFUNCTION("""COMPUTED_VALUE"""),"No")</f>
        <v>No</v>
      </c>
      <c r="AK2068" s="8" t="str">
        <f ca="1">IFERROR(__xludf.DUMMYFUNCTION("""COMPUTED_VALUE"""),"Yes")</f>
        <v>Yes</v>
      </c>
      <c r="AL2068" s="8" t="str">
        <f ca="1">IFERROR(__xludf.DUMMYFUNCTION("""COMPUTED_VALUE"""),"No")</f>
        <v>No</v>
      </c>
      <c r="AM2068" s="8" t="str">
        <f ca="1">IFERROR(__xludf.DUMMYFUNCTION("""COMPUTED_VALUE"""),"No")</f>
        <v>No</v>
      </c>
      <c r="AN2068" s="8"/>
      <c r="AO2068" s="8" t="str">
        <f ca="1">IFERROR(__xludf.DUMMYFUNCTION("""COMPUTED_VALUE"""),"No")</f>
        <v>No</v>
      </c>
      <c r="AP2068" s="8"/>
      <c r="AQ2068" s="8" t="str">
        <f ca="1">IFERROR(__xludf.DUMMYFUNCTION("""COMPUTED_VALUE"""),"Unknown")</f>
        <v>Unknown</v>
      </c>
      <c r="AR2068" s="8" t="str">
        <f ca="1">IFERROR(__xludf.DUMMYFUNCTION("""COMPUTED_VALUE"""),"NA")</f>
        <v>NA</v>
      </c>
      <c r="AS2068" s="8">
        <f ca="1">IFERROR(__xludf.DUMMYFUNCTION("""COMPUTED_VALUE"""),4)</f>
        <v>4</v>
      </c>
      <c r="AT2068" s="8"/>
      <c r="AU2068" s="8">
        <f ca="1">IFERROR(__xludf.DUMMYFUNCTION("""COMPUTED_VALUE"""),32.611054)</f>
        <v>32.611054000000003</v>
      </c>
      <c r="AV2068" s="8">
        <f ca="1">IFERROR(__xludf.DUMMYFUNCTION("""COMPUTED_VALUE"""),-88.184253)</f>
        <v>-88.184252999999998</v>
      </c>
      <c r="AW2068" s="8"/>
      <c r="AX2068" s="8">
        <f ca="1">IFERROR(__xludf.DUMMYFUNCTION("""COMPUTED_VALUE"""),35470)</f>
        <v>35470</v>
      </c>
    </row>
    <row r="2069" spans="1:50" ht="60" x14ac:dyDescent="0.2">
      <c r="A2069" s="8" t="str">
        <f ca="1">IFERROR(__xludf.DUMMYFUNCTION("""COMPUTED_VALUE"""),"20091211LABOS")</f>
        <v>20091211LABOS</v>
      </c>
      <c r="B2069" s="8">
        <f ca="1">IFERROR(__xludf.DUMMYFUNCTION("""COMPUTED_VALUE"""),12)</f>
        <v>12</v>
      </c>
      <c r="C2069" s="8">
        <f ca="1">IFERROR(__xludf.DUMMYFUNCTION("""COMPUTED_VALUE"""),11)</f>
        <v>11</v>
      </c>
      <c r="D2069" s="8">
        <f ca="1">IFERROR(__xludf.DUMMYFUNCTION("""COMPUTED_VALUE"""),2009)</f>
        <v>2009</v>
      </c>
      <c r="E2069" s="9">
        <f ca="1">IFERROR(__xludf.DUMMYFUNCTION("""COMPUTED_VALUE"""),40158)</f>
        <v>40158</v>
      </c>
      <c r="F2069" s="8" t="str">
        <f ca="1">IFERROR(__xludf.DUMMYFUNCTION("""COMPUTED_VALUE"""),"Booker T. Washington High School")</f>
        <v>Booker T. Washington High School</v>
      </c>
      <c r="G2069" s="8">
        <f ca="1">IFERROR(__xludf.DUMMYFUNCTION("""COMPUTED_VALUE"""),0)</f>
        <v>0</v>
      </c>
      <c r="H2069" s="8">
        <f ca="1">IFERROR(__xludf.DUMMYFUNCTION("""COMPUTED_VALUE"""),1)</f>
        <v>1</v>
      </c>
      <c r="I2069" s="8">
        <f ca="1">IFERROR(__xludf.DUMMYFUNCTION("""COMPUTED_VALUE"""),1)</f>
        <v>1</v>
      </c>
      <c r="J2069" s="8">
        <f ca="1">IFERROR(__xludf.DUMMYFUNCTION("""COMPUTED_VALUE"""),0)</f>
        <v>0</v>
      </c>
      <c r="K2069" s="10" t="str">
        <f ca="1">IFERROR(__xludf.DUMMYFUNCTION("""COMPUTED_VALUE"""),"https://www.ktbs.com/news/police-btw-shooter-was-spurned-lover/article_655e08f3-5404-5896-a955-81611d1a56b3.html")</f>
        <v>https://www.ktbs.com/news/police-btw-shooter-was-spurned-lover/article_655e08f3-5404-5896-a955-81611d1a56b3.html</v>
      </c>
      <c r="L2069" s="8"/>
      <c r="M2069" s="8"/>
      <c r="N2069" s="8">
        <f ca="1">IFERROR(__xludf.DUMMYFUNCTION("""COMPUTED_VALUE"""),2)</f>
        <v>2</v>
      </c>
      <c r="O2069" s="8" t="str">
        <f ca="1">IFERROR(__xludf.DUMMYFUNCTION("""COMPUTED_VALUE"""),"Winter")</f>
        <v>Winter</v>
      </c>
      <c r="P2069" s="8" t="str">
        <f ca="1">IFERROR(__xludf.DUMMYFUNCTION("""COMPUTED_VALUE"""),"Shreveport")</f>
        <v>Shreveport</v>
      </c>
      <c r="Q2069" s="8" t="str">
        <f ca="1">IFERROR(__xludf.DUMMYFUNCTION("""COMPUTED_VALUE"""),"LA")</f>
        <v>LA</v>
      </c>
      <c r="R2069" s="8" t="str">
        <f ca="1">IFERROR(__xludf.DUMMYFUNCTION("""COMPUTED_VALUE"""),"High")</f>
        <v>High</v>
      </c>
      <c r="S2069" s="8" t="str">
        <f ca="1">IFERROR(__xludf.DUMMYFUNCTION("""COMPUTED_VALUE"""),"Parking Lot")</f>
        <v>Parking Lot</v>
      </c>
      <c r="T2069" s="8" t="str">
        <f ca="1">IFERROR(__xludf.DUMMYFUNCTION("""COMPUTED_VALUE"""),"Outside on School Property")</f>
        <v>Outside on School Property</v>
      </c>
      <c r="U2069" s="8" t="str">
        <f ca="1">IFERROR(__xludf.DUMMYFUNCTION("""COMPUTED_VALUE"""),"Yes")</f>
        <v>Yes</v>
      </c>
      <c r="V2069" s="8" t="str">
        <f ca="1">IFERROR(__xludf.DUMMYFUNCTION("""COMPUTED_VALUE"""),"School Start")</f>
        <v>School Start</v>
      </c>
      <c r="W2069" s="11">
        <f ca="1">IFERROR(__xludf.DUMMYFUNCTION("""COMPUTED_VALUE"""),0.340277777777777)</f>
        <v>0.34027777777777701</v>
      </c>
      <c r="X2069" s="8">
        <f ca="1">IFERROR(__xludf.DUMMYFUNCTION("""COMPUTED_VALUE"""),1)</f>
        <v>1</v>
      </c>
      <c r="Y2069" s="12" t="str">
        <f ca="1">IFERROR(__xludf.DUMMYFUNCTION("""COMPUTED_VALUE"""),"Waited for ex-girlfriend and shot her outside of school")</f>
        <v>Waited for ex-girlfriend and shot her outside of school</v>
      </c>
      <c r="Z2069" s="12" t="str">
        <f ca="1">IFERROR(__xludf.DUMMYFUNCTION("""COMPUTED_VALUE"""),"28YOM waited outside of school for 18YOF ex-girlfriend to arrived. Shot at her four times (2 shots missed) and fled the scene. Arrested by police during chase. Attempted to ditch gun and change clothes while fleeing.")</f>
        <v>28YOM waited outside of school for 18YOF ex-girlfriend to arrived. Shot at her four times (2 shots missed) and fled the scene. Arrested by police during chase. Attempted to ditch gun and change clothes while fleeing.</v>
      </c>
      <c r="AA2069" s="8" t="str">
        <f ca="1">IFERROR(__xludf.DUMMYFUNCTION("""COMPUTED_VALUE"""),"Domestic w/ Targeted Victim")</f>
        <v>Domestic w/ Targeted Victim</v>
      </c>
      <c r="AB2069" s="8"/>
      <c r="AC2069" s="8" t="str">
        <f ca="1">IFERROR(__xludf.DUMMYFUNCTION("""COMPUTED_VALUE"""),"Yes")</f>
        <v>Yes</v>
      </c>
      <c r="AD2069" s="8" t="str">
        <f ca="1">IFERROR(__xludf.DUMMYFUNCTION("""COMPUTED_VALUE"""),"Victims Targeted")</f>
        <v>Victims Targeted</v>
      </c>
      <c r="AE2069" s="8" t="str">
        <f ca="1">IFERROR(__xludf.DUMMYFUNCTION("""COMPUTED_VALUE"""),"No")</f>
        <v>No</v>
      </c>
      <c r="AF2069" s="8"/>
      <c r="AG2069" s="8" t="str">
        <f ca="1">IFERROR(__xludf.DUMMYFUNCTION("""COMPUTED_VALUE"""),"No")</f>
        <v>No</v>
      </c>
      <c r="AH2069" s="8" t="str">
        <f ca="1">IFERROR(__xludf.DUMMYFUNCTION("""COMPUTED_VALUE"""),"No")</f>
        <v>No</v>
      </c>
      <c r="AI2069" s="8" t="str">
        <f ca="1">IFERROR(__xludf.DUMMYFUNCTION("""COMPUTED_VALUE"""),"No")</f>
        <v>No</v>
      </c>
      <c r="AJ2069" s="8" t="str">
        <f ca="1">IFERROR(__xludf.DUMMYFUNCTION("""COMPUTED_VALUE"""),"No")</f>
        <v>No</v>
      </c>
      <c r="AK2069" s="8" t="str">
        <f ca="1">IFERROR(__xludf.DUMMYFUNCTION("""COMPUTED_VALUE"""),"Yes")</f>
        <v>Yes</v>
      </c>
      <c r="AL2069" s="8" t="str">
        <f ca="1">IFERROR(__xludf.DUMMYFUNCTION("""COMPUTED_VALUE"""),"No")</f>
        <v>No</v>
      </c>
      <c r="AM2069" s="8"/>
      <c r="AN2069" s="8"/>
      <c r="AO2069" s="8" t="str">
        <f ca="1">IFERROR(__xludf.DUMMYFUNCTION("""COMPUTED_VALUE"""),"No")</f>
        <v>No</v>
      </c>
      <c r="AP2069" s="8" t="str">
        <f ca="1">IFERROR(__xludf.DUMMYFUNCTION("""COMPUTED_VALUE"""),"Yes")</f>
        <v>Yes</v>
      </c>
      <c r="AQ2069" s="8" t="str">
        <f ca="1">IFERROR(__xludf.DUMMYFUNCTION("""COMPUTED_VALUE"""),"Unknown")</f>
        <v>Unknown</v>
      </c>
      <c r="AR2069" s="8" t="str">
        <f ca="1">IFERROR(__xludf.DUMMYFUNCTION("""COMPUTED_VALUE"""),"NA")</f>
        <v>NA</v>
      </c>
      <c r="AS2069" s="8">
        <f ca="1">IFERROR(__xludf.DUMMYFUNCTION("""COMPUTED_VALUE"""),4)</f>
        <v>4</v>
      </c>
      <c r="AT2069" s="8"/>
      <c r="AU2069" s="8">
        <f ca="1">IFERROR(__xludf.DUMMYFUNCTION("""COMPUTED_VALUE"""),32.503999)</f>
        <v>32.503999</v>
      </c>
      <c r="AV2069" s="8">
        <f ca="1">IFERROR(__xludf.DUMMYFUNCTION("""COMPUTED_VALUE"""),-93.773392)</f>
        <v>-93.773392000000001</v>
      </c>
      <c r="AW2069" s="8"/>
      <c r="AX2069" s="8">
        <f ca="1">IFERROR(__xludf.DUMMYFUNCTION("""COMPUTED_VALUE"""),71103)</f>
        <v>71103</v>
      </c>
    </row>
    <row r="2070" spans="1:50" ht="90" x14ac:dyDescent="0.2">
      <c r="A2070" s="8" t="str">
        <f ca="1">IFERROR(__xludf.DUMMYFUNCTION("""COMPUTED_VALUE"""),"20091106PAHAW")</f>
        <v>20091106PAHAW</v>
      </c>
      <c r="B2070" s="8">
        <f ca="1">IFERROR(__xludf.DUMMYFUNCTION("""COMPUTED_VALUE"""),11)</f>
        <v>11</v>
      </c>
      <c r="C2070" s="8">
        <f ca="1">IFERROR(__xludf.DUMMYFUNCTION("""COMPUTED_VALUE"""),6)</f>
        <v>6</v>
      </c>
      <c r="D2070" s="8">
        <f ca="1">IFERROR(__xludf.DUMMYFUNCTION("""COMPUTED_VALUE"""),2009)</f>
        <v>2009</v>
      </c>
      <c r="E2070" s="9">
        <f ca="1">IFERROR(__xludf.DUMMYFUNCTION("""COMPUTED_VALUE"""),40123)</f>
        <v>40123</v>
      </c>
      <c r="F2070" s="8" t="str">
        <f ca="1">IFERROR(__xludf.DUMMYFUNCTION("""COMPUTED_VALUE"""),"Hamilton High School (bus)")</f>
        <v>Hamilton High School (bus)</v>
      </c>
      <c r="G2070" s="8">
        <f ca="1">IFERROR(__xludf.DUMMYFUNCTION("""COMPUTED_VALUE"""),0)</f>
        <v>0</v>
      </c>
      <c r="H2070" s="8">
        <f ca="1">IFERROR(__xludf.DUMMYFUNCTION("""COMPUTED_VALUE"""),1)</f>
        <v>1</v>
      </c>
      <c r="I2070" s="8">
        <f ca="1">IFERROR(__xludf.DUMMYFUNCTION("""COMPUTED_VALUE"""),1)</f>
        <v>1</v>
      </c>
      <c r="J2070" s="8">
        <f ca="1">IFERROR(__xludf.DUMMYFUNCTION("""COMPUTED_VALUE"""),0)</f>
        <v>0</v>
      </c>
      <c r="K2070" s="8" t="str">
        <f ca="1">IFERROR(__xludf.DUMMYFUNCTION("""COMPUTED_VALUE"""),"http://www.schoolbusfleet.com/news/682090/shooting-on-board-philly-school-bus-possibly-result-of-bullying?page=7  https://6abc.com/archive/7104138/")</f>
        <v>http://www.schoolbusfleet.com/news/682090/shooting-on-board-philly-school-bus-possibly-result-of-bullying?page=7  https://6abc.com/archive/7104138/</v>
      </c>
      <c r="L2070" s="8"/>
      <c r="M2070" s="8"/>
      <c r="N2070" s="8">
        <f ca="1">IFERROR(__xludf.DUMMYFUNCTION("""COMPUTED_VALUE"""),3)</f>
        <v>3</v>
      </c>
      <c r="O2070" s="8" t="str">
        <f ca="1">IFERROR(__xludf.DUMMYFUNCTION("""COMPUTED_VALUE"""),"Fall")</f>
        <v>Fall</v>
      </c>
      <c r="P2070" s="8" t="str">
        <f ca="1">IFERROR(__xludf.DUMMYFUNCTION("""COMPUTED_VALUE"""),"West Philadelphia")</f>
        <v>West Philadelphia</v>
      </c>
      <c r="Q2070" s="8" t="str">
        <f ca="1">IFERROR(__xludf.DUMMYFUNCTION("""COMPUTED_VALUE"""),"PA")</f>
        <v>PA</v>
      </c>
      <c r="R2070" s="8" t="str">
        <f ca="1">IFERROR(__xludf.DUMMYFUNCTION("""COMPUTED_VALUE"""),"High")</f>
        <v>High</v>
      </c>
      <c r="S2070" s="8" t="str">
        <f ca="1">IFERROR(__xludf.DUMMYFUNCTION("""COMPUTED_VALUE"""),"School Bus")</f>
        <v>School Bus</v>
      </c>
      <c r="T2070" s="8" t="str">
        <f ca="1">IFERROR(__xludf.DUMMYFUNCTION("""COMPUTED_VALUE"""),"School Bus")</f>
        <v>School Bus</v>
      </c>
      <c r="U2070" s="8" t="str">
        <f ca="1">IFERROR(__xludf.DUMMYFUNCTION("""COMPUTED_VALUE"""),"Yes")</f>
        <v>Yes</v>
      </c>
      <c r="V2070" s="8" t="str">
        <f ca="1">IFERROR(__xludf.DUMMYFUNCTION("""COMPUTED_VALUE"""),"Before School")</f>
        <v>Before School</v>
      </c>
      <c r="W2070" s="11">
        <f ca="1">IFERROR(__xludf.DUMMYFUNCTION("""COMPUTED_VALUE"""),0.333333333333333)</f>
        <v>0.33333333333333298</v>
      </c>
      <c r="X2070" s="8">
        <f ca="1">IFERROR(__xludf.DUMMYFUNCTION("""COMPUTED_VALUE"""),1)</f>
        <v>1</v>
      </c>
      <c r="Y2070" s="12" t="str">
        <f ca="1">IFERROR(__xludf.DUMMYFUNCTION("""COMPUTED_VALUE"""),"Targeted shooting on school bus")</f>
        <v>Targeted shooting on school bus</v>
      </c>
      <c r="Z2070" s="12" t="str">
        <f ca="1">IFERROR(__xludf.DUMMYFUNCTION("""COMPUTED_VALUE"""),"While bus was parked in front of Hamilton High School, 15 year old shooter shot 17 year old suspect in head - shooter then put gun to head of school bus driver and ordered him to open door, which he did - shooter fled but was later arrested. Motive was po"&amp;"ssibly due to shooter being repeatedly bullied by victim.")</f>
        <v>While bus was parked in front of Hamilton High School, 15 year old shooter shot 17 year old suspect in head - shooter then put gun to head of school bus driver and ordered him to open door, which he did - shooter fled but was later arrested. Motive was possibly due to shooter being repeatedly bullied by victim.</v>
      </c>
      <c r="AA2070" s="8" t="str">
        <f ca="1">IFERROR(__xludf.DUMMYFUNCTION("""COMPUTED_VALUE"""),"Bullying")</f>
        <v>Bullying</v>
      </c>
      <c r="AB2070" s="8"/>
      <c r="AC2070" s="8" t="str">
        <f ca="1">IFERROR(__xludf.DUMMYFUNCTION("""COMPUTED_VALUE"""),"Yes")</f>
        <v>Yes</v>
      </c>
      <c r="AD2070" s="8" t="str">
        <f ca="1">IFERROR(__xludf.DUMMYFUNCTION("""COMPUTED_VALUE"""),"Victims Targeted")</f>
        <v>Victims Targeted</v>
      </c>
      <c r="AE2070" s="8"/>
      <c r="AF2070" s="8"/>
      <c r="AG2070" s="8" t="str">
        <f ca="1">IFERROR(__xludf.DUMMYFUNCTION("""COMPUTED_VALUE"""),"No")</f>
        <v>No</v>
      </c>
      <c r="AH2070" s="8" t="str">
        <f ca="1">IFERROR(__xludf.DUMMYFUNCTION("""COMPUTED_VALUE"""),"No")</f>
        <v>No</v>
      </c>
      <c r="AI2070" s="8" t="str">
        <f ca="1">IFERROR(__xludf.DUMMYFUNCTION("""COMPUTED_VALUE"""),"No")</f>
        <v>No</v>
      </c>
      <c r="AJ2070" s="8" t="str">
        <f ca="1">IFERROR(__xludf.DUMMYFUNCTION("""COMPUTED_VALUE"""),"Yes")</f>
        <v>Yes</v>
      </c>
      <c r="AK2070" s="8" t="str">
        <f ca="1">IFERROR(__xludf.DUMMYFUNCTION("""COMPUTED_VALUE"""),"No")</f>
        <v>No</v>
      </c>
      <c r="AL2070" s="8" t="str">
        <f ca="1">IFERROR(__xludf.DUMMYFUNCTION("""COMPUTED_VALUE"""),"No")</f>
        <v>No</v>
      </c>
      <c r="AM2070" s="8"/>
      <c r="AN2070" s="8"/>
      <c r="AO2070" s="8" t="str">
        <f ca="1">IFERROR(__xludf.DUMMYFUNCTION("""COMPUTED_VALUE"""),"No")</f>
        <v>No</v>
      </c>
      <c r="AP2070" s="8"/>
      <c r="AQ2070" s="8" t="str">
        <f ca="1">IFERROR(__xludf.DUMMYFUNCTION("""COMPUTED_VALUE"""),"Unknown")</f>
        <v>Unknown</v>
      </c>
      <c r="AR2070" s="8" t="str">
        <f ca="1">IFERROR(__xludf.DUMMYFUNCTION("""COMPUTED_VALUE"""),"NA")</f>
        <v>NA</v>
      </c>
      <c r="AS2070" s="8">
        <f ca="1">IFERROR(__xludf.DUMMYFUNCTION("""COMPUTED_VALUE"""),1)</f>
        <v>1</v>
      </c>
      <c r="AT2070" s="8"/>
      <c r="AU2070" s="8">
        <f ca="1">IFERROR(__xludf.DUMMYFUNCTION("""COMPUTED_VALUE"""),39.9757092)</f>
        <v>39.975709199999997</v>
      </c>
      <c r="AV2070" s="8">
        <f ca="1">IFERROR(__xludf.DUMMYFUNCTION("""COMPUTED_VALUE"""),-75.2128996)</f>
        <v>-75.2128996</v>
      </c>
      <c r="AW2070" s="8"/>
      <c r="AX2070" s="8">
        <f ca="1">IFERROR(__xludf.DUMMYFUNCTION("""COMPUTED_VALUE"""),19131)</f>
        <v>19131</v>
      </c>
    </row>
    <row r="2071" spans="1:50" ht="60" x14ac:dyDescent="0.2">
      <c r="A2071" s="8" t="str">
        <f ca="1">IFERROR(__xludf.DUMMYFUNCTION("""COMPUTED_VALUE"""),"20091030CAWIL")</f>
        <v>20091030CAWIL</v>
      </c>
      <c r="B2071" s="8">
        <f ca="1">IFERROR(__xludf.DUMMYFUNCTION("""COMPUTED_VALUE"""),10)</f>
        <v>10</v>
      </c>
      <c r="C2071" s="8">
        <f ca="1">IFERROR(__xludf.DUMMYFUNCTION("""COMPUTED_VALUE"""),30)</f>
        <v>30</v>
      </c>
      <c r="D2071" s="8">
        <f ca="1">IFERROR(__xludf.DUMMYFUNCTION("""COMPUTED_VALUE"""),2009)</f>
        <v>2009</v>
      </c>
      <c r="E2071" s="9">
        <f ca="1">IFERROR(__xludf.DUMMYFUNCTION("""COMPUTED_VALUE"""),40116)</f>
        <v>40116</v>
      </c>
      <c r="F2071" s="8" t="str">
        <f ca="1">IFERROR(__xludf.DUMMYFUNCTION("""COMPUTED_VALUE"""),"Wilson High School")</f>
        <v>Wilson High School</v>
      </c>
      <c r="G2071" s="8">
        <f ca="1">IFERROR(__xludf.DUMMYFUNCTION("""COMPUTED_VALUE"""),1)</f>
        <v>1</v>
      </c>
      <c r="H2071" s="8">
        <f ca="1">IFERROR(__xludf.DUMMYFUNCTION("""COMPUTED_VALUE"""),2)</f>
        <v>2</v>
      </c>
      <c r="I2071" s="8">
        <f ca="1">IFERROR(__xludf.DUMMYFUNCTION("""COMPUTED_VALUE"""),3)</f>
        <v>3</v>
      </c>
      <c r="J2071" s="8">
        <f ca="1">IFERROR(__xludf.DUMMYFUNCTION("""COMPUTED_VALUE"""),0)</f>
        <v>0</v>
      </c>
      <c r="K2071" s="8" t="str">
        <f ca="1">IFERROR(__xludf.DUMMYFUNCTION("""COMPUTED_VALUE"""),"http://www.latimes.com/local/la-me-wilson-shooting1-2009nov01-story.html#  http://www.dailymail.co.uk/news/article-2076458/Gangster-Tom-Love-Vinson-shot-dead-high-school-student-jailed-155-years.html  https://www.latimes.com/local/la-me-wilson-shooting1-2"&amp;"009nov01-story.html https://abc7.com/archive/8351205/")</f>
        <v>http://www.latimes.com/local/la-me-wilson-shooting1-2009nov01-story.html#  http://www.dailymail.co.uk/news/article-2076458/Gangster-Tom-Love-Vinson-shot-dead-high-school-student-jailed-155-years.html  https://www.latimes.com/local/la-me-wilson-shooting1-2009nov01-story.html https://abc7.com/archive/8351205/</v>
      </c>
      <c r="L2071" s="8"/>
      <c r="M2071" s="8"/>
      <c r="N2071" s="8">
        <f ca="1">IFERROR(__xludf.DUMMYFUNCTION("""COMPUTED_VALUE"""),3)</f>
        <v>3</v>
      </c>
      <c r="O2071" s="8" t="str">
        <f ca="1">IFERROR(__xludf.DUMMYFUNCTION("""COMPUTED_VALUE"""),"Fall")</f>
        <v>Fall</v>
      </c>
      <c r="P2071" s="8" t="str">
        <f ca="1">IFERROR(__xludf.DUMMYFUNCTION("""COMPUTED_VALUE"""),"Long Beach")</f>
        <v>Long Beach</v>
      </c>
      <c r="Q2071" s="8" t="str">
        <f ca="1">IFERROR(__xludf.DUMMYFUNCTION("""COMPUTED_VALUE"""),"CA")</f>
        <v>CA</v>
      </c>
      <c r="R2071" s="8" t="str">
        <f ca="1">IFERROR(__xludf.DUMMYFUNCTION("""COMPUTED_VALUE"""),"High")</f>
        <v>High</v>
      </c>
      <c r="S2071" s="8" t="str">
        <f ca="1">IFERROR(__xludf.DUMMYFUNCTION("""COMPUTED_VALUE"""),"Football Field/Track")</f>
        <v>Football Field/Track</v>
      </c>
      <c r="T2071" s="8" t="str">
        <f ca="1">IFERROR(__xludf.DUMMYFUNCTION("""COMPUTED_VALUE"""),"Outside on School Property")</f>
        <v>Outside on School Property</v>
      </c>
      <c r="U2071" s="8" t="str">
        <f ca="1">IFERROR(__xludf.DUMMYFUNCTION("""COMPUTED_VALUE"""),"No")</f>
        <v>No</v>
      </c>
      <c r="V2071" s="8" t="str">
        <f ca="1">IFERROR(__xludf.DUMMYFUNCTION("""COMPUTED_VALUE"""),"Sport Event")</f>
        <v>Sport Event</v>
      </c>
      <c r="W2071" s="8"/>
      <c r="X2071" s="8">
        <f ca="1">IFERROR(__xludf.DUMMYFUNCTION("""COMPUTED_VALUE"""),1)</f>
        <v>1</v>
      </c>
      <c r="Y2071" s="12" t="str">
        <f ca="1">IFERROR(__xludf.DUMMYFUNCTION("""COMPUTED_VALUE"""),"Gang related shooting - bystander killed")</f>
        <v>Gang related shooting - bystander killed</v>
      </c>
      <c r="Z2071" s="12" t="str">
        <f ca="1">IFERROR(__xludf.DUMMYFUNCTION("""COMPUTED_VALUE"""),"A rival gang member waited outside the gates of a high school homecoming football game - when he saw rival gang members leaving he opened fire, injuring 2 and killing a female bystander")</f>
        <v>A rival gang member waited outside the gates of a high school homecoming football game - when he saw rival gang members leaving he opened fire, injuring 2 and killing a female bystander</v>
      </c>
      <c r="AA2071" s="8" t="str">
        <f ca="1">IFERROR(__xludf.DUMMYFUNCTION("""COMPUTED_VALUE"""),"Escalation of Dispute")</f>
        <v>Escalation of Dispute</v>
      </c>
      <c r="AB2071" s="8"/>
      <c r="AC2071" s="8" t="str">
        <f ca="1">IFERROR(__xludf.DUMMYFUNCTION("""COMPUTED_VALUE"""),"Yes")</f>
        <v>Yes</v>
      </c>
      <c r="AD2071" s="8" t="str">
        <f ca="1">IFERROR(__xludf.DUMMYFUNCTION("""COMPUTED_VALUE"""),"Both")</f>
        <v>Both</v>
      </c>
      <c r="AE2071" s="8" t="str">
        <f ca="1">IFERROR(__xludf.DUMMYFUNCTION("""COMPUTED_VALUE"""),"No")</f>
        <v>No</v>
      </c>
      <c r="AF2071" s="8"/>
      <c r="AG2071" s="8" t="str">
        <f ca="1">IFERROR(__xludf.DUMMYFUNCTION("""COMPUTED_VALUE"""),"No")</f>
        <v>No</v>
      </c>
      <c r="AH2071" s="8" t="str">
        <f ca="1">IFERROR(__xludf.DUMMYFUNCTION("""COMPUTED_VALUE"""),"No")</f>
        <v>No</v>
      </c>
      <c r="AI2071" s="8" t="str">
        <f ca="1">IFERROR(__xludf.DUMMYFUNCTION("""COMPUTED_VALUE"""),"No")</f>
        <v>No</v>
      </c>
      <c r="AJ2071" s="8" t="str">
        <f ca="1">IFERROR(__xludf.DUMMYFUNCTION("""COMPUTED_VALUE"""),"No")</f>
        <v>No</v>
      </c>
      <c r="AK2071" s="8" t="str">
        <f ca="1">IFERROR(__xludf.DUMMYFUNCTION("""COMPUTED_VALUE"""),"No")</f>
        <v>No</v>
      </c>
      <c r="AL2071" s="8" t="str">
        <f ca="1">IFERROR(__xludf.DUMMYFUNCTION("""COMPUTED_VALUE"""),"Yes")</f>
        <v>Yes</v>
      </c>
      <c r="AM2071" s="8"/>
      <c r="AN2071" s="8"/>
      <c r="AO2071" s="8" t="str">
        <f ca="1">IFERROR(__xludf.DUMMYFUNCTION("""COMPUTED_VALUE"""),"No")</f>
        <v>No</v>
      </c>
      <c r="AP2071" s="8"/>
      <c r="AQ2071" s="8" t="str">
        <f ca="1">IFERROR(__xludf.DUMMYFUNCTION("""COMPUTED_VALUE"""),"Unknown")</f>
        <v>Unknown</v>
      </c>
      <c r="AR2071" s="8" t="str">
        <f ca="1">IFERROR(__xludf.DUMMYFUNCTION("""COMPUTED_VALUE"""),"NA")</f>
        <v>NA</v>
      </c>
      <c r="AS2071" s="8"/>
      <c r="AT2071" s="8"/>
      <c r="AU2071" s="8">
        <f ca="1">IFERROR(__xludf.DUMMYFUNCTION("""COMPUTED_VALUE"""),33.77688)</f>
        <v>33.776879999999998</v>
      </c>
      <c r="AV2071" s="8">
        <f ca="1">IFERROR(__xludf.DUMMYFUNCTION("""COMPUTED_VALUE"""),-118.140921)</f>
        <v>-118.14092100000001</v>
      </c>
      <c r="AW2071" s="8"/>
      <c r="AX2071" s="8">
        <f ca="1">IFERROR(__xludf.DUMMYFUNCTION("""COMPUTED_VALUE"""),90804)</f>
        <v>90804</v>
      </c>
    </row>
    <row r="2072" spans="1:50" ht="60" x14ac:dyDescent="0.2">
      <c r="A2072" s="8" t="str">
        <f ca="1">IFERROR(__xludf.DUMMYFUNCTION("""COMPUTED_VALUE"""),"20091016SCCAC")</f>
        <v>20091016SCCAC</v>
      </c>
      <c r="B2072" s="8">
        <f ca="1">IFERROR(__xludf.DUMMYFUNCTION("""COMPUTED_VALUE"""),10)</f>
        <v>10</v>
      </c>
      <c r="C2072" s="8">
        <f ca="1">IFERROR(__xludf.DUMMYFUNCTION("""COMPUTED_VALUE"""),16)</f>
        <v>16</v>
      </c>
      <c r="D2072" s="8">
        <f ca="1">IFERROR(__xludf.DUMMYFUNCTION("""COMPUTED_VALUE"""),2009)</f>
        <v>2009</v>
      </c>
      <c r="E2072" s="9">
        <f ca="1">IFERROR(__xludf.DUMMYFUNCTION("""COMPUTED_VALUE"""),40102)</f>
        <v>40102</v>
      </c>
      <c r="F2072" s="8" t="str">
        <f ca="1">IFERROR(__xludf.DUMMYFUNCTION("""COMPUTED_VALUE"""),"Carolina Forest High School")</f>
        <v>Carolina Forest High School</v>
      </c>
      <c r="G2072" s="8">
        <f ca="1">IFERROR(__xludf.DUMMYFUNCTION("""COMPUTED_VALUE"""),1)</f>
        <v>1</v>
      </c>
      <c r="H2072" s="8">
        <f ca="1">IFERROR(__xludf.DUMMYFUNCTION("""COMPUTED_VALUE"""),0)</f>
        <v>0</v>
      </c>
      <c r="I2072" s="8">
        <f ca="1">IFERROR(__xludf.DUMMYFUNCTION("""COMPUTED_VALUE"""),1)</f>
        <v>1</v>
      </c>
      <c r="J2072" s="8">
        <f ca="1">IFERROR(__xludf.DUMMYFUNCTION("""COMPUTED_VALUE"""),0)</f>
        <v>0</v>
      </c>
      <c r="K2072" s="10" t="str">
        <f ca="1">IFERROR(__xludf.DUMMYFUNCTION("""COMPUTED_VALUE"""),"http://www.wistv.com/story/23589594/school-shootings-in-south-carolina")</f>
        <v>http://www.wistv.com/story/23589594/school-shootings-in-south-carolina</v>
      </c>
      <c r="L2072" s="8"/>
      <c r="M2072" s="8"/>
      <c r="N2072" s="8">
        <f ca="1">IFERROR(__xludf.DUMMYFUNCTION("""COMPUTED_VALUE"""),2)</f>
        <v>2</v>
      </c>
      <c r="O2072" s="8" t="str">
        <f ca="1">IFERROR(__xludf.DUMMYFUNCTION("""COMPUTED_VALUE"""),"Fall")</f>
        <v>Fall</v>
      </c>
      <c r="P2072" s="8" t="str">
        <f ca="1">IFERROR(__xludf.DUMMYFUNCTION("""COMPUTED_VALUE"""),"Conway")</f>
        <v>Conway</v>
      </c>
      <c r="Q2072" s="8" t="str">
        <f ca="1">IFERROR(__xludf.DUMMYFUNCTION("""COMPUTED_VALUE"""),"SC")</f>
        <v>SC</v>
      </c>
      <c r="R2072" s="8" t="str">
        <f ca="1">IFERROR(__xludf.DUMMYFUNCTION("""COMPUTED_VALUE"""),"High")</f>
        <v>High</v>
      </c>
      <c r="S2072" s="8" t="str">
        <f ca="1">IFERROR(__xludf.DUMMYFUNCTION("""COMPUTED_VALUE"""),"Inside School Building")</f>
        <v>Inside School Building</v>
      </c>
      <c r="T2072" s="8" t="str">
        <f ca="1">IFERROR(__xludf.DUMMYFUNCTION("""COMPUTED_VALUE"""),"Inside School Building")</f>
        <v>Inside School Building</v>
      </c>
      <c r="U2072" s="8" t="str">
        <f ca="1">IFERROR(__xludf.DUMMYFUNCTION("""COMPUTED_VALUE"""),"Yes")</f>
        <v>Yes</v>
      </c>
      <c r="V2072" s="8" t="str">
        <f ca="1">IFERROR(__xludf.DUMMYFUNCTION("""COMPUTED_VALUE"""),"Morning Classes")</f>
        <v>Morning Classes</v>
      </c>
      <c r="W2072" s="11">
        <f ca="1">IFERROR(__xludf.DUMMYFUNCTION("""COMPUTED_VALUE"""),0.350694444444444)</f>
        <v>0.35069444444444398</v>
      </c>
      <c r="X2072" s="8">
        <f ca="1">IFERROR(__xludf.DUMMYFUNCTION("""COMPUTED_VALUE"""),1)</f>
        <v>1</v>
      </c>
      <c r="Y2072" s="12" t="str">
        <f ca="1">IFERROR(__xludf.DUMMYFUNCTION("""COMPUTED_VALUE"""),"SRO shot autistic student in self defense, student had knife")</f>
        <v>SRO shot autistic student in self defense, student had knife</v>
      </c>
      <c r="Z2072" s="12" t="str">
        <f ca="1">IFERROR(__xludf.DUMMYFUNCTION("""COMPUTED_VALUE"""),"Autistic student with knife assaulted the SRO. SRO shot and killed the student in self defense.")</f>
        <v>Autistic student with knife assaulted the SRO. SRO shot and killed the student in self defense.</v>
      </c>
      <c r="AA2072" s="8" t="str">
        <f ca="1">IFERROR(__xludf.DUMMYFUNCTION("""COMPUTED_VALUE"""),"Officer-Involved Shooting")</f>
        <v>Officer-Involved Shooting</v>
      </c>
      <c r="AB2072" s="8"/>
      <c r="AC2072" s="8" t="str">
        <f ca="1">IFERROR(__xludf.DUMMYFUNCTION("""COMPUTED_VALUE"""),"Yes")</f>
        <v>Yes</v>
      </c>
      <c r="AD2072" s="8" t="str">
        <f ca="1">IFERROR(__xludf.DUMMYFUNCTION("""COMPUTED_VALUE"""),"Victims Targeted")</f>
        <v>Victims Targeted</v>
      </c>
      <c r="AE2072" s="8" t="str">
        <f ca="1">IFERROR(__xludf.DUMMYFUNCTION("""COMPUTED_VALUE"""),"No")</f>
        <v>No</v>
      </c>
      <c r="AF2072" s="8"/>
      <c r="AG2072" s="8" t="str">
        <f ca="1">IFERROR(__xludf.DUMMYFUNCTION("""COMPUTED_VALUE"""),"No")</f>
        <v>No</v>
      </c>
      <c r="AH2072" s="8" t="str">
        <f ca="1">IFERROR(__xludf.DUMMYFUNCTION("""COMPUTED_VALUE"""),"No")</f>
        <v>No</v>
      </c>
      <c r="AI2072" s="8" t="str">
        <f ca="1">IFERROR(__xludf.DUMMYFUNCTION("""COMPUTED_VALUE"""),"Yes")</f>
        <v>Yes</v>
      </c>
      <c r="AJ2072" s="8" t="str">
        <f ca="1">IFERROR(__xludf.DUMMYFUNCTION("""COMPUTED_VALUE"""),"N/A")</f>
        <v>N/A</v>
      </c>
      <c r="AK2072" s="8" t="str">
        <f ca="1">IFERROR(__xludf.DUMMYFUNCTION("""COMPUTED_VALUE"""),"N/A")</f>
        <v>N/A</v>
      </c>
      <c r="AL2072" s="8" t="str">
        <f ca="1">IFERROR(__xludf.DUMMYFUNCTION("""COMPUTED_VALUE"""),"N/A")</f>
        <v>N/A</v>
      </c>
      <c r="AM2072" s="8" t="str">
        <f ca="1">IFERROR(__xludf.DUMMYFUNCTION("""COMPUTED_VALUE"""),"N/A")</f>
        <v>N/A</v>
      </c>
      <c r="AN2072" s="8"/>
      <c r="AO2072" s="8" t="str">
        <f ca="1">IFERROR(__xludf.DUMMYFUNCTION("""COMPUTED_VALUE"""),"N/A")</f>
        <v>N/A</v>
      </c>
      <c r="AP2072" s="8" t="str">
        <f ca="1">IFERROR(__xludf.DUMMYFUNCTION("""COMPUTED_VALUE"""),"Yes")</f>
        <v>Yes</v>
      </c>
      <c r="AQ2072" s="8" t="str">
        <f ca="1">IFERROR(__xludf.DUMMYFUNCTION("""COMPUTED_VALUE"""),"Unknown")</f>
        <v>Unknown</v>
      </c>
      <c r="AR2072" s="8" t="str">
        <f ca="1">IFERROR(__xludf.DUMMYFUNCTION("""COMPUTED_VALUE"""),"NA")</f>
        <v>NA</v>
      </c>
      <c r="AS2072" s="8" t="str">
        <f ca="1">IFERROR(__xludf.DUMMYFUNCTION("""COMPUTED_VALUE"""),"&lt;5")</f>
        <v>&lt;5</v>
      </c>
      <c r="AT2072" s="8"/>
      <c r="AU2072" s="8">
        <f ca="1">IFERROR(__xludf.DUMMYFUNCTION("""COMPUTED_VALUE"""),33.779634)</f>
        <v>33.779634000000001</v>
      </c>
      <c r="AV2072" s="8">
        <f ca="1">IFERROR(__xludf.DUMMYFUNCTION("""COMPUTED_VALUE"""),-78.970597)</f>
        <v>-78.970596999999998</v>
      </c>
      <c r="AW2072" s="8"/>
      <c r="AX2072" s="8">
        <f ca="1">IFERROR(__xludf.DUMMYFUNCTION("""COMPUTED_VALUE"""),29579)</f>
        <v>29579</v>
      </c>
    </row>
    <row r="2073" spans="1:50" ht="75" x14ac:dyDescent="0.2">
      <c r="A2073" s="8" t="str">
        <f ca="1">IFERROR(__xludf.DUMMYFUNCTION("""COMPUTED_VALUE"""),"20091008NYMAM")</f>
        <v>20091008NYMAM</v>
      </c>
      <c r="B2073" s="8">
        <f ca="1">IFERROR(__xludf.DUMMYFUNCTION("""COMPUTED_VALUE"""),10)</f>
        <v>10</v>
      </c>
      <c r="C2073" s="8">
        <f ca="1">IFERROR(__xludf.DUMMYFUNCTION("""COMPUTED_VALUE"""),8)</f>
        <v>8</v>
      </c>
      <c r="D2073" s="8">
        <f ca="1">IFERROR(__xludf.DUMMYFUNCTION("""COMPUTED_VALUE"""),2009)</f>
        <v>2009</v>
      </c>
      <c r="E2073" s="9">
        <f ca="1">IFERROR(__xludf.DUMMYFUNCTION("""COMPUTED_VALUE"""),40094)</f>
        <v>40094</v>
      </c>
      <c r="F2073" s="8" t="str">
        <f ca="1">IFERROR(__xludf.DUMMYFUNCTION("""COMPUTED_VALUE"""),"Mattituck Junior-Senior High School")</f>
        <v>Mattituck Junior-Senior High School</v>
      </c>
      <c r="G2073" s="8">
        <f ca="1">IFERROR(__xludf.DUMMYFUNCTION("""COMPUTED_VALUE"""),0)</f>
        <v>0</v>
      </c>
      <c r="H2073" s="8">
        <f ca="1">IFERROR(__xludf.DUMMYFUNCTION("""COMPUTED_VALUE"""),1)</f>
        <v>1</v>
      </c>
      <c r="I2073" s="8">
        <f ca="1">IFERROR(__xludf.DUMMYFUNCTION("""COMPUTED_VALUE"""),1)</f>
        <v>1</v>
      </c>
      <c r="J2073" s="8">
        <f ca="1">IFERROR(__xludf.DUMMYFUNCTION("""COMPUTED_VALUE"""),0)</f>
        <v>0</v>
      </c>
      <c r="K2073" s="8" t="str">
        <f ca="1">IFERROR(__xludf.DUMMYFUNCTION("""COMPUTED_VALUE"""),"https://www.newsday.com/long-island/suffolk/mattituck-h-s-student-shot-while-sitting-in-class-1.1511027 .  https://www.newsday.com/long-island/suffolk/man-held-in-mattituck-h-s-shooting-but-not-charged-1.1513403")</f>
        <v>https://www.newsday.com/long-island/suffolk/mattituck-h-s-student-shot-while-sitting-in-class-1.1511027 .  https://www.newsday.com/long-island/suffolk/man-held-in-mattituck-h-s-shooting-but-not-charged-1.1513403</v>
      </c>
      <c r="L2073" s="8"/>
      <c r="M2073" s="8"/>
      <c r="N2073" s="8">
        <f ca="1">IFERROR(__xludf.DUMMYFUNCTION("""COMPUTED_VALUE"""),3)</f>
        <v>3</v>
      </c>
      <c r="O2073" s="8" t="str">
        <f ca="1">IFERROR(__xludf.DUMMYFUNCTION("""COMPUTED_VALUE"""),"Fall")</f>
        <v>Fall</v>
      </c>
      <c r="P2073" s="8" t="str">
        <f ca="1">IFERROR(__xludf.DUMMYFUNCTION("""COMPUTED_VALUE"""),"Mattituck")</f>
        <v>Mattituck</v>
      </c>
      <c r="Q2073" s="8" t="str">
        <f ca="1">IFERROR(__xludf.DUMMYFUNCTION("""COMPUTED_VALUE"""),"NY")</f>
        <v>NY</v>
      </c>
      <c r="R2073" s="13">
        <f ca="1">IFERROR(__xludf.DUMMYFUNCTION("""COMPUTED_VALUE"""),44724)</f>
        <v>44724</v>
      </c>
      <c r="S2073" s="8" t="str">
        <f ca="1">IFERROR(__xludf.DUMMYFUNCTION("""COMPUTED_VALUE"""),"Classroom")</f>
        <v>Classroom</v>
      </c>
      <c r="T2073" s="8" t="str">
        <f ca="1">IFERROR(__xludf.DUMMYFUNCTION("""COMPUTED_VALUE"""),"Inside School Building")</f>
        <v>Inside School Building</v>
      </c>
      <c r="U2073" s="8" t="str">
        <f ca="1">IFERROR(__xludf.DUMMYFUNCTION("""COMPUTED_VALUE"""),"Yes")</f>
        <v>Yes</v>
      </c>
      <c r="V2073" s="8" t="str">
        <f ca="1">IFERROR(__xludf.DUMMYFUNCTION("""COMPUTED_VALUE"""),"Afternoon Classes")</f>
        <v>Afternoon Classes</v>
      </c>
      <c r="W2073" s="11">
        <f ca="1">IFERROR(__xludf.DUMMYFUNCTION("""COMPUTED_VALUE"""),0.578472222222222)</f>
        <v>0.57847222222222205</v>
      </c>
      <c r="X2073" s="8">
        <f ca="1">IFERROR(__xludf.DUMMYFUNCTION("""COMPUTED_VALUE"""),1)</f>
        <v>1</v>
      </c>
      <c r="Y2073" s="12" t="str">
        <f ca="1">IFERROR(__xludf.DUMMYFUNCTION("""COMPUTED_VALUE"""),"Cleaning weapon off school property, round hit student")</f>
        <v>Cleaning weapon off school property, round hit student</v>
      </c>
      <c r="Z2073" s="12" t="str">
        <f ca="1">IFERROR(__xludf.DUMMYFUNCTION("""COMPUTED_VALUE"""),"28 year old male was cleaning .22. caliber rifle on front porch when it accidentally fired. The bullet went through the window of a nearby school and a piece of glass struck an 18 year old female in the head. Suspect was arrested - unknown if charges were"&amp;" filed.")</f>
        <v>28 year old male was cleaning .22. caliber rifle on front porch when it accidentally fired. The bullet went through the window of a nearby school and a piece of glass struck an 18 year old female in the head. Suspect was arrested - unknown if charges were filed.</v>
      </c>
      <c r="AA2073" s="8" t="str">
        <f ca="1">IFERROR(__xludf.DUMMYFUNCTION("""COMPUTED_VALUE"""),"Accidental")</f>
        <v>Accidental</v>
      </c>
      <c r="AB2073" s="8"/>
      <c r="AC2073" s="8" t="str">
        <f ca="1">IFERROR(__xludf.DUMMYFUNCTION("""COMPUTED_VALUE"""),"Yes")</f>
        <v>Yes</v>
      </c>
      <c r="AD2073" s="8" t="str">
        <f ca="1">IFERROR(__xludf.DUMMYFUNCTION("""COMPUTED_VALUE"""),"Random Shooting")</f>
        <v>Random Shooting</v>
      </c>
      <c r="AE2073" s="8" t="str">
        <f ca="1">IFERROR(__xludf.DUMMYFUNCTION("""COMPUTED_VALUE"""),"No")</f>
        <v>No</v>
      </c>
      <c r="AF2073" s="8"/>
      <c r="AG2073" s="8" t="str">
        <f ca="1">IFERROR(__xludf.DUMMYFUNCTION("""COMPUTED_VALUE"""),"No")</f>
        <v>No</v>
      </c>
      <c r="AH2073" s="8" t="str">
        <f ca="1">IFERROR(__xludf.DUMMYFUNCTION("""COMPUTED_VALUE"""),"No")</f>
        <v>No</v>
      </c>
      <c r="AI2073" s="8" t="str">
        <f ca="1">IFERROR(__xludf.DUMMYFUNCTION("""COMPUTED_VALUE"""),"No")</f>
        <v>No</v>
      </c>
      <c r="AJ2073" s="8" t="str">
        <f ca="1">IFERROR(__xludf.DUMMYFUNCTION("""COMPUTED_VALUE"""),"No")</f>
        <v>No</v>
      </c>
      <c r="AK2073" s="8" t="str">
        <f ca="1">IFERROR(__xludf.DUMMYFUNCTION("""COMPUTED_VALUE"""),"No")</f>
        <v>No</v>
      </c>
      <c r="AL2073" s="8" t="str">
        <f ca="1">IFERROR(__xludf.DUMMYFUNCTION("""COMPUTED_VALUE"""),"No")</f>
        <v>No</v>
      </c>
      <c r="AM2073" s="8"/>
      <c r="AN2073" s="8"/>
      <c r="AO2073" s="8" t="str">
        <f ca="1">IFERROR(__xludf.DUMMYFUNCTION("""COMPUTED_VALUE"""),"No")</f>
        <v>No</v>
      </c>
      <c r="AP2073" s="8" t="str">
        <f ca="1">IFERROR(__xludf.DUMMYFUNCTION("""COMPUTED_VALUE"""),"No")</f>
        <v>No</v>
      </c>
      <c r="AQ2073" s="8" t="str">
        <f ca="1">IFERROR(__xludf.DUMMYFUNCTION("""COMPUTED_VALUE"""),"Unknown")</f>
        <v>Unknown</v>
      </c>
      <c r="AR2073" s="8" t="str">
        <f ca="1">IFERROR(__xludf.DUMMYFUNCTION("""COMPUTED_VALUE"""),"NA")</f>
        <v>NA</v>
      </c>
      <c r="AS2073" s="8">
        <f ca="1">IFERROR(__xludf.DUMMYFUNCTION("""COMPUTED_VALUE"""),1)</f>
        <v>1</v>
      </c>
      <c r="AT2073" s="8"/>
      <c r="AU2073" s="8">
        <f ca="1">IFERROR(__xludf.DUMMYFUNCTION("""COMPUTED_VALUE"""),40.995778)</f>
        <v>40.995778000000001</v>
      </c>
      <c r="AV2073" s="8">
        <f ca="1">IFERROR(__xludf.DUMMYFUNCTION("""COMPUTED_VALUE"""),-72.52821)</f>
        <v>-72.528210000000001</v>
      </c>
      <c r="AW2073" s="8"/>
      <c r="AX2073" s="8">
        <f ca="1">IFERROR(__xludf.DUMMYFUNCTION("""COMPUTED_VALUE"""),11952)</f>
        <v>11952</v>
      </c>
    </row>
    <row r="2074" spans="1:50" ht="75" x14ac:dyDescent="0.2">
      <c r="A2074" s="8" t="str">
        <f ca="1">IFERROR(__xludf.DUMMYFUNCTION("""COMPUTED_VALUE"""),"20090916VAVIG")</f>
        <v>20090916VAVIG</v>
      </c>
      <c r="B2074" s="8">
        <f ca="1">IFERROR(__xludf.DUMMYFUNCTION("""COMPUTED_VALUE"""),9)</f>
        <v>9</v>
      </c>
      <c r="C2074" s="8">
        <f ca="1">IFERROR(__xludf.DUMMYFUNCTION("""COMPUTED_VALUE"""),16)</f>
        <v>16</v>
      </c>
      <c r="D2074" s="8">
        <f ca="1">IFERROR(__xludf.DUMMYFUNCTION("""COMPUTED_VALUE"""),2009)</f>
        <v>2009</v>
      </c>
      <c r="E2074" s="9">
        <f ca="1">IFERROR(__xludf.DUMMYFUNCTION("""COMPUTED_VALUE"""),40072)</f>
        <v>40072</v>
      </c>
      <c r="F2074" s="8" t="str">
        <f ca="1">IFERROR(__xludf.DUMMYFUNCTION("""COMPUTED_VALUE"""),"Virginia Randolph Community High School")</f>
        <v>Virginia Randolph Community High School</v>
      </c>
      <c r="G2074" s="8">
        <f ca="1">IFERROR(__xludf.DUMMYFUNCTION("""COMPUTED_VALUE"""),0)</f>
        <v>0</v>
      </c>
      <c r="H2074" s="8">
        <f ca="1">IFERROR(__xludf.DUMMYFUNCTION("""COMPUTED_VALUE"""),0)</f>
        <v>0</v>
      </c>
      <c r="I2074" s="8">
        <f ca="1">IFERROR(__xludf.DUMMYFUNCTION("""COMPUTED_VALUE"""),0)</f>
        <v>0</v>
      </c>
      <c r="J2074" s="8">
        <f ca="1">IFERROR(__xludf.DUMMYFUNCTION("""COMPUTED_VALUE"""),0)</f>
        <v>0</v>
      </c>
      <c r="K2074" s="8" t="str">
        <f ca="1">IFERROR(__xludf.DUMMYFUNCTION("""COMPUTED_VALUE"""),"http://www.nbc12.com/story/11141961/update-shooting-at-high-school-in-henrico-one-student-in-custody/ .  http://www.nbc12.com/story/11150545/student-faces-multiple-charges-in-henrico-school-shooting/ .  https://www.richmond.com/news/student-guilty-in-virg"&amp;"inia-randolph-shooting/article_f16699de-207c-5eaa-9890-f26f8a690203.html")</f>
        <v>http://www.nbc12.com/story/11141961/update-shooting-at-high-school-in-henrico-one-student-in-custody/ .  http://www.nbc12.com/story/11150545/student-faces-multiple-charges-in-henrico-school-shooting/ .  https://www.richmond.com/news/student-guilty-in-virginia-randolph-shooting/article_f16699de-207c-5eaa-9890-f26f8a690203.html</v>
      </c>
      <c r="L2074" s="8"/>
      <c r="M2074" s="8"/>
      <c r="N2074" s="8">
        <f ca="1">IFERROR(__xludf.DUMMYFUNCTION("""COMPUTED_VALUE"""),1)</f>
        <v>1</v>
      </c>
      <c r="O2074" s="8" t="str">
        <f ca="1">IFERROR(__xludf.DUMMYFUNCTION("""COMPUTED_VALUE"""),"Fall")</f>
        <v>Fall</v>
      </c>
      <c r="P2074" s="8" t="str">
        <f ca="1">IFERROR(__xludf.DUMMYFUNCTION("""COMPUTED_VALUE"""),"Glen Allen")</f>
        <v>Glen Allen</v>
      </c>
      <c r="Q2074" s="8" t="str">
        <f ca="1">IFERROR(__xludf.DUMMYFUNCTION("""COMPUTED_VALUE"""),"VA")</f>
        <v>VA</v>
      </c>
      <c r="R2074" s="8" t="str">
        <f ca="1">IFERROR(__xludf.DUMMYFUNCTION("""COMPUTED_VALUE"""),"High")</f>
        <v>High</v>
      </c>
      <c r="S2074" s="8" t="str">
        <f ca="1">IFERROR(__xludf.DUMMYFUNCTION("""COMPUTED_VALUE"""),"Playground")</f>
        <v>Playground</v>
      </c>
      <c r="T2074" s="8" t="str">
        <f ca="1">IFERROR(__xludf.DUMMYFUNCTION("""COMPUTED_VALUE"""),"Outside on School Property")</f>
        <v>Outside on School Property</v>
      </c>
      <c r="U2074" s="8" t="str">
        <f ca="1">IFERROR(__xludf.DUMMYFUNCTION("""COMPUTED_VALUE"""),"Yes")</f>
        <v>Yes</v>
      </c>
      <c r="V2074" s="8" t="str">
        <f ca="1">IFERROR(__xludf.DUMMYFUNCTION("""COMPUTED_VALUE"""),"Afternoon Classes")</f>
        <v>Afternoon Classes</v>
      </c>
      <c r="W2074" s="11">
        <f ca="1">IFERROR(__xludf.DUMMYFUNCTION("""COMPUTED_VALUE"""),0.520833333333333)</f>
        <v>0.52083333333333304</v>
      </c>
      <c r="X2074" s="8">
        <f ca="1">IFERROR(__xludf.DUMMYFUNCTION("""COMPUTED_VALUE"""),1)</f>
        <v>1</v>
      </c>
      <c r="Y2074" s="12" t="str">
        <f ca="1">IFERROR(__xludf.DUMMYFUNCTION("""COMPUTED_VALUE"""),"Shot at specific targets following bullying, shots missed")</f>
        <v>Shot at specific targets following bullying, shots missed</v>
      </c>
      <c r="Z2074" s="12" t="str">
        <f ca="1">IFERROR(__xludf.DUMMYFUNCTION("""COMPUTED_VALUE"""),"16 year old shooter sought out two students who he claimed had been picking on him. When the two students approached him on the playground, the shooter shot at them both and missed. The shooter then fled but was later caught and arrested.")</f>
        <v>16 year old shooter sought out two students who he claimed had been picking on him. When the two students approached him on the playground, the shooter shot at them both and missed. The shooter then fled but was later caught and arrested.</v>
      </c>
      <c r="AA2074" s="8" t="str">
        <f ca="1">IFERROR(__xludf.DUMMYFUNCTION("""COMPUTED_VALUE"""),"Bullying")</f>
        <v>Bullying</v>
      </c>
      <c r="AB2074" s="8"/>
      <c r="AC2074" s="8" t="str">
        <f ca="1">IFERROR(__xludf.DUMMYFUNCTION("""COMPUTED_VALUE"""),"Yes")</f>
        <v>Yes</v>
      </c>
      <c r="AD2074" s="8" t="str">
        <f ca="1">IFERROR(__xludf.DUMMYFUNCTION("""COMPUTED_VALUE"""),"Victims Targeted")</f>
        <v>Victims Targeted</v>
      </c>
      <c r="AE2074" s="8"/>
      <c r="AF2074" s="8"/>
      <c r="AG2074" s="8" t="str">
        <f ca="1">IFERROR(__xludf.DUMMYFUNCTION("""COMPUTED_VALUE"""),"No")</f>
        <v>No</v>
      </c>
      <c r="AH2074" s="8" t="str">
        <f ca="1">IFERROR(__xludf.DUMMYFUNCTION("""COMPUTED_VALUE"""),"No")</f>
        <v>No</v>
      </c>
      <c r="AI2074" s="8" t="str">
        <f ca="1">IFERROR(__xludf.DUMMYFUNCTION("""COMPUTED_VALUE"""),"No")</f>
        <v>No</v>
      </c>
      <c r="AJ2074" s="8"/>
      <c r="AK2074" s="8"/>
      <c r="AL2074" s="8" t="str">
        <f ca="1">IFERROR(__xludf.DUMMYFUNCTION("""COMPUTED_VALUE"""),"No")</f>
        <v>No</v>
      </c>
      <c r="AM2074" s="8"/>
      <c r="AN2074" s="8"/>
      <c r="AO2074" s="8" t="str">
        <f ca="1">IFERROR(__xludf.DUMMYFUNCTION("""COMPUTED_VALUE"""),"No")</f>
        <v>No</v>
      </c>
      <c r="AP2074" s="8" t="str">
        <f ca="1">IFERROR(__xludf.DUMMYFUNCTION("""COMPUTED_VALUE"""),"No")</f>
        <v>No</v>
      </c>
      <c r="AQ2074" s="8" t="str">
        <f ca="1">IFERROR(__xludf.DUMMYFUNCTION("""COMPUTED_VALUE"""),"Unknown")</f>
        <v>Unknown</v>
      </c>
      <c r="AR2074" s="8" t="str">
        <f ca="1">IFERROR(__xludf.DUMMYFUNCTION("""COMPUTED_VALUE"""),"NA")</f>
        <v>NA</v>
      </c>
      <c r="AS2074" s="8">
        <f ca="1">IFERROR(__xludf.DUMMYFUNCTION("""COMPUTED_VALUE"""),2)</f>
        <v>2</v>
      </c>
      <c r="AT2074" s="8"/>
      <c r="AU2074" s="8">
        <f ca="1">IFERROR(__xludf.DUMMYFUNCTION("""COMPUTED_VALUE"""),37.661771)</f>
        <v>37.661771000000002</v>
      </c>
      <c r="AV2074" s="8">
        <f ca="1">IFERROR(__xludf.DUMMYFUNCTION("""COMPUTED_VALUE"""),-77.481865)</f>
        <v>-77.481864999999999</v>
      </c>
      <c r="AW2074" s="8"/>
      <c r="AX2074" s="8">
        <f ca="1">IFERROR(__xludf.DUMMYFUNCTION("""COMPUTED_VALUE"""),23060)</f>
        <v>23060</v>
      </c>
    </row>
    <row r="2075" spans="1:50" ht="60" x14ac:dyDescent="0.2">
      <c r="A2075" s="8" t="str">
        <f ca="1">IFERROR(__xludf.DUMMYFUNCTION("""COMPUTED_VALUE"""),"20090911MIOWO")</f>
        <v>20090911MIOWO</v>
      </c>
      <c r="B2075" s="8">
        <f ca="1">IFERROR(__xludf.DUMMYFUNCTION("""COMPUTED_VALUE"""),9)</f>
        <v>9</v>
      </c>
      <c r="C2075" s="8">
        <f ca="1">IFERROR(__xludf.DUMMYFUNCTION("""COMPUTED_VALUE"""),11)</f>
        <v>11</v>
      </c>
      <c r="D2075" s="8">
        <f ca="1">IFERROR(__xludf.DUMMYFUNCTION("""COMPUTED_VALUE"""),2009)</f>
        <v>2009</v>
      </c>
      <c r="E2075" s="9">
        <f ca="1">IFERROR(__xludf.DUMMYFUNCTION("""COMPUTED_VALUE"""),40067)</f>
        <v>40067</v>
      </c>
      <c r="F2075" s="8" t="str">
        <f ca="1">IFERROR(__xludf.DUMMYFUNCTION("""COMPUTED_VALUE"""),"Owosso High School")</f>
        <v>Owosso High School</v>
      </c>
      <c r="G2075" s="8">
        <f ca="1">IFERROR(__xludf.DUMMYFUNCTION("""COMPUTED_VALUE"""),1)</f>
        <v>1</v>
      </c>
      <c r="H2075" s="8">
        <f ca="1">IFERROR(__xludf.DUMMYFUNCTION("""COMPUTED_VALUE"""),0)</f>
        <v>0</v>
      </c>
      <c r="I2075" s="8">
        <f ca="1">IFERROR(__xludf.DUMMYFUNCTION("""COMPUTED_VALUE"""),1)</f>
        <v>1</v>
      </c>
      <c r="J2075" s="8">
        <f ca="1">IFERROR(__xludf.DUMMYFUNCTION("""COMPUTED_VALUE"""),0)</f>
        <v>0</v>
      </c>
      <c r="K2075" s="10" t="str">
        <f ca="1">IFERROR(__xludf.DUMMYFUNCTION("""COMPUTED_VALUE"""),"https://www.mlive.com/news/flint/2009/09/post_39.html")</f>
        <v>https://www.mlive.com/news/flint/2009/09/post_39.html</v>
      </c>
      <c r="L2075" s="8"/>
      <c r="M2075" s="8" t="str">
        <f ca="1">IFERROR(__xludf.DUMMYFUNCTION("""COMPUTED_VALUE"""),"Local")</f>
        <v>Local</v>
      </c>
      <c r="N2075" s="8">
        <f ca="1">IFERROR(__xludf.DUMMYFUNCTION("""COMPUTED_VALUE"""),4)</f>
        <v>4</v>
      </c>
      <c r="O2075" s="8" t="str">
        <f ca="1">IFERROR(__xludf.DUMMYFUNCTION("""COMPUTED_VALUE"""),"Fall")</f>
        <v>Fall</v>
      </c>
      <c r="P2075" s="8" t="str">
        <f ca="1">IFERROR(__xludf.DUMMYFUNCTION("""COMPUTED_VALUE"""),"Owosso")</f>
        <v>Owosso</v>
      </c>
      <c r="Q2075" s="8" t="str">
        <f ca="1">IFERROR(__xludf.DUMMYFUNCTION("""COMPUTED_VALUE"""),"MI")</f>
        <v>MI</v>
      </c>
      <c r="R2075" s="8" t="str">
        <f ca="1">IFERROR(__xludf.DUMMYFUNCTION("""COMPUTED_VALUE"""),"High")</f>
        <v>High</v>
      </c>
      <c r="S2075" s="8" t="str">
        <f ca="1">IFERROR(__xludf.DUMMYFUNCTION("""COMPUTED_VALUE"""),"Front of School")</f>
        <v>Front of School</v>
      </c>
      <c r="T2075" s="8" t="str">
        <f ca="1">IFERROR(__xludf.DUMMYFUNCTION("""COMPUTED_VALUE"""),"Outside on School Property")</f>
        <v>Outside on School Property</v>
      </c>
      <c r="U2075" s="8" t="str">
        <f ca="1">IFERROR(__xludf.DUMMYFUNCTION("""COMPUTED_VALUE"""),"Yes")</f>
        <v>Yes</v>
      </c>
      <c r="V2075" s="8" t="str">
        <f ca="1">IFERROR(__xludf.DUMMYFUNCTION("""COMPUTED_VALUE"""),"Afternoon Classes")</f>
        <v>Afternoon Classes</v>
      </c>
      <c r="W2075" s="8"/>
      <c r="X2075" s="8">
        <f ca="1">IFERROR(__xludf.DUMMYFUNCTION("""COMPUTED_VALUE"""),1)</f>
        <v>1</v>
      </c>
      <c r="Y2075" s="12" t="str">
        <f ca="1">IFERROR(__xludf.DUMMYFUNCTION("""COMPUTED_VALUE"""),"Man killed during driveby while protesting abortion in front of school")</f>
        <v>Man killed during driveby while protesting abortion in front of school</v>
      </c>
      <c r="Z2075" s="12" t="str">
        <f ca="1">IFERROR(__xludf.DUMMYFUNCTION("""COMPUTED_VALUE"""),"Man killed during driveby while protesting abortion in front of school")</f>
        <v>Man killed during driveby while protesting abortion in front of school</v>
      </c>
      <c r="AA2075" s="8" t="str">
        <f ca="1">IFERROR(__xludf.DUMMYFUNCTION("""COMPUTED_VALUE"""),"Drive-by Shooting")</f>
        <v>Drive-by Shooting</v>
      </c>
      <c r="AB2075" s="8" t="str">
        <f ca="1">IFERROR(__xludf.DUMMYFUNCTION("""COMPUTED_VALUE"""),"Targeted")</f>
        <v>Targeted</v>
      </c>
      <c r="AC2075" s="8" t="str">
        <f ca="1">IFERROR(__xludf.DUMMYFUNCTION("""COMPUTED_VALUE"""),"Yes")</f>
        <v>Yes</v>
      </c>
      <c r="AD2075" s="8" t="str">
        <f ca="1">IFERROR(__xludf.DUMMYFUNCTION("""COMPUTED_VALUE"""),"Victims Targeted")</f>
        <v>Victims Targeted</v>
      </c>
      <c r="AE2075" s="8"/>
      <c r="AF2075" s="8"/>
      <c r="AG2075" s="8" t="str">
        <f ca="1">IFERROR(__xludf.DUMMYFUNCTION("""COMPUTED_VALUE"""),"No")</f>
        <v>No</v>
      </c>
      <c r="AH2075" s="8" t="str">
        <f ca="1">IFERROR(__xludf.DUMMYFUNCTION("""COMPUTED_VALUE"""),"No")</f>
        <v>No</v>
      </c>
      <c r="AI2075" s="8" t="str">
        <f ca="1">IFERROR(__xludf.DUMMYFUNCTION("""COMPUTED_VALUE"""),"No")</f>
        <v>No</v>
      </c>
      <c r="AJ2075" s="8" t="str">
        <f ca="1">IFERROR(__xludf.DUMMYFUNCTION("""COMPUTED_VALUE"""),"No")</f>
        <v>No</v>
      </c>
      <c r="AK2075" s="8" t="str">
        <f ca="1">IFERROR(__xludf.DUMMYFUNCTION("""COMPUTED_VALUE"""),"No")</f>
        <v>No</v>
      </c>
      <c r="AL2075" s="8" t="str">
        <f ca="1">IFERROR(__xludf.DUMMYFUNCTION("""COMPUTED_VALUE"""),"No")</f>
        <v>No</v>
      </c>
      <c r="AM2075" s="8" t="str">
        <f ca="1">IFERROR(__xludf.DUMMYFUNCTION("""COMPUTED_VALUE"""),"No")</f>
        <v>No</v>
      </c>
      <c r="AN2075" s="8" t="str">
        <f ca="1">IFERROR(__xludf.DUMMYFUNCTION("""COMPUTED_VALUE"""),"Outside")</f>
        <v>Outside</v>
      </c>
      <c r="AO2075" s="8" t="str">
        <f ca="1">IFERROR(__xludf.DUMMYFUNCTION("""COMPUTED_VALUE"""),"No")</f>
        <v>No</v>
      </c>
      <c r="AP2075" s="8"/>
      <c r="AQ2075" s="8"/>
      <c r="AR2075" s="8"/>
      <c r="AS2075" s="8">
        <f ca="1">IFERROR(__xludf.DUMMYFUNCTION("""COMPUTED_VALUE"""),99)</f>
        <v>99</v>
      </c>
      <c r="AT2075" s="8"/>
      <c r="AU2075" s="8">
        <f ca="1">IFERROR(__xludf.DUMMYFUNCTION("""COMPUTED_VALUE"""),43.013741)</f>
        <v>43.013741000000003</v>
      </c>
      <c r="AV2075" s="8">
        <f ca="1">IFERROR(__xludf.DUMMYFUNCTION("""COMPUTED_VALUE"""),-84.160776)</f>
        <v>-84.160775999999998</v>
      </c>
      <c r="AW2075" s="8"/>
      <c r="AX2075" s="8">
        <f ca="1">IFERROR(__xludf.DUMMYFUNCTION("""COMPUTED_VALUE"""),48867)</f>
        <v>48867</v>
      </c>
    </row>
    <row r="2076" spans="1:50" ht="75" x14ac:dyDescent="0.2">
      <c r="A2076" s="8" t="str">
        <f ca="1">IFERROR(__xludf.DUMMYFUNCTION("""COMPUTED_VALUE"""),"20090908CTSTS")</f>
        <v>20090908CTSTS</v>
      </c>
      <c r="B2076" s="8">
        <f ca="1">IFERROR(__xludf.DUMMYFUNCTION("""COMPUTED_VALUE"""),9)</f>
        <v>9</v>
      </c>
      <c r="C2076" s="8">
        <f ca="1">IFERROR(__xludf.DUMMYFUNCTION("""COMPUTED_VALUE"""),8)</f>
        <v>8</v>
      </c>
      <c r="D2076" s="8">
        <f ca="1">IFERROR(__xludf.DUMMYFUNCTION("""COMPUTED_VALUE"""),2009)</f>
        <v>2009</v>
      </c>
      <c r="E2076" s="9">
        <f ca="1">IFERROR(__xludf.DUMMYFUNCTION("""COMPUTED_VALUE"""),40064)</f>
        <v>40064</v>
      </c>
      <c r="F2076" s="8" t="str">
        <f ca="1">IFERROR(__xludf.DUMMYFUNCTION("""COMPUTED_VALUE"""),"Stamford Academy")</f>
        <v>Stamford Academy</v>
      </c>
      <c r="G2076" s="8">
        <f ca="1">IFERROR(__xludf.DUMMYFUNCTION("""COMPUTED_VALUE"""),0)</f>
        <v>0</v>
      </c>
      <c r="H2076" s="8">
        <f ca="1">IFERROR(__xludf.DUMMYFUNCTION("""COMPUTED_VALUE"""),0)</f>
        <v>0</v>
      </c>
      <c r="I2076" s="8">
        <f ca="1">IFERROR(__xludf.DUMMYFUNCTION("""COMPUTED_VALUE"""),0)</f>
        <v>0</v>
      </c>
      <c r="J2076" s="8">
        <f ca="1">IFERROR(__xludf.DUMMYFUNCTION("""COMPUTED_VALUE"""),0)</f>
        <v>0</v>
      </c>
      <c r="K2076" s="8" t="str">
        <f ca="1">IFERROR(__xludf.DUMMYFUNCTION("""COMPUTED_VALUE"""),"https://www.stamfordadvocate.com/news/article/Police-arrest-student-in-Stamford-Academy-shooting-31163.php .   https://www.stamfordadvocate.com/news/article/Police-claim-Stamford-Academy-staff-knew-34243.php")</f>
        <v>https://www.stamfordadvocate.com/news/article/Police-arrest-student-in-Stamford-Academy-shooting-31163.php .   https://www.stamfordadvocate.com/news/article/Police-claim-Stamford-Academy-staff-knew-34243.php</v>
      </c>
      <c r="L2076" s="8"/>
      <c r="M2076" s="8"/>
      <c r="N2076" s="8">
        <f ca="1">IFERROR(__xludf.DUMMYFUNCTION("""COMPUTED_VALUE"""),3)</f>
        <v>3</v>
      </c>
      <c r="O2076" s="8" t="str">
        <f ca="1">IFERROR(__xludf.DUMMYFUNCTION("""COMPUTED_VALUE"""),"Fall")</f>
        <v>Fall</v>
      </c>
      <c r="P2076" s="8" t="str">
        <f ca="1">IFERROR(__xludf.DUMMYFUNCTION("""COMPUTED_VALUE"""),"Stamford")</f>
        <v>Stamford</v>
      </c>
      <c r="Q2076" s="8" t="str">
        <f ca="1">IFERROR(__xludf.DUMMYFUNCTION("""COMPUTED_VALUE"""),"CT")</f>
        <v>CT</v>
      </c>
      <c r="R2076" s="8" t="str">
        <f ca="1">IFERROR(__xludf.DUMMYFUNCTION("""COMPUTED_VALUE"""),"High")</f>
        <v>High</v>
      </c>
      <c r="S2076" s="8" t="str">
        <f ca="1">IFERROR(__xludf.DUMMYFUNCTION("""COMPUTED_VALUE"""),"Parking Lot")</f>
        <v>Parking Lot</v>
      </c>
      <c r="T2076" s="8" t="str">
        <f ca="1">IFERROR(__xludf.DUMMYFUNCTION("""COMPUTED_VALUE"""),"Outside on School Property")</f>
        <v>Outside on School Property</v>
      </c>
      <c r="U2076" s="8" t="str">
        <f ca="1">IFERROR(__xludf.DUMMYFUNCTION("""COMPUTED_VALUE"""),"Yes")</f>
        <v>Yes</v>
      </c>
      <c r="V2076" s="8" t="str">
        <f ca="1">IFERROR(__xludf.DUMMYFUNCTION("""COMPUTED_VALUE"""),"School Start")</f>
        <v>School Start</v>
      </c>
      <c r="W2076" s="11">
        <f ca="1">IFERROR(__xludf.DUMMYFUNCTION("""COMPUTED_VALUE"""),0.336805555555555)</f>
        <v>0.33680555555555503</v>
      </c>
      <c r="X2076" s="8">
        <f ca="1">IFERROR(__xludf.DUMMYFUNCTION("""COMPUTED_VALUE"""),1)</f>
        <v>1</v>
      </c>
      <c r="Y2076" s="12" t="str">
        <f ca="1">IFERROR(__xludf.DUMMYFUNCTION("""COMPUTED_VALUE"""),"Shots fired at a large crowd during a fight")</f>
        <v>Shots fired at a large crowd during a fight</v>
      </c>
      <c r="Z2076" s="12" t="str">
        <f ca="1">IFERROR(__xludf.DUMMYFUNCTION("""COMPUTED_VALUE"""),"16 year old shooter fired at a crowd of students to frighten them away. No one was injured but the bullet ricocheted off the back of a school bus. The shooting was prompted by a shooting that occurred several days prior between two groups of teens.")</f>
        <v>16 year old shooter fired at a crowd of students to frighten them away. No one was injured but the bullet ricocheted off the back of a school bus. The shooting was prompted by a shooting that occurred several days prior between two groups of teens.</v>
      </c>
      <c r="AA2076" s="8" t="str">
        <f ca="1">IFERROR(__xludf.DUMMYFUNCTION("""COMPUTED_VALUE"""),"Escalation of Dispute")</f>
        <v>Escalation of Dispute</v>
      </c>
      <c r="AB2076" s="8"/>
      <c r="AC2076" s="8" t="str">
        <f ca="1">IFERROR(__xludf.DUMMYFUNCTION("""COMPUTED_VALUE"""),"Yes")</f>
        <v>Yes</v>
      </c>
      <c r="AD2076" s="8" t="str">
        <f ca="1">IFERROR(__xludf.DUMMYFUNCTION("""COMPUTED_VALUE"""),"Victims Targeted")</f>
        <v>Victims Targeted</v>
      </c>
      <c r="AE2076" s="8"/>
      <c r="AF2076" s="8"/>
      <c r="AG2076" s="8" t="str">
        <f ca="1">IFERROR(__xludf.DUMMYFUNCTION("""COMPUTED_VALUE"""),"No")</f>
        <v>No</v>
      </c>
      <c r="AH2076" s="8" t="str">
        <f ca="1">IFERROR(__xludf.DUMMYFUNCTION("""COMPUTED_VALUE"""),"No")</f>
        <v>No</v>
      </c>
      <c r="AI2076" s="8" t="str">
        <f ca="1">IFERROR(__xludf.DUMMYFUNCTION("""COMPUTED_VALUE"""),"No")</f>
        <v>No</v>
      </c>
      <c r="AJ2076" s="8" t="str">
        <f ca="1">IFERROR(__xludf.DUMMYFUNCTION("""COMPUTED_VALUE"""),"No")</f>
        <v>No</v>
      </c>
      <c r="AK2076" s="8" t="str">
        <f ca="1">IFERROR(__xludf.DUMMYFUNCTION("""COMPUTED_VALUE"""),"No")</f>
        <v>No</v>
      </c>
      <c r="AL2076" s="8" t="str">
        <f ca="1">IFERROR(__xludf.DUMMYFUNCTION("""COMPUTED_VALUE"""),"No")</f>
        <v>No</v>
      </c>
      <c r="AM2076" s="8"/>
      <c r="AN2076" s="8"/>
      <c r="AO2076" s="8" t="str">
        <f ca="1">IFERROR(__xludf.DUMMYFUNCTION("""COMPUTED_VALUE"""),"No")</f>
        <v>No</v>
      </c>
      <c r="AP2076" s="8" t="str">
        <f ca="1">IFERROR(__xludf.DUMMYFUNCTION("""COMPUTED_VALUE"""),"No")</f>
        <v>No</v>
      </c>
      <c r="AQ2076" s="8" t="str">
        <f ca="1">IFERROR(__xludf.DUMMYFUNCTION("""COMPUTED_VALUE"""),"Unknown")</f>
        <v>Unknown</v>
      </c>
      <c r="AR2076" s="8" t="str">
        <f ca="1">IFERROR(__xludf.DUMMYFUNCTION("""COMPUTED_VALUE"""),"NA")</f>
        <v>NA</v>
      </c>
      <c r="AS2076" s="8">
        <f ca="1">IFERROR(__xludf.DUMMYFUNCTION("""COMPUTED_VALUE"""),1)</f>
        <v>1</v>
      </c>
      <c r="AT2076" s="8"/>
      <c r="AU2076" s="8">
        <f ca="1">IFERROR(__xludf.DUMMYFUNCTION("""COMPUTED_VALUE"""),41.059297)</f>
        <v>41.059297000000001</v>
      </c>
      <c r="AV2076" s="8">
        <f ca="1">IFERROR(__xludf.DUMMYFUNCTION("""COMPUTED_VALUE"""),-73.536398)</f>
        <v>-73.536398000000005</v>
      </c>
      <c r="AW2076" s="8"/>
      <c r="AX2076" s="8">
        <f ca="1">IFERROR(__xludf.DUMMYFUNCTION("""COMPUTED_VALUE"""),6905)</f>
        <v>6905</v>
      </c>
    </row>
    <row r="2077" spans="1:50" ht="75" x14ac:dyDescent="0.2">
      <c r="A2077" s="8" t="str">
        <f ca="1">IFERROR(__xludf.DUMMYFUNCTION("""COMPUTED_VALUE"""),"20090827NCWEF")</f>
        <v>20090827NCWEF</v>
      </c>
      <c r="B2077" s="8">
        <f ca="1">IFERROR(__xludf.DUMMYFUNCTION("""COMPUTED_VALUE"""),8)</f>
        <v>8</v>
      </c>
      <c r="C2077" s="8">
        <f ca="1">IFERROR(__xludf.DUMMYFUNCTION("""COMPUTED_VALUE"""),27)</f>
        <v>27</v>
      </c>
      <c r="D2077" s="8">
        <f ca="1">IFERROR(__xludf.DUMMYFUNCTION("""COMPUTED_VALUE"""),2009)</f>
        <v>2009</v>
      </c>
      <c r="E2077" s="9">
        <f ca="1">IFERROR(__xludf.DUMMYFUNCTION("""COMPUTED_VALUE"""),40052)</f>
        <v>40052</v>
      </c>
      <c r="F2077" s="8" t="str">
        <f ca="1">IFERROR(__xludf.DUMMYFUNCTION("""COMPUTED_VALUE"""),"Westover High School")</f>
        <v>Westover High School</v>
      </c>
      <c r="G2077" s="8">
        <f ca="1">IFERROR(__xludf.DUMMYFUNCTION("""COMPUTED_VALUE"""),0)</f>
        <v>0</v>
      </c>
      <c r="H2077" s="8">
        <f ca="1">IFERROR(__xludf.DUMMYFUNCTION("""COMPUTED_VALUE"""),0)</f>
        <v>0</v>
      </c>
      <c r="I2077" s="8">
        <f ca="1">IFERROR(__xludf.DUMMYFUNCTION("""COMPUTED_VALUE"""),0)</f>
        <v>0</v>
      </c>
      <c r="J2077" s="8">
        <f ca="1">IFERROR(__xludf.DUMMYFUNCTION("""COMPUTED_VALUE"""),0)</f>
        <v>0</v>
      </c>
      <c r="K2077" s="10" t="str">
        <f ca="1">IFERROR(__xludf.DUMMYFUNCTION("""COMPUTED_VALUE"""),"https://www.wral.com/teen-charged-with-firing-handgun-at-westover-high/5885748/")</f>
        <v>https://www.wral.com/teen-charged-with-firing-handgun-at-westover-high/5885748/</v>
      </c>
      <c r="L2077" s="8"/>
      <c r="M2077" s="8"/>
      <c r="N2077" s="8">
        <f ca="1">IFERROR(__xludf.DUMMYFUNCTION("""COMPUTED_VALUE"""),2)</f>
        <v>2</v>
      </c>
      <c r="O2077" s="8" t="str">
        <f ca="1">IFERROR(__xludf.DUMMYFUNCTION("""COMPUTED_VALUE"""),"Summer")</f>
        <v>Summer</v>
      </c>
      <c r="P2077" s="8" t="str">
        <f ca="1">IFERROR(__xludf.DUMMYFUNCTION("""COMPUTED_VALUE"""),"Fayetteville")</f>
        <v>Fayetteville</v>
      </c>
      <c r="Q2077" s="8" t="str">
        <f ca="1">IFERROR(__xludf.DUMMYFUNCTION("""COMPUTED_VALUE"""),"NC")</f>
        <v>NC</v>
      </c>
      <c r="R2077" s="8" t="str">
        <f ca="1">IFERROR(__xludf.DUMMYFUNCTION("""COMPUTED_VALUE"""),"High")</f>
        <v>High</v>
      </c>
      <c r="S2077" s="8" t="str">
        <f ca="1">IFERROR(__xludf.DUMMYFUNCTION("""COMPUTED_VALUE"""),"Beside Building")</f>
        <v>Beside Building</v>
      </c>
      <c r="T2077" s="8" t="str">
        <f ca="1">IFERROR(__xludf.DUMMYFUNCTION("""COMPUTED_VALUE"""),"Outside on School Property")</f>
        <v>Outside on School Property</v>
      </c>
      <c r="U2077" s="8" t="str">
        <f ca="1">IFERROR(__xludf.DUMMYFUNCTION("""COMPUTED_VALUE"""),"No")</f>
        <v>No</v>
      </c>
      <c r="V2077" s="8" t="str">
        <f ca="1">IFERROR(__xludf.DUMMYFUNCTION("""COMPUTED_VALUE"""),"After School")</f>
        <v>After School</v>
      </c>
      <c r="W2077" s="11">
        <f ca="1">IFERROR(__xludf.DUMMYFUNCTION("""COMPUTED_VALUE"""),0.666666666666666)</f>
        <v>0.66666666666666596</v>
      </c>
      <c r="X2077" s="8">
        <f ca="1">IFERROR(__xludf.DUMMYFUNCTION("""COMPUTED_VALUE"""),1)</f>
        <v>1</v>
      </c>
      <c r="Y2077" s="12" t="str">
        <f ca="1">IFERROR(__xludf.DUMMYFUNCTION("""COMPUTED_VALUE"""),"Fight between student and 22YOM, student fired pistol, missed, and fled")</f>
        <v>Fight between student and 22YOM, student fired pistol, missed, and fled</v>
      </c>
      <c r="Z2077" s="12" t="str">
        <f ca="1">IFERROR(__xludf.DUMMYFUNCTION("""COMPUTED_VALUE"""),"Fight between 22YOM and 16YOM student outside of the high school. 16YOM fired a pistol and both men fled. Shooter was arrested at his home.")</f>
        <v>Fight between 22YOM and 16YOM student outside of the high school. 16YOM fired a pistol and both men fled. Shooter was arrested at his home.</v>
      </c>
      <c r="AA2077" s="8" t="str">
        <f ca="1">IFERROR(__xludf.DUMMYFUNCTION("""COMPUTED_VALUE"""),"Escalation of Dispute")</f>
        <v>Escalation of Dispute</v>
      </c>
      <c r="AB2077" s="8"/>
      <c r="AC2077" s="8" t="str">
        <f ca="1">IFERROR(__xludf.DUMMYFUNCTION("""COMPUTED_VALUE"""),"Yes")</f>
        <v>Yes</v>
      </c>
      <c r="AD2077" s="8" t="str">
        <f ca="1">IFERROR(__xludf.DUMMYFUNCTION("""COMPUTED_VALUE"""),"Victims Targeted")</f>
        <v>Victims Targeted</v>
      </c>
      <c r="AE2077" s="8" t="str">
        <f ca="1">IFERROR(__xludf.DUMMYFUNCTION("""COMPUTED_VALUE"""),"No")</f>
        <v>No</v>
      </c>
      <c r="AF2077" s="8"/>
      <c r="AG2077" s="8" t="str">
        <f ca="1">IFERROR(__xludf.DUMMYFUNCTION("""COMPUTED_VALUE"""),"No")</f>
        <v>No</v>
      </c>
      <c r="AH2077" s="8" t="str">
        <f ca="1">IFERROR(__xludf.DUMMYFUNCTION("""COMPUTED_VALUE"""),"No")</f>
        <v>No</v>
      </c>
      <c r="AI2077" s="8" t="str">
        <f ca="1">IFERROR(__xludf.DUMMYFUNCTION("""COMPUTED_VALUE"""),"No")</f>
        <v>No</v>
      </c>
      <c r="AJ2077" s="8" t="str">
        <f ca="1">IFERROR(__xludf.DUMMYFUNCTION("""COMPUTED_VALUE"""),"No")</f>
        <v>No</v>
      </c>
      <c r="AK2077" s="8" t="str">
        <f ca="1">IFERROR(__xludf.DUMMYFUNCTION("""COMPUTED_VALUE"""),"No")</f>
        <v>No</v>
      </c>
      <c r="AL2077" s="8" t="str">
        <f ca="1">IFERROR(__xludf.DUMMYFUNCTION("""COMPUTED_VALUE"""),"No")</f>
        <v>No</v>
      </c>
      <c r="AM2077" s="8"/>
      <c r="AN2077" s="8"/>
      <c r="AO2077" s="8" t="str">
        <f ca="1">IFERROR(__xludf.DUMMYFUNCTION("""COMPUTED_VALUE"""),"No")</f>
        <v>No</v>
      </c>
      <c r="AP2077" s="8"/>
      <c r="AQ2077" s="8" t="str">
        <f ca="1">IFERROR(__xludf.DUMMYFUNCTION("""COMPUTED_VALUE"""),"Unknown")</f>
        <v>Unknown</v>
      </c>
      <c r="AR2077" s="8" t="str">
        <f ca="1">IFERROR(__xludf.DUMMYFUNCTION("""COMPUTED_VALUE"""),"NA")</f>
        <v>NA</v>
      </c>
      <c r="AS2077" s="8">
        <f ca="1">IFERROR(__xludf.DUMMYFUNCTION("""COMPUTED_VALUE"""),1)</f>
        <v>1</v>
      </c>
      <c r="AT2077" s="8"/>
      <c r="AU2077" s="8">
        <f ca="1">IFERROR(__xludf.DUMMYFUNCTION("""COMPUTED_VALUE"""),35.084204)</f>
        <v>35.084204</v>
      </c>
      <c r="AV2077" s="8">
        <f ca="1">IFERROR(__xludf.DUMMYFUNCTION("""COMPUTED_VALUE"""),-78.991678)</f>
        <v>-78.991677999999993</v>
      </c>
      <c r="AW2077" s="8"/>
      <c r="AX2077" s="8">
        <f ca="1">IFERROR(__xludf.DUMMYFUNCTION("""COMPUTED_VALUE"""),28314)</f>
        <v>28314</v>
      </c>
    </row>
    <row r="2078" spans="1:50" ht="45" x14ac:dyDescent="0.2">
      <c r="A2078" s="8" t="str">
        <f ca="1">IFERROR(__xludf.DUMMYFUNCTION("""COMPUTED_VALUE"""),"20090624IAAPP")</f>
        <v>20090624IAAPP</v>
      </c>
      <c r="B2078" s="8">
        <f ca="1">IFERROR(__xludf.DUMMYFUNCTION("""COMPUTED_VALUE"""),6)</f>
        <v>6</v>
      </c>
      <c r="C2078" s="8">
        <f ca="1">IFERROR(__xludf.DUMMYFUNCTION("""COMPUTED_VALUE"""),24)</f>
        <v>24</v>
      </c>
      <c r="D2078" s="8">
        <f ca="1">IFERROR(__xludf.DUMMYFUNCTION("""COMPUTED_VALUE"""),2009)</f>
        <v>2009</v>
      </c>
      <c r="E2078" s="9">
        <f ca="1">IFERROR(__xludf.DUMMYFUNCTION("""COMPUTED_VALUE"""),39988)</f>
        <v>39988</v>
      </c>
      <c r="F2078" s="8" t="str">
        <f ca="1">IFERROR(__xludf.DUMMYFUNCTION("""COMPUTED_VALUE"""),"Aplington-Parkersburg High School")</f>
        <v>Aplington-Parkersburg High School</v>
      </c>
      <c r="G2078" s="8">
        <f ca="1">IFERROR(__xludf.DUMMYFUNCTION("""COMPUTED_VALUE"""),1)</f>
        <v>1</v>
      </c>
      <c r="H2078" s="8">
        <f ca="1">IFERROR(__xludf.DUMMYFUNCTION("""COMPUTED_VALUE"""),0)</f>
        <v>0</v>
      </c>
      <c r="I2078" s="8">
        <f ca="1">IFERROR(__xludf.DUMMYFUNCTION("""COMPUTED_VALUE"""),1)</f>
        <v>1</v>
      </c>
      <c r="J2078" s="8">
        <f ca="1">IFERROR(__xludf.DUMMYFUNCTION("""COMPUTED_VALUE"""),0)</f>
        <v>0</v>
      </c>
      <c r="K2078" s="8" t="str">
        <f ca="1">IFERROR(__xludf.DUMMYFUNCTION("""COMPUTED_VALUE"""),"http://www.philly.com/philly/sports/20100303_Man_guilty_of_murder_in_case_of_Iowa_prep_coach.html  https://www.goodhousekeeping.com/life/a36953/ann-becker-son-ed-thomas-shooting/")</f>
        <v>http://www.philly.com/philly/sports/20100303_Man_guilty_of_murder_in_case_of_Iowa_prep_coach.html  https://www.goodhousekeeping.com/life/a36953/ann-becker-son-ed-thomas-shooting/</v>
      </c>
      <c r="L2078" s="8"/>
      <c r="M2078" s="8"/>
      <c r="N2078" s="8">
        <f ca="1">IFERROR(__xludf.DUMMYFUNCTION("""COMPUTED_VALUE"""),3)</f>
        <v>3</v>
      </c>
      <c r="O2078" s="8" t="str">
        <f ca="1">IFERROR(__xludf.DUMMYFUNCTION("""COMPUTED_VALUE"""),"Summer")</f>
        <v>Summer</v>
      </c>
      <c r="P2078" s="8" t="str">
        <f ca="1">IFERROR(__xludf.DUMMYFUNCTION("""COMPUTED_VALUE"""),"Parkersburg")</f>
        <v>Parkersburg</v>
      </c>
      <c r="Q2078" s="8" t="str">
        <f ca="1">IFERROR(__xludf.DUMMYFUNCTION("""COMPUTED_VALUE"""),"IA")</f>
        <v>IA</v>
      </c>
      <c r="R2078" s="8" t="str">
        <f ca="1">IFERROR(__xludf.DUMMYFUNCTION("""COMPUTED_VALUE"""),"High")</f>
        <v>High</v>
      </c>
      <c r="S2078" s="8" t="str">
        <f ca="1">IFERROR(__xludf.DUMMYFUNCTION("""COMPUTED_VALUE"""),"Gym")</f>
        <v>Gym</v>
      </c>
      <c r="T2078" s="8" t="str">
        <f ca="1">IFERROR(__xludf.DUMMYFUNCTION("""COMPUTED_VALUE"""),"Inside School Building")</f>
        <v>Inside School Building</v>
      </c>
      <c r="U2078" s="8" t="str">
        <f ca="1">IFERROR(__xludf.DUMMYFUNCTION("""COMPUTED_VALUE"""),"Yes")</f>
        <v>Yes</v>
      </c>
      <c r="V2078" s="8" t="str">
        <f ca="1">IFERROR(__xludf.DUMMYFUNCTION("""COMPUTED_VALUE"""),"Morning Classes")</f>
        <v>Morning Classes</v>
      </c>
      <c r="W2078" s="11">
        <f ca="1">IFERROR(__xludf.DUMMYFUNCTION("""COMPUTED_VALUE"""),0.333333333333333)</f>
        <v>0.33333333333333298</v>
      </c>
      <c r="X2078" s="8">
        <f ca="1">IFERROR(__xludf.DUMMYFUNCTION("""COMPUTED_VALUE"""),1)</f>
        <v>1</v>
      </c>
      <c r="Y2078" s="12" t="str">
        <f ca="1">IFERROR(__xludf.DUMMYFUNCTION("""COMPUTED_VALUE"""),"Delusional former student thought coach was the devil")</f>
        <v>Delusional former student thought coach was the devil</v>
      </c>
      <c r="Z2078" s="12" t="str">
        <f ca="1">IFERROR(__xludf.DUMMYFUNCTION("""COMPUTED_VALUE"""),"Former player entered high school weight room and shot football coach to death. Had delusions and thought the football coach was the devil and plotting against him.")</f>
        <v>Former player entered high school weight room and shot football coach to death. Had delusions and thought the football coach was the devil and plotting against him.</v>
      </c>
      <c r="AA2078" s="8" t="str">
        <f ca="1">IFERROR(__xludf.DUMMYFUNCTION("""COMPUTED_VALUE"""),"Psychosis")</f>
        <v>Psychosis</v>
      </c>
      <c r="AB2078" s="8"/>
      <c r="AC2078" s="8" t="str">
        <f ca="1">IFERROR(__xludf.DUMMYFUNCTION("""COMPUTED_VALUE"""),"Yes")</f>
        <v>Yes</v>
      </c>
      <c r="AD2078" s="8" t="str">
        <f ca="1">IFERROR(__xludf.DUMMYFUNCTION("""COMPUTED_VALUE"""),"Victims Targeted")</f>
        <v>Victims Targeted</v>
      </c>
      <c r="AE2078" s="8" t="str">
        <f ca="1">IFERROR(__xludf.DUMMYFUNCTION("""COMPUTED_VALUE"""),"No")</f>
        <v>No</v>
      </c>
      <c r="AF2078" s="8"/>
      <c r="AG2078" s="8" t="str">
        <f ca="1">IFERROR(__xludf.DUMMYFUNCTION("""COMPUTED_VALUE"""),"No")</f>
        <v>No</v>
      </c>
      <c r="AH2078" s="8" t="str">
        <f ca="1">IFERROR(__xludf.DUMMYFUNCTION("""COMPUTED_VALUE"""),"No")</f>
        <v>No</v>
      </c>
      <c r="AI2078" s="8" t="str">
        <f ca="1">IFERROR(__xludf.DUMMYFUNCTION("""COMPUTED_VALUE"""),"No")</f>
        <v>No</v>
      </c>
      <c r="AJ2078" s="8"/>
      <c r="AK2078" s="8" t="str">
        <f ca="1">IFERROR(__xludf.DUMMYFUNCTION("""COMPUTED_VALUE"""),"No")</f>
        <v>No</v>
      </c>
      <c r="AL2078" s="8" t="str">
        <f ca="1">IFERROR(__xludf.DUMMYFUNCTION("""COMPUTED_VALUE"""),"No")</f>
        <v>No</v>
      </c>
      <c r="AM2078" s="8"/>
      <c r="AN2078" s="8"/>
      <c r="AO2078" s="8" t="str">
        <f ca="1">IFERROR(__xludf.DUMMYFUNCTION("""COMPUTED_VALUE"""),"No")</f>
        <v>No</v>
      </c>
      <c r="AP2078" s="8"/>
      <c r="AQ2078" s="8" t="str">
        <f ca="1">IFERROR(__xludf.DUMMYFUNCTION("""COMPUTED_VALUE"""),"Unknown")</f>
        <v>Unknown</v>
      </c>
      <c r="AR2078" s="8" t="str">
        <f ca="1">IFERROR(__xludf.DUMMYFUNCTION("""COMPUTED_VALUE"""),"NA")</f>
        <v>NA</v>
      </c>
      <c r="AS2078" s="8">
        <f ca="1">IFERROR(__xludf.DUMMYFUNCTION("""COMPUTED_VALUE"""),6)</f>
        <v>6</v>
      </c>
      <c r="AT2078" s="8"/>
      <c r="AU2078" s="8">
        <f ca="1">IFERROR(__xludf.DUMMYFUNCTION("""COMPUTED_VALUE"""),42.572964)</f>
        <v>42.572963999999999</v>
      </c>
      <c r="AV2078" s="8">
        <f ca="1">IFERROR(__xludf.DUMMYFUNCTION("""COMPUTED_VALUE"""),-92.778605)</f>
        <v>-92.778604999999999</v>
      </c>
      <c r="AW2078" s="8"/>
      <c r="AX2078" s="8">
        <f ca="1">IFERROR(__xludf.DUMMYFUNCTION("""COMPUTED_VALUE"""),50665)</f>
        <v>50665</v>
      </c>
    </row>
    <row r="2079" spans="1:50" ht="45" x14ac:dyDescent="0.2">
      <c r="A2079" s="8" t="str">
        <f ca="1">IFERROR(__xludf.DUMMYFUNCTION("""COMPUTED_VALUE"""),"20090615CAINS")</f>
        <v>20090615CAINS</v>
      </c>
      <c r="B2079" s="8">
        <f ca="1">IFERROR(__xludf.DUMMYFUNCTION("""COMPUTED_VALUE"""),6)</f>
        <v>6</v>
      </c>
      <c r="C2079" s="8">
        <f ca="1">IFERROR(__xludf.DUMMYFUNCTION("""COMPUTED_VALUE"""),15)</f>
        <v>15</v>
      </c>
      <c r="D2079" s="8">
        <f ca="1">IFERROR(__xludf.DUMMYFUNCTION("""COMPUTED_VALUE"""),2009)</f>
        <v>2009</v>
      </c>
      <c r="E2079" s="9">
        <f ca="1">IFERROR(__xludf.DUMMYFUNCTION("""COMPUTED_VALUE"""),39979)</f>
        <v>39979</v>
      </c>
      <c r="F2079" s="8" t="str">
        <f ca="1">IFERROR(__xludf.DUMMYFUNCTION("""COMPUTED_VALUE"""),"International Studies Academy")</f>
        <v>International Studies Academy</v>
      </c>
      <c r="G2079" s="8">
        <f ca="1">IFERROR(__xludf.DUMMYFUNCTION("""COMPUTED_VALUE"""),0)</f>
        <v>0</v>
      </c>
      <c r="H2079" s="8">
        <f ca="1">IFERROR(__xludf.DUMMYFUNCTION("""COMPUTED_VALUE"""),3)</f>
        <v>3</v>
      </c>
      <c r="I2079" s="8">
        <f ca="1">IFERROR(__xludf.DUMMYFUNCTION("""COMPUTED_VALUE"""),3)</f>
        <v>3</v>
      </c>
      <c r="J2079" s="8">
        <f ca="1">IFERROR(__xludf.DUMMYFUNCTION("""COMPUTED_VALUE"""),0)</f>
        <v>0</v>
      </c>
      <c r="K2079" s="8" t="str">
        <f ca="1">IFERROR(__xludf.DUMMYFUNCTION("""COMPUTED_VALUE"""),"https://missionlocal.org/2009/06/update-shooting-at-international-studies-academy/ . https://www.fugitive.com/2009/06/17/juvenile-charged-with-attempted-murder-in-shooting-near-international-studies-academy-high-school/ .   https://www.fugitive.com/2009/0"&amp;"6/17/juvenile-charged-with-attempted-murder-in-shooting-near-international-studies-academy-high-school/")</f>
        <v>https://missionlocal.org/2009/06/update-shooting-at-international-studies-academy/ . https://www.fugitive.com/2009/06/17/juvenile-charged-with-attempted-murder-in-shooting-near-international-studies-academy-high-school/ .   https://www.fugitive.com/2009/06/17/juvenile-charged-with-attempted-murder-in-shooting-near-international-studies-academy-high-school/</v>
      </c>
      <c r="L2079" s="8"/>
      <c r="M2079" s="8"/>
      <c r="N2079" s="8">
        <f ca="1">IFERROR(__xludf.DUMMYFUNCTION("""COMPUTED_VALUE"""),2)</f>
        <v>2</v>
      </c>
      <c r="O2079" s="8" t="str">
        <f ca="1">IFERROR(__xludf.DUMMYFUNCTION("""COMPUTED_VALUE"""),"Summer")</f>
        <v>Summer</v>
      </c>
      <c r="P2079" s="8" t="str">
        <f ca="1">IFERROR(__xludf.DUMMYFUNCTION("""COMPUTED_VALUE"""),"San Francisco")</f>
        <v>San Francisco</v>
      </c>
      <c r="Q2079" s="8" t="str">
        <f ca="1">IFERROR(__xludf.DUMMYFUNCTION("""COMPUTED_VALUE"""),"CA")</f>
        <v>CA</v>
      </c>
      <c r="R2079" s="8" t="str">
        <f ca="1">IFERROR(__xludf.DUMMYFUNCTION("""COMPUTED_VALUE"""),"Other")</f>
        <v>Other</v>
      </c>
      <c r="S2079" s="8" t="str">
        <f ca="1">IFERROR(__xludf.DUMMYFUNCTION("""COMPUTED_VALUE"""),"Beside Building")</f>
        <v>Beside Building</v>
      </c>
      <c r="T2079" s="8" t="str">
        <f ca="1">IFERROR(__xludf.DUMMYFUNCTION("""COMPUTED_VALUE"""),"Outside on School Property")</f>
        <v>Outside on School Property</v>
      </c>
      <c r="U2079" s="8" t="str">
        <f ca="1">IFERROR(__xludf.DUMMYFUNCTION("""COMPUTED_VALUE"""),"Yes")</f>
        <v>Yes</v>
      </c>
      <c r="V2079" s="8" t="str">
        <f ca="1">IFERROR(__xludf.DUMMYFUNCTION("""COMPUTED_VALUE"""),"Morning Classes")</f>
        <v>Morning Classes</v>
      </c>
      <c r="W2079" s="8"/>
      <c r="X2079" s="8">
        <f ca="1">IFERROR(__xludf.DUMMYFUNCTION("""COMPUTED_VALUE"""),1)</f>
        <v>1</v>
      </c>
      <c r="Y2079" s="12" t="str">
        <f ca="1">IFERROR(__xludf.DUMMYFUNCTION("""COMPUTED_VALUE"""),"Gang-related shooting outside of school.")</f>
        <v>Gang-related shooting outside of school.</v>
      </c>
      <c r="Z2079" s="12" t="str">
        <f ca="1">IFERROR(__xludf.DUMMYFUNCTION("""COMPUTED_VALUE"""),"Fight between two gangs escalated into a shooting outside of the school. The shooter fled the scene and was later arrested (name not released).")</f>
        <v>Fight between two gangs escalated into a shooting outside of the school. The shooter fled the scene and was later arrested (name not released).</v>
      </c>
      <c r="AA2079" s="8" t="str">
        <f ca="1">IFERROR(__xludf.DUMMYFUNCTION("""COMPUTED_VALUE"""),"Escalation of Dispute")</f>
        <v>Escalation of Dispute</v>
      </c>
      <c r="AB2079" s="8"/>
      <c r="AC2079" s="8" t="str">
        <f ca="1">IFERROR(__xludf.DUMMYFUNCTION("""COMPUTED_VALUE"""),"No")</f>
        <v>No</v>
      </c>
      <c r="AD2079" s="8"/>
      <c r="AE2079" s="8"/>
      <c r="AF2079" s="8"/>
      <c r="AG2079" s="8" t="str">
        <f ca="1">IFERROR(__xludf.DUMMYFUNCTION("""COMPUTED_VALUE"""),"No")</f>
        <v>No</v>
      </c>
      <c r="AH2079" s="8" t="str">
        <f ca="1">IFERROR(__xludf.DUMMYFUNCTION("""COMPUTED_VALUE"""),"No")</f>
        <v>No</v>
      </c>
      <c r="AI2079" s="8" t="str">
        <f ca="1">IFERROR(__xludf.DUMMYFUNCTION("""COMPUTED_VALUE"""),"No")</f>
        <v>No</v>
      </c>
      <c r="AJ2079" s="8"/>
      <c r="AK2079" s="8" t="str">
        <f ca="1">IFERROR(__xludf.DUMMYFUNCTION("""COMPUTED_VALUE"""),"No")</f>
        <v>No</v>
      </c>
      <c r="AL2079" s="8" t="str">
        <f ca="1">IFERROR(__xludf.DUMMYFUNCTION("""COMPUTED_VALUE"""),"Yes")</f>
        <v>Yes</v>
      </c>
      <c r="AM2079" s="8"/>
      <c r="AN2079" s="8"/>
      <c r="AO2079" s="8" t="str">
        <f ca="1">IFERROR(__xludf.DUMMYFUNCTION("""COMPUTED_VALUE"""),"No")</f>
        <v>No</v>
      </c>
      <c r="AP2079" s="8"/>
      <c r="AQ2079" s="8" t="str">
        <f ca="1">IFERROR(__xludf.DUMMYFUNCTION("""COMPUTED_VALUE"""),"Unknown")</f>
        <v>Unknown</v>
      </c>
      <c r="AR2079" s="8" t="str">
        <f ca="1">IFERROR(__xludf.DUMMYFUNCTION("""COMPUTED_VALUE"""),"NA")</f>
        <v>NA</v>
      </c>
      <c r="AS2079" s="8" t="str">
        <f ca="1">IFERROR(__xludf.DUMMYFUNCTION("""COMPUTED_VALUE"""),"&lt;10")</f>
        <v>&lt;10</v>
      </c>
      <c r="AT2079" s="8"/>
      <c r="AU2079" s="8">
        <f ca="1">IFERROR(__xludf.DUMMYFUNCTION("""COMPUTED_VALUE"""),37.761855)</f>
        <v>37.761854999999997</v>
      </c>
      <c r="AV2079" s="8">
        <f ca="1">IFERROR(__xludf.DUMMYFUNCTION("""COMPUTED_VALUE"""),-122.400939)</f>
        <v>-122.40093899999999</v>
      </c>
      <c r="AW2079" s="8"/>
      <c r="AX2079" s="8">
        <f ca="1">IFERROR(__xludf.DUMMYFUNCTION("""COMPUTED_VALUE"""),90103)</f>
        <v>90103</v>
      </c>
    </row>
    <row r="2080" spans="1:50" ht="255" x14ac:dyDescent="0.2">
      <c r="A2080" s="8" t="str">
        <f ca="1">IFERROR(__xludf.DUMMYFUNCTION("""COMPUTED_VALUE"""),"20090518LALAL")</f>
        <v>20090518LALAL</v>
      </c>
      <c r="B2080" s="8">
        <f ca="1">IFERROR(__xludf.DUMMYFUNCTION("""COMPUTED_VALUE"""),5)</f>
        <v>5</v>
      </c>
      <c r="C2080" s="8">
        <f ca="1">IFERROR(__xludf.DUMMYFUNCTION("""COMPUTED_VALUE"""),18)</f>
        <v>18</v>
      </c>
      <c r="D2080" s="8">
        <f ca="1">IFERROR(__xludf.DUMMYFUNCTION("""COMPUTED_VALUE"""),2009)</f>
        <v>2009</v>
      </c>
      <c r="E2080" s="9">
        <f ca="1">IFERROR(__xludf.DUMMYFUNCTION("""COMPUTED_VALUE"""),39951)</f>
        <v>39951</v>
      </c>
      <c r="F2080" s="8" t="str">
        <f ca="1">IFERROR(__xludf.DUMMYFUNCTION("""COMPUTED_VALUE"""),"Larose-Cut Off Middle School")</f>
        <v>Larose-Cut Off Middle School</v>
      </c>
      <c r="G2080" s="8">
        <f ca="1">IFERROR(__xludf.DUMMYFUNCTION("""COMPUTED_VALUE"""),0)</f>
        <v>0</v>
      </c>
      <c r="H2080" s="8">
        <f ca="1">IFERROR(__xludf.DUMMYFUNCTION("""COMPUTED_VALUE"""),0)</f>
        <v>0</v>
      </c>
      <c r="I2080" s="8">
        <f ca="1">IFERROR(__xludf.DUMMYFUNCTION("""COMPUTED_VALUE"""),0)</f>
        <v>0</v>
      </c>
      <c r="J2080" s="8">
        <f ca="1">IFERROR(__xludf.DUMMYFUNCTION("""COMPUTED_VALUE"""),1)</f>
        <v>1</v>
      </c>
      <c r="K2080" s="8" t="str">
        <f ca="1">IFERROR(__xludf.DUMMYFUNCTION("""COMPUTED_VALUE"""),"http://www.foxnews.com/story/2009/05/19/police-louisiana-eighth-grader-detailed-school-shooting-plot-in-deadly-diary.html        https://www.fbi.gov/file-repository/active-shooter-incidents-2000-2017.pdf . https://www.newspapers.com/image/225673655/?terms"&amp;"=justin%2Bdoucet https://www.deseret.com/2009/5/19/20318760/8th-grader-shoots-self-misses-teacher")</f>
        <v>http://www.foxnews.com/story/2009/05/19/police-louisiana-eighth-grader-detailed-school-shooting-plot-in-deadly-diary.html        https://www.fbi.gov/file-repository/active-shooter-incidents-2000-2017.pdf . https://www.newspapers.com/image/225673655/?terms=justin%2Bdoucet https://www.deseret.com/2009/5/19/20318760/8th-grader-shoots-self-misses-teacher</v>
      </c>
      <c r="L2080" s="8"/>
      <c r="M2080" s="8" t="str">
        <f ca="1">IFERROR(__xludf.DUMMYFUNCTION("""COMPUTED_VALUE"""),"National")</f>
        <v>National</v>
      </c>
      <c r="N2080" s="8">
        <f ca="1">IFERROR(__xludf.DUMMYFUNCTION("""COMPUTED_VALUE"""),5)</f>
        <v>5</v>
      </c>
      <c r="O2080" s="8" t="str">
        <f ca="1">IFERROR(__xludf.DUMMYFUNCTION("""COMPUTED_VALUE"""),"Spring")</f>
        <v>Spring</v>
      </c>
      <c r="P2080" s="8" t="str">
        <f ca="1">IFERROR(__xludf.DUMMYFUNCTION("""COMPUTED_VALUE"""),"Larose")</f>
        <v>Larose</v>
      </c>
      <c r="Q2080" s="8" t="str">
        <f ca="1">IFERROR(__xludf.DUMMYFUNCTION("""COMPUTED_VALUE"""),"LA")</f>
        <v>LA</v>
      </c>
      <c r="R2080" s="8" t="str">
        <f ca="1">IFERROR(__xludf.DUMMYFUNCTION("""COMPUTED_VALUE"""),"Middle")</f>
        <v>Middle</v>
      </c>
      <c r="S2080" s="8" t="str">
        <f ca="1">IFERROR(__xludf.DUMMYFUNCTION("""COMPUTED_VALUE"""),"Classroom")</f>
        <v>Classroom</v>
      </c>
      <c r="T2080" s="8" t="str">
        <f ca="1">IFERROR(__xludf.DUMMYFUNCTION("""COMPUTED_VALUE"""),"Inside School Building")</f>
        <v>Inside School Building</v>
      </c>
      <c r="U2080" s="8" t="str">
        <f ca="1">IFERROR(__xludf.DUMMYFUNCTION("""COMPUTED_VALUE"""),"Yes")</f>
        <v>Yes</v>
      </c>
      <c r="V2080" s="8" t="str">
        <f ca="1">IFERROR(__xludf.DUMMYFUNCTION("""COMPUTED_VALUE"""),"Morning Classes")</f>
        <v>Morning Classes</v>
      </c>
      <c r="W2080" s="11">
        <f ca="1">IFERROR(__xludf.DUMMYFUNCTION("""COMPUTED_VALUE"""),0.375)</f>
        <v>0.375</v>
      </c>
      <c r="X2080" s="8">
        <f ca="1">IFERROR(__xludf.DUMMYFUNCTION("""COMPUTED_VALUE"""),1)</f>
        <v>1</v>
      </c>
      <c r="Y2080" s="12" t="str">
        <f ca="1">IFERROR(__xludf.DUMMYFUNCTION("""COMPUTED_VALUE"""),"Planned attack, gun misfired, shooter fled and commit suicide")</f>
        <v>Planned attack, gun misfired, shooter fled and commit suicide</v>
      </c>
      <c r="Z2080" s="12" t="str">
        <f ca="1">IFERROR(__xludf.DUMMYFUNCTION("""COMPUTED_VALUE"""),"Shooter entered school through backdoor to avoid metal detectors, left classroom to go to the bathroom, changed into camo clothing, and returned to class with a .25 pistol. He pointed the gun at the teacher and said ""hail Marilyn Manson"" and pulled the "&amp;"trigger but the gun didn't go off. He tried to fire a second time and the gun went off firing into the ceiling. The shooter ran out of the classroom back to the bathroom and shot himself in the head. The shooter left a suicide note saying he hoped he kill"&amp;"ed a bunch of people. Had multiple notebooks titled ""deadly diary"" with drawings of himself in camo pants and label of ""disturbed mind"" by his head. Wrote that he was disappointed not to have enough bullets to kill the police officers too. Saved artic"&amp;"les about Columbine were found at his house. Mixed reports: Attached news article reports states shooter shot one bullet over teachers head before exiting the classroom and committing suicide")</f>
        <v>Shooter entered school through backdoor to avoid metal detectors, left classroom to go to the bathroom, changed into camo clothing, and returned to class with a .25 pistol. He pointed the gun at the teacher and said "hail Marilyn Manson" and pulled the trigger but the gun didn't go off. He tried to fire a second time and the gun went off firing into the ceiling. The shooter ran out of the classroom back to the bathroom and shot himself in the head. The shooter left a suicide note saying he hoped he killed a bunch of people. Had multiple notebooks titled "deadly diary" with drawings of himself in camo pants and label of "disturbed mind" by his head. Wrote that he was disappointed not to have enough bullets to kill the police officers too. Saved articles about Columbine were found at his house. Mixed reports: Attached news article reports states shooter shot one bullet over teachers head before exiting the classroom and committing suicide</v>
      </c>
      <c r="AA2080" s="8" t="str">
        <f ca="1">IFERROR(__xludf.DUMMYFUNCTION("""COMPUTED_VALUE"""),"Indiscriminate Shooting")</f>
        <v>Indiscriminate Shooting</v>
      </c>
      <c r="AB2080" s="8"/>
      <c r="AC2080" s="8" t="str">
        <f ca="1">IFERROR(__xludf.DUMMYFUNCTION("""COMPUTED_VALUE"""),"Yes")</f>
        <v>Yes</v>
      </c>
      <c r="AD2080" s="8"/>
      <c r="AE2080" s="8" t="str">
        <f ca="1">IFERROR(__xludf.DUMMYFUNCTION("""COMPUTED_VALUE"""),"No")</f>
        <v>No</v>
      </c>
      <c r="AF2080" s="8"/>
      <c r="AG2080" s="8" t="str">
        <f ca="1">IFERROR(__xludf.DUMMYFUNCTION("""COMPUTED_VALUE"""),"No")</f>
        <v>No</v>
      </c>
      <c r="AH2080" s="8" t="str">
        <f ca="1">IFERROR(__xludf.DUMMYFUNCTION("""COMPUTED_VALUE"""),"No")</f>
        <v>No</v>
      </c>
      <c r="AI2080" s="8" t="str">
        <f ca="1">IFERROR(__xludf.DUMMYFUNCTION("""COMPUTED_VALUE"""),"No")</f>
        <v>No</v>
      </c>
      <c r="AJ2080" s="8"/>
      <c r="AK2080" s="8" t="str">
        <f ca="1">IFERROR(__xludf.DUMMYFUNCTION("""COMPUTED_VALUE"""),"No")</f>
        <v>No</v>
      </c>
      <c r="AL2080" s="8" t="str">
        <f ca="1">IFERROR(__xludf.DUMMYFUNCTION("""COMPUTED_VALUE"""),"No")</f>
        <v>No</v>
      </c>
      <c r="AM2080" s="8" t="str">
        <f ca="1">IFERROR(__xludf.DUMMYFUNCTION("""COMPUTED_VALUE"""),"Yes")</f>
        <v>Yes</v>
      </c>
      <c r="AN2080" s="8" t="str">
        <f ca="1">IFERROR(__xludf.DUMMYFUNCTION("""COMPUTED_VALUE"""),"Single Room")</f>
        <v>Single Room</v>
      </c>
      <c r="AO2080" s="8" t="str">
        <f ca="1">IFERROR(__xludf.DUMMYFUNCTION("""COMPUTED_VALUE"""),"No")</f>
        <v>No</v>
      </c>
      <c r="AP2080" s="8" t="str">
        <f ca="1">IFERROR(__xludf.DUMMYFUNCTION("""COMPUTED_VALUE"""),"No")</f>
        <v>No</v>
      </c>
      <c r="AQ2080" s="8" t="str">
        <f ca="1">IFERROR(__xludf.DUMMYFUNCTION("""COMPUTED_VALUE"""),"Unknown")</f>
        <v>Unknown</v>
      </c>
      <c r="AR2080" s="8" t="str">
        <f ca="1">IFERROR(__xludf.DUMMYFUNCTION("""COMPUTED_VALUE"""),"NA")</f>
        <v>NA</v>
      </c>
      <c r="AS2080" s="8">
        <f ca="1">IFERROR(__xludf.DUMMYFUNCTION("""COMPUTED_VALUE"""),2)</f>
        <v>2</v>
      </c>
      <c r="AT2080" s="8"/>
      <c r="AU2080" s="8">
        <f ca="1">IFERROR(__xludf.DUMMYFUNCTION("""COMPUTED_VALUE"""),29.562345)</f>
        <v>29.562345000000001</v>
      </c>
      <c r="AV2080" s="8">
        <f ca="1">IFERROR(__xludf.DUMMYFUNCTION("""COMPUTED_VALUE"""),-90.364692)</f>
        <v>-90.364692000000005</v>
      </c>
      <c r="AW2080" s="8"/>
      <c r="AX2080" s="8">
        <f ca="1">IFERROR(__xludf.DUMMYFUNCTION("""COMPUTED_VALUE"""),70373)</f>
        <v>70373</v>
      </c>
    </row>
    <row r="2081" spans="1:50" ht="180" x14ac:dyDescent="0.2">
      <c r="A2081" s="8" t="str">
        <f ca="1">IFERROR(__xludf.DUMMYFUNCTION("""COMPUTED_VALUE"""),"20090505NYCAC")</f>
        <v>20090505NYCAC</v>
      </c>
      <c r="B2081" s="8">
        <f ca="1">IFERROR(__xludf.DUMMYFUNCTION("""COMPUTED_VALUE"""),5)</f>
        <v>5</v>
      </c>
      <c r="C2081" s="8">
        <f ca="1">IFERROR(__xludf.DUMMYFUNCTION("""COMPUTED_VALUE"""),5)</f>
        <v>5</v>
      </c>
      <c r="D2081" s="8">
        <f ca="1">IFERROR(__xludf.DUMMYFUNCTION("""COMPUTED_VALUE"""),2009)</f>
        <v>2009</v>
      </c>
      <c r="E2081" s="9">
        <f ca="1">IFERROR(__xludf.DUMMYFUNCTION("""COMPUTED_VALUE"""),39938)</f>
        <v>39938</v>
      </c>
      <c r="F2081" s="8" t="str">
        <f ca="1">IFERROR(__xludf.DUMMYFUNCTION("""COMPUTED_VALUE"""),"Canandaigua Academy")</f>
        <v>Canandaigua Academy</v>
      </c>
      <c r="G2081" s="8">
        <f ca="1">IFERROR(__xludf.DUMMYFUNCTION("""COMPUTED_VALUE"""),0)</f>
        <v>0</v>
      </c>
      <c r="H2081" s="8">
        <f ca="1">IFERROR(__xludf.DUMMYFUNCTION("""COMPUTED_VALUE"""),0)</f>
        <v>0</v>
      </c>
      <c r="I2081" s="8">
        <f ca="1">IFERROR(__xludf.DUMMYFUNCTION("""COMPUTED_VALUE"""),0)</f>
        <v>0</v>
      </c>
      <c r="J2081" s="8">
        <f ca="1">IFERROR(__xludf.DUMMYFUNCTION("""COMPUTED_VALUE"""),1)</f>
        <v>1</v>
      </c>
      <c r="K2081" s="8" t="str">
        <f ca="1">IFERROR(__xludf.DUMMYFUNCTION("""COMPUTED_VALUE"""),"http://www.mpnnow.com/article/20090506/NEWS/305069915 https://www.fltimes.com/news/teen-planned-to-kill-others/article_43b22208-bf7a-5a28-81ec-e1f25ac218fc.html https://www.cbsnews.com/news/ny-school-evacuated-after-boys-suicide/")</f>
        <v>http://www.mpnnow.com/article/20090506/NEWS/305069915 https://www.fltimes.com/news/teen-planned-to-kill-others/article_43b22208-bf7a-5a28-81ec-e1f25ac218fc.html https://www.cbsnews.com/news/ny-school-evacuated-after-boys-suicide/</v>
      </c>
      <c r="L2081" s="8"/>
      <c r="M2081" s="8"/>
      <c r="N2081" s="8">
        <f ca="1">IFERROR(__xludf.DUMMYFUNCTION("""COMPUTED_VALUE"""),4)</f>
        <v>4</v>
      </c>
      <c r="O2081" s="8" t="str">
        <f ca="1">IFERROR(__xludf.DUMMYFUNCTION("""COMPUTED_VALUE"""),"Spring")</f>
        <v>Spring</v>
      </c>
      <c r="P2081" s="8" t="str">
        <f ca="1">IFERROR(__xludf.DUMMYFUNCTION("""COMPUTED_VALUE"""),"Canandaigua")</f>
        <v>Canandaigua</v>
      </c>
      <c r="Q2081" s="8" t="str">
        <f ca="1">IFERROR(__xludf.DUMMYFUNCTION("""COMPUTED_VALUE"""),"NY")</f>
        <v>NY</v>
      </c>
      <c r="R2081" s="8" t="str">
        <f ca="1">IFERROR(__xludf.DUMMYFUNCTION("""COMPUTED_VALUE"""),"High")</f>
        <v>High</v>
      </c>
      <c r="S2081" s="8" t="str">
        <f ca="1">IFERROR(__xludf.DUMMYFUNCTION("""COMPUTED_VALUE"""),"Bathroom")</f>
        <v>Bathroom</v>
      </c>
      <c r="T2081" s="8" t="str">
        <f ca="1">IFERROR(__xludf.DUMMYFUNCTION("""COMPUTED_VALUE"""),"Inside School Building")</f>
        <v>Inside School Building</v>
      </c>
      <c r="U2081" s="8" t="str">
        <f ca="1">IFERROR(__xludf.DUMMYFUNCTION("""COMPUTED_VALUE"""),"Yes")</f>
        <v>Yes</v>
      </c>
      <c r="V2081" s="8" t="str">
        <f ca="1">IFERROR(__xludf.DUMMYFUNCTION("""COMPUTED_VALUE"""),"Morning Classes")</f>
        <v>Morning Classes</v>
      </c>
      <c r="W2081" s="11">
        <f ca="1">IFERROR(__xludf.DUMMYFUNCTION("""COMPUTED_VALUE"""),0.434027777777777)</f>
        <v>0.43402777777777701</v>
      </c>
      <c r="X2081" s="8">
        <f ca="1">IFERROR(__xludf.DUMMYFUNCTION("""COMPUTED_VALUE"""),1)</f>
        <v>1</v>
      </c>
      <c r="Y2081" s="12" t="str">
        <f ca="1">IFERROR(__xludf.DUMMYFUNCTION("""COMPUTED_VALUE"""),"Suicide in bathroom, had plan to attack school")</f>
        <v>Suicide in bathroom, had plan to attack school</v>
      </c>
      <c r="Z2081" s="12" t="str">
        <f ca="1">IFERROR(__xludf.DUMMYFUNCTION("""COMPUTED_VALUE"""),"17 year old shooter left school in between classes, then came back in a side entrance carrying a concealed sawed off shotgun. Shooter then went into boys bathroom and shot himself. He was found by other students. A search of his belongings found he had tw"&amp;"o Molotov cocktails in his locker and 30 rounds of ammo. No suicide note was left. Police stated shooter had left notes in a journal that he planned to kill others, but they are not sure why he changed his mind. He wrote about his growing hatred for every"&amp;"one at school, shed light on his decision to kill himself there. Although he wrote that he was not bullied, felt a sense of rejection from the school as a whole.")</f>
        <v>17 year old shooter left school in between classes, then came back in a side entrance carrying a concealed sawed off shotgun. Shooter then went into boys bathroom and shot himself. He was found by other students. A search of his belongings found he had two Molotov cocktails in his locker and 30 rounds of ammo. No suicide note was left. Police stated shooter had left notes in a journal that he planned to kill others, but they are not sure why he changed his mind. He wrote about his growing hatred for everyone at school, shed light on his decision to kill himself there. Although he wrote that he was not bullied, felt a sense of rejection from the school as a whole.</v>
      </c>
      <c r="AA2081" s="8" t="str">
        <f ca="1">IFERROR(__xludf.DUMMYFUNCTION("""COMPUTED_VALUE"""),"Indiscriminate Shooting")</f>
        <v>Indiscriminate Shooting</v>
      </c>
      <c r="AB2081" s="8"/>
      <c r="AC2081" s="8" t="str">
        <f ca="1">IFERROR(__xludf.DUMMYFUNCTION("""COMPUTED_VALUE"""),"Yes")</f>
        <v>Yes</v>
      </c>
      <c r="AD2081" s="8" t="str">
        <f ca="1">IFERROR(__xludf.DUMMYFUNCTION("""COMPUTED_VALUE"""),"Victims Targeted")</f>
        <v>Victims Targeted</v>
      </c>
      <c r="AE2081" s="8" t="str">
        <f ca="1">IFERROR(__xludf.DUMMYFUNCTION("""COMPUTED_VALUE"""),"No")</f>
        <v>No</v>
      </c>
      <c r="AF2081" s="8"/>
      <c r="AG2081" s="8" t="str">
        <f ca="1">IFERROR(__xludf.DUMMYFUNCTION("""COMPUTED_VALUE"""),"No")</f>
        <v>No</v>
      </c>
      <c r="AH2081" s="8" t="str">
        <f ca="1">IFERROR(__xludf.DUMMYFUNCTION("""COMPUTED_VALUE"""),"No")</f>
        <v>No</v>
      </c>
      <c r="AI2081" s="8" t="str">
        <f ca="1">IFERROR(__xludf.DUMMYFUNCTION("""COMPUTED_VALUE"""),"No")</f>
        <v>No</v>
      </c>
      <c r="AJ2081" s="8"/>
      <c r="AK2081" s="8"/>
      <c r="AL2081" s="8" t="str">
        <f ca="1">IFERROR(__xludf.DUMMYFUNCTION("""COMPUTED_VALUE"""),"No")</f>
        <v>No</v>
      </c>
      <c r="AM2081" s="8" t="str">
        <f ca="1">IFERROR(__xludf.DUMMYFUNCTION("""COMPUTED_VALUE"""),"Yes")</f>
        <v>Yes</v>
      </c>
      <c r="AN2081" s="8" t="str">
        <f ca="1">IFERROR(__xludf.DUMMYFUNCTION("""COMPUTED_VALUE"""),"Single Room")</f>
        <v>Single Room</v>
      </c>
      <c r="AO2081" s="8" t="str">
        <f ca="1">IFERROR(__xludf.DUMMYFUNCTION("""COMPUTED_VALUE"""),"No")</f>
        <v>No</v>
      </c>
      <c r="AP2081" s="8"/>
      <c r="AQ2081" s="8" t="str">
        <f ca="1">IFERROR(__xludf.DUMMYFUNCTION("""COMPUTED_VALUE"""),"Unknown")</f>
        <v>Unknown</v>
      </c>
      <c r="AR2081" s="8" t="str">
        <f ca="1">IFERROR(__xludf.DUMMYFUNCTION("""COMPUTED_VALUE"""),"NA")</f>
        <v>NA</v>
      </c>
      <c r="AS2081" s="8">
        <f ca="1">IFERROR(__xludf.DUMMYFUNCTION("""COMPUTED_VALUE"""),1)</f>
        <v>1</v>
      </c>
      <c r="AT2081" s="8"/>
      <c r="AU2081" s="8">
        <f ca="1">IFERROR(__xludf.DUMMYFUNCTION("""COMPUTED_VALUE"""),42.909011)</f>
        <v>42.909011</v>
      </c>
      <c r="AV2081" s="8">
        <f ca="1">IFERROR(__xludf.DUMMYFUNCTION("""COMPUTED_VALUE"""),-77.274892)</f>
        <v>-77.274891999999994</v>
      </c>
      <c r="AW2081" s="8"/>
      <c r="AX2081" s="8">
        <f ca="1">IFERROR(__xludf.DUMMYFUNCTION("""COMPUTED_VALUE"""),14424)</f>
        <v>14424</v>
      </c>
    </row>
    <row r="2082" spans="1:50" ht="45" x14ac:dyDescent="0.2">
      <c r="A2082" s="8" t="str">
        <f ca="1">IFERROR(__xludf.DUMMYFUNCTION("""COMPUTED_VALUE"""),"20090501WISHS")</f>
        <v>20090501WISHS</v>
      </c>
      <c r="B2082" s="8">
        <f ca="1">IFERROR(__xludf.DUMMYFUNCTION("""COMPUTED_VALUE"""),5)</f>
        <v>5</v>
      </c>
      <c r="C2082" s="8">
        <f ca="1">IFERROR(__xludf.DUMMYFUNCTION("""COMPUTED_VALUE"""),1)</f>
        <v>1</v>
      </c>
      <c r="D2082" s="8">
        <f ca="1">IFERROR(__xludf.DUMMYFUNCTION("""COMPUTED_VALUE"""),2009)</f>
        <v>2009</v>
      </c>
      <c r="E2082" s="9">
        <f ca="1">IFERROR(__xludf.DUMMYFUNCTION("""COMPUTED_VALUE"""),39934)</f>
        <v>39934</v>
      </c>
      <c r="F2082" s="8" t="str">
        <f ca="1">IFERROR(__xludf.DUMMYFUNCTION("""COMPUTED_VALUE"""),"Sheboygan High School")</f>
        <v>Sheboygan High School</v>
      </c>
      <c r="G2082" s="8">
        <f ca="1">IFERROR(__xludf.DUMMYFUNCTION("""COMPUTED_VALUE"""),0)</f>
        <v>0</v>
      </c>
      <c r="H2082" s="8">
        <f ca="1">IFERROR(__xludf.DUMMYFUNCTION("""COMPUTED_VALUE"""),0)</f>
        <v>0</v>
      </c>
      <c r="I2082" s="8">
        <f ca="1">IFERROR(__xludf.DUMMYFUNCTION("""COMPUTED_VALUE"""),0)</f>
        <v>0</v>
      </c>
      <c r="J2082" s="8">
        <f ca="1">IFERROR(__xludf.DUMMYFUNCTION("""COMPUTED_VALUE"""),1)</f>
        <v>1</v>
      </c>
      <c r="K2082" s="10" t="str">
        <f ca="1">IFERROR(__xludf.DUMMYFUNCTION("""COMPUTED_VALUE"""),"http://www.wsaw.com/home/headlines/44225502.html")</f>
        <v>http://www.wsaw.com/home/headlines/44225502.html</v>
      </c>
      <c r="L2082" s="8"/>
      <c r="M2082" s="8"/>
      <c r="N2082" s="8">
        <f ca="1">IFERROR(__xludf.DUMMYFUNCTION("""COMPUTED_VALUE"""),2)</f>
        <v>2</v>
      </c>
      <c r="O2082" s="8" t="str">
        <f ca="1">IFERROR(__xludf.DUMMYFUNCTION("""COMPUTED_VALUE"""),"Spring")</f>
        <v>Spring</v>
      </c>
      <c r="P2082" s="8" t="str">
        <f ca="1">IFERROR(__xludf.DUMMYFUNCTION("""COMPUTED_VALUE"""),"Sheboygan")</f>
        <v>Sheboygan</v>
      </c>
      <c r="Q2082" s="8" t="str">
        <f ca="1">IFERROR(__xludf.DUMMYFUNCTION("""COMPUTED_VALUE"""),"WI")</f>
        <v>WI</v>
      </c>
      <c r="R2082" s="8" t="str">
        <f ca="1">IFERROR(__xludf.DUMMYFUNCTION("""COMPUTED_VALUE"""),"High")</f>
        <v>High</v>
      </c>
      <c r="S2082" s="8" t="str">
        <f ca="1">IFERROR(__xludf.DUMMYFUNCTION("""COMPUTED_VALUE"""),"Parking Lot")</f>
        <v>Parking Lot</v>
      </c>
      <c r="T2082" s="8" t="str">
        <f ca="1">IFERROR(__xludf.DUMMYFUNCTION("""COMPUTED_VALUE"""),"Outside on School Property")</f>
        <v>Outside on School Property</v>
      </c>
      <c r="U2082" s="8" t="str">
        <f ca="1">IFERROR(__xludf.DUMMYFUNCTION("""COMPUTED_VALUE"""),"Yes")</f>
        <v>Yes</v>
      </c>
      <c r="V2082" s="8" t="str">
        <f ca="1">IFERROR(__xludf.DUMMYFUNCTION("""COMPUTED_VALUE"""),"After School")</f>
        <v>After School</v>
      </c>
      <c r="W2082" s="11">
        <f ca="1">IFERROR(__xludf.DUMMYFUNCTION("""COMPUTED_VALUE"""),0.652777777777777)</f>
        <v>0.65277777777777701</v>
      </c>
      <c r="X2082" s="8">
        <f ca="1">IFERROR(__xludf.DUMMYFUNCTION("""COMPUTED_VALUE"""),1)</f>
        <v>1</v>
      </c>
      <c r="Y2082" s="12" t="str">
        <f ca="1">IFERROR(__xludf.DUMMYFUNCTION("""COMPUTED_VALUE"""),"Suicide in school parking lot")</f>
        <v>Suicide in school parking lot</v>
      </c>
      <c r="Z2082" s="12" t="str">
        <f ca="1">IFERROR(__xludf.DUMMYFUNCTION("""COMPUTED_VALUE"""),"17 year old male shot himself in stomach 40 minutes after school ended. Shooting occurred in parking lot. Shooter died later at the hospital.")</f>
        <v>17 year old male shot himself in stomach 40 minutes after school ended. Shooting occurred in parking lot. Shooter died later at the hospital.</v>
      </c>
      <c r="AA2082" s="8" t="str">
        <f ca="1">IFERROR(__xludf.DUMMYFUNCTION("""COMPUTED_VALUE"""),"Suicide/Attempted")</f>
        <v>Suicide/Attempted</v>
      </c>
      <c r="AB2082" s="8"/>
      <c r="AC2082" s="8" t="str">
        <f ca="1">IFERROR(__xludf.DUMMYFUNCTION("""COMPUTED_VALUE"""),"Yes")</f>
        <v>Yes</v>
      </c>
      <c r="AD2082" s="8" t="str">
        <f ca="1">IFERROR(__xludf.DUMMYFUNCTION("""COMPUTED_VALUE"""),"Victims Targeted")</f>
        <v>Victims Targeted</v>
      </c>
      <c r="AE2082" s="8" t="str">
        <f ca="1">IFERROR(__xludf.DUMMYFUNCTION("""COMPUTED_VALUE"""),"No")</f>
        <v>No</v>
      </c>
      <c r="AF2082" s="8"/>
      <c r="AG2082" s="8" t="str">
        <f ca="1">IFERROR(__xludf.DUMMYFUNCTION("""COMPUTED_VALUE"""),"No")</f>
        <v>No</v>
      </c>
      <c r="AH2082" s="8" t="str">
        <f ca="1">IFERROR(__xludf.DUMMYFUNCTION("""COMPUTED_VALUE"""),"No")</f>
        <v>No</v>
      </c>
      <c r="AI2082" s="8" t="str">
        <f ca="1">IFERROR(__xludf.DUMMYFUNCTION("""COMPUTED_VALUE"""),"No")</f>
        <v>No</v>
      </c>
      <c r="AJ2082" s="8"/>
      <c r="AK2082" s="8"/>
      <c r="AL2082" s="8" t="str">
        <f ca="1">IFERROR(__xludf.DUMMYFUNCTION("""COMPUTED_VALUE"""),"No")</f>
        <v>No</v>
      </c>
      <c r="AM2082" s="8"/>
      <c r="AN2082" s="8"/>
      <c r="AO2082" s="8" t="str">
        <f ca="1">IFERROR(__xludf.DUMMYFUNCTION("""COMPUTED_VALUE"""),"No")</f>
        <v>No</v>
      </c>
      <c r="AP2082" s="8"/>
      <c r="AQ2082" s="8" t="str">
        <f ca="1">IFERROR(__xludf.DUMMYFUNCTION("""COMPUTED_VALUE"""),"Unknown")</f>
        <v>Unknown</v>
      </c>
      <c r="AR2082" s="8" t="str">
        <f ca="1">IFERROR(__xludf.DUMMYFUNCTION("""COMPUTED_VALUE"""),"NA")</f>
        <v>NA</v>
      </c>
      <c r="AS2082" s="8">
        <f ca="1">IFERROR(__xludf.DUMMYFUNCTION("""COMPUTED_VALUE"""),1)</f>
        <v>1</v>
      </c>
      <c r="AT2082" s="8"/>
      <c r="AU2082" s="8">
        <f ca="1">IFERROR(__xludf.DUMMYFUNCTION("""COMPUTED_VALUE"""),43.720072)</f>
        <v>43.720072000000002</v>
      </c>
      <c r="AV2082" s="8">
        <f ca="1">IFERROR(__xludf.DUMMYFUNCTION("""COMPUTED_VALUE"""),-87.72167)</f>
        <v>-87.721670000000003</v>
      </c>
      <c r="AW2082" s="8"/>
      <c r="AX2082" s="8">
        <f ca="1">IFERROR(__xludf.DUMMYFUNCTION("""COMPUTED_VALUE"""),53081)</f>
        <v>53081</v>
      </c>
    </row>
    <row r="2083" spans="1:50" ht="45" x14ac:dyDescent="0.2">
      <c r="A2083" s="8" t="str">
        <f ca="1">IFERROR(__xludf.DUMMYFUNCTION("""COMPUTED_VALUE"""),"20090413CALOL")</f>
        <v>20090413CALOL</v>
      </c>
      <c r="B2083" s="8">
        <f ca="1">IFERROR(__xludf.DUMMYFUNCTION("""COMPUTED_VALUE"""),4)</f>
        <v>4</v>
      </c>
      <c r="C2083" s="8">
        <f ca="1">IFERROR(__xludf.DUMMYFUNCTION("""COMPUTED_VALUE"""),13)</f>
        <v>13</v>
      </c>
      <c r="D2083" s="8">
        <f ca="1">IFERROR(__xludf.DUMMYFUNCTION("""COMPUTED_VALUE"""),2009)</f>
        <v>2009</v>
      </c>
      <c r="E2083" s="9">
        <f ca="1">IFERROR(__xludf.DUMMYFUNCTION("""COMPUTED_VALUE"""),39916)</f>
        <v>39916</v>
      </c>
      <c r="F2083" s="8" t="str">
        <f ca="1">IFERROR(__xludf.DUMMYFUNCTION("""COMPUTED_VALUE"""),"Locke High School")</f>
        <v>Locke High School</v>
      </c>
      <c r="G2083" s="8">
        <f ca="1">IFERROR(__xludf.DUMMYFUNCTION("""COMPUTED_VALUE"""),0)</f>
        <v>0</v>
      </c>
      <c r="H2083" s="8">
        <f ca="1">IFERROR(__xludf.DUMMYFUNCTION("""COMPUTED_VALUE"""),1)</f>
        <v>1</v>
      </c>
      <c r="I2083" s="8">
        <f ca="1">IFERROR(__xludf.DUMMYFUNCTION("""COMPUTED_VALUE"""),1)</f>
        <v>1</v>
      </c>
      <c r="J2083" s="8">
        <f ca="1">IFERROR(__xludf.DUMMYFUNCTION("""COMPUTED_VALUE"""),0)</f>
        <v>0</v>
      </c>
      <c r="K2083" s="10" t="str">
        <f ca="1">IFERROR(__xludf.DUMMYFUNCTION("""COMPUTED_VALUE"""),"http://www.latimes.com/la-me-locke01_ki20l0nc-photo.html")</f>
        <v>http://www.latimes.com/la-me-locke01_ki20l0nc-photo.html</v>
      </c>
      <c r="L2083" s="8"/>
      <c r="M2083" s="8"/>
      <c r="N2083" s="8">
        <f ca="1">IFERROR(__xludf.DUMMYFUNCTION("""COMPUTED_VALUE"""),2)</f>
        <v>2</v>
      </c>
      <c r="O2083" s="8" t="str">
        <f ca="1">IFERROR(__xludf.DUMMYFUNCTION("""COMPUTED_VALUE"""),"Spring")</f>
        <v>Spring</v>
      </c>
      <c r="P2083" s="8" t="str">
        <f ca="1">IFERROR(__xludf.DUMMYFUNCTION("""COMPUTED_VALUE"""),"Los Angeles")</f>
        <v>Los Angeles</v>
      </c>
      <c r="Q2083" s="8" t="str">
        <f ca="1">IFERROR(__xludf.DUMMYFUNCTION("""COMPUTED_VALUE"""),"CA")</f>
        <v>CA</v>
      </c>
      <c r="R2083" s="8" t="str">
        <f ca="1">IFERROR(__xludf.DUMMYFUNCTION("""COMPUTED_VALUE"""),"High")</f>
        <v>High</v>
      </c>
      <c r="S2083" s="8" t="str">
        <f ca="1">IFERROR(__xludf.DUMMYFUNCTION("""COMPUTED_VALUE"""),"Front of School")</f>
        <v>Front of School</v>
      </c>
      <c r="T2083" s="8" t="str">
        <f ca="1">IFERROR(__xludf.DUMMYFUNCTION("""COMPUTED_VALUE"""),"Outside on School Property")</f>
        <v>Outside on School Property</v>
      </c>
      <c r="U2083" s="8" t="str">
        <f ca="1">IFERROR(__xludf.DUMMYFUNCTION("""COMPUTED_VALUE"""),"Yes")</f>
        <v>Yes</v>
      </c>
      <c r="V2083" s="8" t="str">
        <f ca="1">IFERROR(__xludf.DUMMYFUNCTION("""COMPUTED_VALUE"""),"Before School")</f>
        <v>Before School</v>
      </c>
      <c r="W2083" s="8"/>
      <c r="X2083" s="8">
        <f ca="1">IFERROR(__xludf.DUMMYFUNCTION("""COMPUTED_VALUE"""),1)</f>
        <v>1</v>
      </c>
      <c r="Y2083" s="12" t="str">
        <f ca="1">IFERROR(__xludf.DUMMYFUNCTION("""COMPUTED_VALUE"""),"Gang related shooting in front of school")</f>
        <v>Gang related shooting in front of school</v>
      </c>
      <c r="Z2083" s="12" t="str">
        <f ca="1">IFERROR(__xludf.DUMMYFUNCTION("""COMPUTED_VALUE"""),"16 year old victim was shot in front of campus early Monday morning - suspect was described as Latino wearing gray hoodie.")</f>
        <v>16 year old victim was shot in front of campus early Monday morning - suspect was described as Latino wearing gray hoodie.</v>
      </c>
      <c r="AA2083" s="8" t="str">
        <f ca="1">IFERROR(__xludf.DUMMYFUNCTION("""COMPUTED_VALUE"""),"Escalation of Dispute")</f>
        <v>Escalation of Dispute</v>
      </c>
      <c r="AB2083" s="8"/>
      <c r="AC2083" s="8" t="str">
        <f ca="1">IFERROR(__xludf.DUMMYFUNCTION("""COMPUTED_VALUE"""),"Yes")</f>
        <v>Yes</v>
      </c>
      <c r="AD2083" s="8" t="str">
        <f ca="1">IFERROR(__xludf.DUMMYFUNCTION("""COMPUTED_VALUE"""),"Victims Targeted")</f>
        <v>Victims Targeted</v>
      </c>
      <c r="AE2083" s="8"/>
      <c r="AF2083" s="8"/>
      <c r="AG2083" s="8" t="str">
        <f ca="1">IFERROR(__xludf.DUMMYFUNCTION("""COMPUTED_VALUE"""),"No")</f>
        <v>No</v>
      </c>
      <c r="AH2083" s="8" t="str">
        <f ca="1">IFERROR(__xludf.DUMMYFUNCTION("""COMPUTED_VALUE"""),"No")</f>
        <v>No</v>
      </c>
      <c r="AI2083" s="8" t="str">
        <f ca="1">IFERROR(__xludf.DUMMYFUNCTION("""COMPUTED_VALUE"""),"No")</f>
        <v>No</v>
      </c>
      <c r="AJ2083" s="8"/>
      <c r="AK2083" s="8"/>
      <c r="AL2083" s="8" t="str">
        <f ca="1">IFERROR(__xludf.DUMMYFUNCTION("""COMPUTED_VALUE"""),"Yes")</f>
        <v>Yes</v>
      </c>
      <c r="AM2083" s="8"/>
      <c r="AN2083" s="8"/>
      <c r="AO2083" s="8" t="str">
        <f ca="1">IFERROR(__xludf.DUMMYFUNCTION("""COMPUTED_VALUE"""),"No")</f>
        <v>No</v>
      </c>
      <c r="AP2083" s="8"/>
      <c r="AQ2083" s="8" t="str">
        <f ca="1">IFERROR(__xludf.DUMMYFUNCTION("""COMPUTED_VALUE"""),"Unknown")</f>
        <v>Unknown</v>
      </c>
      <c r="AR2083" s="8" t="str">
        <f ca="1">IFERROR(__xludf.DUMMYFUNCTION("""COMPUTED_VALUE"""),"NA")</f>
        <v>NA</v>
      </c>
      <c r="AS2083" s="8">
        <f ca="1">IFERROR(__xludf.DUMMYFUNCTION("""COMPUTED_VALUE"""),1)</f>
        <v>1</v>
      </c>
      <c r="AT2083" s="8"/>
      <c r="AU2083" s="8">
        <f ca="1">IFERROR(__xludf.DUMMYFUNCTION("""COMPUTED_VALUE"""),33.935033)</f>
        <v>33.935032999999997</v>
      </c>
      <c r="AV2083" s="8">
        <f ca="1">IFERROR(__xludf.DUMMYFUNCTION("""COMPUTED_VALUE"""),-118.268846)</f>
        <v>-118.268846</v>
      </c>
      <c r="AW2083" s="8"/>
      <c r="AX2083" s="8">
        <f ca="1">IFERROR(__xludf.DUMMYFUNCTION("""COMPUTED_VALUE"""),90061)</f>
        <v>90061</v>
      </c>
    </row>
    <row r="2084" spans="1:50" ht="45" x14ac:dyDescent="0.2">
      <c r="A2084" s="8" t="str">
        <f ca="1">IFERROR(__xludf.DUMMYFUNCTION("""COMPUTED_VALUE"""),"20090311TXCYH")</f>
        <v>20090311TXCYH</v>
      </c>
      <c r="B2084" s="8">
        <f ca="1">IFERROR(__xludf.DUMMYFUNCTION("""COMPUTED_VALUE"""),3)</f>
        <v>3</v>
      </c>
      <c r="C2084" s="8">
        <f ca="1">IFERROR(__xludf.DUMMYFUNCTION("""COMPUTED_VALUE"""),11)</f>
        <v>11</v>
      </c>
      <c r="D2084" s="8">
        <f ca="1">IFERROR(__xludf.DUMMYFUNCTION("""COMPUTED_VALUE"""),2009)</f>
        <v>2009</v>
      </c>
      <c r="E2084" s="9">
        <f ca="1">IFERROR(__xludf.DUMMYFUNCTION("""COMPUTED_VALUE"""),39883)</f>
        <v>39883</v>
      </c>
      <c r="F2084" s="8" t="str">
        <f ca="1">IFERROR(__xludf.DUMMYFUNCTION("""COMPUTED_VALUE"""),"Cypress Ridge High School")</f>
        <v>Cypress Ridge High School</v>
      </c>
      <c r="G2084" s="8">
        <f ca="1">IFERROR(__xludf.DUMMYFUNCTION("""COMPUTED_VALUE"""),0)</f>
        <v>0</v>
      </c>
      <c r="H2084" s="8">
        <f ca="1">IFERROR(__xludf.DUMMYFUNCTION("""COMPUTED_VALUE"""),0)</f>
        <v>0</v>
      </c>
      <c r="I2084" s="8">
        <f ca="1">IFERROR(__xludf.DUMMYFUNCTION("""COMPUTED_VALUE"""),0)</f>
        <v>0</v>
      </c>
      <c r="J2084" s="8">
        <f ca="1">IFERROR(__xludf.DUMMYFUNCTION("""COMPUTED_VALUE"""),0)</f>
        <v>0</v>
      </c>
      <c r="K2084" s="10" t="str">
        <f ca="1">IFERROR(__xludf.DUMMYFUNCTION("""COMPUTED_VALUE"""),"https://abc13.com/archive/6704811/")</f>
        <v>https://abc13.com/archive/6704811/</v>
      </c>
      <c r="L2084" s="8"/>
      <c r="M2084" s="8"/>
      <c r="N2084" s="8">
        <f ca="1">IFERROR(__xludf.DUMMYFUNCTION("""COMPUTED_VALUE"""),2)</f>
        <v>2</v>
      </c>
      <c r="O2084" s="8" t="str">
        <f ca="1">IFERROR(__xludf.DUMMYFUNCTION("""COMPUTED_VALUE"""),"Spring")</f>
        <v>Spring</v>
      </c>
      <c r="P2084" s="8" t="str">
        <f ca="1">IFERROR(__xludf.DUMMYFUNCTION("""COMPUTED_VALUE"""),"Houston")</f>
        <v>Houston</v>
      </c>
      <c r="Q2084" s="8" t="str">
        <f ca="1">IFERROR(__xludf.DUMMYFUNCTION("""COMPUTED_VALUE"""),"TX")</f>
        <v>TX</v>
      </c>
      <c r="R2084" s="8" t="str">
        <f ca="1">IFERROR(__xludf.DUMMYFUNCTION("""COMPUTED_VALUE"""),"High")</f>
        <v>High</v>
      </c>
      <c r="S2084" s="8" t="str">
        <f ca="1">IFERROR(__xludf.DUMMYFUNCTION("""COMPUTED_VALUE"""),"Bathroom")</f>
        <v>Bathroom</v>
      </c>
      <c r="T2084" s="8" t="str">
        <f ca="1">IFERROR(__xludf.DUMMYFUNCTION("""COMPUTED_VALUE"""),"Inside School Building")</f>
        <v>Inside School Building</v>
      </c>
      <c r="U2084" s="8" t="str">
        <f ca="1">IFERROR(__xludf.DUMMYFUNCTION("""COMPUTED_VALUE"""),"Yes")</f>
        <v>Yes</v>
      </c>
      <c r="V2084" s="8" t="str">
        <f ca="1">IFERROR(__xludf.DUMMYFUNCTION("""COMPUTED_VALUE"""),"Before School")</f>
        <v>Before School</v>
      </c>
      <c r="W2084" s="8"/>
      <c r="X2084" s="8">
        <f ca="1">IFERROR(__xludf.DUMMYFUNCTION("""COMPUTED_VALUE"""),1)</f>
        <v>1</v>
      </c>
      <c r="Y2084" s="12" t="str">
        <f ca="1">IFERROR(__xludf.DUMMYFUNCTION("""COMPUTED_VALUE"""),"Accidental shooting in school bathroom")</f>
        <v>Accidental shooting in school bathroom</v>
      </c>
      <c r="Z2084" s="12" t="str">
        <f ca="1">IFERROR(__xludf.DUMMYFUNCTION("""COMPUTED_VALUE"""),"Two students were in boy's bathroom before school started when a small caliber handgun was fired but there were no injuries. Teens were arrested and charged.")</f>
        <v>Two students were in boy's bathroom before school started when a small caliber handgun was fired but there were no injuries. Teens were arrested and charged.</v>
      </c>
      <c r="AA2084" s="8" t="str">
        <f ca="1">IFERROR(__xludf.DUMMYFUNCTION("""COMPUTED_VALUE"""),"Accidental")</f>
        <v>Accidental</v>
      </c>
      <c r="AB2084" s="8"/>
      <c r="AC2084" s="8" t="str">
        <f ca="1">IFERROR(__xludf.DUMMYFUNCTION("""COMPUTED_VALUE"""),"Yes")</f>
        <v>Yes</v>
      </c>
      <c r="AD2084" s="8" t="str">
        <f ca="1">IFERROR(__xludf.DUMMYFUNCTION("""COMPUTED_VALUE"""),"NA")</f>
        <v>NA</v>
      </c>
      <c r="AE2084" s="8" t="str">
        <f ca="1">IFERROR(__xludf.DUMMYFUNCTION("""COMPUTED_VALUE"""),"Yes")</f>
        <v>Yes</v>
      </c>
      <c r="AF2084" s="8" t="str">
        <f ca="1">IFERROR(__xludf.DUMMYFUNCTION("""COMPUTED_VALUE"""),"More than one student arrested")</f>
        <v>More than one student arrested</v>
      </c>
      <c r="AG2084" s="8" t="str">
        <f ca="1">IFERROR(__xludf.DUMMYFUNCTION("""COMPUTED_VALUE"""),"No")</f>
        <v>No</v>
      </c>
      <c r="AH2084" s="8" t="str">
        <f ca="1">IFERROR(__xludf.DUMMYFUNCTION("""COMPUTED_VALUE"""),"No")</f>
        <v>No</v>
      </c>
      <c r="AI2084" s="8" t="str">
        <f ca="1">IFERROR(__xludf.DUMMYFUNCTION("""COMPUTED_VALUE"""),"No")</f>
        <v>No</v>
      </c>
      <c r="AJ2084" s="8" t="str">
        <f ca="1">IFERROR(__xludf.DUMMYFUNCTION("""COMPUTED_VALUE"""),"N/A")</f>
        <v>N/A</v>
      </c>
      <c r="AK2084" s="8" t="str">
        <f ca="1">IFERROR(__xludf.DUMMYFUNCTION("""COMPUTED_VALUE"""),"N/A")</f>
        <v>N/A</v>
      </c>
      <c r="AL2084" s="8" t="str">
        <f ca="1">IFERROR(__xludf.DUMMYFUNCTION("""COMPUTED_VALUE"""),"No")</f>
        <v>No</v>
      </c>
      <c r="AM2084" s="8"/>
      <c r="AN2084" s="8"/>
      <c r="AO2084" s="8" t="str">
        <f ca="1">IFERROR(__xludf.DUMMYFUNCTION("""COMPUTED_VALUE"""),"No")</f>
        <v>No</v>
      </c>
      <c r="AP2084" s="8" t="str">
        <f ca="1">IFERROR(__xludf.DUMMYFUNCTION("""COMPUTED_VALUE"""),"Yes")</f>
        <v>Yes</v>
      </c>
      <c r="AQ2084" s="8" t="str">
        <f ca="1">IFERROR(__xludf.DUMMYFUNCTION("""COMPUTED_VALUE"""),"Unknown")</f>
        <v>Unknown</v>
      </c>
      <c r="AR2084" s="8" t="str">
        <f ca="1">IFERROR(__xludf.DUMMYFUNCTION("""COMPUTED_VALUE"""),"NA")</f>
        <v>NA</v>
      </c>
      <c r="AS2084" s="8">
        <f ca="1">IFERROR(__xludf.DUMMYFUNCTION("""COMPUTED_VALUE"""),1)</f>
        <v>1</v>
      </c>
      <c r="AT2084" s="8"/>
      <c r="AU2084" s="8">
        <f ca="1">IFERROR(__xludf.DUMMYFUNCTION("""COMPUTED_VALUE"""),29.892193)</f>
        <v>29.892192999999999</v>
      </c>
      <c r="AV2084" s="8">
        <f ca="1">IFERROR(__xludf.DUMMYFUNCTION("""COMPUTED_VALUE"""),-95.604917)</f>
        <v>-95.604917</v>
      </c>
      <c r="AW2084" s="8"/>
      <c r="AX2084" s="8">
        <f ca="1">IFERROR(__xludf.DUMMYFUNCTION("""COMPUTED_VALUE"""),77041)</f>
        <v>77041</v>
      </c>
    </row>
    <row r="2085" spans="1:50" ht="60" x14ac:dyDescent="0.2">
      <c r="A2085" s="8" t="str">
        <f ca="1">IFERROR(__xludf.DUMMYFUNCTION("""COMPUTED_VALUE"""),"20090310FLRIJ")</f>
        <v>20090310FLRIJ</v>
      </c>
      <c r="B2085" s="8">
        <f ca="1">IFERROR(__xludf.DUMMYFUNCTION("""COMPUTED_VALUE"""),3)</f>
        <v>3</v>
      </c>
      <c r="C2085" s="8">
        <f ca="1">IFERROR(__xludf.DUMMYFUNCTION("""COMPUTED_VALUE"""),10)</f>
        <v>10</v>
      </c>
      <c r="D2085" s="8">
        <f ca="1">IFERROR(__xludf.DUMMYFUNCTION("""COMPUTED_VALUE"""),2009)</f>
        <v>2009</v>
      </c>
      <c r="E2085" s="9">
        <f ca="1">IFERROR(__xludf.DUMMYFUNCTION("""COMPUTED_VALUE"""),39882)</f>
        <v>39882</v>
      </c>
      <c r="F2085" s="8" t="str">
        <f ca="1">IFERROR(__xludf.DUMMYFUNCTION("""COMPUTED_VALUE"""),"Ribault High School")</f>
        <v>Ribault High School</v>
      </c>
      <c r="G2085" s="8">
        <f ca="1">IFERROR(__xludf.DUMMYFUNCTION("""COMPUTED_VALUE"""),0)</f>
        <v>0</v>
      </c>
      <c r="H2085" s="8">
        <f ca="1">IFERROR(__xludf.DUMMYFUNCTION("""COMPUTED_VALUE"""),0)</f>
        <v>0</v>
      </c>
      <c r="I2085" s="8">
        <f ca="1">IFERROR(__xludf.DUMMYFUNCTION("""COMPUTED_VALUE"""),0)</f>
        <v>0</v>
      </c>
      <c r="J2085" s="8">
        <f ca="1">IFERROR(__xludf.DUMMYFUNCTION("""COMPUTED_VALUE"""),0)</f>
        <v>0</v>
      </c>
      <c r="K2085" s="10" t="str">
        <f ca="1">IFERROR(__xludf.DUMMYFUNCTION("""COMPUTED_VALUE"""),"http://www.jacksonville.com/news/metro/crime/2009-03-10/story/police_responding_to_shots_fired_at_ribault_high_school")</f>
        <v>http://www.jacksonville.com/news/metro/crime/2009-03-10/story/police_responding_to_shots_fired_at_ribault_high_school</v>
      </c>
      <c r="L2085" s="8"/>
      <c r="M2085" s="8"/>
      <c r="N2085" s="8">
        <f ca="1">IFERROR(__xludf.DUMMYFUNCTION("""COMPUTED_VALUE"""),2)</f>
        <v>2</v>
      </c>
      <c r="O2085" s="8" t="str">
        <f ca="1">IFERROR(__xludf.DUMMYFUNCTION("""COMPUTED_VALUE"""),"Spring")</f>
        <v>Spring</v>
      </c>
      <c r="P2085" s="8" t="str">
        <f ca="1">IFERROR(__xludf.DUMMYFUNCTION("""COMPUTED_VALUE"""),"Jacksonville")</f>
        <v>Jacksonville</v>
      </c>
      <c r="Q2085" s="8" t="str">
        <f ca="1">IFERROR(__xludf.DUMMYFUNCTION("""COMPUTED_VALUE"""),"FL")</f>
        <v>FL</v>
      </c>
      <c r="R2085" s="8" t="str">
        <f ca="1">IFERROR(__xludf.DUMMYFUNCTION("""COMPUTED_VALUE"""),"High")</f>
        <v>High</v>
      </c>
      <c r="S2085" s="8" t="str">
        <f ca="1">IFERROR(__xludf.DUMMYFUNCTION("""COMPUTED_VALUE"""),"Hallway")</f>
        <v>Hallway</v>
      </c>
      <c r="T2085" s="8" t="str">
        <f ca="1">IFERROR(__xludf.DUMMYFUNCTION("""COMPUTED_VALUE"""),"Inside School Building")</f>
        <v>Inside School Building</v>
      </c>
      <c r="U2085" s="8" t="str">
        <f ca="1">IFERROR(__xludf.DUMMYFUNCTION("""COMPUTED_VALUE"""),"Yes")</f>
        <v>Yes</v>
      </c>
      <c r="V2085" s="8" t="str">
        <f ca="1">IFERROR(__xludf.DUMMYFUNCTION("""COMPUTED_VALUE"""),"School Start")</f>
        <v>School Start</v>
      </c>
      <c r="W2085" s="11">
        <f ca="1">IFERROR(__xludf.DUMMYFUNCTION("""COMPUTED_VALUE"""),0.306944444444444)</f>
        <v>0.30694444444444402</v>
      </c>
      <c r="X2085" s="8">
        <f ca="1">IFERROR(__xludf.DUMMYFUNCTION("""COMPUTED_VALUE"""),1)</f>
        <v>1</v>
      </c>
      <c r="Y2085" s="12" t="str">
        <f ca="1">IFERROR(__xludf.DUMMYFUNCTION("""COMPUTED_VALUE"""),"Fight between two groups of students ongoing for weeks")</f>
        <v>Fight between two groups of students ongoing for weeks</v>
      </c>
      <c r="Z2085" s="12" t="str">
        <f ca="1">IFERROR(__xludf.DUMMYFUNCTION("""COMPUTED_VALUE"""),"Shots fired in the hallway from two different shooters during fight between a group of students that had an ongoing dispute for weeks. No injures. One handgun was found in a trashcan and another was found on a student searched.")</f>
        <v>Shots fired in the hallway from two different shooters during fight between a group of students that had an ongoing dispute for weeks. No injures. One handgun was found in a trashcan and another was found on a student searched.</v>
      </c>
      <c r="AA2085" s="8" t="str">
        <f ca="1">IFERROR(__xludf.DUMMYFUNCTION("""COMPUTED_VALUE"""),"Escalation of Dispute")</f>
        <v>Escalation of Dispute</v>
      </c>
      <c r="AB2085" s="8"/>
      <c r="AC2085" s="8" t="str">
        <f ca="1">IFERROR(__xludf.DUMMYFUNCTION("""COMPUTED_VALUE"""),"Yes")</f>
        <v>Yes</v>
      </c>
      <c r="AD2085" s="8"/>
      <c r="AE2085" s="8"/>
      <c r="AF2085" s="8"/>
      <c r="AG2085" s="8" t="str">
        <f ca="1">IFERROR(__xludf.DUMMYFUNCTION("""COMPUTED_VALUE"""),"No")</f>
        <v>No</v>
      </c>
      <c r="AH2085" s="8" t="str">
        <f ca="1">IFERROR(__xludf.DUMMYFUNCTION("""COMPUTED_VALUE"""),"No")</f>
        <v>No</v>
      </c>
      <c r="AI2085" s="8" t="str">
        <f ca="1">IFERROR(__xludf.DUMMYFUNCTION("""COMPUTED_VALUE"""),"No")</f>
        <v>No</v>
      </c>
      <c r="AJ2085" s="8" t="str">
        <f ca="1">IFERROR(__xludf.DUMMYFUNCTION("""COMPUTED_VALUE"""),"No")</f>
        <v>No</v>
      </c>
      <c r="AK2085" s="8" t="str">
        <f ca="1">IFERROR(__xludf.DUMMYFUNCTION("""COMPUTED_VALUE"""),"No")</f>
        <v>No</v>
      </c>
      <c r="AL2085" s="8" t="str">
        <f ca="1">IFERROR(__xludf.DUMMYFUNCTION("""COMPUTED_VALUE"""),"No")</f>
        <v>No</v>
      </c>
      <c r="AM2085" s="8"/>
      <c r="AN2085" s="8"/>
      <c r="AO2085" s="8" t="str">
        <f ca="1">IFERROR(__xludf.DUMMYFUNCTION("""COMPUTED_VALUE"""),"No")</f>
        <v>No</v>
      </c>
      <c r="AP2085" s="8" t="str">
        <f ca="1">IFERROR(__xludf.DUMMYFUNCTION("""COMPUTED_VALUE"""),"No")</f>
        <v>No</v>
      </c>
      <c r="AQ2085" s="8" t="str">
        <f ca="1">IFERROR(__xludf.DUMMYFUNCTION("""COMPUTED_VALUE"""),"Unknown")</f>
        <v>Unknown</v>
      </c>
      <c r="AR2085" s="8" t="str">
        <f ca="1">IFERROR(__xludf.DUMMYFUNCTION("""COMPUTED_VALUE"""),"NA")</f>
        <v>NA</v>
      </c>
      <c r="AS2085" s="8"/>
      <c r="AT2085" s="8"/>
      <c r="AU2085" s="8">
        <f ca="1">IFERROR(__xludf.DUMMYFUNCTION("""COMPUTED_VALUE"""),30.390674)</f>
        <v>30.390674000000001</v>
      </c>
      <c r="AV2085" s="8">
        <f ca="1">IFERROR(__xludf.DUMMYFUNCTION("""COMPUTED_VALUE"""),-81.707935)</f>
        <v>-81.707935000000006</v>
      </c>
      <c r="AW2085" s="8"/>
      <c r="AX2085" s="8">
        <f ca="1">IFERROR(__xludf.DUMMYFUNCTION("""COMPUTED_VALUE"""),32209)</f>
        <v>32209</v>
      </c>
    </row>
    <row r="2086" spans="1:50" ht="75" x14ac:dyDescent="0.2">
      <c r="A2086" s="8" t="str">
        <f ca="1">IFERROR(__xludf.DUMMYFUNCTION("""COMPUTED_VALUE"""),"20090306NCWEF")</f>
        <v>20090306NCWEF</v>
      </c>
      <c r="B2086" s="8">
        <f ca="1">IFERROR(__xludf.DUMMYFUNCTION("""COMPUTED_VALUE"""),3)</f>
        <v>3</v>
      </c>
      <c r="C2086" s="8">
        <f ca="1">IFERROR(__xludf.DUMMYFUNCTION("""COMPUTED_VALUE"""),6)</f>
        <v>6</v>
      </c>
      <c r="D2086" s="8">
        <f ca="1">IFERROR(__xludf.DUMMYFUNCTION("""COMPUTED_VALUE"""),2009)</f>
        <v>2009</v>
      </c>
      <c r="E2086" s="9">
        <f ca="1">IFERROR(__xludf.DUMMYFUNCTION("""COMPUTED_VALUE"""),39878)</f>
        <v>39878</v>
      </c>
      <c r="F2086" s="8" t="str">
        <f ca="1">IFERROR(__xludf.DUMMYFUNCTION("""COMPUTED_VALUE"""),"Westover High School")</f>
        <v>Westover High School</v>
      </c>
      <c r="G2086" s="8">
        <f ca="1">IFERROR(__xludf.DUMMYFUNCTION("""COMPUTED_VALUE"""),0)</f>
        <v>0</v>
      </c>
      <c r="H2086" s="8">
        <f ca="1">IFERROR(__xludf.DUMMYFUNCTION("""COMPUTED_VALUE"""),1)</f>
        <v>1</v>
      </c>
      <c r="I2086" s="8">
        <f ca="1">IFERROR(__xludf.DUMMYFUNCTION("""COMPUTED_VALUE"""),1)</f>
        <v>1</v>
      </c>
      <c r="J2086" s="8">
        <f ca="1">IFERROR(__xludf.DUMMYFUNCTION("""COMPUTED_VALUE"""),0)</f>
        <v>0</v>
      </c>
      <c r="K2086" s="10" t="str">
        <f ca="1">IFERROR(__xludf.DUMMYFUNCTION("""COMPUTED_VALUE"""),"https://www.wral.com/news/local/story/4689449/")</f>
        <v>https://www.wral.com/news/local/story/4689449/</v>
      </c>
      <c r="L2086" s="8"/>
      <c r="M2086" s="8"/>
      <c r="N2086" s="8">
        <f ca="1">IFERROR(__xludf.DUMMYFUNCTION("""COMPUTED_VALUE"""),2)</f>
        <v>2</v>
      </c>
      <c r="O2086" s="8" t="str">
        <f ca="1">IFERROR(__xludf.DUMMYFUNCTION("""COMPUTED_VALUE"""),"Spring")</f>
        <v>Spring</v>
      </c>
      <c r="P2086" s="8" t="str">
        <f ca="1">IFERROR(__xludf.DUMMYFUNCTION("""COMPUTED_VALUE"""),"Fayetteville")</f>
        <v>Fayetteville</v>
      </c>
      <c r="Q2086" s="8" t="str">
        <f ca="1">IFERROR(__xludf.DUMMYFUNCTION("""COMPUTED_VALUE"""),"NC")</f>
        <v>NC</v>
      </c>
      <c r="R2086" s="8" t="str">
        <f ca="1">IFERROR(__xludf.DUMMYFUNCTION("""COMPUTED_VALUE"""),"High")</f>
        <v>High</v>
      </c>
      <c r="S2086" s="8" t="str">
        <f ca="1">IFERROR(__xludf.DUMMYFUNCTION("""COMPUTED_VALUE"""),"Parking Lot")</f>
        <v>Parking Lot</v>
      </c>
      <c r="T2086" s="8" t="str">
        <f ca="1">IFERROR(__xludf.DUMMYFUNCTION("""COMPUTED_VALUE"""),"Outside on School Property")</f>
        <v>Outside on School Property</v>
      </c>
      <c r="U2086" s="8" t="str">
        <f ca="1">IFERROR(__xludf.DUMMYFUNCTION("""COMPUTED_VALUE"""),"No")</f>
        <v>No</v>
      </c>
      <c r="V2086" s="8" t="str">
        <f ca="1">IFERROR(__xludf.DUMMYFUNCTION("""COMPUTED_VALUE"""),"School Event")</f>
        <v>School Event</v>
      </c>
      <c r="W2086" s="11">
        <f ca="1">IFERROR(__xludf.DUMMYFUNCTION("""COMPUTED_VALUE"""),0.916666666666666)</f>
        <v>0.91666666666666596</v>
      </c>
      <c r="X2086" s="8">
        <f ca="1">IFERROR(__xludf.DUMMYFUNCTION("""COMPUTED_VALUE"""),1)</f>
        <v>1</v>
      </c>
      <c r="Y2086" s="12" t="str">
        <f ca="1">IFERROR(__xludf.DUMMYFUNCTION("""COMPUTED_VALUE"""),"Fight erupted into shots fired outside school - victim shot in foot")</f>
        <v>Fight erupted into shots fired outside school - victim shot in foot</v>
      </c>
      <c r="Z2086" s="12" t="str">
        <f ca="1">IFERROR(__xludf.DUMMYFUNCTION("""COMPUTED_VALUE"""),"An argument occurred during a fashion show at high school - argument spilled into school parking lot. A shot was fired. 15 year old victim walking out of school was struck in foot - mixed reports as to whether shooter and victim knew each other.")</f>
        <v>An argument occurred during a fashion show at high school - argument spilled into school parking lot. A shot was fired. 15 year old victim walking out of school was struck in foot - mixed reports as to whether shooter and victim knew each other.</v>
      </c>
      <c r="AA2086" s="8" t="str">
        <f ca="1">IFERROR(__xludf.DUMMYFUNCTION("""COMPUTED_VALUE"""),"Escalation of Dispute")</f>
        <v>Escalation of Dispute</v>
      </c>
      <c r="AB2086" s="8"/>
      <c r="AC2086" s="8" t="str">
        <f ca="1">IFERROR(__xludf.DUMMYFUNCTION("""COMPUTED_VALUE"""),"Yes")</f>
        <v>Yes</v>
      </c>
      <c r="AD2086" s="8" t="str">
        <f ca="1">IFERROR(__xludf.DUMMYFUNCTION("""COMPUTED_VALUE"""),"Random Shooting")</f>
        <v>Random Shooting</v>
      </c>
      <c r="AE2086" s="8"/>
      <c r="AF2086" s="8"/>
      <c r="AG2086" s="8" t="str">
        <f ca="1">IFERROR(__xludf.DUMMYFUNCTION("""COMPUTED_VALUE"""),"No")</f>
        <v>No</v>
      </c>
      <c r="AH2086" s="8" t="str">
        <f ca="1">IFERROR(__xludf.DUMMYFUNCTION("""COMPUTED_VALUE"""),"No")</f>
        <v>No</v>
      </c>
      <c r="AI2086" s="8" t="str">
        <f ca="1">IFERROR(__xludf.DUMMYFUNCTION("""COMPUTED_VALUE"""),"No")</f>
        <v>No</v>
      </c>
      <c r="AJ2086" s="8" t="str">
        <f ca="1">IFERROR(__xludf.DUMMYFUNCTION("""COMPUTED_VALUE"""),"No")</f>
        <v>No</v>
      </c>
      <c r="AK2086" s="8" t="str">
        <f ca="1">IFERROR(__xludf.DUMMYFUNCTION("""COMPUTED_VALUE"""),"No")</f>
        <v>No</v>
      </c>
      <c r="AL2086" s="8" t="str">
        <f ca="1">IFERROR(__xludf.DUMMYFUNCTION("""COMPUTED_VALUE"""),"No")</f>
        <v>No</v>
      </c>
      <c r="AM2086" s="8"/>
      <c r="AN2086" s="8"/>
      <c r="AO2086" s="8" t="str">
        <f ca="1">IFERROR(__xludf.DUMMYFUNCTION("""COMPUTED_VALUE"""),"No")</f>
        <v>No</v>
      </c>
      <c r="AP2086" s="8"/>
      <c r="AQ2086" s="8" t="str">
        <f ca="1">IFERROR(__xludf.DUMMYFUNCTION("""COMPUTED_VALUE"""),"Unknown")</f>
        <v>Unknown</v>
      </c>
      <c r="AR2086" s="8" t="str">
        <f ca="1">IFERROR(__xludf.DUMMYFUNCTION("""COMPUTED_VALUE"""),"NA")</f>
        <v>NA</v>
      </c>
      <c r="AS2086" s="8">
        <f ca="1">IFERROR(__xludf.DUMMYFUNCTION("""COMPUTED_VALUE"""),1)</f>
        <v>1</v>
      </c>
      <c r="AT2086" s="8"/>
      <c r="AU2086" s="8">
        <f ca="1">IFERROR(__xludf.DUMMYFUNCTION("""COMPUTED_VALUE"""),35.084103)</f>
        <v>35.084102999999999</v>
      </c>
      <c r="AV2086" s="8">
        <f ca="1">IFERROR(__xludf.DUMMYFUNCTION("""COMPUTED_VALUE"""),-78.991544)</f>
        <v>-78.991544000000005</v>
      </c>
      <c r="AW2086" s="8"/>
      <c r="AX2086" s="8">
        <f ca="1">IFERROR(__xludf.DUMMYFUNCTION("""COMPUTED_VALUE"""),28314)</f>
        <v>28314</v>
      </c>
    </row>
    <row r="2087" spans="1:50" ht="60" x14ac:dyDescent="0.2">
      <c r="A2087" s="8" t="str">
        <f ca="1">IFERROR(__xludf.DUMMYFUNCTION("""COMPUTED_VALUE"""),"20090302SDROS")</f>
        <v>20090302SDROS</v>
      </c>
      <c r="B2087" s="8">
        <f ca="1">IFERROR(__xludf.DUMMYFUNCTION("""COMPUTED_VALUE"""),3)</f>
        <v>3</v>
      </c>
      <c r="C2087" s="8">
        <f ca="1">IFERROR(__xludf.DUMMYFUNCTION("""COMPUTED_VALUE"""),2)</f>
        <v>2</v>
      </c>
      <c r="D2087" s="8">
        <f ca="1">IFERROR(__xludf.DUMMYFUNCTION("""COMPUTED_VALUE"""),2009)</f>
        <v>2009</v>
      </c>
      <c r="E2087" s="9">
        <f ca="1">IFERROR(__xludf.DUMMYFUNCTION("""COMPUTED_VALUE"""),39874)</f>
        <v>39874</v>
      </c>
      <c r="F2087" s="8" t="str">
        <f ca="1">IFERROR(__xludf.DUMMYFUNCTION("""COMPUTED_VALUE"""),"Robert Frost Elementary School")</f>
        <v>Robert Frost Elementary School</v>
      </c>
      <c r="G2087" s="8">
        <f ca="1">IFERROR(__xludf.DUMMYFUNCTION("""COMPUTED_VALUE"""),0)</f>
        <v>0</v>
      </c>
      <c r="H2087" s="8">
        <f ca="1">IFERROR(__xludf.DUMMYFUNCTION("""COMPUTED_VALUE"""),0)</f>
        <v>0</v>
      </c>
      <c r="I2087" s="8">
        <f ca="1">IFERROR(__xludf.DUMMYFUNCTION("""COMPUTED_VALUE"""),0)</f>
        <v>0</v>
      </c>
      <c r="J2087" s="8">
        <f ca="1">IFERROR(__xludf.DUMMYFUNCTION("""COMPUTED_VALUE"""),0)</f>
        <v>0</v>
      </c>
      <c r="K2087" s="10" t="str">
        <f ca="1">IFERROR(__xludf.DUMMYFUNCTION("""COMPUTED_VALUE"""),"https://www.newspapers.com/image/243883968/?terms=robert%2Bfrost%2Belementary%2BSCHOOL")</f>
        <v>https://www.newspapers.com/image/243883968/?terms=robert%2Bfrost%2Belementary%2BSCHOOL</v>
      </c>
      <c r="L2087" s="8"/>
      <c r="M2087" s="8"/>
      <c r="N2087" s="8">
        <f ca="1">IFERROR(__xludf.DUMMYFUNCTION("""COMPUTED_VALUE"""),2)</f>
        <v>2</v>
      </c>
      <c r="O2087" s="8" t="str">
        <f ca="1">IFERROR(__xludf.DUMMYFUNCTION("""COMPUTED_VALUE"""),"Spring")</f>
        <v>Spring</v>
      </c>
      <c r="P2087" s="8" t="str">
        <f ca="1">IFERROR(__xludf.DUMMYFUNCTION("""COMPUTED_VALUE"""),"Sioux Falls")</f>
        <v>Sioux Falls</v>
      </c>
      <c r="Q2087" s="8" t="str">
        <f ca="1">IFERROR(__xludf.DUMMYFUNCTION("""COMPUTED_VALUE"""),"SD")</f>
        <v>SD</v>
      </c>
      <c r="R2087" s="8" t="str">
        <f ca="1">IFERROR(__xludf.DUMMYFUNCTION("""COMPUTED_VALUE"""),"Elementary")</f>
        <v>Elementary</v>
      </c>
      <c r="S2087" s="8" t="str">
        <f ca="1">IFERROR(__xludf.DUMMYFUNCTION("""COMPUTED_VALUE"""),"Beside Building")</f>
        <v>Beside Building</v>
      </c>
      <c r="T2087" s="8" t="str">
        <f ca="1">IFERROR(__xludf.DUMMYFUNCTION("""COMPUTED_VALUE"""),"Outside on School Property")</f>
        <v>Outside on School Property</v>
      </c>
      <c r="U2087" s="8" t="str">
        <f ca="1">IFERROR(__xludf.DUMMYFUNCTION("""COMPUTED_VALUE"""),"Yes")</f>
        <v>Yes</v>
      </c>
      <c r="V2087" s="8" t="str">
        <f ca="1">IFERROR(__xludf.DUMMYFUNCTION("""COMPUTED_VALUE"""),"Dismissal")</f>
        <v>Dismissal</v>
      </c>
      <c r="W2087" s="11">
        <f ca="1">IFERROR(__xludf.DUMMYFUNCTION("""COMPUTED_VALUE"""),0.618055555555555)</f>
        <v>0.61805555555555503</v>
      </c>
      <c r="X2087" s="8">
        <f ca="1">IFERROR(__xludf.DUMMYFUNCTION("""COMPUTED_VALUE"""),1)</f>
        <v>1</v>
      </c>
      <c r="Y2087" s="12" t="str">
        <f ca="1">IFERROR(__xludf.DUMMYFUNCTION("""COMPUTED_VALUE"""),"Shots fired during fight.")</f>
        <v>Shots fired during fight.</v>
      </c>
      <c r="Z2087" s="12" t="str">
        <f ca="1">IFERROR(__xludf.DUMMYFUNCTION("""COMPUTED_VALUE"""),"10 year old shooter pulled pellet gun from backpack and shot 8 year old during a school fight. Due to victim wearing jacket, pellet bounced off causing no injuries. Shooter was arrested and charged.")</f>
        <v>10 year old shooter pulled pellet gun from backpack and shot 8 year old during a school fight. Due to victim wearing jacket, pellet bounced off causing no injuries. Shooter was arrested and charged.</v>
      </c>
      <c r="AA2087" s="8" t="str">
        <f ca="1">IFERROR(__xludf.DUMMYFUNCTION("""COMPUTED_VALUE"""),"Escalation of Dispute")</f>
        <v>Escalation of Dispute</v>
      </c>
      <c r="AB2087" s="8"/>
      <c r="AC2087" s="8" t="str">
        <f ca="1">IFERROR(__xludf.DUMMYFUNCTION("""COMPUTED_VALUE"""),"Yes")</f>
        <v>Yes</v>
      </c>
      <c r="AD2087" s="8" t="str">
        <f ca="1">IFERROR(__xludf.DUMMYFUNCTION("""COMPUTED_VALUE"""),"Victims Targeted")</f>
        <v>Victims Targeted</v>
      </c>
      <c r="AE2087" s="8" t="str">
        <f ca="1">IFERROR(__xludf.DUMMYFUNCTION("""COMPUTED_VALUE"""),"No")</f>
        <v>No</v>
      </c>
      <c r="AF2087" s="8"/>
      <c r="AG2087" s="8" t="str">
        <f ca="1">IFERROR(__xludf.DUMMYFUNCTION("""COMPUTED_VALUE"""),"No")</f>
        <v>No</v>
      </c>
      <c r="AH2087" s="8" t="str">
        <f ca="1">IFERROR(__xludf.DUMMYFUNCTION("""COMPUTED_VALUE"""),"No")</f>
        <v>No</v>
      </c>
      <c r="AI2087" s="8" t="str">
        <f ca="1">IFERROR(__xludf.DUMMYFUNCTION("""COMPUTED_VALUE"""),"No")</f>
        <v>No</v>
      </c>
      <c r="AJ2087" s="8"/>
      <c r="AK2087" s="8" t="str">
        <f ca="1">IFERROR(__xludf.DUMMYFUNCTION("""COMPUTED_VALUE"""),"No")</f>
        <v>No</v>
      </c>
      <c r="AL2087" s="8" t="str">
        <f ca="1">IFERROR(__xludf.DUMMYFUNCTION("""COMPUTED_VALUE"""),"No")</f>
        <v>No</v>
      </c>
      <c r="AM2087" s="8"/>
      <c r="AN2087" s="8"/>
      <c r="AO2087" s="8" t="str">
        <f ca="1">IFERROR(__xludf.DUMMYFUNCTION("""COMPUTED_VALUE"""),"No")</f>
        <v>No</v>
      </c>
      <c r="AP2087" s="8"/>
      <c r="AQ2087" s="8" t="str">
        <f ca="1">IFERROR(__xludf.DUMMYFUNCTION("""COMPUTED_VALUE"""),"Unknown")</f>
        <v>Unknown</v>
      </c>
      <c r="AR2087" s="8" t="str">
        <f ca="1">IFERROR(__xludf.DUMMYFUNCTION("""COMPUTED_VALUE"""),"NA")</f>
        <v>NA</v>
      </c>
      <c r="AS2087" s="8">
        <f ca="1">IFERROR(__xludf.DUMMYFUNCTION("""COMPUTED_VALUE"""),1)</f>
        <v>1</v>
      </c>
      <c r="AT2087" s="8"/>
      <c r="AU2087" s="8">
        <f ca="1">IFERROR(__xludf.DUMMYFUNCTION("""COMPUTED_VALUE"""),43.516814)</f>
        <v>43.516813999999997</v>
      </c>
      <c r="AV2087" s="8">
        <f ca="1">IFERROR(__xludf.DUMMYFUNCTION("""COMPUTED_VALUE"""),-96.722161)</f>
        <v>-96.722161</v>
      </c>
      <c r="AW2087" s="8"/>
      <c r="AX2087" s="8">
        <f ca="1">IFERROR(__xludf.DUMMYFUNCTION("""COMPUTED_VALUE"""),57105)</f>
        <v>57105</v>
      </c>
    </row>
    <row r="2088" spans="1:50" ht="75" x14ac:dyDescent="0.2">
      <c r="A2088" s="8" t="str">
        <f ca="1">IFERROR(__xludf.DUMMYFUNCTION("""COMPUTED_VALUE"""),"20090223CTBRN")</f>
        <v>20090223CTBRN</v>
      </c>
      <c r="B2088" s="8">
        <f ca="1">IFERROR(__xludf.DUMMYFUNCTION("""COMPUTED_VALUE"""),2)</f>
        <v>2</v>
      </c>
      <c r="C2088" s="8">
        <f ca="1">IFERROR(__xludf.DUMMYFUNCTION("""COMPUTED_VALUE"""),23)</f>
        <v>23</v>
      </c>
      <c r="D2088" s="8">
        <f ca="1">IFERROR(__xludf.DUMMYFUNCTION("""COMPUTED_VALUE"""),2009)</f>
        <v>2009</v>
      </c>
      <c r="E2088" s="9">
        <f ca="1">IFERROR(__xludf.DUMMYFUNCTION("""COMPUTED_VALUE"""),39867)</f>
        <v>39867</v>
      </c>
      <c r="F2088" s="8" t="str">
        <f ca="1">IFERROR(__xludf.DUMMYFUNCTION("""COMPUTED_VALUE"""),"Brien McMahon High School")</f>
        <v>Brien McMahon High School</v>
      </c>
      <c r="G2088" s="8">
        <f ca="1">IFERROR(__xludf.DUMMYFUNCTION("""COMPUTED_VALUE"""),0)</f>
        <v>0</v>
      </c>
      <c r="H2088" s="8">
        <f ca="1">IFERROR(__xludf.DUMMYFUNCTION("""COMPUTED_VALUE"""),0)</f>
        <v>0</v>
      </c>
      <c r="I2088" s="8">
        <f ca="1">IFERROR(__xludf.DUMMYFUNCTION("""COMPUTED_VALUE"""),0)</f>
        <v>0</v>
      </c>
      <c r="J2088" s="8">
        <f ca="1">IFERROR(__xludf.DUMMYFUNCTION("""COMPUTED_VALUE"""),0)</f>
        <v>0</v>
      </c>
      <c r="K2088" s="8" t="str">
        <f ca="1">IFERROR(__xludf.DUMMYFUNCTION("""COMPUTED_VALUE"""),"https://www.thehour.com/norwalk/article/High-school-shooting-triggers-new-safety-measures-8278203.php . http://connecticut.news12.com/story/34855847/boy-shot-outside-brien-mcmahon-high-school . https://www.thehour.com/norwalk/article/Norwalk-felon-facing-"&amp;"more-than-7-years-in-prison-8225012.php")</f>
        <v>https://www.thehour.com/norwalk/article/High-school-shooting-triggers-new-safety-measures-8278203.php . http://connecticut.news12.com/story/34855847/boy-shot-outside-brien-mcmahon-high-school . https://www.thehour.com/norwalk/article/Norwalk-felon-facing-more-than-7-years-in-prison-8225012.php</v>
      </c>
      <c r="L2088" s="8"/>
      <c r="M2088" s="8"/>
      <c r="N2088" s="8">
        <f ca="1">IFERROR(__xludf.DUMMYFUNCTION("""COMPUTED_VALUE"""),3)</f>
        <v>3</v>
      </c>
      <c r="O2088" s="8" t="str">
        <f ca="1">IFERROR(__xludf.DUMMYFUNCTION("""COMPUTED_VALUE"""),"Winter")</f>
        <v>Winter</v>
      </c>
      <c r="P2088" s="8" t="str">
        <f ca="1">IFERROR(__xludf.DUMMYFUNCTION("""COMPUTED_VALUE"""),"Norwalk")</f>
        <v>Norwalk</v>
      </c>
      <c r="Q2088" s="8" t="str">
        <f ca="1">IFERROR(__xludf.DUMMYFUNCTION("""COMPUTED_VALUE"""),"CT")</f>
        <v>CT</v>
      </c>
      <c r="R2088" s="8" t="str">
        <f ca="1">IFERROR(__xludf.DUMMYFUNCTION("""COMPUTED_VALUE"""),"High")</f>
        <v>High</v>
      </c>
      <c r="S2088" s="8" t="str">
        <f ca="1">IFERROR(__xludf.DUMMYFUNCTION("""COMPUTED_VALUE"""),"Parking Lot")</f>
        <v>Parking Lot</v>
      </c>
      <c r="T2088" s="8" t="str">
        <f ca="1">IFERROR(__xludf.DUMMYFUNCTION("""COMPUTED_VALUE"""),"Outside on School Property")</f>
        <v>Outside on School Property</v>
      </c>
      <c r="U2088" s="8" t="str">
        <f ca="1">IFERROR(__xludf.DUMMYFUNCTION("""COMPUTED_VALUE"""),"No")</f>
        <v>No</v>
      </c>
      <c r="V2088" s="8" t="str">
        <f ca="1">IFERROR(__xludf.DUMMYFUNCTION("""COMPUTED_VALUE"""),"Sport Event")</f>
        <v>Sport Event</v>
      </c>
      <c r="W2088" s="11">
        <f ca="1">IFERROR(__xludf.DUMMYFUNCTION("""COMPUTED_VALUE"""),0.854166666666666)</f>
        <v>0.85416666666666596</v>
      </c>
      <c r="X2088" s="8">
        <f ca="1">IFERROR(__xludf.DUMMYFUNCTION("""COMPUTED_VALUE"""),1)</f>
        <v>1</v>
      </c>
      <c r="Y2088" s="12" t="str">
        <f ca="1">IFERROR(__xludf.DUMMYFUNCTION("""COMPUTED_VALUE"""),"Gang-related shooting after basketball game")</f>
        <v>Gang-related shooting after basketball game</v>
      </c>
      <c r="Z2088" s="12" t="str">
        <f ca="1">IFERROR(__xludf.DUMMYFUNCTION("""COMPUTED_VALUE"""),"Victim and his cousin were in the parking lot after a basketball game when he was shot in the leg. The victim was uncooperative with the police and would not provide any information on the shooter. Police speculated it was either self-inflicted due to bei"&amp;"ng accidental or gang-related.")</f>
        <v>Victim and his cousin were in the parking lot after a basketball game when he was shot in the leg. The victim was uncooperative with the police and would not provide any information on the shooter. Police speculated it was either self-inflicted due to being accidental or gang-related.</v>
      </c>
      <c r="AA2088" s="8" t="str">
        <f ca="1">IFERROR(__xludf.DUMMYFUNCTION("""COMPUTED_VALUE"""),"Accidental")</f>
        <v>Accidental</v>
      </c>
      <c r="AB2088" s="8"/>
      <c r="AC2088" s="8" t="str">
        <f ca="1">IFERROR(__xludf.DUMMYFUNCTION("""COMPUTED_VALUE"""),"No")</f>
        <v>No</v>
      </c>
      <c r="AD2088" s="8"/>
      <c r="AE2088" s="8"/>
      <c r="AF2088" s="8"/>
      <c r="AG2088" s="8" t="str">
        <f ca="1">IFERROR(__xludf.DUMMYFUNCTION("""COMPUTED_VALUE"""),"No")</f>
        <v>No</v>
      </c>
      <c r="AH2088" s="8" t="str">
        <f ca="1">IFERROR(__xludf.DUMMYFUNCTION("""COMPUTED_VALUE"""),"No")</f>
        <v>No</v>
      </c>
      <c r="AI2088" s="8" t="str">
        <f ca="1">IFERROR(__xludf.DUMMYFUNCTION("""COMPUTED_VALUE"""),"No")</f>
        <v>No</v>
      </c>
      <c r="AJ2088" s="8"/>
      <c r="AK2088" s="8"/>
      <c r="AL2088" s="8" t="str">
        <f ca="1">IFERROR(__xludf.DUMMYFUNCTION("""COMPUTED_VALUE"""),"Yes")</f>
        <v>Yes</v>
      </c>
      <c r="AM2088" s="8"/>
      <c r="AN2088" s="8"/>
      <c r="AO2088" s="8" t="str">
        <f ca="1">IFERROR(__xludf.DUMMYFUNCTION("""COMPUTED_VALUE"""),"No")</f>
        <v>No</v>
      </c>
      <c r="AP2088" s="8"/>
      <c r="AQ2088" s="8" t="str">
        <f ca="1">IFERROR(__xludf.DUMMYFUNCTION("""COMPUTED_VALUE"""),"Unknown")</f>
        <v>Unknown</v>
      </c>
      <c r="AR2088" s="8" t="str">
        <f ca="1">IFERROR(__xludf.DUMMYFUNCTION("""COMPUTED_VALUE"""),"NA")</f>
        <v>NA</v>
      </c>
      <c r="AS2088" s="8">
        <f ca="1">IFERROR(__xludf.DUMMYFUNCTION("""COMPUTED_VALUE"""),1)</f>
        <v>1</v>
      </c>
      <c r="AT2088" s="8"/>
      <c r="AU2088" s="8">
        <f ca="1">IFERROR(__xludf.DUMMYFUNCTION("""COMPUTED_VALUE"""),41.117744)</f>
        <v>41.117744000000002</v>
      </c>
      <c r="AV2088" s="8">
        <f ca="1">IFERROR(__xludf.DUMMYFUNCTION("""COMPUTED_VALUE"""),-73.4081575)</f>
        <v>-73.408157500000002</v>
      </c>
      <c r="AW2088" s="8"/>
      <c r="AX2088" s="8">
        <f ca="1">IFERROR(__xludf.DUMMYFUNCTION("""COMPUTED_VALUE"""),6855)</f>
        <v>6855</v>
      </c>
    </row>
    <row r="2089" spans="1:50" ht="45" x14ac:dyDescent="0.2">
      <c r="A2089" s="8" t="str">
        <f ca="1">IFERROR(__xludf.DUMMYFUNCTION("""COMPUTED_VALUE"""),"20090220CAJOH")</f>
        <v>20090220CAJOH</v>
      </c>
      <c r="B2089" s="8">
        <f ca="1">IFERROR(__xludf.DUMMYFUNCTION("""COMPUTED_VALUE"""),2)</f>
        <v>2</v>
      </c>
      <c r="C2089" s="8">
        <f ca="1">IFERROR(__xludf.DUMMYFUNCTION("""COMPUTED_VALUE"""),20)</f>
        <v>20</v>
      </c>
      <c r="D2089" s="8">
        <f ca="1">IFERROR(__xludf.DUMMYFUNCTION("""COMPUTED_VALUE"""),2009)</f>
        <v>2009</v>
      </c>
      <c r="E2089" s="9">
        <f ca="1">IFERROR(__xludf.DUMMYFUNCTION("""COMPUTED_VALUE"""),39864)</f>
        <v>39864</v>
      </c>
      <c r="F2089" s="8" t="str">
        <f ca="1">IFERROR(__xludf.DUMMYFUNCTION("""COMPUTED_VALUE"""),"John Muir Elementary School")</f>
        <v>John Muir Elementary School</v>
      </c>
      <c r="G2089" s="8">
        <f ca="1">IFERROR(__xludf.DUMMYFUNCTION("""COMPUTED_VALUE"""),0)</f>
        <v>0</v>
      </c>
      <c r="H2089" s="8">
        <f ca="1">IFERROR(__xludf.DUMMYFUNCTION("""COMPUTED_VALUE"""),0)</f>
        <v>0</v>
      </c>
      <c r="I2089" s="8">
        <f ca="1">IFERROR(__xludf.DUMMYFUNCTION("""COMPUTED_VALUE"""),0)</f>
        <v>0</v>
      </c>
      <c r="J2089" s="8">
        <f ca="1">IFERROR(__xludf.DUMMYFUNCTION("""COMPUTED_VALUE"""),0)</f>
        <v>0</v>
      </c>
      <c r="K2089" s="10" t="str">
        <f ca="1">IFERROR(__xludf.DUMMYFUNCTION("""COMPUTED_VALUE"""),"https://www.columbine-angels.com/School_Violence_2008-2009.htm")</f>
        <v>https://www.columbine-angels.com/School_Violence_2008-2009.htm</v>
      </c>
      <c r="L2089" s="8"/>
      <c r="M2089" s="8"/>
      <c r="N2089" s="8">
        <f ca="1">IFERROR(__xludf.DUMMYFUNCTION("""COMPUTED_VALUE"""),1)</f>
        <v>1</v>
      </c>
      <c r="O2089" s="8" t="str">
        <f ca="1">IFERROR(__xludf.DUMMYFUNCTION("""COMPUTED_VALUE"""),"Winter")</f>
        <v>Winter</v>
      </c>
      <c r="P2089" s="8" t="str">
        <f ca="1">IFERROR(__xludf.DUMMYFUNCTION("""COMPUTED_VALUE"""),"Hayward")</f>
        <v>Hayward</v>
      </c>
      <c r="Q2089" s="8" t="str">
        <f ca="1">IFERROR(__xludf.DUMMYFUNCTION("""COMPUTED_VALUE"""),"CA")</f>
        <v>CA</v>
      </c>
      <c r="R2089" s="8" t="str">
        <f ca="1">IFERROR(__xludf.DUMMYFUNCTION("""COMPUTED_VALUE"""),"Elementary")</f>
        <v>Elementary</v>
      </c>
      <c r="S2089" s="8" t="str">
        <f ca="1">IFERROR(__xludf.DUMMYFUNCTION("""COMPUTED_VALUE"""),"Beside Building")</f>
        <v>Beside Building</v>
      </c>
      <c r="T2089" s="8" t="str">
        <f ca="1">IFERROR(__xludf.DUMMYFUNCTION("""COMPUTED_VALUE"""),"Outside on School Property")</f>
        <v>Outside on School Property</v>
      </c>
      <c r="U2089" s="8" t="str">
        <f ca="1">IFERROR(__xludf.DUMMYFUNCTION("""COMPUTED_VALUE"""),"Yes")</f>
        <v>Yes</v>
      </c>
      <c r="V2089" s="8" t="str">
        <f ca="1">IFERROR(__xludf.DUMMYFUNCTION("""COMPUTED_VALUE"""),"Lunch")</f>
        <v>Lunch</v>
      </c>
      <c r="W2089" s="11">
        <f ca="1">IFERROR(__xludf.DUMMYFUNCTION("""COMPUTED_VALUE"""),0.5)</f>
        <v>0.5</v>
      </c>
      <c r="X2089" s="8">
        <f ca="1">IFERROR(__xludf.DUMMYFUNCTION("""COMPUTED_VALUE"""),1)</f>
        <v>1</v>
      </c>
      <c r="Y2089" s="12" t="str">
        <f ca="1">IFERROR(__xludf.DUMMYFUNCTION("""COMPUTED_VALUE"""),"Shooter fired at adult male walking with child then fled")</f>
        <v>Shooter fired at adult male walking with child then fled</v>
      </c>
      <c r="Z2089" s="12" t="str">
        <f ca="1">IFERROR(__xludf.DUMMYFUNCTION("""COMPUTED_VALUE"""),"Unknown shooter fired 4 shots at 29YOM and 5YOM. Shots missed but did break windows of school. Shooter fled in vehicle.")</f>
        <v>Unknown shooter fired 4 shots at 29YOM and 5YOM. Shots missed but did break windows of school. Shooter fled in vehicle.</v>
      </c>
      <c r="AA2089" s="8" t="str">
        <f ca="1">IFERROR(__xludf.DUMMYFUNCTION("""COMPUTED_VALUE"""),"Drive-by Shooting")</f>
        <v>Drive-by Shooting</v>
      </c>
      <c r="AB2089" s="8"/>
      <c r="AC2089" s="8" t="str">
        <f ca="1">IFERROR(__xludf.DUMMYFUNCTION("""COMPUTED_VALUE"""),"Yes")</f>
        <v>Yes</v>
      </c>
      <c r="AD2089" s="8" t="str">
        <f ca="1">IFERROR(__xludf.DUMMYFUNCTION("""COMPUTED_VALUE"""),"Victims Targeted")</f>
        <v>Victims Targeted</v>
      </c>
      <c r="AE2089" s="8" t="str">
        <f ca="1">IFERROR(__xludf.DUMMYFUNCTION("""COMPUTED_VALUE"""),"No")</f>
        <v>No</v>
      </c>
      <c r="AF2089" s="8"/>
      <c r="AG2089" s="8" t="str">
        <f ca="1">IFERROR(__xludf.DUMMYFUNCTION("""COMPUTED_VALUE"""),"No")</f>
        <v>No</v>
      </c>
      <c r="AH2089" s="8" t="str">
        <f ca="1">IFERROR(__xludf.DUMMYFUNCTION("""COMPUTED_VALUE"""),"No")</f>
        <v>No</v>
      </c>
      <c r="AI2089" s="8" t="str">
        <f ca="1">IFERROR(__xludf.DUMMYFUNCTION("""COMPUTED_VALUE"""),"No")</f>
        <v>No</v>
      </c>
      <c r="AJ2089" s="8" t="str">
        <f ca="1">IFERROR(__xludf.DUMMYFUNCTION("""COMPUTED_VALUE"""),"No")</f>
        <v>No</v>
      </c>
      <c r="AK2089" s="8" t="str">
        <f ca="1">IFERROR(__xludf.DUMMYFUNCTION("""COMPUTED_VALUE"""),"No")</f>
        <v>No</v>
      </c>
      <c r="AL2089" s="8"/>
      <c r="AM2089" s="8"/>
      <c r="AN2089" s="8"/>
      <c r="AO2089" s="8" t="str">
        <f ca="1">IFERROR(__xludf.DUMMYFUNCTION("""COMPUTED_VALUE"""),"No")</f>
        <v>No</v>
      </c>
      <c r="AP2089" s="8" t="str">
        <f ca="1">IFERROR(__xludf.DUMMYFUNCTION("""COMPUTED_VALUE"""),"No")</f>
        <v>No</v>
      </c>
      <c r="AQ2089" s="8" t="str">
        <f ca="1">IFERROR(__xludf.DUMMYFUNCTION("""COMPUTED_VALUE"""),"Unknown")</f>
        <v>Unknown</v>
      </c>
      <c r="AR2089" s="8" t="str">
        <f ca="1">IFERROR(__xludf.DUMMYFUNCTION("""COMPUTED_VALUE"""),"NA")</f>
        <v>NA</v>
      </c>
      <c r="AS2089" s="8">
        <f ca="1">IFERROR(__xludf.DUMMYFUNCTION("""COMPUTED_VALUE"""),4)</f>
        <v>4</v>
      </c>
      <c r="AT2089" s="8"/>
      <c r="AU2089" s="8">
        <f ca="1">IFERROR(__xludf.DUMMYFUNCTION("""COMPUTED_VALUE"""),37.656504)</f>
        <v>37.656503999999998</v>
      </c>
      <c r="AV2089" s="8">
        <f ca="1">IFERROR(__xludf.DUMMYFUNCTION("""COMPUTED_VALUE"""),-122.08351)</f>
        <v>-122.08351</v>
      </c>
      <c r="AW2089" s="8"/>
      <c r="AX2089" s="8">
        <f ca="1">IFERROR(__xludf.DUMMYFUNCTION("""COMPUTED_VALUE"""),94544)</f>
        <v>94544</v>
      </c>
    </row>
    <row r="2090" spans="1:50" ht="105" x14ac:dyDescent="0.2">
      <c r="A2090" s="8" t="str">
        <f ca="1">IFERROR(__xludf.DUMMYFUNCTION("""COMPUTED_VALUE"""),"20090217MICED")</f>
        <v>20090217MICED</v>
      </c>
      <c r="B2090" s="8">
        <f ca="1">IFERROR(__xludf.DUMMYFUNCTION("""COMPUTED_VALUE"""),2)</f>
        <v>2</v>
      </c>
      <c r="C2090" s="8">
        <f ca="1">IFERROR(__xludf.DUMMYFUNCTION("""COMPUTED_VALUE"""),17)</f>
        <v>17</v>
      </c>
      <c r="D2090" s="8">
        <f ca="1">IFERROR(__xludf.DUMMYFUNCTION("""COMPUTED_VALUE"""),2009)</f>
        <v>2009</v>
      </c>
      <c r="E2090" s="9">
        <f ca="1">IFERROR(__xludf.DUMMYFUNCTION("""COMPUTED_VALUE"""),39861)</f>
        <v>39861</v>
      </c>
      <c r="F2090" s="8" t="str">
        <f ca="1">IFERROR(__xludf.DUMMYFUNCTION("""COMPUTED_VALUE"""),"Central High School")</f>
        <v>Central High School</v>
      </c>
      <c r="G2090" s="8">
        <f ca="1">IFERROR(__xludf.DUMMYFUNCTION("""COMPUTED_VALUE"""),0)</f>
        <v>0</v>
      </c>
      <c r="H2090" s="8">
        <f ca="1">IFERROR(__xludf.DUMMYFUNCTION("""COMPUTED_VALUE"""),1)</f>
        <v>1</v>
      </c>
      <c r="I2090" s="8">
        <f ca="1">IFERROR(__xludf.DUMMYFUNCTION("""COMPUTED_VALUE"""),1)</f>
        <v>1</v>
      </c>
      <c r="J2090" s="8">
        <f ca="1">IFERROR(__xludf.DUMMYFUNCTION("""COMPUTED_VALUE"""),0)</f>
        <v>0</v>
      </c>
      <c r="K2090" s="10" t="str">
        <f ca="1">IFERROR(__xludf.DUMMYFUNCTION("""COMPUTED_VALUE"""),"https://www.newspapers.com/image/362815804/?terms=central%2Bhigh%2Bschool%2Bshooting%2Bdetroit")</f>
        <v>https://www.newspapers.com/image/362815804/?terms=central%2Bhigh%2Bschool%2Bshooting%2Bdetroit</v>
      </c>
      <c r="L2090" s="8"/>
      <c r="M2090" s="8"/>
      <c r="N2090" s="8">
        <f ca="1">IFERROR(__xludf.DUMMYFUNCTION("""COMPUTED_VALUE"""),2)</f>
        <v>2</v>
      </c>
      <c r="O2090" s="8" t="str">
        <f ca="1">IFERROR(__xludf.DUMMYFUNCTION("""COMPUTED_VALUE"""),"Winter")</f>
        <v>Winter</v>
      </c>
      <c r="P2090" s="8" t="str">
        <f ca="1">IFERROR(__xludf.DUMMYFUNCTION("""COMPUTED_VALUE"""),"Detroit")</f>
        <v>Detroit</v>
      </c>
      <c r="Q2090" s="8" t="str">
        <f ca="1">IFERROR(__xludf.DUMMYFUNCTION("""COMPUTED_VALUE"""),"MI")</f>
        <v>MI</v>
      </c>
      <c r="R2090" s="8" t="str">
        <f ca="1">IFERROR(__xludf.DUMMYFUNCTION("""COMPUTED_VALUE"""),"High")</f>
        <v>High</v>
      </c>
      <c r="S2090" s="8" t="str">
        <f ca="1">IFERROR(__xludf.DUMMYFUNCTION("""COMPUTED_VALUE"""),"Hallway")</f>
        <v>Hallway</v>
      </c>
      <c r="T2090" s="8" t="str">
        <f ca="1">IFERROR(__xludf.DUMMYFUNCTION("""COMPUTED_VALUE"""),"Inside School Building")</f>
        <v>Inside School Building</v>
      </c>
      <c r="U2090" s="8" t="str">
        <f ca="1">IFERROR(__xludf.DUMMYFUNCTION("""COMPUTED_VALUE"""),"Yes")</f>
        <v>Yes</v>
      </c>
      <c r="V2090" s="8" t="str">
        <f ca="1">IFERROR(__xludf.DUMMYFUNCTION("""COMPUTED_VALUE"""),"Afternoon Classes")</f>
        <v>Afternoon Classes</v>
      </c>
      <c r="W2090" s="11">
        <f ca="1">IFERROR(__xludf.DUMMYFUNCTION("""COMPUTED_VALUE"""),0.597222222222222)</f>
        <v>0.59722222222222199</v>
      </c>
      <c r="X2090" s="8">
        <f ca="1">IFERROR(__xludf.DUMMYFUNCTION("""COMPUTED_VALUE"""),2)</f>
        <v>2</v>
      </c>
      <c r="Y2090" s="12" t="str">
        <f ca="1">IFERROR(__xludf.DUMMYFUNCTION("""COMPUTED_VALUE"""),"Shots fired during argument in school hallway")</f>
        <v>Shots fired during argument in school hallway</v>
      </c>
      <c r="Z2090" s="12" t="str">
        <f ca="1">IFERROR(__xludf.DUMMYFUNCTION("""COMPUTED_VALUE"""),"17 year old male non-student got into argument with 17 year old student on the second floor of the school. The non student calls his 9 year old brother who later arrived at the school and confronted the 17 year old student. Both the 19 year old brother an"&amp;"d the 17 year old student pull guns. The 17 year old student shoots the 19 year old and 19 year old accidentally shoots an 18 year old bystander.")</f>
        <v>17 year old male non-student got into argument with 17 year old student on the second floor of the school. The non student calls his 9 year old brother who later arrived at the school and confronted the 17 year old student. Both the 19 year old brother and the 17 year old student pull guns. The 17 year old student shoots the 19 year old and 19 year old accidentally shoots an 18 year old bystander.</v>
      </c>
      <c r="AA2090" s="8" t="str">
        <f ca="1">IFERROR(__xludf.DUMMYFUNCTION("""COMPUTED_VALUE"""),"Escalation of Dispute")</f>
        <v>Escalation of Dispute</v>
      </c>
      <c r="AB2090" s="8"/>
      <c r="AC2090" s="8" t="str">
        <f ca="1">IFERROR(__xludf.DUMMYFUNCTION("""COMPUTED_VALUE"""),"Yes")</f>
        <v>Yes</v>
      </c>
      <c r="AD2090" s="8" t="str">
        <f ca="1">IFERROR(__xludf.DUMMYFUNCTION("""COMPUTED_VALUE"""),"Both")</f>
        <v>Both</v>
      </c>
      <c r="AE2090" s="8"/>
      <c r="AF2090" s="8"/>
      <c r="AG2090" s="8" t="str">
        <f ca="1">IFERROR(__xludf.DUMMYFUNCTION("""COMPUTED_VALUE"""),"No")</f>
        <v>No</v>
      </c>
      <c r="AH2090" s="8" t="str">
        <f ca="1">IFERROR(__xludf.DUMMYFUNCTION("""COMPUTED_VALUE"""),"No")</f>
        <v>No</v>
      </c>
      <c r="AI2090" s="8" t="str">
        <f ca="1">IFERROR(__xludf.DUMMYFUNCTION("""COMPUTED_VALUE"""),"No")</f>
        <v>No</v>
      </c>
      <c r="AJ2090" s="8" t="str">
        <f ca="1">IFERROR(__xludf.DUMMYFUNCTION("""COMPUTED_VALUE"""),"No")</f>
        <v>No</v>
      </c>
      <c r="AK2090" s="8" t="str">
        <f ca="1">IFERROR(__xludf.DUMMYFUNCTION("""COMPUTED_VALUE"""),"No")</f>
        <v>No</v>
      </c>
      <c r="AL2090" s="8" t="str">
        <f ca="1">IFERROR(__xludf.DUMMYFUNCTION("""COMPUTED_VALUE"""),"No")</f>
        <v>No</v>
      </c>
      <c r="AM2090" s="8"/>
      <c r="AN2090" s="8"/>
      <c r="AO2090" s="8" t="str">
        <f ca="1">IFERROR(__xludf.DUMMYFUNCTION("""COMPUTED_VALUE"""),"No")</f>
        <v>No</v>
      </c>
      <c r="AP2090" s="8" t="str">
        <f ca="1">IFERROR(__xludf.DUMMYFUNCTION("""COMPUTED_VALUE"""),"Yes")</f>
        <v>Yes</v>
      </c>
      <c r="AQ2090" s="8" t="str">
        <f ca="1">IFERROR(__xludf.DUMMYFUNCTION("""COMPUTED_VALUE"""),"Unknown")</f>
        <v>Unknown</v>
      </c>
      <c r="AR2090" s="8" t="str">
        <f ca="1">IFERROR(__xludf.DUMMYFUNCTION("""COMPUTED_VALUE"""),"NA")</f>
        <v>NA</v>
      </c>
      <c r="AS2090" s="8" t="str">
        <f ca="1">IFERROR(__xludf.DUMMYFUNCTION("""COMPUTED_VALUE"""),"&lt;10")</f>
        <v>&lt;10</v>
      </c>
      <c r="AT2090" s="8"/>
      <c r="AU2090" s="8">
        <f ca="1">IFERROR(__xludf.DUMMYFUNCTION("""COMPUTED_VALUE"""),42.383439)</f>
        <v>42.383439000000003</v>
      </c>
      <c r="AV2090" s="8">
        <f ca="1">IFERROR(__xludf.DUMMYFUNCTION("""COMPUTED_VALUE"""),-83.112029)</f>
        <v>-83.112029000000007</v>
      </c>
      <c r="AW2090" s="8"/>
      <c r="AX2090" s="8">
        <f ca="1">IFERROR(__xludf.DUMMYFUNCTION("""COMPUTED_VALUE"""),48206)</f>
        <v>48206</v>
      </c>
    </row>
    <row r="2091" spans="1:50" ht="60" x14ac:dyDescent="0.2">
      <c r="A2091" s="8" t="str">
        <f ca="1">IFERROR(__xludf.DUMMYFUNCTION("""COMPUTED_VALUE"""),"20090211NCSCZ")</f>
        <v>20090211NCSCZ</v>
      </c>
      <c r="B2091" s="8">
        <f ca="1">IFERROR(__xludf.DUMMYFUNCTION("""COMPUTED_VALUE"""),2)</f>
        <v>2</v>
      </c>
      <c r="C2091" s="8">
        <f ca="1">IFERROR(__xludf.DUMMYFUNCTION("""COMPUTED_VALUE"""),11)</f>
        <v>11</v>
      </c>
      <c r="D2091" s="8">
        <f ca="1">IFERROR(__xludf.DUMMYFUNCTION("""COMPUTED_VALUE"""),2009)</f>
        <v>2009</v>
      </c>
      <c r="E2091" s="9">
        <f ca="1">IFERROR(__xludf.DUMMYFUNCTION("""COMPUTED_VALUE"""),39855)</f>
        <v>39855</v>
      </c>
      <c r="F2091" s="8" t="str">
        <f ca="1">IFERROR(__xludf.DUMMYFUNCTION("""COMPUTED_VALUE"""),"School bus")</f>
        <v>School bus</v>
      </c>
      <c r="G2091" s="8">
        <f ca="1">IFERROR(__xludf.DUMMYFUNCTION("""COMPUTED_VALUE"""),0)</f>
        <v>0</v>
      </c>
      <c r="H2091" s="8">
        <f ca="1">IFERROR(__xludf.DUMMYFUNCTION("""COMPUTED_VALUE"""),1)</f>
        <v>1</v>
      </c>
      <c r="I2091" s="8">
        <f ca="1">IFERROR(__xludf.DUMMYFUNCTION("""COMPUTED_VALUE"""),1)</f>
        <v>1</v>
      </c>
      <c r="J2091" s="8">
        <f ca="1">IFERROR(__xludf.DUMMYFUNCTION("""COMPUTED_VALUE"""),0)</f>
        <v>0</v>
      </c>
      <c r="K2091" s="8" t="str">
        <f ca="1">IFERROR(__xludf.DUMMYFUNCTION("""COMPUTED_VALUE"""),"https://www.wral.com/news/local/story/4514436/ . https://www.newspapers.com/image/291431895/?terms=ZEBULON%2BSCHOOL%2BBUS%2BSHOOTING")</f>
        <v>https://www.wral.com/news/local/story/4514436/ . https://www.newspapers.com/image/291431895/?terms=ZEBULON%2BSCHOOL%2BBUS%2BSHOOTING</v>
      </c>
      <c r="L2091" s="8"/>
      <c r="M2091" s="8"/>
      <c r="N2091" s="8">
        <f ca="1">IFERROR(__xludf.DUMMYFUNCTION("""COMPUTED_VALUE"""),3)</f>
        <v>3</v>
      </c>
      <c r="O2091" s="8" t="str">
        <f ca="1">IFERROR(__xludf.DUMMYFUNCTION("""COMPUTED_VALUE"""),"Winter")</f>
        <v>Winter</v>
      </c>
      <c r="P2091" s="8" t="str">
        <f ca="1">IFERROR(__xludf.DUMMYFUNCTION("""COMPUTED_VALUE"""),"Zebulon")</f>
        <v>Zebulon</v>
      </c>
      <c r="Q2091" s="8" t="str">
        <f ca="1">IFERROR(__xludf.DUMMYFUNCTION("""COMPUTED_VALUE"""),"NC")</f>
        <v>NC</v>
      </c>
      <c r="R2091" s="8" t="str">
        <f ca="1">IFERROR(__xludf.DUMMYFUNCTION("""COMPUTED_VALUE"""),"Other")</f>
        <v>Other</v>
      </c>
      <c r="S2091" s="8" t="str">
        <f ca="1">IFERROR(__xludf.DUMMYFUNCTION("""COMPUTED_VALUE"""),"School Bus")</f>
        <v>School Bus</v>
      </c>
      <c r="T2091" s="8" t="str">
        <f ca="1">IFERROR(__xludf.DUMMYFUNCTION("""COMPUTED_VALUE"""),"School Bus")</f>
        <v>School Bus</v>
      </c>
      <c r="U2091" s="8" t="str">
        <f ca="1">IFERROR(__xludf.DUMMYFUNCTION("""COMPUTED_VALUE"""),"Yes")</f>
        <v>Yes</v>
      </c>
      <c r="V2091" s="8" t="str">
        <f ca="1">IFERROR(__xludf.DUMMYFUNCTION("""COMPUTED_VALUE"""),"Before School")</f>
        <v>Before School</v>
      </c>
      <c r="W2091" s="8"/>
      <c r="X2091" s="8">
        <f ca="1">IFERROR(__xludf.DUMMYFUNCTION("""COMPUTED_VALUE"""),1)</f>
        <v>1</v>
      </c>
      <c r="Y2091" s="12" t="str">
        <f ca="1">IFERROR(__xludf.DUMMYFUNCTION("""COMPUTED_VALUE"""),"Showing gun to friend on school bus")</f>
        <v>Showing gun to friend on school bus</v>
      </c>
      <c r="Z2091" s="12" t="str">
        <f ca="1">IFERROR(__xludf.DUMMYFUNCTION("""COMPUTED_VALUE"""),"Shooter was on school bus showing off .22 caliber gun to a friend when the gun went off striking another bus rider in the leg. Shooter's father was arrested and charged with failure to keep a firearm away from a minor.")</f>
        <v>Shooter was on school bus showing off .22 caliber gun to a friend when the gun went off striking another bus rider in the leg. Shooter's father was arrested and charged with failure to keep a firearm away from a minor.</v>
      </c>
      <c r="AA2091" s="8" t="str">
        <f ca="1">IFERROR(__xludf.DUMMYFUNCTION("""COMPUTED_VALUE"""),"Accidental")</f>
        <v>Accidental</v>
      </c>
      <c r="AB2091" s="8"/>
      <c r="AC2091" s="8" t="str">
        <f ca="1">IFERROR(__xludf.DUMMYFUNCTION("""COMPUTED_VALUE"""),"Yes")</f>
        <v>Yes</v>
      </c>
      <c r="AD2091" s="8" t="str">
        <f ca="1">IFERROR(__xludf.DUMMYFUNCTION("""COMPUTED_VALUE"""),"Random Shooting")</f>
        <v>Random Shooting</v>
      </c>
      <c r="AE2091" s="8" t="str">
        <f ca="1">IFERROR(__xludf.DUMMYFUNCTION("""COMPUTED_VALUE"""),"No")</f>
        <v>No</v>
      </c>
      <c r="AF2091" s="8"/>
      <c r="AG2091" s="8" t="str">
        <f ca="1">IFERROR(__xludf.DUMMYFUNCTION("""COMPUTED_VALUE"""),"No")</f>
        <v>No</v>
      </c>
      <c r="AH2091" s="8" t="str">
        <f ca="1">IFERROR(__xludf.DUMMYFUNCTION("""COMPUTED_VALUE"""),"No")</f>
        <v>No</v>
      </c>
      <c r="AI2091" s="8" t="str">
        <f ca="1">IFERROR(__xludf.DUMMYFUNCTION("""COMPUTED_VALUE"""),"No")</f>
        <v>No</v>
      </c>
      <c r="AJ2091" s="8" t="str">
        <f ca="1">IFERROR(__xludf.DUMMYFUNCTION("""COMPUTED_VALUE"""),"No")</f>
        <v>No</v>
      </c>
      <c r="AK2091" s="8" t="str">
        <f ca="1">IFERROR(__xludf.DUMMYFUNCTION("""COMPUTED_VALUE"""),"No")</f>
        <v>No</v>
      </c>
      <c r="AL2091" s="8" t="str">
        <f ca="1">IFERROR(__xludf.DUMMYFUNCTION("""COMPUTED_VALUE"""),"No")</f>
        <v>No</v>
      </c>
      <c r="AM2091" s="8"/>
      <c r="AN2091" s="8"/>
      <c r="AO2091" s="8" t="str">
        <f ca="1">IFERROR(__xludf.DUMMYFUNCTION("""COMPUTED_VALUE"""),"No")</f>
        <v>No</v>
      </c>
      <c r="AP2091" s="8"/>
      <c r="AQ2091" s="8" t="str">
        <f ca="1">IFERROR(__xludf.DUMMYFUNCTION("""COMPUTED_VALUE"""),"Unknown")</f>
        <v>Unknown</v>
      </c>
      <c r="AR2091" s="8" t="str">
        <f ca="1">IFERROR(__xludf.DUMMYFUNCTION("""COMPUTED_VALUE"""),"NA")</f>
        <v>NA</v>
      </c>
      <c r="AS2091" s="8">
        <f ca="1">IFERROR(__xludf.DUMMYFUNCTION("""COMPUTED_VALUE"""),1)</f>
        <v>1</v>
      </c>
      <c r="AT2091" s="8"/>
      <c r="AU2091" s="8">
        <f ca="1">IFERROR(__xludf.DUMMYFUNCTION("""COMPUTED_VALUE"""),35.8243208)</f>
        <v>35.824320800000002</v>
      </c>
      <c r="AV2091" s="8">
        <f ca="1">IFERROR(__xludf.DUMMYFUNCTION("""COMPUTED_VALUE"""),-78.3147199)</f>
        <v>-78.3147199</v>
      </c>
      <c r="AW2091" s="8"/>
      <c r="AX2091" s="8">
        <f ca="1">IFERROR(__xludf.DUMMYFUNCTION("""COMPUTED_VALUE"""),27597)</f>
        <v>27597</v>
      </c>
    </row>
    <row r="2092" spans="1:50" ht="60" x14ac:dyDescent="0.2">
      <c r="A2092" s="8" t="str">
        <f ca="1">IFERROR(__xludf.DUMMYFUNCTION("""COMPUTED_VALUE"""),"20090210CABAE")</f>
        <v>20090210CABAE</v>
      </c>
      <c r="B2092" s="8">
        <f ca="1">IFERROR(__xludf.DUMMYFUNCTION("""COMPUTED_VALUE"""),2)</f>
        <v>2</v>
      </c>
      <c r="C2092" s="8">
        <f ca="1">IFERROR(__xludf.DUMMYFUNCTION("""COMPUTED_VALUE"""),10)</f>
        <v>10</v>
      </c>
      <c r="D2092" s="8">
        <f ca="1">IFERROR(__xludf.DUMMYFUNCTION("""COMPUTED_VALUE"""),2009)</f>
        <v>2009</v>
      </c>
      <c r="E2092" s="9">
        <f ca="1">IFERROR(__xludf.DUMMYFUNCTION("""COMPUTED_VALUE"""),39854)</f>
        <v>39854</v>
      </c>
      <c r="F2092" s="8" t="str">
        <f ca="1">IFERROR(__xludf.DUMMYFUNCTION("""COMPUTED_VALUE"""),"Baker Elementary School")</f>
        <v>Baker Elementary School</v>
      </c>
      <c r="G2092" s="8">
        <f ca="1">IFERROR(__xludf.DUMMYFUNCTION("""COMPUTED_VALUE"""),0)</f>
        <v>0</v>
      </c>
      <c r="H2092" s="8">
        <f ca="1">IFERROR(__xludf.DUMMYFUNCTION("""COMPUTED_VALUE"""),0)</f>
        <v>0</v>
      </c>
      <c r="I2092" s="8">
        <f ca="1">IFERROR(__xludf.DUMMYFUNCTION("""COMPUTED_VALUE"""),0)</f>
        <v>0</v>
      </c>
      <c r="J2092" s="8">
        <f ca="1">IFERROR(__xludf.DUMMYFUNCTION("""COMPUTED_VALUE"""),0)</f>
        <v>0</v>
      </c>
      <c r="K2092" s="10" t="str">
        <f ca="1">IFERROR(__xludf.DUMMYFUNCTION("""COMPUTED_VALUE"""),"https://abc7.com/archive/6651899/")</f>
        <v>https://abc7.com/archive/6651899/</v>
      </c>
      <c r="L2092" s="8"/>
      <c r="M2092" s="8"/>
      <c r="N2092" s="8">
        <f ca="1">IFERROR(__xludf.DUMMYFUNCTION("""COMPUTED_VALUE"""),2)</f>
        <v>2</v>
      </c>
      <c r="O2092" s="8" t="str">
        <f ca="1">IFERROR(__xludf.DUMMYFUNCTION("""COMPUTED_VALUE"""),"Winter")</f>
        <v>Winter</v>
      </c>
      <c r="P2092" s="8" t="str">
        <f ca="1">IFERROR(__xludf.DUMMYFUNCTION("""COMPUTED_VALUE"""),"El Monte")</f>
        <v>El Monte</v>
      </c>
      <c r="Q2092" s="8" t="str">
        <f ca="1">IFERROR(__xludf.DUMMYFUNCTION("""COMPUTED_VALUE"""),"CA")</f>
        <v>CA</v>
      </c>
      <c r="R2092" s="8" t="str">
        <f ca="1">IFERROR(__xludf.DUMMYFUNCTION("""COMPUTED_VALUE"""),"Elementary")</f>
        <v>Elementary</v>
      </c>
      <c r="S2092" s="8" t="str">
        <f ca="1">IFERROR(__xludf.DUMMYFUNCTION("""COMPUTED_VALUE"""),"Beside Building")</f>
        <v>Beside Building</v>
      </c>
      <c r="T2092" s="8" t="str">
        <f ca="1">IFERROR(__xludf.DUMMYFUNCTION("""COMPUTED_VALUE"""),"Outside on School Property")</f>
        <v>Outside on School Property</v>
      </c>
      <c r="U2092" s="8" t="str">
        <f ca="1">IFERROR(__xludf.DUMMYFUNCTION("""COMPUTED_VALUE"""),"Yes")</f>
        <v>Yes</v>
      </c>
      <c r="V2092" s="8" t="str">
        <f ca="1">IFERROR(__xludf.DUMMYFUNCTION("""COMPUTED_VALUE"""),"Dismissal")</f>
        <v>Dismissal</v>
      </c>
      <c r="W2092" s="11">
        <f ca="1">IFERROR(__xludf.DUMMYFUNCTION("""COMPUTED_VALUE"""),0.583333333333333)</f>
        <v>0.58333333333333304</v>
      </c>
      <c r="X2092" s="8">
        <f ca="1">IFERROR(__xludf.DUMMYFUNCTION("""COMPUTED_VALUE"""),1)</f>
        <v>1</v>
      </c>
      <c r="Y2092" s="12" t="str">
        <f ca="1">IFERROR(__xludf.DUMMYFUNCTION("""COMPUTED_VALUE"""),"Student fired gun into ground outside of school")</f>
        <v>Student fired gun into ground outside of school</v>
      </c>
      <c r="Z2092" s="12" t="str">
        <f ca="1">IFERROR(__xludf.DUMMYFUNCTION("""COMPUTED_VALUE"""),"Just before school dismissed for the day, the shooter - a third grader - took a .22 caliber handgun out of his backpack and fired it into the ground. There were approximately 100 children in the area - no injuries.")</f>
        <v>Just before school dismissed for the day, the shooter - a third grader - took a .22 caliber handgun out of his backpack and fired it into the ground. There were approximately 100 children in the area - no injuries.</v>
      </c>
      <c r="AA2092" s="8" t="str">
        <f ca="1">IFERROR(__xludf.DUMMYFUNCTION("""COMPUTED_VALUE"""),"Accidental")</f>
        <v>Accidental</v>
      </c>
      <c r="AB2092" s="8"/>
      <c r="AC2092" s="8" t="str">
        <f ca="1">IFERROR(__xludf.DUMMYFUNCTION("""COMPUTED_VALUE"""),"Yes")</f>
        <v>Yes</v>
      </c>
      <c r="AD2092" s="8" t="str">
        <f ca="1">IFERROR(__xludf.DUMMYFUNCTION("""COMPUTED_VALUE"""),"NA")</f>
        <v>NA</v>
      </c>
      <c r="AE2092" s="8" t="str">
        <f ca="1">IFERROR(__xludf.DUMMYFUNCTION("""COMPUTED_VALUE"""),"No")</f>
        <v>No</v>
      </c>
      <c r="AF2092" s="8"/>
      <c r="AG2092" s="8" t="str">
        <f ca="1">IFERROR(__xludf.DUMMYFUNCTION("""COMPUTED_VALUE"""),"No")</f>
        <v>No</v>
      </c>
      <c r="AH2092" s="8" t="str">
        <f ca="1">IFERROR(__xludf.DUMMYFUNCTION("""COMPUTED_VALUE"""),"No")</f>
        <v>No</v>
      </c>
      <c r="AI2092" s="8" t="str">
        <f ca="1">IFERROR(__xludf.DUMMYFUNCTION("""COMPUTED_VALUE"""),"No")</f>
        <v>No</v>
      </c>
      <c r="AJ2092" s="8" t="str">
        <f ca="1">IFERROR(__xludf.DUMMYFUNCTION("""COMPUTED_VALUE"""),"No")</f>
        <v>No</v>
      </c>
      <c r="AK2092" s="8" t="str">
        <f ca="1">IFERROR(__xludf.DUMMYFUNCTION("""COMPUTED_VALUE"""),"No")</f>
        <v>No</v>
      </c>
      <c r="AL2092" s="8" t="str">
        <f ca="1">IFERROR(__xludf.DUMMYFUNCTION("""COMPUTED_VALUE"""),"No")</f>
        <v>No</v>
      </c>
      <c r="AM2092" s="8"/>
      <c r="AN2092" s="8"/>
      <c r="AO2092" s="8" t="str">
        <f ca="1">IFERROR(__xludf.DUMMYFUNCTION("""COMPUTED_VALUE"""),"No")</f>
        <v>No</v>
      </c>
      <c r="AP2092" s="8" t="str">
        <f ca="1">IFERROR(__xludf.DUMMYFUNCTION("""COMPUTED_VALUE"""),"Yes")</f>
        <v>Yes</v>
      </c>
      <c r="AQ2092" s="8" t="str">
        <f ca="1">IFERROR(__xludf.DUMMYFUNCTION("""COMPUTED_VALUE"""),"Unknown")</f>
        <v>Unknown</v>
      </c>
      <c r="AR2092" s="8" t="str">
        <f ca="1">IFERROR(__xludf.DUMMYFUNCTION("""COMPUTED_VALUE"""),"NA")</f>
        <v>NA</v>
      </c>
      <c r="AS2092" s="8">
        <f ca="1">IFERROR(__xludf.DUMMYFUNCTION("""COMPUTED_VALUE"""),1)</f>
        <v>1</v>
      </c>
      <c r="AT2092" s="8"/>
      <c r="AU2092" s="8">
        <f ca="1">IFERROR(__xludf.DUMMYFUNCTION("""COMPUTED_VALUE"""),34.066126)</f>
        <v>34.066125999999997</v>
      </c>
      <c r="AV2092" s="8">
        <f ca="1">IFERROR(__xludf.DUMMYFUNCTION("""COMPUTED_VALUE"""),-118.015668)</f>
        <v>-118.01566800000001</v>
      </c>
      <c r="AW2092" s="8"/>
      <c r="AX2092" s="8">
        <f ca="1">IFERROR(__xludf.DUMMYFUNCTION("""COMPUTED_VALUE"""),91732)</f>
        <v>91732</v>
      </c>
    </row>
    <row r="2093" spans="1:50" ht="105" x14ac:dyDescent="0.2">
      <c r="A2093" s="8" t="str">
        <f ca="1">IFERROR(__xludf.DUMMYFUNCTION("""COMPUTED_VALUE"""),"20090127NCCLC")</f>
        <v>20090127NCCLC</v>
      </c>
      <c r="B2093" s="8">
        <f ca="1">IFERROR(__xludf.DUMMYFUNCTION("""COMPUTED_VALUE"""),1)</f>
        <v>1</v>
      </c>
      <c r="C2093" s="8">
        <f ca="1">IFERROR(__xludf.DUMMYFUNCTION("""COMPUTED_VALUE"""),27)</f>
        <v>27</v>
      </c>
      <c r="D2093" s="8">
        <f ca="1">IFERROR(__xludf.DUMMYFUNCTION("""COMPUTED_VALUE"""),2009)</f>
        <v>2009</v>
      </c>
      <c r="E2093" s="9">
        <f ca="1">IFERROR(__xludf.DUMMYFUNCTION("""COMPUTED_VALUE"""),39840)</f>
        <v>39840</v>
      </c>
      <c r="F2093" s="8" t="str">
        <f ca="1">IFERROR(__xludf.DUMMYFUNCTION("""COMPUTED_VALUE"""),"Clayton High School")</f>
        <v>Clayton High School</v>
      </c>
      <c r="G2093" s="8">
        <f ca="1">IFERROR(__xludf.DUMMYFUNCTION("""COMPUTED_VALUE"""),0)</f>
        <v>0</v>
      </c>
      <c r="H2093" s="8">
        <f ca="1">IFERROR(__xludf.DUMMYFUNCTION("""COMPUTED_VALUE"""),0)</f>
        <v>0</v>
      </c>
      <c r="I2093" s="8">
        <f ca="1">IFERROR(__xludf.DUMMYFUNCTION("""COMPUTED_VALUE"""),0)</f>
        <v>0</v>
      </c>
      <c r="J2093" s="8">
        <f ca="1">IFERROR(__xludf.DUMMYFUNCTION("""COMPUTED_VALUE"""),0)</f>
        <v>0</v>
      </c>
      <c r="K2093" s="8" t="str">
        <f ca="1">IFERROR(__xludf.DUMMYFUNCTION("""COMPUTED_VALUE"""),"https://www.wral.com/two-charged-in-shooting-outside-clayton-high/4528095/ . https://www.wral.com/man-gets-jail-time-for-shooting-at-clayton-high/5736030/ . https://www.judicialview.com/State-Cases/north-carolina/Criminal_Justice/State-of-North-Carolina-v"&amp;"-Dubose-III/19/19172 . https://www.google.com/search?q=nobbie+lee+dubose+photo&amp;biw=2034&amp;bih=1008&amp;tbm=isch&amp;source=iu&amp;ictx=1&amp;fir=QLSRcbx0Dq5iHM%253A%252CG6gSy9xxn4JLkM%252C_&amp;usg=AFrqEzfud4gfx_BiNZMaMzKIySWggX9zzw&amp;sa=X&amp;ved=2ahUKEwibvpuY0_XcAhUJVd8KHZRKDeEQ9Q"&amp;"EwAXoECAAQBg#imgrc=gj6WhcVbT0mfqM:")</f>
        <v>https://www.wral.com/two-charged-in-shooting-outside-clayton-high/4528095/ . https://www.wral.com/man-gets-jail-time-for-shooting-at-clayton-high/5736030/ . https://www.judicialview.com/State-Cases/north-carolina/Criminal_Justice/State-of-North-Carolina-v-Dubose-III/19/19172 . https://www.google.com/search?q=nobbie+lee+dubose+photo&amp;biw=2034&amp;bih=1008&amp;tbm=isch&amp;source=iu&amp;ictx=1&amp;fir=QLSRcbx0Dq5iHM%253A%252CG6gSy9xxn4JLkM%252C_&amp;usg=AFrqEzfud4gfx_BiNZMaMzKIySWggX9zzw&amp;sa=X&amp;ved=2ahUKEwibvpuY0_XcAhUJVd8KHZRKDeEQ9QEwAXoECAAQBg#imgrc=gj6WhcVbT0mfqM:</v>
      </c>
      <c r="L2093" s="8"/>
      <c r="M2093" s="8"/>
      <c r="N2093" s="8">
        <f ca="1">IFERROR(__xludf.DUMMYFUNCTION("""COMPUTED_VALUE"""),3)</f>
        <v>3</v>
      </c>
      <c r="O2093" s="8" t="str">
        <f ca="1">IFERROR(__xludf.DUMMYFUNCTION("""COMPUTED_VALUE"""),"Winter")</f>
        <v>Winter</v>
      </c>
      <c r="P2093" s="8" t="str">
        <f ca="1">IFERROR(__xludf.DUMMYFUNCTION("""COMPUTED_VALUE"""),"Clayton")</f>
        <v>Clayton</v>
      </c>
      <c r="Q2093" s="8" t="str">
        <f ca="1">IFERROR(__xludf.DUMMYFUNCTION("""COMPUTED_VALUE"""),"NC")</f>
        <v>NC</v>
      </c>
      <c r="R2093" s="8" t="str">
        <f ca="1">IFERROR(__xludf.DUMMYFUNCTION("""COMPUTED_VALUE"""),"High")</f>
        <v>High</v>
      </c>
      <c r="S2093" s="8" t="str">
        <f ca="1">IFERROR(__xludf.DUMMYFUNCTION("""COMPUTED_VALUE"""),"Beside Building")</f>
        <v>Beside Building</v>
      </c>
      <c r="T2093" s="8" t="str">
        <f ca="1">IFERROR(__xludf.DUMMYFUNCTION("""COMPUTED_VALUE"""),"Outside on School Property")</f>
        <v>Outside on School Property</v>
      </c>
      <c r="U2093" s="8" t="str">
        <f ca="1">IFERROR(__xludf.DUMMYFUNCTION("""COMPUTED_VALUE"""),"No")</f>
        <v>No</v>
      </c>
      <c r="V2093" s="8" t="str">
        <f ca="1">IFERROR(__xludf.DUMMYFUNCTION("""COMPUTED_VALUE"""),"Sport Event")</f>
        <v>Sport Event</v>
      </c>
      <c r="W2093" s="8"/>
      <c r="X2093" s="8">
        <f ca="1">IFERROR(__xludf.DUMMYFUNCTION("""COMPUTED_VALUE"""),1)</f>
        <v>1</v>
      </c>
      <c r="Y2093" s="12" t="str">
        <f ca="1">IFERROR(__xludf.DUMMYFUNCTION("""COMPUTED_VALUE"""),"Shooting at rival gang members during basketball game")</f>
        <v>Shooting at rival gang members during basketball game</v>
      </c>
      <c r="Z2093" s="12" t="str">
        <f ca="1">IFERROR(__xludf.DUMMYFUNCTION("""COMPUTED_VALUE"""),"Shooter and an accomplice were outside high school basketball game when they saw a rival gang member standing next to gymnasium door. Shooter retrieved gun from vehicle and fired two shots in the direction of the gang member, one shot hit the wall of the "&amp;"gymnasium. No reported injuries. Shooter and accomplice were later arrested and charged.")</f>
        <v>Shooter and an accomplice were outside high school basketball game when they saw a rival gang member standing next to gymnasium door. Shooter retrieved gun from vehicle and fired two shots in the direction of the gang member, one shot hit the wall of the gymnasium. No reported injuries. Shooter and accomplice were later arrested and charged.</v>
      </c>
      <c r="AA2093" s="8" t="str">
        <f ca="1">IFERROR(__xludf.DUMMYFUNCTION("""COMPUTED_VALUE"""),"Escalation of Dispute")</f>
        <v>Escalation of Dispute</v>
      </c>
      <c r="AB2093" s="8"/>
      <c r="AC2093" s="8" t="str">
        <f ca="1">IFERROR(__xludf.DUMMYFUNCTION("""COMPUTED_VALUE"""),"Yes")</f>
        <v>Yes</v>
      </c>
      <c r="AD2093" s="8" t="str">
        <f ca="1">IFERROR(__xludf.DUMMYFUNCTION("""COMPUTED_VALUE"""),"NA")</f>
        <v>NA</v>
      </c>
      <c r="AE2093" s="8" t="str">
        <f ca="1">IFERROR(__xludf.DUMMYFUNCTION("""COMPUTED_VALUE"""),"Yes")</f>
        <v>Yes</v>
      </c>
      <c r="AF2093" s="8" t="str">
        <f ca="1">IFERROR(__xludf.DUMMYFUNCTION("""COMPUTED_VALUE"""),"Dashawn Ray (16) - pled guilty to be an accessory and order to finish high school.")</f>
        <v>Dashawn Ray (16) - pled guilty to be an accessory and order to finish high school.</v>
      </c>
      <c r="AG2093" s="8" t="str">
        <f ca="1">IFERROR(__xludf.DUMMYFUNCTION("""COMPUTED_VALUE"""),"No")</f>
        <v>No</v>
      </c>
      <c r="AH2093" s="8" t="str">
        <f ca="1">IFERROR(__xludf.DUMMYFUNCTION("""COMPUTED_VALUE"""),"No")</f>
        <v>No</v>
      </c>
      <c r="AI2093" s="8" t="str">
        <f ca="1">IFERROR(__xludf.DUMMYFUNCTION("""COMPUTED_VALUE"""),"No")</f>
        <v>No</v>
      </c>
      <c r="AJ2093" s="8" t="str">
        <f ca="1">IFERROR(__xludf.DUMMYFUNCTION("""COMPUTED_VALUE"""),"No")</f>
        <v>No</v>
      </c>
      <c r="AK2093" s="8" t="str">
        <f ca="1">IFERROR(__xludf.DUMMYFUNCTION("""COMPUTED_VALUE"""),"No")</f>
        <v>No</v>
      </c>
      <c r="AL2093" s="8" t="str">
        <f ca="1">IFERROR(__xludf.DUMMYFUNCTION("""COMPUTED_VALUE"""),"Yes")</f>
        <v>Yes</v>
      </c>
      <c r="AM2093" s="8"/>
      <c r="AN2093" s="8"/>
      <c r="AO2093" s="8" t="str">
        <f ca="1">IFERROR(__xludf.DUMMYFUNCTION("""COMPUTED_VALUE"""),"No")</f>
        <v>No</v>
      </c>
      <c r="AP2093" s="8"/>
      <c r="AQ2093" s="8" t="str">
        <f ca="1">IFERROR(__xludf.DUMMYFUNCTION("""COMPUTED_VALUE"""),"Unknown")</f>
        <v>Unknown</v>
      </c>
      <c r="AR2093" s="8" t="str">
        <f ca="1">IFERROR(__xludf.DUMMYFUNCTION("""COMPUTED_VALUE"""),"NA")</f>
        <v>NA</v>
      </c>
      <c r="AS2093" s="8">
        <f ca="1">IFERROR(__xludf.DUMMYFUNCTION("""COMPUTED_VALUE"""),2)</f>
        <v>2</v>
      </c>
      <c r="AT2093" s="8"/>
      <c r="AU2093" s="8">
        <f ca="1">IFERROR(__xludf.DUMMYFUNCTION("""COMPUTED_VALUE"""),35.649962)</f>
        <v>35.649962000000002</v>
      </c>
      <c r="AV2093" s="8">
        <f ca="1">IFERROR(__xludf.DUMMYFUNCTION("""COMPUTED_VALUE"""),-78.464893)</f>
        <v>-78.464893000000004</v>
      </c>
      <c r="AW2093" s="8"/>
      <c r="AX2093" s="8">
        <f ca="1">IFERROR(__xludf.DUMMYFUNCTION("""COMPUTED_VALUE"""),27520)</f>
        <v>27520</v>
      </c>
    </row>
    <row r="2094" spans="1:50" ht="75" x14ac:dyDescent="0.2">
      <c r="A2094" s="8" t="str">
        <f ca="1">IFERROR(__xludf.DUMMYFUNCTION("""COMPUTED_VALUE"""),"20090123ILCAC")</f>
        <v>20090123ILCAC</v>
      </c>
      <c r="B2094" s="8">
        <f ca="1">IFERROR(__xludf.DUMMYFUNCTION("""COMPUTED_VALUE"""),1)</f>
        <v>1</v>
      </c>
      <c r="C2094" s="8">
        <f ca="1">IFERROR(__xludf.DUMMYFUNCTION("""COMPUTED_VALUE"""),23)</f>
        <v>23</v>
      </c>
      <c r="D2094" s="8">
        <f ca="1">IFERROR(__xludf.DUMMYFUNCTION("""COMPUTED_VALUE"""),2009)</f>
        <v>2009</v>
      </c>
      <c r="E2094" s="9">
        <f ca="1">IFERROR(__xludf.DUMMYFUNCTION("""COMPUTED_VALUE"""),39836)</f>
        <v>39836</v>
      </c>
      <c r="F2094" s="8" t="str">
        <f ca="1">IFERROR(__xludf.DUMMYFUNCTION("""COMPUTED_VALUE"""),"Cahokia High School")</f>
        <v>Cahokia High School</v>
      </c>
      <c r="G2094" s="8">
        <f ca="1">IFERROR(__xludf.DUMMYFUNCTION("""COMPUTED_VALUE"""),1)</f>
        <v>1</v>
      </c>
      <c r="H2094" s="8">
        <f ca="1">IFERROR(__xludf.DUMMYFUNCTION("""COMPUTED_VALUE"""),0)</f>
        <v>0</v>
      </c>
      <c r="I2094" s="8">
        <f ca="1">IFERROR(__xludf.DUMMYFUNCTION("""COMPUTED_VALUE"""),1)</f>
        <v>1</v>
      </c>
      <c r="J2094" s="8">
        <f ca="1">IFERROR(__xludf.DUMMYFUNCTION("""COMPUTED_VALUE"""),0)</f>
        <v>0</v>
      </c>
      <c r="K2094" s="8" t="str">
        <f ca="1">IFERROR(__xludf.DUMMYFUNCTION("""COMPUTED_VALUE"""),"https://www.newspapers.com/image/151609297/?terms=REGINALD%2BCOLEMAN .http://www.rrstar.com/article/20110803/NEWS/308039939 . https://www.newspapers.com/image/219650458/?terms=REGINALD%2BCOLEMAN")</f>
        <v>https://www.newspapers.com/image/151609297/?terms=REGINALD%2BCOLEMAN .http://www.rrstar.com/article/20110803/NEWS/308039939 . https://www.newspapers.com/image/219650458/?terms=REGINALD%2BCOLEMAN</v>
      </c>
      <c r="L2094" s="8"/>
      <c r="M2094" s="8"/>
      <c r="N2094" s="8">
        <f ca="1">IFERROR(__xludf.DUMMYFUNCTION("""COMPUTED_VALUE"""),3)</f>
        <v>3</v>
      </c>
      <c r="O2094" s="8" t="str">
        <f ca="1">IFERROR(__xludf.DUMMYFUNCTION("""COMPUTED_VALUE"""),"Winter")</f>
        <v>Winter</v>
      </c>
      <c r="P2094" s="8" t="str">
        <f ca="1">IFERROR(__xludf.DUMMYFUNCTION("""COMPUTED_VALUE"""),"Cahokia")</f>
        <v>Cahokia</v>
      </c>
      <c r="Q2094" s="8" t="str">
        <f ca="1">IFERROR(__xludf.DUMMYFUNCTION("""COMPUTED_VALUE"""),"IL")</f>
        <v>IL</v>
      </c>
      <c r="R2094" s="8" t="str">
        <f ca="1">IFERROR(__xludf.DUMMYFUNCTION("""COMPUTED_VALUE"""),"High")</f>
        <v>High</v>
      </c>
      <c r="S2094" s="8" t="str">
        <f ca="1">IFERROR(__xludf.DUMMYFUNCTION("""COMPUTED_VALUE"""),"Parking Lot")</f>
        <v>Parking Lot</v>
      </c>
      <c r="T2094" s="8" t="str">
        <f ca="1">IFERROR(__xludf.DUMMYFUNCTION("""COMPUTED_VALUE"""),"Outside on School Property")</f>
        <v>Outside on School Property</v>
      </c>
      <c r="U2094" s="8" t="str">
        <f ca="1">IFERROR(__xludf.DUMMYFUNCTION("""COMPUTED_VALUE"""),"No")</f>
        <v>No</v>
      </c>
      <c r="V2094" s="8" t="str">
        <f ca="1">IFERROR(__xludf.DUMMYFUNCTION("""COMPUTED_VALUE"""),"Sport Event")</f>
        <v>Sport Event</v>
      </c>
      <c r="W2094" s="8"/>
      <c r="X2094" s="8">
        <f ca="1">IFERROR(__xludf.DUMMYFUNCTION("""COMPUTED_VALUE"""),1)</f>
        <v>1</v>
      </c>
      <c r="Y2094" s="12" t="str">
        <f ca="1">IFERROR(__xludf.DUMMYFUNCTION("""COMPUTED_VALUE"""),"Gang related shooting outside of school")</f>
        <v>Gang related shooting outside of school</v>
      </c>
      <c r="Z2094" s="12" t="str">
        <f ca="1">IFERROR(__xludf.DUMMYFUNCTION("""COMPUTED_VALUE"""),"Two men became involved in an argument possibly over a female. The argument occurred in the school parking lot between basketball games. Victim was shot once and died. Shooter arrested and charged. Shooter stated he shot victim after he was surrounded by "&amp;"8 rival gang members.")</f>
        <v>Two men became involved in an argument possibly over a female. The argument occurred in the school parking lot between basketball games. Victim was shot once and died. Shooter arrested and charged. Shooter stated he shot victim after he was surrounded by 8 rival gang members.</v>
      </c>
      <c r="AA2094" s="8" t="str">
        <f ca="1">IFERROR(__xludf.DUMMYFUNCTION("""COMPUTED_VALUE"""),"Escalation of Dispute")</f>
        <v>Escalation of Dispute</v>
      </c>
      <c r="AB2094" s="8"/>
      <c r="AC2094" s="8" t="str">
        <f ca="1">IFERROR(__xludf.DUMMYFUNCTION("""COMPUTED_VALUE"""),"Yes")</f>
        <v>Yes</v>
      </c>
      <c r="AD2094" s="8" t="str">
        <f ca="1">IFERROR(__xludf.DUMMYFUNCTION("""COMPUTED_VALUE"""),"Victims Targeted")</f>
        <v>Victims Targeted</v>
      </c>
      <c r="AE2094" s="8" t="str">
        <f ca="1">IFERROR(__xludf.DUMMYFUNCTION("""COMPUTED_VALUE"""),"No")</f>
        <v>No</v>
      </c>
      <c r="AF2094" s="8"/>
      <c r="AG2094" s="8" t="str">
        <f ca="1">IFERROR(__xludf.DUMMYFUNCTION("""COMPUTED_VALUE"""),"No")</f>
        <v>No</v>
      </c>
      <c r="AH2094" s="8" t="str">
        <f ca="1">IFERROR(__xludf.DUMMYFUNCTION("""COMPUTED_VALUE"""),"No")</f>
        <v>No</v>
      </c>
      <c r="AI2094" s="8" t="str">
        <f ca="1">IFERROR(__xludf.DUMMYFUNCTION("""COMPUTED_VALUE"""),"No")</f>
        <v>No</v>
      </c>
      <c r="AJ2094" s="8" t="str">
        <f ca="1">IFERROR(__xludf.DUMMYFUNCTION("""COMPUTED_VALUE"""),"No")</f>
        <v>No</v>
      </c>
      <c r="AK2094" s="8" t="str">
        <f ca="1">IFERROR(__xludf.DUMMYFUNCTION("""COMPUTED_VALUE"""),"No")</f>
        <v>No</v>
      </c>
      <c r="AL2094" s="8" t="str">
        <f ca="1">IFERROR(__xludf.DUMMYFUNCTION("""COMPUTED_VALUE"""),"No")</f>
        <v>No</v>
      </c>
      <c r="AM2094" s="8"/>
      <c r="AN2094" s="8"/>
      <c r="AO2094" s="8" t="str">
        <f ca="1">IFERROR(__xludf.DUMMYFUNCTION("""COMPUTED_VALUE"""),"No")</f>
        <v>No</v>
      </c>
      <c r="AP2094" s="8"/>
      <c r="AQ2094" s="8" t="str">
        <f ca="1">IFERROR(__xludf.DUMMYFUNCTION("""COMPUTED_VALUE"""),"Unknown")</f>
        <v>Unknown</v>
      </c>
      <c r="AR2094" s="8" t="str">
        <f ca="1">IFERROR(__xludf.DUMMYFUNCTION("""COMPUTED_VALUE"""),"NA")</f>
        <v>NA</v>
      </c>
      <c r="AS2094" s="8">
        <f ca="1">IFERROR(__xludf.DUMMYFUNCTION("""COMPUTED_VALUE"""),1)</f>
        <v>1</v>
      </c>
      <c r="AT2094" s="8"/>
      <c r="AU2094" s="8">
        <f ca="1">IFERROR(__xludf.DUMMYFUNCTION("""COMPUTED_VALUE"""),38.564843)</f>
        <v>38.564843000000003</v>
      </c>
      <c r="AV2094" s="8">
        <f ca="1">IFERROR(__xludf.DUMMYFUNCTION("""COMPUTED_VALUE"""),-90.164669)</f>
        <v>-90.164669000000004</v>
      </c>
      <c r="AW2094" s="8"/>
      <c r="AX2094" s="8">
        <f ca="1">IFERROR(__xludf.DUMMYFUNCTION("""COMPUTED_VALUE"""),622060000)</f>
        <v>622060000</v>
      </c>
    </row>
    <row r="2095" spans="1:50" ht="60" x14ac:dyDescent="0.2">
      <c r="A2095" s="8" t="str">
        <f ca="1">IFERROR(__xludf.DUMMYFUNCTION("""COMPUTED_VALUE"""),"20090120PAEAE")</f>
        <v>20090120PAEAE</v>
      </c>
      <c r="B2095" s="8">
        <f ca="1">IFERROR(__xludf.DUMMYFUNCTION("""COMPUTED_VALUE"""),1)</f>
        <v>1</v>
      </c>
      <c r="C2095" s="8">
        <f ca="1">IFERROR(__xludf.DUMMYFUNCTION("""COMPUTED_VALUE"""),20)</f>
        <v>20</v>
      </c>
      <c r="D2095" s="8">
        <f ca="1">IFERROR(__xludf.DUMMYFUNCTION("""COMPUTED_VALUE"""),2009)</f>
        <v>2009</v>
      </c>
      <c r="E2095" s="9">
        <f ca="1">IFERROR(__xludf.DUMMYFUNCTION("""COMPUTED_VALUE"""),39833)</f>
        <v>39833</v>
      </c>
      <c r="F2095" s="8" t="str">
        <f ca="1">IFERROR(__xludf.DUMMYFUNCTION("""COMPUTED_VALUE"""),"East High School")</f>
        <v>East High School</v>
      </c>
      <c r="G2095" s="8">
        <f ca="1">IFERROR(__xludf.DUMMYFUNCTION("""COMPUTED_VALUE"""),0)</f>
        <v>0</v>
      </c>
      <c r="H2095" s="8">
        <f ca="1">IFERROR(__xludf.DUMMYFUNCTION("""COMPUTED_VALUE"""),1)</f>
        <v>1</v>
      </c>
      <c r="I2095" s="8">
        <f ca="1">IFERROR(__xludf.DUMMYFUNCTION("""COMPUTED_VALUE"""),1)</f>
        <v>1</v>
      </c>
      <c r="J2095" s="8">
        <f ca="1">IFERROR(__xludf.DUMMYFUNCTION("""COMPUTED_VALUE"""),0)</f>
        <v>0</v>
      </c>
      <c r="K2095" s="10" t="str">
        <f ca="1">IFERROR(__xludf.DUMMYFUNCTION("""COMPUTED_VALUE"""),"https://www.columbine-angels.com/School_Violence_2008-2009.htm")</f>
        <v>https://www.columbine-angels.com/School_Violence_2008-2009.htm</v>
      </c>
      <c r="L2095" s="8"/>
      <c r="M2095" s="8"/>
      <c r="N2095" s="8">
        <f ca="1">IFERROR(__xludf.DUMMYFUNCTION("""COMPUTED_VALUE"""),1)</f>
        <v>1</v>
      </c>
      <c r="O2095" s="8" t="str">
        <f ca="1">IFERROR(__xludf.DUMMYFUNCTION("""COMPUTED_VALUE"""),"Winter")</f>
        <v>Winter</v>
      </c>
      <c r="P2095" s="8" t="str">
        <f ca="1">IFERROR(__xludf.DUMMYFUNCTION("""COMPUTED_VALUE"""),"Erie")</f>
        <v>Erie</v>
      </c>
      <c r="Q2095" s="8" t="str">
        <f ca="1">IFERROR(__xludf.DUMMYFUNCTION("""COMPUTED_VALUE"""),"PA")</f>
        <v>PA</v>
      </c>
      <c r="R2095" s="8" t="str">
        <f ca="1">IFERROR(__xludf.DUMMYFUNCTION("""COMPUTED_VALUE"""),"High")</f>
        <v>High</v>
      </c>
      <c r="S2095" s="8" t="str">
        <f ca="1">IFERROR(__xludf.DUMMYFUNCTION("""COMPUTED_VALUE"""),"Gym")</f>
        <v>Gym</v>
      </c>
      <c r="T2095" s="8" t="str">
        <f ca="1">IFERROR(__xludf.DUMMYFUNCTION("""COMPUTED_VALUE"""),"Inside School Building")</f>
        <v>Inside School Building</v>
      </c>
      <c r="U2095" s="8" t="str">
        <f ca="1">IFERROR(__xludf.DUMMYFUNCTION("""COMPUTED_VALUE"""),"No")</f>
        <v>No</v>
      </c>
      <c r="V2095" s="8" t="str">
        <f ca="1">IFERROR(__xludf.DUMMYFUNCTION("""COMPUTED_VALUE"""),"Sport Event")</f>
        <v>Sport Event</v>
      </c>
      <c r="W2095" s="11">
        <f ca="1">IFERROR(__xludf.DUMMYFUNCTION("""COMPUTED_VALUE"""),0.848611111111111)</f>
        <v>0.84861111111111098</v>
      </c>
      <c r="X2095" s="8">
        <f ca="1">IFERROR(__xludf.DUMMYFUNCTION("""COMPUTED_VALUE"""),1)</f>
        <v>1</v>
      </c>
      <c r="Y2095" s="12" t="str">
        <f ca="1">IFERROR(__xludf.DUMMYFUNCTION("""COMPUTED_VALUE"""),"Shot fired in gym during basketball game, bystander struck")</f>
        <v>Shot fired in gym during basketball game, bystander struck</v>
      </c>
      <c r="Z2095" s="12" t="str">
        <f ca="1">IFERROR(__xludf.DUMMYFUNCTION("""COMPUTED_VALUE"""),"15YOM non-student fired two shots inside the school gym during a basketball game and fled. A 21 year old female bystander was struck. Motive and target unknown.")</f>
        <v>15YOM non-student fired two shots inside the school gym during a basketball game and fled. A 21 year old female bystander was struck. Motive and target unknown.</v>
      </c>
      <c r="AA2095" s="8" t="str">
        <f ca="1">IFERROR(__xludf.DUMMYFUNCTION("""COMPUTED_VALUE"""),"Escalation of Dispute")</f>
        <v>Escalation of Dispute</v>
      </c>
      <c r="AB2095" s="8"/>
      <c r="AC2095" s="8" t="str">
        <f ca="1">IFERROR(__xludf.DUMMYFUNCTION("""COMPUTED_VALUE"""),"Yes")</f>
        <v>Yes</v>
      </c>
      <c r="AD2095" s="8" t="str">
        <f ca="1">IFERROR(__xludf.DUMMYFUNCTION("""COMPUTED_VALUE"""),"Both")</f>
        <v>Both</v>
      </c>
      <c r="AE2095" s="8" t="str">
        <f ca="1">IFERROR(__xludf.DUMMYFUNCTION("""COMPUTED_VALUE"""),"Yes")</f>
        <v>Yes</v>
      </c>
      <c r="AF2095" s="8" t="str">
        <f ca="1">IFERROR(__xludf.DUMMYFUNCTION("""COMPUTED_VALUE"""),"Three teens fled")</f>
        <v>Three teens fled</v>
      </c>
      <c r="AG2095" s="8" t="str">
        <f ca="1">IFERROR(__xludf.DUMMYFUNCTION("""COMPUTED_VALUE"""),"No")</f>
        <v>No</v>
      </c>
      <c r="AH2095" s="8" t="str">
        <f ca="1">IFERROR(__xludf.DUMMYFUNCTION("""COMPUTED_VALUE"""),"No")</f>
        <v>No</v>
      </c>
      <c r="AI2095" s="8" t="str">
        <f ca="1">IFERROR(__xludf.DUMMYFUNCTION("""COMPUTED_VALUE"""),"No")</f>
        <v>No</v>
      </c>
      <c r="AJ2095" s="8" t="str">
        <f ca="1">IFERROR(__xludf.DUMMYFUNCTION("""COMPUTED_VALUE"""),"No")</f>
        <v>No</v>
      </c>
      <c r="AK2095" s="8" t="str">
        <f ca="1">IFERROR(__xludf.DUMMYFUNCTION("""COMPUTED_VALUE"""),"No")</f>
        <v>No</v>
      </c>
      <c r="AL2095" s="8" t="str">
        <f ca="1">IFERROR(__xludf.DUMMYFUNCTION("""COMPUTED_VALUE"""),"No")</f>
        <v>No</v>
      </c>
      <c r="AM2095" s="8"/>
      <c r="AN2095" s="8"/>
      <c r="AO2095" s="8" t="str">
        <f ca="1">IFERROR(__xludf.DUMMYFUNCTION("""COMPUTED_VALUE"""),"No")</f>
        <v>No</v>
      </c>
      <c r="AP2095" s="8"/>
      <c r="AQ2095" s="8" t="str">
        <f ca="1">IFERROR(__xludf.DUMMYFUNCTION("""COMPUTED_VALUE"""),"Unknown")</f>
        <v>Unknown</v>
      </c>
      <c r="AR2095" s="8" t="str">
        <f ca="1">IFERROR(__xludf.DUMMYFUNCTION("""COMPUTED_VALUE"""),"NA")</f>
        <v>NA</v>
      </c>
      <c r="AS2095" s="8" t="str">
        <f ca="1">IFERROR(__xludf.DUMMYFUNCTION("""COMPUTED_VALUE"""),"&lt;10")</f>
        <v>&lt;10</v>
      </c>
      <c r="AT2095" s="8"/>
      <c r="AU2095" s="8">
        <f ca="1">IFERROR(__xludf.DUMMYFUNCTION("""COMPUTED_VALUE"""),42.137554)</f>
        <v>42.137554000000002</v>
      </c>
      <c r="AV2095" s="8">
        <f ca="1">IFERROR(__xludf.DUMMYFUNCTION("""COMPUTED_VALUE"""),-80.059591)</f>
        <v>-80.059590999999998</v>
      </c>
      <c r="AW2095" s="8"/>
      <c r="AX2095" s="8">
        <f ca="1">IFERROR(__xludf.DUMMYFUNCTION("""COMPUTED_VALUE"""),16503)</f>
        <v>16503</v>
      </c>
    </row>
    <row r="2096" spans="1:50" ht="90" x14ac:dyDescent="0.2">
      <c r="A2096" s="8" t="str">
        <f ca="1">IFERROR(__xludf.DUMMYFUNCTION("""COMPUTED_VALUE"""),"20090120MIBEM")</f>
        <v>20090120MIBEM</v>
      </c>
      <c r="B2096" s="8">
        <f ca="1">IFERROR(__xludf.DUMMYFUNCTION("""COMPUTED_VALUE"""),1)</f>
        <v>1</v>
      </c>
      <c r="C2096" s="8">
        <f ca="1">IFERROR(__xludf.DUMMYFUNCTION("""COMPUTED_VALUE"""),20)</f>
        <v>20</v>
      </c>
      <c r="D2096" s="8">
        <f ca="1">IFERROR(__xludf.DUMMYFUNCTION("""COMPUTED_VALUE"""),2009)</f>
        <v>2009</v>
      </c>
      <c r="E2096" s="9">
        <f ca="1">IFERROR(__xludf.DUMMYFUNCTION("""COMPUTED_VALUE"""),39833)</f>
        <v>39833</v>
      </c>
      <c r="F2096" s="8" t="str">
        <f ca="1">IFERROR(__xludf.DUMMYFUNCTION("""COMPUTED_VALUE"""),"Beecher High School")</f>
        <v>Beecher High School</v>
      </c>
      <c r="G2096" s="8">
        <f ca="1">IFERROR(__xludf.DUMMYFUNCTION("""COMPUTED_VALUE"""),0)</f>
        <v>0</v>
      </c>
      <c r="H2096" s="8">
        <f ca="1">IFERROR(__xludf.DUMMYFUNCTION("""COMPUTED_VALUE"""),4)</f>
        <v>4</v>
      </c>
      <c r="I2096" s="8">
        <f ca="1">IFERROR(__xludf.DUMMYFUNCTION("""COMPUTED_VALUE"""),4)</f>
        <v>4</v>
      </c>
      <c r="J2096" s="8">
        <f ca="1">IFERROR(__xludf.DUMMYFUNCTION("""COMPUTED_VALUE"""),0)</f>
        <v>0</v>
      </c>
      <c r="K2096" s="10" t="str">
        <f ca="1">IFERROR(__xludf.DUMMYFUNCTION("""COMPUTED_VALUE"""),"https://www.mlive.com/news/flint/index.ssf/2009/01/four_shot_outside_beecher_high.html")</f>
        <v>https://www.mlive.com/news/flint/index.ssf/2009/01/four_shot_outside_beecher_high.html</v>
      </c>
      <c r="L2096" s="8"/>
      <c r="M2096" s="8"/>
      <c r="N2096" s="8">
        <f ca="1">IFERROR(__xludf.DUMMYFUNCTION("""COMPUTED_VALUE"""),2)</f>
        <v>2</v>
      </c>
      <c r="O2096" s="8" t="str">
        <f ca="1">IFERROR(__xludf.DUMMYFUNCTION("""COMPUTED_VALUE"""),"Winter")</f>
        <v>Winter</v>
      </c>
      <c r="P2096" s="8" t="str">
        <f ca="1">IFERROR(__xludf.DUMMYFUNCTION("""COMPUTED_VALUE"""),"Mount Morris Township")</f>
        <v>Mount Morris Township</v>
      </c>
      <c r="Q2096" s="8" t="str">
        <f ca="1">IFERROR(__xludf.DUMMYFUNCTION("""COMPUTED_VALUE"""),"MI")</f>
        <v>MI</v>
      </c>
      <c r="R2096" s="8" t="str">
        <f ca="1">IFERROR(__xludf.DUMMYFUNCTION("""COMPUTED_VALUE"""),"High")</f>
        <v>High</v>
      </c>
      <c r="S2096" s="8" t="str">
        <f ca="1">IFERROR(__xludf.DUMMYFUNCTION("""COMPUTED_VALUE"""),"Basketball Court")</f>
        <v>Basketball Court</v>
      </c>
      <c r="T2096" s="8" t="str">
        <f ca="1">IFERROR(__xludf.DUMMYFUNCTION("""COMPUTED_VALUE"""),"Outside on School Property")</f>
        <v>Outside on School Property</v>
      </c>
      <c r="U2096" s="8" t="str">
        <f ca="1">IFERROR(__xludf.DUMMYFUNCTION("""COMPUTED_VALUE"""),"No")</f>
        <v>No</v>
      </c>
      <c r="V2096" s="8" t="str">
        <f ca="1">IFERROR(__xludf.DUMMYFUNCTION("""COMPUTED_VALUE"""),"Sport Event")</f>
        <v>Sport Event</v>
      </c>
      <c r="W2096" s="8"/>
      <c r="X2096" s="8">
        <f ca="1">IFERROR(__xludf.DUMMYFUNCTION("""COMPUTED_VALUE"""),1)</f>
        <v>1</v>
      </c>
      <c r="Y2096" s="12" t="str">
        <f ca="1">IFERROR(__xludf.DUMMYFUNCTION("""COMPUTED_VALUE"""),"Fight during basketball game")</f>
        <v>Fight during basketball game</v>
      </c>
      <c r="Z2096" s="12" t="str">
        <f ca="1">IFERROR(__xludf.DUMMYFUNCTION("""COMPUTED_VALUE"""),"Argument after a basketball game turned into a shooting. Police advised 4 handguns were used when shooter fired into a crowd of 25 people hitting 4. Shooting stemmed from escalation of ongoing argument between shooter and another man. Unknown if those str"&amp;"uck were intended targets.")</f>
        <v>Argument after a basketball game turned into a shooting. Police advised 4 handguns were used when shooter fired into a crowd of 25 people hitting 4. Shooting stemmed from escalation of ongoing argument between shooter and another man. Unknown if those struck were intended targets.</v>
      </c>
      <c r="AA2096" s="8" t="str">
        <f ca="1">IFERROR(__xludf.DUMMYFUNCTION("""COMPUTED_VALUE"""),"Escalation of Dispute")</f>
        <v>Escalation of Dispute</v>
      </c>
      <c r="AB2096" s="8"/>
      <c r="AC2096" s="8" t="str">
        <f ca="1">IFERROR(__xludf.DUMMYFUNCTION("""COMPUTED_VALUE"""),"Yes")</f>
        <v>Yes</v>
      </c>
      <c r="AD2096" s="8"/>
      <c r="AE2096" s="8" t="str">
        <f ca="1">IFERROR(__xludf.DUMMYFUNCTION("""COMPUTED_VALUE"""),"Yes")</f>
        <v>Yes</v>
      </c>
      <c r="AF2096" s="8" t="str">
        <f ca="1">IFERROR(__xludf.DUMMYFUNCTION("""COMPUTED_VALUE"""),"William J. Dixon, age 17, was also charged and considered accomplice")</f>
        <v>William J. Dixon, age 17, was also charged and considered accomplice</v>
      </c>
      <c r="AG2096" s="8" t="str">
        <f ca="1">IFERROR(__xludf.DUMMYFUNCTION("""COMPUTED_VALUE"""),"No")</f>
        <v>No</v>
      </c>
      <c r="AH2096" s="8" t="str">
        <f ca="1">IFERROR(__xludf.DUMMYFUNCTION("""COMPUTED_VALUE"""),"No")</f>
        <v>No</v>
      </c>
      <c r="AI2096" s="8" t="str">
        <f ca="1">IFERROR(__xludf.DUMMYFUNCTION("""COMPUTED_VALUE"""),"No")</f>
        <v>No</v>
      </c>
      <c r="AJ2096" s="8"/>
      <c r="AK2096" s="8" t="str">
        <f ca="1">IFERROR(__xludf.DUMMYFUNCTION("""COMPUTED_VALUE"""),"No")</f>
        <v>No</v>
      </c>
      <c r="AL2096" s="8" t="str">
        <f ca="1">IFERROR(__xludf.DUMMYFUNCTION("""COMPUTED_VALUE"""),"No")</f>
        <v>No</v>
      </c>
      <c r="AM2096" s="8"/>
      <c r="AN2096" s="8"/>
      <c r="AO2096" s="8" t="str">
        <f ca="1">IFERROR(__xludf.DUMMYFUNCTION("""COMPUTED_VALUE"""),"No")</f>
        <v>No</v>
      </c>
      <c r="AP2096" s="8"/>
      <c r="AQ2096" s="8" t="str">
        <f ca="1">IFERROR(__xludf.DUMMYFUNCTION("""COMPUTED_VALUE"""),"Unknown")</f>
        <v>Unknown</v>
      </c>
      <c r="AR2096" s="8" t="str">
        <f ca="1">IFERROR(__xludf.DUMMYFUNCTION("""COMPUTED_VALUE"""),"NA")</f>
        <v>NA</v>
      </c>
      <c r="AS2096" s="8">
        <f ca="1">IFERROR(__xludf.DUMMYFUNCTION("""COMPUTED_VALUE"""),25)</f>
        <v>25</v>
      </c>
      <c r="AT2096" s="8"/>
      <c r="AU2096" s="8">
        <f ca="1">IFERROR(__xludf.DUMMYFUNCTION("""COMPUTED_VALUE"""),43.098458)</f>
        <v>43.098458000000001</v>
      </c>
      <c r="AV2096" s="8">
        <f ca="1">IFERROR(__xludf.DUMMYFUNCTION("""COMPUTED_VALUE"""),-83.715875)</f>
        <v>-83.715874999999997</v>
      </c>
      <c r="AW2096" s="8"/>
      <c r="AX2096" s="8">
        <f ca="1">IFERROR(__xludf.DUMMYFUNCTION("""COMPUTED_VALUE"""),48458)</f>
        <v>48458</v>
      </c>
    </row>
    <row r="2097" spans="1:50" ht="60" x14ac:dyDescent="0.2">
      <c r="A2097" s="8" t="str">
        <f ca="1">IFERROR(__xludf.DUMMYFUNCTION("""COMPUTED_VALUE"""),"20090120ILCOC")</f>
        <v>20090120ILCOC</v>
      </c>
      <c r="B2097" s="8">
        <f ca="1">IFERROR(__xludf.DUMMYFUNCTION("""COMPUTED_VALUE"""),1)</f>
        <v>1</v>
      </c>
      <c r="C2097" s="8">
        <f ca="1">IFERROR(__xludf.DUMMYFUNCTION("""COMPUTED_VALUE"""),20)</f>
        <v>20</v>
      </c>
      <c r="D2097" s="8">
        <f ca="1">IFERROR(__xludf.DUMMYFUNCTION("""COMPUTED_VALUE"""),2009)</f>
        <v>2009</v>
      </c>
      <c r="E2097" s="9">
        <f ca="1">IFERROR(__xludf.DUMMYFUNCTION("""COMPUTED_VALUE"""),39833)</f>
        <v>39833</v>
      </c>
      <c r="F2097" s="8" t="str">
        <f ca="1">IFERROR(__xludf.DUMMYFUNCTION("""COMPUTED_VALUE"""),"Collins HIgh School")</f>
        <v>Collins HIgh School</v>
      </c>
      <c r="G2097" s="8">
        <f ca="1">IFERROR(__xludf.DUMMYFUNCTION("""COMPUTED_VALUE"""),0)</f>
        <v>0</v>
      </c>
      <c r="H2097" s="8">
        <f ca="1">IFERROR(__xludf.DUMMYFUNCTION("""COMPUTED_VALUE"""),1)</f>
        <v>1</v>
      </c>
      <c r="I2097" s="8">
        <f ca="1">IFERROR(__xludf.DUMMYFUNCTION("""COMPUTED_VALUE"""),1)</f>
        <v>1</v>
      </c>
      <c r="J2097" s="8">
        <f ca="1">IFERROR(__xludf.DUMMYFUNCTION("""COMPUTED_VALUE"""),0)</f>
        <v>0</v>
      </c>
      <c r="K2097" s="8" t="str">
        <f ca="1">IFERROR(__xludf.DUMMYFUNCTION("""COMPUTED_VALUE"""),"https://www.newspapers.com/image/232309852/?terms=north%2Blawndale%2Bschool%2Bshooting . https://www.newspapers.com/image/232309852/?terms=jermaine%2Bwinfield")</f>
        <v>https://www.newspapers.com/image/232309852/?terms=north%2Blawndale%2Bschool%2Bshooting . https://www.newspapers.com/image/232309852/?terms=jermaine%2Bwinfield</v>
      </c>
      <c r="L2097" s="8"/>
      <c r="M2097" s="8"/>
      <c r="N2097" s="8">
        <f ca="1">IFERROR(__xludf.DUMMYFUNCTION("""COMPUTED_VALUE"""),3)</f>
        <v>3</v>
      </c>
      <c r="O2097" s="8" t="str">
        <f ca="1">IFERROR(__xludf.DUMMYFUNCTION("""COMPUTED_VALUE"""),"Winter")</f>
        <v>Winter</v>
      </c>
      <c r="P2097" s="8" t="str">
        <f ca="1">IFERROR(__xludf.DUMMYFUNCTION("""COMPUTED_VALUE"""),"Chicago")</f>
        <v>Chicago</v>
      </c>
      <c r="Q2097" s="8" t="str">
        <f ca="1">IFERROR(__xludf.DUMMYFUNCTION("""COMPUTED_VALUE"""),"IL")</f>
        <v>IL</v>
      </c>
      <c r="R2097" s="8" t="str">
        <f ca="1">IFERROR(__xludf.DUMMYFUNCTION("""COMPUTED_VALUE"""),"High")</f>
        <v>High</v>
      </c>
      <c r="S2097" s="8" t="str">
        <f ca="1">IFERROR(__xludf.DUMMYFUNCTION("""COMPUTED_VALUE"""),"Basketball Court")</f>
        <v>Basketball Court</v>
      </c>
      <c r="T2097" s="8" t="str">
        <f ca="1">IFERROR(__xludf.DUMMYFUNCTION("""COMPUTED_VALUE"""),"Outside on School Property")</f>
        <v>Outside on School Property</v>
      </c>
      <c r="U2097" s="8" t="str">
        <f ca="1">IFERROR(__xludf.DUMMYFUNCTION("""COMPUTED_VALUE"""),"No")</f>
        <v>No</v>
      </c>
      <c r="V2097" s="8" t="str">
        <f ca="1">IFERROR(__xludf.DUMMYFUNCTION("""COMPUTED_VALUE"""),"Sport Event")</f>
        <v>Sport Event</v>
      </c>
      <c r="W2097" s="8"/>
      <c r="X2097" s="8">
        <f ca="1">IFERROR(__xludf.DUMMYFUNCTION("""COMPUTED_VALUE"""),1)</f>
        <v>1</v>
      </c>
      <c r="Y2097" s="12" t="str">
        <f ca="1">IFERROR(__xludf.DUMMYFUNCTION("""COMPUTED_VALUE"""),"Fight during basketball game")</f>
        <v>Fight during basketball game</v>
      </c>
      <c r="Z2097" s="12" t="str">
        <f ca="1">IFERROR(__xludf.DUMMYFUNCTION("""COMPUTED_VALUE"""),"Fight erupted after a basketball game. When one of the basketball players tried to stop the fight, he was shot in the leg. Two 16 year old students were arrested and charged with simple battery.")</f>
        <v>Fight erupted after a basketball game. When one of the basketball players tried to stop the fight, he was shot in the leg. Two 16 year old students were arrested and charged with simple battery.</v>
      </c>
      <c r="AA2097" s="8" t="str">
        <f ca="1">IFERROR(__xludf.DUMMYFUNCTION("""COMPUTED_VALUE"""),"Escalation of Dispute")</f>
        <v>Escalation of Dispute</v>
      </c>
      <c r="AB2097" s="8"/>
      <c r="AC2097" s="8" t="str">
        <f ca="1">IFERROR(__xludf.DUMMYFUNCTION("""COMPUTED_VALUE"""),"Yes")</f>
        <v>Yes</v>
      </c>
      <c r="AD2097" s="8"/>
      <c r="AE2097" s="8"/>
      <c r="AF2097" s="8"/>
      <c r="AG2097" s="8" t="str">
        <f ca="1">IFERROR(__xludf.DUMMYFUNCTION("""COMPUTED_VALUE"""),"No")</f>
        <v>No</v>
      </c>
      <c r="AH2097" s="8" t="str">
        <f ca="1">IFERROR(__xludf.DUMMYFUNCTION("""COMPUTED_VALUE"""),"No")</f>
        <v>No</v>
      </c>
      <c r="AI2097" s="8" t="str">
        <f ca="1">IFERROR(__xludf.DUMMYFUNCTION("""COMPUTED_VALUE"""),"No")</f>
        <v>No</v>
      </c>
      <c r="AJ2097" s="8" t="str">
        <f ca="1">IFERROR(__xludf.DUMMYFUNCTION("""COMPUTED_VALUE"""),"No")</f>
        <v>No</v>
      </c>
      <c r="AK2097" s="8" t="str">
        <f ca="1">IFERROR(__xludf.DUMMYFUNCTION("""COMPUTED_VALUE"""),"No")</f>
        <v>No</v>
      </c>
      <c r="AL2097" s="8" t="str">
        <f ca="1">IFERROR(__xludf.DUMMYFUNCTION("""COMPUTED_VALUE"""),"No")</f>
        <v>No</v>
      </c>
      <c r="AM2097" s="8"/>
      <c r="AN2097" s="8"/>
      <c r="AO2097" s="8" t="str">
        <f ca="1">IFERROR(__xludf.DUMMYFUNCTION("""COMPUTED_VALUE"""),"No")</f>
        <v>No</v>
      </c>
      <c r="AP2097" s="8"/>
      <c r="AQ2097" s="8" t="str">
        <f ca="1">IFERROR(__xludf.DUMMYFUNCTION("""COMPUTED_VALUE"""),"Unknown")</f>
        <v>Unknown</v>
      </c>
      <c r="AR2097" s="8" t="str">
        <f ca="1">IFERROR(__xludf.DUMMYFUNCTION("""COMPUTED_VALUE"""),"NA")</f>
        <v>NA</v>
      </c>
      <c r="AS2097" s="8">
        <f ca="1">IFERROR(__xludf.DUMMYFUNCTION("""COMPUTED_VALUE"""),1)</f>
        <v>1</v>
      </c>
      <c r="AT2097" s="8"/>
      <c r="AU2097" s="8">
        <f ca="1">IFERROR(__xludf.DUMMYFUNCTION("""COMPUTED_VALUE"""),41.864148)</f>
        <v>41.864148</v>
      </c>
      <c r="AV2097" s="8">
        <f ca="1">IFERROR(__xludf.DUMMYFUNCTION("""COMPUTED_VALUE"""),-87.701419)</f>
        <v>-87.701419000000001</v>
      </c>
      <c r="AW2097" s="8"/>
      <c r="AX2097" s="8">
        <f ca="1">IFERROR(__xludf.DUMMYFUNCTION("""COMPUTED_VALUE"""),60623)</f>
        <v>60623</v>
      </c>
    </row>
    <row r="2098" spans="1:50" ht="60" x14ac:dyDescent="0.2">
      <c r="A2098" s="8" t="str">
        <f ca="1">IFERROR(__xludf.DUMMYFUNCTION("""COMPUTED_VALUE"""),"20090114ILPEC")</f>
        <v>20090114ILPEC</v>
      </c>
      <c r="B2098" s="8">
        <f ca="1">IFERROR(__xludf.DUMMYFUNCTION("""COMPUTED_VALUE"""),1)</f>
        <v>1</v>
      </c>
      <c r="C2098" s="8">
        <f ca="1">IFERROR(__xludf.DUMMYFUNCTION("""COMPUTED_VALUE"""),14)</f>
        <v>14</v>
      </c>
      <c r="D2098" s="8">
        <f ca="1">IFERROR(__xludf.DUMMYFUNCTION("""COMPUTED_VALUE"""),2009)</f>
        <v>2009</v>
      </c>
      <c r="E2098" s="9">
        <f ca="1">IFERROR(__xludf.DUMMYFUNCTION("""COMPUTED_VALUE"""),39827)</f>
        <v>39827</v>
      </c>
      <c r="F2098" s="8" t="str">
        <f ca="1">IFERROR(__xludf.DUMMYFUNCTION("""COMPUTED_VALUE"""),"Perspectives Charter School")</f>
        <v>Perspectives Charter School</v>
      </c>
      <c r="G2098" s="8">
        <f ca="1">IFERROR(__xludf.DUMMYFUNCTION("""COMPUTED_VALUE"""),0)</f>
        <v>0</v>
      </c>
      <c r="H2098" s="8">
        <f ca="1">IFERROR(__xludf.DUMMYFUNCTION("""COMPUTED_VALUE"""),3)</f>
        <v>3</v>
      </c>
      <c r="I2098" s="8">
        <f ca="1">IFERROR(__xludf.DUMMYFUNCTION("""COMPUTED_VALUE"""),3)</f>
        <v>3</v>
      </c>
      <c r="J2098" s="8">
        <f ca="1">IFERROR(__xludf.DUMMYFUNCTION("""COMPUTED_VALUE"""),0)</f>
        <v>0</v>
      </c>
      <c r="K2098" s="8" t="str">
        <f ca="1">IFERROR(__xludf.DUMMYFUNCTION("""COMPUTED_VALUE"""),"https://www.columbine-angels.com/School_Violence_2008-2009.htm   https://www.newspapers.com/image/256126198/?terms=perspectives%2Bcharter%2Bschool")</f>
        <v>https://www.columbine-angels.com/School_Violence_2008-2009.htm   https://www.newspapers.com/image/256126198/?terms=perspectives%2Bcharter%2Bschool</v>
      </c>
      <c r="L2098" s="8"/>
      <c r="M2098" s="8"/>
      <c r="N2098" s="8">
        <f ca="1">IFERROR(__xludf.DUMMYFUNCTION("""COMPUTED_VALUE"""),2)</f>
        <v>2</v>
      </c>
      <c r="O2098" s="8" t="str">
        <f ca="1">IFERROR(__xludf.DUMMYFUNCTION("""COMPUTED_VALUE"""),"Winter")</f>
        <v>Winter</v>
      </c>
      <c r="P2098" s="8" t="str">
        <f ca="1">IFERROR(__xludf.DUMMYFUNCTION("""COMPUTED_VALUE"""),"Chicago")</f>
        <v>Chicago</v>
      </c>
      <c r="Q2098" s="8" t="str">
        <f ca="1">IFERROR(__xludf.DUMMYFUNCTION("""COMPUTED_VALUE"""),"IL")</f>
        <v>IL</v>
      </c>
      <c r="R2098" s="8" t="str">
        <f ca="1">IFERROR(__xludf.DUMMYFUNCTION("""COMPUTED_VALUE"""),"Middle")</f>
        <v>Middle</v>
      </c>
      <c r="S2098" s="8" t="str">
        <f ca="1">IFERROR(__xludf.DUMMYFUNCTION("""COMPUTED_VALUE"""),"School Bus")</f>
        <v>School Bus</v>
      </c>
      <c r="T2098" s="8" t="str">
        <f ca="1">IFERROR(__xludf.DUMMYFUNCTION("""COMPUTED_VALUE"""),"School Bus")</f>
        <v>School Bus</v>
      </c>
      <c r="U2098" s="8" t="str">
        <f ca="1">IFERROR(__xludf.DUMMYFUNCTION("""COMPUTED_VALUE"""),"Yes")</f>
        <v>Yes</v>
      </c>
      <c r="V2098" s="8" t="str">
        <f ca="1">IFERROR(__xludf.DUMMYFUNCTION("""COMPUTED_VALUE"""),"Morning Classes")</f>
        <v>Morning Classes</v>
      </c>
      <c r="W2098" s="11">
        <f ca="1">IFERROR(__xludf.DUMMYFUNCTION("""COMPUTED_VALUE"""),0.466666666666666)</f>
        <v>0.46666666666666601</v>
      </c>
      <c r="X2098" s="8">
        <f ca="1">IFERROR(__xludf.DUMMYFUNCTION("""COMPUTED_VALUE"""),1)</f>
        <v>1</v>
      </c>
      <c r="Y2098" s="12" t="str">
        <f ca="1">IFERROR(__xludf.DUMMYFUNCTION("""COMPUTED_VALUE"""),"Shooter in ski mask fired shot that hit school bus, unclear if it was his target")</f>
        <v>Shooter in ski mask fired shot that hit school bus, unclear if it was his target</v>
      </c>
      <c r="Z2098" s="12" t="str">
        <f ca="1">IFERROR(__xludf.DUMMYFUNCTION("""COMPUTED_VALUE"""),"Three students injured when shot struck their school bus. Students saw a shooter in a ski mask fire. The school bus was likely not the intended target.")</f>
        <v>Three students injured when shot struck their school bus. Students saw a shooter in a ski mask fire. The school bus was likely not the intended target.</v>
      </c>
      <c r="AA2098" s="8" t="str">
        <f ca="1">IFERROR(__xludf.DUMMYFUNCTION("""COMPUTED_VALUE"""),"Unknown")</f>
        <v>Unknown</v>
      </c>
      <c r="AB2098" s="8"/>
      <c r="AC2098" s="8" t="str">
        <f ca="1">IFERROR(__xludf.DUMMYFUNCTION("""COMPUTED_VALUE"""),"Yes")</f>
        <v>Yes</v>
      </c>
      <c r="AD2098" s="8" t="str">
        <f ca="1">IFERROR(__xludf.DUMMYFUNCTION("""COMPUTED_VALUE"""),"Random Shooting")</f>
        <v>Random Shooting</v>
      </c>
      <c r="AE2098" s="8" t="str">
        <f ca="1">IFERROR(__xludf.DUMMYFUNCTION("""COMPUTED_VALUE"""),"No")</f>
        <v>No</v>
      </c>
      <c r="AF2098" s="8"/>
      <c r="AG2098" s="8" t="str">
        <f ca="1">IFERROR(__xludf.DUMMYFUNCTION("""COMPUTED_VALUE"""),"No")</f>
        <v>No</v>
      </c>
      <c r="AH2098" s="8" t="str">
        <f ca="1">IFERROR(__xludf.DUMMYFUNCTION("""COMPUTED_VALUE"""),"No")</f>
        <v>No</v>
      </c>
      <c r="AI2098" s="8" t="str">
        <f ca="1">IFERROR(__xludf.DUMMYFUNCTION("""COMPUTED_VALUE"""),"No")</f>
        <v>No</v>
      </c>
      <c r="AJ2098" s="8" t="str">
        <f ca="1">IFERROR(__xludf.DUMMYFUNCTION("""COMPUTED_VALUE"""),"No")</f>
        <v>No</v>
      </c>
      <c r="AK2098" s="8" t="str">
        <f ca="1">IFERROR(__xludf.DUMMYFUNCTION("""COMPUTED_VALUE"""),"No")</f>
        <v>No</v>
      </c>
      <c r="AL2098" s="8"/>
      <c r="AM2098" s="8"/>
      <c r="AN2098" s="8"/>
      <c r="AO2098" s="8" t="str">
        <f ca="1">IFERROR(__xludf.DUMMYFUNCTION("""COMPUTED_VALUE"""),"No")</f>
        <v>No</v>
      </c>
      <c r="AP2098" s="8"/>
      <c r="AQ2098" s="8" t="str">
        <f ca="1">IFERROR(__xludf.DUMMYFUNCTION("""COMPUTED_VALUE"""),"Unknown")</f>
        <v>Unknown</v>
      </c>
      <c r="AR2098" s="8" t="str">
        <f ca="1">IFERROR(__xludf.DUMMYFUNCTION("""COMPUTED_VALUE"""),"NA")</f>
        <v>NA</v>
      </c>
      <c r="AS2098" s="8">
        <f ca="1">IFERROR(__xludf.DUMMYFUNCTION("""COMPUTED_VALUE"""),1)</f>
        <v>1</v>
      </c>
      <c r="AT2098" s="8"/>
      <c r="AU2098" s="8">
        <f ca="1">IFERROR(__xludf.DUMMYFUNCTION("""COMPUTED_VALUE"""),41.860935)</f>
        <v>41.860934999999998</v>
      </c>
      <c r="AV2098" s="8">
        <f ca="1">IFERROR(__xludf.DUMMYFUNCTION("""COMPUTED_VALUE"""),-87.627798)</f>
        <v>-87.627797999999999</v>
      </c>
      <c r="AW2098" s="8"/>
      <c r="AX2098" s="8">
        <f ca="1">IFERROR(__xludf.DUMMYFUNCTION("""COMPUTED_VALUE"""),60605)</f>
        <v>60605</v>
      </c>
    </row>
    <row r="2099" spans="1:50" ht="60" x14ac:dyDescent="0.2">
      <c r="A2099" s="8" t="str">
        <f ca="1">IFERROR(__xludf.DUMMYFUNCTION("""COMPUTED_VALUE"""),"20090109ILDUC")</f>
        <v>20090109ILDUC</v>
      </c>
      <c r="B2099" s="8">
        <f ca="1">IFERROR(__xludf.DUMMYFUNCTION("""COMPUTED_VALUE"""),1)</f>
        <v>1</v>
      </c>
      <c r="C2099" s="8">
        <f ca="1">IFERROR(__xludf.DUMMYFUNCTION("""COMPUTED_VALUE"""),9)</f>
        <v>9</v>
      </c>
      <c r="D2099" s="8">
        <f ca="1">IFERROR(__xludf.DUMMYFUNCTION("""COMPUTED_VALUE"""),2009)</f>
        <v>2009</v>
      </c>
      <c r="E2099" s="9">
        <f ca="1">IFERROR(__xludf.DUMMYFUNCTION("""COMPUTED_VALUE"""),39822)</f>
        <v>39822</v>
      </c>
      <c r="F2099" s="8" t="str">
        <f ca="1">IFERROR(__xludf.DUMMYFUNCTION("""COMPUTED_VALUE"""),"Dunbar High School")</f>
        <v>Dunbar High School</v>
      </c>
      <c r="G2099" s="8">
        <f ca="1">IFERROR(__xludf.DUMMYFUNCTION("""COMPUTED_VALUE"""),0)</f>
        <v>0</v>
      </c>
      <c r="H2099" s="8">
        <f ca="1">IFERROR(__xludf.DUMMYFUNCTION("""COMPUTED_VALUE"""),5)</f>
        <v>5</v>
      </c>
      <c r="I2099" s="8">
        <f ca="1">IFERROR(__xludf.DUMMYFUNCTION("""COMPUTED_VALUE"""),5)</f>
        <v>5</v>
      </c>
      <c r="J2099" s="8">
        <f ca="1">IFERROR(__xludf.DUMMYFUNCTION("""COMPUTED_VALUE"""),0)</f>
        <v>0</v>
      </c>
      <c r="K2099" s="10" t="str">
        <f ca="1">IFERROR(__xludf.DUMMYFUNCTION("""COMPUTED_VALUE"""),"http://www.cnn.com/2009/CRIME/01/10/school.shooting/index.html")</f>
        <v>http://www.cnn.com/2009/CRIME/01/10/school.shooting/index.html</v>
      </c>
      <c r="L2099" s="8"/>
      <c r="M2099" s="8"/>
      <c r="N2099" s="8">
        <f ca="1">IFERROR(__xludf.DUMMYFUNCTION("""COMPUTED_VALUE"""),2)</f>
        <v>2</v>
      </c>
      <c r="O2099" s="8" t="str">
        <f ca="1">IFERROR(__xludf.DUMMYFUNCTION("""COMPUTED_VALUE"""),"Winter")</f>
        <v>Winter</v>
      </c>
      <c r="P2099" s="8" t="str">
        <f ca="1">IFERROR(__xludf.DUMMYFUNCTION("""COMPUTED_VALUE"""),"Chicago")</f>
        <v>Chicago</v>
      </c>
      <c r="Q2099" s="8" t="str">
        <f ca="1">IFERROR(__xludf.DUMMYFUNCTION("""COMPUTED_VALUE"""),"IL")</f>
        <v>IL</v>
      </c>
      <c r="R2099" s="8" t="str">
        <f ca="1">IFERROR(__xludf.DUMMYFUNCTION("""COMPUTED_VALUE"""),"High")</f>
        <v>High</v>
      </c>
      <c r="S2099" s="8" t="str">
        <f ca="1">IFERROR(__xludf.DUMMYFUNCTION("""COMPUTED_VALUE"""),"Basketball Court")</f>
        <v>Basketball Court</v>
      </c>
      <c r="T2099" s="8" t="str">
        <f ca="1">IFERROR(__xludf.DUMMYFUNCTION("""COMPUTED_VALUE"""),"Outside on School Property")</f>
        <v>Outside on School Property</v>
      </c>
      <c r="U2099" s="8" t="str">
        <f ca="1">IFERROR(__xludf.DUMMYFUNCTION("""COMPUTED_VALUE"""),"No")</f>
        <v>No</v>
      </c>
      <c r="V2099" s="8" t="str">
        <f ca="1">IFERROR(__xludf.DUMMYFUNCTION("""COMPUTED_VALUE"""),"Sport Event")</f>
        <v>Sport Event</v>
      </c>
      <c r="W2099" s="11">
        <f ca="1">IFERROR(__xludf.DUMMYFUNCTION("""COMPUTED_VALUE"""),0.833333333333333)</f>
        <v>0.83333333333333304</v>
      </c>
      <c r="X2099" s="8">
        <f ca="1">IFERROR(__xludf.DUMMYFUNCTION("""COMPUTED_VALUE"""),1)</f>
        <v>1</v>
      </c>
      <c r="Y2099" s="12" t="str">
        <f ca="1">IFERROR(__xludf.DUMMYFUNCTION("""COMPUTED_VALUE"""),"Gang-related drive-by shooting after basketball game")</f>
        <v>Gang-related drive-by shooting after basketball game</v>
      </c>
      <c r="Z2099" s="12" t="str">
        <f ca="1">IFERROR(__xludf.DUMMYFUNCTION("""COMPUTED_VALUE"""),"Gang-related drive-by shooting following basketball game at the high school. Group of students associated with a gang were outside the gym and the shooter fired at them from a vehicle.")</f>
        <v>Gang-related drive-by shooting following basketball game at the high school. Group of students associated with a gang were outside the gym and the shooter fired at them from a vehicle.</v>
      </c>
      <c r="AA2099" s="8" t="str">
        <f ca="1">IFERROR(__xludf.DUMMYFUNCTION("""COMPUTED_VALUE"""),"Drive-by Shooting")</f>
        <v>Drive-by Shooting</v>
      </c>
      <c r="AB2099" s="8"/>
      <c r="AC2099" s="8" t="str">
        <f ca="1">IFERROR(__xludf.DUMMYFUNCTION("""COMPUTED_VALUE"""),"Yes")</f>
        <v>Yes</v>
      </c>
      <c r="AD2099" s="8" t="str">
        <f ca="1">IFERROR(__xludf.DUMMYFUNCTION("""COMPUTED_VALUE"""),"Both")</f>
        <v>Both</v>
      </c>
      <c r="AE2099" s="8"/>
      <c r="AF2099" s="8"/>
      <c r="AG2099" s="8" t="str">
        <f ca="1">IFERROR(__xludf.DUMMYFUNCTION("""COMPUTED_VALUE"""),"No")</f>
        <v>No</v>
      </c>
      <c r="AH2099" s="8" t="str">
        <f ca="1">IFERROR(__xludf.DUMMYFUNCTION("""COMPUTED_VALUE"""),"No")</f>
        <v>No</v>
      </c>
      <c r="AI2099" s="8" t="str">
        <f ca="1">IFERROR(__xludf.DUMMYFUNCTION("""COMPUTED_VALUE"""),"No")</f>
        <v>No</v>
      </c>
      <c r="AJ2099" s="8" t="str">
        <f ca="1">IFERROR(__xludf.DUMMYFUNCTION("""COMPUTED_VALUE"""),"No")</f>
        <v>No</v>
      </c>
      <c r="AK2099" s="8" t="str">
        <f ca="1">IFERROR(__xludf.DUMMYFUNCTION("""COMPUTED_VALUE"""),"No")</f>
        <v>No</v>
      </c>
      <c r="AL2099" s="8" t="str">
        <f ca="1">IFERROR(__xludf.DUMMYFUNCTION("""COMPUTED_VALUE"""),"Yes")</f>
        <v>Yes</v>
      </c>
      <c r="AM2099" s="8"/>
      <c r="AN2099" s="8"/>
      <c r="AO2099" s="8" t="str">
        <f ca="1">IFERROR(__xludf.DUMMYFUNCTION("""COMPUTED_VALUE"""),"No")</f>
        <v>No</v>
      </c>
      <c r="AP2099" s="8"/>
      <c r="AQ2099" s="8" t="str">
        <f ca="1">IFERROR(__xludf.DUMMYFUNCTION("""COMPUTED_VALUE"""),"Unknown")</f>
        <v>Unknown</v>
      </c>
      <c r="AR2099" s="8" t="str">
        <f ca="1">IFERROR(__xludf.DUMMYFUNCTION("""COMPUTED_VALUE"""),"NA")</f>
        <v>NA</v>
      </c>
      <c r="AS2099" s="8" t="str">
        <f ca="1">IFERROR(__xludf.DUMMYFUNCTION("""COMPUTED_VALUE"""),"&lt;10")</f>
        <v>&lt;10</v>
      </c>
      <c r="AT2099" s="8"/>
      <c r="AU2099" s="8">
        <f ca="1">IFERROR(__xludf.DUMMYFUNCTION("""COMPUTED_VALUE"""),41.840042)</f>
        <v>41.840041999999997</v>
      </c>
      <c r="AV2099" s="8">
        <f ca="1">IFERROR(__xludf.DUMMYFUNCTION("""COMPUTED_VALUE"""),-87.618362)</f>
        <v>-87.618362000000005</v>
      </c>
      <c r="AW2099" s="8"/>
      <c r="AX2099" s="8">
        <f ca="1">IFERROR(__xludf.DUMMYFUNCTION("""COMPUTED_VALUE"""),60616)</f>
        <v>60616</v>
      </c>
    </row>
    <row r="2100" spans="1:50" ht="90" x14ac:dyDescent="0.2">
      <c r="A2100" s="8" t="str">
        <f ca="1">IFERROR(__xludf.DUMMYFUNCTION("""COMPUTED_VALUE"""),"20090108DEWIN")</f>
        <v>20090108DEWIN</v>
      </c>
      <c r="B2100" s="8">
        <f ca="1">IFERROR(__xludf.DUMMYFUNCTION("""COMPUTED_VALUE"""),1)</f>
        <v>1</v>
      </c>
      <c r="C2100" s="8">
        <f ca="1">IFERROR(__xludf.DUMMYFUNCTION("""COMPUTED_VALUE"""),8)</f>
        <v>8</v>
      </c>
      <c r="D2100" s="8">
        <f ca="1">IFERROR(__xludf.DUMMYFUNCTION("""COMPUTED_VALUE"""),2009)</f>
        <v>2009</v>
      </c>
      <c r="E2100" s="9">
        <f ca="1">IFERROR(__xludf.DUMMYFUNCTION("""COMPUTED_VALUE"""),39821)</f>
        <v>39821</v>
      </c>
      <c r="F2100" s="8" t="str">
        <f ca="1">IFERROR(__xludf.DUMMYFUNCTION("""COMPUTED_VALUE"""),"William Penn High School")</f>
        <v>William Penn High School</v>
      </c>
      <c r="G2100" s="8">
        <f ca="1">IFERROR(__xludf.DUMMYFUNCTION("""COMPUTED_VALUE"""),0)</f>
        <v>0</v>
      </c>
      <c r="H2100" s="8">
        <f ca="1">IFERROR(__xludf.DUMMYFUNCTION("""COMPUTED_VALUE"""),2)</f>
        <v>2</v>
      </c>
      <c r="I2100" s="8">
        <f ca="1">IFERROR(__xludf.DUMMYFUNCTION("""COMPUTED_VALUE"""),2)</f>
        <v>2</v>
      </c>
      <c r="J2100" s="8">
        <f ca="1">IFERROR(__xludf.DUMMYFUNCTION("""COMPUTED_VALUE"""),0)</f>
        <v>0</v>
      </c>
      <c r="K2100" s="8" t="str">
        <f ca="1">IFERROR(__xludf.DUMMYFUNCTION("""COMPUTED_VALUE"""),"https://www.nbcphiladelphia.com/news/local/Student-ShotTrooper-Injured-Following-School-Brawl.html https://www.nbcphiladelphia.com/news/local/Student-ShotTrooper-Injured-Following-School-Brawl.html")</f>
        <v>https://www.nbcphiladelphia.com/news/local/Student-ShotTrooper-Injured-Following-School-Brawl.html https://www.nbcphiladelphia.com/news/local/Student-ShotTrooper-Injured-Following-School-Brawl.html</v>
      </c>
      <c r="L2100" s="8"/>
      <c r="M2100" s="8"/>
      <c r="N2100" s="8">
        <f ca="1">IFERROR(__xludf.DUMMYFUNCTION("""COMPUTED_VALUE"""),3)</f>
        <v>3</v>
      </c>
      <c r="O2100" s="8" t="str">
        <f ca="1">IFERROR(__xludf.DUMMYFUNCTION("""COMPUTED_VALUE"""),"Winter")</f>
        <v>Winter</v>
      </c>
      <c r="P2100" s="8" t="str">
        <f ca="1">IFERROR(__xludf.DUMMYFUNCTION("""COMPUTED_VALUE"""),"New Castle")</f>
        <v>New Castle</v>
      </c>
      <c r="Q2100" s="8" t="str">
        <f ca="1">IFERROR(__xludf.DUMMYFUNCTION("""COMPUTED_VALUE"""),"DE")</f>
        <v>DE</v>
      </c>
      <c r="R2100" s="8" t="str">
        <f ca="1">IFERROR(__xludf.DUMMYFUNCTION("""COMPUTED_VALUE"""),"High")</f>
        <v>High</v>
      </c>
      <c r="S2100" s="8" t="str">
        <f ca="1">IFERROR(__xludf.DUMMYFUNCTION("""COMPUTED_VALUE"""),"Gym")</f>
        <v>Gym</v>
      </c>
      <c r="T2100" s="8" t="str">
        <f ca="1">IFERROR(__xludf.DUMMYFUNCTION("""COMPUTED_VALUE"""),"Inside School Building")</f>
        <v>Inside School Building</v>
      </c>
      <c r="U2100" s="8" t="str">
        <f ca="1">IFERROR(__xludf.DUMMYFUNCTION("""COMPUTED_VALUE"""),"No")</f>
        <v>No</v>
      </c>
      <c r="V2100" s="8" t="str">
        <f ca="1">IFERROR(__xludf.DUMMYFUNCTION("""COMPUTED_VALUE"""),"Sport Event")</f>
        <v>Sport Event</v>
      </c>
      <c r="W2100" s="11">
        <f ca="1">IFERROR(__xludf.DUMMYFUNCTION("""COMPUTED_VALUE"""),0.854166666666666)</f>
        <v>0.85416666666666596</v>
      </c>
      <c r="X2100" s="8">
        <f ca="1">IFERROR(__xludf.DUMMYFUNCTION("""COMPUTED_VALUE"""),1)</f>
        <v>1</v>
      </c>
      <c r="Y2100" s="12" t="str">
        <f ca="1">IFERROR(__xludf.DUMMYFUNCTION("""COMPUTED_VALUE"""),"Officer tried to break up fight between students, following fight, gun discharged striking uninvolved student")</f>
        <v>Officer tried to break up fight between students, following fight, gun discharged striking uninvolved student</v>
      </c>
      <c r="Z2100" s="12" t="str">
        <f ca="1">IFERROR(__xludf.DUMMYFUNCTION("""COMPUTED_VALUE"""),"Fight between two female students during basketball game. Officer attempted to break up fight and was unable to stop it. Officer called for backup. After backup arrived, officer's gun discharged striking an unrelated 18 YOM student.")</f>
        <v>Fight between two female students during basketball game. Officer attempted to break up fight and was unable to stop it. Officer called for backup. After backup arrived, officer's gun discharged striking an unrelated 18 YOM student.</v>
      </c>
      <c r="AA2100" s="8" t="str">
        <f ca="1">IFERROR(__xludf.DUMMYFUNCTION("""COMPUTED_VALUE"""),"Accidental")</f>
        <v>Accidental</v>
      </c>
      <c r="AB2100" s="8"/>
      <c r="AC2100" s="8" t="str">
        <f ca="1">IFERROR(__xludf.DUMMYFUNCTION("""COMPUTED_VALUE"""),"Yes")</f>
        <v>Yes</v>
      </c>
      <c r="AD2100" s="8" t="str">
        <f ca="1">IFERROR(__xludf.DUMMYFUNCTION("""COMPUTED_VALUE"""),"Random Shooting")</f>
        <v>Random Shooting</v>
      </c>
      <c r="AE2100" s="8" t="str">
        <f ca="1">IFERROR(__xludf.DUMMYFUNCTION("""COMPUTED_VALUE"""),"No")</f>
        <v>No</v>
      </c>
      <c r="AF2100" s="8"/>
      <c r="AG2100" s="8" t="str">
        <f ca="1">IFERROR(__xludf.DUMMYFUNCTION("""COMPUTED_VALUE"""),"No")</f>
        <v>No</v>
      </c>
      <c r="AH2100" s="8" t="str">
        <f ca="1">IFERROR(__xludf.DUMMYFUNCTION("""COMPUTED_VALUE"""),"No")</f>
        <v>No</v>
      </c>
      <c r="AI2100" s="8" t="str">
        <f ca="1">IFERROR(__xludf.DUMMYFUNCTION("""COMPUTED_VALUE"""),"No")</f>
        <v>No</v>
      </c>
      <c r="AJ2100" s="8" t="str">
        <f ca="1">IFERROR(__xludf.DUMMYFUNCTION("""COMPUTED_VALUE"""),"No")</f>
        <v>No</v>
      </c>
      <c r="AK2100" s="8" t="str">
        <f ca="1">IFERROR(__xludf.DUMMYFUNCTION("""COMPUTED_VALUE"""),"No")</f>
        <v>No</v>
      </c>
      <c r="AL2100" s="8" t="str">
        <f ca="1">IFERROR(__xludf.DUMMYFUNCTION("""COMPUTED_VALUE"""),"No")</f>
        <v>No</v>
      </c>
      <c r="AM2100" s="8"/>
      <c r="AN2100" s="8"/>
      <c r="AO2100" s="8" t="str">
        <f ca="1">IFERROR(__xludf.DUMMYFUNCTION("""COMPUTED_VALUE"""),"No")</f>
        <v>No</v>
      </c>
      <c r="AP2100" s="8"/>
      <c r="AQ2100" s="8" t="str">
        <f ca="1">IFERROR(__xludf.DUMMYFUNCTION("""COMPUTED_VALUE"""),"Unknown")</f>
        <v>Unknown</v>
      </c>
      <c r="AR2100" s="8" t="str">
        <f ca="1">IFERROR(__xludf.DUMMYFUNCTION("""COMPUTED_VALUE"""),"NA")</f>
        <v>NA</v>
      </c>
      <c r="AS2100" s="8">
        <f ca="1">IFERROR(__xludf.DUMMYFUNCTION("""COMPUTED_VALUE"""),1)</f>
        <v>1</v>
      </c>
      <c r="AT2100" s="8"/>
      <c r="AU2100" s="8">
        <f ca="1">IFERROR(__xludf.DUMMYFUNCTION("""COMPUTED_VALUE"""),39.668725)</f>
        <v>39.668725000000002</v>
      </c>
      <c r="AV2100" s="8">
        <f ca="1">IFERROR(__xludf.DUMMYFUNCTION("""COMPUTED_VALUE"""),-75.584627)</f>
        <v>-75.584626999999998</v>
      </c>
      <c r="AW2100" s="8"/>
      <c r="AX2100" s="8">
        <f ca="1">IFERROR(__xludf.DUMMYFUNCTION("""COMPUTED_VALUE"""),19720)</f>
        <v>19720</v>
      </c>
    </row>
    <row r="2101" spans="1:50" ht="30" x14ac:dyDescent="0.2">
      <c r="A2101" s="8" t="str">
        <f ca="1">IFERROR(__xludf.DUMMYFUNCTION("""COMPUTED_VALUE"""),"20081231OKKEN")</f>
        <v>20081231OKKEN</v>
      </c>
      <c r="B2101" s="8">
        <f ca="1">IFERROR(__xludf.DUMMYFUNCTION("""COMPUTED_VALUE"""),12)</f>
        <v>12</v>
      </c>
      <c r="C2101" s="8">
        <f ca="1">IFERROR(__xludf.DUMMYFUNCTION("""COMPUTED_VALUE"""),31)</f>
        <v>31</v>
      </c>
      <c r="D2101" s="8">
        <f ca="1">IFERROR(__xludf.DUMMYFUNCTION("""COMPUTED_VALUE"""),2008)</f>
        <v>2008</v>
      </c>
      <c r="E2101" s="9">
        <f ca="1">IFERROR(__xludf.DUMMYFUNCTION("""COMPUTED_VALUE"""),39813)</f>
        <v>39813</v>
      </c>
      <c r="F2101" s="8" t="str">
        <f ca="1">IFERROR(__xludf.DUMMYFUNCTION("""COMPUTED_VALUE"""),"Kennedy Elementary School")</f>
        <v>Kennedy Elementary School</v>
      </c>
      <c r="G2101" s="8">
        <f ca="1">IFERROR(__xludf.DUMMYFUNCTION("""COMPUTED_VALUE"""),0)</f>
        <v>0</v>
      </c>
      <c r="H2101" s="8">
        <f ca="1">IFERROR(__xludf.DUMMYFUNCTION("""COMPUTED_VALUE"""),0)</f>
        <v>0</v>
      </c>
      <c r="I2101" s="8">
        <f ca="1">IFERROR(__xludf.DUMMYFUNCTION("""COMPUTED_VALUE"""),0)</f>
        <v>0</v>
      </c>
      <c r="J2101" s="8">
        <f ca="1">IFERROR(__xludf.DUMMYFUNCTION("""COMPUTED_VALUE"""),1)</f>
        <v>1</v>
      </c>
      <c r="K2101" s="10" t="str">
        <f ca="1">IFERROR(__xludf.DUMMYFUNCTION("""COMPUTED_VALUE"""),"https://www.columbine-angels.com/School_Violence_2008-2009.htm")</f>
        <v>https://www.columbine-angels.com/School_Violence_2008-2009.htm</v>
      </c>
      <c r="L2101" s="8"/>
      <c r="M2101" s="8"/>
      <c r="N2101" s="8">
        <f ca="1">IFERROR(__xludf.DUMMYFUNCTION("""COMPUTED_VALUE"""),1)</f>
        <v>1</v>
      </c>
      <c r="O2101" s="8" t="str">
        <f ca="1">IFERROR(__xludf.DUMMYFUNCTION("""COMPUTED_VALUE"""),"Winter")</f>
        <v>Winter</v>
      </c>
      <c r="P2101" s="8" t="str">
        <f ca="1">IFERROR(__xludf.DUMMYFUNCTION("""COMPUTED_VALUE"""),"Norman")</f>
        <v>Norman</v>
      </c>
      <c r="Q2101" s="8" t="str">
        <f ca="1">IFERROR(__xludf.DUMMYFUNCTION("""COMPUTED_VALUE"""),"OK")</f>
        <v>OK</v>
      </c>
      <c r="R2101" s="8" t="str">
        <f ca="1">IFERROR(__xludf.DUMMYFUNCTION("""COMPUTED_VALUE"""),"Elementary")</f>
        <v>Elementary</v>
      </c>
      <c r="S2101" s="8" t="str">
        <f ca="1">IFERROR(__xludf.DUMMYFUNCTION("""COMPUTED_VALUE"""),"Outside on School Property")</f>
        <v>Outside on School Property</v>
      </c>
      <c r="T2101" s="8" t="str">
        <f ca="1">IFERROR(__xludf.DUMMYFUNCTION("""COMPUTED_VALUE"""),"Outside on School Property")</f>
        <v>Outside on School Property</v>
      </c>
      <c r="U2101" s="8" t="str">
        <f ca="1">IFERROR(__xludf.DUMMYFUNCTION("""COMPUTED_VALUE"""),"No")</f>
        <v>No</v>
      </c>
      <c r="V2101" s="8" t="str">
        <f ca="1">IFERROR(__xludf.DUMMYFUNCTION("""COMPUTED_VALUE"""),"Not a School Day")</f>
        <v>Not a School Day</v>
      </c>
      <c r="W2101" s="8"/>
      <c r="X2101" s="8">
        <f ca="1">IFERROR(__xludf.DUMMYFUNCTION("""COMPUTED_VALUE"""),1)</f>
        <v>1</v>
      </c>
      <c r="Y2101" s="12" t="str">
        <f ca="1">IFERROR(__xludf.DUMMYFUNCTION("""COMPUTED_VALUE"""),"Commit suicide outside of school")</f>
        <v>Commit suicide outside of school</v>
      </c>
      <c r="Z2101" s="12" t="str">
        <f ca="1">IFERROR(__xludf.DUMMYFUNCTION("""COMPUTED_VALUE"""),"68YOM commit suicide outside of school.")</f>
        <v>68YOM commit suicide outside of school.</v>
      </c>
      <c r="AA2101" s="8" t="str">
        <f ca="1">IFERROR(__xludf.DUMMYFUNCTION("""COMPUTED_VALUE"""),"Suicide/Attempted")</f>
        <v>Suicide/Attempted</v>
      </c>
      <c r="AB2101" s="8"/>
      <c r="AC2101" s="8" t="str">
        <f ca="1">IFERROR(__xludf.DUMMYFUNCTION("""COMPUTED_VALUE"""),"No")</f>
        <v>No</v>
      </c>
      <c r="AD2101" s="8" t="str">
        <f ca="1">IFERROR(__xludf.DUMMYFUNCTION("""COMPUTED_VALUE"""),"Victims Targeted")</f>
        <v>Victims Targeted</v>
      </c>
      <c r="AE2101" s="8" t="str">
        <f ca="1">IFERROR(__xludf.DUMMYFUNCTION("""COMPUTED_VALUE"""),"No")</f>
        <v>No</v>
      </c>
      <c r="AF2101" s="8"/>
      <c r="AG2101" s="8" t="str">
        <f ca="1">IFERROR(__xludf.DUMMYFUNCTION("""COMPUTED_VALUE"""),"No")</f>
        <v>No</v>
      </c>
      <c r="AH2101" s="8" t="str">
        <f ca="1">IFERROR(__xludf.DUMMYFUNCTION("""COMPUTED_VALUE"""),"No")</f>
        <v>No</v>
      </c>
      <c r="AI2101" s="8" t="str">
        <f ca="1">IFERROR(__xludf.DUMMYFUNCTION("""COMPUTED_VALUE"""),"No")</f>
        <v>No</v>
      </c>
      <c r="AJ2101" s="8" t="str">
        <f ca="1">IFERROR(__xludf.DUMMYFUNCTION("""COMPUTED_VALUE"""),"No")</f>
        <v>No</v>
      </c>
      <c r="AK2101" s="8" t="str">
        <f ca="1">IFERROR(__xludf.DUMMYFUNCTION("""COMPUTED_VALUE"""),"No")</f>
        <v>No</v>
      </c>
      <c r="AL2101" s="8" t="str">
        <f ca="1">IFERROR(__xludf.DUMMYFUNCTION("""COMPUTED_VALUE"""),"No")</f>
        <v>No</v>
      </c>
      <c r="AM2101" s="8"/>
      <c r="AN2101" s="8"/>
      <c r="AO2101" s="8" t="str">
        <f ca="1">IFERROR(__xludf.DUMMYFUNCTION("""COMPUTED_VALUE"""),"No")</f>
        <v>No</v>
      </c>
      <c r="AP2101" s="8"/>
      <c r="AQ2101" s="8" t="str">
        <f ca="1">IFERROR(__xludf.DUMMYFUNCTION("""COMPUTED_VALUE"""),"Unknown")</f>
        <v>Unknown</v>
      </c>
      <c r="AR2101" s="8" t="str">
        <f ca="1">IFERROR(__xludf.DUMMYFUNCTION("""COMPUTED_VALUE"""),"NA")</f>
        <v>NA</v>
      </c>
      <c r="AS2101" s="8">
        <f ca="1">IFERROR(__xludf.DUMMYFUNCTION("""COMPUTED_VALUE"""),1)</f>
        <v>1</v>
      </c>
      <c r="AT2101" s="8"/>
      <c r="AU2101" s="8">
        <f ca="1">IFERROR(__xludf.DUMMYFUNCTION("""COMPUTED_VALUE"""),35.210566)</f>
        <v>35.210566</v>
      </c>
      <c r="AV2101" s="8">
        <f ca="1">IFERROR(__xludf.DUMMYFUNCTION("""COMPUTED_VALUE"""),-97.41899)</f>
        <v>-97.418989999999994</v>
      </c>
      <c r="AW2101" s="8"/>
      <c r="AX2101" s="8">
        <f ca="1">IFERROR(__xludf.DUMMYFUNCTION("""COMPUTED_VALUE"""),73070)</f>
        <v>73070</v>
      </c>
    </row>
    <row r="2102" spans="1:50" ht="60" x14ac:dyDescent="0.2">
      <c r="A2102" s="8" t="str">
        <f ca="1">IFERROR(__xludf.DUMMYFUNCTION("""COMPUTED_VALUE"""),"20081231GASHS")</f>
        <v>20081231GASHS</v>
      </c>
      <c r="B2102" s="8">
        <f ca="1">IFERROR(__xludf.DUMMYFUNCTION("""COMPUTED_VALUE"""),12)</f>
        <v>12</v>
      </c>
      <c r="C2102" s="8">
        <f ca="1">IFERROR(__xludf.DUMMYFUNCTION("""COMPUTED_VALUE"""),31)</f>
        <v>31</v>
      </c>
      <c r="D2102" s="8">
        <f ca="1">IFERROR(__xludf.DUMMYFUNCTION("""COMPUTED_VALUE"""),2008)</f>
        <v>2008</v>
      </c>
      <c r="E2102" s="9">
        <f ca="1">IFERROR(__xludf.DUMMYFUNCTION("""COMPUTED_VALUE"""),39813)</f>
        <v>39813</v>
      </c>
      <c r="F2102" s="8" t="str">
        <f ca="1">IFERROR(__xludf.DUMMYFUNCTION("""COMPUTED_VALUE"""),"Shuman Middle School")</f>
        <v>Shuman Middle School</v>
      </c>
      <c r="G2102" s="8">
        <f ca="1">IFERROR(__xludf.DUMMYFUNCTION("""COMPUTED_VALUE"""),0)</f>
        <v>0</v>
      </c>
      <c r="H2102" s="8">
        <f ca="1">IFERROR(__xludf.DUMMYFUNCTION("""COMPUTED_VALUE"""),1)</f>
        <v>1</v>
      </c>
      <c r="I2102" s="8">
        <f ca="1">IFERROR(__xludf.DUMMYFUNCTION("""COMPUTED_VALUE"""),1)</f>
        <v>1</v>
      </c>
      <c r="J2102" s="8">
        <f ca="1">IFERROR(__xludf.DUMMYFUNCTION("""COMPUTED_VALUE"""),0)</f>
        <v>0</v>
      </c>
      <c r="K2102" s="10" t="str">
        <f ca="1">IFERROR(__xludf.DUMMYFUNCTION("""COMPUTED_VALUE"""),"https://www.columbine-angels.com/School_Violence_2008-2009.htm")</f>
        <v>https://www.columbine-angels.com/School_Violence_2008-2009.htm</v>
      </c>
      <c r="L2102" s="8"/>
      <c r="M2102" s="8"/>
      <c r="N2102" s="8">
        <f ca="1">IFERROR(__xludf.DUMMYFUNCTION("""COMPUTED_VALUE"""),1)</f>
        <v>1</v>
      </c>
      <c r="O2102" s="8" t="str">
        <f ca="1">IFERROR(__xludf.DUMMYFUNCTION("""COMPUTED_VALUE"""),"Winter")</f>
        <v>Winter</v>
      </c>
      <c r="P2102" s="8" t="str">
        <f ca="1">IFERROR(__xludf.DUMMYFUNCTION("""COMPUTED_VALUE"""),"Savannah")</f>
        <v>Savannah</v>
      </c>
      <c r="Q2102" s="8" t="str">
        <f ca="1">IFERROR(__xludf.DUMMYFUNCTION("""COMPUTED_VALUE"""),"GA")</f>
        <v>GA</v>
      </c>
      <c r="R2102" s="8" t="str">
        <f ca="1">IFERROR(__xludf.DUMMYFUNCTION("""COMPUTED_VALUE"""),"Middle")</f>
        <v>Middle</v>
      </c>
      <c r="S2102" s="8" t="str">
        <f ca="1">IFERROR(__xludf.DUMMYFUNCTION("""COMPUTED_VALUE"""),"Beside Building")</f>
        <v>Beside Building</v>
      </c>
      <c r="T2102" s="8" t="str">
        <f ca="1">IFERROR(__xludf.DUMMYFUNCTION("""COMPUTED_VALUE"""),"Outside on School Property")</f>
        <v>Outside on School Property</v>
      </c>
      <c r="U2102" s="8" t="str">
        <f ca="1">IFERROR(__xludf.DUMMYFUNCTION("""COMPUTED_VALUE"""),"No")</f>
        <v>No</v>
      </c>
      <c r="V2102" s="8" t="str">
        <f ca="1">IFERROR(__xludf.DUMMYFUNCTION("""COMPUTED_VALUE"""),"Evening")</f>
        <v>Evening</v>
      </c>
      <c r="W2102" s="8"/>
      <c r="X2102" s="8">
        <f ca="1">IFERROR(__xludf.DUMMYFUNCTION("""COMPUTED_VALUE"""),1)</f>
        <v>1</v>
      </c>
      <c r="Y2102" s="12" t="str">
        <f ca="1">IFERROR(__xludf.DUMMYFUNCTION("""COMPUTED_VALUE"""),"Shotgun fired during fight between 4 women, employee struck")</f>
        <v>Shotgun fired during fight between 4 women, employee struck</v>
      </c>
      <c r="Z2102" s="12" t="str">
        <f ca="1">IFERROR(__xludf.DUMMYFUNCTION("""COMPUTED_VALUE"""),"City employee shot while trying to break up fight between 4 women. 18YOF fired shotgun into air, pellets struck the employee.")</f>
        <v>City employee shot while trying to break up fight between 4 women. 18YOF fired shotgun into air, pellets struck the employee.</v>
      </c>
      <c r="AA2102" s="8" t="str">
        <f ca="1">IFERROR(__xludf.DUMMYFUNCTION("""COMPUTED_VALUE"""),"Escalation of Dispute")</f>
        <v>Escalation of Dispute</v>
      </c>
      <c r="AB2102" s="8"/>
      <c r="AC2102" s="8" t="str">
        <f ca="1">IFERROR(__xludf.DUMMYFUNCTION("""COMPUTED_VALUE"""),"No")</f>
        <v>No</v>
      </c>
      <c r="AD2102" s="8" t="str">
        <f ca="1">IFERROR(__xludf.DUMMYFUNCTION("""COMPUTED_VALUE"""),"Random Shooting")</f>
        <v>Random Shooting</v>
      </c>
      <c r="AE2102" s="8" t="str">
        <f ca="1">IFERROR(__xludf.DUMMYFUNCTION("""COMPUTED_VALUE"""),"No")</f>
        <v>No</v>
      </c>
      <c r="AF2102" s="8"/>
      <c r="AG2102" s="8" t="str">
        <f ca="1">IFERROR(__xludf.DUMMYFUNCTION("""COMPUTED_VALUE"""),"No")</f>
        <v>No</v>
      </c>
      <c r="AH2102" s="8" t="str">
        <f ca="1">IFERROR(__xludf.DUMMYFUNCTION("""COMPUTED_VALUE"""),"No")</f>
        <v>No</v>
      </c>
      <c r="AI2102" s="8" t="str">
        <f ca="1">IFERROR(__xludf.DUMMYFUNCTION("""COMPUTED_VALUE"""),"No")</f>
        <v>No</v>
      </c>
      <c r="AJ2102" s="8" t="str">
        <f ca="1">IFERROR(__xludf.DUMMYFUNCTION("""COMPUTED_VALUE"""),"No")</f>
        <v>No</v>
      </c>
      <c r="AK2102" s="8" t="str">
        <f ca="1">IFERROR(__xludf.DUMMYFUNCTION("""COMPUTED_VALUE"""),"No")</f>
        <v>No</v>
      </c>
      <c r="AL2102" s="8" t="str">
        <f ca="1">IFERROR(__xludf.DUMMYFUNCTION("""COMPUTED_VALUE"""),"No")</f>
        <v>No</v>
      </c>
      <c r="AM2102" s="8"/>
      <c r="AN2102" s="8"/>
      <c r="AO2102" s="8" t="str">
        <f ca="1">IFERROR(__xludf.DUMMYFUNCTION("""COMPUTED_VALUE"""),"No")</f>
        <v>No</v>
      </c>
      <c r="AP2102" s="8"/>
      <c r="AQ2102" s="8" t="str">
        <f ca="1">IFERROR(__xludf.DUMMYFUNCTION("""COMPUTED_VALUE"""),"Unknown")</f>
        <v>Unknown</v>
      </c>
      <c r="AR2102" s="8" t="str">
        <f ca="1">IFERROR(__xludf.DUMMYFUNCTION("""COMPUTED_VALUE"""),"NA")</f>
        <v>NA</v>
      </c>
      <c r="AS2102" s="8">
        <f ca="1">IFERROR(__xludf.DUMMYFUNCTION("""COMPUTED_VALUE"""),1)</f>
        <v>1</v>
      </c>
      <c r="AT2102" s="8"/>
      <c r="AU2102" s="8">
        <f ca="1">IFERROR(__xludf.DUMMYFUNCTION("""COMPUTED_VALUE"""),32.061704)</f>
        <v>32.061703999999999</v>
      </c>
      <c r="AV2102" s="8">
        <f ca="1">IFERROR(__xludf.DUMMYFUNCTION("""COMPUTED_VALUE"""),-81.06692)</f>
        <v>-81.066919999999996</v>
      </c>
      <c r="AW2102" s="8"/>
      <c r="AX2102" s="8">
        <f ca="1">IFERROR(__xludf.DUMMYFUNCTION("""COMPUTED_VALUE"""),31404)</f>
        <v>31404</v>
      </c>
    </row>
    <row r="2103" spans="1:50" ht="30" x14ac:dyDescent="0.2">
      <c r="A2103" s="8" t="str">
        <f ca="1">IFERROR(__xludf.DUMMYFUNCTION("""COMPUTED_VALUE"""),"20081227PAWIP")</f>
        <v>20081227PAWIP</v>
      </c>
      <c r="B2103" s="8">
        <f ca="1">IFERROR(__xludf.DUMMYFUNCTION("""COMPUTED_VALUE"""),12)</f>
        <v>12</v>
      </c>
      <c r="C2103" s="8">
        <f ca="1">IFERROR(__xludf.DUMMYFUNCTION("""COMPUTED_VALUE"""),27)</f>
        <v>27</v>
      </c>
      <c r="D2103" s="8">
        <f ca="1">IFERROR(__xludf.DUMMYFUNCTION("""COMPUTED_VALUE"""),2008)</f>
        <v>2008</v>
      </c>
      <c r="E2103" s="9">
        <f ca="1">IFERROR(__xludf.DUMMYFUNCTION("""COMPUTED_VALUE"""),39809)</f>
        <v>39809</v>
      </c>
      <c r="F2103" s="8" t="str">
        <f ca="1">IFERROR(__xludf.DUMMYFUNCTION("""COMPUTED_VALUE"""),"William H. Harrison Elementary School")</f>
        <v>William H. Harrison Elementary School</v>
      </c>
      <c r="G2103" s="8">
        <f ca="1">IFERROR(__xludf.DUMMYFUNCTION("""COMPUTED_VALUE"""),0)</f>
        <v>0</v>
      </c>
      <c r="H2103" s="8">
        <f ca="1">IFERROR(__xludf.DUMMYFUNCTION("""COMPUTED_VALUE"""),2)</f>
        <v>2</v>
      </c>
      <c r="I2103" s="8">
        <f ca="1">IFERROR(__xludf.DUMMYFUNCTION("""COMPUTED_VALUE"""),2)</f>
        <v>2</v>
      </c>
      <c r="J2103" s="8">
        <f ca="1">IFERROR(__xludf.DUMMYFUNCTION("""COMPUTED_VALUE"""),0)</f>
        <v>0</v>
      </c>
      <c r="K2103" s="10" t="str">
        <f ca="1">IFERROR(__xludf.DUMMYFUNCTION("""COMPUTED_VALUE"""),"https://www.columbine-angels.com/School_Violence_2008-2009.htm")</f>
        <v>https://www.columbine-angels.com/School_Violence_2008-2009.htm</v>
      </c>
      <c r="L2103" s="8"/>
      <c r="M2103" s="8"/>
      <c r="N2103" s="8">
        <f ca="1">IFERROR(__xludf.DUMMYFUNCTION("""COMPUTED_VALUE"""),1)</f>
        <v>1</v>
      </c>
      <c r="O2103" s="8" t="str">
        <f ca="1">IFERROR(__xludf.DUMMYFUNCTION("""COMPUTED_VALUE"""),"Winter")</f>
        <v>Winter</v>
      </c>
      <c r="P2103" s="8" t="str">
        <f ca="1">IFERROR(__xludf.DUMMYFUNCTION("""COMPUTED_VALUE"""),"Philadelphia")</f>
        <v>Philadelphia</v>
      </c>
      <c r="Q2103" s="8" t="str">
        <f ca="1">IFERROR(__xludf.DUMMYFUNCTION("""COMPUTED_VALUE"""),"PA")</f>
        <v>PA</v>
      </c>
      <c r="R2103" s="8" t="str">
        <f ca="1">IFERROR(__xludf.DUMMYFUNCTION("""COMPUTED_VALUE"""),"Elementary")</f>
        <v>Elementary</v>
      </c>
      <c r="S2103" s="8" t="str">
        <f ca="1">IFERROR(__xludf.DUMMYFUNCTION("""COMPUTED_VALUE"""),"Beside Building")</f>
        <v>Beside Building</v>
      </c>
      <c r="T2103" s="8" t="str">
        <f ca="1">IFERROR(__xludf.DUMMYFUNCTION("""COMPUTED_VALUE"""),"Outside on School Property")</f>
        <v>Outside on School Property</v>
      </c>
      <c r="U2103" s="8" t="str">
        <f ca="1">IFERROR(__xludf.DUMMYFUNCTION("""COMPUTED_VALUE"""),"No")</f>
        <v>No</v>
      </c>
      <c r="V2103" s="8" t="str">
        <f ca="1">IFERROR(__xludf.DUMMYFUNCTION("""COMPUTED_VALUE"""),"Not a School Day")</f>
        <v>Not a School Day</v>
      </c>
      <c r="W2103" s="11">
        <f ca="1">IFERROR(__xludf.DUMMYFUNCTION("""COMPUTED_VALUE"""),0.416666666666666)</f>
        <v>0.41666666666666602</v>
      </c>
      <c r="X2103" s="8">
        <f ca="1">IFERROR(__xludf.DUMMYFUNCTION("""COMPUTED_VALUE"""),1)</f>
        <v>1</v>
      </c>
      <c r="Y2103" s="12" t="str">
        <f ca="1">IFERROR(__xludf.DUMMYFUNCTION("""COMPUTED_VALUE"""),"Two adults shot at elementary school")</f>
        <v>Two adults shot at elementary school</v>
      </c>
      <c r="Z2103" s="12" t="str">
        <f ca="1">IFERROR(__xludf.DUMMYFUNCTION("""COMPUTED_VALUE"""),"27YOM and 31YOF shot outside of the school. No other information available.")</f>
        <v>27YOM and 31YOF shot outside of the school. No other information available.</v>
      </c>
      <c r="AA2103" s="8" t="str">
        <f ca="1">IFERROR(__xludf.DUMMYFUNCTION("""COMPUTED_VALUE"""),"Unknown")</f>
        <v>Unknown</v>
      </c>
      <c r="AB2103" s="8"/>
      <c r="AC2103" s="8" t="str">
        <f ca="1">IFERROR(__xludf.DUMMYFUNCTION("""COMPUTED_VALUE"""),"No")</f>
        <v>No</v>
      </c>
      <c r="AD2103" s="8"/>
      <c r="AE2103" s="8"/>
      <c r="AF2103" s="8"/>
      <c r="AG2103" s="8" t="str">
        <f ca="1">IFERROR(__xludf.DUMMYFUNCTION("""COMPUTED_VALUE"""),"No")</f>
        <v>No</v>
      </c>
      <c r="AH2103" s="8" t="str">
        <f ca="1">IFERROR(__xludf.DUMMYFUNCTION("""COMPUTED_VALUE"""),"No")</f>
        <v>No</v>
      </c>
      <c r="AI2103" s="8" t="str">
        <f ca="1">IFERROR(__xludf.DUMMYFUNCTION("""COMPUTED_VALUE"""),"No")</f>
        <v>No</v>
      </c>
      <c r="AJ2103" s="8" t="str">
        <f ca="1">IFERROR(__xludf.DUMMYFUNCTION("""COMPUTED_VALUE"""),"No")</f>
        <v>No</v>
      </c>
      <c r="AK2103" s="8" t="str">
        <f ca="1">IFERROR(__xludf.DUMMYFUNCTION("""COMPUTED_VALUE"""),"No")</f>
        <v>No</v>
      </c>
      <c r="AL2103" s="8"/>
      <c r="AM2103" s="8"/>
      <c r="AN2103" s="8"/>
      <c r="AO2103" s="8" t="str">
        <f ca="1">IFERROR(__xludf.DUMMYFUNCTION("""COMPUTED_VALUE"""),"No")</f>
        <v>No</v>
      </c>
      <c r="AP2103" s="8"/>
      <c r="AQ2103" s="8" t="str">
        <f ca="1">IFERROR(__xludf.DUMMYFUNCTION("""COMPUTED_VALUE"""),"Unknown")</f>
        <v>Unknown</v>
      </c>
      <c r="AR2103" s="8" t="str">
        <f ca="1">IFERROR(__xludf.DUMMYFUNCTION("""COMPUTED_VALUE"""),"NA")</f>
        <v>NA</v>
      </c>
      <c r="AS2103" s="8"/>
      <c r="AT2103" s="8"/>
      <c r="AU2103" s="8">
        <f ca="1">IFERROR(__xludf.DUMMYFUNCTION("""COMPUTED_VALUE"""),39.972212)</f>
        <v>39.972211999999999</v>
      </c>
      <c r="AV2103" s="8">
        <f ca="1">IFERROR(__xludf.DUMMYFUNCTION("""COMPUTED_VALUE"""),-75.153576)</f>
        <v>-75.153576000000001</v>
      </c>
      <c r="AW2103" s="8"/>
      <c r="AX2103" s="8">
        <f ca="1">IFERROR(__xludf.DUMMYFUNCTION("""COMPUTED_VALUE"""),19122)</f>
        <v>19122</v>
      </c>
    </row>
    <row r="2104" spans="1:50" ht="60" x14ac:dyDescent="0.2">
      <c r="A2104" s="8" t="str">
        <f ca="1">IFERROR(__xludf.DUMMYFUNCTION("""COMPUTED_VALUE"""),"20081222FLLAL")</f>
        <v>20081222FLLAL</v>
      </c>
      <c r="B2104" s="8">
        <f ca="1">IFERROR(__xludf.DUMMYFUNCTION("""COMPUTED_VALUE"""),12)</f>
        <v>12</v>
      </c>
      <c r="C2104" s="8">
        <f ca="1">IFERROR(__xludf.DUMMYFUNCTION("""COMPUTED_VALUE"""),22)</f>
        <v>22</v>
      </c>
      <c r="D2104" s="8">
        <f ca="1">IFERROR(__xludf.DUMMYFUNCTION("""COMPUTED_VALUE"""),2008)</f>
        <v>2008</v>
      </c>
      <c r="E2104" s="9">
        <f ca="1">IFERROR(__xludf.DUMMYFUNCTION("""COMPUTED_VALUE"""),39804)</f>
        <v>39804</v>
      </c>
      <c r="F2104" s="8" t="str">
        <f ca="1">IFERROR(__xludf.DUMMYFUNCTION("""COMPUTED_VALUE"""),"Largo Middle School")</f>
        <v>Largo Middle School</v>
      </c>
      <c r="G2104" s="8">
        <f ca="1">IFERROR(__xludf.DUMMYFUNCTION("""COMPUTED_VALUE"""),0)</f>
        <v>0</v>
      </c>
      <c r="H2104" s="8">
        <f ca="1">IFERROR(__xludf.DUMMYFUNCTION("""COMPUTED_VALUE"""),0)</f>
        <v>0</v>
      </c>
      <c r="I2104" s="8">
        <f ca="1">IFERROR(__xludf.DUMMYFUNCTION("""COMPUTED_VALUE"""),0)</f>
        <v>0</v>
      </c>
      <c r="J2104" s="8">
        <f ca="1">IFERROR(__xludf.DUMMYFUNCTION("""COMPUTED_VALUE"""),1)</f>
        <v>1</v>
      </c>
      <c r="K2104" s="8" t="str">
        <f ca="1">IFERROR(__xludf.DUMMYFUNCTION("""COMPUTED_VALUE"""),"https://www.newspapers.com/image/331839756/?terms=teacher%2Bshot  https://www.newspapers.com/image/331848545/")</f>
        <v>https://www.newspapers.com/image/331839756/?terms=teacher%2Bshot  https://www.newspapers.com/image/331848545/</v>
      </c>
      <c r="L2104" s="8"/>
      <c r="M2104" s="8"/>
      <c r="N2104" s="8">
        <f ca="1">IFERROR(__xludf.DUMMYFUNCTION("""COMPUTED_VALUE"""),3)</f>
        <v>3</v>
      </c>
      <c r="O2104" s="8" t="str">
        <f ca="1">IFERROR(__xludf.DUMMYFUNCTION("""COMPUTED_VALUE"""),"Winter")</f>
        <v>Winter</v>
      </c>
      <c r="P2104" s="8" t="str">
        <f ca="1">IFERROR(__xludf.DUMMYFUNCTION("""COMPUTED_VALUE"""),"Largo")</f>
        <v>Largo</v>
      </c>
      <c r="Q2104" s="8" t="str">
        <f ca="1">IFERROR(__xludf.DUMMYFUNCTION("""COMPUTED_VALUE"""),"FL")</f>
        <v>FL</v>
      </c>
      <c r="R2104" s="8" t="str">
        <f ca="1">IFERROR(__xludf.DUMMYFUNCTION("""COMPUTED_VALUE"""),"Middle")</f>
        <v>Middle</v>
      </c>
      <c r="S2104" s="8" t="str">
        <f ca="1">IFERROR(__xludf.DUMMYFUNCTION("""COMPUTED_VALUE"""),"Outside on School Property")</f>
        <v>Outside on School Property</v>
      </c>
      <c r="T2104" s="8" t="str">
        <f ca="1">IFERROR(__xludf.DUMMYFUNCTION("""COMPUTED_VALUE"""),"Outside on School Property")</f>
        <v>Outside on School Property</v>
      </c>
      <c r="U2104" s="8" t="str">
        <f ca="1">IFERROR(__xludf.DUMMYFUNCTION("""COMPUTED_VALUE"""),"No")</f>
        <v>No</v>
      </c>
      <c r="V2104" s="8" t="str">
        <f ca="1">IFERROR(__xludf.DUMMYFUNCTION("""COMPUTED_VALUE"""),"Not a School Day")</f>
        <v>Not a School Day</v>
      </c>
      <c r="W2104" s="8"/>
      <c r="X2104" s="8">
        <f ca="1">IFERROR(__xludf.DUMMYFUNCTION("""COMPUTED_VALUE"""),1)</f>
        <v>1</v>
      </c>
      <c r="Y2104" s="12" t="str">
        <f ca="1">IFERROR(__xludf.DUMMYFUNCTION("""COMPUTED_VALUE"""),"Teacher commit suicide in school")</f>
        <v>Teacher commit suicide in school</v>
      </c>
      <c r="Z2104" s="12" t="str">
        <f ca="1">IFERROR(__xludf.DUMMYFUNCTION("""COMPUTED_VALUE"""),"47 year old school teacher committed suicide  - she left a note blaming the school administration for not doing a better job in protecting her from threats by students. She was also known to suffer from depression.")</f>
        <v>47 year old school teacher committed suicide  - she left a note blaming the school administration for not doing a better job in protecting her from threats by students. She was also known to suffer from depression.</v>
      </c>
      <c r="AA2104" s="8" t="str">
        <f ca="1">IFERROR(__xludf.DUMMYFUNCTION("""COMPUTED_VALUE"""),"Suicide/Attempted")</f>
        <v>Suicide/Attempted</v>
      </c>
      <c r="AB2104" s="8"/>
      <c r="AC2104" s="8" t="str">
        <f ca="1">IFERROR(__xludf.DUMMYFUNCTION("""COMPUTED_VALUE"""),"Yes")</f>
        <v>Yes</v>
      </c>
      <c r="AD2104" s="8" t="str">
        <f ca="1">IFERROR(__xludf.DUMMYFUNCTION("""COMPUTED_VALUE"""),"Victims Targeted")</f>
        <v>Victims Targeted</v>
      </c>
      <c r="AE2104" s="8" t="str">
        <f ca="1">IFERROR(__xludf.DUMMYFUNCTION("""COMPUTED_VALUE"""),"No")</f>
        <v>No</v>
      </c>
      <c r="AF2104" s="8"/>
      <c r="AG2104" s="8" t="str">
        <f ca="1">IFERROR(__xludf.DUMMYFUNCTION("""COMPUTED_VALUE"""),"No")</f>
        <v>No</v>
      </c>
      <c r="AH2104" s="8" t="str">
        <f ca="1">IFERROR(__xludf.DUMMYFUNCTION("""COMPUTED_VALUE"""),"No")</f>
        <v>No</v>
      </c>
      <c r="AI2104" s="8" t="str">
        <f ca="1">IFERROR(__xludf.DUMMYFUNCTION("""COMPUTED_VALUE"""),"No")</f>
        <v>No</v>
      </c>
      <c r="AJ2104" s="8" t="str">
        <f ca="1">IFERROR(__xludf.DUMMYFUNCTION("""COMPUTED_VALUE"""),"No")</f>
        <v>No</v>
      </c>
      <c r="AK2104" s="8" t="str">
        <f ca="1">IFERROR(__xludf.DUMMYFUNCTION("""COMPUTED_VALUE"""),"No")</f>
        <v>No</v>
      </c>
      <c r="AL2104" s="8" t="str">
        <f ca="1">IFERROR(__xludf.DUMMYFUNCTION("""COMPUTED_VALUE"""),"No")</f>
        <v>No</v>
      </c>
      <c r="AM2104" s="8"/>
      <c r="AN2104" s="8"/>
      <c r="AO2104" s="8" t="str">
        <f ca="1">IFERROR(__xludf.DUMMYFUNCTION("""COMPUTED_VALUE"""),"No")</f>
        <v>No</v>
      </c>
      <c r="AP2104" s="8"/>
      <c r="AQ2104" s="8" t="str">
        <f ca="1">IFERROR(__xludf.DUMMYFUNCTION("""COMPUTED_VALUE"""),"Unknown")</f>
        <v>Unknown</v>
      </c>
      <c r="AR2104" s="8" t="str">
        <f ca="1">IFERROR(__xludf.DUMMYFUNCTION("""COMPUTED_VALUE"""),"NA")</f>
        <v>NA</v>
      </c>
      <c r="AS2104" s="8">
        <f ca="1">IFERROR(__xludf.DUMMYFUNCTION("""COMPUTED_VALUE"""),1)</f>
        <v>1</v>
      </c>
      <c r="AT2104" s="8"/>
      <c r="AU2104" s="8">
        <f ca="1">IFERROR(__xludf.DUMMYFUNCTION("""COMPUTED_VALUE"""),27.908274)</f>
        <v>27.908273999999999</v>
      </c>
      <c r="AV2104" s="8">
        <f ca="1">IFERROR(__xludf.DUMMYFUNCTION("""COMPUTED_VALUE"""),-82.784368)</f>
        <v>-82.784368000000001</v>
      </c>
      <c r="AW2104" s="8"/>
      <c r="AX2104" s="8">
        <f ca="1">IFERROR(__xludf.DUMMYFUNCTION("""COMPUTED_VALUE"""),33771)</f>
        <v>33771</v>
      </c>
    </row>
    <row r="2105" spans="1:50" ht="60" x14ac:dyDescent="0.2">
      <c r="A2105" s="8" t="str">
        <f ca="1">IFERROR(__xludf.DUMMYFUNCTION("""COMPUTED_VALUE"""),"20081221SCSUS")</f>
        <v>20081221SCSUS</v>
      </c>
      <c r="B2105" s="8">
        <f ca="1">IFERROR(__xludf.DUMMYFUNCTION("""COMPUTED_VALUE"""),12)</f>
        <v>12</v>
      </c>
      <c r="C2105" s="8">
        <f ca="1">IFERROR(__xludf.DUMMYFUNCTION("""COMPUTED_VALUE"""),21)</f>
        <v>21</v>
      </c>
      <c r="D2105" s="8">
        <f ca="1">IFERROR(__xludf.DUMMYFUNCTION("""COMPUTED_VALUE"""),2008)</f>
        <v>2008</v>
      </c>
      <c r="E2105" s="9">
        <f ca="1">IFERROR(__xludf.DUMMYFUNCTION("""COMPUTED_VALUE"""),39803)</f>
        <v>39803</v>
      </c>
      <c r="F2105" s="8" t="str">
        <f ca="1">IFERROR(__xludf.DUMMYFUNCTION("""COMPUTED_VALUE"""),"Summerville High School")</f>
        <v>Summerville High School</v>
      </c>
      <c r="G2105" s="8">
        <f ca="1">IFERROR(__xludf.DUMMYFUNCTION("""COMPUTED_VALUE"""),0)</f>
        <v>0</v>
      </c>
      <c r="H2105" s="8">
        <f ca="1">IFERROR(__xludf.DUMMYFUNCTION("""COMPUTED_VALUE"""),1)</f>
        <v>1</v>
      </c>
      <c r="I2105" s="8">
        <f ca="1">IFERROR(__xludf.DUMMYFUNCTION("""COMPUTED_VALUE"""),1)</f>
        <v>1</v>
      </c>
      <c r="J2105" s="8">
        <f ca="1">IFERROR(__xludf.DUMMYFUNCTION("""COMPUTED_VALUE"""),0)</f>
        <v>0</v>
      </c>
      <c r="K2105" s="10" t="str">
        <f ca="1">IFERROR(__xludf.DUMMYFUNCTION("""COMPUTED_VALUE"""),"https://www.postandcourier.com/news/teen-wounded-at-summerville-high/article_e9e8740e-ac4b-54fe-bf85-d2756db7f1cc.html")</f>
        <v>https://www.postandcourier.com/news/teen-wounded-at-summerville-high/article_e9e8740e-ac4b-54fe-bf85-d2756db7f1cc.html</v>
      </c>
      <c r="L2105" s="8"/>
      <c r="M2105" s="8"/>
      <c r="N2105" s="8">
        <f ca="1">IFERROR(__xludf.DUMMYFUNCTION("""COMPUTED_VALUE"""),2)</f>
        <v>2</v>
      </c>
      <c r="O2105" s="8" t="str">
        <f ca="1">IFERROR(__xludf.DUMMYFUNCTION("""COMPUTED_VALUE"""),"Winter")</f>
        <v>Winter</v>
      </c>
      <c r="P2105" s="8" t="str">
        <f ca="1">IFERROR(__xludf.DUMMYFUNCTION("""COMPUTED_VALUE"""),"Summerville")</f>
        <v>Summerville</v>
      </c>
      <c r="Q2105" s="8" t="str">
        <f ca="1">IFERROR(__xludf.DUMMYFUNCTION("""COMPUTED_VALUE"""),"SC")</f>
        <v>SC</v>
      </c>
      <c r="R2105" s="8" t="str">
        <f ca="1">IFERROR(__xludf.DUMMYFUNCTION("""COMPUTED_VALUE"""),"High")</f>
        <v>High</v>
      </c>
      <c r="S2105" s="8" t="str">
        <f ca="1">IFERROR(__xludf.DUMMYFUNCTION("""COMPUTED_VALUE"""),"Parking Lot")</f>
        <v>Parking Lot</v>
      </c>
      <c r="T2105" s="8" t="str">
        <f ca="1">IFERROR(__xludf.DUMMYFUNCTION("""COMPUTED_VALUE"""),"Outside on School Property")</f>
        <v>Outside on School Property</v>
      </c>
      <c r="U2105" s="8" t="str">
        <f ca="1">IFERROR(__xludf.DUMMYFUNCTION("""COMPUTED_VALUE"""),"No")</f>
        <v>No</v>
      </c>
      <c r="V2105" s="8" t="str">
        <f ca="1">IFERROR(__xludf.DUMMYFUNCTION("""COMPUTED_VALUE"""),"Evening")</f>
        <v>Evening</v>
      </c>
      <c r="W2105" s="11">
        <f ca="1">IFERROR(__xludf.DUMMYFUNCTION("""COMPUTED_VALUE"""),0.802083333333333)</f>
        <v>0.80208333333333304</v>
      </c>
      <c r="X2105" s="8">
        <f ca="1">IFERROR(__xludf.DUMMYFUNCTION("""COMPUTED_VALUE"""),1)</f>
        <v>1</v>
      </c>
      <c r="Y2105" s="12" t="str">
        <f ca="1">IFERROR(__xludf.DUMMYFUNCTION("""COMPUTED_VALUE"""),"Fight in the school parking lot, shots fired struck a bystander")</f>
        <v>Fight in the school parking lot, shots fired struck a bystander</v>
      </c>
      <c r="Z2105" s="12" t="str">
        <f ca="1">IFERROR(__xludf.DUMMYFUNCTION("""COMPUTED_VALUE"""),"Fight between multiple people in the parking lot. 23YOM fired shots that struck a 17YOM walking in the area.")</f>
        <v>Fight between multiple people in the parking lot. 23YOM fired shots that struck a 17YOM walking in the area.</v>
      </c>
      <c r="AA2105" s="8" t="str">
        <f ca="1">IFERROR(__xludf.DUMMYFUNCTION("""COMPUTED_VALUE"""),"Escalation of Dispute")</f>
        <v>Escalation of Dispute</v>
      </c>
      <c r="AB2105" s="8"/>
      <c r="AC2105" s="8" t="str">
        <f ca="1">IFERROR(__xludf.DUMMYFUNCTION("""COMPUTED_VALUE"""),"No")</f>
        <v>No</v>
      </c>
      <c r="AD2105" s="8" t="str">
        <f ca="1">IFERROR(__xludf.DUMMYFUNCTION("""COMPUTED_VALUE"""),"Both")</f>
        <v>Both</v>
      </c>
      <c r="AE2105" s="8"/>
      <c r="AF2105" s="8"/>
      <c r="AG2105" s="8" t="str">
        <f ca="1">IFERROR(__xludf.DUMMYFUNCTION("""COMPUTED_VALUE"""),"No")</f>
        <v>No</v>
      </c>
      <c r="AH2105" s="8" t="str">
        <f ca="1">IFERROR(__xludf.DUMMYFUNCTION("""COMPUTED_VALUE"""),"No")</f>
        <v>No</v>
      </c>
      <c r="AI2105" s="8" t="str">
        <f ca="1">IFERROR(__xludf.DUMMYFUNCTION("""COMPUTED_VALUE"""),"No")</f>
        <v>No</v>
      </c>
      <c r="AJ2105" s="8" t="str">
        <f ca="1">IFERROR(__xludf.DUMMYFUNCTION("""COMPUTED_VALUE"""),"No")</f>
        <v>No</v>
      </c>
      <c r="AK2105" s="8" t="str">
        <f ca="1">IFERROR(__xludf.DUMMYFUNCTION("""COMPUTED_VALUE"""),"No")</f>
        <v>No</v>
      </c>
      <c r="AL2105" s="8" t="str">
        <f ca="1">IFERROR(__xludf.DUMMYFUNCTION("""COMPUTED_VALUE"""),"No")</f>
        <v>No</v>
      </c>
      <c r="AM2105" s="8"/>
      <c r="AN2105" s="8"/>
      <c r="AO2105" s="8" t="str">
        <f ca="1">IFERROR(__xludf.DUMMYFUNCTION("""COMPUTED_VALUE"""),"No")</f>
        <v>No</v>
      </c>
      <c r="AP2105" s="8"/>
      <c r="AQ2105" s="8" t="str">
        <f ca="1">IFERROR(__xludf.DUMMYFUNCTION("""COMPUTED_VALUE"""),"Unknown")</f>
        <v>Unknown</v>
      </c>
      <c r="AR2105" s="8" t="str">
        <f ca="1">IFERROR(__xludf.DUMMYFUNCTION("""COMPUTED_VALUE"""),"NA")</f>
        <v>NA</v>
      </c>
      <c r="AS2105" s="8"/>
      <c r="AT2105" s="8"/>
      <c r="AU2105" s="8">
        <f ca="1">IFERROR(__xludf.DUMMYFUNCTION("""COMPUTED_VALUE"""),32.99408)</f>
        <v>32.994079999999997</v>
      </c>
      <c r="AV2105" s="8">
        <f ca="1">IFERROR(__xludf.DUMMYFUNCTION("""COMPUTED_VALUE"""),-80.218427)</f>
        <v>-80.218427000000005</v>
      </c>
      <c r="AW2105" s="8"/>
      <c r="AX2105" s="8">
        <f ca="1">IFERROR(__xludf.DUMMYFUNCTION("""COMPUTED_VALUE"""),29483)</f>
        <v>29483</v>
      </c>
    </row>
    <row r="2106" spans="1:50" ht="60" x14ac:dyDescent="0.2">
      <c r="A2106" s="8" t="str">
        <f ca="1">IFERROR(__xludf.DUMMYFUNCTION("""COMPUTED_VALUE"""),"20081212NYWIM")</f>
        <v>20081212NYWIM</v>
      </c>
      <c r="B2106" s="8">
        <f ca="1">IFERROR(__xludf.DUMMYFUNCTION("""COMPUTED_VALUE"""),12)</f>
        <v>12</v>
      </c>
      <c r="C2106" s="8">
        <f ca="1">IFERROR(__xludf.DUMMYFUNCTION("""COMPUTED_VALUE"""),12)</f>
        <v>12</v>
      </c>
      <c r="D2106" s="8">
        <f ca="1">IFERROR(__xludf.DUMMYFUNCTION("""COMPUTED_VALUE"""),2008)</f>
        <v>2008</v>
      </c>
      <c r="E2106" s="9">
        <f ca="1">IFERROR(__xludf.DUMMYFUNCTION("""COMPUTED_VALUE"""),39794)</f>
        <v>39794</v>
      </c>
      <c r="F2106" s="8" t="str">
        <f ca="1">IFERROR(__xludf.DUMMYFUNCTION("""COMPUTED_VALUE"""),"William Floyd High School")</f>
        <v>William Floyd High School</v>
      </c>
      <c r="G2106" s="8">
        <f ca="1">IFERROR(__xludf.DUMMYFUNCTION("""COMPUTED_VALUE"""),0)</f>
        <v>0</v>
      </c>
      <c r="H2106" s="8">
        <f ca="1">IFERROR(__xludf.DUMMYFUNCTION("""COMPUTED_VALUE"""),1)</f>
        <v>1</v>
      </c>
      <c r="I2106" s="8">
        <f ca="1">IFERROR(__xludf.DUMMYFUNCTION("""COMPUTED_VALUE"""),1)</f>
        <v>1</v>
      </c>
      <c r="J2106" s="8">
        <f ca="1">IFERROR(__xludf.DUMMYFUNCTION("""COMPUTED_VALUE"""),0)</f>
        <v>0</v>
      </c>
      <c r="K2106" s="10" t="str">
        <f ca="1">IFERROR(__xludf.DUMMYFUNCTION("""COMPUTED_VALUE"""),"http://archive.longislandpress.com/2010/02/26/mastic-man-pleads-guilty-to-school-shooting/")</f>
        <v>http://archive.longislandpress.com/2010/02/26/mastic-man-pleads-guilty-to-school-shooting/</v>
      </c>
      <c r="L2106" s="8"/>
      <c r="M2106" s="8"/>
      <c r="N2106" s="8">
        <f ca="1">IFERROR(__xludf.DUMMYFUNCTION("""COMPUTED_VALUE"""),2)</f>
        <v>2</v>
      </c>
      <c r="O2106" s="8" t="str">
        <f ca="1">IFERROR(__xludf.DUMMYFUNCTION("""COMPUTED_VALUE"""),"Winter")</f>
        <v>Winter</v>
      </c>
      <c r="P2106" s="8" t="str">
        <f ca="1">IFERROR(__xludf.DUMMYFUNCTION("""COMPUTED_VALUE"""),"Mastic Beach")</f>
        <v>Mastic Beach</v>
      </c>
      <c r="Q2106" s="8" t="str">
        <f ca="1">IFERROR(__xludf.DUMMYFUNCTION("""COMPUTED_VALUE"""),"NY")</f>
        <v>NY</v>
      </c>
      <c r="R2106" s="8" t="str">
        <f ca="1">IFERROR(__xludf.DUMMYFUNCTION("""COMPUTED_VALUE"""),"High")</f>
        <v>High</v>
      </c>
      <c r="S2106" s="8" t="str">
        <f ca="1">IFERROR(__xludf.DUMMYFUNCTION("""COMPUTED_VALUE"""),"Parking Lot")</f>
        <v>Parking Lot</v>
      </c>
      <c r="T2106" s="8" t="str">
        <f ca="1">IFERROR(__xludf.DUMMYFUNCTION("""COMPUTED_VALUE"""),"Outside on School Property")</f>
        <v>Outside on School Property</v>
      </c>
      <c r="U2106" s="8" t="str">
        <f ca="1">IFERROR(__xludf.DUMMYFUNCTION("""COMPUTED_VALUE"""),"No")</f>
        <v>No</v>
      </c>
      <c r="V2106" s="8" t="str">
        <f ca="1">IFERROR(__xludf.DUMMYFUNCTION("""COMPUTED_VALUE"""),"Sport Event")</f>
        <v>Sport Event</v>
      </c>
      <c r="W2106" s="11">
        <f ca="1">IFERROR(__xludf.DUMMYFUNCTION("""COMPUTED_VALUE"""),0.854166666666666)</f>
        <v>0.85416666666666596</v>
      </c>
      <c r="X2106" s="8">
        <f ca="1">IFERROR(__xludf.DUMMYFUNCTION("""COMPUTED_VALUE"""),1)</f>
        <v>1</v>
      </c>
      <c r="Y2106" s="12" t="str">
        <f ca="1">IFERROR(__xludf.DUMMYFUNCTION("""COMPUTED_VALUE"""),"Shooting in parking lot during argument after basketball game")</f>
        <v>Shooting in parking lot during argument after basketball game</v>
      </c>
      <c r="Z2106" s="12" t="str">
        <f ca="1">IFERROR(__xludf.DUMMYFUNCTION("""COMPUTED_VALUE"""),"27YOM male fired shots at another adult male during an argument in the school parking lot. The shots missed and struck a 14 YOM student bystander. Suspect fled.")</f>
        <v>27YOM male fired shots at another adult male during an argument in the school parking lot. The shots missed and struck a 14 YOM student bystander. Suspect fled.</v>
      </c>
      <c r="AA2106" s="8" t="str">
        <f ca="1">IFERROR(__xludf.DUMMYFUNCTION("""COMPUTED_VALUE"""),"Escalation of Dispute")</f>
        <v>Escalation of Dispute</v>
      </c>
      <c r="AB2106" s="8"/>
      <c r="AC2106" s="8" t="str">
        <f ca="1">IFERROR(__xludf.DUMMYFUNCTION("""COMPUTED_VALUE"""),"Yes")</f>
        <v>Yes</v>
      </c>
      <c r="AD2106" s="8" t="str">
        <f ca="1">IFERROR(__xludf.DUMMYFUNCTION("""COMPUTED_VALUE"""),"Both")</f>
        <v>Both</v>
      </c>
      <c r="AE2106" s="8" t="str">
        <f ca="1">IFERROR(__xludf.DUMMYFUNCTION("""COMPUTED_VALUE"""),"No")</f>
        <v>No</v>
      </c>
      <c r="AF2106" s="8"/>
      <c r="AG2106" s="8" t="str">
        <f ca="1">IFERROR(__xludf.DUMMYFUNCTION("""COMPUTED_VALUE"""),"No")</f>
        <v>No</v>
      </c>
      <c r="AH2106" s="8" t="str">
        <f ca="1">IFERROR(__xludf.DUMMYFUNCTION("""COMPUTED_VALUE"""),"No")</f>
        <v>No</v>
      </c>
      <c r="AI2106" s="8" t="str">
        <f ca="1">IFERROR(__xludf.DUMMYFUNCTION("""COMPUTED_VALUE"""),"No")</f>
        <v>No</v>
      </c>
      <c r="AJ2106" s="8" t="str">
        <f ca="1">IFERROR(__xludf.DUMMYFUNCTION("""COMPUTED_VALUE"""),"No")</f>
        <v>No</v>
      </c>
      <c r="AK2106" s="8" t="str">
        <f ca="1">IFERROR(__xludf.DUMMYFUNCTION("""COMPUTED_VALUE"""),"No")</f>
        <v>No</v>
      </c>
      <c r="AL2106" s="8" t="str">
        <f ca="1">IFERROR(__xludf.DUMMYFUNCTION("""COMPUTED_VALUE"""),"No")</f>
        <v>No</v>
      </c>
      <c r="AM2106" s="8"/>
      <c r="AN2106" s="8"/>
      <c r="AO2106" s="8" t="str">
        <f ca="1">IFERROR(__xludf.DUMMYFUNCTION("""COMPUTED_VALUE"""),"No")</f>
        <v>No</v>
      </c>
      <c r="AP2106" s="8"/>
      <c r="AQ2106" s="8" t="str">
        <f ca="1">IFERROR(__xludf.DUMMYFUNCTION("""COMPUTED_VALUE"""),"Unknown")</f>
        <v>Unknown</v>
      </c>
      <c r="AR2106" s="8" t="str">
        <f ca="1">IFERROR(__xludf.DUMMYFUNCTION("""COMPUTED_VALUE"""),"NA")</f>
        <v>NA</v>
      </c>
      <c r="AS2106" s="8" t="str">
        <f ca="1">IFERROR(__xludf.DUMMYFUNCTION("""COMPUTED_VALUE"""),"&lt;10")</f>
        <v>&lt;10</v>
      </c>
      <c r="AT2106" s="8"/>
      <c r="AU2106" s="8">
        <f ca="1">IFERROR(__xludf.DUMMYFUNCTION("""COMPUTED_VALUE"""),40.78042)</f>
        <v>40.780419999999999</v>
      </c>
      <c r="AV2106" s="8">
        <f ca="1">IFERROR(__xludf.DUMMYFUNCTION("""COMPUTED_VALUE"""),-72.85105)</f>
        <v>-72.851050000000001</v>
      </c>
      <c r="AW2106" s="8"/>
      <c r="AX2106" s="8">
        <f ca="1">IFERROR(__xludf.DUMMYFUNCTION("""COMPUTED_VALUE"""),11951)</f>
        <v>11951</v>
      </c>
    </row>
    <row r="2107" spans="1:50" ht="105" x14ac:dyDescent="0.2">
      <c r="A2107" s="8" t="str">
        <f ca="1">IFERROR(__xludf.DUMMYFUNCTION("""COMPUTED_VALUE"""),"20081212NCGUA")</f>
        <v>20081212NCGUA</v>
      </c>
      <c r="B2107" s="8">
        <f ca="1">IFERROR(__xludf.DUMMYFUNCTION("""COMPUTED_VALUE"""),12)</f>
        <v>12</v>
      </c>
      <c r="C2107" s="8">
        <f ca="1">IFERROR(__xludf.DUMMYFUNCTION("""COMPUTED_VALUE"""),12)</f>
        <v>12</v>
      </c>
      <c r="D2107" s="8">
        <f ca="1">IFERROR(__xludf.DUMMYFUNCTION("""COMPUTED_VALUE"""),2008)</f>
        <v>2008</v>
      </c>
      <c r="E2107" s="9">
        <f ca="1">IFERROR(__xludf.DUMMYFUNCTION("""COMPUTED_VALUE"""),39794)</f>
        <v>39794</v>
      </c>
      <c r="F2107" s="8" t="str">
        <f ca="1">IFERROR(__xludf.DUMMYFUNCTION("""COMPUTED_VALUE"""),"Guy B. Teachey Elementary School")</f>
        <v>Guy B. Teachey Elementary School</v>
      </c>
      <c r="G2107" s="8">
        <f ca="1">IFERROR(__xludf.DUMMYFUNCTION("""COMPUTED_VALUE"""),1)</f>
        <v>1</v>
      </c>
      <c r="H2107" s="8">
        <f ca="1">IFERROR(__xludf.DUMMYFUNCTION("""COMPUTED_VALUE"""),0)</f>
        <v>0</v>
      </c>
      <c r="I2107" s="8">
        <f ca="1">IFERROR(__xludf.DUMMYFUNCTION("""COMPUTED_VALUE"""),1)</f>
        <v>1</v>
      </c>
      <c r="J2107" s="8">
        <f ca="1">IFERROR(__xludf.DUMMYFUNCTION("""COMPUTED_VALUE"""),0)</f>
        <v>0</v>
      </c>
      <c r="K2107" s="10" t="str">
        <f ca="1">IFERROR(__xludf.DUMMYFUNCTION("""COMPUTED_VALUE"""),"https://www.greensboro.com/news/a-playground-fight-turned-deadly/article_0aadff61-c881-5944-99d3-e81ee3468277.html")</f>
        <v>https://www.greensboro.com/news/a-playground-fight-turned-deadly/article_0aadff61-c881-5944-99d3-e81ee3468277.html</v>
      </c>
      <c r="L2107" s="8"/>
      <c r="M2107" s="8"/>
      <c r="N2107" s="8">
        <f ca="1">IFERROR(__xludf.DUMMYFUNCTION("""COMPUTED_VALUE"""),2)</f>
        <v>2</v>
      </c>
      <c r="O2107" s="8" t="str">
        <f ca="1">IFERROR(__xludf.DUMMYFUNCTION("""COMPUTED_VALUE"""),"Winter")</f>
        <v>Winter</v>
      </c>
      <c r="P2107" s="8" t="str">
        <f ca="1">IFERROR(__xludf.DUMMYFUNCTION("""COMPUTED_VALUE"""),"Asheboro")</f>
        <v>Asheboro</v>
      </c>
      <c r="Q2107" s="8" t="str">
        <f ca="1">IFERROR(__xludf.DUMMYFUNCTION("""COMPUTED_VALUE"""),"NC")</f>
        <v>NC</v>
      </c>
      <c r="R2107" s="8" t="str">
        <f ca="1">IFERROR(__xludf.DUMMYFUNCTION("""COMPUTED_VALUE"""),"Elementary")</f>
        <v>Elementary</v>
      </c>
      <c r="S2107" s="8" t="str">
        <f ca="1">IFERROR(__xludf.DUMMYFUNCTION("""COMPUTED_VALUE"""),"Playground")</f>
        <v>Playground</v>
      </c>
      <c r="T2107" s="8" t="str">
        <f ca="1">IFERROR(__xludf.DUMMYFUNCTION("""COMPUTED_VALUE"""),"Outside on School Property")</f>
        <v>Outside on School Property</v>
      </c>
      <c r="U2107" s="8" t="str">
        <f ca="1">IFERROR(__xludf.DUMMYFUNCTION("""COMPUTED_VALUE"""),"No")</f>
        <v>No</v>
      </c>
      <c r="V2107" s="8" t="str">
        <f ca="1">IFERROR(__xludf.DUMMYFUNCTION("""COMPUTED_VALUE"""),"Evening")</f>
        <v>Evening</v>
      </c>
      <c r="W2107" s="11">
        <f ca="1">IFERROR(__xludf.DUMMYFUNCTION("""COMPUTED_VALUE"""),0.9375)</f>
        <v>0.9375</v>
      </c>
      <c r="X2107" s="8">
        <f ca="1">IFERROR(__xludf.DUMMYFUNCTION("""COMPUTED_VALUE"""),1)</f>
        <v>1</v>
      </c>
      <c r="Y2107" s="12" t="str">
        <f ca="1">IFERROR(__xludf.DUMMYFUNCTION("""COMPUTED_VALUE"""),"Two males were fighting at school playground, asked female watching to hold gun, accidentally fired striking one")</f>
        <v>Two males were fighting at school playground, asked female watching to hold gun, accidentally fired striking one</v>
      </c>
      <c r="Z2107" s="12" t="str">
        <f ca="1">IFERROR(__xludf.DUMMYFUNCTION("""COMPUTED_VALUE"""),"Late night fight between two teenage males at the school playground. 16YOM handed a gun to a 16YOF to hold while he was fighting. Accidentally fired killing him.")</f>
        <v>Late night fight between two teenage males at the school playground. 16YOM handed a gun to a 16YOF to hold while he was fighting. Accidentally fired killing him.</v>
      </c>
      <c r="AA2107" s="8" t="str">
        <f ca="1">IFERROR(__xludf.DUMMYFUNCTION("""COMPUTED_VALUE"""),"Accidental")</f>
        <v>Accidental</v>
      </c>
      <c r="AB2107" s="8"/>
      <c r="AC2107" s="8" t="str">
        <f ca="1">IFERROR(__xludf.DUMMYFUNCTION("""COMPUTED_VALUE"""),"No")</f>
        <v>No</v>
      </c>
      <c r="AD2107" s="8" t="str">
        <f ca="1">IFERROR(__xludf.DUMMYFUNCTION("""COMPUTED_VALUE"""),"Random Shooting")</f>
        <v>Random Shooting</v>
      </c>
      <c r="AE2107" s="8" t="str">
        <f ca="1">IFERROR(__xludf.DUMMYFUNCTION("""COMPUTED_VALUE"""),"Yes")</f>
        <v>Yes</v>
      </c>
      <c r="AF2107" s="8" t="str">
        <f ca="1">IFERROR(__xludf.DUMMYFUNCTION("""COMPUTED_VALUE"""),"Given gun to hold by the boy she shot")</f>
        <v>Given gun to hold by the boy she shot</v>
      </c>
      <c r="AG2107" s="8" t="str">
        <f ca="1">IFERROR(__xludf.DUMMYFUNCTION("""COMPUTED_VALUE"""),"No")</f>
        <v>No</v>
      </c>
      <c r="AH2107" s="8" t="str">
        <f ca="1">IFERROR(__xludf.DUMMYFUNCTION("""COMPUTED_VALUE"""),"No")</f>
        <v>No</v>
      </c>
      <c r="AI2107" s="8" t="str">
        <f ca="1">IFERROR(__xludf.DUMMYFUNCTION("""COMPUTED_VALUE"""),"No")</f>
        <v>No</v>
      </c>
      <c r="AJ2107" s="8" t="str">
        <f ca="1">IFERROR(__xludf.DUMMYFUNCTION("""COMPUTED_VALUE"""),"No")</f>
        <v>No</v>
      </c>
      <c r="AK2107" s="8" t="str">
        <f ca="1">IFERROR(__xludf.DUMMYFUNCTION("""COMPUTED_VALUE"""),"No")</f>
        <v>No</v>
      </c>
      <c r="AL2107" s="8" t="str">
        <f ca="1">IFERROR(__xludf.DUMMYFUNCTION("""COMPUTED_VALUE"""),"No")</f>
        <v>No</v>
      </c>
      <c r="AM2107" s="8"/>
      <c r="AN2107" s="8"/>
      <c r="AO2107" s="8" t="str">
        <f ca="1">IFERROR(__xludf.DUMMYFUNCTION("""COMPUTED_VALUE"""),"No")</f>
        <v>No</v>
      </c>
      <c r="AP2107" s="8"/>
      <c r="AQ2107" s="8" t="str">
        <f ca="1">IFERROR(__xludf.DUMMYFUNCTION("""COMPUTED_VALUE"""),"Unknown")</f>
        <v>Unknown</v>
      </c>
      <c r="AR2107" s="8" t="str">
        <f ca="1">IFERROR(__xludf.DUMMYFUNCTION("""COMPUTED_VALUE"""),"NA")</f>
        <v>NA</v>
      </c>
      <c r="AS2107" s="8">
        <f ca="1">IFERROR(__xludf.DUMMYFUNCTION("""COMPUTED_VALUE"""),1)</f>
        <v>1</v>
      </c>
      <c r="AT2107" s="8"/>
      <c r="AU2107" s="8">
        <f ca="1">IFERROR(__xludf.DUMMYFUNCTION("""COMPUTED_VALUE"""),35.673418)</f>
        <v>35.673417999999998</v>
      </c>
      <c r="AV2107" s="8">
        <f ca="1">IFERROR(__xludf.DUMMYFUNCTION("""COMPUTED_VALUE"""),-79.809437)</f>
        <v>-79.809437000000003</v>
      </c>
      <c r="AW2107" s="8"/>
      <c r="AX2107" s="8">
        <f ca="1">IFERROR(__xludf.DUMMYFUNCTION("""COMPUTED_VALUE"""),27205)</f>
        <v>27205</v>
      </c>
    </row>
    <row r="2108" spans="1:50" ht="60" x14ac:dyDescent="0.2">
      <c r="A2108" s="8" t="str">
        <f ca="1">IFERROR(__xludf.DUMMYFUNCTION("""COMPUTED_VALUE"""),"20081205MNSHF")</f>
        <v>20081205MNSHF</v>
      </c>
      <c r="B2108" s="8">
        <f ca="1">IFERROR(__xludf.DUMMYFUNCTION("""COMPUTED_VALUE"""),12)</f>
        <v>12</v>
      </c>
      <c r="C2108" s="8">
        <f ca="1">IFERROR(__xludf.DUMMYFUNCTION("""COMPUTED_VALUE"""),5)</f>
        <v>5</v>
      </c>
      <c r="D2108" s="8">
        <f ca="1">IFERROR(__xludf.DUMMYFUNCTION("""COMPUTED_VALUE"""),2008)</f>
        <v>2008</v>
      </c>
      <c r="E2108" s="9">
        <f ca="1">IFERROR(__xludf.DUMMYFUNCTION("""COMPUTED_VALUE"""),39787)</f>
        <v>39787</v>
      </c>
      <c r="F2108" s="8" t="str">
        <f ca="1">IFERROR(__xludf.DUMMYFUNCTION("""COMPUTED_VALUE"""),"Shattuck St. Mary's Prep School")</f>
        <v>Shattuck St. Mary's Prep School</v>
      </c>
      <c r="G2108" s="8">
        <f ca="1">IFERROR(__xludf.DUMMYFUNCTION("""COMPUTED_VALUE"""),0)</f>
        <v>0</v>
      </c>
      <c r="H2108" s="8">
        <f ca="1">IFERROR(__xludf.DUMMYFUNCTION("""COMPUTED_VALUE"""),0)</f>
        <v>0</v>
      </c>
      <c r="I2108" s="8">
        <f ca="1">IFERROR(__xludf.DUMMYFUNCTION("""COMPUTED_VALUE"""),0)</f>
        <v>0</v>
      </c>
      <c r="J2108" s="8">
        <f ca="1">IFERROR(__xludf.DUMMYFUNCTION("""COMPUTED_VALUE"""),1)</f>
        <v>1</v>
      </c>
      <c r="K2108" s="10" t="str">
        <f ca="1">IFERROR(__xludf.DUMMYFUNCTION("""COMPUTED_VALUE"""),"http://www.startribune.com/shattuck-st-mary-s-school-under-fire-on-2008-case/173333511/")</f>
        <v>http://www.startribune.com/shattuck-st-mary-s-school-under-fire-on-2008-case/173333511/</v>
      </c>
      <c r="L2108" s="8"/>
      <c r="M2108" s="8"/>
      <c r="N2108" s="8">
        <f ca="1">IFERROR(__xludf.DUMMYFUNCTION("""COMPUTED_VALUE"""),2)</f>
        <v>2</v>
      </c>
      <c r="O2108" s="8" t="str">
        <f ca="1">IFERROR(__xludf.DUMMYFUNCTION("""COMPUTED_VALUE"""),"Winter")</f>
        <v>Winter</v>
      </c>
      <c r="P2108" s="8" t="str">
        <f ca="1">IFERROR(__xludf.DUMMYFUNCTION("""COMPUTED_VALUE"""),"Faribault")</f>
        <v>Faribault</v>
      </c>
      <c r="Q2108" s="8" t="str">
        <f ca="1">IFERROR(__xludf.DUMMYFUNCTION("""COMPUTED_VALUE"""),"MN")</f>
        <v>MN</v>
      </c>
      <c r="R2108" s="8" t="str">
        <f ca="1">IFERROR(__xludf.DUMMYFUNCTION("""COMPUTED_VALUE"""),"Other")</f>
        <v>Other</v>
      </c>
      <c r="S2108" s="8" t="str">
        <f ca="1">IFERROR(__xludf.DUMMYFUNCTION("""COMPUTED_VALUE"""),"Other")</f>
        <v>Other</v>
      </c>
      <c r="T2108" s="8" t="str">
        <f ca="1">IFERROR(__xludf.DUMMYFUNCTION("""COMPUTED_VALUE"""),"Inside School Building")</f>
        <v>Inside School Building</v>
      </c>
      <c r="U2108" s="8" t="str">
        <f ca="1">IFERROR(__xludf.DUMMYFUNCTION("""COMPUTED_VALUE"""),"No")</f>
        <v>No</v>
      </c>
      <c r="V2108" s="8" t="str">
        <f ca="1">IFERROR(__xludf.DUMMYFUNCTION("""COMPUTED_VALUE"""),"Evening")</f>
        <v>Evening</v>
      </c>
      <c r="W2108" s="11">
        <f ca="1">IFERROR(__xludf.DUMMYFUNCTION("""COMPUTED_VALUE"""),0.875)</f>
        <v>0.875</v>
      </c>
      <c r="X2108" s="8">
        <f ca="1">IFERROR(__xludf.DUMMYFUNCTION("""COMPUTED_VALUE"""),1)</f>
        <v>1</v>
      </c>
      <c r="Y2108" s="12" t="str">
        <f ca="1">IFERROR(__xludf.DUMMYFUNCTION("""COMPUTED_VALUE"""),"Teacher shot self in dorm, caught having affair with student")</f>
        <v>Teacher shot self in dorm, caught having affair with student</v>
      </c>
      <c r="Z2108" s="12" t="str">
        <f ca="1">IFERROR(__xludf.DUMMYFUNCTION("""COMPUTED_VALUE"""),"34YOM teacher at the residential prep high school killed himself in the dorm after he was caught having a relationship with a student.")</f>
        <v>34YOM teacher at the residential prep high school killed himself in the dorm after he was caught having a relationship with a student.</v>
      </c>
      <c r="AA2108" s="8" t="str">
        <f ca="1">IFERROR(__xludf.DUMMYFUNCTION("""COMPUTED_VALUE"""),"Suicide/Attempted")</f>
        <v>Suicide/Attempted</v>
      </c>
      <c r="AB2108" s="8"/>
      <c r="AC2108" s="8" t="str">
        <f ca="1">IFERROR(__xludf.DUMMYFUNCTION("""COMPUTED_VALUE"""),"No")</f>
        <v>No</v>
      </c>
      <c r="AD2108" s="8" t="str">
        <f ca="1">IFERROR(__xludf.DUMMYFUNCTION("""COMPUTED_VALUE"""),"Victims Targeted")</f>
        <v>Victims Targeted</v>
      </c>
      <c r="AE2108" s="8" t="str">
        <f ca="1">IFERROR(__xludf.DUMMYFUNCTION("""COMPUTED_VALUE"""),"No")</f>
        <v>No</v>
      </c>
      <c r="AF2108" s="8"/>
      <c r="AG2108" s="8" t="str">
        <f ca="1">IFERROR(__xludf.DUMMYFUNCTION("""COMPUTED_VALUE"""),"No")</f>
        <v>No</v>
      </c>
      <c r="AH2108" s="8" t="str">
        <f ca="1">IFERROR(__xludf.DUMMYFUNCTION("""COMPUTED_VALUE"""),"No")</f>
        <v>No</v>
      </c>
      <c r="AI2108" s="8" t="str">
        <f ca="1">IFERROR(__xludf.DUMMYFUNCTION("""COMPUTED_VALUE"""),"No")</f>
        <v>No</v>
      </c>
      <c r="AJ2108" s="8" t="str">
        <f ca="1">IFERROR(__xludf.DUMMYFUNCTION("""COMPUTED_VALUE"""),"No")</f>
        <v>No</v>
      </c>
      <c r="AK2108" s="8" t="str">
        <f ca="1">IFERROR(__xludf.DUMMYFUNCTION("""COMPUTED_VALUE"""),"No")</f>
        <v>No</v>
      </c>
      <c r="AL2108" s="8" t="str">
        <f ca="1">IFERROR(__xludf.DUMMYFUNCTION("""COMPUTED_VALUE"""),"No")</f>
        <v>No</v>
      </c>
      <c r="AM2108" s="8"/>
      <c r="AN2108" s="8"/>
      <c r="AO2108" s="8" t="str">
        <f ca="1">IFERROR(__xludf.DUMMYFUNCTION("""COMPUTED_VALUE"""),"No")</f>
        <v>No</v>
      </c>
      <c r="AP2108" s="8"/>
      <c r="AQ2108" s="8" t="str">
        <f ca="1">IFERROR(__xludf.DUMMYFUNCTION("""COMPUTED_VALUE"""),"Unknown")</f>
        <v>Unknown</v>
      </c>
      <c r="AR2108" s="8" t="str">
        <f ca="1">IFERROR(__xludf.DUMMYFUNCTION("""COMPUTED_VALUE"""),"NA")</f>
        <v>NA</v>
      </c>
      <c r="AS2108" s="8">
        <f ca="1">IFERROR(__xludf.DUMMYFUNCTION("""COMPUTED_VALUE"""),1)</f>
        <v>1</v>
      </c>
      <c r="AT2108" s="8"/>
      <c r="AU2108" s="8">
        <f ca="1">IFERROR(__xludf.DUMMYFUNCTION("""COMPUTED_VALUE"""),44.3023)</f>
        <v>44.302300000000002</v>
      </c>
      <c r="AV2108" s="8">
        <f ca="1">IFERROR(__xludf.DUMMYFUNCTION("""COMPUTED_VALUE"""),-93.260659)</f>
        <v>-93.260659000000004</v>
      </c>
      <c r="AW2108" s="8"/>
      <c r="AX2108" s="8">
        <f ca="1">IFERROR(__xludf.DUMMYFUNCTION("""COMPUTED_VALUE"""),55021)</f>
        <v>55021</v>
      </c>
    </row>
    <row r="2109" spans="1:50" ht="60" x14ac:dyDescent="0.2">
      <c r="A2109" s="8" t="str">
        <f ca="1">IFERROR(__xludf.DUMMYFUNCTION("""COMPUTED_VALUE"""),"20081202CAKIK")</f>
        <v>20081202CAKIK</v>
      </c>
      <c r="B2109" s="8">
        <f ca="1">IFERROR(__xludf.DUMMYFUNCTION("""COMPUTED_VALUE"""),12)</f>
        <v>12</v>
      </c>
      <c r="C2109" s="8">
        <f ca="1">IFERROR(__xludf.DUMMYFUNCTION("""COMPUTED_VALUE"""),2)</f>
        <v>2</v>
      </c>
      <c r="D2109" s="8">
        <f ca="1">IFERROR(__xludf.DUMMYFUNCTION("""COMPUTED_VALUE"""),2008)</f>
        <v>2008</v>
      </c>
      <c r="E2109" s="9">
        <f ca="1">IFERROR(__xludf.DUMMYFUNCTION("""COMPUTED_VALUE"""),39784)</f>
        <v>39784</v>
      </c>
      <c r="F2109" s="8" t="str">
        <f ca="1">IFERROR(__xludf.DUMMYFUNCTION("""COMPUTED_VALUE"""),"King City High School")</f>
        <v>King City High School</v>
      </c>
      <c r="G2109" s="8">
        <f ca="1">IFERROR(__xludf.DUMMYFUNCTION("""COMPUTED_VALUE"""),1)</f>
        <v>1</v>
      </c>
      <c r="H2109" s="8">
        <f ca="1">IFERROR(__xludf.DUMMYFUNCTION("""COMPUTED_VALUE"""),1)</f>
        <v>1</v>
      </c>
      <c r="I2109" s="8">
        <f ca="1">IFERROR(__xludf.DUMMYFUNCTION("""COMPUTED_VALUE"""),2)</f>
        <v>2</v>
      </c>
      <c r="J2109" s="8">
        <f ca="1">IFERROR(__xludf.DUMMYFUNCTION("""COMPUTED_VALUE"""),0)</f>
        <v>0</v>
      </c>
      <c r="K2109" s="10" t="str">
        <f ca="1">IFERROR(__xludf.DUMMYFUNCTION("""COMPUTED_VALUE"""),"https://www.ksbw.com/article/king-city-high-school-soccer-game-murderer-sentenced/1048897")</f>
        <v>https://www.ksbw.com/article/king-city-high-school-soccer-game-murderer-sentenced/1048897</v>
      </c>
      <c r="L2109" s="8"/>
      <c r="M2109" s="8"/>
      <c r="N2109" s="8">
        <f ca="1">IFERROR(__xludf.DUMMYFUNCTION("""COMPUTED_VALUE"""),2)</f>
        <v>2</v>
      </c>
      <c r="O2109" s="8" t="str">
        <f ca="1">IFERROR(__xludf.DUMMYFUNCTION("""COMPUTED_VALUE"""),"Winter")</f>
        <v>Winter</v>
      </c>
      <c r="P2109" s="8" t="str">
        <f ca="1">IFERROR(__xludf.DUMMYFUNCTION("""COMPUTED_VALUE"""),"King City")</f>
        <v>King City</v>
      </c>
      <c r="Q2109" s="8" t="str">
        <f ca="1">IFERROR(__xludf.DUMMYFUNCTION("""COMPUTED_VALUE"""),"CA")</f>
        <v>CA</v>
      </c>
      <c r="R2109" s="8" t="str">
        <f ca="1">IFERROR(__xludf.DUMMYFUNCTION("""COMPUTED_VALUE"""),"High")</f>
        <v>High</v>
      </c>
      <c r="S2109" s="8" t="str">
        <f ca="1">IFERROR(__xludf.DUMMYFUNCTION("""COMPUTED_VALUE"""),"Field (General)")</f>
        <v>Field (General)</v>
      </c>
      <c r="T2109" s="8" t="str">
        <f ca="1">IFERROR(__xludf.DUMMYFUNCTION("""COMPUTED_VALUE"""),"Outside on School Property")</f>
        <v>Outside on School Property</v>
      </c>
      <c r="U2109" s="8" t="str">
        <f ca="1">IFERROR(__xludf.DUMMYFUNCTION("""COMPUTED_VALUE"""),"No")</f>
        <v>No</v>
      </c>
      <c r="V2109" s="8" t="str">
        <f ca="1">IFERROR(__xludf.DUMMYFUNCTION("""COMPUTED_VALUE"""),"Sport Event")</f>
        <v>Sport Event</v>
      </c>
      <c r="W2109" s="11">
        <f ca="1">IFERROR(__xludf.DUMMYFUNCTION("""COMPUTED_VALUE"""),0.809722222222222)</f>
        <v>0.80972222222222201</v>
      </c>
      <c r="X2109" s="8">
        <f ca="1">IFERROR(__xludf.DUMMYFUNCTION("""COMPUTED_VALUE"""),1)</f>
        <v>1</v>
      </c>
      <c r="Y2109" s="12" t="str">
        <f ca="1">IFERROR(__xludf.DUMMYFUNCTION("""COMPUTED_VALUE"""),"Shooting at rival gang members, hit two children in crowd")</f>
        <v>Shooting at rival gang members, hit two children in crowd</v>
      </c>
      <c r="Z2109" s="12" t="str">
        <f ca="1">IFERROR(__xludf.DUMMYFUNCTION("""COMPUTED_VALUE"""),"After soccer game, 17YOM gang member fired 7 shots at the crowd targeting members of a rival gang and then fled. The shots hit two children. Shooter fled.")</f>
        <v>After soccer game, 17YOM gang member fired 7 shots at the crowd targeting members of a rival gang and then fled. The shots hit two children. Shooter fled.</v>
      </c>
      <c r="AA2109" s="8" t="str">
        <f ca="1">IFERROR(__xludf.DUMMYFUNCTION("""COMPUTED_VALUE"""),"Escalation of Dispute")</f>
        <v>Escalation of Dispute</v>
      </c>
      <c r="AB2109" s="8"/>
      <c r="AC2109" s="8" t="str">
        <f ca="1">IFERROR(__xludf.DUMMYFUNCTION("""COMPUTED_VALUE"""),"Yes")</f>
        <v>Yes</v>
      </c>
      <c r="AD2109" s="8" t="str">
        <f ca="1">IFERROR(__xludf.DUMMYFUNCTION("""COMPUTED_VALUE"""),"Both")</f>
        <v>Both</v>
      </c>
      <c r="AE2109" s="8" t="str">
        <f ca="1">IFERROR(__xludf.DUMMYFUNCTION("""COMPUTED_VALUE"""),"No")</f>
        <v>No</v>
      </c>
      <c r="AF2109" s="8"/>
      <c r="AG2109" s="8" t="str">
        <f ca="1">IFERROR(__xludf.DUMMYFUNCTION("""COMPUTED_VALUE"""),"No")</f>
        <v>No</v>
      </c>
      <c r="AH2109" s="8" t="str">
        <f ca="1">IFERROR(__xludf.DUMMYFUNCTION("""COMPUTED_VALUE"""),"No")</f>
        <v>No</v>
      </c>
      <c r="AI2109" s="8" t="str">
        <f ca="1">IFERROR(__xludf.DUMMYFUNCTION("""COMPUTED_VALUE"""),"No")</f>
        <v>No</v>
      </c>
      <c r="AJ2109" s="8" t="str">
        <f ca="1">IFERROR(__xludf.DUMMYFUNCTION("""COMPUTED_VALUE"""),"No")</f>
        <v>No</v>
      </c>
      <c r="AK2109" s="8" t="str">
        <f ca="1">IFERROR(__xludf.DUMMYFUNCTION("""COMPUTED_VALUE"""),"No")</f>
        <v>No</v>
      </c>
      <c r="AL2109" s="8" t="str">
        <f ca="1">IFERROR(__xludf.DUMMYFUNCTION("""COMPUTED_VALUE"""),"Yes")</f>
        <v>Yes</v>
      </c>
      <c r="AM2109" s="8"/>
      <c r="AN2109" s="8"/>
      <c r="AO2109" s="8" t="str">
        <f ca="1">IFERROR(__xludf.DUMMYFUNCTION("""COMPUTED_VALUE"""),"No")</f>
        <v>No</v>
      </c>
      <c r="AP2109" s="8"/>
      <c r="AQ2109" s="8" t="str">
        <f ca="1">IFERROR(__xludf.DUMMYFUNCTION("""COMPUTED_VALUE"""),"Unknown")</f>
        <v>Unknown</v>
      </c>
      <c r="AR2109" s="8" t="str">
        <f ca="1">IFERROR(__xludf.DUMMYFUNCTION("""COMPUTED_VALUE"""),"NA")</f>
        <v>NA</v>
      </c>
      <c r="AS2109" s="8">
        <f ca="1">IFERROR(__xludf.DUMMYFUNCTION("""COMPUTED_VALUE"""),7)</f>
        <v>7</v>
      </c>
      <c r="AT2109" s="8"/>
      <c r="AU2109" s="8">
        <f ca="1">IFERROR(__xludf.DUMMYFUNCTION("""COMPUTED_VALUE"""),36.209086)</f>
        <v>36.209085999999999</v>
      </c>
      <c r="AV2109" s="8">
        <f ca="1">IFERROR(__xludf.DUMMYFUNCTION("""COMPUTED_VALUE"""),-121.134395)</f>
        <v>-121.134395</v>
      </c>
      <c r="AW2109" s="8"/>
      <c r="AX2109" s="8">
        <f ca="1">IFERROR(__xludf.DUMMYFUNCTION("""COMPUTED_VALUE"""),93930)</f>
        <v>93930</v>
      </c>
    </row>
    <row r="2110" spans="1:50" ht="75" x14ac:dyDescent="0.2">
      <c r="A2110" s="8" t="str">
        <f ca="1">IFERROR(__xludf.DUMMYFUNCTION("""COMPUTED_VALUE"""),"20081130CAOAG")</f>
        <v>20081130CAOAG</v>
      </c>
      <c r="B2110" s="8">
        <f ca="1">IFERROR(__xludf.DUMMYFUNCTION("""COMPUTED_VALUE"""),11)</f>
        <v>11</v>
      </c>
      <c r="C2110" s="8">
        <f ca="1">IFERROR(__xludf.DUMMYFUNCTION("""COMPUTED_VALUE"""),30)</f>
        <v>30</v>
      </c>
      <c r="D2110" s="8">
        <f ca="1">IFERROR(__xludf.DUMMYFUNCTION("""COMPUTED_VALUE"""),2008)</f>
        <v>2008</v>
      </c>
      <c r="E2110" s="9">
        <f ca="1">IFERROR(__xludf.DUMMYFUNCTION("""COMPUTED_VALUE"""),39782)</f>
        <v>39782</v>
      </c>
      <c r="F2110" s="8" t="str">
        <f ca="1">IFERROR(__xludf.DUMMYFUNCTION("""COMPUTED_VALUE"""),"O A Peters Elementary School")</f>
        <v>O A Peters Elementary School</v>
      </c>
      <c r="G2110" s="8">
        <f ca="1">IFERROR(__xludf.DUMMYFUNCTION("""COMPUTED_VALUE"""),0)</f>
        <v>0</v>
      </c>
      <c r="H2110" s="8">
        <f ca="1">IFERROR(__xludf.DUMMYFUNCTION("""COMPUTED_VALUE"""),1)</f>
        <v>1</v>
      </c>
      <c r="I2110" s="8">
        <f ca="1">IFERROR(__xludf.DUMMYFUNCTION("""COMPUTED_VALUE"""),1)</f>
        <v>1</v>
      </c>
      <c r="J2110" s="8">
        <f ca="1">IFERROR(__xludf.DUMMYFUNCTION("""COMPUTED_VALUE"""),0)</f>
        <v>0</v>
      </c>
      <c r="K2110" s="10" t="str">
        <f ca="1">IFERROR(__xludf.DUMMYFUNCTION("""COMPUTED_VALUE"""),"https://www.columbine-angels.com/School_Violence_2008-2009.htm")</f>
        <v>https://www.columbine-angels.com/School_Violence_2008-2009.htm</v>
      </c>
      <c r="L2110" s="8"/>
      <c r="M2110" s="8"/>
      <c r="N2110" s="8">
        <f ca="1">IFERROR(__xludf.DUMMYFUNCTION("""COMPUTED_VALUE"""),1)</f>
        <v>1</v>
      </c>
      <c r="O2110" s="8" t="str">
        <f ca="1">IFERROR(__xludf.DUMMYFUNCTION("""COMPUTED_VALUE"""),"Fall")</f>
        <v>Fall</v>
      </c>
      <c r="P2110" s="8" t="str">
        <f ca="1">IFERROR(__xludf.DUMMYFUNCTION("""COMPUTED_VALUE"""),"Garden Grove")</f>
        <v>Garden Grove</v>
      </c>
      <c r="Q2110" s="8" t="str">
        <f ca="1">IFERROR(__xludf.DUMMYFUNCTION("""COMPUTED_VALUE"""),"CA")</f>
        <v>CA</v>
      </c>
      <c r="R2110" s="8" t="str">
        <f ca="1">IFERROR(__xludf.DUMMYFUNCTION("""COMPUTED_VALUE"""),"Elementary")</f>
        <v>Elementary</v>
      </c>
      <c r="S2110" s="8" t="str">
        <f ca="1">IFERROR(__xludf.DUMMYFUNCTION("""COMPUTED_VALUE"""),"Basketball Court")</f>
        <v>Basketball Court</v>
      </c>
      <c r="T2110" s="8" t="str">
        <f ca="1">IFERROR(__xludf.DUMMYFUNCTION("""COMPUTED_VALUE"""),"Outside on School Property")</f>
        <v>Outside on School Property</v>
      </c>
      <c r="U2110" s="8" t="str">
        <f ca="1">IFERROR(__xludf.DUMMYFUNCTION("""COMPUTED_VALUE"""),"No")</f>
        <v>No</v>
      </c>
      <c r="V2110" s="8" t="str">
        <f ca="1">IFERROR(__xludf.DUMMYFUNCTION("""COMPUTED_VALUE"""),"Not a School Day")</f>
        <v>Not a School Day</v>
      </c>
      <c r="W2110" s="11">
        <f ca="1">IFERROR(__xludf.DUMMYFUNCTION("""COMPUTED_VALUE"""),0.666666666666666)</f>
        <v>0.66666666666666596</v>
      </c>
      <c r="X2110" s="8">
        <f ca="1">IFERROR(__xludf.DUMMYFUNCTION("""COMPUTED_VALUE"""),1)</f>
        <v>1</v>
      </c>
      <c r="Y2110" s="12" t="str">
        <f ca="1">IFERROR(__xludf.DUMMYFUNCTION("""COMPUTED_VALUE"""),"Three gang members shot at by other gang members outside of school")</f>
        <v>Three gang members shot at by other gang members outside of school</v>
      </c>
      <c r="Z2110" s="12" t="str">
        <f ca="1">IFERROR(__xludf.DUMMYFUNCTION("""COMPUTED_VALUE"""),"3 gang members shot at by 3 other gang members on athletic courts at school. One injured. Shooter fled.")</f>
        <v>3 gang members shot at by 3 other gang members on athletic courts at school. One injured. Shooter fled.</v>
      </c>
      <c r="AA2110" s="8" t="str">
        <f ca="1">IFERROR(__xludf.DUMMYFUNCTION("""COMPUTED_VALUE"""),"Escalation of Dispute")</f>
        <v>Escalation of Dispute</v>
      </c>
      <c r="AB2110" s="8"/>
      <c r="AC2110" s="8" t="str">
        <f ca="1">IFERROR(__xludf.DUMMYFUNCTION("""COMPUTED_VALUE"""),"No")</f>
        <v>No</v>
      </c>
      <c r="AD2110" s="8" t="str">
        <f ca="1">IFERROR(__xludf.DUMMYFUNCTION("""COMPUTED_VALUE"""),"Victims Targeted")</f>
        <v>Victims Targeted</v>
      </c>
      <c r="AE2110" s="8" t="str">
        <f ca="1">IFERROR(__xludf.DUMMYFUNCTION("""COMPUTED_VALUE"""),"Yes")</f>
        <v>Yes</v>
      </c>
      <c r="AF2110" s="8" t="str">
        <f ca="1">IFERROR(__xludf.DUMMYFUNCTION("""COMPUTED_VALUE"""),"3 gang members")</f>
        <v>3 gang members</v>
      </c>
      <c r="AG2110" s="8" t="str">
        <f ca="1">IFERROR(__xludf.DUMMYFUNCTION("""COMPUTED_VALUE"""),"No")</f>
        <v>No</v>
      </c>
      <c r="AH2110" s="8" t="str">
        <f ca="1">IFERROR(__xludf.DUMMYFUNCTION("""COMPUTED_VALUE"""),"No")</f>
        <v>No</v>
      </c>
      <c r="AI2110" s="8" t="str">
        <f ca="1">IFERROR(__xludf.DUMMYFUNCTION("""COMPUTED_VALUE"""),"No")</f>
        <v>No</v>
      </c>
      <c r="AJ2110" s="8" t="str">
        <f ca="1">IFERROR(__xludf.DUMMYFUNCTION("""COMPUTED_VALUE"""),"No")</f>
        <v>No</v>
      </c>
      <c r="AK2110" s="8" t="str">
        <f ca="1">IFERROR(__xludf.DUMMYFUNCTION("""COMPUTED_VALUE"""),"No")</f>
        <v>No</v>
      </c>
      <c r="AL2110" s="8" t="str">
        <f ca="1">IFERROR(__xludf.DUMMYFUNCTION("""COMPUTED_VALUE"""),"Yes")</f>
        <v>Yes</v>
      </c>
      <c r="AM2110" s="8"/>
      <c r="AN2110" s="8"/>
      <c r="AO2110" s="8" t="str">
        <f ca="1">IFERROR(__xludf.DUMMYFUNCTION("""COMPUTED_VALUE"""),"No")</f>
        <v>No</v>
      </c>
      <c r="AP2110" s="8"/>
      <c r="AQ2110" s="8" t="str">
        <f ca="1">IFERROR(__xludf.DUMMYFUNCTION("""COMPUTED_VALUE"""),"Unknown")</f>
        <v>Unknown</v>
      </c>
      <c r="AR2110" s="8" t="str">
        <f ca="1">IFERROR(__xludf.DUMMYFUNCTION("""COMPUTED_VALUE"""),"NA")</f>
        <v>NA</v>
      </c>
      <c r="AS2110" s="8" t="str">
        <f ca="1">IFERROR(__xludf.DUMMYFUNCTION("""COMPUTED_VALUE"""),"&lt;10")</f>
        <v>&lt;10</v>
      </c>
      <c r="AT2110" s="8"/>
      <c r="AU2110" s="8">
        <f ca="1">IFERROR(__xludf.DUMMYFUNCTION("""COMPUTED_VALUE"""),33.771276)</f>
        <v>33.771276</v>
      </c>
      <c r="AV2110" s="8">
        <f ca="1">IFERROR(__xludf.DUMMYFUNCTION("""COMPUTED_VALUE"""),-117.927382)</f>
        <v>-117.92738199999999</v>
      </c>
      <c r="AW2110" s="8"/>
      <c r="AX2110" s="8">
        <f ca="1">IFERROR(__xludf.DUMMYFUNCTION("""COMPUTED_VALUE"""),92843)</f>
        <v>92843</v>
      </c>
    </row>
    <row r="2111" spans="1:50" ht="30" x14ac:dyDescent="0.2">
      <c r="A2111" s="8" t="str">
        <f ca="1">IFERROR(__xludf.DUMMYFUNCTION("""COMPUTED_VALUE"""),"20081125TXNOH")</f>
        <v>20081125TXNOH</v>
      </c>
      <c r="B2111" s="8">
        <f ca="1">IFERROR(__xludf.DUMMYFUNCTION("""COMPUTED_VALUE"""),11)</f>
        <v>11</v>
      </c>
      <c r="C2111" s="8">
        <f ca="1">IFERROR(__xludf.DUMMYFUNCTION("""COMPUTED_VALUE"""),25)</f>
        <v>25</v>
      </c>
      <c r="D2111" s="8">
        <f ca="1">IFERROR(__xludf.DUMMYFUNCTION("""COMPUTED_VALUE"""),2008)</f>
        <v>2008</v>
      </c>
      <c r="E2111" s="9">
        <f ca="1">IFERROR(__xludf.DUMMYFUNCTION("""COMPUTED_VALUE"""),39777)</f>
        <v>39777</v>
      </c>
      <c r="F2111" s="8" t="str">
        <f ca="1">IFERROR(__xludf.DUMMYFUNCTION("""COMPUTED_VALUE"""),"North Forest High School")</f>
        <v>North Forest High School</v>
      </c>
      <c r="G2111" s="8">
        <f ca="1">IFERROR(__xludf.DUMMYFUNCTION("""COMPUTED_VALUE"""),0)</f>
        <v>0</v>
      </c>
      <c r="H2111" s="8">
        <f ca="1">IFERROR(__xludf.DUMMYFUNCTION("""COMPUTED_VALUE"""),1)</f>
        <v>1</v>
      </c>
      <c r="I2111" s="8">
        <f ca="1">IFERROR(__xludf.DUMMYFUNCTION("""COMPUTED_VALUE"""),1)</f>
        <v>1</v>
      </c>
      <c r="J2111" s="8">
        <f ca="1">IFERROR(__xludf.DUMMYFUNCTION("""COMPUTED_VALUE"""),0)</f>
        <v>0</v>
      </c>
      <c r="K2111" s="10" t="str">
        <f ca="1">IFERROR(__xludf.DUMMYFUNCTION("""COMPUTED_VALUE"""),"https://www.columbine-angels.com/School_Violence_2008-2009.htm")</f>
        <v>https://www.columbine-angels.com/School_Violence_2008-2009.htm</v>
      </c>
      <c r="L2111" s="8"/>
      <c r="M2111" s="8"/>
      <c r="N2111" s="8">
        <f ca="1">IFERROR(__xludf.DUMMYFUNCTION("""COMPUTED_VALUE"""),1)</f>
        <v>1</v>
      </c>
      <c r="O2111" s="8" t="str">
        <f ca="1">IFERROR(__xludf.DUMMYFUNCTION("""COMPUTED_VALUE"""),"Fall")</f>
        <v>Fall</v>
      </c>
      <c r="P2111" s="8" t="str">
        <f ca="1">IFERROR(__xludf.DUMMYFUNCTION("""COMPUTED_VALUE"""),"Houston")</f>
        <v>Houston</v>
      </c>
      <c r="Q2111" s="8" t="str">
        <f ca="1">IFERROR(__xludf.DUMMYFUNCTION("""COMPUTED_VALUE"""),"TX")</f>
        <v>TX</v>
      </c>
      <c r="R2111" s="8" t="str">
        <f ca="1">IFERROR(__xludf.DUMMYFUNCTION("""COMPUTED_VALUE"""),"High")</f>
        <v>High</v>
      </c>
      <c r="S2111" s="8" t="str">
        <f ca="1">IFERROR(__xludf.DUMMYFUNCTION("""COMPUTED_VALUE"""),"Beside Building")</f>
        <v>Beside Building</v>
      </c>
      <c r="T2111" s="8" t="str">
        <f ca="1">IFERROR(__xludf.DUMMYFUNCTION("""COMPUTED_VALUE"""),"Outside on School Property")</f>
        <v>Outside on School Property</v>
      </c>
      <c r="U2111" s="8" t="str">
        <f ca="1">IFERROR(__xludf.DUMMYFUNCTION("""COMPUTED_VALUE"""),"No")</f>
        <v>No</v>
      </c>
      <c r="V2111" s="8" t="str">
        <f ca="1">IFERROR(__xludf.DUMMYFUNCTION("""COMPUTED_VALUE"""),"School Event")</f>
        <v>School Event</v>
      </c>
      <c r="W2111" s="11">
        <f ca="1">IFERROR(__xludf.DUMMYFUNCTION("""COMPUTED_VALUE"""),0.90625)</f>
        <v>0.90625</v>
      </c>
      <c r="X2111" s="8">
        <f ca="1">IFERROR(__xludf.DUMMYFUNCTION("""COMPUTED_VALUE"""),1)</f>
        <v>1</v>
      </c>
      <c r="Y2111" s="12" t="str">
        <f ca="1">IFERROR(__xludf.DUMMYFUNCTION("""COMPUTED_VALUE"""),"Shot at crowd after school function")</f>
        <v>Shot at crowd after school function</v>
      </c>
      <c r="Z2111" s="12" t="str">
        <f ca="1">IFERROR(__xludf.DUMMYFUNCTION("""COMPUTED_VALUE"""),"18YOM fired at crowd leaving school function. 1 injured. Shooter fled in vehicle.")</f>
        <v>18YOM fired at crowd leaving school function. 1 injured. Shooter fled in vehicle.</v>
      </c>
      <c r="AA2111" s="8" t="str">
        <f ca="1">IFERROR(__xludf.DUMMYFUNCTION("""COMPUTED_VALUE"""),"Escalation of Dispute")</f>
        <v>Escalation of Dispute</v>
      </c>
      <c r="AB2111" s="8"/>
      <c r="AC2111" s="8" t="str">
        <f ca="1">IFERROR(__xludf.DUMMYFUNCTION("""COMPUTED_VALUE"""),"Yes")</f>
        <v>Yes</v>
      </c>
      <c r="AD2111" s="8"/>
      <c r="AE2111" s="8"/>
      <c r="AF2111" s="8" t="str">
        <f ca="1">IFERROR(__xludf.DUMMYFUNCTION("""COMPUTED_VALUE"""),"Fled in vehicle")</f>
        <v>Fled in vehicle</v>
      </c>
      <c r="AG2111" s="8" t="str">
        <f ca="1">IFERROR(__xludf.DUMMYFUNCTION("""COMPUTED_VALUE"""),"No")</f>
        <v>No</v>
      </c>
      <c r="AH2111" s="8" t="str">
        <f ca="1">IFERROR(__xludf.DUMMYFUNCTION("""COMPUTED_VALUE"""),"No")</f>
        <v>No</v>
      </c>
      <c r="AI2111" s="8" t="str">
        <f ca="1">IFERROR(__xludf.DUMMYFUNCTION("""COMPUTED_VALUE"""),"No")</f>
        <v>No</v>
      </c>
      <c r="AJ2111" s="8" t="str">
        <f ca="1">IFERROR(__xludf.DUMMYFUNCTION("""COMPUTED_VALUE"""),"No")</f>
        <v>No</v>
      </c>
      <c r="AK2111" s="8" t="str">
        <f ca="1">IFERROR(__xludf.DUMMYFUNCTION("""COMPUTED_VALUE"""),"No")</f>
        <v>No</v>
      </c>
      <c r="AL2111" s="8" t="str">
        <f ca="1">IFERROR(__xludf.DUMMYFUNCTION("""COMPUTED_VALUE"""),"No")</f>
        <v>No</v>
      </c>
      <c r="AM2111" s="8"/>
      <c r="AN2111" s="8"/>
      <c r="AO2111" s="8" t="str">
        <f ca="1">IFERROR(__xludf.DUMMYFUNCTION("""COMPUTED_VALUE"""),"No")</f>
        <v>No</v>
      </c>
      <c r="AP2111" s="8"/>
      <c r="AQ2111" s="8" t="str">
        <f ca="1">IFERROR(__xludf.DUMMYFUNCTION("""COMPUTED_VALUE"""),"Unknown")</f>
        <v>Unknown</v>
      </c>
      <c r="AR2111" s="8" t="str">
        <f ca="1">IFERROR(__xludf.DUMMYFUNCTION("""COMPUTED_VALUE"""),"NA")</f>
        <v>NA</v>
      </c>
      <c r="AS2111" s="8" t="str">
        <f ca="1">IFERROR(__xludf.DUMMYFUNCTION("""COMPUTED_VALUE"""),"&lt;10")</f>
        <v>&lt;10</v>
      </c>
      <c r="AT2111" s="8"/>
      <c r="AU2111" s="8">
        <f ca="1">IFERROR(__xludf.DUMMYFUNCTION("""COMPUTED_VALUE"""),29.868894)</f>
        <v>29.868894000000001</v>
      </c>
      <c r="AV2111" s="8">
        <f ca="1">IFERROR(__xludf.DUMMYFUNCTION("""COMPUTED_VALUE"""),-95.264045)</f>
        <v>-95.264044999999996</v>
      </c>
      <c r="AW2111" s="8"/>
      <c r="AX2111" s="8">
        <f ca="1">IFERROR(__xludf.DUMMYFUNCTION("""COMPUTED_VALUE"""),77078)</f>
        <v>77078</v>
      </c>
    </row>
    <row r="2112" spans="1:50" ht="45" x14ac:dyDescent="0.2">
      <c r="A2112" s="8" t="str">
        <f ca="1">IFERROR(__xludf.DUMMYFUNCTION("""COMPUTED_VALUE"""),"20081118CACOO")</f>
        <v>20081118CACOO</v>
      </c>
      <c r="B2112" s="8">
        <f ca="1">IFERROR(__xludf.DUMMYFUNCTION("""COMPUTED_VALUE"""),11)</f>
        <v>11</v>
      </c>
      <c r="C2112" s="8">
        <f ca="1">IFERROR(__xludf.DUMMYFUNCTION("""COMPUTED_VALUE"""),18)</f>
        <v>18</v>
      </c>
      <c r="D2112" s="8">
        <f ca="1">IFERROR(__xludf.DUMMYFUNCTION("""COMPUTED_VALUE"""),2008)</f>
        <v>2008</v>
      </c>
      <c r="E2112" s="9">
        <f ca="1">IFERROR(__xludf.DUMMYFUNCTION("""COMPUTED_VALUE"""),39770)</f>
        <v>39770</v>
      </c>
      <c r="F2112" s="8" t="str">
        <f ca="1">IFERROR(__xludf.DUMMYFUNCTION("""COMPUTED_VALUE"""),"Cole Middle School")</f>
        <v>Cole Middle School</v>
      </c>
      <c r="G2112" s="8">
        <f ca="1">IFERROR(__xludf.DUMMYFUNCTION("""COMPUTED_VALUE"""),0)</f>
        <v>0</v>
      </c>
      <c r="H2112" s="8">
        <f ca="1">IFERROR(__xludf.DUMMYFUNCTION("""COMPUTED_VALUE"""),0)</f>
        <v>0</v>
      </c>
      <c r="I2112" s="8">
        <f ca="1">IFERROR(__xludf.DUMMYFUNCTION("""COMPUTED_VALUE"""),0)</f>
        <v>0</v>
      </c>
      <c r="J2112" s="8">
        <f ca="1">IFERROR(__xludf.DUMMYFUNCTION("""COMPUTED_VALUE"""),0)</f>
        <v>0</v>
      </c>
      <c r="K2112" s="10" t="str">
        <f ca="1">IFERROR(__xludf.DUMMYFUNCTION("""COMPUTED_VALUE"""),"https://www.eastbaytimes.com/2008/11/24/oaklands-cole-middle-school-to-use-metal-detectors-after-recent-gun-scare/")</f>
        <v>https://www.eastbaytimes.com/2008/11/24/oaklands-cole-middle-school-to-use-metal-detectors-after-recent-gun-scare/</v>
      </c>
      <c r="L2112" s="8"/>
      <c r="M2112" s="8"/>
      <c r="N2112" s="8">
        <f ca="1">IFERROR(__xludf.DUMMYFUNCTION("""COMPUTED_VALUE"""),2)</f>
        <v>2</v>
      </c>
      <c r="O2112" s="8" t="str">
        <f ca="1">IFERROR(__xludf.DUMMYFUNCTION("""COMPUTED_VALUE"""),"Fall")</f>
        <v>Fall</v>
      </c>
      <c r="P2112" s="8" t="str">
        <f ca="1">IFERROR(__xludf.DUMMYFUNCTION("""COMPUTED_VALUE"""),"Oakland")</f>
        <v>Oakland</v>
      </c>
      <c r="Q2112" s="8" t="str">
        <f ca="1">IFERROR(__xludf.DUMMYFUNCTION("""COMPUTED_VALUE"""),"CA")</f>
        <v>CA</v>
      </c>
      <c r="R2112" s="8" t="str">
        <f ca="1">IFERROR(__xludf.DUMMYFUNCTION("""COMPUTED_VALUE"""),"Middle")</f>
        <v>Middle</v>
      </c>
      <c r="S2112" s="8" t="str">
        <f ca="1">IFERROR(__xludf.DUMMYFUNCTION("""COMPUTED_VALUE"""),"Classroom")</f>
        <v>Classroom</v>
      </c>
      <c r="T2112" s="8" t="str">
        <f ca="1">IFERROR(__xludf.DUMMYFUNCTION("""COMPUTED_VALUE"""),"Inside School Building")</f>
        <v>Inside School Building</v>
      </c>
      <c r="U2112" s="8" t="str">
        <f ca="1">IFERROR(__xludf.DUMMYFUNCTION("""COMPUTED_VALUE"""),"Yes")</f>
        <v>Yes</v>
      </c>
      <c r="V2112" s="8" t="str">
        <f ca="1">IFERROR(__xludf.DUMMYFUNCTION("""COMPUTED_VALUE"""),"Morning Classes")</f>
        <v>Morning Classes</v>
      </c>
      <c r="W2112" s="11">
        <f ca="1">IFERROR(__xludf.DUMMYFUNCTION("""COMPUTED_VALUE"""),0.354166666666666)</f>
        <v>0.35416666666666602</v>
      </c>
      <c r="X2112" s="8">
        <f ca="1">IFERROR(__xludf.DUMMYFUNCTION("""COMPUTED_VALUE"""),1)</f>
        <v>1</v>
      </c>
      <c r="Y2112" s="12" t="str">
        <f ca="1">IFERROR(__xludf.DUMMYFUNCTION("""COMPUTED_VALUE"""),"Shot fired in classroom struck wall")</f>
        <v>Shot fired in classroom struck wall</v>
      </c>
      <c r="Z2112" s="12" t="str">
        <f ca="1">IFERROR(__xludf.DUMMYFUNCTION("""COMPUTED_VALUE"""),"Shot was fired in classroom striking the wall. No injuries. 13YOM student arrested.")</f>
        <v>Shot was fired in classroom striking the wall. No injuries. 13YOM student arrested.</v>
      </c>
      <c r="AA2112" s="8" t="str">
        <f ca="1">IFERROR(__xludf.DUMMYFUNCTION("""COMPUTED_VALUE"""),"Accidental")</f>
        <v>Accidental</v>
      </c>
      <c r="AB2112" s="8"/>
      <c r="AC2112" s="8" t="str">
        <f ca="1">IFERROR(__xludf.DUMMYFUNCTION("""COMPUTED_VALUE"""),"Yes")</f>
        <v>Yes</v>
      </c>
      <c r="AD2112" s="8"/>
      <c r="AE2112" s="8" t="str">
        <f ca="1">IFERROR(__xludf.DUMMYFUNCTION("""COMPUTED_VALUE"""),"No")</f>
        <v>No</v>
      </c>
      <c r="AF2112" s="8"/>
      <c r="AG2112" s="8" t="str">
        <f ca="1">IFERROR(__xludf.DUMMYFUNCTION("""COMPUTED_VALUE"""),"No")</f>
        <v>No</v>
      </c>
      <c r="AH2112" s="8" t="str">
        <f ca="1">IFERROR(__xludf.DUMMYFUNCTION("""COMPUTED_VALUE"""),"No")</f>
        <v>No</v>
      </c>
      <c r="AI2112" s="8" t="str">
        <f ca="1">IFERROR(__xludf.DUMMYFUNCTION("""COMPUTED_VALUE"""),"No")</f>
        <v>No</v>
      </c>
      <c r="AJ2112" s="8" t="str">
        <f ca="1">IFERROR(__xludf.DUMMYFUNCTION("""COMPUTED_VALUE"""),"No")</f>
        <v>No</v>
      </c>
      <c r="AK2112" s="8" t="str">
        <f ca="1">IFERROR(__xludf.DUMMYFUNCTION("""COMPUTED_VALUE"""),"No")</f>
        <v>No</v>
      </c>
      <c r="AL2112" s="8" t="str">
        <f ca="1">IFERROR(__xludf.DUMMYFUNCTION("""COMPUTED_VALUE"""),"No")</f>
        <v>No</v>
      </c>
      <c r="AM2112" s="8"/>
      <c r="AN2112" s="8"/>
      <c r="AO2112" s="8" t="str">
        <f ca="1">IFERROR(__xludf.DUMMYFUNCTION("""COMPUTED_VALUE"""),"No")</f>
        <v>No</v>
      </c>
      <c r="AP2112" s="8"/>
      <c r="AQ2112" s="8" t="str">
        <f ca="1">IFERROR(__xludf.DUMMYFUNCTION("""COMPUTED_VALUE"""),"Unknown")</f>
        <v>Unknown</v>
      </c>
      <c r="AR2112" s="8" t="str">
        <f ca="1">IFERROR(__xludf.DUMMYFUNCTION("""COMPUTED_VALUE"""),"NA")</f>
        <v>NA</v>
      </c>
      <c r="AS2112" s="8">
        <f ca="1">IFERROR(__xludf.DUMMYFUNCTION("""COMPUTED_VALUE"""),1)</f>
        <v>1</v>
      </c>
      <c r="AT2112" s="8"/>
      <c r="AU2112" s="8">
        <f ca="1">IFERROR(__xludf.DUMMYFUNCTION("""COMPUTED_VALUE"""),37.80749)</f>
        <v>37.807490000000001</v>
      </c>
      <c r="AV2112" s="8">
        <f ca="1">IFERROR(__xludf.DUMMYFUNCTION("""COMPUTED_VALUE"""),-122.290011)</f>
        <v>-122.29001100000001</v>
      </c>
      <c r="AW2112" s="8"/>
      <c r="AX2112" s="8">
        <f ca="1">IFERROR(__xludf.DUMMYFUNCTION("""COMPUTED_VALUE"""),94607)</f>
        <v>94607</v>
      </c>
    </row>
    <row r="2113" spans="1:50" ht="30" x14ac:dyDescent="0.2">
      <c r="A2113" s="8" t="str">
        <f ca="1">IFERROR(__xludf.DUMMYFUNCTION("""COMPUTED_VALUE"""),"20081118CACEC")</f>
        <v>20081118CACEC</v>
      </c>
      <c r="B2113" s="8">
        <f ca="1">IFERROR(__xludf.DUMMYFUNCTION("""COMPUTED_VALUE"""),11)</f>
        <v>11</v>
      </c>
      <c r="C2113" s="8">
        <f ca="1">IFERROR(__xludf.DUMMYFUNCTION("""COMPUTED_VALUE"""),18)</f>
        <v>18</v>
      </c>
      <c r="D2113" s="8">
        <f ca="1">IFERROR(__xludf.DUMMYFUNCTION("""COMPUTED_VALUE"""),2008)</f>
        <v>2008</v>
      </c>
      <c r="E2113" s="9">
        <f ca="1">IFERROR(__xludf.DUMMYFUNCTION("""COMPUTED_VALUE"""),39770)</f>
        <v>39770</v>
      </c>
      <c r="F2113" s="8" t="str">
        <f ca="1">IFERROR(__xludf.DUMMYFUNCTION("""COMPUTED_VALUE"""),"Central Valley High School")</f>
        <v>Central Valley High School</v>
      </c>
      <c r="G2113" s="8">
        <f ca="1">IFERROR(__xludf.DUMMYFUNCTION("""COMPUTED_VALUE"""),0)</f>
        <v>0</v>
      </c>
      <c r="H2113" s="8">
        <f ca="1">IFERROR(__xludf.DUMMYFUNCTION("""COMPUTED_VALUE"""),1)</f>
        <v>1</v>
      </c>
      <c r="I2113" s="8">
        <f ca="1">IFERROR(__xludf.DUMMYFUNCTION("""COMPUTED_VALUE"""),1)</f>
        <v>1</v>
      </c>
      <c r="J2113" s="8">
        <f ca="1">IFERROR(__xludf.DUMMYFUNCTION("""COMPUTED_VALUE"""),0)</f>
        <v>0</v>
      </c>
      <c r="K2113" s="10" t="str">
        <f ca="1">IFERROR(__xludf.DUMMYFUNCTION("""COMPUTED_VALUE"""),"https://www.modbee.com/latest-news/article3115798.html")</f>
        <v>https://www.modbee.com/latest-news/article3115798.html</v>
      </c>
      <c r="L2113" s="8"/>
      <c r="M2113" s="8"/>
      <c r="N2113" s="8">
        <f ca="1">IFERROR(__xludf.DUMMYFUNCTION("""COMPUTED_VALUE"""),2)</f>
        <v>2</v>
      </c>
      <c r="O2113" s="8" t="str">
        <f ca="1">IFERROR(__xludf.DUMMYFUNCTION("""COMPUTED_VALUE"""),"Fall")</f>
        <v>Fall</v>
      </c>
      <c r="P2113" s="8" t="str">
        <f ca="1">IFERROR(__xludf.DUMMYFUNCTION("""COMPUTED_VALUE"""),"Ceres")</f>
        <v>Ceres</v>
      </c>
      <c r="Q2113" s="8" t="str">
        <f ca="1">IFERROR(__xludf.DUMMYFUNCTION("""COMPUTED_VALUE"""),"CA")</f>
        <v>CA</v>
      </c>
      <c r="R2113" s="8" t="str">
        <f ca="1">IFERROR(__xludf.DUMMYFUNCTION("""COMPUTED_VALUE"""),"High")</f>
        <v>High</v>
      </c>
      <c r="S2113" s="8" t="str">
        <f ca="1">IFERROR(__xludf.DUMMYFUNCTION("""COMPUTED_VALUE"""),"Front of School")</f>
        <v>Front of School</v>
      </c>
      <c r="T2113" s="8" t="str">
        <f ca="1">IFERROR(__xludf.DUMMYFUNCTION("""COMPUTED_VALUE"""),"Outside on School Property")</f>
        <v>Outside on School Property</v>
      </c>
      <c r="U2113" s="8" t="str">
        <f ca="1">IFERROR(__xludf.DUMMYFUNCTION("""COMPUTED_VALUE"""),"Yes")</f>
        <v>Yes</v>
      </c>
      <c r="V2113" s="8" t="str">
        <f ca="1">IFERROR(__xludf.DUMMYFUNCTION("""COMPUTED_VALUE"""),"Evening")</f>
        <v>Evening</v>
      </c>
      <c r="W2113" s="11">
        <f ca="1">IFERROR(__xludf.DUMMYFUNCTION("""COMPUTED_VALUE"""),0.875)</f>
        <v>0.875</v>
      </c>
      <c r="X2113" s="8">
        <f ca="1">IFERROR(__xludf.DUMMYFUNCTION("""COMPUTED_VALUE"""),1)</f>
        <v>1</v>
      </c>
      <c r="Y2113" s="12" t="str">
        <f ca="1">IFERROR(__xludf.DUMMYFUNCTION("""COMPUTED_VALUE"""),"Shot during fight outside of school")</f>
        <v>Shot during fight outside of school</v>
      </c>
      <c r="Z2113" s="12" t="str">
        <f ca="1">IFERROR(__xludf.DUMMYFUNCTION("""COMPUTED_VALUE"""),"18YOM student shot 19YOM student during argument in front of school. Both were attending night classes.")</f>
        <v>18YOM student shot 19YOM student during argument in front of school. Both were attending night classes.</v>
      </c>
      <c r="AA2113" s="8" t="str">
        <f ca="1">IFERROR(__xludf.DUMMYFUNCTION("""COMPUTED_VALUE"""),"Escalation of Dispute")</f>
        <v>Escalation of Dispute</v>
      </c>
      <c r="AB2113" s="8"/>
      <c r="AC2113" s="8" t="str">
        <f ca="1">IFERROR(__xludf.DUMMYFUNCTION("""COMPUTED_VALUE"""),"Yes")</f>
        <v>Yes</v>
      </c>
      <c r="AD2113" s="8" t="str">
        <f ca="1">IFERROR(__xludf.DUMMYFUNCTION("""COMPUTED_VALUE"""),"Victims Targeted")</f>
        <v>Victims Targeted</v>
      </c>
      <c r="AE2113" s="8" t="str">
        <f ca="1">IFERROR(__xludf.DUMMYFUNCTION("""COMPUTED_VALUE"""),"No")</f>
        <v>No</v>
      </c>
      <c r="AF2113" s="8"/>
      <c r="AG2113" s="8" t="str">
        <f ca="1">IFERROR(__xludf.DUMMYFUNCTION("""COMPUTED_VALUE"""),"No")</f>
        <v>No</v>
      </c>
      <c r="AH2113" s="8" t="str">
        <f ca="1">IFERROR(__xludf.DUMMYFUNCTION("""COMPUTED_VALUE"""),"No")</f>
        <v>No</v>
      </c>
      <c r="AI2113" s="8" t="str">
        <f ca="1">IFERROR(__xludf.DUMMYFUNCTION("""COMPUTED_VALUE"""),"No")</f>
        <v>No</v>
      </c>
      <c r="AJ2113" s="8" t="str">
        <f ca="1">IFERROR(__xludf.DUMMYFUNCTION("""COMPUTED_VALUE"""),"No")</f>
        <v>No</v>
      </c>
      <c r="AK2113" s="8" t="str">
        <f ca="1">IFERROR(__xludf.DUMMYFUNCTION("""COMPUTED_VALUE"""),"No")</f>
        <v>No</v>
      </c>
      <c r="AL2113" s="8" t="str">
        <f ca="1">IFERROR(__xludf.DUMMYFUNCTION("""COMPUTED_VALUE"""),"No")</f>
        <v>No</v>
      </c>
      <c r="AM2113" s="8"/>
      <c r="AN2113" s="8"/>
      <c r="AO2113" s="8" t="str">
        <f ca="1">IFERROR(__xludf.DUMMYFUNCTION("""COMPUTED_VALUE"""),"No")</f>
        <v>No</v>
      </c>
      <c r="AP2113" s="8"/>
      <c r="AQ2113" s="8" t="str">
        <f ca="1">IFERROR(__xludf.DUMMYFUNCTION("""COMPUTED_VALUE"""),"Unknown")</f>
        <v>Unknown</v>
      </c>
      <c r="AR2113" s="8" t="str">
        <f ca="1">IFERROR(__xludf.DUMMYFUNCTION("""COMPUTED_VALUE"""),"NA")</f>
        <v>NA</v>
      </c>
      <c r="AS2113" s="8" t="str">
        <f ca="1">IFERROR(__xludf.DUMMYFUNCTION("""COMPUTED_VALUE"""),"&lt;10")</f>
        <v>&lt;10</v>
      </c>
      <c r="AT2113" s="8"/>
      <c r="AU2113" s="8">
        <f ca="1">IFERROR(__xludf.DUMMYFUNCTION("""COMPUTED_VALUE"""),37.579117)</f>
        <v>37.579116999999997</v>
      </c>
      <c r="AV2113" s="8">
        <f ca="1">IFERROR(__xludf.DUMMYFUNCTION("""COMPUTED_VALUE"""),-120.958448)</f>
        <v>-120.958448</v>
      </c>
      <c r="AW2113" s="8"/>
      <c r="AX2113" s="8">
        <f ca="1">IFERROR(__xludf.DUMMYFUNCTION("""COMPUTED_VALUE"""),95307)</f>
        <v>95307</v>
      </c>
    </row>
    <row r="2114" spans="1:50" ht="60" x14ac:dyDescent="0.2">
      <c r="A2114" s="8" t="str">
        <f ca="1">IFERROR(__xludf.DUMMYFUNCTION("""COMPUTED_VALUE"""),"20081115UTDES")</f>
        <v>20081115UTDES</v>
      </c>
      <c r="B2114" s="8">
        <f ca="1">IFERROR(__xludf.DUMMYFUNCTION("""COMPUTED_VALUE"""),11)</f>
        <v>11</v>
      </c>
      <c r="C2114" s="8">
        <f ca="1">IFERROR(__xludf.DUMMYFUNCTION("""COMPUTED_VALUE"""),15)</f>
        <v>15</v>
      </c>
      <c r="D2114" s="8">
        <f ca="1">IFERROR(__xludf.DUMMYFUNCTION("""COMPUTED_VALUE"""),2008)</f>
        <v>2008</v>
      </c>
      <c r="E2114" s="9">
        <f ca="1">IFERROR(__xludf.DUMMYFUNCTION("""COMPUTED_VALUE"""),39767)</f>
        <v>39767</v>
      </c>
      <c r="F2114" s="8" t="str">
        <f ca="1">IFERROR(__xludf.DUMMYFUNCTION("""COMPUTED_VALUE"""),"Desert Hills High School")</f>
        <v>Desert Hills High School</v>
      </c>
      <c r="G2114" s="8">
        <f ca="1">IFERROR(__xludf.DUMMYFUNCTION("""COMPUTED_VALUE"""),1)</f>
        <v>1</v>
      </c>
      <c r="H2114" s="8">
        <f ca="1">IFERROR(__xludf.DUMMYFUNCTION("""COMPUTED_VALUE"""),0)</f>
        <v>0</v>
      </c>
      <c r="I2114" s="8">
        <f ca="1">IFERROR(__xludf.DUMMYFUNCTION("""COMPUTED_VALUE"""),1)</f>
        <v>1</v>
      </c>
      <c r="J2114" s="8">
        <f ca="1">IFERROR(__xludf.DUMMYFUNCTION("""COMPUTED_VALUE"""),0)</f>
        <v>0</v>
      </c>
      <c r="K2114" s="10" t="str">
        <f ca="1">IFERROR(__xludf.DUMMYFUNCTION("""COMPUTED_VALUE"""),"https://www.deseretnews.com/article/865556503/High-court-No-immunity-in-case-of-15-year-old-killed-by-prop-gun-used-in-school-play.html")</f>
        <v>https://www.deseretnews.com/article/865556503/High-court-No-immunity-in-case-of-15-year-old-killed-by-prop-gun-used-in-school-play.html</v>
      </c>
      <c r="L2114" s="8"/>
      <c r="M2114" s="8"/>
      <c r="N2114" s="8">
        <f ca="1">IFERROR(__xludf.DUMMYFUNCTION("""COMPUTED_VALUE"""),2)</f>
        <v>2</v>
      </c>
      <c r="O2114" s="8" t="str">
        <f ca="1">IFERROR(__xludf.DUMMYFUNCTION("""COMPUTED_VALUE"""),"Fall")</f>
        <v>Fall</v>
      </c>
      <c r="P2114" s="8" t="str">
        <f ca="1">IFERROR(__xludf.DUMMYFUNCTION("""COMPUTED_VALUE"""),"St. George")</f>
        <v>St. George</v>
      </c>
      <c r="Q2114" s="8" t="str">
        <f ca="1">IFERROR(__xludf.DUMMYFUNCTION("""COMPUTED_VALUE"""),"UT")</f>
        <v>UT</v>
      </c>
      <c r="R2114" s="8" t="str">
        <f ca="1">IFERROR(__xludf.DUMMYFUNCTION("""COMPUTED_VALUE"""),"High")</f>
        <v>High</v>
      </c>
      <c r="S2114" s="8" t="str">
        <f ca="1">IFERROR(__xludf.DUMMYFUNCTION("""COMPUTED_VALUE"""),"Auditorium")</f>
        <v>Auditorium</v>
      </c>
      <c r="T2114" s="8" t="str">
        <f ca="1">IFERROR(__xludf.DUMMYFUNCTION("""COMPUTED_VALUE"""),"Inside School Building")</f>
        <v>Inside School Building</v>
      </c>
      <c r="U2114" s="8" t="str">
        <f ca="1">IFERROR(__xludf.DUMMYFUNCTION("""COMPUTED_VALUE"""),"No")</f>
        <v>No</v>
      </c>
      <c r="V2114" s="8" t="str">
        <f ca="1">IFERROR(__xludf.DUMMYFUNCTION("""COMPUTED_VALUE"""),"School Event")</f>
        <v>School Event</v>
      </c>
      <c r="W2114" s="11">
        <f ca="1">IFERROR(__xludf.DUMMYFUNCTION("""COMPUTED_VALUE"""),0.763888888888888)</f>
        <v>0.76388888888888795</v>
      </c>
      <c r="X2114" s="8">
        <f ca="1">IFERROR(__xludf.DUMMYFUNCTION("""COMPUTED_VALUE"""),1)</f>
        <v>1</v>
      </c>
      <c r="Y2114" s="12" t="str">
        <f ca="1">IFERROR(__xludf.DUMMYFUNCTION("""COMPUTED_VALUE"""),"Killed handling prop gun for school play that was actually a real .38 revolver")</f>
        <v>Killed handling prop gun for school play that was actually a real .38 revolver</v>
      </c>
      <c r="Z2114" s="12" t="str">
        <f ca="1">IFERROR(__xludf.DUMMYFUNCTION("""COMPUTED_VALUE"""),"15YOM student was involved in production of play. He was handling a revolver that he thought was a prop gun but was actually a real .38 revolver and accidentally shot himself in the head. Parents sued the school system.")</f>
        <v>15YOM student was involved in production of play. He was handling a revolver that he thought was a prop gun but was actually a real .38 revolver and accidentally shot himself in the head. Parents sued the school system.</v>
      </c>
      <c r="AA2114" s="8" t="str">
        <f ca="1">IFERROR(__xludf.DUMMYFUNCTION("""COMPUTED_VALUE"""),"Accidental")</f>
        <v>Accidental</v>
      </c>
      <c r="AB2114" s="8"/>
      <c r="AC2114" s="8" t="str">
        <f ca="1">IFERROR(__xludf.DUMMYFUNCTION("""COMPUTED_VALUE"""),"Yes")</f>
        <v>Yes</v>
      </c>
      <c r="AD2114" s="8" t="str">
        <f ca="1">IFERROR(__xludf.DUMMYFUNCTION("""COMPUTED_VALUE"""),"Neither")</f>
        <v>Neither</v>
      </c>
      <c r="AE2114" s="8" t="str">
        <f ca="1">IFERROR(__xludf.DUMMYFUNCTION("""COMPUTED_VALUE"""),"No")</f>
        <v>No</v>
      </c>
      <c r="AF2114" s="8"/>
      <c r="AG2114" s="8" t="str">
        <f ca="1">IFERROR(__xludf.DUMMYFUNCTION("""COMPUTED_VALUE"""),"No")</f>
        <v>No</v>
      </c>
      <c r="AH2114" s="8" t="str">
        <f ca="1">IFERROR(__xludf.DUMMYFUNCTION("""COMPUTED_VALUE"""),"No")</f>
        <v>No</v>
      </c>
      <c r="AI2114" s="8" t="str">
        <f ca="1">IFERROR(__xludf.DUMMYFUNCTION("""COMPUTED_VALUE"""),"No")</f>
        <v>No</v>
      </c>
      <c r="AJ2114" s="8" t="str">
        <f ca="1">IFERROR(__xludf.DUMMYFUNCTION("""COMPUTED_VALUE"""),"No")</f>
        <v>No</v>
      </c>
      <c r="AK2114" s="8" t="str">
        <f ca="1">IFERROR(__xludf.DUMMYFUNCTION("""COMPUTED_VALUE"""),"No")</f>
        <v>No</v>
      </c>
      <c r="AL2114" s="8" t="str">
        <f ca="1">IFERROR(__xludf.DUMMYFUNCTION("""COMPUTED_VALUE"""),"No")</f>
        <v>No</v>
      </c>
      <c r="AM2114" s="8"/>
      <c r="AN2114" s="8"/>
      <c r="AO2114" s="8" t="str">
        <f ca="1">IFERROR(__xludf.DUMMYFUNCTION("""COMPUTED_VALUE"""),"No")</f>
        <v>No</v>
      </c>
      <c r="AP2114" s="8"/>
      <c r="AQ2114" s="8" t="str">
        <f ca="1">IFERROR(__xludf.DUMMYFUNCTION("""COMPUTED_VALUE"""),"Unknown")</f>
        <v>Unknown</v>
      </c>
      <c r="AR2114" s="8" t="str">
        <f ca="1">IFERROR(__xludf.DUMMYFUNCTION("""COMPUTED_VALUE"""),"NA")</f>
        <v>NA</v>
      </c>
      <c r="AS2114" s="8">
        <f ca="1">IFERROR(__xludf.DUMMYFUNCTION("""COMPUTED_VALUE"""),1)</f>
        <v>1</v>
      </c>
      <c r="AT2114" s="8"/>
      <c r="AU2114" s="8">
        <f ca="1">IFERROR(__xludf.DUMMYFUNCTION("""COMPUTED_VALUE"""),37.050844)</f>
        <v>37.050843999999998</v>
      </c>
      <c r="AV2114" s="8">
        <f ca="1">IFERROR(__xludf.DUMMYFUNCTION("""COMPUTED_VALUE"""),-113.567659)</f>
        <v>-113.56765900000001</v>
      </c>
      <c r="AW2114" s="8"/>
      <c r="AX2114" s="8">
        <f ca="1">IFERROR(__xludf.DUMMYFUNCTION("""COMPUTED_VALUE"""),84790)</f>
        <v>84790</v>
      </c>
    </row>
    <row r="2115" spans="1:50" ht="45" x14ac:dyDescent="0.2">
      <c r="A2115" s="8" t="str">
        <f ca="1">IFERROR(__xludf.DUMMYFUNCTION("""COMPUTED_VALUE"""),"20081115COTHL")</f>
        <v>20081115COTHL</v>
      </c>
      <c r="B2115" s="8">
        <f ca="1">IFERROR(__xludf.DUMMYFUNCTION("""COMPUTED_VALUE"""),11)</f>
        <v>11</v>
      </c>
      <c r="C2115" s="8">
        <f ca="1">IFERROR(__xludf.DUMMYFUNCTION("""COMPUTED_VALUE"""),15)</f>
        <v>15</v>
      </c>
      <c r="D2115" s="8">
        <f ca="1">IFERROR(__xludf.DUMMYFUNCTION("""COMPUTED_VALUE"""),2008)</f>
        <v>2008</v>
      </c>
      <c r="E2115" s="9">
        <f ca="1">IFERROR(__xludf.DUMMYFUNCTION("""COMPUTED_VALUE"""),39767)</f>
        <v>39767</v>
      </c>
      <c r="F2115" s="8" t="str">
        <f ca="1">IFERROR(__xludf.DUMMYFUNCTION("""COMPUTED_VALUE"""),"Thompson Valley High School")</f>
        <v>Thompson Valley High School</v>
      </c>
      <c r="G2115" s="8">
        <f ca="1">IFERROR(__xludf.DUMMYFUNCTION("""COMPUTED_VALUE"""),1)</f>
        <v>1</v>
      </c>
      <c r="H2115" s="8">
        <f ca="1">IFERROR(__xludf.DUMMYFUNCTION("""COMPUTED_VALUE"""),0)</f>
        <v>0</v>
      </c>
      <c r="I2115" s="8">
        <f ca="1">IFERROR(__xludf.DUMMYFUNCTION("""COMPUTED_VALUE"""),1)</f>
        <v>1</v>
      </c>
      <c r="J2115" s="8">
        <f ca="1">IFERROR(__xludf.DUMMYFUNCTION("""COMPUTED_VALUE"""),0)</f>
        <v>0</v>
      </c>
      <c r="K2115" s="10" t="str">
        <f ca="1">IFERROR(__xludf.DUMMYFUNCTION("""COMPUTED_VALUE"""),"http://www.reporterherald.com/ci_18289600")</f>
        <v>http://www.reporterherald.com/ci_18289600</v>
      </c>
      <c r="L2115" s="8"/>
      <c r="M2115" s="8"/>
      <c r="N2115" s="8">
        <f ca="1">IFERROR(__xludf.DUMMYFUNCTION("""COMPUTED_VALUE"""),2)</f>
        <v>2</v>
      </c>
      <c r="O2115" s="8" t="str">
        <f ca="1">IFERROR(__xludf.DUMMYFUNCTION("""COMPUTED_VALUE"""),"Fall")</f>
        <v>Fall</v>
      </c>
      <c r="P2115" s="8" t="str">
        <f ca="1">IFERROR(__xludf.DUMMYFUNCTION("""COMPUTED_VALUE"""),"Loveland")</f>
        <v>Loveland</v>
      </c>
      <c r="Q2115" s="8" t="str">
        <f ca="1">IFERROR(__xludf.DUMMYFUNCTION("""COMPUTED_VALUE"""),"CO")</f>
        <v>CO</v>
      </c>
      <c r="R2115" s="8" t="str">
        <f ca="1">IFERROR(__xludf.DUMMYFUNCTION("""COMPUTED_VALUE"""),"High")</f>
        <v>High</v>
      </c>
      <c r="S2115" s="8" t="str">
        <f ca="1">IFERROR(__xludf.DUMMYFUNCTION("""COMPUTED_VALUE"""),"Parking Lot")</f>
        <v>Parking Lot</v>
      </c>
      <c r="T2115" s="8" t="str">
        <f ca="1">IFERROR(__xludf.DUMMYFUNCTION("""COMPUTED_VALUE"""),"Outside on School Property")</f>
        <v>Outside on School Property</v>
      </c>
      <c r="U2115" s="8" t="str">
        <f ca="1">IFERROR(__xludf.DUMMYFUNCTION("""COMPUTED_VALUE"""),"No")</f>
        <v>No</v>
      </c>
      <c r="V2115" s="8" t="str">
        <f ca="1">IFERROR(__xludf.DUMMYFUNCTION("""COMPUTED_VALUE"""),"Night")</f>
        <v>Night</v>
      </c>
      <c r="W2115" s="11">
        <f ca="1">IFERROR(__xludf.DUMMYFUNCTION("""COMPUTED_VALUE"""),0.0520833333333333)</f>
        <v>5.2083333333333301E-2</v>
      </c>
      <c r="X2115" s="8">
        <f ca="1">IFERROR(__xludf.DUMMYFUNCTION("""COMPUTED_VALUE"""),1)</f>
        <v>1</v>
      </c>
      <c r="Y2115" s="12" t="str">
        <f ca="1">IFERROR(__xludf.DUMMYFUNCTION("""COMPUTED_VALUE"""),"Shots fired during late night fight in the parking lot")</f>
        <v>Shots fired during late night fight in the parking lot</v>
      </c>
      <c r="Z2115" s="12" t="str">
        <f ca="1">IFERROR(__xludf.DUMMYFUNCTION("""COMPUTED_VALUE"""),"Planned fight between group of students in the school parking lot. 18YOM brough handgun to the fight and fired when he saw 23YOM with a knife. No knife was recovered.")</f>
        <v>Planned fight between group of students in the school parking lot. 18YOM brough handgun to the fight and fired when he saw 23YOM with a knife. No knife was recovered.</v>
      </c>
      <c r="AA2115" s="8" t="str">
        <f ca="1">IFERROR(__xludf.DUMMYFUNCTION("""COMPUTED_VALUE"""),"Escalation of Dispute")</f>
        <v>Escalation of Dispute</v>
      </c>
      <c r="AB2115" s="8"/>
      <c r="AC2115" s="8" t="str">
        <f ca="1">IFERROR(__xludf.DUMMYFUNCTION("""COMPUTED_VALUE"""),"Yes")</f>
        <v>Yes</v>
      </c>
      <c r="AD2115" s="8" t="str">
        <f ca="1">IFERROR(__xludf.DUMMYFUNCTION("""COMPUTED_VALUE"""),"Victims Targeted")</f>
        <v>Victims Targeted</v>
      </c>
      <c r="AE2115" s="8" t="str">
        <f ca="1">IFERROR(__xludf.DUMMYFUNCTION("""COMPUTED_VALUE"""),"No")</f>
        <v>No</v>
      </c>
      <c r="AF2115" s="8"/>
      <c r="AG2115" s="8" t="str">
        <f ca="1">IFERROR(__xludf.DUMMYFUNCTION("""COMPUTED_VALUE"""),"No")</f>
        <v>No</v>
      </c>
      <c r="AH2115" s="8" t="str">
        <f ca="1">IFERROR(__xludf.DUMMYFUNCTION("""COMPUTED_VALUE"""),"No")</f>
        <v>No</v>
      </c>
      <c r="AI2115" s="8" t="str">
        <f ca="1">IFERROR(__xludf.DUMMYFUNCTION("""COMPUTED_VALUE"""),"No")</f>
        <v>No</v>
      </c>
      <c r="AJ2115" s="8" t="str">
        <f ca="1">IFERROR(__xludf.DUMMYFUNCTION("""COMPUTED_VALUE"""),"No")</f>
        <v>No</v>
      </c>
      <c r="AK2115" s="8" t="str">
        <f ca="1">IFERROR(__xludf.DUMMYFUNCTION("""COMPUTED_VALUE"""),"No")</f>
        <v>No</v>
      </c>
      <c r="AL2115" s="8" t="str">
        <f ca="1">IFERROR(__xludf.DUMMYFUNCTION("""COMPUTED_VALUE"""),"No")</f>
        <v>No</v>
      </c>
      <c r="AM2115" s="8"/>
      <c r="AN2115" s="8"/>
      <c r="AO2115" s="8" t="str">
        <f ca="1">IFERROR(__xludf.DUMMYFUNCTION("""COMPUTED_VALUE"""),"No")</f>
        <v>No</v>
      </c>
      <c r="AP2115" s="8"/>
      <c r="AQ2115" s="8" t="str">
        <f ca="1">IFERROR(__xludf.DUMMYFUNCTION("""COMPUTED_VALUE"""),"Unknown")</f>
        <v>Unknown</v>
      </c>
      <c r="AR2115" s="8" t="str">
        <f ca="1">IFERROR(__xludf.DUMMYFUNCTION("""COMPUTED_VALUE"""),"NA")</f>
        <v>NA</v>
      </c>
      <c r="AS2115" s="8">
        <f ca="1">IFERROR(__xludf.DUMMYFUNCTION("""COMPUTED_VALUE"""),1)</f>
        <v>1</v>
      </c>
      <c r="AT2115" s="8"/>
      <c r="AU2115" s="8">
        <f ca="1">IFERROR(__xludf.DUMMYFUNCTION("""COMPUTED_VALUE"""),40.387805)</f>
        <v>40.387805</v>
      </c>
      <c r="AV2115" s="8">
        <f ca="1">IFERROR(__xludf.DUMMYFUNCTION("""COMPUTED_VALUE"""),-105.102212)</f>
        <v>-105.10221199999999</v>
      </c>
      <c r="AW2115" s="8"/>
      <c r="AX2115" s="8">
        <f ca="1">IFERROR(__xludf.DUMMYFUNCTION("""COMPUTED_VALUE"""),80537)</f>
        <v>80537</v>
      </c>
    </row>
    <row r="2116" spans="1:50" ht="165" x14ac:dyDescent="0.2">
      <c r="A2116" s="8" t="str">
        <f ca="1">IFERROR(__xludf.DUMMYFUNCTION("""COMPUTED_VALUE"""),"20081112FLDIF")</f>
        <v>20081112FLDIF</v>
      </c>
      <c r="B2116" s="8">
        <f ca="1">IFERROR(__xludf.DUMMYFUNCTION("""COMPUTED_VALUE"""),11)</f>
        <v>11</v>
      </c>
      <c r="C2116" s="8">
        <f ca="1">IFERROR(__xludf.DUMMYFUNCTION("""COMPUTED_VALUE"""),12)</f>
        <v>12</v>
      </c>
      <c r="D2116" s="8">
        <f ca="1">IFERROR(__xludf.DUMMYFUNCTION("""COMPUTED_VALUE"""),2008)</f>
        <v>2008</v>
      </c>
      <c r="E2116" s="9">
        <f ca="1">IFERROR(__xludf.DUMMYFUNCTION("""COMPUTED_VALUE"""),39764)</f>
        <v>39764</v>
      </c>
      <c r="F2116" s="8" t="str">
        <f ca="1">IFERROR(__xludf.DUMMYFUNCTION("""COMPUTED_VALUE"""),"Dillard High School")</f>
        <v>Dillard High School</v>
      </c>
      <c r="G2116" s="8">
        <f ca="1">IFERROR(__xludf.DUMMYFUNCTION("""COMPUTED_VALUE"""),1)</f>
        <v>1</v>
      </c>
      <c r="H2116" s="8">
        <f ca="1">IFERROR(__xludf.DUMMYFUNCTION("""COMPUTED_VALUE"""),0)</f>
        <v>0</v>
      </c>
      <c r="I2116" s="8">
        <f ca="1">IFERROR(__xludf.DUMMYFUNCTION("""COMPUTED_VALUE"""),1)</f>
        <v>1</v>
      </c>
      <c r="J2116" s="8">
        <f ca="1">IFERROR(__xludf.DUMMYFUNCTION("""COMPUTED_VALUE"""),0)</f>
        <v>0</v>
      </c>
      <c r="K2116" s="10" t="str">
        <f ca="1">IFERROR(__xludf.DUMMYFUNCTION("""COMPUTED_VALUE"""),"http://www.gainesville.com/news/20091210/teenage-girl-16-convicted-of-shooting-girlfriend-after-break-up")</f>
        <v>http://www.gainesville.com/news/20091210/teenage-girl-16-convicted-of-shooting-girlfriend-after-break-up</v>
      </c>
      <c r="L2116" s="8"/>
      <c r="M2116" s="8"/>
      <c r="N2116" s="8">
        <f ca="1">IFERROR(__xludf.DUMMYFUNCTION("""COMPUTED_VALUE"""),2)</f>
        <v>2</v>
      </c>
      <c r="O2116" s="8" t="str">
        <f ca="1">IFERROR(__xludf.DUMMYFUNCTION("""COMPUTED_VALUE"""),"Fall")</f>
        <v>Fall</v>
      </c>
      <c r="P2116" s="8" t="str">
        <f ca="1">IFERROR(__xludf.DUMMYFUNCTION("""COMPUTED_VALUE"""),"Fort Lauderdale")</f>
        <v>Fort Lauderdale</v>
      </c>
      <c r="Q2116" s="8" t="str">
        <f ca="1">IFERROR(__xludf.DUMMYFUNCTION("""COMPUTED_VALUE"""),"FL")</f>
        <v>FL</v>
      </c>
      <c r="R2116" s="8" t="str">
        <f ca="1">IFERROR(__xludf.DUMMYFUNCTION("""COMPUTED_VALUE"""),"High")</f>
        <v>High</v>
      </c>
      <c r="S2116" s="8" t="str">
        <f ca="1">IFERROR(__xludf.DUMMYFUNCTION("""COMPUTED_VALUE"""),"Classroom")</f>
        <v>Classroom</v>
      </c>
      <c r="T2116" s="8" t="str">
        <f ca="1">IFERROR(__xludf.DUMMYFUNCTION("""COMPUTED_VALUE"""),"Inside School Building")</f>
        <v>Inside School Building</v>
      </c>
      <c r="U2116" s="8" t="str">
        <f ca="1">IFERROR(__xludf.DUMMYFUNCTION("""COMPUTED_VALUE"""),"Yes")</f>
        <v>Yes</v>
      </c>
      <c r="V2116" s="8" t="str">
        <f ca="1">IFERROR(__xludf.DUMMYFUNCTION("""COMPUTED_VALUE"""),"Morning Classes")</f>
        <v>Morning Classes</v>
      </c>
      <c r="W2116" s="11">
        <f ca="1">IFERROR(__xludf.DUMMYFUNCTION("""COMPUTED_VALUE"""),0.458333333333333)</f>
        <v>0.45833333333333298</v>
      </c>
      <c r="X2116" s="8">
        <f ca="1">IFERROR(__xludf.DUMMYFUNCTION("""COMPUTED_VALUE"""),1)</f>
        <v>1</v>
      </c>
      <c r="Y2116" s="12" t="str">
        <f ca="1">IFERROR(__xludf.DUMMYFUNCTION("""COMPUTED_VALUE"""),"Romantic Dispute, shot girl in hallway, fled and called police to surrender at a restaurant nearby")</f>
        <v>Romantic Dispute, shot girl in hallway, fled and called police to surrender at a restaurant nearby</v>
      </c>
      <c r="Z2116" s="12" t="str">
        <f ca="1">IFERROR(__xludf.DUMMYFUNCTION("""COMPUTED_VALUE"""),"Shooter killed female victim who she had romantic interest in and then walked to a nearby restaurant where she was detained by police. Shooter was good student and talented musician. Shooter was left to her grandparents at 6 weeks old, sexually molested b"&amp;"y a family member at 6, severely beaten by a mother with bipolar disorder and a father now serving a 25-year prison sentence for attempted murder. She was shunned by her family when she came out as a lesbian. Shooter slashed her arm with a razor blade 70 "&amp;"times the night prior to the shooting. Shooter showed the gun to other students and made threats against the victim.")</f>
        <v>Shooter killed female victim who she had romantic interest in and then walked to a nearby restaurant where she was detained by police. Shooter was good student and talented musician. Shooter was left to her grandparents at 6 weeks old, sexually molested by a family member at 6, severely beaten by a mother with bipolar disorder and a father now serving a 25-year prison sentence for attempted murder. She was shunned by her family when she came out as a lesbian. Shooter slashed her arm with a razor blade 70 times the night prior to the shooting. Shooter showed the gun to other students and made threats against the victim.</v>
      </c>
      <c r="AA2116" s="8" t="str">
        <f ca="1">IFERROR(__xludf.DUMMYFUNCTION("""COMPUTED_VALUE"""),"Domestic w/ Targeted Victim")</f>
        <v>Domestic w/ Targeted Victim</v>
      </c>
      <c r="AB2116" s="8"/>
      <c r="AC2116" s="8" t="str">
        <f ca="1">IFERROR(__xludf.DUMMYFUNCTION("""COMPUTED_VALUE"""),"Yes")</f>
        <v>Yes</v>
      </c>
      <c r="AD2116" s="8" t="str">
        <f ca="1">IFERROR(__xludf.DUMMYFUNCTION("""COMPUTED_VALUE"""),"Victims Targeted")</f>
        <v>Victims Targeted</v>
      </c>
      <c r="AE2116" s="8" t="str">
        <f ca="1">IFERROR(__xludf.DUMMYFUNCTION("""COMPUTED_VALUE"""),"No")</f>
        <v>No</v>
      </c>
      <c r="AF2116" s="8"/>
      <c r="AG2116" s="8" t="str">
        <f ca="1">IFERROR(__xludf.DUMMYFUNCTION("""COMPUTED_VALUE"""),"No")</f>
        <v>No</v>
      </c>
      <c r="AH2116" s="8" t="str">
        <f ca="1">IFERROR(__xludf.DUMMYFUNCTION("""COMPUTED_VALUE"""),"No")</f>
        <v>No</v>
      </c>
      <c r="AI2116" s="8" t="str">
        <f ca="1">IFERROR(__xludf.DUMMYFUNCTION("""COMPUTED_VALUE"""),"No")</f>
        <v>No</v>
      </c>
      <c r="AJ2116" s="8" t="str">
        <f ca="1">IFERROR(__xludf.DUMMYFUNCTION("""COMPUTED_VALUE"""),"No")</f>
        <v>No</v>
      </c>
      <c r="AK2116" s="8" t="str">
        <f ca="1">IFERROR(__xludf.DUMMYFUNCTION("""COMPUTED_VALUE"""),"Yes")</f>
        <v>Yes</v>
      </c>
      <c r="AL2116" s="8" t="str">
        <f ca="1">IFERROR(__xludf.DUMMYFUNCTION("""COMPUTED_VALUE"""),"No")</f>
        <v>No</v>
      </c>
      <c r="AM2116" s="8"/>
      <c r="AN2116" s="8"/>
      <c r="AO2116" s="8" t="str">
        <f ca="1">IFERROR(__xludf.DUMMYFUNCTION("""COMPUTED_VALUE"""),"No")</f>
        <v>No</v>
      </c>
      <c r="AP2116" s="8" t="str">
        <f ca="1">IFERROR(__xludf.DUMMYFUNCTION("""COMPUTED_VALUE"""),"Yes")</f>
        <v>Yes</v>
      </c>
      <c r="AQ2116" s="8" t="str">
        <f ca="1">IFERROR(__xludf.DUMMYFUNCTION("""COMPUTED_VALUE"""),"Unknown")</f>
        <v>Unknown</v>
      </c>
      <c r="AR2116" s="8" t="str">
        <f ca="1">IFERROR(__xludf.DUMMYFUNCTION("""COMPUTED_VALUE"""),"NA")</f>
        <v>NA</v>
      </c>
      <c r="AS2116" s="8">
        <f ca="1">IFERROR(__xludf.DUMMYFUNCTION("""COMPUTED_VALUE"""),1)</f>
        <v>1</v>
      </c>
      <c r="AT2116" s="8"/>
      <c r="AU2116" s="8">
        <f ca="1">IFERROR(__xludf.DUMMYFUNCTION("""COMPUTED_VALUE"""),26.139564)</f>
        <v>26.139564</v>
      </c>
      <c r="AV2116" s="8">
        <f ca="1">IFERROR(__xludf.DUMMYFUNCTION("""COMPUTED_VALUE"""),-80.175803)</f>
        <v>-80.175803000000002</v>
      </c>
      <c r="AW2116" s="8"/>
      <c r="AX2116" s="8">
        <f ca="1">IFERROR(__xludf.DUMMYFUNCTION("""COMPUTED_VALUE"""),33311)</f>
        <v>33311</v>
      </c>
    </row>
    <row r="2117" spans="1:50" ht="90" x14ac:dyDescent="0.2">
      <c r="A2117" s="8" t="str">
        <f ca="1">IFERROR(__xludf.DUMMYFUNCTION("""COMPUTED_VALUE"""),"20081103CAELO")</f>
        <v>20081103CAELO</v>
      </c>
      <c r="B2117" s="8">
        <f ca="1">IFERROR(__xludf.DUMMYFUNCTION("""COMPUTED_VALUE"""),11)</f>
        <v>11</v>
      </c>
      <c r="C2117" s="8">
        <f ca="1">IFERROR(__xludf.DUMMYFUNCTION("""COMPUTED_VALUE"""),3)</f>
        <v>3</v>
      </c>
      <c r="D2117" s="8">
        <f ca="1">IFERROR(__xludf.DUMMYFUNCTION("""COMPUTED_VALUE"""),2008)</f>
        <v>2008</v>
      </c>
      <c r="E2117" s="9">
        <f ca="1">IFERROR(__xludf.DUMMYFUNCTION("""COMPUTED_VALUE"""),39755)</f>
        <v>39755</v>
      </c>
      <c r="F2117" s="8" t="str">
        <f ca="1">IFERROR(__xludf.DUMMYFUNCTION("""COMPUTED_VALUE"""),"El Rio Elementary School")</f>
        <v>El Rio Elementary School</v>
      </c>
      <c r="G2117" s="8">
        <f ca="1">IFERROR(__xludf.DUMMYFUNCTION("""COMPUTED_VALUE"""),0)</f>
        <v>0</v>
      </c>
      <c r="H2117" s="8">
        <f ca="1">IFERROR(__xludf.DUMMYFUNCTION("""COMPUTED_VALUE"""),0)</f>
        <v>0</v>
      </c>
      <c r="I2117" s="8">
        <f ca="1">IFERROR(__xludf.DUMMYFUNCTION("""COMPUTED_VALUE"""),0)</f>
        <v>0</v>
      </c>
      <c r="J2117" s="8">
        <f ca="1">IFERROR(__xludf.DUMMYFUNCTION("""COMPUTED_VALUE"""),0)</f>
        <v>0</v>
      </c>
      <c r="K2117" s="10" t="str">
        <f ca="1">IFERROR(__xludf.DUMMYFUNCTION("""COMPUTED_VALUE"""),"http://archive.vcstar.com/news/352401581.html/")</f>
        <v>http://archive.vcstar.com/news/352401581.html/</v>
      </c>
      <c r="L2117" s="8"/>
      <c r="M2117" s="8"/>
      <c r="N2117" s="8">
        <f ca="1">IFERROR(__xludf.DUMMYFUNCTION("""COMPUTED_VALUE"""),2)</f>
        <v>2</v>
      </c>
      <c r="O2117" s="8" t="str">
        <f ca="1">IFERROR(__xludf.DUMMYFUNCTION("""COMPUTED_VALUE"""),"Fall")</f>
        <v>Fall</v>
      </c>
      <c r="P2117" s="8" t="str">
        <f ca="1">IFERROR(__xludf.DUMMYFUNCTION("""COMPUTED_VALUE"""),"Oxnard")</f>
        <v>Oxnard</v>
      </c>
      <c r="Q2117" s="8" t="str">
        <f ca="1">IFERROR(__xludf.DUMMYFUNCTION("""COMPUTED_VALUE"""),"CA")</f>
        <v>CA</v>
      </c>
      <c r="R2117" s="8" t="str">
        <f ca="1">IFERROR(__xludf.DUMMYFUNCTION("""COMPUTED_VALUE"""),"Elementary")</f>
        <v>Elementary</v>
      </c>
      <c r="S2117" s="8" t="str">
        <f ca="1">IFERROR(__xludf.DUMMYFUNCTION("""COMPUTED_VALUE"""),"Classroom; Beside Building")</f>
        <v>Classroom; Beside Building</v>
      </c>
      <c r="T2117" s="8" t="str">
        <f ca="1">IFERROR(__xludf.DUMMYFUNCTION("""COMPUTED_VALUE"""),"Both Inside/Outside")</f>
        <v>Both Inside/Outside</v>
      </c>
      <c r="U2117" s="8" t="str">
        <f ca="1">IFERROR(__xludf.DUMMYFUNCTION("""COMPUTED_VALUE"""),"Yes")</f>
        <v>Yes</v>
      </c>
      <c r="V2117" s="8" t="str">
        <f ca="1">IFERROR(__xludf.DUMMYFUNCTION("""COMPUTED_VALUE"""),"Afternoon Classes")</f>
        <v>Afternoon Classes</v>
      </c>
      <c r="W2117" s="11">
        <f ca="1">IFERROR(__xludf.DUMMYFUNCTION("""COMPUTED_VALUE"""),0.649305555555555)</f>
        <v>0.64930555555555503</v>
      </c>
      <c r="X2117" s="8">
        <f ca="1">IFERROR(__xludf.DUMMYFUNCTION("""COMPUTED_VALUE"""),1)</f>
        <v>1</v>
      </c>
      <c r="Y2117" s="12" t="str">
        <f ca="1">IFERROR(__xludf.DUMMYFUNCTION("""COMPUTED_VALUE"""),"BB gun shattered classroom window, students were evacuated, police called for shots fired, no suspect")</f>
        <v>BB gun shattered classroom window, students were evacuated, police called for shots fired, no suspect</v>
      </c>
      <c r="Z2117" s="12" t="str">
        <f ca="1">IFERROR(__xludf.DUMMYFUNCTION("""COMPUTED_VALUE"""),"Shot from a BB gun shattered a classroom window. Students inside the classroom were evacuated. Police were called for reported shots fired at the school. No suspects or motive known.")</f>
        <v>Shot from a BB gun shattered a classroom window. Students inside the classroom were evacuated. Police were called for reported shots fired at the school. No suspects or motive known.</v>
      </c>
      <c r="AA2117" s="8" t="str">
        <f ca="1">IFERROR(__xludf.DUMMYFUNCTION("""COMPUTED_VALUE"""),"Intentional Property Damage")</f>
        <v>Intentional Property Damage</v>
      </c>
      <c r="AB2117" s="8"/>
      <c r="AC2117" s="8" t="str">
        <f ca="1">IFERROR(__xludf.DUMMYFUNCTION("""COMPUTED_VALUE"""),"Yes")</f>
        <v>Yes</v>
      </c>
      <c r="AD2117" s="8"/>
      <c r="AE2117" s="8" t="str">
        <f ca="1">IFERROR(__xludf.DUMMYFUNCTION("""COMPUTED_VALUE"""),"Unknown")</f>
        <v>Unknown</v>
      </c>
      <c r="AF2117" s="8"/>
      <c r="AG2117" s="8" t="str">
        <f ca="1">IFERROR(__xludf.DUMMYFUNCTION("""COMPUTED_VALUE"""),"No")</f>
        <v>No</v>
      </c>
      <c r="AH2117" s="8" t="str">
        <f ca="1">IFERROR(__xludf.DUMMYFUNCTION("""COMPUTED_VALUE"""),"No")</f>
        <v>No</v>
      </c>
      <c r="AI2117" s="8" t="str">
        <f ca="1">IFERROR(__xludf.DUMMYFUNCTION("""COMPUTED_VALUE"""),"No")</f>
        <v>No</v>
      </c>
      <c r="AJ2117" s="8" t="str">
        <f ca="1">IFERROR(__xludf.DUMMYFUNCTION("""COMPUTED_VALUE"""),"No")</f>
        <v>No</v>
      </c>
      <c r="AK2117" s="8" t="str">
        <f ca="1">IFERROR(__xludf.DUMMYFUNCTION("""COMPUTED_VALUE"""),"No")</f>
        <v>No</v>
      </c>
      <c r="AL2117" s="8" t="str">
        <f ca="1">IFERROR(__xludf.DUMMYFUNCTION("""COMPUTED_VALUE"""),"No")</f>
        <v>No</v>
      </c>
      <c r="AM2117" s="8"/>
      <c r="AN2117" s="8"/>
      <c r="AO2117" s="8" t="str">
        <f ca="1">IFERROR(__xludf.DUMMYFUNCTION("""COMPUTED_VALUE"""),"No")</f>
        <v>No</v>
      </c>
      <c r="AP2117" s="8"/>
      <c r="AQ2117" s="8" t="str">
        <f ca="1">IFERROR(__xludf.DUMMYFUNCTION("""COMPUTED_VALUE"""),"Unknown")</f>
        <v>Unknown</v>
      </c>
      <c r="AR2117" s="8" t="str">
        <f ca="1">IFERROR(__xludf.DUMMYFUNCTION("""COMPUTED_VALUE"""),"NA")</f>
        <v>NA</v>
      </c>
      <c r="AS2117" s="8"/>
      <c r="AT2117" s="8"/>
      <c r="AU2117" s="8">
        <f ca="1">IFERROR(__xludf.DUMMYFUNCTION("""COMPUTED_VALUE"""),34.229225)</f>
        <v>34.229225</v>
      </c>
      <c r="AV2117" s="8">
        <f ca="1">IFERROR(__xludf.DUMMYFUNCTION("""COMPUTED_VALUE"""),-119.160086)</f>
        <v>-119.16008600000001</v>
      </c>
      <c r="AW2117" s="8"/>
      <c r="AX2117" s="8">
        <f ca="1">IFERROR(__xludf.DUMMYFUNCTION("""COMPUTED_VALUE"""),93036)</f>
        <v>93036</v>
      </c>
    </row>
    <row r="2118" spans="1:50" ht="75" x14ac:dyDescent="0.2">
      <c r="A2118" s="8" t="str">
        <f ca="1">IFERROR(__xludf.DUMMYFUNCTION("""COMPUTED_VALUE"""),"20081103CABEB")</f>
        <v>20081103CABEB</v>
      </c>
      <c r="B2118" s="8">
        <f ca="1">IFERROR(__xludf.DUMMYFUNCTION("""COMPUTED_VALUE"""),11)</f>
        <v>11</v>
      </c>
      <c r="C2118" s="8">
        <f ca="1">IFERROR(__xludf.DUMMYFUNCTION("""COMPUTED_VALUE"""),3)</f>
        <v>3</v>
      </c>
      <c r="D2118" s="8">
        <f ca="1">IFERROR(__xludf.DUMMYFUNCTION("""COMPUTED_VALUE"""),2008)</f>
        <v>2008</v>
      </c>
      <c r="E2118" s="9">
        <f ca="1">IFERROR(__xludf.DUMMYFUNCTION("""COMPUTED_VALUE"""),39755)</f>
        <v>39755</v>
      </c>
      <c r="F2118" s="8" t="str">
        <f ca="1">IFERROR(__xludf.DUMMYFUNCTION("""COMPUTED_VALUE"""),"Bell High School")</f>
        <v>Bell High School</v>
      </c>
      <c r="G2118" s="8">
        <f ca="1">IFERROR(__xludf.DUMMYFUNCTION("""COMPUTED_VALUE"""),1)</f>
        <v>1</v>
      </c>
      <c r="H2118" s="8">
        <f ca="1">IFERROR(__xludf.DUMMYFUNCTION("""COMPUTED_VALUE"""),0)</f>
        <v>0</v>
      </c>
      <c r="I2118" s="8">
        <f ca="1">IFERROR(__xludf.DUMMYFUNCTION("""COMPUTED_VALUE"""),1)</f>
        <v>1</v>
      </c>
      <c r="J2118" s="8">
        <f ca="1">IFERROR(__xludf.DUMMYFUNCTION("""COMPUTED_VALUE"""),0)</f>
        <v>0</v>
      </c>
      <c r="K2118" s="10" t="str">
        <f ca="1">IFERROR(__xludf.DUMMYFUNCTION("""COMPUTED_VALUE"""),"http://homicide.latimes.com/post/luis-rosas/")</f>
        <v>http://homicide.latimes.com/post/luis-rosas/</v>
      </c>
      <c r="L2118" s="8"/>
      <c r="M2118" s="8"/>
      <c r="N2118" s="8">
        <f ca="1">IFERROR(__xludf.DUMMYFUNCTION("""COMPUTED_VALUE"""),2)</f>
        <v>2</v>
      </c>
      <c r="O2118" s="8" t="str">
        <f ca="1">IFERROR(__xludf.DUMMYFUNCTION("""COMPUTED_VALUE"""),"Fall")</f>
        <v>Fall</v>
      </c>
      <c r="P2118" s="8" t="str">
        <f ca="1">IFERROR(__xludf.DUMMYFUNCTION("""COMPUTED_VALUE"""),"Bell")</f>
        <v>Bell</v>
      </c>
      <c r="Q2118" s="8" t="str">
        <f ca="1">IFERROR(__xludf.DUMMYFUNCTION("""COMPUTED_VALUE"""),"CA")</f>
        <v>CA</v>
      </c>
      <c r="R2118" s="8" t="str">
        <f ca="1">IFERROR(__xludf.DUMMYFUNCTION("""COMPUTED_VALUE"""),"High")</f>
        <v>High</v>
      </c>
      <c r="S2118" s="8" t="str">
        <f ca="1">IFERROR(__xludf.DUMMYFUNCTION("""COMPUTED_VALUE"""),"Gym")</f>
        <v>Gym</v>
      </c>
      <c r="T2118" s="8" t="str">
        <f ca="1">IFERROR(__xludf.DUMMYFUNCTION("""COMPUTED_VALUE"""),"Inside School Building")</f>
        <v>Inside School Building</v>
      </c>
      <c r="U2118" s="8" t="str">
        <f ca="1">IFERROR(__xludf.DUMMYFUNCTION("""COMPUTED_VALUE"""),"No")</f>
        <v>No</v>
      </c>
      <c r="V2118" s="8" t="str">
        <f ca="1">IFERROR(__xludf.DUMMYFUNCTION("""COMPUTED_VALUE"""),"Sport Event")</f>
        <v>Sport Event</v>
      </c>
      <c r="W2118" s="11">
        <f ca="1">IFERROR(__xludf.DUMMYFUNCTION("""COMPUTED_VALUE"""),0.833333333333333)</f>
        <v>0.83333333333333304</v>
      </c>
      <c r="X2118" s="8">
        <f ca="1">IFERROR(__xludf.DUMMYFUNCTION("""COMPUTED_VALUE"""),1)</f>
        <v>1</v>
      </c>
      <c r="Y2118" s="12" t="str">
        <f ca="1">IFERROR(__xludf.DUMMYFUNCTION("""COMPUTED_VALUE"""),"Man shot during basketball game, died in front of 40 people at youth basketball game")</f>
        <v>Man shot during basketball game, died in front of 40 people at youth basketball game</v>
      </c>
      <c r="Z2118" s="12" t="str">
        <f ca="1">IFERROR(__xludf.DUMMYFUNCTION("""COMPUTED_VALUE"""),"18YOM was shot by unknown suspect a school gym during youth basketball practice. Died in front of 40 youth basketball players.")</f>
        <v>18YOM was shot by unknown suspect a school gym during youth basketball practice. Died in front of 40 youth basketball players.</v>
      </c>
      <c r="AA2118" s="8" t="str">
        <f ca="1">IFERROR(__xludf.DUMMYFUNCTION("""COMPUTED_VALUE"""),"Escalation of Dispute")</f>
        <v>Escalation of Dispute</v>
      </c>
      <c r="AB2118" s="8"/>
      <c r="AC2118" s="8" t="str">
        <f ca="1">IFERROR(__xludf.DUMMYFUNCTION("""COMPUTED_VALUE"""),"Yes")</f>
        <v>Yes</v>
      </c>
      <c r="AD2118" s="8" t="str">
        <f ca="1">IFERROR(__xludf.DUMMYFUNCTION("""COMPUTED_VALUE"""),"Victims Targeted")</f>
        <v>Victims Targeted</v>
      </c>
      <c r="AE2118" s="8" t="str">
        <f ca="1">IFERROR(__xludf.DUMMYFUNCTION("""COMPUTED_VALUE"""),"Unknown")</f>
        <v>Unknown</v>
      </c>
      <c r="AF2118" s="8"/>
      <c r="AG2118" s="8" t="str">
        <f ca="1">IFERROR(__xludf.DUMMYFUNCTION("""COMPUTED_VALUE"""),"No")</f>
        <v>No</v>
      </c>
      <c r="AH2118" s="8" t="str">
        <f ca="1">IFERROR(__xludf.DUMMYFUNCTION("""COMPUTED_VALUE"""),"No")</f>
        <v>No</v>
      </c>
      <c r="AI2118" s="8" t="str">
        <f ca="1">IFERROR(__xludf.DUMMYFUNCTION("""COMPUTED_VALUE"""),"No")</f>
        <v>No</v>
      </c>
      <c r="AJ2118" s="8" t="str">
        <f ca="1">IFERROR(__xludf.DUMMYFUNCTION("""COMPUTED_VALUE"""),"No")</f>
        <v>No</v>
      </c>
      <c r="AK2118" s="8" t="str">
        <f ca="1">IFERROR(__xludf.DUMMYFUNCTION("""COMPUTED_VALUE"""),"No")</f>
        <v>No</v>
      </c>
      <c r="AL2118" s="8"/>
      <c r="AM2118" s="8"/>
      <c r="AN2118" s="8"/>
      <c r="AO2118" s="8" t="str">
        <f ca="1">IFERROR(__xludf.DUMMYFUNCTION("""COMPUTED_VALUE"""),"No")</f>
        <v>No</v>
      </c>
      <c r="AP2118" s="8"/>
      <c r="AQ2118" s="8" t="str">
        <f ca="1">IFERROR(__xludf.DUMMYFUNCTION("""COMPUTED_VALUE"""),"Unknown")</f>
        <v>Unknown</v>
      </c>
      <c r="AR2118" s="8" t="str">
        <f ca="1">IFERROR(__xludf.DUMMYFUNCTION("""COMPUTED_VALUE"""),"NA")</f>
        <v>NA</v>
      </c>
      <c r="AS2118" s="8"/>
      <c r="AT2118" s="8"/>
      <c r="AU2118" s="8">
        <f ca="1">IFERROR(__xludf.DUMMYFUNCTION("""COMPUTED_VALUE"""),33.974224)</f>
        <v>33.974224</v>
      </c>
      <c r="AV2118" s="8">
        <f ca="1">IFERROR(__xludf.DUMMYFUNCTION("""COMPUTED_VALUE"""),-118.190101)</f>
        <v>-118.190101</v>
      </c>
      <c r="AW2118" s="8"/>
      <c r="AX2118" s="8">
        <f ca="1">IFERROR(__xludf.DUMMYFUNCTION("""COMPUTED_VALUE"""),90201)</f>
        <v>90201</v>
      </c>
    </row>
    <row r="2119" spans="1:50" ht="45" x14ac:dyDescent="0.2">
      <c r="A2119" s="8" t="str">
        <f ca="1">IFERROR(__xludf.DUMMYFUNCTION("""COMPUTED_VALUE"""),"20081031MESTS")</f>
        <v>20081031MESTS</v>
      </c>
      <c r="B2119" s="8">
        <f ca="1">IFERROR(__xludf.DUMMYFUNCTION("""COMPUTED_VALUE"""),10)</f>
        <v>10</v>
      </c>
      <c r="C2119" s="8">
        <f ca="1">IFERROR(__xludf.DUMMYFUNCTION("""COMPUTED_VALUE"""),31)</f>
        <v>31</v>
      </c>
      <c r="D2119" s="8">
        <f ca="1">IFERROR(__xludf.DUMMYFUNCTION("""COMPUTED_VALUE"""),2008)</f>
        <v>2008</v>
      </c>
      <c r="E2119" s="9">
        <f ca="1">IFERROR(__xludf.DUMMYFUNCTION("""COMPUTED_VALUE"""),39752)</f>
        <v>39752</v>
      </c>
      <c r="F2119" s="8" t="str">
        <f ca="1">IFERROR(__xludf.DUMMYFUNCTION("""COMPUTED_VALUE"""),"Stockton Springs Elementary School")</f>
        <v>Stockton Springs Elementary School</v>
      </c>
      <c r="G2119" s="8">
        <f ca="1">IFERROR(__xludf.DUMMYFUNCTION("""COMPUTED_VALUE"""),0)</f>
        <v>0</v>
      </c>
      <c r="H2119" s="8">
        <f ca="1">IFERROR(__xludf.DUMMYFUNCTION("""COMPUTED_VALUE"""),0)</f>
        <v>0</v>
      </c>
      <c r="I2119" s="8">
        <f ca="1">IFERROR(__xludf.DUMMYFUNCTION("""COMPUTED_VALUE"""),0)</f>
        <v>0</v>
      </c>
      <c r="J2119" s="8">
        <f ca="1">IFERROR(__xludf.DUMMYFUNCTION("""COMPUTED_VALUE"""),0)</f>
        <v>0</v>
      </c>
      <c r="K2119" s="10" t="str">
        <f ca="1">IFERROR(__xludf.DUMMYFUNCTION("""COMPUTED_VALUE"""),"https://bangordailynews.com/2008/10/31/news/5th-graders-safe-after-police-arrest-armed-fugitive/")</f>
        <v>https://bangordailynews.com/2008/10/31/news/5th-graders-safe-after-police-arrest-armed-fugitive/</v>
      </c>
      <c r="L2119" s="8"/>
      <c r="M2119" s="8"/>
      <c r="N2119" s="8">
        <f ca="1">IFERROR(__xludf.DUMMYFUNCTION("""COMPUTED_VALUE"""),2)</f>
        <v>2</v>
      </c>
      <c r="O2119" s="8" t="str">
        <f ca="1">IFERROR(__xludf.DUMMYFUNCTION("""COMPUTED_VALUE"""),"Fall")</f>
        <v>Fall</v>
      </c>
      <c r="P2119" s="8" t="str">
        <f ca="1">IFERROR(__xludf.DUMMYFUNCTION("""COMPUTED_VALUE"""),"Stockton Springs")</f>
        <v>Stockton Springs</v>
      </c>
      <c r="Q2119" s="8" t="str">
        <f ca="1">IFERROR(__xludf.DUMMYFUNCTION("""COMPUTED_VALUE"""),"ME")</f>
        <v>ME</v>
      </c>
      <c r="R2119" s="8" t="str">
        <f ca="1">IFERROR(__xludf.DUMMYFUNCTION("""COMPUTED_VALUE"""),"Elementary")</f>
        <v>Elementary</v>
      </c>
      <c r="S2119" s="8" t="str">
        <f ca="1">IFERROR(__xludf.DUMMYFUNCTION("""COMPUTED_VALUE"""),"Classroom")</f>
        <v>Classroom</v>
      </c>
      <c r="T2119" s="8" t="str">
        <f ca="1">IFERROR(__xludf.DUMMYFUNCTION("""COMPUTED_VALUE"""),"Inside School Building")</f>
        <v>Inside School Building</v>
      </c>
      <c r="U2119" s="8" t="str">
        <f ca="1">IFERROR(__xludf.DUMMYFUNCTION("""COMPUTED_VALUE"""),"Yes")</f>
        <v>Yes</v>
      </c>
      <c r="V2119" s="8" t="str">
        <f ca="1">IFERROR(__xludf.DUMMYFUNCTION("""COMPUTED_VALUE"""),"Morning Classes")</f>
        <v>Morning Classes</v>
      </c>
      <c r="W2119" s="11">
        <f ca="1">IFERROR(__xludf.DUMMYFUNCTION("""COMPUTED_VALUE"""),0.354166666666666)</f>
        <v>0.35416666666666602</v>
      </c>
      <c r="X2119" s="8">
        <f ca="1">IFERROR(__xludf.DUMMYFUNCTION("""COMPUTED_VALUE"""),34)</f>
        <v>34</v>
      </c>
      <c r="Y2119" s="12" t="str">
        <f ca="1">IFERROR(__xludf.DUMMYFUNCTION("""COMPUTED_VALUE"""),"Hostage standoff at school after traffic stop")</f>
        <v>Hostage standoff at school after traffic stop</v>
      </c>
      <c r="Z2119" s="12" t="str">
        <f ca="1">IFERROR(__xludf.DUMMYFUNCTION("""COMPUTED_VALUE"""),"55YOM fled traffic stop and took 11 students hostage at nearby elementary school. Tackled by state trooper after releasing hostages.")</f>
        <v>55YOM fled traffic stop and took 11 students hostage at nearby elementary school. Tackled by state trooper after releasing hostages.</v>
      </c>
      <c r="AA2119" s="8" t="str">
        <f ca="1">IFERROR(__xludf.DUMMYFUNCTION("""COMPUTED_VALUE"""),"Hostage/Standoff")</f>
        <v>Hostage/Standoff</v>
      </c>
      <c r="AB2119" s="8"/>
      <c r="AC2119" s="8" t="str">
        <f ca="1">IFERROR(__xludf.DUMMYFUNCTION("""COMPUTED_VALUE"""),"Yes")</f>
        <v>Yes</v>
      </c>
      <c r="AD2119" s="8"/>
      <c r="AE2119" s="8" t="str">
        <f ca="1">IFERROR(__xludf.DUMMYFUNCTION("""COMPUTED_VALUE"""),"No")</f>
        <v>No</v>
      </c>
      <c r="AF2119" s="8"/>
      <c r="AG2119" s="8" t="str">
        <f ca="1">IFERROR(__xludf.DUMMYFUNCTION("""COMPUTED_VALUE"""),"Yes")</f>
        <v>Yes</v>
      </c>
      <c r="AH2119" s="8" t="str">
        <f ca="1">IFERROR(__xludf.DUMMYFUNCTION("""COMPUTED_VALUE"""),"Yes")</f>
        <v>Yes</v>
      </c>
      <c r="AI2119" s="8" t="str">
        <f ca="1">IFERROR(__xludf.DUMMYFUNCTION("""COMPUTED_VALUE"""),"No")</f>
        <v>No</v>
      </c>
      <c r="AJ2119" s="8" t="str">
        <f ca="1">IFERROR(__xludf.DUMMYFUNCTION("""COMPUTED_VALUE"""),"No")</f>
        <v>No</v>
      </c>
      <c r="AK2119" s="8" t="str">
        <f ca="1">IFERROR(__xludf.DUMMYFUNCTION("""COMPUTED_VALUE"""),"No")</f>
        <v>No</v>
      </c>
      <c r="AL2119" s="8" t="str">
        <f ca="1">IFERROR(__xludf.DUMMYFUNCTION("""COMPUTED_VALUE"""),"No")</f>
        <v>No</v>
      </c>
      <c r="AM2119" s="8" t="str">
        <f ca="1">IFERROR(__xludf.DUMMYFUNCTION("""COMPUTED_VALUE"""),"Yes")</f>
        <v>Yes</v>
      </c>
      <c r="AN2119" s="8" t="str">
        <f ca="1">IFERROR(__xludf.DUMMYFUNCTION("""COMPUTED_VALUE"""),"Single Room")</f>
        <v>Single Room</v>
      </c>
      <c r="AO2119" s="8" t="str">
        <f ca="1">IFERROR(__xludf.DUMMYFUNCTION("""COMPUTED_VALUE"""),"No")</f>
        <v>No</v>
      </c>
      <c r="AP2119" s="8"/>
      <c r="AQ2119" s="8" t="str">
        <f ca="1">IFERROR(__xludf.DUMMYFUNCTION("""COMPUTED_VALUE"""),"Unknown")</f>
        <v>Unknown</v>
      </c>
      <c r="AR2119" s="8" t="str">
        <f ca="1">IFERROR(__xludf.DUMMYFUNCTION("""COMPUTED_VALUE"""),"NA")</f>
        <v>NA</v>
      </c>
      <c r="AS2119" s="8">
        <f ca="1">IFERROR(__xludf.DUMMYFUNCTION("""COMPUTED_VALUE"""),0)</f>
        <v>0</v>
      </c>
      <c r="AT2119" s="8"/>
      <c r="AU2119" s="8">
        <f ca="1">IFERROR(__xludf.DUMMYFUNCTION("""COMPUTED_VALUE"""),44.497091)</f>
        <v>44.497090999999998</v>
      </c>
      <c r="AV2119" s="8">
        <f ca="1">IFERROR(__xludf.DUMMYFUNCTION("""COMPUTED_VALUE"""),-68.858162)</f>
        <v>-68.858161999999993</v>
      </c>
      <c r="AW2119" s="8"/>
      <c r="AX2119" s="8">
        <f ca="1">IFERROR(__xludf.DUMMYFUNCTION("""COMPUTED_VALUE"""),4981)</f>
        <v>4981</v>
      </c>
    </row>
    <row r="2120" spans="1:50" ht="45" x14ac:dyDescent="0.2">
      <c r="A2120" s="8" t="str">
        <f ca="1">IFERROR(__xludf.DUMMYFUNCTION("""COMPUTED_VALUE"""),"20081029CAELG")</f>
        <v>20081029CAELG</v>
      </c>
      <c r="B2120" s="8">
        <f ca="1">IFERROR(__xludf.DUMMYFUNCTION("""COMPUTED_VALUE"""),10)</f>
        <v>10</v>
      </c>
      <c r="C2120" s="8">
        <f ca="1">IFERROR(__xludf.DUMMYFUNCTION("""COMPUTED_VALUE"""),29)</f>
        <v>29</v>
      </c>
      <c r="D2120" s="8">
        <f ca="1">IFERROR(__xludf.DUMMYFUNCTION("""COMPUTED_VALUE"""),2008)</f>
        <v>2008</v>
      </c>
      <c r="E2120" s="9">
        <f ca="1">IFERROR(__xludf.DUMMYFUNCTION("""COMPUTED_VALUE"""),39750)</f>
        <v>39750</v>
      </c>
      <c r="F2120" s="8" t="str">
        <f ca="1">IFERROR(__xludf.DUMMYFUNCTION("""COMPUTED_VALUE"""),"Eliot Elementary School")</f>
        <v>Eliot Elementary School</v>
      </c>
      <c r="G2120" s="8">
        <f ca="1">IFERROR(__xludf.DUMMYFUNCTION("""COMPUTED_VALUE"""),0)</f>
        <v>0</v>
      </c>
      <c r="H2120" s="8">
        <f ca="1">IFERROR(__xludf.DUMMYFUNCTION("""COMPUTED_VALUE"""),1)</f>
        <v>1</v>
      </c>
      <c r="I2120" s="8">
        <f ca="1">IFERROR(__xludf.DUMMYFUNCTION("""COMPUTED_VALUE"""),1)</f>
        <v>1</v>
      </c>
      <c r="J2120" s="8">
        <f ca="1">IFERROR(__xludf.DUMMYFUNCTION("""COMPUTED_VALUE"""),0)</f>
        <v>0</v>
      </c>
      <c r="K2120" s="10" t="str">
        <f ca="1">IFERROR(__xludf.DUMMYFUNCTION("""COMPUTED_VALUE"""),"https://www.columbine-angels.com/School_Violence_2008-2009.htm")</f>
        <v>https://www.columbine-angels.com/School_Violence_2008-2009.htm</v>
      </c>
      <c r="L2120" s="8"/>
      <c r="M2120" s="8"/>
      <c r="N2120" s="8">
        <f ca="1">IFERROR(__xludf.DUMMYFUNCTION("""COMPUTED_VALUE"""),1)</f>
        <v>1</v>
      </c>
      <c r="O2120" s="8" t="str">
        <f ca="1">IFERROR(__xludf.DUMMYFUNCTION("""COMPUTED_VALUE"""),"Fall")</f>
        <v>Fall</v>
      </c>
      <c r="P2120" s="8" t="str">
        <f ca="1">IFERROR(__xludf.DUMMYFUNCTION("""COMPUTED_VALUE"""),"Gilroy")</f>
        <v>Gilroy</v>
      </c>
      <c r="Q2120" s="8" t="str">
        <f ca="1">IFERROR(__xludf.DUMMYFUNCTION("""COMPUTED_VALUE"""),"CA")</f>
        <v>CA</v>
      </c>
      <c r="R2120" s="8" t="str">
        <f ca="1">IFERROR(__xludf.DUMMYFUNCTION("""COMPUTED_VALUE"""),"Elementary")</f>
        <v>Elementary</v>
      </c>
      <c r="S2120" s="8" t="str">
        <f ca="1">IFERROR(__xludf.DUMMYFUNCTION("""COMPUTED_VALUE"""),"Classroom")</f>
        <v>Classroom</v>
      </c>
      <c r="T2120" s="8" t="str">
        <f ca="1">IFERROR(__xludf.DUMMYFUNCTION("""COMPUTED_VALUE"""),"Inside School Building")</f>
        <v>Inside School Building</v>
      </c>
      <c r="U2120" s="8" t="str">
        <f ca="1">IFERROR(__xludf.DUMMYFUNCTION("""COMPUTED_VALUE"""),"Yes")</f>
        <v>Yes</v>
      </c>
      <c r="V2120" s="8" t="str">
        <f ca="1">IFERROR(__xludf.DUMMYFUNCTION("""COMPUTED_VALUE"""),"Morning Classes")</f>
        <v>Morning Classes</v>
      </c>
      <c r="W2120" s="8"/>
      <c r="X2120" s="8">
        <f ca="1">IFERROR(__xludf.DUMMYFUNCTION("""COMPUTED_VALUE"""),1)</f>
        <v>1</v>
      </c>
      <c r="Y2120" s="12" t="str">
        <f ca="1">IFERROR(__xludf.DUMMYFUNCTION("""COMPUTED_VALUE"""),"Shot teacher with pellet gun in classroom")</f>
        <v>Shot teacher with pellet gun in classroom</v>
      </c>
      <c r="Z2120" s="12" t="str">
        <f ca="1">IFERROR(__xludf.DUMMYFUNCTION("""COMPUTED_VALUE"""),"10YOM student took pellet gun from principals office (unclear if it was his or belonged to another student). Went with the gun into a classroom and fired at a teacher.")</f>
        <v>10YOM student took pellet gun from principals office (unclear if it was his or belonged to another student). Went with the gun into a classroom and fired at a teacher.</v>
      </c>
      <c r="AA2120" s="8" t="str">
        <f ca="1">IFERROR(__xludf.DUMMYFUNCTION("""COMPUTED_VALUE"""),"Anger Over Grade/Suspension/Discipline")</f>
        <v>Anger Over Grade/Suspension/Discipline</v>
      </c>
      <c r="AB2120" s="8"/>
      <c r="AC2120" s="8" t="str">
        <f ca="1">IFERROR(__xludf.DUMMYFUNCTION("""COMPUTED_VALUE"""),"Yes")</f>
        <v>Yes</v>
      </c>
      <c r="AD2120" s="8" t="str">
        <f ca="1">IFERROR(__xludf.DUMMYFUNCTION("""COMPUTED_VALUE"""),"Victims Targeted")</f>
        <v>Victims Targeted</v>
      </c>
      <c r="AE2120" s="8" t="str">
        <f ca="1">IFERROR(__xludf.DUMMYFUNCTION("""COMPUTED_VALUE"""),"No")</f>
        <v>No</v>
      </c>
      <c r="AF2120" s="8"/>
      <c r="AG2120" s="8" t="str">
        <f ca="1">IFERROR(__xludf.DUMMYFUNCTION("""COMPUTED_VALUE"""),"No")</f>
        <v>No</v>
      </c>
      <c r="AH2120" s="8" t="str">
        <f ca="1">IFERROR(__xludf.DUMMYFUNCTION("""COMPUTED_VALUE"""),"No")</f>
        <v>No</v>
      </c>
      <c r="AI2120" s="8" t="str">
        <f ca="1">IFERROR(__xludf.DUMMYFUNCTION("""COMPUTED_VALUE"""),"No")</f>
        <v>No</v>
      </c>
      <c r="AJ2120" s="8" t="str">
        <f ca="1">IFERROR(__xludf.DUMMYFUNCTION("""COMPUTED_VALUE"""),"No")</f>
        <v>No</v>
      </c>
      <c r="AK2120" s="8" t="str">
        <f ca="1">IFERROR(__xludf.DUMMYFUNCTION("""COMPUTED_VALUE"""),"No")</f>
        <v>No</v>
      </c>
      <c r="AL2120" s="8" t="str">
        <f ca="1">IFERROR(__xludf.DUMMYFUNCTION("""COMPUTED_VALUE"""),"No")</f>
        <v>No</v>
      </c>
      <c r="AM2120" s="8"/>
      <c r="AN2120" s="8"/>
      <c r="AO2120" s="8" t="str">
        <f ca="1">IFERROR(__xludf.DUMMYFUNCTION("""COMPUTED_VALUE"""),"No")</f>
        <v>No</v>
      </c>
      <c r="AP2120" s="8"/>
      <c r="AQ2120" s="8" t="str">
        <f ca="1">IFERROR(__xludf.DUMMYFUNCTION("""COMPUTED_VALUE"""),"Unknown")</f>
        <v>Unknown</v>
      </c>
      <c r="AR2120" s="8" t="str">
        <f ca="1">IFERROR(__xludf.DUMMYFUNCTION("""COMPUTED_VALUE"""),"NA")</f>
        <v>NA</v>
      </c>
      <c r="AS2120" s="8">
        <f ca="1">IFERROR(__xludf.DUMMYFUNCTION("""COMPUTED_VALUE"""),1)</f>
        <v>1</v>
      </c>
      <c r="AT2120" s="8"/>
      <c r="AU2120" s="8">
        <f ca="1">IFERROR(__xludf.DUMMYFUNCTION("""COMPUTED_VALUE"""),37.006509)</f>
        <v>37.006509000000001</v>
      </c>
      <c r="AV2120" s="8">
        <f ca="1">IFERROR(__xludf.DUMMYFUNCTION("""COMPUTED_VALUE"""),-121.561712)</f>
        <v>-121.561712</v>
      </c>
      <c r="AW2120" s="8"/>
      <c r="AX2120" s="8">
        <f ca="1">IFERROR(__xludf.DUMMYFUNCTION("""COMPUTED_VALUE"""),95020)</f>
        <v>95020</v>
      </c>
    </row>
    <row r="2121" spans="1:50" ht="60" x14ac:dyDescent="0.2">
      <c r="A2121" s="8" t="str">
        <f ca="1">IFERROR(__xludf.DUMMYFUNCTION("""COMPUTED_VALUE"""),"20081023ALPRP")</f>
        <v>20081023ALPRP</v>
      </c>
      <c r="B2121" s="8">
        <f ca="1">IFERROR(__xludf.DUMMYFUNCTION("""COMPUTED_VALUE"""),10)</f>
        <v>10</v>
      </c>
      <c r="C2121" s="8">
        <f ca="1">IFERROR(__xludf.DUMMYFUNCTION("""COMPUTED_VALUE"""),23)</f>
        <v>23</v>
      </c>
      <c r="D2121" s="8">
        <f ca="1">IFERROR(__xludf.DUMMYFUNCTION("""COMPUTED_VALUE"""),2008)</f>
        <v>2008</v>
      </c>
      <c r="E2121" s="9">
        <f ca="1">IFERROR(__xludf.DUMMYFUNCTION("""COMPUTED_VALUE"""),39744)</f>
        <v>39744</v>
      </c>
      <c r="F2121" s="8" t="str">
        <f ca="1">IFERROR(__xludf.DUMMYFUNCTION("""COMPUTED_VALUE"""),"Prattville Christian Academy")</f>
        <v>Prattville Christian Academy</v>
      </c>
      <c r="G2121" s="8">
        <f ca="1">IFERROR(__xludf.DUMMYFUNCTION("""COMPUTED_VALUE"""),0)</f>
        <v>0</v>
      </c>
      <c r="H2121" s="8">
        <f ca="1">IFERROR(__xludf.DUMMYFUNCTION("""COMPUTED_VALUE"""),1)</f>
        <v>1</v>
      </c>
      <c r="I2121" s="8">
        <f ca="1">IFERROR(__xludf.DUMMYFUNCTION("""COMPUTED_VALUE"""),1)</f>
        <v>1</v>
      </c>
      <c r="J2121" s="8">
        <f ca="1">IFERROR(__xludf.DUMMYFUNCTION("""COMPUTED_VALUE"""),0)</f>
        <v>0</v>
      </c>
      <c r="K2121" s="10" t="str">
        <f ca="1">IFERROR(__xludf.DUMMYFUNCTION("""COMPUTED_VALUE"""),"http://www.wsfa.com/story/9234390/wsfa-12-news-update-suspect-charged-with-attempted-murder-in-prattville-shooting")</f>
        <v>http://www.wsfa.com/story/9234390/wsfa-12-news-update-suspect-charged-with-attempted-murder-in-prattville-shooting</v>
      </c>
      <c r="L2121" s="8"/>
      <c r="M2121" s="8"/>
      <c r="N2121" s="8">
        <f ca="1">IFERROR(__xludf.DUMMYFUNCTION("""COMPUTED_VALUE"""),2)</f>
        <v>2</v>
      </c>
      <c r="O2121" s="8" t="str">
        <f ca="1">IFERROR(__xludf.DUMMYFUNCTION("""COMPUTED_VALUE"""),"Fall")</f>
        <v>Fall</v>
      </c>
      <c r="P2121" s="8" t="str">
        <f ca="1">IFERROR(__xludf.DUMMYFUNCTION("""COMPUTED_VALUE"""),"Prattville")</f>
        <v>Prattville</v>
      </c>
      <c r="Q2121" s="8" t="str">
        <f ca="1">IFERROR(__xludf.DUMMYFUNCTION("""COMPUTED_VALUE"""),"AL")</f>
        <v>AL</v>
      </c>
      <c r="R2121" s="8" t="str">
        <f ca="1">IFERROR(__xludf.DUMMYFUNCTION("""COMPUTED_VALUE"""),"Other")</f>
        <v>Other</v>
      </c>
      <c r="S2121" s="8" t="str">
        <f ca="1">IFERROR(__xludf.DUMMYFUNCTION("""COMPUTED_VALUE"""),"Parking Lot")</f>
        <v>Parking Lot</v>
      </c>
      <c r="T2121" s="8" t="str">
        <f ca="1">IFERROR(__xludf.DUMMYFUNCTION("""COMPUTED_VALUE"""),"Outside on School Property")</f>
        <v>Outside on School Property</v>
      </c>
      <c r="U2121" s="8" t="str">
        <f ca="1">IFERROR(__xludf.DUMMYFUNCTION("""COMPUTED_VALUE"""),"Yes")</f>
        <v>Yes</v>
      </c>
      <c r="V2121" s="8"/>
      <c r="W2121" s="8"/>
      <c r="X2121" s="8">
        <f ca="1">IFERROR(__xludf.DUMMYFUNCTION("""COMPUTED_VALUE"""),1)</f>
        <v>1</v>
      </c>
      <c r="Y2121" s="12" t="str">
        <f ca="1">IFERROR(__xludf.DUMMYFUNCTION("""COMPUTED_VALUE"""),"Shot wife in school parking lot (custody dispute), waited for police to arrive")</f>
        <v>Shot wife in school parking lot (custody dispute), waited for police to arrive</v>
      </c>
      <c r="Z2121" s="12" t="str">
        <f ca="1">IFERROR(__xludf.DUMMYFUNCTION("""COMPUTED_VALUE"""),"50YOM shot wife in parking lot of school. Involved in ongoing domestic dispute. Waited for police to arrive and surrendered.")</f>
        <v>50YOM shot wife in parking lot of school. Involved in ongoing domestic dispute. Waited for police to arrive and surrendered.</v>
      </c>
      <c r="AA2121" s="8" t="str">
        <f ca="1">IFERROR(__xludf.DUMMYFUNCTION("""COMPUTED_VALUE"""),"Domestic w/ Targeted Victim")</f>
        <v>Domestic w/ Targeted Victim</v>
      </c>
      <c r="AB2121" s="8"/>
      <c r="AC2121" s="8" t="str">
        <f ca="1">IFERROR(__xludf.DUMMYFUNCTION("""COMPUTED_VALUE"""),"No")</f>
        <v>No</v>
      </c>
      <c r="AD2121" s="8" t="str">
        <f ca="1">IFERROR(__xludf.DUMMYFUNCTION("""COMPUTED_VALUE"""),"Victims Targeted")</f>
        <v>Victims Targeted</v>
      </c>
      <c r="AE2121" s="8" t="str">
        <f ca="1">IFERROR(__xludf.DUMMYFUNCTION("""COMPUTED_VALUE"""),"No")</f>
        <v>No</v>
      </c>
      <c r="AF2121" s="8"/>
      <c r="AG2121" s="8" t="str">
        <f ca="1">IFERROR(__xludf.DUMMYFUNCTION("""COMPUTED_VALUE"""),"No")</f>
        <v>No</v>
      </c>
      <c r="AH2121" s="8" t="str">
        <f ca="1">IFERROR(__xludf.DUMMYFUNCTION("""COMPUTED_VALUE"""),"No")</f>
        <v>No</v>
      </c>
      <c r="AI2121" s="8" t="str">
        <f ca="1">IFERROR(__xludf.DUMMYFUNCTION("""COMPUTED_VALUE"""),"No")</f>
        <v>No</v>
      </c>
      <c r="AJ2121" s="8" t="str">
        <f ca="1">IFERROR(__xludf.DUMMYFUNCTION("""COMPUTED_VALUE"""),"No")</f>
        <v>No</v>
      </c>
      <c r="AK2121" s="8" t="str">
        <f ca="1">IFERROR(__xludf.DUMMYFUNCTION("""COMPUTED_VALUE"""),"Yes")</f>
        <v>Yes</v>
      </c>
      <c r="AL2121" s="8" t="str">
        <f ca="1">IFERROR(__xludf.DUMMYFUNCTION("""COMPUTED_VALUE"""),"No")</f>
        <v>No</v>
      </c>
      <c r="AM2121" s="8"/>
      <c r="AN2121" s="8"/>
      <c r="AO2121" s="8" t="str">
        <f ca="1">IFERROR(__xludf.DUMMYFUNCTION("""COMPUTED_VALUE"""),"No")</f>
        <v>No</v>
      </c>
      <c r="AP2121" s="8"/>
      <c r="AQ2121" s="8" t="str">
        <f ca="1">IFERROR(__xludf.DUMMYFUNCTION("""COMPUTED_VALUE"""),"Unknown")</f>
        <v>Unknown</v>
      </c>
      <c r="AR2121" s="8" t="str">
        <f ca="1">IFERROR(__xludf.DUMMYFUNCTION("""COMPUTED_VALUE"""),"NA")</f>
        <v>NA</v>
      </c>
      <c r="AS2121" s="8">
        <f ca="1">IFERROR(__xludf.DUMMYFUNCTION("""COMPUTED_VALUE"""),1)</f>
        <v>1</v>
      </c>
      <c r="AT2121" s="8"/>
      <c r="AU2121" s="8">
        <f ca="1">IFERROR(__xludf.DUMMYFUNCTION("""COMPUTED_VALUE"""),32.479405)</f>
        <v>32.479405</v>
      </c>
      <c r="AV2121" s="8">
        <f ca="1">IFERROR(__xludf.DUMMYFUNCTION("""COMPUTED_VALUE"""),-86.405596)</f>
        <v>-86.405596000000003</v>
      </c>
      <c r="AW2121" s="8"/>
      <c r="AX2121" s="8">
        <f ca="1">IFERROR(__xludf.DUMMYFUNCTION("""COMPUTED_VALUE"""),36066)</f>
        <v>36066</v>
      </c>
    </row>
    <row r="2122" spans="1:50" ht="45" x14ac:dyDescent="0.2">
      <c r="A2122" s="8" t="str">
        <f ca="1">IFERROR(__xludf.DUMMYFUNCTION("""COMPUTED_VALUE"""),"20081020CAVAA")</f>
        <v>20081020CAVAA</v>
      </c>
      <c r="B2122" s="8">
        <f ca="1">IFERROR(__xludf.DUMMYFUNCTION("""COMPUTED_VALUE"""),10)</f>
        <v>10</v>
      </c>
      <c r="C2122" s="8">
        <f ca="1">IFERROR(__xludf.DUMMYFUNCTION("""COMPUTED_VALUE"""),20)</f>
        <v>20</v>
      </c>
      <c r="D2122" s="8">
        <f ca="1">IFERROR(__xludf.DUMMYFUNCTION("""COMPUTED_VALUE"""),2008)</f>
        <v>2008</v>
      </c>
      <c r="E2122" s="9">
        <f ca="1">IFERROR(__xludf.DUMMYFUNCTION("""COMPUTED_VALUE"""),39741)</f>
        <v>39741</v>
      </c>
      <c r="F2122" s="8" t="str">
        <f ca="1">IFERROR(__xludf.DUMMYFUNCTION("""COMPUTED_VALUE"""),"Vasquez High School")</f>
        <v>Vasquez High School</v>
      </c>
      <c r="G2122" s="8">
        <f ca="1">IFERROR(__xludf.DUMMYFUNCTION("""COMPUTED_VALUE"""),0)</f>
        <v>0</v>
      </c>
      <c r="H2122" s="8">
        <f ca="1">IFERROR(__xludf.DUMMYFUNCTION("""COMPUTED_VALUE"""),0)</f>
        <v>0</v>
      </c>
      <c r="I2122" s="8">
        <f ca="1">IFERROR(__xludf.DUMMYFUNCTION("""COMPUTED_VALUE"""),0)</f>
        <v>0</v>
      </c>
      <c r="J2122" s="8">
        <f ca="1">IFERROR(__xludf.DUMMYFUNCTION("""COMPUTED_VALUE"""),1)</f>
        <v>1</v>
      </c>
      <c r="K2122" s="10" t="str">
        <f ca="1">IFERROR(__xludf.DUMMYFUNCTION("""COMPUTED_VALUE"""),"https://www.newspapers.com/image/193364114/?terms=jeremiah%2Blasater")</f>
        <v>https://www.newspapers.com/image/193364114/?terms=jeremiah%2Blasater</v>
      </c>
      <c r="L2122" s="8"/>
      <c r="M2122" s="8"/>
      <c r="N2122" s="8">
        <f ca="1">IFERROR(__xludf.DUMMYFUNCTION("""COMPUTED_VALUE"""),2)</f>
        <v>2</v>
      </c>
      <c r="O2122" s="8" t="str">
        <f ca="1">IFERROR(__xludf.DUMMYFUNCTION("""COMPUTED_VALUE"""),"Fall")</f>
        <v>Fall</v>
      </c>
      <c r="P2122" s="8" t="str">
        <f ca="1">IFERROR(__xludf.DUMMYFUNCTION("""COMPUTED_VALUE"""),"Acton")</f>
        <v>Acton</v>
      </c>
      <c r="Q2122" s="8" t="str">
        <f ca="1">IFERROR(__xludf.DUMMYFUNCTION("""COMPUTED_VALUE"""),"CA")</f>
        <v>CA</v>
      </c>
      <c r="R2122" s="8" t="str">
        <f ca="1">IFERROR(__xludf.DUMMYFUNCTION("""COMPUTED_VALUE"""),"High")</f>
        <v>High</v>
      </c>
      <c r="S2122" s="8" t="str">
        <f ca="1">IFERROR(__xludf.DUMMYFUNCTION("""COMPUTED_VALUE"""),"Bathroom")</f>
        <v>Bathroom</v>
      </c>
      <c r="T2122" s="8" t="str">
        <f ca="1">IFERROR(__xludf.DUMMYFUNCTION("""COMPUTED_VALUE"""),"Inside School Building")</f>
        <v>Inside School Building</v>
      </c>
      <c r="U2122" s="8" t="str">
        <f ca="1">IFERROR(__xludf.DUMMYFUNCTION("""COMPUTED_VALUE"""),"Yes")</f>
        <v>Yes</v>
      </c>
      <c r="V2122" s="8" t="str">
        <f ca="1">IFERROR(__xludf.DUMMYFUNCTION("""COMPUTED_VALUE"""),"Afternoon Classes")</f>
        <v>Afternoon Classes</v>
      </c>
      <c r="W2122" s="8"/>
      <c r="X2122" s="8">
        <f ca="1">IFERROR(__xludf.DUMMYFUNCTION("""COMPUTED_VALUE"""),1)</f>
        <v>1</v>
      </c>
      <c r="Y2122" s="12" t="str">
        <f ca="1">IFERROR(__xludf.DUMMYFUNCTION("""COMPUTED_VALUE"""),"Suicide in bathroom following bullying")</f>
        <v>Suicide in bathroom following bullying</v>
      </c>
      <c r="Z2122" s="12" t="str">
        <f ca="1">IFERROR(__xludf.DUMMYFUNCTION("""COMPUTED_VALUE"""),"14 year old male with learning disabilities shot himself in school bathroom due to relentless bullying.")</f>
        <v>14 year old male with learning disabilities shot himself in school bathroom due to relentless bullying.</v>
      </c>
      <c r="AA2122" s="8" t="str">
        <f ca="1">IFERROR(__xludf.DUMMYFUNCTION("""COMPUTED_VALUE"""),"Suicide/Attempted")</f>
        <v>Suicide/Attempted</v>
      </c>
      <c r="AB2122" s="8"/>
      <c r="AC2122" s="8" t="str">
        <f ca="1">IFERROR(__xludf.DUMMYFUNCTION("""COMPUTED_VALUE"""),"Yes")</f>
        <v>Yes</v>
      </c>
      <c r="AD2122" s="8" t="str">
        <f ca="1">IFERROR(__xludf.DUMMYFUNCTION("""COMPUTED_VALUE"""),"Victims Targeted")</f>
        <v>Victims Targeted</v>
      </c>
      <c r="AE2122" s="8" t="str">
        <f ca="1">IFERROR(__xludf.DUMMYFUNCTION("""COMPUTED_VALUE"""),"No")</f>
        <v>No</v>
      </c>
      <c r="AF2122" s="8"/>
      <c r="AG2122" s="8" t="str">
        <f ca="1">IFERROR(__xludf.DUMMYFUNCTION("""COMPUTED_VALUE"""),"No")</f>
        <v>No</v>
      </c>
      <c r="AH2122" s="8" t="str">
        <f ca="1">IFERROR(__xludf.DUMMYFUNCTION("""COMPUTED_VALUE"""),"No")</f>
        <v>No</v>
      </c>
      <c r="AI2122" s="8" t="str">
        <f ca="1">IFERROR(__xludf.DUMMYFUNCTION("""COMPUTED_VALUE"""),"No")</f>
        <v>No</v>
      </c>
      <c r="AJ2122" s="8" t="str">
        <f ca="1">IFERROR(__xludf.DUMMYFUNCTION("""COMPUTED_VALUE"""),"Yes")</f>
        <v>Yes</v>
      </c>
      <c r="AK2122" s="8" t="str">
        <f ca="1">IFERROR(__xludf.DUMMYFUNCTION("""COMPUTED_VALUE"""),"No")</f>
        <v>No</v>
      </c>
      <c r="AL2122" s="8" t="str">
        <f ca="1">IFERROR(__xludf.DUMMYFUNCTION("""COMPUTED_VALUE"""),"No")</f>
        <v>No</v>
      </c>
      <c r="AM2122" s="8"/>
      <c r="AN2122" s="8"/>
      <c r="AO2122" s="8" t="str">
        <f ca="1">IFERROR(__xludf.DUMMYFUNCTION("""COMPUTED_VALUE"""),"No")</f>
        <v>No</v>
      </c>
      <c r="AP2122" s="8"/>
      <c r="AQ2122" s="8" t="str">
        <f ca="1">IFERROR(__xludf.DUMMYFUNCTION("""COMPUTED_VALUE"""),"Unknown")</f>
        <v>Unknown</v>
      </c>
      <c r="AR2122" s="8" t="str">
        <f ca="1">IFERROR(__xludf.DUMMYFUNCTION("""COMPUTED_VALUE"""),"NA")</f>
        <v>NA</v>
      </c>
      <c r="AS2122" s="8">
        <f ca="1">IFERROR(__xludf.DUMMYFUNCTION("""COMPUTED_VALUE"""),1)</f>
        <v>1</v>
      </c>
      <c r="AT2122" s="8"/>
      <c r="AU2122" s="8">
        <f ca="1">IFERROR(__xludf.DUMMYFUNCTION("""COMPUTED_VALUE"""),34.491741)</f>
        <v>34.491740999999998</v>
      </c>
      <c r="AV2122" s="8">
        <f ca="1">IFERROR(__xludf.DUMMYFUNCTION("""COMPUTED_VALUE"""),-118.215926)</f>
        <v>-118.215926</v>
      </c>
      <c r="AW2122" s="8"/>
      <c r="AX2122" s="8">
        <f ca="1">IFERROR(__xludf.DUMMYFUNCTION("""COMPUTED_VALUE"""),93510)</f>
        <v>93510</v>
      </c>
    </row>
    <row r="2123" spans="1:50" ht="30" x14ac:dyDescent="0.2">
      <c r="A2123" s="8" t="str">
        <f ca="1">IFERROR(__xludf.DUMMYFUNCTION("""COMPUTED_VALUE"""),"20081016MIHED")</f>
        <v>20081016MIHED</v>
      </c>
      <c r="B2123" s="8">
        <f ca="1">IFERROR(__xludf.DUMMYFUNCTION("""COMPUTED_VALUE"""),10)</f>
        <v>10</v>
      </c>
      <c r="C2123" s="8">
        <f ca="1">IFERROR(__xludf.DUMMYFUNCTION("""COMPUTED_VALUE"""),16)</f>
        <v>16</v>
      </c>
      <c r="D2123" s="8">
        <f ca="1">IFERROR(__xludf.DUMMYFUNCTION("""COMPUTED_VALUE"""),2008)</f>
        <v>2008</v>
      </c>
      <c r="E2123" s="9">
        <f ca="1">IFERROR(__xludf.DUMMYFUNCTION("""COMPUTED_VALUE"""),39737)</f>
        <v>39737</v>
      </c>
      <c r="F2123" s="8" t="str">
        <f ca="1">IFERROR(__xludf.DUMMYFUNCTION("""COMPUTED_VALUE"""),"Henry Ford High School")</f>
        <v>Henry Ford High School</v>
      </c>
      <c r="G2123" s="8">
        <f ca="1">IFERROR(__xludf.DUMMYFUNCTION("""COMPUTED_VALUE"""),1)</f>
        <v>1</v>
      </c>
      <c r="H2123" s="8">
        <f ca="1">IFERROR(__xludf.DUMMYFUNCTION("""COMPUTED_VALUE"""),3)</f>
        <v>3</v>
      </c>
      <c r="I2123" s="8">
        <f ca="1">IFERROR(__xludf.DUMMYFUNCTION("""COMPUTED_VALUE"""),4)</f>
        <v>4</v>
      </c>
      <c r="J2123" s="8">
        <f ca="1">IFERROR(__xludf.DUMMYFUNCTION("""COMPUTED_VALUE"""),0)</f>
        <v>0</v>
      </c>
      <c r="K2123" s="8" t="str">
        <f ca="1">IFERROR(__xludf.DUMMYFUNCTION("""COMPUTED_VALUE"""),"http://www.foxnews.com/story/2008/10/16/teen-killed-in-shooting-near-detroit-high-school.html
https://www.detroitnews.com/story/news/local/oakland-county/2021/11/30/school-shootings-michigan-oxford-high-school-history-bath-school-bombing/8812624002/")</f>
        <v>http://www.foxnews.com/story/2008/10/16/teen-killed-in-shooting-near-detroit-high-school.html
https://www.detroitnews.com/story/news/local/oakland-county/2021/11/30/school-shootings-michigan-oxford-high-school-history-bath-school-bombing/8812624002/</v>
      </c>
      <c r="L2123" s="8"/>
      <c r="M2123" s="8"/>
      <c r="N2123" s="8">
        <f ca="1">IFERROR(__xludf.DUMMYFUNCTION("""COMPUTED_VALUE"""),3)</f>
        <v>3</v>
      </c>
      <c r="O2123" s="8" t="str">
        <f ca="1">IFERROR(__xludf.DUMMYFUNCTION("""COMPUTED_VALUE"""),"Fall")</f>
        <v>Fall</v>
      </c>
      <c r="P2123" s="8" t="str">
        <f ca="1">IFERROR(__xludf.DUMMYFUNCTION("""COMPUTED_VALUE"""),"Detroit")</f>
        <v>Detroit</v>
      </c>
      <c r="Q2123" s="8" t="str">
        <f ca="1">IFERROR(__xludf.DUMMYFUNCTION("""COMPUTED_VALUE"""),"MI")</f>
        <v>MI</v>
      </c>
      <c r="R2123" s="8" t="str">
        <f ca="1">IFERROR(__xludf.DUMMYFUNCTION("""COMPUTED_VALUE"""),"High")</f>
        <v>High</v>
      </c>
      <c r="S2123" s="8" t="str">
        <f ca="1">IFERROR(__xludf.DUMMYFUNCTION("""COMPUTED_VALUE"""),"Front of School")</f>
        <v>Front of School</v>
      </c>
      <c r="T2123" s="8" t="str">
        <f ca="1">IFERROR(__xludf.DUMMYFUNCTION("""COMPUTED_VALUE"""),"Outside on School Property")</f>
        <v>Outside on School Property</v>
      </c>
      <c r="U2123" s="8" t="str">
        <f ca="1">IFERROR(__xludf.DUMMYFUNCTION("""COMPUTED_VALUE"""),"No")</f>
        <v>No</v>
      </c>
      <c r="V2123" s="8" t="str">
        <f ca="1">IFERROR(__xludf.DUMMYFUNCTION("""COMPUTED_VALUE"""),"Dismissal")</f>
        <v>Dismissal</v>
      </c>
      <c r="W2123" s="11">
        <f ca="1">IFERROR(__xludf.DUMMYFUNCTION("""COMPUTED_VALUE"""),0.635416666666666)</f>
        <v>0.63541666666666596</v>
      </c>
      <c r="X2123" s="8">
        <f ca="1">IFERROR(__xludf.DUMMYFUNCTION("""COMPUTED_VALUE"""),1)</f>
        <v>1</v>
      </c>
      <c r="Y2123" s="12" t="str">
        <f ca="1">IFERROR(__xludf.DUMMYFUNCTION("""COMPUTED_VALUE"""),"Gang-related drive-by outside of school")</f>
        <v>Gang-related drive-by outside of school</v>
      </c>
      <c r="Z2123" s="12" t="str">
        <f ca="1">IFERROR(__xludf.DUMMYFUNCTION("""COMPUTED_VALUE"""),"Drive-by shootings outside of school. Shooter targeted specific victims associated with a rival gang.")</f>
        <v>Drive-by shootings outside of school. Shooter targeted specific victims associated with a rival gang.</v>
      </c>
      <c r="AA2123" s="8" t="str">
        <f ca="1">IFERROR(__xludf.DUMMYFUNCTION("""COMPUTED_VALUE"""),"Drive-by Shooting")</f>
        <v>Drive-by Shooting</v>
      </c>
      <c r="AB2123" s="8"/>
      <c r="AC2123" s="8" t="str">
        <f ca="1">IFERROR(__xludf.DUMMYFUNCTION("""COMPUTED_VALUE"""),"Yes")</f>
        <v>Yes</v>
      </c>
      <c r="AD2123" s="8" t="str">
        <f ca="1">IFERROR(__xludf.DUMMYFUNCTION("""COMPUTED_VALUE"""),"Both")</f>
        <v>Both</v>
      </c>
      <c r="AE2123" s="8" t="str">
        <f ca="1">IFERROR(__xludf.DUMMYFUNCTION("""COMPUTED_VALUE"""),"Yes")</f>
        <v>Yes</v>
      </c>
      <c r="AF2123" s="8" t="str">
        <f ca="1">IFERROR(__xludf.DUMMYFUNCTION("""COMPUTED_VALUE"""),"3 students in car during drive by")</f>
        <v>3 students in car during drive by</v>
      </c>
      <c r="AG2123" s="8" t="str">
        <f ca="1">IFERROR(__xludf.DUMMYFUNCTION("""COMPUTED_VALUE"""),"No")</f>
        <v>No</v>
      </c>
      <c r="AH2123" s="8" t="str">
        <f ca="1">IFERROR(__xludf.DUMMYFUNCTION("""COMPUTED_VALUE"""),"No")</f>
        <v>No</v>
      </c>
      <c r="AI2123" s="8" t="str">
        <f ca="1">IFERROR(__xludf.DUMMYFUNCTION("""COMPUTED_VALUE"""),"No")</f>
        <v>No</v>
      </c>
      <c r="AJ2123" s="8" t="str">
        <f ca="1">IFERROR(__xludf.DUMMYFUNCTION("""COMPUTED_VALUE"""),"No")</f>
        <v>No</v>
      </c>
      <c r="AK2123" s="8" t="str">
        <f ca="1">IFERROR(__xludf.DUMMYFUNCTION("""COMPUTED_VALUE"""),"No")</f>
        <v>No</v>
      </c>
      <c r="AL2123" s="8" t="str">
        <f ca="1">IFERROR(__xludf.DUMMYFUNCTION("""COMPUTED_VALUE"""),"Yes")</f>
        <v>Yes</v>
      </c>
      <c r="AM2123" s="8"/>
      <c r="AN2123" s="8"/>
      <c r="AO2123" s="8" t="str">
        <f ca="1">IFERROR(__xludf.DUMMYFUNCTION("""COMPUTED_VALUE"""),"No")</f>
        <v>No</v>
      </c>
      <c r="AP2123" s="8"/>
      <c r="AQ2123" s="8" t="str">
        <f ca="1">IFERROR(__xludf.DUMMYFUNCTION("""COMPUTED_VALUE"""),"Unknown")</f>
        <v>Unknown</v>
      </c>
      <c r="AR2123" s="8" t="str">
        <f ca="1">IFERROR(__xludf.DUMMYFUNCTION("""COMPUTED_VALUE"""),"NA")</f>
        <v>NA</v>
      </c>
      <c r="AS2123" s="8">
        <f ca="1">IFERROR(__xludf.DUMMYFUNCTION("""COMPUTED_VALUE"""),7)</f>
        <v>7</v>
      </c>
      <c r="AT2123" s="8"/>
      <c r="AU2123" s="8">
        <f ca="1">IFERROR(__xludf.DUMMYFUNCTION("""COMPUTED_VALUE"""),42.439566)</f>
        <v>42.439565999999999</v>
      </c>
      <c r="AV2123" s="8">
        <f ca="1">IFERROR(__xludf.DUMMYFUNCTION("""COMPUTED_VALUE"""),-83.237958)</f>
        <v>-83.237958000000006</v>
      </c>
      <c r="AW2123" s="8"/>
      <c r="AX2123" s="8">
        <f ca="1">IFERROR(__xludf.DUMMYFUNCTION("""COMPUTED_VALUE"""),48219)</f>
        <v>48219</v>
      </c>
    </row>
    <row r="2124" spans="1:50" ht="45" x14ac:dyDescent="0.2">
      <c r="A2124" s="8" t="str">
        <f ca="1">IFERROR(__xludf.DUMMYFUNCTION("""COMPUTED_VALUE"""),"20080919CAGEA")</f>
        <v>20080919CAGEA</v>
      </c>
      <c r="B2124" s="8">
        <f ca="1">IFERROR(__xludf.DUMMYFUNCTION("""COMPUTED_VALUE"""),9)</f>
        <v>9</v>
      </c>
      <c r="C2124" s="8">
        <f ca="1">IFERROR(__xludf.DUMMYFUNCTION("""COMPUTED_VALUE"""),19)</f>
        <v>19</v>
      </c>
      <c r="D2124" s="8">
        <f ca="1">IFERROR(__xludf.DUMMYFUNCTION("""COMPUTED_VALUE"""),2008)</f>
        <v>2008</v>
      </c>
      <c r="E2124" s="9">
        <f ca="1">IFERROR(__xludf.DUMMYFUNCTION("""COMPUTED_VALUE"""),39710)</f>
        <v>39710</v>
      </c>
      <c r="F2124" s="8" t="str">
        <f ca="1">IFERROR(__xludf.DUMMYFUNCTION("""COMPUTED_VALUE"""),"George Washington Preparatory High School")</f>
        <v>George Washington Preparatory High School</v>
      </c>
      <c r="G2124" s="8">
        <f ca="1">IFERROR(__xludf.DUMMYFUNCTION("""COMPUTED_VALUE"""),0)</f>
        <v>0</v>
      </c>
      <c r="H2124" s="8">
        <f ca="1">IFERROR(__xludf.DUMMYFUNCTION("""COMPUTED_VALUE"""),2)</f>
        <v>2</v>
      </c>
      <c r="I2124" s="8">
        <f ca="1">IFERROR(__xludf.DUMMYFUNCTION("""COMPUTED_VALUE"""),2)</f>
        <v>2</v>
      </c>
      <c r="J2124" s="8">
        <f ca="1">IFERROR(__xludf.DUMMYFUNCTION("""COMPUTED_VALUE"""),0)</f>
        <v>0</v>
      </c>
      <c r="K2124" s="10" t="str">
        <f ca="1">IFERROR(__xludf.DUMMYFUNCTION("""COMPUTED_VALUE"""),"http://www.latimes.com/local/la-me-shoot21-2008sep21-story.html")</f>
        <v>http://www.latimes.com/local/la-me-shoot21-2008sep21-story.html</v>
      </c>
      <c r="L2124" s="8"/>
      <c r="M2124" s="8"/>
      <c r="N2124" s="8">
        <f ca="1">IFERROR(__xludf.DUMMYFUNCTION("""COMPUTED_VALUE"""),2)</f>
        <v>2</v>
      </c>
      <c r="O2124" s="8" t="str">
        <f ca="1">IFERROR(__xludf.DUMMYFUNCTION("""COMPUTED_VALUE"""),"Fall")</f>
        <v>Fall</v>
      </c>
      <c r="P2124" s="8" t="str">
        <f ca="1">IFERROR(__xludf.DUMMYFUNCTION("""COMPUTED_VALUE"""),"Athens")</f>
        <v>Athens</v>
      </c>
      <c r="Q2124" s="8" t="str">
        <f ca="1">IFERROR(__xludf.DUMMYFUNCTION("""COMPUTED_VALUE"""),"CA")</f>
        <v>CA</v>
      </c>
      <c r="R2124" s="8" t="str">
        <f ca="1">IFERROR(__xludf.DUMMYFUNCTION("""COMPUTED_VALUE"""),"High")</f>
        <v>High</v>
      </c>
      <c r="S2124" s="8" t="str">
        <f ca="1">IFERROR(__xludf.DUMMYFUNCTION("""COMPUTED_VALUE"""),"Football Field/Track")</f>
        <v>Football Field/Track</v>
      </c>
      <c r="T2124" s="8" t="str">
        <f ca="1">IFERROR(__xludf.DUMMYFUNCTION("""COMPUTED_VALUE"""),"Outside on School Property")</f>
        <v>Outside on School Property</v>
      </c>
      <c r="U2124" s="8" t="str">
        <f ca="1">IFERROR(__xludf.DUMMYFUNCTION("""COMPUTED_VALUE"""),"No")</f>
        <v>No</v>
      </c>
      <c r="V2124" s="8" t="str">
        <f ca="1">IFERROR(__xludf.DUMMYFUNCTION("""COMPUTED_VALUE"""),"Sport Event")</f>
        <v>Sport Event</v>
      </c>
      <c r="W2124" s="11">
        <f ca="1">IFERROR(__xludf.DUMMYFUNCTION("""COMPUTED_VALUE"""),0.75)</f>
        <v>0.75</v>
      </c>
      <c r="X2124" s="8">
        <f ca="1">IFERROR(__xludf.DUMMYFUNCTION("""COMPUTED_VALUE"""),1)</f>
        <v>1</v>
      </c>
      <c r="Y2124" s="12" t="str">
        <f ca="1">IFERROR(__xludf.DUMMYFUNCTION("""COMPUTED_VALUE"""),"Gang related shooting after football game")</f>
        <v>Gang related shooting after football game</v>
      </c>
      <c r="Z2124" s="12" t="str">
        <f ca="1">IFERROR(__xludf.DUMMYFUNCTION("""COMPUTED_VALUE"""),"Gang-related shooting outside of football field during game. 12YOF and 19YOM shot. Unknown if victims were targeted.")</f>
        <v>Gang-related shooting outside of football field during game. 12YOF and 19YOM shot. Unknown if victims were targeted.</v>
      </c>
      <c r="AA2124" s="8" t="str">
        <f ca="1">IFERROR(__xludf.DUMMYFUNCTION("""COMPUTED_VALUE"""),"Escalation of Dispute")</f>
        <v>Escalation of Dispute</v>
      </c>
      <c r="AB2124" s="8"/>
      <c r="AC2124" s="8" t="str">
        <f ca="1">IFERROR(__xludf.DUMMYFUNCTION("""COMPUTED_VALUE"""),"Yes")</f>
        <v>Yes</v>
      </c>
      <c r="AD2124" s="8" t="str">
        <f ca="1">IFERROR(__xludf.DUMMYFUNCTION("""COMPUTED_VALUE"""),"Both")</f>
        <v>Both</v>
      </c>
      <c r="AE2124" s="8" t="str">
        <f ca="1">IFERROR(__xludf.DUMMYFUNCTION("""COMPUTED_VALUE"""),"Yes")</f>
        <v>Yes</v>
      </c>
      <c r="AF2124" s="8" t="str">
        <f ca="1">IFERROR(__xludf.DUMMYFUNCTION("""COMPUTED_VALUE"""),"4 arrested")</f>
        <v>4 arrested</v>
      </c>
      <c r="AG2124" s="8" t="str">
        <f ca="1">IFERROR(__xludf.DUMMYFUNCTION("""COMPUTED_VALUE"""),"No")</f>
        <v>No</v>
      </c>
      <c r="AH2124" s="8" t="str">
        <f ca="1">IFERROR(__xludf.DUMMYFUNCTION("""COMPUTED_VALUE"""),"No")</f>
        <v>No</v>
      </c>
      <c r="AI2124" s="8" t="str">
        <f ca="1">IFERROR(__xludf.DUMMYFUNCTION("""COMPUTED_VALUE"""),"No")</f>
        <v>No</v>
      </c>
      <c r="AJ2124" s="8" t="str">
        <f ca="1">IFERROR(__xludf.DUMMYFUNCTION("""COMPUTED_VALUE"""),"No")</f>
        <v>No</v>
      </c>
      <c r="AK2124" s="8" t="str">
        <f ca="1">IFERROR(__xludf.DUMMYFUNCTION("""COMPUTED_VALUE"""),"No")</f>
        <v>No</v>
      </c>
      <c r="AL2124" s="8" t="str">
        <f ca="1">IFERROR(__xludf.DUMMYFUNCTION("""COMPUTED_VALUE"""),"Yes")</f>
        <v>Yes</v>
      </c>
      <c r="AM2124" s="8"/>
      <c r="AN2124" s="8"/>
      <c r="AO2124" s="8" t="str">
        <f ca="1">IFERROR(__xludf.DUMMYFUNCTION("""COMPUTED_VALUE"""),"No")</f>
        <v>No</v>
      </c>
      <c r="AP2124" s="8"/>
      <c r="AQ2124" s="8" t="str">
        <f ca="1">IFERROR(__xludf.DUMMYFUNCTION("""COMPUTED_VALUE"""),"Unknown")</f>
        <v>Unknown</v>
      </c>
      <c r="AR2124" s="8" t="str">
        <f ca="1">IFERROR(__xludf.DUMMYFUNCTION("""COMPUTED_VALUE"""),"NA")</f>
        <v>NA</v>
      </c>
      <c r="AS2124" s="8"/>
      <c r="AT2124" s="8"/>
      <c r="AU2124" s="8">
        <f ca="1">IFERROR(__xludf.DUMMYFUNCTION("""COMPUTED_VALUE"""),33.937146)</f>
        <v>33.937145999999998</v>
      </c>
      <c r="AV2124" s="8">
        <f ca="1">IFERROR(__xludf.DUMMYFUNCTION("""COMPUTED_VALUE"""),-118.304136)</f>
        <v>-118.304136</v>
      </c>
      <c r="AW2124" s="8"/>
      <c r="AX2124" s="8">
        <f ca="1">IFERROR(__xludf.DUMMYFUNCTION("""COMPUTED_VALUE"""),90050)</f>
        <v>90050</v>
      </c>
    </row>
    <row r="2125" spans="1:50" ht="45" x14ac:dyDescent="0.2">
      <c r="A2125" s="8" t="str">
        <f ca="1">IFERROR(__xludf.DUMMYFUNCTION("""COMPUTED_VALUE"""),"20080915CAMIS")</f>
        <v>20080915CAMIS</v>
      </c>
      <c r="B2125" s="8">
        <f ca="1">IFERROR(__xludf.DUMMYFUNCTION("""COMPUTED_VALUE"""),9)</f>
        <v>9</v>
      </c>
      <c r="C2125" s="8">
        <f ca="1">IFERROR(__xludf.DUMMYFUNCTION("""COMPUTED_VALUE"""),15)</f>
        <v>15</v>
      </c>
      <c r="D2125" s="8">
        <f ca="1">IFERROR(__xludf.DUMMYFUNCTION("""COMPUTED_VALUE"""),2008)</f>
        <v>2008</v>
      </c>
      <c r="E2125" s="9">
        <f ca="1">IFERROR(__xludf.DUMMYFUNCTION("""COMPUTED_VALUE"""),39706)</f>
        <v>39706</v>
      </c>
      <c r="F2125" s="8" t="str">
        <f ca="1">IFERROR(__xludf.DUMMYFUNCTION("""COMPUTED_VALUE"""),"Mira Loma High School")</f>
        <v>Mira Loma High School</v>
      </c>
      <c r="G2125" s="8">
        <f ca="1">IFERROR(__xludf.DUMMYFUNCTION("""COMPUTED_VALUE"""),0)</f>
        <v>0</v>
      </c>
      <c r="H2125" s="8">
        <f ca="1">IFERROR(__xludf.DUMMYFUNCTION("""COMPUTED_VALUE"""),0)</f>
        <v>0</v>
      </c>
      <c r="I2125" s="8">
        <f ca="1">IFERROR(__xludf.DUMMYFUNCTION("""COMPUTED_VALUE"""),0)</f>
        <v>0</v>
      </c>
      <c r="J2125" s="8">
        <f ca="1">IFERROR(__xludf.DUMMYFUNCTION("""COMPUTED_VALUE"""),1)</f>
        <v>1</v>
      </c>
      <c r="K2125" s="10" t="str">
        <f ca="1">IFERROR(__xludf.DUMMYFUNCTION("""COMPUTED_VALUE"""),"https://www.mcclatchydc.com/news/nation-world/national/article24600571.html")</f>
        <v>https://www.mcclatchydc.com/news/nation-world/national/article24600571.html</v>
      </c>
      <c r="L2125" s="8"/>
      <c r="M2125" s="8"/>
      <c r="N2125" s="8">
        <f ca="1">IFERROR(__xludf.DUMMYFUNCTION("""COMPUTED_VALUE"""),2)</f>
        <v>2</v>
      </c>
      <c r="O2125" s="8" t="str">
        <f ca="1">IFERROR(__xludf.DUMMYFUNCTION("""COMPUTED_VALUE"""),"Fall")</f>
        <v>Fall</v>
      </c>
      <c r="P2125" s="8" t="str">
        <f ca="1">IFERROR(__xludf.DUMMYFUNCTION("""COMPUTED_VALUE"""),"Sacramento")</f>
        <v>Sacramento</v>
      </c>
      <c r="Q2125" s="8" t="str">
        <f ca="1">IFERROR(__xludf.DUMMYFUNCTION("""COMPUTED_VALUE"""),"CA")</f>
        <v>CA</v>
      </c>
      <c r="R2125" s="8" t="str">
        <f ca="1">IFERROR(__xludf.DUMMYFUNCTION("""COMPUTED_VALUE"""),"High")</f>
        <v>High</v>
      </c>
      <c r="S2125" s="8" t="str">
        <f ca="1">IFERROR(__xludf.DUMMYFUNCTION("""COMPUTED_VALUE"""),"Bathroom")</f>
        <v>Bathroom</v>
      </c>
      <c r="T2125" s="8" t="str">
        <f ca="1">IFERROR(__xludf.DUMMYFUNCTION("""COMPUTED_VALUE"""),"Inside School Building")</f>
        <v>Inside School Building</v>
      </c>
      <c r="U2125" s="8" t="str">
        <f ca="1">IFERROR(__xludf.DUMMYFUNCTION("""COMPUTED_VALUE"""),"Yes")</f>
        <v>Yes</v>
      </c>
      <c r="V2125" s="8" t="str">
        <f ca="1">IFERROR(__xludf.DUMMYFUNCTION("""COMPUTED_VALUE"""),"Morning Classes")</f>
        <v>Morning Classes</v>
      </c>
      <c r="W2125" s="8"/>
      <c r="X2125" s="8">
        <f ca="1">IFERROR(__xludf.DUMMYFUNCTION("""COMPUTED_VALUE"""),1)</f>
        <v>1</v>
      </c>
      <c r="Y2125" s="12" t="str">
        <f ca="1">IFERROR(__xludf.DUMMYFUNCTION("""COMPUTED_VALUE"""),"Shot self in school bathroom, bullied for being gay")</f>
        <v>Shot self in school bathroom, bullied for being gay</v>
      </c>
      <c r="Z2125" s="12" t="str">
        <f ca="1">IFERROR(__xludf.DUMMYFUNCTION("""COMPUTED_VALUE"""),"17YOM commit suicide in school bathroom. Was bullied for being gay through emails and text messages.")</f>
        <v>17YOM commit suicide in school bathroom. Was bullied for being gay through emails and text messages.</v>
      </c>
      <c r="AA2125" s="8" t="str">
        <f ca="1">IFERROR(__xludf.DUMMYFUNCTION("""COMPUTED_VALUE"""),"Suicide/Attempted")</f>
        <v>Suicide/Attempted</v>
      </c>
      <c r="AB2125" s="8"/>
      <c r="AC2125" s="8" t="str">
        <f ca="1">IFERROR(__xludf.DUMMYFUNCTION("""COMPUTED_VALUE"""),"Yes")</f>
        <v>Yes</v>
      </c>
      <c r="AD2125" s="8" t="str">
        <f ca="1">IFERROR(__xludf.DUMMYFUNCTION("""COMPUTED_VALUE"""),"Victims Targeted")</f>
        <v>Victims Targeted</v>
      </c>
      <c r="AE2125" s="8" t="str">
        <f ca="1">IFERROR(__xludf.DUMMYFUNCTION("""COMPUTED_VALUE"""),"No")</f>
        <v>No</v>
      </c>
      <c r="AF2125" s="8"/>
      <c r="AG2125" s="8" t="str">
        <f ca="1">IFERROR(__xludf.DUMMYFUNCTION("""COMPUTED_VALUE"""),"No")</f>
        <v>No</v>
      </c>
      <c r="AH2125" s="8" t="str">
        <f ca="1">IFERROR(__xludf.DUMMYFUNCTION("""COMPUTED_VALUE"""),"No")</f>
        <v>No</v>
      </c>
      <c r="AI2125" s="8" t="str">
        <f ca="1">IFERROR(__xludf.DUMMYFUNCTION("""COMPUTED_VALUE"""),"No")</f>
        <v>No</v>
      </c>
      <c r="AJ2125" s="8" t="str">
        <f ca="1">IFERROR(__xludf.DUMMYFUNCTION("""COMPUTED_VALUE"""),"Yes")</f>
        <v>Yes</v>
      </c>
      <c r="AK2125" s="8" t="str">
        <f ca="1">IFERROR(__xludf.DUMMYFUNCTION("""COMPUTED_VALUE"""),"No")</f>
        <v>No</v>
      </c>
      <c r="AL2125" s="8" t="str">
        <f ca="1">IFERROR(__xludf.DUMMYFUNCTION("""COMPUTED_VALUE"""),"No")</f>
        <v>No</v>
      </c>
      <c r="AM2125" s="8"/>
      <c r="AN2125" s="8"/>
      <c r="AO2125" s="8" t="str">
        <f ca="1">IFERROR(__xludf.DUMMYFUNCTION("""COMPUTED_VALUE"""),"No")</f>
        <v>No</v>
      </c>
      <c r="AP2125" s="8"/>
      <c r="AQ2125" s="8" t="str">
        <f ca="1">IFERROR(__xludf.DUMMYFUNCTION("""COMPUTED_VALUE"""),"Unknown")</f>
        <v>Unknown</v>
      </c>
      <c r="AR2125" s="8" t="str">
        <f ca="1">IFERROR(__xludf.DUMMYFUNCTION("""COMPUTED_VALUE"""),"NA")</f>
        <v>NA</v>
      </c>
      <c r="AS2125" s="8">
        <f ca="1">IFERROR(__xludf.DUMMYFUNCTION("""COMPUTED_VALUE"""),1)</f>
        <v>1</v>
      </c>
      <c r="AT2125" s="8"/>
      <c r="AU2125" s="8">
        <f ca="1">IFERROR(__xludf.DUMMYFUNCTION("""COMPUTED_VALUE"""),38.632001)</f>
        <v>38.632001000000002</v>
      </c>
      <c r="AV2125" s="8">
        <f ca="1">IFERROR(__xludf.DUMMYFUNCTION("""COMPUTED_VALUE"""),-121.370911)</f>
        <v>-121.37091100000001</v>
      </c>
      <c r="AW2125" s="8"/>
      <c r="AX2125" s="8">
        <f ca="1">IFERROR(__xludf.DUMMYFUNCTION("""COMPUTED_VALUE"""),95821)</f>
        <v>95821</v>
      </c>
    </row>
    <row r="2126" spans="1:50" ht="210" x14ac:dyDescent="0.2">
      <c r="A2126" s="8" t="str">
        <f ca="1">IFERROR(__xludf.DUMMYFUNCTION("""COMPUTED_VALUE"""),"20080902OHSOW")</f>
        <v>20080902OHSOW</v>
      </c>
      <c r="B2126" s="8">
        <f ca="1">IFERROR(__xludf.DUMMYFUNCTION("""COMPUTED_VALUE"""),9)</f>
        <v>9</v>
      </c>
      <c r="C2126" s="8">
        <f ca="1">IFERROR(__xludf.DUMMYFUNCTION("""COMPUTED_VALUE"""),2)</f>
        <v>2</v>
      </c>
      <c r="D2126" s="8">
        <f ca="1">IFERROR(__xludf.DUMMYFUNCTION("""COMPUTED_VALUE"""),2008)</f>
        <v>2008</v>
      </c>
      <c r="E2126" s="9">
        <f ca="1">IFERROR(__xludf.DUMMYFUNCTION("""COMPUTED_VALUE"""),39693)</f>
        <v>39693</v>
      </c>
      <c r="F2126" s="8" t="str">
        <f ca="1">IFERROR(__xludf.DUMMYFUNCTION("""COMPUTED_VALUE"""),"South High School")</f>
        <v>South High School</v>
      </c>
      <c r="G2126" s="8">
        <f ca="1">IFERROR(__xludf.DUMMYFUNCTION("""COMPUTED_VALUE"""),0)</f>
        <v>0</v>
      </c>
      <c r="H2126" s="8">
        <f ca="1">IFERROR(__xludf.DUMMYFUNCTION("""COMPUTED_VALUE"""),0)</f>
        <v>0</v>
      </c>
      <c r="I2126" s="8">
        <f ca="1">IFERROR(__xludf.DUMMYFUNCTION("""COMPUTED_VALUE"""),0)</f>
        <v>0</v>
      </c>
      <c r="J2126" s="8">
        <f ca="1">IFERROR(__xludf.DUMMYFUNCTION("""COMPUTED_VALUE"""),0)</f>
        <v>0</v>
      </c>
      <c r="K2126" s="8" t="str">
        <f ca="1">IFERROR(__xludf.DUMMYFUNCTION("""COMPUTED_VALUE"""),"http://blog.cleveland.com/metro/2008/09/teen_fires_gun_in_high_school.html
https://www.10tv.com/article/news/investigations/10-investigates/ohio-school-shooter-talks-about-lessons-learned-in-2008-incident/530-3ecac390-35f1-45f2-8ae0-a1cf47dd6a52")</f>
        <v>http://blog.cleveland.com/metro/2008/09/teen_fires_gun_in_high_school.html
https://www.10tv.com/article/news/investigations/10-investigates/ohio-school-shooter-talks-about-lessons-learned-in-2008-incident/530-3ecac390-35f1-45f2-8ae0-a1cf47dd6a52</v>
      </c>
      <c r="L2126" s="8"/>
      <c r="M2126" s="8" t="str">
        <f ca="1">IFERROR(__xludf.DUMMYFUNCTION("""COMPUTED_VALUE"""),"National")</f>
        <v>National</v>
      </c>
      <c r="N2126" s="8">
        <f ca="1">IFERROR(__xludf.DUMMYFUNCTION("""COMPUTED_VALUE"""),5)</f>
        <v>5</v>
      </c>
      <c r="O2126" s="8" t="str">
        <f ca="1">IFERROR(__xludf.DUMMYFUNCTION("""COMPUTED_VALUE"""),"Fall")</f>
        <v>Fall</v>
      </c>
      <c r="P2126" s="8" t="str">
        <f ca="1">IFERROR(__xludf.DUMMYFUNCTION("""COMPUTED_VALUE"""),"Willoughby")</f>
        <v>Willoughby</v>
      </c>
      <c r="Q2126" s="8" t="str">
        <f ca="1">IFERROR(__xludf.DUMMYFUNCTION("""COMPUTED_VALUE"""),"OH")</f>
        <v>OH</v>
      </c>
      <c r="R2126" s="8" t="str">
        <f ca="1">IFERROR(__xludf.DUMMYFUNCTION("""COMPUTED_VALUE"""),"High")</f>
        <v>High</v>
      </c>
      <c r="S2126" s="8" t="str">
        <f ca="1">IFERROR(__xludf.DUMMYFUNCTION("""COMPUTED_VALUE"""),"Classroom")</f>
        <v>Classroom</v>
      </c>
      <c r="T2126" s="8" t="str">
        <f ca="1">IFERROR(__xludf.DUMMYFUNCTION("""COMPUTED_VALUE"""),"Inside School Building")</f>
        <v>Inside School Building</v>
      </c>
      <c r="U2126" s="8" t="str">
        <f ca="1">IFERROR(__xludf.DUMMYFUNCTION("""COMPUTED_VALUE"""),"Yes")</f>
        <v>Yes</v>
      </c>
      <c r="V2126" s="8" t="str">
        <f ca="1">IFERROR(__xludf.DUMMYFUNCTION("""COMPUTED_VALUE"""),"Morning Classes")</f>
        <v>Morning Classes</v>
      </c>
      <c r="W2126" s="8"/>
      <c r="X2126" s="8">
        <f ca="1">IFERROR(__xludf.DUMMYFUNCTION("""COMPUTED_VALUE"""),5)</f>
        <v>5</v>
      </c>
      <c r="Y2126" s="12" t="str">
        <f ca="1">IFERROR(__xludf.DUMMYFUNCTION("""COMPUTED_VALUE"""),"Planned to kill students who had bullied him, studied other school shootings, fired 2 shots (one into ceiling and one at trophy case), and then surrendered to school officials. 
")</f>
        <v xml:space="preserve">Planned to kill students who had bullied him, studied other school shootings, fired 2 shots (one into ceiling and one at trophy case), and then surrendered to school officials. 
</v>
      </c>
      <c r="Z2126" s="12" t="str">
        <f ca="1">IFERROR(__xludf.DUMMYFUNCTION("""COMPUTED_VALUE"""),"Walked into class with gun and asked girl if she ""wanted to say goodbye"". Had intent to kill himself. Shot into ceiling. In interview, Jevnikar said he had been bullied and that years of being angry and depressed led to him having suicidal thoughts. He "&amp;"became obsessed with school shootings. Prior to the day of the incident, Jenvikar admits he probably had an idea of people he wanted to hurt, people that picked on him growing up. On that day, however, he said he did not have any thoughts of hurting anyon"&amp;"e else as it was happening. ""After shooting the first shot, I almost clicked back into reality,"" Jevnikar said. ""Oh my God. What am I doing?"" Spent months planning the shooting, watching videos of other school shootings, and felt that he had to end hi"&amp;"s life that day.")</f>
        <v>Walked into class with gun and asked girl if she "wanted to say goodbye". Had intent to kill himself. Shot into ceiling. In interview, Jevnikar said he had been bullied and that years of being angry and depressed led to him having suicidal thoughts. He became obsessed with school shootings. Prior to the day of the incident, Jenvikar admits he probably had an idea of people he wanted to hurt, people that picked on him growing up. On that day, however, he said he did not have any thoughts of hurting anyone else as it was happening. "After shooting the first shot, I almost clicked back into reality," Jevnikar said. "Oh my God. What am I doing?" Spent months planning the shooting, watching videos of other school shootings, and felt that he had to end his life that day.</v>
      </c>
      <c r="AA2126" s="8" t="str">
        <f ca="1">IFERROR(__xludf.DUMMYFUNCTION("""COMPUTED_VALUE"""),"Indiscriminate Shooting")</f>
        <v>Indiscriminate Shooting</v>
      </c>
      <c r="AB2126" s="8"/>
      <c r="AC2126" s="8" t="str">
        <f ca="1">IFERROR(__xludf.DUMMYFUNCTION("""COMPUTED_VALUE"""),"Yes")</f>
        <v>Yes</v>
      </c>
      <c r="AD2126" s="8" t="str">
        <f ca="1">IFERROR(__xludf.DUMMYFUNCTION("""COMPUTED_VALUE"""),"Victims Targeted")</f>
        <v>Victims Targeted</v>
      </c>
      <c r="AE2126" s="8" t="str">
        <f ca="1">IFERROR(__xludf.DUMMYFUNCTION("""COMPUTED_VALUE"""),"No")</f>
        <v>No</v>
      </c>
      <c r="AF2126" s="8"/>
      <c r="AG2126" s="8" t="str">
        <f ca="1">IFERROR(__xludf.DUMMYFUNCTION("""COMPUTED_VALUE"""),"No")</f>
        <v>No</v>
      </c>
      <c r="AH2126" s="8" t="str">
        <f ca="1">IFERROR(__xludf.DUMMYFUNCTION("""COMPUTED_VALUE"""),"No")</f>
        <v>No</v>
      </c>
      <c r="AI2126" s="8" t="str">
        <f ca="1">IFERROR(__xludf.DUMMYFUNCTION("""COMPUTED_VALUE"""),"No")</f>
        <v>No</v>
      </c>
      <c r="AJ2126" s="8" t="str">
        <f ca="1">IFERROR(__xludf.DUMMYFUNCTION("""COMPUTED_VALUE"""),"Yes")</f>
        <v>Yes</v>
      </c>
      <c r="AK2126" s="8" t="str">
        <f ca="1">IFERROR(__xludf.DUMMYFUNCTION("""COMPUTED_VALUE"""),"No")</f>
        <v>No</v>
      </c>
      <c r="AL2126" s="8" t="str">
        <f ca="1">IFERROR(__xludf.DUMMYFUNCTION("""COMPUTED_VALUE"""),"No")</f>
        <v>No</v>
      </c>
      <c r="AM2126" s="8" t="str">
        <f ca="1">IFERROR(__xludf.DUMMYFUNCTION("""COMPUTED_VALUE"""),"Yes")</f>
        <v>Yes</v>
      </c>
      <c r="AN2126" s="8" t="str">
        <f ca="1">IFERROR(__xludf.DUMMYFUNCTION("""COMPUTED_VALUE"""),"Single Room")</f>
        <v>Single Room</v>
      </c>
      <c r="AO2126" s="8" t="str">
        <f ca="1">IFERROR(__xludf.DUMMYFUNCTION("""COMPUTED_VALUE"""),"Yes")</f>
        <v>Yes</v>
      </c>
      <c r="AP2126" s="8"/>
      <c r="AQ2126" s="8" t="str">
        <f ca="1">IFERROR(__xludf.DUMMYFUNCTION("""COMPUTED_VALUE"""),"Unknown")</f>
        <v>Unknown</v>
      </c>
      <c r="AR2126" s="8" t="str">
        <f ca="1">IFERROR(__xludf.DUMMYFUNCTION("""COMPUTED_VALUE"""),"NA")</f>
        <v>NA</v>
      </c>
      <c r="AS2126" s="8">
        <f ca="1">IFERROR(__xludf.DUMMYFUNCTION("""COMPUTED_VALUE"""),2)</f>
        <v>2</v>
      </c>
      <c r="AT2126" s="8"/>
      <c r="AU2126" s="8">
        <f ca="1">IFERROR(__xludf.DUMMYFUNCTION("""COMPUTED_VALUE"""),41.625392)</f>
        <v>41.625391999999998</v>
      </c>
      <c r="AV2126" s="8">
        <f ca="1">IFERROR(__xludf.DUMMYFUNCTION("""COMPUTED_VALUE"""),-81.420829)</f>
        <v>-81.420828999999998</v>
      </c>
      <c r="AW2126" s="8"/>
      <c r="AX2126" s="8">
        <f ca="1">IFERROR(__xludf.DUMMYFUNCTION("""COMPUTED_VALUE"""),44094)</f>
        <v>44094</v>
      </c>
    </row>
    <row r="2127" spans="1:50" ht="105" x14ac:dyDescent="0.2">
      <c r="A2127" s="8" t="str">
        <f ca="1">IFERROR(__xludf.DUMMYFUNCTION("""COMPUTED_VALUE"""),"20080821TNCEK")</f>
        <v>20080821TNCEK</v>
      </c>
      <c r="B2127" s="8">
        <f ca="1">IFERROR(__xludf.DUMMYFUNCTION("""COMPUTED_VALUE"""),8)</f>
        <v>8</v>
      </c>
      <c r="C2127" s="8">
        <f ca="1">IFERROR(__xludf.DUMMYFUNCTION("""COMPUTED_VALUE"""),21)</f>
        <v>21</v>
      </c>
      <c r="D2127" s="8">
        <f ca="1">IFERROR(__xludf.DUMMYFUNCTION("""COMPUTED_VALUE"""),2008)</f>
        <v>2008</v>
      </c>
      <c r="E2127" s="9">
        <f ca="1">IFERROR(__xludf.DUMMYFUNCTION("""COMPUTED_VALUE"""),39681)</f>
        <v>39681</v>
      </c>
      <c r="F2127" s="8" t="str">
        <f ca="1">IFERROR(__xludf.DUMMYFUNCTION("""COMPUTED_VALUE"""),"Central High School")</f>
        <v>Central High School</v>
      </c>
      <c r="G2127" s="8">
        <f ca="1">IFERROR(__xludf.DUMMYFUNCTION("""COMPUTED_VALUE"""),1)</f>
        <v>1</v>
      </c>
      <c r="H2127" s="8">
        <f ca="1">IFERROR(__xludf.DUMMYFUNCTION("""COMPUTED_VALUE"""),0)</f>
        <v>0</v>
      </c>
      <c r="I2127" s="8">
        <f ca="1">IFERROR(__xludf.DUMMYFUNCTION("""COMPUTED_VALUE"""),1)</f>
        <v>1</v>
      </c>
      <c r="J2127" s="8">
        <f ca="1">IFERROR(__xludf.DUMMYFUNCTION("""COMPUTED_VALUE"""),0)</f>
        <v>0</v>
      </c>
      <c r="K2127" s="8" t="str">
        <f ca="1">IFERROR(__xludf.DUMMYFUNCTION("""COMPUTED_VALUE"""),"https://www.actionnews5.com/story/8877429/student-killed-in-shooting-at-knoxville-school/ https://tn.chalkbeat.org/2021/4/13/22382033/tennessees-fatal-shooting-is-first-inside-of-school-since-massive-security-investments-in-campuses https://www.columbine-"&amp;"angels.com/School_Violence_2008-2009.htm")</f>
        <v>https://www.actionnews5.com/story/8877429/student-killed-in-shooting-at-knoxville-school/ https://tn.chalkbeat.org/2021/4/13/22382033/tennessees-fatal-shooting-is-first-inside-of-school-since-massive-security-investments-in-campuses https://www.columbine-angels.com/School_Violence_2008-2009.htm</v>
      </c>
      <c r="L2127" s="8"/>
      <c r="M2127" s="8" t="str">
        <f ca="1">IFERROR(__xludf.DUMMYFUNCTION("""COMPUTED_VALUE"""),"Local")</f>
        <v>Local</v>
      </c>
      <c r="N2127" s="8">
        <f ca="1">IFERROR(__xludf.DUMMYFUNCTION("""COMPUTED_VALUE"""),4)</f>
        <v>4</v>
      </c>
      <c r="O2127" s="8" t="str">
        <f ca="1">IFERROR(__xludf.DUMMYFUNCTION("""COMPUTED_VALUE"""),"Fall")</f>
        <v>Fall</v>
      </c>
      <c r="P2127" s="8" t="str">
        <f ca="1">IFERROR(__xludf.DUMMYFUNCTION("""COMPUTED_VALUE"""),"Knoxville")</f>
        <v>Knoxville</v>
      </c>
      <c r="Q2127" s="8" t="str">
        <f ca="1">IFERROR(__xludf.DUMMYFUNCTION("""COMPUTED_VALUE"""),"TN")</f>
        <v>TN</v>
      </c>
      <c r="R2127" s="8" t="str">
        <f ca="1">IFERROR(__xludf.DUMMYFUNCTION("""COMPUTED_VALUE"""),"High")</f>
        <v>High</v>
      </c>
      <c r="S2127" s="8" t="str">
        <f ca="1">IFERROR(__xludf.DUMMYFUNCTION("""COMPUTED_VALUE"""),"Cafeteria")</f>
        <v>Cafeteria</v>
      </c>
      <c r="T2127" s="8" t="str">
        <f ca="1">IFERROR(__xludf.DUMMYFUNCTION("""COMPUTED_VALUE"""),"Inside School Building")</f>
        <v>Inside School Building</v>
      </c>
      <c r="U2127" s="8" t="str">
        <f ca="1">IFERROR(__xludf.DUMMYFUNCTION("""COMPUTED_VALUE"""),"Yes")</f>
        <v>Yes</v>
      </c>
      <c r="V2127" s="8" t="str">
        <f ca="1">IFERROR(__xludf.DUMMYFUNCTION("""COMPUTED_VALUE"""),"School Start")</f>
        <v>School Start</v>
      </c>
      <c r="W2127" s="11">
        <f ca="1">IFERROR(__xludf.DUMMYFUNCTION("""COMPUTED_VALUE"""),0.340972222222222)</f>
        <v>0.34097222222222201</v>
      </c>
      <c r="X2127" s="8">
        <f ca="1">IFERROR(__xludf.DUMMYFUNCTION("""COMPUTED_VALUE"""),1)</f>
        <v>1</v>
      </c>
      <c r="Y2127" s="12" t="str">
        <f ca="1">IFERROR(__xludf.DUMMYFUNCTION("""COMPUTED_VALUE"""),"Student shot inside cafeteria prior to classes")</f>
        <v>Student shot inside cafeteria prior to classes</v>
      </c>
      <c r="Z2127" s="12" t="str">
        <f ca="1">IFERROR(__xludf.DUMMYFUNCTION("""COMPUTED_VALUE"""),"15-year-old male student walked into the cafeteria where students had gathered prior to classes and shot another 15-year-old male student in the chest. Shooter then walked away from school after shooting. The victim had alopecia and had been a target of b"&amp;"ullying since he was a child. Police said the shooting was specifically targeted at the victim. School was locked down and then dismissed.")</f>
        <v>15-year-old male student walked into the cafeteria where students had gathered prior to classes and shot another 15-year-old male student in the chest. Shooter then walked away from school after shooting. The victim had alopecia and had been a target of bullying since he was a child. Police said the shooting was specifically targeted at the victim. School was locked down and then dismissed.</v>
      </c>
      <c r="AA2127" s="8" t="str">
        <f ca="1">IFERROR(__xludf.DUMMYFUNCTION("""COMPUTED_VALUE"""),"Escalation of Dispute")</f>
        <v>Escalation of Dispute</v>
      </c>
      <c r="AB2127" s="8"/>
      <c r="AC2127" s="8" t="str">
        <f ca="1">IFERROR(__xludf.DUMMYFUNCTION("""COMPUTED_VALUE"""),"Yes")</f>
        <v>Yes</v>
      </c>
      <c r="AD2127" s="8" t="str">
        <f ca="1">IFERROR(__xludf.DUMMYFUNCTION("""COMPUTED_VALUE"""),"Victims Targeted")</f>
        <v>Victims Targeted</v>
      </c>
      <c r="AE2127" s="8" t="str">
        <f ca="1">IFERROR(__xludf.DUMMYFUNCTION("""COMPUTED_VALUE"""),"No")</f>
        <v>No</v>
      </c>
      <c r="AF2127" s="8"/>
      <c r="AG2127" s="8" t="str">
        <f ca="1">IFERROR(__xludf.DUMMYFUNCTION("""COMPUTED_VALUE"""),"No")</f>
        <v>No</v>
      </c>
      <c r="AH2127" s="8" t="str">
        <f ca="1">IFERROR(__xludf.DUMMYFUNCTION("""COMPUTED_VALUE"""),"No")</f>
        <v>No</v>
      </c>
      <c r="AI2127" s="8" t="str">
        <f ca="1">IFERROR(__xludf.DUMMYFUNCTION("""COMPUTED_VALUE"""),"No")</f>
        <v>No</v>
      </c>
      <c r="AJ2127" s="8" t="str">
        <f ca="1">IFERROR(__xludf.DUMMYFUNCTION("""COMPUTED_VALUE"""),"Yes")</f>
        <v>Yes</v>
      </c>
      <c r="AK2127" s="8" t="str">
        <f ca="1">IFERROR(__xludf.DUMMYFUNCTION("""COMPUTED_VALUE"""),"No")</f>
        <v>No</v>
      </c>
      <c r="AL2127" s="8" t="str">
        <f ca="1">IFERROR(__xludf.DUMMYFUNCTION("""COMPUTED_VALUE"""),"No")</f>
        <v>No</v>
      </c>
      <c r="AM2127" s="8" t="str">
        <f ca="1">IFERROR(__xludf.DUMMYFUNCTION("""COMPUTED_VALUE"""),"No")</f>
        <v>No</v>
      </c>
      <c r="AN2127" s="8" t="str">
        <f ca="1">IFERROR(__xludf.DUMMYFUNCTION("""COMPUTED_VALUE"""),"Single Room")</f>
        <v>Single Room</v>
      </c>
      <c r="AO2127" s="8" t="str">
        <f ca="1">IFERROR(__xludf.DUMMYFUNCTION("""COMPUTED_VALUE"""),"Yes")</f>
        <v>Yes</v>
      </c>
      <c r="AP2127" s="8" t="str">
        <f ca="1">IFERROR(__xludf.DUMMYFUNCTION("""COMPUTED_VALUE"""),"Yes")</f>
        <v>Yes</v>
      </c>
      <c r="AQ2127" s="8" t="str">
        <f ca="1">IFERROR(__xludf.DUMMYFUNCTION("""COMPUTED_VALUE"""),"Unknown")</f>
        <v>Unknown</v>
      </c>
      <c r="AR2127" s="8" t="str">
        <f ca="1">IFERROR(__xludf.DUMMYFUNCTION("""COMPUTED_VALUE"""),"NA")</f>
        <v>NA</v>
      </c>
      <c r="AS2127" s="8">
        <f ca="1">IFERROR(__xludf.DUMMYFUNCTION("""COMPUTED_VALUE"""),1)</f>
        <v>1</v>
      </c>
      <c r="AT2127" s="8" t="str">
        <f ca="1">IFERROR(__xludf.DUMMYFUNCTION("""COMPUTED_VALUE"""),"Yes")</f>
        <v>Yes</v>
      </c>
      <c r="AU2127" s="8">
        <f ca="1">IFERROR(__xludf.DUMMYFUNCTION("""COMPUTED_VALUE"""),36.040903)</f>
        <v>36.040903</v>
      </c>
      <c r="AV2127" s="8">
        <f ca="1">IFERROR(__xludf.DUMMYFUNCTION("""COMPUTED_VALUE"""),-83.92501)</f>
        <v>-83.92501</v>
      </c>
      <c r="AW2127" s="8"/>
      <c r="AX2127" s="8">
        <f ca="1">IFERROR(__xludf.DUMMYFUNCTION("""COMPUTED_VALUE"""),37918)</f>
        <v>37918</v>
      </c>
    </row>
    <row r="2128" spans="1:50" ht="45" x14ac:dyDescent="0.2">
      <c r="A2128" s="8" t="str">
        <f ca="1">IFERROR(__xludf.DUMMYFUNCTION("""COMPUTED_VALUE"""),"20080814WALAF")</f>
        <v>20080814WALAF</v>
      </c>
      <c r="B2128" s="8">
        <f ca="1">IFERROR(__xludf.DUMMYFUNCTION("""COMPUTED_VALUE"""),8)</f>
        <v>8</v>
      </c>
      <c r="C2128" s="8">
        <f ca="1">IFERROR(__xludf.DUMMYFUNCTION("""COMPUTED_VALUE"""),14)</f>
        <v>14</v>
      </c>
      <c r="D2128" s="8">
        <f ca="1">IFERROR(__xludf.DUMMYFUNCTION("""COMPUTED_VALUE"""),2008)</f>
        <v>2008</v>
      </c>
      <c r="E2128" s="9">
        <f ca="1">IFERROR(__xludf.DUMMYFUNCTION("""COMPUTED_VALUE"""),39674)</f>
        <v>39674</v>
      </c>
      <c r="F2128" s="8" t="str">
        <f ca="1">IFERROR(__xludf.DUMMYFUNCTION("""COMPUTED_VALUE"""),"Lakota Middle School")</f>
        <v>Lakota Middle School</v>
      </c>
      <c r="G2128" s="8">
        <f ca="1">IFERROR(__xludf.DUMMYFUNCTION("""COMPUTED_VALUE"""),1)</f>
        <v>1</v>
      </c>
      <c r="H2128" s="8">
        <f ca="1">IFERROR(__xludf.DUMMYFUNCTION("""COMPUTED_VALUE"""),0)</f>
        <v>0</v>
      </c>
      <c r="I2128" s="8">
        <f ca="1">IFERROR(__xludf.DUMMYFUNCTION("""COMPUTED_VALUE"""),1)</f>
        <v>1</v>
      </c>
      <c r="J2128" s="8">
        <f ca="1">IFERROR(__xludf.DUMMYFUNCTION("""COMPUTED_VALUE"""),0)</f>
        <v>0</v>
      </c>
      <c r="K2128" s="10" t="str">
        <f ca="1">IFERROR(__xludf.DUMMYFUNCTION("""COMPUTED_VALUE"""),"https://www.seattletimes.com/seattle-news/suspect-arrested-in-fatal-shooting-last-week-outside-federal-way-middle-school/")</f>
        <v>https://www.seattletimes.com/seattle-news/suspect-arrested-in-fatal-shooting-last-week-outside-federal-way-middle-school/</v>
      </c>
      <c r="L2128" s="8"/>
      <c r="M2128" s="8"/>
      <c r="N2128" s="8">
        <f ca="1">IFERROR(__xludf.DUMMYFUNCTION("""COMPUTED_VALUE"""),2)</f>
        <v>2</v>
      </c>
      <c r="O2128" s="8" t="str">
        <f ca="1">IFERROR(__xludf.DUMMYFUNCTION("""COMPUTED_VALUE"""),"Summer")</f>
        <v>Summer</v>
      </c>
      <c r="P2128" s="8" t="str">
        <f ca="1">IFERROR(__xludf.DUMMYFUNCTION("""COMPUTED_VALUE"""),"Federal Way")</f>
        <v>Federal Way</v>
      </c>
      <c r="Q2128" s="8" t="str">
        <f ca="1">IFERROR(__xludf.DUMMYFUNCTION("""COMPUTED_VALUE"""),"WA")</f>
        <v>WA</v>
      </c>
      <c r="R2128" s="8" t="str">
        <f ca="1">IFERROR(__xludf.DUMMYFUNCTION("""COMPUTED_VALUE"""),"Middle")</f>
        <v>Middle</v>
      </c>
      <c r="S2128" s="8" t="str">
        <f ca="1">IFERROR(__xludf.DUMMYFUNCTION("""COMPUTED_VALUE"""),"Parking Lot")</f>
        <v>Parking Lot</v>
      </c>
      <c r="T2128" s="8" t="str">
        <f ca="1">IFERROR(__xludf.DUMMYFUNCTION("""COMPUTED_VALUE"""),"Outside on School Property")</f>
        <v>Outside on School Property</v>
      </c>
      <c r="U2128" s="8" t="str">
        <f ca="1">IFERROR(__xludf.DUMMYFUNCTION("""COMPUTED_VALUE"""),"Yes")</f>
        <v>Yes</v>
      </c>
      <c r="V2128" s="8" t="str">
        <f ca="1">IFERROR(__xludf.DUMMYFUNCTION("""COMPUTED_VALUE"""),"Evening")</f>
        <v>Evening</v>
      </c>
      <c r="W2128" s="11">
        <f ca="1">IFERROR(__xludf.DUMMYFUNCTION("""COMPUTED_VALUE"""),0.847222222222222)</f>
        <v>0.84722222222222199</v>
      </c>
      <c r="X2128" s="8">
        <f ca="1">IFERROR(__xludf.DUMMYFUNCTION("""COMPUTED_VALUE"""),1)</f>
        <v>1</v>
      </c>
      <c r="Y2128" s="12" t="str">
        <f ca="1">IFERROR(__xludf.DUMMYFUNCTION("""COMPUTED_VALUE"""),"Gang-related shooting outside of school.")</f>
        <v>Gang-related shooting outside of school.</v>
      </c>
      <c r="Z2128" s="12" t="str">
        <f ca="1">IFERROR(__xludf.DUMMYFUNCTION("""COMPUTED_VALUE"""),"Suspected gang related - victim was 26 years old and was at school to pick up girlfriend's son")</f>
        <v>Suspected gang related - victim was 26 years old and was at school to pick up girlfriend's son</v>
      </c>
      <c r="AA2128" s="8" t="str">
        <f ca="1">IFERROR(__xludf.DUMMYFUNCTION("""COMPUTED_VALUE"""),"Escalation of Dispute")</f>
        <v>Escalation of Dispute</v>
      </c>
      <c r="AB2128" s="8"/>
      <c r="AC2128" s="8" t="str">
        <f ca="1">IFERROR(__xludf.DUMMYFUNCTION("""COMPUTED_VALUE"""),"Yes")</f>
        <v>Yes</v>
      </c>
      <c r="AD2128" s="8" t="str">
        <f ca="1">IFERROR(__xludf.DUMMYFUNCTION("""COMPUTED_VALUE"""),"Victims Targeted")</f>
        <v>Victims Targeted</v>
      </c>
      <c r="AE2128" s="8" t="str">
        <f ca="1">IFERROR(__xludf.DUMMYFUNCTION("""COMPUTED_VALUE"""),"Yes")</f>
        <v>Yes</v>
      </c>
      <c r="AF2128" s="8" t="str">
        <f ca="1">IFERROR(__xludf.DUMMYFUNCTION("""COMPUTED_VALUE"""),"With two other males in the car")</f>
        <v>With two other males in the car</v>
      </c>
      <c r="AG2128" s="8" t="str">
        <f ca="1">IFERROR(__xludf.DUMMYFUNCTION("""COMPUTED_VALUE"""),"No")</f>
        <v>No</v>
      </c>
      <c r="AH2128" s="8" t="str">
        <f ca="1">IFERROR(__xludf.DUMMYFUNCTION("""COMPUTED_VALUE"""),"No")</f>
        <v>No</v>
      </c>
      <c r="AI2128" s="8" t="str">
        <f ca="1">IFERROR(__xludf.DUMMYFUNCTION("""COMPUTED_VALUE"""),"No")</f>
        <v>No</v>
      </c>
      <c r="AJ2128" s="8"/>
      <c r="AK2128" s="8" t="str">
        <f ca="1">IFERROR(__xludf.DUMMYFUNCTION("""COMPUTED_VALUE"""),"No")</f>
        <v>No</v>
      </c>
      <c r="AL2128" s="8" t="str">
        <f ca="1">IFERROR(__xludf.DUMMYFUNCTION("""COMPUTED_VALUE"""),"Yes")</f>
        <v>Yes</v>
      </c>
      <c r="AM2128" s="8"/>
      <c r="AN2128" s="8"/>
      <c r="AO2128" s="8" t="str">
        <f ca="1">IFERROR(__xludf.DUMMYFUNCTION("""COMPUTED_VALUE"""),"No")</f>
        <v>No</v>
      </c>
      <c r="AP2128" s="8"/>
      <c r="AQ2128" s="8" t="str">
        <f ca="1">IFERROR(__xludf.DUMMYFUNCTION("""COMPUTED_VALUE"""),"Unknown")</f>
        <v>Unknown</v>
      </c>
      <c r="AR2128" s="8" t="str">
        <f ca="1">IFERROR(__xludf.DUMMYFUNCTION("""COMPUTED_VALUE"""),"NA")</f>
        <v>NA</v>
      </c>
      <c r="AS2128" s="8">
        <f ca="1">IFERROR(__xludf.DUMMYFUNCTION("""COMPUTED_VALUE"""),1)</f>
        <v>1</v>
      </c>
      <c r="AT2128" s="8"/>
      <c r="AU2128" s="8">
        <f ca="1">IFERROR(__xludf.DUMMYFUNCTION("""COMPUTED_VALUE"""),47.31934)</f>
        <v>47.319339999999997</v>
      </c>
      <c r="AV2128" s="8">
        <f ca="1">IFERROR(__xludf.DUMMYFUNCTION("""COMPUTED_VALUE"""),-122.353766)</f>
        <v>-122.35376599999999</v>
      </c>
      <c r="AW2128" s="8"/>
      <c r="AX2128" s="8">
        <f ca="1">IFERROR(__xludf.DUMMYFUNCTION("""COMPUTED_VALUE"""),98023)</f>
        <v>98023</v>
      </c>
    </row>
    <row r="2129" spans="1:50" ht="90" x14ac:dyDescent="0.2">
      <c r="A2129" s="8" t="str">
        <f ca="1">IFERROR(__xludf.DUMMYFUNCTION("""COMPUTED_VALUE"""),"20080811WAWAK")</f>
        <v>20080811WAWAK</v>
      </c>
      <c r="B2129" s="8">
        <f ca="1">IFERROR(__xludf.DUMMYFUNCTION("""COMPUTED_VALUE"""),8)</f>
        <v>8</v>
      </c>
      <c r="C2129" s="8">
        <f ca="1">IFERROR(__xludf.DUMMYFUNCTION("""COMPUTED_VALUE"""),11)</f>
        <v>11</v>
      </c>
      <c r="D2129" s="8">
        <f ca="1">IFERROR(__xludf.DUMMYFUNCTION("""COMPUTED_VALUE"""),2008)</f>
        <v>2008</v>
      </c>
      <c r="E2129" s="9">
        <f ca="1">IFERROR(__xludf.DUMMYFUNCTION("""COMPUTED_VALUE"""),39671)</f>
        <v>39671</v>
      </c>
      <c r="F2129" s="8" t="str">
        <f ca="1">IFERROR(__xludf.DUMMYFUNCTION("""COMPUTED_VALUE"""),"Wallace Elementary School")</f>
        <v>Wallace Elementary School</v>
      </c>
      <c r="G2129" s="8">
        <f ca="1">IFERROR(__xludf.DUMMYFUNCTION("""COMPUTED_VALUE"""),0)</f>
        <v>0</v>
      </c>
      <c r="H2129" s="8">
        <f ca="1">IFERROR(__xludf.DUMMYFUNCTION("""COMPUTED_VALUE"""),0)</f>
        <v>0</v>
      </c>
      <c r="I2129" s="8">
        <f ca="1">IFERROR(__xludf.DUMMYFUNCTION("""COMPUTED_VALUE"""),0)</f>
        <v>0</v>
      </c>
      <c r="J2129" s="8">
        <f ca="1">IFERROR(__xludf.DUMMYFUNCTION("""COMPUTED_VALUE"""),0)</f>
        <v>0</v>
      </c>
      <c r="K2129" s="10" t="str">
        <f ca="1">IFERROR(__xludf.DUMMYFUNCTION("""COMPUTED_VALUE"""),"https://www.columbine-angels.com/School_Violence_2008-2009.htm")</f>
        <v>https://www.columbine-angels.com/School_Violence_2008-2009.htm</v>
      </c>
      <c r="L2129" s="8"/>
      <c r="M2129" s="8"/>
      <c r="N2129" s="8">
        <f ca="1">IFERROR(__xludf.DUMMYFUNCTION("""COMPUTED_VALUE"""),1)</f>
        <v>1</v>
      </c>
      <c r="O2129" s="8" t="str">
        <f ca="1">IFERROR(__xludf.DUMMYFUNCTION("""COMPUTED_VALUE"""),"Summer")</f>
        <v>Summer</v>
      </c>
      <c r="P2129" s="8" t="str">
        <f ca="1">IFERROR(__xludf.DUMMYFUNCTION("""COMPUTED_VALUE"""),"Kelso")</f>
        <v>Kelso</v>
      </c>
      <c r="Q2129" s="8" t="str">
        <f ca="1">IFERROR(__xludf.DUMMYFUNCTION("""COMPUTED_VALUE"""),"WA")</f>
        <v>WA</v>
      </c>
      <c r="R2129" s="8" t="str">
        <f ca="1">IFERROR(__xludf.DUMMYFUNCTION("""COMPUTED_VALUE"""),"Elementary")</f>
        <v>Elementary</v>
      </c>
      <c r="S2129" s="8" t="str">
        <f ca="1">IFERROR(__xludf.DUMMYFUNCTION("""COMPUTED_VALUE"""),"Playground")</f>
        <v>Playground</v>
      </c>
      <c r="T2129" s="8" t="str">
        <f ca="1">IFERROR(__xludf.DUMMYFUNCTION("""COMPUTED_VALUE"""),"Outside on School Property")</f>
        <v>Outside on School Property</v>
      </c>
      <c r="U2129" s="8" t="str">
        <f ca="1">IFERROR(__xludf.DUMMYFUNCTION("""COMPUTED_VALUE"""),"Yes")</f>
        <v>Yes</v>
      </c>
      <c r="V2129" s="8"/>
      <c r="W2129" s="8"/>
      <c r="X2129" s="8">
        <f ca="1">IFERROR(__xludf.DUMMYFUNCTION("""COMPUTED_VALUE"""),1)</f>
        <v>1</v>
      </c>
      <c r="Y2129" s="12" t="str">
        <f ca="1">IFERROR(__xludf.DUMMYFUNCTION("""COMPUTED_VALUE"""),"Shot student who stole drugs from him")</f>
        <v>Shot student who stole drugs from him</v>
      </c>
      <c r="Z2129" s="12" t="str">
        <f ca="1">IFERROR(__xludf.DUMMYFUNCTION("""COMPUTED_VALUE"""),"Prior to the shooting unidentified male student was caught inside shooter's home trying to steal his marijuana.  The shooter came to Wallace Elementary School with a .25 caliber handgun and saw the boy on the playground. He said, ""I'm going to kill you,"&amp;""" and fired off one round before his gun jammed. The bullet nearly hit the boy's leg.")</f>
        <v>Prior to the shooting unidentified male student was caught inside shooter's home trying to steal his marijuana.  The shooter came to Wallace Elementary School with a .25 caliber handgun and saw the boy on the playground. He said, "I'm going to kill you," and fired off one round before his gun jammed. The bullet nearly hit the boy's leg.</v>
      </c>
      <c r="AA2129" s="8" t="str">
        <f ca="1">IFERROR(__xludf.DUMMYFUNCTION("""COMPUTED_VALUE"""),"Illegal Activity")</f>
        <v>Illegal Activity</v>
      </c>
      <c r="AB2129" s="8"/>
      <c r="AC2129" s="8" t="str">
        <f ca="1">IFERROR(__xludf.DUMMYFUNCTION("""COMPUTED_VALUE"""),"Yes")</f>
        <v>Yes</v>
      </c>
      <c r="AD2129" s="8" t="str">
        <f ca="1">IFERROR(__xludf.DUMMYFUNCTION("""COMPUTED_VALUE"""),"Victims Targeted")</f>
        <v>Victims Targeted</v>
      </c>
      <c r="AE2129" s="8" t="str">
        <f ca="1">IFERROR(__xludf.DUMMYFUNCTION("""COMPUTED_VALUE"""),"No")</f>
        <v>No</v>
      </c>
      <c r="AF2129" s="8"/>
      <c r="AG2129" s="8" t="str">
        <f ca="1">IFERROR(__xludf.DUMMYFUNCTION("""COMPUTED_VALUE"""),"No")</f>
        <v>No</v>
      </c>
      <c r="AH2129" s="8" t="str">
        <f ca="1">IFERROR(__xludf.DUMMYFUNCTION("""COMPUTED_VALUE"""),"No")</f>
        <v>No</v>
      </c>
      <c r="AI2129" s="8" t="str">
        <f ca="1">IFERROR(__xludf.DUMMYFUNCTION("""COMPUTED_VALUE"""),"No")</f>
        <v>No</v>
      </c>
      <c r="AJ2129" s="8" t="str">
        <f ca="1">IFERROR(__xludf.DUMMYFUNCTION("""COMPUTED_VALUE"""),"No")</f>
        <v>No</v>
      </c>
      <c r="AK2129" s="8" t="str">
        <f ca="1">IFERROR(__xludf.DUMMYFUNCTION("""COMPUTED_VALUE"""),"No")</f>
        <v>No</v>
      </c>
      <c r="AL2129" s="8" t="str">
        <f ca="1">IFERROR(__xludf.DUMMYFUNCTION("""COMPUTED_VALUE"""),"No")</f>
        <v>No</v>
      </c>
      <c r="AM2129" s="8"/>
      <c r="AN2129" s="8"/>
      <c r="AO2129" s="8" t="str">
        <f ca="1">IFERROR(__xludf.DUMMYFUNCTION("""COMPUTED_VALUE"""),"No")</f>
        <v>No</v>
      </c>
      <c r="AP2129" s="8"/>
      <c r="AQ2129" s="8" t="str">
        <f ca="1">IFERROR(__xludf.DUMMYFUNCTION("""COMPUTED_VALUE"""),"Unknown")</f>
        <v>Unknown</v>
      </c>
      <c r="AR2129" s="8" t="str">
        <f ca="1">IFERROR(__xludf.DUMMYFUNCTION("""COMPUTED_VALUE"""),"NA")</f>
        <v>NA</v>
      </c>
      <c r="AS2129" s="8">
        <f ca="1">IFERROR(__xludf.DUMMYFUNCTION("""COMPUTED_VALUE"""),1)</f>
        <v>1</v>
      </c>
      <c r="AT2129" s="8"/>
      <c r="AU2129" s="8">
        <f ca="1">IFERROR(__xludf.DUMMYFUNCTION("""COMPUTED_VALUE"""),46.134916)</f>
        <v>46.134915999999997</v>
      </c>
      <c r="AV2129" s="8">
        <f ca="1">IFERROR(__xludf.DUMMYFUNCTION("""COMPUTED_VALUE"""),-122.912547)</f>
        <v>-122.912547</v>
      </c>
      <c r="AW2129" s="8"/>
      <c r="AX2129" s="8">
        <f ca="1">IFERROR(__xludf.DUMMYFUNCTION("""COMPUTED_VALUE"""),98626)</f>
        <v>98626</v>
      </c>
    </row>
    <row r="2130" spans="1:50" ht="45" x14ac:dyDescent="0.2">
      <c r="A2130" s="8" t="str">
        <f ca="1">IFERROR(__xludf.DUMMYFUNCTION("""COMPUTED_VALUE"""),"20080516LAMAT")</f>
        <v>20080516LAMAT</v>
      </c>
      <c r="B2130" s="8">
        <f ca="1">IFERROR(__xludf.DUMMYFUNCTION("""COMPUTED_VALUE"""),5)</f>
        <v>5</v>
      </c>
      <c r="C2130" s="8">
        <f ca="1">IFERROR(__xludf.DUMMYFUNCTION("""COMPUTED_VALUE"""),16)</f>
        <v>16</v>
      </c>
      <c r="D2130" s="8">
        <f ca="1">IFERROR(__xludf.DUMMYFUNCTION("""COMPUTED_VALUE"""),2008)</f>
        <v>2008</v>
      </c>
      <c r="E2130" s="9">
        <f ca="1">IFERROR(__xludf.DUMMYFUNCTION("""COMPUTED_VALUE"""),39584)</f>
        <v>39584</v>
      </c>
      <c r="F2130" s="8" t="str">
        <f ca="1">IFERROR(__xludf.DUMMYFUNCTION("""COMPUTED_VALUE"""),"Madison Parish High School")</f>
        <v>Madison Parish High School</v>
      </c>
      <c r="G2130" s="8">
        <f ca="1">IFERROR(__xludf.DUMMYFUNCTION("""COMPUTED_VALUE"""),0)</f>
        <v>0</v>
      </c>
      <c r="H2130" s="8">
        <f ca="1">IFERROR(__xludf.DUMMYFUNCTION("""COMPUTED_VALUE"""),0)</f>
        <v>0</v>
      </c>
      <c r="I2130" s="8">
        <f ca="1">IFERROR(__xludf.DUMMYFUNCTION("""COMPUTED_VALUE"""),0)</f>
        <v>0</v>
      </c>
      <c r="J2130" s="8">
        <f ca="1">IFERROR(__xludf.DUMMYFUNCTION("""COMPUTED_VALUE"""),1)</f>
        <v>1</v>
      </c>
      <c r="K2130" s="10" t="str">
        <f ca="1">IFERROR(__xludf.DUMMYFUNCTION("""COMPUTED_VALUE"""),"https://www.ktbs.com/news/student-found-shot-at-madison-high/article_0cdc830b-bca1-5acc-857b-e08b04bff7b2.html")</f>
        <v>https://www.ktbs.com/news/student-found-shot-at-madison-high/article_0cdc830b-bca1-5acc-857b-e08b04bff7b2.html</v>
      </c>
      <c r="L2130" s="8"/>
      <c r="M2130" s="8"/>
      <c r="N2130" s="8">
        <f ca="1">IFERROR(__xludf.DUMMYFUNCTION("""COMPUTED_VALUE"""),2)</f>
        <v>2</v>
      </c>
      <c r="O2130" s="8" t="str">
        <f ca="1">IFERROR(__xludf.DUMMYFUNCTION("""COMPUTED_VALUE"""),"Spring")</f>
        <v>Spring</v>
      </c>
      <c r="P2130" s="8" t="str">
        <f ca="1">IFERROR(__xludf.DUMMYFUNCTION("""COMPUTED_VALUE"""),"Tallulah")</f>
        <v>Tallulah</v>
      </c>
      <c r="Q2130" s="8" t="str">
        <f ca="1">IFERROR(__xludf.DUMMYFUNCTION("""COMPUTED_VALUE"""),"LA")</f>
        <v>LA</v>
      </c>
      <c r="R2130" s="8" t="str">
        <f ca="1">IFERROR(__xludf.DUMMYFUNCTION("""COMPUTED_VALUE"""),"High")</f>
        <v>High</v>
      </c>
      <c r="S2130" s="8" t="str">
        <f ca="1">IFERROR(__xludf.DUMMYFUNCTION("""COMPUTED_VALUE"""),"Field (General)")</f>
        <v>Field (General)</v>
      </c>
      <c r="T2130" s="8" t="str">
        <f ca="1">IFERROR(__xludf.DUMMYFUNCTION("""COMPUTED_VALUE"""),"Outside on School Property")</f>
        <v>Outside on School Property</v>
      </c>
      <c r="U2130" s="8" t="str">
        <f ca="1">IFERROR(__xludf.DUMMYFUNCTION("""COMPUTED_VALUE"""),"Yes")</f>
        <v>Yes</v>
      </c>
      <c r="V2130" s="8"/>
      <c r="W2130" s="8"/>
      <c r="X2130" s="8">
        <f ca="1">IFERROR(__xludf.DUMMYFUNCTION("""COMPUTED_VALUE"""),1)</f>
        <v>1</v>
      </c>
      <c r="Y2130" s="12" t="str">
        <f ca="1">IFERROR(__xludf.DUMMYFUNCTION("""COMPUTED_VALUE"""),"Shot self on athletic field")</f>
        <v>Shot self on athletic field</v>
      </c>
      <c r="Z2130" s="12" t="str">
        <f ca="1">IFERROR(__xludf.DUMMYFUNCTION("""COMPUTED_VALUE"""),"Football coach was on field and saw student standing on the other side of the field. Heard a loud pop and the student collapsed. 9th grade student. Details about victim unknown.")</f>
        <v>Football coach was on field and saw student standing on the other side of the field. Heard a loud pop and the student collapsed. 9th grade student. Details about victim unknown.</v>
      </c>
      <c r="AA2130" s="8" t="str">
        <f ca="1">IFERROR(__xludf.DUMMYFUNCTION("""COMPUTED_VALUE"""),"Suicide/Attempted")</f>
        <v>Suicide/Attempted</v>
      </c>
      <c r="AB2130" s="8"/>
      <c r="AC2130" s="8" t="str">
        <f ca="1">IFERROR(__xludf.DUMMYFUNCTION("""COMPUTED_VALUE"""),"Yes")</f>
        <v>Yes</v>
      </c>
      <c r="AD2130" s="8" t="str">
        <f ca="1">IFERROR(__xludf.DUMMYFUNCTION("""COMPUTED_VALUE"""),"Victims Targeted")</f>
        <v>Victims Targeted</v>
      </c>
      <c r="AE2130" s="8" t="str">
        <f ca="1">IFERROR(__xludf.DUMMYFUNCTION("""COMPUTED_VALUE"""),"No")</f>
        <v>No</v>
      </c>
      <c r="AF2130" s="8"/>
      <c r="AG2130" s="8" t="str">
        <f ca="1">IFERROR(__xludf.DUMMYFUNCTION("""COMPUTED_VALUE"""),"No")</f>
        <v>No</v>
      </c>
      <c r="AH2130" s="8" t="str">
        <f ca="1">IFERROR(__xludf.DUMMYFUNCTION("""COMPUTED_VALUE"""),"No")</f>
        <v>No</v>
      </c>
      <c r="AI2130" s="8" t="str">
        <f ca="1">IFERROR(__xludf.DUMMYFUNCTION("""COMPUTED_VALUE"""),"No")</f>
        <v>No</v>
      </c>
      <c r="AJ2130" s="8"/>
      <c r="AK2130" s="8" t="str">
        <f ca="1">IFERROR(__xludf.DUMMYFUNCTION("""COMPUTED_VALUE"""),"No")</f>
        <v>No</v>
      </c>
      <c r="AL2130" s="8" t="str">
        <f ca="1">IFERROR(__xludf.DUMMYFUNCTION("""COMPUTED_VALUE"""),"No")</f>
        <v>No</v>
      </c>
      <c r="AM2130" s="8"/>
      <c r="AN2130" s="8"/>
      <c r="AO2130" s="8" t="str">
        <f ca="1">IFERROR(__xludf.DUMMYFUNCTION("""COMPUTED_VALUE"""),"No")</f>
        <v>No</v>
      </c>
      <c r="AP2130" s="8"/>
      <c r="AQ2130" s="8" t="str">
        <f ca="1">IFERROR(__xludf.DUMMYFUNCTION("""COMPUTED_VALUE"""),"Unknown")</f>
        <v>Unknown</v>
      </c>
      <c r="AR2130" s="8" t="str">
        <f ca="1">IFERROR(__xludf.DUMMYFUNCTION("""COMPUTED_VALUE"""),"NA")</f>
        <v>NA</v>
      </c>
      <c r="AS2130" s="8">
        <f ca="1">IFERROR(__xludf.DUMMYFUNCTION("""COMPUTED_VALUE"""),1)</f>
        <v>1</v>
      </c>
      <c r="AT2130" s="8"/>
      <c r="AU2130" s="8">
        <f ca="1">IFERROR(__xludf.DUMMYFUNCTION("""COMPUTED_VALUE"""),32.398082)</f>
        <v>32.398082000000002</v>
      </c>
      <c r="AV2130" s="8">
        <f ca="1">IFERROR(__xludf.DUMMYFUNCTION("""COMPUTED_VALUE"""),-91.207106)</f>
        <v>-91.207105999999996</v>
      </c>
      <c r="AW2130" s="8"/>
      <c r="AX2130" s="8">
        <f ca="1">IFERROR(__xludf.DUMMYFUNCTION("""COMPUTED_VALUE"""),71282)</f>
        <v>71282</v>
      </c>
    </row>
    <row r="2131" spans="1:50" ht="45" x14ac:dyDescent="0.2">
      <c r="A2131" s="8" t="str">
        <f ca="1">IFERROR(__xludf.DUMMYFUNCTION("""COMPUTED_VALUE"""),"20080416CAROF")</f>
        <v>20080416CAROF</v>
      </c>
      <c r="B2131" s="8">
        <f ca="1">IFERROR(__xludf.DUMMYFUNCTION("""COMPUTED_VALUE"""),4)</f>
        <v>4</v>
      </c>
      <c r="C2131" s="8">
        <f ca="1">IFERROR(__xludf.DUMMYFUNCTION("""COMPUTED_VALUE"""),16)</f>
        <v>16</v>
      </c>
      <c r="D2131" s="8">
        <f ca="1">IFERROR(__xludf.DUMMYFUNCTION("""COMPUTED_VALUE"""),2008)</f>
        <v>2008</v>
      </c>
      <c r="E2131" s="9">
        <f ca="1">IFERROR(__xludf.DUMMYFUNCTION("""COMPUTED_VALUE"""),39554)</f>
        <v>39554</v>
      </c>
      <c r="F2131" s="8" t="str">
        <f ca="1">IFERROR(__xludf.DUMMYFUNCTION("""COMPUTED_VALUE"""),"Roosevelt High School")</f>
        <v>Roosevelt High School</v>
      </c>
      <c r="G2131" s="8">
        <f ca="1">IFERROR(__xludf.DUMMYFUNCTION("""COMPUTED_VALUE"""),1)</f>
        <v>1</v>
      </c>
      <c r="H2131" s="8">
        <f ca="1">IFERROR(__xludf.DUMMYFUNCTION("""COMPUTED_VALUE"""),0)</f>
        <v>0</v>
      </c>
      <c r="I2131" s="8">
        <f ca="1">IFERROR(__xludf.DUMMYFUNCTION("""COMPUTED_VALUE"""),1)</f>
        <v>1</v>
      </c>
      <c r="J2131" s="8">
        <f ca="1">IFERROR(__xludf.DUMMYFUNCTION("""COMPUTED_VALUE"""),0)</f>
        <v>0</v>
      </c>
      <c r="K2131" s="8" t="str">
        <f ca="1">IFERROR(__xludf.DUMMYFUNCTION("""COMPUTED_VALUE"""),"https://abc30.com/archive/6083383/   https://www.findagrave.com/memorial/26380491/jesus_%22jesse%22-carrizales")</f>
        <v>https://abc30.com/archive/6083383/   https://www.findagrave.com/memorial/26380491/jesus_%22jesse%22-carrizales</v>
      </c>
      <c r="L2131" s="8"/>
      <c r="M2131" s="8"/>
      <c r="N2131" s="8">
        <f ca="1">IFERROR(__xludf.DUMMYFUNCTION("""COMPUTED_VALUE"""),3)</f>
        <v>3</v>
      </c>
      <c r="O2131" s="8" t="str">
        <f ca="1">IFERROR(__xludf.DUMMYFUNCTION("""COMPUTED_VALUE"""),"Spring")</f>
        <v>Spring</v>
      </c>
      <c r="P2131" s="8" t="str">
        <f ca="1">IFERROR(__xludf.DUMMYFUNCTION("""COMPUTED_VALUE"""),"Fresno")</f>
        <v>Fresno</v>
      </c>
      <c r="Q2131" s="8" t="str">
        <f ca="1">IFERROR(__xludf.DUMMYFUNCTION("""COMPUTED_VALUE"""),"CA")</f>
        <v>CA</v>
      </c>
      <c r="R2131" s="8" t="str">
        <f ca="1">IFERROR(__xludf.DUMMYFUNCTION("""COMPUTED_VALUE"""),"High")</f>
        <v>High</v>
      </c>
      <c r="S2131" s="8" t="str">
        <f ca="1">IFERROR(__xludf.DUMMYFUNCTION("""COMPUTED_VALUE"""),"Outside on School Property")</f>
        <v>Outside on School Property</v>
      </c>
      <c r="T2131" s="8" t="str">
        <f ca="1">IFERROR(__xludf.DUMMYFUNCTION("""COMPUTED_VALUE"""),"Outside on School Property")</f>
        <v>Outside on School Property</v>
      </c>
      <c r="U2131" s="8" t="str">
        <f ca="1">IFERROR(__xludf.DUMMYFUNCTION("""COMPUTED_VALUE"""),"Yes")</f>
        <v>Yes</v>
      </c>
      <c r="V2131" s="8" t="str">
        <f ca="1">IFERROR(__xludf.DUMMYFUNCTION("""COMPUTED_VALUE"""),"Lunch")</f>
        <v>Lunch</v>
      </c>
      <c r="W2131" s="11">
        <f ca="1">IFERROR(__xludf.DUMMYFUNCTION("""COMPUTED_VALUE"""),0.495833333333333)</f>
        <v>0.49583333333333302</v>
      </c>
      <c r="X2131" s="8">
        <f ca="1">IFERROR(__xludf.DUMMYFUNCTION("""COMPUTED_VALUE"""),1)</f>
        <v>1</v>
      </c>
      <c r="Y2131" s="12" t="str">
        <f ca="1">IFERROR(__xludf.DUMMYFUNCTION("""COMPUTED_VALUE"""),"SRO fired at student who attacked him")</f>
        <v>SRO fired at student who attacked him</v>
      </c>
      <c r="Z2131" s="12" t="str">
        <f ca="1">IFERROR(__xludf.DUMMYFUNCTION("""COMPUTED_VALUE"""),"Student attacked school resource officer with a bat severely injuring him. Officer used his back up weapon to shoot/kill attacker. Justified shooting")</f>
        <v>Student attacked school resource officer with a bat severely injuring him. Officer used his back up weapon to shoot/kill attacker. Justified shooting</v>
      </c>
      <c r="AA2131" s="8" t="str">
        <f ca="1">IFERROR(__xludf.DUMMYFUNCTION("""COMPUTED_VALUE"""),"Officer-Involved Shooting")</f>
        <v>Officer-Involved Shooting</v>
      </c>
      <c r="AB2131" s="8"/>
      <c r="AC2131" s="8" t="str">
        <f ca="1">IFERROR(__xludf.DUMMYFUNCTION("""COMPUTED_VALUE"""),"Yes")</f>
        <v>Yes</v>
      </c>
      <c r="AD2131" s="8" t="str">
        <f ca="1">IFERROR(__xludf.DUMMYFUNCTION("""COMPUTED_VALUE"""),"Victims Targeted")</f>
        <v>Victims Targeted</v>
      </c>
      <c r="AE2131" s="8" t="str">
        <f ca="1">IFERROR(__xludf.DUMMYFUNCTION("""COMPUTED_VALUE"""),"No")</f>
        <v>No</v>
      </c>
      <c r="AF2131" s="8"/>
      <c r="AG2131" s="8" t="str">
        <f ca="1">IFERROR(__xludf.DUMMYFUNCTION("""COMPUTED_VALUE"""),"No")</f>
        <v>No</v>
      </c>
      <c r="AH2131" s="8" t="str">
        <f ca="1">IFERROR(__xludf.DUMMYFUNCTION("""COMPUTED_VALUE"""),"No")</f>
        <v>No</v>
      </c>
      <c r="AI2131" s="8" t="str">
        <f ca="1">IFERROR(__xludf.DUMMYFUNCTION("""COMPUTED_VALUE"""),"Yes")</f>
        <v>Yes</v>
      </c>
      <c r="AJ2131" s="8" t="str">
        <f ca="1">IFERROR(__xludf.DUMMYFUNCTION("""COMPUTED_VALUE"""),"N/A")</f>
        <v>N/A</v>
      </c>
      <c r="AK2131" s="8" t="str">
        <f ca="1">IFERROR(__xludf.DUMMYFUNCTION("""COMPUTED_VALUE"""),"N/A")</f>
        <v>N/A</v>
      </c>
      <c r="AL2131" s="8" t="str">
        <f ca="1">IFERROR(__xludf.DUMMYFUNCTION("""COMPUTED_VALUE"""),"N/A")</f>
        <v>N/A</v>
      </c>
      <c r="AM2131" s="8" t="str">
        <f ca="1">IFERROR(__xludf.DUMMYFUNCTION("""COMPUTED_VALUE"""),"N/A")</f>
        <v>N/A</v>
      </c>
      <c r="AN2131" s="8"/>
      <c r="AO2131" s="8" t="str">
        <f ca="1">IFERROR(__xludf.DUMMYFUNCTION("""COMPUTED_VALUE"""),"N/A")</f>
        <v>N/A</v>
      </c>
      <c r="AP2131" s="8"/>
      <c r="AQ2131" s="8" t="str">
        <f ca="1">IFERROR(__xludf.DUMMYFUNCTION("""COMPUTED_VALUE"""),"Unknown")</f>
        <v>Unknown</v>
      </c>
      <c r="AR2131" s="8" t="str">
        <f ca="1">IFERROR(__xludf.DUMMYFUNCTION("""COMPUTED_VALUE"""),"NA")</f>
        <v>NA</v>
      </c>
      <c r="AS2131" s="8">
        <f ca="1">IFERROR(__xludf.DUMMYFUNCTION("""COMPUTED_VALUE"""),1)</f>
        <v>1</v>
      </c>
      <c r="AT2131" s="8"/>
      <c r="AU2131" s="8">
        <f ca="1">IFERROR(__xludf.DUMMYFUNCTION("""COMPUTED_VALUE"""),36.742035)</f>
        <v>36.742035000000001</v>
      </c>
      <c r="AV2131" s="8">
        <f ca="1">IFERROR(__xludf.DUMMYFUNCTION("""COMPUTED_VALUE"""),-119.75266)</f>
        <v>-119.75266000000001</v>
      </c>
      <c r="AW2131" s="8"/>
      <c r="AX2131" s="8">
        <f ca="1">IFERROR(__xludf.DUMMYFUNCTION("""COMPUTED_VALUE"""),93702)</f>
        <v>93702</v>
      </c>
    </row>
    <row r="2132" spans="1:50" ht="75" x14ac:dyDescent="0.2">
      <c r="A2132" s="8" t="str">
        <f ca="1">IFERROR(__xludf.DUMMYFUNCTION("""COMPUTED_VALUE"""),"20080306ALDAM")</f>
        <v>20080306ALDAM</v>
      </c>
      <c r="B2132" s="8">
        <f ca="1">IFERROR(__xludf.DUMMYFUNCTION("""COMPUTED_VALUE"""),3)</f>
        <v>3</v>
      </c>
      <c r="C2132" s="8">
        <f ca="1">IFERROR(__xludf.DUMMYFUNCTION("""COMPUTED_VALUE"""),6)</f>
        <v>6</v>
      </c>
      <c r="D2132" s="8">
        <f ca="1">IFERROR(__xludf.DUMMYFUNCTION("""COMPUTED_VALUE"""),2008)</f>
        <v>2008</v>
      </c>
      <c r="E2132" s="9">
        <f ca="1">IFERROR(__xludf.DUMMYFUNCTION("""COMPUTED_VALUE"""),39513)</f>
        <v>39513</v>
      </c>
      <c r="F2132" s="8" t="str">
        <f ca="1">IFERROR(__xludf.DUMMYFUNCTION("""COMPUTED_VALUE"""),"Davidson High School")</f>
        <v>Davidson High School</v>
      </c>
      <c r="G2132" s="8">
        <f ca="1">IFERROR(__xludf.DUMMYFUNCTION("""COMPUTED_VALUE"""),0)</f>
        <v>0</v>
      </c>
      <c r="H2132" s="8">
        <f ca="1">IFERROR(__xludf.DUMMYFUNCTION("""COMPUTED_VALUE"""),0)</f>
        <v>0</v>
      </c>
      <c r="I2132" s="8">
        <f ca="1">IFERROR(__xludf.DUMMYFUNCTION("""COMPUTED_VALUE"""),0)</f>
        <v>0</v>
      </c>
      <c r="J2132" s="8">
        <f ca="1">IFERROR(__xludf.DUMMYFUNCTION("""COMPUTED_VALUE"""),1)</f>
        <v>1</v>
      </c>
      <c r="K2132" s="8" t="str">
        <f ca="1">IFERROR(__xludf.DUMMYFUNCTION("""COMPUTED_VALUE"""),"http://blog.al.com/live/2008/03/students_at_davidson_high_are.html  https://hinterlandgazette.com/2008/03/jajuan-holmes-kills-himself-in-front-of.html")</f>
        <v>http://blog.al.com/live/2008/03/students_at_davidson_high_are.html  https://hinterlandgazette.com/2008/03/jajuan-holmes-kills-himself-in-front-of.html</v>
      </c>
      <c r="L2132" s="8"/>
      <c r="M2132" s="8"/>
      <c r="N2132" s="8">
        <f ca="1">IFERROR(__xludf.DUMMYFUNCTION("""COMPUTED_VALUE"""),3)</f>
        <v>3</v>
      </c>
      <c r="O2132" s="8" t="str">
        <f ca="1">IFERROR(__xludf.DUMMYFUNCTION("""COMPUTED_VALUE"""),"Spring")</f>
        <v>Spring</v>
      </c>
      <c r="P2132" s="8" t="str">
        <f ca="1">IFERROR(__xludf.DUMMYFUNCTION("""COMPUTED_VALUE"""),"Mobile")</f>
        <v>Mobile</v>
      </c>
      <c r="Q2132" s="8" t="str">
        <f ca="1">IFERROR(__xludf.DUMMYFUNCTION("""COMPUTED_VALUE"""),"AL")</f>
        <v>AL</v>
      </c>
      <c r="R2132" s="8" t="str">
        <f ca="1">IFERROR(__xludf.DUMMYFUNCTION("""COMPUTED_VALUE"""),"High")</f>
        <v>High</v>
      </c>
      <c r="S2132" s="8" t="str">
        <f ca="1">IFERROR(__xludf.DUMMYFUNCTION("""COMPUTED_VALUE"""),"Gym")</f>
        <v>Gym</v>
      </c>
      <c r="T2132" s="8" t="str">
        <f ca="1">IFERROR(__xludf.DUMMYFUNCTION("""COMPUTED_VALUE"""),"Inside School Building")</f>
        <v>Inside School Building</v>
      </c>
      <c r="U2132" s="8" t="str">
        <f ca="1">IFERROR(__xludf.DUMMYFUNCTION("""COMPUTED_VALUE"""),"Yes")</f>
        <v>Yes</v>
      </c>
      <c r="V2132" s="8" t="str">
        <f ca="1">IFERROR(__xludf.DUMMYFUNCTION("""COMPUTED_VALUE"""),"Morning Classes")</f>
        <v>Morning Classes</v>
      </c>
      <c r="W2132" s="11">
        <f ca="1">IFERROR(__xludf.DUMMYFUNCTION("""COMPUTED_VALUE"""),0.416666666666666)</f>
        <v>0.41666666666666602</v>
      </c>
      <c r="X2132" s="8">
        <f ca="1">IFERROR(__xludf.DUMMYFUNCTION("""COMPUTED_VALUE"""),1)</f>
        <v>1</v>
      </c>
      <c r="Y2132" s="12" t="str">
        <f ca="1">IFERROR(__xludf.DUMMYFUNCTION("""COMPUTED_VALUE"""),"Suicide in gym in front of 150 students following suspension")</f>
        <v>Suicide in gym in front of 150 students following suspension</v>
      </c>
      <c r="Z2132" s="12" t="str">
        <f ca="1">IFERROR(__xludf.DUMMYFUNCTION("""COMPUTED_VALUE"""),"Shooter was charged weeks prior with robbery and was suspended from school. Shooter showed up to school wearing school uniform, entered gym where 150 students were gathered, shot .38 pistol into ceiling then shot himself in the head.")</f>
        <v>Shooter was charged weeks prior with robbery and was suspended from school. Shooter showed up to school wearing school uniform, entered gym where 150 students were gathered, shot .38 pistol into ceiling then shot himself in the head.</v>
      </c>
      <c r="AA2132" s="8" t="str">
        <f ca="1">IFERROR(__xludf.DUMMYFUNCTION("""COMPUTED_VALUE"""),"Suicide/Attempted")</f>
        <v>Suicide/Attempted</v>
      </c>
      <c r="AB2132" s="8"/>
      <c r="AC2132" s="8" t="str">
        <f ca="1">IFERROR(__xludf.DUMMYFUNCTION("""COMPUTED_VALUE"""),"Yes")</f>
        <v>Yes</v>
      </c>
      <c r="AD2132" s="8" t="str">
        <f ca="1">IFERROR(__xludf.DUMMYFUNCTION("""COMPUTED_VALUE"""),"Victims Targeted")</f>
        <v>Victims Targeted</v>
      </c>
      <c r="AE2132" s="8" t="str">
        <f ca="1">IFERROR(__xludf.DUMMYFUNCTION("""COMPUTED_VALUE"""),"No")</f>
        <v>No</v>
      </c>
      <c r="AF2132" s="8"/>
      <c r="AG2132" s="8" t="str">
        <f ca="1">IFERROR(__xludf.DUMMYFUNCTION("""COMPUTED_VALUE"""),"No")</f>
        <v>No</v>
      </c>
      <c r="AH2132" s="8" t="str">
        <f ca="1">IFERROR(__xludf.DUMMYFUNCTION("""COMPUTED_VALUE"""),"No")</f>
        <v>No</v>
      </c>
      <c r="AI2132" s="8" t="str">
        <f ca="1">IFERROR(__xludf.DUMMYFUNCTION("""COMPUTED_VALUE"""),"No")</f>
        <v>No</v>
      </c>
      <c r="AJ2132" s="8" t="str">
        <f ca="1">IFERROR(__xludf.DUMMYFUNCTION("""COMPUTED_VALUE"""),"No")</f>
        <v>No</v>
      </c>
      <c r="AK2132" s="8" t="str">
        <f ca="1">IFERROR(__xludf.DUMMYFUNCTION("""COMPUTED_VALUE"""),"No")</f>
        <v>No</v>
      </c>
      <c r="AL2132" s="8" t="str">
        <f ca="1">IFERROR(__xludf.DUMMYFUNCTION("""COMPUTED_VALUE"""),"No")</f>
        <v>No</v>
      </c>
      <c r="AM2132" s="8"/>
      <c r="AN2132" s="8"/>
      <c r="AO2132" s="8" t="str">
        <f ca="1">IFERROR(__xludf.DUMMYFUNCTION("""COMPUTED_VALUE"""),"No")</f>
        <v>No</v>
      </c>
      <c r="AP2132" s="8"/>
      <c r="AQ2132" s="8" t="str">
        <f ca="1">IFERROR(__xludf.DUMMYFUNCTION("""COMPUTED_VALUE"""),"Unknown")</f>
        <v>Unknown</v>
      </c>
      <c r="AR2132" s="8" t="str">
        <f ca="1">IFERROR(__xludf.DUMMYFUNCTION("""COMPUTED_VALUE"""),"NA")</f>
        <v>NA</v>
      </c>
      <c r="AS2132" s="8">
        <f ca="1">IFERROR(__xludf.DUMMYFUNCTION("""COMPUTED_VALUE"""),2)</f>
        <v>2</v>
      </c>
      <c r="AT2132" s="8"/>
      <c r="AU2132" s="8">
        <f ca="1">IFERROR(__xludf.DUMMYFUNCTION("""COMPUTED_VALUE"""),30.66244)</f>
        <v>30.66244</v>
      </c>
      <c r="AV2132" s="8">
        <f ca="1">IFERROR(__xludf.DUMMYFUNCTION("""COMPUTED_VALUE"""),-88.145933)</f>
        <v>-88.145932999999999</v>
      </c>
      <c r="AW2132" s="8"/>
      <c r="AX2132" s="8">
        <f ca="1">IFERROR(__xludf.DUMMYFUNCTION("""COMPUTED_VALUE"""),36609)</f>
        <v>36609</v>
      </c>
    </row>
    <row r="2133" spans="1:50" ht="60" x14ac:dyDescent="0.2">
      <c r="A2133" s="8" t="str">
        <f ca="1">IFERROR(__xludf.DUMMYFUNCTION("""COMPUTED_VALUE"""),"20080214CAEOO")</f>
        <v>20080214CAEOO</v>
      </c>
      <c r="B2133" s="8">
        <f ca="1">IFERROR(__xludf.DUMMYFUNCTION("""COMPUTED_VALUE"""),2)</f>
        <v>2</v>
      </c>
      <c r="C2133" s="8">
        <f ca="1">IFERROR(__xludf.DUMMYFUNCTION("""COMPUTED_VALUE"""),12)</f>
        <v>12</v>
      </c>
      <c r="D2133" s="8">
        <f ca="1">IFERROR(__xludf.DUMMYFUNCTION("""COMPUTED_VALUE"""),2008)</f>
        <v>2008</v>
      </c>
      <c r="E2133" s="9">
        <f ca="1">IFERROR(__xludf.DUMMYFUNCTION("""COMPUTED_VALUE"""),39490)</f>
        <v>39490</v>
      </c>
      <c r="F2133" s="8" t="str">
        <f ca="1">IFERROR(__xludf.DUMMYFUNCTION("""COMPUTED_VALUE"""),"E O Green Junior High School")</f>
        <v>E O Green Junior High School</v>
      </c>
      <c r="G2133" s="8">
        <f ca="1">IFERROR(__xludf.DUMMYFUNCTION("""COMPUTED_VALUE"""),1)</f>
        <v>1</v>
      </c>
      <c r="H2133" s="8">
        <f ca="1">IFERROR(__xludf.DUMMYFUNCTION("""COMPUTED_VALUE"""),0)</f>
        <v>0</v>
      </c>
      <c r="I2133" s="8">
        <f ca="1">IFERROR(__xludf.DUMMYFUNCTION("""COMPUTED_VALUE"""),1)</f>
        <v>1</v>
      </c>
      <c r="J2133" s="8">
        <f ca="1">IFERROR(__xludf.DUMMYFUNCTION("""COMPUTED_VALUE"""),0)</f>
        <v>0</v>
      </c>
      <c r="K2133" s="10" t="str">
        <f ca="1">IFERROR(__xludf.DUMMYFUNCTION("""COMPUTED_VALUE"""),"https://abcnews.go.com/US/eighth-grade-shooting-larry-king-brandon-mcinerney-boys/story?id=14666577")</f>
        <v>https://abcnews.go.com/US/eighth-grade-shooting-larry-king-brandon-mcinerney-boys/story?id=14666577</v>
      </c>
      <c r="L2133" s="8"/>
      <c r="M2133" s="8" t="str">
        <f ca="1">IFERROR(__xludf.DUMMYFUNCTION("""COMPUTED_VALUE"""),"National")</f>
        <v>National</v>
      </c>
      <c r="N2133" s="8">
        <f ca="1">IFERROR(__xludf.DUMMYFUNCTION("""COMPUTED_VALUE"""),4)</f>
        <v>4</v>
      </c>
      <c r="O2133" s="8" t="str">
        <f ca="1">IFERROR(__xludf.DUMMYFUNCTION("""COMPUTED_VALUE"""),"Winter")</f>
        <v>Winter</v>
      </c>
      <c r="P2133" s="8" t="str">
        <f ca="1">IFERROR(__xludf.DUMMYFUNCTION("""COMPUTED_VALUE"""),"Oxnard")</f>
        <v>Oxnard</v>
      </c>
      <c r="Q2133" s="8" t="str">
        <f ca="1">IFERROR(__xludf.DUMMYFUNCTION("""COMPUTED_VALUE"""),"CA")</f>
        <v>CA</v>
      </c>
      <c r="R2133" s="8" t="str">
        <f ca="1">IFERROR(__xludf.DUMMYFUNCTION("""COMPUTED_VALUE"""),"Junior High")</f>
        <v>Junior High</v>
      </c>
      <c r="S2133" s="8" t="str">
        <f ca="1">IFERROR(__xludf.DUMMYFUNCTION("""COMPUTED_VALUE"""),"Classroom")</f>
        <v>Classroom</v>
      </c>
      <c r="T2133" s="8" t="str">
        <f ca="1">IFERROR(__xludf.DUMMYFUNCTION("""COMPUTED_VALUE"""),"Inside School Building")</f>
        <v>Inside School Building</v>
      </c>
      <c r="U2133" s="8" t="str">
        <f ca="1">IFERROR(__xludf.DUMMYFUNCTION("""COMPUTED_VALUE"""),"Yes")</f>
        <v>Yes</v>
      </c>
      <c r="V2133" s="8" t="str">
        <f ca="1">IFERROR(__xludf.DUMMYFUNCTION("""COMPUTED_VALUE"""),"Morning Classes")</f>
        <v>Morning Classes</v>
      </c>
      <c r="W2133" s="11">
        <f ca="1">IFERROR(__xludf.DUMMYFUNCTION("""COMPUTED_VALUE"""),0.34375)</f>
        <v>0.34375</v>
      </c>
      <c r="X2133" s="8">
        <f ca="1">IFERROR(__xludf.DUMMYFUNCTION("""COMPUTED_VALUE"""),1)</f>
        <v>1</v>
      </c>
      <c r="Y2133" s="12" t="str">
        <f ca="1">IFERROR(__xludf.DUMMYFUNCTION("""COMPUTED_VALUE"""),"Bullying, target made fun of victim for being gay")</f>
        <v>Bullying, target made fun of victim for being gay</v>
      </c>
      <c r="Z2133" s="12" t="str">
        <f ca="1">IFERROR(__xludf.DUMMYFUNCTION("""COMPUTED_VALUE"""),"Victim was gay. Victim asked suspect out on date in from of students which made suspect's friends laugh. Suspect was embarrassed and retaliated by shooting victim in class following day.")</f>
        <v>Victim was gay. Victim asked suspect out on date in from of students which made suspect's friends laugh. Suspect was embarrassed and retaliated by shooting victim in class following day.</v>
      </c>
      <c r="AA2133" s="8" t="str">
        <f ca="1">IFERROR(__xludf.DUMMYFUNCTION("""COMPUTED_VALUE"""),"Bullying")</f>
        <v>Bullying</v>
      </c>
      <c r="AB2133" s="8"/>
      <c r="AC2133" s="8" t="str">
        <f ca="1">IFERROR(__xludf.DUMMYFUNCTION("""COMPUTED_VALUE"""),"Yes")</f>
        <v>Yes</v>
      </c>
      <c r="AD2133" s="8" t="str">
        <f ca="1">IFERROR(__xludf.DUMMYFUNCTION("""COMPUTED_VALUE"""),"Victims Targeted")</f>
        <v>Victims Targeted</v>
      </c>
      <c r="AE2133" s="8" t="str">
        <f ca="1">IFERROR(__xludf.DUMMYFUNCTION("""COMPUTED_VALUE"""),"No")</f>
        <v>No</v>
      </c>
      <c r="AF2133" s="8"/>
      <c r="AG2133" s="8" t="str">
        <f ca="1">IFERROR(__xludf.DUMMYFUNCTION("""COMPUTED_VALUE"""),"No")</f>
        <v>No</v>
      </c>
      <c r="AH2133" s="8" t="str">
        <f ca="1">IFERROR(__xludf.DUMMYFUNCTION("""COMPUTED_VALUE"""),"No")</f>
        <v>No</v>
      </c>
      <c r="AI2133" s="8" t="str">
        <f ca="1">IFERROR(__xludf.DUMMYFUNCTION("""COMPUTED_VALUE"""),"No")</f>
        <v>No</v>
      </c>
      <c r="AJ2133" s="8" t="str">
        <f ca="1">IFERROR(__xludf.DUMMYFUNCTION("""COMPUTED_VALUE"""),"Yes")</f>
        <v>Yes</v>
      </c>
      <c r="AK2133" s="8" t="str">
        <f ca="1">IFERROR(__xludf.DUMMYFUNCTION("""COMPUTED_VALUE"""),"No")</f>
        <v>No</v>
      </c>
      <c r="AL2133" s="8" t="str">
        <f ca="1">IFERROR(__xludf.DUMMYFUNCTION("""COMPUTED_VALUE"""),"No")</f>
        <v>No</v>
      </c>
      <c r="AM2133" s="8"/>
      <c r="AN2133" s="8"/>
      <c r="AO2133" s="8" t="str">
        <f ca="1">IFERROR(__xludf.DUMMYFUNCTION("""COMPUTED_VALUE"""),"No")</f>
        <v>No</v>
      </c>
      <c r="AP2133" s="8" t="str">
        <f ca="1">IFERROR(__xludf.DUMMYFUNCTION("""COMPUTED_VALUE"""),"No")</f>
        <v>No</v>
      </c>
      <c r="AQ2133" s="8" t="str">
        <f ca="1">IFERROR(__xludf.DUMMYFUNCTION("""COMPUTED_VALUE"""),"Unknown")</f>
        <v>Unknown</v>
      </c>
      <c r="AR2133" s="8" t="str">
        <f ca="1">IFERROR(__xludf.DUMMYFUNCTION("""COMPUTED_VALUE"""),"NA")</f>
        <v>NA</v>
      </c>
      <c r="AS2133" s="8">
        <f ca="1">IFERROR(__xludf.DUMMYFUNCTION("""COMPUTED_VALUE"""),2)</f>
        <v>2</v>
      </c>
      <c r="AT2133" s="8"/>
      <c r="AU2133" s="8">
        <f ca="1">IFERROR(__xludf.DUMMYFUNCTION("""COMPUTED_VALUE"""),34.164932)</f>
        <v>34.164932</v>
      </c>
      <c r="AV2133" s="8">
        <f ca="1">IFERROR(__xludf.DUMMYFUNCTION("""COMPUTED_VALUE"""),-119.181826)</f>
        <v>-119.181826</v>
      </c>
      <c r="AW2133" s="8"/>
      <c r="AX2133" s="8">
        <f ca="1">IFERROR(__xludf.DUMMYFUNCTION("""COMPUTED_VALUE"""),93033)</f>
        <v>93033</v>
      </c>
    </row>
    <row r="2134" spans="1:50" ht="60" x14ac:dyDescent="0.2">
      <c r="A2134" s="8" t="str">
        <f ca="1">IFERROR(__xludf.DUMMYFUNCTION("""COMPUTED_VALUE"""),"20080211TNMIM")</f>
        <v>20080211TNMIM</v>
      </c>
      <c r="B2134" s="8">
        <f ca="1">IFERROR(__xludf.DUMMYFUNCTION("""COMPUTED_VALUE"""),2)</f>
        <v>2</v>
      </c>
      <c r="C2134" s="8">
        <f ca="1">IFERROR(__xludf.DUMMYFUNCTION("""COMPUTED_VALUE"""),11)</f>
        <v>11</v>
      </c>
      <c r="D2134" s="8">
        <f ca="1">IFERROR(__xludf.DUMMYFUNCTION("""COMPUTED_VALUE"""),2008)</f>
        <v>2008</v>
      </c>
      <c r="E2134" s="9">
        <f ca="1">IFERROR(__xludf.DUMMYFUNCTION("""COMPUTED_VALUE"""),39489)</f>
        <v>39489</v>
      </c>
      <c r="F2134" s="8" t="str">
        <f ca="1">IFERROR(__xludf.DUMMYFUNCTION("""COMPUTED_VALUE"""),"Mitchell High School")</f>
        <v>Mitchell High School</v>
      </c>
      <c r="G2134" s="8">
        <f ca="1">IFERROR(__xludf.DUMMYFUNCTION("""COMPUTED_VALUE"""),0)</f>
        <v>0</v>
      </c>
      <c r="H2134" s="8">
        <f ca="1">IFERROR(__xludf.DUMMYFUNCTION("""COMPUTED_VALUE"""),1)</f>
        <v>1</v>
      </c>
      <c r="I2134" s="8">
        <f ca="1">IFERROR(__xludf.DUMMYFUNCTION("""COMPUTED_VALUE"""),1)</f>
        <v>1</v>
      </c>
      <c r="J2134" s="8">
        <f ca="1">IFERROR(__xludf.DUMMYFUNCTION("""COMPUTED_VALUE"""),0)</f>
        <v>0</v>
      </c>
      <c r="K2134" s="10" t="str">
        <f ca="1">IFERROR(__xludf.DUMMYFUNCTION("""COMPUTED_VALUE"""),"https://www.nytimes.com/2008/02/12/us/12memphis.html")</f>
        <v>https://www.nytimes.com/2008/02/12/us/12memphis.html</v>
      </c>
      <c r="L2134" s="8"/>
      <c r="M2134" s="8"/>
      <c r="N2134" s="8">
        <f ca="1">IFERROR(__xludf.DUMMYFUNCTION("""COMPUTED_VALUE"""),2)</f>
        <v>2</v>
      </c>
      <c r="O2134" s="8" t="str">
        <f ca="1">IFERROR(__xludf.DUMMYFUNCTION("""COMPUTED_VALUE"""),"Winter")</f>
        <v>Winter</v>
      </c>
      <c r="P2134" s="8" t="str">
        <f ca="1">IFERROR(__xludf.DUMMYFUNCTION("""COMPUTED_VALUE"""),"Memphis")</f>
        <v>Memphis</v>
      </c>
      <c r="Q2134" s="8" t="str">
        <f ca="1">IFERROR(__xludf.DUMMYFUNCTION("""COMPUTED_VALUE"""),"TN")</f>
        <v>TN</v>
      </c>
      <c r="R2134" s="8" t="str">
        <f ca="1">IFERROR(__xludf.DUMMYFUNCTION("""COMPUTED_VALUE"""),"High")</f>
        <v>High</v>
      </c>
      <c r="S2134" s="8" t="str">
        <f ca="1">IFERROR(__xludf.DUMMYFUNCTION("""COMPUTED_VALUE"""),"Classroom")</f>
        <v>Classroom</v>
      </c>
      <c r="T2134" s="8" t="str">
        <f ca="1">IFERROR(__xludf.DUMMYFUNCTION("""COMPUTED_VALUE"""),"Inside School Building")</f>
        <v>Inside School Building</v>
      </c>
      <c r="U2134" s="8" t="str">
        <f ca="1">IFERROR(__xludf.DUMMYFUNCTION("""COMPUTED_VALUE"""),"Yes")</f>
        <v>Yes</v>
      </c>
      <c r="V2134" s="8" t="str">
        <f ca="1">IFERROR(__xludf.DUMMYFUNCTION("""COMPUTED_VALUE"""),"Morning Classes")</f>
        <v>Morning Classes</v>
      </c>
      <c r="W2134" s="11">
        <f ca="1">IFERROR(__xludf.DUMMYFUNCTION("""COMPUTED_VALUE"""),0.375)</f>
        <v>0.375</v>
      </c>
      <c r="X2134" s="8">
        <f ca="1">IFERROR(__xludf.DUMMYFUNCTION("""COMPUTED_VALUE"""),1)</f>
        <v>1</v>
      </c>
      <c r="Y2134" s="12" t="str">
        <f ca="1">IFERROR(__xludf.DUMMYFUNCTION("""COMPUTED_VALUE"""),"Prior argument with victim, handed gun to teacher after shooting")</f>
        <v>Prior argument with victim, handed gun to teacher after shooting</v>
      </c>
      <c r="Z2134" s="12" t="str">
        <f ca="1">IFERROR(__xludf.DUMMYFUNCTION("""COMPUTED_VALUE"""),"Suspect shot victim three times then handed gun to teacher and waited for police")</f>
        <v>Suspect shot victim three times then handed gun to teacher and waited for police</v>
      </c>
      <c r="AA2134" s="8" t="str">
        <f ca="1">IFERROR(__xludf.DUMMYFUNCTION("""COMPUTED_VALUE"""),"Escalation of Dispute")</f>
        <v>Escalation of Dispute</v>
      </c>
      <c r="AB2134" s="8"/>
      <c r="AC2134" s="8" t="str">
        <f ca="1">IFERROR(__xludf.DUMMYFUNCTION("""COMPUTED_VALUE"""),"Yes")</f>
        <v>Yes</v>
      </c>
      <c r="AD2134" s="8" t="str">
        <f ca="1">IFERROR(__xludf.DUMMYFUNCTION("""COMPUTED_VALUE"""),"Victims Targeted")</f>
        <v>Victims Targeted</v>
      </c>
      <c r="AE2134" s="8" t="str">
        <f ca="1">IFERROR(__xludf.DUMMYFUNCTION("""COMPUTED_VALUE"""),"No")</f>
        <v>No</v>
      </c>
      <c r="AF2134" s="8"/>
      <c r="AG2134" s="8" t="str">
        <f ca="1">IFERROR(__xludf.DUMMYFUNCTION("""COMPUTED_VALUE"""),"No")</f>
        <v>No</v>
      </c>
      <c r="AH2134" s="8" t="str">
        <f ca="1">IFERROR(__xludf.DUMMYFUNCTION("""COMPUTED_VALUE"""),"No")</f>
        <v>No</v>
      </c>
      <c r="AI2134" s="8" t="str">
        <f ca="1">IFERROR(__xludf.DUMMYFUNCTION("""COMPUTED_VALUE"""),"No")</f>
        <v>No</v>
      </c>
      <c r="AJ2134" s="8"/>
      <c r="AK2134" s="8" t="str">
        <f ca="1">IFERROR(__xludf.DUMMYFUNCTION("""COMPUTED_VALUE"""),"No")</f>
        <v>No</v>
      </c>
      <c r="AL2134" s="8" t="str">
        <f ca="1">IFERROR(__xludf.DUMMYFUNCTION("""COMPUTED_VALUE"""),"No")</f>
        <v>No</v>
      </c>
      <c r="AM2134" s="8"/>
      <c r="AN2134" s="8"/>
      <c r="AO2134" s="8" t="str">
        <f ca="1">IFERROR(__xludf.DUMMYFUNCTION("""COMPUTED_VALUE"""),"No")</f>
        <v>No</v>
      </c>
      <c r="AP2134" s="8" t="str">
        <f ca="1">IFERROR(__xludf.DUMMYFUNCTION("""COMPUTED_VALUE"""),"Yes")</f>
        <v>Yes</v>
      </c>
      <c r="AQ2134" s="8" t="str">
        <f ca="1">IFERROR(__xludf.DUMMYFUNCTION("""COMPUTED_VALUE"""),"Unknown")</f>
        <v>Unknown</v>
      </c>
      <c r="AR2134" s="8" t="str">
        <f ca="1">IFERROR(__xludf.DUMMYFUNCTION("""COMPUTED_VALUE"""),"NA")</f>
        <v>NA</v>
      </c>
      <c r="AS2134" s="8">
        <f ca="1">IFERROR(__xludf.DUMMYFUNCTION("""COMPUTED_VALUE"""),3)</f>
        <v>3</v>
      </c>
      <c r="AT2134" s="8"/>
      <c r="AU2134" s="8">
        <f ca="1">IFERROR(__xludf.DUMMYFUNCTION("""COMPUTED_VALUE"""),35.056662)</f>
        <v>35.056662000000003</v>
      </c>
      <c r="AV2134" s="8">
        <f ca="1">IFERROR(__xludf.DUMMYFUNCTION("""COMPUTED_VALUE"""),-90.085262)</f>
        <v>-90.085262</v>
      </c>
      <c r="AW2134" s="8"/>
      <c r="AX2134" s="8">
        <f ca="1">IFERROR(__xludf.DUMMYFUNCTION("""COMPUTED_VALUE"""),38109)</f>
        <v>38109</v>
      </c>
    </row>
    <row r="2135" spans="1:50" ht="240" x14ac:dyDescent="0.2">
      <c r="A2135" s="8" t="str">
        <f ca="1">IFERROR(__xludf.DUMMYFUNCTION("""COMPUTED_VALUE"""),"20080207OHNOP")</f>
        <v>20080207OHNOP</v>
      </c>
      <c r="B2135" s="8">
        <f ca="1">IFERROR(__xludf.DUMMYFUNCTION("""COMPUTED_VALUE"""),2)</f>
        <v>2</v>
      </c>
      <c r="C2135" s="8">
        <f ca="1">IFERROR(__xludf.DUMMYFUNCTION("""COMPUTED_VALUE"""),7)</f>
        <v>7</v>
      </c>
      <c r="D2135" s="8">
        <f ca="1">IFERROR(__xludf.DUMMYFUNCTION("""COMPUTED_VALUE"""),2008)</f>
        <v>2008</v>
      </c>
      <c r="E2135" s="9">
        <f ca="1">IFERROR(__xludf.DUMMYFUNCTION("""COMPUTED_VALUE"""),39485)</f>
        <v>39485</v>
      </c>
      <c r="F2135" s="8" t="str">
        <f ca="1">IFERROR(__xludf.DUMMYFUNCTION("""COMPUTED_VALUE"""),"Notre Dame Elementary School")</f>
        <v>Notre Dame Elementary School</v>
      </c>
      <c r="G2135" s="8">
        <f ca="1">IFERROR(__xludf.DUMMYFUNCTION("""COMPUTED_VALUE"""),0)</f>
        <v>0</v>
      </c>
      <c r="H2135" s="8">
        <f ca="1">IFERROR(__xludf.DUMMYFUNCTION("""COMPUTED_VALUE"""),1)</f>
        <v>1</v>
      </c>
      <c r="I2135" s="8">
        <f ca="1">IFERROR(__xludf.DUMMYFUNCTION("""COMPUTED_VALUE"""),1)</f>
        <v>1</v>
      </c>
      <c r="J2135" s="8">
        <f ca="1">IFERROR(__xludf.DUMMYFUNCTION("""COMPUTED_VALUE"""),1)</f>
        <v>1</v>
      </c>
      <c r="K2135" s="10" t="str">
        <f ca="1">IFERROR(__xludf.DUMMYFUNCTION("""COMPUTED_VALUE"""),"https://www.wtol.com/article/news/suspect-in-ohio-school-teacher-shooting-dies/512-d3a2fdf9-b06f-45aa-a10e-bbe6519e3a30
https://www.nbcnews.com/id/wbna23048362")</f>
        <v>https://www.wtol.com/article/news/suspect-in-ohio-school-teacher-shooting-dies/512-d3a2fdf9-b06f-45aa-a10e-bbe6519e3a30
https://www.nbcnews.com/id/wbna23048362</v>
      </c>
      <c r="L2135" s="8"/>
      <c r="M2135" s="8" t="str">
        <f ca="1">IFERROR(__xludf.DUMMYFUNCTION("""COMPUTED_VALUE"""),"National")</f>
        <v>National</v>
      </c>
      <c r="N2135" s="8">
        <f ca="1">IFERROR(__xludf.DUMMYFUNCTION("""COMPUTED_VALUE"""),4)</f>
        <v>4</v>
      </c>
      <c r="O2135" s="8" t="str">
        <f ca="1">IFERROR(__xludf.DUMMYFUNCTION("""COMPUTED_VALUE"""),"Winter")</f>
        <v>Winter</v>
      </c>
      <c r="P2135" s="8" t="str">
        <f ca="1">IFERROR(__xludf.DUMMYFUNCTION("""COMPUTED_VALUE"""),"Portsmouth")</f>
        <v>Portsmouth</v>
      </c>
      <c r="Q2135" s="8" t="str">
        <f ca="1">IFERROR(__xludf.DUMMYFUNCTION("""COMPUTED_VALUE"""),"OH")</f>
        <v>OH</v>
      </c>
      <c r="R2135" s="8" t="str">
        <f ca="1">IFERROR(__xludf.DUMMYFUNCTION("""COMPUTED_VALUE"""),"Elementary")</f>
        <v>Elementary</v>
      </c>
      <c r="S2135" s="8" t="str">
        <f ca="1">IFERROR(__xludf.DUMMYFUNCTION("""COMPUTED_VALUE"""),"Classroom")</f>
        <v>Classroom</v>
      </c>
      <c r="T2135" s="8" t="str">
        <f ca="1">IFERROR(__xludf.DUMMYFUNCTION("""COMPUTED_VALUE"""),"Inside School Building")</f>
        <v>Inside School Building</v>
      </c>
      <c r="U2135" s="8" t="str">
        <f ca="1">IFERROR(__xludf.DUMMYFUNCTION("""COMPUTED_VALUE"""),"Yes")</f>
        <v>Yes</v>
      </c>
      <c r="V2135" s="8" t="str">
        <f ca="1">IFERROR(__xludf.DUMMYFUNCTION("""COMPUTED_VALUE"""),"Morning Classes")</f>
        <v>Morning Classes</v>
      </c>
      <c r="W2135" s="11">
        <f ca="1">IFERROR(__xludf.DUMMYFUNCTION("""COMPUTED_VALUE"""),0.375)</f>
        <v>0.375</v>
      </c>
      <c r="X2135" s="8">
        <f ca="1">IFERROR(__xludf.DUMMYFUNCTION("""COMPUTED_VALUE"""),1)</f>
        <v>1</v>
      </c>
      <c r="Y2135" s="12" t="str">
        <f ca="1">IFERROR(__xludf.DUMMYFUNCTION("""COMPUTED_VALUE"""),"Husband shot at and fatally stabbed his wife (teacher) in the classroom with students present")</f>
        <v>Husband shot at and fatally stabbed his wife (teacher) in the classroom with students present</v>
      </c>
      <c r="Z2135" s="12" t="str">
        <f ca="1">IFERROR(__xludf.DUMMYFUNCTION("""COMPUTED_VALUE"""),"A man charged into a school where his estranged wife was a teacher Thursday morning, fired a gun before he stabbed her as her fifth-grade class watched, police said. He later was found dead in his home after apparently shooting himself during a standoff w"&amp;"ith police. Christi Layne had filed for divorce Jan. 25. ""She was terrified something like this would happen,"" said Rebecca Bennett, Christi Layne's lawyer. The shooting happened around 9 a.m. at the Catholic school on Portsmouth's main road. Student Em"&amp;"maly Baker said she hid in the classroom's coatroom when the gunman came in. ""We heard gunshots, and we heard her yelling. I was scared,"" she told WSAZ-TV. ""The police officer came and got us and she was still laying there and she was hurt really bad."&amp;""" The suspect fled, and for hours after the shooting, a SWAT team surrounded a house about two miles away.")</f>
        <v>A man charged into a school where his estranged wife was a teacher Thursday morning, fired a gun before he stabbed her as her fifth-grade class watched, police said. He later was found dead in his home after apparently shooting himself during a standoff with police. Christi Layne had filed for divorce Jan. 25. "She was terrified something like this would happen," said Rebecca Bennett, Christi Layne's lawyer. The shooting happened around 9 a.m. at the Catholic school on Portsmouth's main road. Student Emmaly Baker said she hid in the classroom's coatroom when the gunman came in. "We heard gunshots, and we heard her yelling. I was scared," she told WSAZ-TV. "The police officer came and got us and she was still laying there and she was hurt really bad." The suspect fled, and for hours after the shooting, a SWAT team surrounded a house about two miles away.</v>
      </c>
      <c r="AA2135" s="8" t="str">
        <f ca="1">IFERROR(__xludf.DUMMYFUNCTION("""COMPUTED_VALUE"""),"Domestic w/ Targeted Victim")</f>
        <v>Domestic w/ Targeted Victim</v>
      </c>
      <c r="AB2135" s="8"/>
      <c r="AC2135" s="8" t="str">
        <f ca="1">IFERROR(__xludf.DUMMYFUNCTION("""COMPUTED_VALUE"""),"Yes")</f>
        <v>Yes</v>
      </c>
      <c r="AD2135" s="8" t="str">
        <f ca="1">IFERROR(__xludf.DUMMYFUNCTION("""COMPUTED_VALUE"""),"Victims Targeted")</f>
        <v>Victims Targeted</v>
      </c>
      <c r="AE2135" s="8" t="str">
        <f ca="1">IFERROR(__xludf.DUMMYFUNCTION("""COMPUTED_VALUE"""),"No")</f>
        <v>No</v>
      </c>
      <c r="AF2135" s="8"/>
      <c r="AG2135" s="8" t="str">
        <f ca="1">IFERROR(__xludf.DUMMYFUNCTION("""COMPUTED_VALUE"""),"No")</f>
        <v>No</v>
      </c>
      <c r="AH2135" s="8" t="str">
        <f ca="1">IFERROR(__xludf.DUMMYFUNCTION("""COMPUTED_VALUE"""),"No")</f>
        <v>No</v>
      </c>
      <c r="AI2135" s="8" t="str">
        <f ca="1">IFERROR(__xludf.DUMMYFUNCTION("""COMPUTED_VALUE"""),"No")</f>
        <v>No</v>
      </c>
      <c r="AJ2135" s="8" t="str">
        <f ca="1">IFERROR(__xludf.DUMMYFUNCTION("""COMPUTED_VALUE"""),"No")</f>
        <v>No</v>
      </c>
      <c r="AK2135" s="8" t="str">
        <f ca="1">IFERROR(__xludf.DUMMYFUNCTION("""COMPUTED_VALUE"""),"Yes")</f>
        <v>Yes</v>
      </c>
      <c r="AL2135" s="8" t="str">
        <f ca="1">IFERROR(__xludf.DUMMYFUNCTION("""COMPUTED_VALUE"""),"No")</f>
        <v>No</v>
      </c>
      <c r="AM2135" s="8" t="str">
        <f ca="1">IFERROR(__xludf.DUMMYFUNCTION("""COMPUTED_VALUE"""),"No")</f>
        <v>No</v>
      </c>
      <c r="AN2135" s="8"/>
      <c r="AO2135" s="8" t="str">
        <f ca="1">IFERROR(__xludf.DUMMYFUNCTION("""COMPUTED_VALUE"""),"No")</f>
        <v>No</v>
      </c>
      <c r="AP2135" s="8" t="str">
        <f ca="1">IFERROR(__xludf.DUMMYFUNCTION("""COMPUTED_VALUE"""),"No")</f>
        <v>No</v>
      </c>
      <c r="AQ2135" s="8"/>
      <c r="AR2135" s="8"/>
      <c r="AS2135" s="8">
        <f ca="1">IFERROR(__xludf.DUMMYFUNCTION("""COMPUTED_VALUE"""),1)</f>
        <v>1</v>
      </c>
      <c r="AT2135" s="8"/>
      <c r="AU2135" s="8">
        <f ca="1">IFERROR(__xludf.DUMMYFUNCTION("""COMPUTED_VALUE"""),38.73651)</f>
        <v>38.736510000000003</v>
      </c>
      <c r="AV2135" s="8">
        <f ca="1">IFERROR(__xludf.DUMMYFUNCTION("""COMPUTED_VALUE"""),-82.986127)</f>
        <v>-82.986126999999996</v>
      </c>
      <c r="AW2135" s="8"/>
      <c r="AX2135" s="8">
        <f ca="1">IFERROR(__xludf.DUMMYFUNCTION("""COMPUTED_VALUE"""),45662)</f>
        <v>45662</v>
      </c>
    </row>
    <row r="2136" spans="1:50" ht="60" x14ac:dyDescent="0.2">
      <c r="A2136" s="8" t="str">
        <f ca="1">IFERROR(__xludf.DUMMYFUNCTION("""COMPUTED_VALUE"""),"20080204TNHAM")</f>
        <v>20080204TNHAM</v>
      </c>
      <c r="B2136" s="8">
        <f ca="1">IFERROR(__xludf.DUMMYFUNCTION("""COMPUTED_VALUE"""),2)</f>
        <v>2</v>
      </c>
      <c r="C2136" s="8">
        <f ca="1">IFERROR(__xludf.DUMMYFUNCTION("""COMPUTED_VALUE"""),4)</f>
        <v>4</v>
      </c>
      <c r="D2136" s="8">
        <f ca="1">IFERROR(__xludf.DUMMYFUNCTION("""COMPUTED_VALUE"""),2008)</f>
        <v>2008</v>
      </c>
      <c r="E2136" s="9">
        <f ca="1">IFERROR(__xludf.DUMMYFUNCTION("""COMPUTED_VALUE"""),39482)</f>
        <v>39482</v>
      </c>
      <c r="F2136" s="8" t="str">
        <f ca="1">IFERROR(__xludf.DUMMYFUNCTION("""COMPUTED_VALUE"""),"Hamilton High School")</f>
        <v>Hamilton High School</v>
      </c>
      <c r="G2136" s="8">
        <f ca="1">IFERROR(__xludf.DUMMYFUNCTION("""COMPUTED_VALUE"""),0)</f>
        <v>0</v>
      </c>
      <c r="H2136" s="8">
        <f ca="1">IFERROR(__xludf.DUMMYFUNCTION("""COMPUTED_VALUE"""),1)</f>
        <v>1</v>
      </c>
      <c r="I2136" s="8">
        <f ca="1">IFERROR(__xludf.DUMMYFUNCTION("""COMPUTED_VALUE"""),1)</f>
        <v>1</v>
      </c>
      <c r="J2136" s="8">
        <f ca="1">IFERROR(__xludf.DUMMYFUNCTION("""COMPUTED_VALUE"""),0)</f>
        <v>0</v>
      </c>
      <c r="K2136" s="10" t="str">
        <f ca="1">IFERROR(__xludf.DUMMYFUNCTION("""COMPUTED_VALUE"""),"http://www.wmcactionnews5.com/story/7818497/police-investigate-shooting-inside-classroom-at-hamilton-high")</f>
        <v>http://www.wmcactionnews5.com/story/7818497/police-investigate-shooting-inside-classroom-at-hamilton-high</v>
      </c>
      <c r="L2136" s="8"/>
      <c r="M2136" s="8"/>
      <c r="N2136" s="8">
        <f ca="1">IFERROR(__xludf.DUMMYFUNCTION("""COMPUTED_VALUE"""),2)</f>
        <v>2</v>
      </c>
      <c r="O2136" s="8" t="str">
        <f ca="1">IFERROR(__xludf.DUMMYFUNCTION("""COMPUTED_VALUE"""),"Winter")</f>
        <v>Winter</v>
      </c>
      <c r="P2136" s="8" t="str">
        <f ca="1">IFERROR(__xludf.DUMMYFUNCTION("""COMPUTED_VALUE"""),"Memphis")</f>
        <v>Memphis</v>
      </c>
      <c r="Q2136" s="8" t="str">
        <f ca="1">IFERROR(__xludf.DUMMYFUNCTION("""COMPUTED_VALUE"""),"TN")</f>
        <v>TN</v>
      </c>
      <c r="R2136" s="8" t="str">
        <f ca="1">IFERROR(__xludf.DUMMYFUNCTION("""COMPUTED_VALUE"""),"High")</f>
        <v>High</v>
      </c>
      <c r="S2136" s="8" t="str">
        <f ca="1">IFERROR(__xludf.DUMMYFUNCTION("""COMPUTED_VALUE"""),"Classroom")</f>
        <v>Classroom</v>
      </c>
      <c r="T2136" s="8" t="str">
        <f ca="1">IFERROR(__xludf.DUMMYFUNCTION("""COMPUTED_VALUE"""),"Inside School Building")</f>
        <v>Inside School Building</v>
      </c>
      <c r="U2136" s="8" t="str">
        <f ca="1">IFERROR(__xludf.DUMMYFUNCTION("""COMPUTED_VALUE"""),"Yes")</f>
        <v>Yes</v>
      </c>
      <c r="V2136" s="8" t="str">
        <f ca="1">IFERROR(__xludf.DUMMYFUNCTION("""COMPUTED_VALUE"""),"Morning Classes")</f>
        <v>Morning Classes</v>
      </c>
      <c r="W2136" s="11">
        <f ca="1">IFERROR(__xludf.DUMMYFUNCTION("""COMPUTED_VALUE"""),0.416666666666666)</f>
        <v>0.41666666666666602</v>
      </c>
      <c r="X2136" s="8">
        <f ca="1">IFERROR(__xludf.DUMMYFUNCTION("""COMPUTED_VALUE"""),1)</f>
        <v>1</v>
      </c>
      <c r="Y2136" s="12" t="str">
        <f ca="1">IFERROR(__xludf.DUMMYFUNCTION("""COMPUTED_VALUE"""),"Argument over rap song")</f>
        <v>Argument over rap song</v>
      </c>
      <c r="Z2136" s="12" t="str">
        <f ca="1">IFERROR(__xludf.DUMMYFUNCTION("""COMPUTED_VALUE"""),"Shooter and victim got into a argument about a rap song during class. The shooter fired a handgun striking the victim in the leg (minor injuries). The shooter fled the scene. No other students were injured.")</f>
        <v>Shooter and victim got into a argument about a rap song during class. The shooter fired a handgun striking the victim in the leg (minor injuries). The shooter fled the scene. No other students were injured.</v>
      </c>
      <c r="AA2136" s="8" t="str">
        <f ca="1">IFERROR(__xludf.DUMMYFUNCTION("""COMPUTED_VALUE"""),"Escalation of Dispute")</f>
        <v>Escalation of Dispute</v>
      </c>
      <c r="AB2136" s="8"/>
      <c r="AC2136" s="8" t="str">
        <f ca="1">IFERROR(__xludf.DUMMYFUNCTION("""COMPUTED_VALUE"""),"Yes")</f>
        <v>Yes</v>
      </c>
      <c r="AD2136" s="8" t="str">
        <f ca="1">IFERROR(__xludf.DUMMYFUNCTION("""COMPUTED_VALUE"""),"Victims Targeted")</f>
        <v>Victims Targeted</v>
      </c>
      <c r="AE2136" s="8"/>
      <c r="AF2136" s="8"/>
      <c r="AG2136" s="8" t="str">
        <f ca="1">IFERROR(__xludf.DUMMYFUNCTION("""COMPUTED_VALUE"""),"No")</f>
        <v>No</v>
      </c>
      <c r="AH2136" s="8" t="str">
        <f ca="1">IFERROR(__xludf.DUMMYFUNCTION("""COMPUTED_VALUE"""),"No")</f>
        <v>No</v>
      </c>
      <c r="AI2136" s="8" t="str">
        <f ca="1">IFERROR(__xludf.DUMMYFUNCTION("""COMPUTED_VALUE"""),"No")</f>
        <v>No</v>
      </c>
      <c r="AJ2136" s="8" t="str">
        <f ca="1">IFERROR(__xludf.DUMMYFUNCTION("""COMPUTED_VALUE"""),"No")</f>
        <v>No</v>
      </c>
      <c r="AK2136" s="8" t="str">
        <f ca="1">IFERROR(__xludf.DUMMYFUNCTION("""COMPUTED_VALUE"""),"No")</f>
        <v>No</v>
      </c>
      <c r="AL2136" s="8" t="str">
        <f ca="1">IFERROR(__xludf.DUMMYFUNCTION("""COMPUTED_VALUE"""),"No")</f>
        <v>No</v>
      </c>
      <c r="AM2136" s="8"/>
      <c r="AN2136" s="8"/>
      <c r="AO2136" s="8" t="str">
        <f ca="1">IFERROR(__xludf.DUMMYFUNCTION("""COMPUTED_VALUE"""),"No")</f>
        <v>No</v>
      </c>
      <c r="AP2136" s="8" t="str">
        <f ca="1">IFERROR(__xludf.DUMMYFUNCTION("""COMPUTED_VALUE"""),"No")</f>
        <v>No</v>
      </c>
      <c r="AQ2136" s="8" t="str">
        <f ca="1">IFERROR(__xludf.DUMMYFUNCTION("""COMPUTED_VALUE"""),"Unknown")</f>
        <v>Unknown</v>
      </c>
      <c r="AR2136" s="8" t="str">
        <f ca="1">IFERROR(__xludf.DUMMYFUNCTION("""COMPUTED_VALUE"""),"NA")</f>
        <v>NA</v>
      </c>
      <c r="AS2136" s="8"/>
      <c r="AT2136" s="8"/>
      <c r="AU2136" s="8">
        <f ca="1">IFERROR(__xludf.DUMMYFUNCTION("""COMPUTED_VALUE"""),35.09992)</f>
        <v>35.099919999999997</v>
      </c>
      <c r="AV2136" s="8">
        <f ca="1">IFERROR(__xludf.DUMMYFUNCTION("""COMPUTED_VALUE"""),-90.016946)</f>
        <v>-90.016946000000004</v>
      </c>
      <c r="AW2136" s="8"/>
      <c r="AX2136" s="8">
        <f ca="1">IFERROR(__xludf.DUMMYFUNCTION("""COMPUTED_VALUE"""),38106)</f>
        <v>38106</v>
      </c>
    </row>
    <row r="2137" spans="1:50" ht="135" x14ac:dyDescent="0.2">
      <c r="A2137" s="8" t="str">
        <f ca="1">IFERROR(__xludf.DUMMYFUNCTION("""COMPUTED_VALUE"""),"20080116NCCRC")</f>
        <v>20080116NCCRC</v>
      </c>
      <c r="B2137" s="8">
        <f ca="1">IFERROR(__xludf.DUMMYFUNCTION("""COMPUTED_VALUE"""),1)</f>
        <v>1</v>
      </c>
      <c r="C2137" s="8">
        <f ca="1">IFERROR(__xludf.DUMMYFUNCTION("""COMPUTED_VALUE"""),16)</f>
        <v>16</v>
      </c>
      <c r="D2137" s="8">
        <f ca="1">IFERROR(__xludf.DUMMYFUNCTION("""COMPUTED_VALUE"""),2008)</f>
        <v>2008</v>
      </c>
      <c r="E2137" s="9">
        <f ca="1">IFERROR(__xludf.DUMMYFUNCTION("""COMPUTED_VALUE"""),39463)</f>
        <v>39463</v>
      </c>
      <c r="F2137" s="8" t="str">
        <f ca="1">IFERROR(__xludf.DUMMYFUNCTION("""COMPUTED_VALUE"""),"Crossroads Charter High School")</f>
        <v>Crossroads Charter High School</v>
      </c>
      <c r="G2137" s="8">
        <f ca="1">IFERROR(__xludf.DUMMYFUNCTION("""COMPUTED_VALUE"""),0)</f>
        <v>0</v>
      </c>
      <c r="H2137" s="8">
        <f ca="1">IFERROR(__xludf.DUMMYFUNCTION("""COMPUTED_VALUE"""),1)</f>
        <v>1</v>
      </c>
      <c r="I2137" s="8">
        <f ca="1">IFERROR(__xludf.DUMMYFUNCTION("""COMPUTED_VALUE"""),1)</f>
        <v>1</v>
      </c>
      <c r="J2137" s="8">
        <f ca="1">IFERROR(__xludf.DUMMYFUNCTION("""COMPUTED_VALUE"""),0)</f>
        <v>0</v>
      </c>
      <c r="K2137" s="10" t="str">
        <f ca="1">IFERROR(__xludf.DUMMYFUNCTION("""COMPUTED_VALUE"""),"https://www.foxnews.com/story/student-shot-at-north-carolina-charter-school")</f>
        <v>https://www.foxnews.com/story/student-shot-at-north-carolina-charter-school</v>
      </c>
      <c r="L2137" s="8">
        <f ca="1">IFERROR(__xludf.DUMMYFUNCTION("""COMPUTED_VALUE"""),20)</f>
        <v>20</v>
      </c>
      <c r="M2137" s="8" t="str">
        <f ca="1">IFERROR(__xludf.DUMMYFUNCTION("""COMPUTED_VALUE"""),"National")</f>
        <v>National</v>
      </c>
      <c r="N2137" s="8">
        <f ca="1">IFERROR(__xludf.DUMMYFUNCTION("""COMPUTED_VALUE"""),4)</f>
        <v>4</v>
      </c>
      <c r="O2137" s="8" t="str">
        <f ca="1">IFERROR(__xludf.DUMMYFUNCTION("""COMPUTED_VALUE"""),"Winter")</f>
        <v>Winter</v>
      </c>
      <c r="P2137" s="8" t="str">
        <f ca="1">IFERROR(__xludf.DUMMYFUNCTION("""COMPUTED_VALUE"""),"Charlotte")</f>
        <v>Charlotte</v>
      </c>
      <c r="Q2137" s="8" t="str">
        <f ca="1">IFERROR(__xludf.DUMMYFUNCTION("""COMPUTED_VALUE"""),"NC")</f>
        <v>NC</v>
      </c>
      <c r="R2137" s="8" t="str">
        <f ca="1">IFERROR(__xludf.DUMMYFUNCTION("""COMPUTED_VALUE"""),"High")</f>
        <v>High</v>
      </c>
      <c r="S2137" s="8" t="str">
        <f ca="1">IFERROR(__xludf.DUMMYFUNCTION("""COMPUTED_VALUE"""),"Parking Lot")</f>
        <v>Parking Lot</v>
      </c>
      <c r="T2137" s="8" t="str">
        <f ca="1">IFERROR(__xludf.DUMMYFUNCTION("""COMPUTED_VALUE"""),"Outside on School Property")</f>
        <v>Outside on School Property</v>
      </c>
      <c r="U2137" s="8" t="str">
        <f ca="1">IFERROR(__xludf.DUMMYFUNCTION("""COMPUTED_VALUE"""),"Yes")</f>
        <v>Yes</v>
      </c>
      <c r="V2137" s="8" t="str">
        <f ca="1">IFERROR(__xludf.DUMMYFUNCTION("""COMPUTED_VALUE"""),"Morning Classes")</f>
        <v>Morning Classes</v>
      </c>
      <c r="W2137" s="11">
        <f ca="1">IFERROR(__xludf.DUMMYFUNCTION("""COMPUTED_VALUE"""),0.427083333333333)</f>
        <v>0.42708333333333298</v>
      </c>
      <c r="X2137" s="8">
        <f ca="1">IFERROR(__xludf.DUMMYFUNCTION("""COMPUTED_VALUE"""),1)</f>
        <v>1</v>
      </c>
      <c r="Y2137" s="12" t="str">
        <f ca="1">IFERROR(__xludf.DUMMYFUNCTION("""COMPUTED_VALUE"""),"Student shot in parking lot during dismissal")</f>
        <v>Student shot in parking lot during dismissal</v>
      </c>
      <c r="Z2137" s="12" t="str">
        <f ca="1">IFERROR(__xludf.DUMMYFUNCTION("""COMPUTED_VALUE"""),"A student at a Charlotte charter school has been shot in the shoulder, but is expected to survive. Charlotte-Mecklenburg police said officers arrested a suspect not long after Wednesday's shooting, which took place in the parking lot of Crossroads Charter"&amp;" High School around 10 a.m. Police are also looking for two more suspects. The shooting happened as students were being dismissed for the day due to testing. They were brought back inside after the shooting.")</f>
        <v>A student at a Charlotte charter school has been shot in the shoulder, but is expected to survive. Charlotte-Mecklenburg police said officers arrested a suspect not long after Wednesday's shooting, which took place in the parking lot of Crossroads Charter High School around 10 a.m. Police are also looking for two more suspects. The shooting happened as students were being dismissed for the day due to testing. They were brought back inside after the shooting.</v>
      </c>
      <c r="AA2137" s="8"/>
      <c r="AB2137" s="8"/>
      <c r="AC2137" s="8" t="str">
        <f ca="1">IFERROR(__xludf.DUMMYFUNCTION("""COMPUTED_VALUE"""),"Yes")</f>
        <v>Yes</v>
      </c>
      <c r="AD2137" s="8"/>
      <c r="AE2137" s="8" t="str">
        <f ca="1">IFERROR(__xludf.DUMMYFUNCTION("""COMPUTED_VALUE"""),"No")</f>
        <v>No</v>
      </c>
      <c r="AF2137" s="8"/>
      <c r="AG2137" s="8" t="str">
        <f ca="1">IFERROR(__xludf.DUMMYFUNCTION("""COMPUTED_VALUE"""),"No")</f>
        <v>No</v>
      </c>
      <c r="AH2137" s="8" t="str">
        <f ca="1">IFERROR(__xludf.DUMMYFUNCTION("""COMPUTED_VALUE"""),"No")</f>
        <v>No</v>
      </c>
      <c r="AI2137" s="8" t="str">
        <f ca="1">IFERROR(__xludf.DUMMYFUNCTION("""COMPUTED_VALUE"""),"No")</f>
        <v>No</v>
      </c>
      <c r="AJ2137" s="8" t="str">
        <f ca="1">IFERROR(__xludf.DUMMYFUNCTION("""COMPUTED_VALUE"""),"No")</f>
        <v>No</v>
      </c>
      <c r="AK2137" s="8" t="str">
        <f ca="1">IFERROR(__xludf.DUMMYFUNCTION("""COMPUTED_VALUE"""),"No")</f>
        <v>No</v>
      </c>
      <c r="AL2137" s="8"/>
      <c r="AM2137" s="8" t="str">
        <f ca="1">IFERROR(__xludf.DUMMYFUNCTION("""COMPUTED_VALUE"""),"No")</f>
        <v>No</v>
      </c>
      <c r="AN2137" s="8" t="str">
        <f ca="1">IFERROR(__xludf.DUMMYFUNCTION("""COMPUTED_VALUE"""),"Outside")</f>
        <v>Outside</v>
      </c>
      <c r="AO2137" s="8" t="str">
        <f ca="1">IFERROR(__xludf.DUMMYFUNCTION("""COMPUTED_VALUE"""),"No")</f>
        <v>No</v>
      </c>
      <c r="AP2137" s="8"/>
      <c r="AQ2137" s="8"/>
      <c r="AR2137" s="8" t="str">
        <f ca="1">IFERROR(__xludf.DUMMYFUNCTION("""COMPUTED_VALUE"""),"Outside/Off-Property")</f>
        <v>Outside/Off-Property</v>
      </c>
      <c r="AS2137" s="8"/>
      <c r="AT2137" s="8" t="str">
        <f ca="1">IFERROR(__xludf.DUMMYFUNCTION("""COMPUTED_VALUE"""),"Yes")</f>
        <v>Yes</v>
      </c>
      <c r="AU2137" s="8">
        <f ca="1">IFERROR(__xludf.DUMMYFUNCTION("""COMPUTED_VALUE"""),35.26039)</f>
        <v>35.260390000000001</v>
      </c>
      <c r="AV2137" s="8">
        <f ca="1">IFERROR(__xludf.DUMMYFUNCTION("""COMPUTED_VALUE"""),-80.7759)</f>
        <v>-80.775899999999993</v>
      </c>
      <c r="AW2137" s="8"/>
      <c r="AX2137" s="8">
        <f ca="1">IFERROR(__xludf.DUMMYFUNCTION("""COMPUTED_VALUE"""),28213)</f>
        <v>28213</v>
      </c>
    </row>
    <row r="2138" spans="1:50" ht="90" x14ac:dyDescent="0.2">
      <c r="A2138" s="8" t="str">
        <f ca="1">IFERROR(__xludf.DUMMYFUNCTION("""COMPUTED_VALUE"""),"20071221CABAU")</f>
        <v>20071221CABAU</v>
      </c>
      <c r="B2138" s="8">
        <f ca="1">IFERROR(__xludf.DUMMYFUNCTION("""COMPUTED_VALUE"""),12)</f>
        <v>12</v>
      </c>
      <c r="C2138" s="8">
        <f ca="1">IFERROR(__xludf.DUMMYFUNCTION("""COMPUTED_VALUE"""),21)</f>
        <v>21</v>
      </c>
      <c r="D2138" s="8">
        <f ca="1">IFERROR(__xludf.DUMMYFUNCTION("""COMPUTED_VALUE"""),2007)</f>
        <v>2007</v>
      </c>
      <c r="E2138" s="9">
        <f ca="1">IFERROR(__xludf.DUMMYFUNCTION("""COMPUTED_VALUE"""),39437)</f>
        <v>39437</v>
      </c>
      <c r="F2138" s="8" t="str">
        <f ca="1">IFERROR(__xludf.DUMMYFUNCTION("""COMPUTED_VALUE"""),"Barnard-White Middle School")</f>
        <v>Barnard-White Middle School</v>
      </c>
      <c r="G2138" s="8">
        <f ca="1">IFERROR(__xludf.DUMMYFUNCTION("""COMPUTED_VALUE"""),1)</f>
        <v>1</v>
      </c>
      <c r="H2138" s="8">
        <f ca="1">IFERROR(__xludf.DUMMYFUNCTION("""COMPUTED_VALUE"""),0)</f>
        <v>0</v>
      </c>
      <c r="I2138" s="8">
        <f ca="1">IFERROR(__xludf.DUMMYFUNCTION("""COMPUTED_VALUE"""),1)</f>
        <v>1</v>
      </c>
      <c r="J2138" s="8">
        <f ca="1">IFERROR(__xludf.DUMMYFUNCTION("""COMPUTED_VALUE"""),0)</f>
        <v>0</v>
      </c>
      <c r="K2138" s="8" t="str">
        <f ca="1">IFERROR(__xludf.DUMMYFUNCTION("""COMPUTED_VALUE"""),"https://www.mercurynews.com/2015/12/04/union-city-reputed-gang-members-sentenced-for-killing-boy-14-over-racial-tensions/  https://patch.com/california/unioncity/six-plead-not-guilty-to-gunning-down-14-year-old-in-2007")</f>
        <v>https://www.mercurynews.com/2015/12/04/union-city-reputed-gang-members-sentenced-for-killing-boy-14-over-racial-tensions/  https://patch.com/california/unioncity/six-plead-not-guilty-to-gunning-down-14-year-old-in-2007</v>
      </c>
      <c r="L2138" s="8"/>
      <c r="M2138" s="8"/>
      <c r="N2138" s="8">
        <f ca="1">IFERROR(__xludf.DUMMYFUNCTION("""COMPUTED_VALUE"""),3)</f>
        <v>3</v>
      </c>
      <c r="O2138" s="8" t="str">
        <f ca="1">IFERROR(__xludf.DUMMYFUNCTION("""COMPUTED_VALUE"""),"Winter")</f>
        <v>Winter</v>
      </c>
      <c r="P2138" s="8" t="str">
        <f ca="1">IFERROR(__xludf.DUMMYFUNCTION("""COMPUTED_VALUE"""),"Union City")</f>
        <v>Union City</v>
      </c>
      <c r="Q2138" s="8" t="str">
        <f ca="1">IFERROR(__xludf.DUMMYFUNCTION("""COMPUTED_VALUE"""),"CA")</f>
        <v>CA</v>
      </c>
      <c r="R2138" s="8" t="str">
        <f ca="1">IFERROR(__xludf.DUMMYFUNCTION("""COMPUTED_VALUE"""),"Middle")</f>
        <v>Middle</v>
      </c>
      <c r="S2138" s="8" t="str">
        <f ca="1">IFERROR(__xludf.DUMMYFUNCTION("""COMPUTED_VALUE"""),"Outside on School Property")</f>
        <v>Outside on School Property</v>
      </c>
      <c r="T2138" s="8" t="str">
        <f ca="1">IFERROR(__xludf.DUMMYFUNCTION("""COMPUTED_VALUE"""),"Outside on School Property")</f>
        <v>Outside on School Property</v>
      </c>
      <c r="U2138" s="8" t="str">
        <f ca="1">IFERROR(__xludf.DUMMYFUNCTION("""COMPUTED_VALUE"""),"Yes")</f>
        <v>Yes</v>
      </c>
      <c r="V2138" s="8" t="str">
        <f ca="1">IFERROR(__xludf.DUMMYFUNCTION("""COMPUTED_VALUE"""),"After School")</f>
        <v>After School</v>
      </c>
      <c r="W2138" s="11">
        <f ca="1">IFERROR(__xludf.DUMMYFUNCTION("""COMPUTED_VALUE"""),0.638888888888888)</f>
        <v>0.63888888888888795</v>
      </c>
      <c r="X2138" s="8">
        <f ca="1">IFERROR(__xludf.DUMMYFUNCTION("""COMPUTED_VALUE"""),1)</f>
        <v>1</v>
      </c>
      <c r="Y2138" s="12" t="str">
        <f ca="1">IFERROR(__xludf.DUMMYFUNCTION("""COMPUTED_VALUE"""),"Bystander student hit during gang related shooting")</f>
        <v>Bystander student hit during gang related shooting</v>
      </c>
      <c r="Z2138" s="12" t="str">
        <f ca="1">IFERROR(__xludf.DUMMYFUNCTION("""COMPUTED_VALUE"""),"Ongoing dispute between black and latino gangs - group of black teens were spotted in Latino area - Latino gang members chased group of black teens - Member of latino gang shot at group several times hitting and killing 14 YO boy outside of middle school "&amp;"- 6 suspects later arrested and convicted.")</f>
        <v>Ongoing dispute between black and latino gangs - group of black teens were spotted in Latino area - Latino gang members chased group of black teens - Member of latino gang shot at group several times hitting and killing 14 YO boy outside of middle school - 6 suspects later arrested and convicted.</v>
      </c>
      <c r="AA2138" s="8" t="str">
        <f ca="1">IFERROR(__xludf.DUMMYFUNCTION("""COMPUTED_VALUE"""),"Escalation of Dispute")</f>
        <v>Escalation of Dispute</v>
      </c>
      <c r="AB2138" s="8"/>
      <c r="AC2138" s="8" t="str">
        <f ca="1">IFERROR(__xludf.DUMMYFUNCTION("""COMPUTED_VALUE"""),"Yes")</f>
        <v>Yes</v>
      </c>
      <c r="AD2138" s="8" t="str">
        <f ca="1">IFERROR(__xludf.DUMMYFUNCTION("""COMPUTED_VALUE"""),"Random Shooting")</f>
        <v>Random Shooting</v>
      </c>
      <c r="AE2138" s="8" t="str">
        <f ca="1">IFERROR(__xludf.DUMMYFUNCTION("""COMPUTED_VALUE"""),"Yes")</f>
        <v>Yes</v>
      </c>
      <c r="AF2138" s="8" t="str">
        <f ca="1">IFERROR(__xludf.DUMMYFUNCTION("""COMPUTED_VALUE"""),"5 other gang members were with shooter and charged with an accessory to the crime")</f>
        <v>5 other gang members were with shooter and charged with an accessory to the crime</v>
      </c>
      <c r="AG2138" s="8" t="str">
        <f ca="1">IFERROR(__xludf.DUMMYFUNCTION("""COMPUTED_VALUE"""),"No")</f>
        <v>No</v>
      </c>
      <c r="AH2138" s="8" t="str">
        <f ca="1">IFERROR(__xludf.DUMMYFUNCTION("""COMPUTED_VALUE"""),"No")</f>
        <v>No</v>
      </c>
      <c r="AI2138" s="8" t="str">
        <f ca="1">IFERROR(__xludf.DUMMYFUNCTION("""COMPUTED_VALUE"""),"No")</f>
        <v>No</v>
      </c>
      <c r="AJ2138" s="8" t="str">
        <f ca="1">IFERROR(__xludf.DUMMYFUNCTION("""COMPUTED_VALUE"""),"Yes")</f>
        <v>Yes</v>
      </c>
      <c r="AK2138" s="8" t="str">
        <f ca="1">IFERROR(__xludf.DUMMYFUNCTION("""COMPUTED_VALUE"""),"No")</f>
        <v>No</v>
      </c>
      <c r="AL2138" s="8" t="str">
        <f ca="1">IFERROR(__xludf.DUMMYFUNCTION("""COMPUTED_VALUE"""),"Yes")</f>
        <v>Yes</v>
      </c>
      <c r="AM2138" s="8"/>
      <c r="AN2138" s="8"/>
      <c r="AO2138" s="8" t="str">
        <f ca="1">IFERROR(__xludf.DUMMYFUNCTION("""COMPUTED_VALUE"""),"No")</f>
        <v>No</v>
      </c>
      <c r="AP2138" s="8"/>
      <c r="AQ2138" s="8" t="str">
        <f ca="1">IFERROR(__xludf.DUMMYFUNCTION("""COMPUTED_VALUE"""),"Unknown")</f>
        <v>Unknown</v>
      </c>
      <c r="AR2138" s="8" t="str">
        <f ca="1">IFERROR(__xludf.DUMMYFUNCTION("""COMPUTED_VALUE"""),"NA")</f>
        <v>NA</v>
      </c>
      <c r="AS2138" s="8" t="str">
        <f ca="1">IFERROR(__xludf.DUMMYFUNCTION("""COMPUTED_VALUE"""),"&lt;5")</f>
        <v>&lt;5</v>
      </c>
      <c r="AT2138" s="8"/>
      <c r="AU2138" s="8">
        <f ca="1">IFERROR(__xludf.DUMMYFUNCTION("""COMPUTED_VALUE"""),37.60647)</f>
        <v>37.606470000000002</v>
      </c>
      <c r="AV2138" s="8">
        <f ca="1">IFERROR(__xludf.DUMMYFUNCTION("""COMPUTED_VALUE"""),-122.027832)</f>
        <v>-122.027832</v>
      </c>
      <c r="AW2138" s="8"/>
      <c r="AX2138" s="8">
        <f ca="1">IFERROR(__xludf.DUMMYFUNCTION("""COMPUTED_VALUE"""),94587)</f>
        <v>94587</v>
      </c>
    </row>
    <row r="2139" spans="1:50" ht="90" x14ac:dyDescent="0.2">
      <c r="A2139" s="8" t="str">
        <f ca="1">IFERROR(__xludf.DUMMYFUNCTION("""COMPUTED_VALUE"""),"20071126NYHOH")</f>
        <v>20071126NYHOH</v>
      </c>
      <c r="B2139" s="8">
        <f ca="1">IFERROR(__xludf.DUMMYFUNCTION("""COMPUTED_VALUE"""),11)</f>
        <v>11</v>
      </c>
      <c r="C2139" s="8">
        <f ca="1">IFERROR(__xludf.DUMMYFUNCTION("""COMPUTED_VALUE"""),26)</f>
        <v>26</v>
      </c>
      <c r="D2139" s="8">
        <f ca="1">IFERROR(__xludf.DUMMYFUNCTION("""COMPUTED_VALUE"""),2007)</f>
        <v>2007</v>
      </c>
      <c r="E2139" s="9">
        <f ca="1">IFERROR(__xludf.DUMMYFUNCTION("""COMPUTED_VALUE"""),39412)</f>
        <v>39412</v>
      </c>
      <c r="F2139" s="8" t="str">
        <f ca="1">IFERROR(__xludf.DUMMYFUNCTION("""COMPUTED_VALUE"""),"Holland Patent Central High School")</f>
        <v>Holland Patent Central High School</v>
      </c>
      <c r="G2139" s="8">
        <f ca="1">IFERROR(__xludf.DUMMYFUNCTION("""COMPUTED_VALUE"""),0)</f>
        <v>0</v>
      </c>
      <c r="H2139" s="8">
        <f ca="1">IFERROR(__xludf.DUMMYFUNCTION("""COMPUTED_VALUE"""),0)</f>
        <v>0</v>
      </c>
      <c r="I2139" s="8">
        <f ca="1">IFERROR(__xludf.DUMMYFUNCTION("""COMPUTED_VALUE"""),0)</f>
        <v>0</v>
      </c>
      <c r="J2139" s="8">
        <f ca="1">IFERROR(__xludf.DUMMYFUNCTION("""COMPUTED_VALUE"""),0)</f>
        <v>0</v>
      </c>
      <c r="K2139" s="10" t="str">
        <f ca="1">IFERROR(__xludf.DUMMYFUNCTION("""COMPUTED_VALUE"""),"http://www.uticaod.com/article/20071127/news/311279895")</f>
        <v>http://www.uticaod.com/article/20071127/news/311279895</v>
      </c>
      <c r="L2139" s="8"/>
      <c r="M2139" s="8"/>
      <c r="N2139" s="8">
        <f ca="1">IFERROR(__xludf.DUMMYFUNCTION("""COMPUTED_VALUE"""),2)</f>
        <v>2</v>
      </c>
      <c r="O2139" s="8" t="str">
        <f ca="1">IFERROR(__xludf.DUMMYFUNCTION("""COMPUTED_VALUE"""),"Fall")</f>
        <v>Fall</v>
      </c>
      <c r="P2139" s="8" t="str">
        <f ca="1">IFERROR(__xludf.DUMMYFUNCTION("""COMPUTED_VALUE"""),"Holland Patent")</f>
        <v>Holland Patent</v>
      </c>
      <c r="Q2139" s="8" t="str">
        <f ca="1">IFERROR(__xludf.DUMMYFUNCTION("""COMPUTED_VALUE"""),"NY")</f>
        <v>NY</v>
      </c>
      <c r="R2139" s="8" t="str">
        <f ca="1">IFERROR(__xludf.DUMMYFUNCTION("""COMPUTED_VALUE"""),"High")</f>
        <v>High</v>
      </c>
      <c r="S2139" s="8" t="str">
        <f ca="1">IFERROR(__xludf.DUMMYFUNCTION("""COMPUTED_VALUE"""),"School Bus")</f>
        <v>School Bus</v>
      </c>
      <c r="T2139" s="8" t="str">
        <f ca="1">IFERROR(__xludf.DUMMYFUNCTION("""COMPUTED_VALUE"""),"School Bus")</f>
        <v>School Bus</v>
      </c>
      <c r="U2139" s="8" t="str">
        <f ca="1">IFERROR(__xludf.DUMMYFUNCTION("""COMPUTED_VALUE"""),"Yes")</f>
        <v>Yes</v>
      </c>
      <c r="V2139" s="8" t="str">
        <f ca="1">IFERROR(__xludf.DUMMYFUNCTION("""COMPUTED_VALUE"""),"Morning Classes")</f>
        <v>Morning Classes</v>
      </c>
      <c r="W2139" s="11">
        <f ca="1">IFERROR(__xludf.DUMMYFUNCTION("""COMPUTED_VALUE"""),0.458333333333333)</f>
        <v>0.45833333333333298</v>
      </c>
      <c r="X2139" s="8">
        <f ca="1">IFERROR(__xludf.DUMMYFUNCTION("""COMPUTED_VALUE"""),1)</f>
        <v>1</v>
      </c>
      <c r="Y2139" s="12" t="str">
        <f ca="1">IFERROR(__xludf.DUMMYFUNCTION("""COMPUTED_VALUE"""),"Shooter and friend shot gun on bus at seat")</f>
        <v>Shooter and friend shot gun on bus at seat</v>
      </c>
      <c r="Z2139" s="12" t="str">
        <f ca="1">IFERROR(__xludf.DUMMYFUNCTION("""COMPUTED_VALUE"""),"Shooter and accomplice had just boarded school bus at school when accomplice shows shooter gun. Shooter takes gun, points it at front seat and pulls trigger. Gun goes off, bullet going between two students in forward seat and lodging in seat ahead of them"&amp;". Shooter and accomplice arrested and charged.")</f>
        <v>Shooter and accomplice had just boarded school bus at school when accomplice shows shooter gun. Shooter takes gun, points it at front seat and pulls trigger. Gun goes off, bullet going between two students in forward seat and lodging in seat ahead of them. Shooter and accomplice arrested and charged.</v>
      </c>
      <c r="AA2139" s="8" t="str">
        <f ca="1">IFERROR(__xludf.DUMMYFUNCTION("""COMPUTED_VALUE"""),"Intentional Property Damage")</f>
        <v>Intentional Property Damage</v>
      </c>
      <c r="AB2139" s="8"/>
      <c r="AC2139" s="8" t="str">
        <f ca="1">IFERROR(__xludf.DUMMYFUNCTION("""COMPUTED_VALUE"""),"Yes")</f>
        <v>Yes</v>
      </c>
      <c r="AD2139" s="8"/>
      <c r="AE2139" s="8" t="str">
        <f ca="1">IFERROR(__xludf.DUMMYFUNCTION("""COMPUTED_VALUE"""),"Yes")</f>
        <v>Yes</v>
      </c>
      <c r="AF2139" s="8" t="str">
        <f ca="1">IFERROR(__xludf.DUMMYFUNCTION("""COMPUTED_VALUE"""),"James J. Ranaudo (16) was sitting with shooter on school bus")</f>
        <v>James J. Ranaudo (16) was sitting with shooter on school bus</v>
      </c>
      <c r="AG2139" s="8" t="str">
        <f ca="1">IFERROR(__xludf.DUMMYFUNCTION("""COMPUTED_VALUE"""),"No")</f>
        <v>No</v>
      </c>
      <c r="AH2139" s="8" t="str">
        <f ca="1">IFERROR(__xludf.DUMMYFUNCTION("""COMPUTED_VALUE"""),"No")</f>
        <v>No</v>
      </c>
      <c r="AI2139" s="8" t="str">
        <f ca="1">IFERROR(__xludf.DUMMYFUNCTION("""COMPUTED_VALUE"""),"No")</f>
        <v>No</v>
      </c>
      <c r="AJ2139" s="8"/>
      <c r="AK2139" s="8"/>
      <c r="AL2139" s="8" t="str">
        <f ca="1">IFERROR(__xludf.DUMMYFUNCTION("""COMPUTED_VALUE"""),"No")</f>
        <v>No</v>
      </c>
      <c r="AM2139" s="8"/>
      <c r="AN2139" s="8"/>
      <c r="AO2139" s="8" t="str">
        <f ca="1">IFERROR(__xludf.DUMMYFUNCTION("""COMPUTED_VALUE"""),"No")</f>
        <v>No</v>
      </c>
      <c r="AP2139" s="8"/>
      <c r="AQ2139" s="8" t="str">
        <f ca="1">IFERROR(__xludf.DUMMYFUNCTION("""COMPUTED_VALUE"""),"Unknown")</f>
        <v>Unknown</v>
      </c>
      <c r="AR2139" s="8" t="str">
        <f ca="1">IFERROR(__xludf.DUMMYFUNCTION("""COMPUTED_VALUE"""),"NA")</f>
        <v>NA</v>
      </c>
      <c r="AS2139" s="8">
        <f ca="1">IFERROR(__xludf.DUMMYFUNCTION("""COMPUTED_VALUE"""),1)</f>
        <v>1</v>
      </c>
      <c r="AT2139" s="8"/>
      <c r="AU2139" s="8">
        <f ca="1">IFERROR(__xludf.DUMMYFUNCTION("""COMPUTED_VALUE"""),43.253445)</f>
        <v>43.253444999999999</v>
      </c>
      <c r="AV2139" s="8">
        <f ca="1">IFERROR(__xludf.DUMMYFUNCTION("""COMPUTED_VALUE"""),-75.254443)</f>
        <v>-75.254442999999995</v>
      </c>
      <c r="AW2139" s="8"/>
      <c r="AX2139" s="8">
        <f ca="1">IFERROR(__xludf.DUMMYFUNCTION("""COMPUTED_VALUE"""),13354)</f>
        <v>13354</v>
      </c>
    </row>
    <row r="2140" spans="1:50" ht="30" x14ac:dyDescent="0.2">
      <c r="A2140" s="8" t="str">
        <f ca="1">IFERROR(__xludf.DUMMYFUNCTION("""COMPUTED_VALUE"""),"20071105LAJOR")</f>
        <v>20071105LAJOR</v>
      </c>
      <c r="B2140" s="8">
        <f ca="1">IFERROR(__xludf.DUMMYFUNCTION("""COMPUTED_VALUE"""),11)</f>
        <v>11</v>
      </c>
      <c r="C2140" s="8">
        <f ca="1">IFERROR(__xludf.DUMMYFUNCTION("""COMPUTED_VALUE"""),5)</f>
        <v>5</v>
      </c>
      <c r="D2140" s="8">
        <f ca="1">IFERROR(__xludf.DUMMYFUNCTION("""COMPUTED_VALUE"""),2007)</f>
        <v>2007</v>
      </c>
      <c r="E2140" s="9">
        <f ca="1">IFERROR(__xludf.DUMMYFUNCTION("""COMPUTED_VALUE"""),39391)</f>
        <v>39391</v>
      </c>
      <c r="F2140" s="8" t="str">
        <f ca="1">IFERROR(__xludf.DUMMYFUNCTION("""COMPUTED_VALUE"""),"John Curtis Christian School")</f>
        <v>John Curtis Christian School</v>
      </c>
      <c r="G2140" s="8">
        <f ca="1">IFERROR(__xludf.DUMMYFUNCTION("""COMPUTED_VALUE"""),0)</f>
        <v>0</v>
      </c>
      <c r="H2140" s="8">
        <f ca="1">IFERROR(__xludf.DUMMYFUNCTION("""COMPUTED_VALUE"""),0)</f>
        <v>0</v>
      </c>
      <c r="I2140" s="8">
        <f ca="1">IFERROR(__xludf.DUMMYFUNCTION("""COMPUTED_VALUE"""),0)</f>
        <v>0</v>
      </c>
      <c r="J2140" s="8">
        <f ca="1">IFERROR(__xludf.DUMMYFUNCTION("""COMPUTED_VALUE"""),1)</f>
        <v>1</v>
      </c>
      <c r="K2140" s="10" t="str">
        <f ca="1">IFERROR(__xludf.DUMMYFUNCTION("""COMPUTED_VALUE"""),"https://www.newspapers.com/image/432388038/?terms=student%2Bshot")</f>
        <v>https://www.newspapers.com/image/432388038/?terms=student%2Bshot</v>
      </c>
      <c r="L2140" s="8"/>
      <c r="M2140" s="8"/>
      <c r="N2140" s="8">
        <f ca="1">IFERROR(__xludf.DUMMYFUNCTION("""COMPUTED_VALUE"""),2)</f>
        <v>2</v>
      </c>
      <c r="O2140" s="8" t="str">
        <f ca="1">IFERROR(__xludf.DUMMYFUNCTION("""COMPUTED_VALUE"""),"Fall")</f>
        <v>Fall</v>
      </c>
      <c r="P2140" s="8" t="str">
        <f ca="1">IFERROR(__xludf.DUMMYFUNCTION("""COMPUTED_VALUE"""),"River Ridge")</f>
        <v>River Ridge</v>
      </c>
      <c r="Q2140" s="8" t="str">
        <f ca="1">IFERROR(__xludf.DUMMYFUNCTION("""COMPUTED_VALUE"""),"LA")</f>
        <v>LA</v>
      </c>
      <c r="R2140" s="8" t="str">
        <f ca="1">IFERROR(__xludf.DUMMYFUNCTION("""COMPUTED_VALUE"""),"K-12")</f>
        <v>K-12</v>
      </c>
      <c r="S2140" s="8" t="str">
        <f ca="1">IFERROR(__xludf.DUMMYFUNCTION("""COMPUTED_VALUE"""),"Inside School Building")</f>
        <v>Inside School Building</v>
      </c>
      <c r="T2140" s="8" t="str">
        <f ca="1">IFERROR(__xludf.DUMMYFUNCTION("""COMPUTED_VALUE"""),"Inside School Building")</f>
        <v>Inside School Building</v>
      </c>
      <c r="U2140" s="8" t="str">
        <f ca="1">IFERROR(__xludf.DUMMYFUNCTION("""COMPUTED_VALUE"""),"Yes")</f>
        <v>Yes</v>
      </c>
      <c r="V2140" s="8" t="str">
        <f ca="1">IFERROR(__xludf.DUMMYFUNCTION("""COMPUTED_VALUE"""),"Before School")</f>
        <v>Before School</v>
      </c>
      <c r="W2140" s="8"/>
      <c r="X2140" s="8">
        <f ca="1">IFERROR(__xludf.DUMMYFUNCTION("""COMPUTED_VALUE"""),1)</f>
        <v>1</v>
      </c>
      <c r="Y2140" s="12" t="str">
        <f ca="1">IFERROR(__xludf.DUMMYFUNCTION("""COMPUTED_VALUE"""),"Student shot self before class")</f>
        <v>Student shot self before class</v>
      </c>
      <c r="Z2140" s="12" t="str">
        <f ca="1">IFERROR(__xludf.DUMMYFUNCTION("""COMPUTED_VALUE"""),"13 year old boy shot himself before class - was put on life support. - no motive listed. student later died.")</f>
        <v>13 year old boy shot himself before class - was put on life support. - no motive listed. student later died.</v>
      </c>
      <c r="AA2140" s="8" t="str">
        <f ca="1">IFERROR(__xludf.DUMMYFUNCTION("""COMPUTED_VALUE"""),"Suicide/Attempted")</f>
        <v>Suicide/Attempted</v>
      </c>
      <c r="AB2140" s="8"/>
      <c r="AC2140" s="8" t="str">
        <f ca="1">IFERROR(__xludf.DUMMYFUNCTION("""COMPUTED_VALUE"""),"Yes")</f>
        <v>Yes</v>
      </c>
      <c r="AD2140" s="8" t="str">
        <f ca="1">IFERROR(__xludf.DUMMYFUNCTION("""COMPUTED_VALUE"""),"Victims Targeted")</f>
        <v>Victims Targeted</v>
      </c>
      <c r="AE2140" s="8" t="str">
        <f ca="1">IFERROR(__xludf.DUMMYFUNCTION("""COMPUTED_VALUE"""),"No")</f>
        <v>No</v>
      </c>
      <c r="AF2140" s="8"/>
      <c r="AG2140" s="8" t="str">
        <f ca="1">IFERROR(__xludf.DUMMYFUNCTION("""COMPUTED_VALUE"""),"No")</f>
        <v>No</v>
      </c>
      <c r="AH2140" s="8" t="str">
        <f ca="1">IFERROR(__xludf.DUMMYFUNCTION("""COMPUTED_VALUE"""),"No")</f>
        <v>No</v>
      </c>
      <c r="AI2140" s="8" t="str">
        <f ca="1">IFERROR(__xludf.DUMMYFUNCTION("""COMPUTED_VALUE"""),"No")</f>
        <v>No</v>
      </c>
      <c r="AJ2140" s="8"/>
      <c r="AK2140" s="8"/>
      <c r="AL2140" s="8" t="str">
        <f ca="1">IFERROR(__xludf.DUMMYFUNCTION("""COMPUTED_VALUE"""),"No")</f>
        <v>No</v>
      </c>
      <c r="AM2140" s="8"/>
      <c r="AN2140" s="8"/>
      <c r="AO2140" s="8" t="str">
        <f ca="1">IFERROR(__xludf.DUMMYFUNCTION("""COMPUTED_VALUE"""),"No")</f>
        <v>No</v>
      </c>
      <c r="AP2140" s="8"/>
      <c r="AQ2140" s="8" t="str">
        <f ca="1">IFERROR(__xludf.DUMMYFUNCTION("""COMPUTED_VALUE"""),"Unknown")</f>
        <v>Unknown</v>
      </c>
      <c r="AR2140" s="8" t="str">
        <f ca="1">IFERROR(__xludf.DUMMYFUNCTION("""COMPUTED_VALUE"""),"NA")</f>
        <v>NA</v>
      </c>
      <c r="AS2140" s="8">
        <f ca="1">IFERROR(__xludf.DUMMYFUNCTION("""COMPUTED_VALUE"""),1)</f>
        <v>1</v>
      </c>
      <c r="AT2140" s="8"/>
      <c r="AU2140" s="8">
        <f ca="1">IFERROR(__xludf.DUMMYFUNCTION("""COMPUTED_VALUE"""),29.963494)</f>
        <v>29.963494000000001</v>
      </c>
      <c r="AV2140" s="8">
        <f ca="1">IFERROR(__xludf.DUMMYFUNCTION("""COMPUTED_VALUE"""),-90.221391)</f>
        <v>-90.221390999999997</v>
      </c>
      <c r="AW2140" s="8"/>
      <c r="AX2140" s="8">
        <f ca="1">IFERROR(__xludf.DUMMYFUNCTION("""COMPUTED_VALUE"""),70123)</f>
        <v>70123</v>
      </c>
    </row>
    <row r="2141" spans="1:50" ht="45" x14ac:dyDescent="0.2">
      <c r="A2141" s="8" t="str">
        <f ca="1">IFERROR(__xludf.DUMMYFUNCTION("""COMPUTED_VALUE"""),"20071024TNMAM")</f>
        <v>20071024TNMAM</v>
      </c>
      <c r="B2141" s="8">
        <f ca="1">IFERROR(__xludf.DUMMYFUNCTION("""COMPUTED_VALUE"""),10)</f>
        <v>10</v>
      </c>
      <c r="C2141" s="8">
        <f ca="1">IFERROR(__xludf.DUMMYFUNCTION("""COMPUTED_VALUE"""),24)</f>
        <v>24</v>
      </c>
      <c r="D2141" s="8">
        <f ca="1">IFERROR(__xludf.DUMMYFUNCTION("""COMPUTED_VALUE"""),2007)</f>
        <v>2007</v>
      </c>
      <c r="E2141" s="9">
        <f ca="1">IFERROR(__xludf.DUMMYFUNCTION("""COMPUTED_VALUE"""),39379)</f>
        <v>39379</v>
      </c>
      <c r="F2141" s="8" t="str">
        <f ca="1">IFERROR(__xludf.DUMMYFUNCTION("""COMPUTED_VALUE"""),"Manassas High School")</f>
        <v>Manassas High School</v>
      </c>
      <c r="G2141" s="8">
        <f ca="1">IFERROR(__xludf.DUMMYFUNCTION("""COMPUTED_VALUE"""),0)</f>
        <v>0</v>
      </c>
      <c r="H2141" s="8">
        <f ca="1">IFERROR(__xludf.DUMMYFUNCTION("""COMPUTED_VALUE"""),1)</f>
        <v>1</v>
      </c>
      <c r="I2141" s="8">
        <f ca="1">IFERROR(__xludf.DUMMYFUNCTION("""COMPUTED_VALUE"""),1)</f>
        <v>1</v>
      </c>
      <c r="J2141" s="8">
        <f ca="1">IFERROR(__xludf.DUMMYFUNCTION("""COMPUTED_VALUE"""),0)</f>
        <v>0</v>
      </c>
      <c r="K2141" s="10" t="str">
        <f ca="1">IFERROR(__xludf.DUMMYFUNCTION("""COMPUTED_VALUE"""),"https://www.newspapers.com/image/282229204/?terms=markees%2Bsmith")</f>
        <v>https://www.newspapers.com/image/282229204/?terms=markees%2Bsmith</v>
      </c>
      <c r="L2141" s="8"/>
      <c r="M2141" s="8"/>
      <c r="N2141" s="8">
        <f ca="1">IFERROR(__xludf.DUMMYFUNCTION("""COMPUTED_VALUE"""),2)</f>
        <v>2</v>
      </c>
      <c r="O2141" s="8" t="str">
        <f ca="1">IFERROR(__xludf.DUMMYFUNCTION("""COMPUTED_VALUE"""),"Fall")</f>
        <v>Fall</v>
      </c>
      <c r="P2141" s="8" t="str">
        <f ca="1">IFERROR(__xludf.DUMMYFUNCTION("""COMPUTED_VALUE"""),"Memphis")</f>
        <v>Memphis</v>
      </c>
      <c r="Q2141" s="8" t="str">
        <f ca="1">IFERROR(__xludf.DUMMYFUNCTION("""COMPUTED_VALUE"""),"TN")</f>
        <v>TN</v>
      </c>
      <c r="R2141" s="8" t="str">
        <f ca="1">IFERROR(__xludf.DUMMYFUNCTION("""COMPUTED_VALUE"""),"High")</f>
        <v>High</v>
      </c>
      <c r="S2141" s="8" t="str">
        <f ca="1">IFERROR(__xludf.DUMMYFUNCTION("""COMPUTED_VALUE"""),"Hallway")</f>
        <v>Hallway</v>
      </c>
      <c r="T2141" s="8" t="str">
        <f ca="1">IFERROR(__xludf.DUMMYFUNCTION("""COMPUTED_VALUE"""),"Inside School Building")</f>
        <v>Inside School Building</v>
      </c>
      <c r="U2141" s="8" t="str">
        <f ca="1">IFERROR(__xludf.DUMMYFUNCTION("""COMPUTED_VALUE"""),"Yes")</f>
        <v>Yes</v>
      </c>
      <c r="V2141" s="8" t="str">
        <f ca="1">IFERROR(__xludf.DUMMYFUNCTION("""COMPUTED_VALUE"""),"Morning Classes")</f>
        <v>Morning Classes</v>
      </c>
      <c r="W2141" s="11">
        <f ca="1">IFERROR(__xludf.DUMMYFUNCTION("""COMPUTED_VALUE"""),0.364583333333333)</f>
        <v>0.36458333333333298</v>
      </c>
      <c r="X2141" s="8">
        <f ca="1">IFERROR(__xludf.DUMMYFUNCTION("""COMPUTED_VALUE"""),1)</f>
        <v>1</v>
      </c>
      <c r="Y2141" s="12" t="str">
        <f ca="1">IFERROR(__xludf.DUMMYFUNCTION("""COMPUTED_VALUE"""),"Accidental discharge while showing off gun")</f>
        <v>Accidental discharge while showing off gun</v>
      </c>
      <c r="Z2141" s="12" t="str">
        <f ca="1">IFERROR(__xludf.DUMMYFUNCTION("""COMPUTED_VALUE"""),"15 year old shooter brought gun to school to sell it - when showing it off, the gun accidentally went off striking a fellow student in the arm. Shooter arrested for aggravated assault")</f>
        <v>15 year old shooter brought gun to school to sell it - when showing it off, the gun accidentally went off striking a fellow student in the arm. Shooter arrested for aggravated assault</v>
      </c>
      <c r="AA2141" s="8" t="str">
        <f ca="1">IFERROR(__xludf.DUMMYFUNCTION("""COMPUTED_VALUE"""),"Accidental")</f>
        <v>Accidental</v>
      </c>
      <c r="AB2141" s="8"/>
      <c r="AC2141" s="8" t="str">
        <f ca="1">IFERROR(__xludf.DUMMYFUNCTION("""COMPUTED_VALUE"""),"Yes")</f>
        <v>Yes</v>
      </c>
      <c r="AD2141" s="8" t="str">
        <f ca="1">IFERROR(__xludf.DUMMYFUNCTION("""COMPUTED_VALUE"""),"Random Shooting")</f>
        <v>Random Shooting</v>
      </c>
      <c r="AE2141" s="8" t="str">
        <f ca="1">IFERROR(__xludf.DUMMYFUNCTION("""COMPUTED_VALUE"""),"No")</f>
        <v>No</v>
      </c>
      <c r="AF2141" s="8"/>
      <c r="AG2141" s="8" t="str">
        <f ca="1">IFERROR(__xludf.DUMMYFUNCTION("""COMPUTED_VALUE"""),"No")</f>
        <v>No</v>
      </c>
      <c r="AH2141" s="8" t="str">
        <f ca="1">IFERROR(__xludf.DUMMYFUNCTION("""COMPUTED_VALUE"""),"No")</f>
        <v>No</v>
      </c>
      <c r="AI2141" s="8" t="str">
        <f ca="1">IFERROR(__xludf.DUMMYFUNCTION("""COMPUTED_VALUE"""),"No")</f>
        <v>No</v>
      </c>
      <c r="AJ2141" s="8" t="str">
        <f ca="1">IFERROR(__xludf.DUMMYFUNCTION("""COMPUTED_VALUE"""),"No")</f>
        <v>No</v>
      </c>
      <c r="AK2141" s="8" t="str">
        <f ca="1">IFERROR(__xludf.DUMMYFUNCTION("""COMPUTED_VALUE"""),"No")</f>
        <v>No</v>
      </c>
      <c r="AL2141" s="8" t="str">
        <f ca="1">IFERROR(__xludf.DUMMYFUNCTION("""COMPUTED_VALUE"""),"No")</f>
        <v>No</v>
      </c>
      <c r="AM2141" s="8"/>
      <c r="AN2141" s="8"/>
      <c r="AO2141" s="8" t="str">
        <f ca="1">IFERROR(__xludf.DUMMYFUNCTION("""COMPUTED_VALUE"""),"No")</f>
        <v>No</v>
      </c>
      <c r="AP2141" s="8"/>
      <c r="AQ2141" s="8" t="str">
        <f ca="1">IFERROR(__xludf.DUMMYFUNCTION("""COMPUTED_VALUE"""),"Unknown")</f>
        <v>Unknown</v>
      </c>
      <c r="AR2141" s="8" t="str">
        <f ca="1">IFERROR(__xludf.DUMMYFUNCTION("""COMPUTED_VALUE"""),"NA")</f>
        <v>NA</v>
      </c>
      <c r="AS2141" s="8">
        <f ca="1">IFERROR(__xludf.DUMMYFUNCTION("""COMPUTED_VALUE"""),1)</f>
        <v>1</v>
      </c>
      <c r="AT2141" s="8"/>
      <c r="AU2141" s="8">
        <f ca="1">IFERROR(__xludf.DUMMYFUNCTION("""COMPUTED_VALUE"""),35.170736)</f>
        <v>35.170735999999998</v>
      </c>
      <c r="AV2141" s="8">
        <f ca="1">IFERROR(__xludf.DUMMYFUNCTION("""COMPUTED_VALUE"""),-90.032564)</f>
        <v>-90.032563999999994</v>
      </c>
      <c r="AW2141" s="8"/>
      <c r="AX2141" s="8">
        <f ca="1">IFERROR(__xludf.DUMMYFUNCTION("""COMPUTED_VALUE"""),38107)</f>
        <v>38107</v>
      </c>
    </row>
    <row r="2142" spans="1:50" ht="150" x14ac:dyDescent="0.2">
      <c r="A2142" s="8" t="str">
        <f ca="1">IFERROR(__xludf.DUMMYFUNCTION("""COMPUTED_VALUE"""),"20071015GAGRG")</f>
        <v>20071015GAGRG</v>
      </c>
      <c r="B2142" s="8">
        <f ca="1">IFERROR(__xludf.DUMMYFUNCTION("""COMPUTED_VALUE"""),10)</f>
        <v>10</v>
      </c>
      <c r="C2142" s="8">
        <f ca="1">IFERROR(__xludf.DUMMYFUNCTION("""COMPUTED_VALUE"""),15)</f>
        <v>15</v>
      </c>
      <c r="D2142" s="8">
        <f ca="1">IFERROR(__xludf.DUMMYFUNCTION("""COMPUTED_VALUE"""),2007)</f>
        <v>2007</v>
      </c>
      <c r="E2142" s="9">
        <f ca="1">IFERROR(__xludf.DUMMYFUNCTION("""COMPUTED_VALUE"""),39370)</f>
        <v>39370</v>
      </c>
      <c r="F2142" s="8" t="str">
        <f ca="1">IFERROR(__xludf.DUMMYFUNCTION("""COMPUTED_VALUE"""),"Groves High School")</f>
        <v>Groves High School</v>
      </c>
      <c r="G2142" s="8">
        <f ca="1">IFERROR(__xludf.DUMMYFUNCTION("""COMPUTED_VALUE"""),0)</f>
        <v>0</v>
      </c>
      <c r="H2142" s="8">
        <f ca="1">IFERROR(__xludf.DUMMYFUNCTION("""COMPUTED_VALUE"""),0)</f>
        <v>0</v>
      </c>
      <c r="I2142" s="8">
        <f ca="1">IFERROR(__xludf.DUMMYFUNCTION("""COMPUTED_VALUE"""),0)</f>
        <v>0</v>
      </c>
      <c r="J2142" s="8">
        <f ca="1">IFERROR(__xludf.DUMMYFUNCTION("""COMPUTED_VALUE"""),0)</f>
        <v>0</v>
      </c>
      <c r="K2142" s="10" t="str">
        <f ca="1">IFERROR(__xludf.DUMMYFUNCTION("""COMPUTED_VALUE"""),"https://www.savannahnow.com/story/news/2007/10/16/shots-fired-near-groves-high/13693845007/")</f>
        <v>https://www.savannahnow.com/story/news/2007/10/16/shots-fired-near-groves-high/13693845007/</v>
      </c>
      <c r="L2142" s="8">
        <f ca="1">IFERROR(__xludf.DUMMYFUNCTION("""COMPUTED_VALUE"""),3)</f>
        <v>3</v>
      </c>
      <c r="M2142" s="8" t="str">
        <f ca="1">IFERROR(__xludf.DUMMYFUNCTION("""COMPUTED_VALUE"""),"Local")</f>
        <v>Local</v>
      </c>
      <c r="N2142" s="8">
        <f ca="1">IFERROR(__xludf.DUMMYFUNCTION("""COMPUTED_VALUE"""),4)</f>
        <v>4</v>
      </c>
      <c r="O2142" s="8" t="str">
        <f ca="1">IFERROR(__xludf.DUMMYFUNCTION("""COMPUTED_VALUE"""),"Fall")</f>
        <v>Fall</v>
      </c>
      <c r="P2142" s="8" t="str">
        <f ca="1">IFERROR(__xludf.DUMMYFUNCTION("""COMPUTED_VALUE"""),"Garden City")</f>
        <v>Garden City</v>
      </c>
      <c r="Q2142" s="8" t="str">
        <f ca="1">IFERROR(__xludf.DUMMYFUNCTION("""COMPUTED_VALUE"""),"GA")</f>
        <v>GA</v>
      </c>
      <c r="R2142" s="8" t="str">
        <f ca="1">IFERROR(__xludf.DUMMYFUNCTION("""COMPUTED_VALUE"""),"High")</f>
        <v>High</v>
      </c>
      <c r="S2142" s="8" t="str">
        <f ca="1">IFERROR(__xludf.DUMMYFUNCTION("""COMPUTED_VALUE"""),"Front of School")</f>
        <v>Front of School</v>
      </c>
      <c r="T2142" s="8" t="str">
        <f ca="1">IFERROR(__xludf.DUMMYFUNCTION("""COMPUTED_VALUE"""),"Outside on School Property")</f>
        <v>Outside on School Property</v>
      </c>
      <c r="U2142" s="8" t="str">
        <f ca="1">IFERROR(__xludf.DUMMYFUNCTION("""COMPUTED_VALUE"""),"Yes")</f>
        <v>Yes</v>
      </c>
      <c r="V2142" s="8" t="str">
        <f ca="1">IFERROR(__xludf.DUMMYFUNCTION("""COMPUTED_VALUE"""),"Dismissal")</f>
        <v>Dismissal</v>
      </c>
      <c r="W2142" s="11">
        <f ca="1">IFERROR(__xludf.DUMMYFUNCTION("""COMPUTED_VALUE"""),0.614583333333333)</f>
        <v>0.61458333333333304</v>
      </c>
      <c r="X2142" s="8">
        <f ca="1">IFERROR(__xludf.DUMMYFUNCTION("""COMPUTED_VALUE"""),1)</f>
        <v>1</v>
      </c>
      <c r="Y2142" s="12" t="str">
        <f ca="1">IFERROR(__xludf.DUMMYFUNCTION("""COMPUTED_VALUE"""),"Ten shots fired at students leaving the school at dismissal")</f>
        <v>Ten shots fired at students leaving the school at dismissal</v>
      </c>
      <c r="Z2142" s="12" t="str">
        <f ca="1">IFERROR(__xludf.DUMMYFUNCTION("""COMPUTED_VALUE"""),"Shooting happened at approximately 2:45 p.m. as students were being released from classes. No one was injured, but a vehicle was struck three times. Lyons said a car with four occupants, two of whom were Groves students, was parked on Wheathill Road in fr"&amp;"ont of the 500 Building at Groves High as classes were dismissed. The vehicle accelerated as a group of youths walked toward it on Cooper Lane. Someone in the group fired at the silver Honda Accord, striking it three times. Seven rounds struck the school'"&amp;"s brick building.")</f>
        <v>Shooting happened at approximately 2:45 p.m. as students were being released from classes. No one was injured, but a vehicle was struck three times. Lyons said a car with four occupants, two of whom were Groves students, was parked on Wheathill Road in front of the 500 Building at Groves High as classes were dismissed. The vehicle accelerated as a group of youths walked toward it on Cooper Lane. Someone in the group fired at the silver Honda Accord, striking it three times. Seven rounds struck the school's brick building.</v>
      </c>
      <c r="AA2142" s="8" t="str">
        <f ca="1">IFERROR(__xludf.DUMMYFUNCTION("""COMPUTED_VALUE"""),"Drive-by Shooting")</f>
        <v>Drive-by Shooting</v>
      </c>
      <c r="AB2142" s="8" t="str">
        <f ca="1">IFERROR(__xludf.DUMMYFUNCTION("""COMPUTED_VALUE"""),"Targeted")</f>
        <v>Targeted</v>
      </c>
      <c r="AC2142" s="8" t="str">
        <f ca="1">IFERROR(__xludf.DUMMYFUNCTION("""COMPUTED_VALUE"""),"Yes")</f>
        <v>Yes</v>
      </c>
      <c r="AD2142" s="8" t="str">
        <f ca="1">IFERROR(__xludf.DUMMYFUNCTION("""COMPUTED_VALUE"""),"Victims Targeted")</f>
        <v>Victims Targeted</v>
      </c>
      <c r="AE2142" s="8" t="str">
        <f ca="1">IFERROR(__xludf.DUMMYFUNCTION("""COMPUTED_VALUE"""),"Yes")</f>
        <v>Yes</v>
      </c>
      <c r="AF2142" s="8" t="str">
        <f ca="1">IFERROR(__xludf.DUMMYFUNCTION("""COMPUTED_VALUE"""),"Multiple in group")</f>
        <v>Multiple in group</v>
      </c>
      <c r="AG2142" s="8" t="str">
        <f ca="1">IFERROR(__xludf.DUMMYFUNCTION("""COMPUTED_VALUE"""),"No")</f>
        <v>No</v>
      </c>
      <c r="AH2142" s="8" t="str">
        <f ca="1">IFERROR(__xludf.DUMMYFUNCTION("""COMPUTED_VALUE"""),"No")</f>
        <v>No</v>
      </c>
      <c r="AI2142" s="8" t="str">
        <f ca="1">IFERROR(__xludf.DUMMYFUNCTION("""COMPUTED_VALUE"""),"No")</f>
        <v>No</v>
      </c>
      <c r="AJ2142" s="8" t="str">
        <f ca="1">IFERROR(__xludf.DUMMYFUNCTION("""COMPUTED_VALUE"""),"No")</f>
        <v>No</v>
      </c>
      <c r="AK2142" s="8" t="str">
        <f ca="1">IFERROR(__xludf.DUMMYFUNCTION("""COMPUTED_VALUE"""),"No")</f>
        <v>No</v>
      </c>
      <c r="AL2142" s="8"/>
      <c r="AM2142" s="8" t="str">
        <f ca="1">IFERROR(__xludf.DUMMYFUNCTION("""COMPUTED_VALUE"""),"No")</f>
        <v>No</v>
      </c>
      <c r="AN2142" s="8" t="str">
        <f ca="1">IFERROR(__xludf.DUMMYFUNCTION("""COMPUTED_VALUE"""),"Outside")</f>
        <v>Outside</v>
      </c>
      <c r="AO2142" s="8" t="str">
        <f ca="1">IFERROR(__xludf.DUMMYFUNCTION("""COMPUTED_VALUE"""),"No")</f>
        <v>No</v>
      </c>
      <c r="AP2142" s="8"/>
      <c r="AQ2142" s="8"/>
      <c r="AR2142" s="8" t="str">
        <f ca="1">IFERROR(__xludf.DUMMYFUNCTION("""COMPUTED_VALUE"""),"Outside/Off-Property")</f>
        <v>Outside/Off-Property</v>
      </c>
      <c r="AS2142" s="8">
        <f ca="1">IFERROR(__xludf.DUMMYFUNCTION("""COMPUTED_VALUE"""),10)</f>
        <v>10</v>
      </c>
      <c r="AT2142" s="8"/>
      <c r="AU2142" s="8">
        <f ca="1">IFERROR(__xludf.DUMMYFUNCTION("""COMPUTED_VALUE"""),32.10841)</f>
        <v>32.108409999999999</v>
      </c>
      <c r="AV2142" s="8">
        <f ca="1">IFERROR(__xludf.DUMMYFUNCTION("""COMPUTED_VALUE"""),-81.1566)</f>
        <v>-81.156599999999997</v>
      </c>
      <c r="AW2142" s="8"/>
      <c r="AX2142" s="8">
        <f ca="1">IFERROR(__xludf.DUMMYFUNCTION("""COMPUTED_VALUE"""),31408)</f>
        <v>31408</v>
      </c>
    </row>
    <row r="2143" spans="1:50" ht="195" x14ac:dyDescent="0.2">
      <c r="A2143" s="8" t="str">
        <f ca="1">IFERROR(__xludf.DUMMYFUNCTION("""COMPUTED_VALUE"""),"20071010OHSUC")</f>
        <v>20071010OHSUC</v>
      </c>
      <c r="B2143" s="8">
        <f ca="1">IFERROR(__xludf.DUMMYFUNCTION("""COMPUTED_VALUE"""),10)</f>
        <v>10</v>
      </c>
      <c r="C2143" s="8">
        <f ca="1">IFERROR(__xludf.DUMMYFUNCTION("""COMPUTED_VALUE"""),10)</f>
        <v>10</v>
      </c>
      <c r="D2143" s="8">
        <f ca="1">IFERROR(__xludf.DUMMYFUNCTION("""COMPUTED_VALUE"""),2007)</f>
        <v>2007</v>
      </c>
      <c r="E2143" s="9">
        <f ca="1">IFERROR(__xludf.DUMMYFUNCTION("""COMPUTED_VALUE"""),39365)</f>
        <v>39365</v>
      </c>
      <c r="F2143" s="8" t="str">
        <f ca="1">IFERROR(__xludf.DUMMYFUNCTION("""COMPUTED_VALUE"""),"SuccessTech Academy")</f>
        <v>SuccessTech Academy</v>
      </c>
      <c r="G2143" s="8">
        <f ca="1">IFERROR(__xludf.DUMMYFUNCTION("""COMPUTED_VALUE"""),0)</f>
        <v>0</v>
      </c>
      <c r="H2143" s="8">
        <f ca="1">IFERROR(__xludf.DUMMYFUNCTION("""COMPUTED_VALUE"""),4)</f>
        <v>4</v>
      </c>
      <c r="I2143" s="8">
        <f ca="1">IFERROR(__xludf.DUMMYFUNCTION("""COMPUTED_VALUE"""),4)</f>
        <v>4</v>
      </c>
      <c r="J2143" s="8">
        <f ca="1">IFERROR(__xludf.DUMMYFUNCTION("""COMPUTED_VALUE"""),1)</f>
        <v>1</v>
      </c>
      <c r="K2143" s="8" t="str">
        <f ca="1">IFERROR(__xludf.DUMMYFUNCTION("""COMPUTED_VALUE"""),"http://www.cnn.com/2007/US/10/10/cleveland.shooting/ https://www.fbi.gov/file-repository/active-shooter-incidents-2000-2017.pdf")</f>
        <v>http://www.cnn.com/2007/US/10/10/cleveland.shooting/ https://www.fbi.gov/file-repository/active-shooter-incidents-2000-2017.pdf</v>
      </c>
      <c r="L2143" s="8"/>
      <c r="M2143" s="8"/>
      <c r="N2143" s="8">
        <f ca="1">IFERROR(__xludf.DUMMYFUNCTION("""COMPUTED_VALUE"""),5)</f>
        <v>5</v>
      </c>
      <c r="O2143" s="8" t="str">
        <f ca="1">IFERROR(__xludf.DUMMYFUNCTION("""COMPUTED_VALUE"""),"Fall")</f>
        <v>Fall</v>
      </c>
      <c r="P2143" s="8" t="str">
        <f ca="1">IFERROR(__xludf.DUMMYFUNCTION("""COMPUTED_VALUE"""),"Cleveland")</f>
        <v>Cleveland</v>
      </c>
      <c r="Q2143" s="8" t="str">
        <f ca="1">IFERROR(__xludf.DUMMYFUNCTION("""COMPUTED_VALUE"""),"OH")</f>
        <v>OH</v>
      </c>
      <c r="R2143" s="8" t="str">
        <f ca="1">IFERROR(__xludf.DUMMYFUNCTION("""COMPUTED_VALUE"""),"Other")</f>
        <v>Other</v>
      </c>
      <c r="S2143" s="8" t="str">
        <f ca="1">IFERROR(__xludf.DUMMYFUNCTION("""COMPUTED_VALUE"""),"Classroom")</f>
        <v>Classroom</v>
      </c>
      <c r="T2143" s="8" t="str">
        <f ca="1">IFERROR(__xludf.DUMMYFUNCTION("""COMPUTED_VALUE"""),"Inside School Building")</f>
        <v>Inside School Building</v>
      </c>
      <c r="U2143" s="8" t="str">
        <f ca="1">IFERROR(__xludf.DUMMYFUNCTION("""COMPUTED_VALUE"""),"Yes")</f>
        <v>Yes</v>
      </c>
      <c r="V2143" s="8" t="str">
        <f ca="1">IFERROR(__xludf.DUMMYFUNCTION("""COMPUTED_VALUE"""),"Afternoon Classes")</f>
        <v>Afternoon Classes</v>
      </c>
      <c r="W2143" s="11">
        <f ca="1">IFERROR(__xludf.DUMMYFUNCTION("""COMPUTED_VALUE"""),0.552083333333333)</f>
        <v>0.55208333333333304</v>
      </c>
      <c r="X2143" s="8"/>
      <c r="Y2143" s="12" t="str">
        <f ca="1">IFERROR(__xludf.DUMMYFUNCTION("""COMPUTED_VALUE"""),"Planned attack, recently suspended, targeted teacher then killed self")</f>
        <v>Planned attack, recently suspended, targeted teacher then killed self</v>
      </c>
      <c r="Z2143" s="12" t="str">
        <f ca="1">IFERROR(__xludf.DUMMYFUNCTION("""COMPUTED_VALUE"""),"Shooter had been suspended from school for fighting. Shooter had 2 handguns and a backpack with ammo and knives. He shot two teachers and two other students (likely hit in cross fire). Shooter walked into empty classroom and commit suicide. Police believe"&amp;"d the shooter had targeted specific victims. Parents reported the shooter was angry at the teachers because they would not listen to his side of the story about the fight. Other student described the shooter as odd and said he was frequently bullied for g"&amp;"othic appearance. He had previous domestic violence w/ weapon charge for incident at his house. Previous attempted suicide and spent time in mental health facility. Weapons: .22 caliber; .38 caliber")</f>
        <v>Shooter had been suspended from school for fighting. Shooter had 2 handguns and a backpack with ammo and knives. He shot two teachers and two other students (likely hit in cross fire). Shooter walked into empty classroom and commit suicide. Police believed the shooter had targeted specific victims. Parents reported the shooter was angry at the teachers because they would not listen to his side of the story about the fight. Other student described the shooter as odd and said he was frequently bullied for gothic appearance. He had previous domestic violence w/ weapon charge for incident at his house. Previous attempted suicide and spent time in mental health facility. Weapons: .22 caliber; .38 caliber</v>
      </c>
      <c r="AA2143" s="8" t="str">
        <f ca="1">IFERROR(__xludf.DUMMYFUNCTION("""COMPUTED_VALUE"""),"Anger Over Grade/Suspension/Discipline")</f>
        <v>Anger Over Grade/Suspension/Discipline</v>
      </c>
      <c r="AB2143" s="8"/>
      <c r="AC2143" s="8" t="str">
        <f ca="1">IFERROR(__xludf.DUMMYFUNCTION("""COMPUTED_VALUE"""),"Yes")</f>
        <v>Yes</v>
      </c>
      <c r="AD2143" s="8" t="str">
        <f ca="1">IFERROR(__xludf.DUMMYFUNCTION("""COMPUTED_VALUE"""),"Victims Targeted")</f>
        <v>Victims Targeted</v>
      </c>
      <c r="AE2143" s="8" t="str">
        <f ca="1">IFERROR(__xludf.DUMMYFUNCTION("""COMPUTED_VALUE"""),"No")</f>
        <v>No</v>
      </c>
      <c r="AF2143" s="8"/>
      <c r="AG2143" s="8" t="str">
        <f ca="1">IFERROR(__xludf.DUMMYFUNCTION("""COMPUTED_VALUE"""),"No")</f>
        <v>No</v>
      </c>
      <c r="AH2143" s="8" t="str">
        <f ca="1">IFERROR(__xludf.DUMMYFUNCTION("""COMPUTED_VALUE"""),"No")</f>
        <v>No</v>
      </c>
      <c r="AI2143" s="8" t="str">
        <f ca="1">IFERROR(__xludf.DUMMYFUNCTION("""COMPUTED_VALUE"""),"No")</f>
        <v>No</v>
      </c>
      <c r="AJ2143" s="8" t="str">
        <f ca="1">IFERROR(__xludf.DUMMYFUNCTION("""COMPUTED_VALUE"""),"Yes")</f>
        <v>Yes</v>
      </c>
      <c r="AK2143" s="8" t="str">
        <f ca="1">IFERROR(__xludf.DUMMYFUNCTION("""COMPUTED_VALUE"""),"No")</f>
        <v>No</v>
      </c>
      <c r="AL2143" s="8" t="str">
        <f ca="1">IFERROR(__xludf.DUMMYFUNCTION("""COMPUTED_VALUE"""),"No")</f>
        <v>No</v>
      </c>
      <c r="AM2143" s="8" t="str">
        <f ca="1">IFERROR(__xludf.DUMMYFUNCTION("""COMPUTED_VALUE"""),"Yes")</f>
        <v>Yes</v>
      </c>
      <c r="AN2143" s="8" t="str">
        <f ca="1">IFERROR(__xludf.DUMMYFUNCTION("""COMPUTED_VALUE"""),"Hallway")</f>
        <v>Hallway</v>
      </c>
      <c r="AO2143" s="8" t="str">
        <f ca="1">IFERROR(__xludf.DUMMYFUNCTION("""COMPUTED_VALUE"""),"Yes")</f>
        <v>Yes</v>
      </c>
      <c r="AP2143" s="8" t="str">
        <f ca="1">IFERROR(__xludf.DUMMYFUNCTION("""COMPUTED_VALUE"""),"Yes")</f>
        <v>Yes</v>
      </c>
      <c r="AQ2143" s="8" t="str">
        <f ca="1">IFERROR(__xludf.DUMMYFUNCTION("""COMPUTED_VALUE"""),"Unknown")</f>
        <v>Unknown</v>
      </c>
      <c r="AR2143" s="8" t="str">
        <f ca="1">IFERROR(__xludf.DUMMYFUNCTION("""COMPUTED_VALUE"""),"NA")</f>
        <v>NA</v>
      </c>
      <c r="AS2143" s="8" t="str">
        <f ca="1">IFERROR(__xludf.DUMMYFUNCTION("""COMPUTED_VALUE"""),"&gt;10")</f>
        <v>&gt;10</v>
      </c>
      <c r="AT2143" s="8"/>
      <c r="AU2143" s="8">
        <f ca="1">IFERROR(__xludf.DUMMYFUNCTION("""COMPUTED_VALUE"""),41.504342)</f>
        <v>41.504342000000001</v>
      </c>
      <c r="AV2143" s="8">
        <f ca="1">IFERROR(__xludf.DUMMYFUNCTION("""COMPUTED_VALUE"""),-81.695302)</f>
        <v>-81.695301999999998</v>
      </c>
      <c r="AW2143" s="8"/>
      <c r="AX2143" s="8">
        <f ca="1">IFERROR(__xludf.DUMMYFUNCTION("""COMPUTED_VALUE"""),44113)</f>
        <v>44113</v>
      </c>
    </row>
    <row r="2144" spans="1:50" ht="45" x14ac:dyDescent="0.2">
      <c r="A2144" s="8" t="str">
        <f ca="1">IFERROR(__xludf.DUMMYFUNCTION("""COMPUTED_VALUE"""),"20071001CTPLM")</f>
        <v>20071001CTPLM</v>
      </c>
      <c r="B2144" s="8">
        <f ca="1">IFERROR(__xludf.DUMMYFUNCTION("""COMPUTED_VALUE"""),10)</f>
        <v>10</v>
      </c>
      <c r="C2144" s="8">
        <f ca="1">IFERROR(__xludf.DUMMYFUNCTION("""COMPUTED_VALUE"""),1)</f>
        <v>1</v>
      </c>
      <c r="D2144" s="8">
        <f ca="1">IFERROR(__xludf.DUMMYFUNCTION("""COMPUTED_VALUE"""),2007)</f>
        <v>2007</v>
      </c>
      <c r="E2144" s="9">
        <f ca="1">IFERROR(__xludf.DUMMYFUNCTION("""COMPUTED_VALUE"""),39356)</f>
        <v>39356</v>
      </c>
      <c r="F2144" s="8" t="str">
        <f ca="1">IFERROR(__xludf.DUMMYFUNCTION("""COMPUTED_VALUE"""),"Platt High School")</f>
        <v>Platt High School</v>
      </c>
      <c r="G2144" s="8">
        <f ca="1">IFERROR(__xludf.DUMMYFUNCTION("""COMPUTED_VALUE"""),0)</f>
        <v>0</v>
      </c>
      <c r="H2144" s="8">
        <f ca="1">IFERROR(__xludf.DUMMYFUNCTION("""COMPUTED_VALUE"""),1)</f>
        <v>1</v>
      </c>
      <c r="I2144" s="8">
        <f ca="1">IFERROR(__xludf.DUMMYFUNCTION("""COMPUTED_VALUE"""),1)</f>
        <v>1</v>
      </c>
      <c r="J2144" s="8">
        <f ca="1">IFERROR(__xludf.DUMMYFUNCTION("""COMPUTED_VALUE"""),0)</f>
        <v>0</v>
      </c>
      <c r="K2144" s="10" t="str">
        <f ca="1">IFERROR(__xludf.DUMMYFUNCTION("""COMPUTED_VALUE"""),"https://www.newspapers.com/image/243658015/?terms=student%2Bshot")</f>
        <v>https://www.newspapers.com/image/243658015/?terms=student%2Bshot</v>
      </c>
      <c r="L2144" s="8"/>
      <c r="M2144" s="8"/>
      <c r="N2144" s="8">
        <f ca="1">IFERROR(__xludf.DUMMYFUNCTION("""COMPUTED_VALUE"""),2)</f>
        <v>2</v>
      </c>
      <c r="O2144" s="8" t="str">
        <f ca="1">IFERROR(__xludf.DUMMYFUNCTION("""COMPUTED_VALUE"""),"Fall")</f>
        <v>Fall</v>
      </c>
      <c r="P2144" s="8" t="str">
        <f ca="1">IFERROR(__xludf.DUMMYFUNCTION("""COMPUTED_VALUE"""),"Meriden")</f>
        <v>Meriden</v>
      </c>
      <c r="Q2144" s="8" t="str">
        <f ca="1">IFERROR(__xludf.DUMMYFUNCTION("""COMPUTED_VALUE"""),"CT")</f>
        <v>CT</v>
      </c>
      <c r="R2144" s="8" t="str">
        <f ca="1">IFERROR(__xludf.DUMMYFUNCTION("""COMPUTED_VALUE"""),"High")</f>
        <v>High</v>
      </c>
      <c r="S2144" s="8" t="str">
        <f ca="1">IFERROR(__xludf.DUMMYFUNCTION("""COMPUTED_VALUE"""),"Outside on School Property")</f>
        <v>Outside on School Property</v>
      </c>
      <c r="T2144" s="8" t="str">
        <f ca="1">IFERROR(__xludf.DUMMYFUNCTION("""COMPUTED_VALUE"""),"Outside on School Property")</f>
        <v>Outside on School Property</v>
      </c>
      <c r="U2144" s="8" t="str">
        <f ca="1">IFERROR(__xludf.DUMMYFUNCTION("""COMPUTED_VALUE"""),"Yes")</f>
        <v>Yes</v>
      </c>
      <c r="V2144" s="8" t="str">
        <f ca="1">IFERROR(__xludf.DUMMYFUNCTION("""COMPUTED_VALUE"""),"Dismissal")</f>
        <v>Dismissal</v>
      </c>
      <c r="W2144" s="11">
        <f ca="1">IFERROR(__xludf.DUMMYFUNCTION("""COMPUTED_VALUE"""),0.576388888888888)</f>
        <v>0.57638888888888795</v>
      </c>
      <c r="X2144" s="8">
        <f ca="1">IFERROR(__xludf.DUMMYFUNCTION("""COMPUTED_VALUE"""),1)</f>
        <v>1</v>
      </c>
      <c r="Y2144" s="12" t="str">
        <f ca="1">IFERROR(__xludf.DUMMYFUNCTION("""COMPUTED_VALUE"""),"Shot another student with BB gun")</f>
        <v>Shot another student with BB gun</v>
      </c>
      <c r="Z2144" s="12" t="str">
        <f ca="1">IFERROR(__xludf.DUMMYFUNCTION("""COMPUTED_VALUE"""),"15 year old shooter shot 16 year old in stomach with a BB gun after school. SRO, teacher and assistant principal chased student and he was caught after SRO used taser.")</f>
        <v>15 year old shooter shot 16 year old in stomach with a BB gun after school. SRO, teacher and assistant principal chased student and he was caught after SRO used taser.</v>
      </c>
      <c r="AA2144" s="8" t="str">
        <f ca="1">IFERROR(__xludf.DUMMYFUNCTION("""COMPUTED_VALUE"""),"Escalation of Dispute")</f>
        <v>Escalation of Dispute</v>
      </c>
      <c r="AB2144" s="8"/>
      <c r="AC2144" s="8" t="str">
        <f ca="1">IFERROR(__xludf.DUMMYFUNCTION("""COMPUTED_VALUE"""),"Yes")</f>
        <v>Yes</v>
      </c>
      <c r="AD2144" s="8" t="str">
        <f ca="1">IFERROR(__xludf.DUMMYFUNCTION("""COMPUTED_VALUE"""),"Victims Targeted")</f>
        <v>Victims Targeted</v>
      </c>
      <c r="AE2144" s="8" t="str">
        <f ca="1">IFERROR(__xludf.DUMMYFUNCTION("""COMPUTED_VALUE"""),"No")</f>
        <v>No</v>
      </c>
      <c r="AF2144" s="8"/>
      <c r="AG2144" s="8" t="str">
        <f ca="1">IFERROR(__xludf.DUMMYFUNCTION("""COMPUTED_VALUE"""),"No")</f>
        <v>No</v>
      </c>
      <c r="AH2144" s="8" t="str">
        <f ca="1">IFERROR(__xludf.DUMMYFUNCTION("""COMPUTED_VALUE"""),"No")</f>
        <v>No</v>
      </c>
      <c r="AI2144" s="8" t="str">
        <f ca="1">IFERROR(__xludf.DUMMYFUNCTION("""COMPUTED_VALUE"""),"No")</f>
        <v>No</v>
      </c>
      <c r="AJ2144" s="8"/>
      <c r="AK2144" s="8"/>
      <c r="AL2144" s="8"/>
      <c r="AM2144" s="8"/>
      <c r="AN2144" s="8"/>
      <c r="AO2144" s="8"/>
      <c r="AP2144" s="8"/>
      <c r="AQ2144" s="8" t="str">
        <f ca="1">IFERROR(__xludf.DUMMYFUNCTION("""COMPUTED_VALUE"""),"Unknown")</f>
        <v>Unknown</v>
      </c>
      <c r="AR2144" s="8" t="str">
        <f ca="1">IFERROR(__xludf.DUMMYFUNCTION("""COMPUTED_VALUE"""),"NA")</f>
        <v>NA</v>
      </c>
      <c r="AS2144" s="8">
        <f ca="1">IFERROR(__xludf.DUMMYFUNCTION("""COMPUTED_VALUE"""),1)</f>
        <v>1</v>
      </c>
      <c r="AT2144" s="8"/>
      <c r="AU2144" s="8">
        <f ca="1">IFERROR(__xludf.DUMMYFUNCTION("""COMPUTED_VALUE"""),41.533851)</f>
        <v>41.533850999999999</v>
      </c>
      <c r="AV2144" s="8">
        <f ca="1">IFERROR(__xludf.DUMMYFUNCTION("""COMPUTED_VALUE"""),-72.826667)</f>
        <v>-72.826667</v>
      </c>
      <c r="AW2144" s="8"/>
      <c r="AX2144" s="8">
        <f ca="1">IFERROR(__xludf.DUMMYFUNCTION("""COMPUTED_VALUE"""),6451)</f>
        <v>6451</v>
      </c>
    </row>
    <row r="2145" spans="1:50" ht="45" x14ac:dyDescent="0.2">
      <c r="A2145" s="8" t="str">
        <f ca="1">IFERROR(__xludf.DUMMYFUNCTION("""COMPUTED_VALUE"""),"20070930AZSSP")</f>
        <v>20070930AZSSP</v>
      </c>
      <c r="B2145" s="8">
        <f ca="1">IFERROR(__xludf.DUMMYFUNCTION("""COMPUTED_VALUE"""),9)</f>
        <v>9</v>
      </c>
      <c r="C2145" s="8">
        <f ca="1">IFERROR(__xludf.DUMMYFUNCTION("""COMPUTED_VALUE"""),30)</f>
        <v>30</v>
      </c>
      <c r="D2145" s="8">
        <f ca="1">IFERROR(__xludf.DUMMYFUNCTION("""COMPUTED_VALUE"""),2007)</f>
        <v>2007</v>
      </c>
      <c r="E2145" s="9">
        <f ca="1">IFERROR(__xludf.DUMMYFUNCTION("""COMPUTED_VALUE"""),39355)</f>
        <v>39355</v>
      </c>
      <c r="F2145" s="8" t="str">
        <f ca="1">IFERROR(__xludf.DUMMYFUNCTION("""COMPUTED_VALUE"""),"S Simon and Jude Catholic School")</f>
        <v>S Simon and Jude Catholic School</v>
      </c>
      <c r="G2145" s="8">
        <f ca="1">IFERROR(__xludf.DUMMYFUNCTION("""COMPUTED_VALUE"""),0)</f>
        <v>0</v>
      </c>
      <c r="H2145" s="8">
        <f ca="1">IFERROR(__xludf.DUMMYFUNCTION("""COMPUTED_VALUE"""),2)</f>
        <v>2</v>
      </c>
      <c r="I2145" s="8">
        <f ca="1">IFERROR(__xludf.DUMMYFUNCTION("""COMPUTED_VALUE"""),2)</f>
        <v>2</v>
      </c>
      <c r="J2145" s="8">
        <f ca="1">IFERROR(__xludf.DUMMYFUNCTION("""COMPUTED_VALUE"""),0)</f>
        <v>0</v>
      </c>
      <c r="K2145" s="10" t="str">
        <f ca="1">IFERROR(__xludf.DUMMYFUNCTION("""COMPUTED_VALUE"""),"https://www.newspapers.com/image/126118804/?terms=SS%3E%2BSImon%2Band%2BJude%2BCatholic%2Bschool")</f>
        <v>https://www.newspapers.com/image/126118804/?terms=SS%3E%2BSImon%2Band%2BJude%2BCatholic%2Bschool</v>
      </c>
      <c r="L2145" s="8"/>
      <c r="M2145" s="8"/>
      <c r="N2145" s="8">
        <f ca="1">IFERROR(__xludf.DUMMYFUNCTION("""COMPUTED_VALUE"""),2)</f>
        <v>2</v>
      </c>
      <c r="O2145" s="8" t="str">
        <f ca="1">IFERROR(__xludf.DUMMYFUNCTION("""COMPUTED_VALUE"""),"Fall")</f>
        <v>Fall</v>
      </c>
      <c r="P2145" s="8" t="str">
        <f ca="1">IFERROR(__xludf.DUMMYFUNCTION("""COMPUTED_VALUE"""),"Phoenix")</f>
        <v>Phoenix</v>
      </c>
      <c r="Q2145" s="8" t="str">
        <f ca="1">IFERROR(__xludf.DUMMYFUNCTION("""COMPUTED_VALUE"""),"AZ")</f>
        <v>AZ</v>
      </c>
      <c r="R2145" s="8" t="str">
        <f ca="1">IFERROR(__xludf.DUMMYFUNCTION("""COMPUTED_VALUE"""),"K-8")</f>
        <v>K-8</v>
      </c>
      <c r="S2145" s="8" t="str">
        <f ca="1">IFERROR(__xludf.DUMMYFUNCTION("""COMPUTED_VALUE"""),"Parking Lot")</f>
        <v>Parking Lot</v>
      </c>
      <c r="T2145" s="8" t="str">
        <f ca="1">IFERROR(__xludf.DUMMYFUNCTION("""COMPUTED_VALUE"""),"Outside on School Property")</f>
        <v>Outside on School Property</v>
      </c>
      <c r="U2145" s="8" t="str">
        <f ca="1">IFERROR(__xludf.DUMMYFUNCTION("""COMPUTED_VALUE"""),"No")</f>
        <v>No</v>
      </c>
      <c r="V2145" s="8" t="str">
        <f ca="1">IFERROR(__xludf.DUMMYFUNCTION("""COMPUTED_VALUE"""),"Not a School Day")</f>
        <v>Not a School Day</v>
      </c>
      <c r="W2145" s="11">
        <f ca="1">IFERROR(__xludf.DUMMYFUNCTION("""COMPUTED_VALUE"""),0.900694444444444)</f>
        <v>0.90069444444444402</v>
      </c>
      <c r="X2145" s="8">
        <f ca="1">IFERROR(__xludf.DUMMYFUNCTION("""COMPUTED_VALUE"""),1)</f>
        <v>1</v>
      </c>
      <c r="Y2145" s="12" t="str">
        <f ca="1">IFERROR(__xludf.DUMMYFUNCTION("""COMPUTED_VALUE"""),"Escalation between two groups")</f>
        <v>Escalation between two groups</v>
      </c>
      <c r="Z2145" s="12" t="str">
        <f ca="1">IFERROR(__xludf.DUMMYFUNCTION("""COMPUTED_VALUE"""),"An altercation between two groups in the school parking lot resulted in shots being fired and two victims shot in the mouth. Shooter fled.")</f>
        <v>An altercation between two groups in the school parking lot resulted in shots being fired and two victims shot in the mouth. Shooter fled.</v>
      </c>
      <c r="AA2145" s="8" t="str">
        <f ca="1">IFERROR(__xludf.DUMMYFUNCTION("""COMPUTED_VALUE"""),"Escalation of Dispute")</f>
        <v>Escalation of Dispute</v>
      </c>
      <c r="AB2145" s="8"/>
      <c r="AC2145" s="8" t="str">
        <f ca="1">IFERROR(__xludf.DUMMYFUNCTION("""COMPUTED_VALUE"""),"No")</f>
        <v>No</v>
      </c>
      <c r="AD2145" s="8"/>
      <c r="AE2145" s="8"/>
      <c r="AF2145" s="8"/>
      <c r="AG2145" s="8" t="str">
        <f ca="1">IFERROR(__xludf.DUMMYFUNCTION("""COMPUTED_VALUE"""),"No")</f>
        <v>No</v>
      </c>
      <c r="AH2145" s="8" t="str">
        <f ca="1">IFERROR(__xludf.DUMMYFUNCTION("""COMPUTED_VALUE"""),"No")</f>
        <v>No</v>
      </c>
      <c r="AI2145" s="8" t="str">
        <f ca="1">IFERROR(__xludf.DUMMYFUNCTION("""COMPUTED_VALUE"""),"No")</f>
        <v>No</v>
      </c>
      <c r="AJ2145" s="8"/>
      <c r="AK2145" s="8"/>
      <c r="AL2145" s="8" t="str">
        <f ca="1">IFERROR(__xludf.DUMMYFUNCTION("""COMPUTED_VALUE"""),"No")</f>
        <v>No</v>
      </c>
      <c r="AM2145" s="8" t="str">
        <f ca="1">IFERROR(__xludf.DUMMYFUNCTION("""COMPUTED_VALUE"""),"No")</f>
        <v>No</v>
      </c>
      <c r="AN2145" s="8"/>
      <c r="AO2145" s="8" t="str">
        <f ca="1">IFERROR(__xludf.DUMMYFUNCTION("""COMPUTED_VALUE"""),"No")</f>
        <v>No</v>
      </c>
      <c r="AP2145" s="8"/>
      <c r="AQ2145" s="8" t="str">
        <f ca="1">IFERROR(__xludf.DUMMYFUNCTION("""COMPUTED_VALUE"""),"Unknown")</f>
        <v>Unknown</v>
      </c>
      <c r="AR2145" s="8" t="str">
        <f ca="1">IFERROR(__xludf.DUMMYFUNCTION("""COMPUTED_VALUE"""),"NA")</f>
        <v>NA</v>
      </c>
      <c r="AS2145" s="8"/>
      <c r="AT2145" s="8"/>
      <c r="AU2145" s="8">
        <f ca="1">IFERROR(__xludf.DUMMYFUNCTION("""COMPUTED_VALUE"""),33.530875)</f>
        <v>33.530875000000002</v>
      </c>
      <c r="AV2145" s="8">
        <f ca="1">IFERROR(__xludf.DUMMYFUNCTION("""COMPUTED_VALUE"""),-112.116021)</f>
        <v>-112.116021</v>
      </c>
      <c r="AW2145" s="8"/>
      <c r="AX2145" s="8">
        <f ca="1">IFERROR(__xludf.DUMMYFUNCTION("""COMPUTED_VALUE"""),85017)</f>
        <v>85017</v>
      </c>
    </row>
    <row r="2146" spans="1:50" ht="90" x14ac:dyDescent="0.2">
      <c r="A2146" s="8" t="str">
        <f ca="1">IFERROR(__xludf.DUMMYFUNCTION("""COMPUTED_VALUE"""),"20070928CALAO")</f>
        <v>20070928CALAO</v>
      </c>
      <c r="B2146" s="8">
        <f ca="1">IFERROR(__xludf.DUMMYFUNCTION("""COMPUTED_VALUE"""),9)</f>
        <v>9</v>
      </c>
      <c r="C2146" s="8">
        <f ca="1">IFERROR(__xludf.DUMMYFUNCTION("""COMPUTED_VALUE"""),28)</f>
        <v>28</v>
      </c>
      <c r="D2146" s="8">
        <f ca="1">IFERROR(__xludf.DUMMYFUNCTION("""COMPUTED_VALUE"""),2007)</f>
        <v>2007</v>
      </c>
      <c r="E2146" s="9">
        <f ca="1">IFERROR(__xludf.DUMMYFUNCTION("""COMPUTED_VALUE"""),39353)</f>
        <v>39353</v>
      </c>
      <c r="F2146" s="8" t="str">
        <f ca="1">IFERROR(__xludf.DUMMYFUNCTION("""COMPUTED_VALUE"""),"Las Plumas High School")</f>
        <v>Las Plumas High School</v>
      </c>
      <c r="G2146" s="8">
        <f ca="1">IFERROR(__xludf.DUMMYFUNCTION("""COMPUTED_VALUE"""),0)</f>
        <v>0</v>
      </c>
      <c r="H2146" s="8">
        <f ca="1">IFERROR(__xludf.DUMMYFUNCTION("""COMPUTED_VALUE"""),0)</f>
        <v>0</v>
      </c>
      <c r="I2146" s="8">
        <f ca="1">IFERROR(__xludf.DUMMYFUNCTION("""COMPUTED_VALUE"""),0)</f>
        <v>0</v>
      </c>
      <c r="J2146" s="8">
        <f ca="1">IFERROR(__xludf.DUMMYFUNCTION("""COMPUTED_VALUE"""),0)</f>
        <v>0</v>
      </c>
      <c r="K2146" s="8" t="str">
        <f ca="1">IFERROR(__xludf.DUMMYFUNCTION("""COMPUTED_VALUE"""),"https://www.newspapers.com/image/196286439/?terms=student%2Bshot  https://www.newspapers.com/image/271178843/?terms=HOSTAGE https://www.newspapers.com/image/194245329/?terms=HOSTAGE  https://www.newspapers.com/image/334777799/?terms=HOSTAGE   https://www."&amp;"chicoer.com/2007/09/28/update-las-plumas-gunman-to-be-charged-with-attempted-murder/")</f>
        <v>https://www.newspapers.com/image/196286439/?terms=student%2Bshot  https://www.newspapers.com/image/271178843/?terms=HOSTAGE https://www.newspapers.com/image/194245329/?terms=HOSTAGE  https://www.newspapers.com/image/334777799/?terms=HOSTAGE   https://www.chicoer.com/2007/09/28/update-las-plumas-gunman-to-be-charged-with-attempted-murder/</v>
      </c>
      <c r="L2146" s="8"/>
      <c r="M2146" s="8"/>
      <c r="N2146" s="8">
        <f ca="1">IFERROR(__xludf.DUMMYFUNCTION("""COMPUTED_VALUE"""),3)</f>
        <v>3</v>
      </c>
      <c r="O2146" s="8" t="str">
        <f ca="1">IFERROR(__xludf.DUMMYFUNCTION("""COMPUTED_VALUE"""),"Fall")</f>
        <v>Fall</v>
      </c>
      <c r="P2146" s="8" t="str">
        <f ca="1">IFERROR(__xludf.DUMMYFUNCTION("""COMPUTED_VALUE"""),"Oroville")</f>
        <v>Oroville</v>
      </c>
      <c r="Q2146" s="8" t="str">
        <f ca="1">IFERROR(__xludf.DUMMYFUNCTION("""COMPUTED_VALUE"""),"CA")</f>
        <v>CA</v>
      </c>
      <c r="R2146" s="8" t="str">
        <f ca="1">IFERROR(__xludf.DUMMYFUNCTION("""COMPUTED_VALUE"""),"High")</f>
        <v>High</v>
      </c>
      <c r="S2146" s="8" t="str">
        <f ca="1">IFERROR(__xludf.DUMMYFUNCTION("""COMPUTED_VALUE"""),"Classroom")</f>
        <v>Classroom</v>
      </c>
      <c r="T2146" s="8" t="str">
        <f ca="1">IFERROR(__xludf.DUMMYFUNCTION("""COMPUTED_VALUE"""),"Inside School Building")</f>
        <v>Inside School Building</v>
      </c>
      <c r="U2146" s="8" t="str">
        <f ca="1">IFERROR(__xludf.DUMMYFUNCTION("""COMPUTED_VALUE"""),"Yes")</f>
        <v>Yes</v>
      </c>
      <c r="V2146" s="8" t="str">
        <f ca="1">IFERROR(__xludf.DUMMYFUNCTION("""COMPUTED_VALUE"""),"Morning Classes")</f>
        <v>Morning Classes</v>
      </c>
      <c r="W2146" s="11">
        <f ca="1">IFERROR(__xludf.DUMMYFUNCTION("""COMPUTED_VALUE"""),0.385416666666666)</f>
        <v>0.38541666666666602</v>
      </c>
      <c r="X2146" s="8">
        <f ca="1">IFERROR(__xludf.DUMMYFUNCTION("""COMPUTED_VALUE"""),60)</f>
        <v>60</v>
      </c>
      <c r="Y2146" s="12" t="str">
        <f ca="1">IFERROR(__xludf.DUMMYFUNCTION("""COMPUTED_VALUE"""),"Hostage situation - shooter held 3 students hostage - shot handgun twice - eventually surrendered.")</f>
        <v>Hostage situation - shooter held 3 students hostage - shot handgun twice - eventually surrendered.</v>
      </c>
      <c r="Z2146" s="12" t="str">
        <f ca="1">IFERROR(__xludf.DUMMYFUNCTION("""COMPUTED_VALUE"""),"Shooter fired two shots inside high school and took 30 students hostage before releasing most of them. He kept 3 girls hostage for an hour before surrendering. Possibly distraught over breakup with girlfriend the night before. Later reports were that shoo"&amp;"ter brought gun to school to kill romantic rival.")</f>
        <v>Shooter fired two shots inside high school and took 30 students hostage before releasing most of them. He kept 3 girls hostage for an hour before surrendering. Possibly distraught over breakup with girlfriend the night before. Later reports were that shooter brought gun to school to kill romantic rival.</v>
      </c>
      <c r="AA2146" s="8" t="str">
        <f ca="1">IFERROR(__xludf.DUMMYFUNCTION("""COMPUTED_VALUE"""),"Hostage/Standoff")</f>
        <v>Hostage/Standoff</v>
      </c>
      <c r="AB2146" s="8"/>
      <c r="AC2146" s="8" t="str">
        <f ca="1">IFERROR(__xludf.DUMMYFUNCTION("""COMPUTED_VALUE"""),"Yes")</f>
        <v>Yes</v>
      </c>
      <c r="AD2146" s="8" t="str">
        <f ca="1">IFERROR(__xludf.DUMMYFUNCTION("""COMPUTED_VALUE"""),"NA")</f>
        <v>NA</v>
      </c>
      <c r="AE2146" s="8" t="str">
        <f ca="1">IFERROR(__xludf.DUMMYFUNCTION("""COMPUTED_VALUE"""),"No")</f>
        <v>No</v>
      </c>
      <c r="AF2146" s="8"/>
      <c r="AG2146" s="8" t="str">
        <f ca="1">IFERROR(__xludf.DUMMYFUNCTION("""COMPUTED_VALUE"""),"Yes")</f>
        <v>Yes</v>
      </c>
      <c r="AH2146" s="8" t="str">
        <f ca="1">IFERROR(__xludf.DUMMYFUNCTION("""COMPUTED_VALUE"""),"Yes")</f>
        <v>Yes</v>
      </c>
      <c r="AI2146" s="8" t="str">
        <f ca="1">IFERROR(__xludf.DUMMYFUNCTION("""COMPUTED_VALUE"""),"No")</f>
        <v>No</v>
      </c>
      <c r="AJ2146" s="8"/>
      <c r="AK2146" s="8" t="str">
        <f ca="1">IFERROR(__xludf.DUMMYFUNCTION("""COMPUTED_VALUE"""),"Yes")</f>
        <v>Yes</v>
      </c>
      <c r="AL2146" s="8" t="str">
        <f ca="1">IFERROR(__xludf.DUMMYFUNCTION("""COMPUTED_VALUE"""),"No")</f>
        <v>No</v>
      </c>
      <c r="AM2146" s="8" t="str">
        <f ca="1">IFERROR(__xludf.DUMMYFUNCTION("""COMPUTED_VALUE"""),"Yes")</f>
        <v>Yes</v>
      </c>
      <c r="AN2146" s="8" t="str">
        <f ca="1">IFERROR(__xludf.DUMMYFUNCTION("""COMPUTED_VALUE"""),"Single Room")</f>
        <v>Single Room</v>
      </c>
      <c r="AO2146" s="8" t="str">
        <f ca="1">IFERROR(__xludf.DUMMYFUNCTION("""COMPUTED_VALUE"""),"No")</f>
        <v>No</v>
      </c>
      <c r="AP2146" s="8" t="str">
        <f ca="1">IFERROR(__xludf.DUMMYFUNCTION("""COMPUTED_VALUE"""),"Yes")</f>
        <v>Yes</v>
      </c>
      <c r="AQ2146" s="8" t="str">
        <f ca="1">IFERROR(__xludf.DUMMYFUNCTION("""COMPUTED_VALUE"""),"Unknown")</f>
        <v>Unknown</v>
      </c>
      <c r="AR2146" s="8" t="str">
        <f ca="1">IFERROR(__xludf.DUMMYFUNCTION("""COMPUTED_VALUE"""),"NA")</f>
        <v>NA</v>
      </c>
      <c r="AS2146" s="8">
        <f ca="1">IFERROR(__xludf.DUMMYFUNCTION("""COMPUTED_VALUE"""),2)</f>
        <v>2</v>
      </c>
      <c r="AT2146" s="8"/>
      <c r="AU2146" s="8">
        <f ca="1">IFERROR(__xludf.DUMMYFUNCTION("""COMPUTED_VALUE"""),39.479796)</f>
        <v>39.479796</v>
      </c>
      <c r="AV2146" s="8">
        <f ca="1">IFERROR(__xludf.DUMMYFUNCTION("""COMPUTED_VALUE"""),-121.5372)</f>
        <v>-121.5372</v>
      </c>
      <c r="AW2146" s="8"/>
      <c r="AX2146" s="8">
        <f ca="1">IFERROR(__xludf.DUMMYFUNCTION("""COMPUTED_VALUE"""),95966)</f>
        <v>95966</v>
      </c>
    </row>
    <row r="2147" spans="1:50" ht="45" x14ac:dyDescent="0.2">
      <c r="A2147" s="8" t="str">
        <f ca="1">IFERROR(__xludf.DUMMYFUNCTION("""COMPUTED_VALUE"""),"20070804NJMON")</f>
        <v>20070804NJMON</v>
      </c>
      <c r="B2147" s="8">
        <f ca="1">IFERROR(__xludf.DUMMYFUNCTION("""COMPUTED_VALUE"""),8)</f>
        <v>8</v>
      </c>
      <c r="C2147" s="8">
        <f ca="1">IFERROR(__xludf.DUMMYFUNCTION("""COMPUTED_VALUE"""),4)</f>
        <v>4</v>
      </c>
      <c r="D2147" s="8">
        <f ca="1">IFERROR(__xludf.DUMMYFUNCTION("""COMPUTED_VALUE"""),2007)</f>
        <v>2007</v>
      </c>
      <c r="E2147" s="9">
        <f ca="1">IFERROR(__xludf.DUMMYFUNCTION("""COMPUTED_VALUE"""),39298)</f>
        <v>39298</v>
      </c>
      <c r="F2147" s="8" t="str">
        <f ca="1">IFERROR(__xludf.DUMMYFUNCTION("""COMPUTED_VALUE"""),"Mount Vernon Elementary School")</f>
        <v>Mount Vernon Elementary School</v>
      </c>
      <c r="G2147" s="8">
        <f ca="1">IFERROR(__xludf.DUMMYFUNCTION("""COMPUTED_VALUE"""),3)</f>
        <v>3</v>
      </c>
      <c r="H2147" s="8">
        <f ca="1">IFERROR(__xludf.DUMMYFUNCTION("""COMPUTED_VALUE"""),1)</f>
        <v>1</v>
      </c>
      <c r="I2147" s="8">
        <f ca="1">IFERROR(__xludf.DUMMYFUNCTION("""COMPUTED_VALUE"""),4)</f>
        <v>4</v>
      </c>
      <c r="J2147" s="8">
        <f ca="1">IFERROR(__xludf.DUMMYFUNCTION("""COMPUTED_VALUE"""),0)</f>
        <v>0</v>
      </c>
      <c r="K2147" s="10" t="str">
        <f ca="1">IFERROR(__xludf.DUMMYFUNCTION("""COMPUTED_VALUE"""),"https://www.nj.com/news/index.ssf/2010/09/newark_schoolyard_slaying_susp_1.html")</f>
        <v>https://www.nj.com/news/index.ssf/2010/09/newark_schoolyard_slaying_susp_1.html</v>
      </c>
      <c r="L2147" s="8"/>
      <c r="M2147" s="8"/>
      <c r="N2147" s="8">
        <f ca="1">IFERROR(__xludf.DUMMYFUNCTION("""COMPUTED_VALUE"""),2)</f>
        <v>2</v>
      </c>
      <c r="O2147" s="8" t="str">
        <f ca="1">IFERROR(__xludf.DUMMYFUNCTION("""COMPUTED_VALUE"""),"Summer")</f>
        <v>Summer</v>
      </c>
      <c r="P2147" s="8" t="str">
        <f ca="1">IFERROR(__xludf.DUMMYFUNCTION("""COMPUTED_VALUE"""),"Newark")</f>
        <v>Newark</v>
      </c>
      <c r="Q2147" s="8" t="str">
        <f ca="1">IFERROR(__xludf.DUMMYFUNCTION("""COMPUTED_VALUE"""),"NJ")</f>
        <v>NJ</v>
      </c>
      <c r="R2147" s="8" t="str">
        <f ca="1">IFERROR(__xludf.DUMMYFUNCTION("""COMPUTED_VALUE"""),"High")</f>
        <v>High</v>
      </c>
      <c r="S2147" s="8" t="str">
        <f ca="1">IFERROR(__xludf.DUMMYFUNCTION("""COMPUTED_VALUE"""),"Front of School")</f>
        <v>Front of School</v>
      </c>
      <c r="T2147" s="8" t="str">
        <f ca="1">IFERROR(__xludf.DUMMYFUNCTION("""COMPUTED_VALUE"""),"Outside on School Property")</f>
        <v>Outside on School Property</v>
      </c>
      <c r="U2147" s="8" t="str">
        <f ca="1">IFERROR(__xludf.DUMMYFUNCTION("""COMPUTED_VALUE"""),"No")</f>
        <v>No</v>
      </c>
      <c r="V2147" s="8" t="str">
        <f ca="1">IFERROR(__xludf.DUMMYFUNCTION("""COMPUTED_VALUE"""),"Not a School Day")</f>
        <v>Not a School Day</v>
      </c>
      <c r="W2147" s="8"/>
      <c r="X2147" s="8"/>
      <c r="Y2147" s="12" t="str">
        <f ca="1">IFERROR(__xludf.DUMMYFUNCTION("""COMPUTED_VALUE"""),"Shot 4 friends at school, MS-13 directed shooting")</f>
        <v>Shot 4 friends at school, MS-13 directed shooting</v>
      </c>
      <c r="Z2147" s="12" t="str">
        <f ca="1">IFERROR(__xludf.DUMMYFUNCTION("""COMPUTED_VALUE"""),"18 YOM was directed by MS-13 gang members to kill 4 friends sitting outside of the school.")</f>
        <v>18 YOM was directed by MS-13 gang members to kill 4 friends sitting outside of the school.</v>
      </c>
      <c r="AA2147" s="8" t="str">
        <f ca="1">IFERROR(__xludf.DUMMYFUNCTION("""COMPUTED_VALUE"""),"Illegal Activity")</f>
        <v>Illegal Activity</v>
      </c>
      <c r="AB2147" s="8"/>
      <c r="AC2147" s="8" t="str">
        <f ca="1">IFERROR(__xludf.DUMMYFUNCTION("""COMPUTED_VALUE"""),"No")</f>
        <v>No</v>
      </c>
      <c r="AD2147" s="8" t="str">
        <f ca="1">IFERROR(__xludf.DUMMYFUNCTION("""COMPUTED_VALUE"""),"Victims Targeted")</f>
        <v>Victims Targeted</v>
      </c>
      <c r="AE2147" s="8" t="str">
        <f ca="1">IFERROR(__xludf.DUMMYFUNCTION("""COMPUTED_VALUE"""),"No")</f>
        <v>No</v>
      </c>
      <c r="AF2147" s="8"/>
      <c r="AG2147" s="8" t="str">
        <f ca="1">IFERROR(__xludf.DUMMYFUNCTION("""COMPUTED_VALUE"""),"No")</f>
        <v>No</v>
      </c>
      <c r="AH2147" s="8" t="str">
        <f ca="1">IFERROR(__xludf.DUMMYFUNCTION("""COMPUTED_VALUE"""),"No")</f>
        <v>No</v>
      </c>
      <c r="AI2147" s="8" t="str">
        <f ca="1">IFERROR(__xludf.DUMMYFUNCTION("""COMPUTED_VALUE"""),"No")</f>
        <v>No</v>
      </c>
      <c r="AJ2147" s="8" t="str">
        <f ca="1">IFERROR(__xludf.DUMMYFUNCTION("""COMPUTED_VALUE"""),"No")</f>
        <v>No</v>
      </c>
      <c r="AK2147" s="8" t="str">
        <f ca="1">IFERROR(__xludf.DUMMYFUNCTION("""COMPUTED_VALUE"""),"No")</f>
        <v>No</v>
      </c>
      <c r="AL2147" s="8" t="str">
        <f ca="1">IFERROR(__xludf.DUMMYFUNCTION("""COMPUTED_VALUE"""),"Yes")</f>
        <v>Yes</v>
      </c>
      <c r="AM2147" s="8"/>
      <c r="AN2147" s="8"/>
      <c r="AO2147" s="8" t="str">
        <f ca="1">IFERROR(__xludf.DUMMYFUNCTION("""COMPUTED_VALUE"""),"No")</f>
        <v>No</v>
      </c>
      <c r="AP2147" s="8"/>
      <c r="AQ2147" s="8" t="str">
        <f ca="1">IFERROR(__xludf.DUMMYFUNCTION("""COMPUTED_VALUE"""),"Unknown")</f>
        <v>Unknown</v>
      </c>
      <c r="AR2147" s="8" t="str">
        <f ca="1">IFERROR(__xludf.DUMMYFUNCTION("""COMPUTED_VALUE"""),"NA")</f>
        <v>NA</v>
      </c>
      <c r="AS2147" s="8">
        <f ca="1">IFERROR(__xludf.DUMMYFUNCTION("""COMPUTED_VALUE"""),4)</f>
        <v>4</v>
      </c>
      <c r="AT2147" s="8"/>
      <c r="AU2147" s="8">
        <f ca="1">IFERROR(__xludf.DUMMYFUNCTION("""COMPUTED_VALUE"""),40.737041)</f>
        <v>40.737040999999998</v>
      </c>
      <c r="AV2147" s="8">
        <f ca="1">IFERROR(__xludf.DUMMYFUNCTION("""COMPUTED_VALUE"""),-74.245121)</f>
        <v>-74.245120999999997</v>
      </c>
      <c r="AW2147" s="8"/>
      <c r="AX2147" s="8">
        <f ca="1">IFERROR(__xludf.DUMMYFUNCTION("""COMPUTED_VALUE"""),7106)</f>
        <v>7106</v>
      </c>
    </row>
    <row r="2148" spans="1:50" ht="30" x14ac:dyDescent="0.2">
      <c r="A2148" s="8" t="str">
        <f ca="1">IFERROR(__xludf.DUMMYFUNCTION("""COMPUTED_VALUE"""),"20070709ILCAC")</f>
        <v>20070709ILCAC</v>
      </c>
      <c r="B2148" s="8">
        <f ca="1">IFERROR(__xludf.DUMMYFUNCTION("""COMPUTED_VALUE"""),7)</f>
        <v>7</v>
      </c>
      <c r="C2148" s="8">
        <f ca="1">IFERROR(__xludf.DUMMYFUNCTION("""COMPUTED_VALUE"""),9)</f>
        <v>9</v>
      </c>
      <c r="D2148" s="8">
        <f ca="1">IFERROR(__xludf.DUMMYFUNCTION("""COMPUTED_VALUE"""),2007)</f>
        <v>2007</v>
      </c>
      <c r="E2148" s="9">
        <f ca="1">IFERROR(__xludf.DUMMYFUNCTION("""COMPUTED_VALUE"""),39272)</f>
        <v>39272</v>
      </c>
      <c r="F2148" s="8" t="str">
        <f ca="1">IFERROR(__xludf.DUMMYFUNCTION("""COMPUTED_VALUE"""),"Carter G. Woodson Elementary School")</f>
        <v>Carter G. Woodson Elementary School</v>
      </c>
      <c r="G2148" s="8">
        <f ca="1">IFERROR(__xludf.DUMMYFUNCTION("""COMPUTED_VALUE"""),0)</f>
        <v>0</v>
      </c>
      <c r="H2148" s="8">
        <f ca="1">IFERROR(__xludf.DUMMYFUNCTION("""COMPUTED_VALUE"""),2)</f>
        <v>2</v>
      </c>
      <c r="I2148" s="8">
        <f ca="1">IFERROR(__xludf.DUMMYFUNCTION("""COMPUTED_VALUE"""),2)</f>
        <v>2</v>
      </c>
      <c r="J2148" s="8">
        <f ca="1">IFERROR(__xludf.DUMMYFUNCTION("""COMPUTED_VALUE"""),0)</f>
        <v>0</v>
      </c>
      <c r="K2148" s="10" t="str">
        <f ca="1">IFERROR(__xludf.DUMMYFUNCTION("""COMPUTED_VALUE"""),"https://www.columbine-angels.com/School_Violence_2006-2007.htm")</f>
        <v>https://www.columbine-angels.com/School_Violence_2006-2007.htm</v>
      </c>
      <c r="L2148" s="8"/>
      <c r="M2148" s="8"/>
      <c r="N2148" s="8">
        <f ca="1">IFERROR(__xludf.DUMMYFUNCTION("""COMPUTED_VALUE"""),1)</f>
        <v>1</v>
      </c>
      <c r="O2148" s="8" t="str">
        <f ca="1">IFERROR(__xludf.DUMMYFUNCTION("""COMPUTED_VALUE"""),"Summer")</f>
        <v>Summer</v>
      </c>
      <c r="P2148" s="8" t="str">
        <f ca="1">IFERROR(__xludf.DUMMYFUNCTION("""COMPUTED_VALUE"""),"Chicago")</f>
        <v>Chicago</v>
      </c>
      <c r="Q2148" s="8" t="str">
        <f ca="1">IFERROR(__xludf.DUMMYFUNCTION("""COMPUTED_VALUE"""),"IL")</f>
        <v>IL</v>
      </c>
      <c r="R2148" s="8" t="str">
        <f ca="1">IFERROR(__xludf.DUMMYFUNCTION("""COMPUTED_VALUE"""),"Elementary")</f>
        <v>Elementary</v>
      </c>
      <c r="S2148" s="8" t="str">
        <f ca="1">IFERROR(__xludf.DUMMYFUNCTION("""COMPUTED_VALUE"""),"Front of School")</f>
        <v>Front of School</v>
      </c>
      <c r="T2148" s="8" t="str">
        <f ca="1">IFERROR(__xludf.DUMMYFUNCTION("""COMPUTED_VALUE"""),"Outside on School Property")</f>
        <v>Outside on School Property</v>
      </c>
      <c r="U2148" s="8" t="str">
        <f ca="1">IFERROR(__xludf.DUMMYFUNCTION("""COMPUTED_VALUE"""),"No")</f>
        <v>No</v>
      </c>
      <c r="V2148" s="8" t="str">
        <f ca="1">IFERROR(__xludf.DUMMYFUNCTION("""COMPUTED_VALUE"""),"Not a School Day")</f>
        <v>Not a School Day</v>
      </c>
      <c r="W2148" s="11">
        <f ca="1">IFERROR(__xludf.DUMMYFUNCTION("""COMPUTED_VALUE"""),0.569444444444444)</f>
        <v>0.56944444444444398</v>
      </c>
      <c r="X2148" s="8">
        <f ca="1">IFERROR(__xludf.DUMMYFUNCTION("""COMPUTED_VALUE"""),1)</f>
        <v>1</v>
      </c>
      <c r="Y2148" s="12" t="str">
        <f ca="1">IFERROR(__xludf.DUMMYFUNCTION("""COMPUTED_VALUE"""),"Drive-by outside of school")</f>
        <v>Drive-by outside of school</v>
      </c>
      <c r="Z2148" s="12" t="str">
        <f ca="1">IFERROR(__xludf.DUMMYFUNCTION("""COMPUTED_VALUE"""),"14YOM and 15YOM non-students were shot during drive-by outside of school. Details unknown.")</f>
        <v>14YOM and 15YOM non-students were shot during drive-by outside of school. Details unknown.</v>
      </c>
      <c r="AA2148" s="8" t="str">
        <f ca="1">IFERROR(__xludf.DUMMYFUNCTION("""COMPUTED_VALUE"""),"Drive-by Shooting")</f>
        <v>Drive-by Shooting</v>
      </c>
      <c r="AB2148" s="8"/>
      <c r="AC2148" s="8" t="str">
        <f ca="1">IFERROR(__xludf.DUMMYFUNCTION("""COMPUTED_VALUE"""),"No")</f>
        <v>No</v>
      </c>
      <c r="AD2148" s="8"/>
      <c r="AE2148" s="8" t="str">
        <f ca="1">IFERROR(__xludf.DUMMYFUNCTION("""COMPUTED_VALUE"""),"Yes")</f>
        <v>Yes</v>
      </c>
      <c r="AF2148" s="8" t="str">
        <f ca="1">IFERROR(__xludf.DUMMYFUNCTION("""COMPUTED_VALUE"""),"Drive by, multiple in car")</f>
        <v>Drive by, multiple in car</v>
      </c>
      <c r="AG2148" s="8" t="str">
        <f ca="1">IFERROR(__xludf.DUMMYFUNCTION("""COMPUTED_VALUE"""),"No")</f>
        <v>No</v>
      </c>
      <c r="AH2148" s="8" t="str">
        <f ca="1">IFERROR(__xludf.DUMMYFUNCTION("""COMPUTED_VALUE"""),"No")</f>
        <v>No</v>
      </c>
      <c r="AI2148" s="8" t="str">
        <f ca="1">IFERROR(__xludf.DUMMYFUNCTION("""COMPUTED_VALUE"""),"No")</f>
        <v>No</v>
      </c>
      <c r="AJ2148" s="8" t="str">
        <f ca="1">IFERROR(__xludf.DUMMYFUNCTION("""COMPUTED_VALUE"""),"No")</f>
        <v>No</v>
      </c>
      <c r="AK2148" s="8" t="str">
        <f ca="1">IFERROR(__xludf.DUMMYFUNCTION("""COMPUTED_VALUE"""),"No")</f>
        <v>No</v>
      </c>
      <c r="AL2148" s="8" t="str">
        <f ca="1">IFERROR(__xludf.DUMMYFUNCTION("""COMPUTED_VALUE"""),"Yes")</f>
        <v>Yes</v>
      </c>
      <c r="AM2148" s="8"/>
      <c r="AN2148" s="8"/>
      <c r="AO2148" s="8" t="str">
        <f ca="1">IFERROR(__xludf.DUMMYFUNCTION("""COMPUTED_VALUE"""),"No")</f>
        <v>No</v>
      </c>
      <c r="AP2148" s="8"/>
      <c r="AQ2148" s="8" t="str">
        <f ca="1">IFERROR(__xludf.DUMMYFUNCTION("""COMPUTED_VALUE"""),"Unknown")</f>
        <v>Unknown</v>
      </c>
      <c r="AR2148" s="8" t="str">
        <f ca="1">IFERROR(__xludf.DUMMYFUNCTION("""COMPUTED_VALUE"""),"NA")</f>
        <v>NA</v>
      </c>
      <c r="AS2148" s="8" t="str">
        <f ca="1">IFERROR(__xludf.DUMMYFUNCTION("""COMPUTED_VALUE"""),"&lt;10")</f>
        <v>&lt;10</v>
      </c>
      <c r="AT2148" s="8"/>
      <c r="AU2148" s="8">
        <f ca="1">IFERROR(__xludf.DUMMYFUNCTION("""COMPUTED_VALUE"""),41.814043)</f>
        <v>41.814042999999998</v>
      </c>
      <c r="AV2148" s="8">
        <f ca="1">IFERROR(__xludf.DUMMYFUNCTION("""COMPUTED_VALUE"""),-87.608652)</f>
        <v>-87.608652000000006</v>
      </c>
      <c r="AW2148" s="8"/>
      <c r="AX2148" s="8">
        <f ca="1">IFERROR(__xludf.DUMMYFUNCTION("""COMPUTED_VALUE"""),60653)</f>
        <v>60653</v>
      </c>
    </row>
    <row r="2149" spans="1:50" ht="60" x14ac:dyDescent="0.2">
      <c r="A2149" s="8" t="str">
        <f ca="1">IFERROR(__xludf.DUMMYFUNCTION("""COMPUTED_VALUE"""),"20070628TXDAD")</f>
        <v>20070628TXDAD</v>
      </c>
      <c r="B2149" s="8">
        <f ca="1">IFERROR(__xludf.DUMMYFUNCTION("""COMPUTED_VALUE"""),6)</f>
        <v>6</v>
      </c>
      <c r="C2149" s="8">
        <f ca="1">IFERROR(__xludf.DUMMYFUNCTION("""COMPUTED_VALUE"""),28)</f>
        <v>28</v>
      </c>
      <c r="D2149" s="8">
        <f ca="1">IFERROR(__xludf.DUMMYFUNCTION("""COMPUTED_VALUE"""),2007)</f>
        <v>2007</v>
      </c>
      <c r="E2149" s="9">
        <f ca="1">IFERROR(__xludf.DUMMYFUNCTION("""COMPUTED_VALUE"""),39261)</f>
        <v>39261</v>
      </c>
      <c r="F2149" s="8" t="str">
        <f ca="1">IFERROR(__xludf.DUMMYFUNCTION("""COMPUTED_VALUE"""),"David W. Carter High School")</f>
        <v>David W. Carter High School</v>
      </c>
      <c r="G2149" s="8">
        <f ca="1">IFERROR(__xludf.DUMMYFUNCTION("""COMPUTED_VALUE"""),0)</f>
        <v>0</v>
      </c>
      <c r="H2149" s="8">
        <f ca="1">IFERROR(__xludf.DUMMYFUNCTION("""COMPUTED_VALUE"""),2)</f>
        <v>2</v>
      </c>
      <c r="I2149" s="8">
        <f ca="1">IFERROR(__xludf.DUMMYFUNCTION("""COMPUTED_VALUE"""),2)</f>
        <v>2</v>
      </c>
      <c r="J2149" s="8">
        <f ca="1">IFERROR(__xludf.DUMMYFUNCTION("""COMPUTED_VALUE"""),0)</f>
        <v>0</v>
      </c>
      <c r="K2149" s="10" t="str">
        <f ca="1">IFERROR(__xludf.DUMMYFUNCTION("""COMPUTED_VALUE"""),"https://www.pressreader.com/usa/the-dallas-morning-news/20070629/282364035265089")</f>
        <v>https://www.pressreader.com/usa/the-dallas-morning-news/20070629/282364035265089</v>
      </c>
      <c r="L2149" s="8"/>
      <c r="M2149" s="8"/>
      <c r="N2149" s="8">
        <f ca="1">IFERROR(__xludf.DUMMYFUNCTION("""COMPUTED_VALUE"""),2)</f>
        <v>2</v>
      </c>
      <c r="O2149" s="8" t="str">
        <f ca="1">IFERROR(__xludf.DUMMYFUNCTION("""COMPUTED_VALUE"""),"Summer")</f>
        <v>Summer</v>
      </c>
      <c r="P2149" s="8" t="str">
        <f ca="1">IFERROR(__xludf.DUMMYFUNCTION("""COMPUTED_VALUE"""),"Dallas")</f>
        <v>Dallas</v>
      </c>
      <c r="Q2149" s="8" t="str">
        <f ca="1">IFERROR(__xludf.DUMMYFUNCTION("""COMPUTED_VALUE"""),"TX")</f>
        <v>TX</v>
      </c>
      <c r="R2149" s="8" t="str">
        <f ca="1">IFERROR(__xludf.DUMMYFUNCTION("""COMPUTED_VALUE"""),"High")</f>
        <v>High</v>
      </c>
      <c r="S2149" s="8" t="str">
        <f ca="1">IFERROR(__xludf.DUMMYFUNCTION("""COMPUTED_VALUE"""),"Parking Lot")</f>
        <v>Parking Lot</v>
      </c>
      <c r="T2149" s="8" t="str">
        <f ca="1">IFERROR(__xludf.DUMMYFUNCTION("""COMPUTED_VALUE"""),"Outside on School Property")</f>
        <v>Outside on School Property</v>
      </c>
      <c r="U2149" s="8" t="str">
        <f ca="1">IFERROR(__xludf.DUMMYFUNCTION("""COMPUTED_VALUE"""),"Yes")</f>
        <v>Yes</v>
      </c>
      <c r="V2149" s="8" t="str">
        <f ca="1">IFERROR(__xludf.DUMMYFUNCTION("""COMPUTED_VALUE"""),"Lunch")</f>
        <v>Lunch</v>
      </c>
      <c r="W2149" s="11">
        <f ca="1">IFERROR(__xludf.DUMMYFUNCTION("""COMPUTED_VALUE"""),0.5)</f>
        <v>0.5</v>
      </c>
      <c r="X2149" s="8">
        <f ca="1">IFERROR(__xludf.DUMMYFUNCTION("""COMPUTED_VALUE"""),1)</f>
        <v>1</v>
      </c>
      <c r="Y2149" s="12" t="str">
        <f ca="1">IFERROR(__xludf.DUMMYFUNCTION("""COMPUTED_VALUE"""),"Rival gang members fired a 3 students in parking lot")</f>
        <v>Rival gang members fired a 3 students in parking lot</v>
      </c>
      <c r="Z2149" s="12" t="str">
        <f ca="1">IFERROR(__xludf.DUMMYFUNCTION("""COMPUTED_VALUE"""),"2 gang members in a vehicle fired at 3 students who were members of a rival gang in the parking lot")</f>
        <v>2 gang members in a vehicle fired at 3 students who were members of a rival gang in the parking lot</v>
      </c>
      <c r="AA2149" s="8" t="str">
        <f ca="1">IFERROR(__xludf.DUMMYFUNCTION("""COMPUTED_VALUE"""),"Drive-by Shooting")</f>
        <v>Drive-by Shooting</v>
      </c>
      <c r="AB2149" s="8"/>
      <c r="AC2149" s="8" t="str">
        <f ca="1">IFERROR(__xludf.DUMMYFUNCTION("""COMPUTED_VALUE"""),"Yes")</f>
        <v>Yes</v>
      </c>
      <c r="AD2149" s="8" t="str">
        <f ca="1">IFERROR(__xludf.DUMMYFUNCTION("""COMPUTED_VALUE"""),"Victims Targeted")</f>
        <v>Victims Targeted</v>
      </c>
      <c r="AE2149" s="8" t="str">
        <f ca="1">IFERROR(__xludf.DUMMYFUNCTION("""COMPUTED_VALUE"""),"Yes")</f>
        <v>Yes</v>
      </c>
      <c r="AF2149" s="8" t="str">
        <f ca="1">IFERROR(__xludf.DUMMYFUNCTION("""COMPUTED_VALUE"""),"Two in car")</f>
        <v>Two in car</v>
      </c>
      <c r="AG2149" s="8" t="str">
        <f ca="1">IFERROR(__xludf.DUMMYFUNCTION("""COMPUTED_VALUE"""),"No")</f>
        <v>No</v>
      </c>
      <c r="AH2149" s="8" t="str">
        <f ca="1">IFERROR(__xludf.DUMMYFUNCTION("""COMPUTED_VALUE"""),"No")</f>
        <v>No</v>
      </c>
      <c r="AI2149" s="8" t="str">
        <f ca="1">IFERROR(__xludf.DUMMYFUNCTION("""COMPUTED_VALUE"""),"No")</f>
        <v>No</v>
      </c>
      <c r="AJ2149" s="8" t="str">
        <f ca="1">IFERROR(__xludf.DUMMYFUNCTION("""COMPUTED_VALUE"""),"No")</f>
        <v>No</v>
      </c>
      <c r="AK2149" s="8" t="str">
        <f ca="1">IFERROR(__xludf.DUMMYFUNCTION("""COMPUTED_VALUE"""),"No")</f>
        <v>No</v>
      </c>
      <c r="AL2149" s="8" t="str">
        <f ca="1">IFERROR(__xludf.DUMMYFUNCTION("""COMPUTED_VALUE"""),"Yes")</f>
        <v>Yes</v>
      </c>
      <c r="AM2149" s="8"/>
      <c r="AN2149" s="8"/>
      <c r="AO2149" s="8" t="str">
        <f ca="1">IFERROR(__xludf.DUMMYFUNCTION("""COMPUTED_VALUE"""),"No")</f>
        <v>No</v>
      </c>
      <c r="AP2149" s="8"/>
      <c r="AQ2149" s="8" t="str">
        <f ca="1">IFERROR(__xludf.DUMMYFUNCTION("""COMPUTED_VALUE"""),"Unknown")</f>
        <v>Unknown</v>
      </c>
      <c r="AR2149" s="8" t="str">
        <f ca="1">IFERROR(__xludf.DUMMYFUNCTION("""COMPUTED_VALUE"""),"NA")</f>
        <v>NA</v>
      </c>
      <c r="AS2149" s="8" t="str">
        <f ca="1">IFERROR(__xludf.DUMMYFUNCTION("""COMPUTED_VALUE"""),"&lt;10")</f>
        <v>&lt;10</v>
      </c>
      <c r="AT2149" s="8"/>
      <c r="AU2149" s="8">
        <f ca="1">IFERROR(__xludf.DUMMYFUNCTION("""COMPUTED_VALUE"""),32.649014)</f>
        <v>32.649014000000001</v>
      </c>
      <c r="AV2149" s="8">
        <f ca="1">IFERROR(__xludf.DUMMYFUNCTION("""COMPUTED_VALUE"""),-96.848891)</f>
        <v>-96.848890999999995</v>
      </c>
      <c r="AW2149" s="8"/>
      <c r="AX2149" s="8">
        <f ca="1">IFERROR(__xludf.DUMMYFUNCTION("""COMPUTED_VALUE"""),75232)</f>
        <v>75232</v>
      </c>
    </row>
    <row r="2150" spans="1:50" ht="45" x14ac:dyDescent="0.2">
      <c r="A2150" s="8" t="str">
        <f ca="1">IFERROR(__xludf.DUMMYFUNCTION("""COMPUTED_VALUE"""),"20070617SCBRB")</f>
        <v>20070617SCBRB</v>
      </c>
      <c r="B2150" s="8">
        <f ca="1">IFERROR(__xludf.DUMMYFUNCTION("""COMPUTED_VALUE"""),6)</f>
        <v>6</v>
      </c>
      <c r="C2150" s="8">
        <f ca="1">IFERROR(__xludf.DUMMYFUNCTION("""COMPUTED_VALUE"""),17)</f>
        <v>17</v>
      </c>
      <c r="D2150" s="8">
        <f ca="1">IFERROR(__xludf.DUMMYFUNCTION("""COMPUTED_VALUE"""),2007)</f>
        <v>2007</v>
      </c>
      <c r="E2150" s="9">
        <f ca="1">IFERROR(__xludf.DUMMYFUNCTION("""COMPUTED_VALUE"""),39250)</f>
        <v>39250</v>
      </c>
      <c r="F2150" s="8" t="str">
        <f ca="1">IFERROR(__xludf.DUMMYFUNCTION("""COMPUTED_VALUE"""),"Broad River Elementary School")</f>
        <v>Broad River Elementary School</v>
      </c>
      <c r="G2150" s="8">
        <f ca="1">IFERROR(__xludf.DUMMYFUNCTION("""COMPUTED_VALUE"""),0)</f>
        <v>0</v>
      </c>
      <c r="H2150" s="8">
        <f ca="1">IFERROR(__xludf.DUMMYFUNCTION("""COMPUTED_VALUE"""),1)</f>
        <v>1</v>
      </c>
      <c r="I2150" s="8">
        <f ca="1">IFERROR(__xludf.DUMMYFUNCTION("""COMPUTED_VALUE"""),1)</f>
        <v>1</v>
      </c>
      <c r="J2150" s="8">
        <f ca="1">IFERROR(__xludf.DUMMYFUNCTION("""COMPUTED_VALUE"""),0)</f>
        <v>0</v>
      </c>
      <c r="K2150" s="10" t="str">
        <f ca="1">IFERROR(__xludf.DUMMYFUNCTION("""COMPUTED_VALUE"""),"https://www.columbine-angels.com/School_Violence_2006-2007.htm")</f>
        <v>https://www.columbine-angels.com/School_Violence_2006-2007.htm</v>
      </c>
      <c r="L2150" s="8"/>
      <c r="M2150" s="8"/>
      <c r="N2150" s="8">
        <f ca="1">IFERROR(__xludf.DUMMYFUNCTION("""COMPUTED_VALUE"""),1)</f>
        <v>1</v>
      </c>
      <c r="O2150" s="8" t="str">
        <f ca="1">IFERROR(__xludf.DUMMYFUNCTION("""COMPUTED_VALUE"""),"Summer")</f>
        <v>Summer</v>
      </c>
      <c r="P2150" s="8" t="str">
        <f ca="1">IFERROR(__xludf.DUMMYFUNCTION("""COMPUTED_VALUE"""),"Burton")</f>
        <v>Burton</v>
      </c>
      <c r="Q2150" s="8" t="str">
        <f ca="1">IFERROR(__xludf.DUMMYFUNCTION("""COMPUTED_VALUE"""),"SC")</f>
        <v>SC</v>
      </c>
      <c r="R2150" s="8" t="str">
        <f ca="1">IFERROR(__xludf.DUMMYFUNCTION("""COMPUTED_VALUE"""),"Elementary")</f>
        <v>Elementary</v>
      </c>
      <c r="S2150" s="8" t="str">
        <f ca="1">IFERROR(__xludf.DUMMYFUNCTION("""COMPUTED_VALUE"""),"Outside on School Property")</f>
        <v>Outside on School Property</v>
      </c>
      <c r="T2150" s="8" t="str">
        <f ca="1">IFERROR(__xludf.DUMMYFUNCTION("""COMPUTED_VALUE"""),"Outside on School Property")</f>
        <v>Outside on School Property</v>
      </c>
      <c r="U2150" s="8" t="str">
        <f ca="1">IFERROR(__xludf.DUMMYFUNCTION("""COMPUTED_VALUE"""),"No")</f>
        <v>No</v>
      </c>
      <c r="V2150" s="8" t="str">
        <f ca="1">IFERROR(__xludf.DUMMYFUNCTION("""COMPUTED_VALUE"""),"Sport Event")</f>
        <v>Sport Event</v>
      </c>
      <c r="W2150" s="8"/>
      <c r="X2150" s="8">
        <f ca="1">IFERROR(__xludf.DUMMYFUNCTION("""COMPUTED_VALUE"""),1)</f>
        <v>1</v>
      </c>
      <c r="Y2150" s="12" t="str">
        <f ca="1">IFERROR(__xludf.DUMMYFUNCTION("""COMPUTED_VALUE"""),"Shooting during argument during basketball game")</f>
        <v>Shooting during argument during basketball game</v>
      </c>
      <c r="Z2150" s="12" t="str">
        <f ca="1">IFERROR(__xludf.DUMMYFUNCTION("""COMPUTED_VALUE"""),"During the game an argument arose between 22YOM (victim) and 21YOM (victim) a shooting occurred. Shooter fled the scene and turned himself in later that night.")</f>
        <v>During the game an argument arose between 22YOM (victim) and 21YOM (victim) a shooting occurred. Shooter fled the scene and turned himself in later that night.</v>
      </c>
      <c r="AA2150" s="8" t="str">
        <f ca="1">IFERROR(__xludf.DUMMYFUNCTION("""COMPUTED_VALUE"""),"Escalation of Dispute")</f>
        <v>Escalation of Dispute</v>
      </c>
      <c r="AB2150" s="8"/>
      <c r="AC2150" s="8" t="str">
        <f ca="1">IFERROR(__xludf.DUMMYFUNCTION("""COMPUTED_VALUE"""),"No")</f>
        <v>No</v>
      </c>
      <c r="AD2150" s="8" t="str">
        <f ca="1">IFERROR(__xludf.DUMMYFUNCTION("""COMPUTED_VALUE"""),"Victims Targeted")</f>
        <v>Victims Targeted</v>
      </c>
      <c r="AE2150" s="8" t="str">
        <f ca="1">IFERROR(__xludf.DUMMYFUNCTION("""COMPUTED_VALUE"""),"No")</f>
        <v>No</v>
      </c>
      <c r="AF2150" s="8"/>
      <c r="AG2150" s="8" t="str">
        <f ca="1">IFERROR(__xludf.DUMMYFUNCTION("""COMPUTED_VALUE"""),"No")</f>
        <v>No</v>
      </c>
      <c r="AH2150" s="8" t="str">
        <f ca="1">IFERROR(__xludf.DUMMYFUNCTION("""COMPUTED_VALUE"""),"No")</f>
        <v>No</v>
      </c>
      <c r="AI2150" s="8" t="str">
        <f ca="1">IFERROR(__xludf.DUMMYFUNCTION("""COMPUTED_VALUE"""),"No")</f>
        <v>No</v>
      </c>
      <c r="AJ2150" s="8" t="str">
        <f ca="1">IFERROR(__xludf.DUMMYFUNCTION("""COMPUTED_VALUE"""),"No")</f>
        <v>No</v>
      </c>
      <c r="AK2150" s="8" t="str">
        <f ca="1">IFERROR(__xludf.DUMMYFUNCTION("""COMPUTED_VALUE"""),"No")</f>
        <v>No</v>
      </c>
      <c r="AL2150" s="8" t="str">
        <f ca="1">IFERROR(__xludf.DUMMYFUNCTION("""COMPUTED_VALUE"""),"No")</f>
        <v>No</v>
      </c>
      <c r="AM2150" s="8"/>
      <c r="AN2150" s="8"/>
      <c r="AO2150" s="8" t="str">
        <f ca="1">IFERROR(__xludf.DUMMYFUNCTION("""COMPUTED_VALUE"""),"No")</f>
        <v>No</v>
      </c>
      <c r="AP2150" s="8"/>
      <c r="AQ2150" s="8" t="str">
        <f ca="1">IFERROR(__xludf.DUMMYFUNCTION("""COMPUTED_VALUE"""),"Unknown")</f>
        <v>Unknown</v>
      </c>
      <c r="AR2150" s="8" t="str">
        <f ca="1">IFERROR(__xludf.DUMMYFUNCTION("""COMPUTED_VALUE"""),"NA")</f>
        <v>NA</v>
      </c>
      <c r="AS2150" s="8">
        <f ca="1">IFERROR(__xludf.DUMMYFUNCTION("""COMPUTED_VALUE"""),1)</f>
        <v>1</v>
      </c>
      <c r="AT2150" s="8"/>
      <c r="AU2150" s="8">
        <f ca="1">IFERROR(__xludf.DUMMYFUNCTION("""COMPUTED_VALUE"""),32.421399)</f>
        <v>32.421399000000001</v>
      </c>
      <c r="AV2150" s="8">
        <f ca="1">IFERROR(__xludf.DUMMYFUNCTION("""COMPUTED_VALUE"""),-80.756131)</f>
        <v>-80.756130999999996</v>
      </c>
      <c r="AW2150" s="8"/>
      <c r="AX2150" s="8">
        <f ca="1">IFERROR(__xludf.DUMMYFUNCTION("""COMPUTED_VALUE"""),29906)</f>
        <v>29906</v>
      </c>
    </row>
    <row r="2151" spans="1:50" ht="75" x14ac:dyDescent="0.2">
      <c r="A2151" s="8" t="str">
        <f ca="1">IFERROR(__xludf.DUMMYFUNCTION("""COMPUTED_VALUE"""),"20070606FLSGT")</f>
        <v>20070606FLSGT</v>
      </c>
      <c r="B2151" s="8">
        <f ca="1">IFERROR(__xludf.DUMMYFUNCTION("""COMPUTED_VALUE"""),6)</f>
        <v>6</v>
      </c>
      <c r="C2151" s="8">
        <f ca="1">IFERROR(__xludf.DUMMYFUNCTION("""COMPUTED_VALUE"""),6)</f>
        <v>6</v>
      </c>
      <c r="D2151" s="8">
        <f ca="1">IFERROR(__xludf.DUMMYFUNCTION("""COMPUTED_VALUE"""),2007)</f>
        <v>2007</v>
      </c>
      <c r="E2151" s="9">
        <f ca="1">IFERROR(__xludf.DUMMYFUNCTION("""COMPUTED_VALUE"""),39239)</f>
        <v>39239</v>
      </c>
      <c r="F2151" s="8" t="str">
        <f ca="1">IFERROR(__xludf.DUMMYFUNCTION("""COMPUTED_VALUE"""),"George S. Middleton High School")</f>
        <v>George S. Middleton High School</v>
      </c>
      <c r="G2151" s="8">
        <f ca="1">IFERROR(__xludf.DUMMYFUNCTION("""COMPUTED_VALUE"""),0)</f>
        <v>0</v>
      </c>
      <c r="H2151" s="8">
        <f ca="1">IFERROR(__xludf.DUMMYFUNCTION("""COMPUTED_VALUE"""),0)</f>
        <v>0</v>
      </c>
      <c r="I2151" s="8">
        <f ca="1">IFERROR(__xludf.DUMMYFUNCTION("""COMPUTED_VALUE"""),0)</f>
        <v>0</v>
      </c>
      <c r="J2151" s="8">
        <f ca="1">IFERROR(__xludf.DUMMYFUNCTION("""COMPUTED_VALUE"""),0)</f>
        <v>0</v>
      </c>
      <c r="K2151" s="10" t="str">
        <f ca="1">IFERROR(__xludf.DUMMYFUNCTION("""COMPUTED_VALUE"""),"https://www.wtsp.com/article/news/third-suspect-in-middleton-high-school-shooting-turns-himself-in/67-393322398")</f>
        <v>https://www.wtsp.com/article/news/third-suspect-in-middleton-high-school-shooting-turns-himself-in/67-393322398</v>
      </c>
      <c r="L2151" s="8">
        <f ca="1">IFERROR(__xludf.DUMMYFUNCTION("""COMPUTED_VALUE"""),3)</f>
        <v>3</v>
      </c>
      <c r="M2151" s="8" t="str">
        <f ca="1">IFERROR(__xludf.DUMMYFUNCTION("""COMPUTED_VALUE"""),"Local")</f>
        <v>Local</v>
      </c>
      <c r="N2151" s="8">
        <f ca="1">IFERROR(__xludf.DUMMYFUNCTION("""COMPUTED_VALUE"""),4)</f>
        <v>4</v>
      </c>
      <c r="O2151" s="8" t="str">
        <f ca="1">IFERROR(__xludf.DUMMYFUNCTION("""COMPUTED_VALUE"""),"Summer")</f>
        <v>Summer</v>
      </c>
      <c r="P2151" s="8" t="str">
        <f ca="1">IFERROR(__xludf.DUMMYFUNCTION("""COMPUTED_VALUE"""),"Tampa")</f>
        <v>Tampa</v>
      </c>
      <c r="Q2151" s="8" t="str">
        <f ca="1">IFERROR(__xludf.DUMMYFUNCTION("""COMPUTED_VALUE"""),"FL")</f>
        <v>FL</v>
      </c>
      <c r="R2151" s="8" t="str">
        <f ca="1">IFERROR(__xludf.DUMMYFUNCTION("""COMPUTED_VALUE"""),"High")</f>
        <v>High</v>
      </c>
      <c r="S2151" s="8" t="str">
        <f ca="1">IFERROR(__xludf.DUMMYFUNCTION("""COMPUTED_VALUE"""),"Classroom")</f>
        <v>Classroom</v>
      </c>
      <c r="T2151" s="8" t="str">
        <f ca="1">IFERROR(__xludf.DUMMYFUNCTION("""COMPUTED_VALUE"""),"Both Inside/Outside")</f>
        <v>Both Inside/Outside</v>
      </c>
      <c r="U2151" s="8" t="str">
        <f ca="1">IFERROR(__xludf.DUMMYFUNCTION("""COMPUTED_VALUE"""),"Yes")</f>
        <v>Yes</v>
      </c>
      <c r="V2151" s="8" t="str">
        <f ca="1">IFERROR(__xludf.DUMMYFUNCTION("""COMPUTED_VALUE"""),"Afternoon Classes")</f>
        <v>Afternoon Classes</v>
      </c>
      <c r="W2151" s="11">
        <f ca="1">IFERROR(__xludf.DUMMYFUNCTION("""COMPUTED_VALUE"""),0.5)</f>
        <v>0.5</v>
      </c>
      <c r="X2151" s="8">
        <f ca="1">IFERROR(__xludf.DUMMYFUNCTION("""COMPUTED_VALUE"""),1)</f>
        <v>1</v>
      </c>
      <c r="Y2151" s="12" t="str">
        <f ca="1">IFERROR(__xludf.DUMMYFUNCTION("""COMPUTED_VALUE"""),"Teen fired a shot through the window of a school aiming for a student inside.")</f>
        <v>Teen fired a shot through the window of a school aiming for a student inside.</v>
      </c>
      <c r="Z2151" s="12" t="str">
        <f ca="1">IFERROR(__xludf.DUMMYFUNCTION("""COMPUTED_VALUE"""),"Teen fired a shot through the window of a school aiming for a student inside. The shot missed. The school went on lockdown for 45 minutes. Some students jumped out of windows to evacuate the school. Shooter fled. Three teens were later arrested.")</f>
        <v>Teen fired a shot through the window of a school aiming for a student inside. The shot missed. The school went on lockdown for 45 minutes. Some students jumped out of windows to evacuate the school. Shooter fled. Three teens were later arrested.</v>
      </c>
      <c r="AA2151" s="8" t="str">
        <f ca="1">IFERROR(__xludf.DUMMYFUNCTION("""COMPUTED_VALUE"""),"Escalation of Dispute")</f>
        <v>Escalation of Dispute</v>
      </c>
      <c r="AB2151" s="8" t="str">
        <f ca="1">IFERROR(__xludf.DUMMYFUNCTION("""COMPUTED_VALUE"""),"Targeted")</f>
        <v>Targeted</v>
      </c>
      <c r="AC2151" s="8" t="str">
        <f ca="1">IFERROR(__xludf.DUMMYFUNCTION("""COMPUTED_VALUE"""),"Yes")</f>
        <v>Yes</v>
      </c>
      <c r="AD2151" s="8" t="str">
        <f ca="1">IFERROR(__xludf.DUMMYFUNCTION("""COMPUTED_VALUE"""),"Victims Targeted")</f>
        <v>Victims Targeted</v>
      </c>
      <c r="AE2151" s="8" t="str">
        <f ca="1">IFERROR(__xludf.DUMMYFUNCTION("""COMPUTED_VALUE"""),"Yes")</f>
        <v>Yes</v>
      </c>
      <c r="AF2151" s="8" t="str">
        <f ca="1">IFERROR(__xludf.DUMMYFUNCTION("""COMPUTED_VALUE"""),"3 teens arrested")</f>
        <v>3 teens arrested</v>
      </c>
      <c r="AG2151" s="8" t="str">
        <f ca="1">IFERROR(__xludf.DUMMYFUNCTION("""COMPUTED_VALUE"""),"No")</f>
        <v>No</v>
      </c>
      <c r="AH2151" s="8" t="str">
        <f ca="1">IFERROR(__xludf.DUMMYFUNCTION("""COMPUTED_VALUE"""),"No")</f>
        <v>No</v>
      </c>
      <c r="AI2151" s="8" t="str">
        <f ca="1">IFERROR(__xludf.DUMMYFUNCTION("""COMPUTED_VALUE"""),"No")</f>
        <v>No</v>
      </c>
      <c r="AJ2151" s="8" t="str">
        <f ca="1">IFERROR(__xludf.DUMMYFUNCTION("""COMPUTED_VALUE"""),"No")</f>
        <v>No</v>
      </c>
      <c r="AK2151" s="8" t="str">
        <f ca="1">IFERROR(__xludf.DUMMYFUNCTION("""COMPUTED_VALUE"""),"No")</f>
        <v>No</v>
      </c>
      <c r="AL2151" s="8"/>
      <c r="AM2151" s="8" t="str">
        <f ca="1">IFERROR(__xludf.DUMMYFUNCTION("""COMPUTED_VALUE"""),"No")</f>
        <v>No</v>
      </c>
      <c r="AN2151" s="8" t="str">
        <f ca="1">IFERROR(__xludf.DUMMYFUNCTION("""COMPUTED_VALUE"""),"Single Room")</f>
        <v>Single Room</v>
      </c>
      <c r="AO2151" s="8" t="str">
        <f ca="1">IFERROR(__xludf.DUMMYFUNCTION("""COMPUTED_VALUE"""),"No")</f>
        <v>No</v>
      </c>
      <c r="AP2151" s="8" t="str">
        <f ca="1">IFERROR(__xludf.DUMMYFUNCTION("""COMPUTED_VALUE"""),"Yes")</f>
        <v>Yes</v>
      </c>
      <c r="AQ2151" s="8"/>
      <c r="AR2151" s="8" t="str">
        <f ca="1">IFERROR(__xludf.DUMMYFUNCTION("""COMPUTED_VALUE"""),"Outside/Off-Property")</f>
        <v>Outside/Off-Property</v>
      </c>
      <c r="AS2151" s="8">
        <f ca="1">IFERROR(__xludf.DUMMYFUNCTION("""COMPUTED_VALUE"""),1)</f>
        <v>1</v>
      </c>
      <c r="AT2151" s="8" t="str">
        <f ca="1">IFERROR(__xludf.DUMMYFUNCTION("""COMPUTED_VALUE"""),"Yes")</f>
        <v>Yes</v>
      </c>
      <c r="AU2151" s="8">
        <f ca="1">IFERROR(__xludf.DUMMYFUNCTION("""COMPUTED_VALUE"""),27.99133)</f>
        <v>27.991330000000001</v>
      </c>
      <c r="AV2151" s="8">
        <f ca="1">IFERROR(__xludf.DUMMYFUNCTION("""COMPUTED_VALUE"""),-82.4327)</f>
        <v>-82.432699999999997</v>
      </c>
      <c r="AW2151" s="8"/>
      <c r="AX2151" s="8">
        <f ca="1">IFERROR(__xludf.DUMMYFUNCTION("""COMPUTED_VALUE"""),33610)</f>
        <v>33610</v>
      </c>
    </row>
    <row r="2152" spans="1:50" ht="60" x14ac:dyDescent="0.2">
      <c r="A2152" s="8" t="str">
        <f ca="1">IFERROR(__xludf.DUMMYFUNCTION("""COMPUTED_VALUE"""),"20070531NCNOG")</f>
        <v>20070531NCNOG</v>
      </c>
      <c r="B2152" s="8">
        <f ca="1">IFERROR(__xludf.DUMMYFUNCTION("""COMPUTED_VALUE"""),5)</f>
        <v>5</v>
      </c>
      <c r="C2152" s="8">
        <f ca="1">IFERROR(__xludf.DUMMYFUNCTION("""COMPUTED_VALUE"""),31)</f>
        <v>31</v>
      </c>
      <c r="D2152" s="8">
        <f ca="1">IFERROR(__xludf.DUMMYFUNCTION("""COMPUTED_VALUE"""),2007)</f>
        <v>2007</v>
      </c>
      <c r="E2152" s="9">
        <f ca="1">IFERROR(__xludf.DUMMYFUNCTION("""COMPUTED_VALUE"""),39233)</f>
        <v>39233</v>
      </c>
      <c r="F2152" s="8" t="str">
        <f ca="1">IFERROR(__xludf.DUMMYFUNCTION("""COMPUTED_VALUE"""),"North Garner Middle School")</f>
        <v>North Garner Middle School</v>
      </c>
      <c r="G2152" s="8">
        <f ca="1">IFERROR(__xludf.DUMMYFUNCTION("""COMPUTED_VALUE"""),0)</f>
        <v>0</v>
      </c>
      <c r="H2152" s="8">
        <f ca="1">IFERROR(__xludf.DUMMYFUNCTION("""COMPUTED_VALUE"""),0)</f>
        <v>0</v>
      </c>
      <c r="I2152" s="8">
        <f ca="1">IFERROR(__xludf.DUMMYFUNCTION("""COMPUTED_VALUE"""),0)</f>
        <v>0</v>
      </c>
      <c r="J2152" s="8">
        <f ca="1">IFERROR(__xludf.DUMMYFUNCTION("""COMPUTED_VALUE"""),0)</f>
        <v>0</v>
      </c>
      <c r="K2152" s="10" t="str">
        <f ca="1">IFERROR(__xludf.DUMMYFUNCTION("""COMPUTED_VALUE"""),"https://www.columbine-angels.com/School_Violence_2006-2007.htm")</f>
        <v>https://www.columbine-angels.com/School_Violence_2006-2007.htm</v>
      </c>
      <c r="L2152" s="8"/>
      <c r="M2152" s="8"/>
      <c r="N2152" s="8">
        <f ca="1">IFERROR(__xludf.DUMMYFUNCTION("""COMPUTED_VALUE"""),1)</f>
        <v>1</v>
      </c>
      <c r="O2152" s="8" t="str">
        <f ca="1">IFERROR(__xludf.DUMMYFUNCTION("""COMPUTED_VALUE"""),"Spring")</f>
        <v>Spring</v>
      </c>
      <c r="P2152" s="8" t="str">
        <f ca="1">IFERROR(__xludf.DUMMYFUNCTION("""COMPUTED_VALUE"""),"Garner")</f>
        <v>Garner</v>
      </c>
      <c r="Q2152" s="8" t="str">
        <f ca="1">IFERROR(__xludf.DUMMYFUNCTION("""COMPUTED_VALUE"""),"NC")</f>
        <v>NC</v>
      </c>
      <c r="R2152" s="8" t="str">
        <f ca="1">IFERROR(__xludf.DUMMYFUNCTION("""COMPUTED_VALUE"""),"Middle")</f>
        <v>Middle</v>
      </c>
      <c r="S2152" s="8" t="str">
        <f ca="1">IFERROR(__xludf.DUMMYFUNCTION("""COMPUTED_VALUE"""),"Outside on School Property")</f>
        <v>Outside on School Property</v>
      </c>
      <c r="T2152" s="8" t="str">
        <f ca="1">IFERROR(__xludf.DUMMYFUNCTION("""COMPUTED_VALUE"""),"Outside on School Property")</f>
        <v>Outside on School Property</v>
      </c>
      <c r="U2152" s="8" t="str">
        <f ca="1">IFERROR(__xludf.DUMMYFUNCTION("""COMPUTED_VALUE"""),"Yes")</f>
        <v>Yes</v>
      </c>
      <c r="V2152" s="8"/>
      <c r="W2152" s="8"/>
      <c r="X2152" s="8">
        <f ca="1">IFERROR(__xludf.DUMMYFUNCTION("""COMPUTED_VALUE"""),1)</f>
        <v>1</v>
      </c>
      <c r="Y2152" s="12" t="str">
        <f ca="1">IFERROR(__xludf.DUMMYFUNCTION("""COMPUTED_VALUE"""),"3 students shot by pellet gun")</f>
        <v>3 students shot by pellet gun</v>
      </c>
      <c r="Z2152" s="12" t="str">
        <f ca="1">IFERROR(__xludf.DUMMYFUNCTION("""COMPUTED_VALUE"""),"For an undisclosed reason, an unidentified shooter (police believe it is the same one from Vandora Springs Elementary) shot three students with a soft pellet gun. The pellets did not penetrate the skin.")</f>
        <v>For an undisclosed reason, an unidentified shooter (police believe it is the same one from Vandora Springs Elementary) shot three students with a soft pellet gun. The pellets did not penetrate the skin.</v>
      </c>
      <c r="AA2152" s="8" t="str">
        <f ca="1">IFERROR(__xludf.DUMMYFUNCTION("""COMPUTED_VALUE"""),"Indiscriminate Shooting")</f>
        <v>Indiscriminate Shooting</v>
      </c>
      <c r="AB2152" s="8"/>
      <c r="AC2152" s="8" t="str">
        <f ca="1">IFERROR(__xludf.DUMMYFUNCTION("""COMPUTED_VALUE"""),"Yes")</f>
        <v>Yes</v>
      </c>
      <c r="AD2152" s="8"/>
      <c r="AE2152" s="8" t="str">
        <f ca="1">IFERROR(__xludf.DUMMYFUNCTION("""COMPUTED_VALUE"""),"No")</f>
        <v>No</v>
      </c>
      <c r="AF2152" s="8"/>
      <c r="AG2152" s="8" t="str">
        <f ca="1">IFERROR(__xludf.DUMMYFUNCTION("""COMPUTED_VALUE"""),"No")</f>
        <v>No</v>
      </c>
      <c r="AH2152" s="8" t="str">
        <f ca="1">IFERROR(__xludf.DUMMYFUNCTION("""COMPUTED_VALUE"""),"No")</f>
        <v>No</v>
      </c>
      <c r="AI2152" s="8" t="str">
        <f ca="1">IFERROR(__xludf.DUMMYFUNCTION("""COMPUTED_VALUE"""),"No")</f>
        <v>No</v>
      </c>
      <c r="AJ2152" s="8" t="str">
        <f ca="1">IFERROR(__xludf.DUMMYFUNCTION("""COMPUTED_VALUE"""),"No")</f>
        <v>No</v>
      </c>
      <c r="AK2152" s="8" t="str">
        <f ca="1">IFERROR(__xludf.DUMMYFUNCTION("""COMPUTED_VALUE"""),"No")</f>
        <v>No</v>
      </c>
      <c r="AL2152" s="8" t="str">
        <f ca="1">IFERROR(__xludf.DUMMYFUNCTION("""COMPUTED_VALUE"""),"No")</f>
        <v>No</v>
      </c>
      <c r="AM2152" s="8"/>
      <c r="AN2152" s="8"/>
      <c r="AO2152" s="8" t="str">
        <f ca="1">IFERROR(__xludf.DUMMYFUNCTION("""COMPUTED_VALUE"""),"No")</f>
        <v>No</v>
      </c>
      <c r="AP2152" s="8"/>
      <c r="AQ2152" s="8" t="str">
        <f ca="1">IFERROR(__xludf.DUMMYFUNCTION("""COMPUTED_VALUE"""),"Unknown")</f>
        <v>Unknown</v>
      </c>
      <c r="AR2152" s="8" t="str">
        <f ca="1">IFERROR(__xludf.DUMMYFUNCTION("""COMPUTED_VALUE"""),"NA")</f>
        <v>NA</v>
      </c>
      <c r="AS2152" s="8" t="str">
        <f ca="1">IFERROR(__xludf.DUMMYFUNCTION("""COMPUTED_VALUE"""),"&lt;10")</f>
        <v>&lt;10</v>
      </c>
      <c r="AT2152" s="8"/>
      <c r="AU2152" s="8">
        <f ca="1">IFERROR(__xludf.DUMMYFUNCTION("""COMPUTED_VALUE"""),35.715954)</f>
        <v>35.715954000000004</v>
      </c>
      <c r="AV2152" s="8">
        <f ca="1">IFERROR(__xludf.DUMMYFUNCTION("""COMPUTED_VALUE"""),-78.612212)</f>
        <v>-78.612212</v>
      </c>
      <c r="AW2152" s="8"/>
      <c r="AX2152" s="8">
        <f ca="1">IFERROR(__xludf.DUMMYFUNCTION("""COMPUTED_VALUE"""),27611)</f>
        <v>27611</v>
      </c>
    </row>
    <row r="2153" spans="1:50" ht="45" x14ac:dyDescent="0.2">
      <c r="A2153" s="8" t="str">
        <f ca="1">IFERROR(__xludf.DUMMYFUNCTION("""COMPUTED_VALUE"""),"20070530NCVAG")</f>
        <v>20070530NCVAG</v>
      </c>
      <c r="B2153" s="8">
        <f ca="1">IFERROR(__xludf.DUMMYFUNCTION("""COMPUTED_VALUE"""),5)</f>
        <v>5</v>
      </c>
      <c r="C2153" s="8">
        <f ca="1">IFERROR(__xludf.DUMMYFUNCTION("""COMPUTED_VALUE"""),30)</f>
        <v>30</v>
      </c>
      <c r="D2153" s="8">
        <f ca="1">IFERROR(__xludf.DUMMYFUNCTION("""COMPUTED_VALUE"""),2007)</f>
        <v>2007</v>
      </c>
      <c r="E2153" s="9">
        <f ca="1">IFERROR(__xludf.DUMMYFUNCTION("""COMPUTED_VALUE"""),39232)</f>
        <v>39232</v>
      </c>
      <c r="F2153" s="8" t="str">
        <f ca="1">IFERROR(__xludf.DUMMYFUNCTION("""COMPUTED_VALUE"""),"Vandora Springs Elementary School")</f>
        <v>Vandora Springs Elementary School</v>
      </c>
      <c r="G2153" s="8">
        <f ca="1">IFERROR(__xludf.DUMMYFUNCTION("""COMPUTED_VALUE"""),0)</f>
        <v>0</v>
      </c>
      <c r="H2153" s="8">
        <f ca="1">IFERROR(__xludf.DUMMYFUNCTION("""COMPUTED_VALUE"""),1)</f>
        <v>1</v>
      </c>
      <c r="I2153" s="8">
        <f ca="1">IFERROR(__xludf.DUMMYFUNCTION("""COMPUTED_VALUE"""),1)</f>
        <v>1</v>
      </c>
      <c r="J2153" s="8">
        <f ca="1">IFERROR(__xludf.DUMMYFUNCTION("""COMPUTED_VALUE"""),0)</f>
        <v>0</v>
      </c>
      <c r="K2153" s="10" t="str">
        <f ca="1">IFERROR(__xludf.DUMMYFUNCTION("""COMPUTED_VALUE"""),"https://www.columbine-angels.com/School_Violence_2006-2007.htm")</f>
        <v>https://www.columbine-angels.com/School_Violence_2006-2007.htm</v>
      </c>
      <c r="L2153" s="8"/>
      <c r="M2153" s="8"/>
      <c r="N2153" s="8">
        <f ca="1">IFERROR(__xludf.DUMMYFUNCTION("""COMPUTED_VALUE"""),1)</f>
        <v>1</v>
      </c>
      <c r="O2153" s="8" t="str">
        <f ca="1">IFERROR(__xludf.DUMMYFUNCTION("""COMPUTED_VALUE"""),"Spring")</f>
        <v>Spring</v>
      </c>
      <c r="P2153" s="8" t="str">
        <f ca="1">IFERROR(__xludf.DUMMYFUNCTION("""COMPUTED_VALUE"""),"Garner")</f>
        <v>Garner</v>
      </c>
      <c r="Q2153" s="8" t="str">
        <f ca="1">IFERROR(__xludf.DUMMYFUNCTION("""COMPUTED_VALUE"""),"NC")</f>
        <v>NC</v>
      </c>
      <c r="R2153" s="8" t="str">
        <f ca="1">IFERROR(__xludf.DUMMYFUNCTION("""COMPUTED_VALUE"""),"Elementary")</f>
        <v>Elementary</v>
      </c>
      <c r="S2153" s="8" t="str">
        <f ca="1">IFERROR(__xludf.DUMMYFUNCTION("""COMPUTED_VALUE"""),"Outside on School Property")</f>
        <v>Outside on School Property</v>
      </c>
      <c r="T2153" s="8" t="str">
        <f ca="1">IFERROR(__xludf.DUMMYFUNCTION("""COMPUTED_VALUE"""),"Outside on School Property")</f>
        <v>Outside on School Property</v>
      </c>
      <c r="U2153" s="8" t="str">
        <f ca="1">IFERROR(__xludf.DUMMYFUNCTION("""COMPUTED_VALUE"""),"Yes")</f>
        <v>Yes</v>
      </c>
      <c r="V2153" s="8"/>
      <c r="W2153" s="8"/>
      <c r="X2153" s="8">
        <f ca="1">IFERROR(__xludf.DUMMYFUNCTION("""COMPUTED_VALUE"""),1)</f>
        <v>1</v>
      </c>
      <c r="Y2153" s="12" t="str">
        <f ca="1">IFERROR(__xludf.DUMMYFUNCTION("""COMPUTED_VALUE"""),"Parent shot by pellet gun")</f>
        <v>Parent shot by pellet gun</v>
      </c>
      <c r="Z2153" s="12" t="str">
        <f ca="1">IFERROR(__xludf.DUMMYFUNCTION("""COMPUTED_VALUE"""),"For an undisclosed reason, an unidentified shooter fired at a parent of a student with a soft pellet gun. The pellet did not penetrate the skin.")</f>
        <v>For an undisclosed reason, an unidentified shooter fired at a parent of a student with a soft pellet gun. The pellet did not penetrate the skin.</v>
      </c>
      <c r="AA2153" s="8" t="str">
        <f ca="1">IFERROR(__xludf.DUMMYFUNCTION("""COMPUTED_VALUE"""),"Indiscriminate Shooting")</f>
        <v>Indiscriminate Shooting</v>
      </c>
      <c r="AB2153" s="8"/>
      <c r="AC2153" s="8" t="str">
        <f ca="1">IFERROR(__xludf.DUMMYFUNCTION("""COMPUTED_VALUE"""),"Yes")</f>
        <v>Yes</v>
      </c>
      <c r="AD2153" s="8"/>
      <c r="AE2153" s="8" t="str">
        <f ca="1">IFERROR(__xludf.DUMMYFUNCTION("""COMPUTED_VALUE"""),"No")</f>
        <v>No</v>
      </c>
      <c r="AF2153" s="8"/>
      <c r="AG2153" s="8" t="str">
        <f ca="1">IFERROR(__xludf.DUMMYFUNCTION("""COMPUTED_VALUE"""),"No")</f>
        <v>No</v>
      </c>
      <c r="AH2153" s="8" t="str">
        <f ca="1">IFERROR(__xludf.DUMMYFUNCTION("""COMPUTED_VALUE"""),"No")</f>
        <v>No</v>
      </c>
      <c r="AI2153" s="8" t="str">
        <f ca="1">IFERROR(__xludf.DUMMYFUNCTION("""COMPUTED_VALUE"""),"No")</f>
        <v>No</v>
      </c>
      <c r="AJ2153" s="8" t="str">
        <f ca="1">IFERROR(__xludf.DUMMYFUNCTION("""COMPUTED_VALUE"""),"No")</f>
        <v>No</v>
      </c>
      <c r="AK2153" s="8" t="str">
        <f ca="1">IFERROR(__xludf.DUMMYFUNCTION("""COMPUTED_VALUE"""),"No")</f>
        <v>No</v>
      </c>
      <c r="AL2153" s="8" t="str">
        <f ca="1">IFERROR(__xludf.DUMMYFUNCTION("""COMPUTED_VALUE"""),"No")</f>
        <v>No</v>
      </c>
      <c r="AM2153" s="8"/>
      <c r="AN2153" s="8"/>
      <c r="AO2153" s="8" t="str">
        <f ca="1">IFERROR(__xludf.DUMMYFUNCTION("""COMPUTED_VALUE"""),"No")</f>
        <v>No</v>
      </c>
      <c r="AP2153" s="8"/>
      <c r="AQ2153" s="8" t="str">
        <f ca="1">IFERROR(__xludf.DUMMYFUNCTION("""COMPUTED_VALUE"""),"Unknown")</f>
        <v>Unknown</v>
      </c>
      <c r="AR2153" s="8" t="str">
        <f ca="1">IFERROR(__xludf.DUMMYFUNCTION("""COMPUTED_VALUE"""),"NA")</f>
        <v>NA</v>
      </c>
      <c r="AS2153" s="8" t="str">
        <f ca="1">IFERROR(__xludf.DUMMYFUNCTION("""COMPUTED_VALUE"""),"&lt;10")</f>
        <v>&lt;10</v>
      </c>
      <c r="AT2153" s="8"/>
      <c r="AU2153" s="8">
        <f ca="1">IFERROR(__xludf.DUMMYFUNCTION("""COMPUTED_VALUE"""),35.699019)</f>
        <v>35.699019</v>
      </c>
      <c r="AV2153" s="8">
        <f ca="1">IFERROR(__xludf.DUMMYFUNCTION("""COMPUTED_VALUE"""),-78.628903)</f>
        <v>-78.628902999999994</v>
      </c>
      <c r="AW2153" s="8"/>
      <c r="AX2153" s="8">
        <f ca="1">IFERROR(__xludf.DUMMYFUNCTION("""COMPUTED_VALUE"""),27529)</f>
        <v>27529</v>
      </c>
    </row>
    <row r="2154" spans="1:50" ht="90" x14ac:dyDescent="0.2">
      <c r="A2154" s="8" t="str">
        <f ca="1">IFERROR(__xludf.DUMMYFUNCTION("""COMPUTED_VALUE"""),"20070523RIOAC")</f>
        <v>20070523RIOAC</v>
      </c>
      <c r="B2154" s="8">
        <f ca="1">IFERROR(__xludf.DUMMYFUNCTION("""COMPUTED_VALUE"""),5)</f>
        <v>5</v>
      </c>
      <c r="C2154" s="8">
        <f ca="1">IFERROR(__xludf.DUMMYFUNCTION("""COMPUTED_VALUE"""),23)</f>
        <v>23</v>
      </c>
      <c r="D2154" s="8">
        <f ca="1">IFERROR(__xludf.DUMMYFUNCTION("""COMPUTED_VALUE"""),2007)</f>
        <v>2007</v>
      </c>
      <c r="E2154" s="9">
        <f ca="1">IFERROR(__xludf.DUMMYFUNCTION("""COMPUTED_VALUE"""),39225)</f>
        <v>39225</v>
      </c>
      <c r="F2154" s="8" t="str">
        <f ca="1">IFERROR(__xludf.DUMMYFUNCTION("""COMPUTED_VALUE"""),"Oak Haven Elementary School")</f>
        <v>Oak Haven Elementary School</v>
      </c>
      <c r="G2154" s="8">
        <f ca="1">IFERROR(__xludf.DUMMYFUNCTION("""COMPUTED_VALUE"""),0)</f>
        <v>0</v>
      </c>
      <c r="H2154" s="8">
        <f ca="1">IFERROR(__xludf.DUMMYFUNCTION("""COMPUTED_VALUE"""),1)</f>
        <v>1</v>
      </c>
      <c r="I2154" s="8">
        <f ca="1">IFERROR(__xludf.DUMMYFUNCTION("""COMPUTED_VALUE"""),1)</f>
        <v>1</v>
      </c>
      <c r="J2154" s="8">
        <f ca="1">IFERROR(__xludf.DUMMYFUNCTION("""COMPUTED_VALUE"""),0)</f>
        <v>0</v>
      </c>
      <c r="K2154" s="10" t="str">
        <f ca="1">IFERROR(__xludf.DUMMYFUNCTION("""COMPUTED_VALUE"""),"https://www.columbine-angels.com/School_Violence_2006-2007.htm")</f>
        <v>https://www.columbine-angels.com/School_Violence_2006-2007.htm</v>
      </c>
      <c r="L2154" s="8"/>
      <c r="M2154" s="8"/>
      <c r="N2154" s="8">
        <f ca="1">IFERROR(__xludf.DUMMYFUNCTION("""COMPUTED_VALUE"""),1)</f>
        <v>1</v>
      </c>
      <c r="O2154" s="8" t="str">
        <f ca="1">IFERROR(__xludf.DUMMYFUNCTION("""COMPUTED_VALUE"""),"Spring")</f>
        <v>Spring</v>
      </c>
      <c r="P2154" s="8" t="str">
        <f ca="1">IFERROR(__xludf.DUMMYFUNCTION("""COMPUTED_VALUE"""),"Coventry")</f>
        <v>Coventry</v>
      </c>
      <c r="Q2154" s="8" t="str">
        <f ca="1">IFERROR(__xludf.DUMMYFUNCTION("""COMPUTED_VALUE"""),"RI")</f>
        <v>RI</v>
      </c>
      <c r="R2154" s="8" t="str">
        <f ca="1">IFERROR(__xludf.DUMMYFUNCTION("""COMPUTED_VALUE"""),"Elementary")</f>
        <v>Elementary</v>
      </c>
      <c r="S2154" s="8" t="str">
        <f ca="1">IFERROR(__xludf.DUMMYFUNCTION("""COMPUTED_VALUE"""),"Playground")</f>
        <v>Playground</v>
      </c>
      <c r="T2154" s="8" t="str">
        <f ca="1">IFERROR(__xludf.DUMMYFUNCTION("""COMPUTED_VALUE"""),"Outside on School Property")</f>
        <v>Outside on School Property</v>
      </c>
      <c r="U2154" s="8" t="str">
        <f ca="1">IFERROR(__xludf.DUMMYFUNCTION("""COMPUTED_VALUE"""),"Yes")</f>
        <v>Yes</v>
      </c>
      <c r="V2154" s="8" t="str">
        <f ca="1">IFERROR(__xludf.DUMMYFUNCTION("""COMPUTED_VALUE"""),"After School")</f>
        <v>After School</v>
      </c>
      <c r="W2154" s="11">
        <f ca="1">IFERROR(__xludf.DUMMYFUNCTION("""COMPUTED_VALUE"""),0.703472222222222)</f>
        <v>0.70347222222222205</v>
      </c>
      <c r="X2154" s="8">
        <f ca="1">IFERROR(__xludf.DUMMYFUNCTION("""COMPUTED_VALUE"""),2)</f>
        <v>2</v>
      </c>
      <c r="Y2154" s="12" t="str">
        <f ca="1">IFERROR(__xludf.DUMMYFUNCTION("""COMPUTED_VALUE"""),"Shot bully with BB gun")</f>
        <v>Shot bully with BB gun</v>
      </c>
      <c r="Z2154" s="12" t="str">
        <f ca="1">IFERROR(__xludf.DUMMYFUNCTION("""COMPUTED_VALUE"""),"13YOM (victim) on the playground of Oak Haven Elementary School was approached by an 11YOM (shooter) carrying a BB gun.  The older boy was bullying the younger boy.  Our young instigator then began shooting BBs at the older boy.  He was struck in the left"&amp;" hand, stomach and chest.  Rescue workers treated the boy at the scene.")</f>
        <v>13YOM (victim) on the playground of Oak Haven Elementary School was approached by an 11YOM (shooter) carrying a BB gun.  The older boy was bullying the younger boy.  Our young instigator then began shooting BBs at the older boy.  He was struck in the left hand, stomach and chest.  Rescue workers treated the boy at the scene.</v>
      </c>
      <c r="AA2154" s="8" t="str">
        <f ca="1">IFERROR(__xludf.DUMMYFUNCTION("""COMPUTED_VALUE"""),"Bullying")</f>
        <v>Bullying</v>
      </c>
      <c r="AB2154" s="8"/>
      <c r="AC2154" s="8" t="str">
        <f ca="1">IFERROR(__xludf.DUMMYFUNCTION("""COMPUTED_VALUE"""),"Yes")</f>
        <v>Yes</v>
      </c>
      <c r="AD2154" s="8" t="str">
        <f ca="1">IFERROR(__xludf.DUMMYFUNCTION("""COMPUTED_VALUE"""),"Victims Targeted")</f>
        <v>Victims Targeted</v>
      </c>
      <c r="AE2154" s="8" t="str">
        <f ca="1">IFERROR(__xludf.DUMMYFUNCTION("""COMPUTED_VALUE"""),"No")</f>
        <v>No</v>
      </c>
      <c r="AF2154" s="8"/>
      <c r="AG2154" s="8" t="str">
        <f ca="1">IFERROR(__xludf.DUMMYFUNCTION("""COMPUTED_VALUE"""),"No")</f>
        <v>No</v>
      </c>
      <c r="AH2154" s="8" t="str">
        <f ca="1">IFERROR(__xludf.DUMMYFUNCTION("""COMPUTED_VALUE"""),"No")</f>
        <v>No</v>
      </c>
      <c r="AI2154" s="8" t="str">
        <f ca="1">IFERROR(__xludf.DUMMYFUNCTION("""COMPUTED_VALUE"""),"No")</f>
        <v>No</v>
      </c>
      <c r="AJ2154" s="8" t="str">
        <f ca="1">IFERROR(__xludf.DUMMYFUNCTION("""COMPUTED_VALUE"""),"Yes")</f>
        <v>Yes</v>
      </c>
      <c r="AK2154" s="8" t="str">
        <f ca="1">IFERROR(__xludf.DUMMYFUNCTION("""COMPUTED_VALUE"""),"No")</f>
        <v>No</v>
      </c>
      <c r="AL2154" s="8" t="str">
        <f ca="1">IFERROR(__xludf.DUMMYFUNCTION("""COMPUTED_VALUE"""),"No")</f>
        <v>No</v>
      </c>
      <c r="AM2154" s="8"/>
      <c r="AN2154" s="8"/>
      <c r="AO2154" s="8" t="str">
        <f ca="1">IFERROR(__xludf.DUMMYFUNCTION("""COMPUTED_VALUE"""),"No")</f>
        <v>No</v>
      </c>
      <c r="AP2154" s="8"/>
      <c r="AQ2154" s="8" t="str">
        <f ca="1">IFERROR(__xludf.DUMMYFUNCTION("""COMPUTED_VALUE"""),"Unknown")</f>
        <v>Unknown</v>
      </c>
      <c r="AR2154" s="8" t="str">
        <f ca="1">IFERROR(__xludf.DUMMYFUNCTION("""COMPUTED_VALUE"""),"NA")</f>
        <v>NA</v>
      </c>
      <c r="AS2154" s="8"/>
      <c r="AT2154" s="8"/>
      <c r="AU2154" s="8">
        <f ca="1">IFERROR(__xludf.DUMMYFUNCTION("""COMPUTED_VALUE"""),41.687066)</f>
        <v>41.687066000000002</v>
      </c>
      <c r="AV2154" s="8">
        <f ca="1">IFERROR(__xludf.DUMMYFUNCTION("""COMPUTED_VALUE"""),-71.543708)</f>
        <v>-71.543707999999995</v>
      </c>
      <c r="AW2154" s="8"/>
      <c r="AX2154" s="8">
        <f ca="1">IFERROR(__xludf.DUMMYFUNCTION("""COMPUTED_VALUE"""),2816)</f>
        <v>2816</v>
      </c>
    </row>
    <row r="2155" spans="1:50" ht="60" x14ac:dyDescent="0.2">
      <c r="A2155" s="8" t="str">
        <f ca="1">IFERROR(__xludf.DUMMYFUNCTION("""COMPUTED_VALUE"""),"20070515TXLIL")</f>
        <v>20070515TXLIL</v>
      </c>
      <c r="B2155" s="8">
        <f ca="1">IFERROR(__xludf.DUMMYFUNCTION("""COMPUTED_VALUE"""),5)</f>
        <v>5</v>
      </c>
      <c r="C2155" s="8">
        <f ca="1">IFERROR(__xludf.DUMMYFUNCTION("""COMPUTED_VALUE"""),15)</f>
        <v>15</v>
      </c>
      <c r="D2155" s="8">
        <f ca="1">IFERROR(__xludf.DUMMYFUNCTION("""COMPUTED_VALUE"""),2007)</f>
        <v>2007</v>
      </c>
      <c r="E2155" s="9">
        <f ca="1">IFERROR(__xludf.DUMMYFUNCTION("""COMPUTED_VALUE"""),39217)</f>
        <v>39217</v>
      </c>
      <c r="F2155" s="8" t="str">
        <f ca="1">IFERROR(__xludf.DUMMYFUNCTION("""COMPUTED_VALUE"""),"Liberty Memorial Middle School")</f>
        <v>Liberty Memorial Middle School</v>
      </c>
      <c r="G2155" s="8">
        <f ca="1">IFERROR(__xludf.DUMMYFUNCTION("""COMPUTED_VALUE"""),0)</f>
        <v>0</v>
      </c>
      <c r="H2155" s="8">
        <f ca="1">IFERROR(__xludf.DUMMYFUNCTION("""COMPUTED_VALUE"""),0)</f>
        <v>0</v>
      </c>
      <c r="I2155" s="8">
        <f ca="1">IFERROR(__xludf.DUMMYFUNCTION("""COMPUTED_VALUE"""),0)</f>
        <v>0</v>
      </c>
      <c r="J2155" s="8">
        <f ca="1">IFERROR(__xludf.DUMMYFUNCTION("""COMPUTED_VALUE"""),0)</f>
        <v>0</v>
      </c>
      <c r="K2155" s="10" t="str">
        <f ca="1">IFERROR(__xludf.DUMMYFUNCTION("""COMPUTED_VALUE"""),"https://www.brownsvilleherald.com/news/local/parents-remove-children-after-student-fires-gun-at-school/article_10ab2498-9eb9-5db8-97fd-9bed18dcdc95.html")</f>
        <v>https://www.brownsvilleherald.com/news/local/parents-remove-children-after-student-fires-gun-at-school/article_10ab2498-9eb9-5db8-97fd-9bed18dcdc95.html</v>
      </c>
      <c r="L2155" s="8"/>
      <c r="M2155" s="8"/>
      <c r="N2155" s="8">
        <f ca="1">IFERROR(__xludf.DUMMYFUNCTION("""COMPUTED_VALUE"""),2)</f>
        <v>2</v>
      </c>
      <c r="O2155" s="8" t="str">
        <f ca="1">IFERROR(__xludf.DUMMYFUNCTION("""COMPUTED_VALUE"""),"Spring")</f>
        <v>Spring</v>
      </c>
      <c r="P2155" s="8" t="str">
        <f ca="1">IFERROR(__xludf.DUMMYFUNCTION("""COMPUTED_VALUE"""),"Los Fresnos")</f>
        <v>Los Fresnos</v>
      </c>
      <c r="Q2155" s="8" t="str">
        <f ca="1">IFERROR(__xludf.DUMMYFUNCTION("""COMPUTED_VALUE"""),"TX")</f>
        <v>TX</v>
      </c>
      <c r="R2155" s="8" t="str">
        <f ca="1">IFERROR(__xludf.DUMMYFUNCTION("""COMPUTED_VALUE"""),"Middle")</f>
        <v>Middle</v>
      </c>
      <c r="S2155" s="8" t="str">
        <f ca="1">IFERROR(__xludf.DUMMYFUNCTION("""COMPUTED_VALUE"""),"Bathroom")</f>
        <v>Bathroom</v>
      </c>
      <c r="T2155" s="8" t="str">
        <f ca="1">IFERROR(__xludf.DUMMYFUNCTION("""COMPUTED_VALUE"""),"Inside School Building")</f>
        <v>Inside School Building</v>
      </c>
      <c r="U2155" s="8" t="str">
        <f ca="1">IFERROR(__xludf.DUMMYFUNCTION("""COMPUTED_VALUE"""),"Yes")</f>
        <v>Yes</v>
      </c>
      <c r="V2155" s="8" t="str">
        <f ca="1">IFERROR(__xludf.DUMMYFUNCTION("""COMPUTED_VALUE"""),"Morning Classes")</f>
        <v>Morning Classes</v>
      </c>
      <c r="W2155" s="11">
        <f ca="1">IFERROR(__xludf.DUMMYFUNCTION("""COMPUTED_VALUE"""),0.418055555555555)</f>
        <v>0.41805555555555501</v>
      </c>
      <c r="X2155" s="8">
        <f ca="1">IFERROR(__xludf.DUMMYFUNCTION("""COMPUTED_VALUE"""),240)</f>
        <v>240</v>
      </c>
      <c r="Y2155" s="12" t="str">
        <f ca="1">IFERROR(__xludf.DUMMYFUNCTION("""COMPUTED_VALUE"""),"Fired shot in bathroom, 4 hour standoff with police before surrendering")</f>
        <v>Fired shot in bathroom, 4 hour standoff with police before surrendering</v>
      </c>
      <c r="Z2155" s="12" t="str">
        <f ca="1">IFERROR(__xludf.DUMMYFUNCTION("""COMPUTED_VALUE"""),"15YOM student fired one shot in bathroom. Police were called and negotiated with the student for 4 hours until he surrendered.")</f>
        <v>15YOM student fired one shot in bathroom. Police were called and negotiated with the student for 4 hours until he surrendered.</v>
      </c>
      <c r="AA2155" s="8" t="str">
        <f ca="1">IFERROR(__xludf.DUMMYFUNCTION("""COMPUTED_VALUE"""),"Hostage/Standoff")</f>
        <v>Hostage/Standoff</v>
      </c>
      <c r="AB2155" s="8"/>
      <c r="AC2155" s="8" t="str">
        <f ca="1">IFERROR(__xludf.DUMMYFUNCTION("""COMPUTED_VALUE"""),"Yes")</f>
        <v>Yes</v>
      </c>
      <c r="AD2155" s="8"/>
      <c r="AE2155" s="8" t="str">
        <f ca="1">IFERROR(__xludf.DUMMYFUNCTION("""COMPUTED_VALUE"""),"No")</f>
        <v>No</v>
      </c>
      <c r="AF2155" s="8"/>
      <c r="AG2155" s="8" t="str">
        <f ca="1">IFERROR(__xludf.DUMMYFUNCTION("""COMPUTED_VALUE"""),"No")</f>
        <v>No</v>
      </c>
      <c r="AH2155" s="8" t="str">
        <f ca="1">IFERROR(__xludf.DUMMYFUNCTION("""COMPUTED_VALUE"""),"Yes")</f>
        <v>Yes</v>
      </c>
      <c r="AI2155" s="8" t="str">
        <f ca="1">IFERROR(__xludf.DUMMYFUNCTION("""COMPUTED_VALUE"""),"No")</f>
        <v>No</v>
      </c>
      <c r="AJ2155" s="8"/>
      <c r="AK2155" s="8" t="str">
        <f ca="1">IFERROR(__xludf.DUMMYFUNCTION("""COMPUTED_VALUE"""),"No")</f>
        <v>No</v>
      </c>
      <c r="AL2155" s="8" t="str">
        <f ca="1">IFERROR(__xludf.DUMMYFUNCTION("""COMPUTED_VALUE"""),"No")</f>
        <v>No</v>
      </c>
      <c r="AM2155" s="8"/>
      <c r="AN2155" s="8"/>
      <c r="AO2155" s="8" t="str">
        <f ca="1">IFERROR(__xludf.DUMMYFUNCTION("""COMPUTED_VALUE"""),"No")</f>
        <v>No</v>
      </c>
      <c r="AP2155" s="8" t="str">
        <f ca="1">IFERROR(__xludf.DUMMYFUNCTION("""COMPUTED_VALUE"""),"No")</f>
        <v>No</v>
      </c>
      <c r="AQ2155" s="8" t="str">
        <f ca="1">IFERROR(__xludf.DUMMYFUNCTION("""COMPUTED_VALUE"""),"Unknown")</f>
        <v>Unknown</v>
      </c>
      <c r="AR2155" s="8" t="str">
        <f ca="1">IFERROR(__xludf.DUMMYFUNCTION("""COMPUTED_VALUE"""),"NA")</f>
        <v>NA</v>
      </c>
      <c r="AS2155" s="8">
        <f ca="1">IFERROR(__xludf.DUMMYFUNCTION("""COMPUTED_VALUE"""),1)</f>
        <v>1</v>
      </c>
      <c r="AT2155" s="8"/>
      <c r="AU2155" s="8">
        <f ca="1">IFERROR(__xludf.DUMMYFUNCTION("""COMPUTED_VALUE"""),26.112471)</f>
        <v>26.112470999999999</v>
      </c>
      <c r="AV2155" s="8">
        <f ca="1">IFERROR(__xludf.DUMMYFUNCTION("""COMPUTED_VALUE"""),-97.514833)</f>
        <v>-97.514832999999996</v>
      </c>
      <c r="AW2155" s="8"/>
      <c r="AX2155" s="8">
        <f ca="1">IFERROR(__xludf.DUMMYFUNCTION("""COMPUTED_VALUE"""),78586)</f>
        <v>78586</v>
      </c>
    </row>
    <row r="2156" spans="1:50" ht="75" x14ac:dyDescent="0.2">
      <c r="A2156" s="8" t="str">
        <f ca="1">IFERROR(__xludf.DUMMYFUNCTION("""COMPUTED_VALUE"""),"20070512TXWEM")</f>
        <v>20070512TXWEM</v>
      </c>
      <c r="B2156" s="8">
        <f ca="1">IFERROR(__xludf.DUMMYFUNCTION("""COMPUTED_VALUE"""),5)</f>
        <v>5</v>
      </c>
      <c r="C2156" s="8">
        <f ca="1">IFERROR(__xludf.DUMMYFUNCTION("""COMPUTED_VALUE"""),12)</f>
        <v>12</v>
      </c>
      <c r="D2156" s="8">
        <f ca="1">IFERROR(__xludf.DUMMYFUNCTION("""COMPUTED_VALUE"""),2007)</f>
        <v>2007</v>
      </c>
      <c r="E2156" s="9">
        <f ca="1">IFERROR(__xludf.DUMMYFUNCTION("""COMPUTED_VALUE"""),39214)</f>
        <v>39214</v>
      </c>
      <c r="F2156" s="8" t="str">
        <f ca="1">IFERROR(__xludf.DUMMYFUNCTION("""COMPUTED_VALUE"""),"West Mesquite High School")</f>
        <v>West Mesquite High School</v>
      </c>
      <c r="G2156" s="8">
        <f ca="1">IFERROR(__xludf.DUMMYFUNCTION("""COMPUTED_VALUE"""),0)</f>
        <v>0</v>
      </c>
      <c r="H2156" s="8">
        <f ca="1">IFERROR(__xludf.DUMMYFUNCTION("""COMPUTED_VALUE"""),1)</f>
        <v>1</v>
      </c>
      <c r="I2156" s="8">
        <f ca="1">IFERROR(__xludf.DUMMYFUNCTION("""COMPUTED_VALUE"""),1)</f>
        <v>1</v>
      </c>
      <c r="J2156" s="8">
        <f ca="1">IFERROR(__xludf.DUMMYFUNCTION("""COMPUTED_VALUE"""),0)</f>
        <v>0</v>
      </c>
      <c r="K2156" s="10" t="str">
        <f ca="1">IFERROR(__xludf.DUMMYFUNCTION("""COMPUTED_VALUE"""),"http://starlocalmedia.com/mesquitenews/news/arrests-made-in-west-mesquite-shooting/article_c1de2b11-1f0a-5ac7-8ea4-807789bd19bc.html")</f>
        <v>http://starlocalmedia.com/mesquitenews/news/arrests-made-in-west-mesquite-shooting/article_c1de2b11-1f0a-5ac7-8ea4-807789bd19bc.html</v>
      </c>
      <c r="L2156" s="8"/>
      <c r="M2156" s="8"/>
      <c r="N2156" s="8">
        <f ca="1">IFERROR(__xludf.DUMMYFUNCTION("""COMPUTED_VALUE"""),2)</f>
        <v>2</v>
      </c>
      <c r="O2156" s="8" t="str">
        <f ca="1">IFERROR(__xludf.DUMMYFUNCTION("""COMPUTED_VALUE"""),"Spring")</f>
        <v>Spring</v>
      </c>
      <c r="P2156" s="8" t="str">
        <f ca="1">IFERROR(__xludf.DUMMYFUNCTION("""COMPUTED_VALUE"""),"Mesquite")</f>
        <v>Mesquite</v>
      </c>
      <c r="Q2156" s="8" t="str">
        <f ca="1">IFERROR(__xludf.DUMMYFUNCTION("""COMPUTED_VALUE"""),"TX")</f>
        <v>TX</v>
      </c>
      <c r="R2156" s="8" t="str">
        <f ca="1">IFERROR(__xludf.DUMMYFUNCTION("""COMPUTED_VALUE"""),"High")</f>
        <v>High</v>
      </c>
      <c r="S2156" s="8" t="str">
        <f ca="1">IFERROR(__xludf.DUMMYFUNCTION("""COMPUTED_VALUE"""),"Parking Lot")</f>
        <v>Parking Lot</v>
      </c>
      <c r="T2156" s="8" t="str">
        <f ca="1">IFERROR(__xludf.DUMMYFUNCTION("""COMPUTED_VALUE"""),"Outside on School Property")</f>
        <v>Outside on School Property</v>
      </c>
      <c r="U2156" s="8" t="str">
        <f ca="1">IFERROR(__xludf.DUMMYFUNCTION("""COMPUTED_VALUE"""),"No")</f>
        <v>No</v>
      </c>
      <c r="V2156" s="8" t="str">
        <f ca="1">IFERROR(__xludf.DUMMYFUNCTION("""COMPUTED_VALUE"""),"School Event")</f>
        <v>School Event</v>
      </c>
      <c r="W2156" s="8"/>
      <c r="X2156" s="8">
        <f ca="1">IFERROR(__xludf.DUMMYFUNCTION("""COMPUTED_VALUE"""),1)</f>
        <v>1</v>
      </c>
      <c r="Y2156" s="12" t="str">
        <f ca="1">IFERROR(__xludf.DUMMYFUNCTION("""COMPUTED_VALUE"""),"Shots fired during argument in parking lot")</f>
        <v>Shots fired during argument in parking lot</v>
      </c>
      <c r="Z2156" s="12" t="str">
        <f ca="1">IFERROR(__xludf.DUMMYFUNCTION("""COMPUTED_VALUE"""),"18YOM student shot in the parking lot of the school during an argument with a group of students. Unclear if the victim was targeted. Police assigned to an event inside the school were not notified of the shooting until 45 minutes after if occured.")</f>
        <v>18YOM student shot in the parking lot of the school during an argument with a group of students. Unclear if the victim was targeted. Police assigned to an event inside the school were not notified of the shooting until 45 minutes after if occured.</v>
      </c>
      <c r="AA2156" s="8" t="str">
        <f ca="1">IFERROR(__xludf.DUMMYFUNCTION("""COMPUTED_VALUE"""),"Escalation of Dispute")</f>
        <v>Escalation of Dispute</v>
      </c>
      <c r="AB2156" s="8"/>
      <c r="AC2156" s="8" t="str">
        <f ca="1">IFERROR(__xludf.DUMMYFUNCTION("""COMPUTED_VALUE"""),"Yes")</f>
        <v>Yes</v>
      </c>
      <c r="AD2156" s="8"/>
      <c r="AE2156" s="8" t="str">
        <f ca="1">IFERROR(__xludf.DUMMYFUNCTION("""COMPUTED_VALUE"""),"Yes")</f>
        <v>Yes</v>
      </c>
      <c r="AF2156" s="8" t="str">
        <f ca="1">IFERROR(__xludf.DUMMYFUNCTION("""COMPUTED_VALUE"""),"Three charged in shooting")</f>
        <v>Three charged in shooting</v>
      </c>
      <c r="AG2156" s="8" t="str">
        <f ca="1">IFERROR(__xludf.DUMMYFUNCTION("""COMPUTED_VALUE"""),"No")</f>
        <v>No</v>
      </c>
      <c r="AH2156" s="8" t="str">
        <f ca="1">IFERROR(__xludf.DUMMYFUNCTION("""COMPUTED_VALUE"""),"No")</f>
        <v>No</v>
      </c>
      <c r="AI2156" s="8" t="str">
        <f ca="1">IFERROR(__xludf.DUMMYFUNCTION("""COMPUTED_VALUE"""),"No")</f>
        <v>No</v>
      </c>
      <c r="AJ2156" s="8" t="str">
        <f ca="1">IFERROR(__xludf.DUMMYFUNCTION("""COMPUTED_VALUE"""),"No")</f>
        <v>No</v>
      </c>
      <c r="AK2156" s="8" t="str">
        <f ca="1">IFERROR(__xludf.DUMMYFUNCTION("""COMPUTED_VALUE"""),"No")</f>
        <v>No</v>
      </c>
      <c r="AL2156" s="8" t="str">
        <f ca="1">IFERROR(__xludf.DUMMYFUNCTION("""COMPUTED_VALUE"""),"No")</f>
        <v>No</v>
      </c>
      <c r="AM2156" s="8"/>
      <c r="AN2156" s="8"/>
      <c r="AO2156" s="8" t="str">
        <f ca="1">IFERROR(__xludf.DUMMYFUNCTION("""COMPUTED_VALUE"""),"No")</f>
        <v>No</v>
      </c>
      <c r="AP2156" s="8"/>
      <c r="AQ2156" s="8" t="str">
        <f ca="1">IFERROR(__xludf.DUMMYFUNCTION("""COMPUTED_VALUE"""),"Unknown")</f>
        <v>Unknown</v>
      </c>
      <c r="AR2156" s="8" t="str">
        <f ca="1">IFERROR(__xludf.DUMMYFUNCTION("""COMPUTED_VALUE"""),"NA")</f>
        <v>NA</v>
      </c>
      <c r="AS2156" s="8">
        <f ca="1">IFERROR(__xludf.DUMMYFUNCTION("""COMPUTED_VALUE"""),1)</f>
        <v>1</v>
      </c>
      <c r="AT2156" s="8"/>
      <c r="AU2156" s="8">
        <f ca="1">IFERROR(__xludf.DUMMYFUNCTION("""COMPUTED_VALUE"""),32.761272)</f>
        <v>32.761271999999998</v>
      </c>
      <c r="AV2156" s="8">
        <f ca="1">IFERROR(__xludf.DUMMYFUNCTION("""COMPUTED_VALUE"""),-96.635565)</f>
        <v>-96.635565</v>
      </c>
      <c r="AW2156" s="8"/>
      <c r="AX2156" s="8">
        <f ca="1">IFERROR(__xludf.DUMMYFUNCTION("""COMPUTED_VALUE"""),75149)</f>
        <v>75149</v>
      </c>
    </row>
    <row r="2157" spans="1:50" ht="45" x14ac:dyDescent="0.2">
      <c r="A2157" s="8" t="str">
        <f ca="1">IFERROR(__xludf.DUMMYFUNCTION("""COMPUTED_VALUE"""),"20070510MIHED")</f>
        <v>20070510MIHED</v>
      </c>
      <c r="B2157" s="8">
        <f ca="1">IFERROR(__xludf.DUMMYFUNCTION("""COMPUTED_VALUE"""),5)</f>
        <v>5</v>
      </c>
      <c r="C2157" s="8">
        <f ca="1">IFERROR(__xludf.DUMMYFUNCTION("""COMPUTED_VALUE"""),10)</f>
        <v>10</v>
      </c>
      <c r="D2157" s="8">
        <f ca="1">IFERROR(__xludf.DUMMYFUNCTION("""COMPUTED_VALUE"""),2007)</f>
        <v>2007</v>
      </c>
      <c r="E2157" s="9">
        <f ca="1">IFERROR(__xludf.DUMMYFUNCTION("""COMPUTED_VALUE"""),39212)</f>
        <v>39212</v>
      </c>
      <c r="F2157" s="8" t="str">
        <f ca="1">IFERROR(__xludf.DUMMYFUNCTION("""COMPUTED_VALUE"""),"Henry Ford High School")</f>
        <v>Henry Ford High School</v>
      </c>
      <c r="G2157" s="8">
        <f ca="1">IFERROR(__xludf.DUMMYFUNCTION("""COMPUTED_VALUE"""),0)</f>
        <v>0</v>
      </c>
      <c r="H2157" s="8">
        <f ca="1">IFERROR(__xludf.DUMMYFUNCTION("""COMPUTED_VALUE"""),2)</f>
        <v>2</v>
      </c>
      <c r="I2157" s="8">
        <f ca="1">IFERROR(__xludf.DUMMYFUNCTION("""COMPUTED_VALUE"""),2)</f>
        <v>2</v>
      </c>
      <c r="J2157" s="8">
        <f ca="1">IFERROR(__xludf.DUMMYFUNCTION("""COMPUTED_VALUE"""),0)</f>
        <v>0</v>
      </c>
      <c r="K2157" s="10" t="str">
        <f ca="1">IFERROR(__xludf.DUMMYFUNCTION("""COMPUTED_VALUE"""),"https://www.columbine-angels.com/School_Violence_2006-2007.htm")</f>
        <v>https://www.columbine-angels.com/School_Violence_2006-2007.htm</v>
      </c>
      <c r="L2157" s="8"/>
      <c r="M2157" s="8"/>
      <c r="N2157" s="8">
        <f ca="1">IFERROR(__xludf.DUMMYFUNCTION("""COMPUTED_VALUE"""),1)</f>
        <v>1</v>
      </c>
      <c r="O2157" s="8" t="str">
        <f ca="1">IFERROR(__xludf.DUMMYFUNCTION("""COMPUTED_VALUE"""),"Spring")</f>
        <v>Spring</v>
      </c>
      <c r="P2157" s="8" t="str">
        <f ca="1">IFERROR(__xludf.DUMMYFUNCTION("""COMPUTED_VALUE"""),"Detroit")</f>
        <v>Detroit</v>
      </c>
      <c r="Q2157" s="8" t="str">
        <f ca="1">IFERROR(__xludf.DUMMYFUNCTION("""COMPUTED_VALUE"""),"MI")</f>
        <v>MI</v>
      </c>
      <c r="R2157" s="8" t="str">
        <f ca="1">IFERROR(__xludf.DUMMYFUNCTION("""COMPUTED_VALUE"""),"High")</f>
        <v>High</v>
      </c>
      <c r="S2157" s="8" t="str">
        <f ca="1">IFERROR(__xludf.DUMMYFUNCTION("""COMPUTED_VALUE"""),"Beside Building")</f>
        <v>Beside Building</v>
      </c>
      <c r="T2157" s="8" t="str">
        <f ca="1">IFERROR(__xludf.DUMMYFUNCTION("""COMPUTED_VALUE"""),"Outside on School Property")</f>
        <v>Outside on School Property</v>
      </c>
      <c r="U2157" s="8" t="str">
        <f ca="1">IFERROR(__xludf.DUMMYFUNCTION("""COMPUTED_VALUE"""),"Yes")</f>
        <v>Yes</v>
      </c>
      <c r="V2157" s="8"/>
      <c r="W2157" s="8"/>
      <c r="X2157" s="8">
        <f ca="1">IFERROR(__xludf.DUMMYFUNCTION("""COMPUTED_VALUE"""),1)</f>
        <v>1</v>
      </c>
      <c r="Y2157" s="12" t="str">
        <f ca="1">IFERROR(__xludf.DUMMYFUNCTION("""COMPUTED_VALUE"""),"2 students shot during gang fight")</f>
        <v>2 students shot during gang fight</v>
      </c>
      <c r="Z2157" s="12" t="str">
        <f ca="1">IFERROR(__xludf.DUMMYFUNCTION("""COMPUTED_VALUE"""),"Two 17YOM students were shot in what school officials suspect was a gang clash outside of Henry Ford High on Detroit's northwest side today.")</f>
        <v>Two 17YOM students were shot in what school officials suspect was a gang clash outside of Henry Ford High on Detroit's northwest side today.</v>
      </c>
      <c r="AA2157" s="8" t="str">
        <f ca="1">IFERROR(__xludf.DUMMYFUNCTION("""COMPUTED_VALUE"""),"Escalation of Dispute")</f>
        <v>Escalation of Dispute</v>
      </c>
      <c r="AB2157" s="8"/>
      <c r="AC2157" s="8" t="str">
        <f ca="1">IFERROR(__xludf.DUMMYFUNCTION("""COMPUTED_VALUE"""),"Yes")</f>
        <v>Yes</v>
      </c>
      <c r="AD2157" s="8"/>
      <c r="AE2157" s="8"/>
      <c r="AF2157" s="8"/>
      <c r="AG2157" s="8" t="str">
        <f ca="1">IFERROR(__xludf.DUMMYFUNCTION("""COMPUTED_VALUE"""),"No")</f>
        <v>No</v>
      </c>
      <c r="AH2157" s="8" t="str">
        <f ca="1">IFERROR(__xludf.DUMMYFUNCTION("""COMPUTED_VALUE"""),"No")</f>
        <v>No</v>
      </c>
      <c r="AI2157" s="8" t="str">
        <f ca="1">IFERROR(__xludf.DUMMYFUNCTION("""COMPUTED_VALUE"""),"No")</f>
        <v>No</v>
      </c>
      <c r="AJ2157" s="8" t="str">
        <f ca="1">IFERROR(__xludf.DUMMYFUNCTION("""COMPUTED_VALUE"""),"No")</f>
        <v>No</v>
      </c>
      <c r="AK2157" s="8" t="str">
        <f ca="1">IFERROR(__xludf.DUMMYFUNCTION("""COMPUTED_VALUE"""),"No")</f>
        <v>No</v>
      </c>
      <c r="AL2157" s="8" t="str">
        <f ca="1">IFERROR(__xludf.DUMMYFUNCTION("""COMPUTED_VALUE"""),"Yes")</f>
        <v>Yes</v>
      </c>
      <c r="AM2157" s="8"/>
      <c r="AN2157" s="8"/>
      <c r="AO2157" s="8" t="str">
        <f ca="1">IFERROR(__xludf.DUMMYFUNCTION("""COMPUTED_VALUE"""),"No")</f>
        <v>No</v>
      </c>
      <c r="AP2157" s="8"/>
      <c r="AQ2157" s="8" t="str">
        <f ca="1">IFERROR(__xludf.DUMMYFUNCTION("""COMPUTED_VALUE"""),"Unknown")</f>
        <v>Unknown</v>
      </c>
      <c r="AR2157" s="8" t="str">
        <f ca="1">IFERROR(__xludf.DUMMYFUNCTION("""COMPUTED_VALUE"""),"NA")</f>
        <v>NA</v>
      </c>
      <c r="AS2157" s="8"/>
      <c r="AT2157" s="8"/>
      <c r="AU2157" s="8">
        <f ca="1">IFERROR(__xludf.DUMMYFUNCTION("""COMPUTED_VALUE"""),42.439407)</f>
        <v>42.439407000000003</v>
      </c>
      <c r="AV2157" s="8">
        <f ca="1">IFERROR(__xludf.DUMMYFUNCTION("""COMPUTED_VALUE"""),-83.237915)</f>
        <v>-83.237915000000001</v>
      </c>
      <c r="AW2157" s="8"/>
      <c r="AX2157" s="8">
        <f ca="1">IFERROR(__xludf.DUMMYFUNCTION("""COMPUTED_VALUE"""),48219)</f>
        <v>48219</v>
      </c>
    </row>
    <row r="2158" spans="1:50" ht="45" x14ac:dyDescent="0.2">
      <c r="A2158" s="8" t="str">
        <f ca="1">IFERROR(__xludf.DUMMYFUNCTION("""COMPUTED_VALUE"""),"20070504TXTIE")</f>
        <v>20070504TXTIE</v>
      </c>
      <c r="B2158" s="8">
        <f ca="1">IFERROR(__xludf.DUMMYFUNCTION("""COMPUTED_VALUE"""),5)</f>
        <v>5</v>
      </c>
      <c r="C2158" s="8">
        <f ca="1">IFERROR(__xludf.DUMMYFUNCTION("""COMPUTED_VALUE"""),4)</f>
        <v>4</v>
      </c>
      <c r="D2158" s="8">
        <f ca="1">IFERROR(__xludf.DUMMYFUNCTION("""COMPUTED_VALUE"""),2007)</f>
        <v>2007</v>
      </c>
      <c r="E2158" s="9">
        <f ca="1">IFERROR(__xludf.DUMMYFUNCTION("""COMPUTED_VALUE"""),39206)</f>
        <v>39206</v>
      </c>
      <c r="F2158" s="8" t="str">
        <f ca="1">IFERROR(__xludf.DUMMYFUNCTION("""COMPUTED_VALUE"""),"Tidehaven High School")</f>
        <v>Tidehaven High School</v>
      </c>
      <c r="G2158" s="8">
        <f ca="1">IFERROR(__xludf.DUMMYFUNCTION("""COMPUTED_VALUE"""),0)</f>
        <v>0</v>
      </c>
      <c r="H2158" s="8">
        <f ca="1">IFERROR(__xludf.DUMMYFUNCTION("""COMPUTED_VALUE"""),0)</f>
        <v>0</v>
      </c>
      <c r="I2158" s="8">
        <f ca="1">IFERROR(__xludf.DUMMYFUNCTION("""COMPUTED_VALUE"""),0)</f>
        <v>0</v>
      </c>
      <c r="J2158" s="8">
        <f ca="1">IFERROR(__xludf.DUMMYFUNCTION("""COMPUTED_VALUE"""),1)</f>
        <v>1</v>
      </c>
      <c r="K2158" s="10" t="str">
        <f ca="1">IFERROR(__xludf.DUMMYFUNCTION("""COMPUTED_VALUE"""),"https://www.highbeam.com/doc/1G1-163016802.html")</f>
        <v>https://www.highbeam.com/doc/1G1-163016802.html</v>
      </c>
      <c r="L2158" s="8"/>
      <c r="M2158" s="8"/>
      <c r="N2158" s="8">
        <f ca="1">IFERROR(__xludf.DUMMYFUNCTION("""COMPUTED_VALUE"""),2)</f>
        <v>2</v>
      </c>
      <c r="O2158" s="8" t="str">
        <f ca="1">IFERROR(__xludf.DUMMYFUNCTION("""COMPUTED_VALUE"""),"Spring")</f>
        <v>Spring</v>
      </c>
      <c r="P2158" s="8" t="str">
        <f ca="1">IFERROR(__xludf.DUMMYFUNCTION("""COMPUTED_VALUE"""),"El Maton")</f>
        <v>El Maton</v>
      </c>
      <c r="Q2158" s="8" t="str">
        <f ca="1">IFERROR(__xludf.DUMMYFUNCTION("""COMPUTED_VALUE"""),"TX")</f>
        <v>TX</v>
      </c>
      <c r="R2158" s="8" t="str">
        <f ca="1">IFERROR(__xludf.DUMMYFUNCTION("""COMPUTED_VALUE"""),"High")</f>
        <v>High</v>
      </c>
      <c r="S2158" s="8" t="str">
        <f ca="1">IFERROR(__xludf.DUMMYFUNCTION("""COMPUTED_VALUE"""),"Bathroom")</f>
        <v>Bathroom</v>
      </c>
      <c r="T2158" s="8" t="str">
        <f ca="1">IFERROR(__xludf.DUMMYFUNCTION("""COMPUTED_VALUE"""),"Inside School Building")</f>
        <v>Inside School Building</v>
      </c>
      <c r="U2158" s="8" t="str">
        <f ca="1">IFERROR(__xludf.DUMMYFUNCTION("""COMPUTED_VALUE"""),"Yes")</f>
        <v>Yes</v>
      </c>
      <c r="V2158" s="8" t="str">
        <f ca="1">IFERROR(__xludf.DUMMYFUNCTION("""COMPUTED_VALUE"""),"Morning Classes")</f>
        <v>Morning Classes</v>
      </c>
      <c r="W2158" s="11">
        <f ca="1">IFERROR(__xludf.DUMMYFUNCTION("""COMPUTED_VALUE"""),0.35625)</f>
        <v>0.35625000000000001</v>
      </c>
      <c r="X2158" s="8">
        <f ca="1">IFERROR(__xludf.DUMMYFUNCTION("""COMPUTED_VALUE"""),1)</f>
        <v>1</v>
      </c>
      <c r="Y2158" s="12" t="str">
        <f ca="1">IFERROR(__xludf.DUMMYFUNCTION("""COMPUTED_VALUE"""),"Female student shot herself in the bathroom")</f>
        <v>Female student shot herself in the bathroom</v>
      </c>
      <c r="Z2158" s="12" t="str">
        <f ca="1">IFERROR(__xludf.DUMMYFUNCTION("""COMPUTED_VALUE"""),"15YOF student shot herself in the school bathroom.")</f>
        <v>15YOF student shot herself in the school bathroom.</v>
      </c>
      <c r="AA2158" s="8" t="str">
        <f ca="1">IFERROR(__xludf.DUMMYFUNCTION("""COMPUTED_VALUE"""),"Suicide/Attempted")</f>
        <v>Suicide/Attempted</v>
      </c>
      <c r="AB2158" s="8"/>
      <c r="AC2158" s="8" t="str">
        <f ca="1">IFERROR(__xludf.DUMMYFUNCTION("""COMPUTED_VALUE"""),"Yes")</f>
        <v>Yes</v>
      </c>
      <c r="AD2158" s="8" t="str">
        <f ca="1">IFERROR(__xludf.DUMMYFUNCTION("""COMPUTED_VALUE"""),"Victims Targeted")</f>
        <v>Victims Targeted</v>
      </c>
      <c r="AE2158" s="8" t="str">
        <f ca="1">IFERROR(__xludf.DUMMYFUNCTION("""COMPUTED_VALUE"""),"No")</f>
        <v>No</v>
      </c>
      <c r="AF2158" s="8"/>
      <c r="AG2158" s="8" t="str">
        <f ca="1">IFERROR(__xludf.DUMMYFUNCTION("""COMPUTED_VALUE"""),"No")</f>
        <v>No</v>
      </c>
      <c r="AH2158" s="8" t="str">
        <f ca="1">IFERROR(__xludf.DUMMYFUNCTION("""COMPUTED_VALUE"""),"No")</f>
        <v>No</v>
      </c>
      <c r="AI2158" s="8" t="str">
        <f ca="1">IFERROR(__xludf.DUMMYFUNCTION("""COMPUTED_VALUE"""),"No")</f>
        <v>No</v>
      </c>
      <c r="AJ2158" s="8" t="str">
        <f ca="1">IFERROR(__xludf.DUMMYFUNCTION("""COMPUTED_VALUE"""),"No")</f>
        <v>No</v>
      </c>
      <c r="AK2158" s="8" t="str">
        <f ca="1">IFERROR(__xludf.DUMMYFUNCTION("""COMPUTED_VALUE"""),"No")</f>
        <v>No</v>
      </c>
      <c r="AL2158" s="8" t="str">
        <f ca="1">IFERROR(__xludf.DUMMYFUNCTION("""COMPUTED_VALUE"""),"No")</f>
        <v>No</v>
      </c>
      <c r="AM2158" s="8"/>
      <c r="AN2158" s="8"/>
      <c r="AO2158" s="8" t="str">
        <f ca="1">IFERROR(__xludf.DUMMYFUNCTION("""COMPUTED_VALUE"""),"No")</f>
        <v>No</v>
      </c>
      <c r="AP2158" s="8"/>
      <c r="AQ2158" s="8" t="str">
        <f ca="1">IFERROR(__xludf.DUMMYFUNCTION("""COMPUTED_VALUE"""),"Unknown")</f>
        <v>Unknown</v>
      </c>
      <c r="AR2158" s="8" t="str">
        <f ca="1">IFERROR(__xludf.DUMMYFUNCTION("""COMPUTED_VALUE"""),"NA")</f>
        <v>NA</v>
      </c>
      <c r="AS2158" s="8">
        <f ca="1">IFERROR(__xludf.DUMMYFUNCTION("""COMPUTED_VALUE"""),1)</f>
        <v>1</v>
      </c>
      <c r="AT2158" s="8"/>
      <c r="AU2158" s="8">
        <f ca="1">IFERROR(__xludf.DUMMYFUNCTION("""COMPUTED_VALUE"""),28.898479)</f>
        <v>28.898478999999998</v>
      </c>
      <c r="AV2158" s="8">
        <f ca="1">IFERROR(__xludf.DUMMYFUNCTION("""COMPUTED_VALUE"""),-96.140582)</f>
        <v>-96.140581999999995</v>
      </c>
      <c r="AW2158" s="8"/>
      <c r="AX2158" s="8">
        <f ca="1">IFERROR(__xludf.DUMMYFUNCTION("""COMPUTED_VALUE"""),77456)</f>
        <v>77456</v>
      </c>
    </row>
    <row r="2159" spans="1:50" ht="90" x14ac:dyDescent="0.2">
      <c r="A2159" s="8" t="str">
        <f ca="1">IFERROR(__xludf.DUMMYFUNCTION("""COMPUTED_VALUE"""),"20070503OHGED")</f>
        <v>20070503OHGED</v>
      </c>
      <c r="B2159" s="8">
        <f ca="1">IFERROR(__xludf.DUMMYFUNCTION("""COMPUTED_VALUE"""),5)</f>
        <v>5</v>
      </c>
      <c r="C2159" s="8">
        <f ca="1">IFERROR(__xludf.DUMMYFUNCTION("""COMPUTED_VALUE"""),3)</f>
        <v>3</v>
      </c>
      <c r="D2159" s="8">
        <f ca="1">IFERROR(__xludf.DUMMYFUNCTION("""COMPUTED_VALUE"""),2007)</f>
        <v>2007</v>
      </c>
      <c r="E2159" s="9">
        <f ca="1">IFERROR(__xludf.DUMMYFUNCTION("""COMPUTED_VALUE"""),39205)</f>
        <v>39205</v>
      </c>
      <c r="F2159" s="8" t="str">
        <f ca="1">IFERROR(__xludf.DUMMYFUNCTION("""COMPUTED_VALUE"""),"Gettysburg Elementary School")</f>
        <v>Gettysburg Elementary School</v>
      </c>
      <c r="G2159" s="8">
        <f ca="1">IFERROR(__xludf.DUMMYFUNCTION("""COMPUTED_VALUE"""),0)</f>
        <v>0</v>
      </c>
      <c r="H2159" s="8">
        <f ca="1">IFERROR(__xludf.DUMMYFUNCTION("""COMPUTED_VALUE"""),1)</f>
        <v>1</v>
      </c>
      <c r="I2159" s="8">
        <f ca="1">IFERROR(__xludf.DUMMYFUNCTION("""COMPUTED_VALUE"""),1)</f>
        <v>1</v>
      </c>
      <c r="J2159" s="8">
        <f ca="1">IFERROR(__xludf.DUMMYFUNCTION("""COMPUTED_VALUE"""),0)</f>
        <v>0</v>
      </c>
      <c r="K2159" s="10" t="str">
        <f ca="1">IFERROR(__xludf.DUMMYFUNCTION("""COMPUTED_VALUE"""),"https://www.newspapers.com/image/411133269/?terms=school%2Bbus%2B313")</f>
        <v>https://www.newspapers.com/image/411133269/?terms=school%2Bbus%2B313</v>
      </c>
      <c r="L2159" s="8"/>
      <c r="M2159" s="8"/>
      <c r="N2159" s="8">
        <f ca="1">IFERROR(__xludf.DUMMYFUNCTION("""COMPUTED_VALUE"""),1)</f>
        <v>1</v>
      </c>
      <c r="O2159" s="8" t="str">
        <f ca="1">IFERROR(__xludf.DUMMYFUNCTION("""COMPUTED_VALUE"""),"Spring")</f>
        <v>Spring</v>
      </c>
      <c r="P2159" s="8" t="str">
        <f ca="1">IFERROR(__xludf.DUMMYFUNCTION("""COMPUTED_VALUE"""),"Dayton")</f>
        <v>Dayton</v>
      </c>
      <c r="Q2159" s="8" t="str">
        <f ca="1">IFERROR(__xludf.DUMMYFUNCTION("""COMPUTED_VALUE"""),"OH")</f>
        <v>OH</v>
      </c>
      <c r="R2159" s="8" t="str">
        <f ca="1">IFERROR(__xludf.DUMMYFUNCTION("""COMPUTED_VALUE"""),"Elementary")</f>
        <v>Elementary</v>
      </c>
      <c r="S2159" s="8" t="str">
        <f ca="1">IFERROR(__xludf.DUMMYFUNCTION("""COMPUTED_VALUE"""),"School Bus")</f>
        <v>School Bus</v>
      </c>
      <c r="T2159" s="8" t="str">
        <f ca="1">IFERROR(__xludf.DUMMYFUNCTION("""COMPUTED_VALUE"""),"School Bus")</f>
        <v>School Bus</v>
      </c>
      <c r="U2159" s="8" t="str">
        <f ca="1">IFERROR(__xludf.DUMMYFUNCTION("""COMPUTED_VALUE"""),"Yes")</f>
        <v>Yes</v>
      </c>
      <c r="V2159" s="8" t="str">
        <f ca="1">IFERROR(__xludf.DUMMYFUNCTION("""COMPUTED_VALUE"""),"Before School")</f>
        <v>Before School</v>
      </c>
      <c r="W2159" s="11">
        <f ca="1">IFERROR(__xludf.DUMMYFUNCTION("""COMPUTED_VALUE"""),0.40625)</f>
        <v>0.40625</v>
      </c>
      <c r="X2159" s="8">
        <f ca="1">IFERROR(__xludf.DUMMYFUNCTION("""COMPUTED_VALUE"""),2)</f>
        <v>2</v>
      </c>
      <c r="Y2159" s="12" t="str">
        <f ca="1">IFERROR(__xludf.DUMMYFUNCTION("""COMPUTED_VALUE"""),"16 year old boy shooting pellet gun at bus loaded with children")</f>
        <v>16 year old boy shooting pellet gun at bus loaded with children</v>
      </c>
      <c r="Z2159" s="12" t="str">
        <f ca="1">IFERROR(__xludf.DUMMYFUNCTION("""COMPUTED_VALUE"""),"16YOM started firing out of the back bedroom window.  His shots hit school bus number 313, carrying ten preschoolers ages 3 to 4. The pellets shattered the glass in the windows. The bus driver quickly moved the bus out of the boy's line of sight and calle"&amp;"d the police. She was struck in the eye by a piece of glass. The boy was arrested.")</f>
        <v>16YOM started firing out of the back bedroom window.  His shots hit school bus number 313, carrying ten preschoolers ages 3 to 4. The pellets shattered the glass in the windows. The bus driver quickly moved the bus out of the boy's line of sight and called the police. She was struck in the eye by a piece of glass. The boy was arrested.</v>
      </c>
      <c r="AA2159" s="8" t="str">
        <f ca="1">IFERROR(__xludf.DUMMYFUNCTION("""COMPUTED_VALUE"""),"Indiscriminate Shooting")</f>
        <v>Indiscriminate Shooting</v>
      </c>
      <c r="AB2159" s="8"/>
      <c r="AC2159" s="8" t="str">
        <f ca="1">IFERROR(__xludf.DUMMYFUNCTION("""COMPUTED_VALUE"""),"Yes")</f>
        <v>Yes</v>
      </c>
      <c r="AD2159" s="8"/>
      <c r="AE2159" s="8" t="str">
        <f ca="1">IFERROR(__xludf.DUMMYFUNCTION("""COMPUTED_VALUE"""),"No")</f>
        <v>No</v>
      </c>
      <c r="AF2159" s="8"/>
      <c r="AG2159" s="8" t="str">
        <f ca="1">IFERROR(__xludf.DUMMYFUNCTION("""COMPUTED_VALUE"""),"No")</f>
        <v>No</v>
      </c>
      <c r="AH2159" s="8" t="str">
        <f ca="1">IFERROR(__xludf.DUMMYFUNCTION("""COMPUTED_VALUE"""),"No")</f>
        <v>No</v>
      </c>
      <c r="AI2159" s="8" t="str">
        <f ca="1">IFERROR(__xludf.DUMMYFUNCTION("""COMPUTED_VALUE"""),"No")</f>
        <v>No</v>
      </c>
      <c r="AJ2159" s="8" t="str">
        <f ca="1">IFERROR(__xludf.DUMMYFUNCTION("""COMPUTED_VALUE"""),"No")</f>
        <v>No</v>
      </c>
      <c r="AK2159" s="8" t="str">
        <f ca="1">IFERROR(__xludf.DUMMYFUNCTION("""COMPUTED_VALUE"""),"No")</f>
        <v>No</v>
      </c>
      <c r="AL2159" s="8" t="str">
        <f ca="1">IFERROR(__xludf.DUMMYFUNCTION("""COMPUTED_VALUE"""),"No")</f>
        <v>No</v>
      </c>
      <c r="AM2159" s="8"/>
      <c r="AN2159" s="8"/>
      <c r="AO2159" s="8" t="str">
        <f ca="1">IFERROR(__xludf.DUMMYFUNCTION("""COMPUTED_VALUE"""),"No")</f>
        <v>No</v>
      </c>
      <c r="AP2159" s="8"/>
      <c r="AQ2159" s="8" t="str">
        <f ca="1">IFERROR(__xludf.DUMMYFUNCTION("""COMPUTED_VALUE"""),"Unknown")</f>
        <v>Unknown</v>
      </c>
      <c r="AR2159" s="8" t="str">
        <f ca="1">IFERROR(__xludf.DUMMYFUNCTION("""COMPUTED_VALUE"""),"NA")</f>
        <v>NA</v>
      </c>
      <c r="AS2159" s="8"/>
      <c r="AT2159" s="8"/>
      <c r="AU2159" s="8">
        <f ca="1">IFERROR(__xludf.DUMMYFUNCTION("""COMPUTED_VALUE"""),39.783335)</f>
        <v>39.783335000000001</v>
      </c>
      <c r="AV2159" s="8">
        <f ca="1">IFERROR(__xludf.DUMMYFUNCTION("""COMPUTED_VALUE"""),-84.254139)</f>
        <v>-84.254138999999995</v>
      </c>
      <c r="AW2159" s="8"/>
      <c r="AX2159" s="8">
        <f ca="1">IFERROR(__xludf.DUMMYFUNCTION("""COMPUTED_VALUE"""),45406)</f>
        <v>45406</v>
      </c>
    </row>
    <row r="2160" spans="1:50" ht="75" x14ac:dyDescent="0.2">
      <c r="A2160" s="8" t="str">
        <f ca="1">IFERROR(__xludf.DUMMYFUNCTION("""COMPUTED_VALUE"""),"20070418NCNOH")</f>
        <v>20070418NCNOH</v>
      </c>
      <c r="B2160" s="8">
        <f ca="1">IFERROR(__xludf.DUMMYFUNCTION("""COMPUTED_VALUE"""),4)</f>
        <v>4</v>
      </c>
      <c r="C2160" s="8">
        <f ca="1">IFERROR(__xludf.DUMMYFUNCTION("""COMPUTED_VALUE"""),18)</f>
        <v>18</v>
      </c>
      <c r="D2160" s="8">
        <f ca="1">IFERROR(__xludf.DUMMYFUNCTION("""COMPUTED_VALUE"""),2007)</f>
        <v>2007</v>
      </c>
      <c r="E2160" s="9">
        <f ca="1">IFERROR(__xludf.DUMMYFUNCTION("""COMPUTED_VALUE"""),39190)</f>
        <v>39190</v>
      </c>
      <c r="F2160" s="8" t="str">
        <f ca="1">IFERROR(__xludf.DUMMYFUNCTION("""COMPUTED_VALUE"""),"North Mecklenburg High School")</f>
        <v>North Mecklenburg High School</v>
      </c>
      <c r="G2160" s="8">
        <f ca="1">IFERROR(__xludf.DUMMYFUNCTION("""COMPUTED_VALUE"""),0)</f>
        <v>0</v>
      </c>
      <c r="H2160" s="8">
        <f ca="1">IFERROR(__xludf.DUMMYFUNCTION("""COMPUTED_VALUE"""),0)</f>
        <v>0</v>
      </c>
      <c r="I2160" s="8">
        <f ca="1">IFERROR(__xludf.DUMMYFUNCTION("""COMPUTED_VALUE"""),0)</f>
        <v>0</v>
      </c>
      <c r="J2160" s="8">
        <f ca="1">IFERROR(__xludf.DUMMYFUNCTION("""COMPUTED_VALUE"""),1)</f>
        <v>1</v>
      </c>
      <c r="K2160" s="8" t="str">
        <f ca="1">IFERROR(__xludf.DUMMYFUNCTION("""COMPUTED_VALUE"""),"https://www.policeone.com/school-violence/articles/1238487-N-C-high-school-student-shoots-self-after-he-is-confronted-by-police/ https://newsok.com/article/3042498/nc-student-makes-threats-shoots-self")</f>
        <v>https://www.policeone.com/school-violence/articles/1238487-N-C-high-school-student-shoots-self-after-he-is-confronted-by-police/ https://newsok.com/article/3042498/nc-student-makes-threats-shoots-self</v>
      </c>
      <c r="L2160" s="8"/>
      <c r="M2160" s="8"/>
      <c r="N2160" s="8">
        <f ca="1">IFERROR(__xludf.DUMMYFUNCTION("""COMPUTED_VALUE"""),3)</f>
        <v>3</v>
      </c>
      <c r="O2160" s="8" t="str">
        <f ca="1">IFERROR(__xludf.DUMMYFUNCTION("""COMPUTED_VALUE"""),"Spring")</f>
        <v>Spring</v>
      </c>
      <c r="P2160" s="8" t="str">
        <f ca="1">IFERROR(__xludf.DUMMYFUNCTION("""COMPUTED_VALUE"""),"Huntersville")</f>
        <v>Huntersville</v>
      </c>
      <c r="Q2160" s="8" t="str">
        <f ca="1">IFERROR(__xludf.DUMMYFUNCTION("""COMPUTED_VALUE"""),"NC")</f>
        <v>NC</v>
      </c>
      <c r="R2160" s="8" t="str">
        <f ca="1">IFERROR(__xludf.DUMMYFUNCTION("""COMPUTED_VALUE"""),"High")</f>
        <v>High</v>
      </c>
      <c r="S2160" s="8" t="str">
        <f ca="1">IFERROR(__xludf.DUMMYFUNCTION("""COMPUTED_VALUE"""),"Parking Lot")</f>
        <v>Parking Lot</v>
      </c>
      <c r="T2160" s="8" t="str">
        <f ca="1">IFERROR(__xludf.DUMMYFUNCTION("""COMPUTED_VALUE"""),"Outside on School Property")</f>
        <v>Outside on School Property</v>
      </c>
      <c r="U2160" s="8" t="str">
        <f ca="1">IFERROR(__xludf.DUMMYFUNCTION("""COMPUTED_VALUE"""),"Yes")</f>
        <v>Yes</v>
      </c>
      <c r="V2160" s="8"/>
      <c r="W2160" s="8"/>
      <c r="X2160" s="8"/>
      <c r="Y2160" s="12" t="str">
        <f ca="1">IFERROR(__xludf.DUMMYFUNCTION("""COMPUTED_VALUE"""),"Pointed gun at two students in parking lot, shot self with approached by police")</f>
        <v>Pointed gun at two students in parking lot, shot self with approached by police</v>
      </c>
      <c r="Z2160" s="12" t="str">
        <f ca="1">IFERROR(__xludf.DUMMYFUNCTION("""COMPUTED_VALUE"""),"16YOM student pointed handgun at two students in the parking lot and made threatening statements. Student walked away from school and shot himself when confronted by police. Made statements to other students about VA Tech and constructed homemade bombs.")</f>
        <v>16YOM student pointed handgun at two students in the parking lot and made threatening statements. Student walked away from school and shot himself when confronted by police. Made statements to other students about VA Tech and constructed homemade bombs.</v>
      </c>
      <c r="AA2160" s="8" t="str">
        <f ca="1">IFERROR(__xludf.DUMMYFUNCTION("""COMPUTED_VALUE"""),"Indiscriminate Shooting")</f>
        <v>Indiscriminate Shooting</v>
      </c>
      <c r="AB2160" s="8"/>
      <c r="AC2160" s="8" t="str">
        <f ca="1">IFERROR(__xludf.DUMMYFUNCTION("""COMPUTED_VALUE"""),"Yes")</f>
        <v>Yes</v>
      </c>
      <c r="AD2160" s="8" t="str">
        <f ca="1">IFERROR(__xludf.DUMMYFUNCTION("""COMPUTED_VALUE"""),"Neither")</f>
        <v>Neither</v>
      </c>
      <c r="AE2160" s="8" t="str">
        <f ca="1">IFERROR(__xludf.DUMMYFUNCTION("""COMPUTED_VALUE"""),"No")</f>
        <v>No</v>
      </c>
      <c r="AF2160" s="8"/>
      <c r="AG2160" s="8" t="str">
        <f ca="1">IFERROR(__xludf.DUMMYFUNCTION("""COMPUTED_VALUE"""),"No")</f>
        <v>No</v>
      </c>
      <c r="AH2160" s="8" t="str">
        <f ca="1">IFERROR(__xludf.DUMMYFUNCTION("""COMPUTED_VALUE"""),"No")</f>
        <v>No</v>
      </c>
      <c r="AI2160" s="8" t="str">
        <f ca="1">IFERROR(__xludf.DUMMYFUNCTION("""COMPUTED_VALUE"""),"No")</f>
        <v>No</v>
      </c>
      <c r="AJ2160" s="8" t="str">
        <f ca="1">IFERROR(__xludf.DUMMYFUNCTION("""COMPUTED_VALUE"""),"No")</f>
        <v>No</v>
      </c>
      <c r="AK2160" s="8" t="str">
        <f ca="1">IFERROR(__xludf.DUMMYFUNCTION("""COMPUTED_VALUE"""),"No")</f>
        <v>No</v>
      </c>
      <c r="AL2160" s="8" t="str">
        <f ca="1">IFERROR(__xludf.DUMMYFUNCTION("""COMPUTED_VALUE"""),"No")</f>
        <v>No</v>
      </c>
      <c r="AM2160" s="8" t="str">
        <f ca="1">IFERROR(__xludf.DUMMYFUNCTION("""COMPUTED_VALUE"""),"Yes")</f>
        <v>Yes</v>
      </c>
      <c r="AN2160" s="8" t="str">
        <f ca="1">IFERROR(__xludf.DUMMYFUNCTION("""COMPUTED_VALUE"""),"Outside")</f>
        <v>Outside</v>
      </c>
      <c r="AO2160" s="8" t="str">
        <f ca="1">IFERROR(__xludf.DUMMYFUNCTION("""COMPUTED_VALUE"""),"Yes")</f>
        <v>Yes</v>
      </c>
      <c r="AP2160" s="8"/>
      <c r="AQ2160" s="8" t="str">
        <f ca="1">IFERROR(__xludf.DUMMYFUNCTION("""COMPUTED_VALUE"""),"Unknown")</f>
        <v>Unknown</v>
      </c>
      <c r="AR2160" s="8" t="str">
        <f ca="1">IFERROR(__xludf.DUMMYFUNCTION("""COMPUTED_VALUE"""),"NA")</f>
        <v>NA</v>
      </c>
      <c r="AS2160" s="8">
        <f ca="1">IFERROR(__xludf.DUMMYFUNCTION("""COMPUTED_VALUE"""),1)</f>
        <v>1</v>
      </c>
      <c r="AT2160" s="8"/>
      <c r="AU2160" s="8">
        <f ca="1">IFERROR(__xludf.DUMMYFUNCTION("""COMPUTED_VALUE"""),35.37243)</f>
        <v>35.372430000000001</v>
      </c>
      <c r="AV2160" s="8">
        <f ca="1">IFERROR(__xludf.DUMMYFUNCTION("""COMPUTED_VALUE"""),-80.833873)</f>
        <v>-80.833872999999997</v>
      </c>
      <c r="AW2160" s="8"/>
      <c r="AX2160" s="8">
        <f ca="1">IFERROR(__xludf.DUMMYFUNCTION("""COMPUTED_VALUE"""),28078)</f>
        <v>28078</v>
      </c>
    </row>
    <row r="2161" spans="1:50" ht="105" x14ac:dyDescent="0.2">
      <c r="A2161" s="8" t="str">
        <f ca="1">IFERROR(__xludf.DUMMYFUNCTION("""COMPUTED_VALUE"""),"20070411ORSPG")</f>
        <v>20070411ORSPG</v>
      </c>
      <c r="B2161" s="8">
        <f ca="1">IFERROR(__xludf.DUMMYFUNCTION("""COMPUTED_VALUE"""),4)</f>
        <v>4</v>
      </c>
      <c r="C2161" s="8">
        <f ca="1">IFERROR(__xludf.DUMMYFUNCTION("""COMPUTED_VALUE"""),10)</f>
        <v>10</v>
      </c>
      <c r="D2161" s="8">
        <f ca="1">IFERROR(__xludf.DUMMYFUNCTION("""COMPUTED_VALUE"""),2007)</f>
        <v>2007</v>
      </c>
      <c r="E2161" s="9">
        <f ca="1">IFERROR(__xludf.DUMMYFUNCTION("""COMPUTED_VALUE"""),39183)</f>
        <v>39183</v>
      </c>
      <c r="F2161" s="8" t="str">
        <f ca="1">IFERROR(__xludf.DUMMYFUNCTION("""COMPUTED_VALUE"""),"Springwater Trail High School")</f>
        <v>Springwater Trail High School</v>
      </c>
      <c r="G2161" s="8">
        <f ca="1">IFERROR(__xludf.DUMMYFUNCTION("""COMPUTED_VALUE"""),0)</f>
        <v>0</v>
      </c>
      <c r="H2161" s="8">
        <f ca="1">IFERROR(__xludf.DUMMYFUNCTION("""COMPUTED_VALUE"""),10)</f>
        <v>10</v>
      </c>
      <c r="I2161" s="8">
        <f ca="1">IFERROR(__xludf.DUMMYFUNCTION("""COMPUTED_VALUE"""),10)</f>
        <v>10</v>
      </c>
      <c r="J2161" s="8">
        <f ca="1">IFERROR(__xludf.DUMMYFUNCTION("""COMPUTED_VALUE"""),0)</f>
        <v>0</v>
      </c>
      <c r="K2161" s="10" t="str">
        <f ca="1">IFERROR(__xludf.DUMMYFUNCTION("""COMPUTED_VALUE"""),"http://blog.oregonlive.com/breakingnews/2007/04/gresham_teen_indicted_in_sprin.html")</f>
        <v>http://blog.oregonlive.com/breakingnews/2007/04/gresham_teen_indicted_in_sprin.html</v>
      </c>
      <c r="L2161" s="8"/>
      <c r="M2161" s="8"/>
      <c r="N2161" s="8">
        <f ca="1">IFERROR(__xludf.DUMMYFUNCTION("""COMPUTED_VALUE"""),2)</f>
        <v>2</v>
      </c>
      <c r="O2161" s="8" t="str">
        <f ca="1">IFERROR(__xludf.DUMMYFUNCTION("""COMPUTED_VALUE"""),"Spring")</f>
        <v>Spring</v>
      </c>
      <c r="P2161" s="8" t="str">
        <f ca="1">IFERROR(__xludf.DUMMYFUNCTION("""COMPUTED_VALUE"""),"Gresham")</f>
        <v>Gresham</v>
      </c>
      <c r="Q2161" s="8" t="str">
        <f ca="1">IFERROR(__xludf.DUMMYFUNCTION("""COMPUTED_VALUE"""),"OR")</f>
        <v>OR</v>
      </c>
      <c r="R2161" s="8" t="str">
        <f ca="1">IFERROR(__xludf.DUMMYFUNCTION("""COMPUTED_VALUE"""),"High")</f>
        <v>High</v>
      </c>
      <c r="S2161" s="8" t="str">
        <f ca="1">IFERROR(__xludf.DUMMYFUNCTION("""COMPUTED_VALUE"""),"Classroom; Field")</f>
        <v>Classroom; Field</v>
      </c>
      <c r="T2161" s="8" t="str">
        <f ca="1">IFERROR(__xludf.DUMMYFUNCTION("""COMPUTED_VALUE"""),"Both Inside/Outside")</f>
        <v>Both Inside/Outside</v>
      </c>
      <c r="U2161" s="8" t="str">
        <f ca="1">IFERROR(__xludf.DUMMYFUNCTION("""COMPUTED_VALUE"""),"Yes")</f>
        <v>Yes</v>
      </c>
      <c r="V2161" s="8" t="str">
        <f ca="1">IFERROR(__xludf.DUMMYFUNCTION("""COMPUTED_VALUE"""),"Afternoon Classes")</f>
        <v>Afternoon Classes</v>
      </c>
      <c r="W2161" s="11">
        <f ca="1">IFERROR(__xludf.DUMMYFUNCTION("""COMPUTED_VALUE"""),0.59375)</f>
        <v>0.59375</v>
      </c>
      <c r="X2161" s="8"/>
      <c r="Y2161" s="12" t="str">
        <f ca="1">IFERROR(__xludf.DUMMYFUNCTION("""COMPUTED_VALUE"""),"Planned attack after watching show about Columbine High School")</f>
        <v>Planned attack after watching show about Columbine High School</v>
      </c>
      <c r="Z2161" s="12" t="str">
        <f ca="1">IFERROR(__xludf.DUMMYFUNCTION("""COMPUTED_VALUE"""),"15YOM was angry about grades and wanted to live with biological father in different state. Watched a show about the Columbine High School attack and wanted to kill as many people at his school as possible. Fired shot at the school from 150 yards away. 10 "&amp;"students were injured by broken glass when bullets struck the classroom windows. Fled the area and was arrested at his house.")</f>
        <v>15YOM was angry about grades and wanted to live with biological father in different state. Watched a show about the Columbine High School attack and wanted to kill as many people at his school as possible. Fired shot at the school from 150 yards away. 10 students were injured by broken glass when bullets struck the classroom windows. Fled the area and was arrested at his house.</v>
      </c>
      <c r="AA2161" s="8" t="str">
        <f ca="1">IFERROR(__xludf.DUMMYFUNCTION("""COMPUTED_VALUE"""),"Indiscriminate Shooting")</f>
        <v>Indiscriminate Shooting</v>
      </c>
      <c r="AB2161" s="8"/>
      <c r="AC2161" s="8" t="str">
        <f ca="1">IFERROR(__xludf.DUMMYFUNCTION("""COMPUTED_VALUE"""),"Yes")</f>
        <v>Yes</v>
      </c>
      <c r="AD2161" s="8" t="str">
        <f ca="1">IFERROR(__xludf.DUMMYFUNCTION("""COMPUTED_VALUE"""),"Random Shooting")</f>
        <v>Random Shooting</v>
      </c>
      <c r="AE2161" s="8" t="str">
        <f ca="1">IFERROR(__xludf.DUMMYFUNCTION("""COMPUTED_VALUE"""),"No")</f>
        <v>No</v>
      </c>
      <c r="AF2161" s="8"/>
      <c r="AG2161" s="8" t="str">
        <f ca="1">IFERROR(__xludf.DUMMYFUNCTION("""COMPUTED_VALUE"""),"No")</f>
        <v>No</v>
      </c>
      <c r="AH2161" s="8" t="str">
        <f ca="1">IFERROR(__xludf.DUMMYFUNCTION("""COMPUTED_VALUE"""),"No")</f>
        <v>No</v>
      </c>
      <c r="AI2161" s="8" t="str">
        <f ca="1">IFERROR(__xludf.DUMMYFUNCTION("""COMPUTED_VALUE"""),"No")</f>
        <v>No</v>
      </c>
      <c r="AJ2161" s="8" t="str">
        <f ca="1">IFERROR(__xludf.DUMMYFUNCTION("""COMPUTED_VALUE"""),"No")</f>
        <v>No</v>
      </c>
      <c r="AK2161" s="8" t="str">
        <f ca="1">IFERROR(__xludf.DUMMYFUNCTION("""COMPUTED_VALUE"""),"No")</f>
        <v>No</v>
      </c>
      <c r="AL2161" s="8" t="str">
        <f ca="1">IFERROR(__xludf.DUMMYFUNCTION("""COMPUTED_VALUE"""),"No")</f>
        <v>No</v>
      </c>
      <c r="AM2161" s="8" t="str">
        <f ca="1">IFERROR(__xludf.DUMMYFUNCTION("""COMPUTED_VALUE"""),"Yes")</f>
        <v>Yes</v>
      </c>
      <c r="AN2161" s="8" t="str">
        <f ca="1">IFERROR(__xludf.DUMMYFUNCTION("""COMPUTED_VALUE"""),"Outside")</f>
        <v>Outside</v>
      </c>
      <c r="AO2161" s="8" t="str">
        <f ca="1">IFERROR(__xludf.DUMMYFUNCTION("""COMPUTED_VALUE"""),"Yes")</f>
        <v>Yes</v>
      </c>
      <c r="AP2161" s="8" t="str">
        <f ca="1">IFERROR(__xludf.DUMMYFUNCTION("""COMPUTED_VALUE"""),"No")</f>
        <v>No</v>
      </c>
      <c r="AQ2161" s="8" t="str">
        <f ca="1">IFERROR(__xludf.DUMMYFUNCTION("""COMPUTED_VALUE"""),"Unknown")</f>
        <v>Unknown</v>
      </c>
      <c r="AR2161" s="8" t="str">
        <f ca="1">IFERROR(__xludf.DUMMYFUNCTION("""COMPUTED_VALUE"""),"NA")</f>
        <v>NA</v>
      </c>
      <c r="AS2161" s="8">
        <f ca="1">IFERROR(__xludf.DUMMYFUNCTION("""COMPUTED_VALUE"""),5)</f>
        <v>5</v>
      </c>
      <c r="AT2161" s="8"/>
      <c r="AU2161" s="8">
        <f ca="1">IFERROR(__xludf.DUMMYFUNCTION("""COMPUTED_VALUE"""),45.486048)</f>
        <v>45.486047999999997</v>
      </c>
      <c r="AV2161" s="8">
        <f ca="1">IFERROR(__xludf.DUMMYFUNCTION("""COMPUTED_VALUE"""),-122.406837)</f>
        <v>-122.406837</v>
      </c>
      <c r="AW2161" s="8"/>
      <c r="AX2161" s="8">
        <f ca="1">IFERROR(__xludf.DUMMYFUNCTION("""COMPUTED_VALUE"""),97080)</f>
        <v>97080</v>
      </c>
    </row>
    <row r="2162" spans="1:50" ht="60" x14ac:dyDescent="0.2">
      <c r="A2162" s="8" t="str">
        <f ca="1">IFERROR(__xludf.DUMMYFUNCTION("""COMPUTED_VALUE"""),"20070410ILCHC")</f>
        <v>20070410ILCHC</v>
      </c>
      <c r="B2162" s="8">
        <f ca="1">IFERROR(__xludf.DUMMYFUNCTION("""COMPUTED_VALUE"""),4)</f>
        <v>4</v>
      </c>
      <c r="C2162" s="8">
        <f ca="1">IFERROR(__xludf.DUMMYFUNCTION("""COMPUTED_VALUE"""),10)</f>
        <v>10</v>
      </c>
      <c r="D2162" s="8">
        <f ca="1">IFERROR(__xludf.DUMMYFUNCTION("""COMPUTED_VALUE"""),2007)</f>
        <v>2007</v>
      </c>
      <c r="E2162" s="9">
        <f ca="1">IFERROR(__xludf.DUMMYFUNCTION("""COMPUTED_VALUE"""),39182)</f>
        <v>39182</v>
      </c>
      <c r="F2162" s="8" t="str">
        <f ca="1">IFERROR(__xludf.DUMMYFUNCTION("""COMPUTED_VALUE"""),"Chicago Vocational Career Academy")</f>
        <v>Chicago Vocational Career Academy</v>
      </c>
      <c r="G2162" s="8">
        <f ca="1">IFERROR(__xludf.DUMMYFUNCTION("""COMPUTED_VALUE"""),0)</f>
        <v>0</v>
      </c>
      <c r="H2162" s="8">
        <f ca="1">IFERROR(__xludf.DUMMYFUNCTION("""COMPUTED_VALUE"""),1)</f>
        <v>1</v>
      </c>
      <c r="I2162" s="8">
        <f ca="1">IFERROR(__xludf.DUMMYFUNCTION("""COMPUTED_VALUE"""),1)</f>
        <v>1</v>
      </c>
      <c r="J2162" s="8">
        <f ca="1">IFERROR(__xludf.DUMMYFUNCTION("""COMPUTED_VALUE"""),0)</f>
        <v>0</v>
      </c>
      <c r="K2162" s="10" t="str">
        <f ca="1">IFERROR(__xludf.DUMMYFUNCTION("""COMPUTED_VALUE"""),"http://articles.chicagotribune.com/2007-04-12/news/0704110994_1_school-shooting-city-school-leaders-schools-chief-arne-duncan")</f>
        <v>http://articles.chicagotribune.com/2007-04-12/news/0704110994_1_school-shooting-city-school-leaders-schools-chief-arne-duncan</v>
      </c>
      <c r="L2162" s="8"/>
      <c r="M2162" s="8"/>
      <c r="N2162" s="8">
        <f ca="1">IFERROR(__xludf.DUMMYFUNCTION("""COMPUTED_VALUE"""),2)</f>
        <v>2</v>
      </c>
      <c r="O2162" s="8" t="str">
        <f ca="1">IFERROR(__xludf.DUMMYFUNCTION("""COMPUTED_VALUE"""),"Spring")</f>
        <v>Spring</v>
      </c>
      <c r="P2162" s="8" t="str">
        <f ca="1">IFERROR(__xludf.DUMMYFUNCTION("""COMPUTED_VALUE"""),"Chicago")</f>
        <v>Chicago</v>
      </c>
      <c r="Q2162" s="8" t="str">
        <f ca="1">IFERROR(__xludf.DUMMYFUNCTION("""COMPUTED_VALUE"""),"IL")</f>
        <v>IL</v>
      </c>
      <c r="R2162" s="8" t="str">
        <f ca="1">IFERROR(__xludf.DUMMYFUNCTION("""COMPUTED_VALUE"""),"Other")</f>
        <v>Other</v>
      </c>
      <c r="S2162" s="8" t="str">
        <f ca="1">IFERROR(__xludf.DUMMYFUNCTION("""COMPUTED_VALUE"""),"Classroom")</f>
        <v>Classroom</v>
      </c>
      <c r="T2162" s="8" t="str">
        <f ca="1">IFERROR(__xludf.DUMMYFUNCTION("""COMPUTED_VALUE"""),"Inside School Building")</f>
        <v>Inside School Building</v>
      </c>
      <c r="U2162" s="8" t="str">
        <f ca="1">IFERROR(__xludf.DUMMYFUNCTION("""COMPUTED_VALUE"""),"Yes")</f>
        <v>Yes</v>
      </c>
      <c r="V2162" s="8" t="str">
        <f ca="1">IFERROR(__xludf.DUMMYFUNCTION("""COMPUTED_VALUE"""),"Afternoon Classes")</f>
        <v>Afternoon Classes</v>
      </c>
      <c r="W2162" s="11">
        <f ca="1">IFERROR(__xludf.DUMMYFUNCTION("""COMPUTED_VALUE"""),0.59375)</f>
        <v>0.59375</v>
      </c>
      <c r="X2162" s="8">
        <f ca="1">IFERROR(__xludf.DUMMYFUNCTION("""COMPUTED_VALUE"""),1)</f>
        <v>1</v>
      </c>
      <c r="Y2162" s="12" t="str">
        <f ca="1">IFERROR(__xludf.DUMMYFUNCTION("""COMPUTED_VALUE"""),"Student showing off gun, shot himself in leg, fled the area")</f>
        <v>Student showing off gun, shot himself in leg, fled the area</v>
      </c>
      <c r="Z2162" s="12" t="str">
        <f ca="1">IFERROR(__xludf.DUMMYFUNCTION("""COMPUTED_VALUE"""),"15YOM student was showing off gun in classroom. He had removed magazine but did not realize a round was in the chamber. Shot self in leg and fled the area but was arrested by police.")</f>
        <v>15YOM student was showing off gun in classroom. He had removed magazine but did not realize a round was in the chamber. Shot self in leg and fled the area but was arrested by police.</v>
      </c>
      <c r="AA2162" s="8" t="str">
        <f ca="1">IFERROR(__xludf.DUMMYFUNCTION("""COMPUTED_VALUE"""),"Accidental")</f>
        <v>Accidental</v>
      </c>
      <c r="AB2162" s="8"/>
      <c r="AC2162" s="8" t="str">
        <f ca="1">IFERROR(__xludf.DUMMYFUNCTION("""COMPUTED_VALUE"""),"Yes")</f>
        <v>Yes</v>
      </c>
      <c r="AD2162" s="8" t="str">
        <f ca="1">IFERROR(__xludf.DUMMYFUNCTION("""COMPUTED_VALUE"""),"Random Shooting")</f>
        <v>Random Shooting</v>
      </c>
      <c r="AE2162" s="8" t="str">
        <f ca="1">IFERROR(__xludf.DUMMYFUNCTION("""COMPUTED_VALUE"""),"No")</f>
        <v>No</v>
      </c>
      <c r="AF2162" s="8"/>
      <c r="AG2162" s="8" t="str">
        <f ca="1">IFERROR(__xludf.DUMMYFUNCTION("""COMPUTED_VALUE"""),"No")</f>
        <v>No</v>
      </c>
      <c r="AH2162" s="8" t="str">
        <f ca="1">IFERROR(__xludf.DUMMYFUNCTION("""COMPUTED_VALUE"""),"No")</f>
        <v>No</v>
      </c>
      <c r="AI2162" s="8" t="str">
        <f ca="1">IFERROR(__xludf.DUMMYFUNCTION("""COMPUTED_VALUE"""),"No")</f>
        <v>No</v>
      </c>
      <c r="AJ2162" s="8" t="str">
        <f ca="1">IFERROR(__xludf.DUMMYFUNCTION("""COMPUTED_VALUE"""),"No")</f>
        <v>No</v>
      </c>
      <c r="AK2162" s="8" t="str">
        <f ca="1">IFERROR(__xludf.DUMMYFUNCTION("""COMPUTED_VALUE"""),"No")</f>
        <v>No</v>
      </c>
      <c r="AL2162" s="8" t="str">
        <f ca="1">IFERROR(__xludf.DUMMYFUNCTION("""COMPUTED_VALUE"""),"No")</f>
        <v>No</v>
      </c>
      <c r="AM2162" s="8"/>
      <c r="AN2162" s="8"/>
      <c r="AO2162" s="8" t="str">
        <f ca="1">IFERROR(__xludf.DUMMYFUNCTION("""COMPUTED_VALUE"""),"No")</f>
        <v>No</v>
      </c>
      <c r="AP2162" s="8" t="str">
        <f ca="1">IFERROR(__xludf.DUMMYFUNCTION("""COMPUTED_VALUE"""),"No")</f>
        <v>No</v>
      </c>
      <c r="AQ2162" s="8" t="str">
        <f ca="1">IFERROR(__xludf.DUMMYFUNCTION("""COMPUTED_VALUE"""),"Unknown")</f>
        <v>Unknown</v>
      </c>
      <c r="AR2162" s="8" t="str">
        <f ca="1">IFERROR(__xludf.DUMMYFUNCTION("""COMPUTED_VALUE"""),"NA")</f>
        <v>NA</v>
      </c>
      <c r="AS2162" s="8">
        <f ca="1">IFERROR(__xludf.DUMMYFUNCTION("""COMPUTED_VALUE"""),1)</f>
        <v>1</v>
      </c>
      <c r="AT2162" s="8"/>
      <c r="AU2162" s="8">
        <f ca="1">IFERROR(__xludf.DUMMYFUNCTION("""COMPUTED_VALUE"""),41.738024)</f>
        <v>41.738024000000003</v>
      </c>
      <c r="AV2162" s="8">
        <f ca="1">IFERROR(__xludf.DUMMYFUNCTION("""COMPUTED_VALUE"""),-87.572993)</f>
        <v>-87.572992999999997</v>
      </c>
      <c r="AW2162" s="8"/>
      <c r="AX2162" s="8">
        <f ca="1">IFERROR(__xludf.DUMMYFUNCTION("""COMPUTED_VALUE"""),60617)</f>
        <v>60617</v>
      </c>
    </row>
    <row r="2163" spans="1:50" ht="45" x14ac:dyDescent="0.2">
      <c r="A2163" s="8" t="str">
        <f ca="1">IFERROR(__xludf.DUMMYFUNCTION("""COMPUTED_VALUE"""),"20070329SCMYM")</f>
        <v>20070329SCMYM</v>
      </c>
      <c r="B2163" s="8">
        <f ca="1">IFERROR(__xludf.DUMMYFUNCTION("""COMPUTED_VALUE"""),3)</f>
        <v>3</v>
      </c>
      <c r="C2163" s="8">
        <f ca="1">IFERROR(__xludf.DUMMYFUNCTION("""COMPUTED_VALUE"""),29)</f>
        <v>29</v>
      </c>
      <c r="D2163" s="8">
        <f ca="1">IFERROR(__xludf.DUMMYFUNCTION("""COMPUTED_VALUE"""),2007)</f>
        <v>2007</v>
      </c>
      <c r="E2163" s="9">
        <f ca="1">IFERROR(__xludf.DUMMYFUNCTION("""COMPUTED_VALUE"""),39170)</f>
        <v>39170</v>
      </c>
      <c r="F2163" s="8" t="str">
        <f ca="1">IFERROR(__xludf.DUMMYFUNCTION("""COMPUTED_VALUE"""),"Myrtle Beach High School")</f>
        <v>Myrtle Beach High School</v>
      </c>
      <c r="G2163" s="8">
        <f ca="1">IFERROR(__xludf.DUMMYFUNCTION("""COMPUTED_VALUE"""),0)</f>
        <v>0</v>
      </c>
      <c r="H2163" s="8">
        <f ca="1">IFERROR(__xludf.DUMMYFUNCTION("""COMPUTED_VALUE"""),0)</f>
        <v>0</v>
      </c>
      <c r="I2163" s="8">
        <f ca="1">IFERROR(__xludf.DUMMYFUNCTION("""COMPUTED_VALUE"""),0)</f>
        <v>0</v>
      </c>
      <c r="J2163" s="8">
        <f ca="1">IFERROR(__xludf.DUMMYFUNCTION("""COMPUTED_VALUE"""),0)</f>
        <v>0</v>
      </c>
      <c r="K2163" s="10" t="str">
        <f ca="1">IFERROR(__xludf.DUMMYFUNCTION("""COMPUTED_VALUE"""),"http://www.wistv.com/story/6297864/student-shoots-himself-in-leg-at-myrtle-beach-high-school?clienttype=printable")</f>
        <v>http://www.wistv.com/story/6297864/student-shoots-himself-in-leg-at-myrtle-beach-high-school?clienttype=printable</v>
      </c>
      <c r="L2163" s="8"/>
      <c r="M2163" s="8"/>
      <c r="N2163" s="8">
        <f ca="1">IFERROR(__xludf.DUMMYFUNCTION("""COMPUTED_VALUE"""),2)</f>
        <v>2</v>
      </c>
      <c r="O2163" s="8" t="str">
        <f ca="1">IFERROR(__xludf.DUMMYFUNCTION("""COMPUTED_VALUE"""),"Spring")</f>
        <v>Spring</v>
      </c>
      <c r="P2163" s="8" t="str">
        <f ca="1">IFERROR(__xludf.DUMMYFUNCTION("""COMPUTED_VALUE"""),"Myrtle Beach")</f>
        <v>Myrtle Beach</v>
      </c>
      <c r="Q2163" s="8" t="str">
        <f ca="1">IFERROR(__xludf.DUMMYFUNCTION("""COMPUTED_VALUE"""),"SC")</f>
        <v>SC</v>
      </c>
      <c r="R2163" s="8" t="str">
        <f ca="1">IFERROR(__xludf.DUMMYFUNCTION("""COMPUTED_VALUE"""),"High")</f>
        <v>High</v>
      </c>
      <c r="S2163" s="8" t="str">
        <f ca="1">IFERROR(__xludf.DUMMYFUNCTION("""COMPUTED_VALUE"""),"Classroom")</f>
        <v>Classroom</v>
      </c>
      <c r="T2163" s="8" t="str">
        <f ca="1">IFERROR(__xludf.DUMMYFUNCTION("""COMPUTED_VALUE"""),"Inside School Building")</f>
        <v>Inside School Building</v>
      </c>
      <c r="U2163" s="8" t="str">
        <f ca="1">IFERROR(__xludf.DUMMYFUNCTION("""COMPUTED_VALUE"""),"Yes")</f>
        <v>Yes</v>
      </c>
      <c r="V2163" s="8"/>
      <c r="W2163" s="8"/>
      <c r="X2163" s="8">
        <f ca="1">IFERROR(__xludf.DUMMYFUNCTION("""COMPUTED_VALUE"""),1)</f>
        <v>1</v>
      </c>
      <c r="Y2163" s="12" t="str">
        <f ca="1">IFERROR(__xludf.DUMMYFUNCTION("""COMPUTED_VALUE"""),"Shot self in leg (gun in pocket) in classroom")</f>
        <v>Shot self in leg (gun in pocket) in classroom</v>
      </c>
      <c r="Z2163" s="12" t="str">
        <f ca="1">IFERROR(__xludf.DUMMYFUNCTION("""COMPUTED_VALUE"""),"18YOM student (star basketball player) shot self in the leg during class. Student had gun in pocket.")</f>
        <v>18YOM student (star basketball player) shot self in the leg during class. Student had gun in pocket.</v>
      </c>
      <c r="AA2163" s="8" t="str">
        <f ca="1">IFERROR(__xludf.DUMMYFUNCTION("""COMPUTED_VALUE"""),"Accidental")</f>
        <v>Accidental</v>
      </c>
      <c r="AB2163" s="8"/>
      <c r="AC2163" s="8" t="str">
        <f ca="1">IFERROR(__xludf.DUMMYFUNCTION("""COMPUTED_VALUE"""),"Yes")</f>
        <v>Yes</v>
      </c>
      <c r="AD2163" s="8" t="str">
        <f ca="1">IFERROR(__xludf.DUMMYFUNCTION("""COMPUTED_VALUE"""),"Random Shooting")</f>
        <v>Random Shooting</v>
      </c>
      <c r="AE2163" s="8" t="str">
        <f ca="1">IFERROR(__xludf.DUMMYFUNCTION("""COMPUTED_VALUE"""),"No")</f>
        <v>No</v>
      </c>
      <c r="AF2163" s="8"/>
      <c r="AG2163" s="8" t="str">
        <f ca="1">IFERROR(__xludf.DUMMYFUNCTION("""COMPUTED_VALUE"""),"No")</f>
        <v>No</v>
      </c>
      <c r="AH2163" s="8" t="str">
        <f ca="1">IFERROR(__xludf.DUMMYFUNCTION("""COMPUTED_VALUE"""),"No")</f>
        <v>No</v>
      </c>
      <c r="AI2163" s="8" t="str">
        <f ca="1">IFERROR(__xludf.DUMMYFUNCTION("""COMPUTED_VALUE"""),"No")</f>
        <v>No</v>
      </c>
      <c r="AJ2163" s="8" t="str">
        <f ca="1">IFERROR(__xludf.DUMMYFUNCTION("""COMPUTED_VALUE"""),"No")</f>
        <v>No</v>
      </c>
      <c r="AK2163" s="8" t="str">
        <f ca="1">IFERROR(__xludf.DUMMYFUNCTION("""COMPUTED_VALUE"""),"No")</f>
        <v>No</v>
      </c>
      <c r="AL2163" s="8" t="str">
        <f ca="1">IFERROR(__xludf.DUMMYFUNCTION("""COMPUTED_VALUE"""),"No")</f>
        <v>No</v>
      </c>
      <c r="AM2163" s="8"/>
      <c r="AN2163" s="8"/>
      <c r="AO2163" s="8" t="str">
        <f ca="1">IFERROR(__xludf.DUMMYFUNCTION("""COMPUTED_VALUE"""),"No")</f>
        <v>No</v>
      </c>
      <c r="AP2163" s="8"/>
      <c r="AQ2163" s="8" t="str">
        <f ca="1">IFERROR(__xludf.DUMMYFUNCTION("""COMPUTED_VALUE"""),"Unknown")</f>
        <v>Unknown</v>
      </c>
      <c r="AR2163" s="8" t="str">
        <f ca="1">IFERROR(__xludf.DUMMYFUNCTION("""COMPUTED_VALUE"""),"NA")</f>
        <v>NA</v>
      </c>
      <c r="AS2163" s="8">
        <f ca="1">IFERROR(__xludf.DUMMYFUNCTION("""COMPUTED_VALUE"""),1)</f>
        <v>1</v>
      </c>
      <c r="AT2163" s="8"/>
      <c r="AU2163" s="8">
        <f ca="1">IFERROR(__xludf.DUMMYFUNCTION("""COMPUTED_VALUE"""),33.719142)</f>
        <v>33.719141999999998</v>
      </c>
      <c r="AV2163" s="8">
        <f ca="1">IFERROR(__xludf.DUMMYFUNCTION("""COMPUTED_VALUE"""),-78.868028)</f>
        <v>-78.868027999999995</v>
      </c>
      <c r="AW2163" s="8"/>
      <c r="AX2163" s="8">
        <f ca="1">IFERROR(__xludf.DUMMYFUNCTION("""COMPUTED_VALUE"""),29577)</f>
        <v>29577</v>
      </c>
    </row>
    <row r="2164" spans="1:50" ht="45" x14ac:dyDescent="0.2">
      <c r="A2164" s="8" t="str">
        <f ca="1">IFERROR(__xludf.DUMMYFUNCTION("""COMPUTED_VALUE"""),"20070327CTSAH")</f>
        <v>20070327CTSAH</v>
      </c>
      <c r="B2164" s="8">
        <f ca="1">IFERROR(__xludf.DUMMYFUNCTION("""COMPUTED_VALUE"""),3)</f>
        <v>3</v>
      </c>
      <c r="C2164" s="8">
        <f ca="1">IFERROR(__xludf.DUMMYFUNCTION("""COMPUTED_VALUE"""),27)</f>
        <v>27</v>
      </c>
      <c r="D2164" s="8">
        <f ca="1">IFERROR(__xludf.DUMMYFUNCTION("""COMPUTED_VALUE"""),2007)</f>
        <v>2007</v>
      </c>
      <c r="E2164" s="9">
        <f ca="1">IFERROR(__xludf.DUMMYFUNCTION("""COMPUTED_VALUE"""),39168)</f>
        <v>39168</v>
      </c>
      <c r="F2164" s="8" t="str">
        <f ca="1">IFERROR(__xludf.DUMMYFUNCTION("""COMPUTED_VALUE"""),"Sarah J. Rawson Elementary School")</f>
        <v>Sarah J. Rawson Elementary School</v>
      </c>
      <c r="G2164" s="8">
        <f ca="1">IFERROR(__xludf.DUMMYFUNCTION("""COMPUTED_VALUE"""),0)</f>
        <v>0</v>
      </c>
      <c r="H2164" s="8">
        <f ca="1">IFERROR(__xludf.DUMMYFUNCTION("""COMPUTED_VALUE"""),1)</f>
        <v>1</v>
      </c>
      <c r="I2164" s="8">
        <f ca="1">IFERROR(__xludf.DUMMYFUNCTION("""COMPUTED_VALUE"""),1)</f>
        <v>1</v>
      </c>
      <c r="J2164" s="8">
        <f ca="1">IFERROR(__xludf.DUMMYFUNCTION("""COMPUTED_VALUE"""),0)</f>
        <v>0</v>
      </c>
      <c r="K2164" s="10" t="str">
        <f ca="1">IFERROR(__xludf.DUMMYFUNCTION("""COMPUTED_VALUE"""),"https://www.newspapers.com/image/243778502/?terms=Sarah%2BJ.%2BRawson%2BElementary%2BSchool%2Bshot")</f>
        <v>https://www.newspapers.com/image/243778502/?terms=Sarah%2BJ.%2BRawson%2BElementary%2BSchool%2Bshot</v>
      </c>
      <c r="L2164" s="8"/>
      <c r="M2164" s="8"/>
      <c r="N2164" s="8">
        <f ca="1">IFERROR(__xludf.DUMMYFUNCTION("""COMPUTED_VALUE"""),2)</f>
        <v>2</v>
      </c>
      <c r="O2164" s="8" t="str">
        <f ca="1">IFERROR(__xludf.DUMMYFUNCTION("""COMPUTED_VALUE"""),"Spring")</f>
        <v>Spring</v>
      </c>
      <c r="P2164" s="8" t="str">
        <f ca="1">IFERROR(__xludf.DUMMYFUNCTION("""COMPUTED_VALUE"""),"Hartford")</f>
        <v>Hartford</v>
      </c>
      <c r="Q2164" s="8" t="str">
        <f ca="1">IFERROR(__xludf.DUMMYFUNCTION("""COMPUTED_VALUE"""),"CT")</f>
        <v>CT</v>
      </c>
      <c r="R2164" s="8" t="str">
        <f ca="1">IFERROR(__xludf.DUMMYFUNCTION("""COMPUTED_VALUE"""),"Elementary")</f>
        <v>Elementary</v>
      </c>
      <c r="S2164" s="8" t="str">
        <f ca="1">IFERROR(__xludf.DUMMYFUNCTION("""COMPUTED_VALUE"""),"Basketball Court")</f>
        <v>Basketball Court</v>
      </c>
      <c r="T2164" s="8" t="str">
        <f ca="1">IFERROR(__xludf.DUMMYFUNCTION("""COMPUTED_VALUE"""),"Outside on School Property")</f>
        <v>Outside on School Property</v>
      </c>
      <c r="U2164" s="8" t="str">
        <f ca="1">IFERROR(__xludf.DUMMYFUNCTION("""COMPUTED_VALUE"""),"No")</f>
        <v>No</v>
      </c>
      <c r="V2164" s="8" t="str">
        <f ca="1">IFERROR(__xludf.DUMMYFUNCTION("""COMPUTED_VALUE"""),"Sport Event")</f>
        <v>Sport Event</v>
      </c>
      <c r="W2164" s="11">
        <f ca="1">IFERROR(__xludf.DUMMYFUNCTION("""COMPUTED_VALUE"""),0.770833333333333)</f>
        <v>0.77083333333333304</v>
      </c>
      <c r="X2164" s="8">
        <f ca="1">IFERROR(__xludf.DUMMYFUNCTION("""COMPUTED_VALUE"""),1)</f>
        <v>1</v>
      </c>
      <c r="Y2164" s="12" t="str">
        <f ca="1">IFERROR(__xludf.DUMMYFUNCTION("""COMPUTED_VALUE"""),"Shot in leg during fight at basketball game")</f>
        <v>Shot in leg during fight at basketball game</v>
      </c>
      <c r="Z2164" s="12" t="str">
        <f ca="1">IFERROR(__xludf.DUMMYFUNCTION("""COMPUTED_VALUE"""),"16YOM was shot in leg during fight between non-student during a basketball game at the elementary school. Shooter fled and was not identified.")</f>
        <v>16YOM was shot in leg during fight between non-student during a basketball game at the elementary school. Shooter fled and was not identified.</v>
      </c>
      <c r="AA2164" s="8" t="str">
        <f ca="1">IFERROR(__xludf.DUMMYFUNCTION("""COMPUTED_VALUE"""),"Escalation of Dispute")</f>
        <v>Escalation of Dispute</v>
      </c>
      <c r="AB2164" s="8"/>
      <c r="AC2164" s="8" t="str">
        <f ca="1">IFERROR(__xludf.DUMMYFUNCTION("""COMPUTED_VALUE"""),"No")</f>
        <v>No</v>
      </c>
      <c r="AD2164" s="8" t="str">
        <f ca="1">IFERROR(__xludf.DUMMYFUNCTION("""COMPUTED_VALUE"""),"Victims Targeted")</f>
        <v>Victims Targeted</v>
      </c>
      <c r="AE2164" s="8" t="str">
        <f ca="1">IFERROR(__xludf.DUMMYFUNCTION("""COMPUTED_VALUE"""),"No")</f>
        <v>No</v>
      </c>
      <c r="AF2164" s="8"/>
      <c r="AG2164" s="8" t="str">
        <f ca="1">IFERROR(__xludf.DUMMYFUNCTION("""COMPUTED_VALUE"""),"No")</f>
        <v>No</v>
      </c>
      <c r="AH2164" s="8" t="str">
        <f ca="1">IFERROR(__xludf.DUMMYFUNCTION("""COMPUTED_VALUE"""),"No")</f>
        <v>No</v>
      </c>
      <c r="AI2164" s="8" t="str">
        <f ca="1">IFERROR(__xludf.DUMMYFUNCTION("""COMPUTED_VALUE"""),"No")</f>
        <v>No</v>
      </c>
      <c r="AJ2164" s="8" t="str">
        <f ca="1">IFERROR(__xludf.DUMMYFUNCTION("""COMPUTED_VALUE"""),"No")</f>
        <v>No</v>
      </c>
      <c r="AK2164" s="8" t="str">
        <f ca="1">IFERROR(__xludf.DUMMYFUNCTION("""COMPUTED_VALUE"""),"No")</f>
        <v>No</v>
      </c>
      <c r="AL2164" s="8" t="str">
        <f ca="1">IFERROR(__xludf.DUMMYFUNCTION("""COMPUTED_VALUE"""),"No")</f>
        <v>No</v>
      </c>
      <c r="AM2164" s="8"/>
      <c r="AN2164" s="8"/>
      <c r="AO2164" s="8" t="str">
        <f ca="1">IFERROR(__xludf.DUMMYFUNCTION("""COMPUTED_VALUE"""),"No")</f>
        <v>No</v>
      </c>
      <c r="AP2164" s="8"/>
      <c r="AQ2164" s="8" t="str">
        <f ca="1">IFERROR(__xludf.DUMMYFUNCTION("""COMPUTED_VALUE"""),"Unknown")</f>
        <v>Unknown</v>
      </c>
      <c r="AR2164" s="8" t="str">
        <f ca="1">IFERROR(__xludf.DUMMYFUNCTION("""COMPUTED_VALUE"""),"NA")</f>
        <v>NA</v>
      </c>
      <c r="AS2164" s="8"/>
      <c r="AT2164" s="8"/>
      <c r="AU2164" s="8">
        <f ca="1">IFERROR(__xludf.DUMMYFUNCTION("""COMPUTED_VALUE"""),41.796028)</f>
        <v>41.796028</v>
      </c>
      <c r="AV2164" s="8">
        <f ca="1">IFERROR(__xludf.DUMMYFUNCTION("""COMPUTED_VALUE"""),-72.700846)</f>
        <v>-72.700845999999999</v>
      </c>
      <c r="AW2164" s="8"/>
      <c r="AX2164" s="8">
        <f ca="1">IFERROR(__xludf.DUMMYFUNCTION("""COMPUTED_VALUE"""),6112)</f>
        <v>6112</v>
      </c>
    </row>
    <row r="2165" spans="1:50" ht="120" x14ac:dyDescent="0.2">
      <c r="A2165" s="8" t="str">
        <f ca="1">IFERROR(__xludf.DUMMYFUNCTION("""COMPUTED_VALUE"""),"20070323FLUNO")</f>
        <v>20070323FLUNO</v>
      </c>
      <c r="B2165" s="8">
        <f ca="1">IFERROR(__xludf.DUMMYFUNCTION("""COMPUTED_VALUE"""),3)</f>
        <v>3</v>
      </c>
      <c r="C2165" s="8">
        <f ca="1">IFERROR(__xludf.DUMMYFUNCTION("""COMPUTED_VALUE"""),23)</f>
        <v>23</v>
      </c>
      <c r="D2165" s="8">
        <f ca="1">IFERROR(__xludf.DUMMYFUNCTION("""COMPUTED_VALUE"""),2007)</f>
        <v>2007</v>
      </c>
      <c r="E2165" s="9">
        <f ca="1">IFERROR(__xludf.DUMMYFUNCTION("""COMPUTED_VALUE"""),39164)</f>
        <v>39164</v>
      </c>
      <c r="F2165" s="8" t="str">
        <f ca="1">IFERROR(__xludf.DUMMYFUNCTION("""COMPUTED_VALUE"""),"Union Park Elementary School")</f>
        <v>Union Park Elementary School</v>
      </c>
      <c r="G2165" s="8">
        <f ca="1">IFERROR(__xludf.DUMMYFUNCTION("""COMPUTED_VALUE"""),0)</f>
        <v>0</v>
      </c>
      <c r="H2165" s="8">
        <f ca="1">IFERROR(__xludf.DUMMYFUNCTION("""COMPUTED_VALUE"""),1)</f>
        <v>1</v>
      </c>
      <c r="I2165" s="8">
        <f ca="1">IFERROR(__xludf.DUMMYFUNCTION("""COMPUTED_VALUE"""),1)</f>
        <v>1</v>
      </c>
      <c r="J2165" s="8">
        <f ca="1">IFERROR(__xludf.DUMMYFUNCTION("""COMPUTED_VALUE"""),0)</f>
        <v>0</v>
      </c>
      <c r="K2165" s="10" t="str">
        <f ca="1">IFERROR(__xludf.DUMMYFUNCTION("""COMPUTED_VALUE"""),"https://www.columbine-angels.com/School_Violence_2006-2007.htm")</f>
        <v>https://www.columbine-angels.com/School_Violence_2006-2007.htm</v>
      </c>
      <c r="L2165" s="8"/>
      <c r="M2165" s="8"/>
      <c r="N2165" s="8">
        <f ca="1">IFERROR(__xludf.DUMMYFUNCTION("""COMPUTED_VALUE"""),1)</f>
        <v>1</v>
      </c>
      <c r="O2165" s="8" t="str">
        <f ca="1">IFERROR(__xludf.DUMMYFUNCTION("""COMPUTED_VALUE"""),"Spring")</f>
        <v>Spring</v>
      </c>
      <c r="P2165" s="8" t="str">
        <f ca="1">IFERROR(__xludf.DUMMYFUNCTION("""COMPUTED_VALUE"""),"Orlando")</f>
        <v>Orlando</v>
      </c>
      <c r="Q2165" s="8" t="str">
        <f ca="1">IFERROR(__xludf.DUMMYFUNCTION("""COMPUTED_VALUE"""),"FL")</f>
        <v>FL</v>
      </c>
      <c r="R2165" s="8" t="str">
        <f ca="1">IFERROR(__xludf.DUMMYFUNCTION("""COMPUTED_VALUE"""),"Elementary")</f>
        <v>Elementary</v>
      </c>
      <c r="S2165" s="8" t="str">
        <f ca="1">IFERROR(__xludf.DUMMYFUNCTION("""COMPUTED_VALUE"""),"Bathroom")</f>
        <v>Bathroom</v>
      </c>
      <c r="T2165" s="8" t="str">
        <f ca="1">IFERROR(__xludf.DUMMYFUNCTION("""COMPUTED_VALUE"""),"Inside School Building")</f>
        <v>Inside School Building</v>
      </c>
      <c r="U2165" s="8" t="str">
        <f ca="1">IFERROR(__xludf.DUMMYFUNCTION("""COMPUTED_VALUE"""),"Yes")</f>
        <v>Yes</v>
      </c>
      <c r="V2165" s="8" t="str">
        <f ca="1">IFERROR(__xludf.DUMMYFUNCTION("""COMPUTED_VALUE"""),"Afternoon Classes")</f>
        <v>Afternoon Classes</v>
      </c>
      <c r="W2165" s="11">
        <f ca="1">IFERROR(__xludf.DUMMYFUNCTION("""COMPUTED_VALUE"""),0.625)</f>
        <v>0.625</v>
      </c>
      <c r="X2165" s="8">
        <f ca="1">IFERROR(__xludf.DUMMYFUNCTION("""COMPUTED_VALUE"""),1)</f>
        <v>1</v>
      </c>
      <c r="Y2165" s="12" t="str">
        <f ca="1">IFERROR(__xludf.DUMMYFUNCTION("""COMPUTED_VALUE"""),"Two students held down 3rd student and shot him with pellet gun")</f>
        <v>Two students held down 3rd student and shot him with pellet gun</v>
      </c>
      <c r="Z2165" s="12" t="str">
        <f ca="1">IFERROR(__xludf.DUMMYFUNCTION("""COMPUTED_VALUE"""),"Two male students (12 and 10) went into one of their school's restrooms and pulled out a pellet gun they had hidden in a backpack.  An unidentified third-grader entered the bathroom to use the facilities. The older students grabbed the younger boy, held h"&amp;"im down and fired the pellet gun at his arm and chest. The younger student suffered major bruising to his skin, however the pellets did not penetrate his skin.")</f>
        <v>Two male students (12 and 10) went into one of their school's restrooms and pulled out a pellet gun they had hidden in a backpack.  An unidentified third-grader entered the bathroom to use the facilities. The older students grabbed the younger boy, held him down and fired the pellet gun at his arm and chest. The younger student suffered major bruising to his skin, however the pellets did not penetrate his skin.</v>
      </c>
      <c r="AA2165" s="8" t="str">
        <f ca="1">IFERROR(__xludf.DUMMYFUNCTION("""COMPUTED_VALUE"""),"Bullying")</f>
        <v>Bullying</v>
      </c>
      <c r="AB2165" s="8"/>
      <c r="AC2165" s="8" t="str">
        <f ca="1">IFERROR(__xludf.DUMMYFUNCTION("""COMPUTED_VALUE"""),"Yes")</f>
        <v>Yes</v>
      </c>
      <c r="AD2165" s="8" t="str">
        <f ca="1">IFERROR(__xludf.DUMMYFUNCTION("""COMPUTED_VALUE"""),"Random Shooting")</f>
        <v>Random Shooting</v>
      </c>
      <c r="AE2165" s="8" t="str">
        <f ca="1">IFERROR(__xludf.DUMMYFUNCTION("""COMPUTED_VALUE"""),"Yes")</f>
        <v>Yes</v>
      </c>
      <c r="AF2165" s="8" t="str">
        <f ca="1">IFERROR(__xludf.DUMMYFUNCTION("""COMPUTED_VALUE"""),"Two students held down victim")</f>
        <v>Two students held down victim</v>
      </c>
      <c r="AG2165" s="8" t="str">
        <f ca="1">IFERROR(__xludf.DUMMYFUNCTION("""COMPUTED_VALUE"""),"No")</f>
        <v>No</v>
      </c>
      <c r="AH2165" s="8" t="str">
        <f ca="1">IFERROR(__xludf.DUMMYFUNCTION("""COMPUTED_VALUE"""),"No")</f>
        <v>No</v>
      </c>
      <c r="AI2165" s="8" t="str">
        <f ca="1">IFERROR(__xludf.DUMMYFUNCTION("""COMPUTED_VALUE"""),"No")</f>
        <v>No</v>
      </c>
      <c r="AJ2165" s="8" t="str">
        <f ca="1">IFERROR(__xludf.DUMMYFUNCTION("""COMPUTED_VALUE"""),"Yes")</f>
        <v>Yes</v>
      </c>
      <c r="AK2165" s="8" t="str">
        <f ca="1">IFERROR(__xludf.DUMMYFUNCTION("""COMPUTED_VALUE"""),"No")</f>
        <v>No</v>
      </c>
      <c r="AL2165" s="8" t="str">
        <f ca="1">IFERROR(__xludf.DUMMYFUNCTION("""COMPUTED_VALUE"""),"No")</f>
        <v>No</v>
      </c>
      <c r="AM2165" s="8"/>
      <c r="AN2165" s="8"/>
      <c r="AO2165" s="8" t="str">
        <f ca="1">IFERROR(__xludf.DUMMYFUNCTION("""COMPUTED_VALUE"""),"No")</f>
        <v>No</v>
      </c>
      <c r="AP2165" s="8"/>
      <c r="AQ2165" s="8" t="str">
        <f ca="1">IFERROR(__xludf.DUMMYFUNCTION("""COMPUTED_VALUE"""),"Unknown")</f>
        <v>Unknown</v>
      </c>
      <c r="AR2165" s="8" t="str">
        <f ca="1">IFERROR(__xludf.DUMMYFUNCTION("""COMPUTED_VALUE"""),"NA")</f>
        <v>NA</v>
      </c>
      <c r="AS2165" s="8" t="str">
        <f ca="1">IFERROR(__xludf.DUMMYFUNCTION("""COMPUTED_VALUE"""),"&lt;5")</f>
        <v>&lt;5</v>
      </c>
      <c r="AT2165" s="8"/>
      <c r="AU2165" s="8">
        <f ca="1">IFERROR(__xludf.DUMMYFUNCTION("""COMPUTED_VALUE"""),28.567313)</f>
        <v>28.567312999999999</v>
      </c>
      <c r="AV2165" s="8">
        <f ca="1">IFERROR(__xludf.DUMMYFUNCTION("""COMPUTED_VALUE"""),-81.246112)</f>
        <v>-81.246111999999997</v>
      </c>
      <c r="AW2165" s="8"/>
      <c r="AX2165" s="8">
        <f ca="1">IFERROR(__xludf.DUMMYFUNCTION("""COMPUTED_VALUE"""),32817)</f>
        <v>32817</v>
      </c>
    </row>
    <row r="2166" spans="1:50" ht="195" x14ac:dyDescent="0.2">
      <c r="A2166" s="8" t="str">
        <f ca="1">IFERROR(__xludf.DUMMYFUNCTION("""COMPUTED_VALUE"""),"20070308TNEAC")</f>
        <v>20070308TNEAC</v>
      </c>
      <c r="B2166" s="8">
        <f ca="1">IFERROR(__xludf.DUMMYFUNCTION("""COMPUTED_VALUE"""),3)</f>
        <v>3</v>
      </c>
      <c r="C2166" s="8">
        <f ca="1">IFERROR(__xludf.DUMMYFUNCTION("""COMPUTED_VALUE"""),8)</f>
        <v>8</v>
      </c>
      <c r="D2166" s="8">
        <f ca="1">IFERROR(__xludf.DUMMYFUNCTION("""COMPUTED_VALUE"""),2007)</f>
        <v>2007</v>
      </c>
      <c r="E2166" s="9">
        <f ca="1">IFERROR(__xludf.DUMMYFUNCTION("""COMPUTED_VALUE"""),39149)</f>
        <v>39149</v>
      </c>
      <c r="F2166" s="8" t="str">
        <f ca="1">IFERROR(__xludf.DUMMYFUNCTION("""COMPUTED_VALUE"""),"East Ridge High School")</f>
        <v>East Ridge High School</v>
      </c>
      <c r="G2166" s="8">
        <f ca="1">IFERROR(__xludf.DUMMYFUNCTION("""COMPUTED_VALUE"""),0)</f>
        <v>0</v>
      </c>
      <c r="H2166" s="8">
        <f ca="1">IFERROR(__xludf.DUMMYFUNCTION("""COMPUTED_VALUE"""),0)</f>
        <v>0</v>
      </c>
      <c r="I2166" s="8">
        <f ca="1">IFERROR(__xludf.DUMMYFUNCTION("""COMPUTED_VALUE"""),0)</f>
        <v>0</v>
      </c>
      <c r="J2166" s="8">
        <f ca="1">IFERROR(__xludf.DUMMYFUNCTION("""COMPUTED_VALUE"""),0)</f>
        <v>0</v>
      </c>
      <c r="K2166" s="10" t="str">
        <f ca="1">IFERROR(__xludf.DUMMYFUNCTION("""COMPUTED_VALUE"""),"https://www.newspapers.com/image/284085985/?terms=east%2Bridge%2Bhigh%2Bschool")</f>
        <v>https://www.newspapers.com/image/284085985/?terms=east%2Bridge%2Bhigh%2Bschool</v>
      </c>
      <c r="L2166" s="8"/>
      <c r="M2166" s="8"/>
      <c r="N2166" s="8">
        <f ca="1">IFERROR(__xludf.DUMMYFUNCTION("""COMPUTED_VALUE"""),2)</f>
        <v>2</v>
      </c>
      <c r="O2166" s="8" t="str">
        <f ca="1">IFERROR(__xludf.DUMMYFUNCTION("""COMPUTED_VALUE"""),"Spring")</f>
        <v>Spring</v>
      </c>
      <c r="P2166" s="8" t="str">
        <f ca="1">IFERROR(__xludf.DUMMYFUNCTION("""COMPUTED_VALUE"""),"Chattanooga")</f>
        <v>Chattanooga</v>
      </c>
      <c r="Q2166" s="8" t="str">
        <f ca="1">IFERROR(__xludf.DUMMYFUNCTION("""COMPUTED_VALUE"""),"TN")</f>
        <v>TN</v>
      </c>
      <c r="R2166" s="8" t="str">
        <f ca="1">IFERROR(__xludf.DUMMYFUNCTION("""COMPUTED_VALUE"""),"High")</f>
        <v>High</v>
      </c>
      <c r="S2166" s="8" t="str">
        <f ca="1">IFERROR(__xludf.DUMMYFUNCTION("""COMPUTED_VALUE"""),"Hallway")</f>
        <v>Hallway</v>
      </c>
      <c r="T2166" s="8" t="str">
        <f ca="1">IFERROR(__xludf.DUMMYFUNCTION("""COMPUTED_VALUE"""),"Inside School Building")</f>
        <v>Inside School Building</v>
      </c>
      <c r="U2166" s="8" t="str">
        <f ca="1">IFERROR(__xludf.DUMMYFUNCTION("""COMPUTED_VALUE"""),"Yes")</f>
        <v>Yes</v>
      </c>
      <c r="V2166" s="8" t="str">
        <f ca="1">IFERROR(__xludf.DUMMYFUNCTION("""COMPUTED_VALUE"""),"After School")</f>
        <v>After School</v>
      </c>
      <c r="W2166" s="11">
        <f ca="1">IFERROR(__xludf.DUMMYFUNCTION("""COMPUTED_VALUE"""),0.597222222222222)</f>
        <v>0.59722222222222199</v>
      </c>
      <c r="X2166" s="8">
        <f ca="1">IFERROR(__xludf.DUMMYFUNCTION("""COMPUTED_VALUE"""),1)</f>
        <v>1</v>
      </c>
      <c r="Y2166" s="12" t="str">
        <f ca="1">IFERROR(__xludf.DUMMYFUNCTION("""COMPUTED_VALUE"""),"Former custodian confronts school custodian over his love interest of her")</f>
        <v>Former custodian confronts school custodian over his love interest of her</v>
      </c>
      <c r="Z2166" s="12" t="str">
        <f ca="1">IFERROR(__xludf.DUMMYFUNCTION("""COMPUTED_VALUE"""),"62YOM former custodian at East Ridge, went back to the school today to talk to a female custodian.  He had been harassing the unnamed female by trying to create a relationship, which she rebuffed.  He entered the school through an unwatched side door over"&amp;" an hour after classes had ended (and most students had left the building).  The two custodians got into an argument.  The argument ended when Robert attempted suicide by shooting himself in the chest with a 9mm handgun.  He was taken to Erlanger Medical "&amp;"Center and is listed in critical condition.  Police charged him with stalking, carrying a weapon on school property, aggravated assault, felony reckless endangerment and unlawful possession of a firearm.")</f>
        <v>62YOM former custodian at East Ridge, went back to the school today to talk to a female custodian.  He had been harassing the unnamed female by trying to create a relationship, which she rebuffed.  He entered the school through an unwatched side door over an hour after classes had ended (and most students had left the building).  The two custodians got into an argument.  The argument ended when Robert attempted suicide by shooting himself in the chest with a 9mm handgun.  He was taken to Erlanger Medical Center and is listed in critical condition.  Police charged him with stalking, carrying a weapon on school property, aggravated assault, felony reckless endangerment and unlawful possession of a firearm.</v>
      </c>
      <c r="AA2166" s="8" t="str">
        <f ca="1">IFERROR(__xludf.DUMMYFUNCTION("""COMPUTED_VALUE"""),"Suicide/Attempted")</f>
        <v>Suicide/Attempted</v>
      </c>
      <c r="AB2166" s="8"/>
      <c r="AC2166" s="8" t="str">
        <f ca="1">IFERROR(__xludf.DUMMYFUNCTION("""COMPUTED_VALUE"""),"Yes")</f>
        <v>Yes</v>
      </c>
      <c r="AD2166" s="8" t="str">
        <f ca="1">IFERROR(__xludf.DUMMYFUNCTION("""COMPUTED_VALUE"""),"Victims Targeted")</f>
        <v>Victims Targeted</v>
      </c>
      <c r="AE2166" s="8" t="str">
        <f ca="1">IFERROR(__xludf.DUMMYFUNCTION("""COMPUTED_VALUE"""),"No")</f>
        <v>No</v>
      </c>
      <c r="AF2166" s="8"/>
      <c r="AG2166" s="8" t="str">
        <f ca="1">IFERROR(__xludf.DUMMYFUNCTION("""COMPUTED_VALUE"""),"No")</f>
        <v>No</v>
      </c>
      <c r="AH2166" s="8" t="str">
        <f ca="1">IFERROR(__xludf.DUMMYFUNCTION("""COMPUTED_VALUE"""),"No")</f>
        <v>No</v>
      </c>
      <c r="AI2166" s="8" t="str">
        <f ca="1">IFERROR(__xludf.DUMMYFUNCTION("""COMPUTED_VALUE"""),"No")</f>
        <v>No</v>
      </c>
      <c r="AJ2166" s="8" t="str">
        <f ca="1">IFERROR(__xludf.DUMMYFUNCTION("""COMPUTED_VALUE"""),"No")</f>
        <v>No</v>
      </c>
      <c r="AK2166" s="8" t="str">
        <f ca="1">IFERROR(__xludf.DUMMYFUNCTION("""COMPUTED_VALUE"""),"Yes")</f>
        <v>Yes</v>
      </c>
      <c r="AL2166" s="8" t="str">
        <f ca="1">IFERROR(__xludf.DUMMYFUNCTION("""COMPUTED_VALUE"""),"No")</f>
        <v>No</v>
      </c>
      <c r="AM2166" s="8"/>
      <c r="AN2166" s="8"/>
      <c r="AO2166" s="8" t="str">
        <f ca="1">IFERROR(__xludf.DUMMYFUNCTION("""COMPUTED_VALUE"""),"No")</f>
        <v>No</v>
      </c>
      <c r="AP2166" s="8"/>
      <c r="AQ2166" s="8" t="str">
        <f ca="1">IFERROR(__xludf.DUMMYFUNCTION("""COMPUTED_VALUE"""),"Unknown")</f>
        <v>Unknown</v>
      </c>
      <c r="AR2166" s="8" t="str">
        <f ca="1">IFERROR(__xludf.DUMMYFUNCTION("""COMPUTED_VALUE"""),"NA")</f>
        <v>NA</v>
      </c>
      <c r="AS2166" s="8">
        <f ca="1">IFERROR(__xludf.DUMMYFUNCTION("""COMPUTED_VALUE"""),1)</f>
        <v>1</v>
      </c>
      <c r="AT2166" s="8"/>
      <c r="AU2166" s="8">
        <f ca="1">IFERROR(__xludf.DUMMYFUNCTION("""COMPUTED_VALUE"""),34.987124)</f>
        <v>34.987124000000001</v>
      </c>
      <c r="AV2166" s="8">
        <f ca="1">IFERROR(__xludf.DUMMYFUNCTION("""COMPUTED_VALUE"""),-85.245526)</f>
        <v>-85.245525999999998</v>
      </c>
      <c r="AW2166" s="8"/>
      <c r="AX2166" s="8">
        <f ca="1">IFERROR(__xludf.DUMMYFUNCTION("""COMPUTED_VALUE"""),37412)</f>
        <v>37412</v>
      </c>
    </row>
    <row r="2167" spans="1:50" ht="45" x14ac:dyDescent="0.2">
      <c r="A2167" s="8" t="str">
        <f ca="1">IFERROR(__xludf.DUMMYFUNCTION("""COMPUTED_VALUE"""),"20070307TXGRG")</f>
        <v>20070307TXGRG</v>
      </c>
      <c r="B2167" s="8">
        <f ca="1">IFERROR(__xludf.DUMMYFUNCTION("""COMPUTED_VALUE"""),3)</f>
        <v>3</v>
      </c>
      <c r="C2167" s="8">
        <f ca="1">IFERROR(__xludf.DUMMYFUNCTION("""COMPUTED_VALUE"""),7)</f>
        <v>7</v>
      </c>
      <c r="D2167" s="8">
        <f ca="1">IFERROR(__xludf.DUMMYFUNCTION("""COMPUTED_VALUE"""),2007)</f>
        <v>2007</v>
      </c>
      <c r="E2167" s="9">
        <f ca="1">IFERROR(__xludf.DUMMYFUNCTION("""COMPUTED_VALUE"""),39148)</f>
        <v>39148</v>
      </c>
      <c r="F2167" s="8" t="str">
        <f ca="1">IFERROR(__xludf.DUMMYFUNCTION("""COMPUTED_VALUE"""),"Greenville High School")</f>
        <v>Greenville High School</v>
      </c>
      <c r="G2167" s="8">
        <f ca="1">IFERROR(__xludf.DUMMYFUNCTION("""COMPUTED_VALUE"""),0)</f>
        <v>0</v>
      </c>
      <c r="H2167" s="8">
        <f ca="1">IFERROR(__xludf.DUMMYFUNCTION("""COMPUTED_VALUE"""),0)</f>
        <v>0</v>
      </c>
      <c r="I2167" s="8">
        <f ca="1">IFERROR(__xludf.DUMMYFUNCTION("""COMPUTED_VALUE"""),0)</f>
        <v>0</v>
      </c>
      <c r="J2167" s="8">
        <f ca="1">IFERROR(__xludf.DUMMYFUNCTION("""COMPUTED_VALUE"""),1)</f>
        <v>1</v>
      </c>
      <c r="K2167" s="10" t="str">
        <f ca="1">IFERROR(__xludf.DUMMYFUNCTION("""COMPUTED_VALUE"""),"http://www.heraldbanner.com/archives/shooting-shocks-ghs/article_411a3183-9998-56eb-9c2a-ed8b1c9788c2.html")</f>
        <v>http://www.heraldbanner.com/archives/shooting-shocks-ghs/article_411a3183-9998-56eb-9c2a-ed8b1c9788c2.html</v>
      </c>
      <c r="L2167" s="8"/>
      <c r="M2167" s="8"/>
      <c r="N2167" s="8">
        <f ca="1">IFERROR(__xludf.DUMMYFUNCTION("""COMPUTED_VALUE"""),2)</f>
        <v>2</v>
      </c>
      <c r="O2167" s="8" t="str">
        <f ca="1">IFERROR(__xludf.DUMMYFUNCTION("""COMPUTED_VALUE"""),"Spring")</f>
        <v>Spring</v>
      </c>
      <c r="P2167" s="8" t="str">
        <f ca="1">IFERROR(__xludf.DUMMYFUNCTION("""COMPUTED_VALUE"""),"Greenville")</f>
        <v>Greenville</v>
      </c>
      <c r="Q2167" s="8" t="str">
        <f ca="1">IFERROR(__xludf.DUMMYFUNCTION("""COMPUTED_VALUE"""),"TX")</f>
        <v>TX</v>
      </c>
      <c r="R2167" s="8" t="str">
        <f ca="1">IFERROR(__xludf.DUMMYFUNCTION("""COMPUTED_VALUE"""),"High")</f>
        <v>High</v>
      </c>
      <c r="S2167" s="8" t="str">
        <f ca="1">IFERROR(__xludf.DUMMYFUNCTION("""COMPUTED_VALUE"""),"Classroom")</f>
        <v>Classroom</v>
      </c>
      <c r="T2167" s="8" t="str">
        <f ca="1">IFERROR(__xludf.DUMMYFUNCTION("""COMPUTED_VALUE"""),"Inside School Building")</f>
        <v>Inside School Building</v>
      </c>
      <c r="U2167" s="8" t="str">
        <f ca="1">IFERROR(__xludf.DUMMYFUNCTION("""COMPUTED_VALUE"""),"Yes")</f>
        <v>Yes</v>
      </c>
      <c r="V2167" s="8" t="str">
        <f ca="1">IFERROR(__xludf.DUMMYFUNCTION("""COMPUTED_VALUE"""),"School Start")</f>
        <v>School Start</v>
      </c>
      <c r="W2167" s="11">
        <f ca="1">IFERROR(__xludf.DUMMYFUNCTION("""COMPUTED_VALUE"""),0.302083333333333)</f>
        <v>0.30208333333333298</v>
      </c>
      <c r="X2167" s="8">
        <f ca="1">IFERROR(__xludf.DUMMYFUNCTION("""COMPUTED_VALUE"""),1)</f>
        <v>1</v>
      </c>
      <c r="Y2167" s="12" t="str">
        <f ca="1">IFERROR(__xludf.DUMMYFUNCTION("""COMPUTED_VALUE"""),"Shot self in band room")</f>
        <v>Shot self in band room</v>
      </c>
      <c r="Z2167" s="12" t="str">
        <f ca="1">IFERROR(__xludf.DUMMYFUNCTION("""COMPUTED_VALUE"""),"16YOM student shot self in bandroom. Report of the shooting caused a panic with parents rushing to the school resulting in a car accident in front of the school building.")</f>
        <v>16YOM student shot self in bandroom. Report of the shooting caused a panic with parents rushing to the school resulting in a car accident in front of the school building.</v>
      </c>
      <c r="AA2167" s="8" t="str">
        <f ca="1">IFERROR(__xludf.DUMMYFUNCTION("""COMPUTED_VALUE"""),"Suicide/Attempted")</f>
        <v>Suicide/Attempted</v>
      </c>
      <c r="AB2167" s="8"/>
      <c r="AC2167" s="8" t="str">
        <f ca="1">IFERROR(__xludf.DUMMYFUNCTION("""COMPUTED_VALUE"""),"Yes")</f>
        <v>Yes</v>
      </c>
      <c r="AD2167" s="8" t="str">
        <f ca="1">IFERROR(__xludf.DUMMYFUNCTION("""COMPUTED_VALUE"""),"Victims Targeted")</f>
        <v>Victims Targeted</v>
      </c>
      <c r="AE2167" s="8" t="str">
        <f ca="1">IFERROR(__xludf.DUMMYFUNCTION("""COMPUTED_VALUE"""),"No")</f>
        <v>No</v>
      </c>
      <c r="AF2167" s="8"/>
      <c r="AG2167" s="8" t="str">
        <f ca="1">IFERROR(__xludf.DUMMYFUNCTION("""COMPUTED_VALUE"""),"No")</f>
        <v>No</v>
      </c>
      <c r="AH2167" s="8" t="str">
        <f ca="1">IFERROR(__xludf.DUMMYFUNCTION("""COMPUTED_VALUE"""),"No")</f>
        <v>No</v>
      </c>
      <c r="AI2167" s="8" t="str">
        <f ca="1">IFERROR(__xludf.DUMMYFUNCTION("""COMPUTED_VALUE"""),"No")</f>
        <v>No</v>
      </c>
      <c r="AJ2167" s="8" t="str">
        <f ca="1">IFERROR(__xludf.DUMMYFUNCTION("""COMPUTED_VALUE"""),"No")</f>
        <v>No</v>
      </c>
      <c r="AK2167" s="8" t="str">
        <f ca="1">IFERROR(__xludf.DUMMYFUNCTION("""COMPUTED_VALUE"""),"No")</f>
        <v>No</v>
      </c>
      <c r="AL2167" s="8" t="str">
        <f ca="1">IFERROR(__xludf.DUMMYFUNCTION("""COMPUTED_VALUE"""),"No")</f>
        <v>No</v>
      </c>
      <c r="AM2167" s="8"/>
      <c r="AN2167" s="8"/>
      <c r="AO2167" s="8" t="str">
        <f ca="1">IFERROR(__xludf.DUMMYFUNCTION("""COMPUTED_VALUE"""),"No")</f>
        <v>No</v>
      </c>
      <c r="AP2167" s="8"/>
      <c r="AQ2167" s="8" t="str">
        <f ca="1">IFERROR(__xludf.DUMMYFUNCTION("""COMPUTED_VALUE"""),"Unknown")</f>
        <v>Unknown</v>
      </c>
      <c r="AR2167" s="8" t="str">
        <f ca="1">IFERROR(__xludf.DUMMYFUNCTION("""COMPUTED_VALUE"""),"NA")</f>
        <v>NA</v>
      </c>
      <c r="AS2167" s="8">
        <f ca="1">IFERROR(__xludf.DUMMYFUNCTION("""COMPUTED_VALUE"""),1)</f>
        <v>1</v>
      </c>
      <c r="AT2167" s="8"/>
      <c r="AU2167" s="8">
        <f ca="1">IFERROR(__xludf.DUMMYFUNCTION("""COMPUTED_VALUE"""),33.104414)</f>
        <v>33.104413999999998</v>
      </c>
      <c r="AV2167" s="8">
        <f ca="1">IFERROR(__xludf.DUMMYFUNCTION("""COMPUTED_VALUE"""),-96.120049)</f>
        <v>-96.120048999999995</v>
      </c>
      <c r="AW2167" s="8"/>
      <c r="AX2167" s="8">
        <f ca="1">IFERROR(__xludf.DUMMYFUNCTION("""COMPUTED_VALUE"""),75402)</f>
        <v>75402</v>
      </c>
    </row>
    <row r="2168" spans="1:50" ht="75" x14ac:dyDescent="0.2">
      <c r="A2168" s="8" t="str">
        <f ca="1">IFERROR(__xludf.DUMMYFUNCTION("""COMPUTED_VALUE"""),"20070307MIHEM")</f>
        <v>20070307MIHEM</v>
      </c>
      <c r="B2168" s="8">
        <f ca="1">IFERROR(__xludf.DUMMYFUNCTION("""COMPUTED_VALUE"""),3)</f>
        <v>3</v>
      </c>
      <c r="C2168" s="8">
        <f ca="1">IFERROR(__xludf.DUMMYFUNCTION("""COMPUTED_VALUE"""),7)</f>
        <v>7</v>
      </c>
      <c r="D2168" s="8">
        <f ca="1">IFERROR(__xludf.DUMMYFUNCTION("""COMPUTED_VALUE"""),2007)</f>
        <v>2007</v>
      </c>
      <c r="E2168" s="9">
        <f ca="1">IFERROR(__xludf.DUMMYFUNCTION("""COMPUTED_VALUE"""),39148)</f>
        <v>39148</v>
      </c>
      <c r="F2168" s="8" t="str">
        <f ca="1">IFERROR(__xludf.DUMMYFUNCTION("""COMPUTED_VALUE"""),"Herbert Henry Dow High School")</f>
        <v>Herbert Henry Dow High School</v>
      </c>
      <c r="G2168" s="8">
        <f ca="1">IFERROR(__xludf.DUMMYFUNCTION("""COMPUTED_VALUE"""),0)</f>
        <v>0</v>
      </c>
      <c r="H2168" s="8">
        <f ca="1">IFERROR(__xludf.DUMMYFUNCTION("""COMPUTED_VALUE"""),1)</f>
        <v>1</v>
      </c>
      <c r="I2168" s="8">
        <f ca="1">IFERROR(__xludf.DUMMYFUNCTION("""COMPUTED_VALUE"""),1)</f>
        <v>1</v>
      </c>
      <c r="J2168" s="8">
        <f ca="1">IFERROR(__xludf.DUMMYFUNCTION("""COMPUTED_VALUE"""),1)</f>
        <v>1</v>
      </c>
      <c r="K2168" s="8" t="str">
        <f ca="1">IFERROR(__xludf.DUMMYFUNCTION("""COMPUTED_VALUE"""),"https://www.ourmidland.com/news/article/One-dead-one-hurt-in-Dow-High-shooting-7037728.php
https://www.detroitnews.com/story/news/local/oakland-county/2021/11/30/school-shootings-michigan-oxford-high-school-history-bath-school-bombing/8812624002/")</f>
        <v>https://www.ourmidland.com/news/article/One-dead-one-hurt-in-Dow-High-shooting-7037728.php
https://www.detroitnews.com/story/news/local/oakland-county/2021/11/30/school-shootings-michigan-oxford-high-school-history-bath-school-bombing/8812624002/</v>
      </c>
      <c r="L2168" s="8"/>
      <c r="M2168" s="8"/>
      <c r="N2168" s="8">
        <f ca="1">IFERROR(__xludf.DUMMYFUNCTION("""COMPUTED_VALUE"""),3)</f>
        <v>3</v>
      </c>
      <c r="O2168" s="8" t="str">
        <f ca="1">IFERROR(__xludf.DUMMYFUNCTION("""COMPUTED_VALUE"""),"Spring")</f>
        <v>Spring</v>
      </c>
      <c r="P2168" s="8" t="str">
        <f ca="1">IFERROR(__xludf.DUMMYFUNCTION("""COMPUTED_VALUE"""),"Midland")</f>
        <v>Midland</v>
      </c>
      <c r="Q2168" s="8" t="str">
        <f ca="1">IFERROR(__xludf.DUMMYFUNCTION("""COMPUTED_VALUE"""),"MI")</f>
        <v>MI</v>
      </c>
      <c r="R2168" s="8" t="str">
        <f ca="1">IFERROR(__xludf.DUMMYFUNCTION("""COMPUTED_VALUE"""),"High")</f>
        <v>High</v>
      </c>
      <c r="S2168" s="8" t="str">
        <f ca="1">IFERROR(__xludf.DUMMYFUNCTION("""COMPUTED_VALUE"""),"Parking Lot")</f>
        <v>Parking Lot</v>
      </c>
      <c r="T2168" s="8" t="str">
        <f ca="1">IFERROR(__xludf.DUMMYFUNCTION("""COMPUTED_VALUE"""),"Outside on School Property")</f>
        <v>Outside on School Property</v>
      </c>
      <c r="U2168" s="8" t="str">
        <f ca="1">IFERROR(__xludf.DUMMYFUNCTION("""COMPUTED_VALUE"""),"Yes")</f>
        <v>Yes</v>
      </c>
      <c r="V2168" s="8" t="str">
        <f ca="1">IFERROR(__xludf.DUMMYFUNCTION("""COMPUTED_VALUE"""),"Morning Classes")</f>
        <v>Morning Classes</v>
      </c>
      <c r="W2168" s="11">
        <f ca="1">IFERROR(__xludf.DUMMYFUNCTION("""COMPUTED_VALUE"""),0.45625)</f>
        <v>0.45624999999999999</v>
      </c>
      <c r="X2168" s="8">
        <f ca="1">IFERROR(__xludf.DUMMYFUNCTION("""COMPUTED_VALUE"""),1)</f>
        <v>1</v>
      </c>
      <c r="Y2168" s="12" t="str">
        <f ca="1">IFERROR(__xludf.DUMMYFUNCTION("""COMPUTED_VALUE"""),"Shot ex-girlfriend and self in the parking lot")</f>
        <v>Shot ex-girlfriend and self in the parking lot</v>
      </c>
      <c r="Z2168" s="12" t="str">
        <f ca="1">IFERROR(__xludf.DUMMYFUNCTION("""COMPUTED_VALUE"""),"17YOF had transferred to school to get away from ex-boyfriend. 17YOM ex-boyfriend confronted her in parking lot of her new school and shot her than killed himself. Gun was taken from locked safe in mother's bedroom. Shooter was diagnosed with bipolar diso"&amp;"rder.")</f>
        <v>17YOF had transferred to school to get away from ex-boyfriend. 17YOM ex-boyfriend confronted her in parking lot of her new school and shot her than killed himself. Gun was taken from locked safe in mother's bedroom. Shooter was diagnosed with bipolar disorder.</v>
      </c>
      <c r="AA2168" s="8" t="str">
        <f ca="1">IFERROR(__xludf.DUMMYFUNCTION("""COMPUTED_VALUE"""),"Murder/Suicide")</f>
        <v>Murder/Suicide</v>
      </c>
      <c r="AB2168" s="8" t="str">
        <f ca="1">IFERROR(__xludf.DUMMYFUNCTION("""COMPUTED_VALUE"""),"Targeted")</f>
        <v>Targeted</v>
      </c>
      <c r="AC2168" s="8" t="str">
        <f ca="1">IFERROR(__xludf.DUMMYFUNCTION("""COMPUTED_VALUE"""),"Yes")</f>
        <v>Yes</v>
      </c>
      <c r="AD2168" s="8" t="str">
        <f ca="1">IFERROR(__xludf.DUMMYFUNCTION("""COMPUTED_VALUE"""),"Victims Targeted")</f>
        <v>Victims Targeted</v>
      </c>
      <c r="AE2168" s="8" t="str">
        <f ca="1">IFERROR(__xludf.DUMMYFUNCTION("""COMPUTED_VALUE"""),"No")</f>
        <v>No</v>
      </c>
      <c r="AF2168" s="8"/>
      <c r="AG2168" s="8" t="str">
        <f ca="1">IFERROR(__xludf.DUMMYFUNCTION("""COMPUTED_VALUE"""),"No")</f>
        <v>No</v>
      </c>
      <c r="AH2168" s="8" t="str">
        <f ca="1">IFERROR(__xludf.DUMMYFUNCTION("""COMPUTED_VALUE"""),"No")</f>
        <v>No</v>
      </c>
      <c r="AI2168" s="8" t="str">
        <f ca="1">IFERROR(__xludf.DUMMYFUNCTION("""COMPUTED_VALUE"""),"No")</f>
        <v>No</v>
      </c>
      <c r="AJ2168" s="8" t="str">
        <f ca="1">IFERROR(__xludf.DUMMYFUNCTION("""COMPUTED_VALUE"""),"No")</f>
        <v>No</v>
      </c>
      <c r="AK2168" s="8" t="str">
        <f ca="1">IFERROR(__xludf.DUMMYFUNCTION("""COMPUTED_VALUE"""),"Yes")</f>
        <v>Yes</v>
      </c>
      <c r="AL2168" s="8" t="str">
        <f ca="1">IFERROR(__xludf.DUMMYFUNCTION("""COMPUTED_VALUE"""),"No")</f>
        <v>No</v>
      </c>
      <c r="AM2168" s="8"/>
      <c r="AN2168" s="8"/>
      <c r="AO2168" s="8" t="str">
        <f ca="1">IFERROR(__xludf.DUMMYFUNCTION("""COMPUTED_VALUE"""),"No")</f>
        <v>No</v>
      </c>
      <c r="AP2168" s="8" t="str">
        <f ca="1">IFERROR(__xludf.DUMMYFUNCTION("""COMPUTED_VALUE"""),"No")</f>
        <v>No</v>
      </c>
      <c r="AQ2168" s="8" t="str">
        <f ca="1">IFERROR(__xludf.DUMMYFUNCTION("""COMPUTED_VALUE"""),"Unknown")</f>
        <v>Unknown</v>
      </c>
      <c r="AR2168" s="8" t="str">
        <f ca="1">IFERROR(__xludf.DUMMYFUNCTION("""COMPUTED_VALUE"""),"NA")</f>
        <v>NA</v>
      </c>
      <c r="AS2168" s="8">
        <f ca="1">IFERROR(__xludf.DUMMYFUNCTION("""COMPUTED_VALUE"""),5)</f>
        <v>5</v>
      </c>
      <c r="AT2168" s="8"/>
      <c r="AU2168" s="8">
        <f ca="1">IFERROR(__xludf.DUMMYFUNCTION("""COMPUTED_VALUE"""),43.640327)</f>
        <v>43.640326999999999</v>
      </c>
      <c r="AV2168" s="8">
        <f ca="1">IFERROR(__xludf.DUMMYFUNCTION("""COMPUTED_VALUE"""),-84.275614)</f>
        <v>-84.275614000000004</v>
      </c>
      <c r="AW2168" s="8"/>
      <c r="AX2168" s="8">
        <f ca="1">IFERROR(__xludf.DUMMYFUNCTION("""COMPUTED_VALUE"""),48640)</f>
        <v>48640</v>
      </c>
    </row>
    <row r="2169" spans="1:50" ht="75" x14ac:dyDescent="0.2">
      <c r="A2169" s="8" t="str">
        <f ca="1">IFERROR(__xludf.DUMMYFUNCTION("""COMPUTED_VALUE"""),"20070307CACEC")</f>
        <v>20070307CACEC</v>
      </c>
      <c r="B2169" s="8">
        <f ca="1">IFERROR(__xludf.DUMMYFUNCTION("""COMPUTED_VALUE"""),3)</f>
        <v>3</v>
      </c>
      <c r="C2169" s="8">
        <f ca="1">IFERROR(__xludf.DUMMYFUNCTION("""COMPUTED_VALUE"""),7)</f>
        <v>7</v>
      </c>
      <c r="D2169" s="8">
        <f ca="1">IFERROR(__xludf.DUMMYFUNCTION("""COMPUTED_VALUE"""),2007)</f>
        <v>2007</v>
      </c>
      <c r="E2169" s="9">
        <f ca="1">IFERROR(__xludf.DUMMYFUNCTION("""COMPUTED_VALUE"""),39148)</f>
        <v>39148</v>
      </c>
      <c r="F2169" s="8" t="str">
        <f ca="1">IFERROR(__xludf.DUMMYFUNCTION("""COMPUTED_VALUE"""),"Centennial High School")</f>
        <v>Centennial High School</v>
      </c>
      <c r="G2169" s="8">
        <f ca="1">IFERROR(__xludf.DUMMYFUNCTION("""COMPUTED_VALUE"""),0)</f>
        <v>0</v>
      </c>
      <c r="H2169" s="8">
        <f ca="1">IFERROR(__xludf.DUMMYFUNCTION("""COMPUTED_VALUE"""),1)</f>
        <v>1</v>
      </c>
      <c r="I2169" s="8">
        <f ca="1">IFERROR(__xludf.DUMMYFUNCTION("""COMPUTED_VALUE"""),1)</f>
        <v>1</v>
      </c>
      <c r="J2169" s="8">
        <f ca="1">IFERROR(__xludf.DUMMYFUNCTION("""COMPUTED_VALUE"""),0)</f>
        <v>0</v>
      </c>
      <c r="K2169" s="8" t="str">
        <f ca="1">IFERROR(__xludf.DUMMYFUNCTION("""COMPUTED_VALUE"""),"https://www.presstelegram.com/2007/03/07/student-shot-in-compton/ http://articles.latimes.com/2007/mar/08/local/me-shooting8")</f>
        <v>https://www.presstelegram.com/2007/03/07/student-shot-in-compton/ http://articles.latimes.com/2007/mar/08/local/me-shooting8</v>
      </c>
      <c r="L2169" s="8"/>
      <c r="M2169" s="8"/>
      <c r="N2169" s="8">
        <f ca="1">IFERROR(__xludf.DUMMYFUNCTION("""COMPUTED_VALUE"""),3)</f>
        <v>3</v>
      </c>
      <c r="O2169" s="8" t="str">
        <f ca="1">IFERROR(__xludf.DUMMYFUNCTION("""COMPUTED_VALUE"""),"Spring")</f>
        <v>Spring</v>
      </c>
      <c r="P2169" s="8" t="str">
        <f ca="1">IFERROR(__xludf.DUMMYFUNCTION("""COMPUTED_VALUE"""),"Compton")</f>
        <v>Compton</v>
      </c>
      <c r="Q2169" s="8" t="str">
        <f ca="1">IFERROR(__xludf.DUMMYFUNCTION("""COMPUTED_VALUE"""),"CA")</f>
        <v>CA</v>
      </c>
      <c r="R2169" s="8" t="str">
        <f ca="1">IFERROR(__xludf.DUMMYFUNCTION("""COMPUTED_VALUE"""),"High")</f>
        <v>High</v>
      </c>
      <c r="S2169" s="8" t="str">
        <f ca="1">IFERROR(__xludf.DUMMYFUNCTION("""COMPUTED_VALUE"""),"Beside Building")</f>
        <v>Beside Building</v>
      </c>
      <c r="T2169" s="8" t="str">
        <f ca="1">IFERROR(__xludf.DUMMYFUNCTION("""COMPUTED_VALUE"""),"Outside on School Property")</f>
        <v>Outside on School Property</v>
      </c>
      <c r="U2169" s="8" t="str">
        <f ca="1">IFERROR(__xludf.DUMMYFUNCTION("""COMPUTED_VALUE"""),"No")</f>
        <v>No</v>
      </c>
      <c r="V2169" s="8" t="str">
        <f ca="1">IFERROR(__xludf.DUMMYFUNCTION("""COMPUTED_VALUE"""),"Afternoon Classes")</f>
        <v>Afternoon Classes</v>
      </c>
      <c r="W2169" s="11">
        <f ca="1">IFERROR(__xludf.DUMMYFUNCTION("""COMPUTED_VALUE"""),0.604166666666666)</f>
        <v>0.60416666666666596</v>
      </c>
      <c r="X2169" s="8">
        <f ca="1">IFERROR(__xludf.DUMMYFUNCTION("""COMPUTED_VALUE"""),1)</f>
        <v>1</v>
      </c>
      <c r="Y2169" s="12" t="str">
        <f ca="1">IFERROR(__xludf.DUMMYFUNCTION("""COMPUTED_VALUE"""),"Gang-related fight between non-students outside of school")</f>
        <v>Gang-related fight between non-students outside of school</v>
      </c>
      <c r="Z2169" s="12" t="str">
        <f ca="1">IFERROR(__xludf.DUMMYFUNCTION("""COMPUTED_VALUE"""),"Group of non-students approached a group of students outside of the school after the school day. During the altercation, a shot was fired striking a student in the arm. Shooter fled the scene. No suspect was identified. Police stated the shooting was gang"&amp;"-related.")</f>
        <v>Group of non-students approached a group of students outside of the school after the school day. During the altercation, a shot was fired striking a student in the arm. Shooter fled the scene. No suspect was identified. Police stated the shooting was gang-related.</v>
      </c>
      <c r="AA2169" s="8" t="str">
        <f ca="1">IFERROR(__xludf.DUMMYFUNCTION("""COMPUTED_VALUE"""),"Escalation of Dispute")</f>
        <v>Escalation of Dispute</v>
      </c>
      <c r="AB2169" s="8"/>
      <c r="AC2169" s="8" t="str">
        <f ca="1">IFERROR(__xludf.DUMMYFUNCTION("""COMPUTED_VALUE"""),"Yes")</f>
        <v>Yes</v>
      </c>
      <c r="AD2169" s="8" t="str">
        <f ca="1">IFERROR(__xludf.DUMMYFUNCTION("""COMPUTED_VALUE"""),"Victims Targeted")</f>
        <v>Victims Targeted</v>
      </c>
      <c r="AE2169" s="8" t="str">
        <f ca="1">IFERROR(__xludf.DUMMYFUNCTION("""COMPUTED_VALUE"""),"Yes")</f>
        <v>Yes</v>
      </c>
      <c r="AF2169" s="8" t="str">
        <f ca="1">IFERROR(__xludf.DUMMYFUNCTION("""COMPUTED_VALUE"""),"Group of students involved in fight")</f>
        <v>Group of students involved in fight</v>
      </c>
      <c r="AG2169" s="8" t="str">
        <f ca="1">IFERROR(__xludf.DUMMYFUNCTION("""COMPUTED_VALUE"""),"No")</f>
        <v>No</v>
      </c>
      <c r="AH2169" s="8" t="str">
        <f ca="1">IFERROR(__xludf.DUMMYFUNCTION("""COMPUTED_VALUE"""),"No")</f>
        <v>No</v>
      </c>
      <c r="AI2169" s="8" t="str">
        <f ca="1">IFERROR(__xludf.DUMMYFUNCTION("""COMPUTED_VALUE"""),"No")</f>
        <v>No</v>
      </c>
      <c r="AJ2169" s="8"/>
      <c r="AK2169" s="8" t="str">
        <f ca="1">IFERROR(__xludf.DUMMYFUNCTION("""COMPUTED_VALUE"""),"No")</f>
        <v>No</v>
      </c>
      <c r="AL2169" s="8" t="str">
        <f ca="1">IFERROR(__xludf.DUMMYFUNCTION("""COMPUTED_VALUE"""),"Yes")</f>
        <v>Yes</v>
      </c>
      <c r="AM2169" s="8"/>
      <c r="AN2169" s="8"/>
      <c r="AO2169" s="8" t="str">
        <f ca="1">IFERROR(__xludf.DUMMYFUNCTION("""COMPUTED_VALUE"""),"No")</f>
        <v>No</v>
      </c>
      <c r="AP2169" s="8"/>
      <c r="AQ2169" s="8" t="str">
        <f ca="1">IFERROR(__xludf.DUMMYFUNCTION("""COMPUTED_VALUE"""),"Unknown")</f>
        <v>Unknown</v>
      </c>
      <c r="AR2169" s="8" t="str">
        <f ca="1">IFERROR(__xludf.DUMMYFUNCTION("""COMPUTED_VALUE"""),"NA")</f>
        <v>NA</v>
      </c>
      <c r="AS2169" s="8" t="str">
        <f ca="1">IFERROR(__xludf.DUMMYFUNCTION("""COMPUTED_VALUE"""),"&lt;10")</f>
        <v>&lt;10</v>
      </c>
      <c r="AT2169" s="8"/>
      <c r="AU2169" s="8">
        <f ca="1">IFERROR(__xludf.DUMMYFUNCTION("""COMPUTED_VALUE"""),33.915303)</f>
        <v>33.915303000000002</v>
      </c>
      <c r="AV2169" s="8">
        <f ca="1">IFERROR(__xludf.DUMMYFUNCTION("""COMPUTED_VALUE"""),-118.253905)</f>
        <v>-118.253905</v>
      </c>
      <c r="AW2169" s="8"/>
      <c r="AX2169" s="8">
        <f ca="1">IFERROR(__xludf.DUMMYFUNCTION("""COMPUTED_VALUE"""),90059)</f>
        <v>90059</v>
      </c>
    </row>
    <row r="2170" spans="1:50" ht="45" x14ac:dyDescent="0.2">
      <c r="A2170" s="8" t="str">
        <f ca="1">IFERROR(__xludf.DUMMYFUNCTION("""COMPUTED_VALUE"""),"20070227GACLA")</f>
        <v>20070227GACLA</v>
      </c>
      <c r="B2170" s="8">
        <f ca="1">IFERROR(__xludf.DUMMYFUNCTION("""COMPUTED_VALUE"""),2)</f>
        <v>2</v>
      </c>
      <c r="C2170" s="8">
        <f ca="1">IFERROR(__xludf.DUMMYFUNCTION("""COMPUTED_VALUE"""),27)</f>
        <v>27</v>
      </c>
      <c r="D2170" s="8">
        <f ca="1">IFERROR(__xludf.DUMMYFUNCTION("""COMPUTED_VALUE"""),2007)</f>
        <v>2007</v>
      </c>
      <c r="E2170" s="9">
        <f ca="1">IFERROR(__xludf.DUMMYFUNCTION("""COMPUTED_VALUE"""),39140)</f>
        <v>39140</v>
      </c>
      <c r="F2170" s="8" t="str">
        <f ca="1">IFERROR(__xludf.DUMMYFUNCTION("""COMPUTED_VALUE"""),"Clifton Elementary School")</f>
        <v>Clifton Elementary School</v>
      </c>
      <c r="G2170" s="8">
        <f ca="1">IFERROR(__xludf.DUMMYFUNCTION("""COMPUTED_VALUE"""),0)</f>
        <v>0</v>
      </c>
      <c r="H2170" s="8">
        <f ca="1">IFERROR(__xludf.DUMMYFUNCTION("""COMPUTED_VALUE"""),1)</f>
        <v>1</v>
      </c>
      <c r="I2170" s="8">
        <f ca="1">IFERROR(__xludf.DUMMYFUNCTION("""COMPUTED_VALUE"""),1)</f>
        <v>1</v>
      </c>
      <c r="J2170" s="8">
        <f ca="1">IFERROR(__xludf.DUMMYFUNCTION("""COMPUTED_VALUE"""),0)</f>
        <v>0</v>
      </c>
      <c r="K2170" s="10" t="str">
        <f ca="1">IFERROR(__xludf.DUMMYFUNCTION("""COMPUTED_VALUE"""),"https://www.columbine-angels.com/School_Violence_2006-2007.htm")</f>
        <v>https://www.columbine-angels.com/School_Violence_2006-2007.htm</v>
      </c>
      <c r="L2170" s="8"/>
      <c r="M2170" s="8"/>
      <c r="N2170" s="8">
        <f ca="1">IFERROR(__xludf.DUMMYFUNCTION("""COMPUTED_VALUE"""),1)</f>
        <v>1</v>
      </c>
      <c r="O2170" s="8" t="str">
        <f ca="1">IFERROR(__xludf.DUMMYFUNCTION("""COMPUTED_VALUE"""),"Winter")</f>
        <v>Winter</v>
      </c>
      <c r="P2170" s="8" t="str">
        <f ca="1">IFERROR(__xludf.DUMMYFUNCTION("""COMPUTED_VALUE"""),"Atlanta")</f>
        <v>Atlanta</v>
      </c>
      <c r="Q2170" s="8" t="str">
        <f ca="1">IFERROR(__xludf.DUMMYFUNCTION("""COMPUTED_VALUE"""),"GA")</f>
        <v>GA</v>
      </c>
      <c r="R2170" s="8" t="str">
        <f ca="1">IFERROR(__xludf.DUMMYFUNCTION("""COMPUTED_VALUE"""),"Elementary")</f>
        <v>Elementary</v>
      </c>
      <c r="S2170" s="8" t="str">
        <f ca="1">IFERROR(__xludf.DUMMYFUNCTION("""COMPUTED_VALUE"""),"Bathroom")</f>
        <v>Bathroom</v>
      </c>
      <c r="T2170" s="8" t="str">
        <f ca="1">IFERROR(__xludf.DUMMYFUNCTION("""COMPUTED_VALUE"""),"Inside School Building")</f>
        <v>Inside School Building</v>
      </c>
      <c r="U2170" s="8" t="str">
        <f ca="1">IFERROR(__xludf.DUMMYFUNCTION("""COMPUTED_VALUE"""),"Yes")</f>
        <v>Yes</v>
      </c>
      <c r="V2170" s="8" t="str">
        <f ca="1">IFERROR(__xludf.DUMMYFUNCTION("""COMPUTED_VALUE"""),"Morning Classes")</f>
        <v>Morning Classes</v>
      </c>
      <c r="W2170" s="8"/>
      <c r="X2170" s="8">
        <f ca="1">IFERROR(__xludf.DUMMYFUNCTION("""COMPUTED_VALUE"""),1)</f>
        <v>1</v>
      </c>
      <c r="Y2170" s="12" t="str">
        <f ca="1">IFERROR(__xludf.DUMMYFUNCTION("""COMPUTED_VALUE"""),"Shot student in arm with BB gun in bathroom")</f>
        <v>Shot student in arm with BB gun in bathroom</v>
      </c>
      <c r="Z2170" s="12" t="str">
        <f ca="1">IFERROR(__xludf.DUMMYFUNCTION("""COMPUTED_VALUE"""),"In the boys bathroom, an unnamed male student pulled out a plastic pellet gun and shot 10YOM student in the arm.")</f>
        <v>In the boys bathroom, an unnamed male student pulled out a plastic pellet gun and shot 10YOM student in the arm.</v>
      </c>
      <c r="AA2170" s="8" t="str">
        <f ca="1">IFERROR(__xludf.DUMMYFUNCTION("""COMPUTED_VALUE"""),"Unknown")</f>
        <v>Unknown</v>
      </c>
      <c r="AB2170" s="8"/>
      <c r="AC2170" s="8" t="str">
        <f ca="1">IFERROR(__xludf.DUMMYFUNCTION("""COMPUTED_VALUE"""),"Yes")</f>
        <v>Yes</v>
      </c>
      <c r="AD2170" s="8"/>
      <c r="AE2170" s="8" t="str">
        <f ca="1">IFERROR(__xludf.DUMMYFUNCTION("""COMPUTED_VALUE"""),"No")</f>
        <v>No</v>
      </c>
      <c r="AF2170" s="8"/>
      <c r="AG2170" s="8" t="str">
        <f ca="1">IFERROR(__xludf.DUMMYFUNCTION("""COMPUTED_VALUE"""),"No")</f>
        <v>No</v>
      </c>
      <c r="AH2170" s="8" t="str">
        <f ca="1">IFERROR(__xludf.DUMMYFUNCTION("""COMPUTED_VALUE"""),"No")</f>
        <v>No</v>
      </c>
      <c r="AI2170" s="8" t="str">
        <f ca="1">IFERROR(__xludf.DUMMYFUNCTION("""COMPUTED_VALUE"""),"No")</f>
        <v>No</v>
      </c>
      <c r="AJ2170" s="8" t="str">
        <f ca="1">IFERROR(__xludf.DUMMYFUNCTION("""COMPUTED_VALUE"""),"No")</f>
        <v>No</v>
      </c>
      <c r="AK2170" s="8" t="str">
        <f ca="1">IFERROR(__xludf.DUMMYFUNCTION("""COMPUTED_VALUE"""),"No")</f>
        <v>No</v>
      </c>
      <c r="AL2170" s="8" t="str">
        <f ca="1">IFERROR(__xludf.DUMMYFUNCTION("""COMPUTED_VALUE"""),"No")</f>
        <v>No</v>
      </c>
      <c r="AM2170" s="8"/>
      <c r="AN2170" s="8"/>
      <c r="AO2170" s="8" t="str">
        <f ca="1">IFERROR(__xludf.DUMMYFUNCTION("""COMPUTED_VALUE"""),"No")</f>
        <v>No</v>
      </c>
      <c r="AP2170" s="8"/>
      <c r="AQ2170" s="8" t="str">
        <f ca="1">IFERROR(__xludf.DUMMYFUNCTION("""COMPUTED_VALUE"""),"Unknown")</f>
        <v>Unknown</v>
      </c>
      <c r="AR2170" s="8" t="str">
        <f ca="1">IFERROR(__xludf.DUMMYFUNCTION("""COMPUTED_VALUE"""),"NA")</f>
        <v>NA</v>
      </c>
      <c r="AS2170" s="8">
        <f ca="1">IFERROR(__xludf.DUMMYFUNCTION("""COMPUTED_VALUE"""),1)</f>
        <v>1</v>
      </c>
      <c r="AT2170" s="8"/>
      <c r="AU2170" s="8">
        <f ca="1">IFERROR(__xludf.DUMMYFUNCTION("""COMPUTED_VALUE"""),33.696518)</f>
        <v>33.696517999999998</v>
      </c>
      <c r="AV2170" s="8">
        <f ca="1">IFERROR(__xludf.DUMMYFUNCTION("""COMPUTED_VALUE"""),-84.301905)</f>
        <v>-84.301905000000005</v>
      </c>
      <c r="AW2170" s="8"/>
      <c r="AX2170" s="8">
        <f ca="1">IFERROR(__xludf.DUMMYFUNCTION("""COMPUTED_VALUE"""),30316)</f>
        <v>30316</v>
      </c>
    </row>
    <row r="2171" spans="1:50" ht="75" x14ac:dyDescent="0.2">
      <c r="A2171" s="8" t="str">
        <f ca="1">IFERROR(__xludf.DUMMYFUNCTION("""COMPUTED_VALUE"""),"20070226CASLA")</f>
        <v>20070226CASLA</v>
      </c>
      <c r="B2171" s="8">
        <f ca="1">IFERROR(__xludf.DUMMYFUNCTION("""COMPUTED_VALUE"""),2)</f>
        <v>2</v>
      </c>
      <c r="C2171" s="8">
        <f ca="1">IFERROR(__xludf.DUMMYFUNCTION("""COMPUTED_VALUE"""),26)</f>
        <v>26</v>
      </c>
      <c r="D2171" s="8">
        <f ca="1">IFERROR(__xludf.DUMMYFUNCTION("""COMPUTED_VALUE"""),2007)</f>
        <v>2007</v>
      </c>
      <c r="E2171" s="9">
        <f ca="1">IFERROR(__xludf.DUMMYFUNCTION("""COMPUTED_VALUE"""),39139)</f>
        <v>39139</v>
      </c>
      <c r="F2171" s="8" t="str">
        <f ca="1">IFERROR(__xludf.DUMMYFUNCTION("""COMPUTED_VALUE"""),"Slauson Middle School")</f>
        <v>Slauson Middle School</v>
      </c>
      <c r="G2171" s="8">
        <f ca="1">IFERROR(__xludf.DUMMYFUNCTION("""COMPUTED_VALUE"""),0)</f>
        <v>0</v>
      </c>
      <c r="H2171" s="8">
        <f ca="1">IFERROR(__xludf.DUMMYFUNCTION("""COMPUTED_VALUE"""),2)</f>
        <v>2</v>
      </c>
      <c r="I2171" s="8">
        <f ca="1">IFERROR(__xludf.DUMMYFUNCTION("""COMPUTED_VALUE"""),2)</f>
        <v>2</v>
      </c>
      <c r="J2171" s="8">
        <f ca="1">IFERROR(__xludf.DUMMYFUNCTION("""COMPUTED_VALUE"""),0)</f>
        <v>0</v>
      </c>
      <c r="K2171" s="10" t="str">
        <f ca="1">IFERROR(__xludf.DUMMYFUNCTION("""COMPUTED_VALUE"""),"https://www.columbine-angels.com/School_Violence_2006-2007.htm")</f>
        <v>https://www.columbine-angels.com/School_Violence_2006-2007.htm</v>
      </c>
      <c r="L2171" s="8"/>
      <c r="M2171" s="8"/>
      <c r="N2171" s="8">
        <f ca="1">IFERROR(__xludf.DUMMYFUNCTION("""COMPUTED_VALUE"""),1)</f>
        <v>1</v>
      </c>
      <c r="O2171" s="8" t="str">
        <f ca="1">IFERROR(__xludf.DUMMYFUNCTION("""COMPUTED_VALUE"""),"Winter")</f>
        <v>Winter</v>
      </c>
      <c r="P2171" s="8" t="str">
        <f ca="1">IFERROR(__xludf.DUMMYFUNCTION("""COMPUTED_VALUE"""),"Azusa")</f>
        <v>Azusa</v>
      </c>
      <c r="Q2171" s="8" t="str">
        <f ca="1">IFERROR(__xludf.DUMMYFUNCTION("""COMPUTED_VALUE"""),"CA")</f>
        <v>CA</v>
      </c>
      <c r="R2171" s="8" t="str">
        <f ca="1">IFERROR(__xludf.DUMMYFUNCTION("""COMPUTED_VALUE"""),"Middle")</f>
        <v>Middle</v>
      </c>
      <c r="S2171" s="8" t="str">
        <f ca="1">IFERROR(__xludf.DUMMYFUNCTION("""COMPUTED_VALUE"""),"Hallway")</f>
        <v>Hallway</v>
      </c>
      <c r="T2171" s="8" t="str">
        <f ca="1">IFERROR(__xludf.DUMMYFUNCTION("""COMPUTED_VALUE"""),"Inside School Building")</f>
        <v>Inside School Building</v>
      </c>
      <c r="U2171" s="8" t="str">
        <f ca="1">IFERROR(__xludf.DUMMYFUNCTION("""COMPUTED_VALUE"""),"Yes")</f>
        <v>Yes</v>
      </c>
      <c r="V2171" s="8" t="str">
        <f ca="1">IFERROR(__xludf.DUMMYFUNCTION("""COMPUTED_VALUE"""),"Morning Classes")</f>
        <v>Morning Classes</v>
      </c>
      <c r="W2171" s="8"/>
      <c r="X2171" s="8"/>
      <c r="Y2171" s="12" t="str">
        <f ca="1">IFERROR(__xludf.DUMMYFUNCTION("""COMPUTED_VALUE"""),"Shot two students with airsoft gun")</f>
        <v>Shot two students with airsoft gun</v>
      </c>
      <c r="Z2171" s="12" t="str">
        <f ca="1">IFERROR(__xludf.DUMMYFUNCTION("""COMPUTED_VALUE"""),"A 12 year-old male student brought an airsoft-type replica submachine pistol to school with him. He removed the orange tip and fired at his fellow classmates in the sixth grade. One student was shot in the head while another student was struck in the back"&amp;".")</f>
        <v>A 12 year-old male student brought an airsoft-type replica submachine pistol to school with him. He removed the orange tip and fired at his fellow classmates in the sixth grade. One student was shot in the head while another student was struck in the back.</v>
      </c>
      <c r="AA2171" s="8" t="str">
        <f ca="1">IFERROR(__xludf.DUMMYFUNCTION("""COMPUTED_VALUE"""),"Indiscriminate Shooting")</f>
        <v>Indiscriminate Shooting</v>
      </c>
      <c r="AB2171" s="8"/>
      <c r="AC2171" s="8" t="str">
        <f ca="1">IFERROR(__xludf.DUMMYFUNCTION("""COMPUTED_VALUE"""),"Yes")</f>
        <v>Yes</v>
      </c>
      <c r="AD2171" s="8"/>
      <c r="AE2171" s="8" t="str">
        <f ca="1">IFERROR(__xludf.DUMMYFUNCTION("""COMPUTED_VALUE"""),"No")</f>
        <v>No</v>
      </c>
      <c r="AF2171" s="8"/>
      <c r="AG2171" s="8" t="str">
        <f ca="1">IFERROR(__xludf.DUMMYFUNCTION("""COMPUTED_VALUE"""),"No")</f>
        <v>No</v>
      </c>
      <c r="AH2171" s="8" t="str">
        <f ca="1">IFERROR(__xludf.DUMMYFUNCTION("""COMPUTED_VALUE"""),"No")</f>
        <v>No</v>
      </c>
      <c r="AI2171" s="8" t="str">
        <f ca="1">IFERROR(__xludf.DUMMYFUNCTION("""COMPUTED_VALUE"""),"No")</f>
        <v>No</v>
      </c>
      <c r="AJ2171" s="8" t="str">
        <f ca="1">IFERROR(__xludf.DUMMYFUNCTION("""COMPUTED_VALUE"""),"No")</f>
        <v>No</v>
      </c>
      <c r="AK2171" s="8" t="str">
        <f ca="1">IFERROR(__xludf.DUMMYFUNCTION("""COMPUTED_VALUE"""),"No")</f>
        <v>No</v>
      </c>
      <c r="AL2171" s="8" t="str">
        <f ca="1">IFERROR(__xludf.DUMMYFUNCTION("""COMPUTED_VALUE"""),"No")</f>
        <v>No</v>
      </c>
      <c r="AM2171" s="8"/>
      <c r="AN2171" s="8"/>
      <c r="AO2171" s="8" t="str">
        <f ca="1">IFERROR(__xludf.DUMMYFUNCTION("""COMPUTED_VALUE"""),"No")</f>
        <v>No</v>
      </c>
      <c r="AP2171" s="8"/>
      <c r="AQ2171" s="8" t="str">
        <f ca="1">IFERROR(__xludf.DUMMYFUNCTION("""COMPUTED_VALUE"""),"Unknown")</f>
        <v>Unknown</v>
      </c>
      <c r="AR2171" s="8" t="str">
        <f ca="1">IFERROR(__xludf.DUMMYFUNCTION("""COMPUTED_VALUE"""),"NA")</f>
        <v>NA</v>
      </c>
      <c r="AS2171" s="8" t="str">
        <f ca="1">IFERROR(__xludf.DUMMYFUNCTION("""COMPUTED_VALUE"""),"&lt;5")</f>
        <v>&lt;5</v>
      </c>
      <c r="AT2171" s="8"/>
      <c r="AU2171" s="8">
        <f ca="1">IFERROR(__xludf.DUMMYFUNCTION("""COMPUTED_VALUE"""),34.129413)</f>
        <v>34.129413</v>
      </c>
      <c r="AV2171" s="8">
        <f ca="1">IFERROR(__xludf.DUMMYFUNCTION("""COMPUTED_VALUE"""),-117.911745)</f>
        <v>-117.911745</v>
      </c>
      <c r="AW2171" s="8"/>
      <c r="AX2171" s="8">
        <f ca="1">IFERROR(__xludf.DUMMYFUNCTION("""COMPUTED_VALUE"""),91702)</f>
        <v>91702</v>
      </c>
    </row>
    <row r="2172" spans="1:50" ht="75" x14ac:dyDescent="0.2">
      <c r="A2172" s="8" t="str">
        <f ca="1">IFERROR(__xludf.DUMMYFUNCTION("""COMPUTED_VALUE"""),"20070208TXSTP")</f>
        <v>20070208TXSTP</v>
      </c>
      <c r="B2172" s="8">
        <f ca="1">IFERROR(__xludf.DUMMYFUNCTION("""COMPUTED_VALUE"""),2)</f>
        <v>2</v>
      </c>
      <c r="C2172" s="8">
        <f ca="1">IFERROR(__xludf.DUMMYFUNCTION("""COMPUTED_VALUE"""),8)</f>
        <v>8</v>
      </c>
      <c r="D2172" s="8">
        <f ca="1">IFERROR(__xludf.DUMMYFUNCTION("""COMPUTED_VALUE"""),2007)</f>
        <v>2007</v>
      </c>
      <c r="E2172" s="9">
        <f ca="1">IFERROR(__xludf.DUMMYFUNCTION("""COMPUTED_VALUE"""),39121)</f>
        <v>39121</v>
      </c>
      <c r="F2172" s="8" t="str">
        <f ca="1">IFERROR(__xludf.DUMMYFUNCTION("""COMPUTED_VALUE"""),"Stephen F. Austin Middle School")</f>
        <v>Stephen F. Austin Middle School</v>
      </c>
      <c r="G2172" s="8">
        <f ca="1">IFERROR(__xludf.DUMMYFUNCTION("""COMPUTED_VALUE"""),0)</f>
        <v>0</v>
      </c>
      <c r="H2172" s="8">
        <f ca="1">IFERROR(__xludf.DUMMYFUNCTION("""COMPUTED_VALUE"""),0)</f>
        <v>0</v>
      </c>
      <c r="I2172" s="8">
        <f ca="1">IFERROR(__xludf.DUMMYFUNCTION("""COMPUTED_VALUE"""),0)</f>
        <v>0</v>
      </c>
      <c r="J2172" s="8">
        <f ca="1">IFERROR(__xludf.DUMMYFUNCTION("""COMPUTED_VALUE"""),0)</f>
        <v>0</v>
      </c>
      <c r="K2172" s="10" t="str">
        <f ca="1">IFERROR(__xludf.DUMMYFUNCTION("""COMPUTED_VALUE"""),"https://www.columbine-angels.com/School_Violence_2006-2007.htm")</f>
        <v>https://www.columbine-angels.com/School_Violence_2006-2007.htm</v>
      </c>
      <c r="L2172" s="8"/>
      <c r="M2172" s="8"/>
      <c r="N2172" s="8">
        <f ca="1">IFERROR(__xludf.DUMMYFUNCTION("""COMPUTED_VALUE"""),1)</f>
        <v>1</v>
      </c>
      <c r="O2172" s="8" t="str">
        <f ca="1">IFERROR(__xludf.DUMMYFUNCTION("""COMPUTED_VALUE"""),"Winter")</f>
        <v>Winter</v>
      </c>
      <c r="P2172" s="8" t="str">
        <f ca="1">IFERROR(__xludf.DUMMYFUNCTION("""COMPUTED_VALUE"""),"Port Arthur")</f>
        <v>Port Arthur</v>
      </c>
      <c r="Q2172" s="8" t="str">
        <f ca="1">IFERROR(__xludf.DUMMYFUNCTION("""COMPUTED_VALUE"""),"TX")</f>
        <v>TX</v>
      </c>
      <c r="R2172" s="8" t="str">
        <f ca="1">IFERROR(__xludf.DUMMYFUNCTION("""COMPUTED_VALUE"""),"Middle")</f>
        <v>Middle</v>
      </c>
      <c r="S2172" s="8" t="str">
        <f ca="1">IFERROR(__xludf.DUMMYFUNCTION("""COMPUTED_VALUE"""),"Gym")</f>
        <v>Gym</v>
      </c>
      <c r="T2172" s="8" t="str">
        <f ca="1">IFERROR(__xludf.DUMMYFUNCTION("""COMPUTED_VALUE"""),"Inside School Building")</f>
        <v>Inside School Building</v>
      </c>
      <c r="U2172" s="8" t="str">
        <f ca="1">IFERROR(__xludf.DUMMYFUNCTION("""COMPUTED_VALUE"""),"Yes")</f>
        <v>Yes</v>
      </c>
      <c r="V2172" s="8"/>
      <c r="W2172" s="8"/>
      <c r="X2172" s="8">
        <f ca="1">IFERROR(__xludf.DUMMYFUNCTION("""COMPUTED_VALUE"""),1)</f>
        <v>1</v>
      </c>
      <c r="Y2172" s="12" t="str">
        <f ca="1">IFERROR(__xludf.DUMMYFUNCTION("""COMPUTED_VALUE"""),"BB gun fired while showing it off")</f>
        <v>BB gun fired while showing it off</v>
      </c>
      <c r="Z2172" s="12" t="str">
        <f ca="1">IFERROR(__xludf.DUMMYFUNCTION("""COMPUTED_VALUE"""),"In gym class, a male student showed off a BB gun to another male student. While the two students were looking at the gun, it went off and a BB struck the second boy in his neck.  The pellet broke the boy's skin, but did not seriously injure him.")</f>
        <v>In gym class, a male student showed off a BB gun to another male student. While the two students were looking at the gun, it went off and a BB struck the second boy in his neck.  The pellet broke the boy's skin, but did not seriously injure him.</v>
      </c>
      <c r="AA2172" s="8" t="str">
        <f ca="1">IFERROR(__xludf.DUMMYFUNCTION("""COMPUTED_VALUE"""),"Accidental")</f>
        <v>Accidental</v>
      </c>
      <c r="AB2172" s="8"/>
      <c r="AC2172" s="8" t="str">
        <f ca="1">IFERROR(__xludf.DUMMYFUNCTION("""COMPUTED_VALUE"""),"Yes")</f>
        <v>Yes</v>
      </c>
      <c r="AD2172" s="8" t="str">
        <f ca="1">IFERROR(__xludf.DUMMYFUNCTION("""COMPUTED_VALUE"""),"Neither")</f>
        <v>Neither</v>
      </c>
      <c r="AE2172" s="8" t="str">
        <f ca="1">IFERROR(__xludf.DUMMYFUNCTION("""COMPUTED_VALUE"""),"No")</f>
        <v>No</v>
      </c>
      <c r="AF2172" s="8"/>
      <c r="AG2172" s="8" t="str">
        <f ca="1">IFERROR(__xludf.DUMMYFUNCTION("""COMPUTED_VALUE"""),"No")</f>
        <v>No</v>
      </c>
      <c r="AH2172" s="8" t="str">
        <f ca="1">IFERROR(__xludf.DUMMYFUNCTION("""COMPUTED_VALUE"""),"No")</f>
        <v>No</v>
      </c>
      <c r="AI2172" s="8" t="str">
        <f ca="1">IFERROR(__xludf.DUMMYFUNCTION("""COMPUTED_VALUE"""),"No")</f>
        <v>No</v>
      </c>
      <c r="AJ2172" s="8" t="str">
        <f ca="1">IFERROR(__xludf.DUMMYFUNCTION("""COMPUTED_VALUE"""),"No")</f>
        <v>No</v>
      </c>
      <c r="AK2172" s="8" t="str">
        <f ca="1">IFERROR(__xludf.DUMMYFUNCTION("""COMPUTED_VALUE"""),"No")</f>
        <v>No</v>
      </c>
      <c r="AL2172" s="8" t="str">
        <f ca="1">IFERROR(__xludf.DUMMYFUNCTION("""COMPUTED_VALUE"""),"No")</f>
        <v>No</v>
      </c>
      <c r="AM2172" s="8"/>
      <c r="AN2172" s="8"/>
      <c r="AO2172" s="8" t="str">
        <f ca="1">IFERROR(__xludf.DUMMYFUNCTION("""COMPUTED_VALUE"""),"No")</f>
        <v>No</v>
      </c>
      <c r="AP2172" s="8"/>
      <c r="AQ2172" s="8" t="str">
        <f ca="1">IFERROR(__xludf.DUMMYFUNCTION("""COMPUTED_VALUE"""),"Unknown")</f>
        <v>Unknown</v>
      </c>
      <c r="AR2172" s="8" t="str">
        <f ca="1">IFERROR(__xludf.DUMMYFUNCTION("""COMPUTED_VALUE"""),"NA")</f>
        <v>NA</v>
      </c>
      <c r="AS2172" s="8">
        <f ca="1">IFERROR(__xludf.DUMMYFUNCTION("""COMPUTED_VALUE"""),1)</f>
        <v>1</v>
      </c>
      <c r="AT2172" s="8"/>
      <c r="AU2172" s="8">
        <f ca="1">IFERROR(__xludf.DUMMYFUNCTION("""COMPUTED_VALUE"""),29.899774)</f>
        <v>29.899774000000001</v>
      </c>
      <c r="AV2172" s="8">
        <f ca="1">IFERROR(__xludf.DUMMYFUNCTION("""COMPUTED_VALUE"""),-94.017983)</f>
        <v>-94.017983000000001</v>
      </c>
      <c r="AW2172" s="8"/>
      <c r="AX2172" s="8">
        <f ca="1">IFERROR(__xludf.DUMMYFUNCTION("""COMPUTED_VALUE"""),77640)</f>
        <v>77640</v>
      </c>
    </row>
    <row r="2173" spans="1:50" ht="30" x14ac:dyDescent="0.2">
      <c r="A2173" s="8" t="str">
        <f ca="1">IFERROR(__xludf.DUMMYFUNCTION("""COMPUTED_VALUE"""),"20070208ORCRP")</f>
        <v>20070208ORCRP</v>
      </c>
      <c r="B2173" s="8">
        <f ca="1">IFERROR(__xludf.DUMMYFUNCTION("""COMPUTED_VALUE"""),2)</f>
        <v>2</v>
      </c>
      <c r="C2173" s="8">
        <f ca="1">IFERROR(__xludf.DUMMYFUNCTION("""COMPUTED_VALUE"""),8)</f>
        <v>8</v>
      </c>
      <c r="D2173" s="8">
        <f ca="1">IFERROR(__xludf.DUMMYFUNCTION("""COMPUTED_VALUE"""),2007)</f>
        <v>2007</v>
      </c>
      <c r="E2173" s="9">
        <f ca="1">IFERROR(__xludf.DUMMYFUNCTION("""COMPUTED_VALUE"""),39121)</f>
        <v>39121</v>
      </c>
      <c r="F2173" s="8" t="str">
        <f ca="1">IFERROR(__xludf.DUMMYFUNCTION("""COMPUTED_VALUE"""),"Crook County High School")</f>
        <v>Crook County High School</v>
      </c>
      <c r="G2173" s="8">
        <f ca="1">IFERROR(__xludf.DUMMYFUNCTION("""COMPUTED_VALUE"""),0)</f>
        <v>0</v>
      </c>
      <c r="H2173" s="8">
        <f ca="1">IFERROR(__xludf.DUMMYFUNCTION("""COMPUTED_VALUE"""),0)</f>
        <v>0</v>
      </c>
      <c r="I2173" s="8">
        <f ca="1">IFERROR(__xludf.DUMMYFUNCTION("""COMPUTED_VALUE"""),0)</f>
        <v>0</v>
      </c>
      <c r="J2173" s="8">
        <f ca="1">IFERROR(__xludf.DUMMYFUNCTION("""COMPUTED_VALUE"""),1)</f>
        <v>1</v>
      </c>
      <c r="K2173" s="10" t="str">
        <f ca="1">IFERROR(__xludf.DUMMYFUNCTION("""COMPUTED_VALUE"""),"https://portlandtribune.com/component/content/article?id=187719")</f>
        <v>https://portlandtribune.com/component/content/article?id=187719</v>
      </c>
      <c r="L2173" s="8"/>
      <c r="M2173" s="8"/>
      <c r="N2173" s="8">
        <f ca="1">IFERROR(__xludf.DUMMYFUNCTION("""COMPUTED_VALUE"""),2)</f>
        <v>2</v>
      </c>
      <c r="O2173" s="8" t="str">
        <f ca="1">IFERROR(__xludf.DUMMYFUNCTION("""COMPUTED_VALUE"""),"Winter")</f>
        <v>Winter</v>
      </c>
      <c r="P2173" s="8" t="str">
        <f ca="1">IFERROR(__xludf.DUMMYFUNCTION("""COMPUTED_VALUE"""),"Prineville")</f>
        <v>Prineville</v>
      </c>
      <c r="Q2173" s="8" t="str">
        <f ca="1">IFERROR(__xludf.DUMMYFUNCTION("""COMPUTED_VALUE"""),"OR")</f>
        <v>OR</v>
      </c>
      <c r="R2173" s="8" t="str">
        <f ca="1">IFERROR(__xludf.DUMMYFUNCTION("""COMPUTED_VALUE"""),"High")</f>
        <v>High</v>
      </c>
      <c r="S2173" s="8" t="str">
        <f ca="1">IFERROR(__xludf.DUMMYFUNCTION("""COMPUTED_VALUE"""),"Parking Lot")</f>
        <v>Parking Lot</v>
      </c>
      <c r="T2173" s="8" t="str">
        <f ca="1">IFERROR(__xludf.DUMMYFUNCTION("""COMPUTED_VALUE"""),"Outside on School Property")</f>
        <v>Outside on School Property</v>
      </c>
      <c r="U2173" s="8" t="str">
        <f ca="1">IFERROR(__xludf.DUMMYFUNCTION("""COMPUTED_VALUE"""),"Yes")</f>
        <v>Yes</v>
      </c>
      <c r="V2173" s="8" t="str">
        <f ca="1">IFERROR(__xludf.DUMMYFUNCTION("""COMPUTED_VALUE"""),"Afternoon Classes")</f>
        <v>Afternoon Classes</v>
      </c>
      <c r="W2173" s="11">
        <f ca="1">IFERROR(__xludf.DUMMYFUNCTION("""COMPUTED_VALUE"""),0.60625)</f>
        <v>0.60624999999999996</v>
      </c>
      <c r="X2173" s="8">
        <f ca="1">IFERROR(__xludf.DUMMYFUNCTION("""COMPUTED_VALUE"""),1)</f>
        <v>1</v>
      </c>
      <c r="Y2173" s="12" t="str">
        <f ca="1">IFERROR(__xludf.DUMMYFUNCTION("""COMPUTED_VALUE"""),"Student shot self in parking lot")</f>
        <v>Student shot self in parking lot</v>
      </c>
      <c r="Z2173" s="12" t="str">
        <f ca="1">IFERROR(__xludf.DUMMYFUNCTION("""COMPUTED_VALUE"""),"18YOM student shot self in parking lot.")</f>
        <v>18YOM student shot self in parking lot.</v>
      </c>
      <c r="AA2173" s="8" t="str">
        <f ca="1">IFERROR(__xludf.DUMMYFUNCTION("""COMPUTED_VALUE"""),"Suicide/Attempted")</f>
        <v>Suicide/Attempted</v>
      </c>
      <c r="AB2173" s="8"/>
      <c r="AC2173" s="8" t="str">
        <f ca="1">IFERROR(__xludf.DUMMYFUNCTION("""COMPUTED_VALUE"""),"Yes")</f>
        <v>Yes</v>
      </c>
      <c r="AD2173" s="8" t="str">
        <f ca="1">IFERROR(__xludf.DUMMYFUNCTION("""COMPUTED_VALUE"""),"Victims Targeted")</f>
        <v>Victims Targeted</v>
      </c>
      <c r="AE2173" s="8" t="str">
        <f ca="1">IFERROR(__xludf.DUMMYFUNCTION("""COMPUTED_VALUE"""),"No")</f>
        <v>No</v>
      </c>
      <c r="AF2173" s="8"/>
      <c r="AG2173" s="8" t="str">
        <f ca="1">IFERROR(__xludf.DUMMYFUNCTION("""COMPUTED_VALUE"""),"No")</f>
        <v>No</v>
      </c>
      <c r="AH2173" s="8" t="str">
        <f ca="1">IFERROR(__xludf.DUMMYFUNCTION("""COMPUTED_VALUE"""),"No")</f>
        <v>No</v>
      </c>
      <c r="AI2173" s="8" t="str">
        <f ca="1">IFERROR(__xludf.DUMMYFUNCTION("""COMPUTED_VALUE"""),"No")</f>
        <v>No</v>
      </c>
      <c r="AJ2173" s="8" t="str">
        <f ca="1">IFERROR(__xludf.DUMMYFUNCTION("""COMPUTED_VALUE"""),"No")</f>
        <v>No</v>
      </c>
      <c r="AK2173" s="8" t="str">
        <f ca="1">IFERROR(__xludf.DUMMYFUNCTION("""COMPUTED_VALUE"""),"No")</f>
        <v>No</v>
      </c>
      <c r="AL2173" s="8" t="str">
        <f ca="1">IFERROR(__xludf.DUMMYFUNCTION("""COMPUTED_VALUE"""),"No")</f>
        <v>No</v>
      </c>
      <c r="AM2173" s="8"/>
      <c r="AN2173" s="8"/>
      <c r="AO2173" s="8" t="str">
        <f ca="1">IFERROR(__xludf.DUMMYFUNCTION("""COMPUTED_VALUE"""),"No")</f>
        <v>No</v>
      </c>
      <c r="AP2173" s="8"/>
      <c r="AQ2173" s="8" t="str">
        <f ca="1">IFERROR(__xludf.DUMMYFUNCTION("""COMPUTED_VALUE"""),"Unknown")</f>
        <v>Unknown</v>
      </c>
      <c r="AR2173" s="8" t="str">
        <f ca="1">IFERROR(__xludf.DUMMYFUNCTION("""COMPUTED_VALUE"""),"NA")</f>
        <v>NA</v>
      </c>
      <c r="AS2173" s="8">
        <f ca="1">IFERROR(__xludf.DUMMYFUNCTION("""COMPUTED_VALUE"""),1)</f>
        <v>1</v>
      </c>
      <c r="AT2173" s="8"/>
      <c r="AU2173" s="8">
        <f ca="1">IFERROR(__xludf.DUMMYFUNCTION("""COMPUTED_VALUE"""),44.292845)</f>
        <v>44.292845</v>
      </c>
      <c r="AV2173" s="8">
        <f ca="1">IFERROR(__xludf.DUMMYFUNCTION("""COMPUTED_VALUE"""),-120.833694)</f>
        <v>-120.83369399999999</v>
      </c>
      <c r="AW2173" s="8"/>
      <c r="AX2173" s="8">
        <f ca="1">IFERROR(__xludf.DUMMYFUNCTION("""COMPUTED_VALUE"""),97754)</f>
        <v>97754</v>
      </c>
    </row>
    <row r="2174" spans="1:50" ht="90" x14ac:dyDescent="0.2">
      <c r="A2174" s="8" t="str">
        <f ca="1">IFERROR(__xludf.DUMMYFUNCTION("""COMPUTED_VALUE"""),"20070207FLPAJ")</f>
        <v>20070207FLPAJ</v>
      </c>
      <c r="B2174" s="8">
        <f ca="1">IFERROR(__xludf.DUMMYFUNCTION("""COMPUTED_VALUE"""),2)</f>
        <v>2</v>
      </c>
      <c r="C2174" s="8">
        <f ca="1">IFERROR(__xludf.DUMMYFUNCTION("""COMPUTED_VALUE"""),7)</f>
        <v>7</v>
      </c>
      <c r="D2174" s="8">
        <f ca="1">IFERROR(__xludf.DUMMYFUNCTION("""COMPUTED_VALUE"""),2007)</f>
        <v>2007</v>
      </c>
      <c r="E2174" s="9">
        <f ca="1">IFERROR(__xludf.DUMMYFUNCTION("""COMPUTED_VALUE"""),39120)</f>
        <v>39120</v>
      </c>
      <c r="F2174" s="8" t="str">
        <f ca="1">IFERROR(__xludf.DUMMYFUNCTION("""COMPUTED_VALUE"""),"Paxon Middle School")</f>
        <v>Paxon Middle School</v>
      </c>
      <c r="G2174" s="8">
        <f ca="1">IFERROR(__xludf.DUMMYFUNCTION("""COMPUTED_VALUE"""),0)</f>
        <v>0</v>
      </c>
      <c r="H2174" s="8">
        <f ca="1">IFERROR(__xludf.DUMMYFUNCTION("""COMPUTED_VALUE"""),0)</f>
        <v>0</v>
      </c>
      <c r="I2174" s="8">
        <f ca="1">IFERROR(__xludf.DUMMYFUNCTION("""COMPUTED_VALUE"""),0)</f>
        <v>0</v>
      </c>
      <c r="J2174" s="8">
        <f ca="1">IFERROR(__xludf.DUMMYFUNCTION("""COMPUTED_VALUE"""),0)</f>
        <v>0</v>
      </c>
      <c r="K2174" s="10" t="str">
        <f ca="1">IFERROR(__xludf.DUMMYFUNCTION("""COMPUTED_VALUE"""),"https://www.columbine-angels.com/School_Violence_2006-2007.htm")</f>
        <v>https://www.columbine-angels.com/School_Violence_2006-2007.htm</v>
      </c>
      <c r="L2174" s="8"/>
      <c r="M2174" s="8"/>
      <c r="N2174" s="8">
        <f ca="1">IFERROR(__xludf.DUMMYFUNCTION("""COMPUTED_VALUE"""),1)</f>
        <v>1</v>
      </c>
      <c r="O2174" s="8" t="str">
        <f ca="1">IFERROR(__xludf.DUMMYFUNCTION("""COMPUTED_VALUE"""),"Winter")</f>
        <v>Winter</v>
      </c>
      <c r="P2174" s="8" t="str">
        <f ca="1">IFERROR(__xludf.DUMMYFUNCTION("""COMPUTED_VALUE"""),"Jacksonville")</f>
        <v>Jacksonville</v>
      </c>
      <c r="Q2174" s="8" t="str">
        <f ca="1">IFERROR(__xludf.DUMMYFUNCTION("""COMPUTED_VALUE"""),"FL")</f>
        <v>FL</v>
      </c>
      <c r="R2174" s="8" t="str">
        <f ca="1">IFERROR(__xludf.DUMMYFUNCTION("""COMPUTED_VALUE"""),"Middle")</f>
        <v>Middle</v>
      </c>
      <c r="S2174" s="8" t="str">
        <f ca="1">IFERROR(__xludf.DUMMYFUNCTION("""COMPUTED_VALUE"""),"ND")</f>
        <v>ND</v>
      </c>
      <c r="T2174" s="8" t="str">
        <f ca="1">IFERROR(__xludf.DUMMYFUNCTION("""COMPUTED_VALUE"""),"ND")</f>
        <v>ND</v>
      </c>
      <c r="U2174" s="8" t="str">
        <f ca="1">IFERROR(__xludf.DUMMYFUNCTION("""COMPUTED_VALUE"""),"Yes")</f>
        <v>Yes</v>
      </c>
      <c r="V2174" s="8"/>
      <c r="W2174" s="8"/>
      <c r="X2174" s="8">
        <f ca="1">IFERROR(__xludf.DUMMYFUNCTION("""COMPUTED_VALUE"""),1)</f>
        <v>1</v>
      </c>
      <c r="Y2174" s="12" t="str">
        <f ca="1">IFERROR(__xludf.DUMMYFUNCTION("""COMPUTED_VALUE"""),"Shot at SRO while fleeing")</f>
        <v>Shot at SRO while fleeing</v>
      </c>
      <c r="Z2174" s="12" t="str">
        <f ca="1">IFERROR(__xludf.DUMMYFUNCTION("""COMPUTED_VALUE"""),"A school resource officer approached the group to break up the fight and the students fled. One of the students had handgun and the SRO began chasing him.  The teen dropped the gun during the pursuit and another 16YOM student picked up the gun and fired t"&amp;"hree or four times at the SRO. The unnamed SRO was not hit.")</f>
        <v>A school resource officer approached the group to break up the fight and the students fled. One of the students had handgun and the SRO began chasing him.  The teen dropped the gun during the pursuit and another 16YOM student picked up the gun and fired three or four times at the SRO. The unnamed SRO was not hit.</v>
      </c>
      <c r="AA2174" s="8" t="str">
        <f ca="1">IFERROR(__xludf.DUMMYFUNCTION("""COMPUTED_VALUE"""),"Escalation of Dispute")</f>
        <v>Escalation of Dispute</v>
      </c>
      <c r="AB2174" s="8"/>
      <c r="AC2174" s="8" t="str">
        <f ca="1">IFERROR(__xludf.DUMMYFUNCTION("""COMPUTED_VALUE"""),"Yes")</f>
        <v>Yes</v>
      </c>
      <c r="AD2174" s="8" t="str">
        <f ca="1">IFERROR(__xludf.DUMMYFUNCTION("""COMPUTED_VALUE"""),"Victims Targeted")</f>
        <v>Victims Targeted</v>
      </c>
      <c r="AE2174" s="8" t="str">
        <f ca="1">IFERROR(__xludf.DUMMYFUNCTION("""COMPUTED_VALUE"""),"Yes")</f>
        <v>Yes</v>
      </c>
      <c r="AF2174" s="8" t="str">
        <f ca="1">IFERROR(__xludf.DUMMYFUNCTION("""COMPUTED_VALUE"""),"Group of students fled")</f>
        <v>Group of students fled</v>
      </c>
      <c r="AG2174" s="8" t="str">
        <f ca="1">IFERROR(__xludf.DUMMYFUNCTION("""COMPUTED_VALUE"""),"No")</f>
        <v>No</v>
      </c>
      <c r="AH2174" s="8" t="str">
        <f ca="1">IFERROR(__xludf.DUMMYFUNCTION("""COMPUTED_VALUE"""),"No")</f>
        <v>No</v>
      </c>
      <c r="AI2174" s="8" t="str">
        <f ca="1">IFERROR(__xludf.DUMMYFUNCTION("""COMPUTED_VALUE"""),"No")</f>
        <v>No</v>
      </c>
      <c r="AJ2174" s="8" t="str">
        <f ca="1">IFERROR(__xludf.DUMMYFUNCTION("""COMPUTED_VALUE"""),"No")</f>
        <v>No</v>
      </c>
      <c r="AK2174" s="8" t="str">
        <f ca="1">IFERROR(__xludf.DUMMYFUNCTION("""COMPUTED_VALUE"""),"No")</f>
        <v>No</v>
      </c>
      <c r="AL2174" s="8" t="str">
        <f ca="1">IFERROR(__xludf.DUMMYFUNCTION("""COMPUTED_VALUE"""),"No")</f>
        <v>No</v>
      </c>
      <c r="AM2174" s="8"/>
      <c r="AN2174" s="8"/>
      <c r="AO2174" s="8" t="str">
        <f ca="1">IFERROR(__xludf.DUMMYFUNCTION("""COMPUTED_VALUE"""),"No")</f>
        <v>No</v>
      </c>
      <c r="AP2174" s="8"/>
      <c r="AQ2174" s="8" t="str">
        <f ca="1">IFERROR(__xludf.DUMMYFUNCTION("""COMPUTED_VALUE"""),"Unknown")</f>
        <v>Unknown</v>
      </c>
      <c r="AR2174" s="8" t="str">
        <f ca="1">IFERROR(__xludf.DUMMYFUNCTION("""COMPUTED_VALUE"""),"NA")</f>
        <v>NA</v>
      </c>
      <c r="AS2174" s="8">
        <f ca="1">IFERROR(__xludf.DUMMYFUNCTION("""COMPUTED_VALUE"""),4)</f>
        <v>4</v>
      </c>
      <c r="AT2174" s="8"/>
      <c r="AU2174" s="8">
        <f ca="1">IFERROR(__xludf.DUMMYFUNCTION("""COMPUTED_VALUE"""),30.344514)</f>
        <v>30.344514</v>
      </c>
      <c r="AV2174" s="8">
        <f ca="1">IFERROR(__xludf.DUMMYFUNCTION("""COMPUTED_VALUE"""),-81.724685)</f>
        <v>-81.724684999999994</v>
      </c>
      <c r="AW2174" s="8"/>
      <c r="AX2174" s="8">
        <f ca="1">IFERROR(__xludf.DUMMYFUNCTION("""COMPUTED_VALUE"""),32254)</f>
        <v>32254</v>
      </c>
    </row>
    <row r="2175" spans="1:50" ht="60" x14ac:dyDescent="0.2">
      <c r="A2175" s="8" t="str">
        <f ca="1">IFERROR(__xludf.DUMMYFUNCTION("""COMPUTED_VALUE"""),"20070131ILHIC")</f>
        <v>20070131ILHIC</v>
      </c>
      <c r="B2175" s="8">
        <f ca="1">IFERROR(__xludf.DUMMYFUNCTION("""COMPUTED_VALUE"""),1)</f>
        <v>1</v>
      </c>
      <c r="C2175" s="8">
        <f ca="1">IFERROR(__xludf.DUMMYFUNCTION("""COMPUTED_VALUE"""),31)</f>
        <v>31</v>
      </c>
      <c r="D2175" s="8">
        <f ca="1">IFERROR(__xludf.DUMMYFUNCTION("""COMPUTED_VALUE"""),2007)</f>
        <v>2007</v>
      </c>
      <c r="E2175" s="9">
        <f ca="1">IFERROR(__xludf.DUMMYFUNCTION("""COMPUTED_VALUE"""),39113)</f>
        <v>39113</v>
      </c>
      <c r="F2175" s="8" t="str">
        <f ca="1">IFERROR(__xludf.DUMMYFUNCTION("""COMPUTED_VALUE"""),"Hillcrest High School")</f>
        <v>Hillcrest High School</v>
      </c>
      <c r="G2175" s="8">
        <f ca="1">IFERROR(__xludf.DUMMYFUNCTION("""COMPUTED_VALUE"""),0)</f>
        <v>0</v>
      </c>
      <c r="H2175" s="8">
        <f ca="1">IFERROR(__xludf.DUMMYFUNCTION("""COMPUTED_VALUE"""),1)</f>
        <v>1</v>
      </c>
      <c r="I2175" s="8">
        <f ca="1">IFERROR(__xludf.DUMMYFUNCTION("""COMPUTED_VALUE"""),1)</f>
        <v>1</v>
      </c>
      <c r="J2175" s="8">
        <f ca="1">IFERROR(__xludf.DUMMYFUNCTION("""COMPUTED_VALUE"""),0)</f>
        <v>0</v>
      </c>
      <c r="K2175" s="10" t="str">
        <f ca="1">IFERROR(__xludf.DUMMYFUNCTION("""COMPUTED_VALUE"""),"https://www.newspapers.com/image/231615256/?terms=Hillcrest%2BHigh%2BSchool%2Bshooting%2BDwight%2BWelch")</f>
        <v>https://www.newspapers.com/image/231615256/?terms=Hillcrest%2BHigh%2BSchool%2Bshooting%2BDwight%2BWelch</v>
      </c>
      <c r="L2175" s="8"/>
      <c r="M2175" s="8"/>
      <c r="N2175" s="8">
        <f ca="1">IFERROR(__xludf.DUMMYFUNCTION("""COMPUTED_VALUE"""),2)</f>
        <v>2</v>
      </c>
      <c r="O2175" s="8" t="str">
        <f ca="1">IFERROR(__xludf.DUMMYFUNCTION("""COMPUTED_VALUE"""),"Winter")</f>
        <v>Winter</v>
      </c>
      <c r="P2175" s="8" t="str">
        <f ca="1">IFERROR(__xludf.DUMMYFUNCTION("""COMPUTED_VALUE"""),"Country Club Hills")</f>
        <v>Country Club Hills</v>
      </c>
      <c r="Q2175" s="8" t="str">
        <f ca="1">IFERROR(__xludf.DUMMYFUNCTION("""COMPUTED_VALUE"""),"IL")</f>
        <v>IL</v>
      </c>
      <c r="R2175" s="8" t="str">
        <f ca="1">IFERROR(__xludf.DUMMYFUNCTION("""COMPUTED_VALUE"""),"High")</f>
        <v>High</v>
      </c>
      <c r="S2175" s="8" t="str">
        <f ca="1">IFERROR(__xludf.DUMMYFUNCTION("""COMPUTED_VALUE"""),"Parking Lot")</f>
        <v>Parking Lot</v>
      </c>
      <c r="T2175" s="8" t="str">
        <f ca="1">IFERROR(__xludf.DUMMYFUNCTION("""COMPUTED_VALUE"""),"Outside on School Property")</f>
        <v>Outside on School Property</v>
      </c>
      <c r="U2175" s="8" t="str">
        <f ca="1">IFERROR(__xludf.DUMMYFUNCTION("""COMPUTED_VALUE"""),"No")</f>
        <v>No</v>
      </c>
      <c r="V2175" s="8" t="str">
        <f ca="1">IFERROR(__xludf.DUMMYFUNCTION("""COMPUTED_VALUE"""),"Sport Event")</f>
        <v>Sport Event</v>
      </c>
      <c r="W2175" s="11">
        <f ca="1">IFERROR(__xludf.DUMMYFUNCTION("""COMPUTED_VALUE"""),0.895833333333333)</f>
        <v>0.89583333333333304</v>
      </c>
      <c r="X2175" s="8">
        <f ca="1">IFERROR(__xludf.DUMMYFUNCTION("""COMPUTED_VALUE"""),1)</f>
        <v>1</v>
      </c>
      <c r="Y2175" s="12" t="str">
        <f ca="1">IFERROR(__xludf.DUMMYFUNCTION("""COMPUTED_VALUE"""),"Student (bystander) shot during fight after basketball game")</f>
        <v>Student (bystander) shot during fight after basketball game</v>
      </c>
      <c r="Z2175" s="12" t="str">
        <f ca="1">IFERROR(__xludf.DUMMYFUNCTION("""COMPUTED_VALUE"""),"A 15YOM bystander student was shot in the parking lot of the school during a fight between non-students. Shooter was arrested away from the scene.")</f>
        <v>A 15YOM bystander student was shot in the parking lot of the school during a fight between non-students. Shooter was arrested away from the scene.</v>
      </c>
      <c r="AA2175" s="8" t="str">
        <f ca="1">IFERROR(__xludf.DUMMYFUNCTION("""COMPUTED_VALUE"""),"Escalation of Dispute")</f>
        <v>Escalation of Dispute</v>
      </c>
      <c r="AB2175" s="8"/>
      <c r="AC2175" s="8" t="str">
        <f ca="1">IFERROR(__xludf.DUMMYFUNCTION("""COMPUTED_VALUE"""),"Yes")</f>
        <v>Yes</v>
      </c>
      <c r="AD2175" s="8"/>
      <c r="AE2175" s="8" t="str">
        <f ca="1">IFERROR(__xludf.DUMMYFUNCTION("""COMPUTED_VALUE"""),"Yes")</f>
        <v>Yes</v>
      </c>
      <c r="AF2175" s="8" t="str">
        <f ca="1">IFERROR(__xludf.DUMMYFUNCTION("""COMPUTED_VALUE"""),"2 arrested")</f>
        <v>2 arrested</v>
      </c>
      <c r="AG2175" s="8" t="str">
        <f ca="1">IFERROR(__xludf.DUMMYFUNCTION("""COMPUTED_VALUE"""),"No")</f>
        <v>No</v>
      </c>
      <c r="AH2175" s="8" t="str">
        <f ca="1">IFERROR(__xludf.DUMMYFUNCTION("""COMPUTED_VALUE"""),"No")</f>
        <v>No</v>
      </c>
      <c r="AI2175" s="8" t="str">
        <f ca="1">IFERROR(__xludf.DUMMYFUNCTION("""COMPUTED_VALUE"""),"No")</f>
        <v>No</v>
      </c>
      <c r="AJ2175" s="8" t="str">
        <f ca="1">IFERROR(__xludf.DUMMYFUNCTION("""COMPUTED_VALUE"""),"No")</f>
        <v>No</v>
      </c>
      <c r="AK2175" s="8" t="str">
        <f ca="1">IFERROR(__xludf.DUMMYFUNCTION("""COMPUTED_VALUE"""),"No")</f>
        <v>No</v>
      </c>
      <c r="AL2175" s="8" t="str">
        <f ca="1">IFERROR(__xludf.DUMMYFUNCTION("""COMPUTED_VALUE"""),"No")</f>
        <v>No</v>
      </c>
      <c r="AM2175" s="8"/>
      <c r="AN2175" s="8"/>
      <c r="AO2175" s="8" t="str">
        <f ca="1">IFERROR(__xludf.DUMMYFUNCTION("""COMPUTED_VALUE"""),"No")</f>
        <v>No</v>
      </c>
      <c r="AP2175" s="8"/>
      <c r="AQ2175" s="8" t="str">
        <f ca="1">IFERROR(__xludf.DUMMYFUNCTION("""COMPUTED_VALUE"""),"Unknown")</f>
        <v>Unknown</v>
      </c>
      <c r="AR2175" s="8" t="str">
        <f ca="1">IFERROR(__xludf.DUMMYFUNCTION("""COMPUTED_VALUE"""),"NA")</f>
        <v>NA</v>
      </c>
      <c r="AS2175" s="8" t="str">
        <f ca="1">IFERROR(__xludf.DUMMYFUNCTION("""COMPUTED_VALUE"""),"&lt;6")</f>
        <v>&lt;6</v>
      </c>
      <c r="AT2175" s="8"/>
      <c r="AU2175" s="8">
        <f ca="1">IFERROR(__xludf.DUMMYFUNCTION("""COMPUTED_VALUE"""),41.573096)</f>
        <v>41.573096</v>
      </c>
      <c r="AV2175" s="8">
        <f ca="1">IFERROR(__xludf.DUMMYFUNCTION("""COMPUTED_VALUE"""),-87.712042)</f>
        <v>-87.712041999999997</v>
      </c>
      <c r="AW2175" s="8"/>
      <c r="AX2175" s="8">
        <f ca="1">IFERROR(__xludf.DUMMYFUNCTION("""COMPUTED_VALUE"""),60478)</f>
        <v>60478</v>
      </c>
    </row>
    <row r="2176" spans="1:50" ht="30" x14ac:dyDescent="0.2">
      <c r="A2176" s="8" t="str">
        <f ca="1">IFERROR(__xludf.DUMMYFUNCTION("""COMPUTED_VALUE"""),"20070124TNHAS")</f>
        <v>20070124TNHAS</v>
      </c>
      <c r="B2176" s="8">
        <f ca="1">IFERROR(__xludf.DUMMYFUNCTION("""COMPUTED_VALUE"""),1)</f>
        <v>1</v>
      </c>
      <c r="C2176" s="8">
        <f ca="1">IFERROR(__xludf.DUMMYFUNCTION("""COMPUTED_VALUE"""),24)</f>
        <v>24</v>
      </c>
      <c r="D2176" s="8">
        <f ca="1">IFERROR(__xludf.DUMMYFUNCTION("""COMPUTED_VALUE"""),2007)</f>
        <v>2007</v>
      </c>
      <c r="E2176" s="9">
        <f ca="1">IFERROR(__xludf.DUMMYFUNCTION("""COMPUTED_VALUE"""),39106)</f>
        <v>39106</v>
      </c>
      <c r="F2176" s="8" t="str">
        <f ca="1">IFERROR(__xludf.DUMMYFUNCTION("""COMPUTED_VALUE"""),"Harbin County High School")</f>
        <v>Harbin County High School</v>
      </c>
      <c r="G2176" s="8">
        <f ca="1">IFERROR(__xludf.DUMMYFUNCTION("""COMPUTED_VALUE"""),0)</f>
        <v>0</v>
      </c>
      <c r="H2176" s="8">
        <f ca="1">IFERROR(__xludf.DUMMYFUNCTION("""COMPUTED_VALUE"""),0)</f>
        <v>0</v>
      </c>
      <c r="I2176" s="8">
        <f ca="1">IFERROR(__xludf.DUMMYFUNCTION("""COMPUTED_VALUE"""),0)</f>
        <v>0</v>
      </c>
      <c r="J2176" s="8">
        <f ca="1">IFERROR(__xludf.DUMMYFUNCTION("""COMPUTED_VALUE"""),0)</f>
        <v>0</v>
      </c>
      <c r="K2176" s="10" t="str">
        <f ca="1">IFERROR(__xludf.DUMMYFUNCTION("""COMPUTED_VALUE"""),"http://www.wmcactionnews5.com/story/5984007/17-year-old-in-critical-condition-at-the-med-after-school-shooting")</f>
        <v>http://www.wmcactionnews5.com/story/5984007/17-year-old-in-critical-condition-at-the-med-after-school-shooting</v>
      </c>
      <c r="L2176" s="8"/>
      <c r="M2176" s="8"/>
      <c r="N2176" s="8">
        <f ca="1">IFERROR(__xludf.DUMMYFUNCTION("""COMPUTED_VALUE"""),2)</f>
        <v>2</v>
      </c>
      <c r="O2176" s="8" t="str">
        <f ca="1">IFERROR(__xludf.DUMMYFUNCTION("""COMPUTED_VALUE"""),"Winter")</f>
        <v>Winter</v>
      </c>
      <c r="P2176" s="8" t="str">
        <f ca="1">IFERROR(__xludf.DUMMYFUNCTION("""COMPUTED_VALUE"""),"Savannah")</f>
        <v>Savannah</v>
      </c>
      <c r="Q2176" s="8" t="str">
        <f ca="1">IFERROR(__xludf.DUMMYFUNCTION("""COMPUTED_VALUE"""),"TN")</f>
        <v>TN</v>
      </c>
      <c r="R2176" s="8" t="str">
        <f ca="1">IFERROR(__xludf.DUMMYFUNCTION("""COMPUTED_VALUE"""),"High")</f>
        <v>High</v>
      </c>
      <c r="S2176" s="8" t="str">
        <f ca="1">IFERROR(__xludf.DUMMYFUNCTION("""COMPUTED_VALUE"""),"Bathroom")</f>
        <v>Bathroom</v>
      </c>
      <c r="T2176" s="8" t="str">
        <f ca="1">IFERROR(__xludf.DUMMYFUNCTION("""COMPUTED_VALUE"""),"Inside School Building")</f>
        <v>Inside School Building</v>
      </c>
      <c r="U2176" s="8" t="str">
        <f ca="1">IFERROR(__xludf.DUMMYFUNCTION("""COMPUTED_VALUE"""),"Yes")</f>
        <v>Yes</v>
      </c>
      <c r="V2176" s="8" t="str">
        <f ca="1">IFERROR(__xludf.DUMMYFUNCTION("""COMPUTED_VALUE"""),"Morning Classes")</f>
        <v>Morning Classes</v>
      </c>
      <c r="W2176" s="11">
        <f ca="1">IFERROR(__xludf.DUMMYFUNCTION("""COMPUTED_VALUE"""),0.333333333333333)</f>
        <v>0.33333333333333298</v>
      </c>
      <c r="X2176" s="8">
        <f ca="1">IFERROR(__xludf.DUMMYFUNCTION("""COMPUTED_VALUE"""),1)</f>
        <v>1</v>
      </c>
      <c r="Y2176" s="12" t="str">
        <f ca="1">IFERROR(__xludf.DUMMYFUNCTION("""COMPUTED_VALUE"""),"Student shot self in bathroom")</f>
        <v>Student shot self in bathroom</v>
      </c>
      <c r="Z2176" s="12" t="str">
        <f ca="1">IFERROR(__xludf.DUMMYFUNCTION("""COMPUTED_VALUE"""),"17YOM shot self in bathroom.")</f>
        <v>17YOM shot self in bathroom.</v>
      </c>
      <c r="AA2176" s="8" t="str">
        <f ca="1">IFERROR(__xludf.DUMMYFUNCTION("""COMPUTED_VALUE"""),"Suicide/Attempted")</f>
        <v>Suicide/Attempted</v>
      </c>
      <c r="AB2176" s="8"/>
      <c r="AC2176" s="8" t="str">
        <f ca="1">IFERROR(__xludf.DUMMYFUNCTION("""COMPUTED_VALUE"""),"Yes")</f>
        <v>Yes</v>
      </c>
      <c r="AD2176" s="8" t="str">
        <f ca="1">IFERROR(__xludf.DUMMYFUNCTION("""COMPUTED_VALUE"""),"Victims Targeted")</f>
        <v>Victims Targeted</v>
      </c>
      <c r="AE2176" s="8" t="str">
        <f ca="1">IFERROR(__xludf.DUMMYFUNCTION("""COMPUTED_VALUE"""),"No")</f>
        <v>No</v>
      </c>
      <c r="AF2176" s="8"/>
      <c r="AG2176" s="8" t="str">
        <f ca="1">IFERROR(__xludf.DUMMYFUNCTION("""COMPUTED_VALUE"""),"No")</f>
        <v>No</v>
      </c>
      <c r="AH2176" s="8" t="str">
        <f ca="1">IFERROR(__xludf.DUMMYFUNCTION("""COMPUTED_VALUE"""),"No")</f>
        <v>No</v>
      </c>
      <c r="AI2176" s="8" t="str">
        <f ca="1">IFERROR(__xludf.DUMMYFUNCTION("""COMPUTED_VALUE"""),"No")</f>
        <v>No</v>
      </c>
      <c r="AJ2176" s="8" t="str">
        <f ca="1">IFERROR(__xludf.DUMMYFUNCTION("""COMPUTED_VALUE"""),"No")</f>
        <v>No</v>
      </c>
      <c r="AK2176" s="8" t="str">
        <f ca="1">IFERROR(__xludf.DUMMYFUNCTION("""COMPUTED_VALUE"""),"No")</f>
        <v>No</v>
      </c>
      <c r="AL2176" s="8" t="str">
        <f ca="1">IFERROR(__xludf.DUMMYFUNCTION("""COMPUTED_VALUE"""),"No")</f>
        <v>No</v>
      </c>
      <c r="AM2176" s="8"/>
      <c r="AN2176" s="8"/>
      <c r="AO2176" s="8" t="str">
        <f ca="1">IFERROR(__xludf.DUMMYFUNCTION("""COMPUTED_VALUE"""),"No")</f>
        <v>No</v>
      </c>
      <c r="AP2176" s="8"/>
      <c r="AQ2176" s="8" t="str">
        <f ca="1">IFERROR(__xludf.DUMMYFUNCTION("""COMPUTED_VALUE"""),"Unknown")</f>
        <v>Unknown</v>
      </c>
      <c r="AR2176" s="8" t="str">
        <f ca="1">IFERROR(__xludf.DUMMYFUNCTION("""COMPUTED_VALUE"""),"NA")</f>
        <v>NA</v>
      </c>
      <c r="AS2176" s="8">
        <f ca="1">IFERROR(__xludf.DUMMYFUNCTION("""COMPUTED_VALUE"""),1)</f>
        <v>1</v>
      </c>
      <c r="AT2176" s="8"/>
      <c r="AU2176" s="8">
        <f ca="1">IFERROR(__xludf.DUMMYFUNCTION("""COMPUTED_VALUE"""),35.210584)</f>
        <v>35.210583999999997</v>
      </c>
      <c r="AV2176" s="8">
        <f ca="1">IFERROR(__xludf.DUMMYFUNCTION("""COMPUTED_VALUE"""),-88.247022)</f>
        <v>-88.247022000000001</v>
      </c>
      <c r="AW2176" s="8"/>
      <c r="AX2176" s="8">
        <f ca="1">IFERROR(__xludf.DUMMYFUNCTION("""COMPUTED_VALUE"""),38372)</f>
        <v>38372</v>
      </c>
    </row>
    <row r="2177" spans="1:50" ht="45" x14ac:dyDescent="0.2">
      <c r="A2177" s="8" t="str">
        <f ca="1">IFERROR(__xludf.DUMMYFUNCTION("""COMPUTED_VALUE"""),"20070118PAWIP")</f>
        <v>20070118PAWIP</v>
      </c>
      <c r="B2177" s="8">
        <f ca="1">IFERROR(__xludf.DUMMYFUNCTION("""COMPUTED_VALUE"""),1)</f>
        <v>1</v>
      </c>
      <c r="C2177" s="8">
        <f ca="1">IFERROR(__xludf.DUMMYFUNCTION("""COMPUTED_VALUE"""),18)</f>
        <v>18</v>
      </c>
      <c r="D2177" s="8">
        <f ca="1">IFERROR(__xludf.DUMMYFUNCTION("""COMPUTED_VALUE"""),2007)</f>
        <v>2007</v>
      </c>
      <c r="E2177" s="9">
        <f ca="1">IFERROR(__xludf.DUMMYFUNCTION("""COMPUTED_VALUE"""),39100)</f>
        <v>39100</v>
      </c>
      <c r="F2177" s="8" t="str">
        <f ca="1">IFERROR(__xludf.DUMMYFUNCTION("""COMPUTED_VALUE"""),"William L.Sayre High School")</f>
        <v>William L.Sayre High School</v>
      </c>
      <c r="G2177" s="8">
        <f ca="1">IFERROR(__xludf.DUMMYFUNCTION("""COMPUTED_VALUE"""),0)</f>
        <v>0</v>
      </c>
      <c r="H2177" s="8">
        <f ca="1">IFERROR(__xludf.DUMMYFUNCTION("""COMPUTED_VALUE"""),1)</f>
        <v>1</v>
      </c>
      <c r="I2177" s="8">
        <f ca="1">IFERROR(__xludf.DUMMYFUNCTION("""COMPUTED_VALUE"""),1)</f>
        <v>1</v>
      </c>
      <c r="J2177" s="8">
        <f ca="1">IFERROR(__xludf.DUMMYFUNCTION("""COMPUTED_VALUE"""),0)</f>
        <v>0</v>
      </c>
      <c r="K2177" s="10" t="str">
        <f ca="1">IFERROR(__xludf.DUMMYFUNCTION("""COMPUTED_VALUE"""),"http://www.philly.com/philly/news/20070119_dn_M_SAYR.html")</f>
        <v>http://www.philly.com/philly/news/20070119_dn_M_SAYR.html</v>
      </c>
      <c r="L2177" s="8"/>
      <c r="M2177" s="8"/>
      <c r="N2177" s="8">
        <f ca="1">IFERROR(__xludf.DUMMYFUNCTION("""COMPUTED_VALUE"""),2)</f>
        <v>2</v>
      </c>
      <c r="O2177" s="8" t="str">
        <f ca="1">IFERROR(__xludf.DUMMYFUNCTION("""COMPUTED_VALUE"""),"Winter")</f>
        <v>Winter</v>
      </c>
      <c r="P2177" s="8" t="str">
        <f ca="1">IFERROR(__xludf.DUMMYFUNCTION("""COMPUTED_VALUE"""),"Philadelphia")</f>
        <v>Philadelphia</v>
      </c>
      <c r="Q2177" s="8" t="str">
        <f ca="1">IFERROR(__xludf.DUMMYFUNCTION("""COMPUTED_VALUE"""),"PA")</f>
        <v>PA</v>
      </c>
      <c r="R2177" s="8" t="str">
        <f ca="1">IFERROR(__xludf.DUMMYFUNCTION("""COMPUTED_VALUE"""),"High")</f>
        <v>High</v>
      </c>
      <c r="S2177" s="8" t="str">
        <f ca="1">IFERROR(__xludf.DUMMYFUNCTION("""COMPUTED_VALUE"""),"Beside Building")</f>
        <v>Beside Building</v>
      </c>
      <c r="T2177" s="8" t="str">
        <f ca="1">IFERROR(__xludf.DUMMYFUNCTION("""COMPUTED_VALUE"""),"Outside on School Property")</f>
        <v>Outside on School Property</v>
      </c>
      <c r="U2177" s="8" t="str">
        <f ca="1">IFERROR(__xludf.DUMMYFUNCTION("""COMPUTED_VALUE"""),"Yes")</f>
        <v>Yes</v>
      </c>
      <c r="V2177" s="8" t="str">
        <f ca="1">IFERROR(__xludf.DUMMYFUNCTION("""COMPUTED_VALUE"""),"School Start")</f>
        <v>School Start</v>
      </c>
      <c r="W2177" s="11">
        <f ca="1">IFERROR(__xludf.DUMMYFUNCTION("""COMPUTED_VALUE"""),0.350694444444444)</f>
        <v>0.35069444444444398</v>
      </c>
      <c r="X2177" s="8">
        <f ca="1">IFERROR(__xludf.DUMMYFUNCTION("""COMPUTED_VALUE"""),1)</f>
        <v>1</v>
      </c>
      <c r="Y2177" s="12" t="str">
        <f ca="1">IFERROR(__xludf.DUMMYFUNCTION("""COMPUTED_VALUE"""),"Student shot during confrontation with 3 other students")</f>
        <v>Student shot during confrontation with 3 other students</v>
      </c>
      <c r="Z2177" s="12" t="str">
        <f ca="1">IFERROR(__xludf.DUMMYFUNCTION("""COMPUTED_VALUE"""),"17YOM student shot by group of three other teens outside of the school during a confrontation. Victim also had a handgun.")</f>
        <v>17YOM student shot by group of three other teens outside of the school during a confrontation. Victim also had a handgun.</v>
      </c>
      <c r="AA2177" s="8" t="str">
        <f ca="1">IFERROR(__xludf.DUMMYFUNCTION("""COMPUTED_VALUE"""),"Escalation of Dispute")</f>
        <v>Escalation of Dispute</v>
      </c>
      <c r="AB2177" s="8"/>
      <c r="AC2177" s="8" t="str">
        <f ca="1">IFERROR(__xludf.DUMMYFUNCTION("""COMPUTED_VALUE"""),"Yes")</f>
        <v>Yes</v>
      </c>
      <c r="AD2177" s="8" t="str">
        <f ca="1">IFERROR(__xludf.DUMMYFUNCTION("""COMPUTED_VALUE"""),"Victims Targeted")</f>
        <v>Victims Targeted</v>
      </c>
      <c r="AE2177" s="8" t="str">
        <f ca="1">IFERROR(__xludf.DUMMYFUNCTION("""COMPUTED_VALUE"""),"Yes")</f>
        <v>Yes</v>
      </c>
      <c r="AF2177" s="8" t="str">
        <f ca="1">IFERROR(__xludf.DUMMYFUNCTION("""COMPUTED_VALUE"""),"Three teens")</f>
        <v>Three teens</v>
      </c>
      <c r="AG2177" s="8" t="str">
        <f ca="1">IFERROR(__xludf.DUMMYFUNCTION("""COMPUTED_VALUE"""),"No")</f>
        <v>No</v>
      </c>
      <c r="AH2177" s="8" t="str">
        <f ca="1">IFERROR(__xludf.DUMMYFUNCTION("""COMPUTED_VALUE"""),"No")</f>
        <v>No</v>
      </c>
      <c r="AI2177" s="8" t="str">
        <f ca="1">IFERROR(__xludf.DUMMYFUNCTION("""COMPUTED_VALUE"""),"No")</f>
        <v>No</v>
      </c>
      <c r="AJ2177" s="8" t="str">
        <f ca="1">IFERROR(__xludf.DUMMYFUNCTION("""COMPUTED_VALUE"""),"No")</f>
        <v>No</v>
      </c>
      <c r="AK2177" s="8" t="str">
        <f ca="1">IFERROR(__xludf.DUMMYFUNCTION("""COMPUTED_VALUE"""),"No")</f>
        <v>No</v>
      </c>
      <c r="AL2177" s="8" t="str">
        <f ca="1">IFERROR(__xludf.DUMMYFUNCTION("""COMPUTED_VALUE"""),"No")</f>
        <v>No</v>
      </c>
      <c r="AM2177" s="8"/>
      <c r="AN2177" s="8"/>
      <c r="AO2177" s="8" t="str">
        <f ca="1">IFERROR(__xludf.DUMMYFUNCTION("""COMPUTED_VALUE"""),"No")</f>
        <v>No</v>
      </c>
      <c r="AP2177" s="8" t="str">
        <f ca="1">IFERROR(__xludf.DUMMYFUNCTION("""COMPUTED_VALUE"""),"Yes")</f>
        <v>Yes</v>
      </c>
      <c r="AQ2177" s="8" t="str">
        <f ca="1">IFERROR(__xludf.DUMMYFUNCTION("""COMPUTED_VALUE"""),"Unknown")</f>
        <v>Unknown</v>
      </c>
      <c r="AR2177" s="8" t="str">
        <f ca="1">IFERROR(__xludf.DUMMYFUNCTION("""COMPUTED_VALUE"""),"NA")</f>
        <v>NA</v>
      </c>
      <c r="AS2177" s="8">
        <f ca="1">IFERROR(__xludf.DUMMYFUNCTION("""COMPUTED_VALUE"""),11)</f>
        <v>11</v>
      </c>
      <c r="AT2177" s="8"/>
      <c r="AU2177" s="8">
        <f ca="1">IFERROR(__xludf.DUMMYFUNCTION("""COMPUTED_VALUE"""),39.957965)</f>
        <v>39.957965000000002</v>
      </c>
      <c r="AV2177" s="8">
        <f ca="1">IFERROR(__xludf.DUMMYFUNCTION("""COMPUTED_VALUE"""),-75.238777)</f>
        <v>-75.238776999999999</v>
      </c>
      <c r="AW2177" s="8"/>
      <c r="AX2177" s="8">
        <f ca="1">IFERROR(__xludf.DUMMYFUNCTION("""COMPUTED_VALUE"""),19143)</f>
        <v>19143</v>
      </c>
    </row>
    <row r="2178" spans="1:50" ht="45" x14ac:dyDescent="0.2">
      <c r="A2178" s="8" t="str">
        <f ca="1">IFERROR(__xludf.DUMMYFUNCTION("""COMPUTED_VALUE"""),"20070109NVWEL")</f>
        <v>20070109NVWEL</v>
      </c>
      <c r="B2178" s="8">
        <f ca="1">IFERROR(__xludf.DUMMYFUNCTION("""COMPUTED_VALUE"""),1)</f>
        <v>1</v>
      </c>
      <c r="C2178" s="8">
        <f ca="1">IFERROR(__xludf.DUMMYFUNCTION("""COMPUTED_VALUE"""),9)</f>
        <v>9</v>
      </c>
      <c r="D2178" s="8">
        <f ca="1">IFERROR(__xludf.DUMMYFUNCTION("""COMPUTED_VALUE"""),2007)</f>
        <v>2007</v>
      </c>
      <c r="E2178" s="9">
        <f ca="1">IFERROR(__xludf.DUMMYFUNCTION("""COMPUTED_VALUE"""),39091)</f>
        <v>39091</v>
      </c>
      <c r="F2178" s="8" t="str">
        <f ca="1">IFERROR(__xludf.DUMMYFUNCTION("""COMPUTED_VALUE"""),"Western High School")</f>
        <v>Western High School</v>
      </c>
      <c r="G2178" s="8">
        <f ca="1">IFERROR(__xludf.DUMMYFUNCTION("""COMPUTED_VALUE"""),0)</f>
        <v>0</v>
      </c>
      <c r="H2178" s="8">
        <f ca="1">IFERROR(__xludf.DUMMYFUNCTION("""COMPUTED_VALUE"""),2)</f>
        <v>2</v>
      </c>
      <c r="I2178" s="8">
        <f ca="1">IFERROR(__xludf.DUMMYFUNCTION("""COMPUTED_VALUE"""),2)</f>
        <v>2</v>
      </c>
      <c r="J2178" s="8">
        <f ca="1">IFERROR(__xludf.DUMMYFUNCTION("""COMPUTED_VALUE"""),0)</f>
        <v>0</v>
      </c>
      <c r="K2178" s="10" t="str">
        <f ca="1">IFERROR(__xludf.DUMMYFUNCTION("""COMPUTED_VALUE"""),"https://www.lasvegasnow.com/news/shooter-in-western-high-school-case-in-custody/81454838")</f>
        <v>https://www.lasvegasnow.com/news/shooter-in-western-high-school-case-in-custody/81454838</v>
      </c>
      <c r="L2178" s="8"/>
      <c r="M2178" s="8"/>
      <c r="N2178" s="8">
        <f ca="1">IFERROR(__xludf.DUMMYFUNCTION("""COMPUTED_VALUE"""),2)</f>
        <v>2</v>
      </c>
      <c r="O2178" s="8" t="str">
        <f ca="1">IFERROR(__xludf.DUMMYFUNCTION("""COMPUTED_VALUE"""),"Winter")</f>
        <v>Winter</v>
      </c>
      <c r="P2178" s="8" t="str">
        <f ca="1">IFERROR(__xludf.DUMMYFUNCTION("""COMPUTED_VALUE"""),"Las Vegas")</f>
        <v>Las Vegas</v>
      </c>
      <c r="Q2178" s="8" t="str">
        <f ca="1">IFERROR(__xludf.DUMMYFUNCTION("""COMPUTED_VALUE"""),"NV")</f>
        <v>NV</v>
      </c>
      <c r="R2178" s="8" t="str">
        <f ca="1">IFERROR(__xludf.DUMMYFUNCTION("""COMPUTED_VALUE"""),"High")</f>
        <v>High</v>
      </c>
      <c r="S2178" s="8" t="str">
        <f ca="1">IFERROR(__xludf.DUMMYFUNCTION("""COMPUTED_VALUE"""),"Parking Lot")</f>
        <v>Parking Lot</v>
      </c>
      <c r="T2178" s="8" t="str">
        <f ca="1">IFERROR(__xludf.DUMMYFUNCTION("""COMPUTED_VALUE"""),"Outside on School Property")</f>
        <v>Outside on School Property</v>
      </c>
      <c r="U2178" s="8" t="str">
        <f ca="1">IFERROR(__xludf.DUMMYFUNCTION("""COMPUTED_VALUE"""),"Yes")</f>
        <v>Yes</v>
      </c>
      <c r="V2178" s="8" t="str">
        <f ca="1">IFERROR(__xludf.DUMMYFUNCTION("""COMPUTED_VALUE"""),"School Start")</f>
        <v>School Start</v>
      </c>
      <c r="W2178" s="11">
        <f ca="1">IFERROR(__xludf.DUMMYFUNCTION("""COMPUTED_VALUE"""),0.270833333333333)</f>
        <v>0.27083333333333298</v>
      </c>
      <c r="X2178" s="8">
        <f ca="1">IFERROR(__xludf.DUMMYFUNCTION("""COMPUTED_VALUE"""),1)</f>
        <v>1</v>
      </c>
      <c r="Y2178" s="12" t="str">
        <f ca="1">IFERROR(__xludf.DUMMYFUNCTION("""COMPUTED_VALUE"""),"Shooting in parking lot following a car accident")</f>
        <v>Shooting in parking lot following a car accident</v>
      </c>
      <c r="Z2178" s="12" t="str">
        <f ca="1">IFERROR(__xludf.DUMMYFUNCTION("""COMPUTED_VALUE"""),"Adult male fired at a group of students in the school parking lot following an argument about a car accident a few blocks away.")</f>
        <v>Adult male fired at a group of students in the school parking lot following an argument about a car accident a few blocks away.</v>
      </c>
      <c r="AA2178" s="8" t="str">
        <f ca="1">IFERROR(__xludf.DUMMYFUNCTION("""COMPUTED_VALUE"""),"Escalation of Dispute")</f>
        <v>Escalation of Dispute</v>
      </c>
      <c r="AB2178" s="8"/>
      <c r="AC2178" s="8" t="str">
        <f ca="1">IFERROR(__xludf.DUMMYFUNCTION("""COMPUTED_VALUE"""),"Yes")</f>
        <v>Yes</v>
      </c>
      <c r="AD2178" s="8" t="str">
        <f ca="1">IFERROR(__xludf.DUMMYFUNCTION("""COMPUTED_VALUE"""),"Both")</f>
        <v>Both</v>
      </c>
      <c r="AE2178" s="8" t="str">
        <f ca="1">IFERROR(__xludf.DUMMYFUNCTION("""COMPUTED_VALUE"""),"No")</f>
        <v>No</v>
      </c>
      <c r="AF2178" s="8"/>
      <c r="AG2178" s="8" t="str">
        <f ca="1">IFERROR(__xludf.DUMMYFUNCTION("""COMPUTED_VALUE"""),"No")</f>
        <v>No</v>
      </c>
      <c r="AH2178" s="8" t="str">
        <f ca="1">IFERROR(__xludf.DUMMYFUNCTION("""COMPUTED_VALUE"""),"No")</f>
        <v>No</v>
      </c>
      <c r="AI2178" s="8" t="str">
        <f ca="1">IFERROR(__xludf.DUMMYFUNCTION("""COMPUTED_VALUE"""),"No")</f>
        <v>No</v>
      </c>
      <c r="AJ2178" s="8" t="str">
        <f ca="1">IFERROR(__xludf.DUMMYFUNCTION("""COMPUTED_VALUE"""),"No")</f>
        <v>No</v>
      </c>
      <c r="AK2178" s="8" t="str">
        <f ca="1">IFERROR(__xludf.DUMMYFUNCTION("""COMPUTED_VALUE"""),"No")</f>
        <v>No</v>
      </c>
      <c r="AL2178" s="8" t="str">
        <f ca="1">IFERROR(__xludf.DUMMYFUNCTION("""COMPUTED_VALUE"""),"No")</f>
        <v>No</v>
      </c>
      <c r="AM2178" s="8"/>
      <c r="AN2178" s="8"/>
      <c r="AO2178" s="8" t="str">
        <f ca="1">IFERROR(__xludf.DUMMYFUNCTION("""COMPUTED_VALUE"""),"No")</f>
        <v>No</v>
      </c>
      <c r="AP2178" s="8"/>
      <c r="AQ2178" s="8" t="str">
        <f ca="1">IFERROR(__xludf.DUMMYFUNCTION("""COMPUTED_VALUE"""),"Unknown")</f>
        <v>Unknown</v>
      </c>
      <c r="AR2178" s="8" t="str">
        <f ca="1">IFERROR(__xludf.DUMMYFUNCTION("""COMPUTED_VALUE"""),"NA")</f>
        <v>NA</v>
      </c>
      <c r="AS2178" s="8" t="str">
        <f ca="1">IFERROR(__xludf.DUMMYFUNCTION("""COMPUTED_VALUE"""),"&lt;10")</f>
        <v>&lt;10</v>
      </c>
      <c r="AT2178" s="8"/>
      <c r="AU2178" s="8">
        <f ca="1">IFERROR(__xludf.DUMMYFUNCTION("""COMPUTED_VALUE"""),36.176751)</f>
        <v>36.176751000000003</v>
      </c>
      <c r="AV2178" s="8">
        <f ca="1">IFERROR(__xludf.DUMMYFUNCTION("""COMPUTED_VALUE"""),-115.203261)</f>
        <v>-115.203261</v>
      </c>
      <c r="AW2178" s="8"/>
      <c r="AX2178" s="8">
        <f ca="1">IFERROR(__xludf.DUMMYFUNCTION("""COMPUTED_VALUE"""),89107)</f>
        <v>89107</v>
      </c>
    </row>
    <row r="2179" spans="1:50" ht="60" x14ac:dyDescent="0.2">
      <c r="A2179" s="8" t="str">
        <f ca="1">IFERROR(__xludf.DUMMYFUNCTION("""COMPUTED_VALUE"""),"20070109CAGRV")</f>
        <v>20070109CAGRV</v>
      </c>
      <c r="B2179" s="8">
        <f ca="1">IFERROR(__xludf.DUMMYFUNCTION("""COMPUTED_VALUE"""),1)</f>
        <v>1</v>
      </c>
      <c r="C2179" s="8">
        <f ca="1">IFERROR(__xludf.DUMMYFUNCTION("""COMPUTED_VALUE"""),9)</f>
        <v>9</v>
      </c>
      <c r="D2179" s="8">
        <f ca="1">IFERROR(__xludf.DUMMYFUNCTION("""COMPUTED_VALUE"""),2007)</f>
        <v>2007</v>
      </c>
      <c r="E2179" s="9">
        <f ca="1">IFERROR(__xludf.DUMMYFUNCTION("""COMPUTED_VALUE"""),39091)</f>
        <v>39091</v>
      </c>
      <c r="F2179" s="8" t="str">
        <f ca="1">IFERROR(__xludf.DUMMYFUNCTION("""COMPUTED_VALUE"""),"Grant High School")</f>
        <v>Grant High School</v>
      </c>
      <c r="G2179" s="8">
        <f ca="1">IFERROR(__xludf.DUMMYFUNCTION("""COMPUTED_VALUE"""),0)</f>
        <v>0</v>
      </c>
      <c r="H2179" s="8">
        <f ca="1">IFERROR(__xludf.DUMMYFUNCTION("""COMPUTED_VALUE"""),2)</f>
        <v>2</v>
      </c>
      <c r="I2179" s="8">
        <f ca="1">IFERROR(__xludf.DUMMYFUNCTION("""COMPUTED_VALUE"""),2)</f>
        <v>2</v>
      </c>
      <c r="J2179" s="8">
        <f ca="1">IFERROR(__xludf.DUMMYFUNCTION("""COMPUTED_VALUE"""),0)</f>
        <v>0</v>
      </c>
      <c r="K2179" s="10" t="str">
        <f ca="1">IFERROR(__xludf.DUMMYFUNCTION("""COMPUTED_VALUE"""),"http://articles.latimes.com/2007/jan/10/local/me-grant10")</f>
        <v>http://articles.latimes.com/2007/jan/10/local/me-grant10</v>
      </c>
      <c r="L2179" s="8"/>
      <c r="M2179" s="8"/>
      <c r="N2179" s="8">
        <f ca="1">IFERROR(__xludf.DUMMYFUNCTION("""COMPUTED_VALUE"""),2)</f>
        <v>2</v>
      </c>
      <c r="O2179" s="8" t="str">
        <f ca="1">IFERROR(__xludf.DUMMYFUNCTION("""COMPUTED_VALUE"""),"Winter")</f>
        <v>Winter</v>
      </c>
      <c r="P2179" s="8" t="str">
        <f ca="1">IFERROR(__xludf.DUMMYFUNCTION("""COMPUTED_VALUE"""),"Van Nuys")</f>
        <v>Van Nuys</v>
      </c>
      <c r="Q2179" s="8" t="str">
        <f ca="1">IFERROR(__xludf.DUMMYFUNCTION("""COMPUTED_VALUE"""),"CA")</f>
        <v>CA</v>
      </c>
      <c r="R2179" s="8" t="str">
        <f ca="1">IFERROR(__xludf.DUMMYFUNCTION("""COMPUTED_VALUE"""),"High")</f>
        <v>High</v>
      </c>
      <c r="S2179" s="8" t="str">
        <f ca="1">IFERROR(__xludf.DUMMYFUNCTION("""COMPUTED_VALUE"""),"Front of School")</f>
        <v>Front of School</v>
      </c>
      <c r="T2179" s="8" t="str">
        <f ca="1">IFERROR(__xludf.DUMMYFUNCTION("""COMPUTED_VALUE"""),"Outside on School Property")</f>
        <v>Outside on School Property</v>
      </c>
      <c r="U2179" s="8" t="str">
        <f ca="1">IFERROR(__xludf.DUMMYFUNCTION("""COMPUTED_VALUE"""),"Yes")</f>
        <v>Yes</v>
      </c>
      <c r="V2179" s="8" t="str">
        <f ca="1">IFERROR(__xludf.DUMMYFUNCTION("""COMPUTED_VALUE"""),"Dismissal")</f>
        <v>Dismissal</v>
      </c>
      <c r="W2179" s="11">
        <f ca="1">IFERROR(__xludf.DUMMYFUNCTION("""COMPUTED_VALUE"""),0.635416666666666)</f>
        <v>0.63541666666666596</v>
      </c>
      <c r="X2179" s="8">
        <f ca="1">IFERROR(__xludf.DUMMYFUNCTION("""COMPUTED_VALUE"""),1)</f>
        <v>1</v>
      </c>
      <c r="Y2179" s="12" t="str">
        <f ca="1">IFERROR(__xludf.DUMMYFUNCTION("""COMPUTED_VALUE"""),"2 students shot outside of school in gang related drive-by")</f>
        <v>2 students shot outside of school in gang related drive-by</v>
      </c>
      <c r="Z2179" s="12" t="str">
        <f ca="1">IFERROR(__xludf.DUMMYFUNCTION("""COMPUTED_VALUE"""),"17YOM and 16YOM students shot outside of high school in gang related drive-by shooting.")</f>
        <v>17YOM and 16YOM students shot outside of high school in gang related drive-by shooting.</v>
      </c>
      <c r="AA2179" s="8" t="str">
        <f ca="1">IFERROR(__xludf.DUMMYFUNCTION("""COMPUTED_VALUE"""),"Drive-by Shooting")</f>
        <v>Drive-by Shooting</v>
      </c>
      <c r="AB2179" s="8"/>
      <c r="AC2179" s="8" t="str">
        <f ca="1">IFERROR(__xludf.DUMMYFUNCTION("""COMPUTED_VALUE"""),"Yes")</f>
        <v>Yes</v>
      </c>
      <c r="AD2179" s="8" t="str">
        <f ca="1">IFERROR(__xludf.DUMMYFUNCTION("""COMPUTED_VALUE"""),"Victims Targeted")</f>
        <v>Victims Targeted</v>
      </c>
      <c r="AE2179" s="8" t="str">
        <f ca="1">IFERROR(__xludf.DUMMYFUNCTION("""COMPUTED_VALUE"""),"Yes")</f>
        <v>Yes</v>
      </c>
      <c r="AF2179" s="8" t="str">
        <f ca="1">IFERROR(__xludf.DUMMYFUNCTION("""COMPUTED_VALUE"""),"Multiple gang members in car")</f>
        <v>Multiple gang members in car</v>
      </c>
      <c r="AG2179" s="8" t="str">
        <f ca="1">IFERROR(__xludf.DUMMYFUNCTION("""COMPUTED_VALUE"""),"No")</f>
        <v>No</v>
      </c>
      <c r="AH2179" s="8" t="str">
        <f ca="1">IFERROR(__xludf.DUMMYFUNCTION("""COMPUTED_VALUE"""),"No")</f>
        <v>No</v>
      </c>
      <c r="AI2179" s="8" t="str">
        <f ca="1">IFERROR(__xludf.DUMMYFUNCTION("""COMPUTED_VALUE"""),"No")</f>
        <v>No</v>
      </c>
      <c r="AJ2179" s="8" t="str">
        <f ca="1">IFERROR(__xludf.DUMMYFUNCTION("""COMPUTED_VALUE"""),"No")</f>
        <v>No</v>
      </c>
      <c r="AK2179" s="8" t="str">
        <f ca="1">IFERROR(__xludf.DUMMYFUNCTION("""COMPUTED_VALUE"""),"No")</f>
        <v>No</v>
      </c>
      <c r="AL2179" s="8" t="str">
        <f ca="1">IFERROR(__xludf.DUMMYFUNCTION("""COMPUTED_VALUE"""),"Yes")</f>
        <v>Yes</v>
      </c>
      <c r="AM2179" s="8"/>
      <c r="AN2179" s="8"/>
      <c r="AO2179" s="8" t="str">
        <f ca="1">IFERROR(__xludf.DUMMYFUNCTION("""COMPUTED_VALUE"""),"No")</f>
        <v>No</v>
      </c>
      <c r="AP2179" s="8"/>
      <c r="AQ2179" s="8" t="str">
        <f ca="1">IFERROR(__xludf.DUMMYFUNCTION("""COMPUTED_VALUE"""),"Unknown")</f>
        <v>Unknown</v>
      </c>
      <c r="AR2179" s="8" t="str">
        <f ca="1">IFERROR(__xludf.DUMMYFUNCTION("""COMPUTED_VALUE"""),"NA")</f>
        <v>NA</v>
      </c>
      <c r="AS2179" s="8">
        <f ca="1">IFERROR(__xludf.DUMMYFUNCTION("""COMPUTED_VALUE"""),4)</f>
        <v>4</v>
      </c>
      <c r="AT2179" s="8"/>
      <c r="AU2179" s="8">
        <f ca="1">IFERROR(__xludf.DUMMYFUNCTION("""COMPUTED_VALUE"""),34.177333)</f>
        <v>34.177332999999997</v>
      </c>
      <c r="AV2179" s="8">
        <f ca="1">IFERROR(__xludf.DUMMYFUNCTION("""COMPUTED_VALUE"""),-118.4155)</f>
        <v>-118.41549999999999</v>
      </c>
      <c r="AW2179" s="8"/>
      <c r="AX2179" s="8">
        <f ca="1">IFERROR(__xludf.DUMMYFUNCTION("""COMPUTED_VALUE"""),91401)</f>
        <v>91401</v>
      </c>
    </row>
    <row r="2180" spans="1:50" ht="60" x14ac:dyDescent="0.2">
      <c r="A2180" s="8" t="str">
        <f ca="1">IFERROR(__xludf.DUMMYFUNCTION("""COMPUTED_VALUE"""),"20070108OHROC")</f>
        <v>20070108OHROC</v>
      </c>
      <c r="B2180" s="8">
        <f ca="1">IFERROR(__xludf.DUMMYFUNCTION("""COMPUTED_VALUE"""),1)</f>
        <v>1</v>
      </c>
      <c r="C2180" s="8">
        <f ca="1">IFERROR(__xludf.DUMMYFUNCTION("""COMPUTED_VALUE"""),8)</f>
        <v>8</v>
      </c>
      <c r="D2180" s="8">
        <f ca="1">IFERROR(__xludf.DUMMYFUNCTION("""COMPUTED_VALUE"""),2007)</f>
        <v>2007</v>
      </c>
      <c r="E2180" s="9">
        <f ca="1">IFERROR(__xludf.DUMMYFUNCTION("""COMPUTED_VALUE"""),39090)</f>
        <v>39090</v>
      </c>
      <c r="F2180" s="8" t="str">
        <f ca="1">IFERROR(__xludf.DUMMYFUNCTION("""COMPUTED_VALUE"""),"Robert A. Taft Information Technology High School")</f>
        <v>Robert A. Taft Information Technology High School</v>
      </c>
      <c r="G2180" s="8">
        <f ca="1">IFERROR(__xludf.DUMMYFUNCTION("""COMPUTED_VALUE"""),0)</f>
        <v>0</v>
      </c>
      <c r="H2180" s="8">
        <f ca="1">IFERROR(__xludf.DUMMYFUNCTION("""COMPUTED_VALUE"""),0)</f>
        <v>0</v>
      </c>
      <c r="I2180" s="8">
        <f ca="1">IFERROR(__xludf.DUMMYFUNCTION("""COMPUTED_VALUE"""),0)</f>
        <v>0</v>
      </c>
      <c r="J2180" s="8">
        <f ca="1">IFERROR(__xludf.DUMMYFUNCTION("""COMPUTED_VALUE"""),0)</f>
        <v>0</v>
      </c>
      <c r="K2180" s="10" t="str">
        <f ca="1">IFERROR(__xludf.DUMMYFUNCTION("""COMPUTED_VALUE"""),"https://www.newspapers.com/image/286391925/?terms=High%2BSchool%2BDixon%2BEdwards")</f>
        <v>https://www.newspapers.com/image/286391925/?terms=High%2BSchool%2BDixon%2BEdwards</v>
      </c>
      <c r="L2180" s="8"/>
      <c r="M2180" s="8"/>
      <c r="N2180" s="8">
        <f ca="1">IFERROR(__xludf.DUMMYFUNCTION("""COMPUTED_VALUE"""),2)</f>
        <v>2</v>
      </c>
      <c r="O2180" s="8" t="str">
        <f ca="1">IFERROR(__xludf.DUMMYFUNCTION("""COMPUTED_VALUE"""),"Winter")</f>
        <v>Winter</v>
      </c>
      <c r="P2180" s="8" t="str">
        <f ca="1">IFERROR(__xludf.DUMMYFUNCTION("""COMPUTED_VALUE"""),"Cincinnati")</f>
        <v>Cincinnati</v>
      </c>
      <c r="Q2180" s="8" t="str">
        <f ca="1">IFERROR(__xludf.DUMMYFUNCTION("""COMPUTED_VALUE"""),"OH")</f>
        <v>OH</v>
      </c>
      <c r="R2180" s="8" t="str">
        <f ca="1">IFERROR(__xludf.DUMMYFUNCTION("""COMPUTED_VALUE"""),"High")</f>
        <v>High</v>
      </c>
      <c r="S2180" s="8" t="str">
        <f ca="1">IFERROR(__xludf.DUMMYFUNCTION("""COMPUTED_VALUE"""),"Hallway")</f>
        <v>Hallway</v>
      </c>
      <c r="T2180" s="8" t="str">
        <f ca="1">IFERROR(__xludf.DUMMYFUNCTION("""COMPUTED_VALUE"""),"Inside School Building")</f>
        <v>Inside School Building</v>
      </c>
      <c r="U2180" s="8" t="str">
        <f ca="1">IFERROR(__xludf.DUMMYFUNCTION("""COMPUTED_VALUE"""),"Yes")</f>
        <v>Yes</v>
      </c>
      <c r="V2180" s="8" t="str">
        <f ca="1">IFERROR(__xludf.DUMMYFUNCTION("""COMPUTED_VALUE"""),"Lunch")</f>
        <v>Lunch</v>
      </c>
      <c r="W2180" s="11">
        <f ca="1">IFERROR(__xludf.DUMMYFUNCTION("""COMPUTED_VALUE"""),0.447916666666666)</f>
        <v>0.44791666666666602</v>
      </c>
      <c r="X2180" s="8">
        <f ca="1">IFERROR(__xludf.DUMMYFUNCTION("""COMPUTED_VALUE"""),1)</f>
        <v>1</v>
      </c>
      <c r="Y2180" s="12" t="str">
        <f ca="1">IFERROR(__xludf.DUMMYFUNCTION("""COMPUTED_VALUE"""),"Student with 2 guns confronted by principal, fired, and fled")</f>
        <v>Student with 2 guns confronted by principal, fired, and fled</v>
      </c>
      <c r="Z2180" s="12" t="str">
        <f ca="1">IFERROR(__xludf.DUMMYFUNCTION("""COMPUTED_VALUE"""),"16YOM student displayed 2 guns at school and started taunting other students. Principal grabbed him and he fired one shot (missed) and fled. Arrested away from school. Motive unknown.")</f>
        <v>16YOM student displayed 2 guns at school and started taunting other students. Principal grabbed him and he fired one shot (missed) and fled. Arrested away from school. Motive unknown.</v>
      </c>
      <c r="AA2180" s="8" t="str">
        <f ca="1">IFERROR(__xludf.DUMMYFUNCTION("""COMPUTED_VALUE"""),"Indiscriminate Shooting")</f>
        <v>Indiscriminate Shooting</v>
      </c>
      <c r="AB2180" s="8"/>
      <c r="AC2180" s="8" t="str">
        <f ca="1">IFERROR(__xludf.DUMMYFUNCTION("""COMPUTED_VALUE"""),"Yes")</f>
        <v>Yes</v>
      </c>
      <c r="AD2180" s="8"/>
      <c r="AE2180" s="8" t="str">
        <f ca="1">IFERROR(__xludf.DUMMYFUNCTION("""COMPUTED_VALUE"""),"No")</f>
        <v>No</v>
      </c>
      <c r="AF2180" s="8"/>
      <c r="AG2180" s="8" t="str">
        <f ca="1">IFERROR(__xludf.DUMMYFUNCTION("""COMPUTED_VALUE"""),"No")</f>
        <v>No</v>
      </c>
      <c r="AH2180" s="8" t="str">
        <f ca="1">IFERROR(__xludf.DUMMYFUNCTION("""COMPUTED_VALUE"""),"No")</f>
        <v>No</v>
      </c>
      <c r="AI2180" s="8" t="str">
        <f ca="1">IFERROR(__xludf.DUMMYFUNCTION("""COMPUTED_VALUE"""),"No")</f>
        <v>No</v>
      </c>
      <c r="AJ2180" s="8"/>
      <c r="AK2180" s="8" t="str">
        <f ca="1">IFERROR(__xludf.DUMMYFUNCTION("""COMPUTED_VALUE"""),"No")</f>
        <v>No</v>
      </c>
      <c r="AL2180" s="8" t="str">
        <f ca="1">IFERROR(__xludf.DUMMYFUNCTION("""COMPUTED_VALUE"""),"No")</f>
        <v>No</v>
      </c>
      <c r="AM2180" s="8" t="str">
        <f ca="1">IFERROR(__xludf.DUMMYFUNCTION("""COMPUTED_VALUE"""),"Yes")</f>
        <v>Yes</v>
      </c>
      <c r="AN2180" s="8" t="str">
        <f ca="1">IFERROR(__xludf.DUMMYFUNCTION("""COMPUTED_VALUE"""),"Hallway")</f>
        <v>Hallway</v>
      </c>
      <c r="AO2180" s="8" t="str">
        <f ca="1">IFERROR(__xludf.DUMMYFUNCTION("""COMPUTED_VALUE"""),"No")</f>
        <v>No</v>
      </c>
      <c r="AP2180" s="8" t="str">
        <f ca="1">IFERROR(__xludf.DUMMYFUNCTION("""COMPUTED_VALUE"""),"No")</f>
        <v>No</v>
      </c>
      <c r="AQ2180" s="8" t="str">
        <f ca="1">IFERROR(__xludf.DUMMYFUNCTION("""COMPUTED_VALUE"""),"Unknown")</f>
        <v>Unknown</v>
      </c>
      <c r="AR2180" s="8" t="str">
        <f ca="1">IFERROR(__xludf.DUMMYFUNCTION("""COMPUTED_VALUE"""),"NA")</f>
        <v>NA</v>
      </c>
      <c r="AS2180" s="8">
        <f ca="1">IFERROR(__xludf.DUMMYFUNCTION("""COMPUTED_VALUE"""),1)</f>
        <v>1</v>
      </c>
      <c r="AT2180" s="8"/>
      <c r="AU2180" s="8">
        <f ca="1">IFERROR(__xludf.DUMMYFUNCTION("""COMPUTED_VALUE"""),39.109566)</f>
        <v>39.109566000000001</v>
      </c>
      <c r="AV2180" s="8">
        <f ca="1">IFERROR(__xludf.DUMMYFUNCTION("""COMPUTED_VALUE"""),-84.522459)</f>
        <v>-84.522458999999998</v>
      </c>
      <c r="AW2180" s="8"/>
      <c r="AX2180" s="8">
        <f ca="1">IFERROR(__xludf.DUMMYFUNCTION("""COMPUTED_VALUE"""),45203)</f>
        <v>45203</v>
      </c>
    </row>
    <row r="2181" spans="1:50" ht="60" x14ac:dyDescent="0.2">
      <c r="A2181" s="8" t="str">
        <f ca="1">IFERROR(__xludf.DUMMYFUNCTION("""COMPUTED_VALUE"""),"20070104MINOD")</f>
        <v>20070104MINOD</v>
      </c>
      <c r="B2181" s="8">
        <f ca="1">IFERROR(__xludf.DUMMYFUNCTION("""COMPUTED_VALUE"""),1)</f>
        <v>1</v>
      </c>
      <c r="C2181" s="8">
        <f ca="1">IFERROR(__xludf.DUMMYFUNCTION("""COMPUTED_VALUE"""),4)</f>
        <v>4</v>
      </c>
      <c r="D2181" s="8">
        <f ca="1">IFERROR(__xludf.DUMMYFUNCTION("""COMPUTED_VALUE"""),2007)</f>
        <v>2007</v>
      </c>
      <c r="E2181" s="9">
        <f ca="1">IFERROR(__xludf.DUMMYFUNCTION("""COMPUTED_VALUE"""),39086)</f>
        <v>39086</v>
      </c>
      <c r="F2181" s="8" t="str">
        <f ca="1">IFERROR(__xludf.DUMMYFUNCTION("""COMPUTED_VALUE"""),"Northwestern High School")</f>
        <v>Northwestern High School</v>
      </c>
      <c r="G2181" s="8">
        <f ca="1">IFERROR(__xludf.DUMMYFUNCTION("""COMPUTED_VALUE"""),0)</f>
        <v>0</v>
      </c>
      <c r="H2181" s="8">
        <f ca="1">IFERROR(__xludf.DUMMYFUNCTION("""COMPUTED_VALUE"""),1)</f>
        <v>1</v>
      </c>
      <c r="I2181" s="8">
        <f ca="1">IFERROR(__xludf.DUMMYFUNCTION("""COMPUTED_VALUE"""),1)</f>
        <v>1</v>
      </c>
      <c r="J2181" s="8">
        <f ca="1">IFERROR(__xludf.DUMMYFUNCTION("""COMPUTED_VALUE"""),0)</f>
        <v>0</v>
      </c>
      <c r="K2181" s="10" t="str">
        <f ca="1">IFERROR(__xludf.DUMMYFUNCTION("""COMPUTED_VALUE"""),"https://www.columbine-angels.com/School_Violence_2006-2007.htm")</f>
        <v>https://www.columbine-angels.com/School_Violence_2006-2007.htm</v>
      </c>
      <c r="L2181" s="8"/>
      <c r="M2181" s="8"/>
      <c r="N2181" s="8">
        <f ca="1">IFERROR(__xludf.DUMMYFUNCTION("""COMPUTED_VALUE"""),1)</f>
        <v>1</v>
      </c>
      <c r="O2181" s="8" t="str">
        <f ca="1">IFERROR(__xludf.DUMMYFUNCTION("""COMPUTED_VALUE"""),"Winter")</f>
        <v>Winter</v>
      </c>
      <c r="P2181" s="8" t="str">
        <f ca="1">IFERROR(__xludf.DUMMYFUNCTION("""COMPUTED_VALUE"""),"Detroit")</f>
        <v>Detroit</v>
      </c>
      <c r="Q2181" s="8" t="str">
        <f ca="1">IFERROR(__xludf.DUMMYFUNCTION("""COMPUTED_VALUE"""),"MI")</f>
        <v>MI</v>
      </c>
      <c r="R2181" s="8" t="str">
        <f ca="1">IFERROR(__xludf.DUMMYFUNCTION("""COMPUTED_VALUE"""),"High")</f>
        <v>High</v>
      </c>
      <c r="S2181" s="8" t="str">
        <f ca="1">IFERROR(__xludf.DUMMYFUNCTION("""COMPUTED_VALUE"""),"Front of School")</f>
        <v>Front of School</v>
      </c>
      <c r="T2181" s="8" t="str">
        <f ca="1">IFERROR(__xludf.DUMMYFUNCTION("""COMPUTED_VALUE"""),"Outside on School Property")</f>
        <v>Outside on School Property</v>
      </c>
      <c r="U2181" s="8" t="str">
        <f ca="1">IFERROR(__xludf.DUMMYFUNCTION("""COMPUTED_VALUE"""),"Yes")</f>
        <v>Yes</v>
      </c>
      <c r="V2181" s="8"/>
      <c r="W2181" s="8"/>
      <c r="X2181" s="8">
        <f ca="1">IFERROR(__xludf.DUMMYFUNCTION("""COMPUTED_VALUE"""),1)</f>
        <v>1</v>
      </c>
      <c r="Y2181" s="12" t="str">
        <f ca="1">IFERROR(__xludf.DUMMYFUNCTION("""COMPUTED_VALUE"""),"Drive-by shooting outside of school")</f>
        <v>Drive-by shooting outside of school</v>
      </c>
      <c r="Z2181" s="12" t="str">
        <f ca="1">IFERROR(__xludf.DUMMYFUNCTION("""COMPUTED_VALUE"""),"A group of students were standing outside their school today when a car pulled up to the curb. Someone inside the vehicle pulled out a gun and fired shots at the students.  A 14 year-old girl was struck in the leg.")</f>
        <v>A group of students were standing outside their school today when a car pulled up to the curb. Someone inside the vehicle pulled out a gun and fired shots at the students.  A 14 year-old girl was struck in the leg.</v>
      </c>
      <c r="AA2181" s="8" t="str">
        <f ca="1">IFERROR(__xludf.DUMMYFUNCTION("""COMPUTED_VALUE"""),"Drive-by Shooting")</f>
        <v>Drive-by Shooting</v>
      </c>
      <c r="AB2181" s="8"/>
      <c r="AC2181" s="8" t="str">
        <f ca="1">IFERROR(__xludf.DUMMYFUNCTION("""COMPUTED_VALUE"""),"Yes")</f>
        <v>Yes</v>
      </c>
      <c r="AD2181" s="8"/>
      <c r="AE2181" s="8" t="str">
        <f ca="1">IFERROR(__xludf.DUMMYFUNCTION("""COMPUTED_VALUE"""),"Yes")</f>
        <v>Yes</v>
      </c>
      <c r="AF2181" s="8" t="str">
        <f ca="1">IFERROR(__xludf.DUMMYFUNCTION("""COMPUTED_VALUE"""),"Multiple people in car")</f>
        <v>Multiple people in car</v>
      </c>
      <c r="AG2181" s="8" t="str">
        <f ca="1">IFERROR(__xludf.DUMMYFUNCTION("""COMPUTED_VALUE"""),"No")</f>
        <v>No</v>
      </c>
      <c r="AH2181" s="8" t="str">
        <f ca="1">IFERROR(__xludf.DUMMYFUNCTION("""COMPUTED_VALUE"""),"No")</f>
        <v>No</v>
      </c>
      <c r="AI2181" s="8" t="str">
        <f ca="1">IFERROR(__xludf.DUMMYFUNCTION("""COMPUTED_VALUE"""),"No")</f>
        <v>No</v>
      </c>
      <c r="AJ2181" s="8" t="str">
        <f ca="1">IFERROR(__xludf.DUMMYFUNCTION("""COMPUTED_VALUE"""),"No")</f>
        <v>No</v>
      </c>
      <c r="AK2181" s="8" t="str">
        <f ca="1">IFERROR(__xludf.DUMMYFUNCTION("""COMPUTED_VALUE"""),"No")</f>
        <v>No</v>
      </c>
      <c r="AL2181" s="8"/>
      <c r="AM2181" s="8"/>
      <c r="AN2181" s="8"/>
      <c r="AO2181" s="8" t="str">
        <f ca="1">IFERROR(__xludf.DUMMYFUNCTION("""COMPUTED_VALUE"""),"No")</f>
        <v>No</v>
      </c>
      <c r="AP2181" s="8"/>
      <c r="AQ2181" s="8" t="str">
        <f ca="1">IFERROR(__xludf.DUMMYFUNCTION("""COMPUTED_VALUE"""),"Unknown")</f>
        <v>Unknown</v>
      </c>
      <c r="AR2181" s="8" t="str">
        <f ca="1">IFERROR(__xludf.DUMMYFUNCTION("""COMPUTED_VALUE"""),"NA")</f>
        <v>NA</v>
      </c>
      <c r="AS2181" s="8"/>
      <c r="AT2181" s="8"/>
      <c r="AU2181" s="8">
        <f ca="1">IFERROR(__xludf.DUMMYFUNCTION("""COMPUTED_VALUE"""),42.358004)</f>
        <v>42.358004000000001</v>
      </c>
      <c r="AV2181" s="8">
        <f ca="1">IFERROR(__xludf.DUMMYFUNCTION("""COMPUTED_VALUE"""),-83.103232)</f>
        <v>-83.103232000000006</v>
      </c>
      <c r="AW2181" s="8"/>
      <c r="AX2181" s="8">
        <f ca="1">IFERROR(__xludf.DUMMYFUNCTION("""COMPUTED_VALUE"""),48208)</f>
        <v>48208</v>
      </c>
    </row>
    <row r="2182" spans="1:50" ht="135" x14ac:dyDescent="0.2">
      <c r="A2182" s="8" t="str">
        <f ca="1">IFERROR(__xludf.DUMMYFUNCTION("""COMPUTED_VALUE"""),"20070103WAHET")</f>
        <v>20070103WAHET</v>
      </c>
      <c r="B2182" s="8">
        <f ca="1">IFERROR(__xludf.DUMMYFUNCTION("""COMPUTED_VALUE"""),1)</f>
        <v>1</v>
      </c>
      <c r="C2182" s="8">
        <f ca="1">IFERROR(__xludf.DUMMYFUNCTION("""COMPUTED_VALUE"""),3)</f>
        <v>3</v>
      </c>
      <c r="D2182" s="8">
        <f ca="1">IFERROR(__xludf.DUMMYFUNCTION("""COMPUTED_VALUE"""),2007)</f>
        <v>2007</v>
      </c>
      <c r="E2182" s="9">
        <f ca="1">IFERROR(__xludf.DUMMYFUNCTION("""COMPUTED_VALUE"""),39085)</f>
        <v>39085</v>
      </c>
      <c r="F2182" s="8" t="str">
        <f ca="1">IFERROR(__xludf.DUMMYFUNCTION("""COMPUTED_VALUE"""),"Henry Foss High School")</f>
        <v>Henry Foss High School</v>
      </c>
      <c r="G2182" s="8">
        <f ca="1">IFERROR(__xludf.DUMMYFUNCTION("""COMPUTED_VALUE"""),1)</f>
        <v>1</v>
      </c>
      <c r="H2182" s="8">
        <f ca="1">IFERROR(__xludf.DUMMYFUNCTION("""COMPUTED_VALUE"""),0)</f>
        <v>0</v>
      </c>
      <c r="I2182" s="8">
        <f ca="1">IFERROR(__xludf.DUMMYFUNCTION("""COMPUTED_VALUE"""),1)</f>
        <v>1</v>
      </c>
      <c r="J2182" s="8">
        <f ca="1">IFERROR(__xludf.DUMMYFUNCTION("""COMPUTED_VALUE"""),0)</f>
        <v>0</v>
      </c>
      <c r="K2182" s="8" t="str">
        <f ca="1">IFERROR(__xludf.DUMMYFUNCTION("""COMPUTED_VALUE"""),"http://cqrcengage.com/neamn/app/document/18589776 . https://www.newspapers.com/image/344995521/?terms=HENRY%2BFOSS%2BHIGH%2BSCHOOL")</f>
        <v>http://cqrcengage.com/neamn/app/document/18589776 . https://www.newspapers.com/image/344995521/?terms=HENRY%2BFOSS%2BHIGH%2BSCHOOL</v>
      </c>
      <c r="L2182" s="8"/>
      <c r="M2182" s="8"/>
      <c r="N2182" s="8">
        <f ca="1">IFERROR(__xludf.DUMMYFUNCTION("""COMPUTED_VALUE"""),2)</f>
        <v>2</v>
      </c>
      <c r="O2182" s="8" t="str">
        <f ca="1">IFERROR(__xludf.DUMMYFUNCTION("""COMPUTED_VALUE"""),"Winter")</f>
        <v>Winter</v>
      </c>
      <c r="P2182" s="8" t="str">
        <f ca="1">IFERROR(__xludf.DUMMYFUNCTION("""COMPUTED_VALUE"""),"Tacoma")</f>
        <v>Tacoma</v>
      </c>
      <c r="Q2182" s="8" t="str">
        <f ca="1">IFERROR(__xludf.DUMMYFUNCTION("""COMPUTED_VALUE"""),"WA")</f>
        <v>WA</v>
      </c>
      <c r="R2182" s="8" t="str">
        <f ca="1">IFERROR(__xludf.DUMMYFUNCTION("""COMPUTED_VALUE"""),"High")</f>
        <v>High</v>
      </c>
      <c r="S2182" s="8" t="str">
        <f ca="1">IFERROR(__xludf.DUMMYFUNCTION("""COMPUTED_VALUE"""),"Hallway")</f>
        <v>Hallway</v>
      </c>
      <c r="T2182" s="8" t="str">
        <f ca="1">IFERROR(__xludf.DUMMYFUNCTION("""COMPUTED_VALUE"""),"Inside School Building")</f>
        <v>Inside School Building</v>
      </c>
      <c r="U2182" s="8" t="str">
        <f ca="1">IFERROR(__xludf.DUMMYFUNCTION("""COMPUTED_VALUE"""),"Yes")</f>
        <v>Yes</v>
      </c>
      <c r="V2182" s="8" t="str">
        <f ca="1">IFERROR(__xludf.DUMMYFUNCTION("""COMPUTED_VALUE"""),"Morning Classes")</f>
        <v>Morning Classes</v>
      </c>
      <c r="W2182" s="11">
        <f ca="1">IFERROR(__xludf.DUMMYFUNCTION("""COMPUTED_VALUE"""),0.3125)</f>
        <v>0.3125</v>
      </c>
      <c r="X2182" s="8">
        <f ca="1">IFERROR(__xludf.DUMMYFUNCTION("""COMPUTED_VALUE"""),1)</f>
        <v>1</v>
      </c>
      <c r="Y2182" s="12" t="str">
        <f ca="1">IFERROR(__xludf.DUMMYFUNCTION("""COMPUTED_VALUE"""),"Shooter with paranoid schizophrenia though student was gang member plotting to kill him, surrendered after shooting")</f>
        <v>Shooter with paranoid schizophrenia though student was gang member plotting to kill him, surrendered after shooting</v>
      </c>
      <c r="Z2182" s="12" t="str">
        <f ca="1">IFERROR(__xludf.DUMMYFUNCTION("""COMPUTED_VALUE"""),"Shooter was diagnosed with schizophrenia. Shooter believed the victim was a gang member who was going to hurt him (delusion/paranoia). Shooter fired multiple shots killing the victim in the hallway before class started. No other students were injured. Sho"&amp;"oter surrendered to police without resistance after the shooting. Shooter had written about killing the victim in a shoot writing assignment (evidence presented in the case). Insanity plea was rejected in court. Shooter had no previous history or suggesti"&amp;"on of violence.")</f>
        <v>Shooter was diagnosed with schizophrenia. Shooter believed the victim was a gang member who was going to hurt him (delusion/paranoia). Shooter fired multiple shots killing the victim in the hallway before class started. No other students were injured. Shooter surrendered to police without resistance after the shooting. Shooter had written about killing the victim in a shoot writing assignment (evidence presented in the case). Insanity plea was rejected in court. Shooter had no previous history or suggestion of violence.</v>
      </c>
      <c r="AA2182" s="8" t="str">
        <f ca="1">IFERROR(__xludf.DUMMYFUNCTION("""COMPUTED_VALUE"""),"Psychosis")</f>
        <v>Psychosis</v>
      </c>
      <c r="AB2182" s="8"/>
      <c r="AC2182" s="8" t="str">
        <f ca="1">IFERROR(__xludf.DUMMYFUNCTION("""COMPUTED_VALUE"""),"Yes")</f>
        <v>Yes</v>
      </c>
      <c r="AD2182" s="8" t="str">
        <f ca="1">IFERROR(__xludf.DUMMYFUNCTION("""COMPUTED_VALUE"""),"Victims Targeted")</f>
        <v>Victims Targeted</v>
      </c>
      <c r="AE2182" s="8" t="str">
        <f ca="1">IFERROR(__xludf.DUMMYFUNCTION("""COMPUTED_VALUE"""),"No")</f>
        <v>No</v>
      </c>
      <c r="AF2182" s="8"/>
      <c r="AG2182" s="8" t="str">
        <f ca="1">IFERROR(__xludf.DUMMYFUNCTION("""COMPUTED_VALUE"""),"No")</f>
        <v>No</v>
      </c>
      <c r="AH2182" s="8" t="str">
        <f ca="1">IFERROR(__xludf.DUMMYFUNCTION("""COMPUTED_VALUE"""),"No")</f>
        <v>No</v>
      </c>
      <c r="AI2182" s="8" t="str">
        <f ca="1">IFERROR(__xludf.DUMMYFUNCTION("""COMPUTED_VALUE"""),"No")</f>
        <v>No</v>
      </c>
      <c r="AJ2182" s="8" t="str">
        <f ca="1">IFERROR(__xludf.DUMMYFUNCTION("""COMPUTED_VALUE"""),"No")</f>
        <v>No</v>
      </c>
      <c r="AK2182" s="8" t="str">
        <f ca="1">IFERROR(__xludf.DUMMYFUNCTION("""COMPUTED_VALUE"""),"No")</f>
        <v>No</v>
      </c>
      <c r="AL2182" s="8" t="str">
        <f ca="1">IFERROR(__xludf.DUMMYFUNCTION("""COMPUTED_VALUE"""),"No")</f>
        <v>No</v>
      </c>
      <c r="AM2182" s="8"/>
      <c r="AN2182" s="8"/>
      <c r="AO2182" s="8" t="str">
        <f ca="1">IFERROR(__xludf.DUMMYFUNCTION("""COMPUTED_VALUE"""),"No")</f>
        <v>No</v>
      </c>
      <c r="AP2182" s="8" t="str">
        <f ca="1">IFERROR(__xludf.DUMMYFUNCTION("""COMPUTED_VALUE"""),"No")</f>
        <v>No</v>
      </c>
      <c r="AQ2182" s="8" t="str">
        <f ca="1">IFERROR(__xludf.DUMMYFUNCTION("""COMPUTED_VALUE"""),"Unknown")</f>
        <v>Unknown</v>
      </c>
      <c r="AR2182" s="8" t="str">
        <f ca="1">IFERROR(__xludf.DUMMYFUNCTION("""COMPUTED_VALUE"""),"NA")</f>
        <v>NA</v>
      </c>
      <c r="AS2182" s="8">
        <f ca="1">IFERROR(__xludf.DUMMYFUNCTION("""COMPUTED_VALUE"""),1)</f>
        <v>1</v>
      </c>
      <c r="AT2182" s="8" t="str">
        <f ca="1">IFERROR(__xludf.DUMMYFUNCTION("""COMPUTED_VALUE"""),"Yes")</f>
        <v>Yes</v>
      </c>
      <c r="AU2182" s="8">
        <f ca="1">IFERROR(__xludf.DUMMYFUNCTION("""COMPUTED_VALUE"""),47.239526)</f>
        <v>47.239525999999998</v>
      </c>
      <c r="AV2182" s="8">
        <f ca="1">IFERROR(__xludf.DUMMYFUNCTION("""COMPUTED_VALUE"""),-122.495766)</f>
        <v>-122.495766</v>
      </c>
      <c r="AW2182" s="8"/>
      <c r="AX2182" s="8">
        <f ca="1">IFERROR(__xludf.DUMMYFUNCTION("""COMPUTED_VALUE"""),98416)</f>
        <v>98416</v>
      </c>
    </row>
    <row r="2183" spans="1:50" ht="60" x14ac:dyDescent="0.2">
      <c r="A2183" s="8" t="str">
        <f ca="1">IFERROR(__xludf.DUMMYFUNCTION("""COMPUTED_VALUE"""),"20070102NCWEF")</f>
        <v>20070102NCWEF</v>
      </c>
      <c r="B2183" s="8">
        <f ca="1">IFERROR(__xludf.DUMMYFUNCTION("""COMPUTED_VALUE"""),1)</f>
        <v>1</v>
      </c>
      <c r="C2183" s="8">
        <f ca="1">IFERROR(__xludf.DUMMYFUNCTION("""COMPUTED_VALUE"""),2)</f>
        <v>2</v>
      </c>
      <c r="D2183" s="8">
        <f ca="1">IFERROR(__xludf.DUMMYFUNCTION("""COMPUTED_VALUE"""),2007)</f>
        <v>2007</v>
      </c>
      <c r="E2183" s="9">
        <f ca="1">IFERROR(__xludf.DUMMYFUNCTION("""COMPUTED_VALUE"""),39084)</f>
        <v>39084</v>
      </c>
      <c r="F2183" s="8" t="str">
        <f ca="1">IFERROR(__xludf.DUMMYFUNCTION("""COMPUTED_VALUE"""),"Westover High School")</f>
        <v>Westover High School</v>
      </c>
      <c r="G2183" s="8">
        <f ca="1">IFERROR(__xludf.DUMMYFUNCTION("""COMPUTED_VALUE"""),0)</f>
        <v>0</v>
      </c>
      <c r="H2183" s="8">
        <f ca="1">IFERROR(__xludf.DUMMYFUNCTION("""COMPUTED_VALUE"""),0)</f>
        <v>0</v>
      </c>
      <c r="I2183" s="8">
        <f ca="1">IFERROR(__xludf.DUMMYFUNCTION("""COMPUTED_VALUE"""),0)</f>
        <v>0</v>
      </c>
      <c r="J2183" s="8">
        <f ca="1">IFERROR(__xludf.DUMMYFUNCTION("""COMPUTED_VALUE"""),0)</f>
        <v>0</v>
      </c>
      <c r="K2183" s="10" t="str">
        <f ca="1">IFERROR(__xludf.DUMMYFUNCTION("""COMPUTED_VALUE"""),"http://www.keystosaferschools.com/2007startswithabang.htm")</f>
        <v>http://www.keystosaferschools.com/2007startswithabang.htm</v>
      </c>
      <c r="L2183" s="8"/>
      <c r="M2183" s="8"/>
      <c r="N2183" s="8">
        <f ca="1">IFERROR(__xludf.DUMMYFUNCTION("""COMPUTED_VALUE"""),2)</f>
        <v>2</v>
      </c>
      <c r="O2183" s="8" t="str">
        <f ca="1">IFERROR(__xludf.DUMMYFUNCTION("""COMPUTED_VALUE"""),"Winter")</f>
        <v>Winter</v>
      </c>
      <c r="P2183" s="8" t="str">
        <f ca="1">IFERROR(__xludf.DUMMYFUNCTION("""COMPUTED_VALUE"""),"Fayetteville")</f>
        <v>Fayetteville</v>
      </c>
      <c r="Q2183" s="8" t="str">
        <f ca="1">IFERROR(__xludf.DUMMYFUNCTION("""COMPUTED_VALUE"""),"NC")</f>
        <v>NC</v>
      </c>
      <c r="R2183" s="8" t="str">
        <f ca="1">IFERROR(__xludf.DUMMYFUNCTION("""COMPUTED_VALUE"""),"High")</f>
        <v>High</v>
      </c>
      <c r="S2183" s="8" t="str">
        <f ca="1">IFERROR(__xludf.DUMMYFUNCTION("""COMPUTED_VALUE"""),"Front of School")</f>
        <v>Front of School</v>
      </c>
      <c r="T2183" s="8" t="str">
        <f ca="1">IFERROR(__xludf.DUMMYFUNCTION("""COMPUTED_VALUE"""),"Outside on School Property")</f>
        <v>Outside on School Property</v>
      </c>
      <c r="U2183" s="8" t="str">
        <f ca="1">IFERROR(__xludf.DUMMYFUNCTION("""COMPUTED_VALUE"""),"Yes")</f>
        <v>Yes</v>
      </c>
      <c r="V2183" s="8" t="str">
        <f ca="1">IFERROR(__xludf.DUMMYFUNCTION("""COMPUTED_VALUE"""),"Dismissal")</f>
        <v>Dismissal</v>
      </c>
      <c r="W2183" s="11">
        <f ca="1">IFERROR(__xludf.DUMMYFUNCTION("""COMPUTED_VALUE"""),0.625694444444444)</f>
        <v>0.625694444444444</v>
      </c>
      <c r="X2183" s="8">
        <f ca="1">IFERROR(__xludf.DUMMYFUNCTION("""COMPUTED_VALUE"""),1)</f>
        <v>1</v>
      </c>
      <c r="Y2183" s="12" t="str">
        <f ca="1">IFERROR(__xludf.DUMMYFUNCTION("""COMPUTED_VALUE"""),"Shots fired by student at car with 3 students in parking lot")</f>
        <v>Shots fired by student at car with 3 students in parking lot</v>
      </c>
      <c r="Z2183" s="12" t="str">
        <f ca="1">IFERROR(__xludf.DUMMYFUNCTION("""COMPUTED_VALUE"""),"When classes were letting out, a unidentified 14YOM with a gun stepped out into the street and opened fire on a 17YOM male student's black car as he was leaving school.  Two other students were also in the car, but nobody was hurt.")</f>
        <v>When classes were letting out, a unidentified 14YOM with a gun stepped out into the street and opened fire on a 17YOM male student's black car as he was leaving school.  Two other students were also in the car, but nobody was hurt.</v>
      </c>
      <c r="AA2183" s="8" t="str">
        <f ca="1">IFERROR(__xludf.DUMMYFUNCTION("""COMPUTED_VALUE"""),"Escalation of Dispute")</f>
        <v>Escalation of Dispute</v>
      </c>
      <c r="AB2183" s="8"/>
      <c r="AC2183" s="8" t="str">
        <f ca="1">IFERROR(__xludf.DUMMYFUNCTION("""COMPUTED_VALUE"""),"Yes")</f>
        <v>Yes</v>
      </c>
      <c r="AD2183" s="8" t="str">
        <f ca="1">IFERROR(__xludf.DUMMYFUNCTION("""COMPUTED_VALUE"""),"Victims Targeted")</f>
        <v>Victims Targeted</v>
      </c>
      <c r="AE2183" s="8" t="str">
        <f ca="1">IFERROR(__xludf.DUMMYFUNCTION("""COMPUTED_VALUE"""),"No")</f>
        <v>No</v>
      </c>
      <c r="AF2183" s="8"/>
      <c r="AG2183" s="8" t="str">
        <f ca="1">IFERROR(__xludf.DUMMYFUNCTION("""COMPUTED_VALUE"""),"No")</f>
        <v>No</v>
      </c>
      <c r="AH2183" s="8" t="str">
        <f ca="1">IFERROR(__xludf.DUMMYFUNCTION("""COMPUTED_VALUE"""),"No")</f>
        <v>No</v>
      </c>
      <c r="AI2183" s="8" t="str">
        <f ca="1">IFERROR(__xludf.DUMMYFUNCTION("""COMPUTED_VALUE"""),"No")</f>
        <v>No</v>
      </c>
      <c r="AJ2183" s="8"/>
      <c r="AK2183" s="8" t="str">
        <f ca="1">IFERROR(__xludf.DUMMYFUNCTION("""COMPUTED_VALUE"""),"No")</f>
        <v>No</v>
      </c>
      <c r="AL2183" s="8" t="str">
        <f ca="1">IFERROR(__xludf.DUMMYFUNCTION("""COMPUTED_VALUE"""),"No")</f>
        <v>No</v>
      </c>
      <c r="AM2183" s="8"/>
      <c r="AN2183" s="8"/>
      <c r="AO2183" s="8" t="str">
        <f ca="1">IFERROR(__xludf.DUMMYFUNCTION("""COMPUTED_VALUE"""),"No")</f>
        <v>No</v>
      </c>
      <c r="AP2183" s="8"/>
      <c r="AQ2183" s="8" t="str">
        <f ca="1">IFERROR(__xludf.DUMMYFUNCTION("""COMPUTED_VALUE"""),"Unknown")</f>
        <v>Unknown</v>
      </c>
      <c r="AR2183" s="8" t="str">
        <f ca="1">IFERROR(__xludf.DUMMYFUNCTION("""COMPUTED_VALUE"""),"NA")</f>
        <v>NA</v>
      </c>
      <c r="AS2183" s="8" t="str">
        <f ca="1">IFERROR(__xludf.DUMMYFUNCTION("""COMPUTED_VALUE"""),"&lt;10")</f>
        <v>&lt;10</v>
      </c>
      <c r="AT2183" s="8"/>
      <c r="AU2183" s="8">
        <f ca="1">IFERROR(__xludf.DUMMYFUNCTION("""COMPUTED_VALUE"""),35.084098)</f>
        <v>35.084097999999997</v>
      </c>
      <c r="AV2183" s="8">
        <f ca="1">IFERROR(__xludf.DUMMYFUNCTION("""COMPUTED_VALUE"""),-78.991742)</f>
        <v>-78.991742000000002</v>
      </c>
      <c r="AW2183" s="8"/>
      <c r="AX2183" s="8">
        <f ca="1">IFERROR(__xludf.DUMMYFUNCTION("""COMPUTED_VALUE"""),28314)</f>
        <v>28314</v>
      </c>
    </row>
    <row r="2184" spans="1:50" ht="45" x14ac:dyDescent="0.2">
      <c r="A2184" s="8" t="str">
        <f ca="1">IFERROR(__xludf.DUMMYFUNCTION("""COMPUTED_VALUE"""),"20061214PAMCC")</f>
        <v>20061214PAMCC</v>
      </c>
      <c r="B2184" s="8">
        <f ca="1">IFERROR(__xludf.DUMMYFUNCTION("""COMPUTED_VALUE"""),12)</f>
        <v>12</v>
      </c>
      <c r="C2184" s="8">
        <f ca="1">IFERROR(__xludf.DUMMYFUNCTION("""COMPUTED_VALUE"""),14)</f>
        <v>14</v>
      </c>
      <c r="D2184" s="8">
        <f ca="1">IFERROR(__xludf.DUMMYFUNCTION("""COMPUTED_VALUE"""),2006)</f>
        <v>2006</v>
      </c>
      <c r="E2184" s="9">
        <f ca="1">IFERROR(__xludf.DUMMYFUNCTION("""COMPUTED_VALUE"""),39065)</f>
        <v>39065</v>
      </c>
      <c r="F2184" s="8" t="str">
        <f ca="1">IFERROR(__xludf.DUMMYFUNCTION("""COMPUTED_VALUE"""),"McGuffey High School")</f>
        <v>McGuffey High School</v>
      </c>
      <c r="G2184" s="8">
        <f ca="1">IFERROR(__xludf.DUMMYFUNCTION("""COMPUTED_VALUE"""),0)</f>
        <v>0</v>
      </c>
      <c r="H2184" s="8">
        <f ca="1">IFERROR(__xludf.DUMMYFUNCTION("""COMPUTED_VALUE"""),0)</f>
        <v>0</v>
      </c>
      <c r="I2184" s="8">
        <f ca="1">IFERROR(__xludf.DUMMYFUNCTION("""COMPUTED_VALUE"""),0)</f>
        <v>0</v>
      </c>
      <c r="J2184" s="8">
        <f ca="1">IFERROR(__xludf.DUMMYFUNCTION("""COMPUTED_VALUE"""),1)</f>
        <v>1</v>
      </c>
      <c r="K2184" s="10" t="str">
        <f ca="1">IFERROR(__xludf.DUMMYFUNCTION("""COMPUTED_VALUE"""),"https://triblive.com/x/pittsburghtrib/news/regional/s_484514.html")</f>
        <v>https://triblive.com/x/pittsburghtrib/news/regional/s_484514.html</v>
      </c>
      <c r="L2184" s="8"/>
      <c r="M2184" s="8"/>
      <c r="N2184" s="8">
        <f ca="1">IFERROR(__xludf.DUMMYFUNCTION("""COMPUTED_VALUE"""),2)</f>
        <v>2</v>
      </c>
      <c r="O2184" s="8" t="str">
        <f ca="1">IFERROR(__xludf.DUMMYFUNCTION("""COMPUTED_VALUE"""),"Winter")</f>
        <v>Winter</v>
      </c>
      <c r="P2184" s="8" t="str">
        <f ca="1">IFERROR(__xludf.DUMMYFUNCTION("""COMPUTED_VALUE"""),"Claysville")</f>
        <v>Claysville</v>
      </c>
      <c r="Q2184" s="8" t="str">
        <f ca="1">IFERROR(__xludf.DUMMYFUNCTION("""COMPUTED_VALUE"""),"PA")</f>
        <v>PA</v>
      </c>
      <c r="R2184" s="8" t="str">
        <f ca="1">IFERROR(__xludf.DUMMYFUNCTION("""COMPUTED_VALUE"""),"High")</f>
        <v>High</v>
      </c>
      <c r="S2184" s="8" t="str">
        <f ca="1">IFERROR(__xludf.DUMMYFUNCTION("""COMPUTED_VALUE"""),"Gym")</f>
        <v>Gym</v>
      </c>
      <c r="T2184" s="8" t="str">
        <f ca="1">IFERROR(__xludf.DUMMYFUNCTION("""COMPUTED_VALUE"""),"Inside School Building")</f>
        <v>Inside School Building</v>
      </c>
      <c r="U2184" s="8" t="str">
        <f ca="1">IFERROR(__xludf.DUMMYFUNCTION("""COMPUTED_VALUE"""),"No")</f>
        <v>No</v>
      </c>
      <c r="V2184" s="8" t="str">
        <f ca="1">IFERROR(__xludf.DUMMYFUNCTION("""COMPUTED_VALUE"""),"After School")</f>
        <v>After School</v>
      </c>
      <c r="W2184" s="11">
        <f ca="1">IFERROR(__xludf.DUMMYFUNCTION("""COMPUTED_VALUE"""),0.708333333333333)</f>
        <v>0.70833333333333304</v>
      </c>
      <c r="X2184" s="8">
        <f ca="1">IFERROR(__xludf.DUMMYFUNCTION("""COMPUTED_VALUE"""),1)</f>
        <v>1</v>
      </c>
      <c r="Y2184" s="12" t="str">
        <f ca="1">IFERROR(__xludf.DUMMYFUNCTION("""COMPUTED_VALUE"""),"Student shot self with rifle team .22 rifle")</f>
        <v>Student shot self with rifle team .22 rifle</v>
      </c>
      <c r="Z2184" s="12" t="str">
        <f ca="1">IFERROR(__xludf.DUMMYFUNCTION("""COMPUTED_VALUE"""),"17YOM student who was member of the rifle team killed himself with one of the team rifles after school.")</f>
        <v>17YOM student who was member of the rifle team killed himself with one of the team rifles after school.</v>
      </c>
      <c r="AA2184" s="8" t="str">
        <f ca="1">IFERROR(__xludf.DUMMYFUNCTION("""COMPUTED_VALUE"""),"Suicide/Attempted")</f>
        <v>Suicide/Attempted</v>
      </c>
      <c r="AB2184" s="8"/>
      <c r="AC2184" s="8" t="str">
        <f ca="1">IFERROR(__xludf.DUMMYFUNCTION("""COMPUTED_VALUE"""),"Yes")</f>
        <v>Yes</v>
      </c>
      <c r="AD2184" s="8" t="str">
        <f ca="1">IFERROR(__xludf.DUMMYFUNCTION("""COMPUTED_VALUE"""),"Victims Targeted")</f>
        <v>Victims Targeted</v>
      </c>
      <c r="AE2184" s="8" t="str">
        <f ca="1">IFERROR(__xludf.DUMMYFUNCTION("""COMPUTED_VALUE"""),"No")</f>
        <v>No</v>
      </c>
      <c r="AF2184" s="8"/>
      <c r="AG2184" s="8" t="str">
        <f ca="1">IFERROR(__xludf.DUMMYFUNCTION("""COMPUTED_VALUE"""),"No")</f>
        <v>No</v>
      </c>
      <c r="AH2184" s="8" t="str">
        <f ca="1">IFERROR(__xludf.DUMMYFUNCTION("""COMPUTED_VALUE"""),"No")</f>
        <v>No</v>
      </c>
      <c r="AI2184" s="8" t="str">
        <f ca="1">IFERROR(__xludf.DUMMYFUNCTION("""COMPUTED_VALUE"""),"No")</f>
        <v>No</v>
      </c>
      <c r="AJ2184" s="8"/>
      <c r="AK2184" s="8" t="str">
        <f ca="1">IFERROR(__xludf.DUMMYFUNCTION("""COMPUTED_VALUE"""),"No")</f>
        <v>No</v>
      </c>
      <c r="AL2184" s="8" t="str">
        <f ca="1">IFERROR(__xludf.DUMMYFUNCTION("""COMPUTED_VALUE"""),"No")</f>
        <v>No</v>
      </c>
      <c r="AM2184" s="8"/>
      <c r="AN2184" s="8"/>
      <c r="AO2184" s="8" t="str">
        <f ca="1">IFERROR(__xludf.DUMMYFUNCTION("""COMPUTED_VALUE"""),"No")</f>
        <v>No</v>
      </c>
      <c r="AP2184" s="8"/>
      <c r="AQ2184" s="8" t="str">
        <f ca="1">IFERROR(__xludf.DUMMYFUNCTION("""COMPUTED_VALUE"""),"Unknown")</f>
        <v>Unknown</v>
      </c>
      <c r="AR2184" s="8" t="str">
        <f ca="1">IFERROR(__xludf.DUMMYFUNCTION("""COMPUTED_VALUE"""),"NA")</f>
        <v>NA</v>
      </c>
      <c r="AS2184" s="8">
        <f ca="1">IFERROR(__xludf.DUMMYFUNCTION("""COMPUTED_VALUE"""),1)</f>
        <v>1</v>
      </c>
      <c r="AT2184" s="8"/>
      <c r="AU2184" s="8">
        <f ca="1">IFERROR(__xludf.DUMMYFUNCTION("""COMPUTED_VALUE"""),40.141202)</f>
        <v>40.141202</v>
      </c>
      <c r="AV2184" s="8">
        <f ca="1">IFERROR(__xludf.DUMMYFUNCTION("""COMPUTED_VALUE"""),-80.363237)</f>
        <v>-80.363236999999998</v>
      </c>
      <c r="AW2184" s="8"/>
      <c r="AX2184" s="8">
        <f ca="1">IFERROR(__xludf.DUMMYFUNCTION("""COMPUTED_VALUE"""),15323)</f>
        <v>15323</v>
      </c>
    </row>
    <row r="2185" spans="1:50" ht="45" x14ac:dyDescent="0.2">
      <c r="A2185" s="8" t="str">
        <f ca="1">IFERROR(__xludf.DUMMYFUNCTION("""COMPUTED_VALUE"""),"20061213PABAB")</f>
        <v>20061213PABAB</v>
      </c>
      <c r="B2185" s="8">
        <f ca="1">IFERROR(__xludf.DUMMYFUNCTION("""COMPUTED_VALUE"""),12)</f>
        <v>12</v>
      </c>
      <c r="C2185" s="8">
        <f ca="1">IFERROR(__xludf.DUMMYFUNCTION("""COMPUTED_VALUE"""),13)</f>
        <v>13</v>
      </c>
      <c r="D2185" s="8">
        <f ca="1">IFERROR(__xludf.DUMMYFUNCTION("""COMPUTED_VALUE"""),2006)</f>
        <v>2006</v>
      </c>
      <c r="E2185" s="9">
        <f ca="1">IFERROR(__xludf.DUMMYFUNCTION("""COMPUTED_VALUE"""),39064)</f>
        <v>39064</v>
      </c>
      <c r="F2185" s="8" t="str">
        <f ca="1">IFERROR(__xludf.DUMMYFUNCTION("""COMPUTED_VALUE"""),"Bangor Area High School")</f>
        <v>Bangor Area High School</v>
      </c>
      <c r="G2185" s="8">
        <f ca="1">IFERROR(__xludf.DUMMYFUNCTION("""COMPUTED_VALUE"""),0)</f>
        <v>0</v>
      </c>
      <c r="H2185" s="8">
        <f ca="1">IFERROR(__xludf.DUMMYFUNCTION("""COMPUTED_VALUE"""),1)</f>
        <v>1</v>
      </c>
      <c r="I2185" s="8">
        <f ca="1">IFERROR(__xludf.DUMMYFUNCTION("""COMPUTED_VALUE"""),1)</f>
        <v>1</v>
      </c>
      <c r="J2185" s="8">
        <f ca="1">IFERROR(__xludf.DUMMYFUNCTION("""COMPUTED_VALUE"""),0)</f>
        <v>0</v>
      </c>
      <c r="K2185" s="10" t="str">
        <f ca="1">IFERROR(__xludf.DUMMYFUNCTION("""COMPUTED_VALUE"""),"https://www.columbine-angels.com/School_Violence_2006-2007.htm")</f>
        <v>https://www.columbine-angels.com/School_Violence_2006-2007.htm</v>
      </c>
      <c r="L2185" s="8"/>
      <c r="M2185" s="8"/>
      <c r="N2185" s="8">
        <f ca="1">IFERROR(__xludf.DUMMYFUNCTION("""COMPUTED_VALUE"""),1)</f>
        <v>1</v>
      </c>
      <c r="O2185" s="8" t="str">
        <f ca="1">IFERROR(__xludf.DUMMYFUNCTION("""COMPUTED_VALUE"""),"Winter")</f>
        <v>Winter</v>
      </c>
      <c r="P2185" s="8" t="str">
        <f ca="1">IFERROR(__xludf.DUMMYFUNCTION("""COMPUTED_VALUE"""),"Bangor")</f>
        <v>Bangor</v>
      </c>
      <c r="Q2185" s="8" t="str">
        <f ca="1">IFERROR(__xludf.DUMMYFUNCTION("""COMPUTED_VALUE"""),"PA")</f>
        <v>PA</v>
      </c>
      <c r="R2185" s="8" t="str">
        <f ca="1">IFERROR(__xludf.DUMMYFUNCTION("""COMPUTED_VALUE"""),"High")</f>
        <v>High</v>
      </c>
      <c r="S2185" s="8" t="str">
        <f ca="1">IFERROR(__xludf.DUMMYFUNCTION("""COMPUTED_VALUE"""),"Beside Building")</f>
        <v>Beside Building</v>
      </c>
      <c r="T2185" s="8" t="str">
        <f ca="1">IFERROR(__xludf.DUMMYFUNCTION("""COMPUTED_VALUE"""),"Outside on School Property")</f>
        <v>Outside on School Property</v>
      </c>
      <c r="U2185" s="8" t="str">
        <f ca="1">IFERROR(__xludf.DUMMYFUNCTION("""COMPUTED_VALUE"""),"Yes")</f>
        <v>Yes</v>
      </c>
      <c r="V2185" s="8" t="str">
        <f ca="1">IFERROR(__xludf.DUMMYFUNCTION("""COMPUTED_VALUE"""),"Dismissal")</f>
        <v>Dismissal</v>
      </c>
      <c r="W2185" s="11">
        <f ca="1">IFERROR(__xludf.DUMMYFUNCTION("""COMPUTED_VALUE"""),0.604166666666666)</f>
        <v>0.60416666666666596</v>
      </c>
      <c r="X2185" s="8">
        <f ca="1">IFERROR(__xludf.DUMMYFUNCTION("""COMPUTED_VALUE"""),1)</f>
        <v>1</v>
      </c>
      <c r="Y2185" s="12" t="str">
        <f ca="1">IFERROR(__xludf.DUMMYFUNCTION("""COMPUTED_VALUE"""),"Fired pellet gun at students leaving school")</f>
        <v>Fired pellet gun at students leaving school</v>
      </c>
      <c r="Z2185" s="12" t="str">
        <f ca="1">IFERROR(__xludf.DUMMYFUNCTION("""COMPUTED_VALUE"""),"Male student fired pellet gun at his classmates as they left the building. One of the pellets struck a female student. She was stung by the hit, but was not seriously injured.")</f>
        <v>Male student fired pellet gun at his classmates as they left the building. One of the pellets struck a female student. She was stung by the hit, but was not seriously injured.</v>
      </c>
      <c r="AA2185" s="8" t="str">
        <f ca="1">IFERROR(__xludf.DUMMYFUNCTION("""COMPUTED_VALUE"""),"Unknown")</f>
        <v>Unknown</v>
      </c>
      <c r="AB2185" s="8"/>
      <c r="AC2185" s="8" t="str">
        <f ca="1">IFERROR(__xludf.DUMMYFUNCTION("""COMPUTED_VALUE"""),"Yes")</f>
        <v>Yes</v>
      </c>
      <c r="AD2185" s="8"/>
      <c r="AE2185" s="8" t="str">
        <f ca="1">IFERROR(__xludf.DUMMYFUNCTION("""COMPUTED_VALUE"""),"No")</f>
        <v>No</v>
      </c>
      <c r="AF2185" s="8"/>
      <c r="AG2185" s="8" t="str">
        <f ca="1">IFERROR(__xludf.DUMMYFUNCTION("""COMPUTED_VALUE"""),"No")</f>
        <v>No</v>
      </c>
      <c r="AH2185" s="8" t="str">
        <f ca="1">IFERROR(__xludf.DUMMYFUNCTION("""COMPUTED_VALUE"""),"No")</f>
        <v>No</v>
      </c>
      <c r="AI2185" s="8" t="str">
        <f ca="1">IFERROR(__xludf.DUMMYFUNCTION("""COMPUTED_VALUE"""),"No")</f>
        <v>No</v>
      </c>
      <c r="AJ2185" s="8" t="str">
        <f ca="1">IFERROR(__xludf.DUMMYFUNCTION("""COMPUTED_VALUE"""),"No")</f>
        <v>No</v>
      </c>
      <c r="AK2185" s="8" t="str">
        <f ca="1">IFERROR(__xludf.DUMMYFUNCTION("""COMPUTED_VALUE"""),"No")</f>
        <v>No</v>
      </c>
      <c r="AL2185" s="8" t="str">
        <f ca="1">IFERROR(__xludf.DUMMYFUNCTION("""COMPUTED_VALUE"""),"No")</f>
        <v>No</v>
      </c>
      <c r="AM2185" s="8"/>
      <c r="AN2185" s="8"/>
      <c r="AO2185" s="8" t="str">
        <f ca="1">IFERROR(__xludf.DUMMYFUNCTION("""COMPUTED_VALUE"""),"No")</f>
        <v>No</v>
      </c>
      <c r="AP2185" s="8"/>
      <c r="AQ2185" s="8" t="str">
        <f ca="1">IFERROR(__xludf.DUMMYFUNCTION("""COMPUTED_VALUE"""),"Unknown")</f>
        <v>Unknown</v>
      </c>
      <c r="AR2185" s="8" t="str">
        <f ca="1">IFERROR(__xludf.DUMMYFUNCTION("""COMPUTED_VALUE"""),"NA")</f>
        <v>NA</v>
      </c>
      <c r="AS2185" s="8" t="str">
        <f ca="1">IFERROR(__xludf.DUMMYFUNCTION("""COMPUTED_VALUE"""),"&lt;10")</f>
        <v>&lt;10</v>
      </c>
      <c r="AT2185" s="8"/>
      <c r="AU2185" s="8">
        <f ca="1">IFERROR(__xludf.DUMMYFUNCTION("""COMPUTED_VALUE"""),40.885326)</f>
        <v>40.885325999999999</v>
      </c>
      <c r="AV2185" s="8">
        <f ca="1">IFERROR(__xludf.DUMMYFUNCTION("""COMPUTED_VALUE"""),-75.151114)</f>
        <v>-75.151114000000007</v>
      </c>
      <c r="AW2185" s="8"/>
      <c r="AX2185" s="8">
        <f ca="1">IFERROR(__xludf.DUMMYFUNCTION("""COMPUTED_VALUE"""),18343)</f>
        <v>18343</v>
      </c>
    </row>
    <row r="2186" spans="1:50" ht="60" x14ac:dyDescent="0.2">
      <c r="A2186" s="8" t="str">
        <f ca="1">IFERROR(__xludf.DUMMYFUNCTION("""COMPUTED_VALUE"""),"20061212PASPS")</f>
        <v>20061212PASPS</v>
      </c>
      <c r="B2186" s="8">
        <f ca="1">IFERROR(__xludf.DUMMYFUNCTION("""COMPUTED_VALUE"""),12)</f>
        <v>12</v>
      </c>
      <c r="C2186" s="8">
        <f ca="1">IFERROR(__xludf.DUMMYFUNCTION("""COMPUTED_VALUE"""),12)</f>
        <v>12</v>
      </c>
      <c r="D2186" s="8">
        <f ca="1">IFERROR(__xludf.DUMMYFUNCTION("""COMPUTED_VALUE"""),2006)</f>
        <v>2006</v>
      </c>
      <c r="E2186" s="9">
        <f ca="1">IFERROR(__xludf.DUMMYFUNCTION("""COMPUTED_VALUE"""),39063)</f>
        <v>39063</v>
      </c>
      <c r="F2186" s="8" t="str">
        <f ca="1">IFERROR(__xludf.DUMMYFUNCTION("""COMPUTED_VALUE"""),"Springfield Township High School")</f>
        <v>Springfield Township High School</v>
      </c>
      <c r="G2186" s="8">
        <f ca="1">IFERROR(__xludf.DUMMYFUNCTION("""COMPUTED_VALUE"""),0)</f>
        <v>0</v>
      </c>
      <c r="H2186" s="8">
        <f ca="1">IFERROR(__xludf.DUMMYFUNCTION("""COMPUTED_VALUE"""),0)</f>
        <v>0</v>
      </c>
      <c r="I2186" s="8">
        <f ca="1">IFERROR(__xludf.DUMMYFUNCTION("""COMPUTED_VALUE"""),0)</f>
        <v>0</v>
      </c>
      <c r="J2186" s="8">
        <f ca="1">IFERROR(__xludf.DUMMYFUNCTION("""COMPUTED_VALUE"""),1)</f>
        <v>1</v>
      </c>
      <c r="K2186" s="10" t="str">
        <f ca="1">IFERROR(__xludf.DUMMYFUNCTION("""COMPUTED_VALUE"""),"http://www.foxnews.com/story/2006/12/12/teen-commits-suicide-in-hallway-pennsylvania-school.html")</f>
        <v>http://www.foxnews.com/story/2006/12/12/teen-commits-suicide-in-hallway-pennsylvania-school.html</v>
      </c>
      <c r="L2186" s="8"/>
      <c r="M2186" s="8"/>
      <c r="N2186" s="8">
        <f ca="1">IFERROR(__xludf.DUMMYFUNCTION("""COMPUTED_VALUE"""),2)</f>
        <v>2</v>
      </c>
      <c r="O2186" s="8" t="str">
        <f ca="1">IFERROR(__xludf.DUMMYFUNCTION("""COMPUTED_VALUE"""),"Winter")</f>
        <v>Winter</v>
      </c>
      <c r="P2186" s="8" t="str">
        <f ca="1">IFERROR(__xludf.DUMMYFUNCTION("""COMPUTED_VALUE"""),"Springfield Township")</f>
        <v>Springfield Township</v>
      </c>
      <c r="Q2186" s="8" t="str">
        <f ca="1">IFERROR(__xludf.DUMMYFUNCTION("""COMPUTED_VALUE"""),"PA")</f>
        <v>PA</v>
      </c>
      <c r="R2186" s="8" t="str">
        <f ca="1">IFERROR(__xludf.DUMMYFUNCTION("""COMPUTED_VALUE"""),"High")</f>
        <v>High</v>
      </c>
      <c r="S2186" s="8" t="str">
        <f ca="1">IFERROR(__xludf.DUMMYFUNCTION("""COMPUTED_VALUE"""),"Hallway")</f>
        <v>Hallway</v>
      </c>
      <c r="T2186" s="8" t="str">
        <f ca="1">IFERROR(__xludf.DUMMYFUNCTION("""COMPUTED_VALUE"""),"Inside School Building")</f>
        <v>Inside School Building</v>
      </c>
      <c r="U2186" s="8" t="str">
        <f ca="1">IFERROR(__xludf.DUMMYFUNCTION("""COMPUTED_VALUE"""),"Yes")</f>
        <v>Yes</v>
      </c>
      <c r="V2186" s="8" t="str">
        <f ca="1">IFERROR(__xludf.DUMMYFUNCTION("""COMPUTED_VALUE"""),"Morning Classes")</f>
        <v>Morning Classes</v>
      </c>
      <c r="W2186" s="11">
        <f ca="1">IFERROR(__xludf.DUMMYFUNCTION("""COMPUTED_VALUE"""),0.375)</f>
        <v>0.375</v>
      </c>
      <c r="X2186" s="8">
        <f ca="1">IFERROR(__xludf.DUMMYFUNCTION("""COMPUTED_VALUE"""),1)</f>
        <v>1</v>
      </c>
      <c r="Y2186" s="12" t="str">
        <f ca="1">IFERROR(__xludf.DUMMYFUNCTION("""COMPUTED_VALUE"""),"Poor grades, shot self when confronted by police")</f>
        <v>Poor grades, shot self when confronted by police</v>
      </c>
      <c r="Z2186" s="12" t="str">
        <f ca="1">IFERROR(__xludf.DUMMYFUNCTION("""COMPUTED_VALUE"""),"Shooter brought hunting rifle to school. Fired two shots into the ceiling and then a fatal shot killing himself in the hallway between classes.")</f>
        <v>Shooter brought hunting rifle to school. Fired two shots into the ceiling and then a fatal shot killing himself in the hallway between classes.</v>
      </c>
      <c r="AA2186" s="8" t="str">
        <f ca="1">IFERROR(__xludf.DUMMYFUNCTION("""COMPUTED_VALUE"""),"Anger Over Grade/Suspension/Discipline")</f>
        <v>Anger Over Grade/Suspension/Discipline</v>
      </c>
      <c r="AB2186" s="8"/>
      <c r="AC2186" s="8" t="str">
        <f ca="1">IFERROR(__xludf.DUMMYFUNCTION("""COMPUTED_VALUE"""),"Yes")</f>
        <v>Yes</v>
      </c>
      <c r="AD2186" s="8" t="str">
        <f ca="1">IFERROR(__xludf.DUMMYFUNCTION("""COMPUTED_VALUE"""),"Victims Targeted")</f>
        <v>Victims Targeted</v>
      </c>
      <c r="AE2186" s="8" t="str">
        <f ca="1">IFERROR(__xludf.DUMMYFUNCTION("""COMPUTED_VALUE"""),"No")</f>
        <v>No</v>
      </c>
      <c r="AF2186" s="8"/>
      <c r="AG2186" s="8" t="str">
        <f ca="1">IFERROR(__xludf.DUMMYFUNCTION("""COMPUTED_VALUE"""),"No")</f>
        <v>No</v>
      </c>
      <c r="AH2186" s="8" t="str">
        <f ca="1">IFERROR(__xludf.DUMMYFUNCTION("""COMPUTED_VALUE"""),"No")</f>
        <v>No</v>
      </c>
      <c r="AI2186" s="8" t="str">
        <f ca="1">IFERROR(__xludf.DUMMYFUNCTION("""COMPUTED_VALUE"""),"No")</f>
        <v>No</v>
      </c>
      <c r="AJ2186" s="8"/>
      <c r="AK2186" s="8" t="str">
        <f ca="1">IFERROR(__xludf.DUMMYFUNCTION("""COMPUTED_VALUE"""),"No")</f>
        <v>No</v>
      </c>
      <c r="AL2186" s="8" t="str">
        <f ca="1">IFERROR(__xludf.DUMMYFUNCTION("""COMPUTED_VALUE"""),"No")</f>
        <v>No</v>
      </c>
      <c r="AM2186" s="8"/>
      <c r="AN2186" s="8"/>
      <c r="AO2186" s="8" t="str">
        <f ca="1">IFERROR(__xludf.DUMMYFUNCTION("""COMPUTED_VALUE"""),"No")</f>
        <v>No</v>
      </c>
      <c r="AP2186" s="8"/>
      <c r="AQ2186" s="8" t="str">
        <f ca="1">IFERROR(__xludf.DUMMYFUNCTION("""COMPUTED_VALUE"""),"Unknown")</f>
        <v>Unknown</v>
      </c>
      <c r="AR2186" s="8" t="str">
        <f ca="1">IFERROR(__xludf.DUMMYFUNCTION("""COMPUTED_VALUE"""),"NA")</f>
        <v>NA</v>
      </c>
      <c r="AS2186" s="8">
        <f ca="1">IFERROR(__xludf.DUMMYFUNCTION("""COMPUTED_VALUE"""),3)</f>
        <v>3</v>
      </c>
      <c r="AT2186" s="8"/>
      <c r="AU2186" s="8">
        <f ca="1">IFERROR(__xludf.DUMMYFUNCTION("""COMPUTED_VALUE"""),40.103734)</f>
        <v>40.103734000000003</v>
      </c>
      <c r="AV2186" s="8">
        <f ca="1">IFERROR(__xludf.DUMMYFUNCTION("""COMPUTED_VALUE"""),-75.19434)</f>
        <v>-75.194339999999997</v>
      </c>
      <c r="AW2186" s="8"/>
      <c r="AX2186" s="8">
        <f ca="1">IFERROR(__xludf.DUMMYFUNCTION("""COMPUTED_VALUE"""),19075)</f>
        <v>19075</v>
      </c>
    </row>
    <row r="2187" spans="1:50" ht="60" x14ac:dyDescent="0.2">
      <c r="A2187" s="8" t="str">
        <f ca="1">IFERROR(__xludf.DUMMYFUNCTION("""COMPUTED_VALUE"""),"20061211ILCLC")</f>
        <v>20061211ILCLC</v>
      </c>
      <c r="B2187" s="8">
        <f ca="1">IFERROR(__xludf.DUMMYFUNCTION("""COMPUTED_VALUE"""),12)</f>
        <v>12</v>
      </c>
      <c r="C2187" s="8">
        <f ca="1">IFERROR(__xludf.DUMMYFUNCTION("""COMPUTED_VALUE"""),11)</f>
        <v>11</v>
      </c>
      <c r="D2187" s="8">
        <f ca="1">IFERROR(__xludf.DUMMYFUNCTION("""COMPUTED_VALUE"""),2006)</f>
        <v>2006</v>
      </c>
      <c r="E2187" s="9">
        <f ca="1">IFERROR(__xludf.DUMMYFUNCTION("""COMPUTED_VALUE"""),39062)</f>
        <v>39062</v>
      </c>
      <c r="F2187" s="8" t="str">
        <f ca="1">IFERROR(__xludf.DUMMYFUNCTION("""COMPUTED_VALUE"""),"Clemente High School")</f>
        <v>Clemente High School</v>
      </c>
      <c r="G2187" s="8">
        <f ca="1">IFERROR(__xludf.DUMMYFUNCTION("""COMPUTED_VALUE"""),0)</f>
        <v>0</v>
      </c>
      <c r="H2187" s="8">
        <f ca="1">IFERROR(__xludf.DUMMYFUNCTION("""COMPUTED_VALUE"""),1)</f>
        <v>1</v>
      </c>
      <c r="I2187" s="8">
        <f ca="1">IFERROR(__xludf.DUMMYFUNCTION("""COMPUTED_VALUE"""),1)</f>
        <v>1</v>
      </c>
      <c r="J2187" s="8">
        <f ca="1">IFERROR(__xludf.DUMMYFUNCTION("""COMPUTED_VALUE"""),0)</f>
        <v>0</v>
      </c>
      <c r="K2187" s="10" t="str">
        <f ca="1">IFERROR(__xludf.DUMMYFUNCTION("""COMPUTED_VALUE"""),"https://www.newspapers.com/image/232079346/?terms=Northwest%2BHigh%2BSchool%2Bgun%2Bpocket")</f>
        <v>https://www.newspapers.com/image/232079346/?terms=Northwest%2BHigh%2BSchool%2Bgun%2Bpocket</v>
      </c>
      <c r="L2187" s="8"/>
      <c r="M2187" s="8"/>
      <c r="N2187" s="8">
        <f ca="1">IFERROR(__xludf.DUMMYFUNCTION("""COMPUTED_VALUE"""),2)</f>
        <v>2</v>
      </c>
      <c r="O2187" s="8" t="str">
        <f ca="1">IFERROR(__xludf.DUMMYFUNCTION("""COMPUTED_VALUE"""),"Winter")</f>
        <v>Winter</v>
      </c>
      <c r="P2187" s="8" t="str">
        <f ca="1">IFERROR(__xludf.DUMMYFUNCTION("""COMPUTED_VALUE"""),"Chicago")</f>
        <v>Chicago</v>
      </c>
      <c r="Q2187" s="8" t="str">
        <f ca="1">IFERROR(__xludf.DUMMYFUNCTION("""COMPUTED_VALUE"""),"IL")</f>
        <v>IL</v>
      </c>
      <c r="R2187" s="8" t="str">
        <f ca="1">IFERROR(__xludf.DUMMYFUNCTION("""COMPUTED_VALUE"""),"High")</f>
        <v>High</v>
      </c>
      <c r="S2187" s="8" t="str">
        <f ca="1">IFERROR(__xludf.DUMMYFUNCTION("""COMPUTED_VALUE"""),"Beside Building")</f>
        <v>Beside Building</v>
      </c>
      <c r="T2187" s="8" t="str">
        <f ca="1">IFERROR(__xludf.DUMMYFUNCTION("""COMPUTED_VALUE"""),"Outside on School Property")</f>
        <v>Outside on School Property</v>
      </c>
      <c r="U2187" s="8" t="str">
        <f ca="1">IFERROR(__xludf.DUMMYFUNCTION("""COMPUTED_VALUE"""),"Yes")</f>
        <v>Yes</v>
      </c>
      <c r="V2187" s="8" t="str">
        <f ca="1">IFERROR(__xludf.DUMMYFUNCTION("""COMPUTED_VALUE"""),"Dismissal")</f>
        <v>Dismissal</v>
      </c>
      <c r="W2187" s="11">
        <f ca="1">IFERROR(__xludf.DUMMYFUNCTION("""COMPUTED_VALUE"""),0.614583333333333)</f>
        <v>0.61458333333333304</v>
      </c>
      <c r="X2187" s="8">
        <f ca="1">IFERROR(__xludf.DUMMYFUNCTION("""COMPUTED_VALUE"""),1)</f>
        <v>1</v>
      </c>
      <c r="Y2187" s="12" t="str">
        <f ca="1">IFERROR(__xludf.DUMMYFUNCTION("""COMPUTED_VALUE"""),"Officer shot trying to break up fight between gang members")</f>
        <v>Officer shot trying to break up fight between gang members</v>
      </c>
      <c r="Z2187" s="12" t="str">
        <f ca="1">IFERROR(__xludf.DUMMYFUNCTION("""COMPUTED_VALUE"""),"Police officer shot in arm trying to break up fight between gang members outside of school. Shooter fled and was later arrested.")</f>
        <v>Police officer shot in arm trying to break up fight between gang members outside of school. Shooter fled and was later arrested.</v>
      </c>
      <c r="AA2187" s="8" t="str">
        <f ca="1">IFERROR(__xludf.DUMMYFUNCTION("""COMPUTED_VALUE"""),"Escalation of Dispute")</f>
        <v>Escalation of Dispute</v>
      </c>
      <c r="AB2187" s="8"/>
      <c r="AC2187" s="8" t="str">
        <f ca="1">IFERROR(__xludf.DUMMYFUNCTION("""COMPUTED_VALUE"""),"Yes")</f>
        <v>Yes</v>
      </c>
      <c r="AD2187" s="8" t="str">
        <f ca="1">IFERROR(__xludf.DUMMYFUNCTION("""COMPUTED_VALUE"""),"Neither")</f>
        <v>Neither</v>
      </c>
      <c r="AE2187" s="8" t="str">
        <f ca="1">IFERROR(__xludf.DUMMYFUNCTION("""COMPUTED_VALUE"""),"Unknown")</f>
        <v>Unknown</v>
      </c>
      <c r="AF2187" s="8"/>
      <c r="AG2187" s="8" t="str">
        <f ca="1">IFERROR(__xludf.DUMMYFUNCTION("""COMPUTED_VALUE"""),"No")</f>
        <v>No</v>
      </c>
      <c r="AH2187" s="8" t="str">
        <f ca="1">IFERROR(__xludf.DUMMYFUNCTION("""COMPUTED_VALUE"""),"No")</f>
        <v>No</v>
      </c>
      <c r="AI2187" s="8" t="str">
        <f ca="1">IFERROR(__xludf.DUMMYFUNCTION("""COMPUTED_VALUE"""),"No")</f>
        <v>No</v>
      </c>
      <c r="AJ2187" s="8" t="str">
        <f ca="1">IFERROR(__xludf.DUMMYFUNCTION("""COMPUTED_VALUE"""),"No")</f>
        <v>No</v>
      </c>
      <c r="AK2187" s="8" t="str">
        <f ca="1">IFERROR(__xludf.DUMMYFUNCTION("""COMPUTED_VALUE"""),"No")</f>
        <v>No</v>
      </c>
      <c r="AL2187" s="8" t="str">
        <f ca="1">IFERROR(__xludf.DUMMYFUNCTION("""COMPUTED_VALUE"""),"Yes")</f>
        <v>Yes</v>
      </c>
      <c r="AM2187" s="8"/>
      <c r="AN2187" s="8"/>
      <c r="AO2187" s="8" t="str">
        <f ca="1">IFERROR(__xludf.DUMMYFUNCTION("""COMPUTED_VALUE"""),"No")</f>
        <v>No</v>
      </c>
      <c r="AP2187" s="8"/>
      <c r="AQ2187" s="8" t="str">
        <f ca="1">IFERROR(__xludf.DUMMYFUNCTION("""COMPUTED_VALUE"""),"Unknown")</f>
        <v>Unknown</v>
      </c>
      <c r="AR2187" s="8" t="str">
        <f ca="1">IFERROR(__xludf.DUMMYFUNCTION("""COMPUTED_VALUE"""),"NA")</f>
        <v>NA</v>
      </c>
      <c r="AS2187" s="8" t="str">
        <f ca="1">IFERROR(__xludf.DUMMYFUNCTION("""COMPUTED_VALUE"""),"&lt;5")</f>
        <v>&lt;5</v>
      </c>
      <c r="AT2187" s="8"/>
      <c r="AU2187" s="8">
        <f ca="1">IFERROR(__xludf.DUMMYFUNCTION("""COMPUTED_VALUE"""),41.903378)</f>
        <v>41.903377999999996</v>
      </c>
      <c r="AV2187" s="8">
        <f ca="1">IFERROR(__xludf.DUMMYFUNCTION("""COMPUTED_VALUE"""),-87.686458)</f>
        <v>-87.686458000000002</v>
      </c>
      <c r="AW2187" s="8"/>
      <c r="AX2187" s="8">
        <f ca="1">IFERROR(__xludf.DUMMYFUNCTION("""COMPUTED_VALUE"""),60622)</f>
        <v>60622</v>
      </c>
    </row>
    <row r="2188" spans="1:50" ht="60" x14ac:dyDescent="0.2">
      <c r="A2188" s="8" t="str">
        <f ca="1">IFERROR(__xludf.DUMMYFUNCTION("""COMPUTED_VALUE"""),"20061207NENOO")</f>
        <v>20061207NENOO</v>
      </c>
      <c r="B2188" s="8">
        <f ca="1">IFERROR(__xludf.DUMMYFUNCTION("""COMPUTED_VALUE"""),12)</f>
        <v>12</v>
      </c>
      <c r="C2188" s="8">
        <f ca="1">IFERROR(__xludf.DUMMYFUNCTION("""COMPUTED_VALUE"""),7)</f>
        <v>7</v>
      </c>
      <c r="D2188" s="8">
        <f ca="1">IFERROR(__xludf.DUMMYFUNCTION("""COMPUTED_VALUE"""),2006)</f>
        <v>2006</v>
      </c>
      <c r="E2188" s="9">
        <f ca="1">IFERROR(__xludf.DUMMYFUNCTION("""COMPUTED_VALUE"""),39058)</f>
        <v>39058</v>
      </c>
      <c r="F2188" s="8" t="str">
        <f ca="1">IFERROR(__xludf.DUMMYFUNCTION("""COMPUTED_VALUE"""),"Northwest High School")</f>
        <v>Northwest High School</v>
      </c>
      <c r="G2188" s="8">
        <f ca="1">IFERROR(__xludf.DUMMYFUNCTION("""COMPUTED_VALUE"""),0)</f>
        <v>0</v>
      </c>
      <c r="H2188" s="8">
        <f ca="1">IFERROR(__xludf.DUMMYFUNCTION("""COMPUTED_VALUE"""),1)</f>
        <v>1</v>
      </c>
      <c r="I2188" s="8">
        <f ca="1">IFERROR(__xludf.DUMMYFUNCTION("""COMPUTED_VALUE"""),1)</f>
        <v>1</v>
      </c>
      <c r="J2188" s="8">
        <f ca="1">IFERROR(__xludf.DUMMYFUNCTION("""COMPUTED_VALUE"""),0)</f>
        <v>0</v>
      </c>
      <c r="K2188" s="10" t="str">
        <f ca="1">IFERROR(__xludf.DUMMYFUNCTION("""COMPUTED_VALUE"""),"https://www.columbine-angels.com/School_Violence_2006-2007.htm")</f>
        <v>https://www.columbine-angels.com/School_Violence_2006-2007.htm</v>
      </c>
      <c r="L2188" s="8"/>
      <c r="M2188" s="8"/>
      <c r="N2188" s="8">
        <f ca="1">IFERROR(__xludf.DUMMYFUNCTION("""COMPUTED_VALUE"""),1)</f>
        <v>1</v>
      </c>
      <c r="O2188" s="8" t="str">
        <f ca="1">IFERROR(__xludf.DUMMYFUNCTION("""COMPUTED_VALUE"""),"Winter")</f>
        <v>Winter</v>
      </c>
      <c r="P2188" s="8" t="str">
        <f ca="1">IFERROR(__xludf.DUMMYFUNCTION("""COMPUTED_VALUE"""),"Omaha")</f>
        <v>Omaha</v>
      </c>
      <c r="Q2188" s="8" t="str">
        <f ca="1">IFERROR(__xludf.DUMMYFUNCTION("""COMPUTED_VALUE"""),"NE")</f>
        <v>NE</v>
      </c>
      <c r="R2188" s="8" t="str">
        <f ca="1">IFERROR(__xludf.DUMMYFUNCTION("""COMPUTED_VALUE"""),"High")</f>
        <v>High</v>
      </c>
      <c r="S2188" s="8" t="str">
        <f ca="1">IFERROR(__xludf.DUMMYFUNCTION("""COMPUTED_VALUE"""),"Classroom")</f>
        <v>Classroom</v>
      </c>
      <c r="T2188" s="8" t="str">
        <f ca="1">IFERROR(__xludf.DUMMYFUNCTION("""COMPUTED_VALUE"""),"Inside School Building")</f>
        <v>Inside School Building</v>
      </c>
      <c r="U2188" s="8" t="str">
        <f ca="1">IFERROR(__xludf.DUMMYFUNCTION("""COMPUTED_VALUE"""),"Yes")</f>
        <v>Yes</v>
      </c>
      <c r="V2188" s="8"/>
      <c r="W2188" s="8"/>
      <c r="X2188" s="8">
        <f ca="1">IFERROR(__xludf.DUMMYFUNCTION("""COMPUTED_VALUE"""),1)</f>
        <v>1</v>
      </c>
      <c r="Y2188" s="12" t="str">
        <f ca="1">IFERROR(__xludf.DUMMYFUNCTION("""COMPUTED_VALUE"""),"Playing with gun in pocket in classroom")</f>
        <v>Playing with gun in pocket in classroom</v>
      </c>
      <c r="Z2188" s="12" t="str">
        <f ca="1">IFERROR(__xludf.DUMMYFUNCTION("""COMPUTED_VALUE"""),"17YOM student was playing with a gun in his pocket discharged causing injuries to his leg and hand. The shooter left the classroom, hid the gun, and was able to drive himself to the hospital for treatment.")</f>
        <v>17YOM student was playing with a gun in his pocket discharged causing injuries to his leg and hand. The shooter left the classroom, hid the gun, and was able to drive himself to the hospital for treatment.</v>
      </c>
      <c r="AA2188" s="8" t="str">
        <f ca="1">IFERROR(__xludf.DUMMYFUNCTION("""COMPUTED_VALUE"""),"Accidental")</f>
        <v>Accidental</v>
      </c>
      <c r="AB2188" s="8"/>
      <c r="AC2188" s="8" t="str">
        <f ca="1">IFERROR(__xludf.DUMMYFUNCTION("""COMPUTED_VALUE"""),"Yes")</f>
        <v>Yes</v>
      </c>
      <c r="AD2188" s="8" t="str">
        <f ca="1">IFERROR(__xludf.DUMMYFUNCTION("""COMPUTED_VALUE"""),"Random Shooting")</f>
        <v>Random Shooting</v>
      </c>
      <c r="AE2188" s="8" t="str">
        <f ca="1">IFERROR(__xludf.DUMMYFUNCTION("""COMPUTED_VALUE"""),"No")</f>
        <v>No</v>
      </c>
      <c r="AF2188" s="8"/>
      <c r="AG2188" s="8" t="str">
        <f ca="1">IFERROR(__xludf.DUMMYFUNCTION("""COMPUTED_VALUE"""),"No")</f>
        <v>No</v>
      </c>
      <c r="AH2188" s="8" t="str">
        <f ca="1">IFERROR(__xludf.DUMMYFUNCTION("""COMPUTED_VALUE"""),"No")</f>
        <v>No</v>
      </c>
      <c r="AI2188" s="8" t="str">
        <f ca="1">IFERROR(__xludf.DUMMYFUNCTION("""COMPUTED_VALUE"""),"No")</f>
        <v>No</v>
      </c>
      <c r="AJ2188" s="8" t="str">
        <f ca="1">IFERROR(__xludf.DUMMYFUNCTION("""COMPUTED_VALUE"""),"No")</f>
        <v>No</v>
      </c>
      <c r="AK2188" s="8" t="str">
        <f ca="1">IFERROR(__xludf.DUMMYFUNCTION("""COMPUTED_VALUE"""),"No")</f>
        <v>No</v>
      </c>
      <c r="AL2188" s="8" t="str">
        <f ca="1">IFERROR(__xludf.DUMMYFUNCTION("""COMPUTED_VALUE"""),"No")</f>
        <v>No</v>
      </c>
      <c r="AM2188" s="8"/>
      <c r="AN2188" s="8"/>
      <c r="AO2188" s="8" t="str">
        <f ca="1">IFERROR(__xludf.DUMMYFUNCTION("""COMPUTED_VALUE"""),"No")</f>
        <v>No</v>
      </c>
      <c r="AP2188" s="8"/>
      <c r="AQ2188" s="8" t="str">
        <f ca="1">IFERROR(__xludf.DUMMYFUNCTION("""COMPUTED_VALUE"""),"Unknown")</f>
        <v>Unknown</v>
      </c>
      <c r="AR2188" s="8" t="str">
        <f ca="1">IFERROR(__xludf.DUMMYFUNCTION("""COMPUTED_VALUE"""),"NA")</f>
        <v>NA</v>
      </c>
      <c r="AS2188" s="8">
        <f ca="1">IFERROR(__xludf.DUMMYFUNCTION("""COMPUTED_VALUE"""),1)</f>
        <v>1</v>
      </c>
      <c r="AT2188" s="8"/>
      <c r="AU2188" s="8">
        <f ca="1">IFERROR(__xludf.DUMMYFUNCTION("""COMPUTED_VALUE"""),41.314429)</f>
        <v>41.314428999999997</v>
      </c>
      <c r="AV2188" s="8">
        <f ca="1">IFERROR(__xludf.DUMMYFUNCTION("""COMPUTED_VALUE"""),-96.040401)</f>
        <v>-96.040401000000003</v>
      </c>
      <c r="AW2188" s="8"/>
      <c r="AX2188" s="8">
        <f ca="1">IFERROR(__xludf.DUMMYFUNCTION("""COMPUTED_VALUE"""),68134)</f>
        <v>68134</v>
      </c>
    </row>
    <row r="2189" spans="1:50" ht="60" x14ac:dyDescent="0.2">
      <c r="A2189" s="8" t="str">
        <f ca="1">IFERROR(__xludf.DUMMYFUNCTION("""COMPUTED_VALUE"""),"20061201NCJOT")</f>
        <v>20061201NCJOT</v>
      </c>
      <c r="B2189" s="8">
        <f ca="1">IFERROR(__xludf.DUMMYFUNCTION("""COMPUTED_VALUE"""),12)</f>
        <v>12</v>
      </c>
      <c r="C2189" s="8">
        <f ca="1">IFERROR(__xludf.DUMMYFUNCTION("""COMPUTED_VALUE"""),1)</f>
        <v>1</v>
      </c>
      <c r="D2189" s="8">
        <f ca="1">IFERROR(__xludf.DUMMYFUNCTION("""COMPUTED_VALUE"""),2006)</f>
        <v>2006</v>
      </c>
      <c r="E2189" s="9">
        <f ca="1">IFERROR(__xludf.DUMMYFUNCTION("""COMPUTED_VALUE"""),39052)</f>
        <v>39052</v>
      </c>
      <c r="F2189" s="8" t="str">
        <f ca="1">IFERROR(__xludf.DUMMYFUNCTION("""COMPUTED_VALUE"""),"Jones Senior High School")</f>
        <v>Jones Senior High School</v>
      </c>
      <c r="G2189" s="8">
        <f ca="1">IFERROR(__xludf.DUMMYFUNCTION("""COMPUTED_VALUE"""),1)</f>
        <v>1</v>
      </c>
      <c r="H2189" s="8">
        <f ca="1">IFERROR(__xludf.DUMMYFUNCTION("""COMPUTED_VALUE"""),0)</f>
        <v>0</v>
      </c>
      <c r="I2189" s="8">
        <f ca="1">IFERROR(__xludf.DUMMYFUNCTION("""COMPUTED_VALUE"""),1)</f>
        <v>1</v>
      </c>
      <c r="J2189" s="8">
        <f ca="1">IFERROR(__xludf.DUMMYFUNCTION("""COMPUTED_VALUE"""),0)</f>
        <v>0</v>
      </c>
      <c r="K2189" s="10" t="str">
        <f ca="1">IFERROR(__xludf.DUMMYFUNCTION("""COMPUTED_VALUE"""),"http://www.witn.com/home/headlines/35382409.html")</f>
        <v>http://www.witn.com/home/headlines/35382409.html</v>
      </c>
      <c r="L2189" s="8"/>
      <c r="M2189" s="8"/>
      <c r="N2189" s="8">
        <f ca="1">IFERROR(__xludf.DUMMYFUNCTION("""COMPUTED_VALUE"""),2)</f>
        <v>2</v>
      </c>
      <c r="O2189" s="8" t="str">
        <f ca="1">IFERROR(__xludf.DUMMYFUNCTION("""COMPUTED_VALUE"""),"Winter")</f>
        <v>Winter</v>
      </c>
      <c r="P2189" s="8" t="str">
        <f ca="1">IFERROR(__xludf.DUMMYFUNCTION("""COMPUTED_VALUE"""),"Trenton")</f>
        <v>Trenton</v>
      </c>
      <c r="Q2189" s="8" t="str">
        <f ca="1">IFERROR(__xludf.DUMMYFUNCTION("""COMPUTED_VALUE"""),"NC")</f>
        <v>NC</v>
      </c>
      <c r="R2189" s="8" t="str">
        <f ca="1">IFERROR(__xludf.DUMMYFUNCTION("""COMPUTED_VALUE"""),"High")</f>
        <v>High</v>
      </c>
      <c r="S2189" s="8" t="str">
        <f ca="1">IFERROR(__xludf.DUMMYFUNCTION("""COMPUTED_VALUE"""),"Basketball Court")</f>
        <v>Basketball Court</v>
      </c>
      <c r="T2189" s="8" t="str">
        <f ca="1">IFERROR(__xludf.DUMMYFUNCTION("""COMPUTED_VALUE"""),"Outside on School Property")</f>
        <v>Outside on School Property</v>
      </c>
      <c r="U2189" s="8" t="str">
        <f ca="1">IFERROR(__xludf.DUMMYFUNCTION("""COMPUTED_VALUE"""),"No")</f>
        <v>No</v>
      </c>
      <c r="V2189" s="8" t="str">
        <f ca="1">IFERROR(__xludf.DUMMYFUNCTION("""COMPUTED_VALUE"""),"Evening")</f>
        <v>Evening</v>
      </c>
      <c r="W2189" s="11">
        <f ca="1">IFERROR(__xludf.DUMMYFUNCTION("""COMPUTED_VALUE"""),0.930555555555555)</f>
        <v>0.93055555555555503</v>
      </c>
      <c r="X2189" s="8">
        <f ca="1">IFERROR(__xludf.DUMMYFUNCTION("""COMPUTED_VALUE"""),1)</f>
        <v>1</v>
      </c>
      <c r="Y2189" s="12" t="str">
        <f ca="1">IFERROR(__xludf.DUMMYFUNCTION("""COMPUTED_VALUE"""),"Shot rival gang member in parking lot after basketball game")</f>
        <v>Shot rival gang member in parking lot after basketball game</v>
      </c>
      <c r="Z2189" s="12" t="str">
        <f ca="1">IFERROR(__xludf.DUMMYFUNCTION("""COMPUTED_VALUE"""),"20YOM shot 23YOM who was member of rival gang outside of high school after basketball game. Shooter had been thrown out of the game after causing a disturbance.")</f>
        <v>20YOM shot 23YOM who was member of rival gang outside of high school after basketball game. Shooter had been thrown out of the game after causing a disturbance.</v>
      </c>
      <c r="AA2189" s="8" t="str">
        <f ca="1">IFERROR(__xludf.DUMMYFUNCTION("""COMPUTED_VALUE"""),"Escalation of Dispute")</f>
        <v>Escalation of Dispute</v>
      </c>
      <c r="AB2189" s="8"/>
      <c r="AC2189" s="8" t="str">
        <f ca="1">IFERROR(__xludf.DUMMYFUNCTION("""COMPUTED_VALUE"""),"Yes")</f>
        <v>Yes</v>
      </c>
      <c r="AD2189" s="8" t="str">
        <f ca="1">IFERROR(__xludf.DUMMYFUNCTION("""COMPUTED_VALUE"""),"Victims Targeted")</f>
        <v>Victims Targeted</v>
      </c>
      <c r="AE2189" s="8" t="str">
        <f ca="1">IFERROR(__xludf.DUMMYFUNCTION("""COMPUTED_VALUE"""),"No")</f>
        <v>No</v>
      </c>
      <c r="AF2189" s="8"/>
      <c r="AG2189" s="8" t="str">
        <f ca="1">IFERROR(__xludf.DUMMYFUNCTION("""COMPUTED_VALUE"""),"No")</f>
        <v>No</v>
      </c>
      <c r="AH2189" s="8" t="str">
        <f ca="1">IFERROR(__xludf.DUMMYFUNCTION("""COMPUTED_VALUE"""),"No")</f>
        <v>No</v>
      </c>
      <c r="AI2189" s="8" t="str">
        <f ca="1">IFERROR(__xludf.DUMMYFUNCTION("""COMPUTED_VALUE"""),"No")</f>
        <v>No</v>
      </c>
      <c r="AJ2189" s="8" t="str">
        <f ca="1">IFERROR(__xludf.DUMMYFUNCTION("""COMPUTED_VALUE"""),"No")</f>
        <v>No</v>
      </c>
      <c r="AK2189" s="8" t="str">
        <f ca="1">IFERROR(__xludf.DUMMYFUNCTION("""COMPUTED_VALUE"""),"No")</f>
        <v>No</v>
      </c>
      <c r="AL2189" s="8" t="str">
        <f ca="1">IFERROR(__xludf.DUMMYFUNCTION("""COMPUTED_VALUE"""),"Yes")</f>
        <v>Yes</v>
      </c>
      <c r="AM2189" s="8"/>
      <c r="AN2189" s="8"/>
      <c r="AO2189" s="8" t="str">
        <f ca="1">IFERROR(__xludf.DUMMYFUNCTION("""COMPUTED_VALUE"""),"No")</f>
        <v>No</v>
      </c>
      <c r="AP2189" s="8"/>
      <c r="AQ2189" s="8" t="str">
        <f ca="1">IFERROR(__xludf.DUMMYFUNCTION("""COMPUTED_VALUE"""),"Unknown")</f>
        <v>Unknown</v>
      </c>
      <c r="AR2189" s="8" t="str">
        <f ca="1">IFERROR(__xludf.DUMMYFUNCTION("""COMPUTED_VALUE"""),"NA")</f>
        <v>NA</v>
      </c>
      <c r="AS2189" s="8" t="str">
        <f ca="1">IFERROR(__xludf.DUMMYFUNCTION("""COMPUTED_VALUE"""),"&lt;10")</f>
        <v>&lt;10</v>
      </c>
      <c r="AT2189" s="8"/>
      <c r="AU2189" s="8">
        <f ca="1">IFERROR(__xludf.DUMMYFUNCTION("""COMPUTED_VALUE"""),35.033983)</f>
        <v>35.033982999999999</v>
      </c>
      <c r="AV2189" s="8">
        <f ca="1">IFERROR(__xludf.DUMMYFUNCTION("""COMPUTED_VALUE"""),-77.333822)</f>
        <v>-77.333821999999998</v>
      </c>
      <c r="AW2189" s="8"/>
      <c r="AX2189" s="8">
        <f ca="1">IFERROR(__xludf.DUMMYFUNCTION("""COMPUTED_VALUE"""),28585)</f>
        <v>28585</v>
      </c>
    </row>
    <row r="2190" spans="1:50" ht="60" x14ac:dyDescent="0.2">
      <c r="A2190" s="8" t="str">
        <f ca="1">IFERROR(__xludf.DUMMYFUNCTION("""COMPUTED_VALUE"""),"20061122GASAA")</f>
        <v>20061122GASAA</v>
      </c>
      <c r="B2190" s="8">
        <f ca="1">IFERROR(__xludf.DUMMYFUNCTION("""COMPUTED_VALUE"""),11)</f>
        <v>11</v>
      </c>
      <c r="C2190" s="8">
        <f ca="1">IFERROR(__xludf.DUMMYFUNCTION("""COMPUTED_VALUE"""),22)</f>
        <v>22</v>
      </c>
      <c r="D2190" s="8">
        <f ca="1">IFERROR(__xludf.DUMMYFUNCTION("""COMPUTED_VALUE"""),2006)</f>
        <v>2006</v>
      </c>
      <c r="E2190" s="9">
        <f ca="1">IFERROR(__xludf.DUMMYFUNCTION("""COMPUTED_VALUE"""),39043)</f>
        <v>39043</v>
      </c>
      <c r="F2190" s="8" t="str">
        <f ca="1">IFERROR(__xludf.DUMMYFUNCTION("""COMPUTED_VALUE"""),"Sammye E. Coan Middle School")</f>
        <v>Sammye E. Coan Middle School</v>
      </c>
      <c r="G2190" s="8">
        <f ca="1">IFERROR(__xludf.DUMMYFUNCTION("""COMPUTED_VALUE"""),1)</f>
        <v>1</v>
      </c>
      <c r="H2190" s="8">
        <f ca="1">IFERROR(__xludf.DUMMYFUNCTION("""COMPUTED_VALUE"""),0)</f>
        <v>0</v>
      </c>
      <c r="I2190" s="8">
        <f ca="1">IFERROR(__xludf.DUMMYFUNCTION("""COMPUTED_VALUE"""),1)</f>
        <v>1</v>
      </c>
      <c r="J2190" s="8">
        <f ca="1">IFERROR(__xludf.DUMMYFUNCTION("""COMPUTED_VALUE"""),0)</f>
        <v>0</v>
      </c>
      <c r="K2190" s="10" t="str">
        <f ca="1">IFERROR(__xludf.DUMMYFUNCTION("""COMPUTED_VALUE"""),"https://www.newspapers.com/image/422972655/?terms=Atlanta%2BMiddle%2BSchool%2BRicardo%2BAlexander")</f>
        <v>https://www.newspapers.com/image/422972655/?terms=Atlanta%2BMiddle%2BSchool%2BRicardo%2BAlexander</v>
      </c>
      <c r="L2190" s="8"/>
      <c r="M2190" s="8"/>
      <c r="N2190" s="8">
        <f ca="1">IFERROR(__xludf.DUMMYFUNCTION("""COMPUTED_VALUE"""),2)</f>
        <v>2</v>
      </c>
      <c r="O2190" s="8" t="str">
        <f ca="1">IFERROR(__xludf.DUMMYFUNCTION("""COMPUTED_VALUE"""),"Fall")</f>
        <v>Fall</v>
      </c>
      <c r="P2190" s="8" t="str">
        <f ca="1">IFERROR(__xludf.DUMMYFUNCTION("""COMPUTED_VALUE"""),"Atlanta")</f>
        <v>Atlanta</v>
      </c>
      <c r="Q2190" s="8" t="str">
        <f ca="1">IFERROR(__xludf.DUMMYFUNCTION("""COMPUTED_VALUE"""),"GA")</f>
        <v>GA</v>
      </c>
      <c r="R2190" s="8" t="str">
        <f ca="1">IFERROR(__xludf.DUMMYFUNCTION("""COMPUTED_VALUE"""),"Middle")</f>
        <v>Middle</v>
      </c>
      <c r="S2190" s="8" t="str">
        <f ca="1">IFERROR(__xludf.DUMMYFUNCTION("""COMPUTED_VALUE"""),"Front of School")</f>
        <v>Front of School</v>
      </c>
      <c r="T2190" s="8" t="str">
        <f ca="1">IFERROR(__xludf.DUMMYFUNCTION("""COMPUTED_VALUE"""),"Outside on School Property")</f>
        <v>Outside on School Property</v>
      </c>
      <c r="U2190" s="8" t="str">
        <f ca="1">IFERROR(__xludf.DUMMYFUNCTION("""COMPUTED_VALUE"""),"No")</f>
        <v>No</v>
      </c>
      <c r="V2190" s="8" t="str">
        <f ca="1">IFERROR(__xludf.DUMMYFUNCTION("""COMPUTED_VALUE"""),"Evening")</f>
        <v>Evening</v>
      </c>
      <c r="W2190" s="11">
        <f ca="1">IFERROR(__xludf.DUMMYFUNCTION("""COMPUTED_VALUE"""),0.736111111111111)</f>
        <v>0.73611111111111105</v>
      </c>
      <c r="X2190" s="8">
        <f ca="1">IFERROR(__xludf.DUMMYFUNCTION("""COMPUTED_VALUE"""),1)</f>
        <v>1</v>
      </c>
      <c r="Y2190" s="12" t="str">
        <f ca="1">IFERROR(__xludf.DUMMYFUNCTION("""COMPUTED_VALUE"""),"Shooter got out of car, shot victim in chest, and fled scene")</f>
        <v>Shooter got out of car, shot victim in chest, and fled scene</v>
      </c>
      <c r="Z2190" s="12" t="str">
        <f ca="1">IFERROR(__xludf.DUMMYFUNCTION("""COMPUTED_VALUE"""),"14YOM was walking across school campus. Car stopped next to him, driver got out, shot student in chest, and fled the scene. No suspect or motive.")</f>
        <v>14YOM was walking across school campus. Car stopped next to him, driver got out, shot student in chest, and fled the scene. No suspect or motive.</v>
      </c>
      <c r="AA2190" s="8" t="str">
        <f ca="1">IFERROR(__xludf.DUMMYFUNCTION("""COMPUTED_VALUE"""),"Drive-by Shooting")</f>
        <v>Drive-by Shooting</v>
      </c>
      <c r="AB2190" s="8"/>
      <c r="AC2190" s="8" t="str">
        <f ca="1">IFERROR(__xludf.DUMMYFUNCTION("""COMPUTED_VALUE"""),"Yes")</f>
        <v>Yes</v>
      </c>
      <c r="AD2190" s="8" t="str">
        <f ca="1">IFERROR(__xludf.DUMMYFUNCTION("""COMPUTED_VALUE"""),"Victims Targeted")</f>
        <v>Victims Targeted</v>
      </c>
      <c r="AE2190" s="8" t="str">
        <f ca="1">IFERROR(__xludf.DUMMYFUNCTION("""COMPUTED_VALUE"""),"Unknown")</f>
        <v>Unknown</v>
      </c>
      <c r="AF2190" s="8"/>
      <c r="AG2190" s="8" t="str">
        <f ca="1">IFERROR(__xludf.DUMMYFUNCTION("""COMPUTED_VALUE"""),"No")</f>
        <v>No</v>
      </c>
      <c r="AH2190" s="8" t="str">
        <f ca="1">IFERROR(__xludf.DUMMYFUNCTION("""COMPUTED_VALUE"""),"No")</f>
        <v>No</v>
      </c>
      <c r="AI2190" s="8" t="str">
        <f ca="1">IFERROR(__xludf.DUMMYFUNCTION("""COMPUTED_VALUE"""),"No")</f>
        <v>No</v>
      </c>
      <c r="AJ2190" s="8" t="str">
        <f ca="1">IFERROR(__xludf.DUMMYFUNCTION("""COMPUTED_VALUE"""),"No")</f>
        <v>No</v>
      </c>
      <c r="AK2190" s="8" t="str">
        <f ca="1">IFERROR(__xludf.DUMMYFUNCTION("""COMPUTED_VALUE"""),"No")</f>
        <v>No</v>
      </c>
      <c r="AL2190" s="8"/>
      <c r="AM2190" s="8"/>
      <c r="AN2190" s="8"/>
      <c r="AO2190" s="8" t="str">
        <f ca="1">IFERROR(__xludf.DUMMYFUNCTION("""COMPUTED_VALUE"""),"No")</f>
        <v>No</v>
      </c>
      <c r="AP2190" s="8"/>
      <c r="AQ2190" s="8" t="str">
        <f ca="1">IFERROR(__xludf.DUMMYFUNCTION("""COMPUTED_VALUE"""),"Unknown")</f>
        <v>Unknown</v>
      </c>
      <c r="AR2190" s="8" t="str">
        <f ca="1">IFERROR(__xludf.DUMMYFUNCTION("""COMPUTED_VALUE"""),"NA")</f>
        <v>NA</v>
      </c>
      <c r="AS2190" s="8">
        <f ca="1">IFERROR(__xludf.DUMMYFUNCTION("""COMPUTED_VALUE"""),1)</f>
        <v>1</v>
      </c>
      <c r="AT2190" s="8"/>
      <c r="AU2190" s="8">
        <f ca="1">IFERROR(__xludf.DUMMYFUNCTION("""COMPUTED_VALUE"""),33.75408)</f>
        <v>33.754080000000002</v>
      </c>
      <c r="AV2190" s="8">
        <f ca="1">IFERROR(__xludf.DUMMYFUNCTION("""COMPUTED_VALUE"""),-84.336918)</f>
        <v>-84.336917999999997</v>
      </c>
      <c r="AW2190" s="8"/>
      <c r="AX2190" s="8">
        <f ca="1">IFERROR(__xludf.DUMMYFUNCTION("""COMPUTED_VALUE"""),30317)</f>
        <v>30317</v>
      </c>
    </row>
    <row r="2191" spans="1:50" ht="60" x14ac:dyDescent="0.2">
      <c r="A2191" s="8" t="str">
        <f ca="1">IFERROR(__xludf.DUMMYFUNCTION("""COMPUTED_VALUE"""),"20061111CALIO")</f>
        <v>20061111CALIO</v>
      </c>
      <c r="B2191" s="8">
        <f ca="1">IFERROR(__xludf.DUMMYFUNCTION("""COMPUTED_VALUE"""),11)</f>
        <v>11</v>
      </c>
      <c r="C2191" s="8">
        <f ca="1">IFERROR(__xludf.DUMMYFUNCTION("""COMPUTED_VALUE"""),11)</f>
        <v>11</v>
      </c>
      <c r="D2191" s="8">
        <f ca="1">IFERROR(__xludf.DUMMYFUNCTION("""COMPUTED_VALUE"""),2006)</f>
        <v>2006</v>
      </c>
      <c r="E2191" s="9">
        <f ca="1">IFERROR(__xludf.DUMMYFUNCTION("""COMPUTED_VALUE"""),39032)</f>
        <v>39032</v>
      </c>
      <c r="F2191" s="8" t="str">
        <f ca="1">IFERROR(__xludf.DUMMYFUNCTION("""COMPUTED_VALUE"""),"Lionel Wilson College Prep School")</f>
        <v>Lionel Wilson College Prep School</v>
      </c>
      <c r="G2191" s="8">
        <f ca="1">IFERROR(__xludf.DUMMYFUNCTION("""COMPUTED_VALUE"""),1)</f>
        <v>1</v>
      </c>
      <c r="H2191" s="8">
        <f ca="1">IFERROR(__xludf.DUMMYFUNCTION("""COMPUTED_VALUE"""),1)</f>
        <v>1</v>
      </c>
      <c r="I2191" s="8">
        <f ca="1">IFERROR(__xludf.DUMMYFUNCTION("""COMPUTED_VALUE"""),2)</f>
        <v>2</v>
      </c>
      <c r="J2191" s="8">
        <f ca="1">IFERROR(__xludf.DUMMYFUNCTION("""COMPUTED_VALUE"""),0)</f>
        <v>0</v>
      </c>
      <c r="K2191" s="10" t="str">
        <f ca="1">IFERROR(__xludf.DUMMYFUNCTION("""COMPUTED_VALUE"""),"https://www.eastbaytimes.com/2006/11/13/man-killed-at-oakland-school-party/")</f>
        <v>https://www.eastbaytimes.com/2006/11/13/man-killed-at-oakland-school-party/</v>
      </c>
      <c r="L2191" s="8"/>
      <c r="M2191" s="8"/>
      <c r="N2191" s="8">
        <f ca="1">IFERROR(__xludf.DUMMYFUNCTION("""COMPUTED_VALUE"""),3)</f>
        <v>3</v>
      </c>
      <c r="O2191" s="8" t="str">
        <f ca="1">IFERROR(__xludf.DUMMYFUNCTION("""COMPUTED_VALUE"""),"Fall")</f>
        <v>Fall</v>
      </c>
      <c r="P2191" s="8" t="str">
        <f ca="1">IFERROR(__xludf.DUMMYFUNCTION("""COMPUTED_VALUE"""),"Oakland")</f>
        <v>Oakland</v>
      </c>
      <c r="Q2191" s="8" t="str">
        <f ca="1">IFERROR(__xludf.DUMMYFUNCTION("""COMPUTED_VALUE"""),"CA")</f>
        <v>CA</v>
      </c>
      <c r="R2191" s="8" t="str">
        <f ca="1">IFERROR(__xludf.DUMMYFUNCTION("""COMPUTED_VALUE"""),"High")</f>
        <v>High</v>
      </c>
      <c r="S2191" s="8" t="str">
        <f ca="1">IFERROR(__xludf.DUMMYFUNCTION("""COMPUTED_VALUE"""),"Gym")</f>
        <v>Gym</v>
      </c>
      <c r="T2191" s="8" t="str">
        <f ca="1">IFERROR(__xludf.DUMMYFUNCTION("""COMPUTED_VALUE"""),"Inside School Building")</f>
        <v>Inside School Building</v>
      </c>
      <c r="U2191" s="8" t="str">
        <f ca="1">IFERROR(__xludf.DUMMYFUNCTION("""COMPUTED_VALUE"""),"No")</f>
        <v>No</v>
      </c>
      <c r="V2191" s="8" t="str">
        <f ca="1">IFERROR(__xludf.DUMMYFUNCTION("""COMPUTED_VALUE"""),"Night")</f>
        <v>Night</v>
      </c>
      <c r="W2191" s="11">
        <f ca="1">IFERROR(__xludf.DUMMYFUNCTION("""COMPUTED_VALUE"""),0.958333333333333)</f>
        <v>0.95833333333333304</v>
      </c>
      <c r="X2191" s="8">
        <f ca="1">IFERROR(__xludf.DUMMYFUNCTION("""COMPUTED_VALUE"""),1)</f>
        <v>1</v>
      </c>
      <c r="Y2191" s="12" t="str">
        <f ca="1">IFERROR(__xludf.DUMMYFUNCTION("""COMPUTED_VALUE"""),"Targeted shooting during birthday party, shooter and victim had grudge")</f>
        <v>Targeted shooting during birthday party, shooter and victim had grudge</v>
      </c>
      <c r="Z2191" s="12" t="str">
        <f ca="1">IFERROR(__xludf.DUMMYFUNCTION("""COMPUTED_VALUE"""),"Private party at the high school on Saturday night. 23YOM shot in targeted shooting by someone he had a ongoing conflict with. 20YOM was also hit. Shooter fled and was not identified. Facility was rented by non-students.")</f>
        <v>Private party at the high school on Saturday night. 23YOM shot in targeted shooting by someone he had a ongoing conflict with. 20YOM was also hit. Shooter fled and was not identified. Facility was rented by non-students.</v>
      </c>
      <c r="AA2191" s="8" t="str">
        <f ca="1">IFERROR(__xludf.DUMMYFUNCTION("""COMPUTED_VALUE"""),"Escalation of Dispute")</f>
        <v>Escalation of Dispute</v>
      </c>
      <c r="AB2191" s="8"/>
      <c r="AC2191" s="8" t="str">
        <f ca="1">IFERROR(__xludf.DUMMYFUNCTION("""COMPUTED_VALUE"""),"No")</f>
        <v>No</v>
      </c>
      <c r="AD2191" s="8" t="str">
        <f ca="1">IFERROR(__xludf.DUMMYFUNCTION("""COMPUTED_VALUE"""),"Both")</f>
        <v>Both</v>
      </c>
      <c r="AE2191" s="8" t="str">
        <f ca="1">IFERROR(__xludf.DUMMYFUNCTION("""COMPUTED_VALUE"""),"No")</f>
        <v>No</v>
      </c>
      <c r="AF2191" s="8"/>
      <c r="AG2191" s="8" t="str">
        <f ca="1">IFERROR(__xludf.DUMMYFUNCTION("""COMPUTED_VALUE"""),"No")</f>
        <v>No</v>
      </c>
      <c r="AH2191" s="8" t="str">
        <f ca="1">IFERROR(__xludf.DUMMYFUNCTION("""COMPUTED_VALUE"""),"No")</f>
        <v>No</v>
      </c>
      <c r="AI2191" s="8" t="str">
        <f ca="1">IFERROR(__xludf.DUMMYFUNCTION("""COMPUTED_VALUE"""),"No")</f>
        <v>No</v>
      </c>
      <c r="AJ2191" s="8" t="str">
        <f ca="1">IFERROR(__xludf.DUMMYFUNCTION("""COMPUTED_VALUE"""),"No")</f>
        <v>No</v>
      </c>
      <c r="AK2191" s="8" t="str">
        <f ca="1">IFERROR(__xludf.DUMMYFUNCTION("""COMPUTED_VALUE"""),"No")</f>
        <v>No</v>
      </c>
      <c r="AL2191" s="8" t="str">
        <f ca="1">IFERROR(__xludf.DUMMYFUNCTION("""COMPUTED_VALUE"""),"No")</f>
        <v>No</v>
      </c>
      <c r="AM2191" s="8"/>
      <c r="AN2191" s="8"/>
      <c r="AO2191" s="8" t="str">
        <f ca="1">IFERROR(__xludf.DUMMYFUNCTION("""COMPUTED_VALUE"""),"No")</f>
        <v>No</v>
      </c>
      <c r="AP2191" s="8"/>
      <c r="AQ2191" s="8" t="str">
        <f ca="1">IFERROR(__xludf.DUMMYFUNCTION("""COMPUTED_VALUE"""),"Unknown")</f>
        <v>Unknown</v>
      </c>
      <c r="AR2191" s="8" t="str">
        <f ca="1">IFERROR(__xludf.DUMMYFUNCTION("""COMPUTED_VALUE"""),"NA")</f>
        <v>NA</v>
      </c>
      <c r="AS2191" s="8"/>
      <c r="AT2191" s="8"/>
      <c r="AU2191" s="8">
        <f ca="1">IFERROR(__xludf.DUMMYFUNCTION("""COMPUTED_VALUE"""),37.72959)</f>
        <v>37.729590000000002</v>
      </c>
      <c r="AV2191" s="8">
        <f ca="1">IFERROR(__xludf.DUMMYFUNCTION("""COMPUTED_VALUE"""),-122.180038)</f>
        <v>-122.180038</v>
      </c>
      <c r="AW2191" s="8"/>
      <c r="AX2191" s="8">
        <f ca="1">IFERROR(__xludf.DUMMYFUNCTION("""COMPUTED_VALUE"""),94621)</f>
        <v>94621</v>
      </c>
    </row>
    <row r="2192" spans="1:50" ht="105" x14ac:dyDescent="0.2">
      <c r="A2192" s="8" t="str">
        <f ca="1">IFERROR(__xludf.DUMMYFUNCTION("""COMPUTED_VALUE"""),"20061031TNHAK")</f>
        <v>20061031TNHAK</v>
      </c>
      <c r="B2192" s="8">
        <f ca="1">IFERROR(__xludf.DUMMYFUNCTION("""COMPUTED_VALUE"""),10)</f>
        <v>10</v>
      </c>
      <c r="C2192" s="8">
        <f ca="1">IFERROR(__xludf.DUMMYFUNCTION("""COMPUTED_VALUE"""),31)</f>
        <v>31</v>
      </c>
      <c r="D2192" s="8">
        <f ca="1">IFERROR(__xludf.DUMMYFUNCTION("""COMPUTED_VALUE"""),2006)</f>
        <v>2006</v>
      </c>
      <c r="E2192" s="9">
        <f ca="1">IFERROR(__xludf.DUMMYFUNCTION("""COMPUTED_VALUE"""),39021)</f>
        <v>39021</v>
      </c>
      <c r="F2192" s="8" t="str">
        <f ca="1">IFERROR(__xludf.DUMMYFUNCTION("""COMPUTED_VALUE"""),"Halls High School")</f>
        <v>Halls High School</v>
      </c>
      <c r="G2192" s="8">
        <f ca="1">IFERROR(__xludf.DUMMYFUNCTION("""COMPUTED_VALUE"""),1)</f>
        <v>1</v>
      </c>
      <c r="H2192" s="8">
        <f ca="1">IFERROR(__xludf.DUMMYFUNCTION("""COMPUTED_VALUE"""),0)</f>
        <v>0</v>
      </c>
      <c r="I2192" s="8">
        <f ca="1">IFERROR(__xludf.DUMMYFUNCTION("""COMPUTED_VALUE"""),1)</f>
        <v>1</v>
      </c>
      <c r="J2192" s="8">
        <f ca="1">IFERROR(__xludf.DUMMYFUNCTION("""COMPUTED_VALUE"""),0)</f>
        <v>0</v>
      </c>
      <c r="K2192" s="10" t="str">
        <f ca="1">IFERROR(__xludf.DUMMYFUNCTION("""COMPUTED_VALUE"""),"http://www.wvlt.tv/home/headlines/4542511.html")</f>
        <v>http://www.wvlt.tv/home/headlines/4542511.html</v>
      </c>
      <c r="L2192" s="8"/>
      <c r="M2192" s="8"/>
      <c r="N2192" s="8">
        <f ca="1">IFERROR(__xludf.DUMMYFUNCTION("""COMPUTED_VALUE"""),2)</f>
        <v>2</v>
      </c>
      <c r="O2192" s="8" t="str">
        <f ca="1">IFERROR(__xludf.DUMMYFUNCTION("""COMPUTED_VALUE"""),"Fall")</f>
        <v>Fall</v>
      </c>
      <c r="P2192" s="8" t="str">
        <f ca="1">IFERROR(__xludf.DUMMYFUNCTION("""COMPUTED_VALUE"""),"Knoxville")</f>
        <v>Knoxville</v>
      </c>
      <c r="Q2192" s="8" t="str">
        <f ca="1">IFERROR(__xludf.DUMMYFUNCTION("""COMPUTED_VALUE"""),"TN")</f>
        <v>TN</v>
      </c>
      <c r="R2192" s="8" t="str">
        <f ca="1">IFERROR(__xludf.DUMMYFUNCTION("""COMPUTED_VALUE"""),"High")</f>
        <v>High</v>
      </c>
      <c r="S2192" s="8" t="str">
        <f ca="1">IFERROR(__xludf.DUMMYFUNCTION("""COMPUTED_VALUE"""),"Parking Lot")</f>
        <v>Parking Lot</v>
      </c>
      <c r="T2192" s="8" t="str">
        <f ca="1">IFERROR(__xludf.DUMMYFUNCTION("""COMPUTED_VALUE"""),"Outside on School Property")</f>
        <v>Outside on School Property</v>
      </c>
      <c r="U2192" s="8" t="str">
        <f ca="1">IFERROR(__xludf.DUMMYFUNCTION("""COMPUTED_VALUE"""),"No")</f>
        <v>No</v>
      </c>
      <c r="V2192" s="8" t="str">
        <f ca="1">IFERROR(__xludf.DUMMYFUNCTION("""COMPUTED_VALUE"""),"Evening")</f>
        <v>Evening</v>
      </c>
      <c r="W2192" s="11">
        <f ca="1">IFERROR(__xludf.DUMMYFUNCTION("""COMPUTED_VALUE"""),0.9375)</f>
        <v>0.9375</v>
      </c>
      <c r="X2192" s="8">
        <f ca="1">IFERROR(__xludf.DUMMYFUNCTION("""COMPUTED_VALUE"""),1)</f>
        <v>1</v>
      </c>
      <c r="Y2192" s="12" t="str">
        <f ca="1">IFERROR(__xludf.DUMMYFUNCTION("""COMPUTED_VALUE"""),"Security guard killed investigating car with flat tire, did not know occupant was murder suspect and it was stolen car")</f>
        <v>Security guard killed investigating car with flat tire, did not know occupant was murder suspect and it was stolen car</v>
      </c>
      <c r="Z2192" s="12" t="str">
        <f ca="1">IFERROR(__xludf.DUMMYFUNCTION("""COMPUTED_VALUE"""),"39YOM shot and killed an unarmed school security guard who was investigating his broken down car in the parking lot. The shooter had killed an elderly man and stolen his vehicle. He shot and killed the security guard in the parking lot of the school and f"&amp;"led. Later arrested.")</f>
        <v>39YOM shot and killed an unarmed school security guard who was investigating his broken down car in the parking lot. The shooter had killed an elderly man and stolen his vehicle. He shot and killed the security guard in the parking lot of the school and fled. Later arrested.</v>
      </c>
      <c r="AA2192" s="8" t="str">
        <f ca="1">IFERROR(__xludf.DUMMYFUNCTION("""COMPUTED_VALUE"""),"Illegal Activity")</f>
        <v>Illegal Activity</v>
      </c>
      <c r="AB2192" s="8"/>
      <c r="AC2192" s="8" t="str">
        <f ca="1">IFERROR(__xludf.DUMMYFUNCTION("""COMPUTED_VALUE"""),"Yes")</f>
        <v>Yes</v>
      </c>
      <c r="AD2192" s="8" t="str">
        <f ca="1">IFERROR(__xludf.DUMMYFUNCTION("""COMPUTED_VALUE"""),"Victims Targeted")</f>
        <v>Victims Targeted</v>
      </c>
      <c r="AE2192" s="8" t="str">
        <f ca="1">IFERROR(__xludf.DUMMYFUNCTION("""COMPUTED_VALUE"""),"No")</f>
        <v>No</v>
      </c>
      <c r="AF2192" s="8"/>
      <c r="AG2192" s="8" t="str">
        <f ca="1">IFERROR(__xludf.DUMMYFUNCTION("""COMPUTED_VALUE"""),"No")</f>
        <v>No</v>
      </c>
      <c r="AH2192" s="8" t="str">
        <f ca="1">IFERROR(__xludf.DUMMYFUNCTION("""COMPUTED_VALUE"""),"No")</f>
        <v>No</v>
      </c>
      <c r="AI2192" s="8" t="str">
        <f ca="1">IFERROR(__xludf.DUMMYFUNCTION("""COMPUTED_VALUE"""),"No")</f>
        <v>No</v>
      </c>
      <c r="AJ2192" s="8" t="str">
        <f ca="1">IFERROR(__xludf.DUMMYFUNCTION("""COMPUTED_VALUE"""),"No")</f>
        <v>No</v>
      </c>
      <c r="AK2192" s="8" t="str">
        <f ca="1">IFERROR(__xludf.DUMMYFUNCTION("""COMPUTED_VALUE"""),"No")</f>
        <v>No</v>
      </c>
      <c r="AL2192" s="8" t="str">
        <f ca="1">IFERROR(__xludf.DUMMYFUNCTION("""COMPUTED_VALUE"""),"No")</f>
        <v>No</v>
      </c>
      <c r="AM2192" s="8"/>
      <c r="AN2192" s="8"/>
      <c r="AO2192" s="8" t="str">
        <f ca="1">IFERROR(__xludf.DUMMYFUNCTION("""COMPUTED_VALUE"""),"No")</f>
        <v>No</v>
      </c>
      <c r="AP2192" s="8"/>
      <c r="AQ2192" s="8" t="str">
        <f ca="1">IFERROR(__xludf.DUMMYFUNCTION("""COMPUTED_VALUE"""),"Unknown")</f>
        <v>Unknown</v>
      </c>
      <c r="AR2192" s="8" t="str">
        <f ca="1">IFERROR(__xludf.DUMMYFUNCTION("""COMPUTED_VALUE"""),"NA")</f>
        <v>NA</v>
      </c>
      <c r="AS2192" s="8">
        <f ca="1">IFERROR(__xludf.DUMMYFUNCTION("""COMPUTED_VALUE"""),2)</f>
        <v>2</v>
      </c>
      <c r="AT2192" s="8"/>
      <c r="AU2192" s="8">
        <f ca="1">IFERROR(__xludf.DUMMYFUNCTION("""COMPUTED_VALUE"""),36.088479)</f>
        <v>36.088479</v>
      </c>
      <c r="AV2192" s="8">
        <f ca="1">IFERROR(__xludf.DUMMYFUNCTION("""COMPUTED_VALUE"""),-83.925985)</f>
        <v>-83.925984999999997</v>
      </c>
      <c r="AW2192" s="8"/>
      <c r="AX2192" s="8">
        <f ca="1">IFERROR(__xludf.DUMMYFUNCTION("""COMPUTED_VALUE"""),37938)</f>
        <v>37938</v>
      </c>
    </row>
    <row r="2193" spans="1:50" ht="75" x14ac:dyDescent="0.2">
      <c r="A2193" s="8" t="str">
        <f ca="1">IFERROR(__xludf.DUMMYFUNCTION("""COMPUTED_VALUE"""),"20061017TXSEK")</f>
        <v>20061017TXSEK</v>
      </c>
      <c r="B2193" s="8">
        <f ca="1">IFERROR(__xludf.DUMMYFUNCTION("""COMPUTED_VALUE"""),10)</f>
        <v>10</v>
      </c>
      <c r="C2193" s="8">
        <f ca="1">IFERROR(__xludf.DUMMYFUNCTION("""COMPUTED_VALUE"""),17)</f>
        <v>17</v>
      </c>
      <c r="D2193" s="8">
        <f ca="1">IFERROR(__xludf.DUMMYFUNCTION("""COMPUTED_VALUE"""),2006)</f>
        <v>2006</v>
      </c>
      <c r="E2193" s="9">
        <f ca="1">IFERROR(__xludf.DUMMYFUNCTION("""COMPUTED_VALUE"""),39007)</f>
        <v>39007</v>
      </c>
      <c r="F2193" s="8" t="str">
        <f ca="1">IFERROR(__xludf.DUMMYFUNCTION("""COMPUTED_VALUE"""),"Seven Lakes High School")</f>
        <v>Seven Lakes High School</v>
      </c>
      <c r="G2193" s="8">
        <f ca="1">IFERROR(__xludf.DUMMYFUNCTION("""COMPUTED_VALUE"""),0)</f>
        <v>0</v>
      </c>
      <c r="H2193" s="8">
        <f ca="1">IFERROR(__xludf.DUMMYFUNCTION("""COMPUTED_VALUE"""),0)</f>
        <v>0</v>
      </c>
      <c r="I2193" s="8">
        <f ca="1">IFERROR(__xludf.DUMMYFUNCTION("""COMPUTED_VALUE"""),0)</f>
        <v>0</v>
      </c>
      <c r="J2193" s="8">
        <f ca="1">IFERROR(__xludf.DUMMYFUNCTION("""COMPUTED_VALUE"""),1)</f>
        <v>1</v>
      </c>
      <c r="K2193" s="10" t="str">
        <f ca="1">IFERROR(__xludf.DUMMYFUNCTION("""COMPUTED_VALUE"""),"https://www.chron.com/news/houston-texas/article/Katy-student-shoots-himself-at-high-school-1862524.php")</f>
        <v>https://www.chron.com/news/houston-texas/article/Katy-student-shoots-himself-at-high-school-1862524.php</v>
      </c>
      <c r="L2193" s="8"/>
      <c r="M2193" s="8"/>
      <c r="N2193" s="8">
        <f ca="1">IFERROR(__xludf.DUMMYFUNCTION("""COMPUTED_VALUE"""),2)</f>
        <v>2</v>
      </c>
      <c r="O2193" s="8" t="str">
        <f ca="1">IFERROR(__xludf.DUMMYFUNCTION("""COMPUTED_VALUE"""),"Fall")</f>
        <v>Fall</v>
      </c>
      <c r="P2193" s="8" t="str">
        <f ca="1">IFERROR(__xludf.DUMMYFUNCTION("""COMPUTED_VALUE"""),"Katy")</f>
        <v>Katy</v>
      </c>
      <c r="Q2193" s="8" t="str">
        <f ca="1">IFERROR(__xludf.DUMMYFUNCTION("""COMPUTED_VALUE"""),"TX")</f>
        <v>TX</v>
      </c>
      <c r="R2193" s="8" t="str">
        <f ca="1">IFERROR(__xludf.DUMMYFUNCTION("""COMPUTED_VALUE"""),"High")</f>
        <v>High</v>
      </c>
      <c r="S2193" s="8" t="str">
        <f ca="1">IFERROR(__xludf.DUMMYFUNCTION("""COMPUTED_VALUE"""),"Beside Building")</f>
        <v>Beside Building</v>
      </c>
      <c r="T2193" s="8" t="str">
        <f ca="1">IFERROR(__xludf.DUMMYFUNCTION("""COMPUTED_VALUE"""),"Outside on School Property")</f>
        <v>Outside on School Property</v>
      </c>
      <c r="U2193" s="8" t="str">
        <f ca="1">IFERROR(__xludf.DUMMYFUNCTION("""COMPUTED_VALUE"""),"Yes")</f>
        <v>Yes</v>
      </c>
      <c r="V2193" s="8" t="str">
        <f ca="1">IFERROR(__xludf.DUMMYFUNCTION("""COMPUTED_VALUE"""),"Lunch")</f>
        <v>Lunch</v>
      </c>
      <c r="W2193" s="11">
        <f ca="1">IFERROR(__xludf.DUMMYFUNCTION("""COMPUTED_VALUE"""),0.496527777777777)</f>
        <v>0.49652777777777701</v>
      </c>
      <c r="X2193" s="8">
        <f ca="1">IFERROR(__xludf.DUMMYFUNCTION("""COMPUTED_VALUE"""),1)</f>
        <v>1</v>
      </c>
      <c r="Y2193" s="12" t="str">
        <f ca="1">IFERROR(__xludf.DUMMYFUNCTION("""COMPUTED_VALUE"""),"Student shot herself outside of school, school officials report it was an accident")</f>
        <v>Student shot herself outside of school, school officials report it was an accident</v>
      </c>
      <c r="Z2193" s="12" t="str">
        <f ca="1">IFERROR(__xludf.DUMMYFUNCTION("""COMPUTED_VALUE"""),"16YOF student shot herself outside of the school during lunch time. School officials locked down the school for 2 hours and reported to students that it was an accident.")</f>
        <v>16YOF student shot herself outside of the school during lunch time. School officials locked down the school for 2 hours and reported to students that it was an accident.</v>
      </c>
      <c r="AA2193" s="8" t="str">
        <f ca="1">IFERROR(__xludf.DUMMYFUNCTION("""COMPUTED_VALUE"""),"Accidental")</f>
        <v>Accidental</v>
      </c>
      <c r="AB2193" s="8"/>
      <c r="AC2193" s="8" t="str">
        <f ca="1">IFERROR(__xludf.DUMMYFUNCTION("""COMPUTED_VALUE"""),"Yes")</f>
        <v>Yes</v>
      </c>
      <c r="AD2193" s="8" t="str">
        <f ca="1">IFERROR(__xludf.DUMMYFUNCTION("""COMPUTED_VALUE"""),"Random Shooting")</f>
        <v>Random Shooting</v>
      </c>
      <c r="AE2193" s="8" t="str">
        <f ca="1">IFERROR(__xludf.DUMMYFUNCTION("""COMPUTED_VALUE"""),"No")</f>
        <v>No</v>
      </c>
      <c r="AF2193" s="8"/>
      <c r="AG2193" s="8" t="str">
        <f ca="1">IFERROR(__xludf.DUMMYFUNCTION("""COMPUTED_VALUE"""),"No")</f>
        <v>No</v>
      </c>
      <c r="AH2193" s="8" t="str">
        <f ca="1">IFERROR(__xludf.DUMMYFUNCTION("""COMPUTED_VALUE"""),"No")</f>
        <v>No</v>
      </c>
      <c r="AI2193" s="8" t="str">
        <f ca="1">IFERROR(__xludf.DUMMYFUNCTION("""COMPUTED_VALUE"""),"No")</f>
        <v>No</v>
      </c>
      <c r="AJ2193" s="8"/>
      <c r="AK2193" s="8"/>
      <c r="AL2193" s="8" t="str">
        <f ca="1">IFERROR(__xludf.DUMMYFUNCTION("""COMPUTED_VALUE"""),"No")</f>
        <v>No</v>
      </c>
      <c r="AM2193" s="8"/>
      <c r="AN2193" s="8"/>
      <c r="AO2193" s="8" t="str">
        <f ca="1">IFERROR(__xludf.DUMMYFUNCTION("""COMPUTED_VALUE"""),"No")</f>
        <v>No</v>
      </c>
      <c r="AP2193" s="8"/>
      <c r="AQ2193" s="8" t="str">
        <f ca="1">IFERROR(__xludf.DUMMYFUNCTION("""COMPUTED_VALUE"""),"Unknown")</f>
        <v>Unknown</v>
      </c>
      <c r="AR2193" s="8" t="str">
        <f ca="1">IFERROR(__xludf.DUMMYFUNCTION("""COMPUTED_VALUE"""),"NA")</f>
        <v>NA</v>
      </c>
      <c r="AS2193" s="8">
        <f ca="1">IFERROR(__xludf.DUMMYFUNCTION("""COMPUTED_VALUE"""),1)</f>
        <v>1</v>
      </c>
      <c r="AT2193" s="8"/>
      <c r="AU2193" s="8">
        <f ca="1">IFERROR(__xludf.DUMMYFUNCTION("""COMPUTED_VALUE"""),29.707287)</f>
        <v>29.707287000000001</v>
      </c>
      <c r="AV2193" s="8">
        <f ca="1">IFERROR(__xludf.DUMMYFUNCTION("""COMPUTED_VALUE"""),-95.808043)</f>
        <v>-95.808042999999998</v>
      </c>
      <c r="AW2193" s="8"/>
      <c r="AX2193" s="8">
        <f ca="1">IFERROR(__xludf.DUMMYFUNCTION("""COMPUTED_VALUE"""),77494)</f>
        <v>77494</v>
      </c>
    </row>
    <row r="2194" spans="1:50" ht="75" x14ac:dyDescent="0.2">
      <c r="A2194" s="8" t="str">
        <f ca="1">IFERROR(__xludf.DUMMYFUNCTION("""COMPUTED_VALUE"""),"20061012MDGRB")</f>
        <v>20061012MDGRB</v>
      </c>
      <c r="B2194" s="8">
        <f ca="1">IFERROR(__xludf.DUMMYFUNCTION("""COMPUTED_VALUE"""),10)</f>
        <v>10</v>
      </c>
      <c r="C2194" s="8">
        <f ca="1">IFERROR(__xludf.DUMMYFUNCTION("""COMPUTED_VALUE"""),12)</f>
        <v>12</v>
      </c>
      <c r="D2194" s="8">
        <f ca="1">IFERROR(__xludf.DUMMYFUNCTION("""COMPUTED_VALUE"""),2006)</f>
        <v>2006</v>
      </c>
      <c r="E2194" s="9">
        <f ca="1">IFERROR(__xludf.DUMMYFUNCTION("""COMPUTED_VALUE"""),39002)</f>
        <v>39002</v>
      </c>
      <c r="F2194" s="8" t="str">
        <f ca="1">IFERROR(__xludf.DUMMYFUNCTION("""COMPUTED_VALUE"""),"Grove Park Elementary School")</f>
        <v>Grove Park Elementary School</v>
      </c>
      <c r="G2194" s="8">
        <f ca="1">IFERROR(__xludf.DUMMYFUNCTION("""COMPUTED_VALUE"""),0)</f>
        <v>0</v>
      </c>
      <c r="H2194" s="8">
        <f ca="1">IFERROR(__xludf.DUMMYFUNCTION("""COMPUTED_VALUE"""),0)</f>
        <v>0</v>
      </c>
      <c r="I2194" s="8">
        <f ca="1">IFERROR(__xludf.DUMMYFUNCTION("""COMPUTED_VALUE"""),0)</f>
        <v>0</v>
      </c>
      <c r="J2194" s="8">
        <f ca="1">IFERROR(__xludf.DUMMYFUNCTION("""COMPUTED_VALUE"""),0)</f>
        <v>0</v>
      </c>
      <c r="K2194" s="10" t="str">
        <f ca="1">IFERROR(__xludf.DUMMYFUNCTION("""COMPUTED_VALUE"""),"https://www.washingtonexaminer.com/third-grader-at-grove-park-brings-gun-to-city-school")</f>
        <v>https://www.washingtonexaminer.com/third-grader-at-grove-park-brings-gun-to-city-school</v>
      </c>
      <c r="L2194" s="8"/>
      <c r="M2194" s="8"/>
      <c r="N2194" s="8">
        <f ca="1">IFERROR(__xludf.DUMMYFUNCTION("""COMPUTED_VALUE"""),2)</f>
        <v>2</v>
      </c>
      <c r="O2194" s="8" t="str">
        <f ca="1">IFERROR(__xludf.DUMMYFUNCTION("""COMPUTED_VALUE"""),"Fall")</f>
        <v>Fall</v>
      </c>
      <c r="P2194" s="8" t="str">
        <f ca="1">IFERROR(__xludf.DUMMYFUNCTION("""COMPUTED_VALUE"""),"Baltimore")</f>
        <v>Baltimore</v>
      </c>
      <c r="Q2194" s="8" t="str">
        <f ca="1">IFERROR(__xludf.DUMMYFUNCTION("""COMPUTED_VALUE"""),"MD")</f>
        <v>MD</v>
      </c>
      <c r="R2194" s="8" t="str">
        <f ca="1">IFERROR(__xludf.DUMMYFUNCTION("""COMPUTED_VALUE"""),"Elementary")</f>
        <v>Elementary</v>
      </c>
      <c r="S2194" s="8" t="str">
        <f ca="1">IFERROR(__xludf.DUMMYFUNCTION("""COMPUTED_VALUE"""),"Classroom")</f>
        <v>Classroom</v>
      </c>
      <c r="T2194" s="8" t="str">
        <f ca="1">IFERROR(__xludf.DUMMYFUNCTION("""COMPUTED_VALUE"""),"Inside School Building")</f>
        <v>Inside School Building</v>
      </c>
      <c r="U2194" s="8" t="str">
        <f ca="1">IFERROR(__xludf.DUMMYFUNCTION("""COMPUTED_VALUE"""),"Yes")</f>
        <v>Yes</v>
      </c>
      <c r="V2194" s="8" t="str">
        <f ca="1">IFERROR(__xludf.DUMMYFUNCTION("""COMPUTED_VALUE"""),"Afternoon Classes")</f>
        <v>Afternoon Classes</v>
      </c>
      <c r="W2194" s="8"/>
      <c r="X2194" s="8">
        <f ca="1">IFERROR(__xludf.DUMMYFUNCTION("""COMPUTED_VALUE"""),1)</f>
        <v>1</v>
      </c>
      <c r="Y2194" s="12" t="str">
        <f ca="1">IFERROR(__xludf.DUMMYFUNCTION("""COMPUTED_VALUE"""),"Student accidentally fired gun inside of desk")</f>
        <v>Student accidentally fired gun inside of desk</v>
      </c>
      <c r="Z2194" s="12" t="str">
        <f ca="1">IFERROR(__xludf.DUMMYFUNCTION("""COMPUTED_VALUE"""),"8YOM student brough .22 revolver to school. While the gun was inside the desk, another student student grabbed it and accidentally pulled the trigger. School officials took possession of the weapon and detained the students. No lockdown.")</f>
        <v>8YOM student brough .22 revolver to school. While the gun was inside the desk, another student student grabbed it and accidentally pulled the trigger. School officials took possession of the weapon and detained the students. No lockdown.</v>
      </c>
      <c r="AA2194" s="8" t="str">
        <f ca="1">IFERROR(__xludf.DUMMYFUNCTION("""COMPUTED_VALUE"""),"Accidental")</f>
        <v>Accidental</v>
      </c>
      <c r="AB2194" s="8"/>
      <c r="AC2194" s="8" t="str">
        <f ca="1">IFERROR(__xludf.DUMMYFUNCTION("""COMPUTED_VALUE"""),"Yes")</f>
        <v>Yes</v>
      </c>
      <c r="AD2194" s="8" t="str">
        <f ca="1">IFERROR(__xludf.DUMMYFUNCTION("""COMPUTED_VALUE"""),"Neither")</f>
        <v>Neither</v>
      </c>
      <c r="AE2194" s="8" t="str">
        <f ca="1">IFERROR(__xludf.DUMMYFUNCTION("""COMPUTED_VALUE"""),"Yes")</f>
        <v>Yes</v>
      </c>
      <c r="AF2194" s="8" t="str">
        <f ca="1">IFERROR(__xludf.DUMMYFUNCTION("""COMPUTED_VALUE"""),"Two boys were playing with the gun, boy who fired was not owner")</f>
        <v>Two boys were playing with the gun, boy who fired was not owner</v>
      </c>
      <c r="AG2194" s="8" t="str">
        <f ca="1">IFERROR(__xludf.DUMMYFUNCTION("""COMPUTED_VALUE"""),"No")</f>
        <v>No</v>
      </c>
      <c r="AH2194" s="8" t="str">
        <f ca="1">IFERROR(__xludf.DUMMYFUNCTION("""COMPUTED_VALUE"""),"No")</f>
        <v>No</v>
      </c>
      <c r="AI2194" s="8" t="str">
        <f ca="1">IFERROR(__xludf.DUMMYFUNCTION("""COMPUTED_VALUE"""),"No")</f>
        <v>No</v>
      </c>
      <c r="AJ2194" s="8" t="str">
        <f ca="1">IFERROR(__xludf.DUMMYFUNCTION("""COMPUTED_VALUE"""),"No")</f>
        <v>No</v>
      </c>
      <c r="AK2194" s="8" t="str">
        <f ca="1">IFERROR(__xludf.DUMMYFUNCTION("""COMPUTED_VALUE"""),"No")</f>
        <v>No</v>
      </c>
      <c r="AL2194" s="8" t="str">
        <f ca="1">IFERROR(__xludf.DUMMYFUNCTION("""COMPUTED_VALUE"""),"No")</f>
        <v>No</v>
      </c>
      <c r="AM2194" s="8"/>
      <c r="AN2194" s="8"/>
      <c r="AO2194" s="8" t="str">
        <f ca="1">IFERROR(__xludf.DUMMYFUNCTION("""COMPUTED_VALUE"""),"No")</f>
        <v>No</v>
      </c>
      <c r="AP2194" s="8"/>
      <c r="AQ2194" s="8" t="str">
        <f ca="1">IFERROR(__xludf.DUMMYFUNCTION("""COMPUTED_VALUE"""),"Unknown")</f>
        <v>Unknown</v>
      </c>
      <c r="AR2194" s="8" t="str">
        <f ca="1">IFERROR(__xludf.DUMMYFUNCTION("""COMPUTED_VALUE"""),"NA")</f>
        <v>NA</v>
      </c>
      <c r="AS2194" s="8">
        <f ca="1">IFERROR(__xludf.DUMMYFUNCTION("""COMPUTED_VALUE"""),1)</f>
        <v>1</v>
      </c>
      <c r="AT2194" s="8"/>
      <c r="AU2194" s="8">
        <f ca="1">IFERROR(__xludf.DUMMYFUNCTION("""COMPUTED_VALUE"""),39.342139)</f>
        <v>39.342139000000003</v>
      </c>
      <c r="AV2194" s="8">
        <f ca="1">IFERROR(__xludf.DUMMYFUNCTION("""COMPUTED_VALUE"""),-76.699447)</f>
        <v>-76.699447000000006</v>
      </c>
      <c r="AW2194" s="8"/>
      <c r="AX2194" s="8">
        <f ca="1">IFERROR(__xludf.DUMMYFUNCTION("""COMPUTED_VALUE"""),21215)</f>
        <v>21215</v>
      </c>
    </row>
    <row r="2195" spans="1:50" ht="60" x14ac:dyDescent="0.2">
      <c r="A2195" s="8" t="str">
        <f ca="1">IFERROR(__xludf.DUMMYFUNCTION("""COMPUTED_VALUE"""),"20061010NYPOP")</f>
        <v>20061010NYPOP</v>
      </c>
      <c r="B2195" s="8">
        <f ca="1">IFERROR(__xludf.DUMMYFUNCTION("""COMPUTED_VALUE"""),10)</f>
        <v>10</v>
      </c>
      <c r="C2195" s="8">
        <f ca="1">IFERROR(__xludf.DUMMYFUNCTION("""COMPUTED_VALUE"""),10)</f>
        <v>10</v>
      </c>
      <c r="D2195" s="8">
        <f ca="1">IFERROR(__xludf.DUMMYFUNCTION("""COMPUTED_VALUE"""),2006)</f>
        <v>2006</v>
      </c>
      <c r="E2195" s="9">
        <f ca="1">IFERROR(__xludf.DUMMYFUNCTION("""COMPUTED_VALUE"""),39000)</f>
        <v>39000</v>
      </c>
      <c r="F2195" s="8" t="str">
        <f ca="1">IFERROR(__xludf.DUMMYFUNCTION("""COMPUTED_VALUE"""),"Ponoma Middle School")</f>
        <v>Ponoma Middle School</v>
      </c>
      <c r="G2195" s="8">
        <f ca="1">IFERROR(__xludf.DUMMYFUNCTION("""COMPUTED_VALUE"""),0)</f>
        <v>0</v>
      </c>
      <c r="H2195" s="8">
        <f ca="1">IFERROR(__xludf.DUMMYFUNCTION("""COMPUTED_VALUE"""),2)</f>
        <v>2</v>
      </c>
      <c r="I2195" s="8">
        <f ca="1">IFERROR(__xludf.DUMMYFUNCTION("""COMPUTED_VALUE"""),2)</f>
        <v>2</v>
      </c>
      <c r="J2195" s="8">
        <f ca="1">IFERROR(__xludf.DUMMYFUNCTION("""COMPUTED_VALUE"""),0)</f>
        <v>0</v>
      </c>
      <c r="K2195" s="10" t="str">
        <f ca="1">IFERROR(__xludf.DUMMYFUNCTION("""COMPUTED_VALUE"""),"https://www.newspapers.com/image/166180631/?terms=POMONA%2BMIDDLE%2BSCHOOL")</f>
        <v>https://www.newspapers.com/image/166180631/?terms=POMONA%2BMIDDLE%2BSCHOOL</v>
      </c>
      <c r="L2195" s="8"/>
      <c r="M2195" s="8"/>
      <c r="N2195" s="8">
        <f ca="1">IFERROR(__xludf.DUMMYFUNCTION("""COMPUTED_VALUE"""),2)</f>
        <v>2</v>
      </c>
      <c r="O2195" s="8" t="str">
        <f ca="1">IFERROR(__xludf.DUMMYFUNCTION("""COMPUTED_VALUE"""),"Fall")</f>
        <v>Fall</v>
      </c>
      <c r="P2195" s="8" t="str">
        <f ca="1">IFERROR(__xludf.DUMMYFUNCTION("""COMPUTED_VALUE"""),"Pomona")</f>
        <v>Pomona</v>
      </c>
      <c r="Q2195" s="8" t="str">
        <f ca="1">IFERROR(__xludf.DUMMYFUNCTION("""COMPUTED_VALUE"""),"NY")</f>
        <v>NY</v>
      </c>
      <c r="R2195" s="8" t="str">
        <f ca="1">IFERROR(__xludf.DUMMYFUNCTION("""COMPUTED_VALUE"""),"Middle")</f>
        <v>Middle</v>
      </c>
      <c r="S2195" s="8" t="str">
        <f ca="1">IFERROR(__xludf.DUMMYFUNCTION("""COMPUTED_VALUE"""),"School Bus")</f>
        <v>School Bus</v>
      </c>
      <c r="T2195" s="8" t="str">
        <f ca="1">IFERROR(__xludf.DUMMYFUNCTION("""COMPUTED_VALUE"""),"School Bus")</f>
        <v>School Bus</v>
      </c>
      <c r="U2195" s="8" t="str">
        <f ca="1">IFERROR(__xludf.DUMMYFUNCTION("""COMPUTED_VALUE"""),"Yes")</f>
        <v>Yes</v>
      </c>
      <c r="V2195" s="8" t="str">
        <f ca="1">IFERROR(__xludf.DUMMYFUNCTION("""COMPUTED_VALUE"""),"After School")</f>
        <v>After School</v>
      </c>
      <c r="W2195" s="11">
        <f ca="1">IFERROR(__xludf.DUMMYFUNCTION("""COMPUTED_VALUE"""),0.666666666666666)</f>
        <v>0.66666666666666596</v>
      </c>
      <c r="X2195" s="8">
        <f ca="1">IFERROR(__xludf.DUMMYFUNCTION("""COMPUTED_VALUE"""),1)</f>
        <v>1</v>
      </c>
      <c r="Y2195" s="12" t="str">
        <f ca="1">IFERROR(__xludf.DUMMYFUNCTION("""COMPUTED_VALUE"""),"Student shot multiple students with BB gun on bus")</f>
        <v>Student shot multiple students with BB gun on bus</v>
      </c>
      <c r="Z2195" s="12" t="str">
        <f ca="1">IFERROR(__xludf.DUMMYFUNCTION("""COMPUTED_VALUE"""),"On the bus ride home from school, a student with a BB gun opened fire on his classmates. A 12 year-old boy was struck just under his right eye and another 12 year-old boy was shot in the back of the head.")</f>
        <v>On the bus ride home from school, a student with a BB gun opened fire on his classmates. A 12 year-old boy was struck just under his right eye and another 12 year-old boy was shot in the back of the head.</v>
      </c>
      <c r="AA2195" s="8" t="str">
        <f ca="1">IFERROR(__xludf.DUMMYFUNCTION("""COMPUTED_VALUE"""),"Unknown")</f>
        <v>Unknown</v>
      </c>
      <c r="AB2195" s="8"/>
      <c r="AC2195" s="8" t="str">
        <f ca="1">IFERROR(__xludf.DUMMYFUNCTION("""COMPUTED_VALUE"""),"Yes")</f>
        <v>Yes</v>
      </c>
      <c r="AD2195" s="8"/>
      <c r="AE2195" s="8" t="str">
        <f ca="1">IFERROR(__xludf.DUMMYFUNCTION("""COMPUTED_VALUE"""),"No")</f>
        <v>No</v>
      </c>
      <c r="AF2195" s="8"/>
      <c r="AG2195" s="8" t="str">
        <f ca="1">IFERROR(__xludf.DUMMYFUNCTION("""COMPUTED_VALUE"""),"No")</f>
        <v>No</v>
      </c>
      <c r="AH2195" s="8" t="str">
        <f ca="1">IFERROR(__xludf.DUMMYFUNCTION("""COMPUTED_VALUE"""),"No")</f>
        <v>No</v>
      </c>
      <c r="AI2195" s="8" t="str">
        <f ca="1">IFERROR(__xludf.DUMMYFUNCTION("""COMPUTED_VALUE"""),"No")</f>
        <v>No</v>
      </c>
      <c r="AJ2195" s="8"/>
      <c r="AK2195" s="8" t="str">
        <f ca="1">IFERROR(__xludf.DUMMYFUNCTION("""COMPUTED_VALUE"""),"No")</f>
        <v>No</v>
      </c>
      <c r="AL2195" s="8" t="str">
        <f ca="1">IFERROR(__xludf.DUMMYFUNCTION("""COMPUTED_VALUE"""),"No")</f>
        <v>No</v>
      </c>
      <c r="AM2195" s="8"/>
      <c r="AN2195" s="8"/>
      <c r="AO2195" s="8" t="str">
        <f ca="1">IFERROR(__xludf.DUMMYFUNCTION("""COMPUTED_VALUE"""),"No")</f>
        <v>No</v>
      </c>
      <c r="AP2195" s="8"/>
      <c r="AQ2195" s="8" t="str">
        <f ca="1">IFERROR(__xludf.DUMMYFUNCTION("""COMPUTED_VALUE"""),"Unknown")</f>
        <v>Unknown</v>
      </c>
      <c r="AR2195" s="8" t="str">
        <f ca="1">IFERROR(__xludf.DUMMYFUNCTION("""COMPUTED_VALUE"""),"NA")</f>
        <v>NA</v>
      </c>
      <c r="AS2195" s="8">
        <f ca="1">IFERROR(__xludf.DUMMYFUNCTION("""COMPUTED_VALUE"""),2)</f>
        <v>2</v>
      </c>
      <c r="AT2195" s="8"/>
      <c r="AU2195" s="8">
        <f ca="1">IFERROR(__xludf.DUMMYFUNCTION("""COMPUTED_VALUE"""),41.16614)</f>
        <v>41.166139999999999</v>
      </c>
      <c r="AV2195" s="8">
        <f ca="1">IFERROR(__xludf.DUMMYFUNCTION("""COMPUTED_VALUE"""),-74.052179)</f>
        <v>-74.052178999999995</v>
      </c>
      <c r="AW2195" s="8"/>
      <c r="AX2195" s="8">
        <f ca="1">IFERROR(__xludf.DUMMYFUNCTION("""COMPUTED_VALUE"""),10970)</f>
        <v>10970</v>
      </c>
    </row>
    <row r="2196" spans="1:50" ht="120" x14ac:dyDescent="0.2">
      <c r="A2196" s="8" t="str">
        <f ca="1">IFERROR(__xludf.DUMMYFUNCTION("""COMPUTED_VALUE"""),"20061009MOMEJ")</f>
        <v>20061009MOMEJ</v>
      </c>
      <c r="B2196" s="8">
        <f ca="1">IFERROR(__xludf.DUMMYFUNCTION("""COMPUTED_VALUE"""),10)</f>
        <v>10</v>
      </c>
      <c r="C2196" s="8">
        <f ca="1">IFERROR(__xludf.DUMMYFUNCTION("""COMPUTED_VALUE"""),9)</f>
        <v>9</v>
      </c>
      <c r="D2196" s="8">
        <f ca="1">IFERROR(__xludf.DUMMYFUNCTION("""COMPUTED_VALUE"""),2006)</f>
        <v>2006</v>
      </c>
      <c r="E2196" s="9">
        <f ca="1">IFERROR(__xludf.DUMMYFUNCTION("""COMPUTED_VALUE"""),38999)</f>
        <v>38999</v>
      </c>
      <c r="F2196" s="8" t="str">
        <f ca="1">IFERROR(__xludf.DUMMYFUNCTION("""COMPUTED_VALUE"""),"Memorial Middle School")</f>
        <v>Memorial Middle School</v>
      </c>
      <c r="G2196" s="8">
        <f ca="1">IFERROR(__xludf.DUMMYFUNCTION("""COMPUTED_VALUE"""),0)</f>
        <v>0</v>
      </c>
      <c r="H2196" s="8">
        <f ca="1">IFERROR(__xludf.DUMMYFUNCTION("""COMPUTED_VALUE"""),0)</f>
        <v>0</v>
      </c>
      <c r="I2196" s="8">
        <f ca="1">IFERROR(__xludf.DUMMYFUNCTION("""COMPUTED_VALUE"""),0)</f>
        <v>0</v>
      </c>
      <c r="J2196" s="8">
        <f ca="1">IFERROR(__xludf.DUMMYFUNCTION("""COMPUTED_VALUE"""),0)</f>
        <v>0</v>
      </c>
      <c r="K2196" s="8" t="str">
        <f ca="1">IFERROR(__xludf.DUMMYFUNCTION("""COMPUTED_VALUE"""),"http://www.joplinglobe.com/news/local_news/middle-school-shooting-suspect-claimed-he-wasn-t-targeting-anyone/article_b57ed30e-b84b-5b68-9674-f94e124853d9.html https://www.fbi.gov/file-repository/active-shooter-incidents-2000-2017.pdf")</f>
        <v>http://www.joplinglobe.com/news/local_news/middle-school-shooting-suspect-claimed-he-wasn-t-targeting-anyone/article_b57ed30e-b84b-5b68-9674-f94e124853d9.html https://www.fbi.gov/file-repository/active-shooter-incidents-2000-2017.pdf</v>
      </c>
      <c r="L2196" s="8"/>
      <c r="M2196" s="8"/>
      <c r="N2196" s="8">
        <f ca="1">IFERROR(__xludf.DUMMYFUNCTION("""COMPUTED_VALUE"""),5)</f>
        <v>5</v>
      </c>
      <c r="O2196" s="8" t="str">
        <f ca="1">IFERROR(__xludf.DUMMYFUNCTION("""COMPUTED_VALUE"""),"Fall")</f>
        <v>Fall</v>
      </c>
      <c r="P2196" s="8" t="str">
        <f ca="1">IFERROR(__xludf.DUMMYFUNCTION("""COMPUTED_VALUE"""),"Joplin")</f>
        <v>Joplin</v>
      </c>
      <c r="Q2196" s="8" t="str">
        <f ca="1">IFERROR(__xludf.DUMMYFUNCTION("""COMPUTED_VALUE"""),"MO")</f>
        <v>MO</v>
      </c>
      <c r="R2196" s="8" t="str">
        <f ca="1">IFERROR(__xludf.DUMMYFUNCTION("""COMPUTED_VALUE"""),"Middle")</f>
        <v>Middle</v>
      </c>
      <c r="S2196" s="8" t="str">
        <f ca="1">IFERROR(__xludf.DUMMYFUNCTION("""COMPUTED_VALUE"""),"Hallway")</f>
        <v>Hallway</v>
      </c>
      <c r="T2196" s="8" t="str">
        <f ca="1">IFERROR(__xludf.DUMMYFUNCTION("""COMPUTED_VALUE"""),"Inside School Building")</f>
        <v>Inside School Building</v>
      </c>
      <c r="U2196" s="8" t="str">
        <f ca="1">IFERROR(__xludf.DUMMYFUNCTION("""COMPUTED_VALUE"""),"Yes")</f>
        <v>Yes</v>
      </c>
      <c r="V2196" s="8" t="str">
        <f ca="1">IFERROR(__xludf.DUMMYFUNCTION("""COMPUTED_VALUE"""),"Morning Classes")</f>
        <v>Morning Classes</v>
      </c>
      <c r="W2196" s="11">
        <f ca="1">IFERROR(__xludf.DUMMYFUNCTION("""COMPUTED_VALUE"""),0.322916666666666)</f>
        <v>0.32291666666666602</v>
      </c>
      <c r="X2196" s="8">
        <f ca="1">IFERROR(__xludf.DUMMYFUNCTION("""COMPUTED_VALUE"""),1)</f>
        <v>1</v>
      </c>
      <c r="Y2196" s="12" t="str">
        <f ca="1">IFERROR(__xludf.DUMMYFUNCTION("""COMPUTED_VALUE"""),"Poor grades, planned attack, surrendered when confronted.")</f>
        <v>Poor grades, planned attack, surrendered when confronted.</v>
      </c>
      <c r="Z2196" s="12" t="str">
        <f ca="1">IFERROR(__xludf.DUMMYFUNCTION("""COMPUTED_VALUE"""),"Shooter dressed in camo fired single shot from assault rifle into the ceiling of the school hallway. Principal confronted the student, talked him down, and escorted him out of the school. Shooter told police he wanted to scare people and ""all of the teac"&amp;"hers"" were the targets. Shooter had been getting in trouble at home for having poor grades. Shooter had detailed maps and drawing of his plan at the school. Said there was a bomb but no device was found.")</f>
        <v>Shooter dressed in camo fired single shot from assault rifle into the ceiling of the school hallway. Principal confronted the student, talked him down, and escorted him out of the school. Shooter told police he wanted to scare people and "all of the teachers" were the targets. Shooter had been getting in trouble at home for having poor grades. Shooter had detailed maps and drawing of his plan at the school. Said there was a bomb but no device was found.</v>
      </c>
      <c r="AA2196" s="8" t="str">
        <f ca="1">IFERROR(__xludf.DUMMYFUNCTION("""COMPUTED_VALUE"""),"Anger Over Grade/Suspension/Discipline")</f>
        <v>Anger Over Grade/Suspension/Discipline</v>
      </c>
      <c r="AB2196" s="8"/>
      <c r="AC2196" s="8" t="str">
        <f ca="1">IFERROR(__xludf.DUMMYFUNCTION("""COMPUTED_VALUE"""),"Yes")</f>
        <v>Yes</v>
      </c>
      <c r="AD2196" s="8" t="str">
        <f ca="1">IFERROR(__xludf.DUMMYFUNCTION("""COMPUTED_VALUE"""),"Neither")</f>
        <v>Neither</v>
      </c>
      <c r="AE2196" s="8" t="str">
        <f ca="1">IFERROR(__xludf.DUMMYFUNCTION("""COMPUTED_VALUE"""),"No")</f>
        <v>No</v>
      </c>
      <c r="AF2196" s="8"/>
      <c r="AG2196" s="8" t="str">
        <f ca="1">IFERROR(__xludf.DUMMYFUNCTION("""COMPUTED_VALUE"""),"No")</f>
        <v>No</v>
      </c>
      <c r="AH2196" s="8" t="str">
        <f ca="1">IFERROR(__xludf.DUMMYFUNCTION("""COMPUTED_VALUE"""),"No")</f>
        <v>No</v>
      </c>
      <c r="AI2196" s="8" t="str">
        <f ca="1">IFERROR(__xludf.DUMMYFUNCTION("""COMPUTED_VALUE"""),"No")</f>
        <v>No</v>
      </c>
      <c r="AJ2196" s="8" t="str">
        <f ca="1">IFERROR(__xludf.DUMMYFUNCTION("""COMPUTED_VALUE"""),"No")</f>
        <v>No</v>
      </c>
      <c r="AK2196" s="8" t="str">
        <f ca="1">IFERROR(__xludf.DUMMYFUNCTION("""COMPUTED_VALUE"""),"No")</f>
        <v>No</v>
      </c>
      <c r="AL2196" s="8" t="str">
        <f ca="1">IFERROR(__xludf.DUMMYFUNCTION("""COMPUTED_VALUE"""),"No")</f>
        <v>No</v>
      </c>
      <c r="AM2196" s="8" t="str">
        <f ca="1">IFERROR(__xludf.DUMMYFUNCTION("""COMPUTED_VALUE"""),"Yes")</f>
        <v>Yes</v>
      </c>
      <c r="AN2196" s="8" t="str">
        <f ca="1">IFERROR(__xludf.DUMMYFUNCTION("""COMPUTED_VALUE"""),"Single Room")</f>
        <v>Single Room</v>
      </c>
      <c r="AO2196" s="8" t="str">
        <f ca="1">IFERROR(__xludf.DUMMYFUNCTION("""COMPUTED_VALUE"""),"Yes")</f>
        <v>Yes</v>
      </c>
      <c r="AP2196" s="8" t="str">
        <f ca="1">IFERROR(__xludf.DUMMYFUNCTION("""COMPUTED_VALUE"""),"No")</f>
        <v>No</v>
      </c>
      <c r="AQ2196" s="8" t="str">
        <f ca="1">IFERROR(__xludf.DUMMYFUNCTION("""COMPUTED_VALUE"""),"Unknown")</f>
        <v>Unknown</v>
      </c>
      <c r="AR2196" s="8" t="str">
        <f ca="1">IFERROR(__xludf.DUMMYFUNCTION("""COMPUTED_VALUE"""),"NA")</f>
        <v>NA</v>
      </c>
      <c r="AS2196" s="8">
        <f ca="1">IFERROR(__xludf.DUMMYFUNCTION("""COMPUTED_VALUE"""),1)</f>
        <v>1</v>
      </c>
      <c r="AT2196" s="8"/>
      <c r="AU2196" s="8">
        <f ca="1">IFERROR(__xludf.DUMMYFUNCTION("""COMPUTED_VALUE"""),37.081929)</f>
        <v>37.081929000000002</v>
      </c>
      <c r="AV2196" s="8">
        <f ca="1">IFERROR(__xludf.DUMMYFUNCTION("""COMPUTED_VALUE"""),-94.516713)</f>
        <v>-94.516712999999996</v>
      </c>
      <c r="AW2196" s="8"/>
      <c r="AX2196" s="8">
        <f ca="1">IFERROR(__xludf.DUMMYFUNCTION("""COMPUTED_VALUE"""),64801)</f>
        <v>64801</v>
      </c>
    </row>
    <row r="2197" spans="1:50" ht="120" x14ac:dyDescent="0.2">
      <c r="A2197" s="8" t="str">
        <f ca="1">IFERROR(__xludf.DUMMYFUNCTION("""COMPUTED_VALUE"""),"20061002PAWEN")</f>
        <v>20061002PAWEN</v>
      </c>
      <c r="B2197" s="8">
        <f ca="1">IFERROR(__xludf.DUMMYFUNCTION("""COMPUTED_VALUE"""),10)</f>
        <v>10</v>
      </c>
      <c r="C2197" s="8">
        <f ca="1">IFERROR(__xludf.DUMMYFUNCTION("""COMPUTED_VALUE"""),2)</f>
        <v>2</v>
      </c>
      <c r="D2197" s="8">
        <f ca="1">IFERROR(__xludf.DUMMYFUNCTION("""COMPUTED_VALUE"""),2006)</f>
        <v>2006</v>
      </c>
      <c r="E2197" s="9">
        <f ca="1">IFERROR(__xludf.DUMMYFUNCTION("""COMPUTED_VALUE"""),38992)</f>
        <v>38992</v>
      </c>
      <c r="F2197" s="8" t="str">
        <f ca="1">IFERROR(__xludf.DUMMYFUNCTION("""COMPUTED_VALUE"""),"West Nickel Mines School")</f>
        <v>West Nickel Mines School</v>
      </c>
      <c r="G2197" s="8">
        <f ca="1">IFERROR(__xludf.DUMMYFUNCTION("""COMPUTED_VALUE"""),5)</f>
        <v>5</v>
      </c>
      <c r="H2197" s="8">
        <f ca="1">IFERROR(__xludf.DUMMYFUNCTION("""COMPUTED_VALUE"""),5)</f>
        <v>5</v>
      </c>
      <c r="I2197" s="8">
        <f ca="1">IFERROR(__xludf.DUMMYFUNCTION("""COMPUTED_VALUE"""),10)</f>
        <v>10</v>
      </c>
      <c r="J2197" s="8">
        <f ca="1">IFERROR(__xludf.DUMMYFUNCTION("""COMPUTED_VALUE"""),1)</f>
        <v>1</v>
      </c>
      <c r="K2197" s="8" t="str">
        <f ca="1">IFERROR(__xludf.DUMMYFUNCTION("""COMPUTED_VALUE"""),"https://www.nytimes.com/2006/10/03/us/03amish.html https://www.fbi.gov/file-repository/active-shooter-incidents-2000-2017.pdf")</f>
        <v>https://www.nytimes.com/2006/10/03/us/03amish.html https://www.fbi.gov/file-repository/active-shooter-incidents-2000-2017.pdf</v>
      </c>
      <c r="L2197" s="8"/>
      <c r="M2197" s="8"/>
      <c r="N2197" s="8">
        <f ca="1">IFERROR(__xludf.DUMMYFUNCTION("""COMPUTED_VALUE"""),5)</f>
        <v>5</v>
      </c>
      <c r="O2197" s="8" t="str">
        <f ca="1">IFERROR(__xludf.DUMMYFUNCTION("""COMPUTED_VALUE"""),"Fall")</f>
        <v>Fall</v>
      </c>
      <c r="P2197" s="8" t="str">
        <f ca="1">IFERROR(__xludf.DUMMYFUNCTION("""COMPUTED_VALUE"""),"Nickel Mines")</f>
        <v>Nickel Mines</v>
      </c>
      <c r="Q2197" s="8" t="str">
        <f ca="1">IFERROR(__xludf.DUMMYFUNCTION("""COMPUTED_VALUE"""),"PA")</f>
        <v>PA</v>
      </c>
      <c r="R2197" s="8" t="str">
        <f ca="1">IFERROR(__xludf.DUMMYFUNCTION("""COMPUTED_VALUE"""),"K-12")</f>
        <v>K-12</v>
      </c>
      <c r="S2197" s="8" t="str">
        <f ca="1">IFERROR(__xludf.DUMMYFUNCTION("""COMPUTED_VALUE"""),"Classroom")</f>
        <v>Classroom</v>
      </c>
      <c r="T2197" s="8" t="str">
        <f ca="1">IFERROR(__xludf.DUMMYFUNCTION("""COMPUTED_VALUE"""),"Inside School Building")</f>
        <v>Inside School Building</v>
      </c>
      <c r="U2197" s="8" t="str">
        <f ca="1">IFERROR(__xludf.DUMMYFUNCTION("""COMPUTED_VALUE"""),"Yes")</f>
        <v>Yes</v>
      </c>
      <c r="V2197" s="8" t="str">
        <f ca="1">IFERROR(__xludf.DUMMYFUNCTION("""COMPUTED_VALUE"""),"Morning Classes")</f>
        <v>Morning Classes</v>
      </c>
      <c r="W2197" s="11">
        <f ca="1">IFERROR(__xludf.DUMMYFUNCTION("""COMPUTED_VALUE"""),0.463194444444444)</f>
        <v>0.46319444444444402</v>
      </c>
      <c r="X2197" s="8"/>
      <c r="Y2197" s="12" t="str">
        <f ca="1">IFERROR(__xludf.DUMMYFUNCTION("""COMPUTED_VALUE"""),"Shot girls in Amish school due to 20 year grudge")</f>
        <v>Shot girls in Amish school due to 20 year grudge</v>
      </c>
      <c r="Z2197" s="12" t="str">
        <f ca="1">IFERROR(__xludf.DUMMYFUNCTION("""COMPUTED_VALUE"""),"Shooter barricaded himself inside of Amish schoolhouse with the female students. He tied up the female students and shot them one by one before committing suicide. Shooter called wife to tell her that he was doing this because a girl had wronged him 20 ye"&amp;"ars ago. Shooter stockpiled supplies for months before the shooting. Shooter had a wife and 3 children with no prior history of mental health issues or violence. Weapons: ""9mm handgun, shotgun, 30.06 rifle")</f>
        <v>Shooter barricaded himself inside of Amish schoolhouse with the female students. He tied up the female students and shot them one by one before committing suicide. Shooter called wife to tell her that he was doing this because a girl had wronged him 20 years ago. Shooter stockpiled supplies for months before the shooting. Shooter had a wife and 3 children with no prior history of mental health issues or violence. Weapons: "9mm handgun, shotgun, 30.06 rifle</v>
      </c>
      <c r="AA2197" s="8" t="str">
        <f ca="1">IFERROR(__xludf.DUMMYFUNCTION("""COMPUTED_VALUE"""),"Indiscriminate Shooting")</f>
        <v>Indiscriminate Shooting</v>
      </c>
      <c r="AB2197" s="8"/>
      <c r="AC2197" s="8" t="str">
        <f ca="1">IFERROR(__xludf.DUMMYFUNCTION("""COMPUTED_VALUE"""),"Yes")</f>
        <v>Yes</v>
      </c>
      <c r="AD2197" s="8" t="str">
        <f ca="1">IFERROR(__xludf.DUMMYFUNCTION("""COMPUTED_VALUE"""),"Random Shooting")</f>
        <v>Random Shooting</v>
      </c>
      <c r="AE2197" s="8" t="str">
        <f ca="1">IFERROR(__xludf.DUMMYFUNCTION("""COMPUTED_VALUE"""),"No")</f>
        <v>No</v>
      </c>
      <c r="AF2197" s="8"/>
      <c r="AG2197" s="8" t="str">
        <f ca="1">IFERROR(__xludf.DUMMYFUNCTION("""COMPUTED_VALUE"""),"No")</f>
        <v>No</v>
      </c>
      <c r="AH2197" s="8" t="str">
        <f ca="1">IFERROR(__xludf.DUMMYFUNCTION("""COMPUTED_VALUE"""),"Yes")</f>
        <v>Yes</v>
      </c>
      <c r="AI2197" s="8" t="str">
        <f ca="1">IFERROR(__xludf.DUMMYFUNCTION("""COMPUTED_VALUE"""),"No")</f>
        <v>No</v>
      </c>
      <c r="AJ2197" s="8" t="str">
        <f ca="1">IFERROR(__xludf.DUMMYFUNCTION("""COMPUTED_VALUE"""),"No")</f>
        <v>No</v>
      </c>
      <c r="AK2197" s="8" t="str">
        <f ca="1">IFERROR(__xludf.DUMMYFUNCTION("""COMPUTED_VALUE"""),"Yes")</f>
        <v>Yes</v>
      </c>
      <c r="AL2197" s="8" t="str">
        <f ca="1">IFERROR(__xludf.DUMMYFUNCTION("""COMPUTED_VALUE"""),"No")</f>
        <v>No</v>
      </c>
      <c r="AM2197" s="8" t="str">
        <f ca="1">IFERROR(__xludf.DUMMYFUNCTION("""COMPUTED_VALUE"""),"Yes")</f>
        <v>Yes</v>
      </c>
      <c r="AN2197" s="8" t="str">
        <f ca="1">IFERROR(__xludf.DUMMYFUNCTION("""COMPUTED_VALUE"""),"Single Room")</f>
        <v>Single Room</v>
      </c>
      <c r="AO2197" s="8" t="str">
        <f ca="1">IFERROR(__xludf.DUMMYFUNCTION("""COMPUTED_VALUE"""),"Yes")</f>
        <v>Yes</v>
      </c>
      <c r="AP2197" s="8" t="str">
        <f ca="1">IFERROR(__xludf.DUMMYFUNCTION("""COMPUTED_VALUE"""),"No")</f>
        <v>No</v>
      </c>
      <c r="AQ2197" s="8" t="str">
        <f ca="1">IFERROR(__xludf.DUMMYFUNCTION("""COMPUTED_VALUE"""),"Unknown")</f>
        <v>Unknown</v>
      </c>
      <c r="AR2197" s="8" t="str">
        <f ca="1">IFERROR(__xludf.DUMMYFUNCTION("""COMPUTED_VALUE"""),"NA")</f>
        <v>NA</v>
      </c>
      <c r="AS2197" s="8"/>
      <c r="AT2197" s="8"/>
      <c r="AU2197" s="8">
        <f ca="1">IFERROR(__xludf.DUMMYFUNCTION("""COMPUTED_VALUE"""),39.960081)</f>
        <v>39.960081000000002</v>
      </c>
      <c r="AV2197" s="8">
        <f ca="1">IFERROR(__xludf.DUMMYFUNCTION("""COMPUTED_VALUE"""),-76.084367)</f>
        <v>-76.084367</v>
      </c>
      <c r="AW2197" s="8"/>
      <c r="AX2197" s="8">
        <f ca="1">IFERROR(__xludf.DUMMYFUNCTION("""COMPUTED_VALUE"""),17562)</f>
        <v>17562</v>
      </c>
    </row>
    <row r="2198" spans="1:50" ht="120" x14ac:dyDescent="0.2">
      <c r="A2198" s="8" t="str">
        <f ca="1">IFERROR(__xludf.DUMMYFUNCTION("""COMPUTED_VALUE"""),"20060929WIWEC")</f>
        <v>20060929WIWEC</v>
      </c>
      <c r="B2198" s="8">
        <f ca="1">IFERROR(__xludf.DUMMYFUNCTION("""COMPUTED_VALUE"""),9)</f>
        <v>9</v>
      </c>
      <c r="C2198" s="8">
        <f ca="1">IFERROR(__xludf.DUMMYFUNCTION("""COMPUTED_VALUE"""),29)</f>
        <v>29</v>
      </c>
      <c r="D2198" s="8">
        <f ca="1">IFERROR(__xludf.DUMMYFUNCTION("""COMPUTED_VALUE"""),2006)</f>
        <v>2006</v>
      </c>
      <c r="E2198" s="9">
        <f ca="1">IFERROR(__xludf.DUMMYFUNCTION("""COMPUTED_VALUE"""),38989)</f>
        <v>38989</v>
      </c>
      <c r="F2198" s="8" t="str">
        <f ca="1">IFERROR(__xludf.DUMMYFUNCTION("""COMPUTED_VALUE"""),"Weston High School")</f>
        <v>Weston High School</v>
      </c>
      <c r="G2198" s="8">
        <f ca="1">IFERROR(__xludf.DUMMYFUNCTION("""COMPUTED_VALUE"""),1)</f>
        <v>1</v>
      </c>
      <c r="H2198" s="8">
        <f ca="1">IFERROR(__xludf.DUMMYFUNCTION("""COMPUTED_VALUE"""),0)</f>
        <v>0</v>
      </c>
      <c r="I2198" s="8">
        <f ca="1">IFERROR(__xludf.DUMMYFUNCTION("""COMPUTED_VALUE"""),1)</f>
        <v>1</v>
      </c>
      <c r="J2198" s="8">
        <f ca="1">IFERROR(__xludf.DUMMYFUNCTION("""COMPUTED_VALUE"""),0)</f>
        <v>0</v>
      </c>
      <c r="K2198" s="8" t="str">
        <f ca="1">IFERROR(__xludf.DUMMYFUNCTION("""COMPUTED_VALUE"""),"http://lacrossetribune.com/news/boy-guns-down-weston-high-school-principal/article_3e54519d-96c5-5f56-a5a7-2f8f3a737dbf.html https://www.fbi.gov/file-repository/active-shooter-incidents-2000-2017.pdf https://madison.com/wsj/news/local/crime-and-courts/i-m"&amp;"-here-to-kill-somebody-student-said-before-killing/article_f099af02-d5b6-53e0-9fab-f85bcf9f176b.html")</f>
        <v>http://lacrossetribune.com/news/boy-guns-down-weston-high-school-principal/article_3e54519d-96c5-5f56-a5a7-2f8f3a737dbf.html https://www.fbi.gov/file-repository/active-shooter-incidents-2000-2017.pdf https://madison.com/wsj/news/local/crime-and-courts/i-m-here-to-kill-somebody-student-said-before-killing/article_f099af02-d5b6-53e0-9fab-f85bcf9f176b.html</v>
      </c>
      <c r="L2198" s="8"/>
      <c r="M2198" s="8"/>
      <c r="N2198" s="8">
        <f ca="1">IFERROR(__xludf.DUMMYFUNCTION("""COMPUTED_VALUE"""),5)</f>
        <v>5</v>
      </c>
      <c r="O2198" s="8" t="str">
        <f ca="1">IFERROR(__xludf.DUMMYFUNCTION("""COMPUTED_VALUE"""),"Fall")</f>
        <v>Fall</v>
      </c>
      <c r="P2198" s="8" t="str">
        <f ca="1">IFERROR(__xludf.DUMMYFUNCTION("""COMPUTED_VALUE"""),"Cazenovia")</f>
        <v>Cazenovia</v>
      </c>
      <c r="Q2198" s="8" t="str">
        <f ca="1">IFERROR(__xludf.DUMMYFUNCTION("""COMPUTED_VALUE"""),"WI")</f>
        <v>WI</v>
      </c>
      <c r="R2198" s="8" t="str">
        <f ca="1">IFERROR(__xludf.DUMMYFUNCTION("""COMPUTED_VALUE"""),"High")</f>
        <v>High</v>
      </c>
      <c r="S2198" s="8" t="str">
        <f ca="1">IFERROR(__xludf.DUMMYFUNCTION("""COMPUTED_VALUE"""),"Entryway")</f>
        <v>Entryway</v>
      </c>
      <c r="T2198" s="8" t="str">
        <f ca="1">IFERROR(__xludf.DUMMYFUNCTION("""COMPUTED_VALUE"""),"Inside School Building")</f>
        <v>Inside School Building</v>
      </c>
      <c r="U2198" s="8" t="str">
        <f ca="1">IFERROR(__xludf.DUMMYFUNCTION("""COMPUTED_VALUE"""),"Yes")</f>
        <v>Yes</v>
      </c>
      <c r="V2198" s="8" t="str">
        <f ca="1">IFERROR(__xludf.DUMMYFUNCTION("""COMPUTED_VALUE"""),"Morning Classes")</f>
        <v>Morning Classes</v>
      </c>
      <c r="W2198" s="11">
        <f ca="1">IFERROR(__xludf.DUMMYFUNCTION("""COMPUTED_VALUE"""),0.340277777777777)</f>
        <v>0.34027777777777701</v>
      </c>
      <c r="X2198" s="8">
        <f ca="1">IFERROR(__xludf.DUMMYFUNCTION("""COMPUTED_VALUE"""),1)</f>
        <v>1</v>
      </c>
      <c r="Y2198" s="12" t="str">
        <f ca="1">IFERROR(__xludf.DUMMYFUNCTION("""COMPUTED_VALUE"""),"Planned attack, disarmed by janitor then fired pistol at principal before being subdued")</f>
        <v>Planned attack, disarmed by janitor then fired pistol at principal before being subdued</v>
      </c>
      <c r="Z2198" s="12" t="str">
        <f ca="1">IFERROR(__xludf.DUMMYFUNCTION("""COMPUTED_VALUE"""),"Shooter entered school with shotgun and was immediately confronted by principal and janitor who wrestled away the shotgun. While the janitor went to call 911, the shooter was able to pull out a handgun and fire multiple shots at the principal before being"&amp;" subdued by other teachers. Reportedly abused by father and bullied by 25-30 students. History of mental illness and medications. Weapons: long-barrel shotgun, .22-caliber handgun")</f>
        <v>Shooter entered school with shotgun and was immediately confronted by principal and janitor who wrestled away the shotgun. While the janitor went to call 911, the shooter was able to pull out a handgun and fire multiple shots at the principal before being subdued by other teachers. Reportedly abused by father and bullied by 25-30 students. History of mental illness and medications. Weapons: long-barrel shotgun, .22-caliber handgun</v>
      </c>
      <c r="AA2198" s="8" t="str">
        <f ca="1">IFERROR(__xludf.DUMMYFUNCTION("""COMPUTED_VALUE"""),"Indiscriminate Shooting")</f>
        <v>Indiscriminate Shooting</v>
      </c>
      <c r="AB2198" s="8"/>
      <c r="AC2198" s="8" t="str">
        <f ca="1">IFERROR(__xludf.DUMMYFUNCTION("""COMPUTED_VALUE"""),"Yes")</f>
        <v>Yes</v>
      </c>
      <c r="AD2198" s="8" t="str">
        <f ca="1">IFERROR(__xludf.DUMMYFUNCTION("""COMPUTED_VALUE"""),"Random Shooting")</f>
        <v>Random Shooting</v>
      </c>
      <c r="AE2198" s="8" t="str">
        <f ca="1">IFERROR(__xludf.DUMMYFUNCTION("""COMPUTED_VALUE"""),"No")</f>
        <v>No</v>
      </c>
      <c r="AF2198" s="8"/>
      <c r="AG2198" s="8" t="str">
        <f ca="1">IFERROR(__xludf.DUMMYFUNCTION("""COMPUTED_VALUE"""),"No")</f>
        <v>No</v>
      </c>
      <c r="AH2198" s="8" t="str">
        <f ca="1">IFERROR(__xludf.DUMMYFUNCTION("""COMPUTED_VALUE"""),"No")</f>
        <v>No</v>
      </c>
      <c r="AI2198" s="8" t="str">
        <f ca="1">IFERROR(__xludf.DUMMYFUNCTION("""COMPUTED_VALUE"""),"No")</f>
        <v>No</v>
      </c>
      <c r="AJ2198" s="8" t="str">
        <f ca="1">IFERROR(__xludf.DUMMYFUNCTION("""COMPUTED_VALUE"""),"Yes")</f>
        <v>Yes</v>
      </c>
      <c r="AK2198" s="8" t="str">
        <f ca="1">IFERROR(__xludf.DUMMYFUNCTION("""COMPUTED_VALUE"""),"No")</f>
        <v>No</v>
      </c>
      <c r="AL2198" s="8" t="str">
        <f ca="1">IFERROR(__xludf.DUMMYFUNCTION("""COMPUTED_VALUE"""),"No")</f>
        <v>No</v>
      </c>
      <c r="AM2198" s="8" t="str">
        <f ca="1">IFERROR(__xludf.DUMMYFUNCTION("""COMPUTED_VALUE"""),"Yes")</f>
        <v>Yes</v>
      </c>
      <c r="AN2198" s="8" t="str">
        <f ca="1">IFERROR(__xludf.DUMMYFUNCTION("""COMPUTED_VALUE"""),"Hallway")</f>
        <v>Hallway</v>
      </c>
      <c r="AO2198" s="8" t="str">
        <f ca="1">IFERROR(__xludf.DUMMYFUNCTION("""COMPUTED_VALUE"""),"Yes")</f>
        <v>Yes</v>
      </c>
      <c r="AP2198" s="8" t="str">
        <f ca="1">IFERROR(__xludf.DUMMYFUNCTION("""COMPUTED_VALUE"""),"No")</f>
        <v>No</v>
      </c>
      <c r="AQ2198" s="8" t="str">
        <f ca="1">IFERROR(__xludf.DUMMYFUNCTION("""COMPUTED_VALUE"""),"Unknown")</f>
        <v>Unknown</v>
      </c>
      <c r="AR2198" s="8" t="str">
        <f ca="1">IFERROR(__xludf.DUMMYFUNCTION("""COMPUTED_VALUE"""),"NA")</f>
        <v>NA</v>
      </c>
      <c r="AS2198" s="8">
        <f ca="1">IFERROR(__xludf.DUMMYFUNCTION("""COMPUTED_VALUE"""),3)</f>
        <v>3</v>
      </c>
      <c r="AT2198" s="8"/>
      <c r="AU2198" s="8">
        <f ca="1">IFERROR(__xludf.DUMMYFUNCTION("""COMPUTED_VALUE"""),43.479975)</f>
        <v>43.479975000000003</v>
      </c>
      <c r="AV2198" s="8">
        <f ca="1">IFERROR(__xludf.DUMMYFUNCTION("""COMPUTED_VALUE"""),-90.190731)</f>
        <v>-90.190731</v>
      </c>
      <c r="AW2198" s="8"/>
      <c r="AX2198" s="8">
        <f ca="1">IFERROR(__xludf.DUMMYFUNCTION("""COMPUTED_VALUE"""),53942)</f>
        <v>53942</v>
      </c>
    </row>
    <row r="2199" spans="1:50" ht="225" x14ac:dyDescent="0.2">
      <c r="A2199" s="8" t="str">
        <f ca="1">IFERROR(__xludf.DUMMYFUNCTION("""COMPUTED_VALUE"""),"20060927COPLB")</f>
        <v>20060927COPLB</v>
      </c>
      <c r="B2199" s="8">
        <f ca="1">IFERROR(__xludf.DUMMYFUNCTION("""COMPUTED_VALUE"""),9)</f>
        <v>9</v>
      </c>
      <c r="C2199" s="8">
        <f ca="1">IFERROR(__xludf.DUMMYFUNCTION("""COMPUTED_VALUE"""),27)</f>
        <v>27</v>
      </c>
      <c r="D2199" s="8">
        <f ca="1">IFERROR(__xludf.DUMMYFUNCTION("""COMPUTED_VALUE"""),2006)</f>
        <v>2006</v>
      </c>
      <c r="E2199" s="9">
        <f ca="1">IFERROR(__xludf.DUMMYFUNCTION("""COMPUTED_VALUE"""),38987)</f>
        <v>38987</v>
      </c>
      <c r="F2199" s="8" t="str">
        <f ca="1">IFERROR(__xludf.DUMMYFUNCTION("""COMPUTED_VALUE"""),"Platte Canyon High School")</f>
        <v>Platte Canyon High School</v>
      </c>
      <c r="G2199" s="8">
        <f ca="1">IFERROR(__xludf.DUMMYFUNCTION("""COMPUTED_VALUE"""),1)</f>
        <v>1</v>
      </c>
      <c r="H2199" s="8">
        <f ca="1">IFERROR(__xludf.DUMMYFUNCTION("""COMPUTED_VALUE"""),0)</f>
        <v>0</v>
      </c>
      <c r="I2199" s="8">
        <f ca="1">IFERROR(__xludf.DUMMYFUNCTION("""COMPUTED_VALUE"""),1)</f>
        <v>1</v>
      </c>
      <c r="J2199" s="8">
        <f ca="1">IFERROR(__xludf.DUMMYFUNCTION("""COMPUTED_VALUE"""),1)</f>
        <v>1</v>
      </c>
      <c r="K2199" s="8" t="str">
        <f ca="1">IFERROR(__xludf.DUMMYFUNCTION("""COMPUTED_VALUE"""),"https://www.denverpost.com/2021/03/24/colorado-mass-shootings-incidents-list/ https://www.cbsnews.com/news/cops-school-shooting-was-horrific/  http://www.cnn.com/2006/US/09/28/school.shooting/index.html")</f>
        <v>https://www.denverpost.com/2021/03/24/colorado-mass-shootings-incidents-list/ https://www.cbsnews.com/news/cops-school-shooting-was-horrific/  http://www.cnn.com/2006/US/09/28/school.shooting/index.html</v>
      </c>
      <c r="L2199" s="8"/>
      <c r="M2199" s="8" t="str">
        <f ca="1">IFERROR(__xludf.DUMMYFUNCTION("""COMPUTED_VALUE"""),"National")</f>
        <v>National</v>
      </c>
      <c r="N2199" s="8">
        <f ca="1">IFERROR(__xludf.DUMMYFUNCTION("""COMPUTED_VALUE"""),4)</f>
        <v>4</v>
      </c>
      <c r="O2199" s="8" t="str">
        <f ca="1">IFERROR(__xludf.DUMMYFUNCTION("""COMPUTED_VALUE"""),"Fall")</f>
        <v>Fall</v>
      </c>
      <c r="P2199" s="8" t="str">
        <f ca="1">IFERROR(__xludf.DUMMYFUNCTION("""COMPUTED_VALUE"""),"Bailey")</f>
        <v>Bailey</v>
      </c>
      <c r="Q2199" s="8" t="str">
        <f ca="1">IFERROR(__xludf.DUMMYFUNCTION("""COMPUTED_VALUE"""),"CO")</f>
        <v>CO</v>
      </c>
      <c r="R2199" s="8" t="str">
        <f ca="1">IFERROR(__xludf.DUMMYFUNCTION("""COMPUTED_VALUE"""),"High")</f>
        <v>High</v>
      </c>
      <c r="S2199" s="8" t="str">
        <f ca="1">IFERROR(__xludf.DUMMYFUNCTION("""COMPUTED_VALUE"""),"Classroom")</f>
        <v>Classroom</v>
      </c>
      <c r="T2199" s="8" t="str">
        <f ca="1">IFERROR(__xludf.DUMMYFUNCTION("""COMPUTED_VALUE"""),"Inside School Building")</f>
        <v>Inside School Building</v>
      </c>
      <c r="U2199" s="8" t="str">
        <f ca="1">IFERROR(__xludf.DUMMYFUNCTION("""COMPUTED_VALUE"""),"Yes")</f>
        <v>Yes</v>
      </c>
      <c r="V2199" s="8" t="str">
        <f ca="1">IFERROR(__xludf.DUMMYFUNCTION("""COMPUTED_VALUE"""),"Morning Classes")</f>
        <v>Morning Classes</v>
      </c>
      <c r="W2199" s="11">
        <f ca="1">IFERROR(__xludf.DUMMYFUNCTION("""COMPUTED_VALUE"""),0.486111111111111)</f>
        <v>0.48611111111111099</v>
      </c>
      <c r="X2199" s="8">
        <f ca="1">IFERROR(__xludf.DUMMYFUNCTION("""COMPUTED_VALUE"""),260)</f>
        <v>260</v>
      </c>
      <c r="Y2199" s="12" t="str">
        <f ca="1">IFERROR(__xludf.DUMMYFUNCTION("""COMPUTED_VALUE"""),"Took 6 girls hostage in classroom and sexually assaulted them")</f>
        <v>Took 6 girls hostage in classroom and sexually assaulted them</v>
      </c>
      <c r="Z2199" s="12" t="str">
        <f ca="1">IFERROR(__xludf.DUMMYFUNCTION("""COMPUTED_VALUE"""),"Shooter took 6 girl hostage in a school classroom. Sexually assaulted at least one of them. SWAT team used an explosive breach after he stopped communicating with the negotiators. The breaching charge partially failed and while the second charge was being"&amp;" set, the shooter shot one of the victims in the head and then shot himself. Police located 5 firearms that the shooter had staged around the school campus including an AR and bolt action hunting rifle in the treeline. The shooter had a history of petty c"&amp;"rimes and harassment of women. The shooter did not have connections to any of the victims. Shooter had threatened to shoot up a Harley Davidson dealership after they had sent him a promotional mailer. Weapons: Smith &amp; Wesson .40-caliber; Glock 22 handgun;"&amp;" Smith &amp; Wesson .357-caliber revolver")</f>
        <v>Shooter took 6 girl hostage in a school classroom. Sexually assaulted at least one of them. SWAT team used an explosive breach after he stopped communicating with the negotiators. The breaching charge partially failed and while the second charge was being set, the shooter shot one of the victims in the head and then shot himself. Police located 5 firearms that the shooter had staged around the school campus including an AR and bolt action hunting rifle in the treeline. The shooter had a history of petty crimes and harassment of women. The shooter did not have connections to any of the victims. Shooter had threatened to shoot up a Harley Davidson dealership after they had sent him a promotional mailer. Weapons: Smith &amp; Wesson .40-caliber; Glock 22 handgun; Smith &amp; Wesson .357-caliber revolver</v>
      </c>
      <c r="AA2199" s="8" t="str">
        <f ca="1">IFERROR(__xludf.DUMMYFUNCTION("""COMPUTED_VALUE"""),"Hostage/Standoff")</f>
        <v>Hostage/Standoff</v>
      </c>
      <c r="AB2199" s="8"/>
      <c r="AC2199" s="8" t="str">
        <f ca="1">IFERROR(__xludf.DUMMYFUNCTION("""COMPUTED_VALUE"""),"Yes")</f>
        <v>Yes</v>
      </c>
      <c r="AD2199" s="8" t="str">
        <f ca="1">IFERROR(__xludf.DUMMYFUNCTION("""COMPUTED_VALUE"""),"Victims Targeted")</f>
        <v>Victims Targeted</v>
      </c>
      <c r="AE2199" s="8" t="str">
        <f ca="1">IFERROR(__xludf.DUMMYFUNCTION("""COMPUTED_VALUE"""),"No")</f>
        <v>No</v>
      </c>
      <c r="AF2199" s="8"/>
      <c r="AG2199" s="8" t="str">
        <f ca="1">IFERROR(__xludf.DUMMYFUNCTION("""COMPUTED_VALUE"""),"Yes")</f>
        <v>Yes</v>
      </c>
      <c r="AH2199" s="8" t="str">
        <f ca="1">IFERROR(__xludf.DUMMYFUNCTION("""COMPUTED_VALUE"""),"Yes")</f>
        <v>Yes</v>
      </c>
      <c r="AI2199" s="8" t="str">
        <f ca="1">IFERROR(__xludf.DUMMYFUNCTION("""COMPUTED_VALUE"""),"No")</f>
        <v>No</v>
      </c>
      <c r="AJ2199" s="8" t="str">
        <f ca="1">IFERROR(__xludf.DUMMYFUNCTION("""COMPUTED_VALUE"""),"No")</f>
        <v>No</v>
      </c>
      <c r="AK2199" s="8" t="str">
        <f ca="1">IFERROR(__xludf.DUMMYFUNCTION("""COMPUTED_VALUE"""),"No")</f>
        <v>No</v>
      </c>
      <c r="AL2199" s="8" t="str">
        <f ca="1">IFERROR(__xludf.DUMMYFUNCTION("""COMPUTED_VALUE"""),"No")</f>
        <v>No</v>
      </c>
      <c r="AM2199" s="8" t="str">
        <f ca="1">IFERROR(__xludf.DUMMYFUNCTION("""COMPUTED_VALUE"""),"Yes")</f>
        <v>Yes</v>
      </c>
      <c r="AN2199" s="8" t="str">
        <f ca="1">IFERROR(__xludf.DUMMYFUNCTION("""COMPUTED_VALUE"""),"Single Room")</f>
        <v>Single Room</v>
      </c>
      <c r="AO2199" s="8" t="str">
        <f ca="1">IFERROR(__xludf.DUMMYFUNCTION("""COMPUTED_VALUE"""),"Yes")</f>
        <v>Yes</v>
      </c>
      <c r="AP2199" s="8" t="str">
        <f ca="1">IFERROR(__xludf.DUMMYFUNCTION("""COMPUTED_VALUE"""),"No")</f>
        <v>No</v>
      </c>
      <c r="AQ2199" s="8" t="str">
        <f ca="1">IFERROR(__xludf.DUMMYFUNCTION("""COMPUTED_VALUE"""),"Unknown")</f>
        <v>Unknown</v>
      </c>
      <c r="AR2199" s="8" t="str">
        <f ca="1">IFERROR(__xludf.DUMMYFUNCTION("""COMPUTED_VALUE"""),"NA")</f>
        <v>NA</v>
      </c>
      <c r="AS2199" s="8"/>
      <c r="AT2199" s="8"/>
      <c r="AU2199" s="8">
        <f ca="1">IFERROR(__xludf.DUMMYFUNCTION("""COMPUTED_VALUE"""),39.420815)</f>
        <v>39.420814999999997</v>
      </c>
      <c r="AV2199" s="8">
        <f ca="1">IFERROR(__xludf.DUMMYFUNCTION("""COMPUTED_VALUE"""),-105.532342)</f>
        <v>-105.532342</v>
      </c>
      <c r="AW2199" s="8"/>
      <c r="AX2199" s="8">
        <f ca="1">IFERROR(__xludf.DUMMYFUNCTION("""COMPUTED_VALUE"""),80421)</f>
        <v>80421</v>
      </c>
    </row>
    <row r="2200" spans="1:50" ht="45" x14ac:dyDescent="0.2">
      <c r="A2200" s="8" t="str">
        <f ca="1">IFERROR(__xludf.DUMMYFUNCTION("""COMPUTED_VALUE"""),"20060921DCCAW")</f>
        <v>20060921DCCAW</v>
      </c>
      <c r="B2200" s="8">
        <f ca="1">IFERROR(__xludf.DUMMYFUNCTION("""COMPUTED_VALUE"""),9)</f>
        <v>9</v>
      </c>
      <c r="C2200" s="8">
        <f ca="1">IFERROR(__xludf.DUMMYFUNCTION("""COMPUTED_VALUE"""),21)</f>
        <v>21</v>
      </c>
      <c r="D2200" s="8">
        <f ca="1">IFERROR(__xludf.DUMMYFUNCTION("""COMPUTED_VALUE"""),2006)</f>
        <v>2006</v>
      </c>
      <c r="E2200" s="9">
        <f ca="1">IFERROR(__xludf.DUMMYFUNCTION("""COMPUTED_VALUE"""),38981)</f>
        <v>38981</v>
      </c>
      <c r="F2200" s="8" t="str">
        <f ca="1">IFERROR(__xludf.DUMMYFUNCTION("""COMPUTED_VALUE"""),"Cardozo High School")</f>
        <v>Cardozo High School</v>
      </c>
      <c r="G2200" s="8">
        <f ca="1">IFERROR(__xludf.DUMMYFUNCTION("""COMPUTED_VALUE"""),0)</f>
        <v>0</v>
      </c>
      <c r="H2200" s="8">
        <f ca="1">IFERROR(__xludf.DUMMYFUNCTION("""COMPUTED_VALUE"""),1)</f>
        <v>1</v>
      </c>
      <c r="I2200" s="8">
        <f ca="1">IFERROR(__xludf.DUMMYFUNCTION("""COMPUTED_VALUE"""),1)</f>
        <v>1</v>
      </c>
      <c r="J2200" s="8">
        <f ca="1">IFERROR(__xludf.DUMMYFUNCTION("""COMPUTED_VALUE"""),0)</f>
        <v>0</v>
      </c>
      <c r="K2200" s="10" t="str">
        <f ca="1">IFERROR(__xludf.DUMMYFUNCTION("""COMPUTED_VALUE"""),"http://www.washingtonpost.com/wp-dyn/content/article/2006/09/23/AR2006092301174.html")</f>
        <v>http://www.washingtonpost.com/wp-dyn/content/article/2006/09/23/AR2006092301174.html</v>
      </c>
      <c r="L2200" s="8"/>
      <c r="M2200" s="8"/>
      <c r="N2200" s="8">
        <f ca="1">IFERROR(__xludf.DUMMYFUNCTION("""COMPUTED_VALUE"""),2)</f>
        <v>2</v>
      </c>
      <c r="O2200" s="8" t="str">
        <f ca="1">IFERROR(__xludf.DUMMYFUNCTION("""COMPUTED_VALUE"""),"Fall")</f>
        <v>Fall</v>
      </c>
      <c r="P2200" s="8" t="str">
        <f ca="1">IFERROR(__xludf.DUMMYFUNCTION("""COMPUTED_VALUE"""),"Washington")</f>
        <v>Washington</v>
      </c>
      <c r="Q2200" s="8" t="str">
        <f ca="1">IFERROR(__xludf.DUMMYFUNCTION("""COMPUTED_VALUE"""),"DC")</f>
        <v>DC</v>
      </c>
      <c r="R2200" s="8" t="str">
        <f ca="1">IFERROR(__xludf.DUMMYFUNCTION("""COMPUTED_VALUE"""),"High")</f>
        <v>High</v>
      </c>
      <c r="S2200" s="8" t="str">
        <f ca="1">IFERROR(__xludf.DUMMYFUNCTION("""COMPUTED_VALUE"""),"Beside Building")</f>
        <v>Beside Building</v>
      </c>
      <c r="T2200" s="8" t="str">
        <f ca="1">IFERROR(__xludf.DUMMYFUNCTION("""COMPUTED_VALUE"""),"Outside on School Property")</f>
        <v>Outside on School Property</v>
      </c>
      <c r="U2200" s="8" t="str">
        <f ca="1">IFERROR(__xludf.DUMMYFUNCTION("""COMPUTED_VALUE"""),"Yes")</f>
        <v>Yes</v>
      </c>
      <c r="V2200" s="8" t="str">
        <f ca="1">IFERROR(__xludf.DUMMYFUNCTION("""COMPUTED_VALUE"""),"Lunch")</f>
        <v>Lunch</v>
      </c>
      <c r="W2200" s="11">
        <f ca="1">IFERROR(__xludf.DUMMYFUNCTION("""COMPUTED_VALUE"""),0.510416666666666)</f>
        <v>0.51041666666666596</v>
      </c>
      <c r="X2200" s="8">
        <f ca="1">IFERROR(__xludf.DUMMYFUNCTION("""COMPUTED_VALUE"""),1)</f>
        <v>1</v>
      </c>
      <c r="Y2200" s="12" t="str">
        <f ca="1">IFERROR(__xludf.DUMMYFUNCTION("""COMPUTED_VALUE"""),"Argument over girl resulted in targeted shooting")</f>
        <v>Argument over girl resulted in targeted shooting</v>
      </c>
      <c r="Z2200" s="12" t="str">
        <f ca="1">IFERROR(__xludf.DUMMYFUNCTION("""COMPUTED_VALUE"""),"17YOM shot 16YOM outside of the school. Shooter and victim had ongoing argument over a girl. Shooter fled the scene and was identified by CCTV footage.")</f>
        <v>17YOM shot 16YOM outside of the school. Shooter and victim had ongoing argument over a girl. Shooter fled the scene and was identified by CCTV footage.</v>
      </c>
      <c r="AA2200" s="8" t="str">
        <f ca="1">IFERROR(__xludf.DUMMYFUNCTION("""COMPUTED_VALUE"""),"Escalation of Dispute")</f>
        <v>Escalation of Dispute</v>
      </c>
      <c r="AB2200" s="8"/>
      <c r="AC2200" s="8" t="str">
        <f ca="1">IFERROR(__xludf.DUMMYFUNCTION("""COMPUTED_VALUE"""),"Yes")</f>
        <v>Yes</v>
      </c>
      <c r="AD2200" s="8" t="str">
        <f ca="1">IFERROR(__xludf.DUMMYFUNCTION("""COMPUTED_VALUE"""),"Victims Targeted")</f>
        <v>Victims Targeted</v>
      </c>
      <c r="AE2200" s="8" t="str">
        <f ca="1">IFERROR(__xludf.DUMMYFUNCTION("""COMPUTED_VALUE"""),"No")</f>
        <v>No</v>
      </c>
      <c r="AF2200" s="8"/>
      <c r="AG2200" s="8" t="str">
        <f ca="1">IFERROR(__xludf.DUMMYFUNCTION("""COMPUTED_VALUE"""),"No")</f>
        <v>No</v>
      </c>
      <c r="AH2200" s="8" t="str">
        <f ca="1">IFERROR(__xludf.DUMMYFUNCTION("""COMPUTED_VALUE"""),"No")</f>
        <v>No</v>
      </c>
      <c r="AI2200" s="8" t="str">
        <f ca="1">IFERROR(__xludf.DUMMYFUNCTION("""COMPUTED_VALUE"""),"No")</f>
        <v>No</v>
      </c>
      <c r="AJ2200" s="8" t="str">
        <f ca="1">IFERROR(__xludf.DUMMYFUNCTION("""COMPUTED_VALUE"""),"No")</f>
        <v>No</v>
      </c>
      <c r="AK2200" s="8" t="str">
        <f ca="1">IFERROR(__xludf.DUMMYFUNCTION("""COMPUTED_VALUE"""),"No")</f>
        <v>No</v>
      </c>
      <c r="AL2200" s="8" t="str">
        <f ca="1">IFERROR(__xludf.DUMMYFUNCTION("""COMPUTED_VALUE"""),"No")</f>
        <v>No</v>
      </c>
      <c r="AM2200" s="8"/>
      <c r="AN2200" s="8"/>
      <c r="AO2200" s="8" t="str">
        <f ca="1">IFERROR(__xludf.DUMMYFUNCTION("""COMPUTED_VALUE"""),"No")</f>
        <v>No</v>
      </c>
      <c r="AP2200" s="8"/>
      <c r="AQ2200" s="8" t="str">
        <f ca="1">IFERROR(__xludf.DUMMYFUNCTION("""COMPUTED_VALUE"""),"Unknown")</f>
        <v>Unknown</v>
      </c>
      <c r="AR2200" s="8" t="str">
        <f ca="1">IFERROR(__xludf.DUMMYFUNCTION("""COMPUTED_VALUE"""),"NA")</f>
        <v>NA</v>
      </c>
      <c r="AS2200" s="8">
        <f ca="1">IFERROR(__xludf.DUMMYFUNCTION("""COMPUTED_VALUE"""),7)</f>
        <v>7</v>
      </c>
      <c r="AT2200" s="8"/>
      <c r="AU2200" s="8">
        <f ca="1">IFERROR(__xludf.DUMMYFUNCTION("""COMPUTED_VALUE"""),38.922127)</f>
        <v>38.922127000000003</v>
      </c>
      <c r="AV2200" s="8">
        <f ca="1">IFERROR(__xludf.DUMMYFUNCTION("""COMPUTED_VALUE"""),-77.028386)</f>
        <v>-77.028385999999998</v>
      </c>
      <c r="AW2200" s="8"/>
      <c r="AX2200" s="8">
        <f ca="1">IFERROR(__xludf.DUMMYFUNCTION("""COMPUTED_VALUE"""),20009)</f>
        <v>20009</v>
      </c>
    </row>
    <row r="2201" spans="1:50" ht="120" x14ac:dyDescent="0.2">
      <c r="A2201" s="8" t="str">
        <f ca="1">IFERROR(__xludf.DUMMYFUNCTION("""COMPUTED_VALUE"""),"20060913MOWEC")</f>
        <v>20060913MOWEC</v>
      </c>
      <c r="B2201" s="8">
        <f ca="1">IFERROR(__xludf.DUMMYFUNCTION("""COMPUTED_VALUE"""),9)</f>
        <v>9</v>
      </c>
      <c r="C2201" s="8">
        <f ca="1">IFERROR(__xludf.DUMMYFUNCTION("""COMPUTED_VALUE"""),13)</f>
        <v>13</v>
      </c>
      <c r="D2201" s="8">
        <f ca="1">IFERROR(__xludf.DUMMYFUNCTION("""COMPUTED_VALUE"""),2006)</f>
        <v>2006</v>
      </c>
      <c r="E2201" s="9">
        <f ca="1">IFERROR(__xludf.DUMMYFUNCTION("""COMPUTED_VALUE"""),38973)</f>
        <v>38973</v>
      </c>
      <c r="F2201" s="8" t="str">
        <f ca="1">IFERROR(__xludf.DUMMYFUNCTION("""COMPUTED_VALUE"""),"Westminster Christian Academy")</f>
        <v>Westminster Christian Academy</v>
      </c>
      <c r="G2201" s="8">
        <f ca="1">IFERROR(__xludf.DUMMYFUNCTION("""COMPUTED_VALUE"""),0)</f>
        <v>0</v>
      </c>
      <c r="H2201" s="8">
        <f ca="1">IFERROR(__xludf.DUMMYFUNCTION("""COMPUTED_VALUE"""),0)</f>
        <v>0</v>
      </c>
      <c r="I2201" s="8">
        <f ca="1">IFERROR(__xludf.DUMMYFUNCTION("""COMPUTED_VALUE"""),0)</f>
        <v>0</v>
      </c>
      <c r="J2201" s="8">
        <f ca="1">IFERROR(__xludf.DUMMYFUNCTION("""COMPUTED_VALUE"""),0)</f>
        <v>0</v>
      </c>
      <c r="K2201" s="10" t="str">
        <f ca="1">IFERROR(__xludf.DUMMYFUNCTION("""COMPUTED_VALUE"""),"https://www.newspapers.com/image/151778408/?terms=westminster%2Bchristian%2Bacademy")</f>
        <v>https://www.newspapers.com/image/151778408/?terms=westminster%2Bchristian%2Bacademy</v>
      </c>
      <c r="L2201" s="8"/>
      <c r="M2201" s="8"/>
      <c r="N2201" s="8">
        <f ca="1">IFERROR(__xludf.DUMMYFUNCTION("""COMPUTED_VALUE"""),2)</f>
        <v>2</v>
      </c>
      <c r="O2201" s="8" t="str">
        <f ca="1">IFERROR(__xludf.DUMMYFUNCTION("""COMPUTED_VALUE"""),"Fall")</f>
        <v>Fall</v>
      </c>
      <c r="P2201" s="8" t="str">
        <f ca="1">IFERROR(__xludf.DUMMYFUNCTION("""COMPUTED_VALUE"""),"Creve Coeur")</f>
        <v>Creve Coeur</v>
      </c>
      <c r="Q2201" s="8" t="str">
        <f ca="1">IFERROR(__xludf.DUMMYFUNCTION("""COMPUTED_VALUE"""),"MO")</f>
        <v>MO</v>
      </c>
      <c r="R2201" s="8" t="str">
        <f ca="1">IFERROR(__xludf.DUMMYFUNCTION("""COMPUTED_VALUE"""),"High")</f>
        <v>High</v>
      </c>
      <c r="S2201" s="8" t="str">
        <f ca="1">IFERROR(__xludf.DUMMYFUNCTION("""COMPUTED_VALUE"""),"Beside Building")</f>
        <v>Beside Building</v>
      </c>
      <c r="T2201" s="8" t="str">
        <f ca="1">IFERROR(__xludf.DUMMYFUNCTION("""COMPUTED_VALUE"""),"Outside on School Property")</f>
        <v>Outside on School Property</v>
      </c>
      <c r="U2201" s="8" t="str">
        <f ca="1">IFERROR(__xludf.DUMMYFUNCTION("""COMPUTED_VALUE"""),"No")</f>
        <v>No</v>
      </c>
      <c r="V2201" s="8" t="str">
        <f ca="1">IFERROR(__xludf.DUMMYFUNCTION("""COMPUTED_VALUE"""),"After School")</f>
        <v>After School</v>
      </c>
      <c r="W2201" s="8"/>
      <c r="X2201" s="8"/>
      <c r="Y2201" s="12" t="str">
        <f ca="1">IFERROR(__xludf.DUMMYFUNCTION("""COMPUTED_VALUE"""),"Police Officer fired at student who was suicidal")</f>
        <v>Police Officer fired at student who was suicidal</v>
      </c>
      <c r="Z2201" s="12" t="str">
        <f ca="1">IFERROR(__xludf.DUMMYFUNCTION("""COMPUTED_VALUE"""),"When the police arrived, the senior was sitting on the curb with a rifle to his head. One of the officers began talking with him. During the conversation, he pointed the rifle at the police officers. They told him to drop the rifle. When he refused, one o"&amp;"f the officers shot him in the leg and ended the standoff around 3:45 p.m. Shooter had sent text messages to other students saying he was going to commit suicide.")</f>
        <v>When the police arrived, the senior was sitting on the curb with a rifle to his head. One of the officers began talking with him. During the conversation, he pointed the rifle at the police officers. They told him to drop the rifle. When he refused, one of the officers shot him in the leg and ended the standoff around 3:45 p.m. Shooter had sent text messages to other students saying he was going to commit suicide.</v>
      </c>
      <c r="AA2201" s="8" t="str">
        <f ca="1">IFERROR(__xludf.DUMMYFUNCTION("""COMPUTED_VALUE"""),"Suicide/Attempted")</f>
        <v>Suicide/Attempted</v>
      </c>
      <c r="AB2201" s="8"/>
      <c r="AC2201" s="8" t="str">
        <f ca="1">IFERROR(__xludf.DUMMYFUNCTION("""COMPUTED_VALUE"""),"Yes")</f>
        <v>Yes</v>
      </c>
      <c r="AD2201" s="8" t="str">
        <f ca="1">IFERROR(__xludf.DUMMYFUNCTION("""COMPUTED_VALUE"""),"Victims Targeted")</f>
        <v>Victims Targeted</v>
      </c>
      <c r="AE2201" s="8" t="str">
        <f ca="1">IFERROR(__xludf.DUMMYFUNCTION("""COMPUTED_VALUE"""),"No")</f>
        <v>No</v>
      </c>
      <c r="AF2201" s="8"/>
      <c r="AG2201" s="8" t="str">
        <f ca="1">IFERROR(__xludf.DUMMYFUNCTION("""COMPUTED_VALUE"""),"No")</f>
        <v>No</v>
      </c>
      <c r="AH2201" s="8" t="str">
        <f ca="1">IFERROR(__xludf.DUMMYFUNCTION("""COMPUTED_VALUE"""),"No")</f>
        <v>No</v>
      </c>
      <c r="AI2201" s="8" t="str">
        <f ca="1">IFERROR(__xludf.DUMMYFUNCTION("""COMPUTED_VALUE"""),"Yes")</f>
        <v>Yes</v>
      </c>
      <c r="AJ2201" s="8"/>
      <c r="AK2201" s="8"/>
      <c r="AL2201" s="8"/>
      <c r="AM2201" s="8"/>
      <c r="AN2201" s="8"/>
      <c r="AO2201" s="8" t="str">
        <f ca="1">IFERROR(__xludf.DUMMYFUNCTION("""COMPUTED_VALUE"""),"No")</f>
        <v>No</v>
      </c>
      <c r="AP2201" s="8"/>
      <c r="AQ2201" s="8"/>
      <c r="AR2201" s="8"/>
      <c r="AS2201" s="8">
        <f ca="1">IFERROR(__xludf.DUMMYFUNCTION("""COMPUTED_VALUE"""),1)</f>
        <v>1</v>
      </c>
      <c r="AT2201" s="8"/>
      <c r="AU2201" s="8">
        <f ca="1">IFERROR(__xludf.DUMMYFUNCTION("""COMPUTED_VALUE"""),38.63701)</f>
        <v>38.637009999999997</v>
      </c>
      <c r="AV2201" s="8">
        <f ca="1">IFERROR(__xludf.DUMMYFUNCTION("""COMPUTED_VALUE"""),-90.503517)</f>
        <v>-90.503517000000002</v>
      </c>
      <c r="AW2201" s="8"/>
      <c r="AX2201" s="8">
        <f ca="1">IFERROR(__xludf.DUMMYFUNCTION("""COMPUTED_VALUE"""),63006)</f>
        <v>63006</v>
      </c>
    </row>
    <row r="2202" spans="1:50" ht="75" x14ac:dyDescent="0.2">
      <c r="A2202" s="8" t="str">
        <f ca="1">IFERROR(__xludf.DUMMYFUNCTION("""COMPUTED_VALUE"""),"20060908TXSOF")</f>
        <v>20060908TXSOF</v>
      </c>
      <c r="B2202" s="8">
        <f ca="1">IFERROR(__xludf.DUMMYFUNCTION("""COMPUTED_VALUE"""),9)</f>
        <v>9</v>
      </c>
      <c r="C2202" s="8">
        <f ca="1">IFERROR(__xludf.DUMMYFUNCTION("""COMPUTED_VALUE"""),8)</f>
        <v>8</v>
      </c>
      <c r="D2202" s="8">
        <f ca="1">IFERROR(__xludf.DUMMYFUNCTION("""COMPUTED_VALUE"""),2006)</f>
        <v>2006</v>
      </c>
      <c r="E2202" s="9">
        <f ca="1">IFERROR(__xludf.DUMMYFUNCTION("""COMPUTED_VALUE"""),38968)</f>
        <v>38968</v>
      </c>
      <c r="F2202" s="8" t="str">
        <f ca="1">IFERROR(__xludf.DUMMYFUNCTION("""COMPUTED_VALUE"""),"South Hills High School")</f>
        <v>South Hills High School</v>
      </c>
      <c r="G2202" s="8">
        <f ca="1">IFERROR(__xludf.DUMMYFUNCTION("""COMPUTED_VALUE"""),0)</f>
        <v>0</v>
      </c>
      <c r="H2202" s="8">
        <f ca="1">IFERROR(__xludf.DUMMYFUNCTION("""COMPUTED_VALUE"""),1)</f>
        <v>1</v>
      </c>
      <c r="I2202" s="8">
        <f ca="1">IFERROR(__xludf.DUMMYFUNCTION("""COMPUTED_VALUE"""),1)</f>
        <v>1</v>
      </c>
      <c r="J2202" s="8">
        <f ca="1">IFERROR(__xludf.DUMMYFUNCTION("""COMPUTED_VALUE"""),0)</f>
        <v>0</v>
      </c>
      <c r="K2202" s="10" t="str">
        <f ca="1">IFERROR(__xludf.DUMMYFUNCTION("""COMPUTED_VALUE"""),"https://www.amazon.com/WIN-Memoir-Shooting-Gabe-Medrano/dp/1432793624")</f>
        <v>https://www.amazon.com/WIN-Memoir-Shooting-Gabe-Medrano/dp/1432793624</v>
      </c>
      <c r="L2202" s="8"/>
      <c r="M2202" s="8"/>
      <c r="N2202" s="8">
        <f ca="1">IFERROR(__xludf.DUMMYFUNCTION("""COMPUTED_VALUE"""),2)</f>
        <v>2</v>
      </c>
      <c r="O2202" s="8" t="str">
        <f ca="1">IFERROR(__xludf.DUMMYFUNCTION("""COMPUTED_VALUE"""),"Fall")</f>
        <v>Fall</v>
      </c>
      <c r="P2202" s="8" t="str">
        <f ca="1">IFERROR(__xludf.DUMMYFUNCTION("""COMPUTED_VALUE"""),"Fort Worth")</f>
        <v>Fort Worth</v>
      </c>
      <c r="Q2202" s="8" t="str">
        <f ca="1">IFERROR(__xludf.DUMMYFUNCTION("""COMPUTED_VALUE"""),"TX")</f>
        <v>TX</v>
      </c>
      <c r="R2202" s="8" t="str">
        <f ca="1">IFERROR(__xludf.DUMMYFUNCTION("""COMPUTED_VALUE"""),"High")</f>
        <v>High</v>
      </c>
      <c r="S2202" s="8" t="str">
        <f ca="1">IFERROR(__xludf.DUMMYFUNCTION("""COMPUTED_VALUE"""),"Field (General)")</f>
        <v>Field (General)</v>
      </c>
      <c r="T2202" s="8" t="str">
        <f ca="1">IFERROR(__xludf.DUMMYFUNCTION("""COMPUTED_VALUE"""),"Outside on School Property")</f>
        <v>Outside on School Property</v>
      </c>
      <c r="U2202" s="8" t="str">
        <f ca="1">IFERROR(__xludf.DUMMYFUNCTION("""COMPUTED_VALUE"""),"Yes")</f>
        <v>Yes</v>
      </c>
      <c r="V2202" s="8" t="str">
        <f ca="1">IFERROR(__xludf.DUMMYFUNCTION("""COMPUTED_VALUE"""),"Afternoon Classes")</f>
        <v>Afternoon Classes</v>
      </c>
      <c r="W2202" s="11">
        <f ca="1">IFERROR(__xludf.DUMMYFUNCTION("""COMPUTED_VALUE"""),0.555555555555555)</f>
        <v>0.55555555555555503</v>
      </c>
      <c r="X2202" s="8">
        <f ca="1">IFERROR(__xludf.DUMMYFUNCTION("""COMPUTED_VALUE"""),1)</f>
        <v>1</v>
      </c>
      <c r="Y2202" s="12" t="str">
        <f ca="1">IFERROR(__xludf.DUMMYFUNCTION("""COMPUTED_VALUE"""),"SRO fired at student while breaking up fight between 10 students")</f>
        <v>SRO fired at student while breaking up fight between 10 students</v>
      </c>
      <c r="Z2202" s="12" t="str">
        <f ca="1">IFERROR(__xludf.DUMMYFUNCTION("""COMPUTED_VALUE"""),"SRO fired at 15YOM student while breaking up a fight between 10 students on the school athletic field.")</f>
        <v>SRO fired at 15YOM student while breaking up a fight between 10 students on the school athletic field.</v>
      </c>
      <c r="AA2202" s="8" t="str">
        <f ca="1">IFERROR(__xludf.DUMMYFUNCTION("""COMPUTED_VALUE"""),"Illegal Activity")</f>
        <v>Illegal Activity</v>
      </c>
      <c r="AB2202" s="8"/>
      <c r="AC2202" s="8" t="str">
        <f ca="1">IFERROR(__xludf.DUMMYFUNCTION("""COMPUTED_VALUE"""),"Yes")</f>
        <v>Yes</v>
      </c>
      <c r="AD2202" s="8" t="str">
        <f ca="1">IFERROR(__xludf.DUMMYFUNCTION("""COMPUTED_VALUE"""),"Victims Targeted")</f>
        <v>Victims Targeted</v>
      </c>
      <c r="AE2202" s="8" t="str">
        <f ca="1">IFERROR(__xludf.DUMMYFUNCTION("""COMPUTED_VALUE"""),"No")</f>
        <v>No</v>
      </c>
      <c r="AF2202" s="8"/>
      <c r="AG2202" s="8" t="str">
        <f ca="1">IFERROR(__xludf.DUMMYFUNCTION("""COMPUTED_VALUE"""),"No")</f>
        <v>No</v>
      </c>
      <c r="AH2202" s="8" t="str">
        <f ca="1">IFERROR(__xludf.DUMMYFUNCTION("""COMPUTED_VALUE"""),"No")</f>
        <v>No</v>
      </c>
      <c r="AI2202" s="8" t="str">
        <f ca="1">IFERROR(__xludf.DUMMYFUNCTION("""COMPUTED_VALUE"""),"Yes")</f>
        <v>Yes</v>
      </c>
      <c r="AJ2202" s="8" t="str">
        <f ca="1">IFERROR(__xludf.DUMMYFUNCTION("""COMPUTED_VALUE"""),"N/A")</f>
        <v>N/A</v>
      </c>
      <c r="AK2202" s="8" t="str">
        <f ca="1">IFERROR(__xludf.DUMMYFUNCTION("""COMPUTED_VALUE"""),"N/A")</f>
        <v>N/A</v>
      </c>
      <c r="AL2202" s="8" t="str">
        <f ca="1">IFERROR(__xludf.DUMMYFUNCTION("""COMPUTED_VALUE"""),"N/A")</f>
        <v>N/A</v>
      </c>
      <c r="AM2202" s="8" t="str">
        <f ca="1">IFERROR(__xludf.DUMMYFUNCTION("""COMPUTED_VALUE"""),"N/A")</f>
        <v>N/A</v>
      </c>
      <c r="AN2202" s="8"/>
      <c r="AO2202" s="8" t="str">
        <f ca="1">IFERROR(__xludf.DUMMYFUNCTION("""COMPUTED_VALUE"""),"N/A")</f>
        <v>N/A</v>
      </c>
      <c r="AP2202" s="8" t="str">
        <f ca="1">IFERROR(__xludf.DUMMYFUNCTION("""COMPUTED_VALUE"""),"Yes")</f>
        <v>Yes</v>
      </c>
      <c r="AQ2202" s="8" t="str">
        <f ca="1">IFERROR(__xludf.DUMMYFUNCTION("""COMPUTED_VALUE"""),"Unknown")</f>
        <v>Unknown</v>
      </c>
      <c r="AR2202" s="8" t="str">
        <f ca="1">IFERROR(__xludf.DUMMYFUNCTION("""COMPUTED_VALUE"""),"NA")</f>
        <v>NA</v>
      </c>
      <c r="AS2202" s="8">
        <f ca="1">IFERROR(__xludf.DUMMYFUNCTION("""COMPUTED_VALUE"""),1)</f>
        <v>1</v>
      </c>
      <c r="AT2202" s="8"/>
      <c r="AU2202" s="8">
        <f ca="1">IFERROR(__xludf.DUMMYFUNCTION("""COMPUTED_VALUE"""),32.657054)</f>
        <v>32.657054000000002</v>
      </c>
      <c r="AV2202" s="8">
        <f ca="1">IFERROR(__xludf.DUMMYFUNCTION("""COMPUTED_VALUE"""),-97.358908)</f>
        <v>-97.358908</v>
      </c>
      <c r="AW2202" s="8"/>
      <c r="AX2202" s="8">
        <f ca="1">IFERROR(__xludf.DUMMYFUNCTION("""COMPUTED_VALUE"""),76133)</f>
        <v>76133</v>
      </c>
    </row>
    <row r="2203" spans="1:50" ht="75" x14ac:dyDescent="0.2">
      <c r="A2203" s="8" t="str">
        <f ca="1">IFERROR(__xludf.DUMMYFUNCTION("""COMPUTED_VALUE"""),"20060905TNKIM")</f>
        <v>20060905TNKIM</v>
      </c>
      <c r="B2203" s="8">
        <f ca="1">IFERROR(__xludf.DUMMYFUNCTION("""COMPUTED_VALUE"""),9)</f>
        <v>9</v>
      </c>
      <c r="C2203" s="8">
        <f ca="1">IFERROR(__xludf.DUMMYFUNCTION("""COMPUTED_VALUE"""),5)</f>
        <v>5</v>
      </c>
      <c r="D2203" s="8">
        <f ca="1">IFERROR(__xludf.DUMMYFUNCTION("""COMPUTED_VALUE"""),2006)</f>
        <v>2006</v>
      </c>
      <c r="E2203" s="9">
        <f ca="1">IFERROR(__xludf.DUMMYFUNCTION("""COMPUTED_VALUE"""),38965)</f>
        <v>38965</v>
      </c>
      <c r="F2203" s="8" t="str">
        <f ca="1">IFERROR(__xludf.DUMMYFUNCTION("""COMPUTED_VALUE"""),"Kingsbury Middle School")</f>
        <v>Kingsbury Middle School</v>
      </c>
      <c r="G2203" s="8">
        <f ca="1">IFERROR(__xludf.DUMMYFUNCTION("""COMPUTED_VALUE"""),0)</f>
        <v>0</v>
      </c>
      <c r="H2203" s="8">
        <f ca="1">IFERROR(__xludf.DUMMYFUNCTION("""COMPUTED_VALUE"""),1)</f>
        <v>1</v>
      </c>
      <c r="I2203" s="8">
        <f ca="1">IFERROR(__xludf.DUMMYFUNCTION("""COMPUTED_VALUE"""),1)</f>
        <v>1</v>
      </c>
      <c r="J2203" s="8">
        <f ca="1">IFERROR(__xludf.DUMMYFUNCTION("""COMPUTED_VALUE"""),0)</f>
        <v>0</v>
      </c>
      <c r="K2203" s="10" t="str">
        <f ca="1">IFERROR(__xludf.DUMMYFUNCTION("""COMPUTED_VALUE"""),"https://www.columbine-angels.com/School_Violence_2006-2007.htm")</f>
        <v>https://www.columbine-angels.com/School_Violence_2006-2007.htm</v>
      </c>
      <c r="L2203" s="8"/>
      <c r="M2203" s="8"/>
      <c r="N2203" s="8">
        <f ca="1">IFERROR(__xludf.DUMMYFUNCTION("""COMPUTED_VALUE"""),1)</f>
        <v>1</v>
      </c>
      <c r="O2203" s="8" t="str">
        <f ca="1">IFERROR(__xludf.DUMMYFUNCTION("""COMPUTED_VALUE"""),"Fall")</f>
        <v>Fall</v>
      </c>
      <c r="P2203" s="8" t="str">
        <f ca="1">IFERROR(__xludf.DUMMYFUNCTION("""COMPUTED_VALUE"""),"Memphis")</f>
        <v>Memphis</v>
      </c>
      <c r="Q2203" s="8" t="str">
        <f ca="1">IFERROR(__xludf.DUMMYFUNCTION("""COMPUTED_VALUE"""),"TN")</f>
        <v>TN</v>
      </c>
      <c r="R2203" s="8" t="str">
        <f ca="1">IFERROR(__xludf.DUMMYFUNCTION("""COMPUTED_VALUE"""),"Middle")</f>
        <v>Middle</v>
      </c>
      <c r="S2203" s="8" t="str">
        <f ca="1">IFERROR(__xludf.DUMMYFUNCTION("""COMPUTED_VALUE"""),"Football Field/Track")</f>
        <v>Football Field/Track</v>
      </c>
      <c r="T2203" s="8" t="str">
        <f ca="1">IFERROR(__xludf.DUMMYFUNCTION("""COMPUTED_VALUE"""),"Outside on School Property")</f>
        <v>Outside on School Property</v>
      </c>
      <c r="U2203" s="8" t="str">
        <f ca="1">IFERROR(__xludf.DUMMYFUNCTION("""COMPUTED_VALUE"""),"No")</f>
        <v>No</v>
      </c>
      <c r="V2203" s="8" t="str">
        <f ca="1">IFERROR(__xludf.DUMMYFUNCTION("""COMPUTED_VALUE"""),"Sport Event")</f>
        <v>Sport Event</v>
      </c>
      <c r="W2203" s="8"/>
      <c r="X2203" s="8">
        <f ca="1">IFERROR(__xludf.DUMMYFUNCTION("""COMPUTED_VALUE"""),1)</f>
        <v>1</v>
      </c>
      <c r="Y2203" s="12" t="str">
        <f ca="1">IFERROR(__xludf.DUMMYFUNCTION("""COMPUTED_VALUE"""),"Shots fired into ground during a fight between parents at football game")</f>
        <v>Shots fired into ground during a fight between parents at football game</v>
      </c>
      <c r="Z2203" s="12" t="str">
        <f ca="1">IFERROR(__xludf.DUMMYFUNCTION("""COMPUTED_VALUE"""),"Shots fired during a fight between a group of parents at a football game. The gun was aimed at the ground, however, one of the bullets ricocheted off the ground and into the hand of a teenage boy.")</f>
        <v>Shots fired during a fight between a group of parents at a football game. The gun was aimed at the ground, however, one of the bullets ricocheted off the ground and into the hand of a teenage boy.</v>
      </c>
      <c r="AA2203" s="8" t="str">
        <f ca="1">IFERROR(__xludf.DUMMYFUNCTION("""COMPUTED_VALUE"""),"Escalation of Dispute")</f>
        <v>Escalation of Dispute</v>
      </c>
      <c r="AB2203" s="8"/>
      <c r="AC2203" s="8" t="str">
        <f ca="1">IFERROR(__xludf.DUMMYFUNCTION("""COMPUTED_VALUE"""),"Yes")</f>
        <v>Yes</v>
      </c>
      <c r="AD2203" s="8" t="str">
        <f ca="1">IFERROR(__xludf.DUMMYFUNCTION("""COMPUTED_VALUE"""),"Neither")</f>
        <v>Neither</v>
      </c>
      <c r="AE2203" s="8" t="str">
        <f ca="1">IFERROR(__xludf.DUMMYFUNCTION("""COMPUTED_VALUE"""),"No")</f>
        <v>No</v>
      </c>
      <c r="AF2203" s="8"/>
      <c r="AG2203" s="8" t="str">
        <f ca="1">IFERROR(__xludf.DUMMYFUNCTION("""COMPUTED_VALUE"""),"No")</f>
        <v>No</v>
      </c>
      <c r="AH2203" s="8" t="str">
        <f ca="1">IFERROR(__xludf.DUMMYFUNCTION("""COMPUTED_VALUE"""),"No")</f>
        <v>No</v>
      </c>
      <c r="AI2203" s="8" t="str">
        <f ca="1">IFERROR(__xludf.DUMMYFUNCTION("""COMPUTED_VALUE"""),"No")</f>
        <v>No</v>
      </c>
      <c r="AJ2203" s="8" t="str">
        <f ca="1">IFERROR(__xludf.DUMMYFUNCTION("""COMPUTED_VALUE"""),"No")</f>
        <v>No</v>
      </c>
      <c r="AK2203" s="8" t="str">
        <f ca="1">IFERROR(__xludf.DUMMYFUNCTION("""COMPUTED_VALUE"""),"No")</f>
        <v>No</v>
      </c>
      <c r="AL2203" s="8" t="str">
        <f ca="1">IFERROR(__xludf.DUMMYFUNCTION("""COMPUTED_VALUE"""),"No")</f>
        <v>No</v>
      </c>
      <c r="AM2203" s="8"/>
      <c r="AN2203" s="8"/>
      <c r="AO2203" s="8" t="str">
        <f ca="1">IFERROR(__xludf.DUMMYFUNCTION("""COMPUTED_VALUE"""),"No")</f>
        <v>No</v>
      </c>
      <c r="AP2203" s="8"/>
      <c r="AQ2203" s="8" t="str">
        <f ca="1">IFERROR(__xludf.DUMMYFUNCTION("""COMPUTED_VALUE"""),"Unknown")</f>
        <v>Unknown</v>
      </c>
      <c r="AR2203" s="8" t="str">
        <f ca="1">IFERROR(__xludf.DUMMYFUNCTION("""COMPUTED_VALUE"""),"NA")</f>
        <v>NA</v>
      </c>
      <c r="AS2203" s="8">
        <f ca="1">IFERROR(__xludf.DUMMYFUNCTION("""COMPUTED_VALUE"""),3)</f>
        <v>3</v>
      </c>
      <c r="AT2203" s="8"/>
      <c r="AU2203" s="8">
        <f ca="1">IFERROR(__xludf.DUMMYFUNCTION("""COMPUTED_VALUE"""),35.166827)</f>
        <v>35.166826999999998</v>
      </c>
      <c r="AV2203" s="8">
        <f ca="1">IFERROR(__xludf.DUMMYFUNCTION("""COMPUTED_VALUE"""),-89.925156)</f>
        <v>-89.925156000000001</v>
      </c>
      <c r="AW2203" s="8"/>
      <c r="AX2203" s="8">
        <f ca="1">IFERROR(__xludf.DUMMYFUNCTION("""COMPUTED_VALUE"""),38122)</f>
        <v>38122</v>
      </c>
    </row>
    <row r="2204" spans="1:50" ht="75" x14ac:dyDescent="0.2">
      <c r="A2204" s="8" t="str">
        <f ca="1">IFERROR(__xludf.DUMMYFUNCTION("""COMPUTED_VALUE"""),"20060831ALOXO")</f>
        <v>20060831ALOXO</v>
      </c>
      <c r="B2204" s="8">
        <f ca="1">IFERROR(__xludf.DUMMYFUNCTION("""COMPUTED_VALUE"""),8)</f>
        <v>8</v>
      </c>
      <c r="C2204" s="8">
        <f ca="1">IFERROR(__xludf.DUMMYFUNCTION("""COMPUTED_VALUE"""),31)</f>
        <v>31</v>
      </c>
      <c r="D2204" s="8">
        <f ca="1">IFERROR(__xludf.DUMMYFUNCTION("""COMPUTED_VALUE"""),2006)</f>
        <v>2006</v>
      </c>
      <c r="E2204" s="9">
        <f ca="1">IFERROR(__xludf.DUMMYFUNCTION("""COMPUTED_VALUE"""),38960)</f>
        <v>38960</v>
      </c>
      <c r="F2204" s="8" t="str">
        <f ca="1">IFERROR(__xludf.DUMMYFUNCTION("""COMPUTED_VALUE"""),"Oxford High School")</f>
        <v>Oxford High School</v>
      </c>
      <c r="G2204" s="8">
        <f ca="1">IFERROR(__xludf.DUMMYFUNCTION("""COMPUTED_VALUE"""),0)</f>
        <v>0</v>
      </c>
      <c r="H2204" s="8">
        <f ca="1">IFERROR(__xludf.DUMMYFUNCTION("""COMPUTED_VALUE"""),1)</f>
        <v>1</v>
      </c>
      <c r="I2204" s="8">
        <f ca="1">IFERROR(__xludf.DUMMYFUNCTION("""COMPUTED_VALUE"""),1)</f>
        <v>1</v>
      </c>
      <c r="J2204" s="8">
        <f ca="1">IFERROR(__xludf.DUMMYFUNCTION("""COMPUTED_VALUE"""),0)</f>
        <v>0</v>
      </c>
      <c r="K2204" s="10" t="str">
        <f ca="1">IFERROR(__xludf.DUMMYFUNCTION("""COMPUTED_VALUE"""),"https://www.newspapers.com/image/106551825/?terms=Oxford%2BHigh%2BSchool%2BHawkins%2Bshot")</f>
        <v>https://www.newspapers.com/image/106551825/?terms=Oxford%2BHigh%2BSchool%2BHawkins%2Bshot</v>
      </c>
      <c r="L2204" s="8"/>
      <c r="M2204" s="8"/>
      <c r="N2204" s="8">
        <f ca="1">IFERROR(__xludf.DUMMYFUNCTION("""COMPUTED_VALUE"""),2)</f>
        <v>2</v>
      </c>
      <c r="O2204" s="8" t="str">
        <f ca="1">IFERROR(__xludf.DUMMYFUNCTION("""COMPUTED_VALUE"""),"Summer")</f>
        <v>Summer</v>
      </c>
      <c r="P2204" s="8" t="str">
        <f ca="1">IFERROR(__xludf.DUMMYFUNCTION("""COMPUTED_VALUE"""),"Oxford")</f>
        <v>Oxford</v>
      </c>
      <c r="Q2204" s="8" t="str">
        <f ca="1">IFERROR(__xludf.DUMMYFUNCTION("""COMPUTED_VALUE"""),"AL")</f>
        <v>AL</v>
      </c>
      <c r="R2204" s="8" t="str">
        <f ca="1">IFERROR(__xludf.DUMMYFUNCTION("""COMPUTED_VALUE"""),"High")</f>
        <v>High</v>
      </c>
      <c r="S2204" s="8" t="str">
        <f ca="1">IFERROR(__xludf.DUMMYFUNCTION("""COMPUTED_VALUE"""),"Football Field/Track")</f>
        <v>Football Field/Track</v>
      </c>
      <c r="T2204" s="8" t="str">
        <f ca="1">IFERROR(__xludf.DUMMYFUNCTION("""COMPUTED_VALUE"""),"Outside on School Property")</f>
        <v>Outside on School Property</v>
      </c>
      <c r="U2204" s="8" t="str">
        <f ca="1">IFERROR(__xludf.DUMMYFUNCTION("""COMPUTED_VALUE"""),"No")</f>
        <v>No</v>
      </c>
      <c r="V2204" s="8" t="str">
        <f ca="1">IFERROR(__xludf.DUMMYFUNCTION("""COMPUTED_VALUE"""),"Sport Event")</f>
        <v>Sport Event</v>
      </c>
      <c r="W2204" s="11">
        <f ca="1">IFERROR(__xludf.DUMMYFUNCTION("""COMPUTED_VALUE"""),0.902777777777777)</f>
        <v>0.90277777777777701</v>
      </c>
      <c r="X2204" s="8">
        <f ca="1">IFERROR(__xludf.DUMMYFUNCTION("""COMPUTED_VALUE"""),1)</f>
        <v>1</v>
      </c>
      <c r="Y2204" s="12" t="str">
        <f ca="1">IFERROR(__xludf.DUMMYFUNCTION("""COMPUTED_VALUE"""),"Shooting during football game (outside gate to stadium)")</f>
        <v>Shooting during football game (outside gate to stadium)</v>
      </c>
      <c r="Z2204" s="12" t="str">
        <f ca="1">IFERROR(__xludf.DUMMYFUNCTION("""COMPUTED_VALUE"""),"21YOM was shot by 21YOM outside of the gates of the football stadium during a game. The game was suspended while police searched for the shooter. The shooter was arrested 7 minutes after the shooting. Motive and relationship of shooter/victim unknown.")</f>
        <v>21YOM was shot by 21YOM outside of the gates of the football stadium during a game. The game was suspended while police searched for the shooter. The shooter was arrested 7 minutes after the shooting. Motive and relationship of shooter/victim unknown.</v>
      </c>
      <c r="AA2204" s="8" t="str">
        <f ca="1">IFERROR(__xludf.DUMMYFUNCTION("""COMPUTED_VALUE"""),"Escalation of Dispute")</f>
        <v>Escalation of Dispute</v>
      </c>
      <c r="AB2204" s="8"/>
      <c r="AC2204" s="8" t="str">
        <f ca="1">IFERROR(__xludf.DUMMYFUNCTION("""COMPUTED_VALUE"""),"Yes")</f>
        <v>Yes</v>
      </c>
      <c r="AD2204" s="8" t="str">
        <f ca="1">IFERROR(__xludf.DUMMYFUNCTION("""COMPUTED_VALUE"""),"Victims Targeted")</f>
        <v>Victims Targeted</v>
      </c>
      <c r="AE2204" s="8" t="str">
        <f ca="1">IFERROR(__xludf.DUMMYFUNCTION("""COMPUTED_VALUE"""),"No")</f>
        <v>No</v>
      </c>
      <c r="AF2204" s="8"/>
      <c r="AG2204" s="8" t="str">
        <f ca="1">IFERROR(__xludf.DUMMYFUNCTION("""COMPUTED_VALUE"""),"No")</f>
        <v>No</v>
      </c>
      <c r="AH2204" s="8" t="str">
        <f ca="1">IFERROR(__xludf.DUMMYFUNCTION("""COMPUTED_VALUE"""),"No")</f>
        <v>No</v>
      </c>
      <c r="AI2204" s="8" t="str">
        <f ca="1">IFERROR(__xludf.DUMMYFUNCTION("""COMPUTED_VALUE"""),"No")</f>
        <v>No</v>
      </c>
      <c r="AJ2204" s="8" t="str">
        <f ca="1">IFERROR(__xludf.DUMMYFUNCTION("""COMPUTED_VALUE"""),"No")</f>
        <v>No</v>
      </c>
      <c r="AK2204" s="8" t="str">
        <f ca="1">IFERROR(__xludf.DUMMYFUNCTION("""COMPUTED_VALUE"""),"No")</f>
        <v>No</v>
      </c>
      <c r="AL2204" s="8" t="str">
        <f ca="1">IFERROR(__xludf.DUMMYFUNCTION("""COMPUTED_VALUE"""),"No")</f>
        <v>No</v>
      </c>
      <c r="AM2204" s="8"/>
      <c r="AN2204" s="8"/>
      <c r="AO2204" s="8" t="str">
        <f ca="1">IFERROR(__xludf.DUMMYFUNCTION("""COMPUTED_VALUE"""),"No")</f>
        <v>No</v>
      </c>
      <c r="AP2204" s="8"/>
      <c r="AQ2204" s="8" t="str">
        <f ca="1">IFERROR(__xludf.DUMMYFUNCTION("""COMPUTED_VALUE"""),"Unknown")</f>
        <v>Unknown</v>
      </c>
      <c r="AR2204" s="8" t="str">
        <f ca="1">IFERROR(__xludf.DUMMYFUNCTION("""COMPUTED_VALUE"""),"NA")</f>
        <v>NA</v>
      </c>
      <c r="AS2204" s="8" t="str">
        <f ca="1">IFERROR(__xludf.DUMMYFUNCTION("""COMPUTED_VALUE"""),"&lt;10")</f>
        <v>&lt;10</v>
      </c>
      <c r="AT2204" s="8"/>
      <c r="AU2204" s="8">
        <f ca="1">IFERROR(__xludf.DUMMYFUNCTION("""COMPUTED_VALUE"""),33.611106)</f>
        <v>33.611105999999999</v>
      </c>
      <c r="AV2204" s="8">
        <f ca="1">IFERROR(__xludf.DUMMYFUNCTION("""COMPUTED_VALUE"""),-85.831341)</f>
        <v>-85.831340999999995</v>
      </c>
      <c r="AW2204" s="8"/>
      <c r="AX2204" s="8">
        <f ca="1">IFERROR(__xludf.DUMMYFUNCTION("""COMPUTED_VALUE"""),36203)</f>
        <v>36203</v>
      </c>
    </row>
    <row r="2205" spans="1:50" ht="165" x14ac:dyDescent="0.2">
      <c r="A2205" s="8" t="str">
        <f ca="1">IFERROR(__xludf.DUMMYFUNCTION("""COMPUTED_VALUE"""),"20060830NCORH")</f>
        <v>20060830NCORH</v>
      </c>
      <c r="B2205" s="8">
        <f ca="1">IFERROR(__xludf.DUMMYFUNCTION("""COMPUTED_VALUE"""),8)</f>
        <v>8</v>
      </c>
      <c r="C2205" s="8">
        <f ca="1">IFERROR(__xludf.DUMMYFUNCTION("""COMPUTED_VALUE"""),30)</f>
        <v>30</v>
      </c>
      <c r="D2205" s="8">
        <f ca="1">IFERROR(__xludf.DUMMYFUNCTION("""COMPUTED_VALUE"""),2006)</f>
        <v>2006</v>
      </c>
      <c r="E2205" s="9">
        <f ca="1">IFERROR(__xludf.DUMMYFUNCTION("""COMPUTED_VALUE"""),38959)</f>
        <v>38959</v>
      </c>
      <c r="F2205" s="8" t="str">
        <f ca="1">IFERROR(__xludf.DUMMYFUNCTION("""COMPUTED_VALUE"""),"Orange High School")</f>
        <v>Orange High School</v>
      </c>
      <c r="G2205" s="8">
        <f ca="1">IFERROR(__xludf.DUMMYFUNCTION("""COMPUTED_VALUE"""),0)</f>
        <v>0</v>
      </c>
      <c r="H2205" s="8">
        <f ca="1">IFERROR(__xludf.DUMMYFUNCTION("""COMPUTED_VALUE"""),2)</f>
        <v>2</v>
      </c>
      <c r="I2205" s="8">
        <f ca="1">IFERROR(__xludf.DUMMYFUNCTION("""COMPUTED_VALUE"""),2)</f>
        <v>2</v>
      </c>
      <c r="J2205" s="8">
        <f ca="1">IFERROR(__xludf.DUMMYFUNCTION("""COMPUTED_VALUE"""),0)</f>
        <v>0</v>
      </c>
      <c r="K2205" s="8" t="str">
        <f ca="1">IFERROR(__xludf.DUMMYFUNCTION("""COMPUTED_VALUE"""),"http://www.wral.com/news/local/story/5840576/ https://www.fbi.gov/file-repository/active-shooter-incidents-2000-2017.pdf")</f>
        <v>http://www.wral.com/news/local/story/5840576/ https://www.fbi.gov/file-repository/active-shooter-incidents-2000-2017.pdf</v>
      </c>
      <c r="L2205" s="8"/>
      <c r="M2205" s="8"/>
      <c r="N2205" s="8">
        <f ca="1">IFERROR(__xludf.DUMMYFUNCTION("""COMPUTED_VALUE"""),5)</f>
        <v>5</v>
      </c>
      <c r="O2205" s="8" t="str">
        <f ca="1">IFERROR(__xludf.DUMMYFUNCTION("""COMPUTED_VALUE"""),"Summer")</f>
        <v>Summer</v>
      </c>
      <c r="P2205" s="8" t="str">
        <f ca="1">IFERROR(__xludf.DUMMYFUNCTION("""COMPUTED_VALUE"""),"Hillsborough")</f>
        <v>Hillsborough</v>
      </c>
      <c r="Q2205" s="8" t="str">
        <f ca="1">IFERROR(__xludf.DUMMYFUNCTION("""COMPUTED_VALUE"""),"NC")</f>
        <v>NC</v>
      </c>
      <c r="R2205" s="8" t="str">
        <f ca="1">IFERROR(__xludf.DUMMYFUNCTION("""COMPUTED_VALUE"""),"High")</f>
        <v>High</v>
      </c>
      <c r="S2205" s="8" t="str">
        <f ca="1">IFERROR(__xludf.DUMMYFUNCTION("""COMPUTED_VALUE"""),"Parking Lot")</f>
        <v>Parking Lot</v>
      </c>
      <c r="T2205" s="8" t="str">
        <f ca="1">IFERROR(__xludf.DUMMYFUNCTION("""COMPUTED_VALUE"""),"Outside on School Property")</f>
        <v>Outside on School Property</v>
      </c>
      <c r="U2205" s="8" t="str">
        <f ca="1">IFERROR(__xludf.DUMMYFUNCTION("""COMPUTED_VALUE"""),"Yes")</f>
        <v>Yes</v>
      </c>
      <c r="V2205" s="8" t="str">
        <f ca="1">IFERROR(__xludf.DUMMYFUNCTION("""COMPUTED_VALUE"""),"Afternoon Classes")</f>
        <v>Afternoon Classes</v>
      </c>
      <c r="W2205" s="11">
        <f ca="1">IFERROR(__xludf.DUMMYFUNCTION("""COMPUTED_VALUE"""),0.541666666666666)</f>
        <v>0.54166666666666596</v>
      </c>
      <c r="X2205" s="8"/>
      <c r="Y2205" s="12" t="str">
        <f ca="1">IFERROR(__xludf.DUMMYFUNCTION("""COMPUTED_VALUE"""),"Planned attack, surrendered immediately after first shots to sheriff's deputies in parking lot")</f>
        <v>Planned attack, surrendered immediately after first shots to sheriff's deputies in parking lot</v>
      </c>
      <c r="Z2205" s="12" t="str">
        <f ca="1">IFERROR(__xludf.DUMMYFUNCTION("""COMPUTED_VALUE"""),"Shooter set of cherry bombs as a diversion and started firing sawed off shotgun at the students. The gun jammed and he was tackled by school employees. Shooter was obsessed with Columbine and made videos describing how he would carry out the attack. He wo"&amp;"re a Colorado t-shirt and trench coat like the Columbine shooters. Wrote detailed journals about the shooting plan. He has attempted suicide and when he did not die, he became delusion and wrote in his journal that god had spared his life so that he could"&amp;" carry out a grander mission (shooting). Weapons: 9mm, sawed-off 12-gauge shotgun")</f>
        <v>Shooter set of cherry bombs as a diversion and started firing sawed off shotgun at the students. The gun jammed and he was tackled by school employees. Shooter was obsessed with Columbine and made videos describing how he would carry out the attack. He wore a Colorado t-shirt and trench coat like the Columbine shooters. Wrote detailed journals about the shooting plan. He has attempted suicide and when he did not die, he became delusion and wrote in his journal that god had spared his life so that he could carry out a grander mission (shooting). Weapons: 9mm, sawed-off 12-gauge shotgun</v>
      </c>
      <c r="AA2205" s="8" t="str">
        <f ca="1">IFERROR(__xludf.DUMMYFUNCTION("""COMPUTED_VALUE"""),"Indiscriminate Shooting")</f>
        <v>Indiscriminate Shooting</v>
      </c>
      <c r="AB2205" s="8"/>
      <c r="AC2205" s="8" t="str">
        <f ca="1">IFERROR(__xludf.DUMMYFUNCTION("""COMPUTED_VALUE"""),"Yes")</f>
        <v>Yes</v>
      </c>
      <c r="AD2205" s="8" t="str">
        <f ca="1">IFERROR(__xludf.DUMMYFUNCTION("""COMPUTED_VALUE"""),"Random Shooting")</f>
        <v>Random Shooting</v>
      </c>
      <c r="AE2205" s="8" t="str">
        <f ca="1">IFERROR(__xludf.DUMMYFUNCTION("""COMPUTED_VALUE"""),"No")</f>
        <v>No</v>
      </c>
      <c r="AF2205" s="8"/>
      <c r="AG2205" s="8" t="str">
        <f ca="1">IFERROR(__xludf.DUMMYFUNCTION("""COMPUTED_VALUE"""),"No")</f>
        <v>No</v>
      </c>
      <c r="AH2205" s="8" t="str">
        <f ca="1">IFERROR(__xludf.DUMMYFUNCTION("""COMPUTED_VALUE"""),"No")</f>
        <v>No</v>
      </c>
      <c r="AI2205" s="8" t="str">
        <f ca="1">IFERROR(__xludf.DUMMYFUNCTION("""COMPUTED_VALUE"""),"No")</f>
        <v>No</v>
      </c>
      <c r="AJ2205" s="8" t="str">
        <f ca="1">IFERROR(__xludf.DUMMYFUNCTION("""COMPUTED_VALUE"""),"No")</f>
        <v>No</v>
      </c>
      <c r="AK2205" s="8" t="str">
        <f ca="1">IFERROR(__xludf.DUMMYFUNCTION("""COMPUTED_VALUE"""),"No")</f>
        <v>No</v>
      </c>
      <c r="AL2205" s="8" t="str">
        <f ca="1">IFERROR(__xludf.DUMMYFUNCTION("""COMPUTED_VALUE"""),"No")</f>
        <v>No</v>
      </c>
      <c r="AM2205" s="8" t="str">
        <f ca="1">IFERROR(__xludf.DUMMYFUNCTION("""COMPUTED_VALUE"""),"Yes")</f>
        <v>Yes</v>
      </c>
      <c r="AN2205" s="8" t="str">
        <f ca="1">IFERROR(__xludf.DUMMYFUNCTION("""COMPUTED_VALUE"""),"Hallway")</f>
        <v>Hallway</v>
      </c>
      <c r="AO2205" s="8" t="str">
        <f ca="1">IFERROR(__xludf.DUMMYFUNCTION("""COMPUTED_VALUE"""),"Yes")</f>
        <v>Yes</v>
      </c>
      <c r="AP2205" s="8"/>
      <c r="AQ2205" s="8" t="str">
        <f ca="1">IFERROR(__xludf.DUMMYFUNCTION("""COMPUTED_VALUE"""),"Unknown")</f>
        <v>Unknown</v>
      </c>
      <c r="AR2205" s="8" t="str">
        <f ca="1">IFERROR(__xludf.DUMMYFUNCTION("""COMPUTED_VALUE"""),"NA")</f>
        <v>NA</v>
      </c>
      <c r="AS2205" s="8">
        <f ca="1">IFERROR(__xludf.DUMMYFUNCTION("""COMPUTED_VALUE"""),8)</f>
        <v>8</v>
      </c>
      <c r="AT2205" s="8" t="str">
        <f ca="1">IFERROR(__xludf.DUMMYFUNCTION("""COMPUTED_VALUE"""),"Yes")</f>
        <v>Yes</v>
      </c>
      <c r="AU2205" s="8">
        <f ca="1">IFERROR(__xludf.DUMMYFUNCTION("""COMPUTED_VALUE"""),36.092736)</f>
        <v>36.092736000000002</v>
      </c>
      <c r="AV2205" s="8">
        <f ca="1">IFERROR(__xludf.DUMMYFUNCTION("""COMPUTED_VALUE"""),-79.094258)</f>
        <v>-79.094257999999996</v>
      </c>
      <c r="AW2205" s="8"/>
      <c r="AX2205" s="8">
        <f ca="1">IFERROR(__xludf.DUMMYFUNCTION("""COMPUTED_VALUE"""),27278)</f>
        <v>27278</v>
      </c>
    </row>
    <row r="2206" spans="1:50" ht="75" x14ac:dyDescent="0.2">
      <c r="A2206" s="8" t="str">
        <f ca="1">IFERROR(__xludf.DUMMYFUNCTION("""COMPUTED_VALUE"""),"20060829DCANW")</f>
        <v>20060829DCANW</v>
      </c>
      <c r="B2206" s="8">
        <f ca="1">IFERROR(__xludf.DUMMYFUNCTION("""COMPUTED_VALUE"""),8)</f>
        <v>8</v>
      </c>
      <c r="C2206" s="8">
        <f ca="1">IFERROR(__xludf.DUMMYFUNCTION("""COMPUTED_VALUE"""),29)</f>
        <v>29</v>
      </c>
      <c r="D2206" s="8">
        <f ca="1">IFERROR(__xludf.DUMMYFUNCTION("""COMPUTED_VALUE"""),2006)</f>
        <v>2006</v>
      </c>
      <c r="E2206" s="9">
        <f ca="1">IFERROR(__xludf.DUMMYFUNCTION("""COMPUTED_VALUE"""),38958)</f>
        <v>38958</v>
      </c>
      <c r="F2206" s="8" t="str">
        <f ca="1">IFERROR(__xludf.DUMMYFUNCTION("""COMPUTED_VALUE"""),"Anacostia Senior High School")</f>
        <v>Anacostia Senior High School</v>
      </c>
      <c r="G2206" s="8">
        <f ca="1">IFERROR(__xludf.DUMMYFUNCTION("""COMPUTED_VALUE"""),0)</f>
        <v>0</v>
      </c>
      <c r="H2206" s="8">
        <f ca="1">IFERROR(__xludf.DUMMYFUNCTION("""COMPUTED_VALUE"""),0)</f>
        <v>0</v>
      </c>
      <c r="I2206" s="8">
        <f ca="1">IFERROR(__xludf.DUMMYFUNCTION("""COMPUTED_VALUE"""),0)</f>
        <v>0</v>
      </c>
      <c r="J2206" s="8">
        <f ca="1">IFERROR(__xludf.DUMMYFUNCTION("""COMPUTED_VALUE"""),0)</f>
        <v>0</v>
      </c>
      <c r="K2206" s="10" t="str">
        <f ca="1">IFERROR(__xludf.DUMMYFUNCTION("""COMPUTED_VALUE"""),"https://www.washingtonpost.com/archive/local/2006/08/30/teen-held-after-shot-is-fired-outside-se-school/a1d30f03-8e66-47af-a999-d43629af535b/?utm_term=.37a883ef0fca")</f>
        <v>https://www.washingtonpost.com/archive/local/2006/08/30/teen-held-after-shot-is-fired-outside-se-school/a1d30f03-8e66-47af-a999-d43629af535b/?utm_term=.37a883ef0fca</v>
      </c>
      <c r="L2206" s="8"/>
      <c r="M2206" s="8"/>
      <c r="N2206" s="8">
        <f ca="1">IFERROR(__xludf.DUMMYFUNCTION("""COMPUTED_VALUE"""),2)</f>
        <v>2</v>
      </c>
      <c r="O2206" s="8" t="str">
        <f ca="1">IFERROR(__xludf.DUMMYFUNCTION("""COMPUTED_VALUE"""),"Summer")</f>
        <v>Summer</v>
      </c>
      <c r="P2206" s="8" t="str">
        <f ca="1">IFERROR(__xludf.DUMMYFUNCTION("""COMPUTED_VALUE"""),"Washington")</f>
        <v>Washington</v>
      </c>
      <c r="Q2206" s="8" t="str">
        <f ca="1">IFERROR(__xludf.DUMMYFUNCTION("""COMPUTED_VALUE"""),"DC")</f>
        <v>DC</v>
      </c>
      <c r="R2206" s="8" t="str">
        <f ca="1">IFERROR(__xludf.DUMMYFUNCTION("""COMPUTED_VALUE"""),"High")</f>
        <v>High</v>
      </c>
      <c r="S2206" s="8" t="str">
        <f ca="1">IFERROR(__xludf.DUMMYFUNCTION("""COMPUTED_VALUE"""),"Parking Lot")</f>
        <v>Parking Lot</v>
      </c>
      <c r="T2206" s="8" t="str">
        <f ca="1">IFERROR(__xludf.DUMMYFUNCTION("""COMPUTED_VALUE"""),"Outside on School Property")</f>
        <v>Outside on School Property</v>
      </c>
      <c r="U2206" s="8" t="str">
        <f ca="1">IFERROR(__xludf.DUMMYFUNCTION("""COMPUTED_VALUE"""),"Yes")</f>
        <v>Yes</v>
      </c>
      <c r="V2206" s="8" t="str">
        <f ca="1">IFERROR(__xludf.DUMMYFUNCTION("""COMPUTED_VALUE"""),"Dismissal")</f>
        <v>Dismissal</v>
      </c>
      <c r="W2206" s="11">
        <f ca="1">IFERROR(__xludf.DUMMYFUNCTION("""COMPUTED_VALUE"""),0.635416666666666)</f>
        <v>0.63541666666666596</v>
      </c>
      <c r="X2206" s="8">
        <f ca="1">IFERROR(__xludf.DUMMYFUNCTION("""COMPUTED_VALUE"""),1)</f>
        <v>1</v>
      </c>
      <c r="Y2206" s="12" t="str">
        <f ca="1">IFERROR(__xludf.DUMMYFUNCTION("""COMPUTED_VALUE"""),"Fired one shot in parking lot, fled, ditched gun, but was caught by officer at school")</f>
        <v>Fired one shot in parking lot, fled, ditched gun, but was caught by officer at school</v>
      </c>
      <c r="Z2206" s="12" t="str">
        <f ca="1">IFERROR(__xludf.DUMMYFUNCTION("""COMPUTED_VALUE"""),"16YOM fired one shot in parking lot that struck a car then fled the scene. A police officer assigned to the school witnessed the shooting, then chased and detained the shooter. Shooter threw the gun as he was running but police recovered it.")</f>
        <v>16YOM fired one shot in parking lot that struck a car then fled the scene. A police officer assigned to the school witnessed the shooting, then chased and detained the shooter. Shooter threw the gun as he was running but police recovered it.</v>
      </c>
      <c r="AA2206" s="8" t="str">
        <f ca="1">IFERROR(__xludf.DUMMYFUNCTION("""COMPUTED_VALUE"""),"Escalation of Dispute")</f>
        <v>Escalation of Dispute</v>
      </c>
      <c r="AB2206" s="8"/>
      <c r="AC2206" s="8" t="str">
        <f ca="1">IFERROR(__xludf.DUMMYFUNCTION("""COMPUTED_VALUE"""),"Yes")</f>
        <v>Yes</v>
      </c>
      <c r="AD2206" s="8" t="str">
        <f ca="1">IFERROR(__xludf.DUMMYFUNCTION("""COMPUTED_VALUE"""),"Neither")</f>
        <v>Neither</v>
      </c>
      <c r="AE2206" s="8" t="str">
        <f ca="1">IFERROR(__xludf.DUMMYFUNCTION("""COMPUTED_VALUE"""),"No")</f>
        <v>No</v>
      </c>
      <c r="AF2206" s="8"/>
      <c r="AG2206" s="8" t="str">
        <f ca="1">IFERROR(__xludf.DUMMYFUNCTION("""COMPUTED_VALUE"""),"No")</f>
        <v>No</v>
      </c>
      <c r="AH2206" s="8" t="str">
        <f ca="1">IFERROR(__xludf.DUMMYFUNCTION("""COMPUTED_VALUE"""),"No")</f>
        <v>No</v>
      </c>
      <c r="AI2206" s="8" t="str">
        <f ca="1">IFERROR(__xludf.DUMMYFUNCTION("""COMPUTED_VALUE"""),"No")</f>
        <v>No</v>
      </c>
      <c r="AJ2206" s="8" t="str">
        <f ca="1">IFERROR(__xludf.DUMMYFUNCTION("""COMPUTED_VALUE"""),"No")</f>
        <v>No</v>
      </c>
      <c r="AK2206" s="8" t="str">
        <f ca="1">IFERROR(__xludf.DUMMYFUNCTION("""COMPUTED_VALUE"""),"No")</f>
        <v>No</v>
      </c>
      <c r="AL2206" s="8" t="str">
        <f ca="1">IFERROR(__xludf.DUMMYFUNCTION("""COMPUTED_VALUE"""),"No")</f>
        <v>No</v>
      </c>
      <c r="AM2206" s="8"/>
      <c r="AN2206" s="8"/>
      <c r="AO2206" s="8" t="str">
        <f ca="1">IFERROR(__xludf.DUMMYFUNCTION("""COMPUTED_VALUE"""),"No")</f>
        <v>No</v>
      </c>
      <c r="AP2206" s="8"/>
      <c r="AQ2206" s="8" t="str">
        <f ca="1">IFERROR(__xludf.DUMMYFUNCTION("""COMPUTED_VALUE"""),"Unknown")</f>
        <v>Unknown</v>
      </c>
      <c r="AR2206" s="8" t="str">
        <f ca="1">IFERROR(__xludf.DUMMYFUNCTION("""COMPUTED_VALUE"""),"NA")</f>
        <v>NA</v>
      </c>
      <c r="AS2206" s="8">
        <f ca="1">IFERROR(__xludf.DUMMYFUNCTION("""COMPUTED_VALUE"""),1)</f>
        <v>1</v>
      </c>
      <c r="AT2206" s="8"/>
      <c r="AU2206" s="8">
        <f ca="1">IFERROR(__xludf.DUMMYFUNCTION("""COMPUTED_VALUE"""),38.869818)</f>
        <v>38.869818000000002</v>
      </c>
      <c r="AV2206" s="8">
        <f ca="1">IFERROR(__xludf.DUMMYFUNCTION("""COMPUTED_VALUE"""),-76.982676)</f>
        <v>-76.982675999999998</v>
      </c>
      <c r="AW2206" s="8"/>
      <c r="AX2206" s="8">
        <f ca="1">IFERROR(__xludf.DUMMYFUNCTION("""COMPUTED_VALUE"""),20020)</f>
        <v>20020</v>
      </c>
    </row>
    <row r="2207" spans="1:50" ht="75" x14ac:dyDescent="0.2">
      <c r="A2207" s="8" t="str">
        <f ca="1">IFERROR(__xludf.DUMMYFUNCTION("""COMPUTED_VALUE"""),"20060824VTESE")</f>
        <v>20060824VTESE</v>
      </c>
      <c r="B2207" s="8">
        <f ca="1">IFERROR(__xludf.DUMMYFUNCTION("""COMPUTED_VALUE"""),8)</f>
        <v>8</v>
      </c>
      <c r="C2207" s="8">
        <f ca="1">IFERROR(__xludf.DUMMYFUNCTION("""COMPUTED_VALUE"""),24)</f>
        <v>24</v>
      </c>
      <c r="D2207" s="8">
        <f ca="1">IFERROR(__xludf.DUMMYFUNCTION("""COMPUTED_VALUE"""),2006)</f>
        <v>2006</v>
      </c>
      <c r="E2207" s="9">
        <f ca="1">IFERROR(__xludf.DUMMYFUNCTION("""COMPUTED_VALUE"""),38953)</f>
        <v>38953</v>
      </c>
      <c r="F2207" s="8" t="str">
        <f ca="1">IFERROR(__xludf.DUMMYFUNCTION("""COMPUTED_VALUE"""),"Essex Elementary School")</f>
        <v>Essex Elementary School</v>
      </c>
      <c r="G2207" s="8">
        <f ca="1">IFERROR(__xludf.DUMMYFUNCTION("""COMPUTED_VALUE"""),1)</f>
        <v>1</v>
      </c>
      <c r="H2207" s="8">
        <f ca="1">IFERROR(__xludf.DUMMYFUNCTION("""COMPUTED_VALUE"""),0)</f>
        <v>0</v>
      </c>
      <c r="I2207" s="8">
        <f ca="1">IFERROR(__xludf.DUMMYFUNCTION("""COMPUTED_VALUE"""),1)</f>
        <v>1</v>
      </c>
      <c r="J2207" s="8">
        <f ca="1">IFERROR(__xludf.DUMMYFUNCTION("""COMPUTED_VALUE"""),0)</f>
        <v>0</v>
      </c>
      <c r="K2207" s="8" t="str">
        <f ca="1">IFERROR(__xludf.DUMMYFUNCTION("""COMPUTED_VALUE"""),"https://www.cbsnews.com/news/2-dead-in-vermont-school-shooting/ http://www.nbcnews.com/id/14519867/ns/us_news-crime_and_courts/t/vt-school-shooting-suspect-pleads-not-guilty/#.W2TTz9JKjD4 https://www.fbi.gov/file-repository/active-shooter-incidents-2000-2"&amp;"017.pdf")</f>
        <v>https://www.cbsnews.com/news/2-dead-in-vermont-school-shooting/ http://www.nbcnews.com/id/14519867/ns/us_news-crime_and_courts/t/vt-school-shooting-suspect-pleads-not-guilty/#.W2TTz9JKjD4 https://www.fbi.gov/file-repository/active-shooter-incidents-2000-2017.pdf</v>
      </c>
      <c r="L2207" s="8"/>
      <c r="M2207" s="8"/>
      <c r="N2207" s="8">
        <f ca="1">IFERROR(__xludf.DUMMYFUNCTION("""COMPUTED_VALUE"""),5)</f>
        <v>5</v>
      </c>
      <c r="O2207" s="8" t="str">
        <f ca="1">IFERROR(__xludf.DUMMYFUNCTION("""COMPUTED_VALUE"""),"Summer")</f>
        <v>Summer</v>
      </c>
      <c r="P2207" s="8" t="str">
        <f ca="1">IFERROR(__xludf.DUMMYFUNCTION("""COMPUTED_VALUE"""),"Essex Junction")</f>
        <v>Essex Junction</v>
      </c>
      <c r="Q2207" s="8" t="str">
        <f ca="1">IFERROR(__xludf.DUMMYFUNCTION("""COMPUTED_VALUE"""),"VT")</f>
        <v>VT</v>
      </c>
      <c r="R2207" s="8" t="str">
        <f ca="1">IFERROR(__xludf.DUMMYFUNCTION("""COMPUTED_VALUE"""),"Elementary")</f>
        <v>Elementary</v>
      </c>
      <c r="S2207" s="8" t="str">
        <f ca="1">IFERROR(__xludf.DUMMYFUNCTION("""COMPUTED_VALUE"""),"Classroom")</f>
        <v>Classroom</v>
      </c>
      <c r="T2207" s="8" t="str">
        <f ca="1">IFERROR(__xludf.DUMMYFUNCTION("""COMPUTED_VALUE"""),"Inside School Building")</f>
        <v>Inside School Building</v>
      </c>
      <c r="U2207" s="8" t="str">
        <f ca="1">IFERROR(__xludf.DUMMYFUNCTION("""COMPUTED_VALUE"""),"Yes")</f>
        <v>Yes</v>
      </c>
      <c r="V2207" s="8"/>
      <c r="W2207" s="8"/>
      <c r="X2207" s="8">
        <f ca="1">IFERROR(__xludf.DUMMYFUNCTION("""COMPUTED_VALUE"""),1)</f>
        <v>1</v>
      </c>
      <c r="Y2207" s="12" t="str">
        <f ca="1">IFERROR(__xludf.DUMMYFUNCTION("""COMPUTED_VALUE"""),"Killed ex-girlfriend (teacher) at the school")</f>
        <v>Killed ex-girlfriend (teacher) at the school</v>
      </c>
      <c r="Z2207" s="12" t="str">
        <f ca="1">IFERROR(__xludf.DUMMYFUNCTION("""COMPUTED_VALUE"""),"Shooter targeted and murdered his ex-girlfriend who was a teacher at the school. The school was not in session during the time of the shooting. He later attempted suicide and was apprehended by police. He also shot and killed his ex-girlfriend's mother an"&amp;"d injured 2 other people.")</f>
        <v>Shooter targeted and murdered his ex-girlfriend who was a teacher at the school. The school was not in session during the time of the shooting. He later attempted suicide and was apprehended by police. He also shot and killed his ex-girlfriend's mother and injured 2 other people.</v>
      </c>
      <c r="AA2207" s="8" t="str">
        <f ca="1">IFERROR(__xludf.DUMMYFUNCTION("""COMPUTED_VALUE"""),"Domestic w/ Targeted Victim")</f>
        <v>Domestic w/ Targeted Victim</v>
      </c>
      <c r="AB2207" s="8"/>
      <c r="AC2207" s="8" t="str">
        <f ca="1">IFERROR(__xludf.DUMMYFUNCTION("""COMPUTED_VALUE"""),"Yes")</f>
        <v>Yes</v>
      </c>
      <c r="AD2207" s="8" t="str">
        <f ca="1">IFERROR(__xludf.DUMMYFUNCTION("""COMPUTED_VALUE"""),"Both")</f>
        <v>Both</v>
      </c>
      <c r="AE2207" s="8" t="str">
        <f ca="1">IFERROR(__xludf.DUMMYFUNCTION("""COMPUTED_VALUE"""),"No")</f>
        <v>No</v>
      </c>
      <c r="AF2207" s="8"/>
      <c r="AG2207" s="8" t="str">
        <f ca="1">IFERROR(__xludf.DUMMYFUNCTION("""COMPUTED_VALUE"""),"No")</f>
        <v>No</v>
      </c>
      <c r="AH2207" s="8" t="str">
        <f ca="1">IFERROR(__xludf.DUMMYFUNCTION("""COMPUTED_VALUE"""),"No")</f>
        <v>No</v>
      </c>
      <c r="AI2207" s="8" t="str">
        <f ca="1">IFERROR(__xludf.DUMMYFUNCTION("""COMPUTED_VALUE"""),"No")</f>
        <v>No</v>
      </c>
      <c r="AJ2207" s="8" t="str">
        <f ca="1">IFERROR(__xludf.DUMMYFUNCTION("""COMPUTED_VALUE"""),"No")</f>
        <v>No</v>
      </c>
      <c r="AK2207" s="8" t="str">
        <f ca="1">IFERROR(__xludf.DUMMYFUNCTION("""COMPUTED_VALUE"""),"Yes")</f>
        <v>Yes</v>
      </c>
      <c r="AL2207" s="8" t="str">
        <f ca="1">IFERROR(__xludf.DUMMYFUNCTION("""COMPUTED_VALUE"""),"No")</f>
        <v>No</v>
      </c>
      <c r="AM2207" s="8"/>
      <c r="AN2207" s="8"/>
      <c r="AO2207" s="8" t="str">
        <f ca="1">IFERROR(__xludf.DUMMYFUNCTION("""COMPUTED_VALUE"""),"No")</f>
        <v>No</v>
      </c>
      <c r="AP2207" s="8"/>
      <c r="AQ2207" s="8" t="str">
        <f ca="1">IFERROR(__xludf.DUMMYFUNCTION("""COMPUTED_VALUE"""),"Unknown")</f>
        <v>Unknown</v>
      </c>
      <c r="AR2207" s="8" t="str">
        <f ca="1">IFERROR(__xludf.DUMMYFUNCTION("""COMPUTED_VALUE"""),"NA")</f>
        <v>NA</v>
      </c>
      <c r="AS2207" s="8"/>
      <c r="AT2207" s="8"/>
      <c r="AU2207" s="8">
        <f ca="1">IFERROR(__xludf.DUMMYFUNCTION("""COMPUTED_VALUE"""),44.512952)</f>
        <v>44.512951999999999</v>
      </c>
      <c r="AV2207" s="8">
        <f ca="1">IFERROR(__xludf.DUMMYFUNCTION("""COMPUTED_VALUE"""),-73.055703)</f>
        <v>-73.055702999999994</v>
      </c>
      <c r="AW2207" s="8"/>
      <c r="AX2207" s="8">
        <f ca="1">IFERROR(__xludf.DUMMYFUNCTION("""COMPUTED_VALUE"""),5452)</f>
        <v>5452</v>
      </c>
    </row>
    <row r="2208" spans="1:50" ht="60" x14ac:dyDescent="0.2">
      <c r="A2208" s="8" t="str">
        <f ca="1">IFERROR(__xludf.DUMMYFUNCTION("""COMPUTED_VALUE"""),"20060821INCAN")</f>
        <v>20060821INCAN</v>
      </c>
      <c r="B2208" s="8">
        <f ca="1">IFERROR(__xludf.DUMMYFUNCTION("""COMPUTED_VALUE"""),8)</f>
        <v>8</v>
      </c>
      <c r="C2208" s="8">
        <f ca="1">IFERROR(__xludf.DUMMYFUNCTION("""COMPUTED_VALUE"""),21)</f>
        <v>21</v>
      </c>
      <c r="D2208" s="8">
        <f ca="1">IFERROR(__xludf.DUMMYFUNCTION("""COMPUTED_VALUE"""),2006)</f>
        <v>2006</v>
      </c>
      <c r="E2208" s="9">
        <f ca="1">IFERROR(__xludf.DUMMYFUNCTION("""COMPUTED_VALUE"""),38950)</f>
        <v>38950</v>
      </c>
      <c r="F2208" s="8" t="str">
        <f ca="1">IFERROR(__xludf.DUMMYFUNCTION("""COMPUTED_VALUE"""),"Castle High School")</f>
        <v>Castle High School</v>
      </c>
      <c r="G2208" s="8">
        <f ca="1">IFERROR(__xludf.DUMMYFUNCTION("""COMPUTED_VALUE"""),0)</f>
        <v>0</v>
      </c>
      <c r="H2208" s="8">
        <f ca="1">IFERROR(__xludf.DUMMYFUNCTION("""COMPUTED_VALUE"""),0)</f>
        <v>0</v>
      </c>
      <c r="I2208" s="8">
        <f ca="1">IFERROR(__xludf.DUMMYFUNCTION("""COMPUTED_VALUE"""),0)</f>
        <v>0</v>
      </c>
      <c r="J2208" s="8">
        <f ca="1">IFERROR(__xludf.DUMMYFUNCTION("""COMPUTED_VALUE"""),1)</f>
        <v>1</v>
      </c>
      <c r="K2208" s="10" t="str">
        <f ca="1">IFERROR(__xludf.DUMMYFUNCTION("""COMPUTED_VALUE"""),"http://www.14news.com/story/5306020/funeral-set-for-castle-suicide-victim?clienttype=printable&amp;redirected=true")</f>
        <v>http://www.14news.com/story/5306020/funeral-set-for-castle-suicide-victim?clienttype=printable&amp;redirected=true</v>
      </c>
      <c r="L2208" s="8"/>
      <c r="M2208" s="8"/>
      <c r="N2208" s="8">
        <f ca="1">IFERROR(__xludf.DUMMYFUNCTION("""COMPUTED_VALUE"""),2)</f>
        <v>2</v>
      </c>
      <c r="O2208" s="8" t="str">
        <f ca="1">IFERROR(__xludf.DUMMYFUNCTION("""COMPUTED_VALUE"""),"Summer")</f>
        <v>Summer</v>
      </c>
      <c r="P2208" s="8" t="str">
        <f ca="1">IFERROR(__xludf.DUMMYFUNCTION("""COMPUTED_VALUE"""),"Newburgh")</f>
        <v>Newburgh</v>
      </c>
      <c r="Q2208" s="8" t="str">
        <f ca="1">IFERROR(__xludf.DUMMYFUNCTION("""COMPUTED_VALUE"""),"IN")</f>
        <v>IN</v>
      </c>
      <c r="R2208" s="8" t="str">
        <f ca="1">IFERROR(__xludf.DUMMYFUNCTION("""COMPUTED_VALUE"""),"High")</f>
        <v>High</v>
      </c>
      <c r="S2208" s="8" t="str">
        <f ca="1">IFERROR(__xludf.DUMMYFUNCTION("""COMPUTED_VALUE"""),"Parking Lot")</f>
        <v>Parking Lot</v>
      </c>
      <c r="T2208" s="8" t="str">
        <f ca="1">IFERROR(__xludf.DUMMYFUNCTION("""COMPUTED_VALUE"""),"Outside on School Property")</f>
        <v>Outside on School Property</v>
      </c>
      <c r="U2208" s="8" t="str">
        <f ca="1">IFERROR(__xludf.DUMMYFUNCTION("""COMPUTED_VALUE"""),"Yes")</f>
        <v>Yes</v>
      </c>
      <c r="V2208" s="8" t="str">
        <f ca="1">IFERROR(__xludf.DUMMYFUNCTION("""COMPUTED_VALUE"""),"Morning Classes")</f>
        <v>Morning Classes</v>
      </c>
      <c r="W2208" s="8"/>
      <c r="X2208" s="8">
        <f ca="1">IFERROR(__xludf.DUMMYFUNCTION("""COMPUTED_VALUE"""),1)</f>
        <v>1</v>
      </c>
      <c r="Y2208" s="12" t="str">
        <f ca="1">IFERROR(__xludf.DUMMYFUNCTION("""COMPUTED_VALUE"""),"Shot himself in car in parking lot after giving suicide note to friend")</f>
        <v>Shot himself in car in parking lot after giving suicide note to friend</v>
      </c>
      <c r="Z2208" s="12" t="str">
        <f ca="1">IFERROR(__xludf.DUMMYFUNCTION("""COMPUTED_VALUE"""),"16YOM shot himself in his car in the parking lot after giving a suicide note to a friend. Student was well liked and not thought to be suicidal.")</f>
        <v>16YOM shot himself in his car in the parking lot after giving a suicide note to a friend. Student was well liked and not thought to be suicidal.</v>
      </c>
      <c r="AA2208" s="8" t="str">
        <f ca="1">IFERROR(__xludf.DUMMYFUNCTION("""COMPUTED_VALUE"""),"Suicide/Attempted")</f>
        <v>Suicide/Attempted</v>
      </c>
      <c r="AB2208" s="8"/>
      <c r="AC2208" s="8" t="str">
        <f ca="1">IFERROR(__xludf.DUMMYFUNCTION("""COMPUTED_VALUE"""),"Yes")</f>
        <v>Yes</v>
      </c>
      <c r="AD2208" s="8" t="str">
        <f ca="1">IFERROR(__xludf.DUMMYFUNCTION("""COMPUTED_VALUE"""),"Victims Targeted")</f>
        <v>Victims Targeted</v>
      </c>
      <c r="AE2208" s="8" t="str">
        <f ca="1">IFERROR(__xludf.DUMMYFUNCTION("""COMPUTED_VALUE"""),"No")</f>
        <v>No</v>
      </c>
      <c r="AF2208" s="8"/>
      <c r="AG2208" s="8" t="str">
        <f ca="1">IFERROR(__xludf.DUMMYFUNCTION("""COMPUTED_VALUE"""),"No")</f>
        <v>No</v>
      </c>
      <c r="AH2208" s="8" t="str">
        <f ca="1">IFERROR(__xludf.DUMMYFUNCTION("""COMPUTED_VALUE"""),"No")</f>
        <v>No</v>
      </c>
      <c r="AI2208" s="8" t="str">
        <f ca="1">IFERROR(__xludf.DUMMYFUNCTION("""COMPUTED_VALUE"""),"No")</f>
        <v>No</v>
      </c>
      <c r="AJ2208" s="8" t="str">
        <f ca="1">IFERROR(__xludf.DUMMYFUNCTION("""COMPUTED_VALUE"""),"No")</f>
        <v>No</v>
      </c>
      <c r="AK2208" s="8" t="str">
        <f ca="1">IFERROR(__xludf.DUMMYFUNCTION("""COMPUTED_VALUE"""),"No")</f>
        <v>No</v>
      </c>
      <c r="AL2208" s="8" t="str">
        <f ca="1">IFERROR(__xludf.DUMMYFUNCTION("""COMPUTED_VALUE"""),"No")</f>
        <v>No</v>
      </c>
      <c r="AM2208" s="8"/>
      <c r="AN2208" s="8"/>
      <c r="AO2208" s="8" t="str">
        <f ca="1">IFERROR(__xludf.DUMMYFUNCTION("""COMPUTED_VALUE"""),"No")</f>
        <v>No</v>
      </c>
      <c r="AP2208" s="8"/>
      <c r="AQ2208" s="8" t="str">
        <f ca="1">IFERROR(__xludf.DUMMYFUNCTION("""COMPUTED_VALUE"""),"Unknown")</f>
        <v>Unknown</v>
      </c>
      <c r="AR2208" s="8" t="str">
        <f ca="1">IFERROR(__xludf.DUMMYFUNCTION("""COMPUTED_VALUE"""),"NA")</f>
        <v>NA</v>
      </c>
      <c r="AS2208" s="8">
        <f ca="1">IFERROR(__xludf.DUMMYFUNCTION("""COMPUTED_VALUE"""),1)</f>
        <v>1</v>
      </c>
      <c r="AT2208" s="8"/>
      <c r="AU2208" s="8">
        <f ca="1">IFERROR(__xludf.DUMMYFUNCTION("""COMPUTED_VALUE"""),37.984756)</f>
        <v>37.984755999999997</v>
      </c>
      <c r="AV2208" s="8">
        <f ca="1">IFERROR(__xludf.DUMMYFUNCTION("""COMPUTED_VALUE"""),-87.384387)</f>
        <v>-87.384387000000004</v>
      </c>
      <c r="AW2208" s="8"/>
      <c r="AX2208" s="8">
        <f ca="1">IFERROR(__xludf.DUMMYFUNCTION("""COMPUTED_VALUE"""),47630)</f>
        <v>47630</v>
      </c>
    </row>
    <row r="2209" spans="1:50" ht="45" x14ac:dyDescent="0.2">
      <c r="A2209" s="8" t="str">
        <f ca="1">IFERROR(__xludf.DUMMYFUNCTION("""COMPUTED_VALUE"""),"20060820GALYH")</f>
        <v>20060820GALYH</v>
      </c>
      <c r="B2209" s="8">
        <f ca="1">IFERROR(__xludf.DUMMYFUNCTION("""COMPUTED_VALUE"""),8)</f>
        <v>8</v>
      </c>
      <c r="C2209" s="8">
        <f ca="1">IFERROR(__xludf.DUMMYFUNCTION("""COMPUTED_VALUE"""),20)</f>
        <v>20</v>
      </c>
      <c r="D2209" s="8">
        <f ca="1">IFERROR(__xludf.DUMMYFUNCTION("""COMPUTED_VALUE"""),2006)</f>
        <v>2006</v>
      </c>
      <c r="E2209" s="9">
        <f ca="1">IFERROR(__xludf.DUMMYFUNCTION("""COMPUTED_VALUE"""),38949)</f>
        <v>38949</v>
      </c>
      <c r="F2209" s="8" t="str">
        <f ca="1">IFERROR(__xludf.DUMMYFUNCTION("""COMPUTED_VALUE"""),"Lyman Hall Elementary School")</f>
        <v>Lyman Hall Elementary School</v>
      </c>
      <c r="G2209" s="8">
        <f ca="1">IFERROR(__xludf.DUMMYFUNCTION("""COMPUTED_VALUE"""),0)</f>
        <v>0</v>
      </c>
      <c r="H2209" s="8">
        <f ca="1">IFERROR(__xludf.DUMMYFUNCTION("""COMPUTED_VALUE"""),2)</f>
        <v>2</v>
      </c>
      <c r="I2209" s="8">
        <f ca="1">IFERROR(__xludf.DUMMYFUNCTION("""COMPUTED_VALUE"""),2)</f>
        <v>2</v>
      </c>
      <c r="J2209" s="8">
        <f ca="1">IFERROR(__xludf.DUMMYFUNCTION("""COMPUTED_VALUE"""),0)</f>
        <v>0</v>
      </c>
      <c r="K2209" s="10" t="str">
        <f ca="1">IFERROR(__xludf.DUMMYFUNCTION("""COMPUTED_VALUE"""),"http://www.savannahnow.com/article/20060821/NEWS/308219914")</f>
        <v>http://www.savannahnow.com/article/20060821/NEWS/308219914</v>
      </c>
      <c r="L2209" s="8"/>
      <c r="M2209" s="8"/>
      <c r="N2209" s="8">
        <f ca="1">IFERROR(__xludf.DUMMYFUNCTION("""COMPUTED_VALUE"""),2)</f>
        <v>2</v>
      </c>
      <c r="O2209" s="8" t="str">
        <f ca="1">IFERROR(__xludf.DUMMYFUNCTION("""COMPUTED_VALUE"""),"Summer")</f>
        <v>Summer</v>
      </c>
      <c r="P2209" s="8" t="str">
        <f ca="1">IFERROR(__xludf.DUMMYFUNCTION("""COMPUTED_VALUE"""),"Hinesville")</f>
        <v>Hinesville</v>
      </c>
      <c r="Q2209" s="8" t="str">
        <f ca="1">IFERROR(__xludf.DUMMYFUNCTION("""COMPUTED_VALUE"""),"GA")</f>
        <v>GA</v>
      </c>
      <c r="R2209" s="8" t="str">
        <f ca="1">IFERROR(__xludf.DUMMYFUNCTION("""COMPUTED_VALUE"""),"High")</f>
        <v>High</v>
      </c>
      <c r="S2209" s="8" t="str">
        <f ca="1">IFERROR(__xludf.DUMMYFUNCTION("""COMPUTED_VALUE"""),"Basketball Court")</f>
        <v>Basketball Court</v>
      </c>
      <c r="T2209" s="8" t="str">
        <f ca="1">IFERROR(__xludf.DUMMYFUNCTION("""COMPUTED_VALUE"""),"Outside on School Property")</f>
        <v>Outside on School Property</v>
      </c>
      <c r="U2209" s="8" t="str">
        <f ca="1">IFERROR(__xludf.DUMMYFUNCTION("""COMPUTED_VALUE"""),"No")</f>
        <v>No</v>
      </c>
      <c r="V2209" s="8" t="str">
        <f ca="1">IFERROR(__xludf.DUMMYFUNCTION("""COMPUTED_VALUE"""),"Not a School Day")</f>
        <v>Not a School Day</v>
      </c>
      <c r="W2209" s="11">
        <f ca="1">IFERROR(__xludf.DUMMYFUNCTION("""COMPUTED_VALUE"""),0.8125)</f>
        <v>0.8125</v>
      </c>
      <c r="X2209" s="8">
        <f ca="1">IFERROR(__xludf.DUMMYFUNCTION("""COMPUTED_VALUE"""),1)</f>
        <v>1</v>
      </c>
      <c r="Y2209" s="12" t="str">
        <f ca="1">IFERROR(__xludf.DUMMYFUNCTION("""COMPUTED_VALUE"""),"Shot during fight on basketball court at school")</f>
        <v>Shot during fight on basketball court at school</v>
      </c>
      <c r="Z2209" s="12" t="str">
        <f ca="1">IFERROR(__xludf.DUMMYFUNCTION("""COMPUTED_VALUE"""),"18YOM and 17YOM shot during fight between several teens during a basketball game at the school. Several teens involved fled. No suspect identified.")</f>
        <v>18YOM and 17YOM shot during fight between several teens during a basketball game at the school. Several teens involved fled. No suspect identified.</v>
      </c>
      <c r="AA2209" s="8" t="str">
        <f ca="1">IFERROR(__xludf.DUMMYFUNCTION("""COMPUTED_VALUE"""),"Escalation of Dispute")</f>
        <v>Escalation of Dispute</v>
      </c>
      <c r="AB2209" s="8"/>
      <c r="AC2209" s="8" t="str">
        <f ca="1">IFERROR(__xludf.DUMMYFUNCTION("""COMPUTED_VALUE"""),"No")</f>
        <v>No</v>
      </c>
      <c r="AD2209" s="8" t="str">
        <f ca="1">IFERROR(__xludf.DUMMYFUNCTION("""COMPUTED_VALUE"""),"Victims Targeted")</f>
        <v>Victims Targeted</v>
      </c>
      <c r="AE2209" s="8" t="str">
        <f ca="1">IFERROR(__xludf.DUMMYFUNCTION("""COMPUTED_VALUE"""),"Yes")</f>
        <v>Yes</v>
      </c>
      <c r="AF2209" s="8" t="str">
        <f ca="1">IFERROR(__xludf.DUMMYFUNCTION("""COMPUTED_VALUE"""),"Group of teens fled")</f>
        <v>Group of teens fled</v>
      </c>
      <c r="AG2209" s="8" t="str">
        <f ca="1">IFERROR(__xludf.DUMMYFUNCTION("""COMPUTED_VALUE"""),"No")</f>
        <v>No</v>
      </c>
      <c r="AH2209" s="8" t="str">
        <f ca="1">IFERROR(__xludf.DUMMYFUNCTION("""COMPUTED_VALUE"""),"No")</f>
        <v>No</v>
      </c>
      <c r="AI2209" s="8" t="str">
        <f ca="1">IFERROR(__xludf.DUMMYFUNCTION("""COMPUTED_VALUE"""),"No")</f>
        <v>No</v>
      </c>
      <c r="AJ2209" s="8" t="str">
        <f ca="1">IFERROR(__xludf.DUMMYFUNCTION("""COMPUTED_VALUE"""),"No")</f>
        <v>No</v>
      </c>
      <c r="AK2209" s="8" t="str">
        <f ca="1">IFERROR(__xludf.DUMMYFUNCTION("""COMPUTED_VALUE"""),"No")</f>
        <v>No</v>
      </c>
      <c r="AL2209" s="8" t="str">
        <f ca="1">IFERROR(__xludf.DUMMYFUNCTION("""COMPUTED_VALUE"""),"No")</f>
        <v>No</v>
      </c>
      <c r="AM2209" s="8"/>
      <c r="AN2209" s="8"/>
      <c r="AO2209" s="8" t="str">
        <f ca="1">IFERROR(__xludf.DUMMYFUNCTION("""COMPUTED_VALUE"""),"No")</f>
        <v>No</v>
      </c>
      <c r="AP2209" s="8"/>
      <c r="AQ2209" s="8" t="str">
        <f ca="1">IFERROR(__xludf.DUMMYFUNCTION("""COMPUTED_VALUE"""),"Unknown")</f>
        <v>Unknown</v>
      </c>
      <c r="AR2209" s="8" t="str">
        <f ca="1">IFERROR(__xludf.DUMMYFUNCTION("""COMPUTED_VALUE"""),"NA")</f>
        <v>NA</v>
      </c>
      <c r="AS2209" s="8" t="str">
        <f ca="1">IFERROR(__xludf.DUMMYFUNCTION("""COMPUTED_VALUE"""),"&lt;10")</f>
        <v>&lt;10</v>
      </c>
      <c r="AT2209" s="8"/>
      <c r="AU2209" s="8">
        <f ca="1">IFERROR(__xludf.DUMMYFUNCTION("""COMPUTED_VALUE"""),31.795208)</f>
        <v>31.795207999999999</v>
      </c>
      <c r="AV2209" s="8">
        <f ca="1">IFERROR(__xludf.DUMMYFUNCTION("""COMPUTED_VALUE"""),-81.612865)</f>
        <v>-81.612864999999999</v>
      </c>
      <c r="AW2209" s="8"/>
      <c r="AX2209" s="8">
        <f ca="1">IFERROR(__xludf.DUMMYFUNCTION("""COMPUTED_VALUE"""),31313)</f>
        <v>31313</v>
      </c>
    </row>
    <row r="2210" spans="1:50" ht="75" x14ac:dyDescent="0.2">
      <c r="A2210" s="8" t="str">
        <f ca="1">IFERROR(__xludf.DUMMYFUNCTION("""COMPUTED_VALUE"""),"20060819OHSOY")</f>
        <v>20060819OHSOY</v>
      </c>
      <c r="B2210" s="8">
        <f ca="1">IFERROR(__xludf.DUMMYFUNCTION("""COMPUTED_VALUE"""),8)</f>
        <v>8</v>
      </c>
      <c r="C2210" s="8">
        <f ca="1">IFERROR(__xludf.DUMMYFUNCTION("""COMPUTED_VALUE"""),19)</f>
        <v>19</v>
      </c>
      <c r="D2210" s="8">
        <f ca="1">IFERROR(__xludf.DUMMYFUNCTION("""COMPUTED_VALUE"""),2006)</f>
        <v>2006</v>
      </c>
      <c r="E2210" s="9">
        <f ca="1">IFERROR(__xludf.DUMMYFUNCTION("""COMPUTED_VALUE"""),38948)</f>
        <v>38948</v>
      </c>
      <c r="F2210" s="8" t="str">
        <f ca="1">IFERROR(__xludf.DUMMYFUNCTION("""COMPUTED_VALUE"""),"South High School")</f>
        <v>South High School</v>
      </c>
      <c r="G2210" s="8">
        <f ca="1">IFERROR(__xludf.DUMMYFUNCTION("""COMPUTED_VALUE"""),1)</f>
        <v>1</v>
      </c>
      <c r="H2210" s="8">
        <f ca="1">IFERROR(__xludf.DUMMYFUNCTION("""COMPUTED_VALUE"""),0)</f>
        <v>0</v>
      </c>
      <c r="I2210" s="8">
        <f ca="1">IFERROR(__xludf.DUMMYFUNCTION("""COMPUTED_VALUE"""),1)</f>
        <v>1</v>
      </c>
      <c r="J2210" s="8">
        <f ca="1">IFERROR(__xludf.DUMMYFUNCTION("""COMPUTED_VALUE"""),0)</f>
        <v>0</v>
      </c>
      <c r="K2210" s="10" t="str">
        <f ca="1">IFERROR(__xludf.DUMMYFUNCTION("""COMPUTED_VALUE"""),"http://www.vindy.com/news/2009/jul/27/trial-under-way-for-man-accused-of-shooting-death/")</f>
        <v>http://www.vindy.com/news/2009/jul/27/trial-under-way-for-man-accused-of-shooting-death/</v>
      </c>
      <c r="L2210" s="8"/>
      <c r="M2210" s="8"/>
      <c r="N2210" s="8">
        <f ca="1">IFERROR(__xludf.DUMMYFUNCTION("""COMPUTED_VALUE"""),2)</f>
        <v>2</v>
      </c>
      <c r="O2210" s="8" t="str">
        <f ca="1">IFERROR(__xludf.DUMMYFUNCTION("""COMPUTED_VALUE"""),"Summer")</f>
        <v>Summer</v>
      </c>
      <c r="P2210" s="8" t="str">
        <f ca="1">IFERROR(__xludf.DUMMYFUNCTION("""COMPUTED_VALUE"""),"Youngstown")</f>
        <v>Youngstown</v>
      </c>
      <c r="Q2210" s="8" t="str">
        <f ca="1">IFERROR(__xludf.DUMMYFUNCTION("""COMPUTED_VALUE"""),"OH")</f>
        <v>OH</v>
      </c>
      <c r="R2210" s="8" t="str">
        <f ca="1">IFERROR(__xludf.DUMMYFUNCTION("""COMPUTED_VALUE"""),"High")</f>
        <v>High</v>
      </c>
      <c r="S2210" s="8" t="str">
        <f ca="1">IFERROR(__xludf.DUMMYFUNCTION("""COMPUTED_VALUE"""),"Football Field/Track")</f>
        <v>Football Field/Track</v>
      </c>
      <c r="T2210" s="8" t="str">
        <f ca="1">IFERROR(__xludf.DUMMYFUNCTION("""COMPUTED_VALUE"""),"Outside on School Property")</f>
        <v>Outside on School Property</v>
      </c>
      <c r="U2210" s="8" t="str">
        <f ca="1">IFERROR(__xludf.DUMMYFUNCTION("""COMPUTED_VALUE"""),"No")</f>
        <v>No</v>
      </c>
      <c r="V2210" s="8" t="str">
        <f ca="1">IFERROR(__xludf.DUMMYFUNCTION("""COMPUTED_VALUE"""),"Not a School Day")</f>
        <v>Not a School Day</v>
      </c>
      <c r="W2210" s="11">
        <f ca="1">IFERROR(__xludf.DUMMYFUNCTION("""COMPUTED_VALUE"""),0.65625)</f>
        <v>0.65625</v>
      </c>
      <c r="X2210" s="8">
        <f ca="1">IFERROR(__xludf.DUMMYFUNCTION("""COMPUTED_VALUE"""),1)</f>
        <v>1</v>
      </c>
      <c r="Y2210" s="12" t="str">
        <f ca="1">IFERROR(__xludf.DUMMYFUNCTION("""COMPUTED_VALUE"""),"Shots fired during fight between adults at football game, part of Ongoing conflict")</f>
        <v>Shots fired during fight between adults at football game, part of Ongoing conflict</v>
      </c>
      <c r="Z2210" s="12" t="str">
        <f ca="1">IFERROR(__xludf.DUMMYFUNCTION("""COMPUTED_VALUE"""),"25YOM shot 31YOM at youth football game when fight escalated as part of an ongoing dispute.")</f>
        <v>25YOM shot 31YOM at youth football game when fight escalated as part of an ongoing dispute.</v>
      </c>
      <c r="AA2210" s="8" t="str">
        <f ca="1">IFERROR(__xludf.DUMMYFUNCTION("""COMPUTED_VALUE"""),"Escalation of Dispute")</f>
        <v>Escalation of Dispute</v>
      </c>
      <c r="AB2210" s="8"/>
      <c r="AC2210" s="8" t="str">
        <f ca="1">IFERROR(__xludf.DUMMYFUNCTION("""COMPUTED_VALUE"""),"Yes")</f>
        <v>Yes</v>
      </c>
      <c r="AD2210" s="8" t="str">
        <f ca="1">IFERROR(__xludf.DUMMYFUNCTION("""COMPUTED_VALUE"""),"Victims Targeted")</f>
        <v>Victims Targeted</v>
      </c>
      <c r="AE2210" s="8" t="str">
        <f ca="1">IFERROR(__xludf.DUMMYFUNCTION("""COMPUTED_VALUE"""),"No")</f>
        <v>No</v>
      </c>
      <c r="AF2210" s="8"/>
      <c r="AG2210" s="8" t="str">
        <f ca="1">IFERROR(__xludf.DUMMYFUNCTION("""COMPUTED_VALUE"""),"No")</f>
        <v>No</v>
      </c>
      <c r="AH2210" s="8" t="str">
        <f ca="1">IFERROR(__xludf.DUMMYFUNCTION("""COMPUTED_VALUE"""),"No")</f>
        <v>No</v>
      </c>
      <c r="AI2210" s="8" t="str">
        <f ca="1">IFERROR(__xludf.DUMMYFUNCTION("""COMPUTED_VALUE"""),"No")</f>
        <v>No</v>
      </c>
      <c r="AJ2210" s="8" t="str">
        <f ca="1">IFERROR(__xludf.DUMMYFUNCTION("""COMPUTED_VALUE"""),"No")</f>
        <v>No</v>
      </c>
      <c r="AK2210" s="8" t="str">
        <f ca="1">IFERROR(__xludf.DUMMYFUNCTION("""COMPUTED_VALUE"""),"No")</f>
        <v>No</v>
      </c>
      <c r="AL2210" s="8" t="str">
        <f ca="1">IFERROR(__xludf.DUMMYFUNCTION("""COMPUTED_VALUE"""),"No")</f>
        <v>No</v>
      </c>
      <c r="AM2210" s="8"/>
      <c r="AN2210" s="8"/>
      <c r="AO2210" s="8" t="str">
        <f ca="1">IFERROR(__xludf.DUMMYFUNCTION("""COMPUTED_VALUE"""),"No")</f>
        <v>No</v>
      </c>
      <c r="AP2210" s="8"/>
      <c r="AQ2210" s="8" t="str">
        <f ca="1">IFERROR(__xludf.DUMMYFUNCTION("""COMPUTED_VALUE"""),"Unknown")</f>
        <v>Unknown</v>
      </c>
      <c r="AR2210" s="8" t="str">
        <f ca="1">IFERROR(__xludf.DUMMYFUNCTION("""COMPUTED_VALUE"""),"NA")</f>
        <v>NA</v>
      </c>
      <c r="AS2210" s="8" t="str">
        <f ca="1">IFERROR(__xludf.DUMMYFUNCTION("""COMPUTED_VALUE"""),"&lt;10")</f>
        <v>&lt;10</v>
      </c>
      <c r="AT2210" s="8"/>
      <c r="AU2210" s="8">
        <f ca="1">IFERROR(__xludf.DUMMYFUNCTION("""COMPUTED_VALUE"""),41.081632)</f>
        <v>41.081631999999999</v>
      </c>
      <c r="AV2210" s="8">
        <f ca="1">IFERROR(__xludf.DUMMYFUNCTION("""COMPUTED_VALUE"""),-80.65608)</f>
        <v>-80.656080000000003</v>
      </c>
      <c r="AW2210" s="8"/>
      <c r="AX2210" s="8">
        <f ca="1">IFERROR(__xludf.DUMMYFUNCTION("""COMPUTED_VALUE"""),44507)</f>
        <v>44507</v>
      </c>
    </row>
    <row r="2211" spans="1:50" ht="75" x14ac:dyDescent="0.2">
      <c r="A2211" s="8" t="str">
        <f ca="1">IFERROR(__xludf.DUMMYFUNCTION("""COMPUTED_VALUE"""),"20060817TXMEA")</f>
        <v>20060817TXMEA</v>
      </c>
      <c r="B2211" s="8">
        <f ca="1">IFERROR(__xludf.DUMMYFUNCTION("""COMPUTED_VALUE"""),8)</f>
        <v>8</v>
      </c>
      <c r="C2211" s="8">
        <f ca="1">IFERROR(__xludf.DUMMYFUNCTION("""COMPUTED_VALUE"""),17)</f>
        <v>17</v>
      </c>
      <c r="D2211" s="8">
        <f ca="1">IFERROR(__xludf.DUMMYFUNCTION("""COMPUTED_VALUE"""),2006)</f>
        <v>2006</v>
      </c>
      <c r="E2211" s="9">
        <f ca="1">IFERROR(__xludf.DUMMYFUNCTION("""COMPUTED_VALUE"""),38946)</f>
        <v>38946</v>
      </c>
      <c r="F2211" s="8" t="str">
        <f ca="1">IFERROR(__xludf.DUMMYFUNCTION("""COMPUTED_VALUE"""),"Mendez Middle School")</f>
        <v>Mendez Middle School</v>
      </c>
      <c r="G2211" s="8">
        <f ca="1">IFERROR(__xludf.DUMMYFUNCTION("""COMPUTED_VALUE"""),1)</f>
        <v>1</v>
      </c>
      <c r="H2211" s="8">
        <f ca="1">IFERROR(__xludf.DUMMYFUNCTION("""COMPUTED_VALUE"""),0)</f>
        <v>0</v>
      </c>
      <c r="I2211" s="8">
        <f ca="1">IFERROR(__xludf.DUMMYFUNCTION("""COMPUTED_VALUE"""),1)</f>
        <v>1</v>
      </c>
      <c r="J2211" s="8">
        <f ca="1">IFERROR(__xludf.DUMMYFUNCTION("""COMPUTED_VALUE"""),0)</f>
        <v>0</v>
      </c>
      <c r="K2211" s="10" t="str">
        <f ca="1">IFERROR(__xludf.DUMMYFUNCTION("""COMPUTED_VALUE"""),"http://www.pressreader.com/usa/austin-american-statesman/20060822/281908768618808")</f>
        <v>http://www.pressreader.com/usa/austin-american-statesman/20060822/281908768618808</v>
      </c>
      <c r="L2211" s="8"/>
      <c r="M2211" s="8"/>
      <c r="N2211" s="8">
        <f ca="1">IFERROR(__xludf.DUMMYFUNCTION("""COMPUTED_VALUE"""),2)</f>
        <v>2</v>
      </c>
      <c r="O2211" s="8" t="str">
        <f ca="1">IFERROR(__xludf.DUMMYFUNCTION("""COMPUTED_VALUE"""),"Summer")</f>
        <v>Summer</v>
      </c>
      <c r="P2211" s="8" t="str">
        <f ca="1">IFERROR(__xludf.DUMMYFUNCTION("""COMPUTED_VALUE"""),"Austin")</f>
        <v>Austin</v>
      </c>
      <c r="Q2211" s="8" t="str">
        <f ca="1">IFERROR(__xludf.DUMMYFUNCTION("""COMPUTED_VALUE"""),"TX")</f>
        <v>TX</v>
      </c>
      <c r="R2211" s="8" t="str">
        <f ca="1">IFERROR(__xludf.DUMMYFUNCTION("""COMPUTED_VALUE"""),"Middle")</f>
        <v>Middle</v>
      </c>
      <c r="S2211" s="8" t="str">
        <f ca="1">IFERROR(__xludf.DUMMYFUNCTION("""COMPUTED_VALUE"""),"Outside on School Property")</f>
        <v>Outside on School Property</v>
      </c>
      <c r="T2211" s="8" t="str">
        <f ca="1">IFERROR(__xludf.DUMMYFUNCTION("""COMPUTED_VALUE"""),"Outside on School Property")</f>
        <v>Outside on School Property</v>
      </c>
      <c r="U2211" s="8" t="str">
        <f ca="1">IFERROR(__xludf.DUMMYFUNCTION("""COMPUTED_VALUE"""),"No")</f>
        <v>No</v>
      </c>
      <c r="V2211" s="8" t="str">
        <f ca="1">IFERROR(__xludf.DUMMYFUNCTION("""COMPUTED_VALUE"""),"Not a School Day")</f>
        <v>Not a School Day</v>
      </c>
      <c r="W2211" s="11">
        <f ca="1">IFERROR(__xludf.DUMMYFUNCTION("""COMPUTED_VALUE"""),0.833333333333333)</f>
        <v>0.83333333333333304</v>
      </c>
      <c r="X2211" s="8">
        <f ca="1">IFERROR(__xludf.DUMMYFUNCTION("""COMPUTED_VALUE"""),1)</f>
        <v>1</v>
      </c>
      <c r="Y2211" s="12" t="str">
        <f ca="1">IFERROR(__xludf.DUMMYFUNCTION("""COMPUTED_VALUE"""),"Shot at school by two rival gang members involved in ongoing dispute with victim")</f>
        <v>Shot at school by two rival gang members involved in ongoing dispute with victim</v>
      </c>
      <c r="Z2211" s="12" t="str">
        <f ca="1">IFERROR(__xludf.DUMMYFUNCTION("""COMPUTED_VALUE"""),"21YOM was shot while school to attend birthday party during dispute with two rival gang members.")</f>
        <v>21YOM was shot while school to attend birthday party during dispute with two rival gang members.</v>
      </c>
      <c r="AA2211" s="8" t="str">
        <f ca="1">IFERROR(__xludf.DUMMYFUNCTION("""COMPUTED_VALUE"""),"Escalation of Dispute")</f>
        <v>Escalation of Dispute</v>
      </c>
      <c r="AB2211" s="8"/>
      <c r="AC2211" s="8" t="str">
        <f ca="1">IFERROR(__xludf.DUMMYFUNCTION("""COMPUTED_VALUE"""),"No")</f>
        <v>No</v>
      </c>
      <c r="AD2211" s="8" t="str">
        <f ca="1">IFERROR(__xludf.DUMMYFUNCTION("""COMPUTED_VALUE"""),"Victims Targeted")</f>
        <v>Victims Targeted</v>
      </c>
      <c r="AE2211" s="8" t="str">
        <f ca="1">IFERROR(__xludf.DUMMYFUNCTION("""COMPUTED_VALUE"""),"Yes")</f>
        <v>Yes</v>
      </c>
      <c r="AF2211" s="8" t="str">
        <f ca="1">IFERROR(__xludf.DUMMYFUNCTION("""COMPUTED_VALUE"""),"2 gang members involved, unclear which one was shooter")</f>
        <v>2 gang members involved, unclear which one was shooter</v>
      </c>
      <c r="AG2211" s="8" t="str">
        <f ca="1">IFERROR(__xludf.DUMMYFUNCTION("""COMPUTED_VALUE"""),"No")</f>
        <v>No</v>
      </c>
      <c r="AH2211" s="8" t="str">
        <f ca="1">IFERROR(__xludf.DUMMYFUNCTION("""COMPUTED_VALUE"""),"No")</f>
        <v>No</v>
      </c>
      <c r="AI2211" s="8" t="str">
        <f ca="1">IFERROR(__xludf.DUMMYFUNCTION("""COMPUTED_VALUE"""),"No")</f>
        <v>No</v>
      </c>
      <c r="AJ2211" s="8" t="str">
        <f ca="1">IFERROR(__xludf.DUMMYFUNCTION("""COMPUTED_VALUE"""),"No")</f>
        <v>No</v>
      </c>
      <c r="AK2211" s="8" t="str">
        <f ca="1">IFERROR(__xludf.DUMMYFUNCTION("""COMPUTED_VALUE"""),"No")</f>
        <v>No</v>
      </c>
      <c r="AL2211" s="8" t="str">
        <f ca="1">IFERROR(__xludf.DUMMYFUNCTION("""COMPUTED_VALUE"""),"Yes")</f>
        <v>Yes</v>
      </c>
      <c r="AM2211" s="8"/>
      <c r="AN2211" s="8"/>
      <c r="AO2211" s="8" t="str">
        <f ca="1">IFERROR(__xludf.DUMMYFUNCTION("""COMPUTED_VALUE"""),"No")</f>
        <v>No</v>
      </c>
      <c r="AP2211" s="8"/>
      <c r="AQ2211" s="8" t="str">
        <f ca="1">IFERROR(__xludf.DUMMYFUNCTION("""COMPUTED_VALUE"""),"Unknown")</f>
        <v>Unknown</v>
      </c>
      <c r="AR2211" s="8" t="str">
        <f ca="1">IFERROR(__xludf.DUMMYFUNCTION("""COMPUTED_VALUE"""),"NA")</f>
        <v>NA</v>
      </c>
      <c r="AS2211" s="8"/>
      <c r="AT2211" s="8"/>
      <c r="AU2211" s="8">
        <f ca="1">IFERROR(__xludf.DUMMYFUNCTION("""COMPUTED_VALUE"""),30.188647)</f>
        <v>30.188647</v>
      </c>
      <c r="AV2211" s="8">
        <f ca="1">IFERROR(__xludf.DUMMYFUNCTION("""COMPUTED_VALUE"""),-97.743245)</f>
        <v>-97.743245000000002</v>
      </c>
      <c r="AW2211" s="8"/>
      <c r="AX2211" s="8">
        <f ca="1">IFERROR(__xludf.DUMMYFUNCTION("""COMPUTED_VALUE"""),78744)</f>
        <v>78744</v>
      </c>
    </row>
    <row r="2212" spans="1:50" ht="45" x14ac:dyDescent="0.2">
      <c r="A2212" s="8" t="str">
        <f ca="1">IFERROR(__xludf.DUMMYFUNCTION("""COMPUTED_VALUE"""),"20060815KYJTV")</f>
        <v>20060815KYJTV</v>
      </c>
      <c r="B2212" s="8">
        <f ca="1">IFERROR(__xludf.DUMMYFUNCTION("""COMPUTED_VALUE"""),8)</f>
        <v>8</v>
      </c>
      <c r="C2212" s="8">
        <f ca="1">IFERROR(__xludf.DUMMYFUNCTION("""COMPUTED_VALUE"""),15)</f>
        <v>15</v>
      </c>
      <c r="D2212" s="8">
        <f ca="1">IFERROR(__xludf.DUMMYFUNCTION("""COMPUTED_VALUE"""),2006)</f>
        <v>2006</v>
      </c>
      <c r="E2212" s="9">
        <f ca="1">IFERROR(__xludf.DUMMYFUNCTION("""COMPUTED_VALUE"""),38944)</f>
        <v>38944</v>
      </c>
      <c r="F2212" s="8" t="str">
        <f ca="1">IFERROR(__xludf.DUMMYFUNCTION("""COMPUTED_VALUE"""),"J T Alton Middle School")</f>
        <v>J T Alton Middle School</v>
      </c>
      <c r="G2212" s="8">
        <f ca="1">IFERROR(__xludf.DUMMYFUNCTION("""COMPUTED_VALUE"""),0)</f>
        <v>0</v>
      </c>
      <c r="H2212" s="8">
        <f ca="1">IFERROR(__xludf.DUMMYFUNCTION("""COMPUTED_VALUE"""),0)</f>
        <v>0</v>
      </c>
      <c r="I2212" s="8">
        <f ca="1">IFERROR(__xludf.DUMMYFUNCTION("""COMPUTED_VALUE"""),0)</f>
        <v>0</v>
      </c>
      <c r="J2212" s="8">
        <f ca="1">IFERROR(__xludf.DUMMYFUNCTION("""COMPUTED_VALUE"""),0)</f>
        <v>0</v>
      </c>
      <c r="K2212" s="10" t="str">
        <f ca="1">IFERROR(__xludf.DUMMYFUNCTION("""COMPUTED_VALUE"""),"https://www.newspapers.com/image/379718672/?terms=J.%2BT.%2BAlton%2BMiddle%2BSchool%2Bbullet%2Bceiling")</f>
        <v>https://www.newspapers.com/image/379718672/?terms=J.%2BT.%2BAlton%2BMiddle%2BSchool%2Bbullet%2Bceiling</v>
      </c>
      <c r="L2212" s="8"/>
      <c r="M2212" s="8"/>
      <c r="N2212" s="8">
        <f ca="1">IFERROR(__xludf.DUMMYFUNCTION("""COMPUTED_VALUE"""),2)</f>
        <v>2</v>
      </c>
      <c r="O2212" s="8" t="str">
        <f ca="1">IFERROR(__xludf.DUMMYFUNCTION("""COMPUTED_VALUE"""),"Summer")</f>
        <v>Summer</v>
      </c>
      <c r="P2212" s="8" t="str">
        <f ca="1">IFERROR(__xludf.DUMMYFUNCTION("""COMPUTED_VALUE"""),"Vine Grove")</f>
        <v>Vine Grove</v>
      </c>
      <c r="Q2212" s="8" t="str">
        <f ca="1">IFERROR(__xludf.DUMMYFUNCTION("""COMPUTED_VALUE"""),"KY")</f>
        <v>KY</v>
      </c>
      <c r="R2212" s="8" t="str">
        <f ca="1">IFERROR(__xludf.DUMMYFUNCTION("""COMPUTED_VALUE"""),"Middle")</f>
        <v>Middle</v>
      </c>
      <c r="S2212" s="8" t="str">
        <f ca="1">IFERROR(__xludf.DUMMYFUNCTION("""COMPUTED_VALUE"""),"Classroom")</f>
        <v>Classroom</v>
      </c>
      <c r="T2212" s="8" t="str">
        <f ca="1">IFERROR(__xludf.DUMMYFUNCTION("""COMPUTED_VALUE"""),"Inside School Building")</f>
        <v>Inside School Building</v>
      </c>
      <c r="U2212" s="8" t="str">
        <f ca="1">IFERROR(__xludf.DUMMYFUNCTION("""COMPUTED_VALUE"""),"Yes")</f>
        <v>Yes</v>
      </c>
      <c r="V2212" s="8"/>
      <c r="W2212" s="8"/>
      <c r="X2212" s="8">
        <f ca="1">IFERROR(__xludf.DUMMYFUNCTION("""COMPUTED_VALUE"""),1)</f>
        <v>1</v>
      </c>
      <c r="Y2212" s="12" t="str">
        <f ca="1">IFERROR(__xludf.DUMMYFUNCTION("""COMPUTED_VALUE"""),"Showing off gun, accidentally fired striking ceiling")</f>
        <v>Showing off gun, accidentally fired striking ceiling</v>
      </c>
      <c r="Z2212" s="12" t="str">
        <f ca="1">IFERROR(__xludf.DUMMYFUNCTION("""COMPUTED_VALUE"""),"13YOM student was showing off handgun in classroom to other students. Accidental discharge striking ceiling. Shooter surrendered to teacher immediately.")</f>
        <v>13YOM student was showing off handgun in classroom to other students. Accidental discharge striking ceiling. Shooter surrendered to teacher immediately.</v>
      </c>
      <c r="AA2212" s="8" t="str">
        <f ca="1">IFERROR(__xludf.DUMMYFUNCTION("""COMPUTED_VALUE"""),"Accidental")</f>
        <v>Accidental</v>
      </c>
      <c r="AB2212" s="8"/>
      <c r="AC2212" s="8" t="str">
        <f ca="1">IFERROR(__xludf.DUMMYFUNCTION("""COMPUTED_VALUE"""),"Yes")</f>
        <v>Yes</v>
      </c>
      <c r="AD2212" s="8" t="str">
        <f ca="1">IFERROR(__xludf.DUMMYFUNCTION("""COMPUTED_VALUE"""),"Neither")</f>
        <v>Neither</v>
      </c>
      <c r="AE2212" s="8" t="str">
        <f ca="1">IFERROR(__xludf.DUMMYFUNCTION("""COMPUTED_VALUE"""),"No")</f>
        <v>No</v>
      </c>
      <c r="AF2212" s="8"/>
      <c r="AG2212" s="8" t="str">
        <f ca="1">IFERROR(__xludf.DUMMYFUNCTION("""COMPUTED_VALUE"""),"No")</f>
        <v>No</v>
      </c>
      <c r="AH2212" s="8" t="str">
        <f ca="1">IFERROR(__xludf.DUMMYFUNCTION("""COMPUTED_VALUE"""),"No")</f>
        <v>No</v>
      </c>
      <c r="AI2212" s="8" t="str">
        <f ca="1">IFERROR(__xludf.DUMMYFUNCTION("""COMPUTED_VALUE"""),"No")</f>
        <v>No</v>
      </c>
      <c r="AJ2212" s="8" t="str">
        <f ca="1">IFERROR(__xludf.DUMMYFUNCTION("""COMPUTED_VALUE"""),"No")</f>
        <v>No</v>
      </c>
      <c r="AK2212" s="8" t="str">
        <f ca="1">IFERROR(__xludf.DUMMYFUNCTION("""COMPUTED_VALUE"""),"No")</f>
        <v>No</v>
      </c>
      <c r="AL2212" s="8" t="str">
        <f ca="1">IFERROR(__xludf.DUMMYFUNCTION("""COMPUTED_VALUE"""),"No")</f>
        <v>No</v>
      </c>
      <c r="AM2212" s="8"/>
      <c r="AN2212" s="8"/>
      <c r="AO2212" s="8" t="str">
        <f ca="1">IFERROR(__xludf.DUMMYFUNCTION("""COMPUTED_VALUE"""),"No")</f>
        <v>No</v>
      </c>
      <c r="AP2212" s="8"/>
      <c r="AQ2212" s="8" t="str">
        <f ca="1">IFERROR(__xludf.DUMMYFUNCTION("""COMPUTED_VALUE"""),"Unknown")</f>
        <v>Unknown</v>
      </c>
      <c r="AR2212" s="8" t="str">
        <f ca="1">IFERROR(__xludf.DUMMYFUNCTION("""COMPUTED_VALUE"""),"NA")</f>
        <v>NA</v>
      </c>
      <c r="AS2212" s="8">
        <f ca="1">IFERROR(__xludf.DUMMYFUNCTION("""COMPUTED_VALUE"""),1)</f>
        <v>1</v>
      </c>
      <c r="AT2212" s="8"/>
      <c r="AU2212" s="8">
        <f ca="1">IFERROR(__xludf.DUMMYFUNCTION("""COMPUTED_VALUE"""),37.804915)</f>
        <v>37.804915000000001</v>
      </c>
      <c r="AV2212" s="8">
        <f ca="1">IFERROR(__xludf.DUMMYFUNCTION("""COMPUTED_VALUE"""),-85.988038)</f>
        <v>-85.988038000000003</v>
      </c>
      <c r="AW2212" s="8"/>
      <c r="AX2212" s="8">
        <f ca="1">IFERROR(__xludf.DUMMYFUNCTION("""COMPUTED_VALUE"""),40175)</f>
        <v>40175</v>
      </c>
    </row>
    <row r="2213" spans="1:50" ht="90" x14ac:dyDescent="0.2">
      <c r="A2213" s="8" t="str">
        <f ca="1">IFERROR(__xludf.DUMMYFUNCTION("""COMPUTED_VALUE"""),"20060731FLYOT")</f>
        <v>20060731FLYOT</v>
      </c>
      <c r="B2213" s="8">
        <f ca="1">IFERROR(__xludf.DUMMYFUNCTION("""COMPUTED_VALUE"""),7)</f>
        <v>7</v>
      </c>
      <c r="C2213" s="8">
        <f ca="1">IFERROR(__xludf.DUMMYFUNCTION("""COMPUTED_VALUE"""),31)</f>
        <v>31</v>
      </c>
      <c r="D2213" s="8">
        <f ca="1">IFERROR(__xludf.DUMMYFUNCTION("""COMPUTED_VALUE"""),2006)</f>
        <v>2006</v>
      </c>
      <c r="E2213" s="9">
        <f ca="1">IFERROR(__xludf.DUMMYFUNCTION("""COMPUTED_VALUE"""),38929)</f>
        <v>38929</v>
      </c>
      <c r="F2213" s="8" t="str">
        <f ca="1">IFERROR(__xludf.DUMMYFUNCTION("""COMPUTED_VALUE"""),"Young Middle Magnet School")</f>
        <v>Young Middle Magnet School</v>
      </c>
      <c r="G2213" s="8">
        <f ca="1">IFERROR(__xludf.DUMMYFUNCTION("""COMPUTED_VALUE"""),1)</f>
        <v>1</v>
      </c>
      <c r="H2213" s="8">
        <f ca="1">IFERROR(__xludf.DUMMYFUNCTION("""COMPUTED_VALUE"""),0)</f>
        <v>0</v>
      </c>
      <c r="I2213" s="8">
        <f ca="1">IFERROR(__xludf.DUMMYFUNCTION("""COMPUTED_VALUE"""),1)</f>
        <v>1</v>
      </c>
      <c r="J2213" s="8">
        <f ca="1">IFERROR(__xludf.DUMMYFUNCTION("""COMPUTED_VALUE"""),1)</f>
        <v>1</v>
      </c>
      <c r="K2213" s="10" t="str">
        <f ca="1">IFERROR(__xludf.DUMMYFUNCTION("""COMPUTED_VALUE"""),"https://www.newspapers.com/image/330166745/")</f>
        <v>https://www.newspapers.com/image/330166745/</v>
      </c>
      <c r="L2213" s="8"/>
      <c r="M2213" s="8"/>
      <c r="N2213" s="8">
        <f ca="1">IFERROR(__xludf.DUMMYFUNCTION("""COMPUTED_VALUE"""),2)</f>
        <v>2</v>
      </c>
      <c r="O2213" s="8" t="str">
        <f ca="1">IFERROR(__xludf.DUMMYFUNCTION("""COMPUTED_VALUE"""),"Summer")</f>
        <v>Summer</v>
      </c>
      <c r="P2213" s="8" t="str">
        <f ca="1">IFERROR(__xludf.DUMMYFUNCTION("""COMPUTED_VALUE"""),"Tampa")</f>
        <v>Tampa</v>
      </c>
      <c r="Q2213" s="8" t="str">
        <f ca="1">IFERROR(__xludf.DUMMYFUNCTION("""COMPUTED_VALUE"""),"FL")</f>
        <v>FL</v>
      </c>
      <c r="R2213" s="8" t="str">
        <f ca="1">IFERROR(__xludf.DUMMYFUNCTION("""COMPUTED_VALUE"""),"Middle")</f>
        <v>Middle</v>
      </c>
      <c r="S2213" s="8" t="str">
        <f ca="1">IFERROR(__xludf.DUMMYFUNCTION("""COMPUTED_VALUE"""),"Parking Lot")</f>
        <v>Parking Lot</v>
      </c>
      <c r="T2213" s="8" t="str">
        <f ca="1">IFERROR(__xludf.DUMMYFUNCTION("""COMPUTED_VALUE"""),"Outside on School Property")</f>
        <v>Outside on School Property</v>
      </c>
      <c r="U2213" s="8" t="str">
        <f ca="1">IFERROR(__xludf.DUMMYFUNCTION("""COMPUTED_VALUE"""),"No")</f>
        <v>No</v>
      </c>
      <c r="V2213" s="8" t="str">
        <f ca="1">IFERROR(__xludf.DUMMYFUNCTION("""COMPUTED_VALUE"""),"Before School")</f>
        <v>Before School</v>
      </c>
      <c r="W2213" s="11">
        <f ca="1">IFERROR(__xludf.DUMMYFUNCTION("""COMPUTED_VALUE"""),0.263888888888888)</f>
        <v>0.26388888888888801</v>
      </c>
      <c r="X2213" s="8">
        <f ca="1">IFERROR(__xludf.DUMMYFUNCTION("""COMPUTED_VALUE"""),1)</f>
        <v>1</v>
      </c>
      <c r="Y2213" s="12" t="str">
        <f ca="1">IFERROR(__xludf.DUMMYFUNCTION("""COMPUTED_VALUE"""),"Dropped off kids, husband and wife were found dead in car in parking lot, believed to be murder/suicide")</f>
        <v>Dropped off kids, husband and wife were found dead in car in parking lot, believed to be murder/suicide</v>
      </c>
      <c r="Z2213" s="12" t="str">
        <f ca="1">IFERROR(__xludf.DUMMYFUNCTION("""COMPUTED_VALUE"""),"54YOM and 38YOF were found dead from GSW in their car in the parking lot of the school. Children had been dropped off at school. Police said a murder/suicide was possible.")</f>
        <v>54YOM and 38YOF were found dead from GSW in their car in the parking lot of the school. Children had been dropped off at school. Police said a murder/suicide was possible.</v>
      </c>
      <c r="AA2213" s="8" t="str">
        <f ca="1">IFERROR(__xludf.DUMMYFUNCTION("""COMPUTED_VALUE"""),"Murder/Suicide")</f>
        <v>Murder/Suicide</v>
      </c>
      <c r="AB2213" s="8"/>
      <c r="AC2213" s="8" t="str">
        <f ca="1">IFERROR(__xludf.DUMMYFUNCTION("""COMPUTED_VALUE"""),"Yes")</f>
        <v>Yes</v>
      </c>
      <c r="AD2213" s="8" t="str">
        <f ca="1">IFERROR(__xludf.DUMMYFUNCTION("""COMPUTED_VALUE"""),"Victims Targeted")</f>
        <v>Victims Targeted</v>
      </c>
      <c r="AE2213" s="8" t="str">
        <f ca="1">IFERROR(__xludf.DUMMYFUNCTION("""COMPUTED_VALUE"""),"No")</f>
        <v>No</v>
      </c>
      <c r="AF2213" s="8"/>
      <c r="AG2213" s="8" t="str">
        <f ca="1">IFERROR(__xludf.DUMMYFUNCTION("""COMPUTED_VALUE"""),"No")</f>
        <v>No</v>
      </c>
      <c r="AH2213" s="8" t="str">
        <f ca="1">IFERROR(__xludf.DUMMYFUNCTION("""COMPUTED_VALUE"""),"No")</f>
        <v>No</v>
      </c>
      <c r="AI2213" s="8" t="str">
        <f ca="1">IFERROR(__xludf.DUMMYFUNCTION("""COMPUTED_VALUE"""),"No")</f>
        <v>No</v>
      </c>
      <c r="AJ2213" s="8" t="str">
        <f ca="1">IFERROR(__xludf.DUMMYFUNCTION("""COMPUTED_VALUE"""),"No")</f>
        <v>No</v>
      </c>
      <c r="AK2213" s="8" t="str">
        <f ca="1">IFERROR(__xludf.DUMMYFUNCTION("""COMPUTED_VALUE"""),"Yes")</f>
        <v>Yes</v>
      </c>
      <c r="AL2213" s="8" t="str">
        <f ca="1">IFERROR(__xludf.DUMMYFUNCTION("""COMPUTED_VALUE"""),"No")</f>
        <v>No</v>
      </c>
      <c r="AM2213" s="8"/>
      <c r="AN2213" s="8"/>
      <c r="AO2213" s="8" t="str">
        <f ca="1">IFERROR(__xludf.DUMMYFUNCTION("""COMPUTED_VALUE"""),"No")</f>
        <v>No</v>
      </c>
      <c r="AP2213" s="8"/>
      <c r="AQ2213" s="8" t="str">
        <f ca="1">IFERROR(__xludf.DUMMYFUNCTION("""COMPUTED_VALUE"""),"Unknown")</f>
        <v>Unknown</v>
      </c>
      <c r="AR2213" s="8" t="str">
        <f ca="1">IFERROR(__xludf.DUMMYFUNCTION("""COMPUTED_VALUE"""),"NA")</f>
        <v>NA</v>
      </c>
      <c r="AS2213" s="8"/>
      <c r="AT2213" s="8"/>
      <c r="AU2213" s="8">
        <f ca="1">IFERROR(__xludf.DUMMYFUNCTION("""COMPUTED_VALUE"""),27.980994)</f>
        <v>27.980993999999999</v>
      </c>
      <c r="AV2213" s="8">
        <f ca="1">IFERROR(__xludf.DUMMYFUNCTION("""COMPUTED_VALUE"""),-82.438129)</f>
        <v>-82.438129000000004</v>
      </c>
      <c r="AW2213" s="8"/>
      <c r="AX2213" s="8">
        <f ca="1">IFERROR(__xludf.DUMMYFUNCTION("""COMPUTED_VALUE"""),33610)</f>
        <v>33610</v>
      </c>
    </row>
    <row r="2214" spans="1:50" ht="75" x14ac:dyDescent="0.2">
      <c r="A2214" s="8" t="str">
        <f ca="1">IFERROR(__xludf.DUMMYFUNCTION("""COMPUTED_VALUE"""),"20060615MIPED")</f>
        <v>20060615MIPED</v>
      </c>
      <c r="B2214" s="8">
        <f ca="1">IFERROR(__xludf.DUMMYFUNCTION("""COMPUTED_VALUE"""),6)</f>
        <v>6</v>
      </c>
      <c r="C2214" s="8">
        <f ca="1">IFERROR(__xludf.DUMMYFUNCTION("""COMPUTED_VALUE"""),15)</f>
        <v>15</v>
      </c>
      <c r="D2214" s="8">
        <f ca="1">IFERROR(__xludf.DUMMYFUNCTION("""COMPUTED_VALUE"""),2006)</f>
        <v>2006</v>
      </c>
      <c r="E2214" s="9">
        <f ca="1">IFERROR(__xludf.DUMMYFUNCTION("""COMPUTED_VALUE"""),38883)</f>
        <v>38883</v>
      </c>
      <c r="F2214" s="8" t="str">
        <f ca="1">IFERROR(__xludf.DUMMYFUNCTION("""COMPUTED_VALUE"""),"Pershing High School")</f>
        <v>Pershing High School</v>
      </c>
      <c r="G2214" s="8">
        <f ca="1">IFERROR(__xludf.DUMMYFUNCTION("""COMPUTED_VALUE"""),0)</f>
        <v>0</v>
      </c>
      <c r="H2214" s="8">
        <f ca="1">IFERROR(__xludf.DUMMYFUNCTION("""COMPUTED_VALUE"""),1)</f>
        <v>1</v>
      </c>
      <c r="I2214" s="8">
        <f ca="1">IFERROR(__xludf.DUMMYFUNCTION("""COMPUTED_VALUE"""),1)</f>
        <v>1</v>
      </c>
      <c r="J2214" s="8">
        <f ca="1">IFERROR(__xludf.DUMMYFUNCTION("""COMPUTED_VALUE"""),0)</f>
        <v>0</v>
      </c>
      <c r="K2214" s="10" t="str">
        <f ca="1">IFERROR(__xludf.DUMMYFUNCTION("""COMPUTED_VALUE"""),"https://www.newspapers.com/image/363378271/?terms=Pershing%2BHigh%2BSchool%2Bshooting")</f>
        <v>https://www.newspapers.com/image/363378271/?terms=Pershing%2BHigh%2BSchool%2Bshooting</v>
      </c>
      <c r="L2214" s="8"/>
      <c r="M2214" s="8"/>
      <c r="N2214" s="8">
        <f ca="1">IFERROR(__xludf.DUMMYFUNCTION("""COMPUTED_VALUE"""),2)</f>
        <v>2</v>
      </c>
      <c r="O2214" s="8" t="str">
        <f ca="1">IFERROR(__xludf.DUMMYFUNCTION("""COMPUTED_VALUE"""),"Summer")</f>
        <v>Summer</v>
      </c>
      <c r="P2214" s="8" t="str">
        <f ca="1">IFERROR(__xludf.DUMMYFUNCTION("""COMPUTED_VALUE"""),"Detroit")</f>
        <v>Detroit</v>
      </c>
      <c r="Q2214" s="8" t="str">
        <f ca="1">IFERROR(__xludf.DUMMYFUNCTION("""COMPUTED_VALUE"""),"MI")</f>
        <v>MI</v>
      </c>
      <c r="R2214" s="8" t="str">
        <f ca="1">IFERROR(__xludf.DUMMYFUNCTION("""COMPUTED_VALUE"""),"High")</f>
        <v>High</v>
      </c>
      <c r="S2214" s="8" t="str">
        <f ca="1">IFERROR(__xludf.DUMMYFUNCTION("""COMPUTED_VALUE"""),"Front of School")</f>
        <v>Front of School</v>
      </c>
      <c r="T2214" s="8" t="str">
        <f ca="1">IFERROR(__xludf.DUMMYFUNCTION("""COMPUTED_VALUE"""),"Outside on School Property")</f>
        <v>Outside on School Property</v>
      </c>
      <c r="U2214" s="8" t="str">
        <f ca="1">IFERROR(__xludf.DUMMYFUNCTION("""COMPUTED_VALUE"""),"No")</f>
        <v>No</v>
      </c>
      <c r="V2214" s="8" t="str">
        <f ca="1">IFERROR(__xludf.DUMMYFUNCTION("""COMPUTED_VALUE"""),"Evening")</f>
        <v>Evening</v>
      </c>
      <c r="W2214" s="11">
        <f ca="1">IFERROR(__xludf.DUMMYFUNCTION("""COMPUTED_VALUE"""),0.753472222222222)</f>
        <v>0.75347222222222199</v>
      </c>
      <c r="X2214" s="8">
        <f ca="1">IFERROR(__xludf.DUMMYFUNCTION("""COMPUTED_VALUE"""),1)</f>
        <v>1</v>
      </c>
      <c r="Y2214" s="12" t="str">
        <f ca="1">IFERROR(__xludf.DUMMYFUNCTION("""COMPUTED_VALUE"""),"Students throwing bottles at cars, car chased them down and shot student 3 times")</f>
        <v>Students throwing bottles at cars, car chased them down and shot student 3 times</v>
      </c>
      <c r="Z2214" s="12" t="str">
        <f ca="1">IFERROR(__xludf.DUMMYFUNCTION("""COMPUTED_VALUE"""),"Two students were outside of the school throwing bottles at passing cars. One of the cars stopped, chased the students down, and the driver shot 16YOM student 3 times in the back. Shooter fled and was not identified.")</f>
        <v>Two students were outside of the school throwing bottles at passing cars. One of the cars stopped, chased the students down, and the driver shot 16YOM student 3 times in the back. Shooter fled and was not identified.</v>
      </c>
      <c r="AA2214" s="8" t="str">
        <f ca="1">IFERROR(__xludf.DUMMYFUNCTION("""COMPUTED_VALUE"""),"Escalation of Dispute")</f>
        <v>Escalation of Dispute</v>
      </c>
      <c r="AB2214" s="8"/>
      <c r="AC2214" s="8" t="str">
        <f ca="1">IFERROR(__xludf.DUMMYFUNCTION("""COMPUTED_VALUE"""),"No")</f>
        <v>No</v>
      </c>
      <c r="AD2214" s="8" t="str">
        <f ca="1">IFERROR(__xludf.DUMMYFUNCTION("""COMPUTED_VALUE"""),"Victims Targeted")</f>
        <v>Victims Targeted</v>
      </c>
      <c r="AE2214" s="8" t="str">
        <f ca="1">IFERROR(__xludf.DUMMYFUNCTION("""COMPUTED_VALUE"""),"Yes")</f>
        <v>Yes</v>
      </c>
      <c r="AF2214" s="8" t="str">
        <f ca="1">IFERROR(__xludf.DUMMYFUNCTION("""COMPUTED_VALUE"""),"Two males in car")</f>
        <v>Two males in car</v>
      </c>
      <c r="AG2214" s="8" t="str">
        <f ca="1">IFERROR(__xludf.DUMMYFUNCTION("""COMPUTED_VALUE"""),"No")</f>
        <v>No</v>
      </c>
      <c r="AH2214" s="8" t="str">
        <f ca="1">IFERROR(__xludf.DUMMYFUNCTION("""COMPUTED_VALUE"""),"No")</f>
        <v>No</v>
      </c>
      <c r="AI2214" s="8" t="str">
        <f ca="1">IFERROR(__xludf.DUMMYFUNCTION("""COMPUTED_VALUE"""),"No")</f>
        <v>No</v>
      </c>
      <c r="AJ2214" s="8" t="str">
        <f ca="1">IFERROR(__xludf.DUMMYFUNCTION("""COMPUTED_VALUE"""),"No")</f>
        <v>No</v>
      </c>
      <c r="AK2214" s="8" t="str">
        <f ca="1">IFERROR(__xludf.DUMMYFUNCTION("""COMPUTED_VALUE"""),"No")</f>
        <v>No</v>
      </c>
      <c r="AL2214" s="8" t="str">
        <f ca="1">IFERROR(__xludf.DUMMYFUNCTION("""COMPUTED_VALUE"""),"No")</f>
        <v>No</v>
      </c>
      <c r="AM2214" s="8"/>
      <c r="AN2214" s="8"/>
      <c r="AO2214" s="8" t="str">
        <f ca="1">IFERROR(__xludf.DUMMYFUNCTION("""COMPUTED_VALUE"""),"No")</f>
        <v>No</v>
      </c>
      <c r="AP2214" s="8"/>
      <c r="AQ2214" s="8" t="str">
        <f ca="1">IFERROR(__xludf.DUMMYFUNCTION("""COMPUTED_VALUE"""),"Unknown")</f>
        <v>Unknown</v>
      </c>
      <c r="AR2214" s="8" t="str">
        <f ca="1">IFERROR(__xludf.DUMMYFUNCTION("""COMPUTED_VALUE"""),"NA")</f>
        <v>NA</v>
      </c>
      <c r="AS2214" s="8">
        <f ca="1">IFERROR(__xludf.DUMMYFUNCTION("""COMPUTED_VALUE"""),3)</f>
        <v>3</v>
      </c>
      <c r="AT2214" s="8"/>
      <c r="AU2214" s="8">
        <f ca="1">IFERROR(__xludf.DUMMYFUNCTION("""COMPUTED_VALUE"""),42.432092)</f>
        <v>42.432091999999997</v>
      </c>
      <c r="AV2214" s="8">
        <f ca="1">IFERROR(__xludf.DUMMYFUNCTION("""COMPUTED_VALUE"""),-83.064215)</f>
        <v>-83.064215000000004</v>
      </c>
      <c r="AW2214" s="8"/>
      <c r="AX2214" s="8">
        <f ca="1">IFERROR(__xludf.DUMMYFUNCTION("""COMPUTED_VALUE"""),48234)</f>
        <v>48234</v>
      </c>
    </row>
    <row r="2215" spans="1:50" ht="45" x14ac:dyDescent="0.2">
      <c r="A2215" s="8" t="str">
        <f ca="1">IFERROR(__xludf.DUMMYFUNCTION("""COMPUTED_VALUE"""),"20060606INWIG")</f>
        <v>20060606INWIG</v>
      </c>
      <c r="B2215" s="8">
        <f ca="1">IFERROR(__xludf.DUMMYFUNCTION("""COMPUTED_VALUE"""),6)</f>
        <v>6</v>
      </c>
      <c r="C2215" s="8">
        <f ca="1">IFERROR(__xludf.DUMMYFUNCTION("""COMPUTED_VALUE"""),6)</f>
        <v>6</v>
      </c>
      <c r="D2215" s="8">
        <f ca="1">IFERROR(__xludf.DUMMYFUNCTION("""COMPUTED_VALUE"""),2006)</f>
        <v>2006</v>
      </c>
      <c r="E2215" s="9">
        <f ca="1">IFERROR(__xludf.DUMMYFUNCTION("""COMPUTED_VALUE"""),38874)</f>
        <v>38874</v>
      </c>
      <c r="F2215" s="8" t="str">
        <f ca="1">IFERROR(__xludf.DUMMYFUNCTION("""COMPUTED_VALUE"""),"Wirt High School")</f>
        <v>Wirt High School</v>
      </c>
      <c r="G2215" s="8">
        <f ca="1">IFERROR(__xludf.DUMMYFUNCTION("""COMPUTED_VALUE"""),1)</f>
        <v>1</v>
      </c>
      <c r="H2215" s="8">
        <f ca="1">IFERROR(__xludf.DUMMYFUNCTION("""COMPUTED_VALUE"""),0)</f>
        <v>0</v>
      </c>
      <c r="I2215" s="8">
        <f ca="1">IFERROR(__xludf.DUMMYFUNCTION("""COMPUTED_VALUE"""),1)</f>
        <v>1</v>
      </c>
      <c r="J2215" s="8">
        <f ca="1">IFERROR(__xludf.DUMMYFUNCTION("""COMPUTED_VALUE"""),0)</f>
        <v>0</v>
      </c>
      <c r="K2215" s="10" t="str">
        <f ca="1">IFERROR(__xludf.DUMMYFUNCTION("""COMPUTED_VALUE"""),"https://www.nwitimes.com/news/local/eskew-guilty-in-wirt-high-school-shooting/article_c43a6d4c-8921-5a4a-8e1a-8af4f3506ca2.html")</f>
        <v>https://www.nwitimes.com/news/local/eskew-guilty-in-wirt-high-school-shooting/article_c43a6d4c-8921-5a4a-8e1a-8af4f3506ca2.html</v>
      </c>
      <c r="L2215" s="8"/>
      <c r="M2215" s="8"/>
      <c r="N2215" s="8">
        <f ca="1">IFERROR(__xludf.DUMMYFUNCTION("""COMPUTED_VALUE"""),2)</f>
        <v>2</v>
      </c>
      <c r="O2215" s="8" t="str">
        <f ca="1">IFERROR(__xludf.DUMMYFUNCTION("""COMPUTED_VALUE"""),"Summer")</f>
        <v>Summer</v>
      </c>
      <c r="P2215" s="8" t="str">
        <f ca="1">IFERROR(__xludf.DUMMYFUNCTION("""COMPUTED_VALUE"""),"Gary")</f>
        <v>Gary</v>
      </c>
      <c r="Q2215" s="8" t="str">
        <f ca="1">IFERROR(__xludf.DUMMYFUNCTION("""COMPUTED_VALUE"""),"IN")</f>
        <v>IN</v>
      </c>
      <c r="R2215" s="8" t="str">
        <f ca="1">IFERROR(__xludf.DUMMYFUNCTION("""COMPUTED_VALUE"""),"High")</f>
        <v>High</v>
      </c>
      <c r="S2215" s="8" t="str">
        <f ca="1">IFERROR(__xludf.DUMMYFUNCTION("""COMPUTED_VALUE"""),"Auditorium")</f>
        <v>Auditorium</v>
      </c>
      <c r="T2215" s="8" t="str">
        <f ca="1">IFERROR(__xludf.DUMMYFUNCTION("""COMPUTED_VALUE"""),"Inside School Building")</f>
        <v>Inside School Building</v>
      </c>
      <c r="U2215" s="8" t="str">
        <f ca="1">IFERROR(__xludf.DUMMYFUNCTION("""COMPUTED_VALUE"""),"No")</f>
        <v>No</v>
      </c>
      <c r="V2215" s="8" t="str">
        <f ca="1">IFERROR(__xludf.DUMMYFUNCTION("""COMPUTED_VALUE"""),"School Event")</f>
        <v>School Event</v>
      </c>
      <c r="W2215" s="8"/>
      <c r="X2215" s="8">
        <f ca="1">IFERROR(__xludf.DUMMYFUNCTION("""COMPUTED_VALUE"""),1)</f>
        <v>1</v>
      </c>
      <c r="Y2215" s="12" t="str">
        <f ca="1">IFERROR(__xludf.DUMMYFUNCTION("""COMPUTED_VALUE"""),"Fight between relatives at graduation")</f>
        <v>Fight between relatives at graduation</v>
      </c>
      <c r="Z2215" s="12" t="str">
        <f ca="1">IFERROR(__xludf.DUMMYFUNCTION("""COMPUTED_VALUE"""),"Dispute between relatives of different students at graduation. A 21YOM removed his shirt and wanted to fight a 19YOM. The brother of the 19YOM shot the victim 3 times.")</f>
        <v>Dispute between relatives of different students at graduation. A 21YOM removed his shirt and wanted to fight a 19YOM. The brother of the 19YOM shot the victim 3 times.</v>
      </c>
      <c r="AA2215" s="8" t="str">
        <f ca="1">IFERROR(__xludf.DUMMYFUNCTION("""COMPUTED_VALUE"""),"Escalation of Dispute")</f>
        <v>Escalation of Dispute</v>
      </c>
      <c r="AB2215" s="8"/>
      <c r="AC2215" s="8" t="str">
        <f ca="1">IFERROR(__xludf.DUMMYFUNCTION("""COMPUTED_VALUE"""),"Yes")</f>
        <v>Yes</v>
      </c>
      <c r="AD2215" s="8" t="str">
        <f ca="1">IFERROR(__xludf.DUMMYFUNCTION("""COMPUTED_VALUE"""),"Victims Targeted")</f>
        <v>Victims Targeted</v>
      </c>
      <c r="AE2215" s="8" t="str">
        <f ca="1">IFERROR(__xludf.DUMMYFUNCTION("""COMPUTED_VALUE"""),"Yes")</f>
        <v>Yes</v>
      </c>
      <c r="AF2215" s="8" t="str">
        <f ca="1">IFERROR(__xludf.DUMMYFUNCTION("""COMPUTED_VALUE"""),"Evan Eskew (brother) also charged")</f>
        <v>Evan Eskew (brother) also charged</v>
      </c>
      <c r="AG2215" s="8" t="str">
        <f ca="1">IFERROR(__xludf.DUMMYFUNCTION("""COMPUTED_VALUE"""),"No")</f>
        <v>No</v>
      </c>
      <c r="AH2215" s="8" t="str">
        <f ca="1">IFERROR(__xludf.DUMMYFUNCTION("""COMPUTED_VALUE"""),"No")</f>
        <v>No</v>
      </c>
      <c r="AI2215" s="8" t="str">
        <f ca="1">IFERROR(__xludf.DUMMYFUNCTION("""COMPUTED_VALUE"""),"No")</f>
        <v>No</v>
      </c>
      <c r="AJ2215" s="8" t="str">
        <f ca="1">IFERROR(__xludf.DUMMYFUNCTION("""COMPUTED_VALUE"""),"No")</f>
        <v>No</v>
      </c>
      <c r="AK2215" s="8" t="str">
        <f ca="1">IFERROR(__xludf.DUMMYFUNCTION("""COMPUTED_VALUE"""),"No")</f>
        <v>No</v>
      </c>
      <c r="AL2215" s="8" t="str">
        <f ca="1">IFERROR(__xludf.DUMMYFUNCTION("""COMPUTED_VALUE"""),"No")</f>
        <v>No</v>
      </c>
      <c r="AM2215" s="8"/>
      <c r="AN2215" s="8"/>
      <c r="AO2215" s="8" t="str">
        <f ca="1">IFERROR(__xludf.DUMMYFUNCTION("""COMPUTED_VALUE"""),"No")</f>
        <v>No</v>
      </c>
      <c r="AP2215" s="8"/>
      <c r="AQ2215" s="8" t="str">
        <f ca="1">IFERROR(__xludf.DUMMYFUNCTION("""COMPUTED_VALUE"""),"Unknown")</f>
        <v>Unknown</v>
      </c>
      <c r="AR2215" s="8" t="str">
        <f ca="1">IFERROR(__xludf.DUMMYFUNCTION("""COMPUTED_VALUE"""),"NA")</f>
        <v>NA</v>
      </c>
      <c r="AS2215" s="8">
        <f ca="1">IFERROR(__xludf.DUMMYFUNCTION("""COMPUTED_VALUE"""),3)</f>
        <v>3</v>
      </c>
      <c r="AT2215" s="8"/>
      <c r="AU2215" s="8">
        <f ca="1">IFERROR(__xludf.DUMMYFUNCTION("""COMPUTED_VALUE"""),41.609891)</f>
        <v>41.609890999999998</v>
      </c>
      <c r="AV2215" s="8">
        <f ca="1">IFERROR(__xludf.DUMMYFUNCTION("""COMPUTED_VALUE"""),-87.262701)</f>
        <v>-87.262701000000007</v>
      </c>
      <c r="AW2215" s="8"/>
      <c r="AX2215" s="8">
        <f ca="1">IFERROR(__xludf.DUMMYFUNCTION("""COMPUTED_VALUE"""),46403)</f>
        <v>46403</v>
      </c>
    </row>
    <row r="2216" spans="1:50" ht="45" x14ac:dyDescent="0.2">
      <c r="A2216" s="8" t="str">
        <f ca="1">IFERROR(__xludf.DUMMYFUNCTION("""COMPUTED_VALUE"""),"20060605CAVEL")</f>
        <v>20060605CAVEL</v>
      </c>
      <c r="B2216" s="8">
        <f ca="1">IFERROR(__xludf.DUMMYFUNCTION("""COMPUTED_VALUE"""),6)</f>
        <v>6</v>
      </c>
      <c r="C2216" s="8">
        <f ca="1">IFERROR(__xludf.DUMMYFUNCTION("""COMPUTED_VALUE"""),5)</f>
        <v>5</v>
      </c>
      <c r="D2216" s="8">
        <f ca="1">IFERROR(__xludf.DUMMYFUNCTION("""COMPUTED_VALUE"""),2006)</f>
        <v>2006</v>
      </c>
      <c r="E2216" s="9">
        <f ca="1">IFERROR(__xludf.DUMMYFUNCTION("""COMPUTED_VALUE"""),38873)</f>
        <v>38873</v>
      </c>
      <c r="F2216" s="8" t="str">
        <f ca="1">IFERROR(__xludf.DUMMYFUNCTION("""COMPUTED_VALUE"""),"Venice High School")</f>
        <v>Venice High School</v>
      </c>
      <c r="G2216" s="8">
        <f ca="1">IFERROR(__xludf.DUMMYFUNCTION("""COMPUTED_VALUE"""),1)</f>
        <v>1</v>
      </c>
      <c r="H2216" s="8">
        <f ca="1">IFERROR(__xludf.DUMMYFUNCTION("""COMPUTED_VALUE"""),0)</f>
        <v>0</v>
      </c>
      <c r="I2216" s="8">
        <f ca="1">IFERROR(__xludf.DUMMYFUNCTION("""COMPUTED_VALUE"""),1)</f>
        <v>1</v>
      </c>
      <c r="J2216" s="8">
        <f ca="1">IFERROR(__xludf.DUMMYFUNCTION("""COMPUTED_VALUE"""),0)</f>
        <v>0</v>
      </c>
      <c r="K2216" s="10" t="str">
        <f ca="1">IFERROR(__xludf.DUMMYFUNCTION("""COMPUTED_VALUE"""),"http://articles.latimes.com/2006/jun/07/local/me-venice7")</f>
        <v>http://articles.latimes.com/2006/jun/07/local/me-venice7</v>
      </c>
      <c r="L2216" s="8"/>
      <c r="M2216" s="8"/>
      <c r="N2216" s="8">
        <f ca="1">IFERROR(__xludf.DUMMYFUNCTION("""COMPUTED_VALUE"""),2)</f>
        <v>2</v>
      </c>
      <c r="O2216" s="8" t="str">
        <f ca="1">IFERROR(__xludf.DUMMYFUNCTION("""COMPUTED_VALUE"""),"Summer")</f>
        <v>Summer</v>
      </c>
      <c r="P2216" s="8" t="str">
        <f ca="1">IFERROR(__xludf.DUMMYFUNCTION("""COMPUTED_VALUE"""),"Los Angeles")</f>
        <v>Los Angeles</v>
      </c>
      <c r="Q2216" s="8" t="str">
        <f ca="1">IFERROR(__xludf.DUMMYFUNCTION("""COMPUTED_VALUE"""),"CA")</f>
        <v>CA</v>
      </c>
      <c r="R2216" s="8" t="str">
        <f ca="1">IFERROR(__xludf.DUMMYFUNCTION("""COMPUTED_VALUE"""),"High")</f>
        <v>High</v>
      </c>
      <c r="S2216" s="8" t="str">
        <f ca="1">IFERROR(__xludf.DUMMYFUNCTION("""COMPUTED_VALUE"""),"Parking Lot")</f>
        <v>Parking Lot</v>
      </c>
      <c r="T2216" s="8" t="str">
        <f ca="1">IFERROR(__xludf.DUMMYFUNCTION("""COMPUTED_VALUE"""),"Outside on School Property")</f>
        <v>Outside on School Property</v>
      </c>
      <c r="U2216" s="8" t="str">
        <f ca="1">IFERROR(__xludf.DUMMYFUNCTION("""COMPUTED_VALUE"""),"Yes")</f>
        <v>Yes</v>
      </c>
      <c r="V2216" s="8" t="str">
        <f ca="1">IFERROR(__xludf.DUMMYFUNCTION("""COMPUTED_VALUE"""),"Dismissal")</f>
        <v>Dismissal</v>
      </c>
      <c r="W2216" s="11">
        <f ca="1">IFERROR(__xludf.DUMMYFUNCTION("""COMPUTED_VALUE"""),0.631944444444444)</f>
        <v>0.63194444444444398</v>
      </c>
      <c r="X2216" s="8">
        <f ca="1">IFERROR(__xludf.DUMMYFUNCTION("""COMPUTED_VALUE"""),1)</f>
        <v>1</v>
      </c>
      <c r="Y2216" s="12" t="str">
        <f ca="1">IFERROR(__xludf.DUMMYFUNCTION("""COMPUTED_VALUE"""),"Gang member tried to steal silver cross of victim's brother")</f>
        <v>Gang member tried to steal silver cross of victim's brother</v>
      </c>
      <c r="Z2216" s="12" t="str">
        <f ca="1">IFERROR(__xludf.DUMMYFUNCTION("""COMPUTED_VALUE"""),"Gang member attempted to steal silver cross from victims brother inside school. When the victim fled to the parking lot, the suspect shot victim.")</f>
        <v>Gang member attempted to steal silver cross from victims brother inside school. When the victim fled to the parking lot, the suspect shot victim.</v>
      </c>
      <c r="AA2216" s="8" t="str">
        <f ca="1">IFERROR(__xludf.DUMMYFUNCTION("""COMPUTED_VALUE"""),"Illegal Activity")</f>
        <v>Illegal Activity</v>
      </c>
      <c r="AB2216" s="8"/>
      <c r="AC2216" s="8" t="str">
        <f ca="1">IFERROR(__xludf.DUMMYFUNCTION("""COMPUTED_VALUE"""),"Yes")</f>
        <v>Yes</v>
      </c>
      <c r="AD2216" s="8" t="str">
        <f ca="1">IFERROR(__xludf.DUMMYFUNCTION("""COMPUTED_VALUE"""),"Victims Targeted")</f>
        <v>Victims Targeted</v>
      </c>
      <c r="AE2216" s="8" t="str">
        <f ca="1">IFERROR(__xludf.DUMMYFUNCTION("""COMPUTED_VALUE"""),"Yes")</f>
        <v>Yes</v>
      </c>
      <c r="AF2216" s="8" t="str">
        <f ca="1">IFERROR(__xludf.DUMMYFUNCTION("""COMPUTED_VALUE"""),"Group of 4 gang members")</f>
        <v>Group of 4 gang members</v>
      </c>
      <c r="AG2216" s="8" t="str">
        <f ca="1">IFERROR(__xludf.DUMMYFUNCTION("""COMPUTED_VALUE"""),"No")</f>
        <v>No</v>
      </c>
      <c r="AH2216" s="8" t="str">
        <f ca="1">IFERROR(__xludf.DUMMYFUNCTION("""COMPUTED_VALUE"""),"No")</f>
        <v>No</v>
      </c>
      <c r="AI2216" s="8" t="str">
        <f ca="1">IFERROR(__xludf.DUMMYFUNCTION("""COMPUTED_VALUE"""),"No")</f>
        <v>No</v>
      </c>
      <c r="AJ2216" s="8" t="str">
        <f ca="1">IFERROR(__xludf.DUMMYFUNCTION("""COMPUTED_VALUE"""),"No")</f>
        <v>No</v>
      </c>
      <c r="AK2216" s="8" t="str">
        <f ca="1">IFERROR(__xludf.DUMMYFUNCTION("""COMPUTED_VALUE"""),"No")</f>
        <v>No</v>
      </c>
      <c r="AL2216" s="8" t="str">
        <f ca="1">IFERROR(__xludf.DUMMYFUNCTION("""COMPUTED_VALUE"""),"Yes")</f>
        <v>Yes</v>
      </c>
      <c r="AM2216" s="8"/>
      <c r="AN2216" s="8"/>
      <c r="AO2216" s="8" t="str">
        <f ca="1">IFERROR(__xludf.DUMMYFUNCTION("""COMPUTED_VALUE"""),"No")</f>
        <v>No</v>
      </c>
      <c r="AP2216" s="8" t="str">
        <f ca="1">IFERROR(__xludf.DUMMYFUNCTION("""COMPUTED_VALUE"""),"No")</f>
        <v>No</v>
      </c>
      <c r="AQ2216" s="8" t="str">
        <f ca="1">IFERROR(__xludf.DUMMYFUNCTION("""COMPUTED_VALUE"""),"Unknown")</f>
        <v>Unknown</v>
      </c>
      <c r="AR2216" s="8" t="str">
        <f ca="1">IFERROR(__xludf.DUMMYFUNCTION("""COMPUTED_VALUE"""),"NA")</f>
        <v>NA</v>
      </c>
      <c r="AS2216" s="8">
        <f ca="1">IFERROR(__xludf.DUMMYFUNCTION("""COMPUTED_VALUE"""),1)</f>
        <v>1</v>
      </c>
      <c r="AT2216" s="8"/>
      <c r="AU2216" s="8">
        <f ca="1">IFERROR(__xludf.DUMMYFUNCTION("""COMPUTED_VALUE"""),33.997447)</f>
        <v>33.997447000000001</v>
      </c>
      <c r="AV2216" s="8">
        <f ca="1">IFERROR(__xludf.DUMMYFUNCTION("""COMPUTED_VALUE"""),-118.443892)</f>
        <v>-118.44389200000001</v>
      </c>
      <c r="AW2216" s="8"/>
      <c r="AX2216" s="8">
        <f ca="1">IFERROR(__xludf.DUMMYFUNCTION("""COMPUTED_VALUE"""),90066)</f>
        <v>90066</v>
      </c>
    </row>
    <row r="2217" spans="1:50" ht="90" x14ac:dyDescent="0.2">
      <c r="A2217" s="8" t="str">
        <f ca="1">IFERROR(__xludf.DUMMYFUNCTION("""COMPUTED_VALUE"""),"20060525PANON")</f>
        <v>20060525PANON</v>
      </c>
      <c r="B2217" s="8">
        <f ca="1">IFERROR(__xludf.DUMMYFUNCTION("""COMPUTED_VALUE"""),5)</f>
        <v>5</v>
      </c>
      <c r="C2217" s="8">
        <f ca="1">IFERROR(__xludf.DUMMYFUNCTION("""COMPUTED_VALUE"""),25)</f>
        <v>25</v>
      </c>
      <c r="D2217" s="8">
        <f ca="1">IFERROR(__xludf.DUMMYFUNCTION("""COMPUTED_VALUE"""),2006)</f>
        <v>2006</v>
      </c>
      <c r="E2217" s="9">
        <f ca="1">IFERROR(__xludf.DUMMYFUNCTION("""COMPUTED_VALUE"""),38862)</f>
        <v>38862</v>
      </c>
      <c r="F2217" s="8" t="str">
        <f ca="1">IFERROR(__xludf.DUMMYFUNCTION("""COMPUTED_VALUE"""),"Northampton Area Senior High School")</f>
        <v>Northampton Area Senior High School</v>
      </c>
      <c r="G2217" s="8">
        <f ca="1">IFERROR(__xludf.DUMMYFUNCTION("""COMPUTED_VALUE"""),0)</f>
        <v>0</v>
      </c>
      <c r="H2217" s="8">
        <f ca="1">IFERROR(__xludf.DUMMYFUNCTION("""COMPUTED_VALUE"""),0)</f>
        <v>0</v>
      </c>
      <c r="I2217" s="8">
        <f ca="1">IFERROR(__xludf.DUMMYFUNCTION("""COMPUTED_VALUE"""),0)</f>
        <v>0</v>
      </c>
      <c r="J2217" s="8">
        <f ca="1">IFERROR(__xludf.DUMMYFUNCTION("""COMPUTED_VALUE"""),0)</f>
        <v>0</v>
      </c>
      <c r="K2217" s="10" t="str">
        <f ca="1">IFERROR(__xludf.DUMMYFUNCTION("""COMPUTED_VALUE"""),"http://articles.mcall.com/2006-05-26/news/3667295_1_students-or-teachers-district-s-zero-tolerance-senior-prom")</f>
        <v>http://articles.mcall.com/2006-05-26/news/3667295_1_students-or-teachers-district-s-zero-tolerance-senior-prom</v>
      </c>
      <c r="L2217" s="8"/>
      <c r="M2217" s="8"/>
      <c r="N2217" s="8">
        <f ca="1">IFERROR(__xludf.DUMMYFUNCTION("""COMPUTED_VALUE"""),2)</f>
        <v>2</v>
      </c>
      <c r="O2217" s="8" t="str">
        <f ca="1">IFERROR(__xludf.DUMMYFUNCTION("""COMPUTED_VALUE"""),"Spring")</f>
        <v>Spring</v>
      </c>
      <c r="P2217" s="8" t="str">
        <f ca="1">IFERROR(__xludf.DUMMYFUNCTION("""COMPUTED_VALUE"""),"Northampton")</f>
        <v>Northampton</v>
      </c>
      <c r="Q2217" s="8" t="str">
        <f ca="1">IFERROR(__xludf.DUMMYFUNCTION("""COMPUTED_VALUE"""),"PA")</f>
        <v>PA</v>
      </c>
      <c r="R2217" s="8" t="str">
        <f ca="1">IFERROR(__xludf.DUMMYFUNCTION("""COMPUTED_VALUE"""),"High")</f>
        <v>High</v>
      </c>
      <c r="S2217" s="8" t="str">
        <f ca="1">IFERROR(__xludf.DUMMYFUNCTION("""COMPUTED_VALUE"""),"Hallway")</f>
        <v>Hallway</v>
      </c>
      <c r="T2217" s="8" t="str">
        <f ca="1">IFERROR(__xludf.DUMMYFUNCTION("""COMPUTED_VALUE"""),"Inside School Building")</f>
        <v>Inside School Building</v>
      </c>
      <c r="U2217" s="8" t="str">
        <f ca="1">IFERROR(__xludf.DUMMYFUNCTION("""COMPUTED_VALUE"""),"Yes")</f>
        <v>Yes</v>
      </c>
      <c r="V2217" s="8" t="str">
        <f ca="1">IFERROR(__xludf.DUMMYFUNCTION("""COMPUTED_VALUE"""),"Morning Classes")</f>
        <v>Morning Classes</v>
      </c>
      <c r="W2217" s="11">
        <f ca="1">IFERROR(__xludf.DUMMYFUNCTION("""COMPUTED_VALUE"""),0.326388888888888)</f>
        <v>0.32638888888888801</v>
      </c>
      <c r="X2217" s="8">
        <f ca="1">IFERROR(__xludf.DUMMYFUNCTION("""COMPUTED_VALUE"""),40)</f>
        <v>40</v>
      </c>
      <c r="Y2217" s="12" t="str">
        <f ca="1">IFERROR(__xludf.DUMMYFUNCTION("""COMPUTED_VALUE"""),"Had rifle, knife, smoke bombs, and fireworks. Surrendered to school official in stairwell.")</f>
        <v>Had rifle, knife, smoke bombs, and fireworks. Surrendered to school official in stairwell.</v>
      </c>
      <c r="Z2217" s="12" t="str">
        <f ca="1">IFERROR(__xludf.DUMMYFUNCTION("""COMPUTED_VALUE"""),"18YOM student was socially isolated, wore black trench coat every day. Teacher smelled smoke and found student in the stairwell with a rifle. Student said he was going to kill himself. Police arrived and after 40 minutes the shooter surrendered. Shooter h"&amp;"ad rifle, knife, fireworks, and smoke bombs.")</f>
        <v>18YOM student was socially isolated, wore black trench coat every day. Teacher smelled smoke and found student in the stairwell with a rifle. Student said he was going to kill himself. Police arrived and after 40 minutes the shooter surrendered. Shooter had rifle, knife, fireworks, and smoke bombs.</v>
      </c>
      <c r="AA2217" s="8" t="str">
        <f ca="1">IFERROR(__xludf.DUMMYFUNCTION("""COMPUTED_VALUE"""),"Indiscriminate Shooting")</f>
        <v>Indiscriminate Shooting</v>
      </c>
      <c r="AB2217" s="8"/>
      <c r="AC2217" s="8" t="str">
        <f ca="1">IFERROR(__xludf.DUMMYFUNCTION("""COMPUTED_VALUE"""),"Yes")</f>
        <v>Yes</v>
      </c>
      <c r="AD2217" s="8" t="str">
        <f ca="1">IFERROR(__xludf.DUMMYFUNCTION("""COMPUTED_VALUE"""),"Random Shooting")</f>
        <v>Random Shooting</v>
      </c>
      <c r="AE2217" s="8" t="str">
        <f ca="1">IFERROR(__xludf.DUMMYFUNCTION("""COMPUTED_VALUE"""),"No")</f>
        <v>No</v>
      </c>
      <c r="AF2217" s="8"/>
      <c r="AG2217" s="8" t="str">
        <f ca="1">IFERROR(__xludf.DUMMYFUNCTION("""COMPUTED_VALUE"""),"No")</f>
        <v>No</v>
      </c>
      <c r="AH2217" s="8" t="str">
        <f ca="1">IFERROR(__xludf.DUMMYFUNCTION("""COMPUTED_VALUE"""),"No")</f>
        <v>No</v>
      </c>
      <c r="AI2217" s="8" t="str">
        <f ca="1">IFERROR(__xludf.DUMMYFUNCTION("""COMPUTED_VALUE"""),"No")</f>
        <v>No</v>
      </c>
      <c r="AJ2217" s="8"/>
      <c r="AK2217" s="8" t="str">
        <f ca="1">IFERROR(__xludf.DUMMYFUNCTION("""COMPUTED_VALUE"""),"No")</f>
        <v>No</v>
      </c>
      <c r="AL2217" s="8" t="str">
        <f ca="1">IFERROR(__xludf.DUMMYFUNCTION("""COMPUTED_VALUE"""),"No")</f>
        <v>No</v>
      </c>
      <c r="AM2217" s="8" t="str">
        <f ca="1">IFERROR(__xludf.DUMMYFUNCTION("""COMPUTED_VALUE"""),"Yes")</f>
        <v>Yes</v>
      </c>
      <c r="AN2217" s="8" t="str">
        <f ca="1">IFERROR(__xludf.DUMMYFUNCTION("""COMPUTED_VALUE"""),"Hallway")</f>
        <v>Hallway</v>
      </c>
      <c r="AO2217" s="8" t="str">
        <f ca="1">IFERROR(__xludf.DUMMYFUNCTION("""COMPUTED_VALUE"""),"Yes")</f>
        <v>Yes</v>
      </c>
      <c r="AP2217" s="8"/>
      <c r="AQ2217" s="8" t="str">
        <f ca="1">IFERROR(__xludf.DUMMYFUNCTION("""COMPUTED_VALUE"""),"Unknown")</f>
        <v>Unknown</v>
      </c>
      <c r="AR2217" s="8" t="str">
        <f ca="1">IFERROR(__xludf.DUMMYFUNCTION("""COMPUTED_VALUE"""),"NA")</f>
        <v>NA</v>
      </c>
      <c r="AS2217" s="8">
        <f ca="1">IFERROR(__xludf.DUMMYFUNCTION("""COMPUTED_VALUE"""),0)</f>
        <v>0</v>
      </c>
      <c r="AT2217" s="8"/>
      <c r="AU2217" s="8">
        <f ca="1">IFERROR(__xludf.DUMMYFUNCTION("""COMPUTED_VALUE"""),40.688024)</f>
        <v>40.688023999999999</v>
      </c>
      <c r="AV2217" s="8">
        <f ca="1">IFERROR(__xludf.DUMMYFUNCTION("""COMPUTED_VALUE"""),-75.490009)</f>
        <v>-75.490009000000001</v>
      </c>
      <c r="AW2217" s="8"/>
      <c r="AX2217" s="8">
        <f ca="1">IFERROR(__xludf.DUMMYFUNCTION("""COMPUTED_VALUE"""),18067)</f>
        <v>18067</v>
      </c>
    </row>
    <row r="2218" spans="1:50" ht="105" x14ac:dyDescent="0.2">
      <c r="A2218" s="8" t="str">
        <f ca="1">IFERROR(__xludf.DUMMYFUNCTION("""COMPUTED_VALUE"""),"20060522SCBUI")</f>
        <v>20060522SCBUI</v>
      </c>
      <c r="B2218" s="8">
        <f ca="1">IFERROR(__xludf.DUMMYFUNCTION("""COMPUTED_VALUE"""),5)</f>
        <v>5</v>
      </c>
      <c r="C2218" s="8">
        <f ca="1">IFERROR(__xludf.DUMMYFUNCTION("""COMPUTED_VALUE"""),22)</f>
        <v>22</v>
      </c>
      <c r="D2218" s="8">
        <f ca="1">IFERROR(__xludf.DUMMYFUNCTION("""COMPUTED_VALUE"""),2006)</f>
        <v>2006</v>
      </c>
      <c r="E2218" s="9">
        <f ca="1">IFERROR(__xludf.DUMMYFUNCTION("""COMPUTED_VALUE"""),38859)</f>
        <v>38859</v>
      </c>
      <c r="F2218" s="8" t="str">
        <f ca="1">IFERROR(__xludf.DUMMYFUNCTION("""COMPUTED_VALUE"""),"Butch Fork High School")</f>
        <v>Butch Fork High School</v>
      </c>
      <c r="G2218" s="8">
        <f ca="1">IFERROR(__xludf.DUMMYFUNCTION("""COMPUTED_VALUE"""),0)</f>
        <v>0</v>
      </c>
      <c r="H2218" s="8">
        <f ca="1">IFERROR(__xludf.DUMMYFUNCTION("""COMPUTED_VALUE"""),0)</f>
        <v>0</v>
      </c>
      <c r="I2218" s="8">
        <f ca="1">IFERROR(__xludf.DUMMYFUNCTION("""COMPUTED_VALUE"""),0)</f>
        <v>0</v>
      </c>
      <c r="J2218" s="8">
        <f ca="1">IFERROR(__xludf.DUMMYFUNCTION("""COMPUTED_VALUE"""),0)</f>
        <v>0</v>
      </c>
      <c r="K2218" s="10" t="str">
        <f ca="1">IFERROR(__xludf.DUMMYFUNCTION("""COMPUTED_VALUE"""),"http://www.wistv.com/story/4933127/officer-shoots-at-intruder-at-dutch-fork-hs")</f>
        <v>http://www.wistv.com/story/4933127/officer-shoots-at-intruder-at-dutch-fork-hs</v>
      </c>
      <c r="L2218" s="8"/>
      <c r="M2218" s="8"/>
      <c r="N2218" s="8">
        <f ca="1">IFERROR(__xludf.DUMMYFUNCTION("""COMPUTED_VALUE"""),2)</f>
        <v>2</v>
      </c>
      <c r="O2218" s="8" t="str">
        <f ca="1">IFERROR(__xludf.DUMMYFUNCTION("""COMPUTED_VALUE"""),"Spring")</f>
        <v>Spring</v>
      </c>
      <c r="P2218" s="8" t="str">
        <f ca="1">IFERROR(__xludf.DUMMYFUNCTION("""COMPUTED_VALUE"""),"Irmo")</f>
        <v>Irmo</v>
      </c>
      <c r="Q2218" s="8" t="str">
        <f ca="1">IFERROR(__xludf.DUMMYFUNCTION("""COMPUTED_VALUE"""),"SC")</f>
        <v>SC</v>
      </c>
      <c r="R2218" s="8" t="str">
        <f ca="1">IFERROR(__xludf.DUMMYFUNCTION("""COMPUTED_VALUE"""),"High")</f>
        <v>High</v>
      </c>
      <c r="S2218" s="8" t="str">
        <f ca="1">IFERROR(__xludf.DUMMYFUNCTION("""COMPUTED_VALUE"""),"Parking Lot")</f>
        <v>Parking Lot</v>
      </c>
      <c r="T2218" s="8" t="str">
        <f ca="1">IFERROR(__xludf.DUMMYFUNCTION("""COMPUTED_VALUE"""),"Outside on School Property")</f>
        <v>Outside on School Property</v>
      </c>
      <c r="U2218" s="8" t="str">
        <f ca="1">IFERROR(__xludf.DUMMYFUNCTION("""COMPUTED_VALUE"""),"Yes")</f>
        <v>Yes</v>
      </c>
      <c r="V2218" s="8" t="str">
        <f ca="1">IFERROR(__xludf.DUMMYFUNCTION("""COMPUTED_VALUE"""),"Morning Classes")</f>
        <v>Morning Classes</v>
      </c>
      <c r="W2218" s="11">
        <f ca="1">IFERROR(__xludf.DUMMYFUNCTION("""COMPUTED_VALUE"""),0.416666666666666)</f>
        <v>0.41666666666666602</v>
      </c>
      <c r="X2218" s="8">
        <f ca="1">IFERROR(__xludf.DUMMYFUNCTION("""COMPUTED_VALUE"""),1)</f>
        <v>1</v>
      </c>
      <c r="Y2218" s="12" t="str">
        <f ca="1">IFERROR(__xludf.DUMMYFUNCTION("""COMPUTED_VALUE"""),"Told girl over phone he was going to kill her next day, SRO confronted him in morning, pulled gun and fired one shot, and was subdued")</f>
        <v>Told girl over phone he was going to kill her next day, SRO confronted him in morning, pulled gun and fired one shot, and was subdued</v>
      </c>
      <c r="Z2218" s="12" t="str">
        <f ca="1">IFERROR(__xludf.DUMMYFUNCTION("""COMPUTED_VALUE"""),"19YOM called a female student and told her he was going to kill her the next day. She told the SRO and when the shooter arrived at the school, the SRO confronted him in the parking lot. The shooter pulled a handgun and fired one shot before being subdued "&amp;"by the SRO.")</f>
        <v>19YOM called a female student and told her he was going to kill her the next day. She told the SRO and when the shooter arrived at the school, the SRO confronted him in the parking lot. The shooter pulled a handgun and fired one shot before being subdued by the SRO.</v>
      </c>
      <c r="AA2218" s="8" t="str">
        <f ca="1">IFERROR(__xludf.DUMMYFUNCTION("""COMPUTED_VALUE"""),"Domestic w/ Targeted Victim")</f>
        <v>Domestic w/ Targeted Victim</v>
      </c>
      <c r="AB2218" s="8"/>
      <c r="AC2218" s="8" t="str">
        <f ca="1">IFERROR(__xludf.DUMMYFUNCTION("""COMPUTED_VALUE"""),"Yes")</f>
        <v>Yes</v>
      </c>
      <c r="AD2218" s="8" t="str">
        <f ca="1">IFERROR(__xludf.DUMMYFUNCTION("""COMPUTED_VALUE"""),"Victims Targeted")</f>
        <v>Victims Targeted</v>
      </c>
      <c r="AE2218" s="8" t="str">
        <f ca="1">IFERROR(__xludf.DUMMYFUNCTION("""COMPUTED_VALUE"""),"No")</f>
        <v>No</v>
      </c>
      <c r="AF2218" s="8"/>
      <c r="AG2218" s="8" t="str">
        <f ca="1">IFERROR(__xludf.DUMMYFUNCTION("""COMPUTED_VALUE"""),"No")</f>
        <v>No</v>
      </c>
      <c r="AH2218" s="8" t="str">
        <f ca="1">IFERROR(__xludf.DUMMYFUNCTION("""COMPUTED_VALUE"""),"No")</f>
        <v>No</v>
      </c>
      <c r="AI2218" s="8" t="str">
        <f ca="1">IFERROR(__xludf.DUMMYFUNCTION("""COMPUTED_VALUE"""),"No")</f>
        <v>No</v>
      </c>
      <c r="AJ2218" s="8" t="str">
        <f ca="1">IFERROR(__xludf.DUMMYFUNCTION("""COMPUTED_VALUE"""),"No")</f>
        <v>No</v>
      </c>
      <c r="AK2218" s="8" t="str">
        <f ca="1">IFERROR(__xludf.DUMMYFUNCTION("""COMPUTED_VALUE"""),"Yes")</f>
        <v>Yes</v>
      </c>
      <c r="AL2218" s="8" t="str">
        <f ca="1">IFERROR(__xludf.DUMMYFUNCTION("""COMPUTED_VALUE"""),"No")</f>
        <v>No</v>
      </c>
      <c r="AM2218" s="8"/>
      <c r="AN2218" s="8"/>
      <c r="AO2218" s="8" t="str">
        <f ca="1">IFERROR(__xludf.DUMMYFUNCTION("""COMPUTED_VALUE"""),"No")</f>
        <v>No</v>
      </c>
      <c r="AP2218" s="8" t="str">
        <f ca="1">IFERROR(__xludf.DUMMYFUNCTION("""COMPUTED_VALUE"""),"Yes")</f>
        <v>Yes</v>
      </c>
      <c r="AQ2218" s="8" t="str">
        <f ca="1">IFERROR(__xludf.DUMMYFUNCTION("""COMPUTED_VALUE"""),"Unknown")</f>
        <v>Unknown</v>
      </c>
      <c r="AR2218" s="8" t="str">
        <f ca="1">IFERROR(__xludf.DUMMYFUNCTION("""COMPUTED_VALUE"""),"NA")</f>
        <v>NA</v>
      </c>
      <c r="AS2218" s="8">
        <f ca="1">IFERROR(__xludf.DUMMYFUNCTION("""COMPUTED_VALUE"""),1)</f>
        <v>1</v>
      </c>
      <c r="AT2218" s="8"/>
      <c r="AU2218" s="8">
        <f ca="1">IFERROR(__xludf.DUMMYFUNCTION("""COMPUTED_VALUE"""),34.153075)</f>
        <v>34.153075000000001</v>
      </c>
      <c r="AV2218" s="8">
        <f ca="1">IFERROR(__xludf.DUMMYFUNCTION("""COMPUTED_VALUE"""),-81.199377)</f>
        <v>-81.199376999999998</v>
      </c>
      <c r="AW2218" s="8"/>
      <c r="AX2218" s="8">
        <f ca="1">IFERROR(__xludf.DUMMYFUNCTION("""COMPUTED_VALUE"""),29063)</f>
        <v>29063</v>
      </c>
    </row>
    <row r="2219" spans="1:50" ht="75" x14ac:dyDescent="0.2">
      <c r="A2219" s="8" t="str">
        <f ca="1">IFERROR(__xludf.DUMMYFUNCTION("""COMPUTED_VALUE"""),"20060505FLPAM")</f>
        <v>20060505FLPAM</v>
      </c>
      <c r="B2219" s="8">
        <f ca="1">IFERROR(__xludf.DUMMYFUNCTION("""COMPUTED_VALUE"""),5)</f>
        <v>5</v>
      </c>
      <c r="C2219" s="8">
        <f ca="1">IFERROR(__xludf.DUMMYFUNCTION("""COMPUTED_VALUE"""),5)</f>
        <v>5</v>
      </c>
      <c r="D2219" s="8">
        <f ca="1">IFERROR(__xludf.DUMMYFUNCTION("""COMPUTED_VALUE"""),2006)</f>
        <v>2006</v>
      </c>
      <c r="E2219" s="9">
        <f ca="1">IFERROR(__xludf.DUMMYFUNCTION("""COMPUTED_VALUE"""),38842)</f>
        <v>38842</v>
      </c>
      <c r="F2219" s="8" t="str">
        <f ca="1">IFERROR(__xludf.DUMMYFUNCTION("""COMPUTED_VALUE"""),"Parkway Academy")</f>
        <v>Parkway Academy</v>
      </c>
      <c r="G2219" s="8">
        <f ca="1">IFERROR(__xludf.DUMMYFUNCTION("""COMPUTED_VALUE"""),1)</f>
        <v>1</v>
      </c>
      <c r="H2219" s="8">
        <f ca="1">IFERROR(__xludf.DUMMYFUNCTION("""COMPUTED_VALUE"""),0)</f>
        <v>0</v>
      </c>
      <c r="I2219" s="8">
        <f ca="1">IFERROR(__xludf.DUMMYFUNCTION("""COMPUTED_VALUE"""),1)</f>
        <v>1</v>
      </c>
      <c r="J2219" s="8">
        <f ca="1">IFERROR(__xludf.DUMMYFUNCTION("""COMPUTED_VALUE"""),0)</f>
        <v>0</v>
      </c>
      <c r="K2219" s="10" t="str">
        <f ca="1">IFERROR(__xludf.DUMMYFUNCTION("""COMPUTED_VALUE"""),"http://articles.sun-sentinel.com/2006-05-07/news/0605060367_1_charter-school-parking-lot-office-bill-robertson")</f>
        <v>http://articles.sun-sentinel.com/2006-05-07/news/0605060367_1_charter-school-parking-lot-office-bill-robertson</v>
      </c>
      <c r="L2219" s="8"/>
      <c r="M2219" s="8"/>
      <c r="N2219" s="8">
        <f ca="1">IFERROR(__xludf.DUMMYFUNCTION("""COMPUTED_VALUE"""),2)</f>
        <v>2</v>
      </c>
      <c r="O2219" s="8" t="str">
        <f ca="1">IFERROR(__xludf.DUMMYFUNCTION("""COMPUTED_VALUE"""),"Spring")</f>
        <v>Spring</v>
      </c>
      <c r="P2219" s="8" t="str">
        <f ca="1">IFERROR(__xludf.DUMMYFUNCTION("""COMPUTED_VALUE"""),"Miramar")</f>
        <v>Miramar</v>
      </c>
      <c r="Q2219" s="8" t="str">
        <f ca="1">IFERROR(__xludf.DUMMYFUNCTION("""COMPUTED_VALUE"""),"FL")</f>
        <v>FL</v>
      </c>
      <c r="R2219" s="8" t="str">
        <f ca="1">IFERROR(__xludf.DUMMYFUNCTION("""COMPUTED_VALUE"""),"High")</f>
        <v>High</v>
      </c>
      <c r="S2219" s="8" t="str">
        <f ca="1">IFERROR(__xludf.DUMMYFUNCTION("""COMPUTED_VALUE"""),"Parking Lot")</f>
        <v>Parking Lot</v>
      </c>
      <c r="T2219" s="8" t="str">
        <f ca="1">IFERROR(__xludf.DUMMYFUNCTION("""COMPUTED_VALUE"""),"Outside on School Property")</f>
        <v>Outside on School Property</v>
      </c>
      <c r="U2219" s="8" t="str">
        <f ca="1">IFERROR(__xludf.DUMMYFUNCTION("""COMPUTED_VALUE"""),"No")</f>
        <v>No</v>
      </c>
      <c r="V2219" s="8" t="str">
        <f ca="1">IFERROR(__xludf.DUMMYFUNCTION("""COMPUTED_VALUE"""),"School Event")</f>
        <v>School Event</v>
      </c>
      <c r="W2219" s="11">
        <f ca="1">IFERROR(__xludf.DUMMYFUNCTION("""COMPUTED_VALUE"""),0.982638888888888)</f>
        <v>0.98263888888888795</v>
      </c>
      <c r="X2219" s="8">
        <f ca="1">IFERROR(__xludf.DUMMYFUNCTION("""COMPUTED_VALUE"""),1)</f>
        <v>1</v>
      </c>
      <c r="Y2219" s="12" t="str">
        <f ca="1">IFERROR(__xludf.DUMMYFUNCTION("""COMPUTED_VALUE"""),"Fight in parking lot following dance")</f>
        <v>Fight in parking lot following dance</v>
      </c>
      <c r="Z2219" s="12" t="str">
        <f ca="1">IFERROR(__xludf.DUMMYFUNCTION("""COMPUTED_VALUE"""),"Students fought during the school dance after water was pouring on a girl. Fight continued later in the parking lot and 19YOM student was shot in the head by an unknown shooter who fled. Multiple police officers were assigned to the school for the dance.")</f>
        <v>Students fought during the school dance after water was pouring on a girl. Fight continued later in the parking lot and 19YOM student was shot in the head by an unknown shooter who fled. Multiple police officers were assigned to the school for the dance.</v>
      </c>
      <c r="AA2219" s="8" t="str">
        <f ca="1">IFERROR(__xludf.DUMMYFUNCTION("""COMPUTED_VALUE"""),"Escalation of Dispute")</f>
        <v>Escalation of Dispute</v>
      </c>
      <c r="AB2219" s="8"/>
      <c r="AC2219" s="8" t="str">
        <f ca="1">IFERROR(__xludf.DUMMYFUNCTION("""COMPUTED_VALUE"""),"Yes")</f>
        <v>Yes</v>
      </c>
      <c r="AD2219" s="8" t="str">
        <f ca="1">IFERROR(__xludf.DUMMYFUNCTION("""COMPUTED_VALUE"""),"Victims Targeted")</f>
        <v>Victims Targeted</v>
      </c>
      <c r="AE2219" s="8" t="str">
        <f ca="1">IFERROR(__xludf.DUMMYFUNCTION("""COMPUTED_VALUE"""),"Yes")</f>
        <v>Yes</v>
      </c>
      <c r="AF2219" s="8" t="str">
        <f ca="1">IFERROR(__xludf.DUMMYFUNCTION("""COMPUTED_VALUE"""),"Multiple students involved in fight")</f>
        <v>Multiple students involved in fight</v>
      </c>
      <c r="AG2219" s="8" t="str">
        <f ca="1">IFERROR(__xludf.DUMMYFUNCTION("""COMPUTED_VALUE"""),"No")</f>
        <v>No</v>
      </c>
      <c r="AH2219" s="8" t="str">
        <f ca="1">IFERROR(__xludf.DUMMYFUNCTION("""COMPUTED_VALUE"""),"No")</f>
        <v>No</v>
      </c>
      <c r="AI2219" s="8" t="str">
        <f ca="1">IFERROR(__xludf.DUMMYFUNCTION("""COMPUTED_VALUE"""),"No")</f>
        <v>No</v>
      </c>
      <c r="AJ2219" s="8" t="str">
        <f ca="1">IFERROR(__xludf.DUMMYFUNCTION("""COMPUTED_VALUE"""),"No")</f>
        <v>No</v>
      </c>
      <c r="AK2219" s="8" t="str">
        <f ca="1">IFERROR(__xludf.DUMMYFUNCTION("""COMPUTED_VALUE"""),"No")</f>
        <v>No</v>
      </c>
      <c r="AL2219" s="8" t="str">
        <f ca="1">IFERROR(__xludf.DUMMYFUNCTION("""COMPUTED_VALUE"""),"No")</f>
        <v>No</v>
      </c>
      <c r="AM2219" s="8"/>
      <c r="AN2219" s="8"/>
      <c r="AO2219" s="8" t="str">
        <f ca="1">IFERROR(__xludf.DUMMYFUNCTION("""COMPUTED_VALUE"""),"No")</f>
        <v>No</v>
      </c>
      <c r="AP2219" s="8" t="str">
        <f ca="1">IFERROR(__xludf.DUMMYFUNCTION("""COMPUTED_VALUE"""),"Yes")</f>
        <v>Yes</v>
      </c>
      <c r="AQ2219" s="8" t="str">
        <f ca="1">IFERROR(__xludf.DUMMYFUNCTION("""COMPUTED_VALUE"""),"None")</f>
        <v>None</v>
      </c>
      <c r="AR2219" s="8" t="str">
        <f ca="1">IFERROR(__xludf.DUMMYFUNCTION("""COMPUTED_VALUE"""),"NA")</f>
        <v>NA</v>
      </c>
      <c r="AS2219" s="8"/>
      <c r="AT2219" s="8"/>
      <c r="AU2219" s="8">
        <f ca="1">IFERROR(__xludf.DUMMYFUNCTION("""COMPUTED_VALUE"""),25.973832)</f>
        <v>25.973832000000002</v>
      </c>
      <c r="AV2219" s="8">
        <f ca="1">IFERROR(__xludf.DUMMYFUNCTION("""COMPUTED_VALUE"""),-80.23586)</f>
        <v>-80.235860000000002</v>
      </c>
      <c r="AW2219" s="8"/>
      <c r="AX2219" s="8">
        <f ca="1">IFERROR(__xludf.DUMMYFUNCTION("""COMPUTED_VALUE"""),33023)</f>
        <v>33023</v>
      </c>
    </row>
    <row r="2220" spans="1:50" ht="90" x14ac:dyDescent="0.2">
      <c r="A2220" s="8" t="str">
        <f ca="1">IFERROR(__xludf.DUMMYFUNCTION("""COMPUTED_VALUE"""),"20060424NCEAC")</f>
        <v>20060424NCEAC</v>
      </c>
      <c r="B2220" s="8">
        <f ca="1">IFERROR(__xludf.DUMMYFUNCTION("""COMPUTED_VALUE"""),4)</f>
        <v>4</v>
      </c>
      <c r="C2220" s="8">
        <f ca="1">IFERROR(__xludf.DUMMYFUNCTION("""COMPUTED_VALUE"""),24)</f>
        <v>24</v>
      </c>
      <c r="D2220" s="8">
        <f ca="1">IFERROR(__xludf.DUMMYFUNCTION("""COMPUTED_VALUE"""),2006)</f>
        <v>2006</v>
      </c>
      <c r="E2220" s="9">
        <f ca="1">IFERROR(__xludf.DUMMYFUNCTION("""COMPUTED_VALUE"""),38831)</f>
        <v>38831</v>
      </c>
      <c r="F2220" s="8" t="str">
        <f ca="1">IFERROR(__xludf.DUMMYFUNCTION("""COMPUTED_VALUE"""),"East Chapel Hill High School")</f>
        <v>East Chapel Hill High School</v>
      </c>
      <c r="G2220" s="8">
        <f ca="1">IFERROR(__xludf.DUMMYFUNCTION("""COMPUTED_VALUE"""),0)</f>
        <v>0</v>
      </c>
      <c r="H2220" s="8">
        <f ca="1">IFERROR(__xludf.DUMMYFUNCTION("""COMPUTED_VALUE"""),0)</f>
        <v>0</v>
      </c>
      <c r="I2220" s="8">
        <f ca="1">IFERROR(__xludf.DUMMYFUNCTION("""COMPUTED_VALUE"""),0)</f>
        <v>0</v>
      </c>
      <c r="J2220" s="8">
        <f ca="1">IFERROR(__xludf.DUMMYFUNCTION("""COMPUTED_VALUE"""),0)</f>
        <v>0</v>
      </c>
      <c r="K2220" s="10" t="str">
        <f ca="1">IFERROR(__xludf.DUMMYFUNCTION("""COMPUTED_VALUE"""),"https://www.wral.com/news/local/story/157302/")</f>
        <v>https://www.wral.com/news/local/story/157302/</v>
      </c>
      <c r="L2220" s="8"/>
      <c r="M2220" s="8"/>
      <c r="N2220" s="8">
        <f ca="1">IFERROR(__xludf.DUMMYFUNCTION("""COMPUTED_VALUE"""),2)</f>
        <v>2</v>
      </c>
      <c r="O2220" s="8" t="str">
        <f ca="1">IFERROR(__xludf.DUMMYFUNCTION("""COMPUTED_VALUE"""),"Spring")</f>
        <v>Spring</v>
      </c>
      <c r="P2220" s="8" t="str">
        <f ca="1">IFERROR(__xludf.DUMMYFUNCTION("""COMPUTED_VALUE"""),"Chapel Hill")</f>
        <v>Chapel Hill</v>
      </c>
      <c r="Q2220" s="8" t="str">
        <f ca="1">IFERROR(__xludf.DUMMYFUNCTION("""COMPUTED_VALUE"""),"NC")</f>
        <v>NC</v>
      </c>
      <c r="R2220" s="8" t="str">
        <f ca="1">IFERROR(__xludf.DUMMYFUNCTION("""COMPUTED_VALUE"""),"High")</f>
        <v>High</v>
      </c>
      <c r="S2220" s="8" t="str">
        <f ca="1">IFERROR(__xludf.DUMMYFUNCTION("""COMPUTED_VALUE"""),"Classroom")</f>
        <v>Classroom</v>
      </c>
      <c r="T2220" s="8" t="str">
        <f ca="1">IFERROR(__xludf.DUMMYFUNCTION("""COMPUTED_VALUE"""),"Inside School Building")</f>
        <v>Inside School Building</v>
      </c>
      <c r="U2220" s="8" t="str">
        <f ca="1">IFERROR(__xludf.DUMMYFUNCTION("""COMPUTED_VALUE"""),"No")</f>
        <v>No</v>
      </c>
      <c r="V2220" s="8" t="str">
        <f ca="1">IFERROR(__xludf.DUMMYFUNCTION("""COMPUTED_VALUE"""),"Evening")</f>
        <v>Evening</v>
      </c>
      <c r="W2220" s="11">
        <f ca="1">IFERROR(__xludf.DUMMYFUNCTION("""COMPUTED_VALUE"""),0.708333333333333)</f>
        <v>0.70833333333333304</v>
      </c>
      <c r="X2220" s="8">
        <f ca="1">IFERROR(__xludf.DUMMYFUNCTION("""COMPUTED_VALUE"""),135)</f>
        <v>135</v>
      </c>
      <c r="Y2220" s="12" t="str">
        <f ca="1">IFERROR(__xludf.DUMMYFUNCTION("""COMPUTED_VALUE"""),"Fired 2 shots at ceiling and held teacher and student hostage in classroom for 2 hours then fled")</f>
        <v>Fired 2 shots at ceiling and held teacher and student hostage in classroom for 2 hours then fled</v>
      </c>
      <c r="Z2220" s="12" t="str">
        <f ca="1">IFERROR(__xludf.DUMMYFUNCTION("""COMPUTED_VALUE"""),"17YOM student walked into classroom after school and fired two shots from shotgun into the ceiling. He then took a teacher and student in the classroom hostage for 2:15 before fleeing the scene. He was later arrested and taken to a psychiatric facility. S"&amp;"hooter was well liked, normal student without disciplinary problems.")</f>
        <v>17YOM student walked into classroom after school and fired two shots from shotgun into the ceiling. He then took a teacher and student in the classroom hostage for 2:15 before fleeing the scene. He was later arrested and taken to a psychiatric facility. Shooter was well liked, normal student without disciplinary problems.</v>
      </c>
      <c r="AA2220" s="8" t="str">
        <f ca="1">IFERROR(__xludf.DUMMYFUNCTION("""COMPUTED_VALUE"""),"Hostage/Standoff")</f>
        <v>Hostage/Standoff</v>
      </c>
      <c r="AB2220" s="8"/>
      <c r="AC2220" s="8" t="str">
        <f ca="1">IFERROR(__xludf.DUMMYFUNCTION("""COMPUTED_VALUE"""),"Yes")</f>
        <v>Yes</v>
      </c>
      <c r="AD2220" s="8" t="str">
        <f ca="1">IFERROR(__xludf.DUMMYFUNCTION("""COMPUTED_VALUE"""),"Neither")</f>
        <v>Neither</v>
      </c>
      <c r="AE2220" s="8" t="str">
        <f ca="1">IFERROR(__xludf.DUMMYFUNCTION("""COMPUTED_VALUE"""),"No")</f>
        <v>No</v>
      </c>
      <c r="AF2220" s="8"/>
      <c r="AG2220" s="8" t="str">
        <f ca="1">IFERROR(__xludf.DUMMYFUNCTION("""COMPUTED_VALUE"""),"Yes")</f>
        <v>Yes</v>
      </c>
      <c r="AH2220" s="8" t="str">
        <f ca="1">IFERROR(__xludf.DUMMYFUNCTION("""COMPUTED_VALUE"""),"No")</f>
        <v>No</v>
      </c>
      <c r="AI2220" s="8" t="str">
        <f ca="1">IFERROR(__xludf.DUMMYFUNCTION("""COMPUTED_VALUE"""),"No")</f>
        <v>No</v>
      </c>
      <c r="AJ2220" s="8" t="str">
        <f ca="1">IFERROR(__xludf.DUMMYFUNCTION("""COMPUTED_VALUE"""),"No")</f>
        <v>No</v>
      </c>
      <c r="AK2220" s="8" t="str">
        <f ca="1">IFERROR(__xludf.DUMMYFUNCTION("""COMPUTED_VALUE"""),"No")</f>
        <v>No</v>
      </c>
      <c r="AL2220" s="8" t="str">
        <f ca="1">IFERROR(__xludf.DUMMYFUNCTION("""COMPUTED_VALUE"""),"No")</f>
        <v>No</v>
      </c>
      <c r="AM2220" s="8" t="str">
        <f ca="1">IFERROR(__xludf.DUMMYFUNCTION("""COMPUTED_VALUE"""),"Yes")</f>
        <v>Yes</v>
      </c>
      <c r="AN2220" s="8" t="str">
        <f ca="1">IFERROR(__xludf.DUMMYFUNCTION("""COMPUTED_VALUE"""),"Single Room")</f>
        <v>Single Room</v>
      </c>
      <c r="AO2220" s="8" t="str">
        <f ca="1">IFERROR(__xludf.DUMMYFUNCTION("""COMPUTED_VALUE"""),"No")</f>
        <v>No</v>
      </c>
      <c r="AP2220" s="8"/>
      <c r="AQ2220" s="8" t="str">
        <f ca="1">IFERROR(__xludf.DUMMYFUNCTION("""COMPUTED_VALUE"""),"Unknown")</f>
        <v>Unknown</v>
      </c>
      <c r="AR2220" s="8" t="str">
        <f ca="1">IFERROR(__xludf.DUMMYFUNCTION("""COMPUTED_VALUE"""),"NA")</f>
        <v>NA</v>
      </c>
      <c r="AS2220" s="8">
        <f ca="1">IFERROR(__xludf.DUMMYFUNCTION("""COMPUTED_VALUE"""),2)</f>
        <v>2</v>
      </c>
      <c r="AT2220" s="8"/>
      <c r="AU2220" s="8">
        <f ca="1">IFERROR(__xludf.DUMMYFUNCTION("""COMPUTED_VALUE"""),35.960565)</f>
        <v>35.960565000000003</v>
      </c>
      <c r="AV2220" s="8">
        <f ca="1">IFERROR(__xludf.DUMMYFUNCTION("""COMPUTED_VALUE"""),-79.030151)</f>
        <v>-79.030151000000004</v>
      </c>
      <c r="AW2220" s="8"/>
      <c r="AX2220" s="8">
        <f ca="1">IFERROR(__xludf.DUMMYFUNCTION("""COMPUTED_VALUE"""),27514)</f>
        <v>27514</v>
      </c>
    </row>
    <row r="2221" spans="1:50" ht="60" x14ac:dyDescent="0.2">
      <c r="A2221" s="8" t="str">
        <f ca="1">IFERROR(__xludf.DUMMYFUNCTION("""COMPUTED_VALUE"""),"20060418TXWEH")</f>
        <v>20060418TXWEH</v>
      </c>
      <c r="B2221" s="8">
        <f ca="1">IFERROR(__xludf.DUMMYFUNCTION("""COMPUTED_VALUE"""),4)</f>
        <v>4</v>
      </c>
      <c r="C2221" s="8">
        <f ca="1">IFERROR(__xludf.DUMMYFUNCTION("""COMPUTED_VALUE"""),18)</f>
        <v>18</v>
      </c>
      <c r="D2221" s="8">
        <f ca="1">IFERROR(__xludf.DUMMYFUNCTION("""COMPUTED_VALUE"""),2006)</f>
        <v>2006</v>
      </c>
      <c r="E2221" s="9">
        <f ca="1">IFERROR(__xludf.DUMMYFUNCTION("""COMPUTED_VALUE"""),38825)</f>
        <v>38825</v>
      </c>
      <c r="F2221" s="8" t="str">
        <f ca="1">IFERROR(__xludf.DUMMYFUNCTION("""COMPUTED_VALUE"""),"Westbury High School (bus)")</f>
        <v>Westbury High School (bus)</v>
      </c>
      <c r="G2221" s="8">
        <f ca="1">IFERROR(__xludf.DUMMYFUNCTION("""COMPUTED_VALUE"""),0)</f>
        <v>0</v>
      </c>
      <c r="H2221" s="8">
        <f ca="1">IFERROR(__xludf.DUMMYFUNCTION("""COMPUTED_VALUE"""),2)</f>
        <v>2</v>
      </c>
      <c r="I2221" s="8">
        <f ca="1">IFERROR(__xludf.DUMMYFUNCTION("""COMPUTED_VALUE"""),2)</f>
        <v>2</v>
      </c>
      <c r="J2221" s="8">
        <f ca="1">IFERROR(__xludf.DUMMYFUNCTION("""COMPUTED_VALUE"""),0)</f>
        <v>0</v>
      </c>
      <c r="K2221" s="10" t="str">
        <f ca="1">IFERROR(__xludf.DUMMYFUNCTION("""COMPUTED_VALUE"""),"https://www.chron.com/news/houston-texas/article/Two-cut-by-glass-after-HISD-bus-shot-1908192.php")</f>
        <v>https://www.chron.com/news/houston-texas/article/Two-cut-by-glass-after-HISD-bus-shot-1908192.php</v>
      </c>
      <c r="L2221" s="8"/>
      <c r="M2221" s="8"/>
      <c r="N2221" s="8">
        <f ca="1">IFERROR(__xludf.DUMMYFUNCTION("""COMPUTED_VALUE"""),2)</f>
        <v>2</v>
      </c>
      <c r="O2221" s="8" t="str">
        <f ca="1">IFERROR(__xludf.DUMMYFUNCTION("""COMPUTED_VALUE"""),"Spring")</f>
        <v>Spring</v>
      </c>
      <c r="P2221" s="8" t="str">
        <f ca="1">IFERROR(__xludf.DUMMYFUNCTION("""COMPUTED_VALUE"""),"Houston")</f>
        <v>Houston</v>
      </c>
      <c r="Q2221" s="8" t="str">
        <f ca="1">IFERROR(__xludf.DUMMYFUNCTION("""COMPUTED_VALUE"""),"TX")</f>
        <v>TX</v>
      </c>
      <c r="R2221" s="8" t="str">
        <f ca="1">IFERROR(__xludf.DUMMYFUNCTION("""COMPUTED_VALUE"""),"High")</f>
        <v>High</v>
      </c>
      <c r="S2221" s="8" t="str">
        <f ca="1">IFERROR(__xludf.DUMMYFUNCTION("""COMPUTED_VALUE"""),"School Bus")</f>
        <v>School Bus</v>
      </c>
      <c r="T2221" s="8" t="str">
        <f ca="1">IFERROR(__xludf.DUMMYFUNCTION("""COMPUTED_VALUE"""),"School Bus")</f>
        <v>School Bus</v>
      </c>
      <c r="U2221" s="8" t="str">
        <f ca="1">IFERROR(__xludf.DUMMYFUNCTION("""COMPUTED_VALUE"""),"Yes")</f>
        <v>Yes</v>
      </c>
      <c r="V2221" s="8" t="str">
        <f ca="1">IFERROR(__xludf.DUMMYFUNCTION("""COMPUTED_VALUE"""),"After School")</f>
        <v>After School</v>
      </c>
      <c r="W2221" s="11">
        <f ca="1">IFERROR(__xludf.DUMMYFUNCTION("""COMPUTED_VALUE"""),0.708333333333333)</f>
        <v>0.70833333333333304</v>
      </c>
      <c r="X2221" s="8">
        <f ca="1">IFERROR(__xludf.DUMMYFUNCTION("""COMPUTED_VALUE"""),1)</f>
        <v>1</v>
      </c>
      <c r="Y2221" s="12" t="str">
        <f ca="1">IFERROR(__xludf.DUMMYFUNCTION("""COMPUTED_VALUE"""),"Man running across the street fired 2 shots that struck the bus")</f>
        <v>Man running across the street fired 2 shots that struck the bus</v>
      </c>
      <c r="Z2221" s="12" t="str">
        <f ca="1">IFERROR(__xludf.DUMMYFUNCTION("""COMPUTED_VALUE"""),"Unknown male running across the street fired shots. 2 struck the school bus. 2 students were injured when the bus they were riding was struck by two bullets. Shooter was unidentified. No motive known.")</f>
        <v>Unknown male running across the street fired shots. 2 struck the school bus. 2 students were injured when the bus they were riding was struck by two bullets. Shooter was unidentified. No motive known.</v>
      </c>
      <c r="AA2221" s="8" t="str">
        <f ca="1">IFERROR(__xludf.DUMMYFUNCTION("""COMPUTED_VALUE"""),"Unknown")</f>
        <v>Unknown</v>
      </c>
      <c r="AB2221" s="8"/>
      <c r="AC2221" s="8" t="str">
        <f ca="1">IFERROR(__xludf.DUMMYFUNCTION("""COMPUTED_VALUE"""),"Yes")</f>
        <v>Yes</v>
      </c>
      <c r="AD2221" s="8" t="str">
        <f ca="1">IFERROR(__xludf.DUMMYFUNCTION("""COMPUTED_VALUE"""),"Random Shooting")</f>
        <v>Random Shooting</v>
      </c>
      <c r="AE2221" s="8" t="str">
        <f ca="1">IFERROR(__xludf.DUMMYFUNCTION("""COMPUTED_VALUE"""),"No")</f>
        <v>No</v>
      </c>
      <c r="AF2221" s="8"/>
      <c r="AG2221" s="8" t="str">
        <f ca="1">IFERROR(__xludf.DUMMYFUNCTION("""COMPUTED_VALUE"""),"No")</f>
        <v>No</v>
      </c>
      <c r="AH2221" s="8" t="str">
        <f ca="1">IFERROR(__xludf.DUMMYFUNCTION("""COMPUTED_VALUE"""),"No")</f>
        <v>No</v>
      </c>
      <c r="AI2221" s="8" t="str">
        <f ca="1">IFERROR(__xludf.DUMMYFUNCTION("""COMPUTED_VALUE"""),"No")</f>
        <v>No</v>
      </c>
      <c r="AJ2221" s="8" t="str">
        <f ca="1">IFERROR(__xludf.DUMMYFUNCTION("""COMPUTED_VALUE"""),"No")</f>
        <v>No</v>
      </c>
      <c r="AK2221" s="8" t="str">
        <f ca="1">IFERROR(__xludf.DUMMYFUNCTION("""COMPUTED_VALUE"""),"No")</f>
        <v>No</v>
      </c>
      <c r="AL2221" s="8"/>
      <c r="AM2221" s="8"/>
      <c r="AN2221" s="8"/>
      <c r="AO2221" s="8" t="str">
        <f ca="1">IFERROR(__xludf.DUMMYFUNCTION("""COMPUTED_VALUE"""),"No")</f>
        <v>No</v>
      </c>
      <c r="AP2221" s="8"/>
      <c r="AQ2221" s="8" t="str">
        <f ca="1">IFERROR(__xludf.DUMMYFUNCTION("""COMPUTED_VALUE"""),"Unknown")</f>
        <v>Unknown</v>
      </c>
      <c r="AR2221" s="8" t="str">
        <f ca="1">IFERROR(__xludf.DUMMYFUNCTION("""COMPUTED_VALUE"""),"NA")</f>
        <v>NA</v>
      </c>
      <c r="AS2221" s="8">
        <f ca="1">IFERROR(__xludf.DUMMYFUNCTION("""COMPUTED_VALUE"""),2)</f>
        <v>2</v>
      </c>
      <c r="AT2221" s="8"/>
      <c r="AU2221" s="8">
        <f ca="1">IFERROR(__xludf.DUMMYFUNCTION("""COMPUTED_VALUE"""),29.649842)</f>
        <v>29.649842</v>
      </c>
      <c r="AV2221" s="8">
        <f ca="1">IFERROR(__xludf.DUMMYFUNCTION("""COMPUTED_VALUE"""),-95.481395)</f>
        <v>-95.481395000000006</v>
      </c>
      <c r="AW2221" s="8"/>
      <c r="AX2221" s="8">
        <f ca="1">IFERROR(__xludf.DUMMYFUNCTION("""COMPUTED_VALUE"""),77035)</f>
        <v>77035</v>
      </c>
    </row>
    <row r="2222" spans="1:50" ht="60" x14ac:dyDescent="0.2">
      <c r="A2222" s="8" t="str">
        <f ca="1">IFERROR(__xludf.DUMMYFUNCTION("""COMPUTED_VALUE"""),"20060405DCROW")</f>
        <v>20060405DCROW</v>
      </c>
      <c r="B2222" s="8">
        <f ca="1">IFERROR(__xludf.DUMMYFUNCTION("""COMPUTED_VALUE"""),4)</f>
        <v>4</v>
      </c>
      <c r="C2222" s="8">
        <f ca="1">IFERROR(__xludf.DUMMYFUNCTION("""COMPUTED_VALUE"""),5)</f>
        <v>5</v>
      </c>
      <c r="D2222" s="8">
        <f ca="1">IFERROR(__xludf.DUMMYFUNCTION("""COMPUTED_VALUE"""),2006)</f>
        <v>2006</v>
      </c>
      <c r="E2222" s="9">
        <f ca="1">IFERROR(__xludf.DUMMYFUNCTION("""COMPUTED_VALUE"""),38812)</f>
        <v>38812</v>
      </c>
      <c r="F2222" s="8" t="str">
        <f ca="1">IFERROR(__xludf.DUMMYFUNCTION("""COMPUTED_VALUE"""),"Roosevelt Senior High School")</f>
        <v>Roosevelt Senior High School</v>
      </c>
      <c r="G2222" s="8">
        <f ca="1">IFERROR(__xludf.DUMMYFUNCTION("""COMPUTED_VALUE"""),0)</f>
        <v>0</v>
      </c>
      <c r="H2222" s="8">
        <f ca="1">IFERROR(__xludf.DUMMYFUNCTION("""COMPUTED_VALUE"""),2)</f>
        <v>2</v>
      </c>
      <c r="I2222" s="8">
        <f ca="1">IFERROR(__xludf.DUMMYFUNCTION("""COMPUTED_VALUE"""),2)</f>
        <v>2</v>
      </c>
      <c r="J2222" s="8">
        <f ca="1">IFERROR(__xludf.DUMMYFUNCTION("""COMPUTED_VALUE"""),0)</f>
        <v>0</v>
      </c>
      <c r="K2222" s="10" t="str">
        <f ca="1">IFERROR(__xludf.DUMMYFUNCTION("""COMPUTED_VALUE"""),"https://www.washingtonpost.com/archive/business/technology/2006/04/05/shooting-at-roosevelt-high-injures-19-year-old-student/5e198f72-616c-4f3e-8b06-25cdc4162735/?utm_term=.0b3f619eca63")</f>
        <v>https://www.washingtonpost.com/archive/business/technology/2006/04/05/shooting-at-roosevelt-high-injures-19-year-old-student/5e198f72-616c-4f3e-8b06-25cdc4162735/?utm_term=.0b3f619eca63</v>
      </c>
      <c r="L2222" s="8"/>
      <c r="M2222" s="8"/>
      <c r="N2222" s="8">
        <f ca="1">IFERROR(__xludf.DUMMYFUNCTION("""COMPUTED_VALUE"""),2)</f>
        <v>2</v>
      </c>
      <c r="O2222" s="8" t="str">
        <f ca="1">IFERROR(__xludf.DUMMYFUNCTION("""COMPUTED_VALUE"""),"Spring")</f>
        <v>Spring</v>
      </c>
      <c r="P2222" s="8" t="str">
        <f ca="1">IFERROR(__xludf.DUMMYFUNCTION("""COMPUTED_VALUE"""),"Washington")</f>
        <v>Washington</v>
      </c>
      <c r="Q2222" s="8" t="str">
        <f ca="1">IFERROR(__xludf.DUMMYFUNCTION("""COMPUTED_VALUE"""),"DC")</f>
        <v>DC</v>
      </c>
      <c r="R2222" s="8" t="str">
        <f ca="1">IFERROR(__xludf.DUMMYFUNCTION("""COMPUTED_VALUE"""),"High")</f>
        <v>High</v>
      </c>
      <c r="S2222" s="8" t="str">
        <f ca="1">IFERROR(__xludf.DUMMYFUNCTION("""COMPUTED_VALUE"""),"Front of School")</f>
        <v>Front of School</v>
      </c>
      <c r="T2222" s="8" t="str">
        <f ca="1">IFERROR(__xludf.DUMMYFUNCTION("""COMPUTED_VALUE"""),"Outside on School Property")</f>
        <v>Outside on School Property</v>
      </c>
      <c r="U2222" s="8" t="str">
        <f ca="1">IFERROR(__xludf.DUMMYFUNCTION("""COMPUTED_VALUE"""),"Yes")</f>
        <v>Yes</v>
      </c>
      <c r="V2222" s="8" t="str">
        <f ca="1">IFERROR(__xludf.DUMMYFUNCTION("""COMPUTED_VALUE"""),"Morning Classes")</f>
        <v>Morning Classes</v>
      </c>
      <c r="W2222" s="11">
        <f ca="1">IFERROR(__xludf.DUMMYFUNCTION("""COMPUTED_VALUE"""),0.385416666666666)</f>
        <v>0.38541666666666602</v>
      </c>
      <c r="X2222" s="8">
        <f ca="1">IFERROR(__xludf.DUMMYFUNCTION("""COMPUTED_VALUE"""),1)</f>
        <v>1</v>
      </c>
      <c r="Y2222" s="12" t="str">
        <f ca="1">IFERROR(__xludf.DUMMYFUNCTION("""COMPUTED_VALUE"""),"Students shot during drive-by walking into school building")</f>
        <v>Students shot during drive-by walking into school building</v>
      </c>
      <c r="Z2222" s="12" t="str">
        <f ca="1">IFERROR(__xludf.DUMMYFUNCTION("""COMPUTED_VALUE"""),"19YOM (believed to be target) and 18YOF were shot during drive-by walking into high school. No suspect was identified. Motive unknown.")</f>
        <v>19YOM (believed to be target) and 18YOF were shot during drive-by walking into high school. No suspect was identified. Motive unknown.</v>
      </c>
      <c r="AA2222" s="8" t="str">
        <f ca="1">IFERROR(__xludf.DUMMYFUNCTION("""COMPUTED_VALUE"""),"Drive-by Shooting")</f>
        <v>Drive-by Shooting</v>
      </c>
      <c r="AB2222" s="8"/>
      <c r="AC2222" s="8" t="str">
        <f ca="1">IFERROR(__xludf.DUMMYFUNCTION("""COMPUTED_VALUE"""),"Yes")</f>
        <v>Yes</v>
      </c>
      <c r="AD2222" s="8" t="str">
        <f ca="1">IFERROR(__xludf.DUMMYFUNCTION("""COMPUTED_VALUE"""),"Both")</f>
        <v>Both</v>
      </c>
      <c r="AE2222" s="8" t="str">
        <f ca="1">IFERROR(__xludf.DUMMYFUNCTION("""COMPUTED_VALUE"""),"Unknown")</f>
        <v>Unknown</v>
      </c>
      <c r="AF2222" s="8" t="str">
        <f ca="1">IFERROR(__xludf.DUMMYFUNCTION("""COMPUTED_VALUE"""),"Unknown if shooter was driver")</f>
        <v>Unknown if shooter was driver</v>
      </c>
      <c r="AG2222" s="8" t="str">
        <f ca="1">IFERROR(__xludf.DUMMYFUNCTION("""COMPUTED_VALUE"""),"No")</f>
        <v>No</v>
      </c>
      <c r="AH2222" s="8" t="str">
        <f ca="1">IFERROR(__xludf.DUMMYFUNCTION("""COMPUTED_VALUE"""),"No")</f>
        <v>No</v>
      </c>
      <c r="AI2222" s="8" t="str">
        <f ca="1">IFERROR(__xludf.DUMMYFUNCTION("""COMPUTED_VALUE"""),"No")</f>
        <v>No</v>
      </c>
      <c r="AJ2222" s="8" t="str">
        <f ca="1">IFERROR(__xludf.DUMMYFUNCTION("""COMPUTED_VALUE"""),"No")</f>
        <v>No</v>
      </c>
      <c r="AK2222" s="8" t="str">
        <f ca="1">IFERROR(__xludf.DUMMYFUNCTION("""COMPUTED_VALUE"""),"No")</f>
        <v>No</v>
      </c>
      <c r="AL2222" s="8"/>
      <c r="AM2222" s="8"/>
      <c r="AN2222" s="8"/>
      <c r="AO2222" s="8" t="str">
        <f ca="1">IFERROR(__xludf.DUMMYFUNCTION("""COMPUTED_VALUE"""),"No")</f>
        <v>No</v>
      </c>
      <c r="AP2222" s="8"/>
      <c r="AQ2222" s="8" t="str">
        <f ca="1">IFERROR(__xludf.DUMMYFUNCTION("""COMPUTED_VALUE"""),"Unknown")</f>
        <v>Unknown</v>
      </c>
      <c r="AR2222" s="8" t="str">
        <f ca="1">IFERROR(__xludf.DUMMYFUNCTION("""COMPUTED_VALUE"""),"NA")</f>
        <v>NA</v>
      </c>
      <c r="AS2222" s="8"/>
      <c r="AT2222" s="8"/>
      <c r="AU2222" s="8">
        <f ca="1">IFERROR(__xludf.DUMMYFUNCTION("""COMPUTED_VALUE"""),38.942954)</f>
        <v>38.942954</v>
      </c>
      <c r="AV2222" s="8">
        <f ca="1">IFERROR(__xludf.DUMMYFUNCTION("""COMPUTED_VALUE"""),-77.029167)</f>
        <v>-77.029167000000001</v>
      </c>
      <c r="AW2222" s="8"/>
      <c r="AX2222" s="8">
        <f ca="1">IFERROR(__xludf.DUMMYFUNCTION("""COMPUTED_VALUE"""),20542)</f>
        <v>20542</v>
      </c>
    </row>
    <row r="2223" spans="1:50" ht="105" x14ac:dyDescent="0.2">
      <c r="A2223" s="8" t="str">
        <f ca="1">IFERROR(__xludf.DUMMYFUNCTION("""COMPUTED_VALUE"""),"20060314NVPIR")</f>
        <v>20060314NVPIR</v>
      </c>
      <c r="B2223" s="8">
        <f ca="1">IFERROR(__xludf.DUMMYFUNCTION("""COMPUTED_VALUE"""),3)</f>
        <v>3</v>
      </c>
      <c r="C2223" s="8">
        <f ca="1">IFERROR(__xludf.DUMMYFUNCTION("""COMPUTED_VALUE"""),14)</f>
        <v>14</v>
      </c>
      <c r="D2223" s="8">
        <f ca="1">IFERROR(__xludf.DUMMYFUNCTION("""COMPUTED_VALUE"""),2006)</f>
        <v>2006</v>
      </c>
      <c r="E2223" s="9">
        <f ca="1">IFERROR(__xludf.DUMMYFUNCTION("""COMPUTED_VALUE"""),38790)</f>
        <v>38790</v>
      </c>
      <c r="F2223" s="8" t="str">
        <f ca="1">IFERROR(__xludf.DUMMYFUNCTION("""COMPUTED_VALUE"""),"Pine Middle School")</f>
        <v>Pine Middle School</v>
      </c>
      <c r="G2223" s="8">
        <f ca="1">IFERROR(__xludf.DUMMYFUNCTION("""COMPUTED_VALUE"""),0)</f>
        <v>0</v>
      </c>
      <c r="H2223" s="8">
        <f ca="1">IFERROR(__xludf.DUMMYFUNCTION("""COMPUTED_VALUE"""),2)</f>
        <v>2</v>
      </c>
      <c r="I2223" s="8">
        <f ca="1">IFERROR(__xludf.DUMMYFUNCTION("""COMPUTED_VALUE"""),2)</f>
        <v>2</v>
      </c>
      <c r="J2223" s="8">
        <f ca="1">IFERROR(__xludf.DUMMYFUNCTION("""COMPUTED_VALUE"""),0)</f>
        <v>0</v>
      </c>
      <c r="K2223" s="8" t="str">
        <f ca="1">IFERROR(__xludf.DUMMYFUNCTION("""COMPUTED_VALUE"""),"http://abcnews.go.com/GMA/story?id=1732518&amp;page=1  https://www.fbi.gov/file-repository/active-shooter-incidents-2000-2017.pdf")</f>
        <v>http://abcnews.go.com/GMA/story?id=1732518&amp;page=1  https://www.fbi.gov/file-repository/active-shooter-incidents-2000-2017.pdf</v>
      </c>
      <c r="L2223" s="8"/>
      <c r="M2223" s="8"/>
      <c r="N2223" s="8">
        <f ca="1">IFERROR(__xludf.DUMMYFUNCTION("""COMPUTED_VALUE"""),5)</f>
        <v>5</v>
      </c>
      <c r="O2223" s="8" t="str">
        <f ca="1">IFERROR(__xludf.DUMMYFUNCTION("""COMPUTED_VALUE"""),"Spring")</f>
        <v>Spring</v>
      </c>
      <c r="P2223" s="8" t="str">
        <f ca="1">IFERROR(__xludf.DUMMYFUNCTION("""COMPUTED_VALUE"""),"Reno")</f>
        <v>Reno</v>
      </c>
      <c r="Q2223" s="8" t="str">
        <f ca="1">IFERROR(__xludf.DUMMYFUNCTION("""COMPUTED_VALUE"""),"NV")</f>
        <v>NV</v>
      </c>
      <c r="R2223" s="8" t="str">
        <f ca="1">IFERROR(__xludf.DUMMYFUNCTION("""COMPUTED_VALUE"""),"Middle")</f>
        <v>Middle</v>
      </c>
      <c r="S2223" s="8" t="str">
        <f ca="1">IFERROR(__xludf.DUMMYFUNCTION("""COMPUTED_VALUE"""),"Classroom")</f>
        <v>Classroom</v>
      </c>
      <c r="T2223" s="8" t="str">
        <f ca="1">IFERROR(__xludf.DUMMYFUNCTION("""COMPUTED_VALUE"""),"Inside School Building")</f>
        <v>Inside School Building</v>
      </c>
      <c r="U2223" s="8" t="str">
        <f ca="1">IFERROR(__xludf.DUMMYFUNCTION("""COMPUTED_VALUE"""),"Yes")</f>
        <v>Yes</v>
      </c>
      <c r="V2223" s="8" t="str">
        <f ca="1">IFERROR(__xludf.DUMMYFUNCTION("""COMPUTED_VALUE"""),"Morning Classes")</f>
        <v>Morning Classes</v>
      </c>
      <c r="W2223" s="11">
        <f ca="1">IFERROR(__xludf.DUMMYFUNCTION("""COMPUTED_VALUE"""),0.375)</f>
        <v>0.375</v>
      </c>
      <c r="X2223" s="8">
        <f ca="1">IFERROR(__xludf.DUMMYFUNCTION("""COMPUTED_VALUE"""),1)</f>
        <v>1</v>
      </c>
      <c r="Y2223" s="12" t="str">
        <f ca="1">IFERROR(__xludf.DUMMYFUNCTION("""COMPUTED_VALUE"""),"Planned attack, researched Columbine for weeks")</f>
        <v>Planned attack, researched Columbine for weeks</v>
      </c>
      <c r="Z2223" s="12" t="str">
        <f ca="1">IFERROR(__xludf.DUMMYFUNCTION("""COMPUTED_VALUE"""),"Shooter fired 3 rounds from a .38 at a targeted victim who had bullied him. One other student was struck. The shooter only had 3 rounds of ammo. A teacher subdued him. The shooter had studied Columbine and wrote detailed journal entries about it. He was t"&amp;"ired of being called stupid by his brothers and classmates. His father had given him a collection of ammunition that included 3 .38 rounds.")</f>
        <v>Shooter fired 3 rounds from a .38 at a targeted victim who had bullied him. One other student was struck. The shooter only had 3 rounds of ammo. A teacher subdued him. The shooter had studied Columbine and wrote detailed journal entries about it. He was tired of being called stupid by his brothers and classmates. His father had given him a collection of ammunition that included 3 .38 rounds.</v>
      </c>
      <c r="AA2223" s="8" t="str">
        <f ca="1">IFERROR(__xludf.DUMMYFUNCTION("""COMPUTED_VALUE"""),"Bullying")</f>
        <v>Bullying</v>
      </c>
      <c r="AB2223" s="8"/>
      <c r="AC2223" s="8" t="str">
        <f ca="1">IFERROR(__xludf.DUMMYFUNCTION("""COMPUTED_VALUE"""),"Yes")</f>
        <v>Yes</v>
      </c>
      <c r="AD2223" s="8" t="str">
        <f ca="1">IFERROR(__xludf.DUMMYFUNCTION("""COMPUTED_VALUE"""),"Both")</f>
        <v>Both</v>
      </c>
      <c r="AE2223" s="8" t="str">
        <f ca="1">IFERROR(__xludf.DUMMYFUNCTION("""COMPUTED_VALUE"""),"No")</f>
        <v>No</v>
      </c>
      <c r="AF2223" s="8"/>
      <c r="AG2223" s="8" t="str">
        <f ca="1">IFERROR(__xludf.DUMMYFUNCTION("""COMPUTED_VALUE"""),"No")</f>
        <v>No</v>
      </c>
      <c r="AH2223" s="8" t="str">
        <f ca="1">IFERROR(__xludf.DUMMYFUNCTION("""COMPUTED_VALUE"""),"No")</f>
        <v>No</v>
      </c>
      <c r="AI2223" s="8" t="str">
        <f ca="1">IFERROR(__xludf.DUMMYFUNCTION("""COMPUTED_VALUE"""),"No")</f>
        <v>No</v>
      </c>
      <c r="AJ2223" s="8" t="str">
        <f ca="1">IFERROR(__xludf.DUMMYFUNCTION("""COMPUTED_VALUE"""),"Yes")</f>
        <v>Yes</v>
      </c>
      <c r="AK2223" s="8" t="str">
        <f ca="1">IFERROR(__xludf.DUMMYFUNCTION("""COMPUTED_VALUE"""),"No")</f>
        <v>No</v>
      </c>
      <c r="AL2223" s="8" t="str">
        <f ca="1">IFERROR(__xludf.DUMMYFUNCTION("""COMPUTED_VALUE"""),"No")</f>
        <v>No</v>
      </c>
      <c r="AM2223" s="8" t="str">
        <f ca="1">IFERROR(__xludf.DUMMYFUNCTION("""COMPUTED_VALUE"""),"Yes")</f>
        <v>Yes</v>
      </c>
      <c r="AN2223" s="8" t="str">
        <f ca="1">IFERROR(__xludf.DUMMYFUNCTION("""COMPUTED_VALUE"""),"Single Room")</f>
        <v>Single Room</v>
      </c>
      <c r="AO2223" s="8" t="str">
        <f ca="1">IFERROR(__xludf.DUMMYFUNCTION("""COMPUTED_VALUE"""),"Yes")</f>
        <v>Yes</v>
      </c>
      <c r="AP2223" s="8" t="str">
        <f ca="1">IFERROR(__xludf.DUMMYFUNCTION("""COMPUTED_VALUE"""),"No")</f>
        <v>No</v>
      </c>
      <c r="AQ2223" s="8" t="str">
        <f ca="1">IFERROR(__xludf.DUMMYFUNCTION("""COMPUTED_VALUE"""),"Unknown")</f>
        <v>Unknown</v>
      </c>
      <c r="AR2223" s="8" t="str">
        <f ca="1">IFERROR(__xludf.DUMMYFUNCTION("""COMPUTED_VALUE"""),"NA")</f>
        <v>NA</v>
      </c>
      <c r="AS2223" s="8">
        <f ca="1">IFERROR(__xludf.DUMMYFUNCTION("""COMPUTED_VALUE"""),3)</f>
        <v>3</v>
      </c>
      <c r="AT2223" s="8"/>
      <c r="AU2223" s="8">
        <f ca="1">IFERROR(__xludf.DUMMYFUNCTION("""COMPUTED_VALUE"""),39.47974)</f>
        <v>39.47974</v>
      </c>
      <c r="AV2223" s="8">
        <f ca="1">IFERROR(__xludf.DUMMYFUNCTION("""COMPUTED_VALUE"""),-119.780859)</f>
        <v>-119.78085900000001</v>
      </c>
      <c r="AW2223" s="8"/>
      <c r="AX2223" s="8">
        <f ca="1">IFERROR(__xludf.DUMMYFUNCTION("""COMPUTED_VALUE"""),89502)</f>
        <v>89502</v>
      </c>
    </row>
    <row r="2224" spans="1:50" ht="60" x14ac:dyDescent="0.2">
      <c r="A2224" s="8" t="str">
        <f ca="1">IFERROR(__xludf.DUMMYFUNCTION("""COMPUTED_VALUE"""),"20060310NYISN")</f>
        <v>20060310NYISN</v>
      </c>
      <c r="B2224" s="8">
        <f ca="1">IFERROR(__xludf.DUMMYFUNCTION("""COMPUTED_VALUE"""),3)</f>
        <v>3</v>
      </c>
      <c r="C2224" s="8">
        <f ca="1">IFERROR(__xludf.DUMMYFUNCTION("""COMPUTED_VALUE"""),10)</f>
        <v>10</v>
      </c>
      <c r="D2224" s="8">
        <f ca="1">IFERROR(__xludf.DUMMYFUNCTION("""COMPUTED_VALUE"""),2006)</f>
        <v>2006</v>
      </c>
      <c r="E2224" s="9">
        <f ca="1">IFERROR(__xludf.DUMMYFUNCTION("""COMPUTED_VALUE"""),38786)</f>
        <v>38786</v>
      </c>
      <c r="F2224" s="8" t="str">
        <f ca="1">IFERROR(__xludf.DUMMYFUNCTION("""COMPUTED_VALUE"""),"I S 89 Middle School")</f>
        <v>I S 89 Middle School</v>
      </c>
      <c r="G2224" s="8">
        <f ca="1">IFERROR(__xludf.DUMMYFUNCTION("""COMPUTED_VALUE"""),0)</f>
        <v>0</v>
      </c>
      <c r="H2224" s="8">
        <f ca="1">IFERROR(__xludf.DUMMYFUNCTION("""COMPUTED_VALUE"""),2)</f>
        <v>2</v>
      </c>
      <c r="I2224" s="8">
        <f ca="1">IFERROR(__xludf.DUMMYFUNCTION("""COMPUTED_VALUE"""),2)</f>
        <v>2</v>
      </c>
      <c r="J2224" s="8">
        <f ca="1">IFERROR(__xludf.DUMMYFUNCTION("""COMPUTED_VALUE"""),0)</f>
        <v>0</v>
      </c>
      <c r="K2224" s="10" t="str">
        <f ca="1">IFERROR(__xludf.DUMMYFUNCTION("""COMPUTED_VALUE"""),"http://www.downtownexpress.com/de_149/bbgunshotingatis89.html")</f>
        <v>http://www.downtownexpress.com/de_149/bbgunshotingatis89.html</v>
      </c>
      <c r="L2224" s="8"/>
      <c r="M2224" s="8"/>
      <c r="N2224" s="8">
        <f ca="1">IFERROR(__xludf.DUMMYFUNCTION("""COMPUTED_VALUE"""),2)</f>
        <v>2</v>
      </c>
      <c r="O2224" s="8" t="str">
        <f ca="1">IFERROR(__xludf.DUMMYFUNCTION("""COMPUTED_VALUE"""),"Spring")</f>
        <v>Spring</v>
      </c>
      <c r="P2224" s="8" t="str">
        <f ca="1">IFERROR(__xludf.DUMMYFUNCTION("""COMPUTED_VALUE"""),"New York")</f>
        <v>New York</v>
      </c>
      <c r="Q2224" s="8" t="str">
        <f ca="1">IFERROR(__xludf.DUMMYFUNCTION("""COMPUTED_VALUE"""),"NY")</f>
        <v>NY</v>
      </c>
      <c r="R2224" s="8" t="str">
        <f ca="1">IFERROR(__xludf.DUMMYFUNCTION("""COMPUTED_VALUE"""),"Middle")</f>
        <v>Middle</v>
      </c>
      <c r="S2224" s="8" t="str">
        <f ca="1">IFERROR(__xludf.DUMMYFUNCTION("""COMPUTED_VALUE"""),"Hallway")</f>
        <v>Hallway</v>
      </c>
      <c r="T2224" s="8" t="str">
        <f ca="1">IFERROR(__xludf.DUMMYFUNCTION("""COMPUTED_VALUE"""),"Inside School Building")</f>
        <v>Inside School Building</v>
      </c>
      <c r="U2224" s="8" t="str">
        <f ca="1">IFERROR(__xludf.DUMMYFUNCTION("""COMPUTED_VALUE"""),"Yes")</f>
        <v>Yes</v>
      </c>
      <c r="V2224" s="8" t="str">
        <f ca="1">IFERROR(__xludf.DUMMYFUNCTION("""COMPUTED_VALUE"""),"School Start")</f>
        <v>School Start</v>
      </c>
      <c r="W2224" s="11">
        <f ca="1">IFERROR(__xludf.DUMMYFUNCTION("""COMPUTED_VALUE"""),0.347222222222222)</f>
        <v>0.34722222222222199</v>
      </c>
      <c r="X2224" s="8">
        <f ca="1">IFERROR(__xludf.DUMMYFUNCTION("""COMPUTED_VALUE"""),1)</f>
        <v>1</v>
      </c>
      <c r="Y2224" s="12" t="str">
        <f ca="1">IFERROR(__xludf.DUMMYFUNCTION("""COMPUTED_VALUE"""),"Two students with BB guns ambushed another student in stairwell")</f>
        <v>Two students with BB guns ambushed another student in stairwell</v>
      </c>
      <c r="Z2224" s="12" t="str">
        <f ca="1">IFERROR(__xludf.DUMMYFUNCTION("""COMPUTED_VALUE"""),"Two students with bb guns (12 and 14YOMs) ambushed another student in the school stairwell and fired at him multiple times causing minor injuries. Another student was also struck. Both were charged with felony assault.")</f>
        <v>Two students with bb guns (12 and 14YOMs) ambushed another student in the school stairwell and fired at him multiple times causing minor injuries. Another student was also struck. Both were charged with felony assault.</v>
      </c>
      <c r="AA2224" s="8" t="str">
        <f ca="1">IFERROR(__xludf.DUMMYFUNCTION("""COMPUTED_VALUE"""),"Escalation of Dispute")</f>
        <v>Escalation of Dispute</v>
      </c>
      <c r="AB2224" s="8"/>
      <c r="AC2224" s="8" t="str">
        <f ca="1">IFERROR(__xludf.DUMMYFUNCTION("""COMPUTED_VALUE"""),"Yes")</f>
        <v>Yes</v>
      </c>
      <c r="AD2224" s="8" t="str">
        <f ca="1">IFERROR(__xludf.DUMMYFUNCTION("""COMPUTED_VALUE"""),"Both")</f>
        <v>Both</v>
      </c>
      <c r="AE2224" s="8" t="str">
        <f ca="1">IFERROR(__xludf.DUMMYFUNCTION("""COMPUTED_VALUE"""),"No")</f>
        <v>No</v>
      </c>
      <c r="AF2224" s="8"/>
      <c r="AG2224" s="8" t="str">
        <f ca="1">IFERROR(__xludf.DUMMYFUNCTION("""COMPUTED_VALUE"""),"No")</f>
        <v>No</v>
      </c>
      <c r="AH2224" s="8" t="str">
        <f ca="1">IFERROR(__xludf.DUMMYFUNCTION("""COMPUTED_VALUE"""),"No")</f>
        <v>No</v>
      </c>
      <c r="AI2224" s="8" t="str">
        <f ca="1">IFERROR(__xludf.DUMMYFUNCTION("""COMPUTED_VALUE"""),"No")</f>
        <v>No</v>
      </c>
      <c r="AJ2224" s="8" t="str">
        <f ca="1">IFERROR(__xludf.DUMMYFUNCTION("""COMPUTED_VALUE"""),"No")</f>
        <v>No</v>
      </c>
      <c r="AK2224" s="8" t="str">
        <f ca="1">IFERROR(__xludf.DUMMYFUNCTION("""COMPUTED_VALUE"""),"No")</f>
        <v>No</v>
      </c>
      <c r="AL2224" s="8" t="str">
        <f ca="1">IFERROR(__xludf.DUMMYFUNCTION("""COMPUTED_VALUE"""),"No")</f>
        <v>No</v>
      </c>
      <c r="AM2224" s="8"/>
      <c r="AN2224" s="8"/>
      <c r="AO2224" s="8" t="str">
        <f ca="1">IFERROR(__xludf.DUMMYFUNCTION("""COMPUTED_VALUE"""),"No")</f>
        <v>No</v>
      </c>
      <c r="AP2224" s="8"/>
      <c r="AQ2224" s="8" t="str">
        <f ca="1">IFERROR(__xludf.DUMMYFUNCTION("""COMPUTED_VALUE"""),"Unknown")</f>
        <v>Unknown</v>
      </c>
      <c r="AR2224" s="8" t="str">
        <f ca="1">IFERROR(__xludf.DUMMYFUNCTION("""COMPUTED_VALUE"""),"NA")</f>
        <v>NA</v>
      </c>
      <c r="AS2224" s="8"/>
      <c r="AT2224" s="8"/>
      <c r="AU2224" s="8">
        <f ca="1">IFERROR(__xludf.DUMMYFUNCTION("""COMPUTED_VALUE"""),40.716859)</f>
        <v>40.716858999999999</v>
      </c>
      <c r="AV2224" s="8">
        <f ca="1">IFERROR(__xludf.DUMMYFUNCTION("""COMPUTED_VALUE"""),-74.013649)</f>
        <v>-74.013649000000001</v>
      </c>
      <c r="AW2224" s="8"/>
      <c r="AX2224" s="8">
        <f ca="1">IFERROR(__xludf.DUMMYFUNCTION("""COMPUTED_VALUE"""),10282)</f>
        <v>10282</v>
      </c>
    </row>
    <row r="2225" spans="1:50" ht="105" x14ac:dyDescent="0.2">
      <c r="A2225" s="8" t="str">
        <f ca="1">IFERROR(__xludf.DUMMYFUNCTION("""COMPUTED_VALUE"""),"20060223ORROR")</f>
        <v>20060223ORROR</v>
      </c>
      <c r="B2225" s="8">
        <f ca="1">IFERROR(__xludf.DUMMYFUNCTION("""COMPUTED_VALUE"""),2)</f>
        <v>2</v>
      </c>
      <c r="C2225" s="8">
        <f ca="1">IFERROR(__xludf.DUMMYFUNCTION("""COMPUTED_VALUE"""),23)</f>
        <v>23</v>
      </c>
      <c r="D2225" s="8">
        <f ca="1">IFERROR(__xludf.DUMMYFUNCTION("""COMPUTED_VALUE"""),2006)</f>
        <v>2006</v>
      </c>
      <c r="E2225" s="9">
        <f ca="1">IFERROR(__xludf.DUMMYFUNCTION("""COMPUTED_VALUE"""),38771)</f>
        <v>38771</v>
      </c>
      <c r="F2225" s="8" t="str">
        <f ca="1">IFERROR(__xludf.DUMMYFUNCTION("""COMPUTED_VALUE"""),"Roseburg High School")</f>
        <v>Roseburg High School</v>
      </c>
      <c r="G2225" s="8">
        <f ca="1">IFERROR(__xludf.DUMMYFUNCTION("""COMPUTED_VALUE"""),0)</f>
        <v>0</v>
      </c>
      <c r="H2225" s="8">
        <f ca="1">IFERROR(__xludf.DUMMYFUNCTION("""COMPUTED_VALUE"""),1)</f>
        <v>1</v>
      </c>
      <c r="I2225" s="8">
        <f ca="1">IFERROR(__xludf.DUMMYFUNCTION("""COMPUTED_VALUE"""),1)</f>
        <v>1</v>
      </c>
      <c r="J2225" s="8">
        <f ca="1">IFERROR(__xludf.DUMMYFUNCTION("""COMPUTED_VALUE"""),0)</f>
        <v>0</v>
      </c>
      <c r="K2225" s="10" t="str">
        <f ca="1">IFERROR(__xludf.DUMMYFUNCTION("""COMPUTED_VALUE"""),"https://www.usatoday.com/story/news/2015/10/01/roseburg-had-school-shooting-2006/73168186/")</f>
        <v>https://www.usatoday.com/story/news/2015/10/01/roseburg-had-school-shooting-2006/73168186/</v>
      </c>
      <c r="L2225" s="8"/>
      <c r="M2225" s="8"/>
      <c r="N2225" s="8">
        <f ca="1">IFERROR(__xludf.DUMMYFUNCTION("""COMPUTED_VALUE"""),2)</f>
        <v>2</v>
      </c>
      <c r="O2225" s="8" t="str">
        <f ca="1">IFERROR(__xludf.DUMMYFUNCTION("""COMPUTED_VALUE"""),"Winter")</f>
        <v>Winter</v>
      </c>
      <c r="P2225" s="8" t="str">
        <f ca="1">IFERROR(__xludf.DUMMYFUNCTION("""COMPUTED_VALUE"""),"Roseburg")</f>
        <v>Roseburg</v>
      </c>
      <c r="Q2225" s="8" t="str">
        <f ca="1">IFERROR(__xludf.DUMMYFUNCTION("""COMPUTED_VALUE"""),"OR")</f>
        <v>OR</v>
      </c>
      <c r="R2225" s="8" t="str">
        <f ca="1">IFERROR(__xludf.DUMMYFUNCTION("""COMPUTED_VALUE"""),"High")</f>
        <v>High</v>
      </c>
      <c r="S2225" s="8" t="str">
        <f ca="1">IFERROR(__xludf.DUMMYFUNCTION("""COMPUTED_VALUE"""),"Hallway")</f>
        <v>Hallway</v>
      </c>
      <c r="T2225" s="8" t="str">
        <f ca="1">IFERROR(__xludf.DUMMYFUNCTION("""COMPUTED_VALUE"""),"Inside School Building")</f>
        <v>Inside School Building</v>
      </c>
      <c r="U2225" s="8" t="str">
        <f ca="1">IFERROR(__xludf.DUMMYFUNCTION("""COMPUTED_VALUE"""),"Yes")</f>
        <v>Yes</v>
      </c>
      <c r="V2225" s="8" t="str">
        <f ca="1">IFERROR(__xludf.DUMMYFUNCTION("""COMPUTED_VALUE"""),"Before School")</f>
        <v>Before School</v>
      </c>
      <c r="W2225" s="11">
        <f ca="1">IFERROR(__xludf.DUMMYFUNCTION("""COMPUTED_VALUE"""),0.322916666666666)</f>
        <v>0.32291666666666602</v>
      </c>
      <c r="X2225" s="8">
        <f ca="1">IFERROR(__xludf.DUMMYFUNCTION("""COMPUTED_VALUE"""),1)</f>
        <v>1</v>
      </c>
      <c r="Y2225" s="12" t="str">
        <f ca="1">IFERROR(__xludf.DUMMYFUNCTION("""COMPUTED_VALUE"""),"Jealousy over girl interested in victim")</f>
        <v>Jealousy over girl interested in victim</v>
      </c>
      <c r="Z2225" s="12" t="str">
        <f ca="1">IFERROR(__xludf.DUMMYFUNCTION("""COMPUTED_VALUE"""),"Shooter fired 4 rounds at the victim from behind then exited school and walked across the street to a restaurant. Shooter put the gun to his head but was talked down and surrender to police. Shooter was jealous that the victim was popular with girls and t"&amp;"here had been an ongoing dispute between them. The victim had gotten in trouble recently for spitting on another student on the school bus.")</f>
        <v>Shooter fired 4 rounds at the victim from behind then exited school and walked across the street to a restaurant. Shooter put the gun to his head but was talked down and surrender to police. Shooter was jealous that the victim was popular with girls and there had been an ongoing dispute between them. The victim had gotten in trouble recently for spitting on another student on the school bus.</v>
      </c>
      <c r="AA2225" s="8" t="str">
        <f ca="1">IFERROR(__xludf.DUMMYFUNCTION("""COMPUTED_VALUE"""),"Murder/Suicide")</f>
        <v>Murder/Suicide</v>
      </c>
      <c r="AB2225" s="8"/>
      <c r="AC2225" s="8" t="str">
        <f ca="1">IFERROR(__xludf.DUMMYFUNCTION("""COMPUTED_VALUE"""),"Yes")</f>
        <v>Yes</v>
      </c>
      <c r="AD2225" s="8" t="str">
        <f ca="1">IFERROR(__xludf.DUMMYFUNCTION("""COMPUTED_VALUE"""),"Victims Targeted")</f>
        <v>Victims Targeted</v>
      </c>
      <c r="AE2225" s="8" t="str">
        <f ca="1">IFERROR(__xludf.DUMMYFUNCTION("""COMPUTED_VALUE"""),"No")</f>
        <v>No</v>
      </c>
      <c r="AF2225" s="8"/>
      <c r="AG2225" s="8" t="str">
        <f ca="1">IFERROR(__xludf.DUMMYFUNCTION("""COMPUTED_VALUE"""),"No")</f>
        <v>No</v>
      </c>
      <c r="AH2225" s="8" t="str">
        <f ca="1">IFERROR(__xludf.DUMMYFUNCTION("""COMPUTED_VALUE"""),"No")</f>
        <v>No</v>
      </c>
      <c r="AI2225" s="8" t="str">
        <f ca="1">IFERROR(__xludf.DUMMYFUNCTION("""COMPUTED_VALUE"""),"No")</f>
        <v>No</v>
      </c>
      <c r="AJ2225" s="8" t="str">
        <f ca="1">IFERROR(__xludf.DUMMYFUNCTION("""COMPUTED_VALUE"""),"Yes")</f>
        <v>Yes</v>
      </c>
      <c r="AK2225" s="8" t="str">
        <f ca="1">IFERROR(__xludf.DUMMYFUNCTION("""COMPUTED_VALUE"""),"No")</f>
        <v>No</v>
      </c>
      <c r="AL2225" s="8" t="str">
        <f ca="1">IFERROR(__xludf.DUMMYFUNCTION("""COMPUTED_VALUE"""),"No")</f>
        <v>No</v>
      </c>
      <c r="AM2225" s="8" t="str">
        <f ca="1">IFERROR(__xludf.DUMMYFUNCTION("""COMPUTED_VALUE"""),"Yes")</f>
        <v>Yes</v>
      </c>
      <c r="AN2225" s="8" t="str">
        <f ca="1">IFERROR(__xludf.DUMMYFUNCTION("""COMPUTED_VALUE"""),"Outside")</f>
        <v>Outside</v>
      </c>
      <c r="AO2225" s="8" t="str">
        <f ca="1">IFERROR(__xludf.DUMMYFUNCTION("""COMPUTED_VALUE"""),"Yes")</f>
        <v>Yes</v>
      </c>
      <c r="AP2225" s="8" t="str">
        <f ca="1">IFERROR(__xludf.DUMMYFUNCTION("""COMPUTED_VALUE"""),"Yes")</f>
        <v>Yes</v>
      </c>
      <c r="AQ2225" s="8" t="str">
        <f ca="1">IFERROR(__xludf.DUMMYFUNCTION("""COMPUTED_VALUE"""),"Unknown")</f>
        <v>Unknown</v>
      </c>
      <c r="AR2225" s="8" t="str">
        <f ca="1">IFERROR(__xludf.DUMMYFUNCTION("""COMPUTED_VALUE"""),"NA")</f>
        <v>NA</v>
      </c>
      <c r="AS2225" s="8">
        <f ca="1">IFERROR(__xludf.DUMMYFUNCTION("""COMPUTED_VALUE"""),4)</f>
        <v>4</v>
      </c>
      <c r="AT2225" s="8"/>
      <c r="AU2225" s="8">
        <f ca="1">IFERROR(__xludf.DUMMYFUNCTION("""COMPUTED_VALUE"""),43.215724)</f>
        <v>43.215724000000002</v>
      </c>
      <c r="AV2225" s="8">
        <f ca="1">IFERROR(__xludf.DUMMYFUNCTION("""COMPUTED_VALUE"""),-123.353938)</f>
        <v>-123.353938</v>
      </c>
      <c r="AW2225" s="8"/>
      <c r="AX2225" s="8">
        <f ca="1">IFERROR(__xludf.DUMMYFUNCTION("""COMPUTED_VALUE"""),97470)</f>
        <v>97470</v>
      </c>
    </row>
    <row r="2226" spans="1:50" ht="75" x14ac:dyDescent="0.2">
      <c r="A2226" s="8" t="str">
        <f ca="1">IFERROR(__xludf.DUMMYFUNCTION("""COMPUTED_VALUE"""),"20060221PAWEP")</f>
        <v>20060221PAWEP</v>
      </c>
      <c r="B2226" s="8">
        <f ca="1">IFERROR(__xludf.DUMMYFUNCTION("""COMPUTED_VALUE"""),2)</f>
        <v>2</v>
      </c>
      <c r="C2226" s="8">
        <f ca="1">IFERROR(__xludf.DUMMYFUNCTION("""COMPUTED_VALUE"""),21)</f>
        <v>21</v>
      </c>
      <c r="D2226" s="8">
        <f ca="1">IFERROR(__xludf.DUMMYFUNCTION("""COMPUTED_VALUE"""),2006)</f>
        <v>2006</v>
      </c>
      <c r="E2226" s="9">
        <f ca="1">IFERROR(__xludf.DUMMYFUNCTION("""COMPUTED_VALUE"""),38769)</f>
        <v>38769</v>
      </c>
      <c r="F2226" s="8" t="str">
        <f ca="1">IFERROR(__xludf.DUMMYFUNCTION("""COMPUTED_VALUE"""),"Westinghouse High School")</f>
        <v>Westinghouse High School</v>
      </c>
      <c r="G2226" s="8">
        <f ca="1">IFERROR(__xludf.DUMMYFUNCTION("""COMPUTED_VALUE"""),0)</f>
        <v>0</v>
      </c>
      <c r="H2226" s="8">
        <f ca="1">IFERROR(__xludf.DUMMYFUNCTION("""COMPUTED_VALUE"""),1)</f>
        <v>1</v>
      </c>
      <c r="I2226" s="8">
        <f ca="1">IFERROR(__xludf.DUMMYFUNCTION("""COMPUTED_VALUE"""),1)</f>
        <v>1</v>
      </c>
      <c r="J2226" s="8">
        <f ca="1">IFERROR(__xludf.DUMMYFUNCTION("""COMPUTED_VALUE"""),0)</f>
        <v>0</v>
      </c>
      <c r="K2226" s="10" t="str">
        <f ca="1">IFERROR(__xludf.DUMMYFUNCTION("""COMPUTED_VALUE"""),"http://www.post-gazette.com/local/city/2007/02/28/Rifle-used-to-shoot-teen-outside-school-tied-to-2nd-shooting/stories/200702280235")</f>
        <v>http://www.post-gazette.com/local/city/2007/02/28/Rifle-used-to-shoot-teen-outside-school-tied-to-2nd-shooting/stories/200702280235</v>
      </c>
      <c r="L2226" s="8"/>
      <c r="M2226" s="8"/>
      <c r="N2226" s="8">
        <f ca="1">IFERROR(__xludf.DUMMYFUNCTION("""COMPUTED_VALUE"""),2)</f>
        <v>2</v>
      </c>
      <c r="O2226" s="8" t="str">
        <f ca="1">IFERROR(__xludf.DUMMYFUNCTION("""COMPUTED_VALUE"""),"Winter")</f>
        <v>Winter</v>
      </c>
      <c r="P2226" s="8" t="str">
        <f ca="1">IFERROR(__xludf.DUMMYFUNCTION("""COMPUTED_VALUE"""),"Pittsburgh")</f>
        <v>Pittsburgh</v>
      </c>
      <c r="Q2226" s="8" t="str">
        <f ca="1">IFERROR(__xludf.DUMMYFUNCTION("""COMPUTED_VALUE"""),"PA")</f>
        <v>PA</v>
      </c>
      <c r="R2226" s="8" t="str">
        <f ca="1">IFERROR(__xludf.DUMMYFUNCTION("""COMPUTED_VALUE"""),"High")</f>
        <v>High</v>
      </c>
      <c r="S2226" s="8" t="str">
        <f ca="1">IFERROR(__xludf.DUMMYFUNCTION("""COMPUTED_VALUE"""),"Front of School")</f>
        <v>Front of School</v>
      </c>
      <c r="T2226" s="8" t="str">
        <f ca="1">IFERROR(__xludf.DUMMYFUNCTION("""COMPUTED_VALUE"""),"Outside on School Property")</f>
        <v>Outside on School Property</v>
      </c>
      <c r="U2226" s="8" t="str">
        <f ca="1">IFERROR(__xludf.DUMMYFUNCTION("""COMPUTED_VALUE"""),"Yes")</f>
        <v>Yes</v>
      </c>
      <c r="V2226" s="8" t="str">
        <f ca="1">IFERROR(__xludf.DUMMYFUNCTION("""COMPUTED_VALUE"""),"School Start")</f>
        <v>School Start</v>
      </c>
      <c r="W2226" s="11">
        <f ca="1">IFERROR(__xludf.DUMMYFUNCTION("""COMPUTED_VALUE"""),0.322916666666666)</f>
        <v>0.32291666666666602</v>
      </c>
      <c r="X2226" s="8">
        <f ca="1">IFERROR(__xludf.DUMMYFUNCTION("""COMPUTED_VALUE"""),1)</f>
        <v>1</v>
      </c>
      <c r="Y2226" s="12" t="str">
        <f ca="1">IFERROR(__xludf.DUMMYFUNCTION("""COMPUTED_VALUE"""),"Student shot in targeted drive-by outside of school")</f>
        <v>Student shot in targeted drive-by outside of school</v>
      </c>
      <c r="Z2226" s="12" t="str">
        <f ca="1">IFERROR(__xludf.DUMMYFUNCTION("""COMPUTED_VALUE"""),"16YOM walking into school was shot 5 times by back seat occupant of car that pulled in front of school. When police arrested shooter, the gun was connected to another fatal drive by shooting. The shooter was involved in illegal drug dealing but unclear if"&amp;" high school shooting was connected.")</f>
        <v>16YOM walking into school was shot 5 times by back seat occupant of car that pulled in front of school. When police arrested shooter, the gun was connected to another fatal drive by shooting. The shooter was involved in illegal drug dealing but unclear if high school shooting was connected.</v>
      </c>
      <c r="AA2226" s="8" t="str">
        <f ca="1">IFERROR(__xludf.DUMMYFUNCTION("""COMPUTED_VALUE"""),"Drive-by Shooting")</f>
        <v>Drive-by Shooting</v>
      </c>
      <c r="AB2226" s="8"/>
      <c r="AC2226" s="8" t="str">
        <f ca="1">IFERROR(__xludf.DUMMYFUNCTION("""COMPUTED_VALUE"""),"Yes")</f>
        <v>Yes</v>
      </c>
      <c r="AD2226" s="8" t="str">
        <f ca="1">IFERROR(__xludf.DUMMYFUNCTION("""COMPUTED_VALUE"""),"Victims Targeted")</f>
        <v>Victims Targeted</v>
      </c>
      <c r="AE2226" s="8" t="str">
        <f ca="1">IFERROR(__xludf.DUMMYFUNCTION("""COMPUTED_VALUE"""),"Yes")</f>
        <v>Yes</v>
      </c>
      <c r="AF2226" s="8" t="str">
        <f ca="1">IFERROR(__xludf.DUMMYFUNCTION("""COMPUTED_VALUE"""),"3 males in vehicle during shooting")</f>
        <v>3 males in vehicle during shooting</v>
      </c>
      <c r="AG2226" s="8" t="str">
        <f ca="1">IFERROR(__xludf.DUMMYFUNCTION("""COMPUTED_VALUE"""),"No")</f>
        <v>No</v>
      </c>
      <c r="AH2226" s="8" t="str">
        <f ca="1">IFERROR(__xludf.DUMMYFUNCTION("""COMPUTED_VALUE"""),"No")</f>
        <v>No</v>
      </c>
      <c r="AI2226" s="8" t="str">
        <f ca="1">IFERROR(__xludf.DUMMYFUNCTION("""COMPUTED_VALUE"""),"No")</f>
        <v>No</v>
      </c>
      <c r="AJ2226" s="8" t="str">
        <f ca="1">IFERROR(__xludf.DUMMYFUNCTION("""COMPUTED_VALUE"""),"No")</f>
        <v>No</v>
      </c>
      <c r="AK2226" s="8" t="str">
        <f ca="1">IFERROR(__xludf.DUMMYFUNCTION("""COMPUTED_VALUE"""),"No")</f>
        <v>No</v>
      </c>
      <c r="AL2226" s="8"/>
      <c r="AM2226" s="8"/>
      <c r="AN2226" s="8"/>
      <c r="AO2226" s="8" t="str">
        <f ca="1">IFERROR(__xludf.DUMMYFUNCTION("""COMPUTED_VALUE"""),"No")</f>
        <v>No</v>
      </c>
      <c r="AP2226" s="8" t="str">
        <f ca="1">IFERROR(__xludf.DUMMYFUNCTION("""COMPUTED_VALUE"""),"Yes")</f>
        <v>Yes</v>
      </c>
      <c r="AQ2226" s="8" t="str">
        <f ca="1">IFERROR(__xludf.DUMMYFUNCTION("""COMPUTED_VALUE"""),"Unknown")</f>
        <v>Unknown</v>
      </c>
      <c r="AR2226" s="8" t="str">
        <f ca="1">IFERROR(__xludf.DUMMYFUNCTION("""COMPUTED_VALUE"""),"NA")</f>
        <v>NA</v>
      </c>
      <c r="AS2226" s="8">
        <f ca="1">IFERROR(__xludf.DUMMYFUNCTION("""COMPUTED_VALUE"""),5)</f>
        <v>5</v>
      </c>
      <c r="AT2226" s="8"/>
      <c r="AU2226" s="8">
        <f ca="1">IFERROR(__xludf.DUMMYFUNCTION("""COMPUTED_VALUE"""),40.460922)</f>
        <v>40.460921999999997</v>
      </c>
      <c r="AV2226" s="8">
        <f ca="1">IFERROR(__xludf.DUMMYFUNCTION("""COMPUTED_VALUE"""),-79.900949)</f>
        <v>-79.900948999999997</v>
      </c>
      <c r="AW2226" s="8"/>
      <c r="AX2226" s="8">
        <f ca="1">IFERROR(__xludf.DUMMYFUNCTION("""COMPUTED_VALUE"""),15208)</f>
        <v>15208</v>
      </c>
    </row>
    <row r="2227" spans="1:50" ht="75" x14ac:dyDescent="0.2">
      <c r="A2227" s="8" t="str">
        <f ca="1">IFERROR(__xludf.DUMMYFUNCTION("""COMPUTED_VALUE"""),"20060215PAWEY")</f>
        <v>20060215PAWEY</v>
      </c>
      <c r="B2227" s="8">
        <f ca="1">IFERROR(__xludf.DUMMYFUNCTION("""COMPUTED_VALUE"""),2)</f>
        <v>2</v>
      </c>
      <c r="C2227" s="8">
        <f ca="1">IFERROR(__xludf.DUMMYFUNCTION("""COMPUTED_VALUE"""),15)</f>
        <v>15</v>
      </c>
      <c r="D2227" s="8">
        <f ca="1">IFERROR(__xludf.DUMMYFUNCTION("""COMPUTED_VALUE"""),2006)</f>
        <v>2006</v>
      </c>
      <c r="E2227" s="9">
        <f ca="1">IFERROR(__xludf.DUMMYFUNCTION("""COMPUTED_VALUE"""),38763)</f>
        <v>38763</v>
      </c>
      <c r="F2227" s="8" t="str">
        <f ca="1">IFERROR(__xludf.DUMMYFUNCTION("""COMPUTED_VALUE"""),"West York Area High School")</f>
        <v>West York Area High School</v>
      </c>
      <c r="G2227" s="8">
        <f ca="1">IFERROR(__xludf.DUMMYFUNCTION("""COMPUTED_VALUE"""),0)</f>
        <v>0</v>
      </c>
      <c r="H2227" s="8">
        <f ca="1">IFERROR(__xludf.DUMMYFUNCTION("""COMPUTED_VALUE"""),0)</f>
        <v>0</v>
      </c>
      <c r="I2227" s="8">
        <f ca="1">IFERROR(__xludf.DUMMYFUNCTION("""COMPUTED_VALUE"""),0)</f>
        <v>0</v>
      </c>
      <c r="J2227" s="8">
        <f ca="1">IFERROR(__xludf.DUMMYFUNCTION("""COMPUTED_VALUE"""),1)</f>
        <v>1</v>
      </c>
      <c r="K2227" s="10" t="str">
        <f ca="1">IFERROR(__xludf.DUMMYFUNCTION("""COMPUTED_VALUE"""),"https://www.ydr.com/story/news/local/blogs/teen-takeover/2006/02/24/school-censoring-student-writi/31691051/")</f>
        <v>https://www.ydr.com/story/news/local/blogs/teen-takeover/2006/02/24/school-censoring-student-writi/31691051/</v>
      </c>
      <c r="L2227" s="8"/>
      <c r="M2227" s="8"/>
      <c r="N2227" s="8">
        <f ca="1">IFERROR(__xludf.DUMMYFUNCTION("""COMPUTED_VALUE"""),1)</f>
        <v>1</v>
      </c>
      <c r="O2227" s="8" t="str">
        <f ca="1">IFERROR(__xludf.DUMMYFUNCTION("""COMPUTED_VALUE"""),"Winter")</f>
        <v>Winter</v>
      </c>
      <c r="P2227" s="8" t="str">
        <f ca="1">IFERROR(__xludf.DUMMYFUNCTION("""COMPUTED_VALUE"""),"York")</f>
        <v>York</v>
      </c>
      <c r="Q2227" s="8" t="str">
        <f ca="1">IFERROR(__xludf.DUMMYFUNCTION("""COMPUTED_VALUE"""),"PA")</f>
        <v>PA</v>
      </c>
      <c r="R2227" s="8" t="str">
        <f ca="1">IFERROR(__xludf.DUMMYFUNCTION("""COMPUTED_VALUE"""),"High")</f>
        <v>High</v>
      </c>
      <c r="S2227" s="8" t="str">
        <f ca="1">IFERROR(__xludf.DUMMYFUNCTION("""COMPUTED_VALUE"""),"Classroom")</f>
        <v>Classroom</v>
      </c>
      <c r="T2227" s="8" t="str">
        <f ca="1">IFERROR(__xludf.DUMMYFUNCTION("""COMPUTED_VALUE"""),"Inside School Building")</f>
        <v>Inside School Building</v>
      </c>
      <c r="U2227" s="8" t="str">
        <f ca="1">IFERROR(__xludf.DUMMYFUNCTION("""COMPUTED_VALUE"""),"No")</f>
        <v>No</v>
      </c>
      <c r="V2227" s="8" t="str">
        <f ca="1">IFERROR(__xludf.DUMMYFUNCTION("""COMPUTED_VALUE"""),"Evening")</f>
        <v>Evening</v>
      </c>
      <c r="W2227" s="8"/>
      <c r="X2227" s="8">
        <f ca="1">IFERROR(__xludf.DUMMYFUNCTION("""COMPUTED_VALUE"""),1)</f>
        <v>1</v>
      </c>
      <c r="Y2227" s="12" t="str">
        <f ca="1">IFERROR(__xludf.DUMMYFUNCTION("""COMPUTED_VALUE"""),"Art teacher shot himself in the evening, found the next day in classroom")</f>
        <v>Art teacher shot himself in the evening, found the next day in classroom</v>
      </c>
      <c r="Z2227" s="12" t="str">
        <f ca="1">IFERROR(__xludf.DUMMYFUNCTION("""COMPUTED_VALUE"""),"Well liked art teacher commit suicide in classroom after school. Body was found by students the following day.")</f>
        <v>Well liked art teacher commit suicide in classroom after school. Body was found by students the following day.</v>
      </c>
      <c r="AA2227" s="8" t="str">
        <f ca="1">IFERROR(__xludf.DUMMYFUNCTION("""COMPUTED_VALUE"""),"Suicide/Attempted")</f>
        <v>Suicide/Attempted</v>
      </c>
      <c r="AB2227" s="8"/>
      <c r="AC2227" s="8" t="str">
        <f ca="1">IFERROR(__xludf.DUMMYFUNCTION("""COMPUTED_VALUE"""),"Yes")</f>
        <v>Yes</v>
      </c>
      <c r="AD2227" s="8" t="str">
        <f ca="1">IFERROR(__xludf.DUMMYFUNCTION("""COMPUTED_VALUE"""),"Victims Targeted")</f>
        <v>Victims Targeted</v>
      </c>
      <c r="AE2227" s="8" t="str">
        <f ca="1">IFERROR(__xludf.DUMMYFUNCTION("""COMPUTED_VALUE"""),"No")</f>
        <v>No</v>
      </c>
      <c r="AF2227" s="8"/>
      <c r="AG2227" s="8" t="str">
        <f ca="1">IFERROR(__xludf.DUMMYFUNCTION("""COMPUTED_VALUE"""),"No")</f>
        <v>No</v>
      </c>
      <c r="AH2227" s="8" t="str">
        <f ca="1">IFERROR(__xludf.DUMMYFUNCTION("""COMPUTED_VALUE"""),"No")</f>
        <v>No</v>
      </c>
      <c r="AI2227" s="8" t="str">
        <f ca="1">IFERROR(__xludf.DUMMYFUNCTION("""COMPUTED_VALUE"""),"No")</f>
        <v>No</v>
      </c>
      <c r="AJ2227" s="8" t="str">
        <f ca="1">IFERROR(__xludf.DUMMYFUNCTION("""COMPUTED_VALUE"""),"No")</f>
        <v>No</v>
      </c>
      <c r="AK2227" s="8" t="str">
        <f ca="1">IFERROR(__xludf.DUMMYFUNCTION("""COMPUTED_VALUE"""),"No")</f>
        <v>No</v>
      </c>
      <c r="AL2227" s="8" t="str">
        <f ca="1">IFERROR(__xludf.DUMMYFUNCTION("""COMPUTED_VALUE"""),"No")</f>
        <v>No</v>
      </c>
      <c r="AM2227" s="8"/>
      <c r="AN2227" s="8"/>
      <c r="AO2227" s="8" t="str">
        <f ca="1">IFERROR(__xludf.DUMMYFUNCTION("""COMPUTED_VALUE"""),"No")</f>
        <v>No</v>
      </c>
      <c r="AP2227" s="8"/>
      <c r="AQ2227" s="8" t="str">
        <f ca="1">IFERROR(__xludf.DUMMYFUNCTION("""COMPUTED_VALUE"""),"Unknown")</f>
        <v>Unknown</v>
      </c>
      <c r="AR2227" s="8" t="str">
        <f ca="1">IFERROR(__xludf.DUMMYFUNCTION("""COMPUTED_VALUE"""),"NA")</f>
        <v>NA</v>
      </c>
      <c r="AS2227" s="8">
        <f ca="1">IFERROR(__xludf.DUMMYFUNCTION("""COMPUTED_VALUE"""),1)</f>
        <v>1</v>
      </c>
      <c r="AT2227" s="8"/>
      <c r="AU2227" s="8">
        <f ca="1">IFERROR(__xludf.DUMMYFUNCTION("""COMPUTED_VALUE"""),39.959041)</f>
        <v>39.959040999999999</v>
      </c>
      <c r="AV2227" s="8">
        <f ca="1">IFERROR(__xludf.DUMMYFUNCTION("""COMPUTED_VALUE"""),-76.767924)</f>
        <v>-76.767923999999994</v>
      </c>
      <c r="AW2227" s="8"/>
      <c r="AX2227" s="8">
        <f ca="1">IFERROR(__xludf.DUMMYFUNCTION("""COMPUTED_VALUE"""),17404)</f>
        <v>17404</v>
      </c>
    </row>
    <row r="2228" spans="1:50" ht="45" x14ac:dyDescent="0.2">
      <c r="A2228" s="8" t="str">
        <f ca="1">IFERROR(__xludf.DUMMYFUNCTION("""COMPUTED_VALUE"""),"20060209DEWIN")</f>
        <v>20060209DEWIN</v>
      </c>
      <c r="B2228" s="8">
        <f ca="1">IFERROR(__xludf.DUMMYFUNCTION("""COMPUTED_VALUE"""),2)</f>
        <v>2</v>
      </c>
      <c r="C2228" s="8">
        <f ca="1">IFERROR(__xludf.DUMMYFUNCTION("""COMPUTED_VALUE"""),9)</f>
        <v>9</v>
      </c>
      <c r="D2228" s="8">
        <f ca="1">IFERROR(__xludf.DUMMYFUNCTION("""COMPUTED_VALUE"""),2006)</f>
        <v>2006</v>
      </c>
      <c r="E2228" s="9">
        <f ca="1">IFERROR(__xludf.DUMMYFUNCTION("""COMPUTED_VALUE"""),38757)</f>
        <v>38757</v>
      </c>
      <c r="F2228" s="8" t="str">
        <f ca="1">IFERROR(__xludf.DUMMYFUNCTION("""COMPUTED_VALUE"""),"William Penn High School")</f>
        <v>William Penn High School</v>
      </c>
      <c r="G2228" s="8">
        <f ca="1">IFERROR(__xludf.DUMMYFUNCTION("""COMPUTED_VALUE"""),0)</f>
        <v>0</v>
      </c>
      <c r="H2228" s="8">
        <f ca="1">IFERROR(__xludf.DUMMYFUNCTION("""COMPUTED_VALUE"""),1)</f>
        <v>1</v>
      </c>
      <c r="I2228" s="8">
        <f ca="1">IFERROR(__xludf.DUMMYFUNCTION("""COMPUTED_VALUE"""),1)</f>
        <v>1</v>
      </c>
      <c r="J2228" s="8">
        <f ca="1">IFERROR(__xludf.DUMMYFUNCTION("""COMPUTED_VALUE"""),0)</f>
        <v>0</v>
      </c>
      <c r="K2228" s="10" t="str">
        <f ca="1">IFERROR(__xludf.DUMMYFUNCTION("""COMPUTED_VALUE"""),"https://www.newspapers.com/image/164693932/?terms=William%2BPenn%2BHigh%2BSchool%2Bshooting")</f>
        <v>https://www.newspapers.com/image/164693932/?terms=William%2BPenn%2BHigh%2BSchool%2Bshooting</v>
      </c>
      <c r="L2228" s="8"/>
      <c r="M2228" s="8"/>
      <c r="N2228" s="8">
        <f ca="1">IFERROR(__xludf.DUMMYFUNCTION("""COMPUTED_VALUE"""),2)</f>
        <v>2</v>
      </c>
      <c r="O2228" s="8" t="str">
        <f ca="1">IFERROR(__xludf.DUMMYFUNCTION("""COMPUTED_VALUE"""),"Winter")</f>
        <v>Winter</v>
      </c>
      <c r="P2228" s="8" t="str">
        <f ca="1">IFERROR(__xludf.DUMMYFUNCTION("""COMPUTED_VALUE"""),"New Castle")</f>
        <v>New Castle</v>
      </c>
      <c r="Q2228" s="8" t="str">
        <f ca="1">IFERROR(__xludf.DUMMYFUNCTION("""COMPUTED_VALUE"""),"DE")</f>
        <v>DE</v>
      </c>
      <c r="R2228" s="8" t="str">
        <f ca="1">IFERROR(__xludf.DUMMYFUNCTION("""COMPUTED_VALUE"""),"High")</f>
        <v>High</v>
      </c>
      <c r="S2228" s="8" t="str">
        <f ca="1">IFERROR(__xludf.DUMMYFUNCTION("""COMPUTED_VALUE"""),"Parking Lot")</f>
        <v>Parking Lot</v>
      </c>
      <c r="T2228" s="8" t="str">
        <f ca="1">IFERROR(__xludf.DUMMYFUNCTION("""COMPUTED_VALUE"""),"Outside on School Property")</f>
        <v>Outside on School Property</v>
      </c>
      <c r="U2228" s="8" t="str">
        <f ca="1">IFERROR(__xludf.DUMMYFUNCTION("""COMPUTED_VALUE"""),"No")</f>
        <v>No</v>
      </c>
      <c r="V2228" s="8" t="str">
        <f ca="1">IFERROR(__xludf.DUMMYFUNCTION("""COMPUTED_VALUE"""),"Sport Event")</f>
        <v>Sport Event</v>
      </c>
      <c r="W2228" s="11">
        <f ca="1">IFERROR(__xludf.DUMMYFUNCTION("""COMPUTED_VALUE"""),0.868055555555555)</f>
        <v>0.86805555555555503</v>
      </c>
      <c r="X2228" s="8">
        <f ca="1">IFERROR(__xludf.DUMMYFUNCTION("""COMPUTED_VALUE"""),1)</f>
        <v>1</v>
      </c>
      <c r="Y2228" s="12" t="str">
        <f ca="1">IFERROR(__xludf.DUMMYFUNCTION("""COMPUTED_VALUE"""),"Fight in parking lot following basketball game")</f>
        <v>Fight in parking lot following basketball game</v>
      </c>
      <c r="Z2228" s="12" t="str">
        <f ca="1">IFERROR(__xludf.DUMMYFUNCTION("""COMPUTED_VALUE"""),"Argument and fight between 3 teens and victim with female student in the parking lot following a basketball game. Victim was shot 3 times and suspect fled.")</f>
        <v>Argument and fight between 3 teens and victim with female student in the parking lot following a basketball game. Victim was shot 3 times and suspect fled.</v>
      </c>
      <c r="AA2228" s="8" t="str">
        <f ca="1">IFERROR(__xludf.DUMMYFUNCTION("""COMPUTED_VALUE"""),"Escalation of Dispute")</f>
        <v>Escalation of Dispute</v>
      </c>
      <c r="AB2228" s="8"/>
      <c r="AC2228" s="8" t="str">
        <f ca="1">IFERROR(__xludf.DUMMYFUNCTION("""COMPUTED_VALUE"""),"Yes")</f>
        <v>Yes</v>
      </c>
      <c r="AD2228" s="8" t="str">
        <f ca="1">IFERROR(__xludf.DUMMYFUNCTION("""COMPUTED_VALUE"""),"Victims Targeted")</f>
        <v>Victims Targeted</v>
      </c>
      <c r="AE2228" s="8" t="str">
        <f ca="1">IFERROR(__xludf.DUMMYFUNCTION("""COMPUTED_VALUE"""),"Yes")</f>
        <v>Yes</v>
      </c>
      <c r="AF2228" s="8" t="str">
        <f ca="1">IFERROR(__xludf.DUMMYFUNCTION("""COMPUTED_VALUE"""),"Three arrested in connection, unclear which is shooter")</f>
        <v>Three arrested in connection, unclear which is shooter</v>
      </c>
      <c r="AG2228" s="8" t="str">
        <f ca="1">IFERROR(__xludf.DUMMYFUNCTION("""COMPUTED_VALUE"""),"No")</f>
        <v>No</v>
      </c>
      <c r="AH2228" s="8" t="str">
        <f ca="1">IFERROR(__xludf.DUMMYFUNCTION("""COMPUTED_VALUE"""),"No")</f>
        <v>No</v>
      </c>
      <c r="AI2228" s="8" t="str">
        <f ca="1">IFERROR(__xludf.DUMMYFUNCTION("""COMPUTED_VALUE"""),"No")</f>
        <v>No</v>
      </c>
      <c r="AJ2228" s="8" t="str">
        <f ca="1">IFERROR(__xludf.DUMMYFUNCTION("""COMPUTED_VALUE"""),"No")</f>
        <v>No</v>
      </c>
      <c r="AK2228" s="8" t="str">
        <f ca="1">IFERROR(__xludf.DUMMYFUNCTION("""COMPUTED_VALUE"""),"No")</f>
        <v>No</v>
      </c>
      <c r="AL2228" s="8" t="str">
        <f ca="1">IFERROR(__xludf.DUMMYFUNCTION("""COMPUTED_VALUE"""),"No")</f>
        <v>No</v>
      </c>
      <c r="AM2228" s="8"/>
      <c r="AN2228" s="8"/>
      <c r="AO2228" s="8" t="str">
        <f ca="1">IFERROR(__xludf.DUMMYFUNCTION("""COMPUTED_VALUE"""),"No")</f>
        <v>No</v>
      </c>
      <c r="AP2228" s="8"/>
      <c r="AQ2228" s="8" t="str">
        <f ca="1">IFERROR(__xludf.DUMMYFUNCTION("""COMPUTED_VALUE"""),"Unknown")</f>
        <v>Unknown</v>
      </c>
      <c r="AR2228" s="8" t="str">
        <f ca="1">IFERROR(__xludf.DUMMYFUNCTION("""COMPUTED_VALUE"""),"NA")</f>
        <v>NA</v>
      </c>
      <c r="AS2228" s="8">
        <f ca="1">IFERROR(__xludf.DUMMYFUNCTION("""COMPUTED_VALUE"""),3)</f>
        <v>3</v>
      </c>
      <c r="AT2228" s="8"/>
      <c r="AU2228" s="8">
        <f ca="1">IFERROR(__xludf.DUMMYFUNCTION("""COMPUTED_VALUE"""),39.668858)</f>
        <v>39.668858</v>
      </c>
      <c r="AV2228" s="8">
        <f ca="1">IFERROR(__xludf.DUMMYFUNCTION("""COMPUTED_VALUE"""),-75.584418)</f>
        <v>-75.584417999999999</v>
      </c>
      <c r="AW2228" s="8"/>
      <c r="AX2228" s="8">
        <f ca="1">IFERROR(__xludf.DUMMYFUNCTION("""COMPUTED_VALUE"""),19720)</f>
        <v>19720</v>
      </c>
    </row>
    <row r="2229" spans="1:50" ht="45" x14ac:dyDescent="0.2">
      <c r="A2229" s="8" t="str">
        <f ca="1">IFERROR(__xludf.DUMMYFUNCTION("""COMPUTED_VALUE"""),"20060203CALOC")</f>
        <v>20060203CALOC</v>
      </c>
      <c r="B2229" s="8">
        <f ca="1">IFERROR(__xludf.DUMMYFUNCTION("""COMPUTED_VALUE"""),2)</f>
        <v>2</v>
      </c>
      <c r="C2229" s="8">
        <f ca="1">IFERROR(__xludf.DUMMYFUNCTION("""COMPUTED_VALUE"""),3)</f>
        <v>3</v>
      </c>
      <c r="D2229" s="8">
        <f ca="1">IFERROR(__xludf.DUMMYFUNCTION("""COMPUTED_VALUE"""),2006)</f>
        <v>2006</v>
      </c>
      <c r="E2229" s="9">
        <f ca="1">IFERROR(__xludf.DUMMYFUNCTION("""COMPUTED_VALUE"""),38751)</f>
        <v>38751</v>
      </c>
      <c r="F2229" s="8" t="str">
        <f ca="1">IFERROR(__xludf.DUMMYFUNCTION("""COMPUTED_VALUE"""),"Longfellow Elementary School (bus)")</f>
        <v>Longfellow Elementary School (bus)</v>
      </c>
      <c r="G2229" s="8">
        <f ca="1">IFERROR(__xludf.DUMMYFUNCTION("""COMPUTED_VALUE"""),0)</f>
        <v>0</v>
      </c>
      <c r="H2229" s="8">
        <f ca="1">IFERROR(__xludf.DUMMYFUNCTION("""COMPUTED_VALUE"""),1)</f>
        <v>1</v>
      </c>
      <c r="I2229" s="8">
        <f ca="1">IFERROR(__xludf.DUMMYFUNCTION("""COMPUTED_VALUE"""),1)</f>
        <v>1</v>
      </c>
      <c r="J2229" s="8">
        <f ca="1">IFERROR(__xludf.DUMMYFUNCTION("""COMPUTED_VALUE"""),0)</f>
        <v>0</v>
      </c>
      <c r="K2229" s="10" t="str">
        <f ca="1">IFERROR(__xludf.DUMMYFUNCTION("""COMPUTED_VALUE"""),"https://www.newspapers.com/image/192748872/?terms=Longfellow%2BElementary%2BSchool%2Belbow%2Bbus")</f>
        <v>https://www.newspapers.com/image/192748872/?terms=Longfellow%2BElementary%2BSchool%2Belbow%2Bbus</v>
      </c>
      <c r="L2229" s="8"/>
      <c r="M2229" s="8"/>
      <c r="N2229" s="8">
        <f ca="1">IFERROR(__xludf.DUMMYFUNCTION("""COMPUTED_VALUE"""),2)</f>
        <v>2</v>
      </c>
      <c r="O2229" s="8" t="str">
        <f ca="1">IFERROR(__xludf.DUMMYFUNCTION("""COMPUTED_VALUE"""),"Winter")</f>
        <v>Winter</v>
      </c>
      <c r="P2229" s="8" t="str">
        <f ca="1">IFERROR(__xludf.DUMMYFUNCTION("""COMPUTED_VALUE"""),"Compton")</f>
        <v>Compton</v>
      </c>
      <c r="Q2229" s="8" t="str">
        <f ca="1">IFERROR(__xludf.DUMMYFUNCTION("""COMPUTED_VALUE"""),"CA")</f>
        <v>CA</v>
      </c>
      <c r="R2229" s="8" t="str">
        <f ca="1">IFERROR(__xludf.DUMMYFUNCTION("""COMPUTED_VALUE"""),"Elementary")</f>
        <v>Elementary</v>
      </c>
      <c r="S2229" s="8" t="str">
        <f ca="1">IFERROR(__xludf.DUMMYFUNCTION("""COMPUTED_VALUE"""),"School Bus")</f>
        <v>School Bus</v>
      </c>
      <c r="T2229" s="8" t="str">
        <f ca="1">IFERROR(__xludf.DUMMYFUNCTION("""COMPUTED_VALUE"""),"School Bus")</f>
        <v>School Bus</v>
      </c>
      <c r="U2229" s="8" t="str">
        <f ca="1">IFERROR(__xludf.DUMMYFUNCTION("""COMPUTED_VALUE"""),"Yes")</f>
        <v>Yes</v>
      </c>
      <c r="V2229" s="8" t="str">
        <f ca="1">IFERROR(__xludf.DUMMYFUNCTION("""COMPUTED_VALUE"""),"Before School")</f>
        <v>Before School</v>
      </c>
      <c r="W2229" s="11">
        <f ca="1">IFERROR(__xludf.DUMMYFUNCTION("""COMPUTED_VALUE"""),0.347222222222222)</f>
        <v>0.34722222222222199</v>
      </c>
      <c r="X2229" s="8">
        <f ca="1">IFERROR(__xludf.DUMMYFUNCTION("""COMPUTED_VALUE"""),1)</f>
        <v>1</v>
      </c>
      <c r="Y2229" s="12" t="str">
        <f ca="1">IFERROR(__xludf.DUMMYFUNCTION("""COMPUTED_VALUE"""),"Showing off gun on bus, fired striking other student in arm")</f>
        <v>Showing off gun on bus, fired striking other student in arm</v>
      </c>
      <c r="Z2229" s="12" t="str">
        <f ca="1">IFERROR(__xludf.DUMMYFUNCTION("""COMPUTED_VALUE"""),"9 year old special ed student pulled a gun from his backpack while in the morning bus ride and shot a 10 year old. Shooting classified as accidental")</f>
        <v>9 year old special ed student pulled a gun from his backpack while in the morning bus ride and shot a 10 year old. Shooting classified as accidental</v>
      </c>
      <c r="AA2229" s="8" t="str">
        <f ca="1">IFERROR(__xludf.DUMMYFUNCTION("""COMPUTED_VALUE"""),"Accidental")</f>
        <v>Accidental</v>
      </c>
      <c r="AB2229" s="8"/>
      <c r="AC2229" s="8" t="str">
        <f ca="1">IFERROR(__xludf.DUMMYFUNCTION("""COMPUTED_VALUE"""),"Yes")</f>
        <v>Yes</v>
      </c>
      <c r="AD2229" s="8" t="str">
        <f ca="1">IFERROR(__xludf.DUMMYFUNCTION("""COMPUTED_VALUE"""),"Random Shooting")</f>
        <v>Random Shooting</v>
      </c>
      <c r="AE2229" s="8" t="str">
        <f ca="1">IFERROR(__xludf.DUMMYFUNCTION("""COMPUTED_VALUE"""),"No")</f>
        <v>No</v>
      </c>
      <c r="AF2229" s="8"/>
      <c r="AG2229" s="8" t="str">
        <f ca="1">IFERROR(__xludf.DUMMYFUNCTION("""COMPUTED_VALUE"""),"No")</f>
        <v>No</v>
      </c>
      <c r="AH2229" s="8" t="str">
        <f ca="1">IFERROR(__xludf.DUMMYFUNCTION("""COMPUTED_VALUE"""),"No")</f>
        <v>No</v>
      </c>
      <c r="AI2229" s="8" t="str">
        <f ca="1">IFERROR(__xludf.DUMMYFUNCTION("""COMPUTED_VALUE"""),"No")</f>
        <v>No</v>
      </c>
      <c r="AJ2229" s="8" t="str">
        <f ca="1">IFERROR(__xludf.DUMMYFUNCTION("""COMPUTED_VALUE"""),"No")</f>
        <v>No</v>
      </c>
      <c r="AK2229" s="8" t="str">
        <f ca="1">IFERROR(__xludf.DUMMYFUNCTION("""COMPUTED_VALUE"""),"No")</f>
        <v>No</v>
      </c>
      <c r="AL2229" s="8" t="str">
        <f ca="1">IFERROR(__xludf.DUMMYFUNCTION("""COMPUTED_VALUE"""),"No")</f>
        <v>No</v>
      </c>
      <c r="AM2229" s="8"/>
      <c r="AN2229" s="8"/>
      <c r="AO2229" s="8" t="str">
        <f ca="1">IFERROR(__xludf.DUMMYFUNCTION("""COMPUTED_VALUE"""),"No")</f>
        <v>No</v>
      </c>
      <c r="AP2229" s="8"/>
      <c r="AQ2229" s="8" t="str">
        <f ca="1">IFERROR(__xludf.DUMMYFUNCTION("""COMPUTED_VALUE"""),"Unknown")</f>
        <v>Unknown</v>
      </c>
      <c r="AR2229" s="8" t="str">
        <f ca="1">IFERROR(__xludf.DUMMYFUNCTION("""COMPUTED_VALUE"""),"NA")</f>
        <v>NA</v>
      </c>
      <c r="AS2229" s="8">
        <f ca="1">IFERROR(__xludf.DUMMYFUNCTION("""COMPUTED_VALUE"""),1)</f>
        <v>1</v>
      </c>
      <c r="AT2229" s="8"/>
      <c r="AU2229" s="8">
        <f ca="1">IFERROR(__xludf.DUMMYFUNCTION("""COMPUTED_VALUE"""),33.8854)</f>
        <v>33.885399999999997</v>
      </c>
      <c r="AV2229" s="8">
        <f ca="1">IFERROR(__xludf.DUMMYFUNCTION("""COMPUTED_VALUE"""),-118.241107)</f>
        <v>-118.241107</v>
      </c>
      <c r="AW2229" s="8"/>
      <c r="AX2229" s="8">
        <f ca="1">IFERROR(__xludf.DUMMYFUNCTION("""COMPUTED_VALUE"""),90220)</f>
        <v>90220</v>
      </c>
    </row>
    <row r="2230" spans="1:50" ht="30" x14ac:dyDescent="0.2">
      <c r="A2230" s="8" t="str">
        <f ca="1">IFERROR(__xludf.DUMMYFUNCTION("""COMPUTED_VALUE"""),"20060130MTCMG")</f>
        <v>20060130MTCMG</v>
      </c>
      <c r="B2230" s="8">
        <f ca="1">IFERROR(__xludf.DUMMYFUNCTION("""COMPUTED_VALUE"""),1)</f>
        <v>1</v>
      </c>
      <c r="C2230" s="8">
        <f ca="1">IFERROR(__xludf.DUMMYFUNCTION("""COMPUTED_VALUE"""),30)</f>
        <v>30</v>
      </c>
      <c r="D2230" s="8">
        <f ca="1">IFERROR(__xludf.DUMMYFUNCTION("""COMPUTED_VALUE"""),2006)</f>
        <v>2006</v>
      </c>
      <c r="E2230" s="9">
        <f ca="1">IFERROR(__xludf.DUMMYFUNCTION("""COMPUTED_VALUE"""),38747)</f>
        <v>38747</v>
      </c>
      <c r="F2230" s="8" t="str">
        <f ca="1">IFERROR(__xludf.DUMMYFUNCTION("""COMPUTED_VALUE"""),"C M Russell High School")</f>
        <v>C M Russell High School</v>
      </c>
      <c r="G2230" s="8">
        <f ca="1">IFERROR(__xludf.DUMMYFUNCTION("""COMPUTED_VALUE"""),0)</f>
        <v>0</v>
      </c>
      <c r="H2230" s="8">
        <f ca="1">IFERROR(__xludf.DUMMYFUNCTION("""COMPUTED_VALUE"""),0)</f>
        <v>0</v>
      </c>
      <c r="I2230" s="8">
        <f ca="1">IFERROR(__xludf.DUMMYFUNCTION("""COMPUTED_VALUE"""),0)</f>
        <v>0</v>
      </c>
      <c r="J2230" s="8">
        <f ca="1">IFERROR(__xludf.DUMMYFUNCTION("""COMPUTED_VALUE"""),1)</f>
        <v>1</v>
      </c>
      <c r="K2230" s="10" t="str">
        <f ca="1">IFERROR(__xludf.DUMMYFUNCTION("""COMPUTED_VALUE"""),"https://mtstandard.com/news/state-and-regional/student-dies-in-suicide-at-c-m-russell/article_6b906cf5-ad30-5bc9-87cd-1929be726a82.html")</f>
        <v>https://mtstandard.com/news/state-and-regional/student-dies-in-suicide-at-c-m-russell/article_6b906cf5-ad30-5bc9-87cd-1929be726a82.html</v>
      </c>
      <c r="L2230" s="8"/>
      <c r="M2230" s="8"/>
      <c r="N2230" s="8">
        <f ca="1">IFERROR(__xludf.DUMMYFUNCTION("""COMPUTED_VALUE"""),2)</f>
        <v>2</v>
      </c>
      <c r="O2230" s="8" t="str">
        <f ca="1">IFERROR(__xludf.DUMMYFUNCTION("""COMPUTED_VALUE"""),"Winter")</f>
        <v>Winter</v>
      </c>
      <c r="P2230" s="8" t="str">
        <f ca="1">IFERROR(__xludf.DUMMYFUNCTION("""COMPUTED_VALUE"""),"Great Falls")</f>
        <v>Great Falls</v>
      </c>
      <c r="Q2230" s="8" t="str">
        <f ca="1">IFERROR(__xludf.DUMMYFUNCTION("""COMPUTED_VALUE"""),"MT")</f>
        <v>MT</v>
      </c>
      <c r="R2230" s="8" t="str">
        <f ca="1">IFERROR(__xludf.DUMMYFUNCTION("""COMPUTED_VALUE"""),"High")</f>
        <v>High</v>
      </c>
      <c r="S2230" s="8" t="str">
        <f ca="1">IFERROR(__xludf.DUMMYFUNCTION("""COMPUTED_VALUE"""),"Bathroom")</f>
        <v>Bathroom</v>
      </c>
      <c r="T2230" s="8" t="str">
        <f ca="1">IFERROR(__xludf.DUMMYFUNCTION("""COMPUTED_VALUE"""),"Inside School Building")</f>
        <v>Inside School Building</v>
      </c>
      <c r="U2230" s="8" t="str">
        <f ca="1">IFERROR(__xludf.DUMMYFUNCTION("""COMPUTED_VALUE"""),"Yes")</f>
        <v>Yes</v>
      </c>
      <c r="V2230" s="8" t="str">
        <f ca="1">IFERROR(__xludf.DUMMYFUNCTION("""COMPUTED_VALUE"""),"School Start")</f>
        <v>School Start</v>
      </c>
      <c r="W2230" s="11">
        <f ca="1">IFERROR(__xludf.DUMMYFUNCTION("""COMPUTED_VALUE"""),0.333333333333333)</f>
        <v>0.33333333333333298</v>
      </c>
      <c r="X2230" s="8">
        <f ca="1">IFERROR(__xludf.DUMMYFUNCTION("""COMPUTED_VALUE"""),1)</f>
        <v>1</v>
      </c>
      <c r="Y2230" s="12" t="str">
        <f ca="1">IFERROR(__xludf.DUMMYFUNCTION("""COMPUTED_VALUE"""),"Shot self in bathroom")</f>
        <v>Shot self in bathroom</v>
      </c>
      <c r="Z2230" s="12" t="str">
        <f ca="1">IFERROR(__xludf.DUMMYFUNCTION("""COMPUTED_VALUE"""),"16YOM student shot himself in the school bathroom.")</f>
        <v>16YOM student shot himself in the school bathroom.</v>
      </c>
      <c r="AA2230" s="8" t="str">
        <f ca="1">IFERROR(__xludf.DUMMYFUNCTION("""COMPUTED_VALUE"""),"Suicide/Attempted")</f>
        <v>Suicide/Attempted</v>
      </c>
      <c r="AB2230" s="8"/>
      <c r="AC2230" s="8" t="str">
        <f ca="1">IFERROR(__xludf.DUMMYFUNCTION("""COMPUTED_VALUE"""),"Yes")</f>
        <v>Yes</v>
      </c>
      <c r="AD2230" s="8" t="str">
        <f ca="1">IFERROR(__xludf.DUMMYFUNCTION("""COMPUTED_VALUE"""),"Victims Targeted")</f>
        <v>Victims Targeted</v>
      </c>
      <c r="AE2230" s="8" t="str">
        <f ca="1">IFERROR(__xludf.DUMMYFUNCTION("""COMPUTED_VALUE"""),"No")</f>
        <v>No</v>
      </c>
      <c r="AF2230" s="8"/>
      <c r="AG2230" s="8" t="str">
        <f ca="1">IFERROR(__xludf.DUMMYFUNCTION("""COMPUTED_VALUE"""),"No")</f>
        <v>No</v>
      </c>
      <c r="AH2230" s="8" t="str">
        <f ca="1">IFERROR(__xludf.DUMMYFUNCTION("""COMPUTED_VALUE"""),"No")</f>
        <v>No</v>
      </c>
      <c r="AI2230" s="8" t="str">
        <f ca="1">IFERROR(__xludf.DUMMYFUNCTION("""COMPUTED_VALUE"""),"No")</f>
        <v>No</v>
      </c>
      <c r="AJ2230" s="8"/>
      <c r="AK2230" s="8" t="str">
        <f ca="1">IFERROR(__xludf.DUMMYFUNCTION("""COMPUTED_VALUE"""),"No")</f>
        <v>No</v>
      </c>
      <c r="AL2230" s="8" t="str">
        <f ca="1">IFERROR(__xludf.DUMMYFUNCTION("""COMPUTED_VALUE"""),"No")</f>
        <v>No</v>
      </c>
      <c r="AM2230" s="8"/>
      <c r="AN2230" s="8"/>
      <c r="AO2230" s="8" t="str">
        <f ca="1">IFERROR(__xludf.DUMMYFUNCTION("""COMPUTED_VALUE"""),"No")</f>
        <v>No</v>
      </c>
      <c r="AP2230" s="8"/>
      <c r="AQ2230" s="8" t="str">
        <f ca="1">IFERROR(__xludf.DUMMYFUNCTION("""COMPUTED_VALUE"""),"Unknown")</f>
        <v>Unknown</v>
      </c>
      <c r="AR2230" s="8" t="str">
        <f ca="1">IFERROR(__xludf.DUMMYFUNCTION("""COMPUTED_VALUE"""),"NA")</f>
        <v>NA</v>
      </c>
      <c r="AS2230" s="8">
        <f ca="1">IFERROR(__xludf.DUMMYFUNCTION("""COMPUTED_VALUE"""),1)</f>
        <v>1</v>
      </c>
      <c r="AT2230" s="8"/>
      <c r="AU2230" s="8">
        <f ca="1">IFERROR(__xludf.DUMMYFUNCTION("""COMPUTED_VALUE"""),47.520073)</f>
        <v>47.520072999999996</v>
      </c>
      <c r="AV2230" s="8">
        <f ca="1">IFERROR(__xludf.DUMMYFUNCTION("""COMPUTED_VALUE"""),-111.319277)</f>
        <v>-111.319277</v>
      </c>
      <c r="AW2230" s="8"/>
      <c r="AX2230" s="8">
        <f ca="1">IFERROR(__xludf.DUMMYFUNCTION("""COMPUTED_VALUE"""),59404)</f>
        <v>59404</v>
      </c>
    </row>
    <row r="2231" spans="1:50" ht="75" x14ac:dyDescent="0.2">
      <c r="A2231" s="8" t="str">
        <f ca="1">IFERROR(__xludf.DUMMYFUNCTION("""COMPUTED_VALUE"""),"20060127TXLAG")</f>
        <v>20060127TXLAG</v>
      </c>
      <c r="B2231" s="8">
        <f ca="1">IFERROR(__xludf.DUMMYFUNCTION("""COMPUTED_VALUE"""),1)</f>
        <v>1</v>
      </c>
      <c r="C2231" s="8">
        <f ca="1">IFERROR(__xludf.DUMMYFUNCTION("""COMPUTED_VALUE"""),27)</f>
        <v>27</v>
      </c>
      <c r="D2231" s="8">
        <f ca="1">IFERROR(__xludf.DUMMYFUNCTION("""COMPUTED_VALUE"""),2006)</f>
        <v>2006</v>
      </c>
      <c r="E2231" s="9">
        <f ca="1">IFERROR(__xludf.DUMMYFUNCTION("""COMPUTED_VALUE"""),38744)</f>
        <v>38744</v>
      </c>
      <c r="F2231" s="8" t="str">
        <f ca="1">IFERROR(__xludf.DUMMYFUNCTION("""COMPUTED_VALUE"""),"Lakeview Centennial High School")</f>
        <v>Lakeview Centennial High School</v>
      </c>
      <c r="G2231" s="8">
        <f ca="1">IFERROR(__xludf.DUMMYFUNCTION("""COMPUTED_VALUE"""),0)</f>
        <v>0</v>
      </c>
      <c r="H2231" s="8">
        <f ca="1">IFERROR(__xludf.DUMMYFUNCTION("""COMPUTED_VALUE"""),2)</f>
        <v>2</v>
      </c>
      <c r="I2231" s="8">
        <f ca="1">IFERROR(__xludf.DUMMYFUNCTION("""COMPUTED_VALUE"""),2)</f>
        <v>2</v>
      </c>
      <c r="J2231" s="8">
        <f ca="1">IFERROR(__xludf.DUMMYFUNCTION("""COMPUTED_VALUE"""),0)</f>
        <v>0</v>
      </c>
      <c r="K2231" s="10" t="str">
        <f ca="1">IFERROR(__xludf.DUMMYFUNCTION("""COMPUTED_VALUE"""),"https://www.statesman.com/news/state--regional/santa-school-shooting-the-deadliest-texas-since-tower-shooting/pdX1aBkUi4kR3NUVqxdbJP/")</f>
        <v>https://www.statesman.com/news/state--regional/santa-school-shooting-the-deadliest-texas-since-tower-shooting/pdX1aBkUi4kR3NUVqxdbJP/</v>
      </c>
      <c r="L2231" s="8"/>
      <c r="M2231" s="8"/>
      <c r="N2231" s="8">
        <f ca="1">IFERROR(__xludf.DUMMYFUNCTION("""COMPUTED_VALUE"""),2)</f>
        <v>2</v>
      </c>
      <c r="O2231" s="8" t="str">
        <f ca="1">IFERROR(__xludf.DUMMYFUNCTION("""COMPUTED_VALUE"""),"Winter")</f>
        <v>Winter</v>
      </c>
      <c r="P2231" s="8" t="str">
        <f ca="1">IFERROR(__xludf.DUMMYFUNCTION("""COMPUTED_VALUE"""),"Garland")</f>
        <v>Garland</v>
      </c>
      <c r="Q2231" s="8" t="str">
        <f ca="1">IFERROR(__xludf.DUMMYFUNCTION("""COMPUTED_VALUE"""),"TX")</f>
        <v>TX</v>
      </c>
      <c r="R2231" s="8" t="str">
        <f ca="1">IFERROR(__xludf.DUMMYFUNCTION("""COMPUTED_VALUE"""),"High")</f>
        <v>High</v>
      </c>
      <c r="S2231" s="8" t="str">
        <f ca="1">IFERROR(__xludf.DUMMYFUNCTION("""COMPUTED_VALUE"""),"Classroom")</f>
        <v>Classroom</v>
      </c>
      <c r="T2231" s="8" t="str">
        <f ca="1">IFERROR(__xludf.DUMMYFUNCTION("""COMPUTED_VALUE"""),"Inside School Building")</f>
        <v>Inside School Building</v>
      </c>
      <c r="U2231" s="8" t="str">
        <f ca="1">IFERROR(__xludf.DUMMYFUNCTION("""COMPUTED_VALUE"""),"Yes")</f>
        <v>Yes</v>
      </c>
      <c r="V2231" s="8"/>
      <c r="W2231" s="8"/>
      <c r="X2231" s="8">
        <f ca="1">IFERROR(__xludf.DUMMYFUNCTION("""COMPUTED_VALUE"""),1)</f>
        <v>1</v>
      </c>
      <c r="Y2231" s="12" t="str">
        <f ca="1">IFERROR(__xludf.DUMMYFUNCTION("""COMPUTED_VALUE"""),"Accidentally fired gun into floor, fragments injured two female students.")</f>
        <v>Accidentally fired gun into floor, fragments injured two female students.</v>
      </c>
      <c r="Z2231" s="12" t="str">
        <f ca="1">IFERROR(__xludf.DUMMYFUNCTION("""COMPUTED_VALUE"""),"16YOM student accidentally fired gun into floor of classroom. Bullet fragments struck two female students.")</f>
        <v>16YOM student accidentally fired gun into floor of classroom. Bullet fragments struck two female students.</v>
      </c>
      <c r="AA2231" s="8" t="str">
        <f ca="1">IFERROR(__xludf.DUMMYFUNCTION("""COMPUTED_VALUE"""),"Accidental")</f>
        <v>Accidental</v>
      </c>
      <c r="AB2231" s="8"/>
      <c r="AC2231" s="8" t="str">
        <f ca="1">IFERROR(__xludf.DUMMYFUNCTION("""COMPUTED_VALUE"""),"Yes")</f>
        <v>Yes</v>
      </c>
      <c r="AD2231" s="8" t="str">
        <f ca="1">IFERROR(__xludf.DUMMYFUNCTION("""COMPUTED_VALUE"""),"Random Shooting")</f>
        <v>Random Shooting</v>
      </c>
      <c r="AE2231" s="8" t="str">
        <f ca="1">IFERROR(__xludf.DUMMYFUNCTION("""COMPUTED_VALUE"""),"No")</f>
        <v>No</v>
      </c>
      <c r="AF2231" s="8"/>
      <c r="AG2231" s="8" t="str">
        <f ca="1">IFERROR(__xludf.DUMMYFUNCTION("""COMPUTED_VALUE"""),"No")</f>
        <v>No</v>
      </c>
      <c r="AH2231" s="8" t="str">
        <f ca="1">IFERROR(__xludf.DUMMYFUNCTION("""COMPUTED_VALUE"""),"No")</f>
        <v>No</v>
      </c>
      <c r="AI2231" s="8" t="str">
        <f ca="1">IFERROR(__xludf.DUMMYFUNCTION("""COMPUTED_VALUE"""),"No")</f>
        <v>No</v>
      </c>
      <c r="AJ2231" s="8" t="str">
        <f ca="1">IFERROR(__xludf.DUMMYFUNCTION("""COMPUTED_VALUE"""),"No")</f>
        <v>No</v>
      </c>
      <c r="AK2231" s="8" t="str">
        <f ca="1">IFERROR(__xludf.DUMMYFUNCTION("""COMPUTED_VALUE"""),"No")</f>
        <v>No</v>
      </c>
      <c r="AL2231" s="8" t="str">
        <f ca="1">IFERROR(__xludf.DUMMYFUNCTION("""COMPUTED_VALUE"""),"No")</f>
        <v>No</v>
      </c>
      <c r="AM2231" s="8"/>
      <c r="AN2231" s="8"/>
      <c r="AO2231" s="8" t="str">
        <f ca="1">IFERROR(__xludf.DUMMYFUNCTION("""COMPUTED_VALUE"""),"No")</f>
        <v>No</v>
      </c>
      <c r="AP2231" s="8" t="str">
        <f ca="1">IFERROR(__xludf.DUMMYFUNCTION("""COMPUTED_VALUE"""),"No")</f>
        <v>No</v>
      </c>
      <c r="AQ2231" s="8" t="str">
        <f ca="1">IFERROR(__xludf.DUMMYFUNCTION("""COMPUTED_VALUE"""),"Unknown")</f>
        <v>Unknown</v>
      </c>
      <c r="AR2231" s="8" t="str">
        <f ca="1">IFERROR(__xludf.DUMMYFUNCTION("""COMPUTED_VALUE"""),"NA")</f>
        <v>NA</v>
      </c>
      <c r="AS2231" s="8">
        <f ca="1">IFERROR(__xludf.DUMMYFUNCTION("""COMPUTED_VALUE"""),1)</f>
        <v>1</v>
      </c>
      <c r="AT2231" s="8"/>
      <c r="AU2231" s="8">
        <f ca="1">IFERROR(__xludf.DUMMYFUNCTION("""COMPUTED_VALUE"""),32.856909)</f>
        <v>32.856909000000002</v>
      </c>
      <c r="AV2231" s="8">
        <f ca="1">IFERROR(__xludf.DUMMYFUNCTION("""COMPUTED_VALUE"""),-96.575794)</f>
        <v>-96.575794000000002</v>
      </c>
      <c r="AW2231" s="8"/>
      <c r="AX2231" s="8">
        <f ca="1">IFERROR(__xludf.DUMMYFUNCTION("""COMPUTED_VALUE"""),75043)</f>
        <v>75043</v>
      </c>
    </row>
    <row r="2232" spans="1:50" ht="30" x14ac:dyDescent="0.2">
      <c r="A2232" s="8" t="str">
        <f ca="1">IFERROR(__xludf.DUMMYFUNCTION("""COMPUTED_VALUE"""),"20060123CAWIV")</f>
        <v>20060123CAWIV</v>
      </c>
      <c r="B2232" s="8">
        <f ca="1">IFERROR(__xludf.DUMMYFUNCTION("""COMPUTED_VALUE"""),1)</f>
        <v>1</v>
      </c>
      <c r="C2232" s="8">
        <f ca="1">IFERROR(__xludf.DUMMYFUNCTION("""COMPUTED_VALUE"""),23)</f>
        <v>23</v>
      </c>
      <c r="D2232" s="8">
        <f ca="1">IFERROR(__xludf.DUMMYFUNCTION("""COMPUTED_VALUE"""),2006)</f>
        <v>2006</v>
      </c>
      <c r="E2232" s="9">
        <f ca="1">IFERROR(__xludf.DUMMYFUNCTION("""COMPUTED_VALUE"""),38740)</f>
        <v>38740</v>
      </c>
      <c r="F2232" s="8" t="str">
        <f ca="1">IFERROR(__xludf.DUMMYFUNCTION("""COMPUTED_VALUE"""),"Will C. Wood High School")</f>
        <v>Will C. Wood High School</v>
      </c>
      <c r="G2232" s="8">
        <f ca="1">IFERROR(__xludf.DUMMYFUNCTION("""COMPUTED_VALUE"""),0)</f>
        <v>0</v>
      </c>
      <c r="H2232" s="8">
        <f ca="1">IFERROR(__xludf.DUMMYFUNCTION("""COMPUTED_VALUE"""),1)</f>
        <v>1</v>
      </c>
      <c r="I2232" s="8">
        <f ca="1">IFERROR(__xludf.DUMMYFUNCTION("""COMPUTED_VALUE"""),1)</f>
        <v>1</v>
      </c>
      <c r="J2232" s="8">
        <f ca="1">IFERROR(__xludf.DUMMYFUNCTION("""COMPUTED_VALUE"""),0)</f>
        <v>0</v>
      </c>
      <c r="K2232" s="10" t="str">
        <f ca="1">IFERROR(__xludf.DUMMYFUNCTION("""COMPUTED_VALUE"""),"http://www.thereporter.com/article/zz/20060124/NEWS/601249925")</f>
        <v>http://www.thereporter.com/article/zz/20060124/NEWS/601249925</v>
      </c>
      <c r="L2232" s="8"/>
      <c r="M2232" s="8"/>
      <c r="N2232" s="8">
        <f ca="1">IFERROR(__xludf.DUMMYFUNCTION("""COMPUTED_VALUE"""),2)</f>
        <v>2</v>
      </c>
      <c r="O2232" s="8" t="str">
        <f ca="1">IFERROR(__xludf.DUMMYFUNCTION("""COMPUTED_VALUE"""),"Winter")</f>
        <v>Winter</v>
      </c>
      <c r="P2232" s="8" t="str">
        <f ca="1">IFERROR(__xludf.DUMMYFUNCTION("""COMPUTED_VALUE"""),"Vacaville")</f>
        <v>Vacaville</v>
      </c>
      <c r="Q2232" s="8" t="str">
        <f ca="1">IFERROR(__xludf.DUMMYFUNCTION("""COMPUTED_VALUE"""),"CA")</f>
        <v>CA</v>
      </c>
      <c r="R2232" s="8" t="str">
        <f ca="1">IFERROR(__xludf.DUMMYFUNCTION("""COMPUTED_VALUE"""),"High")</f>
        <v>High</v>
      </c>
      <c r="S2232" s="8" t="str">
        <f ca="1">IFERROR(__xludf.DUMMYFUNCTION("""COMPUTED_VALUE"""),"Gym")</f>
        <v>Gym</v>
      </c>
      <c r="T2232" s="8" t="str">
        <f ca="1">IFERROR(__xludf.DUMMYFUNCTION("""COMPUTED_VALUE"""),"Outside on School Property")</f>
        <v>Outside on School Property</v>
      </c>
      <c r="U2232" s="8" t="str">
        <f ca="1">IFERROR(__xludf.DUMMYFUNCTION("""COMPUTED_VALUE"""),"Yes")</f>
        <v>Yes</v>
      </c>
      <c r="V2232" s="8" t="str">
        <f ca="1">IFERROR(__xludf.DUMMYFUNCTION("""COMPUTED_VALUE"""),"Morning Classes")</f>
        <v>Morning Classes</v>
      </c>
      <c r="W2232" s="11">
        <f ca="1">IFERROR(__xludf.DUMMYFUNCTION("""COMPUTED_VALUE"""),0.40625)</f>
        <v>0.40625</v>
      </c>
      <c r="X2232" s="8">
        <f ca="1">IFERROR(__xludf.DUMMYFUNCTION("""COMPUTED_VALUE"""),1)</f>
        <v>1</v>
      </c>
      <c r="Y2232" s="12" t="str">
        <f ca="1">IFERROR(__xludf.DUMMYFUNCTION("""COMPUTED_VALUE"""),"Playing with gun outside of school")</f>
        <v>Playing with gun outside of school</v>
      </c>
      <c r="Z2232" s="12" t="str">
        <f ca="1">IFERROR(__xludf.DUMMYFUNCTION("""COMPUTED_VALUE"""),"14 shooter brought gun to school - accidentally discharged near school gym - fragment injured 15YOF student")</f>
        <v>14 shooter brought gun to school - accidentally discharged near school gym - fragment injured 15YOF student</v>
      </c>
      <c r="AA2232" s="8" t="str">
        <f ca="1">IFERROR(__xludf.DUMMYFUNCTION("""COMPUTED_VALUE"""),"Accidental")</f>
        <v>Accidental</v>
      </c>
      <c r="AB2232" s="8"/>
      <c r="AC2232" s="8" t="str">
        <f ca="1">IFERROR(__xludf.DUMMYFUNCTION("""COMPUTED_VALUE"""),"Yes")</f>
        <v>Yes</v>
      </c>
      <c r="AD2232" s="8" t="str">
        <f ca="1">IFERROR(__xludf.DUMMYFUNCTION("""COMPUTED_VALUE"""),"Random Shooting")</f>
        <v>Random Shooting</v>
      </c>
      <c r="AE2232" s="8" t="str">
        <f ca="1">IFERROR(__xludf.DUMMYFUNCTION("""COMPUTED_VALUE"""),"No")</f>
        <v>No</v>
      </c>
      <c r="AF2232" s="8"/>
      <c r="AG2232" s="8" t="str">
        <f ca="1">IFERROR(__xludf.DUMMYFUNCTION("""COMPUTED_VALUE"""),"No")</f>
        <v>No</v>
      </c>
      <c r="AH2232" s="8" t="str">
        <f ca="1">IFERROR(__xludf.DUMMYFUNCTION("""COMPUTED_VALUE"""),"No")</f>
        <v>No</v>
      </c>
      <c r="AI2232" s="8" t="str">
        <f ca="1">IFERROR(__xludf.DUMMYFUNCTION("""COMPUTED_VALUE"""),"No")</f>
        <v>No</v>
      </c>
      <c r="AJ2232" s="8" t="str">
        <f ca="1">IFERROR(__xludf.DUMMYFUNCTION("""COMPUTED_VALUE"""),"No")</f>
        <v>No</v>
      </c>
      <c r="AK2232" s="8" t="str">
        <f ca="1">IFERROR(__xludf.DUMMYFUNCTION("""COMPUTED_VALUE"""),"No")</f>
        <v>No</v>
      </c>
      <c r="AL2232" s="8" t="str">
        <f ca="1">IFERROR(__xludf.DUMMYFUNCTION("""COMPUTED_VALUE"""),"No")</f>
        <v>No</v>
      </c>
      <c r="AM2232" s="8"/>
      <c r="AN2232" s="8"/>
      <c r="AO2232" s="8" t="str">
        <f ca="1">IFERROR(__xludf.DUMMYFUNCTION("""COMPUTED_VALUE"""),"No")</f>
        <v>No</v>
      </c>
      <c r="AP2232" s="8" t="str">
        <f ca="1">IFERROR(__xludf.DUMMYFUNCTION("""COMPUTED_VALUE"""),"No")</f>
        <v>No</v>
      </c>
      <c r="AQ2232" s="8" t="str">
        <f ca="1">IFERROR(__xludf.DUMMYFUNCTION("""COMPUTED_VALUE"""),"Unknown")</f>
        <v>Unknown</v>
      </c>
      <c r="AR2232" s="8" t="str">
        <f ca="1">IFERROR(__xludf.DUMMYFUNCTION("""COMPUTED_VALUE"""),"NA")</f>
        <v>NA</v>
      </c>
      <c r="AS2232" s="8">
        <f ca="1">IFERROR(__xludf.DUMMYFUNCTION("""COMPUTED_VALUE"""),1)</f>
        <v>1</v>
      </c>
      <c r="AT2232" s="8"/>
      <c r="AU2232" s="8">
        <f ca="1">IFERROR(__xludf.DUMMYFUNCTION("""COMPUTED_VALUE"""),38.346543)</f>
        <v>38.346542999999997</v>
      </c>
      <c r="AV2232" s="8">
        <f ca="1">IFERROR(__xludf.DUMMYFUNCTION("""COMPUTED_VALUE"""),-121.977752)</f>
        <v>-121.977752</v>
      </c>
      <c r="AW2232" s="8"/>
      <c r="AX2232" s="8">
        <f ca="1">IFERROR(__xludf.DUMMYFUNCTION("""COMPUTED_VALUE"""),95687)</f>
        <v>95687</v>
      </c>
    </row>
    <row r="2233" spans="1:50" ht="75" x14ac:dyDescent="0.2">
      <c r="A2233" s="8" t="str">
        <f ca="1">IFERROR(__xludf.DUMMYFUNCTION("""COMPUTED_VALUE"""),"20060119OHWIC")</f>
        <v>20060119OHWIC</v>
      </c>
      <c r="B2233" s="8">
        <f ca="1">IFERROR(__xludf.DUMMYFUNCTION("""COMPUTED_VALUE"""),1)</f>
        <v>1</v>
      </c>
      <c r="C2233" s="8">
        <f ca="1">IFERROR(__xludf.DUMMYFUNCTION("""COMPUTED_VALUE"""),19)</f>
        <v>19</v>
      </c>
      <c r="D2233" s="8">
        <f ca="1">IFERROR(__xludf.DUMMYFUNCTION("""COMPUTED_VALUE"""),2006)</f>
        <v>2006</v>
      </c>
      <c r="E2233" s="9">
        <f ca="1">IFERROR(__xludf.DUMMYFUNCTION("""COMPUTED_VALUE"""),38736)</f>
        <v>38736</v>
      </c>
      <c r="F2233" s="8" t="str">
        <f ca="1">IFERROR(__xludf.DUMMYFUNCTION("""COMPUTED_VALUE"""),"Withrow High School")</f>
        <v>Withrow High School</v>
      </c>
      <c r="G2233" s="8">
        <f ca="1">IFERROR(__xludf.DUMMYFUNCTION("""COMPUTED_VALUE"""),0)</f>
        <v>0</v>
      </c>
      <c r="H2233" s="8">
        <f ca="1">IFERROR(__xludf.DUMMYFUNCTION("""COMPUTED_VALUE"""),2)</f>
        <v>2</v>
      </c>
      <c r="I2233" s="8">
        <f ca="1">IFERROR(__xludf.DUMMYFUNCTION("""COMPUTED_VALUE"""),2)</f>
        <v>2</v>
      </c>
      <c r="J2233" s="8">
        <f ca="1">IFERROR(__xludf.DUMMYFUNCTION("""COMPUTED_VALUE"""),0)</f>
        <v>0</v>
      </c>
      <c r="K2233" s="10" t="str">
        <f ca="1">IFERROR(__xludf.DUMMYFUNCTION("""COMPUTED_VALUE"""),"https://www.newspapers.com/image/102780485/?terms=Withrow%2BHigh%2BSchool%2Bshooting")</f>
        <v>https://www.newspapers.com/image/102780485/?terms=Withrow%2BHigh%2BSchool%2Bshooting</v>
      </c>
      <c r="L2233" s="8"/>
      <c r="M2233" s="8"/>
      <c r="N2233" s="8">
        <f ca="1">IFERROR(__xludf.DUMMYFUNCTION("""COMPUTED_VALUE"""),2)</f>
        <v>2</v>
      </c>
      <c r="O2233" s="8" t="str">
        <f ca="1">IFERROR(__xludf.DUMMYFUNCTION("""COMPUTED_VALUE"""),"Winter")</f>
        <v>Winter</v>
      </c>
      <c r="P2233" s="8" t="str">
        <f ca="1">IFERROR(__xludf.DUMMYFUNCTION("""COMPUTED_VALUE"""),"Cincinnati")</f>
        <v>Cincinnati</v>
      </c>
      <c r="Q2233" s="8" t="str">
        <f ca="1">IFERROR(__xludf.DUMMYFUNCTION("""COMPUTED_VALUE"""),"OH")</f>
        <v>OH</v>
      </c>
      <c r="R2233" s="8" t="str">
        <f ca="1">IFERROR(__xludf.DUMMYFUNCTION("""COMPUTED_VALUE"""),"High")</f>
        <v>High</v>
      </c>
      <c r="S2233" s="8" t="str">
        <f ca="1">IFERROR(__xludf.DUMMYFUNCTION("""COMPUTED_VALUE"""),"Parking Lot")</f>
        <v>Parking Lot</v>
      </c>
      <c r="T2233" s="8" t="str">
        <f ca="1">IFERROR(__xludf.DUMMYFUNCTION("""COMPUTED_VALUE"""),"Outside on School Property")</f>
        <v>Outside on School Property</v>
      </c>
      <c r="U2233" s="8" t="str">
        <f ca="1">IFERROR(__xludf.DUMMYFUNCTION("""COMPUTED_VALUE"""),"No")</f>
        <v>No</v>
      </c>
      <c r="V2233" s="8" t="str">
        <f ca="1">IFERROR(__xludf.DUMMYFUNCTION("""COMPUTED_VALUE"""),"Evening")</f>
        <v>Evening</v>
      </c>
      <c r="W2233" s="11">
        <f ca="1">IFERROR(__xludf.DUMMYFUNCTION("""COMPUTED_VALUE"""),0.833333333333333)</f>
        <v>0.83333333333333304</v>
      </c>
      <c r="X2233" s="8">
        <f ca="1">IFERROR(__xludf.DUMMYFUNCTION("""COMPUTED_VALUE"""),1)</f>
        <v>1</v>
      </c>
      <c r="Y2233" s="12" t="str">
        <f ca="1">IFERROR(__xludf.DUMMYFUNCTION("""COMPUTED_VALUE"""),"Shooting in parking lot behind the school, two parties in different cars, fled the scene")</f>
        <v>Shooting in parking lot behind the school, two parties in different cars, fled the scene</v>
      </c>
      <c r="Z2233" s="12" t="str">
        <f ca="1">IFERROR(__xludf.DUMMYFUNCTION("""COMPUTED_VALUE"""),"Group of males in 2 different vehicle parked behind the school fired shots at each other. One male in each vehicle was struck. Vehicles fled the scene. One shooter was arrested later at the hospital.")</f>
        <v>Group of males in 2 different vehicle parked behind the school fired shots at each other. One male in each vehicle was struck. Vehicles fled the scene. One shooter was arrested later at the hospital.</v>
      </c>
      <c r="AA2233" s="8" t="str">
        <f ca="1">IFERROR(__xludf.DUMMYFUNCTION("""COMPUTED_VALUE"""),"Drive-by Shooting")</f>
        <v>Drive-by Shooting</v>
      </c>
      <c r="AB2233" s="8"/>
      <c r="AC2233" s="8" t="str">
        <f ca="1">IFERROR(__xludf.DUMMYFUNCTION("""COMPUTED_VALUE"""),"No")</f>
        <v>No</v>
      </c>
      <c r="AD2233" s="8" t="str">
        <f ca="1">IFERROR(__xludf.DUMMYFUNCTION("""COMPUTED_VALUE"""),"Victims Targeted")</f>
        <v>Victims Targeted</v>
      </c>
      <c r="AE2233" s="8" t="str">
        <f ca="1">IFERROR(__xludf.DUMMYFUNCTION("""COMPUTED_VALUE"""),"No")</f>
        <v>No</v>
      </c>
      <c r="AF2233" s="8"/>
      <c r="AG2233" s="8" t="str">
        <f ca="1">IFERROR(__xludf.DUMMYFUNCTION("""COMPUTED_VALUE"""),"No")</f>
        <v>No</v>
      </c>
      <c r="AH2233" s="8" t="str">
        <f ca="1">IFERROR(__xludf.DUMMYFUNCTION("""COMPUTED_VALUE"""),"No")</f>
        <v>No</v>
      </c>
      <c r="AI2233" s="8" t="str">
        <f ca="1">IFERROR(__xludf.DUMMYFUNCTION("""COMPUTED_VALUE"""),"No")</f>
        <v>No</v>
      </c>
      <c r="AJ2233" s="8" t="str">
        <f ca="1">IFERROR(__xludf.DUMMYFUNCTION("""COMPUTED_VALUE"""),"No")</f>
        <v>No</v>
      </c>
      <c r="AK2233" s="8" t="str">
        <f ca="1">IFERROR(__xludf.DUMMYFUNCTION("""COMPUTED_VALUE"""),"No")</f>
        <v>No</v>
      </c>
      <c r="AL2233" s="8" t="str">
        <f ca="1">IFERROR(__xludf.DUMMYFUNCTION("""COMPUTED_VALUE"""),"No")</f>
        <v>No</v>
      </c>
      <c r="AM2233" s="8"/>
      <c r="AN2233" s="8"/>
      <c r="AO2233" s="8" t="str">
        <f ca="1">IFERROR(__xludf.DUMMYFUNCTION("""COMPUTED_VALUE"""),"No")</f>
        <v>No</v>
      </c>
      <c r="AP2233" s="8"/>
      <c r="AQ2233" s="8" t="str">
        <f ca="1">IFERROR(__xludf.DUMMYFUNCTION("""COMPUTED_VALUE"""),"Unknown")</f>
        <v>Unknown</v>
      </c>
      <c r="AR2233" s="8" t="str">
        <f ca="1">IFERROR(__xludf.DUMMYFUNCTION("""COMPUTED_VALUE"""),"NA")</f>
        <v>NA</v>
      </c>
      <c r="AS2233" s="8"/>
      <c r="AT2233" s="8"/>
      <c r="AU2233" s="8">
        <f ca="1">IFERROR(__xludf.DUMMYFUNCTION("""COMPUTED_VALUE"""),39.142856)</f>
        <v>39.142856000000002</v>
      </c>
      <c r="AV2233" s="8">
        <f ca="1">IFERROR(__xludf.DUMMYFUNCTION("""COMPUTED_VALUE"""),-84.452935)</f>
        <v>-84.452934999999997</v>
      </c>
      <c r="AW2233" s="8"/>
      <c r="AX2233" s="8">
        <f ca="1">IFERROR(__xludf.DUMMYFUNCTION("""COMPUTED_VALUE"""),45208)</f>
        <v>45208</v>
      </c>
    </row>
    <row r="2234" spans="1:50" ht="60" x14ac:dyDescent="0.2">
      <c r="A2234" s="8" t="str">
        <f ca="1">IFERROR(__xludf.DUMMYFUNCTION("""COMPUTED_VALUE"""),"20060118VAINC")</f>
        <v>20060118VAINC</v>
      </c>
      <c r="B2234" s="8">
        <f ca="1">IFERROR(__xludf.DUMMYFUNCTION("""COMPUTED_VALUE"""),1)</f>
        <v>1</v>
      </c>
      <c r="C2234" s="8">
        <f ca="1">IFERROR(__xludf.DUMMYFUNCTION("""COMPUTED_VALUE"""),18)</f>
        <v>18</v>
      </c>
      <c r="D2234" s="8">
        <f ca="1">IFERROR(__xludf.DUMMYFUNCTION("""COMPUTED_VALUE"""),2006)</f>
        <v>2006</v>
      </c>
      <c r="E2234" s="9">
        <f ca="1">IFERROR(__xludf.DUMMYFUNCTION("""COMPUTED_VALUE"""),38735)</f>
        <v>38735</v>
      </c>
      <c r="F2234" s="8" t="str">
        <f ca="1">IFERROR(__xludf.DUMMYFUNCTION("""COMPUTED_VALUE"""),"Indian River High School")</f>
        <v>Indian River High School</v>
      </c>
      <c r="G2234" s="8">
        <f ca="1">IFERROR(__xludf.DUMMYFUNCTION("""COMPUTED_VALUE"""),0)</f>
        <v>0</v>
      </c>
      <c r="H2234" s="8">
        <f ca="1">IFERROR(__xludf.DUMMYFUNCTION("""COMPUTED_VALUE"""),0)</f>
        <v>0</v>
      </c>
      <c r="I2234" s="8">
        <f ca="1">IFERROR(__xludf.DUMMYFUNCTION("""COMPUTED_VALUE"""),0)</f>
        <v>0</v>
      </c>
      <c r="J2234" s="8">
        <f ca="1">IFERROR(__xludf.DUMMYFUNCTION("""COMPUTED_VALUE"""),0)</f>
        <v>0</v>
      </c>
      <c r="K2234" s="10" t="str">
        <f ca="1">IFERROR(__xludf.DUMMYFUNCTION("""COMPUTED_VALUE"""),"https://pilotonline.com/news/article_91bd4bea-b9dc-5c30-bff7-43f583e1f7a9.html")</f>
        <v>https://pilotonline.com/news/article_91bd4bea-b9dc-5c30-bff7-43f583e1f7a9.html</v>
      </c>
      <c r="L2234" s="8"/>
      <c r="M2234" s="8"/>
      <c r="N2234" s="8">
        <f ca="1">IFERROR(__xludf.DUMMYFUNCTION("""COMPUTED_VALUE"""),2)</f>
        <v>2</v>
      </c>
      <c r="O2234" s="8" t="str">
        <f ca="1">IFERROR(__xludf.DUMMYFUNCTION("""COMPUTED_VALUE"""),"Winter")</f>
        <v>Winter</v>
      </c>
      <c r="P2234" s="8" t="str">
        <f ca="1">IFERROR(__xludf.DUMMYFUNCTION("""COMPUTED_VALUE"""),"Chesapeake")</f>
        <v>Chesapeake</v>
      </c>
      <c r="Q2234" s="8" t="str">
        <f ca="1">IFERROR(__xludf.DUMMYFUNCTION("""COMPUTED_VALUE"""),"VA")</f>
        <v>VA</v>
      </c>
      <c r="R2234" s="8" t="str">
        <f ca="1">IFERROR(__xludf.DUMMYFUNCTION("""COMPUTED_VALUE"""),"High")</f>
        <v>High</v>
      </c>
      <c r="S2234" s="8" t="str">
        <f ca="1">IFERROR(__xludf.DUMMYFUNCTION("""COMPUTED_VALUE"""),"Cafeteria")</f>
        <v>Cafeteria</v>
      </c>
      <c r="T2234" s="8" t="str">
        <f ca="1">IFERROR(__xludf.DUMMYFUNCTION("""COMPUTED_VALUE"""),"Inside School Building")</f>
        <v>Inside School Building</v>
      </c>
      <c r="U2234" s="8" t="str">
        <f ca="1">IFERROR(__xludf.DUMMYFUNCTION("""COMPUTED_VALUE"""),"Yes")</f>
        <v>Yes</v>
      </c>
      <c r="V2234" s="8" t="str">
        <f ca="1">IFERROR(__xludf.DUMMYFUNCTION("""COMPUTED_VALUE"""),"Lunch")</f>
        <v>Lunch</v>
      </c>
      <c r="W2234" s="11">
        <f ca="1">IFERROR(__xludf.DUMMYFUNCTION("""COMPUTED_VALUE"""),0.458333333333333)</f>
        <v>0.45833333333333298</v>
      </c>
      <c r="X2234" s="8">
        <f ca="1">IFERROR(__xludf.DUMMYFUNCTION("""COMPUTED_VALUE"""),1)</f>
        <v>1</v>
      </c>
      <c r="Y2234" s="12" t="str">
        <f ca="1">IFERROR(__xludf.DUMMYFUNCTION("""COMPUTED_VALUE"""),"Fired a targeted victim during dispute")</f>
        <v>Fired a targeted victim during dispute</v>
      </c>
      <c r="Z2234" s="12" t="str">
        <f ca="1">IFERROR(__xludf.DUMMYFUNCTION("""COMPUTED_VALUE"""),"20YOM drove to school during lunch to engage in ongoing conflict with current student just outside the cafeteria. During the dispute the shooter fired several shots that all missed and fled the scene.")</f>
        <v>20YOM drove to school during lunch to engage in ongoing conflict with current student just outside the cafeteria. During the dispute the shooter fired several shots that all missed and fled the scene.</v>
      </c>
      <c r="AA2234" s="8" t="str">
        <f ca="1">IFERROR(__xludf.DUMMYFUNCTION("""COMPUTED_VALUE"""),"Escalation of Dispute")</f>
        <v>Escalation of Dispute</v>
      </c>
      <c r="AB2234" s="8"/>
      <c r="AC2234" s="8" t="str">
        <f ca="1">IFERROR(__xludf.DUMMYFUNCTION("""COMPUTED_VALUE"""),"Yes")</f>
        <v>Yes</v>
      </c>
      <c r="AD2234" s="8" t="str">
        <f ca="1">IFERROR(__xludf.DUMMYFUNCTION("""COMPUTED_VALUE"""),"Victims Targeted")</f>
        <v>Victims Targeted</v>
      </c>
      <c r="AE2234" s="8" t="str">
        <f ca="1">IFERROR(__xludf.DUMMYFUNCTION("""COMPUTED_VALUE"""),"No")</f>
        <v>No</v>
      </c>
      <c r="AF2234" s="8"/>
      <c r="AG2234" s="8" t="str">
        <f ca="1">IFERROR(__xludf.DUMMYFUNCTION("""COMPUTED_VALUE"""),"No")</f>
        <v>No</v>
      </c>
      <c r="AH2234" s="8" t="str">
        <f ca="1">IFERROR(__xludf.DUMMYFUNCTION("""COMPUTED_VALUE"""),"No")</f>
        <v>No</v>
      </c>
      <c r="AI2234" s="8" t="str">
        <f ca="1">IFERROR(__xludf.DUMMYFUNCTION("""COMPUTED_VALUE"""),"No")</f>
        <v>No</v>
      </c>
      <c r="AJ2234" s="8" t="str">
        <f ca="1">IFERROR(__xludf.DUMMYFUNCTION("""COMPUTED_VALUE"""),"No")</f>
        <v>No</v>
      </c>
      <c r="AK2234" s="8" t="str">
        <f ca="1">IFERROR(__xludf.DUMMYFUNCTION("""COMPUTED_VALUE"""),"No")</f>
        <v>No</v>
      </c>
      <c r="AL2234" s="8" t="str">
        <f ca="1">IFERROR(__xludf.DUMMYFUNCTION("""COMPUTED_VALUE"""),"No")</f>
        <v>No</v>
      </c>
      <c r="AM2234" s="8"/>
      <c r="AN2234" s="8"/>
      <c r="AO2234" s="8" t="str">
        <f ca="1">IFERROR(__xludf.DUMMYFUNCTION("""COMPUTED_VALUE"""),"No")</f>
        <v>No</v>
      </c>
      <c r="AP2234" s="8" t="str">
        <f ca="1">IFERROR(__xludf.DUMMYFUNCTION("""COMPUTED_VALUE"""),"No")</f>
        <v>No</v>
      </c>
      <c r="AQ2234" s="8" t="str">
        <f ca="1">IFERROR(__xludf.DUMMYFUNCTION("""COMPUTED_VALUE"""),"Unknown")</f>
        <v>Unknown</v>
      </c>
      <c r="AR2234" s="8" t="str">
        <f ca="1">IFERROR(__xludf.DUMMYFUNCTION("""COMPUTED_VALUE"""),"NA")</f>
        <v>NA</v>
      </c>
      <c r="AS2234" s="8" t="str">
        <f ca="1">IFERROR(__xludf.DUMMYFUNCTION("""COMPUTED_VALUE"""),"&lt;10")</f>
        <v>&lt;10</v>
      </c>
      <c r="AT2234" s="8"/>
      <c r="AU2234" s="8">
        <f ca="1">IFERROR(__xludf.DUMMYFUNCTION("""COMPUTED_VALUE"""),36.797456)</f>
        <v>36.797455999999997</v>
      </c>
      <c r="AV2234" s="8">
        <f ca="1">IFERROR(__xludf.DUMMYFUNCTION("""COMPUTED_VALUE"""),-76.242528)</f>
        <v>-76.242527999999993</v>
      </c>
      <c r="AW2234" s="8"/>
      <c r="AX2234" s="8">
        <f ca="1">IFERROR(__xludf.DUMMYFUNCTION("""COMPUTED_VALUE"""),23325)</f>
        <v>23325</v>
      </c>
    </row>
    <row r="2235" spans="1:50" ht="45" x14ac:dyDescent="0.2">
      <c r="A2235" s="8" t="str">
        <f ca="1">IFERROR(__xludf.DUMMYFUNCTION("""COMPUTED_VALUE"""),"20060118TXPAA")</f>
        <v>20060118TXPAA</v>
      </c>
      <c r="B2235" s="8">
        <f ca="1">IFERROR(__xludf.DUMMYFUNCTION("""COMPUTED_VALUE"""),1)</f>
        <v>1</v>
      </c>
      <c r="C2235" s="8">
        <f ca="1">IFERROR(__xludf.DUMMYFUNCTION("""COMPUTED_VALUE"""),18)</f>
        <v>18</v>
      </c>
      <c r="D2235" s="8">
        <f ca="1">IFERROR(__xludf.DUMMYFUNCTION("""COMPUTED_VALUE"""),2006)</f>
        <v>2006</v>
      </c>
      <c r="E2235" s="9">
        <f ca="1">IFERROR(__xludf.DUMMYFUNCTION("""COMPUTED_VALUE"""),38735)</f>
        <v>38735</v>
      </c>
      <c r="F2235" s="8" t="str">
        <f ca="1">IFERROR(__xludf.DUMMYFUNCTION("""COMPUTED_VALUE"""),"Passmore Elementary School")</f>
        <v>Passmore Elementary School</v>
      </c>
      <c r="G2235" s="8">
        <f ca="1">IFERROR(__xludf.DUMMYFUNCTION("""COMPUTED_VALUE"""),0)</f>
        <v>0</v>
      </c>
      <c r="H2235" s="8">
        <f ca="1">IFERROR(__xludf.DUMMYFUNCTION("""COMPUTED_VALUE"""),1)</f>
        <v>1</v>
      </c>
      <c r="I2235" s="8">
        <f ca="1">IFERROR(__xludf.DUMMYFUNCTION("""COMPUTED_VALUE"""),1)</f>
        <v>1</v>
      </c>
      <c r="J2235" s="8">
        <f ca="1">IFERROR(__xludf.DUMMYFUNCTION("""COMPUTED_VALUE"""),0)</f>
        <v>0</v>
      </c>
      <c r="K2235" s="10" t="str">
        <f ca="1">IFERROR(__xludf.DUMMYFUNCTION("""COMPUTED_VALUE"""),"https://www.chron.com/news/houston-texas/article/Alvin-6th-grader-shoots-himself-in-the-leg-in-1939399.php")</f>
        <v>https://www.chron.com/news/houston-texas/article/Alvin-6th-grader-shoots-himself-in-the-leg-in-1939399.php</v>
      </c>
      <c r="L2235" s="8"/>
      <c r="M2235" s="8"/>
      <c r="N2235" s="8">
        <f ca="1">IFERROR(__xludf.DUMMYFUNCTION("""COMPUTED_VALUE"""),2)</f>
        <v>2</v>
      </c>
      <c r="O2235" s="8" t="str">
        <f ca="1">IFERROR(__xludf.DUMMYFUNCTION("""COMPUTED_VALUE"""),"Winter")</f>
        <v>Winter</v>
      </c>
      <c r="P2235" s="8" t="str">
        <f ca="1">IFERROR(__xludf.DUMMYFUNCTION("""COMPUTED_VALUE"""),"Alvin")</f>
        <v>Alvin</v>
      </c>
      <c r="Q2235" s="8" t="str">
        <f ca="1">IFERROR(__xludf.DUMMYFUNCTION("""COMPUTED_VALUE"""),"TX")</f>
        <v>TX</v>
      </c>
      <c r="R2235" s="8" t="str">
        <f ca="1">IFERROR(__xludf.DUMMYFUNCTION("""COMPUTED_VALUE"""),"Elementary")</f>
        <v>Elementary</v>
      </c>
      <c r="S2235" s="8" t="str">
        <f ca="1">IFERROR(__xludf.DUMMYFUNCTION("""COMPUTED_VALUE"""),"Classroom")</f>
        <v>Classroom</v>
      </c>
      <c r="T2235" s="8" t="str">
        <f ca="1">IFERROR(__xludf.DUMMYFUNCTION("""COMPUTED_VALUE"""),"Inside School Building")</f>
        <v>Inside School Building</v>
      </c>
      <c r="U2235" s="8" t="str">
        <f ca="1">IFERROR(__xludf.DUMMYFUNCTION("""COMPUTED_VALUE"""),"Yes")</f>
        <v>Yes</v>
      </c>
      <c r="V2235" s="8" t="str">
        <f ca="1">IFERROR(__xludf.DUMMYFUNCTION("""COMPUTED_VALUE"""),"Morning Classes")</f>
        <v>Morning Classes</v>
      </c>
      <c r="W2235" s="11">
        <f ca="1">IFERROR(__xludf.DUMMYFUNCTION("""COMPUTED_VALUE"""),0.496527777777777)</f>
        <v>0.49652777777777701</v>
      </c>
      <c r="X2235" s="8">
        <f ca="1">IFERROR(__xludf.DUMMYFUNCTION("""COMPUTED_VALUE"""),1)</f>
        <v>1</v>
      </c>
      <c r="Y2235" s="12" t="str">
        <f ca="1">IFERROR(__xludf.DUMMYFUNCTION("""COMPUTED_VALUE"""),"Fired gun in pocket during class")</f>
        <v>Fired gun in pocket during class</v>
      </c>
      <c r="Z2235" s="12" t="str">
        <f ca="1">IFERROR(__xludf.DUMMYFUNCTION("""COMPUTED_VALUE"""),"An unknown age 6th grade student was playing with a gun in his pocket. It fired and struck him in the leg. Student surrendered to the teacher.")</f>
        <v>An unknown age 6th grade student was playing with a gun in his pocket. It fired and struck him in the leg. Student surrendered to the teacher.</v>
      </c>
      <c r="AA2235" s="8" t="str">
        <f ca="1">IFERROR(__xludf.DUMMYFUNCTION("""COMPUTED_VALUE"""),"Accidental")</f>
        <v>Accidental</v>
      </c>
      <c r="AB2235" s="8"/>
      <c r="AC2235" s="8" t="str">
        <f ca="1">IFERROR(__xludf.DUMMYFUNCTION("""COMPUTED_VALUE"""),"Yes")</f>
        <v>Yes</v>
      </c>
      <c r="AD2235" s="8" t="str">
        <f ca="1">IFERROR(__xludf.DUMMYFUNCTION("""COMPUTED_VALUE"""),"Random Shooting")</f>
        <v>Random Shooting</v>
      </c>
      <c r="AE2235" s="8" t="str">
        <f ca="1">IFERROR(__xludf.DUMMYFUNCTION("""COMPUTED_VALUE"""),"No")</f>
        <v>No</v>
      </c>
      <c r="AF2235" s="8"/>
      <c r="AG2235" s="8" t="str">
        <f ca="1">IFERROR(__xludf.DUMMYFUNCTION("""COMPUTED_VALUE"""),"No")</f>
        <v>No</v>
      </c>
      <c r="AH2235" s="8" t="str">
        <f ca="1">IFERROR(__xludf.DUMMYFUNCTION("""COMPUTED_VALUE"""),"No")</f>
        <v>No</v>
      </c>
      <c r="AI2235" s="8" t="str">
        <f ca="1">IFERROR(__xludf.DUMMYFUNCTION("""COMPUTED_VALUE"""),"No")</f>
        <v>No</v>
      </c>
      <c r="AJ2235" s="8" t="str">
        <f ca="1">IFERROR(__xludf.DUMMYFUNCTION("""COMPUTED_VALUE"""),"No")</f>
        <v>No</v>
      </c>
      <c r="AK2235" s="8" t="str">
        <f ca="1">IFERROR(__xludf.DUMMYFUNCTION("""COMPUTED_VALUE"""),"No")</f>
        <v>No</v>
      </c>
      <c r="AL2235" s="8" t="str">
        <f ca="1">IFERROR(__xludf.DUMMYFUNCTION("""COMPUTED_VALUE"""),"No")</f>
        <v>No</v>
      </c>
      <c r="AM2235" s="8"/>
      <c r="AN2235" s="8"/>
      <c r="AO2235" s="8" t="str">
        <f ca="1">IFERROR(__xludf.DUMMYFUNCTION("""COMPUTED_VALUE"""),"No")</f>
        <v>No</v>
      </c>
      <c r="AP2235" s="8"/>
      <c r="AQ2235" s="8" t="str">
        <f ca="1">IFERROR(__xludf.DUMMYFUNCTION("""COMPUTED_VALUE"""),"None")</f>
        <v>None</v>
      </c>
      <c r="AR2235" s="8" t="str">
        <f ca="1">IFERROR(__xludf.DUMMYFUNCTION("""COMPUTED_VALUE"""),"NA")</f>
        <v>NA</v>
      </c>
      <c r="AS2235" s="8">
        <f ca="1">IFERROR(__xludf.DUMMYFUNCTION("""COMPUTED_VALUE"""),1)</f>
        <v>1</v>
      </c>
      <c r="AT2235" s="8"/>
      <c r="AU2235" s="8">
        <f ca="1">IFERROR(__xludf.DUMMYFUNCTION("""COMPUTED_VALUE"""),29.419108)</f>
        <v>29.419108000000001</v>
      </c>
      <c r="AV2235" s="8">
        <f ca="1">IFERROR(__xludf.DUMMYFUNCTION("""COMPUTED_VALUE"""),-95.262362)</f>
        <v>-95.262361999999996</v>
      </c>
      <c r="AW2235" s="8"/>
      <c r="AX2235" s="8">
        <f ca="1">IFERROR(__xludf.DUMMYFUNCTION("""COMPUTED_VALUE"""),77511)</f>
        <v>77511</v>
      </c>
    </row>
    <row r="2236" spans="1:50" ht="75" x14ac:dyDescent="0.2">
      <c r="A2236" s="8" t="str">
        <f ca="1">IFERROR(__xludf.DUMMYFUNCTION("""COMPUTED_VALUE"""),"20060118MTFRA")</f>
        <v>20060118MTFRA</v>
      </c>
      <c r="B2236" s="8">
        <f ca="1">IFERROR(__xludf.DUMMYFUNCTION("""COMPUTED_VALUE"""),1)</f>
        <v>1</v>
      </c>
      <c r="C2236" s="8">
        <f ca="1">IFERROR(__xludf.DUMMYFUNCTION("""COMPUTED_VALUE"""),18)</f>
        <v>18</v>
      </c>
      <c r="D2236" s="8">
        <f ca="1">IFERROR(__xludf.DUMMYFUNCTION("""COMPUTED_VALUE"""),2006)</f>
        <v>2006</v>
      </c>
      <c r="E2236" s="9">
        <f ca="1">IFERROR(__xludf.DUMMYFUNCTION("""COMPUTED_VALUE"""),38735)</f>
        <v>38735</v>
      </c>
      <c r="F2236" s="8" t="str">
        <f ca="1">IFERROR(__xludf.DUMMYFUNCTION("""COMPUTED_VALUE"""),"Fred Moodry Middle School")</f>
        <v>Fred Moodry Middle School</v>
      </c>
      <c r="G2236" s="8">
        <f ca="1">IFERROR(__xludf.DUMMYFUNCTION("""COMPUTED_VALUE"""),0)</f>
        <v>0</v>
      </c>
      <c r="H2236" s="8">
        <f ca="1">IFERROR(__xludf.DUMMYFUNCTION("""COMPUTED_VALUE"""),1)</f>
        <v>1</v>
      </c>
      <c r="I2236" s="8">
        <f ca="1">IFERROR(__xludf.DUMMYFUNCTION("""COMPUTED_VALUE"""),1)</f>
        <v>1</v>
      </c>
      <c r="J2236" s="8">
        <f ca="1">IFERROR(__xludf.DUMMYFUNCTION("""COMPUTED_VALUE"""),0)</f>
        <v>0</v>
      </c>
      <c r="K2236" s="10" t="str">
        <f ca="1">IFERROR(__xludf.DUMMYFUNCTION("""COMPUTED_VALUE"""),"https://mtstandard.com/news/local/anaconda-students-expelled-after-air-gun-shooting-incident/article_846a24e2-3d18-5764-a1a7-ccfb3bb8e820.html")</f>
        <v>https://mtstandard.com/news/local/anaconda-students-expelled-after-air-gun-shooting-incident/article_846a24e2-3d18-5764-a1a7-ccfb3bb8e820.html</v>
      </c>
      <c r="L2236" s="8"/>
      <c r="M2236" s="8"/>
      <c r="N2236" s="8">
        <f ca="1">IFERROR(__xludf.DUMMYFUNCTION("""COMPUTED_VALUE"""),2)</f>
        <v>2</v>
      </c>
      <c r="O2236" s="8" t="str">
        <f ca="1">IFERROR(__xludf.DUMMYFUNCTION("""COMPUTED_VALUE"""),"Winter")</f>
        <v>Winter</v>
      </c>
      <c r="P2236" s="8" t="str">
        <f ca="1">IFERROR(__xludf.DUMMYFUNCTION("""COMPUTED_VALUE"""),"Anaconda")</f>
        <v>Anaconda</v>
      </c>
      <c r="Q2236" s="8" t="str">
        <f ca="1">IFERROR(__xludf.DUMMYFUNCTION("""COMPUTED_VALUE"""),"MT")</f>
        <v>MT</v>
      </c>
      <c r="R2236" s="8" t="str">
        <f ca="1">IFERROR(__xludf.DUMMYFUNCTION("""COMPUTED_VALUE"""),"Middle")</f>
        <v>Middle</v>
      </c>
      <c r="S2236" s="8" t="str">
        <f ca="1">IFERROR(__xludf.DUMMYFUNCTION("""COMPUTED_VALUE"""),"Beside Building")</f>
        <v>Beside Building</v>
      </c>
      <c r="T2236" s="8" t="str">
        <f ca="1">IFERROR(__xludf.DUMMYFUNCTION("""COMPUTED_VALUE"""),"Outside on School Property")</f>
        <v>Outside on School Property</v>
      </c>
      <c r="U2236" s="8" t="str">
        <f ca="1">IFERROR(__xludf.DUMMYFUNCTION("""COMPUTED_VALUE"""),"Yes")</f>
        <v>Yes</v>
      </c>
      <c r="V2236" s="8" t="str">
        <f ca="1">IFERROR(__xludf.DUMMYFUNCTION("""COMPUTED_VALUE"""),"Dismissal")</f>
        <v>Dismissal</v>
      </c>
      <c r="W2236" s="8"/>
      <c r="X2236" s="8">
        <f ca="1">IFERROR(__xludf.DUMMYFUNCTION("""COMPUTED_VALUE"""),1)</f>
        <v>1</v>
      </c>
      <c r="Y2236" s="12" t="str">
        <f ca="1">IFERROR(__xludf.DUMMYFUNCTION("""COMPUTED_VALUE"""),"Female student in car shot airsoft gun at boy standing outside of school, hit him in face")</f>
        <v>Female student in car shot airsoft gun at boy standing outside of school, hit him in face</v>
      </c>
      <c r="Z2236" s="12" t="str">
        <f ca="1">IFERROR(__xludf.DUMMYFUNCTION("""COMPUTED_VALUE"""),"15YOF student in car shot a boy standing outside of the school with an airsoft gun in the face. She was expelled for the shooting.")</f>
        <v>15YOF student in car shot a boy standing outside of the school with an airsoft gun in the face. She was expelled for the shooting.</v>
      </c>
      <c r="AA2236" s="8" t="str">
        <f ca="1">IFERROR(__xludf.DUMMYFUNCTION("""COMPUTED_VALUE"""),"Drive-by Shooting")</f>
        <v>Drive-by Shooting</v>
      </c>
      <c r="AB2236" s="8"/>
      <c r="AC2236" s="8" t="str">
        <f ca="1">IFERROR(__xludf.DUMMYFUNCTION("""COMPUTED_VALUE"""),"Yes")</f>
        <v>Yes</v>
      </c>
      <c r="AD2236" s="8" t="str">
        <f ca="1">IFERROR(__xludf.DUMMYFUNCTION("""COMPUTED_VALUE"""),"Victims Targeted")</f>
        <v>Victims Targeted</v>
      </c>
      <c r="AE2236" s="8" t="str">
        <f ca="1">IFERROR(__xludf.DUMMYFUNCTION("""COMPUTED_VALUE"""),"No")</f>
        <v>No</v>
      </c>
      <c r="AF2236" s="8"/>
      <c r="AG2236" s="8" t="str">
        <f ca="1">IFERROR(__xludf.DUMMYFUNCTION("""COMPUTED_VALUE"""),"No")</f>
        <v>No</v>
      </c>
      <c r="AH2236" s="8" t="str">
        <f ca="1">IFERROR(__xludf.DUMMYFUNCTION("""COMPUTED_VALUE"""),"No")</f>
        <v>No</v>
      </c>
      <c r="AI2236" s="8" t="str">
        <f ca="1">IFERROR(__xludf.DUMMYFUNCTION("""COMPUTED_VALUE"""),"No")</f>
        <v>No</v>
      </c>
      <c r="AJ2236" s="8" t="str">
        <f ca="1">IFERROR(__xludf.DUMMYFUNCTION("""COMPUTED_VALUE"""),"No")</f>
        <v>No</v>
      </c>
      <c r="AK2236" s="8"/>
      <c r="AL2236" s="8" t="str">
        <f ca="1">IFERROR(__xludf.DUMMYFUNCTION("""COMPUTED_VALUE"""),"No")</f>
        <v>No</v>
      </c>
      <c r="AM2236" s="8"/>
      <c r="AN2236" s="8"/>
      <c r="AO2236" s="8" t="str">
        <f ca="1">IFERROR(__xludf.DUMMYFUNCTION("""COMPUTED_VALUE"""),"No")</f>
        <v>No</v>
      </c>
      <c r="AP2236" s="8"/>
      <c r="AQ2236" s="8" t="str">
        <f ca="1">IFERROR(__xludf.DUMMYFUNCTION("""COMPUTED_VALUE"""),"Unknown")</f>
        <v>Unknown</v>
      </c>
      <c r="AR2236" s="8" t="str">
        <f ca="1">IFERROR(__xludf.DUMMYFUNCTION("""COMPUTED_VALUE"""),"NA")</f>
        <v>NA</v>
      </c>
      <c r="AS2236" s="8">
        <f ca="1">IFERROR(__xludf.DUMMYFUNCTION("""COMPUTED_VALUE"""),1)</f>
        <v>1</v>
      </c>
      <c r="AT2236" s="8"/>
      <c r="AU2236" s="8">
        <f ca="1">IFERROR(__xludf.DUMMYFUNCTION("""COMPUTED_VALUE"""),46.127613)</f>
        <v>46.127612999999997</v>
      </c>
      <c r="AV2236" s="8">
        <f ca="1">IFERROR(__xludf.DUMMYFUNCTION("""COMPUTED_VALUE"""),-112.951173)</f>
        <v>-112.951173</v>
      </c>
      <c r="AW2236" s="8"/>
      <c r="AX2236" s="8">
        <f ca="1">IFERROR(__xludf.DUMMYFUNCTION("""COMPUTED_VALUE"""),59711)</f>
        <v>59711</v>
      </c>
    </row>
    <row r="2237" spans="1:50" ht="45" x14ac:dyDescent="0.2">
      <c r="A2237" s="8" t="str">
        <f ca="1">IFERROR(__xludf.DUMMYFUNCTION("""COMPUTED_VALUE"""),"20060113MIOSD")</f>
        <v>20060113MIOSD</v>
      </c>
      <c r="B2237" s="8">
        <f ca="1">IFERROR(__xludf.DUMMYFUNCTION("""COMPUTED_VALUE"""),1)</f>
        <v>1</v>
      </c>
      <c r="C2237" s="8">
        <f ca="1">IFERROR(__xludf.DUMMYFUNCTION("""COMPUTED_VALUE"""),13)</f>
        <v>13</v>
      </c>
      <c r="D2237" s="8">
        <f ca="1">IFERROR(__xludf.DUMMYFUNCTION("""COMPUTED_VALUE"""),2006)</f>
        <v>2006</v>
      </c>
      <c r="E2237" s="9">
        <f ca="1">IFERROR(__xludf.DUMMYFUNCTION("""COMPUTED_VALUE"""),38730)</f>
        <v>38730</v>
      </c>
      <c r="F2237" s="8" t="str">
        <f ca="1">IFERROR(__xludf.DUMMYFUNCTION("""COMPUTED_VALUE"""),"Osborn High School")</f>
        <v>Osborn High School</v>
      </c>
      <c r="G2237" s="8">
        <f ca="1">IFERROR(__xludf.DUMMYFUNCTION("""COMPUTED_VALUE"""),0)</f>
        <v>0</v>
      </c>
      <c r="H2237" s="8">
        <f ca="1">IFERROR(__xludf.DUMMYFUNCTION("""COMPUTED_VALUE"""),0)</f>
        <v>0</v>
      </c>
      <c r="I2237" s="8">
        <f ca="1">IFERROR(__xludf.DUMMYFUNCTION("""COMPUTED_VALUE"""),0)</f>
        <v>0</v>
      </c>
      <c r="J2237" s="8">
        <f ca="1">IFERROR(__xludf.DUMMYFUNCTION("""COMPUTED_VALUE"""),0)</f>
        <v>0</v>
      </c>
      <c r="K2237" s="10" t="str">
        <f ca="1">IFERROR(__xludf.DUMMYFUNCTION("""COMPUTED_VALUE"""),"https://www.columbine-angels.com/School_Violence_2005-2006.htm")</f>
        <v>https://www.columbine-angels.com/School_Violence_2005-2006.htm</v>
      </c>
      <c r="L2237" s="8"/>
      <c r="M2237" s="8"/>
      <c r="N2237" s="8">
        <f ca="1">IFERROR(__xludf.DUMMYFUNCTION("""COMPUTED_VALUE"""),1)</f>
        <v>1</v>
      </c>
      <c r="O2237" s="8" t="str">
        <f ca="1">IFERROR(__xludf.DUMMYFUNCTION("""COMPUTED_VALUE"""),"Winter")</f>
        <v>Winter</v>
      </c>
      <c r="P2237" s="8" t="str">
        <f ca="1">IFERROR(__xludf.DUMMYFUNCTION("""COMPUTED_VALUE"""),"Detroit")</f>
        <v>Detroit</v>
      </c>
      <c r="Q2237" s="8" t="str">
        <f ca="1">IFERROR(__xludf.DUMMYFUNCTION("""COMPUTED_VALUE"""),"MI")</f>
        <v>MI</v>
      </c>
      <c r="R2237" s="8" t="str">
        <f ca="1">IFERROR(__xludf.DUMMYFUNCTION("""COMPUTED_VALUE"""),"High")</f>
        <v>High</v>
      </c>
      <c r="S2237" s="8" t="str">
        <f ca="1">IFERROR(__xludf.DUMMYFUNCTION("""COMPUTED_VALUE"""),"Hallway")</f>
        <v>Hallway</v>
      </c>
      <c r="T2237" s="8" t="str">
        <f ca="1">IFERROR(__xludf.DUMMYFUNCTION("""COMPUTED_VALUE"""),"Inside School Building")</f>
        <v>Inside School Building</v>
      </c>
      <c r="U2237" s="8" t="str">
        <f ca="1">IFERROR(__xludf.DUMMYFUNCTION("""COMPUTED_VALUE"""),"Yes")</f>
        <v>Yes</v>
      </c>
      <c r="V2237" s="8" t="str">
        <f ca="1">IFERROR(__xludf.DUMMYFUNCTION("""COMPUTED_VALUE"""),"Lunch")</f>
        <v>Lunch</v>
      </c>
      <c r="W2237" s="11">
        <f ca="1">IFERROR(__xludf.DUMMYFUNCTION("""COMPUTED_VALUE"""),0.5)</f>
        <v>0.5</v>
      </c>
      <c r="X2237" s="8">
        <f ca="1">IFERROR(__xludf.DUMMYFUNCTION("""COMPUTED_VALUE"""),1)</f>
        <v>1</v>
      </c>
      <c r="Y2237" s="12" t="str">
        <f ca="1">IFERROR(__xludf.DUMMYFUNCTION("""COMPUTED_VALUE"""),"Single shot fired in hallway")</f>
        <v>Single shot fired in hallway</v>
      </c>
      <c r="Z2237" s="12" t="str">
        <f ca="1">IFERROR(__xludf.DUMMYFUNCTION("""COMPUTED_VALUE"""),"Assistant principal confronted two teens in hallway. One pulled gun and fired a shot that hit the wall then fled the scene. Arrested later.")</f>
        <v>Assistant principal confronted two teens in hallway. One pulled gun and fired a shot that hit the wall then fled the scene. Arrested later.</v>
      </c>
      <c r="AA2237" s="8" t="str">
        <f ca="1">IFERROR(__xludf.DUMMYFUNCTION("""COMPUTED_VALUE"""),"Anger Over Grade/Suspension/Discipline")</f>
        <v>Anger Over Grade/Suspension/Discipline</v>
      </c>
      <c r="AB2237" s="8"/>
      <c r="AC2237" s="8" t="str">
        <f ca="1">IFERROR(__xludf.DUMMYFUNCTION("""COMPUTED_VALUE"""),"Yes")</f>
        <v>Yes</v>
      </c>
      <c r="AD2237" s="8" t="str">
        <f ca="1">IFERROR(__xludf.DUMMYFUNCTION("""COMPUTED_VALUE"""),"Neither")</f>
        <v>Neither</v>
      </c>
      <c r="AE2237" s="8" t="str">
        <f ca="1">IFERROR(__xludf.DUMMYFUNCTION("""COMPUTED_VALUE"""),"No")</f>
        <v>No</v>
      </c>
      <c r="AF2237" s="8"/>
      <c r="AG2237" s="8" t="str">
        <f ca="1">IFERROR(__xludf.DUMMYFUNCTION("""COMPUTED_VALUE"""),"No")</f>
        <v>No</v>
      </c>
      <c r="AH2237" s="8" t="str">
        <f ca="1">IFERROR(__xludf.DUMMYFUNCTION("""COMPUTED_VALUE"""),"No")</f>
        <v>No</v>
      </c>
      <c r="AI2237" s="8" t="str">
        <f ca="1">IFERROR(__xludf.DUMMYFUNCTION("""COMPUTED_VALUE"""),"No")</f>
        <v>No</v>
      </c>
      <c r="AJ2237" s="8" t="str">
        <f ca="1">IFERROR(__xludf.DUMMYFUNCTION("""COMPUTED_VALUE"""),"No")</f>
        <v>No</v>
      </c>
      <c r="AK2237" s="8" t="str">
        <f ca="1">IFERROR(__xludf.DUMMYFUNCTION("""COMPUTED_VALUE"""),"No")</f>
        <v>No</v>
      </c>
      <c r="AL2237" s="8" t="str">
        <f ca="1">IFERROR(__xludf.DUMMYFUNCTION("""COMPUTED_VALUE"""),"No")</f>
        <v>No</v>
      </c>
      <c r="AM2237" s="8"/>
      <c r="AN2237" s="8"/>
      <c r="AO2237" s="8" t="str">
        <f ca="1">IFERROR(__xludf.DUMMYFUNCTION("""COMPUTED_VALUE"""),"No")</f>
        <v>No</v>
      </c>
      <c r="AP2237" s="8"/>
      <c r="AQ2237" s="8" t="str">
        <f ca="1">IFERROR(__xludf.DUMMYFUNCTION("""COMPUTED_VALUE"""),"Unknown")</f>
        <v>Unknown</v>
      </c>
      <c r="AR2237" s="8" t="str">
        <f ca="1">IFERROR(__xludf.DUMMYFUNCTION("""COMPUTED_VALUE"""),"NA")</f>
        <v>NA</v>
      </c>
      <c r="AS2237" s="8">
        <f ca="1">IFERROR(__xludf.DUMMYFUNCTION("""COMPUTED_VALUE"""),1)</f>
        <v>1</v>
      </c>
      <c r="AT2237" s="8"/>
      <c r="AU2237" s="8">
        <f ca="1">IFERROR(__xludf.DUMMYFUNCTION("""COMPUTED_VALUE"""),42.433998)</f>
        <v>42.433998000000003</v>
      </c>
      <c r="AV2237" s="8">
        <f ca="1">IFERROR(__xludf.DUMMYFUNCTION("""COMPUTED_VALUE"""),-83.002992)</f>
        <v>-83.002992000000006</v>
      </c>
      <c r="AW2237" s="8"/>
      <c r="AX2237" s="8">
        <f ca="1">IFERROR(__xludf.DUMMYFUNCTION("""COMPUTED_VALUE"""),48282)</f>
        <v>48282</v>
      </c>
    </row>
    <row r="2238" spans="1:50" ht="135" x14ac:dyDescent="0.2">
      <c r="A2238" s="8" t="str">
        <f ca="1">IFERROR(__xludf.DUMMYFUNCTION("""COMPUTED_VALUE"""),"20060113FLMIL")</f>
        <v>20060113FLMIL</v>
      </c>
      <c r="B2238" s="8">
        <f ca="1">IFERROR(__xludf.DUMMYFUNCTION("""COMPUTED_VALUE"""),1)</f>
        <v>1</v>
      </c>
      <c r="C2238" s="8">
        <f ca="1">IFERROR(__xludf.DUMMYFUNCTION("""COMPUTED_VALUE"""),13)</f>
        <v>13</v>
      </c>
      <c r="D2238" s="8">
        <f ca="1">IFERROR(__xludf.DUMMYFUNCTION("""COMPUTED_VALUE"""),2006)</f>
        <v>2006</v>
      </c>
      <c r="E2238" s="9">
        <f ca="1">IFERROR(__xludf.DUMMYFUNCTION("""COMPUTED_VALUE"""),38730)</f>
        <v>38730</v>
      </c>
      <c r="F2238" s="8" t="str">
        <f ca="1">IFERROR(__xludf.DUMMYFUNCTION("""COMPUTED_VALUE"""),"Milwee Middle School")</f>
        <v>Milwee Middle School</v>
      </c>
      <c r="G2238" s="8">
        <f ca="1">IFERROR(__xludf.DUMMYFUNCTION("""COMPUTED_VALUE"""),0)</f>
        <v>0</v>
      </c>
      <c r="H2238" s="8">
        <f ca="1">IFERROR(__xludf.DUMMYFUNCTION("""COMPUTED_VALUE"""),0)</f>
        <v>0</v>
      </c>
      <c r="I2238" s="8">
        <f ca="1">IFERROR(__xludf.DUMMYFUNCTION("""COMPUTED_VALUE"""),0)</f>
        <v>0</v>
      </c>
      <c r="J2238" s="8">
        <f ca="1">IFERROR(__xludf.DUMMYFUNCTION("""COMPUTED_VALUE"""),1)</f>
        <v>1</v>
      </c>
      <c r="K2238" s="10" t="str">
        <f ca="1">IFERROR(__xludf.DUMMYFUNCTION("""COMPUTED_VALUE"""),"https://www.cbsnews.com/news/parents-we-told-police-gun-was-fake/")</f>
        <v>https://www.cbsnews.com/news/parents-we-told-police-gun-was-fake/</v>
      </c>
      <c r="L2238" s="8"/>
      <c r="M2238" s="8"/>
      <c r="N2238" s="8">
        <f ca="1">IFERROR(__xludf.DUMMYFUNCTION("""COMPUTED_VALUE"""),2)</f>
        <v>2</v>
      </c>
      <c r="O2238" s="8" t="str">
        <f ca="1">IFERROR(__xludf.DUMMYFUNCTION("""COMPUTED_VALUE"""),"Winter")</f>
        <v>Winter</v>
      </c>
      <c r="P2238" s="8" t="str">
        <f ca="1">IFERROR(__xludf.DUMMYFUNCTION("""COMPUTED_VALUE"""),"Longwood")</f>
        <v>Longwood</v>
      </c>
      <c r="Q2238" s="8" t="str">
        <f ca="1">IFERROR(__xludf.DUMMYFUNCTION("""COMPUTED_VALUE"""),"FL")</f>
        <v>FL</v>
      </c>
      <c r="R2238" s="8" t="str">
        <f ca="1">IFERROR(__xludf.DUMMYFUNCTION("""COMPUTED_VALUE"""),"Middle")</f>
        <v>Middle</v>
      </c>
      <c r="S2238" s="8" t="str">
        <f ca="1">IFERROR(__xludf.DUMMYFUNCTION("""COMPUTED_VALUE"""),"Classroom")</f>
        <v>Classroom</v>
      </c>
      <c r="T2238" s="8" t="str">
        <f ca="1">IFERROR(__xludf.DUMMYFUNCTION("""COMPUTED_VALUE"""),"Inside School Building")</f>
        <v>Inside School Building</v>
      </c>
      <c r="U2238" s="8" t="str">
        <f ca="1">IFERROR(__xludf.DUMMYFUNCTION("""COMPUTED_VALUE"""),"Yes")</f>
        <v>Yes</v>
      </c>
      <c r="V2238" s="8" t="str">
        <f ca="1">IFERROR(__xludf.DUMMYFUNCTION("""COMPUTED_VALUE"""),"Morning Classes")</f>
        <v>Morning Classes</v>
      </c>
      <c r="W2238" s="11">
        <f ca="1">IFERROR(__xludf.DUMMYFUNCTION("""COMPUTED_VALUE"""),0.395833333333333)</f>
        <v>0.39583333333333298</v>
      </c>
      <c r="X2238" s="8">
        <f ca="1">IFERROR(__xludf.DUMMYFUNCTION("""COMPUTED_VALUE"""),1)</f>
        <v>1</v>
      </c>
      <c r="Y2238" s="12" t="str">
        <f ca="1">IFERROR(__xludf.DUMMYFUNCTION("""COMPUTED_VALUE"""),"Dispute over girl, student had pellet gun and was killed by police")</f>
        <v>Dispute over girl, student had pellet gun and was killed by police</v>
      </c>
      <c r="Z2238" s="12" t="str">
        <f ca="1">IFERROR(__xludf.DUMMYFUNCTION("""COMPUTED_VALUE"""),"Shooter brought a pellet gun to school and pointed it at another student in the classroom. The two students were involved in a dispute over a girl. There was a planned fight that was going to take place after school. The other student didn't believe it wa"&amp;"s a real weapon and started wrestling with the shooter. The gun was knocked away and the shooter ran out of the classroom with it. The shooter would not put down the gun when confronted by police and he was shot in the head. Died later in the hospital.")</f>
        <v>Shooter brought a pellet gun to school and pointed it at another student in the classroom. The two students were involved in a dispute over a girl. There was a planned fight that was going to take place after school. The other student didn't believe it was a real weapon and started wrestling with the shooter. The gun was knocked away and the shooter ran out of the classroom with it. The shooter would not put down the gun when confronted by police and he was shot in the head. Died later in the hospital.</v>
      </c>
      <c r="AA2238" s="8" t="str">
        <f ca="1">IFERROR(__xludf.DUMMYFUNCTION("""COMPUTED_VALUE"""),"Escalation of Dispute")</f>
        <v>Escalation of Dispute</v>
      </c>
      <c r="AB2238" s="8"/>
      <c r="AC2238" s="8" t="str">
        <f ca="1">IFERROR(__xludf.DUMMYFUNCTION("""COMPUTED_VALUE"""),"Yes")</f>
        <v>Yes</v>
      </c>
      <c r="AD2238" s="8" t="str">
        <f ca="1">IFERROR(__xludf.DUMMYFUNCTION("""COMPUTED_VALUE"""),"Victims Targeted")</f>
        <v>Victims Targeted</v>
      </c>
      <c r="AE2238" s="8" t="str">
        <f ca="1">IFERROR(__xludf.DUMMYFUNCTION("""COMPUTED_VALUE"""),"No")</f>
        <v>No</v>
      </c>
      <c r="AF2238" s="8"/>
      <c r="AG2238" s="8" t="str">
        <f ca="1">IFERROR(__xludf.DUMMYFUNCTION("""COMPUTED_VALUE"""),"No")</f>
        <v>No</v>
      </c>
      <c r="AH2238" s="8" t="str">
        <f ca="1">IFERROR(__xludf.DUMMYFUNCTION("""COMPUTED_VALUE"""),"No")</f>
        <v>No</v>
      </c>
      <c r="AI2238" s="8" t="str">
        <f ca="1">IFERROR(__xludf.DUMMYFUNCTION("""COMPUTED_VALUE"""),"No")</f>
        <v>No</v>
      </c>
      <c r="AJ2238" s="8" t="str">
        <f ca="1">IFERROR(__xludf.DUMMYFUNCTION("""COMPUTED_VALUE"""),"No")</f>
        <v>No</v>
      </c>
      <c r="AK2238" s="8" t="str">
        <f ca="1">IFERROR(__xludf.DUMMYFUNCTION("""COMPUTED_VALUE"""),"No")</f>
        <v>No</v>
      </c>
      <c r="AL2238" s="8" t="str">
        <f ca="1">IFERROR(__xludf.DUMMYFUNCTION("""COMPUTED_VALUE"""),"No")</f>
        <v>No</v>
      </c>
      <c r="AM2238" s="8"/>
      <c r="AN2238" s="8"/>
      <c r="AO2238" s="8" t="str">
        <f ca="1">IFERROR(__xludf.DUMMYFUNCTION("""COMPUTED_VALUE"""),"No")</f>
        <v>No</v>
      </c>
      <c r="AP2238" s="8" t="str">
        <f ca="1">IFERROR(__xludf.DUMMYFUNCTION("""COMPUTED_VALUE"""),"Yes")</f>
        <v>Yes</v>
      </c>
      <c r="AQ2238" s="8" t="str">
        <f ca="1">IFERROR(__xludf.DUMMYFUNCTION("""COMPUTED_VALUE"""),"Unknown")</f>
        <v>Unknown</v>
      </c>
      <c r="AR2238" s="8" t="str">
        <f ca="1">IFERROR(__xludf.DUMMYFUNCTION("""COMPUTED_VALUE"""),"NA")</f>
        <v>NA</v>
      </c>
      <c r="AS2238" s="8"/>
      <c r="AT2238" s="8"/>
      <c r="AU2238" s="8">
        <f ca="1">IFERROR(__xludf.DUMMYFUNCTION("""COMPUTED_VALUE"""),28.680176)</f>
        <v>28.680175999999999</v>
      </c>
      <c r="AV2238" s="8">
        <f ca="1">IFERROR(__xludf.DUMMYFUNCTION("""COMPUTED_VALUE"""),-81.346832)</f>
        <v>-81.346832000000006</v>
      </c>
      <c r="AW2238" s="8"/>
      <c r="AX2238" s="8">
        <f ca="1">IFERROR(__xludf.DUMMYFUNCTION("""COMPUTED_VALUE"""),32750)</f>
        <v>32750</v>
      </c>
    </row>
    <row r="2239" spans="1:50" ht="45" x14ac:dyDescent="0.2">
      <c r="A2239" s="8" t="str">
        <f ca="1">IFERROR(__xludf.DUMMYFUNCTION("""COMPUTED_VALUE"""),"20060113ALPIP")</f>
        <v>20060113ALPIP</v>
      </c>
      <c r="B2239" s="8">
        <f ca="1">IFERROR(__xludf.DUMMYFUNCTION("""COMPUTED_VALUE"""),1)</f>
        <v>1</v>
      </c>
      <c r="C2239" s="8">
        <f ca="1">IFERROR(__xludf.DUMMYFUNCTION("""COMPUTED_VALUE"""),13)</f>
        <v>13</v>
      </c>
      <c r="D2239" s="8">
        <f ca="1">IFERROR(__xludf.DUMMYFUNCTION("""COMPUTED_VALUE"""),2006)</f>
        <v>2006</v>
      </c>
      <c r="E2239" s="9">
        <f ca="1">IFERROR(__xludf.DUMMYFUNCTION("""COMPUTED_VALUE"""),38730)</f>
        <v>38730</v>
      </c>
      <c r="F2239" s="8" t="str">
        <f ca="1">IFERROR(__xludf.DUMMYFUNCTION("""COMPUTED_VALUE"""),"Pinson Valley High School")</f>
        <v>Pinson Valley High School</v>
      </c>
      <c r="G2239" s="8">
        <f ca="1">IFERROR(__xludf.DUMMYFUNCTION("""COMPUTED_VALUE"""),0)</f>
        <v>0</v>
      </c>
      <c r="H2239" s="8">
        <f ca="1">IFERROR(__xludf.DUMMYFUNCTION("""COMPUTED_VALUE"""),1)</f>
        <v>1</v>
      </c>
      <c r="I2239" s="8">
        <f ca="1">IFERROR(__xludf.DUMMYFUNCTION("""COMPUTED_VALUE"""),1)</f>
        <v>1</v>
      </c>
      <c r="J2239" s="8">
        <f ca="1">IFERROR(__xludf.DUMMYFUNCTION("""COMPUTED_VALUE"""),0)</f>
        <v>0</v>
      </c>
      <c r="K2239" s="10" t="str">
        <f ca="1">IFERROR(__xludf.DUMMYFUNCTION("""COMPUTED_VALUE"""),"http://www.gadsdentimes.com/lifestyle/20060116/student-charged-in-fatal-shooting-after-game")</f>
        <v>http://www.gadsdentimes.com/lifestyle/20060116/student-charged-in-fatal-shooting-after-game</v>
      </c>
      <c r="L2239" s="8"/>
      <c r="M2239" s="8"/>
      <c r="N2239" s="8">
        <f ca="1">IFERROR(__xludf.DUMMYFUNCTION("""COMPUTED_VALUE"""),2)</f>
        <v>2</v>
      </c>
      <c r="O2239" s="8" t="str">
        <f ca="1">IFERROR(__xludf.DUMMYFUNCTION("""COMPUTED_VALUE"""),"Winter")</f>
        <v>Winter</v>
      </c>
      <c r="P2239" s="8" t="str">
        <f ca="1">IFERROR(__xludf.DUMMYFUNCTION("""COMPUTED_VALUE"""),"Pinson")</f>
        <v>Pinson</v>
      </c>
      <c r="Q2239" s="8" t="str">
        <f ca="1">IFERROR(__xludf.DUMMYFUNCTION("""COMPUTED_VALUE"""),"AL")</f>
        <v>AL</v>
      </c>
      <c r="R2239" s="8" t="str">
        <f ca="1">IFERROR(__xludf.DUMMYFUNCTION("""COMPUTED_VALUE"""),"High")</f>
        <v>High</v>
      </c>
      <c r="S2239" s="8" t="str">
        <f ca="1">IFERROR(__xludf.DUMMYFUNCTION("""COMPUTED_VALUE"""),"Parking Lot")</f>
        <v>Parking Lot</v>
      </c>
      <c r="T2239" s="8" t="str">
        <f ca="1">IFERROR(__xludf.DUMMYFUNCTION("""COMPUTED_VALUE"""),"Outside on School Property")</f>
        <v>Outside on School Property</v>
      </c>
      <c r="U2239" s="8" t="str">
        <f ca="1">IFERROR(__xludf.DUMMYFUNCTION("""COMPUTED_VALUE"""),"No")</f>
        <v>No</v>
      </c>
      <c r="V2239" s="8" t="str">
        <f ca="1">IFERROR(__xludf.DUMMYFUNCTION("""COMPUTED_VALUE"""),"Sport Event")</f>
        <v>Sport Event</v>
      </c>
      <c r="W2239" s="11">
        <f ca="1">IFERROR(__xludf.DUMMYFUNCTION("""COMPUTED_VALUE"""),0.956944444444444)</f>
        <v>0.95694444444444404</v>
      </c>
      <c r="X2239" s="8">
        <f ca="1">IFERROR(__xludf.DUMMYFUNCTION("""COMPUTED_VALUE"""),1)</f>
        <v>1</v>
      </c>
      <c r="Y2239" s="12" t="str">
        <f ca="1">IFERROR(__xludf.DUMMYFUNCTION("""COMPUTED_VALUE"""),"Shot during fight in parking lot after basketball game")</f>
        <v>Shot during fight in parking lot after basketball game</v>
      </c>
      <c r="Z2239" s="12" t="str">
        <f ca="1">IFERROR(__xludf.DUMMYFUNCTION("""COMPUTED_VALUE"""),"17YOM shot in the parking lot of the school after a basketball game by a 20YOM. Police were assigned to the game and quickly arrested the shooter.")</f>
        <v>17YOM shot in the parking lot of the school after a basketball game by a 20YOM. Police were assigned to the game and quickly arrested the shooter.</v>
      </c>
      <c r="AA2239" s="8" t="str">
        <f ca="1">IFERROR(__xludf.DUMMYFUNCTION("""COMPUTED_VALUE"""),"Escalation of Dispute")</f>
        <v>Escalation of Dispute</v>
      </c>
      <c r="AB2239" s="8"/>
      <c r="AC2239" s="8" t="str">
        <f ca="1">IFERROR(__xludf.DUMMYFUNCTION("""COMPUTED_VALUE"""),"Yes")</f>
        <v>Yes</v>
      </c>
      <c r="AD2239" s="8" t="str">
        <f ca="1">IFERROR(__xludf.DUMMYFUNCTION("""COMPUTED_VALUE"""),"Victims Targeted")</f>
        <v>Victims Targeted</v>
      </c>
      <c r="AE2239" s="8" t="str">
        <f ca="1">IFERROR(__xludf.DUMMYFUNCTION("""COMPUTED_VALUE"""),"No")</f>
        <v>No</v>
      </c>
      <c r="AF2239" s="8"/>
      <c r="AG2239" s="8" t="str">
        <f ca="1">IFERROR(__xludf.DUMMYFUNCTION("""COMPUTED_VALUE"""),"No")</f>
        <v>No</v>
      </c>
      <c r="AH2239" s="8" t="str">
        <f ca="1">IFERROR(__xludf.DUMMYFUNCTION("""COMPUTED_VALUE"""),"No")</f>
        <v>No</v>
      </c>
      <c r="AI2239" s="8" t="str">
        <f ca="1">IFERROR(__xludf.DUMMYFUNCTION("""COMPUTED_VALUE"""),"No")</f>
        <v>No</v>
      </c>
      <c r="AJ2239" s="8" t="str">
        <f ca="1">IFERROR(__xludf.DUMMYFUNCTION("""COMPUTED_VALUE"""),"No")</f>
        <v>No</v>
      </c>
      <c r="AK2239" s="8" t="str">
        <f ca="1">IFERROR(__xludf.DUMMYFUNCTION("""COMPUTED_VALUE"""),"No")</f>
        <v>No</v>
      </c>
      <c r="AL2239" s="8"/>
      <c r="AM2239" s="8"/>
      <c r="AN2239" s="8"/>
      <c r="AO2239" s="8" t="str">
        <f ca="1">IFERROR(__xludf.DUMMYFUNCTION("""COMPUTED_VALUE"""),"No")</f>
        <v>No</v>
      </c>
      <c r="AP2239" s="8"/>
      <c r="AQ2239" s="8" t="str">
        <f ca="1">IFERROR(__xludf.DUMMYFUNCTION("""COMPUTED_VALUE"""),"Unknown")</f>
        <v>Unknown</v>
      </c>
      <c r="AR2239" s="8" t="str">
        <f ca="1">IFERROR(__xludf.DUMMYFUNCTION("""COMPUTED_VALUE"""),"NA")</f>
        <v>NA</v>
      </c>
      <c r="AS2239" s="8"/>
      <c r="AT2239" s="8"/>
      <c r="AU2239" s="8">
        <f ca="1">IFERROR(__xludf.DUMMYFUNCTION("""COMPUTED_VALUE"""),33.703836)</f>
        <v>33.703836000000003</v>
      </c>
      <c r="AV2239" s="8">
        <f ca="1">IFERROR(__xludf.DUMMYFUNCTION("""COMPUTED_VALUE"""),-86.668616)</f>
        <v>-86.668616</v>
      </c>
      <c r="AW2239" s="8"/>
      <c r="AX2239" s="8">
        <f ca="1">IFERROR(__xludf.DUMMYFUNCTION("""COMPUTED_VALUE"""),35126)</f>
        <v>35126</v>
      </c>
    </row>
    <row r="2240" spans="1:50" ht="60" x14ac:dyDescent="0.2">
      <c r="A2240" s="8" t="str">
        <f ca="1">IFERROR(__xludf.DUMMYFUNCTION("""COMPUTED_VALUE"""),"20060111WIMAM")</f>
        <v>20060111WIMAM</v>
      </c>
      <c r="B2240" s="8">
        <f ca="1">IFERROR(__xludf.DUMMYFUNCTION("""COMPUTED_VALUE"""),1)</f>
        <v>1</v>
      </c>
      <c r="C2240" s="8">
        <f ca="1">IFERROR(__xludf.DUMMYFUNCTION("""COMPUTED_VALUE"""),11)</f>
        <v>11</v>
      </c>
      <c r="D2240" s="8">
        <f ca="1">IFERROR(__xludf.DUMMYFUNCTION("""COMPUTED_VALUE"""),2006)</f>
        <v>2006</v>
      </c>
      <c r="E2240" s="9">
        <f ca="1">IFERROR(__xludf.DUMMYFUNCTION("""COMPUTED_VALUE"""),38728)</f>
        <v>38728</v>
      </c>
      <c r="F2240" s="8" t="str">
        <f ca="1">IFERROR(__xludf.DUMMYFUNCTION("""COMPUTED_VALUE"""),"Mary McLeod Bethune Academy")</f>
        <v>Mary McLeod Bethune Academy</v>
      </c>
      <c r="G2240" s="8">
        <f ca="1">IFERROR(__xludf.DUMMYFUNCTION("""COMPUTED_VALUE"""),0)</f>
        <v>0</v>
      </c>
      <c r="H2240" s="8">
        <f ca="1">IFERROR(__xludf.DUMMYFUNCTION("""COMPUTED_VALUE"""),1)</f>
        <v>1</v>
      </c>
      <c r="I2240" s="8">
        <f ca="1">IFERROR(__xludf.DUMMYFUNCTION("""COMPUTED_VALUE"""),1)</f>
        <v>1</v>
      </c>
      <c r="J2240" s="8">
        <f ca="1">IFERROR(__xludf.DUMMYFUNCTION("""COMPUTED_VALUE"""),0)</f>
        <v>0</v>
      </c>
      <c r="K2240" s="10" t="str">
        <f ca="1">IFERROR(__xludf.DUMMYFUNCTION("""COMPUTED_VALUE"""),"https://www.newspapers.com/image/343443050/?terms=girl%2Bshot%2Bschool%2Bplayground")</f>
        <v>https://www.newspapers.com/image/343443050/?terms=girl%2Bshot%2Bschool%2Bplayground</v>
      </c>
      <c r="L2240" s="8"/>
      <c r="M2240" s="8"/>
      <c r="N2240" s="8">
        <f ca="1">IFERROR(__xludf.DUMMYFUNCTION("""COMPUTED_VALUE"""),2)</f>
        <v>2</v>
      </c>
      <c r="O2240" s="8" t="str">
        <f ca="1">IFERROR(__xludf.DUMMYFUNCTION("""COMPUTED_VALUE"""),"Winter")</f>
        <v>Winter</v>
      </c>
      <c r="P2240" s="8" t="str">
        <f ca="1">IFERROR(__xludf.DUMMYFUNCTION("""COMPUTED_VALUE"""),"Milwaukee")</f>
        <v>Milwaukee</v>
      </c>
      <c r="Q2240" s="8" t="str">
        <f ca="1">IFERROR(__xludf.DUMMYFUNCTION("""COMPUTED_VALUE"""),"WI")</f>
        <v>WI</v>
      </c>
      <c r="R2240" s="8" t="str">
        <f ca="1">IFERROR(__xludf.DUMMYFUNCTION("""COMPUTED_VALUE"""),"K-8")</f>
        <v>K-8</v>
      </c>
      <c r="S2240" s="8" t="str">
        <f ca="1">IFERROR(__xludf.DUMMYFUNCTION("""COMPUTED_VALUE"""),"Playground")</f>
        <v>Playground</v>
      </c>
      <c r="T2240" s="8" t="str">
        <f ca="1">IFERROR(__xludf.DUMMYFUNCTION("""COMPUTED_VALUE"""),"Outside on School Property")</f>
        <v>Outside on School Property</v>
      </c>
      <c r="U2240" s="8" t="str">
        <f ca="1">IFERROR(__xludf.DUMMYFUNCTION("""COMPUTED_VALUE"""),"Yes")</f>
        <v>Yes</v>
      </c>
      <c r="V2240" s="8" t="str">
        <f ca="1">IFERROR(__xludf.DUMMYFUNCTION("""COMPUTED_VALUE"""),"Lunch")</f>
        <v>Lunch</v>
      </c>
      <c r="W2240" s="11">
        <f ca="1">IFERROR(__xludf.DUMMYFUNCTION("""COMPUTED_VALUE"""),0.520833333333333)</f>
        <v>0.52083333333333304</v>
      </c>
      <c r="X2240" s="8">
        <f ca="1">IFERROR(__xludf.DUMMYFUNCTION("""COMPUTED_VALUE"""),1)</f>
        <v>1</v>
      </c>
      <c r="Y2240" s="12" t="str">
        <f ca="1">IFERROR(__xludf.DUMMYFUNCTION("""COMPUTED_VALUE"""),"Nearby gunfire struck student on school playground (not targeted)")</f>
        <v>Nearby gunfire struck student on school playground (not targeted)</v>
      </c>
      <c r="Z2240" s="12" t="str">
        <f ca="1">IFERROR(__xludf.DUMMYFUNCTION("""COMPUTED_VALUE"""),"Nearby gunfire struck student on playground. Police determined she was not targeted. No shooter identified.")</f>
        <v>Nearby gunfire struck student on playground. Police determined she was not targeted. No shooter identified.</v>
      </c>
      <c r="AA2240" s="8" t="str">
        <f ca="1">IFERROR(__xludf.DUMMYFUNCTION("""COMPUTED_VALUE"""),"Accidental")</f>
        <v>Accidental</v>
      </c>
      <c r="AB2240" s="8"/>
      <c r="AC2240" s="8" t="str">
        <f ca="1">IFERROR(__xludf.DUMMYFUNCTION("""COMPUTED_VALUE"""),"Yes")</f>
        <v>Yes</v>
      </c>
      <c r="AD2240" s="8" t="str">
        <f ca="1">IFERROR(__xludf.DUMMYFUNCTION("""COMPUTED_VALUE"""),"Random Shooting")</f>
        <v>Random Shooting</v>
      </c>
      <c r="AE2240" s="8" t="str">
        <f ca="1">IFERROR(__xludf.DUMMYFUNCTION("""COMPUTED_VALUE"""),"Unknown")</f>
        <v>Unknown</v>
      </c>
      <c r="AF2240" s="8"/>
      <c r="AG2240" s="8" t="str">
        <f ca="1">IFERROR(__xludf.DUMMYFUNCTION("""COMPUTED_VALUE"""),"No")</f>
        <v>No</v>
      </c>
      <c r="AH2240" s="8" t="str">
        <f ca="1">IFERROR(__xludf.DUMMYFUNCTION("""COMPUTED_VALUE"""),"No")</f>
        <v>No</v>
      </c>
      <c r="AI2240" s="8" t="str">
        <f ca="1">IFERROR(__xludf.DUMMYFUNCTION("""COMPUTED_VALUE"""),"No")</f>
        <v>No</v>
      </c>
      <c r="AJ2240" s="8" t="str">
        <f ca="1">IFERROR(__xludf.DUMMYFUNCTION("""COMPUTED_VALUE"""),"No")</f>
        <v>No</v>
      </c>
      <c r="AK2240" s="8" t="str">
        <f ca="1">IFERROR(__xludf.DUMMYFUNCTION("""COMPUTED_VALUE"""),"No")</f>
        <v>No</v>
      </c>
      <c r="AL2240" s="8" t="str">
        <f ca="1">IFERROR(__xludf.DUMMYFUNCTION("""COMPUTED_VALUE"""),"No")</f>
        <v>No</v>
      </c>
      <c r="AM2240" s="8"/>
      <c r="AN2240" s="8"/>
      <c r="AO2240" s="8" t="str">
        <f ca="1">IFERROR(__xludf.DUMMYFUNCTION("""COMPUTED_VALUE"""),"No")</f>
        <v>No</v>
      </c>
      <c r="AP2240" s="8" t="str">
        <f ca="1">IFERROR(__xludf.DUMMYFUNCTION("""COMPUTED_VALUE"""),"No")</f>
        <v>No</v>
      </c>
      <c r="AQ2240" s="8" t="str">
        <f ca="1">IFERROR(__xludf.DUMMYFUNCTION("""COMPUTED_VALUE"""),"Unknown")</f>
        <v>Unknown</v>
      </c>
      <c r="AR2240" s="8" t="str">
        <f ca="1">IFERROR(__xludf.DUMMYFUNCTION("""COMPUTED_VALUE"""),"NA")</f>
        <v>NA</v>
      </c>
      <c r="AS2240" s="8"/>
      <c r="AT2240" s="8"/>
      <c r="AU2240" s="8">
        <f ca="1">IFERROR(__xludf.DUMMYFUNCTION("""COMPUTED_VALUE"""),43.050797)</f>
        <v>43.050797000000003</v>
      </c>
      <c r="AV2240" s="8">
        <f ca="1">IFERROR(__xludf.DUMMYFUNCTION("""COMPUTED_VALUE"""),-87.958052)</f>
        <v>-87.958051999999995</v>
      </c>
      <c r="AW2240" s="8"/>
      <c r="AX2240" s="8">
        <f ca="1">IFERROR(__xludf.DUMMYFUNCTION("""COMPUTED_VALUE"""),53208)</f>
        <v>53208</v>
      </c>
    </row>
    <row r="2241" spans="1:50" ht="60" x14ac:dyDescent="0.2">
      <c r="A2241" s="8" t="str">
        <f ca="1">IFERROR(__xludf.DUMMYFUNCTION("""COMPUTED_VALUE"""),"20060110DEMOW")</f>
        <v>20060110DEMOW</v>
      </c>
      <c r="B2241" s="8">
        <f ca="1">IFERROR(__xludf.DUMMYFUNCTION("""COMPUTED_VALUE"""),1)</f>
        <v>1</v>
      </c>
      <c r="C2241" s="8">
        <f ca="1">IFERROR(__xludf.DUMMYFUNCTION("""COMPUTED_VALUE"""),10)</f>
        <v>10</v>
      </c>
      <c r="D2241" s="8">
        <f ca="1">IFERROR(__xludf.DUMMYFUNCTION("""COMPUTED_VALUE"""),2006)</f>
        <v>2006</v>
      </c>
      <c r="E2241" s="9">
        <f ca="1">IFERROR(__xludf.DUMMYFUNCTION("""COMPUTED_VALUE"""),38727)</f>
        <v>38727</v>
      </c>
      <c r="F2241" s="8" t="str">
        <f ca="1">IFERROR(__xludf.DUMMYFUNCTION("""COMPUTED_VALUE"""),"Mount Pleasant High School")</f>
        <v>Mount Pleasant High School</v>
      </c>
      <c r="G2241" s="8">
        <f ca="1">IFERROR(__xludf.DUMMYFUNCTION("""COMPUTED_VALUE"""),0)</f>
        <v>0</v>
      </c>
      <c r="H2241" s="8">
        <f ca="1">IFERROR(__xludf.DUMMYFUNCTION("""COMPUTED_VALUE"""),1)</f>
        <v>1</v>
      </c>
      <c r="I2241" s="8">
        <f ca="1">IFERROR(__xludf.DUMMYFUNCTION("""COMPUTED_VALUE"""),1)</f>
        <v>1</v>
      </c>
      <c r="J2241" s="8">
        <f ca="1">IFERROR(__xludf.DUMMYFUNCTION("""COMPUTED_VALUE"""),0)</f>
        <v>0</v>
      </c>
      <c r="K2241" s="10" t="str">
        <f ca="1">IFERROR(__xludf.DUMMYFUNCTION("""COMPUTED_VALUE"""),"https://www.newspapers.com/image/164693932/?terms=Mount%2BPleasant%2BHigh%2BSchool%2Bshooting")</f>
        <v>https://www.newspapers.com/image/164693932/?terms=Mount%2BPleasant%2BHigh%2BSchool%2Bshooting</v>
      </c>
      <c r="L2241" s="8"/>
      <c r="M2241" s="8"/>
      <c r="N2241" s="8">
        <f ca="1">IFERROR(__xludf.DUMMYFUNCTION("""COMPUTED_VALUE"""),2)</f>
        <v>2</v>
      </c>
      <c r="O2241" s="8" t="str">
        <f ca="1">IFERROR(__xludf.DUMMYFUNCTION("""COMPUTED_VALUE"""),"Winter")</f>
        <v>Winter</v>
      </c>
      <c r="P2241" s="8" t="str">
        <f ca="1">IFERROR(__xludf.DUMMYFUNCTION("""COMPUTED_VALUE"""),"Wilmington")</f>
        <v>Wilmington</v>
      </c>
      <c r="Q2241" s="8" t="str">
        <f ca="1">IFERROR(__xludf.DUMMYFUNCTION("""COMPUTED_VALUE"""),"DE")</f>
        <v>DE</v>
      </c>
      <c r="R2241" s="8" t="str">
        <f ca="1">IFERROR(__xludf.DUMMYFUNCTION("""COMPUTED_VALUE"""),"High")</f>
        <v>High</v>
      </c>
      <c r="S2241" s="8" t="str">
        <f ca="1">IFERROR(__xludf.DUMMYFUNCTION("""COMPUTED_VALUE"""),"Basketball Court")</f>
        <v>Basketball Court</v>
      </c>
      <c r="T2241" s="8" t="str">
        <f ca="1">IFERROR(__xludf.DUMMYFUNCTION("""COMPUTED_VALUE"""),"Outside on School Property")</f>
        <v>Outside on School Property</v>
      </c>
      <c r="U2241" s="8" t="str">
        <f ca="1">IFERROR(__xludf.DUMMYFUNCTION("""COMPUTED_VALUE"""),"No")</f>
        <v>No</v>
      </c>
      <c r="V2241" s="8" t="str">
        <f ca="1">IFERROR(__xludf.DUMMYFUNCTION("""COMPUTED_VALUE"""),"Sport Event")</f>
        <v>Sport Event</v>
      </c>
      <c r="W2241" s="8"/>
      <c r="X2241" s="8">
        <f ca="1">IFERROR(__xludf.DUMMYFUNCTION("""COMPUTED_VALUE"""),1)</f>
        <v>1</v>
      </c>
      <c r="Y2241" s="12" t="str">
        <f ca="1">IFERROR(__xludf.DUMMYFUNCTION("""COMPUTED_VALUE"""),"16 year old victim shot in HS parking lot during fight with several students")</f>
        <v>16 year old victim shot in HS parking lot during fight with several students</v>
      </c>
      <c r="Z2241" s="12" t="str">
        <f ca="1">IFERROR(__xludf.DUMMYFUNCTION("""COMPUTED_VALUE"""),"Fight between several students in the parking lot during a basketball game. Related to prior fight. Shooter fled and was not identified.")</f>
        <v>Fight between several students in the parking lot during a basketball game. Related to prior fight. Shooter fled and was not identified.</v>
      </c>
      <c r="AA2241" s="8" t="str">
        <f ca="1">IFERROR(__xludf.DUMMYFUNCTION("""COMPUTED_VALUE"""),"Escalation of Dispute")</f>
        <v>Escalation of Dispute</v>
      </c>
      <c r="AB2241" s="8"/>
      <c r="AC2241" s="8" t="str">
        <f ca="1">IFERROR(__xludf.DUMMYFUNCTION("""COMPUTED_VALUE"""),"Yes")</f>
        <v>Yes</v>
      </c>
      <c r="AD2241" s="8" t="str">
        <f ca="1">IFERROR(__xludf.DUMMYFUNCTION("""COMPUTED_VALUE"""),"Victims Targeted")</f>
        <v>Victims Targeted</v>
      </c>
      <c r="AE2241" s="8" t="str">
        <f ca="1">IFERROR(__xludf.DUMMYFUNCTION("""COMPUTED_VALUE"""),"Unknown")</f>
        <v>Unknown</v>
      </c>
      <c r="AF2241" s="8"/>
      <c r="AG2241" s="8" t="str">
        <f ca="1">IFERROR(__xludf.DUMMYFUNCTION("""COMPUTED_VALUE"""),"No")</f>
        <v>No</v>
      </c>
      <c r="AH2241" s="8" t="str">
        <f ca="1">IFERROR(__xludf.DUMMYFUNCTION("""COMPUTED_VALUE"""),"No")</f>
        <v>No</v>
      </c>
      <c r="AI2241" s="8" t="str">
        <f ca="1">IFERROR(__xludf.DUMMYFUNCTION("""COMPUTED_VALUE"""),"No")</f>
        <v>No</v>
      </c>
      <c r="AJ2241" s="8" t="str">
        <f ca="1">IFERROR(__xludf.DUMMYFUNCTION("""COMPUTED_VALUE"""),"No")</f>
        <v>No</v>
      </c>
      <c r="AK2241" s="8" t="str">
        <f ca="1">IFERROR(__xludf.DUMMYFUNCTION("""COMPUTED_VALUE"""),"No")</f>
        <v>No</v>
      </c>
      <c r="AL2241" s="8" t="str">
        <f ca="1">IFERROR(__xludf.DUMMYFUNCTION("""COMPUTED_VALUE"""),"No")</f>
        <v>No</v>
      </c>
      <c r="AM2241" s="8"/>
      <c r="AN2241" s="8"/>
      <c r="AO2241" s="8" t="str">
        <f ca="1">IFERROR(__xludf.DUMMYFUNCTION("""COMPUTED_VALUE"""),"No")</f>
        <v>No</v>
      </c>
      <c r="AP2241" s="8"/>
      <c r="AQ2241" s="8" t="str">
        <f ca="1">IFERROR(__xludf.DUMMYFUNCTION("""COMPUTED_VALUE"""),"Unknown")</f>
        <v>Unknown</v>
      </c>
      <c r="AR2241" s="8" t="str">
        <f ca="1">IFERROR(__xludf.DUMMYFUNCTION("""COMPUTED_VALUE"""),"NA")</f>
        <v>NA</v>
      </c>
      <c r="AS2241" s="8"/>
      <c r="AT2241" s="8"/>
      <c r="AU2241" s="8">
        <f ca="1">IFERROR(__xludf.DUMMYFUNCTION("""COMPUTED_VALUE"""),39.773063)</f>
        <v>39.773063</v>
      </c>
      <c r="AV2241" s="8">
        <f ca="1">IFERROR(__xludf.DUMMYFUNCTION("""COMPUTED_VALUE"""),-75.505021)</f>
        <v>-75.505020999999999</v>
      </c>
      <c r="AW2241" s="8"/>
      <c r="AX2241" s="8">
        <f ca="1">IFERROR(__xludf.DUMMYFUNCTION("""COMPUTED_VALUE"""),19809)</f>
        <v>19809</v>
      </c>
    </row>
    <row r="2242" spans="1:50" ht="75" x14ac:dyDescent="0.2">
      <c r="A2242" s="8" t="str">
        <f ca="1">IFERROR(__xludf.DUMMYFUNCTION("""COMPUTED_VALUE"""),"20060103NJLIJ")</f>
        <v>20060103NJLIJ</v>
      </c>
      <c r="B2242" s="8">
        <f ca="1">IFERROR(__xludf.DUMMYFUNCTION("""COMPUTED_VALUE"""),1)</f>
        <v>1</v>
      </c>
      <c r="C2242" s="8">
        <f ca="1">IFERROR(__xludf.DUMMYFUNCTION("""COMPUTED_VALUE"""),3)</f>
        <v>3</v>
      </c>
      <c r="D2242" s="8">
        <f ca="1">IFERROR(__xludf.DUMMYFUNCTION("""COMPUTED_VALUE"""),2006)</f>
        <v>2006</v>
      </c>
      <c r="E2242" s="9">
        <f ca="1">IFERROR(__xludf.DUMMYFUNCTION("""COMPUTED_VALUE"""),38720)</f>
        <v>38720</v>
      </c>
      <c r="F2242" s="8" t="str">
        <f ca="1">IFERROR(__xludf.DUMMYFUNCTION("""COMPUTED_VALUE"""),"Lincoln High School")</f>
        <v>Lincoln High School</v>
      </c>
      <c r="G2242" s="8">
        <f ca="1">IFERROR(__xludf.DUMMYFUNCTION("""COMPUTED_VALUE"""),0)</f>
        <v>0</v>
      </c>
      <c r="H2242" s="8">
        <f ca="1">IFERROR(__xludf.DUMMYFUNCTION("""COMPUTED_VALUE"""),2)</f>
        <v>2</v>
      </c>
      <c r="I2242" s="8">
        <f ca="1">IFERROR(__xludf.DUMMYFUNCTION("""COMPUTED_VALUE"""),2)</f>
        <v>2</v>
      </c>
      <c r="J2242" s="8">
        <f ca="1">IFERROR(__xludf.DUMMYFUNCTION("""COMPUTED_VALUE"""),0)</f>
        <v>0</v>
      </c>
      <c r="K2242" s="10" t="str">
        <f ca="1">IFERROR(__xludf.DUMMYFUNCTION("""COMPUTED_VALUE"""),"https://www.nytimes.com/2006/01/05/nyregion/gangs-tied-to-violence-near-jersey-city-school.html")</f>
        <v>https://www.nytimes.com/2006/01/05/nyregion/gangs-tied-to-violence-near-jersey-city-school.html</v>
      </c>
      <c r="L2242" s="8"/>
      <c r="M2242" s="8"/>
      <c r="N2242" s="8">
        <f ca="1">IFERROR(__xludf.DUMMYFUNCTION("""COMPUTED_VALUE"""),2)</f>
        <v>2</v>
      </c>
      <c r="O2242" s="8" t="str">
        <f ca="1">IFERROR(__xludf.DUMMYFUNCTION("""COMPUTED_VALUE"""),"Winter")</f>
        <v>Winter</v>
      </c>
      <c r="P2242" s="8" t="str">
        <f ca="1">IFERROR(__xludf.DUMMYFUNCTION("""COMPUTED_VALUE"""),"Jersey City")</f>
        <v>Jersey City</v>
      </c>
      <c r="Q2242" s="8" t="str">
        <f ca="1">IFERROR(__xludf.DUMMYFUNCTION("""COMPUTED_VALUE"""),"NJ")</f>
        <v>NJ</v>
      </c>
      <c r="R2242" s="8" t="str">
        <f ca="1">IFERROR(__xludf.DUMMYFUNCTION("""COMPUTED_VALUE"""),"High")</f>
        <v>High</v>
      </c>
      <c r="S2242" s="8" t="str">
        <f ca="1">IFERROR(__xludf.DUMMYFUNCTION("""COMPUTED_VALUE"""),"Beside Building")</f>
        <v>Beside Building</v>
      </c>
      <c r="T2242" s="8" t="str">
        <f ca="1">IFERROR(__xludf.DUMMYFUNCTION("""COMPUTED_VALUE"""),"Outside on School Property")</f>
        <v>Outside on School Property</v>
      </c>
      <c r="U2242" s="8" t="str">
        <f ca="1">IFERROR(__xludf.DUMMYFUNCTION("""COMPUTED_VALUE"""),"Yes")</f>
        <v>Yes</v>
      </c>
      <c r="V2242" s="8" t="str">
        <f ca="1">IFERROR(__xludf.DUMMYFUNCTION("""COMPUTED_VALUE"""),"Dismissal")</f>
        <v>Dismissal</v>
      </c>
      <c r="W2242" s="11">
        <f ca="1">IFERROR(__xludf.DUMMYFUNCTION("""COMPUTED_VALUE"""),0.638888888888888)</f>
        <v>0.63888888888888795</v>
      </c>
      <c r="X2242" s="8">
        <f ca="1">IFERROR(__xludf.DUMMYFUNCTION("""COMPUTED_VALUE"""),1)</f>
        <v>1</v>
      </c>
      <c r="Y2242" s="12" t="str">
        <f ca="1">IFERROR(__xludf.DUMMYFUNCTION("""COMPUTED_VALUE"""),"Shooting resulted from a large fight involving 40 students after school")</f>
        <v>Shooting resulted from a large fight involving 40 students after school</v>
      </c>
      <c r="Z2242" s="12" t="str">
        <f ca="1">IFERROR(__xludf.DUMMYFUNCTION("""COMPUTED_VALUE"""),"Group of 40 student involved in a fight outside of the school. Dispute between different gangs (neighborhood cliques). Two students were injured by gunshots from an unknown shooter in the group.")</f>
        <v>Group of 40 student involved in a fight outside of the school. Dispute between different gangs (neighborhood cliques). Two students were injured by gunshots from an unknown shooter in the group.</v>
      </c>
      <c r="AA2242" s="8" t="str">
        <f ca="1">IFERROR(__xludf.DUMMYFUNCTION("""COMPUTED_VALUE"""),"Escalation of Dispute")</f>
        <v>Escalation of Dispute</v>
      </c>
      <c r="AB2242" s="8"/>
      <c r="AC2242" s="8" t="str">
        <f ca="1">IFERROR(__xludf.DUMMYFUNCTION("""COMPUTED_VALUE"""),"Yes")</f>
        <v>Yes</v>
      </c>
      <c r="AD2242" s="8"/>
      <c r="AE2242" s="8" t="str">
        <f ca="1">IFERROR(__xludf.DUMMYFUNCTION("""COMPUTED_VALUE"""),"Unknown")</f>
        <v>Unknown</v>
      </c>
      <c r="AF2242" s="8"/>
      <c r="AG2242" s="8" t="str">
        <f ca="1">IFERROR(__xludf.DUMMYFUNCTION("""COMPUTED_VALUE"""),"No")</f>
        <v>No</v>
      </c>
      <c r="AH2242" s="8" t="str">
        <f ca="1">IFERROR(__xludf.DUMMYFUNCTION("""COMPUTED_VALUE"""),"No")</f>
        <v>No</v>
      </c>
      <c r="AI2242" s="8" t="str">
        <f ca="1">IFERROR(__xludf.DUMMYFUNCTION("""COMPUTED_VALUE"""),"No")</f>
        <v>No</v>
      </c>
      <c r="AJ2242" s="8" t="str">
        <f ca="1">IFERROR(__xludf.DUMMYFUNCTION("""COMPUTED_VALUE"""),"No")</f>
        <v>No</v>
      </c>
      <c r="AK2242" s="8" t="str">
        <f ca="1">IFERROR(__xludf.DUMMYFUNCTION("""COMPUTED_VALUE"""),"No")</f>
        <v>No</v>
      </c>
      <c r="AL2242" s="8" t="str">
        <f ca="1">IFERROR(__xludf.DUMMYFUNCTION("""COMPUTED_VALUE"""),"Yes")</f>
        <v>Yes</v>
      </c>
      <c r="AM2242" s="8"/>
      <c r="AN2242" s="8"/>
      <c r="AO2242" s="8" t="str">
        <f ca="1">IFERROR(__xludf.DUMMYFUNCTION("""COMPUTED_VALUE"""),"No")</f>
        <v>No</v>
      </c>
      <c r="AP2242" s="8"/>
      <c r="AQ2242" s="8" t="str">
        <f ca="1">IFERROR(__xludf.DUMMYFUNCTION("""COMPUTED_VALUE"""),"Unknown")</f>
        <v>Unknown</v>
      </c>
      <c r="AR2242" s="8" t="str">
        <f ca="1">IFERROR(__xludf.DUMMYFUNCTION("""COMPUTED_VALUE"""),"NA")</f>
        <v>NA</v>
      </c>
      <c r="AS2242" s="8"/>
      <c r="AT2242" s="8"/>
      <c r="AU2242" s="8">
        <f ca="1">IFERROR(__xludf.DUMMYFUNCTION("""COMPUTED_VALUE"""),40.717371)</f>
        <v>40.717371</v>
      </c>
      <c r="AV2242" s="8">
        <f ca="1">IFERROR(__xludf.DUMMYFUNCTION("""COMPUTED_VALUE"""),-74.070167)</f>
        <v>-74.070166999999998</v>
      </c>
      <c r="AW2242" s="8"/>
      <c r="AX2242" s="8">
        <f ca="1">IFERROR(__xludf.DUMMYFUNCTION("""COMPUTED_VALUE"""),7304)</f>
        <v>7304</v>
      </c>
    </row>
    <row r="2243" spans="1:50" ht="90" x14ac:dyDescent="0.2">
      <c r="A2243" s="8" t="str">
        <f ca="1">IFERROR(__xludf.DUMMYFUNCTION("""COMPUTED_VALUE"""),"20051206MICED")</f>
        <v>20051206MICED</v>
      </c>
      <c r="B2243" s="8">
        <f ca="1">IFERROR(__xludf.DUMMYFUNCTION("""COMPUTED_VALUE"""),12)</f>
        <v>12</v>
      </c>
      <c r="C2243" s="8">
        <f ca="1">IFERROR(__xludf.DUMMYFUNCTION("""COMPUTED_VALUE"""),6)</f>
        <v>6</v>
      </c>
      <c r="D2243" s="8">
        <f ca="1">IFERROR(__xludf.DUMMYFUNCTION("""COMPUTED_VALUE"""),2005)</f>
        <v>2005</v>
      </c>
      <c r="E2243" s="9">
        <f ca="1">IFERROR(__xludf.DUMMYFUNCTION("""COMPUTED_VALUE"""),38692)</f>
        <v>38692</v>
      </c>
      <c r="F2243" s="8" t="str">
        <f ca="1">IFERROR(__xludf.DUMMYFUNCTION("""COMPUTED_VALUE"""),"Central High School")</f>
        <v>Central High School</v>
      </c>
      <c r="G2243" s="8">
        <f ca="1">IFERROR(__xludf.DUMMYFUNCTION("""COMPUTED_VALUE"""),0)</f>
        <v>0</v>
      </c>
      <c r="H2243" s="8">
        <f ca="1">IFERROR(__xludf.DUMMYFUNCTION("""COMPUTED_VALUE"""),1)</f>
        <v>1</v>
      </c>
      <c r="I2243" s="8">
        <f ca="1">IFERROR(__xludf.DUMMYFUNCTION("""COMPUTED_VALUE"""),1)</f>
        <v>1</v>
      </c>
      <c r="J2243" s="8">
        <f ca="1">IFERROR(__xludf.DUMMYFUNCTION("""COMPUTED_VALUE"""),0)</f>
        <v>0</v>
      </c>
      <c r="K2243" s="8" t="str">
        <f ca="1">IFERROR(__xludf.DUMMYFUNCTION("""COMPUTED_VALUE"""),"https://patch.com/michigan/detroit/1999-these-mi-students-exposed-gun-violence-schools  https://www.columbine-angels.com/School_Violence_2005-2006.htm")</f>
        <v>https://patch.com/michigan/detroit/1999-these-mi-students-exposed-gun-violence-schools  https://www.columbine-angels.com/School_Violence_2005-2006.htm</v>
      </c>
      <c r="L2243" s="8"/>
      <c r="M2243" s="8"/>
      <c r="N2243" s="8">
        <f ca="1">IFERROR(__xludf.DUMMYFUNCTION("""COMPUTED_VALUE"""),1)</f>
        <v>1</v>
      </c>
      <c r="O2243" s="8" t="str">
        <f ca="1">IFERROR(__xludf.DUMMYFUNCTION("""COMPUTED_VALUE"""),"Winter")</f>
        <v>Winter</v>
      </c>
      <c r="P2243" s="8" t="str">
        <f ca="1">IFERROR(__xludf.DUMMYFUNCTION("""COMPUTED_VALUE"""),"Detroit")</f>
        <v>Detroit</v>
      </c>
      <c r="Q2243" s="8" t="str">
        <f ca="1">IFERROR(__xludf.DUMMYFUNCTION("""COMPUTED_VALUE"""),"MI")</f>
        <v>MI</v>
      </c>
      <c r="R2243" s="8" t="str">
        <f ca="1">IFERROR(__xludf.DUMMYFUNCTION("""COMPUTED_VALUE"""),"High")</f>
        <v>High</v>
      </c>
      <c r="S2243" s="8" t="str">
        <f ca="1">IFERROR(__xludf.DUMMYFUNCTION("""COMPUTED_VALUE"""),"Hallway")</f>
        <v>Hallway</v>
      </c>
      <c r="T2243" s="8" t="str">
        <f ca="1">IFERROR(__xludf.DUMMYFUNCTION("""COMPUTED_VALUE"""),"Inside School Building")</f>
        <v>Inside School Building</v>
      </c>
      <c r="U2243" s="8" t="str">
        <f ca="1">IFERROR(__xludf.DUMMYFUNCTION("""COMPUTED_VALUE"""),"Yes")</f>
        <v>Yes</v>
      </c>
      <c r="V2243" s="8" t="str">
        <f ca="1">IFERROR(__xludf.DUMMYFUNCTION("""COMPUTED_VALUE"""),"Afternoon Classes")</f>
        <v>Afternoon Classes</v>
      </c>
      <c r="W2243" s="11">
        <f ca="1">IFERROR(__xludf.DUMMYFUNCTION("""COMPUTED_VALUE"""),0.5625)</f>
        <v>0.5625</v>
      </c>
      <c r="X2243" s="8">
        <f ca="1">IFERROR(__xludf.DUMMYFUNCTION("""COMPUTED_VALUE"""),1)</f>
        <v>1</v>
      </c>
      <c r="Y2243" s="12" t="str">
        <f ca="1">IFERROR(__xludf.DUMMYFUNCTION("""COMPUTED_VALUE"""),"Two non-students shot after entering school")</f>
        <v>Two non-students shot after entering school</v>
      </c>
      <c r="Z2243" s="12" t="str">
        <f ca="1">IFERROR(__xludf.DUMMYFUNCTION("""COMPUTED_VALUE"""),"While the students were leaving the building for first dismissal, two non-students entered the building via a side door that students opened up for them. Unclear who fired shots and one of the non-students was shot.  Pepper spray was also discharged.  The"&amp;" wounded individual was taken to the hospital for treatment. Unknown shooter fled the scene.")</f>
        <v>While the students were leaving the building for first dismissal, two non-students entered the building via a side door that students opened up for them. Unclear who fired shots and one of the non-students was shot.  Pepper spray was also discharged.  The wounded individual was taken to the hospital for treatment. Unknown shooter fled the scene.</v>
      </c>
      <c r="AA2243" s="8" t="str">
        <f ca="1">IFERROR(__xludf.DUMMYFUNCTION("""COMPUTED_VALUE"""),"Escalation of Dispute")</f>
        <v>Escalation of Dispute</v>
      </c>
      <c r="AB2243" s="8"/>
      <c r="AC2243" s="8" t="str">
        <f ca="1">IFERROR(__xludf.DUMMYFUNCTION("""COMPUTED_VALUE"""),"Yes")</f>
        <v>Yes</v>
      </c>
      <c r="AD2243" s="8" t="str">
        <f ca="1">IFERROR(__xludf.DUMMYFUNCTION("""COMPUTED_VALUE"""),"Victims Targeted")</f>
        <v>Victims Targeted</v>
      </c>
      <c r="AE2243" s="8" t="str">
        <f ca="1">IFERROR(__xludf.DUMMYFUNCTION("""COMPUTED_VALUE"""),"No")</f>
        <v>No</v>
      </c>
      <c r="AF2243" s="8"/>
      <c r="AG2243" s="8" t="str">
        <f ca="1">IFERROR(__xludf.DUMMYFUNCTION("""COMPUTED_VALUE"""),"No")</f>
        <v>No</v>
      </c>
      <c r="AH2243" s="8" t="str">
        <f ca="1">IFERROR(__xludf.DUMMYFUNCTION("""COMPUTED_VALUE"""),"No")</f>
        <v>No</v>
      </c>
      <c r="AI2243" s="8" t="str">
        <f ca="1">IFERROR(__xludf.DUMMYFUNCTION("""COMPUTED_VALUE"""),"No")</f>
        <v>No</v>
      </c>
      <c r="AJ2243" s="8" t="str">
        <f ca="1">IFERROR(__xludf.DUMMYFUNCTION("""COMPUTED_VALUE"""),"No")</f>
        <v>No</v>
      </c>
      <c r="AK2243" s="8" t="str">
        <f ca="1">IFERROR(__xludf.DUMMYFUNCTION("""COMPUTED_VALUE"""),"No")</f>
        <v>No</v>
      </c>
      <c r="AL2243" s="8"/>
      <c r="AM2243" s="8"/>
      <c r="AN2243" s="8"/>
      <c r="AO2243" s="8" t="str">
        <f ca="1">IFERROR(__xludf.DUMMYFUNCTION("""COMPUTED_VALUE"""),"No")</f>
        <v>No</v>
      </c>
      <c r="AP2243" s="8" t="str">
        <f ca="1">IFERROR(__xludf.DUMMYFUNCTION("""COMPUTED_VALUE"""),"No")</f>
        <v>No</v>
      </c>
      <c r="AQ2243" s="8" t="str">
        <f ca="1">IFERROR(__xludf.DUMMYFUNCTION("""COMPUTED_VALUE"""),"Unknown")</f>
        <v>Unknown</v>
      </c>
      <c r="AR2243" s="8" t="str">
        <f ca="1">IFERROR(__xludf.DUMMYFUNCTION("""COMPUTED_VALUE"""),"NA")</f>
        <v>NA</v>
      </c>
      <c r="AS2243" s="8" t="str">
        <f ca="1">IFERROR(__xludf.DUMMYFUNCTION("""COMPUTED_VALUE"""),"&lt;10")</f>
        <v>&lt;10</v>
      </c>
      <c r="AT2243" s="8"/>
      <c r="AU2243" s="8">
        <f ca="1">IFERROR(__xludf.DUMMYFUNCTION("""COMPUTED_VALUE"""),42.383502)</f>
        <v>42.383502</v>
      </c>
      <c r="AV2243" s="8">
        <f ca="1">IFERROR(__xludf.DUMMYFUNCTION("""COMPUTED_VALUE"""),-83.112233)</f>
        <v>-83.112233000000003</v>
      </c>
      <c r="AW2243" s="8"/>
      <c r="AX2243" s="8">
        <f ca="1">IFERROR(__xludf.DUMMYFUNCTION("""COMPUTED_VALUE"""),48206)</f>
        <v>48206</v>
      </c>
    </row>
    <row r="2244" spans="1:50" ht="45" x14ac:dyDescent="0.2">
      <c r="A2244" s="8" t="str">
        <f ca="1">IFERROR(__xludf.DUMMYFUNCTION("""COMPUTED_VALUE"""),"20051206CASAG")</f>
        <v>20051206CASAG</v>
      </c>
      <c r="B2244" s="8">
        <f ca="1">IFERROR(__xludf.DUMMYFUNCTION("""COMPUTED_VALUE"""),12)</f>
        <v>12</v>
      </c>
      <c r="C2244" s="8">
        <f ca="1">IFERROR(__xludf.DUMMYFUNCTION("""COMPUTED_VALUE"""),6)</f>
        <v>6</v>
      </c>
      <c r="D2244" s="8">
        <f ca="1">IFERROR(__xludf.DUMMYFUNCTION("""COMPUTED_VALUE"""),2005)</f>
        <v>2005</v>
      </c>
      <c r="E2244" s="9">
        <f ca="1">IFERROR(__xludf.DUMMYFUNCTION("""COMPUTED_VALUE"""),38692)</f>
        <v>38692</v>
      </c>
      <c r="F2244" s="8" t="str">
        <f ca="1">IFERROR(__xludf.DUMMYFUNCTION("""COMPUTED_VALUE"""),"Santiago High School")</f>
        <v>Santiago High School</v>
      </c>
      <c r="G2244" s="8">
        <f ca="1">IFERROR(__xludf.DUMMYFUNCTION("""COMPUTED_VALUE"""),1)</f>
        <v>1</v>
      </c>
      <c r="H2244" s="8">
        <f ca="1">IFERROR(__xludf.DUMMYFUNCTION("""COMPUTED_VALUE"""),0)</f>
        <v>0</v>
      </c>
      <c r="I2244" s="8">
        <f ca="1">IFERROR(__xludf.DUMMYFUNCTION("""COMPUTED_VALUE"""),1)</f>
        <v>1</v>
      </c>
      <c r="J2244" s="8">
        <f ca="1">IFERROR(__xludf.DUMMYFUNCTION("""COMPUTED_VALUE"""),0)</f>
        <v>0</v>
      </c>
      <c r="K2244" s="10" t="str">
        <f ca="1">IFERROR(__xludf.DUMMYFUNCTION("""COMPUTED_VALUE"""),"https://www.ocregister.com/2005/12/08/five-arrests-made-in-santiago-high-shooting-death/")</f>
        <v>https://www.ocregister.com/2005/12/08/five-arrests-made-in-santiago-high-shooting-death/</v>
      </c>
      <c r="L2244" s="8"/>
      <c r="M2244" s="8"/>
      <c r="N2244" s="8">
        <f ca="1">IFERROR(__xludf.DUMMYFUNCTION("""COMPUTED_VALUE"""),2)</f>
        <v>2</v>
      </c>
      <c r="O2244" s="8" t="str">
        <f ca="1">IFERROR(__xludf.DUMMYFUNCTION("""COMPUTED_VALUE"""),"Winter")</f>
        <v>Winter</v>
      </c>
      <c r="P2244" s="8" t="str">
        <f ca="1">IFERROR(__xludf.DUMMYFUNCTION("""COMPUTED_VALUE"""),"Garden Grove")</f>
        <v>Garden Grove</v>
      </c>
      <c r="Q2244" s="8" t="str">
        <f ca="1">IFERROR(__xludf.DUMMYFUNCTION("""COMPUTED_VALUE"""),"CA")</f>
        <v>CA</v>
      </c>
      <c r="R2244" s="8" t="str">
        <f ca="1">IFERROR(__xludf.DUMMYFUNCTION("""COMPUTED_VALUE"""),"High")</f>
        <v>High</v>
      </c>
      <c r="S2244" s="8" t="str">
        <f ca="1">IFERROR(__xludf.DUMMYFUNCTION("""COMPUTED_VALUE"""),"Football Field/Track")</f>
        <v>Football Field/Track</v>
      </c>
      <c r="T2244" s="8" t="str">
        <f ca="1">IFERROR(__xludf.DUMMYFUNCTION("""COMPUTED_VALUE"""),"Outside on School Property")</f>
        <v>Outside on School Property</v>
      </c>
      <c r="U2244" s="8" t="str">
        <f ca="1">IFERROR(__xludf.DUMMYFUNCTION("""COMPUTED_VALUE"""),"No")</f>
        <v>No</v>
      </c>
      <c r="V2244" s="8" t="str">
        <f ca="1">IFERROR(__xludf.DUMMYFUNCTION("""COMPUTED_VALUE"""),"After School")</f>
        <v>After School</v>
      </c>
      <c r="W2244" s="11">
        <f ca="1">IFERROR(__xludf.DUMMYFUNCTION("""COMPUTED_VALUE"""),0.625)</f>
        <v>0.625</v>
      </c>
      <c r="X2244" s="8">
        <f ca="1">IFERROR(__xludf.DUMMYFUNCTION("""COMPUTED_VALUE"""),1)</f>
        <v>1</v>
      </c>
      <c r="Y2244" s="12" t="str">
        <f ca="1">IFERROR(__xludf.DUMMYFUNCTION("""COMPUTED_VALUE"""),"Student killed by 5 members of rival gang")</f>
        <v>Student killed by 5 members of rival gang</v>
      </c>
      <c r="Z2244" s="12" t="str">
        <f ca="1">IFERROR(__xludf.DUMMYFUNCTION("""COMPUTED_VALUE"""),"16YOM was shot and killed by 5 members of a rival gang near the school athletic field. Shooter fled and 5 males were later arrested.")</f>
        <v>16YOM was shot and killed by 5 members of a rival gang near the school athletic field. Shooter fled and 5 males were later arrested.</v>
      </c>
      <c r="AA2244" s="8" t="str">
        <f ca="1">IFERROR(__xludf.DUMMYFUNCTION("""COMPUTED_VALUE"""),"Escalation of Dispute")</f>
        <v>Escalation of Dispute</v>
      </c>
      <c r="AB2244" s="8"/>
      <c r="AC2244" s="8" t="str">
        <f ca="1">IFERROR(__xludf.DUMMYFUNCTION("""COMPUTED_VALUE"""),"Yes")</f>
        <v>Yes</v>
      </c>
      <c r="AD2244" s="8" t="str">
        <f ca="1">IFERROR(__xludf.DUMMYFUNCTION("""COMPUTED_VALUE"""),"Victims Targeted")</f>
        <v>Victims Targeted</v>
      </c>
      <c r="AE2244" s="8" t="str">
        <f ca="1">IFERROR(__xludf.DUMMYFUNCTION("""COMPUTED_VALUE"""),"Yes")</f>
        <v>Yes</v>
      </c>
      <c r="AF2244" s="8" t="str">
        <f ca="1">IFERROR(__xludf.DUMMYFUNCTION("""COMPUTED_VALUE"""),"5 gang members arrested")</f>
        <v>5 gang members arrested</v>
      </c>
      <c r="AG2244" s="8" t="str">
        <f ca="1">IFERROR(__xludf.DUMMYFUNCTION("""COMPUTED_VALUE"""),"No")</f>
        <v>No</v>
      </c>
      <c r="AH2244" s="8" t="str">
        <f ca="1">IFERROR(__xludf.DUMMYFUNCTION("""COMPUTED_VALUE"""),"No")</f>
        <v>No</v>
      </c>
      <c r="AI2244" s="8" t="str">
        <f ca="1">IFERROR(__xludf.DUMMYFUNCTION("""COMPUTED_VALUE"""),"No")</f>
        <v>No</v>
      </c>
      <c r="AJ2244" s="8" t="str">
        <f ca="1">IFERROR(__xludf.DUMMYFUNCTION("""COMPUTED_VALUE"""),"No")</f>
        <v>No</v>
      </c>
      <c r="AK2244" s="8" t="str">
        <f ca="1">IFERROR(__xludf.DUMMYFUNCTION("""COMPUTED_VALUE"""),"No")</f>
        <v>No</v>
      </c>
      <c r="AL2244" s="8" t="str">
        <f ca="1">IFERROR(__xludf.DUMMYFUNCTION("""COMPUTED_VALUE"""),"Yes")</f>
        <v>Yes</v>
      </c>
      <c r="AM2244" s="8"/>
      <c r="AN2244" s="8"/>
      <c r="AO2244" s="8" t="str">
        <f ca="1">IFERROR(__xludf.DUMMYFUNCTION("""COMPUTED_VALUE"""),"No")</f>
        <v>No</v>
      </c>
      <c r="AP2244" s="8"/>
      <c r="AQ2244" s="8" t="str">
        <f ca="1">IFERROR(__xludf.DUMMYFUNCTION("""COMPUTED_VALUE"""),"Unknown")</f>
        <v>Unknown</v>
      </c>
      <c r="AR2244" s="8" t="str">
        <f ca="1">IFERROR(__xludf.DUMMYFUNCTION("""COMPUTED_VALUE"""),"NA")</f>
        <v>NA</v>
      </c>
      <c r="AS2244" s="8">
        <f ca="1">IFERROR(__xludf.DUMMYFUNCTION("""COMPUTED_VALUE"""),1)</f>
        <v>1</v>
      </c>
      <c r="AT2244" s="8"/>
      <c r="AU2244" s="8">
        <f ca="1">IFERROR(__xludf.DUMMYFUNCTION("""COMPUTED_VALUE"""),33.765602)</f>
        <v>33.765602000000001</v>
      </c>
      <c r="AV2244" s="8">
        <f ca="1">IFERROR(__xludf.DUMMYFUNCTION("""COMPUTED_VALUE"""),-117.913917)</f>
        <v>-117.913917</v>
      </c>
      <c r="AW2244" s="8"/>
      <c r="AX2244" s="8">
        <f ca="1">IFERROR(__xludf.DUMMYFUNCTION("""COMPUTED_VALUE"""),92843)</f>
        <v>92843</v>
      </c>
    </row>
    <row r="2245" spans="1:50" ht="45" x14ac:dyDescent="0.2">
      <c r="A2245" s="8" t="str">
        <f ca="1">IFERROR(__xludf.DUMMYFUNCTION("""COMPUTED_VALUE"""),"20051205MABOR")</f>
        <v>20051205MABOR</v>
      </c>
      <c r="B2245" s="8">
        <f ca="1">IFERROR(__xludf.DUMMYFUNCTION("""COMPUTED_VALUE"""),12)</f>
        <v>12</v>
      </c>
      <c r="C2245" s="8">
        <f ca="1">IFERROR(__xludf.DUMMYFUNCTION("""COMPUTED_VALUE"""),5)</f>
        <v>5</v>
      </c>
      <c r="D2245" s="8">
        <f ca="1">IFERROR(__xludf.DUMMYFUNCTION("""COMPUTED_VALUE"""),2005)</f>
        <v>2005</v>
      </c>
      <c r="E2245" s="9">
        <f ca="1">IFERROR(__xludf.DUMMYFUNCTION("""COMPUTED_VALUE"""),38691)</f>
        <v>38691</v>
      </c>
      <c r="F2245" s="8" t="str">
        <f ca="1">IFERROR(__xludf.DUMMYFUNCTION("""COMPUTED_VALUE"""),"Boston Day and Evening Academy (High School)")</f>
        <v>Boston Day and Evening Academy (High School)</v>
      </c>
      <c r="G2245" s="8">
        <f ca="1">IFERROR(__xludf.DUMMYFUNCTION("""COMPUTED_VALUE"""),0)</f>
        <v>0</v>
      </c>
      <c r="H2245" s="8">
        <f ca="1">IFERROR(__xludf.DUMMYFUNCTION("""COMPUTED_VALUE"""),0)</f>
        <v>0</v>
      </c>
      <c r="I2245" s="8">
        <f ca="1">IFERROR(__xludf.DUMMYFUNCTION("""COMPUTED_VALUE"""),0)</f>
        <v>0</v>
      </c>
      <c r="J2245" s="8">
        <f ca="1">IFERROR(__xludf.DUMMYFUNCTION("""COMPUTED_VALUE"""),0)</f>
        <v>0</v>
      </c>
      <c r="K2245" s="10" t="str">
        <f ca="1">IFERROR(__xludf.DUMMYFUNCTION("""COMPUTED_VALUE"""),"http://archive.boston.com/news/local/articles/2005/12/07/a_mattapan_teen_gets_stiff_bail_terms/")</f>
        <v>http://archive.boston.com/news/local/articles/2005/12/07/a_mattapan_teen_gets_stiff_bail_terms/</v>
      </c>
      <c r="L2245" s="8"/>
      <c r="M2245" s="8"/>
      <c r="N2245" s="8">
        <f ca="1">IFERROR(__xludf.DUMMYFUNCTION("""COMPUTED_VALUE"""),2)</f>
        <v>2</v>
      </c>
      <c r="O2245" s="8" t="str">
        <f ca="1">IFERROR(__xludf.DUMMYFUNCTION("""COMPUTED_VALUE"""),"Winter")</f>
        <v>Winter</v>
      </c>
      <c r="P2245" s="8" t="str">
        <f ca="1">IFERROR(__xludf.DUMMYFUNCTION("""COMPUTED_VALUE"""),"Roxbury")</f>
        <v>Roxbury</v>
      </c>
      <c r="Q2245" s="8" t="str">
        <f ca="1">IFERROR(__xludf.DUMMYFUNCTION("""COMPUTED_VALUE"""),"MA")</f>
        <v>MA</v>
      </c>
      <c r="R2245" s="8" t="str">
        <f ca="1">IFERROR(__xludf.DUMMYFUNCTION("""COMPUTED_VALUE"""),"High")</f>
        <v>High</v>
      </c>
      <c r="S2245" s="8" t="str">
        <f ca="1">IFERROR(__xludf.DUMMYFUNCTION("""COMPUTED_VALUE"""),"Bathroom")</f>
        <v>Bathroom</v>
      </c>
      <c r="T2245" s="8" t="str">
        <f ca="1">IFERROR(__xludf.DUMMYFUNCTION("""COMPUTED_VALUE"""),"Inside School Building")</f>
        <v>Inside School Building</v>
      </c>
      <c r="U2245" s="8" t="str">
        <f ca="1">IFERROR(__xludf.DUMMYFUNCTION("""COMPUTED_VALUE"""),"Yes")</f>
        <v>Yes</v>
      </c>
      <c r="V2245" s="8" t="str">
        <f ca="1">IFERROR(__xludf.DUMMYFUNCTION("""COMPUTED_VALUE"""),"Afternoon Classes")</f>
        <v>Afternoon Classes</v>
      </c>
      <c r="W2245" s="11">
        <f ca="1">IFERROR(__xludf.DUMMYFUNCTION("""COMPUTED_VALUE"""),0.597222222222222)</f>
        <v>0.59722222222222199</v>
      </c>
      <c r="X2245" s="8">
        <f ca="1">IFERROR(__xludf.DUMMYFUNCTION("""COMPUTED_VALUE"""),1)</f>
        <v>1</v>
      </c>
      <c r="Y2245" s="12" t="str">
        <f ca="1">IFERROR(__xludf.DUMMYFUNCTION("""COMPUTED_VALUE"""),"Fight in bathroom, fired shots and missed then fled")</f>
        <v>Fight in bathroom, fired shots and missed then fled</v>
      </c>
      <c r="Z2245" s="12" t="str">
        <f ca="1">IFERROR(__xludf.DUMMYFUNCTION("""COMPUTED_VALUE"""),"17YOM was involved in fight in the bathroom of the school. Fired shots that missed other students. Fled the scene and later turned himself in the police.")</f>
        <v>17YOM was involved in fight in the bathroom of the school. Fired shots that missed other students. Fled the scene and later turned himself in the police.</v>
      </c>
      <c r="AA2245" s="8" t="str">
        <f ca="1">IFERROR(__xludf.DUMMYFUNCTION("""COMPUTED_VALUE"""),"Escalation of Dispute")</f>
        <v>Escalation of Dispute</v>
      </c>
      <c r="AB2245" s="8"/>
      <c r="AC2245" s="8" t="str">
        <f ca="1">IFERROR(__xludf.DUMMYFUNCTION("""COMPUTED_VALUE"""),"Yes")</f>
        <v>Yes</v>
      </c>
      <c r="AD2245" s="8" t="str">
        <f ca="1">IFERROR(__xludf.DUMMYFUNCTION("""COMPUTED_VALUE"""),"Neither")</f>
        <v>Neither</v>
      </c>
      <c r="AE2245" s="8" t="str">
        <f ca="1">IFERROR(__xludf.DUMMYFUNCTION("""COMPUTED_VALUE"""),"No")</f>
        <v>No</v>
      </c>
      <c r="AF2245" s="8"/>
      <c r="AG2245" s="8" t="str">
        <f ca="1">IFERROR(__xludf.DUMMYFUNCTION("""COMPUTED_VALUE"""),"No")</f>
        <v>No</v>
      </c>
      <c r="AH2245" s="8" t="str">
        <f ca="1">IFERROR(__xludf.DUMMYFUNCTION("""COMPUTED_VALUE"""),"No")</f>
        <v>No</v>
      </c>
      <c r="AI2245" s="8" t="str">
        <f ca="1">IFERROR(__xludf.DUMMYFUNCTION("""COMPUTED_VALUE"""),"No")</f>
        <v>No</v>
      </c>
      <c r="AJ2245" s="8" t="str">
        <f ca="1">IFERROR(__xludf.DUMMYFUNCTION("""COMPUTED_VALUE"""),"No")</f>
        <v>No</v>
      </c>
      <c r="AK2245" s="8" t="str">
        <f ca="1">IFERROR(__xludf.DUMMYFUNCTION("""COMPUTED_VALUE"""),"No")</f>
        <v>No</v>
      </c>
      <c r="AL2245" s="8" t="str">
        <f ca="1">IFERROR(__xludf.DUMMYFUNCTION("""COMPUTED_VALUE"""),"No")</f>
        <v>No</v>
      </c>
      <c r="AM2245" s="8"/>
      <c r="AN2245" s="8"/>
      <c r="AO2245" s="8" t="str">
        <f ca="1">IFERROR(__xludf.DUMMYFUNCTION("""COMPUTED_VALUE"""),"No")</f>
        <v>No</v>
      </c>
      <c r="AP2245" s="8"/>
      <c r="AQ2245" s="8" t="str">
        <f ca="1">IFERROR(__xludf.DUMMYFUNCTION("""COMPUTED_VALUE"""),"Unknown")</f>
        <v>Unknown</v>
      </c>
      <c r="AR2245" s="8" t="str">
        <f ca="1">IFERROR(__xludf.DUMMYFUNCTION("""COMPUTED_VALUE"""),"NA")</f>
        <v>NA</v>
      </c>
      <c r="AS2245" s="8">
        <f ca="1">IFERROR(__xludf.DUMMYFUNCTION("""COMPUTED_VALUE"""),2)</f>
        <v>2</v>
      </c>
      <c r="AT2245" s="8"/>
      <c r="AU2245" s="8">
        <f ca="1">IFERROR(__xludf.DUMMYFUNCTION("""COMPUTED_VALUE"""),42.326875)</f>
        <v>42.326875000000001</v>
      </c>
      <c r="AV2245" s="8">
        <f ca="1">IFERROR(__xludf.DUMMYFUNCTION("""COMPUTED_VALUE"""),-71.081671)</f>
        <v>-71.081671</v>
      </c>
      <c r="AW2245" s="8"/>
      <c r="AX2245" s="8">
        <f ca="1">IFERROR(__xludf.DUMMYFUNCTION("""COMPUTED_VALUE"""),2119)</f>
        <v>2119</v>
      </c>
    </row>
    <row r="2246" spans="1:50" ht="45" x14ac:dyDescent="0.2">
      <c r="A2246" s="8" t="str">
        <f ca="1">IFERROR(__xludf.DUMMYFUNCTION("""COMPUTED_VALUE"""),"20051116TXIRS")</f>
        <v>20051116TXIRS</v>
      </c>
      <c r="B2246" s="8">
        <f ca="1">IFERROR(__xludf.DUMMYFUNCTION("""COMPUTED_VALUE"""),11)</f>
        <v>11</v>
      </c>
      <c r="C2246" s="8">
        <f ca="1">IFERROR(__xludf.DUMMYFUNCTION("""COMPUTED_VALUE"""),16)</f>
        <v>16</v>
      </c>
      <c r="D2246" s="8">
        <f ca="1">IFERROR(__xludf.DUMMYFUNCTION("""COMPUTED_VALUE"""),2005)</f>
        <v>2005</v>
      </c>
      <c r="E2246" s="9">
        <f ca="1">IFERROR(__xludf.DUMMYFUNCTION("""COMPUTED_VALUE"""),38672)</f>
        <v>38672</v>
      </c>
      <c r="F2246" s="8" t="str">
        <f ca="1">IFERROR(__xludf.DUMMYFUNCTION("""COMPUTED_VALUE"""),"Irving Middle School")</f>
        <v>Irving Middle School</v>
      </c>
      <c r="G2246" s="8">
        <f ca="1">IFERROR(__xludf.DUMMYFUNCTION("""COMPUTED_VALUE"""),1)</f>
        <v>1</v>
      </c>
      <c r="H2246" s="8">
        <f ca="1">IFERROR(__xludf.DUMMYFUNCTION("""COMPUTED_VALUE"""),0)</f>
        <v>0</v>
      </c>
      <c r="I2246" s="8">
        <f ca="1">IFERROR(__xludf.DUMMYFUNCTION("""COMPUTED_VALUE"""),1)</f>
        <v>1</v>
      </c>
      <c r="J2246" s="8">
        <f ca="1">IFERROR(__xludf.DUMMYFUNCTION("""COMPUTED_VALUE"""),0)</f>
        <v>0</v>
      </c>
      <c r="K2246" s="10" t="str">
        <f ca="1">IFERROR(__xludf.DUMMYFUNCTION("""COMPUTED_VALUE"""),"http://www.kxii.com/home/headlines/1978757.html")</f>
        <v>http://www.kxii.com/home/headlines/1978757.html</v>
      </c>
      <c r="L2246" s="8"/>
      <c r="M2246" s="8"/>
      <c r="N2246" s="8">
        <f ca="1">IFERROR(__xludf.DUMMYFUNCTION("""COMPUTED_VALUE"""),2)</f>
        <v>2</v>
      </c>
      <c r="O2246" s="8" t="str">
        <f ca="1">IFERROR(__xludf.DUMMYFUNCTION("""COMPUTED_VALUE"""),"Fall")</f>
        <v>Fall</v>
      </c>
      <c r="P2246" s="8" t="str">
        <f ca="1">IFERROR(__xludf.DUMMYFUNCTION("""COMPUTED_VALUE"""),"San Antonio")</f>
        <v>San Antonio</v>
      </c>
      <c r="Q2246" s="8" t="str">
        <f ca="1">IFERROR(__xludf.DUMMYFUNCTION("""COMPUTED_VALUE"""),"TX")</f>
        <v>TX</v>
      </c>
      <c r="R2246" s="8" t="str">
        <f ca="1">IFERROR(__xludf.DUMMYFUNCTION("""COMPUTED_VALUE"""),"Middle")</f>
        <v>Middle</v>
      </c>
      <c r="S2246" s="8" t="str">
        <f ca="1">IFERROR(__xludf.DUMMYFUNCTION("""COMPUTED_VALUE"""),"Parking Lot")</f>
        <v>Parking Lot</v>
      </c>
      <c r="T2246" s="8" t="str">
        <f ca="1">IFERROR(__xludf.DUMMYFUNCTION("""COMPUTED_VALUE"""),"Outside on School Property")</f>
        <v>Outside on School Property</v>
      </c>
      <c r="U2246" s="8" t="str">
        <f ca="1">IFERROR(__xludf.DUMMYFUNCTION("""COMPUTED_VALUE"""),"Yes")</f>
        <v>Yes</v>
      </c>
      <c r="V2246" s="8"/>
      <c r="W2246" s="8"/>
      <c r="X2246" s="8">
        <f ca="1">IFERROR(__xludf.DUMMYFUNCTION("""COMPUTED_VALUE"""),1)</f>
        <v>1</v>
      </c>
      <c r="Y2246" s="12" t="str">
        <f ca="1">IFERROR(__xludf.DUMMYFUNCTION("""COMPUTED_VALUE"""),"Officer killed burglary suspect in parking lot")</f>
        <v>Officer killed burglary suspect in parking lot</v>
      </c>
      <c r="Z2246" s="12" t="str">
        <f ca="1">IFERROR(__xludf.DUMMYFUNCTION("""COMPUTED_VALUE"""),"Officer shot and killed burglary suspect in school parking lot. School locked down.")</f>
        <v>Officer shot and killed burglary suspect in school parking lot. School locked down.</v>
      </c>
      <c r="AA2246" s="8" t="str">
        <f ca="1">IFERROR(__xludf.DUMMYFUNCTION("""COMPUTED_VALUE"""),"Illegal Activity")</f>
        <v>Illegal Activity</v>
      </c>
      <c r="AB2246" s="8"/>
      <c r="AC2246" s="8" t="str">
        <f ca="1">IFERROR(__xludf.DUMMYFUNCTION("""COMPUTED_VALUE"""),"Yes")</f>
        <v>Yes</v>
      </c>
      <c r="AD2246" s="8" t="str">
        <f ca="1">IFERROR(__xludf.DUMMYFUNCTION("""COMPUTED_VALUE"""),"Victims Targeted")</f>
        <v>Victims Targeted</v>
      </c>
      <c r="AE2246" s="8" t="str">
        <f ca="1">IFERROR(__xludf.DUMMYFUNCTION("""COMPUTED_VALUE"""),"No")</f>
        <v>No</v>
      </c>
      <c r="AF2246" s="8"/>
      <c r="AG2246" s="8" t="str">
        <f ca="1">IFERROR(__xludf.DUMMYFUNCTION("""COMPUTED_VALUE"""),"No")</f>
        <v>No</v>
      </c>
      <c r="AH2246" s="8" t="str">
        <f ca="1">IFERROR(__xludf.DUMMYFUNCTION("""COMPUTED_VALUE"""),"No")</f>
        <v>No</v>
      </c>
      <c r="AI2246" s="8" t="str">
        <f ca="1">IFERROR(__xludf.DUMMYFUNCTION("""COMPUTED_VALUE"""),"Yes")</f>
        <v>Yes</v>
      </c>
      <c r="AJ2246" s="8"/>
      <c r="AK2246" s="8"/>
      <c r="AL2246" s="8"/>
      <c r="AM2246" s="8"/>
      <c r="AN2246" s="8"/>
      <c r="AO2246" s="8"/>
      <c r="AP2246" s="8"/>
      <c r="AQ2246" s="8" t="str">
        <f ca="1">IFERROR(__xludf.DUMMYFUNCTION("""COMPUTED_VALUE"""),"Unknown")</f>
        <v>Unknown</v>
      </c>
      <c r="AR2246" s="8" t="str">
        <f ca="1">IFERROR(__xludf.DUMMYFUNCTION("""COMPUTED_VALUE"""),"NA")</f>
        <v>NA</v>
      </c>
      <c r="AS2246" s="8">
        <f ca="1">IFERROR(__xludf.DUMMYFUNCTION("""COMPUTED_VALUE"""),2)</f>
        <v>2</v>
      </c>
      <c r="AT2246" s="8"/>
      <c r="AU2246" s="8">
        <f ca="1">IFERROR(__xludf.DUMMYFUNCTION("""COMPUTED_VALUE"""),29.433654)</f>
        <v>29.433654000000001</v>
      </c>
      <c r="AV2246" s="8">
        <f ca="1">IFERROR(__xludf.DUMMYFUNCTION("""COMPUTED_VALUE"""),-98.524267)</f>
        <v>-98.524266999999995</v>
      </c>
      <c r="AW2246" s="8"/>
      <c r="AX2246" s="8">
        <f ca="1">IFERROR(__xludf.DUMMYFUNCTION("""COMPUTED_VALUE"""),78207)</f>
        <v>78207</v>
      </c>
    </row>
    <row r="2247" spans="1:50" ht="60" x14ac:dyDescent="0.2">
      <c r="A2247" s="8" t="str">
        <f ca="1">IFERROR(__xludf.DUMMYFUNCTION("""COMPUTED_VALUE"""),"20051115FLPAM")</f>
        <v>20051115FLPAM</v>
      </c>
      <c r="B2247" s="8">
        <f ca="1">IFERROR(__xludf.DUMMYFUNCTION("""COMPUTED_VALUE"""),11)</f>
        <v>11</v>
      </c>
      <c r="C2247" s="8">
        <f ca="1">IFERROR(__xludf.DUMMYFUNCTION("""COMPUTED_VALUE"""),15)</f>
        <v>15</v>
      </c>
      <c r="D2247" s="8">
        <f ca="1">IFERROR(__xludf.DUMMYFUNCTION("""COMPUTED_VALUE"""),2005)</f>
        <v>2005</v>
      </c>
      <c r="E2247" s="9">
        <f ca="1">IFERROR(__xludf.DUMMYFUNCTION("""COMPUTED_VALUE"""),38671)</f>
        <v>38671</v>
      </c>
      <c r="F2247" s="8" t="str">
        <f ca="1">IFERROR(__xludf.DUMMYFUNCTION("""COMPUTED_VALUE"""),"Parkway Academy Charter High School (bus)")</f>
        <v>Parkway Academy Charter High School (bus)</v>
      </c>
      <c r="G2247" s="8">
        <f ca="1">IFERROR(__xludf.DUMMYFUNCTION("""COMPUTED_VALUE"""),0)</f>
        <v>0</v>
      </c>
      <c r="H2247" s="8">
        <f ca="1">IFERROR(__xludf.DUMMYFUNCTION("""COMPUTED_VALUE"""),1)</f>
        <v>1</v>
      </c>
      <c r="I2247" s="8">
        <f ca="1">IFERROR(__xludf.DUMMYFUNCTION("""COMPUTED_VALUE"""),1)</f>
        <v>1</v>
      </c>
      <c r="J2247" s="8">
        <f ca="1">IFERROR(__xludf.DUMMYFUNCTION("""COMPUTED_VALUE"""),0)</f>
        <v>0</v>
      </c>
      <c r="K2247" s="10" t="str">
        <f ca="1">IFERROR(__xludf.DUMMYFUNCTION("""COMPUTED_VALUE"""),"http://www.cnn.com/2005/US/11/15/florida.shooting/index.html")</f>
        <v>http://www.cnn.com/2005/US/11/15/florida.shooting/index.html</v>
      </c>
      <c r="L2247" s="8"/>
      <c r="M2247" s="8"/>
      <c r="N2247" s="8">
        <f ca="1">IFERROR(__xludf.DUMMYFUNCTION("""COMPUTED_VALUE"""),2)</f>
        <v>2</v>
      </c>
      <c r="O2247" s="8" t="str">
        <f ca="1">IFERROR(__xludf.DUMMYFUNCTION("""COMPUTED_VALUE"""),"Fall")</f>
        <v>Fall</v>
      </c>
      <c r="P2247" s="8" t="str">
        <f ca="1">IFERROR(__xludf.DUMMYFUNCTION("""COMPUTED_VALUE"""),"Miramar")</f>
        <v>Miramar</v>
      </c>
      <c r="Q2247" s="8" t="str">
        <f ca="1">IFERROR(__xludf.DUMMYFUNCTION("""COMPUTED_VALUE"""),"FL")</f>
        <v>FL</v>
      </c>
      <c r="R2247" s="8" t="str">
        <f ca="1">IFERROR(__xludf.DUMMYFUNCTION("""COMPUTED_VALUE"""),"High")</f>
        <v>High</v>
      </c>
      <c r="S2247" s="8" t="str">
        <f ca="1">IFERROR(__xludf.DUMMYFUNCTION("""COMPUTED_VALUE"""),"School Bus")</f>
        <v>School Bus</v>
      </c>
      <c r="T2247" s="8" t="str">
        <f ca="1">IFERROR(__xludf.DUMMYFUNCTION("""COMPUTED_VALUE"""),"School Bus")</f>
        <v>School Bus</v>
      </c>
      <c r="U2247" s="8" t="str">
        <f ca="1">IFERROR(__xludf.DUMMYFUNCTION("""COMPUTED_VALUE"""),"Yes")</f>
        <v>Yes</v>
      </c>
      <c r="V2247" s="8" t="str">
        <f ca="1">IFERROR(__xludf.DUMMYFUNCTION("""COMPUTED_VALUE"""),"Before School")</f>
        <v>Before School</v>
      </c>
      <c r="W2247" s="11">
        <f ca="1">IFERROR(__xludf.DUMMYFUNCTION("""COMPUTED_VALUE"""),0.322916666666666)</f>
        <v>0.32291666666666602</v>
      </c>
      <c r="X2247" s="8">
        <f ca="1">IFERROR(__xludf.DUMMYFUNCTION("""COMPUTED_VALUE"""),1)</f>
        <v>1</v>
      </c>
      <c r="Y2247" s="12" t="str">
        <f ca="1">IFERROR(__xludf.DUMMYFUNCTION("""COMPUTED_VALUE"""),"Shooter shot victim on bus due to earlier confrontation")</f>
        <v>Shooter shot victim on bus due to earlier confrontation</v>
      </c>
      <c r="Z2247" s="12" t="str">
        <f ca="1">IFERROR(__xludf.DUMMYFUNCTION("""COMPUTED_VALUE"""),"Fight on a bus between 2 female students involved in ongoing conflict. 17YOF student shot another 17YOF student then fled the scene. She later turned herself in to police.")</f>
        <v>Fight on a bus between 2 female students involved in ongoing conflict. 17YOF student shot another 17YOF student then fled the scene. She later turned herself in to police.</v>
      </c>
      <c r="AA2247" s="8" t="str">
        <f ca="1">IFERROR(__xludf.DUMMYFUNCTION("""COMPUTED_VALUE"""),"Escalation of Dispute")</f>
        <v>Escalation of Dispute</v>
      </c>
      <c r="AB2247" s="8"/>
      <c r="AC2247" s="8"/>
      <c r="AD2247" s="8" t="str">
        <f ca="1">IFERROR(__xludf.DUMMYFUNCTION("""COMPUTED_VALUE"""),"Victims Targeted")</f>
        <v>Victims Targeted</v>
      </c>
      <c r="AE2247" s="8" t="str">
        <f ca="1">IFERROR(__xludf.DUMMYFUNCTION("""COMPUTED_VALUE"""),"No")</f>
        <v>No</v>
      </c>
      <c r="AF2247" s="8"/>
      <c r="AG2247" s="8" t="str">
        <f ca="1">IFERROR(__xludf.DUMMYFUNCTION("""COMPUTED_VALUE"""),"No")</f>
        <v>No</v>
      </c>
      <c r="AH2247" s="8" t="str">
        <f ca="1">IFERROR(__xludf.DUMMYFUNCTION("""COMPUTED_VALUE"""),"No")</f>
        <v>No</v>
      </c>
      <c r="AI2247" s="8" t="str">
        <f ca="1">IFERROR(__xludf.DUMMYFUNCTION("""COMPUTED_VALUE"""),"No")</f>
        <v>No</v>
      </c>
      <c r="AJ2247" s="8" t="str">
        <f ca="1">IFERROR(__xludf.DUMMYFUNCTION("""COMPUTED_VALUE"""),"No")</f>
        <v>No</v>
      </c>
      <c r="AK2247" s="8" t="str">
        <f ca="1">IFERROR(__xludf.DUMMYFUNCTION("""COMPUTED_VALUE"""),"No")</f>
        <v>No</v>
      </c>
      <c r="AL2247" s="8" t="str">
        <f ca="1">IFERROR(__xludf.DUMMYFUNCTION("""COMPUTED_VALUE"""),"No")</f>
        <v>No</v>
      </c>
      <c r="AM2247" s="8"/>
      <c r="AN2247" s="8"/>
      <c r="AO2247" s="8" t="str">
        <f ca="1">IFERROR(__xludf.DUMMYFUNCTION("""COMPUTED_VALUE"""),"No")</f>
        <v>No</v>
      </c>
      <c r="AP2247" s="8"/>
      <c r="AQ2247" s="8" t="str">
        <f ca="1">IFERROR(__xludf.DUMMYFUNCTION("""COMPUTED_VALUE"""),"Unknown")</f>
        <v>Unknown</v>
      </c>
      <c r="AR2247" s="8" t="str">
        <f ca="1">IFERROR(__xludf.DUMMYFUNCTION("""COMPUTED_VALUE"""),"NA")</f>
        <v>NA</v>
      </c>
      <c r="AS2247" s="8">
        <f ca="1">IFERROR(__xludf.DUMMYFUNCTION("""COMPUTED_VALUE"""),1)</f>
        <v>1</v>
      </c>
      <c r="AT2247" s="8"/>
      <c r="AU2247" s="8">
        <f ca="1">IFERROR(__xludf.DUMMYFUNCTION("""COMPUTED_VALUE"""),25.974048)</f>
        <v>25.974048</v>
      </c>
      <c r="AV2247" s="8">
        <f ca="1">IFERROR(__xludf.DUMMYFUNCTION("""COMPUTED_VALUE"""),-80.235983)</f>
        <v>-80.235983000000004</v>
      </c>
      <c r="AW2247" s="8"/>
      <c r="AX2247" s="8">
        <f ca="1">IFERROR(__xludf.DUMMYFUNCTION("""COMPUTED_VALUE"""),33023)</f>
        <v>33023</v>
      </c>
    </row>
    <row r="2248" spans="1:50" ht="135" x14ac:dyDescent="0.2">
      <c r="A2248" s="8" t="str">
        <f ca="1">IFERROR(__xludf.DUMMYFUNCTION("""COMPUTED_VALUE"""),"20051108TNCAJ")</f>
        <v>20051108TNCAJ</v>
      </c>
      <c r="B2248" s="8">
        <f ca="1">IFERROR(__xludf.DUMMYFUNCTION("""COMPUTED_VALUE"""),11)</f>
        <v>11</v>
      </c>
      <c r="C2248" s="8">
        <f ca="1">IFERROR(__xludf.DUMMYFUNCTION("""COMPUTED_VALUE"""),8)</f>
        <v>8</v>
      </c>
      <c r="D2248" s="8">
        <f ca="1">IFERROR(__xludf.DUMMYFUNCTION("""COMPUTED_VALUE"""),2005)</f>
        <v>2005</v>
      </c>
      <c r="E2248" s="9">
        <f ca="1">IFERROR(__xludf.DUMMYFUNCTION("""COMPUTED_VALUE"""),38664)</f>
        <v>38664</v>
      </c>
      <c r="F2248" s="8" t="str">
        <f ca="1">IFERROR(__xludf.DUMMYFUNCTION("""COMPUTED_VALUE"""),"Campbell County High School")</f>
        <v>Campbell County High School</v>
      </c>
      <c r="G2248" s="8">
        <f ca="1">IFERROR(__xludf.DUMMYFUNCTION("""COMPUTED_VALUE"""),1)</f>
        <v>1</v>
      </c>
      <c r="H2248" s="8">
        <f ca="1">IFERROR(__xludf.DUMMYFUNCTION("""COMPUTED_VALUE"""),2)</f>
        <v>2</v>
      </c>
      <c r="I2248" s="8">
        <f ca="1">IFERROR(__xludf.DUMMYFUNCTION("""COMPUTED_VALUE"""),3)</f>
        <v>3</v>
      </c>
      <c r="J2248" s="8">
        <f ca="1">IFERROR(__xludf.DUMMYFUNCTION("""COMPUTED_VALUE"""),0)</f>
        <v>0</v>
      </c>
      <c r="K2248" s="8" t="str">
        <f ca="1">IFERROR(__xludf.DUMMYFUNCTION("""COMPUTED_VALUE"""),"https://www.wate.com/news/top-stories/man-convicted-of-2005-shooting-at-campbell-county-high-school-now-arrested-for-assault-on-an-officer/ https://en.wikipedia.org/wiki/Campbell_County_High_School_shooting")</f>
        <v>https://www.wate.com/news/top-stories/man-convicted-of-2005-shooting-at-campbell-county-high-school-now-arrested-for-assault-on-an-officer/ https://en.wikipedia.org/wiki/Campbell_County_High_School_shooting</v>
      </c>
      <c r="L2248" s="8"/>
      <c r="M2248" s="8" t="str">
        <f ca="1">IFERROR(__xludf.DUMMYFUNCTION("""COMPUTED_VALUE"""),"National")</f>
        <v>National</v>
      </c>
      <c r="N2248" s="8">
        <f ca="1">IFERROR(__xludf.DUMMYFUNCTION("""COMPUTED_VALUE"""),5)</f>
        <v>5</v>
      </c>
      <c r="O2248" s="8" t="str">
        <f ca="1">IFERROR(__xludf.DUMMYFUNCTION("""COMPUTED_VALUE"""),"Fall")</f>
        <v>Fall</v>
      </c>
      <c r="P2248" s="8" t="str">
        <f ca="1">IFERROR(__xludf.DUMMYFUNCTION("""COMPUTED_VALUE"""),"Jacksboro")</f>
        <v>Jacksboro</v>
      </c>
      <c r="Q2248" s="8" t="str">
        <f ca="1">IFERROR(__xludf.DUMMYFUNCTION("""COMPUTED_VALUE"""),"TN")</f>
        <v>TN</v>
      </c>
      <c r="R2248" s="8" t="str">
        <f ca="1">IFERROR(__xludf.DUMMYFUNCTION("""COMPUTED_VALUE"""),"High")</f>
        <v>High</v>
      </c>
      <c r="S2248" s="8" t="str">
        <f ca="1">IFERROR(__xludf.DUMMYFUNCTION("""COMPUTED_VALUE"""),"Hallway")</f>
        <v>Hallway</v>
      </c>
      <c r="T2248" s="8" t="str">
        <f ca="1">IFERROR(__xludf.DUMMYFUNCTION("""COMPUTED_VALUE"""),"Inside School Building")</f>
        <v>Inside School Building</v>
      </c>
      <c r="U2248" s="8" t="str">
        <f ca="1">IFERROR(__xludf.DUMMYFUNCTION("""COMPUTED_VALUE"""),"Yes")</f>
        <v>Yes</v>
      </c>
      <c r="V2248" s="8" t="str">
        <f ca="1">IFERROR(__xludf.DUMMYFUNCTION("""COMPUTED_VALUE"""),"Afternoon Classes")</f>
        <v>Afternoon Classes</v>
      </c>
      <c r="W2248" s="11">
        <f ca="1">IFERROR(__xludf.DUMMYFUNCTION("""COMPUTED_VALUE"""),0.583333333333333)</f>
        <v>0.58333333333333304</v>
      </c>
      <c r="X2248" s="8">
        <f ca="1">IFERROR(__xludf.DUMMYFUNCTION("""COMPUTED_VALUE"""),1)</f>
        <v>1</v>
      </c>
      <c r="Y2248" s="12" t="str">
        <f ca="1">IFERROR(__xludf.DUMMYFUNCTION("""COMPUTED_VALUE"""),"Trading gun for RX drugs")</f>
        <v>Trading gun for RX drugs</v>
      </c>
      <c r="Z2248" s="12" t="str">
        <f ca="1">IFERROR(__xludf.DUMMYFUNCTION("""COMPUTED_VALUE"""),"Shooter stole a .22 handgun from his father and brought it to school to trade for RX drugs. A school administrator found out about the handgun and confronted the shooter. He shot at the principal and 2 other school employees then fled the scene. Shooter h"&amp;"ad snorted multiple xanax prior to the shooting. Shooter had been arrested previously for threatening his father with a firearm at his home and for a seperate assault. Shooter had history of drug and alcohol abuse.")</f>
        <v>Shooter stole a .22 handgun from his father and brought it to school to trade for RX drugs. A school administrator found out about the handgun and confronted the shooter. He shot at the principal and 2 other school employees then fled the scene. Shooter had snorted multiple xanax prior to the shooting. Shooter had been arrested previously for threatening his father with a firearm at his home and for a seperate assault. Shooter had history of drug and alcohol abuse.</v>
      </c>
      <c r="AA2248" s="8" t="str">
        <f ca="1">IFERROR(__xludf.DUMMYFUNCTION("""COMPUTED_VALUE"""),"Illegal Activity")</f>
        <v>Illegal Activity</v>
      </c>
      <c r="AB2248" s="8"/>
      <c r="AC2248" s="8"/>
      <c r="AD2248" s="8" t="str">
        <f ca="1">IFERROR(__xludf.DUMMYFUNCTION("""COMPUTED_VALUE"""),"Random Shooting")</f>
        <v>Random Shooting</v>
      </c>
      <c r="AE2248" s="8" t="str">
        <f ca="1">IFERROR(__xludf.DUMMYFUNCTION("""COMPUTED_VALUE"""),"No")</f>
        <v>No</v>
      </c>
      <c r="AF2248" s="8"/>
      <c r="AG2248" s="8" t="str">
        <f ca="1">IFERROR(__xludf.DUMMYFUNCTION("""COMPUTED_VALUE"""),"No")</f>
        <v>No</v>
      </c>
      <c r="AH2248" s="8" t="str">
        <f ca="1">IFERROR(__xludf.DUMMYFUNCTION("""COMPUTED_VALUE"""),"No")</f>
        <v>No</v>
      </c>
      <c r="AI2248" s="8" t="str">
        <f ca="1">IFERROR(__xludf.DUMMYFUNCTION("""COMPUTED_VALUE"""),"No")</f>
        <v>No</v>
      </c>
      <c r="AJ2248" s="8" t="str">
        <f ca="1">IFERROR(__xludf.DUMMYFUNCTION("""COMPUTED_VALUE"""),"No")</f>
        <v>No</v>
      </c>
      <c r="AK2248" s="8" t="str">
        <f ca="1">IFERROR(__xludf.DUMMYFUNCTION("""COMPUTED_VALUE"""),"No")</f>
        <v>No</v>
      </c>
      <c r="AL2248" s="8" t="str">
        <f ca="1">IFERROR(__xludf.DUMMYFUNCTION("""COMPUTED_VALUE"""),"No")</f>
        <v>No</v>
      </c>
      <c r="AM2248" s="8" t="str">
        <f ca="1">IFERROR(__xludf.DUMMYFUNCTION("""COMPUTED_VALUE"""),"Yes")</f>
        <v>Yes</v>
      </c>
      <c r="AN2248" s="8" t="str">
        <f ca="1">IFERROR(__xludf.DUMMYFUNCTION("""COMPUTED_VALUE"""),"Single Room")</f>
        <v>Single Room</v>
      </c>
      <c r="AO2248" s="8" t="str">
        <f ca="1">IFERROR(__xludf.DUMMYFUNCTION("""COMPUTED_VALUE"""),"No")</f>
        <v>No</v>
      </c>
      <c r="AP2248" s="8" t="str">
        <f ca="1">IFERROR(__xludf.DUMMYFUNCTION("""COMPUTED_VALUE"""),"No")</f>
        <v>No</v>
      </c>
      <c r="AQ2248" s="8" t="str">
        <f ca="1">IFERROR(__xludf.DUMMYFUNCTION("""COMPUTED_VALUE"""),"Unknown")</f>
        <v>Unknown</v>
      </c>
      <c r="AR2248" s="8" t="str">
        <f ca="1">IFERROR(__xludf.DUMMYFUNCTION("""COMPUTED_VALUE"""),"NA")</f>
        <v>NA</v>
      </c>
      <c r="AS2248" s="8"/>
      <c r="AT2248" s="8"/>
      <c r="AU2248" s="8">
        <f ca="1">IFERROR(__xludf.DUMMYFUNCTION("""COMPUTED_VALUE"""),36.35086)</f>
        <v>36.350859999999997</v>
      </c>
      <c r="AV2248" s="8">
        <f ca="1">IFERROR(__xludf.DUMMYFUNCTION("""COMPUTED_VALUE"""),-84.147683)</f>
        <v>-84.147683000000001</v>
      </c>
      <c r="AW2248" s="8"/>
      <c r="AX2248" s="8">
        <f ca="1">IFERROR(__xludf.DUMMYFUNCTION("""COMPUTED_VALUE"""),37757)</f>
        <v>37757</v>
      </c>
    </row>
    <row r="2249" spans="1:50" ht="210" x14ac:dyDescent="0.2">
      <c r="A2249" s="8" t="str">
        <f ca="1">IFERROR(__xludf.DUMMYFUNCTION("""COMPUTED_VALUE"""),"20051028NYFAF")</f>
        <v>20051028NYFAF</v>
      </c>
      <c r="B2249" s="8">
        <f ca="1">IFERROR(__xludf.DUMMYFUNCTION("""COMPUTED_VALUE"""),10)</f>
        <v>10</v>
      </c>
      <c r="C2249" s="8">
        <f ca="1">IFERROR(__xludf.DUMMYFUNCTION("""COMPUTED_VALUE"""),28)</f>
        <v>28</v>
      </c>
      <c r="D2249" s="8">
        <f ca="1">IFERROR(__xludf.DUMMYFUNCTION("""COMPUTED_VALUE"""),2005)</f>
        <v>2005</v>
      </c>
      <c r="E2249" s="9">
        <f ca="1">IFERROR(__xludf.DUMMYFUNCTION("""COMPUTED_VALUE"""),38653)</f>
        <v>38653</v>
      </c>
      <c r="F2249" s="8" t="str">
        <f ca="1">IFERROR(__xludf.DUMMYFUNCTION("""COMPUTED_VALUE"""),"Farmingdale High School")</f>
        <v>Farmingdale High School</v>
      </c>
      <c r="G2249" s="8">
        <f ca="1">IFERROR(__xludf.DUMMYFUNCTION("""COMPUTED_VALUE"""),0)</f>
        <v>0</v>
      </c>
      <c r="H2249" s="8">
        <f ca="1">IFERROR(__xludf.DUMMYFUNCTION("""COMPUTED_VALUE"""),0)</f>
        <v>0</v>
      </c>
      <c r="I2249" s="8">
        <f ca="1">IFERROR(__xludf.DUMMYFUNCTION("""COMPUTED_VALUE"""),0)</f>
        <v>0</v>
      </c>
      <c r="J2249" s="8">
        <f ca="1">IFERROR(__xludf.DUMMYFUNCTION("""COMPUTED_VALUE"""),0)</f>
        <v>0</v>
      </c>
      <c r="K2249" s="10" t="str">
        <f ca="1">IFERROR(__xludf.DUMMYFUNCTION("""COMPUTED_VALUE"""),"http://plainedgechat.proboards.com/thread/23")</f>
        <v>http://plainedgechat.proboards.com/thread/23</v>
      </c>
      <c r="L2249" s="8"/>
      <c r="M2249" s="8"/>
      <c r="N2249" s="8">
        <f ca="1">IFERROR(__xludf.DUMMYFUNCTION("""COMPUTED_VALUE"""),1)</f>
        <v>1</v>
      </c>
      <c r="O2249" s="8" t="str">
        <f ca="1">IFERROR(__xludf.DUMMYFUNCTION("""COMPUTED_VALUE"""),"Fall")</f>
        <v>Fall</v>
      </c>
      <c r="P2249" s="8" t="str">
        <f ca="1">IFERROR(__xludf.DUMMYFUNCTION("""COMPUTED_VALUE"""),"Farmingdale")</f>
        <v>Farmingdale</v>
      </c>
      <c r="Q2249" s="8" t="str">
        <f ca="1">IFERROR(__xludf.DUMMYFUNCTION("""COMPUTED_VALUE"""),"NY")</f>
        <v>NY</v>
      </c>
      <c r="R2249" s="8" t="str">
        <f ca="1">IFERROR(__xludf.DUMMYFUNCTION("""COMPUTED_VALUE"""),"High")</f>
        <v>High</v>
      </c>
      <c r="S2249" s="8" t="str">
        <f ca="1">IFERROR(__xludf.DUMMYFUNCTION("""COMPUTED_VALUE"""),"Front of School")</f>
        <v>Front of School</v>
      </c>
      <c r="T2249" s="8" t="str">
        <f ca="1">IFERROR(__xludf.DUMMYFUNCTION("""COMPUTED_VALUE"""),"Outside on School Property")</f>
        <v>Outside on School Property</v>
      </c>
      <c r="U2249" s="8" t="str">
        <f ca="1">IFERROR(__xludf.DUMMYFUNCTION("""COMPUTED_VALUE"""),"No")</f>
        <v>No</v>
      </c>
      <c r="V2249" s="8" t="str">
        <f ca="1">IFERROR(__xludf.DUMMYFUNCTION("""COMPUTED_VALUE"""),"School Event")</f>
        <v>School Event</v>
      </c>
      <c r="W2249" s="11">
        <f ca="1">IFERROR(__xludf.DUMMYFUNCTION("""COMPUTED_VALUE"""),0.822916666666666)</f>
        <v>0.82291666666666596</v>
      </c>
      <c r="X2249" s="8">
        <f ca="1">IFERROR(__xludf.DUMMYFUNCTION("""COMPUTED_VALUE"""),1)</f>
        <v>1</v>
      </c>
      <c r="Y2249" s="12" t="str">
        <f ca="1">IFERROR(__xludf.DUMMYFUNCTION("""COMPUTED_VALUE"""),"Group of teens fired multiple shots at school security guard following fight in parking lot")</f>
        <v>Group of teens fired multiple shots at school security guard following fight in parking lot</v>
      </c>
      <c r="Z2249" s="12" t="str">
        <f ca="1">IFERROR(__xludf.DUMMYFUNCTION("""COMPUTED_VALUE"""),"Nassau police are looking for a group of attackers who shot a security guard's car after he followed them from a South Farmingdale High School pep rally. No one was injured in the shooting that occurred Friday at about 7:45 p.m. near the intersection of L"&amp;"incoln Street and Intervale Avenue, police said. Shortly after the football pep rally, the guard drove up to the group after he saw them arguing with students. As the guard approached, the group split up, got into three cars and drove off campus. The guar"&amp;"d, whose name wasn't released, followed them until they stopped at the intersection. The guard told police that the attackers got out of their cars and ran toward him before he heard gunshots. He was uninjured. It remained unclear if the group of men were"&amp;" students.")</f>
        <v>Nassau police are looking for a group of attackers who shot a security guard's car after he followed them from a South Farmingdale High School pep rally. No one was injured in the shooting that occurred Friday at about 7:45 p.m. near the intersection of Lincoln Street and Intervale Avenue, police said. Shortly after the football pep rally, the guard drove up to the group after he saw them arguing with students. As the guard approached, the group split up, got into three cars and drove off campus. The guard, whose name wasn't released, followed them until they stopped at the intersection. The guard told police that the attackers got out of their cars and ran toward him before he heard gunshots. He was uninjured. It remained unclear if the group of men were students.</v>
      </c>
      <c r="AA2249" s="8" t="str">
        <f ca="1">IFERROR(__xludf.DUMMYFUNCTION("""COMPUTED_VALUE"""),"Escalation of Dispute")</f>
        <v>Escalation of Dispute</v>
      </c>
      <c r="AB2249" s="8"/>
      <c r="AC2249" s="8"/>
      <c r="AD2249" s="8" t="str">
        <f ca="1">IFERROR(__xludf.DUMMYFUNCTION("""COMPUTED_VALUE"""),"Victims Targeted")</f>
        <v>Victims Targeted</v>
      </c>
      <c r="AE2249" s="8" t="str">
        <f ca="1">IFERROR(__xludf.DUMMYFUNCTION("""COMPUTED_VALUE"""),"Yes")</f>
        <v>Yes</v>
      </c>
      <c r="AF2249" s="8" t="str">
        <f ca="1">IFERROR(__xludf.DUMMYFUNCTION("""COMPUTED_VALUE"""),"Multiple teens in car")</f>
        <v>Multiple teens in car</v>
      </c>
      <c r="AG2249" s="8" t="str">
        <f ca="1">IFERROR(__xludf.DUMMYFUNCTION("""COMPUTED_VALUE"""),"No")</f>
        <v>No</v>
      </c>
      <c r="AH2249" s="8" t="str">
        <f ca="1">IFERROR(__xludf.DUMMYFUNCTION("""COMPUTED_VALUE"""),"No")</f>
        <v>No</v>
      </c>
      <c r="AI2249" s="8" t="str">
        <f ca="1">IFERROR(__xludf.DUMMYFUNCTION("""COMPUTED_VALUE"""),"No")</f>
        <v>No</v>
      </c>
      <c r="AJ2249" s="8" t="str">
        <f ca="1">IFERROR(__xludf.DUMMYFUNCTION("""COMPUTED_VALUE"""),"No")</f>
        <v>No</v>
      </c>
      <c r="AK2249" s="8" t="str">
        <f ca="1">IFERROR(__xludf.DUMMYFUNCTION("""COMPUTED_VALUE"""),"No")</f>
        <v>No</v>
      </c>
      <c r="AL2249" s="8" t="str">
        <f ca="1">IFERROR(__xludf.DUMMYFUNCTION("""COMPUTED_VALUE"""),"No")</f>
        <v>No</v>
      </c>
      <c r="AM2249" s="8"/>
      <c r="AN2249" s="8"/>
      <c r="AO2249" s="8" t="str">
        <f ca="1">IFERROR(__xludf.DUMMYFUNCTION("""COMPUTED_VALUE"""),"No")</f>
        <v>No</v>
      </c>
      <c r="AP2249" s="8"/>
      <c r="AQ2249" s="8" t="str">
        <f ca="1">IFERROR(__xludf.DUMMYFUNCTION("""COMPUTED_VALUE"""),"Unknown")</f>
        <v>Unknown</v>
      </c>
      <c r="AR2249" s="8" t="str">
        <f ca="1">IFERROR(__xludf.DUMMYFUNCTION("""COMPUTED_VALUE"""),"NA")</f>
        <v>NA</v>
      </c>
      <c r="AS2249" s="8" t="str">
        <f ca="1">IFERROR(__xludf.DUMMYFUNCTION("""COMPUTED_VALUE"""),"&lt;10")</f>
        <v>&lt;10</v>
      </c>
      <c r="AT2249" s="8"/>
      <c r="AU2249" s="8">
        <f ca="1">IFERROR(__xludf.DUMMYFUNCTION("""COMPUTED_VALUE"""),40.707777)</f>
        <v>40.707777</v>
      </c>
      <c r="AV2249" s="8">
        <f ca="1">IFERROR(__xludf.DUMMYFUNCTION("""COMPUTED_VALUE"""),-73.444695)</f>
        <v>-73.444694999999996</v>
      </c>
      <c r="AW2249" s="8"/>
      <c r="AX2249" s="8">
        <f ca="1">IFERROR(__xludf.DUMMYFUNCTION("""COMPUTED_VALUE"""),11735)</f>
        <v>11735</v>
      </c>
    </row>
    <row r="2250" spans="1:50" ht="75" x14ac:dyDescent="0.2">
      <c r="A2250" s="8" t="str">
        <f ca="1">IFERROR(__xludf.DUMMYFUNCTION("""COMPUTED_VALUE"""),"20051028MDANA")</f>
        <v>20051028MDANA</v>
      </c>
      <c r="B2250" s="8">
        <f ca="1">IFERROR(__xludf.DUMMYFUNCTION("""COMPUTED_VALUE"""),10)</f>
        <v>10</v>
      </c>
      <c r="C2250" s="8">
        <f ca="1">IFERROR(__xludf.DUMMYFUNCTION("""COMPUTED_VALUE"""),28)</f>
        <v>28</v>
      </c>
      <c r="D2250" s="8">
        <f ca="1">IFERROR(__xludf.DUMMYFUNCTION("""COMPUTED_VALUE"""),2005)</f>
        <v>2005</v>
      </c>
      <c r="E2250" s="9">
        <f ca="1">IFERROR(__xludf.DUMMYFUNCTION("""COMPUTED_VALUE"""),38653)</f>
        <v>38653</v>
      </c>
      <c r="F2250" s="8" t="str">
        <f ca="1">IFERROR(__xludf.DUMMYFUNCTION("""COMPUTED_VALUE"""),"Annapolis High School")</f>
        <v>Annapolis High School</v>
      </c>
      <c r="G2250" s="8">
        <f ca="1">IFERROR(__xludf.DUMMYFUNCTION("""COMPUTED_VALUE"""),0)</f>
        <v>0</v>
      </c>
      <c r="H2250" s="8">
        <f ca="1">IFERROR(__xludf.DUMMYFUNCTION("""COMPUTED_VALUE"""),1)</f>
        <v>1</v>
      </c>
      <c r="I2250" s="8">
        <f ca="1">IFERROR(__xludf.DUMMYFUNCTION("""COMPUTED_VALUE"""),1)</f>
        <v>1</v>
      </c>
      <c r="J2250" s="8">
        <f ca="1">IFERROR(__xludf.DUMMYFUNCTION("""COMPUTED_VALUE"""),0)</f>
        <v>0</v>
      </c>
      <c r="K2250" s="10" t="str">
        <f ca="1">IFERROR(__xludf.DUMMYFUNCTION("""COMPUTED_VALUE"""),"http://articles.baltimoresun.com/2005-10-30/news/0510300052_1_annapolis-shooting-was-accidental-charged-in-shooting")</f>
        <v>http://articles.baltimoresun.com/2005-10-30/news/0510300052_1_annapolis-shooting-was-accidental-charged-in-shooting</v>
      </c>
      <c r="L2250" s="8"/>
      <c r="M2250" s="8"/>
      <c r="N2250" s="8">
        <f ca="1">IFERROR(__xludf.DUMMYFUNCTION("""COMPUTED_VALUE"""),3)</f>
        <v>3</v>
      </c>
      <c r="O2250" s="8" t="str">
        <f ca="1">IFERROR(__xludf.DUMMYFUNCTION("""COMPUTED_VALUE"""),"Fall")</f>
        <v>Fall</v>
      </c>
      <c r="P2250" s="8" t="str">
        <f ca="1">IFERROR(__xludf.DUMMYFUNCTION("""COMPUTED_VALUE"""),"Annapolis")</f>
        <v>Annapolis</v>
      </c>
      <c r="Q2250" s="8" t="str">
        <f ca="1">IFERROR(__xludf.DUMMYFUNCTION("""COMPUTED_VALUE"""),"MD")</f>
        <v>MD</v>
      </c>
      <c r="R2250" s="8" t="str">
        <f ca="1">IFERROR(__xludf.DUMMYFUNCTION("""COMPUTED_VALUE"""),"High")</f>
        <v>High</v>
      </c>
      <c r="S2250" s="8" t="str">
        <f ca="1">IFERROR(__xludf.DUMMYFUNCTION("""COMPUTED_VALUE"""),"Football Field/Track")</f>
        <v>Football Field/Track</v>
      </c>
      <c r="T2250" s="8" t="str">
        <f ca="1">IFERROR(__xludf.DUMMYFUNCTION("""COMPUTED_VALUE"""),"Outside on School Property")</f>
        <v>Outside on School Property</v>
      </c>
      <c r="U2250" s="8" t="str">
        <f ca="1">IFERROR(__xludf.DUMMYFUNCTION("""COMPUTED_VALUE"""),"No")</f>
        <v>No</v>
      </c>
      <c r="V2250" s="8" t="str">
        <f ca="1">IFERROR(__xludf.DUMMYFUNCTION("""COMPUTED_VALUE"""),"Sport Event")</f>
        <v>Sport Event</v>
      </c>
      <c r="W2250" s="11">
        <f ca="1">IFERROR(__xludf.DUMMYFUNCTION("""COMPUTED_VALUE"""),0.854166666666666)</f>
        <v>0.85416666666666596</v>
      </c>
      <c r="X2250" s="8">
        <f ca="1">IFERROR(__xludf.DUMMYFUNCTION("""COMPUTED_VALUE"""),1)</f>
        <v>1</v>
      </c>
      <c r="Y2250" s="12" t="str">
        <f ca="1">IFERROR(__xludf.DUMMYFUNCTION("""COMPUTED_VALUE"""),"Bystander shot in leg during HS football game, student had gun in pocket")</f>
        <v>Bystander shot in leg during HS football game, student had gun in pocket</v>
      </c>
      <c r="Z2250" s="12" t="str">
        <f ca="1">IFERROR(__xludf.DUMMYFUNCTION("""COMPUTED_VALUE"""),"17YOM student had gun in pocket at football game. Discharged striking the leg of another student. Fled the scene. Found by a police dog.")</f>
        <v>17YOM student had gun in pocket at football game. Discharged striking the leg of another student. Fled the scene. Found by a police dog.</v>
      </c>
      <c r="AA2250" s="8" t="str">
        <f ca="1">IFERROR(__xludf.DUMMYFUNCTION("""COMPUTED_VALUE"""),"Accidental")</f>
        <v>Accidental</v>
      </c>
      <c r="AB2250" s="8"/>
      <c r="AC2250" s="8"/>
      <c r="AD2250" s="8" t="str">
        <f ca="1">IFERROR(__xludf.DUMMYFUNCTION("""COMPUTED_VALUE"""),"Random Shooting")</f>
        <v>Random Shooting</v>
      </c>
      <c r="AE2250" s="8" t="str">
        <f ca="1">IFERROR(__xludf.DUMMYFUNCTION("""COMPUTED_VALUE"""),"No")</f>
        <v>No</v>
      </c>
      <c r="AF2250" s="8"/>
      <c r="AG2250" s="8" t="str">
        <f ca="1">IFERROR(__xludf.DUMMYFUNCTION("""COMPUTED_VALUE"""),"No")</f>
        <v>No</v>
      </c>
      <c r="AH2250" s="8" t="str">
        <f ca="1">IFERROR(__xludf.DUMMYFUNCTION("""COMPUTED_VALUE"""),"No")</f>
        <v>No</v>
      </c>
      <c r="AI2250" s="8" t="str">
        <f ca="1">IFERROR(__xludf.DUMMYFUNCTION("""COMPUTED_VALUE"""),"No")</f>
        <v>No</v>
      </c>
      <c r="AJ2250" s="8" t="str">
        <f ca="1">IFERROR(__xludf.DUMMYFUNCTION("""COMPUTED_VALUE"""),"No")</f>
        <v>No</v>
      </c>
      <c r="AK2250" s="8" t="str">
        <f ca="1">IFERROR(__xludf.DUMMYFUNCTION("""COMPUTED_VALUE"""),"No")</f>
        <v>No</v>
      </c>
      <c r="AL2250" s="8" t="str">
        <f ca="1">IFERROR(__xludf.DUMMYFUNCTION("""COMPUTED_VALUE"""),"No")</f>
        <v>No</v>
      </c>
      <c r="AM2250" s="8"/>
      <c r="AN2250" s="8"/>
      <c r="AO2250" s="8" t="str">
        <f ca="1">IFERROR(__xludf.DUMMYFUNCTION("""COMPUTED_VALUE"""),"No")</f>
        <v>No</v>
      </c>
      <c r="AP2250" s="8"/>
      <c r="AQ2250" s="8" t="str">
        <f ca="1">IFERROR(__xludf.DUMMYFUNCTION("""COMPUTED_VALUE"""),"Unknown")</f>
        <v>Unknown</v>
      </c>
      <c r="AR2250" s="8" t="str">
        <f ca="1">IFERROR(__xludf.DUMMYFUNCTION("""COMPUTED_VALUE"""),"NA")</f>
        <v>NA</v>
      </c>
      <c r="AS2250" s="8">
        <f ca="1">IFERROR(__xludf.DUMMYFUNCTION("""COMPUTED_VALUE"""),1)</f>
        <v>1</v>
      </c>
      <c r="AT2250" s="8"/>
      <c r="AU2250" s="8">
        <f ca="1">IFERROR(__xludf.DUMMYFUNCTION("""COMPUTED_VALUE"""),38.974282)</f>
        <v>38.974282000000002</v>
      </c>
      <c r="AV2250" s="8">
        <f ca="1">IFERROR(__xludf.DUMMYFUNCTION("""COMPUTED_VALUE"""),-76.565921)</f>
        <v>-76.565921000000003</v>
      </c>
      <c r="AW2250" s="8"/>
      <c r="AX2250" s="8">
        <f ca="1">IFERROR(__xludf.DUMMYFUNCTION("""COMPUTED_VALUE"""),21041)</f>
        <v>21041</v>
      </c>
    </row>
    <row r="2251" spans="1:50" ht="75" x14ac:dyDescent="0.2">
      <c r="A2251" s="8" t="str">
        <f ca="1">IFERROR(__xludf.DUMMYFUNCTION("""COMPUTED_VALUE"""),"20051027CABIF")</f>
        <v>20051027CABIF</v>
      </c>
      <c r="B2251" s="8">
        <f ca="1">IFERROR(__xludf.DUMMYFUNCTION("""COMPUTED_VALUE"""),10)</f>
        <v>10</v>
      </c>
      <c r="C2251" s="8">
        <f ca="1">IFERROR(__xludf.DUMMYFUNCTION("""COMPUTED_VALUE"""),27)</f>
        <v>27</v>
      </c>
      <c r="D2251" s="8">
        <f ca="1">IFERROR(__xludf.DUMMYFUNCTION("""COMPUTED_VALUE"""),2005)</f>
        <v>2005</v>
      </c>
      <c r="E2251" s="9">
        <f ca="1">IFERROR(__xludf.DUMMYFUNCTION("""COMPUTED_VALUE"""),38652)</f>
        <v>38652</v>
      </c>
      <c r="F2251" s="8" t="str">
        <f ca="1">IFERROR(__xludf.DUMMYFUNCTION("""COMPUTED_VALUE"""),"Birney Elementary School")</f>
        <v>Birney Elementary School</v>
      </c>
      <c r="G2251" s="8">
        <f ca="1">IFERROR(__xludf.DUMMYFUNCTION("""COMPUTED_VALUE"""),1)</f>
        <v>1</v>
      </c>
      <c r="H2251" s="8">
        <f ca="1">IFERROR(__xludf.DUMMYFUNCTION("""COMPUTED_VALUE"""),0)</f>
        <v>0</v>
      </c>
      <c r="I2251" s="8">
        <f ca="1">IFERROR(__xludf.DUMMYFUNCTION("""COMPUTED_VALUE"""),1)</f>
        <v>1</v>
      </c>
      <c r="J2251" s="8">
        <f ca="1">IFERROR(__xludf.DUMMYFUNCTION("""COMPUTED_VALUE"""),0)</f>
        <v>0</v>
      </c>
      <c r="K2251" s="8" t="str">
        <f ca="1">IFERROR(__xludf.DUMMYFUNCTION("""COMPUTED_VALUE"""),"https://www.newspapers.com/image/284992541/?terms=keith%2Bbreazell  http://www.streetgangs.com/news/071808-police-break-up#sthash.3zWvGUuu.dpbs")</f>
        <v>https://www.newspapers.com/image/284992541/?terms=keith%2Bbreazell  http://www.streetgangs.com/news/071808-police-break-up#sthash.3zWvGUuu.dpbs</v>
      </c>
      <c r="L2251" s="8"/>
      <c r="M2251" s="8"/>
      <c r="N2251" s="8">
        <f ca="1">IFERROR(__xludf.DUMMYFUNCTION("""COMPUTED_VALUE"""),3)</f>
        <v>3</v>
      </c>
      <c r="O2251" s="8" t="str">
        <f ca="1">IFERROR(__xludf.DUMMYFUNCTION("""COMPUTED_VALUE"""),"Fall")</f>
        <v>Fall</v>
      </c>
      <c r="P2251" s="8" t="str">
        <f ca="1">IFERROR(__xludf.DUMMYFUNCTION("""COMPUTED_VALUE"""),"Fresno")</f>
        <v>Fresno</v>
      </c>
      <c r="Q2251" s="8" t="str">
        <f ca="1">IFERROR(__xludf.DUMMYFUNCTION("""COMPUTED_VALUE"""),"CA")</f>
        <v>CA</v>
      </c>
      <c r="R2251" s="8" t="str">
        <f ca="1">IFERROR(__xludf.DUMMYFUNCTION("""COMPUTED_VALUE"""),"Elementary")</f>
        <v>Elementary</v>
      </c>
      <c r="S2251" s="8" t="str">
        <f ca="1">IFERROR(__xludf.DUMMYFUNCTION("""COMPUTED_VALUE"""),"Parking Lot")</f>
        <v>Parking Lot</v>
      </c>
      <c r="T2251" s="8" t="str">
        <f ca="1">IFERROR(__xludf.DUMMYFUNCTION("""COMPUTED_VALUE"""),"Outside on School Property")</f>
        <v>Outside on School Property</v>
      </c>
      <c r="U2251" s="8" t="str">
        <f ca="1">IFERROR(__xludf.DUMMYFUNCTION("""COMPUTED_VALUE"""),"Yes")</f>
        <v>Yes</v>
      </c>
      <c r="V2251" s="8"/>
      <c r="W2251" s="8"/>
      <c r="X2251" s="8">
        <f ca="1">IFERROR(__xludf.DUMMYFUNCTION("""COMPUTED_VALUE"""),1)</f>
        <v>1</v>
      </c>
      <c r="Y2251" s="12" t="str">
        <f ca="1">IFERROR(__xludf.DUMMYFUNCTION("""COMPUTED_VALUE"""),"Victim shot in parking lot of elementary school where son attended - gang related")</f>
        <v>Victim shot in parking lot of elementary school where son attended - gang related</v>
      </c>
      <c r="Z2251" s="12" t="str">
        <f ca="1">IFERROR(__xludf.DUMMYFUNCTION("""COMPUTED_VALUE"""),"37 year old victim - known Villa Posse gang member, was approached in parking lot of his 5-year old son's elementary school - victim shot in torso - later died - suspect still at large.")</f>
        <v>37 year old victim - known Villa Posse gang member, was approached in parking lot of his 5-year old son's elementary school - victim shot in torso - later died - suspect still at large.</v>
      </c>
      <c r="AA2251" s="8" t="str">
        <f ca="1">IFERROR(__xludf.DUMMYFUNCTION("""COMPUTED_VALUE"""),"Escalation of Dispute")</f>
        <v>Escalation of Dispute</v>
      </c>
      <c r="AB2251" s="8"/>
      <c r="AC2251" s="8"/>
      <c r="AD2251" s="8" t="str">
        <f ca="1">IFERROR(__xludf.DUMMYFUNCTION("""COMPUTED_VALUE"""),"Victims Targeted")</f>
        <v>Victims Targeted</v>
      </c>
      <c r="AE2251" s="8" t="str">
        <f ca="1">IFERROR(__xludf.DUMMYFUNCTION("""COMPUTED_VALUE"""),"No")</f>
        <v>No</v>
      </c>
      <c r="AF2251" s="8"/>
      <c r="AG2251" s="8" t="str">
        <f ca="1">IFERROR(__xludf.DUMMYFUNCTION("""COMPUTED_VALUE"""),"No")</f>
        <v>No</v>
      </c>
      <c r="AH2251" s="8" t="str">
        <f ca="1">IFERROR(__xludf.DUMMYFUNCTION("""COMPUTED_VALUE"""),"No")</f>
        <v>No</v>
      </c>
      <c r="AI2251" s="8" t="str">
        <f ca="1">IFERROR(__xludf.DUMMYFUNCTION("""COMPUTED_VALUE"""),"No")</f>
        <v>No</v>
      </c>
      <c r="AJ2251" s="8" t="str">
        <f ca="1">IFERROR(__xludf.DUMMYFUNCTION("""COMPUTED_VALUE"""),"No")</f>
        <v>No</v>
      </c>
      <c r="AK2251" s="8" t="str">
        <f ca="1">IFERROR(__xludf.DUMMYFUNCTION("""COMPUTED_VALUE"""),"No")</f>
        <v>No</v>
      </c>
      <c r="AL2251" s="8" t="str">
        <f ca="1">IFERROR(__xludf.DUMMYFUNCTION("""COMPUTED_VALUE"""),"Yes")</f>
        <v>Yes</v>
      </c>
      <c r="AM2251" s="8"/>
      <c r="AN2251" s="8"/>
      <c r="AO2251" s="8" t="str">
        <f ca="1">IFERROR(__xludf.DUMMYFUNCTION("""COMPUTED_VALUE"""),"No")</f>
        <v>No</v>
      </c>
      <c r="AP2251" s="8"/>
      <c r="AQ2251" s="8" t="str">
        <f ca="1">IFERROR(__xludf.DUMMYFUNCTION("""COMPUTED_VALUE"""),"Unknown")</f>
        <v>Unknown</v>
      </c>
      <c r="AR2251" s="8" t="str">
        <f ca="1">IFERROR(__xludf.DUMMYFUNCTION("""COMPUTED_VALUE"""),"NA")</f>
        <v>NA</v>
      </c>
      <c r="AS2251" s="8"/>
      <c r="AT2251" s="8"/>
      <c r="AU2251" s="8">
        <f ca="1">IFERROR(__xludf.DUMMYFUNCTION("""COMPUTED_VALUE"""),36.777207)</f>
        <v>36.777206999999997</v>
      </c>
      <c r="AV2251" s="8">
        <f ca="1">IFERROR(__xludf.DUMMYFUNCTION("""COMPUTED_VALUE"""),-119.774396)</f>
        <v>-119.774396</v>
      </c>
      <c r="AW2251" s="8"/>
      <c r="AX2251" s="8">
        <f ca="1">IFERROR(__xludf.DUMMYFUNCTION("""COMPUTED_VALUE"""),93703)</f>
        <v>93703</v>
      </c>
    </row>
    <row r="2252" spans="1:50" ht="75" x14ac:dyDescent="0.2">
      <c r="A2252" s="8" t="str">
        <f ca="1">IFERROR(__xludf.DUMMYFUNCTION("""COMPUTED_VALUE"""),"20051020MISAS")</f>
        <v>20051020MISAS</v>
      </c>
      <c r="B2252" s="8">
        <f ca="1">IFERROR(__xludf.DUMMYFUNCTION("""COMPUTED_VALUE"""),10)</f>
        <v>10</v>
      </c>
      <c r="C2252" s="8">
        <f ca="1">IFERROR(__xludf.DUMMYFUNCTION("""COMPUTED_VALUE"""),20)</f>
        <v>20</v>
      </c>
      <c r="D2252" s="8">
        <f ca="1">IFERROR(__xludf.DUMMYFUNCTION("""COMPUTED_VALUE"""),2005)</f>
        <v>2005</v>
      </c>
      <c r="E2252" s="9">
        <f ca="1">IFERROR(__xludf.DUMMYFUNCTION("""COMPUTED_VALUE"""),38645)</f>
        <v>38645</v>
      </c>
      <c r="F2252" s="8" t="str">
        <f ca="1">IFERROR(__xludf.DUMMYFUNCTION("""COMPUTED_VALUE"""),"Saginaw High School")</f>
        <v>Saginaw High School</v>
      </c>
      <c r="G2252" s="8">
        <f ca="1">IFERROR(__xludf.DUMMYFUNCTION("""COMPUTED_VALUE"""),0)</f>
        <v>0</v>
      </c>
      <c r="H2252" s="8">
        <f ca="1">IFERROR(__xludf.DUMMYFUNCTION("""COMPUTED_VALUE"""),1)</f>
        <v>1</v>
      </c>
      <c r="I2252" s="8">
        <f ca="1">IFERROR(__xludf.DUMMYFUNCTION("""COMPUTED_VALUE"""),1)</f>
        <v>1</v>
      </c>
      <c r="J2252" s="8">
        <f ca="1">IFERROR(__xludf.DUMMYFUNCTION("""COMPUTED_VALUE"""),0)</f>
        <v>0</v>
      </c>
      <c r="K2252" s="10" t="str">
        <f ca="1">IFERROR(__xludf.DUMMYFUNCTION("""COMPUTED_VALUE"""),"https://www.michigandaily.com/content/school-shooting-injures-student")</f>
        <v>https://www.michigandaily.com/content/school-shooting-injures-student</v>
      </c>
      <c r="L2252" s="8"/>
      <c r="M2252" s="8"/>
      <c r="N2252" s="8">
        <f ca="1">IFERROR(__xludf.DUMMYFUNCTION("""COMPUTED_VALUE"""),2)</f>
        <v>2</v>
      </c>
      <c r="O2252" s="8" t="str">
        <f ca="1">IFERROR(__xludf.DUMMYFUNCTION("""COMPUTED_VALUE"""),"Fall")</f>
        <v>Fall</v>
      </c>
      <c r="P2252" s="8" t="str">
        <f ca="1">IFERROR(__xludf.DUMMYFUNCTION("""COMPUTED_VALUE"""),"Saginaw")</f>
        <v>Saginaw</v>
      </c>
      <c r="Q2252" s="8" t="str">
        <f ca="1">IFERROR(__xludf.DUMMYFUNCTION("""COMPUTED_VALUE"""),"MI")</f>
        <v>MI</v>
      </c>
      <c r="R2252" s="8" t="str">
        <f ca="1">IFERROR(__xludf.DUMMYFUNCTION("""COMPUTED_VALUE"""),"High")</f>
        <v>High</v>
      </c>
      <c r="S2252" s="8" t="str">
        <f ca="1">IFERROR(__xludf.DUMMYFUNCTION("""COMPUTED_VALUE"""),"Office")</f>
        <v>Office</v>
      </c>
      <c r="T2252" s="8" t="str">
        <f ca="1">IFERROR(__xludf.DUMMYFUNCTION("""COMPUTED_VALUE"""),"Inside School Building")</f>
        <v>Inside School Building</v>
      </c>
      <c r="U2252" s="8" t="str">
        <f ca="1">IFERROR(__xludf.DUMMYFUNCTION("""COMPUTED_VALUE"""),"Yes")</f>
        <v>Yes</v>
      </c>
      <c r="V2252" s="8" t="str">
        <f ca="1">IFERROR(__xludf.DUMMYFUNCTION("""COMPUTED_VALUE"""),"Lunch")</f>
        <v>Lunch</v>
      </c>
      <c r="W2252" s="11">
        <f ca="1">IFERROR(__xludf.DUMMYFUNCTION("""COMPUTED_VALUE"""),0.5)</f>
        <v>0.5</v>
      </c>
      <c r="X2252" s="8">
        <f ca="1">IFERROR(__xludf.DUMMYFUNCTION("""COMPUTED_VALUE"""),1)</f>
        <v>1</v>
      </c>
      <c r="Y2252" s="12" t="str">
        <f ca="1">IFERROR(__xludf.DUMMYFUNCTION("""COMPUTED_VALUE"""),"15 year old shooter opened fire in cafeteria striking another student in chest")</f>
        <v>15 year old shooter opened fire in cafeteria striking another student in chest</v>
      </c>
      <c r="Z2252" s="12" t="str">
        <f ca="1">IFERROR(__xludf.DUMMYFUNCTION("""COMPUTED_VALUE"""),"Two 15 year old students who knew each other in juvenile detention were involved in a conflict that left one student shot in the chest. The shooter fled but was caught by the school security and the gun was recovered.")</f>
        <v>Two 15 year old students who knew each other in juvenile detention were involved in a conflict that left one student shot in the chest. The shooter fled but was caught by the school security and the gun was recovered.</v>
      </c>
      <c r="AA2252" s="8" t="str">
        <f ca="1">IFERROR(__xludf.DUMMYFUNCTION("""COMPUTED_VALUE"""),"Escalation of Dispute")</f>
        <v>Escalation of Dispute</v>
      </c>
      <c r="AB2252" s="8"/>
      <c r="AC2252" s="8"/>
      <c r="AD2252" s="8" t="str">
        <f ca="1">IFERROR(__xludf.DUMMYFUNCTION("""COMPUTED_VALUE"""),"Victims Targeted")</f>
        <v>Victims Targeted</v>
      </c>
      <c r="AE2252" s="8" t="str">
        <f ca="1">IFERROR(__xludf.DUMMYFUNCTION("""COMPUTED_VALUE"""),"No")</f>
        <v>No</v>
      </c>
      <c r="AF2252" s="8"/>
      <c r="AG2252" s="8" t="str">
        <f ca="1">IFERROR(__xludf.DUMMYFUNCTION("""COMPUTED_VALUE"""),"No")</f>
        <v>No</v>
      </c>
      <c r="AH2252" s="8" t="str">
        <f ca="1">IFERROR(__xludf.DUMMYFUNCTION("""COMPUTED_VALUE"""),"No")</f>
        <v>No</v>
      </c>
      <c r="AI2252" s="8" t="str">
        <f ca="1">IFERROR(__xludf.DUMMYFUNCTION("""COMPUTED_VALUE"""),"No")</f>
        <v>No</v>
      </c>
      <c r="AJ2252" s="8"/>
      <c r="AK2252" s="8" t="str">
        <f ca="1">IFERROR(__xludf.DUMMYFUNCTION("""COMPUTED_VALUE"""),"No")</f>
        <v>No</v>
      </c>
      <c r="AL2252" s="8" t="str">
        <f ca="1">IFERROR(__xludf.DUMMYFUNCTION("""COMPUTED_VALUE"""),"Yes")</f>
        <v>Yes</v>
      </c>
      <c r="AM2252" s="8"/>
      <c r="AN2252" s="8"/>
      <c r="AO2252" s="8" t="str">
        <f ca="1">IFERROR(__xludf.DUMMYFUNCTION("""COMPUTED_VALUE"""),"No")</f>
        <v>No</v>
      </c>
      <c r="AP2252" s="8" t="str">
        <f ca="1">IFERROR(__xludf.DUMMYFUNCTION("""COMPUTED_VALUE"""),"Yes")</f>
        <v>Yes</v>
      </c>
      <c r="AQ2252" s="8" t="str">
        <f ca="1">IFERROR(__xludf.DUMMYFUNCTION("""COMPUTED_VALUE"""),"Unknown")</f>
        <v>Unknown</v>
      </c>
      <c r="AR2252" s="8" t="str">
        <f ca="1">IFERROR(__xludf.DUMMYFUNCTION("""COMPUTED_VALUE"""),"NA")</f>
        <v>NA</v>
      </c>
      <c r="AS2252" s="8"/>
      <c r="AT2252" s="8"/>
      <c r="AU2252" s="8">
        <f ca="1">IFERROR(__xludf.DUMMYFUNCTION("""COMPUTED_VALUE"""),43.406221)</f>
        <v>43.406221000000002</v>
      </c>
      <c r="AV2252" s="8">
        <f ca="1">IFERROR(__xludf.DUMMYFUNCTION("""COMPUTED_VALUE"""),-83.925774)</f>
        <v>-83.925774000000004</v>
      </c>
      <c r="AW2252" s="8"/>
      <c r="AX2252" s="8">
        <f ca="1">IFERROR(__xludf.DUMMYFUNCTION("""COMPUTED_VALUE"""),48601)</f>
        <v>48601</v>
      </c>
    </row>
    <row r="2253" spans="1:50" ht="60" x14ac:dyDescent="0.2">
      <c r="A2253" s="8" t="str">
        <f ca="1">IFERROR(__xludf.DUMMYFUNCTION("""COMPUTED_VALUE"""),"20051019CASAS")</f>
        <v>20051019CASAS</v>
      </c>
      <c r="B2253" s="8">
        <f ca="1">IFERROR(__xludf.DUMMYFUNCTION("""COMPUTED_VALUE"""),10)</f>
        <v>10</v>
      </c>
      <c r="C2253" s="8">
        <f ca="1">IFERROR(__xludf.DUMMYFUNCTION("""COMPUTED_VALUE"""),19)</f>
        <v>19</v>
      </c>
      <c r="D2253" s="8">
        <f ca="1">IFERROR(__xludf.DUMMYFUNCTION("""COMPUTED_VALUE"""),2005)</f>
        <v>2005</v>
      </c>
      <c r="E2253" s="9">
        <f ca="1">IFERROR(__xludf.DUMMYFUNCTION("""COMPUTED_VALUE"""),38644)</f>
        <v>38644</v>
      </c>
      <c r="F2253" s="8" t="str">
        <f ca="1">IFERROR(__xludf.DUMMYFUNCTION("""COMPUTED_VALUE"""),"San Gorgonio High School")</f>
        <v>San Gorgonio High School</v>
      </c>
      <c r="G2253" s="8">
        <f ca="1">IFERROR(__xludf.DUMMYFUNCTION("""COMPUTED_VALUE"""),0)</f>
        <v>0</v>
      </c>
      <c r="H2253" s="8">
        <f ca="1">IFERROR(__xludf.DUMMYFUNCTION("""COMPUTED_VALUE"""),1)</f>
        <v>1</v>
      </c>
      <c r="I2253" s="8">
        <f ca="1">IFERROR(__xludf.DUMMYFUNCTION("""COMPUTED_VALUE"""),1)</f>
        <v>1</v>
      </c>
      <c r="J2253" s="8">
        <f ca="1">IFERROR(__xludf.DUMMYFUNCTION("""COMPUTED_VALUE"""),0)</f>
        <v>0</v>
      </c>
      <c r="K2253" s="10" t="str">
        <f ca="1">IFERROR(__xludf.DUMMYFUNCTION("""COMPUTED_VALUE"""),"http://articles.latimes.com/2005/oct/20/local/me-iebrief20")</f>
        <v>http://articles.latimes.com/2005/oct/20/local/me-iebrief20</v>
      </c>
      <c r="L2253" s="8"/>
      <c r="M2253" s="8"/>
      <c r="N2253" s="8">
        <f ca="1">IFERROR(__xludf.DUMMYFUNCTION("""COMPUTED_VALUE"""),2)</f>
        <v>2</v>
      </c>
      <c r="O2253" s="8" t="str">
        <f ca="1">IFERROR(__xludf.DUMMYFUNCTION("""COMPUTED_VALUE"""),"Fall")</f>
        <v>Fall</v>
      </c>
      <c r="P2253" s="8" t="str">
        <f ca="1">IFERROR(__xludf.DUMMYFUNCTION("""COMPUTED_VALUE"""),"San Bernardino")</f>
        <v>San Bernardino</v>
      </c>
      <c r="Q2253" s="8" t="str">
        <f ca="1">IFERROR(__xludf.DUMMYFUNCTION("""COMPUTED_VALUE"""),"CA")</f>
        <v>CA</v>
      </c>
      <c r="R2253" s="8" t="str">
        <f ca="1">IFERROR(__xludf.DUMMYFUNCTION("""COMPUTED_VALUE"""),"High")</f>
        <v>High</v>
      </c>
      <c r="S2253" s="8" t="str">
        <f ca="1">IFERROR(__xludf.DUMMYFUNCTION("""COMPUTED_VALUE"""),"Parking Lot")</f>
        <v>Parking Lot</v>
      </c>
      <c r="T2253" s="8" t="str">
        <f ca="1">IFERROR(__xludf.DUMMYFUNCTION("""COMPUTED_VALUE"""),"Outside on School Property")</f>
        <v>Outside on School Property</v>
      </c>
      <c r="U2253" s="8" t="str">
        <f ca="1">IFERROR(__xludf.DUMMYFUNCTION("""COMPUTED_VALUE"""),"Yes")</f>
        <v>Yes</v>
      </c>
      <c r="V2253" s="8" t="str">
        <f ca="1">IFERROR(__xludf.DUMMYFUNCTION("""COMPUTED_VALUE"""),"School Start")</f>
        <v>School Start</v>
      </c>
      <c r="W2253" s="11">
        <f ca="1">IFERROR(__xludf.DUMMYFUNCTION("""COMPUTED_VALUE"""),0.319444444444444)</f>
        <v>0.31944444444444398</v>
      </c>
      <c r="X2253" s="8">
        <f ca="1">IFERROR(__xludf.DUMMYFUNCTION("""COMPUTED_VALUE"""),1)</f>
        <v>1</v>
      </c>
      <c r="Y2253" s="12" t="str">
        <f ca="1">IFERROR(__xludf.DUMMYFUNCTION("""COMPUTED_VALUE"""),"Student shot in school parking lot as part of Ongoing conflict")</f>
        <v>Student shot in school parking lot as part of Ongoing conflict</v>
      </c>
      <c r="Z2253" s="12" t="str">
        <f ca="1">IFERROR(__xludf.DUMMYFUNCTION("""COMPUTED_VALUE"""),"16YOM was shot in the parking lot by a 17YOM who got out of vehicle and then fled in the same vehicle. Shooter and the victim knew each other and had Ongoing dispute.")</f>
        <v>16YOM was shot in the parking lot by a 17YOM who got out of vehicle and then fled in the same vehicle. Shooter and the victim knew each other and had Ongoing dispute.</v>
      </c>
      <c r="AA2253" s="8" t="str">
        <f ca="1">IFERROR(__xludf.DUMMYFUNCTION("""COMPUTED_VALUE"""),"Escalation of Dispute")</f>
        <v>Escalation of Dispute</v>
      </c>
      <c r="AB2253" s="8"/>
      <c r="AC2253" s="8"/>
      <c r="AD2253" s="8" t="str">
        <f ca="1">IFERROR(__xludf.DUMMYFUNCTION("""COMPUTED_VALUE"""),"Victims Targeted")</f>
        <v>Victims Targeted</v>
      </c>
      <c r="AE2253" s="8" t="str">
        <f ca="1">IFERROR(__xludf.DUMMYFUNCTION("""COMPUTED_VALUE"""),"Yes")</f>
        <v>Yes</v>
      </c>
      <c r="AF2253" s="8" t="str">
        <f ca="1">IFERROR(__xludf.DUMMYFUNCTION("""COMPUTED_VALUE"""),"Driven by Keith Deon Taylor (19YOM)")</f>
        <v>Driven by Keith Deon Taylor (19YOM)</v>
      </c>
      <c r="AG2253" s="8" t="str">
        <f ca="1">IFERROR(__xludf.DUMMYFUNCTION("""COMPUTED_VALUE"""),"No")</f>
        <v>No</v>
      </c>
      <c r="AH2253" s="8" t="str">
        <f ca="1">IFERROR(__xludf.DUMMYFUNCTION("""COMPUTED_VALUE"""),"No")</f>
        <v>No</v>
      </c>
      <c r="AI2253" s="8" t="str">
        <f ca="1">IFERROR(__xludf.DUMMYFUNCTION("""COMPUTED_VALUE"""),"No")</f>
        <v>No</v>
      </c>
      <c r="AJ2253" s="8" t="str">
        <f ca="1">IFERROR(__xludf.DUMMYFUNCTION("""COMPUTED_VALUE"""),"No")</f>
        <v>No</v>
      </c>
      <c r="AK2253" s="8" t="str">
        <f ca="1">IFERROR(__xludf.DUMMYFUNCTION("""COMPUTED_VALUE"""),"No")</f>
        <v>No</v>
      </c>
      <c r="AL2253" s="8" t="str">
        <f ca="1">IFERROR(__xludf.DUMMYFUNCTION("""COMPUTED_VALUE"""),"No")</f>
        <v>No</v>
      </c>
      <c r="AM2253" s="8"/>
      <c r="AN2253" s="8"/>
      <c r="AO2253" s="8" t="str">
        <f ca="1">IFERROR(__xludf.DUMMYFUNCTION("""COMPUTED_VALUE"""),"No")</f>
        <v>No</v>
      </c>
      <c r="AP2253" s="8"/>
      <c r="AQ2253" s="8" t="str">
        <f ca="1">IFERROR(__xludf.DUMMYFUNCTION("""COMPUTED_VALUE"""),"Unknown")</f>
        <v>Unknown</v>
      </c>
      <c r="AR2253" s="8" t="str">
        <f ca="1">IFERROR(__xludf.DUMMYFUNCTION("""COMPUTED_VALUE"""),"NA")</f>
        <v>NA</v>
      </c>
      <c r="AS2253" s="8">
        <f ca="1">IFERROR(__xludf.DUMMYFUNCTION("""COMPUTED_VALUE"""),5)</f>
        <v>5</v>
      </c>
      <c r="AT2253" s="8"/>
      <c r="AU2253" s="8">
        <f ca="1">IFERROR(__xludf.DUMMYFUNCTION("""COMPUTED_VALUE"""),34.127903)</f>
        <v>34.127903000000003</v>
      </c>
      <c r="AV2253" s="8">
        <f ca="1">IFERROR(__xludf.DUMMYFUNCTION("""COMPUTED_VALUE"""),-117.237071)</f>
        <v>-117.237071</v>
      </c>
      <c r="AW2253" s="8"/>
      <c r="AX2253" s="8">
        <f ca="1">IFERROR(__xludf.DUMMYFUNCTION("""COMPUTED_VALUE"""),92369)</f>
        <v>92369</v>
      </c>
    </row>
    <row r="2254" spans="1:50" ht="60" x14ac:dyDescent="0.2">
      <c r="A2254" s="8" t="str">
        <f ca="1">IFERROR(__xludf.DUMMYFUNCTION("""COMPUTED_VALUE"""),"20051014NYSAN")</f>
        <v>20051014NYSAN</v>
      </c>
      <c r="B2254" s="8">
        <f ca="1">IFERROR(__xludf.DUMMYFUNCTION("""COMPUTED_VALUE"""),10)</f>
        <v>10</v>
      </c>
      <c r="C2254" s="8">
        <f ca="1">IFERROR(__xludf.DUMMYFUNCTION("""COMPUTED_VALUE"""),14)</f>
        <v>14</v>
      </c>
      <c r="D2254" s="8">
        <f ca="1">IFERROR(__xludf.DUMMYFUNCTION("""COMPUTED_VALUE"""),2005)</f>
        <v>2005</v>
      </c>
      <c r="E2254" s="9">
        <f ca="1">IFERROR(__xludf.DUMMYFUNCTION("""COMPUTED_VALUE"""),38639)</f>
        <v>38639</v>
      </c>
      <c r="F2254" s="8" t="str">
        <f ca="1">IFERROR(__xludf.DUMMYFUNCTION("""COMPUTED_VALUE"""),"Samula Tilden High School")</f>
        <v>Samula Tilden High School</v>
      </c>
      <c r="G2254" s="8">
        <f ca="1">IFERROR(__xludf.DUMMYFUNCTION("""COMPUTED_VALUE"""),0)</f>
        <v>0</v>
      </c>
      <c r="H2254" s="8">
        <f ca="1">IFERROR(__xludf.DUMMYFUNCTION("""COMPUTED_VALUE"""),1)</f>
        <v>1</v>
      </c>
      <c r="I2254" s="8">
        <f ca="1">IFERROR(__xludf.DUMMYFUNCTION("""COMPUTED_VALUE"""),1)</f>
        <v>1</v>
      </c>
      <c r="J2254" s="8">
        <f ca="1">IFERROR(__xludf.DUMMYFUNCTION("""COMPUTED_VALUE"""),0)</f>
        <v>0</v>
      </c>
      <c r="K2254" s="10" t="str">
        <f ca="1">IFERROR(__xludf.DUMMYFUNCTION("""COMPUTED_VALUE"""),"https://nypost.com/2005/10/15/teen-shot-in-hs-madness-leg-hurt-by-punk-at-school/")</f>
        <v>https://nypost.com/2005/10/15/teen-shot-in-hs-madness-leg-hurt-by-punk-at-school/</v>
      </c>
      <c r="L2254" s="8"/>
      <c r="M2254" s="8"/>
      <c r="N2254" s="8">
        <f ca="1">IFERROR(__xludf.DUMMYFUNCTION("""COMPUTED_VALUE"""),2)</f>
        <v>2</v>
      </c>
      <c r="O2254" s="8" t="str">
        <f ca="1">IFERROR(__xludf.DUMMYFUNCTION("""COMPUTED_VALUE"""),"Fall")</f>
        <v>Fall</v>
      </c>
      <c r="P2254" s="8" t="str">
        <f ca="1">IFERROR(__xludf.DUMMYFUNCTION("""COMPUTED_VALUE"""),"New York")</f>
        <v>New York</v>
      </c>
      <c r="Q2254" s="8" t="str">
        <f ca="1">IFERROR(__xludf.DUMMYFUNCTION("""COMPUTED_VALUE"""),"NY")</f>
        <v>NY</v>
      </c>
      <c r="R2254" s="8" t="str">
        <f ca="1">IFERROR(__xludf.DUMMYFUNCTION("""COMPUTED_VALUE"""),"High")</f>
        <v>High</v>
      </c>
      <c r="S2254" s="8" t="str">
        <f ca="1">IFERROR(__xludf.DUMMYFUNCTION("""COMPUTED_VALUE"""),"Beside Building")</f>
        <v>Beside Building</v>
      </c>
      <c r="T2254" s="8" t="str">
        <f ca="1">IFERROR(__xludf.DUMMYFUNCTION("""COMPUTED_VALUE"""),"Outside on School Property")</f>
        <v>Outside on School Property</v>
      </c>
      <c r="U2254" s="8" t="str">
        <f ca="1">IFERROR(__xludf.DUMMYFUNCTION("""COMPUTED_VALUE"""),"Yes")</f>
        <v>Yes</v>
      </c>
      <c r="V2254" s="8" t="str">
        <f ca="1">IFERROR(__xludf.DUMMYFUNCTION("""COMPUTED_VALUE"""),"Morning Classes")</f>
        <v>Morning Classes</v>
      </c>
      <c r="W2254" s="11">
        <f ca="1">IFERROR(__xludf.DUMMYFUNCTION("""COMPUTED_VALUE"""),0.385416666666666)</f>
        <v>0.38541666666666602</v>
      </c>
      <c r="X2254" s="8">
        <f ca="1">IFERROR(__xludf.DUMMYFUNCTION("""COMPUTED_VALUE"""),1)</f>
        <v>1</v>
      </c>
      <c r="Y2254" s="12" t="str">
        <f ca="1">IFERROR(__xludf.DUMMYFUNCTION("""COMPUTED_VALUE"""),"Student shot during fight with 6 other students")</f>
        <v>Student shot during fight with 6 other students</v>
      </c>
      <c r="Z2254" s="12" t="str">
        <f ca="1">IFERROR(__xludf.DUMMYFUNCTION("""COMPUTED_VALUE"""),"16YOM student was approached by a group of 6 students outside of the school. During the fight, he was shot in the leg and the group of teens fled. Police said it was not related to gang activity.")</f>
        <v>16YOM student was approached by a group of 6 students outside of the school. During the fight, he was shot in the leg and the group of teens fled. Police said it was not related to gang activity.</v>
      </c>
      <c r="AA2254" s="8" t="str">
        <f ca="1">IFERROR(__xludf.DUMMYFUNCTION("""COMPUTED_VALUE"""),"Escalation of Dispute")</f>
        <v>Escalation of Dispute</v>
      </c>
      <c r="AB2254" s="8"/>
      <c r="AC2254" s="8"/>
      <c r="AD2254" s="8" t="str">
        <f ca="1">IFERROR(__xludf.DUMMYFUNCTION("""COMPUTED_VALUE"""),"Victims Targeted")</f>
        <v>Victims Targeted</v>
      </c>
      <c r="AE2254" s="8" t="str">
        <f ca="1">IFERROR(__xludf.DUMMYFUNCTION("""COMPUTED_VALUE"""),"Yes")</f>
        <v>Yes</v>
      </c>
      <c r="AF2254" s="8" t="str">
        <f ca="1">IFERROR(__xludf.DUMMYFUNCTION("""COMPUTED_VALUE"""),"Group of 6 students")</f>
        <v>Group of 6 students</v>
      </c>
      <c r="AG2254" s="8" t="str">
        <f ca="1">IFERROR(__xludf.DUMMYFUNCTION("""COMPUTED_VALUE"""),"No")</f>
        <v>No</v>
      </c>
      <c r="AH2254" s="8" t="str">
        <f ca="1">IFERROR(__xludf.DUMMYFUNCTION("""COMPUTED_VALUE"""),"No")</f>
        <v>No</v>
      </c>
      <c r="AI2254" s="8" t="str">
        <f ca="1">IFERROR(__xludf.DUMMYFUNCTION("""COMPUTED_VALUE"""),"No")</f>
        <v>No</v>
      </c>
      <c r="AJ2254" s="8" t="str">
        <f ca="1">IFERROR(__xludf.DUMMYFUNCTION("""COMPUTED_VALUE"""),"No")</f>
        <v>No</v>
      </c>
      <c r="AK2254" s="8" t="str">
        <f ca="1">IFERROR(__xludf.DUMMYFUNCTION("""COMPUTED_VALUE"""),"No")</f>
        <v>No</v>
      </c>
      <c r="AL2254" s="8" t="str">
        <f ca="1">IFERROR(__xludf.DUMMYFUNCTION("""COMPUTED_VALUE"""),"No")</f>
        <v>No</v>
      </c>
      <c r="AM2254" s="8"/>
      <c r="AN2254" s="8"/>
      <c r="AO2254" s="8" t="str">
        <f ca="1">IFERROR(__xludf.DUMMYFUNCTION("""COMPUTED_VALUE"""),"No")</f>
        <v>No</v>
      </c>
      <c r="AP2254" s="8"/>
      <c r="AQ2254" s="8" t="str">
        <f ca="1">IFERROR(__xludf.DUMMYFUNCTION("""COMPUTED_VALUE"""),"Unknown")</f>
        <v>Unknown</v>
      </c>
      <c r="AR2254" s="8" t="str">
        <f ca="1">IFERROR(__xludf.DUMMYFUNCTION("""COMPUTED_VALUE"""),"NA")</f>
        <v>NA</v>
      </c>
      <c r="AS2254" s="8">
        <f ca="1">IFERROR(__xludf.DUMMYFUNCTION("""COMPUTED_VALUE"""),1)</f>
        <v>1</v>
      </c>
      <c r="AT2254" s="8"/>
      <c r="AU2254" s="8">
        <f ca="1">IFERROR(__xludf.DUMMYFUNCTION("""COMPUTED_VALUE"""),40.648253)</f>
        <v>40.648252999999997</v>
      </c>
      <c r="AV2254" s="8">
        <f ca="1">IFERROR(__xludf.DUMMYFUNCTION("""COMPUTED_VALUE"""),-73.922491)</f>
        <v>-73.922490999999994</v>
      </c>
      <c r="AW2254" s="8"/>
      <c r="AX2254" s="8">
        <f ca="1">IFERROR(__xludf.DUMMYFUNCTION("""COMPUTED_VALUE"""),11203)</f>
        <v>11203</v>
      </c>
    </row>
    <row r="2255" spans="1:50" ht="150" x14ac:dyDescent="0.2">
      <c r="A2255" s="8" t="str">
        <f ca="1">IFERROR(__xludf.DUMMYFUNCTION("""COMPUTED_VALUE"""),"20051011MIFAF")</f>
        <v>20051011MIFAF</v>
      </c>
      <c r="B2255" s="8">
        <f ca="1">IFERROR(__xludf.DUMMYFUNCTION("""COMPUTED_VALUE"""),10)</f>
        <v>10</v>
      </c>
      <c r="C2255" s="8">
        <f ca="1">IFERROR(__xludf.DUMMYFUNCTION("""COMPUTED_VALUE"""),11)</f>
        <v>11</v>
      </c>
      <c r="D2255" s="8">
        <f ca="1">IFERROR(__xludf.DUMMYFUNCTION("""COMPUTED_VALUE"""),2005)</f>
        <v>2005</v>
      </c>
      <c r="E2255" s="9">
        <f ca="1">IFERROR(__xludf.DUMMYFUNCTION("""COMPUTED_VALUE"""),38636)</f>
        <v>38636</v>
      </c>
      <c r="F2255" s="8" t="str">
        <f ca="1">IFERROR(__xludf.DUMMYFUNCTION("""COMPUTED_VALUE"""),"Farmington High School")</f>
        <v>Farmington High School</v>
      </c>
      <c r="G2255" s="8">
        <f ca="1">IFERROR(__xludf.DUMMYFUNCTION("""COMPUTED_VALUE"""),0)</f>
        <v>0</v>
      </c>
      <c r="H2255" s="8">
        <f ca="1">IFERROR(__xludf.DUMMYFUNCTION("""COMPUTED_VALUE"""),0)</f>
        <v>0</v>
      </c>
      <c r="I2255" s="8">
        <f ca="1">IFERROR(__xludf.DUMMYFUNCTION("""COMPUTED_VALUE"""),0)</f>
        <v>0</v>
      </c>
      <c r="J2255" s="8">
        <f ca="1">IFERROR(__xludf.DUMMYFUNCTION("""COMPUTED_VALUE"""),0)</f>
        <v>0</v>
      </c>
      <c r="K2255" s="10" t="str">
        <f ca="1">IFERROR(__xludf.DUMMYFUNCTION("""COMPUTED_VALUE"""),"https://dailyjournalonline.com/news/local/farmington-youth-is-headed-for-prison/article_c56ed328-1d5d-5ef6-82a8-d88ae950e9e3.html")</f>
        <v>https://dailyjournalonline.com/news/local/farmington-youth-is-headed-for-prison/article_c56ed328-1d5d-5ef6-82a8-d88ae950e9e3.html</v>
      </c>
      <c r="L2255" s="8"/>
      <c r="M2255" s="8"/>
      <c r="N2255" s="8">
        <f ca="1">IFERROR(__xludf.DUMMYFUNCTION("""COMPUTED_VALUE"""),2)</f>
        <v>2</v>
      </c>
      <c r="O2255" s="8" t="str">
        <f ca="1">IFERROR(__xludf.DUMMYFUNCTION("""COMPUTED_VALUE"""),"Fall")</f>
        <v>Fall</v>
      </c>
      <c r="P2255" s="8" t="str">
        <f ca="1">IFERROR(__xludf.DUMMYFUNCTION("""COMPUTED_VALUE"""),"Farmington")</f>
        <v>Farmington</v>
      </c>
      <c r="Q2255" s="8" t="str">
        <f ca="1">IFERROR(__xludf.DUMMYFUNCTION("""COMPUTED_VALUE"""),"MI")</f>
        <v>MI</v>
      </c>
      <c r="R2255" s="8" t="str">
        <f ca="1">IFERROR(__xludf.DUMMYFUNCTION("""COMPUTED_VALUE"""),"High")</f>
        <v>High</v>
      </c>
      <c r="S2255" s="8" t="str">
        <f ca="1">IFERROR(__xludf.DUMMYFUNCTION("""COMPUTED_VALUE"""),"Bathroom")</f>
        <v>Bathroom</v>
      </c>
      <c r="T2255" s="8" t="str">
        <f ca="1">IFERROR(__xludf.DUMMYFUNCTION("""COMPUTED_VALUE"""),"Inside School Building")</f>
        <v>Inside School Building</v>
      </c>
      <c r="U2255" s="8" t="str">
        <f ca="1">IFERROR(__xludf.DUMMYFUNCTION("""COMPUTED_VALUE"""),"Yes")</f>
        <v>Yes</v>
      </c>
      <c r="V2255" s="8" t="str">
        <f ca="1">IFERROR(__xludf.DUMMYFUNCTION("""COMPUTED_VALUE"""),"School Start")</f>
        <v>School Start</v>
      </c>
      <c r="W2255" s="11">
        <f ca="1">IFERROR(__xludf.DUMMYFUNCTION("""COMPUTED_VALUE"""),0.333333333333333)</f>
        <v>0.33333333333333298</v>
      </c>
      <c r="X2255" s="8">
        <f ca="1">IFERROR(__xludf.DUMMYFUNCTION("""COMPUTED_VALUE"""),1)</f>
        <v>1</v>
      </c>
      <c r="Y2255" s="12" t="str">
        <f ca="1">IFERROR(__xludf.DUMMYFUNCTION("""COMPUTED_VALUE"""),"Fired shot into ceiling then surrendered to school administrator")</f>
        <v>Fired shot into ceiling then surrendered to school administrator</v>
      </c>
      <c r="Z2255" s="12" t="str">
        <f ca="1">IFERROR(__xludf.DUMMYFUNCTION("""COMPUTED_VALUE"""),"17YOM dressed all in black with mask and took disassembled shotgun in bag into bathroom. When shooter put the gun together, other students told him that they didn't believe it was a real gun. Shooter fired into the ceiling and students fled. School princi"&amp;"pal heard the shot, ran to the bathroom, and ordered shooter to surrender. The shooter put down the gun and the principal subdued him. Principal said the shooter has multiple mental health issues and believed the incident was an attempted suicide or cry f"&amp;"or help but other students were not in danger.")</f>
        <v>17YOM dressed all in black with mask and took disassembled shotgun in bag into bathroom. When shooter put the gun together, other students told him that they didn't believe it was a real gun. Shooter fired into the ceiling and students fled. School principal heard the shot, ran to the bathroom, and ordered shooter to surrender. The shooter put down the gun and the principal subdued him. Principal said the shooter has multiple mental health issues and believed the incident was an attempted suicide or cry for help but other students were not in danger.</v>
      </c>
      <c r="AA2255" s="8" t="str">
        <f ca="1">IFERROR(__xludf.DUMMYFUNCTION("""COMPUTED_VALUE"""),"Psychosis")</f>
        <v>Psychosis</v>
      </c>
      <c r="AB2255" s="8"/>
      <c r="AC2255" s="8"/>
      <c r="AD2255" s="8" t="str">
        <f ca="1">IFERROR(__xludf.DUMMYFUNCTION("""COMPUTED_VALUE"""),"Neither")</f>
        <v>Neither</v>
      </c>
      <c r="AE2255" s="8" t="str">
        <f ca="1">IFERROR(__xludf.DUMMYFUNCTION("""COMPUTED_VALUE"""),"No")</f>
        <v>No</v>
      </c>
      <c r="AF2255" s="8"/>
      <c r="AG2255" s="8" t="str">
        <f ca="1">IFERROR(__xludf.DUMMYFUNCTION("""COMPUTED_VALUE"""),"No")</f>
        <v>No</v>
      </c>
      <c r="AH2255" s="8" t="str">
        <f ca="1">IFERROR(__xludf.DUMMYFUNCTION("""COMPUTED_VALUE"""),"No")</f>
        <v>No</v>
      </c>
      <c r="AI2255" s="8" t="str">
        <f ca="1">IFERROR(__xludf.DUMMYFUNCTION("""COMPUTED_VALUE"""),"No")</f>
        <v>No</v>
      </c>
      <c r="AJ2255" s="8"/>
      <c r="AK2255" s="8"/>
      <c r="AL2255" s="8" t="str">
        <f ca="1">IFERROR(__xludf.DUMMYFUNCTION("""COMPUTED_VALUE"""),"No")</f>
        <v>No</v>
      </c>
      <c r="AM2255" s="8" t="str">
        <f ca="1">IFERROR(__xludf.DUMMYFUNCTION("""COMPUTED_VALUE"""),"Yes")</f>
        <v>Yes</v>
      </c>
      <c r="AN2255" s="8" t="str">
        <f ca="1">IFERROR(__xludf.DUMMYFUNCTION("""COMPUTED_VALUE"""),"Single Room")</f>
        <v>Single Room</v>
      </c>
      <c r="AO2255" s="8" t="str">
        <f ca="1">IFERROR(__xludf.DUMMYFUNCTION("""COMPUTED_VALUE"""),"No")</f>
        <v>No</v>
      </c>
      <c r="AP2255" s="8" t="str">
        <f ca="1">IFERROR(__xludf.DUMMYFUNCTION("""COMPUTED_VALUE"""),"No")</f>
        <v>No</v>
      </c>
      <c r="AQ2255" s="8" t="str">
        <f ca="1">IFERROR(__xludf.DUMMYFUNCTION("""COMPUTED_VALUE"""),"Unknown")</f>
        <v>Unknown</v>
      </c>
      <c r="AR2255" s="8" t="str">
        <f ca="1">IFERROR(__xludf.DUMMYFUNCTION("""COMPUTED_VALUE"""),"NA")</f>
        <v>NA</v>
      </c>
      <c r="AS2255" s="8">
        <f ca="1">IFERROR(__xludf.DUMMYFUNCTION("""COMPUTED_VALUE"""),1)</f>
        <v>1</v>
      </c>
      <c r="AT2255" s="8"/>
      <c r="AU2255" s="8">
        <f ca="1">IFERROR(__xludf.DUMMYFUNCTION("""COMPUTED_VALUE"""),42.463735)</f>
        <v>42.463735</v>
      </c>
      <c r="AV2255" s="8">
        <f ca="1">IFERROR(__xludf.DUMMYFUNCTION("""COMPUTED_VALUE"""),-83.361027)</f>
        <v>-83.361027000000007</v>
      </c>
      <c r="AW2255" s="8"/>
      <c r="AX2255" s="8">
        <f ca="1">IFERROR(__xludf.DUMMYFUNCTION("""COMPUTED_VALUE"""),48336)</f>
        <v>48336</v>
      </c>
    </row>
    <row r="2256" spans="1:50" ht="105" x14ac:dyDescent="0.2">
      <c r="A2256" s="8" t="str">
        <f ca="1">IFERROR(__xludf.DUMMYFUNCTION("""COMPUTED_VALUE"""),"20051007TXTUD")</f>
        <v>20051007TXTUD</v>
      </c>
      <c r="B2256" s="8">
        <f ca="1">IFERROR(__xludf.DUMMYFUNCTION("""COMPUTED_VALUE"""),10)</f>
        <v>10</v>
      </c>
      <c r="C2256" s="8">
        <f ca="1">IFERROR(__xludf.DUMMYFUNCTION("""COMPUTED_VALUE"""),7)</f>
        <v>7</v>
      </c>
      <c r="D2256" s="8">
        <f ca="1">IFERROR(__xludf.DUMMYFUNCTION("""COMPUTED_VALUE"""),2005)</f>
        <v>2005</v>
      </c>
      <c r="E2256" s="9">
        <f ca="1">IFERROR(__xludf.DUMMYFUNCTION("""COMPUTED_VALUE"""),38632)</f>
        <v>38632</v>
      </c>
      <c r="F2256" s="8" t="str">
        <f ca="1">IFERROR(__xludf.DUMMYFUNCTION("""COMPUTED_VALUE"""),"Duncanville High School")</f>
        <v>Duncanville High School</v>
      </c>
      <c r="G2256" s="8">
        <f ca="1">IFERROR(__xludf.DUMMYFUNCTION("""COMPUTED_VALUE"""),0)</f>
        <v>0</v>
      </c>
      <c r="H2256" s="8">
        <f ca="1">IFERROR(__xludf.DUMMYFUNCTION("""COMPUTED_VALUE"""),3)</f>
        <v>3</v>
      </c>
      <c r="I2256" s="8">
        <f ca="1">IFERROR(__xludf.DUMMYFUNCTION("""COMPUTED_VALUE"""),3)</f>
        <v>3</v>
      </c>
      <c r="J2256" s="8">
        <f ca="1">IFERROR(__xludf.DUMMYFUNCTION("""COMPUTED_VALUE"""),0)</f>
        <v>0</v>
      </c>
      <c r="K2256" s="10" t="str">
        <f ca="1">IFERROR(__xludf.DUMMYFUNCTION("""COMPUTED_VALUE"""),"https://www.myplainview.com/news/article/Three-Duncanville-students-wounded-in-shooting-8703993.php")</f>
        <v>https://www.myplainview.com/news/article/Three-Duncanville-students-wounded-in-shooting-8703993.php</v>
      </c>
      <c r="L2256" s="8"/>
      <c r="M2256" s="8" t="str">
        <f ca="1">IFERROR(__xludf.DUMMYFUNCTION("""COMPUTED_VALUE"""),"Local")</f>
        <v>Local</v>
      </c>
      <c r="N2256" s="8">
        <f ca="1">IFERROR(__xludf.DUMMYFUNCTION("""COMPUTED_VALUE"""),4)</f>
        <v>4</v>
      </c>
      <c r="O2256" s="8" t="str">
        <f ca="1">IFERROR(__xludf.DUMMYFUNCTION("""COMPUTED_VALUE"""),"Fall")</f>
        <v>Fall</v>
      </c>
      <c r="P2256" s="8" t="str">
        <f ca="1">IFERROR(__xludf.DUMMYFUNCTION("""COMPUTED_VALUE"""),"Duncanville")</f>
        <v>Duncanville</v>
      </c>
      <c r="Q2256" s="8" t="str">
        <f ca="1">IFERROR(__xludf.DUMMYFUNCTION("""COMPUTED_VALUE"""),"TX")</f>
        <v>TX</v>
      </c>
      <c r="R2256" s="8" t="str">
        <f ca="1">IFERROR(__xludf.DUMMYFUNCTION("""COMPUTED_VALUE"""),"High")</f>
        <v>High</v>
      </c>
      <c r="S2256" s="8" t="str">
        <f ca="1">IFERROR(__xludf.DUMMYFUNCTION("""COMPUTED_VALUE"""),"Parking Lot")</f>
        <v>Parking Lot</v>
      </c>
      <c r="T2256" s="8" t="str">
        <f ca="1">IFERROR(__xludf.DUMMYFUNCTION("""COMPUTED_VALUE"""),"Outside on School Property")</f>
        <v>Outside on School Property</v>
      </c>
      <c r="U2256" s="8" t="str">
        <f ca="1">IFERROR(__xludf.DUMMYFUNCTION("""COMPUTED_VALUE"""),"No")</f>
        <v>No</v>
      </c>
      <c r="V2256" s="8" t="str">
        <f ca="1">IFERROR(__xludf.DUMMYFUNCTION("""COMPUTED_VALUE"""),"Sport Event")</f>
        <v>Sport Event</v>
      </c>
      <c r="W2256" s="11">
        <f ca="1">IFERROR(__xludf.DUMMYFUNCTION("""COMPUTED_VALUE"""),0.875)</f>
        <v>0.875</v>
      </c>
      <c r="X2256" s="8">
        <f ca="1">IFERROR(__xludf.DUMMYFUNCTION("""COMPUTED_VALUE"""),1)</f>
        <v>1</v>
      </c>
      <c r="Y2256" s="12" t="str">
        <f ca="1">IFERROR(__xludf.DUMMYFUNCTION("""COMPUTED_VALUE"""),"Three students were shot during fight in the parking lot at the end of the football game")</f>
        <v>Three students were shot during fight in the parking lot at the end of the football game</v>
      </c>
      <c r="Z2256" s="12" t="str">
        <f ca="1">IFERROR(__xludf.DUMMYFUNCTION("""COMPUTED_VALUE"""),"Police said officers were responding to a reported fight at the location when the shots rang out. Two 11th-graders at Duncanville High School were transported to Methodist Dallas Medical Center with gunshot wounds, said city spokesman Keith Bilbrey. A mal"&amp;"e student was shot in the foot and a female was shot in the leg. Their conditions were not immediately available.")</f>
        <v>Police said officers were responding to a reported fight at the location when the shots rang out. Two 11th-graders at Duncanville High School were transported to Methodist Dallas Medical Center with gunshot wounds, said city spokesman Keith Bilbrey. A male student was shot in the foot and a female was shot in the leg. Their conditions were not immediately available.</v>
      </c>
      <c r="AA2256" s="8" t="str">
        <f ca="1">IFERROR(__xludf.DUMMYFUNCTION("""COMPUTED_VALUE"""),"Escalation of Dispute")</f>
        <v>Escalation of Dispute</v>
      </c>
      <c r="AB2256" s="8" t="str">
        <f ca="1">IFERROR(__xludf.DUMMYFUNCTION("""COMPUTED_VALUE"""),"Spontaneous")</f>
        <v>Spontaneous</v>
      </c>
      <c r="AC2256" s="8" t="str">
        <f ca="1">IFERROR(__xludf.DUMMYFUNCTION("""COMPUTED_VALUE"""),"Yes")</f>
        <v>Yes</v>
      </c>
      <c r="AD2256" s="8" t="str">
        <f ca="1">IFERROR(__xludf.DUMMYFUNCTION("""COMPUTED_VALUE"""),"Both")</f>
        <v>Both</v>
      </c>
      <c r="AE2256" s="8" t="str">
        <f ca="1">IFERROR(__xludf.DUMMYFUNCTION("""COMPUTED_VALUE"""),"No")</f>
        <v>No</v>
      </c>
      <c r="AF2256" s="8"/>
      <c r="AG2256" s="8" t="str">
        <f ca="1">IFERROR(__xludf.DUMMYFUNCTION("""COMPUTED_VALUE"""),"No")</f>
        <v>No</v>
      </c>
      <c r="AH2256" s="8" t="str">
        <f ca="1">IFERROR(__xludf.DUMMYFUNCTION("""COMPUTED_VALUE"""),"No")</f>
        <v>No</v>
      </c>
      <c r="AI2256" s="8" t="str">
        <f ca="1">IFERROR(__xludf.DUMMYFUNCTION("""COMPUTED_VALUE"""),"No")</f>
        <v>No</v>
      </c>
      <c r="AJ2256" s="8" t="str">
        <f ca="1">IFERROR(__xludf.DUMMYFUNCTION("""COMPUTED_VALUE"""),"No")</f>
        <v>No</v>
      </c>
      <c r="AK2256" s="8" t="str">
        <f ca="1">IFERROR(__xludf.DUMMYFUNCTION("""COMPUTED_VALUE"""),"No")</f>
        <v>No</v>
      </c>
      <c r="AL2256" s="8" t="str">
        <f ca="1">IFERROR(__xludf.DUMMYFUNCTION("""COMPUTED_VALUE"""),"No")</f>
        <v>No</v>
      </c>
      <c r="AM2256" s="8" t="str">
        <f ca="1">IFERROR(__xludf.DUMMYFUNCTION("""COMPUTED_VALUE"""),"No")</f>
        <v>No</v>
      </c>
      <c r="AN2256" s="8" t="str">
        <f ca="1">IFERROR(__xludf.DUMMYFUNCTION("""COMPUTED_VALUE"""),"Outside")</f>
        <v>Outside</v>
      </c>
      <c r="AO2256" s="8" t="str">
        <f ca="1">IFERROR(__xludf.DUMMYFUNCTION("""COMPUTED_VALUE"""),"No")</f>
        <v>No</v>
      </c>
      <c r="AP2256" s="8"/>
      <c r="AQ2256" s="8"/>
      <c r="AR2256" s="8" t="str">
        <f ca="1">IFERROR(__xludf.DUMMYFUNCTION("""COMPUTED_VALUE"""),"Outside/Off-Property")</f>
        <v>Outside/Off-Property</v>
      </c>
      <c r="AS2256" s="8">
        <f ca="1">IFERROR(__xludf.DUMMYFUNCTION("""COMPUTED_VALUE"""),99)</f>
        <v>99</v>
      </c>
      <c r="AT2256" s="8" t="str">
        <f ca="1">IFERROR(__xludf.DUMMYFUNCTION("""COMPUTED_VALUE"""),"No")</f>
        <v>No</v>
      </c>
      <c r="AU2256" s="8">
        <f ca="1">IFERROR(__xludf.DUMMYFUNCTION("""COMPUTED_VALUE"""),32.659819)</f>
        <v>32.659818999999999</v>
      </c>
      <c r="AV2256" s="8">
        <f ca="1">IFERROR(__xludf.DUMMYFUNCTION("""COMPUTED_VALUE"""),-96.929743)</f>
        <v>-96.929743000000002</v>
      </c>
      <c r="AW2256" s="8"/>
      <c r="AX2256" s="8">
        <f ca="1">IFERROR(__xludf.DUMMYFUNCTION("""COMPUTED_VALUE"""),75116)</f>
        <v>75116</v>
      </c>
    </row>
    <row r="2257" spans="1:50" ht="45" x14ac:dyDescent="0.2">
      <c r="A2257" s="8" t="str">
        <f ca="1">IFERROR(__xludf.DUMMYFUNCTION("""COMPUTED_VALUE"""),"20050925CAUNL")</f>
        <v>20050925CAUNL</v>
      </c>
      <c r="B2257" s="8">
        <f ca="1">IFERROR(__xludf.DUMMYFUNCTION("""COMPUTED_VALUE"""),9)</f>
        <v>9</v>
      </c>
      <c r="C2257" s="8">
        <f ca="1">IFERROR(__xludf.DUMMYFUNCTION("""COMPUTED_VALUE"""),25)</f>
        <v>25</v>
      </c>
      <c r="D2257" s="8">
        <f ca="1">IFERROR(__xludf.DUMMYFUNCTION("""COMPUTED_VALUE"""),2005)</f>
        <v>2005</v>
      </c>
      <c r="E2257" s="9">
        <f ca="1">IFERROR(__xludf.DUMMYFUNCTION("""COMPUTED_VALUE"""),38620)</f>
        <v>38620</v>
      </c>
      <c r="F2257" s="8" t="str">
        <f ca="1">IFERROR(__xludf.DUMMYFUNCTION("""COMPUTED_VALUE"""),"Unknown High School")</f>
        <v>Unknown High School</v>
      </c>
      <c r="G2257" s="8">
        <f ca="1">IFERROR(__xludf.DUMMYFUNCTION("""COMPUTED_VALUE"""),0)</f>
        <v>0</v>
      </c>
      <c r="H2257" s="8">
        <f ca="1">IFERROR(__xludf.DUMMYFUNCTION("""COMPUTED_VALUE"""),1)</f>
        <v>1</v>
      </c>
      <c r="I2257" s="8">
        <f ca="1">IFERROR(__xludf.DUMMYFUNCTION("""COMPUTED_VALUE"""),1)</f>
        <v>1</v>
      </c>
      <c r="J2257" s="8">
        <f ca="1">IFERROR(__xludf.DUMMYFUNCTION("""COMPUTED_VALUE"""),0)</f>
        <v>0</v>
      </c>
      <c r="K2257" s="10" t="str">
        <f ca="1">IFERROR(__xludf.DUMMYFUNCTION("""COMPUTED_VALUE"""),"https://www.schoolsecurity.org/wp-content/uploads/2023/09/Snip20230916_36.png")</f>
        <v>https://www.schoolsecurity.org/wp-content/uploads/2023/09/Snip20230916_36.png</v>
      </c>
      <c r="L2257" s="8"/>
      <c r="M2257" s="8"/>
      <c r="N2257" s="8">
        <f ca="1">IFERROR(__xludf.DUMMYFUNCTION("""COMPUTED_VALUE"""),2)</f>
        <v>2</v>
      </c>
      <c r="O2257" s="8" t="str">
        <f ca="1">IFERROR(__xludf.DUMMYFUNCTION("""COMPUTED_VALUE"""),"Fall")</f>
        <v>Fall</v>
      </c>
      <c r="P2257" s="8" t="str">
        <f ca="1">IFERROR(__xludf.DUMMYFUNCTION("""COMPUTED_VALUE"""),"Los Angeles")</f>
        <v>Los Angeles</v>
      </c>
      <c r="Q2257" s="8" t="str">
        <f ca="1">IFERROR(__xludf.DUMMYFUNCTION("""COMPUTED_VALUE"""),"CA")</f>
        <v>CA</v>
      </c>
      <c r="R2257" s="8" t="str">
        <f ca="1">IFERROR(__xludf.DUMMYFUNCTION("""COMPUTED_VALUE"""),"High")</f>
        <v>High</v>
      </c>
      <c r="S2257" s="8" t="str">
        <f ca="1">IFERROR(__xludf.DUMMYFUNCTION("""COMPUTED_VALUE"""),"Football Field/Track")</f>
        <v>Football Field/Track</v>
      </c>
      <c r="T2257" s="8" t="str">
        <f ca="1">IFERROR(__xludf.DUMMYFUNCTION("""COMPUTED_VALUE"""),"Outside on School Property")</f>
        <v>Outside on School Property</v>
      </c>
      <c r="U2257" s="8"/>
      <c r="V2257" s="8" t="str">
        <f ca="1">IFERROR(__xludf.DUMMYFUNCTION("""COMPUTED_VALUE"""),"Sport Event")</f>
        <v>Sport Event</v>
      </c>
      <c r="W2257" s="8"/>
      <c r="X2257" s="8"/>
      <c r="Y2257" s="12" t="str">
        <f ca="1">IFERROR(__xludf.DUMMYFUNCTION("""COMPUTED_VALUE"""),"Person shot inside stadium during football game")</f>
        <v>Person shot inside stadium during football game</v>
      </c>
      <c r="Z2257" s="12" t="str">
        <f ca="1">IFERROR(__xludf.DUMMYFUNCTION("""COMPUTED_VALUE"""),"Person shot inside stadium during football game")</f>
        <v>Person shot inside stadium during football game</v>
      </c>
      <c r="AA2257" s="8"/>
      <c r="AB2257" s="8"/>
      <c r="AC2257" s="8"/>
      <c r="AD2257" s="8"/>
      <c r="AE2257" s="8"/>
      <c r="AF2257" s="8"/>
      <c r="AG2257" s="8"/>
      <c r="AH2257" s="8"/>
      <c r="AI2257" s="8"/>
      <c r="AJ2257" s="8"/>
      <c r="AK2257" s="8"/>
      <c r="AL2257" s="8"/>
      <c r="AM2257" s="8"/>
      <c r="AN2257" s="8"/>
      <c r="AO2257" s="8"/>
      <c r="AP2257" s="8"/>
      <c r="AQ2257" s="8"/>
      <c r="AR2257" s="8"/>
      <c r="AS2257" s="8"/>
      <c r="AT2257" s="8"/>
      <c r="AU2257" s="8"/>
      <c r="AV2257" s="8"/>
      <c r="AW2257" s="8"/>
      <c r="AX2257" s="8"/>
    </row>
    <row r="2258" spans="1:50" ht="45" x14ac:dyDescent="0.2">
      <c r="A2258" s="8" t="str">
        <f ca="1">IFERROR(__xludf.DUMMYFUNCTION("""COMPUTED_VALUE"""),"20050924MISAS")</f>
        <v>20050924MISAS</v>
      </c>
      <c r="B2258" s="8">
        <f ca="1">IFERROR(__xludf.DUMMYFUNCTION("""COMPUTED_VALUE"""),9)</f>
        <v>9</v>
      </c>
      <c r="C2258" s="8">
        <f ca="1">IFERROR(__xludf.DUMMYFUNCTION("""COMPUTED_VALUE"""),24)</f>
        <v>24</v>
      </c>
      <c r="D2258" s="8">
        <f ca="1">IFERROR(__xludf.DUMMYFUNCTION("""COMPUTED_VALUE"""),2005)</f>
        <v>2005</v>
      </c>
      <c r="E2258" s="9">
        <f ca="1">IFERROR(__xludf.DUMMYFUNCTION("""COMPUTED_VALUE"""),38619)</f>
        <v>38619</v>
      </c>
      <c r="F2258" s="8" t="str">
        <f ca="1">IFERROR(__xludf.DUMMYFUNCTION("""COMPUTED_VALUE"""),"Saginaw High School")</f>
        <v>Saginaw High School</v>
      </c>
      <c r="G2258" s="8">
        <f ca="1">IFERROR(__xludf.DUMMYFUNCTION("""COMPUTED_VALUE"""),0)</f>
        <v>0</v>
      </c>
      <c r="H2258" s="8">
        <f ca="1">IFERROR(__xludf.DUMMYFUNCTION("""COMPUTED_VALUE"""),2)</f>
        <v>2</v>
      </c>
      <c r="I2258" s="8">
        <f ca="1">IFERROR(__xludf.DUMMYFUNCTION("""COMPUTED_VALUE"""),2)</f>
        <v>2</v>
      </c>
      <c r="J2258" s="8">
        <f ca="1">IFERROR(__xludf.DUMMYFUNCTION("""COMPUTED_VALUE"""),0)</f>
        <v>0</v>
      </c>
      <c r="K2258" s="10" t="str">
        <f ca="1">IFERROR(__xludf.DUMMYFUNCTION("""COMPUTED_VALUE"""),"https://www.newspapers.com/image/442838812/?terms=SAGINAW%2BDRIVE-BY%2BSHOOTING")</f>
        <v>https://www.newspapers.com/image/442838812/?terms=SAGINAW%2BDRIVE-BY%2BSHOOTING</v>
      </c>
      <c r="L2258" s="8"/>
      <c r="M2258" s="8"/>
      <c r="N2258" s="8">
        <f ca="1">IFERROR(__xludf.DUMMYFUNCTION("""COMPUTED_VALUE"""),2)</f>
        <v>2</v>
      </c>
      <c r="O2258" s="8" t="str">
        <f ca="1">IFERROR(__xludf.DUMMYFUNCTION("""COMPUTED_VALUE"""),"Fall")</f>
        <v>Fall</v>
      </c>
      <c r="P2258" s="8" t="str">
        <f ca="1">IFERROR(__xludf.DUMMYFUNCTION("""COMPUTED_VALUE"""),"Saginaw")</f>
        <v>Saginaw</v>
      </c>
      <c r="Q2258" s="8" t="str">
        <f ca="1">IFERROR(__xludf.DUMMYFUNCTION("""COMPUTED_VALUE"""),"MI")</f>
        <v>MI</v>
      </c>
      <c r="R2258" s="8" t="str">
        <f ca="1">IFERROR(__xludf.DUMMYFUNCTION("""COMPUTED_VALUE"""),"High")</f>
        <v>High</v>
      </c>
      <c r="S2258" s="8" t="str">
        <f ca="1">IFERROR(__xludf.DUMMYFUNCTION("""COMPUTED_VALUE"""),"Beside Building")</f>
        <v>Beside Building</v>
      </c>
      <c r="T2258" s="8" t="str">
        <f ca="1">IFERROR(__xludf.DUMMYFUNCTION("""COMPUTED_VALUE"""),"Outside on School Property")</f>
        <v>Outside on School Property</v>
      </c>
      <c r="U2258" s="8" t="str">
        <f ca="1">IFERROR(__xludf.DUMMYFUNCTION("""COMPUTED_VALUE"""),"No")</f>
        <v>No</v>
      </c>
      <c r="V2258" s="8" t="str">
        <f ca="1">IFERROR(__xludf.DUMMYFUNCTION("""COMPUTED_VALUE"""),"School Event")</f>
        <v>School Event</v>
      </c>
      <c r="W2258" s="11">
        <f ca="1">IFERROR(__xludf.DUMMYFUNCTION("""COMPUTED_VALUE"""),0.979166666666666)</f>
        <v>0.97916666666666596</v>
      </c>
      <c r="X2258" s="8">
        <f ca="1">IFERROR(__xludf.DUMMYFUNCTION("""COMPUTED_VALUE"""),1)</f>
        <v>1</v>
      </c>
      <c r="Y2258" s="12" t="str">
        <f ca="1">IFERROR(__xludf.DUMMYFUNCTION("""COMPUTED_VALUE"""),"Drive-by shooting. Possible feud or gang escalation")</f>
        <v>Drive-by shooting. Possible feud or gang escalation</v>
      </c>
      <c r="Z2258" s="12" t="str">
        <f ca="1">IFERROR(__xludf.DUMMYFUNCTION("""COMPUTED_VALUE"""),"Drive-by shooting when hundreds of students left homecoming dance. 15YOM shot in leg and 14YOF shot in shoulder.")</f>
        <v>Drive-by shooting when hundreds of students left homecoming dance. 15YOM shot in leg and 14YOF shot in shoulder.</v>
      </c>
      <c r="AA2258" s="8" t="str">
        <f ca="1">IFERROR(__xludf.DUMMYFUNCTION("""COMPUTED_VALUE"""),"Drive-by Shooting")</f>
        <v>Drive-by Shooting</v>
      </c>
      <c r="AB2258" s="8"/>
      <c r="AC2258" s="8"/>
      <c r="AD2258" s="8"/>
      <c r="AE2258" s="8" t="str">
        <f ca="1">IFERROR(__xludf.DUMMYFUNCTION("""COMPUTED_VALUE"""),"No")</f>
        <v>No</v>
      </c>
      <c r="AF2258" s="8"/>
      <c r="AG2258" s="8" t="str">
        <f ca="1">IFERROR(__xludf.DUMMYFUNCTION("""COMPUTED_VALUE"""),"No")</f>
        <v>No</v>
      </c>
      <c r="AH2258" s="8" t="str">
        <f ca="1">IFERROR(__xludf.DUMMYFUNCTION("""COMPUTED_VALUE"""),"No")</f>
        <v>No</v>
      </c>
      <c r="AI2258" s="8" t="str">
        <f ca="1">IFERROR(__xludf.DUMMYFUNCTION("""COMPUTED_VALUE"""),"No")</f>
        <v>No</v>
      </c>
      <c r="AJ2258" s="8" t="str">
        <f ca="1">IFERROR(__xludf.DUMMYFUNCTION("""COMPUTED_VALUE"""),"No")</f>
        <v>No</v>
      </c>
      <c r="AK2258" s="8" t="str">
        <f ca="1">IFERROR(__xludf.DUMMYFUNCTION("""COMPUTED_VALUE"""),"No")</f>
        <v>No</v>
      </c>
      <c r="AL2258" s="8" t="str">
        <f ca="1">IFERROR(__xludf.DUMMYFUNCTION("""COMPUTED_VALUE"""),"Yes")</f>
        <v>Yes</v>
      </c>
      <c r="AM2258" s="8"/>
      <c r="AN2258" s="8"/>
      <c r="AO2258" s="8" t="str">
        <f ca="1">IFERROR(__xludf.DUMMYFUNCTION("""COMPUTED_VALUE"""),"No")</f>
        <v>No</v>
      </c>
      <c r="AP2258" s="8"/>
      <c r="AQ2258" s="8" t="str">
        <f ca="1">IFERROR(__xludf.DUMMYFUNCTION("""COMPUTED_VALUE"""),"Unknown")</f>
        <v>Unknown</v>
      </c>
      <c r="AR2258" s="8" t="str">
        <f ca="1">IFERROR(__xludf.DUMMYFUNCTION("""COMPUTED_VALUE"""),"NA")</f>
        <v>NA</v>
      </c>
      <c r="AS2258" s="8"/>
      <c r="AT2258" s="8"/>
      <c r="AU2258" s="8">
        <f ca="1">IFERROR(__xludf.DUMMYFUNCTION("""COMPUTED_VALUE"""),43.406205)</f>
        <v>43.406205</v>
      </c>
      <c r="AV2258" s="8">
        <f ca="1">IFERROR(__xludf.DUMMYFUNCTION("""COMPUTED_VALUE"""),-83.925742)</f>
        <v>-83.925742</v>
      </c>
      <c r="AW2258" s="8"/>
      <c r="AX2258" s="8">
        <f ca="1">IFERROR(__xludf.DUMMYFUNCTION("""COMPUTED_VALUE"""),48601)</f>
        <v>48601</v>
      </c>
    </row>
    <row r="2259" spans="1:50" ht="30" x14ac:dyDescent="0.2">
      <c r="A2259" s="8" t="str">
        <f ca="1">IFERROR(__xludf.DUMMYFUNCTION("""COMPUTED_VALUE"""),"20050916UTUNS")</f>
        <v>20050916UTUNS</v>
      </c>
      <c r="B2259" s="8">
        <f ca="1">IFERROR(__xludf.DUMMYFUNCTION("""COMPUTED_VALUE"""),9)</f>
        <v>9</v>
      </c>
      <c r="C2259" s="8">
        <f ca="1">IFERROR(__xludf.DUMMYFUNCTION("""COMPUTED_VALUE"""),16)</f>
        <v>16</v>
      </c>
      <c r="D2259" s="8">
        <f ca="1">IFERROR(__xludf.DUMMYFUNCTION("""COMPUTED_VALUE"""),2005)</f>
        <v>2005</v>
      </c>
      <c r="E2259" s="9">
        <f ca="1">IFERROR(__xludf.DUMMYFUNCTION("""COMPUTED_VALUE"""),38611)</f>
        <v>38611</v>
      </c>
      <c r="F2259" s="8" t="str">
        <f ca="1">IFERROR(__xludf.DUMMYFUNCTION("""COMPUTED_VALUE"""),"Unknown High School")</f>
        <v>Unknown High School</v>
      </c>
      <c r="G2259" s="8">
        <f ca="1">IFERROR(__xludf.DUMMYFUNCTION("""COMPUTED_VALUE"""),0)</f>
        <v>0</v>
      </c>
      <c r="H2259" s="8">
        <f ca="1">IFERROR(__xludf.DUMMYFUNCTION("""COMPUTED_VALUE"""),1)</f>
        <v>1</v>
      </c>
      <c r="I2259" s="8">
        <f ca="1">IFERROR(__xludf.DUMMYFUNCTION("""COMPUTED_VALUE"""),1)</f>
        <v>1</v>
      </c>
      <c r="J2259" s="8">
        <f ca="1">IFERROR(__xludf.DUMMYFUNCTION("""COMPUTED_VALUE"""),0)</f>
        <v>0</v>
      </c>
      <c r="K2259" s="10" t="str">
        <f ca="1">IFERROR(__xludf.DUMMYFUNCTION("""COMPUTED_VALUE"""),"https://www.schoolsecurity.org/wp-content/uploads/2023/09/Snip20230916_36.png")</f>
        <v>https://www.schoolsecurity.org/wp-content/uploads/2023/09/Snip20230916_36.png</v>
      </c>
      <c r="L2259" s="8"/>
      <c r="M2259" s="8"/>
      <c r="N2259" s="8">
        <f ca="1">IFERROR(__xludf.DUMMYFUNCTION("""COMPUTED_VALUE"""),2)</f>
        <v>2</v>
      </c>
      <c r="O2259" s="8" t="str">
        <f ca="1">IFERROR(__xludf.DUMMYFUNCTION("""COMPUTED_VALUE"""),"Fall")</f>
        <v>Fall</v>
      </c>
      <c r="P2259" s="8" t="str">
        <f ca="1">IFERROR(__xludf.DUMMYFUNCTION("""COMPUTED_VALUE"""),"South Salt Lake")</f>
        <v>South Salt Lake</v>
      </c>
      <c r="Q2259" s="8" t="str">
        <f ca="1">IFERROR(__xludf.DUMMYFUNCTION("""COMPUTED_VALUE"""),"UT")</f>
        <v>UT</v>
      </c>
      <c r="R2259" s="8" t="str">
        <f ca="1">IFERROR(__xludf.DUMMYFUNCTION("""COMPUTED_VALUE"""),"High")</f>
        <v>High</v>
      </c>
      <c r="S2259" s="8" t="str">
        <f ca="1">IFERROR(__xludf.DUMMYFUNCTION("""COMPUTED_VALUE"""),"Parking Lot")</f>
        <v>Parking Lot</v>
      </c>
      <c r="T2259" s="8" t="str">
        <f ca="1">IFERROR(__xludf.DUMMYFUNCTION("""COMPUTED_VALUE"""),"Outside on School Property")</f>
        <v>Outside on School Property</v>
      </c>
      <c r="U2259" s="8" t="str">
        <f ca="1">IFERROR(__xludf.DUMMYFUNCTION("""COMPUTED_VALUE"""),"No")</f>
        <v>No</v>
      </c>
      <c r="V2259" s="8" t="str">
        <f ca="1">IFERROR(__xludf.DUMMYFUNCTION("""COMPUTED_VALUE"""),"Sport Event")</f>
        <v>Sport Event</v>
      </c>
      <c r="W2259" s="8"/>
      <c r="X2259" s="8">
        <f ca="1">IFERROR(__xludf.DUMMYFUNCTION("""COMPUTED_VALUE"""),1)</f>
        <v>1</v>
      </c>
      <c r="Y2259" s="12" t="str">
        <f ca="1">IFERROR(__xludf.DUMMYFUNCTION("""COMPUTED_VALUE"""),"Person shot after football game")</f>
        <v>Person shot after football game</v>
      </c>
      <c r="Z2259" s="12" t="str">
        <f ca="1">IFERROR(__xludf.DUMMYFUNCTION("""COMPUTED_VALUE"""),"Person shot after football game")</f>
        <v>Person shot after football game</v>
      </c>
      <c r="AA2259" s="8"/>
      <c r="AB2259" s="8"/>
      <c r="AC2259" s="8"/>
      <c r="AD2259" s="8"/>
      <c r="AE2259" s="8"/>
      <c r="AF2259" s="8"/>
      <c r="AG2259" s="8"/>
      <c r="AH2259" s="8"/>
      <c r="AI2259" s="8"/>
      <c r="AJ2259" s="8"/>
      <c r="AK2259" s="8"/>
      <c r="AL2259" s="8"/>
      <c r="AM2259" s="8"/>
      <c r="AN2259" s="8"/>
      <c r="AO2259" s="8"/>
      <c r="AP2259" s="8"/>
      <c r="AQ2259" s="8"/>
      <c r="AR2259" s="8"/>
      <c r="AS2259" s="8"/>
      <c r="AT2259" s="8"/>
      <c r="AU2259" s="8"/>
      <c r="AV2259" s="8"/>
      <c r="AW2259" s="8"/>
      <c r="AX2259" s="8"/>
    </row>
    <row r="2260" spans="1:50" ht="60" x14ac:dyDescent="0.2">
      <c r="A2260" s="8" t="str">
        <f ca="1">IFERROR(__xludf.DUMMYFUNCTION("""COMPUTED_VALUE"""),"20050913ILHAC")</f>
        <v>20050913ILHAC</v>
      </c>
      <c r="B2260" s="8">
        <f ca="1">IFERROR(__xludf.DUMMYFUNCTION("""COMPUTED_VALUE"""),9)</f>
        <v>9</v>
      </c>
      <c r="C2260" s="8">
        <f ca="1">IFERROR(__xludf.DUMMYFUNCTION("""COMPUTED_VALUE"""),13)</f>
        <v>13</v>
      </c>
      <c r="D2260" s="8">
        <f ca="1">IFERROR(__xludf.DUMMYFUNCTION("""COMPUTED_VALUE"""),2005)</f>
        <v>2005</v>
      </c>
      <c r="E2260" s="9">
        <f ca="1">IFERROR(__xludf.DUMMYFUNCTION("""COMPUTED_VALUE"""),38608)</f>
        <v>38608</v>
      </c>
      <c r="F2260" s="8" t="str">
        <f ca="1">IFERROR(__xludf.DUMMYFUNCTION("""COMPUTED_VALUE"""),"Harlan Community Academy High School")</f>
        <v>Harlan Community Academy High School</v>
      </c>
      <c r="G2260" s="8">
        <f ca="1">IFERROR(__xludf.DUMMYFUNCTION("""COMPUTED_VALUE"""),0)</f>
        <v>0</v>
      </c>
      <c r="H2260" s="8">
        <f ca="1">IFERROR(__xludf.DUMMYFUNCTION("""COMPUTED_VALUE"""),1)</f>
        <v>1</v>
      </c>
      <c r="I2260" s="8">
        <f ca="1">IFERROR(__xludf.DUMMYFUNCTION("""COMPUTED_VALUE"""),1)</f>
        <v>1</v>
      </c>
      <c r="J2260" s="8">
        <f ca="1">IFERROR(__xludf.DUMMYFUNCTION("""COMPUTED_VALUE"""),0)</f>
        <v>0</v>
      </c>
      <c r="K2260" s="10" t="str">
        <f ca="1">IFERROR(__xludf.DUMMYFUNCTION("""COMPUTED_VALUE"""),"http://articles.chicagotribune.com/2005-09-14/news/0509140261_1_student-chicago-public-schools-initial-fight")</f>
        <v>http://articles.chicagotribune.com/2005-09-14/news/0509140261_1_student-chicago-public-schools-initial-fight</v>
      </c>
      <c r="L2260" s="8"/>
      <c r="M2260" s="8"/>
      <c r="N2260" s="8">
        <f ca="1">IFERROR(__xludf.DUMMYFUNCTION("""COMPUTED_VALUE"""),2)</f>
        <v>2</v>
      </c>
      <c r="O2260" s="8" t="str">
        <f ca="1">IFERROR(__xludf.DUMMYFUNCTION("""COMPUTED_VALUE"""),"Fall")</f>
        <v>Fall</v>
      </c>
      <c r="P2260" s="8" t="str">
        <f ca="1">IFERROR(__xludf.DUMMYFUNCTION("""COMPUTED_VALUE"""),"Chicago")</f>
        <v>Chicago</v>
      </c>
      <c r="Q2260" s="8" t="str">
        <f ca="1">IFERROR(__xludf.DUMMYFUNCTION("""COMPUTED_VALUE"""),"IL")</f>
        <v>IL</v>
      </c>
      <c r="R2260" s="8" t="str">
        <f ca="1">IFERROR(__xludf.DUMMYFUNCTION("""COMPUTED_VALUE"""),"High")</f>
        <v>High</v>
      </c>
      <c r="S2260" s="8" t="str">
        <f ca="1">IFERROR(__xludf.DUMMYFUNCTION("""COMPUTED_VALUE"""),"Hallway")</f>
        <v>Hallway</v>
      </c>
      <c r="T2260" s="8" t="str">
        <f ca="1">IFERROR(__xludf.DUMMYFUNCTION("""COMPUTED_VALUE"""),"Inside School Building")</f>
        <v>Inside School Building</v>
      </c>
      <c r="U2260" s="8" t="str">
        <f ca="1">IFERROR(__xludf.DUMMYFUNCTION("""COMPUTED_VALUE"""),"Yes")</f>
        <v>Yes</v>
      </c>
      <c r="V2260" s="8" t="str">
        <f ca="1">IFERROR(__xludf.DUMMYFUNCTION("""COMPUTED_VALUE"""),"Dismissal")</f>
        <v>Dismissal</v>
      </c>
      <c r="W2260" s="11">
        <f ca="1">IFERROR(__xludf.DUMMYFUNCTION("""COMPUTED_VALUE"""),0.597222222222222)</f>
        <v>0.59722222222222199</v>
      </c>
      <c r="X2260" s="8">
        <f ca="1">IFERROR(__xludf.DUMMYFUNCTION("""COMPUTED_VALUE"""),1)</f>
        <v>1</v>
      </c>
      <c r="Y2260" s="12" t="str">
        <f ca="1">IFERROR(__xludf.DUMMYFUNCTION("""COMPUTED_VALUE"""),"Fight involving multiple students at end of day")</f>
        <v>Fight involving multiple students at end of day</v>
      </c>
      <c r="Z2260" s="12" t="str">
        <f ca="1">IFERROR(__xludf.DUMMYFUNCTION("""COMPUTED_VALUE"""),"Fight occured at the end of the school day between multiple students. During the fight, the shooter fired a .25 handgun striking another student in the foot. A police officer assigned to the school immediately arrested the shooter.")</f>
        <v>Fight occured at the end of the school day between multiple students. During the fight, the shooter fired a .25 handgun striking another student in the foot. A police officer assigned to the school immediately arrested the shooter.</v>
      </c>
      <c r="AA2260" s="8" t="str">
        <f ca="1">IFERROR(__xludf.DUMMYFUNCTION("""COMPUTED_VALUE"""),"Escalation of Dispute")</f>
        <v>Escalation of Dispute</v>
      </c>
      <c r="AB2260" s="8"/>
      <c r="AC2260" s="8"/>
      <c r="AD2260" s="8" t="str">
        <f ca="1">IFERROR(__xludf.DUMMYFUNCTION("""COMPUTED_VALUE"""),"Victims Targeted")</f>
        <v>Victims Targeted</v>
      </c>
      <c r="AE2260" s="8" t="str">
        <f ca="1">IFERROR(__xludf.DUMMYFUNCTION("""COMPUTED_VALUE"""),"No")</f>
        <v>No</v>
      </c>
      <c r="AF2260" s="8"/>
      <c r="AG2260" s="8" t="str">
        <f ca="1">IFERROR(__xludf.DUMMYFUNCTION("""COMPUTED_VALUE"""),"No")</f>
        <v>No</v>
      </c>
      <c r="AH2260" s="8" t="str">
        <f ca="1">IFERROR(__xludf.DUMMYFUNCTION("""COMPUTED_VALUE"""),"No")</f>
        <v>No</v>
      </c>
      <c r="AI2260" s="8" t="str">
        <f ca="1">IFERROR(__xludf.DUMMYFUNCTION("""COMPUTED_VALUE"""),"No")</f>
        <v>No</v>
      </c>
      <c r="AJ2260" s="8"/>
      <c r="AK2260" s="8" t="str">
        <f ca="1">IFERROR(__xludf.DUMMYFUNCTION("""COMPUTED_VALUE"""),"No")</f>
        <v>No</v>
      </c>
      <c r="AL2260" s="8" t="str">
        <f ca="1">IFERROR(__xludf.DUMMYFUNCTION("""COMPUTED_VALUE"""),"No")</f>
        <v>No</v>
      </c>
      <c r="AM2260" s="8"/>
      <c r="AN2260" s="8"/>
      <c r="AO2260" s="8" t="str">
        <f ca="1">IFERROR(__xludf.DUMMYFUNCTION("""COMPUTED_VALUE"""),"No")</f>
        <v>No</v>
      </c>
      <c r="AP2260" s="8" t="str">
        <f ca="1">IFERROR(__xludf.DUMMYFUNCTION("""COMPUTED_VALUE"""),"Yes")</f>
        <v>Yes</v>
      </c>
      <c r="AQ2260" s="8" t="str">
        <f ca="1">IFERROR(__xludf.DUMMYFUNCTION("""COMPUTED_VALUE"""),"Unknown")</f>
        <v>Unknown</v>
      </c>
      <c r="AR2260" s="8" t="str">
        <f ca="1">IFERROR(__xludf.DUMMYFUNCTION("""COMPUTED_VALUE"""),"NA")</f>
        <v>NA</v>
      </c>
      <c r="AS2260" s="8">
        <f ca="1">IFERROR(__xludf.DUMMYFUNCTION("""COMPUTED_VALUE"""),1)</f>
        <v>1</v>
      </c>
      <c r="AT2260" s="8"/>
      <c r="AU2260" s="8">
        <f ca="1">IFERROR(__xludf.DUMMYFUNCTION("""COMPUTED_VALUE"""),41.718231)</f>
        <v>41.718231000000003</v>
      </c>
      <c r="AV2260" s="8">
        <f ca="1">IFERROR(__xludf.DUMMYFUNCTION("""COMPUTED_VALUE"""),-87.621004)</f>
        <v>-87.621003999999999</v>
      </c>
      <c r="AW2260" s="8"/>
      <c r="AX2260" s="8">
        <f ca="1">IFERROR(__xludf.DUMMYFUNCTION("""COMPUTED_VALUE"""),60628)</f>
        <v>60628</v>
      </c>
    </row>
    <row r="2261" spans="1:50" ht="60" x14ac:dyDescent="0.2">
      <c r="A2261" s="8" t="str">
        <f ca="1">IFERROR(__xludf.DUMMYFUNCTION("""COMPUTED_VALUE"""),"20050909WIPAR")</f>
        <v>20050909WIPAR</v>
      </c>
      <c r="B2261" s="8">
        <f ca="1">IFERROR(__xludf.DUMMYFUNCTION("""COMPUTED_VALUE"""),9)</f>
        <v>9</v>
      </c>
      <c r="C2261" s="8">
        <f ca="1">IFERROR(__xludf.DUMMYFUNCTION("""COMPUTED_VALUE"""),9)</f>
        <v>9</v>
      </c>
      <c r="D2261" s="8">
        <f ca="1">IFERROR(__xludf.DUMMYFUNCTION("""COMPUTED_VALUE"""),2005)</f>
        <v>2005</v>
      </c>
      <c r="E2261" s="9">
        <f ca="1">IFERROR(__xludf.DUMMYFUNCTION("""COMPUTED_VALUE"""),38604)</f>
        <v>38604</v>
      </c>
      <c r="F2261" s="8" t="str">
        <f ca="1">IFERROR(__xludf.DUMMYFUNCTION("""COMPUTED_VALUE"""),"Park High School")</f>
        <v>Park High School</v>
      </c>
      <c r="G2261" s="8">
        <f ca="1">IFERROR(__xludf.DUMMYFUNCTION("""COMPUTED_VALUE"""),0)</f>
        <v>0</v>
      </c>
      <c r="H2261" s="8">
        <f ca="1">IFERROR(__xludf.DUMMYFUNCTION("""COMPUTED_VALUE"""),2)</f>
        <v>2</v>
      </c>
      <c r="I2261" s="8">
        <f ca="1">IFERROR(__xludf.DUMMYFUNCTION("""COMPUTED_VALUE"""),2)</f>
        <v>2</v>
      </c>
      <c r="J2261" s="8">
        <f ca="1">IFERROR(__xludf.DUMMYFUNCTION("""COMPUTED_VALUE"""),0)</f>
        <v>0</v>
      </c>
      <c r="K2261" s="10" t="str">
        <f ca="1">IFERROR(__xludf.DUMMYFUNCTION("""COMPUTED_VALUE"""),"https://journaltimes.com/news/local/two-shot-outside-game/article_d47cc868-bebb-5507-a91c-f48063e43285.html")</f>
        <v>https://journaltimes.com/news/local/two-shot-outside-game/article_d47cc868-bebb-5507-a91c-f48063e43285.html</v>
      </c>
      <c r="L2261" s="8">
        <f ca="1">IFERROR(__xludf.DUMMYFUNCTION("""COMPUTED_VALUE"""),5)</f>
        <v>5</v>
      </c>
      <c r="M2261" s="8" t="str">
        <f ca="1">IFERROR(__xludf.DUMMYFUNCTION("""COMPUTED_VALUE"""),"Local")</f>
        <v>Local</v>
      </c>
      <c r="N2261" s="8">
        <f ca="1">IFERROR(__xludf.DUMMYFUNCTION("""COMPUTED_VALUE"""),4)</f>
        <v>4</v>
      </c>
      <c r="O2261" s="8" t="str">
        <f ca="1">IFERROR(__xludf.DUMMYFUNCTION("""COMPUTED_VALUE"""),"Fall")</f>
        <v>Fall</v>
      </c>
      <c r="P2261" s="8" t="str">
        <f ca="1">IFERROR(__xludf.DUMMYFUNCTION("""COMPUTED_VALUE"""),"Racine")</f>
        <v>Racine</v>
      </c>
      <c r="Q2261" s="8" t="str">
        <f ca="1">IFERROR(__xludf.DUMMYFUNCTION("""COMPUTED_VALUE"""),"WI")</f>
        <v>WI</v>
      </c>
      <c r="R2261" s="8" t="str">
        <f ca="1">IFERROR(__xludf.DUMMYFUNCTION("""COMPUTED_VALUE"""),"High")</f>
        <v>High</v>
      </c>
      <c r="S2261" s="8" t="str">
        <f ca="1">IFERROR(__xludf.DUMMYFUNCTION("""COMPUTED_VALUE"""),"Football Field/Track")</f>
        <v>Football Field/Track</v>
      </c>
      <c r="T2261" s="8" t="str">
        <f ca="1">IFERROR(__xludf.DUMMYFUNCTION("""COMPUTED_VALUE"""),"Outside on School Property")</f>
        <v>Outside on School Property</v>
      </c>
      <c r="U2261" s="8" t="str">
        <f ca="1">IFERROR(__xludf.DUMMYFUNCTION("""COMPUTED_VALUE"""),"No")</f>
        <v>No</v>
      </c>
      <c r="V2261" s="8" t="str">
        <f ca="1">IFERROR(__xludf.DUMMYFUNCTION("""COMPUTED_VALUE"""),"Sport Event")</f>
        <v>Sport Event</v>
      </c>
      <c r="W2261" s="8"/>
      <c r="X2261" s="8"/>
      <c r="Y2261" s="12" t="str">
        <f ca="1">IFERROR(__xludf.DUMMYFUNCTION("""COMPUTED_VALUE"""),"Two shot during fight outside high school football game")</f>
        <v>Two shot during fight outside high school football game</v>
      </c>
      <c r="Z2261" s="12" t="str">
        <f ca="1">IFERROR(__xludf.DUMMYFUNCTION("""COMPUTED_VALUE"""),"Two shot during fight outside high school football game")</f>
        <v>Two shot during fight outside high school football game</v>
      </c>
      <c r="AA2261" s="8" t="str">
        <f ca="1">IFERROR(__xludf.DUMMYFUNCTION("""COMPUTED_VALUE"""),"Escalation of Dispute")</f>
        <v>Escalation of Dispute</v>
      </c>
      <c r="AB2261" s="8"/>
      <c r="AC2261" s="8"/>
      <c r="AD2261" s="8"/>
      <c r="AE2261" s="8" t="str">
        <f ca="1">IFERROR(__xludf.DUMMYFUNCTION("""COMPUTED_VALUE"""),"No")</f>
        <v>No</v>
      </c>
      <c r="AF2261" s="8"/>
      <c r="AG2261" s="8" t="str">
        <f ca="1">IFERROR(__xludf.DUMMYFUNCTION("""COMPUTED_VALUE"""),"No")</f>
        <v>No</v>
      </c>
      <c r="AH2261" s="8" t="str">
        <f ca="1">IFERROR(__xludf.DUMMYFUNCTION("""COMPUTED_VALUE"""),"No")</f>
        <v>No</v>
      </c>
      <c r="AI2261" s="8" t="str">
        <f ca="1">IFERROR(__xludf.DUMMYFUNCTION("""COMPUTED_VALUE"""),"No")</f>
        <v>No</v>
      </c>
      <c r="AJ2261" s="8" t="str">
        <f ca="1">IFERROR(__xludf.DUMMYFUNCTION("""COMPUTED_VALUE"""),"No")</f>
        <v>No</v>
      </c>
      <c r="AK2261" s="8" t="str">
        <f ca="1">IFERROR(__xludf.DUMMYFUNCTION("""COMPUTED_VALUE"""),"No")</f>
        <v>No</v>
      </c>
      <c r="AL2261" s="8" t="str">
        <f ca="1">IFERROR(__xludf.DUMMYFUNCTION("""COMPUTED_VALUE"""),"No")</f>
        <v>No</v>
      </c>
      <c r="AM2261" s="8" t="str">
        <f ca="1">IFERROR(__xludf.DUMMYFUNCTION("""COMPUTED_VALUE"""),"No")</f>
        <v>No</v>
      </c>
      <c r="AN2261" s="8"/>
      <c r="AO2261" s="8" t="str">
        <f ca="1">IFERROR(__xludf.DUMMYFUNCTION("""COMPUTED_VALUE"""),"No")</f>
        <v>No</v>
      </c>
      <c r="AP2261" s="8"/>
      <c r="AQ2261" s="8"/>
      <c r="AR2261" s="8"/>
      <c r="AS2261" s="8">
        <f ca="1">IFERROR(__xludf.DUMMYFUNCTION("""COMPUTED_VALUE"""),99)</f>
        <v>99</v>
      </c>
      <c r="AT2261" s="8"/>
      <c r="AU2261" s="8">
        <f ca="1">IFERROR(__xludf.DUMMYFUNCTION("""COMPUTED_VALUE"""),42.718698)</f>
        <v>42.718698000000003</v>
      </c>
      <c r="AV2261" s="8">
        <f ca="1">IFERROR(__xludf.DUMMYFUNCTION("""COMPUTED_VALUE"""),-87.8057)</f>
        <v>-87.805700000000002</v>
      </c>
      <c r="AW2261" s="8"/>
      <c r="AX2261" s="8">
        <f ca="1">IFERROR(__xludf.DUMMYFUNCTION("""COMPUTED_VALUE"""),53403)</f>
        <v>53403</v>
      </c>
    </row>
    <row r="2262" spans="1:50" ht="60" x14ac:dyDescent="0.2">
      <c r="A2262" s="8" t="str">
        <f ca="1">IFERROR(__xludf.DUMMYFUNCTION("""COMPUTED_VALUE"""),"20050902FLSOJ")</f>
        <v>20050902FLSOJ</v>
      </c>
      <c r="B2262" s="8">
        <f ca="1">IFERROR(__xludf.DUMMYFUNCTION("""COMPUTED_VALUE"""),9)</f>
        <v>9</v>
      </c>
      <c r="C2262" s="8">
        <f ca="1">IFERROR(__xludf.DUMMYFUNCTION("""COMPUTED_VALUE"""),2)</f>
        <v>2</v>
      </c>
      <c r="D2262" s="8">
        <f ca="1">IFERROR(__xludf.DUMMYFUNCTION("""COMPUTED_VALUE"""),2005)</f>
        <v>2005</v>
      </c>
      <c r="E2262" s="9">
        <f ca="1">IFERROR(__xludf.DUMMYFUNCTION("""COMPUTED_VALUE"""),38597)</f>
        <v>38597</v>
      </c>
      <c r="F2262" s="8" t="str">
        <f ca="1">IFERROR(__xludf.DUMMYFUNCTION("""COMPUTED_VALUE"""),"Sojourner Truth High School")</f>
        <v>Sojourner Truth High School</v>
      </c>
      <c r="G2262" s="8">
        <f ca="1">IFERROR(__xludf.DUMMYFUNCTION("""COMPUTED_VALUE"""),0)</f>
        <v>0</v>
      </c>
      <c r="H2262" s="8">
        <f ca="1">IFERROR(__xludf.DUMMYFUNCTION("""COMPUTED_VALUE"""),1)</f>
        <v>1</v>
      </c>
      <c r="I2262" s="8">
        <f ca="1">IFERROR(__xludf.DUMMYFUNCTION("""COMPUTED_VALUE"""),1)</f>
        <v>1</v>
      </c>
      <c r="J2262" s="8">
        <f ca="1">IFERROR(__xludf.DUMMYFUNCTION("""COMPUTED_VALUE"""),0)</f>
        <v>0</v>
      </c>
      <c r="K2262" s="10" t="str">
        <f ca="1">IFERROR(__xludf.DUMMYFUNCTION("""COMPUTED_VALUE"""),"https://www.questia.com/newspaper/1G1-136174022/student-shot-at-school-police-say-the-shooting-was")</f>
        <v>https://www.questia.com/newspaper/1G1-136174022/student-shot-at-school-police-say-the-shooting-was</v>
      </c>
      <c r="L2262" s="8"/>
      <c r="M2262" s="8"/>
      <c r="N2262" s="8">
        <f ca="1">IFERROR(__xludf.DUMMYFUNCTION("""COMPUTED_VALUE"""),2)</f>
        <v>2</v>
      </c>
      <c r="O2262" s="8" t="str">
        <f ca="1">IFERROR(__xludf.DUMMYFUNCTION("""COMPUTED_VALUE"""),"Fall")</f>
        <v>Fall</v>
      </c>
      <c r="P2262" s="8" t="str">
        <f ca="1">IFERROR(__xludf.DUMMYFUNCTION("""COMPUTED_VALUE"""),"Jacksonville")</f>
        <v>Jacksonville</v>
      </c>
      <c r="Q2262" s="8" t="str">
        <f ca="1">IFERROR(__xludf.DUMMYFUNCTION("""COMPUTED_VALUE"""),"FL")</f>
        <v>FL</v>
      </c>
      <c r="R2262" s="8" t="str">
        <f ca="1">IFERROR(__xludf.DUMMYFUNCTION("""COMPUTED_VALUE"""),"High")</f>
        <v>High</v>
      </c>
      <c r="S2262" s="8" t="str">
        <f ca="1">IFERROR(__xludf.DUMMYFUNCTION("""COMPUTED_VALUE"""),"Beside Building")</f>
        <v>Beside Building</v>
      </c>
      <c r="T2262" s="8" t="str">
        <f ca="1">IFERROR(__xludf.DUMMYFUNCTION("""COMPUTED_VALUE"""),"Outside on School Property")</f>
        <v>Outside on School Property</v>
      </c>
      <c r="U2262" s="8" t="str">
        <f ca="1">IFERROR(__xludf.DUMMYFUNCTION("""COMPUTED_VALUE"""),"Yes")</f>
        <v>Yes</v>
      </c>
      <c r="V2262" s="8" t="str">
        <f ca="1">IFERROR(__xludf.DUMMYFUNCTION("""COMPUTED_VALUE"""),"Dismissal")</f>
        <v>Dismissal</v>
      </c>
      <c r="W2262" s="11">
        <f ca="1">IFERROR(__xludf.DUMMYFUNCTION("""COMPUTED_VALUE"""),0.534722222222222)</f>
        <v>0.53472222222222199</v>
      </c>
      <c r="X2262" s="8">
        <f ca="1">IFERROR(__xludf.DUMMYFUNCTION("""COMPUTED_VALUE"""),1)</f>
        <v>1</v>
      </c>
      <c r="Y2262" s="12" t="str">
        <f ca="1">IFERROR(__xludf.DUMMYFUNCTION("""COMPUTED_VALUE"""),"Shooting stemmed from misunderstanding over a girl")</f>
        <v>Shooting stemmed from misunderstanding over a girl</v>
      </c>
      <c r="Z2262" s="12" t="str">
        <f ca="1">IFERROR(__xludf.DUMMYFUNCTION("""COMPUTED_VALUE"""),"Victim was shot in stomach during early dismissal. Shooter - 21 year old non student shot victim due to girl")</f>
        <v>Victim was shot in stomach during early dismissal. Shooter - 21 year old non student shot victim due to girl</v>
      </c>
      <c r="AA2262" s="8" t="str">
        <f ca="1">IFERROR(__xludf.DUMMYFUNCTION("""COMPUTED_VALUE"""),"Escalation of Dispute")</f>
        <v>Escalation of Dispute</v>
      </c>
      <c r="AB2262" s="8"/>
      <c r="AC2262" s="8"/>
      <c r="AD2262" s="8" t="str">
        <f ca="1">IFERROR(__xludf.DUMMYFUNCTION("""COMPUTED_VALUE"""),"Victims Targeted")</f>
        <v>Victims Targeted</v>
      </c>
      <c r="AE2262" s="8" t="str">
        <f ca="1">IFERROR(__xludf.DUMMYFUNCTION("""COMPUTED_VALUE"""),"Yes")</f>
        <v>Yes</v>
      </c>
      <c r="AF2262" s="8" t="str">
        <f ca="1">IFERROR(__xludf.DUMMYFUNCTION("""COMPUTED_VALUE"""),"Group of 4")</f>
        <v>Group of 4</v>
      </c>
      <c r="AG2262" s="8" t="str">
        <f ca="1">IFERROR(__xludf.DUMMYFUNCTION("""COMPUTED_VALUE"""),"No")</f>
        <v>No</v>
      </c>
      <c r="AH2262" s="8" t="str">
        <f ca="1">IFERROR(__xludf.DUMMYFUNCTION("""COMPUTED_VALUE"""),"No")</f>
        <v>No</v>
      </c>
      <c r="AI2262" s="8" t="str">
        <f ca="1">IFERROR(__xludf.DUMMYFUNCTION("""COMPUTED_VALUE"""),"No")</f>
        <v>No</v>
      </c>
      <c r="AJ2262" s="8"/>
      <c r="AK2262" s="8" t="str">
        <f ca="1">IFERROR(__xludf.DUMMYFUNCTION("""COMPUTED_VALUE"""),"No")</f>
        <v>No</v>
      </c>
      <c r="AL2262" s="8" t="str">
        <f ca="1">IFERROR(__xludf.DUMMYFUNCTION("""COMPUTED_VALUE"""),"No")</f>
        <v>No</v>
      </c>
      <c r="AM2262" s="8"/>
      <c r="AN2262" s="8"/>
      <c r="AO2262" s="8" t="str">
        <f ca="1">IFERROR(__xludf.DUMMYFUNCTION("""COMPUTED_VALUE"""),"No")</f>
        <v>No</v>
      </c>
      <c r="AP2262" s="8" t="str">
        <f ca="1">IFERROR(__xludf.DUMMYFUNCTION("""COMPUTED_VALUE"""),"No")</f>
        <v>No</v>
      </c>
      <c r="AQ2262" s="8" t="str">
        <f ca="1">IFERROR(__xludf.DUMMYFUNCTION("""COMPUTED_VALUE"""),"Unknown")</f>
        <v>Unknown</v>
      </c>
      <c r="AR2262" s="8" t="str">
        <f ca="1">IFERROR(__xludf.DUMMYFUNCTION("""COMPUTED_VALUE"""),"NA")</f>
        <v>NA</v>
      </c>
      <c r="AS2262" s="8" t="str">
        <f ca="1">IFERROR(__xludf.DUMMYFUNCTION("""COMPUTED_VALUE"""),"&lt;5")</f>
        <v>&lt;5</v>
      </c>
      <c r="AT2262" s="8"/>
      <c r="AU2262" s="8">
        <f ca="1">IFERROR(__xludf.DUMMYFUNCTION("""COMPUTED_VALUE"""),30.270335)</f>
        <v>30.270334999999999</v>
      </c>
      <c r="AV2262" s="8">
        <f ca="1">IFERROR(__xludf.DUMMYFUNCTION("""COMPUTED_VALUE"""),-81.615384)</f>
        <v>-81.615384000000006</v>
      </c>
      <c r="AW2262" s="8"/>
      <c r="AX2262" s="8">
        <f ca="1">IFERROR(__xludf.DUMMYFUNCTION("""COMPUTED_VALUE"""),32217)</f>
        <v>32217</v>
      </c>
    </row>
    <row r="2263" spans="1:50" ht="45" x14ac:dyDescent="0.2">
      <c r="A2263" s="8" t="str">
        <f ca="1">IFERROR(__xludf.DUMMYFUNCTION("""COMPUTED_VALUE"""),"20050901AKDIA")</f>
        <v>20050901AKDIA</v>
      </c>
      <c r="B2263" s="8">
        <f ca="1">IFERROR(__xludf.DUMMYFUNCTION("""COMPUTED_VALUE"""),9)</f>
        <v>9</v>
      </c>
      <c r="C2263" s="8">
        <f ca="1">IFERROR(__xludf.DUMMYFUNCTION("""COMPUTED_VALUE"""),1)</f>
        <v>1</v>
      </c>
      <c r="D2263" s="8">
        <f ca="1">IFERROR(__xludf.DUMMYFUNCTION("""COMPUTED_VALUE"""),2005)</f>
        <v>2005</v>
      </c>
      <c r="E2263" s="9">
        <f ca="1">IFERROR(__xludf.DUMMYFUNCTION("""COMPUTED_VALUE"""),38596)</f>
        <v>38596</v>
      </c>
      <c r="F2263" s="8" t="str">
        <f ca="1">IFERROR(__xludf.DUMMYFUNCTION("""COMPUTED_VALUE"""),"Dimond High School")</f>
        <v>Dimond High School</v>
      </c>
      <c r="G2263" s="8">
        <f ca="1">IFERROR(__xludf.DUMMYFUNCTION("""COMPUTED_VALUE"""),0)</f>
        <v>0</v>
      </c>
      <c r="H2263" s="8">
        <f ca="1">IFERROR(__xludf.DUMMYFUNCTION("""COMPUTED_VALUE"""),0)</f>
        <v>0</v>
      </c>
      <c r="I2263" s="8">
        <f ca="1">IFERROR(__xludf.DUMMYFUNCTION("""COMPUTED_VALUE"""),0)</f>
        <v>0</v>
      </c>
      <c r="J2263" s="8">
        <f ca="1">IFERROR(__xludf.DUMMYFUNCTION("""COMPUTED_VALUE"""),0)</f>
        <v>0</v>
      </c>
      <c r="K2263" s="10" t="str">
        <f ca="1">IFERROR(__xludf.DUMMYFUNCTION("""COMPUTED_VALUE"""),"https://www.columbine-angels.com/School_Violence_2005-2006.htm")</f>
        <v>https://www.columbine-angels.com/School_Violence_2005-2006.htm</v>
      </c>
      <c r="L2263" s="8"/>
      <c r="M2263" s="8"/>
      <c r="N2263" s="8">
        <f ca="1">IFERROR(__xludf.DUMMYFUNCTION("""COMPUTED_VALUE"""),1)</f>
        <v>1</v>
      </c>
      <c r="O2263" s="8" t="str">
        <f ca="1">IFERROR(__xludf.DUMMYFUNCTION("""COMPUTED_VALUE"""),"Fall")</f>
        <v>Fall</v>
      </c>
      <c r="P2263" s="8" t="str">
        <f ca="1">IFERROR(__xludf.DUMMYFUNCTION("""COMPUTED_VALUE"""),"Anchorage")</f>
        <v>Anchorage</v>
      </c>
      <c r="Q2263" s="8" t="str">
        <f ca="1">IFERROR(__xludf.DUMMYFUNCTION("""COMPUTED_VALUE"""),"AK")</f>
        <v>AK</v>
      </c>
      <c r="R2263" s="8" t="str">
        <f ca="1">IFERROR(__xludf.DUMMYFUNCTION("""COMPUTED_VALUE"""),"High")</f>
        <v>High</v>
      </c>
      <c r="S2263" s="8" t="str">
        <f ca="1">IFERROR(__xludf.DUMMYFUNCTION("""COMPUTED_VALUE"""),"Parking Lot")</f>
        <v>Parking Lot</v>
      </c>
      <c r="T2263" s="8" t="str">
        <f ca="1">IFERROR(__xludf.DUMMYFUNCTION("""COMPUTED_VALUE"""),"Outside on School Property")</f>
        <v>Outside on School Property</v>
      </c>
      <c r="U2263" s="8" t="str">
        <f ca="1">IFERROR(__xludf.DUMMYFUNCTION("""COMPUTED_VALUE"""),"No")</f>
        <v>No</v>
      </c>
      <c r="V2263" s="8" t="str">
        <f ca="1">IFERROR(__xludf.DUMMYFUNCTION("""COMPUTED_VALUE"""),"Evening")</f>
        <v>Evening</v>
      </c>
      <c r="W2263" s="11">
        <f ca="1">IFERROR(__xludf.DUMMYFUNCTION("""COMPUTED_VALUE"""),0.708333333333333)</f>
        <v>0.70833333333333304</v>
      </c>
      <c r="X2263" s="8">
        <f ca="1">IFERROR(__xludf.DUMMYFUNCTION("""COMPUTED_VALUE"""),1)</f>
        <v>1</v>
      </c>
      <c r="Y2263" s="12" t="str">
        <f ca="1">IFERROR(__xludf.DUMMYFUNCTION("""COMPUTED_VALUE"""),"Shots during fight in parking lot")</f>
        <v>Shots during fight in parking lot</v>
      </c>
      <c r="Z2263" s="12" t="str">
        <f ca="1">IFERROR(__xludf.DUMMYFUNCTION("""COMPUTED_VALUE"""),"Two students were fighting over a girl in the school parking lot. A third student fired multiple shot at them but all of the shots missed. 15YOM arrested the next day.")</f>
        <v>Two students were fighting over a girl in the school parking lot. A third student fired multiple shot at them but all of the shots missed. 15YOM arrested the next day.</v>
      </c>
      <c r="AA2263" s="8" t="str">
        <f ca="1">IFERROR(__xludf.DUMMYFUNCTION("""COMPUTED_VALUE"""),"Escalation of Dispute")</f>
        <v>Escalation of Dispute</v>
      </c>
      <c r="AB2263" s="8"/>
      <c r="AC2263" s="8"/>
      <c r="AD2263" s="8" t="str">
        <f ca="1">IFERROR(__xludf.DUMMYFUNCTION("""COMPUTED_VALUE"""),"Victims Targeted")</f>
        <v>Victims Targeted</v>
      </c>
      <c r="AE2263" s="8" t="str">
        <f ca="1">IFERROR(__xludf.DUMMYFUNCTION("""COMPUTED_VALUE"""),"No")</f>
        <v>No</v>
      </c>
      <c r="AF2263" s="8"/>
      <c r="AG2263" s="8" t="str">
        <f ca="1">IFERROR(__xludf.DUMMYFUNCTION("""COMPUTED_VALUE"""),"No")</f>
        <v>No</v>
      </c>
      <c r="AH2263" s="8" t="str">
        <f ca="1">IFERROR(__xludf.DUMMYFUNCTION("""COMPUTED_VALUE"""),"No")</f>
        <v>No</v>
      </c>
      <c r="AI2263" s="8" t="str">
        <f ca="1">IFERROR(__xludf.DUMMYFUNCTION("""COMPUTED_VALUE"""),"No")</f>
        <v>No</v>
      </c>
      <c r="AJ2263" s="8" t="str">
        <f ca="1">IFERROR(__xludf.DUMMYFUNCTION("""COMPUTED_VALUE"""),"No")</f>
        <v>No</v>
      </c>
      <c r="AK2263" s="8" t="str">
        <f ca="1">IFERROR(__xludf.DUMMYFUNCTION("""COMPUTED_VALUE"""),"No")</f>
        <v>No</v>
      </c>
      <c r="AL2263" s="8" t="str">
        <f ca="1">IFERROR(__xludf.DUMMYFUNCTION("""COMPUTED_VALUE"""),"No")</f>
        <v>No</v>
      </c>
      <c r="AM2263" s="8"/>
      <c r="AN2263" s="8"/>
      <c r="AO2263" s="8" t="str">
        <f ca="1">IFERROR(__xludf.DUMMYFUNCTION("""COMPUTED_VALUE"""),"No")</f>
        <v>No</v>
      </c>
      <c r="AP2263" s="8"/>
      <c r="AQ2263" s="8" t="str">
        <f ca="1">IFERROR(__xludf.DUMMYFUNCTION("""COMPUTED_VALUE"""),"Unknown")</f>
        <v>Unknown</v>
      </c>
      <c r="AR2263" s="8" t="str">
        <f ca="1">IFERROR(__xludf.DUMMYFUNCTION("""COMPUTED_VALUE"""),"NA")</f>
        <v>NA</v>
      </c>
      <c r="AS2263" s="8" t="str">
        <f ca="1">IFERROR(__xludf.DUMMYFUNCTION("""COMPUTED_VALUE"""),"&lt;10")</f>
        <v>&lt;10</v>
      </c>
      <c r="AT2263" s="8"/>
      <c r="AU2263" s="8">
        <f ca="1">IFERROR(__xludf.DUMMYFUNCTION("""COMPUTED_VALUE"""),61.14302)</f>
        <v>61.14302</v>
      </c>
      <c r="AV2263" s="8">
        <f ca="1">IFERROR(__xludf.DUMMYFUNCTION("""COMPUTED_VALUE"""),-149.932261)</f>
        <v>-149.93226100000001</v>
      </c>
      <c r="AW2263" s="8"/>
      <c r="AX2263" s="8">
        <f ca="1">IFERROR(__xludf.DUMMYFUNCTION("""COMPUTED_VALUE"""),88515)</f>
        <v>88515</v>
      </c>
    </row>
    <row r="2264" spans="1:50" ht="105" x14ac:dyDescent="0.2">
      <c r="A2264" s="8" t="str">
        <f ca="1">IFERROR(__xludf.DUMMYFUNCTION("""COMPUTED_VALUE"""),"20050825TNMAD")</f>
        <v>20050825TNMAD</v>
      </c>
      <c r="B2264" s="8">
        <f ca="1">IFERROR(__xludf.DUMMYFUNCTION("""COMPUTED_VALUE"""),8)</f>
        <v>8</v>
      </c>
      <c r="C2264" s="8">
        <f ca="1">IFERROR(__xludf.DUMMYFUNCTION("""COMPUTED_VALUE"""),25)</f>
        <v>25</v>
      </c>
      <c r="D2264" s="8">
        <f ca="1">IFERROR(__xludf.DUMMYFUNCTION("""COMPUTED_VALUE"""),2005)</f>
        <v>2005</v>
      </c>
      <c r="E2264" s="9">
        <f ca="1">IFERROR(__xludf.DUMMYFUNCTION("""COMPUTED_VALUE"""),38589)</f>
        <v>38589</v>
      </c>
      <c r="F2264" s="8" t="str">
        <f ca="1">IFERROR(__xludf.DUMMYFUNCTION("""COMPUTED_VALUE"""),"Maury Middle School")</f>
        <v>Maury Middle School</v>
      </c>
      <c r="G2264" s="8">
        <f ca="1">IFERROR(__xludf.DUMMYFUNCTION("""COMPUTED_VALUE"""),0)</f>
        <v>0</v>
      </c>
      <c r="H2264" s="8">
        <f ca="1">IFERROR(__xludf.DUMMYFUNCTION("""COMPUTED_VALUE"""),1)</f>
        <v>1</v>
      </c>
      <c r="I2264" s="8">
        <f ca="1">IFERROR(__xludf.DUMMYFUNCTION("""COMPUTED_VALUE"""),1)</f>
        <v>1</v>
      </c>
      <c r="J2264" s="8">
        <f ca="1">IFERROR(__xludf.DUMMYFUNCTION("""COMPUTED_VALUE"""),0)</f>
        <v>0</v>
      </c>
      <c r="K2264" s="10" t="str">
        <f ca="1">IFERROR(__xludf.DUMMYFUNCTION("""COMPUTED_VALUE"""),"http://www.foxnews.com/story/2005/11/09/principal-praised-as-hero-in-tenn-school-shooting.html")</f>
        <v>http://www.foxnews.com/story/2005/11/09/principal-praised-as-hero-in-tenn-school-shooting.html</v>
      </c>
      <c r="L2264" s="8"/>
      <c r="M2264" s="8"/>
      <c r="N2264" s="8">
        <f ca="1">IFERROR(__xludf.DUMMYFUNCTION("""COMPUTED_VALUE"""),2)</f>
        <v>2</v>
      </c>
      <c r="O2264" s="8" t="str">
        <f ca="1">IFERROR(__xludf.DUMMYFUNCTION("""COMPUTED_VALUE"""),"Summer")</f>
        <v>Summer</v>
      </c>
      <c r="P2264" s="8" t="str">
        <f ca="1">IFERROR(__xludf.DUMMYFUNCTION("""COMPUTED_VALUE"""),"Dandridge")</f>
        <v>Dandridge</v>
      </c>
      <c r="Q2264" s="8" t="str">
        <f ca="1">IFERROR(__xludf.DUMMYFUNCTION("""COMPUTED_VALUE"""),"TN")</f>
        <v>TN</v>
      </c>
      <c r="R2264" s="8" t="str">
        <f ca="1">IFERROR(__xludf.DUMMYFUNCTION("""COMPUTED_VALUE"""),"Middle")</f>
        <v>Middle</v>
      </c>
      <c r="S2264" s="8" t="str">
        <f ca="1">IFERROR(__xludf.DUMMYFUNCTION("""COMPUTED_VALUE"""),"Bathroom")</f>
        <v>Bathroom</v>
      </c>
      <c r="T2264" s="8" t="str">
        <f ca="1">IFERROR(__xludf.DUMMYFUNCTION("""COMPUTED_VALUE"""),"Inside School Building")</f>
        <v>Inside School Building</v>
      </c>
      <c r="U2264" s="8" t="str">
        <f ca="1">IFERROR(__xludf.DUMMYFUNCTION("""COMPUTED_VALUE"""),"Yes")</f>
        <v>Yes</v>
      </c>
      <c r="V2264" s="8" t="str">
        <f ca="1">IFERROR(__xludf.DUMMYFUNCTION("""COMPUTED_VALUE"""),"Morning Classes")</f>
        <v>Morning Classes</v>
      </c>
      <c r="W2264" s="11">
        <f ca="1">IFERROR(__xludf.DUMMYFUNCTION("""COMPUTED_VALUE"""),0.395833333333333)</f>
        <v>0.39583333333333298</v>
      </c>
      <c r="X2264" s="8">
        <f ca="1">IFERROR(__xludf.DUMMYFUNCTION("""COMPUTED_VALUE"""),1)</f>
        <v>1</v>
      </c>
      <c r="Y2264" s="12" t="str">
        <f ca="1">IFERROR(__xludf.DUMMYFUNCTION("""COMPUTED_VALUE"""),"Three students were handling weapon when it accidentally fired striking victim; plotting to kill teacher")</f>
        <v>Three students were handling weapon when it accidentally fired striking victim; plotting to kill teacher</v>
      </c>
      <c r="Z2264" s="12" t="str">
        <f ca="1">IFERROR(__xludf.DUMMYFUNCTION("""COMPUTED_VALUE"""),"Three students were handling a handgun in the boys bathroom when it went off striking another student in the leg - it was later revealed the students had plotted to kill a teacher who earlier disciplined one of the boys.")</f>
        <v>Three students were handling a handgun in the boys bathroom when it went off striking another student in the leg - it was later revealed the students had plotted to kill a teacher who earlier disciplined one of the boys.</v>
      </c>
      <c r="AA2264" s="8" t="str">
        <f ca="1">IFERROR(__xludf.DUMMYFUNCTION("""COMPUTED_VALUE"""),"Accidental")</f>
        <v>Accidental</v>
      </c>
      <c r="AB2264" s="8"/>
      <c r="AC2264" s="8"/>
      <c r="AD2264" s="8" t="str">
        <f ca="1">IFERROR(__xludf.DUMMYFUNCTION("""COMPUTED_VALUE"""),"Random Shooting")</f>
        <v>Random Shooting</v>
      </c>
      <c r="AE2264" s="8" t="str">
        <f ca="1">IFERROR(__xludf.DUMMYFUNCTION("""COMPUTED_VALUE"""),"No")</f>
        <v>No</v>
      </c>
      <c r="AF2264" s="8"/>
      <c r="AG2264" s="8" t="str">
        <f ca="1">IFERROR(__xludf.DUMMYFUNCTION("""COMPUTED_VALUE"""),"No")</f>
        <v>No</v>
      </c>
      <c r="AH2264" s="8" t="str">
        <f ca="1">IFERROR(__xludf.DUMMYFUNCTION("""COMPUTED_VALUE"""),"No")</f>
        <v>No</v>
      </c>
      <c r="AI2264" s="8" t="str">
        <f ca="1">IFERROR(__xludf.DUMMYFUNCTION("""COMPUTED_VALUE"""),"No")</f>
        <v>No</v>
      </c>
      <c r="AJ2264" s="8" t="str">
        <f ca="1">IFERROR(__xludf.DUMMYFUNCTION("""COMPUTED_VALUE"""),"No")</f>
        <v>No</v>
      </c>
      <c r="AK2264" s="8" t="str">
        <f ca="1">IFERROR(__xludf.DUMMYFUNCTION("""COMPUTED_VALUE"""),"No")</f>
        <v>No</v>
      </c>
      <c r="AL2264" s="8" t="str">
        <f ca="1">IFERROR(__xludf.DUMMYFUNCTION("""COMPUTED_VALUE"""),"No")</f>
        <v>No</v>
      </c>
      <c r="AM2264" s="8"/>
      <c r="AN2264" s="8" t="str">
        <f ca="1">IFERROR(__xludf.DUMMYFUNCTION("""COMPUTED_VALUE"""),"Single Room")</f>
        <v>Single Room</v>
      </c>
      <c r="AO2264" s="8" t="str">
        <f ca="1">IFERROR(__xludf.DUMMYFUNCTION("""COMPUTED_VALUE"""),"Yes")</f>
        <v>Yes</v>
      </c>
      <c r="AP2264" s="8" t="str">
        <f ca="1">IFERROR(__xludf.DUMMYFUNCTION("""COMPUTED_VALUE"""),"No")</f>
        <v>No</v>
      </c>
      <c r="AQ2264" s="8" t="str">
        <f ca="1">IFERROR(__xludf.DUMMYFUNCTION("""COMPUTED_VALUE"""),"Unknown")</f>
        <v>Unknown</v>
      </c>
      <c r="AR2264" s="8" t="str">
        <f ca="1">IFERROR(__xludf.DUMMYFUNCTION("""COMPUTED_VALUE"""),"NA")</f>
        <v>NA</v>
      </c>
      <c r="AS2264" s="8">
        <f ca="1">IFERROR(__xludf.DUMMYFUNCTION("""COMPUTED_VALUE"""),1)</f>
        <v>1</v>
      </c>
      <c r="AT2264" s="8"/>
      <c r="AU2264" s="8">
        <f ca="1">IFERROR(__xludf.DUMMYFUNCTION("""COMPUTED_VALUE"""),36.02155)</f>
        <v>36.021549999999998</v>
      </c>
      <c r="AV2264" s="8">
        <f ca="1">IFERROR(__xludf.DUMMYFUNCTION("""COMPUTED_VALUE"""),-83.404531)</f>
        <v>-83.404531000000006</v>
      </c>
      <c r="AW2264" s="8"/>
      <c r="AX2264" s="8">
        <f ca="1">IFERROR(__xludf.DUMMYFUNCTION("""COMPUTED_VALUE"""),37725)</f>
        <v>37725</v>
      </c>
    </row>
    <row r="2265" spans="1:50" ht="45" x14ac:dyDescent="0.2">
      <c r="A2265" s="8" t="str">
        <f ca="1">IFERROR(__xludf.DUMMYFUNCTION("""COMPUTED_VALUE"""),"20050819FLUNM")</f>
        <v>20050819FLUNM</v>
      </c>
      <c r="B2265" s="8">
        <f ca="1">IFERROR(__xludf.DUMMYFUNCTION("""COMPUTED_VALUE"""),8)</f>
        <v>8</v>
      </c>
      <c r="C2265" s="8">
        <f ca="1">IFERROR(__xludf.DUMMYFUNCTION("""COMPUTED_VALUE"""),19)</f>
        <v>19</v>
      </c>
      <c r="D2265" s="8">
        <f ca="1">IFERROR(__xludf.DUMMYFUNCTION("""COMPUTED_VALUE"""),2005)</f>
        <v>2005</v>
      </c>
      <c r="E2265" s="9">
        <f ca="1">IFERROR(__xludf.DUMMYFUNCTION("""COMPUTED_VALUE"""),38583)</f>
        <v>38583</v>
      </c>
      <c r="F2265" s="8" t="str">
        <f ca="1">IFERROR(__xludf.DUMMYFUNCTION("""COMPUTED_VALUE"""),"Unknown High School")</f>
        <v>Unknown High School</v>
      </c>
      <c r="G2265" s="8">
        <f ca="1">IFERROR(__xludf.DUMMYFUNCTION("""COMPUTED_VALUE"""),1)</f>
        <v>1</v>
      </c>
      <c r="H2265" s="8">
        <f ca="1">IFERROR(__xludf.DUMMYFUNCTION("""COMPUTED_VALUE"""),0)</f>
        <v>0</v>
      </c>
      <c r="I2265" s="8">
        <f ca="1">IFERROR(__xludf.DUMMYFUNCTION("""COMPUTED_VALUE"""),1)</f>
        <v>1</v>
      </c>
      <c r="J2265" s="8">
        <f ca="1">IFERROR(__xludf.DUMMYFUNCTION("""COMPUTED_VALUE"""),0)</f>
        <v>0</v>
      </c>
      <c r="K2265" s="10" t="str">
        <f ca="1">IFERROR(__xludf.DUMMYFUNCTION("""COMPUTED_VALUE"""),"https://www.schoolsecurity.org/wp-content/uploads/2023/09/Snip20230916_36.png")</f>
        <v>https://www.schoolsecurity.org/wp-content/uploads/2023/09/Snip20230916_36.png</v>
      </c>
      <c r="L2265" s="8">
        <f ca="1">IFERROR(__xludf.DUMMYFUNCTION("""COMPUTED_VALUE"""),1)</f>
        <v>1</v>
      </c>
      <c r="M2265" s="8"/>
      <c r="N2265" s="8">
        <f ca="1">IFERROR(__xludf.DUMMYFUNCTION("""COMPUTED_VALUE"""),2)</f>
        <v>2</v>
      </c>
      <c r="O2265" s="8" t="str">
        <f ca="1">IFERROR(__xludf.DUMMYFUNCTION("""COMPUTED_VALUE"""),"Summer")</f>
        <v>Summer</v>
      </c>
      <c r="P2265" s="8" t="str">
        <f ca="1">IFERROR(__xludf.DUMMYFUNCTION("""COMPUTED_VALUE"""),"Miami")</f>
        <v>Miami</v>
      </c>
      <c r="Q2265" s="8" t="str">
        <f ca="1">IFERROR(__xludf.DUMMYFUNCTION("""COMPUTED_VALUE"""),"FL")</f>
        <v>FL</v>
      </c>
      <c r="R2265" s="8" t="str">
        <f ca="1">IFERROR(__xludf.DUMMYFUNCTION("""COMPUTED_VALUE"""),"High")</f>
        <v>High</v>
      </c>
      <c r="S2265" s="8" t="str">
        <f ca="1">IFERROR(__xludf.DUMMYFUNCTION("""COMPUTED_VALUE"""),"Parking Lot")</f>
        <v>Parking Lot</v>
      </c>
      <c r="T2265" s="8" t="str">
        <f ca="1">IFERROR(__xludf.DUMMYFUNCTION("""COMPUTED_VALUE"""),"Outside on School Property")</f>
        <v>Outside on School Property</v>
      </c>
      <c r="U2265" s="8" t="str">
        <f ca="1">IFERROR(__xludf.DUMMYFUNCTION("""COMPUTED_VALUE"""),"No")</f>
        <v>No</v>
      </c>
      <c r="V2265" s="8" t="str">
        <f ca="1">IFERROR(__xludf.DUMMYFUNCTION("""COMPUTED_VALUE"""),"Sport Event")</f>
        <v>Sport Event</v>
      </c>
      <c r="W2265" s="8"/>
      <c r="X2265" s="8"/>
      <c r="Y2265" s="12" t="str">
        <f ca="1">IFERROR(__xludf.DUMMYFUNCTION("""COMPUTED_VALUE"""),"Person killed in school parking lot after football game")</f>
        <v>Person killed in school parking lot after football game</v>
      </c>
      <c r="Z2265" s="12" t="str">
        <f ca="1">IFERROR(__xludf.DUMMYFUNCTION("""COMPUTED_VALUE"""),"Person killed in school parking lot after football game")</f>
        <v>Person killed in school parking lot after football game</v>
      </c>
      <c r="AA2265" s="8"/>
      <c r="AB2265" s="8"/>
      <c r="AC2265" s="8"/>
      <c r="AD2265" s="8"/>
      <c r="AE2265" s="8"/>
      <c r="AF2265" s="8"/>
      <c r="AG2265" s="8"/>
      <c r="AH2265" s="8"/>
      <c r="AI2265" s="8"/>
      <c r="AJ2265" s="8"/>
      <c r="AK2265" s="8"/>
      <c r="AL2265" s="8"/>
      <c r="AM2265" s="8"/>
      <c r="AN2265" s="8"/>
      <c r="AO2265" s="8"/>
      <c r="AP2265" s="8"/>
      <c r="AQ2265" s="8"/>
      <c r="AR2265" s="8"/>
      <c r="AS2265" s="8"/>
      <c r="AT2265" s="8"/>
      <c r="AU2265" s="8"/>
      <c r="AV2265" s="8"/>
      <c r="AW2265" s="8"/>
      <c r="AX2265" s="8"/>
    </row>
    <row r="2266" spans="1:50" ht="45" x14ac:dyDescent="0.2">
      <c r="A2266" s="8" t="str">
        <f ca="1">IFERROR(__xludf.DUMMYFUNCTION("""COMPUTED_VALUE"""),"20050819GAMOM")</f>
        <v>20050819GAMOM</v>
      </c>
      <c r="B2266" s="8">
        <f ca="1">IFERROR(__xludf.DUMMYFUNCTION("""COMPUTED_VALUE"""),8)</f>
        <v>8</v>
      </c>
      <c r="C2266" s="8">
        <f ca="1">IFERROR(__xludf.DUMMYFUNCTION("""COMPUTED_VALUE"""),19)</f>
        <v>19</v>
      </c>
      <c r="D2266" s="8">
        <f ca="1">IFERROR(__xludf.DUMMYFUNCTION("""COMPUTED_VALUE"""),2005)</f>
        <v>2005</v>
      </c>
      <c r="E2266" s="9">
        <f ca="1">IFERROR(__xludf.DUMMYFUNCTION("""COMPUTED_VALUE"""),38583)</f>
        <v>38583</v>
      </c>
      <c r="F2266" s="8" t="str">
        <f ca="1">IFERROR(__xludf.DUMMYFUNCTION("""COMPUTED_VALUE"""),"Morrow High School")</f>
        <v>Morrow High School</v>
      </c>
      <c r="G2266" s="8">
        <f ca="1">IFERROR(__xludf.DUMMYFUNCTION("""COMPUTED_VALUE"""),0)</f>
        <v>0</v>
      </c>
      <c r="H2266" s="8">
        <f ca="1">IFERROR(__xludf.DUMMYFUNCTION("""COMPUTED_VALUE"""),2)</f>
        <v>2</v>
      </c>
      <c r="I2266" s="8">
        <f ca="1">IFERROR(__xludf.DUMMYFUNCTION("""COMPUTED_VALUE"""),2)</f>
        <v>2</v>
      </c>
      <c r="J2266" s="8">
        <f ca="1">IFERROR(__xludf.DUMMYFUNCTION("""COMPUTED_VALUE"""),0)</f>
        <v>0</v>
      </c>
      <c r="K2266" s="10" t="str">
        <f ca="1">IFERROR(__xludf.DUMMYFUNCTION("""COMPUTED_VALUE"""),"https://www.columbine-angels.com/School_Violence_2005-2006.htm")</f>
        <v>https://www.columbine-angels.com/School_Violence_2005-2006.htm</v>
      </c>
      <c r="L2266" s="8"/>
      <c r="M2266" s="8"/>
      <c r="N2266" s="8">
        <f ca="1">IFERROR(__xludf.DUMMYFUNCTION("""COMPUTED_VALUE"""),1)</f>
        <v>1</v>
      </c>
      <c r="O2266" s="8" t="str">
        <f ca="1">IFERROR(__xludf.DUMMYFUNCTION("""COMPUTED_VALUE"""),"Summer")</f>
        <v>Summer</v>
      </c>
      <c r="P2266" s="8" t="str">
        <f ca="1">IFERROR(__xludf.DUMMYFUNCTION("""COMPUTED_VALUE"""),"Morrow")</f>
        <v>Morrow</v>
      </c>
      <c r="Q2266" s="8" t="str">
        <f ca="1">IFERROR(__xludf.DUMMYFUNCTION("""COMPUTED_VALUE"""),"GA")</f>
        <v>GA</v>
      </c>
      <c r="R2266" s="8" t="str">
        <f ca="1">IFERROR(__xludf.DUMMYFUNCTION("""COMPUTED_VALUE"""),"High")</f>
        <v>High</v>
      </c>
      <c r="S2266" s="8" t="str">
        <f ca="1">IFERROR(__xludf.DUMMYFUNCTION("""COMPUTED_VALUE"""),"Parking Lot")</f>
        <v>Parking Lot</v>
      </c>
      <c r="T2266" s="8" t="str">
        <f ca="1">IFERROR(__xludf.DUMMYFUNCTION("""COMPUTED_VALUE"""),"Outside on School Property")</f>
        <v>Outside on School Property</v>
      </c>
      <c r="U2266" s="8" t="str">
        <f ca="1">IFERROR(__xludf.DUMMYFUNCTION("""COMPUTED_VALUE"""),"Yes")</f>
        <v>Yes</v>
      </c>
      <c r="V2266" s="8" t="str">
        <f ca="1">IFERROR(__xludf.DUMMYFUNCTION("""COMPUTED_VALUE"""),"Morning Classes")</f>
        <v>Morning Classes</v>
      </c>
      <c r="W2266" s="11">
        <f ca="1">IFERROR(__xludf.DUMMYFUNCTION("""COMPUTED_VALUE"""),0.458333333333333)</f>
        <v>0.45833333333333298</v>
      </c>
      <c r="X2266" s="8">
        <f ca="1">IFERROR(__xludf.DUMMYFUNCTION("""COMPUTED_VALUE"""),1)</f>
        <v>1</v>
      </c>
      <c r="Y2266" s="12" t="str">
        <f ca="1">IFERROR(__xludf.DUMMYFUNCTION("""COMPUTED_VALUE"""),"2 males shot in school parking lot by unknown shooter")</f>
        <v>2 males shot in school parking lot by unknown shooter</v>
      </c>
      <c r="Z2266" s="12" t="str">
        <f ca="1">IFERROR(__xludf.DUMMYFUNCTION("""COMPUTED_VALUE"""),"Unknown shooter fired at a group of students and non-students in the parking lot. 18YOM and 21YOM were injured. Shooter fled.")</f>
        <v>Unknown shooter fired at a group of students and non-students in the parking lot. 18YOM and 21YOM were injured. Shooter fled.</v>
      </c>
      <c r="AA2266" s="8" t="str">
        <f ca="1">IFERROR(__xludf.DUMMYFUNCTION("""COMPUTED_VALUE"""),"Escalation of Dispute")</f>
        <v>Escalation of Dispute</v>
      </c>
      <c r="AB2266" s="8"/>
      <c r="AC2266" s="8"/>
      <c r="AD2266" s="8" t="str">
        <f ca="1">IFERROR(__xludf.DUMMYFUNCTION("""COMPUTED_VALUE"""),"Victims Targeted")</f>
        <v>Victims Targeted</v>
      </c>
      <c r="AE2266" s="8" t="str">
        <f ca="1">IFERROR(__xludf.DUMMYFUNCTION("""COMPUTED_VALUE"""),"No")</f>
        <v>No</v>
      </c>
      <c r="AF2266" s="8"/>
      <c r="AG2266" s="8" t="str">
        <f ca="1">IFERROR(__xludf.DUMMYFUNCTION("""COMPUTED_VALUE"""),"No")</f>
        <v>No</v>
      </c>
      <c r="AH2266" s="8" t="str">
        <f ca="1">IFERROR(__xludf.DUMMYFUNCTION("""COMPUTED_VALUE"""),"No")</f>
        <v>No</v>
      </c>
      <c r="AI2266" s="8" t="str">
        <f ca="1">IFERROR(__xludf.DUMMYFUNCTION("""COMPUTED_VALUE"""),"No")</f>
        <v>No</v>
      </c>
      <c r="AJ2266" s="8" t="str">
        <f ca="1">IFERROR(__xludf.DUMMYFUNCTION("""COMPUTED_VALUE"""),"No")</f>
        <v>No</v>
      </c>
      <c r="AK2266" s="8" t="str">
        <f ca="1">IFERROR(__xludf.DUMMYFUNCTION("""COMPUTED_VALUE"""),"No")</f>
        <v>No</v>
      </c>
      <c r="AL2266" s="8"/>
      <c r="AM2266" s="8"/>
      <c r="AN2266" s="8"/>
      <c r="AO2266" s="8" t="str">
        <f ca="1">IFERROR(__xludf.DUMMYFUNCTION("""COMPUTED_VALUE"""),"No")</f>
        <v>No</v>
      </c>
      <c r="AP2266" s="8"/>
      <c r="AQ2266" s="8" t="str">
        <f ca="1">IFERROR(__xludf.DUMMYFUNCTION("""COMPUTED_VALUE"""),"Unknown")</f>
        <v>Unknown</v>
      </c>
      <c r="AR2266" s="8" t="str">
        <f ca="1">IFERROR(__xludf.DUMMYFUNCTION("""COMPUTED_VALUE"""),"NA")</f>
        <v>NA</v>
      </c>
      <c r="AS2266" s="8" t="str">
        <f ca="1">IFERROR(__xludf.DUMMYFUNCTION("""COMPUTED_VALUE"""),"&lt;10")</f>
        <v>&lt;10</v>
      </c>
      <c r="AT2266" s="8"/>
      <c r="AU2266" s="8">
        <f ca="1">IFERROR(__xludf.DUMMYFUNCTION("""COMPUTED_VALUE"""),33.593163)</f>
        <v>33.593162999999997</v>
      </c>
      <c r="AV2266" s="8">
        <f ca="1">IFERROR(__xludf.DUMMYFUNCTION("""COMPUTED_VALUE"""),-84.314644)</f>
        <v>-84.314644000000001</v>
      </c>
      <c r="AW2266" s="8"/>
      <c r="AX2266" s="8">
        <f ca="1">IFERROR(__xludf.DUMMYFUNCTION("""COMPUTED_VALUE"""),30260)</f>
        <v>30260</v>
      </c>
    </row>
    <row r="2267" spans="1:50" ht="45" x14ac:dyDescent="0.2">
      <c r="A2267" s="8" t="str">
        <f ca="1">IFERROR(__xludf.DUMMYFUNCTION("""COMPUTED_VALUE"""),"20050817CAPLB")</f>
        <v>20050817CAPLB</v>
      </c>
      <c r="B2267" s="8">
        <f ca="1">IFERROR(__xludf.DUMMYFUNCTION("""COMPUTED_VALUE"""),8)</f>
        <v>8</v>
      </c>
      <c r="C2267" s="8">
        <f ca="1">IFERROR(__xludf.DUMMYFUNCTION("""COMPUTED_VALUE"""),17)</f>
        <v>17</v>
      </c>
      <c r="D2267" s="8">
        <f ca="1">IFERROR(__xludf.DUMMYFUNCTION("""COMPUTED_VALUE"""),2005)</f>
        <v>2005</v>
      </c>
      <c r="E2267" s="9">
        <f ca="1">IFERROR(__xludf.DUMMYFUNCTION("""COMPUTED_VALUE"""),38581)</f>
        <v>38581</v>
      </c>
      <c r="F2267" s="8" t="str">
        <f ca="1">IFERROR(__xludf.DUMMYFUNCTION("""COMPUTED_VALUE"""),"Planatation Elementary School")</f>
        <v>Planatation Elementary School</v>
      </c>
      <c r="G2267" s="8">
        <f ca="1">IFERROR(__xludf.DUMMYFUNCTION("""COMPUTED_VALUE"""),1)</f>
        <v>1</v>
      </c>
      <c r="H2267" s="8">
        <f ca="1">IFERROR(__xludf.DUMMYFUNCTION("""COMPUTED_VALUE"""),0)</f>
        <v>0</v>
      </c>
      <c r="I2267" s="8">
        <f ca="1">IFERROR(__xludf.DUMMYFUNCTION("""COMPUTED_VALUE"""),1)</f>
        <v>1</v>
      </c>
      <c r="J2267" s="8">
        <f ca="1">IFERROR(__xludf.DUMMYFUNCTION("""COMPUTED_VALUE"""),0)</f>
        <v>0</v>
      </c>
      <c r="K2267" s="10" t="str">
        <f ca="1">IFERROR(__xludf.DUMMYFUNCTION("""COMPUTED_VALUE"""),"https://www.columbine-angels.com/School_Violence_2005-2006.htm")</f>
        <v>https://www.columbine-angels.com/School_Violence_2005-2006.htm</v>
      </c>
      <c r="L2267" s="8"/>
      <c r="M2267" s="8"/>
      <c r="N2267" s="8">
        <f ca="1">IFERROR(__xludf.DUMMYFUNCTION("""COMPUTED_VALUE"""),1)</f>
        <v>1</v>
      </c>
      <c r="O2267" s="8" t="str">
        <f ca="1">IFERROR(__xludf.DUMMYFUNCTION("""COMPUTED_VALUE"""),"Summer")</f>
        <v>Summer</v>
      </c>
      <c r="P2267" s="8" t="str">
        <f ca="1">IFERROR(__xludf.DUMMYFUNCTION("""COMPUTED_VALUE"""),"Bakersfield")</f>
        <v>Bakersfield</v>
      </c>
      <c r="Q2267" s="8" t="str">
        <f ca="1">IFERROR(__xludf.DUMMYFUNCTION("""COMPUTED_VALUE"""),"CA")</f>
        <v>CA</v>
      </c>
      <c r="R2267" s="8" t="str">
        <f ca="1">IFERROR(__xludf.DUMMYFUNCTION("""COMPUTED_VALUE"""),"Elementary")</f>
        <v>Elementary</v>
      </c>
      <c r="S2267" s="8" t="str">
        <f ca="1">IFERROR(__xludf.DUMMYFUNCTION("""COMPUTED_VALUE"""),"Parking Lot")</f>
        <v>Parking Lot</v>
      </c>
      <c r="T2267" s="8" t="str">
        <f ca="1">IFERROR(__xludf.DUMMYFUNCTION("""COMPUTED_VALUE"""),"Outside on School Property")</f>
        <v>Outside on School Property</v>
      </c>
      <c r="U2267" s="8" t="str">
        <f ca="1">IFERROR(__xludf.DUMMYFUNCTION("""COMPUTED_VALUE"""),"No")</f>
        <v>No</v>
      </c>
      <c r="V2267" s="8" t="str">
        <f ca="1">IFERROR(__xludf.DUMMYFUNCTION("""COMPUTED_VALUE"""),"Evening")</f>
        <v>Evening</v>
      </c>
      <c r="W2267" s="11">
        <f ca="1">IFERROR(__xludf.DUMMYFUNCTION("""COMPUTED_VALUE"""),0.75)</f>
        <v>0.75</v>
      </c>
      <c r="X2267" s="8">
        <f ca="1">IFERROR(__xludf.DUMMYFUNCTION("""COMPUTED_VALUE"""),1)</f>
        <v>1</v>
      </c>
      <c r="Y2267" s="12" t="str">
        <f ca="1">IFERROR(__xludf.DUMMYFUNCTION("""COMPUTED_VALUE"""),"Shot during argument outside of school")</f>
        <v>Shot during argument outside of school</v>
      </c>
      <c r="Z2267" s="12" t="str">
        <f ca="1">IFERROR(__xludf.DUMMYFUNCTION("""COMPUTED_VALUE"""),"15YOM walking with 2 other teens outside of school was shot and killed during dispute with 26YOM shooter in vehicle. Shooter fled the scene and was later arrested.")</f>
        <v>15YOM walking with 2 other teens outside of school was shot and killed during dispute with 26YOM shooter in vehicle. Shooter fled the scene and was later arrested.</v>
      </c>
      <c r="AA2267" s="8" t="str">
        <f ca="1">IFERROR(__xludf.DUMMYFUNCTION("""COMPUTED_VALUE"""),"Escalation of Dispute")</f>
        <v>Escalation of Dispute</v>
      </c>
      <c r="AB2267" s="8"/>
      <c r="AC2267" s="8"/>
      <c r="AD2267" s="8" t="str">
        <f ca="1">IFERROR(__xludf.DUMMYFUNCTION("""COMPUTED_VALUE"""),"Victims Targeted")</f>
        <v>Victims Targeted</v>
      </c>
      <c r="AE2267" s="8" t="str">
        <f ca="1">IFERROR(__xludf.DUMMYFUNCTION("""COMPUTED_VALUE"""),"No")</f>
        <v>No</v>
      </c>
      <c r="AF2267" s="8" t="str">
        <f ca="1">IFERROR(__xludf.DUMMYFUNCTION("""COMPUTED_VALUE"""),"In car, unclear if shooter was driver")</f>
        <v>In car, unclear if shooter was driver</v>
      </c>
      <c r="AG2267" s="8" t="str">
        <f ca="1">IFERROR(__xludf.DUMMYFUNCTION("""COMPUTED_VALUE"""),"No")</f>
        <v>No</v>
      </c>
      <c r="AH2267" s="8" t="str">
        <f ca="1">IFERROR(__xludf.DUMMYFUNCTION("""COMPUTED_VALUE"""),"No")</f>
        <v>No</v>
      </c>
      <c r="AI2267" s="8" t="str">
        <f ca="1">IFERROR(__xludf.DUMMYFUNCTION("""COMPUTED_VALUE"""),"No")</f>
        <v>No</v>
      </c>
      <c r="AJ2267" s="8" t="str">
        <f ca="1">IFERROR(__xludf.DUMMYFUNCTION("""COMPUTED_VALUE"""),"No")</f>
        <v>No</v>
      </c>
      <c r="AK2267" s="8" t="str">
        <f ca="1">IFERROR(__xludf.DUMMYFUNCTION("""COMPUTED_VALUE"""),"No")</f>
        <v>No</v>
      </c>
      <c r="AL2267" s="8" t="str">
        <f ca="1">IFERROR(__xludf.DUMMYFUNCTION("""COMPUTED_VALUE"""),"No")</f>
        <v>No</v>
      </c>
      <c r="AM2267" s="8"/>
      <c r="AN2267" s="8"/>
      <c r="AO2267" s="8" t="str">
        <f ca="1">IFERROR(__xludf.DUMMYFUNCTION("""COMPUTED_VALUE"""),"No")</f>
        <v>No</v>
      </c>
      <c r="AP2267" s="8"/>
      <c r="AQ2267" s="8" t="str">
        <f ca="1">IFERROR(__xludf.DUMMYFUNCTION("""COMPUTED_VALUE"""),"Unknown")</f>
        <v>Unknown</v>
      </c>
      <c r="AR2267" s="8" t="str">
        <f ca="1">IFERROR(__xludf.DUMMYFUNCTION("""COMPUTED_VALUE"""),"NA")</f>
        <v>NA</v>
      </c>
      <c r="AS2267" s="8" t="str">
        <f ca="1">IFERROR(__xludf.DUMMYFUNCTION("""COMPUTED_VALUE"""),"&lt;10")</f>
        <v>&lt;10</v>
      </c>
      <c r="AT2267" s="8"/>
      <c r="AU2267" s="8">
        <f ca="1">IFERROR(__xludf.DUMMYFUNCTION("""COMPUTED_VALUE"""),35.319172)</f>
        <v>35.319172000000002</v>
      </c>
      <c r="AV2267" s="8">
        <f ca="1">IFERROR(__xludf.DUMMYFUNCTION("""COMPUTED_VALUE"""),-119.013138)</f>
        <v>-119.013138</v>
      </c>
      <c r="AW2267" s="8"/>
      <c r="AX2267" s="8">
        <f ca="1">IFERROR(__xludf.DUMMYFUNCTION("""COMPUTED_VALUE"""),93304)</f>
        <v>93304</v>
      </c>
    </row>
    <row r="2268" spans="1:50" ht="90" x14ac:dyDescent="0.2">
      <c r="A2268" s="8" t="str">
        <f ca="1">IFERROR(__xludf.DUMMYFUNCTION("""COMPUTED_VALUE"""),"20050816VICOE")</f>
        <v>20050816VICOE</v>
      </c>
      <c r="B2268" s="8">
        <f ca="1">IFERROR(__xludf.DUMMYFUNCTION("""COMPUTED_VALUE"""),8)</f>
        <v>8</v>
      </c>
      <c r="C2268" s="8">
        <f ca="1">IFERROR(__xludf.DUMMYFUNCTION("""COMPUTED_VALUE"""),16)</f>
        <v>16</v>
      </c>
      <c r="D2268" s="8">
        <f ca="1">IFERROR(__xludf.DUMMYFUNCTION("""COMPUTED_VALUE"""),2005)</f>
        <v>2005</v>
      </c>
      <c r="E2268" s="9">
        <f ca="1">IFERROR(__xludf.DUMMYFUNCTION("""COMPUTED_VALUE"""),38580)</f>
        <v>38580</v>
      </c>
      <c r="F2268" s="8" t="str">
        <f ca="1">IFERROR(__xludf.DUMMYFUNCTION("""COMPUTED_VALUE"""),"Country Day High School")</f>
        <v>Country Day High School</v>
      </c>
      <c r="G2268" s="8">
        <f ca="1">IFERROR(__xludf.DUMMYFUNCTION("""COMPUTED_VALUE"""),0)</f>
        <v>0</v>
      </c>
      <c r="H2268" s="8">
        <f ca="1">IFERROR(__xludf.DUMMYFUNCTION("""COMPUTED_VALUE"""),1)</f>
        <v>1</v>
      </c>
      <c r="I2268" s="8">
        <f ca="1">IFERROR(__xludf.DUMMYFUNCTION("""COMPUTED_VALUE"""),1)</f>
        <v>1</v>
      </c>
      <c r="J2268" s="8">
        <f ca="1">IFERROR(__xludf.DUMMYFUNCTION("""COMPUTED_VALUE"""),0)</f>
        <v>0</v>
      </c>
      <c r="K2268" s="8" t="str">
        <f ca="1">IFERROR(__xludf.DUMMYFUNCTION("""COMPUTED_VALUE"""),"https://www.columbine-angels.com/School_Violence_2005-2006.htm  https://stthomassource.com/content/2005/08/17/gunmen-shoot-maintenance-man-school/")</f>
        <v>https://www.columbine-angels.com/School_Violence_2005-2006.htm  https://stthomassource.com/content/2005/08/17/gunmen-shoot-maintenance-man-school/</v>
      </c>
      <c r="L2268" s="8"/>
      <c r="M2268" s="8"/>
      <c r="N2268" s="8">
        <f ca="1">IFERROR(__xludf.DUMMYFUNCTION("""COMPUTED_VALUE"""),1)</f>
        <v>1</v>
      </c>
      <c r="O2268" s="8" t="str">
        <f ca="1">IFERROR(__xludf.DUMMYFUNCTION("""COMPUTED_VALUE"""),"Summer")</f>
        <v>Summer</v>
      </c>
      <c r="P2268" s="8" t="str">
        <f ca="1">IFERROR(__xludf.DUMMYFUNCTION("""COMPUTED_VALUE"""),"Estate Concordia")</f>
        <v>Estate Concordia</v>
      </c>
      <c r="Q2268" s="8" t="str">
        <f ca="1">IFERROR(__xludf.DUMMYFUNCTION("""COMPUTED_VALUE"""),"VI")</f>
        <v>VI</v>
      </c>
      <c r="R2268" s="8" t="str">
        <f ca="1">IFERROR(__xludf.DUMMYFUNCTION("""COMPUTED_VALUE"""),"High")</f>
        <v>High</v>
      </c>
      <c r="S2268" s="8" t="str">
        <f ca="1">IFERROR(__xludf.DUMMYFUNCTION("""COMPUTED_VALUE"""),"Other")</f>
        <v>Other</v>
      </c>
      <c r="T2268" s="8" t="str">
        <f ca="1">IFERROR(__xludf.DUMMYFUNCTION("""COMPUTED_VALUE"""),"Inside School Building")</f>
        <v>Inside School Building</v>
      </c>
      <c r="U2268" s="8" t="str">
        <f ca="1">IFERROR(__xludf.DUMMYFUNCTION("""COMPUTED_VALUE"""),"Yes")</f>
        <v>Yes</v>
      </c>
      <c r="V2268" s="8" t="str">
        <f ca="1">IFERROR(__xludf.DUMMYFUNCTION("""COMPUTED_VALUE"""),"Before School")</f>
        <v>Before School</v>
      </c>
      <c r="W2268" s="11">
        <f ca="1">IFERROR(__xludf.DUMMYFUNCTION("""COMPUTED_VALUE"""),0.3125)</f>
        <v>0.3125</v>
      </c>
      <c r="X2268" s="8">
        <f ca="1">IFERROR(__xludf.DUMMYFUNCTION("""COMPUTED_VALUE"""),1)</f>
        <v>1</v>
      </c>
      <c r="Y2268" s="12" t="str">
        <f ca="1">IFERROR(__xludf.DUMMYFUNCTION("""COMPUTED_VALUE"""),"School maintenance worker shot while in school maintenance shop by two masked men")</f>
        <v>School maintenance worker shot while in school maintenance shop by two masked men</v>
      </c>
      <c r="Z2268" s="12" t="str">
        <f ca="1">IFERROR(__xludf.DUMMYFUNCTION("""COMPUTED_VALUE"""),"School maintenance worker was shot when two masked gunmen ran into the maintenance shop at approximately 7:30am and shot the worker. Suspects fled the scene. Police believed the shooter was related to evidence the victim had against someone.")</f>
        <v>School maintenance worker was shot when two masked gunmen ran into the maintenance shop at approximately 7:30am and shot the worker. Suspects fled the scene. Police believed the shooter was related to evidence the victim had against someone.</v>
      </c>
      <c r="AA2268" s="8" t="str">
        <f ca="1">IFERROR(__xludf.DUMMYFUNCTION("""COMPUTED_VALUE"""),"Illegal Activity")</f>
        <v>Illegal Activity</v>
      </c>
      <c r="AB2268" s="8"/>
      <c r="AC2268" s="8"/>
      <c r="AD2268" s="8" t="str">
        <f ca="1">IFERROR(__xludf.DUMMYFUNCTION("""COMPUTED_VALUE"""),"Victims Targeted")</f>
        <v>Victims Targeted</v>
      </c>
      <c r="AE2268" s="8" t="str">
        <f ca="1">IFERROR(__xludf.DUMMYFUNCTION("""COMPUTED_VALUE"""),"No")</f>
        <v>No</v>
      </c>
      <c r="AF2268" s="8"/>
      <c r="AG2268" s="8" t="str">
        <f ca="1">IFERROR(__xludf.DUMMYFUNCTION("""COMPUTED_VALUE"""),"No")</f>
        <v>No</v>
      </c>
      <c r="AH2268" s="8" t="str">
        <f ca="1">IFERROR(__xludf.DUMMYFUNCTION("""COMPUTED_VALUE"""),"No")</f>
        <v>No</v>
      </c>
      <c r="AI2268" s="8" t="str">
        <f ca="1">IFERROR(__xludf.DUMMYFUNCTION("""COMPUTED_VALUE"""),"No")</f>
        <v>No</v>
      </c>
      <c r="AJ2268" s="8" t="str">
        <f ca="1">IFERROR(__xludf.DUMMYFUNCTION("""COMPUTED_VALUE"""),"No")</f>
        <v>No</v>
      </c>
      <c r="AK2268" s="8" t="str">
        <f ca="1">IFERROR(__xludf.DUMMYFUNCTION("""COMPUTED_VALUE"""),"No")</f>
        <v>No</v>
      </c>
      <c r="AL2268" s="8" t="str">
        <f ca="1">IFERROR(__xludf.DUMMYFUNCTION("""COMPUTED_VALUE"""),"No")</f>
        <v>No</v>
      </c>
      <c r="AM2268" s="8"/>
      <c r="AN2268" s="8"/>
      <c r="AO2268" s="8" t="str">
        <f ca="1">IFERROR(__xludf.DUMMYFUNCTION("""COMPUTED_VALUE"""),"No")</f>
        <v>No</v>
      </c>
      <c r="AP2268" s="8"/>
      <c r="AQ2268" s="8" t="str">
        <f ca="1">IFERROR(__xludf.DUMMYFUNCTION("""COMPUTED_VALUE"""),"Unknown")</f>
        <v>Unknown</v>
      </c>
      <c r="AR2268" s="8" t="str">
        <f ca="1">IFERROR(__xludf.DUMMYFUNCTION("""COMPUTED_VALUE"""),"NA")</f>
        <v>NA</v>
      </c>
      <c r="AS2268" s="8" t="str">
        <f ca="1">IFERROR(__xludf.DUMMYFUNCTION("""COMPUTED_VALUE"""),"&lt;10")</f>
        <v>&lt;10</v>
      </c>
      <c r="AT2268" s="8"/>
      <c r="AU2268" s="8">
        <f ca="1">IFERROR(__xludf.DUMMYFUNCTION("""COMPUTED_VALUE"""),17.752257)</f>
        <v>17.752257</v>
      </c>
      <c r="AV2268" s="8">
        <f ca="1">IFERROR(__xludf.DUMMYFUNCTION("""COMPUTED_VALUE"""),-64.765778)</f>
        <v>-64.765777999999997</v>
      </c>
      <c r="AW2268" s="8"/>
      <c r="AX2268" s="8">
        <f ca="1">IFERROR(__xludf.DUMMYFUNCTION("""COMPUTED_VALUE"""),820)</f>
        <v>820</v>
      </c>
    </row>
    <row r="2269" spans="1:50" ht="90" x14ac:dyDescent="0.2">
      <c r="A2269" s="8" t="str">
        <f ca="1">IFERROR(__xludf.DUMMYFUNCTION("""COMPUTED_VALUE"""),"20050718NJWEN")</f>
        <v>20050718NJWEN</v>
      </c>
      <c r="B2269" s="8">
        <f ca="1">IFERROR(__xludf.DUMMYFUNCTION("""COMPUTED_VALUE"""),7)</f>
        <v>7</v>
      </c>
      <c r="C2269" s="8">
        <f ca="1">IFERROR(__xludf.DUMMYFUNCTION("""COMPUTED_VALUE"""),18)</f>
        <v>18</v>
      </c>
      <c r="D2269" s="8">
        <f ca="1">IFERROR(__xludf.DUMMYFUNCTION("""COMPUTED_VALUE"""),2005)</f>
        <v>2005</v>
      </c>
      <c r="E2269" s="9">
        <f ca="1">IFERROR(__xludf.DUMMYFUNCTION("""COMPUTED_VALUE"""),38551)</f>
        <v>38551</v>
      </c>
      <c r="F2269" s="8" t="str">
        <f ca="1">IFERROR(__xludf.DUMMYFUNCTION("""COMPUTED_VALUE"""),"Weequahic High School")</f>
        <v>Weequahic High School</v>
      </c>
      <c r="G2269" s="8">
        <f ca="1">IFERROR(__xludf.DUMMYFUNCTION("""COMPUTED_VALUE"""),1)</f>
        <v>1</v>
      </c>
      <c r="H2269" s="8">
        <f ca="1">IFERROR(__xludf.DUMMYFUNCTION("""COMPUTED_VALUE"""),1)</f>
        <v>1</v>
      </c>
      <c r="I2269" s="8">
        <f ca="1">IFERROR(__xludf.DUMMYFUNCTION("""COMPUTED_VALUE"""),2)</f>
        <v>2</v>
      </c>
      <c r="J2269" s="8">
        <f ca="1">IFERROR(__xludf.DUMMYFUNCTION("""COMPUTED_VALUE"""),0)</f>
        <v>0</v>
      </c>
      <c r="K2269" s="10" t="str">
        <f ca="1">IFERROR(__xludf.DUMMYFUNCTION("""COMPUTED_VALUE"""),"https://www.nytimes.com/2005/07/20/nyregion/2-men-charged-in-slaying-of-officer-at-newark-school.html")</f>
        <v>https://www.nytimes.com/2005/07/20/nyregion/2-men-charged-in-slaying-of-officer-at-newark-school.html</v>
      </c>
      <c r="L2269" s="8"/>
      <c r="M2269" s="8"/>
      <c r="N2269" s="8">
        <f ca="1">IFERROR(__xludf.DUMMYFUNCTION("""COMPUTED_VALUE"""),2)</f>
        <v>2</v>
      </c>
      <c r="O2269" s="8" t="str">
        <f ca="1">IFERROR(__xludf.DUMMYFUNCTION("""COMPUTED_VALUE"""),"Summer")</f>
        <v>Summer</v>
      </c>
      <c r="P2269" s="8" t="str">
        <f ca="1">IFERROR(__xludf.DUMMYFUNCTION("""COMPUTED_VALUE"""),"Newark")</f>
        <v>Newark</v>
      </c>
      <c r="Q2269" s="8" t="str">
        <f ca="1">IFERROR(__xludf.DUMMYFUNCTION("""COMPUTED_VALUE"""),"NJ")</f>
        <v>NJ</v>
      </c>
      <c r="R2269" s="8" t="str">
        <f ca="1">IFERROR(__xludf.DUMMYFUNCTION("""COMPUTED_VALUE"""),"High")</f>
        <v>High</v>
      </c>
      <c r="S2269" s="8" t="str">
        <f ca="1">IFERROR(__xludf.DUMMYFUNCTION("""COMPUTED_VALUE"""),"Parking Lot")</f>
        <v>Parking Lot</v>
      </c>
      <c r="T2269" s="8" t="str">
        <f ca="1">IFERROR(__xludf.DUMMYFUNCTION("""COMPUTED_VALUE"""),"Outside on School Property")</f>
        <v>Outside on School Property</v>
      </c>
      <c r="U2269" s="8" t="str">
        <f ca="1">IFERROR(__xludf.DUMMYFUNCTION("""COMPUTED_VALUE"""),"Yes")</f>
        <v>Yes</v>
      </c>
      <c r="V2269" s="8" t="str">
        <f ca="1">IFERROR(__xludf.DUMMYFUNCTION("""COMPUTED_VALUE"""),"Afternoon Classes")</f>
        <v>Afternoon Classes</v>
      </c>
      <c r="W2269" s="11">
        <f ca="1">IFERROR(__xludf.DUMMYFUNCTION("""COMPUTED_VALUE"""),0.5625)</f>
        <v>0.5625</v>
      </c>
      <c r="X2269" s="8">
        <f ca="1">IFERROR(__xludf.DUMMYFUNCTION("""COMPUTED_VALUE"""),1)</f>
        <v>1</v>
      </c>
      <c r="Y2269" s="12" t="str">
        <f ca="1">IFERROR(__xludf.DUMMYFUNCTION("""COMPUTED_VALUE"""),"Police tried to break up fight between female students, brother fired at officers killing one")</f>
        <v>Police tried to break up fight between female students, brother fired at officers killing one</v>
      </c>
      <c r="Z2269" s="12" t="str">
        <f ca="1">IFERROR(__xludf.DUMMYFUNCTION("""COMPUTED_VALUE"""),"Two female students were fighting in the parking lot. When police arrived to break up the fight, male students tried to stop them. Shots were fired striking both officers (one fatally). The injured officer was able to return fire striking the shooter who "&amp;"ran away. Shooter and multiple others were arrested in connection with the officer's death.")</f>
        <v>Two female students were fighting in the parking lot. When police arrived to break up the fight, male students tried to stop them. Shots were fired striking both officers (one fatally). The injured officer was able to return fire striking the shooter who ran away. Shooter and multiple others were arrested in connection with the officer's death.</v>
      </c>
      <c r="AA2269" s="8" t="str">
        <f ca="1">IFERROR(__xludf.DUMMYFUNCTION("""COMPUTED_VALUE"""),"Escalation of Dispute")</f>
        <v>Escalation of Dispute</v>
      </c>
      <c r="AB2269" s="8"/>
      <c r="AC2269" s="8"/>
      <c r="AD2269" s="8" t="str">
        <f ca="1">IFERROR(__xludf.DUMMYFUNCTION("""COMPUTED_VALUE"""),"Random Shooting")</f>
        <v>Random Shooting</v>
      </c>
      <c r="AE2269" s="8" t="str">
        <f ca="1">IFERROR(__xludf.DUMMYFUNCTION("""COMPUTED_VALUE"""),"Yes")</f>
        <v>Yes</v>
      </c>
      <c r="AF2269" s="8" t="str">
        <f ca="1">IFERROR(__xludf.DUMMYFUNCTION("""COMPUTED_VALUE"""),"Multiple involved in fight")</f>
        <v>Multiple involved in fight</v>
      </c>
      <c r="AG2269" s="8" t="str">
        <f ca="1">IFERROR(__xludf.DUMMYFUNCTION("""COMPUTED_VALUE"""),"No")</f>
        <v>No</v>
      </c>
      <c r="AH2269" s="8" t="str">
        <f ca="1">IFERROR(__xludf.DUMMYFUNCTION("""COMPUTED_VALUE"""),"No")</f>
        <v>No</v>
      </c>
      <c r="AI2269" s="8" t="str">
        <f ca="1">IFERROR(__xludf.DUMMYFUNCTION("""COMPUTED_VALUE"""),"No")</f>
        <v>No</v>
      </c>
      <c r="AJ2269" s="8" t="str">
        <f ca="1">IFERROR(__xludf.DUMMYFUNCTION("""COMPUTED_VALUE"""),"No")</f>
        <v>No</v>
      </c>
      <c r="AK2269" s="8" t="str">
        <f ca="1">IFERROR(__xludf.DUMMYFUNCTION("""COMPUTED_VALUE"""),"No")</f>
        <v>No</v>
      </c>
      <c r="AL2269" s="8" t="str">
        <f ca="1">IFERROR(__xludf.DUMMYFUNCTION("""COMPUTED_VALUE"""),"No")</f>
        <v>No</v>
      </c>
      <c r="AM2269" s="8"/>
      <c r="AN2269" s="8"/>
      <c r="AO2269" s="8" t="str">
        <f ca="1">IFERROR(__xludf.DUMMYFUNCTION("""COMPUTED_VALUE"""),"No")</f>
        <v>No</v>
      </c>
      <c r="AP2269" s="8"/>
      <c r="AQ2269" s="8" t="str">
        <f ca="1">IFERROR(__xludf.DUMMYFUNCTION("""COMPUTED_VALUE"""),"Unknown")</f>
        <v>Unknown</v>
      </c>
      <c r="AR2269" s="8" t="str">
        <f ca="1">IFERROR(__xludf.DUMMYFUNCTION("""COMPUTED_VALUE"""),"NA")</f>
        <v>NA</v>
      </c>
      <c r="AS2269" s="8"/>
      <c r="AT2269" s="8"/>
      <c r="AU2269" s="8">
        <f ca="1">IFERROR(__xludf.DUMMYFUNCTION("""COMPUTED_VALUE"""),40.709336)</f>
        <v>40.709336</v>
      </c>
      <c r="AV2269" s="8">
        <f ca="1">IFERROR(__xludf.DUMMYFUNCTION("""COMPUTED_VALUE"""),-74.220458)</f>
        <v>-74.220457999999994</v>
      </c>
      <c r="AW2269" s="8"/>
      <c r="AX2269" s="8">
        <f ca="1">IFERROR(__xludf.DUMMYFUNCTION("""COMPUTED_VALUE"""),7112)</f>
        <v>7112</v>
      </c>
    </row>
    <row r="2270" spans="1:50" ht="45" x14ac:dyDescent="0.2">
      <c r="A2270" s="8" t="str">
        <f ca="1">IFERROR(__xludf.DUMMYFUNCTION("""COMPUTED_VALUE"""),"20050612NJBAA")</f>
        <v>20050612NJBAA</v>
      </c>
      <c r="B2270" s="8">
        <f ca="1">IFERROR(__xludf.DUMMYFUNCTION("""COMPUTED_VALUE"""),6)</f>
        <v>6</v>
      </c>
      <c r="C2270" s="8">
        <f ca="1">IFERROR(__xludf.DUMMYFUNCTION("""COMPUTED_VALUE"""),12)</f>
        <v>12</v>
      </c>
      <c r="D2270" s="8">
        <f ca="1">IFERROR(__xludf.DUMMYFUNCTION("""COMPUTED_VALUE"""),2005)</f>
        <v>2005</v>
      </c>
      <c r="E2270" s="9">
        <f ca="1">IFERROR(__xludf.DUMMYFUNCTION("""COMPUTED_VALUE"""),38515)</f>
        <v>38515</v>
      </c>
      <c r="F2270" s="8" t="str">
        <f ca="1">IFERROR(__xludf.DUMMYFUNCTION("""COMPUTED_VALUE"""),"Bangs Avenue Elementary School")</f>
        <v>Bangs Avenue Elementary School</v>
      </c>
      <c r="G2270" s="8">
        <f ca="1">IFERROR(__xludf.DUMMYFUNCTION("""COMPUTED_VALUE"""),0)</f>
        <v>0</v>
      </c>
      <c r="H2270" s="8">
        <f ca="1">IFERROR(__xludf.DUMMYFUNCTION("""COMPUTED_VALUE"""),3)</f>
        <v>3</v>
      </c>
      <c r="I2270" s="8">
        <f ca="1">IFERROR(__xludf.DUMMYFUNCTION("""COMPUTED_VALUE"""),3)</f>
        <v>3</v>
      </c>
      <c r="J2270" s="8">
        <f ca="1">IFERROR(__xludf.DUMMYFUNCTION("""COMPUTED_VALUE"""),0)</f>
        <v>0</v>
      </c>
      <c r="K2270" s="10" t="str">
        <f ca="1">IFERROR(__xludf.DUMMYFUNCTION("""COMPUTED_VALUE"""),"https://www.columbine-angels.com/School_Violence_2004-2005.htm")</f>
        <v>https://www.columbine-angels.com/School_Violence_2004-2005.htm</v>
      </c>
      <c r="L2270" s="8"/>
      <c r="M2270" s="8"/>
      <c r="N2270" s="8">
        <f ca="1">IFERROR(__xludf.DUMMYFUNCTION("""COMPUTED_VALUE"""),1)</f>
        <v>1</v>
      </c>
      <c r="O2270" s="8" t="str">
        <f ca="1">IFERROR(__xludf.DUMMYFUNCTION("""COMPUTED_VALUE"""),"Summer")</f>
        <v>Summer</v>
      </c>
      <c r="P2270" s="8" t="str">
        <f ca="1">IFERROR(__xludf.DUMMYFUNCTION("""COMPUTED_VALUE"""),"Asbury Park")</f>
        <v>Asbury Park</v>
      </c>
      <c r="Q2270" s="8" t="str">
        <f ca="1">IFERROR(__xludf.DUMMYFUNCTION("""COMPUTED_VALUE"""),"NJ")</f>
        <v>NJ</v>
      </c>
      <c r="R2270" s="8" t="str">
        <f ca="1">IFERROR(__xludf.DUMMYFUNCTION("""COMPUTED_VALUE"""),"Elementary")</f>
        <v>Elementary</v>
      </c>
      <c r="S2270" s="8" t="str">
        <f ca="1">IFERROR(__xludf.DUMMYFUNCTION("""COMPUTED_VALUE"""),"Beside Building")</f>
        <v>Beside Building</v>
      </c>
      <c r="T2270" s="8" t="str">
        <f ca="1">IFERROR(__xludf.DUMMYFUNCTION("""COMPUTED_VALUE"""),"Outside on School Property")</f>
        <v>Outside on School Property</v>
      </c>
      <c r="U2270" s="8" t="str">
        <f ca="1">IFERROR(__xludf.DUMMYFUNCTION("""COMPUTED_VALUE"""),"No")</f>
        <v>No</v>
      </c>
      <c r="V2270" s="8" t="str">
        <f ca="1">IFERROR(__xludf.DUMMYFUNCTION("""COMPUTED_VALUE"""),"Evening")</f>
        <v>Evening</v>
      </c>
      <c r="W2270" s="11">
        <f ca="1">IFERROR(__xludf.DUMMYFUNCTION("""COMPUTED_VALUE"""),0.895833333333333)</f>
        <v>0.89583333333333304</v>
      </c>
      <c r="X2270" s="8">
        <f ca="1">IFERROR(__xludf.DUMMYFUNCTION("""COMPUTED_VALUE"""),1)</f>
        <v>1</v>
      </c>
      <c r="Y2270" s="12" t="str">
        <f ca="1">IFERROR(__xludf.DUMMYFUNCTION("""COMPUTED_VALUE"""),"3 shot during fight between 20 people at school")</f>
        <v>3 shot during fight between 20 people at school</v>
      </c>
      <c r="Z2270" s="12" t="str">
        <f ca="1">IFERROR(__xludf.DUMMYFUNCTION("""COMPUTED_VALUE"""),"Three males shot during fight between 20 males outside of school. Fight occured on a Sunday evening and appears unrelated to the school.")</f>
        <v>Three males shot during fight between 20 males outside of school. Fight occured on a Sunday evening and appears unrelated to the school.</v>
      </c>
      <c r="AA2270" s="8" t="str">
        <f ca="1">IFERROR(__xludf.DUMMYFUNCTION("""COMPUTED_VALUE"""),"Escalation of Dispute")</f>
        <v>Escalation of Dispute</v>
      </c>
      <c r="AB2270" s="8"/>
      <c r="AC2270" s="8"/>
      <c r="AD2270" s="8"/>
      <c r="AE2270" s="8" t="str">
        <f ca="1">IFERROR(__xludf.DUMMYFUNCTION("""COMPUTED_VALUE"""),"Yes")</f>
        <v>Yes</v>
      </c>
      <c r="AF2270" s="8" t="str">
        <f ca="1">IFERROR(__xludf.DUMMYFUNCTION("""COMPUTED_VALUE"""),"20 males involved in fight")</f>
        <v>20 males involved in fight</v>
      </c>
      <c r="AG2270" s="8" t="str">
        <f ca="1">IFERROR(__xludf.DUMMYFUNCTION("""COMPUTED_VALUE"""),"No")</f>
        <v>No</v>
      </c>
      <c r="AH2270" s="8" t="str">
        <f ca="1">IFERROR(__xludf.DUMMYFUNCTION("""COMPUTED_VALUE"""),"No")</f>
        <v>No</v>
      </c>
      <c r="AI2270" s="8" t="str">
        <f ca="1">IFERROR(__xludf.DUMMYFUNCTION("""COMPUTED_VALUE"""),"No")</f>
        <v>No</v>
      </c>
      <c r="AJ2270" s="8" t="str">
        <f ca="1">IFERROR(__xludf.DUMMYFUNCTION("""COMPUTED_VALUE"""),"No")</f>
        <v>No</v>
      </c>
      <c r="AK2270" s="8" t="str">
        <f ca="1">IFERROR(__xludf.DUMMYFUNCTION("""COMPUTED_VALUE"""),"No")</f>
        <v>No</v>
      </c>
      <c r="AL2270" s="8" t="str">
        <f ca="1">IFERROR(__xludf.DUMMYFUNCTION("""COMPUTED_VALUE"""),"No")</f>
        <v>No</v>
      </c>
      <c r="AM2270" s="8"/>
      <c r="AN2270" s="8"/>
      <c r="AO2270" s="8" t="str">
        <f ca="1">IFERROR(__xludf.DUMMYFUNCTION("""COMPUTED_VALUE"""),"No")</f>
        <v>No</v>
      </c>
      <c r="AP2270" s="8"/>
      <c r="AQ2270" s="8" t="str">
        <f ca="1">IFERROR(__xludf.DUMMYFUNCTION("""COMPUTED_VALUE"""),"Unknown")</f>
        <v>Unknown</v>
      </c>
      <c r="AR2270" s="8" t="str">
        <f ca="1">IFERROR(__xludf.DUMMYFUNCTION("""COMPUTED_VALUE"""),"NA")</f>
        <v>NA</v>
      </c>
      <c r="AS2270" s="8" t="str">
        <f ca="1">IFERROR(__xludf.DUMMYFUNCTION("""COMPUTED_VALUE"""),"&lt;10")</f>
        <v>&lt;10</v>
      </c>
      <c r="AT2270" s="8"/>
      <c r="AU2270" s="8">
        <f ca="1">IFERROR(__xludf.DUMMYFUNCTION("""COMPUTED_VALUE"""),40.218418)</f>
        <v>40.218418</v>
      </c>
      <c r="AV2270" s="8">
        <f ca="1">IFERROR(__xludf.DUMMYFUNCTION("""COMPUTED_VALUE"""),-74.022118)</f>
        <v>-74.022118000000006</v>
      </c>
      <c r="AW2270" s="8"/>
      <c r="AX2270" s="8">
        <f ca="1">IFERROR(__xludf.DUMMYFUNCTION("""COMPUTED_VALUE"""),7712)</f>
        <v>7712</v>
      </c>
    </row>
    <row r="2271" spans="1:50" ht="135" x14ac:dyDescent="0.2">
      <c r="A2271" s="8" t="str">
        <f ca="1">IFERROR(__xludf.DUMMYFUNCTION("""COMPUTED_VALUE"""),"20050608NYARP")</f>
        <v>20050608NYARP</v>
      </c>
      <c r="B2271" s="8">
        <f ca="1">IFERROR(__xludf.DUMMYFUNCTION("""COMPUTED_VALUE"""),6)</f>
        <v>6</v>
      </c>
      <c r="C2271" s="8">
        <f ca="1">IFERROR(__xludf.DUMMYFUNCTION("""COMPUTED_VALUE"""),8)</f>
        <v>8</v>
      </c>
      <c r="D2271" s="8">
        <f ca="1">IFERROR(__xludf.DUMMYFUNCTION("""COMPUTED_VALUE"""),2005)</f>
        <v>2005</v>
      </c>
      <c r="E2271" s="9">
        <f ca="1">IFERROR(__xludf.DUMMYFUNCTION("""COMPUTED_VALUE"""),38511)</f>
        <v>38511</v>
      </c>
      <c r="F2271" s="8" t="str">
        <f ca="1">IFERROR(__xludf.DUMMYFUNCTION("""COMPUTED_VALUE"""),"Arlington High School")</f>
        <v>Arlington High School</v>
      </c>
      <c r="G2271" s="8">
        <f ca="1">IFERROR(__xludf.DUMMYFUNCTION("""COMPUTED_VALUE"""),0)</f>
        <v>0</v>
      </c>
      <c r="H2271" s="8">
        <f ca="1">IFERROR(__xludf.DUMMYFUNCTION("""COMPUTED_VALUE"""),2)</f>
        <v>2</v>
      </c>
      <c r="I2271" s="8">
        <f ca="1">IFERROR(__xludf.DUMMYFUNCTION("""COMPUTED_VALUE"""),2)</f>
        <v>2</v>
      </c>
      <c r="J2271" s="8">
        <f ca="1">IFERROR(__xludf.DUMMYFUNCTION("""COMPUTED_VALUE"""),0)</f>
        <v>0</v>
      </c>
      <c r="K2271" s="10" t="str">
        <f ca="1">IFERROR(__xludf.DUMMYFUNCTION("""COMPUTED_VALUE"""),"https://www.columbine-angels.com/School_Violence_2004-2005.htm")</f>
        <v>https://www.columbine-angels.com/School_Violence_2004-2005.htm</v>
      </c>
      <c r="L2271" s="8"/>
      <c r="M2271" s="8"/>
      <c r="N2271" s="8">
        <f ca="1">IFERROR(__xludf.DUMMYFUNCTION("""COMPUTED_VALUE"""),1)</f>
        <v>1</v>
      </c>
      <c r="O2271" s="8" t="str">
        <f ca="1">IFERROR(__xludf.DUMMYFUNCTION("""COMPUTED_VALUE"""),"Summer")</f>
        <v>Summer</v>
      </c>
      <c r="P2271" s="8" t="str">
        <f ca="1">IFERROR(__xludf.DUMMYFUNCTION("""COMPUTED_VALUE"""),"Poughkeepsi")</f>
        <v>Poughkeepsi</v>
      </c>
      <c r="Q2271" s="8" t="str">
        <f ca="1">IFERROR(__xludf.DUMMYFUNCTION("""COMPUTED_VALUE"""),"NY")</f>
        <v>NY</v>
      </c>
      <c r="R2271" s="8" t="str">
        <f ca="1">IFERROR(__xludf.DUMMYFUNCTION("""COMPUTED_VALUE"""),"High")</f>
        <v>High</v>
      </c>
      <c r="S2271" s="8" t="str">
        <f ca="1">IFERROR(__xludf.DUMMYFUNCTION("""COMPUTED_VALUE"""),"Front of School")</f>
        <v>Front of School</v>
      </c>
      <c r="T2271" s="8" t="str">
        <f ca="1">IFERROR(__xludf.DUMMYFUNCTION("""COMPUTED_VALUE"""),"Outside on School Property")</f>
        <v>Outside on School Property</v>
      </c>
      <c r="U2271" s="8" t="str">
        <f ca="1">IFERROR(__xludf.DUMMYFUNCTION("""COMPUTED_VALUE"""),"Yes")</f>
        <v>Yes</v>
      </c>
      <c r="V2271" s="8" t="str">
        <f ca="1">IFERROR(__xludf.DUMMYFUNCTION("""COMPUTED_VALUE"""),"Dismissal")</f>
        <v>Dismissal</v>
      </c>
      <c r="W2271" s="11">
        <f ca="1">IFERROR(__xludf.DUMMYFUNCTION("""COMPUTED_VALUE"""),0.605555555555555)</f>
        <v>0.60555555555555496</v>
      </c>
      <c r="X2271" s="8">
        <f ca="1">IFERROR(__xludf.DUMMYFUNCTION("""COMPUTED_VALUE"""),1)</f>
        <v>1</v>
      </c>
      <c r="Y2271" s="12" t="str">
        <f ca="1">IFERROR(__xludf.DUMMYFUNCTION("""COMPUTED_VALUE"""),"Fired BB gun at students during drive-by")</f>
        <v>Fired BB gun at students during drive-by</v>
      </c>
      <c r="Z2271" s="12" t="str">
        <f ca="1">IFERROR(__xludf.DUMMYFUNCTION("""COMPUTED_VALUE"""),"17YOM opened fire on his classmates with a BB gun while he was in a moving vehicle.  Two students received minor wounds from the flying pellets and were taken to Vassar Hospital for treatment.  Jeremy was arrested and charged with criminal possession of a"&amp;" weapon, felony attempted assault, two counts of felony assault and two misdemeanor charges for reckless endangerment.  He bonded out of jail with $10,000 and his court date was scheduled for June 21, 2005 at 3:00.")</f>
        <v>17YOM opened fire on his classmates with a BB gun while he was in a moving vehicle.  Two students received minor wounds from the flying pellets and were taken to Vassar Hospital for treatment.  Jeremy was arrested and charged with criminal possession of a weapon, felony attempted assault, two counts of felony assault and two misdemeanor charges for reckless endangerment.  He bonded out of jail with $10,000 and his court date was scheduled for June 21, 2005 at 3:00.</v>
      </c>
      <c r="AA2271" s="8" t="str">
        <f ca="1">IFERROR(__xludf.DUMMYFUNCTION("""COMPUTED_VALUE"""),"Drive-by Shooting")</f>
        <v>Drive-by Shooting</v>
      </c>
      <c r="AB2271" s="8"/>
      <c r="AC2271" s="8"/>
      <c r="AD2271" s="8"/>
      <c r="AE2271" s="8" t="str">
        <f ca="1">IFERROR(__xludf.DUMMYFUNCTION("""COMPUTED_VALUE"""),"Yes")</f>
        <v>Yes</v>
      </c>
      <c r="AF2271" s="8" t="str">
        <f ca="1">IFERROR(__xludf.DUMMYFUNCTION("""COMPUTED_VALUE"""),"In a car with driver")</f>
        <v>In a car with driver</v>
      </c>
      <c r="AG2271" s="8" t="str">
        <f ca="1">IFERROR(__xludf.DUMMYFUNCTION("""COMPUTED_VALUE"""),"No")</f>
        <v>No</v>
      </c>
      <c r="AH2271" s="8" t="str">
        <f ca="1">IFERROR(__xludf.DUMMYFUNCTION("""COMPUTED_VALUE"""),"No")</f>
        <v>No</v>
      </c>
      <c r="AI2271" s="8" t="str">
        <f ca="1">IFERROR(__xludf.DUMMYFUNCTION("""COMPUTED_VALUE"""),"No")</f>
        <v>No</v>
      </c>
      <c r="AJ2271" s="8" t="str">
        <f ca="1">IFERROR(__xludf.DUMMYFUNCTION("""COMPUTED_VALUE"""),"No")</f>
        <v>No</v>
      </c>
      <c r="AK2271" s="8" t="str">
        <f ca="1">IFERROR(__xludf.DUMMYFUNCTION("""COMPUTED_VALUE"""),"No")</f>
        <v>No</v>
      </c>
      <c r="AL2271" s="8" t="str">
        <f ca="1">IFERROR(__xludf.DUMMYFUNCTION("""COMPUTED_VALUE"""),"No")</f>
        <v>No</v>
      </c>
      <c r="AM2271" s="8"/>
      <c r="AN2271" s="8"/>
      <c r="AO2271" s="8" t="str">
        <f ca="1">IFERROR(__xludf.DUMMYFUNCTION("""COMPUTED_VALUE"""),"No")</f>
        <v>No</v>
      </c>
      <c r="AP2271" s="8"/>
      <c r="AQ2271" s="8" t="str">
        <f ca="1">IFERROR(__xludf.DUMMYFUNCTION("""COMPUTED_VALUE"""),"Unknown")</f>
        <v>Unknown</v>
      </c>
      <c r="AR2271" s="8" t="str">
        <f ca="1">IFERROR(__xludf.DUMMYFUNCTION("""COMPUTED_VALUE"""),"NA")</f>
        <v>NA</v>
      </c>
      <c r="AS2271" s="8" t="str">
        <f ca="1">IFERROR(__xludf.DUMMYFUNCTION("""COMPUTED_VALUE"""),"&lt;10")</f>
        <v>&lt;10</v>
      </c>
      <c r="AT2271" s="8"/>
      <c r="AU2271" s="8">
        <f ca="1">IFERROR(__xludf.DUMMYFUNCTION("""COMPUTED_VALUE"""),41.67335)</f>
        <v>41.673349999999999</v>
      </c>
      <c r="AV2271" s="8">
        <f ca="1">IFERROR(__xludf.DUMMYFUNCTION("""COMPUTED_VALUE"""),-73.796274)</f>
        <v>-73.796273999999997</v>
      </c>
      <c r="AW2271" s="8"/>
      <c r="AX2271" s="8">
        <f ca="1">IFERROR(__xludf.DUMMYFUNCTION("""COMPUTED_VALUE"""),12540)</f>
        <v>12540</v>
      </c>
    </row>
    <row r="2272" spans="1:50" ht="60" x14ac:dyDescent="0.2">
      <c r="A2272" s="8" t="str">
        <f ca="1">IFERROR(__xludf.DUMMYFUNCTION("""COMPUTED_VALUE"""),"20050524LABOS")</f>
        <v>20050524LABOS</v>
      </c>
      <c r="B2272" s="8">
        <f ca="1">IFERROR(__xludf.DUMMYFUNCTION("""COMPUTED_VALUE"""),5)</f>
        <v>5</v>
      </c>
      <c r="C2272" s="8">
        <f ca="1">IFERROR(__xludf.DUMMYFUNCTION("""COMPUTED_VALUE"""),24)</f>
        <v>24</v>
      </c>
      <c r="D2272" s="8">
        <f ca="1">IFERROR(__xludf.DUMMYFUNCTION("""COMPUTED_VALUE"""),2005)</f>
        <v>2005</v>
      </c>
      <c r="E2272" s="9">
        <f ca="1">IFERROR(__xludf.DUMMYFUNCTION("""COMPUTED_VALUE"""),38496)</f>
        <v>38496</v>
      </c>
      <c r="F2272" s="8" t="str">
        <f ca="1">IFERROR(__xludf.DUMMYFUNCTION("""COMPUTED_VALUE"""),"Booker T. Washington High School")</f>
        <v>Booker T. Washington High School</v>
      </c>
      <c r="G2272" s="8">
        <f ca="1">IFERROR(__xludf.DUMMYFUNCTION("""COMPUTED_VALUE"""),0)</f>
        <v>0</v>
      </c>
      <c r="H2272" s="8">
        <f ca="1">IFERROR(__xludf.DUMMYFUNCTION("""COMPUTED_VALUE"""),0)</f>
        <v>0</v>
      </c>
      <c r="I2272" s="8">
        <f ca="1">IFERROR(__xludf.DUMMYFUNCTION("""COMPUTED_VALUE"""),0)</f>
        <v>0</v>
      </c>
      <c r="J2272" s="8">
        <f ca="1">IFERROR(__xludf.DUMMYFUNCTION("""COMPUTED_VALUE"""),0)</f>
        <v>0</v>
      </c>
      <c r="K2272" s="10" t="str">
        <f ca="1">IFERROR(__xludf.DUMMYFUNCTION("""COMPUTED_VALUE"""),"https://www.newspapers.com/image/219341527/")</f>
        <v>https://www.newspapers.com/image/219341527/</v>
      </c>
      <c r="L2272" s="8"/>
      <c r="M2272" s="8"/>
      <c r="N2272" s="8">
        <f ca="1">IFERROR(__xludf.DUMMYFUNCTION("""COMPUTED_VALUE"""),2)</f>
        <v>2</v>
      </c>
      <c r="O2272" s="8" t="str">
        <f ca="1">IFERROR(__xludf.DUMMYFUNCTION("""COMPUTED_VALUE"""),"Spring")</f>
        <v>Spring</v>
      </c>
      <c r="P2272" s="8" t="str">
        <f ca="1">IFERROR(__xludf.DUMMYFUNCTION("""COMPUTED_VALUE"""),"Shreveport")</f>
        <v>Shreveport</v>
      </c>
      <c r="Q2272" s="8" t="str">
        <f ca="1">IFERROR(__xludf.DUMMYFUNCTION("""COMPUTED_VALUE"""),"LA")</f>
        <v>LA</v>
      </c>
      <c r="R2272" s="8" t="str">
        <f ca="1">IFERROR(__xludf.DUMMYFUNCTION("""COMPUTED_VALUE"""),"High")</f>
        <v>High</v>
      </c>
      <c r="S2272" s="8" t="str">
        <f ca="1">IFERROR(__xludf.DUMMYFUNCTION("""COMPUTED_VALUE"""),"Beside Building")</f>
        <v>Beside Building</v>
      </c>
      <c r="T2272" s="8" t="str">
        <f ca="1">IFERROR(__xludf.DUMMYFUNCTION("""COMPUTED_VALUE"""),"Outside on School Property")</f>
        <v>Outside on School Property</v>
      </c>
      <c r="U2272" s="8" t="str">
        <f ca="1">IFERROR(__xludf.DUMMYFUNCTION("""COMPUTED_VALUE"""),"Yes")</f>
        <v>Yes</v>
      </c>
      <c r="V2272" s="8" t="str">
        <f ca="1">IFERROR(__xludf.DUMMYFUNCTION("""COMPUTED_VALUE"""),"Dismissal")</f>
        <v>Dismissal</v>
      </c>
      <c r="W2272" s="11">
        <f ca="1">IFERROR(__xludf.DUMMYFUNCTION("""COMPUTED_VALUE"""),0.579861111111111)</f>
        <v>0.57986111111111105</v>
      </c>
      <c r="X2272" s="8">
        <f ca="1">IFERROR(__xludf.DUMMYFUNCTION("""COMPUTED_VALUE"""),1)</f>
        <v>1</v>
      </c>
      <c r="Y2272" s="12" t="str">
        <f ca="1">IFERROR(__xludf.DUMMYFUNCTION("""COMPUTED_VALUE"""),"Student shot self in leg outside of school put pistol into pocket")</f>
        <v>Student shot self in leg outside of school put pistol into pocket</v>
      </c>
      <c r="Z2272" s="12" t="str">
        <f ca="1">IFERROR(__xludf.DUMMYFUNCTION("""COMPUTED_VALUE"""),"16YOM student shot self in leg putting pistol into pocket outside of high school. Student left the gun outside during the day to avoid metal detectors. Student threw the gun over a fence after the shooting.")</f>
        <v>16YOM student shot self in leg putting pistol into pocket outside of high school. Student left the gun outside during the day to avoid metal detectors. Student threw the gun over a fence after the shooting.</v>
      </c>
      <c r="AA2272" s="8" t="str">
        <f ca="1">IFERROR(__xludf.DUMMYFUNCTION("""COMPUTED_VALUE"""),"Accidental")</f>
        <v>Accidental</v>
      </c>
      <c r="AB2272" s="8"/>
      <c r="AC2272" s="8"/>
      <c r="AD2272" s="8" t="str">
        <f ca="1">IFERROR(__xludf.DUMMYFUNCTION("""COMPUTED_VALUE"""),"Neither")</f>
        <v>Neither</v>
      </c>
      <c r="AE2272" s="8" t="str">
        <f ca="1">IFERROR(__xludf.DUMMYFUNCTION("""COMPUTED_VALUE"""),"No")</f>
        <v>No</v>
      </c>
      <c r="AF2272" s="8"/>
      <c r="AG2272" s="8" t="str">
        <f ca="1">IFERROR(__xludf.DUMMYFUNCTION("""COMPUTED_VALUE"""),"No")</f>
        <v>No</v>
      </c>
      <c r="AH2272" s="8" t="str">
        <f ca="1">IFERROR(__xludf.DUMMYFUNCTION("""COMPUTED_VALUE"""),"No")</f>
        <v>No</v>
      </c>
      <c r="AI2272" s="8" t="str">
        <f ca="1">IFERROR(__xludf.DUMMYFUNCTION("""COMPUTED_VALUE"""),"No")</f>
        <v>No</v>
      </c>
      <c r="AJ2272" s="8" t="str">
        <f ca="1">IFERROR(__xludf.DUMMYFUNCTION("""COMPUTED_VALUE"""),"No")</f>
        <v>No</v>
      </c>
      <c r="AK2272" s="8" t="str">
        <f ca="1">IFERROR(__xludf.DUMMYFUNCTION("""COMPUTED_VALUE"""),"No")</f>
        <v>No</v>
      </c>
      <c r="AL2272" s="8" t="str">
        <f ca="1">IFERROR(__xludf.DUMMYFUNCTION("""COMPUTED_VALUE"""),"No")</f>
        <v>No</v>
      </c>
      <c r="AM2272" s="8"/>
      <c r="AN2272" s="8"/>
      <c r="AO2272" s="8" t="str">
        <f ca="1">IFERROR(__xludf.DUMMYFUNCTION("""COMPUTED_VALUE"""),"No")</f>
        <v>No</v>
      </c>
      <c r="AP2272" s="8"/>
      <c r="AQ2272" s="8" t="str">
        <f ca="1">IFERROR(__xludf.DUMMYFUNCTION("""COMPUTED_VALUE"""),"Metal Detectors")</f>
        <v>Metal Detectors</v>
      </c>
      <c r="AR2272" s="8" t="str">
        <f ca="1">IFERROR(__xludf.DUMMYFUNCTION("""COMPUTED_VALUE"""),"Outside/Off-Property")</f>
        <v>Outside/Off-Property</v>
      </c>
      <c r="AS2272" s="8">
        <f ca="1">IFERROR(__xludf.DUMMYFUNCTION("""COMPUTED_VALUE"""),1)</f>
        <v>1</v>
      </c>
      <c r="AT2272" s="8"/>
      <c r="AU2272" s="8">
        <f ca="1">IFERROR(__xludf.DUMMYFUNCTION("""COMPUTED_VALUE"""),32.504103)</f>
        <v>32.504103000000001</v>
      </c>
      <c r="AV2272" s="8">
        <f ca="1">IFERROR(__xludf.DUMMYFUNCTION("""COMPUTED_VALUE"""),-93.774454)</f>
        <v>-93.774454000000006</v>
      </c>
      <c r="AW2272" s="8"/>
      <c r="AX2272" s="8">
        <f ca="1">IFERROR(__xludf.DUMMYFUNCTION("""COMPUTED_VALUE"""),71103)</f>
        <v>71103</v>
      </c>
    </row>
    <row r="2273" spans="1:50" ht="60" x14ac:dyDescent="0.2">
      <c r="A2273" s="8" t="str">
        <f ca="1">IFERROR(__xludf.DUMMYFUNCTION("""COMPUTED_VALUE"""),"20050524COACD")</f>
        <v>20050524COACD</v>
      </c>
      <c r="B2273" s="8">
        <f ca="1">IFERROR(__xludf.DUMMYFUNCTION("""COMPUTED_VALUE"""),5)</f>
        <v>5</v>
      </c>
      <c r="C2273" s="8">
        <f ca="1">IFERROR(__xludf.DUMMYFUNCTION("""COMPUTED_VALUE"""),24)</f>
        <v>24</v>
      </c>
      <c r="D2273" s="8">
        <f ca="1">IFERROR(__xludf.DUMMYFUNCTION("""COMPUTED_VALUE"""),2005)</f>
        <v>2005</v>
      </c>
      <c r="E2273" s="9">
        <f ca="1">IFERROR(__xludf.DUMMYFUNCTION("""COMPUTED_VALUE"""),38496)</f>
        <v>38496</v>
      </c>
      <c r="F2273" s="8" t="str">
        <f ca="1">IFERROR(__xludf.DUMMYFUNCTION("""COMPUTED_VALUE"""),"Academia Ana Marie Sandoval Montessori School")</f>
        <v>Academia Ana Marie Sandoval Montessori School</v>
      </c>
      <c r="G2273" s="8">
        <f ca="1">IFERROR(__xludf.DUMMYFUNCTION("""COMPUTED_VALUE"""),0)</f>
        <v>0</v>
      </c>
      <c r="H2273" s="8">
        <f ca="1">IFERROR(__xludf.DUMMYFUNCTION("""COMPUTED_VALUE"""),2)</f>
        <v>2</v>
      </c>
      <c r="I2273" s="8">
        <f ca="1">IFERROR(__xludf.DUMMYFUNCTION("""COMPUTED_VALUE"""),2)</f>
        <v>2</v>
      </c>
      <c r="J2273" s="8">
        <f ca="1">IFERROR(__xludf.DUMMYFUNCTION("""COMPUTED_VALUE"""),0)</f>
        <v>0</v>
      </c>
      <c r="K2273" s="10" t="str">
        <f ca="1">IFERROR(__xludf.DUMMYFUNCTION("""COMPUTED_VALUE"""),"https://www.denverpost.com/2005/05/24/pellets-strike-2-adults-on-busy-school-playground/")</f>
        <v>https://www.denverpost.com/2005/05/24/pellets-strike-2-adults-on-busy-school-playground/</v>
      </c>
      <c r="L2273" s="8"/>
      <c r="M2273" s="8"/>
      <c r="N2273" s="8">
        <f ca="1">IFERROR(__xludf.DUMMYFUNCTION("""COMPUTED_VALUE"""),2)</f>
        <v>2</v>
      </c>
      <c r="O2273" s="8" t="str">
        <f ca="1">IFERROR(__xludf.DUMMYFUNCTION("""COMPUTED_VALUE"""),"Spring")</f>
        <v>Spring</v>
      </c>
      <c r="P2273" s="8" t="str">
        <f ca="1">IFERROR(__xludf.DUMMYFUNCTION("""COMPUTED_VALUE"""),"Denver")</f>
        <v>Denver</v>
      </c>
      <c r="Q2273" s="8" t="str">
        <f ca="1">IFERROR(__xludf.DUMMYFUNCTION("""COMPUTED_VALUE"""),"CO")</f>
        <v>CO</v>
      </c>
      <c r="R2273" s="8" t="str">
        <f ca="1">IFERROR(__xludf.DUMMYFUNCTION("""COMPUTED_VALUE"""),"Other")</f>
        <v>Other</v>
      </c>
      <c r="S2273" s="8" t="str">
        <f ca="1">IFERROR(__xludf.DUMMYFUNCTION("""COMPUTED_VALUE"""),"Playground")</f>
        <v>Playground</v>
      </c>
      <c r="T2273" s="8" t="str">
        <f ca="1">IFERROR(__xludf.DUMMYFUNCTION("""COMPUTED_VALUE"""),"Outside on School Property")</f>
        <v>Outside on School Property</v>
      </c>
      <c r="U2273" s="8" t="str">
        <f ca="1">IFERROR(__xludf.DUMMYFUNCTION("""COMPUTED_VALUE"""),"Yes")</f>
        <v>Yes</v>
      </c>
      <c r="V2273" s="8" t="str">
        <f ca="1">IFERROR(__xludf.DUMMYFUNCTION("""COMPUTED_VALUE"""),"Afternoon Classes")</f>
        <v>Afternoon Classes</v>
      </c>
      <c r="W2273" s="11">
        <f ca="1">IFERROR(__xludf.DUMMYFUNCTION("""COMPUTED_VALUE"""),0.541666666666666)</f>
        <v>0.54166666666666596</v>
      </c>
      <c r="X2273" s="8">
        <f ca="1">IFERROR(__xludf.DUMMYFUNCTION("""COMPUTED_VALUE"""),1)</f>
        <v>1</v>
      </c>
      <c r="Y2273" s="12" t="str">
        <f ca="1">IFERROR(__xludf.DUMMYFUNCTION("""COMPUTED_VALUE"""),"Unknown shooter fired BB gun at playground striking teacher in the neck")</f>
        <v>Unknown shooter fired BB gun at playground striking teacher in the neck</v>
      </c>
      <c r="Z2273" s="12" t="str">
        <f ca="1">IFERROR(__xludf.DUMMYFUNCTION("""COMPUTED_VALUE"""),"Unknown gunman fired BB gun at school playground striking on teacher in the neck and another in the leg. Both teacher were transported to the hospital. No info on gunman or motive.")</f>
        <v>Unknown gunman fired BB gun at school playground striking on teacher in the neck and another in the leg. Both teacher were transported to the hospital. No info on gunman or motive.</v>
      </c>
      <c r="AA2273" s="8" t="str">
        <f ca="1">IFERROR(__xludf.DUMMYFUNCTION("""COMPUTED_VALUE"""),"Indiscriminate Shooting")</f>
        <v>Indiscriminate Shooting</v>
      </c>
      <c r="AB2273" s="8"/>
      <c r="AC2273" s="8"/>
      <c r="AD2273" s="8" t="str">
        <f ca="1">IFERROR(__xludf.DUMMYFUNCTION("""COMPUTED_VALUE"""),"Random Shooting")</f>
        <v>Random Shooting</v>
      </c>
      <c r="AE2273" s="8" t="str">
        <f ca="1">IFERROR(__xludf.DUMMYFUNCTION("""COMPUTED_VALUE"""),"No")</f>
        <v>No</v>
      </c>
      <c r="AF2273" s="8"/>
      <c r="AG2273" s="8" t="str">
        <f ca="1">IFERROR(__xludf.DUMMYFUNCTION("""COMPUTED_VALUE"""),"No")</f>
        <v>No</v>
      </c>
      <c r="AH2273" s="8" t="str">
        <f ca="1">IFERROR(__xludf.DUMMYFUNCTION("""COMPUTED_VALUE"""),"No")</f>
        <v>No</v>
      </c>
      <c r="AI2273" s="8" t="str">
        <f ca="1">IFERROR(__xludf.DUMMYFUNCTION("""COMPUTED_VALUE"""),"No")</f>
        <v>No</v>
      </c>
      <c r="AJ2273" s="8" t="str">
        <f ca="1">IFERROR(__xludf.DUMMYFUNCTION("""COMPUTED_VALUE"""),"No")</f>
        <v>No</v>
      </c>
      <c r="AK2273" s="8" t="str">
        <f ca="1">IFERROR(__xludf.DUMMYFUNCTION("""COMPUTED_VALUE"""),"No")</f>
        <v>No</v>
      </c>
      <c r="AL2273" s="8" t="str">
        <f ca="1">IFERROR(__xludf.DUMMYFUNCTION("""COMPUTED_VALUE"""),"No")</f>
        <v>No</v>
      </c>
      <c r="AM2273" s="8"/>
      <c r="AN2273" s="8"/>
      <c r="AO2273" s="8" t="str">
        <f ca="1">IFERROR(__xludf.DUMMYFUNCTION("""COMPUTED_VALUE"""),"No")</f>
        <v>No</v>
      </c>
      <c r="AP2273" s="8"/>
      <c r="AQ2273" s="8" t="str">
        <f ca="1">IFERROR(__xludf.DUMMYFUNCTION("""COMPUTED_VALUE"""),"Unknown")</f>
        <v>Unknown</v>
      </c>
      <c r="AR2273" s="8" t="str">
        <f ca="1">IFERROR(__xludf.DUMMYFUNCTION("""COMPUTED_VALUE"""),"NA")</f>
        <v>NA</v>
      </c>
      <c r="AS2273" s="8"/>
      <c r="AT2273" s="8"/>
      <c r="AU2273" s="8">
        <f ca="1">IFERROR(__xludf.DUMMYFUNCTION("""COMPUTED_VALUE"""),39.767793)</f>
        <v>39.767792999999998</v>
      </c>
      <c r="AV2273" s="8">
        <f ca="1">IFERROR(__xludf.DUMMYFUNCTION("""COMPUTED_VALUE"""),-105.015348)</f>
        <v>-105.015348</v>
      </c>
      <c r="AW2273" s="8"/>
      <c r="AX2273" s="8">
        <f ca="1">IFERROR(__xludf.DUMMYFUNCTION("""COMPUTED_VALUE"""),80211)</f>
        <v>80211</v>
      </c>
    </row>
    <row r="2274" spans="1:50" ht="60" x14ac:dyDescent="0.2">
      <c r="A2274" s="8" t="str">
        <f ca="1">IFERROR(__xludf.DUMMYFUNCTION("""COMPUTED_VALUE"""),"20050520ILLOM")</f>
        <v>20050520ILLOM</v>
      </c>
      <c r="B2274" s="8">
        <f ca="1">IFERROR(__xludf.DUMMYFUNCTION("""COMPUTED_VALUE"""),5)</f>
        <v>5</v>
      </c>
      <c r="C2274" s="8">
        <f ca="1">IFERROR(__xludf.DUMMYFUNCTION("""COMPUTED_VALUE"""),20)</f>
        <v>20</v>
      </c>
      <c r="D2274" s="8">
        <f ca="1">IFERROR(__xludf.DUMMYFUNCTION("""COMPUTED_VALUE"""),2005)</f>
        <v>2005</v>
      </c>
      <c r="E2274" s="9">
        <f ca="1">IFERROR(__xludf.DUMMYFUNCTION("""COMPUTED_VALUE"""),38492)</f>
        <v>38492</v>
      </c>
      <c r="F2274" s="8" t="str">
        <f ca="1">IFERROR(__xludf.DUMMYFUNCTION("""COMPUTED_VALUE"""),"Locust Elementary School")</f>
        <v>Locust Elementary School</v>
      </c>
      <c r="G2274" s="8">
        <f ca="1">IFERROR(__xludf.DUMMYFUNCTION("""COMPUTED_VALUE"""),0)</f>
        <v>0</v>
      </c>
      <c r="H2274" s="8">
        <f ca="1">IFERROR(__xludf.DUMMYFUNCTION("""COMPUTED_VALUE"""),2)</f>
        <v>2</v>
      </c>
      <c r="I2274" s="8">
        <f ca="1">IFERROR(__xludf.DUMMYFUNCTION("""COMPUTED_VALUE"""),2)</f>
        <v>2</v>
      </c>
      <c r="J2274" s="8">
        <f ca="1">IFERROR(__xludf.DUMMYFUNCTION("""COMPUTED_VALUE"""),0)</f>
        <v>0</v>
      </c>
      <c r="K2274" s="10" t="str">
        <f ca="1">IFERROR(__xludf.DUMMYFUNCTION("""COMPUTED_VALUE"""),"http://articles.chicagotribune.com/2005-05-26/news/0505260268_1_hallman-pupils-soft-air-gun")</f>
        <v>http://articles.chicagotribune.com/2005-05-26/news/0505260268_1_hallman-pupils-soft-air-gun</v>
      </c>
      <c r="L2274" s="8"/>
      <c r="M2274" s="8"/>
      <c r="N2274" s="8">
        <f ca="1">IFERROR(__xludf.DUMMYFUNCTION("""COMPUTED_VALUE"""),2)</f>
        <v>2</v>
      </c>
      <c r="O2274" s="8" t="str">
        <f ca="1">IFERROR(__xludf.DUMMYFUNCTION("""COMPUTED_VALUE"""),"Spring")</f>
        <v>Spring</v>
      </c>
      <c r="P2274" s="8" t="str">
        <f ca="1">IFERROR(__xludf.DUMMYFUNCTION("""COMPUTED_VALUE"""),"Marengo")</f>
        <v>Marengo</v>
      </c>
      <c r="Q2274" s="8" t="str">
        <f ca="1">IFERROR(__xludf.DUMMYFUNCTION("""COMPUTED_VALUE"""),"IL")</f>
        <v>IL</v>
      </c>
      <c r="R2274" s="8" t="str">
        <f ca="1">IFERROR(__xludf.DUMMYFUNCTION("""COMPUTED_VALUE"""),"Elementary")</f>
        <v>Elementary</v>
      </c>
      <c r="S2274" s="8" t="str">
        <f ca="1">IFERROR(__xludf.DUMMYFUNCTION("""COMPUTED_VALUE"""),"Parking Lot")</f>
        <v>Parking Lot</v>
      </c>
      <c r="T2274" s="8" t="str">
        <f ca="1">IFERROR(__xludf.DUMMYFUNCTION("""COMPUTED_VALUE"""),"Outside on School Property")</f>
        <v>Outside on School Property</v>
      </c>
      <c r="U2274" s="8" t="str">
        <f ca="1">IFERROR(__xludf.DUMMYFUNCTION("""COMPUTED_VALUE"""),"Yes")</f>
        <v>Yes</v>
      </c>
      <c r="V2274" s="8" t="str">
        <f ca="1">IFERROR(__xludf.DUMMYFUNCTION("""COMPUTED_VALUE"""),"Dismissal")</f>
        <v>Dismissal</v>
      </c>
      <c r="W2274" s="11">
        <f ca="1">IFERROR(__xludf.DUMMYFUNCTION("""COMPUTED_VALUE"""),0.625)</f>
        <v>0.625</v>
      </c>
      <c r="X2274" s="8">
        <f ca="1">IFERROR(__xludf.DUMMYFUNCTION("""COMPUTED_VALUE"""),1)</f>
        <v>1</v>
      </c>
      <c r="Y2274" s="12" t="str">
        <f ca="1">IFERROR(__xludf.DUMMYFUNCTION("""COMPUTED_VALUE"""),"Showing off airsoft gun in parking lot, accidentally fired injuring 2 students")</f>
        <v>Showing off airsoft gun in parking lot, accidentally fired injuring 2 students</v>
      </c>
      <c r="Z2274" s="12" t="str">
        <f ca="1">IFERROR(__xludf.DUMMYFUNCTION("""COMPUTED_VALUE"""),"19YOM was showing off airsoft pistol to two students in the parking lot. Gun discharged causing minor injuries to both. 19YOM was charged with aggravated battery.")</f>
        <v>19YOM was showing off airsoft pistol to two students in the parking lot. Gun discharged causing minor injuries to both. 19YOM was charged with aggravated battery.</v>
      </c>
      <c r="AA2274" s="8" t="str">
        <f ca="1">IFERROR(__xludf.DUMMYFUNCTION("""COMPUTED_VALUE"""),"Accidental")</f>
        <v>Accidental</v>
      </c>
      <c r="AB2274" s="8"/>
      <c r="AC2274" s="8"/>
      <c r="AD2274" s="8" t="str">
        <f ca="1">IFERROR(__xludf.DUMMYFUNCTION("""COMPUTED_VALUE"""),"Random Shooting")</f>
        <v>Random Shooting</v>
      </c>
      <c r="AE2274" s="8" t="str">
        <f ca="1">IFERROR(__xludf.DUMMYFUNCTION("""COMPUTED_VALUE"""),"No")</f>
        <v>No</v>
      </c>
      <c r="AF2274" s="8"/>
      <c r="AG2274" s="8" t="str">
        <f ca="1">IFERROR(__xludf.DUMMYFUNCTION("""COMPUTED_VALUE"""),"No")</f>
        <v>No</v>
      </c>
      <c r="AH2274" s="8" t="str">
        <f ca="1">IFERROR(__xludf.DUMMYFUNCTION("""COMPUTED_VALUE"""),"No")</f>
        <v>No</v>
      </c>
      <c r="AI2274" s="8" t="str">
        <f ca="1">IFERROR(__xludf.DUMMYFUNCTION("""COMPUTED_VALUE"""),"No")</f>
        <v>No</v>
      </c>
      <c r="AJ2274" s="8" t="str">
        <f ca="1">IFERROR(__xludf.DUMMYFUNCTION("""COMPUTED_VALUE"""),"No")</f>
        <v>No</v>
      </c>
      <c r="AK2274" s="8" t="str">
        <f ca="1">IFERROR(__xludf.DUMMYFUNCTION("""COMPUTED_VALUE"""),"No")</f>
        <v>No</v>
      </c>
      <c r="AL2274" s="8" t="str">
        <f ca="1">IFERROR(__xludf.DUMMYFUNCTION("""COMPUTED_VALUE"""),"No")</f>
        <v>No</v>
      </c>
      <c r="AM2274" s="8"/>
      <c r="AN2274" s="8"/>
      <c r="AO2274" s="8" t="str">
        <f ca="1">IFERROR(__xludf.DUMMYFUNCTION("""COMPUTED_VALUE"""),"No")</f>
        <v>No</v>
      </c>
      <c r="AP2274" s="8"/>
      <c r="AQ2274" s="8" t="str">
        <f ca="1">IFERROR(__xludf.DUMMYFUNCTION("""COMPUTED_VALUE"""),"Unknown")</f>
        <v>Unknown</v>
      </c>
      <c r="AR2274" s="8" t="str">
        <f ca="1">IFERROR(__xludf.DUMMYFUNCTION("""COMPUTED_VALUE"""),"NA")</f>
        <v>NA</v>
      </c>
      <c r="AS2274" s="8">
        <f ca="1">IFERROR(__xludf.DUMMYFUNCTION("""COMPUTED_VALUE"""),1)</f>
        <v>1</v>
      </c>
      <c r="AT2274" s="8"/>
      <c r="AU2274" s="8">
        <f ca="1">IFERROR(__xludf.DUMMYFUNCTION("""COMPUTED_VALUE"""),42.241081)</f>
        <v>42.241081000000001</v>
      </c>
      <c r="AV2274" s="8">
        <f ca="1">IFERROR(__xludf.DUMMYFUNCTION("""COMPUTED_VALUE"""),-88.598871)</f>
        <v>-88.598871000000003</v>
      </c>
      <c r="AW2274" s="8"/>
      <c r="AX2274" s="8">
        <f ca="1">IFERROR(__xludf.DUMMYFUNCTION("""COMPUTED_VALUE"""),60152)</f>
        <v>60152</v>
      </c>
    </row>
    <row r="2275" spans="1:50" ht="75" x14ac:dyDescent="0.2">
      <c r="A2275" s="8" t="str">
        <f ca="1">IFERROR(__xludf.DUMMYFUNCTION("""COMPUTED_VALUE"""),"20050517PAHIL")</f>
        <v>20050517PAHIL</v>
      </c>
      <c r="B2275" s="8">
        <f ca="1">IFERROR(__xludf.DUMMYFUNCTION("""COMPUTED_VALUE"""),5)</f>
        <v>5</v>
      </c>
      <c r="C2275" s="8">
        <f ca="1">IFERROR(__xludf.DUMMYFUNCTION("""COMPUTED_VALUE"""),17)</f>
        <v>17</v>
      </c>
      <c r="D2275" s="8">
        <f ca="1">IFERROR(__xludf.DUMMYFUNCTION("""COMPUTED_VALUE"""),2005)</f>
        <v>2005</v>
      </c>
      <c r="E2275" s="9">
        <f ca="1">IFERROR(__xludf.DUMMYFUNCTION("""COMPUTED_VALUE"""),38489)</f>
        <v>38489</v>
      </c>
      <c r="F2275" s="8" t="str">
        <f ca="1">IFERROR(__xludf.DUMMYFUNCTION("""COMPUTED_VALUE"""),"Highland Elementary School")</f>
        <v>Highland Elementary School</v>
      </c>
      <c r="G2275" s="8">
        <f ca="1">IFERROR(__xludf.DUMMYFUNCTION("""COMPUTED_VALUE"""),1)</f>
        <v>1</v>
      </c>
      <c r="H2275" s="8">
        <f ca="1">IFERROR(__xludf.DUMMYFUNCTION("""COMPUTED_VALUE"""),0)</f>
        <v>0</v>
      </c>
      <c r="I2275" s="8">
        <f ca="1">IFERROR(__xludf.DUMMYFUNCTION("""COMPUTED_VALUE"""),1)</f>
        <v>1</v>
      </c>
      <c r="J2275" s="8">
        <f ca="1">IFERROR(__xludf.DUMMYFUNCTION("""COMPUTED_VALUE"""),1)</f>
        <v>1</v>
      </c>
      <c r="K2275" s="10" t="str">
        <f ca="1">IFERROR(__xludf.DUMMYFUNCTION("""COMPUTED_VALUE"""),"https://cumberlink.com/news/murder-suicide-shocks-school/article_f20ad9ba-ef8b-5fc1-bf1e-2507ab486715.html")</f>
        <v>https://cumberlink.com/news/murder-suicide-shocks-school/article_f20ad9ba-ef8b-5fc1-bf1e-2507ab486715.html</v>
      </c>
      <c r="L2275" s="8"/>
      <c r="M2275" s="8"/>
      <c r="N2275" s="8">
        <f ca="1">IFERROR(__xludf.DUMMYFUNCTION("""COMPUTED_VALUE"""),2)</f>
        <v>2</v>
      </c>
      <c r="O2275" s="8" t="str">
        <f ca="1">IFERROR(__xludf.DUMMYFUNCTION("""COMPUTED_VALUE"""),"Spring")</f>
        <v>Spring</v>
      </c>
      <c r="P2275" s="8" t="str">
        <f ca="1">IFERROR(__xludf.DUMMYFUNCTION("""COMPUTED_VALUE"""),"Lower Allen Township")</f>
        <v>Lower Allen Township</v>
      </c>
      <c r="Q2275" s="8" t="str">
        <f ca="1">IFERROR(__xludf.DUMMYFUNCTION("""COMPUTED_VALUE"""),"PA")</f>
        <v>PA</v>
      </c>
      <c r="R2275" s="8" t="str">
        <f ca="1">IFERROR(__xludf.DUMMYFUNCTION("""COMPUTED_VALUE"""),"Elementary")</f>
        <v>Elementary</v>
      </c>
      <c r="S2275" s="8" t="str">
        <f ca="1">IFERROR(__xludf.DUMMYFUNCTION("""COMPUTED_VALUE"""),"Parking Lot")</f>
        <v>Parking Lot</v>
      </c>
      <c r="T2275" s="8" t="str">
        <f ca="1">IFERROR(__xludf.DUMMYFUNCTION("""COMPUTED_VALUE"""),"Outside on School Property")</f>
        <v>Outside on School Property</v>
      </c>
      <c r="U2275" s="8" t="str">
        <f ca="1">IFERROR(__xludf.DUMMYFUNCTION("""COMPUTED_VALUE"""),"Yes")</f>
        <v>Yes</v>
      </c>
      <c r="V2275" s="8" t="str">
        <f ca="1">IFERROR(__xludf.DUMMYFUNCTION("""COMPUTED_VALUE"""),"Dismissal")</f>
        <v>Dismissal</v>
      </c>
      <c r="W2275" s="11">
        <f ca="1">IFERROR(__xludf.DUMMYFUNCTION("""COMPUTED_VALUE"""),0.625)</f>
        <v>0.625</v>
      </c>
      <c r="X2275" s="8">
        <f ca="1">IFERROR(__xludf.DUMMYFUNCTION("""COMPUTED_VALUE"""),1)</f>
        <v>1</v>
      </c>
      <c r="Y2275" s="12" t="str">
        <f ca="1">IFERROR(__xludf.DUMMYFUNCTION("""COMPUTED_VALUE"""),"Student's mother was killed by ex-boyfriend in the parking lot then commit suicide")</f>
        <v>Student's mother was killed by ex-boyfriend in the parking lot then commit suicide</v>
      </c>
      <c r="Z2275" s="12" t="str">
        <f ca="1">IFERROR(__xludf.DUMMYFUNCTION("""COMPUTED_VALUE"""),"While 32YOF (student's mother) was waiting to pick child up in the parking lot, she was shot and killed during a dispute with her ex-boyfriend (47YOM). He then commit suicide.")</f>
        <v>While 32YOF (student's mother) was waiting to pick child up in the parking lot, she was shot and killed during a dispute with her ex-boyfriend (47YOM). He then commit suicide.</v>
      </c>
      <c r="AA2275" s="8" t="str">
        <f ca="1">IFERROR(__xludf.DUMMYFUNCTION("""COMPUTED_VALUE"""),"Murder/Suicide")</f>
        <v>Murder/Suicide</v>
      </c>
      <c r="AB2275" s="8"/>
      <c r="AC2275" s="8"/>
      <c r="AD2275" s="8" t="str">
        <f ca="1">IFERROR(__xludf.DUMMYFUNCTION("""COMPUTED_VALUE"""),"Victims Targeted")</f>
        <v>Victims Targeted</v>
      </c>
      <c r="AE2275" s="8" t="str">
        <f ca="1">IFERROR(__xludf.DUMMYFUNCTION("""COMPUTED_VALUE"""),"No")</f>
        <v>No</v>
      </c>
      <c r="AF2275" s="8"/>
      <c r="AG2275" s="8" t="str">
        <f ca="1">IFERROR(__xludf.DUMMYFUNCTION("""COMPUTED_VALUE"""),"No")</f>
        <v>No</v>
      </c>
      <c r="AH2275" s="8" t="str">
        <f ca="1">IFERROR(__xludf.DUMMYFUNCTION("""COMPUTED_VALUE"""),"No")</f>
        <v>No</v>
      </c>
      <c r="AI2275" s="8" t="str">
        <f ca="1">IFERROR(__xludf.DUMMYFUNCTION("""COMPUTED_VALUE"""),"No")</f>
        <v>No</v>
      </c>
      <c r="AJ2275" s="8" t="str">
        <f ca="1">IFERROR(__xludf.DUMMYFUNCTION("""COMPUTED_VALUE"""),"No")</f>
        <v>No</v>
      </c>
      <c r="AK2275" s="8" t="str">
        <f ca="1">IFERROR(__xludf.DUMMYFUNCTION("""COMPUTED_VALUE"""),"Yes")</f>
        <v>Yes</v>
      </c>
      <c r="AL2275" s="8" t="str">
        <f ca="1">IFERROR(__xludf.DUMMYFUNCTION("""COMPUTED_VALUE"""),"No")</f>
        <v>No</v>
      </c>
      <c r="AM2275" s="8"/>
      <c r="AN2275" s="8"/>
      <c r="AO2275" s="8" t="str">
        <f ca="1">IFERROR(__xludf.DUMMYFUNCTION("""COMPUTED_VALUE"""),"No")</f>
        <v>No</v>
      </c>
      <c r="AP2275" s="8" t="str">
        <f ca="1">IFERROR(__xludf.DUMMYFUNCTION("""COMPUTED_VALUE"""),"No")</f>
        <v>No</v>
      </c>
      <c r="AQ2275" s="8" t="str">
        <f ca="1">IFERROR(__xludf.DUMMYFUNCTION("""COMPUTED_VALUE"""),"Unknown")</f>
        <v>Unknown</v>
      </c>
      <c r="AR2275" s="8" t="str">
        <f ca="1">IFERROR(__xludf.DUMMYFUNCTION("""COMPUTED_VALUE"""),"NA")</f>
        <v>NA</v>
      </c>
      <c r="AS2275" s="8" t="str">
        <f ca="1">IFERROR(__xludf.DUMMYFUNCTION("""COMPUTED_VALUE"""),"&lt;10")</f>
        <v>&lt;10</v>
      </c>
      <c r="AT2275" s="8"/>
      <c r="AU2275" s="8">
        <f ca="1">IFERROR(__xludf.DUMMYFUNCTION("""COMPUTED_VALUE"""),40.229734)</f>
        <v>40.229734000000001</v>
      </c>
      <c r="AV2275" s="8">
        <f ca="1">IFERROR(__xludf.DUMMYFUNCTION("""COMPUTED_VALUE"""),-76.898456)</f>
        <v>-76.898455999999996</v>
      </c>
      <c r="AW2275" s="8"/>
      <c r="AX2275" s="8">
        <f ca="1">IFERROR(__xludf.DUMMYFUNCTION("""COMPUTED_VALUE"""),17011)</f>
        <v>17011</v>
      </c>
    </row>
    <row r="2276" spans="1:50" ht="75" x14ac:dyDescent="0.2">
      <c r="A2276" s="8" t="str">
        <f ca="1">IFERROR(__xludf.DUMMYFUNCTION("""COMPUTED_VALUE"""),"20050514TXBER")</f>
        <v>20050514TXBER</v>
      </c>
      <c r="B2276" s="8">
        <f ca="1">IFERROR(__xludf.DUMMYFUNCTION("""COMPUTED_VALUE"""),5)</f>
        <v>5</v>
      </c>
      <c r="C2276" s="8">
        <f ca="1">IFERROR(__xludf.DUMMYFUNCTION("""COMPUTED_VALUE"""),14)</f>
        <v>14</v>
      </c>
      <c r="D2276" s="8">
        <f ca="1">IFERROR(__xludf.DUMMYFUNCTION("""COMPUTED_VALUE"""),2005)</f>
        <v>2005</v>
      </c>
      <c r="E2276" s="9">
        <f ca="1">IFERROR(__xludf.DUMMYFUNCTION("""COMPUTED_VALUE"""),38486)</f>
        <v>38486</v>
      </c>
      <c r="F2276" s="8" t="str">
        <f ca="1">IFERROR(__xludf.DUMMYFUNCTION("""COMPUTED_VALUE"""),"Berkner High School")</f>
        <v>Berkner High School</v>
      </c>
      <c r="G2276" s="8">
        <f ca="1">IFERROR(__xludf.DUMMYFUNCTION("""COMPUTED_VALUE"""),0)</f>
        <v>0</v>
      </c>
      <c r="H2276" s="8">
        <f ca="1">IFERROR(__xludf.DUMMYFUNCTION("""COMPUTED_VALUE"""),1)</f>
        <v>1</v>
      </c>
      <c r="I2276" s="8">
        <f ca="1">IFERROR(__xludf.DUMMYFUNCTION("""COMPUTED_VALUE"""),1)</f>
        <v>1</v>
      </c>
      <c r="J2276" s="8">
        <f ca="1">IFERROR(__xludf.DUMMYFUNCTION("""COMPUTED_VALUE"""),0)</f>
        <v>0</v>
      </c>
      <c r="K2276" s="10" t="str">
        <f ca="1">IFERROR(__xludf.DUMMYFUNCTION("""COMPUTED_VALUE"""),"http://www.freerepublic.com/focus/news/1404328/posts")</f>
        <v>http://www.freerepublic.com/focus/news/1404328/posts</v>
      </c>
      <c r="L2276" s="8"/>
      <c r="M2276" s="8"/>
      <c r="N2276" s="8">
        <f ca="1">IFERROR(__xludf.DUMMYFUNCTION("""COMPUTED_VALUE"""),2)</f>
        <v>2</v>
      </c>
      <c r="O2276" s="8" t="str">
        <f ca="1">IFERROR(__xludf.DUMMYFUNCTION("""COMPUTED_VALUE"""),"Spring")</f>
        <v>Spring</v>
      </c>
      <c r="P2276" s="8" t="str">
        <f ca="1">IFERROR(__xludf.DUMMYFUNCTION("""COMPUTED_VALUE"""),"Richardson")</f>
        <v>Richardson</v>
      </c>
      <c r="Q2276" s="8" t="str">
        <f ca="1">IFERROR(__xludf.DUMMYFUNCTION("""COMPUTED_VALUE"""),"TX")</f>
        <v>TX</v>
      </c>
      <c r="R2276" s="8" t="str">
        <f ca="1">IFERROR(__xludf.DUMMYFUNCTION("""COMPUTED_VALUE"""),"High")</f>
        <v>High</v>
      </c>
      <c r="S2276" s="8" t="str">
        <f ca="1">IFERROR(__xludf.DUMMYFUNCTION("""COMPUTED_VALUE"""),"Parking Lot")</f>
        <v>Parking Lot</v>
      </c>
      <c r="T2276" s="8" t="str">
        <f ca="1">IFERROR(__xludf.DUMMYFUNCTION("""COMPUTED_VALUE"""),"Outside on School Property")</f>
        <v>Outside on School Property</v>
      </c>
      <c r="U2276" s="8" t="str">
        <f ca="1">IFERROR(__xludf.DUMMYFUNCTION("""COMPUTED_VALUE"""),"No")</f>
        <v>No</v>
      </c>
      <c r="V2276" s="8" t="str">
        <f ca="1">IFERROR(__xludf.DUMMYFUNCTION("""COMPUTED_VALUE"""),"Not a School Day")</f>
        <v>Not a School Day</v>
      </c>
      <c r="W2276" s="11">
        <f ca="1">IFERROR(__xludf.DUMMYFUNCTION("""COMPUTED_VALUE"""),0.8125)</f>
        <v>0.8125</v>
      </c>
      <c r="X2276" s="8">
        <f ca="1">IFERROR(__xludf.DUMMYFUNCTION("""COMPUTED_VALUE"""),1)</f>
        <v>1</v>
      </c>
      <c r="Y2276" s="12" t="str">
        <f ca="1">IFERROR(__xludf.DUMMYFUNCTION("""COMPUTED_VALUE"""),"Fight in high school parking lot following earlier fight broken up by police, shots fired")</f>
        <v>Fight in high school parking lot following earlier fight broken up by police, shots fired</v>
      </c>
      <c r="Z2276" s="12" t="str">
        <f ca="1">IFERROR(__xludf.DUMMYFUNCTION("""COMPUTED_VALUE"""),"Fight between two groups of students from different high schools at a skatepark. Police were called and broke it up. Both groups of students met later at the high school parking lot. Shots were fired injuring a 18YOM. 17YOM was later arrested.")</f>
        <v>Fight between two groups of students from different high schools at a skatepark. Police were called and broke it up. Both groups of students met later at the high school parking lot. Shots were fired injuring a 18YOM. 17YOM was later arrested.</v>
      </c>
      <c r="AA2276" s="8" t="str">
        <f ca="1">IFERROR(__xludf.DUMMYFUNCTION("""COMPUTED_VALUE"""),"Escalation of Dispute")</f>
        <v>Escalation of Dispute</v>
      </c>
      <c r="AB2276" s="8"/>
      <c r="AC2276" s="8"/>
      <c r="AD2276" s="8" t="str">
        <f ca="1">IFERROR(__xludf.DUMMYFUNCTION("""COMPUTED_VALUE"""),"Victims Targeted")</f>
        <v>Victims Targeted</v>
      </c>
      <c r="AE2276" s="8" t="str">
        <f ca="1">IFERROR(__xludf.DUMMYFUNCTION("""COMPUTED_VALUE"""),"Yes")</f>
        <v>Yes</v>
      </c>
      <c r="AF2276" s="8" t="str">
        <f ca="1">IFERROR(__xludf.DUMMYFUNCTION("""COMPUTED_VALUE"""),"Group of students fighting")</f>
        <v>Group of students fighting</v>
      </c>
      <c r="AG2276" s="8" t="str">
        <f ca="1">IFERROR(__xludf.DUMMYFUNCTION("""COMPUTED_VALUE"""),"No")</f>
        <v>No</v>
      </c>
      <c r="AH2276" s="8" t="str">
        <f ca="1">IFERROR(__xludf.DUMMYFUNCTION("""COMPUTED_VALUE"""),"No")</f>
        <v>No</v>
      </c>
      <c r="AI2276" s="8" t="str">
        <f ca="1">IFERROR(__xludf.DUMMYFUNCTION("""COMPUTED_VALUE"""),"No")</f>
        <v>No</v>
      </c>
      <c r="AJ2276" s="8" t="str">
        <f ca="1">IFERROR(__xludf.DUMMYFUNCTION("""COMPUTED_VALUE"""),"No")</f>
        <v>No</v>
      </c>
      <c r="AK2276" s="8" t="str">
        <f ca="1">IFERROR(__xludf.DUMMYFUNCTION("""COMPUTED_VALUE"""),"No")</f>
        <v>No</v>
      </c>
      <c r="AL2276" s="8" t="str">
        <f ca="1">IFERROR(__xludf.DUMMYFUNCTION("""COMPUTED_VALUE"""),"No")</f>
        <v>No</v>
      </c>
      <c r="AM2276" s="8"/>
      <c r="AN2276" s="8"/>
      <c r="AO2276" s="8" t="str">
        <f ca="1">IFERROR(__xludf.DUMMYFUNCTION("""COMPUTED_VALUE"""),"No")</f>
        <v>No</v>
      </c>
      <c r="AP2276" s="8"/>
      <c r="AQ2276" s="8" t="str">
        <f ca="1">IFERROR(__xludf.DUMMYFUNCTION("""COMPUTED_VALUE"""),"Unknown")</f>
        <v>Unknown</v>
      </c>
      <c r="AR2276" s="8" t="str">
        <f ca="1">IFERROR(__xludf.DUMMYFUNCTION("""COMPUTED_VALUE"""),"NA")</f>
        <v>NA</v>
      </c>
      <c r="AS2276" s="8"/>
      <c r="AT2276" s="8"/>
      <c r="AU2276" s="8">
        <f ca="1">IFERROR(__xludf.DUMMYFUNCTION("""COMPUTED_VALUE"""),32.936267)</f>
        <v>32.936267000000001</v>
      </c>
      <c r="AV2276" s="8">
        <f ca="1">IFERROR(__xludf.DUMMYFUNCTION("""COMPUTED_VALUE"""),-96.693411)</f>
        <v>-96.693410999999998</v>
      </c>
      <c r="AW2276" s="8"/>
      <c r="AX2276" s="8">
        <f ca="1">IFERROR(__xludf.DUMMYFUNCTION("""COMPUTED_VALUE"""),75081)</f>
        <v>75081</v>
      </c>
    </row>
    <row r="2277" spans="1:50" ht="60" x14ac:dyDescent="0.2">
      <c r="A2277" s="8" t="str">
        <f ca="1">IFERROR(__xludf.DUMMYFUNCTION("""COMPUTED_VALUE"""),"20050429OHDAC")</f>
        <v>20050429OHDAC</v>
      </c>
      <c r="B2277" s="8">
        <f ca="1">IFERROR(__xludf.DUMMYFUNCTION("""COMPUTED_VALUE"""),4)</f>
        <v>4</v>
      </c>
      <c r="C2277" s="8">
        <f ca="1">IFERROR(__xludf.DUMMYFUNCTION("""COMPUTED_VALUE"""),29)</f>
        <v>29</v>
      </c>
      <c r="D2277" s="8">
        <f ca="1">IFERROR(__xludf.DUMMYFUNCTION("""COMPUTED_VALUE"""),2005)</f>
        <v>2005</v>
      </c>
      <c r="E2277" s="9">
        <f ca="1">IFERROR(__xludf.DUMMYFUNCTION("""COMPUTED_VALUE"""),38471)</f>
        <v>38471</v>
      </c>
      <c r="F2277" s="8" t="str">
        <f ca="1">IFERROR(__xludf.DUMMYFUNCTION("""COMPUTED_VALUE"""),"Daniel E. Morgan Elementary School")</f>
        <v>Daniel E. Morgan Elementary School</v>
      </c>
      <c r="G2277" s="8">
        <f ca="1">IFERROR(__xludf.DUMMYFUNCTION("""COMPUTED_VALUE"""),0)</f>
        <v>0</v>
      </c>
      <c r="H2277" s="8">
        <f ca="1">IFERROR(__xludf.DUMMYFUNCTION("""COMPUTED_VALUE"""),1)</f>
        <v>1</v>
      </c>
      <c r="I2277" s="8">
        <f ca="1">IFERROR(__xludf.DUMMYFUNCTION("""COMPUTED_VALUE"""),1)</f>
        <v>1</v>
      </c>
      <c r="J2277" s="8">
        <f ca="1">IFERROR(__xludf.DUMMYFUNCTION("""COMPUTED_VALUE"""),0)</f>
        <v>0</v>
      </c>
      <c r="K2277" s="10" t="str">
        <f ca="1">IFERROR(__xludf.DUMMYFUNCTION("""COMPUTED_VALUE"""),"https://www.columbine-angels.com/School_Violence_2004-2005.htm")</f>
        <v>https://www.columbine-angels.com/School_Violence_2004-2005.htm</v>
      </c>
      <c r="L2277" s="8"/>
      <c r="M2277" s="8"/>
      <c r="N2277" s="8">
        <f ca="1">IFERROR(__xludf.DUMMYFUNCTION("""COMPUTED_VALUE"""),1)</f>
        <v>1</v>
      </c>
      <c r="O2277" s="8" t="str">
        <f ca="1">IFERROR(__xludf.DUMMYFUNCTION("""COMPUTED_VALUE"""),"Spring")</f>
        <v>Spring</v>
      </c>
      <c r="P2277" s="8" t="str">
        <f ca="1">IFERROR(__xludf.DUMMYFUNCTION("""COMPUTED_VALUE"""),"Cleveland")</f>
        <v>Cleveland</v>
      </c>
      <c r="Q2277" s="8" t="str">
        <f ca="1">IFERROR(__xludf.DUMMYFUNCTION("""COMPUTED_VALUE"""),"OH")</f>
        <v>OH</v>
      </c>
      <c r="R2277" s="8" t="str">
        <f ca="1">IFERROR(__xludf.DUMMYFUNCTION("""COMPUTED_VALUE"""),"High")</f>
        <v>High</v>
      </c>
      <c r="S2277" s="8" t="str">
        <f ca="1">IFERROR(__xludf.DUMMYFUNCTION("""COMPUTED_VALUE"""),"Office")</f>
        <v>Office</v>
      </c>
      <c r="T2277" s="8" t="str">
        <f ca="1">IFERROR(__xludf.DUMMYFUNCTION("""COMPUTED_VALUE"""),"Inside School Building")</f>
        <v>Inside School Building</v>
      </c>
      <c r="U2277" s="8"/>
      <c r="V2277" s="8"/>
      <c r="W2277" s="8"/>
      <c r="X2277" s="8">
        <f ca="1">IFERROR(__xludf.DUMMYFUNCTION("""COMPUTED_VALUE"""),1)</f>
        <v>1</v>
      </c>
      <c r="Y2277" s="12" t="str">
        <f ca="1">IFERROR(__xludf.DUMMYFUNCTION("""COMPUTED_VALUE"""),"Shot fired at window of the school office")</f>
        <v>Shot fired at window of the school office</v>
      </c>
      <c r="Z2277" s="12" t="str">
        <f ca="1">IFERROR(__xludf.DUMMYFUNCTION("""COMPUTED_VALUE"""),"17 year-old male shooter fired a shot at a school window and that struck the secretary.  She was taken to the hospital for treatment.  Police were able to recover a shell casing and later arrested the shooter.")</f>
        <v>17 year-old male shooter fired a shot at a school window and that struck the secretary.  She was taken to the hospital for treatment.  Police were able to recover a shell casing and later arrested the shooter.</v>
      </c>
      <c r="AA2277" s="8" t="str">
        <f ca="1">IFERROR(__xludf.DUMMYFUNCTION("""COMPUTED_VALUE"""),"Intentional Property Damage")</f>
        <v>Intentional Property Damage</v>
      </c>
      <c r="AB2277" s="8"/>
      <c r="AC2277" s="8"/>
      <c r="AD2277" s="8"/>
      <c r="AE2277" s="8" t="str">
        <f ca="1">IFERROR(__xludf.DUMMYFUNCTION("""COMPUTED_VALUE"""),"No")</f>
        <v>No</v>
      </c>
      <c r="AF2277" s="8"/>
      <c r="AG2277" s="8" t="str">
        <f ca="1">IFERROR(__xludf.DUMMYFUNCTION("""COMPUTED_VALUE"""),"No")</f>
        <v>No</v>
      </c>
      <c r="AH2277" s="8" t="str">
        <f ca="1">IFERROR(__xludf.DUMMYFUNCTION("""COMPUTED_VALUE"""),"No")</f>
        <v>No</v>
      </c>
      <c r="AI2277" s="8" t="str">
        <f ca="1">IFERROR(__xludf.DUMMYFUNCTION("""COMPUTED_VALUE"""),"No")</f>
        <v>No</v>
      </c>
      <c r="AJ2277" s="8" t="str">
        <f ca="1">IFERROR(__xludf.DUMMYFUNCTION("""COMPUTED_VALUE"""),"No")</f>
        <v>No</v>
      </c>
      <c r="AK2277" s="8" t="str">
        <f ca="1">IFERROR(__xludf.DUMMYFUNCTION("""COMPUTED_VALUE"""),"No")</f>
        <v>No</v>
      </c>
      <c r="AL2277" s="8" t="str">
        <f ca="1">IFERROR(__xludf.DUMMYFUNCTION("""COMPUTED_VALUE"""),"No")</f>
        <v>No</v>
      </c>
      <c r="AM2277" s="8"/>
      <c r="AN2277" s="8"/>
      <c r="AO2277" s="8" t="str">
        <f ca="1">IFERROR(__xludf.DUMMYFUNCTION("""COMPUTED_VALUE"""),"No")</f>
        <v>No</v>
      </c>
      <c r="AP2277" s="8"/>
      <c r="AQ2277" s="8" t="str">
        <f ca="1">IFERROR(__xludf.DUMMYFUNCTION("""COMPUTED_VALUE"""),"Unknown")</f>
        <v>Unknown</v>
      </c>
      <c r="AR2277" s="8" t="str">
        <f ca="1">IFERROR(__xludf.DUMMYFUNCTION("""COMPUTED_VALUE"""),"NA")</f>
        <v>NA</v>
      </c>
      <c r="AS2277" s="8" t="str">
        <f ca="1">IFERROR(__xludf.DUMMYFUNCTION("""COMPUTED_VALUE"""),"&lt;5")</f>
        <v>&lt;5</v>
      </c>
      <c r="AT2277" s="8"/>
      <c r="AU2277" s="8">
        <f ca="1">IFERROR(__xludf.DUMMYFUNCTION("""COMPUTED_VALUE"""),41.516884)</f>
        <v>41.516883999999997</v>
      </c>
      <c r="AV2277" s="8">
        <f ca="1">IFERROR(__xludf.DUMMYFUNCTION("""COMPUTED_VALUE"""),-81.625168)</f>
        <v>-81.625168000000002</v>
      </c>
      <c r="AW2277" s="8"/>
      <c r="AX2277" s="8">
        <f ca="1">IFERROR(__xludf.DUMMYFUNCTION("""COMPUTED_VALUE"""),44106)</f>
        <v>44106</v>
      </c>
    </row>
    <row r="2278" spans="1:50" ht="75" x14ac:dyDescent="0.2">
      <c r="A2278" s="8" t="str">
        <f ca="1">IFERROR(__xludf.DUMMYFUNCTION("""COMPUTED_VALUE"""),"20050427LALER")</f>
        <v>20050427LALER</v>
      </c>
      <c r="B2278" s="8">
        <f ca="1">IFERROR(__xludf.DUMMYFUNCTION("""COMPUTED_VALUE"""),4)</f>
        <v>4</v>
      </c>
      <c r="C2278" s="8">
        <f ca="1">IFERROR(__xludf.DUMMYFUNCTION("""COMPUTED_VALUE"""),27)</f>
        <v>27</v>
      </c>
      <c r="D2278" s="8">
        <f ca="1">IFERROR(__xludf.DUMMYFUNCTION("""COMPUTED_VALUE"""),2005)</f>
        <v>2005</v>
      </c>
      <c r="E2278" s="9">
        <f ca="1">IFERROR(__xludf.DUMMYFUNCTION("""COMPUTED_VALUE"""),38469)</f>
        <v>38469</v>
      </c>
      <c r="F2278" s="8" t="str">
        <f ca="1">IFERROR(__xludf.DUMMYFUNCTION("""COMPUTED_VALUE"""),"Leon Godchaux Junior High School")</f>
        <v>Leon Godchaux Junior High School</v>
      </c>
      <c r="G2278" s="8">
        <f ca="1">IFERROR(__xludf.DUMMYFUNCTION("""COMPUTED_VALUE"""),0)</f>
        <v>0</v>
      </c>
      <c r="H2278" s="8">
        <f ca="1">IFERROR(__xludf.DUMMYFUNCTION("""COMPUTED_VALUE"""),0)</f>
        <v>0</v>
      </c>
      <c r="I2278" s="8">
        <f ca="1">IFERROR(__xludf.DUMMYFUNCTION("""COMPUTED_VALUE"""),0)</f>
        <v>0</v>
      </c>
      <c r="J2278" s="8">
        <f ca="1">IFERROR(__xludf.DUMMYFUNCTION("""COMPUTED_VALUE"""),0)</f>
        <v>0</v>
      </c>
      <c r="K2278" s="10" t="str">
        <f ca="1">IFERROR(__xludf.DUMMYFUNCTION("""COMPUTED_VALUE"""),"https://www.lobservateur.com/2005/05/02/godchaux-student-fires-handgun-in-class/")</f>
        <v>https://www.lobservateur.com/2005/05/02/godchaux-student-fires-handgun-in-class/</v>
      </c>
      <c r="L2278" s="8"/>
      <c r="M2278" s="8"/>
      <c r="N2278" s="8">
        <f ca="1">IFERROR(__xludf.DUMMYFUNCTION("""COMPUTED_VALUE"""),2)</f>
        <v>2</v>
      </c>
      <c r="O2278" s="8" t="str">
        <f ca="1">IFERROR(__xludf.DUMMYFUNCTION("""COMPUTED_VALUE"""),"Spring")</f>
        <v>Spring</v>
      </c>
      <c r="P2278" s="8" t="str">
        <f ca="1">IFERROR(__xludf.DUMMYFUNCTION("""COMPUTED_VALUE"""),"Reserve")</f>
        <v>Reserve</v>
      </c>
      <c r="Q2278" s="8" t="str">
        <f ca="1">IFERROR(__xludf.DUMMYFUNCTION("""COMPUTED_VALUE"""),"LA")</f>
        <v>LA</v>
      </c>
      <c r="R2278" s="8" t="str">
        <f ca="1">IFERROR(__xludf.DUMMYFUNCTION("""COMPUTED_VALUE"""),"High")</f>
        <v>High</v>
      </c>
      <c r="S2278" s="8" t="str">
        <f ca="1">IFERROR(__xludf.DUMMYFUNCTION("""COMPUTED_VALUE"""),"Classroom")</f>
        <v>Classroom</v>
      </c>
      <c r="T2278" s="8" t="str">
        <f ca="1">IFERROR(__xludf.DUMMYFUNCTION("""COMPUTED_VALUE"""),"Inside School Building")</f>
        <v>Inside School Building</v>
      </c>
      <c r="U2278" s="8" t="str">
        <f ca="1">IFERROR(__xludf.DUMMYFUNCTION("""COMPUTED_VALUE"""),"Yes")</f>
        <v>Yes</v>
      </c>
      <c r="V2278" s="8" t="str">
        <f ca="1">IFERROR(__xludf.DUMMYFUNCTION("""COMPUTED_VALUE"""),"Morning Classes")</f>
        <v>Morning Classes</v>
      </c>
      <c r="W2278" s="11">
        <f ca="1">IFERROR(__xludf.DUMMYFUNCTION("""COMPUTED_VALUE"""),0.416666666666666)</f>
        <v>0.41666666666666602</v>
      </c>
      <c r="X2278" s="8">
        <f ca="1">IFERROR(__xludf.DUMMYFUNCTION("""COMPUTED_VALUE"""),1)</f>
        <v>1</v>
      </c>
      <c r="Y2278" s="12" t="str">
        <f ca="1">IFERROR(__xludf.DUMMYFUNCTION("""COMPUTED_VALUE"""),"Student fired gun in pocket, students in the class fled the scene, threw gun in sewer drain")</f>
        <v>Student fired gun in pocket, students in the class fled the scene, threw gun in sewer drain</v>
      </c>
      <c r="Z2278" s="12" t="str">
        <f ca="1">IFERROR(__xludf.DUMMYFUNCTION("""COMPUTED_VALUE"""),"15YOM was playing with gun in pocket when it fired in classroom. Students fled the area. No injured. Student threw gun in sewer drain but it was found by school officials.")</f>
        <v>15YOM was playing with gun in pocket when it fired in classroom. Students fled the area. No injured. Student threw gun in sewer drain but it was found by school officials.</v>
      </c>
      <c r="AA2278" s="8" t="str">
        <f ca="1">IFERROR(__xludf.DUMMYFUNCTION("""COMPUTED_VALUE"""),"Accidental")</f>
        <v>Accidental</v>
      </c>
      <c r="AB2278" s="8"/>
      <c r="AC2278" s="8"/>
      <c r="AD2278" s="8" t="str">
        <f ca="1">IFERROR(__xludf.DUMMYFUNCTION("""COMPUTED_VALUE"""),"Neither")</f>
        <v>Neither</v>
      </c>
      <c r="AE2278" s="8" t="str">
        <f ca="1">IFERROR(__xludf.DUMMYFUNCTION("""COMPUTED_VALUE"""),"Yes")</f>
        <v>Yes</v>
      </c>
      <c r="AF2278" s="8" t="str">
        <f ca="1">IFERROR(__xludf.DUMMYFUNCTION("""COMPUTED_VALUE"""),"14 year old gave him the gun")</f>
        <v>14 year old gave him the gun</v>
      </c>
      <c r="AG2278" s="8" t="str">
        <f ca="1">IFERROR(__xludf.DUMMYFUNCTION("""COMPUTED_VALUE"""),"No")</f>
        <v>No</v>
      </c>
      <c r="AH2278" s="8" t="str">
        <f ca="1">IFERROR(__xludf.DUMMYFUNCTION("""COMPUTED_VALUE"""),"No")</f>
        <v>No</v>
      </c>
      <c r="AI2278" s="8" t="str">
        <f ca="1">IFERROR(__xludf.DUMMYFUNCTION("""COMPUTED_VALUE"""),"No")</f>
        <v>No</v>
      </c>
      <c r="AJ2278" s="8" t="str">
        <f ca="1">IFERROR(__xludf.DUMMYFUNCTION("""COMPUTED_VALUE"""),"No")</f>
        <v>No</v>
      </c>
      <c r="AK2278" s="8" t="str">
        <f ca="1">IFERROR(__xludf.DUMMYFUNCTION("""COMPUTED_VALUE"""),"No")</f>
        <v>No</v>
      </c>
      <c r="AL2278" s="8" t="str">
        <f ca="1">IFERROR(__xludf.DUMMYFUNCTION("""COMPUTED_VALUE"""),"No")</f>
        <v>No</v>
      </c>
      <c r="AM2278" s="8"/>
      <c r="AN2278" s="8"/>
      <c r="AO2278" s="8" t="str">
        <f ca="1">IFERROR(__xludf.DUMMYFUNCTION("""COMPUTED_VALUE"""),"No")</f>
        <v>No</v>
      </c>
      <c r="AP2278" s="8"/>
      <c r="AQ2278" s="8" t="str">
        <f ca="1">IFERROR(__xludf.DUMMYFUNCTION("""COMPUTED_VALUE"""),"Unknown")</f>
        <v>Unknown</v>
      </c>
      <c r="AR2278" s="8" t="str">
        <f ca="1">IFERROR(__xludf.DUMMYFUNCTION("""COMPUTED_VALUE"""),"NA")</f>
        <v>NA</v>
      </c>
      <c r="AS2278" s="8">
        <f ca="1">IFERROR(__xludf.DUMMYFUNCTION("""COMPUTED_VALUE"""),1)</f>
        <v>1</v>
      </c>
      <c r="AT2278" s="8"/>
      <c r="AU2278" s="8">
        <f ca="1">IFERROR(__xludf.DUMMYFUNCTION("""COMPUTED_VALUE"""),30.05748)</f>
        <v>30.057480000000002</v>
      </c>
      <c r="AV2278" s="8">
        <f ca="1">IFERROR(__xludf.DUMMYFUNCTION("""COMPUTED_VALUE"""),-90.573178)</f>
        <v>-90.573177999999999</v>
      </c>
      <c r="AW2278" s="8"/>
      <c r="AX2278" s="8">
        <f ca="1">IFERROR(__xludf.DUMMYFUNCTION("""COMPUTED_VALUE"""),70084)</f>
        <v>70084</v>
      </c>
    </row>
    <row r="2279" spans="1:50" ht="45" x14ac:dyDescent="0.2">
      <c r="A2279" s="8" t="str">
        <f ca="1">IFERROR(__xludf.DUMMYFUNCTION("""COMPUTED_VALUE"""),"20050407TXCAC")</f>
        <v>20050407TXCAC</v>
      </c>
      <c r="B2279" s="8">
        <f ca="1">IFERROR(__xludf.DUMMYFUNCTION("""COMPUTED_VALUE"""),4)</f>
        <v>4</v>
      </c>
      <c r="C2279" s="8">
        <f ca="1">IFERROR(__xludf.DUMMYFUNCTION("""COMPUTED_VALUE"""),7)</f>
        <v>7</v>
      </c>
      <c r="D2279" s="8">
        <f ca="1">IFERROR(__xludf.DUMMYFUNCTION("""COMPUTED_VALUE"""),2005)</f>
        <v>2005</v>
      </c>
      <c r="E2279" s="9">
        <f ca="1">IFERROR(__xludf.DUMMYFUNCTION("""COMPUTED_VALUE"""),38449)</f>
        <v>38449</v>
      </c>
      <c r="F2279" s="8" t="str">
        <f ca="1">IFERROR(__xludf.DUMMYFUNCTION("""COMPUTED_VALUE"""),"Canton High School")</f>
        <v>Canton High School</v>
      </c>
      <c r="G2279" s="8">
        <f ca="1">IFERROR(__xludf.DUMMYFUNCTION("""COMPUTED_VALUE"""),0)</f>
        <v>0</v>
      </c>
      <c r="H2279" s="8">
        <f ca="1">IFERROR(__xludf.DUMMYFUNCTION("""COMPUTED_VALUE"""),1)</f>
        <v>1</v>
      </c>
      <c r="I2279" s="8">
        <f ca="1">IFERROR(__xludf.DUMMYFUNCTION("""COMPUTED_VALUE"""),1)</f>
        <v>1</v>
      </c>
      <c r="J2279" s="8">
        <f ca="1">IFERROR(__xludf.DUMMYFUNCTION("""COMPUTED_VALUE"""),0)</f>
        <v>0</v>
      </c>
      <c r="K2279" s="10" t="str">
        <f ca="1">IFERROR(__xludf.DUMMYFUNCTION("""COMPUTED_VALUE"""),"http://www.nbcnews.com/id/7420306/ns/us_news-crime_and_courts/t/wounded-coach-upset-some-players-parents/#.W2cyndJKiUk")</f>
        <v>http://www.nbcnews.com/id/7420306/ns/us_news-crime_and_courts/t/wounded-coach-upset-some-players-parents/#.W2cyndJKiUk</v>
      </c>
      <c r="L2279" s="8"/>
      <c r="M2279" s="8"/>
      <c r="N2279" s="8">
        <f ca="1">IFERROR(__xludf.DUMMYFUNCTION("""COMPUTED_VALUE"""),2)</f>
        <v>2</v>
      </c>
      <c r="O2279" s="8" t="str">
        <f ca="1">IFERROR(__xludf.DUMMYFUNCTION("""COMPUTED_VALUE"""),"Spring")</f>
        <v>Spring</v>
      </c>
      <c r="P2279" s="8" t="str">
        <f ca="1">IFERROR(__xludf.DUMMYFUNCTION("""COMPUTED_VALUE"""),"Canton")</f>
        <v>Canton</v>
      </c>
      <c r="Q2279" s="8" t="str">
        <f ca="1">IFERROR(__xludf.DUMMYFUNCTION("""COMPUTED_VALUE"""),"TX")</f>
        <v>TX</v>
      </c>
      <c r="R2279" s="8" t="str">
        <f ca="1">IFERROR(__xludf.DUMMYFUNCTION("""COMPUTED_VALUE"""),"High")</f>
        <v>High</v>
      </c>
      <c r="S2279" s="8" t="str">
        <f ca="1">IFERROR(__xludf.DUMMYFUNCTION("""COMPUTED_VALUE"""),"Office")</f>
        <v>Office</v>
      </c>
      <c r="T2279" s="8" t="str">
        <f ca="1">IFERROR(__xludf.DUMMYFUNCTION("""COMPUTED_VALUE"""),"Inside School Building")</f>
        <v>Inside School Building</v>
      </c>
      <c r="U2279" s="8" t="str">
        <f ca="1">IFERROR(__xludf.DUMMYFUNCTION("""COMPUTED_VALUE"""),"Yes")</f>
        <v>Yes</v>
      </c>
      <c r="V2279" s="8" t="str">
        <f ca="1">IFERROR(__xludf.DUMMYFUNCTION("""COMPUTED_VALUE"""),"Morning Classes")</f>
        <v>Morning Classes</v>
      </c>
      <c r="W2279" s="11">
        <f ca="1">IFERROR(__xludf.DUMMYFUNCTION("""COMPUTED_VALUE"""),0.385416666666666)</f>
        <v>0.38541666666666602</v>
      </c>
      <c r="X2279" s="8">
        <f ca="1">IFERROR(__xludf.DUMMYFUNCTION("""COMPUTED_VALUE"""),1)</f>
        <v>1</v>
      </c>
      <c r="Y2279" s="12" t="str">
        <f ca="1">IFERROR(__xludf.DUMMYFUNCTION("""COMPUTED_VALUE"""),"Shot football coach for benching his son")</f>
        <v>Shot football coach for benching his son</v>
      </c>
      <c r="Z2279" s="12" t="str">
        <f ca="1">IFERROR(__xludf.DUMMYFUNCTION("""COMPUTED_VALUE"""),"Father of football player was angry at coach for benching his son and had multiple violent arguments. 44YOM drove to the school, shot coach in the chest, and fled the scene.")</f>
        <v>Father of football player was angry at coach for benching his son and had multiple violent arguments. 44YOM drove to the school, shot coach in the chest, and fled the scene.</v>
      </c>
      <c r="AA2279" s="8" t="str">
        <f ca="1">IFERROR(__xludf.DUMMYFUNCTION("""COMPUTED_VALUE"""),"Escalation of Dispute")</f>
        <v>Escalation of Dispute</v>
      </c>
      <c r="AB2279" s="8"/>
      <c r="AC2279" s="8"/>
      <c r="AD2279" s="8" t="str">
        <f ca="1">IFERROR(__xludf.DUMMYFUNCTION("""COMPUTED_VALUE"""),"Victims Targeted")</f>
        <v>Victims Targeted</v>
      </c>
      <c r="AE2279" s="8" t="str">
        <f ca="1">IFERROR(__xludf.DUMMYFUNCTION("""COMPUTED_VALUE"""),"No")</f>
        <v>No</v>
      </c>
      <c r="AF2279" s="8"/>
      <c r="AG2279" s="8" t="str">
        <f ca="1">IFERROR(__xludf.DUMMYFUNCTION("""COMPUTED_VALUE"""),"No")</f>
        <v>No</v>
      </c>
      <c r="AH2279" s="8" t="str">
        <f ca="1">IFERROR(__xludf.DUMMYFUNCTION("""COMPUTED_VALUE"""),"No")</f>
        <v>No</v>
      </c>
      <c r="AI2279" s="8" t="str">
        <f ca="1">IFERROR(__xludf.DUMMYFUNCTION("""COMPUTED_VALUE"""),"No")</f>
        <v>No</v>
      </c>
      <c r="AJ2279" s="8" t="str">
        <f ca="1">IFERROR(__xludf.DUMMYFUNCTION("""COMPUTED_VALUE"""),"No")</f>
        <v>No</v>
      </c>
      <c r="AK2279" s="8" t="str">
        <f ca="1">IFERROR(__xludf.DUMMYFUNCTION("""COMPUTED_VALUE"""),"No")</f>
        <v>No</v>
      </c>
      <c r="AL2279" s="8" t="str">
        <f ca="1">IFERROR(__xludf.DUMMYFUNCTION("""COMPUTED_VALUE"""),"No")</f>
        <v>No</v>
      </c>
      <c r="AM2279" s="8"/>
      <c r="AN2279" s="8"/>
      <c r="AO2279" s="8" t="str">
        <f ca="1">IFERROR(__xludf.DUMMYFUNCTION("""COMPUTED_VALUE"""),"No")</f>
        <v>No</v>
      </c>
      <c r="AP2279" s="8" t="str">
        <f ca="1">IFERROR(__xludf.DUMMYFUNCTION("""COMPUTED_VALUE"""),"No")</f>
        <v>No</v>
      </c>
      <c r="AQ2279" s="8" t="str">
        <f ca="1">IFERROR(__xludf.DUMMYFUNCTION("""COMPUTED_VALUE"""),"Unknown")</f>
        <v>Unknown</v>
      </c>
      <c r="AR2279" s="8" t="str">
        <f ca="1">IFERROR(__xludf.DUMMYFUNCTION("""COMPUTED_VALUE"""),"NA")</f>
        <v>NA</v>
      </c>
      <c r="AS2279" s="8"/>
      <c r="AT2279" s="8"/>
      <c r="AU2279" s="8">
        <f ca="1">IFERROR(__xludf.DUMMYFUNCTION("""COMPUTED_VALUE"""),32.545021)</f>
        <v>32.545020999999998</v>
      </c>
      <c r="AV2279" s="8">
        <f ca="1">IFERROR(__xludf.DUMMYFUNCTION("""COMPUTED_VALUE"""),-95.887665)</f>
        <v>-95.887664999999998</v>
      </c>
      <c r="AW2279" s="8"/>
      <c r="AX2279" s="8">
        <f ca="1">IFERROR(__xludf.DUMMYFUNCTION("""COMPUTED_VALUE"""),75103)</f>
        <v>75103</v>
      </c>
    </row>
    <row r="2280" spans="1:50" ht="45" x14ac:dyDescent="0.2">
      <c r="A2280" s="8" t="str">
        <f ca="1">IFERROR(__xludf.DUMMYFUNCTION("""COMPUTED_VALUE"""),"20050330TNEAM")</f>
        <v>20050330TNEAM</v>
      </c>
      <c r="B2280" s="8">
        <f ca="1">IFERROR(__xludf.DUMMYFUNCTION("""COMPUTED_VALUE"""),3)</f>
        <v>3</v>
      </c>
      <c r="C2280" s="8">
        <f ca="1">IFERROR(__xludf.DUMMYFUNCTION("""COMPUTED_VALUE"""),30)</f>
        <v>30</v>
      </c>
      <c r="D2280" s="8">
        <f ca="1">IFERROR(__xludf.DUMMYFUNCTION("""COMPUTED_VALUE"""),2005)</f>
        <v>2005</v>
      </c>
      <c r="E2280" s="9">
        <f ca="1">IFERROR(__xludf.DUMMYFUNCTION("""COMPUTED_VALUE"""),38441)</f>
        <v>38441</v>
      </c>
      <c r="F2280" s="8" t="str">
        <f ca="1">IFERROR(__xludf.DUMMYFUNCTION("""COMPUTED_VALUE"""),"East High School")</f>
        <v>East High School</v>
      </c>
      <c r="G2280" s="8">
        <f ca="1">IFERROR(__xludf.DUMMYFUNCTION("""COMPUTED_VALUE"""),0)</f>
        <v>0</v>
      </c>
      <c r="H2280" s="8">
        <f ca="1">IFERROR(__xludf.DUMMYFUNCTION("""COMPUTED_VALUE"""),0)</f>
        <v>0</v>
      </c>
      <c r="I2280" s="8">
        <f ca="1">IFERROR(__xludf.DUMMYFUNCTION("""COMPUTED_VALUE"""),0)</f>
        <v>0</v>
      </c>
      <c r="J2280" s="8">
        <f ca="1">IFERROR(__xludf.DUMMYFUNCTION("""COMPUTED_VALUE"""),0)</f>
        <v>0</v>
      </c>
      <c r="K2280" s="10" t="str">
        <f ca="1">IFERROR(__xludf.DUMMYFUNCTION("""COMPUTED_VALUE"""),"https://www.columbine-angels.com/School_Violence_2004-2005.htm")</f>
        <v>https://www.columbine-angels.com/School_Violence_2004-2005.htm</v>
      </c>
      <c r="L2280" s="8"/>
      <c r="M2280" s="8"/>
      <c r="N2280" s="8">
        <f ca="1">IFERROR(__xludf.DUMMYFUNCTION("""COMPUTED_VALUE"""),1)</f>
        <v>1</v>
      </c>
      <c r="O2280" s="8" t="str">
        <f ca="1">IFERROR(__xludf.DUMMYFUNCTION("""COMPUTED_VALUE"""),"Spring")</f>
        <v>Spring</v>
      </c>
      <c r="P2280" s="8" t="str">
        <f ca="1">IFERROR(__xludf.DUMMYFUNCTION("""COMPUTED_VALUE"""),"Memphis")</f>
        <v>Memphis</v>
      </c>
      <c r="Q2280" s="8" t="str">
        <f ca="1">IFERROR(__xludf.DUMMYFUNCTION("""COMPUTED_VALUE"""),"TN")</f>
        <v>TN</v>
      </c>
      <c r="R2280" s="8" t="str">
        <f ca="1">IFERROR(__xludf.DUMMYFUNCTION("""COMPUTED_VALUE"""),"High")</f>
        <v>High</v>
      </c>
      <c r="S2280" s="8" t="str">
        <f ca="1">IFERROR(__xludf.DUMMYFUNCTION("""COMPUTED_VALUE"""),"Classroom")</f>
        <v>Classroom</v>
      </c>
      <c r="T2280" s="8" t="str">
        <f ca="1">IFERROR(__xludf.DUMMYFUNCTION("""COMPUTED_VALUE"""),"Inside School Building")</f>
        <v>Inside School Building</v>
      </c>
      <c r="U2280" s="8" t="str">
        <f ca="1">IFERROR(__xludf.DUMMYFUNCTION("""COMPUTED_VALUE"""),"Yes")</f>
        <v>Yes</v>
      </c>
      <c r="V2280" s="8" t="str">
        <f ca="1">IFERROR(__xludf.DUMMYFUNCTION("""COMPUTED_VALUE"""),"Morning Classes")</f>
        <v>Morning Classes</v>
      </c>
      <c r="W2280" s="11">
        <f ca="1">IFERROR(__xludf.DUMMYFUNCTION("""COMPUTED_VALUE"""),0.458333333333333)</f>
        <v>0.45833333333333298</v>
      </c>
      <c r="X2280" s="8">
        <f ca="1">IFERROR(__xludf.DUMMYFUNCTION("""COMPUTED_VALUE"""),1)</f>
        <v>1</v>
      </c>
      <c r="Y2280" s="12" t="str">
        <f ca="1">IFERROR(__xludf.DUMMYFUNCTION("""COMPUTED_VALUE"""),"Accidental discharge in classroom")</f>
        <v>Accidental discharge in classroom</v>
      </c>
      <c r="Z2280" s="12" t="str">
        <f ca="1">IFERROR(__xludf.DUMMYFUNCTION("""COMPUTED_VALUE"""),"Handgun being carried by a 17YOM accidentally went off. Shooter fled the classroom holding his leg, however, he only received a minor powder burn.")</f>
        <v>Handgun being carried by a 17YOM accidentally went off. Shooter fled the classroom holding his leg, however, he only received a minor powder burn.</v>
      </c>
      <c r="AA2280" s="8" t="str">
        <f ca="1">IFERROR(__xludf.DUMMYFUNCTION("""COMPUTED_VALUE"""),"Accidental")</f>
        <v>Accidental</v>
      </c>
      <c r="AB2280" s="8"/>
      <c r="AC2280" s="8"/>
      <c r="AD2280" s="8" t="str">
        <f ca="1">IFERROR(__xludf.DUMMYFUNCTION("""COMPUTED_VALUE"""),"Random Shooting")</f>
        <v>Random Shooting</v>
      </c>
      <c r="AE2280" s="8" t="str">
        <f ca="1">IFERROR(__xludf.DUMMYFUNCTION("""COMPUTED_VALUE"""),"No")</f>
        <v>No</v>
      </c>
      <c r="AF2280" s="8"/>
      <c r="AG2280" s="8" t="str">
        <f ca="1">IFERROR(__xludf.DUMMYFUNCTION("""COMPUTED_VALUE"""),"No")</f>
        <v>No</v>
      </c>
      <c r="AH2280" s="8" t="str">
        <f ca="1">IFERROR(__xludf.DUMMYFUNCTION("""COMPUTED_VALUE"""),"No")</f>
        <v>No</v>
      </c>
      <c r="AI2280" s="8" t="str">
        <f ca="1">IFERROR(__xludf.DUMMYFUNCTION("""COMPUTED_VALUE"""),"No")</f>
        <v>No</v>
      </c>
      <c r="AJ2280" s="8" t="str">
        <f ca="1">IFERROR(__xludf.DUMMYFUNCTION("""COMPUTED_VALUE"""),"No")</f>
        <v>No</v>
      </c>
      <c r="AK2280" s="8" t="str">
        <f ca="1">IFERROR(__xludf.DUMMYFUNCTION("""COMPUTED_VALUE"""),"No")</f>
        <v>No</v>
      </c>
      <c r="AL2280" s="8" t="str">
        <f ca="1">IFERROR(__xludf.DUMMYFUNCTION("""COMPUTED_VALUE"""),"No")</f>
        <v>No</v>
      </c>
      <c r="AM2280" s="8"/>
      <c r="AN2280" s="8"/>
      <c r="AO2280" s="8" t="str">
        <f ca="1">IFERROR(__xludf.DUMMYFUNCTION("""COMPUTED_VALUE"""),"No")</f>
        <v>No</v>
      </c>
      <c r="AP2280" s="8"/>
      <c r="AQ2280" s="8" t="str">
        <f ca="1">IFERROR(__xludf.DUMMYFUNCTION("""COMPUTED_VALUE"""),"Unknown")</f>
        <v>Unknown</v>
      </c>
      <c r="AR2280" s="8" t="str">
        <f ca="1">IFERROR(__xludf.DUMMYFUNCTION("""COMPUTED_VALUE"""),"NA")</f>
        <v>NA</v>
      </c>
      <c r="AS2280" s="8">
        <f ca="1">IFERROR(__xludf.DUMMYFUNCTION("""COMPUTED_VALUE"""),1)</f>
        <v>1</v>
      </c>
      <c r="AT2280" s="8"/>
      <c r="AU2280" s="8">
        <f ca="1">IFERROR(__xludf.DUMMYFUNCTION("""COMPUTED_VALUE"""),35.131678)</f>
        <v>35.131678000000001</v>
      </c>
      <c r="AV2280" s="8">
        <f ca="1">IFERROR(__xludf.DUMMYFUNCTION("""COMPUTED_VALUE"""),-89.954545)</f>
        <v>-89.954544999999996</v>
      </c>
      <c r="AW2280" s="8"/>
      <c r="AX2280" s="8">
        <f ca="1">IFERROR(__xludf.DUMMYFUNCTION("""COMPUTED_VALUE"""),38111)</f>
        <v>38111</v>
      </c>
    </row>
    <row r="2281" spans="1:50" ht="75" x14ac:dyDescent="0.2">
      <c r="A2281" s="8" t="str">
        <f ca="1">IFERROR(__xludf.DUMMYFUNCTION("""COMPUTED_VALUE"""),"20050324TNFAM")</f>
        <v>20050324TNFAM</v>
      </c>
      <c r="B2281" s="8">
        <f ca="1">IFERROR(__xludf.DUMMYFUNCTION("""COMPUTED_VALUE"""),3)</f>
        <v>3</v>
      </c>
      <c r="C2281" s="8">
        <f ca="1">IFERROR(__xludf.DUMMYFUNCTION("""COMPUTED_VALUE"""),24)</f>
        <v>24</v>
      </c>
      <c r="D2281" s="8">
        <f ca="1">IFERROR(__xludf.DUMMYFUNCTION("""COMPUTED_VALUE"""),2005)</f>
        <v>2005</v>
      </c>
      <c r="E2281" s="9">
        <f ca="1">IFERROR(__xludf.DUMMYFUNCTION("""COMPUTED_VALUE"""),38435)</f>
        <v>38435</v>
      </c>
      <c r="F2281" s="8" t="str">
        <f ca="1">IFERROR(__xludf.DUMMYFUNCTION("""COMPUTED_VALUE"""),"Fairly High School")</f>
        <v>Fairly High School</v>
      </c>
      <c r="G2281" s="8">
        <f ca="1">IFERROR(__xludf.DUMMYFUNCTION("""COMPUTED_VALUE"""),0)</f>
        <v>0</v>
      </c>
      <c r="H2281" s="8">
        <f ca="1">IFERROR(__xludf.DUMMYFUNCTION("""COMPUTED_VALUE"""),0)</f>
        <v>0</v>
      </c>
      <c r="I2281" s="8">
        <f ca="1">IFERROR(__xludf.DUMMYFUNCTION("""COMPUTED_VALUE"""),0)</f>
        <v>0</v>
      </c>
      <c r="J2281" s="8">
        <f ca="1">IFERROR(__xludf.DUMMYFUNCTION("""COMPUTED_VALUE"""),0)</f>
        <v>0</v>
      </c>
      <c r="K2281" s="10" t="str">
        <f ca="1">IFERROR(__xludf.DUMMYFUNCTION("""COMPUTED_VALUE"""),"https://www.columbine-angels.com/School_Violence_2004-2005.htm")</f>
        <v>https://www.columbine-angels.com/School_Violence_2004-2005.htm</v>
      </c>
      <c r="L2281" s="8"/>
      <c r="M2281" s="8"/>
      <c r="N2281" s="8">
        <f ca="1">IFERROR(__xludf.DUMMYFUNCTION("""COMPUTED_VALUE"""),1)</f>
        <v>1</v>
      </c>
      <c r="O2281" s="8" t="str">
        <f ca="1">IFERROR(__xludf.DUMMYFUNCTION("""COMPUTED_VALUE"""),"Spring")</f>
        <v>Spring</v>
      </c>
      <c r="P2281" s="8" t="str">
        <f ca="1">IFERROR(__xludf.DUMMYFUNCTION("""COMPUTED_VALUE"""),"Memphis")</f>
        <v>Memphis</v>
      </c>
      <c r="Q2281" s="8" t="str">
        <f ca="1">IFERROR(__xludf.DUMMYFUNCTION("""COMPUTED_VALUE"""),"TN")</f>
        <v>TN</v>
      </c>
      <c r="R2281" s="8" t="str">
        <f ca="1">IFERROR(__xludf.DUMMYFUNCTION("""COMPUTED_VALUE"""),"High")</f>
        <v>High</v>
      </c>
      <c r="S2281" s="8" t="str">
        <f ca="1">IFERROR(__xludf.DUMMYFUNCTION("""COMPUTED_VALUE"""),"Inside School Building")</f>
        <v>Inside School Building</v>
      </c>
      <c r="T2281" s="8" t="str">
        <f ca="1">IFERROR(__xludf.DUMMYFUNCTION("""COMPUTED_VALUE"""),"Inside School Building")</f>
        <v>Inside School Building</v>
      </c>
      <c r="U2281" s="8" t="str">
        <f ca="1">IFERROR(__xludf.DUMMYFUNCTION("""COMPUTED_VALUE"""),"Yes")</f>
        <v>Yes</v>
      </c>
      <c r="V2281" s="8"/>
      <c r="W2281" s="8"/>
      <c r="X2281" s="8">
        <f ca="1">IFERROR(__xludf.DUMMYFUNCTION("""COMPUTED_VALUE"""),1)</f>
        <v>1</v>
      </c>
      <c r="Y2281" s="12" t="str">
        <f ca="1">IFERROR(__xludf.DUMMYFUNCTION("""COMPUTED_VALUE"""),"Accidental discharge of gun in student's purse")</f>
        <v>Accidental discharge of gun in student's purse</v>
      </c>
      <c r="Z2281" s="12" t="str">
        <f ca="1">IFERROR(__xludf.DUMMYFUNCTION("""COMPUTED_VALUE"""),"As 17YOF reached into her purse and the loaded gun she had in there went off.  The bullet struck her in the arm.  She was transported to the Regional Medical Center for treatment of bullet wound and was charged as a juvenile for bringing a weapon onto sch"&amp;"ool property.")</f>
        <v>As 17YOF reached into her purse and the loaded gun she had in there went off.  The bullet struck her in the arm.  She was transported to the Regional Medical Center for treatment of bullet wound and was charged as a juvenile for bringing a weapon onto school property.</v>
      </c>
      <c r="AA2281" s="8" t="str">
        <f ca="1">IFERROR(__xludf.DUMMYFUNCTION("""COMPUTED_VALUE"""),"Accidental")</f>
        <v>Accidental</v>
      </c>
      <c r="AB2281" s="8"/>
      <c r="AC2281" s="8"/>
      <c r="AD2281" s="8" t="str">
        <f ca="1">IFERROR(__xludf.DUMMYFUNCTION("""COMPUTED_VALUE"""),"Random Shooting")</f>
        <v>Random Shooting</v>
      </c>
      <c r="AE2281" s="8" t="str">
        <f ca="1">IFERROR(__xludf.DUMMYFUNCTION("""COMPUTED_VALUE"""),"No")</f>
        <v>No</v>
      </c>
      <c r="AF2281" s="8"/>
      <c r="AG2281" s="8" t="str">
        <f ca="1">IFERROR(__xludf.DUMMYFUNCTION("""COMPUTED_VALUE"""),"No")</f>
        <v>No</v>
      </c>
      <c r="AH2281" s="8" t="str">
        <f ca="1">IFERROR(__xludf.DUMMYFUNCTION("""COMPUTED_VALUE"""),"No")</f>
        <v>No</v>
      </c>
      <c r="AI2281" s="8" t="str">
        <f ca="1">IFERROR(__xludf.DUMMYFUNCTION("""COMPUTED_VALUE"""),"No")</f>
        <v>No</v>
      </c>
      <c r="AJ2281" s="8" t="str">
        <f ca="1">IFERROR(__xludf.DUMMYFUNCTION("""COMPUTED_VALUE"""),"No")</f>
        <v>No</v>
      </c>
      <c r="AK2281" s="8" t="str">
        <f ca="1">IFERROR(__xludf.DUMMYFUNCTION("""COMPUTED_VALUE"""),"No")</f>
        <v>No</v>
      </c>
      <c r="AL2281" s="8" t="str">
        <f ca="1">IFERROR(__xludf.DUMMYFUNCTION("""COMPUTED_VALUE"""),"No")</f>
        <v>No</v>
      </c>
      <c r="AM2281" s="8"/>
      <c r="AN2281" s="8"/>
      <c r="AO2281" s="8" t="str">
        <f ca="1">IFERROR(__xludf.DUMMYFUNCTION("""COMPUTED_VALUE"""),"No")</f>
        <v>No</v>
      </c>
      <c r="AP2281" s="8"/>
      <c r="AQ2281" s="8" t="str">
        <f ca="1">IFERROR(__xludf.DUMMYFUNCTION("""COMPUTED_VALUE"""),"Unknown")</f>
        <v>Unknown</v>
      </c>
      <c r="AR2281" s="8" t="str">
        <f ca="1">IFERROR(__xludf.DUMMYFUNCTION("""COMPUTED_VALUE"""),"NA")</f>
        <v>NA</v>
      </c>
      <c r="AS2281" s="8">
        <f ca="1">IFERROR(__xludf.DUMMYFUNCTION("""COMPUTED_VALUE"""),1)</f>
        <v>1</v>
      </c>
      <c r="AT2281" s="8"/>
      <c r="AU2281" s="8">
        <f ca="1">IFERROR(__xludf.DUMMYFUNCTION("""COMPUTED_VALUE"""),35.011877)</f>
        <v>35.011876999999998</v>
      </c>
      <c r="AV2281" s="8">
        <f ca="1">IFERROR(__xludf.DUMMYFUNCTION("""COMPUTED_VALUE"""),-90.051198)</f>
        <v>-90.051197999999999</v>
      </c>
      <c r="AW2281" s="8"/>
      <c r="AX2281" s="8">
        <f ca="1">IFERROR(__xludf.DUMMYFUNCTION("""COMPUTED_VALUE"""),38109)</f>
        <v>38109</v>
      </c>
    </row>
    <row r="2282" spans="1:50" ht="75" x14ac:dyDescent="0.2">
      <c r="A2282" s="8" t="str">
        <f ca="1">IFERROR(__xludf.DUMMYFUNCTION("""COMPUTED_VALUE"""),"20050321NYNEB")</f>
        <v>20050321NYNEB</v>
      </c>
      <c r="B2282" s="8">
        <f ca="1">IFERROR(__xludf.DUMMYFUNCTION("""COMPUTED_VALUE"""),3)</f>
        <v>3</v>
      </c>
      <c r="C2282" s="8">
        <f ca="1">IFERROR(__xludf.DUMMYFUNCTION("""COMPUTED_VALUE"""),21)</f>
        <v>21</v>
      </c>
      <c r="D2282" s="8">
        <f ca="1">IFERROR(__xludf.DUMMYFUNCTION("""COMPUTED_VALUE"""),2005)</f>
        <v>2005</v>
      </c>
      <c r="E2282" s="9">
        <f ca="1">IFERROR(__xludf.DUMMYFUNCTION("""COMPUTED_VALUE"""),38432)</f>
        <v>38432</v>
      </c>
      <c r="F2282" s="8" t="str">
        <f ca="1">IFERROR(__xludf.DUMMYFUNCTION("""COMPUTED_VALUE"""),"New Utrecht High School")</f>
        <v>New Utrecht High School</v>
      </c>
      <c r="G2282" s="8">
        <f ca="1">IFERROR(__xludf.DUMMYFUNCTION("""COMPUTED_VALUE"""),0)</f>
        <v>0</v>
      </c>
      <c r="H2282" s="8">
        <f ca="1">IFERROR(__xludf.DUMMYFUNCTION("""COMPUTED_VALUE"""),0)</f>
        <v>0</v>
      </c>
      <c r="I2282" s="8">
        <f ca="1">IFERROR(__xludf.DUMMYFUNCTION("""COMPUTED_VALUE"""),0)</f>
        <v>0</v>
      </c>
      <c r="J2282" s="8">
        <f ca="1">IFERROR(__xludf.DUMMYFUNCTION("""COMPUTED_VALUE"""),0)</f>
        <v>0</v>
      </c>
      <c r="K2282" s="10" t="str">
        <f ca="1">IFERROR(__xludf.DUMMYFUNCTION("""COMPUTED_VALUE"""),"http://www.nydailynews.com/archives/news/b-klyn-hs-panic-boy-shoots-leg-article-1.589241")</f>
        <v>http://www.nydailynews.com/archives/news/b-klyn-hs-panic-boy-shoots-leg-article-1.589241</v>
      </c>
      <c r="L2282" s="8">
        <f ca="1">IFERROR(__xludf.DUMMYFUNCTION("""COMPUTED_VALUE"""),1)</f>
        <v>1</v>
      </c>
      <c r="M2282" s="8" t="str">
        <f ca="1">IFERROR(__xludf.DUMMYFUNCTION("""COMPUTED_VALUE"""),"Local")</f>
        <v>Local</v>
      </c>
      <c r="N2282" s="8">
        <f ca="1">IFERROR(__xludf.DUMMYFUNCTION("""COMPUTED_VALUE"""),2)</f>
        <v>2</v>
      </c>
      <c r="O2282" s="8" t="str">
        <f ca="1">IFERROR(__xludf.DUMMYFUNCTION("""COMPUTED_VALUE"""),"Spring")</f>
        <v>Spring</v>
      </c>
      <c r="P2282" s="8" t="str">
        <f ca="1">IFERROR(__xludf.DUMMYFUNCTION("""COMPUTED_VALUE"""),"Brooklyn")</f>
        <v>Brooklyn</v>
      </c>
      <c r="Q2282" s="8" t="str">
        <f ca="1">IFERROR(__xludf.DUMMYFUNCTION("""COMPUTED_VALUE"""),"NY")</f>
        <v>NY</v>
      </c>
      <c r="R2282" s="8" t="str">
        <f ca="1">IFERROR(__xludf.DUMMYFUNCTION("""COMPUTED_VALUE"""),"High")</f>
        <v>High</v>
      </c>
      <c r="S2282" s="8" t="str">
        <f ca="1">IFERROR(__xludf.DUMMYFUNCTION("""COMPUTED_VALUE"""),"Classroom")</f>
        <v>Classroom</v>
      </c>
      <c r="T2282" s="8" t="str">
        <f ca="1">IFERROR(__xludf.DUMMYFUNCTION("""COMPUTED_VALUE"""),"Inside School Building")</f>
        <v>Inside School Building</v>
      </c>
      <c r="U2282" s="8" t="str">
        <f ca="1">IFERROR(__xludf.DUMMYFUNCTION("""COMPUTED_VALUE"""),"Yes")</f>
        <v>Yes</v>
      </c>
      <c r="V2282" s="8" t="str">
        <f ca="1">IFERROR(__xludf.DUMMYFUNCTION("""COMPUTED_VALUE"""),"Morning Classes")</f>
        <v>Morning Classes</v>
      </c>
      <c r="W2282" s="11">
        <f ca="1">IFERROR(__xludf.DUMMYFUNCTION("""COMPUTED_VALUE"""),0.5)</f>
        <v>0.5</v>
      </c>
      <c r="X2282" s="8">
        <f ca="1">IFERROR(__xludf.DUMMYFUNCTION("""COMPUTED_VALUE"""),1)</f>
        <v>1</v>
      </c>
      <c r="Y2282" s="12" t="str">
        <f ca="1">IFERROR(__xludf.DUMMYFUNCTION("""COMPUTED_VALUE"""),"Accidental discharge in pocket during class")</f>
        <v>Accidental discharge in pocket during class</v>
      </c>
      <c r="Z2282" s="12" t="str">
        <f ca="1">IFERROR(__xludf.DUMMYFUNCTION("""COMPUTED_VALUE"""),"Shooter was playing with gun in his pocket and accidentally fired shooting himself in the leg. The shooter told other students not to tell the teacher and tried to blend in with the crowd leaving the school. Shooter gave gun to a classmate to hide (also c"&amp;"harged and expelled following the incident).")</f>
        <v>Shooter was playing with gun in his pocket and accidentally fired shooting himself in the leg. The shooter told other students not to tell the teacher and tried to blend in with the crowd leaving the school. Shooter gave gun to a classmate to hide (also charged and expelled following the incident).</v>
      </c>
      <c r="AA2282" s="8" t="str">
        <f ca="1">IFERROR(__xludf.DUMMYFUNCTION("""COMPUTED_VALUE"""),"Accidental")</f>
        <v>Accidental</v>
      </c>
      <c r="AB2282" s="8"/>
      <c r="AC2282" s="8"/>
      <c r="AD2282" s="8" t="str">
        <f ca="1">IFERROR(__xludf.DUMMYFUNCTION("""COMPUTED_VALUE"""),"Random Shooting")</f>
        <v>Random Shooting</v>
      </c>
      <c r="AE2282" s="8" t="str">
        <f ca="1">IFERROR(__xludf.DUMMYFUNCTION("""COMPUTED_VALUE"""),"No")</f>
        <v>No</v>
      </c>
      <c r="AF2282" s="8"/>
      <c r="AG2282" s="8" t="str">
        <f ca="1">IFERROR(__xludf.DUMMYFUNCTION("""COMPUTED_VALUE"""),"No")</f>
        <v>No</v>
      </c>
      <c r="AH2282" s="8" t="str">
        <f ca="1">IFERROR(__xludf.DUMMYFUNCTION("""COMPUTED_VALUE"""),"No")</f>
        <v>No</v>
      </c>
      <c r="AI2282" s="8" t="str">
        <f ca="1">IFERROR(__xludf.DUMMYFUNCTION("""COMPUTED_VALUE"""),"No")</f>
        <v>No</v>
      </c>
      <c r="AJ2282" s="8" t="str">
        <f ca="1">IFERROR(__xludf.DUMMYFUNCTION("""COMPUTED_VALUE"""),"No")</f>
        <v>No</v>
      </c>
      <c r="AK2282" s="8" t="str">
        <f ca="1">IFERROR(__xludf.DUMMYFUNCTION("""COMPUTED_VALUE"""),"No")</f>
        <v>No</v>
      </c>
      <c r="AL2282" s="8" t="str">
        <f ca="1">IFERROR(__xludf.DUMMYFUNCTION("""COMPUTED_VALUE"""),"No")</f>
        <v>No</v>
      </c>
      <c r="AM2282" s="8"/>
      <c r="AN2282" s="8"/>
      <c r="AO2282" s="8" t="str">
        <f ca="1">IFERROR(__xludf.DUMMYFUNCTION("""COMPUTED_VALUE"""),"No")</f>
        <v>No</v>
      </c>
      <c r="AP2282" s="8" t="str">
        <f ca="1">IFERROR(__xludf.DUMMYFUNCTION("""COMPUTED_VALUE"""),"Yes")</f>
        <v>Yes</v>
      </c>
      <c r="AQ2282" s="8" t="str">
        <f ca="1">IFERROR(__xludf.DUMMYFUNCTION("""COMPUTED_VALUE"""),"Unknown")</f>
        <v>Unknown</v>
      </c>
      <c r="AR2282" s="8" t="str">
        <f ca="1">IFERROR(__xludf.DUMMYFUNCTION("""COMPUTED_VALUE"""),"NA")</f>
        <v>NA</v>
      </c>
      <c r="AS2282" s="8">
        <f ca="1">IFERROR(__xludf.DUMMYFUNCTION("""COMPUTED_VALUE"""),1)</f>
        <v>1</v>
      </c>
      <c r="AT2282" s="8" t="str">
        <f ca="1">IFERROR(__xludf.DUMMYFUNCTION("""COMPUTED_VALUE"""),"No")</f>
        <v>No</v>
      </c>
      <c r="AU2282" s="8">
        <f ca="1">IFERROR(__xludf.DUMMYFUNCTION("""COMPUTED_VALUE"""),40.613133)</f>
        <v>40.613132999999998</v>
      </c>
      <c r="AV2282" s="8">
        <f ca="1">IFERROR(__xludf.DUMMYFUNCTION("""COMPUTED_VALUE"""),-74.002762)</f>
        <v>-74.002762000000004</v>
      </c>
      <c r="AW2282" s="8"/>
      <c r="AX2282" s="8">
        <f ca="1">IFERROR(__xludf.DUMMYFUNCTION("""COMPUTED_VALUE"""),11214)</f>
        <v>11214</v>
      </c>
    </row>
    <row r="2283" spans="1:50" ht="240" x14ac:dyDescent="0.2">
      <c r="A2283" s="8" t="str">
        <f ca="1">IFERROR(__xludf.DUMMYFUNCTION("""COMPUTED_VALUE"""),"20050321MNRER")</f>
        <v>20050321MNRER</v>
      </c>
      <c r="B2283" s="8">
        <f ca="1">IFERROR(__xludf.DUMMYFUNCTION("""COMPUTED_VALUE"""),3)</f>
        <v>3</v>
      </c>
      <c r="C2283" s="8">
        <f ca="1">IFERROR(__xludf.DUMMYFUNCTION("""COMPUTED_VALUE"""),21)</f>
        <v>21</v>
      </c>
      <c r="D2283" s="8">
        <f ca="1">IFERROR(__xludf.DUMMYFUNCTION("""COMPUTED_VALUE"""),2005)</f>
        <v>2005</v>
      </c>
      <c r="E2283" s="9">
        <f ca="1">IFERROR(__xludf.DUMMYFUNCTION("""COMPUTED_VALUE"""),38432)</f>
        <v>38432</v>
      </c>
      <c r="F2283" s="8" t="str">
        <f ca="1">IFERROR(__xludf.DUMMYFUNCTION("""COMPUTED_VALUE"""),"Red Lake Senior High School")</f>
        <v>Red Lake Senior High School</v>
      </c>
      <c r="G2283" s="8">
        <f ca="1">IFERROR(__xludf.DUMMYFUNCTION("""COMPUTED_VALUE"""),8)</f>
        <v>8</v>
      </c>
      <c r="H2283" s="8">
        <f ca="1">IFERROR(__xludf.DUMMYFUNCTION("""COMPUTED_VALUE"""),5)</f>
        <v>5</v>
      </c>
      <c r="I2283" s="8">
        <f ca="1">IFERROR(__xludf.DUMMYFUNCTION("""COMPUTED_VALUE"""),13)</f>
        <v>13</v>
      </c>
      <c r="J2283" s="8">
        <f ca="1">IFERROR(__xludf.DUMMYFUNCTION("""COMPUTED_VALUE"""),1)</f>
        <v>1</v>
      </c>
      <c r="K2283" s="8" t="str">
        <f ca="1">IFERROR(__xludf.DUMMYFUNCTION("""COMPUTED_VALUE"""),"https://www.mprnews.org/story/2015/03/18/red-lake-shooting-explained https://www.fbi.gov/file-repository/active-shooter-incidents-2000-2017.pdf")</f>
        <v>https://www.mprnews.org/story/2015/03/18/red-lake-shooting-explained https://www.fbi.gov/file-repository/active-shooter-incidents-2000-2017.pdf</v>
      </c>
      <c r="L2283" s="8"/>
      <c r="M2283" s="8"/>
      <c r="N2283" s="8">
        <f ca="1">IFERROR(__xludf.DUMMYFUNCTION("""COMPUTED_VALUE"""),5)</f>
        <v>5</v>
      </c>
      <c r="O2283" s="8" t="str">
        <f ca="1">IFERROR(__xludf.DUMMYFUNCTION("""COMPUTED_VALUE"""),"Spring")</f>
        <v>Spring</v>
      </c>
      <c r="P2283" s="8" t="str">
        <f ca="1">IFERROR(__xludf.DUMMYFUNCTION("""COMPUTED_VALUE"""),"Red Lake")</f>
        <v>Red Lake</v>
      </c>
      <c r="Q2283" s="8" t="str">
        <f ca="1">IFERROR(__xludf.DUMMYFUNCTION("""COMPUTED_VALUE"""),"MN")</f>
        <v>MN</v>
      </c>
      <c r="R2283" s="8" t="str">
        <f ca="1">IFERROR(__xludf.DUMMYFUNCTION("""COMPUTED_VALUE"""),"High")</f>
        <v>High</v>
      </c>
      <c r="S2283" s="8" t="str">
        <f ca="1">IFERROR(__xludf.DUMMYFUNCTION("""COMPUTED_VALUE"""),"Hallway")</f>
        <v>Hallway</v>
      </c>
      <c r="T2283" s="8" t="str">
        <f ca="1">IFERROR(__xludf.DUMMYFUNCTION("""COMPUTED_VALUE"""),"Inside School Building")</f>
        <v>Inside School Building</v>
      </c>
      <c r="U2283" s="8" t="str">
        <f ca="1">IFERROR(__xludf.DUMMYFUNCTION("""COMPUTED_VALUE"""),"Yes")</f>
        <v>Yes</v>
      </c>
      <c r="V2283" s="8" t="str">
        <f ca="1">IFERROR(__xludf.DUMMYFUNCTION("""COMPUTED_VALUE"""),"Afternoon Classes")</f>
        <v>Afternoon Classes</v>
      </c>
      <c r="W2283" s="11">
        <f ca="1">IFERROR(__xludf.DUMMYFUNCTION("""COMPUTED_VALUE"""),0.617361111111111)</f>
        <v>0.61736111111111103</v>
      </c>
      <c r="X2283" s="8"/>
      <c r="Y2283" s="12" t="str">
        <f ca="1">IFERROR(__xludf.DUMMYFUNCTION("""COMPUTED_VALUE"""),"Planned attack on school, studied Columbine, wore trench coat, had been bullied")</f>
        <v>Planned attack on school, studied Columbine, wore trench coat, had been bullied</v>
      </c>
      <c r="Z2283" s="12" t="str">
        <f ca="1">IFERROR(__xludf.DUMMYFUNCTION("""COMPUTED_VALUE"""),"Shooter killed his grandfather who was a tribal police officer and took his department issued shotgun and handgun plus a ballistic vest to the school. Shooter fired in the hallway and a classroom killing and injuring multiple students. When shooter was en"&amp;"gaged by law enforcement, he went into a classroom and commit suicide. The shooter was obsessed with Columbine and other mass shootings. School officials were aware of violent journal entries he wrote about mass shootings. He told other students about his"&amp;" plan to attack the school (one was arrested for conspiracy but charges were dropped). Shooter was bullied and dressed like the Columbine shooters wearing a black trenchcoat and dark makeup. Shooter's father had commit suicide and mother was severely inju"&amp;"red in car accident; placed into custody of grandparents. Shooter was on increased dosage of prozac at the time of the shooting. Weapons: .40 caliber; 12-gauge")</f>
        <v>Shooter killed his grandfather who was a tribal police officer and took his department issued shotgun and handgun plus a ballistic vest to the school. Shooter fired in the hallway and a classroom killing and injuring multiple students. When shooter was engaged by law enforcement, he went into a classroom and commit suicide. The shooter was obsessed with Columbine and other mass shootings. School officials were aware of violent journal entries he wrote about mass shootings. He told other students about his plan to attack the school (one was arrested for conspiracy but charges were dropped). Shooter was bullied and dressed like the Columbine shooters wearing a black trenchcoat and dark makeup. Shooter's father had commit suicide and mother was severely injured in car accident; placed into custody of grandparents. Shooter was on increased dosage of prozac at the time of the shooting. Weapons: .40 caliber; 12-gauge</v>
      </c>
      <c r="AA2283" s="8" t="str">
        <f ca="1">IFERROR(__xludf.DUMMYFUNCTION("""COMPUTED_VALUE"""),"Indiscriminate Shooting")</f>
        <v>Indiscriminate Shooting</v>
      </c>
      <c r="AB2283" s="8"/>
      <c r="AC2283" s="8" t="str">
        <f ca="1">IFERROR(__xludf.DUMMYFUNCTION("""COMPUTED_VALUE"""),"Yes")</f>
        <v>Yes</v>
      </c>
      <c r="AD2283" s="8" t="str">
        <f ca="1">IFERROR(__xludf.DUMMYFUNCTION("""COMPUTED_VALUE"""),"Random Shooting")</f>
        <v>Random Shooting</v>
      </c>
      <c r="AE2283" s="8" t="str">
        <f ca="1">IFERROR(__xludf.DUMMYFUNCTION("""COMPUTED_VALUE"""),"No")</f>
        <v>No</v>
      </c>
      <c r="AF2283" s="8"/>
      <c r="AG2283" s="8" t="str">
        <f ca="1">IFERROR(__xludf.DUMMYFUNCTION("""COMPUTED_VALUE"""),"No")</f>
        <v>No</v>
      </c>
      <c r="AH2283" s="8" t="str">
        <f ca="1">IFERROR(__xludf.DUMMYFUNCTION("""COMPUTED_VALUE"""),"No")</f>
        <v>No</v>
      </c>
      <c r="AI2283" s="8" t="str">
        <f ca="1">IFERROR(__xludf.DUMMYFUNCTION("""COMPUTED_VALUE"""),"No")</f>
        <v>No</v>
      </c>
      <c r="AJ2283" s="8" t="str">
        <f ca="1">IFERROR(__xludf.DUMMYFUNCTION("""COMPUTED_VALUE"""),"Yes")</f>
        <v>Yes</v>
      </c>
      <c r="AK2283" s="8" t="str">
        <f ca="1">IFERROR(__xludf.DUMMYFUNCTION("""COMPUTED_VALUE"""),"No")</f>
        <v>No</v>
      </c>
      <c r="AL2283" s="8" t="str">
        <f ca="1">IFERROR(__xludf.DUMMYFUNCTION("""COMPUTED_VALUE"""),"No")</f>
        <v>No</v>
      </c>
      <c r="AM2283" s="8" t="str">
        <f ca="1">IFERROR(__xludf.DUMMYFUNCTION("""COMPUTED_VALUE"""),"Yes")</f>
        <v>Yes</v>
      </c>
      <c r="AN2283" s="8" t="str">
        <f ca="1">IFERROR(__xludf.DUMMYFUNCTION("""COMPUTED_VALUE"""),"Multiple Rooms")</f>
        <v>Multiple Rooms</v>
      </c>
      <c r="AO2283" s="8" t="str">
        <f ca="1">IFERROR(__xludf.DUMMYFUNCTION("""COMPUTED_VALUE"""),"Yes")</f>
        <v>Yes</v>
      </c>
      <c r="AP2283" s="8" t="str">
        <f ca="1">IFERROR(__xludf.DUMMYFUNCTION("""COMPUTED_VALUE"""),"Yes")</f>
        <v>Yes</v>
      </c>
      <c r="AQ2283" s="8" t="str">
        <f ca="1">IFERROR(__xludf.DUMMYFUNCTION("""COMPUTED_VALUE"""),"Unknown")</f>
        <v>Unknown</v>
      </c>
      <c r="AR2283" s="8" t="str">
        <f ca="1">IFERROR(__xludf.DUMMYFUNCTION("""COMPUTED_VALUE"""),"NA")</f>
        <v>NA</v>
      </c>
      <c r="AS2283" s="8"/>
      <c r="AT2283" s="8"/>
      <c r="AU2283" s="8">
        <f ca="1">IFERROR(__xludf.DUMMYFUNCTION("""COMPUTED_VALUE"""),47.878598)</f>
        <v>47.878597999999997</v>
      </c>
      <c r="AV2283" s="8">
        <f ca="1">IFERROR(__xludf.DUMMYFUNCTION("""COMPUTED_VALUE"""),-95.015034)</f>
        <v>-95.015034</v>
      </c>
      <c r="AW2283" s="8"/>
      <c r="AX2283" s="8">
        <f ca="1">IFERROR(__xludf.DUMMYFUNCTION("""COMPUTED_VALUE"""),56671)</f>
        <v>56671</v>
      </c>
    </row>
    <row r="2284" spans="1:50" ht="60" x14ac:dyDescent="0.2">
      <c r="A2284" s="8" t="str">
        <f ca="1">IFERROR(__xludf.DUMMYFUNCTION("""COMPUTED_VALUE"""),"20050317LAOPA")</f>
        <v>20050317LAOPA</v>
      </c>
      <c r="B2284" s="8">
        <f ca="1">IFERROR(__xludf.DUMMYFUNCTION("""COMPUTED_VALUE"""),3)</f>
        <v>3</v>
      </c>
      <c r="C2284" s="8">
        <f ca="1">IFERROR(__xludf.DUMMYFUNCTION("""COMPUTED_VALUE"""),17)</f>
        <v>17</v>
      </c>
      <c r="D2284" s="8">
        <f ca="1">IFERROR(__xludf.DUMMYFUNCTION("""COMPUTED_VALUE"""),2005)</f>
        <v>2005</v>
      </c>
      <c r="E2284" s="9">
        <f ca="1">IFERROR(__xludf.DUMMYFUNCTION("""COMPUTED_VALUE"""),38428)</f>
        <v>38428</v>
      </c>
      <c r="F2284" s="8" t="str">
        <f ca="1">IFERROR(__xludf.DUMMYFUNCTION("""COMPUTED_VALUE"""),"O Perry Walker High School")</f>
        <v>O Perry Walker High School</v>
      </c>
      <c r="G2284" s="8">
        <f ca="1">IFERROR(__xludf.DUMMYFUNCTION("""COMPUTED_VALUE"""),0)</f>
        <v>0</v>
      </c>
      <c r="H2284" s="8">
        <f ca="1">IFERROR(__xludf.DUMMYFUNCTION("""COMPUTED_VALUE"""),1)</f>
        <v>1</v>
      </c>
      <c r="I2284" s="8">
        <f ca="1">IFERROR(__xludf.DUMMYFUNCTION("""COMPUTED_VALUE"""),1)</f>
        <v>1</v>
      </c>
      <c r="J2284" s="8">
        <f ca="1">IFERROR(__xludf.DUMMYFUNCTION("""COMPUTED_VALUE"""),0)</f>
        <v>0</v>
      </c>
      <c r="K2284" s="10" t="str">
        <f ca="1">IFERROR(__xludf.DUMMYFUNCTION("""COMPUTED_VALUE"""),"https://www.newspapers.com/image/321630892/?terms=o.%2Bperry%2Bhigh%2Bschool")</f>
        <v>https://www.newspapers.com/image/321630892/?terms=o.%2Bperry%2Bhigh%2Bschool</v>
      </c>
      <c r="L2284" s="8"/>
      <c r="M2284" s="8"/>
      <c r="N2284" s="8">
        <f ca="1">IFERROR(__xludf.DUMMYFUNCTION("""COMPUTED_VALUE"""),1)</f>
        <v>1</v>
      </c>
      <c r="O2284" s="8" t="str">
        <f ca="1">IFERROR(__xludf.DUMMYFUNCTION("""COMPUTED_VALUE"""),"Spring")</f>
        <v>Spring</v>
      </c>
      <c r="P2284" s="8" t="str">
        <f ca="1">IFERROR(__xludf.DUMMYFUNCTION("""COMPUTED_VALUE"""),"Algiers")</f>
        <v>Algiers</v>
      </c>
      <c r="Q2284" s="8" t="str">
        <f ca="1">IFERROR(__xludf.DUMMYFUNCTION("""COMPUTED_VALUE"""),"LA")</f>
        <v>LA</v>
      </c>
      <c r="R2284" s="8" t="str">
        <f ca="1">IFERROR(__xludf.DUMMYFUNCTION("""COMPUTED_VALUE"""),"High")</f>
        <v>High</v>
      </c>
      <c r="S2284" s="8" t="str">
        <f ca="1">IFERROR(__xludf.DUMMYFUNCTION("""COMPUTED_VALUE"""),"Hallway")</f>
        <v>Hallway</v>
      </c>
      <c r="T2284" s="8" t="str">
        <f ca="1">IFERROR(__xludf.DUMMYFUNCTION("""COMPUTED_VALUE"""),"Inside School Building")</f>
        <v>Inside School Building</v>
      </c>
      <c r="U2284" s="8" t="str">
        <f ca="1">IFERROR(__xludf.DUMMYFUNCTION("""COMPUTED_VALUE"""),"Yes")</f>
        <v>Yes</v>
      </c>
      <c r="V2284" s="8" t="str">
        <f ca="1">IFERROR(__xludf.DUMMYFUNCTION("""COMPUTED_VALUE"""),"Afternoon Classes")</f>
        <v>Afternoon Classes</v>
      </c>
      <c r="W2284" s="8"/>
      <c r="X2284" s="8">
        <f ca="1">IFERROR(__xludf.DUMMYFUNCTION("""COMPUTED_VALUE"""),1)</f>
        <v>1</v>
      </c>
      <c r="Y2284" s="12" t="str">
        <f ca="1">IFERROR(__xludf.DUMMYFUNCTION("""COMPUTED_VALUE"""),"Bystand student struck when shots were fired during fight")</f>
        <v>Bystand student struck when shots were fired during fight</v>
      </c>
      <c r="Z2284" s="12" t="str">
        <f ca="1">IFERROR(__xludf.DUMMYFUNCTION("""COMPUTED_VALUE"""),"Victim caught in the crossfire of an ongoing dispute. Unidentified shooter fled and gun was not recovered.")</f>
        <v>Victim caught in the crossfire of an ongoing dispute. Unidentified shooter fled and gun was not recovered.</v>
      </c>
      <c r="AA2284" s="8" t="str">
        <f ca="1">IFERROR(__xludf.DUMMYFUNCTION("""COMPUTED_VALUE"""),"Escalation of Dispute")</f>
        <v>Escalation of Dispute</v>
      </c>
      <c r="AB2284" s="8"/>
      <c r="AC2284" s="8"/>
      <c r="AD2284" s="8" t="str">
        <f ca="1">IFERROR(__xludf.DUMMYFUNCTION("""COMPUTED_VALUE"""),"Random Shooting")</f>
        <v>Random Shooting</v>
      </c>
      <c r="AE2284" s="8" t="str">
        <f ca="1">IFERROR(__xludf.DUMMYFUNCTION("""COMPUTED_VALUE"""),"Yes")</f>
        <v>Yes</v>
      </c>
      <c r="AF2284" s="8" t="str">
        <f ca="1">IFERROR(__xludf.DUMMYFUNCTION("""COMPUTED_VALUE"""),"3 teens involved in fight")</f>
        <v>3 teens involved in fight</v>
      </c>
      <c r="AG2284" s="8" t="str">
        <f ca="1">IFERROR(__xludf.DUMMYFUNCTION("""COMPUTED_VALUE"""),"No")</f>
        <v>No</v>
      </c>
      <c r="AH2284" s="8" t="str">
        <f ca="1">IFERROR(__xludf.DUMMYFUNCTION("""COMPUTED_VALUE"""),"No")</f>
        <v>No</v>
      </c>
      <c r="AI2284" s="8" t="str">
        <f ca="1">IFERROR(__xludf.DUMMYFUNCTION("""COMPUTED_VALUE"""),"No")</f>
        <v>No</v>
      </c>
      <c r="AJ2284" s="8" t="str">
        <f ca="1">IFERROR(__xludf.DUMMYFUNCTION("""COMPUTED_VALUE"""),"No")</f>
        <v>No</v>
      </c>
      <c r="AK2284" s="8" t="str">
        <f ca="1">IFERROR(__xludf.DUMMYFUNCTION("""COMPUTED_VALUE"""),"No")</f>
        <v>No</v>
      </c>
      <c r="AL2284" s="8" t="str">
        <f ca="1">IFERROR(__xludf.DUMMYFUNCTION("""COMPUTED_VALUE"""),"No")</f>
        <v>No</v>
      </c>
      <c r="AM2284" s="8"/>
      <c r="AN2284" s="8"/>
      <c r="AO2284" s="8" t="str">
        <f ca="1">IFERROR(__xludf.DUMMYFUNCTION("""COMPUTED_VALUE"""),"No")</f>
        <v>No</v>
      </c>
      <c r="AP2284" s="8"/>
      <c r="AQ2284" s="8" t="str">
        <f ca="1">IFERROR(__xludf.DUMMYFUNCTION("""COMPUTED_VALUE"""),"Unknown")</f>
        <v>Unknown</v>
      </c>
      <c r="AR2284" s="8" t="str">
        <f ca="1">IFERROR(__xludf.DUMMYFUNCTION("""COMPUTED_VALUE"""),"NA")</f>
        <v>NA</v>
      </c>
      <c r="AS2284" s="8" t="str">
        <f ca="1">IFERROR(__xludf.DUMMYFUNCTION("""COMPUTED_VALUE"""),"&lt;10")</f>
        <v>&lt;10</v>
      </c>
      <c r="AT2284" s="8"/>
      <c r="AU2284" s="8">
        <f ca="1">IFERROR(__xludf.DUMMYFUNCTION("""COMPUTED_VALUE"""),29.942345)</f>
        <v>29.942345</v>
      </c>
      <c r="AV2284" s="8">
        <f ca="1">IFERROR(__xludf.DUMMYFUNCTION("""COMPUTED_VALUE"""),-90.039638)</f>
        <v>-90.039637999999997</v>
      </c>
      <c r="AW2284" s="8"/>
      <c r="AX2284" s="8">
        <f ca="1">IFERROR(__xludf.DUMMYFUNCTION("""COMPUTED_VALUE"""),70114)</f>
        <v>70114</v>
      </c>
    </row>
    <row r="2285" spans="1:50" ht="60" x14ac:dyDescent="0.2">
      <c r="A2285" s="8" t="str">
        <f ca="1">IFERROR(__xludf.DUMMYFUNCTION("""COMPUTED_VALUE"""),"20050317CALOL")</f>
        <v>20050317CALOL</v>
      </c>
      <c r="B2285" s="8">
        <f ca="1">IFERROR(__xludf.DUMMYFUNCTION("""COMPUTED_VALUE"""),3)</f>
        <v>3</v>
      </c>
      <c r="C2285" s="8">
        <f ca="1">IFERROR(__xludf.DUMMYFUNCTION("""COMPUTED_VALUE"""),17)</f>
        <v>17</v>
      </c>
      <c r="D2285" s="8">
        <f ca="1">IFERROR(__xludf.DUMMYFUNCTION("""COMPUTED_VALUE"""),2005)</f>
        <v>2005</v>
      </c>
      <c r="E2285" s="9">
        <f ca="1">IFERROR(__xludf.DUMMYFUNCTION("""COMPUTED_VALUE"""),38428)</f>
        <v>38428</v>
      </c>
      <c r="F2285" s="8" t="str">
        <f ca="1">IFERROR(__xludf.DUMMYFUNCTION("""COMPUTED_VALUE"""),"Locke High School")</f>
        <v>Locke High School</v>
      </c>
      <c r="G2285" s="8">
        <f ca="1">IFERROR(__xludf.DUMMYFUNCTION("""COMPUTED_VALUE"""),1)</f>
        <v>1</v>
      </c>
      <c r="H2285" s="8">
        <f ca="1">IFERROR(__xludf.DUMMYFUNCTION("""COMPUTED_VALUE"""),0)</f>
        <v>0</v>
      </c>
      <c r="I2285" s="8">
        <f ca="1">IFERROR(__xludf.DUMMYFUNCTION("""COMPUTED_VALUE"""),1)</f>
        <v>1</v>
      </c>
      <c r="J2285" s="8">
        <f ca="1">IFERROR(__xludf.DUMMYFUNCTION("""COMPUTED_VALUE"""),0)</f>
        <v>0</v>
      </c>
      <c r="K2285" s="8" t="str">
        <f ca="1">IFERROR(__xludf.DUMMYFUNCTION("""COMPUTED_VALUE"""),"http://www.lapdonline.org/southeast_news/news_view/19955 . http://www.sandiegouniontribune.com/sdut-alleged-gang-member-charged-in-15-year-old-girls-2005mar23-story.html . http://articles.latimes.com/2006/aug/02/local/me-briefs2.5 . https://www.gettyimage"&amp;"s.com/detail/news-photo/dejuan-hines-an-18yearold-alleged-gang-member-is-news-photo/564016599#/dejuan-hines-an-18yearold-alleged-gang-member-is-arraigned-for-in-picture-id564016599")</f>
        <v>http://www.lapdonline.org/southeast_news/news_view/19955 . http://www.sandiegouniontribune.com/sdut-alleged-gang-member-charged-in-15-year-old-girls-2005mar23-story.html . http://articles.latimes.com/2006/aug/02/local/me-briefs2.5 . https://www.gettyimages.com/detail/news-photo/dejuan-hines-an-18yearold-alleged-gang-member-is-news-photo/564016599#/dejuan-hines-an-18yearold-alleged-gang-member-is-arraigned-for-in-picture-id564016599</v>
      </c>
      <c r="L2285" s="8"/>
      <c r="M2285" s="8"/>
      <c r="N2285" s="8">
        <f ca="1">IFERROR(__xludf.DUMMYFUNCTION("""COMPUTED_VALUE"""),3)</f>
        <v>3</v>
      </c>
      <c r="O2285" s="8" t="str">
        <f ca="1">IFERROR(__xludf.DUMMYFUNCTION("""COMPUTED_VALUE"""),"Spring")</f>
        <v>Spring</v>
      </c>
      <c r="P2285" s="8" t="str">
        <f ca="1">IFERROR(__xludf.DUMMYFUNCTION("""COMPUTED_VALUE"""),"Los Angeles")</f>
        <v>Los Angeles</v>
      </c>
      <c r="Q2285" s="8" t="str">
        <f ca="1">IFERROR(__xludf.DUMMYFUNCTION("""COMPUTED_VALUE"""),"CA")</f>
        <v>CA</v>
      </c>
      <c r="R2285" s="8" t="str">
        <f ca="1">IFERROR(__xludf.DUMMYFUNCTION("""COMPUTED_VALUE"""),"High")</f>
        <v>High</v>
      </c>
      <c r="S2285" s="8" t="str">
        <f ca="1">IFERROR(__xludf.DUMMYFUNCTION("""COMPUTED_VALUE"""),"Beside Building")</f>
        <v>Beside Building</v>
      </c>
      <c r="T2285" s="8" t="str">
        <f ca="1">IFERROR(__xludf.DUMMYFUNCTION("""COMPUTED_VALUE"""),"Outside on School Property")</f>
        <v>Outside on School Property</v>
      </c>
      <c r="U2285" s="8" t="str">
        <f ca="1">IFERROR(__xludf.DUMMYFUNCTION("""COMPUTED_VALUE"""),"Yes")</f>
        <v>Yes</v>
      </c>
      <c r="V2285" s="8" t="str">
        <f ca="1">IFERROR(__xludf.DUMMYFUNCTION("""COMPUTED_VALUE"""),"Dismissal")</f>
        <v>Dismissal</v>
      </c>
      <c r="W2285" s="11">
        <f ca="1">IFERROR(__xludf.DUMMYFUNCTION("""COMPUTED_VALUE"""),0.625)</f>
        <v>0.625</v>
      </c>
      <c r="X2285" s="8">
        <f ca="1">IFERROR(__xludf.DUMMYFUNCTION("""COMPUTED_VALUE"""),1)</f>
        <v>1</v>
      </c>
      <c r="Y2285" s="12" t="str">
        <f ca="1">IFERROR(__xludf.DUMMYFUNCTION("""COMPUTED_VALUE"""),"Victim accidentally caught in cross fire of gang related shooting")</f>
        <v>Victim accidentally caught in cross fire of gang related shooting</v>
      </c>
      <c r="Z2285" s="12" t="str">
        <f ca="1">IFERROR(__xludf.DUMMYFUNCTION("""COMPUTED_VALUE"""),"Victim was accidently stuck by a bullet fired from 18 shooter who was involved in a gang related shooting. Shooter later arrested and charged. Victim died 8 days later.")</f>
        <v>Victim was accidently stuck by a bullet fired from 18 shooter who was involved in a gang related shooting. Shooter later arrested and charged. Victim died 8 days later.</v>
      </c>
      <c r="AA2285" s="8" t="str">
        <f ca="1">IFERROR(__xludf.DUMMYFUNCTION("""COMPUTED_VALUE"""),"Escalation of Dispute")</f>
        <v>Escalation of Dispute</v>
      </c>
      <c r="AB2285" s="8"/>
      <c r="AC2285" s="8"/>
      <c r="AD2285" s="8"/>
      <c r="AE2285" s="8" t="str">
        <f ca="1">IFERROR(__xludf.DUMMYFUNCTION("""COMPUTED_VALUE"""),"No")</f>
        <v>No</v>
      </c>
      <c r="AF2285" s="8"/>
      <c r="AG2285" s="8" t="str">
        <f ca="1">IFERROR(__xludf.DUMMYFUNCTION("""COMPUTED_VALUE"""),"No")</f>
        <v>No</v>
      </c>
      <c r="AH2285" s="8" t="str">
        <f ca="1">IFERROR(__xludf.DUMMYFUNCTION("""COMPUTED_VALUE"""),"No")</f>
        <v>No</v>
      </c>
      <c r="AI2285" s="8" t="str">
        <f ca="1">IFERROR(__xludf.DUMMYFUNCTION("""COMPUTED_VALUE"""),"No")</f>
        <v>No</v>
      </c>
      <c r="AJ2285" s="8" t="str">
        <f ca="1">IFERROR(__xludf.DUMMYFUNCTION("""COMPUTED_VALUE"""),"No")</f>
        <v>No</v>
      </c>
      <c r="AK2285" s="8" t="str">
        <f ca="1">IFERROR(__xludf.DUMMYFUNCTION("""COMPUTED_VALUE"""),"No")</f>
        <v>No</v>
      </c>
      <c r="AL2285" s="8" t="str">
        <f ca="1">IFERROR(__xludf.DUMMYFUNCTION("""COMPUTED_VALUE"""),"Yes")</f>
        <v>Yes</v>
      </c>
      <c r="AM2285" s="8"/>
      <c r="AN2285" s="8"/>
      <c r="AO2285" s="8" t="str">
        <f ca="1">IFERROR(__xludf.DUMMYFUNCTION("""COMPUTED_VALUE"""),"No")</f>
        <v>No</v>
      </c>
      <c r="AP2285" s="8"/>
      <c r="AQ2285" s="8" t="str">
        <f ca="1">IFERROR(__xludf.DUMMYFUNCTION("""COMPUTED_VALUE"""),"Unknown")</f>
        <v>Unknown</v>
      </c>
      <c r="AR2285" s="8" t="str">
        <f ca="1">IFERROR(__xludf.DUMMYFUNCTION("""COMPUTED_VALUE"""),"NA")</f>
        <v>NA</v>
      </c>
      <c r="AS2285" s="8">
        <f ca="1">IFERROR(__xludf.DUMMYFUNCTION("""COMPUTED_VALUE"""),1)</f>
        <v>1</v>
      </c>
      <c r="AT2285" s="8"/>
      <c r="AU2285" s="8">
        <f ca="1">IFERROR(__xludf.DUMMYFUNCTION("""COMPUTED_VALUE"""),33.935621)</f>
        <v>33.935620999999998</v>
      </c>
      <c r="AV2285" s="8">
        <f ca="1">IFERROR(__xludf.DUMMYFUNCTION("""COMPUTED_VALUE"""),-118.268256)</f>
        <v>-118.26825599999999</v>
      </c>
      <c r="AW2285" s="8"/>
      <c r="AX2285" s="8">
        <f ca="1">IFERROR(__xludf.DUMMYFUNCTION("""COMPUTED_VALUE"""),90061)</f>
        <v>90061</v>
      </c>
    </row>
    <row r="2286" spans="1:50" ht="90" x14ac:dyDescent="0.2">
      <c r="A2286" s="8" t="str">
        <f ca="1">IFERROR(__xludf.DUMMYFUNCTION("""COMPUTED_VALUE"""),"20050316PACAP")</f>
        <v>20050316PACAP</v>
      </c>
      <c r="B2286" s="8">
        <f ca="1">IFERROR(__xludf.DUMMYFUNCTION("""COMPUTED_VALUE"""),3)</f>
        <v>3</v>
      </c>
      <c r="C2286" s="8">
        <f ca="1">IFERROR(__xludf.DUMMYFUNCTION("""COMPUTED_VALUE"""),16)</f>
        <v>16</v>
      </c>
      <c r="D2286" s="8">
        <f ca="1">IFERROR(__xludf.DUMMYFUNCTION("""COMPUTED_VALUE"""),2005)</f>
        <v>2005</v>
      </c>
      <c r="E2286" s="9">
        <f ca="1">IFERROR(__xludf.DUMMYFUNCTION("""COMPUTED_VALUE"""),38427)</f>
        <v>38427</v>
      </c>
      <c r="F2286" s="8" t="str">
        <f ca="1">IFERROR(__xludf.DUMMYFUNCTION("""COMPUTED_VALUE"""),"Carrick High School")</f>
        <v>Carrick High School</v>
      </c>
      <c r="G2286" s="8">
        <f ca="1">IFERROR(__xludf.DUMMYFUNCTION("""COMPUTED_VALUE"""),1)</f>
        <v>1</v>
      </c>
      <c r="H2286" s="8">
        <f ca="1">IFERROR(__xludf.DUMMYFUNCTION("""COMPUTED_VALUE"""),2)</f>
        <v>2</v>
      </c>
      <c r="I2286" s="8">
        <f ca="1">IFERROR(__xludf.DUMMYFUNCTION("""COMPUTED_VALUE"""),3)</f>
        <v>3</v>
      </c>
      <c r="J2286" s="8">
        <f ca="1">IFERROR(__xludf.DUMMYFUNCTION("""COMPUTED_VALUE"""),0)</f>
        <v>0</v>
      </c>
      <c r="K2286" s="10" t="str">
        <f ca="1">IFERROR(__xludf.DUMMYFUNCTION("""COMPUTED_VALUE"""),"http://www.post-gazette.com/local/city/2007/05/02/Dueling-snitches-muddy-trial-in-Carrick-High-School-killing/stories/200705020345")</f>
        <v>http://www.post-gazette.com/local/city/2007/05/02/Dueling-snitches-muddy-trial-in-Carrick-High-School-killing/stories/200705020345</v>
      </c>
      <c r="L2286" s="8"/>
      <c r="M2286" s="8"/>
      <c r="N2286" s="8">
        <f ca="1">IFERROR(__xludf.DUMMYFUNCTION("""COMPUTED_VALUE"""),2)</f>
        <v>2</v>
      </c>
      <c r="O2286" s="8" t="str">
        <f ca="1">IFERROR(__xludf.DUMMYFUNCTION("""COMPUTED_VALUE"""),"Spring")</f>
        <v>Spring</v>
      </c>
      <c r="P2286" s="8" t="str">
        <f ca="1">IFERROR(__xludf.DUMMYFUNCTION("""COMPUTED_VALUE"""),"Pittsburgh")</f>
        <v>Pittsburgh</v>
      </c>
      <c r="Q2286" s="8" t="str">
        <f ca="1">IFERROR(__xludf.DUMMYFUNCTION("""COMPUTED_VALUE"""),"PA")</f>
        <v>PA</v>
      </c>
      <c r="R2286" s="8" t="str">
        <f ca="1">IFERROR(__xludf.DUMMYFUNCTION("""COMPUTED_VALUE"""),"High")</f>
        <v>High</v>
      </c>
      <c r="S2286" s="8" t="str">
        <f ca="1">IFERROR(__xludf.DUMMYFUNCTION("""COMPUTED_VALUE"""),"Parking Lot")</f>
        <v>Parking Lot</v>
      </c>
      <c r="T2286" s="8" t="str">
        <f ca="1">IFERROR(__xludf.DUMMYFUNCTION("""COMPUTED_VALUE"""),"Outside on School Property")</f>
        <v>Outside on School Property</v>
      </c>
      <c r="U2286" s="8" t="str">
        <f ca="1">IFERROR(__xludf.DUMMYFUNCTION("""COMPUTED_VALUE"""),"Yes")</f>
        <v>Yes</v>
      </c>
      <c r="V2286" s="8" t="str">
        <f ca="1">IFERROR(__xludf.DUMMYFUNCTION("""COMPUTED_VALUE"""),"Dismissal")</f>
        <v>Dismissal</v>
      </c>
      <c r="W2286" s="11">
        <f ca="1">IFERROR(__xludf.DUMMYFUNCTION("""COMPUTED_VALUE"""),0.581944444444444)</f>
        <v>0.58194444444444404</v>
      </c>
      <c r="X2286" s="8">
        <f ca="1">IFERROR(__xludf.DUMMYFUNCTION("""COMPUTED_VALUE"""),1)</f>
        <v>1</v>
      </c>
      <c r="Y2286" s="12" t="str">
        <f ca="1">IFERROR(__xludf.DUMMYFUNCTION("""COMPUTED_VALUE"""),"Drive-by in retaliation for prior shooting")</f>
        <v>Drive-by in retaliation for prior shooting</v>
      </c>
      <c r="Z2286" s="12" t="str">
        <f ca="1">IFERROR(__xludf.DUMMYFUNCTION("""COMPUTED_VALUE"""),"Three males (17, 21, 22) fired an AK47 at a vehicle in the school parking lot occupied by 3 students. Shooting was related to a prior shooting between the groups of males. One student was killed and two were injured. Shooter fled and were later arrested. "&amp;"During the trail, a key witness was murdered. Unclear if gangs are involved.")</f>
        <v>Three males (17, 21, 22) fired an AK47 at a vehicle in the school parking lot occupied by 3 students. Shooting was related to a prior shooting between the groups of males. One student was killed and two were injured. Shooter fled and were later arrested. During the trail, a key witness was murdered. Unclear if gangs are involved.</v>
      </c>
      <c r="AA2286" s="8" t="str">
        <f ca="1">IFERROR(__xludf.DUMMYFUNCTION("""COMPUTED_VALUE"""),"Drive-by Shooting")</f>
        <v>Drive-by Shooting</v>
      </c>
      <c r="AB2286" s="8"/>
      <c r="AC2286" s="8"/>
      <c r="AD2286" s="8" t="str">
        <f ca="1">IFERROR(__xludf.DUMMYFUNCTION("""COMPUTED_VALUE"""),"Victims Targeted")</f>
        <v>Victims Targeted</v>
      </c>
      <c r="AE2286" s="8" t="str">
        <f ca="1">IFERROR(__xludf.DUMMYFUNCTION("""COMPUTED_VALUE"""),"Yes")</f>
        <v>Yes</v>
      </c>
      <c r="AF2286" s="8" t="str">
        <f ca="1">IFERROR(__xludf.DUMMYFUNCTION("""COMPUTED_VALUE"""),"3 males in car during shooting")</f>
        <v>3 males in car during shooting</v>
      </c>
      <c r="AG2286" s="8" t="str">
        <f ca="1">IFERROR(__xludf.DUMMYFUNCTION("""COMPUTED_VALUE"""),"No")</f>
        <v>No</v>
      </c>
      <c r="AH2286" s="8" t="str">
        <f ca="1">IFERROR(__xludf.DUMMYFUNCTION("""COMPUTED_VALUE"""),"No")</f>
        <v>No</v>
      </c>
      <c r="AI2286" s="8" t="str">
        <f ca="1">IFERROR(__xludf.DUMMYFUNCTION("""COMPUTED_VALUE"""),"No")</f>
        <v>No</v>
      </c>
      <c r="AJ2286" s="8" t="str">
        <f ca="1">IFERROR(__xludf.DUMMYFUNCTION("""COMPUTED_VALUE"""),"No")</f>
        <v>No</v>
      </c>
      <c r="AK2286" s="8" t="str">
        <f ca="1">IFERROR(__xludf.DUMMYFUNCTION("""COMPUTED_VALUE"""),"No")</f>
        <v>No</v>
      </c>
      <c r="AL2286" s="8" t="str">
        <f ca="1">IFERROR(__xludf.DUMMYFUNCTION("""COMPUTED_VALUE"""),"Yes")</f>
        <v>Yes</v>
      </c>
      <c r="AM2286" s="8"/>
      <c r="AN2286" s="8"/>
      <c r="AO2286" s="8" t="str">
        <f ca="1">IFERROR(__xludf.DUMMYFUNCTION("""COMPUTED_VALUE"""),"No")</f>
        <v>No</v>
      </c>
      <c r="AP2286" s="8"/>
      <c r="AQ2286" s="8" t="str">
        <f ca="1">IFERROR(__xludf.DUMMYFUNCTION("""COMPUTED_VALUE"""),"Unknown")</f>
        <v>Unknown</v>
      </c>
      <c r="AR2286" s="8" t="str">
        <f ca="1">IFERROR(__xludf.DUMMYFUNCTION("""COMPUTED_VALUE"""),"NA")</f>
        <v>NA</v>
      </c>
      <c r="AS2286" s="8">
        <f ca="1">IFERROR(__xludf.DUMMYFUNCTION("""COMPUTED_VALUE"""),7)</f>
        <v>7</v>
      </c>
      <c r="AT2286" s="8"/>
      <c r="AU2286" s="8">
        <f ca="1">IFERROR(__xludf.DUMMYFUNCTION("""COMPUTED_VALUE"""),40.391026)</f>
        <v>40.391025999999997</v>
      </c>
      <c r="AV2286" s="8">
        <f ca="1">IFERROR(__xludf.DUMMYFUNCTION("""COMPUTED_VALUE"""),-79.989534)</f>
        <v>-79.989534000000006</v>
      </c>
      <c r="AW2286" s="8"/>
      <c r="AX2286" s="8">
        <f ca="1">IFERROR(__xludf.DUMMYFUNCTION("""COMPUTED_VALUE"""),15210)</f>
        <v>15210</v>
      </c>
    </row>
    <row r="2287" spans="1:50" ht="45" x14ac:dyDescent="0.2">
      <c r="A2287" s="8" t="str">
        <f ca="1">IFERROR(__xludf.DUMMYFUNCTION("""COMPUTED_VALUE"""),"20050314OHLEC")</f>
        <v>20050314OHLEC</v>
      </c>
      <c r="B2287" s="8">
        <f ca="1">IFERROR(__xludf.DUMMYFUNCTION("""COMPUTED_VALUE"""),3)</f>
        <v>3</v>
      </c>
      <c r="C2287" s="8">
        <f ca="1">IFERROR(__xludf.DUMMYFUNCTION("""COMPUTED_VALUE"""),14)</f>
        <v>14</v>
      </c>
      <c r="D2287" s="8">
        <f ca="1">IFERROR(__xludf.DUMMYFUNCTION("""COMPUTED_VALUE"""),2005)</f>
        <v>2005</v>
      </c>
      <c r="E2287" s="9">
        <f ca="1">IFERROR(__xludf.DUMMYFUNCTION("""COMPUTED_VALUE"""),38425)</f>
        <v>38425</v>
      </c>
      <c r="F2287" s="8" t="str">
        <f ca="1">IFERROR(__xludf.DUMMYFUNCTION("""COMPUTED_VALUE"""),"Leawood Elementary School")</f>
        <v>Leawood Elementary School</v>
      </c>
      <c r="G2287" s="8">
        <f ca="1">IFERROR(__xludf.DUMMYFUNCTION("""COMPUTED_VALUE"""),0)</f>
        <v>0</v>
      </c>
      <c r="H2287" s="8">
        <f ca="1">IFERROR(__xludf.DUMMYFUNCTION("""COMPUTED_VALUE"""),1)</f>
        <v>1</v>
      </c>
      <c r="I2287" s="8">
        <f ca="1">IFERROR(__xludf.DUMMYFUNCTION("""COMPUTED_VALUE"""),1)</f>
        <v>1</v>
      </c>
      <c r="J2287" s="8">
        <f ca="1">IFERROR(__xludf.DUMMYFUNCTION("""COMPUTED_VALUE"""),0)</f>
        <v>0</v>
      </c>
      <c r="K2287" s="10" t="str">
        <f ca="1">IFERROR(__xludf.DUMMYFUNCTION("""COMPUTED_VALUE"""),"https://www.bgfalconmedia.com/fourth-grader-injured-after-toting-gun-to-school/article_b41044bf-61db-5b3a-a623-89b6ca62a191.html")</f>
        <v>https://www.bgfalconmedia.com/fourth-grader-injured-after-toting-gun-to-school/article_b41044bf-61db-5b3a-a623-89b6ca62a191.html</v>
      </c>
      <c r="L2287" s="8"/>
      <c r="M2287" s="8"/>
      <c r="N2287" s="8">
        <f ca="1">IFERROR(__xludf.DUMMYFUNCTION("""COMPUTED_VALUE"""),2)</f>
        <v>2</v>
      </c>
      <c r="O2287" s="8" t="str">
        <f ca="1">IFERROR(__xludf.DUMMYFUNCTION("""COMPUTED_VALUE"""),"Spring")</f>
        <v>Spring</v>
      </c>
      <c r="P2287" s="8" t="str">
        <f ca="1">IFERROR(__xludf.DUMMYFUNCTION("""COMPUTED_VALUE"""),"Columbus")</f>
        <v>Columbus</v>
      </c>
      <c r="Q2287" s="8" t="str">
        <f ca="1">IFERROR(__xludf.DUMMYFUNCTION("""COMPUTED_VALUE"""),"OH")</f>
        <v>OH</v>
      </c>
      <c r="R2287" s="8" t="str">
        <f ca="1">IFERROR(__xludf.DUMMYFUNCTION("""COMPUTED_VALUE"""),"Elementary")</f>
        <v>Elementary</v>
      </c>
      <c r="S2287" s="8" t="str">
        <f ca="1">IFERROR(__xludf.DUMMYFUNCTION("""COMPUTED_VALUE"""),"Classroom")</f>
        <v>Classroom</v>
      </c>
      <c r="T2287" s="8" t="str">
        <f ca="1">IFERROR(__xludf.DUMMYFUNCTION("""COMPUTED_VALUE"""),"Inside School Building")</f>
        <v>Inside School Building</v>
      </c>
      <c r="U2287" s="8" t="str">
        <f ca="1">IFERROR(__xludf.DUMMYFUNCTION("""COMPUTED_VALUE"""),"Yes")</f>
        <v>Yes</v>
      </c>
      <c r="V2287" s="8" t="str">
        <f ca="1">IFERROR(__xludf.DUMMYFUNCTION("""COMPUTED_VALUE"""),"Morning Classes")</f>
        <v>Morning Classes</v>
      </c>
      <c r="W2287" s="11">
        <f ca="1">IFERROR(__xludf.DUMMYFUNCTION("""COMPUTED_VALUE"""),0.375)</f>
        <v>0.375</v>
      </c>
      <c r="X2287" s="8">
        <f ca="1">IFERROR(__xludf.DUMMYFUNCTION("""COMPUTED_VALUE"""),1)</f>
        <v>1</v>
      </c>
      <c r="Y2287" s="12" t="str">
        <f ca="1">IFERROR(__xludf.DUMMYFUNCTION("""COMPUTED_VALUE"""),"Student showing off gun in classroom shot himself in hand")</f>
        <v>Student showing off gun in classroom shot himself in hand</v>
      </c>
      <c r="Z2287" s="12" t="str">
        <f ca="1">IFERROR(__xludf.DUMMYFUNCTION("""COMPUTED_VALUE"""),"7YOM was showing off gun in classroom and shot himself in the hand putting it into his backpack.")</f>
        <v>7YOM was showing off gun in classroom and shot himself in the hand putting it into his backpack.</v>
      </c>
      <c r="AA2287" s="8" t="str">
        <f ca="1">IFERROR(__xludf.DUMMYFUNCTION("""COMPUTED_VALUE"""),"Accidental")</f>
        <v>Accidental</v>
      </c>
      <c r="AB2287" s="8"/>
      <c r="AC2287" s="8"/>
      <c r="AD2287" s="8" t="str">
        <f ca="1">IFERROR(__xludf.DUMMYFUNCTION("""COMPUTED_VALUE"""),"Random Shooting")</f>
        <v>Random Shooting</v>
      </c>
      <c r="AE2287" s="8" t="str">
        <f ca="1">IFERROR(__xludf.DUMMYFUNCTION("""COMPUTED_VALUE"""),"No")</f>
        <v>No</v>
      </c>
      <c r="AF2287" s="8"/>
      <c r="AG2287" s="8" t="str">
        <f ca="1">IFERROR(__xludf.DUMMYFUNCTION("""COMPUTED_VALUE"""),"No")</f>
        <v>No</v>
      </c>
      <c r="AH2287" s="8" t="str">
        <f ca="1">IFERROR(__xludf.DUMMYFUNCTION("""COMPUTED_VALUE"""),"No")</f>
        <v>No</v>
      </c>
      <c r="AI2287" s="8" t="str">
        <f ca="1">IFERROR(__xludf.DUMMYFUNCTION("""COMPUTED_VALUE"""),"No")</f>
        <v>No</v>
      </c>
      <c r="AJ2287" s="8" t="str">
        <f ca="1">IFERROR(__xludf.DUMMYFUNCTION("""COMPUTED_VALUE"""),"No")</f>
        <v>No</v>
      </c>
      <c r="AK2287" s="8" t="str">
        <f ca="1">IFERROR(__xludf.DUMMYFUNCTION("""COMPUTED_VALUE"""),"No")</f>
        <v>No</v>
      </c>
      <c r="AL2287" s="8" t="str">
        <f ca="1">IFERROR(__xludf.DUMMYFUNCTION("""COMPUTED_VALUE"""),"No")</f>
        <v>No</v>
      </c>
      <c r="AM2287" s="8"/>
      <c r="AN2287" s="8"/>
      <c r="AO2287" s="8" t="str">
        <f ca="1">IFERROR(__xludf.DUMMYFUNCTION("""COMPUTED_VALUE"""),"No")</f>
        <v>No</v>
      </c>
      <c r="AP2287" s="8"/>
      <c r="AQ2287" s="8" t="str">
        <f ca="1">IFERROR(__xludf.DUMMYFUNCTION("""COMPUTED_VALUE"""),"Unknown")</f>
        <v>Unknown</v>
      </c>
      <c r="AR2287" s="8" t="str">
        <f ca="1">IFERROR(__xludf.DUMMYFUNCTION("""COMPUTED_VALUE"""),"NA")</f>
        <v>NA</v>
      </c>
      <c r="AS2287" s="8">
        <f ca="1">IFERROR(__xludf.DUMMYFUNCTION("""COMPUTED_VALUE"""),1)</f>
        <v>1</v>
      </c>
      <c r="AT2287" s="8"/>
      <c r="AU2287" s="8">
        <f ca="1">IFERROR(__xludf.DUMMYFUNCTION("""COMPUTED_VALUE"""),39.940161)</f>
        <v>39.940161000000003</v>
      </c>
      <c r="AV2287" s="8">
        <f ca="1">IFERROR(__xludf.DUMMYFUNCTION("""COMPUTED_VALUE"""),-82.879115)</f>
        <v>-82.879114999999999</v>
      </c>
      <c r="AW2287" s="8"/>
      <c r="AX2287" s="8">
        <f ca="1">IFERROR(__xludf.DUMMYFUNCTION("""COMPUTED_VALUE"""),43227)</f>
        <v>43227</v>
      </c>
    </row>
    <row r="2288" spans="1:50" ht="105" x14ac:dyDescent="0.2">
      <c r="A2288" s="8" t="str">
        <f ca="1">IFERROR(__xludf.DUMMYFUNCTION("""COMPUTED_VALUE"""),"20050310TXZAD")</f>
        <v>20050310TXZAD</v>
      </c>
      <c r="B2288" s="8">
        <f ca="1">IFERROR(__xludf.DUMMYFUNCTION("""COMPUTED_VALUE"""),3)</f>
        <v>3</v>
      </c>
      <c r="C2288" s="8">
        <f ca="1">IFERROR(__xludf.DUMMYFUNCTION("""COMPUTED_VALUE"""),10)</f>
        <v>10</v>
      </c>
      <c r="D2288" s="8">
        <f ca="1">IFERROR(__xludf.DUMMYFUNCTION("""COMPUTED_VALUE"""),2005)</f>
        <v>2005</v>
      </c>
      <c r="E2288" s="9">
        <f ca="1">IFERROR(__xludf.DUMMYFUNCTION("""COMPUTED_VALUE"""),38421)</f>
        <v>38421</v>
      </c>
      <c r="F2288" s="8" t="str">
        <f ca="1">IFERROR(__xludf.DUMMYFUNCTION("""COMPUTED_VALUE"""),"Zaragoza Elementary School")</f>
        <v>Zaragoza Elementary School</v>
      </c>
      <c r="G2288" s="8">
        <f ca="1">IFERROR(__xludf.DUMMYFUNCTION("""COMPUTED_VALUE"""),0)</f>
        <v>0</v>
      </c>
      <c r="H2288" s="8">
        <f ca="1">IFERROR(__xludf.DUMMYFUNCTION("""COMPUTED_VALUE"""),1)</f>
        <v>1</v>
      </c>
      <c r="I2288" s="8">
        <f ca="1">IFERROR(__xludf.DUMMYFUNCTION("""COMPUTED_VALUE"""),1)</f>
        <v>1</v>
      </c>
      <c r="J2288" s="8">
        <f ca="1">IFERROR(__xludf.DUMMYFUNCTION("""COMPUTED_VALUE"""),0)</f>
        <v>0</v>
      </c>
      <c r="K2288" s="10" t="str">
        <f ca="1">IFERROR(__xludf.DUMMYFUNCTION("""COMPUTED_VALUE"""),"https://www.columbine-angels.com/School_Violence_2004-2005.htm")</f>
        <v>https://www.columbine-angels.com/School_Violence_2004-2005.htm</v>
      </c>
      <c r="L2288" s="8"/>
      <c r="M2288" s="8"/>
      <c r="N2288" s="8">
        <f ca="1">IFERROR(__xludf.DUMMYFUNCTION("""COMPUTED_VALUE"""),1)</f>
        <v>1</v>
      </c>
      <c r="O2288" s="8" t="str">
        <f ca="1">IFERROR(__xludf.DUMMYFUNCTION("""COMPUTED_VALUE"""),"Spring")</f>
        <v>Spring</v>
      </c>
      <c r="P2288" s="8" t="str">
        <f ca="1">IFERROR(__xludf.DUMMYFUNCTION("""COMPUTED_VALUE"""),"Dallas")</f>
        <v>Dallas</v>
      </c>
      <c r="Q2288" s="8" t="str">
        <f ca="1">IFERROR(__xludf.DUMMYFUNCTION("""COMPUTED_VALUE"""),"TX")</f>
        <v>TX</v>
      </c>
      <c r="R2288" s="8" t="str">
        <f ca="1">IFERROR(__xludf.DUMMYFUNCTION("""COMPUTED_VALUE"""),"Elementary")</f>
        <v>Elementary</v>
      </c>
      <c r="S2288" s="8" t="str">
        <f ca="1">IFERROR(__xludf.DUMMYFUNCTION("""COMPUTED_VALUE"""),"Parking Lot")</f>
        <v>Parking Lot</v>
      </c>
      <c r="T2288" s="8" t="str">
        <f ca="1">IFERROR(__xludf.DUMMYFUNCTION("""COMPUTED_VALUE"""),"Outside on School Property")</f>
        <v>Outside on School Property</v>
      </c>
      <c r="U2288" s="8" t="str">
        <f ca="1">IFERROR(__xludf.DUMMYFUNCTION("""COMPUTED_VALUE"""),"No")</f>
        <v>No</v>
      </c>
      <c r="V2288" s="8" t="str">
        <f ca="1">IFERROR(__xludf.DUMMYFUNCTION("""COMPUTED_VALUE"""),"Evening")</f>
        <v>Evening</v>
      </c>
      <c r="W2288" s="11">
        <f ca="1">IFERROR(__xludf.DUMMYFUNCTION("""COMPUTED_VALUE"""),0.770833333333333)</f>
        <v>0.77083333333333304</v>
      </c>
      <c r="X2288" s="8">
        <f ca="1">IFERROR(__xludf.DUMMYFUNCTION("""COMPUTED_VALUE"""),1)</f>
        <v>1</v>
      </c>
      <c r="Y2288" s="12" t="str">
        <f ca="1">IFERROR(__xludf.DUMMYFUNCTION("""COMPUTED_VALUE"""),"Drive-by when people were leaving meeting at school")</f>
        <v>Drive-by when people were leaving meeting at school</v>
      </c>
      <c r="Z2288" s="12" t="str">
        <f ca="1">IFERROR(__xludf.DUMMYFUNCTION("""COMPUTED_VALUE"""),"After a meeting at the school, the participants walked out onto the grounds and into the parking lot to their vehicles.  As they mingled, a car pulled up on the street and the driver stuck his arm out the window with a handgun and opened fire on one of th"&amp;"e groups. A Dallas City Parks and Recreation Department employee was grazed in the leg leg.")</f>
        <v>After a meeting at the school, the participants walked out onto the grounds and into the parking lot to their vehicles.  As they mingled, a car pulled up on the street and the driver stuck his arm out the window with a handgun and opened fire on one of the groups. A Dallas City Parks and Recreation Department employee was grazed in the leg leg.</v>
      </c>
      <c r="AA2288" s="8" t="str">
        <f ca="1">IFERROR(__xludf.DUMMYFUNCTION("""COMPUTED_VALUE"""),"Drive-by Shooting")</f>
        <v>Drive-by Shooting</v>
      </c>
      <c r="AB2288" s="8"/>
      <c r="AC2288" s="8"/>
      <c r="AD2288" s="8"/>
      <c r="AE2288" s="8" t="str">
        <f ca="1">IFERROR(__xludf.DUMMYFUNCTION("""COMPUTED_VALUE"""),"No")</f>
        <v>No</v>
      </c>
      <c r="AF2288" s="8"/>
      <c r="AG2288" s="8" t="str">
        <f ca="1">IFERROR(__xludf.DUMMYFUNCTION("""COMPUTED_VALUE"""),"No")</f>
        <v>No</v>
      </c>
      <c r="AH2288" s="8" t="str">
        <f ca="1">IFERROR(__xludf.DUMMYFUNCTION("""COMPUTED_VALUE"""),"No")</f>
        <v>No</v>
      </c>
      <c r="AI2288" s="8" t="str">
        <f ca="1">IFERROR(__xludf.DUMMYFUNCTION("""COMPUTED_VALUE"""),"No")</f>
        <v>No</v>
      </c>
      <c r="AJ2288" s="8" t="str">
        <f ca="1">IFERROR(__xludf.DUMMYFUNCTION("""COMPUTED_VALUE"""),"No")</f>
        <v>No</v>
      </c>
      <c r="AK2288" s="8" t="str">
        <f ca="1">IFERROR(__xludf.DUMMYFUNCTION("""COMPUTED_VALUE"""),"No")</f>
        <v>No</v>
      </c>
      <c r="AL2288" s="8"/>
      <c r="AM2288" s="8"/>
      <c r="AN2288" s="8"/>
      <c r="AO2288" s="8" t="str">
        <f ca="1">IFERROR(__xludf.DUMMYFUNCTION("""COMPUTED_VALUE"""),"No")</f>
        <v>No</v>
      </c>
      <c r="AP2288" s="8"/>
      <c r="AQ2288" s="8" t="str">
        <f ca="1">IFERROR(__xludf.DUMMYFUNCTION("""COMPUTED_VALUE"""),"Unknown")</f>
        <v>Unknown</v>
      </c>
      <c r="AR2288" s="8" t="str">
        <f ca="1">IFERROR(__xludf.DUMMYFUNCTION("""COMPUTED_VALUE"""),"NA")</f>
        <v>NA</v>
      </c>
      <c r="AS2288" s="8" t="str">
        <f ca="1">IFERROR(__xludf.DUMMYFUNCTION("""COMPUTED_VALUE"""),"&lt;10")</f>
        <v>&lt;10</v>
      </c>
      <c r="AT2288" s="8"/>
      <c r="AU2288" s="8">
        <f ca="1">IFERROR(__xludf.DUMMYFUNCTION("""COMPUTED_VALUE"""),32.794926)</f>
        <v>32.794925999999997</v>
      </c>
      <c r="AV2288" s="8">
        <f ca="1">IFERROR(__xludf.DUMMYFUNCTION("""COMPUTED_VALUE"""),-96.770797)</f>
        <v>-96.770797000000002</v>
      </c>
      <c r="AW2288" s="8"/>
      <c r="AX2288" s="8">
        <f ca="1">IFERROR(__xludf.DUMMYFUNCTION("""COMPUTED_VALUE"""),75214)</f>
        <v>75214</v>
      </c>
    </row>
    <row r="2289" spans="1:50" ht="75" x14ac:dyDescent="0.2">
      <c r="A2289" s="8" t="str">
        <f ca="1">IFERROR(__xludf.DUMMYFUNCTION("""COMPUTED_VALUE"""),"20050309TNMAN")</f>
        <v>20050309TNMAN</v>
      </c>
      <c r="B2289" s="8">
        <f ca="1">IFERROR(__xludf.DUMMYFUNCTION("""COMPUTED_VALUE"""),3)</f>
        <v>3</v>
      </c>
      <c r="C2289" s="8">
        <f ca="1">IFERROR(__xludf.DUMMYFUNCTION("""COMPUTED_VALUE"""),9)</f>
        <v>9</v>
      </c>
      <c r="D2289" s="8">
        <f ca="1">IFERROR(__xludf.DUMMYFUNCTION("""COMPUTED_VALUE"""),2005)</f>
        <v>2005</v>
      </c>
      <c r="E2289" s="9">
        <f ca="1">IFERROR(__xludf.DUMMYFUNCTION("""COMPUTED_VALUE"""),38420)</f>
        <v>38420</v>
      </c>
      <c r="F2289" s="8" t="str">
        <f ca="1">IFERROR(__xludf.DUMMYFUNCTION("""COMPUTED_VALUE"""),"Maplewood Comprehensive High School")</f>
        <v>Maplewood Comprehensive High School</v>
      </c>
      <c r="G2289" s="8">
        <f ca="1">IFERROR(__xludf.DUMMYFUNCTION("""COMPUTED_VALUE"""),0)</f>
        <v>0</v>
      </c>
      <c r="H2289" s="8">
        <f ca="1">IFERROR(__xludf.DUMMYFUNCTION("""COMPUTED_VALUE"""),1)</f>
        <v>1</v>
      </c>
      <c r="I2289" s="8">
        <f ca="1">IFERROR(__xludf.DUMMYFUNCTION("""COMPUTED_VALUE"""),1)</f>
        <v>1</v>
      </c>
      <c r="J2289" s="8">
        <f ca="1">IFERROR(__xludf.DUMMYFUNCTION("""COMPUTED_VALUE"""),0)</f>
        <v>0</v>
      </c>
      <c r="K2289" s="10" t="str">
        <f ca="1">IFERROR(__xludf.DUMMYFUNCTION("""COMPUTED_VALUE"""),"https://www.columbine-angels.com/School_Violence_2004-2005.htm")</f>
        <v>https://www.columbine-angels.com/School_Violence_2004-2005.htm</v>
      </c>
      <c r="L2289" s="8"/>
      <c r="M2289" s="8"/>
      <c r="N2289" s="8">
        <f ca="1">IFERROR(__xludf.DUMMYFUNCTION("""COMPUTED_VALUE"""),1)</f>
        <v>1</v>
      </c>
      <c r="O2289" s="8" t="str">
        <f ca="1">IFERROR(__xludf.DUMMYFUNCTION("""COMPUTED_VALUE"""),"Spring")</f>
        <v>Spring</v>
      </c>
      <c r="P2289" s="8" t="str">
        <f ca="1">IFERROR(__xludf.DUMMYFUNCTION("""COMPUTED_VALUE"""),"Nashville")</f>
        <v>Nashville</v>
      </c>
      <c r="Q2289" s="8" t="str">
        <f ca="1">IFERROR(__xludf.DUMMYFUNCTION("""COMPUTED_VALUE"""),"TN")</f>
        <v>TN</v>
      </c>
      <c r="R2289" s="8" t="str">
        <f ca="1">IFERROR(__xludf.DUMMYFUNCTION("""COMPUTED_VALUE"""),"High")</f>
        <v>High</v>
      </c>
      <c r="S2289" s="8" t="str">
        <f ca="1">IFERROR(__xludf.DUMMYFUNCTION("""COMPUTED_VALUE"""),"Parking Lot")</f>
        <v>Parking Lot</v>
      </c>
      <c r="T2289" s="8" t="str">
        <f ca="1">IFERROR(__xludf.DUMMYFUNCTION("""COMPUTED_VALUE"""),"Outside on School Property")</f>
        <v>Outside on School Property</v>
      </c>
      <c r="U2289" s="8" t="str">
        <f ca="1">IFERROR(__xludf.DUMMYFUNCTION("""COMPUTED_VALUE"""),"Yes")</f>
        <v>Yes</v>
      </c>
      <c r="V2289" s="8" t="str">
        <f ca="1">IFERROR(__xludf.DUMMYFUNCTION("""COMPUTED_VALUE"""),"Dismissal")</f>
        <v>Dismissal</v>
      </c>
      <c r="W2289" s="11">
        <f ca="1">IFERROR(__xludf.DUMMYFUNCTION("""COMPUTED_VALUE"""),0.583333333333333)</f>
        <v>0.58333333333333304</v>
      </c>
      <c r="X2289" s="8">
        <f ca="1">IFERROR(__xludf.DUMMYFUNCTION("""COMPUTED_VALUE"""),1)</f>
        <v>1</v>
      </c>
      <c r="Y2289" s="12" t="str">
        <f ca="1">IFERROR(__xludf.DUMMYFUNCTION("""COMPUTED_VALUE"""),"Shots fired during argument between expelled student (shooter) and other students")</f>
        <v>Shots fired during argument between expelled student (shooter) and other students</v>
      </c>
      <c r="Z2289" s="12" t="str">
        <f ca="1">IFERROR(__xludf.DUMMYFUNCTION("""COMPUTED_VALUE"""),"16YOM shooter had been expelled from school. In the parking lot, he had a confrontation with 3 other students that resulted in a shooting.")</f>
        <v>16YOM shooter had been expelled from school. In the parking lot, he had a confrontation with 3 other students that resulted in a shooting.</v>
      </c>
      <c r="AA2289" s="8" t="str">
        <f ca="1">IFERROR(__xludf.DUMMYFUNCTION("""COMPUTED_VALUE"""),"Escalation of Dispute")</f>
        <v>Escalation of Dispute</v>
      </c>
      <c r="AB2289" s="8"/>
      <c r="AC2289" s="8"/>
      <c r="AD2289" s="8" t="str">
        <f ca="1">IFERROR(__xludf.DUMMYFUNCTION("""COMPUTED_VALUE"""),"Victims Targeted")</f>
        <v>Victims Targeted</v>
      </c>
      <c r="AE2289" s="8" t="str">
        <f ca="1">IFERROR(__xludf.DUMMYFUNCTION("""COMPUTED_VALUE"""),"No")</f>
        <v>No</v>
      </c>
      <c r="AF2289" s="8"/>
      <c r="AG2289" s="8" t="str">
        <f ca="1">IFERROR(__xludf.DUMMYFUNCTION("""COMPUTED_VALUE"""),"No")</f>
        <v>No</v>
      </c>
      <c r="AH2289" s="8" t="str">
        <f ca="1">IFERROR(__xludf.DUMMYFUNCTION("""COMPUTED_VALUE"""),"No")</f>
        <v>No</v>
      </c>
      <c r="AI2289" s="8" t="str">
        <f ca="1">IFERROR(__xludf.DUMMYFUNCTION("""COMPUTED_VALUE"""),"No")</f>
        <v>No</v>
      </c>
      <c r="AJ2289" s="8" t="str">
        <f ca="1">IFERROR(__xludf.DUMMYFUNCTION("""COMPUTED_VALUE"""),"No")</f>
        <v>No</v>
      </c>
      <c r="AK2289" s="8" t="str">
        <f ca="1">IFERROR(__xludf.DUMMYFUNCTION("""COMPUTED_VALUE"""),"No")</f>
        <v>No</v>
      </c>
      <c r="AL2289" s="8" t="str">
        <f ca="1">IFERROR(__xludf.DUMMYFUNCTION("""COMPUTED_VALUE"""),"No")</f>
        <v>No</v>
      </c>
      <c r="AM2289" s="8"/>
      <c r="AN2289" s="8"/>
      <c r="AO2289" s="8" t="str">
        <f ca="1">IFERROR(__xludf.DUMMYFUNCTION("""COMPUTED_VALUE"""),"No")</f>
        <v>No</v>
      </c>
      <c r="AP2289" s="8"/>
      <c r="AQ2289" s="8" t="str">
        <f ca="1">IFERROR(__xludf.DUMMYFUNCTION("""COMPUTED_VALUE"""),"Unknown")</f>
        <v>Unknown</v>
      </c>
      <c r="AR2289" s="8" t="str">
        <f ca="1">IFERROR(__xludf.DUMMYFUNCTION("""COMPUTED_VALUE"""),"NA")</f>
        <v>NA</v>
      </c>
      <c r="AS2289" s="8" t="str">
        <f ca="1">IFERROR(__xludf.DUMMYFUNCTION("""COMPUTED_VALUE"""),"&lt;10")</f>
        <v>&lt;10</v>
      </c>
      <c r="AT2289" s="8"/>
      <c r="AU2289" s="8">
        <f ca="1">IFERROR(__xludf.DUMMYFUNCTION("""COMPUTED_VALUE"""),36.232646)</f>
        <v>36.232646000000003</v>
      </c>
      <c r="AV2289" s="8">
        <f ca="1">IFERROR(__xludf.DUMMYFUNCTION("""COMPUTED_VALUE"""),-86.749934)</f>
        <v>-86.749933999999996</v>
      </c>
      <c r="AW2289" s="8"/>
      <c r="AX2289" s="8">
        <f ca="1">IFERROR(__xludf.DUMMYFUNCTION("""COMPUTED_VALUE"""),37216)</f>
        <v>37216</v>
      </c>
    </row>
    <row r="2290" spans="1:50" ht="105" x14ac:dyDescent="0.2">
      <c r="A2290" s="8" t="str">
        <f ca="1">IFERROR(__xludf.DUMMYFUNCTION("""COMPUTED_VALUE"""),"20050302TNSTD")</f>
        <v>20050302TNSTD</v>
      </c>
      <c r="B2290" s="8">
        <f ca="1">IFERROR(__xludf.DUMMYFUNCTION("""COMPUTED_VALUE"""),3)</f>
        <v>3</v>
      </c>
      <c r="C2290" s="8">
        <f ca="1">IFERROR(__xludf.DUMMYFUNCTION("""COMPUTED_VALUE"""),2)</f>
        <v>2</v>
      </c>
      <c r="D2290" s="8">
        <f ca="1">IFERROR(__xludf.DUMMYFUNCTION("""COMPUTED_VALUE"""),2005)</f>
        <v>2005</v>
      </c>
      <c r="E2290" s="9">
        <f ca="1">IFERROR(__xludf.DUMMYFUNCTION("""COMPUTED_VALUE"""),38413)</f>
        <v>38413</v>
      </c>
      <c r="F2290" s="8" t="str">
        <f ca="1">IFERROR(__xludf.DUMMYFUNCTION("""COMPUTED_VALUE"""),"Stewart County High School (bus)")</f>
        <v>Stewart County High School (bus)</v>
      </c>
      <c r="G2290" s="8">
        <f ca="1">IFERROR(__xludf.DUMMYFUNCTION("""COMPUTED_VALUE"""),1)</f>
        <v>1</v>
      </c>
      <c r="H2290" s="8">
        <f ca="1">IFERROR(__xludf.DUMMYFUNCTION("""COMPUTED_VALUE"""),0)</f>
        <v>0</v>
      </c>
      <c r="I2290" s="8">
        <f ca="1">IFERROR(__xludf.DUMMYFUNCTION("""COMPUTED_VALUE"""),1)</f>
        <v>1</v>
      </c>
      <c r="J2290" s="8">
        <f ca="1">IFERROR(__xludf.DUMMYFUNCTION("""COMPUTED_VALUE"""),0)</f>
        <v>0</v>
      </c>
      <c r="K2290" s="10" t="str">
        <f ca="1">IFERROR(__xludf.DUMMYFUNCTION("""COMPUTED_VALUE"""),"https://www.cbsnews.com/news/school-bus-driver-shot-to-death/")</f>
        <v>https://www.cbsnews.com/news/school-bus-driver-shot-to-death/</v>
      </c>
      <c r="L2290" s="8"/>
      <c r="M2290" s="8"/>
      <c r="N2290" s="8">
        <f ca="1">IFERROR(__xludf.DUMMYFUNCTION("""COMPUTED_VALUE"""),2)</f>
        <v>2</v>
      </c>
      <c r="O2290" s="8" t="str">
        <f ca="1">IFERROR(__xludf.DUMMYFUNCTION("""COMPUTED_VALUE"""),"Spring")</f>
        <v>Spring</v>
      </c>
      <c r="P2290" s="8" t="str">
        <f ca="1">IFERROR(__xludf.DUMMYFUNCTION("""COMPUTED_VALUE"""),"Dover")</f>
        <v>Dover</v>
      </c>
      <c r="Q2290" s="8" t="str">
        <f ca="1">IFERROR(__xludf.DUMMYFUNCTION("""COMPUTED_VALUE"""),"TN")</f>
        <v>TN</v>
      </c>
      <c r="R2290" s="8" t="str">
        <f ca="1">IFERROR(__xludf.DUMMYFUNCTION("""COMPUTED_VALUE"""),"High")</f>
        <v>High</v>
      </c>
      <c r="S2290" s="8" t="str">
        <f ca="1">IFERROR(__xludf.DUMMYFUNCTION("""COMPUTED_VALUE"""),"School Bus")</f>
        <v>School Bus</v>
      </c>
      <c r="T2290" s="8" t="str">
        <f ca="1">IFERROR(__xludf.DUMMYFUNCTION("""COMPUTED_VALUE"""),"School Bus")</f>
        <v>School Bus</v>
      </c>
      <c r="U2290" s="8" t="str">
        <f ca="1">IFERROR(__xludf.DUMMYFUNCTION("""COMPUTED_VALUE"""),"No")</f>
        <v>No</v>
      </c>
      <c r="V2290" s="8" t="str">
        <f ca="1">IFERROR(__xludf.DUMMYFUNCTION("""COMPUTED_VALUE"""),"Before School")</f>
        <v>Before School</v>
      </c>
      <c r="W2290" s="11">
        <f ca="1">IFERROR(__xludf.DUMMYFUNCTION("""COMPUTED_VALUE"""),0.260416666666666)</f>
        <v>0.26041666666666602</v>
      </c>
      <c r="X2290" s="8">
        <f ca="1">IFERROR(__xludf.DUMMYFUNCTION("""COMPUTED_VALUE"""),1)</f>
        <v>1</v>
      </c>
      <c r="Y2290" s="12" t="str">
        <f ca="1">IFERROR(__xludf.DUMMYFUNCTION("""COMPUTED_VALUE"""),"Killed bus driver because she had reported his tobacco use")</f>
        <v>Killed bus driver because she had reported his tobacco use</v>
      </c>
      <c r="Z2290" s="12" t="str">
        <f ca="1">IFERROR(__xludf.DUMMYFUNCTION("""COMPUTED_VALUE"""),"Shooter fired multiple shots killing the bus driver while the bus was on the way to school. The bus crashed into a utility pole but nobody was injured. The bus driver had reported the shooter for chewing tobacco on the bus. Shooter was a good student and "&amp;"had no history of violence. Shooter reported he was depressed, suicidal, and hearing voices at the time of the shooting.")</f>
        <v>Shooter fired multiple shots killing the bus driver while the bus was on the way to school. The bus crashed into a utility pole but nobody was injured. The bus driver had reported the shooter for chewing tobacco on the bus. Shooter was a good student and had no history of violence. Shooter reported he was depressed, suicidal, and hearing voices at the time of the shooting.</v>
      </c>
      <c r="AA2290" s="8" t="str">
        <f ca="1">IFERROR(__xludf.DUMMYFUNCTION("""COMPUTED_VALUE"""),"Anger Over Grade/Suspension/Discipline")</f>
        <v>Anger Over Grade/Suspension/Discipline</v>
      </c>
      <c r="AB2290" s="8"/>
      <c r="AC2290" s="8"/>
      <c r="AD2290" s="8" t="str">
        <f ca="1">IFERROR(__xludf.DUMMYFUNCTION("""COMPUTED_VALUE"""),"Victims Targeted")</f>
        <v>Victims Targeted</v>
      </c>
      <c r="AE2290" s="8" t="str">
        <f ca="1">IFERROR(__xludf.DUMMYFUNCTION("""COMPUTED_VALUE"""),"No")</f>
        <v>No</v>
      </c>
      <c r="AF2290" s="8"/>
      <c r="AG2290" s="8" t="str">
        <f ca="1">IFERROR(__xludf.DUMMYFUNCTION("""COMPUTED_VALUE"""),"No")</f>
        <v>No</v>
      </c>
      <c r="AH2290" s="8" t="str">
        <f ca="1">IFERROR(__xludf.DUMMYFUNCTION("""COMPUTED_VALUE"""),"No")</f>
        <v>No</v>
      </c>
      <c r="AI2290" s="8" t="str">
        <f ca="1">IFERROR(__xludf.DUMMYFUNCTION("""COMPUTED_VALUE"""),"No")</f>
        <v>No</v>
      </c>
      <c r="AJ2290" s="8" t="str">
        <f ca="1">IFERROR(__xludf.DUMMYFUNCTION("""COMPUTED_VALUE"""),"No")</f>
        <v>No</v>
      </c>
      <c r="AK2290" s="8" t="str">
        <f ca="1">IFERROR(__xludf.DUMMYFUNCTION("""COMPUTED_VALUE"""),"No")</f>
        <v>No</v>
      </c>
      <c r="AL2290" s="8" t="str">
        <f ca="1">IFERROR(__xludf.DUMMYFUNCTION("""COMPUTED_VALUE"""),"No")</f>
        <v>No</v>
      </c>
      <c r="AM2290" s="8"/>
      <c r="AN2290" s="8"/>
      <c r="AO2290" s="8" t="str">
        <f ca="1">IFERROR(__xludf.DUMMYFUNCTION("""COMPUTED_VALUE"""),"No")</f>
        <v>No</v>
      </c>
      <c r="AP2290" s="8"/>
      <c r="AQ2290" s="8" t="str">
        <f ca="1">IFERROR(__xludf.DUMMYFUNCTION("""COMPUTED_VALUE"""),"Unknown")</f>
        <v>Unknown</v>
      </c>
      <c r="AR2290" s="8" t="str">
        <f ca="1">IFERROR(__xludf.DUMMYFUNCTION("""COMPUTED_VALUE"""),"NA")</f>
        <v>NA</v>
      </c>
      <c r="AS2290" s="8" t="str">
        <f ca="1">IFERROR(__xludf.DUMMYFUNCTION("""COMPUTED_VALUE"""),"&lt;10")</f>
        <v>&lt;10</v>
      </c>
      <c r="AT2290" s="8"/>
      <c r="AU2290" s="8">
        <f ca="1">IFERROR(__xludf.DUMMYFUNCTION("""COMPUTED_VALUE"""),36.531354)</f>
        <v>36.531354</v>
      </c>
      <c r="AV2290" s="8">
        <f ca="1">IFERROR(__xludf.DUMMYFUNCTION("""COMPUTED_VALUE"""),-87.814551)</f>
        <v>-87.814550999999994</v>
      </c>
      <c r="AW2290" s="8"/>
      <c r="AX2290" s="8">
        <f ca="1">IFERROR(__xludf.DUMMYFUNCTION("""COMPUTED_VALUE"""),37058)</f>
        <v>37058</v>
      </c>
    </row>
    <row r="2291" spans="1:50" ht="45" x14ac:dyDescent="0.2">
      <c r="A2291" s="8" t="str">
        <f ca="1">IFERROR(__xludf.DUMMYFUNCTION("""COMPUTED_VALUE"""),"20050208ILBOC")</f>
        <v>20050208ILBOC</v>
      </c>
      <c r="B2291" s="8">
        <f ca="1">IFERROR(__xludf.DUMMYFUNCTION("""COMPUTED_VALUE"""),2)</f>
        <v>2</v>
      </c>
      <c r="C2291" s="8">
        <f ca="1">IFERROR(__xludf.DUMMYFUNCTION("""COMPUTED_VALUE"""),8)</f>
        <v>8</v>
      </c>
      <c r="D2291" s="8">
        <f ca="1">IFERROR(__xludf.DUMMYFUNCTION("""COMPUTED_VALUE"""),2005)</f>
        <v>2005</v>
      </c>
      <c r="E2291" s="9">
        <f ca="1">IFERROR(__xludf.DUMMYFUNCTION("""COMPUTED_VALUE"""),38391)</f>
        <v>38391</v>
      </c>
      <c r="F2291" s="8" t="str">
        <f ca="1">IFERROR(__xludf.DUMMYFUNCTION("""COMPUTED_VALUE"""),"Bowen High School")</f>
        <v>Bowen High School</v>
      </c>
      <c r="G2291" s="8">
        <f ca="1">IFERROR(__xludf.DUMMYFUNCTION("""COMPUTED_VALUE"""),0)</f>
        <v>0</v>
      </c>
      <c r="H2291" s="8">
        <f ca="1">IFERROR(__xludf.DUMMYFUNCTION("""COMPUTED_VALUE"""),1)</f>
        <v>1</v>
      </c>
      <c r="I2291" s="8">
        <f ca="1">IFERROR(__xludf.DUMMYFUNCTION("""COMPUTED_VALUE"""),1)</f>
        <v>1</v>
      </c>
      <c r="J2291" s="8">
        <f ca="1">IFERROR(__xludf.DUMMYFUNCTION("""COMPUTED_VALUE"""),0)</f>
        <v>0</v>
      </c>
      <c r="K2291" s="10" t="str">
        <f ca="1">IFERROR(__xludf.DUMMYFUNCTION("""COMPUTED_VALUE"""),"http://articles.chicagotribune.com/2005-02-09/news/0502090400_1_chicago-public-schools-students-exits")</f>
        <v>http://articles.chicagotribune.com/2005-02-09/news/0502090400_1_chicago-public-schools-students-exits</v>
      </c>
      <c r="L2291" s="8"/>
      <c r="M2291" s="8"/>
      <c r="N2291" s="8">
        <f ca="1">IFERROR(__xludf.DUMMYFUNCTION("""COMPUTED_VALUE"""),2)</f>
        <v>2</v>
      </c>
      <c r="O2291" s="8" t="str">
        <f ca="1">IFERROR(__xludf.DUMMYFUNCTION("""COMPUTED_VALUE"""),"Winter")</f>
        <v>Winter</v>
      </c>
      <c r="P2291" s="8" t="str">
        <f ca="1">IFERROR(__xludf.DUMMYFUNCTION("""COMPUTED_VALUE"""),"Chicago")</f>
        <v>Chicago</v>
      </c>
      <c r="Q2291" s="8" t="str">
        <f ca="1">IFERROR(__xludf.DUMMYFUNCTION("""COMPUTED_VALUE"""),"IL")</f>
        <v>IL</v>
      </c>
      <c r="R2291" s="8" t="str">
        <f ca="1">IFERROR(__xludf.DUMMYFUNCTION("""COMPUTED_VALUE"""),"High")</f>
        <v>High</v>
      </c>
      <c r="S2291" s="8" t="str">
        <f ca="1">IFERROR(__xludf.DUMMYFUNCTION("""COMPUTED_VALUE"""),"Beside Building")</f>
        <v>Beside Building</v>
      </c>
      <c r="T2291" s="8" t="str">
        <f ca="1">IFERROR(__xludf.DUMMYFUNCTION("""COMPUTED_VALUE"""),"Outside on School Property")</f>
        <v>Outside on School Property</v>
      </c>
      <c r="U2291" s="8" t="str">
        <f ca="1">IFERROR(__xludf.DUMMYFUNCTION("""COMPUTED_VALUE"""),"Yes")</f>
        <v>Yes</v>
      </c>
      <c r="V2291" s="8" t="str">
        <f ca="1">IFERROR(__xludf.DUMMYFUNCTION("""COMPUTED_VALUE"""),"Dismissal")</f>
        <v>Dismissal</v>
      </c>
      <c r="W2291" s="11">
        <f ca="1">IFERROR(__xludf.DUMMYFUNCTION("""COMPUTED_VALUE"""),0.605555555555555)</f>
        <v>0.60555555555555496</v>
      </c>
      <c r="X2291" s="8">
        <f ca="1">IFERROR(__xludf.DUMMYFUNCTION("""COMPUTED_VALUE"""),1)</f>
        <v>1</v>
      </c>
      <c r="Y2291" s="12" t="str">
        <f ca="1">IFERROR(__xludf.DUMMYFUNCTION("""COMPUTED_VALUE"""),"Fight as school dismissed")</f>
        <v>Fight as school dismissed</v>
      </c>
      <c r="Z2291" s="12" t="str">
        <f ca="1">IFERROR(__xludf.DUMMYFUNCTION("""COMPUTED_VALUE"""),"Student was shot in the leg (caught in the crossfire) during a fight between multiple students when the school was dismissing.")</f>
        <v>Student was shot in the leg (caught in the crossfire) during a fight between multiple students when the school was dismissing.</v>
      </c>
      <c r="AA2291" s="8" t="str">
        <f ca="1">IFERROR(__xludf.DUMMYFUNCTION("""COMPUTED_VALUE"""),"Escalation of Dispute")</f>
        <v>Escalation of Dispute</v>
      </c>
      <c r="AB2291" s="8"/>
      <c r="AC2291" s="8"/>
      <c r="AD2291" s="8"/>
      <c r="AE2291" s="8" t="str">
        <f ca="1">IFERROR(__xludf.DUMMYFUNCTION("""COMPUTED_VALUE"""),"No")</f>
        <v>No</v>
      </c>
      <c r="AF2291" s="8"/>
      <c r="AG2291" s="8" t="str">
        <f ca="1">IFERROR(__xludf.DUMMYFUNCTION("""COMPUTED_VALUE"""),"No")</f>
        <v>No</v>
      </c>
      <c r="AH2291" s="8" t="str">
        <f ca="1">IFERROR(__xludf.DUMMYFUNCTION("""COMPUTED_VALUE"""),"No")</f>
        <v>No</v>
      </c>
      <c r="AI2291" s="8" t="str">
        <f ca="1">IFERROR(__xludf.DUMMYFUNCTION("""COMPUTED_VALUE"""),"No")</f>
        <v>No</v>
      </c>
      <c r="AJ2291" s="8"/>
      <c r="AK2291" s="8" t="str">
        <f ca="1">IFERROR(__xludf.DUMMYFUNCTION("""COMPUTED_VALUE"""),"No")</f>
        <v>No</v>
      </c>
      <c r="AL2291" s="8" t="str">
        <f ca="1">IFERROR(__xludf.DUMMYFUNCTION("""COMPUTED_VALUE"""),"No")</f>
        <v>No</v>
      </c>
      <c r="AM2291" s="8"/>
      <c r="AN2291" s="8"/>
      <c r="AO2291" s="8" t="str">
        <f ca="1">IFERROR(__xludf.DUMMYFUNCTION("""COMPUTED_VALUE"""),"No")</f>
        <v>No</v>
      </c>
      <c r="AP2291" s="8" t="str">
        <f ca="1">IFERROR(__xludf.DUMMYFUNCTION("""COMPUTED_VALUE"""),"No")</f>
        <v>No</v>
      </c>
      <c r="AQ2291" s="8" t="str">
        <f ca="1">IFERROR(__xludf.DUMMYFUNCTION("""COMPUTED_VALUE"""),"Unknown")</f>
        <v>Unknown</v>
      </c>
      <c r="AR2291" s="8" t="str">
        <f ca="1">IFERROR(__xludf.DUMMYFUNCTION("""COMPUTED_VALUE"""),"NA")</f>
        <v>NA</v>
      </c>
      <c r="AS2291" s="8"/>
      <c r="AT2291" s="8"/>
      <c r="AU2291" s="8">
        <f ca="1">IFERROR(__xludf.DUMMYFUNCTION("""COMPUTED_VALUE"""),41.734742)</f>
        <v>41.734741999999997</v>
      </c>
      <c r="AV2291" s="8">
        <f ca="1">IFERROR(__xludf.DUMMYFUNCTION("""COMPUTED_VALUE"""),-87.5577)</f>
        <v>-87.557699999999997</v>
      </c>
      <c r="AW2291" s="8"/>
      <c r="AX2291" s="8">
        <f ca="1">IFERROR(__xludf.DUMMYFUNCTION("""COMPUTED_VALUE"""),60617)</f>
        <v>60617</v>
      </c>
    </row>
    <row r="2292" spans="1:50" ht="45" x14ac:dyDescent="0.2">
      <c r="A2292" s="8" t="str">
        <f ca="1">IFERROR(__xludf.DUMMYFUNCTION("""COMPUTED_VALUE"""),"20050204GAMCA")</f>
        <v>20050204GAMCA</v>
      </c>
      <c r="B2292" s="8">
        <f ca="1">IFERROR(__xludf.DUMMYFUNCTION("""COMPUTED_VALUE"""),2)</f>
        <v>2</v>
      </c>
      <c r="C2292" s="8">
        <f ca="1">IFERROR(__xludf.DUMMYFUNCTION("""COMPUTED_VALUE"""),4)</f>
        <v>4</v>
      </c>
      <c r="D2292" s="8">
        <f ca="1">IFERROR(__xludf.DUMMYFUNCTION("""COMPUTED_VALUE"""),2005)</f>
        <v>2005</v>
      </c>
      <c r="E2292" s="9">
        <f ca="1">IFERROR(__xludf.DUMMYFUNCTION("""COMPUTED_VALUE"""),38387)</f>
        <v>38387</v>
      </c>
      <c r="F2292" s="8" t="str">
        <f ca="1">IFERROR(__xludf.DUMMYFUNCTION("""COMPUTED_VALUE"""),"McNair High School")</f>
        <v>McNair High School</v>
      </c>
      <c r="G2292" s="8">
        <f ca="1">IFERROR(__xludf.DUMMYFUNCTION("""COMPUTED_VALUE"""),0)</f>
        <v>0</v>
      </c>
      <c r="H2292" s="8">
        <f ca="1">IFERROR(__xludf.DUMMYFUNCTION("""COMPUTED_VALUE"""),1)</f>
        <v>1</v>
      </c>
      <c r="I2292" s="8">
        <f ca="1">IFERROR(__xludf.DUMMYFUNCTION("""COMPUTED_VALUE"""),1)</f>
        <v>1</v>
      </c>
      <c r="J2292" s="8">
        <f ca="1">IFERROR(__xludf.DUMMYFUNCTION("""COMPUTED_VALUE"""),0)</f>
        <v>0</v>
      </c>
      <c r="K2292" s="10" t="str">
        <f ca="1">IFERROR(__xludf.DUMMYFUNCTION("""COMPUTED_VALUE"""),"https://www.columbine-angels.com/School_Violence_2005-2006.htm")</f>
        <v>https://www.columbine-angels.com/School_Violence_2005-2006.htm</v>
      </c>
      <c r="L2292" s="8"/>
      <c r="M2292" s="8"/>
      <c r="N2292" s="8">
        <f ca="1">IFERROR(__xludf.DUMMYFUNCTION("""COMPUTED_VALUE"""),1)</f>
        <v>1</v>
      </c>
      <c r="O2292" s="8" t="str">
        <f ca="1">IFERROR(__xludf.DUMMYFUNCTION("""COMPUTED_VALUE"""),"Winter")</f>
        <v>Winter</v>
      </c>
      <c r="P2292" s="8" t="str">
        <f ca="1">IFERROR(__xludf.DUMMYFUNCTION("""COMPUTED_VALUE"""),"Atlanta")</f>
        <v>Atlanta</v>
      </c>
      <c r="Q2292" s="8" t="str">
        <f ca="1">IFERROR(__xludf.DUMMYFUNCTION("""COMPUTED_VALUE"""),"GA")</f>
        <v>GA</v>
      </c>
      <c r="R2292" s="8" t="str">
        <f ca="1">IFERROR(__xludf.DUMMYFUNCTION("""COMPUTED_VALUE"""),"High")</f>
        <v>High</v>
      </c>
      <c r="S2292" s="8" t="str">
        <f ca="1">IFERROR(__xludf.DUMMYFUNCTION("""COMPUTED_VALUE"""),"Outside on School Property")</f>
        <v>Outside on School Property</v>
      </c>
      <c r="T2292" s="8" t="str">
        <f ca="1">IFERROR(__xludf.DUMMYFUNCTION("""COMPUTED_VALUE"""),"Outside on School Property")</f>
        <v>Outside on School Property</v>
      </c>
      <c r="U2292" s="8"/>
      <c r="V2292" s="8"/>
      <c r="W2292" s="8"/>
      <c r="X2292" s="8">
        <f ca="1">IFERROR(__xludf.DUMMYFUNCTION("""COMPUTED_VALUE"""),1)</f>
        <v>1</v>
      </c>
      <c r="Y2292" s="12" t="str">
        <f ca="1">IFERROR(__xludf.DUMMYFUNCTION("""COMPUTED_VALUE"""),"Gun was dropped and discharged")</f>
        <v>Gun was dropped and discharged</v>
      </c>
      <c r="Z2292" s="12" t="str">
        <f ca="1">IFERROR(__xludf.DUMMYFUNCTION("""COMPUTED_VALUE"""),"15YOF (sister) and 19YOM (brother) were on school grounds. Brother was holding gun, the gun dropped, and it discharged a bullet into Angela's neck.")</f>
        <v>15YOF (sister) and 19YOM (brother) were on school grounds. Brother was holding gun, the gun dropped, and it discharged a bullet into Angela's neck.</v>
      </c>
      <c r="AA2292" s="8" t="str">
        <f ca="1">IFERROR(__xludf.DUMMYFUNCTION("""COMPUTED_VALUE"""),"Accidental")</f>
        <v>Accidental</v>
      </c>
      <c r="AB2292" s="8"/>
      <c r="AC2292" s="8"/>
      <c r="AD2292" s="8" t="str">
        <f ca="1">IFERROR(__xludf.DUMMYFUNCTION("""COMPUTED_VALUE"""),"Random Shooting")</f>
        <v>Random Shooting</v>
      </c>
      <c r="AE2292" s="8" t="str">
        <f ca="1">IFERROR(__xludf.DUMMYFUNCTION("""COMPUTED_VALUE"""),"No")</f>
        <v>No</v>
      </c>
      <c r="AF2292" s="8"/>
      <c r="AG2292" s="8" t="str">
        <f ca="1">IFERROR(__xludf.DUMMYFUNCTION("""COMPUTED_VALUE"""),"No")</f>
        <v>No</v>
      </c>
      <c r="AH2292" s="8" t="str">
        <f ca="1">IFERROR(__xludf.DUMMYFUNCTION("""COMPUTED_VALUE"""),"No")</f>
        <v>No</v>
      </c>
      <c r="AI2292" s="8" t="str">
        <f ca="1">IFERROR(__xludf.DUMMYFUNCTION("""COMPUTED_VALUE"""),"No")</f>
        <v>No</v>
      </c>
      <c r="AJ2292" s="8" t="str">
        <f ca="1">IFERROR(__xludf.DUMMYFUNCTION("""COMPUTED_VALUE"""),"No")</f>
        <v>No</v>
      </c>
      <c r="AK2292" s="8" t="str">
        <f ca="1">IFERROR(__xludf.DUMMYFUNCTION("""COMPUTED_VALUE"""),"No")</f>
        <v>No</v>
      </c>
      <c r="AL2292" s="8" t="str">
        <f ca="1">IFERROR(__xludf.DUMMYFUNCTION("""COMPUTED_VALUE"""),"No")</f>
        <v>No</v>
      </c>
      <c r="AM2292" s="8"/>
      <c r="AN2292" s="8"/>
      <c r="AO2292" s="8" t="str">
        <f ca="1">IFERROR(__xludf.DUMMYFUNCTION("""COMPUTED_VALUE"""),"No")</f>
        <v>No</v>
      </c>
      <c r="AP2292" s="8"/>
      <c r="AQ2292" s="8" t="str">
        <f ca="1">IFERROR(__xludf.DUMMYFUNCTION("""COMPUTED_VALUE"""),"Unknown")</f>
        <v>Unknown</v>
      </c>
      <c r="AR2292" s="8" t="str">
        <f ca="1">IFERROR(__xludf.DUMMYFUNCTION("""COMPUTED_VALUE"""),"NA")</f>
        <v>NA</v>
      </c>
      <c r="AS2292" s="8">
        <f ca="1">IFERROR(__xludf.DUMMYFUNCTION("""COMPUTED_VALUE"""),1)</f>
        <v>1</v>
      </c>
      <c r="AT2292" s="8"/>
      <c r="AU2292" s="8">
        <f ca="1">IFERROR(__xludf.DUMMYFUNCTION("""COMPUTED_VALUE"""),33.705267)</f>
        <v>33.705266999999999</v>
      </c>
      <c r="AV2292" s="8">
        <f ca="1">IFERROR(__xludf.DUMMYFUNCTION("""COMPUTED_VALUE"""),-84.32603)</f>
        <v>-84.326030000000003</v>
      </c>
      <c r="AW2292" s="8"/>
      <c r="AX2292" s="8">
        <f ca="1">IFERROR(__xludf.DUMMYFUNCTION("""COMPUTED_VALUE"""),30316)</f>
        <v>30316</v>
      </c>
    </row>
    <row r="2293" spans="1:50" ht="75" x14ac:dyDescent="0.2">
      <c r="A2293" s="8" t="str">
        <f ca="1">IFERROR(__xludf.DUMMYFUNCTION("""COMPUTED_VALUE"""),"20050126ILWOP")</f>
        <v>20050126ILWOP</v>
      </c>
      <c r="B2293" s="8">
        <f ca="1">IFERROR(__xludf.DUMMYFUNCTION("""COMPUTED_VALUE"""),1)</f>
        <v>1</v>
      </c>
      <c r="C2293" s="8">
        <f ca="1">IFERROR(__xludf.DUMMYFUNCTION("""COMPUTED_VALUE"""),26)</f>
        <v>26</v>
      </c>
      <c r="D2293" s="8">
        <f ca="1">IFERROR(__xludf.DUMMYFUNCTION("""COMPUTED_VALUE"""),2005)</f>
        <v>2005</v>
      </c>
      <c r="E2293" s="9">
        <f ca="1">IFERROR(__xludf.DUMMYFUNCTION("""COMPUTED_VALUE"""),38378)</f>
        <v>38378</v>
      </c>
      <c r="F2293" s="8" t="str">
        <f ca="1">IFERROR(__xludf.DUMMYFUNCTION("""COMPUTED_VALUE"""),"Woodruff High School")</f>
        <v>Woodruff High School</v>
      </c>
      <c r="G2293" s="8">
        <f ca="1">IFERROR(__xludf.DUMMYFUNCTION("""COMPUTED_VALUE"""),0)</f>
        <v>0</v>
      </c>
      <c r="H2293" s="8">
        <f ca="1">IFERROR(__xludf.DUMMYFUNCTION("""COMPUTED_VALUE"""),0)</f>
        <v>0</v>
      </c>
      <c r="I2293" s="8">
        <f ca="1">IFERROR(__xludf.DUMMYFUNCTION("""COMPUTED_VALUE"""),0)</f>
        <v>0</v>
      </c>
      <c r="J2293" s="8">
        <f ca="1">IFERROR(__xludf.DUMMYFUNCTION("""COMPUTED_VALUE"""),0)</f>
        <v>0</v>
      </c>
      <c r="K2293" s="10" t="str">
        <f ca="1">IFERROR(__xludf.DUMMYFUNCTION("""COMPUTED_VALUE"""),"http://www.pjstar.com/article/20131215/news/131219398")</f>
        <v>http://www.pjstar.com/article/20131215/news/131219398</v>
      </c>
      <c r="L2293" s="8"/>
      <c r="M2293" s="8"/>
      <c r="N2293" s="8">
        <f ca="1">IFERROR(__xludf.DUMMYFUNCTION("""COMPUTED_VALUE"""),2)</f>
        <v>2</v>
      </c>
      <c r="O2293" s="8" t="str">
        <f ca="1">IFERROR(__xludf.DUMMYFUNCTION("""COMPUTED_VALUE"""),"Winter")</f>
        <v>Winter</v>
      </c>
      <c r="P2293" s="8" t="str">
        <f ca="1">IFERROR(__xludf.DUMMYFUNCTION("""COMPUTED_VALUE"""),"Peoria")</f>
        <v>Peoria</v>
      </c>
      <c r="Q2293" s="8" t="str">
        <f ca="1">IFERROR(__xludf.DUMMYFUNCTION("""COMPUTED_VALUE"""),"IL")</f>
        <v>IL</v>
      </c>
      <c r="R2293" s="8" t="str">
        <f ca="1">IFERROR(__xludf.DUMMYFUNCTION("""COMPUTED_VALUE"""),"High")</f>
        <v>High</v>
      </c>
      <c r="S2293" s="8" t="str">
        <f ca="1">IFERROR(__xludf.DUMMYFUNCTION("""COMPUTED_VALUE"""),"Hallway")</f>
        <v>Hallway</v>
      </c>
      <c r="T2293" s="8" t="str">
        <f ca="1">IFERROR(__xludf.DUMMYFUNCTION("""COMPUTED_VALUE"""),"Inside School Building")</f>
        <v>Inside School Building</v>
      </c>
      <c r="U2293" s="8" t="str">
        <f ca="1">IFERROR(__xludf.DUMMYFUNCTION("""COMPUTED_VALUE"""),"Yes")</f>
        <v>Yes</v>
      </c>
      <c r="V2293" s="8" t="str">
        <f ca="1">IFERROR(__xludf.DUMMYFUNCTION("""COMPUTED_VALUE"""),"Morning Classes")</f>
        <v>Morning Classes</v>
      </c>
      <c r="W2293" s="8"/>
      <c r="X2293" s="8">
        <f ca="1">IFERROR(__xludf.DUMMYFUNCTION("""COMPUTED_VALUE"""),1)</f>
        <v>1</v>
      </c>
      <c r="Y2293" s="12" t="str">
        <f ca="1">IFERROR(__xludf.DUMMYFUNCTION("""COMPUTED_VALUE"""),"Fired shots at another student in hallway, prior fight with shot fired away from school")</f>
        <v>Fired shots at another student in hallway, prior fight with shot fired away from school</v>
      </c>
      <c r="Z2293" s="12" t="str">
        <f ca="1">IFERROR(__xludf.DUMMYFUNCTION("""COMPUTED_VALUE"""),"15YOM fired 3 shots in the hallway at another student he had an ongoing conflict and prior gun battle with. All of the shots missed. Shooter fled the scene. Shooter was arrested at a relatives house. The gun used was linked to an unsolved homicide in the "&amp;"area.")</f>
        <v>15YOM fired 3 shots in the hallway at another student he had an ongoing conflict and prior gun battle with. All of the shots missed. Shooter fled the scene. Shooter was arrested at a relatives house. The gun used was linked to an unsolved homicide in the area.</v>
      </c>
      <c r="AA2293" s="8" t="str">
        <f ca="1">IFERROR(__xludf.DUMMYFUNCTION("""COMPUTED_VALUE"""),"Escalation of Dispute")</f>
        <v>Escalation of Dispute</v>
      </c>
      <c r="AB2293" s="8"/>
      <c r="AC2293" s="8"/>
      <c r="AD2293" s="8" t="str">
        <f ca="1">IFERROR(__xludf.DUMMYFUNCTION("""COMPUTED_VALUE"""),"Victims Targeted")</f>
        <v>Victims Targeted</v>
      </c>
      <c r="AE2293" s="8" t="str">
        <f ca="1">IFERROR(__xludf.DUMMYFUNCTION("""COMPUTED_VALUE"""),"No")</f>
        <v>No</v>
      </c>
      <c r="AF2293" s="8"/>
      <c r="AG2293" s="8" t="str">
        <f ca="1">IFERROR(__xludf.DUMMYFUNCTION("""COMPUTED_VALUE"""),"No")</f>
        <v>No</v>
      </c>
      <c r="AH2293" s="8" t="str">
        <f ca="1">IFERROR(__xludf.DUMMYFUNCTION("""COMPUTED_VALUE"""),"No")</f>
        <v>No</v>
      </c>
      <c r="AI2293" s="8" t="str">
        <f ca="1">IFERROR(__xludf.DUMMYFUNCTION("""COMPUTED_VALUE"""),"No")</f>
        <v>No</v>
      </c>
      <c r="AJ2293" s="8" t="str">
        <f ca="1">IFERROR(__xludf.DUMMYFUNCTION("""COMPUTED_VALUE"""),"No")</f>
        <v>No</v>
      </c>
      <c r="AK2293" s="8" t="str">
        <f ca="1">IFERROR(__xludf.DUMMYFUNCTION("""COMPUTED_VALUE"""),"No")</f>
        <v>No</v>
      </c>
      <c r="AL2293" s="8" t="str">
        <f ca="1">IFERROR(__xludf.DUMMYFUNCTION("""COMPUTED_VALUE"""),"No")</f>
        <v>No</v>
      </c>
      <c r="AM2293" s="8"/>
      <c r="AN2293" s="8"/>
      <c r="AO2293" s="8" t="str">
        <f ca="1">IFERROR(__xludf.DUMMYFUNCTION("""COMPUTED_VALUE"""),"No")</f>
        <v>No</v>
      </c>
      <c r="AP2293" s="8" t="str">
        <f ca="1">IFERROR(__xludf.DUMMYFUNCTION("""COMPUTED_VALUE"""),"No")</f>
        <v>No</v>
      </c>
      <c r="AQ2293" s="8" t="str">
        <f ca="1">IFERROR(__xludf.DUMMYFUNCTION("""COMPUTED_VALUE"""),"Unknown")</f>
        <v>Unknown</v>
      </c>
      <c r="AR2293" s="8" t="str">
        <f ca="1">IFERROR(__xludf.DUMMYFUNCTION("""COMPUTED_VALUE"""),"NA")</f>
        <v>NA</v>
      </c>
      <c r="AS2293" s="8">
        <f ca="1">IFERROR(__xludf.DUMMYFUNCTION("""COMPUTED_VALUE"""),3)</f>
        <v>3</v>
      </c>
      <c r="AT2293" s="8"/>
      <c r="AU2293" s="8">
        <f ca="1">IFERROR(__xludf.DUMMYFUNCTION("""COMPUTED_VALUE"""),40.708233)</f>
        <v>40.708233</v>
      </c>
      <c r="AV2293" s="8">
        <f ca="1">IFERROR(__xludf.DUMMYFUNCTION("""COMPUTED_VALUE"""),-89.572295)</f>
        <v>-89.572294999999997</v>
      </c>
      <c r="AW2293" s="8"/>
      <c r="AX2293" s="8">
        <f ca="1">IFERROR(__xludf.DUMMYFUNCTION("""COMPUTED_VALUE"""),61603)</f>
        <v>61603</v>
      </c>
    </row>
    <row r="2294" spans="1:50" ht="75" x14ac:dyDescent="0.2">
      <c r="A2294" s="8" t="str">
        <f ca="1">IFERROR(__xludf.DUMMYFUNCTION("""COMPUTED_VALUE"""),"20050105PAMUN")</f>
        <v>20050105PAMUN</v>
      </c>
      <c r="B2294" s="8">
        <f ca="1">IFERROR(__xludf.DUMMYFUNCTION("""COMPUTED_VALUE"""),1)</f>
        <v>1</v>
      </c>
      <c r="C2294" s="8">
        <f ca="1">IFERROR(__xludf.DUMMYFUNCTION("""COMPUTED_VALUE"""),5)</f>
        <v>5</v>
      </c>
      <c r="D2294" s="8">
        <f ca="1">IFERROR(__xludf.DUMMYFUNCTION("""COMPUTED_VALUE"""),2005)</f>
        <v>2005</v>
      </c>
      <c r="E2294" s="9">
        <f ca="1">IFERROR(__xludf.DUMMYFUNCTION("""COMPUTED_VALUE"""),38357)</f>
        <v>38357</v>
      </c>
      <c r="F2294" s="8" t="str">
        <f ca="1">IFERROR(__xludf.DUMMYFUNCTION("""COMPUTED_VALUE"""),"Murrell Dobbins Vocational-Technical High School")</f>
        <v>Murrell Dobbins Vocational-Technical High School</v>
      </c>
      <c r="G2294" s="8">
        <f ca="1">IFERROR(__xludf.DUMMYFUNCTION("""COMPUTED_VALUE"""),1)</f>
        <v>1</v>
      </c>
      <c r="H2294" s="8">
        <f ca="1">IFERROR(__xludf.DUMMYFUNCTION("""COMPUTED_VALUE"""),0)</f>
        <v>0</v>
      </c>
      <c r="I2294" s="8">
        <f ca="1">IFERROR(__xludf.DUMMYFUNCTION("""COMPUTED_VALUE"""),1)</f>
        <v>1</v>
      </c>
      <c r="J2294" s="8">
        <f ca="1">IFERROR(__xludf.DUMMYFUNCTION("""COMPUTED_VALUE"""),0)</f>
        <v>0</v>
      </c>
      <c r="K2294" s="10" t="str">
        <f ca="1">IFERROR(__xludf.DUMMYFUNCTION("""COMPUTED_VALUE"""),"http://www.philadelphiaweekly.com/news/state-of-disgrace/article_86c2a06b-190d-5781-ab53-23c8fb71c94c.html")</f>
        <v>http://www.philadelphiaweekly.com/news/state-of-disgrace/article_86c2a06b-190d-5781-ab53-23c8fb71c94c.html</v>
      </c>
      <c r="L2294" s="8"/>
      <c r="M2294" s="8"/>
      <c r="N2294" s="8">
        <f ca="1">IFERROR(__xludf.DUMMYFUNCTION("""COMPUTED_VALUE"""),2)</f>
        <v>2</v>
      </c>
      <c r="O2294" s="8" t="str">
        <f ca="1">IFERROR(__xludf.DUMMYFUNCTION("""COMPUTED_VALUE"""),"Winter")</f>
        <v>Winter</v>
      </c>
      <c r="P2294" s="8" t="str">
        <f ca="1">IFERROR(__xludf.DUMMYFUNCTION("""COMPUTED_VALUE"""),"North Philadelphia")</f>
        <v>North Philadelphia</v>
      </c>
      <c r="Q2294" s="8" t="str">
        <f ca="1">IFERROR(__xludf.DUMMYFUNCTION("""COMPUTED_VALUE"""),"PA")</f>
        <v>PA</v>
      </c>
      <c r="R2294" s="8" t="str">
        <f ca="1">IFERROR(__xludf.DUMMYFUNCTION("""COMPUTED_VALUE"""),"High")</f>
        <v>High</v>
      </c>
      <c r="S2294" s="8" t="str">
        <f ca="1">IFERROR(__xludf.DUMMYFUNCTION("""COMPUTED_VALUE"""),"Front of School")</f>
        <v>Front of School</v>
      </c>
      <c r="T2294" s="8" t="str">
        <f ca="1">IFERROR(__xludf.DUMMYFUNCTION("""COMPUTED_VALUE"""),"Outside on School Property")</f>
        <v>Outside on School Property</v>
      </c>
      <c r="U2294" s="8" t="str">
        <f ca="1">IFERROR(__xludf.DUMMYFUNCTION("""COMPUTED_VALUE"""),"Yes")</f>
        <v>Yes</v>
      </c>
      <c r="V2294" s="8" t="str">
        <f ca="1">IFERROR(__xludf.DUMMYFUNCTION("""COMPUTED_VALUE"""),"Dismissal")</f>
        <v>Dismissal</v>
      </c>
      <c r="W2294" s="11">
        <f ca="1">IFERROR(__xludf.DUMMYFUNCTION("""COMPUTED_VALUE"""),0.616666666666666)</f>
        <v>0.61666666666666603</v>
      </c>
      <c r="X2294" s="8">
        <f ca="1">IFERROR(__xludf.DUMMYFUNCTION("""COMPUTED_VALUE"""),1)</f>
        <v>1</v>
      </c>
      <c r="Y2294" s="12" t="str">
        <f ca="1">IFERROR(__xludf.DUMMYFUNCTION("""COMPUTED_VALUE"""),"Killed by rival gang member outside of school")</f>
        <v>Killed by rival gang member outside of school</v>
      </c>
      <c r="Z2294" s="12" t="str">
        <f ca="1">IFERROR(__xludf.DUMMYFUNCTION("""COMPUTED_VALUE"""),"18YOM student waiting outside of high school was shot and killed by rival gang member. 4 teens from a rival gang were involved in the shooting and fled together. Group of teens involved attempted to intimidate witnesses following the shooting.")</f>
        <v>18YOM student waiting outside of high school was shot and killed by rival gang member. 4 teens from a rival gang were involved in the shooting and fled together. Group of teens involved attempted to intimidate witnesses following the shooting.</v>
      </c>
      <c r="AA2294" s="8" t="str">
        <f ca="1">IFERROR(__xludf.DUMMYFUNCTION("""COMPUTED_VALUE"""),"Escalation of Dispute")</f>
        <v>Escalation of Dispute</v>
      </c>
      <c r="AB2294" s="8"/>
      <c r="AC2294" s="8"/>
      <c r="AD2294" s="8" t="str">
        <f ca="1">IFERROR(__xludf.DUMMYFUNCTION("""COMPUTED_VALUE"""),"Victims Targeted")</f>
        <v>Victims Targeted</v>
      </c>
      <c r="AE2294" s="8" t="str">
        <f ca="1">IFERROR(__xludf.DUMMYFUNCTION("""COMPUTED_VALUE"""),"Yes")</f>
        <v>Yes</v>
      </c>
      <c r="AF2294" s="8" t="str">
        <f ca="1">IFERROR(__xludf.DUMMYFUNCTION("""COMPUTED_VALUE"""),"Group of 4 teens involved")</f>
        <v>Group of 4 teens involved</v>
      </c>
      <c r="AG2294" s="8" t="str">
        <f ca="1">IFERROR(__xludf.DUMMYFUNCTION("""COMPUTED_VALUE"""),"No")</f>
        <v>No</v>
      </c>
      <c r="AH2294" s="8" t="str">
        <f ca="1">IFERROR(__xludf.DUMMYFUNCTION("""COMPUTED_VALUE"""),"No")</f>
        <v>No</v>
      </c>
      <c r="AI2294" s="8" t="str">
        <f ca="1">IFERROR(__xludf.DUMMYFUNCTION("""COMPUTED_VALUE"""),"No")</f>
        <v>No</v>
      </c>
      <c r="AJ2294" s="8" t="str">
        <f ca="1">IFERROR(__xludf.DUMMYFUNCTION("""COMPUTED_VALUE"""),"No")</f>
        <v>No</v>
      </c>
      <c r="AK2294" s="8" t="str">
        <f ca="1">IFERROR(__xludf.DUMMYFUNCTION("""COMPUTED_VALUE"""),"No")</f>
        <v>No</v>
      </c>
      <c r="AL2294" s="8" t="str">
        <f ca="1">IFERROR(__xludf.DUMMYFUNCTION("""COMPUTED_VALUE"""),"Yes")</f>
        <v>Yes</v>
      </c>
      <c r="AM2294" s="8"/>
      <c r="AN2294" s="8"/>
      <c r="AO2294" s="8" t="str">
        <f ca="1">IFERROR(__xludf.DUMMYFUNCTION("""COMPUTED_VALUE"""),"No")</f>
        <v>No</v>
      </c>
      <c r="AP2294" s="8"/>
      <c r="AQ2294" s="8" t="str">
        <f ca="1">IFERROR(__xludf.DUMMYFUNCTION("""COMPUTED_VALUE"""),"Unknown")</f>
        <v>Unknown</v>
      </c>
      <c r="AR2294" s="8" t="str">
        <f ca="1">IFERROR(__xludf.DUMMYFUNCTION("""COMPUTED_VALUE"""),"NA")</f>
        <v>NA</v>
      </c>
      <c r="AS2294" s="8"/>
      <c r="AT2294" s="8"/>
      <c r="AU2294" s="8">
        <f ca="1">IFERROR(__xludf.DUMMYFUNCTION("""COMPUTED_VALUE"""),39.995206)</f>
        <v>39.995206000000003</v>
      </c>
      <c r="AV2294" s="8">
        <f ca="1">IFERROR(__xludf.DUMMYFUNCTION("""COMPUTED_VALUE"""),-75.166702)</f>
        <v>-75.166702000000001</v>
      </c>
      <c r="AW2294" s="8"/>
      <c r="AX2294" s="8">
        <f ca="1">IFERROR(__xludf.DUMMYFUNCTION("""COMPUTED_VALUE"""),19132)</f>
        <v>19132</v>
      </c>
    </row>
    <row r="2295" spans="1:50" ht="45" x14ac:dyDescent="0.2">
      <c r="A2295" s="8" t="str">
        <f ca="1">IFERROR(__xludf.DUMMYFUNCTION("""COMPUTED_VALUE"""),"20041231TXRIR")</f>
        <v>20041231TXRIR</v>
      </c>
      <c r="B2295" s="8">
        <f ca="1">IFERROR(__xludf.DUMMYFUNCTION("""COMPUTED_VALUE"""),12)</f>
        <v>12</v>
      </c>
      <c r="C2295" s="8">
        <f ca="1">IFERROR(__xludf.DUMMYFUNCTION("""COMPUTED_VALUE"""),31)</f>
        <v>31</v>
      </c>
      <c r="D2295" s="8">
        <f ca="1">IFERROR(__xludf.DUMMYFUNCTION("""COMPUTED_VALUE"""),2004)</f>
        <v>2004</v>
      </c>
      <c r="E2295" s="9">
        <f ca="1">IFERROR(__xludf.DUMMYFUNCTION("""COMPUTED_VALUE"""),38352)</f>
        <v>38352</v>
      </c>
      <c r="F2295" s="8" t="str">
        <f ca="1">IFERROR(__xludf.DUMMYFUNCTION("""COMPUTED_VALUE"""),"Richmond State School")</f>
        <v>Richmond State School</v>
      </c>
      <c r="G2295" s="8">
        <f ca="1">IFERROR(__xludf.DUMMYFUNCTION("""COMPUTED_VALUE"""),0)</f>
        <v>0</v>
      </c>
      <c r="H2295" s="8">
        <f ca="1">IFERROR(__xludf.DUMMYFUNCTION("""COMPUTED_VALUE"""),1)</f>
        <v>1</v>
      </c>
      <c r="I2295" s="8">
        <f ca="1">IFERROR(__xludf.DUMMYFUNCTION("""COMPUTED_VALUE"""),1)</f>
        <v>1</v>
      </c>
      <c r="J2295" s="8">
        <f ca="1">IFERROR(__xludf.DUMMYFUNCTION("""COMPUTED_VALUE"""),1)</f>
        <v>1</v>
      </c>
      <c r="K2295" s="10" t="str">
        <f ca="1">IFERROR(__xludf.DUMMYFUNCTION("""COMPUTED_VALUE"""),"https://www.chron.com/news/houston-texas/article/1-dead-1-hurt-in-Richmond-State-School-shooting-1938319.php")</f>
        <v>https://www.chron.com/news/houston-texas/article/1-dead-1-hurt-in-Richmond-State-School-shooting-1938319.php</v>
      </c>
      <c r="L2295" s="8"/>
      <c r="M2295" s="8"/>
      <c r="N2295" s="8">
        <f ca="1">IFERROR(__xludf.DUMMYFUNCTION("""COMPUTED_VALUE"""),2)</f>
        <v>2</v>
      </c>
      <c r="O2295" s="8" t="str">
        <f ca="1">IFERROR(__xludf.DUMMYFUNCTION("""COMPUTED_VALUE"""),"Winter")</f>
        <v>Winter</v>
      </c>
      <c r="P2295" s="8" t="str">
        <f ca="1">IFERROR(__xludf.DUMMYFUNCTION("""COMPUTED_VALUE"""),"Richmond")</f>
        <v>Richmond</v>
      </c>
      <c r="Q2295" s="8" t="str">
        <f ca="1">IFERROR(__xludf.DUMMYFUNCTION("""COMPUTED_VALUE"""),"TX")</f>
        <v>TX</v>
      </c>
      <c r="R2295" s="8" t="str">
        <f ca="1">IFERROR(__xludf.DUMMYFUNCTION("""COMPUTED_VALUE"""),"Other")</f>
        <v>Other</v>
      </c>
      <c r="S2295" s="8" t="str">
        <f ca="1">IFERROR(__xludf.DUMMYFUNCTION("""COMPUTED_VALUE"""),"Cafeteria")</f>
        <v>Cafeteria</v>
      </c>
      <c r="T2295" s="8" t="str">
        <f ca="1">IFERROR(__xludf.DUMMYFUNCTION("""COMPUTED_VALUE"""),"Inside School Building")</f>
        <v>Inside School Building</v>
      </c>
      <c r="U2295" s="8" t="str">
        <f ca="1">IFERROR(__xludf.DUMMYFUNCTION("""COMPUTED_VALUE"""),"No")</f>
        <v>No</v>
      </c>
      <c r="V2295" s="8" t="str">
        <f ca="1">IFERROR(__xludf.DUMMYFUNCTION("""COMPUTED_VALUE"""),"Evening")</f>
        <v>Evening</v>
      </c>
      <c r="W2295" s="11">
        <f ca="1">IFERROR(__xludf.DUMMYFUNCTION("""COMPUTED_VALUE"""),0.75)</f>
        <v>0.75</v>
      </c>
      <c r="X2295" s="8">
        <f ca="1">IFERROR(__xludf.DUMMYFUNCTION("""COMPUTED_VALUE"""),1)</f>
        <v>1</v>
      </c>
      <c r="Y2295" s="12" t="str">
        <f ca="1">IFERROR(__xludf.DUMMYFUNCTION("""COMPUTED_VALUE"""),"Cafeteria worker shot coworker and then killed himself")</f>
        <v>Cafeteria worker shot coworker and then killed himself</v>
      </c>
      <c r="Z2295" s="12" t="str">
        <f ca="1">IFERROR(__xludf.DUMMYFUNCTION("""COMPUTED_VALUE"""),"Cafeteria worker shot coworker 3 times and then shot himself. Motive unclear.")</f>
        <v>Cafeteria worker shot coworker 3 times and then shot himself. Motive unclear.</v>
      </c>
      <c r="AA2295" s="8" t="str">
        <f ca="1">IFERROR(__xludf.DUMMYFUNCTION("""COMPUTED_VALUE"""),"Murder/Suicide")</f>
        <v>Murder/Suicide</v>
      </c>
      <c r="AB2295" s="8"/>
      <c r="AC2295" s="8"/>
      <c r="AD2295" s="8" t="str">
        <f ca="1">IFERROR(__xludf.DUMMYFUNCTION("""COMPUTED_VALUE"""),"Victims Targeted")</f>
        <v>Victims Targeted</v>
      </c>
      <c r="AE2295" s="8" t="str">
        <f ca="1">IFERROR(__xludf.DUMMYFUNCTION("""COMPUTED_VALUE"""),"No")</f>
        <v>No</v>
      </c>
      <c r="AF2295" s="8"/>
      <c r="AG2295" s="8" t="str">
        <f ca="1">IFERROR(__xludf.DUMMYFUNCTION("""COMPUTED_VALUE"""),"No")</f>
        <v>No</v>
      </c>
      <c r="AH2295" s="8" t="str">
        <f ca="1">IFERROR(__xludf.DUMMYFUNCTION("""COMPUTED_VALUE"""),"No")</f>
        <v>No</v>
      </c>
      <c r="AI2295" s="8" t="str">
        <f ca="1">IFERROR(__xludf.DUMMYFUNCTION("""COMPUTED_VALUE"""),"No")</f>
        <v>No</v>
      </c>
      <c r="AJ2295" s="8" t="str">
        <f ca="1">IFERROR(__xludf.DUMMYFUNCTION("""COMPUTED_VALUE"""),"No")</f>
        <v>No</v>
      </c>
      <c r="AK2295" s="8"/>
      <c r="AL2295" s="8" t="str">
        <f ca="1">IFERROR(__xludf.DUMMYFUNCTION("""COMPUTED_VALUE"""),"No")</f>
        <v>No</v>
      </c>
      <c r="AM2295" s="8"/>
      <c r="AN2295" s="8"/>
      <c r="AO2295" s="8" t="str">
        <f ca="1">IFERROR(__xludf.DUMMYFUNCTION("""COMPUTED_VALUE"""),"No")</f>
        <v>No</v>
      </c>
      <c r="AP2295" s="8"/>
      <c r="AQ2295" s="8" t="str">
        <f ca="1">IFERROR(__xludf.DUMMYFUNCTION("""COMPUTED_VALUE"""),"Unknown")</f>
        <v>Unknown</v>
      </c>
      <c r="AR2295" s="8" t="str">
        <f ca="1">IFERROR(__xludf.DUMMYFUNCTION("""COMPUTED_VALUE"""),"NA")</f>
        <v>NA</v>
      </c>
      <c r="AS2295" s="8">
        <f ca="1">IFERROR(__xludf.DUMMYFUNCTION("""COMPUTED_VALUE"""),4)</f>
        <v>4</v>
      </c>
      <c r="AT2295" s="8"/>
      <c r="AU2295" s="8">
        <f ca="1">IFERROR(__xludf.DUMMYFUNCTION("""COMPUTED_VALUE"""),29.589523)</f>
        <v>29.589523</v>
      </c>
      <c r="AV2295" s="8">
        <f ca="1">IFERROR(__xludf.DUMMYFUNCTION("""COMPUTED_VALUE"""),-95.782668)</f>
        <v>-95.782668000000001</v>
      </c>
      <c r="AW2295" s="8"/>
      <c r="AX2295" s="8">
        <f ca="1">IFERROR(__xludf.DUMMYFUNCTION("""COMPUTED_VALUE"""),77469)</f>
        <v>77469</v>
      </c>
    </row>
    <row r="2296" spans="1:50" ht="30" x14ac:dyDescent="0.2">
      <c r="A2296" s="8" t="str">
        <f ca="1">IFERROR(__xludf.DUMMYFUNCTION("""COMPUTED_VALUE"""),"20041213LALAL")</f>
        <v>20041213LALAL</v>
      </c>
      <c r="B2296" s="8">
        <f ca="1">IFERROR(__xludf.DUMMYFUNCTION("""COMPUTED_VALUE"""),12)</f>
        <v>12</v>
      </c>
      <c r="C2296" s="8">
        <f ca="1">IFERROR(__xludf.DUMMYFUNCTION("""COMPUTED_VALUE"""),13)</f>
        <v>13</v>
      </c>
      <c r="D2296" s="8">
        <f ca="1">IFERROR(__xludf.DUMMYFUNCTION("""COMPUTED_VALUE"""),2004)</f>
        <v>2004</v>
      </c>
      <c r="E2296" s="9">
        <f ca="1">IFERROR(__xludf.DUMMYFUNCTION("""COMPUTED_VALUE"""),38334)</f>
        <v>38334</v>
      </c>
      <c r="F2296" s="8" t="str">
        <f ca="1">IFERROR(__xludf.DUMMYFUNCTION("""COMPUTED_VALUE"""),"La Grange High School")</f>
        <v>La Grange High School</v>
      </c>
      <c r="G2296" s="8">
        <f ca="1">IFERROR(__xludf.DUMMYFUNCTION("""COMPUTED_VALUE"""),0)</f>
        <v>0</v>
      </c>
      <c r="H2296" s="8">
        <f ca="1">IFERROR(__xludf.DUMMYFUNCTION("""COMPUTED_VALUE"""),1)</f>
        <v>1</v>
      </c>
      <c r="I2296" s="8">
        <f ca="1">IFERROR(__xludf.DUMMYFUNCTION("""COMPUTED_VALUE"""),1)</f>
        <v>1</v>
      </c>
      <c r="J2296" s="8">
        <f ca="1">IFERROR(__xludf.DUMMYFUNCTION("""COMPUTED_VALUE"""),0)</f>
        <v>0</v>
      </c>
      <c r="K2296" s="10" t="str">
        <f ca="1">IFERROR(__xludf.DUMMYFUNCTION("""COMPUTED_VALUE"""),"https://www.columbine-angels.com/School_Violence_2004-2005.htm")</f>
        <v>https://www.columbine-angels.com/School_Violence_2004-2005.htm</v>
      </c>
      <c r="L2296" s="8"/>
      <c r="M2296" s="8"/>
      <c r="N2296" s="8">
        <f ca="1">IFERROR(__xludf.DUMMYFUNCTION("""COMPUTED_VALUE"""),1)</f>
        <v>1</v>
      </c>
      <c r="O2296" s="8" t="str">
        <f ca="1">IFERROR(__xludf.DUMMYFUNCTION("""COMPUTED_VALUE"""),"Winter")</f>
        <v>Winter</v>
      </c>
      <c r="P2296" s="8" t="str">
        <f ca="1">IFERROR(__xludf.DUMMYFUNCTION("""COMPUTED_VALUE"""),"Lake Charles")</f>
        <v>Lake Charles</v>
      </c>
      <c r="Q2296" s="8" t="str">
        <f ca="1">IFERROR(__xludf.DUMMYFUNCTION("""COMPUTED_VALUE"""),"LA")</f>
        <v>LA</v>
      </c>
      <c r="R2296" s="8" t="str">
        <f ca="1">IFERROR(__xludf.DUMMYFUNCTION("""COMPUTED_VALUE"""),"High")</f>
        <v>High</v>
      </c>
      <c r="S2296" s="8" t="str">
        <f ca="1">IFERROR(__xludf.DUMMYFUNCTION("""COMPUTED_VALUE"""),"Parking Lot")</f>
        <v>Parking Lot</v>
      </c>
      <c r="T2296" s="8" t="str">
        <f ca="1">IFERROR(__xludf.DUMMYFUNCTION("""COMPUTED_VALUE"""),"Outside on School Property")</f>
        <v>Outside on School Property</v>
      </c>
      <c r="U2296" s="8" t="str">
        <f ca="1">IFERROR(__xludf.DUMMYFUNCTION("""COMPUTED_VALUE"""),"Yes")</f>
        <v>Yes</v>
      </c>
      <c r="V2296" s="8" t="str">
        <f ca="1">IFERROR(__xludf.DUMMYFUNCTION("""COMPUTED_VALUE"""),"Lunch")</f>
        <v>Lunch</v>
      </c>
      <c r="W2296" s="11">
        <f ca="1">IFERROR(__xludf.DUMMYFUNCTION("""COMPUTED_VALUE"""),0.520833333333333)</f>
        <v>0.52083333333333304</v>
      </c>
      <c r="X2296" s="8">
        <f ca="1">IFERROR(__xludf.DUMMYFUNCTION("""COMPUTED_VALUE"""),1)</f>
        <v>1</v>
      </c>
      <c r="Y2296" s="12" t="str">
        <f ca="1">IFERROR(__xludf.DUMMYFUNCTION("""COMPUTED_VALUE"""),"Shot in parking lot by masked gunman")</f>
        <v>Shot in parking lot by masked gunman</v>
      </c>
      <c r="Z2296" s="12" t="str">
        <f ca="1">IFERROR(__xludf.DUMMYFUNCTION("""COMPUTED_VALUE"""),"18YOM shot in the school parking lot inside his car by a masked gunman. No other information available.")</f>
        <v>18YOM shot in the school parking lot inside his car by a masked gunman. No other information available.</v>
      </c>
      <c r="AA2296" s="8" t="str">
        <f ca="1">IFERROR(__xludf.DUMMYFUNCTION("""COMPUTED_VALUE"""),"Unknown")</f>
        <v>Unknown</v>
      </c>
      <c r="AB2296" s="8"/>
      <c r="AC2296" s="8"/>
      <c r="AD2296" s="8" t="str">
        <f ca="1">IFERROR(__xludf.DUMMYFUNCTION("""COMPUTED_VALUE"""),"Victims Targeted")</f>
        <v>Victims Targeted</v>
      </c>
      <c r="AE2296" s="8" t="str">
        <f ca="1">IFERROR(__xludf.DUMMYFUNCTION("""COMPUTED_VALUE"""),"No")</f>
        <v>No</v>
      </c>
      <c r="AF2296" s="8"/>
      <c r="AG2296" s="8" t="str">
        <f ca="1">IFERROR(__xludf.DUMMYFUNCTION("""COMPUTED_VALUE"""),"No")</f>
        <v>No</v>
      </c>
      <c r="AH2296" s="8" t="str">
        <f ca="1">IFERROR(__xludf.DUMMYFUNCTION("""COMPUTED_VALUE"""),"No")</f>
        <v>No</v>
      </c>
      <c r="AI2296" s="8" t="str">
        <f ca="1">IFERROR(__xludf.DUMMYFUNCTION("""COMPUTED_VALUE"""),"No")</f>
        <v>No</v>
      </c>
      <c r="AJ2296" s="8" t="str">
        <f ca="1">IFERROR(__xludf.DUMMYFUNCTION("""COMPUTED_VALUE"""),"No")</f>
        <v>No</v>
      </c>
      <c r="AK2296" s="8" t="str">
        <f ca="1">IFERROR(__xludf.DUMMYFUNCTION("""COMPUTED_VALUE"""),"No")</f>
        <v>No</v>
      </c>
      <c r="AL2296" s="8"/>
      <c r="AM2296" s="8"/>
      <c r="AN2296" s="8"/>
      <c r="AO2296" s="8" t="str">
        <f ca="1">IFERROR(__xludf.DUMMYFUNCTION("""COMPUTED_VALUE"""),"No")</f>
        <v>No</v>
      </c>
      <c r="AP2296" s="8"/>
      <c r="AQ2296" s="8" t="str">
        <f ca="1">IFERROR(__xludf.DUMMYFUNCTION("""COMPUTED_VALUE"""),"Unknown")</f>
        <v>Unknown</v>
      </c>
      <c r="AR2296" s="8" t="str">
        <f ca="1">IFERROR(__xludf.DUMMYFUNCTION("""COMPUTED_VALUE"""),"NA")</f>
        <v>NA</v>
      </c>
      <c r="AS2296" s="8">
        <f ca="1">IFERROR(__xludf.DUMMYFUNCTION("""COMPUTED_VALUE"""),1)</f>
        <v>1</v>
      </c>
      <c r="AT2296" s="8"/>
      <c r="AU2296" s="8">
        <f ca="1">IFERROR(__xludf.DUMMYFUNCTION("""COMPUTED_VALUE"""),30.195759)</f>
        <v>30.195758999999999</v>
      </c>
      <c r="AV2296" s="8">
        <f ca="1">IFERROR(__xludf.DUMMYFUNCTION("""COMPUTED_VALUE"""),-93.206861)</f>
        <v>-93.206861000000004</v>
      </c>
      <c r="AW2296" s="8"/>
      <c r="AX2296" s="8">
        <f ca="1">IFERROR(__xludf.DUMMYFUNCTION("""COMPUTED_VALUE"""),70607)</f>
        <v>70607</v>
      </c>
    </row>
    <row r="2297" spans="1:50" ht="90" x14ac:dyDescent="0.2">
      <c r="A2297" s="8" t="str">
        <f ca="1">IFERROR(__xludf.DUMMYFUNCTION("""COMPUTED_VALUE"""),"20041209WALAS")</f>
        <v>20041209WALAS</v>
      </c>
      <c r="B2297" s="8">
        <f ca="1">IFERROR(__xludf.DUMMYFUNCTION("""COMPUTED_VALUE"""),12)</f>
        <v>12</v>
      </c>
      <c r="C2297" s="8">
        <f ca="1">IFERROR(__xludf.DUMMYFUNCTION("""COMPUTED_VALUE"""),9)</f>
        <v>9</v>
      </c>
      <c r="D2297" s="8">
        <f ca="1">IFERROR(__xludf.DUMMYFUNCTION("""COMPUTED_VALUE"""),2004)</f>
        <v>2004</v>
      </c>
      <c r="E2297" s="9">
        <f ca="1">IFERROR(__xludf.DUMMYFUNCTION("""COMPUTED_VALUE"""),38330)</f>
        <v>38330</v>
      </c>
      <c r="F2297" s="8" t="str">
        <f ca="1">IFERROR(__xludf.DUMMYFUNCTION("""COMPUTED_VALUE"""),"Lakeside High School")</f>
        <v>Lakeside High School</v>
      </c>
      <c r="G2297" s="8">
        <f ca="1">IFERROR(__xludf.DUMMYFUNCTION("""COMPUTED_VALUE"""),0)</f>
        <v>0</v>
      </c>
      <c r="H2297" s="8">
        <f ca="1">IFERROR(__xludf.DUMMYFUNCTION("""COMPUTED_VALUE"""),0)</f>
        <v>0</v>
      </c>
      <c r="I2297" s="8">
        <f ca="1">IFERROR(__xludf.DUMMYFUNCTION("""COMPUTED_VALUE"""),0)</f>
        <v>0</v>
      </c>
      <c r="J2297" s="8">
        <f ca="1">IFERROR(__xludf.DUMMYFUNCTION("""COMPUTED_VALUE"""),1)</f>
        <v>1</v>
      </c>
      <c r="K2297" s="10" t="str">
        <f ca="1">IFERROR(__xludf.DUMMYFUNCTION("""COMPUTED_VALUE"""),"http://www.spokesman.com/stories/2004/dec/11/skyler-cullitan-remembered-as-caring-outgoing/")</f>
        <v>http://www.spokesman.com/stories/2004/dec/11/skyler-cullitan-remembered-as-caring-outgoing/</v>
      </c>
      <c r="L2297" s="8"/>
      <c r="M2297" s="8"/>
      <c r="N2297" s="8">
        <f ca="1">IFERROR(__xludf.DUMMYFUNCTION("""COMPUTED_VALUE"""),2)</f>
        <v>2</v>
      </c>
      <c r="O2297" s="8" t="str">
        <f ca="1">IFERROR(__xludf.DUMMYFUNCTION("""COMPUTED_VALUE"""),"Winter")</f>
        <v>Winter</v>
      </c>
      <c r="P2297" s="8" t="str">
        <f ca="1">IFERROR(__xludf.DUMMYFUNCTION("""COMPUTED_VALUE"""),"Spokane")</f>
        <v>Spokane</v>
      </c>
      <c r="Q2297" s="8" t="str">
        <f ca="1">IFERROR(__xludf.DUMMYFUNCTION("""COMPUTED_VALUE"""),"WA")</f>
        <v>WA</v>
      </c>
      <c r="R2297" s="8" t="str">
        <f ca="1">IFERROR(__xludf.DUMMYFUNCTION("""COMPUTED_VALUE"""),"High")</f>
        <v>High</v>
      </c>
      <c r="S2297" s="8" t="str">
        <f ca="1">IFERROR(__xludf.DUMMYFUNCTION("""COMPUTED_VALUE"""),"Front of School")</f>
        <v>Front of School</v>
      </c>
      <c r="T2297" s="8" t="str">
        <f ca="1">IFERROR(__xludf.DUMMYFUNCTION("""COMPUTED_VALUE"""),"Outside on School Property")</f>
        <v>Outside on School Property</v>
      </c>
      <c r="U2297" s="8" t="str">
        <f ca="1">IFERROR(__xludf.DUMMYFUNCTION("""COMPUTED_VALUE"""),"Yes")</f>
        <v>Yes</v>
      </c>
      <c r="V2297" s="8" t="str">
        <f ca="1">IFERROR(__xludf.DUMMYFUNCTION("""COMPUTED_VALUE"""),"Afternoon Classes")</f>
        <v>Afternoon Classes</v>
      </c>
      <c r="W2297" s="11">
        <f ca="1">IFERROR(__xludf.DUMMYFUNCTION("""COMPUTED_VALUE"""),0.555555555555555)</f>
        <v>0.55555555555555503</v>
      </c>
      <c r="X2297" s="8">
        <f ca="1">IFERROR(__xludf.DUMMYFUNCTION("""COMPUTED_VALUE"""),1)</f>
        <v>1</v>
      </c>
      <c r="Y2297" s="12" t="str">
        <f ca="1">IFERROR(__xludf.DUMMYFUNCTION("""COMPUTED_VALUE"""),"Shot himself in front of school, reported he had fireworks and multiple types of ammo")</f>
        <v>Shot himself in front of school, reported he had fireworks and multiple types of ammo</v>
      </c>
      <c r="Z2297" s="12" t="str">
        <f ca="1">IFERROR(__xludf.DUMMYFUNCTION("""COMPUTED_VALUE"""),"16YOM student shot and killed himself in front of school. Reported that he had fireworks and multiple types of ammo in his backpack. Online blog had violent imagery and references to shooting and bombing school. Teachers and students said he was a good ki"&amp;"d and varsity athlete. Students reported he had been teased for being queer.")</f>
        <v>16YOM student shot and killed himself in front of school. Reported that he had fireworks and multiple types of ammo in his backpack. Online blog had violent imagery and references to shooting and bombing school. Teachers and students said he was a good kid and varsity athlete. Students reported he had been teased for being queer.</v>
      </c>
      <c r="AA2297" s="8" t="str">
        <f ca="1">IFERROR(__xludf.DUMMYFUNCTION("""COMPUTED_VALUE"""),"Suicide/Attempted")</f>
        <v>Suicide/Attempted</v>
      </c>
      <c r="AB2297" s="8"/>
      <c r="AC2297" s="8"/>
      <c r="AD2297" s="8" t="str">
        <f ca="1">IFERROR(__xludf.DUMMYFUNCTION("""COMPUTED_VALUE"""),"Victims Targeted")</f>
        <v>Victims Targeted</v>
      </c>
      <c r="AE2297" s="8" t="str">
        <f ca="1">IFERROR(__xludf.DUMMYFUNCTION("""COMPUTED_VALUE"""),"No")</f>
        <v>No</v>
      </c>
      <c r="AF2297" s="8"/>
      <c r="AG2297" s="8" t="str">
        <f ca="1">IFERROR(__xludf.DUMMYFUNCTION("""COMPUTED_VALUE"""),"No")</f>
        <v>No</v>
      </c>
      <c r="AH2297" s="8" t="str">
        <f ca="1">IFERROR(__xludf.DUMMYFUNCTION("""COMPUTED_VALUE"""),"No")</f>
        <v>No</v>
      </c>
      <c r="AI2297" s="8" t="str">
        <f ca="1">IFERROR(__xludf.DUMMYFUNCTION("""COMPUTED_VALUE"""),"No")</f>
        <v>No</v>
      </c>
      <c r="AJ2297" s="8" t="str">
        <f ca="1">IFERROR(__xludf.DUMMYFUNCTION("""COMPUTED_VALUE"""),"Yes")</f>
        <v>Yes</v>
      </c>
      <c r="AK2297" s="8" t="str">
        <f ca="1">IFERROR(__xludf.DUMMYFUNCTION("""COMPUTED_VALUE"""),"No")</f>
        <v>No</v>
      </c>
      <c r="AL2297" s="8" t="str">
        <f ca="1">IFERROR(__xludf.DUMMYFUNCTION("""COMPUTED_VALUE"""),"No")</f>
        <v>No</v>
      </c>
      <c r="AM2297" s="8"/>
      <c r="AN2297" s="8"/>
      <c r="AO2297" s="8"/>
      <c r="AP2297" s="8"/>
      <c r="AQ2297" s="8" t="str">
        <f ca="1">IFERROR(__xludf.DUMMYFUNCTION("""COMPUTED_VALUE"""),"Unknown")</f>
        <v>Unknown</v>
      </c>
      <c r="AR2297" s="8" t="str">
        <f ca="1">IFERROR(__xludf.DUMMYFUNCTION("""COMPUTED_VALUE"""),"NA")</f>
        <v>NA</v>
      </c>
      <c r="AS2297" s="8">
        <f ca="1">IFERROR(__xludf.DUMMYFUNCTION("""COMPUTED_VALUE"""),1)</f>
        <v>1</v>
      </c>
      <c r="AT2297" s="8"/>
      <c r="AU2297" s="8">
        <f ca="1">IFERROR(__xludf.DUMMYFUNCTION("""COMPUTED_VALUE"""),47.808976)</f>
        <v>47.808976000000001</v>
      </c>
      <c r="AV2297" s="8">
        <f ca="1">IFERROR(__xludf.DUMMYFUNCTION("""COMPUTED_VALUE"""),-117.558509)</f>
        <v>-117.558509</v>
      </c>
      <c r="AW2297" s="8"/>
      <c r="AX2297" s="8">
        <f ca="1">IFERROR(__xludf.DUMMYFUNCTION("""COMPUTED_VALUE"""),99026)</f>
        <v>99026</v>
      </c>
    </row>
    <row r="2298" spans="1:50" ht="60" x14ac:dyDescent="0.2">
      <c r="A2298" s="8" t="str">
        <f ca="1">IFERROR(__xludf.DUMMYFUNCTION("""COMPUTED_VALUE"""),"20041119FLTEJ")</f>
        <v>20041119FLTEJ</v>
      </c>
      <c r="B2298" s="8">
        <f ca="1">IFERROR(__xludf.DUMMYFUNCTION("""COMPUTED_VALUE"""),11)</f>
        <v>11</v>
      </c>
      <c r="C2298" s="8">
        <f ca="1">IFERROR(__xludf.DUMMYFUNCTION("""COMPUTED_VALUE"""),19)</f>
        <v>19</v>
      </c>
      <c r="D2298" s="8">
        <f ca="1">IFERROR(__xludf.DUMMYFUNCTION("""COMPUTED_VALUE"""),2004)</f>
        <v>2004</v>
      </c>
      <c r="E2298" s="9">
        <f ca="1">IFERROR(__xludf.DUMMYFUNCTION("""COMPUTED_VALUE"""),38310)</f>
        <v>38310</v>
      </c>
      <c r="F2298" s="8" t="str">
        <f ca="1">IFERROR(__xludf.DUMMYFUNCTION("""COMPUTED_VALUE"""),"Terry Parker High School")</f>
        <v>Terry Parker High School</v>
      </c>
      <c r="G2298" s="8">
        <f ca="1">IFERROR(__xludf.DUMMYFUNCTION("""COMPUTED_VALUE"""),0)</f>
        <v>0</v>
      </c>
      <c r="H2298" s="8">
        <f ca="1">IFERROR(__xludf.DUMMYFUNCTION("""COMPUTED_VALUE"""),1)</f>
        <v>1</v>
      </c>
      <c r="I2298" s="8">
        <f ca="1">IFERROR(__xludf.DUMMYFUNCTION("""COMPUTED_VALUE"""),1)</f>
        <v>1</v>
      </c>
      <c r="J2298" s="8">
        <f ca="1">IFERROR(__xludf.DUMMYFUNCTION("""COMPUTED_VALUE"""),0)</f>
        <v>0</v>
      </c>
      <c r="K2298" s="10" t="str">
        <f ca="1">IFERROR(__xludf.DUMMYFUNCTION("""COMPUTED_VALUE"""),"https://www.questia.com/newspaper/1G1-125515131/student-accidentally-shot-1-charged-terry-parker")</f>
        <v>https://www.questia.com/newspaper/1G1-125515131/student-accidentally-shot-1-charged-terry-parker</v>
      </c>
      <c r="L2298" s="8"/>
      <c r="M2298" s="8"/>
      <c r="N2298" s="8">
        <f ca="1">IFERROR(__xludf.DUMMYFUNCTION("""COMPUTED_VALUE"""),2)</f>
        <v>2</v>
      </c>
      <c r="O2298" s="8" t="str">
        <f ca="1">IFERROR(__xludf.DUMMYFUNCTION("""COMPUTED_VALUE"""),"Fall")</f>
        <v>Fall</v>
      </c>
      <c r="P2298" s="8" t="str">
        <f ca="1">IFERROR(__xludf.DUMMYFUNCTION("""COMPUTED_VALUE"""),"Jacksonville")</f>
        <v>Jacksonville</v>
      </c>
      <c r="Q2298" s="8" t="str">
        <f ca="1">IFERROR(__xludf.DUMMYFUNCTION("""COMPUTED_VALUE"""),"FL")</f>
        <v>FL</v>
      </c>
      <c r="R2298" s="8" t="str">
        <f ca="1">IFERROR(__xludf.DUMMYFUNCTION("""COMPUTED_VALUE"""),"High")</f>
        <v>High</v>
      </c>
      <c r="S2298" s="8" t="str">
        <f ca="1">IFERROR(__xludf.DUMMYFUNCTION("""COMPUTED_VALUE"""),"Parking Lot")</f>
        <v>Parking Lot</v>
      </c>
      <c r="T2298" s="8" t="str">
        <f ca="1">IFERROR(__xludf.DUMMYFUNCTION("""COMPUTED_VALUE"""),"Outside on School Property")</f>
        <v>Outside on School Property</v>
      </c>
      <c r="U2298" s="8" t="str">
        <f ca="1">IFERROR(__xludf.DUMMYFUNCTION("""COMPUTED_VALUE"""),"Yes")</f>
        <v>Yes</v>
      </c>
      <c r="V2298" s="8" t="str">
        <f ca="1">IFERROR(__xludf.DUMMYFUNCTION("""COMPUTED_VALUE"""),"School Start")</f>
        <v>School Start</v>
      </c>
      <c r="W2298" s="11">
        <f ca="1">IFERROR(__xludf.DUMMYFUNCTION("""COMPUTED_VALUE"""),0.28125)</f>
        <v>0.28125</v>
      </c>
      <c r="X2298" s="8">
        <f ca="1">IFERROR(__xludf.DUMMYFUNCTION("""COMPUTED_VALUE"""),1)</f>
        <v>1</v>
      </c>
      <c r="Y2298" s="12" t="str">
        <f ca="1">IFERROR(__xludf.DUMMYFUNCTION("""COMPUTED_VALUE"""),"4 students playing with gun in car, one shot in leg, claimed a driveby")</f>
        <v>4 students playing with gun in car, one shot in leg, claimed a driveby</v>
      </c>
      <c r="Z2298" s="12" t="str">
        <f ca="1">IFERROR(__xludf.DUMMYFUNCTION("""COMPUTED_VALUE"""),"4 students were playing with a gun in the car, accidentally fired striking one of the students. Called 911 and told police they had been in a drive by shooting.")</f>
        <v>4 students were playing with a gun in the car, accidentally fired striking one of the students. Called 911 and told police they had been in a drive by shooting.</v>
      </c>
      <c r="AA2298" s="8" t="str">
        <f ca="1">IFERROR(__xludf.DUMMYFUNCTION("""COMPUTED_VALUE"""),"Accidental")</f>
        <v>Accidental</v>
      </c>
      <c r="AB2298" s="8"/>
      <c r="AC2298" s="8"/>
      <c r="AD2298" s="8" t="str">
        <f ca="1">IFERROR(__xludf.DUMMYFUNCTION("""COMPUTED_VALUE"""),"Random Shooting")</f>
        <v>Random Shooting</v>
      </c>
      <c r="AE2298" s="8" t="str">
        <f ca="1">IFERROR(__xludf.DUMMYFUNCTION("""COMPUTED_VALUE"""),"Yes")</f>
        <v>Yes</v>
      </c>
      <c r="AF2298" s="8" t="str">
        <f ca="1">IFERROR(__xludf.DUMMYFUNCTION("""COMPUTED_VALUE"""),"4 students in car playing with gun")</f>
        <v>4 students in car playing with gun</v>
      </c>
      <c r="AG2298" s="8" t="str">
        <f ca="1">IFERROR(__xludf.DUMMYFUNCTION("""COMPUTED_VALUE"""),"No")</f>
        <v>No</v>
      </c>
      <c r="AH2298" s="8" t="str">
        <f ca="1">IFERROR(__xludf.DUMMYFUNCTION("""COMPUTED_VALUE"""),"No")</f>
        <v>No</v>
      </c>
      <c r="AI2298" s="8" t="str">
        <f ca="1">IFERROR(__xludf.DUMMYFUNCTION("""COMPUTED_VALUE"""),"No")</f>
        <v>No</v>
      </c>
      <c r="AJ2298" s="8" t="str">
        <f ca="1">IFERROR(__xludf.DUMMYFUNCTION("""COMPUTED_VALUE"""),"No")</f>
        <v>No</v>
      </c>
      <c r="AK2298" s="8" t="str">
        <f ca="1">IFERROR(__xludf.DUMMYFUNCTION("""COMPUTED_VALUE"""),"No")</f>
        <v>No</v>
      </c>
      <c r="AL2298" s="8" t="str">
        <f ca="1">IFERROR(__xludf.DUMMYFUNCTION("""COMPUTED_VALUE"""),"No")</f>
        <v>No</v>
      </c>
      <c r="AM2298" s="8"/>
      <c r="AN2298" s="8"/>
      <c r="AO2298" s="8" t="str">
        <f ca="1">IFERROR(__xludf.DUMMYFUNCTION("""COMPUTED_VALUE"""),"No")</f>
        <v>No</v>
      </c>
      <c r="AP2298" s="8"/>
      <c r="AQ2298" s="8" t="str">
        <f ca="1">IFERROR(__xludf.DUMMYFUNCTION("""COMPUTED_VALUE"""),"Unknown")</f>
        <v>Unknown</v>
      </c>
      <c r="AR2298" s="8" t="str">
        <f ca="1">IFERROR(__xludf.DUMMYFUNCTION("""COMPUTED_VALUE"""),"NA")</f>
        <v>NA</v>
      </c>
      <c r="AS2298" s="8">
        <f ca="1">IFERROR(__xludf.DUMMYFUNCTION("""COMPUTED_VALUE"""),1)</f>
        <v>1</v>
      </c>
      <c r="AT2298" s="8"/>
      <c r="AU2298" s="8">
        <f ca="1">IFERROR(__xludf.DUMMYFUNCTION("""COMPUTED_VALUE"""),30.341743)</f>
        <v>30.341743000000001</v>
      </c>
      <c r="AV2298" s="8">
        <f ca="1">IFERROR(__xludf.DUMMYFUNCTION("""COMPUTED_VALUE"""),-81.575024)</f>
        <v>-81.575023999999999</v>
      </c>
      <c r="AW2298" s="8"/>
      <c r="AX2298" s="8">
        <f ca="1">IFERROR(__xludf.DUMMYFUNCTION("""COMPUTED_VALUE"""),32211)</f>
        <v>32211</v>
      </c>
    </row>
    <row r="2299" spans="1:50" ht="60" x14ac:dyDescent="0.2">
      <c r="A2299" s="8" t="str">
        <f ca="1">IFERROR(__xludf.DUMMYFUNCTION("""COMPUTED_VALUE"""),"20041117FLAPA")</f>
        <v>20041117FLAPA</v>
      </c>
      <c r="B2299" s="8">
        <f ca="1">IFERROR(__xludf.DUMMYFUNCTION("""COMPUTED_VALUE"""),11)</f>
        <v>11</v>
      </c>
      <c r="C2299" s="8">
        <f ca="1">IFERROR(__xludf.DUMMYFUNCTION("""COMPUTED_VALUE"""),17)</f>
        <v>17</v>
      </c>
      <c r="D2299" s="8">
        <f ca="1">IFERROR(__xludf.DUMMYFUNCTION("""COMPUTED_VALUE"""),2004)</f>
        <v>2004</v>
      </c>
      <c r="E2299" s="9">
        <f ca="1">IFERROR(__xludf.DUMMYFUNCTION("""COMPUTED_VALUE"""),38308)</f>
        <v>38308</v>
      </c>
      <c r="F2299" s="8" t="str">
        <f ca="1">IFERROR(__xludf.DUMMYFUNCTION("""COMPUTED_VALUE"""),"Apopka Memorial Middle School")</f>
        <v>Apopka Memorial Middle School</v>
      </c>
      <c r="G2299" s="8">
        <f ca="1">IFERROR(__xludf.DUMMYFUNCTION("""COMPUTED_VALUE"""),0)</f>
        <v>0</v>
      </c>
      <c r="H2299" s="8">
        <f ca="1">IFERROR(__xludf.DUMMYFUNCTION("""COMPUTED_VALUE"""),0)</f>
        <v>0</v>
      </c>
      <c r="I2299" s="8">
        <f ca="1">IFERROR(__xludf.DUMMYFUNCTION("""COMPUTED_VALUE"""),0)</f>
        <v>0</v>
      </c>
      <c r="J2299" s="8">
        <f ca="1">IFERROR(__xludf.DUMMYFUNCTION("""COMPUTED_VALUE"""),0)</f>
        <v>0</v>
      </c>
      <c r="K2299" s="10" t="str">
        <f ca="1">IFERROR(__xludf.DUMMYFUNCTION("""COMPUTED_VALUE"""),"http://articles.orlandosentinel.com/keyword/gun-to-school/recent/3")</f>
        <v>http://articles.orlandosentinel.com/keyword/gun-to-school/recent/3</v>
      </c>
      <c r="L2299" s="8"/>
      <c r="M2299" s="8"/>
      <c r="N2299" s="8">
        <f ca="1">IFERROR(__xludf.DUMMYFUNCTION("""COMPUTED_VALUE"""),2)</f>
        <v>2</v>
      </c>
      <c r="O2299" s="8" t="str">
        <f ca="1">IFERROR(__xludf.DUMMYFUNCTION("""COMPUTED_VALUE"""),"Fall")</f>
        <v>Fall</v>
      </c>
      <c r="P2299" s="8" t="str">
        <f ca="1">IFERROR(__xludf.DUMMYFUNCTION("""COMPUTED_VALUE"""),"Apopka")</f>
        <v>Apopka</v>
      </c>
      <c r="Q2299" s="8" t="str">
        <f ca="1">IFERROR(__xludf.DUMMYFUNCTION("""COMPUTED_VALUE"""),"FL")</f>
        <v>FL</v>
      </c>
      <c r="R2299" s="8" t="str">
        <f ca="1">IFERROR(__xludf.DUMMYFUNCTION("""COMPUTED_VALUE"""),"Middle")</f>
        <v>Middle</v>
      </c>
      <c r="S2299" s="8" t="str">
        <f ca="1">IFERROR(__xludf.DUMMYFUNCTION("""COMPUTED_VALUE"""),"Classroom")</f>
        <v>Classroom</v>
      </c>
      <c r="T2299" s="8" t="str">
        <f ca="1">IFERROR(__xludf.DUMMYFUNCTION("""COMPUTED_VALUE"""),"Inside School Building")</f>
        <v>Inside School Building</v>
      </c>
      <c r="U2299" s="8" t="str">
        <f ca="1">IFERROR(__xludf.DUMMYFUNCTION("""COMPUTED_VALUE"""),"Yes")</f>
        <v>Yes</v>
      </c>
      <c r="V2299" s="8"/>
      <c r="W2299" s="8"/>
      <c r="X2299" s="8">
        <f ca="1">IFERROR(__xludf.DUMMYFUNCTION("""COMPUTED_VALUE"""),1)</f>
        <v>1</v>
      </c>
      <c r="Y2299" s="12" t="str">
        <f ca="1">IFERROR(__xludf.DUMMYFUNCTION("""COMPUTED_VALUE"""),"Fired gun in bathroom, ran into class with gun, arrested by police")</f>
        <v>Fired gun in bathroom, ran into class with gun, arrested by police</v>
      </c>
      <c r="Z2299" s="12" t="str">
        <f ca="1">IFERROR(__xludf.DUMMYFUNCTION("""COMPUTED_VALUE"""),"14YOM fired gun in bathroom, ran into a classroom, and was arrested by police.")</f>
        <v>14YOM fired gun in bathroom, ran into a classroom, and was arrested by police.</v>
      </c>
      <c r="AA2299" s="8" t="str">
        <f ca="1">IFERROR(__xludf.DUMMYFUNCTION("""COMPUTED_VALUE"""),"Unknown")</f>
        <v>Unknown</v>
      </c>
      <c r="AB2299" s="8"/>
      <c r="AC2299" s="8"/>
      <c r="AD2299" s="8" t="str">
        <f ca="1">IFERROR(__xludf.DUMMYFUNCTION("""COMPUTED_VALUE"""),"Neither")</f>
        <v>Neither</v>
      </c>
      <c r="AE2299" s="8" t="str">
        <f ca="1">IFERROR(__xludf.DUMMYFUNCTION("""COMPUTED_VALUE"""),"No")</f>
        <v>No</v>
      </c>
      <c r="AF2299" s="8"/>
      <c r="AG2299" s="8" t="str">
        <f ca="1">IFERROR(__xludf.DUMMYFUNCTION("""COMPUTED_VALUE"""),"No")</f>
        <v>No</v>
      </c>
      <c r="AH2299" s="8" t="str">
        <f ca="1">IFERROR(__xludf.DUMMYFUNCTION("""COMPUTED_VALUE"""),"No")</f>
        <v>No</v>
      </c>
      <c r="AI2299" s="8" t="str">
        <f ca="1">IFERROR(__xludf.DUMMYFUNCTION("""COMPUTED_VALUE"""),"No")</f>
        <v>No</v>
      </c>
      <c r="AJ2299" s="8" t="str">
        <f ca="1">IFERROR(__xludf.DUMMYFUNCTION("""COMPUTED_VALUE"""),"No")</f>
        <v>No</v>
      </c>
      <c r="AK2299" s="8" t="str">
        <f ca="1">IFERROR(__xludf.DUMMYFUNCTION("""COMPUTED_VALUE"""),"No")</f>
        <v>No</v>
      </c>
      <c r="AL2299" s="8" t="str">
        <f ca="1">IFERROR(__xludf.DUMMYFUNCTION("""COMPUTED_VALUE"""),"No")</f>
        <v>No</v>
      </c>
      <c r="AM2299" s="8"/>
      <c r="AN2299" s="8"/>
      <c r="AO2299" s="8" t="str">
        <f ca="1">IFERROR(__xludf.DUMMYFUNCTION("""COMPUTED_VALUE"""),"No")</f>
        <v>No</v>
      </c>
      <c r="AP2299" s="8"/>
      <c r="AQ2299" s="8" t="str">
        <f ca="1">IFERROR(__xludf.DUMMYFUNCTION("""COMPUTED_VALUE"""),"Unknown")</f>
        <v>Unknown</v>
      </c>
      <c r="AR2299" s="8" t="str">
        <f ca="1">IFERROR(__xludf.DUMMYFUNCTION("""COMPUTED_VALUE"""),"NA")</f>
        <v>NA</v>
      </c>
      <c r="AS2299" s="8">
        <f ca="1">IFERROR(__xludf.DUMMYFUNCTION("""COMPUTED_VALUE"""),1)</f>
        <v>1</v>
      </c>
      <c r="AT2299" s="8"/>
      <c r="AU2299" s="8">
        <f ca="1">IFERROR(__xludf.DUMMYFUNCTION("""COMPUTED_VALUE"""),28.687393)</f>
        <v>28.687393</v>
      </c>
      <c r="AV2299" s="8">
        <f ca="1">IFERROR(__xludf.DUMMYFUNCTION("""COMPUTED_VALUE"""),-81.5087)</f>
        <v>-81.508700000000005</v>
      </c>
      <c r="AW2299" s="8"/>
      <c r="AX2299" s="8">
        <f ca="1">IFERROR(__xludf.DUMMYFUNCTION("""COMPUTED_VALUE"""),32712)</f>
        <v>32712</v>
      </c>
    </row>
    <row r="2300" spans="1:50" ht="45" x14ac:dyDescent="0.2">
      <c r="A2300" s="8" t="str">
        <f ca="1">IFERROR(__xludf.DUMMYFUNCTION("""COMPUTED_VALUE"""),"20041116SCBAB")</f>
        <v>20041116SCBAB</v>
      </c>
      <c r="B2300" s="8">
        <f ca="1">IFERROR(__xludf.DUMMYFUNCTION("""COMPUTED_VALUE"""),11)</f>
        <v>11</v>
      </c>
      <c r="C2300" s="8">
        <f ca="1">IFERROR(__xludf.DUMMYFUNCTION("""COMPUTED_VALUE"""),16)</f>
        <v>16</v>
      </c>
      <c r="D2300" s="8">
        <f ca="1">IFERROR(__xludf.DUMMYFUNCTION("""COMPUTED_VALUE"""),2004)</f>
        <v>2004</v>
      </c>
      <c r="E2300" s="9">
        <f ca="1">IFERROR(__xludf.DUMMYFUNCTION("""COMPUTED_VALUE"""),38307)</f>
        <v>38307</v>
      </c>
      <c r="F2300" s="8" t="str">
        <f ca="1">IFERROR(__xludf.DUMMYFUNCTION("""COMPUTED_VALUE"""),"Battery Creek High School")</f>
        <v>Battery Creek High School</v>
      </c>
      <c r="G2300" s="8">
        <f ca="1">IFERROR(__xludf.DUMMYFUNCTION("""COMPUTED_VALUE"""),0)</f>
        <v>0</v>
      </c>
      <c r="H2300" s="8">
        <f ca="1">IFERROR(__xludf.DUMMYFUNCTION("""COMPUTED_VALUE"""),1)</f>
        <v>1</v>
      </c>
      <c r="I2300" s="8">
        <f ca="1">IFERROR(__xludf.DUMMYFUNCTION("""COMPUTED_VALUE"""),1)</f>
        <v>1</v>
      </c>
      <c r="J2300" s="8">
        <f ca="1">IFERROR(__xludf.DUMMYFUNCTION("""COMPUTED_VALUE"""),0)</f>
        <v>0</v>
      </c>
      <c r="K2300" s="10" t="str">
        <f ca="1">IFERROR(__xludf.DUMMYFUNCTION("""COMPUTED_VALUE"""),"http://www.wtoc.com/story/2578224/gunman-sought-in-battery-creek-high-shooting")</f>
        <v>http://www.wtoc.com/story/2578224/gunman-sought-in-battery-creek-high-shooting</v>
      </c>
      <c r="L2300" s="8"/>
      <c r="M2300" s="8"/>
      <c r="N2300" s="8">
        <f ca="1">IFERROR(__xludf.DUMMYFUNCTION("""COMPUTED_VALUE"""),2)</f>
        <v>2</v>
      </c>
      <c r="O2300" s="8" t="str">
        <f ca="1">IFERROR(__xludf.DUMMYFUNCTION("""COMPUTED_VALUE"""),"Fall")</f>
        <v>Fall</v>
      </c>
      <c r="P2300" s="8" t="str">
        <f ca="1">IFERROR(__xludf.DUMMYFUNCTION("""COMPUTED_VALUE"""),"Beaufort")</f>
        <v>Beaufort</v>
      </c>
      <c r="Q2300" s="8" t="str">
        <f ca="1">IFERROR(__xludf.DUMMYFUNCTION("""COMPUTED_VALUE"""),"SC")</f>
        <v>SC</v>
      </c>
      <c r="R2300" s="8" t="str">
        <f ca="1">IFERROR(__xludf.DUMMYFUNCTION("""COMPUTED_VALUE"""),"High")</f>
        <v>High</v>
      </c>
      <c r="S2300" s="8" t="str">
        <f ca="1">IFERROR(__xludf.DUMMYFUNCTION("""COMPUTED_VALUE"""),"Gym")</f>
        <v>Gym</v>
      </c>
      <c r="T2300" s="8" t="str">
        <f ca="1">IFERROR(__xludf.DUMMYFUNCTION("""COMPUTED_VALUE"""),"Inside School Building")</f>
        <v>Inside School Building</v>
      </c>
      <c r="U2300" s="8" t="str">
        <f ca="1">IFERROR(__xludf.DUMMYFUNCTION("""COMPUTED_VALUE"""),"No")</f>
        <v>No</v>
      </c>
      <c r="V2300" s="8" t="str">
        <f ca="1">IFERROR(__xludf.DUMMYFUNCTION("""COMPUTED_VALUE"""),"Sport Event")</f>
        <v>Sport Event</v>
      </c>
      <c r="W2300" s="11">
        <f ca="1">IFERROR(__xludf.DUMMYFUNCTION("""COMPUTED_VALUE"""),0.770833333333333)</f>
        <v>0.77083333333333304</v>
      </c>
      <c r="X2300" s="8">
        <f ca="1">IFERROR(__xludf.DUMMYFUNCTION("""COMPUTED_VALUE"""),1)</f>
        <v>1</v>
      </c>
      <c r="Y2300" s="12" t="str">
        <f ca="1">IFERROR(__xludf.DUMMYFUNCTION("""COMPUTED_VALUE"""),"Argument during basketball game")</f>
        <v>Argument during basketball game</v>
      </c>
      <c r="Z2300" s="12" t="str">
        <f ca="1">IFERROR(__xludf.DUMMYFUNCTION("""COMPUTED_VALUE"""),"Argument between 20YOM shooter and 19YOM victim escalated into shooting during basketball game. Shooter fired 2 shots and fled the area.")</f>
        <v>Argument between 20YOM shooter and 19YOM victim escalated into shooting during basketball game. Shooter fired 2 shots and fled the area.</v>
      </c>
      <c r="AA2300" s="8" t="str">
        <f ca="1">IFERROR(__xludf.DUMMYFUNCTION("""COMPUTED_VALUE"""),"Escalation of Dispute")</f>
        <v>Escalation of Dispute</v>
      </c>
      <c r="AB2300" s="8"/>
      <c r="AC2300" s="8"/>
      <c r="AD2300" s="8" t="str">
        <f ca="1">IFERROR(__xludf.DUMMYFUNCTION("""COMPUTED_VALUE"""),"Victims Targeted")</f>
        <v>Victims Targeted</v>
      </c>
      <c r="AE2300" s="8" t="str">
        <f ca="1">IFERROR(__xludf.DUMMYFUNCTION("""COMPUTED_VALUE"""),"No")</f>
        <v>No</v>
      </c>
      <c r="AF2300" s="8"/>
      <c r="AG2300" s="8" t="str">
        <f ca="1">IFERROR(__xludf.DUMMYFUNCTION("""COMPUTED_VALUE"""),"No")</f>
        <v>No</v>
      </c>
      <c r="AH2300" s="8" t="str">
        <f ca="1">IFERROR(__xludf.DUMMYFUNCTION("""COMPUTED_VALUE"""),"No")</f>
        <v>No</v>
      </c>
      <c r="AI2300" s="8" t="str">
        <f ca="1">IFERROR(__xludf.DUMMYFUNCTION("""COMPUTED_VALUE"""),"No")</f>
        <v>No</v>
      </c>
      <c r="AJ2300" s="8" t="str">
        <f ca="1">IFERROR(__xludf.DUMMYFUNCTION("""COMPUTED_VALUE"""),"No")</f>
        <v>No</v>
      </c>
      <c r="AK2300" s="8" t="str">
        <f ca="1">IFERROR(__xludf.DUMMYFUNCTION("""COMPUTED_VALUE"""),"No")</f>
        <v>No</v>
      </c>
      <c r="AL2300" s="8" t="str">
        <f ca="1">IFERROR(__xludf.DUMMYFUNCTION("""COMPUTED_VALUE"""),"No")</f>
        <v>No</v>
      </c>
      <c r="AM2300" s="8"/>
      <c r="AN2300" s="8"/>
      <c r="AO2300" s="8" t="str">
        <f ca="1">IFERROR(__xludf.DUMMYFUNCTION("""COMPUTED_VALUE"""),"No")</f>
        <v>No</v>
      </c>
      <c r="AP2300" s="8"/>
      <c r="AQ2300" s="8" t="str">
        <f ca="1">IFERROR(__xludf.DUMMYFUNCTION("""COMPUTED_VALUE"""),"Unknown")</f>
        <v>Unknown</v>
      </c>
      <c r="AR2300" s="8" t="str">
        <f ca="1">IFERROR(__xludf.DUMMYFUNCTION("""COMPUTED_VALUE"""),"NA")</f>
        <v>NA</v>
      </c>
      <c r="AS2300" s="8">
        <f ca="1">IFERROR(__xludf.DUMMYFUNCTION("""COMPUTED_VALUE"""),2)</f>
        <v>2</v>
      </c>
      <c r="AT2300" s="8"/>
      <c r="AU2300" s="8">
        <f ca="1">IFERROR(__xludf.DUMMYFUNCTION("""COMPUTED_VALUE"""),32.432939)</f>
        <v>32.432938999999998</v>
      </c>
      <c r="AV2300" s="8">
        <f ca="1">IFERROR(__xludf.DUMMYFUNCTION("""COMPUTED_VALUE"""),-80.747123)</f>
        <v>-80.747123000000002</v>
      </c>
      <c r="AW2300" s="8"/>
      <c r="AX2300" s="8">
        <f ca="1">IFERROR(__xludf.DUMMYFUNCTION("""COMPUTED_VALUE"""),29906)</f>
        <v>29906</v>
      </c>
    </row>
    <row r="2301" spans="1:50" ht="60" x14ac:dyDescent="0.2">
      <c r="A2301" s="8" t="str">
        <f ca="1">IFERROR(__xludf.DUMMYFUNCTION("""COMPUTED_VALUE"""),"20041115INBRG")</f>
        <v>20041115INBRG</v>
      </c>
      <c r="B2301" s="8">
        <f ca="1">IFERROR(__xludf.DUMMYFUNCTION("""COMPUTED_VALUE"""),11)</f>
        <v>11</v>
      </c>
      <c r="C2301" s="8">
        <f ca="1">IFERROR(__xludf.DUMMYFUNCTION("""COMPUTED_VALUE"""),15)</f>
        <v>15</v>
      </c>
      <c r="D2301" s="8">
        <f ca="1">IFERROR(__xludf.DUMMYFUNCTION("""COMPUTED_VALUE"""),2004)</f>
        <v>2004</v>
      </c>
      <c r="E2301" s="9">
        <f ca="1">IFERROR(__xludf.DUMMYFUNCTION("""COMPUTED_VALUE"""),38306)</f>
        <v>38306</v>
      </c>
      <c r="F2301" s="8" t="str">
        <f ca="1">IFERROR(__xludf.DUMMYFUNCTION("""COMPUTED_VALUE"""),"Brunswick Elementary School")</f>
        <v>Brunswick Elementary School</v>
      </c>
      <c r="G2301" s="8">
        <f ca="1">IFERROR(__xludf.DUMMYFUNCTION("""COMPUTED_VALUE"""),0)</f>
        <v>0</v>
      </c>
      <c r="H2301" s="8">
        <f ca="1">IFERROR(__xludf.DUMMYFUNCTION("""COMPUTED_VALUE"""),1)</f>
        <v>1</v>
      </c>
      <c r="I2301" s="8">
        <f ca="1">IFERROR(__xludf.DUMMYFUNCTION("""COMPUTED_VALUE"""),1)</f>
        <v>1</v>
      </c>
      <c r="J2301" s="8">
        <f ca="1">IFERROR(__xludf.DUMMYFUNCTION("""COMPUTED_VALUE"""),0)</f>
        <v>0</v>
      </c>
      <c r="K2301" s="10" t="str">
        <f ca="1">IFERROR(__xludf.DUMMYFUNCTION("""COMPUTED_VALUE"""),"https://www.nwitimes.com/news/local/suspect-in-school-shooting-in-custody/article_45dbc46d-b19d-5eda-a4e0-8823c211e6cd.html")</f>
        <v>https://www.nwitimes.com/news/local/suspect-in-school-shooting-in-custody/article_45dbc46d-b19d-5eda-a4e0-8823c211e6cd.html</v>
      </c>
      <c r="L2301" s="8"/>
      <c r="M2301" s="8"/>
      <c r="N2301" s="8">
        <f ca="1">IFERROR(__xludf.DUMMYFUNCTION("""COMPUTED_VALUE"""),2)</f>
        <v>2</v>
      </c>
      <c r="O2301" s="8" t="str">
        <f ca="1">IFERROR(__xludf.DUMMYFUNCTION("""COMPUTED_VALUE"""),"Fall")</f>
        <v>Fall</v>
      </c>
      <c r="P2301" s="8" t="str">
        <f ca="1">IFERROR(__xludf.DUMMYFUNCTION("""COMPUTED_VALUE"""),"Gary")</f>
        <v>Gary</v>
      </c>
      <c r="Q2301" s="8" t="str">
        <f ca="1">IFERROR(__xludf.DUMMYFUNCTION("""COMPUTED_VALUE"""),"IN")</f>
        <v>IN</v>
      </c>
      <c r="R2301" s="8" t="str">
        <f ca="1">IFERROR(__xludf.DUMMYFUNCTION("""COMPUTED_VALUE"""),"Elementary")</f>
        <v>Elementary</v>
      </c>
      <c r="S2301" s="8" t="str">
        <f ca="1">IFERROR(__xludf.DUMMYFUNCTION("""COMPUTED_VALUE"""),"Parking Lot")</f>
        <v>Parking Lot</v>
      </c>
      <c r="T2301" s="8" t="str">
        <f ca="1">IFERROR(__xludf.DUMMYFUNCTION("""COMPUTED_VALUE"""),"Outside on School Property")</f>
        <v>Outside on School Property</v>
      </c>
      <c r="U2301" s="8" t="str">
        <f ca="1">IFERROR(__xludf.DUMMYFUNCTION("""COMPUTED_VALUE"""),"Yes")</f>
        <v>Yes</v>
      </c>
      <c r="V2301" s="8" t="str">
        <f ca="1">IFERROR(__xludf.DUMMYFUNCTION("""COMPUTED_VALUE"""),"Dismissal")</f>
        <v>Dismissal</v>
      </c>
      <c r="W2301" s="8"/>
      <c r="X2301" s="8">
        <f ca="1">IFERROR(__xludf.DUMMYFUNCTION("""COMPUTED_VALUE"""),1)</f>
        <v>1</v>
      </c>
      <c r="Y2301" s="12" t="str">
        <f ca="1">IFERROR(__xludf.DUMMYFUNCTION("""COMPUTED_VALUE"""),"Argument between two men, mother picking up child shot in crossfire")</f>
        <v>Argument between two men, mother picking up child shot in crossfire</v>
      </c>
      <c r="Z2301" s="12" t="str">
        <f ca="1">IFERROR(__xludf.DUMMYFUNCTION("""COMPUTED_VALUE"""),"Parent shot picking child up from school. Men in two different vehicles fired at each other as part of ongoing dispute.")</f>
        <v>Parent shot picking child up from school. Men in two different vehicles fired at each other as part of ongoing dispute.</v>
      </c>
      <c r="AA2301" s="8" t="str">
        <f ca="1">IFERROR(__xludf.DUMMYFUNCTION("""COMPUTED_VALUE"""),"Escalation of Dispute")</f>
        <v>Escalation of Dispute</v>
      </c>
      <c r="AB2301" s="8"/>
      <c r="AC2301" s="8"/>
      <c r="AD2301" s="8" t="str">
        <f ca="1">IFERROR(__xludf.DUMMYFUNCTION("""COMPUTED_VALUE"""),"Both")</f>
        <v>Both</v>
      </c>
      <c r="AE2301" s="8" t="str">
        <f ca="1">IFERROR(__xludf.DUMMYFUNCTION("""COMPUTED_VALUE"""),"No")</f>
        <v>No</v>
      </c>
      <c r="AF2301" s="8" t="str">
        <f ca="1">IFERROR(__xludf.DUMMYFUNCTION("""COMPUTED_VALUE"""),"Two shooters firing at each other")</f>
        <v>Two shooters firing at each other</v>
      </c>
      <c r="AG2301" s="8" t="str">
        <f ca="1">IFERROR(__xludf.DUMMYFUNCTION("""COMPUTED_VALUE"""),"No")</f>
        <v>No</v>
      </c>
      <c r="AH2301" s="8" t="str">
        <f ca="1">IFERROR(__xludf.DUMMYFUNCTION("""COMPUTED_VALUE"""),"No")</f>
        <v>No</v>
      </c>
      <c r="AI2301" s="8" t="str">
        <f ca="1">IFERROR(__xludf.DUMMYFUNCTION("""COMPUTED_VALUE"""),"No")</f>
        <v>No</v>
      </c>
      <c r="AJ2301" s="8" t="str">
        <f ca="1">IFERROR(__xludf.DUMMYFUNCTION("""COMPUTED_VALUE"""),"No")</f>
        <v>No</v>
      </c>
      <c r="AK2301" s="8" t="str">
        <f ca="1">IFERROR(__xludf.DUMMYFUNCTION("""COMPUTED_VALUE"""),"No")</f>
        <v>No</v>
      </c>
      <c r="AL2301" s="8" t="str">
        <f ca="1">IFERROR(__xludf.DUMMYFUNCTION("""COMPUTED_VALUE"""),"No")</f>
        <v>No</v>
      </c>
      <c r="AM2301" s="8"/>
      <c r="AN2301" s="8"/>
      <c r="AO2301" s="8" t="str">
        <f ca="1">IFERROR(__xludf.DUMMYFUNCTION("""COMPUTED_VALUE"""),"No")</f>
        <v>No</v>
      </c>
      <c r="AP2301" s="8"/>
      <c r="AQ2301" s="8" t="str">
        <f ca="1">IFERROR(__xludf.DUMMYFUNCTION("""COMPUTED_VALUE"""),"Unknown")</f>
        <v>Unknown</v>
      </c>
      <c r="AR2301" s="8" t="str">
        <f ca="1">IFERROR(__xludf.DUMMYFUNCTION("""COMPUTED_VALUE"""),"NA")</f>
        <v>NA</v>
      </c>
      <c r="AS2301" s="8"/>
      <c r="AT2301" s="8"/>
      <c r="AU2301" s="8">
        <f ca="1">IFERROR(__xludf.DUMMYFUNCTION("""COMPUTED_VALUE"""),41.598215)</f>
        <v>41.598215000000003</v>
      </c>
      <c r="AV2301" s="8">
        <f ca="1">IFERROR(__xludf.DUMMYFUNCTION("""COMPUTED_VALUE"""),-87.407048)</f>
        <v>-87.407048000000003</v>
      </c>
      <c r="AW2301" s="8"/>
      <c r="AX2301" s="8">
        <f ca="1">IFERROR(__xludf.DUMMYFUNCTION("""COMPUTED_VALUE"""),46406)</f>
        <v>46406</v>
      </c>
    </row>
    <row r="2302" spans="1:50" ht="105" x14ac:dyDescent="0.2">
      <c r="A2302" s="8" t="str">
        <f ca="1">IFERROR(__xludf.DUMMYFUNCTION("""COMPUTED_VALUE"""),"20041115ALPAB")</f>
        <v>20041115ALPAB</v>
      </c>
      <c r="B2302" s="8">
        <f ca="1">IFERROR(__xludf.DUMMYFUNCTION("""COMPUTED_VALUE"""),11)</f>
        <v>11</v>
      </c>
      <c r="C2302" s="8">
        <f ca="1">IFERROR(__xludf.DUMMYFUNCTION("""COMPUTED_VALUE"""),15)</f>
        <v>15</v>
      </c>
      <c r="D2302" s="8">
        <f ca="1">IFERROR(__xludf.DUMMYFUNCTION("""COMPUTED_VALUE"""),2004)</f>
        <v>2004</v>
      </c>
      <c r="E2302" s="9">
        <f ca="1">IFERROR(__xludf.DUMMYFUNCTION("""COMPUTED_VALUE"""),38306)</f>
        <v>38306</v>
      </c>
      <c r="F2302" s="8" t="str">
        <f ca="1">IFERROR(__xludf.DUMMYFUNCTION("""COMPUTED_VALUE"""),"Parker High School")</f>
        <v>Parker High School</v>
      </c>
      <c r="G2302" s="8">
        <f ca="1">IFERROR(__xludf.DUMMYFUNCTION("""COMPUTED_VALUE"""),0)</f>
        <v>0</v>
      </c>
      <c r="H2302" s="8">
        <f ca="1">IFERROR(__xludf.DUMMYFUNCTION("""COMPUTED_VALUE"""),1)</f>
        <v>1</v>
      </c>
      <c r="I2302" s="8">
        <f ca="1">IFERROR(__xludf.DUMMYFUNCTION("""COMPUTED_VALUE"""),1)</f>
        <v>1</v>
      </c>
      <c r="J2302" s="8">
        <f ca="1">IFERROR(__xludf.DUMMYFUNCTION("""COMPUTED_VALUE"""),0)</f>
        <v>0</v>
      </c>
      <c r="K2302" s="10" t="str">
        <f ca="1">IFERROR(__xludf.DUMMYFUNCTION("""COMPUTED_VALUE"""),"http://blog.al.com/spotnews/2009/04/suspect_in_drugrelated_titusvi.html")</f>
        <v>http://blog.al.com/spotnews/2009/04/suspect_in_drugrelated_titusvi.html</v>
      </c>
      <c r="L2302" s="8"/>
      <c r="M2302" s="8"/>
      <c r="N2302" s="8">
        <f ca="1">IFERROR(__xludf.DUMMYFUNCTION("""COMPUTED_VALUE"""),1)</f>
        <v>1</v>
      </c>
      <c r="O2302" s="8" t="str">
        <f ca="1">IFERROR(__xludf.DUMMYFUNCTION("""COMPUTED_VALUE"""),"Fall")</f>
        <v>Fall</v>
      </c>
      <c r="P2302" s="8" t="str">
        <f ca="1">IFERROR(__xludf.DUMMYFUNCTION("""COMPUTED_VALUE"""),"Birmingham")</f>
        <v>Birmingham</v>
      </c>
      <c r="Q2302" s="8" t="str">
        <f ca="1">IFERROR(__xludf.DUMMYFUNCTION("""COMPUTED_VALUE"""),"AL")</f>
        <v>AL</v>
      </c>
      <c r="R2302" s="8" t="str">
        <f ca="1">IFERROR(__xludf.DUMMYFUNCTION("""COMPUTED_VALUE"""),"High")</f>
        <v>High</v>
      </c>
      <c r="S2302" s="8" t="str">
        <f ca="1">IFERROR(__xludf.DUMMYFUNCTION("""COMPUTED_VALUE"""),"Beside Building")</f>
        <v>Beside Building</v>
      </c>
      <c r="T2302" s="8" t="str">
        <f ca="1">IFERROR(__xludf.DUMMYFUNCTION("""COMPUTED_VALUE"""),"Outside on School Property")</f>
        <v>Outside on School Property</v>
      </c>
      <c r="U2302" s="8" t="str">
        <f ca="1">IFERROR(__xludf.DUMMYFUNCTION("""COMPUTED_VALUE"""),"No")</f>
        <v>No</v>
      </c>
      <c r="V2302" s="8" t="str">
        <f ca="1">IFERROR(__xludf.DUMMYFUNCTION("""COMPUTED_VALUE"""),"Sport Event")</f>
        <v>Sport Event</v>
      </c>
      <c r="W2302" s="11">
        <f ca="1">IFERROR(__xludf.DUMMYFUNCTION("""COMPUTED_VALUE"""),0.875)</f>
        <v>0.875</v>
      </c>
      <c r="X2302" s="8">
        <f ca="1">IFERROR(__xludf.DUMMYFUNCTION("""COMPUTED_VALUE"""),1)</f>
        <v>1</v>
      </c>
      <c r="Y2302" s="12" t="str">
        <f ca="1">IFERROR(__xludf.DUMMYFUNCTION("""COMPUTED_VALUE"""),"Shot later after slapping woman")</f>
        <v>Shot later after slapping woman</v>
      </c>
      <c r="Z2302" s="12" t="str">
        <f ca="1">IFERROR(__xludf.DUMMYFUNCTION("""COMPUTED_VALUE"""),"After the basketball game with Ensley High School had wrapped up around 9:00, a female told a group of males that a man had slapped her across her face. She told the group of males that her attacker was a 20YOM.  As Antwin left the gym, the group of males"&amp;" drove by and shot him in the abdomen. Police arrested 20 year-old Obray Carter at the school and charged him with attempted murder.")</f>
        <v>After the basketball game with Ensley High School had wrapped up around 9:00, a female told a group of males that a man had slapped her across her face. She told the group of males that her attacker was a 20YOM.  As Antwin left the gym, the group of males drove by and shot him in the abdomen. Police arrested 20 year-old Obray Carter at the school and charged him with attempted murder.</v>
      </c>
      <c r="AA2302" s="8" t="str">
        <f ca="1">IFERROR(__xludf.DUMMYFUNCTION("""COMPUTED_VALUE"""),"Escalation of Dispute")</f>
        <v>Escalation of Dispute</v>
      </c>
      <c r="AB2302" s="8"/>
      <c r="AC2302" s="8"/>
      <c r="AD2302" s="8" t="str">
        <f ca="1">IFERROR(__xludf.DUMMYFUNCTION("""COMPUTED_VALUE"""),"Victims Targeted")</f>
        <v>Victims Targeted</v>
      </c>
      <c r="AE2302" s="8" t="str">
        <f ca="1">IFERROR(__xludf.DUMMYFUNCTION("""COMPUTED_VALUE"""),"Yes")</f>
        <v>Yes</v>
      </c>
      <c r="AF2302" s="8" t="str">
        <f ca="1">IFERROR(__xludf.DUMMYFUNCTION("""COMPUTED_VALUE"""),"Group")</f>
        <v>Group</v>
      </c>
      <c r="AG2302" s="8" t="str">
        <f ca="1">IFERROR(__xludf.DUMMYFUNCTION("""COMPUTED_VALUE"""),"No")</f>
        <v>No</v>
      </c>
      <c r="AH2302" s="8" t="str">
        <f ca="1">IFERROR(__xludf.DUMMYFUNCTION("""COMPUTED_VALUE"""),"No")</f>
        <v>No</v>
      </c>
      <c r="AI2302" s="8" t="str">
        <f ca="1">IFERROR(__xludf.DUMMYFUNCTION("""COMPUTED_VALUE"""),"No")</f>
        <v>No</v>
      </c>
      <c r="AJ2302" s="8" t="str">
        <f ca="1">IFERROR(__xludf.DUMMYFUNCTION("""COMPUTED_VALUE"""),"No")</f>
        <v>No</v>
      </c>
      <c r="AK2302" s="8" t="str">
        <f ca="1">IFERROR(__xludf.DUMMYFUNCTION("""COMPUTED_VALUE"""),"No")</f>
        <v>No</v>
      </c>
      <c r="AL2302" s="8" t="str">
        <f ca="1">IFERROR(__xludf.DUMMYFUNCTION("""COMPUTED_VALUE"""),"No")</f>
        <v>No</v>
      </c>
      <c r="AM2302" s="8"/>
      <c r="AN2302" s="8"/>
      <c r="AO2302" s="8" t="str">
        <f ca="1">IFERROR(__xludf.DUMMYFUNCTION("""COMPUTED_VALUE"""),"No")</f>
        <v>No</v>
      </c>
      <c r="AP2302" s="8"/>
      <c r="AQ2302" s="8" t="str">
        <f ca="1">IFERROR(__xludf.DUMMYFUNCTION("""COMPUTED_VALUE"""),"Unknown")</f>
        <v>Unknown</v>
      </c>
      <c r="AR2302" s="8" t="str">
        <f ca="1">IFERROR(__xludf.DUMMYFUNCTION("""COMPUTED_VALUE"""),"NA")</f>
        <v>NA</v>
      </c>
      <c r="AS2302" s="8">
        <f ca="1">IFERROR(__xludf.DUMMYFUNCTION("""COMPUTED_VALUE"""),1)</f>
        <v>1</v>
      </c>
      <c r="AT2302" s="8"/>
      <c r="AU2302" s="8">
        <f ca="1">IFERROR(__xludf.DUMMYFUNCTION("""COMPUTED_VALUE"""),33.515015)</f>
        <v>33.515014999999998</v>
      </c>
      <c r="AV2302" s="8">
        <f ca="1">IFERROR(__xludf.DUMMYFUNCTION("""COMPUTED_VALUE"""),-86.829499)</f>
        <v>-86.829498999999998</v>
      </c>
      <c r="AW2302" s="8"/>
      <c r="AX2302" s="8">
        <f ca="1">IFERROR(__xludf.DUMMYFUNCTION("""COMPUTED_VALUE"""),35204)</f>
        <v>35204</v>
      </c>
    </row>
    <row r="2303" spans="1:50" ht="60" x14ac:dyDescent="0.2">
      <c r="A2303" s="8" t="str">
        <f ca="1">IFERROR(__xludf.DUMMYFUNCTION("""COMPUTED_VALUE"""),"20041022CATYH")</f>
        <v>20041022CATYH</v>
      </c>
      <c r="B2303" s="8">
        <f ca="1">IFERROR(__xludf.DUMMYFUNCTION("""COMPUTED_VALUE"""),10)</f>
        <v>10</v>
      </c>
      <c r="C2303" s="8">
        <f ca="1">IFERROR(__xludf.DUMMYFUNCTION("""COMPUTED_VALUE"""),22)</f>
        <v>22</v>
      </c>
      <c r="D2303" s="8">
        <f ca="1">IFERROR(__xludf.DUMMYFUNCTION("""COMPUTED_VALUE"""),2004)</f>
        <v>2004</v>
      </c>
      <c r="E2303" s="9">
        <f ca="1">IFERROR(__xludf.DUMMYFUNCTION("""COMPUTED_VALUE"""),38282)</f>
        <v>38282</v>
      </c>
      <c r="F2303" s="8" t="str">
        <f ca="1">IFERROR(__xludf.DUMMYFUNCTION("""COMPUTED_VALUE"""),"Tyrrell Elementary School")</f>
        <v>Tyrrell Elementary School</v>
      </c>
      <c r="G2303" s="8">
        <f ca="1">IFERROR(__xludf.DUMMYFUNCTION("""COMPUTED_VALUE"""),1)</f>
        <v>1</v>
      </c>
      <c r="H2303" s="8">
        <f ca="1">IFERROR(__xludf.DUMMYFUNCTION("""COMPUTED_VALUE"""),0)</f>
        <v>0</v>
      </c>
      <c r="I2303" s="8">
        <f ca="1">IFERROR(__xludf.DUMMYFUNCTION("""COMPUTED_VALUE"""),1)</f>
        <v>1</v>
      </c>
      <c r="J2303" s="8">
        <f ca="1">IFERROR(__xludf.DUMMYFUNCTION("""COMPUTED_VALUE"""),0)</f>
        <v>0</v>
      </c>
      <c r="K2303" s="10" t="str">
        <f ca="1">IFERROR(__xludf.DUMMYFUNCTION("""COMPUTED_VALUE"""),"https://www.sfgate.com/bayarea/article/HAYWARD-Man-fatally-shot-at-school-no-arrest-2679598.php")</f>
        <v>https://www.sfgate.com/bayarea/article/HAYWARD-Man-fatally-shot-at-school-no-arrest-2679598.php</v>
      </c>
      <c r="L2303" s="8"/>
      <c r="M2303" s="8"/>
      <c r="N2303" s="8">
        <f ca="1">IFERROR(__xludf.DUMMYFUNCTION("""COMPUTED_VALUE"""),2)</f>
        <v>2</v>
      </c>
      <c r="O2303" s="8" t="str">
        <f ca="1">IFERROR(__xludf.DUMMYFUNCTION("""COMPUTED_VALUE"""),"Fall")</f>
        <v>Fall</v>
      </c>
      <c r="P2303" s="8" t="str">
        <f ca="1">IFERROR(__xludf.DUMMYFUNCTION("""COMPUTED_VALUE"""),"Hayward")</f>
        <v>Hayward</v>
      </c>
      <c r="Q2303" s="8" t="str">
        <f ca="1">IFERROR(__xludf.DUMMYFUNCTION("""COMPUTED_VALUE"""),"CA")</f>
        <v>CA</v>
      </c>
      <c r="R2303" s="8" t="str">
        <f ca="1">IFERROR(__xludf.DUMMYFUNCTION("""COMPUTED_VALUE"""),"Elementary")</f>
        <v>Elementary</v>
      </c>
      <c r="S2303" s="8" t="str">
        <f ca="1">IFERROR(__xludf.DUMMYFUNCTION("""COMPUTED_VALUE"""),"Parking Lot")</f>
        <v>Parking Lot</v>
      </c>
      <c r="T2303" s="8" t="str">
        <f ca="1">IFERROR(__xludf.DUMMYFUNCTION("""COMPUTED_VALUE"""),"Outside on School Property")</f>
        <v>Outside on School Property</v>
      </c>
      <c r="U2303" s="8" t="str">
        <f ca="1">IFERROR(__xludf.DUMMYFUNCTION("""COMPUTED_VALUE"""),"No")</f>
        <v>No</v>
      </c>
      <c r="V2303" s="8" t="str">
        <f ca="1">IFERROR(__xludf.DUMMYFUNCTION("""COMPUTED_VALUE"""),"Evening")</f>
        <v>Evening</v>
      </c>
      <c r="W2303" s="11">
        <f ca="1">IFERROR(__xludf.DUMMYFUNCTION("""COMPUTED_VALUE"""),0.913194444444444)</f>
        <v>0.91319444444444398</v>
      </c>
      <c r="X2303" s="8">
        <f ca="1">IFERROR(__xludf.DUMMYFUNCTION("""COMPUTED_VALUE"""),1)</f>
        <v>1</v>
      </c>
      <c r="Y2303" s="12" t="str">
        <f ca="1">IFERROR(__xludf.DUMMYFUNCTION("""COMPUTED_VALUE"""),"Killed by unknown shooter in parking lot, believed to be gang related")</f>
        <v>Killed by unknown shooter in parking lot, believed to be gang related</v>
      </c>
      <c r="Z2303" s="12" t="str">
        <f ca="1">IFERROR(__xludf.DUMMYFUNCTION("""COMPUTED_VALUE"""),"32YOM found shot dead in the school parking lot. Witnesses reported seeing a car leaving the area but no other info about the shooting. Police believe the shooting is gang related.")</f>
        <v>32YOM found shot dead in the school parking lot. Witnesses reported seeing a car leaving the area but no other info about the shooting. Police believe the shooting is gang related.</v>
      </c>
      <c r="AA2303" s="8" t="str">
        <f ca="1">IFERROR(__xludf.DUMMYFUNCTION("""COMPUTED_VALUE"""),"Escalation of Dispute")</f>
        <v>Escalation of Dispute</v>
      </c>
      <c r="AB2303" s="8"/>
      <c r="AC2303" s="8"/>
      <c r="AD2303" s="8" t="str">
        <f ca="1">IFERROR(__xludf.DUMMYFUNCTION("""COMPUTED_VALUE"""),"Victims Targeted")</f>
        <v>Victims Targeted</v>
      </c>
      <c r="AE2303" s="8" t="str">
        <f ca="1">IFERROR(__xludf.DUMMYFUNCTION("""COMPUTED_VALUE"""),"Unknown")</f>
        <v>Unknown</v>
      </c>
      <c r="AF2303" s="8"/>
      <c r="AG2303" s="8" t="str">
        <f ca="1">IFERROR(__xludf.DUMMYFUNCTION("""COMPUTED_VALUE"""),"No")</f>
        <v>No</v>
      </c>
      <c r="AH2303" s="8" t="str">
        <f ca="1">IFERROR(__xludf.DUMMYFUNCTION("""COMPUTED_VALUE"""),"No")</f>
        <v>No</v>
      </c>
      <c r="AI2303" s="8" t="str">
        <f ca="1">IFERROR(__xludf.DUMMYFUNCTION("""COMPUTED_VALUE"""),"No")</f>
        <v>No</v>
      </c>
      <c r="AJ2303" s="8" t="str">
        <f ca="1">IFERROR(__xludf.DUMMYFUNCTION("""COMPUTED_VALUE"""),"No")</f>
        <v>No</v>
      </c>
      <c r="AK2303" s="8" t="str">
        <f ca="1">IFERROR(__xludf.DUMMYFUNCTION("""COMPUTED_VALUE"""),"No")</f>
        <v>No</v>
      </c>
      <c r="AL2303" s="8" t="str">
        <f ca="1">IFERROR(__xludf.DUMMYFUNCTION("""COMPUTED_VALUE"""),"Yes")</f>
        <v>Yes</v>
      </c>
      <c r="AM2303" s="8"/>
      <c r="AN2303" s="8"/>
      <c r="AO2303" s="8" t="str">
        <f ca="1">IFERROR(__xludf.DUMMYFUNCTION("""COMPUTED_VALUE"""),"No")</f>
        <v>No</v>
      </c>
      <c r="AP2303" s="8"/>
      <c r="AQ2303" s="8" t="str">
        <f ca="1">IFERROR(__xludf.DUMMYFUNCTION("""COMPUTED_VALUE"""),"Unknown")</f>
        <v>Unknown</v>
      </c>
      <c r="AR2303" s="8" t="str">
        <f ca="1">IFERROR(__xludf.DUMMYFUNCTION("""COMPUTED_VALUE"""),"NA")</f>
        <v>NA</v>
      </c>
      <c r="AS2303" s="8"/>
      <c r="AT2303" s="8"/>
      <c r="AU2303" s="8">
        <f ca="1">IFERROR(__xludf.DUMMYFUNCTION("""COMPUTED_VALUE"""),37.637897)</f>
        <v>37.637897000000002</v>
      </c>
      <c r="AV2303" s="8">
        <f ca="1">IFERROR(__xludf.DUMMYFUNCTION("""COMPUTED_VALUE"""),-122.075584)</f>
        <v>-122.07558400000001</v>
      </c>
      <c r="AW2303" s="8"/>
      <c r="AX2303" s="8">
        <f ca="1">IFERROR(__xludf.DUMMYFUNCTION("""COMPUTED_VALUE"""),94544)</f>
        <v>94544</v>
      </c>
    </row>
    <row r="2304" spans="1:50" ht="45" x14ac:dyDescent="0.2">
      <c r="A2304" s="8" t="str">
        <f ca="1">IFERROR(__xludf.DUMMYFUNCTION("""COMPUTED_VALUE"""),"20041021MDTHB")</f>
        <v>20041021MDTHB</v>
      </c>
      <c r="B2304" s="8">
        <f ca="1">IFERROR(__xludf.DUMMYFUNCTION("""COMPUTED_VALUE"""),10)</f>
        <v>10</v>
      </c>
      <c r="C2304" s="8">
        <f ca="1">IFERROR(__xludf.DUMMYFUNCTION("""COMPUTED_VALUE"""),21)</f>
        <v>21</v>
      </c>
      <c r="D2304" s="8">
        <f ca="1">IFERROR(__xludf.DUMMYFUNCTION("""COMPUTED_VALUE"""),2004)</f>
        <v>2004</v>
      </c>
      <c r="E2304" s="9">
        <f ca="1">IFERROR(__xludf.DUMMYFUNCTION("""COMPUTED_VALUE"""),38281)</f>
        <v>38281</v>
      </c>
      <c r="F2304" s="8" t="str">
        <f ca="1">IFERROR(__xludf.DUMMYFUNCTION("""COMPUTED_VALUE"""),"Thurgood Marshall High School")</f>
        <v>Thurgood Marshall High School</v>
      </c>
      <c r="G2304" s="8">
        <f ca="1">IFERROR(__xludf.DUMMYFUNCTION("""COMPUTED_VALUE"""),0)</f>
        <v>0</v>
      </c>
      <c r="H2304" s="8">
        <f ca="1">IFERROR(__xludf.DUMMYFUNCTION("""COMPUTED_VALUE"""),2)</f>
        <v>2</v>
      </c>
      <c r="I2304" s="8">
        <f ca="1">IFERROR(__xludf.DUMMYFUNCTION("""COMPUTED_VALUE"""),2)</f>
        <v>2</v>
      </c>
      <c r="J2304" s="8">
        <f ca="1">IFERROR(__xludf.DUMMYFUNCTION("""COMPUTED_VALUE"""),0)</f>
        <v>0</v>
      </c>
      <c r="K2304" s="10" t="str">
        <f ca="1">IFERROR(__xludf.DUMMYFUNCTION("""COMPUTED_VALUE"""),"http://articles.baltimoresun.com/2004-10-23/news/0410230240_1_thurgood-marshall-high-school-violence-city-schools")</f>
        <v>http://articles.baltimoresun.com/2004-10-23/news/0410230240_1_thurgood-marshall-high-school-violence-city-schools</v>
      </c>
      <c r="L2304" s="8"/>
      <c r="M2304" s="8"/>
      <c r="N2304" s="8">
        <f ca="1">IFERROR(__xludf.DUMMYFUNCTION("""COMPUTED_VALUE"""),2)</f>
        <v>2</v>
      </c>
      <c r="O2304" s="8" t="str">
        <f ca="1">IFERROR(__xludf.DUMMYFUNCTION("""COMPUTED_VALUE"""),"Fall")</f>
        <v>Fall</v>
      </c>
      <c r="P2304" s="8" t="str">
        <f ca="1">IFERROR(__xludf.DUMMYFUNCTION("""COMPUTED_VALUE"""),"Baltimore")</f>
        <v>Baltimore</v>
      </c>
      <c r="Q2304" s="8" t="str">
        <f ca="1">IFERROR(__xludf.DUMMYFUNCTION("""COMPUTED_VALUE"""),"MD")</f>
        <v>MD</v>
      </c>
      <c r="R2304" s="8" t="str">
        <f ca="1">IFERROR(__xludf.DUMMYFUNCTION("""COMPUTED_VALUE"""),"High")</f>
        <v>High</v>
      </c>
      <c r="S2304" s="8" t="str">
        <f ca="1">IFERROR(__xludf.DUMMYFUNCTION("""COMPUTED_VALUE"""),"Courtyard")</f>
        <v>Courtyard</v>
      </c>
      <c r="T2304" s="8" t="str">
        <f ca="1">IFERROR(__xludf.DUMMYFUNCTION("""COMPUTED_VALUE"""),"Outside on School Property")</f>
        <v>Outside on School Property</v>
      </c>
      <c r="U2304" s="8" t="str">
        <f ca="1">IFERROR(__xludf.DUMMYFUNCTION("""COMPUTED_VALUE"""),"No")</f>
        <v>No</v>
      </c>
      <c r="V2304" s="8" t="str">
        <f ca="1">IFERROR(__xludf.DUMMYFUNCTION("""COMPUTED_VALUE"""),"After School")</f>
        <v>After School</v>
      </c>
      <c r="W2304" s="11">
        <f ca="1">IFERROR(__xludf.DUMMYFUNCTION("""COMPUTED_VALUE"""),0.666666666666666)</f>
        <v>0.66666666666666596</v>
      </c>
      <c r="X2304" s="8">
        <f ca="1">IFERROR(__xludf.DUMMYFUNCTION("""COMPUTED_VALUE"""),1)</f>
        <v>1</v>
      </c>
      <c r="Y2304" s="12" t="str">
        <f ca="1">IFERROR(__xludf.DUMMYFUNCTION("""COMPUTED_VALUE"""),"Fight over girl, two random students were shot")</f>
        <v>Fight over girl, two random students were shot</v>
      </c>
      <c r="Z2304" s="12" t="str">
        <f ca="1">IFERROR(__xludf.DUMMYFUNCTION("""COMPUTED_VALUE"""),"Fight over girl in the school courtyard. 16YOM student fired shots striking two students who were not involved and fled.")</f>
        <v>Fight over girl in the school courtyard. 16YOM student fired shots striking two students who were not involved and fled.</v>
      </c>
      <c r="AA2304" s="8" t="str">
        <f ca="1">IFERROR(__xludf.DUMMYFUNCTION("""COMPUTED_VALUE"""),"Escalation of Dispute")</f>
        <v>Escalation of Dispute</v>
      </c>
      <c r="AB2304" s="8"/>
      <c r="AC2304" s="8"/>
      <c r="AD2304" s="8" t="str">
        <f ca="1">IFERROR(__xludf.DUMMYFUNCTION("""COMPUTED_VALUE"""),"Both")</f>
        <v>Both</v>
      </c>
      <c r="AE2304" s="8" t="str">
        <f ca="1">IFERROR(__xludf.DUMMYFUNCTION("""COMPUTED_VALUE"""),"No")</f>
        <v>No</v>
      </c>
      <c r="AF2304" s="8"/>
      <c r="AG2304" s="8" t="str">
        <f ca="1">IFERROR(__xludf.DUMMYFUNCTION("""COMPUTED_VALUE"""),"No")</f>
        <v>No</v>
      </c>
      <c r="AH2304" s="8" t="str">
        <f ca="1">IFERROR(__xludf.DUMMYFUNCTION("""COMPUTED_VALUE"""),"No")</f>
        <v>No</v>
      </c>
      <c r="AI2304" s="8" t="str">
        <f ca="1">IFERROR(__xludf.DUMMYFUNCTION("""COMPUTED_VALUE"""),"No")</f>
        <v>No</v>
      </c>
      <c r="AJ2304" s="8" t="str">
        <f ca="1">IFERROR(__xludf.DUMMYFUNCTION("""COMPUTED_VALUE"""),"No")</f>
        <v>No</v>
      </c>
      <c r="AK2304" s="8" t="str">
        <f ca="1">IFERROR(__xludf.DUMMYFUNCTION("""COMPUTED_VALUE"""),"No")</f>
        <v>No</v>
      </c>
      <c r="AL2304" s="8" t="str">
        <f ca="1">IFERROR(__xludf.DUMMYFUNCTION("""COMPUTED_VALUE"""),"No")</f>
        <v>No</v>
      </c>
      <c r="AM2304" s="8"/>
      <c r="AN2304" s="8"/>
      <c r="AO2304" s="8" t="str">
        <f ca="1">IFERROR(__xludf.DUMMYFUNCTION("""COMPUTED_VALUE"""),"No")</f>
        <v>No</v>
      </c>
      <c r="AP2304" s="8" t="str">
        <f ca="1">IFERROR(__xludf.DUMMYFUNCTION("""COMPUTED_VALUE"""),"Yes")</f>
        <v>Yes</v>
      </c>
      <c r="AQ2304" s="8" t="str">
        <f ca="1">IFERROR(__xludf.DUMMYFUNCTION("""COMPUTED_VALUE"""),"None")</f>
        <v>None</v>
      </c>
      <c r="AR2304" s="8" t="str">
        <f ca="1">IFERROR(__xludf.DUMMYFUNCTION("""COMPUTED_VALUE"""),"NA")</f>
        <v>NA</v>
      </c>
      <c r="AS2304" s="8"/>
      <c r="AT2304" s="8"/>
      <c r="AU2304" s="8">
        <f ca="1">IFERROR(__xludf.DUMMYFUNCTION("""COMPUTED_VALUE"""),39.31961)</f>
        <v>39.319609999999997</v>
      </c>
      <c r="AV2304" s="8">
        <f ca="1">IFERROR(__xludf.DUMMYFUNCTION("""COMPUTED_VALUE"""),-76.546503)</f>
        <v>-76.546503000000001</v>
      </c>
      <c r="AW2304" s="8"/>
      <c r="AX2304" s="8">
        <f ca="1">IFERROR(__xludf.DUMMYFUNCTION("""COMPUTED_VALUE"""),21206)</f>
        <v>21206</v>
      </c>
    </row>
    <row r="2305" spans="1:50" ht="45" x14ac:dyDescent="0.2">
      <c r="A2305" s="8" t="str">
        <f ca="1">IFERROR(__xludf.DUMMYFUNCTION("""COMPUTED_VALUE"""),"20041015CABIB")</f>
        <v>20041015CABIB</v>
      </c>
      <c r="B2305" s="8">
        <f ca="1">IFERROR(__xludf.DUMMYFUNCTION("""COMPUTED_VALUE"""),10)</f>
        <v>10</v>
      </c>
      <c r="C2305" s="8">
        <f ca="1">IFERROR(__xludf.DUMMYFUNCTION("""COMPUTED_VALUE"""),15)</f>
        <v>15</v>
      </c>
      <c r="D2305" s="8">
        <f ca="1">IFERROR(__xludf.DUMMYFUNCTION("""COMPUTED_VALUE"""),2004)</f>
        <v>2004</v>
      </c>
      <c r="E2305" s="9">
        <f ca="1">IFERROR(__xludf.DUMMYFUNCTION("""COMPUTED_VALUE"""),38275)</f>
        <v>38275</v>
      </c>
      <c r="F2305" s="8" t="str">
        <f ca="1">IFERROR(__xludf.DUMMYFUNCTION("""COMPUTED_VALUE"""),"Biggs High School")</f>
        <v>Biggs High School</v>
      </c>
      <c r="G2305" s="8">
        <f ca="1">IFERROR(__xludf.DUMMYFUNCTION("""COMPUTED_VALUE"""),0)</f>
        <v>0</v>
      </c>
      <c r="H2305" s="8">
        <f ca="1">IFERROR(__xludf.DUMMYFUNCTION("""COMPUTED_VALUE"""),1)</f>
        <v>1</v>
      </c>
      <c r="I2305" s="8">
        <f ca="1">IFERROR(__xludf.DUMMYFUNCTION("""COMPUTED_VALUE"""),1)</f>
        <v>1</v>
      </c>
      <c r="J2305" s="8">
        <f ca="1">IFERROR(__xludf.DUMMYFUNCTION("""COMPUTED_VALUE"""),0)</f>
        <v>0</v>
      </c>
      <c r="K2305" s="10" t="str">
        <f ca="1">IFERROR(__xludf.DUMMYFUNCTION("""COMPUTED_VALUE"""),"http://articles.latimes.com/2004/oct/17/local/me-sbriefs17.2")</f>
        <v>http://articles.latimes.com/2004/oct/17/local/me-sbriefs17.2</v>
      </c>
      <c r="L2305" s="8"/>
      <c r="M2305" s="8"/>
      <c r="N2305" s="8">
        <f ca="1">IFERROR(__xludf.DUMMYFUNCTION("""COMPUTED_VALUE"""),2)</f>
        <v>2</v>
      </c>
      <c r="O2305" s="8" t="str">
        <f ca="1">IFERROR(__xludf.DUMMYFUNCTION("""COMPUTED_VALUE"""),"Fall")</f>
        <v>Fall</v>
      </c>
      <c r="P2305" s="8" t="str">
        <f ca="1">IFERROR(__xludf.DUMMYFUNCTION("""COMPUTED_VALUE"""),"Biggs")</f>
        <v>Biggs</v>
      </c>
      <c r="Q2305" s="8" t="str">
        <f ca="1">IFERROR(__xludf.DUMMYFUNCTION("""COMPUTED_VALUE"""),"CA")</f>
        <v>CA</v>
      </c>
      <c r="R2305" s="8" t="str">
        <f ca="1">IFERROR(__xludf.DUMMYFUNCTION("""COMPUTED_VALUE"""),"High")</f>
        <v>High</v>
      </c>
      <c r="S2305" s="8" t="str">
        <f ca="1">IFERROR(__xludf.DUMMYFUNCTION("""COMPUTED_VALUE"""),"Football Field/Track")</f>
        <v>Football Field/Track</v>
      </c>
      <c r="T2305" s="8" t="str">
        <f ca="1">IFERROR(__xludf.DUMMYFUNCTION("""COMPUTED_VALUE"""),"Outside on School Property")</f>
        <v>Outside on School Property</v>
      </c>
      <c r="U2305" s="8" t="str">
        <f ca="1">IFERROR(__xludf.DUMMYFUNCTION("""COMPUTED_VALUE"""),"No")</f>
        <v>No</v>
      </c>
      <c r="V2305" s="8" t="str">
        <f ca="1">IFERROR(__xludf.DUMMYFUNCTION("""COMPUTED_VALUE"""),"Sport Event")</f>
        <v>Sport Event</v>
      </c>
      <c r="W2305" s="11">
        <f ca="1">IFERROR(__xludf.DUMMYFUNCTION("""COMPUTED_VALUE"""),0.863194444444444)</f>
        <v>0.86319444444444404</v>
      </c>
      <c r="X2305" s="8">
        <f ca="1">IFERROR(__xludf.DUMMYFUNCTION("""COMPUTED_VALUE"""),1)</f>
        <v>1</v>
      </c>
      <c r="Y2305" s="12" t="str">
        <f ca="1">IFERROR(__xludf.DUMMYFUNCTION("""COMPUTED_VALUE"""),"Gang related shooting at football game")</f>
        <v>Gang related shooting at football game</v>
      </c>
      <c r="Z2305" s="12" t="str">
        <f ca="1">IFERROR(__xludf.DUMMYFUNCTION("""COMPUTED_VALUE"""),"19YOM shot at 17YOM during football game. Police said the shooting was gang related. Shooter fled in a vehicle after shooting.")</f>
        <v>19YOM shot at 17YOM during football game. Police said the shooting was gang related. Shooter fled in a vehicle after shooting.</v>
      </c>
      <c r="AA2305" s="8" t="str">
        <f ca="1">IFERROR(__xludf.DUMMYFUNCTION("""COMPUTED_VALUE"""),"Escalation of Dispute")</f>
        <v>Escalation of Dispute</v>
      </c>
      <c r="AB2305" s="8"/>
      <c r="AC2305" s="8"/>
      <c r="AD2305" s="8" t="str">
        <f ca="1">IFERROR(__xludf.DUMMYFUNCTION("""COMPUTED_VALUE"""),"Victims Targeted")</f>
        <v>Victims Targeted</v>
      </c>
      <c r="AE2305" s="8" t="str">
        <f ca="1">IFERROR(__xludf.DUMMYFUNCTION("""COMPUTED_VALUE"""),"No")</f>
        <v>No</v>
      </c>
      <c r="AF2305" s="8"/>
      <c r="AG2305" s="8" t="str">
        <f ca="1">IFERROR(__xludf.DUMMYFUNCTION("""COMPUTED_VALUE"""),"No")</f>
        <v>No</v>
      </c>
      <c r="AH2305" s="8" t="str">
        <f ca="1">IFERROR(__xludf.DUMMYFUNCTION("""COMPUTED_VALUE"""),"No")</f>
        <v>No</v>
      </c>
      <c r="AI2305" s="8" t="str">
        <f ca="1">IFERROR(__xludf.DUMMYFUNCTION("""COMPUTED_VALUE"""),"No")</f>
        <v>No</v>
      </c>
      <c r="AJ2305" s="8" t="str">
        <f ca="1">IFERROR(__xludf.DUMMYFUNCTION("""COMPUTED_VALUE"""),"No")</f>
        <v>No</v>
      </c>
      <c r="AK2305" s="8" t="str">
        <f ca="1">IFERROR(__xludf.DUMMYFUNCTION("""COMPUTED_VALUE"""),"No")</f>
        <v>No</v>
      </c>
      <c r="AL2305" s="8" t="str">
        <f ca="1">IFERROR(__xludf.DUMMYFUNCTION("""COMPUTED_VALUE"""),"Yes")</f>
        <v>Yes</v>
      </c>
      <c r="AM2305" s="8"/>
      <c r="AN2305" s="8"/>
      <c r="AO2305" s="8" t="str">
        <f ca="1">IFERROR(__xludf.DUMMYFUNCTION("""COMPUTED_VALUE"""),"No")</f>
        <v>No</v>
      </c>
      <c r="AP2305" s="8"/>
      <c r="AQ2305" s="8" t="str">
        <f ca="1">IFERROR(__xludf.DUMMYFUNCTION("""COMPUTED_VALUE"""),"Unknown")</f>
        <v>Unknown</v>
      </c>
      <c r="AR2305" s="8" t="str">
        <f ca="1">IFERROR(__xludf.DUMMYFUNCTION("""COMPUTED_VALUE"""),"NA")</f>
        <v>NA</v>
      </c>
      <c r="AS2305" s="8"/>
      <c r="AT2305" s="8"/>
      <c r="AU2305" s="8">
        <f ca="1">IFERROR(__xludf.DUMMYFUNCTION("""COMPUTED_VALUE"""),39.415997)</f>
        <v>39.415996999999997</v>
      </c>
      <c r="AV2305" s="8">
        <f ca="1">IFERROR(__xludf.DUMMYFUNCTION("""COMPUTED_VALUE"""),-121.706302)</f>
        <v>-121.70630199999999</v>
      </c>
      <c r="AW2305" s="8"/>
      <c r="AX2305" s="8">
        <f ca="1">IFERROR(__xludf.DUMMYFUNCTION("""COMPUTED_VALUE"""),95917)</f>
        <v>95917</v>
      </c>
    </row>
    <row r="2306" spans="1:50" ht="60" x14ac:dyDescent="0.2">
      <c r="A2306" s="8" t="str">
        <f ca="1">IFERROR(__xludf.DUMMYFUNCTION("""COMPUTED_VALUE"""),"20041012CALAS")</f>
        <v>20041012CALAS</v>
      </c>
      <c r="B2306" s="8">
        <f ca="1">IFERROR(__xludf.DUMMYFUNCTION("""COMPUTED_VALUE"""),10)</f>
        <v>10</v>
      </c>
      <c r="C2306" s="8">
        <f ca="1">IFERROR(__xludf.DUMMYFUNCTION("""COMPUTED_VALUE"""),12)</f>
        <v>12</v>
      </c>
      <c r="D2306" s="8">
        <f ca="1">IFERROR(__xludf.DUMMYFUNCTION("""COMPUTED_VALUE"""),2004)</f>
        <v>2004</v>
      </c>
      <c r="E2306" s="9">
        <f ca="1">IFERROR(__xludf.DUMMYFUNCTION("""COMPUTED_VALUE"""),38272)</f>
        <v>38272</v>
      </c>
      <c r="F2306" s="8" t="str">
        <f ca="1">IFERROR(__xludf.DUMMYFUNCTION("""COMPUTED_VALUE"""),"Lakewood Elementary School")</f>
        <v>Lakewood Elementary School</v>
      </c>
      <c r="G2306" s="8">
        <f ca="1">IFERROR(__xludf.DUMMYFUNCTION("""COMPUTED_VALUE"""),0)</f>
        <v>0</v>
      </c>
      <c r="H2306" s="8">
        <f ca="1">IFERROR(__xludf.DUMMYFUNCTION("""COMPUTED_VALUE"""),0)</f>
        <v>0</v>
      </c>
      <c r="I2306" s="8">
        <f ca="1">IFERROR(__xludf.DUMMYFUNCTION("""COMPUTED_VALUE"""),0)</f>
        <v>0</v>
      </c>
      <c r="J2306" s="8">
        <f ca="1">IFERROR(__xludf.DUMMYFUNCTION("""COMPUTED_VALUE"""),2)</f>
        <v>2</v>
      </c>
      <c r="K2306" s="10" t="str">
        <f ca="1">IFERROR(__xludf.DUMMYFUNCTION("""COMPUTED_VALUE"""),"https://www.sfgate.com/bayarea/article/SUNNYVALE-2-killings-at-school-bring-murder-2641374.php")</f>
        <v>https://www.sfgate.com/bayarea/article/SUNNYVALE-2-killings-at-school-bring-murder-2641374.php</v>
      </c>
      <c r="L2306" s="8"/>
      <c r="M2306" s="8"/>
      <c r="N2306" s="8">
        <f ca="1">IFERROR(__xludf.DUMMYFUNCTION("""COMPUTED_VALUE"""),2)</f>
        <v>2</v>
      </c>
      <c r="O2306" s="8" t="str">
        <f ca="1">IFERROR(__xludf.DUMMYFUNCTION("""COMPUTED_VALUE"""),"Fall")</f>
        <v>Fall</v>
      </c>
      <c r="P2306" s="8" t="str">
        <f ca="1">IFERROR(__xludf.DUMMYFUNCTION("""COMPUTED_VALUE"""),"Sunnyvale")</f>
        <v>Sunnyvale</v>
      </c>
      <c r="Q2306" s="8" t="str">
        <f ca="1">IFERROR(__xludf.DUMMYFUNCTION("""COMPUTED_VALUE"""),"CA")</f>
        <v>CA</v>
      </c>
      <c r="R2306" s="8" t="str">
        <f ca="1">IFERROR(__xludf.DUMMYFUNCTION("""COMPUTED_VALUE"""),"Elementary")</f>
        <v>Elementary</v>
      </c>
      <c r="S2306" s="8" t="str">
        <f ca="1">IFERROR(__xludf.DUMMYFUNCTION("""COMPUTED_VALUE"""),"Parking Lot")</f>
        <v>Parking Lot</v>
      </c>
      <c r="T2306" s="8" t="str">
        <f ca="1">IFERROR(__xludf.DUMMYFUNCTION("""COMPUTED_VALUE"""),"Outside on School Property")</f>
        <v>Outside on School Property</v>
      </c>
      <c r="U2306" s="8"/>
      <c r="V2306" s="8"/>
      <c r="W2306" s="8"/>
      <c r="X2306" s="8">
        <f ca="1">IFERROR(__xludf.DUMMYFUNCTION("""COMPUTED_VALUE"""),1)</f>
        <v>1</v>
      </c>
      <c r="Y2306" s="12" t="str">
        <f ca="1">IFERROR(__xludf.DUMMYFUNCTION("""COMPUTED_VALUE"""),"Two men fatally shot each other in dispute over woman")</f>
        <v>Two men fatally shot each other in dispute over woman</v>
      </c>
      <c r="Z2306" s="12" t="str">
        <f ca="1">IFERROR(__xludf.DUMMYFUNCTION("""COMPUTED_VALUE"""),"Two 25YOM shot each other in the school parking lot during a domestic dispute over a woman.")</f>
        <v>Two 25YOM shot each other in the school parking lot during a domestic dispute over a woman.</v>
      </c>
      <c r="AA2306" s="8" t="str">
        <f ca="1">IFERROR(__xludf.DUMMYFUNCTION("""COMPUTED_VALUE"""),"Domestic w/ Targeted Victim")</f>
        <v>Domestic w/ Targeted Victim</v>
      </c>
      <c r="AB2306" s="8"/>
      <c r="AC2306" s="8"/>
      <c r="AD2306" s="8" t="str">
        <f ca="1">IFERROR(__xludf.DUMMYFUNCTION("""COMPUTED_VALUE"""),"Victims Targeted")</f>
        <v>Victims Targeted</v>
      </c>
      <c r="AE2306" s="8" t="str">
        <f ca="1">IFERROR(__xludf.DUMMYFUNCTION("""COMPUTED_VALUE"""),"No")</f>
        <v>No</v>
      </c>
      <c r="AF2306" s="8"/>
      <c r="AG2306" s="8" t="str">
        <f ca="1">IFERROR(__xludf.DUMMYFUNCTION("""COMPUTED_VALUE"""),"No")</f>
        <v>No</v>
      </c>
      <c r="AH2306" s="8" t="str">
        <f ca="1">IFERROR(__xludf.DUMMYFUNCTION("""COMPUTED_VALUE"""),"No")</f>
        <v>No</v>
      </c>
      <c r="AI2306" s="8" t="str">
        <f ca="1">IFERROR(__xludf.DUMMYFUNCTION("""COMPUTED_VALUE"""),"No")</f>
        <v>No</v>
      </c>
      <c r="AJ2306" s="8" t="str">
        <f ca="1">IFERROR(__xludf.DUMMYFUNCTION("""COMPUTED_VALUE"""),"No")</f>
        <v>No</v>
      </c>
      <c r="AK2306" s="8" t="str">
        <f ca="1">IFERROR(__xludf.DUMMYFUNCTION("""COMPUTED_VALUE"""),"Yes")</f>
        <v>Yes</v>
      </c>
      <c r="AL2306" s="8" t="str">
        <f ca="1">IFERROR(__xludf.DUMMYFUNCTION("""COMPUTED_VALUE"""),"No")</f>
        <v>No</v>
      </c>
      <c r="AM2306" s="8"/>
      <c r="AN2306" s="8"/>
      <c r="AO2306" s="8" t="str">
        <f ca="1">IFERROR(__xludf.DUMMYFUNCTION("""COMPUTED_VALUE"""),"No")</f>
        <v>No</v>
      </c>
      <c r="AP2306" s="8"/>
      <c r="AQ2306" s="8" t="str">
        <f ca="1">IFERROR(__xludf.DUMMYFUNCTION("""COMPUTED_VALUE"""),"Unknown")</f>
        <v>Unknown</v>
      </c>
      <c r="AR2306" s="8" t="str">
        <f ca="1">IFERROR(__xludf.DUMMYFUNCTION("""COMPUTED_VALUE"""),"NA")</f>
        <v>NA</v>
      </c>
      <c r="AS2306" s="8"/>
      <c r="AT2306" s="8"/>
      <c r="AU2306" s="8">
        <f ca="1">IFERROR(__xludf.DUMMYFUNCTION("""COMPUTED_VALUE"""),37.397106)</f>
        <v>37.397106000000001</v>
      </c>
      <c r="AV2306" s="8">
        <f ca="1">IFERROR(__xludf.DUMMYFUNCTION("""COMPUTED_VALUE"""),-122.003249)</f>
        <v>-122.003249</v>
      </c>
      <c r="AW2306" s="8"/>
      <c r="AX2306" s="8">
        <f ca="1">IFERROR(__xludf.DUMMYFUNCTION("""COMPUTED_VALUE"""),94089)</f>
        <v>94089</v>
      </c>
    </row>
    <row r="2307" spans="1:50" ht="90" x14ac:dyDescent="0.2">
      <c r="A2307" s="8" t="str">
        <f ca="1">IFERROR(__xludf.DUMMYFUNCTION("""COMPUTED_VALUE"""),"20041007MANEN")</f>
        <v>20041007MANEN</v>
      </c>
      <c r="B2307" s="8">
        <f ca="1">IFERROR(__xludf.DUMMYFUNCTION("""COMPUTED_VALUE"""),10)</f>
        <v>10</v>
      </c>
      <c r="C2307" s="8">
        <f ca="1">IFERROR(__xludf.DUMMYFUNCTION("""COMPUTED_VALUE"""),7)</f>
        <v>7</v>
      </c>
      <c r="D2307" s="8">
        <f ca="1">IFERROR(__xludf.DUMMYFUNCTION("""COMPUTED_VALUE"""),2004)</f>
        <v>2004</v>
      </c>
      <c r="E2307" s="9">
        <f ca="1">IFERROR(__xludf.DUMMYFUNCTION("""COMPUTED_VALUE"""),38267)</f>
        <v>38267</v>
      </c>
      <c r="F2307" s="8" t="str">
        <f ca="1">IFERROR(__xludf.DUMMYFUNCTION("""COMPUTED_VALUE"""),"Newburyport High School")</f>
        <v>Newburyport High School</v>
      </c>
      <c r="G2307" s="8">
        <f ca="1">IFERROR(__xludf.DUMMYFUNCTION("""COMPUTED_VALUE"""),0)</f>
        <v>0</v>
      </c>
      <c r="H2307" s="8">
        <f ca="1">IFERROR(__xludf.DUMMYFUNCTION("""COMPUTED_VALUE"""),0)</f>
        <v>0</v>
      </c>
      <c r="I2307" s="8">
        <f ca="1">IFERROR(__xludf.DUMMYFUNCTION("""COMPUTED_VALUE"""),0)</f>
        <v>0</v>
      </c>
      <c r="J2307" s="8">
        <f ca="1">IFERROR(__xludf.DUMMYFUNCTION("""COMPUTED_VALUE"""),1)</f>
        <v>1</v>
      </c>
      <c r="K2307" s="10" t="str">
        <f ca="1">IFERROR(__xludf.DUMMYFUNCTION("""COMPUTED_VALUE"""),"https://www.upi.com/Distraught-teen-kills-himself-at-school/59631097364281/")</f>
        <v>https://www.upi.com/Distraught-teen-kills-himself-at-school/59631097364281/</v>
      </c>
      <c r="L2307" s="8"/>
      <c r="M2307" s="8"/>
      <c r="N2307" s="8">
        <f ca="1">IFERROR(__xludf.DUMMYFUNCTION("""COMPUTED_VALUE"""),2)</f>
        <v>2</v>
      </c>
      <c r="O2307" s="8" t="str">
        <f ca="1">IFERROR(__xludf.DUMMYFUNCTION("""COMPUTED_VALUE"""),"Fall")</f>
        <v>Fall</v>
      </c>
      <c r="P2307" s="8" t="str">
        <f ca="1">IFERROR(__xludf.DUMMYFUNCTION("""COMPUTED_VALUE"""),"Newburyport")</f>
        <v>Newburyport</v>
      </c>
      <c r="Q2307" s="8" t="str">
        <f ca="1">IFERROR(__xludf.DUMMYFUNCTION("""COMPUTED_VALUE"""),"MA")</f>
        <v>MA</v>
      </c>
      <c r="R2307" s="8" t="str">
        <f ca="1">IFERROR(__xludf.DUMMYFUNCTION("""COMPUTED_VALUE"""),"High")</f>
        <v>High</v>
      </c>
      <c r="S2307" s="8" t="str">
        <f ca="1">IFERROR(__xludf.DUMMYFUNCTION("""COMPUTED_VALUE"""),"Front of School")</f>
        <v>Front of School</v>
      </c>
      <c r="T2307" s="8" t="str">
        <f ca="1">IFERROR(__xludf.DUMMYFUNCTION("""COMPUTED_VALUE"""),"Outside on School Property")</f>
        <v>Outside on School Property</v>
      </c>
      <c r="U2307" s="8" t="str">
        <f ca="1">IFERROR(__xludf.DUMMYFUNCTION("""COMPUTED_VALUE"""),"No")</f>
        <v>No</v>
      </c>
      <c r="V2307" s="8" t="str">
        <f ca="1">IFERROR(__xludf.DUMMYFUNCTION("""COMPUTED_VALUE"""),"Night")</f>
        <v>Night</v>
      </c>
      <c r="W2307" s="11">
        <f ca="1">IFERROR(__xludf.DUMMYFUNCTION("""COMPUTED_VALUE"""),0.958333333333333)</f>
        <v>0.95833333333333304</v>
      </c>
      <c r="X2307" s="8">
        <f ca="1">IFERROR(__xludf.DUMMYFUNCTION("""COMPUTED_VALUE"""),1)</f>
        <v>1</v>
      </c>
      <c r="Y2307" s="12" t="str">
        <f ca="1">IFERROR(__xludf.DUMMYFUNCTION("""COMPUTED_VALUE"""),"Attempted to get into ex-girlfriend's house, fired 2 shots into air, walked to high school and shot himself")</f>
        <v>Attempted to get into ex-girlfriend's house, fired 2 shots into air, walked to high school and shot himself</v>
      </c>
      <c r="Z2307" s="12" t="str">
        <f ca="1">IFERROR(__xludf.DUMMYFUNCTION("""COMPUTED_VALUE"""),"15YOM was upset about breakup. Went to ex-girlfriend's house with shotgun but parents would not let him inside. He fired two shots into the air. Walked to high school and shot himself on the steps.")</f>
        <v>15YOM was upset about breakup. Went to ex-girlfriend's house with shotgun but parents would not let him inside. He fired two shots into the air. Walked to high school and shot himself on the steps.</v>
      </c>
      <c r="AA2307" s="8" t="str">
        <f ca="1">IFERROR(__xludf.DUMMYFUNCTION("""COMPUTED_VALUE"""),"Suicide/Attempted")</f>
        <v>Suicide/Attempted</v>
      </c>
      <c r="AB2307" s="8"/>
      <c r="AC2307" s="8"/>
      <c r="AD2307" s="8" t="str">
        <f ca="1">IFERROR(__xludf.DUMMYFUNCTION("""COMPUTED_VALUE"""),"Victims Targeted")</f>
        <v>Victims Targeted</v>
      </c>
      <c r="AE2307" s="8" t="str">
        <f ca="1">IFERROR(__xludf.DUMMYFUNCTION("""COMPUTED_VALUE"""),"No")</f>
        <v>No</v>
      </c>
      <c r="AF2307" s="8"/>
      <c r="AG2307" s="8" t="str">
        <f ca="1">IFERROR(__xludf.DUMMYFUNCTION("""COMPUTED_VALUE"""),"No")</f>
        <v>No</v>
      </c>
      <c r="AH2307" s="8" t="str">
        <f ca="1">IFERROR(__xludf.DUMMYFUNCTION("""COMPUTED_VALUE"""),"No")</f>
        <v>No</v>
      </c>
      <c r="AI2307" s="8" t="str">
        <f ca="1">IFERROR(__xludf.DUMMYFUNCTION("""COMPUTED_VALUE"""),"No")</f>
        <v>No</v>
      </c>
      <c r="AJ2307" s="8" t="str">
        <f ca="1">IFERROR(__xludf.DUMMYFUNCTION("""COMPUTED_VALUE"""),"No")</f>
        <v>No</v>
      </c>
      <c r="AK2307" s="8" t="str">
        <f ca="1">IFERROR(__xludf.DUMMYFUNCTION("""COMPUTED_VALUE"""),"Yes")</f>
        <v>Yes</v>
      </c>
      <c r="AL2307" s="8" t="str">
        <f ca="1">IFERROR(__xludf.DUMMYFUNCTION("""COMPUTED_VALUE"""),"No")</f>
        <v>No</v>
      </c>
      <c r="AM2307" s="8"/>
      <c r="AN2307" s="8"/>
      <c r="AO2307" s="8" t="str">
        <f ca="1">IFERROR(__xludf.DUMMYFUNCTION("""COMPUTED_VALUE"""),"No")</f>
        <v>No</v>
      </c>
      <c r="AP2307" s="8"/>
      <c r="AQ2307" s="8" t="str">
        <f ca="1">IFERROR(__xludf.DUMMYFUNCTION("""COMPUTED_VALUE"""),"Unknown")</f>
        <v>Unknown</v>
      </c>
      <c r="AR2307" s="8" t="str">
        <f ca="1">IFERROR(__xludf.DUMMYFUNCTION("""COMPUTED_VALUE"""),"NA")</f>
        <v>NA</v>
      </c>
      <c r="AS2307" s="8">
        <f ca="1">IFERROR(__xludf.DUMMYFUNCTION("""COMPUTED_VALUE"""),1)</f>
        <v>1</v>
      </c>
      <c r="AT2307" s="8"/>
      <c r="AU2307" s="8">
        <f ca="1">IFERROR(__xludf.DUMMYFUNCTION("""COMPUTED_VALUE"""),42.813031)</f>
        <v>42.813031000000002</v>
      </c>
      <c r="AV2307" s="8">
        <f ca="1">IFERROR(__xludf.DUMMYFUNCTION("""COMPUTED_VALUE"""),-70.886366)</f>
        <v>-70.886365999999995</v>
      </c>
      <c r="AW2307" s="8"/>
      <c r="AX2307" s="8">
        <f ca="1">IFERROR(__xludf.DUMMYFUNCTION("""COMPUTED_VALUE"""),1950)</f>
        <v>1950</v>
      </c>
    </row>
    <row r="2308" spans="1:50" ht="90" x14ac:dyDescent="0.2">
      <c r="A2308" s="8" t="str">
        <f ca="1">IFERROR(__xludf.DUMMYFUNCTION("""COMPUTED_VALUE"""),"20041002NEJEG")</f>
        <v>20041002NEJEG</v>
      </c>
      <c r="B2308" s="8">
        <f ca="1">IFERROR(__xludf.DUMMYFUNCTION("""COMPUTED_VALUE"""),10)</f>
        <v>10</v>
      </c>
      <c r="C2308" s="8">
        <f ca="1">IFERROR(__xludf.DUMMYFUNCTION("""COMPUTED_VALUE"""),2)</f>
        <v>2</v>
      </c>
      <c r="D2308" s="8">
        <f ca="1">IFERROR(__xludf.DUMMYFUNCTION("""COMPUTED_VALUE"""),2004)</f>
        <v>2004</v>
      </c>
      <c r="E2308" s="9">
        <f ca="1">IFERROR(__xludf.DUMMYFUNCTION("""COMPUTED_VALUE"""),38262)</f>
        <v>38262</v>
      </c>
      <c r="F2308" s="8" t="str">
        <f ca="1">IFERROR(__xludf.DUMMYFUNCTION("""COMPUTED_VALUE"""),"Jefferson Elementary School")</f>
        <v>Jefferson Elementary School</v>
      </c>
      <c r="G2308" s="8">
        <f ca="1">IFERROR(__xludf.DUMMYFUNCTION("""COMPUTED_VALUE"""),0)</f>
        <v>0</v>
      </c>
      <c r="H2308" s="8">
        <f ca="1">IFERROR(__xludf.DUMMYFUNCTION("""COMPUTED_VALUE"""),1)</f>
        <v>1</v>
      </c>
      <c r="I2308" s="8">
        <f ca="1">IFERROR(__xludf.DUMMYFUNCTION("""COMPUTED_VALUE"""),1)</f>
        <v>1</v>
      </c>
      <c r="J2308" s="8">
        <f ca="1">IFERROR(__xludf.DUMMYFUNCTION("""COMPUTED_VALUE"""),0)</f>
        <v>0</v>
      </c>
      <c r="K2308" s="10" t="str">
        <f ca="1">IFERROR(__xludf.DUMMYFUNCTION("""COMPUTED_VALUE"""),"https://www.theindependent.com/news/man-charged-with-shooting-at-jefferson-school/article_3665f3f8-7aea-525c-b6a2-1d6de44bd561.html")</f>
        <v>https://www.theindependent.com/news/man-charged-with-shooting-at-jefferson-school/article_3665f3f8-7aea-525c-b6a2-1d6de44bd561.html</v>
      </c>
      <c r="L2308" s="8"/>
      <c r="M2308" s="8"/>
      <c r="N2308" s="8">
        <f ca="1">IFERROR(__xludf.DUMMYFUNCTION("""COMPUTED_VALUE"""),2)</f>
        <v>2</v>
      </c>
      <c r="O2308" s="8" t="str">
        <f ca="1">IFERROR(__xludf.DUMMYFUNCTION("""COMPUTED_VALUE"""),"Fall")</f>
        <v>Fall</v>
      </c>
      <c r="P2308" s="8" t="str">
        <f ca="1">IFERROR(__xludf.DUMMYFUNCTION("""COMPUTED_VALUE"""),"Grand Island")</f>
        <v>Grand Island</v>
      </c>
      <c r="Q2308" s="8" t="str">
        <f ca="1">IFERROR(__xludf.DUMMYFUNCTION("""COMPUTED_VALUE"""),"NE")</f>
        <v>NE</v>
      </c>
      <c r="R2308" s="8" t="str">
        <f ca="1">IFERROR(__xludf.DUMMYFUNCTION("""COMPUTED_VALUE"""),"Elementary")</f>
        <v>Elementary</v>
      </c>
      <c r="S2308" s="8" t="str">
        <f ca="1">IFERROR(__xludf.DUMMYFUNCTION("""COMPUTED_VALUE"""),"Parking Lot")</f>
        <v>Parking Lot</v>
      </c>
      <c r="T2308" s="8" t="str">
        <f ca="1">IFERROR(__xludf.DUMMYFUNCTION("""COMPUTED_VALUE"""),"Outside on School Property")</f>
        <v>Outside on School Property</v>
      </c>
      <c r="U2308" s="8" t="str">
        <f ca="1">IFERROR(__xludf.DUMMYFUNCTION("""COMPUTED_VALUE"""),"No")</f>
        <v>No</v>
      </c>
      <c r="V2308" s="8" t="str">
        <f ca="1">IFERROR(__xludf.DUMMYFUNCTION("""COMPUTED_VALUE"""),"Not a School Day")</f>
        <v>Not a School Day</v>
      </c>
      <c r="W2308" s="11">
        <f ca="1">IFERROR(__xludf.DUMMYFUNCTION("""COMPUTED_VALUE"""),0.270833333333333)</f>
        <v>0.27083333333333298</v>
      </c>
      <c r="X2308" s="8">
        <f ca="1">IFERROR(__xludf.DUMMYFUNCTION("""COMPUTED_VALUE"""),1)</f>
        <v>1</v>
      </c>
      <c r="Y2308" s="12" t="str">
        <f ca="1">IFERROR(__xludf.DUMMYFUNCTION("""COMPUTED_VALUE"""),"Shooter called ex-girlfriend, current boyfriend and friends came to school to confront him")</f>
        <v>Shooter called ex-girlfriend, current boyfriend and friends came to school to confront him</v>
      </c>
      <c r="Z2308" s="12" t="str">
        <f ca="1">IFERROR(__xludf.DUMMYFUNCTION("""COMPUTED_VALUE"""),"Early morning fight on the school grounds. Shooter had called his ex-girlfriend angering current boyfriend. They all met at the school parking lot in the morning. Shooter fired 3 shots and drove away. Later arrested. Shooter was using methamphetamine at t"&amp;"he time.")</f>
        <v>Early morning fight on the school grounds. Shooter had called his ex-girlfriend angering current boyfriend. They all met at the school parking lot in the morning. Shooter fired 3 shots and drove away. Later arrested. Shooter was using methamphetamine at the time.</v>
      </c>
      <c r="AA2308" s="8" t="str">
        <f ca="1">IFERROR(__xludf.DUMMYFUNCTION("""COMPUTED_VALUE"""),"Domestic w/ Targeted Victim")</f>
        <v>Domestic w/ Targeted Victim</v>
      </c>
      <c r="AB2308" s="8"/>
      <c r="AC2308" s="8"/>
      <c r="AD2308" s="8" t="str">
        <f ca="1">IFERROR(__xludf.DUMMYFUNCTION("""COMPUTED_VALUE"""),"Victims Targeted")</f>
        <v>Victims Targeted</v>
      </c>
      <c r="AE2308" s="8" t="str">
        <f ca="1">IFERROR(__xludf.DUMMYFUNCTION("""COMPUTED_VALUE"""),"No")</f>
        <v>No</v>
      </c>
      <c r="AF2308" s="8"/>
      <c r="AG2308" s="8" t="str">
        <f ca="1">IFERROR(__xludf.DUMMYFUNCTION("""COMPUTED_VALUE"""),"No")</f>
        <v>No</v>
      </c>
      <c r="AH2308" s="8" t="str">
        <f ca="1">IFERROR(__xludf.DUMMYFUNCTION("""COMPUTED_VALUE"""),"No")</f>
        <v>No</v>
      </c>
      <c r="AI2308" s="8" t="str">
        <f ca="1">IFERROR(__xludf.DUMMYFUNCTION("""COMPUTED_VALUE"""),"No")</f>
        <v>No</v>
      </c>
      <c r="AJ2308" s="8" t="str">
        <f ca="1">IFERROR(__xludf.DUMMYFUNCTION("""COMPUTED_VALUE"""),"No")</f>
        <v>No</v>
      </c>
      <c r="AK2308" s="8" t="str">
        <f ca="1">IFERROR(__xludf.DUMMYFUNCTION("""COMPUTED_VALUE"""),"Yes")</f>
        <v>Yes</v>
      </c>
      <c r="AL2308" s="8" t="str">
        <f ca="1">IFERROR(__xludf.DUMMYFUNCTION("""COMPUTED_VALUE"""),"No")</f>
        <v>No</v>
      </c>
      <c r="AM2308" s="8"/>
      <c r="AN2308" s="8"/>
      <c r="AO2308" s="8" t="str">
        <f ca="1">IFERROR(__xludf.DUMMYFUNCTION("""COMPUTED_VALUE"""),"No")</f>
        <v>No</v>
      </c>
      <c r="AP2308" s="8"/>
      <c r="AQ2308" s="8" t="str">
        <f ca="1">IFERROR(__xludf.DUMMYFUNCTION("""COMPUTED_VALUE"""),"Unknown")</f>
        <v>Unknown</v>
      </c>
      <c r="AR2308" s="8" t="str">
        <f ca="1">IFERROR(__xludf.DUMMYFUNCTION("""COMPUTED_VALUE"""),"NA")</f>
        <v>NA</v>
      </c>
      <c r="AS2308" s="8">
        <f ca="1">IFERROR(__xludf.DUMMYFUNCTION("""COMPUTED_VALUE"""),3)</f>
        <v>3</v>
      </c>
      <c r="AT2308" s="8"/>
      <c r="AU2308" s="8">
        <f ca="1">IFERROR(__xludf.DUMMYFUNCTION("""COMPUTED_VALUE"""),40.925783)</f>
        <v>40.925783000000003</v>
      </c>
      <c r="AV2308" s="8">
        <f ca="1">IFERROR(__xludf.DUMMYFUNCTION("""COMPUTED_VALUE"""),-98.358026)</f>
        <v>-98.358025999999995</v>
      </c>
      <c r="AW2308" s="8"/>
      <c r="AX2308" s="8">
        <f ca="1">IFERROR(__xludf.DUMMYFUNCTION("""COMPUTED_VALUE"""),68801)</f>
        <v>68801</v>
      </c>
    </row>
    <row r="2309" spans="1:50" ht="75" x14ac:dyDescent="0.2">
      <c r="A2309" s="8" t="str">
        <f ca="1">IFERROR(__xludf.DUMMYFUNCTION("""COMPUTED_VALUE"""),"20040915INWIG")</f>
        <v>20040915INWIG</v>
      </c>
      <c r="B2309" s="8">
        <f ca="1">IFERROR(__xludf.DUMMYFUNCTION("""COMPUTED_VALUE"""),9)</f>
        <v>9</v>
      </c>
      <c r="C2309" s="8">
        <f ca="1">IFERROR(__xludf.DUMMYFUNCTION("""COMPUTED_VALUE"""),15)</f>
        <v>15</v>
      </c>
      <c r="D2309" s="8">
        <f ca="1">IFERROR(__xludf.DUMMYFUNCTION("""COMPUTED_VALUE"""),2004)</f>
        <v>2004</v>
      </c>
      <c r="E2309" s="9">
        <f ca="1">IFERROR(__xludf.DUMMYFUNCTION("""COMPUTED_VALUE"""),38245)</f>
        <v>38245</v>
      </c>
      <c r="F2309" s="8" t="str">
        <f ca="1">IFERROR(__xludf.DUMMYFUNCTION("""COMPUTED_VALUE"""),"Wirt High School")</f>
        <v>Wirt High School</v>
      </c>
      <c r="G2309" s="8">
        <f ca="1">IFERROR(__xludf.DUMMYFUNCTION("""COMPUTED_VALUE"""),0)</f>
        <v>0</v>
      </c>
      <c r="H2309" s="8">
        <f ca="1">IFERROR(__xludf.DUMMYFUNCTION("""COMPUTED_VALUE"""),0)</f>
        <v>0</v>
      </c>
      <c r="I2309" s="8">
        <f ca="1">IFERROR(__xludf.DUMMYFUNCTION("""COMPUTED_VALUE"""),0)</f>
        <v>0</v>
      </c>
      <c r="J2309" s="8">
        <f ca="1">IFERROR(__xludf.DUMMYFUNCTION("""COMPUTED_VALUE"""),0)</f>
        <v>0</v>
      </c>
      <c r="K2309" s="10" t="str">
        <f ca="1">IFERROR(__xludf.DUMMYFUNCTION("""COMPUTED_VALUE"""),"https://www.nwitimes.com/news/local/lake-county-news-briefs/article_cc5c39db-4f11-5fc4-8024-c813bc7b21f9.html")</f>
        <v>https://www.nwitimes.com/news/local/lake-county-news-briefs/article_cc5c39db-4f11-5fc4-8024-c813bc7b21f9.html</v>
      </c>
      <c r="L2309" s="8"/>
      <c r="M2309" s="8"/>
      <c r="N2309" s="8">
        <f ca="1">IFERROR(__xludf.DUMMYFUNCTION("""COMPUTED_VALUE"""),2)</f>
        <v>2</v>
      </c>
      <c r="O2309" s="8" t="str">
        <f ca="1">IFERROR(__xludf.DUMMYFUNCTION("""COMPUTED_VALUE"""),"Fall")</f>
        <v>Fall</v>
      </c>
      <c r="P2309" s="8" t="str">
        <f ca="1">IFERROR(__xludf.DUMMYFUNCTION("""COMPUTED_VALUE"""),"Gary")</f>
        <v>Gary</v>
      </c>
      <c r="Q2309" s="8" t="str">
        <f ca="1">IFERROR(__xludf.DUMMYFUNCTION("""COMPUTED_VALUE"""),"IN")</f>
        <v>IN</v>
      </c>
      <c r="R2309" s="8" t="str">
        <f ca="1">IFERROR(__xludf.DUMMYFUNCTION("""COMPUTED_VALUE"""),"High")</f>
        <v>High</v>
      </c>
      <c r="S2309" s="8" t="str">
        <f ca="1">IFERROR(__xludf.DUMMYFUNCTION("""COMPUTED_VALUE"""),"Hallway")</f>
        <v>Hallway</v>
      </c>
      <c r="T2309" s="8" t="str">
        <f ca="1">IFERROR(__xludf.DUMMYFUNCTION("""COMPUTED_VALUE"""),"Inside School Building")</f>
        <v>Inside School Building</v>
      </c>
      <c r="U2309" s="8" t="str">
        <f ca="1">IFERROR(__xludf.DUMMYFUNCTION("""COMPUTED_VALUE"""),"Yes")</f>
        <v>Yes</v>
      </c>
      <c r="V2309" s="8" t="str">
        <f ca="1">IFERROR(__xludf.DUMMYFUNCTION("""COMPUTED_VALUE"""),"Afternoon Classes")</f>
        <v>Afternoon Classes</v>
      </c>
      <c r="W2309" s="8"/>
      <c r="X2309" s="8">
        <f ca="1">IFERROR(__xludf.DUMMYFUNCTION("""COMPUTED_VALUE"""),1)</f>
        <v>1</v>
      </c>
      <c r="Y2309" s="12" t="str">
        <f ca="1">IFERROR(__xludf.DUMMYFUNCTION("""COMPUTED_VALUE"""),"Fired shot into school ceiling during fight between 2 groups of students")</f>
        <v>Fired shot into school ceiling during fight between 2 groups of students</v>
      </c>
      <c r="Z2309" s="12" t="str">
        <f ca="1">IFERROR(__xludf.DUMMYFUNCTION("""COMPUTED_VALUE"""),"16YOM fired handgun into the ceiling during fight between two groups of students then fled the area.")</f>
        <v>16YOM fired handgun into the ceiling during fight between two groups of students then fled the area.</v>
      </c>
      <c r="AA2309" s="8" t="str">
        <f ca="1">IFERROR(__xludf.DUMMYFUNCTION("""COMPUTED_VALUE"""),"Escalation of Dispute")</f>
        <v>Escalation of Dispute</v>
      </c>
      <c r="AB2309" s="8"/>
      <c r="AC2309" s="8"/>
      <c r="AD2309" s="8" t="str">
        <f ca="1">IFERROR(__xludf.DUMMYFUNCTION("""COMPUTED_VALUE"""),"Victims Targeted")</f>
        <v>Victims Targeted</v>
      </c>
      <c r="AE2309" s="8" t="str">
        <f ca="1">IFERROR(__xludf.DUMMYFUNCTION("""COMPUTED_VALUE"""),"Yes")</f>
        <v>Yes</v>
      </c>
      <c r="AF2309" s="8" t="str">
        <f ca="1">IFERROR(__xludf.DUMMYFUNCTION("""COMPUTED_VALUE"""),"Patrick Moore 17 also charged in connection with shooting")</f>
        <v>Patrick Moore 17 also charged in connection with shooting</v>
      </c>
      <c r="AG2309" s="8" t="str">
        <f ca="1">IFERROR(__xludf.DUMMYFUNCTION("""COMPUTED_VALUE"""),"No")</f>
        <v>No</v>
      </c>
      <c r="AH2309" s="8" t="str">
        <f ca="1">IFERROR(__xludf.DUMMYFUNCTION("""COMPUTED_VALUE"""),"No")</f>
        <v>No</v>
      </c>
      <c r="AI2309" s="8" t="str">
        <f ca="1">IFERROR(__xludf.DUMMYFUNCTION("""COMPUTED_VALUE"""),"No")</f>
        <v>No</v>
      </c>
      <c r="AJ2309" s="8" t="str">
        <f ca="1">IFERROR(__xludf.DUMMYFUNCTION("""COMPUTED_VALUE"""),"No")</f>
        <v>No</v>
      </c>
      <c r="AK2309" s="8" t="str">
        <f ca="1">IFERROR(__xludf.DUMMYFUNCTION("""COMPUTED_VALUE"""),"No")</f>
        <v>No</v>
      </c>
      <c r="AL2309" s="8" t="str">
        <f ca="1">IFERROR(__xludf.DUMMYFUNCTION("""COMPUTED_VALUE"""),"No")</f>
        <v>No</v>
      </c>
      <c r="AM2309" s="8"/>
      <c r="AN2309" s="8"/>
      <c r="AO2309" s="8" t="str">
        <f ca="1">IFERROR(__xludf.DUMMYFUNCTION("""COMPUTED_VALUE"""),"No")</f>
        <v>No</v>
      </c>
      <c r="AP2309" s="8" t="str">
        <f ca="1">IFERROR(__xludf.DUMMYFUNCTION("""COMPUTED_VALUE"""),"No")</f>
        <v>No</v>
      </c>
      <c r="AQ2309" s="8" t="str">
        <f ca="1">IFERROR(__xludf.DUMMYFUNCTION("""COMPUTED_VALUE"""),"Unknown")</f>
        <v>Unknown</v>
      </c>
      <c r="AR2309" s="8" t="str">
        <f ca="1">IFERROR(__xludf.DUMMYFUNCTION("""COMPUTED_VALUE"""),"NA")</f>
        <v>NA</v>
      </c>
      <c r="AS2309" s="8">
        <f ca="1">IFERROR(__xludf.DUMMYFUNCTION("""COMPUTED_VALUE"""),1)</f>
        <v>1</v>
      </c>
      <c r="AT2309" s="8"/>
      <c r="AU2309" s="8">
        <f ca="1">IFERROR(__xludf.DUMMYFUNCTION("""COMPUTED_VALUE"""),41.609871)</f>
        <v>41.609870999999998</v>
      </c>
      <c r="AV2309" s="8">
        <f ca="1">IFERROR(__xludf.DUMMYFUNCTION("""COMPUTED_VALUE"""),-87.263822)</f>
        <v>-87.263822000000005</v>
      </c>
      <c r="AW2309" s="8"/>
      <c r="AX2309" s="8">
        <f ca="1">IFERROR(__xludf.DUMMYFUNCTION("""COMPUTED_VALUE"""),46403)</f>
        <v>46403</v>
      </c>
    </row>
    <row r="2310" spans="1:50" ht="90" x14ac:dyDescent="0.2">
      <c r="A2310" s="8" t="str">
        <f ca="1">IFERROR(__xludf.DUMMYFUNCTION("""COMPUTED_VALUE"""),"20040912LABON")</f>
        <v>20040912LABON</v>
      </c>
      <c r="B2310" s="8">
        <f ca="1">IFERROR(__xludf.DUMMYFUNCTION("""COMPUTED_VALUE"""),9)</f>
        <v>9</v>
      </c>
      <c r="C2310" s="8">
        <f ca="1">IFERROR(__xludf.DUMMYFUNCTION("""COMPUTED_VALUE"""),12)</f>
        <v>12</v>
      </c>
      <c r="D2310" s="8">
        <f ca="1">IFERROR(__xludf.DUMMYFUNCTION("""COMPUTED_VALUE"""),2004)</f>
        <v>2004</v>
      </c>
      <c r="E2310" s="9">
        <f ca="1">IFERROR(__xludf.DUMMYFUNCTION("""COMPUTED_VALUE"""),38242)</f>
        <v>38242</v>
      </c>
      <c r="F2310" s="8" t="str">
        <f ca="1">IFERROR(__xludf.DUMMYFUNCTION("""COMPUTED_VALUE"""),"Booker T. Washington High School")</f>
        <v>Booker T. Washington High School</v>
      </c>
      <c r="G2310" s="8">
        <f ca="1">IFERROR(__xludf.DUMMYFUNCTION("""COMPUTED_VALUE"""),0)</f>
        <v>0</v>
      </c>
      <c r="H2310" s="8">
        <f ca="1">IFERROR(__xludf.DUMMYFUNCTION("""COMPUTED_VALUE"""),1)</f>
        <v>1</v>
      </c>
      <c r="I2310" s="8">
        <f ca="1">IFERROR(__xludf.DUMMYFUNCTION("""COMPUTED_VALUE"""),1)</f>
        <v>1</v>
      </c>
      <c r="J2310" s="8">
        <f ca="1">IFERROR(__xludf.DUMMYFUNCTION("""COMPUTED_VALUE"""),0)</f>
        <v>0</v>
      </c>
      <c r="K2310" s="10" t="str">
        <f ca="1">IFERROR(__xludf.DUMMYFUNCTION("""COMPUTED_VALUE"""),"https://en.wikipedia.org/wiki/List_of_school_shootings_in_the_United_States")</f>
        <v>https://en.wikipedia.org/wiki/List_of_school_shootings_in_the_United_States</v>
      </c>
      <c r="L2310" s="8"/>
      <c r="M2310" s="8"/>
      <c r="N2310" s="8">
        <f ca="1">IFERROR(__xludf.DUMMYFUNCTION("""COMPUTED_VALUE"""),1)</f>
        <v>1</v>
      </c>
      <c r="O2310" s="8" t="str">
        <f ca="1">IFERROR(__xludf.DUMMYFUNCTION("""COMPUTED_VALUE"""),"Fall")</f>
        <v>Fall</v>
      </c>
      <c r="P2310" s="8" t="str">
        <f ca="1">IFERROR(__xludf.DUMMYFUNCTION("""COMPUTED_VALUE"""),"New Orleans")</f>
        <v>New Orleans</v>
      </c>
      <c r="Q2310" s="8" t="str">
        <f ca="1">IFERROR(__xludf.DUMMYFUNCTION("""COMPUTED_VALUE"""),"LA")</f>
        <v>LA</v>
      </c>
      <c r="R2310" s="8" t="str">
        <f ca="1">IFERROR(__xludf.DUMMYFUNCTION("""COMPUTED_VALUE"""),"High")</f>
        <v>High</v>
      </c>
      <c r="S2310" s="8" t="str">
        <f ca="1">IFERROR(__xludf.DUMMYFUNCTION("""COMPUTED_VALUE"""),"Beside Building")</f>
        <v>Beside Building</v>
      </c>
      <c r="T2310" s="8" t="str">
        <f ca="1">IFERROR(__xludf.DUMMYFUNCTION("""COMPUTED_VALUE"""),"Outside on School Property")</f>
        <v>Outside on School Property</v>
      </c>
      <c r="U2310" s="8" t="str">
        <f ca="1">IFERROR(__xludf.DUMMYFUNCTION("""COMPUTED_VALUE"""),"No")</f>
        <v>No</v>
      </c>
      <c r="V2310" s="8" t="str">
        <f ca="1">IFERROR(__xludf.DUMMYFUNCTION("""COMPUTED_VALUE"""),"Not a School Day")</f>
        <v>Not a School Day</v>
      </c>
      <c r="W2310" s="11">
        <f ca="1">IFERROR(__xludf.DUMMYFUNCTION("""COMPUTED_VALUE"""),0.5)</f>
        <v>0.5</v>
      </c>
      <c r="X2310" s="8">
        <f ca="1">IFERROR(__xludf.DUMMYFUNCTION("""COMPUTED_VALUE"""),1)</f>
        <v>1</v>
      </c>
      <c r="Y2310" s="12" t="str">
        <f ca="1">IFERROR(__xludf.DUMMYFUNCTION("""COMPUTED_VALUE"""),"Adult female shot student when he became aggressive and reached for gun")</f>
        <v>Adult female shot student when he became aggressive and reached for gun</v>
      </c>
      <c r="Z2310" s="12" t="str">
        <f ca="1">IFERROR(__xludf.DUMMYFUNCTION("""COMPUTED_VALUE"""),"34YOF (unknown relationship) saw a 16YOM student smoking marijuana at noon behind the school. She approached him and he became belligerent and aggressive. He pushed her away and reached under his shirt for a weapon. Female drew her .38-caliber revolver an"&amp;"d shot the boy in the foot.")</f>
        <v>34YOF (unknown relationship) saw a 16YOM student smoking marijuana at noon behind the school. She approached him and he became belligerent and aggressive. He pushed her away and reached under his shirt for a weapon. Female drew her .38-caliber revolver and shot the boy in the foot.</v>
      </c>
      <c r="AA2310" s="8" t="str">
        <f ca="1">IFERROR(__xludf.DUMMYFUNCTION("""COMPUTED_VALUE"""),"Illegal Activity")</f>
        <v>Illegal Activity</v>
      </c>
      <c r="AB2310" s="8"/>
      <c r="AC2310" s="8"/>
      <c r="AD2310" s="8" t="str">
        <f ca="1">IFERROR(__xludf.DUMMYFUNCTION("""COMPUTED_VALUE"""),"Victims Targeted")</f>
        <v>Victims Targeted</v>
      </c>
      <c r="AE2310" s="8" t="str">
        <f ca="1">IFERROR(__xludf.DUMMYFUNCTION("""COMPUTED_VALUE"""),"No")</f>
        <v>No</v>
      </c>
      <c r="AF2310" s="8"/>
      <c r="AG2310" s="8" t="str">
        <f ca="1">IFERROR(__xludf.DUMMYFUNCTION("""COMPUTED_VALUE"""),"No")</f>
        <v>No</v>
      </c>
      <c r="AH2310" s="8" t="str">
        <f ca="1">IFERROR(__xludf.DUMMYFUNCTION("""COMPUTED_VALUE"""),"No")</f>
        <v>No</v>
      </c>
      <c r="AI2310" s="8" t="str">
        <f ca="1">IFERROR(__xludf.DUMMYFUNCTION("""COMPUTED_VALUE"""),"No")</f>
        <v>No</v>
      </c>
      <c r="AJ2310" s="8" t="str">
        <f ca="1">IFERROR(__xludf.DUMMYFUNCTION("""COMPUTED_VALUE"""),"No")</f>
        <v>No</v>
      </c>
      <c r="AK2310" s="8" t="str">
        <f ca="1">IFERROR(__xludf.DUMMYFUNCTION("""COMPUTED_VALUE"""),"No")</f>
        <v>No</v>
      </c>
      <c r="AL2310" s="8" t="str">
        <f ca="1">IFERROR(__xludf.DUMMYFUNCTION("""COMPUTED_VALUE"""),"No")</f>
        <v>No</v>
      </c>
      <c r="AM2310" s="8"/>
      <c r="AN2310" s="8"/>
      <c r="AO2310" s="8" t="str">
        <f ca="1">IFERROR(__xludf.DUMMYFUNCTION("""COMPUTED_VALUE"""),"No")</f>
        <v>No</v>
      </c>
      <c r="AP2310" s="8"/>
      <c r="AQ2310" s="8" t="str">
        <f ca="1">IFERROR(__xludf.DUMMYFUNCTION("""COMPUTED_VALUE"""),"Unknown")</f>
        <v>Unknown</v>
      </c>
      <c r="AR2310" s="8" t="str">
        <f ca="1">IFERROR(__xludf.DUMMYFUNCTION("""COMPUTED_VALUE"""),"NA")</f>
        <v>NA</v>
      </c>
      <c r="AS2310" s="8">
        <f ca="1">IFERROR(__xludf.DUMMYFUNCTION("""COMPUTED_VALUE"""),1)</f>
        <v>1</v>
      </c>
      <c r="AT2310" s="8"/>
      <c r="AU2310" s="8">
        <f ca="1">IFERROR(__xludf.DUMMYFUNCTION("""COMPUTED_VALUE"""),29.950054)</f>
        <v>29.950054000000002</v>
      </c>
      <c r="AV2310" s="8">
        <f ca="1">IFERROR(__xludf.DUMMYFUNCTION("""COMPUTED_VALUE"""),-90.089163)</f>
        <v>-90.089162999999999</v>
      </c>
      <c r="AW2310" s="8"/>
      <c r="AX2310" s="8">
        <f ca="1">IFERROR(__xludf.DUMMYFUNCTION("""COMPUTED_VALUE"""),70125)</f>
        <v>70125</v>
      </c>
    </row>
    <row r="2311" spans="1:50" ht="75" x14ac:dyDescent="0.2">
      <c r="A2311" s="8" t="str">
        <f ca="1">IFERROR(__xludf.DUMMYFUNCTION("""COMPUTED_VALUE"""),"20040830ILPRM")</f>
        <v>20040830ILPRM</v>
      </c>
      <c r="B2311" s="8">
        <f ca="1">IFERROR(__xludf.DUMMYFUNCTION("""COMPUTED_VALUE"""),8)</f>
        <v>8</v>
      </c>
      <c r="C2311" s="8">
        <f ca="1">IFERROR(__xludf.DUMMYFUNCTION("""COMPUTED_VALUE"""),30)</f>
        <v>30</v>
      </c>
      <c r="D2311" s="8">
        <f ca="1">IFERROR(__xludf.DUMMYFUNCTION("""COMPUTED_VALUE"""),2004)</f>
        <v>2004</v>
      </c>
      <c r="E2311" s="9">
        <f ca="1">IFERROR(__xludf.DUMMYFUNCTION("""COMPUTED_VALUE"""),38229)</f>
        <v>38229</v>
      </c>
      <c r="F2311" s="8" t="str">
        <f ca="1">IFERROR(__xludf.DUMMYFUNCTION("""COMPUTED_VALUE"""),"Proviso East High School")</f>
        <v>Proviso East High School</v>
      </c>
      <c r="G2311" s="8">
        <f ca="1">IFERROR(__xludf.DUMMYFUNCTION("""COMPUTED_VALUE"""),1)</f>
        <v>1</v>
      </c>
      <c r="H2311" s="8">
        <f ca="1">IFERROR(__xludf.DUMMYFUNCTION("""COMPUTED_VALUE"""),0)</f>
        <v>0</v>
      </c>
      <c r="I2311" s="8">
        <f ca="1">IFERROR(__xludf.DUMMYFUNCTION("""COMPUTED_VALUE"""),1)</f>
        <v>1</v>
      </c>
      <c r="J2311" s="8">
        <f ca="1">IFERROR(__xludf.DUMMYFUNCTION("""COMPUTED_VALUE"""),0)</f>
        <v>0</v>
      </c>
      <c r="K2311" s="10" t="str">
        <f ca="1">IFERROR(__xludf.DUMMYFUNCTION("""COMPUTED_VALUE"""),"http://articles.chicagotribune.com/2004-08-31/news/0408310214_1_gang-related-shooting-proviso-east-high-school-student-parking-lot")</f>
        <v>http://articles.chicagotribune.com/2004-08-31/news/0408310214_1_gang-related-shooting-proviso-east-high-school-student-parking-lot</v>
      </c>
      <c r="L2311" s="8"/>
      <c r="M2311" s="8"/>
      <c r="N2311" s="8">
        <f ca="1">IFERROR(__xludf.DUMMYFUNCTION("""COMPUTED_VALUE"""),2)</f>
        <v>2</v>
      </c>
      <c r="O2311" s="8" t="str">
        <f ca="1">IFERROR(__xludf.DUMMYFUNCTION("""COMPUTED_VALUE"""),"Summer")</f>
        <v>Summer</v>
      </c>
      <c r="P2311" s="8" t="str">
        <f ca="1">IFERROR(__xludf.DUMMYFUNCTION("""COMPUTED_VALUE"""),"Maywood")</f>
        <v>Maywood</v>
      </c>
      <c r="Q2311" s="8" t="str">
        <f ca="1">IFERROR(__xludf.DUMMYFUNCTION("""COMPUTED_VALUE"""),"IL")</f>
        <v>IL</v>
      </c>
      <c r="R2311" s="8" t="str">
        <f ca="1">IFERROR(__xludf.DUMMYFUNCTION("""COMPUTED_VALUE"""),"High")</f>
        <v>High</v>
      </c>
      <c r="S2311" s="8" t="str">
        <f ca="1">IFERROR(__xludf.DUMMYFUNCTION("""COMPUTED_VALUE"""),"Parking Lot")</f>
        <v>Parking Lot</v>
      </c>
      <c r="T2311" s="8" t="str">
        <f ca="1">IFERROR(__xludf.DUMMYFUNCTION("""COMPUTED_VALUE"""),"Outside on School Property")</f>
        <v>Outside on School Property</v>
      </c>
      <c r="U2311" s="8" t="str">
        <f ca="1">IFERROR(__xludf.DUMMYFUNCTION("""COMPUTED_VALUE"""),"Yes")</f>
        <v>Yes</v>
      </c>
      <c r="V2311" s="8" t="str">
        <f ca="1">IFERROR(__xludf.DUMMYFUNCTION("""COMPUTED_VALUE"""),"Dismissal")</f>
        <v>Dismissal</v>
      </c>
      <c r="W2311" s="11">
        <f ca="1">IFERROR(__xludf.DUMMYFUNCTION("""COMPUTED_VALUE"""),0.604166666666666)</f>
        <v>0.60416666666666596</v>
      </c>
      <c r="X2311" s="8">
        <f ca="1">IFERROR(__xludf.DUMMYFUNCTION("""COMPUTED_VALUE"""),1)</f>
        <v>1</v>
      </c>
      <c r="Y2311" s="12" t="str">
        <f ca="1">IFERROR(__xludf.DUMMYFUNCTION("""COMPUTED_VALUE"""),"Argument in parking lot while victim was waiting to pick up brother, shot in chest")</f>
        <v>Argument in parking lot while victim was waiting to pick up brother, shot in chest</v>
      </c>
      <c r="Z2311" s="12" t="str">
        <f ca="1">IFERROR(__xludf.DUMMYFUNCTION("""COMPUTED_VALUE"""),"22YOM shot while waiting to pick up brother at school. Had argument with another man and was shot in chest. Police said the shooting was gang related.")</f>
        <v>22YOM shot while waiting to pick up brother at school. Had argument with another man and was shot in chest. Police said the shooting was gang related.</v>
      </c>
      <c r="AA2311" s="8" t="str">
        <f ca="1">IFERROR(__xludf.DUMMYFUNCTION("""COMPUTED_VALUE"""),"Escalation of Dispute")</f>
        <v>Escalation of Dispute</v>
      </c>
      <c r="AB2311" s="8"/>
      <c r="AC2311" s="8"/>
      <c r="AD2311" s="8" t="str">
        <f ca="1">IFERROR(__xludf.DUMMYFUNCTION("""COMPUTED_VALUE"""),"Victims Targeted")</f>
        <v>Victims Targeted</v>
      </c>
      <c r="AE2311" s="8" t="str">
        <f ca="1">IFERROR(__xludf.DUMMYFUNCTION("""COMPUTED_VALUE"""),"No")</f>
        <v>No</v>
      </c>
      <c r="AF2311" s="8"/>
      <c r="AG2311" s="8" t="str">
        <f ca="1">IFERROR(__xludf.DUMMYFUNCTION("""COMPUTED_VALUE"""),"No")</f>
        <v>No</v>
      </c>
      <c r="AH2311" s="8" t="str">
        <f ca="1">IFERROR(__xludf.DUMMYFUNCTION("""COMPUTED_VALUE"""),"No")</f>
        <v>No</v>
      </c>
      <c r="AI2311" s="8" t="str">
        <f ca="1">IFERROR(__xludf.DUMMYFUNCTION("""COMPUTED_VALUE"""),"No")</f>
        <v>No</v>
      </c>
      <c r="AJ2311" s="8" t="str">
        <f ca="1">IFERROR(__xludf.DUMMYFUNCTION("""COMPUTED_VALUE"""),"No")</f>
        <v>No</v>
      </c>
      <c r="AK2311" s="8" t="str">
        <f ca="1">IFERROR(__xludf.DUMMYFUNCTION("""COMPUTED_VALUE"""),"No")</f>
        <v>No</v>
      </c>
      <c r="AL2311" s="8" t="str">
        <f ca="1">IFERROR(__xludf.DUMMYFUNCTION("""COMPUTED_VALUE"""),"Yes")</f>
        <v>Yes</v>
      </c>
      <c r="AM2311" s="8"/>
      <c r="AN2311" s="8"/>
      <c r="AO2311" s="8" t="str">
        <f ca="1">IFERROR(__xludf.DUMMYFUNCTION("""COMPUTED_VALUE"""),"No")</f>
        <v>No</v>
      </c>
      <c r="AP2311" s="8" t="str">
        <f ca="1">IFERROR(__xludf.DUMMYFUNCTION("""COMPUTED_VALUE"""),"Yes")</f>
        <v>Yes</v>
      </c>
      <c r="AQ2311" s="8" t="str">
        <f ca="1">IFERROR(__xludf.DUMMYFUNCTION("""COMPUTED_VALUE"""),"Unknown")</f>
        <v>Unknown</v>
      </c>
      <c r="AR2311" s="8" t="str">
        <f ca="1">IFERROR(__xludf.DUMMYFUNCTION("""COMPUTED_VALUE"""),"NA")</f>
        <v>NA</v>
      </c>
      <c r="AS2311" s="8">
        <f ca="1">IFERROR(__xludf.DUMMYFUNCTION("""COMPUTED_VALUE"""),2)</f>
        <v>2</v>
      </c>
      <c r="AT2311" s="8"/>
      <c r="AU2311" s="8">
        <f ca="1">IFERROR(__xludf.DUMMYFUNCTION("""COMPUTED_VALUE"""),41.880047)</f>
        <v>41.880046999999998</v>
      </c>
      <c r="AV2311" s="8">
        <f ca="1">IFERROR(__xludf.DUMMYFUNCTION("""COMPUTED_VALUE"""),-87.833462)</f>
        <v>-87.833461999999997</v>
      </c>
      <c r="AW2311" s="8"/>
      <c r="AX2311" s="8">
        <f ca="1">IFERROR(__xludf.DUMMYFUNCTION("""COMPUTED_VALUE"""),60153)</f>
        <v>60153</v>
      </c>
    </row>
    <row r="2312" spans="1:50" ht="45" x14ac:dyDescent="0.2">
      <c r="A2312" s="8" t="str">
        <f ca="1">IFERROR(__xludf.DUMMYFUNCTION("""COMPUTED_VALUE"""),"20040824TNHAM")</f>
        <v>20040824TNHAM</v>
      </c>
      <c r="B2312" s="8">
        <f ca="1">IFERROR(__xludf.DUMMYFUNCTION("""COMPUTED_VALUE"""),8)</f>
        <v>8</v>
      </c>
      <c r="C2312" s="8">
        <f ca="1">IFERROR(__xludf.DUMMYFUNCTION("""COMPUTED_VALUE"""),24)</f>
        <v>24</v>
      </c>
      <c r="D2312" s="8">
        <f ca="1">IFERROR(__xludf.DUMMYFUNCTION("""COMPUTED_VALUE"""),2004)</f>
        <v>2004</v>
      </c>
      <c r="E2312" s="9">
        <f ca="1">IFERROR(__xludf.DUMMYFUNCTION("""COMPUTED_VALUE"""),38223)</f>
        <v>38223</v>
      </c>
      <c r="F2312" s="8" t="str">
        <f ca="1">IFERROR(__xludf.DUMMYFUNCTION("""COMPUTED_VALUE"""),"Hamilton High School")</f>
        <v>Hamilton High School</v>
      </c>
      <c r="G2312" s="8">
        <f ca="1">IFERROR(__xludf.DUMMYFUNCTION("""COMPUTED_VALUE"""),0)</f>
        <v>0</v>
      </c>
      <c r="H2312" s="8">
        <f ca="1">IFERROR(__xludf.DUMMYFUNCTION("""COMPUTED_VALUE"""),0)</f>
        <v>0</v>
      </c>
      <c r="I2312" s="8">
        <f ca="1">IFERROR(__xludf.DUMMYFUNCTION("""COMPUTED_VALUE"""),0)</f>
        <v>0</v>
      </c>
      <c r="J2312" s="8">
        <f ca="1">IFERROR(__xludf.DUMMYFUNCTION("""COMPUTED_VALUE"""),0)</f>
        <v>0</v>
      </c>
      <c r="K2312" s="10" t="str">
        <f ca="1">IFERROR(__xludf.DUMMYFUNCTION("""COMPUTED_VALUE"""),"http://www.wmcactionnews5.com/story/7818497/police-investigate-shooting-inside-classroom-at-hamilton-high/")</f>
        <v>http://www.wmcactionnews5.com/story/7818497/police-investigate-shooting-inside-classroom-at-hamilton-high/</v>
      </c>
      <c r="L2312" s="8"/>
      <c r="M2312" s="8"/>
      <c r="N2312" s="8">
        <f ca="1">IFERROR(__xludf.DUMMYFUNCTION("""COMPUTED_VALUE"""),2)</f>
        <v>2</v>
      </c>
      <c r="O2312" s="8" t="str">
        <f ca="1">IFERROR(__xludf.DUMMYFUNCTION("""COMPUTED_VALUE"""),"Summer")</f>
        <v>Summer</v>
      </c>
      <c r="P2312" s="8" t="str">
        <f ca="1">IFERROR(__xludf.DUMMYFUNCTION("""COMPUTED_VALUE"""),"Memphis")</f>
        <v>Memphis</v>
      </c>
      <c r="Q2312" s="8" t="str">
        <f ca="1">IFERROR(__xludf.DUMMYFUNCTION("""COMPUTED_VALUE"""),"TN")</f>
        <v>TN</v>
      </c>
      <c r="R2312" s="8" t="str">
        <f ca="1">IFERROR(__xludf.DUMMYFUNCTION("""COMPUTED_VALUE"""),"High")</f>
        <v>High</v>
      </c>
      <c r="S2312" s="8" t="str">
        <f ca="1">IFERROR(__xludf.DUMMYFUNCTION("""COMPUTED_VALUE"""),"Hallway")</f>
        <v>Hallway</v>
      </c>
      <c r="T2312" s="8" t="str">
        <f ca="1">IFERROR(__xludf.DUMMYFUNCTION("""COMPUTED_VALUE"""),"Inside School Building")</f>
        <v>Inside School Building</v>
      </c>
      <c r="U2312" s="8" t="str">
        <f ca="1">IFERROR(__xludf.DUMMYFUNCTION("""COMPUTED_VALUE"""),"Yes")</f>
        <v>Yes</v>
      </c>
      <c r="V2312" s="8"/>
      <c r="W2312" s="8"/>
      <c r="X2312" s="8">
        <f ca="1">IFERROR(__xludf.DUMMYFUNCTION("""COMPUTED_VALUE"""),1)</f>
        <v>1</v>
      </c>
      <c r="Y2312" s="12" t="str">
        <f ca="1">IFERROR(__xludf.DUMMYFUNCTION("""COMPUTED_VALUE"""),"Shot fired during fight in classroom")</f>
        <v>Shot fired during fight in classroom</v>
      </c>
      <c r="Z2312" s="12" t="str">
        <f ca="1">IFERROR(__xludf.DUMMYFUNCTION("""COMPUTED_VALUE"""),"17YOM tried to stop a fight between group. 16YOM pulled a handgun and fired a shot at 17YOM. Shot hit the classroom door and no one was injured.")</f>
        <v>17YOM tried to stop a fight between group. 16YOM pulled a handgun and fired a shot at 17YOM. Shot hit the classroom door and no one was injured.</v>
      </c>
      <c r="AA2312" s="8" t="str">
        <f ca="1">IFERROR(__xludf.DUMMYFUNCTION("""COMPUTED_VALUE"""),"Escalation of Dispute")</f>
        <v>Escalation of Dispute</v>
      </c>
      <c r="AB2312" s="8"/>
      <c r="AC2312" s="8"/>
      <c r="AD2312" s="8" t="str">
        <f ca="1">IFERROR(__xludf.DUMMYFUNCTION("""COMPUTED_VALUE"""),"Victims Targeted")</f>
        <v>Victims Targeted</v>
      </c>
      <c r="AE2312" s="8" t="str">
        <f ca="1">IFERROR(__xludf.DUMMYFUNCTION("""COMPUTED_VALUE"""),"No")</f>
        <v>No</v>
      </c>
      <c r="AF2312" s="8"/>
      <c r="AG2312" s="8" t="str">
        <f ca="1">IFERROR(__xludf.DUMMYFUNCTION("""COMPUTED_VALUE"""),"No")</f>
        <v>No</v>
      </c>
      <c r="AH2312" s="8" t="str">
        <f ca="1">IFERROR(__xludf.DUMMYFUNCTION("""COMPUTED_VALUE"""),"No")</f>
        <v>No</v>
      </c>
      <c r="AI2312" s="8" t="str">
        <f ca="1">IFERROR(__xludf.DUMMYFUNCTION("""COMPUTED_VALUE"""),"No")</f>
        <v>No</v>
      </c>
      <c r="AJ2312" s="8" t="str">
        <f ca="1">IFERROR(__xludf.DUMMYFUNCTION("""COMPUTED_VALUE"""),"No")</f>
        <v>No</v>
      </c>
      <c r="AK2312" s="8" t="str">
        <f ca="1">IFERROR(__xludf.DUMMYFUNCTION("""COMPUTED_VALUE"""),"No")</f>
        <v>No</v>
      </c>
      <c r="AL2312" s="8" t="str">
        <f ca="1">IFERROR(__xludf.DUMMYFUNCTION("""COMPUTED_VALUE"""),"No")</f>
        <v>No</v>
      </c>
      <c r="AM2312" s="8"/>
      <c r="AN2312" s="8"/>
      <c r="AO2312" s="8" t="str">
        <f ca="1">IFERROR(__xludf.DUMMYFUNCTION("""COMPUTED_VALUE"""),"No")</f>
        <v>No</v>
      </c>
      <c r="AP2312" s="8"/>
      <c r="AQ2312" s="8" t="str">
        <f ca="1">IFERROR(__xludf.DUMMYFUNCTION("""COMPUTED_VALUE"""),"Unknown")</f>
        <v>Unknown</v>
      </c>
      <c r="AR2312" s="8" t="str">
        <f ca="1">IFERROR(__xludf.DUMMYFUNCTION("""COMPUTED_VALUE"""),"NA")</f>
        <v>NA</v>
      </c>
      <c r="AS2312" s="8">
        <f ca="1">IFERROR(__xludf.DUMMYFUNCTION("""COMPUTED_VALUE"""),1)</f>
        <v>1</v>
      </c>
      <c r="AT2312" s="8"/>
      <c r="AU2312" s="8">
        <f ca="1">IFERROR(__xludf.DUMMYFUNCTION("""COMPUTED_VALUE"""),35.100008)</f>
        <v>35.100008000000003</v>
      </c>
      <c r="AV2312" s="8">
        <f ca="1">IFERROR(__xludf.DUMMYFUNCTION("""COMPUTED_VALUE"""),-90.016613)</f>
        <v>-90.016613000000007</v>
      </c>
      <c r="AW2312" s="8"/>
      <c r="AX2312" s="8">
        <f ca="1">IFERROR(__xludf.DUMMYFUNCTION("""COMPUTED_VALUE"""),38106)</f>
        <v>38106</v>
      </c>
    </row>
    <row r="2313" spans="1:50" ht="75" x14ac:dyDescent="0.2">
      <c r="A2313" s="8" t="str">
        <f ca="1">IFERROR(__xludf.DUMMYFUNCTION("""COMPUTED_VALUE"""),"20040803ALHUB")</f>
        <v>20040803ALHUB</v>
      </c>
      <c r="B2313" s="8">
        <f ca="1">IFERROR(__xludf.DUMMYFUNCTION("""COMPUTED_VALUE"""),8)</f>
        <v>8</v>
      </c>
      <c r="C2313" s="8">
        <f ca="1">IFERROR(__xludf.DUMMYFUNCTION("""COMPUTED_VALUE"""),3)</f>
        <v>3</v>
      </c>
      <c r="D2313" s="8">
        <f ca="1">IFERROR(__xludf.DUMMYFUNCTION("""COMPUTED_VALUE"""),2004)</f>
        <v>2004</v>
      </c>
      <c r="E2313" s="9">
        <f ca="1">IFERROR(__xludf.DUMMYFUNCTION("""COMPUTED_VALUE"""),38202)</f>
        <v>38202</v>
      </c>
      <c r="F2313" s="8" t="str">
        <f ca="1">IFERROR(__xludf.DUMMYFUNCTION("""COMPUTED_VALUE"""),"Huffman High School")</f>
        <v>Huffman High School</v>
      </c>
      <c r="G2313" s="8">
        <f ca="1">IFERROR(__xludf.DUMMYFUNCTION("""COMPUTED_VALUE"""),0)</f>
        <v>0</v>
      </c>
      <c r="H2313" s="8">
        <f ca="1">IFERROR(__xludf.DUMMYFUNCTION("""COMPUTED_VALUE"""),1)</f>
        <v>1</v>
      </c>
      <c r="I2313" s="8">
        <f ca="1">IFERROR(__xludf.DUMMYFUNCTION("""COMPUTED_VALUE"""),1)</f>
        <v>1</v>
      </c>
      <c r="J2313" s="8">
        <f ca="1">IFERROR(__xludf.DUMMYFUNCTION("""COMPUTED_VALUE"""),0)</f>
        <v>0</v>
      </c>
      <c r="K2313" s="10" t="str">
        <f ca="1">IFERROR(__xludf.DUMMYFUNCTION("""COMPUTED_VALUE"""),"http://www.gadsdentimes.com/article/DA/20040804/News/603205688/GT/")</f>
        <v>http://www.gadsdentimes.com/article/DA/20040804/News/603205688/GT/</v>
      </c>
      <c r="L2313" s="8"/>
      <c r="M2313" s="8"/>
      <c r="N2313" s="8">
        <f ca="1">IFERROR(__xludf.DUMMYFUNCTION("""COMPUTED_VALUE"""),2)</f>
        <v>2</v>
      </c>
      <c r="O2313" s="8" t="str">
        <f ca="1">IFERROR(__xludf.DUMMYFUNCTION("""COMPUTED_VALUE"""),"Summer")</f>
        <v>Summer</v>
      </c>
      <c r="P2313" s="8" t="str">
        <f ca="1">IFERROR(__xludf.DUMMYFUNCTION("""COMPUTED_VALUE"""),"Birmingham")</f>
        <v>Birmingham</v>
      </c>
      <c r="Q2313" s="8" t="str">
        <f ca="1">IFERROR(__xludf.DUMMYFUNCTION("""COMPUTED_VALUE"""),"AL")</f>
        <v>AL</v>
      </c>
      <c r="R2313" s="8" t="str">
        <f ca="1">IFERROR(__xludf.DUMMYFUNCTION("""COMPUTED_VALUE"""),"High")</f>
        <v>High</v>
      </c>
      <c r="S2313" s="8" t="str">
        <f ca="1">IFERROR(__xludf.DUMMYFUNCTION("""COMPUTED_VALUE"""),"Parking Lot")</f>
        <v>Parking Lot</v>
      </c>
      <c r="T2313" s="8" t="str">
        <f ca="1">IFERROR(__xludf.DUMMYFUNCTION("""COMPUTED_VALUE"""),"Outside on School Property")</f>
        <v>Outside on School Property</v>
      </c>
      <c r="U2313" s="8" t="str">
        <f ca="1">IFERROR(__xludf.DUMMYFUNCTION("""COMPUTED_VALUE"""),"Yes")</f>
        <v>Yes</v>
      </c>
      <c r="V2313" s="8" t="str">
        <f ca="1">IFERROR(__xludf.DUMMYFUNCTION("""COMPUTED_VALUE"""),"Morning Classes")</f>
        <v>Morning Classes</v>
      </c>
      <c r="W2313" s="11">
        <f ca="1">IFERROR(__xludf.DUMMYFUNCTION("""COMPUTED_VALUE"""),0.364583333333333)</f>
        <v>0.36458333333333298</v>
      </c>
      <c r="X2313" s="8">
        <f ca="1">IFERROR(__xludf.DUMMYFUNCTION("""COMPUTED_VALUE"""),1)</f>
        <v>1</v>
      </c>
      <c r="Y2313" s="12" t="str">
        <f ca="1">IFERROR(__xludf.DUMMYFUNCTION("""COMPUTED_VALUE"""),"Band member shot fellow band member during break")</f>
        <v>Band member shot fellow band member during break</v>
      </c>
      <c r="Z2313" s="12" t="str">
        <f ca="1">IFERROR(__xludf.DUMMYFUNCTION("""COMPUTED_VALUE"""),"16YOM was shot in the shoulder by a fellow band member. The shooting took place on one of the school's parking lots around 8:45 a.m. Police took the unnamed shooter in to custody shortly after the shooting and charged him with attempted murder.")</f>
        <v>16YOM was shot in the shoulder by a fellow band member. The shooting took place on one of the school's parking lots around 8:45 a.m. Police took the unnamed shooter in to custody shortly after the shooting and charged him with attempted murder.</v>
      </c>
      <c r="AA2313" s="8" t="str">
        <f ca="1">IFERROR(__xludf.DUMMYFUNCTION("""COMPUTED_VALUE"""),"Unknown")</f>
        <v>Unknown</v>
      </c>
      <c r="AB2313" s="8"/>
      <c r="AC2313" s="8"/>
      <c r="AD2313" s="8" t="str">
        <f ca="1">IFERROR(__xludf.DUMMYFUNCTION("""COMPUTED_VALUE"""),"Victims Targeted")</f>
        <v>Victims Targeted</v>
      </c>
      <c r="AE2313" s="8" t="str">
        <f ca="1">IFERROR(__xludf.DUMMYFUNCTION("""COMPUTED_VALUE"""),"No")</f>
        <v>No</v>
      </c>
      <c r="AF2313" s="8"/>
      <c r="AG2313" s="8" t="str">
        <f ca="1">IFERROR(__xludf.DUMMYFUNCTION("""COMPUTED_VALUE"""),"No")</f>
        <v>No</v>
      </c>
      <c r="AH2313" s="8" t="str">
        <f ca="1">IFERROR(__xludf.DUMMYFUNCTION("""COMPUTED_VALUE"""),"No")</f>
        <v>No</v>
      </c>
      <c r="AI2313" s="8" t="str">
        <f ca="1">IFERROR(__xludf.DUMMYFUNCTION("""COMPUTED_VALUE"""),"No")</f>
        <v>No</v>
      </c>
      <c r="AJ2313" s="8" t="str">
        <f ca="1">IFERROR(__xludf.DUMMYFUNCTION("""COMPUTED_VALUE"""),"No")</f>
        <v>No</v>
      </c>
      <c r="AK2313" s="8" t="str">
        <f ca="1">IFERROR(__xludf.DUMMYFUNCTION("""COMPUTED_VALUE"""),"No")</f>
        <v>No</v>
      </c>
      <c r="AL2313" s="8" t="str">
        <f ca="1">IFERROR(__xludf.DUMMYFUNCTION("""COMPUTED_VALUE"""),"No")</f>
        <v>No</v>
      </c>
      <c r="AM2313" s="8"/>
      <c r="AN2313" s="8"/>
      <c r="AO2313" s="8" t="str">
        <f ca="1">IFERROR(__xludf.DUMMYFUNCTION("""COMPUTED_VALUE"""),"No")</f>
        <v>No</v>
      </c>
      <c r="AP2313" s="8"/>
      <c r="AQ2313" s="8" t="str">
        <f ca="1">IFERROR(__xludf.DUMMYFUNCTION("""COMPUTED_VALUE"""),"Unknown")</f>
        <v>Unknown</v>
      </c>
      <c r="AR2313" s="8" t="str">
        <f ca="1">IFERROR(__xludf.DUMMYFUNCTION("""COMPUTED_VALUE"""),"NA")</f>
        <v>NA</v>
      </c>
      <c r="AS2313" s="8">
        <f ca="1">IFERROR(__xludf.DUMMYFUNCTION("""COMPUTED_VALUE"""),1)</f>
        <v>1</v>
      </c>
      <c r="AT2313" s="8"/>
      <c r="AU2313" s="8">
        <f ca="1">IFERROR(__xludf.DUMMYFUNCTION("""COMPUTED_VALUE"""),33.61114)</f>
        <v>33.611139999999999</v>
      </c>
      <c r="AV2313" s="8">
        <f ca="1">IFERROR(__xludf.DUMMYFUNCTION("""COMPUTED_VALUE"""),-86.683417)</f>
        <v>-86.683417000000006</v>
      </c>
      <c r="AW2313" s="8"/>
      <c r="AX2313" s="8">
        <f ca="1">IFERROR(__xludf.DUMMYFUNCTION("""COMPUTED_VALUE"""),35215)</f>
        <v>35215</v>
      </c>
    </row>
    <row r="2314" spans="1:50" ht="60" x14ac:dyDescent="0.2">
      <c r="A2314" s="8" t="str">
        <f ca="1">IFERROR(__xludf.DUMMYFUNCTION("""COMPUTED_VALUE"""),"20040609CACAO")</f>
        <v>20040609CACAO</v>
      </c>
      <c r="B2314" s="8">
        <f ca="1">IFERROR(__xludf.DUMMYFUNCTION("""COMPUTED_VALUE"""),6)</f>
        <v>6</v>
      </c>
      <c r="C2314" s="8">
        <f ca="1">IFERROR(__xludf.DUMMYFUNCTION("""COMPUTED_VALUE"""),9)</f>
        <v>9</v>
      </c>
      <c r="D2314" s="8">
        <f ca="1">IFERROR(__xludf.DUMMYFUNCTION("""COMPUTED_VALUE"""),2004)</f>
        <v>2004</v>
      </c>
      <c r="E2314" s="9">
        <f ca="1">IFERROR(__xludf.DUMMYFUNCTION("""COMPUTED_VALUE"""),38147)</f>
        <v>38147</v>
      </c>
      <c r="F2314" s="8" t="str">
        <f ca="1">IFERROR(__xludf.DUMMYFUNCTION("""COMPUTED_VALUE"""),"Castlemont High School")</f>
        <v>Castlemont High School</v>
      </c>
      <c r="G2314" s="8">
        <f ca="1">IFERROR(__xludf.DUMMYFUNCTION("""COMPUTED_VALUE"""),0)</f>
        <v>0</v>
      </c>
      <c r="H2314" s="8">
        <f ca="1">IFERROR(__xludf.DUMMYFUNCTION("""COMPUTED_VALUE"""),2)</f>
        <v>2</v>
      </c>
      <c r="I2314" s="8">
        <f ca="1">IFERROR(__xludf.DUMMYFUNCTION("""COMPUTED_VALUE"""),2)</f>
        <v>2</v>
      </c>
      <c r="J2314" s="8">
        <f ca="1">IFERROR(__xludf.DUMMYFUNCTION("""COMPUTED_VALUE"""),0)</f>
        <v>0</v>
      </c>
      <c r="K2314" s="10" t="str">
        <f ca="1">IFERROR(__xludf.DUMMYFUNCTION("""COMPUTED_VALUE"""),"https://www.eastbaytimes.com/2004/06/10/castlemont-pupils-shot-in-drive-by/")</f>
        <v>https://www.eastbaytimes.com/2004/06/10/castlemont-pupils-shot-in-drive-by/</v>
      </c>
      <c r="L2314" s="8"/>
      <c r="M2314" s="8"/>
      <c r="N2314" s="8">
        <f ca="1">IFERROR(__xludf.DUMMYFUNCTION("""COMPUTED_VALUE"""),2)</f>
        <v>2</v>
      </c>
      <c r="O2314" s="8" t="str">
        <f ca="1">IFERROR(__xludf.DUMMYFUNCTION("""COMPUTED_VALUE"""),"Summer")</f>
        <v>Summer</v>
      </c>
      <c r="P2314" s="8" t="str">
        <f ca="1">IFERROR(__xludf.DUMMYFUNCTION("""COMPUTED_VALUE"""),"Oakland")</f>
        <v>Oakland</v>
      </c>
      <c r="Q2314" s="8" t="str">
        <f ca="1">IFERROR(__xludf.DUMMYFUNCTION("""COMPUTED_VALUE"""),"CA")</f>
        <v>CA</v>
      </c>
      <c r="R2314" s="8" t="str">
        <f ca="1">IFERROR(__xludf.DUMMYFUNCTION("""COMPUTED_VALUE"""),"High")</f>
        <v>High</v>
      </c>
      <c r="S2314" s="8" t="str">
        <f ca="1">IFERROR(__xludf.DUMMYFUNCTION("""COMPUTED_VALUE"""),"Front of School")</f>
        <v>Front of School</v>
      </c>
      <c r="T2314" s="8" t="str">
        <f ca="1">IFERROR(__xludf.DUMMYFUNCTION("""COMPUTED_VALUE"""),"Outside on School Property")</f>
        <v>Outside on School Property</v>
      </c>
      <c r="U2314" s="8" t="str">
        <f ca="1">IFERROR(__xludf.DUMMYFUNCTION("""COMPUTED_VALUE"""),"Yes")</f>
        <v>Yes</v>
      </c>
      <c r="V2314" s="8" t="str">
        <f ca="1">IFERROR(__xludf.DUMMYFUNCTION("""COMPUTED_VALUE"""),"Afternoon Classes")</f>
        <v>Afternoon Classes</v>
      </c>
      <c r="W2314" s="11">
        <f ca="1">IFERROR(__xludf.DUMMYFUNCTION("""COMPUTED_VALUE"""),0.515277777777777)</f>
        <v>0.51527777777777695</v>
      </c>
      <c r="X2314" s="8">
        <f ca="1">IFERROR(__xludf.DUMMYFUNCTION("""COMPUTED_VALUE"""),1)</f>
        <v>1</v>
      </c>
      <c r="Y2314" s="12" t="str">
        <f ca="1">IFERROR(__xludf.DUMMYFUNCTION("""COMPUTED_VALUE"""),"Gang-related drive-by in retaliation for prior fight")</f>
        <v>Gang-related drive-by in retaliation for prior fight</v>
      </c>
      <c r="Z2314" s="12" t="str">
        <f ca="1">IFERROR(__xludf.DUMMYFUNCTION("""COMPUTED_VALUE"""),"Group of students outside of school flashed gang signs and threw bottles at a passing car. The car stopped and fired multiple shot striking two students then fled the area. Police said the shooting was gang related.")</f>
        <v>Group of students outside of school flashed gang signs and threw bottles at a passing car. The car stopped and fired multiple shot striking two students then fled the area. Police said the shooting was gang related.</v>
      </c>
      <c r="AA2314" s="8" t="str">
        <f ca="1">IFERROR(__xludf.DUMMYFUNCTION("""COMPUTED_VALUE"""),"Drive-by Shooting")</f>
        <v>Drive-by Shooting</v>
      </c>
      <c r="AB2314" s="8"/>
      <c r="AC2314" s="8"/>
      <c r="AD2314" s="8" t="str">
        <f ca="1">IFERROR(__xludf.DUMMYFUNCTION("""COMPUTED_VALUE"""),"Victims Targeted")</f>
        <v>Victims Targeted</v>
      </c>
      <c r="AE2314" s="8" t="str">
        <f ca="1">IFERROR(__xludf.DUMMYFUNCTION("""COMPUTED_VALUE"""),"Yes")</f>
        <v>Yes</v>
      </c>
      <c r="AF2314" s="8" t="str">
        <f ca="1">IFERROR(__xludf.DUMMYFUNCTION("""COMPUTED_VALUE"""),"Multiple people in car")</f>
        <v>Multiple people in car</v>
      </c>
      <c r="AG2314" s="8" t="str">
        <f ca="1">IFERROR(__xludf.DUMMYFUNCTION("""COMPUTED_VALUE"""),"No")</f>
        <v>No</v>
      </c>
      <c r="AH2314" s="8" t="str">
        <f ca="1">IFERROR(__xludf.DUMMYFUNCTION("""COMPUTED_VALUE"""),"No")</f>
        <v>No</v>
      </c>
      <c r="AI2314" s="8" t="str">
        <f ca="1">IFERROR(__xludf.DUMMYFUNCTION("""COMPUTED_VALUE"""),"No")</f>
        <v>No</v>
      </c>
      <c r="AJ2314" s="8" t="str">
        <f ca="1">IFERROR(__xludf.DUMMYFUNCTION("""COMPUTED_VALUE"""),"No")</f>
        <v>No</v>
      </c>
      <c r="AK2314" s="8" t="str">
        <f ca="1">IFERROR(__xludf.DUMMYFUNCTION("""COMPUTED_VALUE"""),"No")</f>
        <v>No</v>
      </c>
      <c r="AL2314" s="8" t="str">
        <f ca="1">IFERROR(__xludf.DUMMYFUNCTION("""COMPUTED_VALUE"""),"Yes")</f>
        <v>Yes</v>
      </c>
      <c r="AM2314" s="8"/>
      <c r="AN2314" s="8"/>
      <c r="AO2314" s="8" t="str">
        <f ca="1">IFERROR(__xludf.DUMMYFUNCTION("""COMPUTED_VALUE"""),"No")</f>
        <v>No</v>
      </c>
      <c r="AP2314" s="8" t="str">
        <f ca="1">IFERROR(__xludf.DUMMYFUNCTION("""COMPUTED_VALUE"""),"No")</f>
        <v>No</v>
      </c>
      <c r="AQ2314" s="8" t="str">
        <f ca="1">IFERROR(__xludf.DUMMYFUNCTION("""COMPUTED_VALUE"""),"Unknown")</f>
        <v>Unknown</v>
      </c>
      <c r="AR2314" s="8" t="str">
        <f ca="1">IFERROR(__xludf.DUMMYFUNCTION("""COMPUTED_VALUE"""),"NA")</f>
        <v>NA</v>
      </c>
      <c r="AS2314" s="8"/>
      <c r="AT2314" s="8"/>
      <c r="AU2314" s="8">
        <f ca="1">IFERROR(__xludf.DUMMYFUNCTION("""COMPUTED_VALUE"""),37.759212)</f>
        <v>37.759211999999998</v>
      </c>
      <c r="AV2314" s="8">
        <f ca="1">IFERROR(__xludf.DUMMYFUNCTION("""COMPUTED_VALUE"""),-122.16328)</f>
        <v>-122.16328</v>
      </c>
      <c r="AW2314" s="8"/>
      <c r="AX2314" s="8">
        <f ca="1">IFERROR(__xludf.DUMMYFUNCTION("""COMPUTED_VALUE"""),94613)</f>
        <v>94613</v>
      </c>
    </row>
    <row r="2315" spans="1:50" ht="60" x14ac:dyDescent="0.2">
      <c r="A2315" s="8" t="str">
        <f ca="1">IFERROR(__xludf.DUMMYFUNCTION("""COMPUTED_VALUE"""),"20040524UTWES")</f>
        <v>20040524UTWES</v>
      </c>
      <c r="B2315" s="8">
        <f ca="1">IFERROR(__xludf.DUMMYFUNCTION("""COMPUTED_VALUE"""),5)</f>
        <v>5</v>
      </c>
      <c r="C2315" s="8">
        <f ca="1">IFERROR(__xludf.DUMMYFUNCTION("""COMPUTED_VALUE"""),24)</f>
        <v>24</v>
      </c>
      <c r="D2315" s="8">
        <f ca="1">IFERROR(__xludf.DUMMYFUNCTION("""COMPUTED_VALUE"""),2004)</f>
        <v>2004</v>
      </c>
      <c r="E2315" s="9">
        <f ca="1">IFERROR(__xludf.DUMMYFUNCTION("""COMPUTED_VALUE"""),38131)</f>
        <v>38131</v>
      </c>
      <c r="F2315" s="8" t="str">
        <f ca="1">IFERROR(__xludf.DUMMYFUNCTION("""COMPUTED_VALUE"""),"West High School")</f>
        <v>West High School</v>
      </c>
      <c r="G2315" s="8">
        <f ca="1">IFERROR(__xludf.DUMMYFUNCTION("""COMPUTED_VALUE"""),1)</f>
        <v>1</v>
      </c>
      <c r="H2315" s="8">
        <f ca="1">IFERROR(__xludf.DUMMYFUNCTION("""COMPUTED_VALUE"""),0)</f>
        <v>0</v>
      </c>
      <c r="I2315" s="8">
        <f ca="1">IFERROR(__xludf.DUMMYFUNCTION("""COMPUTED_VALUE"""),1)</f>
        <v>1</v>
      </c>
      <c r="J2315" s="8">
        <f ca="1">IFERROR(__xludf.DUMMYFUNCTION("""COMPUTED_VALUE"""),1)</f>
        <v>1</v>
      </c>
      <c r="K2315" s="10" t="str">
        <f ca="1">IFERROR(__xludf.DUMMYFUNCTION("""COMPUTED_VALUE"""),"https://www.deseretnews.com/article/595065631/Man-kills-wife-self-at-West-High.html")</f>
        <v>https://www.deseretnews.com/article/595065631/Man-kills-wife-self-at-West-High.html</v>
      </c>
      <c r="L2315" s="8"/>
      <c r="M2315" s="8"/>
      <c r="N2315" s="8">
        <f ca="1">IFERROR(__xludf.DUMMYFUNCTION("""COMPUTED_VALUE"""),2)</f>
        <v>2</v>
      </c>
      <c r="O2315" s="8" t="str">
        <f ca="1">IFERROR(__xludf.DUMMYFUNCTION("""COMPUTED_VALUE"""),"Spring")</f>
        <v>Spring</v>
      </c>
      <c r="P2315" s="8" t="str">
        <f ca="1">IFERROR(__xludf.DUMMYFUNCTION("""COMPUTED_VALUE"""),"Salt Lake City")</f>
        <v>Salt Lake City</v>
      </c>
      <c r="Q2315" s="8" t="str">
        <f ca="1">IFERROR(__xludf.DUMMYFUNCTION("""COMPUTED_VALUE"""),"UT")</f>
        <v>UT</v>
      </c>
      <c r="R2315" s="8" t="str">
        <f ca="1">IFERROR(__xludf.DUMMYFUNCTION("""COMPUTED_VALUE"""),"High")</f>
        <v>High</v>
      </c>
      <c r="S2315" s="8" t="str">
        <f ca="1">IFERROR(__xludf.DUMMYFUNCTION("""COMPUTED_VALUE"""),"Parking Lot")</f>
        <v>Parking Lot</v>
      </c>
      <c r="T2315" s="8" t="str">
        <f ca="1">IFERROR(__xludf.DUMMYFUNCTION("""COMPUTED_VALUE"""),"Outside on School Property")</f>
        <v>Outside on School Property</v>
      </c>
      <c r="U2315" s="8" t="str">
        <f ca="1">IFERROR(__xludf.DUMMYFUNCTION("""COMPUTED_VALUE"""),"No")</f>
        <v>No</v>
      </c>
      <c r="V2315" s="8" t="str">
        <f ca="1">IFERROR(__xludf.DUMMYFUNCTION("""COMPUTED_VALUE"""),"Before School")</f>
        <v>Before School</v>
      </c>
      <c r="W2315" s="11">
        <f ca="1">IFERROR(__xludf.DUMMYFUNCTION("""COMPUTED_VALUE"""),0.25)</f>
        <v>0.25</v>
      </c>
      <c r="X2315" s="8">
        <f ca="1">IFERROR(__xludf.DUMMYFUNCTION("""COMPUTED_VALUE"""),1)</f>
        <v>1</v>
      </c>
      <c r="Y2315" s="12" t="str">
        <f ca="1">IFERROR(__xludf.DUMMYFUNCTION("""COMPUTED_VALUE"""),"Murder suicide of husband killing wife (cafeteria worker)")</f>
        <v>Murder suicide of husband killing wife (cafeteria worker)</v>
      </c>
      <c r="Z2315" s="12" t="str">
        <f ca="1">IFERROR(__xludf.DUMMYFUNCTION("""COMPUTED_VALUE"""),"52YOM shot and killed his 39YOF estranged wife in the parking lot at 6:00 AM. She worked in the cafeteria. No students were present. Shooter immediately commit suicide after shooting her.")</f>
        <v>52YOM shot and killed his 39YOF estranged wife in the parking lot at 6:00 AM. She worked in the cafeteria. No students were present. Shooter immediately commit suicide after shooting her.</v>
      </c>
      <c r="AA2315" s="8" t="str">
        <f ca="1">IFERROR(__xludf.DUMMYFUNCTION("""COMPUTED_VALUE"""),"Murder/Suicide")</f>
        <v>Murder/Suicide</v>
      </c>
      <c r="AB2315" s="8"/>
      <c r="AC2315" s="8"/>
      <c r="AD2315" s="8" t="str">
        <f ca="1">IFERROR(__xludf.DUMMYFUNCTION("""COMPUTED_VALUE"""),"Victims Targeted")</f>
        <v>Victims Targeted</v>
      </c>
      <c r="AE2315" s="8" t="str">
        <f ca="1">IFERROR(__xludf.DUMMYFUNCTION("""COMPUTED_VALUE"""),"No")</f>
        <v>No</v>
      </c>
      <c r="AF2315" s="8"/>
      <c r="AG2315" s="8" t="str">
        <f ca="1">IFERROR(__xludf.DUMMYFUNCTION("""COMPUTED_VALUE"""),"No")</f>
        <v>No</v>
      </c>
      <c r="AH2315" s="8" t="str">
        <f ca="1">IFERROR(__xludf.DUMMYFUNCTION("""COMPUTED_VALUE"""),"No")</f>
        <v>No</v>
      </c>
      <c r="AI2315" s="8" t="str">
        <f ca="1">IFERROR(__xludf.DUMMYFUNCTION("""COMPUTED_VALUE"""),"No")</f>
        <v>No</v>
      </c>
      <c r="AJ2315" s="8" t="str">
        <f ca="1">IFERROR(__xludf.DUMMYFUNCTION("""COMPUTED_VALUE"""),"No")</f>
        <v>No</v>
      </c>
      <c r="AK2315" s="8" t="str">
        <f ca="1">IFERROR(__xludf.DUMMYFUNCTION("""COMPUTED_VALUE"""),"Yes")</f>
        <v>Yes</v>
      </c>
      <c r="AL2315" s="8" t="str">
        <f ca="1">IFERROR(__xludf.DUMMYFUNCTION("""COMPUTED_VALUE"""),"No")</f>
        <v>No</v>
      </c>
      <c r="AM2315" s="8"/>
      <c r="AN2315" s="8"/>
      <c r="AO2315" s="8" t="str">
        <f ca="1">IFERROR(__xludf.DUMMYFUNCTION("""COMPUTED_VALUE"""),"No")</f>
        <v>No</v>
      </c>
      <c r="AP2315" s="8"/>
      <c r="AQ2315" s="8" t="str">
        <f ca="1">IFERROR(__xludf.DUMMYFUNCTION("""COMPUTED_VALUE"""),"Unknown")</f>
        <v>Unknown</v>
      </c>
      <c r="AR2315" s="8" t="str">
        <f ca="1">IFERROR(__xludf.DUMMYFUNCTION("""COMPUTED_VALUE"""),"NA")</f>
        <v>NA</v>
      </c>
      <c r="AS2315" s="8">
        <f ca="1">IFERROR(__xludf.DUMMYFUNCTION("""COMPUTED_VALUE"""),4)</f>
        <v>4</v>
      </c>
      <c r="AT2315" s="8"/>
      <c r="AU2315" s="8">
        <f ca="1">IFERROR(__xludf.DUMMYFUNCTION("""COMPUTED_VALUE"""),40.774234)</f>
        <v>40.774234</v>
      </c>
      <c r="AV2315" s="8">
        <f ca="1">IFERROR(__xludf.DUMMYFUNCTION("""COMPUTED_VALUE"""),-111.900736)</f>
        <v>-111.90073599999999</v>
      </c>
      <c r="AW2315" s="8"/>
      <c r="AX2315" s="8">
        <f ca="1">IFERROR(__xludf.DUMMYFUNCTION("""COMPUTED_VALUE"""),84180)</f>
        <v>84180</v>
      </c>
    </row>
    <row r="2316" spans="1:50" ht="75" x14ac:dyDescent="0.2">
      <c r="A2316" s="8" t="str">
        <f ca="1">IFERROR(__xludf.DUMMYFUNCTION("""COMPUTED_VALUE"""),"20040512CAEAM")</f>
        <v>20040512CAEAM</v>
      </c>
      <c r="B2316" s="8">
        <f ca="1">IFERROR(__xludf.DUMMYFUNCTION("""COMPUTED_VALUE"""),5)</f>
        <v>5</v>
      </c>
      <c r="C2316" s="8">
        <f ca="1">IFERROR(__xludf.DUMMYFUNCTION("""COMPUTED_VALUE"""),12)</f>
        <v>12</v>
      </c>
      <c r="D2316" s="8">
        <f ca="1">IFERROR(__xludf.DUMMYFUNCTION("""COMPUTED_VALUE"""),2004)</f>
        <v>2004</v>
      </c>
      <c r="E2316" s="9">
        <f ca="1">IFERROR(__xludf.DUMMYFUNCTION("""COMPUTED_VALUE"""),38119)</f>
        <v>38119</v>
      </c>
      <c r="F2316" s="8" t="str">
        <f ca="1">IFERROR(__xludf.DUMMYFUNCTION("""COMPUTED_VALUE"""),"East Campus Educational Center")</f>
        <v>East Campus Educational Center</v>
      </c>
      <c r="G2316" s="8">
        <f ca="1">IFERROR(__xludf.DUMMYFUNCTION("""COMPUTED_VALUE"""),0)</f>
        <v>0</v>
      </c>
      <c r="H2316" s="8">
        <f ca="1">IFERROR(__xludf.DUMMYFUNCTION("""COMPUTED_VALUE"""),2)</f>
        <v>2</v>
      </c>
      <c r="I2316" s="8">
        <f ca="1">IFERROR(__xludf.DUMMYFUNCTION("""COMPUTED_VALUE"""),2)</f>
        <v>2</v>
      </c>
      <c r="J2316" s="8">
        <f ca="1">IFERROR(__xludf.DUMMYFUNCTION("""COMPUTED_VALUE"""),0)</f>
        <v>0</v>
      </c>
      <c r="K2316" s="10" t="str">
        <f ca="1">IFERROR(__xludf.DUMMYFUNCTION("""COMPUTED_VALUE"""),"https://www.newspapers.com/image/285023326/?terms=East%2BCampus%2BEducational%2BCenter%2BJulio%2BNajar")</f>
        <v>https://www.newspapers.com/image/285023326/?terms=East%2BCampus%2BEducational%2BCenter%2BJulio%2BNajar</v>
      </c>
      <c r="L2316" s="8"/>
      <c r="M2316" s="8"/>
      <c r="N2316" s="8">
        <f ca="1">IFERROR(__xludf.DUMMYFUNCTION("""COMPUTED_VALUE"""),2)</f>
        <v>2</v>
      </c>
      <c r="O2316" s="8" t="str">
        <f ca="1">IFERROR(__xludf.DUMMYFUNCTION("""COMPUTED_VALUE"""),"Spring")</f>
        <v>Spring</v>
      </c>
      <c r="P2316" s="8" t="str">
        <f ca="1">IFERROR(__xludf.DUMMYFUNCTION("""COMPUTED_VALUE"""),"Merced")</f>
        <v>Merced</v>
      </c>
      <c r="Q2316" s="8" t="str">
        <f ca="1">IFERROR(__xludf.DUMMYFUNCTION("""COMPUTED_VALUE"""),"CA")</f>
        <v>CA</v>
      </c>
      <c r="R2316" s="8" t="str">
        <f ca="1">IFERROR(__xludf.DUMMYFUNCTION("""COMPUTED_VALUE"""),"K-12")</f>
        <v>K-12</v>
      </c>
      <c r="S2316" s="8" t="str">
        <f ca="1">IFERROR(__xludf.DUMMYFUNCTION("""COMPUTED_VALUE"""),"Beside Building")</f>
        <v>Beside Building</v>
      </c>
      <c r="T2316" s="8" t="str">
        <f ca="1">IFERROR(__xludf.DUMMYFUNCTION("""COMPUTED_VALUE"""),"Outside on School Property")</f>
        <v>Outside on School Property</v>
      </c>
      <c r="U2316" s="8" t="str">
        <f ca="1">IFERROR(__xludf.DUMMYFUNCTION("""COMPUTED_VALUE"""),"No")</f>
        <v>No</v>
      </c>
      <c r="V2316" s="8" t="str">
        <f ca="1">IFERROR(__xludf.DUMMYFUNCTION("""COMPUTED_VALUE"""),"Evening")</f>
        <v>Evening</v>
      </c>
      <c r="W2316" s="11">
        <f ca="1">IFERROR(__xludf.DUMMYFUNCTION("""COMPUTED_VALUE"""),0.725694444444444)</f>
        <v>0.72569444444444398</v>
      </c>
      <c r="X2316" s="8">
        <f ca="1">IFERROR(__xludf.DUMMYFUNCTION("""COMPUTED_VALUE"""),1)</f>
        <v>1</v>
      </c>
      <c r="Y2316" s="12" t="str">
        <f ca="1">IFERROR(__xludf.DUMMYFUNCTION("""COMPUTED_VALUE"""),"Gang related shooting outside of school, bystander female student struck")</f>
        <v>Gang related shooting outside of school, bystander female student struck</v>
      </c>
      <c r="Z2316" s="12" t="str">
        <f ca="1">IFERROR(__xludf.DUMMYFUNCTION("""COMPUTED_VALUE"""),"19YOM was shot during confrontation with 3 gang members. Female student was also struck. All three gang members fled and were arrested.")</f>
        <v>19YOM was shot during confrontation with 3 gang members. Female student was also struck. All three gang members fled and were arrested.</v>
      </c>
      <c r="AA2316" s="8" t="str">
        <f ca="1">IFERROR(__xludf.DUMMYFUNCTION("""COMPUTED_VALUE"""),"Escalation of Dispute")</f>
        <v>Escalation of Dispute</v>
      </c>
      <c r="AB2316" s="8"/>
      <c r="AC2316" s="8"/>
      <c r="AD2316" s="8" t="str">
        <f ca="1">IFERROR(__xludf.DUMMYFUNCTION("""COMPUTED_VALUE"""),"Both")</f>
        <v>Both</v>
      </c>
      <c r="AE2316" s="8" t="str">
        <f ca="1">IFERROR(__xludf.DUMMYFUNCTION("""COMPUTED_VALUE"""),"Yes")</f>
        <v>Yes</v>
      </c>
      <c r="AF2316" s="8" t="str">
        <f ca="1">IFERROR(__xludf.DUMMYFUNCTION("""COMPUTED_VALUE"""),"Shooter and two additional men involved in fight and fled together")</f>
        <v>Shooter and two additional men involved in fight and fled together</v>
      </c>
      <c r="AG2316" s="8" t="str">
        <f ca="1">IFERROR(__xludf.DUMMYFUNCTION("""COMPUTED_VALUE"""),"No")</f>
        <v>No</v>
      </c>
      <c r="AH2316" s="8" t="str">
        <f ca="1">IFERROR(__xludf.DUMMYFUNCTION("""COMPUTED_VALUE"""),"No")</f>
        <v>No</v>
      </c>
      <c r="AI2316" s="8" t="str">
        <f ca="1">IFERROR(__xludf.DUMMYFUNCTION("""COMPUTED_VALUE"""),"No")</f>
        <v>No</v>
      </c>
      <c r="AJ2316" s="8" t="str">
        <f ca="1">IFERROR(__xludf.DUMMYFUNCTION("""COMPUTED_VALUE"""),"No")</f>
        <v>No</v>
      </c>
      <c r="AK2316" s="8" t="str">
        <f ca="1">IFERROR(__xludf.DUMMYFUNCTION("""COMPUTED_VALUE"""),"No")</f>
        <v>No</v>
      </c>
      <c r="AL2316" s="8" t="str">
        <f ca="1">IFERROR(__xludf.DUMMYFUNCTION("""COMPUTED_VALUE"""),"Yes")</f>
        <v>Yes</v>
      </c>
      <c r="AM2316" s="8"/>
      <c r="AN2316" s="8"/>
      <c r="AO2316" s="8" t="str">
        <f ca="1">IFERROR(__xludf.DUMMYFUNCTION("""COMPUTED_VALUE"""),"No")</f>
        <v>No</v>
      </c>
      <c r="AP2316" s="8"/>
      <c r="AQ2316" s="8" t="str">
        <f ca="1">IFERROR(__xludf.DUMMYFUNCTION("""COMPUTED_VALUE"""),"Unknown")</f>
        <v>Unknown</v>
      </c>
      <c r="AR2316" s="8" t="str">
        <f ca="1">IFERROR(__xludf.DUMMYFUNCTION("""COMPUTED_VALUE"""),"NA")</f>
        <v>NA</v>
      </c>
      <c r="AS2316" s="8">
        <f ca="1">IFERROR(__xludf.DUMMYFUNCTION("""COMPUTED_VALUE"""),2)</f>
        <v>2</v>
      </c>
      <c r="AT2316" s="8"/>
      <c r="AU2316" s="8">
        <f ca="1">IFERROR(__xludf.DUMMYFUNCTION("""COMPUTED_VALUE"""),37.300519)</f>
        <v>37.300519000000001</v>
      </c>
      <c r="AV2316" s="8">
        <f ca="1">IFERROR(__xludf.DUMMYFUNCTION("""COMPUTED_VALUE"""),-120.473896)</f>
        <v>-120.473896</v>
      </c>
      <c r="AW2316" s="8"/>
      <c r="AX2316" s="8">
        <f ca="1">IFERROR(__xludf.DUMMYFUNCTION("""COMPUTED_VALUE"""),95340)</f>
        <v>95340</v>
      </c>
    </row>
    <row r="2317" spans="1:50" ht="105" x14ac:dyDescent="0.2">
      <c r="A2317" s="8" t="str">
        <f ca="1">IFERROR(__xludf.DUMMYFUNCTION("""COMPUTED_VALUE"""),"20040507MDRAR")</f>
        <v>20040507MDRAR</v>
      </c>
      <c r="B2317" s="8">
        <f ca="1">IFERROR(__xludf.DUMMYFUNCTION("""COMPUTED_VALUE"""),5)</f>
        <v>5</v>
      </c>
      <c r="C2317" s="8">
        <f ca="1">IFERROR(__xludf.DUMMYFUNCTION("""COMPUTED_VALUE"""),7)</f>
        <v>7</v>
      </c>
      <c r="D2317" s="8">
        <f ca="1">IFERROR(__xludf.DUMMYFUNCTION("""COMPUTED_VALUE"""),2004)</f>
        <v>2004</v>
      </c>
      <c r="E2317" s="9">
        <f ca="1">IFERROR(__xludf.DUMMYFUNCTION("""COMPUTED_VALUE"""),38114)</f>
        <v>38114</v>
      </c>
      <c r="F2317" s="8" t="str">
        <f ca="1">IFERROR(__xludf.DUMMYFUNCTION("""COMPUTED_VALUE"""),"Randallstown High School")</f>
        <v>Randallstown High School</v>
      </c>
      <c r="G2317" s="8">
        <f ca="1">IFERROR(__xludf.DUMMYFUNCTION("""COMPUTED_VALUE"""),0)</f>
        <v>0</v>
      </c>
      <c r="H2317" s="8">
        <f ca="1">IFERROR(__xludf.DUMMYFUNCTION("""COMPUTED_VALUE"""),4)</f>
        <v>4</v>
      </c>
      <c r="I2317" s="8">
        <f ca="1">IFERROR(__xludf.DUMMYFUNCTION("""COMPUTED_VALUE"""),4)</f>
        <v>4</v>
      </c>
      <c r="J2317" s="8">
        <f ca="1">IFERROR(__xludf.DUMMYFUNCTION("""COMPUTED_VALUE"""),0)</f>
        <v>0</v>
      </c>
      <c r="K2317" s="8" t="str">
        <f ca="1">IFERROR(__xludf.DUMMYFUNCTION("""COMPUTED_VALUE"""),"http://www.baltimoresun.com/bal-te.randallstown28jan28-story.html
https://thedailyrecord.com/2013/07/15/randallstown-high-school-shooting-victim-awarded-21m-in-damages/")</f>
        <v>http://www.baltimoresun.com/bal-te.randallstown28jan28-story.html
https://thedailyrecord.com/2013/07/15/randallstown-high-school-shooting-victim-awarded-21m-in-damages/</v>
      </c>
      <c r="L2317" s="8"/>
      <c r="M2317" s="8"/>
      <c r="N2317" s="8">
        <f ca="1">IFERROR(__xludf.DUMMYFUNCTION("""COMPUTED_VALUE"""),2)</f>
        <v>2</v>
      </c>
      <c r="O2317" s="8" t="str">
        <f ca="1">IFERROR(__xludf.DUMMYFUNCTION("""COMPUTED_VALUE"""),"Spring")</f>
        <v>Spring</v>
      </c>
      <c r="P2317" s="8" t="str">
        <f ca="1">IFERROR(__xludf.DUMMYFUNCTION("""COMPUTED_VALUE"""),"Randallstown")</f>
        <v>Randallstown</v>
      </c>
      <c r="Q2317" s="8" t="str">
        <f ca="1">IFERROR(__xludf.DUMMYFUNCTION("""COMPUTED_VALUE"""),"MD")</f>
        <v>MD</v>
      </c>
      <c r="R2317" s="8" t="str">
        <f ca="1">IFERROR(__xludf.DUMMYFUNCTION("""COMPUTED_VALUE"""),"High")</f>
        <v>High</v>
      </c>
      <c r="S2317" s="8" t="str">
        <f ca="1">IFERROR(__xludf.DUMMYFUNCTION("""COMPUTED_VALUE"""),"Basketball Court")</f>
        <v>Basketball Court</v>
      </c>
      <c r="T2317" s="8" t="str">
        <f ca="1">IFERROR(__xludf.DUMMYFUNCTION("""COMPUTED_VALUE"""),"Outside on School Property")</f>
        <v>Outside on School Property</v>
      </c>
      <c r="U2317" s="8" t="str">
        <f ca="1">IFERROR(__xludf.DUMMYFUNCTION("""COMPUTED_VALUE"""),"No")</f>
        <v>No</v>
      </c>
      <c r="V2317" s="8" t="str">
        <f ca="1">IFERROR(__xludf.DUMMYFUNCTION("""COMPUTED_VALUE"""),"After School")</f>
        <v>After School</v>
      </c>
      <c r="W2317" s="11">
        <f ca="1">IFERROR(__xludf.DUMMYFUNCTION("""COMPUTED_VALUE"""),0.6875)</f>
        <v>0.6875</v>
      </c>
      <c r="X2317" s="8">
        <f ca="1">IFERROR(__xludf.DUMMYFUNCTION("""COMPUTED_VALUE"""),1)</f>
        <v>1</v>
      </c>
      <c r="Y2317" s="12" t="str">
        <f ca="1">IFERROR(__xludf.DUMMYFUNCTION("""COMPUTED_VALUE"""),"Fight after basketball game")</f>
        <v>Fight after basketball game</v>
      </c>
      <c r="Z2317" s="12" t="str">
        <f ca="1">IFERROR(__xludf.DUMMYFUNCTION("""COMPUTED_VALUE"""),"Rival groups of students had multiple fights during the week leading up to a charity basketball game. After the basketball game, a fist fight started and escalated into a shooting. The shooter fired multiple shots into the crowd injuring multiple uninvolv"&amp;"ed students. School administrators were aware of the brewing violence between the groups and had attempted to de-escalate them during the week.")</f>
        <v>Rival groups of students had multiple fights during the week leading up to a charity basketball game. After the basketball game, a fist fight started and escalated into a shooting. The shooter fired multiple shots into the crowd injuring multiple uninvolved students. School administrators were aware of the brewing violence between the groups and had attempted to de-escalate them during the week.</v>
      </c>
      <c r="AA2317" s="8" t="str">
        <f ca="1">IFERROR(__xludf.DUMMYFUNCTION("""COMPUTED_VALUE"""),"Escalation of Dispute")</f>
        <v>Escalation of Dispute</v>
      </c>
      <c r="AB2317" s="8"/>
      <c r="AC2317" s="8"/>
      <c r="AD2317" s="8" t="str">
        <f ca="1">IFERROR(__xludf.DUMMYFUNCTION("""COMPUTED_VALUE"""),"Both")</f>
        <v>Both</v>
      </c>
      <c r="AE2317" s="8" t="str">
        <f ca="1">IFERROR(__xludf.DUMMYFUNCTION("""COMPUTED_VALUE"""),"Yes")</f>
        <v>Yes</v>
      </c>
      <c r="AF2317" s="8" t="str">
        <f ca="1">IFERROR(__xludf.DUMMYFUNCTION("""COMPUTED_VALUE"""),"Two shooters (same gun) and third male in car")</f>
        <v>Two shooters (same gun) and third male in car</v>
      </c>
      <c r="AG2317" s="8" t="str">
        <f ca="1">IFERROR(__xludf.DUMMYFUNCTION("""COMPUTED_VALUE"""),"No")</f>
        <v>No</v>
      </c>
      <c r="AH2317" s="8" t="str">
        <f ca="1">IFERROR(__xludf.DUMMYFUNCTION("""COMPUTED_VALUE"""),"No")</f>
        <v>No</v>
      </c>
      <c r="AI2317" s="8" t="str">
        <f ca="1">IFERROR(__xludf.DUMMYFUNCTION("""COMPUTED_VALUE"""),"No")</f>
        <v>No</v>
      </c>
      <c r="AJ2317" s="8" t="str">
        <f ca="1">IFERROR(__xludf.DUMMYFUNCTION("""COMPUTED_VALUE"""),"No")</f>
        <v>No</v>
      </c>
      <c r="AK2317" s="8" t="str">
        <f ca="1">IFERROR(__xludf.DUMMYFUNCTION("""COMPUTED_VALUE"""),"No")</f>
        <v>No</v>
      </c>
      <c r="AL2317" s="8" t="str">
        <f ca="1">IFERROR(__xludf.DUMMYFUNCTION("""COMPUTED_VALUE"""),"Yes")</f>
        <v>Yes</v>
      </c>
      <c r="AM2317" s="8"/>
      <c r="AN2317" s="8"/>
      <c r="AO2317" s="8" t="str">
        <f ca="1">IFERROR(__xludf.DUMMYFUNCTION("""COMPUTED_VALUE"""),"No")</f>
        <v>No</v>
      </c>
      <c r="AP2317" s="8"/>
      <c r="AQ2317" s="8" t="str">
        <f ca="1">IFERROR(__xludf.DUMMYFUNCTION("""COMPUTED_VALUE"""),"Unknown")</f>
        <v>Unknown</v>
      </c>
      <c r="AR2317" s="8" t="str">
        <f ca="1">IFERROR(__xludf.DUMMYFUNCTION("""COMPUTED_VALUE"""),"NA")</f>
        <v>NA</v>
      </c>
      <c r="AS2317" s="8">
        <f ca="1">IFERROR(__xludf.DUMMYFUNCTION("""COMPUTED_VALUE"""),13)</f>
        <v>13</v>
      </c>
      <c r="AT2317" s="8"/>
      <c r="AU2317" s="8">
        <f ca="1">IFERROR(__xludf.DUMMYFUNCTION("""COMPUTED_VALUE"""),39.382462)</f>
        <v>39.382461999999997</v>
      </c>
      <c r="AV2317" s="8">
        <f ca="1">IFERROR(__xludf.DUMMYFUNCTION("""COMPUTED_VALUE"""),-76.796785)</f>
        <v>-76.796785</v>
      </c>
      <c r="AW2317" s="8"/>
      <c r="AX2317" s="8">
        <f ca="1">IFERROR(__xludf.DUMMYFUNCTION("""COMPUTED_VALUE"""),21133)</f>
        <v>21133</v>
      </c>
    </row>
    <row r="2318" spans="1:50" ht="45" x14ac:dyDescent="0.2">
      <c r="A2318" s="8" t="str">
        <f ca="1">IFERROR(__xludf.DUMMYFUNCTION("""COMPUTED_VALUE"""),"20040504TXKAH")</f>
        <v>20040504TXKAH</v>
      </c>
      <c r="B2318" s="8">
        <f ca="1">IFERROR(__xludf.DUMMYFUNCTION("""COMPUTED_VALUE"""),5)</f>
        <v>5</v>
      </c>
      <c r="C2318" s="8">
        <f ca="1">IFERROR(__xludf.DUMMYFUNCTION("""COMPUTED_VALUE"""),4)</f>
        <v>4</v>
      </c>
      <c r="D2318" s="8">
        <f ca="1">IFERROR(__xludf.DUMMYFUNCTION("""COMPUTED_VALUE"""),2004)</f>
        <v>2004</v>
      </c>
      <c r="E2318" s="9">
        <f ca="1">IFERROR(__xludf.DUMMYFUNCTION("""COMPUTED_VALUE"""),38111)</f>
        <v>38111</v>
      </c>
      <c r="F2318" s="8" t="str">
        <f ca="1">IFERROR(__xludf.DUMMYFUNCTION("""COMPUTED_VALUE"""),"Kashmere High School")</f>
        <v>Kashmere High School</v>
      </c>
      <c r="G2318" s="8">
        <f ca="1">IFERROR(__xludf.DUMMYFUNCTION("""COMPUTED_VALUE"""),0)</f>
        <v>0</v>
      </c>
      <c r="H2318" s="8">
        <f ca="1">IFERROR(__xludf.DUMMYFUNCTION("""COMPUTED_VALUE"""),0)</f>
        <v>0</v>
      </c>
      <c r="I2318" s="8">
        <f ca="1">IFERROR(__xludf.DUMMYFUNCTION("""COMPUTED_VALUE"""),0)</f>
        <v>0</v>
      </c>
      <c r="J2318" s="8">
        <f ca="1">IFERROR(__xludf.DUMMYFUNCTION("""COMPUTED_VALUE"""),0)</f>
        <v>0</v>
      </c>
      <c r="K2318" s="10" t="str">
        <f ca="1">IFERROR(__xludf.DUMMYFUNCTION("""COMPUTED_VALUE"""),"https://www.chron.com/news/houston-texas/article/Gunfire-but-no-injuries-at-Kashmere-High-School-1651100.php")</f>
        <v>https://www.chron.com/news/houston-texas/article/Gunfire-but-no-injuries-at-Kashmere-High-School-1651100.php</v>
      </c>
      <c r="L2318" s="8"/>
      <c r="M2318" s="8"/>
      <c r="N2318" s="8">
        <f ca="1">IFERROR(__xludf.DUMMYFUNCTION("""COMPUTED_VALUE"""),2)</f>
        <v>2</v>
      </c>
      <c r="O2318" s="8" t="str">
        <f ca="1">IFERROR(__xludf.DUMMYFUNCTION("""COMPUTED_VALUE"""),"Spring")</f>
        <v>Spring</v>
      </c>
      <c r="P2318" s="8" t="str">
        <f ca="1">IFERROR(__xludf.DUMMYFUNCTION("""COMPUTED_VALUE"""),"Houston")</f>
        <v>Houston</v>
      </c>
      <c r="Q2318" s="8" t="str">
        <f ca="1">IFERROR(__xludf.DUMMYFUNCTION("""COMPUTED_VALUE"""),"TX")</f>
        <v>TX</v>
      </c>
      <c r="R2318" s="8" t="str">
        <f ca="1">IFERROR(__xludf.DUMMYFUNCTION("""COMPUTED_VALUE"""),"High")</f>
        <v>High</v>
      </c>
      <c r="S2318" s="8" t="str">
        <f ca="1">IFERROR(__xludf.DUMMYFUNCTION("""COMPUTED_VALUE"""),"Beside Building")</f>
        <v>Beside Building</v>
      </c>
      <c r="T2318" s="8" t="str">
        <f ca="1">IFERROR(__xludf.DUMMYFUNCTION("""COMPUTED_VALUE"""),"Outside on School Property")</f>
        <v>Outside on School Property</v>
      </c>
      <c r="U2318" s="8" t="str">
        <f ca="1">IFERROR(__xludf.DUMMYFUNCTION("""COMPUTED_VALUE"""),"Yes")</f>
        <v>Yes</v>
      </c>
      <c r="V2318" s="8" t="str">
        <f ca="1">IFERROR(__xludf.DUMMYFUNCTION("""COMPUTED_VALUE"""),"Morning Classes")</f>
        <v>Morning Classes</v>
      </c>
      <c r="W2318" s="11">
        <f ca="1">IFERROR(__xludf.DUMMYFUNCTION("""COMPUTED_VALUE"""),0.333333333333333)</f>
        <v>0.33333333333333298</v>
      </c>
      <c r="X2318" s="8">
        <f ca="1">IFERROR(__xludf.DUMMYFUNCTION("""COMPUTED_VALUE"""),1)</f>
        <v>1</v>
      </c>
      <c r="Y2318" s="12" t="str">
        <f ca="1">IFERROR(__xludf.DUMMYFUNCTION("""COMPUTED_VALUE"""),"Multiple shots fired outside of school, no injuries")</f>
        <v>Multiple shots fired outside of school, no injuries</v>
      </c>
      <c r="Z2318" s="12" t="str">
        <f ca="1">IFERROR(__xludf.DUMMYFUNCTION("""COMPUTED_VALUE"""),"Unknown teen fired multiple shots outside of the school and then fled. No students were injured but school was locked down for 3.5 hours.")</f>
        <v>Unknown teen fired multiple shots outside of the school and then fled. No students were injured but school was locked down for 3.5 hours.</v>
      </c>
      <c r="AA2318" s="8" t="str">
        <f ca="1">IFERROR(__xludf.DUMMYFUNCTION("""COMPUTED_VALUE"""),"Unknown")</f>
        <v>Unknown</v>
      </c>
      <c r="AB2318" s="8"/>
      <c r="AC2318" s="8"/>
      <c r="AD2318" s="8"/>
      <c r="AE2318" s="8" t="str">
        <f ca="1">IFERROR(__xludf.DUMMYFUNCTION("""COMPUTED_VALUE"""),"No")</f>
        <v>No</v>
      </c>
      <c r="AF2318" s="8"/>
      <c r="AG2318" s="8" t="str">
        <f ca="1">IFERROR(__xludf.DUMMYFUNCTION("""COMPUTED_VALUE"""),"No")</f>
        <v>No</v>
      </c>
      <c r="AH2318" s="8" t="str">
        <f ca="1">IFERROR(__xludf.DUMMYFUNCTION("""COMPUTED_VALUE"""),"No")</f>
        <v>No</v>
      </c>
      <c r="AI2318" s="8" t="str">
        <f ca="1">IFERROR(__xludf.DUMMYFUNCTION("""COMPUTED_VALUE"""),"No")</f>
        <v>No</v>
      </c>
      <c r="AJ2318" s="8"/>
      <c r="AK2318" s="8"/>
      <c r="AL2318" s="8"/>
      <c r="AM2318" s="8"/>
      <c r="AN2318" s="8"/>
      <c r="AO2318" s="8" t="str">
        <f ca="1">IFERROR(__xludf.DUMMYFUNCTION("""COMPUTED_VALUE"""),"No")</f>
        <v>No</v>
      </c>
      <c r="AP2318" s="8"/>
      <c r="AQ2318" s="8" t="str">
        <f ca="1">IFERROR(__xludf.DUMMYFUNCTION("""COMPUTED_VALUE"""),"Unknown")</f>
        <v>Unknown</v>
      </c>
      <c r="AR2318" s="8" t="str">
        <f ca="1">IFERROR(__xludf.DUMMYFUNCTION("""COMPUTED_VALUE"""),"NA")</f>
        <v>NA</v>
      </c>
      <c r="AS2318" s="8"/>
      <c r="AT2318" s="8"/>
      <c r="AU2318" s="8">
        <f ca="1">IFERROR(__xludf.DUMMYFUNCTION("""COMPUTED_VALUE"""),29.823079)</f>
        <v>29.823079</v>
      </c>
      <c r="AV2318" s="8">
        <f ca="1">IFERROR(__xludf.DUMMYFUNCTION("""COMPUTED_VALUE"""),-95.315896)</f>
        <v>-95.315895999999995</v>
      </c>
      <c r="AW2318" s="8"/>
      <c r="AX2318" s="8">
        <f ca="1">IFERROR(__xludf.DUMMYFUNCTION("""COMPUTED_VALUE"""),77028)</f>
        <v>77028</v>
      </c>
    </row>
    <row r="2319" spans="1:50" ht="45" x14ac:dyDescent="0.2">
      <c r="A2319" s="8" t="str">
        <f ca="1">IFERROR(__xludf.DUMMYFUNCTION("""COMPUTED_VALUE"""),"20040317WACRJ")</f>
        <v>20040317WACRJ</v>
      </c>
      <c r="B2319" s="8">
        <f ca="1">IFERROR(__xludf.DUMMYFUNCTION("""COMPUTED_VALUE"""),3)</f>
        <v>3</v>
      </c>
      <c r="C2319" s="8">
        <f ca="1">IFERROR(__xludf.DUMMYFUNCTION("""COMPUTED_VALUE"""),17)</f>
        <v>17</v>
      </c>
      <c r="D2319" s="8">
        <f ca="1">IFERROR(__xludf.DUMMYFUNCTION("""COMPUTED_VALUE"""),2004)</f>
        <v>2004</v>
      </c>
      <c r="E2319" s="9">
        <f ca="1">IFERROR(__xludf.DUMMYFUNCTION("""COMPUTED_VALUE"""),38063)</f>
        <v>38063</v>
      </c>
      <c r="F2319" s="8" t="str">
        <f ca="1">IFERROR(__xludf.DUMMYFUNCTION("""COMPUTED_VALUE"""),"Crescent Junior-Senior High School")</f>
        <v>Crescent Junior-Senior High School</v>
      </c>
      <c r="G2319" s="8">
        <f ca="1">IFERROR(__xludf.DUMMYFUNCTION("""COMPUTED_VALUE"""),0)</f>
        <v>0</v>
      </c>
      <c r="H2319" s="8">
        <f ca="1">IFERROR(__xludf.DUMMYFUNCTION("""COMPUTED_VALUE"""),0)</f>
        <v>0</v>
      </c>
      <c r="I2319" s="8">
        <f ca="1">IFERROR(__xludf.DUMMYFUNCTION("""COMPUTED_VALUE"""),0)</f>
        <v>0</v>
      </c>
      <c r="J2319" s="8">
        <f ca="1">IFERROR(__xludf.DUMMYFUNCTION("""COMPUTED_VALUE"""),1)</f>
        <v>1</v>
      </c>
      <c r="K2319" s="10" t="str">
        <f ca="1">IFERROR(__xludf.DUMMYFUNCTION("""COMPUTED_VALUE"""),"http://community.seattletimes.nwsource.com/archive/?date=20040319&amp;slug=boyshot19m")</f>
        <v>http://community.seattletimes.nwsource.com/archive/?date=20040319&amp;slug=boyshot19m</v>
      </c>
      <c r="L2319" s="8"/>
      <c r="M2319" s="8"/>
      <c r="N2319" s="8">
        <f ca="1">IFERROR(__xludf.DUMMYFUNCTION("""COMPUTED_VALUE"""),2)</f>
        <v>2</v>
      </c>
      <c r="O2319" s="8" t="str">
        <f ca="1">IFERROR(__xludf.DUMMYFUNCTION("""COMPUTED_VALUE"""),"Spring")</f>
        <v>Spring</v>
      </c>
      <c r="P2319" s="8" t="str">
        <f ca="1">IFERROR(__xludf.DUMMYFUNCTION("""COMPUTED_VALUE"""),"Joyce")</f>
        <v>Joyce</v>
      </c>
      <c r="Q2319" s="8" t="str">
        <f ca="1">IFERROR(__xludf.DUMMYFUNCTION("""COMPUTED_VALUE"""),"WA")</f>
        <v>WA</v>
      </c>
      <c r="R2319" s="8" t="str">
        <f ca="1">IFERROR(__xludf.DUMMYFUNCTION("""COMPUTED_VALUE"""),"Junior High")</f>
        <v>Junior High</v>
      </c>
      <c r="S2319" s="8" t="str">
        <f ca="1">IFERROR(__xludf.DUMMYFUNCTION("""COMPUTED_VALUE"""),"Classroom")</f>
        <v>Classroom</v>
      </c>
      <c r="T2319" s="8" t="str">
        <f ca="1">IFERROR(__xludf.DUMMYFUNCTION("""COMPUTED_VALUE"""),"Inside School Building")</f>
        <v>Inside School Building</v>
      </c>
      <c r="U2319" s="8" t="str">
        <f ca="1">IFERROR(__xludf.DUMMYFUNCTION("""COMPUTED_VALUE"""),"Yes")</f>
        <v>Yes</v>
      </c>
      <c r="V2319" s="8" t="str">
        <f ca="1">IFERROR(__xludf.DUMMYFUNCTION("""COMPUTED_VALUE"""),"Morning Classes")</f>
        <v>Morning Classes</v>
      </c>
      <c r="W2319" s="11">
        <f ca="1">IFERROR(__xludf.DUMMYFUNCTION("""COMPUTED_VALUE"""),0.416666666666666)</f>
        <v>0.41666666666666602</v>
      </c>
      <c r="X2319" s="8">
        <f ca="1">IFERROR(__xludf.DUMMYFUNCTION("""COMPUTED_VALUE"""),1)</f>
        <v>1</v>
      </c>
      <c r="Y2319" s="12" t="str">
        <f ca="1">IFERROR(__xludf.DUMMYFUNCTION("""COMPUTED_VALUE"""),"Shot self in class infront of teacher and 18 students")</f>
        <v>Shot self in class infront of teacher and 18 students</v>
      </c>
      <c r="Z2319" s="12" t="str">
        <f ca="1">IFERROR(__xludf.DUMMYFUNCTION("""COMPUTED_VALUE"""),"13YOM student carried gun into class in guitar case. At end of class, he took the gun out and shot himself in the chest.")</f>
        <v>13YOM student carried gun into class in guitar case. At end of class, he took the gun out and shot himself in the chest.</v>
      </c>
      <c r="AA2319" s="8" t="str">
        <f ca="1">IFERROR(__xludf.DUMMYFUNCTION("""COMPUTED_VALUE"""),"Suicide/Attempted")</f>
        <v>Suicide/Attempted</v>
      </c>
      <c r="AB2319" s="8"/>
      <c r="AC2319" s="8"/>
      <c r="AD2319" s="8" t="str">
        <f ca="1">IFERROR(__xludf.DUMMYFUNCTION("""COMPUTED_VALUE"""),"Victims Targeted")</f>
        <v>Victims Targeted</v>
      </c>
      <c r="AE2319" s="8" t="str">
        <f ca="1">IFERROR(__xludf.DUMMYFUNCTION("""COMPUTED_VALUE"""),"No")</f>
        <v>No</v>
      </c>
      <c r="AF2319" s="8"/>
      <c r="AG2319" s="8" t="str">
        <f ca="1">IFERROR(__xludf.DUMMYFUNCTION("""COMPUTED_VALUE"""),"No")</f>
        <v>No</v>
      </c>
      <c r="AH2319" s="8" t="str">
        <f ca="1">IFERROR(__xludf.DUMMYFUNCTION("""COMPUTED_VALUE"""),"No")</f>
        <v>No</v>
      </c>
      <c r="AI2319" s="8" t="str">
        <f ca="1">IFERROR(__xludf.DUMMYFUNCTION("""COMPUTED_VALUE"""),"No")</f>
        <v>No</v>
      </c>
      <c r="AJ2319" s="8" t="str">
        <f ca="1">IFERROR(__xludf.DUMMYFUNCTION("""COMPUTED_VALUE"""),"No")</f>
        <v>No</v>
      </c>
      <c r="AK2319" s="8" t="str">
        <f ca="1">IFERROR(__xludf.DUMMYFUNCTION("""COMPUTED_VALUE"""),"No")</f>
        <v>No</v>
      </c>
      <c r="AL2319" s="8" t="str">
        <f ca="1">IFERROR(__xludf.DUMMYFUNCTION("""COMPUTED_VALUE"""),"No")</f>
        <v>No</v>
      </c>
      <c r="AM2319" s="8"/>
      <c r="AN2319" s="8"/>
      <c r="AO2319" s="8" t="str">
        <f ca="1">IFERROR(__xludf.DUMMYFUNCTION("""COMPUTED_VALUE"""),"No")</f>
        <v>No</v>
      </c>
      <c r="AP2319" s="8"/>
      <c r="AQ2319" s="8" t="str">
        <f ca="1">IFERROR(__xludf.DUMMYFUNCTION("""COMPUTED_VALUE"""),"Unknown")</f>
        <v>Unknown</v>
      </c>
      <c r="AR2319" s="8" t="str">
        <f ca="1">IFERROR(__xludf.DUMMYFUNCTION("""COMPUTED_VALUE"""),"NA")</f>
        <v>NA</v>
      </c>
      <c r="AS2319" s="8">
        <f ca="1">IFERROR(__xludf.DUMMYFUNCTION("""COMPUTED_VALUE"""),1)</f>
        <v>1</v>
      </c>
      <c r="AT2319" s="8"/>
      <c r="AU2319" s="8">
        <f ca="1">IFERROR(__xludf.DUMMYFUNCTION("""COMPUTED_VALUE"""),48.135699)</f>
        <v>48.135699000000002</v>
      </c>
      <c r="AV2319" s="8">
        <f ca="1">IFERROR(__xludf.DUMMYFUNCTION("""COMPUTED_VALUE"""),-123.745765)</f>
        <v>-123.74576500000001</v>
      </c>
      <c r="AW2319" s="8"/>
      <c r="AX2319" s="8">
        <f ca="1">IFERROR(__xludf.DUMMYFUNCTION("""COMPUTED_VALUE"""),98363)</f>
        <v>98363</v>
      </c>
    </row>
    <row r="2320" spans="1:50" ht="60" x14ac:dyDescent="0.2">
      <c r="A2320" s="8" t="str">
        <f ca="1">IFERROR(__xludf.DUMMYFUNCTION("""COMPUTED_VALUE"""),"20040305CASAL")</f>
        <v>20040305CASAL</v>
      </c>
      <c r="B2320" s="8">
        <f ca="1">IFERROR(__xludf.DUMMYFUNCTION("""COMPUTED_VALUE"""),3)</f>
        <v>3</v>
      </c>
      <c r="C2320" s="8">
        <f ca="1">IFERROR(__xludf.DUMMYFUNCTION("""COMPUTED_VALUE"""),5)</f>
        <v>5</v>
      </c>
      <c r="D2320" s="8">
        <f ca="1">IFERROR(__xludf.DUMMYFUNCTION("""COMPUTED_VALUE"""),2004)</f>
        <v>2004</v>
      </c>
      <c r="E2320" s="9">
        <f ca="1">IFERROR(__xludf.DUMMYFUNCTION("""COMPUTED_VALUE"""),38051)</f>
        <v>38051</v>
      </c>
      <c r="F2320" s="8" t="str">
        <f ca="1">IFERROR(__xludf.DUMMYFUNCTION("""COMPUTED_VALUE"""),"Saledad Enrichment Action Charter High School")</f>
        <v>Saledad Enrichment Action Charter High School</v>
      </c>
      <c r="G2320" s="8">
        <f ca="1">IFERROR(__xludf.DUMMYFUNCTION("""COMPUTED_VALUE"""),0)</f>
        <v>0</v>
      </c>
      <c r="H2320" s="8">
        <f ca="1">IFERROR(__xludf.DUMMYFUNCTION("""COMPUTED_VALUE"""),2)</f>
        <v>2</v>
      </c>
      <c r="I2320" s="8">
        <f ca="1">IFERROR(__xludf.DUMMYFUNCTION("""COMPUTED_VALUE"""),2)</f>
        <v>2</v>
      </c>
      <c r="J2320" s="8">
        <f ca="1">IFERROR(__xludf.DUMMYFUNCTION("""COMPUTED_VALUE"""),0)</f>
        <v>0</v>
      </c>
      <c r="K2320" s="10" t="str">
        <f ca="1">IFERROR(__xludf.DUMMYFUNCTION("""COMPUTED_VALUE"""),"https://www.newspapers.com/image/192854243/?terms=Los%2BAngeles%2Bhigh%2Bschool%2Bshooting")</f>
        <v>https://www.newspapers.com/image/192854243/?terms=Los%2BAngeles%2Bhigh%2Bschool%2Bshooting</v>
      </c>
      <c r="L2320" s="8"/>
      <c r="M2320" s="8"/>
      <c r="N2320" s="8">
        <f ca="1">IFERROR(__xludf.DUMMYFUNCTION("""COMPUTED_VALUE"""),2)</f>
        <v>2</v>
      </c>
      <c r="O2320" s="8" t="str">
        <f ca="1">IFERROR(__xludf.DUMMYFUNCTION("""COMPUTED_VALUE"""),"Spring")</f>
        <v>Spring</v>
      </c>
      <c r="P2320" s="8" t="str">
        <f ca="1">IFERROR(__xludf.DUMMYFUNCTION("""COMPUTED_VALUE"""),"Los Angeles")</f>
        <v>Los Angeles</v>
      </c>
      <c r="Q2320" s="8" t="str">
        <f ca="1">IFERROR(__xludf.DUMMYFUNCTION("""COMPUTED_VALUE"""),"CA")</f>
        <v>CA</v>
      </c>
      <c r="R2320" s="8" t="str">
        <f ca="1">IFERROR(__xludf.DUMMYFUNCTION("""COMPUTED_VALUE"""),"High")</f>
        <v>High</v>
      </c>
      <c r="S2320" s="8" t="str">
        <f ca="1">IFERROR(__xludf.DUMMYFUNCTION("""COMPUTED_VALUE"""),"Front of School")</f>
        <v>Front of School</v>
      </c>
      <c r="T2320" s="8" t="str">
        <f ca="1">IFERROR(__xludf.DUMMYFUNCTION("""COMPUTED_VALUE"""),"Outside on School Property")</f>
        <v>Outside on School Property</v>
      </c>
      <c r="U2320" s="8" t="str">
        <f ca="1">IFERROR(__xludf.DUMMYFUNCTION("""COMPUTED_VALUE"""),"Yes")</f>
        <v>Yes</v>
      </c>
      <c r="V2320" s="8" t="str">
        <f ca="1">IFERROR(__xludf.DUMMYFUNCTION("""COMPUTED_VALUE"""),"School Start")</f>
        <v>School Start</v>
      </c>
      <c r="W2320" s="11">
        <f ca="1">IFERROR(__xludf.DUMMYFUNCTION("""COMPUTED_VALUE"""),0.315972222222222)</f>
        <v>0.31597222222222199</v>
      </c>
      <c r="X2320" s="8">
        <f ca="1">IFERROR(__xludf.DUMMYFUNCTION("""COMPUTED_VALUE"""),1)</f>
        <v>1</v>
      </c>
      <c r="Y2320" s="12" t="str">
        <f ca="1">IFERROR(__xludf.DUMMYFUNCTION("""COMPUTED_VALUE"""),"Gang related drive by shooting")</f>
        <v>Gang related drive by shooting</v>
      </c>
      <c r="Z2320" s="12" t="str">
        <f ca="1">IFERROR(__xludf.DUMMYFUNCTION("""COMPUTED_VALUE"""),"20 students were standing in front of the school when shot were fired from a vehicle striking a 17YOM and 16YOM student. Police believed the male student shot was targeted due to gang affiliation.")</f>
        <v>20 students were standing in front of the school when shot were fired from a vehicle striking a 17YOM and 16YOM student. Police believed the male student shot was targeted due to gang affiliation.</v>
      </c>
      <c r="AA2320" s="8" t="str">
        <f ca="1">IFERROR(__xludf.DUMMYFUNCTION("""COMPUTED_VALUE"""),"Drive-by Shooting")</f>
        <v>Drive-by Shooting</v>
      </c>
      <c r="AB2320" s="8"/>
      <c r="AC2320" s="8"/>
      <c r="AD2320" s="8" t="str">
        <f ca="1">IFERROR(__xludf.DUMMYFUNCTION("""COMPUTED_VALUE"""),"Both")</f>
        <v>Both</v>
      </c>
      <c r="AE2320" s="8" t="str">
        <f ca="1">IFERROR(__xludf.DUMMYFUNCTION("""COMPUTED_VALUE"""),"Unknown")</f>
        <v>Unknown</v>
      </c>
      <c r="AF2320" s="8"/>
      <c r="AG2320" s="8" t="str">
        <f ca="1">IFERROR(__xludf.DUMMYFUNCTION("""COMPUTED_VALUE"""),"No")</f>
        <v>No</v>
      </c>
      <c r="AH2320" s="8" t="str">
        <f ca="1">IFERROR(__xludf.DUMMYFUNCTION("""COMPUTED_VALUE"""),"No")</f>
        <v>No</v>
      </c>
      <c r="AI2320" s="8" t="str">
        <f ca="1">IFERROR(__xludf.DUMMYFUNCTION("""COMPUTED_VALUE"""),"No")</f>
        <v>No</v>
      </c>
      <c r="AJ2320" s="8" t="str">
        <f ca="1">IFERROR(__xludf.DUMMYFUNCTION("""COMPUTED_VALUE"""),"No")</f>
        <v>No</v>
      </c>
      <c r="AK2320" s="8" t="str">
        <f ca="1">IFERROR(__xludf.DUMMYFUNCTION("""COMPUTED_VALUE"""),"No")</f>
        <v>No</v>
      </c>
      <c r="AL2320" s="8" t="str">
        <f ca="1">IFERROR(__xludf.DUMMYFUNCTION("""COMPUTED_VALUE"""),"Yes")</f>
        <v>Yes</v>
      </c>
      <c r="AM2320" s="8"/>
      <c r="AN2320" s="8"/>
      <c r="AO2320" s="8" t="str">
        <f ca="1">IFERROR(__xludf.DUMMYFUNCTION("""COMPUTED_VALUE"""),"No")</f>
        <v>No</v>
      </c>
      <c r="AP2320" s="8"/>
      <c r="AQ2320" s="8" t="str">
        <f ca="1">IFERROR(__xludf.DUMMYFUNCTION("""COMPUTED_VALUE"""),"Unknown")</f>
        <v>Unknown</v>
      </c>
      <c r="AR2320" s="8" t="str">
        <f ca="1">IFERROR(__xludf.DUMMYFUNCTION("""COMPUTED_VALUE"""),"NA")</f>
        <v>NA</v>
      </c>
      <c r="AS2320" s="8"/>
      <c r="AT2320" s="8"/>
      <c r="AU2320" s="8">
        <f ca="1">IFERROR(__xludf.DUMMYFUNCTION("""COMPUTED_VALUE"""),34.075528)</f>
        <v>34.075527999999998</v>
      </c>
      <c r="AV2320" s="8">
        <f ca="1">IFERROR(__xludf.DUMMYFUNCTION("""COMPUTED_VALUE"""),-118.286502)</f>
        <v>-118.286502</v>
      </c>
      <c r="AW2320" s="8"/>
      <c r="AX2320" s="8">
        <f ca="1">IFERROR(__xludf.DUMMYFUNCTION("""COMPUTED_VALUE"""),90004)</f>
        <v>90004</v>
      </c>
    </row>
    <row r="2321" spans="1:50" ht="60" x14ac:dyDescent="0.2">
      <c r="A2321" s="8" t="str">
        <f ca="1">IFERROR(__xludf.DUMMYFUNCTION("""COMPUTED_VALUE"""),"20040220LAGAS")</f>
        <v>20040220LAGAS</v>
      </c>
      <c r="B2321" s="8">
        <f ca="1">IFERROR(__xludf.DUMMYFUNCTION("""COMPUTED_VALUE"""),2)</f>
        <v>2</v>
      </c>
      <c r="C2321" s="8">
        <f ca="1">IFERROR(__xludf.DUMMYFUNCTION("""COMPUTED_VALUE"""),20)</f>
        <v>20</v>
      </c>
      <c r="D2321" s="8">
        <f ca="1">IFERROR(__xludf.DUMMYFUNCTION("""COMPUTED_VALUE"""),2004)</f>
        <v>2004</v>
      </c>
      <c r="E2321" s="9">
        <f ca="1">IFERROR(__xludf.DUMMYFUNCTION("""COMPUTED_VALUE"""),38037)</f>
        <v>38037</v>
      </c>
      <c r="F2321" s="8" t="str">
        <f ca="1">IFERROR(__xludf.DUMMYFUNCTION("""COMPUTED_VALUE"""),"Gathway Christian Academy")</f>
        <v>Gathway Christian Academy</v>
      </c>
      <c r="G2321" s="8">
        <f ca="1">IFERROR(__xludf.DUMMYFUNCTION("""COMPUTED_VALUE"""),1)</f>
        <v>1</v>
      </c>
      <c r="H2321" s="8">
        <f ca="1">IFERROR(__xludf.DUMMYFUNCTION("""COMPUTED_VALUE"""),0)</f>
        <v>0</v>
      </c>
      <c r="I2321" s="8">
        <f ca="1">IFERROR(__xludf.DUMMYFUNCTION("""COMPUTED_VALUE"""),1)</f>
        <v>1</v>
      </c>
      <c r="J2321" s="8">
        <f ca="1">IFERROR(__xludf.DUMMYFUNCTION("""COMPUTED_VALUE"""),1)</f>
        <v>1</v>
      </c>
      <c r="K2321" s="10" t="str">
        <f ca="1">IFERROR(__xludf.DUMMYFUNCTION("""COMPUTED_VALUE"""),"https://www.iberianet.com/news/two-dead-in-friday-murder-suicide/article_6e2281d6-1558-5273-b883-8aa0132a8b2e.html")</f>
        <v>https://www.iberianet.com/news/two-dead-in-friday-murder-suicide/article_6e2281d6-1558-5273-b883-8aa0132a8b2e.html</v>
      </c>
      <c r="L2321" s="8"/>
      <c r="M2321" s="8"/>
      <c r="N2321" s="8">
        <f ca="1">IFERROR(__xludf.DUMMYFUNCTION("""COMPUTED_VALUE"""),2)</f>
        <v>2</v>
      </c>
      <c r="O2321" s="8" t="str">
        <f ca="1">IFERROR(__xludf.DUMMYFUNCTION("""COMPUTED_VALUE"""),"Winter")</f>
        <v>Winter</v>
      </c>
      <c r="P2321" s="8" t="str">
        <f ca="1">IFERROR(__xludf.DUMMYFUNCTION("""COMPUTED_VALUE"""),"St. Martinville")</f>
        <v>St. Martinville</v>
      </c>
      <c r="Q2321" s="8" t="str">
        <f ca="1">IFERROR(__xludf.DUMMYFUNCTION("""COMPUTED_VALUE"""),"LA")</f>
        <v>LA</v>
      </c>
      <c r="R2321" s="8" t="str">
        <f ca="1">IFERROR(__xludf.DUMMYFUNCTION("""COMPUTED_VALUE"""),"K-12")</f>
        <v>K-12</v>
      </c>
      <c r="S2321" s="8" t="str">
        <f ca="1">IFERROR(__xludf.DUMMYFUNCTION("""COMPUTED_VALUE"""),"Classroom")</f>
        <v>Classroom</v>
      </c>
      <c r="T2321" s="8" t="str">
        <f ca="1">IFERROR(__xludf.DUMMYFUNCTION("""COMPUTED_VALUE"""),"Inside School Building")</f>
        <v>Inside School Building</v>
      </c>
      <c r="U2321" s="8" t="str">
        <f ca="1">IFERROR(__xludf.DUMMYFUNCTION("""COMPUTED_VALUE"""),"Yes")</f>
        <v>Yes</v>
      </c>
      <c r="V2321" s="8" t="str">
        <f ca="1">IFERROR(__xludf.DUMMYFUNCTION("""COMPUTED_VALUE"""),"Morning Classes")</f>
        <v>Morning Classes</v>
      </c>
      <c r="W2321" s="11">
        <f ca="1">IFERROR(__xludf.DUMMYFUNCTION("""COMPUTED_VALUE"""),0.46875)</f>
        <v>0.46875</v>
      </c>
      <c r="X2321" s="8">
        <f ca="1">IFERROR(__xludf.DUMMYFUNCTION("""COMPUTED_VALUE"""),1)</f>
        <v>1</v>
      </c>
      <c r="Y2321" s="12" t="str">
        <f ca="1">IFERROR(__xludf.DUMMYFUNCTION("""COMPUTED_VALUE"""),"Teacher shot by fiance, he fled and shot himself 30 minutes later")</f>
        <v>Teacher shot by fiance, he fled and shot himself 30 minutes later</v>
      </c>
      <c r="Z2321" s="12" t="str">
        <f ca="1">IFERROR(__xludf.DUMMYFUNCTION("""COMPUTED_VALUE"""),"41YOM shot and killed his 19YOF fiance who was a teacher at the k-12 Christian school. Fled the scene and killed himself 30 minutes later. Shooter was a reserve police officer.")</f>
        <v>41YOM shot and killed his 19YOF fiance who was a teacher at the k-12 Christian school. Fled the scene and killed himself 30 minutes later. Shooter was a reserve police officer.</v>
      </c>
      <c r="AA2321" s="8" t="str">
        <f ca="1">IFERROR(__xludf.DUMMYFUNCTION("""COMPUTED_VALUE"""),"Domestic w/ Targeted Victim")</f>
        <v>Domestic w/ Targeted Victim</v>
      </c>
      <c r="AB2321" s="8"/>
      <c r="AC2321" s="8"/>
      <c r="AD2321" s="8" t="str">
        <f ca="1">IFERROR(__xludf.DUMMYFUNCTION("""COMPUTED_VALUE"""),"Victims Targeted")</f>
        <v>Victims Targeted</v>
      </c>
      <c r="AE2321" s="8" t="str">
        <f ca="1">IFERROR(__xludf.DUMMYFUNCTION("""COMPUTED_VALUE"""),"No")</f>
        <v>No</v>
      </c>
      <c r="AF2321" s="8"/>
      <c r="AG2321" s="8" t="str">
        <f ca="1">IFERROR(__xludf.DUMMYFUNCTION("""COMPUTED_VALUE"""),"No")</f>
        <v>No</v>
      </c>
      <c r="AH2321" s="8" t="str">
        <f ca="1">IFERROR(__xludf.DUMMYFUNCTION("""COMPUTED_VALUE"""),"No")</f>
        <v>No</v>
      </c>
      <c r="AI2321" s="8" t="str">
        <f ca="1">IFERROR(__xludf.DUMMYFUNCTION("""COMPUTED_VALUE"""),"No")</f>
        <v>No</v>
      </c>
      <c r="AJ2321" s="8" t="str">
        <f ca="1">IFERROR(__xludf.DUMMYFUNCTION("""COMPUTED_VALUE"""),"No")</f>
        <v>No</v>
      </c>
      <c r="AK2321" s="8" t="str">
        <f ca="1">IFERROR(__xludf.DUMMYFUNCTION("""COMPUTED_VALUE"""),"Yes")</f>
        <v>Yes</v>
      </c>
      <c r="AL2321" s="8" t="str">
        <f ca="1">IFERROR(__xludf.DUMMYFUNCTION("""COMPUTED_VALUE"""),"No")</f>
        <v>No</v>
      </c>
      <c r="AM2321" s="8"/>
      <c r="AN2321" s="8"/>
      <c r="AO2321" s="8" t="str">
        <f ca="1">IFERROR(__xludf.DUMMYFUNCTION("""COMPUTED_VALUE"""),"No")</f>
        <v>No</v>
      </c>
      <c r="AP2321" s="8"/>
      <c r="AQ2321" s="8" t="str">
        <f ca="1">IFERROR(__xludf.DUMMYFUNCTION("""COMPUTED_VALUE"""),"Unknown")</f>
        <v>Unknown</v>
      </c>
      <c r="AR2321" s="8" t="str">
        <f ca="1">IFERROR(__xludf.DUMMYFUNCTION("""COMPUTED_VALUE"""),"NA")</f>
        <v>NA</v>
      </c>
      <c r="AS2321" s="8">
        <f ca="1">IFERROR(__xludf.DUMMYFUNCTION("""COMPUTED_VALUE"""),1)</f>
        <v>1</v>
      </c>
      <c r="AT2321" s="8"/>
      <c r="AU2321" s="8">
        <f ca="1">IFERROR(__xludf.DUMMYFUNCTION("""COMPUTED_VALUE"""),30.089229)</f>
        <v>30.089229</v>
      </c>
      <c r="AV2321" s="8">
        <f ca="1">IFERROR(__xludf.DUMMYFUNCTION("""COMPUTED_VALUE"""),-91.834343)</f>
        <v>-91.834343000000004</v>
      </c>
      <c r="AW2321" s="8"/>
      <c r="AX2321" s="8">
        <f ca="1">IFERROR(__xludf.DUMMYFUNCTION("""COMPUTED_VALUE"""),70582)</f>
        <v>70582</v>
      </c>
    </row>
    <row r="2322" spans="1:50" ht="45" x14ac:dyDescent="0.2">
      <c r="A2322" s="8" t="str">
        <f ca="1">IFERROR(__xludf.DUMMYFUNCTION("""COMPUTED_VALUE"""),"20040213OHCOD")</f>
        <v>20040213OHCOD</v>
      </c>
      <c r="B2322" s="8">
        <f ca="1">IFERROR(__xludf.DUMMYFUNCTION("""COMPUTED_VALUE"""),2)</f>
        <v>2</v>
      </c>
      <c r="C2322" s="8">
        <f ca="1">IFERROR(__xludf.DUMMYFUNCTION("""COMPUTED_VALUE"""),13)</f>
        <v>13</v>
      </c>
      <c r="D2322" s="8">
        <f ca="1">IFERROR(__xludf.DUMMYFUNCTION("""COMPUTED_VALUE"""),2004)</f>
        <v>2004</v>
      </c>
      <c r="E2322" s="9">
        <f ca="1">IFERROR(__xludf.DUMMYFUNCTION("""COMPUTED_VALUE"""),38030)</f>
        <v>38030</v>
      </c>
      <c r="F2322" s="8" t="str">
        <f ca="1">IFERROR(__xludf.DUMMYFUNCTION("""COMPUTED_VALUE"""),"Colonel White High School")</f>
        <v>Colonel White High School</v>
      </c>
      <c r="G2322" s="8">
        <f ca="1">IFERROR(__xludf.DUMMYFUNCTION("""COMPUTED_VALUE"""),0)</f>
        <v>0</v>
      </c>
      <c r="H2322" s="8">
        <f ca="1">IFERROR(__xludf.DUMMYFUNCTION("""COMPUTED_VALUE"""),1)</f>
        <v>1</v>
      </c>
      <c r="I2322" s="8">
        <f ca="1">IFERROR(__xludf.DUMMYFUNCTION("""COMPUTED_VALUE"""),1)</f>
        <v>1</v>
      </c>
      <c r="J2322" s="8">
        <f ca="1">IFERROR(__xludf.DUMMYFUNCTION("""COMPUTED_VALUE"""),0)</f>
        <v>0</v>
      </c>
      <c r="K2322" s="10" t="str">
        <f ca="1">IFERROR(__xludf.DUMMYFUNCTION("""COMPUTED_VALUE"""),"https://www.newspapers.com/image/410611502/")</f>
        <v>https://www.newspapers.com/image/410611502/</v>
      </c>
      <c r="L2322" s="8"/>
      <c r="M2322" s="8"/>
      <c r="N2322" s="8">
        <f ca="1">IFERROR(__xludf.DUMMYFUNCTION("""COMPUTED_VALUE"""),2)</f>
        <v>2</v>
      </c>
      <c r="O2322" s="8" t="str">
        <f ca="1">IFERROR(__xludf.DUMMYFUNCTION("""COMPUTED_VALUE"""),"Winter")</f>
        <v>Winter</v>
      </c>
      <c r="P2322" s="8" t="str">
        <f ca="1">IFERROR(__xludf.DUMMYFUNCTION("""COMPUTED_VALUE"""),"Dayton")</f>
        <v>Dayton</v>
      </c>
      <c r="Q2322" s="8" t="str">
        <f ca="1">IFERROR(__xludf.DUMMYFUNCTION("""COMPUTED_VALUE"""),"OH")</f>
        <v>OH</v>
      </c>
      <c r="R2322" s="8" t="str">
        <f ca="1">IFERROR(__xludf.DUMMYFUNCTION("""COMPUTED_VALUE"""),"High")</f>
        <v>High</v>
      </c>
      <c r="S2322" s="8" t="str">
        <f ca="1">IFERROR(__xludf.DUMMYFUNCTION("""COMPUTED_VALUE"""),"Parking Lot")</f>
        <v>Parking Lot</v>
      </c>
      <c r="T2322" s="8" t="str">
        <f ca="1">IFERROR(__xludf.DUMMYFUNCTION("""COMPUTED_VALUE"""),"Outside on School Property")</f>
        <v>Outside on School Property</v>
      </c>
      <c r="U2322" s="8" t="str">
        <f ca="1">IFERROR(__xludf.DUMMYFUNCTION("""COMPUTED_VALUE"""),"Yes")</f>
        <v>Yes</v>
      </c>
      <c r="V2322" s="8" t="str">
        <f ca="1">IFERROR(__xludf.DUMMYFUNCTION("""COMPUTED_VALUE"""),"Lunch")</f>
        <v>Lunch</v>
      </c>
      <c r="W2322" s="11">
        <f ca="1">IFERROR(__xludf.DUMMYFUNCTION("""COMPUTED_VALUE"""),0.541666666666666)</f>
        <v>0.54166666666666596</v>
      </c>
      <c r="X2322" s="8">
        <f ca="1">IFERROR(__xludf.DUMMYFUNCTION("""COMPUTED_VALUE"""),1)</f>
        <v>1</v>
      </c>
      <c r="Y2322" s="12" t="str">
        <f ca="1">IFERROR(__xludf.DUMMYFUNCTION("""COMPUTED_VALUE"""),"Student shot during carjacking in parking lot")</f>
        <v>Student shot during carjacking in parking lot</v>
      </c>
      <c r="Z2322" s="12" t="str">
        <f ca="1">IFERROR(__xludf.DUMMYFUNCTION("""COMPUTED_VALUE"""),"17YOM student shot during attempted carjacking in the school parking lot. Shot fled into school and changed clothes in locker room. Gun was not recovered.")</f>
        <v>17YOM student shot during attempted carjacking in the school parking lot. Shot fled into school and changed clothes in locker room. Gun was not recovered.</v>
      </c>
      <c r="AA2322" s="8" t="str">
        <f ca="1">IFERROR(__xludf.DUMMYFUNCTION("""COMPUTED_VALUE"""),"Illegal Activity")</f>
        <v>Illegal Activity</v>
      </c>
      <c r="AB2322" s="8"/>
      <c r="AC2322" s="8"/>
      <c r="AD2322" s="8" t="str">
        <f ca="1">IFERROR(__xludf.DUMMYFUNCTION("""COMPUTED_VALUE"""),"Victims Targeted")</f>
        <v>Victims Targeted</v>
      </c>
      <c r="AE2322" s="8" t="str">
        <f ca="1">IFERROR(__xludf.DUMMYFUNCTION("""COMPUTED_VALUE"""),"Yes")</f>
        <v>Yes</v>
      </c>
      <c r="AF2322" s="8" t="str">
        <f ca="1">IFERROR(__xludf.DUMMYFUNCTION("""COMPUTED_VALUE"""),"Two teens attempted carjacking")</f>
        <v>Two teens attempted carjacking</v>
      </c>
      <c r="AG2322" s="8" t="str">
        <f ca="1">IFERROR(__xludf.DUMMYFUNCTION("""COMPUTED_VALUE"""),"No")</f>
        <v>No</v>
      </c>
      <c r="AH2322" s="8" t="str">
        <f ca="1">IFERROR(__xludf.DUMMYFUNCTION("""COMPUTED_VALUE"""),"No")</f>
        <v>No</v>
      </c>
      <c r="AI2322" s="8" t="str">
        <f ca="1">IFERROR(__xludf.DUMMYFUNCTION("""COMPUTED_VALUE"""),"No")</f>
        <v>No</v>
      </c>
      <c r="AJ2322" s="8" t="str">
        <f ca="1">IFERROR(__xludf.DUMMYFUNCTION("""COMPUTED_VALUE"""),"No")</f>
        <v>No</v>
      </c>
      <c r="AK2322" s="8" t="str">
        <f ca="1">IFERROR(__xludf.DUMMYFUNCTION("""COMPUTED_VALUE"""),"No")</f>
        <v>No</v>
      </c>
      <c r="AL2322" s="8" t="str">
        <f ca="1">IFERROR(__xludf.DUMMYFUNCTION("""COMPUTED_VALUE"""),"No")</f>
        <v>No</v>
      </c>
      <c r="AM2322" s="8"/>
      <c r="AN2322" s="8"/>
      <c r="AO2322" s="8" t="str">
        <f ca="1">IFERROR(__xludf.DUMMYFUNCTION("""COMPUTED_VALUE"""),"No")</f>
        <v>No</v>
      </c>
      <c r="AP2322" s="8"/>
      <c r="AQ2322" s="8" t="str">
        <f ca="1">IFERROR(__xludf.DUMMYFUNCTION("""COMPUTED_VALUE"""),"Unknown")</f>
        <v>Unknown</v>
      </c>
      <c r="AR2322" s="8" t="str">
        <f ca="1">IFERROR(__xludf.DUMMYFUNCTION("""COMPUTED_VALUE"""),"NA")</f>
        <v>NA</v>
      </c>
      <c r="AS2322" s="8">
        <f ca="1">IFERROR(__xludf.DUMMYFUNCTION("""COMPUTED_VALUE"""),1)</f>
        <v>1</v>
      </c>
      <c r="AT2322" s="8"/>
      <c r="AU2322" s="8">
        <f ca="1">IFERROR(__xludf.DUMMYFUNCTION("""COMPUTED_VALUE"""),39.762628)</f>
        <v>39.762627999999999</v>
      </c>
      <c r="AV2322" s="8">
        <f ca="1">IFERROR(__xludf.DUMMYFUNCTION("""COMPUTED_VALUE"""),-84.261208)</f>
        <v>-84.261207999999996</v>
      </c>
      <c r="AW2322" s="8"/>
      <c r="AX2322" s="8">
        <f ca="1">IFERROR(__xludf.DUMMYFUNCTION("""COMPUTED_VALUE"""),45417)</f>
        <v>45417</v>
      </c>
    </row>
    <row r="2323" spans="1:50" ht="60" x14ac:dyDescent="0.2">
      <c r="A2323" s="8" t="str">
        <f ca="1">IFERROR(__xludf.DUMMYFUNCTION("""COMPUTED_VALUE"""),"20040211PATMP")</f>
        <v>20040211PATMP</v>
      </c>
      <c r="B2323" s="8">
        <f ca="1">IFERROR(__xludf.DUMMYFUNCTION("""COMPUTED_VALUE"""),2)</f>
        <v>2</v>
      </c>
      <c r="C2323" s="8">
        <f ca="1">IFERROR(__xludf.DUMMYFUNCTION("""COMPUTED_VALUE"""),11)</f>
        <v>11</v>
      </c>
      <c r="D2323" s="8">
        <f ca="1">IFERROR(__xludf.DUMMYFUNCTION("""COMPUTED_VALUE"""),2004)</f>
        <v>2004</v>
      </c>
      <c r="E2323" s="9">
        <f ca="1">IFERROR(__xludf.DUMMYFUNCTION("""COMPUTED_VALUE"""),38028)</f>
        <v>38028</v>
      </c>
      <c r="F2323" s="8" t="str">
        <f ca="1">IFERROR(__xludf.DUMMYFUNCTION("""COMPUTED_VALUE"""),"T M Peirce Elementary School")</f>
        <v>T M Peirce Elementary School</v>
      </c>
      <c r="G2323" s="8">
        <f ca="1">IFERROR(__xludf.DUMMYFUNCTION("""COMPUTED_VALUE"""),1)</f>
        <v>1</v>
      </c>
      <c r="H2323" s="8">
        <f ca="1">IFERROR(__xludf.DUMMYFUNCTION("""COMPUTED_VALUE"""),1)</f>
        <v>1</v>
      </c>
      <c r="I2323" s="8">
        <f ca="1">IFERROR(__xludf.DUMMYFUNCTION("""COMPUTED_VALUE"""),2)</f>
        <v>2</v>
      </c>
      <c r="J2323" s="8">
        <f ca="1">IFERROR(__xludf.DUMMYFUNCTION("""COMPUTED_VALUE"""),0)</f>
        <v>0</v>
      </c>
      <c r="K2323" s="10" t="str">
        <f ca="1">IFERROR(__xludf.DUMMYFUNCTION("""COMPUTED_VALUE"""),"http://www.foxnews.com/story/2006/03/16/two-guilty-in-slaying-philadelphia-boy.html")</f>
        <v>http://www.foxnews.com/story/2006/03/16/two-guilty-in-slaying-philadelphia-boy.html</v>
      </c>
      <c r="L2323" s="8"/>
      <c r="M2323" s="8"/>
      <c r="N2323" s="8">
        <f ca="1">IFERROR(__xludf.DUMMYFUNCTION("""COMPUTED_VALUE"""),2)</f>
        <v>2</v>
      </c>
      <c r="O2323" s="8" t="str">
        <f ca="1">IFERROR(__xludf.DUMMYFUNCTION("""COMPUTED_VALUE"""),"Winter")</f>
        <v>Winter</v>
      </c>
      <c r="P2323" s="8" t="str">
        <f ca="1">IFERROR(__xludf.DUMMYFUNCTION("""COMPUTED_VALUE"""),"Philadelphia")</f>
        <v>Philadelphia</v>
      </c>
      <c r="Q2323" s="8" t="str">
        <f ca="1">IFERROR(__xludf.DUMMYFUNCTION("""COMPUTED_VALUE"""),"PA")</f>
        <v>PA</v>
      </c>
      <c r="R2323" s="8" t="str">
        <f ca="1">IFERROR(__xludf.DUMMYFUNCTION("""COMPUTED_VALUE"""),"Elementary")</f>
        <v>Elementary</v>
      </c>
      <c r="S2323" s="8" t="str">
        <f ca="1">IFERROR(__xludf.DUMMYFUNCTION("""COMPUTED_VALUE"""),"Playground")</f>
        <v>Playground</v>
      </c>
      <c r="T2323" s="8" t="str">
        <f ca="1">IFERROR(__xludf.DUMMYFUNCTION("""COMPUTED_VALUE"""),"Outside on School Property")</f>
        <v>Outside on School Property</v>
      </c>
      <c r="U2323" s="8" t="str">
        <f ca="1">IFERROR(__xludf.DUMMYFUNCTION("""COMPUTED_VALUE"""),"Yes")</f>
        <v>Yes</v>
      </c>
      <c r="V2323" s="8" t="str">
        <f ca="1">IFERROR(__xludf.DUMMYFUNCTION("""COMPUTED_VALUE"""),"School Start")</f>
        <v>School Start</v>
      </c>
      <c r="W2323" s="11">
        <f ca="1">IFERROR(__xludf.DUMMYFUNCTION("""COMPUTED_VALUE"""),0.354166666666666)</f>
        <v>0.35416666666666602</v>
      </c>
      <c r="X2323" s="8">
        <f ca="1">IFERROR(__xludf.DUMMYFUNCTION("""COMPUTED_VALUE"""),1)</f>
        <v>1</v>
      </c>
      <c r="Y2323" s="12" t="str">
        <f ca="1">IFERROR(__xludf.DUMMYFUNCTION("""COMPUTED_VALUE"""),"Shootout between drug deals, student and teacher hit in cross fire")</f>
        <v>Shootout between drug deals, student and teacher hit in cross fire</v>
      </c>
      <c r="Z2323" s="12" t="str">
        <f ca="1">IFERROR(__xludf.DUMMYFUNCTION("""COMPUTED_VALUE"""),"Two drug dealers in a feud over territory fired 90 shots at each other striking a student and teacher on the playground of the elementary school. Both were later arrested. Weapons: carbine rifle, assault weapon")</f>
        <v>Two drug dealers in a feud over territory fired 90 shots at each other striking a student and teacher on the playground of the elementary school. Both were later arrested. Weapons: carbine rifle, assault weapon</v>
      </c>
      <c r="AA2323" s="8" t="str">
        <f ca="1">IFERROR(__xludf.DUMMYFUNCTION("""COMPUTED_VALUE"""),"Illegal Activity")</f>
        <v>Illegal Activity</v>
      </c>
      <c r="AB2323" s="8"/>
      <c r="AC2323" s="8"/>
      <c r="AD2323" s="8" t="str">
        <f ca="1">IFERROR(__xludf.DUMMYFUNCTION("""COMPUTED_VALUE"""),"Both")</f>
        <v>Both</v>
      </c>
      <c r="AE2323" s="8" t="str">
        <f ca="1">IFERROR(__xludf.DUMMYFUNCTION("""COMPUTED_VALUE"""),"No")</f>
        <v>No</v>
      </c>
      <c r="AF2323" s="8" t="str">
        <f ca="1">IFERROR(__xludf.DUMMYFUNCTION("""COMPUTED_VALUE"""),"Shooting at each other")</f>
        <v>Shooting at each other</v>
      </c>
      <c r="AG2323" s="8" t="str">
        <f ca="1">IFERROR(__xludf.DUMMYFUNCTION("""COMPUTED_VALUE"""),"No")</f>
        <v>No</v>
      </c>
      <c r="AH2323" s="8" t="str">
        <f ca="1">IFERROR(__xludf.DUMMYFUNCTION("""COMPUTED_VALUE"""),"No")</f>
        <v>No</v>
      </c>
      <c r="AI2323" s="8" t="str">
        <f ca="1">IFERROR(__xludf.DUMMYFUNCTION("""COMPUTED_VALUE"""),"No")</f>
        <v>No</v>
      </c>
      <c r="AJ2323" s="8" t="str">
        <f ca="1">IFERROR(__xludf.DUMMYFUNCTION("""COMPUTED_VALUE"""),"No")</f>
        <v>No</v>
      </c>
      <c r="AK2323" s="8" t="str">
        <f ca="1">IFERROR(__xludf.DUMMYFUNCTION("""COMPUTED_VALUE"""),"No")</f>
        <v>No</v>
      </c>
      <c r="AL2323" s="8" t="str">
        <f ca="1">IFERROR(__xludf.DUMMYFUNCTION("""COMPUTED_VALUE"""),"Yes")</f>
        <v>Yes</v>
      </c>
      <c r="AM2323" s="8"/>
      <c r="AN2323" s="8"/>
      <c r="AO2323" s="8" t="str">
        <f ca="1">IFERROR(__xludf.DUMMYFUNCTION("""COMPUTED_VALUE"""),"No")</f>
        <v>No</v>
      </c>
      <c r="AP2323" s="8" t="str">
        <f ca="1">IFERROR(__xludf.DUMMYFUNCTION("""COMPUTED_VALUE"""),"Yes")</f>
        <v>Yes</v>
      </c>
      <c r="AQ2323" s="8" t="str">
        <f ca="1">IFERROR(__xludf.DUMMYFUNCTION("""COMPUTED_VALUE"""),"Unknown")</f>
        <v>Unknown</v>
      </c>
      <c r="AR2323" s="8" t="str">
        <f ca="1">IFERROR(__xludf.DUMMYFUNCTION("""COMPUTED_VALUE"""),"NA")</f>
        <v>NA</v>
      </c>
      <c r="AS2323" s="8">
        <f ca="1">IFERROR(__xludf.DUMMYFUNCTION("""COMPUTED_VALUE"""),90)</f>
        <v>90</v>
      </c>
      <c r="AT2323" s="8"/>
      <c r="AU2323" s="8">
        <f ca="1">IFERROR(__xludf.DUMMYFUNCTION("""COMPUTED_VALUE"""),39.998397)</f>
        <v>39.998396999999997</v>
      </c>
      <c r="AV2323" s="8">
        <f ca="1">IFERROR(__xludf.DUMMYFUNCTION("""COMPUTED_VALUE"""),-75.168331)</f>
        <v>-75.168330999999995</v>
      </c>
      <c r="AW2323" s="8"/>
      <c r="AX2323" s="8">
        <f ca="1">IFERROR(__xludf.DUMMYFUNCTION("""COMPUTED_VALUE"""),19132)</f>
        <v>19132</v>
      </c>
    </row>
    <row r="2324" spans="1:50" ht="150" x14ac:dyDescent="0.2">
      <c r="A2324" s="8" t="str">
        <f ca="1">IFERROR(__xludf.DUMMYFUNCTION("""COMPUTED_VALUE"""),"20040209NYCOE")</f>
        <v>20040209NYCOE</v>
      </c>
      <c r="B2324" s="8">
        <f ca="1">IFERROR(__xludf.DUMMYFUNCTION("""COMPUTED_VALUE"""),2)</f>
        <v>2</v>
      </c>
      <c r="C2324" s="8">
        <f ca="1">IFERROR(__xludf.DUMMYFUNCTION("""COMPUTED_VALUE"""),9)</f>
        <v>9</v>
      </c>
      <c r="D2324" s="8">
        <f ca="1">IFERROR(__xludf.DUMMYFUNCTION("""COMPUTED_VALUE"""),2004)</f>
        <v>2004</v>
      </c>
      <c r="E2324" s="9">
        <f ca="1">IFERROR(__xludf.DUMMYFUNCTION("""COMPUTED_VALUE"""),38026)</f>
        <v>38026</v>
      </c>
      <c r="F2324" s="8" t="str">
        <f ca="1">IFERROR(__xludf.DUMMYFUNCTION("""COMPUTED_VALUE"""),"Columbia High School")</f>
        <v>Columbia High School</v>
      </c>
      <c r="G2324" s="8">
        <f ca="1">IFERROR(__xludf.DUMMYFUNCTION("""COMPUTED_VALUE"""),0)</f>
        <v>0</v>
      </c>
      <c r="H2324" s="8">
        <f ca="1">IFERROR(__xludf.DUMMYFUNCTION("""COMPUTED_VALUE"""),1)</f>
        <v>1</v>
      </c>
      <c r="I2324" s="8">
        <f ca="1">IFERROR(__xludf.DUMMYFUNCTION("""COMPUTED_VALUE"""),1)</f>
        <v>1</v>
      </c>
      <c r="J2324" s="8">
        <f ca="1">IFERROR(__xludf.DUMMYFUNCTION("""COMPUTED_VALUE"""),0)</f>
        <v>0</v>
      </c>
      <c r="K2324" s="8" t="str">
        <f ca="1">IFERROR(__xludf.DUMMYFUNCTION("""COMPUTED_VALUE"""),"https://www.nytimes.com/2004/12/19/nyregion/student-agrees-to-20year-term-after-nonfatal-shooting-spree-in.html https://www.fbi.gov/file-repository/active-shooter-incidents-2000-2017.pdf
https://www.timesunion.com/news/article/churchill-two-decades-school"&amp;"-shooting-jon-18405751.php
https://www.youtube.com/watch?v=3XbUuUKY7aQ")</f>
        <v>https://www.nytimes.com/2004/12/19/nyregion/student-agrees-to-20year-term-after-nonfatal-shooting-spree-in.html https://www.fbi.gov/file-repository/active-shooter-incidents-2000-2017.pdf
https://www.timesunion.com/news/article/churchill-two-decades-school-shooting-jon-18405751.php
https://www.youtube.com/watch?v=3XbUuUKY7aQ</v>
      </c>
      <c r="L2324" s="8"/>
      <c r="M2324" s="8"/>
      <c r="N2324" s="8">
        <f ca="1">IFERROR(__xludf.DUMMYFUNCTION("""COMPUTED_VALUE"""),4)</f>
        <v>4</v>
      </c>
      <c r="O2324" s="8" t="str">
        <f ca="1">IFERROR(__xludf.DUMMYFUNCTION("""COMPUTED_VALUE"""),"Winter")</f>
        <v>Winter</v>
      </c>
      <c r="P2324" s="8" t="str">
        <f ca="1">IFERROR(__xludf.DUMMYFUNCTION("""COMPUTED_VALUE"""),"East Greenbush")</f>
        <v>East Greenbush</v>
      </c>
      <c r="Q2324" s="8" t="str">
        <f ca="1">IFERROR(__xludf.DUMMYFUNCTION("""COMPUTED_VALUE"""),"NY")</f>
        <v>NY</v>
      </c>
      <c r="R2324" s="8" t="str">
        <f ca="1">IFERROR(__xludf.DUMMYFUNCTION("""COMPUTED_VALUE"""),"High")</f>
        <v>High</v>
      </c>
      <c r="S2324" s="8" t="str">
        <f ca="1">IFERROR(__xludf.DUMMYFUNCTION("""COMPUTED_VALUE"""),"Bathroom")</f>
        <v>Bathroom</v>
      </c>
      <c r="T2324" s="8" t="str">
        <f ca="1">IFERROR(__xludf.DUMMYFUNCTION("""COMPUTED_VALUE"""),"Inside School Building")</f>
        <v>Inside School Building</v>
      </c>
      <c r="U2324" s="8" t="str">
        <f ca="1">IFERROR(__xludf.DUMMYFUNCTION("""COMPUTED_VALUE"""),"Yes")</f>
        <v>Yes</v>
      </c>
      <c r="V2324" s="8" t="str">
        <f ca="1">IFERROR(__xludf.DUMMYFUNCTION("""COMPUTED_VALUE"""),"Morning Classes")</f>
        <v>Morning Classes</v>
      </c>
      <c r="W2324" s="11">
        <f ca="1">IFERROR(__xludf.DUMMYFUNCTION("""COMPUTED_VALUE"""),0.4375)</f>
        <v>0.4375</v>
      </c>
      <c r="X2324" s="8">
        <f ca="1">IFERROR(__xludf.DUMMYFUNCTION("""COMPUTED_VALUE"""),1)</f>
        <v>1</v>
      </c>
      <c r="Y2324" s="12" t="str">
        <f ca="1">IFERROR(__xludf.DUMMYFUNCTION("""COMPUTED_VALUE"""),"Planned attack, sent texts warning others, tackled after first shot")</f>
        <v>Planned attack, sent texts warning others, tackled after first shot</v>
      </c>
      <c r="Z2324" s="12" t="str">
        <f ca="1">IFERROR(__xludf.DUMMYFUNCTION("""COMPUTED_VALUE"""),"16YOM went into bathroom and sent text message to girl warning her to get out of school. Had been talking about school shooting for past two week including watching ""Bowling for Columbine"". Wore black trench coat. Walked out of bathroom with shotgun and"&amp;" fired at a student but missed. Tackled by the asst principal. Fired again striking another teacher in the leg before being subdued. Shooter was considered a good student and did not have disciplinary issues. Described as shy by classmates. Told other stu"&amp;"dents about his plans to shoot up the school.")</f>
        <v>16YOM went into bathroom and sent text message to girl warning her to get out of school. Had been talking about school shooting for past two week including watching "Bowling for Columbine". Wore black trench coat. Walked out of bathroom with shotgun and fired at a student but missed. Tackled by the asst principal. Fired again striking another teacher in the leg before being subdued. Shooter was considered a good student and did not have disciplinary issues. Described as shy by classmates. Told other students about his plans to shoot up the school.</v>
      </c>
      <c r="AA2324" s="8" t="str">
        <f ca="1">IFERROR(__xludf.DUMMYFUNCTION("""COMPUTED_VALUE"""),"Indiscriminate Shooting")</f>
        <v>Indiscriminate Shooting</v>
      </c>
      <c r="AB2324" s="8" t="str">
        <f ca="1">IFERROR(__xludf.DUMMYFUNCTION("""COMPUTED_VALUE"""),"Active Shooter/Planned Attack")</f>
        <v>Active Shooter/Planned Attack</v>
      </c>
      <c r="AC2324" s="8" t="str">
        <f ca="1">IFERROR(__xludf.DUMMYFUNCTION("""COMPUTED_VALUE"""),"Yes")</f>
        <v>Yes</v>
      </c>
      <c r="AD2324" s="8" t="str">
        <f ca="1">IFERROR(__xludf.DUMMYFUNCTION("""COMPUTED_VALUE"""),"Both")</f>
        <v>Both</v>
      </c>
      <c r="AE2324" s="8" t="str">
        <f ca="1">IFERROR(__xludf.DUMMYFUNCTION("""COMPUTED_VALUE"""),"No")</f>
        <v>No</v>
      </c>
      <c r="AF2324" s="8"/>
      <c r="AG2324" s="8" t="str">
        <f ca="1">IFERROR(__xludf.DUMMYFUNCTION("""COMPUTED_VALUE"""),"No")</f>
        <v>No</v>
      </c>
      <c r="AH2324" s="8" t="str">
        <f ca="1">IFERROR(__xludf.DUMMYFUNCTION("""COMPUTED_VALUE"""),"No")</f>
        <v>No</v>
      </c>
      <c r="AI2324" s="8" t="str">
        <f ca="1">IFERROR(__xludf.DUMMYFUNCTION("""COMPUTED_VALUE"""),"No")</f>
        <v>No</v>
      </c>
      <c r="AJ2324" s="8" t="str">
        <f ca="1">IFERROR(__xludf.DUMMYFUNCTION("""COMPUTED_VALUE"""),"No")</f>
        <v>No</v>
      </c>
      <c r="AK2324" s="8" t="str">
        <f ca="1">IFERROR(__xludf.DUMMYFUNCTION("""COMPUTED_VALUE"""),"No")</f>
        <v>No</v>
      </c>
      <c r="AL2324" s="8" t="str">
        <f ca="1">IFERROR(__xludf.DUMMYFUNCTION("""COMPUTED_VALUE"""),"No")</f>
        <v>No</v>
      </c>
      <c r="AM2324" s="8" t="str">
        <f ca="1">IFERROR(__xludf.DUMMYFUNCTION("""COMPUTED_VALUE"""),"Yes")</f>
        <v>Yes</v>
      </c>
      <c r="AN2324" s="8" t="str">
        <f ca="1">IFERROR(__xludf.DUMMYFUNCTION("""COMPUTED_VALUE"""),"Multiple Rooms")</f>
        <v>Multiple Rooms</v>
      </c>
      <c r="AO2324" s="8" t="str">
        <f ca="1">IFERROR(__xludf.DUMMYFUNCTION("""COMPUTED_VALUE"""),"Yes")</f>
        <v>Yes</v>
      </c>
      <c r="AP2324" s="8" t="str">
        <f ca="1">IFERROR(__xludf.DUMMYFUNCTION("""COMPUTED_VALUE"""),"No")</f>
        <v>No</v>
      </c>
      <c r="AQ2324" s="8" t="str">
        <f ca="1">IFERROR(__xludf.DUMMYFUNCTION("""COMPUTED_VALUE"""),"Unknown")</f>
        <v>Unknown</v>
      </c>
      <c r="AR2324" s="8" t="str">
        <f ca="1">IFERROR(__xludf.DUMMYFUNCTION("""COMPUTED_VALUE"""),"NA")</f>
        <v>NA</v>
      </c>
      <c r="AS2324" s="8">
        <f ca="1">IFERROR(__xludf.DUMMYFUNCTION("""COMPUTED_VALUE"""),2)</f>
        <v>2</v>
      </c>
      <c r="AT2324" s="8"/>
      <c r="AU2324" s="8">
        <f ca="1">IFERROR(__xludf.DUMMYFUNCTION("""COMPUTED_VALUE"""),42.62436)</f>
        <v>42.624360000000003</v>
      </c>
      <c r="AV2324" s="8">
        <f ca="1">IFERROR(__xludf.DUMMYFUNCTION("""COMPUTED_VALUE"""),-73.691059)</f>
        <v>-73.691058999999996</v>
      </c>
      <c r="AW2324" s="8"/>
      <c r="AX2324" s="8">
        <f ca="1">IFERROR(__xludf.DUMMYFUNCTION("""COMPUTED_VALUE"""),12061)</f>
        <v>12061</v>
      </c>
    </row>
    <row r="2325" spans="1:50" ht="60" x14ac:dyDescent="0.2">
      <c r="A2325" s="8" t="str">
        <f ca="1">IFERROR(__xludf.DUMMYFUNCTION("""COMPUTED_VALUE"""),"20040206LAFAS")</f>
        <v>20040206LAFAS</v>
      </c>
      <c r="B2325" s="8">
        <f ca="1">IFERROR(__xludf.DUMMYFUNCTION("""COMPUTED_VALUE"""),2)</f>
        <v>2</v>
      </c>
      <c r="C2325" s="8">
        <f ca="1">IFERROR(__xludf.DUMMYFUNCTION("""COMPUTED_VALUE"""),6)</f>
        <v>6</v>
      </c>
      <c r="D2325" s="8">
        <f ca="1">IFERROR(__xludf.DUMMYFUNCTION("""COMPUTED_VALUE"""),2004)</f>
        <v>2004</v>
      </c>
      <c r="E2325" s="9">
        <f ca="1">IFERROR(__xludf.DUMMYFUNCTION("""COMPUTED_VALUE"""),38023)</f>
        <v>38023</v>
      </c>
      <c r="F2325" s="8" t="str">
        <f ca="1">IFERROR(__xludf.DUMMYFUNCTION("""COMPUTED_VALUE"""),"Fair Park High School")</f>
        <v>Fair Park High School</v>
      </c>
      <c r="G2325" s="8">
        <f ca="1">IFERROR(__xludf.DUMMYFUNCTION("""COMPUTED_VALUE"""),0)</f>
        <v>0</v>
      </c>
      <c r="H2325" s="8">
        <f ca="1">IFERROR(__xludf.DUMMYFUNCTION("""COMPUTED_VALUE"""),0)</f>
        <v>0</v>
      </c>
      <c r="I2325" s="8">
        <f ca="1">IFERROR(__xludf.DUMMYFUNCTION("""COMPUTED_VALUE"""),0)</f>
        <v>0</v>
      </c>
      <c r="J2325" s="8">
        <f ca="1">IFERROR(__xludf.DUMMYFUNCTION("""COMPUTED_VALUE"""),0)</f>
        <v>0</v>
      </c>
      <c r="K2325" s="10" t="str">
        <f ca="1">IFERROR(__xludf.DUMMYFUNCTION("""COMPUTED_VALUE"""),"https://www.shreveporttimes.com/story/news/2017/11/07/times-files-officer-fires-shot-fair-park-high/841429001/")</f>
        <v>https://www.shreveporttimes.com/story/news/2017/11/07/times-files-officer-fires-shot-fair-park-high/841429001/</v>
      </c>
      <c r="L2325" s="8"/>
      <c r="M2325" s="8"/>
      <c r="N2325" s="8">
        <f ca="1">IFERROR(__xludf.DUMMYFUNCTION("""COMPUTED_VALUE"""),2)</f>
        <v>2</v>
      </c>
      <c r="O2325" s="8" t="str">
        <f ca="1">IFERROR(__xludf.DUMMYFUNCTION("""COMPUTED_VALUE"""),"Winter")</f>
        <v>Winter</v>
      </c>
      <c r="P2325" s="8" t="str">
        <f ca="1">IFERROR(__xludf.DUMMYFUNCTION("""COMPUTED_VALUE"""),"Shreveport")</f>
        <v>Shreveport</v>
      </c>
      <c r="Q2325" s="8" t="str">
        <f ca="1">IFERROR(__xludf.DUMMYFUNCTION("""COMPUTED_VALUE"""),"LA")</f>
        <v>LA</v>
      </c>
      <c r="R2325" s="8" t="str">
        <f ca="1">IFERROR(__xludf.DUMMYFUNCTION("""COMPUTED_VALUE"""),"High")</f>
        <v>High</v>
      </c>
      <c r="S2325" s="8" t="str">
        <f ca="1">IFERROR(__xludf.DUMMYFUNCTION("""COMPUTED_VALUE"""),"Parking Lot")</f>
        <v>Parking Lot</v>
      </c>
      <c r="T2325" s="8" t="str">
        <f ca="1">IFERROR(__xludf.DUMMYFUNCTION("""COMPUTED_VALUE"""),"Outside on School Property")</f>
        <v>Outside on School Property</v>
      </c>
      <c r="U2325" s="8" t="str">
        <f ca="1">IFERROR(__xludf.DUMMYFUNCTION("""COMPUTED_VALUE"""),"Yes")</f>
        <v>Yes</v>
      </c>
      <c r="V2325" s="8"/>
      <c r="W2325" s="8"/>
      <c r="X2325" s="8">
        <f ca="1">IFERROR(__xludf.DUMMYFUNCTION("""COMPUTED_VALUE"""),1)</f>
        <v>1</v>
      </c>
      <c r="Y2325" s="12" t="str">
        <f ca="1">IFERROR(__xludf.DUMMYFUNCTION("""COMPUTED_VALUE"""),"Police officer fired at student in vehicle in parking lot")</f>
        <v>Police officer fired at student in vehicle in parking lot</v>
      </c>
      <c r="Z2325" s="12" t="str">
        <f ca="1">IFERROR(__xludf.DUMMYFUNCTION("""COMPUTED_VALUE"""),"Student had been involved in fight with other students. He drove a stolen car into a staff only parking lot. Officer fear his life was in danger at fired at the student in the vehicle. Shots missed and no one was injured.")</f>
        <v>Student had been involved in fight with other students. He drove a stolen car into a staff only parking lot. Officer fear his life was in danger at fired at the student in the vehicle. Shots missed and no one was injured.</v>
      </c>
      <c r="AA2325" s="8" t="str">
        <f ca="1">IFERROR(__xludf.DUMMYFUNCTION("""COMPUTED_VALUE"""),"Illegal Activity")</f>
        <v>Illegal Activity</v>
      </c>
      <c r="AB2325" s="8"/>
      <c r="AC2325" s="8"/>
      <c r="AD2325" s="8" t="str">
        <f ca="1">IFERROR(__xludf.DUMMYFUNCTION("""COMPUTED_VALUE"""),"Victims Targeted")</f>
        <v>Victims Targeted</v>
      </c>
      <c r="AE2325" s="8" t="str">
        <f ca="1">IFERROR(__xludf.DUMMYFUNCTION("""COMPUTED_VALUE"""),"No")</f>
        <v>No</v>
      </c>
      <c r="AF2325" s="8"/>
      <c r="AG2325" s="8" t="str">
        <f ca="1">IFERROR(__xludf.DUMMYFUNCTION("""COMPUTED_VALUE"""),"No")</f>
        <v>No</v>
      </c>
      <c r="AH2325" s="8" t="str">
        <f ca="1">IFERROR(__xludf.DUMMYFUNCTION("""COMPUTED_VALUE"""),"No")</f>
        <v>No</v>
      </c>
      <c r="AI2325" s="8" t="str">
        <f ca="1">IFERROR(__xludf.DUMMYFUNCTION("""COMPUTED_VALUE"""),"Yes")</f>
        <v>Yes</v>
      </c>
      <c r="AJ2325" s="8" t="str">
        <f ca="1">IFERROR(__xludf.DUMMYFUNCTION("""COMPUTED_VALUE"""),"N/A")</f>
        <v>N/A</v>
      </c>
      <c r="AK2325" s="8" t="str">
        <f ca="1">IFERROR(__xludf.DUMMYFUNCTION("""COMPUTED_VALUE"""),"N/A")</f>
        <v>N/A</v>
      </c>
      <c r="AL2325" s="8" t="str">
        <f ca="1">IFERROR(__xludf.DUMMYFUNCTION("""COMPUTED_VALUE"""),"N/A")</f>
        <v>N/A</v>
      </c>
      <c r="AM2325" s="8" t="str">
        <f ca="1">IFERROR(__xludf.DUMMYFUNCTION("""COMPUTED_VALUE"""),"N/A")</f>
        <v>N/A</v>
      </c>
      <c r="AN2325" s="8"/>
      <c r="AO2325" s="8" t="str">
        <f ca="1">IFERROR(__xludf.DUMMYFUNCTION("""COMPUTED_VALUE"""),"N/A")</f>
        <v>N/A</v>
      </c>
      <c r="AP2325" s="8"/>
      <c r="AQ2325" s="8" t="str">
        <f ca="1">IFERROR(__xludf.DUMMYFUNCTION("""COMPUTED_VALUE"""),"Unknown")</f>
        <v>Unknown</v>
      </c>
      <c r="AR2325" s="8" t="str">
        <f ca="1">IFERROR(__xludf.DUMMYFUNCTION("""COMPUTED_VALUE"""),"NA")</f>
        <v>NA</v>
      </c>
      <c r="AS2325" s="8">
        <f ca="1">IFERROR(__xludf.DUMMYFUNCTION("""COMPUTED_VALUE"""),1)</f>
        <v>1</v>
      </c>
      <c r="AT2325" s="8"/>
      <c r="AU2325" s="8">
        <f ca="1">IFERROR(__xludf.DUMMYFUNCTION("""COMPUTED_VALUE"""),32.479063)</f>
        <v>32.479062999999996</v>
      </c>
      <c r="AV2325" s="8">
        <f ca="1">IFERROR(__xludf.DUMMYFUNCTION("""COMPUTED_VALUE"""),-93.790554)</f>
        <v>-93.790554</v>
      </c>
      <c r="AW2325" s="8"/>
      <c r="AX2325" s="8">
        <f ca="1">IFERROR(__xludf.DUMMYFUNCTION("""COMPUTED_VALUE"""),71109)</f>
        <v>71109</v>
      </c>
    </row>
    <row r="2326" spans="1:50" ht="75" x14ac:dyDescent="0.2">
      <c r="A2326" s="8" t="str">
        <f ca="1">IFERROR(__xludf.DUMMYFUNCTION("""COMPUTED_VALUE"""),"20040203TXYOH")</f>
        <v>20040203TXYOH</v>
      </c>
      <c r="B2326" s="8">
        <f ca="1">IFERROR(__xludf.DUMMYFUNCTION("""COMPUTED_VALUE"""),2)</f>
        <v>2</v>
      </c>
      <c r="C2326" s="8">
        <f ca="1">IFERROR(__xludf.DUMMYFUNCTION("""COMPUTED_VALUE"""),3)</f>
        <v>3</v>
      </c>
      <c r="D2326" s="8">
        <f ca="1">IFERROR(__xludf.DUMMYFUNCTION("""COMPUTED_VALUE"""),2004)</f>
        <v>2004</v>
      </c>
      <c r="E2326" s="9">
        <f ca="1">IFERROR(__xludf.DUMMYFUNCTION("""COMPUTED_VALUE"""),38020)</f>
        <v>38020</v>
      </c>
      <c r="F2326" s="8" t="str">
        <f ca="1">IFERROR(__xludf.DUMMYFUNCTION("""COMPUTED_VALUE"""),"Youens Elementary School")</f>
        <v>Youens Elementary School</v>
      </c>
      <c r="G2326" s="8">
        <f ca="1">IFERROR(__xludf.DUMMYFUNCTION("""COMPUTED_VALUE"""),0)</f>
        <v>0</v>
      </c>
      <c r="H2326" s="8">
        <f ca="1">IFERROR(__xludf.DUMMYFUNCTION("""COMPUTED_VALUE"""),0)</f>
        <v>0</v>
      </c>
      <c r="I2326" s="8">
        <f ca="1">IFERROR(__xludf.DUMMYFUNCTION("""COMPUTED_VALUE"""),0)</f>
        <v>0</v>
      </c>
      <c r="J2326" s="8">
        <f ca="1">IFERROR(__xludf.DUMMYFUNCTION("""COMPUTED_VALUE"""),0)</f>
        <v>0</v>
      </c>
      <c r="K2326" s="10" t="str">
        <f ca="1">IFERROR(__xludf.DUMMYFUNCTION("""COMPUTED_VALUE"""),"https://www.chron.com/news/houston-texas/article/Fifth-grader-accidentally-shoots-himself-at-school-1979500.php")</f>
        <v>https://www.chron.com/news/houston-texas/article/Fifth-grader-accidentally-shoots-himself-at-school-1979500.php</v>
      </c>
      <c r="L2326" s="8"/>
      <c r="M2326" s="8"/>
      <c r="N2326" s="8">
        <f ca="1">IFERROR(__xludf.DUMMYFUNCTION("""COMPUTED_VALUE"""),2)</f>
        <v>2</v>
      </c>
      <c r="O2326" s="8" t="str">
        <f ca="1">IFERROR(__xludf.DUMMYFUNCTION("""COMPUTED_VALUE"""),"Winter")</f>
        <v>Winter</v>
      </c>
      <c r="P2326" s="8" t="str">
        <f ca="1">IFERROR(__xludf.DUMMYFUNCTION("""COMPUTED_VALUE"""),"Houston")</f>
        <v>Houston</v>
      </c>
      <c r="Q2326" s="8" t="str">
        <f ca="1">IFERROR(__xludf.DUMMYFUNCTION("""COMPUTED_VALUE"""),"TX")</f>
        <v>TX</v>
      </c>
      <c r="R2326" s="8" t="str">
        <f ca="1">IFERROR(__xludf.DUMMYFUNCTION("""COMPUTED_VALUE"""),"Elementary")</f>
        <v>Elementary</v>
      </c>
      <c r="S2326" s="8" t="str">
        <f ca="1">IFERROR(__xludf.DUMMYFUNCTION("""COMPUTED_VALUE"""),"Classroom")</f>
        <v>Classroom</v>
      </c>
      <c r="T2326" s="8" t="str">
        <f ca="1">IFERROR(__xludf.DUMMYFUNCTION("""COMPUTED_VALUE"""),"Inside School Building")</f>
        <v>Inside School Building</v>
      </c>
      <c r="U2326" s="8" t="str">
        <f ca="1">IFERROR(__xludf.DUMMYFUNCTION("""COMPUTED_VALUE"""),"Yes")</f>
        <v>Yes</v>
      </c>
      <c r="V2326" s="8" t="str">
        <f ca="1">IFERROR(__xludf.DUMMYFUNCTION("""COMPUTED_VALUE"""),"Afternoon Classes")</f>
        <v>Afternoon Classes</v>
      </c>
      <c r="W2326" s="11">
        <f ca="1">IFERROR(__xludf.DUMMYFUNCTION("""COMPUTED_VALUE"""),0.4375)</f>
        <v>0.4375</v>
      </c>
      <c r="X2326" s="8">
        <f ca="1">IFERROR(__xludf.DUMMYFUNCTION("""COMPUTED_VALUE"""),1)</f>
        <v>1</v>
      </c>
      <c r="Y2326" s="12" t="str">
        <f ca="1">IFERROR(__xludf.DUMMYFUNCTION("""COMPUTED_VALUE"""),"Showed off gun, fired when he put it into waistband of pants striking himself")</f>
        <v>Showed off gun, fired when he put it into waistband of pants striking himself</v>
      </c>
      <c r="Z2326" s="12" t="str">
        <f ca="1">IFERROR(__xludf.DUMMYFUNCTION("""COMPUTED_VALUE"""),"12YOM student was showing off gun to other students in the classroom. Fired when he put it back into the waistband of his pants.")</f>
        <v>12YOM student was showing off gun to other students in the classroom. Fired when he put it back into the waistband of his pants.</v>
      </c>
      <c r="AA2326" s="8" t="str">
        <f ca="1">IFERROR(__xludf.DUMMYFUNCTION("""COMPUTED_VALUE"""),"Accidental")</f>
        <v>Accidental</v>
      </c>
      <c r="AB2326" s="8"/>
      <c r="AC2326" s="8"/>
      <c r="AD2326" s="8" t="str">
        <f ca="1">IFERROR(__xludf.DUMMYFUNCTION("""COMPUTED_VALUE"""),"Neither")</f>
        <v>Neither</v>
      </c>
      <c r="AE2326" s="8" t="str">
        <f ca="1">IFERROR(__xludf.DUMMYFUNCTION("""COMPUTED_VALUE"""),"No")</f>
        <v>No</v>
      </c>
      <c r="AF2326" s="8"/>
      <c r="AG2326" s="8" t="str">
        <f ca="1">IFERROR(__xludf.DUMMYFUNCTION("""COMPUTED_VALUE"""),"No")</f>
        <v>No</v>
      </c>
      <c r="AH2326" s="8" t="str">
        <f ca="1">IFERROR(__xludf.DUMMYFUNCTION("""COMPUTED_VALUE"""),"No")</f>
        <v>No</v>
      </c>
      <c r="AI2326" s="8" t="str">
        <f ca="1">IFERROR(__xludf.DUMMYFUNCTION("""COMPUTED_VALUE"""),"No")</f>
        <v>No</v>
      </c>
      <c r="AJ2326" s="8" t="str">
        <f ca="1">IFERROR(__xludf.DUMMYFUNCTION("""COMPUTED_VALUE"""),"No")</f>
        <v>No</v>
      </c>
      <c r="AK2326" s="8" t="str">
        <f ca="1">IFERROR(__xludf.DUMMYFUNCTION("""COMPUTED_VALUE"""),"No")</f>
        <v>No</v>
      </c>
      <c r="AL2326" s="8" t="str">
        <f ca="1">IFERROR(__xludf.DUMMYFUNCTION("""COMPUTED_VALUE"""),"No")</f>
        <v>No</v>
      </c>
      <c r="AM2326" s="8"/>
      <c r="AN2326" s="8"/>
      <c r="AO2326" s="8" t="str">
        <f ca="1">IFERROR(__xludf.DUMMYFUNCTION("""COMPUTED_VALUE"""),"No")</f>
        <v>No</v>
      </c>
      <c r="AP2326" s="8"/>
      <c r="AQ2326" s="8" t="str">
        <f ca="1">IFERROR(__xludf.DUMMYFUNCTION("""COMPUTED_VALUE"""),"Unknown")</f>
        <v>Unknown</v>
      </c>
      <c r="AR2326" s="8" t="str">
        <f ca="1">IFERROR(__xludf.DUMMYFUNCTION("""COMPUTED_VALUE"""),"NA")</f>
        <v>NA</v>
      </c>
      <c r="AS2326" s="8">
        <f ca="1">IFERROR(__xludf.DUMMYFUNCTION("""COMPUTED_VALUE"""),1)</f>
        <v>1</v>
      </c>
      <c r="AT2326" s="8"/>
      <c r="AU2326" s="8">
        <f ca="1">IFERROR(__xludf.DUMMYFUNCTION("""COMPUTED_VALUE"""),29.710272)</f>
        <v>29.710272</v>
      </c>
      <c r="AV2326" s="8">
        <f ca="1">IFERROR(__xludf.DUMMYFUNCTION("""COMPUTED_VALUE"""),-95.594368)</f>
        <v>-95.594368000000003</v>
      </c>
      <c r="AW2326" s="8"/>
      <c r="AX2326" s="8">
        <f ca="1">IFERROR(__xludf.DUMMYFUNCTION("""COMPUTED_VALUE"""),77072)</f>
        <v>77072</v>
      </c>
    </row>
    <row r="2327" spans="1:50" ht="75" x14ac:dyDescent="0.2">
      <c r="A2327" s="8" t="str">
        <f ca="1">IFERROR(__xludf.DUMMYFUNCTION("""COMPUTED_VALUE"""),"20040202DCBAW")</f>
        <v>20040202DCBAW</v>
      </c>
      <c r="B2327" s="8">
        <f ca="1">IFERROR(__xludf.DUMMYFUNCTION("""COMPUTED_VALUE"""),2)</f>
        <v>2</v>
      </c>
      <c r="C2327" s="8">
        <f ca="1">IFERROR(__xludf.DUMMYFUNCTION("""COMPUTED_VALUE"""),2)</f>
        <v>2</v>
      </c>
      <c r="D2327" s="8">
        <f ca="1">IFERROR(__xludf.DUMMYFUNCTION("""COMPUTED_VALUE"""),2004)</f>
        <v>2004</v>
      </c>
      <c r="E2327" s="9">
        <f ca="1">IFERROR(__xludf.DUMMYFUNCTION("""COMPUTED_VALUE"""),38019)</f>
        <v>38019</v>
      </c>
      <c r="F2327" s="8" t="str">
        <f ca="1">IFERROR(__xludf.DUMMYFUNCTION("""COMPUTED_VALUE"""),"Ballou Senior High School")</f>
        <v>Ballou Senior High School</v>
      </c>
      <c r="G2327" s="8">
        <f ca="1">IFERROR(__xludf.DUMMYFUNCTION("""COMPUTED_VALUE"""),1)</f>
        <v>1</v>
      </c>
      <c r="H2327" s="8">
        <f ca="1">IFERROR(__xludf.DUMMYFUNCTION("""COMPUTED_VALUE"""),0)</f>
        <v>0</v>
      </c>
      <c r="I2327" s="8">
        <f ca="1">IFERROR(__xludf.DUMMYFUNCTION("""COMPUTED_VALUE"""),1)</f>
        <v>1</v>
      </c>
      <c r="J2327" s="8">
        <f ca="1">IFERROR(__xludf.DUMMYFUNCTION("""COMPUTED_VALUE"""),0)</f>
        <v>0</v>
      </c>
      <c r="K2327" s="10" t="str">
        <f ca="1">IFERROR(__xludf.DUMMYFUNCTION("""COMPUTED_VALUE"""),"http://www.washingtonpost.com/wp-dyn/articles/A13630-2004Feb4.html")</f>
        <v>http://www.washingtonpost.com/wp-dyn/articles/A13630-2004Feb4.html</v>
      </c>
      <c r="L2327" s="8"/>
      <c r="M2327" s="8"/>
      <c r="N2327" s="8">
        <f ca="1">IFERROR(__xludf.DUMMYFUNCTION("""COMPUTED_VALUE"""),2)</f>
        <v>2</v>
      </c>
      <c r="O2327" s="8" t="str">
        <f ca="1">IFERROR(__xludf.DUMMYFUNCTION("""COMPUTED_VALUE"""),"Winter")</f>
        <v>Winter</v>
      </c>
      <c r="P2327" s="8" t="str">
        <f ca="1">IFERROR(__xludf.DUMMYFUNCTION("""COMPUTED_VALUE"""),"Washington")</f>
        <v>Washington</v>
      </c>
      <c r="Q2327" s="8" t="str">
        <f ca="1">IFERROR(__xludf.DUMMYFUNCTION("""COMPUTED_VALUE"""),"DC")</f>
        <v>DC</v>
      </c>
      <c r="R2327" s="8" t="str">
        <f ca="1">IFERROR(__xludf.DUMMYFUNCTION("""COMPUTED_VALUE"""),"High")</f>
        <v>High</v>
      </c>
      <c r="S2327" s="8" t="str">
        <f ca="1">IFERROR(__xludf.DUMMYFUNCTION("""COMPUTED_VALUE"""),"Beside Building")</f>
        <v>Beside Building</v>
      </c>
      <c r="T2327" s="8" t="str">
        <f ca="1">IFERROR(__xludf.DUMMYFUNCTION("""COMPUTED_VALUE"""),"Outside on School Property")</f>
        <v>Outside on School Property</v>
      </c>
      <c r="U2327" s="8" t="str">
        <f ca="1">IFERROR(__xludf.DUMMYFUNCTION("""COMPUTED_VALUE"""),"Yes")</f>
        <v>Yes</v>
      </c>
      <c r="V2327" s="8" t="str">
        <f ca="1">IFERROR(__xludf.DUMMYFUNCTION("""COMPUTED_VALUE"""),"Morning Classes")</f>
        <v>Morning Classes</v>
      </c>
      <c r="W2327" s="11">
        <f ca="1">IFERROR(__xludf.DUMMYFUNCTION("""COMPUTED_VALUE"""),0.4375)</f>
        <v>0.4375</v>
      </c>
      <c r="X2327" s="8">
        <f ca="1">IFERROR(__xludf.DUMMYFUNCTION("""COMPUTED_VALUE"""),1)</f>
        <v>1</v>
      </c>
      <c r="Y2327" s="12" t="str">
        <f ca="1">IFERROR(__xludf.DUMMYFUNCTION("""COMPUTED_VALUE"""),"Multiple fights between shooter and victim")</f>
        <v>Multiple fights between shooter and victim</v>
      </c>
      <c r="Z2327" s="12" t="str">
        <f ca="1">IFERROR(__xludf.DUMMYFUNCTION("""COMPUTED_VALUE"""),"Ongoing dispute between two students had resulted in multiple fist fights. During a fist fight, the shooter pulled a handgun and fired multiple shots killing the victim. The school and the parents were both aware the fights and had attempted resolution.")</f>
        <v>Ongoing dispute between two students had resulted in multiple fist fights. During a fist fight, the shooter pulled a handgun and fired multiple shots killing the victim. The school and the parents were both aware the fights and had attempted resolution.</v>
      </c>
      <c r="AA2327" s="8" t="str">
        <f ca="1">IFERROR(__xludf.DUMMYFUNCTION("""COMPUTED_VALUE"""),"Escalation of Dispute")</f>
        <v>Escalation of Dispute</v>
      </c>
      <c r="AB2327" s="8"/>
      <c r="AC2327" s="8"/>
      <c r="AD2327" s="8" t="str">
        <f ca="1">IFERROR(__xludf.DUMMYFUNCTION("""COMPUTED_VALUE"""),"Victims Targeted")</f>
        <v>Victims Targeted</v>
      </c>
      <c r="AE2327" s="8" t="str">
        <f ca="1">IFERROR(__xludf.DUMMYFUNCTION("""COMPUTED_VALUE"""),"No")</f>
        <v>No</v>
      </c>
      <c r="AF2327" s="8"/>
      <c r="AG2327" s="8" t="str">
        <f ca="1">IFERROR(__xludf.DUMMYFUNCTION("""COMPUTED_VALUE"""),"No")</f>
        <v>No</v>
      </c>
      <c r="AH2327" s="8" t="str">
        <f ca="1">IFERROR(__xludf.DUMMYFUNCTION("""COMPUTED_VALUE"""),"No")</f>
        <v>No</v>
      </c>
      <c r="AI2327" s="8" t="str">
        <f ca="1">IFERROR(__xludf.DUMMYFUNCTION("""COMPUTED_VALUE"""),"No")</f>
        <v>No</v>
      </c>
      <c r="AJ2327" s="8" t="str">
        <f ca="1">IFERROR(__xludf.DUMMYFUNCTION("""COMPUTED_VALUE"""),"No")</f>
        <v>No</v>
      </c>
      <c r="AK2327" s="8" t="str">
        <f ca="1">IFERROR(__xludf.DUMMYFUNCTION("""COMPUTED_VALUE"""),"No")</f>
        <v>No</v>
      </c>
      <c r="AL2327" s="8" t="str">
        <f ca="1">IFERROR(__xludf.DUMMYFUNCTION("""COMPUTED_VALUE"""),"No")</f>
        <v>No</v>
      </c>
      <c r="AM2327" s="8"/>
      <c r="AN2327" s="8"/>
      <c r="AO2327" s="8" t="str">
        <f ca="1">IFERROR(__xludf.DUMMYFUNCTION("""COMPUTED_VALUE"""),"No")</f>
        <v>No</v>
      </c>
      <c r="AP2327" s="8" t="str">
        <f ca="1">IFERROR(__xludf.DUMMYFUNCTION("""COMPUTED_VALUE"""),"Yes")</f>
        <v>Yes</v>
      </c>
      <c r="AQ2327" s="8" t="str">
        <f ca="1">IFERROR(__xludf.DUMMYFUNCTION("""COMPUTED_VALUE"""),"Unknown")</f>
        <v>Unknown</v>
      </c>
      <c r="AR2327" s="8" t="str">
        <f ca="1">IFERROR(__xludf.DUMMYFUNCTION("""COMPUTED_VALUE"""),"NA")</f>
        <v>NA</v>
      </c>
      <c r="AS2327" s="8"/>
      <c r="AT2327" s="8"/>
      <c r="AU2327" s="8">
        <f ca="1">IFERROR(__xludf.DUMMYFUNCTION("""COMPUTED_VALUE"""),38.839389)</f>
        <v>38.839388999999997</v>
      </c>
      <c r="AV2327" s="8">
        <f ca="1">IFERROR(__xludf.DUMMYFUNCTION("""COMPUTED_VALUE"""),-77.001766)</f>
        <v>-77.001766000000003</v>
      </c>
      <c r="AW2327" s="8"/>
      <c r="AX2327" s="8">
        <f ca="1">IFERROR(__xludf.DUMMYFUNCTION("""COMPUTED_VALUE"""),20032)</f>
        <v>20032</v>
      </c>
    </row>
    <row r="2328" spans="1:50" ht="135" x14ac:dyDescent="0.2">
      <c r="A2328" s="8" t="str">
        <f ca="1">IFERROR(__xludf.DUMMYFUNCTION("""COMPUTED_VALUE"""),"20040121NVFAH")</f>
        <v>20040121NVFAH</v>
      </c>
      <c r="B2328" s="8">
        <f ca="1">IFERROR(__xludf.DUMMYFUNCTION("""COMPUTED_VALUE"""),1)</f>
        <v>1</v>
      </c>
      <c r="C2328" s="8">
        <f ca="1">IFERROR(__xludf.DUMMYFUNCTION("""COMPUTED_VALUE"""),21)</f>
        <v>21</v>
      </c>
      <c r="D2328" s="8">
        <f ca="1">IFERROR(__xludf.DUMMYFUNCTION("""COMPUTED_VALUE"""),2004)</f>
        <v>2004</v>
      </c>
      <c r="E2328" s="9">
        <f ca="1">IFERROR(__xludf.DUMMYFUNCTION("""COMPUTED_VALUE"""),38007)</f>
        <v>38007</v>
      </c>
      <c r="F2328" s="8" t="str">
        <f ca="1">IFERROR(__xludf.DUMMYFUNCTION("""COMPUTED_VALUE"""),"Fay Galloway Elementary School")</f>
        <v>Fay Galloway Elementary School</v>
      </c>
      <c r="G2328" s="8">
        <f ca="1">IFERROR(__xludf.DUMMYFUNCTION("""COMPUTED_VALUE"""),1)</f>
        <v>1</v>
      </c>
      <c r="H2328" s="8">
        <f ca="1">IFERROR(__xludf.DUMMYFUNCTION("""COMPUTED_VALUE"""),0)</f>
        <v>0</v>
      </c>
      <c r="I2328" s="8">
        <f ca="1">IFERROR(__xludf.DUMMYFUNCTION("""COMPUTED_VALUE"""),1)</f>
        <v>1</v>
      </c>
      <c r="J2328" s="8">
        <f ca="1">IFERROR(__xludf.DUMMYFUNCTION("""COMPUTED_VALUE"""),1)</f>
        <v>1</v>
      </c>
      <c r="K2328" s="10" t="str">
        <f ca="1">IFERROR(__xludf.DUMMYFUNCTION("""COMPUTED_VALUE"""),"https://lasvegassun.com/news/2004/feb/27/inquest-begins-in-shooting-at-elementary-school/")</f>
        <v>https://lasvegassun.com/news/2004/feb/27/inquest-begins-in-shooting-at-elementary-school/</v>
      </c>
      <c r="L2328" s="8">
        <f ca="1">IFERROR(__xludf.DUMMYFUNCTION("""COMPUTED_VALUE"""),3)</f>
        <v>3</v>
      </c>
      <c r="M2328" s="8" t="str">
        <f ca="1">IFERROR(__xludf.DUMMYFUNCTION("""COMPUTED_VALUE"""),"Local")</f>
        <v>Local</v>
      </c>
      <c r="N2328" s="8">
        <f ca="1">IFERROR(__xludf.DUMMYFUNCTION("""COMPUTED_VALUE"""),2)</f>
        <v>2</v>
      </c>
      <c r="O2328" s="8" t="str">
        <f ca="1">IFERROR(__xludf.DUMMYFUNCTION("""COMPUTED_VALUE"""),"Winter")</f>
        <v>Winter</v>
      </c>
      <c r="P2328" s="8" t="str">
        <f ca="1">IFERROR(__xludf.DUMMYFUNCTION("""COMPUTED_VALUE"""),"Henderson")</f>
        <v>Henderson</v>
      </c>
      <c r="Q2328" s="8" t="str">
        <f ca="1">IFERROR(__xludf.DUMMYFUNCTION("""COMPUTED_VALUE"""),"NV")</f>
        <v>NV</v>
      </c>
      <c r="R2328" s="8" t="str">
        <f ca="1">IFERROR(__xludf.DUMMYFUNCTION("""COMPUTED_VALUE"""),"Elementary")</f>
        <v>Elementary</v>
      </c>
      <c r="S2328" s="8" t="str">
        <f ca="1">IFERROR(__xludf.DUMMYFUNCTION("""COMPUTED_VALUE"""),"Classroom")</f>
        <v>Classroom</v>
      </c>
      <c r="T2328" s="8" t="str">
        <f ca="1">IFERROR(__xludf.DUMMYFUNCTION("""COMPUTED_VALUE"""),"Both Inside/Outside")</f>
        <v>Both Inside/Outside</v>
      </c>
      <c r="U2328" s="8" t="str">
        <f ca="1">IFERROR(__xludf.DUMMYFUNCTION("""COMPUTED_VALUE"""),"No")</f>
        <v>No</v>
      </c>
      <c r="V2328" s="8" t="str">
        <f ca="1">IFERROR(__xludf.DUMMYFUNCTION("""COMPUTED_VALUE"""),"After School")</f>
        <v>After School</v>
      </c>
      <c r="W2328" s="11">
        <f ca="1">IFERROR(__xludf.DUMMYFUNCTION("""COMPUTED_VALUE"""),0.701388888888888)</f>
        <v>0.70138888888888795</v>
      </c>
      <c r="X2328" s="8">
        <f ca="1">IFERROR(__xludf.DUMMYFUNCTION("""COMPUTED_VALUE"""),20)</f>
        <v>20</v>
      </c>
      <c r="Y2328" s="12" t="str">
        <f ca="1">IFERROR(__xludf.DUMMYFUNCTION("""COMPUTED_VALUE"""),"Domestic, shooter killed man in parking lot and went into school looking for ex-girlfriend (teacher); took her hostage; confronted by police officer and killed")</f>
        <v>Domestic, shooter killed man in parking lot and went into school looking for ex-girlfriend (teacher); took her hostage; confronted by police officer and killed</v>
      </c>
      <c r="Z2328" s="12" t="str">
        <f ca="1">IFERROR(__xludf.DUMMYFUNCTION("""COMPUTED_VALUE"""),"Shooter had troubled relationship with an ex-girlfriend who was a teacher at the school. Shooter killed an adult male in the parking lot (likely her new boyfriend) and went into the school. Shooter took the ex-girlfriend hostage for 20 minutes before walk"&amp;"ing her out to the parking lot where he was shot and killed by a police officer investigating the shooting. Students were in the school during the incident but were not harmed.")</f>
        <v>Shooter had troubled relationship with an ex-girlfriend who was a teacher at the school. Shooter killed an adult male in the parking lot (likely her new boyfriend) and went into the school. Shooter took the ex-girlfriend hostage for 20 minutes before walking her out to the parking lot where he was shot and killed by a police officer investigating the shooting. Students were in the school during the incident but were not harmed.</v>
      </c>
      <c r="AA2328" s="8" t="str">
        <f ca="1">IFERROR(__xludf.DUMMYFUNCTION("""COMPUTED_VALUE"""),"Hostage/Standoff")</f>
        <v>Hostage/Standoff</v>
      </c>
      <c r="AB2328" s="8"/>
      <c r="AC2328" s="8" t="str">
        <f ca="1">IFERROR(__xludf.DUMMYFUNCTION("""COMPUTED_VALUE"""),"Yes")</f>
        <v>Yes</v>
      </c>
      <c r="AD2328" s="8" t="str">
        <f ca="1">IFERROR(__xludf.DUMMYFUNCTION("""COMPUTED_VALUE"""),"Victims Targeted")</f>
        <v>Victims Targeted</v>
      </c>
      <c r="AE2328" s="8" t="str">
        <f ca="1">IFERROR(__xludf.DUMMYFUNCTION("""COMPUTED_VALUE"""),"No")</f>
        <v>No</v>
      </c>
      <c r="AF2328" s="8"/>
      <c r="AG2328" s="8" t="str">
        <f ca="1">IFERROR(__xludf.DUMMYFUNCTION("""COMPUTED_VALUE"""),"Yes")</f>
        <v>Yes</v>
      </c>
      <c r="AH2328" s="8" t="str">
        <f ca="1">IFERROR(__xludf.DUMMYFUNCTION("""COMPUTED_VALUE"""),"No")</f>
        <v>No</v>
      </c>
      <c r="AI2328" s="8" t="str">
        <f ca="1">IFERROR(__xludf.DUMMYFUNCTION("""COMPUTED_VALUE"""),"No")</f>
        <v>No</v>
      </c>
      <c r="AJ2328" s="8" t="str">
        <f ca="1">IFERROR(__xludf.DUMMYFUNCTION("""COMPUTED_VALUE"""),"No")</f>
        <v>No</v>
      </c>
      <c r="AK2328" s="8" t="str">
        <f ca="1">IFERROR(__xludf.DUMMYFUNCTION("""COMPUTED_VALUE"""),"Yes")</f>
        <v>Yes</v>
      </c>
      <c r="AL2328" s="8" t="str">
        <f ca="1">IFERROR(__xludf.DUMMYFUNCTION("""COMPUTED_VALUE"""),"No")</f>
        <v>No</v>
      </c>
      <c r="AM2328" s="8" t="str">
        <f ca="1">IFERROR(__xludf.DUMMYFUNCTION("""COMPUTED_VALUE"""),"Yes")</f>
        <v>Yes</v>
      </c>
      <c r="AN2328" s="8" t="str">
        <f ca="1">IFERROR(__xludf.DUMMYFUNCTION("""COMPUTED_VALUE"""),"Multiple Rooms")</f>
        <v>Multiple Rooms</v>
      </c>
      <c r="AO2328" s="8" t="str">
        <f ca="1">IFERROR(__xludf.DUMMYFUNCTION("""COMPUTED_VALUE"""),"Yes")</f>
        <v>Yes</v>
      </c>
      <c r="AP2328" s="8" t="str">
        <f ca="1">IFERROR(__xludf.DUMMYFUNCTION("""COMPUTED_VALUE"""),"No")</f>
        <v>No</v>
      </c>
      <c r="AQ2328" s="8" t="str">
        <f ca="1">IFERROR(__xludf.DUMMYFUNCTION("""COMPUTED_VALUE"""),"Unknown")</f>
        <v>Unknown</v>
      </c>
      <c r="AR2328" s="8" t="str">
        <f ca="1">IFERROR(__xludf.DUMMYFUNCTION("""COMPUTED_VALUE"""),"NA")</f>
        <v>NA</v>
      </c>
      <c r="AS2328" s="8"/>
      <c r="AT2328" s="8" t="str">
        <f ca="1">IFERROR(__xludf.DUMMYFUNCTION("""COMPUTED_VALUE"""),"Yes")</f>
        <v>Yes</v>
      </c>
      <c r="AU2328" s="8">
        <f ca="1">IFERROR(__xludf.DUMMYFUNCTION("""COMPUTED_VALUE"""),36.007819)</f>
        <v>36.007818999999998</v>
      </c>
      <c r="AV2328" s="8">
        <f ca="1">IFERROR(__xludf.DUMMYFUNCTION("""COMPUTED_VALUE"""),-114.980142)</f>
        <v>-114.980142</v>
      </c>
      <c r="AW2328" s="8"/>
      <c r="AX2328" s="8">
        <f ca="1">IFERROR(__xludf.DUMMYFUNCTION("""COMPUTED_VALUE"""),89015)</f>
        <v>89015</v>
      </c>
    </row>
    <row r="2329" spans="1:50" ht="105" x14ac:dyDescent="0.2">
      <c r="A2329" s="8" t="str">
        <f ca="1">IFERROR(__xludf.DUMMYFUNCTION("""COMPUTED_VALUE"""),"20040115CAPOP")</f>
        <v>20040115CAPOP</v>
      </c>
      <c r="B2329" s="8">
        <f ca="1">IFERROR(__xludf.DUMMYFUNCTION("""COMPUTED_VALUE"""),1)</f>
        <v>1</v>
      </c>
      <c r="C2329" s="8">
        <f ca="1">IFERROR(__xludf.DUMMYFUNCTION("""COMPUTED_VALUE"""),15)</f>
        <v>15</v>
      </c>
      <c r="D2329" s="8">
        <f ca="1">IFERROR(__xludf.DUMMYFUNCTION("""COMPUTED_VALUE"""),2004)</f>
        <v>2004</v>
      </c>
      <c r="E2329" s="9">
        <f ca="1">IFERROR(__xludf.DUMMYFUNCTION("""COMPUTED_VALUE"""),38001)</f>
        <v>38001</v>
      </c>
      <c r="F2329" s="8" t="str">
        <f ca="1">IFERROR(__xludf.DUMMYFUNCTION("""COMPUTED_VALUE"""),"Pomona High School")</f>
        <v>Pomona High School</v>
      </c>
      <c r="G2329" s="8">
        <f ca="1">IFERROR(__xludf.DUMMYFUNCTION("""COMPUTED_VALUE"""),0)</f>
        <v>0</v>
      </c>
      <c r="H2329" s="8">
        <f ca="1">IFERROR(__xludf.DUMMYFUNCTION("""COMPUTED_VALUE"""),1)</f>
        <v>1</v>
      </c>
      <c r="I2329" s="8">
        <f ca="1">IFERROR(__xludf.DUMMYFUNCTION("""COMPUTED_VALUE"""),1)</f>
        <v>1</v>
      </c>
      <c r="J2329" s="8">
        <f ca="1">IFERROR(__xludf.DUMMYFUNCTION("""COMPUTED_VALUE"""),0)</f>
        <v>0</v>
      </c>
      <c r="K2329" s="10" t="str">
        <f ca="1">IFERROR(__xludf.DUMMYFUNCTION("""COMPUTED_VALUE"""),"https://www.newspapers.com/image/192733466/?terms=Pomona%2BHigh%2BSchool%2Bstudent%2Bshot")</f>
        <v>https://www.newspapers.com/image/192733466/?terms=Pomona%2BHigh%2BSchool%2Bstudent%2Bshot</v>
      </c>
      <c r="L2329" s="8"/>
      <c r="M2329" s="8"/>
      <c r="N2329" s="8">
        <f ca="1">IFERROR(__xludf.DUMMYFUNCTION("""COMPUTED_VALUE"""),2)</f>
        <v>2</v>
      </c>
      <c r="O2329" s="8" t="str">
        <f ca="1">IFERROR(__xludf.DUMMYFUNCTION("""COMPUTED_VALUE"""),"Winter")</f>
        <v>Winter</v>
      </c>
      <c r="P2329" s="8" t="str">
        <f ca="1">IFERROR(__xludf.DUMMYFUNCTION("""COMPUTED_VALUE"""),"Pomona")</f>
        <v>Pomona</v>
      </c>
      <c r="Q2329" s="8" t="str">
        <f ca="1">IFERROR(__xludf.DUMMYFUNCTION("""COMPUTED_VALUE"""),"CA")</f>
        <v>CA</v>
      </c>
      <c r="R2329" s="8" t="str">
        <f ca="1">IFERROR(__xludf.DUMMYFUNCTION("""COMPUTED_VALUE"""),"High")</f>
        <v>High</v>
      </c>
      <c r="S2329" s="8" t="str">
        <f ca="1">IFERROR(__xludf.DUMMYFUNCTION("""COMPUTED_VALUE"""),"Classroom")</f>
        <v>Classroom</v>
      </c>
      <c r="T2329" s="8" t="str">
        <f ca="1">IFERROR(__xludf.DUMMYFUNCTION("""COMPUTED_VALUE"""),"Inside School Building")</f>
        <v>Inside School Building</v>
      </c>
      <c r="U2329" s="8" t="str">
        <f ca="1">IFERROR(__xludf.DUMMYFUNCTION("""COMPUTED_VALUE"""),"Yes")</f>
        <v>Yes</v>
      </c>
      <c r="V2329" s="8" t="str">
        <f ca="1">IFERROR(__xludf.DUMMYFUNCTION("""COMPUTED_VALUE"""),"Morning Classes")</f>
        <v>Morning Classes</v>
      </c>
      <c r="W2329" s="8"/>
      <c r="X2329" s="8">
        <f ca="1">IFERROR(__xludf.DUMMYFUNCTION("""COMPUTED_VALUE"""),1)</f>
        <v>1</v>
      </c>
      <c r="Y2329" s="12" t="str">
        <f ca="1">IFERROR(__xludf.DUMMYFUNCTION("""COMPUTED_VALUE"""),"Students passing .22 pistol, went off, female student shot but didn't notice pain until later, teacher thought it was firecracker")</f>
        <v>Students passing .22 pistol, went off, female student shot but didn't notice pain until later, teacher thought it was firecracker</v>
      </c>
      <c r="Z2329" s="12" t="str">
        <f ca="1">IFERROR(__xludf.DUMMYFUNCTION("""COMPUTED_VALUE"""),"Two 17YOM students were passing a .22 pistol in the classroom. The gun went off striking a 16YOF student. She did not immediately realize she had been struck, later determined the bullet was 2"" from her heart. Teacher thought a firecracker went off. Wasn"&amp;"'t determined to be a shooting until later. Student holding the gun was arrested later.")</f>
        <v>Two 17YOM students were passing a .22 pistol in the classroom. The gun went off striking a 16YOF student. She did not immediately realize she had been struck, later determined the bullet was 2" from her heart. Teacher thought a firecracker went off. Wasn't determined to be a shooting until later. Student holding the gun was arrested later.</v>
      </c>
      <c r="AA2329" s="8" t="str">
        <f ca="1">IFERROR(__xludf.DUMMYFUNCTION("""COMPUTED_VALUE"""),"Accidental")</f>
        <v>Accidental</v>
      </c>
      <c r="AB2329" s="8"/>
      <c r="AC2329" s="8"/>
      <c r="AD2329" s="8" t="str">
        <f ca="1">IFERROR(__xludf.DUMMYFUNCTION("""COMPUTED_VALUE"""),"Random Shooting")</f>
        <v>Random Shooting</v>
      </c>
      <c r="AE2329" s="8" t="str">
        <f ca="1">IFERROR(__xludf.DUMMYFUNCTION("""COMPUTED_VALUE"""),"Yes")</f>
        <v>Yes</v>
      </c>
      <c r="AF2329" s="8" t="str">
        <f ca="1">IFERROR(__xludf.DUMMYFUNCTION("""COMPUTED_VALUE"""),"Passing the gun to another student when it went off")</f>
        <v>Passing the gun to another student when it went off</v>
      </c>
      <c r="AG2329" s="8" t="str">
        <f ca="1">IFERROR(__xludf.DUMMYFUNCTION("""COMPUTED_VALUE"""),"No")</f>
        <v>No</v>
      </c>
      <c r="AH2329" s="8" t="str">
        <f ca="1">IFERROR(__xludf.DUMMYFUNCTION("""COMPUTED_VALUE"""),"No")</f>
        <v>No</v>
      </c>
      <c r="AI2329" s="8" t="str">
        <f ca="1">IFERROR(__xludf.DUMMYFUNCTION("""COMPUTED_VALUE"""),"No")</f>
        <v>No</v>
      </c>
      <c r="AJ2329" s="8" t="str">
        <f ca="1">IFERROR(__xludf.DUMMYFUNCTION("""COMPUTED_VALUE"""),"No")</f>
        <v>No</v>
      </c>
      <c r="AK2329" s="8" t="str">
        <f ca="1">IFERROR(__xludf.DUMMYFUNCTION("""COMPUTED_VALUE"""),"No")</f>
        <v>No</v>
      </c>
      <c r="AL2329" s="8" t="str">
        <f ca="1">IFERROR(__xludf.DUMMYFUNCTION("""COMPUTED_VALUE"""),"No")</f>
        <v>No</v>
      </c>
      <c r="AM2329" s="8"/>
      <c r="AN2329" s="8"/>
      <c r="AO2329" s="8" t="str">
        <f ca="1">IFERROR(__xludf.DUMMYFUNCTION("""COMPUTED_VALUE"""),"No")</f>
        <v>No</v>
      </c>
      <c r="AP2329" s="8"/>
      <c r="AQ2329" s="8" t="str">
        <f ca="1">IFERROR(__xludf.DUMMYFUNCTION("""COMPUTED_VALUE"""),"Unknown")</f>
        <v>Unknown</v>
      </c>
      <c r="AR2329" s="8" t="str">
        <f ca="1">IFERROR(__xludf.DUMMYFUNCTION("""COMPUTED_VALUE"""),"NA")</f>
        <v>NA</v>
      </c>
      <c r="AS2329" s="8">
        <f ca="1">IFERROR(__xludf.DUMMYFUNCTION("""COMPUTED_VALUE"""),1)</f>
        <v>1</v>
      </c>
      <c r="AT2329" s="8"/>
      <c r="AU2329" s="8">
        <f ca="1">IFERROR(__xludf.DUMMYFUNCTION("""COMPUTED_VALUE"""),34.084671)</f>
        <v>34.084671</v>
      </c>
      <c r="AV2329" s="8">
        <f ca="1">IFERROR(__xludf.DUMMYFUNCTION("""COMPUTED_VALUE"""),-117.74161)</f>
        <v>-117.74160999999999</v>
      </c>
      <c r="AW2329" s="8"/>
      <c r="AX2329" s="8">
        <f ca="1">IFERROR(__xludf.DUMMYFUNCTION("""COMPUTED_VALUE"""),91767)</f>
        <v>91767</v>
      </c>
    </row>
    <row r="2330" spans="1:50" ht="60" x14ac:dyDescent="0.2">
      <c r="A2330" s="8" t="str">
        <f ca="1">IFERROR(__xludf.DUMMYFUNCTION("""COMPUTED_VALUE"""),"20031229FLABE")</f>
        <v>20031229FLABE</v>
      </c>
      <c r="B2330" s="8">
        <f ca="1">IFERROR(__xludf.DUMMYFUNCTION("""COMPUTED_VALUE"""),12)</f>
        <v>12</v>
      </c>
      <c r="C2330" s="8">
        <f ca="1">IFERROR(__xludf.DUMMYFUNCTION("""COMPUTED_VALUE"""),29)</f>
        <v>29</v>
      </c>
      <c r="D2330" s="8">
        <f ca="1">IFERROR(__xludf.DUMMYFUNCTION("""COMPUTED_VALUE"""),2003)</f>
        <v>2003</v>
      </c>
      <c r="E2330" s="9">
        <f ca="1">IFERROR(__xludf.DUMMYFUNCTION("""COMPUTED_VALUE"""),37984)</f>
        <v>37984</v>
      </c>
      <c r="F2330" s="8" t="str">
        <f ca="1">IFERROR(__xludf.DUMMYFUNCTION("""COMPUTED_VALUE"""),"Abess Park Elementary School")</f>
        <v>Abess Park Elementary School</v>
      </c>
      <c r="G2330" s="8">
        <f ca="1">IFERROR(__xludf.DUMMYFUNCTION("""COMPUTED_VALUE"""),1)</f>
        <v>1</v>
      </c>
      <c r="H2330" s="8">
        <f ca="1">IFERROR(__xludf.DUMMYFUNCTION("""COMPUTED_VALUE"""),1)</f>
        <v>1</v>
      </c>
      <c r="I2330" s="8">
        <f ca="1">IFERROR(__xludf.DUMMYFUNCTION("""COMPUTED_VALUE"""),2)</f>
        <v>2</v>
      </c>
      <c r="J2330" s="8">
        <f ca="1">IFERROR(__xludf.DUMMYFUNCTION("""COMPUTED_VALUE"""),0)</f>
        <v>0</v>
      </c>
      <c r="K2330" s="10" t="str">
        <f ca="1">IFERROR(__xludf.DUMMYFUNCTION("""COMPUTED_VALUE"""),"https://www.news4jax.com/news/two-brothers-arrested-for-school-lot-shooting")</f>
        <v>https://www.news4jax.com/news/two-brothers-arrested-for-school-lot-shooting</v>
      </c>
      <c r="L2330" s="8"/>
      <c r="M2330" s="8"/>
      <c r="N2330" s="8">
        <f ca="1">IFERROR(__xludf.DUMMYFUNCTION("""COMPUTED_VALUE"""),2)</f>
        <v>2</v>
      </c>
      <c r="O2330" s="8" t="str">
        <f ca="1">IFERROR(__xludf.DUMMYFUNCTION("""COMPUTED_VALUE"""),"Winter")</f>
        <v>Winter</v>
      </c>
      <c r="P2330" s="8" t="str">
        <f ca="1">IFERROR(__xludf.DUMMYFUNCTION("""COMPUTED_VALUE"""),"East Arlington")</f>
        <v>East Arlington</v>
      </c>
      <c r="Q2330" s="8" t="str">
        <f ca="1">IFERROR(__xludf.DUMMYFUNCTION("""COMPUTED_VALUE"""),"FL")</f>
        <v>FL</v>
      </c>
      <c r="R2330" s="8" t="str">
        <f ca="1">IFERROR(__xludf.DUMMYFUNCTION("""COMPUTED_VALUE"""),"Elementary")</f>
        <v>Elementary</v>
      </c>
      <c r="S2330" s="8" t="str">
        <f ca="1">IFERROR(__xludf.DUMMYFUNCTION("""COMPUTED_VALUE"""),"Parking Lot")</f>
        <v>Parking Lot</v>
      </c>
      <c r="T2330" s="8" t="str">
        <f ca="1">IFERROR(__xludf.DUMMYFUNCTION("""COMPUTED_VALUE"""),"Outside on School Property")</f>
        <v>Outside on School Property</v>
      </c>
      <c r="U2330" s="8" t="str">
        <f ca="1">IFERROR(__xludf.DUMMYFUNCTION("""COMPUTED_VALUE"""),"No")</f>
        <v>No</v>
      </c>
      <c r="V2330" s="8" t="str">
        <f ca="1">IFERROR(__xludf.DUMMYFUNCTION("""COMPUTED_VALUE"""),"Night")</f>
        <v>Night</v>
      </c>
      <c r="W2330" s="11">
        <f ca="1">IFERROR(__xludf.DUMMYFUNCTION("""COMPUTED_VALUE"""),0.166666666666666)</f>
        <v>0.16666666666666599</v>
      </c>
      <c r="X2330" s="8">
        <f ca="1">IFERROR(__xludf.DUMMYFUNCTION("""COMPUTED_VALUE"""),1)</f>
        <v>1</v>
      </c>
      <c r="Y2330" s="12" t="str">
        <f ca="1">IFERROR(__xludf.DUMMYFUNCTION("""COMPUTED_VALUE"""),"Shooting between rival gangs in school parking lot")</f>
        <v>Shooting between rival gangs in school parking lot</v>
      </c>
      <c r="Z2330" s="12" t="str">
        <f ca="1">IFERROR(__xludf.DUMMYFUNCTION("""COMPUTED_VALUE"""),"Shooter fired 15 shots at rival gang members in car parked in the school parking lot killing one and injuring one. Shooter then shot himself to make it appear that it was self defense and had his brother drive him to the hospital.")</f>
        <v>Shooter fired 15 shots at rival gang members in car parked in the school parking lot killing one and injuring one. Shooter then shot himself to make it appear that it was self defense and had his brother drive him to the hospital.</v>
      </c>
      <c r="AA2330" s="8" t="str">
        <f ca="1">IFERROR(__xludf.DUMMYFUNCTION("""COMPUTED_VALUE"""),"Escalation of Dispute")</f>
        <v>Escalation of Dispute</v>
      </c>
      <c r="AB2330" s="8"/>
      <c r="AC2330" s="8"/>
      <c r="AD2330" s="8" t="str">
        <f ca="1">IFERROR(__xludf.DUMMYFUNCTION("""COMPUTED_VALUE"""),"Victims Targeted")</f>
        <v>Victims Targeted</v>
      </c>
      <c r="AE2330" s="8" t="str">
        <f ca="1">IFERROR(__xludf.DUMMYFUNCTION("""COMPUTED_VALUE"""),"Yes")</f>
        <v>Yes</v>
      </c>
      <c r="AF2330" s="8" t="str">
        <f ca="1">IFERROR(__xludf.DUMMYFUNCTION("""COMPUTED_VALUE"""),"Brother was with him during shooting and drove him to hospital")</f>
        <v>Brother was with him during shooting and drove him to hospital</v>
      </c>
      <c r="AG2330" s="8" t="str">
        <f ca="1">IFERROR(__xludf.DUMMYFUNCTION("""COMPUTED_VALUE"""),"No")</f>
        <v>No</v>
      </c>
      <c r="AH2330" s="8" t="str">
        <f ca="1">IFERROR(__xludf.DUMMYFUNCTION("""COMPUTED_VALUE"""),"No")</f>
        <v>No</v>
      </c>
      <c r="AI2330" s="8" t="str">
        <f ca="1">IFERROR(__xludf.DUMMYFUNCTION("""COMPUTED_VALUE"""),"No")</f>
        <v>No</v>
      </c>
      <c r="AJ2330" s="8" t="str">
        <f ca="1">IFERROR(__xludf.DUMMYFUNCTION("""COMPUTED_VALUE"""),"No")</f>
        <v>No</v>
      </c>
      <c r="AK2330" s="8" t="str">
        <f ca="1">IFERROR(__xludf.DUMMYFUNCTION("""COMPUTED_VALUE"""),"No")</f>
        <v>No</v>
      </c>
      <c r="AL2330" s="8" t="str">
        <f ca="1">IFERROR(__xludf.DUMMYFUNCTION("""COMPUTED_VALUE"""),"Yes")</f>
        <v>Yes</v>
      </c>
      <c r="AM2330" s="8"/>
      <c r="AN2330" s="8"/>
      <c r="AO2330" s="8" t="str">
        <f ca="1">IFERROR(__xludf.DUMMYFUNCTION("""COMPUTED_VALUE"""),"No")</f>
        <v>No</v>
      </c>
      <c r="AP2330" s="8"/>
      <c r="AQ2330" s="8" t="str">
        <f ca="1">IFERROR(__xludf.DUMMYFUNCTION("""COMPUTED_VALUE"""),"Unknown")</f>
        <v>Unknown</v>
      </c>
      <c r="AR2330" s="8" t="str">
        <f ca="1">IFERROR(__xludf.DUMMYFUNCTION("""COMPUTED_VALUE"""),"NA")</f>
        <v>NA</v>
      </c>
      <c r="AS2330" s="8">
        <f ca="1">IFERROR(__xludf.DUMMYFUNCTION("""COMPUTED_VALUE"""),15)</f>
        <v>15</v>
      </c>
      <c r="AT2330" s="8"/>
      <c r="AU2330" s="8">
        <f ca="1">IFERROR(__xludf.DUMMYFUNCTION("""COMPUTED_VALUE"""),30.322751)</f>
        <v>30.322751</v>
      </c>
      <c r="AV2330" s="8">
        <f ca="1">IFERROR(__xludf.DUMMYFUNCTION("""COMPUTED_VALUE"""),-81.477394)</f>
        <v>-81.477394000000004</v>
      </c>
      <c r="AW2330" s="8"/>
      <c r="AX2330" s="8">
        <f ca="1">IFERROR(__xludf.DUMMYFUNCTION("""COMPUTED_VALUE"""),32246)</f>
        <v>32246</v>
      </c>
    </row>
    <row r="2331" spans="1:50" ht="90" x14ac:dyDescent="0.2">
      <c r="A2331" s="8" t="str">
        <f ca="1">IFERROR(__xludf.DUMMYFUNCTION("""COMPUTED_VALUE"""),"20031222NJCOW")</f>
        <v>20031222NJCOW</v>
      </c>
      <c r="B2331" s="8">
        <f ca="1">IFERROR(__xludf.DUMMYFUNCTION("""COMPUTED_VALUE"""),12)</f>
        <v>12</v>
      </c>
      <c r="C2331" s="8">
        <f ca="1">IFERROR(__xludf.DUMMYFUNCTION("""COMPUTED_VALUE"""),22)</f>
        <v>22</v>
      </c>
      <c r="D2331" s="8">
        <f ca="1">IFERROR(__xludf.DUMMYFUNCTION("""COMPUTED_VALUE"""),2003)</f>
        <v>2003</v>
      </c>
      <c r="E2331" s="9">
        <f ca="1">IFERROR(__xludf.DUMMYFUNCTION("""COMPUTED_VALUE"""),37977)</f>
        <v>37977</v>
      </c>
      <c r="F2331" s="8" t="str">
        <f ca="1">IFERROR(__xludf.DUMMYFUNCTION("""COMPUTED_VALUE"""),"Colonia High School")</f>
        <v>Colonia High School</v>
      </c>
      <c r="G2331" s="8">
        <f ca="1">IFERROR(__xludf.DUMMYFUNCTION("""COMPUTED_VALUE"""),0)</f>
        <v>0</v>
      </c>
      <c r="H2331" s="8">
        <f ca="1">IFERROR(__xludf.DUMMYFUNCTION("""COMPUTED_VALUE"""),1)</f>
        <v>1</v>
      </c>
      <c r="I2331" s="8">
        <f ca="1">IFERROR(__xludf.DUMMYFUNCTION("""COMPUTED_VALUE"""),1)</f>
        <v>1</v>
      </c>
      <c r="J2331" s="8">
        <f ca="1">IFERROR(__xludf.DUMMYFUNCTION("""COMPUTED_VALUE"""),0)</f>
        <v>0</v>
      </c>
      <c r="K2331" s="10" t="str">
        <f ca="1">IFERROR(__xludf.DUMMYFUNCTION("""COMPUTED_VALUE"""),"https://www.newspapers.com/image/225032236/?terms=Colonia%2BHigh%2BSchool%2Bhandgun")</f>
        <v>https://www.newspapers.com/image/225032236/?terms=Colonia%2BHigh%2BSchool%2Bhandgun</v>
      </c>
      <c r="L2331" s="8"/>
      <c r="M2331" s="8"/>
      <c r="N2331" s="8">
        <f ca="1">IFERROR(__xludf.DUMMYFUNCTION("""COMPUTED_VALUE"""),2)</f>
        <v>2</v>
      </c>
      <c r="O2331" s="8" t="str">
        <f ca="1">IFERROR(__xludf.DUMMYFUNCTION("""COMPUTED_VALUE"""),"Winter")</f>
        <v>Winter</v>
      </c>
      <c r="P2331" s="8" t="str">
        <f ca="1">IFERROR(__xludf.DUMMYFUNCTION("""COMPUTED_VALUE"""),"Woodbridge")</f>
        <v>Woodbridge</v>
      </c>
      <c r="Q2331" s="8" t="str">
        <f ca="1">IFERROR(__xludf.DUMMYFUNCTION("""COMPUTED_VALUE"""),"NJ")</f>
        <v>NJ</v>
      </c>
      <c r="R2331" s="8" t="str">
        <f ca="1">IFERROR(__xludf.DUMMYFUNCTION("""COMPUTED_VALUE"""),"High")</f>
        <v>High</v>
      </c>
      <c r="S2331" s="8" t="str">
        <f ca="1">IFERROR(__xludf.DUMMYFUNCTION("""COMPUTED_VALUE"""),"Parking Lot")</f>
        <v>Parking Lot</v>
      </c>
      <c r="T2331" s="8" t="str">
        <f ca="1">IFERROR(__xludf.DUMMYFUNCTION("""COMPUTED_VALUE"""),"Outside on School Property")</f>
        <v>Outside on School Property</v>
      </c>
      <c r="U2331" s="8" t="str">
        <f ca="1">IFERROR(__xludf.DUMMYFUNCTION("""COMPUTED_VALUE"""),"No")</f>
        <v>No</v>
      </c>
      <c r="V2331" s="8" t="str">
        <f ca="1">IFERROR(__xludf.DUMMYFUNCTION("""COMPUTED_VALUE"""),"Evening")</f>
        <v>Evening</v>
      </c>
      <c r="W2331" s="11">
        <f ca="1">IFERROR(__xludf.DUMMYFUNCTION("""COMPUTED_VALUE"""),0.916666666666666)</f>
        <v>0.91666666666666596</v>
      </c>
      <c r="X2331" s="8">
        <f ca="1">IFERROR(__xludf.DUMMYFUNCTION("""COMPUTED_VALUE"""),1)</f>
        <v>1</v>
      </c>
      <c r="Y2331" s="12" t="str">
        <f ca="1">IFERROR(__xludf.DUMMYFUNCTION("""COMPUTED_VALUE"""),"Drive-by in school parking lot, Ongoing dispute with target")</f>
        <v>Drive-by in school parking lot, Ongoing dispute with target</v>
      </c>
      <c r="Z2331" s="12" t="str">
        <f ca="1">IFERROR(__xludf.DUMMYFUNCTION("""COMPUTED_VALUE"""),"Shooter and 2 others in a vehicle fired +20 rounds from a Tec-9 machine gun at a 18YOM in a vehicle with 3 of people in the school parking lot. A basketball game had recently ended but police said the shooting was not related to it. The shooter had an ong"&amp;"oing dispute with the target. The shooter fled the scene in the vehicle and was later arrested.")</f>
        <v>Shooter and 2 others in a vehicle fired +20 rounds from a Tec-9 machine gun at a 18YOM in a vehicle with 3 of people in the school parking lot. A basketball game had recently ended but police said the shooting was not related to it. The shooter had an ongoing dispute with the target. The shooter fled the scene in the vehicle and was later arrested.</v>
      </c>
      <c r="AA2331" s="8" t="str">
        <f ca="1">IFERROR(__xludf.DUMMYFUNCTION("""COMPUTED_VALUE"""),"Drive-by Shooting")</f>
        <v>Drive-by Shooting</v>
      </c>
      <c r="AB2331" s="8"/>
      <c r="AC2331" s="8"/>
      <c r="AD2331" s="8" t="str">
        <f ca="1">IFERROR(__xludf.DUMMYFUNCTION("""COMPUTED_VALUE"""),"Victims Targeted")</f>
        <v>Victims Targeted</v>
      </c>
      <c r="AE2331" s="8" t="str">
        <f ca="1">IFERROR(__xludf.DUMMYFUNCTION("""COMPUTED_VALUE"""),"Yes")</f>
        <v>Yes</v>
      </c>
      <c r="AF2331" s="8" t="str">
        <f ca="1">IFERROR(__xludf.DUMMYFUNCTION("""COMPUTED_VALUE"""),"3 others in vehicle with shooter during the shooting")</f>
        <v>3 others in vehicle with shooter during the shooting</v>
      </c>
      <c r="AG2331" s="8" t="str">
        <f ca="1">IFERROR(__xludf.DUMMYFUNCTION("""COMPUTED_VALUE"""),"No")</f>
        <v>No</v>
      </c>
      <c r="AH2331" s="8" t="str">
        <f ca="1">IFERROR(__xludf.DUMMYFUNCTION("""COMPUTED_VALUE"""),"No")</f>
        <v>No</v>
      </c>
      <c r="AI2331" s="8" t="str">
        <f ca="1">IFERROR(__xludf.DUMMYFUNCTION("""COMPUTED_VALUE"""),"No")</f>
        <v>No</v>
      </c>
      <c r="AJ2331" s="8" t="str">
        <f ca="1">IFERROR(__xludf.DUMMYFUNCTION("""COMPUTED_VALUE"""),"No")</f>
        <v>No</v>
      </c>
      <c r="AK2331" s="8" t="str">
        <f ca="1">IFERROR(__xludf.DUMMYFUNCTION("""COMPUTED_VALUE"""),"No")</f>
        <v>No</v>
      </c>
      <c r="AL2331" s="8" t="str">
        <f ca="1">IFERROR(__xludf.DUMMYFUNCTION("""COMPUTED_VALUE"""),"No")</f>
        <v>No</v>
      </c>
      <c r="AM2331" s="8"/>
      <c r="AN2331" s="8"/>
      <c r="AO2331" s="8" t="str">
        <f ca="1">IFERROR(__xludf.DUMMYFUNCTION("""COMPUTED_VALUE"""),"No")</f>
        <v>No</v>
      </c>
      <c r="AP2331" s="8"/>
      <c r="AQ2331" s="8" t="str">
        <f ca="1">IFERROR(__xludf.DUMMYFUNCTION("""COMPUTED_VALUE"""),"Unknown")</f>
        <v>Unknown</v>
      </c>
      <c r="AR2331" s="8" t="str">
        <f ca="1">IFERROR(__xludf.DUMMYFUNCTION("""COMPUTED_VALUE"""),"NA")</f>
        <v>NA</v>
      </c>
      <c r="AS2331" s="8" t="str">
        <f ca="1">IFERROR(__xludf.DUMMYFUNCTION("""COMPUTED_VALUE"""),"&gt;20")</f>
        <v>&gt;20</v>
      </c>
      <c r="AT2331" s="8"/>
      <c r="AU2331" s="8">
        <f ca="1">IFERROR(__xludf.DUMMYFUNCTION("""COMPUTED_VALUE"""),40.59176)</f>
        <v>40.591760000000001</v>
      </c>
      <c r="AV2331" s="8">
        <f ca="1">IFERROR(__xludf.DUMMYFUNCTION("""COMPUTED_VALUE"""),-74.320551)</f>
        <v>-74.320550999999995</v>
      </c>
      <c r="AW2331" s="8"/>
      <c r="AX2331" s="8">
        <f ca="1">IFERROR(__xludf.DUMMYFUNCTION("""COMPUTED_VALUE"""),7067)</f>
        <v>7067</v>
      </c>
    </row>
    <row r="2332" spans="1:50" ht="75" x14ac:dyDescent="0.2">
      <c r="A2332" s="8" t="str">
        <f ca="1">IFERROR(__xludf.DUMMYFUNCTION("""COMPUTED_VALUE"""),"20031217MDOLM")</f>
        <v>20031217MDOLM</v>
      </c>
      <c r="B2332" s="8">
        <f ca="1">IFERROR(__xludf.DUMMYFUNCTION("""COMPUTED_VALUE"""),12)</f>
        <v>12</v>
      </c>
      <c r="C2332" s="8">
        <f ca="1">IFERROR(__xludf.DUMMYFUNCTION("""COMPUTED_VALUE"""),17)</f>
        <v>17</v>
      </c>
      <c r="D2332" s="8">
        <f ca="1">IFERROR(__xludf.DUMMYFUNCTION("""COMPUTED_VALUE"""),2003)</f>
        <v>2003</v>
      </c>
      <c r="E2332" s="9">
        <f ca="1">IFERROR(__xludf.DUMMYFUNCTION("""COMPUTED_VALUE"""),37972)</f>
        <v>37972</v>
      </c>
      <c r="F2332" s="8" t="str">
        <f ca="1">IFERROR(__xludf.DUMMYFUNCTION("""COMPUTED_VALUE"""),"Old Mill High School")</f>
        <v>Old Mill High School</v>
      </c>
      <c r="G2332" s="8">
        <f ca="1">IFERROR(__xludf.DUMMYFUNCTION("""COMPUTED_VALUE"""),0)</f>
        <v>0</v>
      </c>
      <c r="H2332" s="8">
        <f ca="1">IFERROR(__xludf.DUMMYFUNCTION("""COMPUTED_VALUE"""),0)</f>
        <v>0</v>
      </c>
      <c r="I2332" s="8">
        <f ca="1">IFERROR(__xludf.DUMMYFUNCTION("""COMPUTED_VALUE"""),0)</f>
        <v>0</v>
      </c>
      <c r="J2332" s="8">
        <f ca="1">IFERROR(__xludf.DUMMYFUNCTION("""COMPUTED_VALUE"""),0)</f>
        <v>0</v>
      </c>
      <c r="K2332" s="10" t="str">
        <f ca="1">IFERROR(__xludf.DUMMYFUNCTION("""COMPUTED_VALUE"""),"http://articles.baltimoresun.com/2003-12-18/news/0312180341_1_two-middle-schools-school-officials-mill-high")</f>
        <v>http://articles.baltimoresun.com/2003-12-18/news/0312180341_1_two-middle-schools-school-officials-mill-high</v>
      </c>
      <c r="L2332" s="8"/>
      <c r="M2332" s="8"/>
      <c r="N2332" s="8">
        <f ca="1">IFERROR(__xludf.DUMMYFUNCTION("""COMPUTED_VALUE"""),2)</f>
        <v>2</v>
      </c>
      <c r="O2332" s="8" t="str">
        <f ca="1">IFERROR(__xludf.DUMMYFUNCTION("""COMPUTED_VALUE"""),"Winter")</f>
        <v>Winter</v>
      </c>
      <c r="P2332" s="8" t="str">
        <f ca="1">IFERROR(__xludf.DUMMYFUNCTION("""COMPUTED_VALUE"""),"Millersville")</f>
        <v>Millersville</v>
      </c>
      <c r="Q2332" s="8" t="str">
        <f ca="1">IFERROR(__xludf.DUMMYFUNCTION("""COMPUTED_VALUE"""),"MD")</f>
        <v>MD</v>
      </c>
      <c r="R2332" s="8" t="str">
        <f ca="1">IFERROR(__xludf.DUMMYFUNCTION("""COMPUTED_VALUE"""),"High")</f>
        <v>High</v>
      </c>
      <c r="S2332" s="8" t="str">
        <f ca="1">IFERROR(__xludf.DUMMYFUNCTION("""COMPUTED_VALUE"""),"Bathroom")</f>
        <v>Bathroom</v>
      </c>
      <c r="T2332" s="8" t="str">
        <f ca="1">IFERROR(__xludf.DUMMYFUNCTION("""COMPUTED_VALUE"""),"Inside School Building")</f>
        <v>Inside School Building</v>
      </c>
      <c r="U2332" s="8" t="str">
        <f ca="1">IFERROR(__xludf.DUMMYFUNCTION("""COMPUTED_VALUE"""),"Yes")</f>
        <v>Yes</v>
      </c>
      <c r="V2332" s="8" t="str">
        <f ca="1">IFERROR(__xludf.DUMMYFUNCTION("""COMPUTED_VALUE"""),"Morning Classes")</f>
        <v>Morning Classes</v>
      </c>
      <c r="W2332" s="8"/>
      <c r="X2332" s="8">
        <f ca="1">IFERROR(__xludf.DUMMYFUNCTION("""COMPUTED_VALUE"""),1)</f>
        <v>1</v>
      </c>
      <c r="Y2332" s="12" t="str">
        <f ca="1">IFERROR(__xludf.DUMMYFUNCTION("""COMPUTED_VALUE"""),"Shot fired in bathroom by unknown shooter, gun found in stall, no suspect")</f>
        <v>Shot fired in bathroom by unknown shooter, gun found in stall, no suspect</v>
      </c>
      <c r="Z2332" s="12" t="str">
        <f ca="1">IFERROR(__xludf.DUMMYFUNCTION("""COMPUTED_VALUE"""),"Students and teacher heard gunshot. School was locked down. Police found a .38 revolver that had been fired in a bathroom. No suspect identified.")</f>
        <v>Students and teacher heard gunshot. School was locked down. Police found a .38 revolver that had been fired in a bathroom. No suspect identified.</v>
      </c>
      <c r="AA2332" s="8" t="str">
        <f ca="1">IFERROR(__xludf.DUMMYFUNCTION("""COMPUTED_VALUE"""),"Accidental")</f>
        <v>Accidental</v>
      </c>
      <c r="AB2332" s="8"/>
      <c r="AC2332" s="8"/>
      <c r="AD2332" s="8"/>
      <c r="AE2332" s="8" t="str">
        <f ca="1">IFERROR(__xludf.DUMMYFUNCTION("""COMPUTED_VALUE"""),"No")</f>
        <v>No</v>
      </c>
      <c r="AF2332" s="8"/>
      <c r="AG2332" s="8" t="str">
        <f ca="1">IFERROR(__xludf.DUMMYFUNCTION("""COMPUTED_VALUE"""),"No")</f>
        <v>No</v>
      </c>
      <c r="AH2332" s="8" t="str">
        <f ca="1">IFERROR(__xludf.DUMMYFUNCTION("""COMPUTED_VALUE"""),"No")</f>
        <v>No</v>
      </c>
      <c r="AI2332" s="8" t="str">
        <f ca="1">IFERROR(__xludf.DUMMYFUNCTION("""COMPUTED_VALUE"""),"No")</f>
        <v>No</v>
      </c>
      <c r="AJ2332" s="8"/>
      <c r="AK2332" s="8"/>
      <c r="AL2332" s="8" t="str">
        <f ca="1">IFERROR(__xludf.DUMMYFUNCTION("""COMPUTED_VALUE"""),"No")</f>
        <v>No</v>
      </c>
      <c r="AM2332" s="8"/>
      <c r="AN2332" s="8"/>
      <c r="AO2332" s="8"/>
      <c r="AP2332" s="8"/>
      <c r="AQ2332" s="8" t="str">
        <f ca="1">IFERROR(__xludf.DUMMYFUNCTION("""COMPUTED_VALUE"""),"Unknown")</f>
        <v>Unknown</v>
      </c>
      <c r="AR2332" s="8" t="str">
        <f ca="1">IFERROR(__xludf.DUMMYFUNCTION("""COMPUTED_VALUE"""),"NA")</f>
        <v>NA</v>
      </c>
      <c r="AS2332" s="8">
        <f ca="1">IFERROR(__xludf.DUMMYFUNCTION("""COMPUTED_VALUE"""),1)</f>
        <v>1</v>
      </c>
      <c r="AT2332" s="8"/>
      <c r="AU2332" s="8">
        <f ca="1">IFERROR(__xludf.DUMMYFUNCTION("""COMPUTED_VALUE"""),39.124094)</f>
        <v>39.124093999999999</v>
      </c>
      <c r="AV2332" s="8">
        <f ca="1">IFERROR(__xludf.DUMMYFUNCTION("""COMPUTED_VALUE"""),-76.627345)</f>
        <v>-76.627345000000005</v>
      </c>
      <c r="AW2332" s="8"/>
      <c r="AX2332" s="8">
        <f ca="1">IFERROR(__xludf.DUMMYFUNCTION("""COMPUTED_VALUE"""),21108)</f>
        <v>21108</v>
      </c>
    </row>
    <row r="2333" spans="1:50" ht="75" x14ac:dyDescent="0.2">
      <c r="A2333" s="8" t="str">
        <f ca="1">IFERROR(__xludf.DUMMYFUNCTION("""COMPUTED_VALUE"""),"20031205ILCAC")</f>
        <v>20031205ILCAC</v>
      </c>
      <c r="B2333" s="8">
        <f ca="1">IFERROR(__xludf.DUMMYFUNCTION("""COMPUTED_VALUE"""),12)</f>
        <v>12</v>
      </c>
      <c r="C2333" s="8">
        <f ca="1">IFERROR(__xludf.DUMMYFUNCTION("""COMPUTED_VALUE"""),5)</f>
        <v>5</v>
      </c>
      <c r="D2333" s="8">
        <f ca="1">IFERROR(__xludf.DUMMYFUNCTION("""COMPUTED_VALUE"""),2003)</f>
        <v>2003</v>
      </c>
      <c r="E2333" s="9">
        <f ca="1">IFERROR(__xludf.DUMMYFUNCTION("""COMPUTED_VALUE"""),37960)</f>
        <v>37960</v>
      </c>
      <c r="F2333" s="8" t="str">
        <f ca="1">IFERROR(__xludf.DUMMYFUNCTION("""COMPUTED_VALUE"""),"Carbondale Community High School")</f>
        <v>Carbondale Community High School</v>
      </c>
      <c r="G2333" s="8">
        <f ca="1">IFERROR(__xludf.DUMMYFUNCTION("""COMPUTED_VALUE"""),0)</f>
        <v>0</v>
      </c>
      <c r="H2333" s="8">
        <f ca="1">IFERROR(__xludf.DUMMYFUNCTION("""COMPUTED_VALUE"""),1)</f>
        <v>1</v>
      </c>
      <c r="I2333" s="8">
        <f ca="1">IFERROR(__xludf.DUMMYFUNCTION("""COMPUTED_VALUE"""),1)</f>
        <v>1</v>
      </c>
      <c r="J2333" s="8">
        <f ca="1">IFERROR(__xludf.DUMMYFUNCTION("""COMPUTED_VALUE"""),0)</f>
        <v>0</v>
      </c>
      <c r="K2333" s="10" t="str">
        <f ca="1">IFERROR(__xludf.DUMMYFUNCTION("""COMPUTED_VALUE"""),"https://dailyegyptian.com/27496/archives/man-shot-in-leg-cchs-game/")</f>
        <v>https://dailyegyptian.com/27496/archives/man-shot-in-leg-cchs-game/</v>
      </c>
      <c r="L2333" s="8"/>
      <c r="M2333" s="8"/>
      <c r="N2333" s="8">
        <f ca="1">IFERROR(__xludf.DUMMYFUNCTION("""COMPUTED_VALUE"""),2)</f>
        <v>2</v>
      </c>
      <c r="O2333" s="8" t="str">
        <f ca="1">IFERROR(__xludf.DUMMYFUNCTION("""COMPUTED_VALUE"""),"Winter")</f>
        <v>Winter</v>
      </c>
      <c r="P2333" s="8" t="str">
        <f ca="1">IFERROR(__xludf.DUMMYFUNCTION("""COMPUTED_VALUE"""),"Carbondale")</f>
        <v>Carbondale</v>
      </c>
      <c r="Q2333" s="8" t="str">
        <f ca="1">IFERROR(__xludf.DUMMYFUNCTION("""COMPUTED_VALUE"""),"IL")</f>
        <v>IL</v>
      </c>
      <c r="R2333" s="8" t="str">
        <f ca="1">IFERROR(__xludf.DUMMYFUNCTION("""COMPUTED_VALUE"""),"High")</f>
        <v>High</v>
      </c>
      <c r="S2333" s="8" t="str">
        <f ca="1">IFERROR(__xludf.DUMMYFUNCTION("""COMPUTED_VALUE"""),"Parking Lot")</f>
        <v>Parking Lot</v>
      </c>
      <c r="T2333" s="8" t="str">
        <f ca="1">IFERROR(__xludf.DUMMYFUNCTION("""COMPUTED_VALUE"""),"Outside on School Property")</f>
        <v>Outside on School Property</v>
      </c>
      <c r="U2333" s="8" t="str">
        <f ca="1">IFERROR(__xludf.DUMMYFUNCTION("""COMPUTED_VALUE"""),"No")</f>
        <v>No</v>
      </c>
      <c r="V2333" s="8" t="str">
        <f ca="1">IFERROR(__xludf.DUMMYFUNCTION("""COMPUTED_VALUE"""),"Sport Event")</f>
        <v>Sport Event</v>
      </c>
      <c r="W2333" s="8"/>
      <c r="X2333" s="8">
        <f ca="1">IFERROR(__xludf.DUMMYFUNCTION("""COMPUTED_VALUE"""),1)</f>
        <v>1</v>
      </c>
      <c r="Y2333" s="12" t="str">
        <f ca="1">IFERROR(__xludf.DUMMYFUNCTION("""COMPUTED_VALUE"""),"Shooting in parking lot after basketball game during argument that started in gym")</f>
        <v>Shooting in parking lot after basketball game during argument that started in gym</v>
      </c>
      <c r="Z2333" s="12" t="str">
        <f ca="1">IFERROR(__xludf.DUMMYFUNCTION("""COMPUTED_VALUE"""),"17YOM shot 33YOM football coach in the parking lot following an argument they had during a basketball game. Shooter fled but was quickly arrested by a police officer assigned to the school.")</f>
        <v>17YOM shot 33YOM football coach in the parking lot following an argument they had during a basketball game. Shooter fled but was quickly arrested by a police officer assigned to the school.</v>
      </c>
      <c r="AA2333" s="8" t="str">
        <f ca="1">IFERROR(__xludf.DUMMYFUNCTION("""COMPUTED_VALUE"""),"Escalation of Dispute")</f>
        <v>Escalation of Dispute</v>
      </c>
      <c r="AB2333" s="8"/>
      <c r="AC2333" s="8"/>
      <c r="AD2333" s="8" t="str">
        <f ca="1">IFERROR(__xludf.DUMMYFUNCTION("""COMPUTED_VALUE"""),"Victims Targeted")</f>
        <v>Victims Targeted</v>
      </c>
      <c r="AE2333" s="8" t="str">
        <f ca="1">IFERROR(__xludf.DUMMYFUNCTION("""COMPUTED_VALUE"""),"No")</f>
        <v>No</v>
      </c>
      <c r="AF2333" s="8"/>
      <c r="AG2333" s="8" t="str">
        <f ca="1">IFERROR(__xludf.DUMMYFUNCTION("""COMPUTED_VALUE"""),"No")</f>
        <v>No</v>
      </c>
      <c r="AH2333" s="8" t="str">
        <f ca="1">IFERROR(__xludf.DUMMYFUNCTION("""COMPUTED_VALUE"""),"No")</f>
        <v>No</v>
      </c>
      <c r="AI2333" s="8" t="str">
        <f ca="1">IFERROR(__xludf.DUMMYFUNCTION("""COMPUTED_VALUE"""),"No")</f>
        <v>No</v>
      </c>
      <c r="AJ2333" s="8" t="str">
        <f ca="1">IFERROR(__xludf.DUMMYFUNCTION("""COMPUTED_VALUE"""),"No")</f>
        <v>No</v>
      </c>
      <c r="AK2333" s="8" t="str">
        <f ca="1">IFERROR(__xludf.DUMMYFUNCTION("""COMPUTED_VALUE"""),"No")</f>
        <v>No</v>
      </c>
      <c r="AL2333" s="8" t="str">
        <f ca="1">IFERROR(__xludf.DUMMYFUNCTION("""COMPUTED_VALUE"""),"No")</f>
        <v>No</v>
      </c>
      <c r="AM2333" s="8"/>
      <c r="AN2333" s="8"/>
      <c r="AO2333" s="8" t="str">
        <f ca="1">IFERROR(__xludf.DUMMYFUNCTION("""COMPUTED_VALUE"""),"No")</f>
        <v>No</v>
      </c>
      <c r="AP2333" s="8"/>
      <c r="AQ2333" s="8" t="str">
        <f ca="1">IFERROR(__xludf.DUMMYFUNCTION("""COMPUTED_VALUE"""),"Unknown")</f>
        <v>Unknown</v>
      </c>
      <c r="AR2333" s="8" t="str">
        <f ca="1">IFERROR(__xludf.DUMMYFUNCTION("""COMPUTED_VALUE"""),"NA")</f>
        <v>NA</v>
      </c>
      <c r="AS2333" s="8"/>
      <c r="AT2333" s="8"/>
      <c r="AU2333" s="8">
        <f ca="1">IFERROR(__xludf.DUMMYFUNCTION("""COMPUTED_VALUE"""),37.725049)</f>
        <v>37.725048999999999</v>
      </c>
      <c r="AV2333" s="8">
        <f ca="1">IFERROR(__xludf.DUMMYFUNCTION("""COMPUTED_VALUE"""),-89.187226)</f>
        <v>-89.187225999999995</v>
      </c>
      <c r="AW2333" s="8"/>
      <c r="AX2333" s="8">
        <f ca="1">IFERROR(__xludf.DUMMYFUNCTION("""COMPUTED_VALUE"""),62901)</f>
        <v>62901</v>
      </c>
    </row>
    <row r="2334" spans="1:50" ht="75" x14ac:dyDescent="0.2">
      <c r="A2334" s="8" t="str">
        <f ca="1">IFERROR(__xludf.DUMMYFUNCTION("""COMPUTED_VALUE"""),"20031204OKDOO")</f>
        <v>20031204OKDOO</v>
      </c>
      <c r="B2334" s="8">
        <f ca="1">IFERROR(__xludf.DUMMYFUNCTION("""COMPUTED_VALUE"""),12)</f>
        <v>12</v>
      </c>
      <c r="C2334" s="8">
        <f ca="1">IFERROR(__xludf.DUMMYFUNCTION("""COMPUTED_VALUE"""),4)</f>
        <v>4</v>
      </c>
      <c r="D2334" s="8">
        <f ca="1">IFERROR(__xludf.DUMMYFUNCTION("""COMPUTED_VALUE"""),2003)</f>
        <v>2003</v>
      </c>
      <c r="E2334" s="9">
        <f ca="1">IFERROR(__xludf.DUMMYFUNCTION("""COMPUTED_VALUE"""),37959)</f>
        <v>37959</v>
      </c>
      <c r="F2334" s="8" t="str">
        <f ca="1">IFERROR(__xludf.DUMMYFUNCTION("""COMPUTED_VALUE"""),"Douglas High School")</f>
        <v>Douglas High School</v>
      </c>
      <c r="G2334" s="8">
        <f ca="1">IFERROR(__xludf.DUMMYFUNCTION("""COMPUTED_VALUE"""),0)</f>
        <v>0</v>
      </c>
      <c r="H2334" s="8">
        <f ca="1">IFERROR(__xludf.DUMMYFUNCTION("""COMPUTED_VALUE"""),1)</f>
        <v>1</v>
      </c>
      <c r="I2334" s="8">
        <f ca="1">IFERROR(__xludf.DUMMYFUNCTION("""COMPUTED_VALUE"""),1)</f>
        <v>1</v>
      </c>
      <c r="J2334" s="8">
        <f ca="1">IFERROR(__xludf.DUMMYFUNCTION("""COMPUTED_VALUE"""),0)</f>
        <v>0</v>
      </c>
      <c r="K2334" s="10" t="str">
        <f ca="1">IFERROR(__xludf.DUMMYFUNCTION("""COMPUTED_VALUE"""),"https://newsok.com/article/1961014/arrest-warrant-issued-in-high-school-shooting")</f>
        <v>https://newsok.com/article/1961014/arrest-warrant-issued-in-high-school-shooting</v>
      </c>
      <c r="L2334" s="8"/>
      <c r="M2334" s="8"/>
      <c r="N2334" s="8">
        <f ca="1">IFERROR(__xludf.DUMMYFUNCTION("""COMPUTED_VALUE"""),2)</f>
        <v>2</v>
      </c>
      <c r="O2334" s="8" t="str">
        <f ca="1">IFERROR(__xludf.DUMMYFUNCTION("""COMPUTED_VALUE"""),"Winter")</f>
        <v>Winter</v>
      </c>
      <c r="P2334" s="8" t="str">
        <f ca="1">IFERROR(__xludf.DUMMYFUNCTION("""COMPUTED_VALUE"""),"Oklahoma City")</f>
        <v>Oklahoma City</v>
      </c>
      <c r="Q2334" s="8" t="str">
        <f ca="1">IFERROR(__xludf.DUMMYFUNCTION("""COMPUTED_VALUE"""),"OK")</f>
        <v>OK</v>
      </c>
      <c r="R2334" s="8" t="str">
        <f ca="1">IFERROR(__xludf.DUMMYFUNCTION("""COMPUTED_VALUE"""),"High")</f>
        <v>High</v>
      </c>
      <c r="S2334" s="8" t="str">
        <f ca="1">IFERROR(__xludf.DUMMYFUNCTION("""COMPUTED_VALUE"""),"Beside Building")</f>
        <v>Beside Building</v>
      </c>
      <c r="T2334" s="8" t="str">
        <f ca="1">IFERROR(__xludf.DUMMYFUNCTION("""COMPUTED_VALUE"""),"Outside on School Property")</f>
        <v>Outside on School Property</v>
      </c>
      <c r="U2334" s="8" t="str">
        <f ca="1">IFERROR(__xludf.DUMMYFUNCTION("""COMPUTED_VALUE"""),"Yes")</f>
        <v>Yes</v>
      </c>
      <c r="V2334" s="8" t="str">
        <f ca="1">IFERROR(__xludf.DUMMYFUNCTION("""COMPUTED_VALUE"""),"Afternoon Classes")</f>
        <v>Afternoon Classes</v>
      </c>
      <c r="W2334" s="11">
        <f ca="1">IFERROR(__xludf.DUMMYFUNCTION("""COMPUTED_VALUE"""),0.590277777777777)</f>
        <v>0.59027777777777701</v>
      </c>
      <c r="X2334" s="8">
        <f ca="1">IFERROR(__xludf.DUMMYFUNCTION("""COMPUTED_VALUE"""),1)</f>
        <v>1</v>
      </c>
      <c r="Y2334" s="12" t="str">
        <f ca="1">IFERROR(__xludf.DUMMYFUNCTION("""COMPUTED_VALUE"""),"Fight outside school gym, shot fired striking uninvolved female student")</f>
        <v>Fight outside school gym, shot fired striking uninvolved female student</v>
      </c>
      <c r="Z2334" s="12" t="str">
        <f ca="1">IFERROR(__xludf.DUMMYFUNCTION("""COMPUTED_VALUE"""),"Single shot fired during large fight between multiple students. Female student was struck. First believed she was punched and it was later determined that she had been shot in the nose.")</f>
        <v>Single shot fired during large fight between multiple students. Female student was struck. First believed she was punched and it was later determined that she had been shot in the nose.</v>
      </c>
      <c r="AA2334" s="8" t="str">
        <f ca="1">IFERROR(__xludf.DUMMYFUNCTION("""COMPUTED_VALUE"""),"Escalation of Dispute")</f>
        <v>Escalation of Dispute</v>
      </c>
      <c r="AB2334" s="8"/>
      <c r="AC2334" s="8"/>
      <c r="AD2334" s="8" t="str">
        <f ca="1">IFERROR(__xludf.DUMMYFUNCTION("""COMPUTED_VALUE"""),"Random Shooting")</f>
        <v>Random Shooting</v>
      </c>
      <c r="AE2334" s="8" t="str">
        <f ca="1">IFERROR(__xludf.DUMMYFUNCTION("""COMPUTED_VALUE"""),"No")</f>
        <v>No</v>
      </c>
      <c r="AF2334" s="8"/>
      <c r="AG2334" s="8" t="str">
        <f ca="1">IFERROR(__xludf.DUMMYFUNCTION("""COMPUTED_VALUE"""),"No")</f>
        <v>No</v>
      </c>
      <c r="AH2334" s="8" t="str">
        <f ca="1">IFERROR(__xludf.DUMMYFUNCTION("""COMPUTED_VALUE"""),"No")</f>
        <v>No</v>
      </c>
      <c r="AI2334" s="8" t="str">
        <f ca="1">IFERROR(__xludf.DUMMYFUNCTION("""COMPUTED_VALUE"""),"No")</f>
        <v>No</v>
      </c>
      <c r="AJ2334" s="8" t="str">
        <f ca="1">IFERROR(__xludf.DUMMYFUNCTION("""COMPUTED_VALUE"""),"No")</f>
        <v>No</v>
      </c>
      <c r="AK2334" s="8" t="str">
        <f ca="1">IFERROR(__xludf.DUMMYFUNCTION("""COMPUTED_VALUE"""),"No")</f>
        <v>No</v>
      </c>
      <c r="AL2334" s="8" t="str">
        <f ca="1">IFERROR(__xludf.DUMMYFUNCTION("""COMPUTED_VALUE"""),"No")</f>
        <v>No</v>
      </c>
      <c r="AM2334" s="8"/>
      <c r="AN2334" s="8"/>
      <c r="AO2334" s="8" t="str">
        <f ca="1">IFERROR(__xludf.DUMMYFUNCTION("""COMPUTED_VALUE"""),"No")</f>
        <v>No</v>
      </c>
      <c r="AP2334" s="8"/>
      <c r="AQ2334" s="8" t="str">
        <f ca="1">IFERROR(__xludf.DUMMYFUNCTION("""COMPUTED_VALUE"""),"Unknown")</f>
        <v>Unknown</v>
      </c>
      <c r="AR2334" s="8" t="str">
        <f ca="1">IFERROR(__xludf.DUMMYFUNCTION("""COMPUTED_VALUE"""),"NA")</f>
        <v>NA</v>
      </c>
      <c r="AS2334" s="8">
        <f ca="1">IFERROR(__xludf.DUMMYFUNCTION("""COMPUTED_VALUE"""),1)</f>
        <v>1</v>
      </c>
      <c r="AT2334" s="8"/>
      <c r="AU2334" s="8">
        <f ca="1">IFERROR(__xludf.DUMMYFUNCTION("""COMPUTED_VALUE"""),35.475219)</f>
        <v>35.475219000000003</v>
      </c>
      <c r="AV2334" s="8">
        <f ca="1">IFERROR(__xludf.DUMMYFUNCTION("""COMPUTED_VALUE"""),-97.475239)</f>
        <v>-97.475239000000002</v>
      </c>
      <c r="AW2334" s="8"/>
      <c r="AX2334" s="8">
        <f ca="1">IFERROR(__xludf.DUMMYFUNCTION("""COMPUTED_VALUE"""),73117)</f>
        <v>73117</v>
      </c>
    </row>
    <row r="2335" spans="1:50" ht="75" x14ac:dyDescent="0.2">
      <c r="A2335" s="8" t="str">
        <f ca="1">IFERROR(__xludf.DUMMYFUNCTION("""COMPUTED_VALUE"""),"20031202ILFEC")</f>
        <v>20031202ILFEC</v>
      </c>
      <c r="B2335" s="8">
        <f ca="1">IFERROR(__xludf.DUMMYFUNCTION("""COMPUTED_VALUE"""),12)</f>
        <v>12</v>
      </c>
      <c r="C2335" s="8">
        <f ca="1">IFERROR(__xludf.DUMMYFUNCTION("""COMPUTED_VALUE"""),2)</f>
        <v>2</v>
      </c>
      <c r="D2335" s="8">
        <f ca="1">IFERROR(__xludf.DUMMYFUNCTION("""COMPUTED_VALUE"""),2003)</f>
        <v>2003</v>
      </c>
      <c r="E2335" s="9">
        <f ca="1">IFERROR(__xludf.DUMMYFUNCTION("""COMPUTED_VALUE"""),37957)</f>
        <v>37957</v>
      </c>
      <c r="F2335" s="8" t="str">
        <f ca="1">IFERROR(__xludf.DUMMYFUNCTION("""COMPUTED_VALUE"""),"Fermi Elementary School")</f>
        <v>Fermi Elementary School</v>
      </c>
      <c r="G2335" s="8">
        <f ca="1">IFERROR(__xludf.DUMMYFUNCTION("""COMPUTED_VALUE"""),0)</f>
        <v>0</v>
      </c>
      <c r="H2335" s="8">
        <f ca="1">IFERROR(__xludf.DUMMYFUNCTION("""COMPUTED_VALUE"""),0)</f>
        <v>0</v>
      </c>
      <c r="I2335" s="8">
        <f ca="1">IFERROR(__xludf.DUMMYFUNCTION("""COMPUTED_VALUE"""),0)</f>
        <v>0</v>
      </c>
      <c r="J2335" s="8">
        <f ca="1">IFERROR(__xludf.DUMMYFUNCTION("""COMPUTED_VALUE"""),1)</f>
        <v>1</v>
      </c>
      <c r="K2335" s="8" t="str">
        <f ca="1">IFERROR(__xludf.DUMMYFUNCTION("""COMPUTED_VALUE"""),"https://files.eric.ed.gov/fulltext/ED519244.pdf .  https://www.newspapers.com/image/231250055/?terms=fermi%2Belementary%2Bschool .  https://www.newspapers.com/image/231261973/?terms=fermi%2Belementary%2Bschool")</f>
        <v>https://files.eric.ed.gov/fulltext/ED519244.pdf .  https://www.newspapers.com/image/231250055/?terms=fermi%2Belementary%2Bschool .  https://www.newspapers.com/image/231261973/?terms=fermi%2Belementary%2Bschool</v>
      </c>
      <c r="L2335" s="8"/>
      <c r="M2335" s="8"/>
      <c r="N2335" s="8">
        <f ca="1">IFERROR(__xludf.DUMMYFUNCTION("""COMPUTED_VALUE"""),3)</f>
        <v>3</v>
      </c>
      <c r="O2335" s="8" t="str">
        <f ca="1">IFERROR(__xludf.DUMMYFUNCTION("""COMPUTED_VALUE"""),"Winter")</f>
        <v>Winter</v>
      </c>
      <c r="P2335" s="8" t="str">
        <f ca="1">IFERROR(__xludf.DUMMYFUNCTION("""COMPUTED_VALUE"""),"Chicago")</f>
        <v>Chicago</v>
      </c>
      <c r="Q2335" s="8" t="str">
        <f ca="1">IFERROR(__xludf.DUMMYFUNCTION("""COMPUTED_VALUE"""),"IL")</f>
        <v>IL</v>
      </c>
      <c r="R2335" s="8" t="str">
        <f ca="1">IFERROR(__xludf.DUMMYFUNCTION("""COMPUTED_VALUE"""),"Elementary")</f>
        <v>Elementary</v>
      </c>
      <c r="S2335" s="8" t="str">
        <f ca="1">IFERROR(__xludf.DUMMYFUNCTION("""COMPUTED_VALUE"""),"Field (General)")</f>
        <v>Field (General)</v>
      </c>
      <c r="T2335" s="8" t="str">
        <f ca="1">IFERROR(__xludf.DUMMYFUNCTION("""COMPUTED_VALUE"""),"Outside on School Property")</f>
        <v>Outside on School Property</v>
      </c>
      <c r="U2335" s="8" t="str">
        <f ca="1">IFERROR(__xludf.DUMMYFUNCTION("""COMPUTED_VALUE"""),"No")</f>
        <v>No</v>
      </c>
      <c r="V2335" s="8" t="str">
        <f ca="1">IFERROR(__xludf.DUMMYFUNCTION("""COMPUTED_VALUE"""),"Evening")</f>
        <v>Evening</v>
      </c>
      <c r="W2335" s="11">
        <f ca="1">IFERROR(__xludf.DUMMYFUNCTION("""COMPUTED_VALUE"""),0.902777777777777)</f>
        <v>0.90277777777777701</v>
      </c>
      <c r="X2335" s="8">
        <f ca="1">IFERROR(__xludf.DUMMYFUNCTION("""COMPUTED_VALUE"""),1)</f>
        <v>1</v>
      </c>
      <c r="Y2335" s="12" t="str">
        <f ca="1">IFERROR(__xludf.DUMMYFUNCTION("""COMPUTED_VALUE"""),"Suspect stopped by police on school playground - refused to drop gun - was shot.")</f>
        <v>Suspect stopped by police on school playground - refused to drop gun - was shot.</v>
      </c>
      <c r="Z2335" s="12" t="str">
        <f ca="1">IFERROR(__xludf.DUMMYFUNCTION("""COMPUTED_VALUE"""),"Police officer shot and killed a man who pointed a revolver at the officer on the field of the school.")</f>
        <v>Police officer shot and killed a man who pointed a revolver at the officer on the field of the school.</v>
      </c>
      <c r="AA2335" s="8" t="str">
        <f ca="1">IFERROR(__xludf.DUMMYFUNCTION("""COMPUTED_VALUE"""),"Officer-Involved Shooting")</f>
        <v>Officer-Involved Shooting</v>
      </c>
      <c r="AB2335" s="8"/>
      <c r="AC2335" s="8"/>
      <c r="AD2335" s="8" t="str">
        <f ca="1">IFERROR(__xludf.DUMMYFUNCTION("""COMPUTED_VALUE"""),"Victims Targeted")</f>
        <v>Victims Targeted</v>
      </c>
      <c r="AE2335" s="8" t="str">
        <f ca="1">IFERROR(__xludf.DUMMYFUNCTION("""COMPUTED_VALUE"""),"No")</f>
        <v>No</v>
      </c>
      <c r="AF2335" s="8"/>
      <c r="AG2335" s="8" t="str">
        <f ca="1">IFERROR(__xludf.DUMMYFUNCTION("""COMPUTED_VALUE"""),"No")</f>
        <v>No</v>
      </c>
      <c r="AH2335" s="8" t="str">
        <f ca="1">IFERROR(__xludf.DUMMYFUNCTION("""COMPUTED_VALUE"""),"No")</f>
        <v>No</v>
      </c>
      <c r="AI2335" s="8" t="str">
        <f ca="1">IFERROR(__xludf.DUMMYFUNCTION("""COMPUTED_VALUE"""),"Yes")</f>
        <v>Yes</v>
      </c>
      <c r="AJ2335" s="8" t="str">
        <f ca="1">IFERROR(__xludf.DUMMYFUNCTION("""COMPUTED_VALUE"""),"No")</f>
        <v>No</v>
      </c>
      <c r="AK2335" s="8" t="str">
        <f ca="1">IFERROR(__xludf.DUMMYFUNCTION("""COMPUTED_VALUE"""),"No")</f>
        <v>No</v>
      </c>
      <c r="AL2335" s="8"/>
      <c r="AM2335" s="8"/>
      <c r="AN2335" s="8"/>
      <c r="AO2335" s="8" t="str">
        <f ca="1">IFERROR(__xludf.DUMMYFUNCTION("""COMPUTED_VALUE"""),"No")</f>
        <v>No</v>
      </c>
      <c r="AP2335" s="8"/>
      <c r="AQ2335" s="8" t="str">
        <f ca="1">IFERROR(__xludf.DUMMYFUNCTION("""COMPUTED_VALUE"""),"Unknown")</f>
        <v>Unknown</v>
      </c>
      <c r="AR2335" s="8" t="str">
        <f ca="1">IFERROR(__xludf.DUMMYFUNCTION("""COMPUTED_VALUE"""),"NA")</f>
        <v>NA</v>
      </c>
      <c r="AS2335" s="8">
        <f ca="1">IFERROR(__xludf.DUMMYFUNCTION("""COMPUTED_VALUE"""),3)</f>
        <v>3</v>
      </c>
      <c r="AT2335" s="8"/>
      <c r="AU2335" s="8">
        <f ca="1">IFERROR(__xludf.DUMMYFUNCTION("""COMPUTED_VALUE"""),41.76728)</f>
        <v>41.76728</v>
      </c>
      <c r="AV2335" s="8">
        <f ca="1">IFERROR(__xludf.DUMMYFUNCTION("""COMPUTED_VALUE"""),-87.59044)</f>
        <v>-87.590440000000001</v>
      </c>
      <c r="AW2335" s="8"/>
      <c r="AX2335" s="8">
        <f ca="1">IFERROR(__xludf.DUMMYFUNCTION("""COMPUTED_VALUE"""),60637)</f>
        <v>60637</v>
      </c>
    </row>
    <row r="2336" spans="1:50" ht="45" x14ac:dyDescent="0.2">
      <c r="A2336" s="8" t="str">
        <f ca="1">IFERROR(__xludf.DUMMYFUNCTION("""COMPUTED_VALUE"""),"20031113NCEAC")</f>
        <v>20031113NCEAC</v>
      </c>
      <c r="B2336" s="8">
        <f ca="1">IFERROR(__xludf.DUMMYFUNCTION("""COMPUTED_VALUE"""),11)</f>
        <v>11</v>
      </c>
      <c r="C2336" s="8">
        <f ca="1">IFERROR(__xludf.DUMMYFUNCTION("""COMPUTED_VALUE"""),13)</f>
        <v>13</v>
      </c>
      <c r="D2336" s="8">
        <f ca="1">IFERROR(__xludf.DUMMYFUNCTION("""COMPUTED_VALUE"""),2003)</f>
        <v>2003</v>
      </c>
      <c r="E2336" s="9">
        <f ca="1">IFERROR(__xludf.DUMMYFUNCTION("""COMPUTED_VALUE"""),37938)</f>
        <v>37938</v>
      </c>
      <c r="F2336" s="8" t="str">
        <f ca="1">IFERROR(__xludf.DUMMYFUNCTION("""COMPUTED_VALUE"""),"East Mecklenburg High School")</f>
        <v>East Mecklenburg High School</v>
      </c>
      <c r="G2336" s="8">
        <f ca="1">IFERROR(__xludf.DUMMYFUNCTION("""COMPUTED_VALUE"""),0)</f>
        <v>0</v>
      </c>
      <c r="H2336" s="8">
        <f ca="1">IFERROR(__xludf.DUMMYFUNCTION("""COMPUTED_VALUE"""),2)</f>
        <v>2</v>
      </c>
      <c r="I2336" s="8">
        <f ca="1">IFERROR(__xludf.DUMMYFUNCTION("""COMPUTED_VALUE"""),2)</f>
        <v>2</v>
      </c>
      <c r="J2336" s="8">
        <f ca="1">IFERROR(__xludf.DUMMYFUNCTION("""COMPUTED_VALUE"""),0)</f>
        <v>0</v>
      </c>
      <c r="K2336" s="10" t="str">
        <f ca="1">IFERROR(__xludf.DUMMYFUNCTION("""COMPUTED_VALUE"""),"https://www.columbine-angels.com/School_Violence_2003-2004.htm")</f>
        <v>https://www.columbine-angels.com/School_Violence_2003-2004.htm</v>
      </c>
      <c r="L2336" s="8"/>
      <c r="M2336" s="8"/>
      <c r="N2336" s="8">
        <f ca="1">IFERROR(__xludf.DUMMYFUNCTION("""COMPUTED_VALUE"""),1)</f>
        <v>1</v>
      </c>
      <c r="O2336" s="8" t="str">
        <f ca="1">IFERROR(__xludf.DUMMYFUNCTION("""COMPUTED_VALUE"""),"Fall")</f>
        <v>Fall</v>
      </c>
      <c r="P2336" s="8" t="str">
        <f ca="1">IFERROR(__xludf.DUMMYFUNCTION("""COMPUTED_VALUE"""),"Charlotte")</f>
        <v>Charlotte</v>
      </c>
      <c r="Q2336" s="8" t="str">
        <f ca="1">IFERROR(__xludf.DUMMYFUNCTION("""COMPUTED_VALUE"""),"NC")</f>
        <v>NC</v>
      </c>
      <c r="R2336" s="8" t="str">
        <f ca="1">IFERROR(__xludf.DUMMYFUNCTION("""COMPUTED_VALUE"""),"High")</f>
        <v>High</v>
      </c>
      <c r="S2336" s="8" t="str">
        <f ca="1">IFERROR(__xludf.DUMMYFUNCTION("""COMPUTED_VALUE"""),"Classroom")</f>
        <v>Classroom</v>
      </c>
      <c r="T2336" s="8" t="str">
        <f ca="1">IFERROR(__xludf.DUMMYFUNCTION("""COMPUTED_VALUE"""),"Inside School Building")</f>
        <v>Inside School Building</v>
      </c>
      <c r="U2336" s="8" t="str">
        <f ca="1">IFERROR(__xludf.DUMMYFUNCTION("""COMPUTED_VALUE"""),"Yes")</f>
        <v>Yes</v>
      </c>
      <c r="V2336" s="8" t="str">
        <f ca="1">IFERROR(__xludf.DUMMYFUNCTION("""COMPUTED_VALUE"""),"Morning Classes")</f>
        <v>Morning Classes</v>
      </c>
      <c r="W2336" s="11">
        <f ca="1">IFERROR(__xludf.DUMMYFUNCTION("""COMPUTED_VALUE"""),0.489583333333333)</f>
        <v>0.48958333333333298</v>
      </c>
      <c r="X2336" s="8">
        <f ca="1">IFERROR(__xludf.DUMMYFUNCTION("""COMPUTED_VALUE"""),1)</f>
        <v>1</v>
      </c>
      <c r="Y2336" s="12" t="str">
        <f ca="1">IFERROR(__xludf.DUMMYFUNCTION("""COMPUTED_VALUE"""),"Accidental discharge in students pocket")</f>
        <v>Accidental discharge in students pocket</v>
      </c>
      <c r="Z2336" s="12" t="str">
        <f ca="1">IFERROR(__xludf.DUMMYFUNCTION("""COMPUTED_VALUE"""),"Handgun in a 15YOM students pocket discharged grazing two other students.")</f>
        <v>Handgun in a 15YOM students pocket discharged grazing two other students.</v>
      </c>
      <c r="AA2336" s="8" t="str">
        <f ca="1">IFERROR(__xludf.DUMMYFUNCTION("""COMPUTED_VALUE"""),"Accidental")</f>
        <v>Accidental</v>
      </c>
      <c r="AB2336" s="8"/>
      <c r="AC2336" s="8"/>
      <c r="AD2336" s="8" t="str">
        <f ca="1">IFERROR(__xludf.DUMMYFUNCTION("""COMPUTED_VALUE"""),"Neither")</f>
        <v>Neither</v>
      </c>
      <c r="AE2336" s="8" t="str">
        <f ca="1">IFERROR(__xludf.DUMMYFUNCTION("""COMPUTED_VALUE"""),"No")</f>
        <v>No</v>
      </c>
      <c r="AF2336" s="8"/>
      <c r="AG2336" s="8" t="str">
        <f ca="1">IFERROR(__xludf.DUMMYFUNCTION("""COMPUTED_VALUE"""),"No")</f>
        <v>No</v>
      </c>
      <c r="AH2336" s="8" t="str">
        <f ca="1">IFERROR(__xludf.DUMMYFUNCTION("""COMPUTED_VALUE"""),"No")</f>
        <v>No</v>
      </c>
      <c r="AI2336" s="8" t="str">
        <f ca="1">IFERROR(__xludf.DUMMYFUNCTION("""COMPUTED_VALUE"""),"No")</f>
        <v>No</v>
      </c>
      <c r="AJ2336" s="8" t="str">
        <f ca="1">IFERROR(__xludf.DUMMYFUNCTION("""COMPUTED_VALUE"""),"No")</f>
        <v>No</v>
      </c>
      <c r="AK2336" s="8" t="str">
        <f ca="1">IFERROR(__xludf.DUMMYFUNCTION("""COMPUTED_VALUE"""),"No")</f>
        <v>No</v>
      </c>
      <c r="AL2336" s="8" t="str">
        <f ca="1">IFERROR(__xludf.DUMMYFUNCTION("""COMPUTED_VALUE"""),"No")</f>
        <v>No</v>
      </c>
      <c r="AM2336" s="8"/>
      <c r="AN2336" s="8"/>
      <c r="AO2336" s="8" t="str">
        <f ca="1">IFERROR(__xludf.DUMMYFUNCTION("""COMPUTED_VALUE"""),"No")</f>
        <v>No</v>
      </c>
      <c r="AP2336" s="8" t="str">
        <f ca="1">IFERROR(__xludf.DUMMYFUNCTION("""COMPUTED_VALUE"""),"Yes")</f>
        <v>Yes</v>
      </c>
      <c r="AQ2336" s="8" t="str">
        <f ca="1">IFERROR(__xludf.DUMMYFUNCTION("""COMPUTED_VALUE"""),"Unknown")</f>
        <v>Unknown</v>
      </c>
      <c r="AR2336" s="8" t="str">
        <f ca="1">IFERROR(__xludf.DUMMYFUNCTION("""COMPUTED_VALUE"""),"NA")</f>
        <v>NA</v>
      </c>
      <c r="AS2336" s="8">
        <f ca="1">IFERROR(__xludf.DUMMYFUNCTION("""COMPUTED_VALUE"""),1)</f>
        <v>1</v>
      </c>
      <c r="AT2336" s="8"/>
      <c r="AU2336" s="8">
        <f ca="1">IFERROR(__xludf.DUMMYFUNCTION("""COMPUTED_VALUE"""),35.175215)</f>
        <v>35.175215000000001</v>
      </c>
      <c r="AV2336" s="8">
        <f ca="1">IFERROR(__xludf.DUMMYFUNCTION("""COMPUTED_VALUE"""),-80.758169)</f>
        <v>-80.758168999999995</v>
      </c>
      <c r="AW2336" s="8"/>
      <c r="AX2336" s="8">
        <f ca="1">IFERROR(__xludf.DUMMYFUNCTION("""COMPUTED_VALUE"""),28212)</f>
        <v>28212</v>
      </c>
    </row>
    <row r="2337" spans="1:50" ht="90" x14ac:dyDescent="0.2">
      <c r="A2337" s="8" t="str">
        <f ca="1">IFERROR(__xludf.DUMMYFUNCTION("""COMPUTED_VALUE"""),"20031108TXHIS")</f>
        <v>20031108TXHIS</v>
      </c>
      <c r="B2337" s="8">
        <f ca="1">IFERROR(__xludf.DUMMYFUNCTION("""COMPUTED_VALUE"""),11)</f>
        <v>11</v>
      </c>
      <c r="C2337" s="8">
        <f ca="1">IFERROR(__xludf.DUMMYFUNCTION("""COMPUTED_VALUE"""),8)</f>
        <v>8</v>
      </c>
      <c r="D2337" s="8">
        <f ca="1">IFERROR(__xludf.DUMMYFUNCTION("""COMPUTED_VALUE"""),2003)</f>
        <v>2003</v>
      </c>
      <c r="E2337" s="9">
        <f ca="1">IFERROR(__xludf.DUMMYFUNCTION("""COMPUTED_VALUE"""),37933)</f>
        <v>37933</v>
      </c>
      <c r="F2337" s="8" t="str">
        <f ca="1">IFERROR(__xludf.DUMMYFUNCTION("""COMPUTED_VALUE"""),"Hightower High School")</f>
        <v>Hightower High School</v>
      </c>
      <c r="G2337" s="8">
        <f ca="1">IFERROR(__xludf.DUMMYFUNCTION("""COMPUTED_VALUE"""),1)</f>
        <v>1</v>
      </c>
      <c r="H2337" s="8">
        <f ca="1">IFERROR(__xludf.DUMMYFUNCTION("""COMPUTED_VALUE"""),0)</f>
        <v>0</v>
      </c>
      <c r="I2337" s="8">
        <f ca="1">IFERROR(__xludf.DUMMYFUNCTION("""COMPUTED_VALUE"""),1)</f>
        <v>1</v>
      </c>
      <c r="J2337" s="8">
        <f ca="1">IFERROR(__xludf.DUMMYFUNCTION("""COMPUTED_VALUE"""),0)</f>
        <v>0</v>
      </c>
      <c r="K2337" s="10" t="str">
        <f ca="1">IFERROR(__xludf.DUMMYFUNCTION("""COMPUTED_VALUE"""),"https://www.chron.com/news/houston-texas/article/Man-convicted-of-killing-student-outside-stadium-1624934.php")</f>
        <v>https://www.chron.com/news/houston-texas/article/Man-convicted-of-killing-student-outside-stadium-1624934.php</v>
      </c>
      <c r="L2337" s="8"/>
      <c r="M2337" s="8"/>
      <c r="N2337" s="8">
        <f ca="1">IFERROR(__xludf.DUMMYFUNCTION("""COMPUTED_VALUE"""),2)</f>
        <v>2</v>
      </c>
      <c r="O2337" s="8" t="str">
        <f ca="1">IFERROR(__xludf.DUMMYFUNCTION("""COMPUTED_VALUE"""),"Fall")</f>
        <v>Fall</v>
      </c>
      <c r="P2337" s="8" t="str">
        <f ca="1">IFERROR(__xludf.DUMMYFUNCTION("""COMPUTED_VALUE"""),"Sugarland")</f>
        <v>Sugarland</v>
      </c>
      <c r="Q2337" s="8" t="str">
        <f ca="1">IFERROR(__xludf.DUMMYFUNCTION("""COMPUTED_VALUE"""),"TX")</f>
        <v>TX</v>
      </c>
      <c r="R2337" s="8" t="str">
        <f ca="1">IFERROR(__xludf.DUMMYFUNCTION("""COMPUTED_VALUE"""),"High")</f>
        <v>High</v>
      </c>
      <c r="S2337" s="8" t="str">
        <f ca="1">IFERROR(__xludf.DUMMYFUNCTION("""COMPUTED_VALUE"""),"Football Field/Track")</f>
        <v>Football Field/Track</v>
      </c>
      <c r="T2337" s="8" t="str">
        <f ca="1">IFERROR(__xludf.DUMMYFUNCTION("""COMPUTED_VALUE"""),"Outside on School Property")</f>
        <v>Outside on School Property</v>
      </c>
      <c r="U2337" s="8" t="str">
        <f ca="1">IFERROR(__xludf.DUMMYFUNCTION("""COMPUTED_VALUE"""),"No")</f>
        <v>No</v>
      </c>
      <c r="V2337" s="8" t="str">
        <f ca="1">IFERROR(__xludf.DUMMYFUNCTION("""COMPUTED_VALUE"""),"Sport Event")</f>
        <v>Sport Event</v>
      </c>
      <c r="W2337" s="11">
        <f ca="1">IFERROR(__xludf.DUMMYFUNCTION("""COMPUTED_VALUE"""),0.888888888888888)</f>
        <v>0.88888888888888795</v>
      </c>
      <c r="X2337" s="8">
        <f ca="1">IFERROR(__xludf.DUMMYFUNCTION("""COMPUTED_VALUE"""),1)</f>
        <v>1</v>
      </c>
      <c r="Y2337" s="12" t="str">
        <f ca="1">IFERROR(__xludf.DUMMYFUNCTION("""COMPUTED_VALUE"""),"Fight between large group of males following football game, uninvolved female student was shot and killed")</f>
        <v>Fight between large group of males following football game, uninvolved female student was shot and killed</v>
      </c>
      <c r="Z2337" s="12" t="str">
        <f ca="1">IFERROR(__xludf.DUMMYFUNCTION("""COMPUTED_VALUE"""),"21YOM fired shot during large fight after football game striking 17YOF student in the head. Shooter fled the scene and was later arrested.")</f>
        <v>21YOM fired shot during large fight after football game striking 17YOF student in the head. Shooter fled the scene and was later arrested.</v>
      </c>
      <c r="AA2337" s="8" t="str">
        <f ca="1">IFERROR(__xludf.DUMMYFUNCTION("""COMPUTED_VALUE"""),"Escalation of Dispute")</f>
        <v>Escalation of Dispute</v>
      </c>
      <c r="AB2337" s="8"/>
      <c r="AC2337" s="8"/>
      <c r="AD2337" s="8" t="str">
        <f ca="1">IFERROR(__xludf.DUMMYFUNCTION("""COMPUTED_VALUE"""),"Random Shooting")</f>
        <v>Random Shooting</v>
      </c>
      <c r="AE2337" s="8" t="str">
        <f ca="1">IFERROR(__xludf.DUMMYFUNCTION("""COMPUTED_VALUE"""),"No")</f>
        <v>No</v>
      </c>
      <c r="AF2337" s="8"/>
      <c r="AG2337" s="8" t="str">
        <f ca="1">IFERROR(__xludf.DUMMYFUNCTION("""COMPUTED_VALUE"""),"No")</f>
        <v>No</v>
      </c>
      <c r="AH2337" s="8" t="str">
        <f ca="1">IFERROR(__xludf.DUMMYFUNCTION("""COMPUTED_VALUE"""),"No")</f>
        <v>No</v>
      </c>
      <c r="AI2337" s="8" t="str">
        <f ca="1">IFERROR(__xludf.DUMMYFUNCTION("""COMPUTED_VALUE"""),"No")</f>
        <v>No</v>
      </c>
      <c r="AJ2337" s="8" t="str">
        <f ca="1">IFERROR(__xludf.DUMMYFUNCTION("""COMPUTED_VALUE"""),"No")</f>
        <v>No</v>
      </c>
      <c r="AK2337" s="8" t="str">
        <f ca="1">IFERROR(__xludf.DUMMYFUNCTION("""COMPUTED_VALUE"""),"No")</f>
        <v>No</v>
      </c>
      <c r="AL2337" s="8" t="str">
        <f ca="1">IFERROR(__xludf.DUMMYFUNCTION("""COMPUTED_VALUE"""),"No")</f>
        <v>No</v>
      </c>
      <c r="AM2337" s="8"/>
      <c r="AN2337" s="8"/>
      <c r="AO2337" s="8" t="str">
        <f ca="1">IFERROR(__xludf.DUMMYFUNCTION("""COMPUTED_VALUE"""),"No")</f>
        <v>No</v>
      </c>
      <c r="AP2337" s="8"/>
      <c r="AQ2337" s="8" t="str">
        <f ca="1">IFERROR(__xludf.DUMMYFUNCTION("""COMPUTED_VALUE"""),"Unknown")</f>
        <v>Unknown</v>
      </c>
      <c r="AR2337" s="8" t="str">
        <f ca="1">IFERROR(__xludf.DUMMYFUNCTION("""COMPUTED_VALUE"""),"NA")</f>
        <v>NA</v>
      </c>
      <c r="AS2337" s="8">
        <f ca="1">IFERROR(__xludf.DUMMYFUNCTION("""COMPUTED_VALUE"""),1)</f>
        <v>1</v>
      </c>
      <c r="AT2337" s="8"/>
      <c r="AU2337" s="8">
        <f ca="1">IFERROR(__xludf.DUMMYFUNCTION("""COMPUTED_VALUE"""),29.531653)</f>
        <v>29.531652999999999</v>
      </c>
      <c r="AV2337" s="8">
        <f ca="1">IFERROR(__xludf.DUMMYFUNCTION("""COMPUTED_VALUE"""),-95.497938)</f>
        <v>-95.497938000000005</v>
      </c>
      <c r="AW2337" s="8"/>
      <c r="AX2337" s="8">
        <f ca="1">IFERROR(__xludf.DUMMYFUNCTION("""COMPUTED_VALUE"""),77459)</f>
        <v>77459</v>
      </c>
    </row>
    <row r="2338" spans="1:50" ht="60" x14ac:dyDescent="0.2">
      <c r="A2338" s="8" t="str">
        <f ca="1">IFERROR(__xludf.DUMMYFUNCTION("""COMPUTED_VALUE"""),"20031030DCANW")</f>
        <v>20031030DCANW</v>
      </c>
      <c r="B2338" s="8">
        <f ca="1">IFERROR(__xludf.DUMMYFUNCTION("""COMPUTED_VALUE"""),10)</f>
        <v>10</v>
      </c>
      <c r="C2338" s="8">
        <f ca="1">IFERROR(__xludf.DUMMYFUNCTION("""COMPUTED_VALUE"""),30)</f>
        <v>30</v>
      </c>
      <c r="D2338" s="8">
        <f ca="1">IFERROR(__xludf.DUMMYFUNCTION("""COMPUTED_VALUE"""),2003)</f>
        <v>2003</v>
      </c>
      <c r="E2338" s="9">
        <f ca="1">IFERROR(__xludf.DUMMYFUNCTION("""COMPUTED_VALUE"""),37924)</f>
        <v>37924</v>
      </c>
      <c r="F2338" s="8" t="str">
        <f ca="1">IFERROR(__xludf.DUMMYFUNCTION("""COMPUTED_VALUE"""),"Anacostia High School")</f>
        <v>Anacostia High School</v>
      </c>
      <c r="G2338" s="8">
        <f ca="1">IFERROR(__xludf.DUMMYFUNCTION("""COMPUTED_VALUE"""),1)</f>
        <v>1</v>
      </c>
      <c r="H2338" s="8">
        <f ca="1">IFERROR(__xludf.DUMMYFUNCTION("""COMPUTED_VALUE"""),1)</f>
        <v>1</v>
      </c>
      <c r="I2338" s="8">
        <f ca="1">IFERROR(__xludf.DUMMYFUNCTION("""COMPUTED_VALUE"""),2)</f>
        <v>2</v>
      </c>
      <c r="J2338" s="8">
        <f ca="1">IFERROR(__xludf.DUMMYFUNCTION("""COMPUTED_VALUE"""),0)</f>
        <v>0</v>
      </c>
      <c r="K2338" s="10" t="str">
        <f ca="1">IFERROR(__xludf.DUMMYFUNCTION("""COMPUTED_VALUE"""),"https://www.washingtonpost.com/archive/politics/2003/10/31/anacostia-high-student-is-fatally-shot-at-school/a36cda4b-5726-44b6-8658-07f7b3d2c499/?utm_term=.9b19cef0c21d")</f>
        <v>https://www.washingtonpost.com/archive/politics/2003/10/31/anacostia-high-student-is-fatally-shot-at-school/a36cda4b-5726-44b6-8658-07f7b3d2c499/?utm_term=.9b19cef0c21d</v>
      </c>
      <c r="L2338" s="8"/>
      <c r="M2338" s="8"/>
      <c r="N2338" s="8">
        <f ca="1">IFERROR(__xludf.DUMMYFUNCTION("""COMPUTED_VALUE"""),2)</f>
        <v>2</v>
      </c>
      <c r="O2338" s="8" t="str">
        <f ca="1">IFERROR(__xludf.DUMMYFUNCTION("""COMPUTED_VALUE"""),"Fall")</f>
        <v>Fall</v>
      </c>
      <c r="P2338" s="8" t="str">
        <f ca="1">IFERROR(__xludf.DUMMYFUNCTION("""COMPUTED_VALUE"""),"Washington")</f>
        <v>Washington</v>
      </c>
      <c r="Q2338" s="8" t="str">
        <f ca="1">IFERROR(__xludf.DUMMYFUNCTION("""COMPUTED_VALUE"""),"DC")</f>
        <v>DC</v>
      </c>
      <c r="R2338" s="8" t="str">
        <f ca="1">IFERROR(__xludf.DUMMYFUNCTION("""COMPUTED_VALUE"""),"High")</f>
        <v>High</v>
      </c>
      <c r="S2338" s="8" t="str">
        <f ca="1">IFERROR(__xludf.DUMMYFUNCTION("""COMPUTED_VALUE"""),"Beside Building")</f>
        <v>Beside Building</v>
      </c>
      <c r="T2338" s="8" t="str">
        <f ca="1">IFERROR(__xludf.DUMMYFUNCTION("""COMPUTED_VALUE"""),"Outside on School Property")</f>
        <v>Outside on School Property</v>
      </c>
      <c r="U2338" s="8" t="str">
        <f ca="1">IFERROR(__xludf.DUMMYFUNCTION("""COMPUTED_VALUE"""),"No")</f>
        <v>No</v>
      </c>
      <c r="V2338" s="8" t="str">
        <f ca="1">IFERROR(__xludf.DUMMYFUNCTION("""COMPUTED_VALUE"""),"School Event")</f>
        <v>School Event</v>
      </c>
      <c r="W2338" s="11">
        <f ca="1">IFERROR(__xludf.DUMMYFUNCTION("""COMPUTED_VALUE"""),0.635416666666666)</f>
        <v>0.63541666666666596</v>
      </c>
      <c r="X2338" s="8">
        <f ca="1">IFERROR(__xludf.DUMMYFUNCTION("""COMPUTED_VALUE"""),1)</f>
        <v>1</v>
      </c>
      <c r="Y2338" s="12" t="str">
        <f ca="1">IFERROR(__xludf.DUMMYFUNCTION("""COMPUTED_VALUE"""),"Gang related shooting, two bystander students struck")</f>
        <v>Gang related shooting, two bystander students struck</v>
      </c>
      <c r="Z2338" s="12" t="str">
        <f ca="1">IFERROR(__xludf.DUMMYFUNCTION("""COMPUTED_VALUE"""),"Gang related shooting outside of homecoming dance. Two bystander students were struck. Unknown teenage shooter fled the scene.")</f>
        <v>Gang related shooting outside of homecoming dance. Two bystander students were struck. Unknown teenage shooter fled the scene.</v>
      </c>
      <c r="AA2338" s="8" t="str">
        <f ca="1">IFERROR(__xludf.DUMMYFUNCTION("""COMPUTED_VALUE"""),"Escalation of Dispute")</f>
        <v>Escalation of Dispute</v>
      </c>
      <c r="AB2338" s="8"/>
      <c r="AC2338" s="8"/>
      <c r="AD2338" s="8" t="str">
        <f ca="1">IFERROR(__xludf.DUMMYFUNCTION("""COMPUTED_VALUE"""),"Both")</f>
        <v>Both</v>
      </c>
      <c r="AE2338" s="8" t="str">
        <f ca="1">IFERROR(__xludf.DUMMYFUNCTION("""COMPUTED_VALUE"""),"No")</f>
        <v>No</v>
      </c>
      <c r="AF2338" s="8"/>
      <c r="AG2338" s="8" t="str">
        <f ca="1">IFERROR(__xludf.DUMMYFUNCTION("""COMPUTED_VALUE"""),"No")</f>
        <v>No</v>
      </c>
      <c r="AH2338" s="8" t="str">
        <f ca="1">IFERROR(__xludf.DUMMYFUNCTION("""COMPUTED_VALUE"""),"No")</f>
        <v>No</v>
      </c>
      <c r="AI2338" s="8" t="str">
        <f ca="1">IFERROR(__xludf.DUMMYFUNCTION("""COMPUTED_VALUE"""),"No")</f>
        <v>No</v>
      </c>
      <c r="AJ2338" s="8" t="str">
        <f ca="1">IFERROR(__xludf.DUMMYFUNCTION("""COMPUTED_VALUE"""),"No")</f>
        <v>No</v>
      </c>
      <c r="AK2338" s="8" t="str">
        <f ca="1">IFERROR(__xludf.DUMMYFUNCTION("""COMPUTED_VALUE"""),"No")</f>
        <v>No</v>
      </c>
      <c r="AL2338" s="8" t="str">
        <f ca="1">IFERROR(__xludf.DUMMYFUNCTION("""COMPUTED_VALUE"""),"Yes")</f>
        <v>Yes</v>
      </c>
      <c r="AM2338" s="8"/>
      <c r="AN2338" s="8"/>
      <c r="AO2338" s="8" t="str">
        <f ca="1">IFERROR(__xludf.DUMMYFUNCTION("""COMPUTED_VALUE"""),"No")</f>
        <v>No</v>
      </c>
      <c r="AP2338" s="8"/>
      <c r="AQ2338" s="8" t="str">
        <f ca="1">IFERROR(__xludf.DUMMYFUNCTION("""COMPUTED_VALUE"""),"Unknown")</f>
        <v>Unknown</v>
      </c>
      <c r="AR2338" s="8" t="str">
        <f ca="1">IFERROR(__xludf.DUMMYFUNCTION("""COMPUTED_VALUE"""),"NA")</f>
        <v>NA</v>
      </c>
      <c r="AS2338" s="8" t="str">
        <f ca="1">IFERROR(__xludf.DUMMYFUNCTION("""COMPUTED_VALUE"""),"&lt;10")</f>
        <v>&lt;10</v>
      </c>
      <c r="AT2338" s="8"/>
      <c r="AU2338" s="8">
        <f ca="1">IFERROR(__xludf.DUMMYFUNCTION("""COMPUTED_VALUE"""),38.869805)</f>
        <v>38.869804999999999</v>
      </c>
      <c r="AV2338" s="8">
        <f ca="1">IFERROR(__xludf.DUMMYFUNCTION("""COMPUTED_VALUE"""),-76.98266)</f>
        <v>-76.982659999999996</v>
      </c>
      <c r="AW2338" s="8"/>
      <c r="AX2338" s="8">
        <f ca="1">IFERROR(__xludf.DUMMYFUNCTION("""COMPUTED_VALUE"""),20020)</f>
        <v>20020</v>
      </c>
    </row>
    <row r="2339" spans="1:50" ht="75" x14ac:dyDescent="0.2">
      <c r="A2339" s="8" t="str">
        <f ca="1">IFERROR(__xludf.DUMMYFUNCTION("""COMPUTED_VALUE"""),"20031029LAMAM")</f>
        <v>20031029LAMAM</v>
      </c>
      <c r="B2339" s="8">
        <f ca="1">IFERROR(__xludf.DUMMYFUNCTION("""COMPUTED_VALUE"""),10)</f>
        <v>10</v>
      </c>
      <c r="C2339" s="8">
        <f ca="1">IFERROR(__xludf.DUMMYFUNCTION("""COMPUTED_VALUE"""),29)</f>
        <v>29</v>
      </c>
      <c r="D2339" s="8">
        <f ca="1">IFERROR(__xludf.DUMMYFUNCTION("""COMPUTED_VALUE"""),2003)</f>
        <v>2003</v>
      </c>
      <c r="E2339" s="9">
        <f ca="1">IFERROR(__xludf.DUMMYFUNCTION("""COMPUTED_VALUE"""),37923)</f>
        <v>37923</v>
      </c>
      <c r="F2339" s="8" t="str">
        <f ca="1">IFERROR(__xludf.DUMMYFUNCTION("""COMPUTED_VALUE"""),"Marion High School")</f>
        <v>Marion High School</v>
      </c>
      <c r="G2339" s="8">
        <f ca="1">IFERROR(__xludf.DUMMYFUNCTION("""COMPUTED_VALUE"""),0)</f>
        <v>0</v>
      </c>
      <c r="H2339" s="8">
        <f ca="1">IFERROR(__xludf.DUMMYFUNCTION("""COMPUTED_VALUE"""),0)</f>
        <v>0</v>
      </c>
      <c r="I2339" s="8">
        <f ca="1">IFERROR(__xludf.DUMMYFUNCTION("""COMPUTED_VALUE"""),0)</f>
        <v>0</v>
      </c>
      <c r="J2339" s="8">
        <f ca="1">IFERROR(__xludf.DUMMYFUNCTION("""COMPUTED_VALUE"""),0)</f>
        <v>0</v>
      </c>
      <c r="K2339" s="10" t="str">
        <f ca="1">IFERROR(__xludf.DUMMYFUNCTION("""COMPUTED_VALUE"""),"https://www.newspapers.com/image/226188784/")</f>
        <v>https://www.newspapers.com/image/226188784/</v>
      </c>
      <c r="L2339" s="8"/>
      <c r="M2339" s="8"/>
      <c r="N2339" s="8">
        <f ca="1">IFERROR(__xludf.DUMMYFUNCTION("""COMPUTED_VALUE"""),2)</f>
        <v>2</v>
      </c>
      <c r="O2339" s="8" t="str">
        <f ca="1">IFERROR(__xludf.DUMMYFUNCTION("""COMPUTED_VALUE"""),"Fall")</f>
        <v>Fall</v>
      </c>
      <c r="P2339" s="8" t="str">
        <f ca="1">IFERROR(__xludf.DUMMYFUNCTION("""COMPUTED_VALUE"""),"Marion")</f>
        <v>Marion</v>
      </c>
      <c r="Q2339" s="8" t="str">
        <f ca="1">IFERROR(__xludf.DUMMYFUNCTION("""COMPUTED_VALUE"""),"LA")</f>
        <v>LA</v>
      </c>
      <c r="R2339" s="8" t="str">
        <f ca="1">IFERROR(__xludf.DUMMYFUNCTION("""COMPUTED_VALUE"""),"High")</f>
        <v>High</v>
      </c>
      <c r="S2339" s="8" t="str">
        <f ca="1">IFERROR(__xludf.DUMMYFUNCTION("""COMPUTED_VALUE"""),"Classroom")</f>
        <v>Classroom</v>
      </c>
      <c r="T2339" s="8" t="str">
        <f ca="1">IFERROR(__xludf.DUMMYFUNCTION("""COMPUTED_VALUE"""),"Inside School Building")</f>
        <v>Inside School Building</v>
      </c>
      <c r="U2339" s="8" t="str">
        <f ca="1">IFERROR(__xludf.DUMMYFUNCTION("""COMPUTED_VALUE"""),"Yes")</f>
        <v>Yes</v>
      </c>
      <c r="V2339" s="8" t="str">
        <f ca="1">IFERROR(__xludf.DUMMYFUNCTION("""COMPUTED_VALUE"""),"Morning Classes")</f>
        <v>Morning Classes</v>
      </c>
      <c r="W2339" s="11">
        <f ca="1">IFERROR(__xludf.DUMMYFUNCTION("""COMPUTED_VALUE"""),0.329861111111111)</f>
        <v>0.32986111111111099</v>
      </c>
      <c r="X2339" s="8"/>
      <c r="Y2339" s="12" t="str">
        <f ca="1">IFERROR(__xludf.DUMMYFUNCTION("""COMPUTED_VALUE"""),"Pulled gun, took teachers car keys, kidnapped other student, drove car in police chase")</f>
        <v>Pulled gun, took teachers car keys, kidnapped other student, drove car in police chase</v>
      </c>
      <c r="Z2339" s="12" t="str">
        <f ca="1">IFERROR(__xludf.DUMMYFUNCTION("""COMPUTED_VALUE"""),"14YOM pulled handgun in classroom and forced teacher to give him car keys. Pointed gun at 12YOM student and took him hostage. Took student to parking lot, got in vehicle, and involved in 14 mile police chase. Shooter surrendered when police blocked highwa"&amp;"y. No injuries.")</f>
        <v>14YOM pulled handgun in classroom and forced teacher to give him car keys. Pointed gun at 12YOM student and took him hostage. Took student to parking lot, got in vehicle, and involved in 14 mile police chase. Shooter surrendered when police blocked highway. No injuries.</v>
      </c>
      <c r="AA2339" s="8" t="str">
        <f ca="1">IFERROR(__xludf.DUMMYFUNCTION("""COMPUTED_VALUE"""),"Hostage/Standoff")</f>
        <v>Hostage/Standoff</v>
      </c>
      <c r="AB2339" s="8"/>
      <c r="AC2339" s="8"/>
      <c r="AD2339" s="8"/>
      <c r="AE2339" s="8" t="str">
        <f ca="1">IFERROR(__xludf.DUMMYFUNCTION("""COMPUTED_VALUE"""),"No")</f>
        <v>No</v>
      </c>
      <c r="AF2339" s="8"/>
      <c r="AG2339" s="8" t="str">
        <f ca="1">IFERROR(__xludf.DUMMYFUNCTION("""COMPUTED_VALUE"""),"Yes")</f>
        <v>Yes</v>
      </c>
      <c r="AH2339" s="8" t="str">
        <f ca="1">IFERROR(__xludf.DUMMYFUNCTION("""COMPUTED_VALUE"""),"No")</f>
        <v>No</v>
      </c>
      <c r="AI2339" s="8" t="str">
        <f ca="1">IFERROR(__xludf.DUMMYFUNCTION("""COMPUTED_VALUE"""),"No")</f>
        <v>No</v>
      </c>
      <c r="AJ2339" s="8" t="str">
        <f ca="1">IFERROR(__xludf.DUMMYFUNCTION("""COMPUTED_VALUE"""),"No")</f>
        <v>No</v>
      </c>
      <c r="AK2339" s="8" t="str">
        <f ca="1">IFERROR(__xludf.DUMMYFUNCTION("""COMPUTED_VALUE"""),"No")</f>
        <v>No</v>
      </c>
      <c r="AL2339" s="8" t="str">
        <f ca="1">IFERROR(__xludf.DUMMYFUNCTION("""COMPUTED_VALUE"""),"No")</f>
        <v>No</v>
      </c>
      <c r="AM2339" s="8" t="str">
        <f ca="1">IFERROR(__xludf.DUMMYFUNCTION("""COMPUTED_VALUE"""),"Yes")</f>
        <v>Yes</v>
      </c>
      <c r="AN2339" s="8" t="str">
        <f ca="1">IFERROR(__xludf.DUMMYFUNCTION("""COMPUTED_VALUE"""),"Single Room")</f>
        <v>Single Room</v>
      </c>
      <c r="AO2339" s="8" t="str">
        <f ca="1">IFERROR(__xludf.DUMMYFUNCTION("""COMPUTED_VALUE"""),"No")</f>
        <v>No</v>
      </c>
      <c r="AP2339" s="8"/>
      <c r="AQ2339" s="8" t="str">
        <f ca="1">IFERROR(__xludf.DUMMYFUNCTION("""COMPUTED_VALUE"""),"Unknown")</f>
        <v>Unknown</v>
      </c>
      <c r="AR2339" s="8" t="str">
        <f ca="1">IFERROR(__xludf.DUMMYFUNCTION("""COMPUTED_VALUE"""),"NA")</f>
        <v>NA</v>
      </c>
      <c r="AS2339" s="8">
        <f ca="1">IFERROR(__xludf.DUMMYFUNCTION("""COMPUTED_VALUE"""),0)</f>
        <v>0</v>
      </c>
      <c r="AT2339" s="8"/>
      <c r="AU2339" s="8">
        <f ca="1">IFERROR(__xludf.DUMMYFUNCTION("""COMPUTED_VALUE"""),30.255684)</f>
        <v>30.255683999999999</v>
      </c>
      <c r="AV2339" s="8">
        <f ca="1">IFERROR(__xludf.DUMMYFUNCTION("""COMPUTED_VALUE"""),-93.186279)</f>
        <v>-93.186278999999999</v>
      </c>
      <c r="AW2339" s="8"/>
      <c r="AX2339" s="8">
        <f ca="1">IFERROR(__xludf.DUMMYFUNCTION("""COMPUTED_VALUE"""),70601)</f>
        <v>70601</v>
      </c>
    </row>
    <row r="2340" spans="1:50" ht="60" x14ac:dyDescent="0.2">
      <c r="A2340" s="8" t="str">
        <f ca="1">IFERROR(__xludf.DUMMYFUNCTION("""COMPUTED_VALUE"""),"20031007OHKEA")</f>
        <v>20031007OHKEA</v>
      </c>
      <c r="B2340" s="8">
        <f ca="1">IFERROR(__xludf.DUMMYFUNCTION("""COMPUTED_VALUE"""),10)</f>
        <v>10</v>
      </c>
      <c r="C2340" s="8">
        <f ca="1">IFERROR(__xludf.DUMMYFUNCTION("""COMPUTED_VALUE"""),7)</f>
        <v>7</v>
      </c>
      <c r="D2340" s="8">
        <f ca="1">IFERROR(__xludf.DUMMYFUNCTION("""COMPUTED_VALUE"""),2003)</f>
        <v>2003</v>
      </c>
      <c r="E2340" s="9">
        <f ca="1">IFERROR(__xludf.DUMMYFUNCTION("""COMPUTED_VALUE"""),37901)</f>
        <v>37901</v>
      </c>
      <c r="F2340" s="8" t="str">
        <f ca="1">IFERROR(__xludf.DUMMYFUNCTION("""COMPUTED_VALUE"""),"Kenmore High School")</f>
        <v>Kenmore High School</v>
      </c>
      <c r="G2340" s="8">
        <f ca="1">IFERROR(__xludf.DUMMYFUNCTION("""COMPUTED_VALUE"""),0)</f>
        <v>0</v>
      </c>
      <c r="H2340" s="8">
        <f ca="1">IFERROR(__xludf.DUMMYFUNCTION("""COMPUTED_VALUE"""),1)</f>
        <v>1</v>
      </c>
      <c r="I2340" s="8">
        <f ca="1">IFERROR(__xludf.DUMMYFUNCTION("""COMPUTED_VALUE"""),1)</f>
        <v>1</v>
      </c>
      <c r="J2340" s="8">
        <f ca="1">IFERROR(__xludf.DUMMYFUNCTION("""COMPUTED_VALUE"""),0)</f>
        <v>0</v>
      </c>
      <c r="K2340" s="10" t="str">
        <f ca="1">IFERROR(__xludf.DUMMYFUNCTION("""COMPUTED_VALUE"""),"http://www.the-daily-record.com/news/20070723/kenmore-grad-remembers-every-detail-of-2003-school-shooting")</f>
        <v>http://www.the-daily-record.com/news/20070723/kenmore-grad-remembers-every-detail-of-2003-school-shooting</v>
      </c>
      <c r="L2340" s="8"/>
      <c r="M2340" s="8"/>
      <c r="N2340" s="8">
        <f ca="1">IFERROR(__xludf.DUMMYFUNCTION("""COMPUTED_VALUE"""),2)</f>
        <v>2</v>
      </c>
      <c r="O2340" s="8" t="str">
        <f ca="1">IFERROR(__xludf.DUMMYFUNCTION("""COMPUTED_VALUE"""),"Fall")</f>
        <v>Fall</v>
      </c>
      <c r="P2340" s="8" t="str">
        <f ca="1">IFERROR(__xludf.DUMMYFUNCTION("""COMPUTED_VALUE"""),"Akron")</f>
        <v>Akron</v>
      </c>
      <c r="Q2340" s="8" t="str">
        <f ca="1">IFERROR(__xludf.DUMMYFUNCTION("""COMPUTED_VALUE"""),"OH")</f>
        <v>OH</v>
      </c>
      <c r="R2340" s="8" t="str">
        <f ca="1">IFERROR(__xludf.DUMMYFUNCTION("""COMPUTED_VALUE"""),"High")</f>
        <v>High</v>
      </c>
      <c r="S2340" s="8" t="str">
        <f ca="1">IFERROR(__xludf.DUMMYFUNCTION("""COMPUTED_VALUE"""),"Parking Lot")</f>
        <v>Parking Lot</v>
      </c>
      <c r="T2340" s="8" t="str">
        <f ca="1">IFERROR(__xludf.DUMMYFUNCTION("""COMPUTED_VALUE"""),"Outside on School Property")</f>
        <v>Outside on School Property</v>
      </c>
      <c r="U2340" s="8" t="str">
        <f ca="1">IFERROR(__xludf.DUMMYFUNCTION("""COMPUTED_VALUE"""),"Yes")</f>
        <v>Yes</v>
      </c>
      <c r="V2340" s="8" t="str">
        <f ca="1">IFERROR(__xludf.DUMMYFUNCTION("""COMPUTED_VALUE"""),"Afternoon Classes")</f>
        <v>Afternoon Classes</v>
      </c>
      <c r="W2340" s="8"/>
      <c r="X2340" s="8">
        <f ca="1">IFERROR(__xludf.DUMMYFUNCTION("""COMPUTED_VALUE"""),1)</f>
        <v>1</v>
      </c>
      <c r="Y2340" s="12" t="str">
        <f ca="1">IFERROR(__xludf.DUMMYFUNCTION("""COMPUTED_VALUE"""),"Argument over car being broken into, third student shot at two arguing")</f>
        <v>Argument over car being broken into, third student shot at two arguing</v>
      </c>
      <c r="Z2340" s="12" t="str">
        <f ca="1">IFERROR(__xludf.DUMMYFUNCTION("""COMPUTED_VALUE"""),"Two students were arguing over a car being broken into in the parking lot. Shooter was friends with one of the students and opened fire severely injuring a 17YOM student.")</f>
        <v>Two students were arguing over a car being broken into in the parking lot. Shooter was friends with one of the students and opened fire severely injuring a 17YOM student.</v>
      </c>
      <c r="AA2340" s="8" t="str">
        <f ca="1">IFERROR(__xludf.DUMMYFUNCTION("""COMPUTED_VALUE"""),"Escalation of Dispute")</f>
        <v>Escalation of Dispute</v>
      </c>
      <c r="AB2340" s="8"/>
      <c r="AC2340" s="8"/>
      <c r="AD2340" s="8" t="str">
        <f ca="1">IFERROR(__xludf.DUMMYFUNCTION("""COMPUTED_VALUE"""),"Victims Targeted")</f>
        <v>Victims Targeted</v>
      </c>
      <c r="AE2340" s="8" t="str">
        <f ca="1">IFERROR(__xludf.DUMMYFUNCTION("""COMPUTED_VALUE"""),"No")</f>
        <v>No</v>
      </c>
      <c r="AF2340" s="8"/>
      <c r="AG2340" s="8" t="str">
        <f ca="1">IFERROR(__xludf.DUMMYFUNCTION("""COMPUTED_VALUE"""),"No")</f>
        <v>No</v>
      </c>
      <c r="AH2340" s="8" t="str">
        <f ca="1">IFERROR(__xludf.DUMMYFUNCTION("""COMPUTED_VALUE"""),"No")</f>
        <v>No</v>
      </c>
      <c r="AI2340" s="8" t="str">
        <f ca="1">IFERROR(__xludf.DUMMYFUNCTION("""COMPUTED_VALUE"""),"No")</f>
        <v>No</v>
      </c>
      <c r="AJ2340" s="8" t="str">
        <f ca="1">IFERROR(__xludf.DUMMYFUNCTION("""COMPUTED_VALUE"""),"No")</f>
        <v>No</v>
      </c>
      <c r="AK2340" s="8" t="str">
        <f ca="1">IFERROR(__xludf.DUMMYFUNCTION("""COMPUTED_VALUE"""),"No")</f>
        <v>No</v>
      </c>
      <c r="AL2340" s="8" t="str">
        <f ca="1">IFERROR(__xludf.DUMMYFUNCTION("""COMPUTED_VALUE"""),"No")</f>
        <v>No</v>
      </c>
      <c r="AM2340" s="8"/>
      <c r="AN2340" s="8"/>
      <c r="AO2340" s="8" t="str">
        <f ca="1">IFERROR(__xludf.DUMMYFUNCTION("""COMPUTED_VALUE"""),"No")</f>
        <v>No</v>
      </c>
      <c r="AP2340" s="8"/>
      <c r="AQ2340" s="8" t="str">
        <f ca="1">IFERROR(__xludf.DUMMYFUNCTION("""COMPUTED_VALUE"""),"Unknown")</f>
        <v>Unknown</v>
      </c>
      <c r="AR2340" s="8" t="str">
        <f ca="1">IFERROR(__xludf.DUMMYFUNCTION("""COMPUTED_VALUE"""),"NA")</f>
        <v>NA</v>
      </c>
      <c r="AS2340" s="8" t="str">
        <f ca="1">IFERROR(__xludf.DUMMYFUNCTION("""COMPUTED_VALUE"""),"&lt;10")</f>
        <v>&lt;10</v>
      </c>
      <c r="AT2340" s="8"/>
      <c r="AU2340" s="8">
        <f ca="1">IFERROR(__xludf.DUMMYFUNCTION("""COMPUTED_VALUE"""),41.045425)</f>
        <v>41.045425000000002</v>
      </c>
      <c r="AV2340" s="8">
        <f ca="1">IFERROR(__xludf.DUMMYFUNCTION("""COMPUTED_VALUE"""),-81.558185)</f>
        <v>-81.558184999999995</v>
      </c>
      <c r="AW2340" s="8"/>
      <c r="AX2340" s="8">
        <f ca="1">IFERROR(__xludf.DUMMYFUNCTION("""COMPUTED_VALUE"""),44314)</f>
        <v>44314</v>
      </c>
    </row>
    <row r="2341" spans="1:50" ht="120" x14ac:dyDescent="0.2">
      <c r="A2341" s="8" t="str">
        <f ca="1">IFERROR(__xludf.DUMMYFUNCTION("""COMPUTED_VALUE"""),"20031001CARIS")</f>
        <v>20031001CARIS</v>
      </c>
      <c r="B2341" s="8">
        <f ca="1">IFERROR(__xludf.DUMMYFUNCTION("""COMPUTED_VALUE"""),10)</f>
        <v>10</v>
      </c>
      <c r="C2341" s="8">
        <f ca="1">IFERROR(__xludf.DUMMYFUNCTION("""COMPUTED_VALUE"""),1)</f>
        <v>1</v>
      </c>
      <c r="D2341" s="8">
        <f ca="1">IFERROR(__xludf.DUMMYFUNCTION("""COMPUTED_VALUE"""),2003)</f>
        <v>2003</v>
      </c>
      <c r="E2341" s="9">
        <f ca="1">IFERROR(__xludf.DUMMYFUNCTION("""COMPUTED_VALUE"""),37895)</f>
        <v>37895</v>
      </c>
      <c r="F2341" s="8" t="str">
        <f ca="1">IFERROR(__xludf.DUMMYFUNCTION("""COMPUTED_VALUE"""),"Rio Cazadero High School")</f>
        <v>Rio Cazadero High School</v>
      </c>
      <c r="G2341" s="8">
        <f ca="1">IFERROR(__xludf.DUMMYFUNCTION("""COMPUTED_VALUE"""),0)</f>
        <v>0</v>
      </c>
      <c r="H2341" s="8">
        <f ca="1">IFERROR(__xludf.DUMMYFUNCTION("""COMPUTED_VALUE"""),1)</f>
        <v>1</v>
      </c>
      <c r="I2341" s="8">
        <f ca="1">IFERROR(__xludf.DUMMYFUNCTION("""COMPUTED_VALUE"""),1)</f>
        <v>1</v>
      </c>
      <c r="J2341" s="8">
        <f ca="1">IFERROR(__xludf.DUMMYFUNCTION("""COMPUTED_VALUE"""),0)</f>
        <v>0</v>
      </c>
      <c r="K2341" s="10" t="str">
        <f ca="1">IFERROR(__xludf.DUMMYFUNCTION("""COMPUTED_VALUE"""),"http://articles.latimes.com/2003/oct/02/local/me-shooting2")</f>
        <v>http://articles.latimes.com/2003/oct/02/local/me-shooting2</v>
      </c>
      <c r="L2341" s="8"/>
      <c r="M2341" s="8"/>
      <c r="N2341" s="8">
        <f ca="1">IFERROR(__xludf.DUMMYFUNCTION("""COMPUTED_VALUE"""),2)</f>
        <v>2</v>
      </c>
      <c r="O2341" s="8" t="str">
        <f ca="1">IFERROR(__xludf.DUMMYFUNCTION("""COMPUTED_VALUE"""),"Fall")</f>
        <v>Fall</v>
      </c>
      <c r="P2341" s="8" t="str">
        <f ca="1">IFERROR(__xludf.DUMMYFUNCTION("""COMPUTED_VALUE"""),"Sacramento")</f>
        <v>Sacramento</v>
      </c>
      <c r="Q2341" s="8" t="str">
        <f ca="1">IFERROR(__xludf.DUMMYFUNCTION("""COMPUTED_VALUE"""),"CA")</f>
        <v>CA</v>
      </c>
      <c r="R2341" s="8" t="str">
        <f ca="1">IFERROR(__xludf.DUMMYFUNCTION("""COMPUTED_VALUE"""),"High")</f>
        <v>High</v>
      </c>
      <c r="S2341" s="8" t="str">
        <f ca="1">IFERROR(__xludf.DUMMYFUNCTION("""COMPUTED_VALUE"""),"Classroom; Beside Building")</f>
        <v>Classroom; Beside Building</v>
      </c>
      <c r="T2341" s="8" t="str">
        <f ca="1">IFERROR(__xludf.DUMMYFUNCTION("""COMPUTED_VALUE"""),"Both Inside/Outside")</f>
        <v>Both Inside/Outside</v>
      </c>
      <c r="U2341" s="8" t="str">
        <f ca="1">IFERROR(__xludf.DUMMYFUNCTION("""COMPUTED_VALUE"""),"Yes")</f>
        <v>Yes</v>
      </c>
      <c r="V2341" s="8" t="str">
        <f ca="1">IFERROR(__xludf.DUMMYFUNCTION("""COMPUTED_VALUE"""),"Morning Classes")</f>
        <v>Morning Classes</v>
      </c>
      <c r="W2341" s="11">
        <f ca="1">IFERROR(__xludf.DUMMYFUNCTION("""COMPUTED_VALUE"""),0.375)</f>
        <v>0.375</v>
      </c>
      <c r="X2341" s="8"/>
      <c r="Y2341" s="12" t="str">
        <f ca="1">IFERROR(__xludf.DUMMYFUNCTION("""COMPUTED_VALUE"""),"Suicide by cop, depressed over breakup")</f>
        <v>Suicide by cop, depressed over breakup</v>
      </c>
      <c r="Z2341" s="12" t="str">
        <f ca="1">IFERROR(__xludf.DUMMYFUNCTION("""COMPUTED_VALUE"""),"18YOM brought duffel bag with shotgun, fake pistol, and baseball bat into classroom. Told the students and teacher to leave. Principal entered classroom and tried to talk him down. When police arrived, shooter walked outside to confront them. Principal tr"&amp;"ied to wrestle away shotgun when he pointed it at officers. Shooter was shot by police and principal was hit in leg by round (unclear if it was shooter or from police officer).")</f>
        <v>18YOM brought duffel bag with shotgun, fake pistol, and baseball bat into classroom. Told the students and teacher to leave. Principal entered classroom and tried to talk him down. When police arrived, shooter walked outside to confront them. Principal tried to wrestle away shotgun when he pointed it at officers. Shooter was shot by police and principal was hit in leg by round (unclear if it was shooter or from police officer).</v>
      </c>
      <c r="AA2341" s="8" t="str">
        <f ca="1">IFERROR(__xludf.DUMMYFUNCTION("""COMPUTED_VALUE"""),"Suicide/Attempted")</f>
        <v>Suicide/Attempted</v>
      </c>
      <c r="AB2341" s="8"/>
      <c r="AC2341" s="8"/>
      <c r="AD2341" s="8" t="str">
        <f ca="1">IFERROR(__xludf.DUMMYFUNCTION("""COMPUTED_VALUE"""),"Victims Targeted")</f>
        <v>Victims Targeted</v>
      </c>
      <c r="AE2341" s="8" t="str">
        <f ca="1">IFERROR(__xludf.DUMMYFUNCTION("""COMPUTED_VALUE"""),"No")</f>
        <v>No</v>
      </c>
      <c r="AF2341" s="8"/>
      <c r="AG2341" s="8" t="str">
        <f ca="1">IFERROR(__xludf.DUMMYFUNCTION("""COMPUTED_VALUE"""),"No")</f>
        <v>No</v>
      </c>
      <c r="AH2341" s="8" t="str">
        <f ca="1">IFERROR(__xludf.DUMMYFUNCTION("""COMPUTED_VALUE"""),"No")</f>
        <v>No</v>
      </c>
      <c r="AI2341" s="8" t="str">
        <f ca="1">IFERROR(__xludf.DUMMYFUNCTION("""COMPUTED_VALUE"""),"No")</f>
        <v>No</v>
      </c>
      <c r="AJ2341" s="8" t="str">
        <f ca="1">IFERROR(__xludf.DUMMYFUNCTION("""COMPUTED_VALUE"""),"No")</f>
        <v>No</v>
      </c>
      <c r="AK2341" s="8" t="str">
        <f ca="1">IFERROR(__xludf.DUMMYFUNCTION("""COMPUTED_VALUE"""),"Yes")</f>
        <v>Yes</v>
      </c>
      <c r="AL2341" s="8" t="str">
        <f ca="1">IFERROR(__xludf.DUMMYFUNCTION("""COMPUTED_VALUE"""),"No")</f>
        <v>No</v>
      </c>
      <c r="AM2341" s="8"/>
      <c r="AN2341" s="8"/>
      <c r="AO2341" s="8" t="str">
        <f ca="1">IFERROR(__xludf.DUMMYFUNCTION("""COMPUTED_VALUE"""),"No")</f>
        <v>No</v>
      </c>
      <c r="AP2341" s="8" t="str">
        <f ca="1">IFERROR(__xludf.DUMMYFUNCTION("""COMPUTED_VALUE"""),"No")</f>
        <v>No</v>
      </c>
      <c r="AQ2341" s="8" t="str">
        <f ca="1">IFERROR(__xludf.DUMMYFUNCTION("""COMPUTED_VALUE"""),"Unknown")</f>
        <v>Unknown</v>
      </c>
      <c r="AR2341" s="8" t="str">
        <f ca="1">IFERROR(__xludf.DUMMYFUNCTION("""COMPUTED_VALUE"""),"NA")</f>
        <v>NA</v>
      </c>
      <c r="AS2341" s="8">
        <f ca="1">IFERROR(__xludf.DUMMYFUNCTION("""COMPUTED_VALUE"""),1)</f>
        <v>1</v>
      </c>
      <c r="AT2341" s="8"/>
      <c r="AU2341" s="8">
        <f ca="1">IFERROR(__xludf.DUMMYFUNCTION("""COMPUTED_VALUE"""),38.470072)</f>
        <v>38.470072000000002</v>
      </c>
      <c r="AV2341" s="8">
        <f ca="1">IFERROR(__xludf.DUMMYFUNCTION("""COMPUTED_VALUE"""),-121.433167)</f>
        <v>-121.433167</v>
      </c>
      <c r="AW2341" s="8"/>
      <c r="AX2341" s="8">
        <f ca="1">IFERROR(__xludf.DUMMYFUNCTION("""COMPUTED_VALUE"""),95823)</f>
        <v>95823</v>
      </c>
    </row>
    <row r="2342" spans="1:50" ht="105" x14ac:dyDescent="0.2">
      <c r="A2342" s="8" t="str">
        <f ca="1">IFERROR(__xludf.DUMMYFUNCTION("""COMPUTED_VALUE"""),"20030925NCBUL")</f>
        <v>20030925NCBUL</v>
      </c>
      <c r="B2342" s="8">
        <f ca="1">IFERROR(__xludf.DUMMYFUNCTION("""COMPUTED_VALUE"""),9)</f>
        <v>9</v>
      </c>
      <c r="C2342" s="8">
        <f ca="1">IFERROR(__xludf.DUMMYFUNCTION("""COMPUTED_VALUE"""),25)</f>
        <v>25</v>
      </c>
      <c r="D2342" s="8">
        <f ca="1">IFERROR(__xludf.DUMMYFUNCTION("""COMPUTED_VALUE"""),2003)</f>
        <v>2003</v>
      </c>
      <c r="E2342" s="9">
        <f ca="1">IFERROR(__xludf.DUMMYFUNCTION("""COMPUTED_VALUE"""),37889)</f>
        <v>37889</v>
      </c>
      <c r="F2342" s="8" t="str">
        <f ca="1">IFERROR(__xludf.DUMMYFUNCTION("""COMPUTED_VALUE"""),"Burns Middle School")</f>
        <v>Burns Middle School</v>
      </c>
      <c r="G2342" s="8">
        <f ca="1">IFERROR(__xludf.DUMMYFUNCTION("""COMPUTED_VALUE"""),0)</f>
        <v>0</v>
      </c>
      <c r="H2342" s="8">
        <f ca="1">IFERROR(__xludf.DUMMYFUNCTION("""COMPUTED_VALUE"""),0)</f>
        <v>0</v>
      </c>
      <c r="I2342" s="8">
        <f ca="1">IFERROR(__xludf.DUMMYFUNCTION("""COMPUTED_VALUE"""),0)</f>
        <v>0</v>
      </c>
      <c r="J2342" s="8">
        <f ca="1">IFERROR(__xludf.DUMMYFUNCTION("""COMPUTED_VALUE"""),0)</f>
        <v>0</v>
      </c>
      <c r="K2342" s="8" t="str">
        <f ca="1">IFERROR(__xludf.DUMMYFUNCTION("""COMPUTED_VALUE"""),"https://www.semissourian.com/story/120674.html https://www.wsoctv.com/news/local/former-student-recalls-school-resource-officer-saving-lives-at-local-middle-school/705956061/")</f>
        <v>https://www.semissourian.com/story/120674.html https://www.wsoctv.com/news/local/former-student-recalls-school-resource-officer-saving-lives-at-local-middle-school/705956061/</v>
      </c>
      <c r="L2342" s="8"/>
      <c r="M2342" s="8"/>
      <c r="N2342" s="8">
        <f ca="1">IFERROR(__xludf.DUMMYFUNCTION("""COMPUTED_VALUE"""),4)</f>
        <v>4</v>
      </c>
      <c r="O2342" s="8" t="str">
        <f ca="1">IFERROR(__xludf.DUMMYFUNCTION("""COMPUTED_VALUE"""),"Fall")</f>
        <v>Fall</v>
      </c>
      <c r="P2342" s="8" t="str">
        <f ca="1">IFERROR(__xludf.DUMMYFUNCTION("""COMPUTED_VALUE"""),"Lawndale")</f>
        <v>Lawndale</v>
      </c>
      <c r="Q2342" s="8" t="str">
        <f ca="1">IFERROR(__xludf.DUMMYFUNCTION("""COMPUTED_VALUE"""),"NC")</f>
        <v>NC</v>
      </c>
      <c r="R2342" s="8" t="str">
        <f ca="1">IFERROR(__xludf.DUMMYFUNCTION("""COMPUTED_VALUE"""),"Middle")</f>
        <v>Middle</v>
      </c>
      <c r="S2342" s="8" t="str">
        <f ca="1">IFERROR(__xludf.DUMMYFUNCTION("""COMPUTED_VALUE"""),"Hallway")</f>
        <v>Hallway</v>
      </c>
      <c r="T2342" s="8" t="str">
        <f ca="1">IFERROR(__xludf.DUMMYFUNCTION("""COMPUTED_VALUE"""),"Inside School Building")</f>
        <v>Inside School Building</v>
      </c>
      <c r="U2342" s="8" t="str">
        <f ca="1">IFERROR(__xludf.DUMMYFUNCTION("""COMPUTED_VALUE"""),"Yes")</f>
        <v>Yes</v>
      </c>
      <c r="V2342" s="8" t="str">
        <f ca="1">IFERROR(__xludf.DUMMYFUNCTION("""COMPUTED_VALUE"""),"School Start")</f>
        <v>School Start</v>
      </c>
      <c r="W2342" s="11">
        <f ca="1">IFERROR(__xludf.DUMMYFUNCTION("""COMPUTED_VALUE"""),0.333333333333333)</f>
        <v>0.33333333333333298</v>
      </c>
      <c r="X2342" s="8">
        <f ca="1">IFERROR(__xludf.DUMMYFUNCTION("""COMPUTED_VALUE"""),1)</f>
        <v>1</v>
      </c>
      <c r="Y2342" s="12" t="str">
        <f ca="1">IFERROR(__xludf.DUMMYFUNCTION("""COMPUTED_VALUE"""),"Pulled gun in hallway, fired into classrooms, tackled by SRO")</f>
        <v>Pulled gun in hallway, fired into classrooms, tackled by SRO</v>
      </c>
      <c r="Z2342" s="12" t="str">
        <f ca="1">IFERROR(__xludf.DUMMYFUNCTION("""COMPUTED_VALUE"""),"13YOM called out girls name in hallway, pulled pistol, fired two shots in the air, and fire shots into random classrooms. School was locked down and the shooter tackled by a sheriff's deputy working in the school. The shooter fought the deputy for the gun"&amp;" but he was able to detain him. The shooter had been identified as a possible threat by school officials.")</f>
        <v>13YOM called out girls name in hallway, pulled pistol, fired two shots in the air, and fire shots into random classrooms. School was locked down and the shooter tackled by a sheriff's deputy working in the school. The shooter fought the deputy for the gun but he was able to detain him. The shooter had been identified as a possible threat by school officials.</v>
      </c>
      <c r="AA2342" s="8" t="str">
        <f ca="1">IFERROR(__xludf.DUMMYFUNCTION("""COMPUTED_VALUE"""),"Indiscriminate Shooting")</f>
        <v>Indiscriminate Shooting</v>
      </c>
      <c r="AB2342" s="8"/>
      <c r="AC2342" s="8"/>
      <c r="AD2342" s="8" t="str">
        <f ca="1">IFERROR(__xludf.DUMMYFUNCTION("""COMPUTED_VALUE"""),"Victims Targeted")</f>
        <v>Victims Targeted</v>
      </c>
      <c r="AE2342" s="8" t="str">
        <f ca="1">IFERROR(__xludf.DUMMYFUNCTION("""COMPUTED_VALUE"""),"No")</f>
        <v>No</v>
      </c>
      <c r="AF2342" s="8"/>
      <c r="AG2342" s="8" t="str">
        <f ca="1">IFERROR(__xludf.DUMMYFUNCTION("""COMPUTED_VALUE"""),"No")</f>
        <v>No</v>
      </c>
      <c r="AH2342" s="8" t="str">
        <f ca="1">IFERROR(__xludf.DUMMYFUNCTION("""COMPUTED_VALUE"""),"No")</f>
        <v>No</v>
      </c>
      <c r="AI2342" s="8" t="str">
        <f ca="1">IFERROR(__xludf.DUMMYFUNCTION("""COMPUTED_VALUE"""),"No")</f>
        <v>No</v>
      </c>
      <c r="AJ2342" s="8" t="str">
        <f ca="1">IFERROR(__xludf.DUMMYFUNCTION("""COMPUTED_VALUE"""),"No")</f>
        <v>No</v>
      </c>
      <c r="AK2342" s="8"/>
      <c r="AL2342" s="8" t="str">
        <f ca="1">IFERROR(__xludf.DUMMYFUNCTION("""COMPUTED_VALUE"""),"No")</f>
        <v>No</v>
      </c>
      <c r="AM2342" s="8" t="str">
        <f ca="1">IFERROR(__xludf.DUMMYFUNCTION("""COMPUTED_VALUE"""),"Yes")</f>
        <v>Yes</v>
      </c>
      <c r="AN2342" s="8" t="str">
        <f ca="1">IFERROR(__xludf.DUMMYFUNCTION("""COMPUTED_VALUE"""),"Multiple Rooms")</f>
        <v>Multiple Rooms</v>
      </c>
      <c r="AO2342" s="8"/>
      <c r="AP2342" s="8" t="str">
        <f ca="1">IFERROR(__xludf.DUMMYFUNCTION("""COMPUTED_VALUE"""),"Yes")</f>
        <v>Yes</v>
      </c>
      <c r="AQ2342" s="8" t="str">
        <f ca="1">IFERROR(__xludf.DUMMYFUNCTION("""COMPUTED_VALUE"""),"Unknown")</f>
        <v>Unknown</v>
      </c>
      <c r="AR2342" s="8" t="str">
        <f ca="1">IFERROR(__xludf.DUMMYFUNCTION("""COMPUTED_VALUE"""),"NA")</f>
        <v>NA</v>
      </c>
      <c r="AS2342" s="8"/>
      <c r="AT2342" s="8" t="str">
        <f ca="1">IFERROR(__xludf.DUMMYFUNCTION("""COMPUTED_VALUE"""),"Yes")</f>
        <v>Yes</v>
      </c>
      <c r="AU2342" s="8">
        <f ca="1">IFERROR(__xludf.DUMMYFUNCTION("""COMPUTED_VALUE"""),35.425806)</f>
        <v>35.425806000000001</v>
      </c>
      <c r="AV2342" s="8">
        <f ca="1">IFERROR(__xludf.DUMMYFUNCTION("""COMPUTED_VALUE"""),-81.53965)</f>
        <v>-81.539649999999995</v>
      </c>
      <c r="AW2342" s="8"/>
      <c r="AX2342" s="8">
        <f ca="1">IFERROR(__xludf.DUMMYFUNCTION("""COMPUTED_VALUE"""),28090)</f>
        <v>28090</v>
      </c>
    </row>
    <row r="2343" spans="1:50" ht="150" x14ac:dyDescent="0.2">
      <c r="A2343" s="8" t="str">
        <f ca="1">IFERROR(__xludf.DUMMYFUNCTION("""COMPUTED_VALUE"""),"20030924MNROC")</f>
        <v>20030924MNROC</v>
      </c>
      <c r="B2343" s="8">
        <f ca="1">IFERROR(__xludf.DUMMYFUNCTION("""COMPUTED_VALUE"""),9)</f>
        <v>9</v>
      </c>
      <c r="C2343" s="8">
        <f ca="1">IFERROR(__xludf.DUMMYFUNCTION("""COMPUTED_VALUE"""),24)</f>
        <v>24</v>
      </c>
      <c r="D2343" s="8">
        <f ca="1">IFERROR(__xludf.DUMMYFUNCTION("""COMPUTED_VALUE"""),2003)</f>
        <v>2003</v>
      </c>
      <c r="E2343" s="9">
        <f ca="1">IFERROR(__xludf.DUMMYFUNCTION("""COMPUTED_VALUE"""),37888)</f>
        <v>37888</v>
      </c>
      <c r="F2343" s="8" t="str">
        <f ca="1">IFERROR(__xludf.DUMMYFUNCTION("""COMPUTED_VALUE"""),"Rocori High School")</f>
        <v>Rocori High School</v>
      </c>
      <c r="G2343" s="8">
        <f ca="1">IFERROR(__xludf.DUMMYFUNCTION("""COMPUTED_VALUE"""),2)</f>
        <v>2</v>
      </c>
      <c r="H2343" s="8">
        <f ca="1">IFERROR(__xludf.DUMMYFUNCTION("""COMPUTED_VALUE"""),0)</f>
        <v>0</v>
      </c>
      <c r="I2343" s="8">
        <f ca="1">IFERROR(__xludf.DUMMYFUNCTION("""COMPUTED_VALUE"""),2)</f>
        <v>2</v>
      </c>
      <c r="J2343" s="8">
        <f ca="1">IFERROR(__xludf.DUMMYFUNCTION("""COMPUTED_VALUE"""),0)</f>
        <v>0</v>
      </c>
      <c r="K2343" s="8" t="str">
        <f ca="1">IFERROR(__xludf.DUMMYFUNCTION("""COMPUTED_VALUE"""),"http://news.minnesota.publicradio.org/features/2005/07/18_postt_rocoriverdict/ https://www.fbi.gov/file-repository/active-shooter-incidents-2000-2017.pdf")</f>
        <v>http://news.minnesota.publicradio.org/features/2005/07/18_postt_rocoriverdict/ https://www.fbi.gov/file-repository/active-shooter-incidents-2000-2017.pdf</v>
      </c>
      <c r="L2343" s="8"/>
      <c r="M2343" s="8"/>
      <c r="N2343" s="8">
        <f ca="1">IFERROR(__xludf.DUMMYFUNCTION("""COMPUTED_VALUE"""),5)</f>
        <v>5</v>
      </c>
      <c r="O2343" s="8" t="str">
        <f ca="1">IFERROR(__xludf.DUMMYFUNCTION("""COMPUTED_VALUE"""),"Fall")</f>
        <v>Fall</v>
      </c>
      <c r="P2343" s="8" t="str">
        <f ca="1">IFERROR(__xludf.DUMMYFUNCTION("""COMPUTED_VALUE"""),"Cold Spring")</f>
        <v>Cold Spring</v>
      </c>
      <c r="Q2343" s="8" t="str">
        <f ca="1">IFERROR(__xludf.DUMMYFUNCTION("""COMPUTED_VALUE"""),"MN")</f>
        <v>MN</v>
      </c>
      <c r="R2343" s="8" t="str">
        <f ca="1">IFERROR(__xludf.DUMMYFUNCTION("""COMPUTED_VALUE"""),"High")</f>
        <v>High</v>
      </c>
      <c r="S2343" s="8" t="str">
        <f ca="1">IFERROR(__xludf.DUMMYFUNCTION("""COMPUTED_VALUE"""),"Gym")</f>
        <v>Gym</v>
      </c>
      <c r="T2343" s="8" t="str">
        <f ca="1">IFERROR(__xludf.DUMMYFUNCTION("""COMPUTED_VALUE"""),"Inside School Building")</f>
        <v>Inside School Building</v>
      </c>
      <c r="U2343" s="8" t="str">
        <f ca="1">IFERROR(__xludf.DUMMYFUNCTION("""COMPUTED_VALUE"""),"Yes")</f>
        <v>Yes</v>
      </c>
      <c r="V2343" s="8" t="str">
        <f ca="1">IFERROR(__xludf.DUMMYFUNCTION("""COMPUTED_VALUE"""),"Morning Classes")</f>
        <v>Morning Classes</v>
      </c>
      <c r="W2343" s="11">
        <f ca="1">IFERROR(__xludf.DUMMYFUNCTION("""COMPUTED_VALUE"""),0.484722222222222)</f>
        <v>0.484722222222222</v>
      </c>
      <c r="X2343" s="8">
        <f ca="1">IFERROR(__xludf.DUMMYFUNCTION("""COMPUTED_VALUE"""),2)</f>
        <v>2</v>
      </c>
      <c r="Y2343" s="12" t="str">
        <f ca="1">IFERROR(__xludf.DUMMYFUNCTION("""COMPUTED_VALUE"""),"Targeted two bullies, other students in area were not shot at")</f>
        <v>Targeted two bullies, other students in area were not shot at</v>
      </c>
      <c r="Z2343" s="12" t="str">
        <f ca="1">IFERROR(__xludf.DUMMYFUNCTION("""COMPUTED_VALUE"""),"Shooter had been bullied by victim. Shooter snuck gun past metal detectors and ambushed the victim when he came out of the locker room. Shooter fired multiple rounds, one missed and struck another student in the throat killing him. Victim ran from the sho"&amp;"oter and the shooter chased him, eventually catching him and firing multiple shots to kill him. School officials found the shooter with an empty weapon and detained him until law enforcement arrived. Shooter had schizophrenia and described an imaginary fr"&amp;"iend who wore a black trench coat and told him to plan the shooting.")</f>
        <v>Shooter had been bullied by victim. Shooter snuck gun past metal detectors and ambushed the victim when he came out of the locker room. Shooter fired multiple rounds, one missed and struck another student in the throat killing him. Victim ran from the shooter and the shooter chased him, eventually catching him and firing multiple shots to kill him. School officials found the shooter with an empty weapon and detained him until law enforcement arrived. Shooter had schizophrenia and described an imaginary friend who wore a black trench coat and told him to plan the shooting.</v>
      </c>
      <c r="AA2343" s="8" t="str">
        <f ca="1">IFERROR(__xludf.DUMMYFUNCTION("""COMPUTED_VALUE"""),"Indiscriminate Shooting")</f>
        <v>Indiscriminate Shooting</v>
      </c>
      <c r="AB2343" s="8"/>
      <c r="AC2343" s="8" t="str">
        <f ca="1">IFERROR(__xludf.DUMMYFUNCTION("""COMPUTED_VALUE"""),"Yes")</f>
        <v>Yes</v>
      </c>
      <c r="AD2343" s="8" t="str">
        <f ca="1">IFERROR(__xludf.DUMMYFUNCTION("""COMPUTED_VALUE"""),"Victims Targeted")</f>
        <v>Victims Targeted</v>
      </c>
      <c r="AE2343" s="8" t="str">
        <f ca="1">IFERROR(__xludf.DUMMYFUNCTION("""COMPUTED_VALUE"""),"No")</f>
        <v>No</v>
      </c>
      <c r="AF2343" s="8"/>
      <c r="AG2343" s="8" t="str">
        <f ca="1">IFERROR(__xludf.DUMMYFUNCTION("""COMPUTED_VALUE"""),"No")</f>
        <v>No</v>
      </c>
      <c r="AH2343" s="8" t="str">
        <f ca="1">IFERROR(__xludf.DUMMYFUNCTION("""COMPUTED_VALUE"""),"No")</f>
        <v>No</v>
      </c>
      <c r="AI2343" s="8" t="str">
        <f ca="1">IFERROR(__xludf.DUMMYFUNCTION("""COMPUTED_VALUE"""),"No")</f>
        <v>No</v>
      </c>
      <c r="AJ2343" s="8" t="str">
        <f ca="1">IFERROR(__xludf.DUMMYFUNCTION("""COMPUTED_VALUE"""),"Yes")</f>
        <v>Yes</v>
      </c>
      <c r="AK2343" s="8" t="str">
        <f ca="1">IFERROR(__xludf.DUMMYFUNCTION("""COMPUTED_VALUE"""),"No")</f>
        <v>No</v>
      </c>
      <c r="AL2343" s="8" t="str">
        <f ca="1">IFERROR(__xludf.DUMMYFUNCTION("""COMPUTED_VALUE"""),"No")</f>
        <v>No</v>
      </c>
      <c r="AM2343" s="8" t="str">
        <f ca="1">IFERROR(__xludf.DUMMYFUNCTION("""COMPUTED_VALUE"""),"Yes")</f>
        <v>Yes</v>
      </c>
      <c r="AN2343" s="8" t="str">
        <f ca="1">IFERROR(__xludf.DUMMYFUNCTION("""COMPUTED_VALUE"""),"Multiple Rooms")</f>
        <v>Multiple Rooms</v>
      </c>
      <c r="AO2343" s="8" t="str">
        <f ca="1">IFERROR(__xludf.DUMMYFUNCTION("""COMPUTED_VALUE"""),"Yes")</f>
        <v>Yes</v>
      </c>
      <c r="AP2343" s="8" t="str">
        <f ca="1">IFERROR(__xludf.DUMMYFUNCTION("""COMPUTED_VALUE"""),"No")</f>
        <v>No</v>
      </c>
      <c r="AQ2343" s="8" t="str">
        <f ca="1">IFERROR(__xludf.DUMMYFUNCTION("""COMPUTED_VALUE"""),"Unknown")</f>
        <v>Unknown</v>
      </c>
      <c r="AR2343" s="8" t="str">
        <f ca="1">IFERROR(__xludf.DUMMYFUNCTION("""COMPUTED_VALUE"""),"NA")</f>
        <v>NA</v>
      </c>
      <c r="AS2343" s="8">
        <f ca="1">IFERROR(__xludf.DUMMYFUNCTION("""COMPUTED_VALUE"""),3)</f>
        <v>3</v>
      </c>
      <c r="AT2343" s="8"/>
      <c r="AU2343" s="8">
        <f ca="1">IFERROR(__xludf.DUMMYFUNCTION("""COMPUTED_VALUE"""),45.463912)</f>
        <v>45.463912000000001</v>
      </c>
      <c r="AV2343" s="8">
        <f ca="1">IFERROR(__xludf.DUMMYFUNCTION("""COMPUTED_VALUE"""),-94.428589)</f>
        <v>-94.428589000000002</v>
      </c>
      <c r="AW2343" s="8"/>
      <c r="AX2343" s="8">
        <f ca="1">IFERROR(__xludf.DUMMYFUNCTION("""COMPUTED_VALUE"""),56320)</f>
        <v>56320</v>
      </c>
    </row>
    <row r="2344" spans="1:50" ht="150" x14ac:dyDescent="0.2">
      <c r="A2344" s="8" t="str">
        <f ca="1">IFERROR(__xludf.DUMMYFUNCTION("""COMPUTED_VALUE"""),"20030922MNJOR")</f>
        <v>20030922MNJOR</v>
      </c>
      <c r="B2344" s="8">
        <f ca="1">IFERROR(__xludf.DUMMYFUNCTION("""COMPUTED_VALUE"""),9)</f>
        <v>9</v>
      </c>
      <c r="C2344" s="8">
        <f ca="1">IFERROR(__xludf.DUMMYFUNCTION("""COMPUTED_VALUE"""),22)</f>
        <v>22</v>
      </c>
      <c r="D2344" s="8">
        <f ca="1">IFERROR(__xludf.DUMMYFUNCTION("""COMPUTED_VALUE"""),2003)</f>
        <v>2003</v>
      </c>
      <c r="E2344" s="9">
        <f ca="1">IFERROR(__xludf.DUMMYFUNCTION("""COMPUTED_VALUE"""),37886)</f>
        <v>37886</v>
      </c>
      <c r="F2344" s="8" t="str">
        <f ca="1">IFERROR(__xludf.DUMMYFUNCTION("""COMPUTED_VALUE"""),"John Marshall High School")</f>
        <v>John Marshall High School</v>
      </c>
      <c r="G2344" s="8">
        <f ca="1">IFERROR(__xludf.DUMMYFUNCTION("""COMPUTED_VALUE"""),0)</f>
        <v>0</v>
      </c>
      <c r="H2344" s="8">
        <f ca="1">IFERROR(__xludf.DUMMYFUNCTION("""COMPUTED_VALUE"""),0)</f>
        <v>0</v>
      </c>
      <c r="I2344" s="8">
        <f ca="1">IFERROR(__xludf.DUMMYFUNCTION("""COMPUTED_VALUE"""),0)</f>
        <v>0</v>
      </c>
      <c r="J2344" s="8">
        <f ca="1">IFERROR(__xludf.DUMMYFUNCTION("""COMPUTED_VALUE"""),0)</f>
        <v>0</v>
      </c>
      <c r="K2344" s="10" t="str">
        <f ca="1">IFERROR(__xludf.DUMMYFUNCTION("""COMPUTED_VALUE"""),"https://archive.is/16kFZ#selection-4431.54-4431.79")</f>
        <v>https://archive.is/16kFZ#selection-4431.54-4431.79</v>
      </c>
      <c r="L2344" s="8"/>
      <c r="M2344" s="8" t="str">
        <f ca="1">IFERROR(__xludf.DUMMYFUNCTION("""COMPUTED_VALUE"""),"Local")</f>
        <v>Local</v>
      </c>
      <c r="N2344" s="8">
        <f ca="1">IFERROR(__xludf.DUMMYFUNCTION("""COMPUTED_VALUE"""),4)</f>
        <v>4</v>
      </c>
      <c r="O2344" s="8" t="str">
        <f ca="1">IFERROR(__xludf.DUMMYFUNCTION("""COMPUTED_VALUE"""),"Fall")</f>
        <v>Fall</v>
      </c>
      <c r="P2344" s="8" t="str">
        <f ca="1">IFERROR(__xludf.DUMMYFUNCTION("""COMPUTED_VALUE"""),"Rochester")</f>
        <v>Rochester</v>
      </c>
      <c r="Q2344" s="8" t="str">
        <f ca="1">IFERROR(__xludf.DUMMYFUNCTION("""COMPUTED_VALUE"""),"MN")</f>
        <v>MN</v>
      </c>
      <c r="R2344" s="8" t="str">
        <f ca="1">IFERROR(__xludf.DUMMYFUNCTION("""COMPUTED_VALUE"""),"High")</f>
        <v>High</v>
      </c>
      <c r="S2344" s="8" t="str">
        <f ca="1">IFERROR(__xludf.DUMMYFUNCTION("""COMPUTED_VALUE"""),"Beside Building")</f>
        <v>Beside Building</v>
      </c>
      <c r="T2344" s="8" t="str">
        <f ca="1">IFERROR(__xludf.DUMMYFUNCTION("""COMPUTED_VALUE"""),"Outside on School Property")</f>
        <v>Outside on School Property</v>
      </c>
      <c r="U2344" s="8" t="str">
        <f ca="1">IFERROR(__xludf.DUMMYFUNCTION("""COMPUTED_VALUE"""),"Yes")</f>
        <v>Yes</v>
      </c>
      <c r="V2344" s="8" t="str">
        <f ca="1">IFERROR(__xludf.DUMMYFUNCTION("""COMPUTED_VALUE"""),"Morning Classes")</f>
        <v>Morning Classes</v>
      </c>
      <c r="W2344" s="11">
        <f ca="1">IFERROR(__xludf.DUMMYFUNCTION("""COMPUTED_VALUE"""),0.40625)</f>
        <v>0.40625</v>
      </c>
      <c r="X2344" s="8">
        <f ca="1">IFERROR(__xludf.DUMMYFUNCTION("""COMPUTED_VALUE"""),1)</f>
        <v>1</v>
      </c>
      <c r="Y2344" s="12" t="str">
        <f ca="1">IFERROR(__xludf.DUMMYFUNCTION("""COMPUTED_VALUE"""),"Man pointed gun a student leaving the building, campus went on lockdown")</f>
        <v>Man pointed gun a student leaving the building, campus went on lockdown</v>
      </c>
      <c r="Z2344" s="12" t="str">
        <f ca="1">IFERROR(__xludf.DUMMYFUNCTION("""COMPUTED_VALUE"""),"A man in his 20s was arrested on the grounds of John Marshall High School this morning after pointing what proved to be a pellet gun at a student who was leaving the building. The suspect, whose name was not available but who was not a student at JM, was "&amp;"arrested by the school's liaison officer in the parking lot, but not before the man tried to hide a clip to a .45-caliber handgun under the rear tire of a truck, said Police Lt. Dan Muyres. The incident was reported about 9.45 a.m. The man reportedly neve"&amp;"r entered the school.")</f>
        <v>A man in his 20s was arrested on the grounds of John Marshall High School this morning after pointing what proved to be a pellet gun at a student who was leaving the building. The suspect, whose name was not available but who was not a student at JM, was arrested by the school's liaison officer in the parking lot, but not before the man tried to hide a clip to a .45-caliber handgun under the rear tire of a truck, said Police Lt. Dan Muyres. The incident was reported about 9.45 a.m. The man reportedly never entered the school.</v>
      </c>
      <c r="AA2344" s="8" t="str">
        <f ca="1">IFERROR(__xludf.DUMMYFUNCTION("""COMPUTED_VALUE"""),"Escalation of Dispute")</f>
        <v>Escalation of Dispute</v>
      </c>
      <c r="AB2344" s="8" t="str">
        <f ca="1">IFERROR(__xludf.DUMMYFUNCTION("""COMPUTED_VALUE"""),"Targeted")</f>
        <v>Targeted</v>
      </c>
      <c r="AC2344" s="8" t="str">
        <f ca="1">IFERROR(__xludf.DUMMYFUNCTION("""COMPUTED_VALUE"""),"Yes")</f>
        <v>Yes</v>
      </c>
      <c r="AD2344" s="8" t="str">
        <f ca="1">IFERROR(__xludf.DUMMYFUNCTION("""COMPUTED_VALUE"""),"Victims Targeted")</f>
        <v>Victims Targeted</v>
      </c>
      <c r="AE2344" s="8" t="str">
        <f ca="1">IFERROR(__xludf.DUMMYFUNCTION("""COMPUTED_VALUE"""),"No")</f>
        <v>No</v>
      </c>
      <c r="AF2344" s="8"/>
      <c r="AG2344" s="8" t="str">
        <f ca="1">IFERROR(__xludf.DUMMYFUNCTION("""COMPUTED_VALUE"""),"No")</f>
        <v>No</v>
      </c>
      <c r="AH2344" s="8" t="str">
        <f ca="1">IFERROR(__xludf.DUMMYFUNCTION("""COMPUTED_VALUE"""),"No")</f>
        <v>No</v>
      </c>
      <c r="AI2344" s="8" t="str">
        <f ca="1">IFERROR(__xludf.DUMMYFUNCTION("""COMPUTED_VALUE"""),"No")</f>
        <v>No</v>
      </c>
      <c r="AJ2344" s="8" t="str">
        <f ca="1">IFERROR(__xludf.DUMMYFUNCTION("""COMPUTED_VALUE"""),"No")</f>
        <v>No</v>
      </c>
      <c r="AK2344" s="8" t="str">
        <f ca="1">IFERROR(__xludf.DUMMYFUNCTION("""COMPUTED_VALUE"""),"No")</f>
        <v>No</v>
      </c>
      <c r="AL2344" s="8" t="str">
        <f ca="1">IFERROR(__xludf.DUMMYFUNCTION("""COMPUTED_VALUE"""),"No")</f>
        <v>No</v>
      </c>
      <c r="AM2344" s="8" t="str">
        <f ca="1">IFERROR(__xludf.DUMMYFUNCTION("""COMPUTED_VALUE"""),"No")</f>
        <v>No</v>
      </c>
      <c r="AN2344" s="8" t="str">
        <f ca="1">IFERROR(__xludf.DUMMYFUNCTION("""COMPUTED_VALUE"""),"Outside")</f>
        <v>Outside</v>
      </c>
      <c r="AO2344" s="8" t="str">
        <f ca="1">IFERROR(__xludf.DUMMYFUNCTION("""COMPUTED_VALUE"""),"No")</f>
        <v>No</v>
      </c>
      <c r="AP2344" s="8"/>
      <c r="AQ2344" s="8"/>
      <c r="AR2344" s="8"/>
      <c r="AS2344" s="8">
        <f ca="1">IFERROR(__xludf.DUMMYFUNCTION("""COMPUTED_VALUE"""),0)</f>
        <v>0</v>
      </c>
      <c r="AT2344" s="8" t="str">
        <f ca="1">IFERROR(__xludf.DUMMYFUNCTION("""COMPUTED_VALUE"""),"Yes")</f>
        <v>Yes</v>
      </c>
      <c r="AU2344" s="8">
        <f ca="1">IFERROR(__xludf.DUMMYFUNCTION("""COMPUTED_VALUE"""),44.035074)</f>
        <v>44.035074000000002</v>
      </c>
      <c r="AV2344" s="8">
        <f ca="1">IFERROR(__xludf.DUMMYFUNCTION("""COMPUTED_VALUE"""),-92.484356)</f>
        <v>-92.484356000000005</v>
      </c>
      <c r="AW2344" s="8" t="str">
        <f ca="1">IFERROR(__xludf.DUMMYFUNCTION("""COMPUTED_VALUE"""),"Multiple attached buildings")</f>
        <v>Multiple attached buildings</v>
      </c>
      <c r="AX2344" s="8">
        <f ca="1">IFERROR(__xludf.DUMMYFUNCTION("""COMPUTED_VALUE"""),55901)</f>
        <v>55901</v>
      </c>
    </row>
    <row r="2345" spans="1:50" ht="105" x14ac:dyDescent="0.2">
      <c r="A2345" s="8" t="str">
        <f ca="1">IFERROR(__xludf.DUMMYFUNCTION("""COMPUTED_VALUE"""),"20030922WALES")</f>
        <v>20030922WALES</v>
      </c>
      <c r="B2345" s="8">
        <f ca="1">IFERROR(__xludf.DUMMYFUNCTION("""COMPUTED_VALUE"""),9)</f>
        <v>9</v>
      </c>
      <c r="C2345" s="8">
        <f ca="1">IFERROR(__xludf.DUMMYFUNCTION("""COMPUTED_VALUE"""),22)</f>
        <v>22</v>
      </c>
      <c r="D2345" s="8">
        <f ca="1">IFERROR(__xludf.DUMMYFUNCTION("""COMPUTED_VALUE"""),2003)</f>
        <v>2003</v>
      </c>
      <c r="E2345" s="9">
        <f ca="1">IFERROR(__xludf.DUMMYFUNCTION("""COMPUTED_VALUE"""),37886)</f>
        <v>37886</v>
      </c>
      <c r="F2345" s="8" t="str">
        <f ca="1">IFERROR(__xludf.DUMMYFUNCTION("""COMPUTED_VALUE"""),"Lewis and Clark High School")</f>
        <v>Lewis and Clark High School</v>
      </c>
      <c r="G2345" s="8">
        <f ca="1">IFERROR(__xludf.DUMMYFUNCTION("""COMPUTED_VALUE"""),0)</f>
        <v>0</v>
      </c>
      <c r="H2345" s="8">
        <f ca="1">IFERROR(__xludf.DUMMYFUNCTION("""COMPUTED_VALUE"""),1)</f>
        <v>1</v>
      </c>
      <c r="I2345" s="8">
        <f ca="1">IFERROR(__xludf.DUMMYFUNCTION("""COMPUTED_VALUE"""),1)</f>
        <v>1</v>
      </c>
      <c r="J2345" s="8">
        <f ca="1">IFERROR(__xludf.DUMMYFUNCTION("""COMPUTED_VALUE"""),0)</f>
        <v>0</v>
      </c>
      <c r="K2345" s="10" t="str">
        <f ca="1">IFERROR(__xludf.DUMMYFUNCTION("""COMPUTED_VALUE"""),"http://www.spokesman.com/stories/2004/sep/04/father-says-police-too-aggressive-high-school-shoo/")</f>
        <v>http://www.spokesman.com/stories/2004/sep/04/father-says-police-too-aggressive-high-school-shoo/</v>
      </c>
      <c r="L2345" s="8"/>
      <c r="M2345" s="8"/>
      <c r="N2345" s="8">
        <f ca="1">IFERROR(__xludf.DUMMYFUNCTION("""COMPUTED_VALUE"""),2)</f>
        <v>2</v>
      </c>
      <c r="O2345" s="8" t="str">
        <f ca="1">IFERROR(__xludf.DUMMYFUNCTION("""COMPUTED_VALUE"""),"Fall")</f>
        <v>Fall</v>
      </c>
      <c r="P2345" s="8" t="str">
        <f ca="1">IFERROR(__xludf.DUMMYFUNCTION("""COMPUTED_VALUE"""),"Spokane")</f>
        <v>Spokane</v>
      </c>
      <c r="Q2345" s="8" t="str">
        <f ca="1">IFERROR(__xludf.DUMMYFUNCTION("""COMPUTED_VALUE"""),"WA")</f>
        <v>WA</v>
      </c>
      <c r="R2345" s="8" t="str">
        <f ca="1">IFERROR(__xludf.DUMMYFUNCTION("""COMPUTED_VALUE"""),"High")</f>
        <v>High</v>
      </c>
      <c r="S2345" s="8" t="str">
        <f ca="1">IFERROR(__xludf.DUMMYFUNCTION("""COMPUTED_VALUE"""),"Classroom")</f>
        <v>Classroom</v>
      </c>
      <c r="T2345" s="8" t="str">
        <f ca="1">IFERROR(__xludf.DUMMYFUNCTION("""COMPUTED_VALUE"""),"Inside School Building")</f>
        <v>Inside School Building</v>
      </c>
      <c r="U2345" s="8" t="str">
        <f ca="1">IFERROR(__xludf.DUMMYFUNCTION("""COMPUTED_VALUE"""),"Yes")</f>
        <v>Yes</v>
      </c>
      <c r="V2345" s="8" t="str">
        <f ca="1">IFERROR(__xludf.DUMMYFUNCTION("""COMPUTED_VALUE"""),"Lunch")</f>
        <v>Lunch</v>
      </c>
      <c r="W2345" s="11">
        <f ca="1">IFERROR(__xludf.DUMMYFUNCTION("""COMPUTED_VALUE"""),0.465277777777777)</f>
        <v>0.46527777777777701</v>
      </c>
      <c r="X2345" s="8">
        <f ca="1">IFERROR(__xludf.DUMMYFUNCTION("""COMPUTED_VALUE"""),95)</f>
        <v>95</v>
      </c>
      <c r="Y2345" s="12" t="str">
        <f ca="1">IFERROR(__xludf.DUMMYFUNCTION("""COMPUTED_VALUE"""),"Took 3 students hostage in classroom for an hour, shot by police")</f>
        <v>Took 3 students hostage in classroom for an hour, shot by police</v>
      </c>
      <c r="Z2345" s="12" t="str">
        <f ca="1">IFERROR(__xludf.DUMMYFUNCTION("""COMPUTED_VALUE"""),"17YOM walked into classroom during lunch and pulled gun. Told teacher to leave and fired shot at her. Blocked door and held 3 students hostage. Discharged fire extinguisher. Shot by police officers when he climbed on top of a bookcase. Father reported the"&amp;" shooter was hearing voices and on pain medication. Recently watched the movie ""Phone Booth"" about a hostage standoff.")</f>
        <v>17YOM walked into classroom during lunch and pulled gun. Told teacher to leave and fired shot at her. Blocked door and held 3 students hostage. Discharged fire extinguisher. Shot by police officers when he climbed on top of a bookcase. Father reported the shooter was hearing voices and on pain medication. Recently watched the movie "Phone Booth" about a hostage standoff.</v>
      </c>
      <c r="AA2345" s="8" t="str">
        <f ca="1">IFERROR(__xludf.DUMMYFUNCTION("""COMPUTED_VALUE"""),"Hostage/Standoff")</f>
        <v>Hostage/Standoff</v>
      </c>
      <c r="AB2345" s="8"/>
      <c r="AC2345" s="8"/>
      <c r="AD2345" s="8"/>
      <c r="AE2345" s="8" t="str">
        <f ca="1">IFERROR(__xludf.DUMMYFUNCTION("""COMPUTED_VALUE"""),"No")</f>
        <v>No</v>
      </c>
      <c r="AF2345" s="8"/>
      <c r="AG2345" s="8" t="str">
        <f ca="1">IFERROR(__xludf.DUMMYFUNCTION("""COMPUTED_VALUE"""),"Yes")</f>
        <v>Yes</v>
      </c>
      <c r="AH2345" s="8" t="str">
        <f ca="1">IFERROR(__xludf.DUMMYFUNCTION("""COMPUTED_VALUE"""),"Yes")</f>
        <v>Yes</v>
      </c>
      <c r="AI2345" s="8" t="str">
        <f ca="1">IFERROR(__xludf.DUMMYFUNCTION("""COMPUTED_VALUE"""),"No")</f>
        <v>No</v>
      </c>
      <c r="AJ2345" s="8"/>
      <c r="AK2345" s="8" t="str">
        <f ca="1">IFERROR(__xludf.DUMMYFUNCTION("""COMPUTED_VALUE"""),"No")</f>
        <v>No</v>
      </c>
      <c r="AL2345" s="8" t="str">
        <f ca="1">IFERROR(__xludf.DUMMYFUNCTION("""COMPUTED_VALUE"""),"No")</f>
        <v>No</v>
      </c>
      <c r="AM2345" s="8" t="str">
        <f ca="1">IFERROR(__xludf.DUMMYFUNCTION("""COMPUTED_VALUE"""),"Yes")</f>
        <v>Yes</v>
      </c>
      <c r="AN2345" s="8" t="str">
        <f ca="1">IFERROR(__xludf.DUMMYFUNCTION("""COMPUTED_VALUE"""),"Single Room")</f>
        <v>Single Room</v>
      </c>
      <c r="AO2345" s="8" t="str">
        <f ca="1">IFERROR(__xludf.DUMMYFUNCTION("""COMPUTED_VALUE"""),"No")</f>
        <v>No</v>
      </c>
      <c r="AP2345" s="8" t="str">
        <f ca="1">IFERROR(__xludf.DUMMYFUNCTION("""COMPUTED_VALUE"""),"No")</f>
        <v>No</v>
      </c>
      <c r="AQ2345" s="8" t="str">
        <f ca="1">IFERROR(__xludf.DUMMYFUNCTION("""COMPUTED_VALUE"""),"Unknown")</f>
        <v>Unknown</v>
      </c>
      <c r="AR2345" s="8" t="str">
        <f ca="1">IFERROR(__xludf.DUMMYFUNCTION("""COMPUTED_VALUE"""),"NA")</f>
        <v>NA</v>
      </c>
      <c r="AS2345" s="8">
        <f ca="1">IFERROR(__xludf.DUMMYFUNCTION("""COMPUTED_VALUE"""),1)</f>
        <v>1</v>
      </c>
      <c r="AT2345" s="8"/>
      <c r="AU2345" s="8">
        <f ca="1">IFERROR(__xludf.DUMMYFUNCTION("""COMPUTED_VALUE"""),47.651856)</f>
        <v>47.651856000000002</v>
      </c>
      <c r="AV2345" s="8">
        <f ca="1">IFERROR(__xludf.DUMMYFUNCTION("""COMPUTED_VALUE"""),-117.420465)</f>
        <v>-117.42046499999999</v>
      </c>
      <c r="AW2345" s="8"/>
      <c r="AX2345" s="8">
        <f ca="1">IFERROR(__xludf.DUMMYFUNCTION("""COMPUTED_VALUE"""),99201)</f>
        <v>99201</v>
      </c>
    </row>
    <row r="2346" spans="1:50" ht="90" x14ac:dyDescent="0.2">
      <c r="A2346" s="8" t="str">
        <f ca="1">IFERROR(__xludf.DUMMYFUNCTION("""COMPUTED_VALUE"""),"20030917MDOKE")</f>
        <v>20030917MDOKE</v>
      </c>
      <c r="B2346" s="8">
        <f ca="1">IFERROR(__xludf.DUMMYFUNCTION("""COMPUTED_VALUE"""),9)</f>
        <v>9</v>
      </c>
      <c r="C2346" s="8">
        <f ca="1">IFERROR(__xludf.DUMMYFUNCTION("""COMPUTED_VALUE"""),17)</f>
        <v>17</v>
      </c>
      <c r="D2346" s="8">
        <f ca="1">IFERROR(__xludf.DUMMYFUNCTION("""COMPUTED_VALUE"""),2003)</f>
        <v>2003</v>
      </c>
      <c r="E2346" s="9">
        <f ca="1">IFERROR(__xludf.DUMMYFUNCTION("""COMPUTED_VALUE"""),37881)</f>
        <v>37881</v>
      </c>
      <c r="F2346" s="8" t="str">
        <f ca="1">IFERROR(__xludf.DUMMYFUNCTION("""COMPUTED_VALUE"""),"Oklahoma Road Middle School")</f>
        <v>Oklahoma Road Middle School</v>
      </c>
      <c r="G2346" s="8">
        <f ca="1">IFERROR(__xludf.DUMMYFUNCTION("""COMPUTED_VALUE"""),0)</f>
        <v>0</v>
      </c>
      <c r="H2346" s="8">
        <f ca="1">IFERROR(__xludf.DUMMYFUNCTION("""COMPUTED_VALUE"""),0)</f>
        <v>0</v>
      </c>
      <c r="I2346" s="8">
        <f ca="1">IFERROR(__xludf.DUMMYFUNCTION("""COMPUTED_VALUE"""),0)</f>
        <v>0</v>
      </c>
      <c r="J2346" s="8">
        <f ca="1">IFERROR(__xludf.DUMMYFUNCTION("""COMPUTED_VALUE"""),0)</f>
        <v>0</v>
      </c>
      <c r="K2346" s="10" t="str">
        <f ca="1">IFERROR(__xludf.DUMMYFUNCTION("""COMPUTED_VALUE"""),"https://en.wikipedia.org/wiki/List_of_school_shootings_in_the_United_States")</f>
        <v>https://en.wikipedia.org/wiki/List_of_school_shootings_in_the_United_States</v>
      </c>
      <c r="L2346" s="8"/>
      <c r="M2346" s="8"/>
      <c r="N2346" s="8">
        <f ca="1">IFERROR(__xludf.DUMMYFUNCTION("""COMPUTED_VALUE"""),1)</f>
        <v>1</v>
      </c>
      <c r="O2346" s="8" t="str">
        <f ca="1">IFERROR(__xludf.DUMMYFUNCTION("""COMPUTED_VALUE"""),"Fall")</f>
        <v>Fall</v>
      </c>
      <c r="P2346" s="8" t="str">
        <f ca="1">IFERROR(__xludf.DUMMYFUNCTION("""COMPUTED_VALUE"""),"Eldersburg")</f>
        <v>Eldersburg</v>
      </c>
      <c r="Q2346" s="8" t="str">
        <f ca="1">IFERROR(__xludf.DUMMYFUNCTION("""COMPUTED_VALUE"""),"MD")</f>
        <v>MD</v>
      </c>
      <c r="R2346" s="8" t="str">
        <f ca="1">IFERROR(__xludf.DUMMYFUNCTION("""COMPUTED_VALUE"""),"Middle")</f>
        <v>Middle</v>
      </c>
      <c r="S2346" s="8" t="str">
        <f ca="1">IFERROR(__xludf.DUMMYFUNCTION("""COMPUTED_VALUE"""),"Bathroom")</f>
        <v>Bathroom</v>
      </c>
      <c r="T2346" s="8" t="str">
        <f ca="1">IFERROR(__xludf.DUMMYFUNCTION("""COMPUTED_VALUE"""),"Inside School Building")</f>
        <v>Inside School Building</v>
      </c>
      <c r="U2346" s="8" t="str">
        <f ca="1">IFERROR(__xludf.DUMMYFUNCTION("""COMPUTED_VALUE"""),"Yes")</f>
        <v>Yes</v>
      </c>
      <c r="V2346" s="8" t="str">
        <f ca="1">IFERROR(__xludf.DUMMYFUNCTION("""COMPUTED_VALUE"""),"Morning Classes")</f>
        <v>Morning Classes</v>
      </c>
      <c r="W2346" s="11">
        <f ca="1">IFERROR(__xludf.DUMMYFUNCTION("""COMPUTED_VALUE"""),0.416666666666666)</f>
        <v>0.41666666666666602</v>
      </c>
      <c r="X2346" s="8">
        <f ca="1">IFERROR(__xludf.DUMMYFUNCTION("""COMPUTED_VALUE"""),1)</f>
        <v>1</v>
      </c>
      <c r="Y2346" s="12" t="str">
        <f ca="1">IFERROR(__xludf.DUMMYFUNCTION("""COMPUTED_VALUE"""),"Fired shot in bathroom, surrendered to teacher who investigated")</f>
        <v>Fired shot in bathroom, surrendered to teacher who investigated</v>
      </c>
      <c r="Z2346" s="12" t="str">
        <f ca="1">IFERROR(__xludf.DUMMYFUNCTION("""COMPUTED_VALUE"""),"13YOM fired a .44 revolver in the bathroom of the school. A teacher went to investigate the sound of the gun shot and found the shooter sitting on the floor. The shooter peacefully went with the teacher to the principal's office. Shooter was reported to h"&amp;"ave psychological problems and possible attempted suicide.")</f>
        <v>13YOM fired a .44 revolver in the bathroom of the school. A teacher went to investigate the sound of the gun shot and found the shooter sitting on the floor. The shooter peacefully went with the teacher to the principal's office. Shooter was reported to have psychological problems and possible attempted suicide.</v>
      </c>
      <c r="AA2346" s="8" t="str">
        <f ca="1">IFERROR(__xludf.DUMMYFUNCTION("""COMPUTED_VALUE"""),"Suicide/Attempted")</f>
        <v>Suicide/Attempted</v>
      </c>
      <c r="AB2346" s="8"/>
      <c r="AC2346" s="8"/>
      <c r="AD2346" s="8"/>
      <c r="AE2346" s="8" t="str">
        <f ca="1">IFERROR(__xludf.DUMMYFUNCTION("""COMPUTED_VALUE"""),"No")</f>
        <v>No</v>
      </c>
      <c r="AF2346" s="8"/>
      <c r="AG2346" s="8" t="str">
        <f ca="1">IFERROR(__xludf.DUMMYFUNCTION("""COMPUTED_VALUE"""),"No")</f>
        <v>No</v>
      </c>
      <c r="AH2346" s="8" t="str">
        <f ca="1">IFERROR(__xludf.DUMMYFUNCTION("""COMPUTED_VALUE"""),"No")</f>
        <v>No</v>
      </c>
      <c r="AI2346" s="8" t="str">
        <f ca="1">IFERROR(__xludf.DUMMYFUNCTION("""COMPUTED_VALUE"""),"No")</f>
        <v>No</v>
      </c>
      <c r="AJ2346" s="8" t="str">
        <f ca="1">IFERROR(__xludf.DUMMYFUNCTION("""COMPUTED_VALUE"""),"No")</f>
        <v>No</v>
      </c>
      <c r="AK2346" s="8" t="str">
        <f ca="1">IFERROR(__xludf.DUMMYFUNCTION("""COMPUTED_VALUE"""),"No")</f>
        <v>No</v>
      </c>
      <c r="AL2346" s="8" t="str">
        <f ca="1">IFERROR(__xludf.DUMMYFUNCTION("""COMPUTED_VALUE"""),"No")</f>
        <v>No</v>
      </c>
      <c r="AM2346" s="8"/>
      <c r="AN2346" s="8"/>
      <c r="AO2346" s="8" t="str">
        <f ca="1">IFERROR(__xludf.DUMMYFUNCTION("""COMPUTED_VALUE"""),"No")</f>
        <v>No</v>
      </c>
      <c r="AP2346" s="8"/>
      <c r="AQ2346" s="8" t="str">
        <f ca="1">IFERROR(__xludf.DUMMYFUNCTION("""COMPUTED_VALUE"""),"Unknown")</f>
        <v>Unknown</v>
      </c>
      <c r="AR2346" s="8" t="str">
        <f ca="1">IFERROR(__xludf.DUMMYFUNCTION("""COMPUTED_VALUE"""),"NA")</f>
        <v>NA</v>
      </c>
      <c r="AS2346" s="8">
        <f ca="1">IFERROR(__xludf.DUMMYFUNCTION("""COMPUTED_VALUE"""),1)</f>
        <v>1</v>
      </c>
      <c r="AT2346" s="8"/>
      <c r="AU2346" s="8">
        <f ca="1">IFERROR(__xludf.DUMMYFUNCTION("""COMPUTED_VALUE"""),39.401323)</f>
        <v>39.401322999999998</v>
      </c>
      <c r="AV2346" s="8">
        <f ca="1">IFERROR(__xludf.DUMMYFUNCTION("""COMPUTED_VALUE"""),-76.931397)</f>
        <v>-76.931397000000004</v>
      </c>
      <c r="AW2346" s="8"/>
      <c r="AX2346" s="8">
        <f ca="1">IFERROR(__xludf.DUMMYFUNCTION("""COMPUTED_VALUE"""),21784)</f>
        <v>21784</v>
      </c>
    </row>
    <row r="2347" spans="1:50" ht="75" x14ac:dyDescent="0.2">
      <c r="A2347" s="8" t="str">
        <f ca="1">IFERROR(__xludf.DUMMYFUNCTION("""COMPUTED_VALUE"""),"20030917MACHB")</f>
        <v>20030917MACHB</v>
      </c>
      <c r="B2347" s="8">
        <f ca="1">IFERROR(__xludf.DUMMYFUNCTION("""COMPUTED_VALUE"""),9)</f>
        <v>9</v>
      </c>
      <c r="C2347" s="8">
        <f ca="1">IFERROR(__xludf.DUMMYFUNCTION("""COMPUTED_VALUE"""),17)</f>
        <v>17</v>
      </c>
      <c r="D2347" s="8">
        <f ca="1">IFERROR(__xludf.DUMMYFUNCTION("""COMPUTED_VALUE"""),2003)</f>
        <v>2003</v>
      </c>
      <c r="E2347" s="9">
        <f ca="1">IFERROR(__xludf.DUMMYFUNCTION("""COMPUTED_VALUE"""),37881)</f>
        <v>37881</v>
      </c>
      <c r="F2347" s="8" t="str">
        <f ca="1">IFERROR(__xludf.DUMMYFUNCTION("""COMPUTED_VALUE"""),"Charlestown High School")</f>
        <v>Charlestown High School</v>
      </c>
      <c r="G2347" s="8">
        <f ca="1">IFERROR(__xludf.DUMMYFUNCTION("""COMPUTED_VALUE"""),0)</f>
        <v>0</v>
      </c>
      <c r="H2347" s="8">
        <f ca="1">IFERROR(__xludf.DUMMYFUNCTION("""COMPUTED_VALUE"""),2)</f>
        <v>2</v>
      </c>
      <c r="I2347" s="8">
        <f ca="1">IFERROR(__xludf.DUMMYFUNCTION("""COMPUTED_VALUE"""),2)</f>
        <v>2</v>
      </c>
      <c r="J2347" s="8">
        <f ca="1">IFERROR(__xludf.DUMMYFUNCTION("""COMPUTED_VALUE"""),0)</f>
        <v>0</v>
      </c>
      <c r="K2347" s="10" t="str">
        <f ca="1">IFERROR(__xludf.DUMMYFUNCTION("""COMPUTED_VALUE"""),"http://archive.boston.com/news/local/articles/2003/09/18/teen_shot_near_charlestown_high/")</f>
        <v>http://archive.boston.com/news/local/articles/2003/09/18/teen_shot_near_charlestown_high/</v>
      </c>
      <c r="L2347" s="8"/>
      <c r="M2347" s="8"/>
      <c r="N2347" s="8">
        <f ca="1">IFERROR(__xludf.DUMMYFUNCTION("""COMPUTED_VALUE"""),2)</f>
        <v>2</v>
      </c>
      <c r="O2347" s="8" t="str">
        <f ca="1">IFERROR(__xludf.DUMMYFUNCTION("""COMPUTED_VALUE"""),"Fall")</f>
        <v>Fall</v>
      </c>
      <c r="P2347" s="8" t="str">
        <f ca="1">IFERROR(__xludf.DUMMYFUNCTION("""COMPUTED_VALUE"""),"Boston")</f>
        <v>Boston</v>
      </c>
      <c r="Q2347" s="8" t="str">
        <f ca="1">IFERROR(__xludf.DUMMYFUNCTION("""COMPUTED_VALUE"""),"MA")</f>
        <v>MA</v>
      </c>
      <c r="R2347" s="8" t="str">
        <f ca="1">IFERROR(__xludf.DUMMYFUNCTION("""COMPUTED_VALUE"""),"K-12")</f>
        <v>K-12</v>
      </c>
      <c r="S2347" s="8" t="str">
        <f ca="1">IFERROR(__xludf.DUMMYFUNCTION("""COMPUTED_VALUE"""),"Beside Building")</f>
        <v>Beside Building</v>
      </c>
      <c r="T2347" s="8" t="str">
        <f ca="1">IFERROR(__xludf.DUMMYFUNCTION("""COMPUTED_VALUE"""),"Outside on School Property")</f>
        <v>Outside on School Property</v>
      </c>
      <c r="U2347" s="8" t="str">
        <f ca="1">IFERROR(__xludf.DUMMYFUNCTION("""COMPUTED_VALUE"""),"No")</f>
        <v>No</v>
      </c>
      <c r="V2347" s="8" t="str">
        <f ca="1">IFERROR(__xludf.DUMMYFUNCTION("""COMPUTED_VALUE"""),"Dismissal")</f>
        <v>Dismissal</v>
      </c>
      <c r="W2347" s="11">
        <f ca="1">IFERROR(__xludf.DUMMYFUNCTION("""COMPUTED_VALUE"""),0.583333333333333)</f>
        <v>0.58333333333333304</v>
      </c>
      <c r="X2347" s="8">
        <f ca="1">IFERROR(__xludf.DUMMYFUNCTION("""COMPUTED_VALUE"""),1)</f>
        <v>1</v>
      </c>
      <c r="Y2347" s="12" t="str">
        <f ca="1">IFERROR(__xludf.DUMMYFUNCTION("""COMPUTED_VALUE"""),"Shot a specific victim during dismissal, missed hitting other student and police officer")</f>
        <v>Shot a specific victim during dismissal, missed hitting other student and police officer</v>
      </c>
      <c r="Z2347" s="12" t="str">
        <f ca="1">IFERROR(__xludf.DUMMYFUNCTION("""COMPUTED_VALUE"""),"14YOM fired at the crowd leaving the high school aiming for an intended target (possible rival gang members). Bullet struck a bystander student and a school police officer. Shooter fled the scene and was detained a few block away.")</f>
        <v>14YOM fired at the crowd leaving the high school aiming for an intended target (possible rival gang members). Bullet struck a bystander student and a school police officer. Shooter fled the scene and was detained a few block away.</v>
      </c>
      <c r="AA2347" s="8" t="str">
        <f ca="1">IFERROR(__xludf.DUMMYFUNCTION("""COMPUTED_VALUE"""),"Escalation of Dispute")</f>
        <v>Escalation of Dispute</v>
      </c>
      <c r="AB2347" s="8"/>
      <c r="AC2347" s="8"/>
      <c r="AD2347" s="8" t="str">
        <f ca="1">IFERROR(__xludf.DUMMYFUNCTION("""COMPUTED_VALUE"""),"Both")</f>
        <v>Both</v>
      </c>
      <c r="AE2347" s="8" t="str">
        <f ca="1">IFERROR(__xludf.DUMMYFUNCTION("""COMPUTED_VALUE"""),"No")</f>
        <v>No</v>
      </c>
      <c r="AF2347" s="8"/>
      <c r="AG2347" s="8" t="str">
        <f ca="1">IFERROR(__xludf.DUMMYFUNCTION("""COMPUTED_VALUE"""),"No")</f>
        <v>No</v>
      </c>
      <c r="AH2347" s="8" t="str">
        <f ca="1">IFERROR(__xludf.DUMMYFUNCTION("""COMPUTED_VALUE"""),"No")</f>
        <v>No</v>
      </c>
      <c r="AI2347" s="8" t="str">
        <f ca="1">IFERROR(__xludf.DUMMYFUNCTION("""COMPUTED_VALUE"""),"No")</f>
        <v>No</v>
      </c>
      <c r="AJ2347" s="8" t="str">
        <f ca="1">IFERROR(__xludf.DUMMYFUNCTION("""COMPUTED_VALUE"""),"No")</f>
        <v>No</v>
      </c>
      <c r="AK2347" s="8" t="str">
        <f ca="1">IFERROR(__xludf.DUMMYFUNCTION("""COMPUTED_VALUE"""),"No")</f>
        <v>No</v>
      </c>
      <c r="AL2347" s="8" t="str">
        <f ca="1">IFERROR(__xludf.DUMMYFUNCTION("""COMPUTED_VALUE"""),"Yes")</f>
        <v>Yes</v>
      </c>
      <c r="AM2347" s="8"/>
      <c r="AN2347" s="8"/>
      <c r="AO2347" s="8" t="str">
        <f ca="1">IFERROR(__xludf.DUMMYFUNCTION("""COMPUTED_VALUE"""),"No")</f>
        <v>No</v>
      </c>
      <c r="AP2347" s="8"/>
      <c r="AQ2347" s="8" t="str">
        <f ca="1">IFERROR(__xludf.DUMMYFUNCTION("""COMPUTED_VALUE"""),"Unknown")</f>
        <v>Unknown</v>
      </c>
      <c r="AR2347" s="8" t="str">
        <f ca="1">IFERROR(__xludf.DUMMYFUNCTION("""COMPUTED_VALUE"""),"NA")</f>
        <v>NA</v>
      </c>
      <c r="AS2347" s="8" t="str">
        <f ca="1">IFERROR(__xludf.DUMMYFUNCTION("""COMPUTED_VALUE"""),"&lt;10")</f>
        <v>&lt;10</v>
      </c>
      <c r="AT2347" s="8"/>
      <c r="AU2347" s="8">
        <f ca="1">IFERROR(__xludf.DUMMYFUNCTION("""COMPUTED_VALUE"""),42.380327)</f>
        <v>42.380327000000001</v>
      </c>
      <c r="AV2347" s="8">
        <f ca="1">IFERROR(__xludf.DUMMYFUNCTION("""COMPUTED_VALUE"""),-71.060863)</f>
        <v>-71.060862999999998</v>
      </c>
      <c r="AW2347" s="8"/>
      <c r="AX2347" s="8">
        <f ca="1">IFERROR(__xludf.DUMMYFUNCTION("""COMPUTED_VALUE"""),2129)</f>
        <v>2129</v>
      </c>
    </row>
    <row r="2348" spans="1:50" ht="60" x14ac:dyDescent="0.2">
      <c r="A2348" s="8" t="str">
        <f ca="1">IFERROR(__xludf.DUMMYFUNCTION("""COMPUTED_VALUE"""),"20030910MSVIV")</f>
        <v>20030910MSVIV</v>
      </c>
      <c r="B2348" s="8">
        <f ca="1">IFERROR(__xludf.DUMMYFUNCTION("""COMPUTED_VALUE"""),9)</f>
        <v>9</v>
      </c>
      <c r="C2348" s="8">
        <f ca="1">IFERROR(__xludf.DUMMYFUNCTION("""COMPUTED_VALUE"""),10)</f>
        <v>10</v>
      </c>
      <c r="D2348" s="8">
        <f ca="1">IFERROR(__xludf.DUMMYFUNCTION("""COMPUTED_VALUE"""),2003)</f>
        <v>2003</v>
      </c>
      <c r="E2348" s="9">
        <f ca="1">IFERROR(__xludf.DUMMYFUNCTION("""COMPUTED_VALUE"""),37874)</f>
        <v>37874</v>
      </c>
      <c r="F2348" s="8" t="str">
        <f ca="1">IFERROR(__xludf.DUMMYFUNCTION("""COMPUTED_VALUE"""),"Vicksburg High School")</f>
        <v>Vicksburg High School</v>
      </c>
      <c r="G2348" s="8">
        <f ca="1">IFERROR(__xludf.DUMMYFUNCTION("""COMPUTED_VALUE"""),1)</f>
        <v>1</v>
      </c>
      <c r="H2348" s="8">
        <f ca="1">IFERROR(__xludf.DUMMYFUNCTION("""COMPUTED_VALUE"""),0)</f>
        <v>0</v>
      </c>
      <c r="I2348" s="8">
        <f ca="1">IFERROR(__xludf.DUMMYFUNCTION("""COMPUTED_VALUE"""),1)</f>
        <v>1</v>
      </c>
      <c r="J2348" s="8">
        <f ca="1">IFERROR(__xludf.DUMMYFUNCTION("""COMPUTED_VALUE"""),0)</f>
        <v>0</v>
      </c>
      <c r="K2348" s="10" t="str">
        <f ca="1">IFERROR(__xludf.DUMMYFUNCTION("""COMPUTED_VALUE"""),"https://www.vicksburgpost.com/2003/09/11/former-vhs-student-shot-dead/")</f>
        <v>https://www.vicksburgpost.com/2003/09/11/former-vhs-student-shot-dead/</v>
      </c>
      <c r="L2348" s="8"/>
      <c r="M2348" s="8"/>
      <c r="N2348" s="8">
        <f ca="1">IFERROR(__xludf.DUMMYFUNCTION("""COMPUTED_VALUE"""),2)</f>
        <v>2</v>
      </c>
      <c r="O2348" s="8" t="str">
        <f ca="1">IFERROR(__xludf.DUMMYFUNCTION("""COMPUTED_VALUE"""),"Fall")</f>
        <v>Fall</v>
      </c>
      <c r="P2348" s="8" t="str">
        <f ca="1">IFERROR(__xludf.DUMMYFUNCTION("""COMPUTED_VALUE"""),"Vicksburg")</f>
        <v>Vicksburg</v>
      </c>
      <c r="Q2348" s="8" t="str">
        <f ca="1">IFERROR(__xludf.DUMMYFUNCTION("""COMPUTED_VALUE"""),"MS")</f>
        <v>MS</v>
      </c>
      <c r="R2348" s="8" t="str">
        <f ca="1">IFERROR(__xludf.DUMMYFUNCTION("""COMPUTED_VALUE"""),"High")</f>
        <v>High</v>
      </c>
      <c r="S2348" s="8" t="str">
        <f ca="1">IFERROR(__xludf.DUMMYFUNCTION("""COMPUTED_VALUE"""),"Football Field/Track")</f>
        <v>Football Field/Track</v>
      </c>
      <c r="T2348" s="8" t="str">
        <f ca="1">IFERROR(__xludf.DUMMYFUNCTION("""COMPUTED_VALUE"""),"Outside on School Property")</f>
        <v>Outside on School Property</v>
      </c>
      <c r="U2348" s="8" t="str">
        <f ca="1">IFERROR(__xludf.DUMMYFUNCTION("""COMPUTED_VALUE"""),"Yes")</f>
        <v>Yes</v>
      </c>
      <c r="V2348" s="8" t="str">
        <f ca="1">IFERROR(__xludf.DUMMYFUNCTION("""COMPUTED_VALUE"""),"Afternoon Classes")</f>
        <v>Afternoon Classes</v>
      </c>
      <c r="W2348" s="11">
        <f ca="1">IFERROR(__xludf.DUMMYFUNCTION("""COMPUTED_VALUE"""),0.604166666666666)</f>
        <v>0.60416666666666596</v>
      </c>
      <c r="X2348" s="8">
        <f ca="1">IFERROR(__xludf.DUMMYFUNCTION("""COMPUTED_VALUE"""),1)</f>
        <v>1</v>
      </c>
      <c r="Y2348" s="12" t="str">
        <f ca="1">IFERROR(__xludf.DUMMYFUNCTION("""COMPUTED_VALUE"""),"Ongoing feud resulted in shooting at school stadium")</f>
        <v>Ongoing feud resulted in shooting at school stadium</v>
      </c>
      <c r="Z2348" s="12" t="str">
        <f ca="1">IFERROR(__xludf.DUMMYFUNCTION("""COMPUTED_VALUE"""),"20YOM shot 20YOM outside of the school stadium as a result of an ongoing dispute. Unclear if either were related to the school. Students were in the area at the time of the shooting. Building was locked down.")</f>
        <v>20YOM shot 20YOM outside of the school stadium as a result of an ongoing dispute. Unclear if either were related to the school. Students were in the area at the time of the shooting. Building was locked down.</v>
      </c>
      <c r="AA2348" s="8" t="str">
        <f ca="1">IFERROR(__xludf.DUMMYFUNCTION("""COMPUTED_VALUE"""),"Escalation of Dispute")</f>
        <v>Escalation of Dispute</v>
      </c>
      <c r="AB2348" s="8"/>
      <c r="AC2348" s="8"/>
      <c r="AD2348" s="8" t="str">
        <f ca="1">IFERROR(__xludf.DUMMYFUNCTION("""COMPUTED_VALUE"""),"Victims Targeted")</f>
        <v>Victims Targeted</v>
      </c>
      <c r="AE2348" s="8" t="str">
        <f ca="1">IFERROR(__xludf.DUMMYFUNCTION("""COMPUTED_VALUE"""),"No")</f>
        <v>No</v>
      </c>
      <c r="AF2348" s="8"/>
      <c r="AG2348" s="8" t="str">
        <f ca="1">IFERROR(__xludf.DUMMYFUNCTION("""COMPUTED_VALUE"""),"No")</f>
        <v>No</v>
      </c>
      <c r="AH2348" s="8" t="str">
        <f ca="1">IFERROR(__xludf.DUMMYFUNCTION("""COMPUTED_VALUE"""),"No")</f>
        <v>No</v>
      </c>
      <c r="AI2348" s="8" t="str">
        <f ca="1">IFERROR(__xludf.DUMMYFUNCTION("""COMPUTED_VALUE"""),"No")</f>
        <v>No</v>
      </c>
      <c r="AJ2348" s="8" t="str">
        <f ca="1">IFERROR(__xludf.DUMMYFUNCTION("""COMPUTED_VALUE"""),"No")</f>
        <v>No</v>
      </c>
      <c r="AK2348" s="8" t="str">
        <f ca="1">IFERROR(__xludf.DUMMYFUNCTION("""COMPUTED_VALUE"""),"No")</f>
        <v>No</v>
      </c>
      <c r="AL2348" s="8" t="str">
        <f ca="1">IFERROR(__xludf.DUMMYFUNCTION("""COMPUTED_VALUE"""),"No")</f>
        <v>No</v>
      </c>
      <c r="AM2348" s="8"/>
      <c r="AN2348" s="8"/>
      <c r="AO2348" s="8" t="str">
        <f ca="1">IFERROR(__xludf.DUMMYFUNCTION("""COMPUTED_VALUE"""),"No")</f>
        <v>No</v>
      </c>
      <c r="AP2348" s="8" t="str">
        <f ca="1">IFERROR(__xludf.DUMMYFUNCTION("""COMPUTED_VALUE"""),"No")</f>
        <v>No</v>
      </c>
      <c r="AQ2348" s="8" t="str">
        <f ca="1">IFERROR(__xludf.DUMMYFUNCTION("""COMPUTED_VALUE"""),"Unknown")</f>
        <v>Unknown</v>
      </c>
      <c r="AR2348" s="8" t="str">
        <f ca="1">IFERROR(__xludf.DUMMYFUNCTION("""COMPUTED_VALUE"""),"NA")</f>
        <v>NA</v>
      </c>
      <c r="AS2348" s="8"/>
      <c r="AT2348" s="8"/>
      <c r="AU2348" s="8">
        <f ca="1">IFERROR(__xludf.DUMMYFUNCTION("""COMPUTED_VALUE"""),32.321404)</f>
        <v>32.321404000000001</v>
      </c>
      <c r="AV2348" s="8">
        <f ca="1">IFERROR(__xludf.DUMMYFUNCTION("""COMPUTED_VALUE"""),-90.885437)</f>
        <v>-90.885436999999996</v>
      </c>
      <c r="AW2348" s="8"/>
      <c r="AX2348" s="8">
        <f ca="1">IFERROR(__xludf.DUMMYFUNCTION("""COMPUTED_VALUE"""),39180)</f>
        <v>39180</v>
      </c>
    </row>
    <row r="2349" spans="1:50" ht="135" x14ac:dyDescent="0.2">
      <c r="A2349" s="8" t="str">
        <f ca="1">IFERROR(__xludf.DUMMYFUNCTION("""COMPUTED_VALUE"""),"20030604PAROW")</f>
        <v>20030604PAROW</v>
      </c>
      <c r="B2349" s="8">
        <f ca="1">IFERROR(__xludf.DUMMYFUNCTION("""COMPUTED_VALUE"""),6)</f>
        <v>6</v>
      </c>
      <c r="C2349" s="8">
        <f ca="1">IFERROR(__xludf.DUMMYFUNCTION("""COMPUTED_VALUE"""),4)</f>
        <v>4</v>
      </c>
      <c r="D2349" s="8">
        <f ca="1">IFERROR(__xludf.DUMMYFUNCTION("""COMPUTED_VALUE"""),2003)</f>
        <v>2003</v>
      </c>
      <c r="E2349" s="9">
        <f ca="1">IFERROR(__xludf.DUMMYFUNCTION("""COMPUTED_VALUE"""),37776)</f>
        <v>37776</v>
      </c>
      <c r="F2349" s="8" t="str">
        <f ca="1">IFERROR(__xludf.DUMMYFUNCTION("""COMPUTED_VALUE"""),"Rock L. Butler Middle School")</f>
        <v>Rock L. Butler Middle School</v>
      </c>
      <c r="G2349" s="8">
        <f ca="1">IFERROR(__xludf.DUMMYFUNCTION("""COMPUTED_VALUE"""),0)</f>
        <v>0</v>
      </c>
      <c r="H2349" s="8">
        <f ca="1">IFERROR(__xludf.DUMMYFUNCTION("""COMPUTED_VALUE"""),0)</f>
        <v>0</v>
      </c>
      <c r="I2349" s="8">
        <f ca="1">IFERROR(__xludf.DUMMYFUNCTION("""COMPUTED_VALUE"""),0)</f>
        <v>0</v>
      </c>
      <c r="J2349" s="8">
        <f ca="1">IFERROR(__xludf.DUMMYFUNCTION("""COMPUTED_VALUE"""),1)</f>
        <v>1</v>
      </c>
      <c r="K2349" s="8" t="str">
        <f ca="1">IFERROR(__xludf.DUMMYFUNCTION("""COMPUTED_VALUE"""),"http://www.tiogapublishing.com/news/shooting-reported-at-r-l-butler-middle-school/article_46fbda3f-8acf-5505-bbbb-4d2cd4584326.html http://www.tiogapublishing.com/news/police-conclude-investigation-into-suicide-at-middle-school/article_d4b606b9-3e5a-5ec3-"&amp;"9177-b1e3dde204ba.html")</f>
        <v>http://www.tiogapublishing.com/news/shooting-reported-at-r-l-butler-middle-school/article_46fbda3f-8acf-5505-bbbb-4d2cd4584326.html http://www.tiogapublishing.com/news/police-conclude-investigation-into-suicide-at-middle-school/article_d4b606b9-3e5a-5ec3-9177-b1e3dde204ba.html</v>
      </c>
      <c r="L2349" s="8"/>
      <c r="M2349" s="8"/>
      <c r="N2349" s="8">
        <f ca="1">IFERROR(__xludf.DUMMYFUNCTION("""COMPUTED_VALUE"""),2)</f>
        <v>2</v>
      </c>
      <c r="O2349" s="8" t="str">
        <f ca="1">IFERROR(__xludf.DUMMYFUNCTION("""COMPUTED_VALUE"""),"Summer")</f>
        <v>Summer</v>
      </c>
      <c r="P2349" s="8" t="str">
        <f ca="1">IFERROR(__xludf.DUMMYFUNCTION("""COMPUTED_VALUE"""),"Wellsboro")</f>
        <v>Wellsboro</v>
      </c>
      <c r="Q2349" s="8" t="str">
        <f ca="1">IFERROR(__xludf.DUMMYFUNCTION("""COMPUTED_VALUE"""),"PA")</f>
        <v>PA</v>
      </c>
      <c r="R2349" s="8" t="str">
        <f ca="1">IFERROR(__xludf.DUMMYFUNCTION("""COMPUTED_VALUE"""),"Middle")</f>
        <v>Middle</v>
      </c>
      <c r="S2349" s="8" t="str">
        <f ca="1">IFERROR(__xludf.DUMMYFUNCTION("""COMPUTED_VALUE"""),"Bathroom")</f>
        <v>Bathroom</v>
      </c>
      <c r="T2349" s="8" t="str">
        <f ca="1">IFERROR(__xludf.DUMMYFUNCTION("""COMPUTED_VALUE"""),"Inside School Building")</f>
        <v>Inside School Building</v>
      </c>
      <c r="U2349" s="8" t="str">
        <f ca="1">IFERROR(__xludf.DUMMYFUNCTION("""COMPUTED_VALUE"""),"Yes")</f>
        <v>Yes</v>
      </c>
      <c r="V2349" s="8" t="str">
        <f ca="1">IFERROR(__xludf.DUMMYFUNCTION("""COMPUTED_VALUE"""),"School Start")</f>
        <v>School Start</v>
      </c>
      <c r="W2349" s="11">
        <f ca="1">IFERROR(__xludf.DUMMYFUNCTION("""COMPUTED_VALUE"""),0.345138888888888)</f>
        <v>0.345138888888888</v>
      </c>
      <c r="X2349" s="8">
        <f ca="1">IFERROR(__xludf.DUMMYFUNCTION("""COMPUTED_VALUE"""),1)</f>
        <v>1</v>
      </c>
      <c r="Y2349" s="12" t="str">
        <f ca="1">IFERROR(__xludf.DUMMYFUNCTION("""COMPUTED_VALUE"""),"Brought duffel bag with 7 weapons, shot self in bathroom")</f>
        <v>Brought duffel bag with 7 weapons, shot self in bathroom</v>
      </c>
      <c r="Z2349" s="12" t="str">
        <f ca="1">IFERROR(__xludf.DUMMYFUNCTION("""COMPUTED_VALUE"""),"13YOM brought duffel bag with 7 guns (3 rifles, 2 shotguns, 2 handguns), dressed in camo, and hundreds of rounds of ammo to school. Went to school bathroom. Reported he was going to supply three other students with weapons but they backed out at the last "&amp;"second and said they were going to call the police. Police were alerted for a report of a student with weapons in the bathroom. 10 minutes later, the shooter commit suicide when police approached the bathroom.")</f>
        <v>13YOM brought duffel bag with 7 guns (3 rifles, 2 shotguns, 2 handguns), dressed in camo, and hundreds of rounds of ammo to school. Went to school bathroom. Reported he was going to supply three other students with weapons but they backed out at the last second and said they were going to call the police. Police were alerted for a report of a student with weapons in the bathroom. 10 minutes later, the shooter commit suicide when police approached the bathroom.</v>
      </c>
      <c r="AA2349" s="8" t="str">
        <f ca="1">IFERROR(__xludf.DUMMYFUNCTION("""COMPUTED_VALUE"""),"Indiscriminate Shooting")</f>
        <v>Indiscriminate Shooting</v>
      </c>
      <c r="AB2349" s="8"/>
      <c r="AC2349" s="8" t="str">
        <f ca="1">IFERROR(__xludf.DUMMYFUNCTION("""COMPUTED_VALUE"""),"Yes")</f>
        <v>Yes</v>
      </c>
      <c r="AD2349" s="8" t="str">
        <f ca="1">IFERROR(__xludf.DUMMYFUNCTION("""COMPUTED_VALUE"""),"Random Shooting")</f>
        <v>Random Shooting</v>
      </c>
      <c r="AE2349" s="8" t="str">
        <f ca="1">IFERROR(__xludf.DUMMYFUNCTION("""COMPUTED_VALUE"""),"Yes")</f>
        <v>Yes</v>
      </c>
      <c r="AF2349" s="8" t="str">
        <f ca="1">IFERROR(__xludf.DUMMYFUNCTION("""COMPUTED_VALUE"""),"Planned attack with 3 other students, backed out that morning and called police")</f>
        <v>Planned attack with 3 other students, backed out that morning and called police</v>
      </c>
      <c r="AG2349" s="8" t="str">
        <f ca="1">IFERROR(__xludf.DUMMYFUNCTION("""COMPUTED_VALUE"""),"No")</f>
        <v>No</v>
      </c>
      <c r="AH2349" s="8" t="str">
        <f ca="1">IFERROR(__xludf.DUMMYFUNCTION("""COMPUTED_VALUE"""),"No")</f>
        <v>No</v>
      </c>
      <c r="AI2349" s="8" t="str">
        <f ca="1">IFERROR(__xludf.DUMMYFUNCTION("""COMPUTED_VALUE"""),"No")</f>
        <v>No</v>
      </c>
      <c r="AJ2349" s="8" t="str">
        <f ca="1">IFERROR(__xludf.DUMMYFUNCTION("""COMPUTED_VALUE"""),"No")</f>
        <v>No</v>
      </c>
      <c r="AK2349" s="8" t="str">
        <f ca="1">IFERROR(__xludf.DUMMYFUNCTION("""COMPUTED_VALUE"""),"No")</f>
        <v>No</v>
      </c>
      <c r="AL2349" s="8" t="str">
        <f ca="1">IFERROR(__xludf.DUMMYFUNCTION("""COMPUTED_VALUE"""),"No")</f>
        <v>No</v>
      </c>
      <c r="AM2349" s="8" t="str">
        <f ca="1">IFERROR(__xludf.DUMMYFUNCTION("""COMPUTED_VALUE"""),"Yes")</f>
        <v>Yes</v>
      </c>
      <c r="AN2349" s="8" t="str">
        <f ca="1">IFERROR(__xludf.DUMMYFUNCTION("""COMPUTED_VALUE"""),"Single Room")</f>
        <v>Single Room</v>
      </c>
      <c r="AO2349" s="8" t="str">
        <f ca="1">IFERROR(__xludf.DUMMYFUNCTION("""COMPUTED_VALUE"""),"Yes")</f>
        <v>Yes</v>
      </c>
      <c r="AP2349" s="8"/>
      <c r="AQ2349" s="8" t="str">
        <f ca="1">IFERROR(__xludf.DUMMYFUNCTION("""COMPUTED_VALUE"""),"None")</f>
        <v>None</v>
      </c>
      <c r="AR2349" s="8" t="str">
        <f ca="1">IFERROR(__xludf.DUMMYFUNCTION("""COMPUTED_VALUE"""),"NA")</f>
        <v>NA</v>
      </c>
      <c r="AS2349" s="8">
        <f ca="1">IFERROR(__xludf.DUMMYFUNCTION("""COMPUTED_VALUE"""),1)</f>
        <v>1</v>
      </c>
      <c r="AT2349" s="8"/>
      <c r="AU2349" s="8">
        <f ca="1">IFERROR(__xludf.DUMMYFUNCTION("""COMPUTED_VALUE"""),41.750647)</f>
        <v>41.750647000000001</v>
      </c>
      <c r="AV2349" s="8">
        <f ca="1">IFERROR(__xludf.DUMMYFUNCTION("""COMPUTED_VALUE"""),-77.303822)</f>
        <v>-77.303821999999997</v>
      </c>
      <c r="AW2349" s="8"/>
      <c r="AX2349" s="8">
        <f ca="1">IFERROR(__xludf.DUMMYFUNCTION("""COMPUTED_VALUE"""),16901)</f>
        <v>16901</v>
      </c>
    </row>
    <row r="2350" spans="1:50" ht="30" x14ac:dyDescent="0.2">
      <c r="A2350" s="8" t="str">
        <f ca="1">IFERROR(__xludf.DUMMYFUNCTION("""COMPUTED_VALUE"""),"20030513PAFOJ")</f>
        <v>20030513PAFOJ</v>
      </c>
      <c r="B2350" s="8">
        <f ca="1">IFERROR(__xludf.DUMMYFUNCTION("""COMPUTED_VALUE"""),5)</f>
        <v>5</v>
      </c>
      <c r="C2350" s="8">
        <f ca="1">IFERROR(__xludf.DUMMYFUNCTION("""COMPUTED_VALUE"""),13)</f>
        <v>13</v>
      </c>
      <c r="D2350" s="8">
        <f ca="1">IFERROR(__xludf.DUMMYFUNCTION("""COMPUTED_VALUE"""),2003)</f>
        <v>2003</v>
      </c>
      <c r="E2350" s="9">
        <f ca="1">IFERROR(__xludf.DUMMYFUNCTION("""COMPUTED_VALUE"""),37754)</f>
        <v>37754</v>
      </c>
      <c r="F2350" s="8" t="str">
        <f ca="1">IFERROR(__xludf.DUMMYFUNCTION("""COMPUTED_VALUE"""),"Forest Hills High School")</f>
        <v>Forest Hills High School</v>
      </c>
      <c r="G2350" s="8">
        <f ca="1">IFERROR(__xludf.DUMMYFUNCTION("""COMPUTED_VALUE"""),0)</f>
        <v>0</v>
      </c>
      <c r="H2350" s="8">
        <f ca="1">IFERROR(__xludf.DUMMYFUNCTION("""COMPUTED_VALUE"""),0)</f>
        <v>0</v>
      </c>
      <c r="I2350" s="8">
        <f ca="1">IFERROR(__xludf.DUMMYFUNCTION("""COMPUTED_VALUE"""),0)</f>
        <v>0</v>
      </c>
      <c r="J2350" s="8">
        <f ca="1">IFERROR(__xludf.DUMMYFUNCTION("""COMPUTED_VALUE"""),1)</f>
        <v>1</v>
      </c>
      <c r="K2350" s="10" t="str">
        <f ca="1">IFERROR(__xludf.DUMMYFUNCTION("""COMPUTED_VALUE"""),"https://newspaperarchive.com/altoona-mirror-may-14-2003-p-11/")</f>
        <v>https://newspaperarchive.com/altoona-mirror-may-14-2003-p-11/</v>
      </c>
      <c r="L2350" s="8"/>
      <c r="M2350" s="8"/>
      <c r="N2350" s="8">
        <f ca="1">IFERROR(__xludf.DUMMYFUNCTION("""COMPUTED_VALUE"""),2)</f>
        <v>2</v>
      </c>
      <c r="O2350" s="8" t="str">
        <f ca="1">IFERROR(__xludf.DUMMYFUNCTION("""COMPUTED_VALUE"""),"Spring")</f>
        <v>Spring</v>
      </c>
      <c r="P2350" s="8" t="str">
        <f ca="1">IFERROR(__xludf.DUMMYFUNCTION("""COMPUTED_VALUE"""),"Johnstown")</f>
        <v>Johnstown</v>
      </c>
      <c r="Q2350" s="8" t="str">
        <f ca="1">IFERROR(__xludf.DUMMYFUNCTION("""COMPUTED_VALUE"""),"PA")</f>
        <v>PA</v>
      </c>
      <c r="R2350" s="8" t="str">
        <f ca="1">IFERROR(__xludf.DUMMYFUNCTION("""COMPUTED_VALUE"""),"High")</f>
        <v>High</v>
      </c>
      <c r="S2350" s="8" t="str">
        <f ca="1">IFERROR(__xludf.DUMMYFUNCTION("""COMPUTED_VALUE"""),"Parking Lot")</f>
        <v>Parking Lot</v>
      </c>
      <c r="T2350" s="8" t="str">
        <f ca="1">IFERROR(__xludf.DUMMYFUNCTION("""COMPUTED_VALUE"""),"Outside on School Property")</f>
        <v>Outside on School Property</v>
      </c>
      <c r="U2350" s="8" t="str">
        <f ca="1">IFERROR(__xludf.DUMMYFUNCTION("""COMPUTED_VALUE"""),"Yes")</f>
        <v>Yes</v>
      </c>
      <c r="V2350" s="8" t="str">
        <f ca="1">IFERROR(__xludf.DUMMYFUNCTION("""COMPUTED_VALUE"""),"Morning Classes")</f>
        <v>Morning Classes</v>
      </c>
      <c r="W2350" s="8"/>
      <c r="X2350" s="8">
        <f ca="1">IFERROR(__xludf.DUMMYFUNCTION("""COMPUTED_VALUE"""),1)</f>
        <v>1</v>
      </c>
      <c r="Y2350" s="12" t="str">
        <f ca="1">IFERROR(__xludf.DUMMYFUNCTION("""COMPUTED_VALUE"""),"Commit suicide in parking lot")</f>
        <v>Commit suicide in parking lot</v>
      </c>
      <c r="Z2350" s="12" t="str">
        <f ca="1">IFERROR(__xludf.DUMMYFUNCTION("""COMPUTED_VALUE"""),"18YOM student commit suicide in parking lot.")</f>
        <v>18YOM student commit suicide in parking lot.</v>
      </c>
      <c r="AA2350" s="8" t="str">
        <f ca="1">IFERROR(__xludf.DUMMYFUNCTION("""COMPUTED_VALUE"""),"Suicide/Attempted")</f>
        <v>Suicide/Attempted</v>
      </c>
      <c r="AB2350" s="8"/>
      <c r="AC2350" s="8"/>
      <c r="AD2350" s="8" t="str">
        <f ca="1">IFERROR(__xludf.DUMMYFUNCTION("""COMPUTED_VALUE"""),"Victims Targeted")</f>
        <v>Victims Targeted</v>
      </c>
      <c r="AE2350" s="8" t="str">
        <f ca="1">IFERROR(__xludf.DUMMYFUNCTION("""COMPUTED_VALUE"""),"No")</f>
        <v>No</v>
      </c>
      <c r="AF2350" s="8"/>
      <c r="AG2350" s="8" t="str">
        <f ca="1">IFERROR(__xludf.DUMMYFUNCTION("""COMPUTED_VALUE"""),"No")</f>
        <v>No</v>
      </c>
      <c r="AH2350" s="8" t="str">
        <f ca="1">IFERROR(__xludf.DUMMYFUNCTION("""COMPUTED_VALUE"""),"No")</f>
        <v>No</v>
      </c>
      <c r="AI2350" s="8" t="str">
        <f ca="1">IFERROR(__xludf.DUMMYFUNCTION("""COMPUTED_VALUE"""),"No")</f>
        <v>No</v>
      </c>
      <c r="AJ2350" s="8" t="str">
        <f ca="1">IFERROR(__xludf.DUMMYFUNCTION("""COMPUTED_VALUE"""),"No")</f>
        <v>No</v>
      </c>
      <c r="AK2350" s="8" t="str">
        <f ca="1">IFERROR(__xludf.DUMMYFUNCTION("""COMPUTED_VALUE"""),"No")</f>
        <v>No</v>
      </c>
      <c r="AL2350" s="8" t="str">
        <f ca="1">IFERROR(__xludf.DUMMYFUNCTION("""COMPUTED_VALUE"""),"No")</f>
        <v>No</v>
      </c>
      <c r="AM2350" s="8"/>
      <c r="AN2350" s="8"/>
      <c r="AO2350" s="8" t="str">
        <f ca="1">IFERROR(__xludf.DUMMYFUNCTION("""COMPUTED_VALUE"""),"No")</f>
        <v>No</v>
      </c>
      <c r="AP2350" s="8"/>
      <c r="AQ2350" s="8" t="str">
        <f ca="1">IFERROR(__xludf.DUMMYFUNCTION("""COMPUTED_VALUE"""),"Unknown")</f>
        <v>Unknown</v>
      </c>
      <c r="AR2350" s="8" t="str">
        <f ca="1">IFERROR(__xludf.DUMMYFUNCTION("""COMPUTED_VALUE"""),"NA")</f>
        <v>NA</v>
      </c>
      <c r="AS2350" s="8">
        <f ca="1">IFERROR(__xludf.DUMMYFUNCTION("""COMPUTED_VALUE"""),1)</f>
        <v>1</v>
      </c>
      <c r="AT2350" s="8"/>
      <c r="AU2350" s="8">
        <f ca="1">IFERROR(__xludf.DUMMYFUNCTION("""COMPUTED_VALUE"""),40.33223)</f>
        <v>40.332230000000003</v>
      </c>
      <c r="AV2350" s="8">
        <f ca="1">IFERROR(__xludf.DUMMYFUNCTION("""COMPUTED_VALUE"""),-78.753954)</f>
        <v>-78.753953999999993</v>
      </c>
      <c r="AW2350" s="8"/>
      <c r="AX2350" s="8">
        <f ca="1">IFERROR(__xludf.DUMMYFUNCTION("""COMPUTED_VALUE"""),15955)</f>
        <v>15955</v>
      </c>
    </row>
    <row r="2351" spans="1:50" ht="165" x14ac:dyDescent="0.2">
      <c r="A2351" s="8" t="str">
        <f ca="1">IFERROR(__xludf.DUMMYFUNCTION("""COMPUTED_VALUE"""),"20030424PARER")</f>
        <v>20030424PARER</v>
      </c>
      <c r="B2351" s="8">
        <f ca="1">IFERROR(__xludf.DUMMYFUNCTION("""COMPUTED_VALUE"""),4)</f>
        <v>4</v>
      </c>
      <c r="C2351" s="8">
        <f ca="1">IFERROR(__xludf.DUMMYFUNCTION("""COMPUTED_VALUE"""),24)</f>
        <v>24</v>
      </c>
      <c r="D2351" s="8">
        <f ca="1">IFERROR(__xludf.DUMMYFUNCTION("""COMPUTED_VALUE"""),2003)</f>
        <v>2003</v>
      </c>
      <c r="E2351" s="9">
        <f ca="1">IFERROR(__xludf.DUMMYFUNCTION("""COMPUTED_VALUE"""),37735)</f>
        <v>37735</v>
      </c>
      <c r="F2351" s="8" t="str">
        <f ca="1">IFERROR(__xludf.DUMMYFUNCTION("""COMPUTED_VALUE"""),"Red Lion Area Junior High School")</f>
        <v>Red Lion Area Junior High School</v>
      </c>
      <c r="G2351" s="8">
        <f ca="1">IFERROR(__xludf.DUMMYFUNCTION("""COMPUTED_VALUE"""),1)</f>
        <v>1</v>
      </c>
      <c r="H2351" s="8">
        <f ca="1">IFERROR(__xludf.DUMMYFUNCTION("""COMPUTED_VALUE"""),0)</f>
        <v>0</v>
      </c>
      <c r="I2351" s="8">
        <f ca="1">IFERROR(__xludf.DUMMYFUNCTION("""COMPUTED_VALUE"""),1)</f>
        <v>1</v>
      </c>
      <c r="J2351" s="8">
        <f ca="1">IFERROR(__xludf.DUMMYFUNCTION("""COMPUTED_VALUE"""),1)</f>
        <v>1</v>
      </c>
      <c r="K2351" s="8" t="str">
        <f ca="1">IFERROR(__xludf.DUMMYFUNCTION("""COMPUTED_VALUE"""),"https://www.ydr.com/story/archives/2012/04/20/former-red-lion-police-chief-segro-shooting-could/75642546/ https://www.fbi.gov/file-repository/active-shooter-incidents-2000-2017.pdf")</f>
        <v>https://www.ydr.com/story/archives/2012/04/20/former-red-lion-police-chief-segro-shooting-could/75642546/ https://www.fbi.gov/file-repository/active-shooter-incidents-2000-2017.pdf</v>
      </c>
      <c r="L2351" s="8"/>
      <c r="M2351" s="8"/>
      <c r="N2351" s="8">
        <f ca="1">IFERROR(__xludf.DUMMYFUNCTION("""COMPUTED_VALUE"""),5)</f>
        <v>5</v>
      </c>
      <c r="O2351" s="8" t="str">
        <f ca="1">IFERROR(__xludf.DUMMYFUNCTION("""COMPUTED_VALUE"""),"Spring")</f>
        <v>Spring</v>
      </c>
      <c r="P2351" s="8" t="str">
        <f ca="1">IFERROR(__xludf.DUMMYFUNCTION("""COMPUTED_VALUE"""),"Red Lion")</f>
        <v>Red Lion</v>
      </c>
      <c r="Q2351" s="8" t="str">
        <f ca="1">IFERROR(__xludf.DUMMYFUNCTION("""COMPUTED_VALUE"""),"PA")</f>
        <v>PA</v>
      </c>
      <c r="R2351" s="8" t="str">
        <f ca="1">IFERROR(__xludf.DUMMYFUNCTION("""COMPUTED_VALUE"""),"Junior High")</f>
        <v>Junior High</v>
      </c>
      <c r="S2351" s="8" t="str">
        <f ca="1">IFERROR(__xludf.DUMMYFUNCTION("""COMPUTED_VALUE"""),"Cafeteria")</f>
        <v>Cafeteria</v>
      </c>
      <c r="T2351" s="8" t="str">
        <f ca="1">IFERROR(__xludf.DUMMYFUNCTION("""COMPUTED_VALUE"""),"Inside School Building")</f>
        <v>Inside School Building</v>
      </c>
      <c r="U2351" s="8" t="str">
        <f ca="1">IFERROR(__xludf.DUMMYFUNCTION("""COMPUTED_VALUE"""),"Yes")</f>
        <v>Yes</v>
      </c>
      <c r="V2351" s="8" t="str">
        <f ca="1">IFERROR(__xludf.DUMMYFUNCTION("""COMPUTED_VALUE"""),"School Start")</f>
        <v>School Start</v>
      </c>
      <c r="W2351" s="11">
        <f ca="1">IFERROR(__xludf.DUMMYFUNCTION("""COMPUTED_VALUE"""),0.315277777777777)</f>
        <v>0.31527777777777699</v>
      </c>
      <c r="X2351" s="8">
        <f ca="1">IFERROR(__xludf.DUMMYFUNCTION("""COMPUTED_VALUE"""),1)</f>
        <v>1</v>
      </c>
      <c r="Y2351" s="12" t="str">
        <f ca="1">IFERROR(__xludf.DUMMYFUNCTION("""COMPUTED_VALUE"""),"Recently disciplined by principal")</f>
        <v>Recently disciplined by principal</v>
      </c>
      <c r="Z2351" s="12" t="str">
        <f ca="1">IFERROR(__xludf.DUMMYFUNCTION("""COMPUTED_VALUE"""),"Students were gathered in cafeteria before the school day. Shooter stood up and fired two close range shots at the principal and then immediately put the gun to his own head and commit suicide. 700 rounds of ammo in backpack and 3 handguns. Good student. "&amp;"Described as quiet and socially isolated. Recent break-up with girlfriend. Recently disciplined by principal for minor issue. No indication of prior planning or statements to other students. No suicide note. Psychologist believed he pulled the gun to show"&amp;" off and it went off by accident. He then killed himself in a panic. Weapons: .44 caliber .22 caliber .357 caliber")</f>
        <v>Students were gathered in cafeteria before the school day. Shooter stood up and fired two close range shots at the principal and then immediately put the gun to his own head and commit suicide. 700 rounds of ammo in backpack and 3 handguns. Good student. Described as quiet and socially isolated. Recent break-up with girlfriend. Recently disciplined by principal for minor issue. No indication of prior planning or statements to other students. No suicide note. Psychologist believed he pulled the gun to show off and it went off by accident. He then killed himself in a panic. Weapons: .44 caliber .22 caliber .357 caliber</v>
      </c>
      <c r="AA2351" s="8" t="str">
        <f ca="1">IFERROR(__xludf.DUMMYFUNCTION("""COMPUTED_VALUE"""),"Anger Over Grade/Suspension/Discipline")</f>
        <v>Anger Over Grade/Suspension/Discipline</v>
      </c>
      <c r="AB2351" s="8"/>
      <c r="AC2351" s="8"/>
      <c r="AD2351" s="8" t="str">
        <f ca="1">IFERROR(__xludf.DUMMYFUNCTION("""COMPUTED_VALUE"""),"Victims Targeted")</f>
        <v>Victims Targeted</v>
      </c>
      <c r="AE2351" s="8" t="str">
        <f ca="1">IFERROR(__xludf.DUMMYFUNCTION("""COMPUTED_VALUE"""),"No")</f>
        <v>No</v>
      </c>
      <c r="AF2351" s="8"/>
      <c r="AG2351" s="8" t="str">
        <f ca="1">IFERROR(__xludf.DUMMYFUNCTION("""COMPUTED_VALUE"""),"No")</f>
        <v>No</v>
      </c>
      <c r="AH2351" s="8" t="str">
        <f ca="1">IFERROR(__xludf.DUMMYFUNCTION("""COMPUTED_VALUE"""),"No")</f>
        <v>No</v>
      </c>
      <c r="AI2351" s="8" t="str">
        <f ca="1">IFERROR(__xludf.DUMMYFUNCTION("""COMPUTED_VALUE"""),"No")</f>
        <v>No</v>
      </c>
      <c r="AJ2351" s="8" t="str">
        <f ca="1">IFERROR(__xludf.DUMMYFUNCTION("""COMPUTED_VALUE"""),"No")</f>
        <v>No</v>
      </c>
      <c r="AK2351" s="8" t="str">
        <f ca="1">IFERROR(__xludf.DUMMYFUNCTION("""COMPUTED_VALUE"""),"No")</f>
        <v>No</v>
      </c>
      <c r="AL2351" s="8" t="str">
        <f ca="1">IFERROR(__xludf.DUMMYFUNCTION("""COMPUTED_VALUE"""),"No")</f>
        <v>No</v>
      </c>
      <c r="AM2351" s="8" t="str">
        <f ca="1">IFERROR(__xludf.DUMMYFUNCTION("""COMPUTED_VALUE"""),"Yes")</f>
        <v>Yes</v>
      </c>
      <c r="AN2351" s="8" t="str">
        <f ca="1">IFERROR(__xludf.DUMMYFUNCTION("""COMPUTED_VALUE"""),"Single Room")</f>
        <v>Single Room</v>
      </c>
      <c r="AO2351" s="8" t="str">
        <f ca="1">IFERROR(__xludf.DUMMYFUNCTION("""COMPUTED_VALUE"""),"Yes")</f>
        <v>Yes</v>
      </c>
      <c r="AP2351" s="8" t="str">
        <f ca="1">IFERROR(__xludf.DUMMYFUNCTION("""COMPUTED_VALUE"""),"Yes")</f>
        <v>Yes</v>
      </c>
      <c r="AQ2351" s="8" t="str">
        <f ca="1">IFERROR(__xludf.DUMMYFUNCTION("""COMPUTED_VALUE"""),"Unknown")</f>
        <v>Unknown</v>
      </c>
      <c r="AR2351" s="8" t="str">
        <f ca="1">IFERROR(__xludf.DUMMYFUNCTION("""COMPUTED_VALUE"""),"NA")</f>
        <v>NA</v>
      </c>
      <c r="AS2351" s="8">
        <f ca="1">IFERROR(__xludf.DUMMYFUNCTION("""COMPUTED_VALUE"""),3)</f>
        <v>3</v>
      </c>
      <c r="AT2351" s="8"/>
      <c r="AU2351" s="8">
        <f ca="1">IFERROR(__xludf.DUMMYFUNCTION("""COMPUTED_VALUE"""),39.891452)</f>
        <v>39.891452000000001</v>
      </c>
      <c r="AV2351" s="8">
        <f ca="1">IFERROR(__xludf.DUMMYFUNCTION("""COMPUTED_VALUE"""),-76.608344)</f>
        <v>-76.608344000000002</v>
      </c>
      <c r="AW2351" s="8"/>
      <c r="AX2351" s="8">
        <f ca="1">IFERROR(__xludf.DUMMYFUNCTION("""COMPUTED_VALUE"""),17356)</f>
        <v>17356</v>
      </c>
    </row>
    <row r="2352" spans="1:50" ht="30" x14ac:dyDescent="0.2">
      <c r="A2352" s="8" t="str">
        <f ca="1">IFERROR(__xludf.DUMMYFUNCTION("""COMPUTED_VALUE"""),"20030416TXGRA")</f>
        <v>20030416TXGRA</v>
      </c>
      <c r="B2352" s="8">
        <f ca="1">IFERROR(__xludf.DUMMYFUNCTION("""COMPUTED_VALUE"""),4)</f>
        <v>4</v>
      </c>
      <c r="C2352" s="8">
        <f ca="1">IFERROR(__xludf.DUMMYFUNCTION("""COMPUTED_VALUE"""),16)</f>
        <v>16</v>
      </c>
      <c r="D2352" s="8">
        <f ca="1">IFERROR(__xludf.DUMMYFUNCTION("""COMPUTED_VALUE"""),2003)</f>
        <v>2003</v>
      </c>
      <c r="E2352" s="9">
        <f ca="1">IFERROR(__xludf.DUMMYFUNCTION("""COMPUTED_VALUE"""),37727)</f>
        <v>37727</v>
      </c>
      <c r="F2352" s="8" t="str">
        <f ca="1">IFERROR(__xludf.DUMMYFUNCTION("""COMPUTED_VALUE"""),"Greenhill Middle School")</f>
        <v>Greenhill Middle School</v>
      </c>
      <c r="G2352" s="8">
        <f ca="1">IFERROR(__xludf.DUMMYFUNCTION("""COMPUTED_VALUE"""),0)</f>
        <v>0</v>
      </c>
      <c r="H2352" s="8">
        <f ca="1">IFERROR(__xludf.DUMMYFUNCTION("""COMPUTED_VALUE"""),0)</f>
        <v>0</v>
      </c>
      <c r="I2352" s="8">
        <f ca="1">IFERROR(__xludf.DUMMYFUNCTION("""COMPUTED_VALUE"""),0)</f>
        <v>0</v>
      </c>
      <c r="J2352" s="8">
        <f ca="1">IFERROR(__xludf.DUMMYFUNCTION("""COMPUTED_VALUE"""),1)</f>
        <v>1</v>
      </c>
      <c r="K2352" s="10" t="str">
        <f ca="1">IFERROR(__xludf.DUMMYFUNCTION("""COMPUTED_VALUE"""),"http://obits.dallasnews.com/obituaries/dallasmorningnews/obituary.aspx?page=lifestory&amp;pid=950952")</f>
        <v>http://obits.dallasnews.com/obituaries/dallasmorningnews/obituary.aspx?page=lifestory&amp;pid=950952</v>
      </c>
      <c r="L2352" s="8"/>
      <c r="M2352" s="8"/>
      <c r="N2352" s="8">
        <f ca="1">IFERROR(__xludf.DUMMYFUNCTION("""COMPUTED_VALUE"""),2)</f>
        <v>2</v>
      </c>
      <c r="O2352" s="8" t="str">
        <f ca="1">IFERROR(__xludf.DUMMYFUNCTION("""COMPUTED_VALUE"""),"Spring")</f>
        <v>Spring</v>
      </c>
      <c r="P2352" s="8" t="str">
        <f ca="1">IFERROR(__xludf.DUMMYFUNCTION("""COMPUTED_VALUE"""),"Addison")</f>
        <v>Addison</v>
      </c>
      <c r="Q2352" s="8" t="str">
        <f ca="1">IFERROR(__xludf.DUMMYFUNCTION("""COMPUTED_VALUE"""),"TX")</f>
        <v>TX</v>
      </c>
      <c r="R2352" s="8" t="str">
        <f ca="1">IFERROR(__xludf.DUMMYFUNCTION("""COMPUTED_VALUE"""),"Middle")</f>
        <v>Middle</v>
      </c>
      <c r="S2352" s="8" t="str">
        <f ca="1">IFERROR(__xludf.DUMMYFUNCTION("""COMPUTED_VALUE"""),"Bathroom")</f>
        <v>Bathroom</v>
      </c>
      <c r="T2352" s="8" t="str">
        <f ca="1">IFERROR(__xludf.DUMMYFUNCTION("""COMPUTED_VALUE"""),"Inside School Building")</f>
        <v>Inside School Building</v>
      </c>
      <c r="U2352" s="8" t="str">
        <f ca="1">IFERROR(__xludf.DUMMYFUNCTION("""COMPUTED_VALUE"""),"Yes")</f>
        <v>Yes</v>
      </c>
      <c r="V2352" s="8" t="str">
        <f ca="1">IFERROR(__xludf.DUMMYFUNCTION("""COMPUTED_VALUE"""),"After School")</f>
        <v>After School</v>
      </c>
      <c r="W2352" s="11">
        <f ca="1">IFERROR(__xludf.DUMMYFUNCTION("""COMPUTED_VALUE"""),0.631944444444444)</f>
        <v>0.63194444444444398</v>
      </c>
      <c r="X2352" s="8">
        <f ca="1">IFERROR(__xludf.DUMMYFUNCTION("""COMPUTED_VALUE"""),1)</f>
        <v>1</v>
      </c>
      <c r="Y2352" s="12" t="str">
        <f ca="1">IFERROR(__xludf.DUMMYFUNCTION("""COMPUTED_VALUE"""),"Student shot herself in bathroom")</f>
        <v>Student shot herself in bathroom</v>
      </c>
      <c r="Z2352" s="12" t="str">
        <f ca="1">IFERROR(__xludf.DUMMYFUNCTION("""COMPUTED_VALUE"""),"12YOF student shot herself in the school bathroom")</f>
        <v>12YOF student shot herself in the school bathroom</v>
      </c>
      <c r="AA2352" s="8" t="str">
        <f ca="1">IFERROR(__xludf.DUMMYFUNCTION("""COMPUTED_VALUE"""),"Murder/Suicide")</f>
        <v>Murder/Suicide</v>
      </c>
      <c r="AB2352" s="8"/>
      <c r="AC2352" s="8"/>
      <c r="AD2352" s="8" t="str">
        <f ca="1">IFERROR(__xludf.DUMMYFUNCTION("""COMPUTED_VALUE"""),"Victims Targeted")</f>
        <v>Victims Targeted</v>
      </c>
      <c r="AE2352" s="8" t="str">
        <f ca="1">IFERROR(__xludf.DUMMYFUNCTION("""COMPUTED_VALUE"""),"No")</f>
        <v>No</v>
      </c>
      <c r="AF2352" s="8"/>
      <c r="AG2352" s="8" t="str">
        <f ca="1">IFERROR(__xludf.DUMMYFUNCTION("""COMPUTED_VALUE"""),"No")</f>
        <v>No</v>
      </c>
      <c r="AH2352" s="8" t="str">
        <f ca="1">IFERROR(__xludf.DUMMYFUNCTION("""COMPUTED_VALUE"""),"No")</f>
        <v>No</v>
      </c>
      <c r="AI2352" s="8" t="str">
        <f ca="1">IFERROR(__xludf.DUMMYFUNCTION("""COMPUTED_VALUE"""),"No")</f>
        <v>No</v>
      </c>
      <c r="AJ2352" s="8"/>
      <c r="AK2352" s="8" t="str">
        <f ca="1">IFERROR(__xludf.DUMMYFUNCTION("""COMPUTED_VALUE"""),"No")</f>
        <v>No</v>
      </c>
      <c r="AL2352" s="8" t="str">
        <f ca="1">IFERROR(__xludf.DUMMYFUNCTION("""COMPUTED_VALUE"""),"No")</f>
        <v>No</v>
      </c>
      <c r="AM2352" s="8"/>
      <c r="AN2352" s="8"/>
      <c r="AO2352" s="8" t="str">
        <f ca="1">IFERROR(__xludf.DUMMYFUNCTION("""COMPUTED_VALUE"""),"No")</f>
        <v>No</v>
      </c>
      <c r="AP2352" s="8"/>
      <c r="AQ2352" s="8" t="str">
        <f ca="1">IFERROR(__xludf.DUMMYFUNCTION("""COMPUTED_VALUE"""),"Unknown")</f>
        <v>Unknown</v>
      </c>
      <c r="AR2352" s="8" t="str">
        <f ca="1">IFERROR(__xludf.DUMMYFUNCTION("""COMPUTED_VALUE"""),"NA")</f>
        <v>NA</v>
      </c>
      <c r="AS2352" s="8">
        <f ca="1">IFERROR(__xludf.DUMMYFUNCTION("""COMPUTED_VALUE"""),1)</f>
        <v>1</v>
      </c>
      <c r="AT2352" s="8"/>
      <c r="AU2352" s="8">
        <f ca="1">IFERROR(__xludf.DUMMYFUNCTION("""COMPUTED_VALUE"""),32.942263)</f>
        <v>32.942262999999997</v>
      </c>
      <c r="AV2352" s="8">
        <f ca="1">IFERROR(__xludf.DUMMYFUNCTION("""COMPUTED_VALUE"""),-96.844187)</f>
        <v>-96.844187000000005</v>
      </c>
      <c r="AW2352" s="8"/>
      <c r="AX2352" s="8">
        <f ca="1">IFERROR(__xludf.DUMMYFUNCTION("""COMPUTED_VALUE"""),75001)</f>
        <v>75001</v>
      </c>
    </row>
    <row r="2353" spans="1:50" ht="165" x14ac:dyDescent="0.2">
      <c r="A2353" s="8" t="str">
        <f ca="1">IFERROR(__xludf.DUMMYFUNCTION("""COMPUTED_VALUE"""),"20030415CADED")</f>
        <v>20030415CADED</v>
      </c>
      <c r="B2353" s="8">
        <f ca="1">IFERROR(__xludf.DUMMYFUNCTION("""COMPUTED_VALUE"""),4)</f>
        <v>4</v>
      </c>
      <c r="C2353" s="8">
        <f ca="1">IFERROR(__xludf.DUMMYFUNCTION("""COMPUTED_VALUE"""),16)</f>
        <v>16</v>
      </c>
      <c r="D2353" s="8">
        <f ca="1">IFERROR(__xludf.DUMMYFUNCTION("""COMPUTED_VALUE"""),2003)</f>
        <v>2003</v>
      </c>
      <c r="E2353" s="9">
        <f ca="1">IFERROR(__xludf.DUMMYFUNCTION("""COMPUTED_VALUE"""),37726)</f>
        <v>37726</v>
      </c>
      <c r="F2353" s="8" t="str">
        <f ca="1">IFERROR(__xludf.DUMMYFUNCTION("""COMPUTED_VALUE"""),"Delhi Middle School")</f>
        <v>Delhi Middle School</v>
      </c>
      <c r="G2353" s="8">
        <f ca="1">IFERROR(__xludf.DUMMYFUNCTION("""COMPUTED_VALUE"""),0)</f>
        <v>0</v>
      </c>
      <c r="H2353" s="8">
        <f ca="1">IFERROR(__xludf.DUMMYFUNCTION("""COMPUTED_VALUE"""),1)</f>
        <v>1</v>
      </c>
      <c r="I2353" s="8">
        <f ca="1">IFERROR(__xludf.DUMMYFUNCTION("""COMPUTED_VALUE"""),1)</f>
        <v>1</v>
      </c>
      <c r="J2353" s="8">
        <f ca="1">IFERROR(__xludf.DUMMYFUNCTION("""COMPUTED_VALUE"""),0)</f>
        <v>0</v>
      </c>
      <c r="K2353" s="10" t="str">
        <f ca="1">IFERROR(__xludf.DUMMYFUNCTION("""COMPUTED_VALUE"""),"https://www.latimes.com/archives/la-xpm-2003-apr-16-me-sbriefs16.5-story.html")</f>
        <v>https://www.latimes.com/archives/la-xpm-2003-apr-16-me-sbriefs16.5-story.html</v>
      </c>
      <c r="L2353" s="8">
        <f ca="1">IFERROR(__xludf.DUMMYFUNCTION("""COMPUTED_VALUE"""),1)</f>
        <v>1</v>
      </c>
      <c r="M2353" s="8" t="str">
        <f ca="1">IFERROR(__xludf.DUMMYFUNCTION("""COMPUTED_VALUE"""),"Local")</f>
        <v>Local</v>
      </c>
      <c r="N2353" s="8">
        <f ca="1">IFERROR(__xludf.DUMMYFUNCTION("""COMPUTED_VALUE"""),3)</f>
        <v>3</v>
      </c>
      <c r="O2353" s="8" t="str">
        <f ca="1">IFERROR(__xludf.DUMMYFUNCTION("""COMPUTED_VALUE"""),"Spring")</f>
        <v>Spring</v>
      </c>
      <c r="P2353" s="8" t="str">
        <f ca="1">IFERROR(__xludf.DUMMYFUNCTION("""COMPUTED_VALUE"""),"Delhi")</f>
        <v>Delhi</v>
      </c>
      <c r="Q2353" s="8" t="str">
        <f ca="1">IFERROR(__xludf.DUMMYFUNCTION("""COMPUTED_VALUE"""),"CA")</f>
        <v>CA</v>
      </c>
      <c r="R2353" s="8" t="str">
        <f ca="1">IFERROR(__xludf.DUMMYFUNCTION("""COMPUTED_VALUE"""),"Middle")</f>
        <v>Middle</v>
      </c>
      <c r="S2353" s="8" t="str">
        <f ca="1">IFERROR(__xludf.DUMMYFUNCTION("""COMPUTED_VALUE"""),"Parking Lot")</f>
        <v>Parking Lot</v>
      </c>
      <c r="T2353" s="8" t="str">
        <f ca="1">IFERROR(__xludf.DUMMYFUNCTION("""COMPUTED_VALUE"""),"Outside on School Property")</f>
        <v>Outside on School Property</v>
      </c>
      <c r="U2353" s="8" t="str">
        <f ca="1">IFERROR(__xludf.DUMMYFUNCTION("""COMPUTED_VALUE"""),"Yes")</f>
        <v>Yes</v>
      </c>
      <c r="V2353" s="8" t="str">
        <f ca="1">IFERROR(__xludf.DUMMYFUNCTION("""COMPUTED_VALUE"""),"School Start")</f>
        <v>School Start</v>
      </c>
      <c r="W2353" s="11">
        <f ca="1">IFERROR(__xludf.DUMMYFUNCTION("""COMPUTED_VALUE"""),0.34375)</f>
        <v>0.34375</v>
      </c>
      <c r="X2353" s="8">
        <f ca="1">IFERROR(__xludf.DUMMYFUNCTION("""COMPUTED_VALUE"""),1)</f>
        <v>1</v>
      </c>
      <c r="Y2353" s="12" t="str">
        <f ca="1">IFERROR(__xludf.DUMMYFUNCTION("""COMPUTED_VALUE"""),"Student shot in parking lot while walking into school")</f>
        <v>Student shot in parking lot while walking into school</v>
      </c>
      <c r="Z2353" s="12" t="str">
        <f ca="1">IFERROR(__xludf.DUMMYFUNCTION("""COMPUTED_VALUE"""),"A 13-year-old Delhi middle school student was shot in the hip as he walked with a friend to class Tuesday in what police believe was a gang-related attack. The boy was transported by ambulance to a Turlock hospital. His injuries were not believed to be li"&amp;"fe-threatening, said Merced County Undersheriff Bill Blake. Blake said the shooting occurred about 8:15 a.m. in a parking lot at the Delhi Education Park. He said the two boys exchanged words with two unidentified adult males in a white Lincoln Town Car. "&amp;"A single shot was fired from the car from about 50 feet away")</f>
        <v>A 13-year-old Delhi middle school student was shot in the hip as he walked with a friend to class Tuesday in what police believe was a gang-related attack. The boy was transported by ambulance to a Turlock hospital. His injuries were not believed to be life-threatening, said Merced County Undersheriff Bill Blake. Blake said the shooting occurred about 8:15 a.m. in a parking lot at the Delhi Education Park. He said the two boys exchanged words with two unidentified adult males in a white Lincoln Town Car. A single shot was fired from the car from about 50 feet away</v>
      </c>
      <c r="AA2353" s="8" t="str">
        <f ca="1">IFERROR(__xludf.DUMMYFUNCTION("""COMPUTED_VALUE"""),"Drive-by Shooting")</f>
        <v>Drive-by Shooting</v>
      </c>
      <c r="AB2353" s="8" t="str">
        <f ca="1">IFERROR(__xludf.DUMMYFUNCTION("""COMPUTED_VALUE"""),"Targeted")</f>
        <v>Targeted</v>
      </c>
      <c r="AC2353" s="8" t="str">
        <f ca="1">IFERROR(__xludf.DUMMYFUNCTION("""COMPUTED_VALUE"""),"Yes")</f>
        <v>Yes</v>
      </c>
      <c r="AD2353" s="8" t="str">
        <f ca="1">IFERROR(__xludf.DUMMYFUNCTION("""COMPUTED_VALUE"""),"Victims Targeted")</f>
        <v>Victims Targeted</v>
      </c>
      <c r="AE2353" s="8" t="str">
        <f ca="1">IFERROR(__xludf.DUMMYFUNCTION("""COMPUTED_VALUE"""),"Yes")</f>
        <v>Yes</v>
      </c>
      <c r="AF2353" s="8" t="str">
        <f ca="1">IFERROR(__xludf.DUMMYFUNCTION("""COMPUTED_VALUE"""),"2 men in car")</f>
        <v>2 men in car</v>
      </c>
      <c r="AG2353" s="8" t="str">
        <f ca="1">IFERROR(__xludf.DUMMYFUNCTION("""COMPUTED_VALUE"""),"No")</f>
        <v>No</v>
      </c>
      <c r="AH2353" s="8" t="str">
        <f ca="1">IFERROR(__xludf.DUMMYFUNCTION("""COMPUTED_VALUE"""),"No")</f>
        <v>No</v>
      </c>
      <c r="AI2353" s="8" t="str">
        <f ca="1">IFERROR(__xludf.DUMMYFUNCTION("""COMPUTED_VALUE"""),"No")</f>
        <v>No</v>
      </c>
      <c r="AJ2353" s="8" t="str">
        <f ca="1">IFERROR(__xludf.DUMMYFUNCTION("""COMPUTED_VALUE"""),"No")</f>
        <v>No</v>
      </c>
      <c r="AK2353" s="8" t="str">
        <f ca="1">IFERROR(__xludf.DUMMYFUNCTION("""COMPUTED_VALUE"""),"No")</f>
        <v>No</v>
      </c>
      <c r="AL2353" s="8" t="str">
        <f ca="1">IFERROR(__xludf.DUMMYFUNCTION("""COMPUTED_VALUE"""),"Yes")</f>
        <v>Yes</v>
      </c>
      <c r="AM2353" s="8" t="str">
        <f ca="1">IFERROR(__xludf.DUMMYFUNCTION("""COMPUTED_VALUE"""),"No")</f>
        <v>No</v>
      </c>
      <c r="AN2353" s="8" t="str">
        <f ca="1">IFERROR(__xludf.DUMMYFUNCTION("""COMPUTED_VALUE"""),"Outside")</f>
        <v>Outside</v>
      </c>
      <c r="AO2353" s="8" t="str">
        <f ca="1">IFERROR(__xludf.DUMMYFUNCTION("""COMPUTED_VALUE"""),"No")</f>
        <v>No</v>
      </c>
      <c r="AP2353" s="8"/>
      <c r="AQ2353" s="8"/>
      <c r="AR2353" s="8" t="str">
        <f ca="1">IFERROR(__xludf.DUMMYFUNCTION("""COMPUTED_VALUE"""),"Outside/Off-Property")</f>
        <v>Outside/Off-Property</v>
      </c>
      <c r="AS2353" s="8">
        <f ca="1">IFERROR(__xludf.DUMMYFUNCTION("""COMPUTED_VALUE"""),99)</f>
        <v>99</v>
      </c>
      <c r="AT2353" s="8"/>
      <c r="AU2353" s="8">
        <f ca="1">IFERROR(__xludf.DUMMYFUNCTION("""COMPUTED_VALUE"""),37.4268)</f>
        <v>37.4268</v>
      </c>
      <c r="AV2353" s="8">
        <f ca="1">IFERROR(__xludf.DUMMYFUNCTION("""COMPUTED_VALUE"""),-120.792)</f>
        <v>-120.792</v>
      </c>
      <c r="AW2353" s="8"/>
      <c r="AX2353" s="8">
        <f ca="1">IFERROR(__xludf.DUMMYFUNCTION("""COMPUTED_VALUE"""),95315)</f>
        <v>95315</v>
      </c>
    </row>
    <row r="2354" spans="1:50" ht="105" x14ac:dyDescent="0.2">
      <c r="A2354" s="8" t="str">
        <f ca="1">IFERROR(__xludf.DUMMYFUNCTION("""COMPUTED_VALUE"""),"20030414LAJON")</f>
        <v>20030414LAJON</v>
      </c>
      <c r="B2354" s="8">
        <f ca="1">IFERROR(__xludf.DUMMYFUNCTION("""COMPUTED_VALUE"""),4)</f>
        <v>4</v>
      </c>
      <c r="C2354" s="8">
        <f ca="1">IFERROR(__xludf.DUMMYFUNCTION("""COMPUTED_VALUE"""),14)</f>
        <v>14</v>
      </c>
      <c r="D2354" s="8">
        <f ca="1">IFERROR(__xludf.DUMMYFUNCTION("""COMPUTED_VALUE"""),2003)</f>
        <v>2003</v>
      </c>
      <c r="E2354" s="9">
        <f ca="1">IFERROR(__xludf.DUMMYFUNCTION("""COMPUTED_VALUE"""),37725)</f>
        <v>37725</v>
      </c>
      <c r="F2354" s="8" t="str">
        <f ca="1">IFERROR(__xludf.DUMMYFUNCTION("""COMPUTED_VALUE"""),"John McDonogh High School")</f>
        <v>John McDonogh High School</v>
      </c>
      <c r="G2354" s="8">
        <f ca="1">IFERROR(__xludf.DUMMYFUNCTION("""COMPUTED_VALUE"""),1)</f>
        <v>1</v>
      </c>
      <c r="H2354" s="8">
        <f ca="1">IFERROR(__xludf.DUMMYFUNCTION("""COMPUTED_VALUE"""),4)</f>
        <v>4</v>
      </c>
      <c r="I2354" s="8">
        <f ca="1">IFERROR(__xludf.DUMMYFUNCTION("""COMPUTED_VALUE"""),5)</f>
        <v>5</v>
      </c>
      <c r="J2354" s="8">
        <f ca="1">IFERROR(__xludf.DUMMYFUNCTION("""COMPUTED_VALUE"""),0)</f>
        <v>0</v>
      </c>
      <c r="K2354" s="10" t="str">
        <f ca="1">IFERROR(__xludf.DUMMYFUNCTION("""COMPUTED_VALUE"""),"https://www.washingtonpost.com/archive/politics/2003/04/15/youth-15-dies-in-shooting-at-new-orleans-high-school/a2b1c00e-b101-4b41-ae45-a150abc01ada/?utm_term=.0ec08f1f82f8")</f>
        <v>https://www.washingtonpost.com/archive/politics/2003/04/15/youth-15-dies-in-shooting-at-new-orleans-high-school/a2b1c00e-b101-4b41-ae45-a150abc01ada/?utm_term=.0ec08f1f82f8</v>
      </c>
      <c r="L2354" s="8"/>
      <c r="M2354" s="8"/>
      <c r="N2354" s="8">
        <f ca="1">IFERROR(__xludf.DUMMYFUNCTION("""COMPUTED_VALUE"""),2)</f>
        <v>2</v>
      </c>
      <c r="O2354" s="8" t="str">
        <f ca="1">IFERROR(__xludf.DUMMYFUNCTION("""COMPUTED_VALUE"""),"Spring")</f>
        <v>Spring</v>
      </c>
      <c r="P2354" s="8" t="str">
        <f ca="1">IFERROR(__xludf.DUMMYFUNCTION("""COMPUTED_VALUE"""),"New Orleans")</f>
        <v>New Orleans</v>
      </c>
      <c r="Q2354" s="8" t="str">
        <f ca="1">IFERROR(__xludf.DUMMYFUNCTION("""COMPUTED_VALUE"""),"LA")</f>
        <v>LA</v>
      </c>
      <c r="R2354" s="8" t="str">
        <f ca="1">IFERROR(__xludf.DUMMYFUNCTION("""COMPUTED_VALUE"""),"High")</f>
        <v>High</v>
      </c>
      <c r="S2354" s="8" t="str">
        <f ca="1">IFERROR(__xludf.DUMMYFUNCTION("""COMPUTED_VALUE"""),"Gym")</f>
        <v>Gym</v>
      </c>
      <c r="T2354" s="8" t="str">
        <f ca="1">IFERROR(__xludf.DUMMYFUNCTION("""COMPUTED_VALUE"""),"Inside School Building")</f>
        <v>Inside School Building</v>
      </c>
      <c r="U2354" s="8" t="str">
        <f ca="1">IFERROR(__xludf.DUMMYFUNCTION("""COMPUTED_VALUE"""),"Yes")</f>
        <v>Yes</v>
      </c>
      <c r="V2354" s="8" t="str">
        <f ca="1">IFERROR(__xludf.DUMMYFUNCTION("""COMPUTED_VALUE"""),"Morning Classes")</f>
        <v>Morning Classes</v>
      </c>
      <c r="W2354" s="11">
        <f ca="1">IFERROR(__xludf.DUMMYFUNCTION("""COMPUTED_VALUE"""),0.427083333333333)</f>
        <v>0.42708333333333298</v>
      </c>
      <c r="X2354" s="8">
        <f ca="1">IFERROR(__xludf.DUMMYFUNCTION("""COMPUTED_VALUE"""),1)</f>
        <v>1</v>
      </c>
      <c r="Y2354" s="12" t="str">
        <f ca="1">IFERROR(__xludf.DUMMYFUNCTION("""COMPUTED_VALUE"""),"Gang members targeted rival gang member in school gym")</f>
        <v>Gang members targeted rival gang member in school gym</v>
      </c>
      <c r="Z2354" s="12" t="str">
        <f ca="1">IFERROR(__xludf.DUMMYFUNCTION("""COMPUTED_VALUE"""),"Three shooters snuck handguns and an AK47 passed metal detectors and armed school guards then opened first on rival gang members in the school gym. Shooter fled the scene after the shooting. Two female students were hit in the crossfire. Victim was target"&amp;"ed. Students and school officials said the shooting was gang related. Weapons: AK-47-style semi automatic rifle, semi automatic handgun")</f>
        <v>Three shooters snuck handguns and an AK47 passed metal detectors and armed school guards then opened first on rival gang members in the school gym. Shooter fled the scene after the shooting. Two female students were hit in the crossfire. Victim was targeted. Students and school officials said the shooting was gang related. Weapons: AK-47-style semi automatic rifle, semi automatic handgun</v>
      </c>
      <c r="AA2354" s="8" t="str">
        <f ca="1">IFERROR(__xludf.DUMMYFUNCTION("""COMPUTED_VALUE"""),"Indiscriminate Shooting")</f>
        <v>Indiscriminate Shooting</v>
      </c>
      <c r="AB2354" s="8"/>
      <c r="AC2354" s="8"/>
      <c r="AD2354" s="8" t="str">
        <f ca="1">IFERROR(__xludf.DUMMYFUNCTION("""COMPUTED_VALUE"""),"Both")</f>
        <v>Both</v>
      </c>
      <c r="AE2354" s="8" t="str">
        <f ca="1">IFERROR(__xludf.DUMMYFUNCTION("""COMPUTED_VALUE"""),"Yes")</f>
        <v>Yes</v>
      </c>
      <c r="AF2354" s="8" t="str">
        <f ca="1">IFERROR(__xludf.DUMMYFUNCTION("""COMPUTED_VALUE"""),"3 gunmen")</f>
        <v>3 gunmen</v>
      </c>
      <c r="AG2354" s="8" t="str">
        <f ca="1">IFERROR(__xludf.DUMMYFUNCTION("""COMPUTED_VALUE"""),"No")</f>
        <v>No</v>
      </c>
      <c r="AH2354" s="8" t="str">
        <f ca="1">IFERROR(__xludf.DUMMYFUNCTION("""COMPUTED_VALUE"""),"No")</f>
        <v>No</v>
      </c>
      <c r="AI2354" s="8" t="str">
        <f ca="1">IFERROR(__xludf.DUMMYFUNCTION("""COMPUTED_VALUE"""),"No")</f>
        <v>No</v>
      </c>
      <c r="AJ2354" s="8" t="str">
        <f ca="1">IFERROR(__xludf.DUMMYFUNCTION("""COMPUTED_VALUE"""),"No")</f>
        <v>No</v>
      </c>
      <c r="AK2354" s="8" t="str">
        <f ca="1">IFERROR(__xludf.DUMMYFUNCTION("""COMPUTED_VALUE"""),"No")</f>
        <v>No</v>
      </c>
      <c r="AL2354" s="8" t="str">
        <f ca="1">IFERROR(__xludf.DUMMYFUNCTION("""COMPUTED_VALUE"""),"Yes")</f>
        <v>Yes</v>
      </c>
      <c r="AM2354" s="8" t="str">
        <f ca="1">IFERROR(__xludf.DUMMYFUNCTION("""COMPUTED_VALUE"""),"Yes")</f>
        <v>Yes</v>
      </c>
      <c r="AN2354" s="8" t="str">
        <f ca="1">IFERROR(__xludf.DUMMYFUNCTION("""COMPUTED_VALUE"""),"Single Room")</f>
        <v>Single Room</v>
      </c>
      <c r="AO2354" s="8" t="str">
        <f ca="1">IFERROR(__xludf.DUMMYFUNCTION("""COMPUTED_VALUE"""),"No")</f>
        <v>No</v>
      </c>
      <c r="AP2354" s="8" t="str">
        <f ca="1">IFERROR(__xludf.DUMMYFUNCTION("""COMPUTED_VALUE"""),"Yes")</f>
        <v>Yes</v>
      </c>
      <c r="AQ2354" s="8" t="str">
        <f ca="1">IFERROR(__xludf.DUMMYFUNCTION("""COMPUTED_VALUE"""),"Unknown")</f>
        <v>Unknown</v>
      </c>
      <c r="AR2354" s="8" t="str">
        <f ca="1">IFERROR(__xludf.DUMMYFUNCTION("""COMPUTED_VALUE"""),"NA")</f>
        <v>NA</v>
      </c>
      <c r="AS2354" s="8">
        <f ca="1">IFERROR(__xludf.DUMMYFUNCTION("""COMPUTED_VALUE"""),1)</f>
        <v>1</v>
      </c>
      <c r="AT2354" s="8"/>
      <c r="AU2354" s="8">
        <f ca="1">IFERROR(__xludf.DUMMYFUNCTION("""COMPUTED_VALUE"""),29.974226)</f>
        <v>29.974226000000002</v>
      </c>
      <c r="AV2354" s="8">
        <f ca="1">IFERROR(__xludf.DUMMYFUNCTION("""COMPUTED_VALUE"""),-90.076491)</f>
        <v>-90.076491000000004</v>
      </c>
      <c r="AW2354" s="8"/>
      <c r="AX2354" s="8">
        <f ca="1">IFERROR(__xludf.DUMMYFUNCTION("""COMPUTED_VALUE"""),70116)</f>
        <v>70116</v>
      </c>
    </row>
    <row r="2355" spans="1:50" ht="75" x14ac:dyDescent="0.2">
      <c r="A2355" s="8" t="str">
        <f ca="1">IFERROR(__xludf.DUMMYFUNCTION("""COMPUTED_VALUE"""),"20030414LAFAS")</f>
        <v>20030414LAFAS</v>
      </c>
      <c r="B2355" s="8">
        <f ca="1">IFERROR(__xludf.DUMMYFUNCTION("""COMPUTED_VALUE"""),4)</f>
        <v>4</v>
      </c>
      <c r="C2355" s="8">
        <f ca="1">IFERROR(__xludf.DUMMYFUNCTION("""COMPUTED_VALUE"""),14)</f>
        <v>14</v>
      </c>
      <c r="D2355" s="8">
        <f ca="1">IFERROR(__xludf.DUMMYFUNCTION("""COMPUTED_VALUE"""),2003)</f>
        <v>2003</v>
      </c>
      <c r="E2355" s="9">
        <f ca="1">IFERROR(__xludf.DUMMYFUNCTION("""COMPUTED_VALUE"""),37725)</f>
        <v>37725</v>
      </c>
      <c r="F2355" s="8" t="str">
        <f ca="1">IFERROR(__xludf.DUMMYFUNCTION("""COMPUTED_VALUE"""),"Fair Park High School")</f>
        <v>Fair Park High School</v>
      </c>
      <c r="G2355" s="8">
        <f ca="1">IFERROR(__xludf.DUMMYFUNCTION("""COMPUTED_VALUE"""),0)</f>
        <v>0</v>
      </c>
      <c r="H2355" s="8">
        <f ca="1">IFERROR(__xludf.DUMMYFUNCTION("""COMPUTED_VALUE"""),1)</f>
        <v>1</v>
      </c>
      <c r="I2355" s="8">
        <f ca="1">IFERROR(__xludf.DUMMYFUNCTION("""COMPUTED_VALUE"""),1)</f>
        <v>1</v>
      </c>
      <c r="J2355" s="8">
        <f ca="1">IFERROR(__xludf.DUMMYFUNCTION("""COMPUTED_VALUE"""),0)</f>
        <v>0</v>
      </c>
      <c r="K2355" s="10" t="str">
        <f ca="1">IFERROR(__xludf.DUMMYFUNCTION("""COMPUTED_VALUE"""),"https://www.newspapers.com/image/220871722/?terms=Fair%2BPark%2BHigh%2BSchool%2BSteven%2BGreen")</f>
        <v>https://www.newspapers.com/image/220871722/?terms=Fair%2BPark%2BHigh%2BSchool%2BSteven%2BGreen</v>
      </c>
      <c r="L2355" s="8"/>
      <c r="M2355" s="8"/>
      <c r="N2355" s="8">
        <f ca="1">IFERROR(__xludf.DUMMYFUNCTION("""COMPUTED_VALUE"""),2)</f>
        <v>2</v>
      </c>
      <c r="O2355" s="8" t="str">
        <f ca="1">IFERROR(__xludf.DUMMYFUNCTION("""COMPUTED_VALUE"""),"Spring")</f>
        <v>Spring</v>
      </c>
      <c r="P2355" s="8" t="str">
        <f ca="1">IFERROR(__xludf.DUMMYFUNCTION("""COMPUTED_VALUE"""),"Shereveport")</f>
        <v>Shereveport</v>
      </c>
      <c r="Q2355" s="8" t="str">
        <f ca="1">IFERROR(__xludf.DUMMYFUNCTION("""COMPUTED_VALUE"""),"LA")</f>
        <v>LA</v>
      </c>
      <c r="R2355" s="8" t="str">
        <f ca="1">IFERROR(__xludf.DUMMYFUNCTION("""COMPUTED_VALUE"""),"High")</f>
        <v>High</v>
      </c>
      <c r="S2355" s="8" t="str">
        <f ca="1">IFERROR(__xludf.DUMMYFUNCTION("""COMPUTED_VALUE"""),"Classroom")</f>
        <v>Classroom</v>
      </c>
      <c r="T2355" s="8" t="str">
        <f ca="1">IFERROR(__xludf.DUMMYFUNCTION("""COMPUTED_VALUE"""),"Inside School Building")</f>
        <v>Inside School Building</v>
      </c>
      <c r="U2355" s="8" t="str">
        <f ca="1">IFERROR(__xludf.DUMMYFUNCTION("""COMPUTED_VALUE"""),"Yes")</f>
        <v>Yes</v>
      </c>
      <c r="V2355" s="8" t="str">
        <f ca="1">IFERROR(__xludf.DUMMYFUNCTION("""COMPUTED_VALUE"""),"Morning Classes")</f>
        <v>Morning Classes</v>
      </c>
      <c r="W2355" s="11">
        <f ca="1">IFERROR(__xludf.DUMMYFUNCTION("""COMPUTED_VALUE"""),0.4375)</f>
        <v>0.4375</v>
      </c>
      <c r="X2355" s="8">
        <f ca="1">IFERROR(__xludf.DUMMYFUNCTION("""COMPUTED_VALUE"""),1)</f>
        <v>1</v>
      </c>
      <c r="Y2355" s="12" t="str">
        <f ca="1">IFERROR(__xludf.DUMMYFUNCTION("""COMPUTED_VALUE"""),"Showing off gun, struck friend in stomach")</f>
        <v>Showing off gun, struck friend in stomach</v>
      </c>
      <c r="Z2355" s="12" t="str">
        <f ca="1">IFERROR(__xludf.DUMMYFUNCTION("""COMPUTED_VALUE"""),"18YOM student was showing off gun to 18YOM classmate. Discharged and struck him in stomach. Shooter fled the scene and was turned into police later by mother. School had metal detectors in the main building but the shooting occurred in an auxiliary classr"&amp;"oom.")</f>
        <v>18YOM student was showing off gun to 18YOM classmate. Discharged and struck him in stomach. Shooter fled the scene and was turned into police later by mother. School had metal detectors in the main building but the shooting occurred in an auxiliary classroom.</v>
      </c>
      <c r="AA2355" s="8" t="str">
        <f ca="1">IFERROR(__xludf.DUMMYFUNCTION("""COMPUTED_VALUE"""),"Accidental")</f>
        <v>Accidental</v>
      </c>
      <c r="AB2355" s="8"/>
      <c r="AC2355" s="8"/>
      <c r="AD2355" s="8" t="str">
        <f ca="1">IFERROR(__xludf.DUMMYFUNCTION("""COMPUTED_VALUE"""),"Random Shooting")</f>
        <v>Random Shooting</v>
      </c>
      <c r="AE2355" s="8" t="str">
        <f ca="1">IFERROR(__xludf.DUMMYFUNCTION("""COMPUTED_VALUE"""),"No")</f>
        <v>No</v>
      </c>
      <c r="AF2355" s="8"/>
      <c r="AG2355" s="8" t="str">
        <f ca="1">IFERROR(__xludf.DUMMYFUNCTION("""COMPUTED_VALUE"""),"No")</f>
        <v>No</v>
      </c>
      <c r="AH2355" s="8" t="str">
        <f ca="1">IFERROR(__xludf.DUMMYFUNCTION("""COMPUTED_VALUE"""),"No")</f>
        <v>No</v>
      </c>
      <c r="AI2355" s="8" t="str">
        <f ca="1">IFERROR(__xludf.DUMMYFUNCTION("""COMPUTED_VALUE"""),"No")</f>
        <v>No</v>
      </c>
      <c r="AJ2355" s="8" t="str">
        <f ca="1">IFERROR(__xludf.DUMMYFUNCTION("""COMPUTED_VALUE"""),"No")</f>
        <v>No</v>
      </c>
      <c r="AK2355" s="8" t="str">
        <f ca="1">IFERROR(__xludf.DUMMYFUNCTION("""COMPUTED_VALUE"""),"No")</f>
        <v>No</v>
      </c>
      <c r="AL2355" s="8" t="str">
        <f ca="1">IFERROR(__xludf.DUMMYFUNCTION("""COMPUTED_VALUE"""),"No")</f>
        <v>No</v>
      </c>
      <c r="AM2355" s="8"/>
      <c r="AN2355" s="8"/>
      <c r="AO2355" s="8" t="str">
        <f ca="1">IFERROR(__xludf.DUMMYFUNCTION("""COMPUTED_VALUE"""),"No")</f>
        <v>No</v>
      </c>
      <c r="AP2355" s="8"/>
      <c r="AQ2355" s="8" t="str">
        <f ca="1">IFERROR(__xludf.DUMMYFUNCTION("""COMPUTED_VALUE"""),"Unknown")</f>
        <v>Unknown</v>
      </c>
      <c r="AR2355" s="8" t="str">
        <f ca="1">IFERROR(__xludf.DUMMYFUNCTION("""COMPUTED_VALUE"""),"NA")</f>
        <v>NA</v>
      </c>
      <c r="AS2355" s="8">
        <f ca="1">IFERROR(__xludf.DUMMYFUNCTION("""COMPUTED_VALUE"""),1)</f>
        <v>1</v>
      </c>
      <c r="AT2355" s="8"/>
      <c r="AU2355" s="8">
        <f ca="1">IFERROR(__xludf.DUMMYFUNCTION("""COMPUTED_VALUE"""),32.479235)</f>
        <v>32.479235000000003</v>
      </c>
      <c r="AV2355" s="8">
        <f ca="1">IFERROR(__xludf.DUMMYFUNCTION("""COMPUTED_VALUE"""),-93.791058)</f>
        <v>-93.791058000000007</v>
      </c>
      <c r="AW2355" s="8"/>
      <c r="AX2355" s="8">
        <f ca="1">IFERROR(__xludf.DUMMYFUNCTION("""COMPUTED_VALUE"""),71109)</f>
        <v>71109</v>
      </c>
    </row>
    <row r="2356" spans="1:50" ht="60" x14ac:dyDescent="0.2">
      <c r="A2356" s="8" t="str">
        <f ca="1">IFERROR(__xludf.DUMMYFUNCTION("""COMPUTED_VALUE"""),"20030410CAWAW")</f>
        <v>20030410CAWAW</v>
      </c>
      <c r="B2356" s="8">
        <f ca="1">IFERROR(__xludf.DUMMYFUNCTION("""COMPUTED_VALUE"""),4)</f>
        <v>4</v>
      </c>
      <c r="C2356" s="8">
        <f ca="1">IFERROR(__xludf.DUMMYFUNCTION("""COMPUTED_VALUE"""),10)</f>
        <v>10</v>
      </c>
      <c r="D2356" s="8">
        <f ca="1">IFERROR(__xludf.DUMMYFUNCTION("""COMPUTED_VALUE"""),2003)</f>
        <v>2003</v>
      </c>
      <c r="E2356" s="9">
        <f ca="1">IFERROR(__xludf.DUMMYFUNCTION("""COMPUTED_VALUE"""),37721)</f>
        <v>37721</v>
      </c>
      <c r="F2356" s="8" t="str">
        <f ca="1">IFERROR(__xludf.DUMMYFUNCTION("""COMPUTED_VALUE"""),"Walnut High School")</f>
        <v>Walnut High School</v>
      </c>
      <c r="G2356" s="8">
        <f ca="1">IFERROR(__xludf.DUMMYFUNCTION("""COMPUTED_VALUE"""),0)</f>
        <v>0</v>
      </c>
      <c r="H2356" s="8">
        <f ca="1">IFERROR(__xludf.DUMMYFUNCTION("""COMPUTED_VALUE"""),0)</f>
        <v>0</v>
      </c>
      <c r="I2356" s="8">
        <f ca="1">IFERROR(__xludf.DUMMYFUNCTION("""COMPUTED_VALUE"""),0)</f>
        <v>0</v>
      </c>
      <c r="J2356" s="8">
        <f ca="1">IFERROR(__xludf.DUMMYFUNCTION("""COMPUTED_VALUE"""),1)</f>
        <v>1</v>
      </c>
      <c r="K2356" s="10" t="str">
        <f ca="1">IFERROR(__xludf.DUMMYFUNCTION("""COMPUTED_VALUE"""),"https://web.archive.org/web/20050211181322/https://www.nbc4.tv/news/2104581/detail.html")</f>
        <v>https://web.archive.org/web/20050211181322/https://www.nbc4.tv/news/2104581/detail.html</v>
      </c>
      <c r="L2356" s="8">
        <f ca="1">IFERROR(__xludf.DUMMYFUNCTION("""COMPUTED_VALUE"""),4)</f>
        <v>4</v>
      </c>
      <c r="M2356" s="8" t="str">
        <f ca="1">IFERROR(__xludf.DUMMYFUNCTION("""COMPUTED_VALUE"""),"Local")</f>
        <v>Local</v>
      </c>
      <c r="N2356" s="8">
        <f ca="1">IFERROR(__xludf.DUMMYFUNCTION("""COMPUTED_VALUE"""),4)</f>
        <v>4</v>
      </c>
      <c r="O2356" s="8" t="str">
        <f ca="1">IFERROR(__xludf.DUMMYFUNCTION("""COMPUTED_VALUE"""),"Spring")</f>
        <v>Spring</v>
      </c>
      <c r="P2356" s="8" t="str">
        <f ca="1">IFERROR(__xludf.DUMMYFUNCTION("""COMPUTED_VALUE"""),"Walnut")</f>
        <v>Walnut</v>
      </c>
      <c r="Q2356" s="8" t="str">
        <f ca="1">IFERROR(__xludf.DUMMYFUNCTION("""COMPUTED_VALUE"""),"CA")</f>
        <v>CA</v>
      </c>
      <c r="R2356" s="8" t="str">
        <f ca="1">IFERROR(__xludf.DUMMYFUNCTION("""COMPUTED_VALUE"""),"High")</f>
        <v>High</v>
      </c>
      <c r="S2356" s="8" t="str">
        <f ca="1">IFERROR(__xludf.DUMMYFUNCTION("""COMPUTED_VALUE"""),"Cafeteria")</f>
        <v>Cafeteria</v>
      </c>
      <c r="T2356" s="8" t="str">
        <f ca="1">IFERROR(__xludf.DUMMYFUNCTION("""COMPUTED_VALUE"""),"Inside School Building")</f>
        <v>Inside School Building</v>
      </c>
      <c r="U2356" s="8" t="str">
        <f ca="1">IFERROR(__xludf.DUMMYFUNCTION("""COMPUTED_VALUE"""),"Yes")</f>
        <v>Yes</v>
      </c>
      <c r="V2356" s="8" t="str">
        <f ca="1">IFERROR(__xludf.DUMMYFUNCTION("""COMPUTED_VALUE"""),"Lunch")</f>
        <v>Lunch</v>
      </c>
      <c r="W2356" s="11">
        <f ca="1">IFERROR(__xludf.DUMMYFUNCTION("""COMPUTED_VALUE"""),0.506944444444444)</f>
        <v>0.50694444444444398</v>
      </c>
      <c r="X2356" s="8">
        <f ca="1">IFERROR(__xludf.DUMMYFUNCTION("""COMPUTED_VALUE"""),1)</f>
        <v>1</v>
      </c>
      <c r="Y2356" s="12" t="str">
        <f ca="1">IFERROR(__xludf.DUMMYFUNCTION("""COMPUTED_VALUE"""),"Student fatally shot himself inside cafeteria during lunch")</f>
        <v>Student fatally shot himself inside cafeteria during lunch</v>
      </c>
      <c r="Z2356" s="12" t="str">
        <f ca="1">IFERROR(__xludf.DUMMYFUNCTION("""COMPUTED_VALUE"""),"An 18-year-old student who was having issues with his girlfriend fatally shot himself in the school cafeteria during lunch time. Classes were not cancelled. Counselors were available to students.")</f>
        <v>An 18-year-old student who was having issues with his girlfriend fatally shot himself in the school cafeteria during lunch time. Classes were not cancelled. Counselors were available to students.</v>
      </c>
      <c r="AA2356" s="8" t="str">
        <f ca="1">IFERROR(__xludf.DUMMYFUNCTION("""COMPUTED_VALUE"""),"Suicide/Attempted")</f>
        <v>Suicide/Attempted</v>
      </c>
      <c r="AB2356" s="8"/>
      <c r="AC2356" s="8"/>
      <c r="AD2356" s="8" t="str">
        <f ca="1">IFERROR(__xludf.DUMMYFUNCTION("""COMPUTED_VALUE"""),"Victims Targeted")</f>
        <v>Victims Targeted</v>
      </c>
      <c r="AE2356" s="8" t="str">
        <f ca="1">IFERROR(__xludf.DUMMYFUNCTION("""COMPUTED_VALUE"""),"No")</f>
        <v>No</v>
      </c>
      <c r="AF2356" s="8"/>
      <c r="AG2356" s="8" t="str">
        <f ca="1">IFERROR(__xludf.DUMMYFUNCTION("""COMPUTED_VALUE"""),"No")</f>
        <v>No</v>
      </c>
      <c r="AH2356" s="8" t="str">
        <f ca="1">IFERROR(__xludf.DUMMYFUNCTION("""COMPUTED_VALUE"""),"No")</f>
        <v>No</v>
      </c>
      <c r="AI2356" s="8" t="str">
        <f ca="1">IFERROR(__xludf.DUMMYFUNCTION("""COMPUTED_VALUE"""),"No")</f>
        <v>No</v>
      </c>
      <c r="AJ2356" s="8" t="str">
        <f ca="1">IFERROR(__xludf.DUMMYFUNCTION("""COMPUTED_VALUE"""),"No")</f>
        <v>No</v>
      </c>
      <c r="AK2356" s="8" t="str">
        <f ca="1">IFERROR(__xludf.DUMMYFUNCTION("""COMPUTED_VALUE"""),"No")</f>
        <v>No</v>
      </c>
      <c r="AL2356" s="8" t="str">
        <f ca="1">IFERROR(__xludf.DUMMYFUNCTION("""COMPUTED_VALUE"""),"No")</f>
        <v>No</v>
      </c>
      <c r="AM2356" s="8" t="str">
        <f ca="1">IFERROR(__xludf.DUMMYFUNCTION("""COMPUTED_VALUE"""),"No")</f>
        <v>No</v>
      </c>
      <c r="AN2356" s="8"/>
      <c r="AO2356" s="8" t="str">
        <f ca="1">IFERROR(__xludf.DUMMYFUNCTION("""COMPUTED_VALUE"""),"No")</f>
        <v>No</v>
      </c>
      <c r="AP2356" s="8"/>
      <c r="AQ2356" s="8"/>
      <c r="AR2356" s="8"/>
      <c r="AS2356" s="8">
        <f ca="1">IFERROR(__xludf.DUMMYFUNCTION("""COMPUTED_VALUE"""),1)</f>
        <v>1</v>
      </c>
      <c r="AT2356" s="8" t="str">
        <f ca="1">IFERROR(__xludf.DUMMYFUNCTION("""COMPUTED_VALUE"""),"No")</f>
        <v>No</v>
      </c>
      <c r="AU2356" s="8">
        <f ca="1">IFERROR(__xludf.DUMMYFUNCTION("""COMPUTED_VALUE"""),34.022194)</f>
        <v>34.022193999999999</v>
      </c>
      <c r="AV2356" s="8">
        <f ca="1">IFERROR(__xludf.DUMMYFUNCTION("""COMPUTED_VALUE"""),-117.84978)</f>
        <v>-117.84978</v>
      </c>
      <c r="AW2356" s="8"/>
      <c r="AX2356" s="8">
        <f ca="1">IFERROR(__xludf.DUMMYFUNCTION("""COMPUTED_VALUE"""),91789)</f>
        <v>91789</v>
      </c>
    </row>
    <row r="2357" spans="1:50" ht="45" x14ac:dyDescent="0.2">
      <c r="A2357" s="8" t="str">
        <f ca="1">IFERROR(__xludf.DUMMYFUNCTION("""COMPUTED_VALUE"""),"20030401DCCAW")</f>
        <v>20030401DCCAW</v>
      </c>
      <c r="B2357" s="8">
        <f ca="1">IFERROR(__xludf.DUMMYFUNCTION("""COMPUTED_VALUE"""),4)</f>
        <v>4</v>
      </c>
      <c r="C2357" s="8">
        <f ca="1">IFERROR(__xludf.DUMMYFUNCTION("""COMPUTED_VALUE"""),1)</f>
        <v>1</v>
      </c>
      <c r="D2357" s="8">
        <f ca="1">IFERROR(__xludf.DUMMYFUNCTION("""COMPUTED_VALUE"""),2003)</f>
        <v>2003</v>
      </c>
      <c r="E2357" s="9">
        <f ca="1">IFERROR(__xludf.DUMMYFUNCTION("""COMPUTED_VALUE"""),37712)</f>
        <v>37712</v>
      </c>
      <c r="F2357" s="8" t="str">
        <f ca="1">IFERROR(__xludf.DUMMYFUNCTION("""COMPUTED_VALUE"""),"Cardozo High School")</f>
        <v>Cardozo High School</v>
      </c>
      <c r="G2357" s="8">
        <f ca="1">IFERROR(__xludf.DUMMYFUNCTION("""COMPUTED_VALUE"""),0)</f>
        <v>0</v>
      </c>
      <c r="H2357" s="8">
        <f ca="1">IFERROR(__xludf.DUMMYFUNCTION("""COMPUTED_VALUE"""),1)</f>
        <v>1</v>
      </c>
      <c r="I2357" s="8">
        <f ca="1">IFERROR(__xludf.DUMMYFUNCTION("""COMPUTED_VALUE"""),1)</f>
        <v>1</v>
      </c>
      <c r="J2357" s="8">
        <f ca="1">IFERROR(__xludf.DUMMYFUNCTION("""COMPUTED_VALUE"""),0)</f>
        <v>0</v>
      </c>
      <c r="K2357" s="10" t="str">
        <f ca="1">IFERROR(__xludf.DUMMYFUNCTION("""COMPUTED_VALUE"""),"https://www.washingtontimes.com/news/2003/apr/4/20030404-090538-6902r/")</f>
        <v>https://www.washingtontimes.com/news/2003/apr/4/20030404-090538-6902r/</v>
      </c>
      <c r="L2357" s="8"/>
      <c r="M2357" s="8"/>
      <c r="N2357" s="8">
        <f ca="1">IFERROR(__xludf.DUMMYFUNCTION("""COMPUTED_VALUE"""),2)</f>
        <v>2</v>
      </c>
      <c r="O2357" s="8" t="str">
        <f ca="1">IFERROR(__xludf.DUMMYFUNCTION("""COMPUTED_VALUE"""),"Spring")</f>
        <v>Spring</v>
      </c>
      <c r="P2357" s="8" t="str">
        <f ca="1">IFERROR(__xludf.DUMMYFUNCTION("""COMPUTED_VALUE"""),"Washington")</f>
        <v>Washington</v>
      </c>
      <c r="Q2357" s="8" t="str">
        <f ca="1">IFERROR(__xludf.DUMMYFUNCTION("""COMPUTED_VALUE"""),"DC")</f>
        <v>DC</v>
      </c>
      <c r="R2357" s="8" t="str">
        <f ca="1">IFERROR(__xludf.DUMMYFUNCTION("""COMPUTED_VALUE"""),"High")</f>
        <v>High</v>
      </c>
      <c r="S2357" s="8" t="str">
        <f ca="1">IFERROR(__xludf.DUMMYFUNCTION("""COMPUTED_VALUE"""),"Hallway")</f>
        <v>Hallway</v>
      </c>
      <c r="T2357" s="8" t="str">
        <f ca="1">IFERROR(__xludf.DUMMYFUNCTION("""COMPUTED_VALUE"""),"Inside School Building")</f>
        <v>Inside School Building</v>
      </c>
      <c r="U2357" s="8" t="str">
        <f ca="1">IFERROR(__xludf.DUMMYFUNCTION("""COMPUTED_VALUE"""),"Yes")</f>
        <v>Yes</v>
      </c>
      <c r="V2357" s="8" t="str">
        <f ca="1">IFERROR(__xludf.DUMMYFUNCTION("""COMPUTED_VALUE"""),"Lunch")</f>
        <v>Lunch</v>
      </c>
      <c r="W2357" s="11">
        <f ca="1">IFERROR(__xludf.DUMMYFUNCTION("""COMPUTED_VALUE"""),0.510416666666666)</f>
        <v>0.51041666666666596</v>
      </c>
      <c r="X2357" s="8">
        <f ca="1">IFERROR(__xludf.DUMMYFUNCTION("""COMPUTED_VALUE"""),1)</f>
        <v>1</v>
      </c>
      <c r="Y2357" s="12" t="str">
        <f ca="1">IFERROR(__xludf.DUMMYFUNCTION("""COMPUTED_VALUE"""),"Gang-related fight in hallway between students")</f>
        <v>Gang-related fight in hallway between students</v>
      </c>
      <c r="Z2357" s="12" t="str">
        <f ca="1">IFERROR(__xludf.DUMMYFUNCTION("""COMPUTED_VALUE"""),"15YOM student shot 16YOM student in the leg during a fight in the hallway. Students were members of rival gangs.")</f>
        <v>15YOM student shot 16YOM student in the leg during a fight in the hallway. Students were members of rival gangs.</v>
      </c>
      <c r="AA2357" s="8" t="str">
        <f ca="1">IFERROR(__xludf.DUMMYFUNCTION("""COMPUTED_VALUE"""),"Escalation of Dispute")</f>
        <v>Escalation of Dispute</v>
      </c>
      <c r="AB2357" s="8"/>
      <c r="AC2357" s="8"/>
      <c r="AD2357" s="8" t="str">
        <f ca="1">IFERROR(__xludf.DUMMYFUNCTION("""COMPUTED_VALUE"""),"Victims Targeted")</f>
        <v>Victims Targeted</v>
      </c>
      <c r="AE2357" s="8" t="str">
        <f ca="1">IFERROR(__xludf.DUMMYFUNCTION("""COMPUTED_VALUE"""),"No")</f>
        <v>No</v>
      </c>
      <c r="AF2357" s="8"/>
      <c r="AG2357" s="8" t="str">
        <f ca="1">IFERROR(__xludf.DUMMYFUNCTION("""COMPUTED_VALUE"""),"No")</f>
        <v>No</v>
      </c>
      <c r="AH2357" s="8" t="str">
        <f ca="1">IFERROR(__xludf.DUMMYFUNCTION("""COMPUTED_VALUE"""),"No")</f>
        <v>No</v>
      </c>
      <c r="AI2357" s="8" t="str">
        <f ca="1">IFERROR(__xludf.DUMMYFUNCTION("""COMPUTED_VALUE"""),"No")</f>
        <v>No</v>
      </c>
      <c r="AJ2357" s="8" t="str">
        <f ca="1">IFERROR(__xludf.DUMMYFUNCTION("""COMPUTED_VALUE"""),"No")</f>
        <v>No</v>
      </c>
      <c r="AK2357" s="8" t="str">
        <f ca="1">IFERROR(__xludf.DUMMYFUNCTION("""COMPUTED_VALUE"""),"No")</f>
        <v>No</v>
      </c>
      <c r="AL2357" s="8" t="str">
        <f ca="1">IFERROR(__xludf.DUMMYFUNCTION("""COMPUTED_VALUE"""),"Yes")</f>
        <v>Yes</v>
      </c>
      <c r="AM2357" s="8"/>
      <c r="AN2357" s="8"/>
      <c r="AO2357" s="8" t="str">
        <f ca="1">IFERROR(__xludf.DUMMYFUNCTION("""COMPUTED_VALUE"""),"No")</f>
        <v>No</v>
      </c>
      <c r="AP2357" s="8" t="str">
        <f ca="1">IFERROR(__xludf.DUMMYFUNCTION("""COMPUTED_VALUE"""),"Yes")</f>
        <v>Yes</v>
      </c>
      <c r="AQ2357" s="8" t="str">
        <f ca="1">IFERROR(__xludf.DUMMYFUNCTION("""COMPUTED_VALUE"""),"Metal Detectors Bypassed")</f>
        <v>Metal Detectors Bypassed</v>
      </c>
      <c r="AR2357" s="8" t="str">
        <f ca="1">IFERROR(__xludf.DUMMYFUNCTION("""COMPUTED_VALUE"""),"Bypassed")</f>
        <v>Bypassed</v>
      </c>
      <c r="AS2357" s="8">
        <f ca="1">IFERROR(__xludf.DUMMYFUNCTION("""COMPUTED_VALUE"""),1)</f>
        <v>1</v>
      </c>
      <c r="AT2357" s="8"/>
      <c r="AU2357" s="8">
        <f ca="1">IFERROR(__xludf.DUMMYFUNCTION("""COMPUTED_VALUE"""),38.921658)</f>
        <v>38.921658000000001</v>
      </c>
      <c r="AV2357" s="8">
        <f ca="1">IFERROR(__xludf.DUMMYFUNCTION("""COMPUTED_VALUE"""),-77.028775)</f>
        <v>-77.028774999999996</v>
      </c>
      <c r="AW2357" s="8"/>
      <c r="AX2357" s="8">
        <f ca="1">IFERROR(__xludf.DUMMYFUNCTION("""COMPUTED_VALUE"""),20009)</f>
        <v>20009</v>
      </c>
    </row>
    <row r="2358" spans="1:50" ht="60" x14ac:dyDescent="0.2">
      <c r="A2358" s="8" t="str">
        <f ca="1">IFERROR(__xludf.DUMMYFUNCTION("""COMPUTED_VALUE"""),"20030330CAROW")</f>
        <v>20030330CAROW</v>
      </c>
      <c r="B2358" s="8">
        <f ca="1">IFERROR(__xludf.DUMMYFUNCTION("""COMPUTED_VALUE"""),3)</f>
        <v>3</v>
      </c>
      <c r="C2358" s="8">
        <f ca="1">IFERROR(__xludf.DUMMYFUNCTION("""COMPUTED_VALUE"""),30)</f>
        <v>30</v>
      </c>
      <c r="D2358" s="8">
        <f ca="1">IFERROR(__xludf.DUMMYFUNCTION("""COMPUTED_VALUE"""),2003)</f>
        <v>2003</v>
      </c>
      <c r="E2358" s="9">
        <f ca="1">IFERROR(__xludf.DUMMYFUNCTION("""COMPUTED_VALUE"""),37710)</f>
        <v>37710</v>
      </c>
      <c r="F2358" s="8" t="str">
        <f ca="1">IFERROR(__xludf.DUMMYFUNCTION("""COMPUTED_VALUE"""),"Rolling Hills Middle School")</f>
        <v>Rolling Hills Middle School</v>
      </c>
      <c r="G2358" s="8">
        <f ca="1">IFERROR(__xludf.DUMMYFUNCTION("""COMPUTED_VALUE"""),1)</f>
        <v>1</v>
      </c>
      <c r="H2358" s="8">
        <f ca="1">IFERROR(__xludf.DUMMYFUNCTION("""COMPUTED_VALUE"""),0)</f>
        <v>0</v>
      </c>
      <c r="I2358" s="8">
        <f ca="1">IFERROR(__xludf.DUMMYFUNCTION("""COMPUTED_VALUE"""),1)</f>
        <v>1</v>
      </c>
      <c r="J2358" s="8">
        <f ca="1">IFERROR(__xludf.DUMMYFUNCTION("""COMPUTED_VALUE"""),0)</f>
        <v>0</v>
      </c>
      <c r="K2358" s="10" t="str">
        <f ca="1">IFERROR(__xludf.DUMMYFUNCTION("""COMPUTED_VALUE"""),"http://www.santacruzsentinel.com/article/zz/20080625/NEWS/806259869")</f>
        <v>http://www.santacruzsentinel.com/article/zz/20080625/NEWS/806259869</v>
      </c>
      <c r="L2358" s="8"/>
      <c r="M2358" s="8"/>
      <c r="N2358" s="8">
        <f ca="1">IFERROR(__xludf.DUMMYFUNCTION("""COMPUTED_VALUE"""),2)</f>
        <v>2</v>
      </c>
      <c r="O2358" s="8" t="str">
        <f ca="1">IFERROR(__xludf.DUMMYFUNCTION("""COMPUTED_VALUE"""),"Spring")</f>
        <v>Spring</v>
      </c>
      <c r="P2358" s="8" t="str">
        <f ca="1">IFERROR(__xludf.DUMMYFUNCTION("""COMPUTED_VALUE"""),"Watsonville")</f>
        <v>Watsonville</v>
      </c>
      <c r="Q2358" s="8" t="str">
        <f ca="1">IFERROR(__xludf.DUMMYFUNCTION("""COMPUTED_VALUE"""),"CA")</f>
        <v>CA</v>
      </c>
      <c r="R2358" s="8" t="str">
        <f ca="1">IFERROR(__xludf.DUMMYFUNCTION("""COMPUTED_VALUE"""),"High")</f>
        <v>High</v>
      </c>
      <c r="S2358" s="8" t="str">
        <f ca="1">IFERROR(__xludf.DUMMYFUNCTION("""COMPUTED_VALUE"""),"Beside Building")</f>
        <v>Beside Building</v>
      </c>
      <c r="T2358" s="8" t="str">
        <f ca="1">IFERROR(__xludf.DUMMYFUNCTION("""COMPUTED_VALUE"""),"Outside on School Property")</f>
        <v>Outside on School Property</v>
      </c>
      <c r="U2358" s="8" t="str">
        <f ca="1">IFERROR(__xludf.DUMMYFUNCTION("""COMPUTED_VALUE"""),"No")</f>
        <v>No</v>
      </c>
      <c r="V2358" s="8" t="str">
        <f ca="1">IFERROR(__xludf.DUMMYFUNCTION("""COMPUTED_VALUE"""),"Not a School Day")</f>
        <v>Not a School Day</v>
      </c>
      <c r="W2358" s="11">
        <f ca="1">IFERROR(__xludf.DUMMYFUNCTION("""COMPUTED_VALUE"""),0.777777777777777)</f>
        <v>0.77777777777777701</v>
      </c>
      <c r="X2358" s="8">
        <f ca="1">IFERROR(__xludf.DUMMYFUNCTION("""COMPUTED_VALUE"""),1)</f>
        <v>1</v>
      </c>
      <c r="Y2358" s="12" t="str">
        <f ca="1">IFERROR(__xludf.DUMMYFUNCTION("""COMPUTED_VALUE"""),"Man shot during gang dispute because of belt color")</f>
        <v>Man shot during gang dispute because of belt color</v>
      </c>
      <c r="Z2358" s="12" t="str">
        <f ca="1">IFERROR(__xludf.DUMMYFUNCTION("""COMPUTED_VALUE"""),"20YOM shot 30YOM in the head during a gang related dispute outside of the school. The victims had the belt color of a rival gang.")</f>
        <v>20YOM shot 30YOM in the head during a gang related dispute outside of the school. The victims had the belt color of a rival gang.</v>
      </c>
      <c r="AA2358" s="8" t="str">
        <f ca="1">IFERROR(__xludf.DUMMYFUNCTION("""COMPUTED_VALUE"""),"Escalation of Dispute")</f>
        <v>Escalation of Dispute</v>
      </c>
      <c r="AB2358" s="8"/>
      <c r="AC2358" s="8"/>
      <c r="AD2358" s="8" t="str">
        <f ca="1">IFERROR(__xludf.DUMMYFUNCTION("""COMPUTED_VALUE"""),"Victims Targeted")</f>
        <v>Victims Targeted</v>
      </c>
      <c r="AE2358" s="8" t="str">
        <f ca="1">IFERROR(__xludf.DUMMYFUNCTION("""COMPUTED_VALUE"""),"No")</f>
        <v>No</v>
      </c>
      <c r="AF2358" s="8"/>
      <c r="AG2358" s="8" t="str">
        <f ca="1">IFERROR(__xludf.DUMMYFUNCTION("""COMPUTED_VALUE"""),"No")</f>
        <v>No</v>
      </c>
      <c r="AH2358" s="8" t="str">
        <f ca="1">IFERROR(__xludf.DUMMYFUNCTION("""COMPUTED_VALUE"""),"No")</f>
        <v>No</v>
      </c>
      <c r="AI2358" s="8" t="str">
        <f ca="1">IFERROR(__xludf.DUMMYFUNCTION("""COMPUTED_VALUE"""),"No")</f>
        <v>No</v>
      </c>
      <c r="AJ2358" s="8" t="str">
        <f ca="1">IFERROR(__xludf.DUMMYFUNCTION("""COMPUTED_VALUE"""),"No")</f>
        <v>No</v>
      </c>
      <c r="AK2358" s="8" t="str">
        <f ca="1">IFERROR(__xludf.DUMMYFUNCTION("""COMPUTED_VALUE"""),"No")</f>
        <v>No</v>
      </c>
      <c r="AL2358" s="8" t="str">
        <f ca="1">IFERROR(__xludf.DUMMYFUNCTION("""COMPUTED_VALUE"""),"Yes")</f>
        <v>Yes</v>
      </c>
      <c r="AM2358" s="8"/>
      <c r="AN2358" s="8"/>
      <c r="AO2358" s="8" t="str">
        <f ca="1">IFERROR(__xludf.DUMMYFUNCTION("""COMPUTED_VALUE"""),"No")</f>
        <v>No</v>
      </c>
      <c r="AP2358" s="8"/>
      <c r="AQ2358" s="8" t="str">
        <f ca="1">IFERROR(__xludf.DUMMYFUNCTION("""COMPUTED_VALUE"""),"Unknown")</f>
        <v>Unknown</v>
      </c>
      <c r="AR2358" s="8" t="str">
        <f ca="1">IFERROR(__xludf.DUMMYFUNCTION("""COMPUTED_VALUE"""),"NA")</f>
        <v>NA</v>
      </c>
      <c r="AS2358" s="8">
        <f ca="1">IFERROR(__xludf.DUMMYFUNCTION("""COMPUTED_VALUE"""),1)</f>
        <v>1</v>
      </c>
      <c r="AT2358" s="8"/>
      <c r="AU2358" s="8">
        <f ca="1">IFERROR(__xludf.DUMMYFUNCTION("""COMPUTED_VALUE"""),36.924354)</f>
        <v>36.924354000000001</v>
      </c>
      <c r="AV2358" s="8">
        <f ca="1">IFERROR(__xludf.DUMMYFUNCTION("""COMPUTED_VALUE"""),-121.785871)</f>
        <v>-121.785871</v>
      </c>
      <c r="AW2358" s="8"/>
      <c r="AX2358" s="8">
        <f ca="1">IFERROR(__xludf.DUMMYFUNCTION("""COMPUTED_VALUE"""),95019)</f>
        <v>95019</v>
      </c>
    </row>
    <row r="2359" spans="1:50" ht="60" x14ac:dyDescent="0.2">
      <c r="A2359" s="8" t="str">
        <f ca="1">IFERROR(__xludf.DUMMYFUNCTION("""COMPUTED_VALUE"""),"20030321MSNOM")</f>
        <v>20030321MSNOM</v>
      </c>
      <c r="B2359" s="8">
        <f ca="1">IFERROR(__xludf.DUMMYFUNCTION("""COMPUTED_VALUE"""),3)</f>
        <v>3</v>
      </c>
      <c r="C2359" s="8">
        <f ca="1">IFERROR(__xludf.DUMMYFUNCTION("""COMPUTED_VALUE"""),21)</f>
        <v>21</v>
      </c>
      <c r="D2359" s="8">
        <f ca="1">IFERROR(__xludf.DUMMYFUNCTION("""COMPUTED_VALUE"""),2003)</f>
        <v>2003</v>
      </c>
      <c r="E2359" s="9">
        <f ca="1">IFERROR(__xludf.DUMMYFUNCTION("""COMPUTED_VALUE"""),37701)</f>
        <v>37701</v>
      </c>
      <c r="F2359" s="8" t="str">
        <f ca="1">IFERROR(__xludf.DUMMYFUNCTION("""COMPUTED_VALUE"""),"Northeast High School")</f>
        <v>Northeast High School</v>
      </c>
      <c r="G2359" s="8">
        <f ca="1">IFERROR(__xludf.DUMMYFUNCTION("""COMPUTED_VALUE"""),0)</f>
        <v>0</v>
      </c>
      <c r="H2359" s="8">
        <f ca="1">IFERROR(__xludf.DUMMYFUNCTION("""COMPUTED_VALUE"""),0)</f>
        <v>0</v>
      </c>
      <c r="I2359" s="8">
        <f ca="1">IFERROR(__xludf.DUMMYFUNCTION("""COMPUTED_VALUE"""),0)</f>
        <v>0</v>
      </c>
      <c r="J2359" s="8">
        <f ca="1">IFERROR(__xludf.DUMMYFUNCTION("""COMPUTED_VALUE"""),1)</f>
        <v>1</v>
      </c>
      <c r="K2359" s="10" t="str">
        <f ca="1">IFERROR(__xludf.DUMMYFUNCTION("""COMPUTED_VALUE"""),"https://www.franklincountytimes.com/2003/03/26/northeast-high-school-begins-healing-process/")</f>
        <v>https://www.franklincountytimes.com/2003/03/26/northeast-high-school-begins-healing-process/</v>
      </c>
      <c r="L2359" s="8"/>
      <c r="M2359" s="8"/>
      <c r="N2359" s="8">
        <f ca="1">IFERROR(__xludf.DUMMYFUNCTION("""COMPUTED_VALUE"""),2)</f>
        <v>2</v>
      </c>
      <c r="O2359" s="8" t="str">
        <f ca="1">IFERROR(__xludf.DUMMYFUNCTION("""COMPUTED_VALUE"""),"Spring")</f>
        <v>Spring</v>
      </c>
      <c r="P2359" s="8" t="str">
        <f ca="1">IFERROR(__xludf.DUMMYFUNCTION("""COMPUTED_VALUE"""),"Meridian")</f>
        <v>Meridian</v>
      </c>
      <c r="Q2359" s="8" t="str">
        <f ca="1">IFERROR(__xludf.DUMMYFUNCTION("""COMPUTED_VALUE"""),"MS")</f>
        <v>MS</v>
      </c>
      <c r="R2359" s="8" t="str">
        <f ca="1">IFERROR(__xludf.DUMMYFUNCTION("""COMPUTED_VALUE"""),"High")</f>
        <v>High</v>
      </c>
      <c r="S2359" s="8" t="str">
        <f ca="1">IFERROR(__xludf.DUMMYFUNCTION("""COMPUTED_VALUE"""),"Bathroom")</f>
        <v>Bathroom</v>
      </c>
      <c r="T2359" s="8" t="str">
        <f ca="1">IFERROR(__xludf.DUMMYFUNCTION("""COMPUTED_VALUE"""),"Inside School Building")</f>
        <v>Inside School Building</v>
      </c>
      <c r="U2359" s="8" t="str">
        <f ca="1">IFERROR(__xludf.DUMMYFUNCTION("""COMPUTED_VALUE"""),"Yes")</f>
        <v>Yes</v>
      </c>
      <c r="V2359" s="8" t="str">
        <f ca="1">IFERROR(__xludf.DUMMYFUNCTION("""COMPUTED_VALUE"""),"Morning Classes")</f>
        <v>Morning Classes</v>
      </c>
      <c r="W2359" s="11">
        <f ca="1">IFERROR(__xludf.DUMMYFUNCTION("""COMPUTED_VALUE"""),0.333333333333333)</f>
        <v>0.33333333333333298</v>
      </c>
      <c r="X2359" s="8">
        <f ca="1">IFERROR(__xludf.DUMMYFUNCTION("""COMPUTED_VALUE"""),1)</f>
        <v>1</v>
      </c>
      <c r="Y2359" s="12" t="str">
        <f ca="1">IFERROR(__xludf.DUMMYFUNCTION("""COMPUTED_VALUE"""),"Student shot self in bathroom")</f>
        <v>Student shot self in bathroom</v>
      </c>
      <c r="Z2359" s="12" t="str">
        <f ca="1">IFERROR(__xludf.DUMMYFUNCTION("""COMPUTED_VALUE"""),"15YOM student shot himself in the bathroom of the school. His body was found by another student. Shooter had been depressed since his aunt had recently shot and killed his uncle.")</f>
        <v>15YOM student shot himself in the bathroom of the school. His body was found by another student. Shooter had been depressed since his aunt had recently shot and killed his uncle.</v>
      </c>
      <c r="AA2359" s="8" t="str">
        <f ca="1">IFERROR(__xludf.DUMMYFUNCTION("""COMPUTED_VALUE"""),"Suicide/Attempted")</f>
        <v>Suicide/Attempted</v>
      </c>
      <c r="AB2359" s="8"/>
      <c r="AC2359" s="8"/>
      <c r="AD2359" s="8" t="str">
        <f ca="1">IFERROR(__xludf.DUMMYFUNCTION("""COMPUTED_VALUE"""),"Victims Targeted")</f>
        <v>Victims Targeted</v>
      </c>
      <c r="AE2359" s="8" t="str">
        <f ca="1">IFERROR(__xludf.DUMMYFUNCTION("""COMPUTED_VALUE"""),"No")</f>
        <v>No</v>
      </c>
      <c r="AF2359" s="8"/>
      <c r="AG2359" s="8" t="str">
        <f ca="1">IFERROR(__xludf.DUMMYFUNCTION("""COMPUTED_VALUE"""),"No")</f>
        <v>No</v>
      </c>
      <c r="AH2359" s="8" t="str">
        <f ca="1">IFERROR(__xludf.DUMMYFUNCTION("""COMPUTED_VALUE"""),"No")</f>
        <v>No</v>
      </c>
      <c r="AI2359" s="8" t="str">
        <f ca="1">IFERROR(__xludf.DUMMYFUNCTION("""COMPUTED_VALUE"""),"No")</f>
        <v>No</v>
      </c>
      <c r="AJ2359" s="8"/>
      <c r="AK2359" s="8" t="str">
        <f ca="1">IFERROR(__xludf.DUMMYFUNCTION("""COMPUTED_VALUE"""),"No")</f>
        <v>No</v>
      </c>
      <c r="AL2359" s="8" t="str">
        <f ca="1">IFERROR(__xludf.DUMMYFUNCTION("""COMPUTED_VALUE"""),"No")</f>
        <v>No</v>
      </c>
      <c r="AM2359" s="8"/>
      <c r="AN2359" s="8"/>
      <c r="AO2359" s="8" t="str">
        <f ca="1">IFERROR(__xludf.DUMMYFUNCTION("""COMPUTED_VALUE"""),"No")</f>
        <v>No</v>
      </c>
      <c r="AP2359" s="8"/>
      <c r="AQ2359" s="8" t="str">
        <f ca="1">IFERROR(__xludf.DUMMYFUNCTION("""COMPUTED_VALUE"""),"Unknown")</f>
        <v>Unknown</v>
      </c>
      <c r="AR2359" s="8" t="str">
        <f ca="1">IFERROR(__xludf.DUMMYFUNCTION("""COMPUTED_VALUE"""),"NA")</f>
        <v>NA</v>
      </c>
      <c r="AS2359" s="8">
        <f ca="1">IFERROR(__xludf.DUMMYFUNCTION("""COMPUTED_VALUE"""),1)</f>
        <v>1</v>
      </c>
      <c r="AT2359" s="8"/>
      <c r="AU2359" s="8">
        <f ca="1">IFERROR(__xludf.DUMMYFUNCTION("""COMPUTED_VALUE"""),32.470114)</f>
        <v>32.470114000000002</v>
      </c>
      <c r="AV2359" s="8">
        <f ca="1">IFERROR(__xludf.DUMMYFUNCTION("""COMPUTED_VALUE"""),-88.645866)</f>
        <v>-88.645865999999998</v>
      </c>
      <c r="AW2359" s="8"/>
      <c r="AX2359" s="8">
        <f ca="1">IFERROR(__xludf.DUMMYFUNCTION("""COMPUTED_VALUE"""),39305)</f>
        <v>39305</v>
      </c>
    </row>
    <row r="2360" spans="1:50" ht="60" x14ac:dyDescent="0.2">
      <c r="A2360" s="8" t="str">
        <f ca="1">IFERROR(__xludf.DUMMYFUNCTION("""COMPUTED_VALUE"""),"20030318IACLG")</f>
        <v>20030318IACLG</v>
      </c>
      <c r="B2360" s="8">
        <f ca="1">IFERROR(__xludf.DUMMYFUNCTION("""COMPUTED_VALUE"""),3)</f>
        <v>3</v>
      </c>
      <c r="C2360" s="8">
        <f ca="1">IFERROR(__xludf.DUMMYFUNCTION("""COMPUTED_VALUE"""),18)</f>
        <v>18</v>
      </c>
      <c r="D2360" s="8">
        <f ca="1">IFERROR(__xludf.DUMMYFUNCTION("""COMPUTED_VALUE"""),2003)</f>
        <v>2003</v>
      </c>
      <c r="E2360" s="9">
        <f ca="1">IFERROR(__xludf.DUMMYFUNCTION("""COMPUTED_VALUE"""),37698)</f>
        <v>37698</v>
      </c>
      <c r="F2360" s="8" t="str">
        <f ca="1">IFERROR(__xludf.DUMMYFUNCTION("""COMPUTED_VALUE"""),"Clayton Ridge High School")</f>
        <v>Clayton Ridge High School</v>
      </c>
      <c r="G2360" s="8">
        <f ca="1">IFERROR(__xludf.DUMMYFUNCTION("""COMPUTED_VALUE"""),0)</f>
        <v>0</v>
      </c>
      <c r="H2360" s="8">
        <f ca="1">IFERROR(__xludf.DUMMYFUNCTION("""COMPUTED_VALUE"""),0)</f>
        <v>0</v>
      </c>
      <c r="I2360" s="8">
        <f ca="1">IFERROR(__xludf.DUMMYFUNCTION("""COMPUTED_VALUE"""),0)</f>
        <v>0</v>
      </c>
      <c r="J2360" s="8">
        <f ca="1">IFERROR(__xludf.DUMMYFUNCTION("""COMPUTED_VALUE"""),0)</f>
        <v>0</v>
      </c>
      <c r="K2360" s="10" t="str">
        <f ca="1">IFERROR(__xludf.DUMMYFUNCTION("""COMPUTED_VALUE"""),"https://azdailysun.com/teen-shoots-himself-in-principal-s-office/article_4262b5f6-0d4a-536c-9859-fb77384f957a.html")</f>
        <v>https://azdailysun.com/teen-shoots-himself-in-principal-s-office/article_4262b5f6-0d4a-536c-9859-fb77384f957a.html</v>
      </c>
      <c r="L2360" s="8"/>
      <c r="M2360" s="8"/>
      <c r="N2360" s="8">
        <f ca="1">IFERROR(__xludf.DUMMYFUNCTION("""COMPUTED_VALUE"""),2)</f>
        <v>2</v>
      </c>
      <c r="O2360" s="8" t="str">
        <f ca="1">IFERROR(__xludf.DUMMYFUNCTION("""COMPUTED_VALUE"""),"Spring")</f>
        <v>Spring</v>
      </c>
      <c r="P2360" s="8" t="str">
        <f ca="1">IFERROR(__xludf.DUMMYFUNCTION("""COMPUTED_VALUE"""),"Guttenberg")</f>
        <v>Guttenberg</v>
      </c>
      <c r="Q2360" s="8" t="str">
        <f ca="1">IFERROR(__xludf.DUMMYFUNCTION("""COMPUTED_VALUE"""),"IA")</f>
        <v>IA</v>
      </c>
      <c r="R2360" s="8" t="str">
        <f ca="1">IFERROR(__xludf.DUMMYFUNCTION("""COMPUTED_VALUE"""),"High")</f>
        <v>High</v>
      </c>
      <c r="S2360" s="8" t="str">
        <f ca="1">IFERROR(__xludf.DUMMYFUNCTION("""COMPUTED_VALUE"""),"Office")</f>
        <v>Office</v>
      </c>
      <c r="T2360" s="8" t="str">
        <f ca="1">IFERROR(__xludf.DUMMYFUNCTION("""COMPUTED_VALUE"""),"Inside School Building")</f>
        <v>Inside School Building</v>
      </c>
      <c r="U2360" s="8" t="str">
        <f ca="1">IFERROR(__xludf.DUMMYFUNCTION("""COMPUTED_VALUE"""),"Yes")</f>
        <v>Yes</v>
      </c>
      <c r="V2360" s="8" t="str">
        <f ca="1">IFERROR(__xludf.DUMMYFUNCTION("""COMPUTED_VALUE"""),"Afternoon Classes")</f>
        <v>Afternoon Classes</v>
      </c>
      <c r="W2360" s="8"/>
      <c r="X2360" s="8">
        <f ca="1">IFERROR(__xludf.DUMMYFUNCTION("""COMPUTED_VALUE"""),1)</f>
        <v>1</v>
      </c>
      <c r="Y2360" s="12" t="str">
        <f ca="1">IFERROR(__xludf.DUMMYFUNCTION("""COMPUTED_VALUE"""),"Talked with principal, pulled out gun, and shot himself in office")</f>
        <v>Talked with principal, pulled out gun, and shot himself in office</v>
      </c>
      <c r="Z2360" s="12" t="str">
        <f ca="1">IFERROR(__xludf.DUMMYFUNCTION("""COMPUTED_VALUE"""),"17YOM student was talking with the principal in his office about his problems. Student said the principal couldn't help, student pulled out rifle from under jacket and shot himself. Transported to the hospital and survived.")</f>
        <v>17YOM student was talking with the principal in his office about his problems. Student said the principal couldn't help, student pulled out rifle from under jacket and shot himself. Transported to the hospital and survived.</v>
      </c>
      <c r="AA2360" s="8" t="str">
        <f ca="1">IFERROR(__xludf.DUMMYFUNCTION("""COMPUTED_VALUE"""),"Suicide/Attempted")</f>
        <v>Suicide/Attempted</v>
      </c>
      <c r="AB2360" s="8"/>
      <c r="AC2360" s="8"/>
      <c r="AD2360" s="8" t="str">
        <f ca="1">IFERROR(__xludf.DUMMYFUNCTION("""COMPUTED_VALUE"""),"Victims Targeted")</f>
        <v>Victims Targeted</v>
      </c>
      <c r="AE2360" s="8" t="str">
        <f ca="1">IFERROR(__xludf.DUMMYFUNCTION("""COMPUTED_VALUE"""),"No")</f>
        <v>No</v>
      </c>
      <c r="AF2360" s="8"/>
      <c r="AG2360" s="8" t="str">
        <f ca="1">IFERROR(__xludf.DUMMYFUNCTION("""COMPUTED_VALUE"""),"No")</f>
        <v>No</v>
      </c>
      <c r="AH2360" s="8" t="str">
        <f ca="1">IFERROR(__xludf.DUMMYFUNCTION("""COMPUTED_VALUE"""),"No")</f>
        <v>No</v>
      </c>
      <c r="AI2360" s="8" t="str">
        <f ca="1">IFERROR(__xludf.DUMMYFUNCTION("""COMPUTED_VALUE"""),"No")</f>
        <v>No</v>
      </c>
      <c r="AJ2360" s="8" t="str">
        <f ca="1">IFERROR(__xludf.DUMMYFUNCTION("""COMPUTED_VALUE"""),"No")</f>
        <v>No</v>
      </c>
      <c r="AK2360" s="8" t="str">
        <f ca="1">IFERROR(__xludf.DUMMYFUNCTION("""COMPUTED_VALUE"""),"No")</f>
        <v>No</v>
      </c>
      <c r="AL2360" s="8" t="str">
        <f ca="1">IFERROR(__xludf.DUMMYFUNCTION("""COMPUTED_VALUE"""),"No")</f>
        <v>No</v>
      </c>
      <c r="AM2360" s="8"/>
      <c r="AN2360" s="8"/>
      <c r="AO2360" s="8" t="str">
        <f ca="1">IFERROR(__xludf.DUMMYFUNCTION("""COMPUTED_VALUE"""),"No")</f>
        <v>No</v>
      </c>
      <c r="AP2360" s="8"/>
      <c r="AQ2360" s="8" t="str">
        <f ca="1">IFERROR(__xludf.DUMMYFUNCTION("""COMPUTED_VALUE"""),"Unknown")</f>
        <v>Unknown</v>
      </c>
      <c r="AR2360" s="8" t="str">
        <f ca="1">IFERROR(__xludf.DUMMYFUNCTION("""COMPUTED_VALUE"""),"NA")</f>
        <v>NA</v>
      </c>
      <c r="AS2360" s="8">
        <f ca="1">IFERROR(__xludf.DUMMYFUNCTION("""COMPUTED_VALUE"""),1)</f>
        <v>1</v>
      </c>
      <c r="AT2360" s="8"/>
      <c r="AU2360" s="8">
        <f ca="1">IFERROR(__xludf.DUMMYFUNCTION("""COMPUTED_VALUE"""),42.784921)</f>
        <v>42.784920999999997</v>
      </c>
      <c r="AV2360" s="8">
        <f ca="1">IFERROR(__xludf.DUMMYFUNCTION("""COMPUTED_VALUE"""),-91.096325)</f>
        <v>-91.096324999999993</v>
      </c>
      <c r="AW2360" s="8"/>
      <c r="AX2360" s="8">
        <f ca="1">IFERROR(__xludf.DUMMYFUNCTION("""COMPUTED_VALUE"""),52052)</f>
        <v>52052</v>
      </c>
    </row>
    <row r="2361" spans="1:50" ht="60" x14ac:dyDescent="0.2">
      <c r="A2361" s="8" t="str">
        <f ca="1">IFERROR(__xludf.DUMMYFUNCTION("""COMPUTED_VALUE"""),"20030205CORAW")</f>
        <v>20030205CORAW</v>
      </c>
      <c r="B2361" s="8">
        <f ca="1">IFERROR(__xludf.DUMMYFUNCTION("""COMPUTED_VALUE"""),2)</f>
        <v>2</v>
      </c>
      <c r="C2361" s="8">
        <f ca="1">IFERROR(__xludf.DUMMYFUNCTION("""COMPUTED_VALUE"""),5)</f>
        <v>5</v>
      </c>
      <c r="D2361" s="8">
        <f ca="1">IFERROR(__xludf.DUMMYFUNCTION("""COMPUTED_VALUE"""),2003)</f>
        <v>2003</v>
      </c>
      <c r="E2361" s="9">
        <f ca="1">IFERROR(__xludf.DUMMYFUNCTION("""COMPUTED_VALUE"""),37657)</f>
        <v>37657</v>
      </c>
      <c r="F2361" s="8" t="str">
        <f ca="1">IFERROR(__xludf.DUMMYFUNCTION("""COMPUTED_VALUE"""),"Ranum High School")</f>
        <v>Ranum High School</v>
      </c>
      <c r="G2361" s="8">
        <f ca="1">IFERROR(__xludf.DUMMYFUNCTION("""COMPUTED_VALUE"""),0)</f>
        <v>0</v>
      </c>
      <c r="H2361" s="8">
        <f ca="1">IFERROR(__xludf.DUMMYFUNCTION("""COMPUTED_VALUE"""),0)</f>
        <v>0</v>
      </c>
      <c r="I2361" s="8">
        <f ca="1">IFERROR(__xludf.DUMMYFUNCTION("""COMPUTED_VALUE"""),0)</f>
        <v>0</v>
      </c>
      <c r="J2361" s="8">
        <f ca="1">IFERROR(__xludf.DUMMYFUNCTION("""COMPUTED_VALUE"""),0)</f>
        <v>0</v>
      </c>
      <c r="K2361" s="10" t="str">
        <f ca="1">IFERROR(__xludf.DUMMYFUNCTION("""COMPUTED_VALUE"""),"https://trib.com/news/state-and-regional/shots-fired-outside-colorado-high-school/article_6fc1cc83-9e5a-5600-ba1a-d3044ce97ab7.html")</f>
        <v>https://trib.com/news/state-and-regional/shots-fired-outside-colorado-high-school/article_6fc1cc83-9e5a-5600-ba1a-d3044ce97ab7.html</v>
      </c>
      <c r="L2361" s="8"/>
      <c r="M2361" s="8"/>
      <c r="N2361" s="8">
        <f ca="1">IFERROR(__xludf.DUMMYFUNCTION("""COMPUTED_VALUE"""),2)</f>
        <v>2</v>
      </c>
      <c r="O2361" s="8" t="str">
        <f ca="1">IFERROR(__xludf.DUMMYFUNCTION("""COMPUTED_VALUE"""),"Winter")</f>
        <v>Winter</v>
      </c>
      <c r="P2361" s="8" t="str">
        <f ca="1">IFERROR(__xludf.DUMMYFUNCTION("""COMPUTED_VALUE"""),"Westminster")</f>
        <v>Westminster</v>
      </c>
      <c r="Q2361" s="8" t="str">
        <f ca="1">IFERROR(__xludf.DUMMYFUNCTION("""COMPUTED_VALUE"""),"CO")</f>
        <v>CO</v>
      </c>
      <c r="R2361" s="8" t="str">
        <f ca="1">IFERROR(__xludf.DUMMYFUNCTION("""COMPUTED_VALUE"""),"High")</f>
        <v>High</v>
      </c>
      <c r="S2361" s="8" t="str">
        <f ca="1">IFERROR(__xludf.DUMMYFUNCTION("""COMPUTED_VALUE"""),"Outside on School Property")</f>
        <v>Outside on School Property</v>
      </c>
      <c r="T2361" s="8" t="str">
        <f ca="1">IFERROR(__xludf.DUMMYFUNCTION("""COMPUTED_VALUE"""),"Outside on School Property")</f>
        <v>Outside on School Property</v>
      </c>
      <c r="U2361" s="8" t="str">
        <f ca="1">IFERROR(__xludf.DUMMYFUNCTION("""COMPUTED_VALUE"""),"Yes")</f>
        <v>Yes</v>
      </c>
      <c r="V2361" s="8" t="str">
        <f ca="1">IFERROR(__xludf.DUMMYFUNCTION("""COMPUTED_VALUE"""),"Morning Classes")</f>
        <v>Morning Classes</v>
      </c>
      <c r="W2361" s="11">
        <f ca="1">IFERROR(__xludf.DUMMYFUNCTION("""COMPUTED_VALUE"""),0.361111111111111)</f>
        <v>0.36111111111111099</v>
      </c>
      <c r="X2361" s="8">
        <f ca="1">IFERROR(__xludf.DUMMYFUNCTION("""COMPUTED_VALUE"""),1)</f>
        <v>1</v>
      </c>
      <c r="Y2361" s="12" t="str">
        <f ca="1">IFERROR(__xludf.DUMMYFUNCTION("""COMPUTED_VALUE"""),"Shots fired during fight, missed target, shooter fled")</f>
        <v>Shots fired during fight, missed target, shooter fled</v>
      </c>
      <c r="Z2361" s="12" t="str">
        <f ca="1">IFERROR(__xludf.DUMMYFUNCTION("""COMPUTED_VALUE"""),"14YOM fired 4 shots during fight with another 14YOm student. All shots missed and the shooter fled but was chased by a police officer and arrested a few blocks from the school.")</f>
        <v>14YOM fired 4 shots during fight with another 14YOm student. All shots missed and the shooter fled but was chased by a police officer and arrested a few blocks from the school.</v>
      </c>
      <c r="AA2361" s="8" t="str">
        <f ca="1">IFERROR(__xludf.DUMMYFUNCTION("""COMPUTED_VALUE"""),"Escalation of Dispute")</f>
        <v>Escalation of Dispute</v>
      </c>
      <c r="AB2361" s="8"/>
      <c r="AC2361" s="8"/>
      <c r="AD2361" s="8" t="str">
        <f ca="1">IFERROR(__xludf.DUMMYFUNCTION("""COMPUTED_VALUE"""),"Victims Targeted")</f>
        <v>Victims Targeted</v>
      </c>
      <c r="AE2361" s="8" t="str">
        <f ca="1">IFERROR(__xludf.DUMMYFUNCTION("""COMPUTED_VALUE"""),"No")</f>
        <v>No</v>
      </c>
      <c r="AF2361" s="8"/>
      <c r="AG2361" s="8" t="str">
        <f ca="1">IFERROR(__xludf.DUMMYFUNCTION("""COMPUTED_VALUE"""),"No")</f>
        <v>No</v>
      </c>
      <c r="AH2361" s="8" t="str">
        <f ca="1">IFERROR(__xludf.DUMMYFUNCTION("""COMPUTED_VALUE"""),"No")</f>
        <v>No</v>
      </c>
      <c r="AI2361" s="8" t="str">
        <f ca="1">IFERROR(__xludf.DUMMYFUNCTION("""COMPUTED_VALUE"""),"No")</f>
        <v>No</v>
      </c>
      <c r="AJ2361" s="8" t="str">
        <f ca="1">IFERROR(__xludf.DUMMYFUNCTION("""COMPUTED_VALUE"""),"No")</f>
        <v>No</v>
      </c>
      <c r="AK2361" s="8" t="str">
        <f ca="1">IFERROR(__xludf.DUMMYFUNCTION("""COMPUTED_VALUE"""),"No")</f>
        <v>No</v>
      </c>
      <c r="AL2361" s="8" t="str">
        <f ca="1">IFERROR(__xludf.DUMMYFUNCTION("""COMPUTED_VALUE"""),"No")</f>
        <v>No</v>
      </c>
      <c r="AM2361" s="8"/>
      <c r="AN2361" s="8"/>
      <c r="AO2361" s="8" t="str">
        <f ca="1">IFERROR(__xludf.DUMMYFUNCTION("""COMPUTED_VALUE"""),"No")</f>
        <v>No</v>
      </c>
      <c r="AP2361" s="8" t="str">
        <f ca="1">IFERROR(__xludf.DUMMYFUNCTION("""COMPUTED_VALUE"""),"Yes")</f>
        <v>Yes</v>
      </c>
      <c r="AQ2361" s="8" t="str">
        <f ca="1">IFERROR(__xludf.DUMMYFUNCTION("""COMPUTED_VALUE"""),"Unknown")</f>
        <v>Unknown</v>
      </c>
      <c r="AR2361" s="8" t="str">
        <f ca="1">IFERROR(__xludf.DUMMYFUNCTION("""COMPUTED_VALUE"""),"NA")</f>
        <v>NA</v>
      </c>
      <c r="AS2361" s="8">
        <f ca="1">IFERROR(__xludf.DUMMYFUNCTION("""COMPUTED_VALUE"""),4)</f>
        <v>4</v>
      </c>
      <c r="AT2361" s="8"/>
      <c r="AU2361" s="8">
        <f ca="1">IFERROR(__xludf.DUMMYFUNCTION("""COMPUTED_VALUE"""),39.842655)</f>
        <v>39.842655000000001</v>
      </c>
      <c r="AV2361" s="8">
        <f ca="1">IFERROR(__xludf.DUMMYFUNCTION("""COMPUTED_VALUE"""),-105.016925)</f>
        <v>-105.016925</v>
      </c>
      <c r="AW2361" s="8"/>
      <c r="AX2361" s="8">
        <f ca="1">IFERROR(__xludf.DUMMYFUNCTION("""COMPUTED_VALUE"""),80221)</f>
        <v>80221</v>
      </c>
    </row>
    <row r="2362" spans="1:50" ht="75" x14ac:dyDescent="0.2">
      <c r="A2362" s="8" t="str">
        <f ca="1">IFERROR(__xludf.DUMMYFUNCTION("""COMPUTED_VALUE"""),"20030130OKJEJ")</f>
        <v>20030130OKJEJ</v>
      </c>
      <c r="B2362" s="8">
        <f ca="1">IFERROR(__xludf.DUMMYFUNCTION("""COMPUTED_VALUE"""),1)</f>
        <v>1</v>
      </c>
      <c r="C2362" s="8">
        <f ca="1">IFERROR(__xludf.DUMMYFUNCTION("""COMPUTED_VALUE"""),30)</f>
        <v>30</v>
      </c>
      <c r="D2362" s="8">
        <f ca="1">IFERROR(__xludf.DUMMYFUNCTION("""COMPUTED_VALUE"""),2003)</f>
        <v>2003</v>
      </c>
      <c r="E2362" s="9">
        <f ca="1">IFERROR(__xludf.DUMMYFUNCTION("""COMPUTED_VALUE"""),37651)</f>
        <v>37651</v>
      </c>
      <c r="F2362" s="8" t="str">
        <f ca="1">IFERROR(__xludf.DUMMYFUNCTION("""COMPUTED_VALUE"""),"Jenks High School")</f>
        <v>Jenks High School</v>
      </c>
      <c r="G2362" s="8">
        <f ca="1">IFERROR(__xludf.DUMMYFUNCTION("""COMPUTED_VALUE"""),0)</f>
        <v>0</v>
      </c>
      <c r="H2362" s="8">
        <f ca="1">IFERROR(__xludf.DUMMYFUNCTION("""COMPUTED_VALUE"""),0)</f>
        <v>0</v>
      </c>
      <c r="I2362" s="8">
        <f ca="1">IFERROR(__xludf.DUMMYFUNCTION("""COMPUTED_VALUE"""),0)</f>
        <v>0</v>
      </c>
      <c r="J2362" s="8">
        <f ca="1">IFERROR(__xludf.DUMMYFUNCTION("""COMPUTED_VALUE"""),0)</f>
        <v>0</v>
      </c>
      <c r="K2362" s="10" t="str">
        <f ca="1">IFERROR(__xludf.DUMMYFUNCTION("""COMPUTED_VALUE"""),"https://www.tulsaworld.com/archives/jenks-student-yields-after-standoff/article_df79f378-452f-5400-9568-28cd4a828fdf.html")</f>
        <v>https://www.tulsaworld.com/archives/jenks-student-yields-after-standoff/article_df79f378-452f-5400-9568-28cd4a828fdf.html</v>
      </c>
      <c r="L2362" s="8"/>
      <c r="M2362" s="8"/>
      <c r="N2362" s="8">
        <f ca="1">IFERROR(__xludf.DUMMYFUNCTION("""COMPUTED_VALUE"""),2)</f>
        <v>2</v>
      </c>
      <c r="O2362" s="8" t="str">
        <f ca="1">IFERROR(__xludf.DUMMYFUNCTION("""COMPUTED_VALUE"""),"Winter")</f>
        <v>Winter</v>
      </c>
      <c r="P2362" s="8" t="str">
        <f ca="1">IFERROR(__xludf.DUMMYFUNCTION("""COMPUTED_VALUE"""),"Jenks")</f>
        <v>Jenks</v>
      </c>
      <c r="Q2362" s="8" t="str">
        <f ca="1">IFERROR(__xludf.DUMMYFUNCTION("""COMPUTED_VALUE"""),"OK")</f>
        <v>OK</v>
      </c>
      <c r="R2362" s="8" t="str">
        <f ca="1">IFERROR(__xludf.DUMMYFUNCTION("""COMPUTED_VALUE"""),"High")</f>
        <v>High</v>
      </c>
      <c r="S2362" s="8" t="str">
        <f ca="1">IFERROR(__xludf.DUMMYFUNCTION("""COMPUTED_VALUE"""),"Other")</f>
        <v>Other</v>
      </c>
      <c r="T2362" s="8" t="str">
        <f ca="1">IFERROR(__xludf.DUMMYFUNCTION("""COMPUTED_VALUE"""),"Outside on School Property")</f>
        <v>Outside on School Property</v>
      </c>
      <c r="U2362" s="8" t="str">
        <f ca="1">IFERROR(__xludf.DUMMYFUNCTION("""COMPUTED_VALUE"""),"Yes")</f>
        <v>Yes</v>
      </c>
      <c r="V2362" s="8" t="str">
        <f ca="1">IFERROR(__xludf.DUMMYFUNCTION("""COMPUTED_VALUE"""),"Dismissal")</f>
        <v>Dismissal</v>
      </c>
      <c r="W2362" s="11">
        <f ca="1">IFERROR(__xludf.DUMMYFUNCTION("""COMPUTED_VALUE"""),0.625)</f>
        <v>0.625</v>
      </c>
      <c r="X2362" s="8">
        <f ca="1">IFERROR(__xludf.DUMMYFUNCTION("""COMPUTED_VALUE"""),120)</f>
        <v>120</v>
      </c>
      <c r="Y2362" s="12" t="str">
        <f ca="1">IFERROR(__xludf.DUMMYFUNCTION("""COMPUTED_VALUE"""),"Student climbed on roof, threatened to shoot himself, surrendered to police after 2 hours")</f>
        <v>Student climbed on roof, threatened to shoot himself, surrendered to police after 2 hours</v>
      </c>
      <c r="Z2362" s="12" t="str">
        <f ca="1">IFERROR(__xludf.DUMMYFUNCTION("""COMPUTED_VALUE"""),"17YOM student climbed on top of school roof with handgun and threatened to kill himself. Student pointed the gun at himself and police officers during the standoff. Student was upset about recent death of father. Surrendered to police officers after 2 hou"&amp;"rs.")</f>
        <v>17YOM student climbed on top of school roof with handgun and threatened to kill himself. Student pointed the gun at himself and police officers during the standoff. Student was upset about recent death of father. Surrendered to police officers after 2 hours.</v>
      </c>
      <c r="AA2362" s="8" t="str">
        <f ca="1">IFERROR(__xludf.DUMMYFUNCTION("""COMPUTED_VALUE"""),"Suicide/Attempted")</f>
        <v>Suicide/Attempted</v>
      </c>
      <c r="AB2362" s="8"/>
      <c r="AC2362" s="8"/>
      <c r="AD2362" s="8" t="str">
        <f ca="1">IFERROR(__xludf.DUMMYFUNCTION("""COMPUTED_VALUE"""),"Victims Targeted")</f>
        <v>Victims Targeted</v>
      </c>
      <c r="AE2362" s="8" t="str">
        <f ca="1">IFERROR(__xludf.DUMMYFUNCTION("""COMPUTED_VALUE"""),"No")</f>
        <v>No</v>
      </c>
      <c r="AF2362" s="8"/>
      <c r="AG2362" s="8" t="str">
        <f ca="1">IFERROR(__xludf.DUMMYFUNCTION("""COMPUTED_VALUE"""),"No")</f>
        <v>No</v>
      </c>
      <c r="AH2362" s="8" t="str">
        <f ca="1">IFERROR(__xludf.DUMMYFUNCTION("""COMPUTED_VALUE"""),"No")</f>
        <v>No</v>
      </c>
      <c r="AI2362" s="8" t="str">
        <f ca="1">IFERROR(__xludf.DUMMYFUNCTION("""COMPUTED_VALUE"""),"No")</f>
        <v>No</v>
      </c>
      <c r="AJ2362" s="8"/>
      <c r="AK2362" s="8" t="str">
        <f ca="1">IFERROR(__xludf.DUMMYFUNCTION("""COMPUTED_VALUE"""),"No")</f>
        <v>No</v>
      </c>
      <c r="AL2362" s="8" t="str">
        <f ca="1">IFERROR(__xludf.DUMMYFUNCTION("""COMPUTED_VALUE"""),"No")</f>
        <v>No</v>
      </c>
      <c r="AM2362" s="8"/>
      <c r="AN2362" s="8"/>
      <c r="AO2362" s="8" t="str">
        <f ca="1">IFERROR(__xludf.DUMMYFUNCTION("""COMPUTED_VALUE"""),"No")</f>
        <v>No</v>
      </c>
      <c r="AP2362" s="8"/>
      <c r="AQ2362" s="8" t="str">
        <f ca="1">IFERROR(__xludf.DUMMYFUNCTION("""COMPUTED_VALUE"""),"Unknown")</f>
        <v>Unknown</v>
      </c>
      <c r="AR2362" s="8" t="str">
        <f ca="1">IFERROR(__xludf.DUMMYFUNCTION("""COMPUTED_VALUE"""),"NA")</f>
        <v>NA</v>
      </c>
      <c r="AS2362" s="8">
        <f ca="1">IFERROR(__xludf.DUMMYFUNCTION("""COMPUTED_VALUE"""),0)</f>
        <v>0</v>
      </c>
      <c r="AT2362" s="8"/>
      <c r="AU2362" s="8">
        <f ca="1">IFERROR(__xludf.DUMMYFUNCTION("""COMPUTED_VALUE"""),36.025659)</f>
        <v>36.025658999999997</v>
      </c>
      <c r="AV2362" s="8">
        <f ca="1">IFERROR(__xludf.DUMMYFUNCTION("""COMPUTED_VALUE"""),-95.969194)</f>
        <v>-95.969194000000002</v>
      </c>
      <c r="AW2362" s="8"/>
      <c r="AX2362" s="8">
        <f ca="1">IFERROR(__xludf.DUMMYFUNCTION("""COMPUTED_VALUE"""),74037)</f>
        <v>74037</v>
      </c>
    </row>
    <row r="2363" spans="1:50" ht="90" x14ac:dyDescent="0.2">
      <c r="A2363" s="8" t="str">
        <f ca="1">IFERROR(__xludf.DUMMYFUNCTION("""COMPUTED_VALUE"""),"20030121KYWEO")</f>
        <v>20030121KYWEO</v>
      </c>
      <c r="B2363" s="8">
        <f ca="1">IFERROR(__xludf.DUMMYFUNCTION("""COMPUTED_VALUE"""),1)</f>
        <v>1</v>
      </c>
      <c r="C2363" s="8">
        <f ca="1">IFERROR(__xludf.DUMMYFUNCTION("""COMPUTED_VALUE"""),21)</f>
        <v>21</v>
      </c>
      <c r="D2363" s="8">
        <f ca="1">IFERROR(__xludf.DUMMYFUNCTION("""COMPUTED_VALUE"""),2003)</f>
        <v>2003</v>
      </c>
      <c r="E2363" s="9">
        <f ca="1">IFERROR(__xludf.DUMMYFUNCTION("""COMPUTED_VALUE"""),37642)</f>
        <v>37642</v>
      </c>
      <c r="F2363" s="8" t="str">
        <f ca="1">IFERROR(__xludf.DUMMYFUNCTION("""COMPUTED_VALUE"""),"West Carter Middle School")</f>
        <v>West Carter Middle School</v>
      </c>
      <c r="G2363" s="8">
        <f ca="1">IFERROR(__xludf.DUMMYFUNCTION("""COMPUTED_VALUE"""),0)</f>
        <v>0</v>
      </c>
      <c r="H2363" s="8">
        <f ca="1">IFERROR(__xludf.DUMMYFUNCTION("""COMPUTED_VALUE"""),0)</f>
        <v>0</v>
      </c>
      <c r="I2363" s="8">
        <f ca="1">IFERROR(__xludf.DUMMYFUNCTION("""COMPUTED_VALUE"""),0)</f>
        <v>0</v>
      </c>
      <c r="J2363" s="8">
        <f ca="1">IFERROR(__xludf.DUMMYFUNCTION("""COMPUTED_VALUE"""),0)</f>
        <v>0</v>
      </c>
      <c r="K2363" s="10" t="str">
        <f ca="1">IFERROR(__xludf.DUMMYFUNCTION("""COMPUTED_VALUE"""),"https://www.newspapers.com/image/362208049/?terms=Olive%2BHill%2Bschool%2Bhostage")</f>
        <v>https://www.newspapers.com/image/362208049/?terms=Olive%2BHill%2Bschool%2Bhostage</v>
      </c>
      <c r="L2363" s="8"/>
      <c r="M2363" s="8"/>
      <c r="N2363" s="8">
        <f ca="1">IFERROR(__xludf.DUMMYFUNCTION("""COMPUTED_VALUE"""),2)</f>
        <v>2</v>
      </c>
      <c r="O2363" s="8" t="str">
        <f ca="1">IFERROR(__xludf.DUMMYFUNCTION("""COMPUTED_VALUE"""),"Winter")</f>
        <v>Winter</v>
      </c>
      <c r="P2363" s="8" t="str">
        <f ca="1">IFERROR(__xludf.DUMMYFUNCTION("""COMPUTED_VALUE"""),"Olive Hill")</f>
        <v>Olive Hill</v>
      </c>
      <c r="Q2363" s="8" t="str">
        <f ca="1">IFERROR(__xludf.DUMMYFUNCTION("""COMPUTED_VALUE"""),"KY")</f>
        <v>KY</v>
      </c>
      <c r="R2363" s="8" t="str">
        <f ca="1">IFERROR(__xludf.DUMMYFUNCTION("""COMPUTED_VALUE"""),"Middle")</f>
        <v>Middle</v>
      </c>
      <c r="S2363" s="8" t="str">
        <f ca="1">IFERROR(__xludf.DUMMYFUNCTION("""COMPUTED_VALUE"""),"Classroom")</f>
        <v>Classroom</v>
      </c>
      <c r="T2363" s="8" t="str">
        <f ca="1">IFERROR(__xludf.DUMMYFUNCTION("""COMPUTED_VALUE"""),"Inside School Building")</f>
        <v>Inside School Building</v>
      </c>
      <c r="U2363" s="8" t="str">
        <f ca="1">IFERROR(__xludf.DUMMYFUNCTION("""COMPUTED_VALUE"""),"Yes")</f>
        <v>Yes</v>
      </c>
      <c r="V2363" s="8" t="str">
        <f ca="1">IFERROR(__xludf.DUMMYFUNCTION("""COMPUTED_VALUE"""),"Morning Classes")</f>
        <v>Morning Classes</v>
      </c>
      <c r="W2363" s="11">
        <f ca="1">IFERROR(__xludf.DUMMYFUNCTION("""COMPUTED_VALUE"""),0.458333333333333)</f>
        <v>0.45833333333333298</v>
      </c>
      <c r="X2363" s="8"/>
      <c r="Y2363" s="12" t="str">
        <f ca="1">IFERROR(__xludf.DUMMYFUNCTION("""COMPUTED_VALUE"""),"Took student hostage, walked him down hallway, surrendered to SRO")</f>
        <v>Took student hostage, walked him down hallway, surrendered to SRO</v>
      </c>
      <c r="Z2363" s="12" t="str">
        <f ca="1">IFERROR(__xludf.DUMMYFUNCTION("""COMPUTED_VALUE"""),"12YOM walked into classroom and told male student to come out to the hallway. He held him hostage at gunpoint and walked down the hallway. Shooter was confronted by SRO and surrendered a few minutes later to SRO and other police officers. Motive is unclea"&amp;"r. Shooter had handgun and knife.")</f>
        <v>12YOM walked into classroom and told male student to come out to the hallway. He held him hostage at gunpoint and walked down the hallway. Shooter was confronted by SRO and surrendered a few minutes later to SRO and other police officers. Motive is unclear. Shooter had handgun and knife.</v>
      </c>
      <c r="AA2363" s="8" t="str">
        <f ca="1">IFERROR(__xludf.DUMMYFUNCTION("""COMPUTED_VALUE"""),"Hostage/Standoff")</f>
        <v>Hostage/Standoff</v>
      </c>
      <c r="AB2363" s="8"/>
      <c r="AC2363" s="8"/>
      <c r="AD2363" s="8" t="str">
        <f ca="1">IFERROR(__xludf.DUMMYFUNCTION("""COMPUTED_VALUE"""),"Victims Targeted")</f>
        <v>Victims Targeted</v>
      </c>
      <c r="AE2363" s="8" t="str">
        <f ca="1">IFERROR(__xludf.DUMMYFUNCTION("""COMPUTED_VALUE"""),"No")</f>
        <v>No</v>
      </c>
      <c r="AF2363" s="8"/>
      <c r="AG2363" s="8" t="str">
        <f ca="1">IFERROR(__xludf.DUMMYFUNCTION("""COMPUTED_VALUE"""),"Yes")</f>
        <v>Yes</v>
      </c>
      <c r="AH2363" s="8" t="str">
        <f ca="1">IFERROR(__xludf.DUMMYFUNCTION("""COMPUTED_VALUE"""),"No")</f>
        <v>No</v>
      </c>
      <c r="AI2363" s="8" t="str">
        <f ca="1">IFERROR(__xludf.DUMMYFUNCTION("""COMPUTED_VALUE"""),"No")</f>
        <v>No</v>
      </c>
      <c r="AJ2363" s="8" t="str">
        <f ca="1">IFERROR(__xludf.DUMMYFUNCTION("""COMPUTED_VALUE"""),"No")</f>
        <v>No</v>
      </c>
      <c r="AK2363" s="8" t="str">
        <f ca="1">IFERROR(__xludf.DUMMYFUNCTION("""COMPUTED_VALUE"""),"No")</f>
        <v>No</v>
      </c>
      <c r="AL2363" s="8" t="str">
        <f ca="1">IFERROR(__xludf.DUMMYFUNCTION("""COMPUTED_VALUE"""),"No")</f>
        <v>No</v>
      </c>
      <c r="AM2363" s="8" t="str">
        <f ca="1">IFERROR(__xludf.DUMMYFUNCTION("""COMPUTED_VALUE"""),"Yes")</f>
        <v>Yes</v>
      </c>
      <c r="AN2363" s="8" t="str">
        <f ca="1">IFERROR(__xludf.DUMMYFUNCTION("""COMPUTED_VALUE"""),"Hallway")</f>
        <v>Hallway</v>
      </c>
      <c r="AO2363" s="8" t="str">
        <f ca="1">IFERROR(__xludf.DUMMYFUNCTION("""COMPUTED_VALUE"""),"No")</f>
        <v>No</v>
      </c>
      <c r="AP2363" s="8" t="str">
        <f ca="1">IFERROR(__xludf.DUMMYFUNCTION("""COMPUTED_VALUE"""),"Yes")</f>
        <v>Yes</v>
      </c>
      <c r="AQ2363" s="8" t="str">
        <f ca="1">IFERROR(__xludf.DUMMYFUNCTION("""COMPUTED_VALUE"""),"Unknown")</f>
        <v>Unknown</v>
      </c>
      <c r="AR2363" s="8" t="str">
        <f ca="1">IFERROR(__xludf.DUMMYFUNCTION("""COMPUTED_VALUE"""),"NA")</f>
        <v>NA</v>
      </c>
      <c r="AS2363" s="8">
        <f ca="1">IFERROR(__xludf.DUMMYFUNCTION("""COMPUTED_VALUE"""),0)</f>
        <v>0</v>
      </c>
      <c r="AT2363" s="8"/>
      <c r="AU2363" s="8">
        <f ca="1">IFERROR(__xludf.DUMMYFUNCTION("""COMPUTED_VALUE"""),38.310662)</f>
        <v>38.310662000000001</v>
      </c>
      <c r="AV2363" s="8">
        <f ca="1">IFERROR(__xludf.DUMMYFUNCTION("""COMPUTED_VALUE"""),-83.148389)</f>
        <v>-83.148388999999995</v>
      </c>
      <c r="AW2363" s="8"/>
      <c r="AX2363" s="8">
        <f ca="1">IFERROR(__xludf.DUMMYFUNCTION("""COMPUTED_VALUE"""),41164)</f>
        <v>41164</v>
      </c>
    </row>
    <row r="2364" spans="1:50" ht="60" x14ac:dyDescent="0.2">
      <c r="A2364" s="8" t="str">
        <f ca="1">IFERROR(__xludf.DUMMYFUNCTION("""COMPUTED_VALUE"""),"20021216ILENC")</f>
        <v>20021216ILENC</v>
      </c>
      <c r="B2364" s="8">
        <f ca="1">IFERROR(__xludf.DUMMYFUNCTION("""COMPUTED_VALUE"""),12)</f>
        <v>12</v>
      </c>
      <c r="C2364" s="8">
        <f ca="1">IFERROR(__xludf.DUMMYFUNCTION("""COMPUTED_VALUE"""),16)</f>
        <v>16</v>
      </c>
      <c r="D2364" s="8">
        <f ca="1">IFERROR(__xludf.DUMMYFUNCTION("""COMPUTED_VALUE"""),2002)</f>
        <v>2002</v>
      </c>
      <c r="E2364" s="9">
        <f ca="1">IFERROR(__xludf.DUMMYFUNCTION("""COMPUTED_VALUE"""),37606)</f>
        <v>37606</v>
      </c>
      <c r="F2364" s="8" t="str">
        <f ca="1">IFERROR(__xludf.DUMMYFUNCTION("""COMPUTED_VALUE"""),"Englewood High School")</f>
        <v>Englewood High School</v>
      </c>
      <c r="G2364" s="8">
        <f ca="1">IFERROR(__xludf.DUMMYFUNCTION("""COMPUTED_VALUE"""),1)</f>
        <v>1</v>
      </c>
      <c r="H2364" s="8">
        <f ca="1">IFERROR(__xludf.DUMMYFUNCTION("""COMPUTED_VALUE"""),1)</f>
        <v>1</v>
      </c>
      <c r="I2364" s="8">
        <f ca="1">IFERROR(__xludf.DUMMYFUNCTION("""COMPUTED_VALUE"""),2)</f>
        <v>2</v>
      </c>
      <c r="J2364" s="8">
        <f ca="1">IFERROR(__xludf.DUMMYFUNCTION("""COMPUTED_VALUE"""),0)</f>
        <v>0</v>
      </c>
      <c r="K2364" s="10" t="str">
        <f ca="1">IFERROR(__xludf.DUMMYFUNCTION("""COMPUTED_VALUE"""),"http://articles.chicagotribune.com/2002-12-17/news/0212180098_1_chicago-public-schools-chicago-police-alleged")</f>
        <v>http://articles.chicagotribune.com/2002-12-17/news/0212180098_1_chicago-public-schools-chicago-police-alleged</v>
      </c>
      <c r="L2364" s="8"/>
      <c r="M2364" s="8"/>
      <c r="N2364" s="8">
        <f ca="1">IFERROR(__xludf.DUMMYFUNCTION("""COMPUTED_VALUE"""),2)</f>
        <v>2</v>
      </c>
      <c r="O2364" s="8" t="str">
        <f ca="1">IFERROR(__xludf.DUMMYFUNCTION("""COMPUTED_VALUE"""),"Winter")</f>
        <v>Winter</v>
      </c>
      <c r="P2364" s="8" t="str">
        <f ca="1">IFERROR(__xludf.DUMMYFUNCTION("""COMPUTED_VALUE"""),"Chicago")</f>
        <v>Chicago</v>
      </c>
      <c r="Q2364" s="8" t="str">
        <f ca="1">IFERROR(__xludf.DUMMYFUNCTION("""COMPUTED_VALUE"""),"IL")</f>
        <v>IL</v>
      </c>
      <c r="R2364" s="8" t="str">
        <f ca="1">IFERROR(__xludf.DUMMYFUNCTION("""COMPUTED_VALUE"""),"High")</f>
        <v>High</v>
      </c>
      <c r="S2364" s="8" t="str">
        <f ca="1">IFERROR(__xludf.DUMMYFUNCTION("""COMPUTED_VALUE"""),"Beside Building")</f>
        <v>Beside Building</v>
      </c>
      <c r="T2364" s="8" t="str">
        <f ca="1">IFERROR(__xludf.DUMMYFUNCTION("""COMPUTED_VALUE"""),"Outside on School Property")</f>
        <v>Outside on School Property</v>
      </c>
      <c r="U2364" s="8" t="str">
        <f ca="1">IFERROR(__xludf.DUMMYFUNCTION("""COMPUTED_VALUE"""),"No")</f>
        <v>No</v>
      </c>
      <c r="V2364" s="8" t="str">
        <f ca="1">IFERROR(__xludf.DUMMYFUNCTION("""COMPUTED_VALUE"""),"After School")</f>
        <v>After School</v>
      </c>
      <c r="W2364" s="11">
        <f ca="1">IFERROR(__xludf.DUMMYFUNCTION("""COMPUTED_VALUE"""),0.625)</f>
        <v>0.625</v>
      </c>
      <c r="X2364" s="8">
        <f ca="1">IFERROR(__xludf.DUMMYFUNCTION("""COMPUTED_VALUE"""),1)</f>
        <v>1</v>
      </c>
      <c r="Y2364" s="12" t="str">
        <f ca="1">IFERROR(__xludf.DUMMYFUNCTION("""COMPUTED_VALUE"""),"Shooting outside school following prior altercation")</f>
        <v>Shooting outside school following prior altercation</v>
      </c>
      <c r="Z2364" s="12" t="str">
        <f ca="1">IFERROR(__xludf.DUMMYFUNCTION("""COMPUTED_VALUE"""),"18YOM student was killed protecting his 17YOF student sister during a confrontation outside of the school following a prior altercation with a 17YOM earlier that day in the school.")</f>
        <v>18YOM student was killed protecting his 17YOF student sister during a confrontation outside of the school following a prior altercation with a 17YOM earlier that day in the school.</v>
      </c>
      <c r="AA2364" s="8" t="str">
        <f ca="1">IFERROR(__xludf.DUMMYFUNCTION("""COMPUTED_VALUE"""),"Escalation of Dispute")</f>
        <v>Escalation of Dispute</v>
      </c>
      <c r="AB2364" s="8"/>
      <c r="AC2364" s="8"/>
      <c r="AD2364" s="8" t="str">
        <f ca="1">IFERROR(__xludf.DUMMYFUNCTION("""COMPUTED_VALUE"""),"Both")</f>
        <v>Both</v>
      </c>
      <c r="AE2364" s="8" t="str">
        <f ca="1">IFERROR(__xludf.DUMMYFUNCTION("""COMPUTED_VALUE"""),"No")</f>
        <v>No</v>
      </c>
      <c r="AF2364" s="8"/>
      <c r="AG2364" s="8" t="str">
        <f ca="1">IFERROR(__xludf.DUMMYFUNCTION("""COMPUTED_VALUE"""),"No")</f>
        <v>No</v>
      </c>
      <c r="AH2364" s="8" t="str">
        <f ca="1">IFERROR(__xludf.DUMMYFUNCTION("""COMPUTED_VALUE"""),"No")</f>
        <v>No</v>
      </c>
      <c r="AI2364" s="8" t="str">
        <f ca="1">IFERROR(__xludf.DUMMYFUNCTION("""COMPUTED_VALUE"""),"No")</f>
        <v>No</v>
      </c>
      <c r="AJ2364" s="8" t="str">
        <f ca="1">IFERROR(__xludf.DUMMYFUNCTION("""COMPUTED_VALUE"""),"No")</f>
        <v>No</v>
      </c>
      <c r="AK2364" s="8" t="str">
        <f ca="1">IFERROR(__xludf.DUMMYFUNCTION("""COMPUTED_VALUE"""),"Yes")</f>
        <v>Yes</v>
      </c>
      <c r="AL2364" s="8" t="str">
        <f ca="1">IFERROR(__xludf.DUMMYFUNCTION("""COMPUTED_VALUE"""),"No")</f>
        <v>No</v>
      </c>
      <c r="AM2364" s="8"/>
      <c r="AN2364" s="8"/>
      <c r="AO2364" s="8" t="str">
        <f ca="1">IFERROR(__xludf.DUMMYFUNCTION("""COMPUTED_VALUE"""),"No")</f>
        <v>No</v>
      </c>
      <c r="AP2364" s="8"/>
      <c r="AQ2364" s="8" t="str">
        <f ca="1">IFERROR(__xludf.DUMMYFUNCTION("""COMPUTED_VALUE"""),"Unknown")</f>
        <v>Unknown</v>
      </c>
      <c r="AR2364" s="8" t="str">
        <f ca="1">IFERROR(__xludf.DUMMYFUNCTION("""COMPUTED_VALUE"""),"NA")</f>
        <v>NA</v>
      </c>
      <c r="AS2364" s="8"/>
      <c r="AT2364" s="8"/>
      <c r="AU2364" s="8">
        <f ca="1">IFERROR(__xludf.DUMMYFUNCTION("""COMPUTED_VALUE"""),41.782129)</f>
        <v>41.782128999999998</v>
      </c>
      <c r="AV2364" s="8">
        <f ca="1">IFERROR(__xludf.DUMMYFUNCTION("""COMPUTED_VALUE"""),-87.63476)</f>
        <v>-87.63476</v>
      </c>
      <c r="AW2364" s="8"/>
      <c r="AX2364" s="8">
        <f ca="1">IFERROR(__xludf.DUMMYFUNCTION("""COMPUTED_VALUE"""),60621)</f>
        <v>60621</v>
      </c>
    </row>
    <row r="2365" spans="1:50" ht="60" x14ac:dyDescent="0.2">
      <c r="A2365" s="8" t="str">
        <f ca="1">IFERROR(__xludf.DUMMYFUNCTION("""COMPUTED_VALUE"""),"20021212WAWIC")</f>
        <v>20021212WAWIC</v>
      </c>
      <c r="B2365" s="8">
        <f ca="1">IFERROR(__xludf.DUMMYFUNCTION("""COMPUTED_VALUE"""),12)</f>
        <v>12</v>
      </c>
      <c r="C2365" s="8">
        <f ca="1">IFERROR(__xludf.DUMMYFUNCTION("""COMPUTED_VALUE"""),12)</f>
        <v>12</v>
      </c>
      <c r="D2365" s="8">
        <f ca="1">IFERROR(__xludf.DUMMYFUNCTION("""COMPUTED_VALUE"""),2002)</f>
        <v>2002</v>
      </c>
      <c r="E2365" s="9">
        <f ca="1">IFERROR(__xludf.DUMMYFUNCTION("""COMPUTED_VALUE"""),37602)</f>
        <v>37602</v>
      </c>
      <c r="F2365" s="8" t="str">
        <f ca="1">IFERROR(__xludf.DUMMYFUNCTION("""COMPUTED_VALUE"""),"Wind River Middle School")</f>
        <v>Wind River Middle School</v>
      </c>
      <c r="G2365" s="8">
        <f ca="1">IFERROR(__xludf.DUMMYFUNCTION("""COMPUTED_VALUE"""),0)</f>
        <v>0</v>
      </c>
      <c r="H2365" s="8">
        <f ca="1">IFERROR(__xludf.DUMMYFUNCTION("""COMPUTED_VALUE"""),0)</f>
        <v>0</v>
      </c>
      <c r="I2365" s="8">
        <f ca="1">IFERROR(__xludf.DUMMYFUNCTION("""COMPUTED_VALUE"""),0)</f>
        <v>0</v>
      </c>
      <c r="J2365" s="8">
        <f ca="1">IFERROR(__xludf.DUMMYFUNCTION("""COMPUTED_VALUE"""),1)</f>
        <v>1</v>
      </c>
      <c r="K2365" s="8" t="str">
        <f ca="1">IFERROR(__xludf.DUMMYFUNCTION("""COMPUTED_VALUE"""),"http://www.hoodrivernews.com/news/2002/dec/18/obituaries-december-18/  http://www.whitesalmonenterprise.com/news/2002/dec/18/bullet-breaks-glass/")</f>
        <v>http://www.hoodrivernews.com/news/2002/dec/18/obituaries-december-18/  http://www.whitesalmonenterprise.com/news/2002/dec/18/bullet-breaks-glass/</v>
      </c>
      <c r="L2365" s="8"/>
      <c r="M2365" s="8"/>
      <c r="N2365" s="8">
        <f ca="1">IFERROR(__xludf.DUMMYFUNCTION("""COMPUTED_VALUE"""),2)</f>
        <v>2</v>
      </c>
      <c r="O2365" s="8" t="str">
        <f ca="1">IFERROR(__xludf.DUMMYFUNCTION("""COMPUTED_VALUE"""),"Winter")</f>
        <v>Winter</v>
      </c>
      <c r="P2365" s="8" t="str">
        <f ca="1">IFERROR(__xludf.DUMMYFUNCTION("""COMPUTED_VALUE"""),"Carson")</f>
        <v>Carson</v>
      </c>
      <c r="Q2365" s="8" t="str">
        <f ca="1">IFERROR(__xludf.DUMMYFUNCTION("""COMPUTED_VALUE"""),"WA")</f>
        <v>WA</v>
      </c>
      <c r="R2365" s="8" t="str">
        <f ca="1">IFERROR(__xludf.DUMMYFUNCTION("""COMPUTED_VALUE"""),"Middle")</f>
        <v>Middle</v>
      </c>
      <c r="S2365" s="8" t="str">
        <f ca="1">IFERROR(__xludf.DUMMYFUNCTION("""COMPUTED_VALUE"""),"Classroom")</f>
        <v>Classroom</v>
      </c>
      <c r="T2365" s="8" t="str">
        <f ca="1">IFERROR(__xludf.DUMMYFUNCTION("""COMPUTED_VALUE"""),"Inside School Building")</f>
        <v>Inside School Building</v>
      </c>
      <c r="U2365" s="8" t="str">
        <f ca="1">IFERROR(__xludf.DUMMYFUNCTION("""COMPUTED_VALUE"""),"No")</f>
        <v>No</v>
      </c>
      <c r="V2365" s="8" t="str">
        <f ca="1">IFERROR(__xludf.DUMMYFUNCTION("""COMPUTED_VALUE"""),"After School")</f>
        <v>After School</v>
      </c>
      <c r="W2365" s="11">
        <f ca="1">IFERROR(__xludf.DUMMYFUNCTION("""COMPUTED_VALUE"""),0.694444444444444)</f>
        <v>0.69444444444444398</v>
      </c>
      <c r="X2365" s="8">
        <f ca="1">IFERROR(__xludf.DUMMYFUNCTION("""COMPUTED_VALUE"""),1)</f>
        <v>1</v>
      </c>
      <c r="Y2365" s="12" t="str">
        <f ca="1">IFERROR(__xludf.DUMMYFUNCTION("""COMPUTED_VALUE"""),"Shot at school window from across the street then shot self")</f>
        <v>Shot at school window from across the street then shot self</v>
      </c>
      <c r="Z2365" s="12" t="str">
        <f ca="1">IFERROR(__xludf.DUMMYFUNCTION("""COMPUTED_VALUE"""),"13 YOM fired rifle at school window (broken glass injured two students inside). Shooter then fired and killed himself.")</f>
        <v>13 YOM fired rifle at school window (broken glass injured two students inside). Shooter then fired and killed himself.</v>
      </c>
      <c r="AA2365" s="8" t="str">
        <f ca="1">IFERROR(__xludf.DUMMYFUNCTION("""COMPUTED_VALUE"""),"Suicide/Attempted")</f>
        <v>Suicide/Attempted</v>
      </c>
      <c r="AB2365" s="8"/>
      <c r="AC2365" s="8"/>
      <c r="AD2365" s="8"/>
      <c r="AE2365" s="8" t="str">
        <f ca="1">IFERROR(__xludf.DUMMYFUNCTION("""COMPUTED_VALUE"""),"No")</f>
        <v>No</v>
      </c>
      <c r="AF2365" s="8"/>
      <c r="AG2365" s="8" t="str">
        <f ca="1">IFERROR(__xludf.DUMMYFUNCTION("""COMPUTED_VALUE"""),"No")</f>
        <v>No</v>
      </c>
      <c r="AH2365" s="8" t="str">
        <f ca="1">IFERROR(__xludf.DUMMYFUNCTION("""COMPUTED_VALUE"""),"No")</f>
        <v>No</v>
      </c>
      <c r="AI2365" s="8" t="str">
        <f ca="1">IFERROR(__xludf.DUMMYFUNCTION("""COMPUTED_VALUE"""),"No")</f>
        <v>No</v>
      </c>
      <c r="AJ2365" s="8"/>
      <c r="AK2365" s="8" t="str">
        <f ca="1">IFERROR(__xludf.DUMMYFUNCTION("""COMPUTED_VALUE"""),"No")</f>
        <v>No</v>
      </c>
      <c r="AL2365" s="8" t="str">
        <f ca="1">IFERROR(__xludf.DUMMYFUNCTION("""COMPUTED_VALUE"""),"No")</f>
        <v>No</v>
      </c>
      <c r="AM2365" s="8"/>
      <c r="AN2365" s="8"/>
      <c r="AO2365" s="8"/>
      <c r="AP2365" s="8"/>
      <c r="AQ2365" s="8" t="str">
        <f ca="1">IFERROR(__xludf.DUMMYFUNCTION("""COMPUTED_VALUE"""),"Unknown")</f>
        <v>Unknown</v>
      </c>
      <c r="AR2365" s="8" t="str">
        <f ca="1">IFERROR(__xludf.DUMMYFUNCTION("""COMPUTED_VALUE"""),"NA")</f>
        <v>NA</v>
      </c>
      <c r="AS2365" s="8"/>
      <c r="AT2365" s="8"/>
      <c r="AU2365" s="8">
        <f ca="1">IFERROR(__xludf.DUMMYFUNCTION("""COMPUTED_VALUE"""),45.701015)</f>
        <v>45.701014999999998</v>
      </c>
      <c r="AV2365" s="8">
        <f ca="1">IFERROR(__xludf.DUMMYFUNCTION("""COMPUTED_VALUE"""),-121.888316)</f>
        <v>-121.888316</v>
      </c>
      <c r="AW2365" s="8"/>
      <c r="AX2365" s="8">
        <f ca="1">IFERROR(__xludf.DUMMYFUNCTION("""COMPUTED_VALUE"""),98648)</f>
        <v>98648</v>
      </c>
    </row>
    <row r="2366" spans="1:50" ht="30" x14ac:dyDescent="0.2">
      <c r="A2366" s="8" t="str">
        <f ca="1">IFERROR(__xludf.DUMMYFUNCTION("""COMPUTED_VALUE"""),"20021202MIOSD")</f>
        <v>20021202MIOSD</v>
      </c>
      <c r="B2366" s="8">
        <f ca="1">IFERROR(__xludf.DUMMYFUNCTION("""COMPUTED_VALUE"""),12)</f>
        <v>12</v>
      </c>
      <c r="C2366" s="8">
        <f ca="1">IFERROR(__xludf.DUMMYFUNCTION("""COMPUTED_VALUE"""),2)</f>
        <v>2</v>
      </c>
      <c r="D2366" s="8">
        <f ca="1">IFERROR(__xludf.DUMMYFUNCTION("""COMPUTED_VALUE"""),2002)</f>
        <v>2002</v>
      </c>
      <c r="E2366" s="9">
        <f ca="1">IFERROR(__xludf.DUMMYFUNCTION("""COMPUTED_VALUE"""),37592)</f>
        <v>37592</v>
      </c>
      <c r="F2366" s="8" t="str">
        <f ca="1">IFERROR(__xludf.DUMMYFUNCTION("""COMPUTED_VALUE"""),"Osborn High School")</f>
        <v>Osborn High School</v>
      </c>
      <c r="G2366" s="8">
        <f ca="1">IFERROR(__xludf.DUMMYFUNCTION("""COMPUTED_VALUE"""),0)</f>
        <v>0</v>
      </c>
      <c r="H2366" s="8">
        <f ca="1">IFERROR(__xludf.DUMMYFUNCTION("""COMPUTED_VALUE"""),0)</f>
        <v>0</v>
      </c>
      <c r="I2366" s="8">
        <f ca="1">IFERROR(__xludf.DUMMYFUNCTION("""COMPUTED_VALUE"""),0)</f>
        <v>0</v>
      </c>
      <c r="J2366" s="8">
        <f ca="1">IFERROR(__xludf.DUMMYFUNCTION("""COMPUTED_VALUE"""),0)</f>
        <v>0</v>
      </c>
      <c r="K2366" s="10" t="str">
        <f ca="1">IFERROR(__xludf.DUMMYFUNCTION("""COMPUTED_VALUE"""),"https://www.newspapers.com/image/205047710/?terms=student%2Bshoots")</f>
        <v>https://www.newspapers.com/image/205047710/?terms=student%2Bshoots</v>
      </c>
      <c r="L2366" s="8"/>
      <c r="M2366" s="8"/>
      <c r="N2366" s="8">
        <f ca="1">IFERROR(__xludf.DUMMYFUNCTION("""COMPUTED_VALUE"""),2)</f>
        <v>2</v>
      </c>
      <c r="O2366" s="8" t="str">
        <f ca="1">IFERROR(__xludf.DUMMYFUNCTION("""COMPUTED_VALUE"""),"Winter")</f>
        <v>Winter</v>
      </c>
      <c r="P2366" s="8" t="str">
        <f ca="1">IFERROR(__xludf.DUMMYFUNCTION("""COMPUTED_VALUE"""),"Detroit")</f>
        <v>Detroit</v>
      </c>
      <c r="Q2366" s="8" t="str">
        <f ca="1">IFERROR(__xludf.DUMMYFUNCTION("""COMPUTED_VALUE"""),"MI")</f>
        <v>MI</v>
      </c>
      <c r="R2366" s="8" t="str">
        <f ca="1">IFERROR(__xludf.DUMMYFUNCTION("""COMPUTED_VALUE"""),"High")</f>
        <v>High</v>
      </c>
      <c r="S2366" s="8" t="str">
        <f ca="1">IFERROR(__xludf.DUMMYFUNCTION("""COMPUTED_VALUE"""),"Classroom")</f>
        <v>Classroom</v>
      </c>
      <c r="T2366" s="8" t="str">
        <f ca="1">IFERROR(__xludf.DUMMYFUNCTION("""COMPUTED_VALUE"""),"Inside School Building")</f>
        <v>Inside School Building</v>
      </c>
      <c r="U2366" s="8" t="str">
        <f ca="1">IFERROR(__xludf.DUMMYFUNCTION("""COMPUTED_VALUE"""),"Yes")</f>
        <v>Yes</v>
      </c>
      <c r="V2366" s="8" t="str">
        <f ca="1">IFERROR(__xludf.DUMMYFUNCTION("""COMPUTED_VALUE"""),"Morning Classes")</f>
        <v>Morning Classes</v>
      </c>
      <c r="W2366" s="11">
        <f ca="1">IFERROR(__xludf.DUMMYFUNCTION("""COMPUTED_VALUE"""),0.416666666666666)</f>
        <v>0.41666666666666602</v>
      </c>
      <c r="X2366" s="8">
        <f ca="1">IFERROR(__xludf.DUMMYFUNCTION("""COMPUTED_VALUE"""),1)</f>
        <v>1</v>
      </c>
      <c r="Y2366" s="12" t="str">
        <f ca="1">IFERROR(__xludf.DUMMYFUNCTION("""COMPUTED_VALUE"""),"Accidental discharge, shot self")</f>
        <v>Accidental discharge, shot self</v>
      </c>
      <c r="Z2366" s="12" t="str">
        <f ca="1">IFERROR(__xludf.DUMMYFUNCTION("""COMPUTED_VALUE"""),"Shooter accidently shot himself in leg")</f>
        <v>Shooter accidently shot himself in leg</v>
      </c>
      <c r="AA2366" s="8" t="str">
        <f ca="1">IFERROR(__xludf.DUMMYFUNCTION("""COMPUTED_VALUE"""),"Accidental")</f>
        <v>Accidental</v>
      </c>
      <c r="AB2366" s="8"/>
      <c r="AC2366" s="8"/>
      <c r="AD2366" s="8" t="str">
        <f ca="1">IFERROR(__xludf.DUMMYFUNCTION("""COMPUTED_VALUE"""),"Neither")</f>
        <v>Neither</v>
      </c>
      <c r="AE2366" s="8" t="str">
        <f ca="1">IFERROR(__xludf.DUMMYFUNCTION("""COMPUTED_VALUE"""),"No")</f>
        <v>No</v>
      </c>
      <c r="AF2366" s="8" t="str">
        <f ca="1">IFERROR(__xludf.DUMMYFUNCTION("""COMPUTED_VALUE"""),"Student")</f>
        <v>Student</v>
      </c>
      <c r="AG2366" s="8" t="str">
        <f ca="1">IFERROR(__xludf.DUMMYFUNCTION("""COMPUTED_VALUE"""),"No")</f>
        <v>No</v>
      </c>
      <c r="AH2366" s="8" t="str">
        <f ca="1">IFERROR(__xludf.DUMMYFUNCTION("""COMPUTED_VALUE"""),"No")</f>
        <v>No</v>
      </c>
      <c r="AI2366" s="8" t="str">
        <f ca="1">IFERROR(__xludf.DUMMYFUNCTION("""COMPUTED_VALUE"""),"No")</f>
        <v>No</v>
      </c>
      <c r="AJ2366" s="8" t="str">
        <f ca="1">IFERROR(__xludf.DUMMYFUNCTION("""COMPUTED_VALUE"""),"No")</f>
        <v>No</v>
      </c>
      <c r="AK2366" s="8" t="str">
        <f ca="1">IFERROR(__xludf.DUMMYFUNCTION("""COMPUTED_VALUE"""),"No")</f>
        <v>No</v>
      </c>
      <c r="AL2366" s="8" t="str">
        <f ca="1">IFERROR(__xludf.DUMMYFUNCTION("""COMPUTED_VALUE"""),"No")</f>
        <v>No</v>
      </c>
      <c r="AM2366" s="8"/>
      <c r="AN2366" s="8"/>
      <c r="AO2366" s="8" t="str">
        <f ca="1">IFERROR(__xludf.DUMMYFUNCTION("""COMPUTED_VALUE"""),"No")</f>
        <v>No</v>
      </c>
      <c r="AP2366" s="8"/>
      <c r="AQ2366" s="8" t="str">
        <f ca="1">IFERROR(__xludf.DUMMYFUNCTION("""COMPUTED_VALUE"""),"Metal Detectors Bypassed")</f>
        <v>Metal Detectors Bypassed</v>
      </c>
      <c r="AR2366" s="8" t="str">
        <f ca="1">IFERROR(__xludf.DUMMYFUNCTION("""COMPUTED_VALUE"""),"Bypassed")</f>
        <v>Bypassed</v>
      </c>
      <c r="AS2366" s="8">
        <f ca="1">IFERROR(__xludf.DUMMYFUNCTION("""COMPUTED_VALUE"""),1)</f>
        <v>1</v>
      </c>
      <c r="AT2366" s="8"/>
      <c r="AU2366" s="8">
        <f ca="1">IFERROR(__xludf.DUMMYFUNCTION("""COMPUTED_VALUE"""),42.433943)</f>
        <v>42.433942999999999</v>
      </c>
      <c r="AV2366" s="8">
        <f ca="1">IFERROR(__xludf.DUMMYFUNCTION("""COMPUTED_VALUE"""),-83.002735)</f>
        <v>-83.002735000000001</v>
      </c>
      <c r="AW2366" s="8"/>
      <c r="AX2366" s="8">
        <f ca="1">IFERROR(__xludf.DUMMYFUNCTION("""COMPUTED_VALUE"""),48282)</f>
        <v>48282</v>
      </c>
    </row>
    <row r="2367" spans="1:50" ht="150" x14ac:dyDescent="0.2">
      <c r="A2367" s="8" t="str">
        <f ca="1">IFERROR(__xludf.DUMMYFUNCTION("""COMPUTED_VALUE"""),"20021115TXSCS")</f>
        <v>20021115TXSCS</v>
      </c>
      <c r="B2367" s="8">
        <f ca="1">IFERROR(__xludf.DUMMYFUNCTION("""COMPUTED_VALUE"""),11)</f>
        <v>11</v>
      </c>
      <c r="C2367" s="8">
        <f ca="1">IFERROR(__xludf.DUMMYFUNCTION("""COMPUTED_VALUE"""),15)</f>
        <v>15</v>
      </c>
      <c r="D2367" s="8">
        <f ca="1">IFERROR(__xludf.DUMMYFUNCTION("""COMPUTED_VALUE"""),2002)</f>
        <v>2002</v>
      </c>
      <c r="E2367" s="9">
        <f ca="1">IFERROR(__xludf.DUMMYFUNCTION("""COMPUTED_VALUE"""),37575)</f>
        <v>37575</v>
      </c>
      <c r="F2367" s="8" t="str">
        <f ca="1">IFERROR(__xludf.DUMMYFUNCTION("""COMPUTED_VALUE"""),"Scurry-Rosser High School")</f>
        <v>Scurry-Rosser High School</v>
      </c>
      <c r="G2367" s="8">
        <f ca="1">IFERROR(__xludf.DUMMYFUNCTION("""COMPUTED_VALUE"""),0)</f>
        <v>0</v>
      </c>
      <c r="H2367" s="8">
        <f ca="1">IFERROR(__xludf.DUMMYFUNCTION("""COMPUTED_VALUE"""),0)</f>
        <v>0</v>
      </c>
      <c r="I2367" s="8">
        <f ca="1">IFERROR(__xludf.DUMMYFUNCTION("""COMPUTED_VALUE"""),0)</f>
        <v>0</v>
      </c>
      <c r="J2367" s="8">
        <f ca="1">IFERROR(__xludf.DUMMYFUNCTION("""COMPUTED_VALUE"""),0)</f>
        <v>0</v>
      </c>
      <c r="K2367" s="10" t="str">
        <f ca="1">IFERROR(__xludf.DUMMYFUNCTION("""COMPUTED_VALUE"""),"https://www.myplainview.com/news/article/Scurry-Rosser-faculty-students-subdue-gunman-8787426.php")</f>
        <v>https://www.myplainview.com/news/article/Scurry-Rosser-faculty-students-subdue-gunman-8787426.php</v>
      </c>
      <c r="L2367" s="8"/>
      <c r="M2367" s="8"/>
      <c r="N2367" s="8">
        <f ca="1">IFERROR(__xludf.DUMMYFUNCTION("""COMPUTED_VALUE"""),2)</f>
        <v>2</v>
      </c>
      <c r="O2367" s="8" t="str">
        <f ca="1">IFERROR(__xludf.DUMMYFUNCTION("""COMPUTED_VALUE"""),"Fall")</f>
        <v>Fall</v>
      </c>
      <c r="P2367" s="8" t="str">
        <f ca="1">IFERROR(__xludf.DUMMYFUNCTION("""COMPUTED_VALUE"""),"Scurry")</f>
        <v>Scurry</v>
      </c>
      <c r="Q2367" s="8" t="str">
        <f ca="1">IFERROR(__xludf.DUMMYFUNCTION("""COMPUTED_VALUE"""),"TX")</f>
        <v>TX</v>
      </c>
      <c r="R2367" s="8" t="str">
        <f ca="1">IFERROR(__xludf.DUMMYFUNCTION("""COMPUTED_VALUE"""),"High")</f>
        <v>High</v>
      </c>
      <c r="S2367" s="8" t="str">
        <f ca="1">IFERROR(__xludf.DUMMYFUNCTION("""COMPUTED_VALUE"""),"Hallway")</f>
        <v>Hallway</v>
      </c>
      <c r="T2367" s="8" t="str">
        <f ca="1">IFERROR(__xludf.DUMMYFUNCTION("""COMPUTED_VALUE"""),"Inside School Building")</f>
        <v>Inside School Building</v>
      </c>
      <c r="U2367" s="8" t="str">
        <f ca="1">IFERROR(__xludf.DUMMYFUNCTION("""COMPUTED_VALUE"""),"Yes")</f>
        <v>Yes</v>
      </c>
      <c r="V2367" s="8" t="str">
        <f ca="1">IFERROR(__xludf.DUMMYFUNCTION("""COMPUTED_VALUE"""),"Morning Classes")</f>
        <v>Morning Classes</v>
      </c>
      <c r="W2367" s="11">
        <f ca="1">IFERROR(__xludf.DUMMYFUNCTION("""COMPUTED_VALUE"""),0.354166666666666)</f>
        <v>0.35416666666666602</v>
      </c>
      <c r="X2367" s="8"/>
      <c r="Y2367" s="12" t="str">
        <f ca="1">IFERROR(__xludf.DUMMYFUNCTION("""COMPUTED_VALUE"""),"Former student with shotgun forced students into cafeteria, splashed gasoline, wanted to light school on fire")</f>
        <v>Former student with shotgun forced students into cafeteria, splashed gasoline, wanted to light school on fire</v>
      </c>
      <c r="Z2367" s="12" t="str">
        <f ca="1">IFERROR(__xludf.DUMMYFUNCTION("""COMPUTED_VALUE"""),"18YOM former student who was expelled for stealing a car, walked into the school with a shotgun looking for the principal. When the shooter was told the principal no longer worked there, he splashed gasoline in the halls and forced students into the cafet"&amp;"eria where he splashed gasoline around them. When he attempted to light the gas on fire, he was tackled by school officials and students. Subdued until police arrived. Following his arrest, the shooter claimed to have left bombs at two other school but no"&amp;" explosive devices were found.")</f>
        <v>18YOM former student who was expelled for stealing a car, walked into the school with a shotgun looking for the principal. When the shooter was told the principal no longer worked there, he splashed gasoline in the halls and forced students into the cafeteria where he splashed gasoline around them. When he attempted to light the gas on fire, he was tackled by school officials and students. Subdued until police arrived. Following his arrest, the shooter claimed to have left bombs at two other school but no explosive devices were found.</v>
      </c>
      <c r="AA2367" s="8" t="str">
        <f ca="1">IFERROR(__xludf.DUMMYFUNCTION("""COMPUTED_VALUE"""),"Anger Over Grade/Suspension/Discipline")</f>
        <v>Anger Over Grade/Suspension/Discipline</v>
      </c>
      <c r="AB2367" s="8"/>
      <c r="AC2367" s="8"/>
      <c r="AD2367" s="8" t="str">
        <f ca="1">IFERROR(__xludf.DUMMYFUNCTION("""COMPUTED_VALUE"""),"Victims Targeted")</f>
        <v>Victims Targeted</v>
      </c>
      <c r="AE2367" s="8" t="str">
        <f ca="1">IFERROR(__xludf.DUMMYFUNCTION("""COMPUTED_VALUE"""),"No")</f>
        <v>No</v>
      </c>
      <c r="AF2367" s="8"/>
      <c r="AG2367" s="8" t="str">
        <f ca="1">IFERROR(__xludf.DUMMYFUNCTION("""COMPUTED_VALUE"""),"Yes")</f>
        <v>Yes</v>
      </c>
      <c r="AH2367" s="8" t="str">
        <f ca="1">IFERROR(__xludf.DUMMYFUNCTION("""COMPUTED_VALUE"""),"No")</f>
        <v>No</v>
      </c>
      <c r="AI2367" s="8" t="str">
        <f ca="1">IFERROR(__xludf.DUMMYFUNCTION("""COMPUTED_VALUE"""),"No")</f>
        <v>No</v>
      </c>
      <c r="AJ2367" s="8" t="str">
        <f ca="1">IFERROR(__xludf.DUMMYFUNCTION("""COMPUTED_VALUE"""),"No")</f>
        <v>No</v>
      </c>
      <c r="AK2367" s="8" t="str">
        <f ca="1">IFERROR(__xludf.DUMMYFUNCTION("""COMPUTED_VALUE"""),"No")</f>
        <v>No</v>
      </c>
      <c r="AL2367" s="8" t="str">
        <f ca="1">IFERROR(__xludf.DUMMYFUNCTION("""COMPUTED_VALUE"""),"No")</f>
        <v>No</v>
      </c>
      <c r="AM2367" s="8" t="str">
        <f ca="1">IFERROR(__xludf.DUMMYFUNCTION("""COMPUTED_VALUE"""),"Yes")</f>
        <v>Yes</v>
      </c>
      <c r="AN2367" s="8" t="str">
        <f ca="1">IFERROR(__xludf.DUMMYFUNCTION("""COMPUTED_VALUE"""),"Multiple Rooms")</f>
        <v>Multiple Rooms</v>
      </c>
      <c r="AO2367" s="8" t="str">
        <f ca="1">IFERROR(__xludf.DUMMYFUNCTION("""COMPUTED_VALUE"""),"Yes")</f>
        <v>Yes</v>
      </c>
      <c r="AP2367" s="8"/>
      <c r="AQ2367" s="8" t="str">
        <f ca="1">IFERROR(__xludf.DUMMYFUNCTION("""COMPUTED_VALUE"""),"Unknown")</f>
        <v>Unknown</v>
      </c>
      <c r="AR2367" s="8" t="str">
        <f ca="1">IFERROR(__xludf.DUMMYFUNCTION("""COMPUTED_VALUE"""),"NA")</f>
        <v>NA</v>
      </c>
      <c r="AS2367" s="8">
        <f ca="1">IFERROR(__xludf.DUMMYFUNCTION("""COMPUTED_VALUE"""),0)</f>
        <v>0</v>
      </c>
      <c r="AT2367" s="8"/>
      <c r="AU2367" s="8">
        <f ca="1">IFERROR(__xludf.DUMMYFUNCTION("""COMPUTED_VALUE"""),32.512354)</f>
        <v>32.512354000000002</v>
      </c>
      <c r="AV2367" s="8">
        <f ca="1">IFERROR(__xludf.DUMMYFUNCTION("""COMPUTED_VALUE"""),-96.382581)</f>
        <v>-96.382581000000002</v>
      </c>
      <c r="AW2367" s="8"/>
      <c r="AX2367" s="8">
        <f ca="1">IFERROR(__xludf.DUMMYFUNCTION("""COMPUTED_VALUE"""),75158)</f>
        <v>75158</v>
      </c>
    </row>
    <row r="2368" spans="1:50" ht="60" x14ac:dyDescent="0.2">
      <c r="A2368" s="8" t="str">
        <f ca="1">IFERROR(__xludf.DUMMYFUNCTION("""COMPUTED_VALUE"""),"20021115CAAML")</f>
        <v>20021115CAAML</v>
      </c>
      <c r="B2368" s="8">
        <f ca="1">IFERROR(__xludf.DUMMYFUNCTION("""COMPUTED_VALUE"""),11)</f>
        <v>11</v>
      </c>
      <c r="C2368" s="8">
        <f ca="1">IFERROR(__xludf.DUMMYFUNCTION("""COMPUTED_VALUE"""),15)</f>
        <v>15</v>
      </c>
      <c r="D2368" s="8">
        <f ca="1">IFERROR(__xludf.DUMMYFUNCTION("""COMPUTED_VALUE"""),2002)</f>
        <v>2002</v>
      </c>
      <c r="E2368" s="9">
        <f ca="1">IFERROR(__xludf.DUMMYFUNCTION("""COMPUTED_VALUE"""),37575)</f>
        <v>37575</v>
      </c>
      <c r="F2368" s="8" t="str">
        <f ca="1">IFERROR(__xludf.DUMMYFUNCTION("""COMPUTED_VALUE"""),"Ambler Avenue Elementary School")</f>
        <v>Ambler Avenue Elementary School</v>
      </c>
      <c r="G2368" s="8">
        <f ca="1">IFERROR(__xludf.DUMMYFUNCTION("""COMPUTED_VALUE"""),0)</f>
        <v>0</v>
      </c>
      <c r="H2368" s="8">
        <f ca="1">IFERROR(__xludf.DUMMYFUNCTION("""COMPUTED_VALUE"""),2)</f>
        <v>2</v>
      </c>
      <c r="I2368" s="8">
        <f ca="1">IFERROR(__xludf.DUMMYFUNCTION("""COMPUTED_VALUE"""),2)</f>
        <v>2</v>
      </c>
      <c r="J2368" s="8">
        <f ca="1">IFERROR(__xludf.DUMMYFUNCTION("""COMPUTED_VALUE"""),0)</f>
        <v>0</v>
      </c>
      <c r="K2368" s="10" t="str">
        <f ca="1">IFERROR(__xludf.DUMMYFUNCTION("""COMPUTED_VALUE"""),"http://articles.latimes.com/2002/nov/15/local/me-carson15")</f>
        <v>http://articles.latimes.com/2002/nov/15/local/me-carson15</v>
      </c>
      <c r="L2368" s="8"/>
      <c r="M2368" s="8"/>
      <c r="N2368" s="8">
        <f ca="1">IFERROR(__xludf.DUMMYFUNCTION("""COMPUTED_VALUE"""),2)</f>
        <v>2</v>
      </c>
      <c r="O2368" s="8" t="str">
        <f ca="1">IFERROR(__xludf.DUMMYFUNCTION("""COMPUTED_VALUE"""),"Fall")</f>
        <v>Fall</v>
      </c>
      <c r="P2368" s="8" t="str">
        <f ca="1">IFERROR(__xludf.DUMMYFUNCTION("""COMPUTED_VALUE"""),"Los Angeles")</f>
        <v>Los Angeles</v>
      </c>
      <c r="Q2368" s="8" t="str">
        <f ca="1">IFERROR(__xludf.DUMMYFUNCTION("""COMPUTED_VALUE"""),"CA")</f>
        <v>CA</v>
      </c>
      <c r="R2368" s="8" t="str">
        <f ca="1">IFERROR(__xludf.DUMMYFUNCTION("""COMPUTED_VALUE"""),"Elementary")</f>
        <v>Elementary</v>
      </c>
      <c r="S2368" s="8" t="str">
        <f ca="1">IFERROR(__xludf.DUMMYFUNCTION("""COMPUTED_VALUE"""),"Beside Building")</f>
        <v>Beside Building</v>
      </c>
      <c r="T2368" s="8" t="str">
        <f ca="1">IFERROR(__xludf.DUMMYFUNCTION("""COMPUTED_VALUE"""),"Outside on School Property")</f>
        <v>Outside on School Property</v>
      </c>
      <c r="U2368" s="8" t="str">
        <f ca="1">IFERROR(__xludf.DUMMYFUNCTION("""COMPUTED_VALUE"""),"No")</f>
        <v>No</v>
      </c>
      <c r="V2368" s="8" t="str">
        <f ca="1">IFERROR(__xludf.DUMMYFUNCTION("""COMPUTED_VALUE"""),"Evening")</f>
        <v>Evening</v>
      </c>
      <c r="W2368" s="11">
        <f ca="1">IFERROR(__xludf.DUMMYFUNCTION("""COMPUTED_VALUE"""),0.729166666666666)</f>
        <v>0.72916666666666596</v>
      </c>
      <c r="X2368" s="8">
        <f ca="1">IFERROR(__xludf.DUMMYFUNCTION("""COMPUTED_VALUE"""),1)</f>
        <v>1</v>
      </c>
      <c r="Y2368" s="12" t="str">
        <f ca="1">IFERROR(__xludf.DUMMYFUNCTION("""COMPUTED_VALUE"""),"Multiple shots fired by unknown person on the school grounds, 2 struck")</f>
        <v>Multiple shots fired by unknown person on the school grounds, 2 struck</v>
      </c>
      <c r="Z2368" s="12" t="str">
        <f ca="1">IFERROR(__xludf.DUMMYFUNCTION("""COMPUTED_VALUE"""),"Multiple shots were fired by someone on the school grounds during an after school event. A 12YOM student and a 21YOM standing across the street were both shot (no relation). No shooter was identified.")</f>
        <v>Multiple shots were fired by someone on the school grounds during an after school event. A 12YOM student and a 21YOM standing across the street were both shot (no relation). No shooter was identified.</v>
      </c>
      <c r="AA2368" s="8" t="str">
        <f ca="1">IFERROR(__xludf.DUMMYFUNCTION("""COMPUTED_VALUE"""),"Unknown")</f>
        <v>Unknown</v>
      </c>
      <c r="AB2368" s="8"/>
      <c r="AC2368" s="8"/>
      <c r="AD2368" s="8"/>
      <c r="AE2368" s="8" t="str">
        <f ca="1">IFERROR(__xludf.DUMMYFUNCTION("""COMPUTED_VALUE"""),"No")</f>
        <v>No</v>
      </c>
      <c r="AF2368" s="8"/>
      <c r="AG2368" s="8" t="str">
        <f ca="1">IFERROR(__xludf.DUMMYFUNCTION("""COMPUTED_VALUE"""),"No")</f>
        <v>No</v>
      </c>
      <c r="AH2368" s="8" t="str">
        <f ca="1">IFERROR(__xludf.DUMMYFUNCTION("""COMPUTED_VALUE"""),"No")</f>
        <v>No</v>
      </c>
      <c r="AI2368" s="8" t="str">
        <f ca="1">IFERROR(__xludf.DUMMYFUNCTION("""COMPUTED_VALUE"""),"No")</f>
        <v>No</v>
      </c>
      <c r="AJ2368" s="8" t="str">
        <f ca="1">IFERROR(__xludf.DUMMYFUNCTION("""COMPUTED_VALUE"""),"No")</f>
        <v>No</v>
      </c>
      <c r="AK2368" s="8" t="str">
        <f ca="1">IFERROR(__xludf.DUMMYFUNCTION("""COMPUTED_VALUE"""),"No")</f>
        <v>No</v>
      </c>
      <c r="AL2368" s="8"/>
      <c r="AM2368" s="8" t="str">
        <f ca="1">IFERROR(__xludf.DUMMYFUNCTION("""COMPUTED_VALUE"""),"Yes")</f>
        <v>Yes</v>
      </c>
      <c r="AN2368" s="8"/>
      <c r="AO2368" s="8" t="str">
        <f ca="1">IFERROR(__xludf.DUMMYFUNCTION("""COMPUTED_VALUE"""),"No")</f>
        <v>No</v>
      </c>
      <c r="AP2368" s="8"/>
      <c r="AQ2368" s="8" t="str">
        <f ca="1">IFERROR(__xludf.DUMMYFUNCTION("""COMPUTED_VALUE"""),"Unknown")</f>
        <v>Unknown</v>
      </c>
      <c r="AR2368" s="8" t="str">
        <f ca="1">IFERROR(__xludf.DUMMYFUNCTION("""COMPUTED_VALUE"""),"NA")</f>
        <v>NA</v>
      </c>
      <c r="AS2368" s="8"/>
      <c r="AT2368" s="8"/>
      <c r="AU2368" s="8">
        <f ca="1">IFERROR(__xludf.DUMMYFUNCTION("""COMPUTED_VALUE"""),33.878126)</f>
        <v>33.878126000000002</v>
      </c>
      <c r="AV2368" s="8">
        <f ca="1">IFERROR(__xludf.DUMMYFUNCTION("""COMPUTED_VALUE"""),-118.270795)</f>
        <v>-118.27079500000001</v>
      </c>
      <c r="AW2368" s="8"/>
      <c r="AX2368" s="8">
        <f ca="1">IFERROR(__xludf.DUMMYFUNCTION("""COMPUTED_VALUE"""),90746)</f>
        <v>90746</v>
      </c>
    </row>
    <row r="2369" spans="1:50" ht="30" x14ac:dyDescent="0.2">
      <c r="A2369" s="8" t="str">
        <f ca="1">IFERROR(__xludf.DUMMYFUNCTION("""COMPUTED_VALUE"""),"20021107MOSTL")</f>
        <v>20021107MOSTL</v>
      </c>
      <c r="B2369" s="8">
        <f ca="1">IFERROR(__xludf.DUMMYFUNCTION("""COMPUTED_VALUE"""),11)</f>
        <v>11</v>
      </c>
      <c r="C2369" s="8">
        <f ca="1">IFERROR(__xludf.DUMMYFUNCTION("""COMPUTED_VALUE"""),7)</f>
        <v>7</v>
      </c>
      <c r="D2369" s="8">
        <f ca="1">IFERROR(__xludf.DUMMYFUNCTION("""COMPUTED_VALUE"""),2002)</f>
        <v>2002</v>
      </c>
      <c r="E2369" s="9">
        <f ca="1">IFERROR(__xludf.DUMMYFUNCTION("""COMPUTED_VALUE"""),37567)</f>
        <v>37567</v>
      </c>
      <c r="F2369" s="8" t="str">
        <f ca="1">IFERROR(__xludf.DUMMYFUNCTION("""COMPUTED_VALUE"""),"St. James Catholic School")</f>
        <v>St. James Catholic School</v>
      </c>
      <c r="G2369" s="8">
        <f ca="1">IFERROR(__xludf.DUMMYFUNCTION("""COMPUTED_VALUE"""),1)</f>
        <v>1</v>
      </c>
      <c r="H2369" s="8">
        <f ca="1">IFERROR(__xludf.DUMMYFUNCTION("""COMPUTED_VALUE"""),1)</f>
        <v>1</v>
      </c>
      <c r="I2369" s="8">
        <f ca="1">IFERROR(__xludf.DUMMYFUNCTION("""COMPUTED_VALUE"""),2)</f>
        <v>2</v>
      </c>
      <c r="J2369" s="8">
        <f ca="1">IFERROR(__xludf.DUMMYFUNCTION("""COMPUTED_VALUE"""),0)</f>
        <v>0</v>
      </c>
      <c r="K2369" s="10" t="str">
        <f ca="1">IFERROR(__xludf.DUMMYFUNCTION("""COMPUTED_VALUE"""),"https://www.semissourian.com/story/152973.html")</f>
        <v>https://www.semissourian.com/story/152973.html</v>
      </c>
      <c r="L2369" s="8"/>
      <c r="M2369" s="8"/>
      <c r="N2369" s="8">
        <f ca="1">IFERROR(__xludf.DUMMYFUNCTION("""COMPUTED_VALUE"""),2)</f>
        <v>2</v>
      </c>
      <c r="O2369" s="8" t="str">
        <f ca="1">IFERROR(__xludf.DUMMYFUNCTION("""COMPUTED_VALUE"""),"Fall")</f>
        <v>Fall</v>
      </c>
      <c r="P2369" s="8" t="str">
        <f ca="1">IFERROR(__xludf.DUMMYFUNCTION("""COMPUTED_VALUE"""),"Liberty")</f>
        <v>Liberty</v>
      </c>
      <c r="Q2369" s="8" t="str">
        <f ca="1">IFERROR(__xludf.DUMMYFUNCTION("""COMPUTED_VALUE"""),"MO")</f>
        <v>MO</v>
      </c>
      <c r="R2369" s="8" t="str">
        <f ca="1">IFERROR(__xludf.DUMMYFUNCTION("""COMPUTED_VALUE"""),"K-8")</f>
        <v>K-8</v>
      </c>
      <c r="S2369" s="8" t="str">
        <f ca="1">IFERROR(__xludf.DUMMYFUNCTION("""COMPUTED_VALUE"""),"Parking Lot")</f>
        <v>Parking Lot</v>
      </c>
      <c r="T2369" s="8" t="str">
        <f ca="1">IFERROR(__xludf.DUMMYFUNCTION("""COMPUTED_VALUE"""),"Outside on School Property")</f>
        <v>Outside on School Property</v>
      </c>
      <c r="U2369" s="8" t="str">
        <f ca="1">IFERROR(__xludf.DUMMYFUNCTION("""COMPUTED_VALUE"""),"Yes")</f>
        <v>Yes</v>
      </c>
      <c r="V2369" s="8" t="str">
        <f ca="1">IFERROR(__xludf.DUMMYFUNCTION("""COMPUTED_VALUE"""),"Lunch")</f>
        <v>Lunch</v>
      </c>
      <c r="W2369" s="11">
        <f ca="1">IFERROR(__xludf.DUMMYFUNCTION("""COMPUTED_VALUE"""),0.527777777777777)</f>
        <v>0.52777777777777701</v>
      </c>
      <c r="X2369" s="8">
        <f ca="1">IFERROR(__xludf.DUMMYFUNCTION("""COMPUTED_VALUE"""),1)</f>
        <v>1</v>
      </c>
      <c r="Y2369" s="12" t="str">
        <f ca="1">IFERROR(__xludf.DUMMYFUNCTION("""COMPUTED_VALUE"""),"Shot wife and son in school parking lot")</f>
        <v>Shot wife and son in school parking lot</v>
      </c>
      <c r="Z2369" s="12" t="str">
        <f ca="1">IFERROR(__xludf.DUMMYFUNCTION("""COMPUTED_VALUE"""),"43YOM shot at wife and son in school parking lot then fled the scene.")</f>
        <v>43YOM shot at wife and son in school parking lot then fled the scene.</v>
      </c>
      <c r="AA2369" s="8" t="str">
        <f ca="1">IFERROR(__xludf.DUMMYFUNCTION("""COMPUTED_VALUE"""),"Domestic w/ Targeted Victim")</f>
        <v>Domestic w/ Targeted Victim</v>
      </c>
      <c r="AB2369" s="8"/>
      <c r="AC2369" s="8"/>
      <c r="AD2369" s="8" t="str">
        <f ca="1">IFERROR(__xludf.DUMMYFUNCTION("""COMPUTED_VALUE"""),"Victims Targeted")</f>
        <v>Victims Targeted</v>
      </c>
      <c r="AE2369" s="8" t="str">
        <f ca="1">IFERROR(__xludf.DUMMYFUNCTION("""COMPUTED_VALUE"""),"No")</f>
        <v>No</v>
      </c>
      <c r="AF2369" s="8"/>
      <c r="AG2369" s="8" t="str">
        <f ca="1">IFERROR(__xludf.DUMMYFUNCTION("""COMPUTED_VALUE"""),"No")</f>
        <v>No</v>
      </c>
      <c r="AH2369" s="8" t="str">
        <f ca="1">IFERROR(__xludf.DUMMYFUNCTION("""COMPUTED_VALUE"""),"No")</f>
        <v>No</v>
      </c>
      <c r="AI2369" s="8" t="str">
        <f ca="1">IFERROR(__xludf.DUMMYFUNCTION("""COMPUTED_VALUE"""),"No")</f>
        <v>No</v>
      </c>
      <c r="AJ2369" s="8" t="str">
        <f ca="1">IFERROR(__xludf.DUMMYFUNCTION("""COMPUTED_VALUE"""),"No")</f>
        <v>No</v>
      </c>
      <c r="AK2369" s="8" t="str">
        <f ca="1">IFERROR(__xludf.DUMMYFUNCTION("""COMPUTED_VALUE"""),"Yes")</f>
        <v>Yes</v>
      </c>
      <c r="AL2369" s="8" t="str">
        <f ca="1">IFERROR(__xludf.DUMMYFUNCTION("""COMPUTED_VALUE"""),"No")</f>
        <v>No</v>
      </c>
      <c r="AM2369" s="8"/>
      <c r="AN2369" s="8"/>
      <c r="AO2369" s="8" t="str">
        <f ca="1">IFERROR(__xludf.DUMMYFUNCTION("""COMPUTED_VALUE"""),"No")</f>
        <v>No</v>
      </c>
      <c r="AP2369" s="8" t="str">
        <f ca="1">IFERROR(__xludf.DUMMYFUNCTION("""COMPUTED_VALUE"""),"No")</f>
        <v>No</v>
      </c>
      <c r="AQ2369" s="8" t="str">
        <f ca="1">IFERROR(__xludf.DUMMYFUNCTION("""COMPUTED_VALUE"""),"Unknown")</f>
        <v>Unknown</v>
      </c>
      <c r="AR2369" s="8" t="str">
        <f ca="1">IFERROR(__xludf.DUMMYFUNCTION("""COMPUTED_VALUE"""),"NA")</f>
        <v>NA</v>
      </c>
      <c r="AS2369" s="8">
        <f ca="1">IFERROR(__xludf.DUMMYFUNCTION("""COMPUTED_VALUE"""),1)</f>
        <v>1</v>
      </c>
      <c r="AT2369" s="8"/>
      <c r="AU2369" s="8">
        <f ca="1">IFERROR(__xludf.DUMMYFUNCTION("""COMPUTED_VALUE"""),39.240626)</f>
        <v>39.240625999999999</v>
      </c>
      <c r="AV2369" s="8">
        <f ca="1">IFERROR(__xludf.DUMMYFUNCTION("""COMPUTED_VALUE"""),-94.455102)</f>
        <v>-94.455101999999997</v>
      </c>
      <c r="AW2369" s="8"/>
      <c r="AX2369" s="8">
        <f ca="1">IFERROR(__xludf.DUMMYFUNCTION("""COMPUTED_VALUE"""),64158)</f>
        <v>64158</v>
      </c>
    </row>
    <row r="2370" spans="1:50" ht="75" x14ac:dyDescent="0.2">
      <c r="A2370" s="8" t="str">
        <f ca="1">IFERROR(__xludf.DUMMYFUNCTION("""COMPUTED_VALUE"""),"20021029NJLIJ")</f>
        <v>20021029NJLIJ</v>
      </c>
      <c r="B2370" s="8">
        <f ca="1">IFERROR(__xludf.DUMMYFUNCTION("""COMPUTED_VALUE"""),10)</f>
        <v>10</v>
      </c>
      <c r="C2370" s="8">
        <f ca="1">IFERROR(__xludf.DUMMYFUNCTION("""COMPUTED_VALUE"""),29)</f>
        <v>29</v>
      </c>
      <c r="D2370" s="8">
        <f ca="1">IFERROR(__xludf.DUMMYFUNCTION("""COMPUTED_VALUE"""),2002)</f>
        <v>2002</v>
      </c>
      <c r="E2370" s="9">
        <f ca="1">IFERROR(__xludf.DUMMYFUNCTION("""COMPUTED_VALUE"""),37558)</f>
        <v>37558</v>
      </c>
      <c r="F2370" s="8" t="str">
        <f ca="1">IFERROR(__xludf.DUMMYFUNCTION("""COMPUTED_VALUE"""),"Lincoln High School")</f>
        <v>Lincoln High School</v>
      </c>
      <c r="G2370" s="8">
        <f ca="1">IFERROR(__xludf.DUMMYFUNCTION("""COMPUTED_VALUE"""),0)</f>
        <v>0</v>
      </c>
      <c r="H2370" s="8">
        <f ca="1">IFERROR(__xludf.DUMMYFUNCTION("""COMPUTED_VALUE"""),1)</f>
        <v>1</v>
      </c>
      <c r="I2370" s="8">
        <f ca="1">IFERROR(__xludf.DUMMYFUNCTION("""COMPUTED_VALUE"""),1)</f>
        <v>1</v>
      </c>
      <c r="J2370" s="8">
        <f ca="1">IFERROR(__xludf.DUMMYFUNCTION("""COMPUTED_VALUE"""),0)</f>
        <v>0</v>
      </c>
      <c r="K2370" s="10" t="str">
        <f ca="1">IFERROR(__xludf.DUMMYFUNCTION("""COMPUTED_VALUE"""),"http://www.cnn.com/2002/US/Northeast/10/29/school.shooting/")</f>
        <v>http://www.cnn.com/2002/US/Northeast/10/29/school.shooting/</v>
      </c>
      <c r="L2370" s="8"/>
      <c r="M2370" s="8"/>
      <c r="N2370" s="8">
        <f ca="1">IFERROR(__xludf.DUMMYFUNCTION("""COMPUTED_VALUE"""),2)</f>
        <v>2</v>
      </c>
      <c r="O2370" s="8" t="str">
        <f ca="1">IFERROR(__xludf.DUMMYFUNCTION("""COMPUTED_VALUE"""),"Fall")</f>
        <v>Fall</v>
      </c>
      <c r="P2370" s="8" t="str">
        <f ca="1">IFERROR(__xludf.DUMMYFUNCTION("""COMPUTED_VALUE"""),"Jersey City")</f>
        <v>Jersey City</v>
      </c>
      <c r="Q2370" s="8" t="str">
        <f ca="1">IFERROR(__xludf.DUMMYFUNCTION("""COMPUTED_VALUE"""),"NJ")</f>
        <v>NJ</v>
      </c>
      <c r="R2370" s="8" t="str">
        <f ca="1">IFERROR(__xludf.DUMMYFUNCTION("""COMPUTED_VALUE"""),"High")</f>
        <v>High</v>
      </c>
      <c r="S2370" s="8" t="str">
        <f ca="1">IFERROR(__xludf.DUMMYFUNCTION("""COMPUTED_VALUE"""),"Hallway")</f>
        <v>Hallway</v>
      </c>
      <c r="T2370" s="8" t="str">
        <f ca="1">IFERROR(__xludf.DUMMYFUNCTION("""COMPUTED_VALUE"""),"Inside School Building")</f>
        <v>Inside School Building</v>
      </c>
      <c r="U2370" s="8" t="str">
        <f ca="1">IFERROR(__xludf.DUMMYFUNCTION("""COMPUTED_VALUE"""),"Yes")</f>
        <v>Yes</v>
      </c>
      <c r="V2370" s="8" t="str">
        <f ca="1">IFERROR(__xludf.DUMMYFUNCTION("""COMPUTED_VALUE"""),"Morning Classes")</f>
        <v>Morning Classes</v>
      </c>
      <c r="W2370" s="11">
        <f ca="1">IFERROR(__xludf.DUMMYFUNCTION("""COMPUTED_VALUE"""),0.354166666666666)</f>
        <v>0.35416666666666602</v>
      </c>
      <c r="X2370" s="8">
        <f ca="1">IFERROR(__xludf.DUMMYFUNCTION("""COMPUTED_VALUE"""),1)</f>
        <v>1</v>
      </c>
      <c r="Y2370" s="12" t="str">
        <f ca="1">IFERROR(__xludf.DUMMYFUNCTION("""COMPUTED_VALUE"""),"Shots fired during fight in school hallway")</f>
        <v>Shots fired during fight in school hallway</v>
      </c>
      <c r="Z2370" s="12" t="str">
        <f ca="1">IFERROR(__xludf.DUMMYFUNCTION("""COMPUTED_VALUE"""),"One shot was fired during a physical altercation between two students in the hallway of the school prior to classes starting. Shooter fled the scene. School had metal detectors and armed guards. Two fatal shootings near the school during the same time per"&amp;"iod related to gang activity.")</f>
        <v>One shot was fired during a physical altercation between two students in the hallway of the school prior to classes starting. Shooter fled the scene. School had metal detectors and armed guards. Two fatal shootings near the school during the same time period related to gang activity.</v>
      </c>
      <c r="AA2370" s="8" t="str">
        <f ca="1">IFERROR(__xludf.DUMMYFUNCTION("""COMPUTED_VALUE"""),"Escalation of Dispute")</f>
        <v>Escalation of Dispute</v>
      </c>
      <c r="AB2370" s="8"/>
      <c r="AC2370" s="8"/>
      <c r="AD2370" s="8" t="str">
        <f ca="1">IFERROR(__xludf.DUMMYFUNCTION("""COMPUTED_VALUE"""),"Victims Targeted")</f>
        <v>Victims Targeted</v>
      </c>
      <c r="AE2370" s="8" t="str">
        <f ca="1">IFERROR(__xludf.DUMMYFUNCTION("""COMPUTED_VALUE"""),"No")</f>
        <v>No</v>
      </c>
      <c r="AF2370" s="8"/>
      <c r="AG2370" s="8" t="str">
        <f ca="1">IFERROR(__xludf.DUMMYFUNCTION("""COMPUTED_VALUE"""),"No")</f>
        <v>No</v>
      </c>
      <c r="AH2370" s="8" t="str">
        <f ca="1">IFERROR(__xludf.DUMMYFUNCTION("""COMPUTED_VALUE"""),"No")</f>
        <v>No</v>
      </c>
      <c r="AI2370" s="8" t="str">
        <f ca="1">IFERROR(__xludf.DUMMYFUNCTION("""COMPUTED_VALUE"""),"No")</f>
        <v>No</v>
      </c>
      <c r="AJ2370" s="8" t="str">
        <f ca="1">IFERROR(__xludf.DUMMYFUNCTION("""COMPUTED_VALUE"""),"No")</f>
        <v>No</v>
      </c>
      <c r="AK2370" s="8" t="str">
        <f ca="1">IFERROR(__xludf.DUMMYFUNCTION("""COMPUTED_VALUE"""),"No")</f>
        <v>No</v>
      </c>
      <c r="AL2370" s="8" t="str">
        <f ca="1">IFERROR(__xludf.DUMMYFUNCTION("""COMPUTED_VALUE"""),"No")</f>
        <v>No</v>
      </c>
      <c r="AM2370" s="8"/>
      <c r="AN2370" s="8"/>
      <c r="AO2370" s="8" t="str">
        <f ca="1">IFERROR(__xludf.DUMMYFUNCTION("""COMPUTED_VALUE"""),"No")</f>
        <v>No</v>
      </c>
      <c r="AP2370" s="8" t="str">
        <f ca="1">IFERROR(__xludf.DUMMYFUNCTION("""COMPUTED_VALUE"""),"Yes")</f>
        <v>Yes</v>
      </c>
      <c r="AQ2370" s="8" t="str">
        <f ca="1">IFERROR(__xludf.DUMMYFUNCTION("""COMPUTED_VALUE"""),"Unknown")</f>
        <v>Unknown</v>
      </c>
      <c r="AR2370" s="8" t="str">
        <f ca="1">IFERROR(__xludf.DUMMYFUNCTION("""COMPUTED_VALUE"""),"NA")</f>
        <v>NA</v>
      </c>
      <c r="AS2370" s="8">
        <f ca="1">IFERROR(__xludf.DUMMYFUNCTION("""COMPUTED_VALUE"""),1)</f>
        <v>1</v>
      </c>
      <c r="AT2370" s="8"/>
      <c r="AU2370" s="8">
        <f ca="1">IFERROR(__xludf.DUMMYFUNCTION("""COMPUTED_VALUE"""),40.717294)</f>
        <v>40.717294000000003</v>
      </c>
      <c r="AV2370" s="8">
        <f ca="1">IFERROR(__xludf.DUMMYFUNCTION("""COMPUTED_VALUE"""),-74.070215)</f>
        <v>-74.070215000000005</v>
      </c>
      <c r="AW2370" s="8"/>
      <c r="AX2370" s="8">
        <f ca="1">IFERROR(__xludf.DUMMYFUNCTION("""COMPUTED_VALUE"""),7304)</f>
        <v>7304</v>
      </c>
    </row>
    <row r="2371" spans="1:50" ht="30" x14ac:dyDescent="0.2">
      <c r="A2371" s="8" t="str">
        <f ca="1">IFERROR(__xludf.DUMMYFUNCTION("""COMPUTED_VALUE"""),"20021007MDBEB")</f>
        <v>20021007MDBEB</v>
      </c>
      <c r="B2371" s="8">
        <f ca="1">IFERROR(__xludf.DUMMYFUNCTION("""COMPUTED_VALUE"""),10)</f>
        <v>10</v>
      </c>
      <c r="C2371" s="8">
        <f ca="1">IFERROR(__xludf.DUMMYFUNCTION("""COMPUTED_VALUE"""),7)</f>
        <v>7</v>
      </c>
      <c r="D2371" s="8">
        <f ca="1">IFERROR(__xludf.DUMMYFUNCTION("""COMPUTED_VALUE"""),2002)</f>
        <v>2002</v>
      </c>
      <c r="E2371" s="9">
        <f ca="1">IFERROR(__xludf.DUMMYFUNCTION("""COMPUTED_VALUE"""),37536)</f>
        <v>37536</v>
      </c>
      <c r="F2371" s="8" t="str">
        <f ca="1">IFERROR(__xludf.DUMMYFUNCTION("""COMPUTED_VALUE"""),"Benjamin Tasker Middle School")</f>
        <v>Benjamin Tasker Middle School</v>
      </c>
      <c r="G2371" s="8">
        <f ca="1">IFERROR(__xludf.DUMMYFUNCTION("""COMPUTED_VALUE"""),0)</f>
        <v>0</v>
      </c>
      <c r="H2371" s="8">
        <f ca="1">IFERROR(__xludf.DUMMYFUNCTION("""COMPUTED_VALUE"""),1)</f>
        <v>1</v>
      </c>
      <c r="I2371" s="8">
        <f ca="1">IFERROR(__xludf.DUMMYFUNCTION("""COMPUTED_VALUE"""),1)</f>
        <v>1</v>
      </c>
      <c r="J2371" s="8">
        <f ca="1">IFERROR(__xludf.DUMMYFUNCTION("""COMPUTED_VALUE"""),0)</f>
        <v>0</v>
      </c>
      <c r="K2371" s="10" t="str">
        <f ca="1">IFERROR(__xludf.DUMMYFUNCTION("""COMPUTED_VALUE"""),"https://www.theguardian.com/world/2002/oct/08/usgunviolence.usa")</f>
        <v>https://www.theguardian.com/world/2002/oct/08/usgunviolence.usa</v>
      </c>
      <c r="L2371" s="8"/>
      <c r="M2371" s="8"/>
      <c r="N2371" s="8">
        <f ca="1">IFERROR(__xludf.DUMMYFUNCTION("""COMPUTED_VALUE"""),2)</f>
        <v>2</v>
      </c>
      <c r="O2371" s="8" t="str">
        <f ca="1">IFERROR(__xludf.DUMMYFUNCTION("""COMPUTED_VALUE"""),"Fall")</f>
        <v>Fall</v>
      </c>
      <c r="P2371" s="8" t="str">
        <f ca="1">IFERROR(__xludf.DUMMYFUNCTION("""COMPUTED_VALUE"""),"Bowie")</f>
        <v>Bowie</v>
      </c>
      <c r="Q2371" s="8" t="str">
        <f ca="1">IFERROR(__xludf.DUMMYFUNCTION("""COMPUTED_VALUE"""),"MD")</f>
        <v>MD</v>
      </c>
      <c r="R2371" s="8" t="str">
        <f ca="1">IFERROR(__xludf.DUMMYFUNCTION("""COMPUTED_VALUE"""),"Middle")</f>
        <v>Middle</v>
      </c>
      <c r="S2371" s="8" t="str">
        <f ca="1">IFERROR(__xludf.DUMMYFUNCTION("""COMPUTED_VALUE"""),"Front of School")</f>
        <v>Front of School</v>
      </c>
      <c r="T2371" s="8" t="str">
        <f ca="1">IFERROR(__xludf.DUMMYFUNCTION("""COMPUTED_VALUE"""),"Outside on School Property")</f>
        <v>Outside on School Property</v>
      </c>
      <c r="U2371" s="8" t="str">
        <f ca="1">IFERROR(__xludf.DUMMYFUNCTION("""COMPUTED_VALUE"""),"Yes")</f>
        <v>Yes</v>
      </c>
      <c r="V2371" s="8" t="str">
        <f ca="1">IFERROR(__xludf.DUMMYFUNCTION("""COMPUTED_VALUE"""),"School Start")</f>
        <v>School Start</v>
      </c>
      <c r="W2371" s="11">
        <f ca="1">IFERROR(__xludf.DUMMYFUNCTION("""COMPUTED_VALUE"""),0.339583333333333)</f>
        <v>0.33958333333333302</v>
      </c>
      <c r="X2371" s="8">
        <f ca="1">IFERROR(__xludf.DUMMYFUNCTION("""COMPUTED_VALUE"""),1)</f>
        <v>1</v>
      </c>
      <c r="Y2371" s="12" t="str">
        <f ca="1">IFERROR(__xludf.DUMMYFUNCTION("""COMPUTED_VALUE"""),"Serial Sniper Victim")</f>
        <v>Serial Sniper Victim</v>
      </c>
      <c r="Z2371" s="12" t="str">
        <f ca="1">IFERROR(__xludf.DUMMYFUNCTION("""COMPUTED_VALUE"""),"Student shot outside of school by serial sniper who killed 17 random victims")</f>
        <v>Student shot outside of school by serial sniper who killed 17 random victims</v>
      </c>
      <c r="AA2371" s="8" t="str">
        <f ca="1">IFERROR(__xludf.DUMMYFUNCTION("""COMPUTED_VALUE"""),"Indiscriminate Shooting")</f>
        <v>Indiscriminate Shooting</v>
      </c>
      <c r="AB2371" s="8"/>
      <c r="AC2371" s="8"/>
      <c r="AD2371" s="8" t="str">
        <f ca="1">IFERROR(__xludf.DUMMYFUNCTION("""COMPUTED_VALUE"""),"Random Shooting")</f>
        <v>Random Shooting</v>
      </c>
      <c r="AE2371" s="8" t="str">
        <f ca="1">IFERROR(__xludf.DUMMYFUNCTION("""COMPUTED_VALUE"""),"Yes")</f>
        <v>Yes</v>
      </c>
      <c r="AF2371" s="8" t="str">
        <f ca="1">IFERROR(__xludf.DUMMYFUNCTION("""COMPUTED_VALUE"""),"Need more information")</f>
        <v>Need more information</v>
      </c>
      <c r="AG2371" s="8" t="str">
        <f ca="1">IFERROR(__xludf.DUMMYFUNCTION("""COMPUTED_VALUE"""),"No")</f>
        <v>No</v>
      </c>
      <c r="AH2371" s="8" t="str">
        <f ca="1">IFERROR(__xludf.DUMMYFUNCTION("""COMPUTED_VALUE"""),"No")</f>
        <v>No</v>
      </c>
      <c r="AI2371" s="8" t="str">
        <f ca="1">IFERROR(__xludf.DUMMYFUNCTION("""COMPUTED_VALUE"""),"No")</f>
        <v>No</v>
      </c>
      <c r="AJ2371" s="8" t="str">
        <f ca="1">IFERROR(__xludf.DUMMYFUNCTION("""COMPUTED_VALUE"""),"No")</f>
        <v>No</v>
      </c>
      <c r="AK2371" s="8" t="str">
        <f ca="1">IFERROR(__xludf.DUMMYFUNCTION("""COMPUTED_VALUE"""),"No")</f>
        <v>No</v>
      </c>
      <c r="AL2371" s="8" t="str">
        <f ca="1">IFERROR(__xludf.DUMMYFUNCTION("""COMPUTED_VALUE"""),"No")</f>
        <v>No</v>
      </c>
      <c r="AM2371" s="8"/>
      <c r="AN2371" s="8"/>
      <c r="AO2371" s="8" t="str">
        <f ca="1">IFERROR(__xludf.DUMMYFUNCTION("""COMPUTED_VALUE"""),"No")</f>
        <v>No</v>
      </c>
      <c r="AP2371" s="8" t="str">
        <f ca="1">IFERROR(__xludf.DUMMYFUNCTION("""COMPUTED_VALUE"""),"No")</f>
        <v>No</v>
      </c>
      <c r="AQ2371" s="8" t="str">
        <f ca="1">IFERROR(__xludf.DUMMYFUNCTION("""COMPUTED_VALUE"""),"Unknown")</f>
        <v>Unknown</v>
      </c>
      <c r="AR2371" s="8" t="str">
        <f ca="1">IFERROR(__xludf.DUMMYFUNCTION("""COMPUTED_VALUE"""),"NA")</f>
        <v>NA</v>
      </c>
      <c r="AS2371" s="8">
        <f ca="1">IFERROR(__xludf.DUMMYFUNCTION("""COMPUTED_VALUE"""),1)</f>
        <v>1</v>
      </c>
      <c r="AT2371" s="8"/>
      <c r="AU2371" s="8">
        <f ca="1">IFERROR(__xludf.DUMMYFUNCTION("""COMPUTED_VALUE"""),38.957884)</f>
        <v>38.957884</v>
      </c>
      <c r="AV2371" s="8">
        <f ca="1">IFERROR(__xludf.DUMMYFUNCTION("""COMPUTED_VALUE"""),-76.74572)</f>
        <v>-76.745720000000006</v>
      </c>
      <c r="AW2371" s="8"/>
      <c r="AX2371" s="8">
        <f ca="1">IFERROR(__xludf.DUMMYFUNCTION("""COMPUTED_VALUE"""),20715)</f>
        <v>20715</v>
      </c>
    </row>
    <row r="2372" spans="1:50" ht="60" x14ac:dyDescent="0.2">
      <c r="A2372" s="8" t="str">
        <f ca="1">IFERROR(__xludf.DUMMYFUNCTION("""COMPUTED_VALUE"""),"20021004TXPAS")</f>
        <v>20021004TXPAS</v>
      </c>
      <c r="B2372" s="8">
        <f ca="1">IFERROR(__xludf.DUMMYFUNCTION("""COMPUTED_VALUE"""),10)</f>
        <v>10</v>
      </c>
      <c r="C2372" s="8">
        <f ca="1">IFERROR(__xludf.DUMMYFUNCTION("""COMPUTED_VALUE"""),4)</f>
        <v>4</v>
      </c>
      <c r="D2372" s="8">
        <f ca="1">IFERROR(__xludf.DUMMYFUNCTION("""COMPUTED_VALUE"""),2002)</f>
        <v>2002</v>
      </c>
      <c r="E2372" s="9">
        <f ca="1">IFERROR(__xludf.DUMMYFUNCTION("""COMPUTED_VALUE"""),37533)</f>
        <v>37533</v>
      </c>
      <c r="F2372" s="8" t="str">
        <f ca="1">IFERROR(__xludf.DUMMYFUNCTION("""COMPUTED_VALUE"""),"Page Middle School")</f>
        <v>Page Middle School</v>
      </c>
      <c r="G2372" s="8">
        <f ca="1">IFERROR(__xludf.DUMMYFUNCTION("""COMPUTED_VALUE"""),0)</f>
        <v>0</v>
      </c>
      <c r="H2372" s="8">
        <f ca="1">IFERROR(__xludf.DUMMYFUNCTION("""COMPUTED_VALUE"""),0)</f>
        <v>0</v>
      </c>
      <c r="I2372" s="8">
        <f ca="1">IFERROR(__xludf.DUMMYFUNCTION("""COMPUTED_VALUE"""),0)</f>
        <v>0</v>
      </c>
      <c r="J2372" s="8">
        <f ca="1">IFERROR(__xludf.DUMMYFUNCTION("""COMPUTED_VALUE"""),1)</f>
        <v>1</v>
      </c>
      <c r="K2372" s="10" t="str">
        <f ca="1">IFERROR(__xludf.DUMMYFUNCTION("""COMPUTED_VALUE"""),"http://ssristories.drugawareness.org/archive/showa5f5.html?item=224")</f>
        <v>http://ssristories.drugawareness.org/archive/showa5f5.html?item=224</v>
      </c>
      <c r="L2372" s="8"/>
      <c r="M2372" s="8"/>
      <c r="N2372" s="8">
        <f ca="1">IFERROR(__xludf.DUMMYFUNCTION("""COMPUTED_VALUE"""),2)</f>
        <v>2</v>
      </c>
      <c r="O2372" s="8" t="str">
        <f ca="1">IFERROR(__xludf.DUMMYFUNCTION("""COMPUTED_VALUE"""),"Fall")</f>
        <v>Fall</v>
      </c>
      <c r="P2372" s="8" t="str">
        <f ca="1">IFERROR(__xludf.DUMMYFUNCTION("""COMPUTED_VALUE"""),"San Antonio")</f>
        <v>San Antonio</v>
      </c>
      <c r="Q2372" s="8" t="str">
        <f ca="1">IFERROR(__xludf.DUMMYFUNCTION("""COMPUTED_VALUE"""),"TX")</f>
        <v>TX</v>
      </c>
      <c r="R2372" s="8" t="str">
        <f ca="1">IFERROR(__xludf.DUMMYFUNCTION("""COMPUTED_VALUE"""),"High")</f>
        <v>High</v>
      </c>
      <c r="S2372" s="8" t="str">
        <f ca="1">IFERROR(__xludf.DUMMYFUNCTION("""COMPUTED_VALUE"""),"Parking Lot")</f>
        <v>Parking Lot</v>
      </c>
      <c r="T2372" s="8" t="str">
        <f ca="1">IFERROR(__xludf.DUMMYFUNCTION("""COMPUTED_VALUE"""),"Outside on School Property")</f>
        <v>Outside on School Property</v>
      </c>
      <c r="U2372" s="8" t="str">
        <f ca="1">IFERROR(__xludf.DUMMYFUNCTION("""COMPUTED_VALUE"""),"Yes")</f>
        <v>Yes</v>
      </c>
      <c r="V2372" s="8" t="str">
        <f ca="1">IFERROR(__xludf.DUMMYFUNCTION("""COMPUTED_VALUE"""),"School Start")</f>
        <v>School Start</v>
      </c>
      <c r="W2372" s="11">
        <f ca="1">IFERROR(__xludf.DUMMYFUNCTION("""COMPUTED_VALUE"""),0.34375)</f>
        <v>0.34375</v>
      </c>
      <c r="X2372" s="8">
        <f ca="1">IFERROR(__xludf.DUMMYFUNCTION("""COMPUTED_VALUE"""),1)</f>
        <v>1</v>
      </c>
      <c r="Y2372" s="12" t="str">
        <f ca="1">IFERROR(__xludf.DUMMYFUNCTION("""COMPUTED_VALUE"""),"Shot herself in the school parking lot in front of other students")</f>
        <v>Shot herself in the school parking lot in front of other students</v>
      </c>
      <c r="Z2372" s="12" t="str">
        <f ca="1">IFERROR(__xludf.DUMMYFUNCTION("""COMPUTED_VALUE"""),"13YOF student shot herself in the school parking lot in front of other students. She was being treated for depression and had be admitted to psychiatric hospital. Previous suicide attempts.")</f>
        <v>13YOF student shot herself in the school parking lot in front of other students. She was being treated for depression and had be admitted to psychiatric hospital. Previous suicide attempts.</v>
      </c>
      <c r="AA2372" s="8" t="str">
        <f ca="1">IFERROR(__xludf.DUMMYFUNCTION("""COMPUTED_VALUE"""),"Suicide/Attempted")</f>
        <v>Suicide/Attempted</v>
      </c>
      <c r="AB2372" s="8"/>
      <c r="AC2372" s="8"/>
      <c r="AD2372" s="8" t="str">
        <f ca="1">IFERROR(__xludf.DUMMYFUNCTION("""COMPUTED_VALUE"""),"Victims Targeted")</f>
        <v>Victims Targeted</v>
      </c>
      <c r="AE2372" s="8" t="str">
        <f ca="1">IFERROR(__xludf.DUMMYFUNCTION("""COMPUTED_VALUE"""),"No")</f>
        <v>No</v>
      </c>
      <c r="AF2372" s="8"/>
      <c r="AG2372" s="8" t="str">
        <f ca="1">IFERROR(__xludf.DUMMYFUNCTION("""COMPUTED_VALUE"""),"No")</f>
        <v>No</v>
      </c>
      <c r="AH2372" s="8" t="str">
        <f ca="1">IFERROR(__xludf.DUMMYFUNCTION("""COMPUTED_VALUE"""),"No")</f>
        <v>No</v>
      </c>
      <c r="AI2372" s="8" t="str">
        <f ca="1">IFERROR(__xludf.DUMMYFUNCTION("""COMPUTED_VALUE"""),"No")</f>
        <v>No</v>
      </c>
      <c r="AJ2372" s="8" t="str">
        <f ca="1">IFERROR(__xludf.DUMMYFUNCTION("""COMPUTED_VALUE"""),"Yes")</f>
        <v>Yes</v>
      </c>
      <c r="AK2372" s="8" t="str">
        <f ca="1">IFERROR(__xludf.DUMMYFUNCTION("""COMPUTED_VALUE"""),"No")</f>
        <v>No</v>
      </c>
      <c r="AL2372" s="8" t="str">
        <f ca="1">IFERROR(__xludf.DUMMYFUNCTION("""COMPUTED_VALUE"""),"No")</f>
        <v>No</v>
      </c>
      <c r="AM2372" s="8"/>
      <c r="AN2372" s="8"/>
      <c r="AO2372" s="8" t="str">
        <f ca="1">IFERROR(__xludf.DUMMYFUNCTION("""COMPUTED_VALUE"""),"No")</f>
        <v>No</v>
      </c>
      <c r="AP2372" s="8"/>
      <c r="AQ2372" s="8" t="str">
        <f ca="1">IFERROR(__xludf.DUMMYFUNCTION("""COMPUTED_VALUE"""),"Unknown")</f>
        <v>Unknown</v>
      </c>
      <c r="AR2372" s="8" t="str">
        <f ca="1">IFERROR(__xludf.DUMMYFUNCTION("""COMPUTED_VALUE"""),"NA")</f>
        <v>NA</v>
      </c>
      <c r="AS2372" s="8">
        <f ca="1">IFERROR(__xludf.DUMMYFUNCTION("""COMPUTED_VALUE"""),1)</f>
        <v>1</v>
      </c>
      <c r="AT2372" s="8"/>
      <c r="AU2372" s="8">
        <f ca="1">IFERROR(__xludf.DUMMYFUNCTION("""COMPUTED_VALUE"""),29.398208)</f>
        <v>29.398208</v>
      </c>
      <c r="AV2372" s="8">
        <f ca="1">IFERROR(__xludf.DUMMYFUNCTION("""COMPUTED_VALUE"""),-98.477464)</f>
        <v>-98.477463999999998</v>
      </c>
      <c r="AW2372" s="8"/>
      <c r="AX2372" s="8">
        <f ca="1">IFERROR(__xludf.DUMMYFUNCTION("""COMPUTED_VALUE"""),78210)</f>
        <v>78210</v>
      </c>
    </row>
    <row r="2373" spans="1:50" ht="135" x14ac:dyDescent="0.2">
      <c r="A2373" s="8" t="str">
        <f ca="1">IFERROR(__xludf.DUMMYFUNCTION("""COMPUTED_VALUE"""),"20021004MTCMG")</f>
        <v>20021004MTCMG</v>
      </c>
      <c r="B2373" s="8">
        <f ca="1">IFERROR(__xludf.DUMMYFUNCTION("""COMPUTED_VALUE"""),10)</f>
        <v>10</v>
      </c>
      <c r="C2373" s="8">
        <f ca="1">IFERROR(__xludf.DUMMYFUNCTION("""COMPUTED_VALUE"""),4)</f>
        <v>4</v>
      </c>
      <c r="D2373" s="8">
        <f ca="1">IFERROR(__xludf.DUMMYFUNCTION("""COMPUTED_VALUE"""),2002)</f>
        <v>2002</v>
      </c>
      <c r="E2373" s="9">
        <f ca="1">IFERROR(__xludf.DUMMYFUNCTION("""COMPUTED_VALUE"""),37533)</f>
        <v>37533</v>
      </c>
      <c r="F2373" s="8" t="str">
        <f ca="1">IFERROR(__xludf.DUMMYFUNCTION("""COMPUTED_VALUE"""),"C M Russell HIgh School")</f>
        <v>C M Russell HIgh School</v>
      </c>
      <c r="G2373" s="8">
        <f ca="1">IFERROR(__xludf.DUMMYFUNCTION("""COMPUTED_VALUE"""),0)</f>
        <v>0</v>
      </c>
      <c r="H2373" s="8">
        <f ca="1">IFERROR(__xludf.DUMMYFUNCTION("""COMPUTED_VALUE"""),0)</f>
        <v>0</v>
      </c>
      <c r="I2373" s="8">
        <f ca="1">IFERROR(__xludf.DUMMYFUNCTION("""COMPUTED_VALUE"""),0)</f>
        <v>0</v>
      </c>
      <c r="J2373" s="8">
        <f ca="1">IFERROR(__xludf.DUMMYFUNCTION("""COMPUTED_VALUE"""),0)</f>
        <v>0</v>
      </c>
      <c r="K2373" s="8" t="str">
        <f ca="1">IFERROR(__xludf.DUMMYFUNCTION("""COMPUTED_VALUE"""),"https://www.newspapers.com/image/243744539/?terms=jeffrey%2Bfoss  https://www.newspapers.com/image/351553243/?terms=jeffrey%2Bfoss  https://www.newspapers.com/image/243745536/?terms=jeffrey%2Bfoss")</f>
        <v>https://www.newspapers.com/image/243744539/?terms=jeffrey%2Bfoss  https://www.newspapers.com/image/351553243/?terms=jeffrey%2Bfoss  https://www.newspapers.com/image/243745536/?terms=jeffrey%2Bfoss</v>
      </c>
      <c r="L2373" s="8"/>
      <c r="M2373" s="8"/>
      <c r="N2373" s="8">
        <f ca="1">IFERROR(__xludf.DUMMYFUNCTION("""COMPUTED_VALUE"""),3)</f>
        <v>3</v>
      </c>
      <c r="O2373" s="8" t="str">
        <f ca="1">IFERROR(__xludf.DUMMYFUNCTION("""COMPUTED_VALUE"""),"Fall")</f>
        <v>Fall</v>
      </c>
      <c r="P2373" s="8" t="str">
        <f ca="1">IFERROR(__xludf.DUMMYFUNCTION("""COMPUTED_VALUE"""),"Great Falls")</f>
        <v>Great Falls</v>
      </c>
      <c r="Q2373" s="8" t="str">
        <f ca="1">IFERROR(__xludf.DUMMYFUNCTION("""COMPUTED_VALUE"""),"MT")</f>
        <v>MT</v>
      </c>
      <c r="R2373" s="8" t="str">
        <f ca="1">IFERROR(__xludf.DUMMYFUNCTION("""COMPUTED_VALUE"""),"High")</f>
        <v>High</v>
      </c>
      <c r="S2373" s="8" t="str">
        <f ca="1">IFERROR(__xludf.DUMMYFUNCTION("""COMPUTED_VALUE"""),"Parking Lot")</f>
        <v>Parking Lot</v>
      </c>
      <c r="T2373" s="8" t="str">
        <f ca="1">IFERROR(__xludf.DUMMYFUNCTION("""COMPUTED_VALUE"""),"Outside on School Property")</f>
        <v>Outside on School Property</v>
      </c>
      <c r="U2373" s="8" t="str">
        <f ca="1">IFERROR(__xludf.DUMMYFUNCTION("""COMPUTED_VALUE"""),"Yes")</f>
        <v>Yes</v>
      </c>
      <c r="V2373" s="8" t="str">
        <f ca="1">IFERROR(__xludf.DUMMYFUNCTION("""COMPUTED_VALUE"""),"After School")</f>
        <v>After School</v>
      </c>
      <c r="W2373" s="11">
        <f ca="1">IFERROR(__xludf.DUMMYFUNCTION("""COMPUTED_VALUE"""),0.645833333333333)</f>
        <v>0.64583333333333304</v>
      </c>
      <c r="X2373" s="8">
        <f ca="1">IFERROR(__xludf.DUMMYFUNCTION("""COMPUTED_VALUE"""),1)</f>
        <v>1</v>
      </c>
      <c r="Y2373" s="12" t="str">
        <f ca="1">IFERROR(__xludf.DUMMYFUNCTION("""COMPUTED_VALUE"""),"Gang related shooting in parking lot")</f>
        <v>Gang related shooting in parking lot</v>
      </c>
      <c r="Z2373" s="12" t="str">
        <f ca="1">IFERROR(__xludf.DUMMYFUNCTION("""COMPUTED_VALUE"""),"Shooter pulled into school parking lot at approximately 3:30PM and yelled something at the two victims prior to shooting a small caliber handgun in their direction. The victims were attempting to jump start their car at the time - no one was injured, but "&amp;"students were in the area which caused the suspect to be charged with additional crimes. It was later deemed to be a gang related shooting based on the victims having beaten up the shooter's younger brother on a prior occasion.")</f>
        <v>Shooter pulled into school parking lot at approximately 3:30PM and yelled something at the two victims prior to shooting a small caliber handgun in their direction. The victims were attempting to jump start their car at the time - no one was injured, but students were in the area which caused the suspect to be charged with additional crimes. It was later deemed to be a gang related shooting based on the victims having beaten up the shooter's younger brother on a prior occasion.</v>
      </c>
      <c r="AA2373" s="8" t="str">
        <f ca="1">IFERROR(__xludf.DUMMYFUNCTION("""COMPUTED_VALUE"""),"Drive-by Shooting")</f>
        <v>Drive-by Shooting</v>
      </c>
      <c r="AB2373" s="8"/>
      <c r="AC2373" s="8"/>
      <c r="AD2373" s="8" t="str">
        <f ca="1">IFERROR(__xludf.DUMMYFUNCTION("""COMPUTED_VALUE"""),"Victims Targeted")</f>
        <v>Victims Targeted</v>
      </c>
      <c r="AE2373" s="8" t="str">
        <f ca="1">IFERROR(__xludf.DUMMYFUNCTION("""COMPUTED_VALUE"""),"No")</f>
        <v>No</v>
      </c>
      <c r="AF2373" s="8"/>
      <c r="AG2373" s="8" t="str">
        <f ca="1">IFERROR(__xludf.DUMMYFUNCTION("""COMPUTED_VALUE"""),"No")</f>
        <v>No</v>
      </c>
      <c r="AH2373" s="8" t="str">
        <f ca="1">IFERROR(__xludf.DUMMYFUNCTION("""COMPUTED_VALUE"""),"No")</f>
        <v>No</v>
      </c>
      <c r="AI2373" s="8" t="str">
        <f ca="1">IFERROR(__xludf.DUMMYFUNCTION("""COMPUTED_VALUE"""),"No")</f>
        <v>No</v>
      </c>
      <c r="AJ2373" s="8" t="str">
        <f ca="1">IFERROR(__xludf.DUMMYFUNCTION("""COMPUTED_VALUE"""),"No")</f>
        <v>No</v>
      </c>
      <c r="AK2373" s="8" t="str">
        <f ca="1">IFERROR(__xludf.DUMMYFUNCTION("""COMPUTED_VALUE"""),"No")</f>
        <v>No</v>
      </c>
      <c r="AL2373" s="8" t="str">
        <f ca="1">IFERROR(__xludf.DUMMYFUNCTION("""COMPUTED_VALUE"""),"Yes")</f>
        <v>Yes</v>
      </c>
      <c r="AM2373" s="8"/>
      <c r="AN2373" s="8"/>
      <c r="AO2373" s="8" t="str">
        <f ca="1">IFERROR(__xludf.DUMMYFUNCTION("""COMPUTED_VALUE"""),"No")</f>
        <v>No</v>
      </c>
      <c r="AP2373" s="8"/>
      <c r="AQ2373" s="8" t="str">
        <f ca="1">IFERROR(__xludf.DUMMYFUNCTION("""COMPUTED_VALUE"""),"Unknown")</f>
        <v>Unknown</v>
      </c>
      <c r="AR2373" s="8" t="str">
        <f ca="1">IFERROR(__xludf.DUMMYFUNCTION("""COMPUTED_VALUE"""),"NA")</f>
        <v>NA</v>
      </c>
      <c r="AS2373" s="8">
        <f ca="1">IFERROR(__xludf.DUMMYFUNCTION("""COMPUTED_VALUE"""),2)</f>
        <v>2</v>
      </c>
      <c r="AT2373" s="8"/>
      <c r="AU2373" s="8">
        <f ca="1">IFERROR(__xludf.DUMMYFUNCTION("""COMPUTED_VALUE"""),47.520174)</f>
        <v>47.520173999999997</v>
      </c>
      <c r="AV2373" s="8">
        <f ca="1">IFERROR(__xludf.DUMMYFUNCTION("""COMPUTED_VALUE"""),-111.319223)</f>
        <v>-111.31922299999999</v>
      </c>
      <c r="AW2373" s="8"/>
      <c r="AX2373" s="8">
        <f ca="1">IFERROR(__xludf.DUMMYFUNCTION("""COMPUTED_VALUE"""),59404)</f>
        <v>59404</v>
      </c>
    </row>
    <row r="2374" spans="1:50" ht="75" x14ac:dyDescent="0.2">
      <c r="A2374" s="8" t="str">
        <f ca="1">IFERROR(__xludf.DUMMYFUNCTION("""COMPUTED_VALUE"""),"20020426LAABN")</f>
        <v>20020426LAABN</v>
      </c>
      <c r="B2374" s="8">
        <f ca="1">IFERROR(__xludf.DUMMYFUNCTION("""COMPUTED_VALUE"""),4)</f>
        <v>4</v>
      </c>
      <c r="C2374" s="8">
        <f ca="1">IFERROR(__xludf.DUMMYFUNCTION("""COMPUTED_VALUE"""),26)</f>
        <v>26</v>
      </c>
      <c r="D2374" s="8">
        <f ca="1">IFERROR(__xludf.DUMMYFUNCTION("""COMPUTED_VALUE"""),2002)</f>
        <v>2002</v>
      </c>
      <c r="E2374" s="9">
        <f ca="1">IFERROR(__xludf.DUMMYFUNCTION("""COMPUTED_VALUE"""),37372)</f>
        <v>37372</v>
      </c>
      <c r="F2374" s="8" t="str">
        <f ca="1">IFERROR(__xludf.DUMMYFUNCTION("""COMPUTED_VALUE"""),"Abramson High School")</f>
        <v>Abramson High School</v>
      </c>
      <c r="G2374" s="8">
        <f ca="1">IFERROR(__xludf.DUMMYFUNCTION("""COMPUTED_VALUE"""),1)</f>
        <v>1</v>
      </c>
      <c r="H2374" s="8">
        <f ca="1">IFERROR(__xludf.DUMMYFUNCTION("""COMPUTED_VALUE"""),0)</f>
        <v>0</v>
      </c>
      <c r="I2374" s="8">
        <f ca="1">IFERROR(__xludf.DUMMYFUNCTION("""COMPUTED_VALUE"""),1)</f>
        <v>1</v>
      </c>
      <c r="J2374" s="8">
        <f ca="1">IFERROR(__xludf.DUMMYFUNCTION("""COMPUTED_VALUE"""),0)</f>
        <v>0</v>
      </c>
      <c r="K2374" s="10" t="str">
        <f ca="1">IFERROR(__xludf.DUMMYFUNCTION("""COMPUTED_VALUE"""),"https://www.newspapers.com/image/229238117/?terms=Toran%2BJoseph%2BRichard%2BAntoine%2Bschool%2Bdance")</f>
        <v>https://www.newspapers.com/image/229238117/?terms=Toran%2BJoseph%2BRichard%2BAntoine%2Bschool%2Bdance</v>
      </c>
      <c r="L2374" s="8"/>
      <c r="M2374" s="8"/>
      <c r="N2374" s="8">
        <f ca="1">IFERROR(__xludf.DUMMYFUNCTION("""COMPUTED_VALUE"""),2)</f>
        <v>2</v>
      </c>
      <c r="O2374" s="8" t="str">
        <f ca="1">IFERROR(__xludf.DUMMYFUNCTION("""COMPUTED_VALUE"""),"Spring")</f>
        <v>Spring</v>
      </c>
      <c r="P2374" s="8" t="str">
        <f ca="1">IFERROR(__xludf.DUMMYFUNCTION("""COMPUTED_VALUE"""),"New Orleans")</f>
        <v>New Orleans</v>
      </c>
      <c r="Q2374" s="8" t="str">
        <f ca="1">IFERROR(__xludf.DUMMYFUNCTION("""COMPUTED_VALUE"""),"LA")</f>
        <v>LA</v>
      </c>
      <c r="R2374" s="8" t="str">
        <f ca="1">IFERROR(__xludf.DUMMYFUNCTION("""COMPUTED_VALUE"""),"High")</f>
        <v>High</v>
      </c>
      <c r="S2374" s="8" t="str">
        <f ca="1">IFERROR(__xludf.DUMMYFUNCTION("""COMPUTED_VALUE"""),"Beside Building")</f>
        <v>Beside Building</v>
      </c>
      <c r="T2374" s="8" t="str">
        <f ca="1">IFERROR(__xludf.DUMMYFUNCTION("""COMPUTED_VALUE"""),"Outside on School Property")</f>
        <v>Outside on School Property</v>
      </c>
      <c r="U2374" s="8" t="str">
        <f ca="1">IFERROR(__xludf.DUMMYFUNCTION("""COMPUTED_VALUE"""),"No")</f>
        <v>No</v>
      </c>
      <c r="V2374" s="8" t="str">
        <f ca="1">IFERROR(__xludf.DUMMYFUNCTION("""COMPUTED_VALUE"""),"Evening")</f>
        <v>Evening</v>
      </c>
      <c r="W2374" s="11">
        <f ca="1">IFERROR(__xludf.DUMMYFUNCTION("""COMPUTED_VALUE"""),0.90625)</f>
        <v>0.90625</v>
      </c>
      <c r="X2374" s="8">
        <f ca="1">IFERROR(__xludf.DUMMYFUNCTION("""COMPUTED_VALUE"""),1)</f>
        <v>1</v>
      </c>
      <c r="Y2374" s="12" t="str">
        <f ca="1">IFERROR(__xludf.DUMMYFUNCTION("""COMPUTED_VALUE"""),"Armed security guards playing quick draw game, gun went off killing one")</f>
        <v>Armed security guards playing quick draw game, gun went off killing one</v>
      </c>
      <c r="Z2374" s="12" t="str">
        <f ca="1">IFERROR(__xludf.DUMMYFUNCTION("""COMPUTED_VALUE"""),"Two security guards were outside of school dance. They were playing a quick draw game with their guns. One guard pulled his gun and the other karate kicked it out of his hand causing it to fire (struck in the chest and died).")</f>
        <v>Two security guards were outside of school dance. They were playing a quick draw game with their guns. One guard pulled his gun and the other karate kicked it out of his hand causing it to fire (struck in the chest and died).</v>
      </c>
      <c r="AA2374" s="8" t="str">
        <f ca="1">IFERROR(__xludf.DUMMYFUNCTION("""COMPUTED_VALUE"""),"Accidental")</f>
        <v>Accidental</v>
      </c>
      <c r="AB2374" s="8"/>
      <c r="AC2374" s="8"/>
      <c r="AD2374" s="8" t="str">
        <f ca="1">IFERROR(__xludf.DUMMYFUNCTION("""COMPUTED_VALUE"""),"Random Shooting")</f>
        <v>Random Shooting</v>
      </c>
      <c r="AE2374" s="8" t="str">
        <f ca="1">IFERROR(__xludf.DUMMYFUNCTION("""COMPUTED_VALUE"""),"No")</f>
        <v>No</v>
      </c>
      <c r="AF2374" s="8"/>
      <c r="AG2374" s="8" t="str">
        <f ca="1">IFERROR(__xludf.DUMMYFUNCTION("""COMPUTED_VALUE"""),"No")</f>
        <v>No</v>
      </c>
      <c r="AH2374" s="8" t="str">
        <f ca="1">IFERROR(__xludf.DUMMYFUNCTION("""COMPUTED_VALUE"""),"No")</f>
        <v>No</v>
      </c>
      <c r="AI2374" s="8" t="str">
        <f ca="1">IFERROR(__xludf.DUMMYFUNCTION("""COMPUTED_VALUE"""),"No")</f>
        <v>No</v>
      </c>
      <c r="AJ2374" s="8" t="str">
        <f ca="1">IFERROR(__xludf.DUMMYFUNCTION("""COMPUTED_VALUE"""),"No")</f>
        <v>No</v>
      </c>
      <c r="AK2374" s="8" t="str">
        <f ca="1">IFERROR(__xludf.DUMMYFUNCTION("""COMPUTED_VALUE"""),"No")</f>
        <v>No</v>
      </c>
      <c r="AL2374" s="8" t="str">
        <f ca="1">IFERROR(__xludf.DUMMYFUNCTION("""COMPUTED_VALUE"""),"No")</f>
        <v>No</v>
      </c>
      <c r="AM2374" s="8"/>
      <c r="AN2374" s="8"/>
      <c r="AO2374" s="8" t="str">
        <f ca="1">IFERROR(__xludf.DUMMYFUNCTION("""COMPUTED_VALUE"""),"No")</f>
        <v>No</v>
      </c>
      <c r="AP2374" s="8"/>
      <c r="AQ2374" s="8" t="str">
        <f ca="1">IFERROR(__xludf.DUMMYFUNCTION("""COMPUTED_VALUE"""),"Unknown")</f>
        <v>Unknown</v>
      </c>
      <c r="AR2374" s="8" t="str">
        <f ca="1">IFERROR(__xludf.DUMMYFUNCTION("""COMPUTED_VALUE"""),"NA")</f>
        <v>NA</v>
      </c>
      <c r="AS2374" s="8">
        <f ca="1">IFERROR(__xludf.DUMMYFUNCTION("""COMPUTED_VALUE"""),1)</f>
        <v>1</v>
      </c>
      <c r="AT2374" s="8"/>
      <c r="AU2374" s="8">
        <f ca="1">IFERROR(__xludf.DUMMYFUNCTION("""COMPUTED_VALUE"""),30.03024)</f>
        <v>30.030239999999999</v>
      </c>
      <c r="AV2374" s="8">
        <f ca="1">IFERROR(__xludf.DUMMYFUNCTION("""COMPUTED_VALUE"""),-89.972275)</f>
        <v>-89.972274999999996</v>
      </c>
      <c r="AW2374" s="8"/>
      <c r="AX2374" s="8">
        <f ca="1">IFERROR(__xludf.DUMMYFUNCTION("""COMPUTED_VALUE"""),70127)</f>
        <v>70127</v>
      </c>
    </row>
    <row r="2375" spans="1:50" ht="45" x14ac:dyDescent="0.2">
      <c r="A2375" s="8" t="str">
        <f ca="1">IFERROR(__xludf.DUMMYFUNCTION("""COMPUTED_VALUE"""),"20020406MDLEB")</f>
        <v>20020406MDLEB</v>
      </c>
      <c r="B2375" s="8">
        <f ca="1">IFERROR(__xludf.DUMMYFUNCTION("""COMPUTED_VALUE"""),4)</f>
        <v>4</v>
      </c>
      <c r="C2375" s="8">
        <f ca="1">IFERROR(__xludf.DUMMYFUNCTION("""COMPUTED_VALUE"""),6)</f>
        <v>6</v>
      </c>
      <c r="D2375" s="8">
        <f ca="1">IFERROR(__xludf.DUMMYFUNCTION("""COMPUTED_VALUE"""),2002)</f>
        <v>2002</v>
      </c>
      <c r="E2375" s="9">
        <f ca="1">IFERROR(__xludf.DUMMYFUNCTION("""COMPUTED_VALUE"""),37352)</f>
        <v>37352</v>
      </c>
      <c r="F2375" s="8" t="str">
        <f ca="1">IFERROR(__xludf.DUMMYFUNCTION("""COMPUTED_VALUE"""),"Leith Walk Elementary School")</f>
        <v>Leith Walk Elementary School</v>
      </c>
      <c r="G2375" s="8">
        <f ca="1">IFERROR(__xludf.DUMMYFUNCTION("""COMPUTED_VALUE"""),1)</f>
        <v>1</v>
      </c>
      <c r="H2375" s="8">
        <f ca="1">IFERROR(__xludf.DUMMYFUNCTION("""COMPUTED_VALUE"""),0)</f>
        <v>0</v>
      </c>
      <c r="I2375" s="8">
        <f ca="1">IFERROR(__xludf.DUMMYFUNCTION("""COMPUTED_VALUE"""),1)</f>
        <v>1</v>
      </c>
      <c r="J2375" s="8">
        <f ca="1">IFERROR(__xludf.DUMMYFUNCTION("""COMPUTED_VALUE"""),0)</f>
        <v>0</v>
      </c>
      <c r="K2375" s="8" t="str">
        <f ca="1">IFERROR(__xludf.DUMMYFUNCTION("""COMPUTED_VALUE"""),"http://articles.baltimoresun.com/2002-10-23/news/0210230340_1_lynch-samuel-police-officer http://articles.baltimoresun.com/2002-04-10/news/0204100042_1_lynch-samuel-probation-before-judgment")</f>
        <v>http://articles.baltimoresun.com/2002-10-23/news/0210230340_1_lynch-samuel-police-officer http://articles.baltimoresun.com/2002-04-10/news/0204100042_1_lynch-samuel-probation-before-judgment</v>
      </c>
      <c r="L2375" s="8"/>
      <c r="M2375" s="8"/>
      <c r="N2375" s="8">
        <f ca="1">IFERROR(__xludf.DUMMYFUNCTION("""COMPUTED_VALUE"""),4)</f>
        <v>4</v>
      </c>
      <c r="O2375" s="8" t="str">
        <f ca="1">IFERROR(__xludf.DUMMYFUNCTION("""COMPUTED_VALUE"""),"Spring")</f>
        <v>Spring</v>
      </c>
      <c r="P2375" s="8" t="str">
        <f ca="1">IFERROR(__xludf.DUMMYFUNCTION("""COMPUTED_VALUE"""),"Baltimore")</f>
        <v>Baltimore</v>
      </c>
      <c r="Q2375" s="8" t="str">
        <f ca="1">IFERROR(__xludf.DUMMYFUNCTION("""COMPUTED_VALUE"""),"MD")</f>
        <v>MD</v>
      </c>
      <c r="R2375" s="8" t="str">
        <f ca="1">IFERROR(__xludf.DUMMYFUNCTION("""COMPUTED_VALUE"""),"Elementary")</f>
        <v>Elementary</v>
      </c>
      <c r="S2375" s="8" t="str">
        <f ca="1">IFERROR(__xludf.DUMMYFUNCTION("""COMPUTED_VALUE"""),"Playground")</f>
        <v>Playground</v>
      </c>
      <c r="T2375" s="8" t="str">
        <f ca="1">IFERROR(__xludf.DUMMYFUNCTION("""COMPUTED_VALUE"""),"Outside on School Property")</f>
        <v>Outside on School Property</v>
      </c>
      <c r="U2375" s="8" t="str">
        <f ca="1">IFERROR(__xludf.DUMMYFUNCTION("""COMPUTED_VALUE"""),"No")</f>
        <v>No</v>
      </c>
      <c r="V2375" s="8" t="str">
        <f ca="1">IFERROR(__xludf.DUMMYFUNCTION("""COMPUTED_VALUE"""),"Night")</f>
        <v>Night</v>
      </c>
      <c r="W2375" s="11">
        <f ca="1">IFERROR(__xludf.DUMMYFUNCTION("""COMPUTED_VALUE"""),0.0416666666666666)</f>
        <v>4.1666666666666602E-2</v>
      </c>
      <c r="X2375" s="8">
        <f ca="1">IFERROR(__xludf.DUMMYFUNCTION("""COMPUTED_VALUE"""),1)</f>
        <v>1</v>
      </c>
      <c r="Y2375" s="12" t="str">
        <f ca="1">IFERROR(__xludf.DUMMYFUNCTION("""COMPUTED_VALUE"""),"Officer shot teen behind the school")</f>
        <v>Officer shot teen behind the school</v>
      </c>
      <c r="Z2375" s="12" t="str">
        <f ca="1">IFERROR(__xludf.DUMMYFUNCTION("""COMPUTED_VALUE"""),"Officer approached two teens behind the school late at night. During a struggle, 14YOM was fatally shot in the head, second teen fled the area.")</f>
        <v>Officer approached two teens behind the school late at night. During a struggle, 14YOM was fatally shot in the head, second teen fled the area.</v>
      </c>
      <c r="AA2375" s="8" t="str">
        <f ca="1">IFERROR(__xludf.DUMMYFUNCTION("""COMPUTED_VALUE"""),"Illegal Activity")</f>
        <v>Illegal Activity</v>
      </c>
      <c r="AB2375" s="8"/>
      <c r="AC2375" s="8"/>
      <c r="AD2375" s="8"/>
      <c r="AE2375" s="8" t="str">
        <f ca="1">IFERROR(__xludf.DUMMYFUNCTION("""COMPUTED_VALUE"""),"No")</f>
        <v>No</v>
      </c>
      <c r="AF2375" s="8"/>
      <c r="AG2375" s="8" t="str">
        <f ca="1">IFERROR(__xludf.DUMMYFUNCTION("""COMPUTED_VALUE"""),"No")</f>
        <v>No</v>
      </c>
      <c r="AH2375" s="8" t="str">
        <f ca="1">IFERROR(__xludf.DUMMYFUNCTION("""COMPUTED_VALUE"""),"No")</f>
        <v>No</v>
      </c>
      <c r="AI2375" s="8" t="str">
        <f ca="1">IFERROR(__xludf.DUMMYFUNCTION("""COMPUTED_VALUE"""),"Yes")</f>
        <v>Yes</v>
      </c>
      <c r="AJ2375" s="8" t="str">
        <f ca="1">IFERROR(__xludf.DUMMYFUNCTION("""COMPUTED_VALUE"""),"N/A")</f>
        <v>N/A</v>
      </c>
      <c r="AK2375" s="8" t="str">
        <f ca="1">IFERROR(__xludf.DUMMYFUNCTION("""COMPUTED_VALUE"""),"N/A")</f>
        <v>N/A</v>
      </c>
      <c r="AL2375" s="8" t="str">
        <f ca="1">IFERROR(__xludf.DUMMYFUNCTION("""COMPUTED_VALUE"""),"N/A")</f>
        <v>N/A</v>
      </c>
      <c r="AM2375" s="8" t="str">
        <f ca="1">IFERROR(__xludf.DUMMYFUNCTION("""COMPUTED_VALUE"""),"N/A")</f>
        <v>N/A</v>
      </c>
      <c r="AN2375" s="8"/>
      <c r="AO2375" s="8" t="str">
        <f ca="1">IFERROR(__xludf.DUMMYFUNCTION("""COMPUTED_VALUE"""),"N/A")</f>
        <v>N/A</v>
      </c>
      <c r="AP2375" s="8"/>
      <c r="AQ2375" s="8" t="str">
        <f ca="1">IFERROR(__xludf.DUMMYFUNCTION("""COMPUTED_VALUE"""),"Unknown")</f>
        <v>Unknown</v>
      </c>
      <c r="AR2375" s="8" t="str">
        <f ca="1">IFERROR(__xludf.DUMMYFUNCTION("""COMPUTED_VALUE"""),"NA")</f>
        <v>NA</v>
      </c>
      <c r="AS2375" s="8" t="str">
        <f ca="1">IFERROR(__xludf.DUMMYFUNCTION("""COMPUTED_VALUE"""),"&lt;5")</f>
        <v>&lt;5</v>
      </c>
      <c r="AT2375" s="8"/>
      <c r="AU2375" s="8">
        <f ca="1">IFERROR(__xludf.DUMMYFUNCTION("""COMPUTED_VALUE"""),39.365087)</f>
        <v>39.365087000000003</v>
      </c>
      <c r="AV2375" s="8">
        <f ca="1">IFERROR(__xludf.DUMMYFUNCTION("""COMPUTED_VALUE"""),-76.591088)</f>
        <v>-76.591087999999999</v>
      </c>
      <c r="AW2375" s="8"/>
      <c r="AX2375" s="8">
        <f ca="1">IFERROR(__xludf.DUMMYFUNCTION("""COMPUTED_VALUE"""),21239)</f>
        <v>21239</v>
      </c>
    </row>
    <row r="2376" spans="1:50" ht="120" x14ac:dyDescent="0.2">
      <c r="A2376" s="8" t="str">
        <f ca="1">IFERROR(__xludf.DUMMYFUNCTION("""COMPUTED_VALUE"""),"20020322CAJOC")</f>
        <v>20020322CAJOC</v>
      </c>
      <c r="B2376" s="8">
        <f ca="1">IFERROR(__xludf.DUMMYFUNCTION("""COMPUTED_VALUE"""),3)</f>
        <v>3</v>
      </c>
      <c r="C2376" s="8">
        <f ca="1">IFERROR(__xludf.DUMMYFUNCTION("""COMPUTED_VALUE"""),22)</f>
        <v>22</v>
      </c>
      <c r="D2376" s="8">
        <f ca="1">IFERROR(__xludf.DUMMYFUNCTION("""COMPUTED_VALUE"""),2002)</f>
        <v>2002</v>
      </c>
      <c r="E2376" s="9">
        <f ca="1">IFERROR(__xludf.DUMMYFUNCTION("""COMPUTED_VALUE"""),37337)</f>
        <v>37337</v>
      </c>
      <c r="F2376" s="8" t="str">
        <f ca="1">IFERROR(__xludf.DUMMYFUNCTION("""COMPUTED_VALUE"""),"John Barrett Middle School")</f>
        <v>John Barrett Middle School</v>
      </c>
      <c r="G2376" s="8">
        <f ca="1">IFERROR(__xludf.DUMMYFUNCTION("""COMPUTED_VALUE"""),0)</f>
        <v>0</v>
      </c>
      <c r="H2376" s="8">
        <f ca="1">IFERROR(__xludf.DUMMYFUNCTION("""COMPUTED_VALUE"""),0)</f>
        <v>0</v>
      </c>
      <c r="I2376" s="8">
        <f ca="1">IFERROR(__xludf.DUMMYFUNCTION("""COMPUTED_VALUE"""),0)</f>
        <v>0</v>
      </c>
      <c r="J2376" s="8">
        <f ca="1">IFERROR(__xludf.DUMMYFUNCTION("""COMPUTED_VALUE"""),0)</f>
        <v>0</v>
      </c>
      <c r="K2376" s="10" t="str">
        <f ca="1">IFERROR(__xludf.DUMMYFUNCTION("""COMPUTED_VALUE"""),"https://www.newspapers.com/image/4986183/")</f>
        <v>https://www.newspapers.com/image/4986183/</v>
      </c>
      <c r="L2376" s="8"/>
      <c r="M2376" s="8"/>
      <c r="N2376" s="8">
        <f ca="1">IFERROR(__xludf.DUMMYFUNCTION("""COMPUTED_VALUE"""),2)</f>
        <v>2</v>
      </c>
      <c r="O2376" s="8" t="str">
        <f ca="1">IFERROR(__xludf.DUMMYFUNCTION("""COMPUTED_VALUE"""),"Spring")</f>
        <v>Spring</v>
      </c>
      <c r="P2376" s="8" t="str">
        <f ca="1">IFERROR(__xludf.DUMMYFUNCTION("""COMPUTED_VALUE"""),"Carmichael")</f>
        <v>Carmichael</v>
      </c>
      <c r="Q2376" s="8" t="str">
        <f ca="1">IFERROR(__xludf.DUMMYFUNCTION("""COMPUTED_VALUE"""),"CA")</f>
        <v>CA</v>
      </c>
      <c r="R2376" s="8" t="str">
        <f ca="1">IFERROR(__xludf.DUMMYFUNCTION("""COMPUTED_VALUE"""),"Middle")</f>
        <v>Middle</v>
      </c>
      <c r="S2376" s="8" t="str">
        <f ca="1">IFERROR(__xludf.DUMMYFUNCTION("""COMPUTED_VALUE"""),"Classroom")</f>
        <v>Classroom</v>
      </c>
      <c r="T2376" s="8" t="str">
        <f ca="1">IFERROR(__xludf.DUMMYFUNCTION("""COMPUTED_VALUE"""),"Inside School Building")</f>
        <v>Inside School Building</v>
      </c>
      <c r="U2376" s="8" t="str">
        <f ca="1">IFERROR(__xludf.DUMMYFUNCTION("""COMPUTED_VALUE"""),"Yes")</f>
        <v>Yes</v>
      </c>
      <c r="V2376" s="8" t="str">
        <f ca="1">IFERROR(__xludf.DUMMYFUNCTION("""COMPUTED_VALUE"""),"Morning Classes")</f>
        <v>Morning Classes</v>
      </c>
      <c r="W2376" s="8"/>
      <c r="X2376" s="8"/>
      <c r="Y2376" s="12" t="str">
        <f ca="1">IFERROR(__xludf.DUMMYFUNCTION("""COMPUTED_VALUE"""),"Student had list of 8 teachers to kill and 50 rounds of ammo, surrendered to police officer")</f>
        <v>Student had list of 8 teachers to kill and 50 rounds of ammo, surrendered to police officer</v>
      </c>
      <c r="Z2376" s="12" t="str">
        <f ca="1">IFERROR(__xludf.DUMMYFUNCTION("""COMPUTED_VALUE"""),"13YOM student walked into classroom with 35 students present and pointed gun at the teacher. She fled into the hallway and went to get help. The shooter surrendered a short time later to a police officer. Shooter had a list of 8 teacher's names and 50 rou"&amp;"nds of ammo. Shooter had no prior problems or documented issues at the school. It was reported that the student had issues at prior school he attended. No shots fired.")</f>
        <v>13YOM student walked into classroom with 35 students present and pointed gun at the teacher. She fled into the hallway and went to get help. The shooter surrendered a short time later to a police officer. Shooter had a list of 8 teacher's names and 50 rounds of ammo. Shooter had no prior problems or documented issues at the school. It was reported that the student had issues at prior school he attended. No shots fired.</v>
      </c>
      <c r="AA2376" s="8" t="str">
        <f ca="1">IFERROR(__xludf.DUMMYFUNCTION("""COMPUTED_VALUE"""),"Hostage/Standoff")</f>
        <v>Hostage/Standoff</v>
      </c>
      <c r="AB2376" s="8"/>
      <c r="AC2376" s="8" t="str">
        <f ca="1">IFERROR(__xludf.DUMMYFUNCTION("""COMPUTED_VALUE"""),"Yes")</f>
        <v>Yes</v>
      </c>
      <c r="AD2376" s="8" t="str">
        <f ca="1">IFERROR(__xludf.DUMMYFUNCTION("""COMPUTED_VALUE"""),"Victims Targeted")</f>
        <v>Victims Targeted</v>
      </c>
      <c r="AE2376" s="8" t="str">
        <f ca="1">IFERROR(__xludf.DUMMYFUNCTION("""COMPUTED_VALUE"""),"No")</f>
        <v>No</v>
      </c>
      <c r="AF2376" s="8"/>
      <c r="AG2376" s="8" t="str">
        <f ca="1">IFERROR(__xludf.DUMMYFUNCTION("""COMPUTED_VALUE"""),"Yes")</f>
        <v>Yes</v>
      </c>
      <c r="AH2376" s="8" t="str">
        <f ca="1">IFERROR(__xludf.DUMMYFUNCTION("""COMPUTED_VALUE"""),"No")</f>
        <v>No</v>
      </c>
      <c r="AI2376" s="8" t="str">
        <f ca="1">IFERROR(__xludf.DUMMYFUNCTION("""COMPUTED_VALUE"""),"No")</f>
        <v>No</v>
      </c>
      <c r="AJ2376" s="8" t="str">
        <f ca="1">IFERROR(__xludf.DUMMYFUNCTION("""COMPUTED_VALUE"""),"No")</f>
        <v>No</v>
      </c>
      <c r="AK2376" s="8" t="str">
        <f ca="1">IFERROR(__xludf.DUMMYFUNCTION("""COMPUTED_VALUE"""),"No")</f>
        <v>No</v>
      </c>
      <c r="AL2376" s="8" t="str">
        <f ca="1">IFERROR(__xludf.DUMMYFUNCTION("""COMPUTED_VALUE"""),"No")</f>
        <v>No</v>
      </c>
      <c r="AM2376" s="8" t="str">
        <f ca="1">IFERROR(__xludf.DUMMYFUNCTION("""COMPUTED_VALUE"""),"Yes")</f>
        <v>Yes</v>
      </c>
      <c r="AN2376" s="8" t="str">
        <f ca="1">IFERROR(__xludf.DUMMYFUNCTION("""COMPUTED_VALUE"""),"Single Room")</f>
        <v>Single Room</v>
      </c>
      <c r="AO2376" s="8" t="str">
        <f ca="1">IFERROR(__xludf.DUMMYFUNCTION("""COMPUTED_VALUE"""),"Yes")</f>
        <v>Yes</v>
      </c>
      <c r="AP2376" s="8"/>
      <c r="AQ2376" s="8" t="str">
        <f ca="1">IFERROR(__xludf.DUMMYFUNCTION("""COMPUTED_VALUE"""),"Unknown")</f>
        <v>Unknown</v>
      </c>
      <c r="AR2376" s="8" t="str">
        <f ca="1">IFERROR(__xludf.DUMMYFUNCTION("""COMPUTED_VALUE"""),"NA")</f>
        <v>NA</v>
      </c>
      <c r="AS2376" s="8">
        <f ca="1">IFERROR(__xludf.DUMMYFUNCTION("""COMPUTED_VALUE"""),0)</f>
        <v>0</v>
      </c>
      <c r="AT2376" s="8"/>
      <c r="AU2376" s="8">
        <f ca="1">IFERROR(__xludf.DUMMYFUNCTION("""COMPUTED_VALUE"""),38.642572)</f>
        <v>38.642572000000001</v>
      </c>
      <c r="AV2376" s="8">
        <f ca="1">IFERROR(__xludf.DUMMYFUNCTION("""COMPUTED_VALUE"""),-121.313709)</f>
        <v>-121.313709</v>
      </c>
      <c r="AW2376" s="8"/>
      <c r="AX2376" s="8">
        <f ca="1">IFERROR(__xludf.DUMMYFUNCTION("""COMPUTED_VALUE"""),95608)</f>
        <v>95608</v>
      </c>
    </row>
    <row r="2377" spans="1:50" ht="60" x14ac:dyDescent="0.2">
      <c r="A2377" s="8" t="str">
        <f ca="1">IFERROR(__xludf.DUMMYFUNCTION("""COMPUTED_VALUE"""),"20020207ILROC")</f>
        <v>20020207ILROC</v>
      </c>
      <c r="B2377" s="8">
        <f ca="1">IFERROR(__xludf.DUMMYFUNCTION("""COMPUTED_VALUE"""),2)</f>
        <v>2</v>
      </c>
      <c r="C2377" s="8">
        <f ca="1">IFERROR(__xludf.DUMMYFUNCTION("""COMPUTED_VALUE"""),7)</f>
        <v>7</v>
      </c>
      <c r="D2377" s="8">
        <f ca="1">IFERROR(__xludf.DUMMYFUNCTION("""COMPUTED_VALUE"""),2002)</f>
        <v>2002</v>
      </c>
      <c r="E2377" s="9">
        <f ca="1">IFERROR(__xludf.DUMMYFUNCTION("""COMPUTED_VALUE"""),37294)</f>
        <v>37294</v>
      </c>
      <c r="F2377" s="8" t="str">
        <f ca="1">IFERROR(__xludf.DUMMYFUNCTION("""COMPUTED_VALUE"""),"Roosevelt High School")</f>
        <v>Roosevelt High School</v>
      </c>
      <c r="G2377" s="8">
        <f ca="1">IFERROR(__xludf.DUMMYFUNCTION("""COMPUTED_VALUE"""),0)</f>
        <v>0</v>
      </c>
      <c r="H2377" s="8">
        <f ca="1">IFERROR(__xludf.DUMMYFUNCTION("""COMPUTED_VALUE"""),3)</f>
        <v>3</v>
      </c>
      <c r="I2377" s="8">
        <f ca="1">IFERROR(__xludf.DUMMYFUNCTION("""COMPUTED_VALUE"""),3)</f>
        <v>3</v>
      </c>
      <c r="J2377" s="8">
        <f ca="1">IFERROR(__xludf.DUMMYFUNCTION("""COMPUTED_VALUE"""),0)</f>
        <v>0</v>
      </c>
      <c r="K2377" s="10" t="str">
        <f ca="1">IFERROR(__xludf.DUMMYFUNCTION("""COMPUTED_VALUE"""),"https://www.newspapers.com/image/390065452/?terms=Roosevelt%2BHigh%2BSchool%2Bshooting%2BJose%2BVela")</f>
        <v>https://www.newspapers.com/image/390065452/?terms=Roosevelt%2BHigh%2BSchool%2Bshooting%2BJose%2BVela</v>
      </c>
      <c r="L2377" s="8"/>
      <c r="M2377" s="8"/>
      <c r="N2377" s="8">
        <f ca="1">IFERROR(__xludf.DUMMYFUNCTION("""COMPUTED_VALUE"""),2)</f>
        <v>2</v>
      </c>
      <c r="O2377" s="8" t="str">
        <f ca="1">IFERROR(__xludf.DUMMYFUNCTION("""COMPUTED_VALUE"""),"Winter")</f>
        <v>Winter</v>
      </c>
      <c r="P2377" s="8" t="str">
        <f ca="1">IFERROR(__xludf.DUMMYFUNCTION("""COMPUTED_VALUE"""),"Chicago")</f>
        <v>Chicago</v>
      </c>
      <c r="Q2377" s="8" t="str">
        <f ca="1">IFERROR(__xludf.DUMMYFUNCTION("""COMPUTED_VALUE"""),"IL")</f>
        <v>IL</v>
      </c>
      <c r="R2377" s="8" t="str">
        <f ca="1">IFERROR(__xludf.DUMMYFUNCTION("""COMPUTED_VALUE"""),"High")</f>
        <v>High</v>
      </c>
      <c r="S2377" s="8" t="str">
        <f ca="1">IFERROR(__xludf.DUMMYFUNCTION("""COMPUTED_VALUE"""),"Beside Building")</f>
        <v>Beside Building</v>
      </c>
      <c r="T2377" s="8" t="str">
        <f ca="1">IFERROR(__xludf.DUMMYFUNCTION("""COMPUTED_VALUE"""),"Outside on School Property")</f>
        <v>Outside on School Property</v>
      </c>
      <c r="U2377" s="8" t="str">
        <f ca="1">IFERROR(__xludf.DUMMYFUNCTION("""COMPUTED_VALUE"""),"Yes")</f>
        <v>Yes</v>
      </c>
      <c r="V2377" s="8" t="str">
        <f ca="1">IFERROR(__xludf.DUMMYFUNCTION("""COMPUTED_VALUE"""),"Dismissal")</f>
        <v>Dismissal</v>
      </c>
      <c r="W2377" s="11">
        <f ca="1">IFERROR(__xludf.DUMMYFUNCTION("""COMPUTED_VALUE"""),0.618055555555555)</f>
        <v>0.61805555555555503</v>
      </c>
      <c r="X2377" s="8">
        <f ca="1">IFERROR(__xludf.DUMMYFUNCTION("""COMPUTED_VALUE"""),1)</f>
        <v>1</v>
      </c>
      <c r="Y2377" s="12" t="str">
        <f ca="1">IFERROR(__xludf.DUMMYFUNCTION("""COMPUTED_VALUE"""),"Fired during a fist fight striking 2 students who were not involved")</f>
        <v>Fired during a fist fight striking 2 students who were not involved</v>
      </c>
      <c r="Z2377" s="12" t="str">
        <f ca="1">IFERROR(__xludf.DUMMYFUNCTION("""COMPUTED_VALUE"""),"15YOM started firing during a fist fight outside of the school. A 21 YOM was also charged in connection with the fight. 2 uninvolved students were struck in the crossfire.")</f>
        <v>15YOM started firing during a fist fight outside of the school. A 21 YOM was also charged in connection with the fight. 2 uninvolved students were struck in the crossfire.</v>
      </c>
      <c r="AA2377" s="8" t="str">
        <f ca="1">IFERROR(__xludf.DUMMYFUNCTION("""COMPUTED_VALUE"""),"Escalation of Dispute")</f>
        <v>Escalation of Dispute</v>
      </c>
      <c r="AB2377" s="8"/>
      <c r="AC2377" s="8"/>
      <c r="AD2377" s="8" t="str">
        <f ca="1">IFERROR(__xludf.DUMMYFUNCTION("""COMPUTED_VALUE"""),"Both")</f>
        <v>Both</v>
      </c>
      <c r="AE2377" s="8" t="str">
        <f ca="1">IFERROR(__xludf.DUMMYFUNCTION("""COMPUTED_VALUE"""),"Yes")</f>
        <v>Yes</v>
      </c>
      <c r="AF2377" s="8" t="str">
        <f ca="1">IFERROR(__xludf.DUMMYFUNCTION("""COMPUTED_VALUE"""),"21YOM who initiated fight charged with battery with a firearm")</f>
        <v>21YOM who initiated fight charged with battery with a firearm</v>
      </c>
      <c r="AG2377" s="8" t="str">
        <f ca="1">IFERROR(__xludf.DUMMYFUNCTION("""COMPUTED_VALUE"""),"No")</f>
        <v>No</v>
      </c>
      <c r="AH2377" s="8" t="str">
        <f ca="1">IFERROR(__xludf.DUMMYFUNCTION("""COMPUTED_VALUE"""),"No")</f>
        <v>No</v>
      </c>
      <c r="AI2377" s="8" t="str">
        <f ca="1">IFERROR(__xludf.DUMMYFUNCTION("""COMPUTED_VALUE"""),"No")</f>
        <v>No</v>
      </c>
      <c r="AJ2377" s="8" t="str">
        <f ca="1">IFERROR(__xludf.DUMMYFUNCTION("""COMPUTED_VALUE"""),"No")</f>
        <v>No</v>
      </c>
      <c r="AK2377" s="8" t="str">
        <f ca="1">IFERROR(__xludf.DUMMYFUNCTION("""COMPUTED_VALUE"""),"No")</f>
        <v>No</v>
      </c>
      <c r="AL2377" s="8" t="str">
        <f ca="1">IFERROR(__xludf.DUMMYFUNCTION("""COMPUTED_VALUE"""),"No")</f>
        <v>No</v>
      </c>
      <c r="AM2377" s="8"/>
      <c r="AN2377" s="8"/>
      <c r="AO2377" s="8" t="str">
        <f ca="1">IFERROR(__xludf.DUMMYFUNCTION("""COMPUTED_VALUE"""),"No")</f>
        <v>No</v>
      </c>
      <c r="AP2377" s="8"/>
      <c r="AQ2377" s="8" t="str">
        <f ca="1">IFERROR(__xludf.DUMMYFUNCTION("""COMPUTED_VALUE"""),"Unknown")</f>
        <v>Unknown</v>
      </c>
      <c r="AR2377" s="8" t="str">
        <f ca="1">IFERROR(__xludf.DUMMYFUNCTION("""COMPUTED_VALUE"""),"NA")</f>
        <v>NA</v>
      </c>
      <c r="AS2377" s="8" t="str">
        <f ca="1">IFERROR(__xludf.DUMMYFUNCTION("""COMPUTED_VALUE"""),"&lt;10")</f>
        <v>&lt;10</v>
      </c>
      <c r="AT2377" s="8"/>
      <c r="AU2377" s="8">
        <f ca="1">IFERROR(__xludf.DUMMYFUNCTION("""COMPUTED_VALUE"""),41.965674)</f>
        <v>41.965674</v>
      </c>
      <c r="AV2377" s="8">
        <f ca="1">IFERROR(__xludf.DUMMYFUNCTION("""COMPUTED_VALUE"""),-87.714747)</f>
        <v>-87.714747000000003</v>
      </c>
      <c r="AW2377" s="8"/>
      <c r="AX2377" s="8">
        <f ca="1">IFERROR(__xludf.DUMMYFUNCTION("""COMPUTED_VALUE"""),60625)</f>
        <v>60625</v>
      </c>
    </row>
    <row r="2378" spans="1:50" ht="90" x14ac:dyDescent="0.2">
      <c r="A2378" s="8" t="str">
        <f ca="1">IFERROR(__xludf.DUMMYFUNCTION("""COMPUTED_VALUE"""),"20020206CAGAL")</f>
        <v>20020206CAGAL</v>
      </c>
      <c r="B2378" s="8">
        <f ca="1">IFERROR(__xludf.DUMMYFUNCTION("""COMPUTED_VALUE"""),2)</f>
        <v>2</v>
      </c>
      <c r="C2378" s="8">
        <f ca="1">IFERROR(__xludf.DUMMYFUNCTION("""COMPUTED_VALUE"""),6)</f>
        <v>6</v>
      </c>
      <c r="D2378" s="8">
        <f ca="1">IFERROR(__xludf.DUMMYFUNCTION("""COMPUTED_VALUE"""),2002)</f>
        <v>2002</v>
      </c>
      <c r="E2378" s="9">
        <f ca="1">IFERROR(__xludf.DUMMYFUNCTION("""COMPUTED_VALUE"""),37293)</f>
        <v>37293</v>
      </c>
      <c r="F2378" s="8" t="str">
        <f ca="1">IFERROR(__xludf.DUMMYFUNCTION("""COMPUTED_VALUE"""),"Gardena High School")</f>
        <v>Gardena High School</v>
      </c>
      <c r="G2378" s="8">
        <f ca="1">IFERROR(__xludf.DUMMYFUNCTION("""COMPUTED_VALUE"""),0)</f>
        <v>0</v>
      </c>
      <c r="H2378" s="8">
        <f ca="1">IFERROR(__xludf.DUMMYFUNCTION("""COMPUTED_VALUE"""),2)</f>
        <v>2</v>
      </c>
      <c r="I2378" s="8">
        <f ca="1">IFERROR(__xludf.DUMMYFUNCTION("""COMPUTED_VALUE"""),2)</f>
        <v>2</v>
      </c>
      <c r="J2378" s="8">
        <f ca="1">IFERROR(__xludf.DUMMYFUNCTION("""COMPUTED_VALUE"""),0)</f>
        <v>0</v>
      </c>
      <c r="K2378" s="10" t="str">
        <f ca="1">IFERROR(__xludf.DUMMYFUNCTION("""COMPUTED_VALUE"""),"http://articles.latimes.com/2002/feb/07/local/me-shot7")</f>
        <v>http://articles.latimes.com/2002/feb/07/local/me-shot7</v>
      </c>
      <c r="L2378" s="8"/>
      <c r="M2378" s="8"/>
      <c r="N2378" s="8">
        <f ca="1">IFERROR(__xludf.DUMMYFUNCTION("""COMPUTED_VALUE"""),2)</f>
        <v>2</v>
      </c>
      <c r="O2378" s="8" t="str">
        <f ca="1">IFERROR(__xludf.DUMMYFUNCTION("""COMPUTED_VALUE"""),"Winter")</f>
        <v>Winter</v>
      </c>
      <c r="P2378" s="8" t="str">
        <f ca="1">IFERROR(__xludf.DUMMYFUNCTION("""COMPUTED_VALUE"""),"Los Angeles")</f>
        <v>Los Angeles</v>
      </c>
      <c r="Q2378" s="8" t="str">
        <f ca="1">IFERROR(__xludf.DUMMYFUNCTION("""COMPUTED_VALUE"""),"CA")</f>
        <v>CA</v>
      </c>
      <c r="R2378" s="8" t="str">
        <f ca="1">IFERROR(__xludf.DUMMYFUNCTION("""COMPUTED_VALUE"""),"High")</f>
        <v>High</v>
      </c>
      <c r="S2378" s="8" t="str">
        <f ca="1">IFERROR(__xludf.DUMMYFUNCTION("""COMPUTED_VALUE"""),"Bathroom")</f>
        <v>Bathroom</v>
      </c>
      <c r="T2378" s="8" t="str">
        <f ca="1">IFERROR(__xludf.DUMMYFUNCTION("""COMPUTED_VALUE"""),"Inside School Building")</f>
        <v>Inside School Building</v>
      </c>
      <c r="U2378" s="8" t="str">
        <f ca="1">IFERROR(__xludf.DUMMYFUNCTION("""COMPUTED_VALUE"""),"Yes")</f>
        <v>Yes</v>
      </c>
      <c r="V2378" s="8" t="str">
        <f ca="1">IFERROR(__xludf.DUMMYFUNCTION("""COMPUTED_VALUE"""),"Afternoon Classes")</f>
        <v>Afternoon Classes</v>
      </c>
      <c r="W2378" s="11">
        <f ca="1">IFERROR(__xludf.DUMMYFUNCTION("""COMPUTED_VALUE"""),0.618055555555555)</f>
        <v>0.61805555555555503</v>
      </c>
      <c r="X2378" s="8">
        <f ca="1">IFERROR(__xludf.DUMMYFUNCTION("""COMPUTED_VALUE"""),1)</f>
        <v>1</v>
      </c>
      <c r="Y2378" s="12" t="str">
        <f ca="1">IFERROR(__xludf.DUMMYFUNCTION("""COMPUTED_VALUE"""),"Botched robbery in school hallway")</f>
        <v>Botched robbery in school hallway</v>
      </c>
      <c r="Z2378" s="12" t="str">
        <f ca="1">IFERROR(__xludf.DUMMYFUNCTION("""COMPUTED_VALUE"""),"Three teenagers attempted to rob 2 students near the bathroom in the school hallway. When the male student refused to give his money, one of the three teens pulled a gun and fired multiple shot hitting both of them. The three suspects fled and were not id"&amp;"entified. The school was locked down.")</f>
        <v>Three teenagers attempted to rob 2 students near the bathroom in the school hallway. When the male student refused to give his money, one of the three teens pulled a gun and fired multiple shot hitting both of them. The three suspects fled and were not identified. The school was locked down.</v>
      </c>
      <c r="AA2378" s="8" t="str">
        <f ca="1">IFERROR(__xludf.DUMMYFUNCTION("""COMPUTED_VALUE"""),"Illegal Activity")</f>
        <v>Illegal Activity</v>
      </c>
      <c r="AB2378" s="8"/>
      <c r="AC2378" s="8"/>
      <c r="AD2378" s="8" t="str">
        <f ca="1">IFERROR(__xludf.DUMMYFUNCTION("""COMPUTED_VALUE"""),"Victims Targeted")</f>
        <v>Victims Targeted</v>
      </c>
      <c r="AE2378" s="8" t="str">
        <f ca="1">IFERROR(__xludf.DUMMYFUNCTION("""COMPUTED_VALUE"""),"Yes")</f>
        <v>Yes</v>
      </c>
      <c r="AF2378" s="8" t="str">
        <f ca="1">IFERROR(__xludf.DUMMYFUNCTION("""COMPUTED_VALUE"""),"2 other teens with shooter involved in robbery")</f>
        <v>2 other teens with shooter involved in robbery</v>
      </c>
      <c r="AG2378" s="8" t="str">
        <f ca="1">IFERROR(__xludf.DUMMYFUNCTION("""COMPUTED_VALUE"""),"No")</f>
        <v>No</v>
      </c>
      <c r="AH2378" s="8" t="str">
        <f ca="1">IFERROR(__xludf.DUMMYFUNCTION("""COMPUTED_VALUE"""),"No")</f>
        <v>No</v>
      </c>
      <c r="AI2378" s="8" t="str">
        <f ca="1">IFERROR(__xludf.DUMMYFUNCTION("""COMPUTED_VALUE"""),"No")</f>
        <v>No</v>
      </c>
      <c r="AJ2378" s="8" t="str">
        <f ca="1">IFERROR(__xludf.DUMMYFUNCTION("""COMPUTED_VALUE"""),"No")</f>
        <v>No</v>
      </c>
      <c r="AK2378" s="8" t="str">
        <f ca="1">IFERROR(__xludf.DUMMYFUNCTION("""COMPUTED_VALUE"""),"No")</f>
        <v>No</v>
      </c>
      <c r="AL2378" s="8" t="str">
        <f ca="1">IFERROR(__xludf.DUMMYFUNCTION("""COMPUTED_VALUE"""),"No")</f>
        <v>No</v>
      </c>
      <c r="AM2378" s="8"/>
      <c r="AN2378" s="8"/>
      <c r="AO2378" s="8" t="str">
        <f ca="1">IFERROR(__xludf.DUMMYFUNCTION("""COMPUTED_VALUE"""),"No")</f>
        <v>No</v>
      </c>
      <c r="AP2378" s="8" t="str">
        <f ca="1">IFERROR(__xludf.DUMMYFUNCTION("""COMPUTED_VALUE"""),"No")</f>
        <v>No</v>
      </c>
      <c r="AQ2378" s="8" t="str">
        <f ca="1">IFERROR(__xludf.DUMMYFUNCTION("""COMPUTED_VALUE"""),"Unknown")</f>
        <v>Unknown</v>
      </c>
      <c r="AR2378" s="8" t="str">
        <f ca="1">IFERROR(__xludf.DUMMYFUNCTION("""COMPUTED_VALUE"""),"NA")</f>
        <v>NA</v>
      </c>
      <c r="AS2378" s="8" t="str">
        <f ca="1">IFERROR(__xludf.DUMMYFUNCTION("""COMPUTED_VALUE"""),"&lt;10")</f>
        <v>&lt;10</v>
      </c>
      <c r="AT2378" s="8"/>
      <c r="AU2378" s="8">
        <f ca="1">IFERROR(__xludf.DUMMYFUNCTION("""COMPUTED_VALUE"""),33.866795)</f>
        <v>33.866795000000003</v>
      </c>
      <c r="AV2378" s="8">
        <f ca="1">IFERROR(__xludf.DUMMYFUNCTION("""COMPUTED_VALUE"""),-118.296871)</f>
        <v>-118.296871</v>
      </c>
      <c r="AW2378" s="8"/>
      <c r="AX2378" s="8">
        <f ca="1">IFERROR(__xludf.DUMMYFUNCTION("""COMPUTED_VALUE"""),90248)</f>
        <v>90248</v>
      </c>
    </row>
    <row r="2379" spans="1:50" ht="75" x14ac:dyDescent="0.2">
      <c r="A2379" s="8" t="str">
        <f ca="1">IFERROR(__xludf.DUMMYFUNCTION("""COMPUTED_VALUE"""),"20020201TXBRB")</f>
        <v>20020201TXBRB</v>
      </c>
      <c r="B2379" s="8">
        <f ca="1">IFERROR(__xludf.DUMMYFUNCTION("""COMPUTED_VALUE"""),2)</f>
        <v>2</v>
      </c>
      <c r="C2379" s="8">
        <f ca="1">IFERROR(__xludf.DUMMYFUNCTION("""COMPUTED_VALUE"""),1)</f>
        <v>1</v>
      </c>
      <c r="D2379" s="8">
        <f ca="1">IFERROR(__xludf.DUMMYFUNCTION("""COMPUTED_VALUE"""),2002)</f>
        <v>2002</v>
      </c>
      <c r="E2379" s="9">
        <f ca="1">IFERROR(__xludf.DUMMYFUNCTION("""COMPUTED_VALUE"""),37288)</f>
        <v>37288</v>
      </c>
      <c r="F2379" s="8" t="str">
        <f ca="1">IFERROR(__xludf.DUMMYFUNCTION("""COMPUTED_VALUE"""),"Brock High School")</f>
        <v>Brock High School</v>
      </c>
      <c r="G2379" s="8">
        <f ca="1">IFERROR(__xludf.DUMMYFUNCTION("""COMPUTED_VALUE"""),0)</f>
        <v>0</v>
      </c>
      <c r="H2379" s="8">
        <f ca="1">IFERROR(__xludf.DUMMYFUNCTION("""COMPUTED_VALUE"""),2)</f>
        <v>2</v>
      </c>
      <c r="I2379" s="8">
        <f ca="1">IFERROR(__xludf.DUMMYFUNCTION("""COMPUTED_VALUE"""),2)</f>
        <v>2</v>
      </c>
      <c r="J2379" s="8">
        <f ca="1">IFERROR(__xludf.DUMMYFUNCTION("""COMPUTED_VALUE"""),0)</f>
        <v>0</v>
      </c>
      <c r="K2379" s="10" t="str">
        <f ca="1">IFERROR(__xludf.DUMMYFUNCTION("""COMPUTED_VALUE"""),"https://www.newspapers.com/image/434313780/?terms=thomas%2Bmcadams%2Barrested")</f>
        <v>https://www.newspapers.com/image/434313780/?terms=thomas%2Bmcadams%2Barrested</v>
      </c>
      <c r="L2379" s="8"/>
      <c r="M2379" s="8"/>
      <c r="N2379" s="8">
        <f ca="1">IFERROR(__xludf.DUMMYFUNCTION("""COMPUTED_VALUE"""),2)</f>
        <v>2</v>
      </c>
      <c r="O2379" s="8" t="str">
        <f ca="1">IFERROR(__xludf.DUMMYFUNCTION("""COMPUTED_VALUE"""),"Winter")</f>
        <v>Winter</v>
      </c>
      <c r="P2379" s="8" t="str">
        <f ca="1">IFERROR(__xludf.DUMMYFUNCTION("""COMPUTED_VALUE"""),"Brock")</f>
        <v>Brock</v>
      </c>
      <c r="Q2379" s="8" t="str">
        <f ca="1">IFERROR(__xludf.DUMMYFUNCTION("""COMPUTED_VALUE"""),"TX")</f>
        <v>TX</v>
      </c>
      <c r="R2379" s="8" t="str">
        <f ca="1">IFERROR(__xludf.DUMMYFUNCTION("""COMPUTED_VALUE"""),"High")</f>
        <v>High</v>
      </c>
      <c r="S2379" s="8" t="str">
        <f ca="1">IFERROR(__xludf.DUMMYFUNCTION("""COMPUTED_VALUE"""),"Parking Lot")</f>
        <v>Parking Lot</v>
      </c>
      <c r="T2379" s="8" t="str">
        <f ca="1">IFERROR(__xludf.DUMMYFUNCTION("""COMPUTED_VALUE"""),"Outside on School Property")</f>
        <v>Outside on School Property</v>
      </c>
      <c r="U2379" s="8" t="str">
        <f ca="1">IFERROR(__xludf.DUMMYFUNCTION("""COMPUTED_VALUE"""),"No")</f>
        <v>No</v>
      </c>
      <c r="V2379" s="8" t="str">
        <f ca="1">IFERROR(__xludf.DUMMYFUNCTION("""COMPUTED_VALUE"""),"After School")</f>
        <v>After School</v>
      </c>
      <c r="W2379" s="8"/>
      <c r="X2379" s="8"/>
      <c r="Y2379" s="12" t="str">
        <f ca="1">IFERROR(__xludf.DUMMYFUNCTION("""COMPUTED_VALUE"""),"Man having affair with basketball coach's wife, attacked them in school parking lot")</f>
        <v>Man having affair with basketball coach's wife, attacked them in school parking lot</v>
      </c>
      <c r="Z2379" s="12" t="str">
        <f ca="1">IFERROR(__xludf.DUMMYFUNCTION("""COMPUTED_VALUE"""),"39YOM basketball coach shot wife and assistant coach (having an affair with his wife) in the parking lot of the school.")</f>
        <v>39YOM basketball coach shot wife and assistant coach (having an affair with his wife) in the parking lot of the school.</v>
      </c>
      <c r="AA2379" s="8" t="str">
        <f ca="1">IFERROR(__xludf.DUMMYFUNCTION("""COMPUTED_VALUE"""),"Domestic w/ Targeted Victim")</f>
        <v>Domestic w/ Targeted Victim</v>
      </c>
      <c r="AB2379" s="8"/>
      <c r="AC2379" s="8"/>
      <c r="AD2379" s="8" t="str">
        <f ca="1">IFERROR(__xludf.DUMMYFUNCTION("""COMPUTED_VALUE"""),"Victims Targeted")</f>
        <v>Victims Targeted</v>
      </c>
      <c r="AE2379" s="8" t="str">
        <f ca="1">IFERROR(__xludf.DUMMYFUNCTION("""COMPUTED_VALUE"""),"No")</f>
        <v>No</v>
      </c>
      <c r="AF2379" s="8"/>
      <c r="AG2379" s="8" t="str">
        <f ca="1">IFERROR(__xludf.DUMMYFUNCTION("""COMPUTED_VALUE"""),"No")</f>
        <v>No</v>
      </c>
      <c r="AH2379" s="8" t="str">
        <f ca="1">IFERROR(__xludf.DUMMYFUNCTION("""COMPUTED_VALUE"""),"No")</f>
        <v>No</v>
      </c>
      <c r="AI2379" s="8" t="str">
        <f ca="1">IFERROR(__xludf.DUMMYFUNCTION("""COMPUTED_VALUE"""),"No")</f>
        <v>No</v>
      </c>
      <c r="AJ2379" s="8" t="str">
        <f ca="1">IFERROR(__xludf.DUMMYFUNCTION("""COMPUTED_VALUE"""),"No")</f>
        <v>No</v>
      </c>
      <c r="AK2379" s="8" t="str">
        <f ca="1">IFERROR(__xludf.DUMMYFUNCTION("""COMPUTED_VALUE"""),"Yes")</f>
        <v>Yes</v>
      </c>
      <c r="AL2379" s="8" t="str">
        <f ca="1">IFERROR(__xludf.DUMMYFUNCTION("""COMPUTED_VALUE"""),"No")</f>
        <v>No</v>
      </c>
      <c r="AM2379" s="8"/>
      <c r="AN2379" s="8"/>
      <c r="AO2379" s="8" t="str">
        <f ca="1">IFERROR(__xludf.DUMMYFUNCTION("""COMPUTED_VALUE"""),"No")</f>
        <v>No</v>
      </c>
      <c r="AP2379" s="8"/>
      <c r="AQ2379" s="8" t="str">
        <f ca="1">IFERROR(__xludf.DUMMYFUNCTION("""COMPUTED_VALUE"""),"Unknown")</f>
        <v>Unknown</v>
      </c>
      <c r="AR2379" s="8" t="str">
        <f ca="1">IFERROR(__xludf.DUMMYFUNCTION("""COMPUTED_VALUE"""),"NA")</f>
        <v>NA</v>
      </c>
      <c r="AS2379" s="8"/>
      <c r="AT2379" s="8"/>
      <c r="AU2379" s="8">
        <f ca="1">IFERROR(__xludf.DUMMYFUNCTION("""COMPUTED_VALUE"""),32.672454)</f>
        <v>32.672454000000002</v>
      </c>
      <c r="AV2379" s="8">
        <f ca="1">IFERROR(__xludf.DUMMYFUNCTION("""COMPUTED_VALUE"""),-97.930887)</f>
        <v>-97.930886999999998</v>
      </c>
      <c r="AW2379" s="8"/>
      <c r="AX2379" s="8">
        <f ca="1">IFERROR(__xludf.DUMMYFUNCTION("""COMPUTED_VALUE"""),76087)</f>
        <v>76087</v>
      </c>
    </row>
    <row r="2380" spans="1:50" ht="90" x14ac:dyDescent="0.2">
      <c r="A2380" s="8" t="str">
        <f ca="1">IFERROR(__xludf.DUMMYFUNCTION("""COMPUTED_VALUE"""),"20020124PAOLO")</f>
        <v>20020124PAOLO</v>
      </c>
      <c r="B2380" s="8">
        <f ca="1">IFERROR(__xludf.DUMMYFUNCTION("""COMPUTED_VALUE"""),1)</f>
        <v>1</v>
      </c>
      <c r="C2380" s="8">
        <f ca="1">IFERROR(__xludf.DUMMYFUNCTION("""COMPUTED_VALUE"""),24)</f>
        <v>24</v>
      </c>
      <c r="D2380" s="8">
        <f ca="1">IFERROR(__xludf.DUMMYFUNCTION("""COMPUTED_VALUE"""),2002)</f>
        <v>2002</v>
      </c>
      <c r="E2380" s="9">
        <f ca="1">IFERROR(__xludf.DUMMYFUNCTION("""COMPUTED_VALUE"""),37280)</f>
        <v>37280</v>
      </c>
      <c r="F2380" s="8" t="str">
        <f ca="1">IFERROR(__xludf.DUMMYFUNCTION("""COMPUTED_VALUE"""),"Oley High School (bus)")</f>
        <v>Oley High School (bus)</v>
      </c>
      <c r="G2380" s="8">
        <f ca="1">IFERROR(__xludf.DUMMYFUNCTION("""COMPUTED_VALUE"""),0)</f>
        <v>0</v>
      </c>
      <c r="H2380" s="8">
        <f ca="1">IFERROR(__xludf.DUMMYFUNCTION("""COMPUTED_VALUE"""),0)</f>
        <v>0</v>
      </c>
      <c r="I2380" s="8">
        <f ca="1">IFERROR(__xludf.DUMMYFUNCTION("""COMPUTED_VALUE"""),0)</f>
        <v>0</v>
      </c>
      <c r="J2380" s="8">
        <f ca="1">IFERROR(__xludf.DUMMYFUNCTION("""COMPUTED_VALUE"""),0)</f>
        <v>0</v>
      </c>
      <c r="K2380" s="10" t="str">
        <f ca="1">IFERROR(__xludf.DUMMYFUNCTION("""COMPUTED_VALUE"""),"http://articles.mcall.com/2003-09-24/news/3482461_1_berks-christian-school-otto-nuss-bus-driver")</f>
        <v>http://articles.mcall.com/2003-09-24/news/3482461_1_berks-christian-school-otto-nuss-bus-driver</v>
      </c>
      <c r="L2380" s="8"/>
      <c r="M2380" s="8"/>
      <c r="N2380" s="8">
        <f ca="1">IFERROR(__xludf.DUMMYFUNCTION("""COMPUTED_VALUE"""),2)</f>
        <v>2</v>
      </c>
      <c r="O2380" s="8" t="str">
        <f ca="1">IFERROR(__xludf.DUMMYFUNCTION("""COMPUTED_VALUE"""),"Winter")</f>
        <v>Winter</v>
      </c>
      <c r="P2380" s="8" t="str">
        <f ca="1">IFERROR(__xludf.DUMMYFUNCTION("""COMPUTED_VALUE"""),"Oley")</f>
        <v>Oley</v>
      </c>
      <c r="Q2380" s="8" t="str">
        <f ca="1">IFERROR(__xludf.DUMMYFUNCTION("""COMPUTED_VALUE"""),"PA")</f>
        <v>PA</v>
      </c>
      <c r="R2380" s="8" t="str">
        <f ca="1">IFERROR(__xludf.DUMMYFUNCTION("""COMPUTED_VALUE"""),"High")</f>
        <v>High</v>
      </c>
      <c r="S2380" s="8" t="str">
        <f ca="1">IFERROR(__xludf.DUMMYFUNCTION("""COMPUTED_VALUE"""),"School Bus")</f>
        <v>School Bus</v>
      </c>
      <c r="T2380" s="8" t="str">
        <f ca="1">IFERROR(__xludf.DUMMYFUNCTION("""COMPUTED_VALUE"""),"School Bus")</f>
        <v>School Bus</v>
      </c>
      <c r="U2380" s="8" t="str">
        <f ca="1">IFERROR(__xludf.DUMMYFUNCTION("""COMPUTED_VALUE"""),"Yes")</f>
        <v>Yes</v>
      </c>
      <c r="V2380" s="8" t="str">
        <f ca="1">IFERROR(__xludf.DUMMYFUNCTION("""COMPUTED_VALUE"""),"Before School")</f>
        <v>Before School</v>
      </c>
      <c r="W2380" s="8"/>
      <c r="X2380" s="8">
        <f ca="1">IFERROR(__xludf.DUMMYFUNCTION("""COMPUTED_VALUE"""),360)</f>
        <v>360</v>
      </c>
      <c r="Y2380" s="12" t="str">
        <f ca="1">IFERROR(__xludf.DUMMYFUNCTION("""COMPUTED_VALUE"""),"Bus driver with rifle kidnapped 13 students and drove them 150 miles to area near Washington, DC")</f>
        <v>Bus driver with rifle kidnapped 13 students and drove them 150 miles to area near Washington, DC</v>
      </c>
      <c r="Z2380" s="12" t="str">
        <f ca="1">IFERROR(__xludf.DUMMYFUNCTION("""COMPUTED_VALUE"""),"63 YOM bus driver with semi auto rifle kidnapped 13 students and drove them 150 miles from their school to Landover, MD. Bus driver surrendered to a security guard at a family dollar store. Bus driver had recently stopped taking drugs to control schizophr"&amp;"enia and had become obsessed with the 9/11 attacks.")</f>
        <v>63 YOM bus driver with semi auto rifle kidnapped 13 students and drove them 150 miles from their school to Landover, MD. Bus driver surrendered to a security guard at a family dollar store. Bus driver had recently stopped taking drugs to control schizophrenia and had become obsessed with the 9/11 attacks.</v>
      </c>
      <c r="AA2380" s="8" t="str">
        <f ca="1">IFERROR(__xludf.DUMMYFUNCTION("""COMPUTED_VALUE"""),"Hostage/Standoff")</f>
        <v>Hostage/Standoff</v>
      </c>
      <c r="AB2380" s="8"/>
      <c r="AC2380" s="8"/>
      <c r="AD2380" s="8" t="str">
        <f ca="1">IFERROR(__xludf.DUMMYFUNCTION("""COMPUTED_VALUE"""),"Neither")</f>
        <v>Neither</v>
      </c>
      <c r="AE2380" s="8" t="str">
        <f ca="1">IFERROR(__xludf.DUMMYFUNCTION("""COMPUTED_VALUE"""),"No")</f>
        <v>No</v>
      </c>
      <c r="AF2380" s="8"/>
      <c r="AG2380" s="8" t="str">
        <f ca="1">IFERROR(__xludf.DUMMYFUNCTION("""COMPUTED_VALUE"""),"Yes")</f>
        <v>Yes</v>
      </c>
      <c r="AH2380" s="8" t="str">
        <f ca="1">IFERROR(__xludf.DUMMYFUNCTION("""COMPUTED_VALUE"""),"No")</f>
        <v>No</v>
      </c>
      <c r="AI2380" s="8" t="str">
        <f ca="1">IFERROR(__xludf.DUMMYFUNCTION("""COMPUTED_VALUE"""),"No")</f>
        <v>No</v>
      </c>
      <c r="AJ2380" s="8" t="str">
        <f ca="1">IFERROR(__xludf.DUMMYFUNCTION("""COMPUTED_VALUE"""),"No")</f>
        <v>No</v>
      </c>
      <c r="AK2380" s="8" t="str">
        <f ca="1">IFERROR(__xludf.DUMMYFUNCTION("""COMPUTED_VALUE"""),"No")</f>
        <v>No</v>
      </c>
      <c r="AL2380" s="8" t="str">
        <f ca="1">IFERROR(__xludf.DUMMYFUNCTION("""COMPUTED_VALUE"""),"No")</f>
        <v>No</v>
      </c>
      <c r="AM2380" s="8"/>
      <c r="AN2380" s="8"/>
      <c r="AO2380" s="8" t="str">
        <f ca="1">IFERROR(__xludf.DUMMYFUNCTION("""COMPUTED_VALUE"""),"No")</f>
        <v>No</v>
      </c>
      <c r="AP2380" s="8"/>
      <c r="AQ2380" s="8" t="str">
        <f ca="1">IFERROR(__xludf.DUMMYFUNCTION("""COMPUTED_VALUE"""),"Unknown")</f>
        <v>Unknown</v>
      </c>
      <c r="AR2380" s="8" t="str">
        <f ca="1">IFERROR(__xludf.DUMMYFUNCTION("""COMPUTED_VALUE"""),"NA")</f>
        <v>NA</v>
      </c>
      <c r="AS2380" s="8">
        <f ca="1">IFERROR(__xludf.DUMMYFUNCTION("""COMPUTED_VALUE"""),0)</f>
        <v>0</v>
      </c>
      <c r="AT2380" s="8"/>
      <c r="AU2380" s="8">
        <f ca="1">IFERROR(__xludf.DUMMYFUNCTION("""COMPUTED_VALUE"""),40.385863)</f>
        <v>40.385863000000001</v>
      </c>
      <c r="AV2380" s="8">
        <f ca="1">IFERROR(__xludf.DUMMYFUNCTION("""COMPUTED_VALUE"""),-75.78305)</f>
        <v>-75.783050000000003</v>
      </c>
      <c r="AW2380" s="8"/>
      <c r="AX2380" s="8">
        <f ca="1">IFERROR(__xludf.DUMMYFUNCTION("""COMPUTED_VALUE"""),19547)</f>
        <v>19547</v>
      </c>
    </row>
    <row r="2381" spans="1:50" ht="90" x14ac:dyDescent="0.2">
      <c r="A2381" s="8" t="str">
        <f ca="1">IFERROR(__xludf.DUMMYFUNCTION("""COMPUTED_VALUE"""),"20020115NYMAN")</f>
        <v>20020115NYMAN</v>
      </c>
      <c r="B2381" s="8">
        <f ca="1">IFERROR(__xludf.DUMMYFUNCTION("""COMPUTED_VALUE"""),1)</f>
        <v>1</v>
      </c>
      <c r="C2381" s="8">
        <f ca="1">IFERROR(__xludf.DUMMYFUNCTION("""COMPUTED_VALUE"""),15)</f>
        <v>15</v>
      </c>
      <c r="D2381" s="8">
        <f ca="1">IFERROR(__xludf.DUMMYFUNCTION("""COMPUTED_VALUE"""),2002)</f>
        <v>2002</v>
      </c>
      <c r="E2381" s="9">
        <f ca="1">IFERROR(__xludf.DUMMYFUNCTION("""COMPUTED_VALUE"""),37271)</f>
        <v>37271</v>
      </c>
      <c r="F2381" s="8" t="str">
        <f ca="1">IFERROR(__xludf.DUMMYFUNCTION("""COMPUTED_VALUE"""),"Martin Luther King, Jr. High School")</f>
        <v>Martin Luther King, Jr. High School</v>
      </c>
      <c r="G2381" s="8">
        <f ca="1">IFERROR(__xludf.DUMMYFUNCTION("""COMPUTED_VALUE"""),0)</f>
        <v>0</v>
      </c>
      <c r="H2381" s="8">
        <f ca="1">IFERROR(__xludf.DUMMYFUNCTION("""COMPUTED_VALUE"""),2)</f>
        <v>2</v>
      </c>
      <c r="I2381" s="8">
        <f ca="1">IFERROR(__xludf.DUMMYFUNCTION("""COMPUTED_VALUE"""),2)</f>
        <v>2</v>
      </c>
      <c r="J2381" s="8">
        <f ca="1">IFERROR(__xludf.DUMMYFUNCTION("""COMPUTED_VALUE"""),0)</f>
        <v>0</v>
      </c>
      <c r="K2381" s="10" t="str">
        <f ca="1">IFERROR(__xludf.DUMMYFUNCTION("""COMPUTED_VALUE"""),"https://www.cbsnews.com/news/arrest-in-nyc-school-shooting/")</f>
        <v>https://www.cbsnews.com/news/arrest-in-nyc-school-shooting/</v>
      </c>
      <c r="L2381" s="8"/>
      <c r="M2381" s="8"/>
      <c r="N2381" s="8">
        <f ca="1">IFERROR(__xludf.DUMMYFUNCTION("""COMPUTED_VALUE"""),2)</f>
        <v>2</v>
      </c>
      <c r="O2381" s="8" t="str">
        <f ca="1">IFERROR(__xludf.DUMMYFUNCTION("""COMPUTED_VALUE"""),"Winter")</f>
        <v>Winter</v>
      </c>
      <c r="P2381" s="8" t="str">
        <f ca="1">IFERROR(__xludf.DUMMYFUNCTION("""COMPUTED_VALUE"""),"New York")</f>
        <v>New York</v>
      </c>
      <c r="Q2381" s="8" t="str">
        <f ca="1">IFERROR(__xludf.DUMMYFUNCTION("""COMPUTED_VALUE"""),"NY")</f>
        <v>NY</v>
      </c>
      <c r="R2381" s="8" t="str">
        <f ca="1">IFERROR(__xludf.DUMMYFUNCTION("""COMPUTED_VALUE"""),"High")</f>
        <v>High</v>
      </c>
      <c r="S2381" s="8" t="str">
        <f ca="1">IFERROR(__xludf.DUMMYFUNCTION("""COMPUTED_VALUE"""),"Hallway")</f>
        <v>Hallway</v>
      </c>
      <c r="T2381" s="8" t="str">
        <f ca="1">IFERROR(__xludf.DUMMYFUNCTION("""COMPUTED_VALUE"""),"Inside School Building")</f>
        <v>Inside School Building</v>
      </c>
      <c r="U2381" s="8" t="str">
        <f ca="1">IFERROR(__xludf.DUMMYFUNCTION("""COMPUTED_VALUE"""),"Yes")</f>
        <v>Yes</v>
      </c>
      <c r="V2381" s="8" t="str">
        <f ca="1">IFERROR(__xludf.DUMMYFUNCTION("""COMPUTED_VALUE"""),"Afternoon Classes")</f>
        <v>Afternoon Classes</v>
      </c>
      <c r="W2381" s="11">
        <f ca="1">IFERROR(__xludf.DUMMYFUNCTION("""COMPUTED_VALUE"""),0.583333333333333)</f>
        <v>0.58333333333333304</v>
      </c>
      <c r="X2381" s="8">
        <f ca="1">IFERROR(__xludf.DUMMYFUNCTION("""COMPUTED_VALUE"""),1)</f>
        <v>1</v>
      </c>
      <c r="Y2381" s="12" t="str">
        <f ca="1">IFERROR(__xludf.DUMMYFUNCTION("""COMPUTED_VALUE"""),"Two boys teased a girl and pulled a bandana (gang colors) off her head; shot by her boyfriend")</f>
        <v>Two boys teased a girl and pulled a bandana (gang colors) off her head; shot by her boyfriend</v>
      </c>
      <c r="Z2381" s="12" t="str">
        <f ca="1">IFERROR(__xludf.DUMMYFUNCTION("""COMPUTED_VALUE"""),"Shooter fired 2 shots from .380 handgun at two other students as part of ongoing dispute. The victims had made fun of the shooters girlfriend and taken his bandana. School had metal detectors and armed guards.")</f>
        <v>Shooter fired 2 shots from .380 handgun at two other students as part of ongoing dispute. The victims had made fun of the shooters girlfriend and taken his bandana. School had metal detectors and armed guards.</v>
      </c>
      <c r="AA2381" s="8" t="str">
        <f ca="1">IFERROR(__xludf.DUMMYFUNCTION("""COMPUTED_VALUE"""),"Escalation of Dispute")</f>
        <v>Escalation of Dispute</v>
      </c>
      <c r="AB2381" s="8"/>
      <c r="AC2381" s="8"/>
      <c r="AD2381" s="8" t="str">
        <f ca="1">IFERROR(__xludf.DUMMYFUNCTION("""COMPUTED_VALUE"""),"Victims Targeted")</f>
        <v>Victims Targeted</v>
      </c>
      <c r="AE2381" s="8" t="str">
        <f ca="1">IFERROR(__xludf.DUMMYFUNCTION("""COMPUTED_VALUE"""),"No")</f>
        <v>No</v>
      </c>
      <c r="AF2381" s="8"/>
      <c r="AG2381" s="8" t="str">
        <f ca="1">IFERROR(__xludf.DUMMYFUNCTION("""COMPUTED_VALUE"""),"No")</f>
        <v>No</v>
      </c>
      <c r="AH2381" s="8" t="str">
        <f ca="1">IFERROR(__xludf.DUMMYFUNCTION("""COMPUTED_VALUE"""),"No")</f>
        <v>No</v>
      </c>
      <c r="AI2381" s="8" t="str">
        <f ca="1">IFERROR(__xludf.DUMMYFUNCTION("""COMPUTED_VALUE"""),"No")</f>
        <v>No</v>
      </c>
      <c r="AJ2381" s="8" t="str">
        <f ca="1">IFERROR(__xludf.DUMMYFUNCTION("""COMPUTED_VALUE"""),"Yes")</f>
        <v>Yes</v>
      </c>
      <c r="AK2381" s="8" t="str">
        <f ca="1">IFERROR(__xludf.DUMMYFUNCTION("""COMPUTED_VALUE"""),"No")</f>
        <v>No</v>
      </c>
      <c r="AL2381" s="8" t="str">
        <f ca="1">IFERROR(__xludf.DUMMYFUNCTION("""COMPUTED_VALUE"""),"Yes")</f>
        <v>Yes</v>
      </c>
      <c r="AM2381" s="8"/>
      <c r="AN2381" s="8"/>
      <c r="AO2381" s="8" t="str">
        <f ca="1">IFERROR(__xludf.DUMMYFUNCTION("""COMPUTED_VALUE"""),"No")</f>
        <v>No</v>
      </c>
      <c r="AP2381" s="8" t="str">
        <f ca="1">IFERROR(__xludf.DUMMYFUNCTION("""COMPUTED_VALUE"""),"Yes")</f>
        <v>Yes</v>
      </c>
      <c r="AQ2381" s="8" t="str">
        <f ca="1">IFERROR(__xludf.DUMMYFUNCTION("""COMPUTED_VALUE"""),"Metal Detectors Front Only; Armed Guards")</f>
        <v>Metal Detectors Front Only; Armed Guards</v>
      </c>
      <c r="AR2381" s="8" t="str">
        <f ca="1">IFERROR(__xludf.DUMMYFUNCTION("""COMPUTED_VALUE"""),"Bypassed")</f>
        <v>Bypassed</v>
      </c>
      <c r="AS2381" s="8">
        <f ca="1">IFERROR(__xludf.DUMMYFUNCTION("""COMPUTED_VALUE"""),3)</f>
        <v>3</v>
      </c>
      <c r="AT2381" s="8"/>
      <c r="AU2381" s="8">
        <f ca="1">IFERROR(__xludf.DUMMYFUNCTION("""COMPUTED_VALUE"""),40.979385)</f>
        <v>40.979385000000001</v>
      </c>
      <c r="AV2381" s="8">
        <f ca="1">IFERROR(__xludf.DUMMYFUNCTION("""COMPUTED_VALUE"""),-73.881201)</f>
        <v>-73.881201000000004</v>
      </c>
      <c r="AW2381" s="8"/>
      <c r="AX2381" s="8">
        <f ca="1">IFERROR(__xludf.DUMMYFUNCTION("""COMPUTED_VALUE"""),10706)</f>
        <v>10706</v>
      </c>
    </row>
    <row r="2382" spans="1:50" ht="105" x14ac:dyDescent="0.2">
      <c r="A2382" s="8" t="str">
        <f ca="1">IFERROR(__xludf.DUMMYFUNCTION("""COMPUTED_VALUE"""),"20020111MSRAJ")</f>
        <v>20020111MSRAJ</v>
      </c>
      <c r="B2382" s="8">
        <f ca="1">IFERROR(__xludf.DUMMYFUNCTION("""COMPUTED_VALUE"""),1)</f>
        <v>1</v>
      </c>
      <c r="C2382" s="8">
        <f ca="1">IFERROR(__xludf.DUMMYFUNCTION("""COMPUTED_VALUE"""),11)</f>
        <v>11</v>
      </c>
      <c r="D2382" s="8">
        <f ca="1">IFERROR(__xludf.DUMMYFUNCTION("""COMPUTED_VALUE"""),2002)</f>
        <v>2002</v>
      </c>
      <c r="E2382" s="9">
        <f ca="1">IFERROR(__xludf.DUMMYFUNCTION("""COMPUTED_VALUE"""),37267)</f>
        <v>37267</v>
      </c>
      <c r="F2382" s="8" t="str">
        <f ca="1">IFERROR(__xludf.DUMMYFUNCTION("""COMPUTED_VALUE"""),"Raymond High School")</f>
        <v>Raymond High School</v>
      </c>
      <c r="G2382" s="8">
        <f ca="1">IFERROR(__xludf.DUMMYFUNCTION("""COMPUTED_VALUE"""),0)</f>
        <v>0</v>
      </c>
      <c r="H2382" s="8">
        <f ca="1">IFERROR(__xludf.DUMMYFUNCTION("""COMPUTED_VALUE"""),0)</f>
        <v>0</v>
      </c>
      <c r="I2382" s="8">
        <f ca="1">IFERROR(__xludf.DUMMYFUNCTION("""COMPUTED_VALUE"""),0)</f>
        <v>0</v>
      </c>
      <c r="J2382" s="8">
        <f ca="1">IFERROR(__xludf.DUMMYFUNCTION("""COMPUTED_VALUE"""),0)</f>
        <v>0</v>
      </c>
      <c r="K2382" s="8" t="str">
        <f ca="1">IFERROR(__xludf.DUMMYFUNCTION("""COMPUTED_VALUE"""),"https://www.newspapers.com/image/185798030/?terms=Claiborne%2BGuice%2BHenderson https://www.wlbt.com/story/1331107/no-trial-date-set-in-hostage-case/")</f>
        <v>https://www.newspapers.com/image/185798030/?terms=Claiborne%2BGuice%2BHenderson https://www.wlbt.com/story/1331107/no-trial-date-set-in-hostage-case/</v>
      </c>
      <c r="L2382" s="8">
        <f ca="1">IFERROR(__xludf.DUMMYFUNCTION("""COMPUTED_VALUE"""),1)</f>
        <v>1</v>
      </c>
      <c r="M2382" s="8" t="str">
        <f ca="1">IFERROR(__xludf.DUMMYFUNCTION("""COMPUTED_VALUE"""),"Local")</f>
        <v>Local</v>
      </c>
      <c r="N2382" s="8">
        <f ca="1">IFERROR(__xludf.DUMMYFUNCTION("""COMPUTED_VALUE"""),4)</f>
        <v>4</v>
      </c>
      <c r="O2382" s="8" t="str">
        <f ca="1">IFERROR(__xludf.DUMMYFUNCTION("""COMPUTED_VALUE"""),"Winter")</f>
        <v>Winter</v>
      </c>
      <c r="P2382" s="8" t="str">
        <f ca="1">IFERROR(__xludf.DUMMYFUNCTION("""COMPUTED_VALUE"""),"Jackson")</f>
        <v>Jackson</v>
      </c>
      <c r="Q2382" s="8" t="str">
        <f ca="1">IFERROR(__xludf.DUMMYFUNCTION("""COMPUTED_VALUE"""),"MS")</f>
        <v>MS</v>
      </c>
      <c r="R2382" s="8" t="str">
        <f ca="1">IFERROR(__xludf.DUMMYFUNCTION("""COMPUTED_VALUE"""),"High")</f>
        <v>High</v>
      </c>
      <c r="S2382" s="8" t="str">
        <f ca="1">IFERROR(__xludf.DUMMYFUNCTION("""COMPUTED_VALUE"""),"Office")</f>
        <v>Office</v>
      </c>
      <c r="T2382" s="8" t="str">
        <f ca="1">IFERROR(__xludf.DUMMYFUNCTION("""COMPUTED_VALUE"""),"Inside School Building")</f>
        <v>Inside School Building</v>
      </c>
      <c r="U2382" s="8" t="str">
        <f ca="1">IFERROR(__xludf.DUMMYFUNCTION("""COMPUTED_VALUE"""),"Yes")</f>
        <v>Yes</v>
      </c>
      <c r="V2382" s="8" t="str">
        <f ca="1">IFERROR(__xludf.DUMMYFUNCTION("""COMPUTED_VALUE"""),"Lunch")</f>
        <v>Lunch</v>
      </c>
      <c r="W2382" s="11">
        <f ca="1">IFERROR(__xludf.DUMMYFUNCTION("""COMPUTED_VALUE"""),0.5)</f>
        <v>0.5</v>
      </c>
      <c r="X2382" s="8">
        <f ca="1">IFERROR(__xludf.DUMMYFUNCTION("""COMPUTED_VALUE"""),240)</f>
        <v>240</v>
      </c>
      <c r="Y2382" s="12" t="str">
        <f ca="1">IFERROR(__xludf.DUMMYFUNCTION("""COMPUTED_VALUE"""),"Made threats about school shooting, suspended, took principal hostage next day")</f>
        <v>Made threats about school shooting, suspended, took principal hostage next day</v>
      </c>
      <c r="Z2382" s="12" t="str">
        <f ca="1">IFERROR(__xludf.DUMMYFUNCTION("""COMPUTED_VALUE"""),"18YOM student made threats to teacher and said ""this will be another Pearl"" in reference to a 1997 school shooting in Mississippi that injured 7. Student was suspended for the comment and escorted off the campus by the principal. The next day, the stude"&amp;"nt came to the school with a gun and held the principal and assistant principal hostage for 4 hours before surrendering.")</f>
        <v>18YOM student made threats to teacher and said "this will be another Pearl" in reference to a 1997 school shooting in Mississippi that injured 7. Student was suspended for the comment and escorted off the campus by the principal. The next day, the student came to the school with a gun and held the principal and assistant principal hostage for 4 hours before surrendering.</v>
      </c>
      <c r="AA2382" s="8" t="str">
        <f ca="1">IFERROR(__xludf.DUMMYFUNCTION("""COMPUTED_VALUE"""),"Hostage/Standoff")</f>
        <v>Hostage/Standoff</v>
      </c>
      <c r="AB2382" s="8"/>
      <c r="AC2382" s="8" t="str">
        <f ca="1">IFERROR(__xludf.DUMMYFUNCTION("""COMPUTED_VALUE"""),"Yes")</f>
        <v>Yes</v>
      </c>
      <c r="AD2382" s="8" t="str">
        <f ca="1">IFERROR(__xludf.DUMMYFUNCTION("""COMPUTED_VALUE"""),"Victims Targeted")</f>
        <v>Victims Targeted</v>
      </c>
      <c r="AE2382" s="8" t="str">
        <f ca="1">IFERROR(__xludf.DUMMYFUNCTION("""COMPUTED_VALUE"""),"No")</f>
        <v>No</v>
      </c>
      <c r="AF2382" s="8"/>
      <c r="AG2382" s="8" t="str">
        <f ca="1">IFERROR(__xludf.DUMMYFUNCTION("""COMPUTED_VALUE"""),"Yes")</f>
        <v>Yes</v>
      </c>
      <c r="AH2382" s="8" t="str">
        <f ca="1">IFERROR(__xludf.DUMMYFUNCTION("""COMPUTED_VALUE"""),"Yes")</f>
        <v>Yes</v>
      </c>
      <c r="AI2382" s="8" t="str">
        <f ca="1">IFERROR(__xludf.DUMMYFUNCTION("""COMPUTED_VALUE"""),"No")</f>
        <v>No</v>
      </c>
      <c r="AJ2382" s="8" t="str">
        <f ca="1">IFERROR(__xludf.DUMMYFUNCTION("""COMPUTED_VALUE"""),"No")</f>
        <v>No</v>
      </c>
      <c r="AK2382" s="8" t="str">
        <f ca="1">IFERROR(__xludf.DUMMYFUNCTION("""COMPUTED_VALUE"""),"No")</f>
        <v>No</v>
      </c>
      <c r="AL2382" s="8" t="str">
        <f ca="1">IFERROR(__xludf.DUMMYFUNCTION("""COMPUTED_VALUE"""),"No")</f>
        <v>No</v>
      </c>
      <c r="AM2382" s="8" t="str">
        <f ca="1">IFERROR(__xludf.DUMMYFUNCTION("""COMPUTED_VALUE"""),"Yes")</f>
        <v>Yes</v>
      </c>
      <c r="AN2382" s="8" t="str">
        <f ca="1">IFERROR(__xludf.DUMMYFUNCTION("""COMPUTED_VALUE"""),"Single Room")</f>
        <v>Single Room</v>
      </c>
      <c r="AO2382" s="8" t="str">
        <f ca="1">IFERROR(__xludf.DUMMYFUNCTION("""COMPUTED_VALUE"""),"Yes")</f>
        <v>Yes</v>
      </c>
      <c r="AP2382" s="8"/>
      <c r="AQ2382" s="8" t="str">
        <f ca="1">IFERROR(__xludf.DUMMYFUNCTION("""COMPUTED_VALUE"""),"Unknown")</f>
        <v>Unknown</v>
      </c>
      <c r="AR2382" s="8" t="str">
        <f ca="1">IFERROR(__xludf.DUMMYFUNCTION("""COMPUTED_VALUE"""),"NA")</f>
        <v>NA</v>
      </c>
      <c r="AS2382" s="8">
        <f ca="1">IFERROR(__xludf.DUMMYFUNCTION("""COMPUTED_VALUE"""),0)</f>
        <v>0</v>
      </c>
      <c r="AT2382" s="8"/>
      <c r="AU2382" s="8">
        <f ca="1">IFERROR(__xludf.DUMMYFUNCTION("""COMPUTED_VALUE"""),32.245421)</f>
        <v>32.245421</v>
      </c>
      <c r="AV2382" s="8">
        <f ca="1">IFERROR(__xludf.DUMMYFUNCTION("""COMPUTED_VALUE"""),-90.438522)</f>
        <v>-90.438522000000006</v>
      </c>
      <c r="AW2382" s="8"/>
      <c r="AX2382" s="8">
        <f ca="1">IFERROR(__xludf.DUMMYFUNCTION("""COMPUTED_VALUE"""),39154)</f>
        <v>39154</v>
      </c>
    </row>
    <row r="2383" spans="1:50" ht="90" x14ac:dyDescent="0.2">
      <c r="A2383" s="8" t="str">
        <f ca="1">IFERROR(__xludf.DUMMYFUNCTION("""COMPUTED_VALUE"""),"20011130TXFRF")</f>
        <v>20011130TXFRF</v>
      </c>
      <c r="B2383" s="8">
        <f ca="1">IFERROR(__xludf.DUMMYFUNCTION("""COMPUTED_VALUE"""),11)</f>
        <v>11</v>
      </c>
      <c r="C2383" s="8">
        <f ca="1">IFERROR(__xludf.DUMMYFUNCTION("""COMPUTED_VALUE"""),30)</f>
        <v>30</v>
      </c>
      <c r="D2383" s="8">
        <f ca="1">IFERROR(__xludf.DUMMYFUNCTION("""COMPUTED_VALUE"""),2001)</f>
        <v>2001</v>
      </c>
      <c r="E2383" s="9">
        <f ca="1">IFERROR(__xludf.DUMMYFUNCTION("""COMPUTED_VALUE"""),37225)</f>
        <v>37225</v>
      </c>
      <c r="F2383" s="8" t="str">
        <f ca="1">IFERROR(__xludf.DUMMYFUNCTION("""COMPUTED_VALUE"""),"Friendswood Junior High School")</f>
        <v>Friendswood Junior High School</v>
      </c>
      <c r="G2383" s="8">
        <f ca="1">IFERROR(__xludf.DUMMYFUNCTION("""COMPUTED_VALUE"""),0)</f>
        <v>0</v>
      </c>
      <c r="H2383" s="8">
        <f ca="1">IFERROR(__xludf.DUMMYFUNCTION("""COMPUTED_VALUE"""),0)</f>
        <v>0</v>
      </c>
      <c r="I2383" s="8">
        <f ca="1">IFERROR(__xludf.DUMMYFUNCTION("""COMPUTED_VALUE"""),0)</f>
        <v>0</v>
      </c>
      <c r="J2383" s="8">
        <f ca="1">IFERROR(__xludf.DUMMYFUNCTION("""COMPUTED_VALUE"""),0)</f>
        <v>0</v>
      </c>
      <c r="K2383" s="10" t="str">
        <f ca="1">IFERROR(__xludf.DUMMYFUNCTION("""COMPUTED_VALUE"""),"https://www.chron.com/news/houston-texas/article/Friendswood-teacher-indicted-over-gunfire-2059926.php")</f>
        <v>https://www.chron.com/news/houston-texas/article/Friendswood-teacher-indicted-over-gunfire-2059926.php</v>
      </c>
      <c r="L2383" s="8"/>
      <c r="M2383" s="8"/>
      <c r="N2383" s="8">
        <f ca="1">IFERROR(__xludf.DUMMYFUNCTION("""COMPUTED_VALUE"""),2)</f>
        <v>2</v>
      </c>
      <c r="O2383" s="8" t="str">
        <f ca="1">IFERROR(__xludf.DUMMYFUNCTION("""COMPUTED_VALUE"""),"Fall")</f>
        <v>Fall</v>
      </c>
      <c r="P2383" s="8" t="str">
        <f ca="1">IFERROR(__xludf.DUMMYFUNCTION("""COMPUTED_VALUE"""),"Friendswood")</f>
        <v>Friendswood</v>
      </c>
      <c r="Q2383" s="8" t="str">
        <f ca="1">IFERROR(__xludf.DUMMYFUNCTION("""COMPUTED_VALUE"""),"TX")</f>
        <v>TX</v>
      </c>
      <c r="R2383" s="8" t="str">
        <f ca="1">IFERROR(__xludf.DUMMYFUNCTION("""COMPUTED_VALUE"""),"High")</f>
        <v>High</v>
      </c>
      <c r="S2383" s="8" t="str">
        <f ca="1">IFERROR(__xludf.DUMMYFUNCTION("""COMPUTED_VALUE"""),"Classroom")</f>
        <v>Classroom</v>
      </c>
      <c r="T2383" s="8" t="str">
        <f ca="1">IFERROR(__xludf.DUMMYFUNCTION("""COMPUTED_VALUE"""),"Inside School Building")</f>
        <v>Inside School Building</v>
      </c>
      <c r="U2383" s="8" t="str">
        <f ca="1">IFERROR(__xludf.DUMMYFUNCTION("""COMPUTED_VALUE"""),"No")</f>
        <v>No</v>
      </c>
      <c r="V2383" s="8" t="str">
        <f ca="1">IFERROR(__xludf.DUMMYFUNCTION("""COMPUTED_VALUE"""),"Before School")</f>
        <v>Before School</v>
      </c>
      <c r="W2383" s="11">
        <f ca="1">IFERROR(__xludf.DUMMYFUNCTION("""COMPUTED_VALUE"""),0.25)</f>
        <v>0.25</v>
      </c>
      <c r="X2383" s="8">
        <f ca="1">IFERROR(__xludf.DUMMYFUNCTION("""COMPUTED_VALUE"""),1)</f>
        <v>1</v>
      </c>
      <c r="Y2383" s="12" t="str">
        <f ca="1">IFERROR(__xludf.DUMMYFUNCTION("""COMPUTED_VALUE"""),"Teacher fired gun in classroom at 6:00, reported shots were fired at her class room at 9:12 AM")</f>
        <v>Teacher fired gun in classroom at 6:00, reported shots were fired at her class room at 9:12 AM</v>
      </c>
      <c r="Z2383" s="12" t="str">
        <f ca="1">IFERROR(__xludf.DUMMYFUNCTION("""COMPUTED_VALUE"""),"54YOF teacher fired a single gunshot inside her classroom at 6:00 AM. At 9:12 AM she reported her classroom was shot at leading to an extended lockdown of the school. Three months later she was charged with discharging the firearm on school property and a"&amp;" shell casing matching a gun she owned was found in the classroom.")</f>
        <v>54YOF teacher fired a single gunshot inside her classroom at 6:00 AM. At 9:12 AM she reported her classroom was shot at leading to an extended lockdown of the school. Three months later she was charged with discharging the firearm on school property and a shell casing matching a gun she owned was found in the classroom.</v>
      </c>
      <c r="AA2383" s="8" t="str">
        <f ca="1">IFERROR(__xludf.DUMMYFUNCTION("""COMPUTED_VALUE"""),"Unknown")</f>
        <v>Unknown</v>
      </c>
      <c r="AB2383" s="8"/>
      <c r="AC2383" s="8"/>
      <c r="AD2383" s="8"/>
      <c r="AE2383" s="8" t="str">
        <f ca="1">IFERROR(__xludf.DUMMYFUNCTION("""COMPUTED_VALUE"""),"No")</f>
        <v>No</v>
      </c>
      <c r="AF2383" s="8"/>
      <c r="AG2383" s="8" t="str">
        <f ca="1">IFERROR(__xludf.DUMMYFUNCTION("""COMPUTED_VALUE"""),"No")</f>
        <v>No</v>
      </c>
      <c r="AH2383" s="8" t="str">
        <f ca="1">IFERROR(__xludf.DUMMYFUNCTION("""COMPUTED_VALUE"""),"No")</f>
        <v>No</v>
      </c>
      <c r="AI2383" s="8" t="str">
        <f ca="1">IFERROR(__xludf.DUMMYFUNCTION("""COMPUTED_VALUE"""),"No")</f>
        <v>No</v>
      </c>
      <c r="AJ2383" s="8" t="str">
        <f ca="1">IFERROR(__xludf.DUMMYFUNCTION("""COMPUTED_VALUE"""),"No")</f>
        <v>No</v>
      </c>
      <c r="AK2383" s="8" t="str">
        <f ca="1">IFERROR(__xludf.DUMMYFUNCTION("""COMPUTED_VALUE"""),"No")</f>
        <v>No</v>
      </c>
      <c r="AL2383" s="8" t="str">
        <f ca="1">IFERROR(__xludf.DUMMYFUNCTION("""COMPUTED_VALUE"""),"No")</f>
        <v>No</v>
      </c>
      <c r="AM2383" s="8"/>
      <c r="AN2383" s="8"/>
      <c r="AO2383" s="8" t="str">
        <f ca="1">IFERROR(__xludf.DUMMYFUNCTION("""COMPUTED_VALUE"""),"No")</f>
        <v>No</v>
      </c>
      <c r="AP2383" s="8"/>
      <c r="AQ2383" s="8" t="str">
        <f ca="1">IFERROR(__xludf.DUMMYFUNCTION("""COMPUTED_VALUE"""),"Unknown")</f>
        <v>Unknown</v>
      </c>
      <c r="AR2383" s="8" t="str">
        <f ca="1">IFERROR(__xludf.DUMMYFUNCTION("""COMPUTED_VALUE"""),"NA")</f>
        <v>NA</v>
      </c>
      <c r="AS2383" s="8">
        <f ca="1">IFERROR(__xludf.DUMMYFUNCTION("""COMPUTED_VALUE"""),1)</f>
        <v>1</v>
      </c>
      <c r="AT2383" s="8"/>
      <c r="AU2383" s="8">
        <f ca="1">IFERROR(__xludf.DUMMYFUNCTION("""COMPUTED_VALUE"""),29.493836)</f>
        <v>29.493836000000002</v>
      </c>
      <c r="AV2383" s="8">
        <f ca="1">IFERROR(__xludf.DUMMYFUNCTION("""COMPUTED_VALUE"""),-95.186095)</f>
        <v>-95.186094999999995</v>
      </c>
      <c r="AW2383" s="8"/>
      <c r="AX2383" s="8">
        <f ca="1">IFERROR(__xludf.DUMMYFUNCTION("""COMPUTED_VALUE"""),77546)</f>
        <v>77546</v>
      </c>
    </row>
    <row r="2384" spans="1:50" ht="120" x14ac:dyDescent="0.2">
      <c r="A2384" s="8" t="str">
        <f ca="1">IFERROR(__xludf.DUMMYFUNCTION("""COMPUTED_VALUE"""),"20011112MICAC")</f>
        <v>20011112MICAC</v>
      </c>
      <c r="B2384" s="8">
        <f ca="1">IFERROR(__xludf.DUMMYFUNCTION("""COMPUTED_VALUE"""),11)</f>
        <v>11</v>
      </c>
      <c r="C2384" s="8">
        <f ca="1">IFERROR(__xludf.DUMMYFUNCTION("""COMPUTED_VALUE"""),12)</f>
        <v>12</v>
      </c>
      <c r="D2384" s="8">
        <f ca="1">IFERROR(__xludf.DUMMYFUNCTION("""COMPUTED_VALUE"""),2001)</f>
        <v>2001</v>
      </c>
      <c r="E2384" s="9">
        <f ca="1">IFERROR(__xludf.DUMMYFUNCTION("""COMPUTED_VALUE"""),37207)</f>
        <v>37207</v>
      </c>
      <c r="F2384" s="8" t="str">
        <f ca="1">IFERROR(__xludf.DUMMYFUNCTION("""COMPUTED_VALUE"""),"Caro Learning Center")</f>
        <v>Caro Learning Center</v>
      </c>
      <c r="G2384" s="8">
        <f ca="1">IFERROR(__xludf.DUMMYFUNCTION("""COMPUTED_VALUE"""),0)</f>
        <v>0</v>
      </c>
      <c r="H2384" s="8">
        <f ca="1">IFERROR(__xludf.DUMMYFUNCTION("""COMPUTED_VALUE"""),0)</f>
        <v>0</v>
      </c>
      <c r="I2384" s="8">
        <f ca="1">IFERROR(__xludf.DUMMYFUNCTION("""COMPUTED_VALUE"""),0)</f>
        <v>0</v>
      </c>
      <c r="J2384" s="8">
        <f ca="1">IFERROR(__xludf.DUMMYFUNCTION("""COMPUTED_VALUE"""),1)</f>
        <v>1</v>
      </c>
      <c r="K2384" s="10" t="str">
        <f ca="1">IFERROR(__xludf.DUMMYFUNCTION("""COMPUTED_VALUE"""),"https://www.michigandaily.com/content/17-year-old-takes-hostages-school-commits-suicide")</f>
        <v>https://www.michigandaily.com/content/17-year-old-takes-hostages-school-commits-suicide</v>
      </c>
      <c r="L2384" s="8"/>
      <c r="M2384" s="8"/>
      <c r="N2384" s="8">
        <f ca="1">IFERROR(__xludf.DUMMYFUNCTION("""COMPUTED_VALUE"""),2)</f>
        <v>2</v>
      </c>
      <c r="O2384" s="8" t="str">
        <f ca="1">IFERROR(__xludf.DUMMYFUNCTION("""COMPUTED_VALUE"""),"Fall")</f>
        <v>Fall</v>
      </c>
      <c r="P2384" s="8" t="str">
        <f ca="1">IFERROR(__xludf.DUMMYFUNCTION("""COMPUTED_VALUE"""),"Caro")</f>
        <v>Caro</v>
      </c>
      <c r="Q2384" s="8" t="str">
        <f ca="1">IFERROR(__xludf.DUMMYFUNCTION("""COMPUTED_VALUE"""),"MI")</f>
        <v>MI</v>
      </c>
      <c r="R2384" s="8" t="str">
        <f ca="1">IFERROR(__xludf.DUMMYFUNCTION("""COMPUTED_VALUE"""),"High")</f>
        <v>High</v>
      </c>
      <c r="S2384" s="8" t="str">
        <f ca="1">IFERROR(__xludf.DUMMYFUNCTION("""COMPUTED_VALUE"""),"Classroom")</f>
        <v>Classroom</v>
      </c>
      <c r="T2384" s="8" t="str">
        <f ca="1">IFERROR(__xludf.DUMMYFUNCTION("""COMPUTED_VALUE"""),"Inside School Building")</f>
        <v>Inside School Building</v>
      </c>
      <c r="U2384" s="8" t="str">
        <f ca="1">IFERROR(__xludf.DUMMYFUNCTION("""COMPUTED_VALUE"""),"Yes")</f>
        <v>Yes</v>
      </c>
      <c r="V2384" s="8" t="str">
        <f ca="1">IFERROR(__xludf.DUMMYFUNCTION("""COMPUTED_VALUE"""),"Afternoon Classes")</f>
        <v>Afternoon Classes</v>
      </c>
      <c r="W2384" s="11">
        <f ca="1">IFERROR(__xludf.DUMMYFUNCTION("""COMPUTED_VALUE"""),0.611111111111111)</f>
        <v>0.61111111111111105</v>
      </c>
      <c r="X2384" s="8">
        <f ca="1">IFERROR(__xludf.DUMMYFUNCTION("""COMPUTED_VALUE"""),216)</f>
        <v>216</v>
      </c>
      <c r="Y2384" s="12" t="str">
        <f ca="1">IFERROR(__xludf.DUMMYFUNCTION("""COMPUTED_VALUE"""),"Upset about break-up, looking for girlfriend, took other student and teacher hostage, commit suicide")</f>
        <v>Upset about break-up, looking for girlfriend, took other student and teacher hostage, commit suicide</v>
      </c>
      <c r="Z2384" s="12" t="str">
        <f ca="1">IFERROR(__xludf.DUMMYFUNCTION("""COMPUTED_VALUE"""),"17YOM former student (expelled) was upset about breakup with girlfriend 2 days prior. He went to school looking for her but she wasn't there. Had a .22 rifle and shotgun. In the science classroom he took a 15 YOF student and the teacher hostage for almost"&amp;" 3 hours before shooting himself when police entered. Principal said he did not believe the student was violent or worry about him when he was expelled. Weapons: 20-gauge shotgun, .22 rifle")</f>
        <v>17YOM former student (expelled) was upset about breakup with girlfriend 2 days prior. He went to school looking for her but she wasn't there. Had a .22 rifle and shotgun. In the science classroom he took a 15 YOF student and the teacher hostage for almost 3 hours before shooting himself when police entered. Principal said he did not believe the student was violent or worry about him when he was expelled. Weapons: 20-gauge shotgun, .22 rifle</v>
      </c>
      <c r="AA2384" s="8" t="str">
        <f ca="1">IFERROR(__xludf.DUMMYFUNCTION("""COMPUTED_VALUE"""),"Hostage/Standoff")</f>
        <v>Hostage/Standoff</v>
      </c>
      <c r="AB2384" s="8"/>
      <c r="AC2384" s="8"/>
      <c r="AD2384" s="8" t="str">
        <f ca="1">IFERROR(__xludf.DUMMYFUNCTION("""COMPUTED_VALUE"""),"Victims Targeted")</f>
        <v>Victims Targeted</v>
      </c>
      <c r="AE2384" s="8" t="str">
        <f ca="1">IFERROR(__xludf.DUMMYFUNCTION("""COMPUTED_VALUE"""),"No")</f>
        <v>No</v>
      </c>
      <c r="AF2384" s="8"/>
      <c r="AG2384" s="8" t="str">
        <f ca="1">IFERROR(__xludf.DUMMYFUNCTION("""COMPUTED_VALUE"""),"Yes")</f>
        <v>Yes</v>
      </c>
      <c r="AH2384" s="8" t="str">
        <f ca="1">IFERROR(__xludf.DUMMYFUNCTION("""COMPUTED_VALUE"""),"Yes")</f>
        <v>Yes</v>
      </c>
      <c r="AI2384" s="8" t="str">
        <f ca="1">IFERROR(__xludf.DUMMYFUNCTION("""COMPUTED_VALUE"""),"No")</f>
        <v>No</v>
      </c>
      <c r="AJ2384" s="8" t="str">
        <f ca="1">IFERROR(__xludf.DUMMYFUNCTION("""COMPUTED_VALUE"""),"No")</f>
        <v>No</v>
      </c>
      <c r="AK2384" s="8" t="str">
        <f ca="1">IFERROR(__xludf.DUMMYFUNCTION("""COMPUTED_VALUE"""),"No")</f>
        <v>No</v>
      </c>
      <c r="AL2384" s="8" t="str">
        <f ca="1">IFERROR(__xludf.DUMMYFUNCTION("""COMPUTED_VALUE"""),"No")</f>
        <v>No</v>
      </c>
      <c r="AM2384" s="8" t="str">
        <f ca="1">IFERROR(__xludf.DUMMYFUNCTION("""COMPUTED_VALUE"""),"Yes")</f>
        <v>Yes</v>
      </c>
      <c r="AN2384" s="8" t="str">
        <f ca="1">IFERROR(__xludf.DUMMYFUNCTION("""COMPUTED_VALUE"""),"Multiple Rooms")</f>
        <v>Multiple Rooms</v>
      </c>
      <c r="AO2384" s="8" t="str">
        <f ca="1">IFERROR(__xludf.DUMMYFUNCTION("""COMPUTED_VALUE"""),"Yes")</f>
        <v>Yes</v>
      </c>
      <c r="AP2384" s="8" t="str">
        <f ca="1">IFERROR(__xludf.DUMMYFUNCTION("""COMPUTED_VALUE"""),"No")</f>
        <v>No</v>
      </c>
      <c r="AQ2384" s="8" t="str">
        <f ca="1">IFERROR(__xludf.DUMMYFUNCTION("""COMPUTED_VALUE"""),"None")</f>
        <v>None</v>
      </c>
      <c r="AR2384" s="8" t="str">
        <f ca="1">IFERROR(__xludf.DUMMYFUNCTION("""COMPUTED_VALUE"""),"NA")</f>
        <v>NA</v>
      </c>
      <c r="AS2384" s="8">
        <f ca="1">IFERROR(__xludf.DUMMYFUNCTION("""COMPUTED_VALUE"""),2)</f>
        <v>2</v>
      </c>
      <c r="AT2384" s="8"/>
      <c r="AU2384" s="8">
        <f ca="1">IFERROR(__xludf.DUMMYFUNCTION("""COMPUTED_VALUE"""),43.501174)</f>
        <v>43.501173999999999</v>
      </c>
      <c r="AV2384" s="8">
        <f ca="1">IFERROR(__xludf.DUMMYFUNCTION("""COMPUTED_VALUE"""),-83.380751)</f>
        <v>-83.380751000000004</v>
      </c>
      <c r="AW2384" s="8"/>
      <c r="AX2384" s="8">
        <f ca="1">IFERROR(__xludf.DUMMYFUNCTION("""COMPUTED_VALUE"""),48723)</f>
        <v>48723</v>
      </c>
    </row>
    <row r="2385" spans="1:50" ht="60" x14ac:dyDescent="0.2">
      <c r="A2385" s="8" t="str">
        <f ca="1">IFERROR(__xludf.DUMMYFUNCTION("""COMPUTED_VALUE"""),"20011026MIBES")</f>
        <v>20011026MIBES</v>
      </c>
      <c r="B2385" s="8">
        <f ca="1">IFERROR(__xludf.DUMMYFUNCTION("""COMPUTED_VALUE"""),10)</f>
        <v>10</v>
      </c>
      <c r="C2385" s="8">
        <f ca="1">IFERROR(__xludf.DUMMYFUNCTION("""COMPUTED_VALUE"""),26)</f>
        <v>26</v>
      </c>
      <c r="D2385" s="8">
        <f ca="1">IFERROR(__xludf.DUMMYFUNCTION("""COMPUTED_VALUE"""),2001)</f>
        <v>2001</v>
      </c>
      <c r="E2385" s="9">
        <f ca="1">IFERROR(__xludf.DUMMYFUNCTION("""COMPUTED_VALUE"""),37190)</f>
        <v>37190</v>
      </c>
      <c r="F2385" s="8" t="str">
        <f ca="1">IFERROR(__xludf.DUMMYFUNCTION("""COMPUTED_VALUE"""),"Benito Juarez Academy")</f>
        <v>Benito Juarez Academy</v>
      </c>
      <c r="G2385" s="8">
        <f ca="1">IFERROR(__xludf.DUMMYFUNCTION("""COMPUTED_VALUE"""),0)</f>
        <v>0</v>
      </c>
      <c r="H2385" s="8">
        <f ca="1">IFERROR(__xludf.DUMMYFUNCTION("""COMPUTED_VALUE"""),1)</f>
        <v>1</v>
      </c>
      <c r="I2385" s="8">
        <f ca="1">IFERROR(__xludf.DUMMYFUNCTION("""COMPUTED_VALUE"""),1)</f>
        <v>1</v>
      </c>
      <c r="J2385" s="8">
        <f ca="1">IFERROR(__xludf.DUMMYFUNCTION("""COMPUTED_VALUE"""),0)</f>
        <v>0</v>
      </c>
      <c r="K2385" s="10" t="str">
        <f ca="1">IFERROR(__xludf.DUMMYFUNCTION("""COMPUTED_VALUE"""),"https://www.newspapers.com/image/220634008/?terms=High%2BSchool%2BSaginaw%2Bgun%2Bjacket")</f>
        <v>https://www.newspapers.com/image/220634008/?terms=High%2BSchool%2BSaginaw%2Bgun%2Bjacket</v>
      </c>
      <c r="L2385" s="8"/>
      <c r="M2385" s="8"/>
      <c r="N2385" s="8">
        <f ca="1">IFERROR(__xludf.DUMMYFUNCTION("""COMPUTED_VALUE"""),2)</f>
        <v>2</v>
      </c>
      <c r="O2385" s="8" t="str">
        <f ca="1">IFERROR(__xludf.DUMMYFUNCTION("""COMPUTED_VALUE"""),"Fall")</f>
        <v>Fall</v>
      </c>
      <c r="P2385" s="8" t="str">
        <f ca="1">IFERROR(__xludf.DUMMYFUNCTION("""COMPUTED_VALUE"""),"Siginaw")</f>
        <v>Siginaw</v>
      </c>
      <c r="Q2385" s="8" t="str">
        <f ca="1">IFERROR(__xludf.DUMMYFUNCTION("""COMPUTED_VALUE"""),"MI")</f>
        <v>MI</v>
      </c>
      <c r="R2385" s="8" t="str">
        <f ca="1">IFERROR(__xludf.DUMMYFUNCTION("""COMPUTED_VALUE"""),"High")</f>
        <v>High</v>
      </c>
      <c r="S2385" s="8" t="str">
        <f ca="1">IFERROR(__xludf.DUMMYFUNCTION("""COMPUTED_VALUE"""),"Beside Building")</f>
        <v>Beside Building</v>
      </c>
      <c r="T2385" s="8" t="str">
        <f ca="1">IFERROR(__xludf.DUMMYFUNCTION("""COMPUTED_VALUE"""),"Outside on School Property")</f>
        <v>Outside on School Property</v>
      </c>
      <c r="U2385" s="8" t="str">
        <f ca="1">IFERROR(__xludf.DUMMYFUNCTION("""COMPUTED_VALUE"""),"Yes")</f>
        <v>Yes</v>
      </c>
      <c r="V2385" s="8" t="str">
        <f ca="1">IFERROR(__xludf.DUMMYFUNCTION("""COMPUTED_VALUE"""),"Afternoon Classes")</f>
        <v>Afternoon Classes</v>
      </c>
      <c r="W2385" s="11">
        <f ca="1">IFERROR(__xludf.DUMMYFUNCTION("""COMPUTED_VALUE"""),0.572916666666666)</f>
        <v>0.57291666666666596</v>
      </c>
      <c r="X2385" s="8">
        <f ca="1">IFERROR(__xludf.DUMMYFUNCTION("""COMPUTED_VALUE"""),1)</f>
        <v>1</v>
      </c>
      <c r="Y2385" s="12" t="str">
        <f ca="1">IFERROR(__xludf.DUMMYFUNCTION("""COMPUTED_VALUE"""),"Student tossing jacket back and forth, gun in pocket discharged")</f>
        <v>Student tossing jacket back and forth, gun in pocket discharged</v>
      </c>
      <c r="Z2385" s="12" t="str">
        <f ca="1">IFERROR(__xludf.DUMMYFUNCTION("""COMPUTED_VALUE"""),"Students engaged in horseplay were throwing a jacket back and forth. A gun in the pocket discharged striking a student in the leg.")</f>
        <v>Students engaged in horseplay were throwing a jacket back and forth. A gun in the pocket discharged striking a student in the leg.</v>
      </c>
      <c r="AA2385" s="8" t="str">
        <f ca="1">IFERROR(__xludf.DUMMYFUNCTION("""COMPUTED_VALUE"""),"Accidental")</f>
        <v>Accidental</v>
      </c>
      <c r="AB2385" s="8"/>
      <c r="AC2385" s="8"/>
      <c r="AD2385" s="8" t="str">
        <f ca="1">IFERROR(__xludf.DUMMYFUNCTION("""COMPUTED_VALUE"""),"Random Shooting")</f>
        <v>Random Shooting</v>
      </c>
      <c r="AE2385" s="8" t="str">
        <f ca="1">IFERROR(__xludf.DUMMYFUNCTION("""COMPUTED_VALUE"""),"No")</f>
        <v>No</v>
      </c>
      <c r="AF2385" s="8"/>
      <c r="AG2385" s="8" t="str">
        <f ca="1">IFERROR(__xludf.DUMMYFUNCTION("""COMPUTED_VALUE"""),"No")</f>
        <v>No</v>
      </c>
      <c r="AH2385" s="8" t="str">
        <f ca="1">IFERROR(__xludf.DUMMYFUNCTION("""COMPUTED_VALUE"""),"No")</f>
        <v>No</v>
      </c>
      <c r="AI2385" s="8" t="str">
        <f ca="1">IFERROR(__xludf.DUMMYFUNCTION("""COMPUTED_VALUE"""),"No")</f>
        <v>No</v>
      </c>
      <c r="AJ2385" s="8" t="str">
        <f ca="1">IFERROR(__xludf.DUMMYFUNCTION("""COMPUTED_VALUE"""),"No")</f>
        <v>No</v>
      </c>
      <c r="AK2385" s="8" t="str">
        <f ca="1">IFERROR(__xludf.DUMMYFUNCTION("""COMPUTED_VALUE"""),"No")</f>
        <v>No</v>
      </c>
      <c r="AL2385" s="8" t="str">
        <f ca="1">IFERROR(__xludf.DUMMYFUNCTION("""COMPUTED_VALUE"""),"No")</f>
        <v>No</v>
      </c>
      <c r="AM2385" s="8"/>
      <c r="AN2385" s="8"/>
      <c r="AO2385" s="8" t="str">
        <f ca="1">IFERROR(__xludf.DUMMYFUNCTION("""COMPUTED_VALUE"""),"No")</f>
        <v>No</v>
      </c>
      <c r="AP2385" s="8"/>
      <c r="AQ2385" s="8" t="str">
        <f ca="1">IFERROR(__xludf.DUMMYFUNCTION("""COMPUTED_VALUE"""),"Unknown")</f>
        <v>Unknown</v>
      </c>
      <c r="AR2385" s="8" t="str">
        <f ca="1">IFERROR(__xludf.DUMMYFUNCTION("""COMPUTED_VALUE"""),"NA")</f>
        <v>NA</v>
      </c>
      <c r="AS2385" s="8">
        <f ca="1">IFERROR(__xludf.DUMMYFUNCTION("""COMPUTED_VALUE"""),1)</f>
        <v>1</v>
      </c>
      <c r="AT2385" s="8"/>
      <c r="AU2385" s="8">
        <f ca="1">IFERROR(__xludf.DUMMYFUNCTION("""COMPUTED_VALUE"""),43.404401)</f>
        <v>43.404401</v>
      </c>
      <c r="AV2385" s="8">
        <f ca="1">IFERROR(__xludf.DUMMYFUNCTION("""COMPUTED_VALUE"""),-83.913435)</f>
        <v>-83.913435000000007</v>
      </c>
      <c r="AW2385" s="8"/>
      <c r="AX2385" s="8">
        <f ca="1">IFERROR(__xludf.DUMMYFUNCTION("""COMPUTED_VALUE"""),48601)</f>
        <v>48601</v>
      </c>
    </row>
    <row r="2386" spans="1:50" ht="105" x14ac:dyDescent="0.2">
      <c r="A2386" s="8" t="str">
        <f ca="1">IFERROR(__xludf.DUMMYFUNCTION("""COMPUTED_VALUE"""),"20011026CARER")</f>
        <v>20011026CARER</v>
      </c>
      <c r="B2386" s="8">
        <f ca="1">IFERROR(__xludf.DUMMYFUNCTION("""COMPUTED_VALUE"""),10)</f>
        <v>10</v>
      </c>
      <c r="C2386" s="8">
        <f ca="1">IFERROR(__xludf.DUMMYFUNCTION("""COMPUTED_VALUE"""),26)</f>
        <v>26</v>
      </c>
      <c r="D2386" s="8">
        <f ca="1">IFERROR(__xludf.DUMMYFUNCTION("""COMPUTED_VALUE"""),2001)</f>
        <v>2001</v>
      </c>
      <c r="E2386" s="9">
        <f ca="1">IFERROR(__xludf.DUMMYFUNCTION("""COMPUTED_VALUE"""),37190)</f>
        <v>37190</v>
      </c>
      <c r="F2386" s="8" t="str">
        <f ca="1">IFERROR(__xludf.DUMMYFUNCTION("""COMPUTED_VALUE"""),"Redondo Union High School")</f>
        <v>Redondo Union High School</v>
      </c>
      <c r="G2386" s="8">
        <f ca="1">IFERROR(__xludf.DUMMYFUNCTION("""COMPUTED_VALUE"""),0)</f>
        <v>0</v>
      </c>
      <c r="H2386" s="8">
        <f ca="1">IFERROR(__xludf.DUMMYFUNCTION("""COMPUTED_VALUE"""),1)</f>
        <v>1</v>
      </c>
      <c r="I2386" s="8">
        <f ca="1">IFERROR(__xludf.DUMMYFUNCTION("""COMPUTED_VALUE"""),1)</f>
        <v>1</v>
      </c>
      <c r="J2386" s="8">
        <f ca="1">IFERROR(__xludf.DUMMYFUNCTION("""COMPUTED_VALUE"""),0)</f>
        <v>0</v>
      </c>
      <c r="K2386" s="10" t="str">
        <f ca="1">IFERROR(__xludf.DUMMYFUNCTION("""COMPUTED_VALUE"""),"http://articles.latimes.com/2001/oct/27/local/me-62198")</f>
        <v>http://articles.latimes.com/2001/oct/27/local/me-62198</v>
      </c>
      <c r="L2386" s="8"/>
      <c r="M2386" s="8"/>
      <c r="N2386" s="8">
        <f ca="1">IFERROR(__xludf.DUMMYFUNCTION("""COMPUTED_VALUE"""),2)</f>
        <v>2</v>
      </c>
      <c r="O2386" s="8" t="str">
        <f ca="1">IFERROR(__xludf.DUMMYFUNCTION("""COMPUTED_VALUE"""),"Fall")</f>
        <v>Fall</v>
      </c>
      <c r="P2386" s="8" t="str">
        <f ca="1">IFERROR(__xludf.DUMMYFUNCTION("""COMPUTED_VALUE"""),"Redondo Beach")</f>
        <v>Redondo Beach</v>
      </c>
      <c r="Q2386" s="8" t="str">
        <f ca="1">IFERROR(__xludf.DUMMYFUNCTION("""COMPUTED_VALUE"""),"CA")</f>
        <v>CA</v>
      </c>
      <c r="R2386" s="8" t="str">
        <f ca="1">IFERROR(__xludf.DUMMYFUNCTION("""COMPUTED_VALUE"""),"High")</f>
        <v>High</v>
      </c>
      <c r="S2386" s="8" t="str">
        <f ca="1">IFERROR(__xludf.DUMMYFUNCTION("""COMPUTED_VALUE"""),"Courtyard")</f>
        <v>Courtyard</v>
      </c>
      <c r="T2386" s="8" t="str">
        <f ca="1">IFERROR(__xludf.DUMMYFUNCTION("""COMPUTED_VALUE"""),"Outside on School Property")</f>
        <v>Outside on School Property</v>
      </c>
      <c r="U2386" s="8" t="str">
        <f ca="1">IFERROR(__xludf.DUMMYFUNCTION("""COMPUTED_VALUE"""),"Yes")</f>
        <v>Yes</v>
      </c>
      <c r="V2386" s="8" t="str">
        <f ca="1">IFERROR(__xludf.DUMMYFUNCTION("""COMPUTED_VALUE"""),"Morning Classes")</f>
        <v>Morning Classes</v>
      </c>
      <c r="W2386" s="11">
        <f ca="1">IFERROR(__xludf.DUMMYFUNCTION("""COMPUTED_VALUE"""),0.416666666666666)</f>
        <v>0.41666666666666602</v>
      </c>
      <c r="X2386" s="8">
        <f ca="1">IFERROR(__xludf.DUMMYFUNCTION("""COMPUTED_VALUE"""),1)</f>
        <v>1</v>
      </c>
      <c r="Y2386" s="12" t="str">
        <f ca="1">IFERROR(__xludf.DUMMYFUNCTION("""COMPUTED_VALUE"""),"Gun fell out of backpack, fired, and struck student")</f>
        <v>Gun fell out of backpack, fired, and struck student</v>
      </c>
      <c r="Z2386" s="12" t="str">
        <f ca="1">IFERROR(__xludf.DUMMYFUNCTION("""COMPUTED_VALUE"""),"18YOM had a gun in his backpack. It fell out and fired striking another student. 75 students were present in the outdoor quad of the school and thought a cherry bomb had gone off. 45 minutes later it was determined a gun had gone off. Student went to the "&amp;"nurses office and requested treatment for pain. Taken to hospital and doctors found that he had been shot and his lung was punctured.")</f>
        <v>18YOM had a gun in his backpack. It fell out and fired striking another student. 75 students were present in the outdoor quad of the school and thought a cherry bomb had gone off. 45 minutes later it was determined a gun had gone off. Student went to the nurses office and requested treatment for pain. Taken to hospital and doctors found that he had been shot and his lung was punctured.</v>
      </c>
      <c r="AA2386" s="8" t="str">
        <f ca="1">IFERROR(__xludf.DUMMYFUNCTION("""COMPUTED_VALUE"""),"Accidental")</f>
        <v>Accidental</v>
      </c>
      <c r="AB2386" s="8"/>
      <c r="AC2386" s="8"/>
      <c r="AD2386" s="8" t="str">
        <f ca="1">IFERROR(__xludf.DUMMYFUNCTION("""COMPUTED_VALUE"""),"Random Shooting")</f>
        <v>Random Shooting</v>
      </c>
      <c r="AE2386" s="8" t="str">
        <f ca="1">IFERROR(__xludf.DUMMYFUNCTION("""COMPUTED_VALUE"""),"No")</f>
        <v>No</v>
      </c>
      <c r="AF2386" s="8"/>
      <c r="AG2386" s="8" t="str">
        <f ca="1">IFERROR(__xludf.DUMMYFUNCTION("""COMPUTED_VALUE"""),"No")</f>
        <v>No</v>
      </c>
      <c r="AH2386" s="8" t="str">
        <f ca="1">IFERROR(__xludf.DUMMYFUNCTION("""COMPUTED_VALUE"""),"No")</f>
        <v>No</v>
      </c>
      <c r="AI2386" s="8" t="str">
        <f ca="1">IFERROR(__xludf.DUMMYFUNCTION("""COMPUTED_VALUE"""),"No")</f>
        <v>No</v>
      </c>
      <c r="AJ2386" s="8" t="str">
        <f ca="1">IFERROR(__xludf.DUMMYFUNCTION("""COMPUTED_VALUE"""),"No")</f>
        <v>No</v>
      </c>
      <c r="AK2386" s="8" t="str">
        <f ca="1">IFERROR(__xludf.DUMMYFUNCTION("""COMPUTED_VALUE"""),"No")</f>
        <v>No</v>
      </c>
      <c r="AL2386" s="8" t="str">
        <f ca="1">IFERROR(__xludf.DUMMYFUNCTION("""COMPUTED_VALUE"""),"No")</f>
        <v>No</v>
      </c>
      <c r="AM2386" s="8"/>
      <c r="AN2386" s="8"/>
      <c r="AO2386" s="8" t="str">
        <f ca="1">IFERROR(__xludf.DUMMYFUNCTION("""COMPUTED_VALUE"""),"No")</f>
        <v>No</v>
      </c>
      <c r="AP2386" s="8" t="str">
        <f ca="1">IFERROR(__xludf.DUMMYFUNCTION("""COMPUTED_VALUE"""),"No")</f>
        <v>No</v>
      </c>
      <c r="AQ2386" s="8" t="str">
        <f ca="1">IFERROR(__xludf.DUMMYFUNCTION("""COMPUTED_VALUE"""),"Unknown")</f>
        <v>Unknown</v>
      </c>
      <c r="AR2386" s="8" t="str">
        <f ca="1">IFERROR(__xludf.DUMMYFUNCTION("""COMPUTED_VALUE"""),"NA")</f>
        <v>NA</v>
      </c>
      <c r="AS2386" s="8">
        <f ca="1">IFERROR(__xludf.DUMMYFUNCTION("""COMPUTED_VALUE"""),1)</f>
        <v>1</v>
      </c>
      <c r="AT2386" s="8"/>
      <c r="AU2386" s="8">
        <f ca="1">IFERROR(__xludf.DUMMYFUNCTION("""COMPUTED_VALUE"""),33.846948)</f>
        <v>33.846947999999998</v>
      </c>
      <c r="AV2386" s="8">
        <f ca="1">IFERROR(__xludf.DUMMYFUNCTION("""COMPUTED_VALUE"""),-118.383989)</f>
        <v>-118.383989</v>
      </c>
      <c r="AW2386" s="8"/>
      <c r="AX2386" s="8">
        <f ca="1">IFERROR(__xludf.DUMMYFUNCTION("""COMPUTED_VALUE"""),90277)</f>
        <v>90277</v>
      </c>
    </row>
    <row r="2387" spans="1:50" ht="45" x14ac:dyDescent="0.2">
      <c r="A2387" s="8" t="str">
        <f ca="1">IFERROR(__xludf.DUMMYFUNCTION("""COMPUTED_VALUE"""),"20011012UTTAT")</f>
        <v>20011012UTTAT</v>
      </c>
      <c r="B2387" s="8">
        <f ca="1">IFERROR(__xludf.DUMMYFUNCTION("""COMPUTED_VALUE"""),10)</f>
        <v>10</v>
      </c>
      <c r="C2387" s="8">
        <f ca="1">IFERROR(__xludf.DUMMYFUNCTION("""COMPUTED_VALUE"""),12)</f>
        <v>12</v>
      </c>
      <c r="D2387" s="8">
        <f ca="1">IFERROR(__xludf.DUMMYFUNCTION("""COMPUTED_VALUE"""),2001)</f>
        <v>2001</v>
      </c>
      <c r="E2387" s="9">
        <f ca="1">IFERROR(__xludf.DUMMYFUNCTION("""COMPUTED_VALUE"""),37176)</f>
        <v>37176</v>
      </c>
      <c r="F2387" s="8" t="str">
        <f ca="1">IFERROR(__xludf.DUMMYFUNCTION("""COMPUTED_VALUE"""),"Taylorsville High School")</f>
        <v>Taylorsville High School</v>
      </c>
      <c r="G2387" s="8">
        <f ca="1">IFERROR(__xludf.DUMMYFUNCTION("""COMPUTED_VALUE"""),0)</f>
        <v>0</v>
      </c>
      <c r="H2387" s="8">
        <f ca="1">IFERROR(__xludf.DUMMYFUNCTION("""COMPUTED_VALUE"""),0)</f>
        <v>0</v>
      </c>
      <c r="I2387" s="8">
        <f ca="1">IFERROR(__xludf.DUMMYFUNCTION("""COMPUTED_VALUE"""),0)</f>
        <v>0</v>
      </c>
      <c r="J2387" s="8">
        <f ca="1">IFERROR(__xludf.DUMMYFUNCTION("""COMPUTED_VALUE"""),1)</f>
        <v>1</v>
      </c>
      <c r="K2387" s="10" t="str">
        <f ca="1">IFERROR(__xludf.DUMMYFUNCTION("""COMPUTED_VALUE"""),"https://www.deseretnews.com/article/868847/Boy-shoots-self-at-school.html")</f>
        <v>https://www.deseretnews.com/article/868847/Boy-shoots-self-at-school.html</v>
      </c>
      <c r="L2387" s="8"/>
      <c r="M2387" s="8"/>
      <c r="N2387" s="8">
        <f ca="1">IFERROR(__xludf.DUMMYFUNCTION("""COMPUTED_VALUE"""),2)</f>
        <v>2</v>
      </c>
      <c r="O2387" s="8" t="str">
        <f ca="1">IFERROR(__xludf.DUMMYFUNCTION("""COMPUTED_VALUE"""),"Fall")</f>
        <v>Fall</v>
      </c>
      <c r="P2387" s="8" t="str">
        <f ca="1">IFERROR(__xludf.DUMMYFUNCTION("""COMPUTED_VALUE"""),"Taylorsville")</f>
        <v>Taylorsville</v>
      </c>
      <c r="Q2387" s="8" t="str">
        <f ca="1">IFERROR(__xludf.DUMMYFUNCTION("""COMPUTED_VALUE"""),"UT")</f>
        <v>UT</v>
      </c>
      <c r="R2387" s="8" t="str">
        <f ca="1">IFERROR(__xludf.DUMMYFUNCTION("""COMPUTED_VALUE"""),"High")</f>
        <v>High</v>
      </c>
      <c r="S2387" s="8" t="str">
        <f ca="1">IFERROR(__xludf.DUMMYFUNCTION("""COMPUTED_VALUE"""),"Hallway")</f>
        <v>Hallway</v>
      </c>
      <c r="T2387" s="8" t="str">
        <f ca="1">IFERROR(__xludf.DUMMYFUNCTION("""COMPUTED_VALUE"""),"Inside School Building")</f>
        <v>Inside School Building</v>
      </c>
      <c r="U2387" s="8" t="str">
        <f ca="1">IFERROR(__xludf.DUMMYFUNCTION("""COMPUTED_VALUE"""),"Yes")</f>
        <v>Yes</v>
      </c>
      <c r="V2387" s="8" t="str">
        <f ca="1">IFERROR(__xludf.DUMMYFUNCTION("""COMPUTED_VALUE"""),"Afternoon Classes")</f>
        <v>Afternoon Classes</v>
      </c>
      <c r="W2387" s="8"/>
      <c r="X2387" s="8">
        <f ca="1">IFERROR(__xludf.DUMMYFUNCTION("""COMPUTED_VALUE"""),1)</f>
        <v>1</v>
      </c>
      <c r="Y2387" s="12" t="str">
        <f ca="1">IFERROR(__xludf.DUMMYFUNCTION("""COMPUTED_VALUE"""),"Commit suicide in hallway")</f>
        <v>Commit suicide in hallway</v>
      </c>
      <c r="Z2387" s="12" t="str">
        <f ca="1">IFERROR(__xludf.DUMMYFUNCTION("""COMPUTED_VALUE"""),"17YOM student shot himself once in the hallway while classes were being held. No witnesses. School as locked down.")</f>
        <v>17YOM student shot himself once in the hallway while classes were being held. No witnesses. School as locked down.</v>
      </c>
      <c r="AA2387" s="8" t="str">
        <f ca="1">IFERROR(__xludf.DUMMYFUNCTION("""COMPUTED_VALUE"""),"Suicide/Attempted")</f>
        <v>Suicide/Attempted</v>
      </c>
      <c r="AB2387" s="8"/>
      <c r="AC2387" s="8"/>
      <c r="AD2387" s="8" t="str">
        <f ca="1">IFERROR(__xludf.DUMMYFUNCTION("""COMPUTED_VALUE"""),"Victims Targeted")</f>
        <v>Victims Targeted</v>
      </c>
      <c r="AE2387" s="8" t="str">
        <f ca="1">IFERROR(__xludf.DUMMYFUNCTION("""COMPUTED_VALUE"""),"No")</f>
        <v>No</v>
      </c>
      <c r="AF2387" s="8"/>
      <c r="AG2387" s="8" t="str">
        <f ca="1">IFERROR(__xludf.DUMMYFUNCTION("""COMPUTED_VALUE"""),"No")</f>
        <v>No</v>
      </c>
      <c r="AH2387" s="8" t="str">
        <f ca="1">IFERROR(__xludf.DUMMYFUNCTION("""COMPUTED_VALUE"""),"No")</f>
        <v>No</v>
      </c>
      <c r="AI2387" s="8" t="str">
        <f ca="1">IFERROR(__xludf.DUMMYFUNCTION("""COMPUTED_VALUE"""),"No")</f>
        <v>No</v>
      </c>
      <c r="AJ2387" s="8" t="str">
        <f ca="1">IFERROR(__xludf.DUMMYFUNCTION("""COMPUTED_VALUE"""),"No")</f>
        <v>No</v>
      </c>
      <c r="AK2387" s="8" t="str">
        <f ca="1">IFERROR(__xludf.DUMMYFUNCTION("""COMPUTED_VALUE"""),"No")</f>
        <v>No</v>
      </c>
      <c r="AL2387" s="8" t="str">
        <f ca="1">IFERROR(__xludf.DUMMYFUNCTION("""COMPUTED_VALUE"""),"No")</f>
        <v>No</v>
      </c>
      <c r="AM2387" s="8"/>
      <c r="AN2387" s="8"/>
      <c r="AO2387" s="8" t="str">
        <f ca="1">IFERROR(__xludf.DUMMYFUNCTION("""COMPUTED_VALUE"""),"No")</f>
        <v>No</v>
      </c>
      <c r="AP2387" s="8"/>
      <c r="AQ2387" s="8" t="str">
        <f ca="1">IFERROR(__xludf.DUMMYFUNCTION("""COMPUTED_VALUE"""),"Unknown")</f>
        <v>Unknown</v>
      </c>
      <c r="AR2387" s="8" t="str">
        <f ca="1">IFERROR(__xludf.DUMMYFUNCTION("""COMPUTED_VALUE"""),"NA")</f>
        <v>NA</v>
      </c>
      <c r="AS2387" s="8">
        <f ca="1">IFERROR(__xludf.DUMMYFUNCTION("""COMPUTED_VALUE"""),1)</f>
        <v>1</v>
      </c>
      <c r="AT2387" s="8"/>
      <c r="AU2387" s="8">
        <f ca="1">IFERROR(__xludf.DUMMYFUNCTION("""COMPUTED_VALUE"""),40.655289)</f>
        <v>40.655289000000003</v>
      </c>
      <c r="AV2387" s="8">
        <f ca="1">IFERROR(__xludf.DUMMYFUNCTION("""COMPUTED_VALUE"""),-111.937208)</f>
        <v>-111.937208</v>
      </c>
      <c r="AW2387" s="8"/>
      <c r="AX2387" s="8">
        <f ca="1">IFERROR(__xludf.DUMMYFUNCTION("""COMPUTED_VALUE"""),84123)</f>
        <v>84123</v>
      </c>
    </row>
    <row r="2388" spans="1:50" ht="75" x14ac:dyDescent="0.2">
      <c r="A2388" s="8" t="str">
        <f ca="1">IFERROR(__xludf.DUMMYFUNCTION("""COMPUTED_VALUE"""),"20010921MDLAB")</f>
        <v>20010921MDLAB</v>
      </c>
      <c r="B2388" s="8">
        <f ca="1">IFERROR(__xludf.DUMMYFUNCTION("""COMPUTED_VALUE"""),9)</f>
        <v>9</v>
      </c>
      <c r="C2388" s="8">
        <f ca="1">IFERROR(__xludf.DUMMYFUNCTION("""COMPUTED_VALUE"""),21)</f>
        <v>21</v>
      </c>
      <c r="D2388" s="8">
        <f ca="1">IFERROR(__xludf.DUMMYFUNCTION("""COMPUTED_VALUE"""),2001)</f>
        <v>2001</v>
      </c>
      <c r="E2388" s="9">
        <f ca="1">IFERROR(__xludf.DUMMYFUNCTION("""COMPUTED_VALUE"""),37155)</f>
        <v>37155</v>
      </c>
      <c r="F2388" s="8" t="str">
        <f ca="1">IFERROR(__xludf.DUMMYFUNCTION("""COMPUTED_VALUE"""),"Lake Clifton Eastern High School")</f>
        <v>Lake Clifton Eastern High School</v>
      </c>
      <c r="G2388" s="8">
        <f ca="1">IFERROR(__xludf.DUMMYFUNCTION("""COMPUTED_VALUE"""),0)</f>
        <v>0</v>
      </c>
      <c r="H2388" s="8">
        <f ca="1">IFERROR(__xludf.DUMMYFUNCTION("""COMPUTED_VALUE"""),1)</f>
        <v>1</v>
      </c>
      <c r="I2388" s="8">
        <f ca="1">IFERROR(__xludf.DUMMYFUNCTION("""COMPUTED_VALUE"""),1)</f>
        <v>1</v>
      </c>
      <c r="J2388" s="8">
        <f ca="1">IFERROR(__xludf.DUMMYFUNCTION("""COMPUTED_VALUE"""),0)</f>
        <v>0</v>
      </c>
      <c r="K2388" s="10" t="str">
        <f ca="1">IFERROR(__xludf.DUMMYFUNCTION("""COMPUTED_VALUE"""),"http://articles.baltimoresun.com/2001-09-21/news/0109210200_1_lake-clifton-neighborhood-dispute-inside-the-school")</f>
        <v>http://articles.baltimoresun.com/2001-09-21/news/0109210200_1_lake-clifton-neighborhood-dispute-inside-the-school</v>
      </c>
      <c r="L2388" s="8"/>
      <c r="M2388" s="8"/>
      <c r="N2388" s="8">
        <f ca="1">IFERROR(__xludf.DUMMYFUNCTION("""COMPUTED_VALUE"""),2)</f>
        <v>2</v>
      </c>
      <c r="O2388" s="8" t="str">
        <f ca="1">IFERROR(__xludf.DUMMYFUNCTION("""COMPUTED_VALUE"""),"Fall")</f>
        <v>Fall</v>
      </c>
      <c r="P2388" s="8" t="str">
        <f ca="1">IFERROR(__xludf.DUMMYFUNCTION("""COMPUTED_VALUE"""),"Baltimore")</f>
        <v>Baltimore</v>
      </c>
      <c r="Q2388" s="8" t="str">
        <f ca="1">IFERROR(__xludf.DUMMYFUNCTION("""COMPUTED_VALUE"""),"MD")</f>
        <v>MD</v>
      </c>
      <c r="R2388" s="8" t="str">
        <f ca="1">IFERROR(__xludf.DUMMYFUNCTION("""COMPUTED_VALUE"""),"High")</f>
        <v>High</v>
      </c>
      <c r="S2388" s="8" t="str">
        <f ca="1">IFERROR(__xludf.DUMMYFUNCTION("""COMPUTED_VALUE"""),"Cafeteria")</f>
        <v>Cafeteria</v>
      </c>
      <c r="T2388" s="8" t="str">
        <f ca="1">IFERROR(__xludf.DUMMYFUNCTION("""COMPUTED_VALUE"""),"Inside School Building")</f>
        <v>Inside School Building</v>
      </c>
      <c r="U2388" s="8" t="str">
        <f ca="1">IFERROR(__xludf.DUMMYFUNCTION("""COMPUTED_VALUE"""),"Yes")</f>
        <v>Yes</v>
      </c>
      <c r="V2388" s="8" t="str">
        <f ca="1">IFERROR(__xludf.DUMMYFUNCTION("""COMPUTED_VALUE"""),"Lunch")</f>
        <v>Lunch</v>
      </c>
      <c r="W2388" s="11">
        <f ca="1">IFERROR(__xludf.DUMMYFUNCTION("""COMPUTED_VALUE"""),0.541666666666666)</f>
        <v>0.54166666666666596</v>
      </c>
      <c r="X2388" s="8">
        <f ca="1">IFERROR(__xludf.DUMMYFUNCTION("""COMPUTED_VALUE"""),1)</f>
        <v>1</v>
      </c>
      <c r="Y2388" s="12" t="str">
        <f ca="1">IFERROR(__xludf.DUMMYFUNCTION("""COMPUTED_VALUE"""),"Ongoing fight related to neighborhood dispute between students")</f>
        <v>Ongoing fight related to neighborhood dispute between students</v>
      </c>
      <c r="Z2388" s="12" t="str">
        <f ca="1">IFERROR(__xludf.DUMMYFUNCTION("""COMPUTED_VALUE"""),"16YOM fired two shots at a 17YOM student during a fight at lunch. Police said the shooting was related to an ongoing ""neighborhood dispute"".")</f>
        <v>16YOM fired two shots at a 17YOM student during a fight at lunch. Police said the shooting was related to an ongoing "neighborhood dispute".</v>
      </c>
      <c r="AA2388" s="8" t="str">
        <f ca="1">IFERROR(__xludf.DUMMYFUNCTION("""COMPUTED_VALUE"""),"Escalation of Dispute")</f>
        <v>Escalation of Dispute</v>
      </c>
      <c r="AB2388" s="8"/>
      <c r="AC2388" s="8"/>
      <c r="AD2388" s="8" t="str">
        <f ca="1">IFERROR(__xludf.DUMMYFUNCTION("""COMPUTED_VALUE"""),"Victims Targeted")</f>
        <v>Victims Targeted</v>
      </c>
      <c r="AE2388" s="8" t="str">
        <f ca="1">IFERROR(__xludf.DUMMYFUNCTION("""COMPUTED_VALUE"""),"No")</f>
        <v>No</v>
      </c>
      <c r="AF2388" s="8"/>
      <c r="AG2388" s="8" t="str">
        <f ca="1">IFERROR(__xludf.DUMMYFUNCTION("""COMPUTED_VALUE"""),"No")</f>
        <v>No</v>
      </c>
      <c r="AH2388" s="8" t="str">
        <f ca="1">IFERROR(__xludf.DUMMYFUNCTION("""COMPUTED_VALUE"""),"No")</f>
        <v>No</v>
      </c>
      <c r="AI2388" s="8" t="str">
        <f ca="1">IFERROR(__xludf.DUMMYFUNCTION("""COMPUTED_VALUE"""),"No")</f>
        <v>No</v>
      </c>
      <c r="AJ2388" s="8" t="str">
        <f ca="1">IFERROR(__xludf.DUMMYFUNCTION("""COMPUTED_VALUE"""),"No")</f>
        <v>No</v>
      </c>
      <c r="AK2388" s="8" t="str">
        <f ca="1">IFERROR(__xludf.DUMMYFUNCTION("""COMPUTED_VALUE"""),"No")</f>
        <v>No</v>
      </c>
      <c r="AL2388" s="8" t="str">
        <f ca="1">IFERROR(__xludf.DUMMYFUNCTION("""COMPUTED_VALUE"""),"Yes")</f>
        <v>Yes</v>
      </c>
      <c r="AM2388" s="8"/>
      <c r="AN2388" s="8"/>
      <c r="AO2388" s="8" t="str">
        <f ca="1">IFERROR(__xludf.DUMMYFUNCTION("""COMPUTED_VALUE"""),"No")</f>
        <v>No</v>
      </c>
      <c r="AP2388" s="8"/>
      <c r="AQ2388" s="8" t="str">
        <f ca="1">IFERROR(__xludf.DUMMYFUNCTION("""COMPUTED_VALUE"""),"Unknown")</f>
        <v>Unknown</v>
      </c>
      <c r="AR2388" s="8" t="str">
        <f ca="1">IFERROR(__xludf.DUMMYFUNCTION("""COMPUTED_VALUE"""),"NA")</f>
        <v>NA</v>
      </c>
      <c r="AS2388" s="8">
        <f ca="1">IFERROR(__xludf.DUMMYFUNCTION("""COMPUTED_VALUE"""),2)</f>
        <v>2</v>
      </c>
      <c r="AT2388" s="8"/>
      <c r="AU2388" s="8">
        <f ca="1">IFERROR(__xludf.DUMMYFUNCTION("""COMPUTED_VALUE"""),39.316301)</f>
        <v>39.316301000000003</v>
      </c>
      <c r="AV2388" s="8">
        <f ca="1">IFERROR(__xludf.DUMMYFUNCTION("""COMPUTED_VALUE"""),-76.589859)</f>
        <v>-76.589859000000004</v>
      </c>
      <c r="AW2388" s="8"/>
      <c r="AX2388" s="8">
        <f ca="1">IFERROR(__xludf.DUMMYFUNCTION("""COMPUTED_VALUE"""),21213)</f>
        <v>21213</v>
      </c>
    </row>
    <row r="2389" spans="1:50" ht="60" x14ac:dyDescent="0.2">
      <c r="A2389" s="8" t="str">
        <f ca="1">IFERROR(__xludf.DUMMYFUNCTION("""COMPUTED_VALUE"""),"20010912KYLAC")</f>
        <v>20010912KYLAC</v>
      </c>
      <c r="B2389" s="8">
        <f ca="1">IFERROR(__xludf.DUMMYFUNCTION("""COMPUTED_VALUE"""),9)</f>
        <v>9</v>
      </c>
      <c r="C2389" s="8">
        <f ca="1">IFERROR(__xludf.DUMMYFUNCTION("""COMPUTED_VALUE"""),12)</f>
        <v>12</v>
      </c>
      <c r="D2389" s="8">
        <f ca="1">IFERROR(__xludf.DUMMYFUNCTION("""COMPUTED_VALUE"""),2001)</f>
        <v>2001</v>
      </c>
      <c r="E2389" s="9">
        <f ca="1">IFERROR(__xludf.DUMMYFUNCTION("""COMPUTED_VALUE"""),37146)</f>
        <v>37146</v>
      </c>
      <c r="F2389" s="8" t="str">
        <f ca="1">IFERROR(__xludf.DUMMYFUNCTION("""COMPUTED_VALUE"""),"Latonia Elementary School")</f>
        <v>Latonia Elementary School</v>
      </c>
      <c r="G2389" s="8">
        <f ca="1">IFERROR(__xludf.DUMMYFUNCTION("""COMPUTED_VALUE"""),1)</f>
        <v>1</v>
      </c>
      <c r="H2389" s="8">
        <f ca="1">IFERROR(__xludf.DUMMYFUNCTION("""COMPUTED_VALUE"""),0)</f>
        <v>0</v>
      </c>
      <c r="I2389" s="8">
        <f ca="1">IFERROR(__xludf.DUMMYFUNCTION("""COMPUTED_VALUE"""),1)</f>
        <v>1</v>
      </c>
      <c r="J2389" s="8">
        <f ca="1">IFERROR(__xludf.DUMMYFUNCTION("""COMPUTED_VALUE"""),0)</f>
        <v>0</v>
      </c>
      <c r="K2389" s="10" t="str">
        <f ca="1">IFERROR(__xludf.DUMMYFUNCTION("""COMPUTED_VALUE"""),"http://www.enquirer.com/editions/2001/09/14/loc_children_who_saw.html")</f>
        <v>http://www.enquirer.com/editions/2001/09/14/loc_children_who_saw.html</v>
      </c>
      <c r="L2389" s="8"/>
      <c r="M2389" s="8"/>
      <c r="N2389" s="8">
        <f ca="1">IFERROR(__xludf.DUMMYFUNCTION("""COMPUTED_VALUE"""),2)</f>
        <v>2</v>
      </c>
      <c r="O2389" s="8" t="str">
        <f ca="1">IFERROR(__xludf.DUMMYFUNCTION("""COMPUTED_VALUE"""),"Fall")</f>
        <v>Fall</v>
      </c>
      <c r="P2389" s="8" t="str">
        <f ca="1">IFERROR(__xludf.DUMMYFUNCTION("""COMPUTED_VALUE"""),"Covington")</f>
        <v>Covington</v>
      </c>
      <c r="Q2389" s="8" t="str">
        <f ca="1">IFERROR(__xludf.DUMMYFUNCTION("""COMPUTED_VALUE"""),"KY")</f>
        <v>KY</v>
      </c>
      <c r="R2389" s="8" t="str">
        <f ca="1">IFERROR(__xludf.DUMMYFUNCTION("""COMPUTED_VALUE"""),"Elementary")</f>
        <v>Elementary</v>
      </c>
      <c r="S2389" s="8" t="str">
        <f ca="1">IFERROR(__xludf.DUMMYFUNCTION("""COMPUTED_VALUE"""),"Parking Lot")</f>
        <v>Parking Lot</v>
      </c>
      <c r="T2389" s="8" t="str">
        <f ca="1">IFERROR(__xludf.DUMMYFUNCTION("""COMPUTED_VALUE"""),"Outside on School Property")</f>
        <v>Outside on School Property</v>
      </c>
      <c r="U2389" s="8" t="str">
        <f ca="1">IFERROR(__xludf.DUMMYFUNCTION("""COMPUTED_VALUE"""),"Yes")</f>
        <v>Yes</v>
      </c>
      <c r="V2389" s="8" t="str">
        <f ca="1">IFERROR(__xludf.DUMMYFUNCTION("""COMPUTED_VALUE"""),"Dismissal")</f>
        <v>Dismissal</v>
      </c>
      <c r="W2389" s="11">
        <f ca="1">IFERROR(__xludf.DUMMYFUNCTION("""COMPUTED_VALUE"""),0.625)</f>
        <v>0.625</v>
      </c>
      <c r="X2389" s="8">
        <f ca="1">IFERROR(__xludf.DUMMYFUNCTION("""COMPUTED_VALUE"""),1)</f>
        <v>1</v>
      </c>
      <c r="Y2389" s="12" t="str">
        <f ca="1">IFERROR(__xludf.DUMMYFUNCTION("""COMPUTED_VALUE"""),"Fight between parents escalated into shooting in front of students")</f>
        <v>Fight between parents escalated into shooting in front of students</v>
      </c>
      <c r="Z2389" s="12" t="str">
        <f ca="1">IFERROR(__xludf.DUMMYFUNCTION("""COMPUTED_VALUE"""),"Fight between parents in the parking lot as school was dismissing. 30YOF shot 29 YOF in the neck.")</f>
        <v>Fight between parents in the parking lot as school was dismissing. 30YOF shot 29 YOF in the neck.</v>
      </c>
      <c r="AA2389" s="8" t="str">
        <f ca="1">IFERROR(__xludf.DUMMYFUNCTION("""COMPUTED_VALUE"""),"Escalation of Dispute")</f>
        <v>Escalation of Dispute</v>
      </c>
      <c r="AB2389" s="8"/>
      <c r="AC2389" s="8"/>
      <c r="AD2389" s="8" t="str">
        <f ca="1">IFERROR(__xludf.DUMMYFUNCTION("""COMPUTED_VALUE"""),"Victims Targeted")</f>
        <v>Victims Targeted</v>
      </c>
      <c r="AE2389" s="8"/>
      <c r="AF2389" s="8"/>
      <c r="AG2389" s="8" t="str">
        <f ca="1">IFERROR(__xludf.DUMMYFUNCTION("""COMPUTED_VALUE"""),"No")</f>
        <v>No</v>
      </c>
      <c r="AH2389" s="8" t="str">
        <f ca="1">IFERROR(__xludf.DUMMYFUNCTION("""COMPUTED_VALUE"""),"No")</f>
        <v>No</v>
      </c>
      <c r="AI2389" s="8" t="str">
        <f ca="1">IFERROR(__xludf.DUMMYFUNCTION("""COMPUTED_VALUE"""),"No")</f>
        <v>No</v>
      </c>
      <c r="AJ2389" s="8" t="str">
        <f ca="1">IFERROR(__xludf.DUMMYFUNCTION("""COMPUTED_VALUE"""),"No")</f>
        <v>No</v>
      </c>
      <c r="AK2389" s="8" t="str">
        <f ca="1">IFERROR(__xludf.DUMMYFUNCTION("""COMPUTED_VALUE"""),"No")</f>
        <v>No</v>
      </c>
      <c r="AL2389" s="8" t="str">
        <f ca="1">IFERROR(__xludf.DUMMYFUNCTION("""COMPUTED_VALUE"""),"No")</f>
        <v>No</v>
      </c>
      <c r="AM2389" s="8"/>
      <c r="AN2389" s="8"/>
      <c r="AO2389" s="8" t="str">
        <f ca="1">IFERROR(__xludf.DUMMYFUNCTION("""COMPUTED_VALUE"""),"No")</f>
        <v>No</v>
      </c>
      <c r="AP2389" s="8" t="str">
        <f ca="1">IFERROR(__xludf.DUMMYFUNCTION("""COMPUTED_VALUE"""),"No")</f>
        <v>No</v>
      </c>
      <c r="AQ2389" s="8" t="str">
        <f ca="1">IFERROR(__xludf.DUMMYFUNCTION("""COMPUTED_VALUE"""),"Unknown")</f>
        <v>Unknown</v>
      </c>
      <c r="AR2389" s="8" t="str">
        <f ca="1">IFERROR(__xludf.DUMMYFUNCTION("""COMPUTED_VALUE"""),"NA")</f>
        <v>NA</v>
      </c>
      <c r="AS2389" s="8"/>
      <c r="AT2389" s="8"/>
      <c r="AU2389" s="8">
        <f ca="1">IFERROR(__xludf.DUMMYFUNCTION("""COMPUTED_VALUE"""),39.043988)</f>
        <v>39.043987999999999</v>
      </c>
      <c r="AV2389" s="8">
        <f ca="1">IFERROR(__xludf.DUMMYFUNCTION("""COMPUTED_VALUE"""),-84.498122)</f>
        <v>-84.498121999999995</v>
      </c>
      <c r="AW2389" s="8"/>
      <c r="AX2389" s="8">
        <f ca="1">IFERROR(__xludf.DUMMYFUNCTION("""COMPUTED_VALUE"""),41015)</f>
        <v>41015</v>
      </c>
    </row>
    <row r="2390" spans="1:50" ht="60" x14ac:dyDescent="0.2">
      <c r="A2390" s="8" t="str">
        <f ca="1">IFERROR(__xludf.DUMMYFUNCTION("""COMPUTED_VALUE"""),"20010730CABEL")</f>
        <v>20010730CABEL</v>
      </c>
      <c r="B2390" s="8">
        <f ca="1">IFERROR(__xludf.DUMMYFUNCTION("""COMPUTED_VALUE"""),7)</f>
        <v>7</v>
      </c>
      <c r="C2390" s="8">
        <f ca="1">IFERROR(__xludf.DUMMYFUNCTION("""COMPUTED_VALUE"""),30)</f>
        <v>30</v>
      </c>
      <c r="D2390" s="8">
        <f ca="1">IFERROR(__xludf.DUMMYFUNCTION("""COMPUTED_VALUE"""),2001)</f>
        <v>2001</v>
      </c>
      <c r="E2390" s="9">
        <f ca="1">IFERROR(__xludf.DUMMYFUNCTION("""COMPUTED_VALUE"""),37102)</f>
        <v>37102</v>
      </c>
      <c r="F2390" s="8" t="str">
        <f ca="1">IFERROR(__xludf.DUMMYFUNCTION("""COMPUTED_VALUE"""),"Belmont High School")</f>
        <v>Belmont High School</v>
      </c>
      <c r="G2390" s="8">
        <f ca="1">IFERROR(__xludf.DUMMYFUNCTION("""COMPUTED_VALUE"""),0)</f>
        <v>0</v>
      </c>
      <c r="H2390" s="8">
        <f ca="1">IFERROR(__xludf.DUMMYFUNCTION("""COMPUTED_VALUE"""),1)</f>
        <v>1</v>
      </c>
      <c r="I2390" s="8">
        <f ca="1">IFERROR(__xludf.DUMMYFUNCTION("""COMPUTED_VALUE"""),1)</f>
        <v>1</v>
      </c>
      <c r="J2390" s="8">
        <f ca="1">IFERROR(__xludf.DUMMYFUNCTION("""COMPUTED_VALUE"""),0)</f>
        <v>0</v>
      </c>
      <c r="K2390" s="10" t="str">
        <f ca="1">IFERROR(__xludf.DUMMYFUNCTION("""COMPUTED_VALUE"""),"http://www.ladowntownnews.com/news/lockdown-at-belmont-high/article_cc919569-fc0c-5517-be27-6e7adfd7e46a.html")</f>
        <v>http://www.ladowntownnews.com/news/lockdown-at-belmont-high/article_cc919569-fc0c-5517-be27-6e7adfd7e46a.html</v>
      </c>
      <c r="L2390" s="8"/>
      <c r="M2390" s="8"/>
      <c r="N2390" s="8">
        <f ca="1">IFERROR(__xludf.DUMMYFUNCTION("""COMPUTED_VALUE"""),2)</f>
        <v>2</v>
      </c>
      <c r="O2390" s="8" t="str">
        <f ca="1">IFERROR(__xludf.DUMMYFUNCTION("""COMPUTED_VALUE"""),"Summer")</f>
        <v>Summer</v>
      </c>
      <c r="P2390" s="8" t="str">
        <f ca="1">IFERROR(__xludf.DUMMYFUNCTION("""COMPUTED_VALUE"""),"Los Angeles")</f>
        <v>Los Angeles</v>
      </c>
      <c r="Q2390" s="8" t="str">
        <f ca="1">IFERROR(__xludf.DUMMYFUNCTION("""COMPUTED_VALUE"""),"CA")</f>
        <v>CA</v>
      </c>
      <c r="R2390" s="8" t="str">
        <f ca="1">IFERROR(__xludf.DUMMYFUNCTION("""COMPUTED_VALUE"""),"High")</f>
        <v>High</v>
      </c>
      <c r="S2390" s="8" t="str">
        <f ca="1">IFERROR(__xludf.DUMMYFUNCTION("""COMPUTED_VALUE"""),"Hallway")</f>
        <v>Hallway</v>
      </c>
      <c r="T2390" s="8" t="str">
        <f ca="1">IFERROR(__xludf.DUMMYFUNCTION("""COMPUTED_VALUE"""),"Inside School Building")</f>
        <v>Inside School Building</v>
      </c>
      <c r="U2390" s="8" t="str">
        <f ca="1">IFERROR(__xludf.DUMMYFUNCTION("""COMPUTED_VALUE"""),"Yes")</f>
        <v>Yes</v>
      </c>
      <c r="V2390" s="8" t="str">
        <f ca="1">IFERROR(__xludf.DUMMYFUNCTION("""COMPUTED_VALUE"""),"School Start")</f>
        <v>School Start</v>
      </c>
      <c r="W2390" s="11">
        <f ca="1">IFERROR(__xludf.DUMMYFUNCTION("""COMPUTED_VALUE"""),0.309027777777777)</f>
        <v>0.30902777777777701</v>
      </c>
      <c r="X2390" s="8">
        <f ca="1">IFERROR(__xludf.DUMMYFUNCTION("""COMPUTED_VALUE"""),1)</f>
        <v>1</v>
      </c>
      <c r="Y2390" s="12" t="str">
        <f ca="1">IFERROR(__xludf.DUMMYFUNCTION("""COMPUTED_VALUE"""),"Police officer shot by teen in school")</f>
        <v>Police officer shot by teen in school</v>
      </c>
      <c r="Z2390" s="12" t="str">
        <f ca="1">IFERROR(__xludf.DUMMYFUNCTION("""COMPUTED_VALUE"""),"Police officer tried to stop 2 teens in the hallway of the school. One pulled a gun and shot him then fled the scene. School was locked down for 6 hours but the suspects were not found.")</f>
        <v>Police officer tried to stop 2 teens in the hallway of the school. One pulled a gun and shot him then fled the scene. School was locked down for 6 hours but the suspects were not found.</v>
      </c>
      <c r="AA2390" s="8" t="str">
        <f ca="1">IFERROR(__xludf.DUMMYFUNCTION("""COMPUTED_VALUE"""),"Escalation of Dispute")</f>
        <v>Escalation of Dispute</v>
      </c>
      <c r="AB2390" s="8"/>
      <c r="AC2390" s="8"/>
      <c r="AD2390" s="8"/>
      <c r="AE2390" s="8" t="str">
        <f ca="1">IFERROR(__xludf.DUMMYFUNCTION("""COMPUTED_VALUE"""),"Yes")</f>
        <v>Yes</v>
      </c>
      <c r="AF2390" s="8" t="str">
        <f ca="1">IFERROR(__xludf.DUMMYFUNCTION("""COMPUTED_VALUE"""),"Two teens, one was shooter")</f>
        <v>Two teens, one was shooter</v>
      </c>
      <c r="AG2390" s="8" t="str">
        <f ca="1">IFERROR(__xludf.DUMMYFUNCTION("""COMPUTED_VALUE"""),"No")</f>
        <v>No</v>
      </c>
      <c r="AH2390" s="8" t="str">
        <f ca="1">IFERROR(__xludf.DUMMYFUNCTION("""COMPUTED_VALUE"""),"No")</f>
        <v>No</v>
      </c>
      <c r="AI2390" s="8" t="str">
        <f ca="1">IFERROR(__xludf.DUMMYFUNCTION("""COMPUTED_VALUE"""),"No")</f>
        <v>No</v>
      </c>
      <c r="AJ2390" s="8" t="str">
        <f ca="1">IFERROR(__xludf.DUMMYFUNCTION("""COMPUTED_VALUE"""),"No")</f>
        <v>No</v>
      </c>
      <c r="AK2390" s="8" t="str">
        <f ca="1">IFERROR(__xludf.DUMMYFUNCTION("""COMPUTED_VALUE"""),"No")</f>
        <v>No</v>
      </c>
      <c r="AL2390" s="8"/>
      <c r="AM2390" s="8"/>
      <c r="AN2390" s="8"/>
      <c r="AO2390" s="8" t="str">
        <f ca="1">IFERROR(__xludf.DUMMYFUNCTION("""COMPUTED_VALUE"""),"No")</f>
        <v>No</v>
      </c>
      <c r="AP2390" s="8" t="str">
        <f ca="1">IFERROR(__xludf.DUMMYFUNCTION("""COMPUTED_VALUE"""),"Yes")</f>
        <v>Yes</v>
      </c>
      <c r="AQ2390" s="8" t="str">
        <f ca="1">IFERROR(__xludf.DUMMYFUNCTION("""COMPUTED_VALUE"""),"Unknown")</f>
        <v>Unknown</v>
      </c>
      <c r="AR2390" s="8" t="str">
        <f ca="1">IFERROR(__xludf.DUMMYFUNCTION("""COMPUTED_VALUE"""),"NA")</f>
        <v>NA</v>
      </c>
      <c r="AS2390" s="8">
        <f ca="1">IFERROR(__xludf.DUMMYFUNCTION("""COMPUTED_VALUE"""),1)</f>
        <v>1</v>
      </c>
      <c r="AT2390" s="8" t="str">
        <f ca="1">IFERROR(__xludf.DUMMYFUNCTION("""COMPUTED_VALUE"""),"Yes")</f>
        <v>Yes</v>
      </c>
      <c r="AU2390" s="8">
        <f ca="1">IFERROR(__xludf.DUMMYFUNCTION("""COMPUTED_VALUE"""),34.061404)</f>
        <v>34.061404000000003</v>
      </c>
      <c r="AV2390" s="8">
        <f ca="1">IFERROR(__xludf.DUMMYFUNCTION("""COMPUTED_VALUE"""),-118.262633)</f>
        <v>-118.26263299999999</v>
      </c>
      <c r="AW2390" s="8"/>
      <c r="AX2390" s="8">
        <f ca="1">IFERROR(__xludf.DUMMYFUNCTION("""COMPUTED_VALUE"""),90026)</f>
        <v>90026</v>
      </c>
    </row>
    <row r="2391" spans="1:50" ht="45" x14ac:dyDescent="0.2">
      <c r="A2391" s="8" t="str">
        <f ca="1">IFERROR(__xludf.DUMMYFUNCTION("""COMPUTED_VALUE"""),"20010607TXOUA")</f>
        <v>20010607TXOUA</v>
      </c>
      <c r="B2391" s="8">
        <f ca="1">IFERROR(__xludf.DUMMYFUNCTION("""COMPUTED_VALUE"""),6)</f>
        <v>6</v>
      </c>
      <c r="C2391" s="8">
        <f ca="1">IFERROR(__xludf.DUMMYFUNCTION("""COMPUTED_VALUE"""),7)</f>
        <v>7</v>
      </c>
      <c r="D2391" s="8">
        <f ca="1">IFERROR(__xludf.DUMMYFUNCTION("""COMPUTED_VALUE"""),2001)</f>
        <v>2001</v>
      </c>
      <c r="E2391" s="9">
        <f ca="1">IFERROR(__xludf.DUMMYFUNCTION("""COMPUTED_VALUE"""),37049)</f>
        <v>37049</v>
      </c>
      <c r="F2391" s="8" t="str">
        <f ca="1">IFERROR(__xludf.DUMMYFUNCTION("""COMPUTED_VALUE"""),"Ousley Junior High School")</f>
        <v>Ousley Junior High School</v>
      </c>
      <c r="G2391" s="8">
        <f ca="1">IFERROR(__xludf.DUMMYFUNCTION("""COMPUTED_VALUE"""),1)</f>
        <v>1</v>
      </c>
      <c r="H2391" s="8">
        <f ca="1">IFERROR(__xludf.DUMMYFUNCTION("""COMPUTED_VALUE"""),0)</f>
        <v>0</v>
      </c>
      <c r="I2391" s="8">
        <f ca="1">IFERROR(__xludf.DUMMYFUNCTION("""COMPUTED_VALUE"""),1)</f>
        <v>1</v>
      </c>
      <c r="J2391" s="8">
        <f ca="1">IFERROR(__xludf.DUMMYFUNCTION("""COMPUTED_VALUE"""),0)</f>
        <v>0</v>
      </c>
      <c r="K2391" s="8" t="str">
        <f ca="1">IFERROR(__xludf.DUMMYFUNCTION("""COMPUTED_VALUE"""),"https://www.deseretnews.com/article/847030/Policeman-dies-after-being-shot-by-fellow-officer-during-training.html http://articles.latimes.com/2001/jun/08/news/mn-7915")</f>
        <v>https://www.deseretnews.com/article/847030/Policeman-dies-after-being-shot-by-fellow-officer-during-training.html http://articles.latimes.com/2001/jun/08/news/mn-7915</v>
      </c>
      <c r="L2391" s="8"/>
      <c r="M2391" s="8"/>
      <c r="N2391" s="8">
        <f ca="1">IFERROR(__xludf.DUMMYFUNCTION("""COMPUTED_VALUE"""),3)</f>
        <v>3</v>
      </c>
      <c r="O2391" s="8" t="str">
        <f ca="1">IFERROR(__xludf.DUMMYFUNCTION("""COMPUTED_VALUE"""),"Summer")</f>
        <v>Summer</v>
      </c>
      <c r="P2391" s="8" t="str">
        <f ca="1">IFERROR(__xludf.DUMMYFUNCTION("""COMPUTED_VALUE"""),"Arlington")</f>
        <v>Arlington</v>
      </c>
      <c r="Q2391" s="8" t="str">
        <f ca="1">IFERROR(__xludf.DUMMYFUNCTION("""COMPUTED_VALUE"""),"TX")</f>
        <v>TX</v>
      </c>
      <c r="R2391" s="8" t="str">
        <f ca="1">IFERROR(__xludf.DUMMYFUNCTION("""COMPUTED_VALUE"""),"High")</f>
        <v>High</v>
      </c>
      <c r="S2391" s="8" t="str">
        <f ca="1">IFERROR(__xludf.DUMMYFUNCTION("""COMPUTED_VALUE"""),"Hallway")</f>
        <v>Hallway</v>
      </c>
      <c r="T2391" s="8" t="str">
        <f ca="1">IFERROR(__xludf.DUMMYFUNCTION("""COMPUTED_VALUE"""),"Inside School Building")</f>
        <v>Inside School Building</v>
      </c>
      <c r="U2391" s="8" t="str">
        <f ca="1">IFERROR(__xludf.DUMMYFUNCTION("""COMPUTED_VALUE"""),"No")</f>
        <v>No</v>
      </c>
      <c r="V2391" s="8" t="str">
        <f ca="1">IFERROR(__xludf.DUMMYFUNCTION("""COMPUTED_VALUE"""),"Not a School Day")</f>
        <v>Not a School Day</v>
      </c>
      <c r="W2391" s="11">
        <f ca="1">IFERROR(__xludf.DUMMYFUNCTION("""COMPUTED_VALUE"""),0.756944444444444)</f>
        <v>0.75694444444444398</v>
      </c>
      <c r="X2391" s="8">
        <f ca="1">IFERROR(__xludf.DUMMYFUNCTION("""COMPUTED_VALUE"""),1)</f>
        <v>1</v>
      </c>
      <c r="Y2391" s="12" t="str">
        <f ca="1">IFERROR(__xludf.DUMMYFUNCTION("""COMPUTED_VALUE"""),"Officer killed during training drill at school")</f>
        <v>Officer killed during training drill at school</v>
      </c>
      <c r="Z2391" s="12" t="str">
        <f ca="1">IFERROR(__xludf.DUMMYFUNCTION("""COMPUTED_VALUE"""),"Police officer was killed by a real round rather than a training round during a drill at the school.")</f>
        <v>Police officer was killed by a real round rather than a training round during a drill at the school.</v>
      </c>
      <c r="AA2391" s="8" t="str">
        <f ca="1">IFERROR(__xludf.DUMMYFUNCTION("""COMPUTED_VALUE"""),"Accidental")</f>
        <v>Accidental</v>
      </c>
      <c r="AB2391" s="8"/>
      <c r="AC2391" s="8"/>
      <c r="AD2391" s="8" t="str">
        <f ca="1">IFERROR(__xludf.DUMMYFUNCTION("""COMPUTED_VALUE"""),"Random Shooting")</f>
        <v>Random Shooting</v>
      </c>
      <c r="AE2391" s="8" t="str">
        <f ca="1">IFERROR(__xludf.DUMMYFUNCTION("""COMPUTED_VALUE"""),"No")</f>
        <v>No</v>
      </c>
      <c r="AF2391" s="8"/>
      <c r="AG2391" s="8" t="str">
        <f ca="1">IFERROR(__xludf.DUMMYFUNCTION("""COMPUTED_VALUE"""),"No")</f>
        <v>No</v>
      </c>
      <c r="AH2391" s="8" t="str">
        <f ca="1">IFERROR(__xludf.DUMMYFUNCTION("""COMPUTED_VALUE"""),"No")</f>
        <v>No</v>
      </c>
      <c r="AI2391" s="8" t="str">
        <f ca="1">IFERROR(__xludf.DUMMYFUNCTION("""COMPUTED_VALUE"""),"Yes")</f>
        <v>Yes</v>
      </c>
      <c r="AJ2391" s="8" t="str">
        <f ca="1">IFERROR(__xludf.DUMMYFUNCTION("""COMPUTED_VALUE"""),"N/A")</f>
        <v>N/A</v>
      </c>
      <c r="AK2391" s="8" t="str">
        <f ca="1">IFERROR(__xludf.DUMMYFUNCTION("""COMPUTED_VALUE"""),"N/A")</f>
        <v>N/A</v>
      </c>
      <c r="AL2391" s="8" t="str">
        <f ca="1">IFERROR(__xludf.DUMMYFUNCTION("""COMPUTED_VALUE"""),"N/A")</f>
        <v>N/A</v>
      </c>
      <c r="AM2391" s="8" t="str">
        <f ca="1">IFERROR(__xludf.DUMMYFUNCTION("""COMPUTED_VALUE"""),"N/A")</f>
        <v>N/A</v>
      </c>
      <c r="AN2391" s="8"/>
      <c r="AO2391" s="8" t="str">
        <f ca="1">IFERROR(__xludf.DUMMYFUNCTION("""COMPUTED_VALUE"""),"N/A")</f>
        <v>N/A</v>
      </c>
      <c r="AP2391" s="8"/>
      <c r="AQ2391" s="8" t="str">
        <f ca="1">IFERROR(__xludf.DUMMYFUNCTION("""COMPUTED_VALUE"""),"Unknown")</f>
        <v>Unknown</v>
      </c>
      <c r="AR2391" s="8" t="str">
        <f ca="1">IFERROR(__xludf.DUMMYFUNCTION("""COMPUTED_VALUE"""),"NA")</f>
        <v>NA</v>
      </c>
      <c r="AS2391" s="8">
        <f ca="1">IFERROR(__xludf.DUMMYFUNCTION("""COMPUTED_VALUE"""),1)</f>
        <v>1</v>
      </c>
      <c r="AT2391" s="8"/>
      <c r="AU2391" s="8">
        <f ca="1">IFERROR(__xludf.DUMMYFUNCTION("""COMPUTED_VALUE"""),32.640709)</f>
        <v>32.640709000000001</v>
      </c>
      <c r="AV2391" s="8">
        <f ca="1">IFERROR(__xludf.DUMMYFUNCTION("""COMPUTED_VALUE"""),-97.096959)</f>
        <v>-97.096958999999998</v>
      </c>
      <c r="AW2391" s="8"/>
      <c r="AX2391" s="8">
        <f ca="1">IFERROR(__xludf.DUMMYFUNCTION("""COMPUTED_VALUE"""),76018)</f>
        <v>76018</v>
      </c>
    </row>
    <row r="2392" spans="1:50" ht="105" x14ac:dyDescent="0.2">
      <c r="A2392" s="8" t="str">
        <f ca="1">IFERROR(__xludf.DUMMYFUNCTION("""COMPUTED_VALUE"""),"20010515TXENE")</f>
        <v>20010515TXENE</v>
      </c>
      <c r="B2392" s="8">
        <f ca="1">IFERROR(__xludf.DUMMYFUNCTION("""COMPUTED_VALUE"""),5)</f>
        <v>5</v>
      </c>
      <c r="C2392" s="8">
        <f ca="1">IFERROR(__xludf.DUMMYFUNCTION("""COMPUTED_VALUE"""),15)</f>
        <v>15</v>
      </c>
      <c r="D2392" s="8">
        <f ca="1">IFERROR(__xludf.DUMMYFUNCTION("""COMPUTED_VALUE"""),2001)</f>
        <v>2001</v>
      </c>
      <c r="E2392" s="9">
        <f ca="1">IFERROR(__xludf.DUMMYFUNCTION("""COMPUTED_VALUE"""),37026)</f>
        <v>37026</v>
      </c>
      <c r="F2392" s="8" t="str">
        <f ca="1">IFERROR(__xludf.DUMMYFUNCTION("""COMPUTED_VALUE"""),"Ennis High School")</f>
        <v>Ennis High School</v>
      </c>
      <c r="G2392" s="8">
        <f ca="1">IFERROR(__xludf.DUMMYFUNCTION("""COMPUTED_VALUE"""),0)</f>
        <v>0</v>
      </c>
      <c r="H2392" s="8">
        <f ca="1">IFERROR(__xludf.DUMMYFUNCTION("""COMPUTED_VALUE"""),0)</f>
        <v>0</v>
      </c>
      <c r="I2392" s="8">
        <f ca="1">IFERROR(__xludf.DUMMYFUNCTION("""COMPUTED_VALUE"""),0)</f>
        <v>0</v>
      </c>
      <c r="J2392" s="8">
        <f ca="1">IFERROR(__xludf.DUMMYFUNCTION("""COMPUTED_VALUE"""),1)</f>
        <v>1</v>
      </c>
      <c r="K2392" s="10" t="str">
        <f ca="1">IFERROR(__xludf.DUMMYFUNCTION("""COMPUTED_VALUE"""),"https://www.deseretnews.com/article/843018/Texas-teen-kills-himself-at-school.html")</f>
        <v>https://www.deseretnews.com/article/843018/Texas-teen-kills-himself-at-school.html</v>
      </c>
      <c r="L2392" s="8"/>
      <c r="M2392" s="8"/>
      <c r="N2392" s="8">
        <f ca="1">IFERROR(__xludf.DUMMYFUNCTION("""COMPUTED_VALUE"""),2)</f>
        <v>2</v>
      </c>
      <c r="O2392" s="8" t="str">
        <f ca="1">IFERROR(__xludf.DUMMYFUNCTION("""COMPUTED_VALUE"""),"Spring")</f>
        <v>Spring</v>
      </c>
      <c r="P2392" s="8" t="str">
        <f ca="1">IFERROR(__xludf.DUMMYFUNCTION("""COMPUTED_VALUE"""),"Ennis")</f>
        <v>Ennis</v>
      </c>
      <c r="Q2392" s="8" t="str">
        <f ca="1">IFERROR(__xludf.DUMMYFUNCTION("""COMPUTED_VALUE"""),"TX")</f>
        <v>TX</v>
      </c>
      <c r="R2392" s="8" t="str">
        <f ca="1">IFERROR(__xludf.DUMMYFUNCTION("""COMPUTED_VALUE"""),"High")</f>
        <v>High</v>
      </c>
      <c r="S2392" s="8" t="str">
        <f ca="1">IFERROR(__xludf.DUMMYFUNCTION("""COMPUTED_VALUE"""),"Classroom")</f>
        <v>Classroom</v>
      </c>
      <c r="T2392" s="8" t="str">
        <f ca="1">IFERROR(__xludf.DUMMYFUNCTION("""COMPUTED_VALUE"""),"Inside School Building")</f>
        <v>Inside School Building</v>
      </c>
      <c r="U2392" s="8" t="str">
        <f ca="1">IFERROR(__xludf.DUMMYFUNCTION("""COMPUTED_VALUE"""),"Yes")</f>
        <v>Yes</v>
      </c>
      <c r="V2392" s="8" t="str">
        <f ca="1">IFERROR(__xludf.DUMMYFUNCTION("""COMPUTED_VALUE"""),"Morning Classes")</f>
        <v>Morning Classes</v>
      </c>
      <c r="W2392" s="11">
        <f ca="1">IFERROR(__xludf.DUMMYFUNCTION("""COMPUTED_VALUE"""),0.5)</f>
        <v>0.5</v>
      </c>
      <c r="X2392" s="8"/>
      <c r="Y2392" s="12" t="str">
        <f ca="1">IFERROR(__xludf.DUMMYFUNCTION("""COMPUTED_VALUE"""),"Held class hostage, shot TV, and then shot self")</f>
        <v>Held class hostage, shot TV, and then shot self</v>
      </c>
      <c r="Z2392" s="12" t="str">
        <f ca="1">IFERROR(__xludf.DUMMYFUNCTION("""COMPUTED_VALUE"""),"16YOM pulled gun out of backpack and took class hostage. Released all hostages except for the teacher and a female student. Shooter fired at the TV and then shot himself in the head. Other students reported the shooter talked about guns and had a strong r"&amp;"omantic interest in a girl who was not interested in him. Shooter had no prior disciplinary issues. Father and grandfather worked for school board.")</f>
        <v>16YOM pulled gun out of backpack and took class hostage. Released all hostages except for the teacher and a female student. Shooter fired at the TV and then shot himself in the head. Other students reported the shooter talked about guns and had a strong romantic interest in a girl who was not interested in him. Shooter had no prior disciplinary issues. Father and grandfather worked for school board.</v>
      </c>
      <c r="AA2392" s="8" t="str">
        <f ca="1">IFERROR(__xludf.DUMMYFUNCTION("""COMPUTED_VALUE"""),"Suicide/Attempted")</f>
        <v>Suicide/Attempted</v>
      </c>
      <c r="AB2392" s="8"/>
      <c r="AC2392" s="8"/>
      <c r="AD2392" s="8" t="str">
        <f ca="1">IFERROR(__xludf.DUMMYFUNCTION("""COMPUTED_VALUE"""),"Neither")</f>
        <v>Neither</v>
      </c>
      <c r="AE2392" s="8" t="str">
        <f ca="1">IFERROR(__xludf.DUMMYFUNCTION("""COMPUTED_VALUE"""),"No")</f>
        <v>No</v>
      </c>
      <c r="AF2392" s="8"/>
      <c r="AG2392" s="8" t="str">
        <f ca="1">IFERROR(__xludf.DUMMYFUNCTION("""COMPUTED_VALUE"""),"Yes")</f>
        <v>Yes</v>
      </c>
      <c r="AH2392" s="8" t="str">
        <f ca="1">IFERROR(__xludf.DUMMYFUNCTION("""COMPUTED_VALUE"""),"Yes")</f>
        <v>Yes</v>
      </c>
      <c r="AI2392" s="8" t="str">
        <f ca="1">IFERROR(__xludf.DUMMYFUNCTION("""COMPUTED_VALUE"""),"No")</f>
        <v>No</v>
      </c>
      <c r="AJ2392" s="8" t="str">
        <f ca="1">IFERROR(__xludf.DUMMYFUNCTION("""COMPUTED_VALUE"""),"No")</f>
        <v>No</v>
      </c>
      <c r="AK2392" s="8" t="str">
        <f ca="1">IFERROR(__xludf.DUMMYFUNCTION("""COMPUTED_VALUE"""),"No")</f>
        <v>No</v>
      </c>
      <c r="AL2392" s="8" t="str">
        <f ca="1">IFERROR(__xludf.DUMMYFUNCTION("""COMPUTED_VALUE"""),"No")</f>
        <v>No</v>
      </c>
      <c r="AM2392" s="8" t="str">
        <f ca="1">IFERROR(__xludf.DUMMYFUNCTION("""COMPUTED_VALUE"""),"Yes")</f>
        <v>Yes</v>
      </c>
      <c r="AN2392" s="8" t="str">
        <f ca="1">IFERROR(__xludf.DUMMYFUNCTION("""COMPUTED_VALUE"""),"Single Room")</f>
        <v>Single Room</v>
      </c>
      <c r="AO2392" s="8" t="str">
        <f ca="1">IFERROR(__xludf.DUMMYFUNCTION("""COMPUTED_VALUE"""),"No")</f>
        <v>No</v>
      </c>
      <c r="AP2392" s="8" t="str">
        <f ca="1">IFERROR(__xludf.DUMMYFUNCTION("""COMPUTED_VALUE"""),"No")</f>
        <v>No</v>
      </c>
      <c r="AQ2392" s="8" t="str">
        <f ca="1">IFERROR(__xludf.DUMMYFUNCTION("""COMPUTED_VALUE"""),"Unknown")</f>
        <v>Unknown</v>
      </c>
      <c r="AR2392" s="8" t="str">
        <f ca="1">IFERROR(__xludf.DUMMYFUNCTION("""COMPUTED_VALUE"""),"NA")</f>
        <v>NA</v>
      </c>
      <c r="AS2392" s="8">
        <f ca="1">IFERROR(__xludf.DUMMYFUNCTION("""COMPUTED_VALUE"""),2)</f>
        <v>2</v>
      </c>
      <c r="AT2392" s="8"/>
      <c r="AU2392" s="8">
        <f ca="1">IFERROR(__xludf.DUMMYFUNCTION("""COMPUTED_VALUE"""),32.302336)</f>
        <v>32.302335999999997</v>
      </c>
      <c r="AV2392" s="8">
        <f ca="1">IFERROR(__xludf.DUMMYFUNCTION("""COMPUTED_VALUE"""),-96.629535)</f>
        <v>-96.629535000000004</v>
      </c>
      <c r="AW2392" s="8"/>
      <c r="AX2392" s="8">
        <f ca="1">IFERROR(__xludf.DUMMYFUNCTION("""COMPUTED_VALUE"""),75119)</f>
        <v>75119</v>
      </c>
    </row>
    <row r="2393" spans="1:50" ht="45" x14ac:dyDescent="0.2">
      <c r="A2393" s="8" t="str">
        <f ca="1">IFERROR(__xludf.DUMMYFUNCTION("""COMPUTED_VALUE"""),"20010425OHJOC")</f>
        <v>20010425OHJOC</v>
      </c>
      <c r="B2393" s="8">
        <f ca="1">IFERROR(__xludf.DUMMYFUNCTION("""COMPUTED_VALUE"""),4)</f>
        <v>4</v>
      </c>
      <c r="C2393" s="8">
        <f ca="1">IFERROR(__xludf.DUMMYFUNCTION("""COMPUTED_VALUE"""),25)</f>
        <v>25</v>
      </c>
      <c r="D2393" s="8">
        <f ca="1">IFERROR(__xludf.DUMMYFUNCTION("""COMPUTED_VALUE"""),2001)</f>
        <v>2001</v>
      </c>
      <c r="E2393" s="9">
        <f ca="1">IFERROR(__xludf.DUMMYFUNCTION("""COMPUTED_VALUE"""),37006)</f>
        <v>37006</v>
      </c>
      <c r="F2393" s="8" t="str">
        <f ca="1">IFERROR(__xludf.DUMMYFUNCTION("""COMPUTED_VALUE"""),"John Marshall High School")</f>
        <v>John Marshall High School</v>
      </c>
      <c r="G2393" s="8">
        <f ca="1">IFERROR(__xludf.DUMMYFUNCTION("""COMPUTED_VALUE"""),1)</f>
        <v>1</v>
      </c>
      <c r="H2393" s="8">
        <f ca="1">IFERROR(__xludf.DUMMYFUNCTION("""COMPUTED_VALUE"""),0)</f>
        <v>0</v>
      </c>
      <c r="I2393" s="8">
        <f ca="1">IFERROR(__xludf.DUMMYFUNCTION("""COMPUTED_VALUE"""),1)</f>
        <v>1</v>
      </c>
      <c r="J2393" s="8">
        <f ca="1">IFERROR(__xludf.DUMMYFUNCTION("""COMPUTED_VALUE"""),0)</f>
        <v>0</v>
      </c>
      <c r="K2393" s="10" t="str">
        <f ca="1">IFERROR(__xludf.DUMMYFUNCTION("""COMPUTED_VALUE"""),"https://nthfmemorial.org/mystery-in-ohio-demetrius-minifee/")</f>
        <v>https://nthfmemorial.org/mystery-in-ohio-demetrius-minifee/</v>
      </c>
      <c r="L2393" s="8"/>
      <c r="M2393" s="8"/>
      <c r="N2393" s="8">
        <f ca="1">IFERROR(__xludf.DUMMYFUNCTION("""COMPUTED_VALUE"""),1)</f>
        <v>1</v>
      </c>
      <c r="O2393" s="8" t="str">
        <f ca="1">IFERROR(__xludf.DUMMYFUNCTION("""COMPUTED_VALUE"""),"Spring")</f>
        <v>Spring</v>
      </c>
      <c r="P2393" s="8" t="str">
        <f ca="1">IFERROR(__xludf.DUMMYFUNCTION("""COMPUTED_VALUE"""),"Cleveland")</f>
        <v>Cleveland</v>
      </c>
      <c r="Q2393" s="8" t="str">
        <f ca="1">IFERROR(__xludf.DUMMYFUNCTION("""COMPUTED_VALUE"""),"OH")</f>
        <v>OH</v>
      </c>
      <c r="R2393" s="8" t="str">
        <f ca="1">IFERROR(__xludf.DUMMYFUNCTION("""COMPUTED_VALUE"""),"High")</f>
        <v>High</v>
      </c>
      <c r="S2393" s="8" t="str">
        <f ca="1">IFERROR(__xludf.DUMMYFUNCTION("""COMPUTED_VALUE"""),"Parking Lot")</f>
        <v>Parking Lot</v>
      </c>
      <c r="T2393" s="8" t="str">
        <f ca="1">IFERROR(__xludf.DUMMYFUNCTION("""COMPUTED_VALUE"""),"Outside on School Property")</f>
        <v>Outside on School Property</v>
      </c>
      <c r="U2393" s="8" t="str">
        <f ca="1">IFERROR(__xludf.DUMMYFUNCTION("""COMPUTED_VALUE"""),"No")</f>
        <v>No</v>
      </c>
      <c r="V2393" s="8" t="str">
        <f ca="1">IFERROR(__xludf.DUMMYFUNCTION("""COMPUTED_VALUE"""),"Night")</f>
        <v>Night</v>
      </c>
      <c r="W2393" s="11">
        <f ca="1">IFERROR(__xludf.DUMMYFUNCTION("""COMPUTED_VALUE"""),0.958333333333333)</f>
        <v>0.95833333333333304</v>
      </c>
      <c r="X2393" s="8">
        <f ca="1">IFERROR(__xludf.DUMMYFUNCTION("""COMPUTED_VALUE"""),1)</f>
        <v>1</v>
      </c>
      <c r="Y2393" s="12" t="str">
        <f ca="1">IFERROR(__xludf.DUMMYFUNCTION("""COMPUTED_VALUE"""),"Janitor shot outside of school, no suspects")</f>
        <v>Janitor shot outside of school, no suspects</v>
      </c>
      <c r="Z2393" s="12" t="str">
        <f ca="1">IFERROR(__xludf.DUMMYFUNCTION("""COMPUTED_VALUE"""),"33YOM janitor was shot in the parking lot at 11pm after finishing work. No suspect was identified or motive determined.")</f>
        <v>33YOM janitor was shot in the parking lot at 11pm after finishing work. No suspect was identified or motive determined.</v>
      </c>
      <c r="AA2393" s="8" t="str">
        <f ca="1">IFERROR(__xludf.DUMMYFUNCTION("""COMPUTED_VALUE"""),"Unknown")</f>
        <v>Unknown</v>
      </c>
      <c r="AB2393" s="8"/>
      <c r="AC2393" s="8"/>
      <c r="AD2393" s="8"/>
      <c r="AE2393" s="8" t="str">
        <f ca="1">IFERROR(__xludf.DUMMYFUNCTION("""COMPUTED_VALUE"""),"Unknown")</f>
        <v>Unknown</v>
      </c>
      <c r="AF2393" s="8"/>
      <c r="AG2393" s="8" t="str">
        <f ca="1">IFERROR(__xludf.DUMMYFUNCTION("""COMPUTED_VALUE"""),"No")</f>
        <v>No</v>
      </c>
      <c r="AH2393" s="8" t="str">
        <f ca="1">IFERROR(__xludf.DUMMYFUNCTION("""COMPUTED_VALUE"""),"No")</f>
        <v>No</v>
      </c>
      <c r="AI2393" s="8" t="str">
        <f ca="1">IFERROR(__xludf.DUMMYFUNCTION("""COMPUTED_VALUE"""),"No")</f>
        <v>No</v>
      </c>
      <c r="AJ2393" s="8" t="str">
        <f ca="1">IFERROR(__xludf.DUMMYFUNCTION("""COMPUTED_VALUE"""),"No")</f>
        <v>No</v>
      </c>
      <c r="AK2393" s="8" t="str">
        <f ca="1">IFERROR(__xludf.DUMMYFUNCTION("""COMPUTED_VALUE"""),"No")</f>
        <v>No</v>
      </c>
      <c r="AL2393" s="8"/>
      <c r="AM2393" s="8"/>
      <c r="AN2393" s="8"/>
      <c r="AO2393" s="8" t="str">
        <f ca="1">IFERROR(__xludf.DUMMYFUNCTION("""COMPUTED_VALUE"""),"No")</f>
        <v>No</v>
      </c>
      <c r="AP2393" s="8"/>
      <c r="AQ2393" s="8" t="str">
        <f ca="1">IFERROR(__xludf.DUMMYFUNCTION("""COMPUTED_VALUE"""),"Unknown")</f>
        <v>Unknown</v>
      </c>
      <c r="AR2393" s="8" t="str">
        <f ca="1">IFERROR(__xludf.DUMMYFUNCTION("""COMPUTED_VALUE"""),"NA")</f>
        <v>NA</v>
      </c>
      <c r="AS2393" s="8"/>
      <c r="AT2393" s="8"/>
      <c r="AU2393" s="8">
        <f ca="1">IFERROR(__xludf.DUMMYFUNCTION("""COMPUTED_VALUE"""),41.447651)</f>
        <v>41.447651</v>
      </c>
      <c r="AV2393" s="8">
        <f ca="1">IFERROR(__xludf.DUMMYFUNCTION("""COMPUTED_VALUE"""),-81.790979)</f>
        <v>-81.790978999999993</v>
      </c>
      <c r="AW2393" s="8"/>
      <c r="AX2393" s="8">
        <f ca="1">IFERROR(__xludf.DUMMYFUNCTION("""COMPUTED_VALUE"""),44111)</f>
        <v>44111</v>
      </c>
    </row>
    <row r="2394" spans="1:50" ht="135" x14ac:dyDescent="0.2">
      <c r="A2394" s="8" t="str">
        <f ca="1">IFERROR(__xludf.DUMMYFUNCTION("""COMPUTED_VALUE"""),"20010420LAMOM")</f>
        <v>20010420LAMOM</v>
      </c>
      <c r="B2394" s="8">
        <f ca="1">IFERROR(__xludf.DUMMYFUNCTION("""COMPUTED_VALUE"""),4)</f>
        <v>4</v>
      </c>
      <c r="C2394" s="8">
        <f ca="1">IFERROR(__xludf.DUMMYFUNCTION("""COMPUTED_VALUE"""),20)</f>
        <v>20</v>
      </c>
      <c r="D2394" s="8">
        <f ca="1">IFERROR(__xludf.DUMMYFUNCTION("""COMPUTED_VALUE"""),2001)</f>
        <v>2001</v>
      </c>
      <c r="E2394" s="9">
        <f ca="1">IFERROR(__xludf.DUMMYFUNCTION("""COMPUTED_VALUE"""),37001)</f>
        <v>37001</v>
      </c>
      <c r="F2394" s="8" t="str">
        <f ca="1">IFERROR(__xludf.DUMMYFUNCTION("""COMPUTED_VALUE"""),"Monroe City Alternative Center")</f>
        <v>Monroe City Alternative Center</v>
      </c>
      <c r="G2394" s="8">
        <f ca="1">IFERROR(__xludf.DUMMYFUNCTION("""COMPUTED_VALUE"""),0)</f>
        <v>0</v>
      </c>
      <c r="H2394" s="8">
        <f ca="1">IFERROR(__xludf.DUMMYFUNCTION("""COMPUTED_VALUE"""),0)</f>
        <v>0</v>
      </c>
      <c r="I2394" s="8">
        <f ca="1">IFERROR(__xludf.DUMMYFUNCTION("""COMPUTED_VALUE"""),0)</f>
        <v>0</v>
      </c>
      <c r="J2394" s="8">
        <f ca="1">IFERROR(__xludf.DUMMYFUNCTION("""COMPUTED_VALUE"""),0)</f>
        <v>0</v>
      </c>
      <c r="K2394" s="10" t="str">
        <f ca="1">IFERROR(__xludf.DUMMYFUNCTION("""COMPUTED_VALUE"""),"https://products.kitsapsun.com/archive/2001/04-21/0043_in_the_headlines.html")</f>
        <v>https://products.kitsapsun.com/archive/2001/04-21/0043_in_the_headlines.html</v>
      </c>
      <c r="L2394" s="8"/>
      <c r="M2394" s="8"/>
      <c r="N2394" s="8">
        <f ca="1">IFERROR(__xludf.DUMMYFUNCTION("""COMPUTED_VALUE"""),2)</f>
        <v>2</v>
      </c>
      <c r="O2394" s="8" t="str">
        <f ca="1">IFERROR(__xludf.DUMMYFUNCTION("""COMPUTED_VALUE"""),"Spring")</f>
        <v>Spring</v>
      </c>
      <c r="P2394" s="8" t="str">
        <f ca="1">IFERROR(__xludf.DUMMYFUNCTION("""COMPUTED_VALUE"""),"Monroe")</f>
        <v>Monroe</v>
      </c>
      <c r="Q2394" s="8" t="str">
        <f ca="1">IFERROR(__xludf.DUMMYFUNCTION("""COMPUTED_VALUE"""),"LA")</f>
        <v>LA</v>
      </c>
      <c r="R2394" s="8" t="str">
        <f ca="1">IFERROR(__xludf.DUMMYFUNCTION("""COMPUTED_VALUE"""),"High")</f>
        <v>High</v>
      </c>
      <c r="S2394" s="8" t="str">
        <f ca="1">IFERROR(__xludf.DUMMYFUNCTION("""COMPUTED_VALUE"""),"Hallway; Beside Building")</f>
        <v>Hallway; Beside Building</v>
      </c>
      <c r="T2394" s="8" t="str">
        <f ca="1">IFERROR(__xludf.DUMMYFUNCTION("""COMPUTED_VALUE"""),"Both Inside/Outside")</f>
        <v>Both Inside/Outside</v>
      </c>
      <c r="U2394" s="8" t="str">
        <f ca="1">IFERROR(__xludf.DUMMYFUNCTION("""COMPUTED_VALUE"""),"Yes")</f>
        <v>Yes</v>
      </c>
      <c r="V2394" s="8" t="str">
        <f ca="1">IFERROR(__xludf.DUMMYFUNCTION("""COMPUTED_VALUE"""),"School Start")</f>
        <v>School Start</v>
      </c>
      <c r="W2394" s="11">
        <f ca="1">IFERROR(__xludf.DUMMYFUNCTION("""COMPUTED_VALUE"""),0.305555555555555)</f>
        <v>0.30555555555555503</v>
      </c>
      <c r="X2394" s="8"/>
      <c r="Y2394" s="12" t="str">
        <f ca="1">IFERROR(__xludf.DUMMYFUNCTION("""COMPUTED_VALUE"""),"Student fired 5 shots that missed, students were able to block doors until police arrived")</f>
        <v>Student fired 5 shots that missed, students were able to block doors until police arrived</v>
      </c>
      <c r="Z2394" s="12" t="str">
        <f ca="1">IFERROR(__xludf.DUMMYFUNCTION("""COMPUTED_VALUE"""),"14YOM had been expelled from other high school and sent to alternative school for troubled youths. Principal heard gun dry fire and saw 14 YOM shooter trying to load handgun. Principal was able to get students inside the school and block the door. The sho"&amp;"oter fired shots into the windows but missed students. Shooter gained entry through another door and fired shots that missed janitor. Police were able to subdue the shooter when he attempted to reload. School had metal detectors at the door.")</f>
        <v>14YOM had been expelled from other high school and sent to alternative school for troubled youths. Principal heard gun dry fire and saw 14 YOM shooter trying to load handgun. Principal was able to get students inside the school and block the door. The shooter fired shots into the windows but missed students. Shooter gained entry through another door and fired shots that missed janitor. Police were able to subdue the shooter when he attempted to reload. School had metal detectors at the door.</v>
      </c>
      <c r="AA2394" s="8" t="str">
        <f ca="1">IFERROR(__xludf.DUMMYFUNCTION("""COMPUTED_VALUE"""),"Anger Over Grade/Suspension/Discipline")</f>
        <v>Anger Over Grade/Suspension/Discipline</v>
      </c>
      <c r="AB2394" s="8"/>
      <c r="AC2394" s="8"/>
      <c r="AD2394" s="8"/>
      <c r="AE2394" s="8" t="str">
        <f ca="1">IFERROR(__xludf.DUMMYFUNCTION("""COMPUTED_VALUE"""),"No")</f>
        <v>No</v>
      </c>
      <c r="AF2394" s="8"/>
      <c r="AG2394" s="8" t="str">
        <f ca="1">IFERROR(__xludf.DUMMYFUNCTION("""COMPUTED_VALUE"""),"No")</f>
        <v>No</v>
      </c>
      <c r="AH2394" s="8" t="str">
        <f ca="1">IFERROR(__xludf.DUMMYFUNCTION("""COMPUTED_VALUE"""),"No")</f>
        <v>No</v>
      </c>
      <c r="AI2394" s="8" t="str">
        <f ca="1">IFERROR(__xludf.DUMMYFUNCTION("""COMPUTED_VALUE"""),"No")</f>
        <v>No</v>
      </c>
      <c r="AJ2394" s="8" t="str">
        <f ca="1">IFERROR(__xludf.DUMMYFUNCTION("""COMPUTED_VALUE"""),"No")</f>
        <v>No</v>
      </c>
      <c r="AK2394" s="8" t="str">
        <f ca="1">IFERROR(__xludf.DUMMYFUNCTION("""COMPUTED_VALUE"""),"No")</f>
        <v>No</v>
      </c>
      <c r="AL2394" s="8" t="str">
        <f ca="1">IFERROR(__xludf.DUMMYFUNCTION("""COMPUTED_VALUE"""),"No")</f>
        <v>No</v>
      </c>
      <c r="AM2394" s="8" t="str">
        <f ca="1">IFERROR(__xludf.DUMMYFUNCTION("""COMPUTED_VALUE"""),"Yes")</f>
        <v>Yes</v>
      </c>
      <c r="AN2394" s="8" t="str">
        <f ca="1">IFERROR(__xludf.DUMMYFUNCTION("""COMPUTED_VALUE"""),"Outside")</f>
        <v>Outside</v>
      </c>
      <c r="AO2394" s="8" t="str">
        <f ca="1">IFERROR(__xludf.DUMMYFUNCTION("""COMPUTED_VALUE"""),"Yes")</f>
        <v>Yes</v>
      </c>
      <c r="AP2394" s="8" t="str">
        <f ca="1">IFERROR(__xludf.DUMMYFUNCTION("""COMPUTED_VALUE"""),"No")</f>
        <v>No</v>
      </c>
      <c r="AQ2394" s="8" t="str">
        <f ca="1">IFERROR(__xludf.DUMMYFUNCTION("""COMPUTED_VALUE"""),"Metal Detectors Front Only")</f>
        <v>Metal Detectors Front Only</v>
      </c>
      <c r="AR2394" s="8" t="str">
        <f ca="1">IFERROR(__xludf.DUMMYFUNCTION("""COMPUTED_VALUE"""),"Bypassed")</f>
        <v>Bypassed</v>
      </c>
      <c r="AS2394" s="8">
        <f ca="1">IFERROR(__xludf.DUMMYFUNCTION("""COMPUTED_VALUE"""),5)</f>
        <v>5</v>
      </c>
      <c r="AT2394" s="8"/>
      <c r="AU2394" s="8">
        <f ca="1">IFERROR(__xludf.DUMMYFUNCTION("""COMPUTED_VALUE"""),32.453117)</f>
        <v>32.453116999999999</v>
      </c>
      <c r="AV2394" s="8">
        <f ca="1">IFERROR(__xludf.DUMMYFUNCTION("""COMPUTED_VALUE"""),-92.112649)</f>
        <v>-92.112649000000005</v>
      </c>
      <c r="AW2394" s="8"/>
      <c r="AX2394" s="8">
        <f ca="1">IFERROR(__xludf.DUMMYFUNCTION("""COMPUTED_VALUE"""),71202)</f>
        <v>71202</v>
      </c>
    </row>
    <row r="2395" spans="1:50" ht="105" x14ac:dyDescent="0.2">
      <c r="A2395" s="8" t="str">
        <f ca="1">IFERROR(__xludf.DUMMYFUNCTION("""COMPUTED_VALUE"""),"20010410WAWAM")</f>
        <v>20010410WAWAM</v>
      </c>
      <c r="B2395" s="8">
        <f ca="1">IFERROR(__xludf.DUMMYFUNCTION("""COMPUTED_VALUE"""),4)</f>
        <v>4</v>
      </c>
      <c r="C2395" s="8">
        <f ca="1">IFERROR(__xludf.DUMMYFUNCTION("""COMPUTED_VALUE"""),10)</f>
        <v>10</v>
      </c>
      <c r="D2395" s="8">
        <f ca="1">IFERROR(__xludf.DUMMYFUNCTION("""COMPUTED_VALUE"""),2001)</f>
        <v>2001</v>
      </c>
      <c r="E2395" s="9">
        <f ca="1">IFERROR(__xludf.DUMMYFUNCTION("""COMPUTED_VALUE"""),36991)</f>
        <v>36991</v>
      </c>
      <c r="F2395" s="8" t="str">
        <f ca="1">IFERROR(__xludf.DUMMYFUNCTION("""COMPUTED_VALUE"""),"Wahluke High School")</f>
        <v>Wahluke High School</v>
      </c>
      <c r="G2395" s="8">
        <f ca="1">IFERROR(__xludf.DUMMYFUNCTION("""COMPUTED_VALUE"""),0)</f>
        <v>0</v>
      </c>
      <c r="H2395" s="8">
        <f ca="1">IFERROR(__xludf.DUMMYFUNCTION("""COMPUTED_VALUE"""),0)</f>
        <v>0</v>
      </c>
      <c r="I2395" s="8">
        <f ca="1">IFERROR(__xludf.DUMMYFUNCTION("""COMPUTED_VALUE"""),0)</f>
        <v>0</v>
      </c>
      <c r="J2395" s="8">
        <f ca="1">IFERROR(__xludf.DUMMYFUNCTION("""COMPUTED_VALUE"""),0)</f>
        <v>0</v>
      </c>
      <c r="K2395" s="8" t="str">
        <f ca="1">IFERROR(__xludf.DUMMYFUNCTION("""COMPUTED_VALUE"""),"http://articles.latimes.com/2004/mar/21/nation/na-violent21 http://www.thehealthjournals.com/dark-side-antidepressants/")</f>
        <v>http://articles.latimes.com/2004/mar/21/nation/na-violent21 http://www.thehealthjournals.com/dark-side-antidepressants/</v>
      </c>
      <c r="L2395" s="8"/>
      <c r="M2395" s="8"/>
      <c r="N2395" s="8">
        <f ca="1">IFERROR(__xludf.DUMMYFUNCTION("""COMPUTED_VALUE"""),3)</f>
        <v>3</v>
      </c>
      <c r="O2395" s="8" t="str">
        <f ca="1">IFERROR(__xludf.DUMMYFUNCTION("""COMPUTED_VALUE"""),"Spring")</f>
        <v>Spring</v>
      </c>
      <c r="P2395" s="8" t="str">
        <f ca="1">IFERROR(__xludf.DUMMYFUNCTION("""COMPUTED_VALUE"""),"Mattawa")</f>
        <v>Mattawa</v>
      </c>
      <c r="Q2395" s="8" t="str">
        <f ca="1">IFERROR(__xludf.DUMMYFUNCTION("""COMPUTED_VALUE"""),"WA")</f>
        <v>WA</v>
      </c>
      <c r="R2395" s="8" t="str">
        <f ca="1">IFERROR(__xludf.DUMMYFUNCTION("""COMPUTED_VALUE"""),"High")</f>
        <v>High</v>
      </c>
      <c r="S2395" s="8" t="str">
        <f ca="1">IFERROR(__xludf.DUMMYFUNCTION("""COMPUTED_VALUE"""),"Classroom")</f>
        <v>Classroom</v>
      </c>
      <c r="T2395" s="8" t="str">
        <f ca="1">IFERROR(__xludf.DUMMYFUNCTION("""COMPUTED_VALUE"""),"Inside School Building")</f>
        <v>Inside School Building</v>
      </c>
      <c r="U2395" s="8" t="str">
        <f ca="1">IFERROR(__xludf.DUMMYFUNCTION("""COMPUTED_VALUE"""),"Yes")</f>
        <v>Yes</v>
      </c>
      <c r="V2395" s="8"/>
      <c r="W2395" s="8"/>
      <c r="X2395" s="8">
        <f ca="1">IFERROR(__xludf.DUMMYFUNCTION("""COMPUTED_VALUE"""),45)</f>
        <v>45</v>
      </c>
      <c r="Y2395" s="12" t="str">
        <f ca="1">IFERROR(__xludf.DUMMYFUNCTION("""COMPUTED_VALUE"""),"Held class hostage, recent change in medication")</f>
        <v>Held class hostage, recent change in medication</v>
      </c>
      <c r="Z2395" s="12" t="str">
        <f ca="1">IFERROR(__xludf.DUMMYFUNCTION("""COMPUTED_VALUE"""),"16YOM held english class hostage for 45 minutes with a loaded hunting rifle. Shooter was talking about suicide and killing everyone. Shooter was on antidepressants and medication had been recently changed. Surrendered to principal without firing any shots"&amp;". Shooter was popular student and athlete. Incident resulted in federal probe of the medications he was taking.")</f>
        <v>16YOM held english class hostage for 45 minutes with a loaded hunting rifle. Shooter was talking about suicide and killing everyone. Shooter was on antidepressants and medication had been recently changed. Surrendered to principal without firing any shots. Shooter was popular student and athlete. Incident resulted in federal probe of the medications he was taking.</v>
      </c>
      <c r="AA2395" s="8" t="str">
        <f ca="1">IFERROR(__xludf.DUMMYFUNCTION("""COMPUTED_VALUE"""),"Hostage/Standoff")</f>
        <v>Hostage/Standoff</v>
      </c>
      <c r="AB2395" s="8"/>
      <c r="AC2395" s="8"/>
      <c r="AD2395" s="8" t="str">
        <f ca="1">IFERROR(__xludf.DUMMYFUNCTION("""COMPUTED_VALUE"""),"Neither")</f>
        <v>Neither</v>
      </c>
      <c r="AE2395" s="8" t="str">
        <f ca="1">IFERROR(__xludf.DUMMYFUNCTION("""COMPUTED_VALUE"""),"No")</f>
        <v>No</v>
      </c>
      <c r="AF2395" s="8"/>
      <c r="AG2395" s="8" t="str">
        <f ca="1">IFERROR(__xludf.DUMMYFUNCTION("""COMPUTED_VALUE"""),"Yes")</f>
        <v>Yes</v>
      </c>
      <c r="AH2395" s="8" t="str">
        <f ca="1">IFERROR(__xludf.DUMMYFUNCTION("""COMPUTED_VALUE"""),"No")</f>
        <v>No</v>
      </c>
      <c r="AI2395" s="8" t="str">
        <f ca="1">IFERROR(__xludf.DUMMYFUNCTION("""COMPUTED_VALUE"""),"No")</f>
        <v>No</v>
      </c>
      <c r="AJ2395" s="8" t="str">
        <f ca="1">IFERROR(__xludf.DUMMYFUNCTION("""COMPUTED_VALUE"""),"No")</f>
        <v>No</v>
      </c>
      <c r="AK2395" s="8" t="str">
        <f ca="1">IFERROR(__xludf.DUMMYFUNCTION("""COMPUTED_VALUE"""),"No")</f>
        <v>No</v>
      </c>
      <c r="AL2395" s="8" t="str">
        <f ca="1">IFERROR(__xludf.DUMMYFUNCTION("""COMPUTED_VALUE"""),"No")</f>
        <v>No</v>
      </c>
      <c r="AM2395" s="8" t="str">
        <f ca="1">IFERROR(__xludf.DUMMYFUNCTION("""COMPUTED_VALUE"""),"Yes")</f>
        <v>Yes</v>
      </c>
      <c r="AN2395" s="8" t="str">
        <f ca="1">IFERROR(__xludf.DUMMYFUNCTION("""COMPUTED_VALUE"""),"Single Room")</f>
        <v>Single Room</v>
      </c>
      <c r="AO2395" s="8" t="str">
        <f ca="1">IFERROR(__xludf.DUMMYFUNCTION("""COMPUTED_VALUE"""),"No")</f>
        <v>No</v>
      </c>
      <c r="AP2395" s="8"/>
      <c r="AQ2395" s="8" t="str">
        <f ca="1">IFERROR(__xludf.DUMMYFUNCTION("""COMPUTED_VALUE"""),"Unknown")</f>
        <v>Unknown</v>
      </c>
      <c r="AR2395" s="8" t="str">
        <f ca="1">IFERROR(__xludf.DUMMYFUNCTION("""COMPUTED_VALUE"""),"NA")</f>
        <v>NA</v>
      </c>
      <c r="AS2395" s="8">
        <f ca="1">IFERROR(__xludf.DUMMYFUNCTION("""COMPUTED_VALUE"""),0)</f>
        <v>0</v>
      </c>
      <c r="AT2395" s="8"/>
      <c r="AU2395" s="8">
        <f ca="1">IFERROR(__xludf.DUMMYFUNCTION("""COMPUTED_VALUE"""),46.742779)</f>
        <v>46.742778999999999</v>
      </c>
      <c r="AV2395" s="8">
        <f ca="1">IFERROR(__xludf.DUMMYFUNCTION("""COMPUTED_VALUE"""),-119.89396)</f>
        <v>-119.89396000000001</v>
      </c>
      <c r="AW2395" s="8"/>
      <c r="AX2395" s="8">
        <f ca="1">IFERROR(__xludf.DUMMYFUNCTION("""COMPUTED_VALUE"""),99349)</f>
        <v>99349</v>
      </c>
    </row>
    <row r="2396" spans="1:50" ht="45" x14ac:dyDescent="0.2">
      <c r="A2396" s="8" t="str">
        <f ca="1">IFERROR(__xludf.DUMMYFUNCTION("""COMPUTED_VALUE"""),"20010402TXKLH")</f>
        <v>20010402TXKLH</v>
      </c>
      <c r="B2396" s="8">
        <f ca="1">IFERROR(__xludf.DUMMYFUNCTION("""COMPUTED_VALUE"""),4)</f>
        <v>4</v>
      </c>
      <c r="C2396" s="8">
        <f ca="1">IFERROR(__xludf.DUMMYFUNCTION("""COMPUTED_VALUE"""),2)</f>
        <v>2</v>
      </c>
      <c r="D2396" s="8">
        <f ca="1">IFERROR(__xludf.DUMMYFUNCTION("""COMPUTED_VALUE"""),2001)</f>
        <v>2001</v>
      </c>
      <c r="E2396" s="9">
        <f ca="1">IFERROR(__xludf.DUMMYFUNCTION("""COMPUTED_VALUE"""),36983)</f>
        <v>36983</v>
      </c>
      <c r="F2396" s="8" t="str">
        <f ca="1">IFERROR(__xludf.DUMMYFUNCTION("""COMPUTED_VALUE"""),"Kleb Intermediate School")</f>
        <v>Kleb Intermediate School</v>
      </c>
      <c r="G2396" s="8">
        <f ca="1">IFERROR(__xludf.DUMMYFUNCTION("""COMPUTED_VALUE"""),0)</f>
        <v>0</v>
      </c>
      <c r="H2396" s="8">
        <f ca="1">IFERROR(__xludf.DUMMYFUNCTION("""COMPUTED_VALUE"""),0)</f>
        <v>0</v>
      </c>
      <c r="I2396" s="8">
        <f ca="1">IFERROR(__xludf.DUMMYFUNCTION("""COMPUTED_VALUE"""),0)</f>
        <v>0</v>
      </c>
      <c r="J2396" s="8">
        <f ca="1">IFERROR(__xludf.DUMMYFUNCTION("""COMPUTED_VALUE"""),1)</f>
        <v>1</v>
      </c>
      <c r="K2396" s="10" t="str">
        <f ca="1">IFERROR(__xludf.DUMMYFUNCTION("""COMPUTED_VALUE"""),"https://www.chron.com/news/houston-texas/article/Eighth-grade-girl-dies-after-shooting-herself-at-2012069.php")</f>
        <v>https://www.chron.com/news/houston-texas/article/Eighth-grade-girl-dies-after-shooting-herself-at-2012069.php</v>
      </c>
      <c r="L2396" s="8"/>
      <c r="M2396" s="8"/>
      <c r="N2396" s="8">
        <f ca="1">IFERROR(__xludf.DUMMYFUNCTION("""COMPUTED_VALUE"""),2)</f>
        <v>2</v>
      </c>
      <c r="O2396" s="8" t="str">
        <f ca="1">IFERROR(__xludf.DUMMYFUNCTION("""COMPUTED_VALUE"""),"Spring")</f>
        <v>Spring</v>
      </c>
      <c r="P2396" s="8" t="str">
        <f ca="1">IFERROR(__xludf.DUMMYFUNCTION("""COMPUTED_VALUE"""),"Houston")</f>
        <v>Houston</v>
      </c>
      <c r="Q2396" s="8" t="str">
        <f ca="1">IFERROR(__xludf.DUMMYFUNCTION("""COMPUTED_VALUE"""),"TX")</f>
        <v>TX</v>
      </c>
      <c r="R2396" s="8" t="str">
        <f ca="1">IFERROR(__xludf.DUMMYFUNCTION("""COMPUTED_VALUE"""),"High")</f>
        <v>High</v>
      </c>
      <c r="S2396" s="8" t="str">
        <f ca="1">IFERROR(__xludf.DUMMYFUNCTION("""COMPUTED_VALUE"""),"Bathroom")</f>
        <v>Bathroom</v>
      </c>
      <c r="T2396" s="8" t="str">
        <f ca="1">IFERROR(__xludf.DUMMYFUNCTION("""COMPUTED_VALUE"""),"Inside School Building")</f>
        <v>Inside School Building</v>
      </c>
      <c r="U2396" s="8" t="str">
        <f ca="1">IFERROR(__xludf.DUMMYFUNCTION("""COMPUTED_VALUE"""),"Yes")</f>
        <v>Yes</v>
      </c>
      <c r="V2396" s="8" t="str">
        <f ca="1">IFERROR(__xludf.DUMMYFUNCTION("""COMPUTED_VALUE"""),"Morning Classes")</f>
        <v>Morning Classes</v>
      </c>
      <c r="W2396" s="11">
        <f ca="1">IFERROR(__xludf.DUMMYFUNCTION("""COMPUTED_VALUE"""),0.4375)</f>
        <v>0.4375</v>
      </c>
      <c r="X2396" s="8">
        <f ca="1">IFERROR(__xludf.DUMMYFUNCTION("""COMPUTED_VALUE"""),1)</f>
        <v>1</v>
      </c>
      <c r="Y2396" s="12" t="str">
        <f ca="1">IFERROR(__xludf.DUMMYFUNCTION("""COMPUTED_VALUE"""),"Female student shot herself in bathroom")</f>
        <v>Female student shot herself in bathroom</v>
      </c>
      <c r="Z2396" s="12" t="str">
        <f ca="1">IFERROR(__xludf.DUMMYFUNCTION("""COMPUTED_VALUE"""),"13YOF student excused herself from class, went to her locker to get a .22 handgun, and killed herself in the bathroom.")</f>
        <v>13YOF student excused herself from class, went to her locker to get a .22 handgun, and killed herself in the bathroom.</v>
      </c>
      <c r="AA2396" s="8" t="str">
        <f ca="1">IFERROR(__xludf.DUMMYFUNCTION("""COMPUTED_VALUE"""),"Suicide/Attempted")</f>
        <v>Suicide/Attempted</v>
      </c>
      <c r="AB2396" s="8"/>
      <c r="AC2396" s="8"/>
      <c r="AD2396" s="8" t="str">
        <f ca="1">IFERROR(__xludf.DUMMYFUNCTION("""COMPUTED_VALUE"""),"Victims Targeted")</f>
        <v>Victims Targeted</v>
      </c>
      <c r="AE2396" s="8" t="str">
        <f ca="1">IFERROR(__xludf.DUMMYFUNCTION("""COMPUTED_VALUE"""),"No")</f>
        <v>No</v>
      </c>
      <c r="AF2396" s="8"/>
      <c r="AG2396" s="8" t="str">
        <f ca="1">IFERROR(__xludf.DUMMYFUNCTION("""COMPUTED_VALUE"""),"No")</f>
        <v>No</v>
      </c>
      <c r="AH2396" s="8" t="str">
        <f ca="1">IFERROR(__xludf.DUMMYFUNCTION("""COMPUTED_VALUE"""),"No")</f>
        <v>No</v>
      </c>
      <c r="AI2396" s="8" t="str">
        <f ca="1">IFERROR(__xludf.DUMMYFUNCTION("""COMPUTED_VALUE"""),"No")</f>
        <v>No</v>
      </c>
      <c r="AJ2396" s="8" t="str">
        <f ca="1">IFERROR(__xludf.DUMMYFUNCTION("""COMPUTED_VALUE"""),"No")</f>
        <v>No</v>
      </c>
      <c r="AK2396" s="8" t="str">
        <f ca="1">IFERROR(__xludf.DUMMYFUNCTION("""COMPUTED_VALUE"""),"No")</f>
        <v>No</v>
      </c>
      <c r="AL2396" s="8" t="str">
        <f ca="1">IFERROR(__xludf.DUMMYFUNCTION("""COMPUTED_VALUE"""),"No")</f>
        <v>No</v>
      </c>
      <c r="AM2396" s="8"/>
      <c r="AN2396" s="8"/>
      <c r="AO2396" s="8" t="str">
        <f ca="1">IFERROR(__xludf.DUMMYFUNCTION("""COMPUTED_VALUE"""),"No")</f>
        <v>No</v>
      </c>
      <c r="AP2396" s="8"/>
      <c r="AQ2396" s="8" t="str">
        <f ca="1">IFERROR(__xludf.DUMMYFUNCTION("""COMPUTED_VALUE"""),"Unknown")</f>
        <v>Unknown</v>
      </c>
      <c r="AR2396" s="8" t="str">
        <f ca="1">IFERROR(__xludf.DUMMYFUNCTION("""COMPUTED_VALUE"""),"NA")</f>
        <v>NA</v>
      </c>
      <c r="AS2396" s="8">
        <f ca="1">IFERROR(__xludf.DUMMYFUNCTION("""COMPUTED_VALUE"""),1)</f>
        <v>1</v>
      </c>
      <c r="AT2396" s="8"/>
      <c r="AU2396" s="8">
        <f ca="1">IFERROR(__xludf.DUMMYFUNCTION("""COMPUTED_VALUE"""),30.017986)</f>
        <v>30.017986000000001</v>
      </c>
      <c r="AV2396" s="8">
        <f ca="1">IFERROR(__xludf.DUMMYFUNCTION("""COMPUTED_VALUE"""),-95.527084)</f>
        <v>-95.527084000000002</v>
      </c>
      <c r="AW2396" s="8"/>
      <c r="AX2396" s="8">
        <f ca="1">IFERROR(__xludf.DUMMYFUNCTION("""COMPUTED_VALUE"""),77379)</f>
        <v>77379</v>
      </c>
    </row>
    <row r="2397" spans="1:50" ht="105" x14ac:dyDescent="0.2">
      <c r="A2397" s="8" t="str">
        <f ca="1">IFERROR(__xludf.DUMMYFUNCTION("""COMPUTED_VALUE"""),"20010330INLEG")</f>
        <v>20010330INLEG</v>
      </c>
      <c r="B2397" s="8">
        <f ca="1">IFERROR(__xludf.DUMMYFUNCTION("""COMPUTED_VALUE"""),3)</f>
        <v>3</v>
      </c>
      <c r="C2397" s="8">
        <f ca="1">IFERROR(__xludf.DUMMYFUNCTION("""COMPUTED_VALUE"""),30)</f>
        <v>30</v>
      </c>
      <c r="D2397" s="8">
        <f ca="1">IFERROR(__xludf.DUMMYFUNCTION("""COMPUTED_VALUE"""),2001)</f>
        <v>2001</v>
      </c>
      <c r="E2397" s="9">
        <f ca="1">IFERROR(__xludf.DUMMYFUNCTION("""COMPUTED_VALUE"""),36980)</f>
        <v>36980</v>
      </c>
      <c r="F2397" s="8" t="str">
        <f ca="1">IFERROR(__xludf.DUMMYFUNCTION("""COMPUTED_VALUE"""),"Lew Wallace High School")</f>
        <v>Lew Wallace High School</v>
      </c>
      <c r="G2397" s="8">
        <f ca="1">IFERROR(__xludf.DUMMYFUNCTION("""COMPUTED_VALUE"""),1)</f>
        <v>1</v>
      </c>
      <c r="H2397" s="8">
        <f ca="1">IFERROR(__xludf.DUMMYFUNCTION("""COMPUTED_VALUE"""),0)</f>
        <v>0</v>
      </c>
      <c r="I2397" s="8">
        <f ca="1">IFERROR(__xludf.DUMMYFUNCTION("""COMPUTED_VALUE"""),1)</f>
        <v>1</v>
      </c>
      <c r="J2397" s="8">
        <f ca="1">IFERROR(__xludf.DUMMYFUNCTION("""COMPUTED_VALUE"""),0)</f>
        <v>0</v>
      </c>
      <c r="K2397" s="10" t="str">
        <f ca="1">IFERROR(__xludf.DUMMYFUNCTION("""COMPUTED_VALUE"""),"http://edition.cnn.com/2001/US/03/31/school.shooting/")</f>
        <v>http://edition.cnn.com/2001/US/03/31/school.shooting/</v>
      </c>
      <c r="L2397" s="8"/>
      <c r="M2397" s="8"/>
      <c r="N2397" s="8">
        <f ca="1">IFERROR(__xludf.DUMMYFUNCTION("""COMPUTED_VALUE"""),2)</f>
        <v>2</v>
      </c>
      <c r="O2397" s="8" t="str">
        <f ca="1">IFERROR(__xludf.DUMMYFUNCTION("""COMPUTED_VALUE"""),"Spring")</f>
        <v>Spring</v>
      </c>
      <c r="P2397" s="8" t="str">
        <f ca="1">IFERROR(__xludf.DUMMYFUNCTION("""COMPUTED_VALUE"""),"Gary")</f>
        <v>Gary</v>
      </c>
      <c r="Q2397" s="8" t="str">
        <f ca="1">IFERROR(__xludf.DUMMYFUNCTION("""COMPUTED_VALUE"""),"IN")</f>
        <v>IN</v>
      </c>
      <c r="R2397" s="8" t="str">
        <f ca="1">IFERROR(__xludf.DUMMYFUNCTION("""COMPUTED_VALUE"""),"High")</f>
        <v>High</v>
      </c>
      <c r="S2397" s="8" t="str">
        <f ca="1">IFERROR(__xludf.DUMMYFUNCTION("""COMPUTED_VALUE"""),"Parking Lot")</f>
        <v>Parking Lot</v>
      </c>
      <c r="T2397" s="8" t="str">
        <f ca="1">IFERROR(__xludf.DUMMYFUNCTION("""COMPUTED_VALUE"""),"Outside on School Property")</f>
        <v>Outside on School Property</v>
      </c>
      <c r="U2397" s="8" t="str">
        <f ca="1">IFERROR(__xludf.DUMMYFUNCTION("""COMPUTED_VALUE"""),"No")</f>
        <v>No</v>
      </c>
      <c r="V2397" s="8" t="str">
        <f ca="1">IFERROR(__xludf.DUMMYFUNCTION("""COMPUTED_VALUE"""),"School Start")</f>
        <v>School Start</v>
      </c>
      <c r="W2397" s="11">
        <f ca="1">IFERROR(__xludf.DUMMYFUNCTION("""COMPUTED_VALUE"""),0.34375)</f>
        <v>0.34375</v>
      </c>
      <c r="X2397" s="8">
        <f ca="1">IFERROR(__xludf.DUMMYFUNCTION("""COMPUTED_VALUE"""),1)</f>
        <v>1</v>
      </c>
      <c r="Y2397" s="12" t="str">
        <f ca="1">IFERROR(__xludf.DUMMYFUNCTION("""COMPUTED_VALUE"""),"Ongoing fight relating to both bullying and gangs")</f>
        <v>Ongoing fight relating to both bullying and gangs</v>
      </c>
      <c r="Z2397" s="12" t="str">
        <f ca="1">IFERROR(__xludf.DUMMYFUNCTION("""COMPUTED_VALUE"""),"Shooter had been beat up by victim multiple times resulting in the shooter dropping out of school because of fear of the victim. Victim was involved with gang activity. Victim approached the shooter in the school parking lot and shooter fired handgun kill"&amp;"ing victim then fled the scene. The shooter was small for 17 YOM (5'7"", 130 lbs). Shooter had no history of violence or disciplinary issues.")</f>
        <v>Shooter had been beat up by victim multiple times resulting in the shooter dropping out of school because of fear of the victim. Victim was involved with gang activity. Victim approached the shooter in the school parking lot and shooter fired handgun killing victim then fled the scene. The shooter was small for 17 YOM (5'7", 130 lbs). Shooter had no history of violence or disciplinary issues.</v>
      </c>
      <c r="AA2397" s="8" t="str">
        <f ca="1">IFERROR(__xludf.DUMMYFUNCTION("""COMPUTED_VALUE"""),"Escalation of Dispute")</f>
        <v>Escalation of Dispute</v>
      </c>
      <c r="AB2397" s="8"/>
      <c r="AC2397" s="8"/>
      <c r="AD2397" s="8" t="str">
        <f ca="1">IFERROR(__xludf.DUMMYFUNCTION("""COMPUTED_VALUE"""),"Victims Targeted")</f>
        <v>Victims Targeted</v>
      </c>
      <c r="AE2397" s="8" t="str">
        <f ca="1">IFERROR(__xludf.DUMMYFUNCTION("""COMPUTED_VALUE"""),"No")</f>
        <v>No</v>
      </c>
      <c r="AF2397" s="8"/>
      <c r="AG2397" s="8" t="str">
        <f ca="1">IFERROR(__xludf.DUMMYFUNCTION("""COMPUTED_VALUE"""),"No")</f>
        <v>No</v>
      </c>
      <c r="AH2397" s="8" t="str">
        <f ca="1">IFERROR(__xludf.DUMMYFUNCTION("""COMPUTED_VALUE"""),"No")</f>
        <v>No</v>
      </c>
      <c r="AI2397" s="8" t="str">
        <f ca="1">IFERROR(__xludf.DUMMYFUNCTION("""COMPUTED_VALUE"""),"No")</f>
        <v>No</v>
      </c>
      <c r="AJ2397" s="8" t="str">
        <f ca="1">IFERROR(__xludf.DUMMYFUNCTION("""COMPUTED_VALUE"""),"Yes")</f>
        <v>Yes</v>
      </c>
      <c r="AK2397" s="8" t="str">
        <f ca="1">IFERROR(__xludf.DUMMYFUNCTION("""COMPUTED_VALUE"""),"No")</f>
        <v>No</v>
      </c>
      <c r="AL2397" s="8" t="str">
        <f ca="1">IFERROR(__xludf.DUMMYFUNCTION("""COMPUTED_VALUE"""),"Yes")</f>
        <v>Yes</v>
      </c>
      <c r="AM2397" s="8"/>
      <c r="AN2397" s="8"/>
      <c r="AO2397" s="8" t="str">
        <f ca="1">IFERROR(__xludf.DUMMYFUNCTION("""COMPUTED_VALUE"""),"No")</f>
        <v>No</v>
      </c>
      <c r="AP2397" s="8" t="str">
        <f ca="1">IFERROR(__xludf.DUMMYFUNCTION("""COMPUTED_VALUE"""),"Yes")</f>
        <v>Yes</v>
      </c>
      <c r="AQ2397" s="8" t="str">
        <f ca="1">IFERROR(__xludf.DUMMYFUNCTION("""COMPUTED_VALUE"""),"Unknown")</f>
        <v>Unknown</v>
      </c>
      <c r="AR2397" s="8" t="str">
        <f ca="1">IFERROR(__xludf.DUMMYFUNCTION("""COMPUTED_VALUE"""),"NA")</f>
        <v>NA</v>
      </c>
      <c r="AS2397" s="8">
        <f ca="1">IFERROR(__xludf.DUMMYFUNCTION("""COMPUTED_VALUE"""),1)</f>
        <v>1</v>
      </c>
      <c r="AT2397" s="8"/>
      <c r="AU2397" s="8">
        <f ca="1">IFERROR(__xludf.DUMMYFUNCTION("""COMPUTED_VALUE"""),41.536054)</f>
        <v>41.536054</v>
      </c>
      <c r="AV2397" s="8">
        <f ca="1">IFERROR(__xludf.DUMMYFUNCTION("""COMPUTED_VALUE"""),-87.342607)</f>
        <v>-87.342607000000001</v>
      </c>
      <c r="AW2397" s="8"/>
      <c r="AX2397" s="8">
        <f ca="1">IFERROR(__xludf.DUMMYFUNCTION("""COMPUTED_VALUE"""),46408)</f>
        <v>46408</v>
      </c>
    </row>
    <row r="2398" spans="1:50" ht="75" x14ac:dyDescent="0.2">
      <c r="A2398" s="8" t="str">
        <f ca="1">IFERROR(__xludf.DUMMYFUNCTION("""COMPUTED_VALUE"""),"20010322CAGRE")</f>
        <v>20010322CAGRE</v>
      </c>
      <c r="B2398" s="8">
        <f ca="1">IFERROR(__xludf.DUMMYFUNCTION("""COMPUTED_VALUE"""),3)</f>
        <v>3</v>
      </c>
      <c r="C2398" s="8">
        <f ca="1">IFERROR(__xludf.DUMMYFUNCTION("""COMPUTED_VALUE"""),22)</f>
        <v>22</v>
      </c>
      <c r="D2398" s="8">
        <f ca="1">IFERROR(__xludf.DUMMYFUNCTION("""COMPUTED_VALUE"""),2001)</f>
        <v>2001</v>
      </c>
      <c r="E2398" s="9">
        <f ca="1">IFERROR(__xludf.DUMMYFUNCTION("""COMPUTED_VALUE"""),36972)</f>
        <v>36972</v>
      </c>
      <c r="F2398" s="8" t="str">
        <f ca="1">IFERROR(__xludf.DUMMYFUNCTION("""COMPUTED_VALUE"""),"Granite Hills High School")</f>
        <v>Granite Hills High School</v>
      </c>
      <c r="G2398" s="8">
        <f ca="1">IFERROR(__xludf.DUMMYFUNCTION("""COMPUTED_VALUE"""),0)</f>
        <v>0</v>
      </c>
      <c r="H2398" s="8">
        <f ca="1">IFERROR(__xludf.DUMMYFUNCTION("""COMPUTED_VALUE"""),5)</f>
        <v>5</v>
      </c>
      <c r="I2398" s="8">
        <f ca="1">IFERROR(__xludf.DUMMYFUNCTION("""COMPUTED_VALUE"""),5)</f>
        <v>5</v>
      </c>
      <c r="J2398" s="8">
        <f ca="1">IFERROR(__xludf.DUMMYFUNCTION("""COMPUTED_VALUE"""),1)</f>
        <v>1</v>
      </c>
      <c r="K2398" s="8" t="str">
        <f ca="1">IFERROR(__xludf.DUMMYFUNCTION("""COMPUTED_VALUE"""),"https://www.sfgate.com/news/article/El-Cajon-School-Shootout-Injures-5-Campus-cop-2939710.php http://articles.latimes.com/2001/mar/23/news/mn-41660 https://www.fbi.gov/file-repository/active-shooter-incidents-2000-2017.pdf")</f>
        <v>https://www.sfgate.com/news/article/El-Cajon-School-Shootout-Injures-5-Campus-cop-2939710.php http://articles.latimes.com/2001/mar/23/news/mn-41660 https://www.fbi.gov/file-repository/active-shooter-incidents-2000-2017.pdf</v>
      </c>
      <c r="L2398" s="8"/>
      <c r="M2398" s="8"/>
      <c r="N2398" s="8">
        <f ca="1">IFERROR(__xludf.DUMMYFUNCTION("""COMPUTED_VALUE"""),5)</f>
        <v>5</v>
      </c>
      <c r="O2398" s="8" t="str">
        <f ca="1">IFERROR(__xludf.DUMMYFUNCTION("""COMPUTED_VALUE"""),"Spring")</f>
        <v>Spring</v>
      </c>
      <c r="P2398" s="8" t="str">
        <f ca="1">IFERROR(__xludf.DUMMYFUNCTION("""COMPUTED_VALUE"""),"El Cajon")</f>
        <v>El Cajon</v>
      </c>
      <c r="Q2398" s="8" t="str">
        <f ca="1">IFERROR(__xludf.DUMMYFUNCTION("""COMPUTED_VALUE"""),"CA")</f>
        <v>CA</v>
      </c>
      <c r="R2398" s="8" t="str">
        <f ca="1">IFERROR(__xludf.DUMMYFUNCTION("""COMPUTED_VALUE"""),"High")</f>
        <v>High</v>
      </c>
      <c r="S2398" s="8" t="str">
        <f ca="1">IFERROR(__xludf.DUMMYFUNCTION("""COMPUTED_VALUE"""),"Beside Building")</f>
        <v>Beside Building</v>
      </c>
      <c r="T2398" s="8" t="str">
        <f ca="1">IFERROR(__xludf.DUMMYFUNCTION("""COMPUTED_VALUE"""),"Outside on School Property")</f>
        <v>Outside on School Property</v>
      </c>
      <c r="U2398" s="8" t="str">
        <f ca="1">IFERROR(__xludf.DUMMYFUNCTION("""COMPUTED_VALUE"""),"Yes")</f>
        <v>Yes</v>
      </c>
      <c r="V2398" s="8" t="str">
        <f ca="1">IFERROR(__xludf.DUMMYFUNCTION("""COMPUTED_VALUE"""),"Lunch")</f>
        <v>Lunch</v>
      </c>
      <c r="W2398" s="11">
        <f ca="1">IFERROR(__xludf.DUMMYFUNCTION("""COMPUTED_VALUE"""),0.5375)</f>
        <v>0.53749999999999998</v>
      </c>
      <c r="X2398" s="8"/>
      <c r="Y2398" s="12" t="str">
        <f ca="1">IFERROR(__xludf.DUMMYFUNCTION("""COMPUTED_VALUE"""),"Planned attack, SRO at school shot at shooter and detained him")</f>
        <v>Planned attack, SRO at school shot at shooter and detained him</v>
      </c>
      <c r="Z2398" s="12" t="str">
        <f ca="1">IFERROR(__xludf.DUMMYFUNCTION("""COMPUTED_VALUE"""),"Shooter stood outside of school and fired shotgun and .22 rounds at the windows of the building. 4 students were injured by broken glass. A police officer assigned to the school fired at the shooter and arrested him. Shooter commit suicide while in detent"&amp;"ion facility.")</f>
        <v>Shooter stood outside of school and fired shotgun and .22 rounds at the windows of the building. 4 students were injured by broken glass. A police officer assigned to the school fired at the shooter and arrested him. Shooter commit suicide while in detention facility.</v>
      </c>
      <c r="AA2398" s="8" t="str">
        <f ca="1">IFERROR(__xludf.DUMMYFUNCTION("""COMPUTED_VALUE"""),"Indiscriminate Shooting")</f>
        <v>Indiscriminate Shooting</v>
      </c>
      <c r="AB2398" s="8"/>
      <c r="AC2398" s="8"/>
      <c r="AD2398" s="8" t="str">
        <f ca="1">IFERROR(__xludf.DUMMYFUNCTION("""COMPUTED_VALUE"""),"Random Shooting")</f>
        <v>Random Shooting</v>
      </c>
      <c r="AE2398" s="8" t="str">
        <f ca="1">IFERROR(__xludf.DUMMYFUNCTION("""COMPUTED_VALUE"""),"No")</f>
        <v>No</v>
      </c>
      <c r="AF2398" s="8"/>
      <c r="AG2398" s="8" t="str">
        <f ca="1">IFERROR(__xludf.DUMMYFUNCTION("""COMPUTED_VALUE"""),"No")</f>
        <v>No</v>
      </c>
      <c r="AH2398" s="8" t="str">
        <f ca="1">IFERROR(__xludf.DUMMYFUNCTION("""COMPUTED_VALUE"""),"No")</f>
        <v>No</v>
      </c>
      <c r="AI2398" s="8" t="str">
        <f ca="1">IFERROR(__xludf.DUMMYFUNCTION("""COMPUTED_VALUE"""),"No")</f>
        <v>No</v>
      </c>
      <c r="AJ2398" s="8" t="str">
        <f ca="1">IFERROR(__xludf.DUMMYFUNCTION("""COMPUTED_VALUE"""),"No")</f>
        <v>No</v>
      </c>
      <c r="AK2398" s="8" t="str">
        <f ca="1">IFERROR(__xludf.DUMMYFUNCTION("""COMPUTED_VALUE"""),"No")</f>
        <v>No</v>
      </c>
      <c r="AL2398" s="8" t="str">
        <f ca="1">IFERROR(__xludf.DUMMYFUNCTION("""COMPUTED_VALUE"""),"No")</f>
        <v>No</v>
      </c>
      <c r="AM2398" s="8" t="str">
        <f ca="1">IFERROR(__xludf.DUMMYFUNCTION("""COMPUTED_VALUE"""),"Yes")</f>
        <v>Yes</v>
      </c>
      <c r="AN2398" s="8" t="str">
        <f ca="1">IFERROR(__xludf.DUMMYFUNCTION("""COMPUTED_VALUE"""),"Outside")</f>
        <v>Outside</v>
      </c>
      <c r="AO2398" s="8" t="str">
        <f ca="1">IFERROR(__xludf.DUMMYFUNCTION("""COMPUTED_VALUE"""),"No")</f>
        <v>No</v>
      </c>
      <c r="AP2398" s="8" t="str">
        <f ca="1">IFERROR(__xludf.DUMMYFUNCTION("""COMPUTED_VALUE"""),"Yes")</f>
        <v>Yes</v>
      </c>
      <c r="AQ2398" s="8" t="str">
        <f ca="1">IFERROR(__xludf.DUMMYFUNCTION("""COMPUTED_VALUE"""),"Unknown")</f>
        <v>Unknown</v>
      </c>
      <c r="AR2398" s="8" t="str">
        <f ca="1">IFERROR(__xludf.DUMMYFUNCTION("""COMPUTED_VALUE"""),"NA")</f>
        <v>NA</v>
      </c>
      <c r="AS2398" s="8" t="str">
        <f ca="1">IFERROR(__xludf.DUMMYFUNCTION("""COMPUTED_VALUE"""),"&gt;20")</f>
        <v>&gt;20</v>
      </c>
      <c r="AT2398" s="8"/>
      <c r="AU2398" s="8">
        <f ca="1">IFERROR(__xludf.DUMMYFUNCTION("""COMPUTED_VALUE"""),32.798164)</f>
        <v>32.798164</v>
      </c>
      <c r="AV2398" s="8">
        <f ca="1">IFERROR(__xludf.DUMMYFUNCTION("""COMPUTED_VALUE"""),-116.914587)</f>
        <v>-116.914587</v>
      </c>
      <c r="AW2398" s="8"/>
      <c r="AX2398" s="8">
        <f ca="1">IFERROR(__xludf.DUMMYFUNCTION("""COMPUTED_VALUE"""),92019)</f>
        <v>92019</v>
      </c>
    </row>
    <row r="2399" spans="1:50" ht="90" x14ac:dyDescent="0.2">
      <c r="A2399" s="8" t="str">
        <f ca="1">IFERROR(__xludf.DUMMYFUNCTION("""COMPUTED_VALUE"""),"20010307WAKEC")</f>
        <v>20010307WAKEC</v>
      </c>
      <c r="B2399" s="8">
        <f ca="1">IFERROR(__xludf.DUMMYFUNCTION("""COMPUTED_VALUE"""),3)</f>
        <v>3</v>
      </c>
      <c r="C2399" s="8">
        <f ca="1">IFERROR(__xludf.DUMMYFUNCTION("""COMPUTED_VALUE"""),7)</f>
        <v>7</v>
      </c>
      <c r="D2399" s="8">
        <f ca="1">IFERROR(__xludf.DUMMYFUNCTION("""COMPUTED_VALUE"""),2001)</f>
        <v>2001</v>
      </c>
      <c r="E2399" s="9">
        <f ca="1">IFERROR(__xludf.DUMMYFUNCTION("""COMPUTED_VALUE"""),36957)</f>
        <v>36957</v>
      </c>
      <c r="F2399" s="8" t="str">
        <f ca="1">IFERROR(__xludf.DUMMYFUNCTION("""COMPUTED_VALUE"""),"Kentwood High School")</f>
        <v>Kentwood High School</v>
      </c>
      <c r="G2399" s="8">
        <f ca="1">IFERROR(__xludf.DUMMYFUNCTION("""COMPUTED_VALUE"""),0)</f>
        <v>0</v>
      </c>
      <c r="H2399" s="8">
        <f ca="1">IFERROR(__xludf.DUMMYFUNCTION("""COMPUTED_VALUE"""),0)</f>
        <v>0</v>
      </c>
      <c r="I2399" s="8">
        <f ca="1">IFERROR(__xludf.DUMMYFUNCTION("""COMPUTED_VALUE"""),0)</f>
        <v>0</v>
      </c>
      <c r="J2399" s="8">
        <f ca="1">IFERROR(__xludf.DUMMYFUNCTION("""COMPUTED_VALUE"""),0)</f>
        <v>0</v>
      </c>
      <c r="K2399" s="10" t="str">
        <f ca="1">IFERROR(__xludf.DUMMYFUNCTION("""COMPUTED_VALUE"""),"http://community.seattletimes.nwsource.com/archive/?date=20010308&amp;slug=kent08m0")</f>
        <v>http://community.seattletimes.nwsource.com/archive/?date=20010308&amp;slug=kent08m0</v>
      </c>
      <c r="L2399" s="8"/>
      <c r="M2399" s="8"/>
      <c r="N2399" s="8">
        <f ca="1">IFERROR(__xludf.DUMMYFUNCTION("""COMPUTED_VALUE"""),2)</f>
        <v>2</v>
      </c>
      <c r="O2399" s="8" t="str">
        <f ca="1">IFERROR(__xludf.DUMMYFUNCTION("""COMPUTED_VALUE"""),"Spring")</f>
        <v>Spring</v>
      </c>
      <c r="P2399" s="8" t="str">
        <f ca="1">IFERROR(__xludf.DUMMYFUNCTION("""COMPUTED_VALUE"""),"Covington")</f>
        <v>Covington</v>
      </c>
      <c r="Q2399" s="8" t="str">
        <f ca="1">IFERROR(__xludf.DUMMYFUNCTION("""COMPUTED_VALUE"""),"WA")</f>
        <v>WA</v>
      </c>
      <c r="R2399" s="8" t="str">
        <f ca="1">IFERROR(__xludf.DUMMYFUNCTION("""COMPUTED_VALUE"""),"High")</f>
        <v>High</v>
      </c>
      <c r="S2399" s="8" t="str">
        <f ca="1">IFERROR(__xludf.DUMMYFUNCTION("""COMPUTED_VALUE"""),"Classroom")</f>
        <v>Classroom</v>
      </c>
      <c r="T2399" s="8" t="str">
        <f ca="1">IFERROR(__xludf.DUMMYFUNCTION("""COMPUTED_VALUE"""),"Inside School Building")</f>
        <v>Inside School Building</v>
      </c>
      <c r="U2399" s="8" t="str">
        <f ca="1">IFERROR(__xludf.DUMMYFUNCTION("""COMPUTED_VALUE"""),"Yes")</f>
        <v>Yes</v>
      </c>
      <c r="V2399" s="8"/>
      <c r="W2399" s="8"/>
      <c r="X2399" s="8"/>
      <c r="Y2399" s="12" t="str">
        <f ca="1">IFERROR(__xludf.DUMMYFUNCTION("""COMPUTED_VALUE"""),"Student pulled gun in class, talked about suicide, talked into surrendering by two other students")</f>
        <v>Student pulled gun in class, talked about suicide, talked into surrendering by two other students</v>
      </c>
      <c r="Z2399" s="12" t="str">
        <f ca="1">IFERROR(__xludf.DUMMYFUNCTION("""COMPUTED_VALUE"""),"16YOM student had talked to other students about suicide. He pulled a gun in the classroom and was talking about killing himself. Students fled the room but 2 JROTC students remained behind and talked shooter into surrendering to police. No shots fired. N"&amp;"o injuries.")</f>
        <v>16YOM student had talked to other students about suicide. He pulled a gun in the classroom and was talking about killing himself. Students fled the room but 2 JROTC students remained behind and talked shooter into surrendering to police. No shots fired. No injuries.</v>
      </c>
      <c r="AA2399" s="8" t="str">
        <f ca="1">IFERROR(__xludf.DUMMYFUNCTION("""COMPUTED_VALUE"""),"Suicide/Attempted")</f>
        <v>Suicide/Attempted</v>
      </c>
      <c r="AB2399" s="8"/>
      <c r="AC2399" s="8"/>
      <c r="AD2399" s="8" t="str">
        <f ca="1">IFERROR(__xludf.DUMMYFUNCTION("""COMPUTED_VALUE"""),"Neither")</f>
        <v>Neither</v>
      </c>
      <c r="AE2399" s="8" t="str">
        <f ca="1">IFERROR(__xludf.DUMMYFUNCTION("""COMPUTED_VALUE"""),"No")</f>
        <v>No</v>
      </c>
      <c r="AF2399" s="8"/>
      <c r="AG2399" s="8" t="str">
        <f ca="1">IFERROR(__xludf.DUMMYFUNCTION("""COMPUTED_VALUE"""),"No")</f>
        <v>No</v>
      </c>
      <c r="AH2399" s="8" t="str">
        <f ca="1">IFERROR(__xludf.DUMMYFUNCTION("""COMPUTED_VALUE"""),"No")</f>
        <v>No</v>
      </c>
      <c r="AI2399" s="8" t="str">
        <f ca="1">IFERROR(__xludf.DUMMYFUNCTION("""COMPUTED_VALUE"""),"No")</f>
        <v>No</v>
      </c>
      <c r="AJ2399" s="8" t="str">
        <f ca="1">IFERROR(__xludf.DUMMYFUNCTION("""COMPUTED_VALUE"""),"No")</f>
        <v>No</v>
      </c>
      <c r="AK2399" s="8" t="str">
        <f ca="1">IFERROR(__xludf.DUMMYFUNCTION("""COMPUTED_VALUE"""),"No")</f>
        <v>No</v>
      </c>
      <c r="AL2399" s="8" t="str">
        <f ca="1">IFERROR(__xludf.DUMMYFUNCTION("""COMPUTED_VALUE"""),"No")</f>
        <v>No</v>
      </c>
      <c r="AM2399" s="8" t="str">
        <f ca="1">IFERROR(__xludf.DUMMYFUNCTION("""COMPUTED_VALUE"""),"Yes")</f>
        <v>Yes</v>
      </c>
      <c r="AN2399" s="8" t="str">
        <f ca="1">IFERROR(__xludf.DUMMYFUNCTION("""COMPUTED_VALUE"""),"Single Room")</f>
        <v>Single Room</v>
      </c>
      <c r="AO2399" s="8" t="str">
        <f ca="1">IFERROR(__xludf.DUMMYFUNCTION("""COMPUTED_VALUE"""),"No")</f>
        <v>No</v>
      </c>
      <c r="AP2399" s="8"/>
      <c r="AQ2399" s="8" t="str">
        <f ca="1">IFERROR(__xludf.DUMMYFUNCTION("""COMPUTED_VALUE"""),"Unknown")</f>
        <v>Unknown</v>
      </c>
      <c r="AR2399" s="8" t="str">
        <f ca="1">IFERROR(__xludf.DUMMYFUNCTION("""COMPUTED_VALUE"""),"NA")</f>
        <v>NA</v>
      </c>
      <c r="AS2399" s="8">
        <f ca="1">IFERROR(__xludf.DUMMYFUNCTION("""COMPUTED_VALUE"""),0)</f>
        <v>0</v>
      </c>
      <c r="AT2399" s="8" t="str">
        <f ca="1">IFERROR(__xludf.DUMMYFUNCTION("""COMPUTED_VALUE"""),"Yes")</f>
        <v>Yes</v>
      </c>
      <c r="AU2399" s="8">
        <f ca="1">IFERROR(__xludf.DUMMYFUNCTION("""COMPUTED_VALUE"""),47.370475)</f>
        <v>47.370474999999999</v>
      </c>
      <c r="AV2399" s="8">
        <f ca="1">IFERROR(__xludf.DUMMYFUNCTION("""COMPUTED_VALUE"""),-122.119666)</f>
        <v>-122.119666</v>
      </c>
      <c r="AW2399" s="8"/>
      <c r="AX2399" s="8">
        <f ca="1">IFERROR(__xludf.DUMMYFUNCTION("""COMPUTED_VALUE"""),98042)</f>
        <v>98042</v>
      </c>
    </row>
    <row r="2400" spans="1:50" ht="150" x14ac:dyDescent="0.2">
      <c r="A2400" s="8" t="str">
        <f ca="1">IFERROR(__xludf.DUMMYFUNCTION("""COMPUTED_VALUE"""),"20010307PABIW")</f>
        <v>20010307PABIW</v>
      </c>
      <c r="B2400" s="8">
        <f ca="1">IFERROR(__xludf.DUMMYFUNCTION("""COMPUTED_VALUE"""),3)</f>
        <v>3</v>
      </c>
      <c r="C2400" s="8">
        <f ca="1">IFERROR(__xludf.DUMMYFUNCTION("""COMPUTED_VALUE"""),7)</f>
        <v>7</v>
      </c>
      <c r="D2400" s="8">
        <f ca="1">IFERROR(__xludf.DUMMYFUNCTION("""COMPUTED_VALUE"""),2001)</f>
        <v>2001</v>
      </c>
      <c r="E2400" s="9">
        <f ca="1">IFERROR(__xludf.DUMMYFUNCTION("""COMPUTED_VALUE"""),36957)</f>
        <v>36957</v>
      </c>
      <c r="F2400" s="8" t="str">
        <f ca="1">IFERROR(__xludf.DUMMYFUNCTION("""COMPUTED_VALUE"""),"Bishop Neumann High School")</f>
        <v>Bishop Neumann High School</v>
      </c>
      <c r="G2400" s="8">
        <f ca="1">IFERROR(__xludf.DUMMYFUNCTION("""COMPUTED_VALUE"""),0)</f>
        <v>0</v>
      </c>
      <c r="H2400" s="8">
        <f ca="1">IFERROR(__xludf.DUMMYFUNCTION("""COMPUTED_VALUE"""),1)</f>
        <v>1</v>
      </c>
      <c r="I2400" s="8">
        <f ca="1">IFERROR(__xludf.DUMMYFUNCTION("""COMPUTED_VALUE"""),1)</f>
        <v>1</v>
      </c>
      <c r="J2400" s="8">
        <f ca="1">IFERROR(__xludf.DUMMYFUNCTION("""COMPUTED_VALUE"""),0)</f>
        <v>0</v>
      </c>
      <c r="K2400" s="8" t="str">
        <f ca="1">IFERROR(__xludf.DUMMYFUNCTION("""COMPUTED_VALUE"""),"https://www.nytimes.com/2001/03/08/us/girl-14-arrested-after-a-classmate-is-shot-in-pennsylvania.html  http://www.antidepressantsfacts.com/Elizabeth-Bush-18-released.htm   https://www.newspapers.com/image/454932257/?terms=elizabeth%2Bbush")</f>
        <v>https://www.nytimes.com/2001/03/08/us/girl-14-arrested-after-a-classmate-is-shot-in-pennsylvania.html  http://www.antidepressantsfacts.com/Elizabeth-Bush-18-released.htm   https://www.newspapers.com/image/454932257/?terms=elizabeth%2Bbush</v>
      </c>
      <c r="L2400" s="8"/>
      <c r="M2400" s="8"/>
      <c r="N2400" s="8">
        <f ca="1">IFERROR(__xludf.DUMMYFUNCTION("""COMPUTED_VALUE"""),3)</f>
        <v>3</v>
      </c>
      <c r="O2400" s="8" t="str">
        <f ca="1">IFERROR(__xludf.DUMMYFUNCTION("""COMPUTED_VALUE"""),"Spring")</f>
        <v>Spring</v>
      </c>
      <c r="P2400" s="8" t="str">
        <f ca="1">IFERROR(__xludf.DUMMYFUNCTION("""COMPUTED_VALUE"""),"Williamsport")</f>
        <v>Williamsport</v>
      </c>
      <c r="Q2400" s="8" t="str">
        <f ca="1">IFERROR(__xludf.DUMMYFUNCTION("""COMPUTED_VALUE"""),"PA")</f>
        <v>PA</v>
      </c>
      <c r="R2400" s="8" t="str">
        <f ca="1">IFERROR(__xludf.DUMMYFUNCTION("""COMPUTED_VALUE"""),"High")</f>
        <v>High</v>
      </c>
      <c r="S2400" s="8" t="str">
        <f ca="1">IFERROR(__xludf.DUMMYFUNCTION("""COMPUTED_VALUE"""),"Cafeteria")</f>
        <v>Cafeteria</v>
      </c>
      <c r="T2400" s="8" t="str">
        <f ca="1">IFERROR(__xludf.DUMMYFUNCTION("""COMPUTED_VALUE"""),"Inside School Building")</f>
        <v>Inside School Building</v>
      </c>
      <c r="U2400" s="8" t="str">
        <f ca="1">IFERROR(__xludf.DUMMYFUNCTION("""COMPUTED_VALUE"""),"Yes")</f>
        <v>Yes</v>
      </c>
      <c r="V2400" s="8" t="str">
        <f ca="1">IFERROR(__xludf.DUMMYFUNCTION("""COMPUTED_VALUE"""),"Lunch")</f>
        <v>Lunch</v>
      </c>
      <c r="W2400" s="11">
        <f ca="1">IFERROR(__xludf.DUMMYFUNCTION("""COMPUTED_VALUE"""),0.5)</f>
        <v>0.5</v>
      </c>
      <c r="X2400" s="8">
        <f ca="1">IFERROR(__xludf.DUMMYFUNCTION("""COMPUTED_VALUE"""),1)</f>
        <v>1</v>
      </c>
      <c r="Y2400" s="12" t="str">
        <f ca="1">IFERROR(__xludf.DUMMYFUNCTION("""COMPUTED_VALUE"""),"Bullied student shot head cheerleader")</f>
        <v>Bullied student shot head cheerleader</v>
      </c>
      <c r="Z2400" s="12" t="str">
        <f ca="1">IFERROR(__xludf.DUMMYFUNCTION("""COMPUTED_VALUE"""),"Shooter she was depressed and had taken to cutting her arms with a razor in the months before the shooting. She said she stole a .22-caliber pistol from her father's collection and brought it to school because she wanted people to ""know my pain"" from re"&amp;"peated teasing. She shot the head cheerleader in the shoulder from behind. About 100 students were in the cafeteria when Bush fired. A 14 year-old classmate who rode the bus with her talked her into dropping the gun. She was sentenced to an open-ended ter"&amp;"m at a psychiatric facility and released after 3 years.")</f>
        <v>Shooter she was depressed and had taken to cutting her arms with a razor in the months before the shooting. She said she stole a .22-caliber pistol from her father's collection and brought it to school because she wanted people to "know my pain" from repeated teasing. She shot the head cheerleader in the shoulder from behind. About 100 students were in the cafeteria when Bush fired. A 14 year-old classmate who rode the bus with her talked her into dropping the gun. She was sentenced to an open-ended term at a psychiatric facility and released after 3 years.</v>
      </c>
      <c r="AA2400" s="8" t="str">
        <f ca="1">IFERROR(__xludf.DUMMYFUNCTION("""COMPUTED_VALUE"""),"Bullying")</f>
        <v>Bullying</v>
      </c>
      <c r="AB2400" s="8"/>
      <c r="AC2400" s="8"/>
      <c r="AD2400" s="8" t="str">
        <f ca="1">IFERROR(__xludf.DUMMYFUNCTION("""COMPUTED_VALUE"""),"Victims Targeted")</f>
        <v>Victims Targeted</v>
      </c>
      <c r="AE2400" s="8" t="str">
        <f ca="1">IFERROR(__xludf.DUMMYFUNCTION("""COMPUTED_VALUE"""),"No")</f>
        <v>No</v>
      </c>
      <c r="AF2400" s="8"/>
      <c r="AG2400" s="8" t="str">
        <f ca="1">IFERROR(__xludf.DUMMYFUNCTION("""COMPUTED_VALUE"""),"No")</f>
        <v>No</v>
      </c>
      <c r="AH2400" s="8" t="str">
        <f ca="1">IFERROR(__xludf.DUMMYFUNCTION("""COMPUTED_VALUE"""),"No")</f>
        <v>No</v>
      </c>
      <c r="AI2400" s="8" t="str">
        <f ca="1">IFERROR(__xludf.DUMMYFUNCTION("""COMPUTED_VALUE"""),"No")</f>
        <v>No</v>
      </c>
      <c r="AJ2400" s="8" t="str">
        <f ca="1">IFERROR(__xludf.DUMMYFUNCTION("""COMPUTED_VALUE"""),"Yes")</f>
        <v>Yes</v>
      </c>
      <c r="AK2400" s="8" t="str">
        <f ca="1">IFERROR(__xludf.DUMMYFUNCTION("""COMPUTED_VALUE"""),"No")</f>
        <v>No</v>
      </c>
      <c r="AL2400" s="8" t="str">
        <f ca="1">IFERROR(__xludf.DUMMYFUNCTION("""COMPUTED_VALUE"""),"No")</f>
        <v>No</v>
      </c>
      <c r="AM2400" s="8"/>
      <c r="AN2400" s="8"/>
      <c r="AO2400" s="8" t="str">
        <f ca="1">IFERROR(__xludf.DUMMYFUNCTION("""COMPUTED_VALUE"""),"No")</f>
        <v>No</v>
      </c>
      <c r="AP2400" s="8" t="str">
        <f ca="1">IFERROR(__xludf.DUMMYFUNCTION("""COMPUTED_VALUE"""),"No")</f>
        <v>No</v>
      </c>
      <c r="AQ2400" s="8" t="str">
        <f ca="1">IFERROR(__xludf.DUMMYFUNCTION("""COMPUTED_VALUE"""),"Unknown")</f>
        <v>Unknown</v>
      </c>
      <c r="AR2400" s="8" t="str">
        <f ca="1">IFERROR(__xludf.DUMMYFUNCTION("""COMPUTED_VALUE"""),"NA")</f>
        <v>NA</v>
      </c>
      <c r="AS2400" s="8">
        <f ca="1">IFERROR(__xludf.DUMMYFUNCTION("""COMPUTED_VALUE"""),1)</f>
        <v>1</v>
      </c>
      <c r="AT2400" s="8"/>
      <c r="AU2400" s="8">
        <f ca="1">IFERROR(__xludf.DUMMYFUNCTION("""COMPUTED_VALUE"""),41.249199)</f>
        <v>41.249198999999997</v>
      </c>
      <c r="AV2400" s="8">
        <f ca="1">IFERROR(__xludf.DUMMYFUNCTION("""COMPUTED_VALUE"""),-76.996386)</f>
        <v>-76.996386000000001</v>
      </c>
      <c r="AW2400" s="8"/>
      <c r="AX2400" s="8">
        <f ca="1">IFERROR(__xludf.DUMMYFUNCTION("""COMPUTED_VALUE"""),17701)</f>
        <v>17701</v>
      </c>
    </row>
    <row r="2401" spans="1:50" ht="135" x14ac:dyDescent="0.2">
      <c r="A2401" s="8" t="str">
        <f ca="1">IFERROR(__xludf.DUMMYFUNCTION("""COMPUTED_VALUE"""),"20010306MDLAL")</f>
        <v>20010306MDLAL</v>
      </c>
      <c r="B2401" s="8">
        <f ca="1">IFERROR(__xludf.DUMMYFUNCTION("""COMPUTED_VALUE"""),3)</f>
        <v>3</v>
      </c>
      <c r="C2401" s="8">
        <f ca="1">IFERROR(__xludf.DUMMYFUNCTION("""COMPUTED_VALUE"""),6)</f>
        <v>6</v>
      </c>
      <c r="D2401" s="8">
        <f ca="1">IFERROR(__xludf.DUMMYFUNCTION("""COMPUTED_VALUE"""),2001)</f>
        <v>2001</v>
      </c>
      <c r="E2401" s="9">
        <f ca="1">IFERROR(__xludf.DUMMYFUNCTION("""COMPUTED_VALUE"""),36956)</f>
        <v>36956</v>
      </c>
      <c r="F2401" s="8" t="str">
        <f ca="1">IFERROR(__xludf.DUMMYFUNCTION("""COMPUTED_VALUE"""),"Largo High School")</f>
        <v>Largo High School</v>
      </c>
      <c r="G2401" s="8">
        <f ca="1">IFERROR(__xludf.DUMMYFUNCTION("""COMPUTED_VALUE"""),0)</f>
        <v>0</v>
      </c>
      <c r="H2401" s="8">
        <f ca="1">IFERROR(__xludf.DUMMYFUNCTION("""COMPUTED_VALUE"""),1)</f>
        <v>1</v>
      </c>
      <c r="I2401" s="8">
        <f ca="1">IFERROR(__xludf.DUMMYFUNCTION("""COMPUTED_VALUE"""),1)</f>
        <v>1</v>
      </c>
      <c r="J2401" s="8">
        <f ca="1">IFERROR(__xludf.DUMMYFUNCTION("""COMPUTED_VALUE"""),0)</f>
        <v>0</v>
      </c>
      <c r="K2401" s="10" t="str">
        <f ca="1">IFERROR(__xludf.DUMMYFUNCTION("""COMPUTED_VALUE"""),"https://www.washingtontimes.com/news/2001/mar/8/20010308-021529-7742r/")</f>
        <v>https://www.washingtontimes.com/news/2001/mar/8/20010308-021529-7742r/</v>
      </c>
      <c r="L2401" s="8"/>
      <c r="M2401" s="8"/>
      <c r="N2401" s="8">
        <f ca="1">IFERROR(__xludf.DUMMYFUNCTION("""COMPUTED_VALUE"""),2)</f>
        <v>2</v>
      </c>
      <c r="O2401" s="8" t="str">
        <f ca="1">IFERROR(__xludf.DUMMYFUNCTION("""COMPUTED_VALUE"""),"Spring")</f>
        <v>Spring</v>
      </c>
      <c r="P2401" s="8" t="str">
        <f ca="1">IFERROR(__xludf.DUMMYFUNCTION("""COMPUTED_VALUE"""),"Largo")</f>
        <v>Largo</v>
      </c>
      <c r="Q2401" s="8" t="str">
        <f ca="1">IFERROR(__xludf.DUMMYFUNCTION("""COMPUTED_VALUE"""),"MD")</f>
        <v>MD</v>
      </c>
      <c r="R2401" s="8" t="str">
        <f ca="1">IFERROR(__xludf.DUMMYFUNCTION("""COMPUTED_VALUE"""),"High")</f>
        <v>High</v>
      </c>
      <c r="S2401" s="8" t="str">
        <f ca="1">IFERROR(__xludf.DUMMYFUNCTION("""COMPUTED_VALUE"""),"Cafeteria")</f>
        <v>Cafeteria</v>
      </c>
      <c r="T2401" s="8" t="str">
        <f ca="1">IFERROR(__xludf.DUMMYFUNCTION("""COMPUTED_VALUE"""),"Inside School Building")</f>
        <v>Inside School Building</v>
      </c>
      <c r="U2401" s="8" t="str">
        <f ca="1">IFERROR(__xludf.DUMMYFUNCTION("""COMPUTED_VALUE"""),"No")</f>
        <v>No</v>
      </c>
      <c r="V2401" s="8" t="str">
        <f ca="1">IFERROR(__xludf.DUMMYFUNCTION("""COMPUTED_VALUE"""),"After School")</f>
        <v>After School</v>
      </c>
      <c r="W2401" s="11">
        <f ca="1">IFERROR(__xludf.DUMMYFUNCTION("""COMPUTED_VALUE"""),0.708333333333333)</f>
        <v>0.70833333333333304</v>
      </c>
      <c r="X2401" s="8">
        <f ca="1">IFERROR(__xludf.DUMMYFUNCTION("""COMPUTED_VALUE"""),1)</f>
        <v>1</v>
      </c>
      <c r="Y2401" s="12" t="str">
        <f ca="1">IFERROR(__xludf.DUMMYFUNCTION("""COMPUTED_VALUE"""),"Two teens went into school looking for student they had conflict with, fired shots")</f>
        <v>Two teens went into school looking for student they had conflict with, fired shots</v>
      </c>
      <c r="Z2401" s="12" t="str">
        <f ca="1">IFERROR(__xludf.DUMMYFUNCTION("""COMPUTED_VALUE"""),"Chronically troubled student who had multiple robbery charges went into the school after hours with another teen. They were looking for a 17 YOM student who they had an ongoing fight with. They found him in the cafeteria and during a fight the 14YOM shoot"&amp;"er fired one shot then fled the scene. He was arrested 2 days later. The school has armed security guards who leave at 4:30PM, shooting occurred just after that. The shooter knew the target would be at the school for a fashion show rehearsal.")</f>
        <v>Chronically troubled student who had multiple robbery charges went into the school after hours with another teen. They were looking for a 17 YOM student who they had an ongoing fight with. They found him in the cafeteria and during a fight the 14YOM shooter fired one shot then fled the scene. He was arrested 2 days later. The school has armed security guards who leave at 4:30PM, shooting occurred just after that. The shooter knew the target would be at the school for a fashion show rehearsal.</v>
      </c>
      <c r="AA2401" s="8" t="str">
        <f ca="1">IFERROR(__xludf.DUMMYFUNCTION("""COMPUTED_VALUE"""),"Escalation of Dispute")</f>
        <v>Escalation of Dispute</v>
      </c>
      <c r="AB2401" s="8"/>
      <c r="AC2401" s="8"/>
      <c r="AD2401" s="8" t="str">
        <f ca="1">IFERROR(__xludf.DUMMYFUNCTION("""COMPUTED_VALUE"""),"Victims Targeted")</f>
        <v>Victims Targeted</v>
      </c>
      <c r="AE2401" s="8" t="str">
        <f ca="1">IFERROR(__xludf.DUMMYFUNCTION("""COMPUTED_VALUE"""),"Yes")</f>
        <v>Yes</v>
      </c>
      <c r="AF2401" s="8" t="str">
        <f ca="1">IFERROR(__xludf.DUMMYFUNCTION("""COMPUTED_VALUE"""),"15 YOM was with the shooter and involved in fight")</f>
        <v>15 YOM was with the shooter and involved in fight</v>
      </c>
      <c r="AG2401" s="8" t="str">
        <f ca="1">IFERROR(__xludf.DUMMYFUNCTION("""COMPUTED_VALUE"""),"No")</f>
        <v>No</v>
      </c>
      <c r="AH2401" s="8" t="str">
        <f ca="1">IFERROR(__xludf.DUMMYFUNCTION("""COMPUTED_VALUE"""),"No")</f>
        <v>No</v>
      </c>
      <c r="AI2401" s="8" t="str">
        <f ca="1">IFERROR(__xludf.DUMMYFUNCTION("""COMPUTED_VALUE"""),"No")</f>
        <v>No</v>
      </c>
      <c r="AJ2401" s="8" t="str">
        <f ca="1">IFERROR(__xludf.DUMMYFUNCTION("""COMPUTED_VALUE"""),"No")</f>
        <v>No</v>
      </c>
      <c r="AK2401" s="8" t="str">
        <f ca="1">IFERROR(__xludf.DUMMYFUNCTION("""COMPUTED_VALUE"""),"No")</f>
        <v>No</v>
      </c>
      <c r="AL2401" s="8" t="str">
        <f ca="1">IFERROR(__xludf.DUMMYFUNCTION("""COMPUTED_VALUE"""),"No")</f>
        <v>No</v>
      </c>
      <c r="AM2401" s="8"/>
      <c r="AN2401" s="8"/>
      <c r="AO2401" s="8" t="str">
        <f ca="1">IFERROR(__xludf.DUMMYFUNCTION("""COMPUTED_VALUE"""),"No")</f>
        <v>No</v>
      </c>
      <c r="AP2401" s="8" t="str">
        <f ca="1">IFERROR(__xludf.DUMMYFUNCTION("""COMPUTED_VALUE"""),"Yes")</f>
        <v>Yes</v>
      </c>
      <c r="AQ2401" s="8" t="str">
        <f ca="1">IFERROR(__xludf.DUMMYFUNCTION("""COMPUTED_VALUE"""),"None")</f>
        <v>None</v>
      </c>
      <c r="AR2401" s="8" t="str">
        <f ca="1">IFERROR(__xludf.DUMMYFUNCTION("""COMPUTED_VALUE"""),"NA")</f>
        <v>NA</v>
      </c>
      <c r="AS2401" s="8">
        <f ca="1">IFERROR(__xludf.DUMMYFUNCTION("""COMPUTED_VALUE"""),1)</f>
        <v>1</v>
      </c>
      <c r="AT2401" s="8"/>
      <c r="AU2401" s="8">
        <f ca="1">IFERROR(__xludf.DUMMYFUNCTION("""COMPUTED_VALUE"""),38.886831)</f>
        <v>38.886831000000001</v>
      </c>
      <c r="AV2401" s="8">
        <f ca="1">IFERROR(__xludf.DUMMYFUNCTION("""COMPUTED_VALUE"""),-76.819839)</f>
        <v>-76.819839000000002</v>
      </c>
      <c r="AW2401" s="8"/>
      <c r="AX2401" s="8">
        <f ca="1">IFERROR(__xludf.DUMMYFUNCTION("""COMPUTED_VALUE"""),20774)</f>
        <v>20774</v>
      </c>
    </row>
    <row r="2402" spans="1:50" ht="270" x14ac:dyDescent="0.2">
      <c r="A2402" s="8" t="str">
        <f ca="1">IFERROR(__xludf.DUMMYFUNCTION("""COMPUTED_VALUE"""),"20010305CASAS")</f>
        <v>20010305CASAS</v>
      </c>
      <c r="B2402" s="8">
        <f ca="1">IFERROR(__xludf.DUMMYFUNCTION("""COMPUTED_VALUE"""),3)</f>
        <v>3</v>
      </c>
      <c r="C2402" s="8">
        <f ca="1">IFERROR(__xludf.DUMMYFUNCTION("""COMPUTED_VALUE"""),5)</f>
        <v>5</v>
      </c>
      <c r="D2402" s="8">
        <f ca="1">IFERROR(__xludf.DUMMYFUNCTION("""COMPUTED_VALUE"""),2001)</f>
        <v>2001</v>
      </c>
      <c r="E2402" s="9">
        <f ca="1">IFERROR(__xludf.DUMMYFUNCTION("""COMPUTED_VALUE"""),36955)</f>
        <v>36955</v>
      </c>
      <c r="F2402" s="8" t="str">
        <f ca="1">IFERROR(__xludf.DUMMYFUNCTION("""COMPUTED_VALUE"""),"Santana High School")</f>
        <v>Santana High School</v>
      </c>
      <c r="G2402" s="8">
        <f ca="1">IFERROR(__xludf.DUMMYFUNCTION("""COMPUTED_VALUE"""),2)</f>
        <v>2</v>
      </c>
      <c r="H2402" s="8">
        <f ca="1">IFERROR(__xludf.DUMMYFUNCTION("""COMPUTED_VALUE"""),13)</f>
        <v>13</v>
      </c>
      <c r="I2402" s="8">
        <f ca="1">IFERROR(__xludf.DUMMYFUNCTION("""COMPUTED_VALUE"""),15)</f>
        <v>15</v>
      </c>
      <c r="J2402" s="8">
        <f ca="1">IFERROR(__xludf.DUMMYFUNCTION("""COMPUTED_VALUE"""),0)</f>
        <v>0</v>
      </c>
      <c r="K2402" s="8" t="str">
        <f ca="1">IFERROR(__xludf.DUMMYFUNCTION("""COMPUTED_VALUE"""),"http://www.sandiegouniontribune.com/news/columnists/sdut-charles-andy-williams-santana-high-school-shooting-2013may10-htmlstory.html https://www.pbs.org/newshour/science/science-jan-june13-andywilliams_02-18 https://www.fbi.gov/file-repository/active-shoo"&amp;"ter-incidents-2000-2017.pdf")</f>
        <v>http://www.sandiegouniontribune.com/news/columnists/sdut-charles-andy-williams-santana-high-school-shooting-2013may10-htmlstory.html https://www.pbs.org/newshour/science/science-jan-june13-andywilliams_02-18 https://www.fbi.gov/file-repository/active-shooter-incidents-2000-2017.pdf</v>
      </c>
      <c r="L2402" s="8"/>
      <c r="M2402" s="8"/>
      <c r="N2402" s="8">
        <f ca="1">IFERROR(__xludf.DUMMYFUNCTION("""COMPUTED_VALUE"""),3)</f>
        <v>3</v>
      </c>
      <c r="O2402" s="8" t="str">
        <f ca="1">IFERROR(__xludf.DUMMYFUNCTION("""COMPUTED_VALUE"""),"Spring")</f>
        <v>Spring</v>
      </c>
      <c r="P2402" s="8" t="str">
        <f ca="1">IFERROR(__xludf.DUMMYFUNCTION("""COMPUTED_VALUE"""),"Santee")</f>
        <v>Santee</v>
      </c>
      <c r="Q2402" s="8" t="str">
        <f ca="1">IFERROR(__xludf.DUMMYFUNCTION("""COMPUTED_VALUE"""),"CA")</f>
        <v>CA</v>
      </c>
      <c r="R2402" s="8" t="str">
        <f ca="1">IFERROR(__xludf.DUMMYFUNCTION("""COMPUTED_VALUE"""),"High")</f>
        <v>High</v>
      </c>
      <c r="S2402" s="8" t="str">
        <f ca="1">IFERROR(__xludf.DUMMYFUNCTION("""COMPUTED_VALUE"""),"Bathroom")</f>
        <v>Bathroom</v>
      </c>
      <c r="T2402" s="8" t="str">
        <f ca="1">IFERROR(__xludf.DUMMYFUNCTION("""COMPUTED_VALUE"""),"Inside School Building")</f>
        <v>Inside School Building</v>
      </c>
      <c r="U2402" s="8" t="str">
        <f ca="1">IFERROR(__xludf.DUMMYFUNCTION("""COMPUTED_VALUE"""),"Yes")</f>
        <v>Yes</v>
      </c>
      <c r="V2402" s="8" t="str">
        <f ca="1">IFERROR(__xludf.DUMMYFUNCTION("""COMPUTED_VALUE"""),"Morning Classes")</f>
        <v>Morning Classes</v>
      </c>
      <c r="W2402" s="11">
        <f ca="1">IFERROR(__xludf.DUMMYFUNCTION("""COMPUTED_VALUE"""),0.388888888888888)</f>
        <v>0.38888888888888801</v>
      </c>
      <c r="X2402" s="8"/>
      <c r="Y2402" s="12" t="str">
        <f ca="1">IFERROR(__xludf.DUMMYFUNCTION("""COMPUTED_VALUE"""),"Bullying, planned attack, planned suicide by cop")</f>
        <v>Bullying, planned attack, planned suicide by cop</v>
      </c>
      <c r="Z2402" s="12" t="str">
        <f ca="1">IFERROR(__xludf.DUMMYFUNCTION("""COMPUTED_VALUE"""),"Shooter was planning attack with 2 other students but they backed out. They had told approximately 50 other people about the plans including adults. Shooter told friends he was going to do it Monday the weekend before the shooting and gave them his posses"&amp;"sions. Shooter had a .22 handgun with 40 rounds, he was worried the gun was not powerful enough to kill people. Shooter fired at multiple students from the bathroom and including firing at two school employees who thought fire crackers were going off. Whe"&amp;"n SWAT entered the bathroom, he had the gun to his head but couldn't pull the trigger. Shooter reported thinking about suicide the night before but decided to do the shooting. Shooter had been seriously bullied for years including beatings and being lit o"&amp;"n fire. Shooter had abused RX drugs, cocaine, and alcohol since age 12. Shooters parents were divorced. He was sexually assaulted by his mother's boyfriend. Unsupervised by father. Moved frequently. Very poor performance in school.")</f>
        <v>Shooter was planning attack with 2 other students but they backed out. They had told approximately 50 other people about the plans including adults. Shooter told friends he was going to do it Monday the weekend before the shooting and gave them his possessions. Shooter had a .22 handgun with 40 rounds, he was worried the gun was not powerful enough to kill people. Shooter fired at multiple students from the bathroom and including firing at two school employees who thought fire crackers were going off. When SWAT entered the bathroom, he had the gun to his head but couldn't pull the trigger. Shooter reported thinking about suicide the night before but decided to do the shooting. Shooter had been seriously bullied for years including beatings and being lit on fire. Shooter had abused RX drugs, cocaine, and alcohol since age 12. Shooters parents were divorced. He was sexually assaulted by his mother's boyfriend. Unsupervised by father. Moved frequently. Very poor performance in school.</v>
      </c>
      <c r="AA2402" s="8" t="str">
        <f ca="1">IFERROR(__xludf.DUMMYFUNCTION("""COMPUTED_VALUE"""),"Indiscriminate Shooting")</f>
        <v>Indiscriminate Shooting</v>
      </c>
      <c r="AB2402" s="8"/>
      <c r="AC2402" s="8" t="str">
        <f ca="1">IFERROR(__xludf.DUMMYFUNCTION("""COMPUTED_VALUE"""),"Yes")</f>
        <v>Yes</v>
      </c>
      <c r="AD2402" s="8" t="str">
        <f ca="1">IFERROR(__xludf.DUMMYFUNCTION("""COMPUTED_VALUE"""),"Random Shooting")</f>
        <v>Random Shooting</v>
      </c>
      <c r="AE2402" s="8" t="str">
        <f ca="1">IFERROR(__xludf.DUMMYFUNCTION("""COMPUTED_VALUE"""),"No")</f>
        <v>No</v>
      </c>
      <c r="AF2402" s="8"/>
      <c r="AG2402" s="8" t="str">
        <f ca="1">IFERROR(__xludf.DUMMYFUNCTION("""COMPUTED_VALUE"""),"No")</f>
        <v>No</v>
      </c>
      <c r="AH2402" s="8" t="str">
        <f ca="1">IFERROR(__xludf.DUMMYFUNCTION("""COMPUTED_VALUE"""),"No")</f>
        <v>No</v>
      </c>
      <c r="AI2402" s="8" t="str">
        <f ca="1">IFERROR(__xludf.DUMMYFUNCTION("""COMPUTED_VALUE"""),"No")</f>
        <v>No</v>
      </c>
      <c r="AJ2402" s="8" t="str">
        <f ca="1">IFERROR(__xludf.DUMMYFUNCTION("""COMPUTED_VALUE"""),"Yes")</f>
        <v>Yes</v>
      </c>
      <c r="AK2402" s="8" t="str">
        <f ca="1">IFERROR(__xludf.DUMMYFUNCTION("""COMPUTED_VALUE"""),"No")</f>
        <v>No</v>
      </c>
      <c r="AL2402" s="8" t="str">
        <f ca="1">IFERROR(__xludf.DUMMYFUNCTION("""COMPUTED_VALUE"""),"No")</f>
        <v>No</v>
      </c>
      <c r="AM2402" s="8" t="str">
        <f ca="1">IFERROR(__xludf.DUMMYFUNCTION("""COMPUTED_VALUE"""),"Yes")</f>
        <v>Yes</v>
      </c>
      <c r="AN2402" s="8" t="str">
        <f ca="1">IFERROR(__xludf.DUMMYFUNCTION("""COMPUTED_VALUE"""),"Single Room")</f>
        <v>Single Room</v>
      </c>
      <c r="AO2402" s="8" t="str">
        <f ca="1">IFERROR(__xludf.DUMMYFUNCTION("""COMPUTED_VALUE"""),"Yes")</f>
        <v>Yes</v>
      </c>
      <c r="AP2402" s="8" t="str">
        <f ca="1">IFERROR(__xludf.DUMMYFUNCTION("""COMPUTED_VALUE"""),"Yes")</f>
        <v>Yes</v>
      </c>
      <c r="AQ2402" s="8" t="str">
        <f ca="1">IFERROR(__xludf.DUMMYFUNCTION("""COMPUTED_VALUE"""),"Unknown")</f>
        <v>Unknown</v>
      </c>
      <c r="AR2402" s="8" t="str">
        <f ca="1">IFERROR(__xludf.DUMMYFUNCTION("""COMPUTED_VALUE"""),"NA")</f>
        <v>NA</v>
      </c>
      <c r="AS2402" s="8">
        <f ca="1">IFERROR(__xludf.DUMMYFUNCTION("""COMPUTED_VALUE"""),40)</f>
        <v>40</v>
      </c>
      <c r="AT2402" s="8"/>
      <c r="AU2402" s="8">
        <f ca="1">IFERROR(__xludf.DUMMYFUNCTION("""COMPUTED_VALUE"""),32.857131)</f>
        <v>32.857131000000003</v>
      </c>
      <c r="AV2402" s="8">
        <f ca="1">IFERROR(__xludf.DUMMYFUNCTION("""COMPUTED_VALUE"""),-116.968996)</f>
        <v>-116.968996</v>
      </c>
      <c r="AW2402" s="8"/>
      <c r="AX2402" s="8">
        <f ca="1">IFERROR(__xludf.DUMMYFUNCTION("""COMPUTED_VALUE"""),92071)</f>
        <v>92071</v>
      </c>
    </row>
    <row r="2403" spans="1:50" ht="60" x14ac:dyDescent="0.2">
      <c r="A2403" s="8" t="str">
        <f ca="1">IFERROR(__xludf.DUMMYFUNCTION("""COMPUTED_VALUE"""),"20010302CAHOS")</f>
        <v>20010302CAHOS</v>
      </c>
      <c r="B2403" s="8">
        <f ca="1">IFERROR(__xludf.DUMMYFUNCTION("""COMPUTED_VALUE"""),3)</f>
        <v>3</v>
      </c>
      <c r="C2403" s="8">
        <f ca="1">IFERROR(__xludf.DUMMYFUNCTION("""COMPUTED_VALUE"""),2)</f>
        <v>2</v>
      </c>
      <c r="D2403" s="8">
        <f ca="1">IFERROR(__xludf.DUMMYFUNCTION("""COMPUTED_VALUE"""),2001)</f>
        <v>2001</v>
      </c>
      <c r="E2403" s="9">
        <f ca="1">IFERROR(__xludf.DUMMYFUNCTION("""COMPUTED_VALUE"""),36952)</f>
        <v>36952</v>
      </c>
      <c r="F2403" s="8" t="str">
        <f ca="1">IFERROR(__xludf.DUMMYFUNCTION("""COMPUTED_VALUE"""),"Hoover High School")</f>
        <v>Hoover High School</v>
      </c>
      <c r="G2403" s="8">
        <f ca="1">IFERROR(__xludf.DUMMYFUNCTION("""COMPUTED_VALUE"""),0)</f>
        <v>0</v>
      </c>
      <c r="H2403" s="8">
        <f ca="1">IFERROR(__xludf.DUMMYFUNCTION("""COMPUTED_VALUE"""),0)</f>
        <v>0</v>
      </c>
      <c r="I2403" s="8">
        <f ca="1">IFERROR(__xludf.DUMMYFUNCTION("""COMPUTED_VALUE"""),0)</f>
        <v>0</v>
      </c>
      <c r="J2403" s="8">
        <f ca="1">IFERROR(__xludf.DUMMYFUNCTION("""COMPUTED_VALUE"""),1)</f>
        <v>1</v>
      </c>
      <c r="K2403" s="10" t="str">
        <f ca="1">IFERROR(__xludf.DUMMYFUNCTION("""COMPUTED_VALUE"""),"https://www.deseretnews.com/article/831817/School-hopes-suicide-doesnt-put-it-in-spotlight.html")</f>
        <v>https://www.deseretnews.com/article/831817/School-hopes-suicide-doesnt-put-it-in-spotlight.html</v>
      </c>
      <c r="L2403" s="8"/>
      <c r="M2403" s="8"/>
      <c r="N2403" s="8">
        <f ca="1">IFERROR(__xludf.DUMMYFUNCTION("""COMPUTED_VALUE"""),2)</f>
        <v>2</v>
      </c>
      <c r="O2403" s="8" t="str">
        <f ca="1">IFERROR(__xludf.DUMMYFUNCTION("""COMPUTED_VALUE"""),"Spring")</f>
        <v>Spring</v>
      </c>
      <c r="P2403" s="8" t="str">
        <f ca="1">IFERROR(__xludf.DUMMYFUNCTION("""COMPUTED_VALUE"""),"San Diego")</f>
        <v>San Diego</v>
      </c>
      <c r="Q2403" s="8" t="str">
        <f ca="1">IFERROR(__xludf.DUMMYFUNCTION("""COMPUTED_VALUE"""),"CA")</f>
        <v>CA</v>
      </c>
      <c r="R2403" s="8" t="str">
        <f ca="1">IFERROR(__xludf.DUMMYFUNCTION("""COMPUTED_VALUE"""),"High")</f>
        <v>High</v>
      </c>
      <c r="S2403" s="8" t="str">
        <f ca="1">IFERROR(__xludf.DUMMYFUNCTION("""COMPUTED_VALUE"""),"Parking Lot")</f>
        <v>Parking Lot</v>
      </c>
      <c r="T2403" s="8" t="str">
        <f ca="1">IFERROR(__xludf.DUMMYFUNCTION("""COMPUTED_VALUE"""),"Outside on School Property")</f>
        <v>Outside on School Property</v>
      </c>
      <c r="U2403" s="8" t="str">
        <f ca="1">IFERROR(__xludf.DUMMYFUNCTION("""COMPUTED_VALUE"""),"Yes")</f>
        <v>Yes</v>
      </c>
      <c r="V2403" s="8" t="str">
        <f ca="1">IFERROR(__xludf.DUMMYFUNCTION("""COMPUTED_VALUE"""),"Afternoon Classes")</f>
        <v>Afternoon Classes</v>
      </c>
      <c r="W2403" s="8"/>
      <c r="X2403" s="8"/>
      <c r="Y2403" s="12" t="str">
        <f ca="1">IFERROR(__xludf.DUMMYFUNCTION("""COMPUTED_VALUE"""),"Student shot himself in parking lot, upset about breakup")</f>
        <v>Student shot himself in parking lot, upset about breakup</v>
      </c>
      <c r="Z2403" s="12" t="str">
        <f ca="1">IFERROR(__xludf.DUMMYFUNCTION("""COMPUTED_VALUE"""),"18YOM student shot himself in the parking lot after meeting with the school counselor. Shooter had recently broken up with his girlfriend.")</f>
        <v>18YOM student shot himself in the parking lot after meeting with the school counselor. Shooter had recently broken up with his girlfriend.</v>
      </c>
      <c r="AA2403" s="8" t="str">
        <f ca="1">IFERROR(__xludf.DUMMYFUNCTION("""COMPUTED_VALUE"""),"Suicide/Attempted")</f>
        <v>Suicide/Attempted</v>
      </c>
      <c r="AB2403" s="8"/>
      <c r="AC2403" s="8"/>
      <c r="AD2403" s="8" t="str">
        <f ca="1">IFERROR(__xludf.DUMMYFUNCTION("""COMPUTED_VALUE"""),"Victims Targeted")</f>
        <v>Victims Targeted</v>
      </c>
      <c r="AE2403" s="8" t="str">
        <f ca="1">IFERROR(__xludf.DUMMYFUNCTION("""COMPUTED_VALUE"""),"No")</f>
        <v>No</v>
      </c>
      <c r="AF2403" s="8"/>
      <c r="AG2403" s="8" t="str">
        <f ca="1">IFERROR(__xludf.DUMMYFUNCTION("""COMPUTED_VALUE"""),"No")</f>
        <v>No</v>
      </c>
      <c r="AH2403" s="8" t="str">
        <f ca="1">IFERROR(__xludf.DUMMYFUNCTION("""COMPUTED_VALUE"""),"No")</f>
        <v>No</v>
      </c>
      <c r="AI2403" s="8" t="str">
        <f ca="1">IFERROR(__xludf.DUMMYFUNCTION("""COMPUTED_VALUE"""),"No")</f>
        <v>No</v>
      </c>
      <c r="AJ2403" s="8" t="str">
        <f ca="1">IFERROR(__xludf.DUMMYFUNCTION("""COMPUTED_VALUE"""),"No")</f>
        <v>No</v>
      </c>
      <c r="AK2403" s="8" t="str">
        <f ca="1">IFERROR(__xludf.DUMMYFUNCTION("""COMPUTED_VALUE"""),"No")</f>
        <v>No</v>
      </c>
      <c r="AL2403" s="8" t="str">
        <f ca="1">IFERROR(__xludf.DUMMYFUNCTION("""COMPUTED_VALUE"""),"No")</f>
        <v>No</v>
      </c>
      <c r="AM2403" s="8"/>
      <c r="AN2403" s="8"/>
      <c r="AO2403" s="8" t="str">
        <f ca="1">IFERROR(__xludf.DUMMYFUNCTION("""COMPUTED_VALUE"""),"No")</f>
        <v>No</v>
      </c>
      <c r="AP2403" s="8"/>
      <c r="AQ2403" s="8" t="str">
        <f ca="1">IFERROR(__xludf.DUMMYFUNCTION("""COMPUTED_VALUE"""),"Unknown")</f>
        <v>Unknown</v>
      </c>
      <c r="AR2403" s="8" t="str">
        <f ca="1">IFERROR(__xludf.DUMMYFUNCTION("""COMPUTED_VALUE"""),"NA")</f>
        <v>NA</v>
      </c>
      <c r="AS2403" s="8">
        <f ca="1">IFERROR(__xludf.DUMMYFUNCTION("""COMPUTED_VALUE"""),1)</f>
        <v>1</v>
      </c>
      <c r="AT2403" s="8"/>
      <c r="AU2403" s="8">
        <f ca="1">IFERROR(__xludf.DUMMYFUNCTION("""COMPUTED_VALUE"""),32.756066)</f>
        <v>32.756065999999997</v>
      </c>
      <c r="AV2403" s="8">
        <f ca="1">IFERROR(__xludf.DUMMYFUNCTION("""COMPUTED_VALUE"""),-117.098082)</f>
        <v>-117.09808200000001</v>
      </c>
      <c r="AW2403" s="8"/>
      <c r="AX2403" s="8">
        <f ca="1">IFERROR(__xludf.DUMMYFUNCTION("""COMPUTED_VALUE"""),92105)</f>
        <v>92105</v>
      </c>
    </row>
    <row r="2404" spans="1:50" ht="105" x14ac:dyDescent="0.2">
      <c r="A2404" s="8" t="str">
        <f ca="1">IFERROR(__xludf.DUMMYFUNCTION("""COMPUTED_VALUE"""),"20010206TXPED")</f>
        <v>20010206TXPED</v>
      </c>
      <c r="B2404" s="8">
        <f ca="1">IFERROR(__xludf.DUMMYFUNCTION("""COMPUTED_VALUE"""),2)</f>
        <v>2</v>
      </c>
      <c r="C2404" s="8">
        <f ca="1">IFERROR(__xludf.DUMMYFUNCTION("""COMPUTED_VALUE"""),6)</f>
        <v>6</v>
      </c>
      <c r="D2404" s="8">
        <f ca="1">IFERROR(__xludf.DUMMYFUNCTION("""COMPUTED_VALUE"""),2001)</f>
        <v>2001</v>
      </c>
      <c r="E2404" s="9">
        <f ca="1">IFERROR(__xludf.DUMMYFUNCTION("""COMPUTED_VALUE"""),36928)</f>
        <v>36928</v>
      </c>
      <c r="F2404" s="8" t="str">
        <f ca="1">IFERROR(__xludf.DUMMYFUNCTION("""COMPUTED_VALUE"""),"Pearl C. Anderson Middle School")</f>
        <v>Pearl C. Anderson Middle School</v>
      </c>
      <c r="G2404" s="8">
        <f ca="1">IFERROR(__xludf.DUMMYFUNCTION("""COMPUTED_VALUE"""),0)</f>
        <v>0</v>
      </c>
      <c r="H2404" s="8">
        <f ca="1">IFERROR(__xludf.DUMMYFUNCTION("""COMPUTED_VALUE"""),1)</f>
        <v>1</v>
      </c>
      <c r="I2404" s="8">
        <f ca="1">IFERROR(__xludf.DUMMYFUNCTION("""COMPUTED_VALUE"""),1)</f>
        <v>1</v>
      </c>
      <c r="J2404" s="8">
        <f ca="1">IFERROR(__xludf.DUMMYFUNCTION("""COMPUTED_VALUE"""),0)</f>
        <v>0</v>
      </c>
      <c r="K2404" s="10" t="str">
        <f ca="1">IFERROR(__xludf.DUMMYFUNCTION("""COMPUTED_VALUE"""),"https://www.statesman.com/story/news/2018/05/18/santa-fe-is-the-deadliest-school-shooting-in-texas-since-ut-tower-shooting/10370668007/")</f>
        <v>https://www.statesman.com/story/news/2018/05/18/santa-fe-is-the-deadliest-school-shooting-in-texas-since-ut-tower-shooting/10370668007/</v>
      </c>
      <c r="L2404" s="8">
        <f ca="1">IFERROR(__xludf.DUMMYFUNCTION("""COMPUTED_VALUE"""),1)</f>
        <v>1</v>
      </c>
      <c r="M2404" s="8" t="str">
        <f ca="1">IFERROR(__xludf.DUMMYFUNCTION("""COMPUTED_VALUE"""),"Local")</f>
        <v>Local</v>
      </c>
      <c r="N2404" s="8">
        <f ca="1">IFERROR(__xludf.DUMMYFUNCTION("""COMPUTED_VALUE"""),2)</f>
        <v>2</v>
      </c>
      <c r="O2404" s="8" t="str">
        <f ca="1">IFERROR(__xludf.DUMMYFUNCTION("""COMPUTED_VALUE"""),"Spring")</f>
        <v>Spring</v>
      </c>
      <c r="P2404" s="8" t="str">
        <f ca="1">IFERROR(__xludf.DUMMYFUNCTION("""COMPUTED_VALUE"""),"Dallas")</f>
        <v>Dallas</v>
      </c>
      <c r="Q2404" s="8" t="str">
        <f ca="1">IFERROR(__xludf.DUMMYFUNCTION("""COMPUTED_VALUE"""),"TX")</f>
        <v>TX</v>
      </c>
      <c r="R2404" s="8" t="str">
        <f ca="1">IFERROR(__xludf.DUMMYFUNCTION("""COMPUTED_VALUE"""),"Middle")</f>
        <v>Middle</v>
      </c>
      <c r="S2404" s="8"/>
      <c r="T2404" s="8"/>
      <c r="U2404" s="8" t="str">
        <f ca="1">IFERROR(__xludf.DUMMYFUNCTION("""COMPUTED_VALUE"""),"Yes")</f>
        <v>Yes</v>
      </c>
      <c r="V2404" s="8"/>
      <c r="W2404" s="8"/>
      <c r="X2404" s="8"/>
      <c r="Y2404" s="12" t="str">
        <f ca="1">IFERROR(__xludf.DUMMYFUNCTION("""COMPUTED_VALUE"""),"One student was grazed with a bullet when a 14-year-old boy fired a revolver at Pearl C. Anderson Middle School")</f>
        <v>One student was grazed with a bullet when a 14-year-old boy fired a revolver at Pearl C. Anderson Middle School</v>
      </c>
      <c r="Z2404" s="12" t="str">
        <f ca="1">IFERROR(__xludf.DUMMYFUNCTION("""COMPUTED_VALUE"""),"One student was grazed with a bullet when a 14-year-old boy fired a revolver at Pearl C. Anderson Middle School")</f>
        <v>One student was grazed with a bullet when a 14-year-old boy fired a revolver at Pearl C. Anderson Middle School</v>
      </c>
      <c r="AA2404" s="8"/>
      <c r="AB2404" s="8"/>
      <c r="AC2404" s="8"/>
      <c r="AD2404" s="8"/>
      <c r="AE2404" s="8" t="str">
        <f ca="1">IFERROR(__xludf.DUMMYFUNCTION("""COMPUTED_VALUE"""),"No")</f>
        <v>No</v>
      </c>
      <c r="AF2404" s="8"/>
      <c r="AG2404" s="8" t="str">
        <f ca="1">IFERROR(__xludf.DUMMYFUNCTION("""COMPUTED_VALUE"""),"No")</f>
        <v>No</v>
      </c>
      <c r="AH2404" s="8" t="str">
        <f ca="1">IFERROR(__xludf.DUMMYFUNCTION("""COMPUTED_VALUE"""),"No")</f>
        <v>No</v>
      </c>
      <c r="AI2404" s="8" t="str">
        <f ca="1">IFERROR(__xludf.DUMMYFUNCTION("""COMPUTED_VALUE"""),"No")</f>
        <v>No</v>
      </c>
      <c r="AJ2404" s="8"/>
      <c r="AK2404" s="8" t="str">
        <f ca="1">IFERROR(__xludf.DUMMYFUNCTION("""COMPUTED_VALUE"""),"No")</f>
        <v>No</v>
      </c>
      <c r="AL2404" s="8"/>
      <c r="AM2404" s="8" t="str">
        <f ca="1">IFERROR(__xludf.DUMMYFUNCTION("""COMPUTED_VALUE"""),"No")</f>
        <v>No</v>
      </c>
      <c r="AN2404" s="8"/>
      <c r="AO2404" s="8" t="str">
        <f ca="1">IFERROR(__xludf.DUMMYFUNCTION("""COMPUTED_VALUE"""),"No")</f>
        <v>No</v>
      </c>
      <c r="AP2404" s="8" t="str">
        <f ca="1">IFERROR(__xludf.DUMMYFUNCTION("""COMPUTED_VALUE"""),"Yes")</f>
        <v>Yes</v>
      </c>
      <c r="AQ2404" s="8"/>
      <c r="AR2404" s="8"/>
      <c r="AS2404" s="8">
        <f ca="1">IFERROR(__xludf.DUMMYFUNCTION("""COMPUTED_VALUE"""),1)</f>
        <v>1</v>
      </c>
      <c r="AT2404" s="8"/>
      <c r="AU2404" s="8">
        <f ca="1">IFERROR(__xludf.DUMMYFUNCTION("""COMPUTED_VALUE"""),32.75932)</f>
        <v>32.759320000000002</v>
      </c>
      <c r="AV2404" s="8">
        <f ca="1">IFERROR(__xludf.DUMMYFUNCTION("""COMPUTED_VALUE"""),-96.7444)</f>
        <v>-96.744399999999999</v>
      </c>
      <c r="AW2404" s="8"/>
      <c r="AX2404" s="8">
        <f ca="1">IFERROR(__xludf.DUMMYFUNCTION("""COMPUTED_VALUE"""),75215)</f>
        <v>75215</v>
      </c>
    </row>
    <row r="2405" spans="1:50" ht="105" x14ac:dyDescent="0.2">
      <c r="A2405" s="8" t="str">
        <f ca="1">IFERROR(__xludf.DUMMYFUNCTION("""COMPUTED_VALUE"""),"20010202MIOSD")</f>
        <v>20010202MIOSD</v>
      </c>
      <c r="B2405" s="8">
        <f ca="1">IFERROR(__xludf.DUMMYFUNCTION("""COMPUTED_VALUE"""),2)</f>
        <v>2</v>
      </c>
      <c r="C2405" s="8">
        <f ca="1">IFERROR(__xludf.DUMMYFUNCTION("""COMPUTED_VALUE"""),2)</f>
        <v>2</v>
      </c>
      <c r="D2405" s="8">
        <f ca="1">IFERROR(__xludf.DUMMYFUNCTION("""COMPUTED_VALUE"""),2001)</f>
        <v>2001</v>
      </c>
      <c r="E2405" s="9">
        <f ca="1">IFERROR(__xludf.DUMMYFUNCTION("""COMPUTED_VALUE"""),36924)</f>
        <v>36924</v>
      </c>
      <c r="F2405" s="8" t="str">
        <f ca="1">IFERROR(__xludf.DUMMYFUNCTION("""COMPUTED_VALUE"""),"Osborn High School")</f>
        <v>Osborn High School</v>
      </c>
      <c r="G2405" s="8">
        <f ca="1">IFERROR(__xludf.DUMMYFUNCTION("""COMPUTED_VALUE"""),0)</f>
        <v>0</v>
      </c>
      <c r="H2405" s="8">
        <f ca="1">IFERROR(__xludf.DUMMYFUNCTION("""COMPUTED_VALUE"""),3)</f>
        <v>3</v>
      </c>
      <c r="I2405" s="8">
        <f ca="1">IFERROR(__xludf.DUMMYFUNCTION("""COMPUTED_VALUE"""),3)</f>
        <v>3</v>
      </c>
      <c r="J2405" s="8">
        <f ca="1">IFERROR(__xludf.DUMMYFUNCTION("""COMPUTED_VALUE"""),0)</f>
        <v>0</v>
      </c>
      <c r="K2405" s="10" t="str">
        <f ca="1">IFERROR(__xludf.DUMMYFUNCTION("""COMPUTED_VALUE"""),"http://edition.cnn.com/2001/US/02/02/detroit.shooting/index.html")</f>
        <v>http://edition.cnn.com/2001/US/02/02/detroit.shooting/index.html</v>
      </c>
      <c r="L2405" s="8"/>
      <c r="M2405" s="8"/>
      <c r="N2405" s="8">
        <f ca="1">IFERROR(__xludf.DUMMYFUNCTION("""COMPUTED_VALUE"""),2)</f>
        <v>2</v>
      </c>
      <c r="O2405" s="8" t="str">
        <f ca="1">IFERROR(__xludf.DUMMYFUNCTION("""COMPUTED_VALUE"""),"Winter")</f>
        <v>Winter</v>
      </c>
      <c r="P2405" s="8" t="str">
        <f ca="1">IFERROR(__xludf.DUMMYFUNCTION("""COMPUTED_VALUE"""),"Detroit")</f>
        <v>Detroit</v>
      </c>
      <c r="Q2405" s="8" t="str">
        <f ca="1">IFERROR(__xludf.DUMMYFUNCTION("""COMPUTED_VALUE"""),"MI")</f>
        <v>MI</v>
      </c>
      <c r="R2405" s="8" t="str">
        <f ca="1">IFERROR(__xludf.DUMMYFUNCTION("""COMPUTED_VALUE"""),"High")</f>
        <v>High</v>
      </c>
      <c r="S2405" s="8" t="str">
        <f ca="1">IFERROR(__xludf.DUMMYFUNCTION("""COMPUTED_VALUE"""),"Classroom")</f>
        <v>Classroom</v>
      </c>
      <c r="T2405" s="8" t="str">
        <f ca="1">IFERROR(__xludf.DUMMYFUNCTION("""COMPUTED_VALUE"""),"Inside School Building")</f>
        <v>Inside School Building</v>
      </c>
      <c r="U2405" s="8" t="str">
        <f ca="1">IFERROR(__xludf.DUMMYFUNCTION("""COMPUTED_VALUE"""),"Yes")</f>
        <v>Yes</v>
      </c>
      <c r="V2405" s="8"/>
      <c r="W2405" s="8"/>
      <c r="X2405" s="8"/>
      <c r="Y2405" s="12" t="str">
        <f ca="1">IFERROR(__xludf.DUMMYFUNCTION("""COMPUTED_VALUE"""),"2 students and 1 teacher shot in bandroom by unknown student, possible to get class dismissed early")</f>
        <v>2 students and 1 teacher shot in bandroom by unknown student, possible to get class dismissed early</v>
      </c>
      <c r="Z2405" s="12" t="str">
        <f ca="1">IFERROR(__xludf.DUMMYFUNCTION("""COMPUTED_VALUE"""),"2 students and 1 teacher shot in the band room by an unknown shooter. A bomb threat had been called in earlier that day. Police believed both were related to trying to get school dismissed for the day.")</f>
        <v>2 students and 1 teacher shot in the band room by an unknown shooter. A bomb threat had been called in earlier that day. Police believed both were related to trying to get school dismissed for the day.</v>
      </c>
      <c r="AA2405" s="8"/>
      <c r="AB2405" s="8"/>
      <c r="AC2405" s="8"/>
      <c r="AD2405" s="8"/>
      <c r="AE2405" s="8" t="str">
        <f ca="1">IFERROR(__xludf.DUMMYFUNCTION("""COMPUTED_VALUE"""),"No")</f>
        <v>No</v>
      </c>
      <c r="AF2405" s="8"/>
      <c r="AG2405" s="8" t="str">
        <f ca="1">IFERROR(__xludf.DUMMYFUNCTION("""COMPUTED_VALUE"""),"No")</f>
        <v>No</v>
      </c>
      <c r="AH2405" s="8" t="str">
        <f ca="1">IFERROR(__xludf.DUMMYFUNCTION("""COMPUTED_VALUE"""),"No")</f>
        <v>No</v>
      </c>
      <c r="AI2405" s="8" t="str">
        <f ca="1">IFERROR(__xludf.DUMMYFUNCTION("""COMPUTED_VALUE"""),"No")</f>
        <v>No</v>
      </c>
      <c r="AJ2405" s="8" t="str">
        <f ca="1">IFERROR(__xludf.DUMMYFUNCTION("""COMPUTED_VALUE"""),"No")</f>
        <v>No</v>
      </c>
      <c r="AK2405" s="8" t="str">
        <f ca="1">IFERROR(__xludf.DUMMYFUNCTION("""COMPUTED_VALUE"""),"No")</f>
        <v>No</v>
      </c>
      <c r="AL2405" s="8" t="str">
        <f ca="1">IFERROR(__xludf.DUMMYFUNCTION("""COMPUTED_VALUE"""),"No")</f>
        <v>No</v>
      </c>
      <c r="AM2405" s="8" t="str">
        <f ca="1">IFERROR(__xludf.DUMMYFUNCTION("""COMPUTED_VALUE"""),"Yes")</f>
        <v>Yes</v>
      </c>
      <c r="AN2405" s="8" t="str">
        <f ca="1">IFERROR(__xludf.DUMMYFUNCTION("""COMPUTED_VALUE"""),"Single Room")</f>
        <v>Single Room</v>
      </c>
      <c r="AO2405" s="8" t="str">
        <f ca="1">IFERROR(__xludf.DUMMYFUNCTION("""COMPUTED_VALUE"""),"No")</f>
        <v>No</v>
      </c>
      <c r="AP2405" s="8"/>
      <c r="AQ2405" s="8" t="str">
        <f ca="1">IFERROR(__xludf.DUMMYFUNCTION("""COMPUTED_VALUE"""),"Unknown")</f>
        <v>Unknown</v>
      </c>
      <c r="AR2405" s="8" t="str">
        <f ca="1">IFERROR(__xludf.DUMMYFUNCTION("""COMPUTED_VALUE"""),"NA")</f>
        <v>NA</v>
      </c>
      <c r="AS2405" s="8"/>
      <c r="AT2405" s="8"/>
      <c r="AU2405" s="8">
        <f ca="1">IFERROR(__xludf.DUMMYFUNCTION("""COMPUTED_VALUE"""),42.433911)</f>
        <v>42.433911000000002</v>
      </c>
      <c r="AV2405" s="8">
        <f ca="1">IFERROR(__xludf.DUMMYFUNCTION("""COMPUTED_VALUE"""),-83.003056)</f>
        <v>-83.003056000000001</v>
      </c>
      <c r="AW2405" s="8"/>
      <c r="AX2405" s="8">
        <f ca="1">IFERROR(__xludf.DUMMYFUNCTION("""COMPUTED_VALUE"""),48282)</f>
        <v>48282</v>
      </c>
    </row>
    <row r="2406" spans="1:50" ht="60" x14ac:dyDescent="0.2">
      <c r="A2406" s="8" t="str">
        <f ca="1">IFERROR(__xludf.DUMMYFUNCTION("""COMPUTED_VALUE"""),"20010117MDLAB")</f>
        <v>20010117MDLAB</v>
      </c>
      <c r="B2406" s="8">
        <f ca="1">IFERROR(__xludf.DUMMYFUNCTION("""COMPUTED_VALUE"""),1)</f>
        <v>1</v>
      </c>
      <c r="C2406" s="8">
        <f ca="1">IFERROR(__xludf.DUMMYFUNCTION("""COMPUTED_VALUE"""),17)</f>
        <v>17</v>
      </c>
      <c r="D2406" s="8">
        <f ca="1">IFERROR(__xludf.DUMMYFUNCTION("""COMPUTED_VALUE"""),2001)</f>
        <v>2001</v>
      </c>
      <c r="E2406" s="9">
        <f ca="1">IFERROR(__xludf.DUMMYFUNCTION("""COMPUTED_VALUE"""),36908)</f>
        <v>36908</v>
      </c>
      <c r="F2406" s="8" t="str">
        <f ca="1">IFERROR(__xludf.DUMMYFUNCTION("""COMPUTED_VALUE"""),"Lake Clifton Eastern High School")</f>
        <v>Lake Clifton Eastern High School</v>
      </c>
      <c r="G2406" s="8">
        <f ca="1">IFERROR(__xludf.DUMMYFUNCTION("""COMPUTED_VALUE"""),1)</f>
        <v>1</v>
      </c>
      <c r="H2406" s="8">
        <f ca="1">IFERROR(__xludf.DUMMYFUNCTION("""COMPUTED_VALUE"""),0)</f>
        <v>0</v>
      </c>
      <c r="I2406" s="8">
        <f ca="1">IFERROR(__xludf.DUMMYFUNCTION("""COMPUTED_VALUE"""),1)</f>
        <v>1</v>
      </c>
      <c r="J2406" s="8">
        <f ca="1">IFERROR(__xludf.DUMMYFUNCTION("""COMPUTED_VALUE"""),0)</f>
        <v>0</v>
      </c>
      <c r="K2406" s="10" t="str">
        <f ca="1">IFERROR(__xludf.DUMMYFUNCTION("""COMPUTED_VALUE"""),"http://articles.baltimoresun.com/2001-01-19/news/0101190243_1_sanders-inside-the-school-school-shooting")</f>
        <v>http://articles.baltimoresun.com/2001-01-19/news/0101190243_1_sanders-inside-the-school-school-shooting</v>
      </c>
      <c r="L2406" s="8"/>
      <c r="M2406" s="8"/>
      <c r="N2406" s="8">
        <f ca="1">IFERROR(__xludf.DUMMYFUNCTION("""COMPUTED_VALUE"""),2)</f>
        <v>2</v>
      </c>
      <c r="O2406" s="8" t="str">
        <f ca="1">IFERROR(__xludf.DUMMYFUNCTION("""COMPUTED_VALUE"""),"Winter")</f>
        <v>Winter</v>
      </c>
      <c r="P2406" s="8" t="str">
        <f ca="1">IFERROR(__xludf.DUMMYFUNCTION("""COMPUTED_VALUE"""),"Baltimore")</f>
        <v>Baltimore</v>
      </c>
      <c r="Q2406" s="8" t="str">
        <f ca="1">IFERROR(__xludf.DUMMYFUNCTION("""COMPUTED_VALUE"""),"MD")</f>
        <v>MD</v>
      </c>
      <c r="R2406" s="8" t="str">
        <f ca="1">IFERROR(__xludf.DUMMYFUNCTION("""COMPUTED_VALUE"""),"High")</f>
        <v>High</v>
      </c>
      <c r="S2406" s="8" t="str">
        <f ca="1">IFERROR(__xludf.DUMMYFUNCTION("""COMPUTED_VALUE"""),"Front of School")</f>
        <v>Front of School</v>
      </c>
      <c r="T2406" s="8" t="str">
        <f ca="1">IFERROR(__xludf.DUMMYFUNCTION("""COMPUTED_VALUE"""),"Outside on School Property")</f>
        <v>Outside on School Property</v>
      </c>
      <c r="U2406" s="8" t="str">
        <f ca="1">IFERROR(__xludf.DUMMYFUNCTION("""COMPUTED_VALUE"""),"Yes")</f>
        <v>Yes</v>
      </c>
      <c r="V2406" s="8" t="str">
        <f ca="1">IFERROR(__xludf.DUMMYFUNCTION("""COMPUTED_VALUE"""),"Before School")</f>
        <v>Before School</v>
      </c>
      <c r="W2406" s="11">
        <f ca="1">IFERROR(__xludf.DUMMYFUNCTION("""COMPUTED_VALUE"""),0.364583333333333)</f>
        <v>0.36458333333333298</v>
      </c>
      <c r="X2406" s="8">
        <f ca="1">IFERROR(__xludf.DUMMYFUNCTION("""COMPUTED_VALUE"""),1)</f>
        <v>1</v>
      </c>
      <c r="Y2406" s="12" t="str">
        <f ca="1">IFERROR(__xludf.DUMMYFUNCTION("""COMPUTED_VALUE"""),"Shooting stemmed from a fight that occurred a month prior")</f>
        <v>Shooting stemmed from a fight that occurred a month prior</v>
      </c>
      <c r="Z2406" s="12" t="str">
        <f ca="1">IFERROR(__xludf.DUMMYFUNCTION("""COMPUTED_VALUE"""),"Suspect and another man approached victim as victim was walking into school. Victim shot three times - suspects fled the scene - cause of shooting was deemed to be retaliation for previous altercation a month prior.")</f>
        <v>Suspect and another man approached victim as victim was walking into school. Victim shot three times - suspects fled the scene - cause of shooting was deemed to be retaliation for previous altercation a month prior.</v>
      </c>
      <c r="AA2406" s="8" t="str">
        <f ca="1">IFERROR(__xludf.DUMMYFUNCTION("""COMPUTED_VALUE"""),"Escalation of Dispute")</f>
        <v>Escalation of Dispute</v>
      </c>
      <c r="AB2406" s="8"/>
      <c r="AC2406" s="8"/>
      <c r="AD2406" s="8" t="str">
        <f ca="1">IFERROR(__xludf.DUMMYFUNCTION("""COMPUTED_VALUE"""),"Victims Targeted")</f>
        <v>Victims Targeted</v>
      </c>
      <c r="AE2406" s="8" t="str">
        <f ca="1">IFERROR(__xludf.DUMMYFUNCTION("""COMPUTED_VALUE"""),"No")</f>
        <v>No</v>
      </c>
      <c r="AF2406" s="8"/>
      <c r="AG2406" s="8" t="str">
        <f ca="1">IFERROR(__xludf.DUMMYFUNCTION("""COMPUTED_VALUE"""),"No")</f>
        <v>No</v>
      </c>
      <c r="AH2406" s="8" t="str">
        <f ca="1">IFERROR(__xludf.DUMMYFUNCTION("""COMPUTED_VALUE"""),"No")</f>
        <v>No</v>
      </c>
      <c r="AI2406" s="8" t="str">
        <f ca="1">IFERROR(__xludf.DUMMYFUNCTION("""COMPUTED_VALUE"""),"No")</f>
        <v>No</v>
      </c>
      <c r="AJ2406" s="8" t="str">
        <f ca="1">IFERROR(__xludf.DUMMYFUNCTION("""COMPUTED_VALUE"""),"No")</f>
        <v>No</v>
      </c>
      <c r="AK2406" s="8" t="str">
        <f ca="1">IFERROR(__xludf.DUMMYFUNCTION("""COMPUTED_VALUE"""),"No")</f>
        <v>No</v>
      </c>
      <c r="AL2406" s="8" t="str">
        <f ca="1">IFERROR(__xludf.DUMMYFUNCTION("""COMPUTED_VALUE"""),"No")</f>
        <v>No</v>
      </c>
      <c r="AM2406" s="8"/>
      <c r="AN2406" s="8"/>
      <c r="AO2406" s="8" t="str">
        <f ca="1">IFERROR(__xludf.DUMMYFUNCTION("""COMPUTED_VALUE"""),"No")</f>
        <v>No</v>
      </c>
      <c r="AP2406" s="8" t="str">
        <f ca="1">IFERROR(__xludf.DUMMYFUNCTION("""COMPUTED_VALUE"""),"No")</f>
        <v>No</v>
      </c>
      <c r="AQ2406" s="8" t="str">
        <f ca="1">IFERROR(__xludf.DUMMYFUNCTION("""COMPUTED_VALUE"""),"Unknown")</f>
        <v>Unknown</v>
      </c>
      <c r="AR2406" s="8" t="str">
        <f ca="1">IFERROR(__xludf.DUMMYFUNCTION("""COMPUTED_VALUE"""),"NA")</f>
        <v>NA</v>
      </c>
      <c r="AS2406" s="8">
        <f ca="1">IFERROR(__xludf.DUMMYFUNCTION("""COMPUTED_VALUE"""),3)</f>
        <v>3</v>
      </c>
      <c r="AT2406" s="8"/>
      <c r="AU2406" s="8">
        <f ca="1">IFERROR(__xludf.DUMMYFUNCTION("""COMPUTED_VALUE"""),39.316342)</f>
        <v>39.316341999999999</v>
      </c>
      <c r="AV2406" s="8">
        <f ca="1">IFERROR(__xludf.DUMMYFUNCTION("""COMPUTED_VALUE"""),-76.590052)</f>
        <v>-76.590052</v>
      </c>
      <c r="AW2406" s="8"/>
      <c r="AX2406" s="8">
        <f ca="1">IFERROR(__xludf.DUMMYFUNCTION("""COMPUTED_VALUE"""),21213)</f>
        <v>21213</v>
      </c>
    </row>
    <row r="2407" spans="1:50" ht="120" x14ac:dyDescent="0.2">
      <c r="A2407" s="8" t="str">
        <f ca="1">IFERROR(__xludf.DUMMYFUNCTION("""COMPUTED_VALUE"""),"20010110CAHUO")</f>
        <v>20010110CAHUO</v>
      </c>
      <c r="B2407" s="8">
        <f ca="1">IFERROR(__xludf.DUMMYFUNCTION("""COMPUTED_VALUE"""),1)</f>
        <v>1</v>
      </c>
      <c r="C2407" s="8">
        <f ca="1">IFERROR(__xludf.DUMMYFUNCTION("""COMPUTED_VALUE"""),10)</f>
        <v>10</v>
      </c>
      <c r="D2407" s="8">
        <f ca="1">IFERROR(__xludf.DUMMYFUNCTION("""COMPUTED_VALUE"""),2001)</f>
        <v>2001</v>
      </c>
      <c r="E2407" s="9">
        <f ca="1">IFERROR(__xludf.DUMMYFUNCTION("""COMPUTED_VALUE"""),36901)</f>
        <v>36901</v>
      </c>
      <c r="F2407" s="8" t="str">
        <f ca="1">IFERROR(__xludf.DUMMYFUNCTION("""COMPUTED_VALUE"""),"Hueneme High School")</f>
        <v>Hueneme High School</v>
      </c>
      <c r="G2407" s="8">
        <f ca="1">IFERROR(__xludf.DUMMYFUNCTION("""COMPUTED_VALUE"""),0)</f>
        <v>0</v>
      </c>
      <c r="H2407" s="8">
        <f ca="1">IFERROR(__xludf.DUMMYFUNCTION("""COMPUTED_VALUE"""),0)</f>
        <v>0</v>
      </c>
      <c r="I2407" s="8">
        <f ca="1">IFERROR(__xludf.DUMMYFUNCTION("""COMPUTED_VALUE"""),0)</f>
        <v>0</v>
      </c>
      <c r="J2407" s="8">
        <f ca="1">IFERROR(__xludf.DUMMYFUNCTION("""COMPUTED_VALUE"""),1)</f>
        <v>1</v>
      </c>
      <c r="K2407" s="10" t="str">
        <f ca="1">IFERROR(__xludf.DUMMYFUNCTION("""COMPUTED_VALUE"""),"http://articles.latimes.com/2001/jan/11/local/me-11081")</f>
        <v>http://articles.latimes.com/2001/jan/11/local/me-11081</v>
      </c>
      <c r="L2407" s="8"/>
      <c r="M2407" s="8"/>
      <c r="N2407" s="8">
        <f ca="1">IFERROR(__xludf.DUMMYFUNCTION("""COMPUTED_VALUE"""),2)</f>
        <v>2</v>
      </c>
      <c r="O2407" s="8" t="str">
        <f ca="1">IFERROR(__xludf.DUMMYFUNCTION("""COMPUTED_VALUE"""),"Winter")</f>
        <v>Winter</v>
      </c>
      <c r="P2407" s="8" t="str">
        <f ca="1">IFERROR(__xludf.DUMMYFUNCTION("""COMPUTED_VALUE"""),"Oxnard")</f>
        <v>Oxnard</v>
      </c>
      <c r="Q2407" s="8" t="str">
        <f ca="1">IFERROR(__xludf.DUMMYFUNCTION("""COMPUTED_VALUE"""),"CA")</f>
        <v>CA</v>
      </c>
      <c r="R2407" s="8" t="str">
        <f ca="1">IFERROR(__xludf.DUMMYFUNCTION("""COMPUTED_VALUE"""),"High")</f>
        <v>High</v>
      </c>
      <c r="S2407" s="8" t="str">
        <f ca="1">IFERROR(__xludf.DUMMYFUNCTION("""COMPUTED_VALUE"""),"Parking Lot")</f>
        <v>Parking Lot</v>
      </c>
      <c r="T2407" s="8" t="str">
        <f ca="1">IFERROR(__xludf.DUMMYFUNCTION("""COMPUTED_VALUE"""),"Outside on School Property")</f>
        <v>Outside on School Property</v>
      </c>
      <c r="U2407" s="8" t="str">
        <f ca="1">IFERROR(__xludf.DUMMYFUNCTION("""COMPUTED_VALUE"""),"Yes")</f>
        <v>Yes</v>
      </c>
      <c r="V2407" s="8" t="str">
        <f ca="1">IFERROR(__xludf.DUMMYFUNCTION("""COMPUTED_VALUE"""),"Lunch")</f>
        <v>Lunch</v>
      </c>
      <c r="W2407" s="11">
        <f ca="1">IFERROR(__xludf.DUMMYFUNCTION("""COMPUTED_VALUE"""),0.534722222222222)</f>
        <v>0.53472222222222199</v>
      </c>
      <c r="X2407" s="8"/>
      <c r="Y2407" s="12" t="str">
        <f ca="1">IFERROR(__xludf.DUMMYFUNCTION("""COMPUTED_VALUE"""),"Distraught over family issues - wanted to die at the hands of police - took hostage in school")</f>
        <v>Distraught over family issues - wanted to die at the hands of police - took hostage in school</v>
      </c>
      <c r="Z2407" s="12" t="str">
        <f ca="1">IFERROR(__xludf.DUMMYFUNCTION("""COMPUTED_VALUE"""),"17YOM non-student fired shots at a female students car in the parking lot and took her hostage at gunpoint. He had no relation with her. He walked her into an outdoor courtyard between classrooms. He told her he was in a gang and wanted to die from being "&amp;"shot by the police. When the shooter held the gun to the victims head, a police officer fired and killed him. Most students were evacuated but 60 in the area of shooter saw him killed by police.")</f>
        <v>17YOM non-student fired shots at a female students car in the parking lot and took her hostage at gunpoint. He had no relation with her. He walked her into an outdoor courtyard between classrooms. He told her he was in a gang and wanted to die from being shot by the police. When the shooter held the gun to the victims head, a police officer fired and killed him. Most students were evacuated but 60 in the area of shooter saw him killed by police.</v>
      </c>
      <c r="AA2407" s="8" t="str">
        <f ca="1">IFERROR(__xludf.DUMMYFUNCTION("""COMPUTED_VALUE"""),"Hostage/Standoff")</f>
        <v>Hostage/Standoff</v>
      </c>
      <c r="AB2407" s="8"/>
      <c r="AC2407" s="8"/>
      <c r="AD2407" s="8" t="str">
        <f ca="1">IFERROR(__xludf.DUMMYFUNCTION("""COMPUTED_VALUE"""),"Random Shooting")</f>
        <v>Random Shooting</v>
      </c>
      <c r="AE2407" s="8" t="str">
        <f ca="1">IFERROR(__xludf.DUMMYFUNCTION("""COMPUTED_VALUE"""),"No")</f>
        <v>No</v>
      </c>
      <c r="AF2407" s="8"/>
      <c r="AG2407" s="8" t="str">
        <f ca="1">IFERROR(__xludf.DUMMYFUNCTION("""COMPUTED_VALUE"""),"Yes")</f>
        <v>Yes</v>
      </c>
      <c r="AH2407" s="8" t="str">
        <f ca="1">IFERROR(__xludf.DUMMYFUNCTION("""COMPUTED_VALUE"""),"No")</f>
        <v>No</v>
      </c>
      <c r="AI2407" s="8" t="str">
        <f ca="1">IFERROR(__xludf.DUMMYFUNCTION("""COMPUTED_VALUE"""),"No")</f>
        <v>No</v>
      </c>
      <c r="AJ2407" s="8" t="str">
        <f ca="1">IFERROR(__xludf.DUMMYFUNCTION("""COMPUTED_VALUE"""),"No")</f>
        <v>No</v>
      </c>
      <c r="AK2407" s="8" t="str">
        <f ca="1">IFERROR(__xludf.DUMMYFUNCTION("""COMPUTED_VALUE"""),"No")</f>
        <v>No</v>
      </c>
      <c r="AL2407" s="8" t="str">
        <f ca="1">IFERROR(__xludf.DUMMYFUNCTION("""COMPUTED_VALUE"""),"Yes")</f>
        <v>Yes</v>
      </c>
      <c r="AM2407" s="8" t="str">
        <f ca="1">IFERROR(__xludf.DUMMYFUNCTION("""COMPUTED_VALUE"""),"Yes")</f>
        <v>Yes</v>
      </c>
      <c r="AN2407" s="8" t="str">
        <f ca="1">IFERROR(__xludf.DUMMYFUNCTION("""COMPUTED_VALUE"""),"Outside")</f>
        <v>Outside</v>
      </c>
      <c r="AO2407" s="8" t="str">
        <f ca="1">IFERROR(__xludf.DUMMYFUNCTION("""COMPUTED_VALUE"""),"No")</f>
        <v>No</v>
      </c>
      <c r="AP2407" s="8" t="str">
        <f ca="1">IFERROR(__xludf.DUMMYFUNCTION("""COMPUTED_VALUE"""),"Yes")</f>
        <v>Yes</v>
      </c>
      <c r="AQ2407" s="8" t="str">
        <f ca="1">IFERROR(__xludf.DUMMYFUNCTION("""COMPUTED_VALUE"""),"Unknown")</f>
        <v>Unknown</v>
      </c>
      <c r="AR2407" s="8" t="str">
        <f ca="1">IFERROR(__xludf.DUMMYFUNCTION("""COMPUTED_VALUE"""),"NA")</f>
        <v>NA</v>
      </c>
      <c r="AS2407" s="8">
        <f ca="1">IFERROR(__xludf.DUMMYFUNCTION("""COMPUTED_VALUE"""),2)</f>
        <v>2</v>
      </c>
      <c r="AT2407" s="8"/>
      <c r="AU2407" s="8">
        <f ca="1">IFERROR(__xludf.DUMMYFUNCTION("""COMPUTED_VALUE"""),34.1605)</f>
        <v>34.160499999999999</v>
      </c>
      <c r="AV2407" s="8">
        <f ca="1">IFERROR(__xludf.DUMMYFUNCTION("""COMPUTED_VALUE"""),-119.182511)</f>
        <v>-119.18251100000001</v>
      </c>
      <c r="AW2407" s="8"/>
      <c r="AX2407" s="8">
        <f ca="1">IFERROR(__xludf.DUMMYFUNCTION("""COMPUTED_VALUE"""),93033)</f>
        <v>93033</v>
      </c>
    </row>
    <row r="2408" spans="1:50" ht="75" x14ac:dyDescent="0.2">
      <c r="A2408" s="8" t="str">
        <f ca="1">IFERROR(__xludf.DUMMYFUNCTION("""COMPUTED_VALUE"""),"20010103CABAS")</f>
        <v>20010103CABAS</v>
      </c>
      <c r="B2408" s="8">
        <f ca="1">IFERROR(__xludf.DUMMYFUNCTION("""COMPUTED_VALUE"""),1)</f>
        <v>1</v>
      </c>
      <c r="C2408" s="8">
        <f ca="1">IFERROR(__xludf.DUMMYFUNCTION("""COMPUTED_VALUE"""),3)</f>
        <v>3</v>
      </c>
      <c r="D2408" s="8">
        <f ca="1">IFERROR(__xludf.DUMMYFUNCTION("""COMPUTED_VALUE"""),2001)</f>
        <v>2001</v>
      </c>
      <c r="E2408" s="9">
        <f ca="1">IFERROR(__xludf.DUMMYFUNCTION("""COMPUTED_VALUE"""),36894)</f>
        <v>36894</v>
      </c>
      <c r="F2408" s="8" t="str">
        <f ca="1">IFERROR(__xludf.DUMMYFUNCTION("""COMPUTED_VALUE"""),"Balboa High School")</f>
        <v>Balboa High School</v>
      </c>
      <c r="G2408" s="8">
        <f ca="1">IFERROR(__xludf.DUMMYFUNCTION("""COMPUTED_VALUE"""),0)</f>
        <v>0</v>
      </c>
      <c r="H2408" s="8">
        <f ca="1">IFERROR(__xludf.DUMMYFUNCTION("""COMPUTED_VALUE"""),0)</f>
        <v>0</v>
      </c>
      <c r="I2408" s="8">
        <f ca="1">IFERROR(__xludf.DUMMYFUNCTION("""COMPUTED_VALUE"""),0)</f>
        <v>0</v>
      </c>
      <c r="J2408" s="8">
        <f ca="1">IFERROR(__xludf.DUMMYFUNCTION("""COMPUTED_VALUE"""),0)</f>
        <v>0</v>
      </c>
      <c r="K2408" s="10" t="str">
        <f ca="1">IFERROR(__xludf.DUMMYFUNCTION("""COMPUTED_VALUE"""),"https://www.sfgate.com/news/article/Security-Review-After-Accident-Student-shot-2968986.php")</f>
        <v>https://www.sfgate.com/news/article/Security-Review-After-Accident-Student-shot-2968986.php</v>
      </c>
      <c r="L2408" s="8"/>
      <c r="M2408" s="8"/>
      <c r="N2408" s="8">
        <f ca="1">IFERROR(__xludf.DUMMYFUNCTION("""COMPUTED_VALUE"""),2)</f>
        <v>2</v>
      </c>
      <c r="O2408" s="8" t="str">
        <f ca="1">IFERROR(__xludf.DUMMYFUNCTION("""COMPUTED_VALUE"""),"Winter")</f>
        <v>Winter</v>
      </c>
      <c r="P2408" s="8" t="str">
        <f ca="1">IFERROR(__xludf.DUMMYFUNCTION("""COMPUTED_VALUE"""),"San Francisco")</f>
        <v>San Francisco</v>
      </c>
      <c r="Q2408" s="8" t="str">
        <f ca="1">IFERROR(__xludf.DUMMYFUNCTION("""COMPUTED_VALUE"""),"CA")</f>
        <v>CA</v>
      </c>
      <c r="R2408" s="8" t="str">
        <f ca="1">IFERROR(__xludf.DUMMYFUNCTION("""COMPUTED_VALUE"""),"High")</f>
        <v>High</v>
      </c>
      <c r="S2408" s="8" t="str">
        <f ca="1">IFERROR(__xludf.DUMMYFUNCTION("""COMPUTED_VALUE"""),"Classroom")</f>
        <v>Classroom</v>
      </c>
      <c r="T2408" s="8" t="str">
        <f ca="1">IFERROR(__xludf.DUMMYFUNCTION("""COMPUTED_VALUE"""),"Inside School Building")</f>
        <v>Inside School Building</v>
      </c>
      <c r="U2408" s="8" t="str">
        <f ca="1">IFERROR(__xludf.DUMMYFUNCTION("""COMPUTED_VALUE"""),"Yes")</f>
        <v>Yes</v>
      </c>
      <c r="V2408" s="8" t="str">
        <f ca="1">IFERROR(__xludf.DUMMYFUNCTION("""COMPUTED_VALUE"""),"Morning Classes")</f>
        <v>Morning Classes</v>
      </c>
      <c r="W2408" s="11">
        <f ca="1">IFERROR(__xludf.DUMMYFUNCTION("""COMPUTED_VALUE"""),0.395833333333333)</f>
        <v>0.39583333333333298</v>
      </c>
      <c r="X2408" s="8">
        <f ca="1">IFERROR(__xludf.DUMMYFUNCTION("""COMPUTED_VALUE"""),1)</f>
        <v>1</v>
      </c>
      <c r="Y2408" s="12" t="str">
        <f ca="1">IFERROR(__xludf.DUMMYFUNCTION("""COMPUTED_VALUE"""),"Shot himself in leg during class, fled, ditched gun, then went to nurses office")</f>
        <v>Shot himself in leg during class, fled, ditched gun, then went to nurses office</v>
      </c>
      <c r="Z2408" s="12" t="str">
        <f ca="1">IFERROR(__xludf.DUMMYFUNCTION("""COMPUTED_VALUE"""),"14YOM student shot himself in class, fled the scene, threw the gun outside of the school, and then went to the nurses office for medical assistance. School has 9 full time security officers.")</f>
        <v>14YOM student shot himself in class, fled the scene, threw the gun outside of the school, and then went to the nurses office for medical assistance. School has 9 full time security officers.</v>
      </c>
      <c r="AA2408" s="8" t="str">
        <f ca="1">IFERROR(__xludf.DUMMYFUNCTION("""COMPUTED_VALUE"""),"Accidental")</f>
        <v>Accidental</v>
      </c>
      <c r="AB2408" s="8"/>
      <c r="AC2408" s="8"/>
      <c r="AD2408" s="8" t="str">
        <f ca="1">IFERROR(__xludf.DUMMYFUNCTION("""COMPUTED_VALUE"""),"Neither")</f>
        <v>Neither</v>
      </c>
      <c r="AE2408" s="8" t="str">
        <f ca="1">IFERROR(__xludf.DUMMYFUNCTION("""COMPUTED_VALUE"""),"No")</f>
        <v>No</v>
      </c>
      <c r="AF2408" s="8"/>
      <c r="AG2408" s="8" t="str">
        <f ca="1">IFERROR(__xludf.DUMMYFUNCTION("""COMPUTED_VALUE"""),"No")</f>
        <v>No</v>
      </c>
      <c r="AH2408" s="8" t="str">
        <f ca="1">IFERROR(__xludf.DUMMYFUNCTION("""COMPUTED_VALUE"""),"No")</f>
        <v>No</v>
      </c>
      <c r="AI2408" s="8" t="str">
        <f ca="1">IFERROR(__xludf.DUMMYFUNCTION("""COMPUTED_VALUE"""),"No")</f>
        <v>No</v>
      </c>
      <c r="AJ2408" s="8" t="str">
        <f ca="1">IFERROR(__xludf.DUMMYFUNCTION("""COMPUTED_VALUE"""),"No")</f>
        <v>No</v>
      </c>
      <c r="AK2408" s="8" t="str">
        <f ca="1">IFERROR(__xludf.DUMMYFUNCTION("""COMPUTED_VALUE"""),"No")</f>
        <v>No</v>
      </c>
      <c r="AL2408" s="8" t="str">
        <f ca="1">IFERROR(__xludf.DUMMYFUNCTION("""COMPUTED_VALUE"""),"No")</f>
        <v>No</v>
      </c>
      <c r="AM2408" s="8"/>
      <c r="AN2408" s="8"/>
      <c r="AO2408" s="8" t="str">
        <f ca="1">IFERROR(__xludf.DUMMYFUNCTION("""COMPUTED_VALUE"""),"No")</f>
        <v>No</v>
      </c>
      <c r="AP2408" s="8"/>
      <c r="AQ2408" s="8" t="str">
        <f ca="1">IFERROR(__xludf.DUMMYFUNCTION("""COMPUTED_VALUE"""),"Unknown")</f>
        <v>Unknown</v>
      </c>
      <c r="AR2408" s="8" t="str">
        <f ca="1">IFERROR(__xludf.DUMMYFUNCTION("""COMPUTED_VALUE"""),"NA")</f>
        <v>NA</v>
      </c>
      <c r="AS2408" s="8">
        <f ca="1">IFERROR(__xludf.DUMMYFUNCTION("""COMPUTED_VALUE"""),1)</f>
        <v>1</v>
      </c>
      <c r="AT2408" s="8"/>
      <c r="AU2408" s="8">
        <f ca="1">IFERROR(__xludf.DUMMYFUNCTION("""COMPUTED_VALUE"""),37.721435)</f>
        <v>37.721435</v>
      </c>
      <c r="AV2408" s="8">
        <f ca="1">IFERROR(__xludf.DUMMYFUNCTION("""COMPUTED_VALUE"""),-122.4409)</f>
        <v>-122.4409</v>
      </c>
      <c r="AW2408" s="8"/>
      <c r="AX2408" s="8">
        <f ca="1">IFERROR(__xludf.DUMMYFUNCTION("""COMPUTED_VALUE"""),94112)</f>
        <v>94112</v>
      </c>
    </row>
    <row r="2409" spans="1:50" ht="60" x14ac:dyDescent="0.2">
      <c r="A2409" s="8" t="str">
        <f ca="1">IFERROR(__xludf.DUMMYFUNCTION("""COMPUTED_VALUE"""),"20001221FLNOM")</f>
        <v>20001221FLNOM</v>
      </c>
      <c r="B2409" s="8">
        <f ca="1">IFERROR(__xludf.DUMMYFUNCTION("""COMPUTED_VALUE"""),12)</f>
        <v>12</v>
      </c>
      <c r="C2409" s="8">
        <f ca="1">IFERROR(__xludf.DUMMYFUNCTION("""COMPUTED_VALUE"""),21)</f>
        <v>21</v>
      </c>
      <c r="D2409" s="8">
        <f ca="1">IFERROR(__xludf.DUMMYFUNCTION("""COMPUTED_VALUE"""),2000)</f>
        <v>2000</v>
      </c>
      <c r="E2409" s="9">
        <f ca="1">IFERROR(__xludf.DUMMYFUNCTION("""COMPUTED_VALUE"""),36881)</f>
        <v>36881</v>
      </c>
      <c r="F2409" s="8" t="str">
        <f ca="1">IFERROR(__xludf.DUMMYFUNCTION("""COMPUTED_VALUE"""),"Norland Elementary School")</f>
        <v>Norland Elementary School</v>
      </c>
      <c r="G2409" s="8">
        <f ca="1">IFERROR(__xludf.DUMMYFUNCTION("""COMPUTED_VALUE"""),1)</f>
        <v>1</v>
      </c>
      <c r="H2409" s="8">
        <f ca="1">IFERROR(__xludf.DUMMYFUNCTION("""COMPUTED_VALUE"""),0)</f>
        <v>0</v>
      </c>
      <c r="I2409" s="8">
        <f ca="1">IFERROR(__xludf.DUMMYFUNCTION("""COMPUTED_VALUE"""),1)</f>
        <v>1</v>
      </c>
      <c r="J2409" s="8">
        <f ca="1">IFERROR(__xludf.DUMMYFUNCTION("""COMPUTED_VALUE"""),0)</f>
        <v>0</v>
      </c>
      <c r="K2409" s="10" t="str">
        <f ca="1">IFERROR(__xludf.DUMMYFUNCTION("""COMPUTED_VALUE"""),"http://articles.sun-sentinel.com/2000-12-21/news/0012210472_1_armored-car-armored-guard-routine-pickup")</f>
        <v>http://articles.sun-sentinel.com/2000-12-21/news/0012210472_1_armored-car-armored-guard-routine-pickup</v>
      </c>
      <c r="L2409" s="8"/>
      <c r="M2409" s="8"/>
      <c r="N2409" s="8">
        <f ca="1">IFERROR(__xludf.DUMMYFUNCTION("""COMPUTED_VALUE"""),2)</f>
        <v>2</v>
      </c>
      <c r="O2409" s="8" t="str">
        <f ca="1">IFERROR(__xludf.DUMMYFUNCTION("""COMPUTED_VALUE"""),"Winter")</f>
        <v>Winter</v>
      </c>
      <c r="P2409" s="8" t="str">
        <f ca="1">IFERROR(__xludf.DUMMYFUNCTION("""COMPUTED_VALUE"""),"Miami")</f>
        <v>Miami</v>
      </c>
      <c r="Q2409" s="8" t="str">
        <f ca="1">IFERROR(__xludf.DUMMYFUNCTION("""COMPUTED_VALUE"""),"FL")</f>
        <v>FL</v>
      </c>
      <c r="R2409" s="8" t="str">
        <f ca="1">IFERROR(__xludf.DUMMYFUNCTION("""COMPUTED_VALUE"""),"Elementary")</f>
        <v>Elementary</v>
      </c>
      <c r="S2409" s="8" t="str">
        <f ca="1">IFERROR(__xludf.DUMMYFUNCTION("""COMPUTED_VALUE"""),"Parking Lot")</f>
        <v>Parking Lot</v>
      </c>
      <c r="T2409" s="8" t="str">
        <f ca="1">IFERROR(__xludf.DUMMYFUNCTION("""COMPUTED_VALUE"""),"Outside on School Property")</f>
        <v>Outside on School Property</v>
      </c>
      <c r="U2409" s="8" t="str">
        <f ca="1">IFERROR(__xludf.DUMMYFUNCTION("""COMPUTED_VALUE"""),"Yes")</f>
        <v>Yes</v>
      </c>
      <c r="V2409" s="8" t="str">
        <f ca="1">IFERROR(__xludf.DUMMYFUNCTION("""COMPUTED_VALUE"""),"After School")</f>
        <v>After School</v>
      </c>
      <c r="W2409" s="11">
        <f ca="1">IFERROR(__xludf.DUMMYFUNCTION("""COMPUTED_VALUE"""),0.65625)</f>
        <v>0.65625</v>
      </c>
      <c r="X2409" s="8">
        <f ca="1">IFERROR(__xludf.DUMMYFUNCTION("""COMPUTED_VALUE"""),1)</f>
        <v>1</v>
      </c>
      <c r="Y2409" s="12" t="str">
        <f ca="1">IFERROR(__xludf.DUMMYFUNCTION("""COMPUTED_VALUE"""),"Teens shot armored car guard picking up money from the school")</f>
        <v>Teens shot armored car guard picking up money from the school</v>
      </c>
      <c r="Z2409" s="12" t="str">
        <f ca="1">IFERROR(__xludf.DUMMYFUNCTION("""COMPUTED_VALUE"""),"Two teens shot armored car guard picking up money from the elementary school. Suspects fled and no students were injured.")</f>
        <v>Two teens shot armored car guard picking up money from the elementary school. Suspects fled and no students were injured.</v>
      </c>
      <c r="AA2409" s="8" t="str">
        <f ca="1">IFERROR(__xludf.DUMMYFUNCTION("""COMPUTED_VALUE"""),"Illegal Activity")</f>
        <v>Illegal Activity</v>
      </c>
      <c r="AB2409" s="8"/>
      <c r="AC2409" s="8"/>
      <c r="AD2409" s="8" t="str">
        <f ca="1">IFERROR(__xludf.DUMMYFUNCTION("""COMPUTED_VALUE"""),"Victims Targeted")</f>
        <v>Victims Targeted</v>
      </c>
      <c r="AE2409" s="8" t="str">
        <f ca="1">IFERROR(__xludf.DUMMYFUNCTION("""COMPUTED_VALUE"""),"Yes")</f>
        <v>Yes</v>
      </c>
      <c r="AF2409" s="8" t="str">
        <f ca="1">IFERROR(__xludf.DUMMYFUNCTION("""COMPUTED_VALUE"""),"2 teens")</f>
        <v>2 teens</v>
      </c>
      <c r="AG2409" s="8" t="str">
        <f ca="1">IFERROR(__xludf.DUMMYFUNCTION("""COMPUTED_VALUE"""),"No")</f>
        <v>No</v>
      </c>
      <c r="AH2409" s="8" t="str">
        <f ca="1">IFERROR(__xludf.DUMMYFUNCTION("""COMPUTED_VALUE"""),"No")</f>
        <v>No</v>
      </c>
      <c r="AI2409" s="8" t="str">
        <f ca="1">IFERROR(__xludf.DUMMYFUNCTION("""COMPUTED_VALUE"""),"No")</f>
        <v>No</v>
      </c>
      <c r="AJ2409" s="8" t="str">
        <f ca="1">IFERROR(__xludf.DUMMYFUNCTION("""COMPUTED_VALUE"""),"No")</f>
        <v>No</v>
      </c>
      <c r="AK2409" s="8" t="str">
        <f ca="1">IFERROR(__xludf.DUMMYFUNCTION("""COMPUTED_VALUE"""),"No")</f>
        <v>No</v>
      </c>
      <c r="AL2409" s="8" t="str">
        <f ca="1">IFERROR(__xludf.DUMMYFUNCTION("""COMPUTED_VALUE"""),"No")</f>
        <v>No</v>
      </c>
      <c r="AM2409" s="8"/>
      <c r="AN2409" s="8"/>
      <c r="AO2409" s="8" t="str">
        <f ca="1">IFERROR(__xludf.DUMMYFUNCTION("""COMPUTED_VALUE"""),"No")</f>
        <v>No</v>
      </c>
      <c r="AP2409" s="8"/>
      <c r="AQ2409" s="8" t="str">
        <f ca="1">IFERROR(__xludf.DUMMYFUNCTION("""COMPUTED_VALUE"""),"Unknown")</f>
        <v>Unknown</v>
      </c>
      <c r="AR2409" s="8" t="str">
        <f ca="1">IFERROR(__xludf.DUMMYFUNCTION("""COMPUTED_VALUE"""),"NA")</f>
        <v>NA</v>
      </c>
      <c r="AS2409" s="8"/>
      <c r="AT2409" s="8"/>
      <c r="AU2409" s="8">
        <f ca="1">IFERROR(__xludf.DUMMYFUNCTION("""COMPUTED_VALUE"""),25.951781)</f>
        <v>25.951781</v>
      </c>
      <c r="AV2409" s="8">
        <f ca="1">IFERROR(__xludf.DUMMYFUNCTION("""COMPUTED_VALUE"""),-80.217264)</f>
        <v>-80.217264</v>
      </c>
      <c r="AW2409" s="8"/>
      <c r="AX2409" s="8">
        <f ca="1">IFERROR(__xludf.DUMMYFUNCTION("""COMPUTED_VALUE"""),33169)</f>
        <v>33169</v>
      </c>
    </row>
    <row r="2410" spans="1:50" ht="75" x14ac:dyDescent="0.2">
      <c r="A2410" s="8" t="str">
        <f ca="1">IFERROR(__xludf.DUMMYFUNCTION("""COMPUTED_VALUE"""),"20001207CARIR")</f>
        <v>20001207CARIR</v>
      </c>
      <c r="B2410" s="8">
        <f ca="1">IFERROR(__xludf.DUMMYFUNCTION("""COMPUTED_VALUE"""),12)</f>
        <v>12</v>
      </c>
      <c r="C2410" s="8">
        <f ca="1">IFERROR(__xludf.DUMMYFUNCTION("""COMPUTED_VALUE"""),7)</f>
        <v>7</v>
      </c>
      <c r="D2410" s="8">
        <f ca="1">IFERROR(__xludf.DUMMYFUNCTION("""COMPUTED_VALUE"""),2000)</f>
        <v>2000</v>
      </c>
      <c r="E2410" s="9">
        <f ca="1">IFERROR(__xludf.DUMMYFUNCTION("""COMPUTED_VALUE"""),36867)</f>
        <v>36867</v>
      </c>
      <c r="F2410" s="8" t="str">
        <f ca="1">IFERROR(__xludf.DUMMYFUNCTION("""COMPUTED_VALUE"""),"Richmond High School")</f>
        <v>Richmond High School</v>
      </c>
      <c r="G2410" s="8">
        <f ca="1">IFERROR(__xludf.DUMMYFUNCTION("""COMPUTED_VALUE"""),1)</f>
        <v>1</v>
      </c>
      <c r="H2410" s="8">
        <f ca="1">IFERROR(__xludf.DUMMYFUNCTION("""COMPUTED_VALUE"""),0)</f>
        <v>0</v>
      </c>
      <c r="I2410" s="8">
        <f ca="1">IFERROR(__xludf.DUMMYFUNCTION("""COMPUTED_VALUE"""),1)</f>
        <v>1</v>
      </c>
      <c r="J2410" s="8">
        <f ca="1">IFERROR(__xludf.DUMMYFUNCTION("""COMPUTED_VALUE"""),0)</f>
        <v>0</v>
      </c>
      <c r="K2410" s="10" t="str">
        <f ca="1">IFERROR(__xludf.DUMMYFUNCTION("""COMPUTED_VALUE"""),"https://www.sfgate.com/bayarea/article/Drive-by-Shooter-Kills-Teen-2692458.php")</f>
        <v>https://www.sfgate.com/bayarea/article/Drive-by-Shooter-Kills-Teen-2692458.php</v>
      </c>
      <c r="L2410" s="8"/>
      <c r="M2410" s="8"/>
      <c r="N2410" s="8">
        <f ca="1">IFERROR(__xludf.DUMMYFUNCTION("""COMPUTED_VALUE"""),2)</f>
        <v>2</v>
      </c>
      <c r="O2410" s="8" t="str">
        <f ca="1">IFERROR(__xludf.DUMMYFUNCTION("""COMPUTED_VALUE"""),"Winter")</f>
        <v>Winter</v>
      </c>
      <c r="P2410" s="8" t="str">
        <f ca="1">IFERROR(__xludf.DUMMYFUNCTION("""COMPUTED_VALUE"""),"Richmond")</f>
        <v>Richmond</v>
      </c>
      <c r="Q2410" s="8" t="str">
        <f ca="1">IFERROR(__xludf.DUMMYFUNCTION("""COMPUTED_VALUE"""),"CA")</f>
        <v>CA</v>
      </c>
      <c r="R2410" s="8" t="str">
        <f ca="1">IFERROR(__xludf.DUMMYFUNCTION("""COMPUTED_VALUE"""),"High")</f>
        <v>High</v>
      </c>
      <c r="S2410" s="8" t="str">
        <f ca="1">IFERROR(__xludf.DUMMYFUNCTION("""COMPUTED_VALUE"""),"Front of School")</f>
        <v>Front of School</v>
      </c>
      <c r="T2410" s="8" t="str">
        <f ca="1">IFERROR(__xludf.DUMMYFUNCTION("""COMPUTED_VALUE"""),"Outside on School Property")</f>
        <v>Outside on School Property</v>
      </c>
      <c r="U2410" s="8" t="str">
        <f ca="1">IFERROR(__xludf.DUMMYFUNCTION("""COMPUTED_VALUE"""),"Yes")</f>
        <v>Yes</v>
      </c>
      <c r="V2410" s="8" t="str">
        <f ca="1">IFERROR(__xludf.DUMMYFUNCTION("""COMPUTED_VALUE"""),"Lunch")</f>
        <v>Lunch</v>
      </c>
      <c r="W2410" s="11">
        <f ca="1">IFERROR(__xludf.DUMMYFUNCTION("""COMPUTED_VALUE"""),0.53125)</f>
        <v>0.53125</v>
      </c>
      <c r="X2410" s="8">
        <f ca="1">IFERROR(__xludf.DUMMYFUNCTION("""COMPUTED_VALUE"""),1)</f>
        <v>1</v>
      </c>
      <c r="Y2410" s="12" t="str">
        <f ca="1">IFERROR(__xludf.DUMMYFUNCTION("""COMPUTED_VALUE"""),"Special education student shot outside school in drive by")</f>
        <v>Special education student shot outside school in drive by</v>
      </c>
      <c r="Z2410" s="12" t="str">
        <f ca="1">IFERROR(__xludf.DUMMYFUNCTION("""COMPUTED_VALUE"""),"Special education student was shot in the neck outside of the school during a drive by. Student ran to the principal's office where he died. Student was well liked and had no connections to gangs or issues with other students. No description of the shoote"&amp;"r or the vehicle.")</f>
        <v>Special education student was shot in the neck outside of the school during a drive by. Student ran to the principal's office where he died. Student was well liked and had no connections to gangs or issues with other students. No description of the shooter or the vehicle.</v>
      </c>
      <c r="AA2410" s="8" t="str">
        <f ca="1">IFERROR(__xludf.DUMMYFUNCTION("""COMPUTED_VALUE"""),"Drive-by Shooting")</f>
        <v>Drive-by Shooting</v>
      </c>
      <c r="AB2410" s="8"/>
      <c r="AC2410" s="8"/>
      <c r="AD2410" s="8"/>
      <c r="AE2410" s="8" t="str">
        <f ca="1">IFERROR(__xludf.DUMMYFUNCTION("""COMPUTED_VALUE"""),"Unknown")</f>
        <v>Unknown</v>
      </c>
      <c r="AF2410" s="8"/>
      <c r="AG2410" s="8" t="str">
        <f ca="1">IFERROR(__xludf.DUMMYFUNCTION("""COMPUTED_VALUE"""),"No")</f>
        <v>No</v>
      </c>
      <c r="AH2410" s="8" t="str">
        <f ca="1">IFERROR(__xludf.DUMMYFUNCTION("""COMPUTED_VALUE"""),"No")</f>
        <v>No</v>
      </c>
      <c r="AI2410" s="8" t="str">
        <f ca="1">IFERROR(__xludf.DUMMYFUNCTION("""COMPUTED_VALUE"""),"No")</f>
        <v>No</v>
      </c>
      <c r="AJ2410" s="8" t="str">
        <f ca="1">IFERROR(__xludf.DUMMYFUNCTION("""COMPUTED_VALUE"""),"No")</f>
        <v>No</v>
      </c>
      <c r="AK2410" s="8" t="str">
        <f ca="1">IFERROR(__xludf.DUMMYFUNCTION("""COMPUTED_VALUE"""),"No")</f>
        <v>No</v>
      </c>
      <c r="AL2410" s="8" t="str">
        <f ca="1">IFERROR(__xludf.DUMMYFUNCTION("""COMPUTED_VALUE"""),"Yes")</f>
        <v>Yes</v>
      </c>
      <c r="AM2410" s="8"/>
      <c r="AN2410" s="8"/>
      <c r="AO2410" s="8" t="str">
        <f ca="1">IFERROR(__xludf.DUMMYFUNCTION("""COMPUTED_VALUE"""),"No")</f>
        <v>No</v>
      </c>
      <c r="AP2410" s="8"/>
      <c r="AQ2410" s="8" t="str">
        <f ca="1">IFERROR(__xludf.DUMMYFUNCTION("""COMPUTED_VALUE"""),"Unknown")</f>
        <v>Unknown</v>
      </c>
      <c r="AR2410" s="8" t="str">
        <f ca="1">IFERROR(__xludf.DUMMYFUNCTION("""COMPUTED_VALUE"""),"NA")</f>
        <v>NA</v>
      </c>
      <c r="AS2410" s="8"/>
      <c r="AT2410" s="8"/>
      <c r="AU2410" s="8">
        <f ca="1">IFERROR(__xludf.DUMMYFUNCTION("""COMPUTED_VALUE"""),37.951943)</f>
        <v>37.951943</v>
      </c>
      <c r="AV2410" s="8">
        <f ca="1">IFERROR(__xludf.DUMMYFUNCTION("""COMPUTED_VALUE"""),-122.346405)</f>
        <v>-122.346405</v>
      </c>
      <c r="AW2410" s="8"/>
      <c r="AX2410" s="8">
        <f ca="1">IFERROR(__xludf.DUMMYFUNCTION("""COMPUTED_VALUE"""),94806)</f>
        <v>94806</v>
      </c>
    </row>
    <row r="2411" spans="1:50" ht="75" x14ac:dyDescent="0.2">
      <c r="A2411" s="8" t="str">
        <f ca="1">IFERROR(__xludf.DUMMYFUNCTION("""COMPUTED_VALUE"""),"20001201CAJUS")</f>
        <v>20001201CAJUS</v>
      </c>
      <c r="B2411" s="8">
        <f ca="1">IFERROR(__xludf.DUMMYFUNCTION("""COMPUTED_VALUE"""),12)</f>
        <v>12</v>
      </c>
      <c r="C2411" s="8">
        <f ca="1">IFERROR(__xludf.DUMMYFUNCTION("""COMPUTED_VALUE"""),1)</f>
        <v>1</v>
      </c>
      <c r="D2411" s="8">
        <f ca="1">IFERROR(__xludf.DUMMYFUNCTION("""COMPUTED_VALUE"""),2000)</f>
        <v>2000</v>
      </c>
      <c r="E2411" s="9">
        <f ca="1">IFERROR(__xludf.DUMMYFUNCTION("""COMPUTED_VALUE"""),36861)</f>
        <v>36861</v>
      </c>
      <c r="F2411" s="8" t="str">
        <f ca="1">IFERROR(__xludf.DUMMYFUNCTION("""COMPUTED_VALUE"""),"Junipero Serra High School")</f>
        <v>Junipero Serra High School</v>
      </c>
      <c r="G2411" s="8">
        <f ca="1">IFERROR(__xludf.DUMMYFUNCTION("""COMPUTED_VALUE"""),0)</f>
        <v>0</v>
      </c>
      <c r="H2411" s="8">
        <f ca="1">IFERROR(__xludf.DUMMYFUNCTION("""COMPUTED_VALUE"""),0)</f>
        <v>0</v>
      </c>
      <c r="I2411" s="8">
        <f ca="1">IFERROR(__xludf.DUMMYFUNCTION("""COMPUTED_VALUE"""),0)</f>
        <v>0</v>
      </c>
      <c r="J2411" s="8">
        <f ca="1">IFERROR(__xludf.DUMMYFUNCTION("""COMPUTED_VALUE"""),0)</f>
        <v>0</v>
      </c>
      <c r="K2411" s="10" t="str">
        <f ca="1">IFERROR(__xludf.DUMMYFUNCTION("""COMPUTED_VALUE"""),"http://www.berkeleydailyplanet.com/issue/2000-12-06/article/2518")</f>
        <v>http://www.berkeleydailyplanet.com/issue/2000-12-06/article/2518</v>
      </c>
      <c r="L2411" s="8"/>
      <c r="M2411" s="8"/>
      <c r="N2411" s="8">
        <f ca="1">IFERROR(__xludf.DUMMYFUNCTION("""COMPUTED_VALUE"""),2)</f>
        <v>2</v>
      </c>
      <c r="O2411" s="8" t="str">
        <f ca="1">IFERROR(__xludf.DUMMYFUNCTION("""COMPUTED_VALUE"""),"Winter")</f>
        <v>Winter</v>
      </c>
      <c r="P2411" s="8" t="str">
        <f ca="1">IFERROR(__xludf.DUMMYFUNCTION("""COMPUTED_VALUE"""),"San Diego")</f>
        <v>San Diego</v>
      </c>
      <c r="Q2411" s="8" t="str">
        <f ca="1">IFERROR(__xludf.DUMMYFUNCTION("""COMPUTED_VALUE"""),"CA")</f>
        <v>CA</v>
      </c>
      <c r="R2411" s="8" t="str">
        <f ca="1">IFERROR(__xludf.DUMMYFUNCTION("""COMPUTED_VALUE"""),"High")</f>
        <v>High</v>
      </c>
      <c r="S2411" s="8" t="str">
        <f ca="1">IFERROR(__xludf.DUMMYFUNCTION("""COMPUTED_VALUE"""),"Inside School Building")</f>
        <v>Inside School Building</v>
      </c>
      <c r="T2411" s="8" t="str">
        <f ca="1">IFERROR(__xludf.DUMMYFUNCTION("""COMPUTED_VALUE"""),"Inside School Building")</f>
        <v>Inside School Building</v>
      </c>
      <c r="U2411" s="8" t="str">
        <f ca="1">IFERROR(__xludf.DUMMYFUNCTION("""COMPUTED_VALUE"""),"Yes")</f>
        <v>Yes</v>
      </c>
      <c r="V2411" s="8" t="str">
        <f ca="1">IFERROR(__xludf.DUMMYFUNCTION("""COMPUTED_VALUE"""),"Unknown")</f>
        <v>Unknown</v>
      </c>
      <c r="W2411" s="8"/>
      <c r="X2411" s="8"/>
      <c r="Y2411" s="12" t="str">
        <f ca="1">IFERROR(__xludf.DUMMYFUNCTION("""COMPUTED_VALUE"""),"Accidental discharge, shot self showing off gun")</f>
        <v>Accidental discharge, shot self showing off gun</v>
      </c>
      <c r="Z2411" s="12" t="str">
        <f ca="1">IFERROR(__xludf.DUMMYFUNCTION("""COMPUTED_VALUE"""),"Shooter was carrying handgun in waistband and showed it to other students during the school day. Shooter said he was planning to shoot another student he had been in a fight with. Gun accidentally discharged injuring the shooter. He was arrested without i"&amp;"ncident.")</f>
        <v>Shooter was carrying handgun in waistband and showed it to other students during the school day. Shooter said he was planning to shoot another student he had been in a fight with. Gun accidentally discharged injuring the shooter. He was arrested without incident.</v>
      </c>
      <c r="AA2411" s="8" t="str">
        <f ca="1">IFERROR(__xludf.DUMMYFUNCTION("""COMPUTED_VALUE"""),"Accidental")</f>
        <v>Accidental</v>
      </c>
      <c r="AB2411" s="8"/>
      <c r="AC2411" s="8"/>
      <c r="AD2411" s="8" t="str">
        <f ca="1">IFERROR(__xludf.DUMMYFUNCTION("""COMPUTED_VALUE"""),"Victims Targeted")</f>
        <v>Victims Targeted</v>
      </c>
      <c r="AE2411" s="8"/>
      <c r="AF2411" s="8"/>
      <c r="AG2411" s="8" t="str">
        <f ca="1">IFERROR(__xludf.DUMMYFUNCTION("""COMPUTED_VALUE"""),"No")</f>
        <v>No</v>
      </c>
      <c r="AH2411" s="8" t="str">
        <f ca="1">IFERROR(__xludf.DUMMYFUNCTION("""COMPUTED_VALUE"""),"No")</f>
        <v>No</v>
      </c>
      <c r="AI2411" s="8" t="str">
        <f ca="1">IFERROR(__xludf.DUMMYFUNCTION("""COMPUTED_VALUE"""),"No")</f>
        <v>No</v>
      </c>
      <c r="AJ2411" s="8" t="str">
        <f ca="1">IFERROR(__xludf.DUMMYFUNCTION("""COMPUTED_VALUE"""),"No")</f>
        <v>No</v>
      </c>
      <c r="AK2411" s="8" t="str">
        <f ca="1">IFERROR(__xludf.DUMMYFUNCTION("""COMPUTED_VALUE"""),"No")</f>
        <v>No</v>
      </c>
      <c r="AL2411" s="8" t="str">
        <f ca="1">IFERROR(__xludf.DUMMYFUNCTION("""COMPUTED_VALUE"""),"No")</f>
        <v>No</v>
      </c>
      <c r="AM2411" s="8"/>
      <c r="AN2411" s="8"/>
      <c r="AO2411" s="8" t="str">
        <f ca="1">IFERROR(__xludf.DUMMYFUNCTION("""COMPUTED_VALUE"""),"No")</f>
        <v>No</v>
      </c>
      <c r="AP2411" s="8"/>
      <c r="AQ2411" s="8" t="str">
        <f ca="1">IFERROR(__xludf.DUMMYFUNCTION("""COMPUTED_VALUE"""),"Unknown")</f>
        <v>Unknown</v>
      </c>
      <c r="AR2411" s="8" t="str">
        <f ca="1">IFERROR(__xludf.DUMMYFUNCTION("""COMPUTED_VALUE"""),"NA")</f>
        <v>NA</v>
      </c>
      <c r="AS2411" s="8"/>
      <c r="AT2411" s="8"/>
      <c r="AU2411" s="8">
        <f ca="1">IFERROR(__xludf.DUMMYFUNCTION("""COMPUTED_VALUE"""),32.825564)</f>
        <v>32.825564</v>
      </c>
      <c r="AV2411" s="8">
        <f ca="1">IFERROR(__xludf.DUMMYFUNCTION("""COMPUTED_VALUE"""),-117.104891)</f>
        <v>-117.10489099999999</v>
      </c>
      <c r="AW2411" s="8"/>
      <c r="AX2411" s="8">
        <f ca="1">IFERROR(__xludf.DUMMYFUNCTION("""COMPUTED_VALUE"""),92124)</f>
        <v>92124</v>
      </c>
    </row>
    <row r="2412" spans="1:50" ht="105" x14ac:dyDescent="0.2">
      <c r="A2412" s="8" t="str">
        <f ca="1">IFERROR(__xludf.DUMMYFUNCTION("""COMPUTED_VALUE"""),"20001201CAGRL")</f>
        <v>20001201CAGRL</v>
      </c>
      <c r="B2412" s="8">
        <f ca="1">IFERROR(__xludf.DUMMYFUNCTION("""COMPUTED_VALUE"""),12)</f>
        <v>12</v>
      </c>
      <c r="C2412" s="8">
        <f ca="1">IFERROR(__xludf.DUMMYFUNCTION("""COMPUTED_VALUE"""),1)</f>
        <v>1</v>
      </c>
      <c r="D2412" s="8">
        <f ca="1">IFERROR(__xludf.DUMMYFUNCTION("""COMPUTED_VALUE"""),2000)</f>
        <v>2000</v>
      </c>
      <c r="E2412" s="9">
        <f ca="1">IFERROR(__xludf.DUMMYFUNCTION("""COMPUTED_VALUE"""),36861)</f>
        <v>36861</v>
      </c>
      <c r="F2412" s="8" t="str">
        <f ca="1">IFERROR(__xludf.DUMMYFUNCTION("""COMPUTED_VALUE"""),"Granada Hills High School")</f>
        <v>Granada Hills High School</v>
      </c>
      <c r="G2412" s="8">
        <f ca="1">IFERROR(__xludf.DUMMYFUNCTION("""COMPUTED_VALUE"""),0)</f>
        <v>0</v>
      </c>
      <c r="H2412" s="8">
        <f ca="1">IFERROR(__xludf.DUMMYFUNCTION("""COMPUTED_VALUE"""),0)</f>
        <v>0</v>
      </c>
      <c r="I2412" s="8">
        <f ca="1">IFERROR(__xludf.DUMMYFUNCTION("""COMPUTED_VALUE"""),0)</f>
        <v>0</v>
      </c>
      <c r="J2412" s="8">
        <f ca="1">IFERROR(__xludf.DUMMYFUNCTION("""COMPUTED_VALUE"""),1)</f>
        <v>1</v>
      </c>
      <c r="K2412" s="10" t="str">
        <f ca="1">IFERROR(__xludf.DUMMYFUNCTION("""COMPUTED_VALUE"""),"http://articles.latimes.com/2000/dec/02/local/me-60380")</f>
        <v>http://articles.latimes.com/2000/dec/02/local/me-60380</v>
      </c>
      <c r="L2412" s="8"/>
      <c r="M2412" s="8"/>
      <c r="N2412" s="8">
        <f ca="1">IFERROR(__xludf.DUMMYFUNCTION("""COMPUTED_VALUE"""),2)</f>
        <v>2</v>
      </c>
      <c r="O2412" s="8" t="str">
        <f ca="1">IFERROR(__xludf.DUMMYFUNCTION("""COMPUTED_VALUE"""),"Winter")</f>
        <v>Winter</v>
      </c>
      <c r="P2412" s="8" t="str">
        <f ca="1">IFERROR(__xludf.DUMMYFUNCTION("""COMPUTED_VALUE"""),"Los Angeles")</f>
        <v>Los Angeles</v>
      </c>
      <c r="Q2412" s="8" t="str">
        <f ca="1">IFERROR(__xludf.DUMMYFUNCTION("""COMPUTED_VALUE"""),"CA")</f>
        <v>CA</v>
      </c>
      <c r="R2412" s="8" t="str">
        <f ca="1">IFERROR(__xludf.DUMMYFUNCTION("""COMPUTED_VALUE"""),"High")</f>
        <v>High</v>
      </c>
      <c r="S2412" s="8" t="str">
        <f ca="1">IFERROR(__xludf.DUMMYFUNCTION("""COMPUTED_VALUE"""),"Parking Lot")</f>
        <v>Parking Lot</v>
      </c>
      <c r="T2412" s="8" t="str">
        <f ca="1">IFERROR(__xludf.DUMMYFUNCTION("""COMPUTED_VALUE"""),"Outside on School Property")</f>
        <v>Outside on School Property</v>
      </c>
      <c r="U2412" s="8" t="str">
        <f ca="1">IFERROR(__xludf.DUMMYFUNCTION("""COMPUTED_VALUE"""),"No")</f>
        <v>No</v>
      </c>
      <c r="V2412" s="8" t="str">
        <f ca="1">IFERROR(__xludf.DUMMYFUNCTION("""COMPUTED_VALUE"""),"Before School")</f>
        <v>Before School</v>
      </c>
      <c r="W2412" s="11">
        <f ca="1">IFERROR(__xludf.DUMMYFUNCTION("""COMPUTED_VALUE"""),0.291666666666666)</f>
        <v>0.29166666666666602</v>
      </c>
      <c r="X2412" s="8">
        <f ca="1">IFERROR(__xludf.DUMMYFUNCTION("""COMPUTED_VALUE"""),1)</f>
        <v>1</v>
      </c>
      <c r="Y2412" s="12" t="str">
        <f ca="1">IFERROR(__xludf.DUMMYFUNCTION("""COMPUTED_VALUE"""),"Setup camera and shot self in parking lot in front of school")</f>
        <v>Setup camera and shot self in parking lot in front of school</v>
      </c>
      <c r="Z2412" s="12" t="str">
        <f ca="1">IFERROR(__xludf.DUMMYFUNCTION("""COMPUTED_VALUE"""),"17YOM student setup camera in the parking lot in front of the school and then shot himself in the head. Multiple students witnessed the suicide occur. Shooter had told older students that he planned to kill himself but they did not take him seriously. Sho"&amp;"oter was into cinema and made short films. Students thought he was filming for a project prior to firing the gun.")</f>
        <v>17YOM student setup camera in the parking lot in front of the school and then shot himself in the head. Multiple students witnessed the suicide occur. Shooter had told older students that he planned to kill himself but they did not take him seriously. Shooter was into cinema and made short films. Students thought he was filming for a project prior to firing the gun.</v>
      </c>
      <c r="AA2412" s="8" t="str">
        <f ca="1">IFERROR(__xludf.DUMMYFUNCTION("""COMPUTED_VALUE"""),"Suicide/Attempted")</f>
        <v>Suicide/Attempted</v>
      </c>
      <c r="AB2412" s="8"/>
      <c r="AC2412" s="8"/>
      <c r="AD2412" s="8" t="str">
        <f ca="1">IFERROR(__xludf.DUMMYFUNCTION("""COMPUTED_VALUE"""),"Victims Targeted")</f>
        <v>Victims Targeted</v>
      </c>
      <c r="AE2412" s="8" t="str">
        <f ca="1">IFERROR(__xludf.DUMMYFUNCTION("""COMPUTED_VALUE"""),"No")</f>
        <v>No</v>
      </c>
      <c r="AF2412" s="8"/>
      <c r="AG2412" s="8" t="str">
        <f ca="1">IFERROR(__xludf.DUMMYFUNCTION("""COMPUTED_VALUE"""),"No")</f>
        <v>No</v>
      </c>
      <c r="AH2412" s="8" t="str">
        <f ca="1">IFERROR(__xludf.DUMMYFUNCTION("""COMPUTED_VALUE"""),"No")</f>
        <v>No</v>
      </c>
      <c r="AI2412" s="8" t="str">
        <f ca="1">IFERROR(__xludf.DUMMYFUNCTION("""COMPUTED_VALUE"""),"No")</f>
        <v>No</v>
      </c>
      <c r="AJ2412" s="8" t="str">
        <f ca="1">IFERROR(__xludf.DUMMYFUNCTION("""COMPUTED_VALUE"""),"No")</f>
        <v>No</v>
      </c>
      <c r="AK2412" s="8" t="str">
        <f ca="1">IFERROR(__xludf.DUMMYFUNCTION("""COMPUTED_VALUE"""),"No")</f>
        <v>No</v>
      </c>
      <c r="AL2412" s="8" t="str">
        <f ca="1">IFERROR(__xludf.DUMMYFUNCTION("""COMPUTED_VALUE"""),"No")</f>
        <v>No</v>
      </c>
      <c r="AM2412" s="8"/>
      <c r="AN2412" s="8"/>
      <c r="AO2412" s="8" t="str">
        <f ca="1">IFERROR(__xludf.DUMMYFUNCTION("""COMPUTED_VALUE"""),"No")</f>
        <v>No</v>
      </c>
      <c r="AP2412" s="8"/>
      <c r="AQ2412" s="8" t="str">
        <f ca="1">IFERROR(__xludf.DUMMYFUNCTION("""COMPUTED_VALUE"""),"Unknown")</f>
        <v>Unknown</v>
      </c>
      <c r="AR2412" s="8" t="str">
        <f ca="1">IFERROR(__xludf.DUMMYFUNCTION("""COMPUTED_VALUE"""),"NA")</f>
        <v>NA</v>
      </c>
      <c r="AS2412" s="8">
        <f ca="1">IFERROR(__xludf.DUMMYFUNCTION("""COMPUTED_VALUE"""),1)</f>
        <v>1</v>
      </c>
      <c r="AT2412" s="8"/>
      <c r="AU2412" s="8">
        <f ca="1">IFERROR(__xludf.DUMMYFUNCTION("""COMPUTED_VALUE"""),34.260867)</f>
        <v>34.260866999999998</v>
      </c>
      <c r="AV2412" s="8">
        <f ca="1">IFERROR(__xludf.DUMMYFUNCTION("""COMPUTED_VALUE"""),-118.525214)</f>
        <v>-118.52521400000001</v>
      </c>
      <c r="AW2412" s="8"/>
      <c r="AX2412" s="8">
        <f ca="1">IFERROR(__xludf.DUMMYFUNCTION("""COMPUTED_VALUE"""),91325)</f>
        <v>91325</v>
      </c>
    </row>
    <row r="2413" spans="1:50" ht="60" x14ac:dyDescent="0.2">
      <c r="A2413" s="8" t="str">
        <f ca="1">IFERROR(__xludf.DUMMYFUNCTION("""COMPUTED_VALUE"""),"20001101TXNEC")</f>
        <v>20001101TXNEC</v>
      </c>
      <c r="B2413" s="8">
        <f ca="1">IFERROR(__xludf.DUMMYFUNCTION("""COMPUTED_VALUE"""),11)</f>
        <v>11</v>
      </c>
      <c r="C2413" s="8">
        <f ca="1">IFERROR(__xludf.DUMMYFUNCTION("""COMPUTED_VALUE"""),1)</f>
        <v>1</v>
      </c>
      <c r="D2413" s="8">
        <f ca="1">IFERROR(__xludf.DUMMYFUNCTION("""COMPUTED_VALUE"""),2000)</f>
        <v>2000</v>
      </c>
      <c r="E2413" s="9">
        <f ca="1">IFERROR(__xludf.DUMMYFUNCTION("""COMPUTED_VALUE"""),36831)</f>
        <v>36831</v>
      </c>
      <c r="F2413" s="8" t="str">
        <f ca="1">IFERROR(__xludf.DUMMYFUNCTION("""COMPUTED_VALUE"""),"Newman Smith High School")</f>
        <v>Newman Smith High School</v>
      </c>
      <c r="G2413" s="8">
        <f ca="1">IFERROR(__xludf.DUMMYFUNCTION("""COMPUTED_VALUE"""),0)</f>
        <v>0</v>
      </c>
      <c r="H2413" s="8">
        <f ca="1">IFERROR(__xludf.DUMMYFUNCTION("""COMPUTED_VALUE"""),0)</f>
        <v>0</v>
      </c>
      <c r="I2413" s="8">
        <f ca="1">IFERROR(__xludf.DUMMYFUNCTION("""COMPUTED_VALUE"""),0)</f>
        <v>0</v>
      </c>
      <c r="J2413" s="8">
        <f ca="1">IFERROR(__xludf.DUMMYFUNCTION("""COMPUTED_VALUE"""),0)</f>
        <v>0</v>
      </c>
      <c r="K2413" s="10" t="str">
        <f ca="1">IFERROR(__xludf.DUMMYFUNCTION("""COMPUTED_VALUE"""),"https://www.deseretnews.com/article/791173/Student-takes-class-hostage.html")</f>
        <v>https://www.deseretnews.com/article/791173/Student-takes-class-hostage.html</v>
      </c>
      <c r="L2413" s="8"/>
      <c r="M2413" s="8"/>
      <c r="N2413" s="8">
        <f ca="1">IFERROR(__xludf.DUMMYFUNCTION("""COMPUTED_VALUE"""),2)</f>
        <v>2</v>
      </c>
      <c r="O2413" s="8" t="str">
        <f ca="1">IFERROR(__xludf.DUMMYFUNCTION("""COMPUTED_VALUE"""),"Fall")</f>
        <v>Fall</v>
      </c>
      <c r="P2413" s="8" t="str">
        <f ca="1">IFERROR(__xludf.DUMMYFUNCTION("""COMPUTED_VALUE"""),"Carrollton")</f>
        <v>Carrollton</v>
      </c>
      <c r="Q2413" s="8" t="str">
        <f ca="1">IFERROR(__xludf.DUMMYFUNCTION("""COMPUTED_VALUE"""),"TX")</f>
        <v>TX</v>
      </c>
      <c r="R2413" s="8" t="str">
        <f ca="1">IFERROR(__xludf.DUMMYFUNCTION("""COMPUTED_VALUE"""),"High")</f>
        <v>High</v>
      </c>
      <c r="S2413" s="8" t="str">
        <f ca="1">IFERROR(__xludf.DUMMYFUNCTION("""COMPUTED_VALUE"""),"Classroom")</f>
        <v>Classroom</v>
      </c>
      <c r="T2413" s="8" t="str">
        <f ca="1">IFERROR(__xludf.DUMMYFUNCTION("""COMPUTED_VALUE"""),"Inside School Building")</f>
        <v>Inside School Building</v>
      </c>
      <c r="U2413" s="8" t="str">
        <f ca="1">IFERROR(__xludf.DUMMYFUNCTION("""COMPUTED_VALUE"""),"Yes")</f>
        <v>Yes</v>
      </c>
      <c r="V2413" s="8" t="str">
        <f ca="1">IFERROR(__xludf.DUMMYFUNCTION("""COMPUTED_VALUE"""),"Morning Classes")</f>
        <v>Morning Classes</v>
      </c>
      <c r="W2413" s="11">
        <f ca="1">IFERROR(__xludf.DUMMYFUNCTION("""COMPUTED_VALUE"""),0.34375)</f>
        <v>0.34375</v>
      </c>
      <c r="X2413" s="8">
        <f ca="1">IFERROR(__xludf.DUMMYFUNCTION("""COMPUTED_VALUE"""),25)</f>
        <v>25</v>
      </c>
      <c r="Y2413" s="12" t="str">
        <f ca="1">IFERROR(__xludf.DUMMYFUNCTION("""COMPUTED_VALUE"""),"Held 19 students and teacher hostage for 30 minutes")</f>
        <v>Held 19 students and teacher hostage for 30 minutes</v>
      </c>
      <c r="Z2413" s="12" t="str">
        <f ca="1">IFERROR(__xludf.DUMMYFUNCTION("""COMPUTED_VALUE"""),"15YOM student held class hostage with 9mm handgun for 30 minutes before being subdued by police. Shooter was upset after being scolded by teacher and pulled gun out of backpack.")</f>
        <v>15YOM student held class hostage with 9mm handgun for 30 minutes before being subdued by police. Shooter was upset after being scolded by teacher and pulled gun out of backpack.</v>
      </c>
      <c r="AA2413" s="8" t="str">
        <f ca="1">IFERROR(__xludf.DUMMYFUNCTION("""COMPUTED_VALUE"""),"Hostage/Standoff")</f>
        <v>Hostage/Standoff</v>
      </c>
      <c r="AB2413" s="8"/>
      <c r="AC2413" s="8"/>
      <c r="AD2413" s="8"/>
      <c r="AE2413" s="8" t="str">
        <f ca="1">IFERROR(__xludf.DUMMYFUNCTION("""COMPUTED_VALUE"""),"No")</f>
        <v>No</v>
      </c>
      <c r="AF2413" s="8"/>
      <c r="AG2413" s="8" t="str">
        <f ca="1">IFERROR(__xludf.DUMMYFUNCTION("""COMPUTED_VALUE"""),"Yes")</f>
        <v>Yes</v>
      </c>
      <c r="AH2413" s="8" t="str">
        <f ca="1">IFERROR(__xludf.DUMMYFUNCTION("""COMPUTED_VALUE"""),"Yes")</f>
        <v>Yes</v>
      </c>
      <c r="AI2413" s="8" t="str">
        <f ca="1">IFERROR(__xludf.DUMMYFUNCTION("""COMPUTED_VALUE"""),"No")</f>
        <v>No</v>
      </c>
      <c r="AJ2413" s="8" t="str">
        <f ca="1">IFERROR(__xludf.DUMMYFUNCTION("""COMPUTED_VALUE"""),"No")</f>
        <v>No</v>
      </c>
      <c r="AK2413" s="8" t="str">
        <f ca="1">IFERROR(__xludf.DUMMYFUNCTION("""COMPUTED_VALUE"""),"No")</f>
        <v>No</v>
      </c>
      <c r="AL2413" s="8" t="str">
        <f ca="1">IFERROR(__xludf.DUMMYFUNCTION("""COMPUTED_VALUE"""),"No")</f>
        <v>No</v>
      </c>
      <c r="AM2413" s="8" t="str">
        <f ca="1">IFERROR(__xludf.DUMMYFUNCTION("""COMPUTED_VALUE"""),"Yes")</f>
        <v>Yes</v>
      </c>
      <c r="AN2413" s="8" t="str">
        <f ca="1">IFERROR(__xludf.DUMMYFUNCTION("""COMPUTED_VALUE"""),"Single Room")</f>
        <v>Single Room</v>
      </c>
      <c r="AO2413" s="8" t="str">
        <f ca="1">IFERROR(__xludf.DUMMYFUNCTION("""COMPUTED_VALUE"""),"No")</f>
        <v>No</v>
      </c>
      <c r="AP2413" s="8"/>
      <c r="AQ2413" s="8" t="str">
        <f ca="1">IFERROR(__xludf.DUMMYFUNCTION("""COMPUTED_VALUE"""),"Unknown")</f>
        <v>Unknown</v>
      </c>
      <c r="AR2413" s="8" t="str">
        <f ca="1">IFERROR(__xludf.DUMMYFUNCTION("""COMPUTED_VALUE"""),"NA")</f>
        <v>NA</v>
      </c>
      <c r="AS2413" s="8">
        <f ca="1">IFERROR(__xludf.DUMMYFUNCTION("""COMPUTED_VALUE"""),0)</f>
        <v>0</v>
      </c>
      <c r="AT2413" s="8"/>
      <c r="AU2413" s="8">
        <f ca="1">IFERROR(__xludf.DUMMYFUNCTION("""COMPUTED_VALUE"""),32.979584)</f>
        <v>32.979584000000003</v>
      </c>
      <c r="AV2413" s="8">
        <f ca="1">IFERROR(__xludf.DUMMYFUNCTION("""COMPUTED_VALUE"""),-96.891382)</f>
        <v>-96.891381999999993</v>
      </c>
      <c r="AW2413" s="8"/>
      <c r="AX2413" s="8">
        <f ca="1">IFERROR(__xludf.DUMMYFUNCTION("""COMPUTED_VALUE"""),75006)</f>
        <v>75006</v>
      </c>
    </row>
    <row r="2414" spans="1:50" ht="60" x14ac:dyDescent="0.2">
      <c r="A2414" s="8" t="str">
        <f ca="1">IFERROR(__xludf.DUMMYFUNCTION("""COMPUTED_VALUE"""),"20001024AZPIG")</f>
        <v>20001024AZPIG</v>
      </c>
      <c r="B2414" s="8">
        <f ca="1">IFERROR(__xludf.DUMMYFUNCTION("""COMPUTED_VALUE"""),10)</f>
        <v>10</v>
      </c>
      <c r="C2414" s="8">
        <f ca="1">IFERROR(__xludf.DUMMYFUNCTION("""COMPUTED_VALUE"""),24)</f>
        <v>24</v>
      </c>
      <c r="D2414" s="8">
        <f ca="1">IFERROR(__xludf.DUMMYFUNCTION("""COMPUTED_VALUE"""),2000)</f>
        <v>2000</v>
      </c>
      <c r="E2414" s="9">
        <f ca="1">IFERROR(__xludf.DUMMYFUNCTION("""COMPUTED_VALUE"""),36823)</f>
        <v>36823</v>
      </c>
      <c r="F2414" s="8" t="str">
        <f ca="1">IFERROR(__xludf.DUMMYFUNCTION("""COMPUTED_VALUE"""),"Pioneer Elementary School")</f>
        <v>Pioneer Elementary School</v>
      </c>
      <c r="G2414" s="8">
        <f ca="1">IFERROR(__xludf.DUMMYFUNCTION("""COMPUTED_VALUE"""),0)</f>
        <v>0</v>
      </c>
      <c r="H2414" s="8">
        <f ca="1">IFERROR(__xludf.DUMMYFUNCTION("""COMPUTED_VALUE"""),0)</f>
        <v>0</v>
      </c>
      <c r="I2414" s="8">
        <f ca="1">IFERROR(__xludf.DUMMYFUNCTION("""COMPUTED_VALUE"""),0)</f>
        <v>0</v>
      </c>
      <c r="J2414" s="8">
        <f ca="1">IFERROR(__xludf.DUMMYFUNCTION("""COMPUTED_VALUE"""),0)</f>
        <v>0</v>
      </c>
      <c r="K2414" s="10" t="str">
        <f ca="1">IFERROR(__xludf.DUMMYFUNCTION("""COMPUTED_VALUE"""),"http://tucsoncitizen.com/morgue2/2000/10/25/84611-teen-holds-class-teacher-hostage-at-his-former-glendale-school/")</f>
        <v>http://tucsoncitizen.com/morgue2/2000/10/25/84611-teen-holds-class-teacher-hostage-at-his-former-glendale-school/</v>
      </c>
      <c r="L2414" s="8"/>
      <c r="M2414" s="8"/>
      <c r="N2414" s="8">
        <f ca="1">IFERROR(__xludf.DUMMYFUNCTION("""COMPUTED_VALUE"""),2)</f>
        <v>2</v>
      </c>
      <c r="O2414" s="8" t="str">
        <f ca="1">IFERROR(__xludf.DUMMYFUNCTION("""COMPUTED_VALUE"""),"Fall")</f>
        <v>Fall</v>
      </c>
      <c r="P2414" s="8" t="str">
        <f ca="1">IFERROR(__xludf.DUMMYFUNCTION("""COMPUTED_VALUE"""),"Glendale")</f>
        <v>Glendale</v>
      </c>
      <c r="Q2414" s="8" t="str">
        <f ca="1">IFERROR(__xludf.DUMMYFUNCTION("""COMPUTED_VALUE"""),"AZ")</f>
        <v>AZ</v>
      </c>
      <c r="R2414" s="8" t="str">
        <f ca="1">IFERROR(__xludf.DUMMYFUNCTION("""COMPUTED_VALUE"""),"Elementary")</f>
        <v>Elementary</v>
      </c>
      <c r="S2414" s="8" t="str">
        <f ca="1">IFERROR(__xludf.DUMMYFUNCTION("""COMPUTED_VALUE"""),"Classroom")</f>
        <v>Classroom</v>
      </c>
      <c r="T2414" s="8" t="str">
        <f ca="1">IFERROR(__xludf.DUMMYFUNCTION("""COMPUTED_VALUE"""),"Inside School Building")</f>
        <v>Inside School Building</v>
      </c>
      <c r="U2414" s="8" t="str">
        <f ca="1">IFERROR(__xludf.DUMMYFUNCTION("""COMPUTED_VALUE"""),"Yes")</f>
        <v>Yes</v>
      </c>
      <c r="V2414" s="8" t="str">
        <f ca="1">IFERROR(__xludf.DUMMYFUNCTION("""COMPUTED_VALUE"""),"Morning Classes")</f>
        <v>Morning Classes</v>
      </c>
      <c r="W2414" s="11">
        <f ca="1">IFERROR(__xludf.DUMMYFUNCTION("""COMPUTED_VALUE"""),0.46875)</f>
        <v>0.46875</v>
      </c>
      <c r="X2414" s="8"/>
      <c r="Y2414" s="12" t="str">
        <f ca="1">IFERROR(__xludf.DUMMYFUNCTION("""COMPUTED_VALUE"""),"Held elementary school class hostage until surrendering")</f>
        <v>Held elementary school class hostage until surrendering</v>
      </c>
      <c r="Z2414" s="12" t="str">
        <f ca="1">IFERROR(__xludf.DUMMYFUNCTION("""COMPUTED_VALUE"""),"14YOM male former student dressed in camouflage held elementary school class hostage at gunpoint before releasing the students and then surrendering. Shooter was upset with his family.")</f>
        <v>14YOM male former student dressed in camouflage held elementary school class hostage at gunpoint before releasing the students and then surrendering. Shooter was upset with his family.</v>
      </c>
      <c r="AA2414" s="8" t="str">
        <f ca="1">IFERROR(__xludf.DUMMYFUNCTION("""COMPUTED_VALUE"""),"Hostage/Standoff")</f>
        <v>Hostage/Standoff</v>
      </c>
      <c r="AB2414" s="8"/>
      <c r="AC2414" s="8"/>
      <c r="AD2414" s="8" t="str">
        <f ca="1">IFERROR(__xludf.DUMMYFUNCTION("""COMPUTED_VALUE"""),"Random Shooting")</f>
        <v>Random Shooting</v>
      </c>
      <c r="AE2414" s="8" t="str">
        <f ca="1">IFERROR(__xludf.DUMMYFUNCTION("""COMPUTED_VALUE"""),"No")</f>
        <v>No</v>
      </c>
      <c r="AF2414" s="8"/>
      <c r="AG2414" s="8" t="str">
        <f ca="1">IFERROR(__xludf.DUMMYFUNCTION("""COMPUTED_VALUE"""),"Yes")</f>
        <v>Yes</v>
      </c>
      <c r="AH2414" s="8" t="str">
        <f ca="1">IFERROR(__xludf.DUMMYFUNCTION("""COMPUTED_VALUE"""),"No")</f>
        <v>No</v>
      </c>
      <c r="AI2414" s="8" t="str">
        <f ca="1">IFERROR(__xludf.DUMMYFUNCTION("""COMPUTED_VALUE"""),"No")</f>
        <v>No</v>
      </c>
      <c r="AJ2414" s="8" t="str">
        <f ca="1">IFERROR(__xludf.DUMMYFUNCTION("""COMPUTED_VALUE"""),"No")</f>
        <v>No</v>
      </c>
      <c r="AK2414" s="8" t="str">
        <f ca="1">IFERROR(__xludf.DUMMYFUNCTION("""COMPUTED_VALUE"""),"No")</f>
        <v>No</v>
      </c>
      <c r="AL2414" s="8" t="str">
        <f ca="1">IFERROR(__xludf.DUMMYFUNCTION("""COMPUTED_VALUE"""),"No")</f>
        <v>No</v>
      </c>
      <c r="AM2414" s="8" t="str">
        <f ca="1">IFERROR(__xludf.DUMMYFUNCTION("""COMPUTED_VALUE"""),"Yes")</f>
        <v>Yes</v>
      </c>
      <c r="AN2414" s="8" t="str">
        <f ca="1">IFERROR(__xludf.DUMMYFUNCTION("""COMPUTED_VALUE"""),"Single Room")</f>
        <v>Single Room</v>
      </c>
      <c r="AO2414" s="8" t="str">
        <f ca="1">IFERROR(__xludf.DUMMYFUNCTION("""COMPUTED_VALUE"""),"Yes")</f>
        <v>Yes</v>
      </c>
      <c r="AP2414" s="8"/>
      <c r="AQ2414" s="8" t="str">
        <f ca="1">IFERROR(__xludf.DUMMYFUNCTION("""COMPUTED_VALUE"""),"Unknown")</f>
        <v>Unknown</v>
      </c>
      <c r="AR2414" s="8" t="str">
        <f ca="1">IFERROR(__xludf.DUMMYFUNCTION("""COMPUTED_VALUE"""),"NA")</f>
        <v>NA</v>
      </c>
      <c r="AS2414" s="8">
        <f ca="1">IFERROR(__xludf.DUMMYFUNCTION("""COMPUTED_VALUE"""),0)</f>
        <v>0</v>
      </c>
      <c r="AT2414" s="8"/>
      <c r="AU2414" s="8">
        <f ca="1">IFERROR(__xludf.DUMMYFUNCTION("""COMPUTED_VALUE"""),33.619146)</f>
        <v>33.619146000000001</v>
      </c>
      <c r="AV2414" s="8">
        <f ca="1">IFERROR(__xludf.DUMMYFUNCTION("""COMPUTED_VALUE"""),-112.195838)</f>
        <v>-112.19583799999999</v>
      </c>
      <c r="AW2414" s="8"/>
      <c r="AX2414" s="8">
        <f ca="1">IFERROR(__xludf.DUMMYFUNCTION("""COMPUTED_VALUE"""),85306)</f>
        <v>85306</v>
      </c>
    </row>
    <row r="2415" spans="1:50" ht="75" x14ac:dyDescent="0.2">
      <c r="A2415" s="8" t="str">
        <f ca="1">IFERROR(__xludf.DUMMYFUNCTION("""COMPUTED_VALUE"""),"20001005MNMIM")</f>
        <v>20001005MNMIM</v>
      </c>
      <c r="B2415" s="8">
        <f ca="1">IFERROR(__xludf.DUMMYFUNCTION("""COMPUTED_VALUE"""),10)</f>
        <v>10</v>
      </c>
      <c r="C2415" s="8">
        <f ca="1">IFERROR(__xludf.DUMMYFUNCTION("""COMPUTED_VALUE"""),5)</f>
        <v>5</v>
      </c>
      <c r="D2415" s="8">
        <f ca="1">IFERROR(__xludf.DUMMYFUNCTION("""COMPUTED_VALUE"""),2000)</f>
        <v>2000</v>
      </c>
      <c r="E2415" s="9">
        <f ca="1">IFERROR(__xludf.DUMMYFUNCTION("""COMPUTED_VALUE"""),36804)</f>
        <v>36804</v>
      </c>
      <c r="F2415" s="8" t="str">
        <f ca="1">IFERROR(__xludf.DUMMYFUNCTION("""COMPUTED_VALUE"""),"Minneapolis North High School")</f>
        <v>Minneapolis North High School</v>
      </c>
      <c r="G2415" s="8">
        <f ca="1">IFERROR(__xludf.DUMMYFUNCTION("""COMPUTED_VALUE"""),0)</f>
        <v>0</v>
      </c>
      <c r="H2415" s="8">
        <f ca="1">IFERROR(__xludf.DUMMYFUNCTION("""COMPUTED_VALUE"""),2)</f>
        <v>2</v>
      </c>
      <c r="I2415" s="8">
        <f ca="1">IFERROR(__xludf.DUMMYFUNCTION("""COMPUTED_VALUE"""),2)</f>
        <v>2</v>
      </c>
      <c r="J2415" s="8">
        <f ca="1">IFERROR(__xludf.DUMMYFUNCTION("""COMPUTED_VALUE"""),0)</f>
        <v>0</v>
      </c>
      <c r="K2415" s="10" t="str">
        <f ca="1">IFERROR(__xludf.DUMMYFUNCTION("""COMPUTED_VALUE"""),"https://www.newspapers.com/image/195721847/?terms=shooting%2Bhomecoming%2BMinneapolis")</f>
        <v>https://www.newspapers.com/image/195721847/?terms=shooting%2Bhomecoming%2BMinneapolis</v>
      </c>
      <c r="L2415" s="8"/>
      <c r="M2415" s="8"/>
      <c r="N2415" s="8">
        <f ca="1">IFERROR(__xludf.DUMMYFUNCTION("""COMPUTED_VALUE"""),2)</f>
        <v>2</v>
      </c>
      <c r="O2415" s="8" t="str">
        <f ca="1">IFERROR(__xludf.DUMMYFUNCTION("""COMPUTED_VALUE"""),"Fall")</f>
        <v>Fall</v>
      </c>
      <c r="P2415" s="8" t="str">
        <f ca="1">IFERROR(__xludf.DUMMYFUNCTION("""COMPUTED_VALUE"""),"Minneapolis")</f>
        <v>Minneapolis</v>
      </c>
      <c r="Q2415" s="8" t="str">
        <f ca="1">IFERROR(__xludf.DUMMYFUNCTION("""COMPUTED_VALUE"""),"MN")</f>
        <v>MN</v>
      </c>
      <c r="R2415" s="8" t="str">
        <f ca="1">IFERROR(__xludf.DUMMYFUNCTION("""COMPUTED_VALUE"""),"High")</f>
        <v>High</v>
      </c>
      <c r="S2415" s="8" t="str">
        <f ca="1">IFERROR(__xludf.DUMMYFUNCTION("""COMPUTED_VALUE"""),"Beside Building")</f>
        <v>Beside Building</v>
      </c>
      <c r="T2415" s="8" t="str">
        <f ca="1">IFERROR(__xludf.DUMMYFUNCTION("""COMPUTED_VALUE"""),"Outside on School Property")</f>
        <v>Outside on School Property</v>
      </c>
      <c r="U2415" s="8" t="str">
        <f ca="1">IFERROR(__xludf.DUMMYFUNCTION("""COMPUTED_VALUE"""),"No")</f>
        <v>No</v>
      </c>
      <c r="V2415" s="8" t="str">
        <f ca="1">IFERROR(__xludf.DUMMYFUNCTION("""COMPUTED_VALUE"""),"Night")</f>
        <v>Night</v>
      </c>
      <c r="W2415" s="11">
        <f ca="1">IFERROR(__xludf.DUMMYFUNCTION("""COMPUTED_VALUE"""),0.958333333333333)</f>
        <v>0.95833333333333304</v>
      </c>
      <c r="X2415" s="8">
        <f ca="1">IFERROR(__xludf.DUMMYFUNCTION("""COMPUTED_VALUE"""),1)</f>
        <v>1</v>
      </c>
      <c r="Y2415" s="12" t="str">
        <f ca="1">IFERROR(__xludf.DUMMYFUNCTION("""COMPUTED_VALUE"""),"Two non-student shot outside school, likely gang related")</f>
        <v>Two non-student shot outside school, likely gang related</v>
      </c>
      <c r="Z2415" s="12" t="str">
        <f ca="1">IFERROR(__xludf.DUMMYFUNCTION("""COMPUTED_VALUE"""),"Two non-students were refused entry to the homecoming dance. When the dance was ending, they were shot outside of the school by an unknown shooter. 4 police officers were working at the dance. Police said the shooting was likely related to gang activity i"&amp;"n the area.")</f>
        <v>Two non-students were refused entry to the homecoming dance. When the dance was ending, they were shot outside of the school by an unknown shooter. 4 police officers were working at the dance. Police said the shooting was likely related to gang activity in the area.</v>
      </c>
      <c r="AA2415" s="8" t="str">
        <f ca="1">IFERROR(__xludf.DUMMYFUNCTION("""COMPUTED_VALUE"""),"Illegal Activity")</f>
        <v>Illegal Activity</v>
      </c>
      <c r="AB2415" s="8"/>
      <c r="AC2415" s="8"/>
      <c r="AD2415" s="8"/>
      <c r="AE2415" s="8" t="str">
        <f ca="1">IFERROR(__xludf.DUMMYFUNCTION("""COMPUTED_VALUE"""),"No")</f>
        <v>No</v>
      </c>
      <c r="AF2415" s="8"/>
      <c r="AG2415" s="8" t="str">
        <f ca="1">IFERROR(__xludf.DUMMYFUNCTION("""COMPUTED_VALUE"""),"No")</f>
        <v>No</v>
      </c>
      <c r="AH2415" s="8" t="str">
        <f ca="1">IFERROR(__xludf.DUMMYFUNCTION("""COMPUTED_VALUE"""),"No")</f>
        <v>No</v>
      </c>
      <c r="AI2415" s="8" t="str">
        <f ca="1">IFERROR(__xludf.DUMMYFUNCTION("""COMPUTED_VALUE"""),"No")</f>
        <v>No</v>
      </c>
      <c r="AJ2415" s="8" t="str">
        <f ca="1">IFERROR(__xludf.DUMMYFUNCTION("""COMPUTED_VALUE"""),"No")</f>
        <v>No</v>
      </c>
      <c r="AK2415" s="8" t="str">
        <f ca="1">IFERROR(__xludf.DUMMYFUNCTION("""COMPUTED_VALUE"""),"No")</f>
        <v>No</v>
      </c>
      <c r="AL2415" s="8" t="str">
        <f ca="1">IFERROR(__xludf.DUMMYFUNCTION("""COMPUTED_VALUE"""),"Yes")</f>
        <v>Yes</v>
      </c>
      <c r="AM2415" s="8"/>
      <c r="AN2415" s="8"/>
      <c r="AO2415" s="8" t="str">
        <f ca="1">IFERROR(__xludf.DUMMYFUNCTION("""COMPUTED_VALUE"""),"No")</f>
        <v>No</v>
      </c>
      <c r="AP2415" s="8"/>
      <c r="AQ2415" s="8" t="str">
        <f ca="1">IFERROR(__xludf.DUMMYFUNCTION("""COMPUTED_VALUE"""),"Unknown")</f>
        <v>Unknown</v>
      </c>
      <c r="AR2415" s="8" t="str">
        <f ca="1">IFERROR(__xludf.DUMMYFUNCTION("""COMPUTED_VALUE"""),"NA")</f>
        <v>NA</v>
      </c>
      <c r="AS2415" s="8"/>
      <c r="AT2415" s="8"/>
      <c r="AU2415" s="8">
        <f ca="1">IFERROR(__xludf.DUMMYFUNCTION("""COMPUTED_VALUE"""),44.994052)</f>
        <v>44.994052000000003</v>
      </c>
      <c r="AV2415" s="8">
        <f ca="1">IFERROR(__xludf.DUMMYFUNCTION("""COMPUTED_VALUE"""),-93.300067)</f>
        <v>-93.300066999999999</v>
      </c>
      <c r="AW2415" s="8"/>
      <c r="AX2415" s="8">
        <f ca="1">IFERROR(__xludf.DUMMYFUNCTION("""COMPUTED_VALUE"""),55411)</f>
        <v>55411</v>
      </c>
    </row>
    <row r="2416" spans="1:50" ht="90" x14ac:dyDescent="0.2">
      <c r="A2416" s="8" t="str">
        <f ca="1">IFERROR(__xludf.DUMMYFUNCTION("""COMPUTED_VALUE"""),"20000926LACAN")</f>
        <v>20000926LACAN</v>
      </c>
      <c r="B2416" s="8">
        <f ca="1">IFERROR(__xludf.DUMMYFUNCTION("""COMPUTED_VALUE"""),9)</f>
        <v>9</v>
      </c>
      <c r="C2416" s="8">
        <f ca="1">IFERROR(__xludf.DUMMYFUNCTION("""COMPUTED_VALUE"""),26)</f>
        <v>26</v>
      </c>
      <c r="D2416" s="8">
        <f ca="1">IFERROR(__xludf.DUMMYFUNCTION("""COMPUTED_VALUE"""),2000)</f>
        <v>2000</v>
      </c>
      <c r="E2416" s="9">
        <f ca="1">IFERROR(__xludf.DUMMYFUNCTION("""COMPUTED_VALUE"""),36795)</f>
        <v>36795</v>
      </c>
      <c r="F2416" s="8" t="str">
        <f ca="1">IFERROR(__xludf.DUMMYFUNCTION("""COMPUTED_VALUE"""),"Carter G. Woodson Middle School")</f>
        <v>Carter G. Woodson Middle School</v>
      </c>
      <c r="G2416" s="8">
        <f ca="1">IFERROR(__xludf.DUMMYFUNCTION("""COMPUTED_VALUE"""),0)</f>
        <v>0</v>
      </c>
      <c r="H2416" s="8">
        <f ca="1">IFERROR(__xludf.DUMMYFUNCTION("""COMPUTED_VALUE"""),2)</f>
        <v>2</v>
      </c>
      <c r="I2416" s="8">
        <f ca="1">IFERROR(__xludf.DUMMYFUNCTION("""COMPUTED_VALUE"""),2)</f>
        <v>2</v>
      </c>
      <c r="J2416" s="8">
        <f ca="1">IFERROR(__xludf.DUMMYFUNCTION("""COMPUTED_VALUE"""),0)</f>
        <v>0</v>
      </c>
      <c r="K2416" s="8" t="str">
        <f ca="1">IFERROR(__xludf.DUMMYFUNCTION("""COMPUTED_VALUE"""),"http://abcnews.go.com/US/story?id=95621&amp;page=1
https://www.newspapers.com/image/157256372/?terms=new%2Borleans%2Bstudents%2Bshoot%2Beach%2Bother%2Bwith%2Bsame%2Bgun   
https://www.newspapers.com/image/130845316/?terms=alfred%2Banderson")</f>
        <v>http://abcnews.go.com/US/story?id=95621&amp;page=1
https://www.newspapers.com/image/157256372/?terms=new%2Borleans%2Bstudents%2Bshoot%2Beach%2Bother%2Bwith%2Bsame%2Bgun   
https://www.newspapers.com/image/130845316/?terms=alfred%2Banderson</v>
      </c>
      <c r="L2416" s="8"/>
      <c r="M2416" s="8"/>
      <c r="N2416" s="8">
        <f ca="1">IFERROR(__xludf.DUMMYFUNCTION("""COMPUTED_VALUE"""),3)</f>
        <v>3</v>
      </c>
      <c r="O2416" s="8" t="str">
        <f ca="1">IFERROR(__xludf.DUMMYFUNCTION("""COMPUTED_VALUE"""),"Fall")</f>
        <v>Fall</v>
      </c>
      <c r="P2416" s="8" t="str">
        <f ca="1">IFERROR(__xludf.DUMMYFUNCTION("""COMPUTED_VALUE"""),"New Orleans")</f>
        <v>New Orleans</v>
      </c>
      <c r="Q2416" s="8" t="str">
        <f ca="1">IFERROR(__xludf.DUMMYFUNCTION("""COMPUTED_VALUE"""),"LA")</f>
        <v>LA</v>
      </c>
      <c r="R2416" s="8" t="str">
        <f ca="1">IFERROR(__xludf.DUMMYFUNCTION("""COMPUTED_VALUE"""),"Middle")</f>
        <v>Middle</v>
      </c>
      <c r="S2416" s="8" t="str">
        <f ca="1">IFERROR(__xludf.DUMMYFUNCTION("""COMPUTED_VALUE"""),"Field (General)")</f>
        <v>Field (General)</v>
      </c>
      <c r="T2416" s="8" t="str">
        <f ca="1">IFERROR(__xludf.DUMMYFUNCTION("""COMPUTED_VALUE"""),"Outside on School Property")</f>
        <v>Outside on School Property</v>
      </c>
      <c r="U2416" s="8" t="str">
        <f ca="1">IFERROR(__xludf.DUMMYFUNCTION("""COMPUTED_VALUE"""),"Yes")</f>
        <v>Yes</v>
      </c>
      <c r="V2416" s="8" t="str">
        <f ca="1">IFERROR(__xludf.DUMMYFUNCTION("""COMPUTED_VALUE"""),"Lunch")</f>
        <v>Lunch</v>
      </c>
      <c r="W2416" s="11">
        <f ca="1">IFERROR(__xludf.DUMMYFUNCTION("""COMPUTED_VALUE"""),0.5)</f>
        <v>0.5</v>
      </c>
      <c r="X2416" s="8">
        <f ca="1">IFERROR(__xludf.DUMMYFUNCTION("""COMPUTED_VALUE"""),1)</f>
        <v>1</v>
      </c>
      <c r="Y2416" s="12" t="str">
        <f ca="1">IFERROR(__xludf.DUMMYFUNCTION("""COMPUTED_VALUE"""),"Multiple prior fights between shooter and victim")</f>
        <v>Multiple prior fights between shooter and victim</v>
      </c>
      <c r="Z2416" s="12" t="str">
        <f ca="1">IFERROR(__xludf.DUMMYFUNCTION("""COMPUTED_VALUE"""),"Two students 13YOM and 15 YOM had been in multiple fights together. The 13 YO got a handgun from another 13 YO who was suspended. The school had metal detectors so they passed the gun through the fence. The 13 YO fired at the 15 YO. The 15 YO took the gun"&amp;" away and fired at the 13 YO. Both were critically injured.")</f>
        <v>Two students 13YOM and 15 YOM had been in multiple fights together. The 13 YO got a handgun from another 13 YO who was suspended. The school had metal detectors so they passed the gun through the fence. The 13 YO fired at the 15 YO. The 15 YO took the gun away and fired at the 13 YO. Both were critically injured.</v>
      </c>
      <c r="AA2416" s="8" t="str">
        <f ca="1">IFERROR(__xludf.DUMMYFUNCTION("""COMPUTED_VALUE"""),"Escalation of Dispute")</f>
        <v>Escalation of Dispute</v>
      </c>
      <c r="AB2416" s="8"/>
      <c r="AC2416" s="8"/>
      <c r="AD2416" s="8" t="str">
        <f ca="1">IFERROR(__xludf.DUMMYFUNCTION("""COMPUTED_VALUE"""),"Victims Targeted")</f>
        <v>Victims Targeted</v>
      </c>
      <c r="AE2416" s="8" t="str">
        <f ca="1">IFERROR(__xludf.DUMMYFUNCTION("""COMPUTED_VALUE"""),"Yes")</f>
        <v>Yes</v>
      </c>
      <c r="AF2416" s="8" t="str">
        <f ca="1">IFERROR(__xludf.DUMMYFUNCTION("""COMPUTED_VALUE"""),"13YOM who was expelled provided the gun")</f>
        <v>13YOM who was expelled provided the gun</v>
      </c>
      <c r="AG2416" s="8" t="str">
        <f ca="1">IFERROR(__xludf.DUMMYFUNCTION("""COMPUTED_VALUE"""),"No")</f>
        <v>No</v>
      </c>
      <c r="AH2416" s="8" t="str">
        <f ca="1">IFERROR(__xludf.DUMMYFUNCTION("""COMPUTED_VALUE"""),"No")</f>
        <v>No</v>
      </c>
      <c r="AI2416" s="8" t="str">
        <f ca="1">IFERROR(__xludf.DUMMYFUNCTION("""COMPUTED_VALUE"""),"No")</f>
        <v>No</v>
      </c>
      <c r="AJ2416" s="8" t="str">
        <f ca="1">IFERROR(__xludf.DUMMYFUNCTION("""COMPUTED_VALUE"""),"No")</f>
        <v>No</v>
      </c>
      <c r="AK2416" s="8" t="str">
        <f ca="1">IFERROR(__xludf.DUMMYFUNCTION("""COMPUTED_VALUE"""),"No")</f>
        <v>No</v>
      </c>
      <c r="AL2416" s="8" t="str">
        <f ca="1">IFERROR(__xludf.DUMMYFUNCTION("""COMPUTED_VALUE"""),"No")</f>
        <v>No</v>
      </c>
      <c r="AM2416" s="8"/>
      <c r="AN2416" s="8"/>
      <c r="AO2416" s="8" t="str">
        <f ca="1">IFERROR(__xludf.DUMMYFUNCTION("""COMPUTED_VALUE"""),"No")</f>
        <v>No</v>
      </c>
      <c r="AP2416" s="8" t="str">
        <f ca="1">IFERROR(__xludf.DUMMYFUNCTION("""COMPUTED_VALUE"""),"No")</f>
        <v>No</v>
      </c>
      <c r="AQ2416" s="8" t="str">
        <f ca="1">IFERROR(__xludf.DUMMYFUNCTION("""COMPUTED_VALUE"""),"Unknown")</f>
        <v>Unknown</v>
      </c>
      <c r="AR2416" s="8" t="str">
        <f ca="1">IFERROR(__xludf.DUMMYFUNCTION("""COMPUTED_VALUE"""),"NA")</f>
        <v>NA</v>
      </c>
      <c r="AS2416" s="8"/>
      <c r="AT2416" s="8"/>
      <c r="AU2416" s="8">
        <f ca="1">IFERROR(__xludf.DUMMYFUNCTION("""COMPUTED_VALUE"""),29.939431)</f>
        <v>29.939430999999999</v>
      </c>
      <c r="AV2416" s="8">
        <f ca="1">IFERROR(__xludf.DUMMYFUNCTION("""COMPUTED_VALUE"""),-90.091005)</f>
        <v>-90.091004999999996</v>
      </c>
      <c r="AW2416" s="8"/>
      <c r="AX2416" s="8">
        <f ca="1">IFERROR(__xludf.DUMMYFUNCTION("""COMPUTED_VALUE"""),70113)</f>
        <v>70113</v>
      </c>
    </row>
    <row r="2417" spans="1:50" ht="90" x14ac:dyDescent="0.2">
      <c r="A2417" s="8" t="str">
        <f ca="1">IFERROR(__xludf.DUMMYFUNCTION("""COMPUTED_VALUE"""),"20000918OHMOM")</f>
        <v>20000918OHMOM</v>
      </c>
      <c r="B2417" s="8">
        <f ca="1">IFERROR(__xludf.DUMMYFUNCTION("""COMPUTED_VALUE"""),9)</f>
        <v>9</v>
      </c>
      <c r="C2417" s="8">
        <f ca="1">IFERROR(__xludf.DUMMYFUNCTION("""COMPUTED_VALUE"""),18)</f>
        <v>18</v>
      </c>
      <c r="D2417" s="8">
        <f ca="1">IFERROR(__xludf.DUMMYFUNCTION("""COMPUTED_VALUE"""),2000)</f>
        <v>2000</v>
      </c>
      <c r="E2417" s="9">
        <f ca="1">IFERROR(__xludf.DUMMYFUNCTION("""COMPUTED_VALUE"""),36787)</f>
        <v>36787</v>
      </c>
      <c r="F2417" s="8" t="str">
        <f ca="1">IFERROR(__xludf.DUMMYFUNCTION("""COMPUTED_VALUE"""),"Mount Healthy North Junior High")</f>
        <v>Mount Healthy North Junior High</v>
      </c>
      <c r="G2417" s="8">
        <f ca="1">IFERROR(__xludf.DUMMYFUNCTION("""COMPUTED_VALUE"""),0)</f>
        <v>0</v>
      </c>
      <c r="H2417" s="8">
        <f ca="1">IFERROR(__xludf.DUMMYFUNCTION("""COMPUTED_VALUE"""),0)</f>
        <v>0</v>
      </c>
      <c r="I2417" s="8">
        <f ca="1">IFERROR(__xludf.DUMMYFUNCTION("""COMPUTED_VALUE"""),0)</f>
        <v>0</v>
      </c>
      <c r="J2417" s="8">
        <f ca="1">IFERROR(__xludf.DUMMYFUNCTION("""COMPUTED_VALUE"""),0)</f>
        <v>0</v>
      </c>
      <c r="K2417" s="10" t="str">
        <f ca="1">IFERROR(__xludf.DUMMYFUNCTION("""COMPUTED_VALUE"""),"https://www.newspapers.com/image/324100036/?terms=Mount%2BHealthy%2C%2BOhio%2Bschool%2Bgun")</f>
        <v>https://www.newspapers.com/image/324100036/?terms=Mount%2BHealthy%2C%2BOhio%2Bschool%2Bgun</v>
      </c>
      <c r="L2417" s="8"/>
      <c r="M2417" s="8"/>
      <c r="N2417" s="8">
        <f ca="1">IFERROR(__xludf.DUMMYFUNCTION("""COMPUTED_VALUE"""),2)</f>
        <v>2</v>
      </c>
      <c r="O2417" s="8" t="str">
        <f ca="1">IFERROR(__xludf.DUMMYFUNCTION("""COMPUTED_VALUE"""),"Fall")</f>
        <v>Fall</v>
      </c>
      <c r="P2417" s="8" t="str">
        <f ca="1">IFERROR(__xludf.DUMMYFUNCTION("""COMPUTED_VALUE"""),"Mount Healthy")</f>
        <v>Mount Healthy</v>
      </c>
      <c r="Q2417" s="8" t="str">
        <f ca="1">IFERROR(__xludf.DUMMYFUNCTION("""COMPUTED_VALUE"""),"OH")</f>
        <v>OH</v>
      </c>
      <c r="R2417" s="8" t="str">
        <f ca="1">IFERROR(__xludf.DUMMYFUNCTION("""COMPUTED_VALUE"""),"Junior High")</f>
        <v>Junior High</v>
      </c>
      <c r="S2417" s="8" t="str">
        <f ca="1">IFERROR(__xludf.DUMMYFUNCTION("""COMPUTED_VALUE"""),"Classroom")</f>
        <v>Classroom</v>
      </c>
      <c r="T2417" s="8" t="str">
        <f ca="1">IFERROR(__xludf.DUMMYFUNCTION("""COMPUTED_VALUE"""),"Inside School Building")</f>
        <v>Inside School Building</v>
      </c>
      <c r="U2417" s="8" t="str">
        <f ca="1">IFERROR(__xludf.DUMMYFUNCTION("""COMPUTED_VALUE"""),"Yes")</f>
        <v>Yes</v>
      </c>
      <c r="V2417" s="8"/>
      <c r="W2417" s="8"/>
      <c r="X2417" s="8">
        <f ca="1">IFERROR(__xludf.DUMMYFUNCTION("""COMPUTED_VALUE"""),25)</f>
        <v>25</v>
      </c>
      <c r="Y2417" s="12" t="str">
        <f ca="1">IFERROR(__xludf.DUMMYFUNCTION("""COMPUTED_VALUE"""),"Fired shot into classroom ceiling, surrendered gun to SRO after 25 minutes, motive unclear")</f>
        <v>Fired shot into classroom ceiling, surrendered gun to SRO after 25 minutes, motive unclear</v>
      </c>
      <c r="Z2417" s="12" t="str">
        <f ca="1">IFERROR(__xludf.DUMMYFUNCTION("""COMPUTED_VALUE"""),"14YOM fired shot into the ceiling of the classroom. He was upset about issues with his family. Surrendered the gun to the SRO after 25 minutes. No one was injured. Motive or plan is unknown.")</f>
        <v>14YOM fired shot into the ceiling of the classroom. He was upset about issues with his family. Surrendered the gun to the SRO after 25 minutes. No one was injured. Motive or plan is unknown.</v>
      </c>
      <c r="AA2417" s="8" t="str">
        <f ca="1">IFERROR(__xludf.DUMMYFUNCTION("""COMPUTED_VALUE"""),"Hostage/Standoff")</f>
        <v>Hostage/Standoff</v>
      </c>
      <c r="AB2417" s="8"/>
      <c r="AC2417" s="8"/>
      <c r="AD2417" s="8" t="str">
        <f ca="1">IFERROR(__xludf.DUMMYFUNCTION("""COMPUTED_VALUE"""),"Neither")</f>
        <v>Neither</v>
      </c>
      <c r="AE2417" s="8"/>
      <c r="AF2417" s="8"/>
      <c r="AG2417" s="8" t="str">
        <f ca="1">IFERROR(__xludf.DUMMYFUNCTION("""COMPUTED_VALUE"""),"No")</f>
        <v>No</v>
      </c>
      <c r="AH2417" s="8" t="str">
        <f ca="1">IFERROR(__xludf.DUMMYFUNCTION("""COMPUTED_VALUE"""),"No")</f>
        <v>No</v>
      </c>
      <c r="AI2417" s="8" t="str">
        <f ca="1">IFERROR(__xludf.DUMMYFUNCTION("""COMPUTED_VALUE"""),"No")</f>
        <v>No</v>
      </c>
      <c r="AJ2417" s="8" t="str">
        <f ca="1">IFERROR(__xludf.DUMMYFUNCTION("""COMPUTED_VALUE"""),"No")</f>
        <v>No</v>
      </c>
      <c r="AK2417" s="8" t="str">
        <f ca="1">IFERROR(__xludf.DUMMYFUNCTION("""COMPUTED_VALUE"""),"No")</f>
        <v>No</v>
      </c>
      <c r="AL2417" s="8" t="str">
        <f ca="1">IFERROR(__xludf.DUMMYFUNCTION("""COMPUTED_VALUE"""),"No")</f>
        <v>No</v>
      </c>
      <c r="AM2417" s="8" t="str">
        <f ca="1">IFERROR(__xludf.DUMMYFUNCTION("""COMPUTED_VALUE"""),"Yes")</f>
        <v>Yes</v>
      </c>
      <c r="AN2417" s="8" t="str">
        <f ca="1">IFERROR(__xludf.DUMMYFUNCTION("""COMPUTED_VALUE"""),"Single Room")</f>
        <v>Single Room</v>
      </c>
      <c r="AO2417" s="8" t="str">
        <f ca="1">IFERROR(__xludf.DUMMYFUNCTION("""COMPUTED_VALUE"""),"No")</f>
        <v>No</v>
      </c>
      <c r="AP2417" s="8" t="str">
        <f ca="1">IFERROR(__xludf.DUMMYFUNCTION("""COMPUTED_VALUE"""),"Yes")</f>
        <v>Yes</v>
      </c>
      <c r="AQ2417" s="8" t="str">
        <f ca="1">IFERROR(__xludf.DUMMYFUNCTION("""COMPUTED_VALUE"""),"Unknown")</f>
        <v>Unknown</v>
      </c>
      <c r="AR2417" s="8" t="str">
        <f ca="1">IFERROR(__xludf.DUMMYFUNCTION("""COMPUTED_VALUE"""),"NA")</f>
        <v>NA</v>
      </c>
      <c r="AS2417" s="8">
        <f ca="1">IFERROR(__xludf.DUMMYFUNCTION("""COMPUTED_VALUE"""),1)</f>
        <v>1</v>
      </c>
      <c r="AT2417" s="8"/>
      <c r="AU2417" s="8">
        <f ca="1">IFERROR(__xludf.DUMMYFUNCTION("""COMPUTED_VALUE"""),39.264936)</f>
        <v>39.264935999999999</v>
      </c>
      <c r="AV2417" s="8">
        <f ca="1">IFERROR(__xludf.DUMMYFUNCTION("""COMPUTED_VALUE"""),-84.561703)</f>
        <v>-84.561702999999994</v>
      </c>
      <c r="AW2417" s="8"/>
      <c r="AX2417" s="8">
        <f ca="1">IFERROR(__xludf.DUMMYFUNCTION("""COMPUTED_VALUE"""),45231)</f>
        <v>45231</v>
      </c>
    </row>
    <row r="2418" spans="1:50" ht="45" x14ac:dyDescent="0.2">
      <c r="A2418" s="8" t="str">
        <f ca="1">IFERROR(__xludf.DUMMYFUNCTION("""COMPUTED_VALUE"""),"20000907ILLOR")</f>
        <v>20000907ILLOR</v>
      </c>
      <c r="B2418" s="8">
        <f ca="1">IFERROR(__xludf.DUMMYFUNCTION("""COMPUTED_VALUE"""),9)</f>
        <v>9</v>
      </c>
      <c r="C2418" s="8">
        <f ca="1">IFERROR(__xludf.DUMMYFUNCTION("""COMPUTED_VALUE"""),7)</f>
        <v>7</v>
      </c>
      <c r="D2418" s="8">
        <f ca="1">IFERROR(__xludf.DUMMYFUNCTION("""COMPUTED_VALUE"""),2000)</f>
        <v>2000</v>
      </c>
      <c r="E2418" s="9">
        <f ca="1">IFERROR(__xludf.DUMMYFUNCTION("""COMPUTED_VALUE"""),36776)</f>
        <v>36776</v>
      </c>
      <c r="F2418" s="8" t="str">
        <f ca="1">IFERROR(__xludf.DUMMYFUNCTION("""COMPUTED_VALUE"""),"Longfellow Elementary School")</f>
        <v>Longfellow Elementary School</v>
      </c>
      <c r="G2418" s="8">
        <f ca="1">IFERROR(__xludf.DUMMYFUNCTION("""COMPUTED_VALUE"""),1)</f>
        <v>1</v>
      </c>
      <c r="H2418" s="8">
        <f ca="1">IFERROR(__xludf.DUMMYFUNCTION("""COMPUTED_VALUE"""),0)</f>
        <v>0</v>
      </c>
      <c r="I2418" s="8">
        <f ca="1">IFERROR(__xludf.DUMMYFUNCTION("""COMPUTED_VALUE"""),1)</f>
        <v>1</v>
      </c>
      <c r="J2418" s="8">
        <f ca="1">IFERROR(__xludf.DUMMYFUNCTION("""COMPUTED_VALUE"""),0)</f>
        <v>0</v>
      </c>
      <c r="K2418" s="8" t="str">
        <f ca="1">IFERROR(__xludf.DUMMYFUNCTION("""COMPUTED_VALUE"""),"https://qctimes.com/news/local/moline-man-found-guilty-in-ri-slaying/article_30961c01-7d6a-59dc-87db-9e72888bbe7a.html; https://www.newspapers.com/image/307889974/?terms=termaine%2Ba%2Bgilmore; https://www.newspapers.com/image/339216185/?terms=termaine%2B"&amp;"a%2Bgilmore; https://www.newspapers.com/image/340757935/?terms=termaine%2Ba%2Bgilmore")</f>
        <v>https://qctimes.com/news/local/moline-man-found-guilty-in-ri-slaying/article_30961c01-7d6a-59dc-87db-9e72888bbe7a.html; https://www.newspapers.com/image/307889974/?terms=termaine%2Ba%2Bgilmore; https://www.newspapers.com/image/339216185/?terms=termaine%2Ba%2Bgilmore; https://www.newspapers.com/image/340757935/?terms=termaine%2Ba%2Bgilmore</v>
      </c>
      <c r="L2418" s="8"/>
      <c r="M2418" s="8"/>
      <c r="N2418" s="8">
        <f ca="1">IFERROR(__xludf.DUMMYFUNCTION("""COMPUTED_VALUE"""),4)</f>
        <v>4</v>
      </c>
      <c r="O2418" s="8" t="str">
        <f ca="1">IFERROR(__xludf.DUMMYFUNCTION("""COMPUTED_VALUE"""),"Fall")</f>
        <v>Fall</v>
      </c>
      <c r="P2418" s="8" t="str">
        <f ca="1">IFERROR(__xludf.DUMMYFUNCTION("""COMPUTED_VALUE"""),"Rock Island")</f>
        <v>Rock Island</v>
      </c>
      <c r="Q2418" s="8" t="str">
        <f ca="1">IFERROR(__xludf.DUMMYFUNCTION("""COMPUTED_VALUE"""),"IL")</f>
        <v>IL</v>
      </c>
      <c r="R2418" s="8" t="str">
        <f ca="1">IFERROR(__xludf.DUMMYFUNCTION("""COMPUTED_VALUE"""),"Elementary")</f>
        <v>Elementary</v>
      </c>
      <c r="S2418" s="8" t="str">
        <f ca="1">IFERROR(__xludf.DUMMYFUNCTION("""COMPUTED_VALUE"""),"Parking Lot")</f>
        <v>Parking Lot</v>
      </c>
      <c r="T2418" s="8" t="str">
        <f ca="1">IFERROR(__xludf.DUMMYFUNCTION("""COMPUTED_VALUE"""),"Outside on School Property")</f>
        <v>Outside on School Property</v>
      </c>
      <c r="U2418" s="8" t="str">
        <f ca="1">IFERROR(__xludf.DUMMYFUNCTION("""COMPUTED_VALUE"""),"No")</f>
        <v>No</v>
      </c>
      <c r="V2418" s="8" t="str">
        <f ca="1">IFERROR(__xludf.DUMMYFUNCTION("""COMPUTED_VALUE"""),"Evening")</f>
        <v>Evening</v>
      </c>
      <c r="W2418" s="11">
        <f ca="1">IFERROR(__xludf.DUMMYFUNCTION("""COMPUTED_VALUE"""),0.790277777777777)</f>
        <v>0.79027777777777697</v>
      </c>
      <c r="X2418" s="8">
        <f ca="1">IFERROR(__xludf.DUMMYFUNCTION("""COMPUTED_VALUE"""),1)</f>
        <v>1</v>
      </c>
      <c r="Y2418" s="12" t="str">
        <f ca="1">IFERROR(__xludf.DUMMYFUNCTION("""COMPUTED_VALUE"""),"Robbery")</f>
        <v>Robbery</v>
      </c>
      <c r="Z2418" s="12" t="str">
        <f ca="1">IFERROR(__xludf.DUMMYFUNCTION("""COMPUTED_VALUE"""),"Shooter confronted victim in school parking lot over prior robbery. Shooter stated he only meant to rob victim, and the shooting was accidental.")</f>
        <v>Shooter confronted victim in school parking lot over prior robbery. Shooter stated he only meant to rob victim, and the shooting was accidental.</v>
      </c>
      <c r="AA2418" s="8" t="str">
        <f ca="1">IFERROR(__xludf.DUMMYFUNCTION("""COMPUTED_VALUE"""),"Illegal Activity")</f>
        <v>Illegal Activity</v>
      </c>
      <c r="AB2418" s="8"/>
      <c r="AC2418" s="8"/>
      <c r="AD2418" s="8" t="str">
        <f ca="1">IFERROR(__xludf.DUMMYFUNCTION("""COMPUTED_VALUE"""),"Victims Targeted")</f>
        <v>Victims Targeted</v>
      </c>
      <c r="AE2418" s="8" t="str">
        <f ca="1">IFERROR(__xludf.DUMMYFUNCTION("""COMPUTED_VALUE"""),"No")</f>
        <v>No</v>
      </c>
      <c r="AF2418" s="8"/>
      <c r="AG2418" s="8" t="str">
        <f ca="1">IFERROR(__xludf.DUMMYFUNCTION("""COMPUTED_VALUE"""),"No")</f>
        <v>No</v>
      </c>
      <c r="AH2418" s="8" t="str">
        <f ca="1">IFERROR(__xludf.DUMMYFUNCTION("""COMPUTED_VALUE"""),"No")</f>
        <v>No</v>
      </c>
      <c r="AI2418" s="8" t="str">
        <f ca="1">IFERROR(__xludf.DUMMYFUNCTION("""COMPUTED_VALUE"""),"No")</f>
        <v>No</v>
      </c>
      <c r="AJ2418" s="8" t="str">
        <f ca="1">IFERROR(__xludf.DUMMYFUNCTION("""COMPUTED_VALUE"""),"No")</f>
        <v>No</v>
      </c>
      <c r="AK2418" s="8" t="str">
        <f ca="1">IFERROR(__xludf.DUMMYFUNCTION("""COMPUTED_VALUE"""),"No")</f>
        <v>No</v>
      </c>
      <c r="AL2418" s="8" t="str">
        <f ca="1">IFERROR(__xludf.DUMMYFUNCTION("""COMPUTED_VALUE"""),"No")</f>
        <v>No</v>
      </c>
      <c r="AM2418" s="8" t="str">
        <f ca="1">IFERROR(__xludf.DUMMYFUNCTION("""COMPUTED_VALUE"""),"No")</f>
        <v>No</v>
      </c>
      <c r="AN2418" s="8"/>
      <c r="AO2418" s="8" t="str">
        <f ca="1">IFERROR(__xludf.DUMMYFUNCTION("""COMPUTED_VALUE"""),"No")</f>
        <v>No</v>
      </c>
      <c r="AP2418" s="8"/>
      <c r="AQ2418" s="8" t="str">
        <f ca="1">IFERROR(__xludf.DUMMYFUNCTION("""COMPUTED_VALUE"""),"Unknown")</f>
        <v>Unknown</v>
      </c>
      <c r="AR2418" s="8" t="str">
        <f ca="1">IFERROR(__xludf.DUMMYFUNCTION("""COMPUTED_VALUE"""),"NA")</f>
        <v>NA</v>
      </c>
      <c r="AS2418" s="8">
        <f ca="1">IFERROR(__xludf.DUMMYFUNCTION("""COMPUTED_VALUE"""),1)</f>
        <v>1</v>
      </c>
      <c r="AT2418" s="8"/>
      <c r="AU2418" s="8">
        <f ca="1">IFERROR(__xludf.DUMMYFUNCTION("""COMPUTED_VALUE"""),41.504171)</f>
        <v>41.504170999999999</v>
      </c>
      <c r="AV2418" s="8">
        <f ca="1">IFERROR(__xludf.DUMMYFUNCTION("""COMPUTED_VALUE"""),-90.543562)</f>
        <v>-90.543561999999994</v>
      </c>
      <c r="AW2418" s="8"/>
      <c r="AX2418" s="8">
        <f ca="1">IFERROR(__xludf.DUMMYFUNCTION("""COMPUTED_VALUE"""),61201)</f>
        <v>61201</v>
      </c>
    </row>
    <row r="2419" spans="1:50" ht="75" x14ac:dyDescent="0.2">
      <c r="A2419" s="8" t="str">
        <f ca="1">IFERROR(__xludf.DUMMYFUNCTION("""COMPUTED_VALUE"""),"20000905OHBIB")</f>
        <v>20000905OHBIB</v>
      </c>
      <c r="B2419" s="8">
        <f ca="1">IFERROR(__xludf.DUMMYFUNCTION("""COMPUTED_VALUE"""),9)</f>
        <v>9</v>
      </c>
      <c r="C2419" s="8">
        <f ca="1">IFERROR(__xludf.DUMMYFUNCTION("""COMPUTED_VALUE"""),5)</f>
        <v>5</v>
      </c>
      <c r="D2419" s="8">
        <f ca="1">IFERROR(__xludf.DUMMYFUNCTION("""COMPUTED_VALUE"""),2000)</f>
        <v>2000</v>
      </c>
      <c r="E2419" s="9">
        <f ca="1">IFERROR(__xludf.DUMMYFUNCTION("""COMPUTED_VALUE"""),36774)</f>
        <v>36774</v>
      </c>
      <c r="F2419" s="8" t="str">
        <f ca="1">IFERROR(__xludf.DUMMYFUNCTION("""COMPUTED_VALUE"""),"Bidwell Porter Elementary School")</f>
        <v>Bidwell Porter Elementary School</v>
      </c>
      <c r="G2419" s="8">
        <f ca="1">IFERROR(__xludf.DUMMYFUNCTION("""COMPUTED_VALUE"""),1)</f>
        <v>1</v>
      </c>
      <c r="H2419" s="8">
        <f ca="1">IFERROR(__xludf.DUMMYFUNCTION("""COMPUTED_VALUE"""),0)</f>
        <v>0</v>
      </c>
      <c r="I2419" s="8">
        <f ca="1">IFERROR(__xludf.DUMMYFUNCTION("""COMPUTED_VALUE"""),1)</f>
        <v>1</v>
      </c>
      <c r="J2419" s="8">
        <f ca="1">IFERROR(__xludf.DUMMYFUNCTION("""COMPUTED_VALUE"""),1)</f>
        <v>1</v>
      </c>
      <c r="K2419" s="8" t="str">
        <f ca="1">IFERROR(__xludf.DUMMYFUNCTION("""COMPUTED_VALUE"""),"https://www.cbsnews.com/news/school-cook-shot-killed-in-ohio/ https://abcnews.go.com/US/story?id=95885&amp;page=1")</f>
        <v>https://www.cbsnews.com/news/school-cook-shot-killed-in-ohio/ https://abcnews.go.com/US/story?id=95885&amp;page=1</v>
      </c>
      <c r="L2419" s="8"/>
      <c r="M2419" s="8"/>
      <c r="N2419" s="8">
        <f ca="1">IFERROR(__xludf.DUMMYFUNCTION("""COMPUTED_VALUE"""),3)</f>
        <v>3</v>
      </c>
      <c r="O2419" s="8" t="str">
        <f ca="1">IFERROR(__xludf.DUMMYFUNCTION("""COMPUTED_VALUE"""),"Fall")</f>
        <v>Fall</v>
      </c>
      <c r="P2419" s="8" t="str">
        <f ca="1">IFERROR(__xludf.DUMMYFUNCTION("""COMPUTED_VALUE"""),"Bidwell")</f>
        <v>Bidwell</v>
      </c>
      <c r="Q2419" s="8" t="str">
        <f ca="1">IFERROR(__xludf.DUMMYFUNCTION("""COMPUTED_VALUE"""),"OH")</f>
        <v>OH</v>
      </c>
      <c r="R2419" s="8" t="str">
        <f ca="1">IFERROR(__xludf.DUMMYFUNCTION("""COMPUTED_VALUE"""),"Elementary")</f>
        <v>Elementary</v>
      </c>
      <c r="S2419" s="8" t="str">
        <f ca="1">IFERROR(__xludf.DUMMYFUNCTION("""COMPUTED_VALUE"""),"Parking Lot")</f>
        <v>Parking Lot</v>
      </c>
      <c r="T2419" s="8" t="str">
        <f ca="1">IFERROR(__xludf.DUMMYFUNCTION("""COMPUTED_VALUE"""),"Outside on School Property")</f>
        <v>Outside on School Property</v>
      </c>
      <c r="U2419" s="8" t="str">
        <f ca="1">IFERROR(__xludf.DUMMYFUNCTION("""COMPUTED_VALUE"""),"No")</f>
        <v>No</v>
      </c>
      <c r="V2419" s="8" t="str">
        <f ca="1">IFERROR(__xludf.DUMMYFUNCTION("""COMPUTED_VALUE"""),"Before School")</f>
        <v>Before School</v>
      </c>
      <c r="W2419" s="11">
        <f ca="1">IFERROR(__xludf.DUMMYFUNCTION("""COMPUTED_VALUE"""),0.270833333333333)</f>
        <v>0.27083333333333298</v>
      </c>
      <c r="X2419" s="8">
        <f ca="1">IFERROR(__xludf.DUMMYFUNCTION("""COMPUTED_VALUE"""),1)</f>
        <v>1</v>
      </c>
      <c r="Y2419" s="12" t="str">
        <f ca="1">IFERROR(__xludf.DUMMYFUNCTION("""COMPUTED_VALUE"""),"Cafeteria worker shot by estranged husband, fled, later commit suicide at home")</f>
        <v>Cafeteria worker shot by estranged husband, fled, later commit suicide at home</v>
      </c>
      <c r="Z2419" s="12" t="str">
        <f ca="1">IFERROR(__xludf.DUMMYFUNCTION("""COMPUTED_VALUE"""),"66YOM shot his estranged wife in her car in the school parking lot before the school day. He fled and drove to his house where he commit suicide.")</f>
        <v>66YOM shot his estranged wife in her car in the school parking lot before the school day. He fled and drove to his house where he commit suicide.</v>
      </c>
      <c r="AA2419" s="8" t="str">
        <f ca="1">IFERROR(__xludf.DUMMYFUNCTION("""COMPUTED_VALUE"""),"Murder/Suicide")</f>
        <v>Murder/Suicide</v>
      </c>
      <c r="AB2419" s="8"/>
      <c r="AC2419" s="8"/>
      <c r="AD2419" s="8" t="str">
        <f ca="1">IFERROR(__xludf.DUMMYFUNCTION("""COMPUTED_VALUE"""),"Victims Targeted")</f>
        <v>Victims Targeted</v>
      </c>
      <c r="AE2419" s="8" t="str">
        <f ca="1">IFERROR(__xludf.DUMMYFUNCTION("""COMPUTED_VALUE"""),"No")</f>
        <v>No</v>
      </c>
      <c r="AF2419" s="8"/>
      <c r="AG2419" s="8" t="str">
        <f ca="1">IFERROR(__xludf.DUMMYFUNCTION("""COMPUTED_VALUE"""),"No")</f>
        <v>No</v>
      </c>
      <c r="AH2419" s="8" t="str">
        <f ca="1">IFERROR(__xludf.DUMMYFUNCTION("""COMPUTED_VALUE"""),"No")</f>
        <v>No</v>
      </c>
      <c r="AI2419" s="8" t="str">
        <f ca="1">IFERROR(__xludf.DUMMYFUNCTION("""COMPUTED_VALUE"""),"No")</f>
        <v>No</v>
      </c>
      <c r="AJ2419" s="8" t="str">
        <f ca="1">IFERROR(__xludf.DUMMYFUNCTION("""COMPUTED_VALUE"""),"No")</f>
        <v>No</v>
      </c>
      <c r="AK2419" s="8" t="str">
        <f ca="1">IFERROR(__xludf.DUMMYFUNCTION("""COMPUTED_VALUE"""),"Yes")</f>
        <v>Yes</v>
      </c>
      <c r="AL2419" s="8" t="str">
        <f ca="1">IFERROR(__xludf.DUMMYFUNCTION("""COMPUTED_VALUE"""),"No")</f>
        <v>No</v>
      </c>
      <c r="AM2419" s="8"/>
      <c r="AN2419" s="8"/>
      <c r="AO2419" s="8" t="str">
        <f ca="1">IFERROR(__xludf.DUMMYFUNCTION("""COMPUTED_VALUE"""),"No")</f>
        <v>No</v>
      </c>
      <c r="AP2419" s="8"/>
      <c r="AQ2419" s="8" t="str">
        <f ca="1">IFERROR(__xludf.DUMMYFUNCTION("""COMPUTED_VALUE"""),"Unknown")</f>
        <v>Unknown</v>
      </c>
      <c r="AR2419" s="8" t="str">
        <f ca="1">IFERROR(__xludf.DUMMYFUNCTION("""COMPUTED_VALUE"""),"NA")</f>
        <v>NA</v>
      </c>
      <c r="AS2419" s="8"/>
      <c r="AT2419" s="8"/>
      <c r="AU2419" s="8">
        <f ca="1">IFERROR(__xludf.DUMMYFUNCTION("""COMPUTED_VALUE"""),38.918152)</f>
        <v>38.918151999999999</v>
      </c>
      <c r="AV2419" s="8">
        <f ca="1">IFERROR(__xludf.DUMMYFUNCTION("""COMPUTED_VALUE"""),-82.282757)</f>
        <v>-82.282757000000004</v>
      </c>
      <c r="AW2419" s="8"/>
      <c r="AX2419" s="8">
        <f ca="1">IFERROR(__xludf.DUMMYFUNCTION("""COMPUTED_VALUE"""),45614)</f>
        <v>45614</v>
      </c>
    </row>
    <row r="2420" spans="1:50" ht="45" x14ac:dyDescent="0.2">
      <c r="A2420" s="8" t="str">
        <f ca="1">IFERROR(__xludf.DUMMYFUNCTION("""COMPUTED_VALUE"""),"20000726OHTIC")</f>
        <v>20000726OHTIC</v>
      </c>
      <c r="B2420" s="8">
        <f ca="1">IFERROR(__xludf.DUMMYFUNCTION("""COMPUTED_VALUE"""),7)</f>
        <v>7</v>
      </c>
      <c r="C2420" s="8">
        <f ca="1">IFERROR(__xludf.DUMMYFUNCTION("""COMPUTED_VALUE"""),26)</f>
        <v>26</v>
      </c>
      <c r="D2420" s="8">
        <f ca="1">IFERROR(__xludf.DUMMYFUNCTION("""COMPUTED_VALUE"""),2000)</f>
        <v>2000</v>
      </c>
      <c r="E2420" s="9">
        <f ca="1">IFERROR(__xludf.DUMMYFUNCTION("""COMPUTED_VALUE"""),36733)</f>
        <v>36733</v>
      </c>
      <c r="F2420" s="8" t="str">
        <f ca="1">IFERROR(__xludf.DUMMYFUNCTION("""COMPUTED_VALUE"""),"Timken Senior High School")</f>
        <v>Timken Senior High School</v>
      </c>
      <c r="G2420" s="8">
        <f ca="1">IFERROR(__xludf.DUMMYFUNCTION("""COMPUTED_VALUE"""),1)</f>
        <v>1</v>
      </c>
      <c r="H2420" s="8">
        <f ca="1">IFERROR(__xludf.DUMMYFUNCTION("""COMPUTED_VALUE"""),0)</f>
        <v>0</v>
      </c>
      <c r="I2420" s="8">
        <f ca="1">IFERROR(__xludf.DUMMYFUNCTION("""COMPUTED_VALUE"""),1)</f>
        <v>1</v>
      </c>
      <c r="J2420" s="8">
        <f ca="1">IFERROR(__xludf.DUMMYFUNCTION("""COMPUTED_VALUE"""),0)</f>
        <v>0</v>
      </c>
      <c r="K2420" s="10" t="str">
        <f ca="1">IFERROR(__xludf.DUMMYFUNCTION("""COMPUTED_VALUE"""),"http://enquirer.com/editions/2000/11/14/loc_driver_in_fatal.html")</f>
        <v>http://enquirer.com/editions/2000/11/14/loc_driver_in_fatal.html</v>
      </c>
      <c r="L2420" s="8"/>
      <c r="M2420" s="8"/>
      <c r="N2420" s="8">
        <f ca="1">IFERROR(__xludf.DUMMYFUNCTION("""COMPUTED_VALUE"""),2)</f>
        <v>2</v>
      </c>
      <c r="O2420" s="8" t="str">
        <f ca="1">IFERROR(__xludf.DUMMYFUNCTION("""COMPUTED_VALUE"""),"Summer")</f>
        <v>Summer</v>
      </c>
      <c r="P2420" s="8" t="str">
        <f ca="1">IFERROR(__xludf.DUMMYFUNCTION("""COMPUTED_VALUE"""),"Canton")</f>
        <v>Canton</v>
      </c>
      <c r="Q2420" s="8" t="str">
        <f ca="1">IFERROR(__xludf.DUMMYFUNCTION("""COMPUTED_VALUE"""),"OH")</f>
        <v>OH</v>
      </c>
      <c r="R2420" s="8" t="str">
        <f ca="1">IFERROR(__xludf.DUMMYFUNCTION("""COMPUTED_VALUE"""),"High")</f>
        <v>High</v>
      </c>
      <c r="S2420" s="8" t="str">
        <f ca="1">IFERROR(__xludf.DUMMYFUNCTION("""COMPUTED_VALUE"""),"Parking Lot")</f>
        <v>Parking Lot</v>
      </c>
      <c r="T2420" s="8" t="str">
        <f ca="1">IFERROR(__xludf.DUMMYFUNCTION("""COMPUTED_VALUE"""),"Outside on School Property")</f>
        <v>Outside on School Property</v>
      </c>
      <c r="U2420" s="8" t="str">
        <f ca="1">IFERROR(__xludf.DUMMYFUNCTION("""COMPUTED_VALUE"""),"Yes")</f>
        <v>Yes</v>
      </c>
      <c r="V2420" s="8" t="str">
        <f ca="1">IFERROR(__xludf.DUMMYFUNCTION("""COMPUTED_VALUE"""),"Dismissal")</f>
        <v>Dismissal</v>
      </c>
      <c r="W2420" s="8"/>
      <c r="X2420" s="8">
        <f ca="1">IFERROR(__xludf.DUMMYFUNCTION("""COMPUTED_VALUE"""),1)</f>
        <v>1</v>
      </c>
      <c r="Y2420" s="12" t="str">
        <f ca="1">IFERROR(__xludf.DUMMYFUNCTION("""COMPUTED_VALUE"""),"Ongoing feud with victim, shot him in parking lot of school")</f>
        <v>Ongoing feud with victim, shot him in parking lot of school</v>
      </c>
      <c r="Z2420" s="12" t="str">
        <f ca="1">IFERROR(__xludf.DUMMYFUNCTION("""COMPUTED_VALUE"""),"18YOM had ongoing conflict with 17YOM student. Shot him in parking lot when he knew he was leaving the school. 18YOM who drove him was also charged.")</f>
        <v>18YOM had ongoing conflict with 17YOM student. Shot him in parking lot when he knew he was leaving the school. 18YOM who drove him was also charged.</v>
      </c>
      <c r="AA2420" s="8" t="str">
        <f ca="1">IFERROR(__xludf.DUMMYFUNCTION("""COMPUTED_VALUE"""),"Escalation of Dispute")</f>
        <v>Escalation of Dispute</v>
      </c>
      <c r="AB2420" s="8"/>
      <c r="AC2420" s="8"/>
      <c r="AD2420" s="8" t="str">
        <f ca="1">IFERROR(__xludf.DUMMYFUNCTION("""COMPUTED_VALUE"""),"Victims Targeted")</f>
        <v>Victims Targeted</v>
      </c>
      <c r="AE2420" s="8" t="str">
        <f ca="1">IFERROR(__xludf.DUMMYFUNCTION("""COMPUTED_VALUE"""),"Yes")</f>
        <v>Yes</v>
      </c>
      <c r="AF2420" s="8" t="str">
        <f ca="1">IFERROR(__xludf.DUMMYFUNCTION("""COMPUTED_VALUE"""),"19YOM drove shooter to school and aided him fleeing")</f>
        <v>19YOM drove shooter to school and aided him fleeing</v>
      </c>
      <c r="AG2420" s="8" t="str">
        <f ca="1">IFERROR(__xludf.DUMMYFUNCTION("""COMPUTED_VALUE"""),"No")</f>
        <v>No</v>
      </c>
      <c r="AH2420" s="8" t="str">
        <f ca="1">IFERROR(__xludf.DUMMYFUNCTION("""COMPUTED_VALUE"""),"No")</f>
        <v>No</v>
      </c>
      <c r="AI2420" s="8" t="str">
        <f ca="1">IFERROR(__xludf.DUMMYFUNCTION("""COMPUTED_VALUE"""),"No")</f>
        <v>No</v>
      </c>
      <c r="AJ2420" s="8" t="str">
        <f ca="1">IFERROR(__xludf.DUMMYFUNCTION("""COMPUTED_VALUE"""),"No")</f>
        <v>No</v>
      </c>
      <c r="AK2420" s="8" t="str">
        <f ca="1">IFERROR(__xludf.DUMMYFUNCTION("""COMPUTED_VALUE"""),"No")</f>
        <v>No</v>
      </c>
      <c r="AL2420" s="8" t="str">
        <f ca="1">IFERROR(__xludf.DUMMYFUNCTION("""COMPUTED_VALUE"""),"No")</f>
        <v>No</v>
      </c>
      <c r="AM2420" s="8"/>
      <c r="AN2420" s="8"/>
      <c r="AO2420" s="8" t="str">
        <f ca="1">IFERROR(__xludf.DUMMYFUNCTION("""COMPUTED_VALUE"""),"No")</f>
        <v>No</v>
      </c>
      <c r="AP2420" s="8"/>
      <c r="AQ2420" s="8" t="str">
        <f ca="1">IFERROR(__xludf.DUMMYFUNCTION("""COMPUTED_VALUE"""),"Unknown")</f>
        <v>Unknown</v>
      </c>
      <c r="AR2420" s="8" t="str">
        <f ca="1">IFERROR(__xludf.DUMMYFUNCTION("""COMPUTED_VALUE"""),"NA")</f>
        <v>NA</v>
      </c>
      <c r="AS2420" s="8"/>
      <c r="AT2420" s="8"/>
      <c r="AU2420" s="8">
        <f ca="1">IFERROR(__xludf.DUMMYFUNCTION("""COMPUTED_VALUE"""),40.799681)</f>
        <v>40.799681</v>
      </c>
      <c r="AV2420" s="8">
        <f ca="1">IFERROR(__xludf.DUMMYFUNCTION("""COMPUTED_VALUE"""),-81.379006)</f>
        <v>-81.379006000000004</v>
      </c>
      <c r="AW2420" s="8"/>
      <c r="AX2420" s="8">
        <f ca="1">IFERROR(__xludf.DUMMYFUNCTION("""COMPUTED_VALUE"""),44708)</f>
        <v>44708</v>
      </c>
    </row>
    <row r="2421" spans="1:50" ht="135" x14ac:dyDescent="0.2">
      <c r="A2421" s="8" t="str">
        <f ca="1">IFERROR(__xludf.DUMMYFUNCTION("""COMPUTED_VALUE"""),"20000717WADIR")</f>
        <v>20000717WADIR</v>
      </c>
      <c r="B2421" s="8">
        <f ca="1">IFERROR(__xludf.DUMMYFUNCTION("""COMPUTED_VALUE"""),7)</f>
        <v>7</v>
      </c>
      <c r="C2421" s="8">
        <f ca="1">IFERROR(__xludf.DUMMYFUNCTION("""COMPUTED_VALUE"""),17)</f>
        <v>17</v>
      </c>
      <c r="D2421" s="8">
        <f ca="1">IFERROR(__xludf.DUMMYFUNCTION("""COMPUTED_VALUE"""),2000)</f>
        <v>2000</v>
      </c>
      <c r="E2421" s="9">
        <f ca="1">IFERROR(__xludf.DUMMYFUNCTION("""COMPUTED_VALUE"""),36724)</f>
        <v>36724</v>
      </c>
      <c r="F2421" s="8" t="str">
        <f ca="1">IFERROR(__xludf.DUMMYFUNCTION("""COMPUTED_VALUE"""),"Dimmitt Middle School")</f>
        <v>Dimmitt Middle School</v>
      </c>
      <c r="G2421" s="8">
        <f ca="1">IFERROR(__xludf.DUMMYFUNCTION("""COMPUTED_VALUE"""),0)</f>
        <v>0</v>
      </c>
      <c r="H2421" s="8">
        <f ca="1">IFERROR(__xludf.DUMMYFUNCTION("""COMPUTED_VALUE"""),0)</f>
        <v>0</v>
      </c>
      <c r="I2421" s="8">
        <f ca="1">IFERROR(__xludf.DUMMYFUNCTION("""COMPUTED_VALUE"""),0)</f>
        <v>0</v>
      </c>
      <c r="J2421" s="8">
        <f ca="1">IFERROR(__xludf.DUMMYFUNCTION("""COMPUTED_VALUE"""),0)</f>
        <v>0</v>
      </c>
      <c r="K2421" s="10" t="str">
        <f ca="1">IFERROR(__xludf.DUMMYFUNCTION("""COMPUTED_VALUE"""),"https://products.kitsapsun.com/archive/2000/10-19/0036_cafeteria__teen_pleads_guilty_to_.html")</f>
        <v>https://products.kitsapsun.com/archive/2000/10-19/0036_cafeteria__teen_pleads_guilty_to_.html</v>
      </c>
      <c r="L2421" s="8"/>
      <c r="M2421" s="8"/>
      <c r="N2421" s="8">
        <f ca="1">IFERROR(__xludf.DUMMYFUNCTION("""COMPUTED_VALUE"""),2)</f>
        <v>2</v>
      </c>
      <c r="O2421" s="8" t="str">
        <f ca="1">IFERROR(__xludf.DUMMYFUNCTION("""COMPUTED_VALUE"""),"Summer")</f>
        <v>Summer</v>
      </c>
      <c r="P2421" s="8" t="str">
        <f ca="1">IFERROR(__xludf.DUMMYFUNCTION("""COMPUTED_VALUE"""),"Renton")</f>
        <v>Renton</v>
      </c>
      <c r="Q2421" s="8" t="str">
        <f ca="1">IFERROR(__xludf.DUMMYFUNCTION("""COMPUTED_VALUE"""),"WA")</f>
        <v>WA</v>
      </c>
      <c r="R2421" s="8" t="str">
        <f ca="1">IFERROR(__xludf.DUMMYFUNCTION("""COMPUTED_VALUE"""),"Middle")</f>
        <v>Middle</v>
      </c>
      <c r="S2421" s="8" t="str">
        <f ca="1">IFERROR(__xludf.DUMMYFUNCTION("""COMPUTED_VALUE"""),"Cafeteria")</f>
        <v>Cafeteria</v>
      </c>
      <c r="T2421" s="8" t="str">
        <f ca="1">IFERROR(__xludf.DUMMYFUNCTION("""COMPUTED_VALUE"""),"Inside School Building")</f>
        <v>Inside School Building</v>
      </c>
      <c r="U2421" s="8" t="str">
        <f ca="1">IFERROR(__xludf.DUMMYFUNCTION("""COMPUTED_VALUE"""),"Yes")</f>
        <v>Yes</v>
      </c>
      <c r="V2421" s="8" t="str">
        <f ca="1">IFERROR(__xludf.DUMMYFUNCTION("""COMPUTED_VALUE"""),"Lunch")</f>
        <v>Lunch</v>
      </c>
      <c r="W2421" s="11">
        <f ca="1">IFERROR(__xludf.DUMMYFUNCTION("""COMPUTED_VALUE"""),0.4375)</f>
        <v>0.4375</v>
      </c>
      <c r="X2421" s="8">
        <f ca="1">IFERROR(__xludf.DUMMYFUNCTION("""COMPUTED_VALUE"""),1)</f>
        <v>1</v>
      </c>
      <c r="Y2421" s="12" t="str">
        <f ca="1">IFERROR(__xludf.DUMMYFUNCTION("""COMPUTED_VALUE"""),"Jumped on cafeteria table, fired one shot into ceiling, ordered students to go to the stage but they fled, then shooter fled")</f>
        <v>Jumped on cafeteria table, fired one shot into ceiling, ordered students to go to the stage but they fled, then shooter fled</v>
      </c>
      <c r="Z2421" s="12" t="str">
        <f ca="1">IFERROR(__xludf.DUMMYFUNCTION("""COMPUTED_VALUE"""),"13YOM got on cafeteria table and fired gun into the ceiling. Made prior warning to students that today was their last day at school. He ordered the students to get on the stage in the cafeteria (possible attempting to take hostages) but the students fled "&amp;"the area. Shooter then fled and was later arrested. Shooter had 116 round of ammunition and a knife. 12YOM student was also arrested. Possible copycat of the movie they had recently seen that involves hostages according to a relative.")</f>
        <v>13YOM got on cafeteria table and fired gun into the ceiling. Made prior warning to students that today was their last day at school. He ordered the students to get on the stage in the cafeteria (possible attempting to take hostages) but the students fled the area. Shooter then fled and was later arrested. Shooter had 116 round of ammunition and a knife. 12YOM student was also arrested. Possible copycat of the movie they had recently seen that involves hostages according to a relative.</v>
      </c>
      <c r="AA2421" s="8" t="str">
        <f ca="1">IFERROR(__xludf.DUMMYFUNCTION("""COMPUTED_VALUE"""),"Hostage/Standoff")</f>
        <v>Hostage/Standoff</v>
      </c>
      <c r="AB2421" s="8"/>
      <c r="AC2421" s="8" t="str">
        <f ca="1">IFERROR(__xludf.DUMMYFUNCTION("""COMPUTED_VALUE"""),"Yes")</f>
        <v>Yes</v>
      </c>
      <c r="AD2421" s="8" t="str">
        <f ca="1">IFERROR(__xludf.DUMMYFUNCTION("""COMPUTED_VALUE"""),"Neither")</f>
        <v>Neither</v>
      </c>
      <c r="AE2421" s="8" t="str">
        <f ca="1">IFERROR(__xludf.DUMMYFUNCTION("""COMPUTED_VALUE"""),"Yes")</f>
        <v>Yes</v>
      </c>
      <c r="AF2421" s="8" t="str">
        <f ca="1">IFERROR(__xludf.DUMMYFUNCTION("""COMPUTED_VALUE"""),"12YOM planned and practiced shooting")</f>
        <v>12YOM planned and practiced shooting</v>
      </c>
      <c r="AG2421" s="8" t="str">
        <f ca="1">IFERROR(__xludf.DUMMYFUNCTION("""COMPUTED_VALUE"""),"Yes")</f>
        <v>Yes</v>
      </c>
      <c r="AH2421" s="8" t="str">
        <f ca="1">IFERROR(__xludf.DUMMYFUNCTION("""COMPUTED_VALUE"""),"No")</f>
        <v>No</v>
      </c>
      <c r="AI2421" s="8" t="str">
        <f ca="1">IFERROR(__xludf.DUMMYFUNCTION("""COMPUTED_VALUE"""),"No")</f>
        <v>No</v>
      </c>
      <c r="AJ2421" s="8"/>
      <c r="AK2421" s="8" t="str">
        <f ca="1">IFERROR(__xludf.DUMMYFUNCTION("""COMPUTED_VALUE"""),"No")</f>
        <v>No</v>
      </c>
      <c r="AL2421" s="8" t="str">
        <f ca="1">IFERROR(__xludf.DUMMYFUNCTION("""COMPUTED_VALUE"""),"No")</f>
        <v>No</v>
      </c>
      <c r="AM2421" s="8" t="str">
        <f ca="1">IFERROR(__xludf.DUMMYFUNCTION("""COMPUTED_VALUE"""),"Yes")</f>
        <v>Yes</v>
      </c>
      <c r="AN2421" s="8" t="str">
        <f ca="1">IFERROR(__xludf.DUMMYFUNCTION("""COMPUTED_VALUE"""),"Single Room")</f>
        <v>Single Room</v>
      </c>
      <c r="AO2421" s="8" t="str">
        <f ca="1">IFERROR(__xludf.DUMMYFUNCTION("""COMPUTED_VALUE"""),"Yes")</f>
        <v>Yes</v>
      </c>
      <c r="AP2421" s="8" t="str">
        <f ca="1">IFERROR(__xludf.DUMMYFUNCTION("""COMPUTED_VALUE"""),"No")</f>
        <v>No</v>
      </c>
      <c r="AQ2421" s="8" t="str">
        <f ca="1">IFERROR(__xludf.DUMMYFUNCTION("""COMPUTED_VALUE"""),"Unknown")</f>
        <v>Unknown</v>
      </c>
      <c r="AR2421" s="8" t="str">
        <f ca="1">IFERROR(__xludf.DUMMYFUNCTION("""COMPUTED_VALUE"""),"NA")</f>
        <v>NA</v>
      </c>
      <c r="AS2421" s="8">
        <f ca="1">IFERROR(__xludf.DUMMYFUNCTION("""COMPUTED_VALUE"""),1)</f>
        <v>1</v>
      </c>
      <c r="AT2421" s="8"/>
      <c r="AU2421" s="8">
        <f ca="1">IFERROR(__xludf.DUMMYFUNCTION("""COMPUTED_VALUE"""),47.49186)</f>
        <v>47.491860000000003</v>
      </c>
      <c r="AV2421" s="8">
        <f ca="1">IFERROR(__xludf.DUMMYFUNCTION("""COMPUTED_VALUE"""),-122.231434)</f>
        <v>-122.23143399999999</v>
      </c>
      <c r="AW2421" s="8"/>
      <c r="AX2421" s="8">
        <f ca="1">IFERROR(__xludf.DUMMYFUNCTION("""COMPUTED_VALUE"""),98178)</f>
        <v>98178</v>
      </c>
    </row>
    <row r="2422" spans="1:50" ht="150" x14ac:dyDescent="0.2">
      <c r="A2422" s="8" t="str">
        <f ca="1">IFERROR(__xludf.DUMMYFUNCTION("""COMPUTED_VALUE"""),"20000526FLLAL")</f>
        <v>20000526FLLAL</v>
      </c>
      <c r="B2422" s="8">
        <f ca="1">IFERROR(__xludf.DUMMYFUNCTION("""COMPUTED_VALUE"""),5)</f>
        <v>5</v>
      </c>
      <c r="C2422" s="8">
        <f ca="1">IFERROR(__xludf.DUMMYFUNCTION("""COMPUTED_VALUE"""),26)</f>
        <v>26</v>
      </c>
      <c r="D2422" s="8">
        <f ca="1">IFERROR(__xludf.DUMMYFUNCTION("""COMPUTED_VALUE"""),2000)</f>
        <v>2000</v>
      </c>
      <c r="E2422" s="9">
        <f ca="1">IFERROR(__xludf.DUMMYFUNCTION("""COMPUTED_VALUE"""),36672)</f>
        <v>36672</v>
      </c>
      <c r="F2422" s="8" t="str">
        <f ca="1">IFERROR(__xludf.DUMMYFUNCTION("""COMPUTED_VALUE"""),"Lake Worth Middle School")</f>
        <v>Lake Worth Middle School</v>
      </c>
      <c r="G2422" s="8">
        <f ca="1">IFERROR(__xludf.DUMMYFUNCTION("""COMPUTED_VALUE"""),1)</f>
        <v>1</v>
      </c>
      <c r="H2422" s="8">
        <f ca="1">IFERROR(__xludf.DUMMYFUNCTION("""COMPUTED_VALUE"""),0)</f>
        <v>0</v>
      </c>
      <c r="I2422" s="8">
        <f ca="1">IFERROR(__xludf.DUMMYFUNCTION("""COMPUTED_VALUE"""),1)</f>
        <v>1</v>
      </c>
      <c r="J2422" s="8">
        <f ca="1">IFERROR(__xludf.DUMMYFUNCTION("""COMPUTED_VALUE"""),0)</f>
        <v>0</v>
      </c>
      <c r="K2422" s="10" t="str">
        <f ca="1">IFERROR(__xludf.DUMMYFUNCTION("""COMPUTED_VALUE"""),"https://www.palmbeachpost.com/news/crime--law/decade-after-lake-worth-middle-school-shooting-nathaniel-brazill-regretful-ambitious/EzBEbmEMvehutHQ5QXBFEM/ https://www.palmbeachpost.com/news/20200521/teen-teacher-gun-2000-school-shooting-staggered-palm-bea"&amp;"ch-county")</f>
        <v>https://www.palmbeachpost.com/news/crime--law/decade-after-lake-worth-middle-school-shooting-nathaniel-brazill-regretful-ambitious/EzBEbmEMvehutHQ5QXBFEM/ https://www.palmbeachpost.com/news/20200521/teen-teacher-gun-2000-school-shooting-staggered-palm-beach-county</v>
      </c>
      <c r="L2422" s="8"/>
      <c r="M2422" s="8"/>
      <c r="N2422" s="8">
        <f ca="1">IFERROR(__xludf.DUMMYFUNCTION("""COMPUTED_VALUE"""),5)</f>
        <v>5</v>
      </c>
      <c r="O2422" s="8" t="str">
        <f ca="1">IFERROR(__xludf.DUMMYFUNCTION("""COMPUTED_VALUE"""),"Spring")</f>
        <v>Spring</v>
      </c>
      <c r="P2422" s="8" t="str">
        <f ca="1">IFERROR(__xludf.DUMMYFUNCTION("""COMPUTED_VALUE"""),"Lake Worth")</f>
        <v>Lake Worth</v>
      </c>
      <c r="Q2422" s="8" t="str">
        <f ca="1">IFERROR(__xludf.DUMMYFUNCTION("""COMPUTED_VALUE"""),"FL")</f>
        <v>FL</v>
      </c>
      <c r="R2422" s="8" t="str">
        <f ca="1">IFERROR(__xludf.DUMMYFUNCTION("""COMPUTED_VALUE"""),"Middle")</f>
        <v>Middle</v>
      </c>
      <c r="S2422" s="8" t="str">
        <f ca="1">IFERROR(__xludf.DUMMYFUNCTION("""COMPUTED_VALUE"""),"Classroom")</f>
        <v>Classroom</v>
      </c>
      <c r="T2422" s="8" t="str">
        <f ca="1">IFERROR(__xludf.DUMMYFUNCTION("""COMPUTED_VALUE"""),"Inside School Building")</f>
        <v>Inside School Building</v>
      </c>
      <c r="U2422" s="8" t="str">
        <f ca="1">IFERROR(__xludf.DUMMYFUNCTION("""COMPUTED_VALUE"""),"Yes")</f>
        <v>Yes</v>
      </c>
      <c r="V2422" s="8" t="str">
        <f ca="1">IFERROR(__xludf.DUMMYFUNCTION("""COMPUTED_VALUE"""),"After School")</f>
        <v>After School</v>
      </c>
      <c r="W2422" s="11">
        <f ca="1">IFERROR(__xludf.DUMMYFUNCTION("""COMPUTED_VALUE"""),0.625)</f>
        <v>0.625</v>
      </c>
      <c r="X2422" s="8">
        <f ca="1">IFERROR(__xludf.DUMMYFUNCTION("""COMPUTED_VALUE"""),1)</f>
        <v>1</v>
      </c>
      <c r="Y2422" s="12" t="str">
        <f ca="1">IFERROR(__xludf.DUMMYFUNCTION("""COMPUTED_VALUE"""),"Teacher had given F on assignment (possibly throwing water balloons)")</f>
        <v>Teacher had given F on assignment (possibly throwing water balloons)</v>
      </c>
      <c r="Z2422" s="12" t="str">
        <f ca="1">IFERROR(__xludf.DUMMYFUNCTION("""COMPUTED_VALUE"""),"Shooter had received an F on an assignment and been suspended from school earlier that day for throwing a water balloon. Shooter got the gun after leaving the school and returned to the teachers classroom and fired multiple shots killing him. Shooter said"&amp;" it was a stupid decision that he made because he was angry. No history of violence or mental illness. Shooter was an honor student and completed an undergraduate degree while in prison. Shooter's family had frequent domestic issues and police responded t"&amp;"o multiple calls to the home.")</f>
        <v>Shooter had received an F on an assignment and been suspended from school earlier that day for throwing a water balloon. Shooter got the gun after leaving the school and returned to the teachers classroom and fired multiple shots killing him. Shooter said it was a stupid decision that he made because he was angry. No history of violence or mental illness. Shooter was an honor student and completed an undergraduate degree while in prison. Shooter's family had frequent domestic issues and police responded to multiple calls to the home.</v>
      </c>
      <c r="AA2422" s="8" t="str">
        <f ca="1">IFERROR(__xludf.DUMMYFUNCTION("""COMPUTED_VALUE"""),"Anger Over Grade/Suspension/Discipline")</f>
        <v>Anger Over Grade/Suspension/Discipline</v>
      </c>
      <c r="AB2422" s="8"/>
      <c r="AC2422" s="8"/>
      <c r="AD2422" s="8" t="str">
        <f ca="1">IFERROR(__xludf.DUMMYFUNCTION("""COMPUTED_VALUE"""),"Victims Targeted")</f>
        <v>Victims Targeted</v>
      </c>
      <c r="AE2422" s="8" t="str">
        <f ca="1">IFERROR(__xludf.DUMMYFUNCTION("""COMPUTED_VALUE"""),"No")</f>
        <v>No</v>
      </c>
      <c r="AF2422" s="8"/>
      <c r="AG2422" s="8" t="str">
        <f ca="1">IFERROR(__xludf.DUMMYFUNCTION("""COMPUTED_VALUE"""),"No")</f>
        <v>No</v>
      </c>
      <c r="AH2422" s="8" t="str">
        <f ca="1">IFERROR(__xludf.DUMMYFUNCTION("""COMPUTED_VALUE"""),"No")</f>
        <v>No</v>
      </c>
      <c r="AI2422" s="8" t="str">
        <f ca="1">IFERROR(__xludf.DUMMYFUNCTION("""COMPUTED_VALUE"""),"No")</f>
        <v>No</v>
      </c>
      <c r="AJ2422" s="8" t="str">
        <f ca="1">IFERROR(__xludf.DUMMYFUNCTION("""COMPUTED_VALUE"""),"No")</f>
        <v>No</v>
      </c>
      <c r="AK2422" s="8" t="str">
        <f ca="1">IFERROR(__xludf.DUMMYFUNCTION("""COMPUTED_VALUE"""),"No")</f>
        <v>No</v>
      </c>
      <c r="AL2422" s="8" t="str">
        <f ca="1">IFERROR(__xludf.DUMMYFUNCTION("""COMPUTED_VALUE"""),"No")</f>
        <v>No</v>
      </c>
      <c r="AM2422" s="8"/>
      <c r="AN2422" s="8"/>
      <c r="AO2422" s="8" t="str">
        <f ca="1">IFERROR(__xludf.DUMMYFUNCTION("""COMPUTED_VALUE"""),"No")</f>
        <v>No</v>
      </c>
      <c r="AP2422" s="8" t="str">
        <f ca="1">IFERROR(__xludf.DUMMYFUNCTION("""COMPUTED_VALUE"""),"No")</f>
        <v>No</v>
      </c>
      <c r="AQ2422" s="8" t="str">
        <f ca="1">IFERROR(__xludf.DUMMYFUNCTION("""COMPUTED_VALUE"""),"Unknown")</f>
        <v>Unknown</v>
      </c>
      <c r="AR2422" s="8" t="str">
        <f ca="1">IFERROR(__xludf.DUMMYFUNCTION("""COMPUTED_VALUE"""),"NA")</f>
        <v>NA</v>
      </c>
      <c r="AS2422" s="8">
        <f ca="1">IFERROR(__xludf.DUMMYFUNCTION("""COMPUTED_VALUE"""),2)</f>
        <v>2</v>
      </c>
      <c r="AT2422" s="8"/>
      <c r="AU2422" s="8">
        <f ca="1">IFERROR(__xludf.DUMMYFUNCTION("""COMPUTED_VALUE"""),26.632735)</f>
        <v>26.632735</v>
      </c>
      <c r="AV2422" s="8">
        <f ca="1">IFERROR(__xludf.DUMMYFUNCTION("""COMPUTED_VALUE"""),-80.070842)</f>
        <v>-80.070841999999999</v>
      </c>
      <c r="AW2422" s="8"/>
      <c r="AX2422" s="8">
        <f ca="1">IFERROR(__xludf.DUMMYFUNCTION("""COMPUTED_VALUE"""),33461)</f>
        <v>33461</v>
      </c>
    </row>
    <row r="2423" spans="1:50" ht="75" x14ac:dyDescent="0.2">
      <c r="A2423" s="8" t="str">
        <f ca="1">IFERROR(__xludf.DUMMYFUNCTION("""COMPUTED_VALUE"""),"20000510AZCAS")</f>
        <v>20000510AZCAS</v>
      </c>
      <c r="B2423" s="8">
        <f ca="1">IFERROR(__xludf.DUMMYFUNCTION("""COMPUTED_VALUE"""),5)</f>
        <v>5</v>
      </c>
      <c r="C2423" s="8">
        <f ca="1">IFERROR(__xludf.DUMMYFUNCTION("""COMPUTED_VALUE"""),10)</f>
        <v>10</v>
      </c>
      <c r="D2423" s="8">
        <f ca="1">IFERROR(__xludf.DUMMYFUNCTION("""COMPUTED_VALUE"""),2000)</f>
        <v>2000</v>
      </c>
      <c r="E2423" s="9">
        <f ca="1">IFERROR(__xludf.DUMMYFUNCTION("""COMPUTED_VALUE"""),36656)</f>
        <v>36656</v>
      </c>
      <c r="F2423" s="8" t="str">
        <f ca="1">IFERROR(__xludf.DUMMYFUNCTION("""COMPUTED_VALUE"""),"Carmichael Elementary School")</f>
        <v>Carmichael Elementary School</v>
      </c>
      <c r="G2423" s="8">
        <f ca="1">IFERROR(__xludf.DUMMYFUNCTION("""COMPUTED_VALUE"""),1)</f>
        <v>1</v>
      </c>
      <c r="H2423" s="8">
        <f ca="1">IFERROR(__xludf.DUMMYFUNCTION("""COMPUTED_VALUE"""),0)</f>
        <v>0</v>
      </c>
      <c r="I2423" s="8">
        <f ca="1">IFERROR(__xludf.DUMMYFUNCTION("""COMPUTED_VALUE"""),1)</f>
        <v>1</v>
      </c>
      <c r="J2423" s="8">
        <f ca="1">IFERROR(__xludf.DUMMYFUNCTION("""COMPUTED_VALUE"""),1)</f>
        <v>1</v>
      </c>
      <c r="K2423" s="10" t="str">
        <f ca="1">IFERROR(__xludf.DUMMYFUNCTION("""COMPUTED_VALUE"""),"http://tucsoncitizen.com/morgue2/2000/05/11/58653-sierra-vista-shootings-prompt-safety-review/")</f>
        <v>http://tucsoncitizen.com/morgue2/2000/05/11/58653-sierra-vista-shootings-prompt-safety-review/</v>
      </c>
      <c r="L2423" s="8"/>
      <c r="M2423" s="8"/>
      <c r="N2423" s="8">
        <f ca="1">IFERROR(__xludf.DUMMYFUNCTION("""COMPUTED_VALUE"""),2)</f>
        <v>2</v>
      </c>
      <c r="O2423" s="8" t="str">
        <f ca="1">IFERROR(__xludf.DUMMYFUNCTION("""COMPUTED_VALUE"""),"Spring")</f>
        <v>Spring</v>
      </c>
      <c r="P2423" s="8" t="str">
        <f ca="1">IFERROR(__xludf.DUMMYFUNCTION("""COMPUTED_VALUE"""),"Sierra Vista")</f>
        <v>Sierra Vista</v>
      </c>
      <c r="Q2423" s="8" t="str">
        <f ca="1">IFERROR(__xludf.DUMMYFUNCTION("""COMPUTED_VALUE"""),"AZ")</f>
        <v>AZ</v>
      </c>
      <c r="R2423" s="8" t="str">
        <f ca="1">IFERROR(__xludf.DUMMYFUNCTION("""COMPUTED_VALUE"""),"Elementary")</f>
        <v>Elementary</v>
      </c>
      <c r="S2423" s="8" t="str">
        <f ca="1">IFERROR(__xludf.DUMMYFUNCTION("""COMPUTED_VALUE"""),"Classroom")</f>
        <v>Classroom</v>
      </c>
      <c r="T2423" s="8" t="str">
        <f ca="1">IFERROR(__xludf.DUMMYFUNCTION("""COMPUTED_VALUE"""),"Inside School Building")</f>
        <v>Inside School Building</v>
      </c>
      <c r="U2423" s="8" t="str">
        <f ca="1">IFERROR(__xludf.DUMMYFUNCTION("""COMPUTED_VALUE"""),"Yes")</f>
        <v>Yes</v>
      </c>
      <c r="V2423" s="8" t="str">
        <f ca="1">IFERROR(__xludf.DUMMYFUNCTION("""COMPUTED_VALUE"""),"Afternoon Classes")</f>
        <v>Afternoon Classes</v>
      </c>
      <c r="W2423" s="11">
        <f ca="1">IFERROR(__xludf.DUMMYFUNCTION("""COMPUTED_VALUE"""),0.5625)</f>
        <v>0.5625</v>
      </c>
      <c r="X2423" s="8">
        <f ca="1">IFERROR(__xludf.DUMMYFUNCTION("""COMPUTED_VALUE"""),1)</f>
        <v>1</v>
      </c>
      <c r="Y2423" s="12" t="str">
        <f ca="1">IFERROR(__xludf.DUMMYFUNCTION("""COMPUTED_VALUE"""),"Killed estranged wife in preschool classroom, students were present")</f>
        <v>Killed estranged wife in preschool classroom, students were present</v>
      </c>
      <c r="Z2423" s="12" t="str">
        <f ca="1">IFERROR(__xludf.DUMMYFUNCTION("""COMPUTED_VALUE"""),"39YOM killed estranged wife at preschool. Shooter walked into classroom with a gun, struck wife, and forced her into bathroom where he shot her and shot himself. Preschool students were present in the classroom at the time of the shooting.")</f>
        <v>39YOM killed estranged wife at preschool. Shooter walked into classroom with a gun, struck wife, and forced her into bathroom where he shot her and shot himself. Preschool students were present in the classroom at the time of the shooting.</v>
      </c>
      <c r="AA2423" s="8" t="str">
        <f ca="1">IFERROR(__xludf.DUMMYFUNCTION("""COMPUTED_VALUE"""),"Murder/Suicide")</f>
        <v>Murder/Suicide</v>
      </c>
      <c r="AB2423" s="8"/>
      <c r="AC2423" s="8"/>
      <c r="AD2423" s="8" t="str">
        <f ca="1">IFERROR(__xludf.DUMMYFUNCTION("""COMPUTED_VALUE"""),"Victims Targeted")</f>
        <v>Victims Targeted</v>
      </c>
      <c r="AE2423" s="8" t="str">
        <f ca="1">IFERROR(__xludf.DUMMYFUNCTION("""COMPUTED_VALUE"""),"No")</f>
        <v>No</v>
      </c>
      <c r="AF2423" s="8"/>
      <c r="AG2423" s="8" t="str">
        <f ca="1">IFERROR(__xludf.DUMMYFUNCTION("""COMPUTED_VALUE"""),"No")</f>
        <v>No</v>
      </c>
      <c r="AH2423" s="8" t="str">
        <f ca="1">IFERROR(__xludf.DUMMYFUNCTION("""COMPUTED_VALUE"""),"No")</f>
        <v>No</v>
      </c>
      <c r="AI2423" s="8" t="str">
        <f ca="1">IFERROR(__xludf.DUMMYFUNCTION("""COMPUTED_VALUE"""),"No")</f>
        <v>No</v>
      </c>
      <c r="AJ2423" s="8" t="str">
        <f ca="1">IFERROR(__xludf.DUMMYFUNCTION("""COMPUTED_VALUE"""),"No")</f>
        <v>No</v>
      </c>
      <c r="AK2423" s="8" t="str">
        <f ca="1">IFERROR(__xludf.DUMMYFUNCTION("""COMPUTED_VALUE"""),"Yes")</f>
        <v>Yes</v>
      </c>
      <c r="AL2423" s="8" t="str">
        <f ca="1">IFERROR(__xludf.DUMMYFUNCTION("""COMPUTED_VALUE"""),"No")</f>
        <v>No</v>
      </c>
      <c r="AM2423" s="8"/>
      <c r="AN2423" s="8"/>
      <c r="AO2423" s="8" t="str">
        <f ca="1">IFERROR(__xludf.DUMMYFUNCTION("""COMPUTED_VALUE"""),"No")</f>
        <v>No</v>
      </c>
      <c r="AP2423" s="8" t="str">
        <f ca="1">IFERROR(__xludf.DUMMYFUNCTION("""COMPUTED_VALUE"""),"No")</f>
        <v>No</v>
      </c>
      <c r="AQ2423" s="8" t="str">
        <f ca="1">IFERROR(__xludf.DUMMYFUNCTION("""COMPUTED_VALUE"""),"Unknown")</f>
        <v>Unknown</v>
      </c>
      <c r="AR2423" s="8" t="str">
        <f ca="1">IFERROR(__xludf.DUMMYFUNCTION("""COMPUTED_VALUE"""),"NA")</f>
        <v>NA</v>
      </c>
      <c r="AS2423" s="8">
        <f ca="1">IFERROR(__xludf.DUMMYFUNCTION("""COMPUTED_VALUE"""),2)</f>
        <v>2</v>
      </c>
      <c r="AT2423" s="8"/>
      <c r="AU2423" s="8">
        <f ca="1">IFERROR(__xludf.DUMMYFUNCTION("""COMPUTED_VALUE"""),31.562389)</f>
        <v>31.562389</v>
      </c>
      <c r="AV2423" s="8">
        <f ca="1">IFERROR(__xludf.DUMMYFUNCTION("""COMPUTED_VALUE"""),-110.299365)</f>
        <v>-110.29936499999999</v>
      </c>
      <c r="AW2423" s="8"/>
      <c r="AX2423" s="8">
        <f ca="1">IFERROR(__xludf.DUMMYFUNCTION("""COMPUTED_VALUE"""),85636)</f>
        <v>85636</v>
      </c>
    </row>
    <row r="2424" spans="1:50" ht="30" x14ac:dyDescent="0.2">
      <c r="A2424" s="8" t="str">
        <f ca="1">IFERROR(__xludf.DUMMYFUNCTION("""COMPUTED_VALUE"""),"20000502COTHD")</f>
        <v>20000502COTHD</v>
      </c>
      <c r="B2424" s="8">
        <f ca="1">IFERROR(__xludf.DUMMYFUNCTION("""COMPUTED_VALUE"""),5)</f>
        <v>5</v>
      </c>
      <c r="C2424" s="8">
        <f ca="1">IFERROR(__xludf.DUMMYFUNCTION("""COMPUTED_VALUE"""),2)</f>
        <v>2</v>
      </c>
      <c r="D2424" s="8">
        <f ca="1">IFERROR(__xludf.DUMMYFUNCTION("""COMPUTED_VALUE"""),2000)</f>
        <v>2000</v>
      </c>
      <c r="E2424" s="9">
        <f ca="1">IFERROR(__xludf.DUMMYFUNCTION("""COMPUTED_VALUE"""),36648)</f>
        <v>36648</v>
      </c>
      <c r="F2424" s="8" t="str">
        <f ca="1">IFERROR(__xludf.DUMMYFUNCTION("""COMPUTED_VALUE"""),"Thomas Jefferson High School")</f>
        <v>Thomas Jefferson High School</v>
      </c>
      <c r="G2424" s="8">
        <f ca="1">IFERROR(__xludf.DUMMYFUNCTION("""COMPUTED_VALUE"""),0)</f>
        <v>0</v>
      </c>
      <c r="H2424" s="8">
        <f ca="1">IFERROR(__xludf.DUMMYFUNCTION("""COMPUTED_VALUE"""),0)</f>
        <v>0</v>
      </c>
      <c r="I2424" s="8">
        <f ca="1">IFERROR(__xludf.DUMMYFUNCTION("""COMPUTED_VALUE"""),0)</f>
        <v>0</v>
      </c>
      <c r="J2424" s="8">
        <f ca="1">IFERROR(__xludf.DUMMYFUNCTION("""COMPUTED_VALUE"""),0)</f>
        <v>0</v>
      </c>
      <c r="K2424" s="10" t="str">
        <f ca="1">IFERROR(__xludf.DUMMYFUNCTION("""COMPUTED_VALUE"""),"https://www.newspapers.com/image/340040843/?terms=high%2Bschool%2Bsuicide%2Bdenver")</f>
        <v>https://www.newspapers.com/image/340040843/?terms=high%2Bschool%2Bsuicide%2Bdenver</v>
      </c>
      <c r="L2424" s="8"/>
      <c r="M2424" s="8"/>
      <c r="N2424" s="8">
        <f ca="1">IFERROR(__xludf.DUMMYFUNCTION("""COMPUTED_VALUE"""),2)</f>
        <v>2</v>
      </c>
      <c r="O2424" s="8" t="str">
        <f ca="1">IFERROR(__xludf.DUMMYFUNCTION("""COMPUTED_VALUE"""),"Spring")</f>
        <v>Spring</v>
      </c>
      <c r="P2424" s="8" t="str">
        <f ca="1">IFERROR(__xludf.DUMMYFUNCTION("""COMPUTED_VALUE"""),"Denver")</f>
        <v>Denver</v>
      </c>
      <c r="Q2424" s="8" t="str">
        <f ca="1">IFERROR(__xludf.DUMMYFUNCTION("""COMPUTED_VALUE"""),"CO")</f>
        <v>CO</v>
      </c>
      <c r="R2424" s="8" t="str">
        <f ca="1">IFERROR(__xludf.DUMMYFUNCTION("""COMPUTED_VALUE"""),"High")</f>
        <v>High</v>
      </c>
      <c r="S2424" s="8" t="str">
        <f ca="1">IFERROR(__xludf.DUMMYFUNCTION("""COMPUTED_VALUE"""),"Parking Lot")</f>
        <v>Parking Lot</v>
      </c>
      <c r="T2424" s="8" t="str">
        <f ca="1">IFERROR(__xludf.DUMMYFUNCTION("""COMPUTED_VALUE"""),"Outside on School Property")</f>
        <v>Outside on School Property</v>
      </c>
      <c r="U2424" s="8" t="str">
        <f ca="1">IFERROR(__xludf.DUMMYFUNCTION("""COMPUTED_VALUE"""),"Yes")</f>
        <v>Yes</v>
      </c>
      <c r="V2424" s="8"/>
      <c r="W2424" s="8"/>
      <c r="X2424" s="8">
        <f ca="1">IFERROR(__xludf.DUMMYFUNCTION("""COMPUTED_VALUE"""),1)</f>
        <v>1</v>
      </c>
      <c r="Y2424" s="12" t="str">
        <f ca="1">IFERROR(__xludf.DUMMYFUNCTION("""COMPUTED_VALUE"""),"Shot self in parking lot")</f>
        <v>Shot self in parking lot</v>
      </c>
      <c r="Z2424" s="12" t="str">
        <f ca="1">IFERROR(__xludf.DUMMYFUNCTION("""COMPUTED_VALUE"""),"16YOM student shot himself in his car in the school parking lot. In critical condition.")</f>
        <v>16YOM student shot himself in his car in the school parking lot. In critical condition.</v>
      </c>
      <c r="AA2424" s="8" t="str">
        <f ca="1">IFERROR(__xludf.DUMMYFUNCTION("""COMPUTED_VALUE"""),"Murder/Suicide")</f>
        <v>Murder/Suicide</v>
      </c>
      <c r="AB2424" s="8"/>
      <c r="AC2424" s="8"/>
      <c r="AD2424" s="8" t="str">
        <f ca="1">IFERROR(__xludf.DUMMYFUNCTION("""COMPUTED_VALUE"""),"Victims Targeted")</f>
        <v>Victims Targeted</v>
      </c>
      <c r="AE2424" s="8" t="str">
        <f ca="1">IFERROR(__xludf.DUMMYFUNCTION("""COMPUTED_VALUE"""),"No")</f>
        <v>No</v>
      </c>
      <c r="AF2424" s="8"/>
      <c r="AG2424" s="8" t="str">
        <f ca="1">IFERROR(__xludf.DUMMYFUNCTION("""COMPUTED_VALUE"""),"No")</f>
        <v>No</v>
      </c>
      <c r="AH2424" s="8" t="str">
        <f ca="1">IFERROR(__xludf.DUMMYFUNCTION("""COMPUTED_VALUE"""),"No")</f>
        <v>No</v>
      </c>
      <c r="AI2424" s="8" t="str">
        <f ca="1">IFERROR(__xludf.DUMMYFUNCTION("""COMPUTED_VALUE"""),"No")</f>
        <v>No</v>
      </c>
      <c r="AJ2424" s="8" t="str">
        <f ca="1">IFERROR(__xludf.DUMMYFUNCTION("""COMPUTED_VALUE"""),"No")</f>
        <v>No</v>
      </c>
      <c r="AK2424" s="8" t="str">
        <f ca="1">IFERROR(__xludf.DUMMYFUNCTION("""COMPUTED_VALUE"""),"No")</f>
        <v>No</v>
      </c>
      <c r="AL2424" s="8" t="str">
        <f ca="1">IFERROR(__xludf.DUMMYFUNCTION("""COMPUTED_VALUE"""),"No")</f>
        <v>No</v>
      </c>
      <c r="AM2424" s="8"/>
      <c r="AN2424" s="8"/>
      <c r="AO2424" s="8" t="str">
        <f ca="1">IFERROR(__xludf.DUMMYFUNCTION("""COMPUTED_VALUE"""),"No")</f>
        <v>No</v>
      </c>
      <c r="AP2424" s="8"/>
      <c r="AQ2424" s="8" t="str">
        <f ca="1">IFERROR(__xludf.DUMMYFUNCTION("""COMPUTED_VALUE"""),"Unknown")</f>
        <v>Unknown</v>
      </c>
      <c r="AR2424" s="8" t="str">
        <f ca="1">IFERROR(__xludf.DUMMYFUNCTION("""COMPUTED_VALUE"""),"NA")</f>
        <v>NA</v>
      </c>
      <c r="AS2424" s="8"/>
      <c r="AT2424" s="8"/>
      <c r="AU2424" s="8">
        <f ca="1">IFERROR(__xludf.DUMMYFUNCTION("""COMPUTED_VALUE"""),39.646767)</f>
        <v>39.646766999999997</v>
      </c>
      <c r="AV2424" s="8">
        <f ca="1">IFERROR(__xludf.DUMMYFUNCTION("""COMPUTED_VALUE"""),-104.921424)</f>
        <v>-104.921424</v>
      </c>
      <c r="AW2424" s="8"/>
      <c r="AX2424" s="8">
        <f ca="1">IFERROR(__xludf.DUMMYFUNCTION("""COMPUTED_VALUE"""),80237)</f>
        <v>80237</v>
      </c>
    </row>
    <row r="2425" spans="1:50" ht="75" x14ac:dyDescent="0.2">
      <c r="A2425" s="8" t="str">
        <f ca="1">IFERROR(__xludf.DUMMYFUNCTION("""COMPUTED_VALUE"""),"20000410AZLAT")</f>
        <v>20000410AZLAT</v>
      </c>
      <c r="B2425" s="8">
        <f ca="1">IFERROR(__xludf.DUMMYFUNCTION("""COMPUTED_VALUE"""),4)</f>
        <v>4</v>
      </c>
      <c r="C2425" s="8">
        <f ca="1">IFERROR(__xludf.DUMMYFUNCTION("""COMPUTED_VALUE"""),10)</f>
        <v>10</v>
      </c>
      <c r="D2425" s="8">
        <f ca="1">IFERROR(__xludf.DUMMYFUNCTION("""COMPUTED_VALUE"""),2000)</f>
        <v>2000</v>
      </c>
      <c r="E2425" s="9">
        <f ca="1">IFERROR(__xludf.DUMMYFUNCTION("""COMPUTED_VALUE"""),36626)</f>
        <v>36626</v>
      </c>
      <c r="F2425" s="8" t="str">
        <f ca="1">IFERROR(__xludf.DUMMYFUNCTION("""COMPUTED_VALUE"""),"La Cima Middle School")</f>
        <v>La Cima Middle School</v>
      </c>
      <c r="G2425" s="8">
        <f ca="1">IFERROR(__xludf.DUMMYFUNCTION("""COMPUTED_VALUE"""),0)</f>
        <v>0</v>
      </c>
      <c r="H2425" s="8">
        <f ca="1">IFERROR(__xludf.DUMMYFUNCTION("""COMPUTED_VALUE"""),0)</f>
        <v>0</v>
      </c>
      <c r="I2425" s="8">
        <f ca="1">IFERROR(__xludf.DUMMYFUNCTION("""COMPUTED_VALUE"""),0)</f>
        <v>0</v>
      </c>
      <c r="J2425" s="8">
        <f ca="1">IFERROR(__xludf.DUMMYFUNCTION("""COMPUTED_VALUE"""),0)</f>
        <v>0</v>
      </c>
      <c r="K2425" s="10" t="str">
        <f ca="1">IFERROR(__xludf.DUMMYFUNCTION("""COMPUTED_VALUE"""),"https://www.cbsnews.com/news/fear-turns-to-outrage-at-tucson-school/")</f>
        <v>https://www.cbsnews.com/news/fear-turns-to-outrage-at-tucson-school/</v>
      </c>
      <c r="L2425" s="8"/>
      <c r="M2425" s="8"/>
      <c r="N2425" s="8">
        <f ca="1">IFERROR(__xludf.DUMMYFUNCTION("""COMPUTED_VALUE"""),2)</f>
        <v>2</v>
      </c>
      <c r="O2425" s="8" t="str">
        <f ca="1">IFERROR(__xludf.DUMMYFUNCTION("""COMPUTED_VALUE"""),"Spring")</f>
        <v>Spring</v>
      </c>
      <c r="P2425" s="8" t="str">
        <f ca="1">IFERROR(__xludf.DUMMYFUNCTION("""COMPUTED_VALUE"""),"Tucson")</f>
        <v>Tucson</v>
      </c>
      <c r="Q2425" s="8" t="str">
        <f ca="1">IFERROR(__xludf.DUMMYFUNCTION("""COMPUTED_VALUE"""),"AZ")</f>
        <v>AZ</v>
      </c>
      <c r="R2425" s="8" t="str">
        <f ca="1">IFERROR(__xludf.DUMMYFUNCTION("""COMPUTED_VALUE"""),"Middle")</f>
        <v>Middle</v>
      </c>
      <c r="S2425" s="8" t="str">
        <f ca="1">IFERROR(__xludf.DUMMYFUNCTION("""COMPUTED_VALUE"""),"Classroom")</f>
        <v>Classroom</v>
      </c>
      <c r="T2425" s="8" t="str">
        <f ca="1">IFERROR(__xludf.DUMMYFUNCTION("""COMPUTED_VALUE"""),"Inside School Building")</f>
        <v>Inside School Building</v>
      </c>
      <c r="U2425" s="8" t="str">
        <f ca="1">IFERROR(__xludf.DUMMYFUNCTION("""COMPUTED_VALUE"""),"No")</f>
        <v>No</v>
      </c>
      <c r="V2425" s="8" t="str">
        <f ca="1">IFERROR(__xludf.DUMMYFUNCTION("""COMPUTED_VALUE"""),"Before School")</f>
        <v>Before School</v>
      </c>
      <c r="W2425" s="8"/>
      <c r="X2425" s="8">
        <f ca="1">IFERROR(__xludf.DUMMYFUNCTION("""COMPUTED_VALUE"""),1)</f>
        <v>1</v>
      </c>
      <c r="Y2425" s="12" t="str">
        <f ca="1">IFERROR(__xludf.DUMMYFUNCTION("""COMPUTED_VALUE"""),"Teacher shot herself and made up story about being shot by unknown student")</f>
        <v>Teacher shot herself and made up story about being shot by unknown student</v>
      </c>
      <c r="Z2425" s="12" t="str">
        <f ca="1">IFERROR(__xludf.DUMMYFUNCTION("""COMPUTED_VALUE"""),"35YOF teacher said she was shot by student with a shaved head but it was later determined that she shot herself. She was trying to make a statement about school security. Sent to mental institution following the shooting.")</f>
        <v>35YOF teacher said she was shot by student with a shaved head but it was later determined that she shot herself. She was trying to make a statement about school security. Sent to mental institution following the shooting.</v>
      </c>
      <c r="AA2425" s="8" t="str">
        <f ca="1">IFERROR(__xludf.DUMMYFUNCTION("""COMPUTED_VALUE"""),"Psychosis")</f>
        <v>Psychosis</v>
      </c>
      <c r="AB2425" s="8"/>
      <c r="AC2425" s="8"/>
      <c r="AD2425" s="8" t="str">
        <f ca="1">IFERROR(__xludf.DUMMYFUNCTION("""COMPUTED_VALUE"""),"Victims Targeted")</f>
        <v>Victims Targeted</v>
      </c>
      <c r="AE2425" s="8"/>
      <c r="AF2425" s="8"/>
      <c r="AG2425" s="8" t="str">
        <f ca="1">IFERROR(__xludf.DUMMYFUNCTION("""COMPUTED_VALUE"""),"No")</f>
        <v>No</v>
      </c>
      <c r="AH2425" s="8" t="str">
        <f ca="1">IFERROR(__xludf.DUMMYFUNCTION("""COMPUTED_VALUE"""),"No")</f>
        <v>No</v>
      </c>
      <c r="AI2425" s="8" t="str">
        <f ca="1">IFERROR(__xludf.DUMMYFUNCTION("""COMPUTED_VALUE"""),"No")</f>
        <v>No</v>
      </c>
      <c r="AJ2425" s="8" t="str">
        <f ca="1">IFERROR(__xludf.DUMMYFUNCTION("""COMPUTED_VALUE"""),"No")</f>
        <v>No</v>
      </c>
      <c r="AK2425" s="8" t="str">
        <f ca="1">IFERROR(__xludf.DUMMYFUNCTION("""COMPUTED_VALUE"""),"No")</f>
        <v>No</v>
      </c>
      <c r="AL2425" s="8" t="str">
        <f ca="1">IFERROR(__xludf.DUMMYFUNCTION("""COMPUTED_VALUE"""),"No")</f>
        <v>No</v>
      </c>
      <c r="AM2425" s="8"/>
      <c r="AN2425" s="8"/>
      <c r="AO2425" s="8" t="str">
        <f ca="1">IFERROR(__xludf.DUMMYFUNCTION("""COMPUTED_VALUE"""),"No")</f>
        <v>No</v>
      </c>
      <c r="AP2425" s="8"/>
      <c r="AQ2425" s="8" t="str">
        <f ca="1">IFERROR(__xludf.DUMMYFUNCTION("""COMPUTED_VALUE"""),"Unknown")</f>
        <v>Unknown</v>
      </c>
      <c r="AR2425" s="8" t="str">
        <f ca="1">IFERROR(__xludf.DUMMYFUNCTION("""COMPUTED_VALUE"""),"NA")</f>
        <v>NA</v>
      </c>
      <c r="AS2425" s="8">
        <f ca="1">IFERROR(__xludf.DUMMYFUNCTION("""COMPUTED_VALUE"""),1)</f>
        <v>1</v>
      </c>
      <c r="AT2425" s="8"/>
      <c r="AU2425" s="8">
        <f ca="1">IFERROR(__xludf.DUMMYFUNCTION("""COMPUTED_VALUE"""),32.309996)</f>
        <v>32.309995999999998</v>
      </c>
      <c r="AV2425" s="8">
        <f ca="1">IFERROR(__xludf.DUMMYFUNCTION("""COMPUTED_VALUE"""),-110.994128)</f>
        <v>-110.994128</v>
      </c>
      <c r="AW2425" s="8"/>
      <c r="AX2425" s="8">
        <f ca="1">IFERROR(__xludf.DUMMYFUNCTION("""COMPUTED_VALUE"""),85704)</f>
        <v>85704</v>
      </c>
    </row>
    <row r="2426" spans="1:50" ht="60" x14ac:dyDescent="0.2">
      <c r="A2426" s="8" t="str">
        <f ca="1">IFERROR(__xludf.DUMMYFUNCTION("""COMPUTED_VALUE"""),"20000406OKHUH")</f>
        <v>20000406OKHUH</v>
      </c>
      <c r="B2426" s="8">
        <f ca="1">IFERROR(__xludf.DUMMYFUNCTION("""COMPUTED_VALUE"""),4)</f>
        <v>4</v>
      </c>
      <c r="C2426" s="8">
        <f ca="1">IFERROR(__xludf.DUMMYFUNCTION("""COMPUTED_VALUE"""),6)</f>
        <v>6</v>
      </c>
      <c r="D2426" s="8">
        <f ca="1">IFERROR(__xludf.DUMMYFUNCTION("""COMPUTED_VALUE"""),2000)</f>
        <v>2000</v>
      </c>
      <c r="E2426" s="9">
        <f ca="1">IFERROR(__xludf.DUMMYFUNCTION("""COMPUTED_VALUE"""),36622)</f>
        <v>36622</v>
      </c>
      <c r="F2426" s="8" t="str">
        <f ca="1">IFERROR(__xludf.DUMMYFUNCTION("""COMPUTED_VALUE"""),"Hugo High School")</f>
        <v>Hugo High School</v>
      </c>
      <c r="G2426" s="8">
        <f ca="1">IFERROR(__xludf.DUMMYFUNCTION("""COMPUTED_VALUE"""),0)</f>
        <v>0</v>
      </c>
      <c r="H2426" s="8">
        <f ca="1">IFERROR(__xludf.DUMMYFUNCTION("""COMPUTED_VALUE"""),1)</f>
        <v>1</v>
      </c>
      <c r="I2426" s="8">
        <f ca="1">IFERROR(__xludf.DUMMYFUNCTION("""COMPUTED_VALUE"""),1)</f>
        <v>1</v>
      </c>
      <c r="J2426" s="8">
        <f ca="1">IFERROR(__xludf.DUMMYFUNCTION("""COMPUTED_VALUE"""),0)</f>
        <v>0</v>
      </c>
      <c r="K2426" s="10" t="str">
        <f ca="1">IFERROR(__xludf.DUMMYFUNCTION("""COMPUTED_VALUE"""),"https://www.newspapers.com/image/454563845/?terms=Hugo%2BHigh%2BSchool%2Bshooting")</f>
        <v>https://www.newspapers.com/image/454563845/?terms=Hugo%2BHigh%2BSchool%2Bshooting</v>
      </c>
      <c r="L2426" s="8"/>
      <c r="M2426" s="8"/>
      <c r="N2426" s="8">
        <f ca="1">IFERROR(__xludf.DUMMYFUNCTION("""COMPUTED_VALUE"""),2)</f>
        <v>2</v>
      </c>
      <c r="O2426" s="8" t="str">
        <f ca="1">IFERROR(__xludf.DUMMYFUNCTION("""COMPUTED_VALUE"""),"Spring")</f>
        <v>Spring</v>
      </c>
      <c r="P2426" s="8" t="str">
        <f ca="1">IFERROR(__xludf.DUMMYFUNCTION("""COMPUTED_VALUE"""),"Hugo")</f>
        <v>Hugo</v>
      </c>
      <c r="Q2426" s="8" t="str">
        <f ca="1">IFERROR(__xludf.DUMMYFUNCTION("""COMPUTED_VALUE"""),"OK")</f>
        <v>OK</v>
      </c>
      <c r="R2426" s="8" t="str">
        <f ca="1">IFERROR(__xludf.DUMMYFUNCTION("""COMPUTED_VALUE"""),"High")</f>
        <v>High</v>
      </c>
      <c r="S2426" s="8" t="str">
        <f ca="1">IFERROR(__xludf.DUMMYFUNCTION("""COMPUTED_VALUE"""),"Football Field/Track")</f>
        <v>Football Field/Track</v>
      </c>
      <c r="T2426" s="8" t="str">
        <f ca="1">IFERROR(__xludf.DUMMYFUNCTION("""COMPUTED_VALUE"""),"Outside on School Property")</f>
        <v>Outside on School Property</v>
      </c>
      <c r="U2426" s="8" t="str">
        <f ca="1">IFERROR(__xludf.DUMMYFUNCTION("""COMPUTED_VALUE"""),"Yes")</f>
        <v>Yes</v>
      </c>
      <c r="V2426" s="8" t="str">
        <f ca="1">IFERROR(__xludf.DUMMYFUNCTION("""COMPUTED_VALUE"""),"Sport Event")</f>
        <v>Sport Event</v>
      </c>
      <c r="W2426" s="11">
        <f ca="1">IFERROR(__xludf.DUMMYFUNCTION("""COMPUTED_VALUE"""),0.5)</f>
        <v>0.5</v>
      </c>
      <c r="X2426" s="8">
        <f ca="1">IFERROR(__xludf.DUMMYFUNCTION("""COMPUTED_VALUE"""),1)</f>
        <v>1</v>
      </c>
      <c r="Y2426" s="12" t="str">
        <f ca="1">IFERROR(__xludf.DUMMYFUNCTION("""COMPUTED_VALUE"""),"Feud between parents turned into shooting at track meet.")</f>
        <v>Feud between parents turned into shooting at track meet.</v>
      </c>
      <c r="Z2426" s="12" t="str">
        <f ca="1">IFERROR(__xludf.DUMMYFUNCTION("""COMPUTED_VALUE"""),"Fight between 33 YOF and 35YOF parents in the stands at a track meet turned into a shooting. A police officer was working at the event and grabbed the gun.")</f>
        <v>Fight between 33 YOF and 35YOF parents in the stands at a track meet turned into a shooting. A police officer was working at the event and grabbed the gun.</v>
      </c>
      <c r="AA2426" s="8" t="str">
        <f ca="1">IFERROR(__xludf.DUMMYFUNCTION("""COMPUTED_VALUE"""),"Escalation of Dispute")</f>
        <v>Escalation of Dispute</v>
      </c>
      <c r="AB2426" s="8"/>
      <c r="AC2426" s="8"/>
      <c r="AD2426" s="8" t="str">
        <f ca="1">IFERROR(__xludf.DUMMYFUNCTION("""COMPUTED_VALUE"""),"Victims Targeted")</f>
        <v>Victims Targeted</v>
      </c>
      <c r="AE2426" s="8" t="str">
        <f ca="1">IFERROR(__xludf.DUMMYFUNCTION("""COMPUTED_VALUE"""),"No")</f>
        <v>No</v>
      </c>
      <c r="AF2426" s="8"/>
      <c r="AG2426" s="8" t="str">
        <f ca="1">IFERROR(__xludf.DUMMYFUNCTION("""COMPUTED_VALUE"""),"No")</f>
        <v>No</v>
      </c>
      <c r="AH2426" s="8" t="str">
        <f ca="1">IFERROR(__xludf.DUMMYFUNCTION("""COMPUTED_VALUE"""),"No")</f>
        <v>No</v>
      </c>
      <c r="AI2426" s="8" t="str">
        <f ca="1">IFERROR(__xludf.DUMMYFUNCTION("""COMPUTED_VALUE"""),"No")</f>
        <v>No</v>
      </c>
      <c r="AJ2426" s="8" t="str">
        <f ca="1">IFERROR(__xludf.DUMMYFUNCTION("""COMPUTED_VALUE"""),"No")</f>
        <v>No</v>
      </c>
      <c r="AK2426" s="8" t="str">
        <f ca="1">IFERROR(__xludf.DUMMYFUNCTION("""COMPUTED_VALUE"""),"No")</f>
        <v>No</v>
      </c>
      <c r="AL2426" s="8" t="str">
        <f ca="1">IFERROR(__xludf.DUMMYFUNCTION("""COMPUTED_VALUE"""),"No")</f>
        <v>No</v>
      </c>
      <c r="AM2426" s="8"/>
      <c r="AN2426" s="8"/>
      <c r="AO2426" s="8" t="str">
        <f ca="1">IFERROR(__xludf.DUMMYFUNCTION("""COMPUTED_VALUE"""),"No")</f>
        <v>No</v>
      </c>
      <c r="AP2426" s="8" t="str">
        <f ca="1">IFERROR(__xludf.DUMMYFUNCTION("""COMPUTED_VALUE"""),"Yes")</f>
        <v>Yes</v>
      </c>
      <c r="AQ2426" s="8" t="str">
        <f ca="1">IFERROR(__xludf.DUMMYFUNCTION("""COMPUTED_VALUE"""),"Unknown")</f>
        <v>Unknown</v>
      </c>
      <c r="AR2426" s="8" t="str">
        <f ca="1">IFERROR(__xludf.DUMMYFUNCTION("""COMPUTED_VALUE"""),"NA")</f>
        <v>NA</v>
      </c>
      <c r="AS2426" s="8">
        <f ca="1">IFERROR(__xludf.DUMMYFUNCTION("""COMPUTED_VALUE"""),1)</f>
        <v>1</v>
      </c>
      <c r="AT2426" s="8"/>
      <c r="AU2426" s="8">
        <f ca="1">IFERROR(__xludf.DUMMYFUNCTION("""COMPUTED_VALUE"""),34.014807)</f>
        <v>34.014806999999998</v>
      </c>
      <c r="AV2426" s="8">
        <f ca="1">IFERROR(__xludf.DUMMYFUNCTION("""COMPUTED_VALUE"""),-95.510685)</f>
        <v>-95.510684999999995</v>
      </c>
      <c r="AW2426" s="8"/>
      <c r="AX2426" s="8">
        <f ca="1">IFERROR(__xludf.DUMMYFUNCTION("""COMPUTED_VALUE"""),74743)</f>
        <v>74743</v>
      </c>
    </row>
    <row r="2427" spans="1:50" ht="75" x14ac:dyDescent="0.2">
      <c r="A2427" s="8" t="str">
        <f ca="1">IFERROR(__xludf.DUMMYFUNCTION("""COMPUTED_VALUE"""),"20000323OHMCL")</f>
        <v>20000323OHMCL</v>
      </c>
      <c r="B2427" s="8">
        <f ca="1">IFERROR(__xludf.DUMMYFUNCTION("""COMPUTED_VALUE"""),3)</f>
        <v>3</v>
      </c>
      <c r="C2427" s="8">
        <f ca="1">IFERROR(__xludf.DUMMYFUNCTION("""COMPUTED_VALUE"""),23)</f>
        <v>23</v>
      </c>
      <c r="D2427" s="8">
        <f ca="1">IFERROR(__xludf.DUMMYFUNCTION("""COMPUTED_VALUE"""),2000)</f>
        <v>2000</v>
      </c>
      <c r="E2427" s="9">
        <f ca="1">IFERROR(__xludf.DUMMYFUNCTION("""COMPUTED_VALUE"""),36608)</f>
        <v>36608</v>
      </c>
      <c r="F2427" s="8" t="str">
        <f ca="1">IFERROR(__xludf.DUMMYFUNCTION("""COMPUTED_VALUE"""),"McKinley Elementary School")</f>
        <v>McKinley Elementary School</v>
      </c>
      <c r="G2427" s="8">
        <f ca="1">IFERROR(__xludf.DUMMYFUNCTION("""COMPUTED_VALUE"""),0)</f>
        <v>0</v>
      </c>
      <c r="H2427" s="8">
        <f ca="1">IFERROR(__xludf.DUMMYFUNCTION("""COMPUTED_VALUE"""),0)</f>
        <v>0</v>
      </c>
      <c r="I2427" s="8">
        <f ca="1">IFERROR(__xludf.DUMMYFUNCTION("""COMPUTED_VALUE"""),0)</f>
        <v>0</v>
      </c>
      <c r="J2427" s="8">
        <f ca="1">IFERROR(__xludf.DUMMYFUNCTION("""COMPUTED_VALUE"""),0)</f>
        <v>0</v>
      </c>
      <c r="K2427" s="10" t="str">
        <f ca="1">IFERROR(__xludf.DUMMYFUNCTION("""COMPUTED_VALUE"""),"https://www.cbsnews.com/news/boy-charged-in-school-gun-scare/")</f>
        <v>https://www.cbsnews.com/news/boy-charged-in-school-gun-scare/</v>
      </c>
      <c r="L2427" s="8"/>
      <c r="M2427" s="8"/>
      <c r="N2427" s="8">
        <f ca="1">IFERROR(__xludf.DUMMYFUNCTION("""COMPUTED_VALUE"""),2)</f>
        <v>2</v>
      </c>
      <c r="O2427" s="8" t="str">
        <f ca="1">IFERROR(__xludf.DUMMYFUNCTION("""COMPUTED_VALUE"""),"Spring")</f>
        <v>Spring</v>
      </c>
      <c r="P2427" s="8" t="str">
        <f ca="1">IFERROR(__xludf.DUMMYFUNCTION("""COMPUTED_VALUE"""),"Lisbon")</f>
        <v>Lisbon</v>
      </c>
      <c r="Q2427" s="8" t="str">
        <f ca="1">IFERROR(__xludf.DUMMYFUNCTION("""COMPUTED_VALUE"""),"OH")</f>
        <v>OH</v>
      </c>
      <c r="R2427" s="8" t="str">
        <f ca="1">IFERROR(__xludf.DUMMYFUNCTION("""COMPUTED_VALUE"""),"Elementary")</f>
        <v>Elementary</v>
      </c>
      <c r="S2427" s="8" t="str">
        <f ca="1">IFERROR(__xludf.DUMMYFUNCTION("""COMPUTED_VALUE"""),"Classroom")</f>
        <v>Classroom</v>
      </c>
      <c r="T2427" s="8" t="str">
        <f ca="1">IFERROR(__xludf.DUMMYFUNCTION("""COMPUTED_VALUE"""),"Inside School Building")</f>
        <v>Inside School Building</v>
      </c>
      <c r="U2427" s="8" t="str">
        <f ca="1">IFERROR(__xludf.DUMMYFUNCTION("""COMPUTED_VALUE"""),"Yes")</f>
        <v>Yes</v>
      </c>
      <c r="V2427" s="8" t="str">
        <f ca="1">IFERROR(__xludf.DUMMYFUNCTION("""COMPUTED_VALUE"""),"Morning Classes")</f>
        <v>Morning Classes</v>
      </c>
      <c r="W2427" s="11">
        <f ca="1">IFERROR(__xludf.DUMMYFUNCTION("""COMPUTED_VALUE"""),0.364583333333333)</f>
        <v>0.36458333333333298</v>
      </c>
      <c r="X2427" s="8">
        <f ca="1">IFERROR(__xludf.DUMMYFUNCTION("""COMPUTED_VALUE"""),5)</f>
        <v>5</v>
      </c>
      <c r="Y2427" s="12" t="str">
        <f ca="1">IFERROR(__xludf.DUMMYFUNCTION("""COMPUTED_VALUE"""),"Took class hostage, wanted to go to jail to be with mother")</f>
        <v>Took class hostage, wanted to go to jail to be with mother</v>
      </c>
      <c r="Z2427" s="12" t="str">
        <f ca="1">IFERROR(__xludf.DUMMYFUNCTION("""COMPUTED_VALUE"""),"13YOM pointed loaded handgun at teachers and students in classroom and told them to get on the floor. Held them hostage for 5 minutes before surrendering. Shooter's mother was in jail and he wanted to be with her. Gun was locked at home but shooter found "&amp;"the key.")</f>
        <v>13YOM pointed loaded handgun at teachers and students in classroom and told them to get on the floor. Held them hostage for 5 minutes before surrendering. Shooter's mother was in jail and he wanted to be with her. Gun was locked at home but shooter found the key.</v>
      </c>
      <c r="AA2427" s="8" t="str">
        <f ca="1">IFERROR(__xludf.DUMMYFUNCTION("""COMPUTED_VALUE"""),"Hostage/Standoff")</f>
        <v>Hostage/Standoff</v>
      </c>
      <c r="AB2427" s="8"/>
      <c r="AC2427" s="8"/>
      <c r="AD2427" s="8"/>
      <c r="AE2427" s="8" t="str">
        <f ca="1">IFERROR(__xludf.DUMMYFUNCTION("""COMPUTED_VALUE"""),"No")</f>
        <v>No</v>
      </c>
      <c r="AF2427" s="8"/>
      <c r="AG2427" s="8" t="str">
        <f ca="1">IFERROR(__xludf.DUMMYFUNCTION("""COMPUTED_VALUE"""),"Yes")</f>
        <v>Yes</v>
      </c>
      <c r="AH2427" s="8" t="str">
        <f ca="1">IFERROR(__xludf.DUMMYFUNCTION("""COMPUTED_VALUE"""),"No")</f>
        <v>No</v>
      </c>
      <c r="AI2427" s="8" t="str">
        <f ca="1">IFERROR(__xludf.DUMMYFUNCTION("""COMPUTED_VALUE"""),"No")</f>
        <v>No</v>
      </c>
      <c r="AJ2427" s="8"/>
      <c r="AK2427" s="8" t="str">
        <f ca="1">IFERROR(__xludf.DUMMYFUNCTION("""COMPUTED_VALUE"""),"No")</f>
        <v>No</v>
      </c>
      <c r="AL2427" s="8" t="str">
        <f ca="1">IFERROR(__xludf.DUMMYFUNCTION("""COMPUTED_VALUE"""),"No")</f>
        <v>No</v>
      </c>
      <c r="AM2427" s="8" t="str">
        <f ca="1">IFERROR(__xludf.DUMMYFUNCTION("""COMPUTED_VALUE"""),"Yes")</f>
        <v>Yes</v>
      </c>
      <c r="AN2427" s="8" t="str">
        <f ca="1">IFERROR(__xludf.DUMMYFUNCTION("""COMPUTED_VALUE"""),"Single Room")</f>
        <v>Single Room</v>
      </c>
      <c r="AO2427" s="8" t="str">
        <f ca="1">IFERROR(__xludf.DUMMYFUNCTION("""COMPUTED_VALUE"""),"Yes")</f>
        <v>Yes</v>
      </c>
      <c r="AP2427" s="8"/>
      <c r="AQ2427" s="8" t="str">
        <f ca="1">IFERROR(__xludf.DUMMYFUNCTION("""COMPUTED_VALUE"""),"Unknown")</f>
        <v>Unknown</v>
      </c>
      <c r="AR2427" s="8" t="str">
        <f ca="1">IFERROR(__xludf.DUMMYFUNCTION("""COMPUTED_VALUE"""),"NA")</f>
        <v>NA</v>
      </c>
      <c r="AS2427" s="8">
        <f ca="1">IFERROR(__xludf.DUMMYFUNCTION("""COMPUTED_VALUE"""),0)</f>
        <v>0</v>
      </c>
      <c r="AT2427" s="8"/>
      <c r="AU2427" s="8">
        <f ca="1">IFERROR(__xludf.DUMMYFUNCTION("""COMPUTED_VALUE"""),40.773777)</f>
        <v>40.773777000000003</v>
      </c>
      <c r="AV2427" s="8">
        <f ca="1">IFERROR(__xludf.DUMMYFUNCTION("""COMPUTED_VALUE"""),-80.760036)</f>
        <v>-80.760035999999999</v>
      </c>
      <c r="AW2427" s="8"/>
      <c r="AX2427" s="8">
        <f ca="1">IFERROR(__xludf.DUMMYFUNCTION("""COMPUTED_VALUE"""),44432)</f>
        <v>44432</v>
      </c>
    </row>
    <row r="2428" spans="1:50" ht="45" x14ac:dyDescent="0.2">
      <c r="A2428" s="8" t="str">
        <f ca="1">IFERROR(__xludf.DUMMYFUNCTION("""COMPUTED_VALUE"""),"20000310GABES")</f>
        <v>20000310GABES</v>
      </c>
      <c r="B2428" s="8">
        <f ca="1">IFERROR(__xludf.DUMMYFUNCTION("""COMPUTED_VALUE"""),3)</f>
        <v>3</v>
      </c>
      <c r="C2428" s="8">
        <f ca="1">IFERROR(__xludf.DUMMYFUNCTION("""COMPUTED_VALUE"""),10)</f>
        <v>10</v>
      </c>
      <c r="D2428" s="8">
        <f ca="1">IFERROR(__xludf.DUMMYFUNCTION("""COMPUTED_VALUE"""),2000)</f>
        <v>2000</v>
      </c>
      <c r="E2428" s="9">
        <f ca="1">IFERROR(__xludf.DUMMYFUNCTION("""COMPUTED_VALUE"""),36595)</f>
        <v>36595</v>
      </c>
      <c r="F2428" s="8" t="str">
        <f ca="1">IFERROR(__xludf.DUMMYFUNCTION("""COMPUTED_VALUE"""),"Beach High School")</f>
        <v>Beach High School</v>
      </c>
      <c r="G2428" s="8">
        <f ca="1">IFERROR(__xludf.DUMMYFUNCTION("""COMPUTED_VALUE"""),2)</f>
        <v>2</v>
      </c>
      <c r="H2428" s="8">
        <f ca="1">IFERROR(__xludf.DUMMYFUNCTION("""COMPUTED_VALUE"""),1)</f>
        <v>1</v>
      </c>
      <c r="I2428" s="8">
        <f ca="1">IFERROR(__xludf.DUMMYFUNCTION("""COMPUTED_VALUE"""),3)</f>
        <v>3</v>
      </c>
      <c r="J2428" s="8">
        <f ca="1">IFERROR(__xludf.DUMMYFUNCTION("""COMPUTED_VALUE"""),0)</f>
        <v>0</v>
      </c>
      <c r="K2428" s="8" t="str">
        <f ca="1">IFERROR(__xludf.DUMMYFUNCTION("""COMPUTED_VALUE"""),"https://www.newspapers.com/image/162901684/?terms=ramone%2Bkimble  https://www.newspapers.com/image/107652223/?terms=student%2Bshoots  https://www.newspapers.com/image/109008981/?terms=ramone%2Bkimble    https://www.newspapers.com/image/70483618/?terms=ra"&amp;"mone%2Bkimble")</f>
        <v>https://www.newspapers.com/image/162901684/?terms=ramone%2Bkimble  https://www.newspapers.com/image/107652223/?terms=student%2Bshoots  https://www.newspapers.com/image/109008981/?terms=ramone%2Bkimble    https://www.newspapers.com/image/70483618/?terms=ramone%2Bkimble</v>
      </c>
      <c r="L2428" s="8"/>
      <c r="M2428" s="8"/>
      <c r="N2428" s="8">
        <f ca="1">IFERROR(__xludf.DUMMYFUNCTION("""COMPUTED_VALUE"""),2)</f>
        <v>2</v>
      </c>
      <c r="O2428" s="8" t="str">
        <f ca="1">IFERROR(__xludf.DUMMYFUNCTION("""COMPUTED_VALUE"""),"Spring")</f>
        <v>Spring</v>
      </c>
      <c r="P2428" s="8" t="str">
        <f ca="1">IFERROR(__xludf.DUMMYFUNCTION("""COMPUTED_VALUE"""),"Savannah")</f>
        <v>Savannah</v>
      </c>
      <c r="Q2428" s="8" t="str">
        <f ca="1">IFERROR(__xludf.DUMMYFUNCTION("""COMPUTED_VALUE"""),"GA")</f>
        <v>GA</v>
      </c>
      <c r="R2428" s="8" t="str">
        <f ca="1">IFERROR(__xludf.DUMMYFUNCTION("""COMPUTED_VALUE"""),"High")</f>
        <v>High</v>
      </c>
      <c r="S2428" s="8" t="str">
        <f ca="1">IFERROR(__xludf.DUMMYFUNCTION("""COMPUTED_VALUE"""),"Gym")</f>
        <v>Gym</v>
      </c>
      <c r="T2428" s="8" t="str">
        <f ca="1">IFERROR(__xludf.DUMMYFUNCTION("""COMPUTED_VALUE"""),"Inside School Building")</f>
        <v>Inside School Building</v>
      </c>
      <c r="U2428" s="8" t="str">
        <f ca="1">IFERROR(__xludf.DUMMYFUNCTION("""COMPUTED_VALUE"""),"No")</f>
        <v>No</v>
      </c>
      <c r="V2428" s="8" t="str">
        <f ca="1">IFERROR(__xludf.DUMMYFUNCTION("""COMPUTED_VALUE"""),"School Event")</f>
        <v>School Event</v>
      </c>
      <c r="W2428" s="11">
        <f ca="1">IFERROR(__xludf.DUMMYFUNCTION("""COMPUTED_VALUE"""),0.96875)</f>
        <v>0.96875</v>
      </c>
      <c r="X2428" s="8">
        <f ca="1">IFERROR(__xludf.DUMMYFUNCTION("""COMPUTED_VALUE"""),1)</f>
        <v>1</v>
      </c>
      <c r="Y2428" s="12" t="str">
        <f ca="1">IFERROR(__xludf.DUMMYFUNCTION("""COMPUTED_VALUE"""),"Shots fired during fight at school dance")</f>
        <v>Shots fired during fight at school dance</v>
      </c>
      <c r="Z2428" s="12" t="str">
        <f ca="1">IFERROR(__xludf.DUMMYFUNCTION("""COMPUTED_VALUE"""),"Argument between two teenage groups during high school dance to celebrate championship game.")</f>
        <v>Argument between two teenage groups during high school dance to celebrate championship game.</v>
      </c>
      <c r="AA2428" s="8" t="str">
        <f ca="1">IFERROR(__xludf.DUMMYFUNCTION("""COMPUTED_VALUE"""),"Escalation of Dispute")</f>
        <v>Escalation of Dispute</v>
      </c>
      <c r="AB2428" s="8"/>
      <c r="AC2428" s="8"/>
      <c r="AD2428" s="8"/>
      <c r="AE2428" s="8" t="str">
        <f ca="1">IFERROR(__xludf.DUMMYFUNCTION("""COMPUTED_VALUE"""),"No")</f>
        <v>No</v>
      </c>
      <c r="AF2428" s="8"/>
      <c r="AG2428" s="8" t="str">
        <f ca="1">IFERROR(__xludf.DUMMYFUNCTION("""COMPUTED_VALUE"""),"No")</f>
        <v>No</v>
      </c>
      <c r="AH2428" s="8" t="str">
        <f ca="1">IFERROR(__xludf.DUMMYFUNCTION("""COMPUTED_VALUE"""),"No")</f>
        <v>No</v>
      </c>
      <c r="AI2428" s="8" t="str">
        <f ca="1">IFERROR(__xludf.DUMMYFUNCTION("""COMPUTED_VALUE"""),"No")</f>
        <v>No</v>
      </c>
      <c r="AJ2428" s="8"/>
      <c r="AK2428" s="8" t="str">
        <f ca="1">IFERROR(__xludf.DUMMYFUNCTION("""COMPUTED_VALUE"""),"No")</f>
        <v>No</v>
      </c>
      <c r="AL2428" s="8" t="str">
        <f ca="1">IFERROR(__xludf.DUMMYFUNCTION("""COMPUTED_VALUE"""),"No")</f>
        <v>No</v>
      </c>
      <c r="AM2428" s="8"/>
      <c r="AN2428" s="8"/>
      <c r="AO2428" s="8" t="str">
        <f ca="1">IFERROR(__xludf.DUMMYFUNCTION("""COMPUTED_VALUE"""),"No")</f>
        <v>No</v>
      </c>
      <c r="AP2428" s="8"/>
      <c r="AQ2428" s="8" t="str">
        <f ca="1">IFERROR(__xludf.DUMMYFUNCTION("""COMPUTED_VALUE"""),"Unknown")</f>
        <v>Unknown</v>
      </c>
      <c r="AR2428" s="8" t="str">
        <f ca="1">IFERROR(__xludf.DUMMYFUNCTION("""COMPUTED_VALUE"""),"NA")</f>
        <v>NA</v>
      </c>
      <c r="AS2428" s="8"/>
      <c r="AT2428" s="8"/>
      <c r="AU2428" s="8">
        <f ca="1">IFERROR(__xludf.DUMMYFUNCTION("""COMPUTED_VALUE"""),32.053936)</f>
        <v>32.053936</v>
      </c>
      <c r="AV2428" s="8">
        <f ca="1">IFERROR(__xludf.DUMMYFUNCTION("""COMPUTED_VALUE"""),-81.116729)</f>
        <v>-81.116729000000007</v>
      </c>
      <c r="AW2428" s="8"/>
      <c r="AX2428" s="8">
        <f ca="1">IFERROR(__xludf.DUMMYFUNCTION("""COMPUTED_VALUE"""),31405)</f>
        <v>31405</v>
      </c>
    </row>
    <row r="2429" spans="1:50" ht="150" x14ac:dyDescent="0.2">
      <c r="A2429" s="8" t="str">
        <f ca="1">IFERROR(__xludf.DUMMYFUNCTION("""COMPUTED_VALUE"""),"20000229MIBUF")</f>
        <v>20000229MIBUF</v>
      </c>
      <c r="B2429" s="8">
        <f ca="1">IFERROR(__xludf.DUMMYFUNCTION("""COMPUTED_VALUE"""),2)</f>
        <v>2</v>
      </c>
      <c r="C2429" s="8">
        <f ca="1">IFERROR(__xludf.DUMMYFUNCTION("""COMPUTED_VALUE"""),29)</f>
        <v>29</v>
      </c>
      <c r="D2429" s="8">
        <f ca="1">IFERROR(__xludf.DUMMYFUNCTION("""COMPUTED_VALUE"""),2000)</f>
        <v>2000</v>
      </c>
      <c r="E2429" s="9">
        <f ca="1">IFERROR(__xludf.DUMMYFUNCTION("""COMPUTED_VALUE"""),36585)</f>
        <v>36585</v>
      </c>
      <c r="F2429" s="8" t="str">
        <f ca="1">IFERROR(__xludf.DUMMYFUNCTION("""COMPUTED_VALUE"""),"Buell Elementary School")</f>
        <v>Buell Elementary School</v>
      </c>
      <c r="G2429" s="8">
        <f ca="1">IFERROR(__xludf.DUMMYFUNCTION("""COMPUTED_VALUE"""),1)</f>
        <v>1</v>
      </c>
      <c r="H2429" s="8">
        <f ca="1">IFERROR(__xludf.DUMMYFUNCTION("""COMPUTED_VALUE"""),0)</f>
        <v>0</v>
      </c>
      <c r="I2429" s="8">
        <f ca="1">IFERROR(__xludf.DUMMYFUNCTION("""COMPUTED_VALUE"""),1)</f>
        <v>1</v>
      </c>
      <c r="J2429" s="8">
        <f ca="1">IFERROR(__xludf.DUMMYFUNCTION("""COMPUTED_VALUE"""),0)</f>
        <v>0</v>
      </c>
      <c r="K2429" s="8" t="str">
        <f ca="1">IFERROR(__xludf.DUMMYFUNCTION("""COMPUTED_VALUE"""),"https://www.upi.com/Voices/2021/12/21/parents-liable-child-crimes-OXford-school-shooting/5261640091029/ http://content.time.com/time/magazine/article/0,9171,40342,00.html https://www.abc12.com/content/news/20-Years-Later-Revisiting-the-Buell-Elementary-Sc"&amp;"hool-shooting-568359981.html https://www.mlive.com/news/flint/2020/02/first-grader-kayla-rolland-was-fatally-shot-at-school-20-years-ago-heres-how-it-happened.html")</f>
        <v>https://www.upi.com/Voices/2021/12/21/parents-liable-child-crimes-OXford-school-shooting/5261640091029/ http://content.time.com/time/magazine/article/0,9171,40342,00.html https://www.abc12.com/content/news/20-Years-Later-Revisiting-the-Buell-Elementary-School-shooting-568359981.html https://www.mlive.com/news/flint/2020/02/first-grader-kayla-rolland-was-fatally-shot-at-school-20-years-ago-heres-how-it-happened.html</v>
      </c>
      <c r="L2429" s="8">
        <f ca="1">IFERROR(__xludf.DUMMYFUNCTION("""COMPUTED_VALUE"""),100)</f>
        <v>100</v>
      </c>
      <c r="M2429" s="8" t="str">
        <f ca="1">IFERROR(__xludf.DUMMYFUNCTION("""COMPUTED_VALUE"""),"National")</f>
        <v>National</v>
      </c>
      <c r="N2429" s="8">
        <f ca="1">IFERROR(__xludf.DUMMYFUNCTION("""COMPUTED_VALUE"""),4)</f>
        <v>4</v>
      </c>
      <c r="O2429" s="8" t="str">
        <f ca="1">IFERROR(__xludf.DUMMYFUNCTION("""COMPUTED_VALUE"""),"Winter")</f>
        <v>Winter</v>
      </c>
      <c r="P2429" s="8" t="str">
        <f ca="1">IFERROR(__xludf.DUMMYFUNCTION("""COMPUTED_VALUE"""),"Flint")</f>
        <v>Flint</v>
      </c>
      <c r="Q2429" s="8" t="str">
        <f ca="1">IFERROR(__xludf.DUMMYFUNCTION("""COMPUTED_VALUE"""),"MI")</f>
        <v>MI</v>
      </c>
      <c r="R2429" s="8" t="str">
        <f ca="1">IFERROR(__xludf.DUMMYFUNCTION("""COMPUTED_VALUE"""),"Elementary")</f>
        <v>Elementary</v>
      </c>
      <c r="S2429" s="8" t="str">
        <f ca="1">IFERROR(__xludf.DUMMYFUNCTION("""COMPUTED_VALUE"""),"Classroom")</f>
        <v>Classroom</v>
      </c>
      <c r="T2429" s="8" t="str">
        <f ca="1">IFERROR(__xludf.DUMMYFUNCTION("""COMPUTED_VALUE"""),"Inside School Building")</f>
        <v>Inside School Building</v>
      </c>
      <c r="U2429" s="8" t="str">
        <f ca="1">IFERROR(__xludf.DUMMYFUNCTION("""COMPUTED_VALUE"""),"Yes")</f>
        <v>Yes</v>
      </c>
      <c r="V2429" s="8" t="str">
        <f ca="1">IFERROR(__xludf.DUMMYFUNCTION("""COMPUTED_VALUE"""),"Morning Classes")</f>
        <v>Morning Classes</v>
      </c>
      <c r="W2429" s="11">
        <f ca="1">IFERROR(__xludf.DUMMYFUNCTION("""COMPUTED_VALUE"""),0.416666666666666)</f>
        <v>0.41666666666666602</v>
      </c>
      <c r="X2429" s="8">
        <f ca="1">IFERROR(__xludf.DUMMYFUNCTION("""COMPUTED_VALUE"""),1)</f>
        <v>1</v>
      </c>
      <c r="Y2429" s="12" t="str">
        <f ca="1">IFERROR(__xludf.DUMMYFUNCTION("""COMPUTED_VALUE"""),"1st grader shot classmate inside school")</f>
        <v>1st grader shot classmate inside school</v>
      </c>
      <c r="Z2429" s="12" t="str">
        <f ca="1">IFERROR(__xludf.DUMMYFUNCTION("""COMPUTED_VALUE"""),"6 year old shooter shot another 6 year old classmate in the chest with a single shot in their classroom while students were lining up to go to the library. The shooter and victim had an altercation on the playground. The shooter's father was in prison for"&amp;" drug related crimes. The shooters mother was a drug addict and living in a crack house where the boy found the gun in a shoebox. Shooter and brothers were physically abused by mother. Placed in foster care following the shootings. Uncle plead guilty to i"&amp;"nvoluntary manslaughter for leaving the gun in an accessible place.")</f>
        <v>6 year old shooter shot another 6 year old classmate in the chest with a single shot in their classroom while students were lining up to go to the library. The shooter and victim had an altercation on the playground. The shooter's father was in prison for drug related crimes. The shooters mother was a drug addict and living in a crack house where the boy found the gun in a shoebox. Shooter and brothers were physically abused by mother. Placed in foster care following the shootings. Uncle plead guilty to involuntary manslaughter for leaving the gun in an accessible place.</v>
      </c>
      <c r="AA2429" s="8" t="str">
        <f ca="1">IFERROR(__xludf.DUMMYFUNCTION("""COMPUTED_VALUE"""),"Escalation of Dispute")</f>
        <v>Escalation of Dispute</v>
      </c>
      <c r="AB2429" s="8"/>
      <c r="AC2429" s="8"/>
      <c r="AD2429" s="8" t="str">
        <f ca="1">IFERROR(__xludf.DUMMYFUNCTION("""COMPUTED_VALUE"""),"Victims Targeted")</f>
        <v>Victims Targeted</v>
      </c>
      <c r="AE2429" s="8" t="str">
        <f ca="1">IFERROR(__xludf.DUMMYFUNCTION("""COMPUTED_VALUE"""),"No")</f>
        <v>No</v>
      </c>
      <c r="AF2429" s="8"/>
      <c r="AG2429" s="8" t="str">
        <f ca="1">IFERROR(__xludf.DUMMYFUNCTION("""COMPUTED_VALUE"""),"No")</f>
        <v>No</v>
      </c>
      <c r="AH2429" s="8" t="str">
        <f ca="1">IFERROR(__xludf.DUMMYFUNCTION("""COMPUTED_VALUE"""),"No")</f>
        <v>No</v>
      </c>
      <c r="AI2429" s="8" t="str">
        <f ca="1">IFERROR(__xludf.DUMMYFUNCTION("""COMPUTED_VALUE"""),"No")</f>
        <v>No</v>
      </c>
      <c r="AJ2429" s="8" t="str">
        <f ca="1">IFERROR(__xludf.DUMMYFUNCTION("""COMPUTED_VALUE"""),"No")</f>
        <v>No</v>
      </c>
      <c r="AK2429" s="8" t="str">
        <f ca="1">IFERROR(__xludf.DUMMYFUNCTION("""COMPUTED_VALUE"""),"No")</f>
        <v>No</v>
      </c>
      <c r="AL2429" s="8" t="str">
        <f ca="1">IFERROR(__xludf.DUMMYFUNCTION("""COMPUTED_VALUE"""),"No")</f>
        <v>No</v>
      </c>
      <c r="AM2429" s="8" t="str">
        <f ca="1">IFERROR(__xludf.DUMMYFUNCTION("""COMPUTED_VALUE"""),"No")</f>
        <v>No</v>
      </c>
      <c r="AN2429" s="8"/>
      <c r="AO2429" s="8" t="str">
        <f ca="1">IFERROR(__xludf.DUMMYFUNCTION("""COMPUTED_VALUE"""),"No")</f>
        <v>No</v>
      </c>
      <c r="AP2429" s="8" t="str">
        <f ca="1">IFERROR(__xludf.DUMMYFUNCTION("""COMPUTED_VALUE"""),"No")</f>
        <v>No</v>
      </c>
      <c r="AQ2429" s="8" t="str">
        <f ca="1">IFERROR(__xludf.DUMMYFUNCTION("""COMPUTED_VALUE"""),"None")</f>
        <v>None</v>
      </c>
      <c r="AR2429" s="8" t="str">
        <f ca="1">IFERROR(__xludf.DUMMYFUNCTION("""COMPUTED_VALUE"""),"NA")</f>
        <v>NA</v>
      </c>
      <c r="AS2429" s="8">
        <f ca="1">IFERROR(__xludf.DUMMYFUNCTION("""COMPUTED_VALUE"""),1)</f>
        <v>1</v>
      </c>
      <c r="AT2429" s="8"/>
      <c r="AU2429" s="8">
        <f ca="1">IFERROR(__xludf.DUMMYFUNCTION("""COMPUTED_VALUE"""),43.00627)</f>
        <v>43.006270000000001</v>
      </c>
      <c r="AV2429" s="8">
        <f ca="1">IFERROR(__xludf.DUMMYFUNCTION("""COMPUTED_VALUE"""),-83.665313)</f>
        <v>-83.665312999999998</v>
      </c>
      <c r="AW2429" s="8"/>
      <c r="AX2429" s="8">
        <f ca="1">IFERROR(__xludf.DUMMYFUNCTION("""COMPUTED_VALUE"""),48503)</f>
        <v>48503</v>
      </c>
    </row>
    <row r="2430" spans="1:50" ht="45" x14ac:dyDescent="0.2">
      <c r="A2430" s="8" t="str">
        <f ca="1">IFERROR(__xludf.DUMMYFUNCTION("""COMPUTED_VALUE"""),"20000224OKTET")</f>
        <v>20000224OKTET</v>
      </c>
      <c r="B2430" s="8">
        <f ca="1">IFERROR(__xludf.DUMMYFUNCTION("""COMPUTED_VALUE"""),2)</f>
        <v>2</v>
      </c>
      <c r="C2430" s="8">
        <f ca="1">IFERROR(__xludf.DUMMYFUNCTION("""COMPUTED_VALUE"""),24)</f>
        <v>24</v>
      </c>
      <c r="D2430" s="8">
        <f ca="1">IFERROR(__xludf.DUMMYFUNCTION("""COMPUTED_VALUE"""),2000)</f>
        <v>2000</v>
      </c>
      <c r="E2430" s="9">
        <f ca="1">IFERROR(__xludf.DUMMYFUNCTION("""COMPUTED_VALUE"""),36580)</f>
        <v>36580</v>
      </c>
      <c r="F2430" s="8" t="str">
        <f ca="1">IFERROR(__xludf.DUMMYFUNCTION("""COMPUTED_VALUE"""),"Tecumseh High School")</f>
        <v>Tecumseh High School</v>
      </c>
      <c r="G2430" s="8">
        <f ca="1">IFERROR(__xludf.DUMMYFUNCTION("""COMPUTED_VALUE"""),0)</f>
        <v>0</v>
      </c>
      <c r="H2430" s="8">
        <f ca="1">IFERROR(__xludf.DUMMYFUNCTION("""COMPUTED_VALUE"""),0)</f>
        <v>0</v>
      </c>
      <c r="I2430" s="8">
        <f ca="1">IFERROR(__xludf.DUMMYFUNCTION("""COMPUTED_VALUE"""),0)</f>
        <v>0</v>
      </c>
      <c r="J2430" s="8">
        <f ca="1">IFERROR(__xludf.DUMMYFUNCTION("""COMPUTED_VALUE"""),0)</f>
        <v>0</v>
      </c>
      <c r="K2430" s="10" t="str">
        <f ca="1">IFERROR(__xludf.DUMMYFUNCTION("""COMPUTED_VALUE"""),"https://www.schoolsecurity.org/trends/violent-deaths-and-school-shootings/school-deaths-1999-2000/")</f>
        <v>https://www.schoolsecurity.org/trends/violent-deaths-and-school-shootings/school-deaths-1999-2000/</v>
      </c>
      <c r="L2430" s="8">
        <f ca="1">IFERROR(__xludf.DUMMYFUNCTION("""COMPUTED_VALUE"""),1)</f>
        <v>1</v>
      </c>
      <c r="M2430" s="8"/>
      <c r="N2430" s="8">
        <f ca="1">IFERROR(__xludf.DUMMYFUNCTION("""COMPUTED_VALUE"""),1)</f>
        <v>1</v>
      </c>
      <c r="O2430" s="8" t="str">
        <f ca="1">IFERROR(__xludf.DUMMYFUNCTION("""COMPUTED_VALUE"""),"Winter")</f>
        <v>Winter</v>
      </c>
      <c r="P2430" s="8" t="str">
        <f ca="1">IFERROR(__xludf.DUMMYFUNCTION("""COMPUTED_VALUE"""),"Tecumseh")</f>
        <v>Tecumseh</v>
      </c>
      <c r="Q2430" s="8" t="str">
        <f ca="1">IFERROR(__xludf.DUMMYFUNCTION("""COMPUTED_VALUE"""),"OK")</f>
        <v>OK</v>
      </c>
      <c r="R2430" s="8" t="str">
        <f ca="1">IFERROR(__xludf.DUMMYFUNCTION("""COMPUTED_VALUE"""),"High")</f>
        <v>High</v>
      </c>
      <c r="S2430" s="8" t="str">
        <f ca="1">IFERROR(__xludf.DUMMYFUNCTION("""COMPUTED_VALUE"""),"Parking Lot")</f>
        <v>Parking Lot</v>
      </c>
      <c r="T2430" s="8" t="str">
        <f ca="1">IFERROR(__xludf.DUMMYFUNCTION("""COMPUTED_VALUE"""),"Outside on School Property")</f>
        <v>Outside on School Property</v>
      </c>
      <c r="U2430" s="8" t="str">
        <f ca="1">IFERROR(__xludf.DUMMYFUNCTION("""COMPUTED_VALUE"""),"Yes")</f>
        <v>Yes</v>
      </c>
      <c r="V2430" s="8" t="str">
        <f ca="1">IFERROR(__xludf.DUMMYFUNCTION("""COMPUTED_VALUE"""),"Morning Classes")</f>
        <v>Morning Classes</v>
      </c>
      <c r="W2430" s="11">
        <f ca="1">IFERROR(__xludf.DUMMYFUNCTION("""COMPUTED_VALUE"""),0.375)</f>
        <v>0.375</v>
      </c>
      <c r="X2430" s="8">
        <f ca="1">IFERROR(__xludf.DUMMYFUNCTION("""COMPUTED_VALUE"""),1)</f>
        <v>1</v>
      </c>
      <c r="Y2430" s="12" t="str">
        <f ca="1">IFERROR(__xludf.DUMMYFUNCTION("""COMPUTED_VALUE"""),"Shooting during fight in school parking lot")</f>
        <v>Shooting during fight in school parking lot</v>
      </c>
      <c r="Z2430" s="12" t="str">
        <f ca="1">IFERROR(__xludf.DUMMYFUNCTION("""COMPUTED_VALUE"""),"Shots were fired at a truck by a 19 year old male following an apparent fight over a girl with a 17 year old male teen in the high school parking lot.")</f>
        <v>Shots were fired at a truck by a 19 year old male following an apparent fight over a girl with a 17 year old male teen in the high school parking lot.</v>
      </c>
      <c r="AA2430" s="8" t="str">
        <f ca="1">IFERROR(__xludf.DUMMYFUNCTION("""COMPUTED_VALUE"""),"Escalation of Dispute")</f>
        <v>Escalation of Dispute</v>
      </c>
      <c r="AB2430" s="8" t="str">
        <f ca="1">IFERROR(__xludf.DUMMYFUNCTION("""COMPUTED_VALUE"""),"Targeted")</f>
        <v>Targeted</v>
      </c>
      <c r="AC2430" s="8" t="str">
        <f ca="1">IFERROR(__xludf.DUMMYFUNCTION("""COMPUTED_VALUE"""),"Yes")</f>
        <v>Yes</v>
      </c>
      <c r="AD2430" s="8" t="str">
        <f ca="1">IFERROR(__xludf.DUMMYFUNCTION("""COMPUTED_VALUE"""),"Victims Targeted")</f>
        <v>Victims Targeted</v>
      </c>
      <c r="AE2430" s="8" t="str">
        <f ca="1">IFERROR(__xludf.DUMMYFUNCTION("""COMPUTED_VALUE"""),"No")</f>
        <v>No</v>
      </c>
      <c r="AF2430" s="8"/>
      <c r="AG2430" s="8" t="str">
        <f ca="1">IFERROR(__xludf.DUMMYFUNCTION("""COMPUTED_VALUE"""),"No")</f>
        <v>No</v>
      </c>
      <c r="AH2430" s="8" t="str">
        <f ca="1">IFERROR(__xludf.DUMMYFUNCTION("""COMPUTED_VALUE"""),"No")</f>
        <v>No</v>
      </c>
      <c r="AI2430" s="8" t="str">
        <f ca="1">IFERROR(__xludf.DUMMYFUNCTION("""COMPUTED_VALUE"""),"No")</f>
        <v>No</v>
      </c>
      <c r="AJ2430" s="8" t="str">
        <f ca="1">IFERROR(__xludf.DUMMYFUNCTION("""COMPUTED_VALUE"""),"No")</f>
        <v>No</v>
      </c>
      <c r="AK2430" s="8" t="str">
        <f ca="1">IFERROR(__xludf.DUMMYFUNCTION("""COMPUTED_VALUE"""),"Yes")</f>
        <v>Yes</v>
      </c>
      <c r="AL2430" s="8" t="str">
        <f ca="1">IFERROR(__xludf.DUMMYFUNCTION("""COMPUTED_VALUE"""),"No")</f>
        <v>No</v>
      </c>
      <c r="AM2430" s="8" t="str">
        <f ca="1">IFERROR(__xludf.DUMMYFUNCTION("""COMPUTED_VALUE"""),"No")</f>
        <v>No</v>
      </c>
      <c r="AN2430" s="8" t="str">
        <f ca="1">IFERROR(__xludf.DUMMYFUNCTION("""COMPUTED_VALUE"""),"Outside")</f>
        <v>Outside</v>
      </c>
      <c r="AO2430" s="8" t="str">
        <f ca="1">IFERROR(__xludf.DUMMYFUNCTION("""COMPUTED_VALUE"""),"No")</f>
        <v>No</v>
      </c>
      <c r="AP2430" s="8"/>
      <c r="AQ2430" s="8"/>
      <c r="AR2430" s="8" t="str">
        <f ca="1">IFERROR(__xludf.DUMMYFUNCTION("""COMPUTED_VALUE"""),"Outside/Off-Property")</f>
        <v>Outside/Off-Property</v>
      </c>
      <c r="AS2430" s="8">
        <f ca="1">IFERROR(__xludf.DUMMYFUNCTION("""COMPUTED_VALUE"""),99)</f>
        <v>99</v>
      </c>
      <c r="AT2430" s="8"/>
      <c r="AU2430" s="8">
        <f ca="1">IFERROR(__xludf.DUMMYFUNCTION("""COMPUTED_VALUE"""),35.25549)</f>
        <v>35.255490000000002</v>
      </c>
      <c r="AV2430" s="8">
        <f ca="1">IFERROR(__xludf.DUMMYFUNCTION("""COMPUTED_VALUE"""),-96.9432)</f>
        <v>-96.943200000000004</v>
      </c>
      <c r="AW2430" s="8"/>
      <c r="AX2430" s="8">
        <f ca="1">IFERROR(__xludf.DUMMYFUNCTION("""COMPUTED_VALUE"""),74873)</f>
        <v>74873</v>
      </c>
    </row>
    <row r="2431" spans="1:50" ht="45" x14ac:dyDescent="0.2">
      <c r="A2431" s="8" t="str">
        <f ca="1">IFERROR(__xludf.DUMMYFUNCTION("""COMPUTED_VALUE"""),"20000222MSHOH")</f>
        <v>20000222MSHOH</v>
      </c>
      <c r="B2431" s="8">
        <f ca="1">IFERROR(__xludf.DUMMYFUNCTION("""COMPUTED_VALUE"""),2)</f>
        <v>2</v>
      </c>
      <c r="C2431" s="8">
        <f ca="1">IFERROR(__xludf.DUMMYFUNCTION("""COMPUTED_VALUE"""),22)</f>
        <v>22</v>
      </c>
      <c r="D2431" s="8">
        <f ca="1">IFERROR(__xludf.DUMMYFUNCTION("""COMPUTED_VALUE"""),2000)</f>
        <v>2000</v>
      </c>
      <c r="E2431" s="9">
        <f ca="1">IFERROR(__xludf.DUMMYFUNCTION("""COMPUTED_VALUE"""),36578)</f>
        <v>36578</v>
      </c>
      <c r="F2431" s="8" t="str">
        <f ca="1">IFERROR(__xludf.DUMMYFUNCTION("""COMPUTED_VALUE"""),"Horn Lake High School")</f>
        <v>Horn Lake High School</v>
      </c>
      <c r="G2431" s="8">
        <f ca="1">IFERROR(__xludf.DUMMYFUNCTION("""COMPUTED_VALUE"""),0)</f>
        <v>0</v>
      </c>
      <c r="H2431" s="8">
        <f ca="1">IFERROR(__xludf.DUMMYFUNCTION("""COMPUTED_VALUE"""),0)</f>
        <v>0</v>
      </c>
      <c r="I2431" s="8">
        <f ca="1">IFERROR(__xludf.DUMMYFUNCTION("""COMPUTED_VALUE"""),0)</f>
        <v>0</v>
      </c>
      <c r="J2431" s="8">
        <f ca="1">IFERROR(__xludf.DUMMYFUNCTION("""COMPUTED_VALUE"""),0)</f>
        <v>0</v>
      </c>
      <c r="K2431" s="10" t="str">
        <f ca="1">IFERROR(__xludf.DUMMYFUNCTION("""COMPUTED_VALUE"""),"https://www.newspapers.com/image/775215625/?terms=Horn%20Lake%20High%20School%20shooting&amp;match=1")</f>
        <v>https://www.newspapers.com/image/775215625/?terms=Horn%20Lake%20High%20School%20shooting&amp;match=1</v>
      </c>
      <c r="L2431" s="8">
        <f ca="1">IFERROR(__xludf.DUMMYFUNCTION("""COMPUTED_VALUE"""),1)</f>
        <v>1</v>
      </c>
      <c r="M2431" s="8" t="str">
        <f ca="1">IFERROR(__xludf.DUMMYFUNCTION("""COMPUTED_VALUE"""),"Local")</f>
        <v>Local</v>
      </c>
      <c r="N2431" s="8">
        <f ca="1">IFERROR(__xludf.DUMMYFUNCTION("""COMPUTED_VALUE"""),3)</f>
        <v>3</v>
      </c>
      <c r="O2431" s="8" t="str">
        <f ca="1">IFERROR(__xludf.DUMMYFUNCTION("""COMPUTED_VALUE"""),"Winter")</f>
        <v>Winter</v>
      </c>
      <c r="P2431" s="8" t="str">
        <f ca="1">IFERROR(__xludf.DUMMYFUNCTION("""COMPUTED_VALUE"""),"Horn Lake")</f>
        <v>Horn Lake</v>
      </c>
      <c r="Q2431" s="8" t="str">
        <f ca="1">IFERROR(__xludf.DUMMYFUNCTION("""COMPUTED_VALUE"""),"MS")</f>
        <v>MS</v>
      </c>
      <c r="R2431" s="8" t="str">
        <f ca="1">IFERROR(__xludf.DUMMYFUNCTION("""COMPUTED_VALUE"""),"High")</f>
        <v>High</v>
      </c>
      <c r="S2431" s="8" t="str">
        <f ca="1">IFERROR(__xludf.DUMMYFUNCTION("""COMPUTED_VALUE"""),"Basketball Court")</f>
        <v>Basketball Court</v>
      </c>
      <c r="T2431" s="8" t="str">
        <f ca="1">IFERROR(__xludf.DUMMYFUNCTION("""COMPUTED_VALUE"""),"Outside on School Property")</f>
        <v>Outside on School Property</v>
      </c>
      <c r="U2431" s="8" t="str">
        <f ca="1">IFERROR(__xludf.DUMMYFUNCTION("""COMPUTED_VALUE"""),"Yes")</f>
        <v>Yes</v>
      </c>
      <c r="V2431" s="8" t="str">
        <f ca="1">IFERROR(__xludf.DUMMYFUNCTION("""COMPUTED_VALUE"""),"Dismissal")</f>
        <v>Dismissal</v>
      </c>
      <c r="W2431" s="11">
        <f ca="1">IFERROR(__xludf.DUMMYFUNCTION("""COMPUTED_VALUE"""),0.629166666666666)</f>
        <v>0.62916666666666599</v>
      </c>
      <c r="X2431" s="8">
        <f ca="1">IFERROR(__xludf.DUMMYFUNCTION("""COMPUTED_VALUE"""),1)</f>
        <v>1</v>
      </c>
      <c r="Y2431" s="12" t="str">
        <f ca="1">IFERROR(__xludf.DUMMYFUNCTION("""COMPUTED_VALUE"""),"Student fired shots on tennis courts during a fight")</f>
        <v>Student fired shots on tennis courts during a fight</v>
      </c>
      <c r="Z2431" s="12" t="str">
        <f ca="1">IFERROR(__xludf.DUMMYFUNCTION("""COMPUTED_VALUE"""),"Student fired shots on tennis courts during a fight. All of the teens involved fled.")</f>
        <v>Student fired shots on tennis courts during a fight. All of the teens involved fled.</v>
      </c>
      <c r="AA2431" s="8" t="str">
        <f ca="1">IFERROR(__xludf.DUMMYFUNCTION("""COMPUTED_VALUE"""),"Escalation of Dispute")</f>
        <v>Escalation of Dispute</v>
      </c>
      <c r="AB2431" s="8" t="str">
        <f ca="1">IFERROR(__xludf.DUMMYFUNCTION("""COMPUTED_VALUE"""),"Spontaneous")</f>
        <v>Spontaneous</v>
      </c>
      <c r="AC2431" s="8" t="str">
        <f ca="1">IFERROR(__xludf.DUMMYFUNCTION("""COMPUTED_VALUE"""),"Yes")</f>
        <v>Yes</v>
      </c>
      <c r="AD2431" s="8" t="str">
        <f ca="1">IFERROR(__xludf.DUMMYFUNCTION("""COMPUTED_VALUE"""),"Victims Targeted")</f>
        <v>Victims Targeted</v>
      </c>
      <c r="AE2431" s="8" t="str">
        <f ca="1">IFERROR(__xludf.DUMMYFUNCTION("""COMPUTED_VALUE"""),"No")</f>
        <v>No</v>
      </c>
      <c r="AF2431" s="8"/>
      <c r="AG2431" s="8" t="str">
        <f ca="1">IFERROR(__xludf.DUMMYFUNCTION("""COMPUTED_VALUE"""),"No")</f>
        <v>No</v>
      </c>
      <c r="AH2431" s="8" t="str">
        <f ca="1">IFERROR(__xludf.DUMMYFUNCTION("""COMPUTED_VALUE"""),"No")</f>
        <v>No</v>
      </c>
      <c r="AI2431" s="8" t="str">
        <f ca="1">IFERROR(__xludf.DUMMYFUNCTION("""COMPUTED_VALUE"""),"No")</f>
        <v>No</v>
      </c>
      <c r="AJ2431" s="8" t="str">
        <f ca="1">IFERROR(__xludf.DUMMYFUNCTION("""COMPUTED_VALUE"""),"No")</f>
        <v>No</v>
      </c>
      <c r="AK2431" s="8" t="str">
        <f ca="1">IFERROR(__xludf.DUMMYFUNCTION("""COMPUTED_VALUE"""),"No")</f>
        <v>No</v>
      </c>
      <c r="AL2431" s="8"/>
      <c r="AM2431" s="8" t="str">
        <f ca="1">IFERROR(__xludf.DUMMYFUNCTION("""COMPUTED_VALUE"""),"No")</f>
        <v>No</v>
      </c>
      <c r="AN2431" s="8" t="str">
        <f ca="1">IFERROR(__xludf.DUMMYFUNCTION("""COMPUTED_VALUE"""),"Outside")</f>
        <v>Outside</v>
      </c>
      <c r="AO2431" s="8" t="str">
        <f ca="1">IFERROR(__xludf.DUMMYFUNCTION("""COMPUTED_VALUE"""),"No")</f>
        <v>No</v>
      </c>
      <c r="AP2431" s="8"/>
      <c r="AQ2431" s="8"/>
      <c r="AR2431" s="8" t="str">
        <f ca="1">IFERROR(__xludf.DUMMYFUNCTION("""COMPUTED_VALUE"""),"Outside/Off-Property")</f>
        <v>Outside/Off-Property</v>
      </c>
      <c r="AS2431" s="8">
        <f ca="1">IFERROR(__xludf.DUMMYFUNCTION("""COMPUTED_VALUE"""),99)</f>
        <v>99</v>
      </c>
      <c r="AT2431" s="8"/>
      <c r="AU2431" s="8">
        <f ca="1">IFERROR(__xludf.DUMMYFUNCTION("""COMPUTED_VALUE"""),34.94892)</f>
        <v>34.948920000000001</v>
      </c>
      <c r="AV2431" s="8">
        <f ca="1">IFERROR(__xludf.DUMMYFUNCTION("""COMPUTED_VALUE"""),-90.0354)</f>
        <v>-90.035399999999996</v>
      </c>
      <c r="AW2431" s="8"/>
      <c r="AX2431" s="8">
        <f ca="1">IFERROR(__xludf.DUMMYFUNCTION("""COMPUTED_VALUE"""),38637)</f>
        <v>38637</v>
      </c>
    </row>
    <row r="2432" spans="1:50" ht="75" x14ac:dyDescent="0.2">
      <c r="A2432" s="8" t="str">
        <f ca="1">IFERROR(__xludf.DUMMYFUNCTION("""COMPUTED_VALUE"""),"20000214ILDUC")</f>
        <v>20000214ILDUC</v>
      </c>
      <c r="B2432" s="8">
        <f ca="1">IFERROR(__xludf.DUMMYFUNCTION("""COMPUTED_VALUE"""),2)</f>
        <v>2</v>
      </c>
      <c r="C2432" s="8">
        <f ca="1">IFERROR(__xludf.DUMMYFUNCTION("""COMPUTED_VALUE"""),14)</f>
        <v>14</v>
      </c>
      <c r="D2432" s="8">
        <f ca="1">IFERROR(__xludf.DUMMYFUNCTION("""COMPUTED_VALUE"""),2000)</f>
        <v>2000</v>
      </c>
      <c r="E2432" s="9">
        <f ca="1">IFERROR(__xludf.DUMMYFUNCTION("""COMPUTED_VALUE"""),36570)</f>
        <v>36570</v>
      </c>
      <c r="F2432" s="8" t="str">
        <f ca="1">IFERROR(__xludf.DUMMYFUNCTION("""COMPUTED_VALUE"""),"Duke Ellington Elementary School")</f>
        <v>Duke Ellington Elementary School</v>
      </c>
      <c r="G2432" s="8">
        <f ca="1">IFERROR(__xludf.DUMMYFUNCTION("""COMPUTED_VALUE"""),0)</f>
        <v>0</v>
      </c>
      <c r="H2432" s="8">
        <f ca="1">IFERROR(__xludf.DUMMYFUNCTION("""COMPUTED_VALUE"""),1)</f>
        <v>1</v>
      </c>
      <c r="I2432" s="8">
        <f ca="1">IFERROR(__xludf.DUMMYFUNCTION("""COMPUTED_VALUE"""),1)</f>
        <v>1</v>
      </c>
      <c r="J2432" s="8">
        <f ca="1">IFERROR(__xludf.DUMMYFUNCTION("""COMPUTED_VALUE"""),0)</f>
        <v>0</v>
      </c>
      <c r="K2432" s="10" t="str">
        <f ca="1">IFERROR(__xludf.DUMMYFUNCTION("""COMPUTED_VALUE"""),"http://articles.chicagotribune.com/2000-03-30/news/0003300274_1_metal-detectors-elementary-schools-west-side-school")</f>
        <v>http://articles.chicagotribune.com/2000-03-30/news/0003300274_1_metal-detectors-elementary-schools-west-side-school</v>
      </c>
      <c r="L2432" s="8">
        <f ca="1">IFERROR(__xludf.DUMMYFUNCTION("""COMPUTED_VALUE"""),2)</f>
        <v>2</v>
      </c>
      <c r="M2432" s="8" t="str">
        <f ca="1">IFERROR(__xludf.DUMMYFUNCTION("""COMPUTED_VALUE"""),"Local")</f>
        <v>Local</v>
      </c>
      <c r="N2432" s="8">
        <f ca="1">IFERROR(__xludf.DUMMYFUNCTION("""COMPUTED_VALUE"""),2)</f>
        <v>2</v>
      </c>
      <c r="O2432" s="8" t="str">
        <f ca="1">IFERROR(__xludf.DUMMYFUNCTION("""COMPUTED_VALUE"""),"Winter")</f>
        <v>Winter</v>
      </c>
      <c r="P2432" s="8" t="str">
        <f ca="1">IFERROR(__xludf.DUMMYFUNCTION("""COMPUTED_VALUE"""),"Chicago")</f>
        <v>Chicago</v>
      </c>
      <c r="Q2432" s="8" t="str">
        <f ca="1">IFERROR(__xludf.DUMMYFUNCTION("""COMPUTED_VALUE"""),"IL")</f>
        <v>IL</v>
      </c>
      <c r="R2432" s="8" t="str">
        <f ca="1">IFERROR(__xludf.DUMMYFUNCTION("""COMPUTED_VALUE"""),"Elementary")</f>
        <v>Elementary</v>
      </c>
      <c r="S2432" s="8" t="str">
        <f ca="1">IFERROR(__xludf.DUMMYFUNCTION("""COMPUTED_VALUE"""),"Bathroom")</f>
        <v>Bathroom</v>
      </c>
      <c r="T2432" s="8" t="str">
        <f ca="1">IFERROR(__xludf.DUMMYFUNCTION("""COMPUTED_VALUE"""),"Inside School Building")</f>
        <v>Inside School Building</v>
      </c>
      <c r="U2432" s="8" t="str">
        <f ca="1">IFERROR(__xludf.DUMMYFUNCTION("""COMPUTED_VALUE"""),"Yes")</f>
        <v>Yes</v>
      </c>
      <c r="V2432" s="8" t="str">
        <f ca="1">IFERROR(__xludf.DUMMYFUNCTION("""COMPUTED_VALUE"""),"Afternoon Classes")</f>
        <v>Afternoon Classes</v>
      </c>
      <c r="W2432" s="11">
        <f ca="1">IFERROR(__xludf.DUMMYFUNCTION("""COMPUTED_VALUE"""),0.625)</f>
        <v>0.625</v>
      </c>
      <c r="X2432" s="8">
        <f ca="1">IFERROR(__xludf.DUMMYFUNCTION("""COMPUTED_VALUE"""),1)</f>
        <v>1</v>
      </c>
      <c r="Y2432" s="12" t="str">
        <f ca="1">IFERROR(__xludf.DUMMYFUNCTION("""COMPUTED_VALUE"""),"Accident discharge in bathroom, round went through wall and struck student in a classroom")</f>
        <v>Accident discharge in bathroom, round went through wall and struck student in a classroom</v>
      </c>
      <c r="Z2432" s="12" t="str">
        <f ca="1">IFERROR(__xludf.DUMMYFUNCTION("""COMPUTED_VALUE"""),"Shooter was playing with gun in the bathroom. Accidental discharge. Round when through the wall and struck another student in the classroom next door causing minor injuries. Student ditched the gun in the stairwell and fled the scene.")</f>
        <v>Shooter was playing with gun in the bathroom. Accidental discharge. Round when through the wall and struck another student in the classroom next door causing minor injuries. Student ditched the gun in the stairwell and fled the scene.</v>
      </c>
      <c r="AA2432" s="8" t="str">
        <f ca="1">IFERROR(__xludf.DUMMYFUNCTION("""COMPUTED_VALUE"""),"Accidental")</f>
        <v>Accidental</v>
      </c>
      <c r="AB2432" s="8"/>
      <c r="AC2432" s="8"/>
      <c r="AD2432" s="8" t="str">
        <f ca="1">IFERROR(__xludf.DUMMYFUNCTION("""COMPUTED_VALUE"""),"Random Shooting")</f>
        <v>Random Shooting</v>
      </c>
      <c r="AE2432" s="8" t="str">
        <f ca="1">IFERROR(__xludf.DUMMYFUNCTION("""COMPUTED_VALUE"""),"No")</f>
        <v>No</v>
      </c>
      <c r="AF2432" s="8"/>
      <c r="AG2432" s="8" t="str">
        <f ca="1">IFERROR(__xludf.DUMMYFUNCTION("""COMPUTED_VALUE"""),"No")</f>
        <v>No</v>
      </c>
      <c r="AH2432" s="8" t="str">
        <f ca="1">IFERROR(__xludf.DUMMYFUNCTION("""COMPUTED_VALUE"""),"No")</f>
        <v>No</v>
      </c>
      <c r="AI2432" s="8" t="str">
        <f ca="1">IFERROR(__xludf.DUMMYFUNCTION("""COMPUTED_VALUE"""),"No")</f>
        <v>No</v>
      </c>
      <c r="AJ2432" s="8" t="str">
        <f ca="1">IFERROR(__xludf.DUMMYFUNCTION("""COMPUTED_VALUE"""),"No")</f>
        <v>No</v>
      </c>
      <c r="AK2432" s="8" t="str">
        <f ca="1">IFERROR(__xludf.DUMMYFUNCTION("""COMPUTED_VALUE"""),"No")</f>
        <v>No</v>
      </c>
      <c r="AL2432" s="8" t="str">
        <f ca="1">IFERROR(__xludf.DUMMYFUNCTION("""COMPUTED_VALUE"""),"No")</f>
        <v>No</v>
      </c>
      <c r="AM2432" s="8"/>
      <c r="AN2432" s="8"/>
      <c r="AO2432" s="8" t="str">
        <f ca="1">IFERROR(__xludf.DUMMYFUNCTION("""COMPUTED_VALUE"""),"No")</f>
        <v>No</v>
      </c>
      <c r="AP2432" s="8" t="str">
        <f ca="1">IFERROR(__xludf.DUMMYFUNCTION("""COMPUTED_VALUE"""),"No")</f>
        <v>No</v>
      </c>
      <c r="AQ2432" s="8" t="str">
        <f ca="1">IFERROR(__xludf.DUMMYFUNCTION("""COMPUTED_VALUE"""),"None")</f>
        <v>None</v>
      </c>
      <c r="AR2432" s="8" t="str">
        <f ca="1">IFERROR(__xludf.DUMMYFUNCTION("""COMPUTED_VALUE"""),"NA")</f>
        <v>NA</v>
      </c>
      <c r="AS2432" s="8">
        <f ca="1">IFERROR(__xludf.DUMMYFUNCTION("""COMPUTED_VALUE"""),1)</f>
        <v>1</v>
      </c>
      <c r="AT2432" s="8" t="str">
        <f ca="1">IFERROR(__xludf.DUMMYFUNCTION("""COMPUTED_VALUE"""),"No")</f>
        <v>No</v>
      </c>
      <c r="AU2432" s="8">
        <f ca="1">IFERROR(__xludf.DUMMYFUNCTION("""COMPUTED_VALUE"""),41.88529)</f>
        <v>41.885289999999998</v>
      </c>
      <c r="AV2432" s="8">
        <f ca="1">IFERROR(__xludf.DUMMYFUNCTION("""COMPUTED_VALUE"""),-87.766283)</f>
        <v>-87.766283000000001</v>
      </c>
      <c r="AW2432" s="8"/>
      <c r="AX2432" s="8">
        <f ca="1">IFERROR(__xludf.DUMMYFUNCTION("""COMPUTED_VALUE"""),60644)</f>
        <v>60644</v>
      </c>
    </row>
    <row r="2433" spans="1:50" ht="75" x14ac:dyDescent="0.2">
      <c r="A2433" s="8" t="str">
        <f ca="1">IFERROR(__xludf.DUMMYFUNCTION("""COMPUTED_VALUE"""),"20000210PAPEY")</f>
        <v>20000210PAPEY</v>
      </c>
      <c r="B2433" s="8">
        <f ca="1">IFERROR(__xludf.DUMMYFUNCTION("""COMPUTED_VALUE"""),2)</f>
        <v>2</v>
      </c>
      <c r="C2433" s="8">
        <f ca="1">IFERROR(__xludf.DUMMYFUNCTION("""COMPUTED_VALUE"""),10)</f>
        <v>10</v>
      </c>
      <c r="D2433" s="8">
        <f ca="1">IFERROR(__xludf.DUMMYFUNCTION("""COMPUTED_VALUE"""),2000)</f>
        <v>2000</v>
      </c>
      <c r="E2433" s="9">
        <f ca="1">IFERROR(__xludf.DUMMYFUNCTION("""COMPUTED_VALUE"""),36566)</f>
        <v>36566</v>
      </c>
      <c r="F2433" s="8" t="str">
        <f ca="1">IFERROR(__xludf.DUMMYFUNCTION("""COMPUTED_VALUE"""),"Penn Wood East Junior High School")</f>
        <v>Penn Wood East Junior High School</v>
      </c>
      <c r="G2433" s="8">
        <f ca="1">IFERROR(__xludf.DUMMYFUNCTION("""COMPUTED_VALUE"""),0)</f>
        <v>0</v>
      </c>
      <c r="H2433" s="8">
        <f ca="1">IFERROR(__xludf.DUMMYFUNCTION("""COMPUTED_VALUE"""),0)</f>
        <v>0</v>
      </c>
      <c r="I2433" s="8">
        <f ca="1">IFERROR(__xludf.DUMMYFUNCTION("""COMPUTED_VALUE"""),0)</f>
        <v>0</v>
      </c>
      <c r="J2433" s="8">
        <f ca="1">IFERROR(__xludf.DUMMYFUNCTION("""COMPUTED_VALUE"""),0)</f>
        <v>0</v>
      </c>
      <c r="K2433" s="8" t="str">
        <f ca="1">IFERROR(__xludf.DUMMYFUNCTION("""COMPUTED_VALUE"""),"Philadelphia Inquirer - Man, Still at Large, is Charged with Beating in Delco Schoolyard; https://www.columbine-angels.com/School_Violence_1999-2000.htm")</f>
        <v>Philadelphia Inquirer - Man, Still at Large, is Charged with Beating in Delco Schoolyard; https://www.columbine-angels.com/School_Violence_1999-2000.htm</v>
      </c>
      <c r="L2433" s="8"/>
      <c r="M2433" s="8"/>
      <c r="N2433" s="8">
        <f ca="1">IFERROR(__xludf.DUMMYFUNCTION("""COMPUTED_VALUE"""),2)</f>
        <v>2</v>
      </c>
      <c r="O2433" s="8" t="str">
        <f ca="1">IFERROR(__xludf.DUMMYFUNCTION("""COMPUTED_VALUE"""),"Winter")</f>
        <v>Winter</v>
      </c>
      <c r="P2433" s="8" t="str">
        <f ca="1">IFERROR(__xludf.DUMMYFUNCTION("""COMPUTED_VALUE"""),"Yeadon")</f>
        <v>Yeadon</v>
      </c>
      <c r="Q2433" s="8" t="str">
        <f ca="1">IFERROR(__xludf.DUMMYFUNCTION("""COMPUTED_VALUE"""),"PA")</f>
        <v>PA</v>
      </c>
      <c r="R2433" s="8" t="str">
        <f ca="1">IFERROR(__xludf.DUMMYFUNCTION("""COMPUTED_VALUE"""),"Junior High")</f>
        <v>Junior High</v>
      </c>
      <c r="S2433" s="8" t="str">
        <f ca="1">IFERROR(__xludf.DUMMYFUNCTION("""COMPUTED_VALUE"""),"Beside Building")</f>
        <v>Beside Building</v>
      </c>
      <c r="T2433" s="8" t="str">
        <f ca="1">IFERROR(__xludf.DUMMYFUNCTION("""COMPUTED_VALUE"""),"Outside on School Property")</f>
        <v>Outside on School Property</v>
      </c>
      <c r="U2433" s="8" t="str">
        <f ca="1">IFERROR(__xludf.DUMMYFUNCTION("""COMPUTED_VALUE"""),"Yes")</f>
        <v>Yes</v>
      </c>
      <c r="V2433" s="8" t="str">
        <f ca="1">IFERROR(__xludf.DUMMYFUNCTION("""COMPUTED_VALUE"""),"Dismissal")</f>
        <v>Dismissal</v>
      </c>
      <c r="W2433" s="11">
        <f ca="1">IFERROR(__xludf.DUMMYFUNCTION("""COMPUTED_VALUE"""),0.59375)</f>
        <v>0.59375</v>
      </c>
      <c r="X2433" s="8">
        <f ca="1">IFERROR(__xludf.DUMMYFUNCTION("""COMPUTED_VALUE"""),1)</f>
        <v>1</v>
      </c>
      <c r="Y2433" s="12" t="str">
        <f ca="1">IFERROR(__xludf.DUMMYFUNCTION("""COMPUTED_VALUE"""),"Ongoing fight, fired gun and missed, pointed at principal and misfired")</f>
        <v>Ongoing fight, fired gun and missed, pointed at principal and misfired</v>
      </c>
      <c r="Z2433" s="12" t="str">
        <f ca="1">IFERROR(__xludf.DUMMYFUNCTION("""COMPUTED_VALUE"""),"13YOM had ongoing fight with 14YOM student. Got handgun from 25YOM and confronted 14YOM. Fired shot that hit the ground. Principal heard the shot and ran over. 13YOM pointed the gun at the principal and fired but the gun jammed.")</f>
        <v>13YOM had ongoing fight with 14YOM student. Got handgun from 25YOM and confronted 14YOM. Fired shot that hit the ground. Principal heard the shot and ran over. 13YOM pointed the gun at the principal and fired but the gun jammed.</v>
      </c>
      <c r="AA2433" s="8" t="str">
        <f ca="1">IFERROR(__xludf.DUMMYFUNCTION("""COMPUTED_VALUE"""),"Escalation of Dispute")</f>
        <v>Escalation of Dispute</v>
      </c>
      <c r="AB2433" s="8"/>
      <c r="AC2433" s="8"/>
      <c r="AD2433" s="8" t="str">
        <f ca="1">IFERROR(__xludf.DUMMYFUNCTION("""COMPUTED_VALUE"""),"Victims Targeted")</f>
        <v>Victims Targeted</v>
      </c>
      <c r="AE2433" s="8" t="str">
        <f ca="1">IFERROR(__xludf.DUMMYFUNCTION("""COMPUTED_VALUE"""),"Yes")</f>
        <v>Yes</v>
      </c>
      <c r="AF2433" s="8" t="str">
        <f ca="1">IFERROR(__xludf.DUMMYFUNCTION("""COMPUTED_VALUE"""),"25 YOM provided gun")</f>
        <v>25 YOM provided gun</v>
      </c>
      <c r="AG2433" s="8" t="str">
        <f ca="1">IFERROR(__xludf.DUMMYFUNCTION("""COMPUTED_VALUE"""),"No")</f>
        <v>No</v>
      </c>
      <c r="AH2433" s="8" t="str">
        <f ca="1">IFERROR(__xludf.DUMMYFUNCTION("""COMPUTED_VALUE"""),"No")</f>
        <v>No</v>
      </c>
      <c r="AI2433" s="8" t="str">
        <f ca="1">IFERROR(__xludf.DUMMYFUNCTION("""COMPUTED_VALUE"""),"No")</f>
        <v>No</v>
      </c>
      <c r="AJ2433" s="8" t="str">
        <f ca="1">IFERROR(__xludf.DUMMYFUNCTION("""COMPUTED_VALUE"""),"No")</f>
        <v>No</v>
      </c>
      <c r="AK2433" s="8" t="str">
        <f ca="1">IFERROR(__xludf.DUMMYFUNCTION("""COMPUTED_VALUE"""),"No")</f>
        <v>No</v>
      </c>
      <c r="AL2433" s="8" t="str">
        <f ca="1">IFERROR(__xludf.DUMMYFUNCTION("""COMPUTED_VALUE"""),"No")</f>
        <v>No</v>
      </c>
      <c r="AM2433" s="8"/>
      <c r="AN2433" s="8"/>
      <c r="AO2433" s="8" t="str">
        <f ca="1">IFERROR(__xludf.DUMMYFUNCTION("""COMPUTED_VALUE"""),"No")</f>
        <v>No</v>
      </c>
      <c r="AP2433" s="8"/>
      <c r="AQ2433" s="8" t="str">
        <f ca="1">IFERROR(__xludf.DUMMYFUNCTION("""COMPUTED_VALUE"""),"Unknown")</f>
        <v>Unknown</v>
      </c>
      <c r="AR2433" s="8" t="str">
        <f ca="1">IFERROR(__xludf.DUMMYFUNCTION("""COMPUTED_VALUE"""),"NA")</f>
        <v>NA</v>
      </c>
      <c r="AS2433" s="8">
        <f ca="1">IFERROR(__xludf.DUMMYFUNCTION("""COMPUTED_VALUE"""),1)</f>
        <v>1</v>
      </c>
      <c r="AT2433" s="8"/>
      <c r="AU2433" s="8">
        <f ca="1">IFERROR(__xludf.DUMMYFUNCTION("""COMPUTED_VALUE"""),39.937331)</f>
        <v>39.937331</v>
      </c>
      <c r="AV2433" s="8">
        <f ca="1">IFERROR(__xludf.DUMMYFUNCTION("""COMPUTED_VALUE"""),-75.25054)</f>
        <v>-75.250540000000001</v>
      </c>
      <c r="AW2433" s="8"/>
      <c r="AX2433" s="8">
        <f ca="1">IFERROR(__xludf.DUMMYFUNCTION("""COMPUTED_VALUE"""),19050)</f>
        <v>19050</v>
      </c>
    </row>
    <row r="2434" spans="1:50" ht="75" x14ac:dyDescent="0.2">
      <c r="A2434" s="8" t="str">
        <f ca="1">IFERROR(__xludf.DUMMYFUNCTION("""COMPUTED_VALUE"""),"20000126NESOO")</f>
        <v>20000126NESOO</v>
      </c>
      <c r="B2434" s="8">
        <f ca="1">IFERROR(__xludf.DUMMYFUNCTION("""COMPUTED_VALUE"""),1)</f>
        <v>1</v>
      </c>
      <c r="C2434" s="8">
        <f ca="1">IFERROR(__xludf.DUMMYFUNCTION("""COMPUTED_VALUE"""),26)</f>
        <v>26</v>
      </c>
      <c r="D2434" s="8">
        <f ca="1">IFERROR(__xludf.DUMMYFUNCTION("""COMPUTED_VALUE"""),2000)</f>
        <v>2000</v>
      </c>
      <c r="E2434" s="9">
        <f ca="1">IFERROR(__xludf.DUMMYFUNCTION("""COMPUTED_VALUE"""),36551)</f>
        <v>36551</v>
      </c>
      <c r="F2434" s="8" t="str">
        <f ca="1">IFERROR(__xludf.DUMMYFUNCTION("""COMPUTED_VALUE"""),"South High School")</f>
        <v>South High School</v>
      </c>
      <c r="G2434" s="8">
        <f ca="1">IFERROR(__xludf.DUMMYFUNCTION("""COMPUTED_VALUE"""),0)</f>
        <v>0</v>
      </c>
      <c r="H2434" s="8">
        <f ca="1">IFERROR(__xludf.DUMMYFUNCTION("""COMPUTED_VALUE"""),1)</f>
        <v>1</v>
      </c>
      <c r="I2434" s="8">
        <f ca="1">IFERROR(__xludf.DUMMYFUNCTION("""COMPUTED_VALUE"""),1)</f>
        <v>1</v>
      </c>
      <c r="J2434" s="8">
        <f ca="1">IFERROR(__xludf.DUMMYFUNCTION("""COMPUTED_VALUE"""),0)</f>
        <v>0</v>
      </c>
      <c r="K2434" s="8" t="str">
        <f ca="1">IFERROR(__xludf.DUMMYFUNCTION("""COMPUTED_VALUE"""),"Lincoln Journal Star - Omaha Teen Grazed by Gunfire at School; https://www.columbine-angels.com/School_Violence_1999-2000.htm")</f>
        <v>Lincoln Journal Star - Omaha Teen Grazed by Gunfire at School; https://www.columbine-angels.com/School_Violence_1999-2000.htm</v>
      </c>
      <c r="L2434" s="8"/>
      <c r="M2434" s="8"/>
      <c r="N2434" s="8">
        <f ca="1">IFERROR(__xludf.DUMMYFUNCTION("""COMPUTED_VALUE"""),2)</f>
        <v>2</v>
      </c>
      <c r="O2434" s="8" t="str">
        <f ca="1">IFERROR(__xludf.DUMMYFUNCTION("""COMPUTED_VALUE"""),"Winter")</f>
        <v>Winter</v>
      </c>
      <c r="P2434" s="8" t="str">
        <f ca="1">IFERROR(__xludf.DUMMYFUNCTION("""COMPUTED_VALUE"""),"Omaha")</f>
        <v>Omaha</v>
      </c>
      <c r="Q2434" s="8" t="str">
        <f ca="1">IFERROR(__xludf.DUMMYFUNCTION("""COMPUTED_VALUE"""),"NE")</f>
        <v>NE</v>
      </c>
      <c r="R2434" s="8" t="str">
        <f ca="1">IFERROR(__xludf.DUMMYFUNCTION("""COMPUTED_VALUE"""),"High")</f>
        <v>High</v>
      </c>
      <c r="S2434" s="8" t="str">
        <f ca="1">IFERROR(__xludf.DUMMYFUNCTION("""COMPUTED_VALUE"""),"Front of School")</f>
        <v>Front of School</v>
      </c>
      <c r="T2434" s="8" t="str">
        <f ca="1">IFERROR(__xludf.DUMMYFUNCTION("""COMPUTED_VALUE"""),"Outside on School Property")</f>
        <v>Outside on School Property</v>
      </c>
      <c r="U2434" s="8" t="str">
        <f ca="1">IFERROR(__xludf.DUMMYFUNCTION("""COMPUTED_VALUE"""),"Yes")</f>
        <v>Yes</v>
      </c>
      <c r="V2434" s="8" t="str">
        <f ca="1">IFERROR(__xludf.DUMMYFUNCTION("""COMPUTED_VALUE"""),"Dismissal")</f>
        <v>Dismissal</v>
      </c>
      <c r="W2434" s="8"/>
      <c r="X2434" s="8">
        <f ca="1">IFERROR(__xludf.DUMMYFUNCTION("""COMPUTED_VALUE"""),1)</f>
        <v>1</v>
      </c>
      <c r="Y2434" s="12" t="str">
        <f ca="1">IFERROR(__xludf.DUMMYFUNCTION("""COMPUTED_VALUE"""),"Shooter targeted victim he was fighting with, missed and hit female student")</f>
        <v>Shooter targeted victim he was fighting with, missed and hit female student</v>
      </c>
      <c r="Z2434" s="12" t="str">
        <f ca="1">IFERROR(__xludf.DUMMYFUNCTION("""COMPUTED_VALUE"""),"Shooter fired at 17YOM student he had ongoing fight with as students lined up for the school buses. Shot missed striking a female student.")</f>
        <v>Shooter fired at 17YOM student he had ongoing fight with as students lined up for the school buses. Shot missed striking a female student.</v>
      </c>
      <c r="AA2434" s="8" t="str">
        <f ca="1">IFERROR(__xludf.DUMMYFUNCTION("""COMPUTED_VALUE"""),"Escalation of Dispute")</f>
        <v>Escalation of Dispute</v>
      </c>
      <c r="AB2434" s="8"/>
      <c r="AC2434" s="8"/>
      <c r="AD2434" s="8" t="str">
        <f ca="1">IFERROR(__xludf.DUMMYFUNCTION("""COMPUTED_VALUE"""),"Both")</f>
        <v>Both</v>
      </c>
      <c r="AE2434" s="8" t="str">
        <f ca="1">IFERROR(__xludf.DUMMYFUNCTION("""COMPUTED_VALUE"""),"No")</f>
        <v>No</v>
      </c>
      <c r="AF2434" s="8"/>
      <c r="AG2434" s="8" t="str">
        <f ca="1">IFERROR(__xludf.DUMMYFUNCTION("""COMPUTED_VALUE"""),"No")</f>
        <v>No</v>
      </c>
      <c r="AH2434" s="8" t="str">
        <f ca="1">IFERROR(__xludf.DUMMYFUNCTION("""COMPUTED_VALUE"""),"No")</f>
        <v>No</v>
      </c>
      <c r="AI2434" s="8" t="str">
        <f ca="1">IFERROR(__xludf.DUMMYFUNCTION("""COMPUTED_VALUE"""),"No")</f>
        <v>No</v>
      </c>
      <c r="AJ2434" s="8" t="str">
        <f ca="1">IFERROR(__xludf.DUMMYFUNCTION("""COMPUTED_VALUE"""),"No")</f>
        <v>No</v>
      </c>
      <c r="AK2434" s="8" t="str">
        <f ca="1">IFERROR(__xludf.DUMMYFUNCTION("""COMPUTED_VALUE"""),"No")</f>
        <v>No</v>
      </c>
      <c r="AL2434" s="8" t="str">
        <f ca="1">IFERROR(__xludf.DUMMYFUNCTION("""COMPUTED_VALUE"""),"No")</f>
        <v>No</v>
      </c>
      <c r="AM2434" s="8"/>
      <c r="AN2434" s="8"/>
      <c r="AO2434" s="8" t="str">
        <f ca="1">IFERROR(__xludf.DUMMYFUNCTION("""COMPUTED_VALUE"""),"No")</f>
        <v>No</v>
      </c>
      <c r="AP2434" s="8"/>
      <c r="AQ2434" s="8" t="str">
        <f ca="1">IFERROR(__xludf.DUMMYFUNCTION("""COMPUTED_VALUE"""),"Unknown")</f>
        <v>Unknown</v>
      </c>
      <c r="AR2434" s="8" t="str">
        <f ca="1">IFERROR(__xludf.DUMMYFUNCTION("""COMPUTED_VALUE"""),"NA")</f>
        <v>NA</v>
      </c>
      <c r="AS2434" s="8">
        <f ca="1">IFERROR(__xludf.DUMMYFUNCTION("""COMPUTED_VALUE"""),1)</f>
        <v>1</v>
      </c>
      <c r="AT2434" s="8"/>
      <c r="AU2434" s="8">
        <f ca="1">IFERROR(__xludf.DUMMYFUNCTION("""COMPUTED_VALUE"""),41.213447)</f>
        <v>41.213447000000002</v>
      </c>
      <c r="AV2434" s="8">
        <f ca="1">IFERROR(__xludf.DUMMYFUNCTION("""COMPUTED_VALUE"""),-95.94641)</f>
        <v>-95.94641</v>
      </c>
      <c r="AW2434" s="8"/>
      <c r="AX2434" s="8">
        <f ca="1">IFERROR(__xludf.DUMMYFUNCTION("""COMPUTED_VALUE"""),68107)</f>
        <v>68107</v>
      </c>
    </row>
    <row r="2435" spans="1:50" ht="75" x14ac:dyDescent="0.2">
      <c r="A2435" s="8" t="str">
        <f ca="1">IFERROR(__xludf.DUMMYFUNCTION("""COMPUTED_VALUE"""),"20000126CAALM")</f>
        <v>20000126CAALM</v>
      </c>
      <c r="B2435" s="8">
        <f ca="1">IFERROR(__xludf.DUMMYFUNCTION("""COMPUTED_VALUE"""),1)</f>
        <v>1</v>
      </c>
      <c r="C2435" s="8">
        <f ca="1">IFERROR(__xludf.DUMMYFUNCTION("""COMPUTED_VALUE"""),26)</f>
        <v>26</v>
      </c>
      <c r="D2435" s="8">
        <f ca="1">IFERROR(__xludf.DUMMYFUNCTION("""COMPUTED_VALUE"""),2000)</f>
        <v>2000</v>
      </c>
      <c r="E2435" s="9">
        <f ca="1">IFERROR(__xludf.DUMMYFUNCTION("""COMPUTED_VALUE"""),36551)</f>
        <v>36551</v>
      </c>
      <c r="F2435" s="8" t="str">
        <f ca="1">IFERROR(__xludf.DUMMYFUNCTION("""COMPUTED_VALUE"""),"Alicia Reyes Elementary School")</f>
        <v>Alicia Reyes Elementary School</v>
      </c>
      <c r="G2435" s="8">
        <f ca="1">IFERROR(__xludf.DUMMYFUNCTION("""COMPUTED_VALUE"""),0)</f>
        <v>0</v>
      </c>
      <c r="H2435" s="8">
        <f ca="1">IFERROR(__xludf.DUMMYFUNCTION("""COMPUTED_VALUE"""),0)</f>
        <v>0</v>
      </c>
      <c r="I2435" s="8">
        <f ca="1">IFERROR(__xludf.DUMMYFUNCTION("""COMPUTED_VALUE"""),0)</f>
        <v>0</v>
      </c>
      <c r="J2435" s="8">
        <f ca="1">IFERROR(__xludf.DUMMYFUNCTION("""COMPUTED_VALUE"""),0)</f>
        <v>0</v>
      </c>
      <c r="K2435" s="8" t="str">
        <f ca="1">IFERROR(__xludf.DUMMYFUNCTION("""COMPUTED_VALUE"""),"Fresno Bee - Dirty Looks Apparently Spark Shooting at Merced School, 13-Year-Old Boy Shot Twice at an Older Teen and Missed; https://www.columbine-angels.com/School_Violence_1999-2000.htm")</f>
        <v>Fresno Bee - Dirty Looks Apparently Spark Shooting at Merced School, 13-Year-Old Boy Shot Twice at an Older Teen and Missed; https://www.columbine-angels.com/School_Violence_1999-2000.htm</v>
      </c>
      <c r="L2435" s="8"/>
      <c r="M2435" s="8" t="str">
        <f ca="1">IFERROR(__xludf.DUMMYFUNCTION("""COMPUTED_VALUE"""),"Local")</f>
        <v>Local</v>
      </c>
      <c r="N2435" s="8">
        <f ca="1">IFERROR(__xludf.DUMMYFUNCTION("""COMPUTED_VALUE"""),1)</f>
        <v>1</v>
      </c>
      <c r="O2435" s="8" t="str">
        <f ca="1">IFERROR(__xludf.DUMMYFUNCTION("""COMPUTED_VALUE"""),"Winter")</f>
        <v>Winter</v>
      </c>
      <c r="P2435" s="8" t="str">
        <f ca="1">IFERROR(__xludf.DUMMYFUNCTION("""COMPUTED_VALUE"""),"Merced")</f>
        <v>Merced</v>
      </c>
      <c r="Q2435" s="8" t="str">
        <f ca="1">IFERROR(__xludf.DUMMYFUNCTION("""COMPUTED_VALUE"""),"CA")</f>
        <v>CA</v>
      </c>
      <c r="R2435" s="8" t="str">
        <f ca="1">IFERROR(__xludf.DUMMYFUNCTION("""COMPUTED_VALUE"""),"Elementary")</f>
        <v>Elementary</v>
      </c>
      <c r="S2435" s="8" t="str">
        <f ca="1">IFERROR(__xludf.DUMMYFUNCTION("""COMPUTED_VALUE"""),"Parking Lot")</f>
        <v>Parking Lot</v>
      </c>
      <c r="T2435" s="8" t="str">
        <f ca="1">IFERROR(__xludf.DUMMYFUNCTION("""COMPUTED_VALUE"""),"Outside on School Property")</f>
        <v>Outside on School Property</v>
      </c>
      <c r="U2435" s="8" t="str">
        <f ca="1">IFERROR(__xludf.DUMMYFUNCTION("""COMPUTED_VALUE"""),"Yes")</f>
        <v>Yes</v>
      </c>
      <c r="V2435" s="8" t="str">
        <f ca="1">IFERROR(__xludf.DUMMYFUNCTION("""COMPUTED_VALUE"""),"School Start")</f>
        <v>School Start</v>
      </c>
      <c r="W2435" s="11">
        <f ca="1">IFERROR(__xludf.DUMMYFUNCTION("""COMPUTED_VALUE"""),0.356944444444444)</f>
        <v>0.35694444444444401</v>
      </c>
      <c r="X2435" s="8">
        <f ca="1">IFERROR(__xludf.DUMMYFUNCTION("""COMPUTED_VALUE"""),1)</f>
        <v>1</v>
      </c>
      <c r="Y2435" s="12" t="str">
        <f ca="1">IFERROR(__xludf.DUMMYFUNCTION("""COMPUTED_VALUE"""),"Ongoing dispute that escalated")</f>
        <v>Ongoing dispute that escalated</v>
      </c>
      <c r="Z2435" s="12" t="str">
        <f ca="1">IFERROR(__xludf.DUMMYFUNCTION("""COMPUTED_VALUE"""),"13 year old student fired 5 shots at a 17 year old student inside a vehicle in the school parking lot. None of the shots struck anyone. Reported to be Ongoing dispute between students. Shooter immediately fled the scene and was arrested later.")</f>
        <v>13 year old student fired 5 shots at a 17 year old student inside a vehicle in the school parking lot. None of the shots struck anyone. Reported to be Ongoing dispute between students. Shooter immediately fled the scene and was arrested later.</v>
      </c>
      <c r="AA2435" s="8" t="str">
        <f ca="1">IFERROR(__xludf.DUMMYFUNCTION("""COMPUTED_VALUE"""),"Escalation of Dispute")</f>
        <v>Escalation of Dispute</v>
      </c>
      <c r="AB2435" s="8"/>
      <c r="AC2435" s="8"/>
      <c r="AD2435" s="8" t="str">
        <f ca="1">IFERROR(__xludf.DUMMYFUNCTION("""COMPUTED_VALUE"""),"Victims Targeted")</f>
        <v>Victims Targeted</v>
      </c>
      <c r="AE2435" s="8" t="str">
        <f ca="1">IFERROR(__xludf.DUMMYFUNCTION("""COMPUTED_VALUE"""),"No")</f>
        <v>No</v>
      </c>
      <c r="AF2435" s="8"/>
      <c r="AG2435" s="8" t="str">
        <f ca="1">IFERROR(__xludf.DUMMYFUNCTION("""COMPUTED_VALUE"""),"No")</f>
        <v>No</v>
      </c>
      <c r="AH2435" s="8" t="str">
        <f ca="1">IFERROR(__xludf.DUMMYFUNCTION("""COMPUTED_VALUE"""),"No")</f>
        <v>No</v>
      </c>
      <c r="AI2435" s="8" t="str">
        <f ca="1">IFERROR(__xludf.DUMMYFUNCTION("""COMPUTED_VALUE"""),"No")</f>
        <v>No</v>
      </c>
      <c r="AJ2435" s="8" t="str">
        <f ca="1">IFERROR(__xludf.DUMMYFUNCTION("""COMPUTED_VALUE"""),"Yes")</f>
        <v>Yes</v>
      </c>
      <c r="AK2435" s="8" t="str">
        <f ca="1">IFERROR(__xludf.DUMMYFUNCTION("""COMPUTED_VALUE"""),"No")</f>
        <v>No</v>
      </c>
      <c r="AL2435" s="8" t="str">
        <f ca="1">IFERROR(__xludf.DUMMYFUNCTION("""COMPUTED_VALUE"""),"No")</f>
        <v>No</v>
      </c>
      <c r="AM2435" s="8"/>
      <c r="AN2435" s="8"/>
      <c r="AO2435" s="8" t="str">
        <f ca="1">IFERROR(__xludf.DUMMYFUNCTION("""COMPUTED_VALUE"""),"No")</f>
        <v>No</v>
      </c>
      <c r="AP2435" s="8" t="str">
        <f ca="1">IFERROR(__xludf.DUMMYFUNCTION("""COMPUTED_VALUE"""),"No")</f>
        <v>No</v>
      </c>
      <c r="AQ2435" s="8" t="str">
        <f ca="1">IFERROR(__xludf.DUMMYFUNCTION("""COMPUTED_VALUE"""),"Unknown")</f>
        <v>Unknown</v>
      </c>
      <c r="AR2435" s="8" t="str">
        <f ca="1">IFERROR(__xludf.DUMMYFUNCTION("""COMPUTED_VALUE"""),"NA")</f>
        <v>NA</v>
      </c>
      <c r="AS2435" s="8">
        <f ca="1">IFERROR(__xludf.DUMMYFUNCTION("""COMPUTED_VALUE"""),5)</f>
        <v>5</v>
      </c>
      <c r="AT2435" s="8" t="str">
        <f ca="1">IFERROR(__xludf.DUMMYFUNCTION("""COMPUTED_VALUE"""),"No")</f>
        <v>No</v>
      </c>
      <c r="AU2435" s="8">
        <f ca="1">IFERROR(__xludf.DUMMYFUNCTION("""COMPUTED_VALUE"""),37.287308)</f>
        <v>37.287308000000003</v>
      </c>
      <c r="AV2435" s="8">
        <f ca="1">IFERROR(__xludf.DUMMYFUNCTION("""COMPUTED_VALUE"""),-120.496096)</f>
        <v>-120.49609599999999</v>
      </c>
      <c r="AW2435" s="8"/>
      <c r="AX2435" s="8">
        <f ca="1">IFERROR(__xludf.DUMMYFUNCTION("""COMPUTED_VALUE"""),95341)</f>
        <v>95341</v>
      </c>
    </row>
    <row r="2436" spans="1:50" ht="60" x14ac:dyDescent="0.2">
      <c r="A2436" s="8" t="str">
        <f ca="1">IFERROR(__xludf.DUMMYFUNCTION("""COMPUTED_VALUE"""),"20000120NCERA")</f>
        <v>20000120NCERA</v>
      </c>
      <c r="B2436" s="8">
        <f ca="1">IFERROR(__xludf.DUMMYFUNCTION("""COMPUTED_VALUE"""),1)</f>
        <v>1</v>
      </c>
      <c r="C2436" s="8">
        <f ca="1">IFERROR(__xludf.DUMMYFUNCTION("""COMPUTED_VALUE"""),20)</f>
        <v>20</v>
      </c>
      <c r="D2436" s="8">
        <f ca="1">IFERROR(__xludf.DUMMYFUNCTION("""COMPUTED_VALUE"""),2000)</f>
        <v>2000</v>
      </c>
      <c r="E2436" s="9">
        <f ca="1">IFERROR(__xludf.DUMMYFUNCTION("""COMPUTED_VALUE"""),36545)</f>
        <v>36545</v>
      </c>
      <c r="F2436" s="8" t="str">
        <f ca="1">IFERROR(__xludf.DUMMYFUNCTION("""COMPUTED_VALUE"""),"Erwin High School")</f>
        <v>Erwin High School</v>
      </c>
      <c r="G2436" s="8">
        <f ca="1">IFERROR(__xludf.DUMMYFUNCTION("""COMPUTED_VALUE"""),0)</f>
        <v>0</v>
      </c>
      <c r="H2436" s="8">
        <f ca="1">IFERROR(__xludf.DUMMYFUNCTION("""COMPUTED_VALUE"""),0)</f>
        <v>0</v>
      </c>
      <c r="I2436" s="8">
        <f ca="1">IFERROR(__xludf.DUMMYFUNCTION("""COMPUTED_VALUE"""),0)</f>
        <v>0</v>
      </c>
      <c r="J2436" s="8">
        <f ca="1">IFERROR(__xludf.DUMMYFUNCTION("""COMPUTED_VALUE"""),0)</f>
        <v>0</v>
      </c>
      <c r="K2436" s="10" t="str">
        <f ca="1">IFERROR(__xludf.DUMMYFUNCTION("""COMPUTED_VALUE"""),"https://www.newspapers.com/image/197812875/?terms=Erwin%2BHigh%2BSchool%2Bshooting")</f>
        <v>https://www.newspapers.com/image/197812875/?terms=Erwin%2BHigh%2BSchool%2Bshooting</v>
      </c>
      <c r="L2436" s="8"/>
      <c r="M2436" s="8"/>
      <c r="N2436" s="8">
        <f ca="1">IFERROR(__xludf.DUMMYFUNCTION("""COMPUTED_VALUE"""),2)</f>
        <v>2</v>
      </c>
      <c r="O2436" s="8" t="str">
        <f ca="1">IFERROR(__xludf.DUMMYFUNCTION("""COMPUTED_VALUE"""),"Winter")</f>
        <v>Winter</v>
      </c>
      <c r="P2436" s="8" t="str">
        <f ca="1">IFERROR(__xludf.DUMMYFUNCTION("""COMPUTED_VALUE"""),"Asheville")</f>
        <v>Asheville</v>
      </c>
      <c r="Q2436" s="8" t="str">
        <f ca="1">IFERROR(__xludf.DUMMYFUNCTION("""COMPUTED_VALUE"""),"NC")</f>
        <v>NC</v>
      </c>
      <c r="R2436" s="8" t="str">
        <f ca="1">IFERROR(__xludf.DUMMYFUNCTION("""COMPUTED_VALUE"""),"High")</f>
        <v>High</v>
      </c>
      <c r="S2436" s="8" t="str">
        <f ca="1">IFERROR(__xludf.DUMMYFUNCTION("""COMPUTED_VALUE"""),"Gym")</f>
        <v>Gym</v>
      </c>
      <c r="T2436" s="8" t="str">
        <f ca="1">IFERROR(__xludf.DUMMYFUNCTION("""COMPUTED_VALUE"""),"Inside School Building")</f>
        <v>Inside School Building</v>
      </c>
      <c r="U2436" s="8" t="str">
        <f ca="1">IFERROR(__xludf.DUMMYFUNCTION("""COMPUTED_VALUE"""),"No")</f>
        <v>No</v>
      </c>
      <c r="V2436" s="8" t="str">
        <f ca="1">IFERROR(__xludf.DUMMYFUNCTION("""COMPUTED_VALUE"""),"Evening")</f>
        <v>Evening</v>
      </c>
      <c r="W2436" s="8"/>
      <c r="X2436" s="8"/>
      <c r="Y2436" s="12" t="str">
        <f ca="1">IFERROR(__xludf.DUMMYFUNCTION("""COMPUTED_VALUE"""),"Fired rifle into school building, made bomb threat")</f>
        <v>Fired rifle into school building, made bomb threat</v>
      </c>
      <c r="Z2436" s="12" t="str">
        <f ca="1">IFERROR(__xludf.DUMMYFUNCTION("""COMPUTED_VALUE"""),"17YOM dropout fired rifle into the school gym missing students inside. Shooter also made bomb threat. Three other students were charged with conspiracy to plan an attack.")</f>
        <v>17YOM dropout fired rifle into the school gym missing students inside. Shooter also made bomb threat. Three other students were charged with conspiracy to plan an attack.</v>
      </c>
      <c r="AA2436" s="8" t="str">
        <f ca="1">IFERROR(__xludf.DUMMYFUNCTION("""COMPUTED_VALUE"""),"Indiscriminate Shooting")</f>
        <v>Indiscriminate Shooting</v>
      </c>
      <c r="AB2436" s="8"/>
      <c r="AC2436" s="8" t="str">
        <f ca="1">IFERROR(__xludf.DUMMYFUNCTION("""COMPUTED_VALUE"""),"Yes")</f>
        <v>Yes</v>
      </c>
      <c r="AD2436" s="8" t="str">
        <f ca="1">IFERROR(__xludf.DUMMYFUNCTION("""COMPUTED_VALUE"""),"Random Shooting")</f>
        <v>Random Shooting</v>
      </c>
      <c r="AE2436" s="8" t="str">
        <f ca="1">IFERROR(__xludf.DUMMYFUNCTION("""COMPUTED_VALUE"""),"Yes")</f>
        <v>Yes</v>
      </c>
      <c r="AF2436" s="8" t="str">
        <f ca="1">IFERROR(__xludf.DUMMYFUNCTION("""COMPUTED_VALUE"""),"Three other teens charged with conspiracy")</f>
        <v>Three other teens charged with conspiracy</v>
      </c>
      <c r="AG2436" s="8" t="str">
        <f ca="1">IFERROR(__xludf.DUMMYFUNCTION("""COMPUTED_VALUE"""),"No")</f>
        <v>No</v>
      </c>
      <c r="AH2436" s="8" t="str">
        <f ca="1">IFERROR(__xludf.DUMMYFUNCTION("""COMPUTED_VALUE"""),"No")</f>
        <v>No</v>
      </c>
      <c r="AI2436" s="8" t="str">
        <f ca="1">IFERROR(__xludf.DUMMYFUNCTION("""COMPUTED_VALUE"""),"No")</f>
        <v>No</v>
      </c>
      <c r="AJ2436" s="8" t="str">
        <f ca="1">IFERROR(__xludf.DUMMYFUNCTION("""COMPUTED_VALUE"""),"No")</f>
        <v>No</v>
      </c>
      <c r="AK2436" s="8" t="str">
        <f ca="1">IFERROR(__xludf.DUMMYFUNCTION("""COMPUTED_VALUE"""),"No")</f>
        <v>No</v>
      </c>
      <c r="AL2436" s="8" t="str">
        <f ca="1">IFERROR(__xludf.DUMMYFUNCTION("""COMPUTED_VALUE"""),"No")</f>
        <v>No</v>
      </c>
      <c r="AM2436" s="8" t="str">
        <f ca="1">IFERROR(__xludf.DUMMYFUNCTION("""COMPUTED_VALUE"""),"Yes")</f>
        <v>Yes</v>
      </c>
      <c r="AN2436" s="8" t="str">
        <f ca="1">IFERROR(__xludf.DUMMYFUNCTION("""COMPUTED_VALUE"""),"Single Room")</f>
        <v>Single Room</v>
      </c>
      <c r="AO2436" s="8" t="str">
        <f ca="1">IFERROR(__xludf.DUMMYFUNCTION("""COMPUTED_VALUE"""),"Yes")</f>
        <v>Yes</v>
      </c>
      <c r="AP2436" s="8"/>
      <c r="AQ2436" s="8" t="str">
        <f ca="1">IFERROR(__xludf.DUMMYFUNCTION("""COMPUTED_VALUE"""),"Unknown")</f>
        <v>Unknown</v>
      </c>
      <c r="AR2436" s="8" t="str">
        <f ca="1">IFERROR(__xludf.DUMMYFUNCTION("""COMPUTED_VALUE"""),"NA")</f>
        <v>NA</v>
      </c>
      <c r="AS2436" s="8">
        <f ca="1">IFERROR(__xludf.DUMMYFUNCTION("""COMPUTED_VALUE"""),1)</f>
        <v>1</v>
      </c>
      <c r="AT2436" s="8"/>
      <c r="AU2436" s="8">
        <f ca="1">IFERROR(__xludf.DUMMYFUNCTION("""COMPUTED_VALUE"""),35.619126)</f>
        <v>35.619126000000001</v>
      </c>
      <c r="AV2436" s="8">
        <f ca="1">IFERROR(__xludf.DUMMYFUNCTION("""COMPUTED_VALUE"""),-82.626511)</f>
        <v>-82.626510999999994</v>
      </c>
      <c r="AW2436" s="8"/>
      <c r="AX2436" s="8">
        <f ca="1">IFERROR(__xludf.DUMMYFUNCTION("""COMPUTED_VALUE"""),28816)</f>
        <v>28816</v>
      </c>
    </row>
    <row r="2437" spans="1:50" ht="60" x14ac:dyDescent="0.2">
      <c r="A2437" s="8" t="str">
        <f ca="1">IFERROR(__xludf.DUMMYFUNCTION("""COMPUTED_VALUE"""),"20000119FLRIN")</f>
        <v>20000119FLRIN</v>
      </c>
      <c r="B2437" s="8">
        <f ca="1">IFERROR(__xludf.DUMMYFUNCTION("""COMPUTED_VALUE"""),1)</f>
        <v>1</v>
      </c>
      <c r="C2437" s="8">
        <f ca="1">IFERROR(__xludf.DUMMYFUNCTION("""COMPUTED_VALUE"""),19)</f>
        <v>19</v>
      </c>
      <c r="D2437" s="8">
        <f ca="1">IFERROR(__xludf.DUMMYFUNCTION("""COMPUTED_VALUE"""),2000)</f>
        <v>2000</v>
      </c>
      <c r="E2437" s="9">
        <f ca="1">IFERROR(__xludf.DUMMYFUNCTION("""COMPUTED_VALUE"""),36544)</f>
        <v>36544</v>
      </c>
      <c r="F2437" s="8" t="str">
        <f ca="1">IFERROR(__xludf.DUMMYFUNCTION("""COMPUTED_VALUE"""),"Ridgewood High School")</f>
        <v>Ridgewood High School</v>
      </c>
      <c r="G2437" s="8">
        <f ca="1">IFERROR(__xludf.DUMMYFUNCTION("""COMPUTED_VALUE"""),1)</f>
        <v>1</v>
      </c>
      <c r="H2437" s="8">
        <f ca="1">IFERROR(__xludf.DUMMYFUNCTION("""COMPUTED_VALUE"""),0)</f>
        <v>0</v>
      </c>
      <c r="I2437" s="8">
        <f ca="1">IFERROR(__xludf.DUMMYFUNCTION("""COMPUTED_VALUE"""),1)</f>
        <v>1</v>
      </c>
      <c r="J2437" s="8">
        <f ca="1">IFERROR(__xludf.DUMMYFUNCTION("""COMPUTED_VALUE"""),0)</f>
        <v>0</v>
      </c>
      <c r="K2437" s="10" t="str">
        <f ca="1">IFERROR(__xludf.DUMMYFUNCTION("""COMPUTED_VALUE"""),"http://www.tbo.com/pasco-county/teen-who-accidentally-shot-friend-lands-in-jail-as-adult-87255")</f>
        <v>http://www.tbo.com/pasco-county/teen-who-accidentally-shot-friend-lands-in-jail-as-adult-87255</v>
      </c>
      <c r="L2437" s="8"/>
      <c r="M2437" s="8"/>
      <c r="N2437" s="8">
        <f ca="1">IFERROR(__xludf.DUMMYFUNCTION("""COMPUTED_VALUE"""),2)</f>
        <v>2</v>
      </c>
      <c r="O2437" s="8" t="str">
        <f ca="1">IFERROR(__xludf.DUMMYFUNCTION("""COMPUTED_VALUE"""),"Winter")</f>
        <v>Winter</v>
      </c>
      <c r="P2437" s="8" t="str">
        <f ca="1">IFERROR(__xludf.DUMMYFUNCTION("""COMPUTED_VALUE"""),"New Port Richey")</f>
        <v>New Port Richey</v>
      </c>
      <c r="Q2437" s="8" t="str">
        <f ca="1">IFERROR(__xludf.DUMMYFUNCTION("""COMPUTED_VALUE"""),"FL")</f>
        <v>FL</v>
      </c>
      <c r="R2437" s="8" t="str">
        <f ca="1">IFERROR(__xludf.DUMMYFUNCTION("""COMPUTED_VALUE"""),"High")</f>
        <v>High</v>
      </c>
      <c r="S2437" s="8" t="str">
        <f ca="1">IFERROR(__xludf.DUMMYFUNCTION("""COMPUTED_VALUE"""),"Outside on School Property")</f>
        <v>Outside on School Property</v>
      </c>
      <c r="T2437" s="8" t="str">
        <f ca="1">IFERROR(__xludf.DUMMYFUNCTION("""COMPUTED_VALUE"""),"Outside on School Property")</f>
        <v>Outside on School Property</v>
      </c>
      <c r="U2437" s="8" t="str">
        <f ca="1">IFERROR(__xludf.DUMMYFUNCTION("""COMPUTED_VALUE"""),"Yes")</f>
        <v>Yes</v>
      </c>
      <c r="V2437" s="8" t="str">
        <f ca="1">IFERROR(__xludf.DUMMYFUNCTION("""COMPUTED_VALUE"""),"After School")</f>
        <v>After School</v>
      </c>
      <c r="W2437" s="11">
        <f ca="1">IFERROR(__xludf.DUMMYFUNCTION("""COMPUTED_VALUE"""),0.625)</f>
        <v>0.625</v>
      </c>
      <c r="X2437" s="8">
        <f ca="1">IFERROR(__xludf.DUMMYFUNCTION("""COMPUTED_VALUE"""),1)</f>
        <v>1</v>
      </c>
      <c r="Y2437" s="12" t="str">
        <f ca="1">IFERROR(__xludf.DUMMYFUNCTION("""COMPUTED_VALUE"""),"Accidental discharge while passing pistol to friend in parking lot")</f>
        <v>Accidental discharge while passing pistol to friend in parking lot</v>
      </c>
      <c r="Z2437" s="12" t="str">
        <f ca="1">IFERROR(__xludf.DUMMYFUNCTION("""COMPUTED_VALUE"""),"17YOM killed best friend when pistol he was passing to 16YOM student discharged. Students had been involved in burglaries where pistol was stolen.")</f>
        <v>17YOM killed best friend when pistol he was passing to 16YOM student discharged. Students had been involved in burglaries where pistol was stolen.</v>
      </c>
      <c r="AA2437" s="8" t="str">
        <f ca="1">IFERROR(__xludf.DUMMYFUNCTION("""COMPUTED_VALUE"""),"Accidental")</f>
        <v>Accidental</v>
      </c>
      <c r="AB2437" s="8"/>
      <c r="AC2437" s="8"/>
      <c r="AD2437" s="8" t="str">
        <f ca="1">IFERROR(__xludf.DUMMYFUNCTION("""COMPUTED_VALUE"""),"Random Shooting")</f>
        <v>Random Shooting</v>
      </c>
      <c r="AE2437" s="8" t="str">
        <f ca="1">IFERROR(__xludf.DUMMYFUNCTION("""COMPUTED_VALUE"""),"No")</f>
        <v>No</v>
      </c>
      <c r="AF2437" s="8"/>
      <c r="AG2437" s="8" t="str">
        <f ca="1">IFERROR(__xludf.DUMMYFUNCTION("""COMPUTED_VALUE"""),"No")</f>
        <v>No</v>
      </c>
      <c r="AH2437" s="8" t="str">
        <f ca="1">IFERROR(__xludf.DUMMYFUNCTION("""COMPUTED_VALUE"""),"No")</f>
        <v>No</v>
      </c>
      <c r="AI2437" s="8" t="str">
        <f ca="1">IFERROR(__xludf.DUMMYFUNCTION("""COMPUTED_VALUE"""),"No")</f>
        <v>No</v>
      </c>
      <c r="AJ2437" s="8" t="str">
        <f ca="1">IFERROR(__xludf.DUMMYFUNCTION("""COMPUTED_VALUE"""),"No")</f>
        <v>No</v>
      </c>
      <c r="AK2437" s="8" t="str">
        <f ca="1">IFERROR(__xludf.DUMMYFUNCTION("""COMPUTED_VALUE"""),"No")</f>
        <v>No</v>
      </c>
      <c r="AL2437" s="8" t="str">
        <f ca="1">IFERROR(__xludf.DUMMYFUNCTION("""COMPUTED_VALUE"""),"No")</f>
        <v>No</v>
      </c>
      <c r="AM2437" s="8"/>
      <c r="AN2437" s="8"/>
      <c r="AO2437" s="8" t="str">
        <f ca="1">IFERROR(__xludf.DUMMYFUNCTION("""COMPUTED_VALUE"""),"No")</f>
        <v>No</v>
      </c>
      <c r="AP2437" s="8" t="str">
        <f ca="1">IFERROR(__xludf.DUMMYFUNCTION("""COMPUTED_VALUE"""),"Yes")</f>
        <v>Yes</v>
      </c>
      <c r="AQ2437" s="8" t="str">
        <f ca="1">IFERROR(__xludf.DUMMYFUNCTION("""COMPUTED_VALUE"""),"Unknown")</f>
        <v>Unknown</v>
      </c>
      <c r="AR2437" s="8" t="str">
        <f ca="1">IFERROR(__xludf.DUMMYFUNCTION("""COMPUTED_VALUE"""),"NA")</f>
        <v>NA</v>
      </c>
      <c r="AS2437" s="8">
        <f ca="1">IFERROR(__xludf.DUMMYFUNCTION("""COMPUTED_VALUE"""),1)</f>
        <v>1</v>
      </c>
      <c r="AT2437" s="8"/>
      <c r="AU2437" s="8">
        <f ca="1">IFERROR(__xludf.DUMMYFUNCTION("""COMPUTED_VALUE"""),28.271424)</f>
        <v>28.271424</v>
      </c>
      <c r="AV2437" s="8">
        <f ca="1">IFERROR(__xludf.DUMMYFUNCTION("""COMPUTED_VALUE"""),-82.68772)</f>
        <v>-82.687719999999999</v>
      </c>
      <c r="AW2437" s="8"/>
      <c r="AX2437" s="8">
        <f ca="1">IFERROR(__xludf.DUMMYFUNCTION("""COMPUTED_VALUE"""),34653)</f>
        <v>34653</v>
      </c>
    </row>
    <row r="2438" spans="1:50" ht="75" x14ac:dyDescent="0.2">
      <c r="A2438" s="8" t="str">
        <f ca="1">IFERROR(__xludf.DUMMYFUNCTION("""COMPUTED_VALUE"""),"20000113NMALA")</f>
        <v>20000113NMALA</v>
      </c>
      <c r="B2438" s="8">
        <f ca="1">IFERROR(__xludf.DUMMYFUNCTION("""COMPUTED_VALUE"""),1)</f>
        <v>1</v>
      </c>
      <c r="C2438" s="8">
        <f ca="1">IFERROR(__xludf.DUMMYFUNCTION("""COMPUTED_VALUE"""),13)</f>
        <v>13</v>
      </c>
      <c r="D2438" s="8">
        <f ca="1">IFERROR(__xludf.DUMMYFUNCTION("""COMPUTED_VALUE"""),2000)</f>
        <v>2000</v>
      </c>
      <c r="E2438" s="9">
        <f ca="1">IFERROR(__xludf.DUMMYFUNCTION("""COMPUTED_VALUE"""),36538)</f>
        <v>36538</v>
      </c>
      <c r="F2438" s="8" t="str">
        <f ca="1">IFERROR(__xludf.DUMMYFUNCTION("""COMPUTED_VALUE"""),"Albuquerque High School")</f>
        <v>Albuquerque High School</v>
      </c>
      <c r="G2438" s="8">
        <f ca="1">IFERROR(__xludf.DUMMYFUNCTION("""COMPUTED_VALUE"""),0)</f>
        <v>0</v>
      </c>
      <c r="H2438" s="8">
        <f ca="1">IFERROR(__xludf.DUMMYFUNCTION("""COMPUTED_VALUE"""),0)</f>
        <v>0</v>
      </c>
      <c r="I2438" s="8">
        <f ca="1">IFERROR(__xludf.DUMMYFUNCTION("""COMPUTED_VALUE"""),0)</f>
        <v>0</v>
      </c>
      <c r="J2438" s="8">
        <f ca="1">IFERROR(__xludf.DUMMYFUNCTION("""COMPUTED_VALUE"""),0)</f>
        <v>0</v>
      </c>
      <c r="K2438" s="10" t="str">
        <f ca="1">IFERROR(__xludf.DUMMYFUNCTION("""COMPUTED_VALUE"""),"https://www.newspapers.com/image/342081991/?terms=Albuquerque%2BHigh%2BSchool%2Bshooting")</f>
        <v>https://www.newspapers.com/image/342081991/?terms=Albuquerque%2BHigh%2BSchool%2Bshooting</v>
      </c>
      <c r="L2438" s="8"/>
      <c r="M2438" s="8"/>
      <c r="N2438" s="8">
        <f ca="1">IFERROR(__xludf.DUMMYFUNCTION("""COMPUTED_VALUE"""),2)</f>
        <v>2</v>
      </c>
      <c r="O2438" s="8" t="str">
        <f ca="1">IFERROR(__xludf.DUMMYFUNCTION("""COMPUTED_VALUE"""),"Winter")</f>
        <v>Winter</v>
      </c>
      <c r="P2438" s="8" t="str">
        <f ca="1">IFERROR(__xludf.DUMMYFUNCTION("""COMPUTED_VALUE"""),"Albuquerque")</f>
        <v>Albuquerque</v>
      </c>
      <c r="Q2438" s="8" t="str">
        <f ca="1">IFERROR(__xludf.DUMMYFUNCTION("""COMPUTED_VALUE"""),"NM")</f>
        <v>NM</v>
      </c>
      <c r="R2438" s="8" t="str">
        <f ca="1">IFERROR(__xludf.DUMMYFUNCTION("""COMPUTED_VALUE"""),"High")</f>
        <v>High</v>
      </c>
      <c r="S2438" s="8" t="str">
        <f ca="1">IFERROR(__xludf.DUMMYFUNCTION("""COMPUTED_VALUE"""),"Parking Lot")</f>
        <v>Parking Lot</v>
      </c>
      <c r="T2438" s="8" t="str">
        <f ca="1">IFERROR(__xludf.DUMMYFUNCTION("""COMPUTED_VALUE"""),"Outside on School Property")</f>
        <v>Outside on School Property</v>
      </c>
      <c r="U2438" s="8" t="str">
        <f ca="1">IFERROR(__xludf.DUMMYFUNCTION("""COMPUTED_VALUE"""),"Yes")</f>
        <v>Yes</v>
      </c>
      <c r="V2438" s="8" t="str">
        <f ca="1">IFERROR(__xludf.DUMMYFUNCTION("""COMPUTED_VALUE"""),"Lunch")</f>
        <v>Lunch</v>
      </c>
      <c r="W2438" s="11">
        <f ca="1">IFERROR(__xludf.DUMMYFUNCTION("""COMPUTED_VALUE"""),0.520833333333333)</f>
        <v>0.52083333333333304</v>
      </c>
      <c r="X2438" s="8">
        <f ca="1">IFERROR(__xludf.DUMMYFUNCTION("""COMPUTED_VALUE"""),1)</f>
        <v>1</v>
      </c>
      <c r="Y2438" s="12" t="str">
        <f ca="1">IFERROR(__xludf.DUMMYFUNCTION("""COMPUTED_VALUE"""),"Four students from another high school involved in fight in parking lot, shots fired")</f>
        <v>Four students from another high school involved in fight in parking lot, shots fired</v>
      </c>
      <c r="Z2438" s="12" t="str">
        <f ca="1">IFERROR(__xludf.DUMMYFUNCTION("""COMPUTED_VALUE"""),"4 students from another high school (West Mesa) were involved in a fight with Albuquerque High School students in the parking lot at lunch. 5 shots were fired and the students fled the scene in a car.")</f>
        <v>4 students from another high school (West Mesa) were involved in a fight with Albuquerque High School students in the parking lot at lunch. 5 shots were fired and the students fled the scene in a car.</v>
      </c>
      <c r="AA2438" s="8" t="str">
        <f ca="1">IFERROR(__xludf.DUMMYFUNCTION("""COMPUTED_VALUE"""),"Escalation of Dispute")</f>
        <v>Escalation of Dispute</v>
      </c>
      <c r="AB2438" s="8"/>
      <c r="AC2438" s="8"/>
      <c r="AD2438" s="8" t="str">
        <f ca="1">IFERROR(__xludf.DUMMYFUNCTION("""COMPUTED_VALUE"""),"Victims Targeted")</f>
        <v>Victims Targeted</v>
      </c>
      <c r="AE2438" s="8" t="str">
        <f ca="1">IFERROR(__xludf.DUMMYFUNCTION("""COMPUTED_VALUE"""),"Yes")</f>
        <v>Yes</v>
      </c>
      <c r="AF2438" s="8" t="str">
        <f ca="1">IFERROR(__xludf.DUMMYFUNCTION("""COMPUTED_VALUE"""),"Four youths involved, unclear who was shooter (16, 16, 15, UNK)")</f>
        <v>Four youths involved, unclear who was shooter (16, 16, 15, UNK)</v>
      </c>
      <c r="AG2438" s="8" t="str">
        <f ca="1">IFERROR(__xludf.DUMMYFUNCTION("""COMPUTED_VALUE"""),"No")</f>
        <v>No</v>
      </c>
      <c r="AH2438" s="8" t="str">
        <f ca="1">IFERROR(__xludf.DUMMYFUNCTION("""COMPUTED_VALUE"""),"No")</f>
        <v>No</v>
      </c>
      <c r="AI2438" s="8" t="str">
        <f ca="1">IFERROR(__xludf.DUMMYFUNCTION("""COMPUTED_VALUE"""),"No")</f>
        <v>No</v>
      </c>
      <c r="AJ2438" s="8" t="str">
        <f ca="1">IFERROR(__xludf.DUMMYFUNCTION("""COMPUTED_VALUE"""),"No")</f>
        <v>No</v>
      </c>
      <c r="AK2438" s="8" t="str">
        <f ca="1">IFERROR(__xludf.DUMMYFUNCTION("""COMPUTED_VALUE"""),"No")</f>
        <v>No</v>
      </c>
      <c r="AL2438" s="8" t="str">
        <f ca="1">IFERROR(__xludf.DUMMYFUNCTION("""COMPUTED_VALUE"""),"Yes")</f>
        <v>Yes</v>
      </c>
      <c r="AM2438" s="8"/>
      <c r="AN2438" s="8"/>
      <c r="AO2438" s="8" t="str">
        <f ca="1">IFERROR(__xludf.DUMMYFUNCTION("""COMPUTED_VALUE"""),"No")</f>
        <v>No</v>
      </c>
      <c r="AP2438" s="8"/>
      <c r="AQ2438" s="8" t="str">
        <f ca="1">IFERROR(__xludf.DUMMYFUNCTION("""COMPUTED_VALUE"""),"Unknown")</f>
        <v>Unknown</v>
      </c>
      <c r="AR2438" s="8" t="str">
        <f ca="1">IFERROR(__xludf.DUMMYFUNCTION("""COMPUTED_VALUE"""),"NA")</f>
        <v>NA</v>
      </c>
      <c r="AS2438" s="8">
        <f ca="1">IFERROR(__xludf.DUMMYFUNCTION("""COMPUTED_VALUE"""),5)</f>
        <v>5</v>
      </c>
      <c r="AT2438" s="8"/>
      <c r="AU2438" s="8">
        <f ca="1">IFERROR(__xludf.DUMMYFUNCTION("""COMPUTED_VALUE"""),35.097222)</f>
        <v>35.097222000000002</v>
      </c>
      <c r="AV2438" s="8">
        <f ca="1">IFERROR(__xludf.DUMMYFUNCTION("""COMPUTED_VALUE"""),-106.635166)</f>
        <v>-106.635166</v>
      </c>
      <c r="AW2438" s="8"/>
      <c r="AX2438" s="8">
        <f ca="1">IFERROR(__xludf.DUMMYFUNCTION("""COMPUTED_VALUE"""),87102)</f>
        <v>87102</v>
      </c>
    </row>
    <row r="2439" spans="1:50" ht="75" x14ac:dyDescent="0.2">
      <c r="A2439" s="8" t="str">
        <f ca="1">IFERROR(__xludf.DUMMYFUNCTION("""COMPUTED_VALUE"""),"20000110AKBAA")</f>
        <v>20000110AKBAA</v>
      </c>
      <c r="B2439" s="8">
        <f ca="1">IFERROR(__xludf.DUMMYFUNCTION("""COMPUTED_VALUE"""),1)</f>
        <v>1</v>
      </c>
      <c r="C2439" s="8">
        <f ca="1">IFERROR(__xludf.DUMMYFUNCTION("""COMPUTED_VALUE"""),10)</f>
        <v>10</v>
      </c>
      <c r="D2439" s="8">
        <f ca="1">IFERROR(__xludf.DUMMYFUNCTION("""COMPUTED_VALUE"""),2000)</f>
        <v>2000</v>
      </c>
      <c r="E2439" s="9">
        <f ca="1">IFERROR(__xludf.DUMMYFUNCTION("""COMPUTED_VALUE"""),36535)</f>
        <v>36535</v>
      </c>
      <c r="F2439" s="8" t="str">
        <f ca="1">IFERROR(__xludf.DUMMYFUNCTION("""COMPUTED_VALUE"""),"Bartlett High School")</f>
        <v>Bartlett High School</v>
      </c>
      <c r="G2439" s="8">
        <f ca="1">IFERROR(__xludf.DUMMYFUNCTION("""COMPUTED_VALUE"""),0)</f>
        <v>0</v>
      </c>
      <c r="H2439" s="8">
        <f ca="1">IFERROR(__xludf.DUMMYFUNCTION("""COMPUTED_VALUE"""),0)</f>
        <v>0</v>
      </c>
      <c r="I2439" s="8">
        <f ca="1">IFERROR(__xludf.DUMMYFUNCTION("""COMPUTED_VALUE"""),0)</f>
        <v>0</v>
      </c>
      <c r="J2439" s="8">
        <f ca="1">IFERROR(__xludf.DUMMYFUNCTION("""COMPUTED_VALUE"""),0)</f>
        <v>0</v>
      </c>
      <c r="K2439" s="8" t="str">
        <f ca="1">IFERROR(__xludf.DUMMYFUNCTION("""COMPUTED_VALUE"""),"Anchorage Daily News - Fight Leads to Gunshots at School; Anchorage Daily News - Teen Faces Felonies in School Shooting; https://www.columbine-angels.com/School_Violence_1999-2000.htm")</f>
        <v>Anchorage Daily News - Fight Leads to Gunshots at School; Anchorage Daily News - Teen Faces Felonies in School Shooting; https://www.columbine-angels.com/School_Violence_1999-2000.htm</v>
      </c>
      <c r="L2439" s="8"/>
      <c r="M2439" s="8"/>
      <c r="N2439" s="8">
        <f ca="1">IFERROR(__xludf.DUMMYFUNCTION("""COMPUTED_VALUE"""),1)</f>
        <v>1</v>
      </c>
      <c r="O2439" s="8" t="str">
        <f ca="1">IFERROR(__xludf.DUMMYFUNCTION("""COMPUTED_VALUE"""),"Winter")</f>
        <v>Winter</v>
      </c>
      <c r="P2439" s="8" t="str">
        <f ca="1">IFERROR(__xludf.DUMMYFUNCTION("""COMPUTED_VALUE"""),"Anchorage")</f>
        <v>Anchorage</v>
      </c>
      <c r="Q2439" s="8" t="str">
        <f ca="1">IFERROR(__xludf.DUMMYFUNCTION("""COMPUTED_VALUE"""),"AK")</f>
        <v>AK</v>
      </c>
      <c r="R2439" s="8" t="str">
        <f ca="1">IFERROR(__xludf.DUMMYFUNCTION("""COMPUTED_VALUE"""),"High")</f>
        <v>High</v>
      </c>
      <c r="S2439" s="8" t="str">
        <f ca="1">IFERROR(__xludf.DUMMYFUNCTION("""COMPUTED_VALUE"""),"Beside Building")</f>
        <v>Beside Building</v>
      </c>
      <c r="T2439" s="8" t="str">
        <f ca="1">IFERROR(__xludf.DUMMYFUNCTION("""COMPUTED_VALUE"""),"Outside on School Property")</f>
        <v>Outside on School Property</v>
      </c>
      <c r="U2439" s="8" t="str">
        <f ca="1">IFERROR(__xludf.DUMMYFUNCTION("""COMPUTED_VALUE"""),"No")</f>
        <v>No</v>
      </c>
      <c r="V2439" s="8" t="str">
        <f ca="1">IFERROR(__xludf.DUMMYFUNCTION("""COMPUTED_VALUE"""),"After School")</f>
        <v>After School</v>
      </c>
      <c r="W2439" s="8"/>
      <c r="X2439" s="8">
        <f ca="1">IFERROR(__xludf.DUMMYFUNCTION("""COMPUTED_VALUE"""),1)</f>
        <v>1</v>
      </c>
      <c r="Y2439" s="12" t="str">
        <f ca="1">IFERROR(__xludf.DUMMYFUNCTION("""COMPUTED_VALUE"""),"Fight between students, shooter fired two shots that missed target and fled")</f>
        <v>Fight between students, shooter fired two shots that missed target and fled</v>
      </c>
      <c r="Z2439" s="12" t="str">
        <f ca="1">IFERROR(__xludf.DUMMYFUNCTION("""COMPUTED_VALUE"""),"Fight between 2 16YOM students behind the school. One student pulled a handgun, fired two shots that missed, and fled the scene. Shooter was arrested later and charged with felony.")</f>
        <v>Fight between 2 16YOM students behind the school. One student pulled a handgun, fired two shots that missed, and fled the scene. Shooter was arrested later and charged with felony.</v>
      </c>
      <c r="AA2439" s="8" t="str">
        <f ca="1">IFERROR(__xludf.DUMMYFUNCTION("""COMPUTED_VALUE"""),"Escalation of Dispute")</f>
        <v>Escalation of Dispute</v>
      </c>
      <c r="AB2439" s="8"/>
      <c r="AC2439" s="8"/>
      <c r="AD2439" s="8" t="str">
        <f ca="1">IFERROR(__xludf.DUMMYFUNCTION("""COMPUTED_VALUE"""),"Victims Targeted")</f>
        <v>Victims Targeted</v>
      </c>
      <c r="AE2439" s="8" t="str">
        <f ca="1">IFERROR(__xludf.DUMMYFUNCTION("""COMPUTED_VALUE"""),"No")</f>
        <v>No</v>
      </c>
      <c r="AF2439" s="8"/>
      <c r="AG2439" s="8" t="str">
        <f ca="1">IFERROR(__xludf.DUMMYFUNCTION("""COMPUTED_VALUE"""),"No")</f>
        <v>No</v>
      </c>
      <c r="AH2439" s="8" t="str">
        <f ca="1">IFERROR(__xludf.DUMMYFUNCTION("""COMPUTED_VALUE"""),"No")</f>
        <v>No</v>
      </c>
      <c r="AI2439" s="8" t="str">
        <f ca="1">IFERROR(__xludf.DUMMYFUNCTION("""COMPUTED_VALUE"""),"No")</f>
        <v>No</v>
      </c>
      <c r="AJ2439" s="8" t="str">
        <f ca="1">IFERROR(__xludf.DUMMYFUNCTION("""COMPUTED_VALUE"""),"No")</f>
        <v>No</v>
      </c>
      <c r="AK2439" s="8" t="str">
        <f ca="1">IFERROR(__xludf.DUMMYFUNCTION("""COMPUTED_VALUE"""),"No")</f>
        <v>No</v>
      </c>
      <c r="AL2439" s="8" t="str">
        <f ca="1">IFERROR(__xludf.DUMMYFUNCTION("""COMPUTED_VALUE"""),"No")</f>
        <v>No</v>
      </c>
      <c r="AM2439" s="8"/>
      <c r="AN2439" s="8"/>
      <c r="AO2439" s="8" t="str">
        <f ca="1">IFERROR(__xludf.DUMMYFUNCTION("""COMPUTED_VALUE"""),"No")</f>
        <v>No</v>
      </c>
      <c r="AP2439" s="8"/>
      <c r="AQ2439" s="8" t="str">
        <f ca="1">IFERROR(__xludf.DUMMYFUNCTION("""COMPUTED_VALUE"""),"Unknown")</f>
        <v>Unknown</v>
      </c>
      <c r="AR2439" s="8" t="str">
        <f ca="1">IFERROR(__xludf.DUMMYFUNCTION("""COMPUTED_VALUE"""),"NA")</f>
        <v>NA</v>
      </c>
      <c r="AS2439" s="8">
        <f ca="1">IFERROR(__xludf.DUMMYFUNCTION("""COMPUTED_VALUE"""),2)</f>
        <v>2</v>
      </c>
      <c r="AT2439" s="8"/>
      <c r="AU2439" s="8">
        <f ca="1">IFERROR(__xludf.DUMMYFUNCTION("""COMPUTED_VALUE"""),61.232452)</f>
        <v>61.232452000000002</v>
      </c>
      <c r="AV2439" s="8">
        <f ca="1">IFERROR(__xludf.DUMMYFUNCTION("""COMPUTED_VALUE"""),-149.733451)</f>
        <v>-149.733451</v>
      </c>
      <c r="AW2439" s="8"/>
      <c r="AX2439" s="8">
        <f ca="1">IFERROR(__xludf.DUMMYFUNCTION("""COMPUTED_VALUE"""),99504)</f>
        <v>99504</v>
      </c>
    </row>
    <row r="2440" spans="1:50" ht="150" x14ac:dyDescent="0.2">
      <c r="A2440" s="8" t="str">
        <f ca="1">IFERROR(__xludf.DUMMYFUNCTION("""COMPUTED_VALUE"""),"19991206OKFOF")</f>
        <v>19991206OKFOF</v>
      </c>
      <c r="B2440" s="8">
        <f ca="1">IFERROR(__xludf.DUMMYFUNCTION("""COMPUTED_VALUE"""),12)</f>
        <v>12</v>
      </c>
      <c r="C2440" s="8">
        <f ca="1">IFERROR(__xludf.DUMMYFUNCTION("""COMPUTED_VALUE"""),6)</f>
        <v>6</v>
      </c>
      <c r="D2440" s="8">
        <f ca="1">IFERROR(__xludf.DUMMYFUNCTION("""COMPUTED_VALUE"""),1999)</f>
        <v>1999</v>
      </c>
      <c r="E2440" s="9">
        <f ca="1">IFERROR(__xludf.DUMMYFUNCTION("""COMPUTED_VALUE"""),36500)</f>
        <v>36500</v>
      </c>
      <c r="F2440" s="8" t="str">
        <f ca="1">IFERROR(__xludf.DUMMYFUNCTION("""COMPUTED_VALUE"""),"Fort Gibson Middle School")</f>
        <v>Fort Gibson Middle School</v>
      </c>
      <c r="G2440" s="8">
        <f ca="1">IFERROR(__xludf.DUMMYFUNCTION("""COMPUTED_VALUE"""),0)</f>
        <v>0</v>
      </c>
      <c r="H2440" s="8">
        <f ca="1">IFERROR(__xludf.DUMMYFUNCTION("""COMPUTED_VALUE"""),5)</f>
        <v>5</v>
      </c>
      <c r="I2440" s="8">
        <f ca="1">IFERROR(__xludf.DUMMYFUNCTION("""COMPUTED_VALUE"""),5)</f>
        <v>5</v>
      </c>
      <c r="J2440" s="8">
        <f ca="1">IFERROR(__xludf.DUMMYFUNCTION("""COMPUTED_VALUE"""),0)</f>
        <v>0</v>
      </c>
      <c r="K2440" s="8" t="str">
        <f ca="1">IFERROR(__xludf.DUMMYFUNCTION("""COMPUTED_VALUE"""),"http://www.tulsaworld.com/archives/seth-trickey-s-release-final-judge-declares/article_55d68afa-e3c4-54f4-be09-9ec128f7b662.html https://tulsaworld.com/archive/seth-trickeys-release-final-judge-declares/article_55d68afa-e3c4-54f4-be09-9ec128f7b662.html ht"&amp;"tps://tulsaworld.com/news/local/a-dark-day-for-fort-gibson-school-shooting-now-18-years-old-but-still-vivid/article_0f51d05b-999c-575f-bff6-6465404a9d24.html")</f>
        <v>http://www.tulsaworld.com/archives/seth-trickey-s-release-final-judge-declares/article_55d68afa-e3c4-54f4-be09-9ec128f7b662.html https://tulsaworld.com/archive/seth-trickeys-release-final-judge-declares/article_55d68afa-e3c4-54f4-be09-9ec128f7b662.html https://tulsaworld.com/news/local/a-dark-day-for-fort-gibson-school-shooting-now-18-years-old-but-still-vivid/article_0f51d05b-999c-575f-bff6-6465404a9d24.html</v>
      </c>
      <c r="L2440" s="8"/>
      <c r="M2440" s="8"/>
      <c r="N2440" s="8">
        <f ca="1">IFERROR(__xludf.DUMMYFUNCTION("""COMPUTED_VALUE"""),5)</f>
        <v>5</v>
      </c>
      <c r="O2440" s="8" t="str">
        <f ca="1">IFERROR(__xludf.DUMMYFUNCTION("""COMPUTED_VALUE"""),"Winter")</f>
        <v>Winter</v>
      </c>
      <c r="P2440" s="8" t="str">
        <f ca="1">IFERROR(__xludf.DUMMYFUNCTION("""COMPUTED_VALUE"""),"Fort Gibson")</f>
        <v>Fort Gibson</v>
      </c>
      <c r="Q2440" s="8" t="str">
        <f ca="1">IFERROR(__xludf.DUMMYFUNCTION("""COMPUTED_VALUE"""),"OK")</f>
        <v>OK</v>
      </c>
      <c r="R2440" s="8" t="str">
        <f ca="1">IFERROR(__xludf.DUMMYFUNCTION("""COMPUTED_VALUE"""),"Middle")</f>
        <v>Middle</v>
      </c>
      <c r="S2440" s="8" t="str">
        <f ca="1">IFERROR(__xludf.DUMMYFUNCTION("""COMPUTED_VALUE"""),"Front of School")</f>
        <v>Front of School</v>
      </c>
      <c r="T2440" s="8" t="str">
        <f ca="1">IFERROR(__xludf.DUMMYFUNCTION("""COMPUTED_VALUE"""),"Outside on School Property")</f>
        <v>Outside on School Property</v>
      </c>
      <c r="U2440" s="8" t="str">
        <f ca="1">IFERROR(__xludf.DUMMYFUNCTION("""COMPUTED_VALUE"""),"Yes")</f>
        <v>Yes</v>
      </c>
      <c r="V2440" s="8" t="str">
        <f ca="1">IFERROR(__xludf.DUMMYFUNCTION("""COMPUTED_VALUE"""),"School Start")</f>
        <v>School Start</v>
      </c>
      <c r="W2440" s="11">
        <f ca="1">IFERROR(__xludf.DUMMYFUNCTION("""COMPUTED_VALUE"""),0.322916666666666)</f>
        <v>0.32291666666666602</v>
      </c>
      <c r="X2440" s="8">
        <f ca="1">IFERROR(__xludf.DUMMYFUNCTION("""COMPUTED_VALUE"""),1)</f>
        <v>1</v>
      </c>
      <c r="Y2440" s="12" t="str">
        <f ca="1">IFERROR(__xludf.DUMMYFUNCTION("""COMPUTED_VALUE"""),"Fired shots at the crowd outside of the school, tackled by SRO and teacher, inspired by Columbine")</f>
        <v>Fired shots at the crowd outside of the school, tackled by SRO and teacher, inspired by Columbine</v>
      </c>
      <c r="Z2440" s="12" t="str">
        <f ca="1">IFERROR(__xludf.DUMMYFUNCTION("""COMPUTED_VALUE"""),"Shooter was straight A student with lots of friend and no prior mental health issues or history of violence. Shooter fired 13 rounds from a handgun into the crowd of students outside of the school just prior to the school day starting. Did not have any ta"&amp;"rgets or know any the students he fired at. He was tackled by a teacher and police officer. Shooter had been reading about the Columbine shooting. In court he said that he did not know why he committed the shooting. Released from juvenile custody when he "&amp;"was 18 and attended college.")</f>
        <v>Shooter was straight A student with lots of friend and no prior mental health issues or history of violence. Shooter fired 13 rounds from a handgun into the crowd of students outside of the school just prior to the school day starting. Did not have any targets or know any the students he fired at. He was tackled by a teacher and police officer. Shooter had been reading about the Columbine shooting. In court he said that he did not know why he committed the shooting. Released from juvenile custody when he was 18 and attended college.</v>
      </c>
      <c r="AA2440" s="8" t="str">
        <f ca="1">IFERROR(__xludf.DUMMYFUNCTION("""COMPUTED_VALUE"""),"Indiscriminate Shooting")</f>
        <v>Indiscriminate Shooting</v>
      </c>
      <c r="AB2440" s="8"/>
      <c r="AC2440" s="8"/>
      <c r="AD2440" s="8" t="str">
        <f ca="1">IFERROR(__xludf.DUMMYFUNCTION("""COMPUTED_VALUE"""),"Random Shooting")</f>
        <v>Random Shooting</v>
      </c>
      <c r="AE2440" s="8" t="str">
        <f ca="1">IFERROR(__xludf.DUMMYFUNCTION("""COMPUTED_VALUE"""),"No")</f>
        <v>No</v>
      </c>
      <c r="AF2440" s="8"/>
      <c r="AG2440" s="8" t="str">
        <f ca="1">IFERROR(__xludf.DUMMYFUNCTION("""COMPUTED_VALUE"""),"No")</f>
        <v>No</v>
      </c>
      <c r="AH2440" s="8" t="str">
        <f ca="1">IFERROR(__xludf.DUMMYFUNCTION("""COMPUTED_VALUE"""),"No")</f>
        <v>No</v>
      </c>
      <c r="AI2440" s="8" t="str">
        <f ca="1">IFERROR(__xludf.DUMMYFUNCTION("""COMPUTED_VALUE"""),"No")</f>
        <v>No</v>
      </c>
      <c r="AJ2440" s="8" t="str">
        <f ca="1">IFERROR(__xludf.DUMMYFUNCTION("""COMPUTED_VALUE"""),"No")</f>
        <v>No</v>
      </c>
      <c r="AK2440" s="8" t="str">
        <f ca="1">IFERROR(__xludf.DUMMYFUNCTION("""COMPUTED_VALUE"""),"No")</f>
        <v>No</v>
      </c>
      <c r="AL2440" s="8" t="str">
        <f ca="1">IFERROR(__xludf.DUMMYFUNCTION("""COMPUTED_VALUE"""),"No")</f>
        <v>No</v>
      </c>
      <c r="AM2440" s="8" t="str">
        <f ca="1">IFERROR(__xludf.DUMMYFUNCTION("""COMPUTED_VALUE"""),"Yes")</f>
        <v>Yes</v>
      </c>
      <c r="AN2440" s="8" t="str">
        <f ca="1">IFERROR(__xludf.DUMMYFUNCTION("""COMPUTED_VALUE"""),"Outside")</f>
        <v>Outside</v>
      </c>
      <c r="AO2440" s="8" t="str">
        <f ca="1">IFERROR(__xludf.DUMMYFUNCTION("""COMPUTED_VALUE"""),"Yes")</f>
        <v>Yes</v>
      </c>
      <c r="AP2440" s="8" t="str">
        <f ca="1">IFERROR(__xludf.DUMMYFUNCTION("""COMPUTED_VALUE"""),"No")</f>
        <v>No</v>
      </c>
      <c r="AQ2440" s="8" t="str">
        <f ca="1">IFERROR(__xludf.DUMMYFUNCTION("""COMPUTED_VALUE"""),"Unknown")</f>
        <v>Unknown</v>
      </c>
      <c r="AR2440" s="8" t="str">
        <f ca="1">IFERROR(__xludf.DUMMYFUNCTION("""COMPUTED_VALUE"""),"NA")</f>
        <v>NA</v>
      </c>
      <c r="AS2440" s="8">
        <f ca="1">IFERROR(__xludf.DUMMYFUNCTION("""COMPUTED_VALUE"""),15)</f>
        <v>15</v>
      </c>
      <c r="AT2440" s="8"/>
      <c r="AU2440" s="8">
        <f ca="1">IFERROR(__xludf.DUMMYFUNCTION("""COMPUTED_VALUE"""),35.793624)</f>
        <v>35.793624000000001</v>
      </c>
      <c r="AV2440" s="8">
        <f ca="1">IFERROR(__xludf.DUMMYFUNCTION("""COMPUTED_VALUE"""),-95.239449)</f>
        <v>-95.239448999999993</v>
      </c>
      <c r="AW2440" s="8"/>
      <c r="AX2440" s="8">
        <f ca="1">IFERROR(__xludf.DUMMYFUNCTION("""COMPUTED_VALUE"""),74434)</f>
        <v>74434</v>
      </c>
    </row>
    <row r="2441" spans="1:50" ht="90" x14ac:dyDescent="0.2">
      <c r="A2441" s="8" t="str">
        <f ca="1">IFERROR(__xludf.DUMMYFUNCTION("""COMPUTED_VALUE"""),"19991119NMDED")</f>
        <v>19991119NMDED</v>
      </c>
      <c r="B2441" s="8">
        <f ca="1">IFERROR(__xludf.DUMMYFUNCTION("""COMPUTED_VALUE"""),11)</f>
        <v>11</v>
      </c>
      <c r="C2441" s="8">
        <f ca="1">IFERROR(__xludf.DUMMYFUNCTION("""COMPUTED_VALUE"""),19)</f>
        <v>19</v>
      </c>
      <c r="D2441" s="8">
        <f ca="1">IFERROR(__xludf.DUMMYFUNCTION("""COMPUTED_VALUE"""),1999)</f>
        <v>1999</v>
      </c>
      <c r="E2441" s="9">
        <f ca="1">IFERROR(__xludf.DUMMYFUNCTION("""COMPUTED_VALUE"""),36483)</f>
        <v>36483</v>
      </c>
      <c r="F2441" s="8" t="str">
        <f ca="1">IFERROR(__xludf.DUMMYFUNCTION("""COMPUTED_VALUE"""),"Deming Middle School")</f>
        <v>Deming Middle School</v>
      </c>
      <c r="G2441" s="8">
        <f ca="1">IFERROR(__xludf.DUMMYFUNCTION("""COMPUTED_VALUE"""),1)</f>
        <v>1</v>
      </c>
      <c r="H2441" s="8">
        <f ca="1">IFERROR(__xludf.DUMMYFUNCTION("""COMPUTED_VALUE"""),0)</f>
        <v>0</v>
      </c>
      <c r="I2441" s="8">
        <f ca="1">IFERROR(__xludf.DUMMYFUNCTION("""COMPUTED_VALUE"""),1)</f>
        <v>1</v>
      </c>
      <c r="J2441" s="8">
        <f ca="1">IFERROR(__xludf.DUMMYFUNCTION("""COMPUTED_VALUE"""),0)</f>
        <v>0</v>
      </c>
      <c r="K2441" s="10" t="str">
        <f ca="1">IFERROR(__xludf.DUMMYFUNCTION("""COMPUTED_VALUE"""),"https://www.abqjournal.com/news/state/apteen10-12-04.htm")</f>
        <v>https://www.abqjournal.com/news/state/apteen10-12-04.htm</v>
      </c>
      <c r="L2441" s="8"/>
      <c r="M2441" s="8"/>
      <c r="N2441" s="8">
        <f ca="1">IFERROR(__xludf.DUMMYFUNCTION("""COMPUTED_VALUE"""),2)</f>
        <v>2</v>
      </c>
      <c r="O2441" s="8" t="str">
        <f ca="1">IFERROR(__xludf.DUMMYFUNCTION("""COMPUTED_VALUE"""),"Fall")</f>
        <v>Fall</v>
      </c>
      <c r="P2441" s="8" t="str">
        <f ca="1">IFERROR(__xludf.DUMMYFUNCTION("""COMPUTED_VALUE"""),"Deming")</f>
        <v>Deming</v>
      </c>
      <c r="Q2441" s="8" t="str">
        <f ca="1">IFERROR(__xludf.DUMMYFUNCTION("""COMPUTED_VALUE"""),"NM")</f>
        <v>NM</v>
      </c>
      <c r="R2441" s="8" t="str">
        <f ca="1">IFERROR(__xludf.DUMMYFUNCTION("""COMPUTED_VALUE"""),"Middle")</f>
        <v>Middle</v>
      </c>
      <c r="S2441" s="8" t="str">
        <f ca="1">IFERROR(__xludf.DUMMYFUNCTION("""COMPUTED_VALUE"""),"Outside on School Property")</f>
        <v>Outside on School Property</v>
      </c>
      <c r="T2441" s="8" t="str">
        <f ca="1">IFERROR(__xludf.DUMMYFUNCTION("""COMPUTED_VALUE"""),"Outside on School Property")</f>
        <v>Outside on School Property</v>
      </c>
      <c r="U2441" s="8" t="str">
        <f ca="1">IFERROR(__xludf.DUMMYFUNCTION("""COMPUTED_VALUE"""),"Yes")</f>
        <v>Yes</v>
      </c>
      <c r="V2441" s="8" t="str">
        <f ca="1">IFERROR(__xludf.DUMMYFUNCTION("""COMPUTED_VALUE"""),"Lunch")</f>
        <v>Lunch</v>
      </c>
      <c r="W2441" s="11">
        <f ca="1">IFERROR(__xludf.DUMMYFUNCTION("""COMPUTED_VALUE"""),0.53125)</f>
        <v>0.53125</v>
      </c>
      <c r="X2441" s="8">
        <f ca="1">IFERROR(__xludf.DUMMYFUNCTION("""COMPUTED_VALUE"""),1)</f>
        <v>1</v>
      </c>
      <c r="Y2441" s="12" t="str">
        <f ca="1">IFERROR(__xludf.DUMMYFUNCTION("""COMPUTED_VALUE"""),"Fired shot and then surrendered to school officials")</f>
        <v>Fired shot and then surrendered to school officials</v>
      </c>
      <c r="Z2441" s="12" t="str">
        <f ca="1">IFERROR(__xludf.DUMMYFUNCTION("""COMPUTED_VALUE"""),"Shooter pulled out a handgun and fired a single close range shot striking a 13 YOF student in the head. Shooter was immediately confronted by school officials and surrendered to police. No motive was established. Due to New Mexico's juvenile laws, the max"&amp;" sentence was 2 years. The shooter was arrested at 17 for drug trafficking on the Mexico border.")</f>
        <v>Shooter pulled out a handgun and fired a single close range shot striking a 13 YOF student in the head. Shooter was immediately confronted by school officials and surrendered to police. No motive was established. Due to New Mexico's juvenile laws, the max sentence was 2 years. The shooter was arrested at 17 for drug trafficking on the Mexico border.</v>
      </c>
      <c r="AA2441" s="8" t="str">
        <f ca="1">IFERROR(__xludf.DUMMYFUNCTION("""COMPUTED_VALUE"""),"Unknown")</f>
        <v>Unknown</v>
      </c>
      <c r="AB2441" s="8"/>
      <c r="AC2441" s="8"/>
      <c r="AD2441" s="8" t="str">
        <f ca="1">IFERROR(__xludf.DUMMYFUNCTION("""COMPUTED_VALUE"""),"Victims Targeted")</f>
        <v>Victims Targeted</v>
      </c>
      <c r="AE2441" s="8"/>
      <c r="AF2441" s="8"/>
      <c r="AG2441" s="8" t="str">
        <f ca="1">IFERROR(__xludf.DUMMYFUNCTION("""COMPUTED_VALUE"""),"No")</f>
        <v>No</v>
      </c>
      <c r="AH2441" s="8" t="str">
        <f ca="1">IFERROR(__xludf.DUMMYFUNCTION("""COMPUTED_VALUE"""),"No")</f>
        <v>No</v>
      </c>
      <c r="AI2441" s="8" t="str">
        <f ca="1">IFERROR(__xludf.DUMMYFUNCTION("""COMPUTED_VALUE"""),"No")</f>
        <v>No</v>
      </c>
      <c r="AJ2441" s="8" t="str">
        <f ca="1">IFERROR(__xludf.DUMMYFUNCTION("""COMPUTED_VALUE"""),"No")</f>
        <v>No</v>
      </c>
      <c r="AK2441" s="8" t="str">
        <f ca="1">IFERROR(__xludf.DUMMYFUNCTION("""COMPUTED_VALUE"""),"No")</f>
        <v>No</v>
      </c>
      <c r="AL2441" s="8" t="str">
        <f ca="1">IFERROR(__xludf.DUMMYFUNCTION("""COMPUTED_VALUE"""),"No")</f>
        <v>No</v>
      </c>
      <c r="AM2441" s="8" t="str">
        <f ca="1">IFERROR(__xludf.DUMMYFUNCTION("""COMPUTED_VALUE"""),"Yes")</f>
        <v>Yes</v>
      </c>
      <c r="AN2441" s="8"/>
      <c r="AO2441" s="8" t="str">
        <f ca="1">IFERROR(__xludf.DUMMYFUNCTION("""COMPUTED_VALUE"""),"No")</f>
        <v>No</v>
      </c>
      <c r="AP2441" s="8" t="str">
        <f ca="1">IFERROR(__xludf.DUMMYFUNCTION("""COMPUTED_VALUE"""),"No")</f>
        <v>No</v>
      </c>
      <c r="AQ2441" s="8" t="str">
        <f ca="1">IFERROR(__xludf.DUMMYFUNCTION("""COMPUTED_VALUE"""),"Unknown")</f>
        <v>Unknown</v>
      </c>
      <c r="AR2441" s="8" t="str">
        <f ca="1">IFERROR(__xludf.DUMMYFUNCTION("""COMPUTED_VALUE"""),"NA")</f>
        <v>NA</v>
      </c>
      <c r="AS2441" s="8"/>
      <c r="AT2441" s="8"/>
      <c r="AU2441" s="8">
        <f ca="1">IFERROR(__xludf.DUMMYFUNCTION("""COMPUTED_VALUE"""),32.245904)</f>
        <v>32.245904000000003</v>
      </c>
      <c r="AV2441" s="8">
        <f ca="1">IFERROR(__xludf.DUMMYFUNCTION("""COMPUTED_VALUE"""),-107.782162)</f>
        <v>-107.782162</v>
      </c>
      <c r="AW2441" s="8"/>
      <c r="AX2441" s="8">
        <f ca="1">IFERROR(__xludf.DUMMYFUNCTION("""COMPUTED_VALUE"""),88030)</f>
        <v>88030</v>
      </c>
    </row>
    <row r="2442" spans="1:50" ht="75" x14ac:dyDescent="0.2">
      <c r="A2442" s="8" t="str">
        <f ca="1">IFERROR(__xludf.DUMMYFUNCTION("""COMPUTED_VALUE"""),"19991117TXDID")</f>
        <v>19991117TXDID</v>
      </c>
      <c r="B2442" s="8">
        <f ca="1">IFERROR(__xludf.DUMMYFUNCTION("""COMPUTED_VALUE"""),11)</f>
        <v>11</v>
      </c>
      <c r="C2442" s="8">
        <f ca="1">IFERROR(__xludf.DUMMYFUNCTION("""COMPUTED_VALUE"""),17)</f>
        <v>17</v>
      </c>
      <c r="D2442" s="8">
        <f ca="1">IFERROR(__xludf.DUMMYFUNCTION("""COMPUTED_VALUE"""),1999)</f>
        <v>1999</v>
      </c>
      <c r="E2442" s="9">
        <f ca="1">IFERROR(__xludf.DUMMYFUNCTION("""COMPUTED_VALUE"""),36481)</f>
        <v>36481</v>
      </c>
      <c r="F2442" s="8" t="str">
        <f ca="1">IFERROR(__xludf.DUMMYFUNCTION("""COMPUTED_VALUE"""),"Dickinson High School")</f>
        <v>Dickinson High School</v>
      </c>
      <c r="G2442" s="8">
        <f ca="1">IFERROR(__xludf.DUMMYFUNCTION("""COMPUTED_VALUE"""),0)</f>
        <v>0</v>
      </c>
      <c r="H2442" s="8">
        <f ca="1">IFERROR(__xludf.DUMMYFUNCTION("""COMPUTED_VALUE"""),1)</f>
        <v>1</v>
      </c>
      <c r="I2442" s="8">
        <f ca="1">IFERROR(__xludf.DUMMYFUNCTION("""COMPUTED_VALUE"""),1)</f>
        <v>1</v>
      </c>
      <c r="J2442" s="8">
        <f ca="1">IFERROR(__xludf.DUMMYFUNCTION("""COMPUTED_VALUE"""),0)</f>
        <v>0</v>
      </c>
      <c r="K2442" s="10" t="str">
        <f ca="1">IFERROR(__xludf.DUMMYFUNCTION("""COMPUTED_VALUE"""),"https://www.newspapers.com/image/13325920/?terms=Dickinson%2BHigh%2BSchool%2Bshooting")</f>
        <v>https://www.newspapers.com/image/13325920/?terms=Dickinson%2BHigh%2BSchool%2Bshooting</v>
      </c>
      <c r="L2442" s="8"/>
      <c r="M2442" s="8"/>
      <c r="N2442" s="8">
        <f ca="1">IFERROR(__xludf.DUMMYFUNCTION("""COMPUTED_VALUE"""),2)</f>
        <v>2</v>
      </c>
      <c r="O2442" s="8" t="str">
        <f ca="1">IFERROR(__xludf.DUMMYFUNCTION("""COMPUTED_VALUE"""),"Fall")</f>
        <v>Fall</v>
      </c>
      <c r="P2442" s="8" t="str">
        <f ca="1">IFERROR(__xludf.DUMMYFUNCTION("""COMPUTED_VALUE"""),"Dickinson")</f>
        <v>Dickinson</v>
      </c>
      <c r="Q2442" s="8" t="str">
        <f ca="1">IFERROR(__xludf.DUMMYFUNCTION("""COMPUTED_VALUE"""),"TX")</f>
        <v>TX</v>
      </c>
      <c r="R2442" s="8" t="str">
        <f ca="1">IFERROR(__xludf.DUMMYFUNCTION("""COMPUTED_VALUE"""),"High")</f>
        <v>High</v>
      </c>
      <c r="S2442" s="8" t="str">
        <f ca="1">IFERROR(__xludf.DUMMYFUNCTION("""COMPUTED_VALUE"""),"Bathroom")</f>
        <v>Bathroom</v>
      </c>
      <c r="T2442" s="8" t="str">
        <f ca="1">IFERROR(__xludf.DUMMYFUNCTION("""COMPUTED_VALUE"""),"Inside School Building")</f>
        <v>Inside School Building</v>
      </c>
      <c r="U2442" s="8" t="str">
        <f ca="1">IFERROR(__xludf.DUMMYFUNCTION("""COMPUTED_VALUE"""),"Yes")</f>
        <v>Yes</v>
      </c>
      <c r="V2442" s="8" t="str">
        <f ca="1">IFERROR(__xludf.DUMMYFUNCTION("""COMPUTED_VALUE"""),"Before School")</f>
        <v>Before School</v>
      </c>
      <c r="W2442" s="11">
        <f ca="1">IFERROR(__xludf.DUMMYFUNCTION("""COMPUTED_VALUE"""),0.333333333333333)</f>
        <v>0.33333333333333298</v>
      </c>
      <c r="X2442" s="8">
        <f ca="1">IFERROR(__xludf.DUMMYFUNCTION("""COMPUTED_VALUE"""),1)</f>
        <v>1</v>
      </c>
      <c r="Y2442" s="12" t="str">
        <f ca="1">IFERROR(__xludf.DUMMYFUNCTION("""COMPUTED_VALUE"""),"Showing off gun in bathroom, accidental discharge")</f>
        <v>Showing off gun in bathroom, accidental discharge</v>
      </c>
      <c r="Z2442" s="12" t="str">
        <f ca="1">IFERROR(__xludf.DUMMYFUNCTION("""COMPUTED_VALUE"""),"16YOM was showing off gun in bathroom. Accidental discharge struck a 15YOM in the head. 16YOM and other 14YOM fled the scene. Ditched the gun in a nearby apartment complex and returned to school. Arrested 2.5 hours later.")</f>
        <v>16YOM was showing off gun in bathroom. Accidental discharge struck a 15YOM in the head. 16YOM and other 14YOM fled the scene. Ditched the gun in a nearby apartment complex and returned to school. Arrested 2.5 hours later.</v>
      </c>
      <c r="AA2442" s="8" t="str">
        <f ca="1">IFERROR(__xludf.DUMMYFUNCTION("""COMPUTED_VALUE"""),"Accidental")</f>
        <v>Accidental</v>
      </c>
      <c r="AB2442" s="8"/>
      <c r="AC2442" s="8"/>
      <c r="AD2442" s="8" t="str">
        <f ca="1">IFERROR(__xludf.DUMMYFUNCTION("""COMPUTED_VALUE"""),"Random Shooting")</f>
        <v>Random Shooting</v>
      </c>
      <c r="AE2442" s="8" t="str">
        <f ca="1">IFERROR(__xludf.DUMMYFUNCTION("""COMPUTED_VALUE"""),"Yes")</f>
        <v>Yes</v>
      </c>
      <c r="AF2442" s="8" t="str">
        <f ca="1">IFERROR(__xludf.DUMMYFUNCTION("""COMPUTED_VALUE"""),"14YOM also arrested")</f>
        <v>14YOM also arrested</v>
      </c>
      <c r="AG2442" s="8" t="str">
        <f ca="1">IFERROR(__xludf.DUMMYFUNCTION("""COMPUTED_VALUE"""),"No")</f>
        <v>No</v>
      </c>
      <c r="AH2442" s="8" t="str">
        <f ca="1">IFERROR(__xludf.DUMMYFUNCTION("""COMPUTED_VALUE"""),"No")</f>
        <v>No</v>
      </c>
      <c r="AI2442" s="8" t="str">
        <f ca="1">IFERROR(__xludf.DUMMYFUNCTION("""COMPUTED_VALUE"""),"No")</f>
        <v>No</v>
      </c>
      <c r="AJ2442" s="8" t="str">
        <f ca="1">IFERROR(__xludf.DUMMYFUNCTION("""COMPUTED_VALUE"""),"No")</f>
        <v>No</v>
      </c>
      <c r="AK2442" s="8" t="str">
        <f ca="1">IFERROR(__xludf.DUMMYFUNCTION("""COMPUTED_VALUE"""),"No")</f>
        <v>No</v>
      </c>
      <c r="AL2442" s="8" t="str">
        <f ca="1">IFERROR(__xludf.DUMMYFUNCTION("""COMPUTED_VALUE"""),"No")</f>
        <v>No</v>
      </c>
      <c r="AM2442" s="8"/>
      <c r="AN2442" s="8"/>
      <c r="AO2442" s="8" t="str">
        <f ca="1">IFERROR(__xludf.DUMMYFUNCTION("""COMPUTED_VALUE"""),"No")</f>
        <v>No</v>
      </c>
      <c r="AP2442" s="8"/>
      <c r="AQ2442" s="8" t="str">
        <f ca="1">IFERROR(__xludf.DUMMYFUNCTION("""COMPUTED_VALUE"""),"Unknown")</f>
        <v>Unknown</v>
      </c>
      <c r="AR2442" s="8" t="str">
        <f ca="1">IFERROR(__xludf.DUMMYFUNCTION("""COMPUTED_VALUE"""),"NA")</f>
        <v>NA</v>
      </c>
      <c r="AS2442" s="8">
        <f ca="1">IFERROR(__xludf.DUMMYFUNCTION("""COMPUTED_VALUE"""),1)</f>
        <v>1</v>
      </c>
      <c r="AT2442" s="8"/>
      <c r="AU2442" s="8">
        <f ca="1">IFERROR(__xludf.DUMMYFUNCTION("""COMPUTED_VALUE"""),29.467772)</f>
        <v>29.467772</v>
      </c>
      <c r="AV2442" s="8">
        <f ca="1">IFERROR(__xludf.DUMMYFUNCTION("""COMPUTED_VALUE"""),-95.030864)</f>
        <v>-95.030863999999994</v>
      </c>
      <c r="AW2442" s="8"/>
      <c r="AX2442" s="8">
        <f ca="1">IFERROR(__xludf.DUMMYFUNCTION("""COMPUTED_VALUE"""),77539)</f>
        <v>77539</v>
      </c>
    </row>
    <row r="2443" spans="1:50" ht="60" x14ac:dyDescent="0.2">
      <c r="A2443" s="8" t="str">
        <f ca="1">IFERROR(__xludf.DUMMYFUNCTION("""COMPUTED_VALUE"""),"19991103MADOB")</f>
        <v>19991103MADOB</v>
      </c>
      <c r="B2443" s="8">
        <f ca="1">IFERROR(__xludf.DUMMYFUNCTION("""COMPUTED_VALUE"""),11)</f>
        <v>11</v>
      </c>
      <c r="C2443" s="8">
        <f ca="1">IFERROR(__xludf.DUMMYFUNCTION("""COMPUTED_VALUE"""),3)</f>
        <v>3</v>
      </c>
      <c r="D2443" s="8">
        <f ca="1">IFERROR(__xludf.DUMMYFUNCTION("""COMPUTED_VALUE"""),1999)</f>
        <v>1999</v>
      </c>
      <c r="E2443" s="9">
        <f ca="1">IFERROR(__xludf.DUMMYFUNCTION("""COMPUTED_VALUE"""),36467)</f>
        <v>36467</v>
      </c>
      <c r="F2443" s="8" t="str">
        <f ca="1">IFERROR(__xludf.DUMMYFUNCTION("""COMPUTED_VALUE"""),"Dorchester High School")</f>
        <v>Dorchester High School</v>
      </c>
      <c r="G2443" s="8">
        <f ca="1">IFERROR(__xludf.DUMMYFUNCTION("""COMPUTED_VALUE"""),0)</f>
        <v>0</v>
      </c>
      <c r="H2443" s="8">
        <f ca="1">IFERROR(__xludf.DUMMYFUNCTION("""COMPUTED_VALUE"""),1)</f>
        <v>1</v>
      </c>
      <c r="I2443" s="8">
        <f ca="1">IFERROR(__xludf.DUMMYFUNCTION("""COMPUTED_VALUE"""),1)</f>
        <v>1</v>
      </c>
      <c r="J2443" s="8">
        <f ca="1">IFERROR(__xludf.DUMMYFUNCTION("""COMPUTED_VALUE"""),0)</f>
        <v>0</v>
      </c>
      <c r="K2443" s="10" t="str">
        <f ca="1">IFERROR(__xludf.DUMMYFUNCTION("""COMPUTED_VALUE"""),"https://www.newspapers.com/image/442142079/?terms=Dorchester%20High%20School%20shooting&amp;match=1")</f>
        <v>https://www.newspapers.com/image/442142079/?terms=Dorchester%20High%20School%20shooting&amp;match=1</v>
      </c>
      <c r="L2443" s="8">
        <f ca="1">IFERROR(__xludf.DUMMYFUNCTION("""COMPUTED_VALUE"""),1)</f>
        <v>1</v>
      </c>
      <c r="M2443" s="8" t="str">
        <f ca="1">IFERROR(__xludf.DUMMYFUNCTION("""COMPUTED_VALUE"""),"Local")</f>
        <v>Local</v>
      </c>
      <c r="N2443" s="8">
        <f ca="1">IFERROR(__xludf.DUMMYFUNCTION("""COMPUTED_VALUE"""),3)</f>
        <v>3</v>
      </c>
      <c r="O2443" s="8" t="str">
        <f ca="1">IFERROR(__xludf.DUMMYFUNCTION("""COMPUTED_VALUE"""),"Fall")</f>
        <v>Fall</v>
      </c>
      <c r="P2443" s="8" t="str">
        <f ca="1">IFERROR(__xludf.DUMMYFUNCTION("""COMPUTED_VALUE"""),"Boston")</f>
        <v>Boston</v>
      </c>
      <c r="Q2443" s="8" t="str">
        <f ca="1">IFERROR(__xludf.DUMMYFUNCTION("""COMPUTED_VALUE"""),"MA")</f>
        <v>MA</v>
      </c>
      <c r="R2443" s="8" t="str">
        <f ca="1">IFERROR(__xludf.DUMMYFUNCTION("""COMPUTED_VALUE"""),"High")</f>
        <v>High</v>
      </c>
      <c r="S2443" s="8" t="str">
        <f ca="1">IFERROR(__xludf.DUMMYFUNCTION("""COMPUTED_VALUE"""),"Front of School")</f>
        <v>Front of School</v>
      </c>
      <c r="T2443" s="8" t="str">
        <f ca="1">IFERROR(__xludf.DUMMYFUNCTION("""COMPUTED_VALUE"""),"Outside on School Property")</f>
        <v>Outside on School Property</v>
      </c>
      <c r="U2443" s="8" t="str">
        <f ca="1">IFERROR(__xludf.DUMMYFUNCTION("""COMPUTED_VALUE"""),"Yes")</f>
        <v>Yes</v>
      </c>
      <c r="V2443" s="8" t="str">
        <f ca="1">IFERROR(__xludf.DUMMYFUNCTION("""COMPUTED_VALUE"""),"School Start")</f>
        <v>School Start</v>
      </c>
      <c r="W2443" s="11">
        <f ca="1">IFERROR(__xludf.DUMMYFUNCTION("""COMPUTED_VALUE"""),0.319444444444444)</f>
        <v>0.31944444444444398</v>
      </c>
      <c r="X2443" s="8">
        <f ca="1">IFERROR(__xludf.DUMMYFUNCTION("""COMPUTED_VALUE"""),1)</f>
        <v>1</v>
      </c>
      <c r="Y2443" s="12" t="str">
        <f ca="1">IFERROR(__xludf.DUMMYFUNCTION("""COMPUTED_VALUE"""),"Student ambushed while walking into the school, shooter fled")</f>
        <v>Student ambushed while walking into the school, shooter fled</v>
      </c>
      <c r="Z2443" s="12" t="str">
        <f ca="1">IFERROR(__xludf.DUMMYFUNCTION("""COMPUTED_VALUE"""),"A student was ambushed by a masked gunman while he was walking into the school. Shooter fled. Shooting stemmed from ongoing dispute.")</f>
        <v>A student was ambushed by a masked gunman while he was walking into the school. Shooter fled. Shooting stemmed from ongoing dispute.</v>
      </c>
      <c r="AA2443" s="8" t="str">
        <f ca="1">IFERROR(__xludf.DUMMYFUNCTION("""COMPUTED_VALUE"""),"Escalation of Dispute")</f>
        <v>Escalation of Dispute</v>
      </c>
      <c r="AB2443" s="8" t="str">
        <f ca="1">IFERROR(__xludf.DUMMYFUNCTION("""COMPUTED_VALUE"""),"Targeted")</f>
        <v>Targeted</v>
      </c>
      <c r="AC2443" s="8" t="str">
        <f ca="1">IFERROR(__xludf.DUMMYFUNCTION("""COMPUTED_VALUE"""),"Yes")</f>
        <v>Yes</v>
      </c>
      <c r="AD2443" s="8" t="str">
        <f ca="1">IFERROR(__xludf.DUMMYFUNCTION("""COMPUTED_VALUE"""),"Victims Targeted")</f>
        <v>Victims Targeted</v>
      </c>
      <c r="AE2443" s="8" t="str">
        <f ca="1">IFERROR(__xludf.DUMMYFUNCTION("""COMPUTED_VALUE"""),"No")</f>
        <v>No</v>
      </c>
      <c r="AF2443" s="8"/>
      <c r="AG2443" s="8" t="str">
        <f ca="1">IFERROR(__xludf.DUMMYFUNCTION("""COMPUTED_VALUE"""),"No")</f>
        <v>No</v>
      </c>
      <c r="AH2443" s="8" t="str">
        <f ca="1">IFERROR(__xludf.DUMMYFUNCTION("""COMPUTED_VALUE"""),"No")</f>
        <v>No</v>
      </c>
      <c r="AI2443" s="8" t="str">
        <f ca="1">IFERROR(__xludf.DUMMYFUNCTION("""COMPUTED_VALUE"""),"No")</f>
        <v>No</v>
      </c>
      <c r="AJ2443" s="8" t="str">
        <f ca="1">IFERROR(__xludf.DUMMYFUNCTION("""COMPUTED_VALUE"""),"No")</f>
        <v>No</v>
      </c>
      <c r="AK2443" s="8" t="str">
        <f ca="1">IFERROR(__xludf.DUMMYFUNCTION("""COMPUTED_VALUE"""),"No")</f>
        <v>No</v>
      </c>
      <c r="AL2443" s="8" t="str">
        <f ca="1">IFERROR(__xludf.DUMMYFUNCTION("""COMPUTED_VALUE"""),"No")</f>
        <v>No</v>
      </c>
      <c r="AM2443" s="8" t="str">
        <f ca="1">IFERROR(__xludf.DUMMYFUNCTION("""COMPUTED_VALUE"""),"No")</f>
        <v>No</v>
      </c>
      <c r="AN2443" s="8" t="str">
        <f ca="1">IFERROR(__xludf.DUMMYFUNCTION("""COMPUTED_VALUE"""),"Outside")</f>
        <v>Outside</v>
      </c>
      <c r="AO2443" s="8" t="str">
        <f ca="1">IFERROR(__xludf.DUMMYFUNCTION("""COMPUTED_VALUE"""),"No")</f>
        <v>No</v>
      </c>
      <c r="AP2443" s="8"/>
      <c r="AQ2443" s="8"/>
      <c r="AR2443" s="8" t="str">
        <f ca="1">IFERROR(__xludf.DUMMYFUNCTION("""COMPUTED_VALUE"""),"Outside/Off-Property")</f>
        <v>Outside/Off-Property</v>
      </c>
      <c r="AS2443" s="8">
        <f ca="1">IFERROR(__xludf.DUMMYFUNCTION("""COMPUTED_VALUE"""),99)</f>
        <v>99</v>
      </c>
      <c r="AT2443" s="8"/>
      <c r="AU2443" s="8">
        <f ca="1">IFERROR(__xludf.DUMMYFUNCTION("""COMPUTED_VALUE"""),42.28527)</f>
        <v>42.285269999999997</v>
      </c>
      <c r="AV2443" s="8">
        <f ca="1">IFERROR(__xludf.DUMMYFUNCTION("""COMPUTED_VALUE"""),-71.0759)</f>
        <v>-71.075900000000004</v>
      </c>
      <c r="AW2443" s="8"/>
      <c r="AX2443" s="8">
        <f ca="1">IFERROR(__xludf.DUMMYFUNCTION("""COMPUTED_VALUE"""),2124)</f>
        <v>2124</v>
      </c>
    </row>
    <row r="2444" spans="1:50" ht="60" x14ac:dyDescent="0.2">
      <c r="A2444" s="8" t="str">
        <f ca="1">IFERROR(__xludf.DUMMYFUNCTION("""COMPUTED_VALUE"""),"19991026WVGUB")</f>
        <v>19991026WVGUB</v>
      </c>
      <c r="B2444" s="8">
        <f ca="1">IFERROR(__xludf.DUMMYFUNCTION("""COMPUTED_VALUE"""),10)</f>
        <v>10</v>
      </c>
      <c r="C2444" s="8">
        <f ca="1">IFERROR(__xludf.DUMMYFUNCTION("""COMPUTED_VALUE"""),26)</f>
        <v>26</v>
      </c>
      <c r="D2444" s="8">
        <f ca="1">IFERROR(__xludf.DUMMYFUNCTION("""COMPUTED_VALUE"""),1999)</f>
        <v>1999</v>
      </c>
      <c r="E2444" s="9">
        <f ca="1">IFERROR(__xludf.DUMMYFUNCTION("""COMPUTED_VALUE"""),36459)</f>
        <v>36459</v>
      </c>
      <c r="F2444" s="8" t="str">
        <f ca="1">IFERROR(__xludf.DUMMYFUNCTION("""COMPUTED_VALUE"""),"Guyan Valley High School")</f>
        <v>Guyan Valley High School</v>
      </c>
      <c r="G2444" s="8">
        <f ca="1">IFERROR(__xludf.DUMMYFUNCTION("""COMPUTED_VALUE"""),1)</f>
        <v>1</v>
      </c>
      <c r="H2444" s="8">
        <f ca="1">IFERROR(__xludf.DUMMYFUNCTION("""COMPUTED_VALUE"""),0)</f>
        <v>0</v>
      </c>
      <c r="I2444" s="8">
        <f ca="1">IFERROR(__xludf.DUMMYFUNCTION("""COMPUTED_VALUE"""),1)</f>
        <v>1</v>
      </c>
      <c r="J2444" s="8">
        <f ca="1">IFERROR(__xludf.DUMMYFUNCTION("""COMPUTED_VALUE"""),1)</f>
        <v>1</v>
      </c>
      <c r="K2444" s="10" t="str">
        <f ca="1">IFERROR(__xludf.DUMMYFUNCTION("""COMPUTED_VALUE"""),"https://www.newspapers.com/image/220395374/?terms=Guyan%2BValley%2BHigh%2BSchool")</f>
        <v>https://www.newspapers.com/image/220395374/?terms=Guyan%2BValley%2BHigh%2BSchool</v>
      </c>
      <c r="L2444" s="8"/>
      <c r="M2444" s="8"/>
      <c r="N2444" s="8">
        <f ca="1">IFERROR(__xludf.DUMMYFUNCTION("""COMPUTED_VALUE"""),2)</f>
        <v>2</v>
      </c>
      <c r="O2444" s="8" t="str">
        <f ca="1">IFERROR(__xludf.DUMMYFUNCTION("""COMPUTED_VALUE"""),"Fall")</f>
        <v>Fall</v>
      </c>
      <c r="P2444" s="8" t="str">
        <f ca="1">IFERROR(__xludf.DUMMYFUNCTION("""COMPUTED_VALUE"""),"Branchland")</f>
        <v>Branchland</v>
      </c>
      <c r="Q2444" s="8" t="str">
        <f ca="1">IFERROR(__xludf.DUMMYFUNCTION("""COMPUTED_VALUE"""),"WV")</f>
        <v>WV</v>
      </c>
      <c r="R2444" s="8" t="str">
        <f ca="1">IFERROR(__xludf.DUMMYFUNCTION("""COMPUTED_VALUE"""),"High")</f>
        <v>High</v>
      </c>
      <c r="S2444" s="8" t="str">
        <f ca="1">IFERROR(__xludf.DUMMYFUNCTION("""COMPUTED_VALUE"""),"Outside on School Property")</f>
        <v>Outside on School Property</v>
      </c>
      <c r="T2444" s="8" t="str">
        <f ca="1">IFERROR(__xludf.DUMMYFUNCTION("""COMPUTED_VALUE"""),"Outside on School Property")</f>
        <v>Outside on School Property</v>
      </c>
      <c r="U2444" s="8" t="str">
        <f ca="1">IFERROR(__xludf.DUMMYFUNCTION("""COMPUTED_VALUE"""),"No")</f>
        <v>No</v>
      </c>
      <c r="V2444" s="8" t="str">
        <f ca="1">IFERROR(__xludf.DUMMYFUNCTION("""COMPUTED_VALUE"""),"Before School")</f>
        <v>Before School</v>
      </c>
      <c r="W2444" s="11">
        <f ca="1">IFERROR(__xludf.DUMMYFUNCTION("""COMPUTED_VALUE"""),0.256944444444444)</f>
        <v>0.25694444444444398</v>
      </c>
      <c r="X2444" s="8"/>
      <c r="Y2444" s="12" t="str">
        <f ca="1">IFERROR(__xludf.DUMMYFUNCTION("""COMPUTED_VALUE"""),"Bus driver killed janitor then self (believed wife was having affair)")</f>
        <v>Bus driver killed janitor then self (believed wife was having affair)</v>
      </c>
      <c r="Z2444" s="12" t="str">
        <f ca="1">IFERROR(__xludf.DUMMYFUNCTION("""COMPUTED_VALUE"""),"Bus driver believed the custodian was having an affair with his wife. Killed him early in the morning at the school then drove away and killed himself.")</f>
        <v>Bus driver believed the custodian was having an affair with his wife. Killed him early in the morning at the school then drove away and killed himself.</v>
      </c>
      <c r="AA2444" s="8" t="str">
        <f ca="1">IFERROR(__xludf.DUMMYFUNCTION("""COMPUTED_VALUE"""),"Domestic w/ Targeted Victim")</f>
        <v>Domestic w/ Targeted Victim</v>
      </c>
      <c r="AB2444" s="8"/>
      <c r="AC2444" s="8"/>
      <c r="AD2444" s="8" t="str">
        <f ca="1">IFERROR(__xludf.DUMMYFUNCTION("""COMPUTED_VALUE"""),"Victims Targeted")</f>
        <v>Victims Targeted</v>
      </c>
      <c r="AE2444" s="8" t="str">
        <f ca="1">IFERROR(__xludf.DUMMYFUNCTION("""COMPUTED_VALUE"""),"No")</f>
        <v>No</v>
      </c>
      <c r="AF2444" s="8"/>
      <c r="AG2444" s="8" t="str">
        <f ca="1">IFERROR(__xludf.DUMMYFUNCTION("""COMPUTED_VALUE"""),"No")</f>
        <v>No</v>
      </c>
      <c r="AH2444" s="8" t="str">
        <f ca="1">IFERROR(__xludf.DUMMYFUNCTION("""COMPUTED_VALUE"""),"No")</f>
        <v>No</v>
      </c>
      <c r="AI2444" s="8" t="str">
        <f ca="1">IFERROR(__xludf.DUMMYFUNCTION("""COMPUTED_VALUE"""),"No")</f>
        <v>No</v>
      </c>
      <c r="AJ2444" s="8" t="str">
        <f ca="1">IFERROR(__xludf.DUMMYFUNCTION("""COMPUTED_VALUE"""),"No")</f>
        <v>No</v>
      </c>
      <c r="AK2444" s="8" t="str">
        <f ca="1">IFERROR(__xludf.DUMMYFUNCTION("""COMPUTED_VALUE"""),"Yes")</f>
        <v>Yes</v>
      </c>
      <c r="AL2444" s="8" t="str">
        <f ca="1">IFERROR(__xludf.DUMMYFUNCTION("""COMPUTED_VALUE"""),"No")</f>
        <v>No</v>
      </c>
      <c r="AM2444" s="8"/>
      <c r="AN2444" s="8"/>
      <c r="AO2444" s="8" t="str">
        <f ca="1">IFERROR(__xludf.DUMMYFUNCTION("""COMPUTED_VALUE"""),"No")</f>
        <v>No</v>
      </c>
      <c r="AP2444" s="8"/>
      <c r="AQ2444" s="8" t="str">
        <f ca="1">IFERROR(__xludf.DUMMYFUNCTION("""COMPUTED_VALUE"""),"Unknown")</f>
        <v>Unknown</v>
      </c>
      <c r="AR2444" s="8" t="str">
        <f ca="1">IFERROR(__xludf.DUMMYFUNCTION("""COMPUTED_VALUE"""),"NA")</f>
        <v>NA</v>
      </c>
      <c r="AS2444" s="8"/>
      <c r="AT2444" s="8"/>
      <c r="AU2444" s="8">
        <f ca="1">IFERROR(__xludf.DUMMYFUNCTION("""COMPUTED_VALUE"""),38.248804)</f>
        <v>38.248804</v>
      </c>
      <c r="AV2444" s="8">
        <f ca="1">IFERROR(__xludf.DUMMYFUNCTION("""COMPUTED_VALUE"""),-82.189935)</f>
        <v>-82.189935000000006</v>
      </c>
      <c r="AW2444" s="8"/>
      <c r="AX2444" s="8">
        <f ca="1">IFERROR(__xludf.DUMMYFUNCTION("""COMPUTED_VALUE"""),25506)</f>
        <v>25506</v>
      </c>
    </row>
    <row r="2445" spans="1:50" ht="60" x14ac:dyDescent="0.2">
      <c r="A2445" s="8" t="str">
        <f ca="1">IFERROR(__xludf.DUMMYFUNCTION("""COMPUTED_VALUE"""),"19991026PAMAP")</f>
        <v>19991026PAMAP</v>
      </c>
      <c r="B2445" s="8">
        <f ca="1">IFERROR(__xludf.DUMMYFUNCTION("""COMPUTED_VALUE"""),10)</f>
        <v>10</v>
      </c>
      <c r="C2445" s="8">
        <f ca="1">IFERROR(__xludf.DUMMYFUNCTION("""COMPUTED_VALUE"""),26)</f>
        <v>26</v>
      </c>
      <c r="D2445" s="8">
        <f ca="1">IFERROR(__xludf.DUMMYFUNCTION("""COMPUTED_VALUE"""),1999)</f>
        <v>1999</v>
      </c>
      <c r="E2445" s="9">
        <f ca="1">IFERROR(__xludf.DUMMYFUNCTION("""COMPUTED_VALUE"""),36459)</f>
        <v>36459</v>
      </c>
      <c r="F2445" s="8" t="str">
        <f ca="1">IFERROR(__xludf.DUMMYFUNCTION("""COMPUTED_VALUE"""),"Martin Luther King High School")</f>
        <v>Martin Luther King High School</v>
      </c>
      <c r="G2445" s="8">
        <f ca="1">IFERROR(__xludf.DUMMYFUNCTION("""COMPUTED_VALUE"""),1)</f>
        <v>1</v>
      </c>
      <c r="H2445" s="8">
        <f ca="1">IFERROR(__xludf.DUMMYFUNCTION("""COMPUTED_VALUE"""),0)</f>
        <v>0</v>
      </c>
      <c r="I2445" s="8">
        <f ca="1">IFERROR(__xludf.DUMMYFUNCTION("""COMPUTED_VALUE"""),1)</f>
        <v>1</v>
      </c>
      <c r="J2445" s="8">
        <f ca="1">IFERROR(__xludf.DUMMYFUNCTION("""COMPUTED_VALUE"""),0)</f>
        <v>0</v>
      </c>
      <c r="K2445" s="10" t="str">
        <f ca="1">IFERROR(__xludf.DUMMYFUNCTION("""COMPUTED_VALUE"""),"https://www.newspapers.com/image/184629441/?terms=shooting%2BDonald%2BMcNeil")</f>
        <v>https://www.newspapers.com/image/184629441/?terms=shooting%2BDonald%2BMcNeil</v>
      </c>
      <c r="L2445" s="8"/>
      <c r="M2445" s="8"/>
      <c r="N2445" s="8">
        <f ca="1">IFERROR(__xludf.DUMMYFUNCTION("""COMPUTED_VALUE"""),2)</f>
        <v>2</v>
      </c>
      <c r="O2445" s="8" t="str">
        <f ca="1">IFERROR(__xludf.DUMMYFUNCTION("""COMPUTED_VALUE"""),"Fall")</f>
        <v>Fall</v>
      </c>
      <c r="P2445" s="8" t="str">
        <f ca="1">IFERROR(__xludf.DUMMYFUNCTION("""COMPUTED_VALUE"""),"Philadelphia")</f>
        <v>Philadelphia</v>
      </c>
      <c r="Q2445" s="8" t="str">
        <f ca="1">IFERROR(__xludf.DUMMYFUNCTION("""COMPUTED_VALUE"""),"PA")</f>
        <v>PA</v>
      </c>
      <c r="R2445" s="8" t="str">
        <f ca="1">IFERROR(__xludf.DUMMYFUNCTION("""COMPUTED_VALUE"""),"High")</f>
        <v>High</v>
      </c>
      <c r="S2445" s="8" t="str">
        <f ca="1">IFERROR(__xludf.DUMMYFUNCTION("""COMPUTED_VALUE"""),"Beside Building")</f>
        <v>Beside Building</v>
      </c>
      <c r="T2445" s="8" t="str">
        <f ca="1">IFERROR(__xludf.DUMMYFUNCTION("""COMPUTED_VALUE"""),"Outside on School Property")</f>
        <v>Outside on School Property</v>
      </c>
      <c r="U2445" s="8" t="str">
        <f ca="1">IFERROR(__xludf.DUMMYFUNCTION("""COMPUTED_VALUE"""),"Yes")</f>
        <v>Yes</v>
      </c>
      <c r="V2445" s="8" t="str">
        <f ca="1">IFERROR(__xludf.DUMMYFUNCTION("""COMPUTED_VALUE"""),"Afternoon Classes")</f>
        <v>Afternoon Classes</v>
      </c>
      <c r="W2445" s="11">
        <f ca="1">IFERROR(__xludf.DUMMYFUNCTION("""COMPUTED_VALUE"""),0.5625)</f>
        <v>0.5625</v>
      </c>
      <c r="X2445" s="8">
        <f ca="1">IFERROR(__xludf.DUMMYFUNCTION("""COMPUTED_VALUE"""),1)</f>
        <v>1</v>
      </c>
      <c r="Y2445" s="12" t="str">
        <f ca="1">IFERROR(__xludf.DUMMYFUNCTION("""COMPUTED_VALUE"""),"Shooter thought victim had insulted his girlfriend")</f>
        <v>Shooter thought victim had insulted his girlfriend</v>
      </c>
      <c r="Z2445" s="12" t="str">
        <f ca="1">IFERROR(__xludf.DUMMYFUNCTION("""COMPUTED_VALUE"""),"19YOM former student shot 16YOM outside of the school. Shooter believed the victim had insulted his girlfriend. A 17YOM dropout was also charged with helping to plan the murder.")</f>
        <v>19YOM former student shot 16YOM outside of the school. Shooter believed the victim had insulted his girlfriend. A 17YOM dropout was also charged with helping to plan the murder.</v>
      </c>
      <c r="AA2445" s="8" t="str">
        <f ca="1">IFERROR(__xludf.DUMMYFUNCTION("""COMPUTED_VALUE"""),"Escalation of Dispute")</f>
        <v>Escalation of Dispute</v>
      </c>
      <c r="AB2445" s="8"/>
      <c r="AC2445" s="8"/>
      <c r="AD2445" s="8" t="str">
        <f ca="1">IFERROR(__xludf.DUMMYFUNCTION("""COMPUTED_VALUE"""),"Victims Targeted")</f>
        <v>Victims Targeted</v>
      </c>
      <c r="AE2445" s="8" t="str">
        <f ca="1">IFERROR(__xludf.DUMMYFUNCTION("""COMPUTED_VALUE"""),"Yes")</f>
        <v>Yes</v>
      </c>
      <c r="AF2445" s="8" t="str">
        <f ca="1">IFERROR(__xludf.DUMMYFUNCTION("""COMPUTED_VALUE"""),"17YOM arrested to helping plan murder")</f>
        <v>17YOM arrested to helping plan murder</v>
      </c>
      <c r="AG2445" s="8" t="str">
        <f ca="1">IFERROR(__xludf.DUMMYFUNCTION("""COMPUTED_VALUE"""),"No")</f>
        <v>No</v>
      </c>
      <c r="AH2445" s="8" t="str">
        <f ca="1">IFERROR(__xludf.DUMMYFUNCTION("""COMPUTED_VALUE"""),"No")</f>
        <v>No</v>
      </c>
      <c r="AI2445" s="8" t="str">
        <f ca="1">IFERROR(__xludf.DUMMYFUNCTION("""COMPUTED_VALUE"""),"No")</f>
        <v>No</v>
      </c>
      <c r="AJ2445" s="8" t="str">
        <f ca="1">IFERROR(__xludf.DUMMYFUNCTION("""COMPUTED_VALUE"""),"No")</f>
        <v>No</v>
      </c>
      <c r="AK2445" s="8" t="str">
        <f ca="1">IFERROR(__xludf.DUMMYFUNCTION("""COMPUTED_VALUE"""),"No")</f>
        <v>No</v>
      </c>
      <c r="AL2445" s="8" t="str">
        <f ca="1">IFERROR(__xludf.DUMMYFUNCTION("""COMPUTED_VALUE"""),"No")</f>
        <v>No</v>
      </c>
      <c r="AM2445" s="8"/>
      <c r="AN2445" s="8"/>
      <c r="AO2445" s="8" t="str">
        <f ca="1">IFERROR(__xludf.DUMMYFUNCTION("""COMPUTED_VALUE"""),"No")</f>
        <v>No</v>
      </c>
      <c r="AP2445" s="8"/>
      <c r="AQ2445" s="8" t="str">
        <f ca="1">IFERROR(__xludf.DUMMYFUNCTION("""COMPUTED_VALUE"""),"Unknown")</f>
        <v>Unknown</v>
      </c>
      <c r="AR2445" s="8" t="str">
        <f ca="1">IFERROR(__xludf.DUMMYFUNCTION("""COMPUTED_VALUE"""),"NA")</f>
        <v>NA</v>
      </c>
      <c r="AS2445" s="8"/>
      <c r="AT2445" s="8"/>
      <c r="AU2445" s="8">
        <f ca="1">IFERROR(__xludf.DUMMYFUNCTION("""COMPUTED_VALUE"""),40.056261)</f>
        <v>40.056260999999999</v>
      </c>
      <c r="AV2445" s="8">
        <f ca="1">IFERROR(__xludf.DUMMYFUNCTION("""COMPUTED_VALUE"""),-75.161454)</f>
        <v>-75.161454000000006</v>
      </c>
      <c r="AW2445" s="8"/>
      <c r="AX2445" s="8">
        <f ca="1">IFERROR(__xludf.DUMMYFUNCTION("""COMPUTED_VALUE"""),19138)</f>
        <v>19138</v>
      </c>
    </row>
    <row r="2446" spans="1:50" ht="60" x14ac:dyDescent="0.2">
      <c r="A2446" s="8" t="str">
        <f ca="1">IFERROR(__xludf.DUMMYFUNCTION("""COMPUTED_VALUE"""),"19991021CASAP")</f>
        <v>19991021CASAP</v>
      </c>
      <c r="B2446" s="8">
        <f ca="1">IFERROR(__xludf.DUMMYFUNCTION("""COMPUTED_VALUE"""),10)</f>
        <v>10</v>
      </c>
      <c r="C2446" s="8">
        <f ca="1">IFERROR(__xludf.DUMMYFUNCTION("""COMPUTED_VALUE"""),21)</f>
        <v>21</v>
      </c>
      <c r="D2446" s="8">
        <f ca="1">IFERROR(__xludf.DUMMYFUNCTION("""COMPUTED_VALUE"""),1999)</f>
        <v>1999</v>
      </c>
      <c r="E2446" s="9">
        <f ca="1">IFERROR(__xludf.DUMMYFUNCTION("""COMPUTED_VALUE"""),36454)</f>
        <v>36454</v>
      </c>
      <c r="F2446" s="8" t="str">
        <f ca="1">IFERROR(__xludf.DUMMYFUNCTION("""COMPUTED_VALUE"""),"San Fernando High School")</f>
        <v>San Fernando High School</v>
      </c>
      <c r="G2446" s="8">
        <f ca="1">IFERROR(__xludf.DUMMYFUNCTION("""COMPUTED_VALUE"""),0)</f>
        <v>0</v>
      </c>
      <c r="H2446" s="8">
        <f ca="1">IFERROR(__xludf.DUMMYFUNCTION("""COMPUTED_VALUE"""),1)</f>
        <v>1</v>
      </c>
      <c r="I2446" s="8">
        <f ca="1">IFERROR(__xludf.DUMMYFUNCTION("""COMPUTED_VALUE"""),1)</f>
        <v>1</v>
      </c>
      <c r="J2446" s="8">
        <f ca="1">IFERROR(__xludf.DUMMYFUNCTION("""COMPUTED_VALUE"""),0)</f>
        <v>0</v>
      </c>
      <c r="K2446" s="10" t="str">
        <f ca="1">IFERROR(__xludf.DUMMYFUNCTION("""COMPUTED_VALUE"""),"http://articles.latimes.com/1999/oct/22/local/me-24932")</f>
        <v>http://articles.latimes.com/1999/oct/22/local/me-24932</v>
      </c>
      <c r="L2446" s="8"/>
      <c r="M2446" s="8"/>
      <c r="N2446" s="8">
        <f ca="1">IFERROR(__xludf.DUMMYFUNCTION("""COMPUTED_VALUE"""),2)</f>
        <v>2</v>
      </c>
      <c r="O2446" s="8" t="str">
        <f ca="1">IFERROR(__xludf.DUMMYFUNCTION("""COMPUTED_VALUE"""),"Fall")</f>
        <v>Fall</v>
      </c>
      <c r="P2446" s="8" t="str">
        <f ca="1">IFERROR(__xludf.DUMMYFUNCTION("""COMPUTED_VALUE"""),"Pacoima")</f>
        <v>Pacoima</v>
      </c>
      <c r="Q2446" s="8" t="str">
        <f ca="1">IFERROR(__xludf.DUMMYFUNCTION("""COMPUTED_VALUE"""),"CA")</f>
        <v>CA</v>
      </c>
      <c r="R2446" s="8" t="str">
        <f ca="1">IFERROR(__xludf.DUMMYFUNCTION("""COMPUTED_VALUE"""),"High")</f>
        <v>High</v>
      </c>
      <c r="S2446" s="8" t="str">
        <f ca="1">IFERROR(__xludf.DUMMYFUNCTION("""COMPUTED_VALUE"""),"Beside Building")</f>
        <v>Beside Building</v>
      </c>
      <c r="T2446" s="8" t="str">
        <f ca="1">IFERROR(__xludf.DUMMYFUNCTION("""COMPUTED_VALUE"""),"Outside on School Property")</f>
        <v>Outside on School Property</v>
      </c>
      <c r="U2446" s="8" t="str">
        <f ca="1">IFERROR(__xludf.DUMMYFUNCTION("""COMPUTED_VALUE"""),"No")</f>
        <v>No</v>
      </c>
      <c r="V2446" s="8" t="str">
        <f ca="1">IFERROR(__xludf.DUMMYFUNCTION("""COMPUTED_VALUE"""),"After School")</f>
        <v>After School</v>
      </c>
      <c r="W2446" s="11">
        <f ca="1">IFERROR(__xludf.DUMMYFUNCTION("""COMPUTED_VALUE"""),0.611111111111111)</f>
        <v>0.61111111111111105</v>
      </c>
      <c r="X2446" s="8">
        <f ca="1">IFERROR(__xludf.DUMMYFUNCTION("""COMPUTED_VALUE"""),1)</f>
        <v>1</v>
      </c>
      <c r="Y2446" s="12" t="str">
        <f ca="1">IFERROR(__xludf.DUMMYFUNCTION("""COMPUTED_VALUE"""),"Student shot by group of multiple students outside of school")</f>
        <v>Student shot by group of multiple students outside of school</v>
      </c>
      <c r="Z2446" s="12" t="str">
        <f ca="1">IFERROR(__xludf.DUMMYFUNCTION("""COMPUTED_VALUE"""),"17YOM student standing outside of school was approached by a group of teens. Multiple shots were fired and the student was seriously injured. Group of teens fled and were not identified.")</f>
        <v>17YOM student standing outside of school was approached by a group of teens. Multiple shots were fired and the student was seriously injured. Group of teens fled and were not identified.</v>
      </c>
      <c r="AA2446" s="8" t="str">
        <f ca="1">IFERROR(__xludf.DUMMYFUNCTION("""COMPUTED_VALUE"""),"Escalation of Dispute")</f>
        <v>Escalation of Dispute</v>
      </c>
      <c r="AB2446" s="8"/>
      <c r="AC2446" s="8"/>
      <c r="AD2446" s="8" t="str">
        <f ca="1">IFERROR(__xludf.DUMMYFUNCTION("""COMPUTED_VALUE"""),"Victims Targeted")</f>
        <v>Victims Targeted</v>
      </c>
      <c r="AE2446" s="8" t="str">
        <f ca="1">IFERROR(__xludf.DUMMYFUNCTION("""COMPUTED_VALUE"""),"Yes")</f>
        <v>Yes</v>
      </c>
      <c r="AF2446" s="8" t="str">
        <f ca="1">IFERROR(__xludf.DUMMYFUNCTION("""COMPUTED_VALUE"""),"Group of teens")</f>
        <v>Group of teens</v>
      </c>
      <c r="AG2446" s="8" t="str">
        <f ca="1">IFERROR(__xludf.DUMMYFUNCTION("""COMPUTED_VALUE"""),"No")</f>
        <v>No</v>
      </c>
      <c r="AH2446" s="8" t="str">
        <f ca="1">IFERROR(__xludf.DUMMYFUNCTION("""COMPUTED_VALUE"""),"No")</f>
        <v>No</v>
      </c>
      <c r="AI2446" s="8" t="str">
        <f ca="1">IFERROR(__xludf.DUMMYFUNCTION("""COMPUTED_VALUE"""),"No")</f>
        <v>No</v>
      </c>
      <c r="AJ2446" s="8" t="str">
        <f ca="1">IFERROR(__xludf.DUMMYFUNCTION("""COMPUTED_VALUE"""),"No")</f>
        <v>No</v>
      </c>
      <c r="AK2446" s="8" t="str">
        <f ca="1">IFERROR(__xludf.DUMMYFUNCTION("""COMPUTED_VALUE"""),"No")</f>
        <v>No</v>
      </c>
      <c r="AL2446" s="8"/>
      <c r="AM2446" s="8"/>
      <c r="AN2446" s="8"/>
      <c r="AO2446" s="8" t="str">
        <f ca="1">IFERROR(__xludf.DUMMYFUNCTION("""COMPUTED_VALUE"""),"No")</f>
        <v>No</v>
      </c>
      <c r="AP2446" s="8"/>
      <c r="AQ2446" s="8" t="str">
        <f ca="1">IFERROR(__xludf.DUMMYFUNCTION("""COMPUTED_VALUE"""),"Unknown")</f>
        <v>Unknown</v>
      </c>
      <c r="AR2446" s="8" t="str">
        <f ca="1">IFERROR(__xludf.DUMMYFUNCTION("""COMPUTED_VALUE"""),"NA")</f>
        <v>NA</v>
      </c>
      <c r="AS2446" s="8" t="str">
        <f ca="1">IFERROR(__xludf.DUMMYFUNCTION("""COMPUTED_VALUE"""),"&gt;5")</f>
        <v>&gt;5</v>
      </c>
      <c r="AT2446" s="8"/>
      <c r="AU2446" s="8">
        <f ca="1">IFERROR(__xludf.DUMMYFUNCTION("""COMPUTED_VALUE"""),34.270049)</f>
        <v>34.270049</v>
      </c>
      <c r="AV2446" s="8">
        <f ca="1">IFERROR(__xludf.DUMMYFUNCTION("""COMPUTED_VALUE"""),-118.440612)</f>
        <v>-118.440612</v>
      </c>
      <c r="AW2446" s="8"/>
      <c r="AX2446" s="8">
        <f ca="1">IFERROR(__xludf.DUMMYFUNCTION("""COMPUTED_VALUE"""),91340)</f>
        <v>91340</v>
      </c>
    </row>
    <row r="2447" spans="1:50" ht="60" x14ac:dyDescent="0.2">
      <c r="A2447" s="8" t="str">
        <f ca="1">IFERROR(__xludf.DUMMYFUNCTION("""COMPUTED_VALUE"""),"19991011NVCLL")</f>
        <v>19991011NVCLL</v>
      </c>
      <c r="B2447" s="8">
        <f ca="1">IFERROR(__xludf.DUMMYFUNCTION("""COMPUTED_VALUE"""),10)</f>
        <v>10</v>
      </c>
      <c r="C2447" s="8">
        <f ca="1">IFERROR(__xludf.DUMMYFUNCTION("""COMPUTED_VALUE"""),11)</f>
        <v>11</v>
      </c>
      <c r="D2447" s="8">
        <f ca="1">IFERROR(__xludf.DUMMYFUNCTION("""COMPUTED_VALUE"""),1999)</f>
        <v>1999</v>
      </c>
      <c r="E2447" s="9">
        <f ca="1">IFERROR(__xludf.DUMMYFUNCTION("""COMPUTED_VALUE"""),36444)</f>
        <v>36444</v>
      </c>
      <c r="F2447" s="8" t="str">
        <f ca="1">IFERROR(__xludf.DUMMYFUNCTION("""COMPUTED_VALUE"""),"Clark High School")</f>
        <v>Clark High School</v>
      </c>
      <c r="G2447" s="8">
        <f ca="1">IFERROR(__xludf.DUMMYFUNCTION("""COMPUTED_VALUE"""),0)</f>
        <v>0</v>
      </c>
      <c r="H2447" s="8">
        <f ca="1">IFERROR(__xludf.DUMMYFUNCTION("""COMPUTED_VALUE"""),2)</f>
        <v>2</v>
      </c>
      <c r="I2447" s="8">
        <f ca="1">IFERROR(__xludf.DUMMYFUNCTION("""COMPUTED_VALUE"""),2)</f>
        <v>2</v>
      </c>
      <c r="J2447" s="8">
        <f ca="1">IFERROR(__xludf.DUMMYFUNCTION("""COMPUTED_VALUE"""),0)</f>
        <v>0</v>
      </c>
      <c r="K2447" s="10" t="str">
        <f ca="1">IFERROR(__xludf.DUMMYFUNCTION("""COMPUTED_VALUE"""),"https://lasvegassun.com/news/1999/oct/12/security-increased-after-shooting-at-clark-high/")</f>
        <v>https://lasvegassun.com/news/1999/oct/12/security-increased-after-shooting-at-clark-high/</v>
      </c>
      <c r="L2447" s="8"/>
      <c r="M2447" s="8"/>
      <c r="N2447" s="8">
        <f ca="1">IFERROR(__xludf.DUMMYFUNCTION("""COMPUTED_VALUE"""),2)</f>
        <v>2</v>
      </c>
      <c r="O2447" s="8" t="str">
        <f ca="1">IFERROR(__xludf.DUMMYFUNCTION("""COMPUTED_VALUE"""),"Fall")</f>
        <v>Fall</v>
      </c>
      <c r="P2447" s="8" t="str">
        <f ca="1">IFERROR(__xludf.DUMMYFUNCTION("""COMPUTED_VALUE"""),"Las Vegas")</f>
        <v>Las Vegas</v>
      </c>
      <c r="Q2447" s="8" t="str">
        <f ca="1">IFERROR(__xludf.DUMMYFUNCTION("""COMPUTED_VALUE"""),"NV")</f>
        <v>NV</v>
      </c>
      <c r="R2447" s="8" t="str">
        <f ca="1">IFERROR(__xludf.DUMMYFUNCTION("""COMPUTED_VALUE"""),"High")</f>
        <v>High</v>
      </c>
      <c r="S2447" s="8" t="str">
        <f ca="1">IFERROR(__xludf.DUMMYFUNCTION("""COMPUTED_VALUE"""),"Beside Building")</f>
        <v>Beside Building</v>
      </c>
      <c r="T2447" s="8" t="str">
        <f ca="1">IFERROR(__xludf.DUMMYFUNCTION("""COMPUTED_VALUE"""),"Outside on School Property")</f>
        <v>Outside on School Property</v>
      </c>
      <c r="U2447" s="8" t="str">
        <f ca="1">IFERROR(__xludf.DUMMYFUNCTION("""COMPUTED_VALUE"""),"No")</f>
        <v>No</v>
      </c>
      <c r="V2447" s="8" t="str">
        <f ca="1">IFERROR(__xludf.DUMMYFUNCTION("""COMPUTED_VALUE"""),"After School")</f>
        <v>After School</v>
      </c>
      <c r="W2447" s="11">
        <f ca="1">IFERROR(__xludf.DUMMYFUNCTION("""COMPUTED_VALUE"""),0.611111111111111)</f>
        <v>0.61111111111111105</v>
      </c>
      <c r="X2447" s="8">
        <f ca="1">IFERROR(__xludf.DUMMYFUNCTION("""COMPUTED_VALUE"""),1)</f>
        <v>1</v>
      </c>
      <c r="Y2447" s="12" t="str">
        <f ca="1">IFERROR(__xludf.DUMMYFUNCTION("""COMPUTED_VALUE"""),"Gang related shooting outside of school")</f>
        <v>Gang related shooting outside of school</v>
      </c>
      <c r="Z2447" s="12" t="str">
        <f ca="1">IFERROR(__xludf.DUMMYFUNCTION("""COMPUTED_VALUE"""),"Two students standing with a group of other students outside the school were shot by two gang members. The shooting may have involved the theft of a bicycle. A 18 YOM and 14 YOM were arrested shortly after the shooting.")</f>
        <v>Two students standing with a group of other students outside the school were shot by two gang members. The shooting may have involved the theft of a bicycle. A 18 YOM and 14 YOM were arrested shortly after the shooting.</v>
      </c>
      <c r="AA2447" s="8" t="str">
        <f ca="1">IFERROR(__xludf.DUMMYFUNCTION("""COMPUTED_VALUE"""),"Illegal Activity")</f>
        <v>Illegal Activity</v>
      </c>
      <c r="AB2447" s="8"/>
      <c r="AC2447" s="8"/>
      <c r="AD2447" s="8" t="str">
        <f ca="1">IFERROR(__xludf.DUMMYFUNCTION("""COMPUTED_VALUE"""),"Both")</f>
        <v>Both</v>
      </c>
      <c r="AE2447" s="8" t="str">
        <f ca="1">IFERROR(__xludf.DUMMYFUNCTION("""COMPUTED_VALUE"""),"Yes")</f>
        <v>Yes</v>
      </c>
      <c r="AF2447" s="8" t="str">
        <f ca="1">IFERROR(__xludf.DUMMYFUNCTION("""COMPUTED_VALUE"""),"14 YOM with the shooter, arrested")</f>
        <v>14 YOM with the shooter, arrested</v>
      </c>
      <c r="AG2447" s="8" t="str">
        <f ca="1">IFERROR(__xludf.DUMMYFUNCTION("""COMPUTED_VALUE"""),"No")</f>
        <v>No</v>
      </c>
      <c r="AH2447" s="8" t="str">
        <f ca="1">IFERROR(__xludf.DUMMYFUNCTION("""COMPUTED_VALUE"""),"No")</f>
        <v>No</v>
      </c>
      <c r="AI2447" s="8" t="str">
        <f ca="1">IFERROR(__xludf.DUMMYFUNCTION("""COMPUTED_VALUE"""),"No")</f>
        <v>No</v>
      </c>
      <c r="AJ2447" s="8" t="str">
        <f ca="1">IFERROR(__xludf.DUMMYFUNCTION("""COMPUTED_VALUE"""),"No")</f>
        <v>No</v>
      </c>
      <c r="AK2447" s="8" t="str">
        <f ca="1">IFERROR(__xludf.DUMMYFUNCTION("""COMPUTED_VALUE"""),"No")</f>
        <v>No</v>
      </c>
      <c r="AL2447" s="8" t="str">
        <f ca="1">IFERROR(__xludf.DUMMYFUNCTION("""COMPUTED_VALUE"""),"Yes")</f>
        <v>Yes</v>
      </c>
      <c r="AM2447" s="8"/>
      <c r="AN2447" s="8"/>
      <c r="AO2447" s="8" t="str">
        <f ca="1">IFERROR(__xludf.DUMMYFUNCTION("""COMPUTED_VALUE"""),"No")</f>
        <v>No</v>
      </c>
      <c r="AP2447" s="8"/>
      <c r="AQ2447" s="8" t="str">
        <f ca="1">IFERROR(__xludf.DUMMYFUNCTION("""COMPUTED_VALUE"""),"Unknown")</f>
        <v>Unknown</v>
      </c>
      <c r="AR2447" s="8" t="str">
        <f ca="1">IFERROR(__xludf.DUMMYFUNCTION("""COMPUTED_VALUE"""),"NA")</f>
        <v>NA</v>
      </c>
      <c r="AS2447" s="8">
        <f ca="1">IFERROR(__xludf.DUMMYFUNCTION("""COMPUTED_VALUE"""),6)</f>
        <v>6</v>
      </c>
      <c r="AT2447" s="8"/>
      <c r="AU2447" s="8">
        <f ca="1">IFERROR(__xludf.DUMMYFUNCTION("""COMPUTED_VALUE"""),36.135241)</f>
        <v>36.135241000000001</v>
      </c>
      <c r="AV2447" s="8">
        <f ca="1">IFERROR(__xludf.DUMMYFUNCTION("""COMPUTED_VALUE"""),-115.197544)</f>
        <v>-115.19754399999999</v>
      </c>
      <c r="AW2447" s="8"/>
      <c r="AX2447" s="8">
        <f ca="1">IFERROR(__xludf.DUMMYFUNCTION("""COMPUTED_VALUE"""),89102)</f>
        <v>89102</v>
      </c>
    </row>
    <row r="2448" spans="1:50" ht="60" x14ac:dyDescent="0.2">
      <c r="A2448" s="8" t="str">
        <f ca="1">IFERROR(__xludf.DUMMYFUNCTION("""COMPUTED_VALUE"""),"19991004SDJOP")</f>
        <v>19991004SDJOP</v>
      </c>
      <c r="B2448" s="8">
        <f ca="1">IFERROR(__xludf.DUMMYFUNCTION("""COMPUTED_VALUE"""),10)</f>
        <v>10</v>
      </c>
      <c r="C2448" s="8">
        <f ca="1">IFERROR(__xludf.DUMMYFUNCTION("""COMPUTED_VALUE"""),4)</f>
        <v>4</v>
      </c>
      <c r="D2448" s="8">
        <f ca="1">IFERROR(__xludf.DUMMYFUNCTION("""COMPUTED_VALUE"""),1999)</f>
        <v>1999</v>
      </c>
      <c r="E2448" s="9">
        <f ca="1">IFERROR(__xludf.DUMMYFUNCTION("""COMPUTED_VALUE"""),36437)</f>
        <v>36437</v>
      </c>
      <c r="F2448" s="8" t="str">
        <f ca="1">IFERROR(__xludf.DUMMYFUNCTION("""COMPUTED_VALUE"""),"John Bartram High School")</f>
        <v>John Bartram High School</v>
      </c>
      <c r="G2448" s="8">
        <f ca="1">IFERROR(__xludf.DUMMYFUNCTION("""COMPUTED_VALUE"""),0)</f>
        <v>0</v>
      </c>
      <c r="H2448" s="8">
        <f ca="1">IFERROR(__xludf.DUMMYFUNCTION("""COMPUTED_VALUE"""),1)</f>
        <v>1</v>
      </c>
      <c r="I2448" s="8">
        <f ca="1">IFERROR(__xludf.DUMMYFUNCTION("""COMPUTED_VALUE"""),1)</f>
        <v>1</v>
      </c>
      <c r="J2448" s="8">
        <f ca="1">IFERROR(__xludf.DUMMYFUNCTION("""COMPUTED_VALUE"""),0)</f>
        <v>0</v>
      </c>
      <c r="K2448" s="10" t="str">
        <f ca="1">IFERROR(__xludf.DUMMYFUNCTION("""COMPUTED_VALUE"""),"https://www.cbsnews.com/news/vice-principal-shot-in-scuffle/")</f>
        <v>https://www.cbsnews.com/news/vice-principal-shot-in-scuffle/</v>
      </c>
      <c r="L2448" s="8"/>
      <c r="M2448" s="8"/>
      <c r="N2448" s="8">
        <f ca="1">IFERROR(__xludf.DUMMYFUNCTION("""COMPUTED_VALUE"""),2)</f>
        <v>2</v>
      </c>
      <c r="O2448" s="8" t="str">
        <f ca="1">IFERROR(__xludf.DUMMYFUNCTION("""COMPUTED_VALUE"""),"Fall")</f>
        <v>Fall</v>
      </c>
      <c r="P2448" s="8" t="str">
        <f ca="1">IFERROR(__xludf.DUMMYFUNCTION("""COMPUTED_VALUE"""),"Philadelphia")</f>
        <v>Philadelphia</v>
      </c>
      <c r="Q2448" s="8" t="str">
        <f ca="1">IFERROR(__xludf.DUMMYFUNCTION("""COMPUTED_VALUE"""),"PA")</f>
        <v>PA</v>
      </c>
      <c r="R2448" s="8" t="str">
        <f ca="1">IFERROR(__xludf.DUMMYFUNCTION("""COMPUTED_VALUE"""),"High")</f>
        <v>High</v>
      </c>
      <c r="S2448" s="8" t="str">
        <f ca="1">IFERROR(__xludf.DUMMYFUNCTION("""COMPUTED_VALUE"""),"Hallway")</f>
        <v>Hallway</v>
      </c>
      <c r="T2448" s="8" t="str">
        <f ca="1">IFERROR(__xludf.DUMMYFUNCTION("""COMPUTED_VALUE"""),"Inside School Building")</f>
        <v>Inside School Building</v>
      </c>
      <c r="U2448" s="8" t="str">
        <f ca="1">IFERROR(__xludf.DUMMYFUNCTION("""COMPUTED_VALUE"""),"Yes")</f>
        <v>Yes</v>
      </c>
      <c r="V2448" s="8" t="str">
        <f ca="1">IFERROR(__xludf.DUMMYFUNCTION("""COMPUTED_VALUE"""),"Morning Classes")</f>
        <v>Morning Classes</v>
      </c>
      <c r="W2448" s="11">
        <f ca="1">IFERROR(__xludf.DUMMYFUNCTION("""COMPUTED_VALUE"""),0.416666666666666)</f>
        <v>0.41666666666666602</v>
      </c>
      <c r="X2448" s="8">
        <f ca="1">IFERROR(__xludf.DUMMYFUNCTION("""COMPUTED_VALUE"""),1)</f>
        <v>1</v>
      </c>
      <c r="Y2448" s="12" t="str">
        <f ca="1">IFERROR(__xludf.DUMMYFUNCTION("""COMPUTED_VALUE"""),"Principal grabbed gun during fight between student, shot in foot")</f>
        <v>Principal grabbed gun during fight between student, shot in foot</v>
      </c>
      <c r="Z2448" s="12" t="str">
        <f ca="1">IFERROR(__xludf.DUMMYFUNCTION("""COMPUTED_VALUE"""),"Gun was pulled during a fight in the hallway between students. Principal was trying to break up the fight and grabbed the gun. It fired striking him in the foot. Students involved fled the area.")</f>
        <v>Gun was pulled during a fight in the hallway between students. Principal was trying to break up the fight and grabbed the gun. It fired striking him in the foot. Students involved fled the area.</v>
      </c>
      <c r="AA2448" s="8" t="str">
        <f ca="1">IFERROR(__xludf.DUMMYFUNCTION("""COMPUTED_VALUE"""),"Escalation of Dispute")</f>
        <v>Escalation of Dispute</v>
      </c>
      <c r="AB2448" s="8"/>
      <c r="AC2448" s="8"/>
      <c r="AD2448" s="8" t="str">
        <f ca="1">IFERROR(__xludf.DUMMYFUNCTION("""COMPUTED_VALUE"""),"Random Shooting")</f>
        <v>Random Shooting</v>
      </c>
      <c r="AE2448" s="8" t="str">
        <f ca="1">IFERROR(__xludf.DUMMYFUNCTION("""COMPUTED_VALUE"""),"No")</f>
        <v>No</v>
      </c>
      <c r="AF2448" s="8"/>
      <c r="AG2448" s="8" t="str">
        <f ca="1">IFERROR(__xludf.DUMMYFUNCTION("""COMPUTED_VALUE"""),"No")</f>
        <v>No</v>
      </c>
      <c r="AH2448" s="8" t="str">
        <f ca="1">IFERROR(__xludf.DUMMYFUNCTION("""COMPUTED_VALUE"""),"No")</f>
        <v>No</v>
      </c>
      <c r="AI2448" s="8" t="str">
        <f ca="1">IFERROR(__xludf.DUMMYFUNCTION("""COMPUTED_VALUE"""),"No")</f>
        <v>No</v>
      </c>
      <c r="AJ2448" s="8" t="str">
        <f ca="1">IFERROR(__xludf.DUMMYFUNCTION("""COMPUTED_VALUE"""),"No")</f>
        <v>No</v>
      </c>
      <c r="AK2448" s="8" t="str">
        <f ca="1">IFERROR(__xludf.DUMMYFUNCTION("""COMPUTED_VALUE"""),"No")</f>
        <v>No</v>
      </c>
      <c r="AL2448" s="8" t="str">
        <f ca="1">IFERROR(__xludf.DUMMYFUNCTION("""COMPUTED_VALUE"""),"No")</f>
        <v>No</v>
      </c>
      <c r="AM2448" s="8"/>
      <c r="AN2448" s="8"/>
      <c r="AO2448" s="8" t="str">
        <f ca="1">IFERROR(__xludf.DUMMYFUNCTION("""COMPUTED_VALUE"""),"No")</f>
        <v>No</v>
      </c>
      <c r="AP2448" s="8" t="str">
        <f ca="1">IFERROR(__xludf.DUMMYFUNCTION("""COMPUTED_VALUE"""),"Yes")</f>
        <v>Yes</v>
      </c>
      <c r="AQ2448" s="8" t="str">
        <f ca="1">IFERROR(__xludf.DUMMYFUNCTION("""COMPUTED_VALUE"""),"Unknown")</f>
        <v>Unknown</v>
      </c>
      <c r="AR2448" s="8" t="str">
        <f ca="1">IFERROR(__xludf.DUMMYFUNCTION("""COMPUTED_VALUE"""),"NA")</f>
        <v>NA</v>
      </c>
      <c r="AS2448" s="8">
        <f ca="1">IFERROR(__xludf.DUMMYFUNCTION("""COMPUTED_VALUE"""),1)</f>
        <v>1</v>
      </c>
      <c r="AT2448" s="8"/>
      <c r="AU2448" s="8">
        <f ca="1">IFERROR(__xludf.DUMMYFUNCTION("""COMPUTED_VALUE"""),39.921887)</f>
        <v>39.921886999999998</v>
      </c>
      <c r="AV2448" s="8">
        <f ca="1">IFERROR(__xludf.DUMMYFUNCTION("""COMPUTED_VALUE"""),-75.233976)</f>
        <v>-75.233975999999998</v>
      </c>
      <c r="AW2448" s="8"/>
      <c r="AX2448" s="8">
        <f ca="1">IFERROR(__xludf.DUMMYFUNCTION("""COMPUTED_VALUE"""),19142)</f>
        <v>19142</v>
      </c>
    </row>
    <row r="2449" spans="1:50" ht="45" x14ac:dyDescent="0.2">
      <c r="A2449" s="8" t="str">
        <f ca="1">IFERROR(__xludf.DUMMYFUNCTION("""COMPUTED_VALUE"""),"19990927FLEGT")</f>
        <v>19990927FLEGT</v>
      </c>
      <c r="B2449" s="8">
        <f ca="1">IFERROR(__xludf.DUMMYFUNCTION("""COMPUTED_VALUE"""),9)</f>
        <v>9</v>
      </c>
      <c r="C2449" s="8">
        <f ca="1">IFERROR(__xludf.DUMMYFUNCTION("""COMPUTED_VALUE"""),27)</f>
        <v>27</v>
      </c>
      <c r="D2449" s="8">
        <f ca="1">IFERROR(__xludf.DUMMYFUNCTION("""COMPUTED_VALUE"""),1999)</f>
        <v>1999</v>
      </c>
      <c r="E2449" s="9">
        <f ca="1">IFERROR(__xludf.DUMMYFUNCTION("""COMPUTED_VALUE"""),36430)</f>
        <v>36430</v>
      </c>
      <c r="F2449" s="8" t="str">
        <f ca="1">IFERROR(__xludf.DUMMYFUNCTION("""COMPUTED_VALUE"""),"Egypt Lake Elementary School")</f>
        <v>Egypt Lake Elementary School</v>
      </c>
      <c r="G2449" s="8">
        <f ca="1">IFERROR(__xludf.DUMMYFUNCTION("""COMPUTED_VALUE"""),0)</f>
        <v>0</v>
      </c>
      <c r="H2449" s="8">
        <f ca="1">IFERROR(__xludf.DUMMYFUNCTION("""COMPUTED_VALUE"""),1)</f>
        <v>1</v>
      </c>
      <c r="I2449" s="8">
        <f ca="1">IFERROR(__xludf.DUMMYFUNCTION("""COMPUTED_VALUE"""),1)</f>
        <v>1</v>
      </c>
      <c r="J2449" s="8">
        <f ca="1">IFERROR(__xludf.DUMMYFUNCTION("""COMPUTED_VALUE"""),0)</f>
        <v>0</v>
      </c>
      <c r="K2449" s="10" t="str">
        <f ca="1">IFERROR(__xludf.DUMMYFUNCTION("""COMPUTED_VALUE"""),"https://www.newspapers.com/image/327236803/?terms=Lauren%2BKlingensmith")</f>
        <v>https://www.newspapers.com/image/327236803/?terms=Lauren%2BKlingensmith</v>
      </c>
      <c r="L2449" s="8"/>
      <c r="M2449" s="8"/>
      <c r="N2449" s="8">
        <f ca="1">IFERROR(__xludf.DUMMYFUNCTION("""COMPUTED_VALUE"""),2)</f>
        <v>2</v>
      </c>
      <c r="O2449" s="8" t="str">
        <f ca="1">IFERROR(__xludf.DUMMYFUNCTION("""COMPUTED_VALUE"""),"Fall")</f>
        <v>Fall</v>
      </c>
      <c r="P2449" s="8" t="str">
        <f ca="1">IFERROR(__xludf.DUMMYFUNCTION("""COMPUTED_VALUE"""),"Tampa")</f>
        <v>Tampa</v>
      </c>
      <c r="Q2449" s="8" t="str">
        <f ca="1">IFERROR(__xludf.DUMMYFUNCTION("""COMPUTED_VALUE"""),"FL")</f>
        <v>FL</v>
      </c>
      <c r="R2449" s="8" t="str">
        <f ca="1">IFERROR(__xludf.DUMMYFUNCTION("""COMPUTED_VALUE"""),"Elementary")</f>
        <v>Elementary</v>
      </c>
      <c r="S2449" s="8" t="str">
        <f ca="1">IFERROR(__xludf.DUMMYFUNCTION("""COMPUTED_VALUE"""),"Beside Building")</f>
        <v>Beside Building</v>
      </c>
      <c r="T2449" s="8" t="str">
        <f ca="1">IFERROR(__xludf.DUMMYFUNCTION("""COMPUTED_VALUE"""),"Outside on School Property")</f>
        <v>Outside on School Property</v>
      </c>
      <c r="U2449" s="8" t="str">
        <f ca="1">IFERROR(__xludf.DUMMYFUNCTION("""COMPUTED_VALUE"""),"Yes")</f>
        <v>Yes</v>
      </c>
      <c r="V2449" s="8" t="str">
        <f ca="1">IFERROR(__xludf.DUMMYFUNCTION("""COMPUTED_VALUE"""),"Before School")</f>
        <v>Before School</v>
      </c>
      <c r="W2449" s="11">
        <f ca="1">IFERROR(__xludf.DUMMYFUNCTION("""COMPUTED_VALUE"""),0.3125)</f>
        <v>0.3125</v>
      </c>
      <c r="X2449" s="8">
        <f ca="1">IFERROR(__xludf.DUMMYFUNCTION("""COMPUTED_VALUE"""),1)</f>
        <v>1</v>
      </c>
      <c r="Y2449" s="12" t="str">
        <f ca="1">IFERROR(__xludf.DUMMYFUNCTION("""COMPUTED_VALUE"""),"Girl shot in head outside of school, long range shot")</f>
        <v>Girl shot in head outside of school, long range shot</v>
      </c>
      <c r="Z2449" s="12" t="str">
        <f ca="1">IFERROR(__xludf.DUMMYFUNCTION("""COMPUTED_VALUE"""),"10YOF safety patrol shot outside of school by single .22 to the head. Police believed the shooting was accidental because of the distance the shot traveled.")</f>
        <v>10YOF safety patrol shot outside of school by single .22 to the head. Police believed the shooting was accidental because of the distance the shot traveled.</v>
      </c>
      <c r="AA2449" s="8" t="str">
        <f ca="1">IFERROR(__xludf.DUMMYFUNCTION("""COMPUTED_VALUE"""),"Accidental")</f>
        <v>Accidental</v>
      </c>
      <c r="AB2449" s="8"/>
      <c r="AC2449" s="8"/>
      <c r="AD2449" s="8" t="str">
        <f ca="1">IFERROR(__xludf.DUMMYFUNCTION("""COMPUTED_VALUE"""),"Random Shooting")</f>
        <v>Random Shooting</v>
      </c>
      <c r="AE2449" s="8" t="str">
        <f ca="1">IFERROR(__xludf.DUMMYFUNCTION("""COMPUTED_VALUE"""),"No")</f>
        <v>No</v>
      </c>
      <c r="AF2449" s="8"/>
      <c r="AG2449" s="8" t="str">
        <f ca="1">IFERROR(__xludf.DUMMYFUNCTION("""COMPUTED_VALUE"""),"No")</f>
        <v>No</v>
      </c>
      <c r="AH2449" s="8" t="str">
        <f ca="1">IFERROR(__xludf.DUMMYFUNCTION("""COMPUTED_VALUE"""),"No")</f>
        <v>No</v>
      </c>
      <c r="AI2449" s="8" t="str">
        <f ca="1">IFERROR(__xludf.DUMMYFUNCTION("""COMPUTED_VALUE"""),"No")</f>
        <v>No</v>
      </c>
      <c r="AJ2449" s="8" t="str">
        <f ca="1">IFERROR(__xludf.DUMMYFUNCTION("""COMPUTED_VALUE"""),"No")</f>
        <v>No</v>
      </c>
      <c r="AK2449" s="8" t="str">
        <f ca="1">IFERROR(__xludf.DUMMYFUNCTION("""COMPUTED_VALUE"""),"No")</f>
        <v>No</v>
      </c>
      <c r="AL2449" s="8" t="str">
        <f ca="1">IFERROR(__xludf.DUMMYFUNCTION("""COMPUTED_VALUE"""),"No")</f>
        <v>No</v>
      </c>
      <c r="AM2449" s="8"/>
      <c r="AN2449" s="8"/>
      <c r="AO2449" s="8" t="str">
        <f ca="1">IFERROR(__xludf.DUMMYFUNCTION("""COMPUTED_VALUE"""),"No")</f>
        <v>No</v>
      </c>
      <c r="AP2449" s="8"/>
      <c r="AQ2449" s="8" t="str">
        <f ca="1">IFERROR(__xludf.DUMMYFUNCTION("""COMPUTED_VALUE"""),"Unknown")</f>
        <v>Unknown</v>
      </c>
      <c r="AR2449" s="8" t="str">
        <f ca="1">IFERROR(__xludf.DUMMYFUNCTION("""COMPUTED_VALUE"""),"NA")</f>
        <v>NA</v>
      </c>
      <c r="AS2449" s="8">
        <f ca="1">IFERROR(__xludf.DUMMYFUNCTION("""COMPUTED_VALUE"""),1)</f>
        <v>1</v>
      </c>
      <c r="AT2449" s="8"/>
      <c r="AU2449" s="8">
        <f ca="1">IFERROR(__xludf.DUMMYFUNCTION("""COMPUTED_VALUE"""),28.007574)</f>
        <v>28.007574000000002</v>
      </c>
      <c r="AV2449" s="8">
        <f ca="1">IFERROR(__xludf.DUMMYFUNCTION("""COMPUTED_VALUE"""),-82.498315)</f>
        <v>-82.498315000000005</v>
      </c>
      <c r="AW2449" s="8"/>
      <c r="AX2449" s="8">
        <f ca="1">IFERROR(__xludf.DUMMYFUNCTION("""COMPUTED_VALUE"""),33614)</f>
        <v>33614</v>
      </c>
    </row>
    <row r="2450" spans="1:50" ht="30" x14ac:dyDescent="0.2">
      <c r="A2450" s="8" t="str">
        <f ca="1">IFERROR(__xludf.DUMMYFUNCTION("""COMPUTED_VALUE"""),"19990909CASAS")</f>
        <v>19990909CASAS</v>
      </c>
      <c r="B2450" s="8">
        <f ca="1">IFERROR(__xludf.DUMMYFUNCTION("""COMPUTED_VALUE"""),9)</f>
        <v>9</v>
      </c>
      <c r="C2450" s="8">
        <f ca="1">IFERROR(__xludf.DUMMYFUNCTION("""COMPUTED_VALUE"""),9)</f>
        <v>9</v>
      </c>
      <c r="D2450" s="8">
        <f ca="1">IFERROR(__xludf.DUMMYFUNCTION("""COMPUTED_VALUE"""),1999)</f>
        <v>1999</v>
      </c>
      <c r="E2450" s="9">
        <f ca="1">IFERROR(__xludf.DUMMYFUNCTION("""COMPUTED_VALUE"""),36412)</f>
        <v>36412</v>
      </c>
      <c r="F2450" s="8" t="str">
        <f ca="1">IFERROR(__xludf.DUMMYFUNCTION("""COMPUTED_VALUE"""),"Santa Teresa High School")</f>
        <v>Santa Teresa High School</v>
      </c>
      <c r="G2450" s="8">
        <f ca="1">IFERROR(__xludf.DUMMYFUNCTION("""COMPUTED_VALUE"""),0)</f>
        <v>0</v>
      </c>
      <c r="H2450" s="8">
        <f ca="1">IFERROR(__xludf.DUMMYFUNCTION("""COMPUTED_VALUE"""),0)</f>
        <v>0</v>
      </c>
      <c r="I2450" s="8">
        <f ca="1">IFERROR(__xludf.DUMMYFUNCTION("""COMPUTED_VALUE"""),0)</f>
        <v>0</v>
      </c>
      <c r="J2450" s="8">
        <f ca="1">IFERROR(__xludf.DUMMYFUNCTION("""COMPUTED_VALUE"""),1)</f>
        <v>1</v>
      </c>
      <c r="K2450" s="10" t="str">
        <f ca="1">IFERROR(__xludf.DUMMYFUNCTION("""COMPUTED_VALUE"""),"https://www.sfgate.com/bayarea/article/San-Jose-Boy-16-Fatally-Shoots-Himself-at-High-2909269.php")</f>
        <v>https://www.sfgate.com/bayarea/article/San-Jose-Boy-16-Fatally-Shoots-Himself-at-High-2909269.php</v>
      </c>
      <c r="L2450" s="8"/>
      <c r="M2450" s="8"/>
      <c r="N2450" s="8">
        <f ca="1">IFERROR(__xludf.DUMMYFUNCTION("""COMPUTED_VALUE"""),2)</f>
        <v>2</v>
      </c>
      <c r="O2450" s="8" t="str">
        <f ca="1">IFERROR(__xludf.DUMMYFUNCTION("""COMPUTED_VALUE"""),"Fall")</f>
        <v>Fall</v>
      </c>
      <c r="P2450" s="8" t="str">
        <f ca="1">IFERROR(__xludf.DUMMYFUNCTION("""COMPUTED_VALUE"""),"San Jose")</f>
        <v>San Jose</v>
      </c>
      <c r="Q2450" s="8" t="str">
        <f ca="1">IFERROR(__xludf.DUMMYFUNCTION("""COMPUTED_VALUE"""),"CA")</f>
        <v>CA</v>
      </c>
      <c r="R2450" s="8" t="str">
        <f ca="1">IFERROR(__xludf.DUMMYFUNCTION("""COMPUTED_VALUE"""),"High")</f>
        <v>High</v>
      </c>
      <c r="S2450" s="8" t="str">
        <f ca="1">IFERROR(__xludf.DUMMYFUNCTION("""COMPUTED_VALUE"""),"Bathroom")</f>
        <v>Bathroom</v>
      </c>
      <c r="T2450" s="8" t="str">
        <f ca="1">IFERROR(__xludf.DUMMYFUNCTION("""COMPUTED_VALUE"""),"Inside School Building")</f>
        <v>Inside School Building</v>
      </c>
      <c r="U2450" s="8" t="str">
        <f ca="1">IFERROR(__xludf.DUMMYFUNCTION("""COMPUTED_VALUE"""),"Yes")</f>
        <v>Yes</v>
      </c>
      <c r="V2450" s="8" t="str">
        <f ca="1">IFERROR(__xludf.DUMMYFUNCTION("""COMPUTED_VALUE"""),"Morning Classes")</f>
        <v>Morning Classes</v>
      </c>
      <c r="W2450" s="11">
        <f ca="1">IFERROR(__xludf.DUMMYFUNCTION("""COMPUTED_VALUE"""),0.354166666666666)</f>
        <v>0.35416666666666602</v>
      </c>
      <c r="X2450" s="8">
        <f ca="1">IFERROR(__xludf.DUMMYFUNCTION("""COMPUTED_VALUE"""),1)</f>
        <v>1</v>
      </c>
      <c r="Y2450" s="12" t="str">
        <f ca="1">IFERROR(__xludf.DUMMYFUNCTION("""COMPUTED_VALUE"""),"Shot self in school bathroom")</f>
        <v>Shot self in school bathroom</v>
      </c>
      <c r="Z2450" s="12" t="str">
        <f ca="1">IFERROR(__xludf.DUMMYFUNCTION("""COMPUTED_VALUE"""),"Well liked student shot himself in the chest in the bathroom.")</f>
        <v>Well liked student shot himself in the chest in the bathroom.</v>
      </c>
      <c r="AA2450" s="8" t="str">
        <f ca="1">IFERROR(__xludf.DUMMYFUNCTION("""COMPUTED_VALUE"""),"Suicide/Attempted")</f>
        <v>Suicide/Attempted</v>
      </c>
      <c r="AB2450" s="8"/>
      <c r="AC2450" s="8"/>
      <c r="AD2450" s="8" t="str">
        <f ca="1">IFERROR(__xludf.DUMMYFUNCTION("""COMPUTED_VALUE"""),"Victims Targeted")</f>
        <v>Victims Targeted</v>
      </c>
      <c r="AE2450" s="8" t="str">
        <f ca="1">IFERROR(__xludf.DUMMYFUNCTION("""COMPUTED_VALUE"""),"No")</f>
        <v>No</v>
      </c>
      <c r="AF2450" s="8"/>
      <c r="AG2450" s="8" t="str">
        <f ca="1">IFERROR(__xludf.DUMMYFUNCTION("""COMPUTED_VALUE"""),"No")</f>
        <v>No</v>
      </c>
      <c r="AH2450" s="8" t="str">
        <f ca="1">IFERROR(__xludf.DUMMYFUNCTION("""COMPUTED_VALUE"""),"No")</f>
        <v>No</v>
      </c>
      <c r="AI2450" s="8" t="str">
        <f ca="1">IFERROR(__xludf.DUMMYFUNCTION("""COMPUTED_VALUE"""),"No")</f>
        <v>No</v>
      </c>
      <c r="AJ2450" s="8" t="str">
        <f ca="1">IFERROR(__xludf.DUMMYFUNCTION("""COMPUTED_VALUE"""),"No")</f>
        <v>No</v>
      </c>
      <c r="AK2450" s="8" t="str">
        <f ca="1">IFERROR(__xludf.DUMMYFUNCTION("""COMPUTED_VALUE"""),"No")</f>
        <v>No</v>
      </c>
      <c r="AL2450" s="8" t="str">
        <f ca="1">IFERROR(__xludf.DUMMYFUNCTION("""COMPUTED_VALUE"""),"No")</f>
        <v>No</v>
      </c>
      <c r="AM2450" s="8"/>
      <c r="AN2450" s="8"/>
      <c r="AO2450" s="8" t="str">
        <f ca="1">IFERROR(__xludf.DUMMYFUNCTION("""COMPUTED_VALUE"""),"No")</f>
        <v>No</v>
      </c>
      <c r="AP2450" s="8"/>
      <c r="AQ2450" s="8" t="str">
        <f ca="1">IFERROR(__xludf.DUMMYFUNCTION("""COMPUTED_VALUE"""),"Unknown")</f>
        <v>Unknown</v>
      </c>
      <c r="AR2450" s="8" t="str">
        <f ca="1">IFERROR(__xludf.DUMMYFUNCTION("""COMPUTED_VALUE"""),"NA")</f>
        <v>NA</v>
      </c>
      <c r="AS2450" s="8">
        <f ca="1">IFERROR(__xludf.DUMMYFUNCTION("""COMPUTED_VALUE"""),1)</f>
        <v>1</v>
      </c>
      <c r="AT2450" s="8"/>
      <c r="AU2450" s="8">
        <f ca="1">IFERROR(__xludf.DUMMYFUNCTION("""COMPUTED_VALUE"""),37.235177)</f>
        <v>37.235177</v>
      </c>
      <c r="AV2450" s="8">
        <f ca="1">IFERROR(__xludf.DUMMYFUNCTION("""COMPUTED_VALUE"""),-121.828646)</f>
        <v>-121.82864600000001</v>
      </c>
      <c r="AW2450" s="8"/>
      <c r="AX2450" s="8">
        <f ca="1">IFERROR(__xludf.DUMMYFUNCTION("""COMPUTED_VALUE"""),95123)</f>
        <v>95123</v>
      </c>
    </row>
    <row r="2451" spans="1:50" ht="30" x14ac:dyDescent="0.2">
      <c r="A2451" s="8" t="str">
        <f ca="1">IFERROR(__xludf.DUMMYFUNCTION("""COMPUTED_VALUE"""),"19990825GAJAM")</f>
        <v>19990825GAJAM</v>
      </c>
      <c r="B2451" s="8">
        <f ca="1">IFERROR(__xludf.DUMMYFUNCTION("""COMPUTED_VALUE"""),8)</f>
        <v>8</v>
      </c>
      <c r="C2451" s="8">
        <f ca="1">IFERROR(__xludf.DUMMYFUNCTION("""COMPUTED_VALUE"""),25)</f>
        <v>25</v>
      </c>
      <c r="D2451" s="8">
        <f ca="1">IFERROR(__xludf.DUMMYFUNCTION("""COMPUTED_VALUE"""),1999)</f>
        <v>1999</v>
      </c>
      <c r="E2451" s="9">
        <f ca="1">IFERROR(__xludf.DUMMYFUNCTION("""COMPUTED_VALUE"""),36397)</f>
        <v>36397</v>
      </c>
      <c r="F2451" s="8" t="str">
        <f ca="1">IFERROR(__xludf.DUMMYFUNCTION("""COMPUTED_VALUE"""),"Jasper County High School")</f>
        <v>Jasper County High School</v>
      </c>
      <c r="G2451" s="8">
        <f ca="1">IFERROR(__xludf.DUMMYFUNCTION("""COMPUTED_VALUE"""),0)</f>
        <v>0</v>
      </c>
      <c r="H2451" s="8">
        <f ca="1">IFERROR(__xludf.DUMMYFUNCTION("""COMPUTED_VALUE"""),0)</f>
        <v>0</v>
      </c>
      <c r="I2451" s="8">
        <f ca="1">IFERROR(__xludf.DUMMYFUNCTION("""COMPUTED_VALUE"""),0)</f>
        <v>0</v>
      </c>
      <c r="J2451" s="8">
        <f ca="1">IFERROR(__xludf.DUMMYFUNCTION("""COMPUTED_VALUE"""),1)</f>
        <v>1</v>
      </c>
      <c r="K2451" s="10" t="str">
        <f ca="1">IFERROR(__xludf.DUMMYFUNCTION("""COMPUTED_VALUE"""),"https://www.cbsnews.com/news/ga-teen-found-dead-in-truck/")</f>
        <v>https://www.cbsnews.com/news/ga-teen-found-dead-in-truck/</v>
      </c>
      <c r="L2451" s="8"/>
      <c r="M2451" s="8"/>
      <c r="N2451" s="8">
        <f ca="1">IFERROR(__xludf.DUMMYFUNCTION("""COMPUTED_VALUE"""),2)</f>
        <v>2</v>
      </c>
      <c r="O2451" s="8" t="str">
        <f ca="1">IFERROR(__xludf.DUMMYFUNCTION("""COMPUTED_VALUE"""),"Summer")</f>
        <v>Summer</v>
      </c>
      <c r="P2451" s="8" t="str">
        <f ca="1">IFERROR(__xludf.DUMMYFUNCTION("""COMPUTED_VALUE"""),"Monticello")</f>
        <v>Monticello</v>
      </c>
      <c r="Q2451" s="8" t="str">
        <f ca="1">IFERROR(__xludf.DUMMYFUNCTION("""COMPUTED_VALUE"""),"GA")</f>
        <v>GA</v>
      </c>
      <c r="R2451" s="8" t="str">
        <f ca="1">IFERROR(__xludf.DUMMYFUNCTION("""COMPUTED_VALUE"""),"High")</f>
        <v>High</v>
      </c>
      <c r="S2451" s="8" t="str">
        <f ca="1">IFERROR(__xludf.DUMMYFUNCTION("""COMPUTED_VALUE"""),"Parking Lot")</f>
        <v>Parking Lot</v>
      </c>
      <c r="T2451" s="8" t="str">
        <f ca="1">IFERROR(__xludf.DUMMYFUNCTION("""COMPUTED_VALUE"""),"Outside on School Property")</f>
        <v>Outside on School Property</v>
      </c>
      <c r="U2451" s="8" t="str">
        <f ca="1">IFERROR(__xludf.DUMMYFUNCTION("""COMPUTED_VALUE"""),"Yes")</f>
        <v>Yes</v>
      </c>
      <c r="V2451" s="8" t="str">
        <f ca="1">IFERROR(__xludf.DUMMYFUNCTION("""COMPUTED_VALUE"""),"Morning Classes")</f>
        <v>Morning Classes</v>
      </c>
      <c r="W2451" s="8"/>
      <c r="X2451" s="8">
        <f ca="1">IFERROR(__xludf.DUMMYFUNCTION("""COMPUTED_VALUE"""),1)</f>
        <v>1</v>
      </c>
      <c r="Y2451" s="12" t="str">
        <f ca="1">IFERROR(__xludf.DUMMYFUNCTION("""COMPUTED_VALUE"""),"Suicide in parking lot of school")</f>
        <v>Suicide in parking lot of school</v>
      </c>
      <c r="Z2451" s="12" t="str">
        <f ca="1">IFERROR(__xludf.DUMMYFUNCTION("""COMPUTED_VALUE"""),"16YOF shot herself in the parking lot of the school.")</f>
        <v>16YOF shot herself in the parking lot of the school.</v>
      </c>
      <c r="AA2451" s="8" t="str">
        <f ca="1">IFERROR(__xludf.DUMMYFUNCTION("""COMPUTED_VALUE"""),"Suicide/Attempted")</f>
        <v>Suicide/Attempted</v>
      </c>
      <c r="AB2451" s="8"/>
      <c r="AC2451" s="8"/>
      <c r="AD2451" s="8" t="str">
        <f ca="1">IFERROR(__xludf.DUMMYFUNCTION("""COMPUTED_VALUE"""),"Victims Targeted")</f>
        <v>Victims Targeted</v>
      </c>
      <c r="AE2451" s="8" t="str">
        <f ca="1">IFERROR(__xludf.DUMMYFUNCTION("""COMPUTED_VALUE"""),"No")</f>
        <v>No</v>
      </c>
      <c r="AF2451" s="8"/>
      <c r="AG2451" s="8" t="str">
        <f ca="1">IFERROR(__xludf.DUMMYFUNCTION("""COMPUTED_VALUE"""),"No")</f>
        <v>No</v>
      </c>
      <c r="AH2451" s="8" t="str">
        <f ca="1">IFERROR(__xludf.DUMMYFUNCTION("""COMPUTED_VALUE"""),"No")</f>
        <v>No</v>
      </c>
      <c r="AI2451" s="8" t="str">
        <f ca="1">IFERROR(__xludf.DUMMYFUNCTION("""COMPUTED_VALUE"""),"No")</f>
        <v>No</v>
      </c>
      <c r="AJ2451" s="8" t="str">
        <f ca="1">IFERROR(__xludf.DUMMYFUNCTION("""COMPUTED_VALUE"""),"No")</f>
        <v>No</v>
      </c>
      <c r="AK2451" s="8" t="str">
        <f ca="1">IFERROR(__xludf.DUMMYFUNCTION("""COMPUTED_VALUE"""),"No")</f>
        <v>No</v>
      </c>
      <c r="AL2451" s="8" t="str">
        <f ca="1">IFERROR(__xludf.DUMMYFUNCTION("""COMPUTED_VALUE"""),"No")</f>
        <v>No</v>
      </c>
      <c r="AM2451" s="8"/>
      <c r="AN2451" s="8"/>
      <c r="AO2451" s="8" t="str">
        <f ca="1">IFERROR(__xludf.DUMMYFUNCTION("""COMPUTED_VALUE"""),"No")</f>
        <v>No</v>
      </c>
      <c r="AP2451" s="8"/>
      <c r="AQ2451" s="8" t="str">
        <f ca="1">IFERROR(__xludf.DUMMYFUNCTION("""COMPUTED_VALUE"""),"Unknown")</f>
        <v>Unknown</v>
      </c>
      <c r="AR2451" s="8" t="str">
        <f ca="1">IFERROR(__xludf.DUMMYFUNCTION("""COMPUTED_VALUE"""),"NA")</f>
        <v>NA</v>
      </c>
      <c r="AS2451" s="8">
        <f ca="1">IFERROR(__xludf.DUMMYFUNCTION("""COMPUTED_VALUE"""),1)</f>
        <v>1</v>
      </c>
      <c r="AT2451" s="8"/>
      <c r="AU2451" s="8">
        <f ca="1">IFERROR(__xludf.DUMMYFUNCTION("""COMPUTED_VALUE"""),33.336385)</f>
        <v>33.336385</v>
      </c>
      <c r="AV2451" s="8">
        <f ca="1">IFERROR(__xludf.DUMMYFUNCTION("""COMPUTED_VALUE"""),-83.714382)</f>
        <v>-83.714382000000001</v>
      </c>
      <c r="AW2451" s="8"/>
      <c r="AX2451" s="8">
        <f ca="1">IFERROR(__xludf.DUMMYFUNCTION("""COMPUTED_VALUE"""),31064)</f>
        <v>31064</v>
      </c>
    </row>
    <row r="2452" spans="1:50" ht="105" x14ac:dyDescent="0.2">
      <c r="A2452" s="8" t="str">
        <f ca="1">IFERROR(__xludf.DUMMYFUNCTION("""COMPUTED_VALUE"""),"19990520GAHEC")</f>
        <v>19990520GAHEC</v>
      </c>
      <c r="B2452" s="8">
        <f ca="1">IFERROR(__xludf.DUMMYFUNCTION("""COMPUTED_VALUE"""),5)</f>
        <v>5</v>
      </c>
      <c r="C2452" s="8">
        <f ca="1">IFERROR(__xludf.DUMMYFUNCTION("""COMPUTED_VALUE"""),20)</f>
        <v>20</v>
      </c>
      <c r="D2452" s="8">
        <f ca="1">IFERROR(__xludf.DUMMYFUNCTION("""COMPUTED_VALUE"""),1999)</f>
        <v>1999</v>
      </c>
      <c r="E2452" s="9">
        <f ca="1">IFERROR(__xludf.DUMMYFUNCTION("""COMPUTED_VALUE"""),36300)</f>
        <v>36300</v>
      </c>
      <c r="F2452" s="8" t="str">
        <f ca="1">IFERROR(__xludf.DUMMYFUNCTION("""COMPUTED_VALUE"""),"Heritage High School")</f>
        <v>Heritage High School</v>
      </c>
      <c r="G2452" s="8">
        <f ca="1">IFERROR(__xludf.DUMMYFUNCTION("""COMPUTED_VALUE"""),0)</f>
        <v>0</v>
      </c>
      <c r="H2452" s="8">
        <f ca="1">IFERROR(__xludf.DUMMYFUNCTION("""COMPUTED_VALUE"""),6)</f>
        <v>6</v>
      </c>
      <c r="I2452" s="8">
        <f ca="1">IFERROR(__xludf.DUMMYFUNCTION("""COMPUTED_VALUE"""),6)</f>
        <v>6</v>
      </c>
      <c r="J2452" s="8">
        <f ca="1">IFERROR(__xludf.DUMMYFUNCTION("""COMPUTED_VALUE"""),0)</f>
        <v>0</v>
      </c>
      <c r="K2452" s="8" t="str">
        <f ca="1">IFERROR(__xludf.DUMMYFUNCTION("""COMPUTED_VALUE"""),"https://www.wsbtv.com/news/local/rockdale-county/heritage-high-school-shooter-tj-solomon-being-released-from-prison/411839036/ https://www.washingtonpost.com/wp-srv/national/longterm/juvmurders/stories/conyers052199.htm
 Exploring Layers: Extended Case Me"&amp;"thod as a Tool for Multilevel Analysis of School Violence. Mercer L. Sullivan Rutgers University. Sociological Methods and Research Vol 31. Number 2. 2002")</f>
        <v>https://www.wsbtv.com/news/local/rockdale-county/heritage-high-school-shooter-tj-solomon-being-released-from-prison/411839036/ https://www.washingtonpost.com/wp-srv/national/longterm/juvmurders/stories/conyers052199.htm
 Exploring Layers: Extended Case Method as a Tool for Multilevel Analysis of School Violence. Mercer L. Sullivan Rutgers University. Sociological Methods and Research Vol 31. Number 2. 2002</v>
      </c>
      <c r="L2452" s="8"/>
      <c r="M2452" s="8"/>
      <c r="N2452" s="8">
        <f ca="1">IFERROR(__xludf.DUMMYFUNCTION("""COMPUTED_VALUE"""),5)</f>
        <v>5</v>
      </c>
      <c r="O2452" s="8" t="str">
        <f ca="1">IFERROR(__xludf.DUMMYFUNCTION("""COMPUTED_VALUE"""),"Spring")</f>
        <v>Spring</v>
      </c>
      <c r="P2452" s="8" t="str">
        <f ca="1">IFERROR(__xludf.DUMMYFUNCTION("""COMPUTED_VALUE"""),"Conyers")</f>
        <v>Conyers</v>
      </c>
      <c r="Q2452" s="8" t="str">
        <f ca="1">IFERROR(__xludf.DUMMYFUNCTION("""COMPUTED_VALUE"""),"GA")</f>
        <v>GA</v>
      </c>
      <c r="R2452" s="8" t="str">
        <f ca="1">IFERROR(__xludf.DUMMYFUNCTION("""COMPUTED_VALUE"""),"High")</f>
        <v>High</v>
      </c>
      <c r="S2452" s="8" t="str">
        <f ca="1">IFERROR(__xludf.DUMMYFUNCTION("""COMPUTED_VALUE"""),"Hallway")</f>
        <v>Hallway</v>
      </c>
      <c r="T2452" s="8" t="str">
        <f ca="1">IFERROR(__xludf.DUMMYFUNCTION("""COMPUTED_VALUE"""),"Inside School Building")</f>
        <v>Inside School Building</v>
      </c>
      <c r="U2452" s="8" t="str">
        <f ca="1">IFERROR(__xludf.DUMMYFUNCTION("""COMPUTED_VALUE"""),"Yes")</f>
        <v>Yes</v>
      </c>
      <c r="V2452" s="8" t="str">
        <f ca="1">IFERROR(__xludf.DUMMYFUNCTION("""COMPUTED_VALUE"""),"Morning Classes")</f>
        <v>Morning Classes</v>
      </c>
      <c r="W2452" s="11">
        <f ca="1">IFERROR(__xludf.DUMMYFUNCTION("""COMPUTED_VALUE"""),0.335416666666666)</f>
        <v>0.33541666666666597</v>
      </c>
      <c r="X2452" s="8">
        <f ca="1">IFERROR(__xludf.DUMMYFUNCTION("""COMPUTED_VALUE"""),2)</f>
        <v>2</v>
      </c>
      <c r="Y2452" s="12" t="str">
        <f ca="1">IFERROR(__xludf.DUMMYFUNCTION("""COMPUTED_VALUE"""),"Columbine inspired, depressed, told other students about desire to commit school shooting")</f>
        <v>Columbine inspired, depressed, told other students about desire to commit school shooting</v>
      </c>
      <c r="Z2452" s="12" t="str">
        <f ca="1">IFERROR(__xludf.DUMMYFUNCTION("""COMPUTED_VALUE"""),"Shooter used a .22 rifle to fire in a crowded common area of the school before classes started. Shooter was tackled by the principal and began crying. Shooter had been good student but his grades had dropped. Other students were worried about him. He was "&amp;"obsessed with Columbine and talked about wanting to shoot up the school. Weapons: .22-caliber rifle, .357-caliber")</f>
        <v>Shooter used a .22 rifle to fire in a crowded common area of the school before classes started. Shooter was tackled by the principal and began crying. Shooter had been good student but his grades had dropped. Other students were worried about him. He was obsessed with Columbine and talked about wanting to shoot up the school. Weapons: .22-caliber rifle, .357-caliber</v>
      </c>
      <c r="AA2452" s="8" t="str">
        <f ca="1">IFERROR(__xludf.DUMMYFUNCTION("""COMPUTED_VALUE"""),"Indiscriminate Shooting")</f>
        <v>Indiscriminate Shooting</v>
      </c>
      <c r="AB2452" s="8"/>
      <c r="AC2452" s="8"/>
      <c r="AD2452" s="8" t="str">
        <f ca="1">IFERROR(__xludf.DUMMYFUNCTION("""COMPUTED_VALUE"""),"Random Shooting")</f>
        <v>Random Shooting</v>
      </c>
      <c r="AE2452" s="8" t="str">
        <f ca="1">IFERROR(__xludf.DUMMYFUNCTION("""COMPUTED_VALUE"""),"No")</f>
        <v>No</v>
      </c>
      <c r="AF2452" s="8"/>
      <c r="AG2452" s="8" t="str">
        <f ca="1">IFERROR(__xludf.DUMMYFUNCTION("""COMPUTED_VALUE"""),"No")</f>
        <v>No</v>
      </c>
      <c r="AH2452" s="8" t="str">
        <f ca="1">IFERROR(__xludf.DUMMYFUNCTION("""COMPUTED_VALUE"""),"No")</f>
        <v>No</v>
      </c>
      <c r="AI2452" s="8" t="str">
        <f ca="1">IFERROR(__xludf.DUMMYFUNCTION("""COMPUTED_VALUE"""),"No")</f>
        <v>No</v>
      </c>
      <c r="AJ2452" s="8" t="str">
        <f ca="1">IFERROR(__xludf.DUMMYFUNCTION("""COMPUTED_VALUE"""),"No")</f>
        <v>No</v>
      </c>
      <c r="AK2452" s="8" t="str">
        <f ca="1">IFERROR(__xludf.DUMMYFUNCTION("""COMPUTED_VALUE"""),"No")</f>
        <v>No</v>
      </c>
      <c r="AL2452" s="8" t="str">
        <f ca="1">IFERROR(__xludf.DUMMYFUNCTION("""COMPUTED_VALUE"""),"No")</f>
        <v>No</v>
      </c>
      <c r="AM2452" s="8" t="str">
        <f ca="1">IFERROR(__xludf.DUMMYFUNCTION("""COMPUTED_VALUE"""),"Yes")</f>
        <v>Yes</v>
      </c>
      <c r="AN2452" s="8" t="str">
        <f ca="1">IFERROR(__xludf.DUMMYFUNCTION("""COMPUTED_VALUE"""),"Hallway")</f>
        <v>Hallway</v>
      </c>
      <c r="AO2452" s="8" t="str">
        <f ca="1">IFERROR(__xludf.DUMMYFUNCTION("""COMPUTED_VALUE"""),"Yes")</f>
        <v>Yes</v>
      </c>
      <c r="AP2452" s="8" t="str">
        <f ca="1">IFERROR(__xludf.DUMMYFUNCTION("""COMPUTED_VALUE"""),"Yes")</f>
        <v>Yes</v>
      </c>
      <c r="AQ2452" s="8" t="str">
        <f ca="1">IFERROR(__xludf.DUMMYFUNCTION("""COMPUTED_VALUE"""),"Unknown")</f>
        <v>Unknown</v>
      </c>
      <c r="AR2452" s="8" t="str">
        <f ca="1">IFERROR(__xludf.DUMMYFUNCTION("""COMPUTED_VALUE"""),"NA")</f>
        <v>NA</v>
      </c>
      <c r="AS2452" s="8">
        <f ca="1">IFERROR(__xludf.DUMMYFUNCTION("""COMPUTED_VALUE"""),6)</f>
        <v>6</v>
      </c>
      <c r="AT2452" s="8"/>
      <c r="AU2452" s="8">
        <f ca="1">IFERROR(__xludf.DUMMYFUNCTION("""COMPUTED_VALUE"""),33.627187)</f>
        <v>33.627186999999999</v>
      </c>
      <c r="AV2452" s="8">
        <f ca="1">IFERROR(__xludf.DUMMYFUNCTION("""COMPUTED_VALUE"""),-84.047043)</f>
        <v>-84.047043000000002</v>
      </c>
      <c r="AW2452" s="8"/>
      <c r="AX2452" s="8">
        <f ca="1">IFERROR(__xludf.DUMMYFUNCTION("""COMPUTED_VALUE"""),30094)</f>
        <v>30094</v>
      </c>
    </row>
    <row r="2453" spans="1:50" ht="75" x14ac:dyDescent="0.2">
      <c r="A2453" s="8" t="str">
        <f ca="1">IFERROR(__xludf.DUMMYFUNCTION("""COMPUTED_VALUE"""),"19990422LASCB")</f>
        <v>19990422LASCB</v>
      </c>
      <c r="B2453" s="8">
        <f ca="1">IFERROR(__xludf.DUMMYFUNCTION("""COMPUTED_VALUE"""),4)</f>
        <v>4</v>
      </c>
      <c r="C2453" s="8">
        <f ca="1">IFERROR(__xludf.DUMMYFUNCTION("""COMPUTED_VALUE"""),22)</f>
        <v>22</v>
      </c>
      <c r="D2453" s="8">
        <f ca="1">IFERROR(__xludf.DUMMYFUNCTION("""COMPUTED_VALUE"""),1999)</f>
        <v>1999</v>
      </c>
      <c r="E2453" s="9">
        <f ca="1">IFERROR(__xludf.DUMMYFUNCTION("""COMPUTED_VALUE"""),36272)</f>
        <v>36272</v>
      </c>
      <c r="F2453" s="8" t="str">
        <f ca="1">IFERROR(__xludf.DUMMYFUNCTION("""COMPUTED_VALUE"""),"Scotlandville Middle School")</f>
        <v>Scotlandville Middle School</v>
      </c>
      <c r="G2453" s="8">
        <f ca="1">IFERROR(__xludf.DUMMYFUNCTION("""COMPUTED_VALUE"""),0)</f>
        <v>0</v>
      </c>
      <c r="H2453" s="8">
        <f ca="1">IFERROR(__xludf.DUMMYFUNCTION("""COMPUTED_VALUE"""),1)</f>
        <v>1</v>
      </c>
      <c r="I2453" s="8">
        <f ca="1">IFERROR(__xludf.DUMMYFUNCTION("""COMPUTED_VALUE"""),1)</f>
        <v>1</v>
      </c>
      <c r="J2453" s="8">
        <f ca="1">IFERROR(__xludf.DUMMYFUNCTION("""COMPUTED_VALUE"""),0)</f>
        <v>0</v>
      </c>
      <c r="K2453" s="8" t="str">
        <f ca="1">IFERROR(__xludf.DUMMYFUNCTION("""COMPUTED_VALUE"""),"(Baton Rouge) The Advocate - Scotlandville Middle student shot, 2 booked; (Baton Rouge) The Advocate - Teenager Arrested in School Shooting; https://www.columbine-angels.com/School_Violence_1998-1999.htm")</f>
        <v>(Baton Rouge) The Advocate - Scotlandville Middle student shot, 2 booked; (Baton Rouge) The Advocate - Teenager Arrested in School Shooting; https://www.columbine-angels.com/School_Violence_1998-1999.htm</v>
      </c>
      <c r="L2453" s="8"/>
      <c r="M2453" s="8"/>
      <c r="N2453" s="8">
        <f ca="1">IFERROR(__xludf.DUMMYFUNCTION("""COMPUTED_VALUE"""),1)</f>
        <v>1</v>
      </c>
      <c r="O2453" s="8" t="str">
        <f ca="1">IFERROR(__xludf.DUMMYFUNCTION("""COMPUTED_VALUE"""),"Spring")</f>
        <v>Spring</v>
      </c>
      <c r="P2453" s="8" t="str">
        <f ca="1">IFERROR(__xludf.DUMMYFUNCTION("""COMPUTED_VALUE"""),"Baton Rouge")</f>
        <v>Baton Rouge</v>
      </c>
      <c r="Q2453" s="8" t="str">
        <f ca="1">IFERROR(__xludf.DUMMYFUNCTION("""COMPUTED_VALUE"""),"LA")</f>
        <v>LA</v>
      </c>
      <c r="R2453" s="8" t="str">
        <f ca="1">IFERROR(__xludf.DUMMYFUNCTION("""COMPUTED_VALUE"""),"Middle")</f>
        <v>Middle</v>
      </c>
      <c r="S2453" s="8" t="str">
        <f ca="1">IFERROR(__xludf.DUMMYFUNCTION("""COMPUTED_VALUE"""),"Beside Building")</f>
        <v>Beside Building</v>
      </c>
      <c r="T2453" s="8" t="str">
        <f ca="1">IFERROR(__xludf.DUMMYFUNCTION("""COMPUTED_VALUE"""),"Outside on School Property")</f>
        <v>Outside on School Property</v>
      </c>
      <c r="U2453" s="8" t="str">
        <f ca="1">IFERROR(__xludf.DUMMYFUNCTION("""COMPUTED_VALUE"""),"Yes")</f>
        <v>Yes</v>
      </c>
      <c r="V2453" s="8" t="str">
        <f ca="1">IFERROR(__xludf.DUMMYFUNCTION("""COMPUTED_VALUE"""),"Lunch")</f>
        <v>Lunch</v>
      </c>
      <c r="W2453" s="11">
        <f ca="1">IFERROR(__xludf.DUMMYFUNCTION("""COMPUTED_VALUE"""),0.520833333333333)</f>
        <v>0.52083333333333304</v>
      </c>
      <c r="X2453" s="8">
        <f ca="1">IFERROR(__xludf.DUMMYFUNCTION("""COMPUTED_VALUE"""),1)</f>
        <v>1</v>
      </c>
      <c r="Y2453" s="12" t="str">
        <f ca="1">IFERROR(__xludf.DUMMYFUNCTION("""COMPUTED_VALUE"""),"Shooter targeted victim due to prior fight, hit the girl the target was walking with")</f>
        <v>Shooter targeted victim due to prior fight, hit the girl the target was walking with</v>
      </c>
      <c r="Z2453" s="12" t="str">
        <f ca="1">IFERROR(__xludf.DUMMYFUNCTION("""COMPUTED_VALUE"""),"14YOM had prior fights with a 14YOM targeted victim. Shooter was suspended and waiting outside of the school for the victim to exit. Target was walking with a 14 YOF student. Shooter fired at them and struck only the female student then feld.")</f>
        <v>14YOM had prior fights with a 14YOM targeted victim. Shooter was suspended and waiting outside of the school for the victim to exit. Target was walking with a 14 YOF student. Shooter fired at them and struck only the female student then feld.</v>
      </c>
      <c r="AA2453" s="8" t="str">
        <f ca="1">IFERROR(__xludf.DUMMYFUNCTION("""COMPUTED_VALUE"""),"Escalation of Dispute")</f>
        <v>Escalation of Dispute</v>
      </c>
      <c r="AB2453" s="8"/>
      <c r="AC2453" s="8"/>
      <c r="AD2453" s="8" t="str">
        <f ca="1">IFERROR(__xludf.DUMMYFUNCTION("""COMPUTED_VALUE"""),"Both")</f>
        <v>Both</v>
      </c>
      <c r="AE2453" s="8" t="str">
        <f ca="1">IFERROR(__xludf.DUMMYFUNCTION("""COMPUTED_VALUE"""),"No")</f>
        <v>No</v>
      </c>
      <c r="AF2453" s="8"/>
      <c r="AG2453" s="8" t="str">
        <f ca="1">IFERROR(__xludf.DUMMYFUNCTION("""COMPUTED_VALUE"""),"No")</f>
        <v>No</v>
      </c>
      <c r="AH2453" s="8" t="str">
        <f ca="1">IFERROR(__xludf.DUMMYFUNCTION("""COMPUTED_VALUE"""),"No")</f>
        <v>No</v>
      </c>
      <c r="AI2453" s="8" t="str">
        <f ca="1">IFERROR(__xludf.DUMMYFUNCTION("""COMPUTED_VALUE"""),"No")</f>
        <v>No</v>
      </c>
      <c r="AJ2453" s="8" t="str">
        <f ca="1">IFERROR(__xludf.DUMMYFUNCTION("""COMPUTED_VALUE"""),"No")</f>
        <v>No</v>
      </c>
      <c r="AK2453" s="8" t="str">
        <f ca="1">IFERROR(__xludf.DUMMYFUNCTION("""COMPUTED_VALUE"""),"No")</f>
        <v>No</v>
      </c>
      <c r="AL2453" s="8" t="str">
        <f ca="1">IFERROR(__xludf.DUMMYFUNCTION("""COMPUTED_VALUE"""),"No")</f>
        <v>No</v>
      </c>
      <c r="AM2453" s="8"/>
      <c r="AN2453" s="8"/>
      <c r="AO2453" s="8" t="str">
        <f ca="1">IFERROR(__xludf.DUMMYFUNCTION("""COMPUTED_VALUE"""),"No")</f>
        <v>No</v>
      </c>
      <c r="AP2453" s="8" t="str">
        <f ca="1">IFERROR(__xludf.DUMMYFUNCTION("""COMPUTED_VALUE"""),"No")</f>
        <v>No</v>
      </c>
      <c r="AQ2453" s="8" t="str">
        <f ca="1">IFERROR(__xludf.DUMMYFUNCTION("""COMPUTED_VALUE"""),"Unknown")</f>
        <v>Unknown</v>
      </c>
      <c r="AR2453" s="8" t="str">
        <f ca="1">IFERROR(__xludf.DUMMYFUNCTION("""COMPUTED_VALUE"""),"NA")</f>
        <v>NA</v>
      </c>
      <c r="AS2453" s="8"/>
      <c r="AT2453" s="8"/>
      <c r="AU2453" s="8">
        <f ca="1">IFERROR(__xludf.DUMMYFUNCTION("""COMPUTED_VALUE"""),30.529958)</f>
        <v>30.529958000000001</v>
      </c>
      <c r="AV2453" s="8">
        <f ca="1">IFERROR(__xludf.DUMMYFUNCTION("""COMPUTED_VALUE"""),-91.170248)</f>
        <v>-91.170248000000001</v>
      </c>
      <c r="AW2453" s="8"/>
      <c r="AX2453" s="8">
        <f ca="1">IFERROR(__xludf.DUMMYFUNCTION("""COMPUTED_VALUE"""),70807)</f>
        <v>70807</v>
      </c>
    </row>
    <row r="2454" spans="1:50" ht="75" x14ac:dyDescent="0.2">
      <c r="A2454" s="8" t="str">
        <f ca="1">IFERROR(__xludf.DUMMYFUNCTION("""COMPUTED_VALUE"""),"19990422GAMAA")</f>
        <v>19990422GAMAA</v>
      </c>
      <c r="B2454" s="8">
        <f ca="1">IFERROR(__xludf.DUMMYFUNCTION("""COMPUTED_VALUE"""),4)</f>
        <v>4</v>
      </c>
      <c r="C2454" s="8">
        <f ca="1">IFERROR(__xludf.DUMMYFUNCTION("""COMPUTED_VALUE"""),22)</f>
        <v>22</v>
      </c>
      <c r="D2454" s="8">
        <f ca="1">IFERROR(__xludf.DUMMYFUNCTION("""COMPUTED_VALUE"""),1999)</f>
        <v>1999</v>
      </c>
      <c r="E2454" s="9">
        <f ca="1">IFERROR(__xludf.DUMMYFUNCTION("""COMPUTED_VALUE"""),36272)</f>
        <v>36272</v>
      </c>
      <c r="F2454" s="8" t="str">
        <f ca="1">IFERROR(__xludf.DUMMYFUNCTION("""COMPUTED_VALUE"""),"Martin Luther King Jr. Middle School")</f>
        <v>Martin Luther King Jr. Middle School</v>
      </c>
      <c r="G2454" s="8">
        <f ca="1">IFERROR(__xludf.DUMMYFUNCTION("""COMPUTED_VALUE"""),1)</f>
        <v>1</v>
      </c>
      <c r="H2454" s="8">
        <f ca="1">IFERROR(__xludf.DUMMYFUNCTION("""COMPUTED_VALUE"""),0)</f>
        <v>0</v>
      </c>
      <c r="I2454" s="8">
        <f ca="1">IFERROR(__xludf.DUMMYFUNCTION("""COMPUTED_VALUE"""),1)</f>
        <v>1</v>
      </c>
      <c r="J2454" s="8">
        <f ca="1">IFERROR(__xludf.DUMMYFUNCTION("""COMPUTED_VALUE"""),0)</f>
        <v>0</v>
      </c>
      <c r="K2454" s="10" t="str">
        <f ca="1">IFERROR(__xludf.DUMMYFUNCTION("""COMPUTED_VALUE"""),"https://www.newspapers.com/image/403219735/?terms=Geno%2BThomas%2Bshooting")</f>
        <v>https://www.newspapers.com/image/403219735/?terms=Geno%2BThomas%2Bshooting</v>
      </c>
      <c r="L2454" s="8"/>
      <c r="M2454" s="8"/>
      <c r="N2454" s="8">
        <f ca="1">IFERROR(__xludf.DUMMYFUNCTION("""COMPUTED_VALUE"""),2)</f>
        <v>2</v>
      </c>
      <c r="O2454" s="8" t="str">
        <f ca="1">IFERROR(__xludf.DUMMYFUNCTION("""COMPUTED_VALUE"""),"Spring")</f>
        <v>Spring</v>
      </c>
      <c r="P2454" s="8" t="str">
        <f ca="1">IFERROR(__xludf.DUMMYFUNCTION("""COMPUTED_VALUE"""),"Atlanta")</f>
        <v>Atlanta</v>
      </c>
      <c r="Q2454" s="8" t="str">
        <f ca="1">IFERROR(__xludf.DUMMYFUNCTION("""COMPUTED_VALUE"""),"GA")</f>
        <v>GA</v>
      </c>
      <c r="R2454" s="8" t="str">
        <f ca="1">IFERROR(__xludf.DUMMYFUNCTION("""COMPUTED_VALUE"""),"Middle")</f>
        <v>Middle</v>
      </c>
      <c r="S2454" s="8" t="str">
        <f ca="1">IFERROR(__xludf.DUMMYFUNCTION("""COMPUTED_VALUE"""),"Parking Lot")</f>
        <v>Parking Lot</v>
      </c>
      <c r="T2454" s="8" t="str">
        <f ca="1">IFERROR(__xludf.DUMMYFUNCTION("""COMPUTED_VALUE"""),"Outside on School Property")</f>
        <v>Outside on School Property</v>
      </c>
      <c r="U2454" s="8" t="str">
        <f ca="1">IFERROR(__xludf.DUMMYFUNCTION("""COMPUTED_VALUE"""),"No")</f>
        <v>No</v>
      </c>
      <c r="V2454" s="8" t="str">
        <f ca="1">IFERROR(__xludf.DUMMYFUNCTION("""COMPUTED_VALUE"""),"Evening")</f>
        <v>Evening</v>
      </c>
      <c r="W2454" s="11">
        <f ca="1">IFERROR(__xludf.DUMMYFUNCTION("""COMPUTED_VALUE"""),0.90625)</f>
        <v>0.90625</v>
      </c>
      <c r="X2454" s="8">
        <f ca="1">IFERROR(__xludf.DUMMYFUNCTION("""COMPUTED_VALUE"""),1)</f>
        <v>1</v>
      </c>
      <c r="Y2454" s="12" t="str">
        <f ca="1">IFERROR(__xludf.DUMMYFUNCTION("""COMPUTED_VALUE"""),"Victim shot in back outside school, shooter and victim had Ongoing dispute")</f>
        <v>Victim shot in back outside school, shooter and victim had Ongoing dispute</v>
      </c>
      <c r="Z2454" s="12" t="str">
        <f ca="1">IFERROR(__xludf.DUMMYFUNCTION("""COMPUTED_VALUE"""),"17YOM fired 3 shots into the back of 13YOM in the school parking lot after band practice. The shooter and victim had an Ongoing dispute. Shooter fled and was arrested the next day.")</f>
        <v>17YOM fired 3 shots into the back of 13YOM in the school parking lot after band practice. The shooter and victim had an Ongoing dispute. Shooter fled and was arrested the next day.</v>
      </c>
      <c r="AA2454" s="8" t="str">
        <f ca="1">IFERROR(__xludf.DUMMYFUNCTION("""COMPUTED_VALUE"""),"Escalation of Dispute")</f>
        <v>Escalation of Dispute</v>
      </c>
      <c r="AB2454" s="8"/>
      <c r="AC2454" s="8"/>
      <c r="AD2454" s="8" t="str">
        <f ca="1">IFERROR(__xludf.DUMMYFUNCTION("""COMPUTED_VALUE"""),"Victims Targeted")</f>
        <v>Victims Targeted</v>
      </c>
      <c r="AE2454" s="8" t="str">
        <f ca="1">IFERROR(__xludf.DUMMYFUNCTION("""COMPUTED_VALUE"""),"Yes")</f>
        <v>Yes</v>
      </c>
      <c r="AF2454" s="8" t="str">
        <f ca="1">IFERROR(__xludf.DUMMYFUNCTION("""COMPUTED_VALUE"""),"Shooter was with another teenager")</f>
        <v>Shooter was with another teenager</v>
      </c>
      <c r="AG2454" s="8" t="str">
        <f ca="1">IFERROR(__xludf.DUMMYFUNCTION("""COMPUTED_VALUE"""),"No")</f>
        <v>No</v>
      </c>
      <c r="AH2454" s="8" t="str">
        <f ca="1">IFERROR(__xludf.DUMMYFUNCTION("""COMPUTED_VALUE"""),"No")</f>
        <v>No</v>
      </c>
      <c r="AI2454" s="8" t="str">
        <f ca="1">IFERROR(__xludf.DUMMYFUNCTION("""COMPUTED_VALUE"""),"No")</f>
        <v>No</v>
      </c>
      <c r="AJ2454" s="8" t="str">
        <f ca="1">IFERROR(__xludf.DUMMYFUNCTION("""COMPUTED_VALUE"""),"No")</f>
        <v>No</v>
      </c>
      <c r="AK2454" s="8" t="str">
        <f ca="1">IFERROR(__xludf.DUMMYFUNCTION("""COMPUTED_VALUE"""),"No")</f>
        <v>No</v>
      </c>
      <c r="AL2454" s="8" t="str">
        <f ca="1">IFERROR(__xludf.DUMMYFUNCTION("""COMPUTED_VALUE"""),"No")</f>
        <v>No</v>
      </c>
      <c r="AM2454" s="8"/>
      <c r="AN2454" s="8"/>
      <c r="AO2454" s="8" t="str">
        <f ca="1">IFERROR(__xludf.DUMMYFUNCTION("""COMPUTED_VALUE"""),"No")</f>
        <v>No</v>
      </c>
      <c r="AP2454" s="8"/>
      <c r="AQ2454" s="8" t="str">
        <f ca="1">IFERROR(__xludf.DUMMYFUNCTION("""COMPUTED_VALUE"""),"Unknown")</f>
        <v>Unknown</v>
      </c>
      <c r="AR2454" s="8" t="str">
        <f ca="1">IFERROR(__xludf.DUMMYFUNCTION("""COMPUTED_VALUE"""),"NA")</f>
        <v>NA</v>
      </c>
      <c r="AS2454" s="8">
        <f ca="1">IFERROR(__xludf.DUMMYFUNCTION("""COMPUTED_VALUE"""),3)</f>
        <v>3</v>
      </c>
      <c r="AT2454" s="8"/>
      <c r="AU2454" s="8">
        <f ca="1">IFERROR(__xludf.DUMMYFUNCTION("""COMPUTED_VALUE"""),33.738638)</f>
        <v>33.738638000000002</v>
      </c>
      <c r="AV2454" s="8">
        <f ca="1">IFERROR(__xludf.DUMMYFUNCTION("""COMPUTED_VALUE"""),-84.380666)</f>
        <v>-84.380666000000005</v>
      </c>
      <c r="AW2454" s="8"/>
      <c r="AX2454" s="8">
        <f ca="1">IFERROR(__xludf.DUMMYFUNCTION("""COMPUTED_VALUE"""),30312)</f>
        <v>30312</v>
      </c>
    </row>
    <row r="2455" spans="1:50" ht="150" x14ac:dyDescent="0.2">
      <c r="A2455" s="8" t="str">
        <f ca="1">IFERROR(__xludf.DUMMYFUNCTION("""COMPUTED_VALUE"""),"19990420COCOL")</f>
        <v>19990420COCOL</v>
      </c>
      <c r="B2455" s="8">
        <f ca="1">IFERROR(__xludf.DUMMYFUNCTION("""COMPUTED_VALUE"""),4)</f>
        <v>4</v>
      </c>
      <c r="C2455" s="8">
        <f ca="1">IFERROR(__xludf.DUMMYFUNCTION("""COMPUTED_VALUE"""),20)</f>
        <v>20</v>
      </c>
      <c r="D2455" s="8">
        <f ca="1">IFERROR(__xludf.DUMMYFUNCTION("""COMPUTED_VALUE"""),1999)</f>
        <v>1999</v>
      </c>
      <c r="E2455" s="9">
        <f ca="1">IFERROR(__xludf.DUMMYFUNCTION("""COMPUTED_VALUE"""),36270)</f>
        <v>36270</v>
      </c>
      <c r="F2455" s="8" t="str">
        <f ca="1">IFERROR(__xludf.DUMMYFUNCTION("""COMPUTED_VALUE"""),"Columbine High School")</f>
        <v>Columbine High School</v>
      </c>
      <c r="G2455" s="8">
        <f ca="1">IFERROR(__xludf.DUMMYFUNCTION("""COMPUTED_VALUE"""),13)</f>
        <v>13</v>
      </c>
      <c r="H2455" s="8">
        <f ca="1">IFERROR(__xludf.DUMMYFUNCTION("""COMPUTED_VALUE"""),24)</f>
        <v>24</v>
      </c>
      <c r="I2455" s="8">
        <f ca="1">IFERROR(__xludf.DUMMYFUNCTION("""COMPUTED_VALUE"""),37)</f>
        <v>37</v>
      </c>
      <c r="J2455" s="8">
        <f ca="1">IFERROR(__xludf.DUMMYFUNCTION("""COMPUTED_VALUE"""),2)</f>
        <v>2</v>
      </c>
      <c r="K2455" s="10" t="str">
        <f ca="1">IFERROR(__xludf.DUMMYFUNCTION("""COMPUTED_VALUE"""),"https://www.history.com/topics/columbine-high-school-shootings")</f>
        <v>https://www.history.com/topics/columbine-high-school-shootings</v>
      </c>
      <c r="L2455" s="8"/>
      <c r="M2455" s="8"/>
      <c r="N2455" s="8">
        <f ca="1">IFERROR(__xludf.DUMMYFUNCTION("""COMPUTED_VALUE"""),5)</f>
        <v>5</v>
      </c>
      <c r="O2455" s="8" t="str">
        <f ca="1">IFERROR(__xludf.DUMMYFUNCTION("""COMPUTED_VALUE"""),"Spring")</f>
        <v>Spring</v>
      </c>
      <c r="P2455" s="8" t="str">
        <f ca="1">IFERROR(__xludf.DUMMYFUNCTION("""COMPUTED_VALUE"""),"Littleton")</f>
        <v>Littleton</v>
      </c>
      <c r="Q2455" s="8" t="str">
        <f ca="1">IFERROR(__xludf.DUMMYFUNCTION("""COMPUTED_VALUE"""),"CO")</f>
        <v>CO</v>
      </c>
      <c r="R2455" s="8" t="str">
        <f ca="1">IFERROR(__xludf.DUMMYFUNCTION("""COMPUTED_VALUE"""),"High")</f>
        <v>High</v>
      </c>
      <c r="S2455" s="8" t="str">
        <f ca="1">IFERROR(__xludf.DUMMYFUNCTION("""COMPUTED_VALUE"""),"Cafeteria")</f>
        <v>Cafeteria</v>
      </c>
      <c r="T2455" s="8" t="str">
        <f ca="1">IFERROR(__xludf.DUMMYFUNCTION("""COMPUTED_VALUE"""),"Inside School Building")</f>
        <v>Inside School Building</v>
      </c>
      <c r="U2455" s="8" t="str">
        <f ca="1">IFERROR(__xludf.DUMMYFUNCTION("""COMPUTED_VALUE"""),"Yes")</f>
        <v>Yes</v>
      </c>
      <c r="V2455" s="8" t="str">
        <f ca="1">IFERROR(__xludf.DUMMYFUNCTION("""COMPUTED_VALUE"""),"Morning Classes")</f>
        <v>Morning Classes</v>
      </c>
      <c r="W2455" s="11">
        <f ca="1">IFERROR(__xludf.DUMMYFUNCTION("""COMPUTED_VALUE"""),0.471527777777777)</f>
        <v>0.47152777777777699</v>
      </c>
      <c r="X2455" s="8">
        <f ca="1">IFERROR(__xludf.DUMMYFUNCTION("""COMPUTED_VALUE"""),49)</f>
        <v>49</v>
      </c>
      <c r="Y2455" s="12" t="str">
        <f ca="1">IFERROR(__xludf.DUMMYFUNCTION("""COMPUTED_VALUE"""),"Planned attack and bombing of school")</f>
        <v>Planned attack and bombing of school</v>
      </c>
      <c r="Z2455" s="12" t="str">
        <f ca="1">IFERROR(__xludf.DUMMYFUNCTION("""COMPUTED_VALUE"""),"Shooter planned a bombing of the school that they hoped would rival the Oklahoma City bombing. They placed two propane tank bombs in the school set to detonate at 11:17. When the bombs didn't go off, they entered the school and shot random victims. The sh"&amp;"ooters eventually commit suicide after the building was surrounded by police. They spent more than a year planning the attack. Shooter has contact with law enforcement 15 times before the shootings. Made previous death threats to students. Weapons: 12-gau"&amp;"ge, 9mm, TEC-9, 12-gauge sawed-off shotgun")</f>
        <v>Shooter planned a bombing of the school that they hoped would rival the Oklahoma City bombing. They placed two propane tank bombs in the school set to detonate at 11:17. When the bombs didn't go off, they entered the school and shot random victims. The shooters eventually commit suicide after the building was surrounded by police. They spent more than a year planning the attack. Shooter has contact with law enforcement 15 times before the shootings. Made previous death threats to students. Weapons: 12-gauge, 9mm, TEC-9, 12-gauge sawed-off shotgun</v>
      </c>
      <c r="AA2455" s="8" t="str">
        <f ca="1">IFERROR(__xludf.DUMMYFUNCTION("""COMPUTED_VALUE"""),"Indiscriminate Shooting")</f>
        <v>Indiscriminate Shooting</v>
      </c>
      <c r="AB2455" s="8"/>
      <c r="AC2455" s="8"/>
      <c r="AD2455" s="8" t="str">
        <f ca="1">IFERROR(__xludf.DUMMYFUNCTION("""COMPUTED_VALUE"""),"Both")</f>
        <v>Both</v>
      </c>
      <c r="AE2455" s="8" t="str">
        <f ca="1">IFERROR(__xludf.DUMMYFUNCTION("""COMPUTED_VALUE"""),"Yes")</f>
        <v>Yes</v>
      </c>
      <c r="AF2455" s="8" t="str">
        <f ca="1">IFERROR(__xludf.DUMMYFUNCTION("""COMPUTED_VALUE"""),"Two shooters")</f>
        <v>Two shooters</v>
      </c>
      <c r="AG2455" s="8" t="str">
        <f ca="1">IFERROR(__xludf.DUMMYFUNCTION("""COMPUTED_VALUE"""),"No")</f>
        <v>No</v>
      </c>
      <c r="AH2455" s="8" t="str">
        <f ca="1">IFERROR(__xludf.DUMMYFUNCTION("""COMPUTED_VALUE"""),"No")</f>
        <v>No</v>
      </c>
      <c r="AI2455" s="8" t="str">
        <f ca="1">IFERROR(__xludf.DUMMYFUNCTION("""COMPUTED_VALUE"""),"No")</f>
        <v>No</v>
      </c>
      <c r="AJ2455" s="8" t="str">
        <f ca="1">IFERROR(__xludf.DUMMYFUNCTION("""COMPUTED_VALUE"""),"Yes")</f>
        <v>Yes</v>
      </c>
      <c r="AK2455" s="8" t="str">
        <f ca="1">IFERROR(__xludf.DUMMYFUNCTION("""COMPUTED_VALUE"""),"No")</f>
        <v>No</v>
      </c>
      <c r="AL2455" s="8" t="str">
        <f ca="1">IFERROR(__xludf.DUMMYFUNCTION("""COMPUTED_VALUE"""),"No")</f>
        <v>No</v>
      </c>
      <c r="AM2455" s="8" t="str">
        <f ca="1">IFERROR(__xludf.DUMMYFUNCTION("""COMPUTED_VALUE"""),"Yes")</f>
        <v>Yes</v>
      </c>
      <c r="AN2455" s="8" t="str">
        <f ca="1">IFERROR(__xludf.DUMMYFUNCTION("""COMPUTED_VALUE"""),"Multiple Rooms")</f>
        <v>Multiple Rooms</v>
      </c>
      <c r="AO2455" s="8" t="str">
        <f ca="1">IFERROR(__xludf.DUMMYFUNCTION("""COMPUTED_VALUE"""),"Yes")</f>
        <v>Yes</v>
      </c>
      <c r="AP2455" s="8" t="str">
        <f ca="1">IFERROR(__xludf.DUMMYFUNCTION("""COMPUTED_VALUE"""),"No")</f>
        <v>No</v>
      </c>
      <c r="AQ2455" s="8" t="str">
        <f ca="1">IFERROR(__xludf.DUMMYFUNCTION("""COMPUTED_VALUE"""),"None")</f>
        <v>None</v>
      </c>
      <c r="AR2455" s="8" t="str">
        <f ca="1">IFERROR(__xludf.DUMMYFUNCTION("""COMPUTED_VALUE"""),"NA")</f>
        <v>NA</v>
      </c>
      <c r="AS2455" s="8">
        <f ca="1">IFERROR(__xludf.DUMMYFUNCTION("""COMPUTED_VALUE"""),188)</f>
        <v>188</v>
      </c>
      <c r="AT2455" s="8" t="str">
        <f ca="1">IFERROR(__xludf.DUMMYFUNCTION("""COMPUTED_VALUE"""),"No")</f>
        <v>No</v>
      </c>
      <c r="AU2455" s="8">
        <f ca="1">IFERROR(__xludf.DUMMYFUNCTION("""COMPUTED_VALUE"""),39.604062)</f>
        <v>39.604061999999999</v>
      </c>
      <c r="AV2455" s="8">
        <f ca="1">IFERROR(__xludf.DUMMYFUNCTION("""COMPUTED_VALUE"""),-105.073241)</f>
        <v>-105.073241</v>
      </c>
      <c r="AW2455" s="8"/>
      <c r="AX2455" s="8">
        <f ca="1">IFERROR(__xludf.DUMMYFUNCTION("""COMPUTED_VALUE"""),80123)</f>
        <v>80123</v>
      </c>
    </row>
    <row r="2456" spans="1:50" ht="90" x14ac:dyDescent="0.2">
      <c r="A2456" s="8" t="str">
        <f ca="1">IFERROR(__xludf.DUMMYFUNCTION("""COMPUTED_VALUE"""),"19990416IDNON")</f>
        <v>19990416IDNON</v>
      </c>
      <c r="B2456" s="8">
        <f ca="1">IFERROR(__xludf.DUMMYFUNCTION("""COMPUTED_VALUE"""),4)</f>
        <v>4</v>
      </c>
      <c r="C2456" s="8">
        <f ca="1">IFERROR(__xludf.DUMMYFUNCTION("""COMPUTED_VALUE"""),16)</f>
        <v>16</v>
      </c>
      <c r="D2456" s="8">
        <f ca="1">IFERROR(__xludf.DUMMYFUNCTION("""COMPUTED_VALUE"""),1999)</f>
        <v>1999</v>
      </c>
      <c r="E2456" s="9">
        <f ca="1">IFERROR(__xludf.DUMMYFUNCTION("""COMPUTED_VALUE"""),36266)</f>
        <v>36266</v>
      </c>
      <c r="F2456" s="8" t="str">
        <f ca="1">IFERROR(__xludf.DUMMYFUNCTION("""COMPUTED_VALUE"""),"Notus Jr. Sr. High School")</f>
        <v>Notus Jr. Sr. High School</v>
      </c>
      <c r="G2456" s="8">
        <f ca="1">IFERROR(__xludf.DUMMYFUNCTION("""COMPUTED_VALUE"""),0)</f>
        <v>0</v>
      </c>
      <c r="H2456" s="8">
        <f ca="1">IFERROR(__xludf.DUMMYFUNCTION("""COMPUTED_VALUE"""),0)</f>
        <v>0</v>
      </c>
      <c r="I2456" s="8">
        <f ca="1">IFERROR(__xludf.DUMMYFUNCTION("""COMPUTED_VALUE"""),0)</f>
        <v>0</v>
      </c>
      <c r="J2456" s="8">
        <f ca="1">IFERROR(__xludf.DUMMYFUNCTION("""COMPUTED_VALUE"""),0)</f>
        <v>0</v>
      </c>
      <c r="K2456" s="8" t="str">
        <f ca="1">IFERROR(__xludf.DUMMYFUNCTION("""COMPUTED_VALUE"""),"https://www.deseretnews.com/article/691987/Did-teen-in-school-shooting-have-hit-list.html
https://www.newspapers.com/image/9514300/?terms=Notus%20school%20shooting&amp;match=1")</f>
        <v>https://www.deseretnews.com/article/691987/Did-teen-in-school-shooting-have-hit-list.html
https://www.newspapers.com/image/9514300/?terms=Notus%20school%20shooting&amp;match=1</v>
      </c>
      <c r="L2456" s="8"/>
      <c r="M2456" s="8"/>
      <c r="N2456" s="8">
        <f ca="1">IFERROR(__xludf.DUMMYFUNCTION("""COMPUTED_VALUE"""),4)</f>
        <v>4</v>
      </c>
      <c r="O2456" s="8" t="str">
        <f ca="1">IFERROR(__xludf.DUMMYFUNCTION("""COMPUTED_VALUE"""),"Spring")</f>
        <v>Spring</v>
      </c>
      <c r="P2456" s="8" t="str">
        <f ca="1">IFERROR(__xludf.DUMMYFUNCTION("""COMPUTED_VALUE"""),"Notus")</f>
        <v>Notus</v>
      </c>
      <c r="Q2456" s="8" t="str">
        <f ca="1">IFERROR(__xludf.DUMMYFUNCTION("""COMPUTED_VALUE"""),"ID")</f>
        <v>ID</v>
      </c>
      <c r="R2456" s="8" t="str">
        <f ca="1">IFERROR(__xludf.DUMMYFUNCTION("""COMPUTED_VALUE"""),"6-12")</f>
        <v>6-12</v>
      </c>
      <c r="S2456" s="8" t="str">
        <f ca="1">IFERROR(__xludf.DUMMYFUNCTION("""COMPUTED_VALUE"""),"Gym")</f>
        <v>Gym</v>
      </c>
      <c r="T2456" s="8" t="str">
        <f ca="1">IFERROR(__xludf.DUMMYFUNCTION("""COMPUTED_VALUE"""),"Inside School Building")</f>
        <v>Inside School Building</v>
      </c>
      <c r="U2456" s="8" t="str">
        <f ca="1">IFERROR(__xludf.DUMMYFUNCTION("""COMPUTED_VALUE"""),"Yes")</f>
        <v>Yes</v>
      </c>
      <c r="V2456" s="8" t="str">
        <f ca="1">IFERROR(__xludf.DUMMYFUNCTION("""COMPUTED_VALUE"""),"Morning Classes")</f>
        <v>Morning Classes</v>
      </c>
      <c r="W2456" s="11">
        <f ca="1">IFERROR(__xludf.DUMMYFUNCTION("""COMPUTED_VALUE"""),0.347222222222222)</f>
        <v>0.34722222222222199</v>
      </c>
      <c r="X2456" s="8">
        <f ca="1">IFERROR(__xludf.DUMMYFUNCTION("""COMPUTED_VALUE"""),1)</f>
        <v>1</v>
      </c>
      <c r="Y2456" s="12" t="str">
        <f ca="1">IFERROR(__xludf.DUMMYFUNCTION("""COMPUTED_VALUE"""),"Fired two shots inside school and surrendered when confronted by police")</f>
        <v>Fired two shots inside school and surrendered when confronted by police</v>
      </c>
      <c r="Z2456" s="12" t="str">
        <f ca="1">IFERROR(__xludf.DUMMYFUNCTION("""COMPUTED_VALUE"""),"Shooter brought a shotgun to school wrapped in a blanket and fired two shots into the ceiling and the door of the gym. Nobody was injured. Police officers were nearby, entered the school, and confronted the shooter. He dropped the weapon with 3 unfired sh"&amp;"ells inside. The shooter was incoherent and taken for mental health custody.")</f>
        <v>Shooter brought a shotgun to school wrapped in a blanket and fired two shots into the ceiling and the door of the gym. Nobody was injured. Police officers were nearby, entered the school, and confronted the shooter. He dropped the weapon with 3 unfired shells inside. The shooter was incoherent and taken for mental health custody.</v>
      </c>
      <c r="AA2456" s="8" t="str">
        <f ca="1">IFERROR(__xludf.DUMMYFUNCTION("""COMPUTED_VALUE"""),"Psychosis")</f>
        <v>Psychosis</v>
      </c>
      <c r="AB2456" s="8" t="str">
        <f ca="1">IFERROR(__xludf.DUMMYFUNCTION("""COMPUTED_VALUE"""),"Active Shooter/Planned Attack")</f>
        <v>Active Shooter/Planned Attack</v>
      </c>
      <c r="AC2456" s="8"/>
      <c r="AD2456" s="8" t="str">
        <f ca="1">IFERROR(__xludf.DUMMYFUNCTION("""COMPUTED_VALUE"""),"Random Shooting")</f>
        <v>Random Shooting</v>
      </c>
      <c r="AE2456" s="8"/>
      <c r="AF2456" s="8"/>
      <c r="AG2456" s="8" t="str">
        <f ca="1">IFERROR(__xludf.DUMMYFUNCTION("""COMPUTED_VALUE"""),"No")</f>
        <v>No</v>
      </c>
      <c r="AH2456" s="8" t="str">
        <f ca="1">IFERROR(__xludf.DUMMYFUNCTION("""COMPUTED_VALUE"""),"No")</f>
        <v>No</v>
      </c>
      <c r="AI2456" s="8" t="str">
        <f ca="1">IFERROR(__xludf.DUMMYFUNCTION("""COMPUTED_VALUE"""),"No")</f>
        <v>No</v>
      </c>
      <c r="AJ2456" s="8" t="str">
        <f ca="1">IFERROR(__xludf.DUMMYFUNCTION("""COMPUTED_VALUE"""),"No")</f>
        <v>No</v>
      </c>
      <c r="AK2456" s="8" t="str">
        <f ca="1">IFERROR(__xludf.DUMMYFUNCTION("""COMPUTED_VALUE"""),"No")</f>
        <v>No</v>
      </c>
      <c r="AL2456" s="8" t="str">
        <f ca="1">IFERROR(__xludf.DUMMYFUNCTION("""COMPUTED_VALUE"""),"No")</f>
        <v>No</v>
      </c>
      <c r="AM2456" s="8" t="str">
        <f ca="1">IFERROR(__xludf.DUMMYFUNCTION("""COMPUTED_VALUE"""),"Yes")</f>
        <v>Yes</v>
      </c>
      <c r="AN2456" s="8" t="str">
        <f ca="1">IFERROR(__xludf.DUMMYFUNCTION("""COMPUTED_VALUE"""),"Single Room")</f>
        <v>Single Room</v>
      </c>
      <c r="AO2456" s="8" t="str">
        <f ca="1">IFERROR(__xludf.DUMMYFUNCTION("""COMPUTED_VALUE"""),"Yes")</f>
        <v>Yes</v>
      </c>
      <c r="AP2456" s="8"/>
      <c r="AQ2456" s="8" t="str">
        <f ca="1">IFERROR(__xludf.DUMMYFUNCTION("""COMPUTED_VALUE"""),"Unknown")</f>
        <v>Unknown</v>
      </c>
      <c r="AR2456" s="8" t="str">
        <f ca="1">IFERROR(__xludf.DUMMYFUNCTION("""COMPUTED_VALUE"""),"NA")</f>
        <v>NA</v>
      </c>
      <c r="AS2456" s="8"/>
      <c r="AT2456" s="8"/>
      <c r="AU2456" s="8">
        <f ca="1">IFERROR(__xludf.DUMMYFUNCTION("""COMPUTED_VALUE"""),43.735763)</f>
        <v>43.735762999999999</v>
      </c>
      <c r="AV2456" s="8">
        <f ca="1">IFERROR(__xludf.DUMMYFUNCTION("""COMPUTED_VALUE"""),-116.797263)</f>
        <v>-116.797263</v>
      </c>
      <c r="AW2456" s="8"/>
      <c r="AX2456" s="8">
        <f ca="1">IFERROR(__xludf.DUMMYFUNCTION("""COMPUTED_VALUE"""),83656)</f>
        <v>83656</v>
      </c>
    </row>
    <row r="2457" spans="1:50" ht="105" x14ac:dyDescent="0.2">
      <c r="A2457" s="8" t="str">
        <f ca="1">IFERROR(__xludf.DUMMYFUNCTION("""COMPUTED_VALUE"""),"19990304ILNIS")</f>
        <v>19990304ILNIS</v>
      </c>
      <c r="B2457" s="8">
        <f ca="1">IFERROR(__xludf.DUMMYFUNCTION("""COMPUTED_VALUE"""),3)</f>
        <v>3</v>
      </c>
      <c r="C2457" s="8">
        <f ca="1">IFERROR(__xludf.DUMMYFUNCTION("""COMPUTED_VALUE"""),4)</f>
        <v>4</v>
      </c>
      <c r="D2457" s="8">
        <f ca="1">IFERROR(__xludf.DUMMYFUNCTION("""COMPUTED_VALUE"""),1999)</f>
        <v>1999</v>
      </c>
      <c r="E2457" s="9">
        <f ca="1">IFERROR(__xludf.DUMMYFUNCTION("""COMPUTED_VALUE"""),36223)</f>
        <v>36223</v>
      </c>
      <c r="F2457" s="8" t="str">
        <f ca="1">IFERROR(__xludf.DUMMYFUNCTION("""COMPUTED_VALUE"""),"Niles West High School")</f>
        <v>Niles West High School</v>
      </c>
      <c r="G2457" s="8">
        <f ca="1">IFERROR(__xludf.DUMMYFUNCTION("""COMPUTED_VALUE"""),0)</f>
        <v>0</v>
      </c>
      <c r="H2457" s="8">
        <f ca="1">IFERROR(__xludf.DUMMYFUNCTION("""COMPUTED_VALUE"""),1)</f>
        <v>1</v>
      </c>
      <c r="I2457" s="8">
        <f ca="1">IFERROR(__xludf.DUMMYFUNCTION("""COMPUTED_VALUE"""),1)</f>
        <v>1</v>
      </c>
      <c r="J2457" s="8">
        <f ca="1">IFERROR(__xludf.DUMMYFUNCTION("""COMPUTED_VALUE"""),1)</f>
        <v>1</v>
      </c>
      <c r="K2457" s="10" t="str">
        <f ca="1">IFERROR(__xludf.DUMMYFUNCTION("""COMPUTED_VALUE"""),"http://articles.chicagotribune.com/1999-03-06/news/9903060113_1_hennessy-police-skokie")</f>
        <v>http://articles.chicagotribune.com/1999-03-06/news/9903060113_1_hennessy-police-skokie</v>
      </c>
      <c r="L2457" s="8"/>
      <c r="M2457" s="8"/>
      <c r="N2457" s="8">
        <f ca="1">IFERROR(__xludf.DUMMYFUNCTION("""COMPUTED_VALUE"""),2)</f>
        <v>2</v>
      </c>
      <c r="O2457" s="8" t="str">
        <f ca="1">IFERROR(__xludf.DUMMYFUNCTION("""COMPUTED_VALUE"""),"Spring")</f>
        <v>Spring</v>
      </c>
      <c r="P2457" s="8" t="str">
        <f ca="1">IFERROR(__xludf.DUMMYFUNCTION("""COMPUTED_VALUE"""),"Skokie")</f>
        <v>Skokie</v>
      </c>
      <c r="Q2457" s="8" t="str">
        <f ca="1">IFERROR(__xludf.DUMMYFUNCTION("""COMPUTED_VALUE"""),"IL")</f>
        <v>IL</v>
      </c>
      <c r="R2457" s="8" t="str">
        <f ca="1">IFERROR(__xludf.DUMMYFUNCTION("""COMPUTED_VALUE"""),"High")</f>
        <v>High</v>
      </c>
      <c r="S2457" s="8" t="str">
        <f ca="1">IFERROR(__xludf.DUMMYFUNCTION("""COMPUTED_VALUE"""),"Gym")</f>
        <v>Gym</v>
      </c>
      <c r="T2457" s="8" t="str">
        <f ca="1">IFERROR(__xludf.DUMMYFUNCTION("""COMPUTED_VALUE"""),"Inside School Building")</f>
        <v>Inside School Building</v>
      </c>
      <c r="U2457" s="8" t="str">
        <f ca="1">IFERROR(__xludf.DUMMYFUNCTION("""COMPUTED_VALUE"""),"No")</f>
        <v>No</v>
      </c>
      <c r="V2457" s="8" t="str">
        <f ca="1">IFERROR(__xludf.DUMMYFUNCTION("""COMPUTED_VALUE"""),"Sport Event")</f>
        <v>Sport Event</v>
      </c>
      <c r="W2457" s="11">
        <f ca="1">IFERROR(__xludf.DUMMYFUNCTION("""COMPUTED_VALUE"""),0.916666666666666)</f>
        <v>0.91666666666666596</v>
      </c>
      <c r="X2457" s="8">
        <f ca="1">IFERROR(__xludf.DUMMYFUNCTION("""COMPUTED_VALUE"""),2)</f>
        <v>2</v>
      </c>
      <c r="Y2457" s="12" t="str">
        <f ca="1">IFERROR(__xludf.DUMMYFUNCTION("""COMPUTED_VALUE"""),"Shot security guard in targeted shooting")</f>
        <v>Shot security guard in targeted shooting</v>
      </c>
      <c r="Z2457" s="12" t="str">
        <f ca="1">IFERROR(__xludf.DUMMYFUNCTION("""COMPUTED_VALUE"""),"26 year old male approached a 57 year old school security officer who was working a high school volleyball game. The shooter shot the victim twice in the chest and once in the groin. The shooter then fled - when spotted by the police, the shooter shot him"&amp;"self in the head. He was pronounced dead at the hospital. The shooter had 32 rounds of ammo on him and was not known to have a prior criminal record.")</f>
        <v>26 year old male approached a 57 year old school security officer who was working a high school volleyball game. The shooter shot the victim twice in the chest and once in the groin. The shooter then fled - when spotted by the police, the shooter shot himself in the head. He was pronounced dead at the hospital. The shooter had 32 rounds of ammo on him and was not known to have a prior criminal record.</v>
      </c>
      <c r="AA2457" s="8" t="str">
        <f ca="1">IFERROR(__xludf.DUMMYFUNCTION("""COMPUTED_VALUE"""),"Domestic w/ Targeted Victim")</f>
        <v>Domestic w/ Targeted Victim</v>
      </c>
      <c r="AB2457" s="8"/>
      <c r="AC2457" s="8"/>
      <c r="AD2457" s="8" t="str">
        <f ca="1">IFERROR(__xludf.DUMMYFUNCTION("""COMPUTED_VALUE"""),"Victims Targeted")</f>
        <v>Victims Targeted</v>
      </c>
      <c r="AE2457" s="8" t="str">
        <f ca="1">IFERROR(__xludf.DUMMYFUNCTION("""COMPUTED_VALUE"""),"No")</f>
        <v>No</v>
      </c>
      <c r="AF2457" s="8"/>
      <c r="AG2457" s="8" t="str">
        <f ca="1">IFERROR(__xludf.DUMMYFUNCTION("""COMPUTED_VALUE"""),"No")</f>
        <v>No</v>
      </c>
      <c r="AH2457" s="8" t="str">
        <f ca="1">IFERROR(__xludf.DUMMYFUNCTION("""COMPUTED_VALUE"""),"No")</f>
        <v>No</v>
      </c>
      <c r="AI2457" s="8" t="str">
        <f ca="1">IFERROR(__xludf.DUMMYFUNCTION("""COMPUTED_VALUE"""),"No")</f>
        <v>No</v>
      </c>
      <c r="AJ2457" s="8" t="str">
        <f ca="1">IFERROR(__xludf.DUMMYFUNCTION("""COMPUTED_VALUE"""),"No")</f>
        <v>No</v>
      </c>
      <c r="AK2457" s="8" t="str">
        <f ca="1">IFERROR(__xludf.DUMMYFUNCTION("""COMPUTED_VALUE"""),"Yes")</f>
        <v>Yes</v>
      </c>
      <c r="AL2457" s="8" t="str">
        <f ca="1">IFERROR(__xludf.DUMMYFUNCTION("""COMPUTED_VALUE"""),"No")</f>
        <v>No</v>
      </c>
      <c r="AM2457" s="8"/>
      <c r="AN2457" s="8"/>
      <c r="AO2457" s="8" t="str">
        <f ca="1">IFERROR(__xludf.DUMMYFUNCTION("""COMPUTED_VALUE"""),"No")</f>
        <v>No</v>
      </c>
      <c r="AP2457" s="8"/>
      <c r="AQ2457" s="8" t="str">
        <f ca="1">IFERROR(__xludf.DUMMYFUNCTION("""COMPUTED_VALUE"""),"Unknown")</f>
        <v>Unknown</v>
      </c>
      <c r="AR2457" s="8" t="str">
        <f ca="1">IFERROR(__xludf.DUMMYFUNCTION("""COMPUTED_VALUE"""),"NA")</f>
        <v>NA</v>
      </c>
      <c r="AS2457" s="8">
        <f ca="1">IFERROR(__xludf.DUMMYFUNCTION("""COMPUTED_VALUE"""),7)</f>
        <v>7</v>
      </c>
      <c r="AT2457" s="8"/>
      <c r="AU2457" s="8">
        <f ca="1">IFERROR(__xludf.DUMMYFUNCTION("""COMPUTED_VALUE"""),42.02467)</f>
        <v>42.02467</v>
      </c>
      <c r="AV2457" s="8">
        <f ca="1">IFERROR(__xludf.DUMMYFUNCTION("""COMPUTED_VALUE"""),-87.77221)</f>
        <v>-87.772210000000001</v>
      </c>
      <c r="AW2457" s="8"/>
      <c r="AX2457" s="8">
        <f ca="1">IFERROR(__xludf.DUMMYFUNCTION("""COMPUTED_VALUE"""),60077)</f>
        <v>60077</v>
      </c>
    </row>
    <row r="2458" spans="1:50" ht="75" x14ac:dyDescent="0.2">
      <c r="A2458" s="8" t="str">
        <f ca="1">IFERROR(__xludf.DUMMYFUNCTION("""COMPUTED_VALUE"""),"19990211MSJEP")</f>
        <v>19990211MSJEP</v>
      </c>
      <c r="B2458" s="8">
        <f ca="1">IFERROR(__xludf.DUMMYFUNCTION("""COMPUTED_VALUE"""),2)</f>
        <v>2</v>
      </c>
      <c r="C2458" s="8">
        <f ca="1">IFERROR(__xludf.DUMMYFUNCTION("""COMPUTED_VALUE"""),11)</f>
        <v>11</v>
      </c>
      <c r="D2458" s="8">
        <f ca="1">IFERROR(__xludf.DUMMYFUNCTION("""COMPUTED_VALUE"""),1999)</f>
        <v>1999</v>
      </c>
      <c r="E2458" s="9">
        <f ca="1">IFERROR(__xludf.DUMMYFUNCTION("""COMPUTED_VALUE"""),36202)</f>
        <v>36202</v>
      </c>
      <c r="F2458" s="8" t="str">
        <f ca="1">IFERROR(__xludf.DUMMYFUNCTION("""COMPUTED_VALUE"""),"Jefferson-Todd Educational Center")</f>
        <v>Jefferson-Todd Educational Center</v>
      </c>
      <c r="G2458" s="8">
        <f ca="1">IFERROR(__xludf.DUMMYFUNCTION("""COMPUTED_VALUE"""),0)</f>
        <v>0</v>
      </c>
      <c r="H2458" s="8">
        <f ca="1">IFERROR(__xludf.DUMMYFUNCTION("""COMPUTED_VALUE"""),0)</f>
        <v>0</v>
      </c>
      <c r="I2458" s="8">
        <f ca="1">IFERROR(__xludf.DUMMYFUNCTION("""COMPUTED_VALUE"""),0)</f>
        <v>0</v>
      </c>
      <c r="J2458" s="8">
        <f ca="1">IFERROR(__xludf.DUMMYFUNCTION("""COMPUTED_VALUE"""),0)</f>
        <v>0</v>
      </c>
      <c r="K2458" s="10" t="str">
        <f ca="1">IFERROR(__xludf.DUMMYFUNCTION("""COMPUTED_VALUE"""),"https://www.deseretnews.com/article/679792/News-capsules.html")</f>
        <v>https://www.deseretnews.com/article/679792/News-capsules.html</v>
      </c>
      <c r="L2458" s="8"/>
      <c r="M2458" s="8"/>
      <c r="N2458" s="8">
        <f ca="1">IFERROR(__xludf.DUMMYFUNCTION("""COMPUTED_VALUE"""),2)</f>
        <v>2</v>
      </c>
      <c r="O2458" s="8" t="str">
        <f ca="1">IFERROR(__xludf.DUMMYFUNCTION("""COMPUTED_VALUE"""),"Winter")</f>
        <v>Winter</v>
      </c>
      <c r="P2458" s="8" t="str">
        <f ca="1">IFERROR(__xludf.DUMMYFUNCTION("""COMPUTED_VALUE"""),"Purvis")</f>
        <v>Purvis</v>
      </c>
      <c r="Q2458" s="8" t="str">
        <f ca="1">IFERROR(__xludf.DUMMYFUNCTION("""COMPUTED_VALUE"""),"MS")</f>
        <v>MS</v>
      </c>
      <c r="R2458" s="8" t="str">
        <f ca="1">IFERROR(__xludf.DUMMYFUNCTION("""COMPUTED_VALUE"""),"Other")</f>
        <v>Other</v>
      </c>
      <c r="S2458" s="8" t="str">
        <f ca="1">IFERROR(__xludf.DUMMYFUNCTION("""COMPUTED_VALUE"""),"Office")</f>
        <v>Office</v>
      </c>
      <c r="T2458" s="8" t="str">
        <f ca="1">IFERROR(__xludf.DUMMYFUNCTION("""COMPUTED_VALUE"""),"Inside School Building")</f>
        <v>Inside School Building</v>
      </c>
      <c r="U2458" s="8" t="str">
        <f ca="1">IFERROR(__xludf.DUMMYFUNCTION("""COMPUTED_VALUE"""),"Yes")</f>
        <v>Yes</v>
      </c>
      <c r="V2458" s="8"/>
      <c r="W2458" s="8"/>
      <c r="X2458" s="8">
        <f ca="1">IFERROR(__xludf.DUMMYFUNCTION("""COMPUTED_VALUE"""),720)</f>
        <v>720</v>
      </c>
      <c r="Y2458" s="12" t="str">
        <f ca="1">IFERROR(__xludf.DUMMYFUNCTION("""COMPUTED_VALUE"""),"Held 4 teachers hostage for 12 hours, angry about lack of black teachers")</f>
        <v>Held 4 teachers hostage for 12 hours, angry about lack of black teachers</v>
      </c>
      <c r="Z2458" s="12" t="str">
        <f ca="1">IFERROR(__xludf.DUMMYFUNCTION("""COMPUTED_VALUE"""),"44YOM held 4 teachers hostage for 12 hours. Shooter was angry about the lack of black teachers in the school. Shooter also had a history of mental illness. Shooter was subdued when federal agents raided the building.")</f>
        <v>44YOM held 4 teachers hostage for 12 hours. Shooter was angry about the lack of black teachers in the school. Shooter also had a history of mental illness. Shooter was subdued when federal agents raided the building.</v>
      </c>
      <c r="AA2458" s="8" t="str">
        <f ca="1">IFERROR(__xludf.DUMMYFUNCTION("""COMPUTED_VALUE"""),"Hostage/Standoff")</f>
        <v>Hostage/Standoff</v>
      </c>
      <c r="AB2458" s="8"/>
      <c r="AC2458" s="8"/>
      <c r="AD2458" s="8" t="str">
        <f ca="1">IFERROR(__xludf.DUMMYFUNCTION("""COMPUTED_VALUE"""),"Random Shooting")</f>
        <v>Random Shooting</v>
      </c>
      <c r="AE2458" s="8" t="str">
        <f ca="1">IFERROR(__xludf.DUMMYFUNCTION("""COMPUTED_VALUE"""),"No")</f>
        <v>No</v>
      </c>
      <c r="AF2458" s="8"/>
      <c r="AG2458" s="8" t="str">
        <f ca="1">IFERROR(__xludf.DUMMYFUNCTION("""COMPUTED_VALUE"""),"Yes")</f>
        <v>Yes</v>
      </c>
      <c r="AH2458" s="8" t="str">
        <f ca="1">IFERROR(__xludf.DUMMYFUNCTION("""COMPUTED_VALUE"""),"Yes")</f>
        <v>Yes</v>
      </c>
      <c r="AI2458" s="8" t="str">
        <f ca="1">IFERROR(__xludf.DUMMYFUNCTION("""COMPUTED_VALUE"""),"No")</f>
        <v>No</v>
      </c>
      <c r="AJ2458" s="8" t="str">
        <f ca="1">IFERROR(__xludf.DUMMYFUNCTION("""COMPUTED_VALUE"""),"No")</f>
        <v>No</v>
      </c>
      <c r="AK2458" s="8" t="str">
        <f ca="1">IFERROR(__xludf.DUMMYFUNCTION("""COMPUTED_VALUE"""),"No")</f>
        <v>No</v>
      </c>
      <c r="AL2458" s="8" t="str">
        <f ca="1">IFERROR(__xludf.DUMMYFUNCTION("""COMPUTED_VALUE"""),"No")</f>
        <v>No</v>
      </c>
      <c r="AM2458" s="8" t="str">
        <f ca="1">IFERROR(__xludf.DUMMYFUNCTION("""COMPUTED_VALUE"""),"Yes")</f>
        <v>Yes</v>
      </c>
      <c r="AN2458" s="8" t="str">
        <f ca="1">IFERROR(__xludf.DUMMYFUNCTION("""COMPUTED_VALUE"""),"Single Room")</f>
        <v>Single Room</v>
      </c>
      <c r="AO2458" s="8" t="str">
        <f ca="1">IFERROR(__xludf.DUMMYFUNCTION("""COMPUTED_VALUE"""),"Yes")</f>
        <v>Yes</v>
      </c>
      <c r="AP2458" s="8"/>
      <c r="AQ2458" s="8" t="str">
        <f ca="1">IFERROR(__xludf.DUMMYFUNCTION("""COMPUTED_VALUE"""),"Unknown")</f>
        <v>Unknown</v>
      </c>
      <c r="AR2458" s="8" t="str">
        <f ca="1">IFERROR(__xludf.DUMMYFUNCTION("""COMPUTED_VALUE"""),"NA")</f>
        <v>NA</v>
      </c>
      <c r="AS2458" s="8">
        <f ca="1">IFERROR(__xludf.DUMMYFUNCTION("""COMPUTED_VALUE"""),0)</f>
        <v>0</v>
      </c>
      <c r="AT2458" s="8"/>
      <c r="AU2458" s="8">
        <f ca="1">IFERROR(__xludf.DUMMYFUNCTION("""COMPUTED_VALUE"""),31.137099)</f>
        <v>31.137098999999999</v>
      </c>
      <c r="AV2458" s="8">
        <f ca="1">IFERROR(__xludf.DUMMYFUNCTION("""COMPUTED_VALUE"""),-89.411077)</f>
        <v>-89.411077000000006</v>
      </c>
      <c r="AW2458" s="8"/>
      <c r="AX2458" s="8">
        <f ca="1">IFERROR(__xludf.DUMMYFUNCTION("""COMPUTED_VALUE"""),39475)</f>
        <v>39475</v>
      </c>
    </row>
    <row r="2459" spans="1:50" ht="60" x14ac:dyDescent="0.2">
      <c r="A2459" s="8" t="str">
        <f ca="1">IFERROR(__xludf.DUMMYFUNCTION("""COMPUTED_VALUE"""),"19990211ILOME")</f>
        <v>19990211ILOME</v>
      </c>
      <c r="B2459" s="8">
        <f ca="1">IFERROR(__xludf.DUMMYFUNCTION("""COMPUTED_VALUE"""),2)</f>
        <v>2</v>
      </c>
      <c r="C2459" s="8">
        <f ca="1">IFERROR(__xludf.DUMMYFUNCTION("""COMPUTED_VALUE"""),11)</f>
        <v>11</v>
      </c>
      <c r="D2459" s="8">
        <f ca="1">IFERROR(__xludf.DUMMYFUNCTION("""COMPUTED_VALUE"""),1999)</f>
        <v>1999</v>
      </c>
      <c r="E2459" s="9">
        <f ca="1">IFERROR(__xludf.DUMMYFUNCTION("""COMPUTED_VALUE"""),36202)</f>
        <v>36202</v>
      </c>
      <c r="F2459" s="8" t="str">
        <f ca="1">IFERROR(__xludf.DUMMYFUNCTION("""COMPUTED_VALUE"""),"Ombudsman Educational Service Center")</f>
        <v>Ombudsman Educational Service Center</v>
      </c>
      <c r="G2459" s="8">
        <f ca="1">IFERROR(__xludf.DUMMYFUNCTION("""COMPUTED_VALUE"""),1)</f>
        <v>1</v>
      </c>
      <c r="H2459" s="8">
        <f ca="1">IFERROR(__xludf.DUMMYFUNCTION("""COMPUTED_VALUE"""),0)</f>
        <v>0</v>
      </c>
      <c r="I2459" s="8">
        <f ca="1">IFERROR(__xludf.DUMMYFUNCTION("""COMPUTED_VALUE"""),1)</f>
        <v>1</v>
      </c>
      <c r="J2459" s="8">
        <f ca="1">IFERROR(__xludf.DUMMYFUNCTION("""COMPUTED_VALUE"""),0)</f>
        <v>0</v>
      </c>
      <c r="K2459" s="10" t="str">
        <f ca="1">IFERROR(__xludf.DUMMYFUNCTION("""COMPUTED_VALUE"""),"http://articles.chicagotribune.com/1999-02-12/news/9902120139_1_shooting-gunman-gang")</f>
        <v>http://articles.chicagotribune.com/1999-02-12/news/9902120139_1_shooting-gunman-gang</v>
      </c>
      <c r="L2459" s="8"/>
      <c r="M2459" s="8"/>
      <c r="N2459" s="8">
        <f ca="1">IFERROR(__xludf.DUMMYFUNCTION("""COMPUTED_VALUE"""),2)</f>
        <v>2</v>
      </c>
      <c r="O2459" s="8" t="str">
        <f ca="1">IFERROR(__xludf.DUMMYFUNCTION("""COMPUTED_VALUE"""),"Winter")</f>
        <v>Winter</v>
      </c>
      <c r="P2459" s="8" t="str">
        <f ca="1">IFERROR(__xludf.DUMMYFUNCTION("""COMPUTED_VALUE"""),"Elgin")</f>
        <v>Elgin</v>
      </c>
      <c r="Q2459" s="8" t="str">
        <f ca="1">IFERROR(__xludf.DUMMYFUNCTION("""COMPUTED_VALUE"""),"IL")</f>
        <v>IL</v>
      </c>
      <c r="R2459" s="8" t="str">
        <f ca="1">IFERROR(__xludf.DUMMYFUNCTION("""COMPUTED_VALUE"""),"High")</f>
        <v>High</v>
      </c>
      <c r="S2459" s="8" t="str">
        <f ca="1">IFERROR(__xludf.DUMMYFUNCTION("""COMPUTED_VALUE"""),"Classroom")</f>
        <v>Classroom</v>
      </c>
      <c r="T2459" s="8" t="str">
        <f ca="1">IFERROR(__xludf.DUMMYFUNCTION("""COMPUTED_VALUE"""),"Inside School Building")</f>
        <v>Inside School Building</v>
      </c>
      <c r="U2459" s="8" t="str">
        <f ca="1">IFERROR(__xludf.DUMMYFUNCTION("""COMPUTED_VALUE"""),"Yes")</f>
        <v>Yes</v>
      </c>
      <c r="V2459" s="8" t="str">
        <f ca="1">IFERROR(__xludf.DUMMYFUNCTION("""COMPUTED_VALUE"""),"Afternoon Classes")</f>
        <v>Afternoon Classes</v>
      </c>
      <c r="W2459" s="11">
        <f ca="1">IFERROR(__xludf.DUMMYFUNCTION("""COMPUTED_VALUE"""),0.520833333333333)</f>
        <v>0.52083333333333304</v>
      </c>
      <c r="X2459" s="8">
        <f ca="1">IFERROR(__xludf.DUMMYFUNCTION("""COMPUTED_VALUE"""),1)</f>
        <v>1</v>
      </c>
      <c r="Y2459" s="12" t="str">
        <f ca="1">IFERROR(__xludf.DUMMYFUNCTION("""COMPUTED_VALUE"""),"Masked shooter entered classroom and fired multiple shots at student")</f>
        <v>Masked shooter entered classroom and fired multiple shots at student</v>
      </c>
      <c r="Z2459" s="12" t="str">
        <f ca="1">IFERROR(__xludf.DUMMYFUNCTION("""COMPUTED_VALUE"""),"14YOM student was shot multiple times by a masked gunman. Gunman fled the scene to a waiting car. Police said the shooting was gang related.")</f>
        <v>14YOM student was shot multiple times by a masked gunman. Gunman fled the scene to a waiting car. Police said the shooting was gang related.</v>
      </c>
      <c r="AA2459" s="8" t="str">
        <f ca="1">IFERROR(__xludf.DUMMYFUNCTION("""COMPUTED_VALUE"""),"Escalation of Dispute")</f>
        <v>Escalation of Dispute</v>
      </c>
      <c r="AB2459" s="8"/>
      <c r="AC2459" s="8"/>
      <c r="AD2459" s="8" t="str">
        <f ca="1">IFERROR(__xludf.DUMMYFUNCTION("""COMPUTED_VALUE"""),"Victims Targeted")</f>
        <v>Victims Targeted</v>
      </c>
      <c r="AE2459" s="8" t="str">
        <f ca="1">IFERROR(__xludf.DUMMYFUNCTION("""COMPUTED_VALUE"""),"Yes")</f>
        <v>Yes</v>
      </c>
      <c r="AF2459" s="8" t="str">
        <f ca="1">IFERROR(__xludf.DUMMYFUNCTION("""COMPUTED_VALUE"""),"Getaway car driver")</f>
        <v>Getaway car driver</v>
      </c>
      <c r="AG2459" s="8" t="str">
        <f ca="1">IFERROR(__xludf.DUMMYFUNCTION("""COMPUTED_VALUE"""),"No")</f>
        <v>No</v>
      </c>
      <c r="AH2459" s="8" t="str">
        <f ca="1">IFERROR(__xludf.DUMMYFUNCTION("""COMPUTED_VALUE"""),"No")</f>
        <v>No</v>
      </c>
      <c r="AI2459" s="8" t="str">
        <f ca="1">IFERROR(__xludf.DUMMYFUNCTION("""COMPUTED_VALUE"""),"No")</f>
        <v>No</v>
      </c>
      <c r="AJ2459" s="8" t="str">
        <f ca="1">IFERROR(__xludf.DUMMYFUNCTION("""COMPUTED_VALUE"""),"No")</f>
        <v>No</v>
      </c>
      <c r="AK2459" s="8" t="str">
        <f ca="1">IFERROR(__xludf.DUMMYFUNCTION("""COMPUTED_VALUE"""),"No")</f>
        <v>No</v>
      </c>
      <c r="AL2459" s="8" t="str">
        <f ca="1">IFERROR(__xludf.DUMMYFUNCTION("""COMPUTED_VALUE"""),"Yes")</f>
        <v>Yes</v>
      </c>
      <c r="AM2459" s="8"/>
      <c r="AN2459" s="8"/>
      <c r="AO2459" s="8" t="str">
        <f ca="1">IFERROR(__xludf.DUMMYFUNCTION("""COMPUTED_VALUE"""),"No")</f>
        <v>No</v>
      </c>
      <c r="AP2459" s="8"/>
      <c r="AQ2459" s="8" t="str">
        <f ca="1">IFERROR(__xludf.DUMMYFUNCTION("""COMPUTED_VALUE"""),"Unknown")</f>
        <v>Unknown</v>
      </c>
      <c r="AR2459" s="8" t="str">
        <f ca="1">IFERROR(__xludf.DUMMYFUNCTION("""COMPUTED_VALUE"""),"NA")</f>
        <v>NA</v>
      </c>
      <c r="AS2459" s="8">
        <f ca="1">IFERROR(__xludf.DUMMYFUNCTION("""COMPUTED_VALUE"""),7)</f>
        <v>7</v>
      </c>
      <c r="AT2459" s="8"/>
      <c r="AU2459" s="8">
        <f ca="1">IFERROR(__xludf.DUMMYFUNCTION("""COMPUTED_VALUE"""),42.268484)</f>
        <v>42.268484000000001</v>
      </c>
      <c r="AV2459" s="8">
        <f ca="1">IFERROR(__xludf.DUMMYFUNCTION("""COMPUTED_VALUE"""),-88.001246)</f>
        <v>-88.001245999999995</v>
      </c>
      <c r="AW2459" s="8"/>
      <c r="AX2459" s="8">
        <f ca="1">IFERROR(__xludf.DUMMYFUNCTION("""COMPUTED_VALUE"""),60060)</f>
        <v>60060</v>
      </c>
    </row>
    <row r="2460" spans="1:50" ht="30" x14ac:dyDescent="0.2">
      <c r="A2460" s="8" t="str">
        <f ca="1">IFERROR(__xludf.DUMMYFUNCTION("""COMPUTED_VALUE"""),"19990121TXRIN")</f>
        <v>19990121TXRIN</v>
      </c>
      <c r="B2460" s="8">
        <f ca="1">IFERROR(__xludf.DUMMYFUNCTION("""COMPUTED_VALUE"""),1)</f>
        <v>1</v>
      </c>
      <c r="C2460" s="8">
        <f ca="1">IFERROR(__xludf.DUMMYFUNCTION("""COMPUTED_VALUE"""),21)</f>
        <v>21</v>
      </c>
      <c r="D2460" s="8">
        <f ca="1">IFERROR(__xludf.DUMMYFUNCTION("""COMPUTED_VALUE"""),1999)</f>
        <v>1999</v>
      </c>
      <c r="E2460" s="9">
        <f ca="1">IFERROR(__xludf.DUMMYFUNCTION("""COMPUTED_VALUE"""),36181)</f>
        <v>36181</v>
      </c>
      <c r="F2460" s="8" t="str">
        <f ca="1">IFERROR(__xludf.DUMMYFUNCTION("""COMPUTED_VALUE"""),"Richland High School")</f>
        <v>Richland High School</v>
      </c>
      <c r="G2460" s="8">
        <f ca="1">IFERROR(__xludf.DUMMYFUNCTION("""COMPUTED_VALUE"""),0)</f>
        <v>0</v>
      </c>
      <c r="H2460" s="8">
        <f ca="1">IFERROR(__xludf.DUMMYFUNCTION("""COMPUTED_VALUE"""),0)</f>
        <v>0</v>
      </c>
      <c r="I2460" s="8">
        <f ca="1">IFERROR(__xludf.DUMMYFUNCTION("""COMPUTED_VALUE"""),0)</f>
        <v>0</v>
      </c>
      <c r="J2460" s="8">
        <f ca="1">IFERROR(__xludf.DUMMYFUNCTION("""COMPUTED_VALUE"""),1)</f>
        <v>1</v>
      </c>
      <c r="K2460" s="10" t="str">
        <f ca="1">IFERROR(__xludf.DUMMYFUNCTION("""COMPUTED_VALUE"""),"https://www.newspapers.com/image/13671024/")</f>
        <v>https://www.newspapers.com/image/13671024/</v>
      </c>
      <c r="L2460" s="8"/>
      <c r="M2460" s="8"/>
      <c r="N2460" s="8">
        <f ca="1">IFERROR(__xludf.DUMMYFUNCTION("""COMPUTED_VALUE"""),2)</f>
        <v>2</v>
      </c>
      <c r="O2460" s="8" t="str">
        <f ca="1">IFERROR(__xludf.DUMMYFUNCTION("""COMPUTED_VALUE"""),"Winter")</f>
        <v>Winter</v>
      </c>
      <c r="P2460" s="8" t="str">
        <f ca="1">IFERROR(__xludf.DUMMYFUNCTION("""COMPUTED_VALUE"""),"North Richland Hills")</f>
        <v>North Richland Hills</v>
      </c>
      <c r="Q2460" s="8" t="str">
        <f ca="1">IFERROR(__xludf.DUMMYFUNCTION("""COMPUTED_VALUE"""),"TX")</f>
        <v>TX</v>
      </c>
      <c r="R2460" s="8" t="str">
        <f ca="1">IFERROR(__xludf.DUMMYFUNCTION("""COMPUTED_VALUE"""),"High")</f>
        <v>High</v>
      </c>
      <c r="S2460" s="8" t="str">
        <f ca="1">IFERROR(__xludf.DUMMYFUNCTION("""COMPUTED_VALUE"""),"Bathroom")</f>
        <v>Bathroom</v>
      </c>
      <c r="T2460" s="8" t="str">
        <f ca="1">IFERROR(__xludf.DUMMYFUNCTION("""COMPUTED_VALUE"""),"Inside School Building")</f>
        <v>Inside School Building</v>
      </c>
      <c r="U2460" s="8" t="str">
        <f ca="1">IFERROR(__xludf.DUMMYFUNCTION("""COMPUTED_VALUE"""),"Yes")</f>
        <v>Yes</v>
      </c>
      <c r="V2460" s="8" t="str">
        <f ca="1">IFERROR(__xludf.DUMMYFUNCTION("""COMPUTED_VALUE"""),"Morning Classes")</f>
        <v>Morning Classes</v>
      </c>
      <c r="W2460" s="8"/>
      <c r="X2460" s="8">
        <f ca="1">IFERROR(__xludf.DUMMYFUNCTION("""COMPUTED_VALUE"""),1)</f>
        <v>1</v>
      </c>
      <c r="Y2460" s="12" t="str">
        <f ca="1">IFERROR(__xludf.DUMMYFUNCTION("""COMPUTED_VALUE"""),"Shot self in school bathroom")</f>
        <v>Shot self in school bathroom</v>
      </c>
      <c r="Z2460" s="12" t="str">
        <f ca="1">IFERROR(__xludf.DUMMYFUNCTION("""COMPUTED_VALUE"""),"15YOM student shot himself in the school bathroom.")</f>
        <v>15YOM student shot himself in the school bathroom.</v>
      </c>
      <c r="AA2460" s="8" t="str">
        <f ca="1">IFERROR(__xludf.DUMMYFUNCTION("""COMPUTED_VALUE"""),"Suicide/Attempted")</f>
        <v>Suicide/Attempted</v>
      </c>
      <c r="AB2460" s="8"/>
      <c r="AC2460" s="8"/>
      <c r="AD2460" s="8" t="str">
        <f ca="1">IFERROR(__xludf.DUMMYFUNCTION("""COMPUTED_VALUE"""),"Victims Targeted")</f>
        <v>Victims Targeted</v>
      </c>
      <c r="AE2460" s="8" t="str">
        <f ca="1">IFERROR(__xludf.DUMMYFUNCTION("""COMPUTED_VALUE"""),"No")</f>
        <v>No</v>
      </c>
      <c r="AF2460" s="8"/>
      <c r="AG2460" s="8" t="str">
        <f ca="1">IFERROR(__xludf.DUMMYFUNCTION("""COMPUTED_VALUE"""),"No")</f>
        <v>No</v>
      </c>
      <c r="AH2460" s="8" t="str">
        <f ca="1">IFERROR(__xludf.DUMMYFUNCTION("""COMPUTED_VALUE"""),"No")</f>
        <v>No</v>
      </c>
      <c r="AI2460" s="8" t="str">
        <f ca="1">IFERROR(__xludf.DUMMYFUNCTION("""COMPUTED_VALUE"""),"No")</f>
        <v>No</v>
      </c>
      <c r="AJ2460" s="8"/>
      <c r="AK2460" s="8" t="str">
        <f ca="1">IFERROR(__xludf.DUMMYFUNCTION("""COMPUTED_VALUE"""),"No")</f>
        <v>No</v>
      </c>
      <c r="AL2460" s="8" t="str">
        <f ca="1">IFERROR(__xludf.DUMMYFUNCTION("""COMPUTED_VALUE"""),"No")</f>
        <v>No</v>
      </c>
      <c r="AM2460" s="8"/>
      <c r="AN2460" s="8"/>
      <c r="AO2460" s="8" t="str">
        <f ca="1">IFERROR(__xludf.DUMMYFUNCTION("""COMPUTED_VALUE"""),"No")</f>
        <v>No</v>
      </c>
      <c r="AP2460" s="8"/>
      <c r="AQ2460" s="8" t="str">
        <f ca="1">IFERROR(__xludf.DUMMYFUNCTION("""COMPUTED_VALUE"""),"Unknown")</f>
        <v>Unknown</v>
      </c>
      <c r="AR2460" s="8" t="str">
        <f ca="1">IFERROR(__xludf.DUMMYFUNCTION("""COMPUTED_VALUE"""),"NA")</f>
        <v>NA</v>
      </c>
      <c r="AS2460" s="8">
        <f ca="1">IFERROR(__xludf.DUMMYFUNCTION("""COMPUTED_VALUE"""),1)</f>
        <v>1</v>
      </c>
      <c r="AT2460" s="8"/>
      <c r="AU2460" s="8">
        <f ca="1">IFERROR(__xludf.DUMMYFUNCTION("""COMPUTED_VALUE"""),32.842364)</f>
        <v>32.842364000000003</v>
      </c>
      <c r="AV2460" s="8">
        <f ca="1">IFERROR(__xludf.DUMMYFUNCTION("""COMPUTED_VALUE"""),-97.230107)</f>
        <v>-97.230107000000004</v>
      </c>
      <c r="AW2460" s="8"/>
      <c r="AX2460" s="8">
        <f ca="1">IFERROR(__xludf.DUMMYFUNCTION("""COMPUTED_VALUE"""),76180)</f>
        <v>76180</v>
      </c>
    </row>
    <row r="2461" spans="1:50" ht="60" x14ac:dyDescent="0.2">
      <c r="A2461" s="8" t="str">
        <f ca="1">IFERROR(__xludf.DUMMYFUNCTION("""COMPUTED_VALUE"""),"19990114NYHAN")</f>
        <v>19990114NYHAN</v>
      </c>
      <c r="B2461" s="8">
        <f ca="1">IFERROR(__xludf.DUMMYFUNCTION("""COMPUTED_VALUE"""),1)</f>
        <v>1</v>
      </c>
      <c r="C2461" s="8">
        <f ca="1">IFERROR(__xludf.DUMMYFUNCTION("""COMPUTED_VALUE"""),14)</f>
        <v>14</v>
      </c>
      <c r="D2461" s="8">
        <f ca="1">IFERROR(__xludf.DUMMYFUNCTION("""COMPUTED_VALUE"""),1999)</f>
        <v>1999</v>
      </c>
      <c r="E2461" s="9">
        <f ca="1">IFERROR(__xludf.DUMMYFUNCTION("""COMPUTED_VALUE"""),36174)</f>
        <v>36174</v>
      </c>
      <c r="F2461" s="8" t="str">
        <f ca="1">IFERROR(__xludf.DUMMYFUNCTION("""COMPUTED_VALUE"""),"Harry S. Truman High School")</f>
        <v>Harry S. Truman High School</v>
      </c>
      <c r="G2461" s="8">
        <f ca="1">IFERROR(__xludf.DUMMYFUNCTION("""COMPUTED_VALUE"""),0)</f>
        <v>0</v>
      </c>
      <c r="H2461" s="8">
        <f ca="1">IFERROR(__xludf.DUMMYFUNCTION("""COMPUTED_VALUE"""),2)</f>
        <v>2</v>
      </c>
      <c r="I2461" s="8">
        <f ca="1">IFERROR(__xludf.DUMMYFUNCTION("""COMPUTED_VALUE"""),2)</f>
        <v>2</v>
      </c>
      <c r="J2461" s="8">
        <f ca="1">IFERROR(__xludf.DUMMYFUNCTION("""COMPUTED_VALUE"""),0)</f>
        <v>0</v>
      </c>
      <c r="K2461" s="10" t="str">
        <f ca="1">IFERROR(__xludf.DUMMYFUNCTION("""COMPUTED_VALUE"""),"https://www.nytimes.com/1999/01/15/nyregion/2-students-shot-outside-bronx-high-school.html")</f>
        <v>https://www.nytimes.com/1999/01/15/nyregion/2-students-shot-outside-bronx-high-school.html</v>
      </c>
      <c r="L2461" s="8"/>
      <c r="M2461" s="8"/>
      <c r="N2461" s="8">
        <f ca="1">IFERROR(__xludf.DUMMYFUNCTION("""COMPUTED_VALUE"""),2)</f>
        <v>2</v>
      </c>
      <c r="O2461" s="8" t="str">
        <f ca="1">IFERROR(__xludf.DUMMYFUNCTION("""COMPUTED_VALUE"""),"Winter")</f>
        <v>Winter</v>
      </c>
      <c r="P2461" s="8" t="str">
        <f ca="1">IFERROR(__xludf.DUMMYFUNCTION("""COMPUTED_VALUE"""),"New York")</f>
        <v>New York</v>
      </c>
      <c r="Q2461" s="8" t="str">
        <f ca="1">IFERROR(__xludf.DUMMYFUNCTION("""COMPUTED_VALUE"""),"NY")</f>
        <v>NY</v>
      </c>
      <c r="R2461" s="8" t="str">
        <f ca="1">IFERROR(__xludf.DUMMYFUNCTION("""COMPUTED_VALUE"""),"High")</f>
        <v>High</v>
      </c>
      <c r="S2461" s="8" t="str">
        <f ca="1">IFERROR(__xludf.DUMMYFUNCTION("""COMPUTED_VALUE"""),"Front of School")</f>
        <v>Front of School</v>
      </c>
      <c r="T2461" s="8" t="str">
        <f ca="1">IFERROR(__xludf.DUMMYFUNCTION("""COMPUTED_VALUE"""),"Outside on School Property")</f>
        <v>Outside on School Property</v>
      </c>
      <c r="U2461" s="8" t="str">
        <f ca="1">IFERROR(__xludf.DUMMYFUNCTION("""COMPUTED_VALUE"""),"Yes")</f>
        <v>Yes</v>
      </c>
      <c r="V2461" s="8" t="str">
        <f ca="1">IFERROR(__xludf.DUMMYFUNCTION("""COMPUTED_VALUE"""),"Morning Classes")</f>
        <v>Morning Classes</v>
      </c>
      <c r="W2461" s="11">
        <f ca="1">IFERROR(__xludf.DUMMYFUNCTION("""COMPUTED_VALUE"""),0.375)</f>
        <v>0.375</v>
      </c>
      <c r="X2461" s="8">
        <f ca="1">IFERROR(__xludf.DUMMYFUNCTION("""COMPUTED_VALUE"""),1)</f>
        <v>1</v>
      </c>
      <c r="Y2461" s="12" t="str">
        <f ca="1">IFERROR(__xludf.DUMMYFUNCTION("""COMPUTED_VALUE"""),"Retaliation for stabbing the prior day")</f>
        <v>Retaliation for stabbing the prior day</v>
      </c>
      <c r="Z2461" s="12" t="str">
        <f ca="1">IFERROR(__xludf.DUMMYFUNCTION("""COMPUTED_VALUE"""),"18YOM and 16 YOM students were standing outside of the school when they were shot by an 16YOM who fled in a vehicle. Police said the shooting stemmed from a stabbing the prior day.")</f>
        <v>18YOM and 16 YOM students were standing outside of the school when they were shot by an 16YOM who fled in a vehicle. Police said the shooting stemmed from a stabbing the prior day.</v>
      </c>
      <c r="AA2461" s="8" t="str">
        <f ca="1">IFERROR(__xludf.DUMMYFUNCTION("""COMPUTED_VALUE"""),"Escalation of Dispute")</f>
        <v>Escalation of Dispute</v>
      </c>
      <c r="AB2461" s="8"/>
      <c r="AC2461" s="8"/>
      <c r="AD2461" s="8" t="str">
        <f ca="1">IFERROR(__xludf.DUMMYFUNCTION("""COMPUTED_VALUE"""),"Victims Targeted")</f>
        <v>Victims Targeted</v>
      </c>
      <c r="AE2461" s="8" t="str">
        <f ca="1">IFERROR(__xludf.DUMMYFUNCTION("""COMPUTED_VALUE"""),"No")</f>
        <v>No</v>
      </c>
      <c r="AF2461" s="8"/>
      <c r="AG2461" s="8" t="str">
        <f ca="1">IFERROR(__xludf.DUMMYFUNCTION("""COMPUTED_VALUE"""),"No")</f>
        <v>No</v>
      </c>
      <c r="AH2461" s="8" t="str">
        <f ca="1">IFERROR(__xludf.DUMMYFUNCTION("""COMPUTED_VALUE"""),"No")</f>
        <v>No</v>
      </c>
      <c r="AI2461" s="8" t="str">
        <f ca="1">IFERROR(__xludf.DUMMYFUNCTION("""COMPUTED_VALUE"""),"No")</f>
        <v>No</v>
      </c>
      <c r="AJ2461" s="8" t="str">
        <f ca="1">IFERROR(__xludf.DUMMYFUNCTION("""COMPUTED_VALUE"""),"No")</f>
        <v>No</v>
      </c>
      <c r="AK2461" s="8" t="str">
        <f ca="1">IFERROR(__xludf.DUMMYFUNCTION("""COMPUTED_VALUE"""),"No")</f>
        <v>No</v>
      </c>
      <c r="AL2461" s="8" t="str">
        <f ca="1">IFERROR(__xludf.DUMMYFUNCTION("""COMPUTED_VALUE"""),"No")</f>
        <v>No</v>
      </c>
      <c r="AM2461" s="8"/>
      <c r="AN2461" s="8"/>
      <c r="AO2461" s="8" t="str">
        <f ca="1">IFERROR(__xludf.DUMMYFUNCTION("""COMPUTED_VALUE"""),"No")</f>
        <v>No</v>
      </c>
      <c r="AP2461" s="8"/>
      <c r="AQ2461" s="8" t="str">
        <f ca="1">IFERROR(__xludf.DUMMYFUNCTION("""COMPUTED_VALUE"""),"Unknown")</f>
        <v>Unknown</v>
      </c>
      <c r="AR2461" s="8" t="str">
        <f ca="1">IFERROR(__xludf.DUMMYFUNCTION("""COMPUTED_VALUE"""),"NA")</f>
        <v>NA</v>
      </c>
      <c r="AS2461" s="8"/>
      <c r="AT2461" s="8"/>
      <c r="AU2461" s="8">
        <f ca="1">IFERROR(__xludf.DUMMYFUNCTION("""COMPUTED_VALUE"""),40.87428)</f>
        <v>40.874279999999999</v>
      </c>
      <c r="AV2461" s="8">
        <f ca="1">IFERROR(__xludf.DUMMYFUNCTION("""COMPUTED_VALUE"""),-73.833322)</f>
        <v>-73.833321999999995</v>
      </c>
      <c r="AW2461" s="8"/>
      <c r="AX2461" s="8">
        <f ca="1">IFERROR(__xludf.DUMMYFUNCTION("""COMPUTED_VALUE"""),10475)</f>
        <v>10475</v>
      </c>
    </row>
    <row r="2462" spans="1:50" ht="30" x14ac:dyDescent="0.2">
      <c r="A2462" s="8" t="str">
        <f ca="1">IFERROR(__xludf.DUMMYFUNCTION("""COMPUTED_VALUE"""),"19990108GACEC")</f>
        <v>19990108GACEC</v>
      </c>
      <c r="B2462" s="8">
        <f ca="1">IFERROR(__xludf.DUMMYFUNCTION("""COMPUTED_VALUE"""),1)</f>
        <v>1</v>
      </c>
      <c r="C2462" s="8">
        <f ca="1">IFERROR(__xludf.DUMMYFUNCTION("""COMPUTED_VALUE"""),8)</f>
        <v>8</v>
      </c>
      <c r="D2462" s="8">
        <f ca="1">IFERROR(__xludf.DUMMYFUNCTION("""COMPUTED_VALUE"""),1999)</f>
        <v>1999</v>
      </c>
      <c r="E2462" s="9">
        <f ca="1">IFERROR(__xludf.DUMMYFUNCTION("""COMPUTED_VALUE"""),36168)</f>
        <v>36168</v>
      </c>
      <c r="F2462" s="8" t="str">
        <f ca="1">IFERROR(__xludf.DUMMYFUNCTION("""COMPUTED_VALUE"""),"Central High School")</f>
        <v>Central High School</v>
      </c>
      <c r="G2462" s="8">
        <f ca="1">IFERROR(__xludf.DUMMYFUNCTION("""COMPUTED_VALUE"""),0)</f>
        <v>0</v>
      </c>
      <c r="H2462" s="8">
        <f ca="1">IFERROR(__xludf.DUMMYFUNCTION("""COMPUTED_VALUE"""),0)</f>
        <v>0</v>
      </c>
      <c r="I2462" s="8">
        <f ca="1">IFERROR(__xludf.DUMMYFUNCTION("""COMPUTED_VALUE"""),0)</f>
        <v>0</v>
      </c>
      <c r="J2462" s="8">
        <f ca="1">IFERROR(__xludf.DUMMYFUNCTION("""COMPUTED_VALUE"""),2)</f>
        <v>2</v>
      </c>
      <c r="K2462" s="10" t="str">
        <f ca="1">IFERROR(__xludf.DUMMYFUNCTION("""COMPUTED_VALUE"""),"https://www.cbsnews.com/news/2-teens-shot-at-georgia-school/")</f>
        <v>https://www.cbsnews.com/news/2-teens-shot-at-georgia-school/</v>
      </c>
      <c r="L2462" s="8"/>
      <c r="M2462" s="8"/>
      <c r="N2462" s="8">
        <f ca="1">IFERROR(__xludf.DUMMYFUNCTION("""COMPUTED_VALUE"""),2)</f>
        <v>2</v>
      </c>
      <c r="O2462" s="8" t="str">
        <f ca="1">IFERROR(__xludf.DUMMYFUNCTION("""COMPUTED_VALUE"""),"Winter")</f>
        <v>Winter</v>
      </c>
      <c r="P2462" s="8" t="str">
        <f ca="1">IFERROR(__xludf.DUMMYFUNCTION("""COMPUTED_VALUE"""),"Carrollton")</f>
        <v>Carrollton</v>
      </c>
      <c r="Q2462" s="8" t="str">
        <f ca="1">IFERROR(__xludf.DUMMYFUNCTION("""COMPUTED_VALUE"""),"GA")</f>
        <v>GA</v>
      </c>
      <c r="R2462" s="8" t="str">
        <f ca="1">IFERROR(__xludf.DUMMYFUNCTION("""COMPUTED_VALUE"""),"High")</f>
        <v>High</v>
      </c>
      <c r="S2462" s="8" t="str">
        <f ca="1">IFERROR(__xludf.DUMMYFUNCTION("""COMPUTED_VALUE"""),"Bathroom")</f>
        <v>Bathroom</v>
      </c>
      <c r="T2462" s="8" t="str">
        <f ca="1">IFERROR(__xludf.DUMMYFUNCTION("""COMPUTED_VALUE"""),"Inside School Building")</f>
        <v>Inside School Building</v>
      </c>
      <c r="U2462" s="8" t="str">
        <f ca="1">IFERROR(__xludf.DUMMYFUNCTION("""COMPUTED_VALUE"""),"Yes")</f>
        <v>Yes</v>
      </c>
      <c r="V2462" s="8" t="str">
        <f ca="1">IFERROR(__xludf.DUMMYFUNCTION("""COMPUTED_VALUE"""),"Morning Classes")</f>
        <v>Morning Classes</v>
      </c>
      <c r="W2462" s="8"/>
      <c r="X2462" s="8">
        <f ca="1">IFERROR(__xludf.DUMMYFUNCTION("""COMPUTED_VALUE"""),1)</f>
        <v>1</v>
      </c>
      <c r="Y2462" s="12" t="str">
        <f ca="1">IFERROR(__xludf.DUMMYFUNCTION("""COMPUTED_VALUE"""),"Planned murder/suicide pact")</f>
        <v>Planned murder/suicide pact</v>
      </c>
      <c r="Z2462" s="12" t="str">
        <f ca="1">IFERROR(__xludf.DUMMYFUNCTION("""COMPUTED_VALUE"""),"Male and female students in romantic relationship found shot in school bathroom. Murder-suicide pact.")</f>
        <v>Male and female students in romantic relationship found shot in school bathroom. Murder-suicide pact.</v>
      </c>
      <c r="AA2462" s="8" t="str">
        <f ca="1">IFERROR(__xludf.DUMMYFUNCTION("""COMPUTED_VALUE"""),"Murder/Suicide")</f>
        <v>Murder/Suicide</v>
      </c>
      <c r="AB2462" s="8"/>
      <c r="AC2462" s="8"/>
      <c r="AD2462" s="8" t="str">
        <f ca="1">IFERROR(__xludf.DUMMYFUNCTION("""COMPUTED_VALUE"""),"Victims Targeted")</f>
        <v>Victims Targeted</v>
      </c>
      <c r="AE2462" s="8" t="str">
        <f ca="1">IFERROR(__xludf.DUMMYFUNCTION("""COMPUTED_VALUE"""),"Yes")</f>
        <v>Yes</v>
      </c>
      <c r="AF2462" s="8" t="str">
        <f ca="1">IFERROR(__xludf.DUMMYFUNCTION("""COMPUTED_VALUE"""),"suicide pact")</f>
        <v>suicide pact</v>
      </c>
      <c r="AG2462" s="8" t="str">
        <f ca="1">IFERROR(__xludf.DUMMYFUNCTION("""COMPUTED_VALUE"""),"No")</f>
        <v>No</v>
      </c>
      <c r="AH2462" s="8" t="str">
        <f ca="1">IFERROR(__xludf.DUMMYFUNCTION("""COMPUTED_VALUE"""),"No")</f>
        <v>No</v>
      </c>
      <c r="AI2462" s="8" t="str">
        <f ca="1">IFERROR(__xludf.DUMMYFUNCTION("""COMPUTED_VALUE"""),"No")</f>
        <v>No</v>
      </c>
      <c r="AJ2462" s="8" t="str">
        <f ca="1">IFERROR(__xludf.DUMMYFUNCTION("""COMPUTED_VALUE"""),"No")</f>
        <v>No</v>
      </c>
      <c r="AK2462" s="8" t="str">
        <f ca="1">IFERROR(__xludf.DUMMYFUNCTION("""COMPUTED_VALUE"""),"Yes")</f>
        <v>Yes</v>
      </c>
      <c r="AL2462" s="8" t="str">
        <f ca="1">IFERROR(__xludf.DUMMYFUNCTION("""COMPUTED_VALUE"""),"No")</f>
        <v>No</v>
      </c>
      <c r="AM2462" s="8"/>
      <c r="AN2462" s="8"/>
      <c r="AO2462" s="8" t="str">
        <f ca="1">IFERROR(__xludf.DUMMYFUNCTION("""COMPUTED_VALUE"""),"No")</f>
        <v>No</v>
      </c>
      <c r="AP2462" s="8"/>
      <c r="AQ2462" s="8" t="str">
        <f ca="1">IFERROR(__xludf.DUMMYFUNCTION("""COMPUTED_VALUE"""),"Unknown")</f>
        <v>Unknown</v>
      </c>
      <c r="AR2462" s="8" t="str">
        <f ca="1">IFERROR(__xludf.DUMMYFUNCTION("""COMPUTED_VALUE"""),"NA")</f>
        <v>NA</v>
      </c>
      <c r="AS2462" s="8">
        <f ca="1">IFERROR(__xludf.DUMMYFUNCTION("""COMPUTED_VALUE"""),2)</f>
        <v>2</v>
      </c>
      <c r="AT2462" s="8"/>
      <c r="AU2462" s="8">
        <f ca="1">IFERROR(__xludf.DUMMYFUNCTION("""COMPUTED_VALUE"""),33.552069)</f>
        <v>33.552069000000003</v>
      </c>
      <c r="AV2462" s="8">
        <f ca="1">IFERROR(__xludf.DUMMYFUNCTION("""COMPUTED_VALUE"""),-85.0766113)</f>
        <v>-85.076611299999996</v>
      </c>
      <c r="AW2462" s="8"/>
      <c r="AX2462" s="8">
        <f ca="1">IFERROR(__xludf.DUMMYFUNCTION("""COMPUTED_VALUE"""),30117)</f>
        <v>30117</v>
      </c>
    </row>
    <row r="2463" spans="1:50" ht="60" x14ac:dyDescent="0.2">
      <c r="A2463" s="8" t="str">
        <f ca="1">IFERROR(__xludf.DUMMYFUNCTION("""COMPUTED_VALUE"""),"19981211INBEI")</f>
        <v>19981211INBEI</v>
      </c>
      <c r="B2463" s="8">
        <f ca="1">IFERROR(__xludf.DUMMYFUNCTION("""COMPUTED_VALUE"""),12)</f>
        <v>12</v>
      </c>
      <c r="C2463" s="8">
        <f ca="1">IFERROR(__xludf.DUMMYFUNCTION("""COMPUTED_VALUE"""),11)</f>
        <v>11</v>
      </c>
      <c r="D2463" s="8">
        <f ca="1">IFERROR(__xludf.DUMMYFUNCTION("""COMPUTED_VALUE"""),1998)</f>
        <v>1998</v>
      </c>
      <c r="E2463" s="9">
        <f ca="1">IFERROR(__xludf.DUMMYFUNCTION("""COMPUTED_VALUE"""),36140)</f>
        <v>36140</v>
      </c>
      <c r="F2463" s="8" t="str">
        <f ca="1">IFERROR(__xludf.DUMMYFUNCTION("""COMPUTED_VALUE"""),"Ben Davis Junior High School")</f>
        <v>Ben Davis Junior High School</v>
      </c>
      <c r="G2463" s="8">
        <f ca="1">IFERROR(__xludf.DUMMYFUNCTION("""COMPUTED_VALUE"""),0)</f>
        <v>0</v>
      </c>
      <c r="H2463" s="8">
        <f ca="1">IFERROR(__xludf.DUMMYFUNCTION("""COMPUTED_VALUE"""),1)</f>
        <v>1</v>
      </c>
      <c r="I2463" s="8">
        <f ca="1">IFERROR(__xludf.DUMMYFUNCTION("""COMPUTED_VALUE"""),1)</f>
        <v>1</v>
      </c>
      <c r="J2463" s="8">
        <f ca="1">IFERROR(__xludf.DUMMYFUNCTION("""COMPUTED_VALUE"""),0)</f>
        <v>0</v>
      </c>
      <c r="K2463" s="10" t="str">
        <f ca="1">IFERROR(__xludf.DUMMYFUNCTION("""COMPUTED_VALUE"""),"https://www.newspapers.com/image/156830644/?terms=student%2Bshot")</f>
        <v>https://www.newspapers.com/image/156830644/?terms=student%2Bshot</v>
      </c>
      <c r="L2463" s="8"/>
      <c r="M2463" s="8"/>
      <c r="N2463" s="8">
        <f ca="1">IFERROR(__xludf.DUMMYFUNCTION("""COMPUTED_VALUE"""),2)</f>
        <v>2</v>
      </c>
      <c r="O2463" s="8" t="str">
        <f ca="1">IFERROR(__xludf.DUMMYFUNCTION("""COMPUTED_VALUE"""),"Winter")</f>
        <v>Winter</v>
      </c>
      <c r="P2463" s="8" t="str">
        <f ca="1">IFERROR(__xludf.DUMMYFUNCTION("""COMPUTED_VALUE"""),"Indianapolis")</f>
        <v>Indianapolis</v>
      </c>
      <c r="Q2463" s="8" t="str">
        <f ca="1">IFERROR(__xludf.DUMMYFUNCTION("""COMPUTED_VALUE"""),"IN")</f>
        <v>IN</v>
      </c>
      <c r="R2463" s="8" t="str">
        <f ca="1">IFERROR(__xludf.DUMMYFUNCTION("""COMPUTED_VALUE"""),"Junior High")</f>
        <v>Junior High</v>
      </c>
      <c r="S2463" s="8" t="str">
        <f ca="1">IFERROR(__xludf.DUMMYFUNCTION("""COMPUTED_VALUE"""),"School Bus")</f>
        <v>School Bus</v>
      </c>
      <c r="T2463" s="8" t="str">
        <f ca="1">IFERROR(__xludf.DUMMYFUNCTION("""COMPUTED_VALUE"""),"School Bus")</f>
        <v>School Bus</v>
      </c>
      <c r="U2463" s="8" t="str">
        <f ca="1">IFERROR(__xludf.DUMMYFUNCTION("""COMPUTED_VALUE"""),"Yes")</f>
        <v>Yes</v>
      </c>
      <c r="V2463" s="8" t="str">
        <f ca="1">IFERROR(__xludf.DUMMYFUNCTION("""COMPUTED_VALUE"""),"After School")</f>
        <v>After School</v>
      </c>
      <c r="W2463" s="8"/>
      <c r="X2463" s="8">
        <f ca="1">IFERROR(__xludf.DUMMYFUNCTION("""COMPUTED_VALUE"""),1)</f>
        <v>1</v>
      </c>
      <c r="Y2463" s="12" t="str">
        <f ca="1">IFERROR(__xludf.DUMMYFUNCTION("""COMPUTED_VALUE"""),"Playing with gun on school bus")</f>
        <v>Playing with gun on school bus</v>
      </c>
      <c r="Z2463" s="12" t="str">
        <f ca="1">IFERROR(__xludf.DUMMYFUNCTION("""COMPUTED_VALUE"""),"7th grade boy accidentally shot another boy on the school bus. The shooter had brought a .22 caliber handgun with him and was showing the other student when the gun went off striking the victim in the leg.")</f>
        <v>7th grade boy accidentally shot another boy on the school bus. The shooter had brought a .22 caliber handgun with him and was showing the other student when the gun went off striking the victim in the leg.</v>
      </c>
      <c r="AA2463" s="8" t="str">
        <f ca="1">IFERROR(__xludf.DUMMYFUNCTION("""COMPUTED_VALUE"""),"Accidental")</f>
        <v>Accidental</v>
      </c>
      <c r="AB2463" s="8"/>
      <c r="AC2463" s="8"/>
      <c r="AD2463" s="8" t="str">
        <f ca="1">IFERROR(__xludf.DUMMYFUNCTION("""COMPUTED_VALUE"""),"Random Shooting")</f>
        <v>Random Shooting</v>
      </c>
      <c r="AE2463" s="8" t="str">
        <f ca="1">IFERROR(__xludf.DUMMYFUNCTION("""COMPUTED_VALUE"""),"No")</f>
        <v>No</v>
      </c>
      <c r="AF2463" s="8"/>
      <c r="AG2463" s="8" t="str">
        <f ca="1">IFERROR(__xludf.DUMMYFUNCTION("""COMPUTED_VALUE"""),"No")</f>
        <v>No</v>
      </c>
      <c r="AH2463" s="8" t="str">
        <f ca="1">IFERROR(__xludf.DUMMYFUNCTION("""COMPUTED_VALUE"""),"No")</f>
        <v>No</v>
      </c>
      <c r="AI2463" s="8" t="str">
        <f ca="1">IFERROR(__xludf.DUMMYFUNCTION("""COMPUTED_VALUE"""),"No")</f>
        <v>No</v>
      </c>
      <c r="AJ2463" s="8" t="str">
        <f ca="1">IFERROR(__xludf.DUMMYFUNCTION("""COMPUTED_VALUE"""),"No")</f>
        <v>No</v>
      </c>
      <c r="AK2463" s="8" t="str">
        <f ca="1">IFERROR(__xludf.DUMMYFUNCTION("""COMPUTED_VALUE"""),"No")</f>
        <v>No</v>
      </c>
      <c r="AL2463" s="8" t="str">
        <f ca="1">IFERROR(__xludf.DUMMYFUNCTION("""COMPUTED_VALUE"""),"No")</f>
        <v>No</v>
      </c>
      <c r="AM2463" s="8"/>
      <c r="AN2463" s="8"/>
      <c r="AO2463" s="8" t="str">
        <f ca="1">IFERROR(__xludf.DUMMYFUNCTION("""COMPUTED_VALUE"""),"No")</f>
        <v>No</v>
      </c>
      <c r="AP2463" s="8"/>
      <c r="AQ2463" s="8" t="str">
        <f ca="1">IFERROR(__xludf.DUMMYFUNCTION("""COMPUTED_VALUE"""),"Unknown")</f>
        <v>Unknown</v>
      </c>
      <c r="AR2463" s="8" t="str">
        <f ca="1">IFERROR(__xludf.DUMMYFUNCTION("""COMPUTED_VALUE"""),"NA")</f>
        <v>NA</v>
      </c>
      <c r="AS2463" s="8">
        <f ca="1">IFERROR(__xludf.DUMMYFUNCTION("""COMPUTED_VALUE"""),1)</f>
        <v>1</v>
      </c>
      <c r="AT2463" s="8"/>
      <c r="AU2463" s="8">
        <f ca="1">IFERROR(__xludf.DUMMYFUNCTION("""COMPUTED_VALUE"""),39.784298)</f>
        <v>39.784298</v>
      </c>
      <c r="AV2463" s="8">
        <f ca="1">IFERROR(__xludf.DUMMYFUNCTION("""COMPUTED_VALUE"""),-86.290005)</f>
        <v>-86.290004999999994</v>
      </c>
      <c r="AW2463" s="8"/>
      <c r="AX2463" s="8">
        <f ca="1">IFERROR(__xludf.DUMMYFUNCTION("""COMPUTED_VALUE"""),46214)</f>
        <v>46214</v>
      </c>
    </row>
    <row r="2464" spans="1:50" ht="105" x14ac:dyDescent="0.2">
      <c r="A2464" s="8" t="str">
        <f ca="1">IFERROR(__xludf.DUMMYFUNCTION("""COMPUTED_VALUE"""),"19981203INERG")</f>
        <v>19981203INERG</v>
      </c>
      <c r="B2464" s="8">
        <f ca="1">IFERROR(__xludf.DUMMYFUNCTION("""COMPUTED_VALUE"""),12)</f>
        <v>12</v>
      </c>
      <c r="C2464" s="8">
        <f ca="1">IFERROR(__xludf.DUMMYFUNCTION("""COMPUTED_VALUE"""),3)</f>
        <v>3</v>
      </c>
      <c r="D2464" s="8">
        <f ca="1">IFERROR(__xludf.DUMMYFUNCTION("""COMPUTED_VALUE"""),1998)</f>
        <v>1998</v>
      </c>
      <c r="E2464" s="9">
        <f ca="1">IFERROR(__xludf.DUMMYFUNCTION("""COMPUTED_VALUE"""),36132)</f>
        <v>36132</v>
      </c>
      <c r="F2464" s="8" t="str">
        <f ca="1">IFERROR(__xludf.DUMMYFUNCTION("""COMPUTED_VALUE"""),"Ernie Elementary School")</f>
        <v>Ernie Elementary School</v>
      </c>
      <c r="G2464" s="8">
        <f ca="1">IFERROR(__xludf.DUMMYFUNCTION("""COMPUTED_VALUE"""),0)</f>
        <v>0</v>
      </c>
      <c r="H2464" s="8">
        <f ca="1">IFERROR(__xludf.DUMMYFUNCTION("""COMPUTED_VALUE"""),1)</f>
        <v>1</v>
      </c>
      <c r="I2464" s="8">
        <f ca="1">IFERROR(__xludf.DUMMYFUNCTION("""COMPUTED_VALUE"""),1)</f>
        <v>1</v>
      </c>
      <c r="J2464" s="8">
        <f ca="1">IFERROR(__xludf.DUMMYFUNCTION("""COMPUTED_VALUE"""),0)</f>
        <v>0</v>
      </c>
      <c r="K2464" s="8" t="str">
        <f ca="1">IFERROR(__xludf.DUMMYFUNCTION("""COMPUTED_VALUE"""),"https://www.newspapers.com/image/253666014/?terms=teacher%2Bshot  https://www.newspapers.com/image/264488666/?terms=felicia%2Bstanley")</f>
        <v>https://www.newspapers.com/image/253666014/?terms=teacher%2Bshot  https://www.newspapers.com/image/264488666/?terms=felicia%2Bstanley</v>
      </c>
      <c r="L2464" s="8"/>
      <c r="M2464" s="8"/>
      <c r="N2464" s="8">
        <f ca="1">IFERROR(__xludf.DUMMYFUNCTION("""COMPUTED_VALUE"""),3)</f>
        <v>3</v>
      </c>
      <c r="O2464" s="8" t="str">
        <f ca="1">IFERROR(__xludf.DUMMYFUNCTION("""COMPUTED_VALUE"""),"Winter")</f>
        <v>Winter</v>
      </c>
      <c r="P2464" s="8" t="str">
        <f ca="1">IFERROR(__xludf.DUMMYFUNCTION("""COMPUTED_VALUE"""),"Gary")</f>
        <v>Gary</v>
      </c>
      <c r="Q2464" s="8" t="str">
        <f ca="1">IFERROR(__xludf.DUMMYFUNCTION("""COMPUTED_VALUE"""),"IN")</f>
        <v>IN</v>
      </c>
      <c r="R2464" s="8" t="str">
        <f ca="1">IFERROR(__xludf.DUMMYFUNCTION("""COMPUTED_VALUE"""),"Elementary")</f>
        <v>Elementary</v>
      </c>
      <c r="S2464" s="8" t="str">
        <f ca="1">IFERROR(__xludf.DUMMYFUNCTION("""COMPUTED_VALUE"""),"Gym")</f>
        <v>Gym</v>
      </c>
      <c r="T2464" s="8" t="str">
        <f ca="1">IFERROR(__xludf.DUMMYFUNCTION("""COMPUTED_VALUE"""),"Inside School Building")</f>
        <v>Inside School Building</v>
      </c>
      <c r="U2464" s="8" t="str">
        <f ca="1">IFERROR(__xludf.DUMMYFUNCTION("""COMPUTED_VALUE"""),"No")</f>
        <v>No</v>
      </c>
      <c r="V2464" s="8" t="str">
        <f ca="1">IFERROR(__xludf.DUMMYFUNCTION("""COMPUTED_VALUE"""),"Evening")</f>
        <v>Evening</v>
      </c>
      <c r="W2464" s="8"/>
      <c r="X2464" s="8">
        <f ca="1">IFERROR(__xludf.DUMMYFUNCTION("""COMPUTED_VALUE"""),1)</f>
        <v>1</v>
      </c>
      <c r="Y2464" s="12" t="str">
        <f ca="1">IFERROR(__xludf.DUMMYFUNCTION("""COMPUTED_VALUE"""),"Parent shot teacher during argument at parent-teacher conference")</f>
        <v>Parent shot teacher during argument at parent-teacher conference</v>
      </c>
      <c r="Z2464" s="12" t="str">
        <f ca="1">IFERROR(__xludf.DUMMYFUNCTION("""COMPUTED_VALUE"""),"Shooter, the wife of a Garym IN police detective, shot a female elementary teacher during a parent teacher conference. During the meeting an argument ensued and several shot were fired by the shooter, one of which ricocheted off the floor and hit the teac"&amp;"her - shooter arrested. Other reports state argument occurred in gymnasium after school basketball game.")</f>
        <v>Shooter, the wife of a Garym IN police detective, shot a female elementary teacher during a parent teacher conference. During the meeting an argument ensued and several shot were fired by the shooter, one of which ricocheted off the floor and hit the teacher - shooter arrested. Other reports state argument occurred in gymnasium after school basketball game.</v>
      </c>
      <c r="AA2464" s="8" t="str">
        <f ca="1">IFERROR(__xludf.DUMMYFUNCTION("""COMPUTED_VALUE"""),"Escalation of Dispute")</f>
        <v>Escalation of Dispute</v>
      </c>
      <c r="AB2464" s="8"/>
      <c r="AC2464" s="8"/>
      <c r="AD2464" s="8" t="str">
        <f ca="1">IFERROR(__xludf.DUMMYFUNCTION("""COMPUTED_VALUE"""),"Victims Targeted")</f>
        <v>Victims Targeted</v>
      </c>
      <c r="AE2464" s="8" t="str">
        <f ca="1">IFERROR(__xludf.DUMMYFUNCTION("""COMPUTED_VALUE"""),"No")</f>
        <v>No</v>
      </c>
      <c r="AF2464" s="8"/>
      <c r="AG2464" s="8" t="str">
        <f ca="1">IFERROR(__xludf.DUMMYFUNCTION("""COMPUTED_VALUE"""),"No")</f>
        <v>No</v>
      </c>
      <c r="AH2464" s="8" t="str">
        <f ca="1">IFERROR(__xludf.DUMMYFUNCTION("""COMPUTED_VALUE"""),"No")</f>
        <v>No</v>
      </c>
      <c r="AI2464" s="8" t="str">
        <f ca="1">IFERROR(__xludf.DUMMYFUNCTION("""COMPUTED_VALUE"""),"No")</f>
        <v>No</v>
      </c>
      <c r="AJ2464" s="8" t="str">
        <f ca="1">IFERROR(__xludf.DUMMYFUNCTION("""COMPUTED_VALUE"""),"No")</f>
        <v>No</v>
      </c>
      <c r="AK2464" s="8" t="str">
        <f ca="1">IFERROR(__xludf.DUMMYFUNCTION("""COMPUTED_VALUE"""),"No")</f>
        <v>No</v>
      </c>
      <c r="AL2464" s="8" t="str">
        <f ca="1">IFERROR(__xludf.DUMMYFUNCTION("""COMPUTED_VALUE"""),"No")</f>
        <v>No</v>
      </c>
      <c r="AM2464" s="8"/>
      <c r="AN2464" s="8"/>
      <c r="AO2464" s="8" t="str">
        <f ca="1">IFERROR(__xludf.DUMMYFUNCTION("""COMPUTED_VALUE"""),"No")</f>
        <v>No</v>
      </c>
      <c r="AP2464" s="8"/>
      <c r="AQ2464" s="8" t="str">
        <f ca="1">IFERROR(__xludf.DUMMYFUNCTION("""COMPUTED_VALUE"""),"Unknown")</f>
        <v>Unknown</v>
      </c>
      <c r="AR2464" s="8" t="str">
        <f ca="1">IFERROR(__xludf.DUMMYFUNCTION("""COMPUTED_VALUE"""),"NA")</f>
        <v>NA</v>
      </c>
      <c r="AS2464" s="8" t="str">
        <f ca="1">IFERROR(__xludf.DUMMYFUNCTION("""COMPUTED_VALUE"""),"Multiple")</f>
        <v>Multiple</v>
      </c>
      <c r="AT2464" s="8"/>
      <c r="AU2464" s="8">
        <f ca="1">IFERROR(__xludf.DUMMYFUNCTION("""COMPUTED_VALUE"""),41.58247)</f>
        <v>41.582470000000001</v>
      </c>
      <c r="AV2464" s="8">
        <f ca="1">IFERROR(__xludf.DUMMYFUNCTION("""COMPUTED_VALUE"""),-87.369628)</f>
        <v>-87.369628000000006</v>
      </c>
      <c r="AW2464" s="8"/>
      <c r="AX2464" s="8">
        <f ca="1">IFERROR(__xludf.DUMMYFUNCTION("""COMPUTED_VALUE"""),46404)</f>
        <v>46404</v>
      </c>
    </row>
    <row r="2465" spans="1:50" ht="60" x14ac:dyDescent="0.2">
      <c r="A2465" s="8" t="str">
        <f ca="1">IFERROR(__xludf.DUMMYFUNCTION("""COMPUTED_VALUE"""),"19981130NYHAH")</f>
        <v>19981130NYHAH</v>
      </c>
      <c r="B2465" s="8">
        <f ca="1">IFERROR(__xludf.DUMMYFUNCTION("""COMPUTED_VALUE"""),11)</f>
        <v>11</v>
      </c>
      <c r="C2465" s="8">
        <f ca="1">IFERROR(__xludf.DUMMYFUNCTION("""COMPUTED_VALUE"""),30)</f>
        <v>30</v>
      </c>
      <c r="D2465" s="8">
        <f ca="1">IFERROR(__xludf.DUMMYFUNCTION("""COMPUTED_VALUE"""),1998)</f>
        <v>1998</v>
      </c>
      <c r="E2465" s="9">
        <f ca="1">IFERROR(__xludf.DUMMYFUNCTION("""COMPUTED_VALUE"""),36129)</f>
        <v>36129</v>
      </c>
      <c r="F2465" s="8" t="str">
        <f ca="1">IFERROR(__xludf.DUMMYFUNCTION("""COMPUTED_VALUE"""),"Hancock Middle High School")</f>
        <v>Hancock Middle High School</v>
      </c>
      <c r="G2465" s="8">
        <f ca="1">IFERROR(__xludf.DUMMYFUNCTION("""COMPUTED_VALUE"""),0)</f>
        <v>0</v>
      </c>
      <c r="H2465" s="8">
        <f ca="1">IFERROR(__xludf.DUMMYFUNCTION("""COMPUTED_VALUE"""),0)</f>
        <v>0</v>
      </c>
      <c r="I2465" s="8">
        <f ca="1">IFERROR(__xludf.DUMMYFUNCTION("""COMPUTED_VALUE"""),0)</f>
        <v>0</v>
      </c>
      <c r="J2465" s="8">
        <f ca="1">IFERROR(__xludf.DUMMYFUNCTION("""COMPUTED_VALUE"""),1)</f>
        <v>1</v>
      </c>
      <c r="K2465" s="8" t="str">
        <f ca="1">IFERROR(__xludf.DUMMYFUNCTION("""COMPUTED_VALUE"""),"https://www.newspapers.com/image/279954606/?terms=student%2Bshot&amp;match=2  https://www.newspapers.com/image/260103883/?terms=student%2Bshot")</f>
        <v>https://www.newspapers.com/image/279954606/?terms=student%2Bshot&amp;match=2  https://www.newspapers.com/image/260103883/?terms=student%2Bshot</v>
      </c>
      <c r="L2465" s="8"/>
      <c r="M2465" s="8"/>
      <c r="N2465" s="8">
        <f ca="1">IFERROR(__xludf.DUMMYFUNCTION("""COMPUTED_VALUE"""),3)</f>
        <v>3</v>
      </c>
      <c r="O2465" s="8" t="str">
        <f ca="1">IFERROR(__xludf.DUMMYFUNCTION("""COMPUTED_VALUE"""),"Fall")</f>
        <v>Fall</v>
      </c>
      <c r="P2465" s="8" t="str">
        <f ca="1">IFERROR(__xludf.DUMMYFUNCTION("""COMPUTED_VALUE"""),"Hancock")</f>
        <v>Hancock</v>
      </c>
      <c r="Q2465" s="8" t="str">
        <f ca="1">IFERROR(__xludf.DUMMYFUNCTION("""COMPUTED_VALUE"""),"NY")</f>
        <v>NY</v>
      </c>
      <c r="R2465" s="8" t="str">
        <f ca="1">IFERROR(__xludf.DUMMYFUNCTION("""COMPUTED_VALUE"""),"Middle")</f>
        <v>Middle</v>
      </c>
      <c r="S2465" s="8" t="str">
        <f ca="1">IFERROR(__xludf.DUMMYFUNCTION("""COMPUTED_VALUE"""),"Bathroom")</f>
        <v>Bathroom</v>
      </c>
      <c r="T2465" s="8" t="str">
        <f ca="1">IFERROR(__xludf.DUMMYFUNCTION("""COMPUTED_VALUE"""),"Inside School Building")</f>
        <v>Inside School Building</v>
      </c>
      <c r="U2465" s="8" t="str">
        <f ca="1">IFERROR(__xludf.DUMMYFUNCTION("""COMPUTED_VALUE"""),"Yes")</f>
        <v>Yes</v>
      </c>
      <c r="V2465" s="8" t="str">
        <f ca="1">IFERROR(__xludf.DUMMYFUNCTION("""COMPUTED_VALUE"""),"Morning Classes")</f>
        <v>Morning Classes</v>
      </c>
      <c r="W2465" s="11">
        <f ca="1">IFERROR(__xludf.DUMMYFUNCTION("""COMPUTED_VALUE"""),0.388888888888888)</f>
        <v>0.38888888888888801</v>
      </c>
      <c r="X2465" s="8">
        <f ca="1">IFERROR(__xludf.DUMMYFUNCTION("""COMPUTED_VALUE"""),1)</f>
        <v>1</v>
      </c>
      <c r="Y2465" s="12" t="str">
        <f ca="1">IFERROR(__xludf.DUMMYFUNCTION("""COMPUTED_VALUE"""),"Suicide in school bathroom")</f>
        <v>Suicide in school bathroom</v>
      </c>
      <c r="Z2465" s="12" t="str">
        <f ca="1">IFERROR(__xludf.DUMMYFUNCTION("""COMPUTED_VALUE"""),"14 year-old teen brought her father's gun to school and shot herself in the head Monday morning in the school's second floor bathroom - she died later that night at hospital - unknown reason - no note left.")</f>
        <v>14 year-old teen brought her father's gun to school and shot herself in the head Monday morning in the school's second floor bathroom - she died later that night at hospital - unknown reason - no note left.</v>
      </c>
      <c r="AA2465" s="8" t="str">
        <f ca="1">IFERROR(__xludf.DUMMYFUNCTION("""COMPUTED_VALUE"""),"Suicide/Attempted")</f>
        <v>Suicide/Attempted</v>
      </c>
      <c r="AB2465" s="8"/>
      <c r="AC2465" s="8"/>
      <c r="AD2465" s="8" t="str">
        <f ca="1">IFERROR(__xludf.DUMMYFUNCTION("""COMPUTED_VALUE"""),"Victims Targeted")</f>
        <v>Victims Targeted</v>
      </c>
      <c r="AE2465" s="8" t="str">
        <f ca="1">IFERROR(__xludf.DUMMYFUNCTION("""COMPUTED_VALUE"""),"No")</f>
        <v>No</v>
      </c>
      <c r="AF2465" s="8"/>
      <c r="AG2465" s="8" t="str">
        <f ca="1">IFERROR(__xludf.DUMMYFUNCTION("""COMPUTED_VALUE"""),"No")</f>
        <v>No</v>
      </c>
      <c r="AH2465" s="8" t="str">
        <f ca="1">IFERROR(__xludf.DUMMYFUNCTION("""COMPUTED_VALUE"""),"No")</f>
        <v>No</v>
      </c>
      <c r="AI2465" s="8" t="str">
        <f ca="1">IFERROR(__xludf.DUMMYFUNCTION("""COMPUTED_VALUE"""),"No")</f>
        <v>No</v>
      </c>
      <c r="AJ2465" s="8"/>
      <c r="AK2465" s="8"/>
      <c r="AL2465" s="8" t="str">
        <f ca="1">IFERROR(__xludf.DUMMYFUNCTION("""COMPUTED_VALUE"""),"No")</f>
        <v>No</v>
      </c>
      <c r="AM2465" s="8"/>
      <c r="AN2465" s="8"/>
      <c r="AO2465" s="8" t="str">
        <f ca="1">IFERROR(__xludf.DUMMYFUNCTION("""COMPUTED_VALUE"""),"No")</f>
        <v>No</v>
      </c>
      <c r="AP2465" s="8"/>
      <c r="AQ2465" s="8" t="str">
        <f ca="1">IFERROR(__xludf.DUMMYFUNCTION("""COMPUTED_VALUE"""),"Unknown")</f>
        <v>Unknown</v>
      </c>
      <c r="AR2465" s="8" t="str">
        <f ca="1">IFERROR(__xludf.DUMMYFUNCTION("""COMPUTED_VALUE"""),"NA")</f>
        <v>NA</v>
      </c>
      <c r="AS2465" s="8">
        <f ca="1">IFERROR(__xludf.DUMMYFUNCTION("""COMPUTED_VALUE"""),1)</f>
        <v>1</v>
      </c>
      <c r="AT2465" s="8"/>
      <c r="AU2465" s="8">
        <f ca="1">IFERROR(__xludf.DUMMYFUNCTION("""COMPUTED_VALUE"""),41.956886)</f>
        <v>41.956885999999997</v>
      </c>
      <c r="AV2465" s="8">
        <f ca="1">IFERROR(__xludf.DUMMYFUNCTION("""COMPUTED_VALUE"""),-75.280989)</f>
        <v>-75.280989000000005</v>
      </c>
      <c r="AW2465" s="8"/>
      <c r="AX2465" s="8">
        <f ca="1">IFERROR(__xludf.DUMMYFUNCTION("""COMPUTED_VALUE"""),13783)</f>
        <v>13783</v>
      </c>
    </row>
    <row r="2466" spans="1:50" ht="75" x14ac:dyDescent="0.2">
      <c r="A2466" s="8" t="str">
        <f ca="1">IFERROR(__xludf.DUMMYFUNCTION("""COMPUTED_VALUE"""),"19981103PAMAP")</f>
        <v>19981103PAMAP</v>
      </c>
      <c r="B2466" s="8">
        <f ca="1">IFERROR(__xludf.DUMMYFUNCTION("""COMPUTED_VALUE"""),11)</f>
        <v>11</v>
      </c>
      <c r="C2466" s="8">
        <f ca="1">IFERROR(__xludf.DUMMYFUNCTION("""COMPUTED_VALUE"""),3)</f>
        <v>3</v>
      </c>
      <c r="D2466" s="8">
        <f ca="1">IFERROR(__xludf.DUMMYFUNCTION("""COMPUTED_VALUE"""),1998)</f>
        <v>1998</v>
      </c>
      <c r="E2466" s="9">
        <f ca="1">IFERROR(__xludf.DUMMYFUNCTION("""COMPUTED_VALUE"""),36102)</f>
        <v>36102</v>
      </c>
      <c r="F2466" s="8" t="str">
        <f ca="1">IFERROR(__xludf.DUMMYFUNCTION("""COMPUTED_VALUE"""),"Martin Luther King High School")</f>
        <v>Martin Luther King High School</v>
      </c>
      <c r="G2466" s="8">
        <f ca="1">IFERROR(__xludf.DUMMYFUNCTION("""COMPUTED_VALUE"""),1)</f>
        <v>1</v>
      </c>
      <c r="H2466" s="8">
        <f ca="1">IFERROR(__xludf.DUMMYFUNCTION("""COMPUTED_VALUE"""),0)</f>
        <v>0</v>
      </c>
      <c r="I2466" s="8">
        <f ca="1">IFERROR(__xludf.DUMMYFUNCTION("""COMPUTED_VALUE"""),1)</f>
        <v>1</v>
      </c>
      <c r="J2466" s="8">
        <f ca="1">IFERROR(__xludf.DUMMYFUNCTION("""COMPUTED_VALUE"""),0)</f>
        <v>0</v>
      </c>
      <c r="K2466" s="8" t="str">
        <f ca="1">IFERROR(__xludf.DUMMYFUNCTION("""COMPUTED_VALUE"""),"https://www.newspapers.com/image/181876991/?terms=donald%2Bmcneil%2Bmartin%2Bluther%2Bking%2Bhigh%2Bschool  https://www.newspapers.com/image/33559139/?terms=student%2Bshot")</f>
        <v>https://www.newspapers.com/image/181876991/?terms=donald%2Bmcneil%2Bmartin%2Bluther%2Bking%2Bhigh%2Bschool  https://www.newspapers.com/image/33559139/?terms=student%2Bshot</v>
      </c>
      <c r="L2466" s="8"/>
      <c r="M2466" s="8"/>
      <c r="N2466" s="8">
        <f ca="1">IFERROR(__xludf.DUMMYFUNCTION("""COMPUTED_VALUE"""),3)</f>
        <v>3</v>
      </c>
      <c r="O2466" s="8" t="str">
        <f ca="1">IFERROR(__xludf.DUMMYFUNCTION("""COMPUTED_VALUE"""),"Fall")</f>
        <v>Fall</v>
      </c>
      <c r="P2466" s="8" t="str">
        <f ca="1">IFERROR(__xludf.DUMMYFUNCTION("""COMPUTED_VALUE"""),"Philadelphia")</f>
        <v>Philadelphia</v>
      </c>
      <c r="Q2466" s="8" t="str">
        <f ca="1">IFERROR(__xludf.DUMMYFUNCTION("""COMPUTED_VALUE"""),"PA")</f>
        <v>PA</v>
      </c>
      <c r="R2466" s="8" t="str">
        <f ca="1">IFERROR(__xludf.DUMMYFUNCTION("""COMPUTED_VALUE"""),"High")</f>
        <v>High</v>
      </c>
      <c r="S2466" s="8" t="str">
        <f ca="1">IFERROR(__xludf.DUMMYFUNCTION("""COMPUTED_VALUE"""),"Beside Building")</f>
        <v>Beside Building</v>
      </c>
      <c r="T2466" s="8" t="str">
        <f ca="1">IFERROR(__xludf.DUMMYFUNCTION("""COMPUTED_VALUE"""),"Outside on School Property")</f>
        <v>Outside on School Property</v>
      </c>
      <c r="U2466" s="8" t="str">
        <f ca="1">IFERROR(__xludf.DUMMYFUNCTION("""COMPUTED_VALUE"""),"Yes")</f>
        <v>Yes</v>
      </c>
      <c r="V2466" s="8" t="str">
        <f ca="1">IFERROR(__xludf.DUMMYFUNCTION("""COMPUTED_VALUE"""),"Dismissal")</f>
        <v>Dismissal</v>
      </c>
      <c r="W2466" s="11">
        <f ca="1">IFERROR(__xludf.DUMMYFUNCTION("""COMPUTED_VALUE"""),0.572916666666666)</f>
        <v>0.57291666666666596</v>
      </c>
      <c r="X2466" s="8">
        <f ca="1">IFERROR(__xludf.DUMMYFUNCTION("""COMPUTED_VALUE"""),1)</f>
        <v>1</v>
      </c>
      <c r="Y2466" s="12" t="str">
        <f ca="1">IFERROR(__xludf.DUMMYFUNCTION("""COMPUTED_VALUE"""),"Dispute over a girl at end of school day")</f>
        <v>Dispute over a girl at end of school day</v>
      </c>
      <c r="Z2466" s="12" t="str">
        <f ca="1">IFERROR(__xludf.DUMMYFUNCTION("""COMPUTED_VALUE"""),"Victim was leaving school after early dismissal when he was approached by two men (19 year-old male and 17 year-old male). One of the men opened up with a semi-automatic assault rifle hitting the victim in the stomach. Victim later died at the hospital. B"&amp;"oth men were later arrested.")</f>
        <v>Victim was leaving school after early dismissal when he was approached by two men (19 year-old male and 17 year-old male). One of the men opened up with a semi-automatic assault rifle hitting the victim in the stomach. Victim later died at the hospital. Both men were later arrested.</v>
      </c>
      <c r="AA2466" s="8" t="str">
        <f ca="1">IFERROR(__xludf.DUMMYFUNCTION("""COMPUTED_VALUE"""),"Escalation of Dispute")</f>
        <v>Escalation of Dispute</v>
      </c>
      <c r="AB2466" s="8"/>
      <c r="AC2466" s="8"/>
      <c r="AD2466" s="8" t="str">
        <f ca="1">IFERROR(__xludf.DUMMYFUNCTION("""COMPUTED_VALUE"""),"Victims Targeted")</f>
        <v>Victims Targeted</v>
      </c>
      <c r="AE2466" s="8" t="str">
        <f ca="1">IFERROR(__xludf.DUMMYFUNCTION("""COMPUTED_VALUE"""),"Yes")</f>
        <v>Yes</v>
      </c>
      <c r="AF2466" s="8" t="str">
        <f ca="1">IFERROR(__xludf.DUMMYFUNCTION("""COMPUTED_VALUE"""),"Two suspects taken into custody - not sure who was shooter.")</f>
        <v>Two suspects taken into custody - not sure who was shooter.</v>
      </c>
      <c r="AG2466" s="8" t="str">
        <f ca="1">IFERROR(__xludf.DUMMYFUNCTION("""COMPUTED_VALUE"""),"No")</f>
        <v>No</v>
      </c>
      <c r="AH2466" s="8" t="str">
        <f ca="1">IFERROR(__xludf.DUMMYFUNCTION("""COMPUTED_VALUE"""),"No")</f>
        <v>No</v>
      </c>
      <c r="AI2466" s="8" t="str">
        <f ca="1">IFERROR(__xludf.DUMMYFUNCTION("""COMPUTED_VALUE"""),"No")</f>
        <v>No</v>
      </c>
      <c r="AJ2466" s="8" t="str">
        <f ca="1">IFERROR(__xludf.DUMMYFUNCTION("""COMPUTED_VALUE"""),"No")</f>
        <v>No</v>
      </c>
      <c r="AK2466" s="8" t="str">
        <f ca="1">IFERROR(__xludf.DUMMYFUNCTION("""COMPUTED_VALUE"""),"No")</f>
        <v>No</v>
      </c>
      <c r="AL2466" s="8" t="str">
        <f ca="1">IFERROR(__xludf.DUMMYFUNCTION("""COMPUTED_VALUE"""),"No")</f>
        <v>No</v>
      </c>
      <c r="AM2466" s="8"/>
      <c r="AN2466" s="8"/>
      <c r="AO2466" s="8" t="str">
        <f ca="1">IFERROR(__xludf.DUMMYFUNCTION("""COMPUTED_VALUE"""),"No")</f>
        <v>No</v>
      </c>
      <c r="AP2466" s="8"/>
      <c r="AQ2466" s="8" t="str">
        <f ca="1">IFERROR(__xludf.DUMMYFUNCTION("""COMPUTED_VALUE"""),"Unknown")</f>
        <v>Unknown</v>
      </c>
      <c r="AR2466" s="8" t="str">
        <f ca="1">IFERROR(__xludf.DUMMYFUNCTION("""COMPUTED_VALUE"""),"NA")</f>
        <v>NA</v>
      </c>
      <c r="AS2466" s="8"/>
      <c r="AT2466" s="8"/>
      <c r="AU2466" s="8">
        <f ca="1">IFERROR(__xludf.DUMMYFUNCTION("""COMPUTED_VALUE"""),40.056378)</f>
        <v>40.056378000000002</v>
      </c>
      <c r="AV2466" s="8">
        <f ca="1">IFERROR(__xludf.DUMMYFUNCTION("""COMPUTED_VALUE"""),-75.161646)</f>
        <v>-75.161646000000005</v>
      </c>
      <c r="AW2466" s="8"/>
      <c r="AX2466" s="8">
        <f ca="1">IFERROR(__xludf.DUMMYFUNCTION("""COMPUTED_VALUE"""),19138)</f>
        <v>19138</v>
      </c>
    </row>
    <row r="2467" spans="1:50" ht="60" x14ac:dyDescent="0.2">
      <c r="A2467" s="8" t="str">
        <f ca="1">IFERROR(__xludf.DUMMYFUNCTION("""COMPUTED_VALUE"""),"19980930FLNOM")</f>
        <v>19980930FLNOM</v>
      </c>
      <c r="B2467" s="8">
        <f ca="1">IFERROR(__xludf.DUMMYFUNCTION("""COMPUTED_VALUE"""),9)</f>
        <v>9</v>
      </c>
      <c r="C2467" s="8">
        <f ca="1">IFERROR(__xludf.DUMMYFUNCTION("""COMPUTED_VALUE"""),30)</f>
        <v>30</v>
      </c>
      <c r="D2467" s="8">
        <f ca="1">IFERROR(__xludf.DUMMYFUNCTION("""COMPUTED_VALUE"""),1998)</f>
        <v>1998</v>
      </c>
      <c r="E2467" s="9">
        <f ca="1">IFERROR(__xludf.DUMMYFUNCTION("""COMPUTED_VALUE"""),36068)</f>
        <v>36068</v>
      </c>
      <c r="F2467" s="8" t="str">
        <f ca="1">IFERROR(__xludf.DUMMYFUNCTION("""COMPUTED_VALUE"""),"North Miami High School")</f>
        <v>North Miami High School</v>
      </c>
      <c r="G2467" s="8">
        <f ca="1">IFERROR(__xludf.DUMMYFUNCTION("""COMPUTED_VALUE"""),0)</f>
        <v>0</v>
      </c>
      <c r="H2467" s="8">
        <f ca="1">IFERROR(__xludf.DUMMYFUNCTION("""COMPUTED_VALUE"""),3)</f>
        <v>3</v>
      </c>
      <c r="I2467" s="8">
        <f ca="1">IFERROR(__xludf.DUMMYFUNCTION("""COMPUTED_VALUE"""),3)</f>
        <v>3</v>
      </c>
      <c r="J2467" s="8">
        <f ca="1">IFERROR(__xludf.DUMMYFUNCTION("""COMPUTED_VALUE"""),0)</f>
        <v>0</v>
      </c>
      <c r="K2467" s="8" t="str">
        <f ca="1">IFERROR(__xludf.DUMMYFUNCTION("""COMPUTED_VALUE"""),"http://articles.sun-sentinel.com/1998-09-30/news/9809300032_1_school-cafeteria-school-officials-high-school https://www.newspapers.com/image/238875357 https://www.newspapers.com/image/238925919/?terms=North%2BMiami%2BSenior%2BHigh%2BSchool")</f>
        <v>http://articles.sun-sentinel.com/1998-09-30/news/9809300032_1_school-cafeteria-school-officials-high-school https://www.newspapers.com/image/238875357 https://www.newspapers.com/image/238925919/?terms=North%2BMiami%2BSenior%2BHigh%2BSchool</v>
      </c>
      <c r="L2467" s="8"/>
      <c r="M2467" s="8"/>
      <c r="N2467" s="8">
        <f ca="1">IFERROR(__xludf.DUMMYFUNCTION("""COMPUTED_VALUE"""),2)</f>
        <v>2</v>
      </c>
      <c r="O2467" s="8" t="str">
        <f ca="1">IFERROR(__xludf.DUMMYFUNCTION("""COMPUTED_VALUE"""),"Fall")</f>
        <v>Fall</v>
      </c>
      <c r="P2467" s="8" t="str">
        <f ca="1">IFERROR(__xludf.DUMMYFUNCTION("""COMPUTED_VALUE"""),"Miami")</f>
        <v>Miami</v>
      </c>
      <c r="Q2467" s="8" t="str">
        <f ca="1">IFERROR(__xludf.DUMMYFUNCTION("""COMPUTED_VALUE"""),"FL")</f>
        <v>FL</v>
      </c>
      <c r="R2467" s="8" t="str">
        <f ca="1">IFERROR(__xludf.DUMMYFUNCTION("""COMPUTED_VALUE"""),"High")</f>
        <v>High</v>
      </c>
      <c r="S2467" s="8" t="str">
        <f ca="1">IFERROR(__xludf.DUMMYFUNCTION("""COMPUTED_VALUE"""),"Hallway")</f>
        <v>Hallway</v>
      </c>
      <c r="T2467" s="8" t="str">
        <f ca="1">IFERROR(__xludf.DUMMYFUNCTION("""COMPUTED_VALUE"""),"Inside School Building")</f>
        <v>Inside School Building</v>
      </c>
      <c r="U2467" s="8" t="str">
        <f ca="1">IFERROR(__xludf.DUMMYFUNCTION("""COMPUTED_VALUE"""),"Yes")</f>
        <v>Yes</v>
      </c>
      <c r="V2467" s="8" t="str">
        <f ca="1">IFERROR(__xludf.DUMMYFUNCTION("""COMPUTED_VALUE"""),"Lunch")</f>
        <v>Lunch</v>
      </c>
      <c r="W2467" s="11">
        <f ca="1">IFERROR(__xludf.DUMMYFUNCTION("""COMPUTED_VALUE"""),0.522222222222222)</f>
        <v>0.52222222222222203</v>
      </c>
      <c r="X2467" s="8">
        <f ca="1">IFERROR(__xludf.DUMMYFUNCTION("""COMPUTED_VALUE"""),1)</f>
        <v>1</v>
      </c>
      <c r="Y2467" s="12" t="str">
        <f ca="1">IFERROR(__xludf.DUMMYFUNCTION("""COMPUTED_VALUE"""),"Gang related shooting following prior fight")</f>
        <v>Gang related shooting following prior fight</v>
      </c>
      <c r="Z2467" s="12" t="str">
        <f ca="1">IFERROR(__xludf.DUMMYFUNCTION("""COMPUTED_VALUE"""),"Two student gang members (18 year-old male and 17 year-old male) chased a rival gang member to school and fired multiple shots in the hallway during lunch. Two students and one teacher were struck. Shooters fled the scene.")</f>
        <v>Two student gang members (18 year-old male and 17 year-old male) chased a rival gang member to school and fired multiple shots in the hallway during lunch. Two students and one teacher were struck. Shooters fled the scene.</v>
      </c>
      <c r="AA2467" s="8" t="str">
        <f ca="1">IFERROR(__xludf.DUMMYFUNCTION("""COMPUTED_VALUE"""),"Escalation of Dispute")</f>
        <v>Escalation of Dispute</v>
      </c>
      <c r="AB2467" s="8"/>
      <c r="AC2467" s="8"/>
      <c r="AD2467" s="8" t="str">
        <f ca="1">IFERROR(__xludf.DUMMYFUNCTION("""COMPUTED_VALUE"""),"Both")</f>
        <v>Both</v>
      </c>
      <c r="AE2467" s="8" t="str">
        <f ca="1">IFERROR(__xludf.DUMMYFUNCTION("""COMPUTED_VALUE"""),"Yes")</f>
        <v>Yes</v>
      </c>
      <c r="AF2467" s="8" t="str">
        <f ca="1">IFERROR(__xludf.DUMMYFUNCTION("""COMPUTED_VALUE"""),"Occi Eliezer, 18, fellow gang member chasing down rival gang member with Petit-Frere.")</f>
        <v>Occi Eliezer, 18, fellow gang member chasing down rival gang member with Petit-Frere.</v>
      </c>
      <c r="AG2467" s="8" t="str">
        <f ca="1">IFERROR(__xludf.DUMMYFUNCTION("""COMPUTED_VALUE"""),"No")</f>
        <v>No</v>
      </c>
      <c r="AH2467" s="8" t="str">
        <f ca="1">IFERROR(__xludf.DUMMYFUNCTION("""COMPUTED_VALUE"""),"No")</f>
        <v>No</v>
      </c>
      <c r="AI2467" s="8" t="str">
        <f ca="1">IFERROR(__xludf.DUMMYFUNCTION("""COMPUTED_VALUE"""),"No")</f>
        <v>No</v>
      </c>
      <c r="AJ2467" s="8" t="str">
        <f ca="1">IFERROR(__xludf.DUMMYFUNCTION("""COMPUTED_VALUE"""),"No")</f>
        <v>No</v>
      </c>
      <c r="AK2467" s="8" t="str">
        <f ca="1">IFERROR(__xludf.DUMMYFUNCTION("""COMPUTED_VALUE"""),"No")</f>
        <v>No</v>
      </c>
      <c r="AL2467" s="8" t="str">
        <f ca="1">IFERROR(__xludf.DUMMYFUNCTION("""COMPUTED_VALUE"""),"Yes")</f>
        <v>Yes</v>
      </c>
      <c r="AM2467" s="8"/>
      <c r="AN2467" s="8"/>
      <c r="AO2467" s="8" t="str">
        <f ca="1">IFERROR(__xludf.DUMMYFUNCTION("""COMPUTED_VALUE"""),"No")</f>
        <v>No</v>
      </c>
      <c r="AP2467" s="8"/>
      <c r="AQ2467" s="8" t="str">
        <f ca="1">IFERROR(__xludf.DUMMYFUNCTION("""COMPUTED_VALUE"""),"Metal Detectors All Entrances")</f>
        <v>Metal Detectors All Entrances</v>
      </c>
      <c r="AR2467" s="8" t="str">
        <f ca="1">IFERROR(__xludf.DUMMYFUNCTION("""COMPUTED_VALUE"""),"Bypassed")</f>
        <v>Bypassed</v>
      </c>
      <c r="AS2467" s="8"/>
      <c r="AT2467" s="8"/>
      <c r="AU2467" s="8">
        <f ca="1">IFERROR(__xludf.DUMMYFUNCTION("""COMPUTED_VALUE"""),25.896904)</f>
        <v>25.896903999999999</v>
      </c>
      <c r="AV2467" s="8">
        <f ca="1">IFERROR(__xludf.DUMMYFUNCTION("""COMPUTED_VALUE"""),-80.184141)</f>
        <v>-80.184140999999997</v>
      </c>
      <c r="AW2467" s="8"/>
      <c r="AX2467" s="8">
        <f ca="1">IFERROR(__xludf.DUMMYFUNCTION("""COMPUTED_VALUE"""),33161)</f>
        <v>33161</v>
      </c>
    </row>
    <row r="2468" spans="1:50" ht="90" x14ac:dyDescent="0.2">
      <c r="A2468" s="8" t="str">
        <f ca="1">IFERROR(__xludf.DUMMYFUNCTION("""COMPUTED_VALUE"""),"19980930FLLEL")</f>
        <v>19980930FLLEL</v>
      </c>
      <c r="B2468" s="8">
        <f ca="1">IFERROR(__xludf.DUMMYFUNCTION("""COMPUTED_VALUE"""),9)</f>
        <v>9</v>
      </c>
      <c r="C2468" s="8">
        <f ca="1">IFERROR(__xludf.DUMMYFUNCTION("""COMPUTED_VALUE"""),30)</f>
        <v>30</v>
      </c>
      <c r="D2468" s="8">
        <f ca="1">IFERROR(__xludf.DUMMYFUNCTION("""COMPUTED_VALUE"""),1998)</f>
        <v>1998</v>
      </c>
      <c r="E2468" s="9">
        <f ca="1">IFERROR(__xludf.DUMMYFUNCTION("""COMPUTED_VALUE"""),36068)</f>
        <v>36068</v>
      </c>
      <c r="F2468" s="8" t="str">
        <f ca="1">IFERROR(__xludf.DUMMYFUNCTION("""COMPUTED_VALUE"""),"Leesburg High School")</f>
        <v>Leesburg High School</v>
      </c>
      <c r="G2468" s="8">
        <f ca="1">IFERROR(__xludf.DUMMYFUNCTION("""COMPUTED_VALUE"""),0)</f>
        <v>0</v>
      </c>
      <c r="H2468" s="8">
        <f ca="1">IFERROR(__xludf.DUMMYFUNCTION("""COMPUTED_VALUE"""),0)</f>
        <v>0</v>
      </c>
      <c r="I2468" s="8">
        <f ca="1">IFERROR(__xludf.DUMMYFUNCTION("""COMPUTED_VALUE"""),0)</f>
        <v>0</v>
      </c>
      <c r="J2468" s="8">
        <f ca="1">IFERROR(__xludf.DUMMYFUNCTION("""COMPUTED_VALUE"""),0)</f>
        <v>0</v>
      </c>
      <c r="K2468" s="8" t="str">
        <f ca="1">IFERROR(__xludf.DUMMYFUNCTION("""COMPUTED_VALUE"""),"https://www.newspapers.com/image/235593309/?terms=student%2Bshot https://www.tampabay.com/archive/1998/10/01/shootings-injure-teacher-3-students-in-state/")</f>
        <v>https://www.newspapers.com/image/235593309/?terms=student%2Bshot https://www.tampabay.com/archive/1998/10/01/shootings-injure-teacher-3-students-in-state/</v>
      </c>
      <c r="L2468" s="8"/>
      <c r="M2468" s="8"/>
      <c r="N2468" s="8">
        <f ca="1">IFERROR(__xludf.DUMMYFUNCTION("""COMPUTED_VALUE"""),2)</f>
        <v>2</v>
      </c>
      <c r="O2468" s="8" t="str">
        <f ca="1">IFERROR(__xludf.DUMMYFUNCTION("""COMPUTED_VALUE"""),"Fall")</f>
        <v>Fall</v>
      </c>
      <c r="P2468" s="8" t="str">
        <f ca="1">IFERROR(__xludf.DUMMYFUNCTION("""COMPUTED_VALUE"""),"Leesburg")</f>
        <v>Leesburg</v>
      </c>
      <c r="Q2468" s="8" t="str">
        <f ca="1">IFERROR(__xludf.DUMMYFUNCTION("""COMPUTED_VALUE"""),"FL")</f>
        <v>FL</v>
      </c>
      <c r="R2468" s="8" t="str">
        <f ca="1">IFERROR(__xludf.DUMMYFUNCTION("""COMPUTED_VALUE"""),"High")</f>
        <v>High</v>
      </c>
      <c r="S2468" s="8" t="str">
        <f ca="1">IFERROR(__xludf.DUMMYFUNCTION("""COMPUTED_VALUE"""),"Outside on School Property")</f>
        <v>Outside on School Property</v>
      </c>
      <c r="T2468" s="8" t="str">
        <f ca="1">IFERROR(__xludf.DUMMYFUNCTION("""COMPUTED_VALUE"""),"Outside on School Property")</f>
        <v>Outside on School Property</v>
      </c>
      <c r="U2468" s="8" t="str">
        <f ca="1">IFERROR(__xludf.DUMMYFUNCTION("""COMPUTED_VALUE"""),"Yes")</f>
        <v>Yes</v>
      </c>
      <c r="V2468" s="8"/>
      <c r="W2468" s="8"/>
      <c r="X2468" s="8">
        <f ca="1">IFERROR(__xludf.DUMMYFUNCTION("""COMPUTED_VALUE"""),1)</f>
        <v>1</v>
      </c>
      <c r="Y2468" s="12" t="str">
        <f ca="1">IFERROR(__xludf.DUMMYFUNCTION("""COMPUTED_VALUE"""),"Teen shot himself in the arm")</f>
        <v>Teen shot himself in the arm</v>
      </c>
      <c r="Z2468" s="12" t="str">
        <f ca="1">IFERROR(__xludf.DUMMYFUNCTION("""COMPUTED_VALUE"""),"17 year old teen shot himself in arm but blamed another student. Police did not believe his story that another student, who the teen did not know threatened him and then shot him on the school grounds. Police reported that the teen shot himself in the arm"&amp;" because he was unhappy with being sent to public school after being homeschooled.")</f>
        <v>17 year old teen shot himself in arm but blamed another student. Police did not believe his story that another student, who the teen did not know threatened him and then shot him on the school grounds. Police reported that the teen shot himself in the arm because he was unhappy with being sent to public school after being homeschooled.</v>
      </c>
      <c r="AA2468" s="8" t="str">
        <f ca="1">IFERROR(__xludf.DUMMYFUNCTION("""COMPUTED_VALUE"""),"Accidental")</f>
        <v>Accidental</v>
      </c>
      <c r="AB2468" s="8"/>
      <c r="AC2468" s="8"/>
      <c r="AD2468" s="8" t="str">
        <f ca="1">IFERROR(__xludf.DUMMYFUNCTION("""COMPUTED_VALUE"""),"Victims Targeted")</f>
        <v>Victims Targeted</v>
      </c>
      <c r="AE2468" s="8" t="str">
        <f ca="1">IFERROR(__xludf.DUMMYFUNCTION("""COMPUTED_VALUE"""),"No")</f>
        <v>No</v>
      </c>
      <c r="AF2468" s="8"/>
      <c r="AG2468" s="8" t="str">
        <f ca="1">IFERROR(__xludf.DUMMYFUNCTION("""COMPUTED_VALUE"""),"No")</f>
        <v>No</v>
      </c>
      <c r="AH2468" s="8" t="str">
        <f ca="1">IFERROR(__xludf.DUMMYFUNCTION("""COMPUTED_VALUE"""),"No")</f>
        <v>No</v>
      </c>
      <c r="AI2468" s="8" t="str">
        <f ca="1">IFERROR(__xludf.DUMMYFUNCTION("""COMPUTED_VALUE"""),"No")</f>
        <v>No</v>
      </c>
      <c r="AJ2468" s="8" t="str">
        <f ca="1">IFERROR(__xludf.DUMMYFUNCTION("""COMPUTED_VALUE"""),"No")</f>
        <v>No</v>
      </c>
      <c r="AK2468" s="8" t="str">
        <f ca="1">IFERROR(__xludf.DUMMYFUNCTION("""COMPUTED_VALUE"""),"No")</f>
        <v>No</v>
      </c>
      <c r="AL2468" s="8" t="str">
        <f ca="1">IFERROR(__xludf.DUMMYFUNCTION("""COMPUTED_VALUE"""),"No")</f>
        <v>No</v>
      </c>
      <c r="AM2468" s="8"/>
      <c r="AN2468" s="8"/>
      <c r="AO2468" s="8" t="str">
        <f ca="1">IFERROR(__xludf.DUMMYFUNCTION("""COMPUTED_VALUE"""),"No")</f>
        <v>No</v>
      </c>
      <c r="AP2468" s="8"/>
      <c r="AQ2468" s="8" t="str">
        <f ca="1">IFERROR(__xludf.DUMMYFUNCTION("""COMPUTED_VALUE"""),"Unknown")</f>
        <v>Unknown</v>
      </c>
      <c r="AR2468" s="8" t="str">
        <f ca="1">IFERROR(__xludf.DUMMYFUNCTION("""COMPUTED_VALUE"""),"NA")</f>
        <v>NA</v>
      </c>
      <c r="AS2468" s="8">
        <f ca="1">IFERROR(__xludf.DUMMYFUNCTION("""COMPUTED_VALUE"""),1)</f>
        <v>1</v>
      </c>
      <c r="AT2468" s="8"/>
      <c r="AU2468" s="8">
        <f ca="1">IFERROR(__xludf.DUMMYFUNCTION("""COMPUTED_VALUE"""),28.80824)</f>
        <v>28.808240000000001</v>
      </c>
      <c r="AV2468" s="8">
        <f ca="1">IFERROR(__xludf.DUMMYFUNCTION("""COMPUTED_VALUE"""),-81.888349)</f>
        <v>-81.888349000000005</v>
      </c>
      <c r="AW2468" s="8"/>
      <c r="AX2468" s="8">
        <f ca="1">IFERROR(__xludf.DUMMYFUNCTION("""COMPUTED_VALUE"""),34748)</f>
        <v>34748</v>
      </c>
    </row>
    <row r="2469" spans="1:50" ht="90" x14ac:dyDescent="0.2">
      <c r="A2469" s="8" t="str">
        <f ca="1">IFERROR(__xludf.DUMMYFUNCTION("""COMPUTED_VALUE"""),"19980911CAHEG")</f>
        <v>19980911CAHEG</v>
      </c>
      <c r="B2469" s="8">
        <f ca="1">IFERROR(__xludf.DUMMYFUNCTION("""COMPUTED_VALUE"""),9)</f>
        <v>9</v>
      </c>
      <c r="C2469" s="8">
        <f ca="1">IFERROR(__xludf.DUMMYFUNCTION("""COMPUTED_VALUE"""),11)</f>
        <v>11</v>
      </c>
      <c r="D2469" s="8">
        <f ca="1">IFERROR(__xludf.DUMMYFUNCTION("""COMPUTED_VALUE"""),1998)</f>
        <v>1998</v>
      </c>
      <c r="E2469" s="9">
        <f ca="1">IFERROR(__xludf.DUMMYFUNCTION("""COMPUTED_VALUE"""),36049)</f>
        <v>36049</v>
      </c>
      <c r="F2469" s="8" t="str">
        <f ca="1">IFERROR(__xludf.DUMMYFUNCTION("""COMPUTED_VALUE"""),"Herbert Hoover High School")</f>
        <v>Herbert Hoover High School</v>
      </c>
      <c r="G2469" s="8">
        <f ca="1">IFERROR(__xludf.DUMMYFUNCTION("""COMPUTED_VALUE"""),0)</f>
        <v>0</v>
      </c>
      <c r="H2469" s="8">
        <f ca="1">IFERROR(__xludf.DUMMYFUNCTION("""COMPUTED_VALUE"""),1)</f>
        <v>1</v>
      </c>
      <c r="I2469" s="8">
        <f ca="1">IFERROR(__xludf.DUMMYFUNCTION("""COMPUTED_VALUE"""),1)</f>
        <v>1</v>
      </c>
      <c r="J2469" s="8">
        <f ca="1">IFERROR(__xludf.DUMMYFUNCTION("""COMPUTED_VALUE"""),0)</f>
        <v>0</v>
      </c>
      <c r="K2469" s="8" t="str">
        <f ca="1">IFERROR(__xludf.DUMMYFUNCTION("""COMPUTED_VALUE"""),"http://articles.latimes.com/1998/sep/11/local/me-21578 https://www.newspapers.com/image/159940696/?terms=Los%2BAngeles%2BTimes%2BHerbert%2BHoover%2BHigh%2BSchool http://asbarez.com/37240/hoover-high-school-shooting-victim-dies/ https://www.newspapers.com/"&amp;"image/161588840/?terms=Los%2BAngeles%2BTimes%2BHerbert%2BHoover%2BHigh%2BSchool")</f>
        <v>http://articles.latimes.com/1998/sep/11/local/me-21578 https://www.newspapers.com/image/159940696/?terms=Los%2BAngeles%2BTimes%2BHerbert%2BHoover%2BHigh%2BSchool http://asbarez.com/37240/hoover-high-school-shooting-victim-dies/ https://www.newspapers.com/image/161588840/?terms=Los%2BAngeles%2BTimes%2BHerbert%2BHoover%2BHigh%2BSchool</v>
      </c>
      <c r="L2469" s="8"/>
      <c r="M2469" s="8"/>
      <c r="N2469" s="8">
        <f ca="1">IFERROR(__xludf.DUMMYFUNCTION("""COMPUTED_VALUE"""),2)</f>
        <v>2</v>
      </c>
      <c r="O2469" s="8" t="str">
        <f ca="1">IFERROR(__xludf.DUMMYFUNCTION("""COMPUTED_VALUE"""),"Fall")</f>
        <v>Fall</v>
      </c>
      <c r="P2469" s="8" t="str">
        <f ca="1">IFERROR(__xludf.DUMMYFUNCTION("""COMPUTED_VALUE"""),"Glendale")</f>
        <v>Glendale</v>
      </c>
      <c r="Q2469" s="8" t="str">
        <f ca="1">IFERROR(__xludf.DUMMYFUNCTION("""COMPUTED_VALUE"""),"CA")</f>
        <v>CA</v>
      </c>
      <c r="R2469" s="8" t="str">
        <f ca="1">IFERROR(__xludf.DUMMYFUNCTION("""COMPUTED_VALUE"""),"High")</f>
        <v>High</v>
      </c>
      <c r="S2469" s="8" t="str">
        <f ca="1">IFERROR(__xludf.DUMMYFUNCTION("""COMPUTED_VALUE"""),"Parking Lot")</f>
        <v>Parking Lot</v>
      </c>
      <c r="T2469" s="8" t="str">
        <f ca="1">IFERROR(__xludf.DUMMYFUNCTION("""COMPUTED_VALUE"""),"Outside on School Property")</f>
        <v>Outside on School Property</v>
      </c>
      <c r="U2469" s="8" t="str">
        <f ca="1">IFERROR(__xludf.DUMMYFUNCTION("""COMPUTED_VALUE"""),"No")</f>
        <v>No</v>
      </c>
      <c r="V2469" s="8" t="str">
        <f ca="1">IFERROR(__xludf.DUMMYFUNCTION("""COMPUTED_VALUE"""),"After School")</f>
        <v>After School</v>
      </c>
      <c r="W2469" s="8"/>
      <c r="X2469" s="8">
        <f ca="1">IFERROR(__xludf.DUMMYFUNCTION("""COMPUTED_VALUE"""),1)</f>
        <v>1</v>
      </c>
      <c r="Y2469" s="12" t="str">
        <f ca="1">IFERROR(__xludf.DUMMYFUNCTION("""COMPUTED_VALUE"""),"Gang fight in parking lot, one shot (student involved in fight)")</f>
        <v>Gang fight in parking lot, one shot (student involved in fight)</v>
      </c>
      <c r="Z2469" s="12" t="str">
        <f ca="1">IFERROR(__xludf.DUMMYFUNCTION("""COMPUTED_VALUE"""),"Fight between two groups of gang members in the parking lot. FIght started during school, however, participants decided to continue the fight after school. Started as a fist fight but a gun was pulled and shot was fired injuring one student (gang member)."&amp;" Injured victim died a few days later from gunshot wound/failing organs.")</f>
        <v>Fight between two groups of gang members in the parking lot. FIght started during school, however, participants decided to continue the fight after school. Started as a fist fight but a gun was pulled and shot was fired injuring one student (gang member). Injured victim died a few days later from gunshot wound/failing organs.</v>
      </c>
      <c r="AA2469" s="8" t="str">
        <f ca="1">IFERROR(__xludf.DUMMYFUNCTION("""COMPUTED_VALUE"""),"Escalation of Dispute")</f>
        <v>Escalation of Dispute</v>
      </c>
      <c r="AB2469" s="8"/>
      <c r="AC2469" s="8"/>
      <c r="AD2469" s="8" t="str">
        <f ca="1">IFERROR(__xludf.DUMMYFUNCTION("""COMPUTED_VALUE"""),"Victims Targeted")</f>
        <v>Victims Targeted</v>
      </c>
      <c r="AE2469" s="8" t="str">
        <f ca="1">IFERROR(__xludf.DUMMYFUNCTION("""COMPUTED_VALUE"""),"No")</f>
        <v>No</v>
      </c>
      <c r="AF2469" s="8"/>
      <c r="AG2469" s="8" t="str">
        <f ca="1">IFERROR(__xludf.DUMMYFUNCTION("""COMPUTED_VALUE"""),"No")</f>
        <v>No</v>
      </c>
      <c r="AH2469" s="8" t="str">
        <f ca="1">IFERROR(__xludf.DUMMYFUNCTION("""COMPUTED_VALUE"""),"No")</f>
        <v>No</v>
      </c>
      <c r="AI2469" s="8" t="str">
        <f ca="1">IFERROR(__xludf.DUMMYFUNCTION("""COMPUTED_VALUE"""),"No")</f>
        <v>No</v>
      </c>
      <c r="AJ2469" s="8" t="str">
        <f ca="1">IFERROR(__xludf.DUMMYFUNCTION("""COMPUTED_VALUE"""),"No")</f>
        <v>No</v>
      </c>
      <c r="AK2469" s="8" t="str">
        <f ca="1">IFERROR(__xludf.DUMMYFUNCTION("""COMPUTED_VALUE"""),"No")</f>
        <v>No</v>
      </c>
      <c r="AL2469" s="8" t="str">
        <f ca="1">IFERROR(__xludf.DUMMYFUNCTION("""COMPUTED_VALUE"""),"Yes")</f>
        <v>Yes</v>
      </c>
      <c r="AM2469" s="8"/>
      <c r="AN2469" s="8"/>
      <c r="AO2469" s="8" t="str">
        <f ca="1">IFERROR(__xludf.DUMMYFUNCTION("""COMPUTED_VALUE"""),"No")</f>
        <v>No</v>
      </c>
      <c r="AP2469" s="8"/>
      <c r="AQ2469" s="8" t="str">
        <f ca="1">IFERROR(__xludf.DUMMYFUNCTION("""COMPUTED_VALUE"""),"Unknown")</f>
        <v>Unknown</v>
      </c>
      <c r="AR2469" s="8" t="str">
        <f ca="1">IFERROR(__xludf.DUMMYFUNCTION("""COMPUTED_VALUE"""),"NA")</f>
        <v>NA</v>
      </c>
      <c r="AS2469" s="8"/>
      <c r="AT2469" s="8"/>
      <c r="AU2469" s="8">
        <f ca="1">IFERROR(__xludf.DUMMYFUNCTION("""COMPUTED_VALUE"""),34.16571)</f>
        <v>34.165709999999997</v>
      </c>
      <c r="AV2469" s="8">
        <f ca="1">IFERROR(__xludf.DUMMYFUNCTION("""COMPUTED_VALUE"""),-118.270531)</f>
        <v>-118.27053100000001</v>
      </c>
      <c r="AW2469" s="8"/>
      <c r="AX2469" s="8">
        <f ca="1">IFERROR(__xludf.DUMMYFUNCTION("""COMPUTED_VALUE"""),91202)</f>
        <v>91202</v>
      </c>
    </row>
    <row r="2470" spans="1:50" ht="150" x14ac:dyDescent="0.2">
      <c r="A2470" s="8" t="str">
        <f ca="1">IFERROR(__xludf.DUMMYFUNCTION("""COMPUTED_VALUE"""),"19980615VAARR")</f>
        <v>19980615VAARR</v>
      </c>
      <c r="B2470" s="8">
        <f ca="1">IFERROR(__xludf.DUMMYFUNCTION("""COMPUTED_VALUE"""),6)</f>
        <v>6</v>
      </c>
      <c r="C2470" s="8">
        <f ca="1">IFERROR(__xludf.DUMMYFUNCTION("""COMPUTED_VALUE"""),15)</f>
        <v>15</v>
      </c>
      <c r="D2470" s="8">
        <f ca="1">IFERROR(__xludf.DUMMYFUNCTION("""COMPUTED_VALUE"""),1998)</f>
        <v>1998</v>
      </c>
      <c r="E2470" s="9">
        <f ca="1">IFERROR(__xludf.DUMMYFUNCTION("""COMPUTED_VALUE"""),35961)</f>
        <v>35961</v>
      </c>
      <c r="F2470" s="8" t="str">
        <f ca="1">IFERROR(__xludf.DUMMYFUNCTION("""COMPUTED_VALUE"""),"Armstrong High School")</f>
        <v>Armstrong High School</v>
      </c>
      <c r="G2470" s="8">
        <f ca="1">IFERROR(__xludf.DUMMYFUNCTION("""COMPUTED_VALUE"""),0)</f>
        <v>0</v>
      </c>
      <c r="H2470" s="8">
        <f ca="1">IFERROR(__xludf.DUMMYFUNCTION("""COMPUTED_VALUE"""),2)</f>
        <v>2</v>
      </c>
      <c r="I2470" s="8">
        <f ca="1">IFERROR(__xludf.DUMMYFUNCTION("""COMPUTED_VALUE"""),2)</f>
        <v>2</v>
      </c>
      <c r="J2470" s="8">
        <f ca="1">IFERROR(__xludf.DUMMYFUNCTION("""COMPUTED_VALUE"""),0)</f>
        <v>0</v>
      </c>
      <c r="K2470" s="8" t="str">
        <f ca="1">IFERROR(__xludf.DUMMYFUNCTION("""COMPUTED_VALUE"""),"http://www.cnn.com/US/9806/15/school.shooting.04/ https://www.washingtonpost.com/archive/politics/1998/06/16/2-are-shot-at-school-in-richmond/1d6d5635-2da4-4b2b-b895-c687300ff9a2/ https://www.deseret.com/1998/6/15/19385929/teacher-employee-shot-wounded-at"&amp;"-virginia-high-school https://www.nytimes.com/1998/06/17/us/boy-is-charged-as-adult-in-richmond-shooting.html")</f>
        <v>http://www.cnn.com/US/9806/15/school.shooting.04/ https://www.washingtonpost.com/archive/politics/1998/06/16/2-are-shot-at-school-in-richmond/1d6d5635-2da4-4b2b-b895-c687300ff9a2/ https://www.deseret.com/1998/6/15/19385929/teacher-employee-shot-wounded-at-virginia-high-school https://www.nytimes.com/1998/06/17/us/boy-is-charged-as-adult-in-richmond-shooting.html</v>
      </c>
      <c r="L2470" s="8"/>
      <c r="M2470" s="8"/>
      <c r="N2470" s="8">
        <f ca="1">IFERROR(__xludf.DUMMYFUNCTION("""COMPUTED_VALUE"""),2)</f>
        <v>2</v>
      </c>
      <c r="O2470" s="8" t="str">
        <f ca="1">IFERROR(__xludf.DUMMYFUNCTION("""COMPUTED_VALUE"""),"Summer")</f>
        <v>Summer</v>
      </c>
      <c r="P2470" s="8" t="str">
        <f ca="1">IFERROR(__xludf.DUMMYFUNCTION("""COMPUTED_VALUE"""),"Richmond")</f>
        <v>Richmond</v>
      </c>
      <c r="Q2470" s="8" t="str">
        <f ca="1">IFERROR(__xludf.DUMMYFUNCTION("""COMPUTED_VALUE"""),"VA")</f>
        <v>VA</v>
      </c>
      <c r="R2470" s="8" t="str">
        <f ca="1">IFERROR(__xludf.DUMMYFUNCTION("""COMPUTED_VALUE"""),"High")</f>
        <v>High</v>
      </c>
      <c r="S2470" s="8" t="str">
        <f ca="1">IFERROR(__xludf.DUMMYFUNCTION("""COMPUTED_VALUE"""),"Hallway")</f>
        <v>Hallway</v>
      </c>
      <c r="T2470" s="8" t="str">
        <f ca="1">IFERROR(__xludf.DUMMYFUNCTION("""COMPUTED_VALUE"""),"Inside School Building")</f>
        <v>Inside School Building</v>
      </c>
      <c r="U2470" s="8" t="str">
        <f ca="1">IFERROR(__xludf.DUMMYFUNCTION("""COMPUTED_VALUE"""),"Yes")</f>
        <v>Yes</v>
      </c>
      <c r="V2470" s="8" t="str">
        <f ca="1">IFERROR(__xludf.DUMMYFUNCTION("""COMPUTED_VALUE"""),"Morning Classes")</f>
        <v>Morning Classes</v>
      </c>
      <c r="W2470" s="11">
        <f ca="1">IFERROR(__xludf.DUMMYFUNCTION("""COMPUTED_VALUE"""),0.416666666666666)</f>
        <v>0.41666666666666602</v>
      </c>
      <c r="X2470" s="8">
        <f ca="1">IFERROR(__xludf.DUMMYFUNCTION("""COMPUTED_VALUE"""),1)</f>
        <v>1</v>
      </c>
      <c r="Y2470" s="12" t="str">
        <f ca="1">IFERROR(__xludf.DUMMYFUNCTION("""COMPUTED_VALUE"""),"Fight (escalated) between juveniles, two teachers struck")</f>
        <v>Fight (escalated) between juveniles, two teachers struck</v>
      </c>
      <c r="Z2470" s="12" t="str">
        <f ca="1">IFERROR(__xludf.DUMMYFUNCTION("""COMPUTED_VALUE"""),"Fight between two students inside the school escalated into a shooting. Shooter brought out gun and fired 10 shots into a crowded hallway. A teacher and teacher's aide were hit. A police officer assigned to the school chased the fleeing shooter to a woode"&amp;"d area outside of the school where he was arrested. Media reported the school had an ongoing issue with large fights involving multiple students. These fights were more common at the end of the school year because students from different neighborhoods kne"&amp;"w they wouldn't see each other over summer break.")</f>
        <v>Fight between two students inside the school escalated into a shooting. Shooter brought out gun and fired 10 shots into a crowded hallway. A teacher and teacher's aide were hit. A police officer assigned to the school chased the fleeing shooter to a wooded area outside of the school where he was arrested. Media reported the school had an ongoing issue with large fights involving multiple students. These fights were more common at the end of the school year because students from different neighborhoods knew they wouldn't see each other over summer break.</v>
      </c>
      <c r="AA2470" s="8" t="str">
        <f ca="1">IFERROR(__xludf.DUMMYFUNCTION("""COMPUTED_VALUE"""),"Escalation of Dispute")</f>
        <v>Escalation of Dispute</v>
      </c>
      <c r="AB2470" s="8"/>
      <c r="AC2470" s="8"/>
      <c r="AD2470" s="8" t="str">
        <f ca="1">IFERROR(__xludf.DUMMYFUNCTION("""COMPUTED_VALUE"""),"Both")</f>
        <v>Both</v>
      </c>
      <c r="AE2470" s="8" t="str">
        <f ca="1">IFERROR(__xludf.DUMMYFUNCTION("""COMPUTED_VALUE"""),"No")</f>
        <v>No</v>
      </c>
      <c r="AF2470" s="8"/>
      <c r="AG2470" s="8" t="str">
        <f ca="1">IFERROR(__xludf.DUMMYFUNCTION("""COMPUTED_VALUE"""),"No")</f>
        <v>No</v>
      </c>
      <c r="AH2470" s="8" t="str">
        <f ca="1">IFERROR(__xludf.DUMMYFUNCTION("""COMPUTED_VALUE"""),"No")</f>
        <v>No</v>
      </c>
      <c r="AI2470" s="8" t="str">
        <f ca="1">IFERROR(__xludf.DUMMYFUNCTION("""COMPUTED_VALUE"""),"No")</f>
        <v>No</v>
      </c>
      <c r="AJ2470" s="8"/>
      <c r="AK2470" s="8" t="str">
        <f ca="1">IFERROR(__xludf.DUMMYFUNCTION("""COMPUTED_VALUE"""),"No")</f>
        <v>No</v>
      </c>
      <c r="AL2470" s="8" t="str">
        <f ca="1">IFERROR(__xludf.DUMMYFUNCTION("""COMPUTED_VALUE"""),"Yes")</f>
        <v>Yes</v>
      </c>
      <c r="AM2470" s="8"/>
      <c r="AN2470" s="8"/>
      <c r="AO2470" s="8" t="str">
        <f ca="1">IFERROR(__xludf.DUMMYFUNCTION("""COMPUTED_VALUE"""),"No")</f>
        <v>No</v>
      </c>
      <c r="AP2470" s="8"/>
      <c r="AQ2470" s="8" t="str">
        <f ca="1">IFERROR(__xludf.DUMMYFUNCTION("""COMPUTED_VALUE"""),"Unknown")</f>
        <v>Unknown</v>
      </c>
      <c r="AR2470" s="8" t="str">
        <f ca="1">IFERROR(__xludf.DUMMYFUNCTION("""COMPUTED_VALUE"""),"NA")</f>
        <v>NA</v>
      </c>
      <c r="AS2470" s="8">
        <f ca="1">IFERROR(__xludf.DUMMYFUNCTION("""COMPUTED_VALUE"""),10)</f>
        <v>10</v>
      </c>
      <c r="AT2470" s="8"/>
      <c r="AU2470" s="8">
        <f ca="1">IFERROR(__xludf.DUMMYFUNCTION("""COMPUTED_VALUE"""),37.552445)</f>
        <v>37.552444999999999</v>
      </c>
      <c r="AV2470" s="8">
        <f ca="1">IFERROR(__xludf.DUMMYFUNCTION("""COMPUTED_VALUE"""),-77.403886)</f>
        <v>-77.403886</v>
      </c>
      <c r="AW2470" s="8"/>
      <c r="AX2470" s="8">
        <f ca="1">IFERROR(__xludf.DUMMYFUNCTION("""COMPUTED_VALUE"""),23223)</f>
        <v>23223</v>
      </c>
    </row>
    <row r="2471" spans="1:50" ht="60" x14ac:dyDescent="0.2">
      <c r="A2471" s="8" t="str">
        <f ca="1">IFERROR(__xludf.DUMMYFUNCTION("""COMPUTED_VALUE"""),"19980529FLSTF")</f>
        <v>19980529FLSTF</v>
      </c>
      <c r="B2471" s="8">
        <f ca="1">IFERROR(__xludf.DUMMYFUNCTION("""COMPUTED_VALUE"""),5)</f>
        <v>5</v>
      </c>
      <c r="C2471" s="8">
        <f ca="1">IFERROR(__xludf.DUMMYFUNCTION("""COMPUTED_VALUE"""),29)</f>
        <v>29</v>
      </c>
      <c r="D2471" s="8">
        <f ca="1">IFERROR(__xludf.DUMMYFUNCTION("""COMPUTED_VALUE"""),1998)</f>
        <v>1998</v>
      </c>
      <c r="E2471" s="9">
        <f ca="1">IFERROR(__xludf.DUMMYFUNCTION("""COMPUTED_VALUE"""),35944)</f>
        <v>35944</v>
      </c>
      <c r="F2471" s="8" t="str">
        <f ca="1">IFERROR(__xludf.DUMMYFUNCTION("""COMPUTED_VALUE"""),"Stranahan High School")</f>
        <v>Stranahan High School</v>
      </c>
      <c r="G2471" s="8">
        <f ca="1">IFERROR(__xludf.DUMMYFUNCTION("""COMPUTED_VALUE"""),1)</f>
        <v>1</v>
      </c>
      <c r="H2471" s="8">
        <f ca="1">IFERROR(__xludf.DUMMYFUNCTION("""COMPUTED_VALUE"""),0)</f>
        <v>0</v>
      </c>
      <c r="I2471" s="8">
        <f ca="1">IFERROR(__xludf.DUMMYFUNCTION("""COMPUTED_VALUE"""),1)</f>
        <v>1</v>
      </c>
      <c r="J2471" s="8">
        <f ca="1">IFERROR(__xludf.DUMMYFUNCTION("""COMPUTED_VALUE"""),1)</f>
        <v>1</v>
      </c>
      <c r="K2471" s="8" t="str">
        <f ca="1">IFERROR(__xludf.DUMMYFUNCTION("""COMPUTED_VALUE"""),"http://www.cnn.com/US/9805/29/briefs/school.shooting/index.html  https://www.newspapers.com/image/207867770/?terms=shot%2Bin%2Bhigh%2Bschool%2Bparking%2Blot https://www.newspapers.com/image/239008999/ https://www.chicagotribune.com/news/ct-xpm-1998-05-30-"&amp;"9805300127-story.html")</f>
        <v>http://www.cnn.com/US/9805/29/briefs/school.shooting/index.html  https://www.newspapers.com/image/207867770/?terms=shot%2Bin%2Bhigh%2Bschool%2Bparking%2Blot https://www.newspapers.com/image/239008999/ https://www.chicagotribune.com/news/ct-xpm-1998-05-30-9805300127-story.html</v>
      </c>
      <c r="L2471" s="8"/>
      <c r="M2471" s="8"/>
      <c r="N2471" s="8">
        <f ca="1">IFERROR(__xludf.DUMMYFUNCTION("""COMPUTED_VALUE"""),2)</f>
        <v>2</v>
      </c>
      <c r="O2471" s="8" t="str">
        <f ca="1">IFERROR(__xludf.DUMMYFUNCTION("""COMPUTED_VALUE"""),"Spring")</f>
        <v>Spring</v>
      </c>
      <c r="P2471" s="8" t="str">
        <f ca="1">IFERROR(__xludf.DUMMYFUNCTION("""COMPUTED_VALUE"""),"Ft. Lauderdale")</f>
        <v>Ft. Lauderdale</v>
      </c>
      <c r="Q2471" s="8" t="str">
        <f ca="1">IFERROR(__xludf.DUMMYFUNCTION("""COMPUTED_VALUE"""),"FL")</f>
        <v>FL</v>
      </c>
      <c r="R2471" s="8" t="str">
        <f ca="1">IFERROR(__xludf.DUMMYFUNCTION("""COMPUTED_VALUE"""),"High")</f>
        <v>High</v>
      </c>
      <c r="S2471" s="8" t="str">
        <f ca="1">IFERROR(__xludf.DUMMYFUNCTION("""COMPUTED_VALUE"""),"Parking Lot")</f>
        <v>Parking Lot</v>
      </c>
      <c r="T2471" s="8" t="str">
        <f ca="1">IFERROR(__xludf.DUMMYFUNCTION("""COMPUTED_VALUE"""),"Outside on School Property")</f>
        <v>Outside on School Property</v>
      </c>
      <c r="U2471" s="8" t="str">
        <f ca="1">IFERROR(__xludf.DUMMYFUNCTION("""COMPUTED_VALUE"""),"Yes")</f>
        <v>Yes</v>
      </c>
      <c r="V2471" s="8" t="str">
        <f ca="1">IFERROR(__xludf.DUMMYFUNCTION("""COMPUTED_VALUE"""),"School Start")</f>
        <v>School Start</v>
      </c>
      <c r="W2471" s="11">
        <f ca="1">IFERROR(__xludf.DUMMYFUNCTION("""COMPUTED_VALUE"""),0.313888888888888)</f>
        <v>0.313888888888888</v>
      </c>
      <c r="X2471" s="8">
        <f ca="1">IFERROR(__xludf.DUMMYFUNCTION("""COMPUTED_VALUE"""),1)</f>
        <v>1</v>
      </c>
      <c r="Y2471" s="12" t="str">
        <f ca="1">IFERROR(__xludf.DUMMYFUNCTION("""COMPUTED_VALUE"""),"Murder suicide after breakup, victim was teacher")</f>
        <v>Murder suicide after breakup, victim was teacher</v>
      </c>
      <c r="Z2471" s="12" t="str">
        <f ca="1">IFERROR(__xludf.DUMMYFUNCTION("""COMPUTED_VALUE"""),"29 year-old male waited for 26 year-old ex-girlfriend to arrive in school parking lot. Shooter then proceeded to murder ex-girlfriend and kill himself because of the breakup. Female was a teacher at the school.")</f>
        <v>29 year-old male waited for 26 year-old ex-girlfriend to arrive in school parking lot. Shooter then proceeded to murder ex-girlfriend and kill himself because of the breakup. Female was a teacher at the school.</v>
      </c>
      <c r="AA2471" s="8" t="str">
        <f ca="1">IFERROR(__xludf.DUMMYFUNCTION("""COMPUTED_VALUE"""),"Murder/Suicide")</f>
        <v>Murder/Suicide</v>
      </c>
      <c r="AB2471" s="8"/>
      <c r="AC2471" s="8"/>
      <c r="AD2471" s="8" t="str">
        <f ca="1">IFERROR(__xludf.DUMMYFUNCTION("""COMPUTED_VALUE"""),"Victims Targeted")</f>
        <v>Victims Targeted</v>
      </c>
      <c r="AE2471" s="8" t="str">
        <f ca="1">IFERROR(__xludf.DUMMYFUNCTION("""COMPUTED_VALUE"""),"No")</f>
        <v>No</v>
      </c>
      <c r="AF2471" s="8"/>
      <c r="AG2471" s="8" t="str">
        <f ca="1">IFERROR(__xludf.DUMMYFUNCTION("""COMPUTED_VALUE"""),"No")</f>
        <v>No</v>
      </c>
      <c r="AH2471" s="8" t="str">
        <f ca="1">IFERROR(__xludf.DUMMYFUNCTION("""COMPUTED_VALUE"""),"No")</f>
        <v>No</v>
      </c>
      <c r="AI2471" s="8" t="str">
        <f ca="1">IFERROR(__xludf.DUMMYFUNCTION("""COMPUTED_VALUE"""),"No")</f>
        <v>No</v>
      </c>
      <c r="AJ2471" s="8" t="str">
        <f ca="1">IFERROR(__xludf.DUMMYFUNCTION("""COMPUTED_VALUE"""),"No")</f>
        <v>No</v>
      </c>
      <c r="AK2471" s="8" t="str">
        <f ca="1">IFERROR(__xludf.DUMMYFUNCTION("""COMPUTED_VALUE"""),"Yes")</f>
        <v>Yes</v>
      </c>
      <c r="AL2471" s="8" t="str">
        <f ca="1">IFERROR(__xludf.DUMMYFUNCTION("""COMPUTED_VALUE"""),"No")</f>
        <v>No</v>
      </c>
      <c r="AM2471" s="8" t="str">
        <f ca="1">IFERROR(__xludf.DUMMYFUNCTION("""COMPUTED_VALUE"""),"No")</f>
        <v>No</v>
      </c>
      <c r="AN2471" s="8"/>
      <c r="AO2471" s="8" t="str">
        <f ca="1">IFERROR(__xludf.DUMMYFUNCTION("""COMPUTED_VALUE"""),"No")</f>
        <v>No</v>
      </c>
      <c r="AP2471" s="8"/>
      <c r="AQ2471" s="8" t="str">
        <f ca="1">IFERROR(__xludf.DUMMYFUNCTION("""COMPUTED_VALUE"""),"Unknown")</f>
        <v>Unknown</v>
      </c>
      <c r="AR2471" s="8" t="str">
        <f ca="1">IFERROR(__xludf.DUMMYFUNCTION("""COMPUTED_VALUE"""),"NA")</f>
        <v>NA</v>
      </c>
      <c r="AS2471" s="8"/>
      <c r="AT2471" s="8"/>
      <c r="AU2471" s="8">
        <f ca="1">IFERROR(__xludf.DUMMYFUNCTION("""COMPUTED_VALUE"""),26.112791)</f>
        <v>26.112791000000001</v>
      </c>
      <c r="AV2471" s="8">
        <f ca="1">IFERROR(__xludf.DUMMYFUNCTION("""COMPUTED_VALUE"""),-80.164506)</f>
        <v>-80.164506000000003</v>
      </c>
      <c r="AW2471" s="8"/>
      <c r="AX2471" s="8">
        <f ca="1">IFERROR(__xludf.DUMMYFUNCTION("""COMPUTED_VALUE"""),33312)</f>
        <v>33312</v>
      </c>
    </row>
    <row r="2472" spans="1:50" ht="45" x14ac:dyDescent="0.2">
      <c r="A2472" s="8" t="str">
        <f ca="1">IFERROR(__xludf.DUMMYFUNCTION("""COMPUTED_VALUE"""),"19980527CAWAP")</f>
        <v>19980527CAWAP</v>
      </c>
      <c r="B2472" s="8">
        <f ca="1">IFERROR(__xludf.DUMMYFUNCTION("""COMPUTED_VALUE"""),5)</f>
        <v>5</v>
      </c>
      <c r="C2472" s="8">
        <f ca="1">IFERROR(__xludf.DUMMYFUNCTION("""COMPUTED_VALUE"""),27)</f>
        <v>27</v>
      </c>
      <c r="D2472" s="8">
        <f ca="1">IFERROR(__xludf.DUMMYFUNCTION("""COMPUTED_VALUE"""),1998)</f>
        <v>1998</v>
      </c>
      <c r="E2472" s="9">
        <f ca="1">IFERROR(__xludf.DUMMYFUNCTION("""COMPUTED_VALUE"""),35942)</f>
        <v>35942</v>
      </c>
      <c r="F2472" s="8" t="str">
        <f ca="1">IFERROR(__xludf.DUMMYFUNCTION("""COMPUTED_VALUE"""),"Washington Middle School")</f>
        <v>Washington Middle School</v>
      </c>
      <c r="G2472" s="8">
        <f ca="1">IFERROR(__xludf.DUMMYFUNCTION("""COMPUTED_VALUE"""),2)</f>
        <v>2</v>
      </c>
      <c r="H2472" s="8">
        <f ca="1">IFERROR(__xludf.DUMMYFUNCTION("""COMPUTED_VALUE"""),0)</f>
        <v>0</v>
      </c>
      <c r="I2472" s="8">
        <f ca="1">IFERROR(__xludf.DUMMYFUNCTION("""COMPUTED_VALUE"""),2)</f>
        <v>2</v>
      </c>
      <c r="J2472" s="8">
        <f ca="1">IFERROR(__xludf.DUMMYFUNCTION("""COMPUTED_VALUE"""),0)</f>
        <v>0</v>
      </c>
      <c r="K2472" s="8" t="str">
        <f ca="1">IFERROR(__xludf.DUMMYFUNCTION("""COMPUTED_VALUE"""),"https://www.newspapers.com/image/158790488/?terms=Washington%2BMiddle%2BSchool%2BLos%2BAngeles%2BTimes https://en.wikipedia.org/wiki/List_of_attacks_related_to_secondary_schools")</f>
        <v>https://www.newspapers.com/image/158790488/?terms=Washington%2BMiddle%2BSchool%2BLos%2BAngeles%2BTimes https://en.wikipedia.org/wiki/List_of_attacks_related_to_secondary_schools</v>
      </c>
      <c r="L2472" s="8"/>
      <c r="M2472" s="8"/>
      <c r="N2472" s="8">
        <f ca="1">IFERROR(__xludf.DUMMYFUNCTION("""COMPUTED_VALUE"""),1)</f>
        <v>1</v>
      </c>
      <c r="O2472" s="8" t="str">
        <f ca="1">IFERROR(__xludf.DUMMYFUNCTION("""COMPUTED_VALUE"""),"Spring")</f>
        <v>Spring</v>
      </c>
      <c r="P2472" s="8" t="str">
        <f ca="1">IFERROR(__xludf.DUMMYFUNCTION("""COMPUTED_VALUE"""),"Pasadena")</f>
        <v>Pasadena</v>
      </c>
      <c r="Q2472" s="8" t="str">
        <f ca="1">IFERROR(__xludf.DUMMYFUNCTION("""COMPUTED_VALUE"""),"CA")</f>
        <v>CA</v>
      </c>
      <c r="R2472" s="8" t="str">
        <f ca="1">IFERROR(__xludf.DUMMYFUNCTION("""COMPUTED_VALUE"""),"Middle")</f>
        <v>Middle</v>
      </c>
      <c r="S2472" s="8" t="str">
        <f ca="1">IFERROR(__xludf.DUMMYFUNCTION("""COMPUTED_VALUE"""),"Beside Building")</f>
        <v>Beside Building</v>
      </c>
      <c r="T2472" s="8" t="str">
        <f ca="1">IFERROR(__xludf.DUMMYFUNCTION("""COMPUTED_VALUE"""),"Outside on School Property")</f>
        <v>Outside on School Property</v>
      </c>
      <c r="U2472" s="8" t="str">
        <f ca="1">IFERROR(__xludf.DUMMYFUNCTION("""COMPUTED_VALUE"""),"No")</f>
        <v>No</v>
      </c>
      <c r="V2472" s="8" t="str">
        <f ca="1">IFERROR(__xludf.DUMMYFUNCTION("""COMPUTED_VALUE"""),"Evening")</f>
        <v>Evening</v>
      </c>
      <c r="W2472" s="11">
        <f ca="1">IFERROR(__xludf.DUMMYFUNCTION("""COMPUTED_VALUE"""),0.760416666666666)</f>
        <v>0.76041666666666596</v>
      </c>
      <c r="X2472" s="8">
        <f ca="1">IFERROR(__xludf.DUMMYFUNCTION("""COMPUTED_VALUE"""),1)</f>
        <v>1</v>
      </c>
      <c r="Y2472" s="12" t="str">
        <f ca="1">IFERROR(__xludf.DUMMYFUNCTION("""COMPUTED_VALUE"""),"Gang related shooting outside of school")</f>
        <v>Gang related shooting outside of school</v>
      </c>
      <c r="Z2472" s="12" t="str">
        <f ca="1">IFERROR(__xludf.DUMMYFUNCTION("""COMPUTED_VALUE"""),"14 year-old male and 20 year-old male killed in gang related shooting outside of middle school during evening. Unclear if either were students. No suspect identified.")</f>
        <v>14 year-old male and 20 year-old male killed in gang related shooting outside of middle school during evening. Unclear if either were students. No suspect identified.</v>
      </c>
      <c r="AA2472" s="8" t="str">
        <f ca="1">IFERROR(__xludf.DUMMYFUNCTION("""COMPUTED_VALUE"""),"Escalation of Dispute")</f>
        <v>Escalation of Dispute</v>
      </c>
      <c r="AB2472" s="8"/>
      <c r="AC2472" s="8"/>
      <c r="AD2472" s="8" t="str">
        <f ca="1">IFERROR(__xludf.DUMMYFUNCTION("""COMPUTED_VALUE"""),"Victims Targeted")</f>
        <v>Victims Targeted</v>
      </c>
      <c r="AE2472" s="8" t="str">
        <f ca="1">IFERROR(__xludf.DUMMYFUNCTION("""COMPUTED_VALUE"""),"No")</f>
        <v>No</v>
      </c>
      <c r="AF2472" s="8"/>
      <c r="AG2472" s="8" t="str">
        <f ca="1">IFERROR(__xludf.DUMMYFUNCTION("""COMPUTED_VALUE"""),"No")</f>
        <v>No</v>
      </c>
      <c r="AH2472" s="8" t="str">
        <f ca="1">IFERROR(__xludf.DUMMYFUNCTION("""COMPUTED_VALUE"""),"No")</f>
        <v>No</v>
      </c>
      <c r="AI2472" s="8" t="str">
        <f ca="1">IFERROR(__xludf.DUMMYFUNCTION("""COMPUTED_VALUE"""),"No")</f>
        <v>No</v>
      </c>
      <c r="AJ2472" s="8" t="str">
        <f ca="1">IFERROR(__xludf.DUMMYFUNCTION("""COMPUTED_VALUE"""),"No")</f>
        <v>No</v>
      </c>
      <c r="AK2472" s="8" t="str">
        <f ca="1">IFERROR(__xludf.DUMMYFUNCTION("""COMPUTED_VALUE"""),"No")</f>
        <v>No</v>
      </c>
      <c r="AL2472" s="8" t="str">
        <f ca="1">IFERROR(__xludf.DUMMYFUNCTION("""COMPUTED_VALUE"""),"Yes")</f>
        <v>Yes</v>
      </c>
      <c r="AM2472" s="8"/>
      <c r="AN2472" s="8"/>
      <c r="AO2472" s="8" t="str">
        <f ca="1">IFERROR(__xludf.DUMMYFUNCTION("""COMPUTED_VALUE"""),"No")</f>
        <v>No</v>
      </c>
      <c r="AP2472" s="8"/>
      <c r="AQ2472" s="8" t="str">
        <f ca="1">IFERROR(__xludf.DUMMYFUNCTION("""COMPUTED_VALUE"""),"Unknown")</f>
        <v>Unknown</v>
      </c>
      <c r="AR2472" s="8" t="str">
        <f ca="1">IFERROR(__xludf.DUMMYFUNCTION("""COMPUTED_VALUE"""),"NA")</f>
        <v>NA</v>
      </c>
      <c r="AS2472" s="8"/>
      <c r="AT2472" s="8"/>
      <c r="AU2472" s="8">
        <f ca="1">IFERROR(__xludf.DUMMYFUNCTION("""COMPUTED_VALUE"""),34.171705)</f>
        <v>34.171705000000003</v>
      </c>
      <c r="AV2472" s="8">
        <f ca="1">IFERROR(__xludf.DUMMYFUNCTION("""COMPUTED_VALUE"""),-118.147336)</f>
        <v>-118.147336</v>
      </c>
      <c r="AW2472" s="8"/>
      <c r="AX2472" s="8">
        <f ca="1">IFERROR(__xludf.DUMMYFUNCTION("""COMPUTED_VALUE"""),91109)</f>
        <v>91109</v>
      </c>
    </row>
    <row r="2473" spans="1:50" ht="120" x14ac:dyDescent="0.2">
      <c r="A2473" s="8" t="str">
        <f ca="1">IFERROR(__xludf.DUMMYFUNCTION("""COMPUTED_VALUE"""),"19980521WAONO")</f>
        <v>19980521WAONO</v>
      </c>
      <c r="B2473" s="8">
        <f ca="1">IFERROR(__xludf.DUMMYFUNCTION("""COMPUTED_VALUE"""),5)</f>
        <v>5</v>
      </c>
      <c r="C2473" s="8">
        <f ca="1">IFERROR(__xludf.DUMMYFUNCTION("""COMPUTED_VALUE"""),21)</f>
        <v>21</v>
      </c>
      <c r="D2473" s="8">
        <f ca="1">IFERROR(__xludf.DUMMYFUNCTION("""COMPUTED_VALUE"""),1998)</f>
        <v>1998</v>
      </c>
      <c r="E2473" s="9">
        <f ca="1">IFERROR(__xludf.DUMMYFUNCTION("""COMPUTED_VALUE"""),35936)</f>
        <v>35936</v>
      </c>
      <c r="F2473" s="8" t="str">
        <f ca="1">IFERROR(__xludf.DUMMYFUNCTION("""COMPUTED_VALUE"""),"Onalaska High School")</f>
        <v>Onalaska High School</v>
      </c>
      <c r="G2473" s="8">
        <f ca="1">IFERROR(__xludf.DUMMYFUNCTION("""COMPUTED_VALUE"""),0)</f>
        <v>0</v>
      </c>
      <c r="H2473" s="8">
        <f ca="1">IFERROR(__xludf.DUMMYFUNCTION("""COMPUTED_VALUE"""),0)</f>
        <v>0</v>
      </c>
      <c r="I2473" s="8">
        <f ca="1">IFERROR(__xludf.DUMMYFUNCTION("""COMPUTED_VALUE"""),0)</f>
        <v>0</v>
      </c>
      <c r="J2473" s="8">
        <f ca="1">IFERROR(__xludf.DUMMYFUNCTION("""COMPUTED_VALUE"""),1)</f>
        <v>1</v>
      </c>
      <c r="K2473" s="8" t="str">
        <f ca="1">IFERROR(__xludf.DUMMYFUNCTION("""COMPUTED_VALUE"""),"https://products.kitsapsun.com/archive/1998/05-23/0003_onalaska__high_school_suicide_rem.html https://products.kitsapsun.com/archive/1998/05-22/0053_boy_orders_girl_off_school_bus__k.html")</f>
        <v>https://products.kitsapsun.com/archive/1998/05-23/0003_onalaska__high_school_suicide_rem.html https://products.kitsapsun.com/archive/1998/05-22/0053_boy_orders_girl_off_school_bus__k.html</v>
      </c>
      <c r="L2473" s="8"/>
      <c r="M2473" s="8"/>
      <c r="N2473" s="8">
        <f ca="1">IFERROR(__xludf.DUMMYFUNCTION("""COMPUTED_VALUE"""),2)</f>
        <v>2</v>
      </c>
      <c r="O2473" s="8" t="str">
        <f ca="1">IFERROR(__xludf.DUMMYFUNCTION("""COMPUTED_VALUE"""),"Spring")</f>
        <v>Spring</v>
      </c>
      <c r="P2473" s="8" t="str">
        <f ca="1">IFERROR(__xludf.DUMMYFUNCTION("""COMPUTED_VALUE"""),"Onalaska")</f>
        <v>Onalaska</v>
      </c>
      <c r="Q2473" s="8" t="str">
        <f ca="1">IFERROR(__xludf.DUMMYFUNCTION("""COMPUTED_VALUE"""),"WA")</f>
        <v>WA</v>
      </c>
      <c r="R2473" s="8" t="str">
        <f ca="1">IFERROR(__xludf.DUMMYFUNCTION("""COMPUTED_VALUE"""),"High")</f>
        <v>High</v>
      </c>
      <c r="S2473" s="8" t="str">
        <f ca="1">IFERROR(__xludf.DUMMYFUNCTION("""COMPUTED_VALUE"""),"School Bus")</f>
        <v>School Bus</v>
      </c>
      <c r="T2473" s="8" t="str">
        <f ca="1">IFERROR(__xludf.DUMMYFUNCTION("""COMPUTED_VALUE"""),"School Bus")</f>
        <v>School Bus</v>
      </c>
      <c r="U2473" s="8" t="str">
        <f ca="1">IFERROR(__xludf.DUMMYFUNCTION("""COMPUTED_VALUE"""),"No")</f>
        <v>No</v>
      </c>
      <c r="V2473" s="8" t="str">
        <f ca="1">IFERROR(__xludf.DUMMYFUNCTION("""COMPUTED_VALUE"""),"Before School")</f>
        <v>Before School</v>
      </c>
      <c r="W2473" s="8"/>
      <c r="X2473" s="8"/>
      <c r="Y2473" s="12" t="str">
        <f ca="1">IFERROR(__xludf.DUMMYFUNCTION("""COMPUTED_VALUE"""),"Pulled gun on bus, ordered girlfriend to get off then shot himself")</f>
        <v>Pulled gun on bus, ordered girlfriend to get off then shot himself</v>
      </c>
      <c r="Z2473" s="12" t="str">
        <f ca="1">IFERROR(__xludf.DUMMYFUNCTION("""COMPUTED_VALUE"""),"15 year-old male pulled a gun on a bus, ordered his girlfriend to get off the bus. Classmates and bus driver told her not to. She continued to get off the bus and follow the shooter to his house. Bus driver then called the school, police, and her parents."&amp;" Once in the house, shooter shot the wall to show the gun was loaded. The girls father then started trying to break the door down. The shooter then killed himself.")</f>
        <v>15 year-old male pulled a gun on a bus, ordered his girlfriend to get off the bus. Classmates and bus driver told her not to. She continued to get off the bus and follow the shooter to his house. Bus driver then called the school, police, and her parents. Once in the house, shooter shot the wall to show the gun was loaded. The girls father then started trying to break the door down. The shooter then killed himself.</v>
      </c>
      <c r="AA2473" s="8" t="str">
        <f ca="1">IFERROR(__xludf.DUMMYFUNCTION("""COMPUTED_VALUE"""),"Suicide/Attempted")</f>
        <v>Suicide/Attempted</v>
      </c>
      <c r="AB2473" s="8"/>
      <c r="AC2473" s="8"/>
      <c r="AD2473" s="8" t="str">
        <f ca="1">IFERROR(__xludf.DUMMYFUNCTION("""COMPUTED_VALUE"""),"Victims Targeted")</f>
        <v>Victims Targeted</v>
      </c>
      <c r="AE2473" s="8" t="str">
        <f ca="1">IFERROR(__xludf.DUMMYFUNCTION("""COMPUTED_VALUE"""),"No")</f>
        <v>No</v>
      </c>
      <c r="AF2473" s="8"/>
      <c r="AG2473" s="8" t="str">
        <f ca="1">IFERROR(__xludf.DUMMYFUNCTION("""COMPUTED_VALUE"""),"No")</f>
        <v>No</v>
      </c>
      <c r="AH2473" s="8" t="str">
        <f ca="1">IFERROR(__xludf.DUMMYFUNCTION("""COMPUTED_VALUE"""),"No")</f>
        <v>No</v>
      </c>
      <c r="AI2473" s="8" t="str">
        <f ca="1">IFERROR(__xludf.DUMMYFUNCTION("""COMPUTED_VALUE"""),"No")</f>
        <v>No</v>
      </c>
      <c r="AJ2473" s="8" t="str">
        <f ca="1">IFERROR(__xludf.DUMMYFUNCTION("""COMPUTED_VALUE"""),"No")</f>
        <v>No</v>
      </c>
      <c r="AK2473" s="8" t="str">
        <f ca="1">IFERROR(__xludf.DUMMYFUNCTION("""COMPUTED_VALUE"""),"Yes")</f>
        <v>Yes</v>
      </c>
      <c r="AL2473" s="8" t="str">
        <f ca="1">IFERROR(__xludf.DUMMYFUNCTION("""COMPUTED_VALUE"""),"No")</f>
        <v>No</v>
      </c>
      <c r="AM2473" s="8"/>
      <c r="AN2473" s="8"/>
      <c r="AO2473" s="8" t="str">
        <f ca="1">IFERROR(__xludf.DUMMYFUNCTION("""COMPUTED_VALUE"""),"No")</f>
        <v>No</v>
      </c>
      <c r="AP2473" s="8"/>
      <c r="AQ2473" s="8" t="str">
        <f ca="1">IFERROR(__xludf.DUMMYFUNCTION("""COMPUTED_VALUE"""),"Unknown")</f>
        <v>Unknown</v>
      </c>
      <c r="AR2473" s="8" t="str">
        <f ca="1">IFERROR(__xludf.DUMMYFUNCTION("""COMPUTED_VALUE"""),"NA")</f>
        <v>NA</v>
      </c>
      <c r="AS2473" s="8">
        <f ca="1">IFERROR(__xludf.DUMMYFUNCTION("""COMPUTED_VALUE"""),1)</f>
        <v>1</v>
      </c>
      <c r="AT2473" s="8"/>
      <c r="AU2473" s="8">
        <f ca="1">IFERROR(__xludf.DUMMYFUNCTION("""COMPUTED_VALUE"""),46.582018)</f>
        <v>46.582017999999998</v>
      </c>
      <c r="AV2473" s="8">
        <f ca="1">IFERROR(__xludf.DUMMYFUNCTION("""COMPUTED_VALUE"""),-122.718822)</f>
        <v>-122.718822</v>
      </c>
      <c r="AW2473" s="8"/>
      <c r="AX2473" s="8">
        <f ca="1">IFERROR(__xludf.DUMMYFUNCTION("""COMPUTED_VALUE"""),98570)</f>
        <v>98570</v>
      </c>
    </row>
    <row r="2474" spans="1:50" ht="285" x14ac:dyDescent="0.2">
      <c r="A2474" s="8" t="str">
        <f ca="1">IFERROR(__xludf.DUMMYFUNCTION("""COMPUTED_VALUE"""),"19980521ORTHS")</f>
        <v>19980521ORTHS</v>
      </c>
      <c r="B2474" s="8">
        <f ca="1">IFERROR(__xludf.DUMMYFUNCTION("""COMPUTED_VALUE"""),5)</f>
        <v>5</v>
      </c>
      <c r="C2474" s="8">
        <f ca="1">IFERROR(__xludf.DUMMYFUNCTION("""COMPUTED_VALUE"""),21)</f>
        <v>21</v>
      </c>
      <c r="D2474" s="8">
        <f ca="1">IFERROR(__xludf.DUMMYFUNCTION("""COMPUTED_VALUE"""),1998)</f>
        <v>1998</v>
      </c>
      <c r="E2474" s="9">
        <f ca="1">IFERROR(__xludf.DUMMYFUNCTION("""COMPUTED_VALUE"""),35936)</f>
        <v>35936</v>
      </c>
      <c r="F2474" s="8" t="str">
        <f ca="1">IFERROR(__xludf.DUMMYFUNCTION("""COMPUTED_VALUE"""),"Thurston High School")</f>
        <v>Thurston High School</v>
      </c>
      <c r="G2474" s="8">
        <f ca="1">IFERROR(__xludf.DUMMYFUNCTION("""COMPUTED_VALUE"""),2)</f>
        <v>2</v>
      </c>
      <c r="H2474" s="8">
        <f ca="1">IFERROR(__xludf.DUMMYFUNCTION("""COMPUTED_VALUE"""),25)</f>
        <v>25</v>
      </c>
      <c r="I2474" s="8">
        <f ca="1">IFERROR(__xludf.DUMMYFUNCTION("""COMPUTED_VALUE"""),27)</f>
        <v>27</v>
      </c>
      <c r="J2474" s="8">
        <f ca="1">IFERROR(__xludf.DUMMYFUNCTION("""COMPUTED_VALUE"""),0)</f>
        <v>0</v>
      </c>
      <c r="K2474" s="8" t="str">
        <f ca="1">IFERROR(__xludf.DUMMYFUNCTION("""COMPUTED_VALUE"""),"https://www.officer.com/tactical/article/12228005/the-1998-thurston-high-school-attack  https://www.npr.org/2018/05/22/612465197/20-years-ago-oregon-school-shooting-ended-a-bloody-season https://www.klcc.org/post/22-years-later-thurston-school-shooting-su"&amp;"rvivor-helps-others-traumatized-violence https://www.youtube.com/watch?v=eFImEWh497c https://www.dailyemerald.com/archives/8-years-later-thurston-and-kinkel-revisited/article_d898f051-9e58-5621-9417-3d21f4ec946a.html")</f>
        <v>https://www.officer.com/tactical/article/12228005/the-1998-thurston-high-school-attack  https://www.npr.org/2018/05/22/612465197/20-years-ago-oregon-school-shooting-ended-a-bloody-season https://www.klcc.org/post/22-years-later-thurston-school-shooting-survivor-helps-others-traumatized-violence https://www.youtube.com/watch?v=eFImEWh497c https://www.dailyemerald.com/archives/8-years-later-thurston-and-kinkel-revisited/article_d898f051-9e58-5621-9417-3d21f4ec946a.html</v>
      </c>
      <c r="L2474" s="8"/>
      <c r="M2474" s="8"/>
      <c r="N2474" s="8">
        <f ca="1">IFERROR(__xludf.DUMMYFUNCTION("""COMPUTED_VALUE"""),3)</f>
        <v>3</v>
      </c>
      <c r="O2474" s="8" t="str">
        <f ca="1">IFERROR(__xludf.DUMMYFUNCTION("""COMPUTED_VALUE"""),"Spring")</f>
        <v>Spring</v>
      </c>
      <c r="P2474" s="8" t="str">
        <f ca="1">IFERROR(__xludf.DUMMYFUNCTION("""COMPUTED_VALUE"""),"Springfield")</f>
        <v>Springfield</v>
      </c>
      <c r="Q2474" s="8" t="str">
        <f ca="1">IFERROR(__xludf.DUMMYFUNCTION("""COMPUTED_VALUE"""),"OR")</f>
        <v>OR</v>
      </c>
      <c r="R2474" s="8" t="str">
        <f ca="1">IFERROR(__xludf.DUMMYFUNCTION("""COMPUTED_VALUE"""),"High")</f>
        <v>High</v>
      </c>
      <c r="S2474" s="8" t="str">
        <f ca="1">IFERROR(__xludf.DUMMYFUNCTION("""COMPUTED_VALUE"""),"Cafeteria")</f>
        <v>Cafeteria</v>
      </c>
      <c r="T2474" s="8" t="str">
        <f ca="1">IFERROR(__xludf.DUMMYFUNCTION("""COMPUTED_VALUE"""),"Inside School Building")</f>
        <v>Inside School Building</v>
      </c>
      <c r="U2474" s="8" t="str">
        <f ca="1">IFERROR(__xludf.DUMMYFUNCTION("""COMPUTED_VALUE"""),"Yes")</f>
        <v>Yes</v>
      </c>
      <c r="V2474" s="8" t="str">
        <f ca="1">IFERROR(__xludf.DUMMYFUNCTION("""COMPUTED_VALUE"""),"Before School")</f>
        <v>Before School</v>
      </c>
      <c r="W2474" s="11">
        <f ca="1">IFERROR(__xludf.DUMMYFUNCTION("""COMPUTED_VALUE"""),0.326388888888888)</f>
        <v>0.32638888888888801</v>
      </c>
      <c r="X2474" s="8">
        <f ca="1">IFERROR(__xludf.DUMMYFUNCTION("""COMPUTED_VALUE"""),13)</f>
        <v>13</v>
      </c>
      <c r="Y2474" s="12" t="str">
        <f ca="1">IFERROR(__xludf.DUMMYFUNCTION("""COMPUTED_VALUE"""),"Angry over being arrested and facing expulsion for bringing gun to school earlier that day")</f>
        <v>Angry over being arrested and facing expulsion for bringing gun to school earlier that day</v>
      </c>
      <c r="Z2474" s="12" t="str">
        <f ca="1">IFERROR(__xludf.DUMMYFUNCTION("""COMPUTED_VALUE"""),"Day before shooting, the shooter bought a stolen firearm from a friend and brought it to school. The parent who owned the firearm noticed it was missing and police searched school finding it in the shooters locker. He was then suspended pending expulsion "&amp;"from school and arrested (booked and release). He went home, got a pistol from his room and killed his mother and father (both teachers). Said the disappointment of him being expelled would break them. Wrote a suicide note and left it on the table explain"&amp;"ing that voices wouldn't stop telling him to kill people. Wore a trench coat to the school the next day with a rifle and 2 pistols. Fired 51 rounds (had 1100 total with him) into the crowded cafeteria before being tackled by multiple injured students. He "&amp;"screamed 'kill me' while they held him down. When the police arrived, he managed to pull a knife and told the police officers to kill him but he was arrested. Parents had told friends they were scared of their son and didn't know what else to do. Students"&amp;" said he talked often about shootings and violence.")</f>
        <v>Day before shooting, the shooter bought a stolen firearm from a friend and brought it to school. The parent who owned the firearm noticed it was missing and police searched school finding it in the shooters locker. He was then suspended pending expulsion from school and arrested (booked and release). He went home, got a pistol from his room and killed his mother and father (both teachers). Said the disappointment of him being expelled would break them. Wrote a suicide note and left it on the table explaining that voices wouldn't stop telling him to kill people. Wore a trench coat to the school the next day with a rifle and 2 pistols. Fired 51 rounds (had 1100 total with him) into the crowded cafeteria before being tackled by multiple injured students. He screamed 'kill me' while they held him down. When the police arrived, he managed to pull a knife and told the police officers to kill him but he was arrested. Parents had told friends they were scared of their son and didn't know what else to do. Students said he talked often about shootings and violence.</v>
      </c>
      <c r="AA2474" s="8" t="str">
        <f ca="1">IFERROR(__xludf.DUMMYFUNCTION("""COMPUTED_VALUE"""),"Anger Over Grade/Suspension/Discipline")</f>
        <v>Anger Over Grade/Suspension/Discipline</v>
      </c>
      <c r="AB2474" s="8"/>
      <c r="AC2474" s="8" t="str">
        <f ca="1">IFERROR(__xludf.DUMMYFUNCTION("""COMPUTED_VALUE"""),"Yes")</f>
        <v>Yes</v>
      </c>
      <c r="AD2474" s="8" t="str">
        <f ca="1">IFERROR(__xludf.DUMMYFUNCTION("""COMPUTED_VALUE"""),"Random Shooting")</f>
        <v>Random Shooting</v>
      </c>
      <c r="AE2474" s="8" t="str">
        <f ca="1">IFERROR(__xludf.DUMMYFUNCTION("""COMPUTED_VALUE"""),"No")</f>
        <v>No</v>
      </c>
      <c r="AF2474" s="8"/>
      <c r="AG2474" s="8" t="str">
        <f ca="1">IFERROR(__xludf.DUMMYFUNCTION("""COMPUTED_VALUE"""),"No")</f>
        <v>No</v>
      </c>
      <c r="AH2474" s="8" t="str">
        <f ca="1">IFERROR(__xludf.DUMMYFUNCTION("""COMPUTED_VALUE"""),"No")</f>
        <v>No</v>
      </c>
      <c r="AI2474" s="8" t="str">
        <f ca="1">IFERROR(__xludf.DUMMYFUNCTION("""COMPUTED_VALUE"""),"No")</f>
        <v>No</v>
      </c>
      <c r="AJ2474" s="8" t="str">
        <f ca="1">IFERROR(__xludf.DUMMYFUNCTION("""COMPUTED_VALUE"""),"No")</f>
        <v>No</v>
      </c>
      <c r="AK2474" s="8" t="str">
        <f ca="1">IFERROR(__xludf.DUMMYFUNCTION("""COMPUTED_VALUE"""),"No")</f>
        <v>No</v>
      </c>
      <c r="AL2474" s="8" t="str">
        <f ca="1">IFERROR(__xludf.DUMMYFUNCTION("""COMPUTED_VALUE"""),"No")</f>
        <v>No</v>
      </c>
      <c r="AM2474" s="8" t="str">
        <f ca="1">IFERROR(__xludf.DUMMYFUNCTION("""COMPUTED_VALUE"""),"Yes")</f>
        <v>Yes</v>
      </c>
      <c r="AN2474" s="8" t="str">
        <f ca="1">IFERROR(__xludf.DUMMYFUNCTION("""COMPUTED_VALUE"""),"Single Room")</f>
        <v>Single Room</v>
      </c>
      <c r="AO2474" s="8" t="str">
        <f ca="1">IFERROR(__xludf.DUMMYFUNCTION("""COMPUTED_VALUE"""),"Yes")</f>
        <v>Yes</v>
      </c>
      <c r="AP2474" s="8"/>
      <c r="AQ2474" s="8" t="str">
        <f ca="1">IFERROR(__xludf.DUMMYFUNCTION("""COMPUTED_VALUE"""),"Unknown")</f>
        <v>Unknown</v>
      </c>
      <c r="AR2474" s="8" t="str">
        <f ca="1">IFERROR(__xludf.DUMMYFUNCTION("""COMPUTED_VALUE"""),"NA")</f>
        <v>NA</v>
      </c>
      <c r="AS2474" s="8">
        <f ca="1">IFERROR(__xludf.DUMMYFUNCTION("""COMPUTED_VALUE"""),51)</f>
        <v>51</v>
      </c>
      <c r="AT2474" s="8"/>
      <c r="AU2474" s="8">
        <f ca="1">IFERROR(__xludf.DUMMYFUNCTION("""COMPUTED_VALUE"""),44.048706)</f>
        <v>44.048706000000003</v>
      </c>
      <c r="AV2474" s="8">
        <f ca="1">IFERROR(__xludf.DUMMYFUNCTION("""COMPUTED_VALUE"""),-122.925095)</f>
        <v>-122.925095</v>
      </c>
      <c r="AW2474" s="8"/>
      <c r="AX2474" s="8">
        <f ca="1">IFERROR(__xludf.DUMMYFUNCTION("""COMPUTED_VALUE"""),97478)</f>
        <v>97478</v>
      </c>
    </row>
    <row r="2475" spans="1:50" ht="60" x14ac:dyDescent="0.2">
      <c r="A2475" s="8" t="str">
        <f ca="1">IFERROR(__xludf.DUMMYFUNCTION("""COMPUTED_VALUE"""),"19980521CARIR")</f>
        <v>19980521CARIR</v>
      </c>
      <c r="B2475" s="8">
        <f ca="1">IFERROR(__xludf.DUMMYFUNCTION("""COMPUTED_VALUE"""),5)</f>
        <v>5</v>
      </c>
      <c r="C2475" s="8">
        <f ca="1">IFERROR(__xludf.DUMMYFUNCTION("""COMPUTED_VALUE"""),21)</f>
        <v>21</v>
      </c>
      <c r="D2475" s="8">
        <f ca="1">IFERROR(__xludf.DUMMYFUNCTION("""COMPUTED_VALUE"""),1998)</f>
        <v>1998</v>
      </c>
      <c r="E2475" s="9">
        <f ca="1">IFERROR(__xludf.DUMMYFUNCTION("""COMPUTED_VALUE"""),35936)</f>
        <v>35936</v>
      </c>
      <c r="F2475" s="8" t="str">
        <f ca="1">IFERROR(__xludf.DUMMYFUNCTION("""COMPUTED_VALUE"""),"Rialta High School")</f>
        <v>Rialta High School</v>
      </c>
      <c r="G2475" s="8">
        <f ca="1">IFERROR(__xludf.DUMMYFUNCTION("""COMPUTED_VALUE"""),0)</f>
        <v>0</v>
      </c>
      <c r="H2475" s="8">
        <f ca="1">IFERROR(__xludf.DUMMYFUNCTION("""COMPUTED_VALUE"""),0)</f>
        <v>0</v>
      </c>
      <c r="I2475" s="8">
        <f ca="1">IFERROR(__xludf.DUMMYFUNCTION("""COMPUTED_VALUE"""),0)</f>
        <v>0</v>
      </c>
      <c r="J2475" s="8">
        <f ca="1">IFERROR(__xludf.DUMMYFUNCTION("""COMPUTED_VALUE"""),1)</f>
        <v>1</v>
      </c>
      <c r="K2475" s="8" t="str">
        <f ca="1">IFERROR(__xludf.DUMMYFUNCTION("""COMPUTED_VALUE"""),"http://articles.latimes.com/1998/may/25/news/mn-53368 http://www.columbine-angels.com/School_Violence_1997-1998.htm https://www.newspapers.com/image/577379491/?terms=Rialto%2BHigh%2BSchool%2BLos%2BAngeles%2BTimes https://www.newspapers.com/image/159064604"&amp;"/?terms=Rialto%2BHigh%2BSchool%2BLos%2BAngeles%2BTimes")</f>
        <v>http://articles.latimes.com/1998/may/25/news/mn-53368 http://www.columbine-angels.com/School_Violence_1997-1998.htm https://www.newspapers.com/image/577379491/?terms=Rialto%2BHigh%2BSchool%2BLos%2BAngeles%2BTimes https://www.newspapers.com/image/159064604/?terms=Rialto%2BHigh%2BSchool%2BLos%2BAngeles%2BTimes</v>
      </c>
      <c r="L2475" s="8"/>
      <c r="M2475" s="8"/>
      <c r="N2475" s="8">
        <f ca="1">IFERROR(__xludf.DUMMYFUNCTION("""COMPUTED_VALUE"""),2)</f>
        <v>2</v>
      </c>
      <c r="O2475" s="8" t="str">
        <f ca="1">IFERROR(__xludf.DUMMYFUNCTION("""COMPUTED_VALUE"""),"Spring")</f>
        <v>Spring</v>
      </c>
      <c r="P2475" s="8" t="str">
        <f ca="1">IFERROR(__xludf.DUMMYFUNCTION("""COMPUTED_VALUE"""),"Rialto")</f>
        <v>Rialto</v>
      </c>
      <c r="Q2475" s="8" t="str">
        <f ca="1">IFERROR(__xludf.DUMMYFUNCTION("""COMPUTED_VALUE"""),"CA")</f>
        <v>CA</v>
      </c>
      <c r="R2475" s="8" t="str">
        <f ca="1">IFERROR(__xludf.DUMMYFUNCTION("""COMPUTED_VALUE"""),"High")</f>
        <v>High</v>
      </c>
      <c r="S2475" s="8" t="str">
        <f ca="1">IFERROR(__xludf.DUMMYFUNCTION("""COMPUTED_VALUE"""),"Courtyard")</f>
        <v>Courtyard</v>
      </c>
      <c r="T2475" s="8" t="str">
        <f ca="1">IFERROR(__xludf.DUMMYFUNCTION("""COMPUTED_VALUE"""),"Outside on School Property")</f>
        <v>Outside on School Property</v>
      </c>
      <c r="U2475" s="8" t="str">
        <f ca="1">IFERROR(__xludf.DUMMYFUNCTION("""COMPUTED_VALUE"""),"Yes")</f>
        <v>Yes</v>
      </c>
      <c r="V2475" s="8" t="str">
        <f ca="1">IFERROR(__xludf.DUMMYFUNCTION("""COMPUTED_VALUE"""),"School Start")</f>
        <v>School Start</v>
      </c>
      <c r="W2475" s="8"/>
      <c r="X2475" s="8">
        <f ca="1">IFERROR(__xludf.DUMMYFUNCTION("""COMPUTED_VALUE"""),1)</f>
        <v>1</v>
      </c>
      <c r="Y2475" s="12" t="str">
        <f ca="1">IFERROR(__xludf.DUMMYFUNCTION("""COMPUTED_VALUE"""),"Bullied, told he would need to repeat 9th grade, killed himself")</f>
        <v>Bullied, told he would need to repeat 9th grade, killed himself</v>
      </c>
      <c r="Z2475" s="12" t="str">
        <f ca="1">IFERROR(__xludf.DUMMYFUNCTION("""COMPUTED_VALUE"""),"15 year-old male was frequently bullied. Told that he would need to repeat 9th grade and commit suicide that day.")</f>
        <v>15 year-old male was frequently bullied. Told that he would need to repeat 9th grade and commit suicide that day.</v>
      </c>
      <c r="AA2475" s="8" t="str">
        <f ca="1">IFERROR(__xludf.DUMMYFUNCTION("""COMPUTED_VALUE"""),"Suicide/Attempted")</f>
        <v>Suicide/Attempted</v>
      </c>
      <c r="AB2475" s="8"/>
      <c r="AC2475" s="8"/>
      <c r="AD2475" s="8" t="str">
        <f ca="1">IFERROR(__xludf.DUMMYFUNCTION("""COMPUTED_VALUE"""),"Victims Targeted")</f>
        <v>Victims Targeted</v>
      </c>
      <c r="AE2475" s="8" t="str">
        <f ca="1">IFERROR(__xludf.DUMMYFUNCTION("""COMPUTED_VALUE"""),"No")</f>
        <v>No</v>
      </c>
      <c r="AF2475" s="8"/>
      <c r="AG2475" s="8" t="str">
        <f ca="1">IFERROR(__xludf.DUMMYFUNCTION("""COMPUTED_VALUE"""),"No")</f>
        <v>No</v>
      </c>
      <c r="AH2475" s="8" t="str">
        <f ca="1">IFERROR(__xludf.DUMMYFUNCTION("""COMPUTED_VALUE"""),"No")</f>
        <v>No</v>
      </c>
      <c r="AI2475" s="8" t="str">
        <f ca="1">IFERROR(__xludf.DUMMYFUNCTION("""COMPUTED_VALUE"""),"No")</f>
        <v>No</v>
      </c>
      <c r="AJ2475" s="8" t="str">
        <f ca="1">IFERROR(__xludf.DUMMYFUNCTION("""COMPUTED_VALUE"""),"Yes")</f>
        <v>Yes</v>
      </c>
      <c r="AK2475" s="8" t="str">
        <f ca="1">IFERROR(__xludf.DUMMYFUNCTION("""COMPUTED_VALUE"""),"No")</f>
        <v>No</v>
      </c>
      <c r="AL2475" s="8" t="str">
        <f ca="1">IFERROR(__xludf.DUMMYFUNCTION("""COMPUTED_VALUE"""),"No")</f>
        <v>No</v>
      </c>
      <c r="AM2475" s="8"/>
      <c r="AN2475" s="8"/>
      <c r="AO2475" s="8" t="str">
        <f ca="1">IFERROR(__xludf.DUMMYFUNCTION("""COMPUTED_VALUE"""),"No")</f>
        <v>No</v>
      </c>
      <c r="AP2475" s="8"/>
      <c r="AQ2475" s="8" t="str">
        <f ca="1">IFERROR(__xludf.DUMMYFUNCTION("""COMPUTED_VALUE"""),"Unknown")</f>
        <v>Unknown</v>
      </c>
      <c r="AR2475" s="8" t="str">
        <f ca="1">IFERROR(__xludf.DUMMYFUNCTION("""COMPUTED_VALUE"""),"NA")</f>
        <v>NA</v>
      </c>
      <c r="AS2475" s="8">
        <f ca="1">IFERROR(__xludf.DUMMYFUNCTION("""COMPUTED_VALUE"""),1)</f>
        <v>1</v>
      </c>
      <c r="AT2475" s="8"/>
      <c r="AU2475" s="8">
        <f ca="1">IFERROR(__xludf.DUMMYFUNCTION("""COMPUTED_VALUE"""),34.090528)</f>
        <v>34.090527999999999</v>
      </c>
      <c r="AV2475" s="8">
        <f ca="1">IFERROR(__xludf.DUMMYFUNCTION("""COMPUTED_VALUE"""),-117.355315)</f>
        <v>-117.355315</v>
      </c>
      <c r="AW2475" s="8"/>
      <c r="AX2475" s="8">
        <f ca="1">IFERROR(__xludf.DUMMYFUNCTION("""COMPUTED_VALUE"""),92376)</f>
        <v>92376</v>
      </c>
    </row>
    <row r="2476" spans="1:50" ht="75" x14ac:dyDescent="0.2">
      <c r="A2476" s="8" t="str">
        <f ca="1">IFERROR(__xludf.DUMMYFUNCTION("""COMPUTED_VALUE"""),"19980519TNLIF")</f>
        <v>19980519TNLIF</v>
      </c>
      <c r="B2476" s="8">
        <f ca="1">IFERROR(__xludf.DUMMYFUNCTION("""COMPUTED_VALUE"""),5)</f>
        <v>5</v>
      </c>
      <c r="C2476" s="8">
        <f ca="1">IFERROR(__xludf.DUMMYFUNCTION("""COMPUTED_VALUE"""),19)</f>
        <v>19</v>
      </c>
      <c r="D2476" s="8">
        <f ca="1">IFERROR(__xludf.DUMMYFUNCTION("""COMPUTED_VALUE"""),1998)</f>
        <v>1998</v>
      </c>
      <c r="E2476" s="9">
        <f ca="1">IFERROR(__xludf.DUMMYFUNCTION("""COMPUTED_VALUE"""),35934)</f>
        <v>35934</v>
      </c>
      <c r="F2476" s="8" t="str">
        <f ca="1">IFERROR(__xludf.DUMMYFUNCTION("""COMPUTED_VALUE"""),"Lincoln County High School")</f>
        <v>Lincoln County High School</v>
      </c>
      <c r="G2476" s="8">
        <f ca="1">IFERROR(__xludf.DUMMYFUNCTION("""COMPUTED_VALUE"""),1)</f>
        <v>1</v>
      </c>
      <c r="H2476" s="8">
        <f ca="1">IFERROR(__xludf.DUMMYFUNCTION("""COMPUTED_VALUE"""),0)</f>
        <v>0</v>
      </c>
      <c r="I2476" s="8">
        <f ca="1">IFERROR(__xludf.DUMMYFUNCTION("""COMPUTED_VALUE"""),1)</f>
        <v>1</v>
      </c>
      <c r="J2476" s="8">
        <f ca="1">IFERROR(__xludf.DUMMYFUNCTION("""COMPUTED_VALUE"""),0)</f>
        <v>0</v>
      </c>
      <c r="K2476" s="8" t="str">
        <f ca="1">IFERROR(__xludf.DUMMYFUNCTION("""COMPUTED_VALUE"""),"https://www.cbsnews.com/news/another-fatal-school-shooting/ https://murderpedia.org/male.D/d/davis-jacob-lee.htm")</f>
        <v>https://www.cbsnews.com/news/another-fatal-school-shooting/ https://murderpedia.org/male.D/d/davis-jacob-lee.htm</v>
      </c>
      <c r="L2476" s="8"/>
      <c r="M2476" s="8"/>
      <c r="N2476" s="8">
        <f ca="1">IFERROR(__xludf.DUMMYFUNCTION("""COMPUTED_VALUE"""),2)</f>
        <v>2</v>
      </c>
      <c r="O2476" s="8" t="str">
        <f ca="1">IFERROR(__xludf.DUMMYFUNCTION("""COMPUTED_VALUE"""),"Spring")</f>
        <v>Spring</v>
      </c>
      <c r="P2476" s="8" t="str">
        <f ca="1">IFERROR(__xludf.DUMMYFUNCTION("""COMPUTED_VALUE"""),"Fayetteville")</f>
        <v>Fayetteville</v>
      </c>
      <c r="Q2476" s="8" t="str">
        <f ca="1">IFERROR(__xludf.DUMMYFUNCTION("""COMPUTED_VALUE"""),"TN")</f>
        <v>TN</v>
      </c>
      <c r="R2476" s="8" t="str">
        <f ca="1">IFERROR(__xludf.DUMMYFUNCTION("""COMPUTED_VALUE"""),"High")</f>
        <v>High</v>
      </c>
      <c r="S2476" s="8" t="str">
        <f ca="1">IFERROR(__xludf.DUMMYFUNCTION("""COMPUTED_VALUE"""),"Beside Building")</f>
        <v>Beside Building</v>
      </c>
      <c r="T2476" s="8" t="str">
        <f ca="1">IFERROR(__xludf.DUMMYFUNCTION("""COMPUTED_VALUE"""),"Outside on School Property")</f>
        <v>Outside on School Property</v>
      </c>
      <c r="U2476" s="8" t="str">
        <f ca="1">IFERROR(__xludf.DUMMYFUNCTION("""COMPUTED_VALUE"""),"Yes")</f>
        <v>Yes</v>
      </c>
      <c r="V2476" s="8" t="str">
        <f ca="1">IFERROR(__xludf.DUMMYFUNCTION("""COMPUTED_VALUE"""),"Dismissal")</f>
        <v>Dismissal</v>
      </c>
      <c r="W2476" s="11">
        <f ca="1">IFERROR(__xludf.DUMMYFUNCTION("""COMPUTED_VALUE"""),0.583333333333333)</f>
        <v>0.58333333333333304</v>
      </c>
      <c r="X2476" s="8">
        <f ca="1">IFERROR(__xludf.DUMMYFUNCTION("""COMPUTED_VALUE"""),1)</f>
        <v>1</v>
      </c>
      <c r="Y2476" s="12" t="str">
        <f ca="1">IFERROR(__xludf.DUMMYFUNCTION("""COMPUTED_VALUE"""),"Fight over girl outside of school")</f>
        <v>Fight over girl outside of school</v>
      </c>
      <c r="Z2476" s="12" t="str">
        <f ca="1">IFERROR(__xludf.DUMMYFUNCTION("""COMPUTED_VALUE"""),"Shooter was upset with victim over romantic relationship with a girl. Shooter wrote a to the girl detailing his anger and desire to shoot victim. Once school dismissed a fight over the girl occured behind the school building and escalated into a fatal sho"&amp;"oting. No other students were injured.")</f>
        <v>Shooter was upset with victim over romantic relationship with a girl. Shooter wrote a to the girl detailing his anger and desire to shoot victim. Once school dismissed a fight over the girl occured behind the school building and escalated into a fatal shooting. No other students were injured.</v>
      </c>
      <c r="AA2476" s="8" t="str">
        <f ca="1">IFERROR(__xludf.DUMMYFUNCTION("""COMPUTED_VALUE"""),"Escalation of Dispute")</f>
        <v>Escalation of Dispute</v>
      </c>
      <c r="AB2476" s="8"/>
      <c r="AC2476" s="8"/>
      <c r="AD2476" s="8" t="str">
        <f ca="1">IFERROR(__xludf.DUMMYFUNCTION("""COMPUTED_VALUE"""),"Victims Targeted")</f>
        <v>Victims Targeted</v>
      </c>
      <c r="AE2476" s="8" t="str">
        <f ca="1">IFERROR(__xludf.DUMMYFUNCTION("""COMPUTED_VALUE"""),"No")</f>
        <v>No</v>
      </c>
      <c r="AF2476" s="8"/>
      <c r="AG2476" s="8" t="str">
        <f ca="1">IFERROR(__xludf.DUMMYFUNCTION("""COMPUTED_VALUE"""),"No")</f>
        <v>No</v>
      </c>
      <c r="AH2476" s="8" t="str">
        <f ca="1">IFERROR(__xludf.DUMMYFUNCTION("""COMPUTED_VALUE"""),"No")</f>
        <v>No</v>
      </c>
      <c r="AI2476" s="8" t="str">
        <f ca="1">IFERROR(__xludf.DUMMYFUNCTION("""COMPUTED_VALUE"""),"No")</f>
        <v>No</v>
      </c>
      <c r="AJ2476" s="8" t="str">
        <f ca="1">IFERROR(__xludf.DUMMYFUNCTION("""COMPUTED_VALUE"""),"No")</f>
        <v>No</v>
      </c>
      <c r="AK2476" s="8" t="str">
        <f ca="1">IFERROR(__xludf.DUMMYFUNCTION("""COMPUTED_VALUE"""),"Yes")</f>
        <v>Yes</v>
      </c>
      <c r="AL2476" s="8" t="str">
        <f ca="1">IFERROR(__xludf.DUMMYFUNCTION("""COMPUTED_VALUE"""),"No")</f>
        <v>No</v>
      </c>
      <c r="AM2476" s="8"/>
      <c r="AN2476" s="8"/>
      <c r="AO2476" s="8" t="str">
        <f ca="1">IFERROR(__xludf.DUMMYFUNCTION("""COMPUTED_VALUE"""),"No")</f>
        <v>No</v>
      </c>
      <c r="AP2476" s="8"/>
      <c r="AQ2476" s="8" t="str">
        <f ca="1">IFERROR(__xludf.DUMMYFUNCTION("""COMPUTED_VALUE"""),"Unknown")</f>
        <v>Unknown</v>
      </c>
      <c r="AR2476" s="8" t="str">
        <f ca="1">IFERROR(__xludf.DUMMYFUNCTION("""COMPUTED_VALUE"""),"NA")</f>
        <v>NA</v>
      </c>
      <c r="AS2476" s="8" t="str">
        <f ca="1">IFERROR(__xludf.DUMMYFUNCTION("""COMPUTED_VALUE"""),"&lt;5")</f>
        <v>&lt;5</v>
      </c>
      <c r="AT2476" s="8"/>
      <c r="AU2476" s="8">
        <f ca="1">IFERROR(__xludf.DUMMYFUNCTION("""COMPUTED_VALUE"""),35.135127)</f>
        <v>35.135126999999997</v>
      </c>
      <c r="AV2476" s="8">
        <f ca="1">IFERROR(__xludf.DUMMYFUNCTION("""COMPUTED_VALUE"""),-86.568389)</f>
        <v>-86.568388999999996</v>
      </c>
      <c r="AW2476" s="8"/>
      <c r="AX2476" s="8">
        <f ca="1">IFERROR(__xludf.DUMMYFUNCTION("""COMPUTED_VALUE"""),37334)</f>
        <v>37334</v>
      </c>
    </row>
    <row r="2477" spans="1:50" ht="135" x14ac:dyDescent="0.2">
      <c r="A2477" s="8" t="str">
        <f ca="1">IFERROR(__xludf.DUMMYFUNCTION("""COMPUTED_VALUE"""),"19980501NYPUB")</f>
        <v>19980501NYPUB</v>
      </c>
      <c r="B2477" s="8">
        <f ca="1">IFERROR(__xludf.DUMMYFUNCTION("""COMPUTED_VALUE"""),5)</f>
        <v>5</v>
      </c>
      <c r="C2477" s="8">
        <f ca="1">IFERROR(__xludf.DUMMYFUNCTION("""COMPUTED_VALUE"""),1)</f>
        <v>1</v>
      </c>
      <c r="D2477" s="8">
        <f ca="1">IFERROR(__xludf.DUMMYFUNCTION("""COMPUTED_VALUE"""),1998)</f>
        <v>1998</v>
      </c>
      <c r="E2477" s="9">
        <f ca="1">IFERROR(__xludf.DUMMYFUNCTION("""COMPUTED_VALUE"""),35916)</f>
        <v>35916</v>
      </c>
      <c r="F2477" s="8" t="str">
        <f ca="1">IFERROR(__xludf.DUMMYFUNCTION("""COMPUTED_VALUE"""),"Public School 18")</f>
        <v>Public School 18</v>
      </c>
      <c r="G2477" s="8">
        <f ca="1">IFERROR(__xludf.DUMMYFUNCTION("""COMPUTED_VALUE"""),1)</f>
        <v>1</v>
      </c>
      <c r="H2477" s="8">
        <f ca="1">IFERROR(__xludf.DUMMYFUNCTION("""COMPUTED_VALUE"""),1)</f>
        <v>1</v>
      </c>
      <c r="I2477" s="8">
        <f ca="1">IFERROR(__xludf.DUMMYFUNCTION("""COMPUTED_VALUE"""),2)</f>
        <v>2</v>
      </c>
      <c r="J2477" s="8">
        <f ca="1">IFERROR(__xludf.DUMMYFUNCTION("""COMPUTED_VALUE"""),0)</f>
        <v>0</v>
      </c>
      <c r="K2477" s="8" t="str">
        <f ca="1">IFERROR(__xludf.DUMMYFUNCTION("""COMPUTED_VALUE"""),"https://www.nytimes.com/1998/05/02/nyregion/deputy-arrested-in-killing-of-wife-at-buffalo-school.html https://buffalonews.com/1998/05/01/school-slaying-deputy-arrested-after-wife-is-shot/")</f>
        <v>https://www.nytimes.com/1998/05/02/nyregion/deputy-arrested-in-killing-of-wife-at-buffalo-school.html https://buffalonews.com/1998/05/01/school-slaying-deputy-arrested-after-wife-is-shot/</v>
      </c>
      <c r="L2477" s="8"/>
      <c r="M2477" s="8"/>
      <c r="N2477" s="8">
        <f ca="1">IFERROR(__xludf.DUMMYFUNCTION("""COMPUTED_VALUE"""),2)</f>
        <v>2</v>
      </c>
      <c r="O2477" s="8" t="str">
        <f ca="1">IFERROR(__xludf.DUMMYFUNCTION("""COMPUTED_VALUE"""),"Spring")</f>
        <v>Spring</v>
      </c>
      <c r="P2477" s="8" t="str">
        <f ca="1">IFERROR(__xludf.DUMMYFUNCTION("""COMPUTED_VALUE"""),"Buffalo")</f>
        <v>Buffalo</v>
      </c>
      <c r="Q2477" s="8" t="str">
        <f ca="1">IFERROR(__xludf.DUMMYFUNCTION("""COMPUTED_VALUE"""),"NY")</f>
        <v>NY</v>
      </c>
      <c r="R2477" s="8" t="str">
        <f ca="1">IFERROR(__xludf.DUMMYFUNCTION("""COMPUTED_VALUE"""),"Elementary")</f>
        <v>Elementary</v>
      </c>
      <c r="S2477" s="8" t="str">
        <f ca="1">IFERROR(__xludf.DUMMYFUNCTION("""COMPUTED_VALUE"""),"Office")</f>
        <v>Office</v>
      </c>
      <c r="T2477" s="8" t="str">
        <f ca="1">IFERROR(__xludf.DUMMYFUNCTION("""COMPUTED_VALUE"""),"Inside School Building")</f>
        <v>Inside School Building</v>
      </c>
      <c r="U2477" s="8" t="str">
        <f ca="1">IFERROR(__xludf.DUMMYFUNCTION("""COMPUTED_VALUE"""),"Yes")</f>
        <v>Yes</v>
      </c>
      <c r="V2477" s="8" t="str">
        <f ca="1">IFERROR(__xludf.DUMMYFUNCTION("""COMPUTED_VALUE"""),"Morning Classes")</f>
        <v>Morning Classes</v>
      </c>
      <c r="W2477" s="11">
        <f ca="1">IFERROR(__xludf.DUMMYFUNCTION("""COMPUTED_VALUE"""),0.388888888888888)</f>
        <v>0.38888888888888801</v>
      </c>
      <c r="X2477" s="8">
        <f ca="1">IFERROR(__xludf.DUMMYFUNCTION("""COMPUTED_VALUE"""),1)</f>
        <v>1</v>
      </c>
      <c r="Y2477" s="12" t="str">
        <f ca="1">IFERROR(__xludf.DUMMYFUNCTION("""COMPUTED_VALUE"""),"Went into school to kill estranged wife, school aid wounded")</f>
        <v>Went into school to kill estranged wife, school aid wounded</v>
      </c>
      <c r="Z2477" s="12" t="str">
        <f ca="1">IFERROR(__xludf.DUMMYFUNCTION("""COMPUTED_VALUE"""),"Victim had an order of protection from Family Court on April 21, 1998. Shooter was required to relinquish 3 personal weapons. Shooter took gun from fellow deputies locker. Deputy Sheriff (shooter) went into children's school to find his estranged wife (vi"&amp;"ctim). She ran from him and took shelter in the school office. He followed her into the office and shot her multiple times in front of staff and students. A school aid in the office was also struck by a bullet. Shooter fled the area and was later arrested"&amp;".")</f>
        <v>Victim had an order of protection from Family Court on April 21, 1998. Shooter was required to relinquish 3 personal weapons. Shooter took gun from fellow deputies locker. Deputy Sheriff (shooter) went into children's school to find his estranged wife (victim). She ran from him and took shelter in the school office. He followed her into the office and shot her multiple times in front of staff and students. A school aid in the office was also struck by a bullet. Shooter fled the area and was later arrested.</v>
      </c>
      <c r="AA2477" s="8" t="str">
        <f ca="1">IFERROR(__xludf.DUMMYFUNCTION("""COMPUTED_VALUE"""),"Domestic w/ Targeted Victim")</f>
        <v>Domestic w/ Targeted Victim</v>
      </c>
      <c r="AB2477" s="8"/>
      <c r="AC2477" s="8"/>
      <c r="AD2477" s="8" t="str">
        <f ca="1">IFERROR(__xludf.DUMMYFUNCTION("""COMPUTED_VALUE"""),"Victims Targeted")</f>
        <v>Victims Targeted</v>
      </c>
      <c r="AE2477" s="8" t="str">
        <f ca="1">IFERROR(__xludf.DUMMYFUNCTION("""COMPUTED_VALUE"""),"No")</f>
        <v>No</v>
      </c>
      <c r="AF2477" s="8"/>
      <c r="AG2477" s="8" t="str">
        <f ca="1">IFERROR(__xludf.DUMMYFUNCTION("""COMPUTED_VALUE"""),"No")</f>
        <v>No</v>
      </c>
      <c r="AH2477" s="8" t="str">
        <f ca="1">IFERROR(__xludf.DUMMYFUNCTION("""COMPUTED_VALUE"""),"No")</f>
        <v>No</v>
      </c>
      <c r="AI2477" s="8" t="str">
        <f ca="1">IFERROR(__xludf.DUMMYFUNCTION("""COMPUTED_VALUE"""),"Yes")</f>
        <v>Yes</v>
      </c>
      <c r="AJ2477" s="8" t="str">
        <f ca="1">IFERROR(__xludf.DUMMYFUNCTION("""COMPUTED_VALUE"""),"No")</f>
        <v>No</v>
      </c>
      <c r="AK2477" s="8" t="str">
        <f ca="1">IFERROR(__xludf.DUMMYFUNCTION("""COMPUTED_VALUE"""),"Yes")</f>
        <v>Yes</v>
      </c>
      <c r="AL2477" s="8" t="str">
        <f ca="1">IFERROR(__xludf.DUMMYFUNCTION("""COMPUTED_VALUE"""),"No")</f>
        <v>No</v>
      </c>
      <c r="AM2477" s="8"/>
      <c r="AN2477" s="8"/>
      <c r="AO2477" s="8" t="str">
        <f ca="1">IFERROR(__xludf.DUMMYFUNCTION("""COMPUTED_VALUE"""),"No")</f>
        <v>No</v>
      </c>
      <c r="AP2477" s="8"/>
      <c r="AQ2477" s="8" t="str">
        <f ca="1">IFERROR(__xludf.DUMMYFUNCTION("""COMPUTED_VALUE"""),"Unknown")</f>
        <v>Unknown</v>
      </c>
      <c r="AR2477" s="8" t="str">
        <f ca="1">IFERROR(__xludf.DUMMYFUNCTION("""COMPUTED_VALUE"""),"NA")</f>
        <v>NA</v>
      </c>
      <c r="AS2477" s="8">
        <f ca="1">IFERROR(__xludf.DUMMYFUNCTION("""COMPUTED_VALUE"""),6)</f>
        <v>6</v>
      </c>
      <c r="AT2477" s="8"/>
      <c r="AU2477" s="8">
        <f ca="1">IFERROR(__xludf.DUMMYFUNCTION("""COMPUTED_VALUE"""),42.959768)</f>
        <v>42.959767999999997</v>
      </c>
      <c r="AV2477" s="8">
        <f ca="1">IFERROR(__xludf.DUMMYFUNCTION("""COMPUTED_VALUE"""),-78.783091)</f>
        <v>-78.783090999999999</v>
      </c>
      <c r="AW2477" s="8"/>
      <c r="AX2477" s="8">
        <f ca="1">IFERROR(__xludf.DUMMYFUNCTION("""COMPUTED_VALUE"""),14226)</f>
        <v>14226</v>
      </c>
    </row>
    <row r="2478" spans="1:50" ht="60" x14ac:dyDescent="0.2">
      <c r="A2478" s="8" t="str">
        <f ca="1">IFERROR(__xludf.DUMMYFUNCTION("""COMPUTED_VALUE"""),"19980501FLNOM")</f>
        <v>19980501FLNOM</v>
      </c>
      <c r="B2478" s="8">
        <f ca="1">IFERROR(__xludf.DUMMYFUNCTION("""COMPUTED_VALUE"""),5)</f>
        <v>5</v>
      </c>
      <c r="C2478" s="8">
        <f ca="1">IFERROR(__xludf.DUMMYFUNCTION("""COMPUTED_VALUE"""),1)</f>
        <v>1</v>
      </c>
      <c r="D2478" s="8">
        <f ca="1">IFERROR(__xludf.DUMMYFUNCTION("""COMPUTED_VALUE"""),1998)</f>
        <v>1998</v>
      </c>
      <c r="E2478" s="9">
        <f ca="1">IFERROR(__xludf.DUMMYFUNCTION("""COMPUTED_VALUE"""),35916)</f>
        <v>35916</v>
      </c>
      <c r="F2478" s="8" t="str">
        <f ca="1">IFERROR(__xludf.DUMMYFUNCTION("""COMPUTED_VALUE"""),"North Miami Senior High School")</f>
        <v>North Miami Senior High School</v>
      </c>
      <c r="G2478" s="8">
        <f ca="1">IFERROR(__xludf.DUMMYFUNCTION("""COMPUTED_VALUE"""),0)</f>
        <v>0</v>
      </c>
      <c r="H2478" s="8">
        <f ca="1">IFERROR(__xludf.DUMMYFUNCTION("""COMPUTED_VALUE"""),1)</f>
        <v>1</v>
      </c>
      <c r="I2478" s="8">
        <f ca="1">IFERROR(__xludf.DUMMYFUNCTION("""COMPUTED_VALUE"""),1)</f>
        <v>1</v>
      </c>
      <c r="J2478" s="8">
        <f ca="1">IFERROR(__xludf.DUMMYFUNCTION("""COMPUTED_VALUE"""),0)</f>
        <v>0</v>
      </c>
      <c r="K2478" s="10" t="str">
        <f ca="1">IFERROR(__xludf.DUMMYFUNCTION("""COMPUTED_VALUE"""),"http://articles.sun-sentinel.com/1998-09-30/news/9809300032_1_school-cafeteria-school-officials-high-school")</f>
        <v>http://articles.sun-sentinel.com/1998-09-30/news/9809300032_1_school-cafeteria-school-officials-high-school</v>
      </c>
      <c r="L2478" s="8"/>
      <c r="M2478" s="8"/>
      <c r="N2478" s="8">
        <f ca="1">IFERROR(__xludf.DUMMYFUNCTION("""COMPUTED_VALUE"""),2)</f>
        <v>2</v>
      </c>
      <c r="O2478" s="8" t="str">
        <f ca="1">IFERROR(__xludf.DUMMYFUNCTION("""COMPUTED_VALUE"""),"Spring")</f>
        <v>Spring</v>
      </c>
      <c r="P2478" s="8" t="str">
        <f ca="1">IFERROR(__xludf.DUMMYFUNCTION("""COMPUTED_VALUE"""),"Miami")</f>
        <v>Miami</v>
      </c>
      <c r="Q2478" s="8" t="str">
        <f ca="1">IFERROR(__xludf.DUMMYFUNCTION("""COMPUTED_VALUE"""),"FL")</f>
        <v>FL</v>
      </c>
      <c r="R2478" s="8" t="str">
        <f ca="1">IFERROR(__xludf.DUMMYFUNCTION("""COMPUTED_VALUE"""),"High")</f>
        <v>High</v>
      </c>
      <c r="S2478" s="8" t="str">
        <f ca="1">IFERROR(__xludf.DUMMYFUNCTION("""COMPUTED_VALUE"""),"Beside Building")</f>
        <v>Beside Building</v>
      </c>
      <c r="T2478" s="8" t="str">
        <f ca="1">IFERROR(__xludf.DUMMYFUNCTION("""COMPUTED_VALUE"""),"Outside on School Property")</f>
        <v>Outside on School Property</v>
      </c>
      <c r="U2478" s="8" t="str">
        <f ca="1">IFERROR(__xludf.DUMMYFUNCTION("""COMPUTED_VALUE"""),"No")</f>
        <v>No</v>
      </c>
      <c r="V2478" s="8" t="str">
        <f ca="1">IFERROR(__xludf.DUMMYFUNCTION("""COMPUTED_VALUE"""),"Evening")</f>
        <v>Evening</v>
      </c>
      <c r="W2478" s="8"/>
      <c r="X2478" s="8">
        <f ca="1">IFERROR(__xludf.DUMMYFUNCTION("""COMPUTED_VALUE"""),1)</f>
        <v>1</v>
      </c>
      <c r="Y2478" s="12" t="str">
        <f ca="1">IFERROR(__xludf.DUMMYFUNCTION("""COMPUTED_VALUE"""),"Gang related shooting when student was exiting school at night")</f>
        <v>Gang related shooting when student was exiting school at night</v>
      </c>
      <c r="Z2478" s="12" t="str">
        <f ca="1">IFERROR(__xludf.DUMMYFUNCTION("""COMPUTED_VALUE"""),"Student shot multiple times in the abdomen exiting night school. Police arrested an unidentified teen and said it was gang related.")</f>
        <v>Student shot multiple times in the abdomen exiting night school. Police arrested an unidentified teen and said it was gang related.</v>
      </c>
      <c r="AA2478" s="8" t="str">
        <f ca="1">IFERROR(__xludf.DUMMYFUNCTION("""COMPUTED_VALUE"""),"Escalation of Dispute")</f>
        <v>Escalation of Dispute</v>
      </c>
      <c r="AB2478" s="8"/>
      <c r="AC2478" s="8"/>
      <c r="AD2478" s="8" t="str">
        <f ca="1">IFERROR(__xludf.DUMMYFUNCTION("""COMPUTED_VALUE"""),"Victims Targeted")</f>
        <v>Victims Targeted</v>
      </c>
      <c r="AE2478" s="8" t="str">
        <f ca="1">IFERROR(__xludf.DUMMYFUNCTION("""COMPUTED_VALUE"""),"No")</f>
        <v>No</v>
      </c>
      <c r="AF2478" s="8"/>
      <c r="AG2478" s="8" t="str">
        <f ca="1">IFERROR(__xludf.DUMMYFUNCTION("""COMPUTED_VALUE"""),"No")</f>
        <v>No</v>
      </c>
      <c r="AH2478" s="8" t="str">
        <f ca="1">IFERROR(__xludf.DUMMYFUNCTION("""COMPUTED_VALUE"""),"No")</f>
        <v>No</v>
      </c>
      <c r="AI2478" s="8" t="str">
        <f ca="1">IFERROR(__xludf.DUMMYFUNCTION("""COMPUTED_VALUE"""),"No")</f>
        <v>No</v>
      </c>
      <c r="AJ2478" s="8" t="str">
        <f ca="1">IFERROR(__xludf.DUMMYFUNCTION("""COMPUTED_VALUE"""),"No")</f>
        <v>No</v>
      </c>
      <c r="AK2478" s="8" t="str">
        <f ca="1">IFERROR(__xludf.DUMMYFUNCTION("""COMPUTED_VALUE"""),"No")</f>
        <v>No</v>
      </c>
      <c r="AL2478" s="8" t="str">
        <f ca="1">IFERROR(__xludf.DUMMYFUNCTION("""COMPUTED_VALUE"""),"Yes")</f>
        <v>Yes</v>
      </c>
      <c r="AM2478" s="8"/>
      <c r="AN2478" s="8"/>
      <c r="AO2478" s="8" t="str">
        <f ca="1">IFERROR(__xludf.DUMMYFUNCTION("""COMPUTED_VALUE"""),"No")</f>
        <v>No</v>
      </c>
      <c r="AP2478" s="8"/>
      <c r="AQ2478" s="8" t="str">
        <f ca="1">IFERROR(__xludf.DUMMYFUNCTION("""COMPUTED_VALUE"""),"Unknown")</f>
        <v>Unknown</v>
      </c>
      <c r="AR2478" s="8" t="str">
        <f ca="1">IFERROR(__xludf.DUMMYFUNCTION("""COMPUTED_VALUE"""),"NA")</f>
        <v>NA</v>
      </c>
      <c r="AS2478" s="8"/>
      <c r="AT2478" s="8"/>
      <c r="AU2478" s="8">
        <f ca="1">IFERROR(__xludf.DUMMYFUNCTION("""COMPUTED_VALUE"""),25.896904)</f>
        <v>25.896903999999999</v>
      </c>
      <c r="AV2478" s="8">
        <f ca="1">IFERROR(__xludf.DUMMYFUNCTION("""COMPUTED_VALUE"""),-80.184141)</f>
        <v>-80.184140999999997</v>
      </c>
      <c r="AW2478" s="8"/>
      <c r="AX2478" s="8">
        <f ca="1">IFERROR(__xludf.DUMMYFUNCTION("""COMPUTED_VALUE"""),33161)</f>
        <v>33161</v>
      </c>
    </row>
    <row r="2479" spans="1:50" ht="45" x14ac:dyDescent="0.2">
      <c r="A2479" s="8" t="str">
        <f ca="1">IFERROR(__xludf.DUMMYFUNCTION("""COMPUTED_VALUE"""),"19980428WIPAP")</f>
        <v>19980428WIPAP</v>
      </c>
      <c r="B2479" s="8">
        <f ca="1">IFERROR(__xludf.DUMMYFUNCTION("""COMPUTED_VALUE"""),4)</f>
        <v>4</v>
      </c>
      <c r="C2479" s="8">
        <f ca="1">IFERROR(__xludf.DUMMYFUNCTION("""COMPUTED_VALUE"""),28)</f>
        <v>28</v>
      </c>
      <c r="D2479" s="8">
        <f ca="1">IFERROR(__xludf.DUMMYFUNCTION("""COMPUTED_VALUE"""),1998)</f>
        <v>1998</v>
      </c>
      <c r="E2479" s="9">
        <f ca="1">IFERROR(__xludf.DUMMYFUNCTION("""COMPUTED_VALUE"""),35913)</f>
        <v>35913</v>
      </c>
      <c r="F2479" s="8" t="str">
        <f ca="1">IFERROR(__xludf.DUMMYFUNCTION("""COMPUTED_VALUE"""),"Pardeeville Elementary School")</f>
        <v>Pardeeville Elementary School</v>
      </c>
      <c r="G2479" s="8">
        <f ca="1">IFERROR(__xludf.DUMMYFUNCTION("""COMPUTED_VALUE"""),0)</f>
        <v>0</v>
      </c>
      <c r="H2479" s="8">
        <f ca="1">IFERROR(__xludf.DUMMYFUNCTION("""COMPUTED_VALUE"""),1)</f>
        <v>1</v>
      </c>
      <c r="I2479" s="8">
        <f ca="1">IFERROR(__xludf.DUMMYFUNCTION("""COMPUTED_VALUE"""),1)</f>
        <v>1</v>
      </c>
      <c r="J2479" s="8">
        <f ca="1">IFERROR(__xludf.DUMMYFUNCTION("""COMPUTED_VALUE"""),0)</f>
        <v>0</v>
      </c>
      <c r="K2479" s="8" t="str">
        <f ca="1">IFERROR(__xludf.DUMMYFUNCTION("""COMPUTED_VALUE"""),"https://www.highbeam.com/doc/1G1-69458455.html    https://www.newspapers.com/image/190952500/?terms=Michael%2BLareau https://journaltimes.com/news/local/obituaries/teen-pleads-insanity-to-attempted-murder/article_a7e49db0-924c-5e2c-a4fe-0788ae0d9152.html "&amp;"https://www.newspapers.com/clip/33228611/wisconsin-state-journal/")</f>
        <v>https://www.highbeam.com/doc/1G1-69458455.html    https://www.newspapers.com/image/190952500/?terms=Michael%2BLareau https://journaltimes.com/news/local/obituaries/teen-pleads-insanity-to-attempted-murder/article_a7e49db0-924c-5e2c-a4fe-0788ae0d9152.html https://www.newspapers.com/clip/33228611/wisconsin-state-journal/</v>
      </c>
      <c r="L2479" s="8"/>
      <c r="M2479" s="8"/>
      <c r="N2479" s="8">
        <f ca="1">IFERROR(__xludf.DUMMYFUNCTION("""COMPUTED_VALUE"""),2)</f>
        <v>2</v>
      </c>
      <c r="O2479" s="8" t="str">
        <f ca="1">IFERROR(__xludf.DUMMYFUNCTION("""COMPUTED_VALUE"""),"Spring")</f>
        <v>Spring</v>
      </c>
      <c r="P2479" s="8" t="str">
        <f ca="1">IFERROR(__xludf.DUMMYFUNCTION("""COMPUTED_VALUE"""),"Pardeeville")</f>
        <v>Pardeeville</v>
      </c>
      <c r="Q2479" s="8" t="str">
        <f ca="1">IFERROR(__xludf.DUMMYFUNCTION("""COMPUTED_VALUE"""),"WI")</f>
        <v>WI</v>
      </c>
      <c r="R2479" s="8" t="str">
        <f ca="1">IFERROR(__xludf.DUMMYFUNCTION("""COMPUTED_VALUE"""),"Elementary")</f>
        <v>Elementary</v>
      </c>
      <c r="S2479" s="8" t="str">
        <f ca="1">IFERROR(__xludf.DUMMYFUNCTION("""COMPUTED_VALUE"""),"Parking Lot")</f>
        <v>Parking Lot</v>
      </c>
      <c r="T2479" s="8" t="str">
        <f ca="1">IFERROR(__xludf.DUMMYFUNCTION("""COMPUTED_VALUE"""),"Outside on School Property")</f>
        <v>Outside on School Property</v>
      </c>
      <c r="U2479" s="8" t="str">
        <f ca="1">IFERROR(__xludf.DUMMYFUNCTION("""COMPUTED_VALUE"""),"No")</f>
        <v>No</v>
      </c>
      <c r="V2479" s="8" t="str">
        <f ca="1">IFERROR(__xludf.DUMMYFUNCTION("""COMPUTED_VALUE"""),"After School")</f>
        <v>After School</v>
      </c>
      <c r="W2479" s="11">
        <f ca="1">IFERROR(__xludf.DUMMYFUNCTION("""COMPUTED_VALUE"""),0.875)</f>
        <v>0.875</v>
      </c>
      <c r="X2479" s="8">
        <f ca="1">IFERROR(__xludf.DUMMYFUNCTION("""COMPUTED_VALUE"""),1)</f>
        <v>1</v>
      </c>
      <c r="Y2479" s="12" t="str">
        <f ca="1">IFERROR(__xludf.DUMMYFUNCTION("""COMPUTED_VALUE"""),"Carjacking of janitor, shot him")</f>
        <v>Carjacking of janitor, shot him</v>
      </c>
      <c r="Z2479" s="12" t="str">
        <f ca="1">IFERROR(__xludf.DUMMYFUNCTION("""COMPUTED_VALUE"""),"Group of youths carjacked the school janitor when he was leaving. 15 year-old male shot him in the head during the carjacking.")</f>
        <v>Group of youths carjacked the school janitor when he was leaving. 15 year-old male shot him in the head during the carjacking.</v>
      </c>
      <c r="AA2479" s="8" t="str">
        <f ca="1">IFERROR(__xludf.DUMMYFUNCTION("""COMPUTED_VALUE"""),"Illegal Activity")</f>
        <v>Illegal Activity</v>
      </c>
      <c r="AB2479" s="8"/>
      <c r="AC2479" s="8"/>
      <c r="AD2479" s="8" t="str">
        <f ca="1">IFERROR(__xludf.DUMMYFUNCTION("""COMPUTED_VALUE"""),"Victims Targeted")</f>
        <v>Victims Targeted</v>
      </c>
      <c r="AE2479" s="8" t="str">
        <f ca="1">IFERROR(__xludf.DUMMYFUNCTION("""COMPUTED_VALUE"""),"Yes")</f>
        <v>Yes</v>
      </c>
      <c r="AF2479" s="8" t="str">
        <f ca="1">IFERROR(__xludf.DUMMYFUNCTION("""COMPUTED_VALUE"""),"4 teens arrested")</f>
        <v>4 teens arrested</v>
      </c>
      <c r="AG2479" s="8" t="str">
        <f ca="1">IFERROR(__xludf.DUMMYFUNCTION("""COMPUTED_VALUE"""),"No")</f>
        <v>No</v>
      </c>
      <c r="AH2479" s="8" t="str">
        <f ca="1">IFERROR(__xludf.DUMMYFUNCTION("""COMPUTED_VALUE"""),"No")</f>
        <v>No</v>
      </c>
      <c r="AI2479" s="8" t="str">
        <f ca="1">IFERROR(__xludf.DUMMYFUNCTION("""COMPUTED_VALUE"""),"No")</f>
        <v>No</v>
      </c>
      <c r="AJ2479" s="8" t="str">
        <f ca="1">IFERROR(__xludf.DUMMYFUNCTION("""COMPUTED_VALUE"""),"No")</f>
        <v>No</v>
      </c>
      <c r="AK2479" s="8" t="str">
        <f ca="1">IFERROR(__xludf.DUMMYFUNCTION("""COMPUTED_VALUE"""),"No")</f>
        <v>No</v>
      </c>
      <c r="AL2479" s="8" t="str">
        <f ca="1">IFERROR(__xludf.DUMMYFUNCTION("""COMPUTED_VALUE"""),"No")</f>
        <v>No</v>
      </c>
      <c r="AM2479" s="8"/>
      <c r="AN2479" s="8"/>
      <c r="AO2479" s="8" t="str">
        <f ca="1">IFERROR(__xludf.DUMMYFUNCTION("""COMPUTED_VALUE"""),"No")</f>
        <v>No</v>
      </c>
      <c r="AP2479" s="8"/>
      <c r="AQ2479" s="8" t="str">
        <f ca="1">IFERROR(__xludf.DUMMYFUNCTION("""COMPUTED_VALUE"""),"Unknown")</f>
        <v>Unknown</v>
      </c>
      <c r="AR2479" s="8" t="str">
        <f ca="1">IFERROR(__xludf.DUMMYFUNCTION("""COMPUTED_VALUE"""),"NA")</f>
        <v>NA</v>
      </c>
      <c r="AS2479" s="8"/>
      <c r="AT2479" s="8"/>
      <c r="AU2479" s="8">
        <f ca="1">IFERROR(__xludf.DUMMYFUNCTION("""COMPUTED_VALUE"""),43.600141)</f>
        <v>43.600141000000001</v>
      </c>
      <c r="AV2479" s="8">
        <f ca="1">IFERROR(__xludf.DUMMYFUNCTION("""COMPUTED_VALUE"""),-89.308567)</f>
        <v>-89.308566999999996</v>
      </c>
      <c r="AW2479" s="8"/>
      <c r="AX2479" s="8">
        <f ca="1">IFERROR(__xludf.DUMMYFUNCTION("""COMPUTED_VALUE"""),53954)</f>
        <v>53954</v>
      </c>
    </row>
    <row r="2480" spans="1:50" ht="75" x14ac:dyDescent="0.2">
      <c r="A2480" s="8" t="str">
        <f ca="1">IFERROR(__xludf.DUMMYFUNCTION("""COMPUTED_VALUE"""),"19980428CAPHP")</f>
        <v>19980428CAPHP</v>
      </c>
      <c r="B2480" s="8">
        <f ca="1">IFERROR(__xludf.DUMMYFUNCTION("""COMPUTED_VALUE"""),4)</f>
        <v>4</v>
      </c>
      <c r="C2480" s="8">
        <f ca="1">IFERROR(__xludf.DUMMYFUNCTION("""COMPUTED_VALUE"""),28)</f>
        <v>28</v>
      </c>
      <c r="D2480" s="8">
        <f ca="1">IFERROR(__xludf.DUMMYFUNCTION("""COMPUTED_VALUE"""),1998)</f>
        <v>1998</v>
      </c>
      <c r="E2480" s="9">
        <f ca="1">IFERROR(__xludf.DUMMYFUNCTION("""COMPUTED_VALUE"""),35913)</f>
        <v>35913</v>
      </c>
      <c r="F2480" s="8" t="str">
        <f ca="1">IFERROR(__xludf.DUMMYFUNCTION("""COMPUTED_VALUE"""),"Philadelphia Elementary School")</f>
        <v>Philadelphia Elementary School</v>
      </c>
      <c r="G2480" s="8">
        <f ca="1">IFERROR(__xludf.DUMMYFUNCTION("""COMPUTED_VALUE"""),1)</f>
        <v>1</v>
      </c>
      <c r="H2480" s="8">
        <f ca="1">IFERROR(__xludf.DUMMYFUNCTION("""COMPUTED_VALUE"""),2)</f>
        <v>2</v>
      </c>
      <c r="I2480" s="8">
        <f ca="1">IFERROR(__xludf.DUMMYFUNCTION("""COMPUTED_VALUE"""),3)</f>
        <v>3</v>
      </c>
      <c r="J2480" s="8">
        <f ca="1">IFERROR(__xludf.DUMMYFUNCTION("""COMPUTED_VALUE"""),0)</f>
        <v>0</v>
      </c>
      <c r="K2480" s="8" t="str">
        <f ca="1">IFERROR(__xludf.DUMMYFUNCTION("""COMPUTED_VALUE"""),"http://articles.latimes.com/1998/may/02/local/me-45493   https://www.newspapers.com/image/266177772/?terms=philadelphia%2Belementary%2Bschool https://www.latimes.com/archives/la-xpm-1998-apr-30-me-44591-story.html https://www.newspapers.com/image/16040230"&amp;"8/?terms=LOs%2BAngeles%2BTimes%2BPomona")</f>
        <v>http://articles.latimes.com/1998/may/02/local/me-45493   https://www.newspapers.com/image/266177772/?terms=philadelphia%2Belementary%2Bschool https://www.latimes.com/archives/la-xpm-1998-apr-30-me-44591-story.html https://www.newspapers.com/image/160402308/?terms=LOs%2BAngeles%2BTimes%2BPomona</v>
      </c>
      <c r="L2480" s="8"/>
      <c r="M2480" s="8"/>
      <c r="N2480" s="8">
        <f ca="1">IFERROR(__xludf.DUMMYFUNCTION("""COMPUTED_VALUE"""),2)</f>
        <v>2</v>
      </c>
      <c r="O2480" s="8" t="str">
        <f ca="1">IFERROR(__xludf.DUMMYFUNCTION("""COMPUTED_VALUE"""),"Spring")</f>
        <v>Spring</v>
      </c>
      <c r="P2480" s="8" t="str">
        <f ca="1">IFERROR(__xludf.DUMMYFUNCTION("""COMPUTED_VALUE"""),"Pomona")</f>
        <v>Pomona</v>
      </c>
      <c r="Q2480" s="8" t="str">
        <f ca="1">IFERROR(__xludf.DUMMYFUNCTION("""COMPUTED_VALUE"""),"CA")</f>
        <v>CA</v>
      </c>
      <c r="R2480" s="8" t="str">
        <f ca="1">IFERROR(__xludf.DUMMYFUNCTION("""COMPUTED_VALUE"""),"Elementary")</f>
        <v>Elementary</v>
      </c>
      <c r="S2480" s="8" t="str">
        <f ca="1">IFERROR(__xludf.DUMMYFUNCTION("""COMPUTED_VALUE"""),"Beside Building")</f>
        <v>Beside Building</v>
      </c>
      <c r="T2480" s="8" t="str">
        <f ca="1">IFERROR(__xludf.DUMMYFUNCTION("""COMPUTED_VALUE"""),"Outside on School Property")</f>
        <v>Outside on School Property</v>
      </c>
      <c r="U2480" s="8" t="str">
        <f ca="1">IFERROR(__xludf.DUMMYFUNCTION("""COMPUTED_VALUE"""),"No")</f>
        <v>No</v>
      </c>
      <c r="V2480" s="8" t="str">
        <f ca="1">IFERROR(__xludf.DUMMYFUNCTION("""COMPUTED_VALUE"""),"After School")</f>
        <v>After School</v>
      </c>
      <c r="W2480" s="8"/>
      <c r="X2480" s="8">
        <f ca="1">IFERROR(__xludf.DUMMYFUNCTION("""COMPUTED_VALUE"""),1)</f>
        <v>1</v>
      </c>
      <c r="Y2480" s="12" t="str">
        <f ca="1">IFERROR(__xludf.DUMMYFUNCTION("""COMPUTED_VALUE"""),"Disagreement between rival gang members")</f>
        <v>Disagreement between rival gang members</v>
      </c>
      <c r="Z2480" s="12" t="str">
        <f ca="1">IFERROR(__xludf.DUMMYFUNCTION("""COMPUTED_VALUE"""),"Dispute between members of rival ""party crews"". To resolve the dispute, agreed to meet behind the elementary school after classes had ended. 14 year-old male killed 17 year-old male and 14 year-old male and injured 15 year-old male then fled the scene.")</f>
        <v>Dispute between members of rival "party crews". To resolve the dispute, agreed to meet behind the elementary school after classes had ended. 14 year-old male killed 17 year-old male and 14 year-old male and injured 15 year-old male then fled the scene.</v>
      </c>
      <c r="AA2480" s="8" t="str">
        <f ca="1">IFERROR(__xludf.DUMMYFUNCTION("""COMPUTED_VALUE"""),"Escalation of Dispute")</f>
        <v>Escalation of Dispute</v>
      </c>
      <c r="AB2480" s="8"/>
      <c r="AC2480" s="8"/>
      <c r="AD2480" s="8" t="str">
        <f ca="1">IFERROR(__xludf.DUMMYFUNCTION("""COMPUTED_VALUE"""),"Victims Targeted")</f>
        <v>Victims Targeted</v>
      </c>
      <c r="AE2480" s="8" t="str">
        <f ca="1">IFERROR(__xludf.DUMMYFUNCTION("""COMPUTED_VALUE"""),"No")</f>
        <v>No</v>
      </c>
      <c r="AF2480" s="8"/>
      <c r="AG2480" s="8" t="str">
        <f ca="1">IFERROR(__xludf.DUMMYFUNCTION("""COMPUTED_VALUE"""),"No")</f>
        <v>No</v>
      </c>
      <c r="AH2480" s="8" t="str">
        <f ca="1">IFERROR(__xludf.DUMMYFUNCTION("""COMPUTED_VALUE"""),"No")</f>
        <v>No</v>
      </c>
      <c r="AI2480" s="8" t="str">
        <f ca="1">IFERROR(__xludf.DUMMYFUNCTION("""COMPUTED_VALUE"""),"No")</f>
        <v>No</v>
      </c>
      <c r="AJ2480" s="8" t="str">
        <f ca="1">IFERROR(__xludf.DUMMYFUNCTION("""COMPUTED_VALUE"""),"No")</f>
        <v>No</v>
      </c>
      <c r="AK2480" s="8" t="str">
        <f ca="1">IFERROR(__xludf.DUMMYFUNCTION("""COMPUTED_VALUE"""),"No")</f>
        <v>No</v>
      </c>
      <c r="AL2480" s="8" t="str">
        <f ca="1">IFERROR(__xludf.DUMMYFUNCTION("""COMPUTED_VALUE"""),"Yes")</f>
        <v>Yes</v>
      </c>
      <c r="AM2480" s="8"/>
      <c r="AN2480" s="8"/>
      <c r="AO2480" s="8" t="str">
        <f ca="1">IFERROR(__xludf.DUMMYFUNCTION("""COMPUTED_VALUE"""),"No")</f>
        <v>No</v>
      </c>
      <c r="AP2480" s="8"/>
      <c r="AQ2480" s="8" t="str">
        <f ca="1">IFERROR(__xludf.DUMMYFUNCTION("""COMPUTED_VALUE"""),"Unknown")</f>
        <v>Unknown</v>
      </c>
      <c r="AR2480" s="8" t="str">
        <f ca="1">IFERROR(__xludf.DUMMYFUNCTION("""COMPUTED_VALUE"""),"NA")</f>
        <v>NA</v>
      </c>
      <c r="AS2480" s="8"/>
      <c r="AT2480" s="8"/>
      <c r="AU2480" s="8">
        <f ca="1">IFERROR(__xludf.DUMMYFUNCTION("""COMPUTED_VALUE"""),34.03264)</f>
        <v>34.032640000000001</v>
      </c>
      <c r="AV2480" s="8">
        <f ca="1">IFERROR(__xludf.DUMMYFUNCTION("""COMPUTED_VALUE"""),-117.74344)</f>
        <v>-117.74344000000001</v>
      </c>
      <c r="AW2480" s="8"/>
      <c r="AX2480" s="8">
        <f ca="1">IFERROR(__xludf.DUMMYFUNCTION("""COMPUTED_VALUE"""),91766)</f>
        <v>91766</v>
      </c>
    </row>
    <row r="2481" spans="1:50" ht="120" x14ac:dyDescent="0.2">
      <c r="A2481" s="8" t="str">
        <f ca="1">IFERROR(__xludf.DUMMYFUNCTION("""COMPUTED_VALUE"""),"19980424PAPAE")</f>
        <v>19980424PAPAE</v>
      </c>
      <c r="B2481" s="8">
        <f ca="1">IFERROR(__xludf.DUMMYFUNCTION("""COMPUTED_VALUE"""),4)</f>
        <v>4</v>
      </c>
      <c r="C2481" s="8">
        <f ca="1">IFERROR(__xludf.DUMMYFUNCTION("""COMPUTED_VALUE"""),24)</f>
        <v>24</v>
      </c>
      <c r="D2481" s="8">
        <f ca="1">IFERROR(__xludf.DUMMYFUNCTION("""COMPUTED_VALUE"""),1998)</f>
        <v>1998</v>
      </c>
      <c r="E2481" s="9">
        <f ca="1">IFERROR(__xludf.DUMMYFUNCTION("""COMPUTED_VALUE"""),35909)</f>
        <v>35909</v>
      </c>
      <c r="F2481" s="8" t="str">
        <f ca="1">IFERROR(__xludf.DUMMYFUNCTION("""COMPUTED_VALUE"""),"Parker Middle School")</f>
        <v>Parker Middle School</v>
      </c>
      <c r="G2481" s="8">
        <f ca="1">IFERROR(__xludf.DUMMYFUNCTION("""COMPUTED_VALUE"""),1)</f>
        <v>1</v>
      </c>
      <c r="H2481" s="8">
        <f ca="1">IFERROR(__xludf.DUMMYFUNCTION("""COMPUTED_VALUE"""),3)</f>
        <v>3</v>
      </c>
      <c r="I2481" s="8">
        <f ca="1">IFERROR(__xludf.DUMMYFUNCTION("""COMPUTED_VALUE"""),4)</f>
        <v>4</v>
      </c>
      <c r="J2481" s="8">
        <f ca="1">IFERROR(__xludf.DUMMYFUNCTION("""COMPUTED_VALUE"""),0)</f>
        <v>0</v>
      </c>
      <c r="K2481" s="8" t="str">
        <f ca="1">IFERROR(__xludf.DUMMYFUNCTION("""COMPUTED_VALUE"""),"http://www.cnn.com/US/9804/25/school.shooting.pm/ https://www.nytimes.com/1998/04/26/us/student-guns-down-science-teacher-chaperoning-school-dance.html https://old.post-gazette.com/regionstate/19990910teacher1.asp")</f>
        <v>http://www.cnn.com/US/9804/25/school.shooting.pm/ https://www.nytimes.com/1998/04/26/us/student-guns-down-science-teacher-chaperoning-school-dance.html https://old.post-gazette.com/regionstate/19990910teacher1.asp</v>
      </c>
      <c r="L2481" s="8"/>
      <c r="M2481" s="8"/>
      <c r="N2481" s="8">
        <f ca="1">IFERROR(__xludf.DUMMYFUNCTION("""COMPUTED_VALUE"""),2)</f>
        <v>2</v>
      </c>
      <c r="O2481" s="8" t="str">
        <f ca="1">IFERROR(__xludf.DUMMYFUNCTION("""COMPUTED_VALUE"""),"Spring")</f>
        <v>Spring</v>
      </c>
      <c r="P2481" s="8" t="str">
        <f ca="1">IFERROR(__xludf.DUMMYFUNCTION("""COMPUTED_VALUE"""),"Edinboro")</f>
        <v>Edinboro</v>
      </c>
      <c r="Q2481" s="8" t="str">
        <f ca="1">IFERROR(__xludf.DUMMYFUNCTION("""COMPUTED_VALUE"""),"PA")</f>
        <v>PA</v>
      </c>
      <c r="R2481" s="8" t="str">
        <f ca="1">IFERROR(__xludf.DUMMYFUNCTION("""COMPUTED_VALUE"""),"Middle")</f>
        <v>Middle</v>
      </c>
      <c r="S2481" s="8" t="str">
        <f ca="1">IFERROR(__xludf.DUMMYFUNCTION("""COMPUTED_VALUE"""),"Off School Property")</f>
        <v>Off School Property</v>
      </c>
      <c r="T2481" s="8" t="str">
        <f ca="1">IFERROR(__xludf.DUMMYFUNCTION("""COMPUTED_VALUE"""),"Off School Property")</f>
        <v>Off School Property</v>
      </c>
      <c r="U2481" s="8" t="str">
        <f ca="1">IFERROR(__xludf.DUMMYFUNCTION("""COMPUTED_VALUE"""),"No")</f>
        <v>No</v>
      </c>
      <c r="V2481" s="8" t="str">
        <f ca="1">IFERROR(__xludf.DUMMYFUNCTION("""COMPUTED_VALUE"""),"School Event")</f>
        <v>School Event</v>
      </c>
      <c r="W2481" s="11">
        <f ca="1">IFERROR(__xludf.DUMMYFUNCTION("""COMPUTED_VALUE"""),0.916666666666666)</f>
        <v>0.91666666666666596</v>
      </c>
      <c r="X2481" s="8">
        <f ca="1">IFERROR(__xludf.DUMMYFUNCTION("""COMPUTED_VALUE"""),1)</f>
        <v>1</v>
      </c>
      <c r="Y2481" s="12" t="str">
        <f ca="1">IFERROR(__xludf.DUMMYFUNCTION("""COMPUTED_VALUE"""),"Planned attack at school dance")</f>
        <v>Planned attack at school dance</v>
      </c>
      <c r="Z2481" s="12" t="str">
        <f ca="1">IFERROR(__xludf.DUMMYFUNCTION("""COMPUTED_VALUE"""),"End of year dance was at a local restaurant. Shooter shot and killed a teacher standing outside and then fired shots at the dance floor striking 3 students. Restaurant owner armed with a shotgun chased the shooter down and held him until police arrived. S"&amp;"hooter said he wanted to make the night memorable. Shooter had been normal but became distant before the shooting. He told other students he wanted to kill them and commit suicide.")</f>
        <v>End of year dance was at a local restaurant. Shooter shot and killed a teacher standing outside and then fired shots at the dance floor striking 3 students. Restaurant owner armed with a shotgun chased the shooter down and held him until police arrived. Shooter said he wanted to make the night memorable. Shooter had been normal but became distant before the shooting. He told other students he wanted to kill them and commit suicide.</v>
      </c>
      <c r="AA2481" s="8" t="str">
        <f ca="1">IFERROR(__xludf.DUMMYFUNCTION("""COMPUTED_VALUE"""),"Indiscriminate Shooting")</f>
        <v>Indiscriminate Shooting</v>
      </c>
      <c r="AB2481" s="8"/>
      <c r="AC2481" s="8"/>
      <c r="AD2481" s="8" t="str">
        <f ca="1">IFERROR(__xludf.DUMMYFUNCTION("""COMPUTED_VALUE"""),"Random Shooting")</f>
        <v>Random Shooting</v>
      </c>
      <c r="AE2481" s="8" t="str">
        <f ca="1">IFERROR(__xludf.DUMMYFUNCTION("""COMPUTED_VALUE"""),"No")</f>
        <v>No</v>
      </c>
      <c r="AF2481" s="8"/>
      <c r="AG2481" s="8" t="str">
        <f ca="1">IFERROR(__xludf.DUMMYFUNCTION("""COMPUTED_VALUE"""),"No")</f>
        <v>No</v>
      </c>
      <c r="AH2481" s="8" t="str">
        <f ca="1">IFERROR(__xludf.DUMMYFUNCTION("""COMPUTED_VALUE"""),"No")</f>
        <v>No</v>
      </c>
      <c r="AI2481" s="8" t="str">
        <f ca="1">IFERROR(__xludf.DUMMYFUNCTION("""COMPUTED_VALUE"""),"No")</f>
        <v>No</v>
      </c>
      <c r="AJ2481" s="8" t="str">
        <f ca="1">IFERROR(__xludf.DUMMYFUNCTION("""COMPUTED_VALUE"""),"No")</f>
        <v>No</v>
      </c>
      <c r="AK2481" s="8" t="str">
        <f ca="1">IFERROR(__xludf.DUMMYFUNCTION("""COMPUTED_VALUE"""),"No")</f>
        <v>No</v>
      </c>
      <c r="AL2481" s="8" t="str">
        <f ca="1">IFERROR(__xludf.DUMMYFUNCTION("""COMPUTED_VALUE"""),"No")</f>
        <v>No</v>
      </c>
      <c r="AM2481" s="8" t="str">
        <f ca="1">IFERROR(__xludf.DUMMYFUNCTION("""COMPUTED_VALUE"""),"Yes")</f>
        <v>Yes</v>
      </c>
      <c r="AN2481" s="8" t="str">
        <f ca="1">IFERROR(__xludf.DUMMYFUNCTION("""COMPUTED_VALUE"""),"Multiple Rooms")</f>
        <v>Multiple Rooms</v>
      </c>
      <c r="AO2481" s="8" t="str">
        <f ca="1">IFERROR(__xludf.DUMMYFUNCTION("""COMPUTED_VALUE"""),"Yes")</f>
        <v>Yes</v>
      </c>
      <c r="AP2481" s="8"/>
      <c r="AQ2481" s="8" t="str">
        <f ca="1">IFERROR(__xludf.DUMMYFUNCTION("""COMPUTED_VALUE"""),"Unknown")</f>
        <v>Unknown</v>
      </c>
      <c r="AR2481" s="8" t="str">
        <f ca="1">IFERROR(__xludf.DUMMYFUNCTION("""COMPUTED_VALUE"""),"NA")</f>
        <v>NA</v>
      </c>
      <c r="AS2481" s="8"/>
      <c r="AT2481" s="8"/>
      <c r="AU2481" s="8">
        <f ca="1">IFERROR(__xludf.DUMMYFUNCTION("""COMPUTED_VALUE"""),41.915233)</f>
        <v>41.915233000000001</v>
      </c>
      <c r="AV2481" s="8">
        <f ca="1">IFERROR(__xludf.DUMMYFUNCTION("""COMPUTED_VALUE"""),-80.121089)</f>
        <v>-80.121088999999998</v>
      </c>
      <c r="AW2481" s="8"/>
      <c r="AX2481" s="8">
        <f ca="1">IFERROR(__xludf.DUMMYFUNCTION("""COMPUTED_VALUE"""),16412)</f>
        <v>16412</v>
      </c>
    </row>
    <row r="2482" spans="1:50" ht="45" x14ac:dyDescent="0.2">
      <c r="A2482" s="8" t="str">
        <f ca="1">IFERROR(__xludf.DUMMYFUNCTION("""COMPUTED_VALUE"""),"19980423CACUL")</f>
        <v>19980423CACUL</v>
      </c>
      <c r="B2482" s="8">
        <f ca="1">IFERROR(__xludf.DUMMYFUNCTION("""COMPUTED_VALUE"""),4)</f>
        <v>4</v>
      </c>
      <c r="C2482" s="8">
        <f ca="1">IFERROR(__xludf.DUMMYFUNCTION("""COMPUTED_VALUE"""),23)</f>
        <v>23</v>
      </c>
      <c r="D2482" s="8">
        <f ca="1">IFERROR(__xludf.DUMMYFUNCTION("""COMPUTED_VALUE"""),1998)</f>
        <v>1998</v>
      </c>
      <c r="E2482" s="9">
        <f ca="1">IFERROR(__xludf.DUMMYFUNCTION("""COMPUTED_VALUE"""),35908)</f>
        <v>35908</v>
      </c>
      <c r="F2482" s="8" t="str">
        <f ca="1">IFERROR(__xludf.DUMMYFUNCTION("""COMPUTED_VALUE"""),"Culver City High School")</f>
        <v>Culver City High School</v>
      </c>
      <c r="G2482" s="8">
        <f ca="1">IFERROR(__xludf.DUMMYFUNCTION("""COMPUTED_VALUE"""),0)</f>
        <v>0</v>
      </c>
      <c r="H2482" s="8">
        <f ca="1">IFERROR(__xludf.DUMMYFUNCTION("""COMPUTED_VALUE"""),2)</f>
        <v>2</v>
      </c>
      <c r="I2482" s="8">
        <f ca="1">IFERROR(__xludf.DUMMYFUNCTION("""COMPUTED_VALUE"""),2)</f>
        <v>2</v>
      </c>
      <c r="J2482" s="8">
        <f ca="1">IFERROR(__xludf.DUMMYFUNCTION("""COMPUTED_VALUE"""),0)</f>
        <v>0</v>
      </c>
      <c r="K2482" s="8" t="str">
        <f ca="1">IFERROR(__xludf.DUMMYFUNCTION("""COMPUTED_VALUE"""),"http://articles.latimes.com/1998/apr/23/local/me-42231 http://www.columbine-angels.com/School_Violence_1997-1998.htm https://www.latimes.com/archives/la-xpm-1998-apr-24-me-42504-story.html")</f>
        <v>http://articles.latimes.com/1998/apr/23/local/me-42231 http://www.columbine-angels.com/School_Violence_1997-1998.htm https://www.latimes.com/archives/la-xpm-1998-apr-24-me-42504-story.html</v>
      </c>
      <c r="L2482" s="8"/>
      <c r="M2482" s="8"/>
      <c r="N2482" s="8">
        <f ca="1">IFERROR(__xludf.DUMMYFUNCTION("""COMPUTED_VALUE"""),2)</f>
        <v>2</v>
      </c>
      <c r="O2482" s="8" t="str">
        <f ca="1">IFERROR(__xludf.DUMMYFUNCTION("""COMPUTED_VALUE"""),"Spring")</f>
        <v>Spring</v>
      </c>
      <c r="P2482" s="8" t="str">
        <f ca="1">IFERROR(__xludf.DUMMYFUNCTION("""COMPUTED_VALUE"""),"Los Angeles")</f>
        <v>Los Angeles</v>
      </c>
      <c r="Q2482" s="8" t="str">
        <f ca="1">IFERROR(__xludf.DUMMYFUNCTION("""COMPUTED_VALUE"""),"CA")</f>
        <v>CA</v>
      </c>
      <c r="R2482" s="8" t="str">
        <f ca="1">IFERROR(__xludf.DUMMYFUNCTION("""COMPUTED_VALUE"""),"High")</f>
        <v>High</v>
      </c>
      <c r="S2482" s="8" t="str">
        <f ca="1">IFERROR(__xludf.DUMMYFUNCTION("""COMPUTED_VALUE"""),"Front of School")</f>
        <v>Front of School</v>
      </c>
      <c r="T2482" s="8" t="str">
        <f ca="1">IFERROR(__xludf.DUMMYFUNCTION("""COMPUTED_VALUE"""),"Outside on School Property")</f>
        <v>Outside on School Property</v>
      </c>
      <c r="U2482" s="8" t="str">
        <f ca="1">IFERROR(__xludf.DUMMYFUNCTION("""COMPUTED_VALUE"""),"Yes")</f>
        <v>Yes</v>
      </c>
      <c r="V2482" s="8" t="str">
        <f ca="1">IFERROR(__xludf.DUMMYFUNCTION("""COMPUTED_VALUE"""),"Afternoon Classes")</f>
        <v>Afternoon Classes</v>
      </c>
      <c r="W2482" s="11">
        <f ca="1">IFERROR(__xludf.DUMMYFUNCTION("""COMPUTED_VALUE"""),0.583333333333333)</f>
        <v>0.58333333333333304</v>
      </c>
      <c r="X2482" s="8">
        <f ca="1">IFERROR(__xludf.DUMMYFUNCTION("""COMPUTED_VALUE"""),1)</f>
        <v>1</v>
      </c>
      <c r="Y2482" s="12" t="str">
        <f ca="1">IFERROR(__xludf.DUMMYFUNCTION("""COMPUTED_VALUE"""),"Drive by shooting outside of school")</f>
        <v>Drive by shooting outside of school</v>
      </c>
      <c r="Z2482" s="12" t="str">
        <f ca="1">IFERROR(__xludf.DUMMYFUNCTION("""COMPUTED_VALUE"""),"Two students outside of the school were shot in a drive by shooting. It was unclear if the students were part of a gang or mistaken for gang members. No shooter identified.")</f>
        <v>Two students outside of the school were shot in a drive by shooting. It was unclear if the students were part of a gang or mistaken for gang members. No shooter identified.</v>
      </c>
      <c r="AA2482" s="8" t="str">
        <f ca="1">IFERROR(__xludf.DUMMYFUNCTION("""COMPUTED_VALUE"""),"Drive-by Shooting")</f>
        <v>Drive-by Shooting</v>
      </c>
      <c r="AB2482" s="8"/>
      <c r="AC2482" s="8"/>
      <c r="AD2482" s="8"/>
      <c r="AE2482" s="8" t="str">
        <f ca="1">IFERROR(__xludf.DUMMYFUNCTION("""COMPUTED_VALUE"""),"Unknown")</f>
        <v>Unknown</v>
      </c>
      <c r="AF2482" s="8"/>
      <c r="AG2482" s="8" t="str">
        <f ca="1">IFERROR(__xludf.DUMMYFUNCTION("""COMPUTED_VALUE"""),"No")</f>
        <v>No</v>
      </c>
      <c r="AH2482" s="8" t="str">
        <f ca="1">IFERROR(__xludf.DUMMYFUNCTION("""COMPUTED_VALUE"""),"No")</f>
        <v>No</v>
      </c>
      <c r="AI2482" s="8" t="str">
        <f ca="1">IFERROR(__xludf.DUMMYFUNCTION("""COMPUTED_VALUE"""),"No")</f>
        <v>No</v>
      </c>
      <c r="AJ2482" s="8" t="str">
        <f ca="1">IFERROR(__xludf.DUMMYFUNCTION("""COMPUTED_VALUE"""),"No")</f>
        <v>No</v>
      </c>
      <c r="AK2482" s="8" t="str">
        <f ca="1">IFERROR(__xludf.DUMMYFUNCTION("""COMPUTED_VALUE"""),"No")</f>
        <v>No</v>
      </c>
      <c r="AL2482" s="8" t="str">
        <f ca="1">IFERROR(__xludf.DUMMYFUNCTION("""COMPUTED_VALUE"""),"Yes")</f>
        <v>Yes</v>
      </c>
      <c r="AM2482" s="8"/>
      <c r="AN2482" s="8"/>
      <c r="AO2482" s="8" t="str">
        <f ca="1">IFERROR(__xludf.DUMMYFUNCTION("""COMPUTED_VALUE"""),"No")</f>
        <v>No</v>
      </c>
      <c r="AP2482" s="8"/>
      <c r="AQ2482" s="8" t="str">
        <f ca="1">IFERROR(__xludf.DUMMYFUNCTION("""COMPUTED_VALUE"""),"Unknown")</f>
        <v>Unknown</v>
      </c>
      <c r="AR2482" s="8" t="str">
        <f ca="1">IFERROR(__xludf.DUMMYFUNCTION("""COMPUTED_VALUE"""),"NA")</f>
        <v>NA</v>
      </c>
      <c r="AS2482" s="8">
        <f ca="1">IFERROR(__xludf.DUMMYFUNCTION("""COMPUTED_VALUE"""),5)</f>
        <v>5</v>
      </c>
      <c r="AT2482" s="8"/>
      <c r="AU2482" s="8">
        <f ca="1">IFERROR(__xludf.DUMMYFUNCTION("""COMPUTED_VALUE"""),34.006834)</f>
        <v>34.006833999999998</v>
      </c>
      <c r="AV2482" s="8">
        <f ca="1">IFERROR(__xludf.DUMMYFUNCTION("""COMPUTED_VALUE"""),-118.401315)</f>
        <v>-118.401315</v>
      </c>
      <c r="AW2482" s="8"/>
      <c r="AX2482" s="8">
        <f ca="1">IFERROR(__xludf.DUMMYFUNCTION("""COMPUTED_VALUE"""),90230)</f>
        <v>90230</v>
      </c>
    </row>
    <row r="2483" spans="1:50" ht="330" x14ac:dyDescent="0.2">
      <c r="A2483" s="8" t="str">
        <f ca="1">IFERROR(__xludf.DUMMYFUNCTION("""COMPUTED_VALUE"""),"19980409IDTHA")</f>
        <v>19980409IDTHA</v>
      </c>
      <c r="B2483" s="8">
        <f ca="1">IFERROR(__xludf.DUMMYFUNCTION("""COMPUTED_VALUE"""),4)</f>
        <v>4</v>
      </c>
      <c r="C2483" s="8">
        <f ca="1">IFERROR(__xludf.DUMMYFUNCTION("""COMPUTED_VALUE"""),9)</f>
        <v>9</v>
      </c>
      <c r="D2483" s="8">
        <f ca="1">IFERROR(__xludf.DUMMYFUNCTION("""COMPUTED_VALUE"""),1998)</f>
        <v>1998</v>
      </c>
      <c r="E2483" s="9">
        <f ca="1">IFERROR(__xludf.DUMMYFUNCTION("""COMPUTED_VALUE"""),35894)</f>
        <v>35894</v>
      </c>
      <c r="F2483" s="8" t="str">
        <f ca="1">IFERROR(__xludf.DUMMYFUNCTION("""COMPUTED_VALUE"""),"The Alternate School")</f>
        <v>The Alternate School</v>
      </c>
      <c r="G2483" s="8">
        <f ca="1">IFERROR(__xludf.DUMMYFUNCTION("""COMPUTED_VALUE"""),0)</f>
        <v>0</v>
      </c>
      <c r="H2483" s="8">
        <f ca="1">IFERROR(__xludf.DUMMYFUNCTION("""COMPUTED_VALUE"""),0)</f>
        <v>0</v>
      </c>
      <c r="I2483" s="8">
        <f ca="1">IFERROR(__xludf.DUMMYFUNCTION("""COMPUTED_VALUE"""),0)</f>
        <v>0</v>
      </c>
      <c r="J2483" s="8">
        <f ca="1">IFERROR(__xludf.DUMMYFUNCTION("""COMPUTED_VALUE"""),0)</f>
        <v>0</v>
      </c>
      <c r="K2483" s="8" t="str">
        <f ca="1">IFERROR(__xludf.DUMMYFUNCTION("""COMPUTED_VALUE"""),"https://apnews.com/article/f5000c8983cd4292bc063d213a9015eb
https://greensboro.com/hostage-standoff-at-school-ends-with-pizza-soda/article_d803b03f-8fdb-5188-aaa5-5266f7217080.html
https://www.newspapers.com/image/575248754/?terms=Pocatello%20standoff&amp;mat"&amp;"ch=1")</f>
        <v>https://apnews.com/article/f5000c8983cd4292bc063d213a9015eb
https://greensboro.com/hostage-standoff-at-school-ends-with-pizza-soda/article_d803b03f-8fdb-5188-aaa5-5266f7217080.html
https://www.newspapers.com/image/575248754/?terms=Pocatello%20standoff&amp;match=1</v>
      </c>
      <c r="L2483" s="8">
        <f ca="1">IFERROR(__xludf.DUMMYFUNCTION("""COMPUTED_VALUE"""),100)</f>
        <v>100</v>
      </c>
      <c r="M2483" s="8" t="str">
        <f ca="1">IFERROR(__xludf.DUMMYFUNCTION("""COMPUTED_VALUE"""),"National")</f>
        <v>National</v>
      </c>
      <c r="N2483" s="8">
        <f ca="1">IFERROR(__xludf.DUMMYFUNCTION("""COMPUTED_VALUE"""),4)</f>
        <v>4</v>
      </c>
      <c r="O2483" s="8" t="str">
        <f ca="1">IFERROR(__xludf.DUMMYFUNCTION("""COMPUTED_VALUE"""),"Spring")</f>
        <v>Spring</v>
      </c>
      <c r="P2483" s="8" t="str">
        <f ca="1">IFERROR(__xludf.DUMMYFUNCTION("""COMPUTED_VALUE"""),"Pocatello")</f>
        <v>Pocatello</v>
      </c>
      <c r="Q2483" s="8" t="str">
        <f ca="1">IFERROR(__xludf.DUMMYFUNCTION("""COMPUTED_VALUE"""),"ID")</f>
        <v>ID</v>
      </c>
      <c r="R2483" s="8" t="str">
        <f ca="1">IFERROR(__xludf.DUMMYFUNCTION("""COMPUTED_VALUE"""),"6-12")</f>
        <v>6-12</v>
      </c>
      <c r="S2483" s="8" t="str">
        <f ca="1">IFERROR(__xludf.DUMMYFUNCTION("""COMPUTED_VALUE"""),"Classroom")</f>
        <v>Classroom</v>
      </c>
      <c r="T2483" s="8" t="str">
        <f ca="1">IFERROR(__xludf.DUMMYFUNCTION("""COMPUTED_VALUE"""),"Inside School Building")</f>
        <v>Inside School Building</v>
      </c>
      <c r="U2483" s="8" t="str">
        <f ca="1">IFERROR(__xludf.DUMMYFUNCTION("""COMPUTED_VALUE"""),"Yes")</f>
        <v>Yes</v>
      </c>
      <c r="V2483" s="8" t="str">
        <f ca="1">IFERROR(__xludf.DUMMYFUNCTION("""COMPUTED_VALUE"""),"Morning Classes")</f>
        <v>Morning Classes</v>
      </c>
      <c r="W2483" s="11">
        <f ca="1">IFERROR(__xludf.DUMMYFUNCTION("""COMPUTED_VALUE"""),0.354166666666666)</f>
        <v>0.35416666666666602</v>
      </c>
      <c r="X2483" s="8">
        <f ca="1">IFERROR(__xludf.DUMMYFUNCTION("""COMPUTED_VALUE"""),300)</f>
        <v>300</v>
      </c>
      <c r="Y2483" s="12" t="str">
        <f ca="1">IFERROR(__xludf.DUMMYFUNCTION("""COMPUTED_VALUE"""),"Student fired shot and took 12 students hostage for 5 hours")</f>
        <v>Student fired shot and took 12 students hostage for 5 hours</v>
      </c>
      <c r="Z2483" s="12" t="str">
        <f ca="1">IFERROR(__xludf.DUMMYFUNCTION("""COMPUTED_VALUE"""),"A five-hour standoff between an armed student and police ended peacefully after officers delivered on the 14-year-old gunman’s demands: pizza, soda and cigarettes. 
After initially holding about a dozen students inside The Alternate School for troubled y"&amp;"ouths Thursday, Mitchell Gushwa let them leave. Four students remained with Gushwa voluntarily until he gave up, police said. The standoff began about 8:30 a.m. as principal Paul Matthews, a secretary, three teachers and about 20 students met in the multi"&amp;"purpose room. Matthews had just begun his daily routine of explaining what would be on the students’ agenda when Gushwa pulled a gun. Gushwa ordered the teachers into another room and fired a shot into the ceiling above a door, police said. The principal,"&amp;" secretary, teachers and about half the students made it out of the school after Gushwa pulled the gun. After police refused Gushwa’s initial demand for liquor and cigarettes, he agreed about 90 minutes after the standoff began to trade a .22 semiautomati"&amp;"c for three packs of Marlboros. He later gave up his .45-caliber semiautomatic for a large Domino’s combination pizza, a variety of soda pop, bags of chips and a hat to hide his face when he emerged.")</f>
        <v>A five-hour standoff between an armed student and police ended peacefully after officers delivered on the 14-year-old gunman’s demands: pizza, soda and cigarettes. 
After initially holding about a dozen students inside The Alternate School for troubled youths Thursday, Mitchell Gushwa let them leave. Four students remained with Gushwa voluntarily until he gave up, police said. The standoff began about 8:30 a.m. as principal Paul Matthews, a secretary, three teachers and about 20 students met in the multipurpose room. Matthews had just begun his daily routine of explaining what would be on the students’ agenda when Gushwa pulled a gun. Gushwa ordered the teachers into another room and fired a shot into the ceiling above a door, police said. The principal, secretary, teachers and about half the students made it out of the school after Gushwa pulled the gun. After police refused Gushwa’s initial demand for liquor and cigarettes, he agreed about 90 minutes after the standoff began to trade a .22 semiautomatic for three packs of Marlboros. He later gave up his .45-caliber semiautomatic for a large Domino’s combination pizza, a variety of soda pop, bags of chips and a hat to hide his face when he emerged.</v>
      </c>
      <c r="AA2483" s="8" t="str">
        <f ca="1">IFERROR(__xludf.DUMMYFUNCTION("""COMPUTED_VALUE"""),"Hostage/Standoff")</f>
        <v>Hostage/Standoff</v>
      </c>
      <c r="AB2483" s="8" t="str">
        <f ca="1">IFERROR(__xludf.DUMMYFUNCTION("""COMPUTED_VALUE"""),"Active Shooter/Planned Attack")</f>
        <v>Active Shooter/Planned Attack</v>
      </c>
      <c r="AC2483" s="8" t="str">
        <f ca="1">IFERROR(__xludf.DUMMYFUNCTION("""COMPUTED_VALUE"""),"Yes")</f>
        <v>Yes</v>
      </c>
      <c r="AD2483" s="8" t="str">
        <f ca="1">IFERROR(__xludf.DUMMYFUNCTION("""COMPUTED_VALUE"""),"Neither")</f>
        <v>Neither</v>
      </c>
      <c r="AE2483" s="8" t="str">
        <f ca="1">IFERROR(__xludf.DUMMYFUNCTION("""COMPUTED_VALUE"""),"No")</f>
        <v>No</v>
      </c>
      <c r="AF2483" s="8"/>
      <c r="AG2483" s="8" t="str">
        <f ca="1">IFERROR(__xludf.DUMMYFUNCTION("""COMPUTED_VALUE"""),"Yes")</f>
        <v>Yes</v>
      </c>
      <c r="AH2483" s="8" t="str">
        <f ca="1">IFERROR(__xludf.DUMMYFUNCTION("""COMPUTED_VALUE"""),"Yes")</f>
        <v>Yes</v>
      </c>
      <c r="AI2483" s="8" t="str">
        <f ca="1">IFERROR(__xludf.DUMMYFUNCTION("""COMPUTED_VALUE"""),"No")</f>
        <v>No</v>
      </c>
      <c r="AJ2483" s="8"/>
      <c r="AK2483" s="8" t="str">
        <f ca="1">IFERROR(__xludf.DUMMYFUNCTION("""COMPUTED_VALUE"""),"No")</f>
        <v>No</v>
      </c>
      <c r="AL2483" s="8" t="str">
        <f ca="1">IFERROR(__xludf.DUMMYFUNCTION("""COMPUTED_VALUE"""),"No")</f>
        <v>No</v>
      </c>
      <c r="AM2483" s="8" t="str">
        <f ca="1">IFERROR(__xludf.DUMMYFUNCTION("""COMPUTED_VALUE"""),"Yes")</f>
        <v>Yes</v>
      </c>
      <c r="AN2483" s="8" t="str">
        <f ca="1">IFERROR(__xludf.DUMMYFUNCTION("""COMPUTED_VALUE"""),"Single Room")</f>
        <v>Single Room</v>
      </c>
      <c r="AO2483" s="8" t="str">
        <f ca="1">IFERROR(__xludf.DUMMYFUNCTION("""COMPUTED_VALUE"""),"Yes")</f>
        <v>Yes</v>
      </c>
      <c r="AP2483" s="8"/>
      <c r="AQ2483" s="8" t="str">
        <f ca="1">IFERROR(__xludf.DUMMYFUNCTION("""COMPUTED_VALUE"""),"Unknown")</f>
        <v>Unknown</v>
      </c>
      <c r="AR2483" s="8"/>
      <c r="AS2483" s="8">
        <f ca="1">IFERROR(__xludf.DUMMYFUNCTION("""COMPUTED_VALUE"""),1)</f>
        <v>1</v>
      </c>
      <c r="AT2483" s="8"/>
      <c r="AU2483" s="8">
        <f ca="1">IFERROR(__xludf.DUMMYFUNCTION("""COMPUTED_VALUE"""),42.8713)</f>
        <v>42.871299999999998</v>
      </c>
      <c r="AV2483" s="8">
        <f ca="1">IFERROR(__xludf.DUMMYFUNCTION("""COMPUTED_VALUE"""),-112.4455)</f>
        <v>-112.4455</v>
      </c>
      <c r="AW2483" s="8"/>
      <c r="AX2483" s="8">
        <f ca="1">IFERROR(__xludf.DUMMYFUNCTION("""COMPUTED_VALUE"""),83201)</f>
        <v>83201</v>
      </c>
    </row>
    <row r="2484" spans="1:50" ht="60" x14ac:dyDescent="0.2">
      <c r="A2484" s="8" t="str">
        <f ca="1">IFERROR(__xludf.DUMMYFUNCTION("""COMPUTED_VALUE"""),"19980408ADSAT")</f>
        <v>19980408ADSAT</v>
      </c>
      <c r="B2484" s="8">
        <f ca="1">IFERROR(__xludf.DUMMYFUNCTION("""COMPUTED_VALUE"""),4)</f>
        <v>4</v>
      </c>
      <c r="C2484" s="8">
        <f ca="1">IFERROR(__xludf.DUMMYFUNCTION("""COMPUTED_VALUE"""),8)</f>
        <v>8</v>
      </c>
      <c r="D2484" s="8">
        <f ca="1">IFERROR(__xludf.DUMMYFUNCTION("""COMPUTED_VALUE"""),1998)</f>
        <v>1998</v>
      </c>
      <c r="E2484" s="9">
        <f ca="1">IFERROR(__xludf.DUMMYFUNCTION("""COMPUTED_VALUE"""),35893)</f>
        <v>35893</v>
      </c>
      <c r="F2484" s="8" t="str">
        <f ca="1">IFERROR(__xludf.DUMMYFUNCTION("""COMPUTED_VALUE"""),"Sawtooth Elementary School")</f>
        <v>Sawtooth Elementary School</v>
      </c>
      <c r="G2484" s="8">
        <f ca="1">IFERROR(__xludf.DUMMYFUNCTION("""COMPUTED_VALUE"""),0)</f>
        <v>0</v>
      </c>
      <c r="H2484" s="8">
        <f ca="1">IFERROR(__xludf.DUMMYFUNCTION("""COMPUTED_VALUE"""),0)</f>
        <v>0</v>
      </c>
      <c r="I2484" s="8">
        <f ca="1">IFERROR(__xludf.DUMMYFUNCTION("""COMPUTED_VALUE"""),0)</f>
        <v>0</v>
      </c>
      <c r="J2484" s="8">
        <f ca="1">IFERROR(__xludf.DUMMYFUNCTION("""COMPUTED_VALUE"""),0)</f>
        <v>0</v>
      </c>
      <c r="K2484" s="10" t="str">
        <f ca="1">IFERROR(__xludf.DUMMYFUNCTION("""COMPUTED_VALUE"""),"https://www.newspapers.com/image/575248754/?terms=Pocatello%20standoff&amp;match=1")</f>
        <v>https://www.newspapers.com/image/575248754/?terms=Pocatello%20standoff&amp;match=1</v>
      </c>
      <c r="L2484" s="8">
        <f ca="1">IFERROR(__xludf.DUMMYFUNCTION("""COMPUTED_VALUE"""),1)</f>
        <v>1</v>
      </c>
      <c r="M2484" s="8" t="str">
        <f ca="1">IFERROR(__xludf.DUMMYFUNCTION("""COMPUTED_VALUE"""),"Local")</f>
        <v>Local</v>
      </c>
      <c r="N2484" s="8">
        <f ca="1">IFERROR(__xludf.DUMMYFUNCTION("""COMPUTED_VALUE"""),3)</f>
        <v>3</v>
      </c>
      <c r="O2484" s="8" t="str">
        <f ca="1">IFERROR(__xludf.DUMMYFUNCTION("""COMPUTED_VALUE"""),"Spring")</f>
        <v>Spring</v>
      </c>
      <c r="P2484" s="8" t="str">
        <f ca="1">IFERROR(__xludf.DUMMYFUNCTION("""COMPUTED_VALUE"""),"Twin Falls")</f>
        <v>Twin Falls</v>
      </c>
      <c r="Q2484" s="8" t="str">
        <f ca="1">IFERROR(__xludf.DUMMYFUNCTION("""COMPUTED_VALUE"""),"ID")</f>
        <v>ID</v>
      </c>
      <c r="R2484" s="8" t="str">
        <f ca="1">IFERROR(__xludf.DUMMYFUNCTION("""COMPUTED_VALUE"""),"Elementary")</f>
        <v>Elementary</v>
      </c>
      <c r="S2484" s="8" t="str">
        <f ca="1">IFERROR(__xludf.DUMMYFUNCTION("""COMPUTED_VALUE"""),"Front of School")</f>
        <v>Front of School</v>
      </c>
      <c r="T2484" s="8" t="str">
        <f ca="1">IFERROR(__xludf.DUMMYFUNCTION("""COMPUTED_VALUE"""),"Outside on School Property")</f>
        <v>Outside on School Property</v>
      </c>
      <c r="U2484" s="8" t="str">
        <f ca="1">IFERROR(__xludf.DUMMYFUNCTION("""COMPUTED_VALUE"""),"Yes")</f>
        <v>Yes</v>
      </c>
      <c r="V2484" s="8" t="str">
        <f ca="1">IFERROR(__xludf.DUMMYFUNCTION("""COMPUTED_VALUE"""),"Lunch")</f>
        <v>Lunch</v>
      </c>
      <c r="W2484" s="11">
        <f ca="1">IFERROR(__xludf.DUMMYFUNCTION("""COMPUTED_VALUE"""),0.5)</f>
        <v>0.5</v>
      </c>
      <c r="X2484" s="8">
        <f ca="1">IFERROR(__xludf.DUMMYFUNCTION("""COMPUTED_VALUE"""),1)</f>
        <v>1</v>
      </c>
      <c r="Y2484" s="12" t="str">
        <f ca="1">IFERROR(__xludf.DUMMYFUNCTION("""COMPUTED_VALUE"""),"Man fired shots at the school as he drove past during lunch")</f>
        <v>Man fired shots at the school as he drove past during lunch</v>
      </c>
      <c r="Z2484" s="12" t="str">
        <f ca="1">IFERROR(__xludf.DUMMYFUNCTION("""COMPUTED_VALUE"""),"Man fired shots at the school as he drove past during lunch")</f>
        <v>Man fired shots at the school as he drove past during lunch</v>
      </c>
      <c r="AA2484" s="8" t="str">
        <f ca="1">IFERROR(__xludf.DUMMYFUNCTION("""COMPUTED_VALUE"""),"Drive-by Shooting")</f>
        <v>Drive-by Shooting</v>
      </c>
      <c r="AB2484" s="8"/>
      <c r="AC2484" s="8" t="str">
        <f ca="1">IFERROR(__xludf.DUMMYFUNCTION("""COMPUTED_VALUE"""),"Yes")</f>
        <v>Yes</v>
      </c>
      <c r="AD2484" s="8" t="str">
        <f ca="1">IFERROR(__xludf.DUMMYFUNCTION("""COMPUTED_VALUE"""),"Random Shooting")</f>
        <v>Random Shooting</v>
      </c>
      <c r="AE2484" s="8" t="str">
        <f ca="1">IFERROR(__xludf.DUMMYFUNCTION("""COMPUTED_VALUE"""),"No")</f>
        <v>No</v>
      </c>
      <c r="AF2484" s="8"/>
      <c r="AG2484" s="8" t="str">
        <f ca="1">IFERROR(__xludf.DUMMYFUNCTION("""COMPUTED_VALUE"""),"No")</f>
        <v>No</v>
      </c>
      <c r="AH2484" s="8" t="str">
        <f ca="1">IFERROR(__xludf.DUMMYFUNCTION("""COMPUTED_VALUE"""),"No")</f>
        <v>No</v>
      </c>
      <c r="AI2484" s="8" t="str">
        <f ca="1">IFERROR(__xludf.DUMMYFUNCTION("""COMPUTED_VALUE"""),"No")</f>
        <v>No</v>
      </c>
      <c r="AJ2484" s="8" t="str">
        <f ca="1">IFERROR(__xludf.DUMMYFUNCTION("""COMPUTED_VALUE"""),"No")</f>
        <v>No</v>
      </c>
      <c r="AK2484" s="8" t="str">
        <f ca="1">IFERROR(__xludf.DUMMYFUNCTION("""COMPUTED_VALUE"""),"No")</f>
        <v>No</v>
      </c>
      <c r="AL2484" s="8" t="str">
        <f ca="1">IFERROR(__xludf.DUMMYFUNCTION("""COMPUTED_VALUE"""),"No")</f>
        <v>No</v>
      </c>
      <c r="AM2484" s="8" t="str">
        <f ca="1">IFERROR(__xludf.DUMMYFUNCTION("""COMPUTED_VALUE"""),"No")</f>
        <v>No</v>
      </c>
      <c r="AN2484" s="8" t="str">
        <f ca="1">IFERROR(__xludf.DUMMYFUNCTION("""COMPUTED_VALUE"""),"Outside")</f>
        <v>Outside</v>
      </c>
      <c r="AO2484" s="8"/>
      <c r="AP2484" s="8"/>
      <c r="AQ2484" s="8"/>
      <c r="AR2484" s="8"/>
      <c r="AS2484" s="8"/>
      <c r="AT2484" s="8"/>
      <c r="AU2484" s="8">
        <f ca="1">IFERROR(__xludf.DUMMYFUNCTION("""COMPUTED_VALUE"""),42.574415)</f>
        <v>42.574415000000002</v>
      </c>
      <c r="AV2484" s="8">
        <f ca="1">IFERROR(__xludf.DUMMYFUNCTION("""COMPUTED_VALUE"""),-114.451254)</f>
        <v>-114.45125400000001</v>
      </c>
      <c r="AW2484" s="8"/>
      <c r="AX2484" s="8">
        <f ca="1">IFERROR(__xludf.DUMMYFUNCTION("""COMPUTED_VALUE"""),83301)</f>
        <v>83301</v>
      </c>
    </row>
    <row r="2485" spans="1:50" ht="45" x14ac:dyDescent="0.2">
      <c r="A2485" s="8" t="str">
        <f ca="1">IFERROR(__xludf.DUMMYFUNCTION("""COMPUTED_VALUE"""),"19980406IDCLK")</f>
        <v>19980406IDCLK</v>
      </c>
      <c r="B2485" s="8">
        <f ca="1">IFERROR(__xludf.DUMMYFUNCTION("""COMPUTED_VALUE"""),4)</f>
        <v>4</v>
      </c>
      <c r="C2485" s="8">
        <f ca="1">IFERROR(__xludf.DUMMYFUNCTION("""COMPUTED_VALUE"""),6)</f>
        <v>6</v>
      </c>
      <c r="D2485" s="8">
        <f ca="1">IFERROR(__xludf.DUMMYFUNCTION("""COMPUTED_VALUE"""),1998)</f>
        <v>1998</v>
      </c>
      <c r="E2485" s="9">
        <f ca="1">IFERROR(__xludf.DUMMYFUNCTION("""COMPUTED_VALUE"""),35891)</f>
        <v>35891</v>
      </c>
      <c r="F2485" s="8" t="str">
        <f ca="1">IFERROR(__xludf.DUMMYFUNCTION("""COMPUTED_VALUE"""),"Clearwater Valley Jr/Sr High School")</f>
        <v>Clearwater Valley Jr/Sr High School</v>
      </c>
      <c r="G2485" s="8">
        <f ca="1">IFERROR(__xludf.DUMMYFUNCTION("""COMPUTED_VALUE"""),0)</f>
        <v>0</v>
      </c>
      <c r="H2485" s="8">
        <f ca="1">IFERROR(__xludf.DUMMYFUNCTION("""COMPUTED_VALUE"""),0)</f>
        <v>0</v>
      </c>
      <c r="I2485" s="8">
        <f ca="1">IFERROR(__xludf.DUMMYFUNCTION("""COMPUTED_VALUE"""),0)</f>
        <v>0</v>
      </c>
      <c r="J2485" s="8">
        <f ca="1">IFERROR(__xludf.DUMMYFUNCTION("""COMPUTED_VALUE"""),0)</f>
        <v>0</v>
      </c>
      <c r="K2485" s="10" t="str">
        <f ca="1">IFERROR(__xludf.DUMMYFUNCTION("""COMPUTED_VALUE"""),"https://www.newspapers.com/image/575248754/?terms=Pocatello%20standoff&amp;match=1")</f>
        <v>https://www.newspapers.com/image/575248754/?terms=Pocatello%20standoff&amp;match=1</v>
      </c>
      <c r="L2485" s="8"/>
      <c r="M2485" s="8" t="str">
        <f ca="1">IFERROR(__xludf.DUMMYFUNCTION("""COMPUTED_VALUE"""),"Local")</f>
        <v>Local</v>
      </c>
      <c r="N2485" s="8">
        <f ca="1">IFERROR(__xludf.DUMMYFUNCTION("""COMPUTED_VALUE"""),3)</f>
        <v>3</v>
      </c>
      <c r="O2485" s="8" t="str">
        <f ca="1">IFERROR(__xludf.DUMMYFUNCTION("""COMPUTED_VALUE"""),"Spring")</f>
        <v>Spring</v>
      </c>
      <c r="P2485" s="8" t="str">
        <f ca="1">IFERROR(__xludf.DUMMYFUNCTION("""COMPUTED_VALUE"""),"Kooskia")</f>
        <v>Kooskia</v>
      </c>
      <c r="Q2485" s="8" t="str">
        <f ca="1">IFERROR(__xludf.DUMMYFUNCTION("""COMPUTED_VALUE"""),"ID")</f>
        <v>ID</v>
      </c>
      <c r="R2485" s="8" t="str">
        <f ca="1">IFERROR(__xludf.DUMMYFUNCTION("""COMPUTED_VALUE"""),"6-12")</f>
        <v>6-12</v>
      </c>
      <c r="S2485" s="8" t="str">
        <f ca="1">IFERROR(__xludf.DUMMYFUNCTION("""COMPUTED_VALUE"""),"Classroom")</f>
        <v>Classroom</v>
      </c>
      <c r="T2485" s="8" t="str">
        <f ca="1">IFERROR(__xludf.DUMMYFUNCTION("""COMPUTED_VALUE"""),"Inside School Building")</f>
        <v>Inside School Building</v>
      </c>
      <c r="U2485" s="8" t="str">
        <f ca="1">IFERROR(__xludf.DUMMYFUNCTION("""COMPUTED_VALUE"""),"Yes")</f>
        <v>Yes</v>
      </c>
      <c r="V2485" s="8"/>
      <c r="W2485" s="8"/>
      <c r="X2485" s="8">
        <f ca="1">IFERROR(__xludf.DUMMYFUNCTION("""COMPUTED_VALUE"""),1)</f>
        <v>1</v>
      </c>
      <c r="Y2485" s="12" t="str">
        <f ca="1">IFERROR(__xludf.DUMMYFUNCTION("""COMPUTED_VALUE"""),"7th grader pointed gun at teacher and said ""bang bang""")</f>
        <v>7th grader pointed gun at teacher and said "bang bang"</v>
      </c>
      <c r="Z2485" s="12" t="str">
        <f ca="1">IFERROR(__xludf.DUMMYFUNCTION("""COMPUTED_VALUE"""),"7th grader pointed gun at teacher and said ""bang bang""")</f>
        <v>7th grader pointed gun at teacher and said "bang bang"</v>
      </c>
      <c r="AA2485" s="8"/>
      <c r="AB2485" s="8"/>
      <c r="AC2485" s="8"/>
      <c r="AD2485" s="8"/>
      <c r="AE2485" s="8"/>
      <c r="AF2485" s="8"/>
      <c r="AG2485" s="8" t="str">
        <f ca="1">IFERROR(__xludf.DUMMYFUNCTION("""COMPUTED_VALUE"""),"No")</f>
        <v>No</v>
      </c>
      <c r="AH2485" s="8" t="str">
        <f ca="1">IFERROR(__xludf.DUMMYFUNCTION("""COMPUTED_VALUE"""),"No")</f>
        <v>No</v>
      </c>
      <c r="AI2485" s="8" t="str">
        <f ca="1">IFERROR(__xludf.DUMMYFUNCTION("""COMPUTED_VALUE"""),"No")</f>
        <v>No</v>
      </c>
      <c r="AJ2485" s="8"/>
      <c r="AK2485" s="8" t="str">
        <f ca="1">IFERROR(__xludf.DUMMYFUNCTION("""COMPUTED_VALUE"""),"No")</f>
        <v>No</v>
      </c>
      <c r="AL2485" s="8" t="str">
        <f ca="1">IFERROR(__xludf.DUMMYFUNCTION("""COMPUTED_VALUE"""),"No")</f>
        <v>No</v>
      </c>
      <c r="AM2485" s="8" t="str">
        <f ca="1">IFERROR(__xludf.DUMMYFUNCTION("""COMPUTED_VALUE"""),"No")</f>
        <v>No</v>
      </c>
      <c r="AN2485" s="8"/>
      <c r="AO2485" s="8"/>
      <c r="AP2485" s="8"/>
      <c r="AQ2485" s="8"/>
      <c r="AR2485" s="8"/>
      <c r="AS2485" s="8"/>
      <c r="AT2485" s="8"/>
      <c r="AU2485" s="8">
        <f ca="1">IFERROR(__xludf.DUMMYFUNCTION("""COMPUTED_VALUE"""),46.116122)</f>
        <v>46.116121999999997</v>
      </c>
      <c r="AV2485" s="8">
        <f ca="1">IFERROR(__xludf.DUMMYFUNCTION("""COMPUTED_VALUE"""),-115.977371)</f>
        <v>-115.97737100000001</v>
      </c>
      <c r="AW2485" s="8"/>
      <c r="AX2485" s="8">
        <f ca="1">IFERROR(__xludf.DUMMYFUNCTION("""COMPUTED_VALUE"""),83539)</f>
        <v>83539</v>
      </c>
    </row>
    <row r="2486" spans="1:50" ht="75" x14ac:dyDescent="0.2">
      <c r="A2486" s="8" t="str">
        <f ca="1">IFERROR(__xludf.DUMMYFUNCTION("""COMPUTED_VALUE"""),"19980331WIOAO")</f>
        <v>19980331WIOAO</v>
      </c>
      <c r="B2486" s="8">
        <f ca="1">IFERROR(__xludf.DUMMYFUNCTION("""COMPUTED_VALUE"""),3)</f>
        <v>3</v>
      </c>
      <c r="C2486" s="8">
        <f ca="1">IFERROR(__xludf.DUMMYFUNCTION("""COMPUTED_VALUE"""),31)</f>
        <v>31</v>
      </c>
      <c r="D2486" s="8">
        <f ca="1">IFERROR(__xludf.DUMMYFUNCTION("""COMPUTED_VALUE"""),1998)</f>
        <v>1998</v>
      </c>
      <c r="E2486" s="9">
        <f ca="1">IFERROR(__xludf.DUMMYFUNCTION("""COMPUTED_VALUE"""),35885)</f>
        <v>35885</v>
      </c>
      <c r="F2486" s="8" t="str">
        <f ca="1">IFERROR(__xludf.DUMMYFUNCTION("""COMPUTED_VALUE"""),"Oakfield Middle School")</f>
        <v>Oakfield Middle School</v>
      </c>
      <c r="G2486" s="8">
        <f ca="1">IFERROR(__xludf.DUMMYFUNCTION("""COMPUTED_VALUE"""),0)</f>
        <v>0</v>
      </c>
      <c r="H2486" s="8">
        <f ca="1">IFERROR(__xludf.DUMMYFUNCTION("""COMPUTED_VALUE"""),0)</f>
        <v>0</v>
      </c>
      <c r="I2486" s="8">
        <f ca="1">IFERROR(__xludf.DUMMYFUNCTION("""COMPUTED_VALUE"""),0)</f>
        <v>0</v>
      </c>
      <c r="J2486" s="8">
        <f ca="1">IFERROR(__xludf.DUMMYFUNCTION("""COMPUTED_VALUE"""),0)</f>
        <v>0</v>
      </c>
      <c r="K2486" s="8" t="str">
        <f ca="1">IFERROR(__xludf.DUMMYFUNCTION("""COMPUTED_VALUE"""),"http://articles.chicagotribune.com/1998-04-02/news/9804020160_1_four-pupils-boy-22-caliber-pistol https://www.latimes.com/archives/la-xpm-1998-apr-04-mn-35924-story.html")</f>
        <v>http://articles.chicagotribune.com/1998-04-02/news/9804020160_1_four-pupils-boy-22-caliber-pistol https://www.latimes.com/archives/la-xpm-1998-apr-04-mn-35924-story.html</v>
      </c>
      <c r="L2486" s="8"/>
      <c r="M2486" s="8"/>
      <c r="N2486" s="8">
        <f ca="1">IFERROR(__xludf.DUMMYFUNCTION("""COMPUTED_VALUE"""),2)</f>
        <v>2</v>
      </c>
      <c r="O2486" s="8" t="str">
        <f ca="1">IFERROR(__xludf.DUMMYFUNCTION("""COMPUTED_VALUE"""),"Spring")</f>
        <v>Spring</v>
      </c>
      <c r="P2486" s="8" t="str">
        <f ca="1">IFERROR(__xludf.DUMMYFUNCTION("""COMPUTED_VALUE"""),"Oakfield")</f>
        <v>Oakfield</v>
      </c>
      <c r="Q2486" s="8" t="str">
        <f ca="1">IFERROR(__xludf.DUMMYFUNCTION("""COMPUTED_VALUE"""),"WI")</f>
        <v>WI</v>
      </c>
      <c r="R2486" s="8" t="str">
        <f ca="1">IFERROR(__xludf.DUMMYFUNCTION("""COMPUTED_VALUE"""),"Middle")</f>
        <v>Middle</v>
      </c>
      <c r="S2486" s="8" t="str">
        <f ca="1">IFERROR(__xludf.DUMMYFUNCTION("""COMPUTED_VALUE"""),"Front of School")</f>
        <v>Front of School</v>
      </c>
      <c r="T2486" s="8" t="str">
        <f ca="1">IFERROR(__xludf.DUMMYFUNCTION("""COMPUTED_VALUE"""),"Outside on School Property")</f>
        <v>Outside on School Property</v>
      </c>
      <c r="U2486" s="8" t="str">
        <f ca="1">IFERROR(__xludf.DUMMYFUNCTION("""COMPUTED_VALUE"""),"Yes")</f>
        <v>Yes</v>
      </c>
      <c r="V2486" s="8"/>
      <c r="W2486" s="8"/>
      <c r="X2486" s="8">
        <f ca="1">IFERROR(__xludf.DUMMYFUNCTION("""COMPUTED_VALUE"""),1)</f>
        <v>1</v>
      </c>
      <c r="Y2486" s="12" t="str">
        <f ca="1">IFERROR(__xludf.DUMMYFUNCTION("""COMPUTED_VALUE"""),"Angry about grade, fired 5 shots into the school's front door")</f>
        <v>Angry about grade, fired 5 shots into the school's front door</v>
      </c>
      <c r="Z2486" s="12" t="str">
        <f ca="1">IFERROR(__xludf.DUMMYFUNCTION("""COMPUTED_VALUE"""),"14 year-old male student stole his father's car, drove to school, and fired 5 shots at the front door. Students inside were nearly struck. He was upset about his grades and the report cards were being distributed that day. Fled the scene after the shootin"&amp;"g.")</f>
        <v>14 year-old male student stole his father's car, drove to school, and fired 5 shots at the front door. Students inside were nearly struck. He was upset about his grades and the report cards were being distributed that day. Fled the scene after the shooting.</v>
      </c>
      <c r="AA2486" s="8" t="str">
        <f ca="1">IFERROR(__xludf.DUMMYFUNCTION("""COMPUTED_VALUE"""),"Anger Over Grade/Suspension/Discipline")</f>
        <v>Anger Over Grade/Suspension/Discipline</v>
      </c>
      <c r="AB2486" s="8"/>
      <c r="AC2486" s="8"/>
      <c r="AD2486" s="8" t="str">
        <f ca="1">IFERROR(__xludf.DUMMYFUNCTION("""COMPUTED_VALUE"""),"Random Shooting")</f>
        <v>Random Shooting</v>
      </c>
      <c r="AE2486" s="8" t="str">
        <f ca="1">IFERROR(__xludf.DUMMYFUNCTION("""COMPUTED_VALUE"""),"No")</f>
        <v>No</v>
      </c>
      <c r="AF2486" s="8"/>
      <c r="AG2486" s="8" t="str">
        <f ca="1">IFERROR(__xludf.DUMMYFUNCTION("""COMPUTED_VALUE"""),"No")</f>
        <v>No</v>
      </c>
      <c r="AH2486" s="8" t="str">
        <f ca="1">IFERROR(__xludf.DUMMYFUNCTION("""COMPUTED_VALUE"""),"No")</f>
        <v>No</v>
      </c>
      <c r="AI2486" s="8" t="str">
        <f ca="1">IFERROR(__xludf.DUMMYFUNCTION("""COMPUTED_VALUE"""),"No")</f>
        <v>No</v>
      </c>
      <c r="AJ2486" s="8" t="str">
        <f ca="1">IFERROR(__xludf.DUMMYFUNCTION("""COMPUTED_VALUE"""),"No")</f>
        <v>No</v>
      </c>
      <c r="AK2486" s="8" t="str">
        <f ca="1">IFERROR(__xludf.DUMMYFUNCTION("""COMPUTED_VALUE"""),"No")</f>
        <v>No</v>
      </c>
      <c r="AL2486" s="8" t="str">
        <f ca="1">IFERROR(__xludf.DUMMYFUNCTION("""COMPUTED_VALUE"""),"No")</f>
        <v>No</v>
      </c>
      <c r="AM2486" s="8" t="str">
        <f ca="1">IFERROR(__xludf.DUMMYFUNCTION("""COMPUTED_VALUE"""),"Yes")</f>
        <v>Yes</v>
      </c>
      <c r="AN2486" s="8" t="str">
        <f ca="1">IFERROR(__xludf.DUMMYFUNCTION("""COMPUTED_VALUE"""),"Outside")</f>
        <v>Outside</v>
      </c>
      <c r="AO2486" s="8" t="str">
        <f ca="1">IFERROR(__xludf.DUMMYFUNCTION("""COMPUTED_VALUE"""),"No")</f>
        <v>No</v>
      </c>
      <c r="AP2486" s="8"/>
      <c r="AQ2486" s="8" t="str">
        <f ca="1">IFERROR(__xludf.DUMMYFUNCTION("""COMPUTED_VALUE"""),"Unknown")</f>
        <v>Unknown</v>
      </c>
      <c r="AR2486" s="8" t="str">
        <f ca="1">IFERROR(__xludf.DUMMYFUNCTION("""COMPUTED_VALUE"""),"NA")</f>
        <v>NA</v>
      </c>
      <c r="AS2486" s="8">
        <f ca="1">IFERROR(__xludf.DUMMYFUNCTION("""COMPUTED_VALUE"""),5)</f>
        <v>5</v>
      </c>
      <c r="AT2486" s="8"/>
      <c r="AU2486" s="8">
        <f ca="1">IFERROR(__xludf.DUMMYFUNCTION("""COMPUTED_VALUE"""),43.685284)</f>
        <v>43.685284000000003</v>
      </c>
      <c r="AV2486" s="8">
        <f ca="1">IFERROR(__xludf.DUMMYFUNCTION("""COMPUTED_VALUE"""),-88.541691)</f>
        <v>-88.541691</v>
      </c>
      <c r="AW2486" s="8"/>
      <c r="AX2486" s="8">
        <f ca="1">IFERROR(__xludf.DUMMYFUNCTION("""COMPUTED_VALUE"""),53065)</f>
        <v>53065</v>
      </c>
    </row>
    <row r="2487" spans="1:50" ht="30" x14ac:dyDescent="0.2">
      <c r="A2487" s="8" t="str">
        <f ca="1">IFERROR(__xludf.DUMMYFUNCTION("""COMPUTED_VALUE"""),"19980330NCGRC")</f>
        <v>19980330NCGRC</v>
      </c>
      <c r="B2487" s="8">
        <f ca="1">IFERROR(__xludf.DUMMYFUNCTION("""COMPUTED_VALUE"""),3)</f>
        <v>3</v>
      </c>
      <c r="C2487" s="8">
        <f ca="1">IFERROR(__xludf.DUMMYFUNCTION("""COMPUTED_VALUE"""),30)</f>
        <v>30</v>
      </c>
      <c r="D2487" s="8">
        <f ca="1">IFERROR(__xludf.DUMMYFUNCTION("""COMPUTED_VALUE"""),1998)</f>
        <v>1998</v>
      </c>
      <c r="E2487" s="9">
        <f ca="1">IFERROR(__xludf.DUMMYFUNCTION("""COMPUTED_VALUE"""),35884)</f>
        <v>35884</v>
      </c>
      <c r="F2487" s="8" t="str">
        <f ca="1">IFERROR(__xludf.DUMMYFUNCTION("""COMPUTED_VALUE"""),"Grey Culbreth Middle School")</f>
        <v>Grey Culbreth Middle School</v>
      </c>
      <c r="G2487" s="8">
        <f ca="1">IFERROR(__xludf.DUMMYFUNCTION("""COMPUTED_VALUE"""),0)</f>
        <v>0</v>
      </c>
      <c r="H2487" s="8">
        <f ca="1">IFERROR(__xludf.DUMMYFUNCTION("""COMPUTED_VALUE"""),0)</f>
        <v>0</v>
      </c>
      <c r="I2487" s="8">
        <f ca="1">IFERROR(__xludf.DUMMYFUNCTION("""COMPUTED_VALUE"""),0)</f>
        <v>0</v>
      </c>
      <c r="J2487" s="8">
        <f ca="1">IFERROR(__xludf.DUMMYFUNCTION("""COMPUTED_VALUE"""),1)</f>
        <v>1</v>
      </c>
      <c r="K2487" s="8" t="str">
        <f ca="1">IFERROR(__xludf.DUMMYFUNCTION("""COMPUTED_VALUE"""),"https://www.cbsnews.com/news/teen-shot-at-north-carolina-school/ https://apnews.com/2d6fc7d535ddddff3004a378d5431755 https://www.latimes.com/archives/la-xpm-1998-mar-31-mn-34545-story.html")</f>
        <v>https://www.cbsnews.com/news/teen-shot-at-north-carolina-school/ https://apnews.com/2d6fc7d535ddddff3004a378d5431755 https://www.latimes.com/archives/la-xpm-1998-mar-31-mn-34545-story.html</v>
      </c>
      <c r="L2487" s="8"/>
      <c r="M2487" s="8"/>
      <c r="N2487" s="8">
        <f ca="1">IFERROR(__xludf.DUMMYFUNCTION("""COMPUTED_VALUE"""),2)</f>
        <v>2</v>
      </c>
      <c r="O2487" s="8" t="str">
        <f ca="1">IFERROR(__xludf.DUMMYFUNCTION("""COMPUTED_VALUE"""),"Spring")</f>
        <v>Spring</v>
      </c>
      <c r="P2487" s="8" t="str">
        <f ca="1">IFERROR(__xludf.DUMMYFUNCTION("""COMPUTED_VALUE"""),"Chapel Hill")</f>
        <v>Chapel Hill</v>
      </c>
      <c r="Q2487" s="8" t="str">
        <f ca="1">IFERROR(__xludf.DUMMYFUNCTION("""COMPUTED_VALUE"""),"NC")</f>
        <v>NC</v>
      </c>
      <c r="R2487" s="8" t="str">
        <f ca="1">IFERROR(__xludf.DUMMYFUNCTION("""COMPUTED_VALUE"""),"Middle")</f>
        <v>Middle</v>
      </c>
      <c r="S2487" s="8" t="str">
        <f ca="1">IFERROR(__xludf.DUMMYFUNCTION("""COMPUTED_VALUE"""),"Bathroom")</f>
        <v>Bathroom</v>
      </c>
      <c r="T2487" s="8" t="str">
        <f ca="1">IFERROR(__xludf.DUMMYFUNCTION("""COMPUTED_VALUE"""),"Inside School Building")</f>
        <v>Inside School Building</v>
      </c>
      <c r="U2487" s="8" t="str">
        <f ca="1">IFERROR(__xludf.DUMMYFUNCTION("""COMPUTED_VALUE"""),"Yes")</f>
        <v>Yes</v>
      </c>
      <c r="V2487" s="8"/>
      <c r="W2487" s="11">
        <f ca="1">IFERROR(__xludf.DUMMYFUNCTION("""COMPUTED_VALUE"""),0.458333333333333)</f>
        <v>0.45833333333333298</v>
      </c>
      <c r="X2487" s="8">
        <f ca="1">IFERROR(__xludf.DUMMYFUNCTION("""COMPUTED_VALUE"""),1)</f>
        <v>1</v>
      </c>
      <c r="Y2487" s="12" t="str">
        <f ca="1">IFERROR(__xludf.DUMMYFUNCTION("""COMPUTED_VALUE"""),"Shot herself in bathroom")</f>
        <v>Shot herself in bathroom</v>
      </c>
      <c r="Z2487" s="12" t="str">
        <f ca="1">IFERROR(__xludf.DUMMYFUNCTION("""COMPUTED_VALUE"""),"13 year-old female student shot herself in the school bathroom. She was a new student and had trouble at home.")</f>
        <v>13 year-old female student shot herself in the school bathroom. She was a new student and had trouble at home.</v>
      </c>
      <c r="AA2487" s="8" t="str">
        <f ca="1">IFERROR(__xludf.DUMMYFUNCTION("""COMPUTED_VALUE"""),"Suicide/Attempted")</f>
        <v>Suicide/Attempted</v>
      </c>
      <c r="AB2487" s="8"/>
      <c r="AC2487" s="8"/>
      <c r="AD2487" s="8" t="str">
        <f ca="1">IFERROR(__xludf.DUMMYFUNCTION("""COMPUTED_VALUE"""),"Victims Targeted")</f>
        <v>Victims Targeted</v>
      </c>
      <c r="AE2487" s="8" t="str">
        <f ca="1">IFERROR(__xludf.DUMMYFUNCTION("""COMPUTED_VALUE"""),"No")</f>
        <v>No</v>
      </c>
      <c r="AF2487" s="8"/>
      <c r="AG2487" s="8" t="str">
        <f ca="1">IFERROR(__xludf.DUMMYFUNCTION("""COMPUTED_VALUE"""),"No")</f>
        <v>No</v>
      </c>
      <c r="AH2487" s="8" t="str">
        <f ca="1">IFERROR(__xludf.DUMMYFUNCTION("""COMPUTED_VALUE"""),"No")</f>
        <v>No</v>
      </c>
      <c r="AI2487" s="8" t="str">
        <f ca="1">IFERROR(__xludf.DUMMYFUNCTION("""COMPUTED_VALUE"""),"No")</f>
        <v>No</v>
      </c>
      <c r="AJ2487" s="8" t="str">
        <f ca="1">IFERROR(__xludf.DUMMYFUNCTION("""COMPUTED_VALUE"""),"No")</f>
        <v>No</v>
      </c>
      <c r="AK2487" s="8" t="str">
        <f ca="1">IFERROR(__xludf.DUMMYFUNCTION("""COMPUTED_VALUE"""),"No")</f>
        <v>No</v>
      </c>
      <c r="AL2487" s="8" t="str">
        <f ca="1">IFERROR(__xludf.DUMMYFUNCTION("""COMPUTED_VALUE"""),"No")</f>
        <v>No</v>
      </c>
      <c r="AM2487" s="8"/>
      <c r="AN2487" s="8"/>
      <c r="AO2487" s="8" t="str">
        <f ca="1">IFERROR(__xludf.DUMMYFUNCTION("""COMPUTED_VALUE"""),"No")</f>
        <v>No</v>
      </c>
      <c r="AP2487" s="8"/>
      <c r="AQ2487" s="8" t="str">
        <f ca="1">IFERROR(__xludf.DUMMYFUNCTION("""COMPUTED_VALUE"""),"Unknown")</f>
        <v>Unknown</v>
      </c>
      <c r="AR2487" s="8" t="str">
        <f ca="1">IFERROR(__xludf.DUMMYFUNCTION("""COMPUTED_VALUE"""),"NA")</f>
        <v>NA</v>
      </c>
      <c r="AS2487" s="8">
        <f ca="1">IFERROR(__xludf.DUMMYFUNCTION("""COMPUTED_VALUE"""),1)</f>
        <v>1</v>
      </c>
      <c r="AT2487" s="8"/>
      <c r="AU2487" s="8">
        <f ca="1">IFERROR(__xludf.DUMMYFUNCTION("""COMPUTED_VALUE"""),35.88982)</f>
        <v>35.88982</v>
      </c>
      <c r="AV2487" s="8">
        <f ca="1">IFERROR(__xludf.DUMMYFUNCTION("""COMPUTED_VALUE"""),-79.067355)</f>
        <v>-79.067355000000006</v>
      </c>
      <c r="AW2487" s="8"/>
      <c r="AX2487" s="8">
        <f ca="1">IFERROR(__xludf.DUMMYFUNCTION("""COMPUTED_VALUE"""),27516)</f>
        <v>27516</v>
      </c>
    </row>
    <row r="2488" spans="1:50" ht="60" x14ac:dyDescent="0.2">
      <c r="A2488" s="8" t="str">
        <f ca="1">IFERROR(__xludf.DUMMYFUNCTION("""COMPUTED_VALUE"""),"19980325MICOC")</f>
        <v>19980325MICOC</v>
      </c>
      <c r="B2488" s="8">
        <f ca="1">IFERROR(__xludf.DUMMYFUNCTION("""COMPUTED_VALUE"""),3)</f>
        <v>3</v>
      </c>
      <c r="C2488" s="8">
        <f ca="1">IFERROR(__xludf.DUMMYFUNCTION("""COMPUTED_VALUE"""),25)</f>
        <v>25</v>
      </c>
      <c r="D2488" s="8">
        <f ca="1">IFERROR(__xludf.DUMMYFUNCTION("""COMPUTED_VALUE"""),1998)</f>
        <v>1998</v>
      </c>
      <c r="E2488" s="9">
        <f ca="1">IFERROR(__xludf.DUMMYFUNCTION("""COMPUTED_VALUE"""),35879)</f>
        <v>35879</v>
      </c>
      <c r="F2488" s="8" t="str">
        <f ca="1">IFERROR(__xludf.DUMMYFUNCTION("""COMPUTED_VALUE"""),"Coldwater High School")</f>
        <v>Coldwater High School</v>
      </c>
      <c r="G2488" s="8">
        <f ca="1">IFERROR(__xludf.DUMMYFUNCTION("""COMPUTED_VALUE"""),0)</f>
        <v>0</v>
      </c>
      <c r="H2488" s="8">
        <f ca="1">IFERROR(__xludf.DUMMYFUNCTION("""COMPUTED_VALUE"""),0)</f>
        <v>0</v>
      </c>
      <c r="I2488" s="8">
        <f ca="1">IFERROR(__xludf.DUMMYFUNCTION("""COMPUTED_VALUE"""),0)</f>
        <v>0</v>
      </c>
      <c r="J2488" s="8">
        <f ca="1">IFERROR(__xludf.DUMMYFUNCTION("""COMPUTED_VALUE"""),1)</f>
        <v>1</v>
      </c>
      <c r="K2488" s="8" t="str">
        <f ca="1">IFERROR(__xludf.DUMMYFUNCTION("""COMPUTED_VALUE"""),"https://www.newspapers.com/image/207255319/?terms=coldwater%2Bhigh%2Bschool%2Bsuicide https://files.eric.ed.gov/fulltext/ED519244.pdf")</f>
        <v>https://www.newspapers.com/image/207255319/?terms=coldwater%2Bhigh%2Bschool%2Bsuicide https://files.eric.ed.gov/fulltext/ED519244.pdf</v>
      </c>
      <c r="L2488" s="8"/>
      <c r="M2488" s="8"/>
      <c r="N2488" s="8">
        <f ca="1">IFERROR(__xludf.DUMMYFUNCTION("""COMPUTED_VALUE"""),2)</f>
        <v>2</v>
      </c>
      <c r="O2488" s="8" t="str">
        <f ca="1">IFERROR(__xludf.DUMMYFUNCTION("""COMPUTED_VALUE"""),"Spring")</f>
        <v>Spring</v>
      </c>
      <c r="P2488" s="8" t="str">
        <f ca="1">IFERROR(__xludf.DUMMYFUNCTION("""COMPUTED_VALUE"""),"Coldwater")</f>
        <v>Coldwater</v>
      </c>
      <c r="Q2488" s="8" t="str">
        <f ca="1">IFERROR(__xludf.DUMMYFUNCTION("""COMPUTED_VALUE"""),"MI")</f>
        <v>MI</v>
      </c>
      <c r="R2488" s="8" t="str">
        <f ca="1">IFERROR(__xludf.DUMMYFUNCTION("""COMPUTED_VALUE"""),"High")</f>
        <v>High</v>
      </c>
      <c r="S2488" s="8" t="str">
        <f ca="1">IFERROR(__xludf.DUMMYFUNCTION("""COMPUTED_VALUE"""),"Parking Lot")</f>
        <v>Parking Lot</v>
      </c>
      <c r="T2488" s="8" t="str">
        <f ca="1">IFERROR(__xludf.DUMMYFUNCTION("""COMPUTED_VALUE"""),"Outside on School Property")</f>
        <v>Outside on School Property</v>
      </c>
      <c r="U2488" s="8" t="str">
        <f ca="1">IFERROR(__xludf.DUMMYFUNCTION("""COMPUTED_VALUE"""),"Yes")</f>
        <v>Yes</v>
      </c>
      <c r="V2488" s="8" t="str">
        <f ca="1">IFERROR(__xludf.DUMMYFUNCTION("""COMPUTED_VALUE"""),"School Start")</f>
        <v>School Start</v>
      </c>
      <c r="W2488" s="11">
        <f ca="1">IFERROR(__xludf.DUMMYFUNCTION("""COMPUTED_VALUE"""),0.333333333333333)</f>
        <v>0.33333333333333298</v>
      </c>
      <c r="X2488" s="8">
        <f ca="1">IFERROR(__xludf.DUMMYFUNCTION("""COMPUTED_VALUE"""),1)</f>
        <v>1</v>
      </c>
      <c r="Y2488" s="12" t="str">
        <f ca="1">IFERROR(__xludf.DUMMYFUNCTION("""COMPUTED_VALUE"""),"Commit suicide in car in parking lot")</f>
        <v>Commit suicide in car in parking lot</v>
      </c>
      <c r="Z2488" s="12" t="str">
        <f ca="1">IFERROR(__xludf.DUMMYFUNCTION("""COMPUTED_VALUE"""),"18 year-old male pulled up to schools entrance in car, locked car doors, threw a note outside window, and shot himself. Other students witnessed the suicide. Student was well liked and had good grades.")</f>
        <v>18 year-old male pulled up to schools entrance in car, locked car doors, threw a note outside window, and shot himself. Other students witnessed the suicide. Student was well liked and had good grades.</v>
      </c>
      <c r="AA2488" s="8" t="str">
        <f ca="1">IFERROR(__xludf.DUMMYFUNCTION("""COMPUTED_VALUE"""),"Suicide/Attempted")</f>
        <v>Suicide/Attempted</v>
      </c>
      <c r="AB2488" s="8"/>
      <c r="AC2488" s="8"/>
      <c r="AD2488" s="8" t="str">
        <f ca="1">IFERROR(__xludf.DUMMYFUNCTION("""COMPUTED_VALUE"""),"Victims Targeted")</f>
        <v>Victims Targeted</v>
      </c>
      <c r="AE2488" s="8" t="str">
        <f ca="1">IFERROR(__xludf.DUMMYFUNCTION("""COMPUTED_VALUE"""),"No")</f>
        <v>No</v>
      </c>
      <c r="AF2488" s="8"/>
      <c r="AG2488" s="8" t="str">
        <f ca="1">IFERROR(__xludf.DUMMYFUNCTION("""COMPUTED_VALUE"""),"No")</f>
        <v>No</v>
      </c>
      <c r="AH2488" s="8" t="str">
        <f ca="1">IFERROR(__xludf.DUMMYFUNCTION("""COMPUTED_VALUE"""),"No")</f>
        <v>No</v>
      </c>
      <c r="AI2488" s="8" t="str">
        <f ca="1">IFERROR(__xludf.DUMMYFUNCTION("""COMPUTED_VALUE"""),"No")</f>
        <v>No</v>
      </c>
      <c r="AJ2488" s="8" t="str">
        <f ca="1">IFERROR(__xludf.DUMMYFUNCTION("""COMPUTED_VALUE"""),"No")</f>
        <v>No</v>
      </c>
      <c r="AK2488" s="8" t="str">
        <f ca="1">IFERROR(__xludf.DUMMYFUNCTION("""COMPUTED_VALUE"""),"No")</f>
        <v>No</v>
      </c>
      <c r="AL2488" s="8" t="str">
        <f ca="1">IFERROR(__xludf.DUMMYFUNCTION("""COMPUTED_VALUE"""),"No")</f>
        <v>No</v>
      </c>
      <c r="AM2488" s="8"/>
      <c r="AN2488" s="8"/>
      <c r="AO2488" s="8" t="str">
        <f ca="1">IFERROR(__xludf.DUMMYFUNCTION("""COMPUTED_VALUE"""),"No")</f>
        <v>No</v>
      </c>
      <c r="AP2488" s="8"/>
      <c r="AQ2488" s="8" t="str">
        <f ca="1">IFERROR(__xludf.DUMMYFUNCTION("""COMPUTED_VALUE"""),"Unknown")</f>
        <v>Unknown</v>
      </c>
      <c r="AR2488" s="8" t="str">
        <f ca="1">IFERROR(__xludf.DUMMYFUNCTION("""COMPUTED_VALUE"""),"NA")</f>
        <v>NA</v>
      </c>
      <c r="AS2488" s="8">
        <f ca="1">IFERROR(__xludf.DUMMYFUNCTION("""COMPUTED_VALUE"""),1)</f>
        <v>1</v>
      </c>
      <c r="AT2488" s="8"/>
      <c r="AU2488" s="8">
        <f ca="1">IFERROR(__xludf.DUMMYFUNCTION("""COMPUTED_VALUE"""),41.949979)</f>
        <v>41.949978999999999</v>
      </c>
      <c r="AV2488" s="8">
        <f ca="1">IFERROR(__xludf.DUMMYFUNCTION("""COMPUTED_VALUE"""),-85.012181)</f>
        <v>-85.012180999999998</v>
      </c>
      <c r="AW2488" s="8"/>
      <c r="AX2488" s="8">
        <f ca="1">IFERROR(__xludf.DUMMYFUNCTION("""COMPUTED_VALUE"""),49036)</f>
        <v>49036</v>
      </c>
    </row>
    <row r="2489" spans="1:50" ht="60" x14ac:dyDescent="0.2">
      <c r="A2489" s="8" t="str">
        <f ca="1">IFERROR(__xludf.DUMMYFUNCTION("""COMPUTED_VALUE"""),"19980325CAFED")</f>
        <v>19980325CAFED</v>
      </c>
      <c r="B2489" s="8">
        <f ca="1">IFERROR(__xludf.DUMMYFUNCTION("""COMPUTED_VALUE"""),3)</f>
        <v>3</v>
      </c>
      <c r="C2489" s="8">
        <f ca="1">IFERROR(__xludf.DUMMYFUNCTION("""COMPUTED_VALUE"""),25)</f>
        <v>25</v>
      </c>
      <c r="D2489" s="8">
        <f ca="1">IFERROR(__xludf.DUMMYFUNCTION("""COMPUTED_VALUE"""),1998)</f>
        <v>1998</v>
      </c>
      <c r="E2489" s="9">
        <f ca="1">IFERROR(__xludf.DUMMYFUNCTION("""COMPUTED_VALUE"""),35879)</f>
        <v>35879</v>
      </c>
      <c r="F2489" s="8" t="str">
        <f ca="1">IFERROR(__xludf.DUMMYFUNCTION("""COMPUTED_VALUE"""),"Fernando Rivera Middle School")</f>
        <v>Fernando Rivera Middle School</v>
      </c>
      <c r="G2489" s="8">
        <f ca="1">IFERROR(__xludf.DUMMYFUNCTION("""COMPUTED_VALUE"""),0)</f>
        <v>0</v>
      </c>
      <c r="H2489" s="8">
        <f ca="1">IFERROR(__xludf.DUMMYFUNCTION("""COMPUTED_VALUE"""),0)</f>
        <v>0</v>
      </c>
      <c r="I2489" s="8">
        <f ca="1">IFERROR(__xludf.DUMMYFUNCTION("""COMPUTED_VALUE"""),0)</f>
        <v>0</v>
      </c>
      <c r="J2489" s="8">
        <f ca="1">IFERROR(__xludf.DUMMYFUNCTION("""COMPUTED_VALUE"""),0)</f>
        <v>0</v>
      </c>
      <c r="K2489" s="8" t="str">
        <f ca="1">IFERROR(__xludf.DUMMYFUNCTION("""COMPUTED_VALUE"""),"https://www.sfgate.com/news/article/Shot-Fired-At-Principal-In-Daly-City-Bullet-3011076.php https://www.sfgate.com/bayarea/article/Daly-City-Teen-Sentenced-for-Shooting-at-2975073.php")</f>
        <v>https://www.sfgate.com/news/article/Shot-Fired-At-Principal-In-Daly-City-Bullet-3011076.php https://www.sfgate.com/bayarea/article/Daly-City-Teen-Sentenced-for-Shooting-at-2975073.php</v>
      </c>
      <c r="L2489" s="8"/>
      <c r="M2489" s="8"/>
      <c r="N2489" s="8">
        <f ca="1">IFERROR(__xludf.DUMMYFUNCTION("""COMPUTED_VALUE"""),2)</f>
        <v>2</v>
      </c>
      <c r="O2489" s="8" t="str">
        <f ca="1">IFERROR(__xludf.DUMMYFUNCTION("""COMPUTED_VALUE"""),"Spring")</f>
        <v>Spring</v>
      </c>
      <c r="P2489" s="8" t="str">
        <f ca="1">IFERROR(__xludf.DUMMYFUNCTION("""COMPUTED_VALUE"""),"Daly City")</f>
        <v>Daly City</v>
      </c>
      <c r="Q2489" s="8" t="str">
        <f ca="1">IFERROR(__xludf.DUMMYFUNCTION("""COMPUTED_VALUE"""),"CA")</f>
        <v>CA</v>
      </c>
      <c r="R2489" s="8" t="str">
        <f ca="1">IFERROR(__xludf.DUMMYFUNCTION("""COMPUTED_VALUE"""),"Middle")</f>
        <v>Middle</v>
      </c>
      <c r="S2489" s="8" t="str">
        <f ca="1">IFERROR(__xludf.DUMMYFUNCTION("""COMPUTED_VALUE"""),"Courtyard")</f>
        <v>Courtyard</v>
      </c>
      <c r="T2489" s="8" t="str">
        <f ca="1">IFERROR(__xludf.DUMMYFUNCTION("""COMPUTED_VALUE"""),"Outside on School Property")</f>
        <v>Outside on School Property</v>
      </c>
      <c r="U2489" s="8" t="str">
        <f ca="1">IFERROR(__xludf.DUMMYFUNCTION("""COMPUTED_VALUE"""),"Yes")</f>
        <v>Yes</v>
      </c>
      <c r="V2489" s="8" t="str">
        <f ca="1">IFERROR(__xludf.DUMMYFUNCTION("""COMPUTED_VALUE"""),"School Start")</f>
        <v>School Start</v>
      </c>
      <c r="W2489" s="11">
        <f ca="1">IFERROR(__xludf.DUMMYFUNCTION("""COMPUTED_VALUE"""),0.34375)</f>
        <v>0.34375</v>
      </c>
      <c r="X2489" s="8">
        <f ca="1">IFERROR(__xludf.DUMMYFUNCTION("""COMPUTED_VALUE"""),1)</f>
        <v>1</v>
      </c>
      <c r="Y2489" s="12" t="str">
        <f ca="1">IFERROR(__xludf.DUMMYFUNCTION("""COMPUTED_VALUE"""),"Shot at principal, missed, ditched gun, and fled scene")</f>
        <v>Shot at principal, missed, ditched gun, and fled scene</v>
      </c>
      <c r="Z2489" s="12" t="str">
        <f ca="1">IFERROR(__xludf.DUMMYFUNCTION("""COMPUTED_VALUE"""),"13 year-old male student was angry about being sent home. The fired a shot (missed) at the principal in the school courtyard, threw the gun in a bush, and fled the area. Principal said the student had no major disciplinary issues.")</f>
        <v>13 year-old male student was angry about being sent home. The fired a shot (missed) at the principal in the school courtyard, threw the gun in a bush, and fled the area. Principal said the student had no major disciplinary issues.</v>
      </c>
      <c r="AA2489" s="8" t="str">
        <f ca="1">IFERROR(__xludf.DUMMYFUNCTION("""COMPUTED_VALUE"""),"Anger Over Grade/Suspension/Discipline")</f>
        <v>Anger Over Grade/Suspension/Discipline</v>
      </c>
      <c r="AB2489" s="8"/>
      <c r="AC2489" s="8"/>
      <c r="AD2489" s="8" t="str">
        <f ca="1">IFERROR(__xludf.DUMMYFUNCTION("""COMPUTED_VALUE"""),"Victims Targeted")</f>
        <v>Victims Targeted</v>
      </c>
      <c r="AE2489" s="8" t="str">
        <f ca="1">IFERROR(__xludf.DUMMYFUNCTION("""COMPUTED_VALUE"""),"No")</f>
        <v>No</v>
      </c>
      <c r="AF2489" s="8"/>
      <c r="AG2489" s="8" t="str">
        <f ca="1">IFERROR(__xludf.DUMMYFUNCTION("""COMPUTED_VALUE"""),"No")</f>
        <v>No</v>
      </c>
      <c r="AH2489" s="8" t="str">
        <f ca="1">IFERROR(__xludf.DUMMYFUNCTION("""COMPUTED_VALUE"""),"No")</f>
        <v>No</v>
      </c>
      <c r="AI2489" s="8" t="str">
        <f ca="1">IFERROR(__xludf.DUMMYFUNCTION("""COMPUTED_VALUE"""),"No")</f>
        <v>No</v>
      </c>
      <c r="AJ2489" s="8" t="str">
        <f ca="1">IFERROR(__xludf.DUMMYFUNCTION("""COMPUTED_VALUE"""),"No")</f>
        <v>No</v>
      </c>
      <c r="AK2489" s="8" t="str">
        <f ca="1">IFERROR(__xludf.DUMMYFUNCTION("""COMPUTED_VALUE"""),"No")</f>
        <v>No</v>
      </c>
      <c r="AL2489" s="8" t="str">
        <f ca="1">IFERROR(__xludf.DUMMYFUNCTION("""COMPUTED_VALUE"""),"No")</f>
        <v>No</v>
      </c>
      <c r="AM2489" s="8"/>
      <c r="AN2489" s="8"/>
      <c r="AO2489" s="8" t="str">
        <f ca="1">IFERROR(__xludf.DUMMYFUNCTION("""COMPUTED_VALUE"""),"No")</f>
        <v>No</v>
      </c>
      <c r="AP2489" s="8"/>
      <c r="AQ2489" s="8" t="str">
        <f ca="1">IFERROR(__xludf.DUMMYFUNCTION("""COMPUTED_VALUE"""),"Unknown")</f>
        <v>Unknown</v>
      </c>
      <c r="AR2489" s="8" t="str">
        <f ca="1">IFERROR(__xludf.DUMMYFUNCTION("""COMPUTED_VALUE"""),"NA")</f>
        <v>NA</v>
      </c>
      <c r="AS2489" s="8">
        <f ca="1">IFERROR(__xludf.DUMMYFUNCTION("""COMPUTED_VALUE"""),1)</f>
        <v>1</v>
      </c>
      <c r="AT2489" s="8"/>
      <c r="AU2489" s="8">
        <f ca="1">IFERROR(__xludf.DUMMYFUNCTION("""COMPUTED_VALUE"""),37.676724)</f>
        <v>37.676724</v>
      </c>
      <c r="AV2489" s="8">
        <f ca="1">IFERROR(__xludf.DUMMYFUNCTION("""COMPUTED_VALUE"""),-122.486135)</f>
        <v>-122.486135</v>
      </c>
      <c r="AW2489" s="8"/>
      <c r="AX2489" s="8">
        <f ca="1">IFERROR(__xludf.DUMMYFUNCTION("""COMPUTED_VALUE"""),94015)</f>
        <v>94015</v>
      </c>
    </row>
    <row r="2490" spans="1:50" ht="240" x14ac:dyDescent="0.2">
      <c r="A2490" s="8" t="str">
        <f ca="1">IFERROR(__xludf.DUMMYFUNCTION("""COMPUTED_VALUE"""),"19980324ARWEJ")</f>
        <v>19980324ARWEJ</v>
      </c>
      <c r="B2490" s="8">
        <f ca="1">IFERROR(__xludf.DUMMYFUNCTION("""COMPUTED_VALUE"""),3)</f>
        <v>3</v>
      </c>
      <c r="C2490" s="8">
        <f ca="1">IFERROR(__xludf.DUMMYFUNCTION("""COMPUTED_VALUE"""),24)</f>
        <v>24</v>
      </c>
      <c r="D2490" s="8">
        <f ca="1">IFERROR(__xludf.DUMMYFUNCTION("""COMPUTED_VALUE"""),1998)</f>
        <v>1998</v>
      </c>
      <c r="E2490" s="9">
        <f ca="1">IFERROR(__xludf.DUMMYFUNCTION("""COMPUTED_VALUE"""),35878)</f>
        <v>35878</v>
      </c>
      <c r="F2490" s="8" t="str">
        <f ca="1">IFERROR(__xludf.DUMMYFUNCTION("""COMPUTED_VALUE"""),"Westside Middle School")</f>
        <v>Westside Middle School</v>
      </c>
      <c r="G2490" s="8">
        <f ca="1">IFERROR(__xludf.DUMMYFUNCTION("""COMPUTED_VALUE"""),5)</f>
        <v>5</v>
      </c>
      <c r="H2490" s="8">
        <f ca="1">IFERROR(__xludf.DUMMYFUNCTION("""COMPUTED_VALUE"""),10)</f>
        <v>10</v>
      </c>
      <c r="I2490" s="8">
        <f ca="1">IFERROR(__xludf.DUMMYFUNCTION("""COMPUTED_VALUE"""),15)</f>
        <v>15</v>
      </c>
      <c r="J2490" s="8">
        <f ca="1">IFERROR(__xludf.DUMMYFUNCTION("""COMPUTED_VALUE"""),0)</f>
        <v>0</v>
      </c>
      <c r="K2490" s="8" t="str">
        <f ca="1">IFERROR(__xludf.DUMMYFUNCTION("""COMPUTED_VALUE"""),"http://abcnews.go.com/US/living-us-mass-school-shooters-incarcerated/story?id=36986507 https://www.npr.org/2018/03/23/596103091/20-years-later-jonesboro-shooting-survivors-conflicted-over-parkland https://www.huffpost.com/entry/the-ones-that-got-away-jone"&amp;"sboros-survivors-and-the-shooters-recall-a-moment-of-horror_n_5a39780ce4b06d1621b01f37 https://www.arkansasonline.com/news/2018/mar/18/20-years-ago-sad-day-westside/?f=news-arkansas")</f>
        <v>http://abcnews.go.com/US/living-us-mass-school-shooters-incarcerated/story?id=36986507 https://www.npr.org/2018/03/23/596103091/20-years-later-jonesboro-shooting-survivors-conflicted-over-parkland https://www.huffpost.com/entry/the-ones-that-got-away-jonesboros-survivors-and-the-shooters-recall-a-moment-of-horror_n_5a39780ce4b06d1621b01f37 https://www.arkansasonline.com/news/2018/mar/18/20-years-ago-sad-day-westside/?f=news-arkansas</v>
      </c>
      <c r="L2490" s="8"/>
      <c r="M2490" s="8"/>
      <c r="N2490" s="8">
        <f ca="1">IFERROR(__xludf.DUMMYFUNCTION("""COMPUTED_VALUE"""),2)</f>
        <v>2</v>
      </c>
      <c r="O2490" s="8" t="str">
        <f ca="1">IFERROR(__xludf.DUMMYFUNCTION("""COMPUTED_VALUE"""),"Spring")</f>
        <v>Spring</v>
      </c>
      <c r="P2490" s="8" t="str">
        <f ca="1">IFERROR(__xludf.DUMMYFUNCTION("""COMPUTED_VALUE"""),"Jonesboro")</f>
        <v>Jonesboro</v>
      </c>
      <c r="Q2490" s="8" t="str">
        <f ca="1">IFERROR(__xludf.DUMMYFUNCTION("""COMPUTED_VALUE"""),"AR")</f>
        <v>AR</v>
      </c>
      <c r="R2490" s="8" t="str">
        <f ca="1">IFERROR(__xludf.DUMMYFUNCTION("""COMPUTED_VALUE"""),"Middle")</f>
        <v>Middle</v>
      </c>
      <c r="S2490" s="8" t="str">
        <f ca="1">IFERROR(__xludf.DUMMYFUNCTION("""COMPUTED_VALUE"""),"Field (General)")</f>
        <v>Field (General)</v>
      </c>
      <c r="T2490" s="8" t="str">
        <f ca="1">IFERROR(__xludf.DUMMYFUNCTION("""COMPUTED_VALUE"""),"Outside on School Property")</f>
        <v>Outside on School Property</v>
      </c>
      <c r="U2490" s="8" t="str">
        <f ca="1">IFERROR(__xludf.DUMMYFUNCTION("""COMPUTED_VALUE"""),"Yes")</f>
        <v>Yes</v>
      </c>
      <c r="V2490" s="8" t="str">
        <f ca="1">IFERROR(__xludf.DUMMYFUNCTION("""COMPUTED_VALUE"""),"Afternoon Classes")</f>
        <v>Afternoon Classes</v>
      </c>
      <c r="W2490" s="11">
        <f ca="1">IFERROR(__xludf.DUMMYFUNCTION("""COMPUTED_VALUE"""),0.528472222222222)</f>
        <v>0.52847222222222201</v>
      </c>
      <c r="X2490" s="8"/>
      <c r="Y2490" s="12" t="str">
        <f ca="1">IFERROR(__xludf.DUMMYFUNCTION("""COMPUTED_VALUE"""),"Planned attack by two shooter, shot students are pulling fire alarm and fled in stolen vehicle")</f>
        <v>Planned attack by two shooter, shot students are pulling fire alarm and fled in stolen vehicle</v>
      </c>
      <c r="Z2490" s="12" t="str">
        <f ca="1">IFERROR(__xludf.DUMMYFUNCTION("""COMPUTED_VALUE"""),"Johnson (13 year-old male) stole his parents car and went with Golden (11 year-old male) to his grandparents house where they knew guns were unlocked. Drove to the school, pulled the fire alarm, and fired at the students evacuating. Shooters hid in the bu"&amp;"shes/field/forest area next to the school. They had 9 weapons including a 30-06 and .30 M1 carbine and 2000 rounds. They fled the scene in the parent's van but were apprehended by police. Both were known as bullies. Both talked about wanting to be members"&amp;" of ""Bloods"" street gang but had a ""lot of killing to do first"". Golden had frequent fights and shot/killed a female students cat. Johnson was sexually abused at age 6 and abused a 3 year old girl when he was 12. Both were released when they turned 21"&amp;" due to state laws. Johnson was arrested shortly after release for drug possession, unregistered handgun, and theft. All victims were female.")</f>
        <v>Johnson (13 year-old male) stole his parents car and went with Golden (11 year-old male) to his grandparents house where they knew guns were unlocked. Drove to the school, pulled the fire alarm, and fired at the students evacuating. Shooters hid in the bushes/field/forest area next to the school. They had 9 weapons including a 30-06 and .30 M1 carbine and 2000 rounds. They fled the scene in the parent's van but were apprehended by police. Both were known as bullies. Both talked about wanting to be members of "Bloods" street gang but had a "lot of killing to do first". Golden had frequent fights and shot/killed a female students cat. Johnson was sexually abused at age 6 and abused a 3 year old girl when he was 12. Both were released when they turned 21 due to state laws. Johnson was arrested shortly after release for drug possession, unregistered handgun, and theft. All victims were female.</v>
      </c>
      <c r="AA2490" s="8" t="str">
        <f ca="1">IFERROR(__xludf.DUMMYFUNCTION("""COMPUTED_VALUE"""),"Indiscriminate Shooting")</f>
        <v>Indiscriminate Shooting</v>
      </c>
      <c r="AB2490" s="8"/>
      <c r="AC2490" s="8"/>
      <c r="AD2490" s="8" t="str">
        <f ca="1">IFERROR(__xludf.DUMMYFUNCTION("""COMPUTED_VALUE"""),"Random Shooting")</f>
        <v>Random Shooting</v>
      </c>
      <c r="AE2490" s="8" t="str">
        <f ca="1">IFERROR(__xludf.DUMMYFUNCTION("""COMPUTED_VALUE"""),"Yes")</f>
        <v>Yes</v>
      </c>
      <c r="AF2490" s="8" t="str">
        <f ca="1">IFERROR(__xludf.DUMMYFUNCTION("""COMPUTED_VALUE"""),"Two shooters planned attack together")</f>
        <v>Two shooters planned attack together</v>
      </c>
      <c r="AG2490" s="8" t="str">
        <f ca="1">IFERROR(__xludf.DUMMYFUNCTION("""COMPUTED_VALUE"""),"No")</f>
        <v>No</v>
      </c>
      <c r="AH2490" s="8" t="str">
        <f ca="1">IFERROR(__xludf.DUMMYFUNCTION("""COMPUTED_VALUE"""),"No")</f>
        <v>No</v>
      </c>
      <c r="AI2490" s="8" t="str">
        <f ca="1">IFERROR(__xludf.DUMMYFUNCTION("""COMPUTED_VALUE"""),"No")</f>
        <v>No</v>
      </c>
      <c r="AJ2490" s="8" t="str">
        <f ca="1">IFERROR(__xludf.DUMMYFUNCTION("""COMPUTED_VALUE"""),"No")</f>
        <v>No</v>
      </c>
      <c r="AK2490" s="8" t="str">
        <f ca="1">IFERROR(__xludf.DUMMYFUNCTION("""COMPUTED_VALUE"""),"No")</f>
        <v>No</v>
      </c>
      <c r="AL2490" s="8" t="str">
        <f ca="1">IFERROR(__xludf.DUMMYFUNCTION("""COMPUTED_VALUE"""),"No")</f>
        <v>No</v>
      </c>
      <c r="AM2490" s="8" t="str">
        <f ca="1">IFERROR(__xludf.DUMMYFUNCTION("""COMPUTED_VALUE"""),"Yes")</f>
        <v>Yes</v>
      </c>
      <c r="AN2490" s="8" t="str">
        <f ca="1">IFERROR(__xludf.DUMMYFUNCTION("""COMPUTED_VALUE"""),"Outside")</f>
        <v>Outside</v>
      </c>
      <c r="AO2490" s="8" t="str">
        <f ca="1">IFERROR(__xludf.DUMMYFUNCTION("""COMPUTED_VALUE"""),"Yes")</f>
        <v>Yes</v>
      </c>
      <c r="AP2490" s="8"/>
      <c r="AQ2490" s="8" t="str">
        <f ca="1">IFERROR(__xludf.DUMMYFUNCTION("""COMPUTED_VALUE"""),"Unknown")</f>
        <v>Unknown</v>
      </c>
      <c r="AR2490" s="8" t="str">
        <f ca="1">IFERROR(__xludf.DUMMYFUNCTION("""COMPUTED_VALUE"""),"NA")</f>
        <v>NA</v>
      </c>
      <c r="AS2490" s="8"/>
      <c r="AT2490" s="8"/>
      <c r="AU2490" s="8">
        <f ca="1">IFERROR(__xludf.DUMMYFUNCTION("""COMPUTED_VALUE"""),35.857066)</f>
        <v>35.857066000000003</v>
      </c>
      <c r="AV2490" s="8">
        <f ca="1">IFERROR(__xludf.DUMMYFUNCTION("""COMPUTED_VALUE"""),-90.80582)</f>
        <v>-90.805819999999997</v>
      </c>
      <c r="AW2490" s="8"/>
      <c r="AX2490" s="8">
        <f ca="1">IFERROR(__xludf.DUMMYFUNCTION("""COMPUTED_VALUE"""),72404)</f>
        <v>72404</v>
      </c>
    </row>
    <row r="2491" spans="1:50" ht="120" x14ac:dyDescent="0.2">
      <c r="A2491" s="8" t="str">
        <f ca="1">IFERROR(__xludf.DUMMYFUNCTION("""COMPUTED_VALUE"""),"19980227VAMAF")</f>
        <v>19980227VAMAF</v>
      </c>
      <c r="B2491" s="8">
        <f ca="1">IFERROR(__xludf.DUMMYFUNCTION("""COMPUTED_VALUE"""),2)</f>
        <v>2</v>
      </c>
      <c r="C2491" s="8">
        <f ca="1">IFERROR(__xludf.DUMMYFUNCTION("""COMPUTED_VALUE"""),27)</f>
        <v>27</v>
      </c>
      <c r="D2491" s="8">
        <f ca="1">IFERROR(__xludf.DUMMYFUNCTION("""COMPUTED_VALUE"""),1998)</f>
        <v>1998</v>
      </c>
      <c r="E2491" s="9">
        <f ca="1">IFERROR(__xludf.DUMMYFUNCTION("""COMPUTED_VALUE"""),35853)</f>
        <v>35853</v>
      </c>
      <c r="F2491" s="8" t="str">
        <f ca="1">IFERROR(__xludf.DUMMYFUNCTION("""COMPUTED_VALUE"""),"Marshall High School")</f>
        <v>Marshall High School</v>
      </c>
      <c r="G2491" s="8">
        <f ca="1">IFERROR(__xludf.DUMMYFUNCTION("""COMPUTED_VALUE"""),1)</f>
        <v>1</v>
      </c>
      <c r="H2491" s="8">
        <f ca="1">IFERROR(__xludf.DUMMYFUNCTION("""COMPUTED_VALUE"""),0)</f>
        <v>0</v>
      </c>
      <c r="I2491" s="8">
        <f ca="1">IFERROR(__xludf.DUMMYFUNCTION("""COMPUTED_VALUE"""),1)</f>
        <v>1</v>
      </c>
      <c r="J2491" s="8">
        <f ca="1">IFERROR(__xludf.DUMMYFUNCTION("""COMPUTED_VALUE"""),0)</f>
        <v>0</v>
      </c>
      <c r="K2491" s="8" t="str">
        <f ca="1">IFERROR(__xludf.DUMMYFUNCTION("""COMPUTED_VALUE"""),"https://www.washingtonpost.com/archive/local/1998/09/19/va-teen-gets-life-for-gang-related-killing-outside-high-school/0e6bbbb7-04c8-4f89-98f7-7419010a70fc/?utm_term=.87aecde2da01 https://www.washingtonpost.com/archive/local/1998/02/28/ex-student-fatally-"&amp;"shot-outside-school/7e6b1b24-e3af-4502-9cca-0072ab5197d7/")</f>
        <v>https://www.washingtonpost.com/archive/local/1998/09/19/va-teen-gets-life-for-gang-related-killing-outside-high-school/0e6bbbb7-04c8-4f89-98f7-7419010a70fc/?utm_term=.87aecde2da01 https://www.washingtonpost.com/archive/local/1998/02/28/ex-student-fatally-shot-outside-school/7e6b1b24-e3af-4502-9cca-0072ab5197d7/</v>
      </c>
      <c r="L2491" s="8"/>
      <c r="M2491" s="8"/>
      <c r="N2491" s="8">
        <f ca="1">IFERROR(__xludf.DUMMYFUNCTION("""COMPUTED_VALUE"""),2)</f>
        <v>2</v>
      </c>
      <c r="O2491" s="8" t="str">
        <f ca="1">IFERROR(__xludf.DUMMYFUNCTION("""COMPUTED_VALUE"""),"Winter")</f>
        <v>Winter</v>
      </c>
      <c r="P2491" s="8" t="str">
        <f ca="1">IFERROR(__xludf.DUMMYFUNCTION("""COMPUTED_VALUE"""),"Fairfax")</f>
        <v>Fairfax</v>
      </c>
      <c r="Q2491" s="8" t="str">
        <f ca="1">IFERROR(__xludf.DUMMYFUNCTION("""COMPUTED_VALUE"""),"VA")</f>
        <v>VA</v>
      </c>
      <c r="R2491" s="8" t="str">
        <f ca="1">IFERROR(__xludf.DUMMYFUNCTION("""COMPUTED_VALUE"""),"High")</f>
        <v>High</v>
      </c>
      <c r="S2491" s="8" t="str">
        <f ca="1">IFERROR(__xludf.DUMMYFUNCTION("""COMPUTED_VALUE"""),"Parking Lot")</f>
        <v>Parking Lot</v>
      </c>
      <c r="T2491" s="8" t="str">
        <f ca="1">IFERROR(__xludf.DUMMYFUNCTION("""COMPUTED_VALUE"""),"Outside on School Property")</f>
        <v>Outside on School Property</v>
      </c>
      <c r="U2491" s="8" t="str">
        <f ca="1">IFERROR(__xludf.DUMMYFUNCTION("""COMPUTED_VALUE"""),"Yes")</f>
        <v>Yes</v>
      </c>
      <c r="V2491" s="8" t="str">
        <f ca="1">IFERROR(__xludf.DUMMYFUNCTION("""COMPUTED_VALUE"""),"Lunch")</f>
        <v>Lunch</v>
      </c>
      <c r="W2491" s="11">
        <f ca="1">IFERROR(__xludf.DUMMYFUNCTION("""COMPUTED_VALUE"""),0.513888888888888)</f>
        <v>0.51388888888888795</v>
      </c>
      <c r="X2491" s="8">
        <f ca="1">IFERROR(__xludf.DUMMYFUNCTION("""COMPUTED_VALUE"""),1)</f>
        <v>1</v>
      </c>
      <c r="Y2491" s="12" t="str">
        <f ca="1">IFERROR(__xludf.DUMMYFUNCTION("""COMPUTED_VALUE"""),"Drive by gang shooting in parking lot")</f>
        <v>Drive by gang shooting in parking lot</v>
      </c>
      <c r="Z2491" s="12" t="str">
        <f ca="1">IFERROR(__xludf.DUMMYFUNCTION("""COMPUTED_VALUE"""),"Argument between 18 year-old female and shooters brother day before shooting. On the day of shooting, 17 year-old male and 18 year-old female student were being chased by another car, then pull into parking lot. Car pulls up next to them with four members"&amp;" of the 'Tiny Rascal Gangsters' inside. One 18 year-old male shooter fired multiple shots killing the 17 year-old male student. Police said the crime was gang related.")</f>
        <v>Argument between 18 year-old female and shooters brother day before shooting. On the day of shooting, 17 year-old male and 18 year-old female student were being chased by another car, then pull into parking lot. Car pulls up next to them with four members of the 'Tiny Rascal Gangsters' inside. One 18 year-old male shooter fired multiple shots killing the 17 year-old male student. Police said the crime was gang related.</v>
      </c>
      <c r="AA2491" s="8" t="str">
        <f ca="1">IFERROR(__xludf.DUMMYFUNCTION("""COMPUTED_VALUE"""),"Drive-by Shooting")</f>
        <v>Drive-by Shooting</v>
      </c>
      <c r="AB2491" s="8"/>
      <c r="AC2491" s="8"/>
      <c r="AD2491" s="8" t="str">
        <f ca="1">IFERROR(__xludf.DUMMYFUNCTION("""COMPUTED_VALUE"""),"Victims Targeted")</f>
        <v>Victims Targeted</v>
      </c>
      <c r="AE2491" s="8" t="str">
        <f ca="1">IFERROR(__xludf.DUMMYFUNCTION("""COMPUTED_VALUE"""),"Yes")</f>
        <v>Yes</v>
      </c>
      <c r="AF2491" s="8" t="str">
        <f ca="1">IFERROR(__xludf.DUMMYFUNCTION("""COMPUTED_VALUE"""),"Two 17-year-old males and one 19-year-old male accompanied shooter.")</f>
        <v>Two 17-year-old males and one 19-year-old male accompanied shooter.</v>
      </c>
      <c r="AG2491" s="8" t="str">
        <f ca="1">IFERROR(__xludf.DUMMYFUNCTION("""COMPUTED_VALUE"""),"No")</f>
        <v>No</v>
      </c>
      <c r="AH2491" s="8" t="str">
        <f ca="1">IFERROR(__xludf.DUMMYFUNCTION("""COMPUTED_VALUE"""),"No")</f>
        <v>No</v>
      </c>
      <c r="AI2491" s="8" t="str">
        <f ca="1">IFERROR(__xludf.DUMMYFUNCTION("""COMPUTED_VALUE"""),"No")</f>
        <v>No</v>
      </c>
      <c r="AJ2491" s="8" t="str">
        <f ca="1">IFERROR(__xludf.DUMMYFUNCTION("""COMPUTED_VALUE"""),"No")</f>
        <v>No</v>
      </c>
      <c r="AK2491" s="8" t="str">
        <f ca="1">IFERROR(__xludf.DUMMYFUNCTION("""COMPUTED_VALUE"""),"No")</f>
        <v>No</v>
      </c>
      <c r="AL2491" s="8" t="str">
        <f ca="1">IFERROR(__xludf.DUMMYFUNCTION("""COMPUTED_VALUE"""),"Yes")</f>
        <v>Yes</v>
      </c>
      <c r="AM2491" s="8"/>
      <c r="AN2491" s="8"/>
      <c r="AO2491" s="8" t="str">
        <f ca="1">IFERROR(__xludf.DUMMYFUNCTION("""COMPUTED_VALUE"""),"No")</f>
        <v>No</v>
      </c>
      <c r="AP2491" s="8"/>
      <c r="AQ2491" s="8" t="str">
        <f ca="1">IFERROR(__xludf.DUMMYFUNCTION("""COMPUTED_VALUE"""),"Unknown")</f>
        <v>Unknown</v>
      </c>
      <c r="AR2491" s="8" t="str">
        <f ca="1">IFERROR(__xludf.DUMMYFUNCTION("""COMPUTED_VALUE"""),"NA")</f>
        <v>NA</v>
      </c>
      <c r="AS2491" s="8">
        <f ca="1">IFERROR(__xludf.DUMMYFUNCTION("""COMPUTED_VALUE"""),3)</f>
        <v>3</v>
      </c>
      <c r="AT2491" s="8"/>
      <c r="AU2491" s="8">
        <f ca="1">IFERROR(__xludf.DUMMYFUNCTION("""COMPUTED_VALUE"""),38.905895)</f>
        <v>38.905895000000001</v>
      </c>
      <c r="AV2491" s="8">
        <f ca="1">IFERROR(__xludf.DUMMYFUNCTION("""COMPUTED_VALUE"""),-77.212314)</f>
        <v>-77.212314000000006</v>
      </c>
      <c r="AW2491" s="8"/>
      <c r="AX2491" s="8">
        <f ca="1">IFERROR(__xludf.DUMMYFUNCTION("""COMPUTED_VALUE"""),22043)</f>
        <v>22043</v>
      </c>
    </row>
    <row r="2492" spans="1:50" ht="75" x14ac:dyDescent="0.2">
      <c r="A2492" s="8" t="str">
        <f ca="1">IFERROR(__xludf.DUMMYFUNCTION("""COMPUTED_VALUE"""),"19980225MIRER")</f>
        <v>19980225MIRER</v>
      </c>
      <c r="B2492" s="8">
        <f ca="1">IFERROR(__xludf.DUMMYFUNCTION("""COMPUTED_VALUE"""),2)</f>
        <v>2</v>
      </c>
      <c r="C2492" s="8">
        <f ca="1">IFERROR(__xludf.DUMMYFUNCTION("""COMPUTED_VALUE"""),25)</f>
        <v>25</v>
      </c>
      <c r="D2492" s="8">
        <f ca="1">IFERROR(__xludf.DUMMYFUNCTION("""COMPUTED_VALUE"""),1998)</f>
        <v>1998</v>
      </c>
      <c r="E2492" s="9">
        <f ca="1">IFERROR(__xludf.DUMMYFUNCTION("""COMPUTED_VALUE"""),35851)</f>
        <v>35851</v>
      </c>
      <c r="F2492" s="8" t="str">
        <f ca="1">IFERROR(__xludf.DUMMYFUNCTION("""COMPUTED_VALUE"""),"Reed City High School")</f>
        <v>Reed City High School</v>
      </c>
      <c r="G2492" s="8">
        <f ca="1">IFERROR(__xludf.DUMMYFUNCTION("""COMPUTED_VALUE"""),0)</f>
        <v>0</v>
      </c>
      <c r="H2492" s="8">
        <f ca="1">IFERROR(__xludf.DUMMYFUNCTION("""COMPUTED_VALUE"""),0)</f>
        <v>0</v>
      </c>
      <c r="I2492" s="8">
        <f ca="1">IFERROR(__xludf.DUMMYFUNCTION("""COMPUTED_VALUE"""),0)</f>
        <v>0</v>
      </c>
      <c r="J2492" s="8">
        <f ca="1">IFERROR(__xludf.DUMMYFUNCTION("""COMPUTED_VALUE"""),1)</f>
        <v>1</v>
      </c>
      <c r="K2492" s="10" t="str">
        <f ca="1">IFERROR(__xludf.DUMMYFUNCTION("""COMPUTED_VALUE"""),"https://cmuhistory.cmich.edu/?a=d&amp;d=IsabellaCML19980227.1.2&amp;")</f>
        <v>https://cmuhistory.cmich.edu/?a=d&amp;d=IsabellaCML19980227.1.2&amp;</v>
      </c>
      <c r="L2492" s="8"/>
      <c r="M2492" s="8"/>
      <c r="N2492" s="8">
        <f ca="1">IFERROR(__xludf.DUMMYFUNCTION("""COMPUTED_VALUE"""),2)</f>
        <v>2</v>
      </c>
      <c r="O2492" s="8" t="str">
        <f ca="1">IFERROR(__xludf.DUMMYFUNCTION("""COMPUTED_VALUE"""),"Winter")</f>
        <v>Winter</v>
      </c>
      <c r="P2492" s="8" t="str">
        <f ca="1">IFERROR(__xludf.DUMMYFUNCTION("""COMPUTED_VALUE"""),"Reed City")</f>
        <v>Reed City</v>
      </c>
      <c r="Q2492" s="8" t="str">
        <f ca="1">IFERROR(__xludf.DUMMYFUNCTION("""COMPUTED_VALUE"""),"MI")</f>
        <v>MI</v>
      </c>
      <c r="R2492" s="8" t="str">
        <f ca="1">IFERROR(__xludf.DUMMYFUNCTION("""COMPUTED_VALUE"""),"High")</f>
        <v>High</v>
      </c>
      <c r="S2492" s="8" t="str">
        <f ca="1">IFERROR(__xludf.DUMMYFUNCTION("""COMPUTED_VALUE"""),"Hallway")</f>
        <v>Hallway</v>
      </c>
      <c r="T2492" s="8" t="str">
        <f ca="1">IFERROR(__xludf.DUMMYFUNCTION("""COMPUTED_VALUE"""),"Inside School Building")</f>
        <v>Inside School Building</v>
      </c>
      <c r="U2492" s="8" t="str">
        <f ca="1">IFERROR(__xludf.DUMMYFUNCTION("""COMPUTED_VALUE"""),"Yes")</f>
        <v>Yes</v>
      </c>
      <c r="V2492" s="8" t="str">
        <f ca="1">IFERROR(__xludf.DUMMYFUNCTION("""COMPUTED_VALUE"""),"School Start")</f>
        <v>School Start</v>
      </c>
      <c r="W2492" s="11">
        <f ca="1">IFERROR(__xludf.DUMMYFUNCTION("""COMPUTED_VALUE"""),0.333333333333333)</f>
        <v>0.33333333333333298</v>
      </c>
      <c r="X2492" s="8">
        <f ca="1">IFERROR(__xludf.DUMMYFUNCTION("""COMPUTED_VALUE"""),1)</f>
        <v>1</v>
      </c>
      <c r="Y2492" s="12" t="str">
        <f ca="1">IFERROR(__xludf.DUMMYFUNCTION("""COMPUTED_VALUE"""),"Commit suicide in school hallway")</f>
        <v>Commit suicide in school hallway</v>
      </c>
      <c r="Z2492" s="12" t="str">
        <f ca="1">IFERROR(__xludf.DUMMYFUNCTION("""COMPUTED_VALUE"""),"14 year-old male student was standing around in the hallway joking around with friends. Reached into his locker and took out a rifle, then shot himself in the head. Rifle was hidden in a guitar case. Had told his classmates something big would happen that"&amp;" day.")</f>
        <v>14 year-old male student was standing around in the hallway joking around with friends. Reached into his locker and took out a rifle, then shot himself in the head. Rifle was hidden in a guitar case. Had told his classmates something big would happen that day.</v>
      </c>
      <c r="AA2492" s="8" t="str">
        <f ca="1">IFERROR(__xludf.DUMMYFUNCTION("""COMPUTED_VALUE"""),"Suicide/Attempted")</f>
        <v>Suicide/Attempted</v>
      </c>
      <c r="AB2492" s="8"/>
      <c r="AC2492" s="8"/>
      <c r="AD2492" s="8" t="str">
        <f ca="1">IFERROR(__xludf.DUMMYFUNCTION("""COMPUTED_VALUE"""),"Victims Targeted")</f>
        <v>Victims Targeted</v>
      </c>
      <c r="AE2492" s="8" t="str">
        <f ca="1">IFERROR(__xludf.DUMMYFUNCTION("""COMPUTED_VALUE"""),"No")</f>
        <v>No</v>
      </c>
      <c r="AF2492" s="8"/>
      <c r="AG2492" s="8" t="str">
        <f ca="1">IFERROR(__xludf.DUMMYFUNCTION("""COMPUTED_VALUE"""),"No")</f>
        <v>No</v>
      </c>
      <c r="AH2492" s="8" t="str">
        <f ca="1">IFERROR(__xludf.DUMMYFUNCTION("""COMPUTED_VALUE"""),"No")</f>
        <v>No</v>
      </c>
      <c r="AI2492" s="8" t="str">
        <f ca="1">IFERROR(__xludf.DUMMYFUNCTION("""COMPUTED_VALUE"""),"No")</f>
        <v>No</v>
      </c>
      <c r="AJ2492" s="8"/>
      <c r="AK2492" s="8" t="str">
        <f ca="1">IFERROR(__xludf.DUMMYFUNCTION("""COMPUTED_VALUE"""),"No")</f>
        <v>No</v>
      </c>
      <c r="AL2492" s="8" t="str">
        <f ca="1">IFERROR(__xludf.DUMMYFUNCTION("""COMPUTED_VALUE"""),"No")</f>
        <v>No</v>
      </c>
      <c r="AM2492" s="8"/>
      <c r="AN2492" s="8"/>
      <c r="AO2492" s="8" t="str">
        <f ca="1">IFERROR(__xludf.DUMMYFUNCTION("""COMPUTED_VALUE"""),"No")</f>
        <v>No</v>
      </c>
      <c r="AP2492" s="8"/>
      <c r="AQ2492" s="8" t="str">
        <f ca="1">IFERROR(__xludf.DUMMYFUNCTION("""COMPUTED_VALUE"""),"Unknown")</f>
        <v>Unknown</v>
      </c>
      <c r="AR2492" s="8" t="str">
        <f ca="1">IFERROR(__xludf.DUMMYFUNCTION("""COMPUTED_VALUE"""),"NA")</f>
        <v>NA</v>
      </c>
      <c r="AS2492" s="8">
        <f ca="1">IFERROR(__xludf.DUMMYFUNCTION("""COMPUTED_VALUE"""),1)</f>
        <v>1</v>
      </c>
      <c r="AT2492" s="8"/>
      <c r="AU2492" s="8">
        <f ca="1">IFERROR(__xludf.DUMMYFUNCTION("""COMPUTED_VALUE"""),43.866575)</f>
        <v>43.866574999999997</v>
      </c>
      <c r="AV2492" s="8">
        <f ca="1">IFERROR(__xludf.DUMMYFUNCTION("""COMPUTED_VALUE"""),-85.512441)</f>
        <v>-85.512440999999995</v>
      </c>
      <c r="AW2492" s="8"/>
      <c r="AX2492" s="8">
        <f ca="1">IFERROR(__xludf.DUMMYFUNCTION("""COMPUTED_VALUE"""),49677)</f>
        <v>49677</v>
      </c>
    </row>
    <row r="2493" spans="1:50" ht="75" x14ac:dyDescent="0.2">
      <c r="A2493" s="8" t="str">
        <f ca="1">IFERROR(__xludf.DUMMYFUNCTION("""COMPUTED_VALUE"""),"19980212NJHOH")</f>
        <v>19980212NJHOH</v>
      </c>
      <c r="B2493" s="8">
        <f ca="1">IFERROR(__xludf.DUMMYFUNCTION("""COMPUTED_VALUE"""),2)</f>
        <v>2</v>
      </c>
      <c r="C2493" s="8">
        <f ca="1">IFERROR(__xludf.DUMMYFUNCTION("""COMPUTED_VALUE"""),12)</f>
        <v>12</v>
      </c>
      <c r="D2493" s="8">
        <f ca="1">IFERROR(__xludf.DUMMYFUNCTION("""COMPUTED_VALUE"""),1998)</f>
        <v>1998</v>
      </c>
      <c r="E2493" s="9">
        <f ca="1">IFERROR(__xludf.DUMMYFUNCTION("""COMPUTED_VALUE"""),35838)</f>
        <v>35838</v>
      </c>
      <c r="F2493" s="8" t="str">
        <f ca="1">IFERROR(__xludf.DUMMYFUNCTION("""COMPUTED_VALUE"""),"Hoboken High School")</f>
        <v>Hoboken High School</v>
      </c>
      <c r="G2493" s="8">
        <f ca="1">IFERROR(__xludf.DUMMYFUNCTION("""COMPUTED_VALUE"""),1)</f>
        <v>1</v>
      </c>
      <c r="H2493" s="8">
        <f ca="1">IFERROR(__xludf.DUMMYFUNCTION("""COMPUTED_VALUE"""),0)</f>
        <v>0</v>
      </c>
      <c r="I2493" s="8">
        <f ca="1">IFERROR(__xludf.DUMMYFUNCTION("""COMPUTED_VALUE"""),1)</f>
        <v>1</v>
      </c>
      <c r="J2493" s="8">
        <f ca="1">IFERROR(__xludf.DUMMYFUNCTION("""COMPUTED_VALUE"""),1)</f>
        <v>1</v>
      </c>
      <c r="K2493" s="8" t="str">
        <f ca="1">IFERROR(__xludf.DUMMYFUNCTION("""COMPUTED_VALUE"""),"https://www.nytimes.com/1998/02/13/nyregion/gunman-kills-teacher-then-himself-outside-hoboken-high.html https://www.nytimes.com/1998/02/17/nyregion/killer-s-last-call-to-teacher-was-apology-for-harassment.html")</f>
        <v>https://www.nytimes.com/1998/02/13/nyregion/gunman-kills-teacher-then-himself-outside-hoboken-high.html https://www.nytimes.com/1998/02/17/nyregion/killer-s-last-call-to-teacher-was-apology-for-harassment.html</v>
      </c>
      <c r="L2493" s="8"/>
      <c r="M2493" s="8"/>
      <c r="N2493" s="8">
        <f ca="1">IFERROR(__xludf.DUMMYFUNCTION("""COMPUTED_VALUE"""),3)</f>
        <v>3</v>
      </c>
      <c r="O2493" s="8" t="str">
        <f ca="1">IFERROR(__xludf.DUMMYFUNCTION("""COMPUTED_VALUE"""),"Winter")</f>
        <v>Winter</v>
      </c>
      <c r="P2493" s="8" t="str">
        <f ca="1">IFERROR(__xludf.DUMMYFUNCTION("""COMPUTED_VALUE"""),"Hoboken")</f>
        <v>Hoboken</v>
      </c>
      <c r="Q2493" s="8" t="str">
        <f ca="1">IFERROR(__xludf.DUMMYFUNCTION("""COMPUTED_VALUE"""),"NJ")</f>
        <v>NJ</v>
      </c>
      <c r="R2493" s="8" t="str">
        <f ca="1">IFERROR(__xludf.DUMMYFUNCTION("""COMPUTED_VALUE"""),"High")</f>
        <v>High</v>
      </c>
      <c r="S2493" s="8" t="str">
        <f ca="1">IFERROR(__xludf.DUMMYFUNCTION("""COMPUTED_VALUE"""),"Parking Lot")</f>
        <v>Parking Lot</v>
      </c>
      <c r="T2493" s="8" t="str">
        <f ca="1">IFERROR(__xludf.DUMMYFUNCTION("""COMPUTED_VALUE"""),"Outside on School Property")</f>
        <v>Outside on School Property</v>
      </c>
      <c r="U2493" s="8" t="str">
        <f ca="1">IFERROR(__xludf.DUMMYFUNCTION("""COMPUTED_VALUE"""),"No")</f>
        <v>No</v>
      </c>
      <c r="V2493" s="8" t="str">
        <f ca="1">IFERROR(__xludf.DUMMYFUNCTION("""COMPUTED_VALUE"""),"After School")</f>
        <v>After School</v>
      </c>
      <c r="W2493" s="11">
        <f ca="1">IFERROR(__xludf.DUMMYFUNCTION("""COMPUTED_VALUE"""),0.631944444444444)</f>
        <v>0.63194444444444398</v>
      </c>
      <c r="X2493" s="8">
        <f ca="1">IFERROR(__xludf.DUMMYFUNCTION("""COMPUTED_VALUE"""),1)</f>
        <v>1</v>
      </c>
      <c r="Y2493" s="12" t="str">
        <f ca="1">IFERROR(__xludf.DUMMYFUNCTION("""COMPUTED_VALUE"""),"Shooter believed teacher was having affair with his wife, killed teacher and commited suicide.")</f>
        <v>Shooter believed teacher was having affair with his wife, killed teacher and commited suicide.</v>
      </c>
      <c r="Z2493" s="12" t="str">
        <f ca="1">IFERROR(__xludf.DUMMYFUNCTION("""COMPUTED_VALUE"""),"48 year-old male teacher shot 4 times in the parking lot. 61 year-old male shooter then killed self in nearby park. Shooter believe the teacher was having an affair with his wife. Shooter had reportedly been harassing and stalking victim for a year leadin"&amp;"g up to the shooting.")</f>
        <v>48 year-old male teacher shot 4 times in the parking lot. 61 year-old male shooter then killed self in nearby park. Shooter believe the teacher was having an affair with his wife. Shooter had reportedly been harassing and stalking victim for a year leading up to the shooting.</v>
      </c>
      <c r="AA2493" s="8" t="str">
        <f ca="1">IFERROR(__xludf.DUMMYFUNCTION("""COMPUTED_VALUE"""),"Domestic w/ Targeted Victim")</f>
        <v>Domestic w/ Targeted Victim</v>
      </c>
      <c r="AB2493" s="8"/>
      <c r="AC2493" s="8"/>
      <c r="AD2493" s="8" t="str">
        <f ca="1">IFERROR(__xludf.DUMMYFUNCTION("""COMPUTED_VALUE"""),"Victims Targeted")</f>
        <v>Victims Targeted</v>
      </c>
      <c r="AE2493" s="8" t="str">
        <f ca="1">IFERROR(__xludf.DUMMYFUNCTION("""COMPUTED_VALUE"""),"No")</f>
        <v>No</v>
      </c>
      <c r="AF2493" s="8"/>
      <c r="AG2493" s="8" t="str">
        <f ca="1">IFERROR(__xludf.DUMMYFUNCTION("""COMPUTED_VALUE"""),"No")</f>
        <v>No</v>
      </c>
      <c r="AH2493" s="8" t="str">
        <f ca="1">IFERROR(__xludf.DUMMYFUNCTION("""COMPUTED_VALUE"""),"No")</f>
        <v>No</v>
      </c>
      <c r="AI2493" s="8" t="str">
        <f ca="1">IFERROR(__xludf.DUMMYFUNCTION("""COMPUTED_VALUE"""),"No")</f>
        <v>No</v>
      </c>
      <c r="AJ2493" s="8" t="str">
        <f ca="1">IFERROR(__xludf.DUMMYFUNCTION("""COMPUTED_VALUE"""),"No")</f>
        <v>No</v>
      </c>
      <c r="AK2493" s="8" t="str">
        <f ca="1">IFERROR(__xludf.DUMMYFUNCTION("""COMPUTED_VALUE"""),"Yes")</f>
        <v>Yes</v>
      </c>
      <c r="AL2493" s="8" t="str">
        <f ca="1">IFERROR(__xludf.DUMMYFUNCTION("""COMPUTED_VALUE"""),"No")</f>
        <v>No</v>
      </c>
      <c r="AM2493" s="8"/>
      <c r="AN2493" s="8"/>
      <c r="AO2493" s="8" t="str">
        <f ca="1">IFERROR(__xludf.DUMMYFUNCTION("""COMPUTED_VALUE"""),"No")</f>
        <v>No</v>
      </c>
      <c r="AP2493" s="8"/>
      <c r="AQ2493" s="8" t="str">
        <f ca="1">IFERROR(__xludf.DUMMYFUNCTION("""COMPUTED_VALUE"""),"Unknown")</f>
        <v>Unknown</v>
      </c>
      <c r="AR2493" s="8" t="str">
        <f ca="1">IFERROR(__xludf.DUMMYFUNCTION("""COMPUTED_VALUE"""),"NA")</f>
        <v>NA</v>
      </c>
      <c r="AS2493" s="8">
        <f ca="1">IFERROR(__xludf.DUMMYFUNCTION("""COMPUTED_VALUE"""),5)</f>
        <v>5</v>
      </c>
      <c r="AT2493" s="8"/>
      <c r="AU2493" s="8">
        <f ca="1">IFERROR(__xludf.DUMMYFUNCTION("""COMPUTED_VALUE"""),40.747538)</f>
        <v>40.747537999999999</v>
      </c>
      <c r="AV2493" s="8">
        <f ca="1">IFERROR(__xludf.DUMMYFUNCTION("""COMPUTED_VALUE"""),-74.033224)</f>
        <v>-74.033224000000004</v>
      </c>
      <c r="AW2493" s="8"/>
      <c r="AX2493" s="8">
        <f ca="1">IFERROR(__xludf.DUMMYFUNCTION("""COMPUTED_VALUE"""),7030)</f>
        <v>7030</v>
      </c>
    </row>
    <row r="2494" spans="1:50" ht="90" x14ac:dyDescent="0.2">
      <c r="A2494" s="8" t="str">
        <f ca="1">IFERROR(__xludf.DUMMYFUNCTION("""COMPUTED_VALUE"""),"19971215ARSTS")</f>
        <v>19971215ARSTS</v>
      </c>
      <c r="B2494" s="8">
        <f ca="1">IFERROR(__xludf.DUMMYFUNCTION("""COMPUTED_VALUE"""),12)</f>
        <v>12</v>
      </c>
      <c r="C2494" s="8">
        <f ca="1">IFERROR(__xludf.DUMMYFUNCTION("""COMPUTED_VALUE"""),15)</f>
        <v>15</v>
      </c>
      <c r="D2494" s="8">
        <f ca="1">IFERROR(__xludf.DUMMYFUNCTION("""COMPUTED_VALUE"""),1997)</f>
        <v>1997</v>
      </c>
      <c r="E2494" s="9">
        <f ca="1">IFERROR(__xludf.DUMMYFUNCTION("""COMPUTED_VALUE"""),35779)</f>
        <v>35779</v>
      </c>
      <c r="F2494" s="8" t="str">
        <f ca="1">IFERROR(__xludf.DUMMYFUNCTION("""COMPUTED_VALUE"""),"Stamps High School")</f>
        <v>Stamps High School</v>
      </c>
      <c r="G2494" s="8">
        <f ca="1">IFERROR(__xludf.DUMMYFUNCTION("""COMPUTED_VALUE"""),0)</f>
        <v>0</v>
      </c>
      <c r="H2494" s="8">
        <f ca="1">IFERROR(__xludf.DUMMYFUNCTION("""COMPUTED_VALUE"""),2)</f>
        <v>2</v>
      </c>
      <c r="I2494" s="8">
        <f ca="1">IFERROR(__xludf.DUMMYFUNCTION("""COMPUTED_VALUE"""),2)</f>
        <v>2</v>
      </c>
      <c r="J2494" s="8">
        <f ca="1">IFERROR(__xludf.DUMMYFUNCTION("""COMPUTED_VALUE"""),0)</f>
        <v>0</v>
      </c>
      <c r="K2494" s="10" t="str">
        <f ca="1">IFERROR(__xludf.DUMMYFUNCTION("""COMPUTED_VALUE"""),"http://www.cnn.com/US/9712/19/school.shooting/")</f>
        <v>http://www.cnn.com/US/9712/19/school.shooting/</v>
      </c>
      <c r="L2494" s="8"/>
      <c r="M2494" s="8" t="str">
        <f ca="1">IFERROR(__xludf.DUMMYFUNCTION("""COMPUTED_VALUE"""),"National")</f>
        <v>National</v>
      </c>
      <c r="N2494" s="8">
        <f ca="1">IFERROR(__xludf.DUMMYFUNCTION("""COMPUTED_VALUE"""),4)</f>
        <v>4</v>
      </c>
      <c r="O2494" s="8" t="str">
        <f ca="1">IFERROR(__xludf.DUMMYFUNCTION("""COMPUTED_VALUE"""),"Winter")</f>
        <v>Winter</v>
      </c>
      <c r="P2494" s="8" t="str">
        <f ca="1">IFERROR(__xludf.DUMMYFUNCTION("""COMPUTED_VALUE"""),"Stamps")</f>
        <v>Stamps</v>
      </c>
      <c r="Q2494" s="8" t="str">
        <f ca="1">IFERROR(__xludf.DUMMYFUNCTION("""COMPUTED_VALUE"""),"AR")</f>
        <v>AR</v>
      </c>
      <c r="R2494" s="8" t="str">
        <f ca="1">IFERROR(__xludf.DUMMYFUNCTION("""COMPUTED_VALUE"""),"High")</f>
        <v>High</v>
      </c>
      <c r="S2494" s="8" t="str">
        <f ca="1">IFERROR(__xludf.DUMMYFUNCTION("""COMPUTED_VALUE"""),"Parking Lot")</f>
        <v>Parking Lot</v>
      </c>
      <c r="T2494" s="8" t="str">
        <f ca="1">IFERROR(__xludf.DUMMYFUNCTION("""COMPUTED_VALUE"""),"Outside on School Property")</f>
        <v>Outside on School Property</v>
      </c>
      <c r="U2494" s="8" t="str">
        <f ca="1">IFERROR(__xludf.DUMMYFUNCTION("""COMPUTED_VALUE"""),"Yes")</f>
        <v>Yes</v>
      </c>
      <c r="V2494" s="8" t="str">
        <f ca="1">IFERROR(__xludf.DUMMYFUNCTION("""COMPUTED_VALUE"""),"School Start")</f>
        <v>School Start</v>
      </c>
      <c r="W2494" s="11">
        <f ca="1">IFERROR(__xludf.DUMMYFUNCTION("""COMPUTED_VALUE"""),0.333333333333333)</f>
        <v>0.33333333333333298</v>
      </c>
      <c r="X2494" s="8">
        <f ca="1">IFERROR(__xludf.DUMMYFUNCTION("""COMPUTED_VALUE"""),2)</f>
        <v>2</v>
      </c>
      <c r="Y2494" s="12" t="str">
        <f ca="1">IFERROR(__xludf.DUMMYFUNCTION("""COMPUTED_VALUE"""),"Planned attack, fired at random students from the woods near the school")</f>
        <v>Planned attack, fired at random students from the woods near the school</v>
      </c>
      <c r="Z2494" s="12" t="str">
        <f ca="1">IFERROR(__xludf.DUMMYFUNCTION("""COMPUTED_VALUE"""),"14 year-old shooter fired from the woods at random students walking in the parking lot with a .22 rifle. Two students were struck and sustained minor injuries. Police dogs tracked the shooter back to house where he was arrested. Shooter said he wanted to "&amp;"target random people to cause pain.")</f>
        <v>14 year-old shooter fired from the woods at random students walking in the parking lot with a .22 rifle. Two students were struck and sustained minor injuries. Police dogs tracked the shooter back to house where he was arrested. Shooter said he wanted to target random people to cause pain.</v>
      </c>
      <c r="AA2494" s="8" t="str">
        <f ca="1">IFERROR(__xludf.DUMMYFUNCTION("""COMPUTED_VALUE"""),"Indiscriminate Shooting")</f>
        <v>Indiscriminate Shooting</v>
      </c>
      <c r="AB2494" s="8"/>
      <c r="AC2494" s="8" t="str">
        <f ca="1">IFERROR(__xludf.DUMMYFUNCTION("""COMPUTED_VALUE"""),"Yes")</f>
        <v>Yes</v>
      </c>
      <c r="AD2494" s="8" t="str">
        <f ca="1">IFERROR(__xludf.DUMMYFUNCTION("""COMPUTED_VALUE"""),"Random Shooting")</f>
        <v>Random Shooting</v>
      </c>
      <c r="AE2494" s="8" t="str">
        <f ca="1">IFERROR(__xludf.DUMMYFUNCTION("""COMPUTED_VALUE"""),"No")</f>
        <v>No</v>
      </c>
      <c r="AF2494" s="8"/>
      <c r="AG2494" s="8" t="str">
        <f ca="1">IFERROR(__xludf.DUMMYFUNCTION("""COMPUTED_VALUE"""),"No")</f>
        <v>No</v>
      </c>
      <c r="AH2494" s="8" t="str">
        <f ca="1">IFERROR(__xludf.DUMMYFUNCTION("""COMPUTED_VALUE"""),"No")</f>
        <v>No</v>
      </c>
      <c r="AI2494" s="8" t="str">
        <f ca="1">IFERROR(__xludf.DUMMYFUNCTION("""COMPUTED_VALUE"""),"No")</f>
        <v>No</v>
      </c>
      <c r="AJ2494" s="8"/>
      <c r="AK2494" s="8" t="str">
        <f ca="1">IFERROR(__xludf.DUMMYFUNCTION("""COMPUTED_VALUE"""),"No")</f>
        <v>No</v>
      </c>
      <c r="AL2494" s="8" t="str">
        <f ca="1">IFERROR(__xludf.DUMMYFUNCTION("""COMPUTED_VALUE"""),"No")</f>
        <v>No</v>
      </c>
      <c r="AM2494" s="8" t="str">
        <f ca="1">IFERROR(__xludf.DUMMYFUNCTION("""COMPUTED_VALUE"""),"Yes")</f>
        <v>Yes</v>
      </c>
      <c r="AN2494" s="8" t="str">
        <f ca="1">IFERROR(__xludf.DUMMYFUNCTION("""COMPUTED_VALUE"""),"Outside")</f>
        <v>Outside</v>
      </c>
      <c r="AO2494" s="8" t="str">
        <f ca="1">IFERROR(__xludf.DUMMYFUNCTION("""COMPUTED_VALUE"""),"Yes")</f>
        <v>Yes</v>
      </c>
      <c r="AP2494" s="8"/>
      <c r="AQ2494" s="8" t="str">
        <f ca="1">IFERROR(__xludf.DUMMYFUNCTION("""COMPUTED_VALUE"""),"Unknown")</f>
        <v>Unknown</v>
      </c>
      <c r="AR2494" s="8" t="str">
        <f ca="1">IFERROR(__xludf.DUMMYFUNCTION("""COMPUTED_VALUE"""),"NA")</f>
        <v>NA</v>
      </c>
      <c r="AS2494" s="8"/>
      <c r="AT2494" s="8"/>
      <c r="AU2494" s="8">
        <f ca="1">IFERROR(__xludf.DUMMYFUNCTION("""COMPUTED_VALUE"""),33.369858)</f>
        <v>33.369858000000001</v>
      </c>
      <c r="AV2494" s="8">
        <f ca="1">IFERROR(__xludf.DUMMYFUNCTION("""COMPUTED_VALUE"""),-93.481082)</f>
        <v>-93.481082000000001</v>
      </c>
      <c r="AW2494" s="8"/>
      <c r="AX2494" s="8">
        <f ca="1">IFERROR(__xludf.DUMMYFUNCTION("""COMPUTED_VALUE"""),71860)</f>
        <v>71860</v>
      </c>
    </row>
    <row r="2495" spans="1:50" ht="195" x14ac:dyDescent="0.2">
      <c r="A2495" s="8" t="str">
        <f ca="1">IFERROR(__xludf.DUMMYFUNCTION("""COMPUTED_VALUE"""),"19971201KYHEW")</f>
        <v>19971201KYHEW</v>
      </c>
      <c r="B2495" s="8">
        <f ca="1">IFERROR(__xludf.DUMMYFUNCTION("""COMPUTED_VALUE"""),12)</f>
        <v>12</v>
      </c>
      <c r="C2495" s="8">
        <f ca="1">IFERROR(__xludf.DUMMYFUNCTION("""COMPUTED_VALUE"""),1)</f>
        <v>1</v>
      </c>
      <c r="D2495" s="8">
        <f ca="1">IFERROR(__xludf.DUMMYFUNCTION("""COMPUTED_VALUE"""),1997)</f>
        <v>1997</v>
      </c>
      <c r="E2495" s="9">
        <f ca="1">IFERROR(__xludf.DUMMYFUNCTION("""COMPUTED_VALUE"""),35765)</f>
        <v>35765</v>
      </c>
      <c r="F2495" s="8" t="str">
        <f ca="1">IFERROR(__xludf.DUMMYFUNCTION("""COMPUTED_VALUE"""),"Heath High School")</f>
        <v>Heath High School</v>
      </c>
      <c r="G2495" s="8">
        <f ca="1">IFERROR(__xludf.DUMMYFUNCTION("""COMPUTED_VALUE"""),3)</f>
        <v>3</v>
      </c>
      <c r="H2495" s="8">
        <f ca="1">IFERROR(__xludf.DUMMYFUNCTION("""COMPUTED_VALUE"""),5)</f>
        <v>5</v>
      </c>
      <c r="I2495" s="8">
        <f ca="1">IFERROR(__xludf.DUMMYFUNCTION("""COMPUTED_VALUE"""),8)</f>
        <v>8</v>
      </c>
      <c r="J2495" s="8">
        <f ca="1">IFERROR(__xludf.DUMMYFUNCTION("""COMPUTED_VALUE"""),0)</f>
        <v>0</v>
      </c>
      <c r="K2495" s="10" t="str">
        <f ca="1">IFERROR(__xludf.DUMMYFUNCTION("""COMPUTED_VALUE"""),"https://www.theatlantic.com/national/archive/2012/12/memories-of-a-school-shooting-paducah-kentucky-1997/266358/ https://www.history.com/this-day-in-history/a-young-murderer-is-indicted
https://www.washingtonpost.com/nation/2022/08/28/school-shooting-padu"&amp;"cah-kentucky-michael-carneal-parole/")</f>
        <v>https://www.theatlantic.com/national/archive/2012/12/memories-of-a-school-shooting-paducah-kentucky-1997/266358/ https://www.history.com/this-day-in-history/a-young-murderer-is-indicted
https://www.washingtonpost.com/nation/2022/08/28/school-shooting-paducah-kentucky-michael-carneal-parole/</v>
      </c>
      <c r="L2495" s="8"/>
      <c r="M2495" s="8" t="str">
        <f ca="1">IFERROR(__xludf.DUMMYFUNCTION("""COMPUTED_VALUE"""),"National")</f>
        <v>National</v>
      </c>
      <c r="N2495" s="8">
        <f ca="1">IFERROR(__xludf.DUMMYFUNCTION("""COMPUTED_VALUE"""),4)</f>
        <v>4</v>
      </c>
      <c r="O2495" s="8" t="str">
        <f ca="1">IFERROR(__xludf.DUMMYFUNCTION("""COMPUTED_VALUE"""),"Winter")</f>
        <v>Winter</v>
      </c>
      <c r="P2495" s="8" t="str">
        <f ca="1">IFERROR(__xludf.DUMMYFUNCTION("""COMPUTED_VALUE"""),"West Paducah")</f>
        <v>West Paducah</v>
      </c>
      <c r="Q2495" s="8" t="str">
        <f ca="1">IFERROR(__xludf.DUMMYFUNCTION("""COMPUTED_VALUE"""),"KY")</f>
        <v>KY</v>
      </c>
      <c r="R2495" s="8" t="str">
        <f ca="1">IFERROR(__xludf.DUMMYFUNCTION("""COMPUTED_VALUE"""),"High")</f>
        <v>High</v>
      </c>
      <c r="S2495" s="8" t="str">
        <f ca="1">IFERROR(__xludf.DUMMYFUNCTION("""COMPUTED_VALUE"""),"Entryway")</f>
        <v>Entryway</v>
      </c>
      <c r="T2495" s="8" t="str">
        <f ca="1">IFERROR(__xludf.DUMMYFUNCTION("""COMPUTED_VALUE"""),"Outside on School Property")</f>
        <v>Outside on School Property</v>
      </c>
      <c r="U2495" s="8" t="str">
        <f ca="1">IFERROR(__xludf.DUMMYFUNCTION("""COMPUTED_VALUE"""),"Yes")</f>
        <v>Yes</v>
      </c>
      <c r="V2495" s="8" t="str">
        <f ca="1">IFERROR(__xludf.DUMMYFUNCTION("""COMPUTED_VALUE"""),"Before School")</f>
        <v>Before School</v>
      </c>
      <c r="W2495" s="11">
        <f ca="1">IFERROR(__xludf.DUMMYFUNCTION("""COMPUTED_VALUE"""),0.322916666666666)</f>
        <v>0.32291666666666602</v>
      </c>
      <c r="X2495" s="8"/>
      <c r="Y2495" s="12" t="str">
        <f ca="1">IFERROR(__xludf.DUMMYFUNCTION("""COMPUTED_VALUE"""),"Planned attack, fired at multiple students in front of school then sat down and surrendered")</f>
        <v>Planned attack, fired at multiple students in front of school then sat down and surrendered</v>
      </c>
      <c r="Z2495" s="12" t="str">
        <f ca="1">IFERROR(__xludf.DUMMYFUNCTION("""COMPUTED_VALUE"""),"14 year-old shooter took a rifle, shotgun, and .22 pistol to school wrapped in blankets saying it was an art project. He stopped at a prayer circle, took out the pistol, and fired 8 shots killing 3 and wounding 5. He then put the pistol down and stood the"&amp;"re until confronted by school officials. He said ""please kill me, I can't believe what I've done"". Sent to mental health institution where he was diagnosed with schizotypal personality disorder and later paranoid schizophrenia. Shooter had brought a gun"&amp;" to school previously that was taken away by another student. Shooter had stolen guns from a neighbors garage. Shooter warned that something big was going to happen on Monday but students didn't believe him.")</f>
        <v>14 year-old shooter took a rifle, shotgun, and .22 pistol to school wrapped in blankets saying it was an art project. He stopped at a prayer circle, took out the pistol, and fired 8 shots killing 3 and wounding 5. He then put the pistol down and stood there until confronted by school officials. He said "please kill me, I can't believe what I've done". Sent to mental health institution where he was diagnosed with schizotypal personality disorder and later paranoid schizophrenia. Shooter had brought a gun to school previously that was taken away by another student. Shooter had stolen guns from a neighbors garage. Shooter warned that something big was going to happen on Monday but students didn't believe him.</v>
      </c>
      <c r="AA2495" s="8" t="str">
        <f ca="1">IFERROR(__xludf.DUMMYFUNCTION("""COMPUTED_VALUE"""),"Indiscriminate Shooting")</f>
        <v>Indiscriminate Shooting</v>
      </c>
      <c r="AB2495" s="8"/>
      <c r="AC2495" s="8" t="str">
        <f ca="1">IFERROR(__xludf.DUMMYFUNCTION("""COMPUTED_VALUE"""),"Yes")</f>
        <v>Yes</v>
      </c>
      <c r="AD2495" s="8" t="str">
        <f ca="1">IFERROR(__xludf.DUMMYFUNCTION("""COMPUTED_VALUE"""),"Random Shooting")</f>
        <v>Random Shooting</v>
      </c>
      <c r="AE2495" s="8" t="str">
        <f ca="1">IFERROR(__xludf.DUMMYFUNCTION("""COMPUTED_VALUE"""),"No")</f>
        <v>No</v>
      </c>
      <c r="AF2495" s="8"/>
      <c r="AG2495" s="8" t="str">
        <f ca="1">IFERROR(__xludf.DUMMYFUNCTION("""COMPUTED_VALUE"""),"No")</f>
        <v>No</v>
      </c>
      <c r="AH2495" s="8" t="str">
        <f ca="1">IFERROR(__xludf.DUMMYFUNCTION("""COMPUTED_VALUE"""),"No")</f>
        <v>No</v>
      </c>
      <c r="AI2495" s="8" t="str">
        <f ca="1">IFERROR(__xludf.DUMMYFUNCTION("""COMPUTED_VALUE"""),"No")</f>
        <v>No</v>
      </c>
      <c r="AJ2495" s="8" t="str">
        <f ca="1">IFERROR(__xludf.DUMMYFUNCTION("""COMPUTED_VALUE"""),"Yes")</f>
        <v>Yes</v>
      </c>
      <c r="AK2495" s="8" t="str">
        <f ca="1">IFERROR(__xludf.DUMMYFUNCTION("""COMPUTED_VALUE"""),"No")</f>
        <v>No</v>
      </c>
      <c r="AL2495" s="8" t="str">
        <f ca="1">IFERROR(__xludf.DUMMYFUNCTION("""COMPUTED_VALUE"""),"No")</f>
        <v>No</v>
      </c>
      <c r="AM2495" s="8" t="str">
        <f ca="1">IFERROR(__xludf.DUMMYFUNCTION("""COMPUTED_VALUE"""),"Yes")</f>
        <v>Yes</v>
      </c>
      <c r="AN2495" s="8" t="str">
        <f ca="1">IFERROR(__xludf.DUMMYFUNCTION("""COMPUTED_VALUE"""),"Hallway")</f>
        <v>Hallway</v>
      </c>
      <c r="AO2495" s="8" t="str">
        <f ca="1">IFERROR(__xludf.DUMMYFUNCTION("""COMPUTED_VALUE"""),"Yes")</f>
        <v>Yes</v>
      </c>
      <c r="AP2495" s="8"/>
      <c r="AQ2495" s="8" t="str">
        <f ca="1">IFERROR(__xludf.DUMMYFUNCTION("""COMPUTED_VALUE"""),"Unknown")</f>
        <v>Unknown</v>
      </c>
      <c r="AR2495" s="8" t="str">
        <f ca="1">IFERROR(__xludf.DUMMYFUNCTION("""COMPUTED_VALUE"""),"NA")</f>
        <v>NA</v>
      </c>
      <c r="AS2495" s="8">
        <f ca="1">IFERROR(__xludf.DUMMYFUNCTION("""COMPUTED_VALUE"""),99)</f>
        <v>99</v>
      </c>
      <c r="AT2495" s="8"/>
      <c r="AU2495" s="8">
        <f ca="1">IFERROR(__xludf.DUMMYFUNCTION("""COMPUTED_VALUE"""),37.078949)</f>
        <v>37.078949000000001</v>
      </c>
      <c r="AV2495" s="8">
        <f ca="1">IFERROR(__xludf.DUMMYFUNCTION("""COMPUTED_VALUE"""),-88.794404)</f>
        <v>-88.794404</v>
      </c>
      <c r="AW2495" s="8"/>
      <c r="AX2495" s="8">
        <f ca="1">IFERROR(__xludf.DUMMYFUNCTION("""COMPUTED_VALUE"""),42086)</f>
        <v>42086</v>
      </c>
    </row>
    <row r="2496" spans="1:50" ht="120" x14ac:dyDescent="0.2">
      <c r="A2496" s="8" t="str">
        <f ca="1">IFERROR(__xludf.DUMMYFUNCTION("""COMPUTED_VALUE"""),"19971113CACRS")</f>
        <v>19971113CACRS</v>
      </c>
      <c r="B2496" s="8">
        <f ca="1">IFERROR(__xludf.DUMMYFUNCTION("""COMPUTED_VALUE"""),11)</f>
        <v>11</v>
      </c>
      <c r="C2496" s="8">
        <f ca="1">IFERROR(__xludf.DUMMYFUNCTION("""COMPUTED_VALUE"""),13)</f>
        <v>13</v>
      </c>
      <c r="D2496" s="8">
        <f ca="1">IFERROR(__xludf.DUMMYFUNCTION("""COMPUTED_VALUE"""),1997)</f>
        <v>1997</v>
      </c>
      <c r="E2496" s="9">
        <f ca="1">IFERROR(__xludf.DUMMYFUNCTION("""COMPUTED_VALUE"""),35747)</f>
        <v>35747</v>
      </c>
      <c r="F2496" s="8" t="str">
        <f ca="1">IFERROR(__xludf.DUMMYFUNCTION("""COMPUTED_VALUE"""),"Creekside Elementary School")</f>
        <v>Creekside Elementary School</v>
      </c>
      <c r="G2496" s="8">
        <f ca="1">IFERROR(__xludf.DUMMYFUNCTION("""COMPUTED_VALUE"""),1)</f>
        <v>1</v>
      </c>
      <c r="H2496" s="8">
        <f ca="1">IFERROR(__xludf.DUMMYFUNCTION("""COMPUTED_VALUE"""),0)</f>
        <v>0</v>
      </c>
      <c r="I2496" s="8">
        <f ca="1">IFERROR(__xludf.DUMMYFUNCTION("""COMPUTED_VALUE"""),1)</f>
        <v>1</v>
      </c>
      <c r="J2496" s="8">
        <f ca="1">IFERROR(__xludf.DUMMYFUNCTION("""COMPUTED_VALUE"""),0)</f>
        <v>0</v>
      </c>
      <c r="K2496" s="10" t="str">
        <f ca="1">IFERROR(__xludf.DUMMYFUNCTION("""COMPUTED_VALUE"""),"https://www.apnews.com/4875a8815b27a22d306a61ab83a97d26")</f>
        <v>https://www.apnews.com/4875a8815b27a22d306a61ab83a97d26</v>
      </c>
      <c r="L2496" s="8"/>
      <c r="M2496" s="8"/>
      <c r="N2496" s="8">
        <f ca="1">IFERROR(__xludf.DUMMYFUNCTION("""COMPUTED_VALUE"""),2)</f>
        <v>2</v>
      </c>
      <c r="O2496" s="8" t="str">
        <f ca="1">IFERROR(__xludf.DUMMYFUNCTION("""COMPUTED_VALUE"""),"Fall")</f>
        <v>Fall</v>
      </c>
      <c r="P2496" s="8" t="str">
        <f ca="1">IFERROR(__xludf.DUMMYFUNCTION("""COMPUTED_VALUE"""),"Sacramento")</f>
        <v>Sacramento</v>
      </c>
      <c r="Q2496" s="8" t="str">
        <f ca="1">IFERROR(__xludf.DUMMYFUNCTION("""COMPUTED_VALUE"""),"CA")</f>
        <v>CA</v>
      </c>
      <c r="R2496" s="8" t="str">
        <f ca="1">IFERROR(__xludf.DUMMYFUNCTION("""COMPUTED_VALUE"""),"Elementary")</f>
        <v>Elementary</v>
      </c>
      <c r="S2496" s="8" t="str">
        <f ca="1">IFERROR(__xludf.DUMMYFUNCTION("""COMPUTED_VALUE"""),"Parking Lot")</f>
        <v>Parking Lot</v>
      </c>
      <c r="T2496" s="8" t="str">
        <f ca="1">IFERROR(__xludf.DUMMYFUNCTION("""COMPUTED_VALUE"""),"Outside on School Property")</f>
        <v>Outside on School Property</v>
      </c>
      <c r="U2496" s="8" t="str">
        <f ca="1">IFERROR(__xludf.DUMMYFUNCTION("""COMPUTED_VALUE"""),"Yes")</f>
        <v>Yes</v>
      </c>
      <c r="V2496" s="8" t="str">
        <f ca="1">IFERROR(__xludf.DUMMYFUNCTION("""COMPUTED_VALUE"""),"Dismissal")</f>
        <v>Dismissal</v>
      </c>
      <c r="W2496" s="8"/>
      <c r="X2496" s="8">
        <f ca="1">IFERROR(__xludf.DUMMYFUNCTION("""COMPUTED_VALUE"""),1)</f>
        <v>1</v>
      </c>
      <c r="Y2496" s="12" t="str">
        <f ca="1">IFERROR(__xludf.DUMMYFUNCTION("""COMPUTED_VALUE"""),"Parent killed, related to custody battle with ex-wife")</f>
        <v>Parent killed, related to custody battle with ex-wife</v>
      </c>
      <c r="Z2496" s="12" t="str">
        <f ca="1">IFERROR(__xludf.DUMMYFUNCTION("""COMPUTED_VALUE"""),"47 year-old male shot 4 times in car school parking lot waiting to pick up daughter and her half-brother. Victims girlfriend and 4 year-old daughter were in the car at the time of shooting. After shooting the victim, 39 year-old shooter fled then took 3 p"&amp;"eople hostage in their own home. He ultimately surrendered and was arrested. Victim was in custody battle with ex-wife and had recently threatened her. Shooter was on parole at the time.")</f>
        <v>47 year-old male shot 4 times in car school parking lot waiting to pick up daughter and her half-brother. Victims girlfriend and 4 year-old daughter were in the car at the time of shooting. After shooting the victim, 39 year-old shooter fled then took 3 people hostage in their own home. He ultimately surrendered and was arrested. Victim was in custody battle with ex-wife and had recently threatened her. Shooter was on parole at the time.</v>
      </c>
      <c r="AA2496" s="8" t="str">
        <f ca="1">IFERROR(__xludf.DUMMYFUNCTION("""COMPUTED_VALUE"""),"Domestic w/ Targeted Victim")</f>
        <v>Domestic w/ Targeted Victim</v>
      </c>
      <c r="AB2496" s="8"/>
      <c r="AC2496" s="8"/>
      <c r="AD2496" s="8" t="str">
        <f ca="1">IFERROR(__xludf.DUMMYFUNCTION("""COMPUTED_VALUE"""),"Victims Targeted")</f>
        <v>Victims Targeted</v>
      </c>
      <c r="AE2496" s="8" t="str">
        <f ca="1">IFERROR(__xludf.DUMMYFUNCTION("""COMPUTED_VALUE"""),"Unknown")</f>
        <v>Unknown</v>
      </c>
      <c r="AF2496" s="8"/>
      <c r="AG2496" s="8" t="str">
        <f ca="1">IFERROR(__xludf.DUMMYFUNCTION("""COMPUTED_VALUE"""),"Yes")</f>
        <v>Yes</v>
      </c>
      <c r="AH2496" s="8" t="str">
        <f ca="1">IFERROR(__xludf.DUMMYFUNCTION("""COMPUTED_VALUE"""),"No")</f>
        <v>No</v>
      </c>
      <c r="AI2496" s="8" t="str">
        <f ca="1">IFERROR(__xludf.DUMMYFUNCTION("""COMPUTED_VALUE"""),"No")</f>
        <v>No</v>
      </c>
      <c r="AJ2496" s="8" t="str">
        <f ca="1">IFERROR(__xludf.DUMMYFUNCTION("""COMPUTED_VALUE"""),"No")</f>
        <v>No</v>
      </c>
      <c r="AK2496" s="8" t="str">
        <f ca="1">IFERROR(__xludf.DUMMYFUNCTION("""COMPUTED_VALUE"""),"Yes")</f>
        <v>Yes</v>
      </c>
      <c r="AL2496" s="8" t="str">
        <f ca="1">IFERROR(__xludf.DUMMYFUNCTION("""COMPUTED_VALUE"""),"No")</f>
        <v>No</v>
      </c>
      <c r="AM2496" s="8"/>
      <c r="AN2496" s="8"/>
      <c r="AO2496" s="8" t="str">
        <f ca="1">IFERROR(__xludf.DUMMYFUNCTION("""COMPUTED_VALUE"""),"No")</f>
        <v>No</v>
      </c>
      <c r="AP2496" s="8"/>
      <c r="AQ2496" s="8" t="str">
        <f ca="1">IFERROR(__xludf.DUMMYFUNCTION("""COMPUTED_VALUE"""),"Unknown")</f>
        <v>Unknown</v>
      </c>
      <c r="AR2496" s="8" t="str">
        <f ca="1">IFERROR(__xludf.DUMMYFUNCTION("""COMPUTED_VALUE"""),"NA")</f>
        <v>NA</v>
      </c>
      <c r="AS2496" s="8">
        <f ca="1">IFERROR(__xludf.DUMMYFUNCTION("""COMPUTED_VALUE"""),4)</f>
        <v>4</v>
      </c>
      <c r="AT2496" s="8"/>
      <c r="AU2496" s="8">
        <f ca="1">IFERROR(__xludf.DUMMYFUNCTION("""COMPUTED_VALUE"""),38.041491)</f>
        <v>38.041491000000001</v>
      </c>
      <c r="AV2496" s="8">
        <f ca="1">IFERROR(__xludf.DUMMYFUNCTION("""COMPUTED_VALUE"""),-121.348435)</f>
        <v>-121.34843499999999</v>
      </c>
      <c r="AW2496" s="8"/>
      <c r="AX2496" s="8">
        <f ca="1">IFERROR(__xludf.DUMMYFUNCTION("""COMPUTED_VALUE"""),95209)</f>
        <v>95209</v>
      </c>
    </row>
    <row r="2497" spans="1:50" ht="60" x14ac:dyDescent="0.2">
      <c r="A2497" s="8" t="str">
        <f ca="1">IFERROR(__xludf.DUMMYFUNCTION("""COMPUTED_VALUE"""),"19971107FLRIJ")</f>
        <v>19971107FLRIJ</v>
      </c>
      <c r="B2497" s="8">
        <f ca="1">IFERROR(__xludf.DUMMYFUNCTION("""COMPUTED_VALUE"""),11)</f>
        <v>11</v>
      </c>
      <c r="C2497" s="8">
        <f ca="1">IFERROR(__xludf.DUMMYFUNCTION("""COMPUTED_VALUE"""),7)</f>
        <v>7</v>
      </c>
      <c r="D2497" s="8">
        <f ca="1">IFERROR(__xludf.DUMMYFUNCTION("""COMPUTED_VALUE"""),1997)</f>
        <v>1997</v>
      </c>
      <c r="E2497" s="9">
        <f ca="1">IFERROR(__xludf.DUMMYFUNCTION("""COMPUTED_VALUE"""),35741)</f>
        <v>35741</v>
      </c>
      <c r="F2497" s="8" t="str">
        <f ca="1">IFERROR(__xludf.DUMMYFUNCTION("""COMPUTED_VALUE"""),"Ribault High School")</f>
        <v>Ribault High School</v>
      </c>
      <c r="G2497" s="8">
        <f ca="1">IFERROR(__xludf.DUMMYFUNCTION("""COMPUTED_VALUE"""),1)</f>
        <v>1</v>
      </c>
      <c r="H2497" s="8">
        <f ca="1">IFERROR(__xludf.DUMMYFUNCTION("""COMPUTED_VALUE"""),1)</f>
        <v>1</v>
      </c>
      <c r="I2497" s="8">
        <f ca="1">IFERROR(__xludf.DUMMYFUNCTION("""COMPUTED_VALUE"""),2)</f>
        <v>2</v>
      </c>
      <c r="J2497" s="8">
        <f ca="1">IFERROR(__xludf.DUMMYFUNCTION("""COMPUTED_VALUE"""),0)</f>
        <v>0</v>
      </c>
      <c r="K2497" s="10" t="str">
        <f ca="1">IFERROR(__xludf.DUMMYFUNCTION("""COMPUTED_VALUE"""),"https://www.questia.com/newspaper/1G1-57464504/two-students-shot-1-dead-teens-attacked-near-ribault")</f>
        <v>https://www.questia.com/newspaper/1G1-57464504/two-students-shot-1-dead-teens-attacked-near-ribault</v>
      </c>
      <c r="L2497" s="8"/>
      <c r="M2497" s="8"/>
      <c r="N2497" s="8">
        <f ca="1">IFERROR(__xludf.DUMMYFUNCTION("""COMPUTED_VALUE"""),2)</f>
        <v>2</v>
      </c>
      <c r="O2497" s="8" t="str">
        <f ca="1">IFERROR(__xludf.DUMMYFUNCTION("""COMPUTED_VALUE"""),"Fall")</f>
        <v>Fall</v>
      </c>
      <c r="P2497" s="8" t="str">
        <f ca="1">IFERROR(__xludf.DUMMYFUNCTION("""COMPUTED_VALUE"""),"Jacksonville")</f>
        <v>Jacksonville</v>
      </c>
      <c r="Q2497" s="8" t="str">
        <f ca="1">IFERROR(__xludf.DUMMYFUNCTION("""COMPUTED_VALUE"""),"FL")</f>
        <v>FL</v>
      </c>
      <c r="R2497" s="8" t="str">
        <f ca="1">IFERROR(__xludf.DUMMYFUNCTION("""COMPUTED_VALUE"""),"High")</f>
        <v>High</v>
      </c>
      <c r="S2497" s="8" t="str">
        <f ca="1">IFERROR(__xludf.DUMMYFUNCTION("""COMPUTED_VALUE"""),"Beside Building")</f>
        <v>Beside Building</v>
      </c>
      <c r="T2497" s="8" t="str">
        <f ca="1">IFERROR(__xludf.DUMMYFUNCTION("""COMPUTED_VALUE"""),"Outside on School Property")</f>
        <v>Outside on School Property</v>
      </c>
      <c r="U2497" s="8" t="str">
        <f ca="1">IFERROR(__xludf.DUMMYFUNCTION("""COMPUTED_VALUE"""),"Yes")</f>
        <v>Yes</v>
      </c>
      <c r="V2497" s="8" t="str">
        <f ca="1">IFERROR(__xludf.DUMMYFUNCTION("""COMPUTED_VALUE"""),"School Start")</f>
        <v>School Start</v>
      </c>
      <c r="W2497" s="11">
        <f ca="1">IFERROR(__xludf.DUMMYFUNCTION("""COMPUTED_VALUE"""),0.347222222222222)</f>
        <v>0.34722222222222199</v>
      </c>
      <c r="X2497" s="8">
        <f ca="1">IFERROR(__xludf.DUMMYFUNCTION("""COMPUTED_VALUE"""),1)</f>
        <v>1</v>
      </c>
      <c r="Y2497" s="12" t="str">
        <f ca="1">IFERROR(__xludf.DUMMYFUNCTION("""COMPUTED_VALUE"""),"Two students chased and shot")</f>
        <v>Two students chased and shot</v>
      </c>
      <c r="Z2497" s="12" t="str">
        <f ca="1">IFERROR(__xludf.DUMMYFUNCTION("""COMPUTED_VALUE"""),"18 year-old male student shot 17 year-old male student outside of school and then chased 14 year-old male into neighborhood where he fatally shot him in a residential area.")</f>
        <v>18 year-old male student shot 17 year-old male student outside of school and then chased 14 year-old male into neighborhood where he fatally shot him in a residential area.</v>
      </c>
      <c r="AA2497" s="8" t="str">
        <f ca="1">IFERROR(__xludf.DUMMYFUNCTION("""COMPUTED_VALUE"""),"Escalation of Dispute")</f>
        <v>Escalation of Dispute</v>
      </c>
      <c r="AB2497" s="8"/>
      <c r="AC2497" s="8"/>
      <c r="AD2497" s="8" t="str">
        <f ca="1">IFERROR(__xludf.DUMMYFUNCTION("""COMPUTED_VALUE"""),"Victims Targeted")</f>
        <v>Victims Targeted</v>
      </c>
      <c r="AE2497" s="8" t="str">
        <f ca="1">IFERROR(__xludf.DUMMYFUNCTION("""COMPUTED_VALUE"""),"No")</f>
        <v>No</v>
      </c>
      <c r="AF2497" s="8"/>
      <c r="AG2497" s="8" t="str">
        <f ca="1">IFERROR(__xludf.DUMMYFUNCTION("""COMPUTED_VALUE"""),"No")</f>
        <v>No</v>
      </c>
      <c r="AH2497" s="8" t="str">
        <f ca="1">IFERROR(__xludf.DUMMYFUNCTION("""COMPUTED_VALUE"""),"No")</f>
        <v>No</v>
      </c>
      <c r="AI2497" s="8" t="str">
        <f ca="1">IFERROR(__xludf.DUMMYFUNCTION("""COMPUTED_VALUE"""),"No")</f>
        <v>No</v>
      </c>
      <c r="AJ2497" s="8" t="str">
        <f ca="1">IFERROR(__xludf.DUMMYFUNCTION("""COMPUTED_VALUE"""),"No")</f>
        <v>No</v>
      </c>
      <c r="AK2497" s="8" t="str">
        <f ca="1">IFERROR(__xludf.DUMMYFUNCTION("""COMPUTED_VALUE"""),"No")</f>
        <v>No</v>
      </c>
      <c r="AL2497" s="8" t="str">
        <f ca="1">IFERROR(__xludf.DUMMYFUNCTION("""COMPUTED_VALUE"""),"No")</f>
        <v>No</v>
      </c>
      <c r="AM2497" s="8"/>
      <c r="AN2497" s="8"/>
      <c r="AO2497" s="8" t="str">
        <f ca="1">IFERROR(__xludf.DUMMYFUNCTION("""COMPUTED_VALUE"""),"No")</f>
        <v>No</v>
      </c>
      <c r="AP2497" s="8"/>
      <c r="AQ2497" s="8" t="str">
        <f ca="1">IFERROR(__xludf.DUMMYFUNCTION("""COMPUTED_VALUE"""),"Unknown")</f>
        <v>Unknown</v>
      </c>
      <c r="AR2497" s="8" t="str">
        <f ca="1">IFERROR(__xludf.DUMMYFUNCTION("""COMPUTED_VALUE"""),"NA")</f>
        <v>NA</v>
      </c>
      <c r="AS2497" s="8">
        <f ca="1">IFERROR(__xludf.DUMMYFUNCTION("""COMPUTED_VALUE"""),4)</f>
        <v>4</v>
      </c>
      <c r="AT2497" s="8"/>
      <c r="AU2497" s="8">
        <f ca="1">IFERROR(__xludf.DUMMYFUNCTION("""COMPUTED_VALUE"""),30.390574)</f>
        <v>30.390574000000001</v>
      </c>
      <c r="AV2497" s="8">
        <f ca="1">IFERROR(__xludf.DUMMYFUNCTION("""COMPUTED_VALUE"""),-81.707702)</f>
        <v>-81.707701999999998</v>
      </c>
      <c r="AW2497" s="8"/>
      <c r="AX2497" s="8">
        <f ca="1">IFERROR(__xludf.DUMMYFUNCTION("""COMPUTED_VALUE"""),32209)</f>
        <v>32209</v>
      </c>
    </row>
    <row r="2498" spans="1:50" ht="105" x14ac:dyDescent="0.2">
      <c r="A2498" s="8" t="str">
        <f ca="1">IFERROR(__xludf.DUMMYFUNCTION("""COMPUTED_VALUE"""),"19971022CAJON")</f>
        <v>19971022CAJON</v>
      </c>
      <c r="B2498" s="8">
        <f ca="1">IFERROR(__xludf.DUMMYFUNCTION("""COMPUTED_VALUE"""),10)</f>
        <v>10</v>
      </c>
      <c r="C2498" s="8">
        <f ca="1">IFERROR(__xludf.DUMMYFUNCTION("""COMPUTED_VALUE"""),22)</f>
        <v>22</v>
      </c>
      <c r="D2498" s="8">
        <f ca="1">IFERROR(__xludf.DUMMYFUNCTION("""COMPUTED_VALUE"""),1997)</f>
        <v>1997</v>
      </c>
      <c r="E2498" s="9">
        <f ca="1">IFERROR(__xludf.DUMMYFUNCTION("""COMPUTED_VALUE"""),35725)</f>
        <v>35725</v>
      </c>
      <c r="F2498" s="8" t="str">
        <f ca="1">IFERROR(__xludf.DUMMYFUNCTION("""COMPUTED_VALUE"""),"John Glenn High School")</f>
        <v>John Glenn High School</v>
      </c>
      <c r="G2498" s="8">
        <f ca="1">IFERROR(__xludf.DUMMYFUNCTION("""COMPUTED_VALUE"""),1)</f>
        <v>1</v>
      </c>
      <c r="H2498" s="8">
        <f ca="1">IFERROR(__xludf.DUMMYFUNCTION("""COMPUTED_VALUE"""),0)</f>
        <v>0</v>
      </c>
      <c r="I2498" s="8">
        <f ca="1">IFERROR(__xludf.DUMMYFUNCTION("""COMPUTED_VALUE"""),1)</f>
        <v>1</v>
      </c>
      <c r="J2498" s="8">
        <f ca="1">IFERROR(__xludf.DUMMYFUNCTION("""COMPUTED_VALUE"""),1)</f>
        <v>1</v>
      </c>
      <c r="K2498" s="8" t="str">
        <f ca="1">IFERROR(__xludf.DUMMYFUNCTION("""COMPUTED_VALUE"""),"http://articles.latimes.com/1997/oct/23/news/mn-45878 http://www.columbine-angels.com/School_Violence_1997-1998.htm")</f>
        <v>http://articles.latimes.com/1997/oct/23/news/mn-45878 http://www.columbine-angels.com/School_Violence_1997-1998.htm</v>
      </c>
      <c r="L2498" s="8"/>
      <c r="M2498" s="8"/>
      <c r="N2498" s="8">
        <f ca="1">IFERROR(__xludf.DUMMYFUNCTION("""COMPUTED_VALUE"""),2)</f>
        <v>2</v>
      </c>
      <c r="O2498" s="8" t="str">
        <f ca="1">IFERROR(__xludf.DUMMYFUNCTION("""COMPUTED_VALUE"""),"Fall")</f>
        <v>Fall</v>
      </c>
      <c r="P2498" s="8" t="str">
        <f ca="1">IFERROR(__xludf.DUMMYFUNCTION("""COMPUTED_VALUE"""),"Norwalk")</f>
        <v>Norwalk</v>
      </c>
      <c r="Q2498" s="8" t="str">
        <f ca="1">IFERROR(__xludf.DUMMYFUNCTION("""COMPUTED_VALUE"""),"CA")</f>
        <v>CA</v>
      </c>
      <c r="R2498" s="8" t="str">
        <f ca="1">IFERROR(__xludf.DUMMYFUNCTION("""COMPUTED_VALUE"""),"High")</f>
        <v>High</v>
      </c>
      <c r="S2498" s="8" t="str">
        <f ca="1">IFERROR(__xludf.DUMMYFUNCTION("""COMPUTED_VALUE"""),"Outside on School Property")</f>
        <v>Outside on School Property</v>
      </c>
      <c r="T2498" s="8" t="str">
        <f ca="1">IFERROR(__xludf.DUMMYFUNCTION("""COMPUTED_VALUE"""),"Outside on School Property")</f>
        <v>Outside on School Property</v>
      </c>
      <c r="U2498" s="8" t="str">
        <f ca="1">IFERROR(__xludf.DUMMYFUNCTION("""COMPUTED_VALUE"""),"Yes")</f>
        <v>Yes</v>
      </c>
      <c r="V2498" s="8" t="str">
        <f ca="1">IFERROR(__xludf.DUMMYFUNCTION("""COMPUTED_VALUE"""),"School Start")</f>
        <v>School Start</v>
      </c>
      <c r="W2498" s="11">
        <f ca="1">IFERROR(__xludf.DUMMYFUNCTION("""COMPUTED_VALUE"""),0.322916666666666)</f>
        <v>0.32291666666666602</v>
      </c>
      <c r="X2498" s="8">
        <f ca="1">IFERROR(__xludf.DUMMYFUNCTION("""COMPUTED_VALUE"""),1)</f>
        <v>1</v>
      </c>
      <c r="Y2498" s="12" t="str">
        <f ca="1">IFERROR(__xludf.DUMMYFUNCTION("""COMPUTED_VALUE"""),"Killed ex-girlfriend and self at school")</f>
        <v>Killed ex-girlfriend and self at school</v>
      </c>
      <c r="Z2498" s="12" t="str">
        <f ca="1">IFERROR(__xludf.DUMMYFUNCTION("""COMPUTED_VALUE"""),"21 year-old male (former student) returned to school and shot 16 year-old ex-girlfriend (current student) multiple times, killing her. He then turned the gun on himself and committed suicide. This shooting happened in front of dozens of students. The coup"&amp;"le had a history of cheating and dating abuse. The shooter was an honors student while in high school.")</f>
        <v>21 year-old male (former student) returned to school and shot 16 year-old ex-girlfriend (current student) multiple times, killing her. He then turned the gun on himself and committed suicide. This shooting happened in front of dozens of students. The couple had a history of cheating and dating abuse. The shooter was an honors student while in high school.</v>
      </c>
      <c r="AA2498" s="8" t="str">
        <f ca="1">IFERROR(__xludf.DUMMYFUNCTION("""COMPUTED_VALUE"""),"Murder/Suicide")</f>
        <v>Murder/Suicide</v>
      </c>
      <c r="AB2498" s="8"/>
      <c r="AC2498" s="8"/>
      <c r="AD2498" s="8" t="str">
        <f ca="1">IFERROR(__xludf.DUMMYFUNCTION("""COMPUTED_VALUE"""),"Victims Targeted")</f>
        <v>Victims Targeted</v>
      </c>
      <c r="AE2498" s="8" t="str">
        <f ca="1">IFERROR(__xludf.DUMMYFUNCTION("""COMPUTED_VALUE"""),"No")</f>
        <v>No</v>
      </c>
      <c r="AF2498" s="8"/>
      <c r="AG2498" s="8" t="str">
        <f ca="1">IFERROR(__xludf.DUMMYFUNCTION("""COMPUTED_VALUE"""),"No")</f>
        <v>No</v>
      </c>
      <c r="AH2498" s="8" t="str">
        <f ca="1">IFERROR(__xludf.DUMMYFUNCTION("""COMPUTED_VALUE"""),"No")</f>
        <v>No</v>
      </c>
      <c r="AI2498" s="8" t="str">
        <f ca="1">IFERROR(__xludf.DUMMYFUNCTION("""COMPUTED_VALUE"""),"No")</f>
        <v>No</v>
      </c>
      <c r="AJ2498" s="8" t="str">
        <f ca="1">IFERROR(__xludf.DUMMYFUNCTION("""COMPUTED_VALUE"""),"No")</f>
        <v>No</v>
      </c>
      <c r="AK2498" s="8" t="str">
        <f ca="1">IFERROR(__xludf.DUMMYFUNCTION("""COMPUTED_VALUE"""),"Yes")</f>
        <v>Yes</v>
      </c>
      <c r="AL2498" s="8" t="str">
        <f ca="1">IFERROR(__xludf.DUMMYFUNCTION("""COMPUTED_VALUE"""),"No")</f>
        <v>No</v>
      </c>
      <c r="AM2498" s="8"/>
      <c r="AN2498" s="8"/>
      <c r="AO2498" s="8" t="str">
        <f ca="1">IFERROR(__xludf.DUMMYFUNCTION("""COMPUTED_VALUE"""),"No")</f>
        <v>No</v>
      </c>
      <c r="AP2498" s="8"/>
      <c r="AQ2498" s="8" t="str">
        <f ca="1">IFERROR(__xludf.DUMMYFUNCTION("""COMPUTED_VALUE"""),"Unknown")</f>
        <v>Unknown</v>
      </c>
      <c r="AR2498" s="8" t="str">
        <f ca="1">IFERROR(__xludf.DUMMYFUNCTION("""COMPUTED_VALUE"""),"NA")</f>
        <v>NA</v>
      </c>
      <c r="AS2498" s="8">
        <f ca="1">IFERROR(__xludf.DUMMYFUNCTION("""COMPUTED_VALUE"""),4)</f>
        <v>4</v>
      </c>
      <c r="AT2498" s="8"/>
      <c r="AU2498" s="8">
        <f ca="1">IFERROR(__xludf.DUMMYFUNCTION("""COMPUTED_VALUE"""),33.907818)</f>
        <v>33.907817999999999</v>
      </c>
      <c r="AV2498" s="8">
        <f ca="1">IFERROR(__xludf.DUMMYFUNCTION("""COMPUTED_VALUE"""),-118.053226)</f>
        <v>-118.053226</v>
      </c>
      <c r="AW2498" s="8"/>
      <c r="AX2498" s="8">
        <f ca="1">IFERROR(__xludf.DUMMYFUNCTION("""COMPUTED_VALUE"""),90650)</f>
        <v>90650</v>
      </c>
    </row>
    <row r="2499" spans="1:50" ht="75" x14ac:dyDescent="0.2">
      <c r="A2499" s="8" t="str">
        <f ca="1">IFERROR(__xludf.DUMMYFUNCTION("""COMPUTED_VALUE"""),"19971020CAMCO")</f>
        <v>19971020CAMCO</v>
      </c>
      <c r="B2499" s="8">
        <f ca="1">IFERROR(__xludf.DUMMYFUNCTION("""COMPUTED_VALUE"""),10)</f>
        <v>10</v>
      </c>
      <c r="C2499" s="8">
        <f ca="1">IFERROR(__xludf.DUMMYFUNCTION("""COMPUTED_VALUE"""),20)</f>
        <v>20</v>
      </c>
      <c r="D2499" s="8">
        <f ca="1">IFERROR(__xludf.DUMMYFUNCTION("""COMPUTED_VALUE"""),1997)</f>
        <v>1997</v>
      </c>
      <c r="E2499" s="9">
        <f ca="1">IFERROR(__xludf.DUMMYFUNCTION("""COMPUTED_VALUE"""),35723)</f>
        <v>35723</v>
      </c>
      <c r="F2499" s="8" t="str">
        <f ca="1">IFERROR(__xludf.DUMMYFUNCTION("""COMPUTED_VALUE"""),"McClymonds High School")</f>
        <v>McClymonds High School</v>
      </c>
      <c r="G2499" s="8">
        <f ca="1">IFERROR(__xludf.DUMMYFUNCTION("""COMPUTED_VALUE"""),1)</f>
        <v>1</v>
      </c>
      <c r="H2499" s="8">
        <f ca="1">IFERROR(__xludf.DUMMYFUNCTION("""COMPUTED_VALUE"""),2)</f>
        <v>2</v>
      </c>
      <c r="I2499" s="8">
        <f ca="1">IFERROR(__xludf.DUMMYFUNCTION("""COMPUTED_VALUE"""),3)</f>
        <v>3</v>
      </c>
      <c r="J2499" s="8">
        <f ca="1">IFERROR(__xludf.DUMMYFUNCTION("""COMPUTED_VALUE"""),0)</f>
        <v>0</v>
      </c>
      <c r="K2499" s="8" t="str">
        <f ca="1">IFERROR(__xludf.DUMMYFUNCTION("""COMPUTED_VALUE"""),"http://www.psychceu.com/school_violence/savd.pdf https://www.sfgate.com/news/article/PAGE-ONE-Gunfire-Steals-A-Best-Friend-Fatal-2825176.php")</f>
        <v>http://www.psychceu.com/school_violence/savd.pdf https://www.sfgate.com/news/article/PAGE-ONE-Gunfire-Steals-A-Best-Friend-Fatal-2825176.php</v>
      </c>
      <c r="L2499" s="8"/>
      <c r="M2499" s="8"/>
      <c r="N2499" s="8">
        <f ca="1">IFERROR(__xludf.DUMMYFUNCTION("""COMPUTED_VALUE"""),3)</f>
        <v>3</v>
      </c>
      <c r="O2499" s="8" t="str">
        <f ca="1">IFERROR(__xludf.DUMMYFUNCTION("""COMPUTED_VALUE"""),"Fall")</f>
        <v>Fall</v>
      </c>
      <c r="P2499" s="8" t="str">
        <f ca="1">IFERROR(__xludf.DUMMYFUNCTION("""COMPUTED_VALUE"""),"Oakland")</f>
        <v>Oakland</v>
      </c>
      <c r="Q2499" s="8" t="str">
        <f ca="1">IFERROR(__xludf.DUMMYFUNCTION("""COMPUTED_VALUE"""),"CA")</f>
        <v>CA</v>
      </c>
      <c r="R2499" s="8" t="str">
        <f ca="1">IFERROR(__xludf.DUMMYFUNCTION("""COMPUTED_VALUE"""),"High")</f>
        <v>High</v>
      </c>
      <c r="S2499" s="8" t="str">
        <f ca="1">IFERROR(__xludf.DUMMYFUNCTION("""COMPUTED_VALUE"""),"Parking Lot")</f>
        <v>Parking Lot</v>
      </c>
      <c r="T2499" s="8" t="str">
        <f ca="1">IFERROR(__xludf.DUMMYFUNCTION("""COMPUTED_VALUE"""),"Outside on School Property")</f>
        <v>Outside on School Property</v>
      </c>
      <c r="U2499" s="8" t="str">
        <f ca="1">IFERROR(__xludf.DUMMYFUNCTION("""COMPUTED_VALUE"""),"No")</f>
        <v>No</v>
      </c>
      <c r="V2499" s="8" t="str">
        <f ca="1">IFERROR(__xludf.DUMMYFUNCTION("""COMPUTED_VALUE"""),"Evening")</f>
        <v>Evening</v>
      </c>
      <c r="W2499" s="11">
        <f ca="1">IFERROR(__xludf.DUMMYFUNCTION("""COMPUTED_VALUE"""),0.833333333333333)</f>
        <v>0.83333333333333304</v>
      </c>
      <c r="X2499" s="8">
        <f ca="1">IFERROR(__xludf.DUMMYFUNCTION("""COMPUTED_VALUE"""),1)</f>
        <v>1</v>
      </c>
      <c r="Y2499" s="12" t="str">
        <f ca="1">IFERROR(__xludf.DUMMYFUNCTION("""COMPUTED_VALUE"""),"2 students shot in vehicle outside of school")</f>
        <v>2 students shot in vehicle outside of school</v>
      </c>
      <c r="Z2499" s="12" t="str">
        <f ca="1">IFERROR(__xludf.DUMMYFUNCTION("""COMPUTED_VALUE"""),"Two 16 year-old females and one 22 year-old male were shot in vehicle outside of the school. One 16 year-old female died. The other 16 year-old female and 22 year-old male were injured. Cause unknown. 22 year-old male seems to be the intended target.")</f>
        <v>Two 16 year-old females and one 22 year-old male were shot in vehicle outside of the school. One 16 year-old female died. The other 16 year-old female and 22 year-old male were injured. Cause unknown. 22 year-old male seems to be the intended target.</v>
      </c>
      <c r="AA2499" s="8" t="str">
        <f ca="1">IFERROR(__xludf.DUMMYFUNCTION("""COMPUTED_VALUE"""),"Escalation of Dispute")</f>
        <v>Escalation of Dispute</v>
      </c>
      <c r="AB2499" s="8"/>
      <c r="AC2499" s="8"/>
      <c r="AD2499" s="8" t="str">
        <f ca="1">IFERROR(__xludf.DUMMYFUNCTION("""COMPUTED_VALUE"""),"Victims Targeted")</f>
        <v>Victims Targeted</v>
      </c>
      <c r="AE2499" s="8" t="str">
        <f ca="1">IFERROR(__xludf.DUMMYFUNCTION("""COMPUTED_VALUE"""),"Unknown")</f>
        <v>Unknown</v>
      </c>
      <c r="AF2499" s="8"/>
      <c r="AG2499" s="8" t="str">
        <f ca="1">IFERROR(__xludf.DUMMYFUNCTION("""COMPUTED_VALUE"""),"No")</f>
        <v>No</v>
      </c>
      <c r="AH2499" s="8" t="str">
        <f ca="1">IFERROR(__xludf.DUMMYFUNCTION("""COMPUTED_VALUE"""),"No")</f>
        <v>No</v>
      </c>
      <c r="AI2499" s="8" t="str">
        <f ca="1">IFERROR(__xludf.DUMMYFUNCTION("""COMPUTED_VALUE"""),"No")</f>
        <v>No</v>
      </c>
      <c r="AJ2499" s="8" t="str">
        <f ca="1">IFERROR(__xludf.DUMMYFUNCTION("""COMPUTED_VALUE"""),"No")</f>
        <v>No</v>
      </c>
      <c r="AK2499" s="8"/>
      <c r="AL2499" s="8" t="str">
        <f ca="1">IFERROR(__xludf.DUMMYFUNCTION("""COMPUTED_VALUE"""),"No")</f>
        <v>No</v>
      </c>
      <c r="AM2499" s="8"/>
      <c r="AN2499" s="8"/>
      <c r="AO2499" s="8" t="str">
        <f ca="1">IFERROR(__xludf.DUMMYFUNCTION("""COMPUTED_VALUE"""),"No")</f>
        <v>No</v>
      </c>
      <c r="AP2499" s="8"/>
      <c r="AQ2499" s="8" t="str">
        <f ca="1">IFERROR(__xludf.DUMMYFUNCTION("""COMPUTED_VALUE"""),"Unknown")</f>
        <v>Unknown</v>
      </c>
      <c r="AR2499" s="8" t="str">
        <f ca="1">IFERROR(__xludf.DUMMYFUNCTION("""COMPUTED_VALUE"""),"NA")</f>
        <v>NA</v>
      </c>
      <c r="AS2499" s="8"/>
      <c r="AT2499" s="8"/>
      <c r="AU2499" s="8">
        <f ca="1">IFERROR(__xludf.DUMMYFUNCTION("""COMPUTED_VALUE"""),37.81925)</f>
        <v>37.819249999999997</v>
      </c>
      <c r="AV2499" s="8">
        <f ca="1">IFERROR(__xludf.DUMMYFUNCTION("""COMPUTED_VALUE"""),-122.278358)</f>
        <v>-122.278358</v>
      </c>
      <c r="AW2499" s="8"/>
      <c r="AX2499" s="8">
        <f ca="1">IFERROR(__xludf.DUMMYFUNCTION("""COMPUTED_VALUE"""),94608)</f>
        <v>94608</v>
      </c>
    </row>
    <row r="2500" spans="1:50" ht="45" x14ac:dyDescent="0.2">
      <c r="A2500" s="8" t="str">
        <f ca="1">IFERROR(__xludf.DUMMYFUNCTION("""COMPUTED_VALUE"""),"19971015FLLIP")</f>
        <v>19971015FLLIP</v>
      </c>
      <c r="B2500" s="8">
        <f ca="1">IFERROR(__xludf.DUMMYFUNCTION("""COMPUTED_VALUE"""),10)</f>
        <v>10</v>
      </c>
      <c r="C2500" s="8">
        <f ca="1">IFERROR(__xludf.DUMMYFUNCTION("""COMPUTED_VALUE"""),15)</f>
        <v>15</v>
      </c>
      <c r="D2500" s="8">
        <f ca="1">IFERROR(__xludf.DUMMYFUNCTION("""COMPUTED_VALUE"""),1997)</f>
        <v>1997</v>
      </c>
      <c r="E2500" s="9">
        <f ca="1">IFERROR(__xludf.DUMMYFUNCTION("""COMPUTED_VALUE"""),35718)</f>
        <v>35718</v>
      </c>
      <c r="F2500" s="8" t="str">
        <f ca="1">IFERROR(__xludf.DUMMYFUNCTION("""COMPUTED_VALUE"""),"Lincoln Middle School")</f>
        <v>Lincoln Middle School</v>
      </c>
      <c r="G2500" s="8">
        <f ca="1">IFERROR(__xludf.DUMMYFUNCTION("""COMPUTED_VALUE"""),0)</f>
        <v>0</v>
      </c>
      <c r="H2500" s="8">
        <f ca="1">IFERROR(__xludf.DUMMYFUNCTION("""COMPUTED_VALUE"""),1)</f>
        <v>1</v>
      </c>
      <c r="I2500" s="8">
        <f ca="1">IFERROR(__xludf.DUMMYFUNCTION("""COMPUTED_VALUE"""),1)</f>
        <v>1</v>
      </c>
      <c r="J2500" s="8">
        <f ca="1">IFERROR(__xludf.DUMMYFUNCTION("""COMPUTED_VALUE"""),0)</f>
        <v>0</v>
      </c>
      <c r="K2500" s="10" t="str">
        <f ca="1">IFERROR(__xludf.DUMMYFUNCTION("""COMPUTED_VALUE"""),"http://www.heraldtribune.com/article/LK/20061018/News/605239769/SH/   https://www.newspapers.com/image/326818791/?terms=brandon%2Blee%2Bhartsoe https://www.tampabay.com/archive/1997/10/17/authorities-review-possible-charges-against-boy-s-mother/")</f>
        <v>http://www.heraldtribune.com/article/LK/20061018/News/605239769/SH/   https://www.newspapers.com/image/326818791/?terms=brandon%2Blee%2Bhartsoe https://www.tampabay.com/archive/1997/10/17/authorities-review-possible-charges-against-boy-s-mother/</v>
      </c>
      <c r="L2500" s="8"/>
      <c r="M2500" s="8"/>
      <c r="N2500" s="8">
        <f ca="1">IFERROR(__xludf.DUMMYFUNCTION("""COMPUTED_VALUE"""),4)</f>
        <v>4</v>
      </c>
      <c r="O2500" s="8" t="str">
        <f ca="1">IFERROR(__xludf.DUMMYFUNCTION("""COMPUTED_VALUE"""),"Fall")</f>
        <v>Fall</v>
      </c>
      <c r="P2500" s="8" t="str">
        <f ca="1">IFERROR(__xludf.DUMMYFUNCTION("""COMPUTED_VALUE"""),"Palmetto")</f>
        <v>Palmetto</v>
      </c>
      <c r="Q2500" s="8" t="str">
        <f ca="1">IFERROR(__xludf.DUMMYFUNCTION("""COMPUTED_VALUE"""),"FL")</f>
        <v>FL</v>
      </c>
      <c r="R2500" s="8" t="str">
        <f ca="1">IFERROR(__xludf.DUMMYFUNCTION("""COMPUTED_VALUE"""),"Middle")</f>
        <v>Middle</v>
      </c>
      <c r="S2500" s="8" t="str">
        <f ca="1">IFERROR(__xludf.DUMMYFUNCTION("""COMPUTED_VALUE"""),"Outside on School Property")</f>
        <v>Outside on School Property</v>
      </c>
      <c r="T2500" s="8" t="str">
        <f ca="1">IFERROR(__xludf.DUMMYFUNCTION("""COMPUTED_VALUE"""),"Outside on School Property")</f>
        <v>Outside on School Property</v>
      </c>
      <c r="U2500" s="8" t="str">
        <f ca="1">IFERROR(__xludf.DUMMYFUNCTION("""COMPUTED_VALUE"""),"Yes")</f>
        <v>Yes</v>
      </c>
      <c r="V2500" s="8" t="str">
        <f ca="1">IFERROR(__xludf.DUMMYFUNCTION("""COMPUTED_VALUE"""),"Unknown")</f>
        <v>Unknown</v>
      </c>
      <c r="W2500" s="8"/>
      <c r="X2500" s="8">
        <f ca="1">IFERROR(__xludf.DUMMYFUNCTION("""COMPUTED_VALUE"""),1)</f>
        <v>1</v>
      </c>
      <c r="Y2500" s="12" t="str">
        <f ca="1">IFERROR(__xludf.DUMMYFUNCTION("""COMPUTED_VALUE"""),"Shots fired during fight")</f>
        <v>Shots fired during fight</v>
      </c>
      <c r="Z2500" s="12" t="str">
        <f ca="1">IFERROR(__xludf.DUMMYFUNCTION("""COMPUTED_VALUE"""),"Shots fired during a fight. 13 year-old male shot fellow student in the back after firing two warning shots in the air and yelling the victims name.")</f>
        <v>Shots fired during a fight. 13 year-old male shot fellow student in the back after firing two warning shots in the air and yelling the victims name.</v>
      </c>
      <c r="AA2500" s="8" t="str">
        <f ca="1">IFERROR(__xludf.DUMMYFUNCTION("""COMPUTED_VALUE"""),"Escalation of Dispute")</f>
        <v>Escalation of Dispute</v>
      </c>
      <c r="AB2500" s="8"/>
      <c r="AC2500" s="8"/>
      <c r="AD2500" s="8"/>
      <c r="AE2500" s="8" t="str">
        <f ca="1">IFERROR(__xludf.DUMMYFUNCTION("""COMPUTED_VALUE"""),"No")</f>
        <v>No</v>
      </c>
      <c r="AF2500" s="8"/>
      <c r="AG2500" s="8" t="str">
        <f ca="1">IFERROR(__xludf.DUMMYFUNCTION("""COMPUTED_VALUE"""),"No")</f>
        <v>No</v>
      </c>
      <c r="AH2500" s="8" t="str">
        <f ca="1">IFERROR(__xludf.DUMMYFUNCTION("""COMPUTED_VALUE"""),"No")</f>
        <v>No</v>
      </c>
      <c r="AI2500" s="8" t="str">
        <f ca="1">IFERROR(__xludf.DUMMYFUNCTION("""COMPUTED_VALUE"""),"No")</f>
        <v>No</v>
      </c>
      <c r="AJ2500" s="8"/>
      <c r="AK2500" s="8" t="str">
        <f ca="1">IFERROR(__xludf.DUMMYFUNCTION("""COMPUTED_VALUE"""),"No")</f>
        <v>No</v>
      </c>
      <c r="AL2500" s="8" t="str">
        <f ca="1">IFERROR(__xludf.DUMMYFUNCTION("""COMPUTED_VALUE"""),"No")</f>
        <v>No</v>
      </c>
      <c r="AM2500" s="8"/>
      <c r="AN2500" s="8"/>
      <c r="AO2500" s="8" t="str">
        <f ca="1">IFERROR(__xludf.DUMMYFUNCTION("""COMPUTED_VALUE"""),"No")</f>
        <v>No</v>
      </c>
      <c r="AP2500" s="8"/>
      <c r="AQ2500" s="8" t="str">
        <f ca="1">IFERROR(__xludf.DUMMYFUNCTION("""COMPUTED_VALUE"""),"Unknown")</f>
        <v>Unknown</v>
      </c>
      <c r="AR2500" s="8" t="str">
        <f ca="1">IFERROR(__xludf.DUMMYFUNCTION("""COMPUTED_VALUE"""),"NA")</f>
        <v>NA</v>
      </c>
      <c r="AS2500" s="8"/>
      <c r="AT2500" s="8"/>
      <c r="AU2500" s="8">
        <f ca="1">IFERROR(__xludf.DUMMYFUNCTION("""COMPUTED_VALUE"""),27.526611)</f>
        <v>27.526610999999999</v>
      </c>
      <c r="AV2500" s="8">
        <f ca="1">IFERROR(__xludf.DUMMYFUNCTION("""COMPUTED_VALUE"""),-82.56194)</f>
        <v>-82.561940000000007</v>
      </c>
      <c r="AW2500" s="8"/>
      <c r="AX2500" s="8">
        <f ca="1">IFERROR(__xludf.DUMMYFUNCTION("""COMPUTED_VALUE"""),34221)</f>
        <v>34221</v>
      </c>
    </row>
    <row r="2501" spans="1:50" ht="30" x14ac:dyDescent="0.2">
      <c r="A2501" s="8" t="str">
        <f ca="1">IFERROR(__xludf.DUMMYFUNCTION("""COMPUTED_VALUE"""),"19971014TXLAG")</f>
        <v>19971014TXLAG</v>
      </c>
      <c r="B2501" s="8">
        <f ca="1">IFERROR(__xludf.DUMMYFUNCTION("""COMPUTED_VALUE"""),10)</f>
        <v>10</v>
      </c>
      <c r="C2501" s="8">
        <f ca="1">IFERROR(__xludf.DUMMYFUNCTION("""COMPUTED_VALUE"""),14)</f>
        <v>14</v>
      </c>
      <c r="D2501" s="8">
        <f ca="1">IFERROR(__xludf.DUMMYFUNCTION("""COMPUTED_VALUE"""),1997)</f>
        <v>1997</v>
      </c>
      <c r="E2501" s="9">
        <f ca="1">IFERROR(__xludf.DUMMYFUNCTION("""COMPUTED_VALUE"""),35717)</f>
        <v>35717</v>
      </c>
      <c r="F2501" s="8" t="str">
        <f ca="1">IFERROR(__xludf.DUMMYFUNCTION("""COMPUTED_VALUE"""),"Lakeview Centennial High School")</f>
        <v>Lakeview Centennial High School</v>
      </c>
      <c r="G2501" s="8">
        <f ca="1">IFERROR(__xludf.DUMMYFUNCTION("""COMPUTED_VALUE"""),0)</f>
        <v>0</v>
      </c>
      <c r="H2501" s="8">
        <f ca="1">IFERROR(__xludf.DUMMYFUNCTION("""COMPUTED_VALUE"""),0)</f>
        <v>0</v>
      </c>
      <c r="I2501" s="8">
        <f ca="1">IFERROR(__xludf.DUMMYFUNCTION("""COMPUTED_VALUE"""),0)</f>
        <v>0</v>
      </c>
      <c r="J2501" s="8">
        <f ca="1">IFERROR(__xludf.DUMMYFUNCTION("""COMPUTED_VALUE"""),1)</f>
        <v>1</v>
      </c>
      <c r="K2501" s="10" t="str">
        <f ca="1">IFERROR(__xludf.DUMMYFUNCTION("""COMPUTED_VALUE"""),"https://ssristories.org/21-year-old-woman-shoots-herself/")</f>
        <v>https://ssristories.org/21-year-old-woman-shoots-herself/</v>
      </c>
      <c r="L2501" s="8"/>
      <c r="M2501" s="8"/>
      <c r="N2501" s="8">
        <f ca="1">IFERROR(__xludf.DUMMYFUNCTION("""COMPUTED_VALUE"""),1)</f>
        <v>1</v>
      </c>
      <c r="O2501" s="8" t="str">
        <f ca="1">IFERROR(__xludf.DUMMYFUNCTION("""COMPUTED_VALUE"""),"Fall")</f>
        <v>Fall</v>
      </c>
      <c r="P2501" s="8" t="str">
        <f ca="1">IFERROR(__xludf.DUMMYFUNCTION("""COMPUTED_VALUE"""),"Garland")</f>
        <v>Garland</v>
      </c>
      <c r="Q2501" s="8" t="str">
        <f ca="1">IFERROR(__xludf.DUMMYFUNCTION("""COMPUTED_VALUE"""),"TX")</f>
        <v>TX</v>
      </c>
      <c r="R2501" s="8" t="str">
        <f ca="1">IFERROR(__xludf.DUMMYFUNCTION("""COMPUTED_VALUE"""),"High")</f>
        <v>High</v>
      </c>
      <c r="S2501" s="8" t="str">
        <f ca="1">IFERROR(__xludf.DUMMYFUNCTION("""COMPUTED_VALUE"""),"Bathroom")</f>
        <v>Bathroom</v>
      </c>
      <c r="T2501" s="8" t="str">
        <f ca="1">IFERROR(__xludf.DUMMYFUNCTION("""COMPUTED_VALUE"""),"Inside School Building")</f>
        <v>Inside School Building</v>
      </c>
      <c r="U2501" s="8" t="str">
        <f ca="1">IFERROR(__xludf.DUMMYFUNCTION("""COMPUTED_VALUE"""),"Yes")</f>
        <v>Yes</v>
      </c>
      <c r="V2501" s="8"/>
      <c r="W2501" s="8"/>
      <c r="X2501" s="8">
        <f ca="1">IFERROR(__xludf.DUMMYFUNCTION("""COMPUTED_VALUE"""),1)</f>
        <v>1</v>
      </c>
      <c r="Y2501" s="12" t="str">
        <f ca="1">IFERROR(__xludf.DUMMYFUNCTION("""COMPUTED_VALUE"""),"Shot self in school bathroom")</f>
        <v>Shot self in school bathroom</v>
      </c>
      <c r="Z2501" s="12" t="str">
        <f ca="1">IFERROR(__xludf.DUMMYFUNCTION("""COMPUTED_VALUE"""),"19 year-old male committed suicide in school bathroom")</f>
        <v>19 year-old male committed suicide in school bathroom</v>
      </c>
      <c r="AA2501" s="8" t="str">
        <f ca="1">IFERROR(__xludf.DUMMYFUNCTION("""COMPUTED_VALUE"""),"Suicide/Attempted")</f>
        <v>Suicide/Attempted</v>
      </c>
      <c r="AB2501" s="8"/>
      <c r="AC2501" s="8"/>
      <c r="AD2501" s="8" t="str">
        <f ca="1">IFERROR(__xludf.DUMMYFUNCTION("""COMPUTED_VALUE"""),"Victims Targeted")</f>
        <v>Victims Targeted</v>
      </c>
      <c r="AE2501" s="8" t="str">
        <f ca="1">IFERROR(__xludf.DUMMYFUNCTION("""COMPUTED_VALUE"""),"No")</f>
        <v>No</v>
      </c>
      <c r="AF2501" s="8"/>
      <c r="AG2501" s="8" t="str">
        <f ca="1">IFERROR(__xludf.DUMMYFUNCTION("""COMPUTED_VALUE"""),"No")</f>
        <v>No</v>
      </c>
      <c r="AH2501" s="8" t="str">
        <f ca="1">IFERROR(__xludf.DUMMYFUNCTION("""COMPUTED_VALUE"""),"No")</f>
        <v>No</v>
      </c>
      <c r="AI2501" s="8" t="str">
        <f ca="1">IFERROR(__xludf.DUMMYFUNCTION("""COMPUTED_VALUE"""),"No")</f>
        <v>No</v>
      </c>
      <c r="AJ2501" s="8" t="str">
        <f ca="1">IFERROR(__xludf.DUMMYFUNCTION("""COMPUTED_VALUE"""),"No")</f>
        <v>No</v>
      </c>
      <c r="AK2501" s="8" t="str">
        <f ca="1">IFERROR(__xludf.DUMMYFUNCTION("""COMPUTED_VALUE"""),"No")</f>
        <v>No</v>
      </c>
      <c r="AL2501" s="8" t="str">
        <f ca="1">IFERROR(__xludf.DUMMYFUNCTION("""COMPUTED_VALUE"""),"No")</f>
        <v>No</v>
      </c>
      <c r="AM2501" s="8"/>
      <c r="AN2501" s="8"/>
      <c r="AO2501" s="8" t="str">
        <f ca="1">IFERROR(__xludf.DUMMYFUNCTION("""COMPUTED_VALUE"""),"No")</f>
        <v>No</v>
      </c>
      <c r="AP2501" s="8"/>
      <c r="AQ2501" s="8" t="str">
        <f ca="1">IFERROR(__xludf.DUMMYFUNCTION("""COMPUTED_VALUE"""),"Unknown")</f>
        <v>Unknown</v>
      </c>
      <c r="AR2501" s="8" t="str">
        <f ca="1">IFERROR(__xludf.DUMMYFUNCTION("""COMPUTED_VALUE"""),"NA")</f>
        <v>NA</v>
      </c>
      <c r="AS2501" s="8"/>
      <c r="AT2501" s="8"/>
      <c r="AU2501" s="8">
        <f ca="1">IFERROR(__xludf.DUMMYFUNCTION("""COMPUTED_VALUE"""),32.857129)</f>
        <v>32.857129</v>
      </c>
      <c r="AV2501" s="8">
        <f ca="1">IFERROR(__xludf.DUMMYFUNCTION("""COMPUTED_VALUE"""),-96.575961)</f>
        <v>-96.575961000000007</v>
      </c>
      <c r="AW2501" s="8"/>
      <c r="AX2501" s="8">
        <f ca="1">IFERROR(__xludf.DUMMYFUNCTION("""COMPUTED_VALUE"""),75043)</f>
        <v>75043</v>
      </c>
    </row>
    <row r="2502" spans="1:50" ht="75" x14ac:dyDescent="0.2">
      <c r="A2502" s="8" t="str">
        <f ca="1">IFERROR(__xludf.DUMMYFUNCTION("""COMPUTED_VALUE"""),"19971010INWAG")</f>
        <v>19971010INWAG</v>
      </c>
      <c r="B2502" s="8">
        <f ca="1">IFERROR(__xludf.DUMMYFUNCTION("""COMPUTED_VALUE"""),10)</f>
        <v>10</v>
      </c>
      <c r="C2502" s="8">
        <f ca="1">IFERROR(__xludf.DUMMYFUNCTION("""COMPUTED_VALUE"""),10)</f>
        <v>10</v>
      </c>
      <c r="D2502" s="8">
        <f ca="1">IFERROR(__xludf.DUMMYFUNCTION("""COMPUTED_VALUE"""),1997)</f>
        <v>1997</v>
      </c>
      <c r="E2502" s="9">
        <f ca="1">IFERROR(__xludf.DUMMYFUNCTION("""COMPUTED_VALUE"""),35713)</f>
        <v>35713</v>
      </c>
      <c r="F2502" s="8" t="str">
        <f ca="1">IFERROR(__xludf.DUMMYFUNCTION("""COMPUTED_VALUE"""),"Wallace High School")</f>
        <v>Wallace High School</v>
      </c>
      <c r="G2502" s="8">
        <f ca="1">IFERROR(__xludf.DUMMYFUNCTION("""COMPUTED_VALUE"""),1)</f>
        <v>1</v>
      </c>
      <c r="H2502" s="8">
        <f ca="1">IFERROR(__xludf.DUMMYFUNCTION("""COMPUTED_VALUE"""),2)</f>
        <v>2</v>
      </c>
      <c r="I2502" s="8">
        <f ca="1">IFERROR(__xludf.DUMMYFUNCTION("""COMPUTED_VALUE"""),3)</f>
        <v>3</v>
      </c>
      <c r="J2502" s="8">
        <f ca="1">IFERROR(__xludf.DUMMYFUNCTION("""COMPUTED_VALUE"""),0)</f>
        <v>0</v>
      </c>
      <c r="K2502" s="10" t="str">
        <f ca="1">IFERROR(__xludf.DUMMYFUNCTION("""COMPUTED_VALUE"""),"http://articles.chicagotribune.com/1997-10-12/news/9710120311_1_fatal-shooting-wallace-high-school-police")</f>
        <v>http://articles.chicagotribune.com/1997-10-12/news/9710120311_1_fatal-shooting-wallace-high-school-police</v>
      </c>
      <c r="L2502" s="8"/>
      <c r="M2502" s="8"/>
      <c r="N2502" s="8">
        <f ca="1">IFERROR(__xludf.DUMMYFUNCTION("""COMPUTED_VALUE"""),2)</f>
        <v>2</v>
      </c>
      <c r="O2502" s="8" t="str">
        <f ca="1">IFERROR(__xludf.DUMMYFUNCTION("""COMPUTED_VALUE"""),"Fall")</f>
        <v>Fall</v>
      </c>
      <c r="P2502" s="8" t="str">
        <f ca="1">IFERROR(__xludf.DUMMYFUNCTION("""COMPUTED_VALUE"""),"Gary")</f>
        <v>Gary</v>
      </c>
      <c r="Q2502" s="8" t="str">
        <f ca="1">IFERROR(__xludf.DUMMYFUNCTION("""COMPUTED_VALUE"""),"IN")</f>
        <v>IN</v>
      </c>
      <c r="R2502" s="8" t="str">
        <f ca="1">IFERROR(__xludf.DUMMYFUNCTION("""COMPUTED_VALUE"""),"High")</f>
        <v>High</v>
      </c>
      <c r="S2502" s="8" t="str">
        <f ca="1">IFERROR(__xludf.DUMMYFUNCTION("""COMPUTED_VALUE"""),"Football Field/Track")</f>
        <v>Football Field/Track</v>
      </c>
      <c r="T2502" s="8" t="str">
        <f ca="1">IFERROR(__xludf.DUMMYFUNCTION("""COMPUTED_VALUE"""),"Outside on School Property")</f>
        <v>Outside on School Property</v>
      </c>
      <c r="U2502" s="8" t="str">
        <f ca="1">IFERROR(__xludf.DUMMYFUNCTION("""COMPUTED_VALUE"""),"No")</f>
        <v>No</v>
      </c>
      <c r="V2502" s="8" t="str">
        <f ca="1">IFERROR(__xludf.DUMMYFUNCTION("""COMPUTED_VALUE"""),"Not a School Day")</f>
        <v>Not a School Day</v>
      </c>
      <c r="W2502" s="8"/>
      <c r="X2502" s="8">
        <f ca="1">IFERROR(__xludf.DUMMYFUNCTION("""COMPUTED_VALUE"""),1)</f>
        <v>1</v>
      </c>
      <c r="Y2502" s="12" t="str">
        <f ca="1">IFERROR(__xludf.DUMMYFUNCTION("""COMPUTED_VALUE"""),"Dispute between rival gang members at football game")</f>
        <v>Dispute between rival gang members at football game</v>
      </c>
      <c r="Z2502" s="12" t="str">
        <f ca="1">IFERROR(__xludf.DUMMYFUNCTION("""COMPUTED_VALUE"""),"Shooter walked to the center of the bleacher at a high school's homecoming game and started shooting with an semiautomatic pistol. Shooter was the member of a gang and shot into the crowd while trying to aim at rival gang members.")</f>
        <v>Shooter walked to the center of the bleacher at a high school's homecoming game and started shooting with an semiautomatic pistol. Shooter was the member of a gang and shot into the crowd while trying to aim at rival gang members.</v>
      </c>
      <c r="AA2502" s="8" t="str">
        <f ca="1">IFERROR(__xludf.DUMMYFUNCTION("""COMPUTED_VALUE"""),"Indiscriminate Shooting")</f>
        <v>Indiscriminate Shooting</v>
      </c>
      <c r="AB2502" s="8"/>
      <c r="AC2502" s="8"/>
      <c r="AD2502" s="8" t="str">
        <f ca="1">IFERROR(__xludf.DUMMYFUNCTION("""COMPUTED_VALUE"""),"Both")</f>
        <v>Both</v>
      </c>
      <c r="AE2502" s="8" t="str">
        <f ca="1">IFERROR(__xludf.DUMMYFUNCTION("""COMPUTED_VALUE"""),"No")</f>
        <v>No</v>
      </c>
      <c r="AF2502" s="8"/>
      <c r="AG2502" s="8" t="str">
        <f ca="1">IFERROR(__xludf.DUMMYFUNCTION("""COMPUTED_VALUE"""),"No")</f>
        <v>No</v>
      </c>
      <c r="AH2502" s="8" t="str">
        <f ca="1">IFERROR(__xludf.DUMMYFUNCTION("""COMPUTED_VALUE"""),"No")</f>
        <v>No</v>
      </c>
      <c r="AI2502" s="8" t="str">
        <f ca="1">IFERROR(__xludf.DUMMYFUNCTION("""COMPUTED_VALUE"""),"No")</f>
        <v>No</v>
      </c>
      <c r="AJ2502" s="8" t="str">
        <f ca="1">IFERROR(__xludf.DUMMYFUNCTION("""COMPUTED_VALUE"""),"No")</f>
        <v>No</v>
      </c>
      <c r="AK2502" s="8" t="str">
        <f ca="1">IFERROR(__xludf.DUMMYFUNCTION("""COMPUTED_VALUE"""),"No")</f>
        <v>No</v>
      </c>
      <c r="AL2502" s="8" t="str">
        <f ca="1">IFERROR(__xludf.DUMMYFUNCTION("""COMPUTED_VALUE"""),"Yes")</f>
        <v>Yes</v>
      </c>
      <c r="AM2502" s="8"/>
      <c r="AN2502" s="8"/>
      <c r="AO2502" s="8" t="str">
        <f ca="1">IFERROR(__xludf.DUMMYFUNCTION("""COMPUTED_VALUE"""),"No")</f>
        <v>No</v>
      </c>
      <c r="AP2502" s="8"/>
      <c r="AQ2502" s="8" t="str">
        <f ca="1">IFERROR(__xludf.DUMMYFUNCTION("""COMPUTED_VALUE"""),"Unknown")</f>
        <v>Unknown</v>
      </c>
      <c r="AR2502" s="8" t="str">
        <f ca="1">IFERROR(__xludf.DUMMYFUNCTION("""COMPUTED_VALUE"""),"NA")</f>
        <v>NA</v>
      </c>
      <c r="AS2502" s="8"/>
      <c r="AT2502" s="8"/>
      <c r="AU2502" s="8">
        <f ca="1">IFERROR(__xludf.DUMMYFUNCTION("""COMPUTED_VALUE"""),41.53605)</f>
        <v>41.536050000000003</v>
      </c>
      <c r="AV2502" s="8">
        <f ca="1">IFERROR(__xludf.DUMMYFUNCTION("""COMPUTED_VALUE"""),-87.342321)</f>
        <v>-87.342320999999998</v>
      </c>
      <c r="AW2502" s="8"/>
      <c r="AX2502" s="8">
        <f ca="1">IFERROR(__xludf.DUMMYFUNCTION("""COMPUTED_VALUE"""),46408)</f>
        <v>46408</v>
      </c>
    </row>
    <row r="2503" spans="1:50" ht="75" x14ac:dyDescent="0.2">
      <c r="A2503" s="8" t="str">
        <f ca="1">IFERROR(__xludf.DUMMYFUNCTION("""COMPUTED_VALUE"""),"19971005OKMOO")</f>
        <v>19971005OKMOO</v>
      </c>
      <c r="B2503" s="8">
        <f ca="1">IFERROR(__xludf.DUMMYFUNCTION("""COMPUTED_VALUE"""),10)</f>
        <v>10</v>
      </c>
      <c r="C2503" s="8">
        <f ca="1">IFERROR(__xludf.DUMMYFUNCTION("""COMPUTED_VALUE"""),5)</f>
        <v>5</v>
      </c>
      <c r="D2503" s="8">
        <f ca="1">IFERROR(__xludf.DUMMYFUNCTION("""COMPUTED_VALUE"""),1997)</f>
        <v>1997</v>
      </c>
      <c r="E2503" s="9">
        <f ca="1">IFERROR(__xludf.DUMMYFUNCTION("""COMPUTED_VALUE"""),35708)</f>
        <v>35708</v>
      </c>
      <c r="F2503" s="8" t="str">
        <f ca="1">IFERROR(__xludf.DUMMYFUNCTION("""COMPUTED_VALUE"""),"Moore West Junior High School")</f>
        <v>Moore West Junior High School</v>
      </c>
      <c r="G2503" s="8">
        <f ca="1">IFERROR(__xludf.DUMMYFUNCTION("""COMPUTED_VALUE"""),0)</f>
        <v>0</v>
      </c>
      <c r="H2503" s="8">
        <f ca="1">IFERROR(__xludf.DUMMYFUNCTION("""COMPUTED_VALUE"""),1)</f>
        <v>1</v>
      </c>
      <c r="I2503" s="8">
        <f ca="1">IFERROR(__xludf.DUMMYFUNCTION("""COMPUTED_VALUE"""),1)</f>
        <v>1</v>
      </c>
      <c r="J2503" s="8">
        <f ca="1">IFERROR(__xludf.DUMMYFUNCTION("""COMPUTED_VALUE"""),0)</f>
        <v>0</v>
      </c>
      <c r="K2503" s="10" t="str">
        <f ca="1">IFERROR(__xludf.DUMMYFUNCTION("""COMPUTED_VALUE"""),"https://www.newspapers.com/image/455228173/?terms=shot%2Bin%2Bschool%2Bparking%2Blot")</f>
        <v>https://www.newspapers.com/image/455228173/?terms=shot%2Bin%2Bschool%2Bparking%2Blot</v>
      </c>
      <c r="L2503" s="8"/>
      <c r="M2503" s="8"/>
      <c r="N2503" s="8">
        <f ca="1">IFERROR(__xludf.DUMMYFUNCTION("""COMPUTED_VALUE"""),2)</f>
        <v>2</v>
      </c>
      <c r="O2503" s="8" t="str">
        <f ca="1">IFERROR(__xludf.DUMMYFUNCTION("""COMPUTED_VALUE"""),"Fall")</f>
        <v>Fall</v>
      </c>
      <c r="P2503" s="8" t="str">
        <f ca="1">IFERROR(__xludf.DUMMYFUNCTION("""COMPUTED_VALUE"""),"Oklahoma City")</f>
        <v>Oklahoma City</v>
      </c>
      <c r="Q2503" s="8" t="str">
        <f ca="1">IFERROR(__xludf.DUMMYFUNCTION("""COMPUTED_VALUE"""),"OK")</f>
        <v>OK</v>
      </c>
      <c r="R2503" s="8" t="str">
        <f ca="1">IFERROR(__xludf.DUMMYFUNCTION("""COMPUTED_VALUE"""),"Junior High")</f>
        <v>Junior High</v>
      </c>
      <c r="S2503" s="8" t="str">
        <f ca="1">IFERROR(__xludf.DUMMYFUNCTION("""COMPUTED_VALUE"""),"Parking Lot")</f>
        <v>Parking Lot</v>
      </c>
      <c r="T2503" s="8" t="str">
        <f ca="1">IFERROR(__xludf.DUMMYFUNCTION("""COMPUTED_VALUE"""),"Outside on School Property")</f>
        <v>Outside on School Property</v>
      </c>
      <c r="U2503" s="8" t="str">
        <f ca="1">IFERROR(__xludf.DUMMYFUNCTION("""COMPUTED_VALUE"""),"No")</f>
        <v>No</v>
      </c>
      <c r="V2503" s="8" t="str">
        <f ca="1">IFERROR(__xludf.DUMMYFUNCTION("""COMPUTED_VALUE"""),"Not a School Day")</f>
        <v>Not a School Day</v>
      </c>
      <c r="W2503" s="11">
        <f ca="1">IFERROR(__xludf.DUMMYFUNCTION("""COMPUTED_VALUE"""),0.621527777777777)</f>
        <v>0.62152777777777701</v>
      </c>
      <c r="X2503" s="8">
        <f ca="1">IFERROR(__xludf.DUMMYFUNCTION("""COMPUTED_VALUE"""),1)</f>
        <v>1</v>
      </c>
      <c r="Y2503" s="12" t="str">
        <f ca="1">IFERROR(__xludf.DUMMYFUNCTION("""COMPUTED_VALUE"""),"Escalation of argument")</f>
        <v>Escalation of argument</v>
      </c>
      <c r="Z2503" s="12" t="str">
        <f ca="1">IFERROR(__xludf.DUMMYFUNCTION("""COMPUTED_VALUE"""),"Victim was riding in car with driver when shooter, who was in school parking lot made obscene gesture to victim. Victim and driver of vehicle pulled into parking lot to confront shooter. Shooter pulled out 9mm handgun and shot victim in the shoulder. Vict"&amp;"im and driver fled and called police.")</f>
        <v>Victim was riding in car with driver when shooter, who was in school parking lot made obscene gesture to victim. Victim and driver of vehicle pulled into parking lot to confront shooter. Shooter pulled out 9mm handgun and shot victim in the shoulder. Victim and driver fled and called police.</v>
      </c>
      <c r="AA2503" s="8" t="str">
        <f ca="1">IFERROR(__xludf.DUMMYFUNCTION("""COMPUTED_VALUE"""),"Escalation of Dispute")</f>
        <v>Escalation of Dispute</v>
      </c>
      <c r="AB2503" s="8"/>
      <c r="AC2503" s="8"/>
      <c r="AD2503" s="8" t="str">
        <f ca="1">IFERROR(__xludf.DUMMYFUNCTION("""COMPUTED_VALUE"""),"Victims Targeted")</f>
        <v>Victims Targeted</v>
      </c>
      <c r="AE2503" s="8" t="str">
        <f ca="1">IFERROR(__xludf.DUMMYFUNCTION("""COMPUTED_VALUE"""),"No")</f>
        <v>No</v>
      </c>
      <c r="AF2503" s="8"/>
      <c r="AG2503" s="8" t="str">
        <f ca="1">IFERROR(__xludf.DUMMYFUNCTION("""COMPUTED_VALUE"""),"No")</f>
        <v>No</v>
      </c>
      <c r="AH2503" s="8" t="str">
        <f ca="1">IFERROR(__xludf.DUMMYFUNCTION("""COMPUTED_VALUE"""),"No")</f>
        <v>No</v>
      </c>
      <c r="AI2503" s="8" t="str">
        <f ca="1">IFERROR(__xludf.DUMMYFUNCTION("""COMPUTED_VALUE"""),"No")</f>
        <v>No</v>
      </c>
      <c r="AJ2503" s="8" t="str">
        <f ca="1">IFERROR(__xludf.DUMMYFUNCTION("""COMPUTED_VALUE"""),"No")</f>
        <v>No</v>
      </c>
      <c r="AK2503" s="8" t="str">
        <f ca="1">IFERROR(__xludf.DUMMYFUNCTION("""COMPUTED_VALUE"""),"No")</f>
        <v>No</v>
      </c>
      <c r="AL2503" s="8" t="str">
        <f ca="1">IFERROR(__xludf.DUMMYFUNCTION("""COMPUTED_VALUE"""),"No")</f>
        <v>No</v>
      </c>
      <c r="AM2503" s="8" t="str">
        <f ca="1">IFERROR(__xludf.DUMMYFUNCTION("""COMPUTED_VALUE"""),"No")</f>
        <v>No</v>
      </c>
      <c r="AN2503" s="8"/>
      <c r="AO2503" s="8" t="str">
        <f ca="1">IFERROR(__xludf.DUMMYFUNCTION("""COMPUTED_VALUE"""),"No")</f>
        <v>No</v>
      </c>
      <c r="AP2503" s="8"/>
      <c r="AQ2503" s="8" t="str">
        <f ca="1">IFERROR(__xludf.DUMMYFUNCTION("""COMPUTED_VALUE"""),"Unknown")</f>
        <v>Unknown</v>
      </c>
      <c r="AR2503" s="8" t="str">
        <f ca="1">IFERROR(__xludf.DUMMYFUNCTION("""COMPUTED_VALUE"""),"NA")</f>
        <v>NA</v>
      </c>
      <c r="AS2503" s="8"/>
      <c r="AT2503" s="8"/>
      <c r="AU2503" s="8">
        <f ca="1">IFERROR(__xludf.DUMMYFUNCTION("""COMPUTED_VALUE"""),35.372985)</f>
        <v>35.372985</v>
      </c>
      <c r="AV2503" s="8">
        <f ca="1">IFERROR(__xludf.DUMMYFUNCTION("""COMPUTED_VALUE"""),-97.543365)</f>
        <v>-97.543364999999994</v>
      </c>
      <c r="AW2503" s="8"/>
      <c r="AX2503" s="8">
        <f ca="1">IFERROR(__xludf.DUMMYFUNCTION("""COMPUTED_VALUE"""),73159)</f>
        <v>73159</v>
      </c>
    </row>
    <row r="2504" spans="1:50" ht="135" x14ac:dyDescent="0.2">
      <c r="A2504" s="8" t="str">
        <f ca="1">IFERROR(__xludf.DUMMYFUNCTION("""COMPUTED_VALUE"""),"19971001MSPEP")</f>
        <v>19971001MSPEP</v>
      </c>
      <c r="B2504" s="8">
        <f ca="1">IFERROR(__xludf.DUMMYFUNCTION("""COMPUTED_VALUE"""),10)</f>
        <v>10</v>
      </c>
      <c r="C2504" s="8">
        <f ca="1">IFERROR(__xludf.DUMMYFUNCTION("""COMPUTED_VALUE"""),1)</f>
        <v>1</v>
      </c>
      <c r="D2504" s="8">
        <f ca="1">IFERROR(__xludf.DUMMYFUNCTION("""COMPUTED_VALUE"""),1997)</f>
        <v>1997</v>
      </c>
      <c r="E2504" s="9">
        <f ca="1">IFERROR(__xludf.DUMMYFUNCTION("""COMPUTED_VALUE"""),35704)</f>
        <v>35704</v>
      </c>
      <c r="F2504" s="8" t="str">
        <f ca="1">IFERROR(__xludf.DUMMYFUNCTION("""COMPUTED_VALUE"""),"Pearl High School")</f>
        <v>Pearl High School</v>
      </c>
      <c r="G2504" s="8">
        <f ca="1">IFERROR(__xludf.DUMMYFUNCTION("""COMPUTED_VALUE"""),2)</f>
        <v>2</v>
      </c>
      <c r="H2504" s="8">
        <f ca="1">IFERROR(__xludf.DUMMYFUNCTION("""COMPUTED_VALUE"""),7)</f>
        <v>7</v>
      </c>
      <c r="I2504" s="8">
        <f ca="1">IFERROR(__xludf.DUMMYFUNCTION("""COMPUTED_VALUE"""),9)</f>
        <v>9</v>
      </c>
      <c r="J2504" s="8">
        <f ca="1">IFERROR(__xludf.DUMMYFUNCTION("""COMPUTED_VALUE"""),0)</f>
        <v>0</v>
      </c>
      <c r="K2504" s="8" t="str">
        <f ca="1">IFERROR(__xludf.DUMMYFUNCTION("""COMPUTED_VALUE"""),"http://www.cnn.com/US/9710/02/miss.shooting.folo/ http://www.cnn.com/US/9710/01/shooting.update/index.html")</f>
        <v>http://www.cnn.com/US/9710/02/miss.shooting.folo/ http://www.cnn.com/US/9710/01/shooting.update/index.html</v>
      </c>
      <c r="L2504" s="8"/>
      <c r="M2504" s="8"/>
      <c r="N2504" s="8">
        <f ca="1">IFERROR(__xludf.DUMMYFUNCTION("""COMPUTED_VALUE"""),2)</f>
        <v>2</v>
      </c>
      <c r="O2504" s="8" t="str">
        <f ca="1">IFERROR(__xludf.DUMMYFUNCTION("""COMPUTED_VALUE"""),"Fall")</f>
        <v>Fall</v>
      </c>
      <c r="P2504" s="8" t="str">
        <f ca="1">IFERROR(__xludf.DUMMYFUNCTION("""COMPUTED_VALUE"""),"Pearl")</f>
        <v>Pearl</v>
      </c>
      <c r="Q2504" s="8" t="str">
        <f ca="1">IFERROR(__xludf.DUMMYFUNCTION("""COMPUTED_VALUE"""),"MS")</f>
        <v>MS</v>
      </c>
      <c r="R2504" s="8" t="str">
        <f ca="1">IFERROR(__xludf.DUMMYFUNCTION("""COMPUTED_VALUE"""),"High")</f>
        <v>High</v>
      </c>
      <c r="S2504" s="8" t="str">
        <f ca="1">IFERROR(__xludf.DUMMYFUNCTION("""COMPUTED_VALUE"""),"Hallway")</f>
        <v>Hallway</v>
      </c>
      <c r="T2504" s="8" t="str">
        <f ca="1">IFERROR(__xludf.DUMMYFUNCTION("""COMPUTED_VALUE"""),"Inside School Building")</f>
        <v>Inside School Building</v>
      </c>
      <c r="U2504" s="8" t="str">
        <f ca="1">IFERROR(__xludf.DUMMYFUNCTION("""COMPUTED_VALUE"""),"Yes")</f>
        <v>Yes</v>
      </c>
      <c r="V2504" s="8" t="str">
        <f ca="1">IFERROR(__xludf.DUMMYFUNCTION("""COMPUTED_VALUE"""),"Morning Classes")</f>
        <v>Morning Classes</v>
      </c>
      <c r="W2504" s="8"/>
      <c r="X2504" s="8"/>
      <c r="Y2504" s="12" t="str">
        <f ca="1">IFERROR(__xludf.DUMMYFUNCTION("""COMPUTED_VALUE"""),"Planned attack including ex-girlfriend as target")</f>
        <v>Planned attack including ex-girlfriend as target</v>
      </c>
      <c r="Z2504" s="12" t="str">
        <f ca="1">IFERROR(__xludf.DUMMYFUNCTION("""COMPUTED_VALUE"""),"Killed mother, stole her car, and drove to school with rifle. Wore trench coat to conceal the rifle while walking into school. Shot ex-girlfriend and her friend then random students. Car got stuck in the field behind the school while trying to make a geta"&amp;"way and he was held a gunpoint by the assistant principal until police arrived. Talked about his plan to attack the school with multiple other students (5 were charged with conspiracy). Shooter had been bullied. Was a good student and excelled in art.")</f>
        <v>Killed mother, stole her car, and drove to school with rifle. Wore trench coat to conceal the rifle while walking into school. Shot ex-girlfriend and her friend then random students. Car got stuck in the field behind the school while trying to make a getaway and he was held a gunpoint by the assistant principal until police arrived. Talked about his plan to attack the school with multiple other students (5 were charged with conspiracy). Shooter had been bullied. Was a good student and excelled in art.</v>
      </c>
      <c r="AA2504" s="8" t="str">
        <f ca="1">IFERROR(__xludf.DUMMYFUNCTION("""COMPUTED_VALUE"""),"Domestic w/ Targeted Victim")</f>
        <v>Domestic w/ Targeted Victim</v>
      </c>
      <c r="AB2504" s="8"/>
      <c r="AC2504" s="8" t="str">
        <f ca="1">IFERROR(__xludf.DUMMYFUNCTION("""COMPUTED_VALUE"""),"Yes")</f>
        <v>Yes</v>
      </c>
      <c r="AD2504" s="8" t="str">
        <f ca="1">IFERROR(__xludf.DUMMYFUNCTION("""COMPUTED_VALUE"""),"Both")</f>
        <v>Both</v>
      </c>
      <c r="AE2504" s="8" t="str">
        <f ca="1">IFERROR(__xludf.DUMMYFUNCTION("""COMPUTED_VALUE"""),"No")</f>
        <v>No</v>
      </c>
      <c r="AF2504" s="8"/>
      <c r="AG2504" s="8" t="str">
        <f ca="1">IFERROR(__xludf.DUMMYFUNCTION("""COMPUTED_VALUE"""),"No")</f>
        <v>No</v>
      </c>
      <c r="AH2504" s="8" t="str">
        <f ca="1">IFERROR(__xludf.DUMMYFUNCTION("""COMPUTED_VALUE"""),"No")</f>
        <v>No</v>
      </c>
      <c r="AI2504" s="8" t="str">
        <f ca="1">IFERROR(__xludf.DUMMYFUNCTION("""COMPUTED_VALUE"""),"No")</f>
        <v>No</v>
      </c>
      <c r="AJ2504" s="8" t="str">
        <f ca="1">IFERROR(__xludf.DUMMYFUNCTION("""COMPUTED_VALUE"""),"Yes")</f>
        <v>Yes</v>
      </c>
      <c r="AK2504" s="8" t="str">
        <f ca="1">IFERROR(__xludf.DUMMYFUNCTION("""COMPUTED_VALUE"""),"Yes")</f>
        <v>Yes</v>
      </c>
      <c r="AL2504" s="8" t="str">
        <f ca="1">IFERROR(__xludf.DUMMYFUNCTION("""COMPUTED_VALUE"""),"No")</f>
        <v>No</v>
      </c>
      <c r="AM2504" s="8" t="str">
        <f ca="1">IFERROR(__xludf.DUMMYFUNCTION("""COMPUTED_VALUE"""),"Yes")</f>
        <v>Yes</v>
      </c>
      <c r="AN2504" s="8" t="str">
        <f ca="1">IFERROR(__xludf.DUMMYFUNCTION("""COMPUTED_VALUE"""),"Single Room")</f>
        <v>Single Room</v>
      </c>
      <c r="AO2504" s="8" t="str">
        <f ca="1">IFERROR(__xludf.DUMMYFUNCTION("""COMPUTED_VALUE"""),"Yes")</f>
        <v>Yes</v>
      </c>
      <c r="AP2504" s="8"/>
      <c r="AQ2504" s="8" t="str">
        <f ca="1">IFERROR(__xludf.DUMMYFUNCTION("""COMPUTED_VALUE"""),"Unknown")</f>
        <v>Unknown</v>
      </c>
      <c r="AR2504" s="8" t="str">
        <f ca="1">IFERROR(__xludf.DUMMYFUNCTION("""COMPUTED_VALUE"""),"NA")</f>
        <v>NA</v>
      </c>
      <c r="AS2504" s="8"/>
      <c r="AT2504" s="8"/>
      <c r="AU2504" s="8">
        <f ca="1">IFERROR(__xludf.DUMMYFUNCTION("""COMPUTED_VALUE"""),32.270369)</f>
        <v>32.270369000000002</v>
      </c>
      <c r="AV2504" s="8">
        <f ca="1">IFERROR(__xludf.DUMMYFUNCTION("""COMPUTED_VALUE"""),-90.093465)</f>
        <v>-90.093464999999995</v>
      </c>
      <c r="AW2504" s="8"/>
      <c r="AX2504" s="8">
        <f ca="1">IFERROR(__xludf.DUMMYFUNCTION("""COMPUTED_VALUE"""),39208)</f>
        <v>39208</v>
      </c>
    </row>
    <row r="2505" spans="1:50" ht="105" x14ac:dyDescent="0.2">
      <c r="A2505" s="8" t="str">
        <f ca="1">IFERROR(__xludf.DUMMYFUNCTION("""COMPUTED_VALUE"""),"19970624ALJEM")</f>
        <v>19970624ALJEM</v>
      </c>
      <c r="B2505" s="8">
        <f ca="1">IFERROR(__xludf.DUMMYFUNCTION("""COMPUTED_VALUE"""),6)</f>
        <v>6</v>
      </c>
      <c r="C2505" s="8">
        <f ca="1">IFERROR(__xludf.DUMMYFUNCTION("""COMPUTED_VALUE"""),24)</f>
        <v>24</v>
      </c>
      <c r="D2505" s="8">
        <f ca="1">IFERROR(__xludf.DUMMYFUNCTION("""COMPUTED_VALUE"""),1997)</f>
        <v>1997</v>
      </c>
      <c r="E2505" s="9">
        <f ca="1">IFERROR(__xludf.DUMMYFUNCTION("""COMPUTED_VALUE"""),35605)</f>
        <v>35605</v>
      </c>
      <c r="F2505" s="8" t="str">
        <f ca="1">IFERROR(__xludf.DUMMYFUNCTION("""COMPUTED_VALUE"""),"Jefferson Davis High School")</f>
        <v>Jefferson Davis High School</v>
      </c>
      <c r="G2505" s="8">
        <f ca="1">IFERROR(__xludf.DUMMYFUNCTION("""COMPUTED_VALUE"""),1)</f>
        <v>1</v>
      </c>
      <c r="H2505" s="8">
        <f ca="1">IFERROR(__xludf.DUMMYFUNCTION("""COMPUTED_VALUE"""),0)</f>
        <v>0</v>
      </c>
      <c r="I2505" s="8">
        <f ca="1">IFERROR(__xludf.DUMMYFUNCTION("""COMPUTED_VALUE"""),1)</f>
        <v>1</v>
      </c>
      <c r="J2505" s="8">
        <f ca="1">IFERROR(__xludf.DUMMYFUNCTION("""COMPUTED_VALUE"""),0)</f>
        <v>0</v>
      </c>
      <c r="K2505" s="8" t="str">
        <f ca="1">IFERROR(__xludf.DUMMYFUNCTION("""COMPUTED_VALUE"""),"https://www.newspapers.com/image/261150331/?terms=Rawland%2BJames; https://www.newspapers.com/image/260520436/?terms=charles%2Blewis%2Bcooper;")</f>
        <v>https://www.newspapers.com/image/261150331/?terms=Rawland%2BJames; https://www.newspapers.com/image/260520436/?terms=charles%2Blewis%2Bcooper;</v>
      </c>
      <c r="L2505" s="8"/>
      <c r="M2505" s="8"/>
      <c r="N2505" s="8">
        <f ca="1">IFERROR(__xludf.DUMMYFUNCTION("""COMPUTED_VALUE"""),3)</f>
        <v>3</v>
      </c>
      <c r="O2505" s="8" t="str">
        <f ca="1">IFERROR(__xludf.DUMMYFUNCTION("""COMPUTED_VALUE"""),"Summer")</f>
        <v>Summer</v>
      </c>
      <c r="P2505" s="8" t="str">
        <f ca="1">IFERROR(__xludf.DUMMYFUNCTION("""COMPUTED_VALUE"""),"Montgomery")</f>
        <v>Montgomery</v>
      </c>
      <c r="Q2505" s="8" t="str">
        <f ca="1">IFERROR(__xludf.DUMMYFUNCTION("""COMPUTED_VALUE"""),"AL")</f>
        <v>AL</v>
      </c>
      <c r="R2505" s="8" t="str">
        <f ca="1">IFERROR(__xludf.DUMMYFUNCTION("""COMPUTED_VALUE"""),"High")</f>
        <v>High</v>
      </c>
      <c r="S2505" s="8" t="str">
        <f ca="1">IFERROR(__xludf.DUMMYFUNCTION("""COMPUTED_VALUE"""),"Parking Lot")</f>
        <v>Parking Lot</v>
      </c>
      <c r="T2505" s="8" t="str">
        <f ca="1">IFERROR(__xludf.DUMMYFUNCTION("""COMPUTED_VALUE"""),"Outside on School Property")</f>
        <v>Outside on School Property</v>
      </c>
      <c r="U2505" s="8" t="str">
        <f ca="1">IFERROR(__xludf.DUMMYFUNCTION("""COMPUTED_VALUE"""),"Yes")</f>
        <v>Yes</v>
      </c>
      <c r="V2505" s="8" t="str">
        <f ca="1">IFERROR(__xludf.DUMMYFUNCTION("""COMPUTED_VALUE"""),"Lunch")</f>
        <v>Lunch</v>
      </c>
      <c r="W2505" s="11">
        <f ca="1">IFERROR(__xludf.DUMMYFUNCTION("""COMPUTED_VALUE"""),0.529861111111111)</f>
        <v>0.52986111111111101</v>
      </c>
      <c r="X2505" s="8">
        <f ca="1">IFERROR(__xludf.DUMMYFUNCTION("""COMPUTED_VALUE"""),1)</f>
        <v>1</v>
      </c>
      <c r="Y2505" s="12" t="str">
        <f ca="1">IFERROR(__xludf.DUMMYFUNCTION("""COMPUTED_VALUE"""),"Escalation of argument")</f>
        <v>Escalation of argument</v>
      </c>
      <c r="Z2505" s="12" t="str">
        <f ca="1">IFERROR(__xludf.DUMMYFUNCTION("""COMPUTED_VALUE"""),"Both shooter and victim were in summer school together. Witnesses say each were bickering at each other all day. At time of shooting, victim was seated in his car. Shooter retrieved .38 caliber handgun from his car, walked over to victim and shot him once"&amp;" in the chest. Shooter then sat on the hood of his vehicle and immediately surrendered to school officials.")</f>
        <v>Both shooter and victim were in summer school together. Witnesses say each were bickering at each other all day. At time of shooting, victim was seated in his car. Shooter retrieved .38 caliber handgun from his car, walked over to victim and shot him once in the chest. Shooter then sat on the hood of his vehicle and immediately surrendered to school officials.</v>
      </c>
      <c r="AA2505" s="8" t="str">
        <f ca="1">IFERROR(__xludf.DUMMYFUNCTION("""COMPUTED_VALUE"""),"Escalation of Dispute")</f>
        <v>Escalation of Dispute</v>
      </c>
      <c r="AB2505" s="8"/>
      <c r="AC2505" s="8"/>
      <c r="AD2505" s="8" t="str">
        <f ca="1">IFERROR(__xludf.DUMMYFUNCTION("""COMPUTED_VALUE"""),"Victims Targeted")</f>
        <v>Victims Targeted</v>
      </c>
      <c r="AE2505" s="8" t="str">
        <f ca="1">IFERROR(__xludf.DUMMYFUNCTION("""COMPUTED_VALUE"""),"No")</f>
        <v>No</v>
      </c>
      <c r="AF2505" s="8"/>
      <c r="AG2505" s="8" t="str">
        <f ca="1">IFERROR(__xludf.DUMMYFUNCTION("""COMPUTED_VALUE"""),"No")</f>
        <v>No</v>
      </c>
      <c r="AH2505" s="8" t="str">
        <f ca="1">IFERROR(__xludf.DUMMYFUNCTION("""COMPUTED_VALUE"""),"No")</f>
        <v>No</v>
      </c>
      <c r="AI2505" s="8" t="str">
        <f ca="1">IFERROR(__xludf.DUMMYFUNCTION("""COMPUTED_VALUE"""),"No")</f>
        <v>No</v>
      </c>
      <c r="AJ2505" s="8"/>
      <c r="AK2505" s="8" t="str">
        <f ca="1">IFERROR(__xludf.DUMMYFUNCTION("""COMPUTED_VALUE"""),"No")</f>
        <v>No</v>
      </c>
      <c r="AL2505" s="8" t="str">
        <f ca="1">IFERROR(__xludf.DUMMYFUNCTION("""COMPUTED_VALUE"""),"No")</f>
        <v>No</v>
      </c>
      <c r="AM2505" s="8" t="str">
        <f ca="1">IFERROR(__xludf.DUMMYFUNCTION("""COMPUTED_VALUE"""),"No")</f>
        <v>No</v>
      </c>
      <c r="AN2505" s="8"/>
      <c r="AO2505" s="8"/>
      <c r="AP2505" s="8" t="str">
        <f ca="1">IFERROR(__xludf.DUMMYFUNCTION("""COMPUTED_VALUE"""),"Yes")</f>
        <v>Yes</v>
      </c>
      <c r="AQ2505" s="8" t="str">
        <f ca="1">IFERROR(__xludf.DUMMYFUNCTION("""COMPUTED_VALUE"""),"Metal Detectors Intermittent")</f>
        <v>Metal Detectors Intermittent</v>
      </c>
      <c r="AR2505" s="8" t="str">
        <f ca="1">IFERROR(__xludf.DUMMYFUNCTION("""COMPUTED_VALUE"""),"Bypassed")</f>
        <v>Bypassed</v>
      </c>
      <c r="AS2505" s="8"/>
      <c r="AT2505" s="8"/>
      <c r="AU2505" s="8">
        <f ca="1">IFERROR(__xludf.DUMMYFUNCTION("""COMPUTED_VALUE"""),32.343216)</f>
        <v>32.343215999999998</v>
      </c>
      <c r="AV2505" s="8">
        <f ca="1">IFERROR(__xludf.DUMMYFUNCTION("""COMPUTED_VALUE"""),-86.262372)</f>
        <v>-86.262371999999999</v>
      </c>
      <c r="AW2505" s="8"/>
      <c r="AX2505" s="8">
        <f ca="1">IFERROR(__xludf.DUMMYFUNCTION("""COMPUTED_VALUE"""),36111)</f>
        <v>36111</v>
      </c>
    </row>
    <row r="2506" spans="1:50" ht="45" x14ac:dyDescent="0.2">
      <c r="A2506" s="8" t="str">
        <f ca="1">IFERROR(__xludf.DUMMYFUNCTION("""COMPUTED_VALUE"""),"19970520OHDUD")</f>
        <v>19970520OHDUD</v>
      </c>
      <c r="B2506" s="8">
        <f ca="1">IFERROR(__xludf.DUMMYFUNCTION("""COMPUTED_VALUE"""),5)</f>
        <v>5</v>
      </c>
      <c r="C2506" s="8">
        <f ca="1">IFERROR(__xludf.DUMMYFUNCTION("""COMPUTED_VALUE"""),20)</f>
        <v>20</v>
      </c>
      <c r="D2506" s="8">
        <f ca="1">IFERROR(__xludf.DUMMYFUNCTION("""COMPUTED_VALUE"""),1997)</f>
        <v>1997</v>
      </c>
      <c r="E2506" s="9">
        <f ca="1">IFERROR(__xludf.DUMMYFUNCTION("""COMPUTED_VALUE"""),35570)</f>
        <v>35570</v>
      </c>
      <c r="F2506" s="8" t="str">
        <f ca="1">IFERROR(__xludf.DUMMYFUNCTION("""COMPUTED_VALUE"""),"Dunbar High School")</f>
        <v>Dunbar High School</v>
      </c>
      <c r="G2506" s="8">
        <f ca="1">IFERROR(__xludf.DUMMYFUNCTION("""COMPUTED_VALUE"""),0)</f>
        <v>0</v>
      </c>
      <c r="H2506" s="8">
        <f ca="1">IFERROR(__xludf.DUMMYFUNCTION("""COMPUTED_VALUE"""),1)</f>
        <v>1</v>
      </c>
      <c r="I2506" s="8">
        <f ca="1">IFERROR(__xludf.DUMMYFUNCTION("""COMPUTED_VALUE"""),1)</f>
        <v>1</v>
      </c>
      <c r="J2506" s="8">
        <f ca="1">IFERROR(__xludf.DUMMYFUNCTION("""COMPUTED_VALUE"""),0)</f>
        <v>0</v>
      </c>
      <c r="K2506" s="10" t="str">
        <f ca="1">IFERROR(__xludf.DUMMYFUNCTION("""COMPUTED_VALUE"""),"https://www.newspapers.com/image/295695332/?terms=student%2Bshoots")</f>
        <v>https://www.newspapers.com/image/295695332/?terms=student%2Bshoots</v>
      </c>
      <c r="L2506" s="8"/>
      <c r="M2506" s="8"/>
      <c r="N2506" s="8">
        <f ca="1">IFERROR(__xludf.DUMMYFUNCTION("""COMPUTED_VALUE"""),2)</f>
        <v>2</v>
      </c>
      <c r="O2506" s="8" t="str">
        <f ca="1">IFERROR(__xludf.DUMMYFUNCTION("""COMPUTED_VALUE"""),"Spring")</f>
        <v>Spring</v>
      </c>
      <c r="P2506" s="8" t="str">
        <f ca="1">IFERROR(__xludf.DUMMYFUNCTION("""COMPUTED_VALUE"""),"Dayton")</f>
        <v>Dayton</v>
      </c>
      <c r="Q2506" s="8" t="str">
        <f ca="1">IFERROR(__xludf.DUMMYFUNCTION("""COMPUTED_VALUE"""),"OH")</f>
        <v>OH</v>
      </c>
      <c r="R2506" s="8" t="str">
        <f ca="1">IFERROR(__xludf.DUMMYFUNCTION("""COMPUTED_VALUE"""),"High")</f>
        <v>High</v>
      </c>
      <c r="S2506" s="8" t="str">
        <f ca="1">IFERROR(__xludf.DUMMYFUNCTION("""COMPUTED_VALUE"""),"Cafeteria")</f>
        <v>Cafeteria</v>
      </c>
      <c r="T2506" s="8" t="str">
        <f ca="1">IFERROR(__xludf.DUMMYFUNCTION("""COMPUTED_VALUE"""),"Inside School Building")</f>
        <v>Inside School Building</v>
      </c>
      <c r="U2506" s="8" t="str">
        <f ca="1">IFERROR(__xludf.DUMMYFUNCTION("""COMPUTED_VALUE"""),"Yes")</f>
        <v>Yes</v>
      </c>
      <c r="V2506" s="8" t="str">
        <f ca="1">IFERROR(__xludf.DUMMYFUNCTION("""COMPUTED_VALUE"""),"Lunch")</f>
        <v>Lunch</v>
      </c>
      <c r="W2506" s="8"/>
      <c r="X2506" s="8">
        <f ca="1">IFERROR(__xludf.DUMMYFUNCTION("""COMPUTED_VALUE"""),1)</f>
        <v>1</v>
      </c>
      <c r="Y2506" s="12" t="str">
        <f ca="1">IFERROR(__xludf.DUMMYFUNCTION("""COMPUTED_VALUE"""),"Showing off gun at lunch")</f>
        <v>Showing off gun at lunch</v>
      </c>
      <c r="Z2506" s="12" t="str">
        <f ca="1">IFERROR(__xludf.DUMMYFUNCTION("""COMPUTED_VALUE"""),"16 year-old male came to school with .38 caliber hidden in pants - was in cafeteria showing off gun when he accidentally shot himself in the leg.")</f>
        <v>16 year-old male came to school with .38 caliber hidden in pants - was in cafeteria showing off gun when he accidentally shot himself in the leg.</v>
      </c>
      <c r="AA2506" s="8" t="str">
        <f ca="1">IFERROR(__xludf.DUMMYFUNCTION("""COMPUTED_VALUE"""),"Accidental")</f>
        <v>Accidental</v>
      </c>
      <c r="AB2506" s="8"/>
      <c r="AC2506" s="8"/>
      <c r="AD2506" s="8" t="str">
        <f ca="1">IFERROR(__xludf.DUMMYFUNCTION("""COMPUTED_VALUE"""),"Random Shooting")</f>
        <v>Random Shooting</v>
      </c>
      <c r="AE2506" s="8" t="str">
        <f ca="1">IFERROR(__xludf.DUMMYFUNCTION("""COMPUTED_VALUE"""),"No")</f>
        <v>No</v>
      </c>
      <c r="AF2506" s="8"/>
      <c r="AG2506" s="8" t="str">
        <f ca="1">IFERROR(__xludf.DUMMYFUNCTION("""COMPUTED_VALUE"""),"No")</f>
        <v>No</v>
      </c>
      <c r="AH2506" s="8" t="str">
        <f ca="1">IFERROR(__xludf.DUMMYFUNCTION("""COMPUTED_VALUE"""),"No")</f>
        <v>No</v>
      </c>
      <c r="AI2506" s="8" t="str">
        <f ca="1">IFERROR(__xludf.DUMMYFUNCTION("""COMPUTED_VALUE"""),"No")</f>
        <v>No</v>
      </c>
      <c r="AJ2506" s="8" t="str">
        <f ca="1">IFERROR(__xludf.DUMMYFUNCTION("""COMPUTED_VALUE"""),"No")</f>
        <v>No</v>
      </c>
      <c r="AK2506" s="8" t="str">
        <f ca="1">IFERROR(__xludf.DUMMYFUNCTION("""COMPUTED_VALUE"""),"No")</f>
        <v>No</v>
      </c>
      <c r="AL2506" s="8" t="str">
        <f ca="1">IFERROR(__xludf.DUMMYFUNCTION("""COMPUTED_VALUE"""),"No")</f>
        <v>No</v>
      </c>
      <c r="AM2506" s="8"/>
      <c r="AN2506" s="8"/>
      <c r="AO2506" s="8" t="str">
        <f ca="1">IFERROR(__xludf.DUMMYFUNCTION("""COMPUTED_VALUE"""),"No")</f>
        <v>No</v>
      </c>
      <c r="AP2506" s="8"/>
      <c r="AQ2506" s="8" t="str">
        <f ca="1">IFERROR(__xludf.DUMMYFUNCTION("""COMPUTED_VALUE"""),"Unknown")</f>
        <v>Unknown</v>
      </c>
      <c r="AR2506" s="8" t="str">
        <f ca="1">IFERROR(__xludf.DUMMYFUNCTION("""COMPUTED_VALUE"""),"NA")</f>
        <v>NA</v>
      </c>
      <c r="AS2506" s="8">
        <f ca="1">IFERROR(__xludf.DUMMYFUNCTION("""COMPUTED_VALUE"""),1)</f>
        <v>1</v>
      </c>
      <c r="AT2506" s="8"/>
      <c r="AU2506" s="8">
        <f ca="1">IFERROR(__xludf.DUMMYFUNCTION("""COMPUTED_VALUE"""),39.73306)</f>
        <v>39.733060000000002</v>
      </c>
      <c r="AV2506" s="8">
        <f ca="1">IFERROR(__xludf.DUMMYFUNCTION("""COMPUTED_VALUE"""),-84.231183)</f>
        <v>-84.231183000000001</v>
      </c>
      <c r="AW2506" s="8"/>
      <c r="AX2506" s="8">
        <f ca="1">IFERROR(__xludf.DUMMYFUNCTION("""COMPUTED_VALUE"""),45417)</f>
        <v>45417</v>
      </c>
    </row>
    <row r="2507" spans="1:50" ht="90" x14ac:dyDescent="0.2">
      <c r="A2507" s="8" t="str">
        <f ca="1">IFERROR(__xludf.DUMMYFUNCTION("""COMPUTED_VALUE"""),"19970513FLNOM")</f>
        <v>19970513FLNOM</v>
      </c>
      <c r="B2507" s="8">
        <f ca="1">IFERROR(__xludf.DUMMYFUNCTION("""COMPUTED_VALUE"""),5)</f>
        <v>5</v>
      </c>
      <c r="C2507" s="8">
        <f ca="1">IFERROR(__xludf.DUMMYFUNCTION("""COMPUTED_VALUE"""),13)</f>
        <v>13</v>
      </c>
      <c r="D2507" s="8">
        <f ca="1">IFERROR(__xludf.DUMMYFUNCTION("""COMPUTED_VALUE"""),1997)</f>
        <v>1997</v>
      </c>
      <c r="E2507" s="9">
        <f ca="1">IFERROR(__xludf.DUMMYFUNCTION("""COMPUTED_VALUE"""),35563)</f>
        <v>35563</v>
      </c>
      <c r="F2507" s="8" t="str">
        <f ca="1">IFERROR(__xludf.DUMMYFUNCTION("""COMPUTED_VALUE"""),"Northwestern High School")</f>
        <v>Northwestern High School</v>
      </c>
      <c r="G2507" s="8">
        <f ca="1">IFERROR(__xludf.DUMMYFUNCTION("""COMPUTED_VALUE"""),0)</f>
        <v>0</v>
      </c>
      <c r="H2507" s="8">
        <f ca="1">IFERROR(__xludf.DUMMYFUNCTION("""COMPUTED_VALUE"""),1)</f>
        <v>1</v>
      </c>
      <c r="I2507" s="8">
        <f ca="1">IFERROR(__xludf.DUMMYFUNCTION("""COMPUTED_VALUE"""),1)</f>
        <v>1</v>
      </c>
      <c r="J2507" s="8">
        <f ca="1">IFERROR(__xludf.DUMMYFUNCTION("""COMPUTED_VALUE"""),0)</f>
        <v>0</v>
      </c>
      <c r="K2507" s="10" t="str">
        <f ca="1">IFERROR(__xludf.DUMMYFUNCTION("""COMPUTED_VALUE"""),"https://www.newspapers.com/image/186768947/?terms=student%2Bshoots")</f>
        <v>https://www.newspapers.com/image/186768947/?terms=student%2Bshoots</v>
      </c>
      <c r="L2507" s="8"/>
      <c r="M2507" s="8"/>
      <c r="N2507" s="8">
        <f ca="1">IFERROR(__xludf.DUMMYFUNCTION("""COMPUTED_VALUE"""),2)</f>
        <v>2</v>
      </c>
      <c r="O2507" s="8" t="str">
        <f ca="1">IFERROR(__xludf.DUMMYFUNCTION("""COMPUTED_VALUE"""),"Spring")</f>
        <v>Spring</v>
      </c>
      <c r="P2507" s="8" t="str">
        <f ca="1">IFERROR(__xludf.DUMMYFUNCTION("""COMPUTED_VALUE"""),"Miami")</f>
        <v>Miami</v>
      </c>
      <c r="Q2507" s="8" t="str">
        <f ca="1">IFERROR(__xludf.DUMMYFUNCTION("""COMPUTED_VALUE"""),"FL")</f>
        <v>FL</v>
      </c>
      <c r="R2507" s="8" t="str">
        <f ca="1">IFERROR(__xludf.DUMMYFUNCTION("""COMPUTED_VALUE"""),"High")</f>
        <v>High</v>
      </c>
      <c r="S2507" s="8" t="str">
        <f ca="1">IFERROR(__xludf.DUMMYFUNCTION("""COMPUTED_VALUE"""),"Hallway")</f>
        <v>Hallway</v>
      </c>
      <c r="T2507" s="8" t="str">
        <f ca="1">IFERROR(__xludf.DUMMYFUNCTION("""COMPUTED_VALUE"""),"Inside School Building")</f>
        <v>Inside School Building</v>
      </c>
      <c r="U2507" s="8" t="str">
        <f ca="1">IFERROR(__xludf.DUMMYFUNCTION("""COMPUTED_VALUE"""),"Yes")</f>
        <v>Yes</v>
      </c>
      <c r="V2507" s="8" t="str">
        <f ca="1">IFERROR(__xludf.DUMMYFUNCTION("""COMPUTED_VALUE"""),"Morning Classes")</f>
        <v>Morning Classes</v>
      </c>
      <c r="W2507" s="11">
        <f ca="1">IFERROR(__xludf.DUMMYFUNCTION("""COMPUTED_VALUE"""),0.354166666666666)</f>
        <v>0.35416666666666602</v>
      </c>
      <c r="X2507" s="8">
        <f ca="1">IFERROR(__xludf.DUMMYFUNCTION("""COMPUTED_VALUE"""),1)</f>
        <v>1</v>
      </c>
      <c r="Y2507" s="12" t="str">
        <f ca="1">IFERROR(__xludf.DUMMYFUNCTION("""COMPUTED_VALUE"""),"Shooter lost $20 to victim in poker game at school - shot him in fit of rage")</f>
        <v>Shooter lost $20 to victim in poker game at school - shot him in fit of rage</v>
      </c>
      <c r="Z2507" s="12" t="str">
        <f ca="1">IFERROR(__xludf.DUMMYFUNCTION("""COMPUTED_VALUE"""),"17 year-old male shooter and 14 year-old male victim were playing poker in stairwell of school - shooter lost $20 to victim. When victim refused to return the money, shooter shot victim in thigh. Shooter immediately left school to dispose of gun then retu"&amp;"rned. Eventually cooperated with police and led them to gun.")</f>
        <v>17 year-old male shooter and 14 year-old male victim were playing poker in stairwell of school - shooter lost $20 to victim. When victim refused to return the money, shooter shot victim in thigh. Shooter immediately left school to dispose of gun then returned. Eventually cooperated with police and led them to gun.</v>
      </c>
      <c r="AA2507" s="8" t="str">
        <f ca="1">IFERROR(__xludf.DUMMYFUNCTION("""COMPUTED_VALUE"""),"Escalation of Dispute")</f>
        <v>Escalation of Dispute</v>
      </c>
      <c r="AB2507" s="8"/>
      <c r="AC2507" s="8"/>
      <c r="AD2507" s="8" t="str">
        <f ca="1">IFERROR(__xludf.DUMMYFUNCTION("""COMPUTED_VALUE"""),"Victims Targeted")</f>
        <v>Victims Targeted</v>
      </c>
      <c r="AE2507" s="8" t="str">
        <f ca="1">IFERROR(__xludf.DUMMYFUNCTION("""COMPUTED_VALUE"""),"No")</f>
        <v>No</v>
      </c>
      <c r="AF2507" s="8"/>
      <c r="AG2507" s="8" t="str">
        <f ca="1">IFERROR(__xludf.DUMMYFUNCTION("""COMPUTED_VALUE"""),"No")</f>
        <v>No</v>
      </c>
      <c r="AH2507" s="8" t="str">
        <f ca="1">IFERROR(__xludf.DUMMYFUNCTION("""COMPUTED_VALUE"""),"No")</f>
        <v>No</v>
      </c>
      <c r="AI2507" s="8" t="str">
        <f ca="1">IFERROR(__xludf.DUMMYFUNCTION("""COMPUTED_VALUE"""),"No")</f>
        <v>No</v>
      </c>
      <c r="AJ2507" s="8" t="str">
        <f ca="1">IFERROR(__xludf.DUMMYFUNCTION("""COMPUTED_VALUE"""),"No")</f>
        <v>No</v>
      </c>
      <c r="AK2507" s="8" t="str">
        <f ca="1">IFERROR(__xludf.DUMMYFUNCTION("""COMPUTED_VALUE"""),"No")</f>
        <v>No</v>
      </c>
      <c r="AL2507" s="8" t="str">
        <f ca="1">IFERROR(__xludf.DUMMYFUNCTION("""COMPUTED_VALUE"""),"No")</f>
        <v>No</v>
      </c>
      <c r="AM2507" s="8"/>
      <c r="AN2507" s="8"/>
      <c r="AO2507" s="8" t="str">
        <f ca="1">IFERROR(__xludf.DUMMYFUNCTION("""COMPUTED_VALUE"""),"No")</f>
        <v>No</v>
      </c>
      <c r="AP2507" s="8" t="str">
        <f ca="1">IFERROR(__xludf.DUMMYFUNCTION("""COMPUTED_VALUE"""),"Yes")</f>
        <v>Yes</v>
      </c>
      <c r="AQ2507" s="8" t="str">
        <f ca="1">IFERROR(__xludf.DUMMYFUNCTION("""COMPUTED_VALUE"""),"Unarmed Guards")</f>
        <v>Unarmed Guards</v>
      </c>
      <c r="AR2507" s="8" t="str">
        <f ca="1">IFERROR(__xludf.DUMMYFUNCTION("""COMPUTED_VALUE"""),"Bypassed")</f>
        <v>Bypassed</v>
      </c>
      <c r="AS2507" s="8">
        <f ca="1">IFERROR(__xludf.DUMMYFUNCTION("""COMPUTED_VALUE"""),1)</f>
        <v>1</v>
      </c>
      <c r="AT2507" s="8"/>
      <c r="AU2507" s="8">
        <f ca="1">IFERROR(__xludf.DUMMYFUNCTION("""COMPUTED_VALUE"""),25.838183)</f>
        <v>25.838183000000001</v>
      </c>
      <c r="AV2507" s="8">
        <f ca="1">IFERROR(__xludf.DUMMYFUNCTION("""COMPUTED_VALUE"""),-80.213021)</f>
        <v>-80.213020999999998</v>
      </c>
      <c r="AW2507" s="8"/>
      <c r="AX2507" s="8" t="str">
        <f ca="1">IFERROR(__xludf.DUMMYFUNCTION("""COMPUTED_VALUE"""),"33150-3839")</f>
        <v>33150-3839</v>
      </c>
    </row>
    <row r="2508" spans="1:50" ht="45" x14ac:dyDescent="0.2">
      <c r="A2508" s="8" t="str">
        <f ca="1">IFERROR(__xludf.DUMMYFUNCTION("""COMPUTED_VALUE"""),"19970430NYCIN")</f>
        <v>19970430NYCIN</v>
      </c>
      <c r="B2508" s="8">
        <f ca="1">IFERROR(__xludf.DUMMYFUNCTION("""COMPUTED_VALUE"""),4)</f>
        <v>4</v>
      </c>
      <c r="C2508" s="8">
        <f ca="1">IFERROR(__xludf.DUMMYFUNCTION("""COMPUTED_VALUE"""),30)</f>
        <v>30</v>
      </c>
      <c r="D2508" s="8">
        <f ca="1">IFERROR(__xludf.DUMMYFUNCTION("""COMPUTED_VALUE"""),1997)</f>
        <v>1997</v>
      </c>
      <c r="E2508" s="9">
        <f ca="1">IFERROR(__xludf.DUMMYFUNCTION("""COMPUTED_VALUE"""),35550)</f>
        <v>35550</v>
      </c>
      <c r="F2508" s="8" t="str">
        <f ca="1">IFERROR(__xludf.DUMMYFUNCTION("""COMPUTED_VALUE"""),"City-as-School High School")</f>
        <v>City-as-School High School</v>
      </c>
      <c r="G2508" s="8">
        <f ca="1">IFERROR(__xludf.DUMMYFUNCTION("""COMPUTED_VALUE"""),1)</f>
        <v>1</v>
      </c>
      <c r="H2508" s="8">
        <f ca="1">IFERROR(__xludf.DUMMYFUNCTION("""COMPUTED_VALUE"""),0)</f>
        <v>0</v>
      </c>
      <c r="I2508" s="8">
        <f ca="1">IFERROR(__xludf.DUMMYFUNCTION("""COMPUTED_VALUE"""),1)</f>
        <v>1</v>
      </c>
      <c r="J2508" s="8">
        <f ca="1">IFERROR(__xludf.DUMMYFUNCTION("""COMPUTED_VALUE"""),0)</f>
        <v>0</v>
      </c>
      <c r="K2508" s="8" t="str">
        <f ca="1">IFERROR(__xludf.DUMMYFUNCTION("""COMPUTED_VALUE"""),"The New York Times - Student is Shot Outside School in Manhattan; https://www.columbine-angels.com/School_Violence_1996-1997.htm")</f>
        <v>The New York Times - Student is Shot Outside School in Manhattan; https://www.columbine-angels.com/School_Violence_1996-1997.htm</v>
      </c>
      <c r="L2508" s="8"/>
      <c r="M2508" s="8"/>
      <c r="N2508" s="8">
        <f ca="1">IFERROR(__xludf.DUMMYFUNCTION("""COMPUTED_VALUE"""),1)</f>
        <v>1</v>
      </c>
      <c r="O2508" s="8" t="str">
        <f ca="1">IFERROR(__xludf.DUMMYFUNCTION("""COMPUTED_VALUE"""),"Spring")</f>
        <v>Spring</v>
      </c>
      <c r="P2508" s="8" t="str">
        <f ca="1">IFERROR(__xludf.DUMMYFUNCTION("""COMPUTED_VALUE"""),"New York")</f>
        <v>New York</v>
      </c>
      <c r="Q2508" s="8" t="str">
        <f ca="1">IFERROR(__xludf.DUMMYFUNCTION("""COMPUTED_VALUE"""),"NY")</f>
        <v>NY</v>
      </c>
      <c r="R2508" s="8" t="str">
        <f ca="1">IFERROR(__xludf.DUMMYFUNCTION("""COMPUTED_VALUE"""),"High")</f>
        <v>High</v>
      </c>
      <c r="S2508" s="8" t="str">
        <f ca="1">IFERROR(__xludf.DUMMYFUNCTION("""COMPUTED_VALUE"""),"Front of School")</f>
        <v>Front of School</v>
      </c>
      <c r="T2508" s="8" t="str">
        <f ca="1">IFERROR(__xludf.DUMMYFUNCTION("""COMPUTED_VALUE"""),"Outside on School Property")</f>
        <v>Outside on School Property</v>
      </c>
      <c r="U2508" s="8" t="str">
        <f ca="1">IFERROR(__xludf.DUMMYFUNCTION("""COMPUTED_VALUE"""),"Yes")</f>
        <v>Yes</v>
      </c>
      <c r="V2508" s="8" t="str">
        <f ca="1">IFERROR(__xludf.DUMMYFUNCTION("""COMPUTED_VALUE"""),"Lunch")</f>
        <v>Lunch</v>
      </c>
      <c r="W2508" s="11">
        <f ca="1">IFERROR(__xludf.DUMMYFUNCTION("""COMPUTED_VALUE"""),0.520833333333333)</f>
        <v>0.52083333333333304</v>
      </c>
      <c r="X2508" s="8">
        <f ca="1">IFERROR(__xludf.DUMMYFUNCTION("""COMPUTED_VALUE"""),1)</f>
        <v>1</v>
      </c>
      <c r="Y2508" s="12" t="str">
        <f ca="1">IFERROR(__xludf.DUMMYFUNCTION("""COMPUTED_VALUE"""),"Shot on steps outside of school")</f>
        <v>Shot on steps outside of school</v>
      </c>
      <c r="Z2508" s="12" t="str">
        <f ca="1">IFERROR(__xludf.DUMMYFUNCTION("""COMPUTED_VALUE"""),"An argument broke out between two students during school. Leading to a 19 year-old male victim shot on the steps of the school by 18 year-old male student.")</f>
        <v>An argument broke out between two students during school. Leading to a 19 year-old male victim shot on the steps of the school by 18 year-old male student.</v>
      </c>
      <c r="AA2508" s="8" t="str">
        <f ca="1">IFERROR(__xludf.DUMMYFUNCTION("""COMPUTED_VALUE"""),"Escalation of Dispute")</f>
        <v>Escalation of Dispute</v>
      </c>
      <c r="AB2508" s="8"/>
      <c r="AC2508" s="8"/>
      <c r="AD2508" s="8"/>
      <c r="AE2508" s="8" t="str">
        <f ca="1">IFERROR(__xludf.DUMMYFUNCTION("""COMPUTED_VALUE"""),"No")</f>
        <v>No</v>
      </c>
      <c r="AF2508" s="8"/>
      <c r="AG2508" s="8" t="str">
        <f ca="1">IFERROR(__xludf.DUMMYFUNCTION("""COMPUTED_VALUE"""),"No")</f>
        <v>No</v>
      </c>
      <c r="AH2508" s="8" t="str">
        <f ca="1">IFERROR(__xludf.DUMMYFUNCTION("""COMPUTED_VALUE"""),"No")</f>
        <v>No</v>
      </c>
      <c r="AI2508" s="8" t="str">
        <f ca="1">IFERROR(__xludf.DUMMYFUNCTION("""COMPUTED_VALUE"""),"No")</f>
        <v>No</v>
      </c>
      <c r="AJ2508" s="8"/>
      <c r="AK2508" s="8" t="str">
        <f ca="1">IFERROR(__xludf.DUMMYFUNCTION("""COMPUTED_VALUE"""),"No")</f>
        <v>No</v>
      </c>
      <c r="AL2508" s="8"/>
      <c r="AM2508" s="8"/>
      <c r="AN2508" s="8"/>
      <c r="AO2508" s="8" t="str">
        <f ca="1">IFERROR(__xludf.DUMMYFUNCTION("""COMPUTED_VALUE"""),"No")</f>
        <v>No</v>
      </c>
      <c r="AP2508" s="8"/>
      <c r="AQ2508" s="8" t="str">
        <f ca="1">IFERROR(__xludf.DUMMYFUNCTION("""COMPUTED_VALUE"""),"Unknown")</f>
        <v>Unknown</v>
      </c>
      <c r="AR2508" s="8" t="str">
        <f ca="1">IFERROR(__xludf.DUMMYFUNCTION("""COMPUTED_VALUE"""),"NA")</f>
        <v>NA</v>
      </c>
      <c r="AS2508" s="8"/>
      <c r="AT2508" s="8"/>
      <c r="AU2508" s="8">
        <f ca="1">IFERROR(__xludf.DUMMYFUNCTION("""COMPUTED_VALUE"""),40.729086)</f>
        <v>40.729086000000002</v>
      </c>
      <c r="AV2508" s="8">
        <f ca="1">IFERROR(__xludf.DUMMYFUNCTION("""COMPUTED_VALUE"""),-74.006418)</f>
        <v>-74.006417999999996</v>
      </c>
      <c r="AW2508" s="8"/>
      <c r="AX2508" s="8">
        <f ca="1">IFERROR(__xludf.DUMMYFUNCTION("""COMPUTED_VALUE"""),10014)</f>
        <v>10014</v>
      </c>
    </row>
    <row r="2509" spans="1:50" ht="45" x14ac:dyDescent="0.2">
      <c r="A2509" s="8" t="str">
        <f ca="1">IFERROR(__xludf.DUMMYFUNCTION("""COMPUTED_VALUE"""),"19970428CAJOL")</f>
        <v>19970428CAJOL</v>
      </c>
      <c r="B2509" s="8">
        <f ca="1">IFERROR(__xludf.DUMMYFUNCTION("""COMPUTED_VALUE"""),4)</f>
        <v>4</v>
      </c>
      <c r="C2509" s="8">
        <f ca="1">IFERROR(__xludf.DUMMYFUNCTION("""COMPUTED_VALUE"""),28)</f>
        <v>28</v>
      </c>
      <c r="D2509" s="8">
        <f ca="1">IFERROR(__xludf.DUMMYFUNCTION("""COMPUTED_VALUE"""),1997)</f>
        <v>1997</v>
      </c>
      <c r="E2509" s="9">
        <f ca="1">IFERROR(__xludf.DUMMYFUNCTION("""COMPUTED_VALUE"""),35548)</f>
        <v>35548</v>
      </c>
      <c r="F2509" s="8" t="str">
        <f ca="1">IFERROR(__xludf.DUMMYFUNCTION("""COMPUTED_VALUE"""),"John Marshall High School")</f>
        <v>John Marshall High School</v>
      </c>
      <c r="G2509" s="8">
        <f ca="1">IFERROR(__xludf.DUMMYFUNCTION("""COMPUTED_VALUE"""),1)</f>
        <v>1</v>
      </c>
      <c r="H2509" s="8">
        <f ca="1">IFERROR(__xludf.DUMMYFUNCTION("""COMPUTED_VALUE"""),0)</f>
        <v>0</v>
      </c>
      <c r="I2509" s="8">
        <f ca="1">IFERROR(__xludf.DUMMYFUNCTION("""COMPUTED_VALUE"""),1)</f>
        <v>1</v>
      </c>
      <c r="J2509" s="8">
        <f ca="1">IFERROR(__xludf.DUMMYFUNCTION("""COMPUTED_VALUE"""),0)</f>
        <v>0</v>
      </c>
      <c r="K2509" s="10" t="str">
        <f ca="1">IFERROR(__xludf.DUMMYFUNCTION("""COMPUTED_VALUE"""),"http://www.psychceu.com/school_violence/savd.pdf")</f>
        <v>http://www.psychceu.com/school_violence/savd.pdf</v>
      </c>
      <c r="L2509" s="8"/>
      <c r="M2509" s="8"/>
      <c r="N2509" s="8">
        <f ca="1">IFERROR(__xludf.DUMMYFUNCTION("""COMPUTED_VALUE"""),1)</f>
        <v>1</v>
      </c>
      <c r="O2509" s="8" t="str">
        <f ca="1">IFERROR(__xludf.DUMMYFUNCTION("""COMPUTED_VALUE"""),"Spring")</f>
        <v>Spring</v>
      </c>
      <c r="P2509" s="8" t="str">
        <f ca="1">IFERROR(__xludf.DUMMYFUNCTION("""COMPUTED_VALUE"""),"Los Angeles")</f>
        <v>Los Angeles</v>
      </c>
      <c r="Q2509" s="8" t="str">
        <f ca="1">IFERROR(__xludf.DUMMYFUNCTION("""COMPUTED_VALUE"""),"CA")</f>
        <v>CA</v>
      </c>
      <c r="R2509" s="8" t="str">
        <f ca="1">IFERROR(__xludf.DUMMYFUNCTION("""COMPUTED_VALUE"""),"High")</f>
        <v>High</v>
      </c>
      <c r="S2509" s="8" t="str">
        <f ca="1">IFERROR(__xludf.DUMMYFUNCTION("""COMPUTED_VALUE"""),"Beside Building")</f>
        <v>Beside Building</v>
      </c>
      <c r="T2509" s="8" t="str">
        <f ca="1">IFERROR(__xludf.DUMMYFUNCTION("""COMPUTED_VALUE"""),"Outside on School Property")</f>
        <v>Outside on School Property</v>
      </c>
      <c r="U2509" s="8"/>
      <c r="V2509" s="8"/>
      <c r="W2509" s="8"/>
      <c r="X2509" s="8"/>
      <c r="Y2509" s="12" t="str">
        <f ca="1">IFERROR(__xludf.DUMMYFUNCTION("""COMPUTED_VALUE"""),"Student shot by gang members outside of school")</f>
        <v>Student shot by gang members outside of school</v>
      </c>
      <c r="Z2509" s="12" t="str">
        <f ca="1">IFERROR(__xludf.DUMMYFUNCTION("""COMPUTED_VALUE"""),"17 year-old male shot multiple time trying to flee from 2 gang members (15 year-old male and 14-year old male students) outside of school.")</f>
        <v>17 year-old male shot multiple time trying to flee from 2 gang members (15 year-old male and 14-year old male students) outside of school.</v>
      </c>
      <c r="AA2509" s="8" t="str">
        <f ca="1">IFERROR(__xludf.DUMMYFUNCTION("""COMPUTED_VALUE"""),"Escalation of Dispute")</f>
        <v>Escalation of Dispute</v>
      </c>
      <c r="AB2509" s="8"/>
      <c r="AC2509" s="8"/>
      <c r="AD2509" s="8" t="str">
        <f ca="1">IFERROR(__xludf.DUMMYFUNCTION("""COMPUTED_VALUE"""),"Victims Targeted")</f>
        <v>Victims Targeted</v>
      </c>
      <c r="AE2509" s="8" t="str">
        <f ca="1">IFERROR(__xludf.DUMMYFUNCTION("""COMPUTED_VALUE"""),"Yes")</f>
        <v>Yes</v>
      </c>
      <c r="AF2509" s="8" t="str">
        <f ca="1">IFERROR(__xludf.DUMMYFUNCTION("""COMPUTED_VALUE"""),"15YOM and 14YOM male involved, unclear who shot")</f>
        <v>15YOM and 14YOM male involved, unclear who shot</v>
      </c>
      <c r="AG2509" s="8" t="str">
        <f ca="1">IFERROR(__xludf.DUMMYFUNCTION("""COMPUTED_VALUE"""),"No")</f>
        <v>No</v>
      </c>
      <c r="AH2509" s="8" t="str">
        <f ca="1">IFERROR(__xludf.DUMMYFUNCTION("""COMPUTED_VALUE"""),"No")</f>
        <v>No</v>
      </c>
      <c r="AI2509" s="8" t="str">
        <f ca="1">IFERROR(__xludf.DUMMYFUNCTION("""COMPUTED_VALUE"""),"No")</f>
        <v>No</v>
      </c>
      <c r="AJ2509" s="8" t="str">
        <f ca="1">IFERROR(__xludf.DUMMYFUNCTION("""COMPUTED_VALUE"""),"No")</f>
        <v>No</v>
      </c>
      <c r="AK2509" s="8" t="str">
        <f ca="1">IFERROR(__xludf.DUMMYFUNCTION("""COMPUTED_VALUE"""),"No")</f>
        <v>No</v>
      </c>
      <c r="AL2509" s="8" t="str">
        <f ca="1">IFERROR(__xludf.DUMMYFUNCTION("""COMPUTED_VALUE"""),"Yes")</f>
        <v>Yes</v>
      </c>
      <c r="AM2509" s="8"/>
      <c r="AN2509" s="8"/>
      <c r="AO2509" s="8" t="str">
        <f ca="1">IFERROR(__xludf.DUMMYFUNCTION("""COMPUTED_VALUE"""),"No")</f>
        <v>No</v>
      </c>
      <c r="AP2509" s="8"/>
      <c r="AQ2509" s="8" t="str">
        <f ca="1">IFERROR(__xludf.DUMMYFUNCTION("""COMPUTED_VALUE"""),"Unknown")</f>
        <v>Unknown</v>
      </c>
      <c r="AR2509" s="8" t="str">
        <f ca="1">IFERROR(__xludf.DUMMYFUNCTION("""COMPUTED_VALUE"""),"NA")</f>
        <v>NA</v>
      </c>
      <c r="AS2509" s="8"/>
      <c r="AT2509" s="8"/>
      <c r="AU2509" s="8">
        <f ca="1">IFERROR(__xludf.DUMMYFUNCTION("""COMPUTED_VALUE"""),34.0522342)</f>
        <v>34.052234200000001</v>
      </c>
      <c r="AV2509" s="8">
        <f ca="1">IFERROR(__xludf.DUMMYFUNCTION("""COMPUTED_VALUE"""),-118.2436849)</f>
        <v>-118.24368490000001</v>
      </c>
      <c r="AW2509" s="8"/>
      <c r="AX2509" s="8">
        <f ca="1">IFERROR(__xludf.DUMMYFUNCTION("""COMPUTED_VALUE"""),90012)</f>
        <v>90012</v>
      </c>
    </row>
    <row r="2510" spans="1:50" ht="60" x14ac:dyDescent="0.2">
      <c r="A2510" s="8" t="str">
        <f ca="1">IFERROR(__xludf.DUMMYFUNCTION("""COMPUTED_VALUE"""),"19970403CAMAM")</f>
        <v>19970403CAMAM</v>
      </c>
      <c r="B2510" s="8">
        <f ca="1">IFERROR(__xludf.DUMMYFUNCTION("""COMPUTED_VALUE"""),4)</f>
        <v>4</v>
      </c>
      <c r="C2510" s="8">
        <f ca="1">IFERROR(__xludf.DUMMYFUNCTION("""COMPUTED_VALUE"""),3)</f>
        <v>3</v>
      </c>
      <c r="D2510" s="8">
        <f ca="1">IFERROR(__xludf.DUMMYFUNCTION("""COMPUTED_VALUE"""),1997)</f>
        <v>1997</v>
      </c>
      <c r="E2510" s="9">
        <f ca="1">IFERROR(__xludf.DUMMYFUNCTION("""COMPUTED_VALUE"""),35523)</f>
        <v>35523</v>
      </c>
      <c r="F2510" s="8" t="str">
        <f ca="1">IFERROR(__xludf.DUMMYFUNCTION("""COMPUTED_VALUE"""),"Maria Del Rey Junior High School")</f>
        <v>Maria Del Rey Junior High School</v>
      </c>
      <c r="G2510" s="8">
        <f ca="1">IFERROR(__xludf.DUMMYFUNCTION("""COMPUTED_VALUE"""),1)</f>
        <v>1</v>
      </c>
      <c r="H2510" s="8">
        <f ca="1">IFERROR(__xludf.DUMMYFUNCTION("""COMPUTED_VALUE"""),0)</f>
        <v>0</v>
      </c>
      <c r="I2510" s="8">
        <f ca="1">IFERROR(__xludf.DUMMYFUNCTION("""COMPUTED_VALUE"""),1)</f>
        <v>1</v>
      </c>
      <c r="J2510" s="8">
        <f ca="1">IFERROR(__xludf.DUMMYFUNCTION("""COMPUTED_VALUE"""),0)</f>
        <v>0</v>
      </c>
      <c r="K2510" s="8" t="str">
        <f ca="1">IFERROR(__xludf.DUMMYFUNCTION("""COMPUTED_VALUE"""),"http://www.psychceu.com/school_violence/savd.pdf https://www.latimes.com/archives/la-xpm-1997-04-16-ls-49048-story.html")</f>
        <v>http://www.psychceu.com/school_violence/savd.pdf https://www.latimes.com/archives/la-xpm-1997-04-16-ls-49048-story.html</v>
      </c>
      <c r="L2510" s="8"/>
      <c r="M2510" s="8"/>
      <c r="N2510" s="8">
        <f ca="1">IFERROR(__xludf.DUMMYFUNCTION("""COMPUTED_VALUE"""),1)</f>
        <v>1</v>
      </c>
      <c r="O2510" s="8" t="str">
        <f ca="1">IFERROR(__xludf.DUMMYFUNCTION("""COMPUTED_VALUE"""),"Spring")</f>
        <v>Spring</v>
      </c>
      <c r="P2510" s="8" t="str">
        <f ca="1">IFERROR(__xludf.DUMMYFUNCTION("""COMPUTED_VALUE"""),"Mar Vista")</f>
        <v>Mar Vista</v>
      </c>
      <c r="Q2510" s="8" t="str">
        <f ca="1">IFERROR(__xludf.DUMMYFUNCTION("""COMPUTED_VALUE"""),"CA")</f>
        <v>CA</v>
      </c>
      <c r="R2510" s="8" t="str">
        <f ca="1">IFERROR(__xludf.DUMMYFUNCTION("""COMPUTED_VALUE"""),"High")</f>
        <v>High</v>
      </c>
      <c r="S2510" s="8" t="str">
        <f ca="1">IFERROR(__xludf.DUMMYFUNCTION("""COMPUTED_VALUE"""),"Front of School")</f>
        <v>Front of School</v>
      </c>
      <c r="T2510" s="8" t="str">
        <f ca="1">IFERROR(__xludf.DUMMYFUNCTION("""COMPUTED_VALUE"""),"Outside on School Property")</f>
        <v>Outside on School Property</v>
      </c>
      <c r="U2510" s="8"/>
      <c r="V2510" s="8"/>
      <c r="W2510" s="8"/>
      <c r="X2510" s="8"/>
      <c r="Y2510" s="12" t="str">
        <f ca="1">IFERROR(__xludf.DUMMYFUNCTION("""COMPUTED_VALUE"""),"Student shot during drive-by outside of school")</f>
        <v>Student shot during drive-by outside of school</v>
      </c>
      <c r="Z2510" s="12" t="str">
        <f ca="1">IFERROR(__xludf.DUMMYFUNCTION("""COMPUTED_VALUE"""),"14 year-old male shot during drive-by outside of school. Victim had no gang ties and was killed in a drive-by shooting by the Shoreline Crips because of an escalating gang war.")</f>
        <v>14 year-old male shot during drive-by outside of school. Victim had no gang ties and was killed in a drive-by shooting by the Shoreline Crips because of an escalating gang war.</v>
      </c>
      <c r="AA2510" s="8" t="str">
        <f ca="1">IFERROR(__xludf.DUMMYFUNCTION("""COMPUTED_VALUE"""),"Drive-by Shooting")</f>
        <v>Drive-by Shooting</v>
      </c>
      <c r="AB2510" s="8"/>
      <c r="AC2510" s="8"/>
      <c r="AD2510" s="8"/>
      <c r="AE2510" s="8" t="str">
        <f ca="1">IFERROR(__xludf.DUMMYFUNCTION("""COMPUTED_VALUE"""),"Unknown")</f>
        <v>Unknown</v>
      </c>
      <c r="AF2510" s="8"/>
      <c r="AG2510" s="8" t="str">
        <f ca="1">IFERROR(__xludf.DUMMYFUNCTION("""COMPUTED_VALUE"""),"No")</f>
        <v>No</v>
      </c>
      <c r="AH2510" s="8" t="str">
        <f ca="1">IFERROR(__xludf.DUMMYFUNCTION("""COMPUTED_VALUE"""),"No")</f>
        <v>No</v>
      </c>
      <c r="AI2510" s="8" t="str">
        <f ca="1">IFERROR(__xludf.DUMMYFUNCTION("""COMPUTED_VALUE"""),"No")</f>
        <v>No</v>
      </c>
      <c r="AJ2510" s="8" t="str">
        <f ca="1">IFERROR(__xludf.DUMMYFUNCTION("""COMPUTED_VALUE"""),"No")</f>
        <v>No</v>
      </c>
      <c r="AK2510" s="8" t="str">
        <f ca="1">IFERROR(__xludf.DUMMYFUNCTION("""COMPUTED_VALUE"""),"No")</f>
        <v>No</v>
      </c>
      <c r="AL2510" s="8" t="str">
        <f ca="1">IFERROR(__xludf.DUMMYFUNCTION("""COMPUTED_VALUE"""),"Yes")</f>
        <v>Yes</v>
      </c>
      <c r="AM2510" s="8"/>
      <c r="AN2510" s="8"/>
      <c r="AO2510" s="8" t="str">
        <f ca="1">IFERROR(__xludf.DUMMYFUNCTION("""COMPUTED_VALUE"""),"No")</f>
        <v>No</v>
      </c>
      <c r="AP2510" s="8"/>
      <c r="AQ2510" s="8" t="str">
        <f ca="1">IFERROR(__xludf.DUMMYFUNCTION("""COMPUTED_VALUE"""),"Unknown")</f>
        <v>Unknown</v>
      </c>
      <c r="AR2510" s="8" t="str">
        <f ca="1">IFERROR(__xludf.DUMMYFUNCTION("""COMPUTED_VALUE"""),"NA")</f>
        <v>NA</v>
      </c>
      <c r="AS2510" s="8"/>
      <c r="AT2510" s="8"/>
      <c r="AU2510" s="8">
        <f ca="1">IFERROR(__xludf.DUMMYFUNCTION("""COMPUTED_VALUE"""),33.987669)</f>
        <v>33.987668999999997</v>
      </c>
      <c r="AV2510" s="8">
        <f ca="1">IFERROR(__xludf.DUMMYFUNCTION("""COMPUTED_VALUE"""),-118.42093)</f>
        <v>-118.42093</v>
      </c>
      <c r="AW2510" s="8"/>
      <c r="AX2510" s="8">
        <f ca="1">IFERROR(__xludf.DUMMYFUNCTION("""COMPUTED_VALUE"""),90066)</f>
        <v>90066</v>
      </c>
    </row>
    <row r="2511" spans="1:50" ht="90" x14ac:dyDescent="0.2">
      <c r="A2511" s="8" t="str">
        <f ca="1">IFERROR(__xludf.DUMMYFUNCTION("""COMPUTED_VALUE"""),"19970317MIPED")</f>
        <v>19970317MIPED</v>
      </c>
      <c r="B2511" s="8">
        <f ca="1">IFERROR(__xludf.DUMMYFUNCTION("""COMPUTED_VALUE"""),3)</f>
        <v>3</v>
      </c>
      <c r="C2511" s="8">
        <f ca="1">IFERROR(__xludf.DUMMYFUNCTION("""COMPUTED_VALUE"""),17)</f>
        <v>17</v>
      </c>
      <c r="D2511" s="8">
        <f ca="1">IFERROR(__xludf.DUMMYFUNCTION("""COMPUTED_VALUE"""),1997)</f>
        <v>1997</v>
      </c>
      <c r="E2511" s="9">
        <f ca="1">IFERROR(__xludf.DUMMYFUNCTION("""COMPUTED_VALUE"""),35506)</f>
        <v>35506</v>
      </c>
      <c r="F2511" s="8" t="str">
        <f ca="1">IFERROR(__xludf.DUMMYFUNCTION("""COMPUTED_VALUE"""),"Pershing High School")</f>
        <v>Pershing High School</v>
      </c>
      <c r="G2511" s="8">
        <f ca="1">IFERROR(__xludf.DUMMYFUNCTION("""COMPUTED_VALUE"""),1)</f>
        <v>1</v>
      </c>
      <c r="H2511" s="8">
        <f ca="1">IFERROR(__xludf.DUMMYFUNCTION("""COMPUTED_VALUE"""),0)</f>
        <v>0</v>
      </c>
      <c r="I2511" s="8">
        <f ca="1">IFERROR(__xludf.DUMMYFUNCTION("""COMPUTED_VALUE"""),1)</f>
        <v>1</v>
      </c>
      <c r="J2511" s="8">
        <f ca="1">IFERROR(__xludf.DUMMYFUNCTION("""COMPUTED_VALUE"""),0)</f>
        <v>0</v>
      </c>
      <c r="K2511" s="8" t="str">
        <f ca="1">IFERROR(__xludf.DUMMYFUNCTION("""COMPUTED_VALUE"""),"https://www.newspapers.com/image/99392431/?terms=Kenneth%2BBaumgart https://www.edweek.org/ew/articles/1997/03/26/26briefs.h16.html https://apnews.com/b3b5e852f88ca34f26c1263a9a7e1422")</f>
        <v>https://www.newspapers.com/image/99392431/?terms=Kenneth%2BBaumgart https://www.edweek.org/ew/articles/1997/03/26/26briefs.h16.html https://apnews.com/b3b5e852f88ca34f26c1263a9a7e1422</v>
      </c>
      <c r="L2511" s="8"/>
      <c r="M2511" s="8"/>
      <c r="N2511" s="8">
        <f ca="1">IFERROR(__xludf.DUMMYFUNCTION("""COMPUTED_VALUE"""),2)</f>
        <v>2</v>
      </c>
      <c r="O2511" s="8" t="str">
        <f ca="1">IFERROR(__xludf.DUMMYFUNCTION("""COMPUTED_VALUE"""),"Spring")</f>
        <v>Spring</v>
      </c>
      <c r="P2511" s="8" t="str">
        <f ca="1">IFERROR(__xludf.DUMMYFUNCTION("""COMPUTED_VALUE"""),"Detroit")</f>
        <v>Detroit</v>
      </c>
      <c r="Q2511" s="8" t="str">
        <f ca="1">IFERROR(__xludf.DUMMYFUNCTION("""COMPUTED_VALUE"""),"MI")</f>
        <v>MI</v>
      </c>
      <c r="R2511" s="8" t="str">
        <f ca="1">IFERROR(__xludf.DUMMYFUNCTION("""COMPUTED_VALUE"""),"High")</f>
        <v>High</v>
      </c>
      <c r="S2511" s="8" t="str">
        <f ca="1">IFERROR(__xludf.DUMMYFUNCTION("""COMPUTED_VALUE"""),"Parking Lot")</f>
        <v>Parking Lot</v>
      </c>
      <c r="T2511" s="8" t="str">
        <f ca="1">IFERROR(__xludf.DUMMYFUNCTION("""COMPUTED_VALUE"""),"Outside on School Property")</f>
        <v>Outside on School Property</v>
      </c>
      <c r="U2511" s="8" t="str">
        <f ca="1">IFERROR(__xludf.DUMMYFUNCTION("""COMPUTED_VALUE"""),"Yes")</f>
        <v>Yes</v>
      </c>
      <c r="V2511" s="8" t="str">
        <f ca="1">IFERROR(__xludf.DUMMYFUNCTION("""COMPUTED_VALUE"""),"Dismissal")</f>
        <v>Dismissal</v>
      </c>
      <c r="W2511" s="11">
        <f ca="1">IFERROR(__xludf.DUMMYFUNCTION("""COMPUTED_VALUE"""),0.614583333333333)</f>
        <v>0.61458333333333304</v>
      </c>
      <c r="X2511" s="8">
        <f ca="1">IFERROR(__xludf.DUMMYFUNCTION("""COMPUTED_VALUE"""),1)</f>
        <v>1</v>
      </c>
      <c r="Y2511" s="12" t="str">
        <f ca="1">IFERROR(__xludf.DUMMYFUNCTION("""COMPUTED_VALUE"""),"Argument earlier in day, shooter went to get gun and shot victim involved in conflict")</f>
        <v>Argument earlier in day, shooter went to get gun and shot victim involved in conflict</v>
      </c>
      <c r="Z2511" s="12" t="str">
        <f ca="1">IFERROR(__xludf.DUMMYFUNCTION("""COMPUTED_VALUE"""),"Victim and shooter had ongoing conflict and altercation earlier in the school day. Shooter left to get gun and returned to school to confront victim. Shooter confronted victim in school parking lot and shot the victim as he was walking away from the dispu"&amp;"te. Shooter then fled the scene and multiple students were later arrested.")</f>
        <v>Victim and shooter had ongoing conflict and altercation earlier in the school day. Shooter left to get gun and returned to school to confront victim. Shooter confronted victim in school parking lot and shot the victim as he was walking away from the dispute. Shooter then fled the scene and multiple students were later arrested.</v>
      </c>
      <c r="AA2511" s="8" t="str">
        <f ca="1">IFERROR(__xludf.DUMMYFUNCTION("""COMPUTED_VALUE"""),"Escalation of Dispute")</f>
        <v>Escalation of Dispute</v>
      </c>
      <c r="AB2511" s="8"/>
      <c r="AC2511" s="8"/>
      <c r="AD2511" s="8" t="str">
        <f ca="1">IFERROR(__xludf.DUMMYFUNCTION("""COMPUTED_VALUE"""),"Victims Targeted")</f>
        <v>Victims Targeted</v>
      </c>
      <c r="AE2511" s="8" t="str">
        <f ca="1">IFERROR(__xludf.DUMMYFUNCTION("""COMPUTED_VALUE"""),"Yes")</f>
        <v>Yes</v>
      </c>
      <c r="AF2511" s="8" t="str">
        <f ca="1">IFERROR(__xludf.DUMMYFUNCTION("""COMPUTED_VALUE"""),"3 students arrested in connection with shooting")</f>
        <v>3 students arrested in connection with shooting</v>
      </c>
      <c r="AG2511" s="8" t="str">
        <f ca="1">IFERROR(__xludf.DUMMYFUNCTION("""COMPUTED_VALUE"""),"No")</f>
        <v>No</v>
      </c>
      <c r="AH2511" s="8" t="str">
        <f ca="1">IFERROR(__xludf.DUMMYFUNCTION("""COMPUTED_VALUE"""),"No")</f>
        <v>No</v>
      </c>
      <c r="AI2511" s="8" t="str">
        <f ca="1">IFERROR(__xludf.DUMMYFUNCTION("""COMPUTED_VALUE"""),"No")</f>
        <v>No</v>
      </c>
      <c r="AJ2511" s="8" t="str">
        <f ca="1">IFERROR(__xludf.DUMMYFUNCTION("""COMPUTED_VALUE"""),"No")</f>
        <v>No</v>
      </c>
      <c r="AK2511" s="8" t="str">
        <f ca="1">IFERROR(__xludf.DUMMYFUNCTION("""COMPUTED_VALUE"""),"No")</f>
        <v>No</v>
      </c>
      <c r="AL2511" s="8" t="str">
        <f ca="1">IFERROR(__xludf.DUMMYFUNCTION("""COMPUTED_VALUE"""),"No")</f>
        <v>No</v>
      </c>
      <c r="AM2511" s="8"/>
      <c r="AN2511" s="8"/>
      <c r="AO2511" s="8" t="str">
        <f ca="1">IFERROR(__xludf.DUMMYFUNCTION("""COMPUTED_VALUE"""),"No")</f>
        <v>No</v>
      </c>
      <c r="AP2511" s="8"/>
      <c r="AQ2511" s="8" t="str">
        <f ca="1">IFERROR(__xludf.DUMMYFUNCTION("""COMPUTED_VALUE"""),"Unknown")</f>
        <v>Unknown</v>
      </c>
      <c r="AR2511" s="8" t="str">
        <f ca="1">IFERROR(__xludf.DUMMYFUNCTION("""COMPUTED_VALUE"""),"NA")</f>
        <v>NA</v>
      </c>
      <c r="AS2511" s="8">
        <f ca="1">IFERROR(__xludf.DUMMYFUNCTION("""COMPUTED_VALUE"""),2)</f>
        <v>2</v>
      </c>
      <c r="AT2511" s="8"/>
      <c r="AU2511" s="8">
        <f ca="1">IFERROR(__xludf.DUMMYFUNCTION("""COMPUTED_VALUE"""),42.432175)</f>
        <v>42.432175000000001</v>
      </c>
      <c r="AV2511" s="8">
        <f ca="1">IFERROR(__xludf.DUMMYFUNCTION("""COMPUTED_VALUE"""),-83.063815)</f>
        <v>-83.063815000000005</v>
      </c>
      <c r="AW2511" s="8"/>
      <c r="AX2511" s="8">
        <f ca="1">IFERROR(__xludf.DUMMYFUNCTION("""COMPUTED_VALUE"""),48234)</f>
        <v>48234</v>
      </c>
    </row>
    <row r="2512" spans="1:50" ht="75" x14ac:dyDescent="0.2">
      <c r="A2512" s="8" t="str">
        <f ca="1">IFERROR(__xludf.DUMMYFUNCTION("""COMPUTED_VALUE"""),"19970221NVRAL")</f>
        <v>19970221NVRAL</v>
      </c>
      <c r="B2512" s="8">
        <f ca="1">IFERROR(__xludf.DUMMYFUNCTION("""COMPUTED_VALUE"""),2)</f>
        <v>2</v>
      </c>
      <c r="C2512" s="8">
        <f ca="1">IFERROR(__xludf.DUMMYFUNCTION("""COMPUTED_VALUE"""),21)</f>
        <v>21</v>
      </c>
      <c r="D2512" s="8">
        <f ca="1">IFERROR(__xludf.DUMMYFUNCTION("""COMPUTED_VALUE"""),1997)</f>
        <v>1997</v>
      </c>
      <c r="E2512" s="9">
        <f ca="1">IFERROR(__xludf.DUMMYFUNCTION("""COMPUTED_VALUE"""),35482)</f>
        <v>35482</v>
      </c>
      <c r="F2512" s="8" t="str">
        <f ca="1">IFERROR(__xludf.DUMMYFUNCTION("""COMPUTED_VALUE"""),"Rancho High School")</f>
        <v>Rancho High School</v>
      </c>
      <c r="G2512" s="8">
        <f ca="1">IFERROR(__xludf.DUMMYFUNCTION("""COMPUTED_VALUE"""),0)</f>
        <v>0</v>
      </c>
      <c r="H2512" s="8">
        <f ca="1">IFERROR(__xludf.DUMMYFUNCTION("""COMPUTED_VALUE"""),1)</f>
        <v>1</v>
      </c>
      <c r="I2512" s="8">
        <f ca="1">IFERROR(__xludf.DUMMYFUNCTION("""COMPUTED_VALUE"""),1)</f>
        <v>1</v>
      </c>
      <c r="J2512" s="8">
        <f ca="1">IFERROR(__xludf.DUMMYFUNCTION("""COMPUTED_VALUE"""),0)</f>
        <v>0</v>
      </c>
      <c r="K2512" s="10" t="str">
        <f ca="1">IFERROR(__xludf.DUMMYFUNCTION("""COMPUTED_VALUE"""),"https://m.lasvegassun.com/news/1997/feb/21/rival-gangs-blamed-in-rancho-shooting/")</f>
        <v>https://m.lasvegassun.com/news/1997/feb/21/rival-gangs-blamed-in-rancho-shooting/</v>
      </c>
      <c r="L2512" s="8"/>
      <c r="M2512" s="8"/>
      <c r="N2512" s="8">
        <f ca="1">IFERROR(__xludf.DUMMYFUNCTION("""COMPUTED_VALUE"""),3)</f>
        <v>3</v>
      </c>
      <c r="O2512" s="8" t="str">
        <f ca="1">IFERROR(__xludf.DUMMYFUNCTION("""COMPUTED_VALUE"""),"Winter")</f>
        <v>Winter</v>
      </c>
      <c r="P2512" s="8" t="str">
        <f ca="1">IFERROR(__xludf.DUMMYFUNCTION("""COMPUTED_VALUE"""),"Las Vegas")</f>
        <v>Las Vegas</v>
      </c>
      <c r="Q2512" s="8" t="str">
        <f ca="1">IFERROR(__xludf.DUMMYFUNCTION("""COMPUTED_VALUE"""),"NV")</f>
        <v>NV</v>
      </c>
      <c r="R2512" s="8" t="str">
        <f ca="1">IFERROR(__xludf.DUMMYFUNCTION("""COMPUTED_VALUE"""),"High")</f>
        <v>High</v>
      </c>
      <c r="S2512" s="8" t="str">
        <f ca="1">IFERROR(__xludf.DUMMYFUNCTION("""COMPUTED_VALUE"""),"Parking Lot")</f>
        <v>Parking Lot</v>
      </c>
      <c r="T2512" s="8" t="str">
        <f ca="1">IFERROR(__xludf.DUMMYFUNCTION("""COMPUTED_VALUE"""),"Outside on School Property")</f>
        <v>Outside on School Property</v>
      </c>
      <c r="U2512" s="8" t="str">
        <f ca="1">IFERROR(__xludf.DUMMYFUNCTION("""COMPUTED_VALUE"""),"Yes")</f>
        <v>Yes</v>
      </c>
      <c r="V2512" s="8" t="str">
        <f ca="1">IFERROR(__xludf.DUMMYFUNCTION("""COMPUTED_VALUE"""),"Dismissal")</f>
        <v>Dismissal</v>
      </c>
      <c r="W2512" s="11">
        <f ca="1">IFERROR(__xludf.DUMMYFUNCTION("""COMPUTED_VALUE"""),0.541666666666666)</f>
        <v>0.54166666666666596</v>
      </c>
      <c r="X2512" s="8">
        <f ca="1">IFERROR(__xludf.DUMMYFUNCTION("""COMPUTED_VALUE"""),1)</f>
        <v>1</v>
      </c>
      <c r="Y2512" s="12" t="str">
        <f ca="1">IFERROR(__xludf.DUMMYFUNCTION("""COMPUTED_VALUE"""),"Student shot during dismissal by rival gang members")</f>
        <v>Student shot during dismissal by rival gang members</v>
      </c>
      <c r="Z2512" s="12" t="str">
        <f ca="1">IFERROR(__xludf.DUMMYFUNCTION("""COMPUTED_VALUE"""),"16 year-old male was shot by an unnamed 20 year-old hispanic male after exchanging gang hand signals in the school parking lot during dismissal. The shooter and two female students fled the scene in a vehicle and were later arrested.")</f>
        <v>16 year-old male was shot by an unnamed 20 year-old hispanic male after exchanging gang hand signals in the school parking lot during dismissal. The shooter and two female students fled the scene in a vehicle and were later arrested.</v>
      </c>
      <c r="AA2512" s="8" t="str">
        <f ca="1">IFERROR(__xludf.DUMMYFUNCTION("""COMPUTED_VALUE"""),"Escalation of Dispute")</f>
        <v>Escalation of Dispute</v>
      </c>
      <c r="AB2512" s="8"/>
      <c r="AC2512" s="8"/>
      <c r="AD2512" s="8" t="str">
        <f ca="1">IFERROR(__xludf.DUMMYFUNCTION("""COMPUTED_VALUE"""),"Victims Targeted")</f>
        <v>Victims Targeted</v>
      </c>
      <c r="AE2512" s="8" t="str">
        <f ca="1">IFERROR(__xludf.DUMMYFUNCTION("""COMPUTED_VALUE"""),"Yes")</f>
        <v>Yes</v>
      </c>
      <c r="AF2512" s="8" t="str">
        <f ca="1">IFERROR(__xludf.DUMMYFUNCTION("""COMPUTED_VALUE"""),"2 other students in vehicle")</f>
        <v>2 other students in vehicle</v>
      </c>
      <c r="AG2512" s="8" t="str">
        <f ca="1">IFERROR(__xludf.DUMMYFUNCTION("""COMPUTED_VALUE"""),"No")</f>
        <v>No</v>
      </c>
      <c r="AH2512" s="8" t="str">
        <f ca="1">IFERROR(__xludf.DUMMYFUNCTION("""COMPUTED_VALUE"""),"No")</f>
        <v>No</v>
      </c>
      <c r="AI2512" s="8" t="str">
        <f ca="1">IFERROR(__xludf.DUMMYFUNCTION("""COMPUTED_VALUE"""),"No")</f>
        <v>No</v>
      </c>
      <c r="AJ2512" s="8" t="str">
        <f ca="1">IFERROR(__xludf.DUMMYFUNCTION("""COMPUTED_VALUE"""),"No")</f>
        <v>No</v>
      </c>
      <c r="AK2512" s="8" t="str">
        <f ca="1">IFERROR(__xludf.DUMMYFUNCTION("""COMPUTED_VALUE"""),"No")</f>
        <v>No</v>
      </c>
      <c r="AL2512" s="8" t="str">
        <f ca="1">IFERROR(__xludf.DUMMYFUNCTION("""COMPUTED_VALUE"""),"Yes")</f>
        <v>Yes</v>
      </c>
      <c r="AM2512" s="8" t="str">
        <f ca="1">IFERROR(__xludf.DUMMYFUNCTION("""COMPUTED_VALUE"""),"No")</f>
        <v>No</v>
      </c>
      <c r="AN2512" s="8"/>
      <c r="AO2512" s="8" t="str">
        <f ca="1">IFERROR(__xludf.DUMMYFUNCTION("""COMPUTED_VALUE"""),"No")</f>
        <v>No</v>
      </c>
      <c r="AP2512" s="8"/>
      <c r="AQ2512" s="8" t="str">
        <f ca="1">IFERROR(__xludf.DUMMYFUNCTION("""COMPUTED_VALUE"""),"Unknown")</f>
        <v>Unknown</v>
      </c>
      <c r="AR2512" s="8" t="str">
        <f ca="1">IFERROR(__xludf.DUMMYFUNCTION("""COMPUTED_VALUE"""),"Outside/Off-Property")</f>
        <v>Outside/Off-Property</v>
      </c>
      <c r="AS2512" s="8">
        <f ca="1">IFERROR(__xludf.DUMMYFUNCTION("""COMPUTED_VALUE"""),3)</f>
        <v>3</v>
      </c>
      <c r="AT2512" s="8"/>
      <c r="AU2512" s="8">
        <f ca="1">IFERROR(__xludf.DUMMYFUNCTION("""COMPUTED_VALUE"""),36.185983)</f>
        <v>36.185983</v>
      </c>
      <c r="AV2512" s="8">
        <f ca="1">IFERROR(__xludf.DUMMYFUNCTION("""COMPUTED_VALUE"""),-115.12224)</f>
        <v>-115.12224000000001</v>
      </c>
      <c r="AW2512" s="8"/>
      <c r="AX2512" s="8">
        <f ca="1">IFERROR(__xludf.DUMMYFUNCTION("""COMPUTED_VALUE"""),89030)</f>
        <v>89030</v>
      </c>
    </row>
    <row r="2513" spans="1:50" ht="60" x14ac:dyDescent="0.2">
      <c r="A2513" s="8" t="str">
        <f ca="1">IFERROR(__xludf.DUMMYFUNCTION("""COMPUTED_VALUE"""),"19970220FLFIJ")</f>
        <v>19970220FLFIJ</v>
      </c>
      <c r="B2513" s="8">
        <f ca="1">IFERROR(__xludf.DUMMYFUNCTION("""COMPUTED_VALUE"""),2)</f>
        <v>2</v>
      </c>
      <c r="C2513" s="8">
        <f ca="1">IFERROR(__xludf.DUMMYFUNCTION("""COMPUTED_VALUE"""),20)</f>
        <v>20</v>
      </c>
      <c r="D2513" s="8">
        <f ca="1">IFERROR(__xludf.DUMMYFUNCTION("""COMPUTED_VALUE"""),1997)</f>
        <v>1997</v>
      </c>
      <c r="E2513" s="9">
        <f ca="1">IFERROR(__xludf.DUMMYFUNCTION("""COMPUTED_VALUE"""),35481)</f>
        <v>35481</v>
      </c>
      <c r="F2513" s="8" t="str">
        <f ca="1">IFERROR(__xludf.DUMMYFUNCTION("""COMPUTED_VALUE"""),"First Coast High School")</f>
        <v>First Coast High School</v>
      </c>
      <c r="G2513" s="8">
        <f ca="1">IFERROR(__xludf.DUMMYFUNCTION("""COMPUTED_VALUE"""),0)</f>
        <v>0</v>
      </c>
      <c r="H2513" s="8">
        <f ca="1">IFERROR(__xludf.DUMMYFUNCTION("""COMPUTED_VALUE"""),0)</f>
        <v>0</v>
      </c>
      <c r="I2513" s="8">
        <f ca="1">IFERROR(__xludf.DUMMYFUNCTION("""COMPUTED_VALUE"""),0)</f>
        <v>0</v>
      </c>
      <c r="J2513" s="8">
        <f ca="1">IFERROR(__xludf.DUMMYFUNCTION("""COMPUTED_VALUE"""),1)</f>
        <v>1</v>
      </c>
      <c r="K2513" s="8" t="str">
        <f ca="1">IFERROR(__xludf.DUMMYFUNCTION("""COMPUTED_VALUE"""),"http://www.psychceu.com/school_violence/savd.pdf https://apnews.com/bade25da6294eeec2af67239d55d3bee https://www.greensboro.com/teenager-attempts-suicide-after-argument-with-coach/article_6ef3638a-da88-532f-9482-4f6f1a47f42b.html")</f>
        <v>http://www.psychceu.com/school_violence/savd.pdf https://apnews.com/bade25da6294eeec2af67239d55d3bee https://www.greensboro.com/teenager-attempts-suicide-after-argument-with-coach/article_6ef3638a-da88-532f-9482-4f6f1a47f42b.html</v>
      </c>
      <c r="L2513" s="8"/>
      <c r="M2513" s="8"/>
      <c r="N2513" s="8">
        <f ca="1">IFERROR(__xludf.DUMMYFUNCTION("""COMPUTED_VALUE"""),1)</f>
        <v>1</v>
      </c>
      <c r="O2513" s="8" t="str">
        <f ca="1">IFERROR(__xludf.DUMMYFUNCTION("""COMPUTED_VALUE"""),"Winter")</f>
        <v>Winter</v>
      </c>
      <c r="P2513" s="8" t="str">
        <f ca="1">IFERROR(__xludf.DUMMYFUNCTION("""COMPUTED_VALUE"""),"Jacksonville")</f>
        <v>Jacksonville</v>
      </c>
      <c r="Q2513" s="8" t="str">
        <f ca="1">IFERROR(__xludf.DUMMYFUNCTION("""COMPUTED_VALUE"""),"FL")</f>
        <v>FL</v>
      </c>
      <c r="R2513" s="8" t="str">
        <f ca="1">IFERROR(__xludf.DUMMYFUNCTION("""COMPUTED_VALUE"""),"High")</f>
        <v>High</v>
      </c>
      <c r="S2513" s="8" t="str">
        <f ca="1">IFERROR(__xludf.DUMMYFUNCTION("""COMPUTED_VALUE"""),"Field (General)")</f>
        <v>Field (General)</v>
      </c>
      <c r="T2513" s="8" t="str">
        <f ca="1">IFERROR(__xludf.DUMMYFUNCTION("""COMPUTED_VALUE"""),"Outside on School Property")</f>
        <v>Outside on School Property</v>
      </c>
      <c r="U2513" s="8" t="str">
        <f ca="1">IFERROR(__xludf.DUMMYFUNCTION("""COMPUTED_VALUE"""),"No")</f>
        <v>No</v>
      </c>
      <c r="V2513" s="8" t="str">
        <f ca="1">IFERROR(__xludf.DUMMYFUNCTION("""COMPUTED_VALUE"""),"After School")</f>
        <v>After School</v>
      </c>
      <c r="W2513" s="8"/>
      <c r="X2513" s="8">
        <f ca="1">IFERROR(__xludf.DUMMYFUNCTION("""COMPUTED_VALUE"""),1)</f>
        <v>1</v>
      </c>
      <c r="Y2513" s="12" t="str">
        <f ca="1">IFERROR(__xludf.DUMMYFUNCTION("""COMPUTED_VALUE"""),"Student shot herself on field after sports tryout")</f>
        <v>Student shot herself on field after sports tryout</v>
      </c>
      <c r="Z2513" s="12" t="str">
        <f ca="1">IFERROR(__xludf.DUMMYFUNCTION("""COMPUTED_VALUE"""),"17 year-old female shot herself during an argument with her coach about her poor showing in a recent tryout for an athletic scholarship. Victim first pointed the gun at her coach then proceeded to point it at herself and shoot.")</f>
        <v>17 year-old female shot herself during an argument with her coach about her poor showing in a recent tryout for an athletic scholarship. Victim first pointed the gun at her coach then proceeded to point it at herself and shoot.</v>
      </c>
      <c r="AA2513" s="8" t="str">
        <f ca="1">IFERROR(__xludf.DUMMYFUNCTION("""COMPUTED_VALUE"""),"Suicide/Attempted")</f>
        <v>Suicide/Attempted</v>
      </c>
      <c r="AB2513" s="8"/>
      <c r="AC2513" s="8"/>
      <c r="AD2513" s="8" t="str">
        <f ca="1">IFERROR(__xludf.DUMMYFUNCTION("""COMPUTED_VALUE"""),"Victims Targeted")</f>
        <v>Victims Targeted</v>
      </c>
      <c r="AE2513" s="8" t="str">
        <f ca="1">IFERROR(__xludf.DUMMYFUNCTION("""COMPUTED_VALUE"""),"No")</f>
        <v>No</v>
      </c>
      <c r="AF2513" s="8"/>
      <c r="AG2513" s="8" t="str">
        <f ca="1">IFERROR(__xludf.DUMMYFUNCTION("""COMPUTED_VALUE"""),"No")</f>
        <v>No</v>
      </c>
      <c r="AH2513" s="8" t="str">
        <f ca="1">IFERROR(__xludf.DUMMYFUNCTION("""COMPUTED_VALUE"""),"No")</f>
        <v>No</v>
      </c>
      <c r="AI2513" s="8" t="str">
        <f ca="1">IFERROR(__xludf.DUMMYFUNCTION("""COMPUTED_VALUE"""),"No")</f>
        <v>No</v>
      </c>
      <c r="AJ2513" s="8" t="str">
        <f ca="1">IFERROR(__xludf.DUMMYFUNCTION("""COMPUTED_VALUE"""),"No")</f>
        <v>No</v>
      </c>
      <c r="AK2513" s="8" t="str">
        <f ca="1">IFERROR(__xludf.DUMMYFUNCTION("""COMPUTED_VALUE"""),"No")</f>
        <v>No</v>
      </c>
      <c r="AL2513" s="8" t="str">
        <f ca="1">IFERROR(__xludf.DUMMYFUNCTION("""COMPUTED_VALUE"""),"No")</f>
        <v>No</v>
      </c>
      <c r="AM2513" s="8"/>
      <c r="AN2513" s="8"/>
      <c r="AO2513" s="8" t="str">
        <f ca="1">IFERROR(__xludf.DUMMYFUNCTION("""COMPUTED_VALUE"""),"No")</f>
        <v>No</v>
      </c>
      <c r="AP2513" s="8"/>
      <c r="AQ2513" s="8" t="str">
        <f ca="1">IFERROR(__xludf.DUMMYFUNCTION("""COMPUTED_VALUE"""),"Unknown")</f>
        <v>Unknown</v>
      </c>
      <c r="AR2513" s="8" t="str">
        <f ca="1">IFERROR(__xludf.DUMMYFUNCTION("""COMPUTED_VALUE"""),"NA")</f>
        <v>NA</v>
      </c>
      <c r="AS2513" s="8">
        <f ca="1">IFERROR(__xludf.DUMMYFUNCTION("""COMPUTED_VALUE"""),1)</f>
        <v>1</v>
      </c>
      <c r="AT2513" s="8"/>
      <c r="AU2513" s="8">
        <f ca="1">IFERROR(__xludf.DUMMYFUNCTION("""COMPUTED_VALUE"""),30.482592)</f>
        <v>30.482592</v>
      </c>
      <c r="AV2513" s="8">
        <f ca="1">IFERROR(__xludf.DUMMYFUNCTION("""COMPUTED_VALUE"""),-81.608222)</f>
        <v>-81.608221999999998</v>
      </c>
      <c r="AW2513" s="8"/>
      <c r="AX2513" s="8">
        <f ca="1">IFERROR(__xludf.DUMMYFUNCTION("""COMPUTED_VALUE"""),32218)</f>
        <v>32218</v>
      </c>
    </row>
    <row r="2514" spans="1:50" ht="210" x14ac:dyDescent="0.2">
      <c r="A2514" s="8" t="str">
        <f ca="1">IFERROR(__xludf.DUMMYFUNCTION("""COMPUTED_VALUE"""),"19970219AKBEB")</f>
        <v>19970219AKBEB</v>
      </c>
      <c r="B2514" s="8">
        <f ca="1">IFERROR(__xludf.DUMMYFUNCTION("""COMPUTED_VALUE"""),2)</f>
        <v>2</v>
      </c>
      <c r="C2514" s="8">
        <f ca="1">IFERROR(__xludf.DUMMYFUNCTION("""COMPUTED_VALUE"""),19)</f>
        <v>19</v>
      </c>
      <c r="D2514" s="8">
        <f ca="1">IFERROR(__xludf.DUMMYFUNCTION("""COMPUTED_VALUE"""),1997)</f>
        <v>1997</v>
      </c>
      <c r="E2514" s="9">
        <f ca="1">IFERROR(__xludf.DUMMYFUNCTION("""COMPUTED_VALUE"""),35480)</f>
        <v>35480</v>
      </c>
      <c r="F2514" s="8" t="str">
        <f ca="1">IFERROR(__xludf.DUMMYFUNCTION("""COMPUTED_VALUE"""),"Bethel Regional High School")</f>
        <v>Bethel Regional High School</v>
      </c>
      <c r="G2514" s="8">
        <f ca="1">IFERROR(__xludf.DUMMYFUNCTION("""COMPUTED_VALUE"""),2)</f>
        <v>2</v>
      </c>
      <c r="H2514" s="8">
        <f ca="1">IFERROR(__xludf.DUMMYFUNCTION("""COMPUTED_VALUE"""),2)</f>
        <v>2</v>
      </c>
      <c r="I2514" s="8">
        <f ca="1">IFERROR(__xludf.DUMMYFUNCTION("""COMPUTED_VALUE"""),4)</f>
        <v>4</v>
      </c>
      <c r="J2514" s="8">
        <f ca="1">IFERROR(__xludf.DUMMYFUNCTION("""COMPUTED_VALUE"""),0)</f>
        <v>0</v>
      </c>
      <c r="K2514" s="8" t="str">
        <f ca="1">IFERROR(__xludf.DUMMYFUNCTION("""COMPUTED_VALUE"""),"https://www.adn.com/alaska-news/2017/02/18/evan-ramseys-tattered-life-filled-him-with-rage-then-he-brought-a-shotgun-to-school/  https://www.adn.com/alaska-news/1997/02/20/student-kills-2-in-bethel-frightened-teens-flee-high-school/")</f>
        <v>https://www.adn.com/alaska-news/2017/02/18/evan-ramseys-tattered-life-filled-him-with-rage-then-he-brought-a-shotgun-to-school/  https://www.adn.com/alaska-news/1997/02/20/student-kills-2-in-bethel-frightened-teens-flee-high-school/</v>
      </c>
      <c r="L2514" s="8"/>
      <c r="M2514" s="8"/>
      <c r="N2514" s="8">
        <f ca="1">IFERROR(__xludf.DUMMYFUNCTION("""COMPUTED_VALUE"""),2)</f>
        <v>2</v>
      </c>
      <c r="O2514" s="8" t="str">
        <f ca="1">IFERROR(__xludf.DUMMYFUNCTION("""COMPUTED_VALUE"""),"Winter")</f>
        <v>Winter</v>
      </c>
      <c r="P2514" s="8" t="str">
        <f ca="1">IFERROR(__xludf.DUMMYFUNCTION("""COMPUTED_VALUE"""),"Bethel")</f>
        <v>Bethel</v>
      </c>
      <c r="Q2514" s="8" t="str">
        <f ca="1">IFERROR(__xludf.DUMMYFUNCTION("""COMPUTED_VALUE"""),"AK")</f>
        <v>AK</v>
      </c>
      <c r="R2514" s="8" t="str">
        <f ca="1">IFERROR(__xludf.DUMMYFUNCTION("""COMPUTED_VALUE"""),"High")</f>
        <v>High</v>
      </c>
      <c r="S2514" s="8" t="str">
        <f ca="1">IFERROR(__xludf.DUMMYFUNCTION("""COMPUTED_VALUE"""),"Entryway")</f>
        <v>Entryway</v>
      </c>
      <c r="T2514" s="8" t="str">
        <f ca="1">IFERROR(__xludf.DUMMYFUNCTION("""COMPUTED_VALUE"""),"Inside School Building")</f>
        <v>Inside School Building</v>
      </c>
      <c r="U2514" s="8" t="str">
        <f ca="1">IFERROR(__xludf.DUMMYFUNCTION("""COMPUTED_VALUE"""),"Yes")</f>
        <v>Yes</v>
      </c>
      <c r="V2514" s="8" t="str">
        <f ca="1">IFERROR(__xludf.DUMMYFUNCTION("""COMPUTED_VALUE"""),"School Start")</f>
        <v>School Start</v>
      </c>
      <c r="W2514" s="11">
        <f ca="1">IFERROR(__xludf.DUMMYFUNCTION("""COMPUTED_VALUE"""),0.364583333333333)</f>
        <v>0.36458333333333298</v>
      </c>
      <c r="X2514" s="8"/>
      <c r="Y2514" s="12" t="str">
        <f ca="1">IFERROR(__xludf.DUMMYFUNCTION("""COMPUTED_VALUE"""),"Prolonged bullying, asked teachers for help")</f>
        <v>Prolonged bullying, asked teachers for help</v>
      </c>
      <c r="Z2514" s="12" t="str">
        <f ca="1">IFERROR(__xludf.DUMMYFUNCTION("""COMPUTED_VALUE"""),"Snuck shotgun into the cafeteria of the school and fired at random students. Shooting did not go as a he planned so he started running. He was confronted by teachers who persuaded him to put the gun down. Shooter talked about planning a school shooting an"&amp;"d told multiple students about it. Asked two others to help him learn how to fire a shotgun. Students gathered on the second floor balcony above the cafeteria because he told them that would be where the action was. Shooter left suicide note explaining he"&amp;" was angry and depressed. Girlfriend had recently broken up with him. Abused as a child. Father was in prison for shooting up a newspaper office when they wouldn't print his political rant. Pointed the gun at himself multiple times during the shooting. Bu"&amp;"llied extensively.")</f>
        <v>Snuck shotgun into the cafeteria of the school and fired at random students. Shooting did not go as a he planned so he started running. He was confronted by teachers who persuaded him to put the gun down. Shooter talked about planning a school shooting and told multiple students about it. Asked two others to help him learn how to fire a shotgun. Students gathered on the second floor balcony above the cafeteria because he told them that would be where the action was. Shooter left suicide note explaining he was angry and depressed. Girlfriend had recently broken up with him. Abused as a child. Father was in prison for shooting up a newspaper office when they wouldn't print his political rant. Pointed the gun at himself multiple times during the shooting. Bullied extensively.</v>
      </c>
      <c r="AA2514" s="8" t="str">
        <f ca="1">IFERROR(__xludf.DUMMYFUNCTION("""COMPUTED_VALUE"""),"Bullying")</f>
        <v>Bullying</v>
      </c>
      <c r="AB2514" s="8"/>
      <c r="AC2514" s="8" t="str">
        <f ca="1">IFERROR(__xludf.DUMMYFUNCTION("""COMPUTED_VALUE"""),"Yes")</f>
        <v>Yes</v>
      </c>
      <c r="AD2514" s="8" t="str">
        <f ca="1">IFERROR(__xludf.DUMMYFUNCTION("""COMPUTED_VALUE"""),"Random Shooting")</f>
        <v>Random Shooting</v>
      </c>
      <c r="AE2514" s="8"/>
      <c r="AF2514" s="8"/>
      <c r="AG2514" s="8" t="str">
        <f ca="1">IFERROR(__xludf.DUMMYFUNCTION("""COMPUTED_VALUE"""),"No")</f>
        <v>No</v>
      </c>
      <c r="AH2514" s="8" t="str">
        <f ca="1">IFERROR(__xludf.DUMMYFUNCTION("""COMPUTED_VALUE"""),"No")</f>
        <v>No</v>
      </c>
      <c r="AI2514" s="8" t="str">
        <f ca="1">IFERROR(__xludf.DUMMYFUNCTION("""COMPUTED_VALUE"""),"No")</f>
        <v>No</v>
      </c>
      <c r="AJ2514" s="8" t="str">
        <f ca="1">IFERROR(__xludf.DUMMYFUNCTION("""COMPUTED_VALUE"""),"Yes")</f>
        <v>Yes</v>
      </c>
      <c r="AK2514" s="8" t="str">
        <f ca="1">IFERROR(__xludf.DUMMYFUNCTION("""COMPUTED_VALUE"""),"No")</f>
        <v>No</v>
      </c>
      <c r="AL2514" s="8" t="str">
        <f ca="1">IFERROR(__xludf.DUMMYFUNCTION("""COMPUTED_VALUE"""),"No")</f>
        <v>No</v>
      </c>
      <c r="AM2514" s="8" t="str">
        <f ca="1">IFERROR(__xludf.DUMMYFUNCTION("""COMPUTED_VALUE"""),"Yes")</f>
        <v>Yes</v>
      </c>
      <c r="AN2514" s="8" t="str">
        <f ca="1">IFERROR(__xludf.DUMMYFUNCTION("""COMPUTED_VALUE"""),"Single Room")</f>
        <v>Single Room</v>
      </c>
      <c r="AO2514" s="8" t="str">
        <f ca="1">IFERROR(__xludf.DUMMYFUNCTION("""COMPUTED_VALUE"""),"Yes")</f>
        <v>Yes</v>
      </c>
      <c r="AP2514" s="8"/>
      <c r="AQ2514" s="8" t="str">
        <f ca="1">IFERROR(__xludf.DUMMYFUNCTION("""COMPUTED_VALUE"""),"Unknown")</f>
        <v>Unknown</v>
      </c>
      <c r="AR2514" s="8" t="str">
        <f ca="1">IFERROR(__xludf.DUMMYFUNCTION("""COMPUTED_VALUE"""),"NA")</f>
        <v>NA</v>
      </c>
      <c r="AS2514" s="8"/>
      <c r="AT2514" s="8"/>
      <c r="AU2514" s="8">
        <f ca="1">IFERROR(__xludf.DUMMYFUNCTION("""COMPUTED_VALUE"""),60.802265)</f>
        <v>60.802264999999998</v>
      </c>
      <c r="AV2514" s="8">
        <f ca="1">IFERROR(__xludf.DUMMYFUNCTION("""COMPUTED_VALUE"""),-161.770738)</f>
        <v>-161.77073799999999</v>
      </c>
      <c r="AW2514" s="8"/>
      <c r="AX2514" s="8">
        <f ca="1">IFERROR(__xludf.DUMMYFUNCTION("""COMPUTED_VALUE"""),99559)</f>
        <v>99559</v>
      </c>
    </row>
    <row r="2515" spans="1:50" ht="60" x14ac:dyDescent="0.2">
      <c r="A2515" s="8" t="str">
        <f ca="1">IFERROR(__xludf.DUMMYFUNCTION("""COMPUTED_VALUE"""),"19970213NYSAB")</f>
        <v>19970213NYSAB</v>
      </c>
      <c r="B2515" s="8">
        <f ca="1">IFERROR(__xludf.DUMMYFUNCTION("""COMPUTED_VALUE"""),2)</f>
        <v>2</v>
      </c>
      <c r="C2515" s="8">
        <f ca="1">IFERROR(__xludf.DUMMYFUNCTION("""COMPUTED_VALUE"""),13)</f>
        <v>13</v>
      </c>
      <c r="D2515" s="8">
        <f ca="1">IFERROR(__xludf.DUMMYFUNCTION("""COMPUTED_VALUE"""),1997)</f>
        <v>1997</v>
      </c>
      <c r="E2515" s="9">
        <f ca="1">IFERROR(__xludf.DUMMYFUNCTION("""COMPUTED_VALUE"""),35474)</f>
        <v>35474</v>
      </c>
      <c r="F2515" s="8" t="str">
        <f ca="1">IFERROR(__xludf.DUMMYFUNCTION("""COMPUTED_VALUE"""),"Samuel Gompers High School")</f>
        <v>Samuel Gompers High School</v>
      </c>
      <c r="G2515" s="8">
        <f ca="1">IFERROR(__xludf.DUMMYFUNCTION("""COMPUTED_VALUE"""),0)</f>
        <v>0</v>
      </c>
      <c r="H2515" s="8">
        <f ca="1">IFERROR(__xludf.DUMMYFUNCTION("""COMPUTED_VALUE"""),1)</f>
        <v>1</v>
      </c>
      <c r="I2515" s="8">
        <f ca="1">IFERROR(__xludf.DUMMYFUNCTION("""COMPUTED_VALUE"""),1)</f>
        <v>1</v>
      </c>
      <c r="J2515" s="8">
        <f ca="1">IFERROR(__xludf.DUMMYFUNCTION("""COMPUTED_VALUE"""),0)</f>
        <v>0</v>
      </c>
      <c r="K2515" s="10" t="str">
        <f ca="1">IFERROR(__xludf.DUMMYFUNCTION("""COMPUTED_VALUE"""),"https://www.nytimes.com/1997/02/14/nyregion/gunfire-injures-2-students-at-high-schools-in-bronx.html?auth=login-google")</f>
        <v>https://www.nytimes.com/1997/02/14/nyregion/gunfire-injures-2-students-at-high-schools-in-bronx.html?auth=login-google</v>
      </c>
      <c r="L2515" s="8"/>
      <c r="M2515" s="8"/>
      <c r="N2515" s="8">
        <f ca="1">IFERROR(__xludf.DUMMYFUNCTION("""COMPUTED_VALUE"""),3)</f>
        <v>3</v>
      </c>
      <c r="O2515" s="8" t="str">
        <f ca="1">IFERROR(__xludf.DUMMYFUNCTION("""COMPUTED_VALUE"""),"Winter")</f>
        <v>Winter</v>
      </c>
      <c r="P2515" s="8" t="str">
        <f ca="1">IFERROR(__xludf.DUMMYFUNCTION("""COMPUTED_VALUE"""),"Bronx")</f>
        <v>Bronx</v>
      </c>
      <c r="Q2515" s="8" t="str">
        <f ca="1">IFERROR(__xludf.DUMMYFUNCTION("""COMPUTED_VALUE"""),"NY")</f>
        <v>NY</v>
      </c>
      <c r="R2515" s="8" t="str">
        <f ca="1">IFERROR(__xludf.DUMMYFUNCTION("""COMPUTED_VALUE"""),"High")</f>
        <v>High</v>
      </c>
      <c r="S2515" s="8" t="str">
        <f ca="1">IFERROR(__xludf.DUMMYFUNCTION("""COMPUTED_VALUE"""),"Beside Building")</f>
        <v>Beside Building</v>
      </c>
      <c r="T2515" s="8" t="str">
        <f ca="1">IFERROR(__xludf.DUMMYFUNCTION("""COMPUTED_VALUE"""),"Outside on School Property")</f>
        <v>Outside on School Property</v>
      </c>
      <c r="U2515" s="8" t="str">
        <f ca="1">IFERROR(__xludf.DUMMYFUNCTION("""COMPUTED_VALUE"""),"Yes")</f>
        <v>Yes</v>
      </c>
      <c r="V2515" s="8" t="str">
        <f ca="1">IFERROR(__xludf.DUMMYFUNCTION("""COMPUTED_VALUE"""),"Dismissal")</f>
        <v>Dismissal</v>
      </c>
      <c r="W2515" s="8"/>
      <c r="X2515" s="8">
        <f ca="1">IFERROR(__xludf.DUMMYFUNCTION("""COMPUTED_VALUE"""),1)</f>
        <v>1</v>
      </c>
      <c r="Y2515" s="12" t="str">
        <f ca="1">IFERROR(__xludf.DUMMYFUNCTION("""COMPUTED_VALUE"""),"Student shot in leg during fight outside school at dismissal")</f>
        <v>Student shot in leg during fight outside school at dismissal</v>
      </c>
      <c r="Z2515" s="12" t="str">
        <f ca="1">IFERROR(__xludf.DUMMYFUNCTION("""COMPUTED_VALUE"""),"16 year-old male student was shot outside of the school as classes were dismissing during a fight that escalated. Two other students were involved and fled the scene. Police had not made any arrests the evening of the shooting.")</f>
        <v>16 year-old male student was shot outside of the school as classes were dismissing during a fight that escalated. Two other students were involved and fled the scene. Police had not made any arrests the evening of the shooting.</v>
      </c>
      <c r="AA2515" s="8" t="str">
        <f ca="1">IFERROR(__xludf.DUMMYFUNCTION("""COMPUTED_VALUE"""),"Escalation of Dispute")</f>
        <v>Escalation of Dispute</v>
      </c>
      <c r="AB2515" s="8"/>
      <c r="AC2515" s="8"/>
      <c r="AD2515" s="8" t="str">
        <f ca="1">IFERROR(__xludf.DUMMYFUNCTION("""COMPUTED_VALUE"""),"Victims Targeted")</f>
        <v>Victims Targeted</v>
      </c>
      <c r="AE2515" s="8" t="str">
        <f ca="1">IFERROR(__xludf.DUMMYFUNCTION("""COMPUTED_VALUE"""),"Yes")</f>
        <v>Yes</v>
      </c>
      <c r="AF2515" s="8" t="str">
        <f ca="1">IFERROR(__xludf.DUMMYFUNCTION("""COMPUTED_VALUE"""),"Two students fled")</f>
        <v>Two students fled</v>
      </c>
      <c r="AG2515" s="8" t="str">
        <f ca="1">IFERROR(__xludf.DUMMYFUNCTION("""COMPUTED_VALUE"""),"No")</f>
        <v>No</v>
      </c>
      <c r="AH2515" s="8" t="str">
        <f ca="1">IFERROR(__xludf.DUMMYFUNCTION("""COMPUTED_VALUE"""),"No")</f>
        <v>No</v>
      </c>
      <c r="AI2515" s="8" t="str">
        <f ca="1">IFERROR(__xludf.DUMMYFUNCTION("""COMPUTED_VALUE"""),"No")</f>
        <v>No</v>
      </c>
      <c r="AJ2515" s="8" t="str">
        <f ca="1">IFERROR(__xludf.DUMMYFUNCTION("""COMPUTED_VALUE"""),"No")</f>
        <v>No</v>
      </c>
      <c r="AK2515" s="8" t="str">
        <f ca="1">IFERROR(__xludf.DUMMYFUNCTION("""COMPUTED_VALUE"""),"No")</f>
        <v>No</v>
      </c>
      <c r="AL2515" s="8" t="str">
        <f ca="1">IFERROR(__xludf.DUMMYFUNCTION("""COMPUTED_VALUE"""),"No")</f>
        <v>No</v>
      </c>
      <c r="AM2515" s="8" t="str">
        <f ca="1">IFERROR(__xludf.DUMMYFUNCTION("""COMPUTED_VALUE"""),"No")</f>
        <v>No</v>
      </c>
      <c r="AN2515" s="8"/>
      <c r="AO2515" s="8" t="str">
        <f ca="1">IFERROR(__xludf.DUMMYFUNCTION("""COMPUTED_VALUE"""),"No")</f>
        <v>No</v>
      </c>
      <c r="AP2515" s="8"/>
      <c r="AQ2515" s="8" t="str">
        <f ca="1">IFERROR(__xludf.DUMMYFUNCTION("""COMPUTED_VALUE"""),"Unknown")</f>
        <v>Unknown</v>
      </c>
      <c r="AR2515" s="8" t="str">
        <f ca="1">IFERROR(__xludf.DUMMYFUNCTION("""COMPUTED_VALUE"""),"NA")</f>
        <v>NA</v>
      </c>
      <c r="AS2515" s="8">
        <f ca="1">IFERROR(__xludf.DUMMYFUNCTION("""COMPUTED_VALUE"""),1)</f>
        <v>1</v>
      </c>
      <c r="AT2515" s="8"/>
      <c r="AU2515" s="8">
        <f ca="1">IFERROR(__xludf.DUMMYFUNCTION("""COMPUTED_VALUE"""),40.810455)</f>
        <v>40.810454999999997</v>
      </c>
      <c r="AV2515" s="8">
        <f ca="1">IFERROR(__xludf.DUMMYFUNCTION("""COMPUTED_VALUE"""),-73.907667)</f>
        <v>-73.907667000000004</v>
      </c>
      <c r="AW2515" s="8"/>
      <c r="AX2515" s="8">
        <f ca="1">IFERROR(__xludf.DUMMYFUNCTION("""COMPUTED_VALUE"""),10455)</f>
        <v>10455</v>
      </c>
    </row>
    <row r="2516" spans="1:50" ht="90" x14ac:dyDescent="0.2">
      <c r="A2516" s="8" t="str">
        <f ca="1">IFERROR(__xludf.DUMMYFUNCTION("""COMPUTED_VALUE"""),"19970213NYMOB")</f>
        <v>19970213NYMOB</v>
      </c>
      <c r="B2516" s="8">
        <f ca="1">IFERROR(__xludf.DUMMYFUNCTION("""COMPUTED_VALUE"""),2)</f>
        <v>2</v>
      </c>
      <c r="C2516" s="8">
        <f ca="1">IFERROR(__xludf.DUMMYFUNCTION("""COMPUTED_VALUE"""),13)</f>
        <v>13</v>
      </c>
      <c r="D2516" s="8">
        <f ca="1">IFERROR(__xludf.DUMMYFUNCTION("""COMPUTED_VALUE"""),1997)</f>
        <v>1997</v>
      </c>
      <c r="E2516" s="9">
        <f ca="1">IFERROR(__xludf.DUMMYFUNCTION("""COMPUTED_VALUE"""),35474)</f>
        <v>35474</v>
      </c>
      <c r="F2516" s="8" t="str">
        <f ca="1">IFERROR(__xludf.DUMMYFUNCTION("""COMPUTED_VALUE"""),"Morris High School")</f>
        <v>Morris High School</v>
      </c>
      <c r="G2516" s="8">
        <f ca="1">IFERROR(__xludf.DUMMYFUNCTION("""COMPUTED_VALUE"""),0)</f>
        <v>0</v>
      </c>
      <c r="H2516" s="8">
        <f ca="1">IFERROR(__xludf.DUMMYFUNCTION("""COMPUTED_VALUE"""),1)</f>
        <v>1</v>
      </c>
      <c r="I2516" s="8">
        <f ca="1">IFERROR(__xludf.DUMMYFUNCTION("""COMPUTED_VALUE"""),1)</f>
        <v>1</v>
      </c>
      <c r="J2516" s="8">
        <f ca="1">IFERROR(__xludf.DUMMYFUNCTION("""COMPUTED_VALUE"""),0)</f>
        <v>0</v>
      </c>
      <c r="K2516" s="10" t="str">
        <f ca="1">IFERROR(__xludf.DUMMYFUNCTION("""COMPUTED_VALUE"""),"https://www.nytimes.com/1997/02/14/nyregion/gunfire-injures-2-students-at-high-schools-in-bronx.html?auth=login-google")</f>
        <v>https://www.nytimes.com/1997/02/14/nyregion/gunfire-injures-2-students-at-high-schools-in-bronx.html?auth=login-google</v>
      </c>
      <c r="L2516" s="8"/>
      <c r="M2516" s="8"/>
      <c r="N2516" s="8">
        <f ca="1">IFERROR(__xludf.DUMMYFUNCTION("""COMPUTED_VALUE"""),3)</f>
        <v>3</v>
      </c>
      <c r="O2516" s="8" t="str">
        <f ca="1">IFERROR(__xludf.DUMMYFUNCTION("""COMPUTED_VALUE"""),"Winter")</f>
        <v>Winter</v>
      </c>
      <c r="P2516" s="8" t="str">
        <f ca="1">IFERROR(__xludf.DUMMYFUNCTION("""COMPUTED_VALUE"""),"Bronx")</f>
        <v>Bronx</v>
      </c>
      <c r="Q2516" s="8" t="str">
        <f ca="1">IFERROR(__xludf.DUMMYFUNCTION("""COMPUTED_VALUE"""),"NY")</f>
        <v>NY</v>
      </c>
      <c r="R2516" s="8" t="str">
        <f ca="1">IFERROR(__xludf.DUMMYFUNCTION("""COMPUTED_VALUE"""),"High")</f>
        <v>High</v>
      </c>
      <c r="S2516" s="8" t="str">
        <f ca="1">IFERROR(__xludf.DUMMYFUNCTION("""COMPUTED_VALUE"""),"Hallway")</f>
        <v>Hallway</v>
      </c>
      <c r="T2516" s="8" t="str">
        <f ca="1">IFERROR(__xludf.DUMMYFUNCTION("""COMPUTED_VALUE"""),"Inside School Building")</f>
        <v>Inside School Building</v>
      </c>
      <c r="U2516" s="8" t="str">
        <f ca="1">IFERROR(__xludf.DUMMYFUNCTION("""COMPUTED_VALUE"""),"Yes")</f>
        <v>Yes</v>
      </c>
      <c r="V2516" s="8" t="str">
        <f ca="1">IFERROR(__xludf.DUMMYFUNCTION("""COMPUTED_VALUE"""),"Morning Classes")</f>
        <v>Morning Classes</v>
      </c>
      <c r="W2516" s="8"/>
      <c r="X2516" s="8">
        <f ca="1">IFERROR(__xludf.DUMMYFUNCTION("""COMPUTED_VALUE"""),1)</f>
        <v>1</v>
      </c>
      <c r="Y2516" s="12" t="str">
        <f ca="1">IFERROR(__xludf.DUMMYFUNCTION("""COMPUTED_VALUE"""),"Accidental discharge while showing off gun")</f>
        <v>Accidental discharge while showing off gun</v>
      </c>
      <c r="Z2516" s="12" t="str">
        <f ca="1">IFERROR(__xludf.DUMMYFUNCTION("""COMPUTED_VALUE"""),"17 year-old male student showing off a handgun accidentally shot another 17 year-old male student in the leg. The shooter passed the gun to another student who then gave it to a female student who hid it in her locker. Unknown if the shooter fled the scen"&amp;"e or was arrested at the school.")</f>
        <v>17 year-old male student showing off a handgun accidentally shot another 17 year-old male student in the leg. The shooter passed the gun to another student who then gave it to a female student who hid it in her locker. Unknown if the shooter fled the scene or was arrested at the school.</v>
      </c>
      <c r="AA2516" s="8" t="str">
        <f ca="1">IFERROR(__xludf.DUMMYFUNCTION("""COMPUTED_VALUE"""),"Accidental")</f>
        <v>Accidental</v>
      </c>
      <c r="AB2516" s="8"/>
      <c r="AC2516" s="8"/>
      <c r="AD2516" s="8" t="str">
        <f ca="1">IFERROR(__xludf.DUMMYFUNCTION("""COMPUTED_VALUE"""),"Random Shooting")</f>
        <v>Random Shooting</v>
      </c>
      <c r="AE2516" s="8" t="str">
        <f ca="1">IFERROR(__xludf.DUMMYFUNCTION("""COMPUTED_VALUE"""),"Yes")</f>
        <v>Yes</v>
      </c>
      <c r="AF2516" s="8" t="str">
        <f ca="1">IFERROR(__xludf.DUMMYFUNCTION("""COMPUTED_VALUE"""),"Two other 17-year-old students were also arrested on weapons charges in the incident: Pedro Rodriguez, who the police said picked up the gun after it went off, and Diana Rodriguez, who they said hid it in a backpack inside her locker.")</f>
        <v>Two other 17-year-old students were also arrested on weapons charges in the incident: Pedro Rodriguez, who the police said picked up the gun after it went off, and Diana Rodriguez, who they said hid it in a backpack inside her locker.</v>
      </c>
      <c r="AG2516" s="8" t="str">
        <f ca="1">IFERROR(__xludf.DUMMYFUNCTION("""COMPUTED_VALUE"""),"No")</f>
        <v>No</v>
      </c>
      <c r="AH2516" s="8" t="str">
        <f ca="1">IFERROR(__xludf.DUMMYFUNCTION("""COMPUTED_VALUE"""),"No")</f>
        <v>No</v>
      </c>
      <c r="AI2516" s="8" t="str">
        <f ca="1">IFERROR(__xludf.DUMMYFUNCTION("""COMPUTED_VALUE"""),"No")</f>
        <v>No</v>
      </c>
      <c r="AJ2516" s="8" t="str">
        <f ca="1">IFERROR(__xludf.DUMMYFUNCTION("""COMPUTED_VALUE"""),"No")</f>
        <v>No</v>
      </c>
      <c r="AK2516" s="8" t="str">
        <f ca="1">IFERROR(__xludf.DUMMYFUNCTION("""COMPUTED_VALUE"""),"No")</f>
        <v>No</v>
      </c>
      <c r="AL2516" s="8" t="str">
        <f ca="1">IFERROR(__xludf.DUMMYFUNCTION("""COMPUTED_VALUE"""),"No")</f>
        <v>No</v>
      </c>
      <c r="AM2516" s="8" t="str">
        <f ca="1">IFERROR(__xludf.DUMMYFUNCTION("""COMPUTED_VALUE"""),"No")</f>
        <v>No</v>
      </c>
      <c r="AN2516" s="8"/>
      <c r="AO2516" s="8" t="str">
        <f ca="1">IFERROR(__xludf.DUMMYFUNCTION("""COMPUTED_VALUE"""),"No")</f>
        <v>No</v>
      </c>
      <c r="AP2516" s="8"/>
      <c r="AQ2516" s="8" t="str">
        <f ca="1">IFERROR(__xludf.DUMMYFUNCTION("""COMPUTED_VALUE"""),"Metal Detectors")</f>
        <v>Metal Detectors</v>
      </c>
      <c r="AR2516" s="8" t="str">
        <f ca="1">IFERROR(__xludf.DUMMYFUNCTION("""COMPUTED_VALUE"""),"Bypassed")</f>
        <v>Bypassed</v>
      </c>
      <c r="AS2516" s="8">
        <f ca="1">IFERROR(__xludf.DUMMYFUNCTION("""COMPUTED_VALUE"""),1)</f>
        <v>1</v>
      </c>
      <c r="AT2516" s="8"/>
      <c r="AU2516" s="8">
        <f ca="1">IFERROR(__xludf.DUMMYFUNCTION("""COMPUTED_VALUE"""),40.827197)</f>
        <v>40.827196999999998</v>
      </c>
      <c r="AV2516" s="8">
        <f ca="1">IFERROR(__xludf.DUMMYFUNCTION("""COMPUTED_VALUE"""),-73.903785)</f>
        <v>-73.903784999999999</v>
      </c>
      <c r="AW2516" s="8"/>
      <c r="AX2516" s="8">
        <f ca="1">IFERROR(__xludf.DUMMYFUNCTION("""COMPUTED_VALUE"""),10456)</f>
        <v>10456</v>
      </c>
    </row>
    <row r="2517" spans="1:50" ht="105" x14ac:dyDescent="0.2">
      <c r="A2517" s="8" t="str">
        <f ca="1">IFERROR(__xludf.DUMMYFUNCTION("""COMPUTED_VALUE"""),"19970206MSWIJ")</f>
        <v>19970206MSWIJ</v>
      </c>
      <c r="B2517" s="8">
        <f ca="1">IFERROR(__xludf.DUMMYFUNCTION("""COMPUTED_VALUE"""),2)</f>
        <v>2</v>
      </c>
      <c r="C2517" s="8">
        <f ca="1">IFERROR(__xludf.DUMMYFUNCTION("""COMPUTED_VALUE"""),6)</f>
        <v>6</v>
      </c>
      <c r="D2517" s="8">
        <f ca="1">IFERROR(__xludf.DUMMYFUNCTION("""COMPUTED_VALUE"""),1997)</f>
        <v>1997</v>
      </c>
      <c r="E2517" s="9">
        <f ca="1">IFERROR(__xludf.DUMMYFUNCTION("""COMPUTED_VALUE"""),35467)</f>
        <v>35467</v>
      </c>
      <c r="F2517" s="8" t="str">
        <f ca="1">IFERROR(__xludf.DUMMYFUNCTION("""COMPUTED_VALUE"""),"Wingfield High School")</f>
        <v>Wingfield High School</v>
      </c>
      <c r="G2517" s="8">
        <f ca="1">IFERROR(__xludf.DUMMYFUNCTION("""COMPUTED_VALUE"""),0)</f>
        <v>0</v>
      </c>
      <c r="H2517" s="8">
        <f ca="1">IFERROR(__xludf.DUMMYFUNCTION("""COMPUTED_VALUE"""),1)</f>
        <v>1</v>
      </c>
      <c r="I2517" s="8">
        <f ca="1">IFERROR(__xludf.DUMMYFUNCTION("""COMPUTED_VALUE"""),1)</f>
        <v>1</v>
      </c>
      <c r="J2517" s="8">
        <f ca="1">IFERROR(__xludf.DUMMYFUNCTION("""COMPUTED_VALUE"""),0)</f>
        <v>0</v>
      </c>
      <c r="K2517" s="8" t="str">
        <f ca="1">IFERROR(__xludf.DUMMYFUNCTION("""COMPUTED_VALUE"""),"https://www.newspapers.com/image/185722691/; https://www.newspapers.com/image/183851723/; https://www.newspapers.com/image/185818590/?terms=elliot%2Bcrosby")</f>
        <v>https://www.newspapers.com/image/185722691/; https://www.newspapers.com/image/183851723/; https://www.newspapers.com/image/185818590/?terms=elliot%2Bcrosby</v>
      </c>
      <c r="L2517" s="8"/>
      <c r="M2517" s="8"/>
      <c r="N2517" s="8">
        <f ca="1">IFERROR(__xludf.DUMMYFUNCTION("""COMPUTED_VALUE"""),3)</f>
        <v>3</v>
      </c>
      <c r="O2517" s="8" t="str">
        <f ca="1">IFERROR(__xludf.DUMMYFUNCTION("""COMPUTED_VALUE"""),"Winter")</f>
        <v>Winter</v>
      </c>
      <c r="P2517" s="8" t="str">
        <f ca="1">IFERROR(__xludf.DUMMYFUNCTION("""COMPUTED_VALUE"""),"Jackson")</f>
        <v>Jackson</v>
      </c>
      <c r="Q2517" s="8" t="str">
        <f ca="1">IFERROR(__xludf.DUMMYFUNCTION("""COMPUTED_VALUE"""),"MS")</f>
        <v>MS</v>
      </c>
      <c r="R2517" s="8" t="str">
        <f ca="1">IFERROR(__xludf.DUMMYFUNCTION("""COMPUTED_VALUE"""),"High")</f>
        <v>High</v>
      </c>
      <c r="S2517" s="8" t="str">
        <f ca="1">IFERROR(__xludf.DUMMYFUNCTION("""COMPUTED_VALUE"""),"Parking Lot")</f>
        <v>Parking Lot</v>
      </c>
      <c r="T2517" s="8" t="str">
        <f ca="1">IFERROR(__xludf.DUMMYFUNCTION("""COMPUTED_VALUE"""),"Off School Property")</f>
        <v>Off School Property</v>
      </c>
      <c r="U2517" s="8" t="str">
        <f ca="1">IFERROR(__xludf.DUMMYFUNCTION("""COMPUTED_VALUE"""),"Yes")</f>
        <v>Yes</v>
      </c>
      <c r="V2517" s="8" t="str">
        <f ca="1">IFERROR(__xludf.DUMMYFUNCTION("""COMPUTED_VALUE"""),"Before School")</f>
        <v>Before School</v>
      </c>
      <c r="W2517" s="11">
        <f ca="1">IFERROR(__xludf.DUMMYFUNCTION("""COMPUTED_VALUE"""),0.354166666666666)</f>
        <v>0.35416666666666602</v>
      </c>
      <c r="X2517" s="8">
        <f ca="1">IFERROR(__xludf.DUMMYFUNCTION("""COMPUTED_VALUE"""),1)</f>
        <v>1</v>
      </c>
      <c r="Y2517" s="12" t="str">
        <f ca="1">IFERROR(__xludf.DUMMYFUNCTION("""COMPUTED_VALUE"""),"Escalation of argument")</f>
        <v>Escalation of argument</v>
      </c>
      <c r="Z2517" s="12" t="str">
        <f ca="1">IFERROR(__xludf.DUMMYFUNCTION("""COMPUTED_VALUE"""),"Victim previously got into altercation with shooter over a stolen radio. On the day of the shooting, victim was walking toward school from the school parking lot across the street. At 8:30 AM the shooter - who was the passenger in a car - pulled up to whe"&amp;"re victim was walking and jumped out, then shooting the victim multiple times. The shooter then fled, but was later arrested and charged.")</f>
        <v>Victim previously got into altercation with shooter over a stolen radio. On the day of the shooting, victim was walking toward school from the school parking lot across the street. At 8:30 AM the shooter - who was the passenger in a car - pulled up to where victim was walking and jumped out, then shooting the victim multiple times. The shooter then fled, but was later arrested and charged.</v>
      </c>
      <c r="AA2517" s="8" t="str">
        <f ca="1">IFERROR(__xludf.DUMMYFUNCTION("""COMPUTED_VALUE"""),"Escalation of Dispute")</f>
        <v>Escalation of Dispute</v>
      </c>
      <c r="AB2517" s="8"/>
      <c r="AC2517" s="8"/>
      <c r="AD2517" s="8" t="str">
        <f ca="1">IFERROR(__xludf.DUMMYFUNCTION("""COMPUTED_VALUE"""),"Victims Targeted")</f>
        <v>Victims Targeted</v>
      </c>
      <c r="AE2517" s="8" t="str">
        <f ca="1">IFERROR(__xludf.DUMMYFUNCTION("""COMPUTED_VALUE"""),"No")</f>
        <v>No</v>
      </c>
      <c r="AF2517" s="8"/>
      <c r="AG2517" s="8" t="str">
        <f ca="1">IFERROR(__xludf.DUMMYFUNCTION("""COMPUTED_VALUE"""),"No")</f>
        <v>No</v>
      </c>
      <c r="AH2517" s="8" t="str">
        <f ca="1">IFERROR(__xludf.DUMMYFUNCTION("""COMPUTED_VALUE"""),"No")</f>
        <v>No</v>
      </c>
      <c r="AI2517" s="8" t="str">
        <f ca="1">IFERROR(__xludf.DUMMYFUNCTION("""COMPUTED_VALUE"""),"No")</f>
        <v>No</v>
      </c>
      <c r="AJ2517" s="8" t="str">
        <f ca="1">IFERROR(__xludf.DUMMYFUNCTION("""COMPUTED_VALUE"""),"No")</f>
        <v>No</v>
      </c>
      <c r="AK2517" s="8" t="str">
        <f ca="1">IFERROR(__xludf.DUMMYFUNCTION("""COMPUTED_VALUE"""),"No")</f>
        <v>No</v>
      </c>
      <c r="AL2517" s="8" t="str">
        <f ca="1">IFERROR(__xludf.DUMMYFUNCTION("""COMPUTED_VALUE"""),"No")</f>
        <v>No</v>
      </c>
      <c r="AM2517" s="8" t="str">
        <f ca="1">IFERROR(__xludf.DUMMYFUNCTION("""COMPUTED_VALUE"""),"No")</f>
        <v>No</v>
      </c>
      <c r="AN2517" s="8"/>
      <c r="AO2517" s="8" t="str">
        <f ca="1">IFERROR(__xludf.DUMMYFUNCTION("""COMPUTED_VALUE"""),"No")</f>
        <v>No</v>
      </c>
      <c r="AP2517" s="8"/>
      <c r="AQ2517" s="8" t="str">
        <f ca="1">IFERROR(__xludf.DUMMYFUNCTION("""COMPUTED_VALUE"""),"Unknown")</f>
        <v>Unknown</v>
      </c>
      <c r="AR2517" s="8" t="str">
        <f ca="1">IFERROR(__xludf.DUMMYFUNCTION("""COMPUTED_VALUE"""),"NA")</f>
        <v>NA</v>
      </c>
      <c r="AS2517" s="8">
        <f ca="1">IFERROR(__xludf.DUMMYFUNCTION("""COMPUTED_VALUE"""),2)</f>
        <v>2</v>
      </c>
      <c r="AT2517" s="8"/>
      <c r="AU2517" s="8">
        <f ca="1">IFERROR(__xludf.DUMMYFUNCTION("""COMPUTED_VALUE"""),32.279983)</f>
        <v>32.279983000000001</v>
      </c>
      <c r="AV2517" s="8">
        <f ca="1">IFERROR(__xludf.DUMMYFUNCTION("""COMPUTED_VALUE"""),-90.241944)</f>
        <v>-90.241944000000004</v>
      </c>
      <c r="AW2517" s="8"/>
      <c r="AX2517" s="8">
        <f ca="1">IFERROR(__xludf.DUMMYFUNCTION("""COMPUTED_VALUE"""),39204)</f>
        <v>39204</v>
      </c>
    </row>
    <row r="2518" spans="1:50" ht="135" x14ac:dyDescent="0.2">
      <c r="A2518" s="8" t="str">
        <f ca="1">IFERROR(__xludf.DUMMYFUNCTION("""COMPUTED_VALUE"""),"19970127FLCOW")</f>
        <v>19970127FLCOW</v>
      </c>
      <c r="B2518" s="8">
        <f ca="1">IFERROR(__xludf.DUMMYFUNCTION("""COMPUTED_VALUE"""),1)</f>
        <v>1</v>
      </c>
      <c r="C2518" s="8">
        <f ca="1">IFERROR(__xludf.DUMMYFUNCTION("""COMPUTED_VALUE"""),27)</f>
        <v>27</v>
      </c>
      <c r="D2518" s="8">
        <f ca="1">IFERROR(__xludf.DUMMYFUNCTION("""COMPUTED_VALUE"""),1997)</f>
        <v>1997</v>
      </c>
      <c r="E2518" s="9">
        <f ca="1">IFERROR(__xludf.DUMMYFUNCTION("""COMPUTED_VALUE"""),35457)</f>
        <v>35457</v>
      </c>
      <c r="F2518" s="8" t="str">
        <f ca="1">IFERROR(__xludf.DUMMYFUNCTION("""COMPUTED_VALUE"""),"Conniston Middle School")</f>
        <v>Conniston Middle School</v>
      </c>
      <c r="G2518" s="8">
        <f ca="1">IFERROR(__xludf.DUMMYFUNCTION("""COMPUTED_VALUE"""),1)</f>
        <v>1</v>
      </c>
      <c r="H2518" s="8">
        <f ca="1">IFERROR(__xludf.DUMMYFUNCTION("""COMPUTED_VALUE"""),0)</f>
        <v>0</v>
      </c>
      <c r="I2518" s="8">
        <f ca="1">IFERROR(__xludf.DUMMYFUNCTION("""COMPUTED_VALUE"""),1)</f>
        <v>1</v>
      </c>
      <c r="J2518" s="8">
        <f ca="1">IFERROR(__xludf.DUMMYFUNCTION("""COMPUTED_VALUE"""),0)</f>
        <v>0</v>
      </c>
      <c r="K2518" s="8" t="str">
        <f ca="1">IFERROR(__xludf.DUMMYFUNCTION("""COMPUTED_VALUE"""),"http://articles.sun-sentinel.com/1997-01-28/news/9701280066_1_school-day-conniston-middle-school-police https://www.sun-sentinel.com/news/florida/fl-reg-claims-bills-2018-story.html")</f>
        <v>http://articles.sun-sentinel.com/1997-01-28/news/9701280066_1_school-day-conniston-middle-school-police https://www.sun-sentinel.com/news/florida/fl-reg-claims-bills-2018-story.html</v>
      </c>
      <c r="L2518" s="8"/>
      <c r="M2518" s="8"/>
      <c r="N2518" s="8">
        <f ca="1">IFERROR(__xludf.DUMMYFUNCTION("""COMPUTED_VALUE"""),2)</f>
        <v>2</v>
      </c>
      <c r="O2518" s="8" t="str">
        <f ca="1">IFERROR(__xludf.DUMMYFUNCTION("""COMPUTED_VALUE"""),"Winter")</f>
        <v>Winter</v>
      </c>
      <c r="P2518" s="8" t="str">
        <f ca="1">IFERROR(__xludf.DUMMYFUNCTION("""COMPUTED_VALUE"""),"West Palm Beach")</f>
        <v>West Palm Beach</v>
      </c>
      <c r="Q2518" s="8" t="str">
        <f ca="1">IFERROR(__xludf.DUMMYFUNCTION("""COMPUTED_VALUE"""),"FL")</f>
        <v>FL</v>
      </c>
      <c r="R2518" s="8" t="str">
        <f ca="1">IFERROR(__xludf.DUMMYFUNCTION("""COMPUTED_VALUE"""),"Middle")</f>
        <v>Middle</v>
      </c>
      <c r="S2518" s="8" t="str">
        <f ca="1">IFERROR(__xludf.DUMMYFUNCTION("""COMPUTED_VALUE"""),"Front of School")</f>
        <v>Front of School</v>
      </c>
      <c r="T2518" s="8" t="str">
        <f ca="1">IFERROR(__xludf.DUMMYFUNCTION("""COMPUTED_VALUE"""),"Outside on School Property")</f>
        <v>Outside on School Property</v>
      </c>
      <c r="U2518" s="8" t="str">
        <f ca="1">IFERROR(__xludf.DUMMYFUNCTION("""COMPUTED_VALUE"""),"Yes")</f>
        <v>Yes</v>
      </c>
      <c r="V2518" s="8" t="str">
        <f ca="1">IFERROR(__xludf.DUMMYFUNCTION("""COMPUTED_VALUE"""),"Before School")</f>
        <v>Before School</v>
      </c>
      <c r="W2518" s="11">
        <f ca="1">IFERROR(__xludf.DUMMYFUNCTION("""COMPUTED_VALUE"""),0.361111111111111)</f>
        <v>0.36111111111111099</v>
      </c>
      <c r="X2518" s="8">
        <f ca="1">IFERROR(__xludf.DUMMYFUNCTION("""COMPUTED_VALUE"""),1)</f>
        <v>1</v>
      </c>
      <c r="Y2518" s="12" t="str">
        <f ca="1">IFERROR(__xludf.DUMMYFUNCTION("""COMPUTED_VALUE"""),"Shooter had a history of bullying victim, ongoing debt, fight over watch, shot victim before school started")</f>
        <v>Shooter had a history of bullying victim, ongoing debt, fight over watch, shot victim before school started</v>
      </c>
      <c r="Z2518" s="12" t="str">
        <f ca="1">IFERROR(__xludf.DUMMYFUNCTION("""COMPUTED_VALUE"""),"Students claim the shooter had brought a gun onto school grounds before incident, however, teachers were not aware. Victim was wearing a watch that his mother had gotten him from India. There was a debt and an ongoing feud between the shooter and the vict"&amp;"im. The shooter wanted the victim's watch as payment for the debt, a fight started, and the shooter killed the victim. Incident happened in the school just before classes started. Shooter fled the area and hid the gun under a portable classroom at the edg"&amp;"e of campus.")</f>
        <v>Students claim the shooter had brought a gun onto school grounds before incident, however, teachers were not aware. Victim was wearing a watch that his mother had gotten him from India. There was a debt and an ongoing feud between the shooter and the victim. The shooter wanted the victim's watch as payment for the debt, a fight started, and the shooter killed the victim. Incident happened in the school just before classes started. Shooter fled the area and hid the gun under a portable classroom at the edge of campus.</v>
      </c>
      <c r="AA2518" s="8" t="str">
        <f ca="1">IFERROR(__xludf.DUMMYFUNCTION("""COMPUTED_VALUE"""),"Escalation of Dispute")</f>
        <v>Escalation of Dispute</v>
      </c>
      <c r="AB2518" s="8"/>
      <c r="AC2518" s="8"/>
      <c r="AD2518" s="8" t="str">
        <f ca="1">IFERROR(__xludf.DUMMYFUNCTION("""COMPUTED_VALUE"""),"Victims Targeted")</f>
        <v>Victims Targeted</v>
      </c>
      <c r="AE2518" s="8" t="str">
        <f ca="1">IFERROR(__xludf.DUMMYFUNCTION("""COMPUTED_VALUE"""),"No")</f>
        <v>No</v>
      </c>
      <c r="AF2518" s="8"/>
      <c r="AG2518" s="8" t="str">
        <f ca="1">IFERROR(__xludf.DUMMYFUNCTION("""COMPUTED_VALUE"""),"No")</f>
        <v>No</v>
      </c>
      <c r="AH2518" s="8" t="str">
        <f ca="1">IFERROR(__xludf.DUMMYFUNCTION("""COMPUTED_VALUE"""),"No")</f>
        <v>No</v>
      </c>
      <c r="AI2518" s="8" t="str">
        <f ca="1">IFERROR(__xludf.DUMMYFUNCTION("""COMPUTED_VALUE"""),"No")</f>
        <v>No</v>
      </c>
      <c r="AJ2518" s="8" t="str">
        <f ca="1">IFERROR(__xludf.DUMMYFUNCTION("""COMPUTED_VALUE"""),"No")</f>
        <v>No</v>
      </c>
      <c r="AK2518" s="8" t="str">
        <f ca="1">IFERROR(__xludf.DUMMYFUNCTION("""COMPUTED_VALUE"""),"No")</f>
        <v>No</v>
      </c>
      <c r="AL2518" s="8" t="str">
        <f ca="1">IFERROR(__xludf.DUMMYFUNCTION("""COMPUTED_VALUE"""),"No")</f>
        <v>No</v>
      </c>
      <c r="AM2518" s="8"/>
      <c r="AN2518" s="8"/>
      <c r="AO2518" s="8" t="str">
        <f ca="1">IFERROR(__xludf.DUMMYFUNCTION("""COMPUTED_VALUE"""),"No")</f>
        <v>No</v>
      </c>
      <c r="AP2518" s="8" t="str">
        <f ca="1">IFERROR(__xludf.DUMMYFUNCTION("""COMPUTED_VALUE"""),"Yes")</f>
        <v>Yes</v>
      </c>
      <c r="AQ2518" s="8" t="str">
        <f ca="1">IFERROR(__xludf.DUMMYFUNCTION("""COMPUTED_VALUE"""),"Unknown")</f>
        <v>Unknown</v>
      </c>
      <c r="AR2518" s="8" t="str">
        <f ca="1">IFERROR(__xludf.DUMMYFUNCTION("""COMPUTED_VALUE"""),"NA")</f>
        <v>NA</v>
      </c>
      <c r="AS2518" s="8"/>
      <c r="AT2518" s="8"/>
      <c r="AU2518" s="8">
        <f ca="1">IFERROR(__xludf.DUMMYFUNCTION("""COMPUTED_VALUE"""),26.678059)</f>
        <v>26.678059000000001</v>
      </c>
      <c r="AV2518" s="8">
        <f ca="1">IFERROR(__xludf.DUMMYFUNCTION("""COMPUTED_VALUE"""),-80.061641)</f>
        <v>-80.061640999999995</v>
      </c>
      <c r="AW2518" s="8"/>
      <c r="AX2518" s="8">
        <f ca="1">IFERROR(__xludf.DUMMYFUNCTION("""COMPUTED_VALUE"""),33405)</f>
        <v>33405</v>
      </c>
    </row>
    <row r="2519" spans="1:50" ht="180" x14ac:dyDescent="0.2">
      <c r="A2519" s="8" t="str">
        <f ca="1">IFERROR(__xludf.DUMMYFUNCTION("""COMPUTED_VALUE"""),"19970108NYCRN")</f>
        <v>19970108NYCRN</v>
      </c>
      <c r="B2519" s="8">
        <f ca="1">IFERROR(__xludf.DUMMYFUNCTION("""COMPUTED_VALUE"""),1)</f>
        <v>1</v>
      </c>
      <c r="C2519" s="8">
        <f ca="1">IFERROR(__xludf.DUMMYFUNCTION("""COMPUTED_VALUE"""),8)</f>
        <v>8</v>
      </c>
      <c r="D2519" s="8">
        <f ca="1">IFERROR(__xludf.DUMMYFUNCTION("""COMPUTED_VALUE"""),1997)</f>
        <v>1997</v>
      </c>
      <c r="E2519" s="9">
        <f ca="1">IFERROR(__xludf.DUMMYFUNCTION("""COMPUTED_VALUE"""),35438)</f>
        <v>35438</v>
      </c>
      <c r="F2519" s="8" t="str">
        <f ca="1">IFERROR(__xludf.DUMMYFUNCTION("""COMPUTED_VALUE"""),"Crown Heights High School")</f>
        <v>Crown Heights High School</v>
      </c>
      <c r="G2519" s="8">
        <f ca="1">IFERROR(__xludf.DUMMYFUNCTION("""COMPUTED_VALUE"""),1)</f>
        <v>1</v>
      </c>
      <c r="H2519" s="8">
        <f ca="1">IFERROR(__xludf.DUMMYFUNCTION("""COMPUTED_VALUE"""),3)</f>
        <v>3</v>
      </c>
      <c r="I2519" s="8">
        <f ca="1">IFERROR(__xludf.DUMMYFUNCTION("""COMPUTED_VALUE"""),4)</f>
        <v>4</v>
      </c>
      <c r="J2519" s="8">
        <f ca="1">IFERROR(__xludf.DUMMYFUNCTION("""COMPUTED_VALUE"""),0)</f>
        <v>0</v>
      </c>
      <c r="K2519" s="8" t="str">
        <f ca="1">IFERROR(__xludf.DUMMYFUNCTION("""COMPUTED_VALUE"""),"https://www.nytimes.com/1997/01/09/nyregion/4-students-shot-near-a-school-in-brooklyn.html https://www.nytimes.com/1997/01/10/nyregion/3-brothers-arrested-in-shooting-near-brooklyn-school.html https://www.nytimes.com/1997/01/11/nyregion/1-youth-dies-3-cou"&amp;"ld-face-murder-counts.html https://casetext.com/case/soto-v-miller")</f>
        <v>https://www.nytimes.com/1997/01/09/nyregion/4-students-shot-near-a-school-in-brooklyn.html https://www.nytimes.com/1997/01/10/nyregion/3-brothers-arrested-in-shooting-near-brooklyn-school.html https://www.nytimes.com/1997/01/11/nyregion/1-youth-dies-3-could-face-murder-counts.html https://casetext.com/case/soto-v-miller</v>
      </c>
      <c r="L2519" s="8"/>
      <c r="M2519" s="8"/>
      <c r="N2519" s="8">
        <f ca="1">IFERROR(__xludf.DUMMYFUNCTION("""COMPUTED_VALUE"""),2)</f>
        <v>2</v>
      </c>
      <c r="O2519" s="8" t="str">
        <f ca="1">IFERROR(__xludf.DUMMYFUNCTION("""COMPUTED_VALUE"""),"Winter")</f>
        <v>Winter</v>
      </c>
      <c r="P2519" s="8" t="str">
        <f ca="1">IFERROR(__xludf.DUMMYFUNCTION("""COMPUTED_VALUE"""),"New York")</f>
        <v>New York</v>
      </c>
      <c r="Q2519" s="8" t="str">
        <f ca="1">IFERROR(__xludf.DUMMYFUNCTION("""COMPUTED_VALUE"""),"NY")</f>
        <v>NY</v>
      </c>
      <c r="R2519" s="8" t="str">
        <f ca="1">IFERROR(__xludf.DUMMYFUNCTION("""COMPUTED_VALUE"""),"High")</f>
        <v>High</v>
      </c>
      <c r="S2519" s="8" t="str">
        <f ca="1">IFERROR(__xludf.DUMMYFUNCTION("""COMPUTED_VALUE"""),"Basketball Court")</f>
        <v>Basketball Court</v>
      </c>
      <c r="T2519" s="8" t="str">
        <f ca="1">IFERROR(__xludf.DUMMYFUNCTION("""COMPUTED_VALUE"""),"Off School Property")</f>
        <v>Off School Property</v>
      </c>
      <c r="U2519" s="8" t="str">
        <f ca="1">IFERROR(__xludf.DUMMYFUNCTION("""COMPUTED_VALUE"""),"Yes")</f>
        <v>Yes</v>
      </c>
      <c r="V2519" s="8" t="str">
        <f ca="1">IFERROR(__xludf.DUMMYFUNCTION("""COMPUTED_VALUE"""),"Afternoon Classes")</f>
        <v>Afternoon Classes</v>
      </c>
      <c r="W2519" s="11">
        <f ca="1">IFERROR(__xludf.DUMMYFUNCTION("""COMPUTED_VALUE"""),0.552083333333333)</f>
        <v>0.55208333333333304</v>
      </c>
      <c r="X2519" s="8">
        <f ca="1">IFERROR(__xludf.DUMMYFUNCTION("""COMPUTED_VALUE"""),1)</f>
        <v>1</v>
      </c>
      <c r="Y2519" s="12" t="str">
        <f ca="1">IFERROR(__xludf.DUMMYFUNCTION("""COMPUTED_VALUE"""),"Argument earlier in the day, continued later that afternoon, shots fired on basketball court (not on school property)")</f>
        <v>Argument earlier in the day, continued later that afternoon, shots fired on basketball court (not on school property)</v>
      </c>
      <c r="Z2519" s="12" t="str">
        <f ca="1">IFERROR(__xludf.DUMMYFUNCTION("""COMPUTED_VALUE"""),"A fight between multiple students from rival high schools (South Shore High school and George W Wingate High School) happened the morning of the shooting. Later that afternoon around 1:15 PM the 4 victims were at a basketball court outside of George W Win"&amp;"gate High School when they were approached by 3 shooters. One 18 year-old male was killed, two 15 year-old males and one 16 year-old male were injured. The 3 shooters  (two 18 year-old males and one 21 year-old male) fled the scene and were brought in by "&amp;"police the next day and charged with attempted murder, assault, reckless endangerment, and criminal possession of a weapon.")</f>
        <v>A fight between multiple students from rival high schools (South Shore High school and George W Wingate High School) happened the morning of the shooting. Later that afternoon around 1:15 PM the 4 victims were at a basketball court outside of George W Wingate High School when they were approached by 3 shooters. One 18 year-old male was killed, two 15 year-old males and one 16 year-old male were injured. The 3 shooters  (two 18 year-old males and one 21 year-old male) fled the scene and were brought in by police the next day and charged with attempted murder, assault, reckless endangerment, and criminal possession of a weapon.</v>
      </c>
      <c r="AA2519" s="8" t="str">
        <f ca="1">IFERROR(__xludf.DUMMYFUNCTION("""COMPUTED_VALUE"""),"Escalation of Dispute")</f>
        <v>Escalation of Dispute</v>
      </c>
      <c r="AB2519" s="8"/>
      <c r="AC2519" s="8"/>
      <c r="AD2519" s="8" t="str">
        <f ca="1">IFERROR(__xludf.DUMMYFUNCTION("""COMPUTED_VALUE"""),"Both")</f>
        <v>Both</v>
      </c>
      <c r="AE2519" s="8" t="str">
        <f ca="1">IFERROR(__xludf.DUMMYFUNCTION("""COMPUTED_VALUE"""),"Yes")</f>
        <v>Yes</v>
      </c>
      <c r="AF2519" s="8" t="str">
        <f ca="1">IFERROR(__xludf.DUMMYFUNCTION("""COMPUTED_VALUE"""),"3 shooters")</f>
        <v>3 shooters</v>
      </c>
      <c r="AG2519" s="8" t="str">
        <f ca="1">IFERROR(__xludf.DUMMYFUNCTION("""COMPUTED_VALUE"""),"No")</f>
        <v>No</v>
      </c>
      <c r="AH2519" s="8" t="str">
        <f ca="1">IFERROR(__xludf.DUMMYFUNCTION("""COMPUTED_VALUE"""),"N/A")</f>
        <v>N/A</v>
      </c>
      <c r="AI2519" s="8" t="str">
        <f ca="1">IFERROR(__xludf.DUMMYFUNCTION("""COMPUTED_VALUE"""),"No")</f>
        <v>No</v>
      </c>
      <c r="AJ2519" s="8" t="str">
        <f ca="1">IFERROR(__xludf.DUMMYFUNCTION("""COMPUTED_VALUE"""),"No")</f>
        <v>No</v>
      </c>
      <c r="AK2519" s="8" t="str">
        <f ca="1">IFERROR(__xludf.DUMMYFUNCTION("""COMPUTED_VALUE"""),"No")</f>
        <v>No</v>
      </c>
      <c r="AL2519" s="8" t="str">
        <f ca="1">IFERROR(__xludf.DUMMYFUNCTION("""COMPUTED_VALUE"""),"Yes")</f>
        <v>Yes</v>
      </c>
      <c r="AM2519" s="8"/>
      <c r="AN2519" s="8"/>
      <c r="AO2519" s="8" t="str">
        <f ca="1">IFERROR(__xludf.DUMMYFUNCTION("""COMPUTED_VALUE"""),"No")</f>
        <v>No</v>
      </c>
      <c r="AP2519" s="8"/>
      <c r="AQ2519" s="8" t="str">
        <f ca="1">IFERROR(__xludf.DUMMYFUNCTION("""COMPUTED_VALUE"""),"Unknown")</f>
        <v>Unknown</v>
      </c>
      <c r="AR2519" s="8" t="str">
        <f ca="1">IFERROR(__xludf.DUMMYFUNCTION("""COMPUTED_VALUE"""),"NA")</f>
        <v>NA</v>
      </c>
      <c r="AS2519" s="8"/>
      <c r="AT2519" s="8"/>
      <c r="AU2519" s="8">
        <f ca="1">IFERROR(__xludf.DUMMYFUNCTION("""COMPUTED_VALUE"""),40.7127753)</f>
        <v>40.712775299999997</v>
      </c>
      <c r="AV2519" s="8">
        <f ca="1">IFERROR(__xludf.DUMMYFUNCTION("""COMPUTED_VALUE"""),-74.0059728)</f>
        <v>-74.005972799999995</v>
      </c>
      <c r="AW2519" s="8"/>
      <c r="AX2519" s="8">
        <f ca="1">IFERROR(__xludf.DUMMYFUNCTION("""COMPUTED_VALUE"""),10000)</f>
        <v>10000</v>
      </c>
    </row>
    <row r="2520" spans="1:50" ht="45" x14ac:dyDescent="0.2">
      <c r="A2520" s="8" t="str">
        <f ca="1">IFERROR(__xludf.DUMMYFUNCTION("""COMPUTED_VALUE"""),"19961127CAHIS")</f>
        <v>19961127CAHIS</v>
      </c>
      <c r="B2520" s="8">
        <f ca="1">IFERROR(__xludf.DUMMYFUNCTION("""COMPUTED_VALUE"""),11)</f>
        <v>11</v>
      </c>
      <c r="C2520" s="8">
        <f ca="1">IFERROR(__xludf.DUMMYFUNCTION("""COMPUTED_VALUE"""),27)</f>
        <v>27</v>
      </c>
      <c r="D2520" s="8">
        <f ca="1">IFERROR(__xludf.DUMMYFUNCTION("""COMPUTED_VALUE"""),1996)</f>
        <v>1996</v>
      </c>
      <c r="E2520" s="9">
        <f ca="1">IFERROR(__xludf.DUMMYFUNCTION("""COMPUTED_VALUE"""),35396)</f>
        <v>35396</v>
      </c>
      <c r="F2520" s="8" t="str">
        <f ca="1">IFERROR(__xludf.DUMMYFUNCTION("""COMPUTED_VALUE"""),"Highlands High School")</f>
        <v>Highlands High School</v>
      </c>
      <c r="G2520" s="8">
        <f ca="1">IFERROR(__xludf.DUMMYFUNCTION("""COMPUTED_VALUE"""),1)</f>
        <v>1</v>
      </c>
      <c r="H2520" s="8">
        <f ca="1">IFERROR(__xludf.DUMMYFUNCTION("""COMPUTED_VALUE"""),0)</f>
        <v>0</v>
      </c>
      <c r="I2520" s="8">
        <f ca="1">IFERROR(__xludf.DUMMYFUNCTION("""COMPUTED_VALUE"""),1)</f>
        <v>1</v>
      </c>
      <c r="J2520" s="8">
        <f ca="1">IFERROR(__xludf.DUMMYFUNCTION("""COMPUTED_VALUE"""),0)</f>
        <v>0</v>
      </c>
      <c r="K2520" s="10" t="str">
        <f ca="1">IFERROR(__xludf.DUMMYFUNCTION("""COMPUTED_VALUE"""),"http://www.psychceu.com/school_violence/savd.pdf")</f>
        <v>http://www.psychceu.com/school_violence/savd.pdf</v>
      </c>
      <c r="L2520" s="8"/>
      <c r="M2520" s="8"/>
      <c r="N2520" s="8">
        <f ca="1">IFERROR(__xludf.DUMMYFUNCTION("""COMPUTED_VALUE"""),1)</f>
        <v>1</v>
      </c>
      <c r="O2520" s="8" t="str">
        <f ca="1">IFERROR(__xludf.DUMMYFUNCTION("""COMPUTED_VALUE"""),"Fall")</f>
        <v>Fall</v>
      </c>
      <c r="P2520" s="8" t="str">
        <f ca="1">IFERROR(__xludf.DUMMYFUNCTION("""COMPUTED_VALUE"""),"Sacramento")</f>
        <v>Sacramento</v>
      </c>
      <c r="Q2520" s="8" t="str">
        <f ca="1">IFERROR(__xludf.DUMMYFUNCTION("""COMPUTED_VALUE"""),"CA")</f>
        <v>CA</v>
      </c>
      <c r="R2520" s="8" t="str">
        <f ca="1">IFERROR(__xludf.DUMMYFUNCTION("""COMPUTED_VALUE"""),"High")</f>
        <v>High</v>
      </c>
      <c r="S2520" s="8" t="str">
        <f ca="1">IFERROR(__xludf.DUMMYFUNCTION("""COMPUTED_VALUE"""),"Basketball Court")</f>
        <v>Basketball Court</v>
      </c>
      <c r="T2520" s="8" t="str">
        <f ca="1">IFERROR(__xludf.DUMMYFUNCTION("""COMPUTED_VALUE"""),"Outside on School Property")</f>
        <v>Outside on School Property</v>
      </c>
      <c r="U2520" s="8" t="str">
        <f ca="1">IFERROR(__xludf.DUMMYFUNCTION("""COMPUTED_VALUE"""),"No")</f>
        <v>No</v>
      </c>
      <c r="V2520" s="8" t="str">
        <f ca="1">IFERROR(__xludf.DUMMYFUNCTION("""COMPUTED_VALUE"""),"Evening")</f>
        <v>Evening</v>
      </c>
      <c r="W2520" s="8"/>
      <c r="X2520" s="8">
        <f ca="1">IFERROR(__xludf.DUMMYFUNCTION("""COMPUTED_VALUE"""),1)</f>
        <v>1</v>
      </c>
      <c r="Y2520" s="12" t="str">
        <f ca="1">IFERROR(__xludf.DUMMYFUNCTION("""COMPUTED_VALUE"""),"Officers gun discharged during fight killing victim")</f>
        <v>Officers gun discharged during fight killing victim</v>
      </c>
      <c r="Z2520" s="12" t="str">
        <f ca="1">IFERROR(__xludf.DUMMYFUNCTION("""COMPUTED_VALUE"""),"Fight after a basketball game at the school. Police officer was trying to detain suspects involved in fight when officer's gun discharged killing 19YOM victim.")</f>
        <v>Fight after a basketball game at the school. Police officer was trying to detain suspects involved in fight when officer's gun discharged killing 19YOM victim.</v>
      </c>
      <c r="AA2520" s="8" t="str">
        <f ca="1">IFERROR(__xludf.DUMMYFUNCTION("""COMPUTED_VALUE"""),"Accidental")</f>
        <v>Accidental</v>
      </c>
      <c r="AB2520" s="8"/>
      <c r="AC2520" s="8"/>
      <c r="AD2520" s="8" t="str">
        <f ca="1">IFERROR(__xludf.DUMMYFUNCTION("""COMPUTED_VALUE"""),"Victims Targeted")</f>
        <v>Victims Targeted</v>
      </c>
      <c r="AE2520" s="8" t="str">
        <f ca="1">IFERROR(__xludf.DUMMYFUNCTION("""COMPUTED_VALUE"""),"No")</f>
        <v>No</v>
      </c>
      <c r="AF2520" s="8"/>
      <c r="AG2520" s="8" t="str">
        <f ca="1">IFERROR(__xludf.DUMMYFUNCTION("""COMPUTED_VALUE"""),"No")</f>
        <v>No</v>
      </c>
      <c r="AH2520" s="8" t="str">
        <f ca="1">IFERROR(__xludf.DUMMYFUNCTION("""COMPUTED_VALUE"""),"No")</f>
        <v>No</v>
      </c>
      <c r="AI2520" s="8" t="str">
        <f ca="1">IFERROR(__xludf.DUMMYFUNCTION("""COMPUTED_VALUE"""),"Yes")</f>
        <v>Yes</v>
      </c>
      <c r="AJ2520" s="8" t="str">
        <f ca="1">IFERROR(__xludf.DUMMYFUNCTION("""COMPUTED_VALUE"""),"N/A")</f>
        <v>N/A</v>
      </c>
      <c r="AK2520" s="8" t="str">
        <f ca="1">IFERROR(__xludf.DUMMYFUNCTION("""COMPUTED_VALUE"""),"N/A")</f>
        <v>N/A</v>
      </c>
      <c r="AL2520" s="8" t="str">
        <f ca="1">IFERROR(__xludf.DUMMYFUNCTION("""COMPUTED_VALUE"""),"N/A")</f>
        <v>N/A</v>
      </c>
      <c r="AM2520" s="8" t="str">
        <f ca="1">IFERROR(__xludf.DUMMYFUNCTION("""COMPUTED_VALUE"""),"N/A")</f>
        <v>N/A</v>
      </c>
      <c r="AN2520" s="8"/>
      <c r="AO2520" s="8" t="str">
        <f ca="1">IFERROR(__xludf.DUMMYFUNCTION("""COMPUTED_VALUE"""),"N/A")</f>
        <v>N/A</v>
      </c>
      <c r="AP2520" s="8"/>
      <c r="AQ2520" s="8" t="str">
        <f ca="1">IFERROR(__xludf.DUMMYFUNCTION("""COMPUTED_VALUE"""),"Unknown")</f>
        <v>Unknown</v>
      </c>
      <c r="AR2520" s="8" t="str">
        <f ca="1">IFERROR(__xludf.DUMMYFUNCTION("""COMPUTED_VALUE"""),"NA")</f>
        <v>NA</v>
      </c>
      <c r="AS2520" s="8">
        <f ca="1">IFERROR(__xludf.DUMMYFUNCTION("""COMPUTED_VALUE"""),1)</f>
        <v>1</v>
      </c>
      <c r="AT2520" s="8"/>
      <c r="AU2520" s="8">
        <f ca="1">IFERROR(__xludf.DUMMYFUNCTION("""COMPUTED_VALUE"""),38.687268)</f>
        <v>38.687268000000003</v>
      </c>
      <c r="AV2520" s="8">
        <f ca="1">IFERROR(__xludf.DUMMYFUNCTION("""COMPUTED_VALUE"""),-121.359199)</f>
        <v>-121.359199</v>
      </c>
      <c r="AW2520" s="8"/>
      <c r="AX2520" s="8">
        <f ca="1">IFERROR(__xludf.DUMMYFUNCTION("""COMPUTED_VALUE"""),95660)</f>
        <v>95660</v>
      </c>
    </row>
    <row r="2521" spans="1:50" ht="30" x14ac:dyDescent="0.2">
      <c r="A2521" s="8" t="str">
        <f ca="1">IFERROR(__xludf.DUMMYFUNCTION("""COMPUTED_VALUE"""),"19961014MOSUS")</f>
        <v>19961014MOSUS</v>
      </c>
      <c r="B2521" s="8">
        <f ca="1">IFERROR(__xludf.DUMMYFUNCTION("""COMPUTED_VALUE"""),10)</f>
        <v>10</v>
      </c>
      <c r="C2521" s="8">
        <f ca="1">IFERROR(__xludf.DUMMYFUNCTION("""COMPUTED_VALUE"""),14)</f>
        <v>14</v>
      </c>
      <c r="D2521" s="8">
        <f ca="1">IFERROR(__xludf.DUMMYFUNCTION("""COMPUTED_VALUE"""),1996)</f>
        <v>1996</v>
      </c>
      <c r="E2521" s="9">
        <f ca="1">IFERROR(__xludf.DUMMYFUNCTION("""COMPUTED_VALUE"""),35352)</f>
        <v>35352</v>
      </c>
      <c r="F2521" s="8" t="str">
        <f ca="1">IFERROR(__xludf.DUMMYFUNCTION("""COMPUTED_VALUE"""),"Sumner High School")</f>
        <v>Sumner High School</v>
      </c>
      <c r="G2521" s="8">
        <f ca="1">IFERROR(__xludf.DUMMYFUNCTION("""COMPUTED_VALUE"""),1)</f>
        <v>1</v>
      </c>
      <c r="H2521" s="8">
        <f ca="1">IFERROR(__xludf.DUMMYFUNCTION("""COMPUTED_VALUE"""),0)</f>
        <v>0</v>
      </c>
      <c r="I2521" s="8">
        <f ca="1">IFERROR(__xludf.DUMMYFUNCTION("""COMPUTED_VALUE"""),1)</f>
        <v>1</v>
      </c>
      <c r="J2521" s="8">
        <f ca="1">IFERROR(__xludf.DUMMYFUNCTION("""COMPUTED_VALUE"""),0)</f>
        <v>0</v>
      </c>
      <c r="K2521" s="10" t="str">
        <f ca="1">IFERROR(__xludf.DUMMYFUNCTION("""COMPUTED_VALUE"""),"http://www.psychceu.com/school_violence/savd.pdf")</f>
        <v>http://www.psychceu.com/school_violence/savd.pdf</v>
      </c>
      <c r="L2521" s="8"/>
      <c r="M2521" s="8"/>
      <c r="N2521" s="8">
        <f ca="1">IFERROR(__xludf.DUMMYFUNCTION("""COMPUTED_VALUE"""),1)</f>
        <v>1</v>
      </c>
      <c r="O2521" s="8" t="str">
        <f ca="1">IFERROR(__xludf.DUMMYFUNCTION("""COMPUTED_VALUE"""),"Fall")</f>
        <v>Fall</v>
      </c>
      <c r="P2521" s="8" t="str">
        <f ca="1">IFERROR(__xludf.DUMMYFUNCTION("""COMPUTED_VALUE"""),"St. Louis")</f>
        <v>St. Louis</v>
      </c>
      <c r="Q2521" s="8" t="str">
        <f ca="1">IFERROR(__xludf.DUMMYFUNCTION("""COMPUTED_VALUE"""),"MO")</f>
        <v>MO</v>
      </c>
      <c r="R2521" s="8" t="str">
        <f ca="1">IFERROR(__xludf.DUMMYFUNCTION("""COMPUTED_VALUE"""),"High")</f>
        <v>High</v>
      </c>
      <c r="S2521" s="8" t="str">
        <f ca="1">IFERROR(__xludf.DUMMYFUNCTION("""COMPUTED_VALUE"""),"Inside School Building")</f>
        <v>Inside School Building</v>
      </c>
      <c r="T2521" s="8" t="str">
        <f ca="1">IFERROR(__xludf.DUMMYFUNCTION("""COMPUTED_VALUE"""),"Inside School Building")</f>
        <v>Inside School Building</v>
      </c>
      <c r="U2521" s="8" t="str">
        <f ca="1">IFERROR(__xludf.DUMMYFUNCTION("""COMPUTED_VALUE"""),"Yes")</f>
        <v>Yes</v>
      </c>
      <c r="V2521" s="8"/>
      <c r="W2521" s="8"/>
      <c r="X2521" s="8">
        <f ca="1">IFERROR(__xludf.DUMMYFUNCTION("""COMPUTED_VALUE"""),1)</f>
        <v>1</v>
      </c>
      <c r="Y2521" s="12" t="str">
        <f ca="1">IFERROR(__xludf.DUMMYFUNCTION("""COMPUTED_VALUE"""),"Shots fired during fight in hallway")</f>
        <v>Shots fired during fight in hallway</v>
      </c>
      <c r="Z2521" s="12" t="str">
        <f ca="1">IFERROR(__xludf.DUMMYFUNCTION("""COMPUTED_VALUE"""),"17YOM shot by 15YOM during a fight among several students;")</f>
        <v>17YOM shot by 15YOM during a fight among several students;</v>
      </c>
      <c r="AA2521" s="8" t="str">
        <f ca="1">IFERROR(__xludf.DUMMYFUNCTION("""COMPUTED_VALUE"""),"Escalation of Dispute")</f>
        <v>Escalation of Dispute</v>
      </c>
      <c r="AB2521" s="8"/>
      <c r="AC2521" s="8"/>
      <c r="AD2521" s="8" t="str">
        <f ca="1">IFERROR(__xludf.DUMMYFUNCTION("""COMPUTED_VALUE"""),"Victims Targeted")</f>
        <v>Victims Targeted</v>
      </c>
      <c r="AE2521" s="8" t="str">
        <f ca="1">IFERROR(__xludf.DUMMYFUNCTION("""COMPUTED_VALUE"""),"Unknown")</f>
        <v>Unknown</v>
      </c>
      <c r="AF2521" s="8" t="str">
        <f ca="1">IFERROR(__xludf.DUMMYFUNCTION("""COMPUTED_VALUE"""),"Several students involved in fight")</f>
        <v>Several students involved in fight</v>
      </c>
      <c r="AG2521" s="8" t="str">
        <f ca="1">IFERROR(__xludf.DUMMYFUNCTION("""COMPUTED_VALUE"""),"No")</f>
        <v>No</v>
      </c>
      <c r="AH2521" s="8" t="str">
        <f ca="1">IFERROR(__xludf.DUMMYFUNCTION("""COMPUTED_VALUE"""),"No")</f>
        <v>No</v>
      </c>
      <c r="AI2521" s="8" t="str">
        <f ca="1">IFERROR(__xludf.DUMMYFUNCTION("""COMPUTED_VALUE"""),"No")</f>
        <v>No</v>
      </c>
      <c r="AJ2521" s="8" t="str">
        <f ca="1">IFERROR(__xludf.DUMMYFUNCTION("""COMPUTED_VALUE"""),"No")</f>
        <v>No</v>
      </c>
      <c r="AK2521" s="8" t="str">
        <f ca="1">IFERROR(__xludf.DUMMYFUNCTION("""COMPUTED_VALUE"""),"No")</f>
        <v>No</v>
      </c>
      <c r="AL2521" s="8"/>
      <c r="AM2521" s="8"/>
      <c r="AN2521" s="8"/>
      <c r="AO2521" s="8" t="str">
        <f ca="1">IFERROR(__xludf.DUMMYFUNCTION("""COMPUTED_VALUE"""),"No")</f>
        <v>No</v>
      </c>
      <c r="AP2521" s="8"/>
      <c r="AQ2521" s="8" t="str">
        <f ca="1">IFERROR(__xludf.DUMMYFUNCTION("""COMPUTED_VALUE"""),"Unknown")</f>
        <v>Unknown</v>
      </c>
      <c r="AR2521" s="8" t="str">
        <f ca="1">IFERROR(__xludf.DUMMYFUNCTION("""COMPUTED_VALUE"""),"NA")</f>
        <v>NA</v>
      </c>
      <c r="AS2521" s="8"/>
      <c r="AT2521" s="8"/>
      <c r="AU2521" s="8">
        <f ca="1">IFERROR(__xludf.DUMMYFUNCTION("""COMPUTED_VALUE"""),38.659716)</f>
        <v>38.659716000000003</v>
      </c>
      <c r="AV2521" s="8">
        <f ca="1">IFERROR(__xludf.DUMMYFUNCTION("""COMPUTED_VALUE"""),-90.238778)</f>
        <v>-90.238777999999996</v>
      </c>
      <c r="AW2521" s="8"/>
      <c r="AX2521" s="8">
        <f ca="1">IFERROR(__xludf.DUMMYFUNCTION("""COMPUTED_VALUE"""),63113)</f>
        <v>63113</v>
      </c>
    </row>
    <row r="2522" spans="1:50" ht="60" x14ac:dyDescent="0.2">
      <c r="A2522" s="8" t="str">
        <f ca="1">IFERROR(__xludf.DUMMYFUNCTION("""COMPUTED_VALUE"""),"19961009ARJAS")</f>
        <v>19961009ARJAS</v>
      </c>
      <c r="B2522" s="8">
        <f ca="1">IFERROR(__xludf.DUMMYFUNCTION("""COMPUTED_VALUE"""),10)</f>
        <v>10</v>
      </c>
      <c r="C2522" s="8">
        <f ca="1">IFERROR(__xludf.DUMMYFUNCTION("""COMPUTED_VALUE"""),9)</f>
        <v>9</v>
      </c>
      <c r="D2522" s="8">
        <f ca="1">IFERROR(__xludf.DUMMYFUNCTION("""COMPUTED_VALUE"""),1996)</f>
        <v>1996</v>
      </c>
      <c r="E2522" s="9">
        <f ca="1">IFERROR(__xludf.DUMMYFUNCTION("""COMPUTED_VALUE"""),35347)</f>
        <v>35347</v>
      </c>
      <c r="F2522" s="8" t="str">
        <f ca="1">IFERROR(__xludf.DUMMYFUNCTION("""COMPUTED_VALUE"""),"Jacksonville High School bus")</f>
        <v>Jacksonville High School bus</v>
      </c>
      <c r="G2522" s="8">
        <f ca="1">IFERROR(__xludf.DUMMYFUNCTION("""COMPUTED_VALUE"""),1)</f>
        <v>1</v>
      </c>
      <c r="H2522" s="8">
        <f ca="1">IFERROR(__xludf.DUMMYFUNCTION("""COMPUTED_VALUE"""),0)</f>
        <v>0</v>
      </c>
      <c r="I2522" s="8">
        <f ca="1">IFERROR(__xludf.DUMMYFUNCTION("""COMPUTED_VALUE"""),1)</f>
        <v>1</v>
      </c>
      <c r="J2522" s="8">
        <f ca="1">IFERROR(__xludf.DUMMYFUNCTION("""COMPUTED_VALUE"""),0)</f>
        <v>0</v>
      </c>
      <c r="K2522" s="10" t="str">
        <f ca="1">IFERROR(__xludf.DUMMYFUNCTION("""COMPUTED_VALUE"""),"https://www.upi.com/Archives/1996/10/10/Teen-charged-in-school-bus-slaying/5274844920000/")</f>
        <v>https://www.upi.com/Archives/1996/10/10/Teen-charged-in-school-bus-slaying/5274844920000/</v>
      </c>
      <c r="L2522" s="8"/>
      <c r="M2522" s="8"/>
      <c r="N2522" s="8">
        <f ca="1">IFERROR(__xludf.DUMMYFUNCTION("""COMPUTED_VALUE"""),2)</f>
        <v>2</v>
      </c>
      <c r="O2522" s="8" t="str">
        <f ca="1">IFERROR(__xludf.DUMMYFUNCTION("""COMPUTED_VALUE"""),"Fall")</f>
        <v>Fall</v>
      </c>
      <c r="P2522" s="8" t="str">
        <f ca="1">IFERROR(__xludf.DUMMYFUNCTION("""COMPUTED_VALUE"""),"Sherwood")</f>
        <v>Sherwood</v>
      </c>
      <c r="Q2522" s="8" t="str">
        <f ca="1">IFERROR(__xludf.DUMMYFUNCTION("""COMPUTED_VALUE"""),"AR")</f>
        <v>AR</v>
      </c>
      <c r="R2522" s="8" t="str">
        <f ca="1">IFERROR(__xludf.DUMMYFUNCTION("""COMPUTED_VALUE"""),"High")</f>
        <v>High</v>
      </c>
      <c r="S2522" s="8" t="str">
        <f ca="1">IFERROR(__xludf.DUMMYFUNCTION("""COMPUTED_VALUE"""),"School Bus")</f>
        <v>School Bus</v>
      </c>
      <c r="T2522" s="8" t="str">
        <f ca="1">IFERROR(__xludf.DUMMYFUNCTION("""COMPUTED_VALUE"""),"School Bus")</f>
        <v>School Bus</v>
      </c>
      <c r="U2522" s="8" t="str">
        <f ca="1">IFERROR(__xludf.DUMMYFUNCTION("""COMPUTED_VALUE"""),"No")</f>
        <v>No</v>
      </c>
      <c r="V2522" s="8"/>
      <c r="W2522" s="8"/>
      <c r="X2522" s="8">
        <f ca="1">IFERROR(__xludf.DUMMYFUNCTION("""COMPUTED_VALUE"""),1)</f>
        <v>1</v>
      </c>
      <c r="Y2522" s="12" t="str">
        <f ca="1">IFERROR(__xludf.DUMMYFUNCTION("""COMPUTED_VALUE"""),"Fight (escalated)")</f>
        <v>Fight (escalated)</v>
      </c>
      <c r="Z2522" s="12" t="str">
        <f ca="1">IFERROR(__xludf.DUMMYFUNCTION("""COMPUTED_VALUE"""),"Ongoing dispute between the shooter and victim. They were fighting on the bus and had to be seperated. Shooter pulled a .22 handgun and shot the victim once in the neck and fled the scene. Gun was found near his house.")</f>
        <v>Ongoing dispute between the shooter and victim. They were fighting on the bus and had to be seperated. Shooter pulled a .22 handgun and shot the victim once in the neck and fled the scene. Gun was found near his house.</v>
      </c>
      <c r="AA2522" s="8" t="str">
        <f ca="1">IFERROR(__xludf.DUMMYFUNCTION("""COMPUTED_VALUE"""),"Escalation of Dispute")</f>
        <v>Escalation of Dispute</v>
      </c>
      <c r="AB2522" s="8"/>
      <c r="AC2522" s="8"/>
      <c r="AD2522" s="8" t="str">
        <f ca="1">IFERROR(__xludf.DUMMYFUNCTION("""COMPUTED_VALUE"""),"Victims Targeted")</f>
        <v>Victims Targeted</v>
      </c>
      <c r="AE2522" s="8" t="str">
        <f ca="1">IFERROR(__xludf.DUMMYFUNCTION("""COMPUTED_VALUE"""),"No")</f>
        <v>No</v>
      </c>
      <c r="AF2522" s="8"/>
      <c r="AG2522" s="8" t="str">
        <f ca="1">IFERROR(__xludf.DUMMYFUNCTION("""COMPUTED_VALUE"""),"No")</f>
        <v>No</v>
      </c>
      <c r="AH2522" s="8" t="str">
        <f ca="1">IFERROR(__xludf.DUMMYFUNCTION("""COMPUTED_VALUE"""),"No")</f>
        <v>No</v>
      </c>
      <c r="AI2522" s="8" t="str">
        <f ca="1">IFERROR(__xludf.DUMMYFUNCTION("""COMPUTED_VALUE"""),"No")</f>
        <v>No</v>
      </c>
      <c r="AJ2522" s="8" t="str">
        <f ca="1">IFERROR(__xludf.DUMMYFUNCTION("""COMPUTED_VALUE"""),"No")</f>
        <v>No</v>
      </c>
      <c r="AK2522" s="8" t="str">
        <f ca="1">IFERROR(__xludf.DUMMYFUNCTION("""COMPUTED_VALUE"""),"No")</f>
        <v>No</v>
      </c>
      <c r="AL2522" s="8" t="str">
        <f ca="1">IFERROR(__xludf.DUMMYFUNCTION("""COMPUTED_VALUE"""),"No")</f>
        <v>No</v>
      </c>
      <c r="AM2522" s="8"/>
      <c r="AN2522" s="8"/>
      <c r="AO2522" s="8" t="str">
        <f ca="1">IFERROR(__xludf.DUMMYFUNCTION("""COMPUTED_VALUE"""),"No")</f>
        <v>No</v>
      </c>
      <c r="AP2522" s="8"/>
      <c r="AQ2522" s="8" t="str">
        <f ca="1">IFERROR(__xludf.DUMMYFUNCTION("""COMPUTED_VALUE"""),"Unknown")</f>
        <v>Unknown</v>
      </c>
      <c r="AR2522" s="8" t="str">
        <f ca="1">IFERROR(__xludf.DUMMYFUNCTION("""COMPUTED_VALUE"""),"NA")</f>
        <v>NA</v>
      </c>
      <c r="AS2522" s="8"/>
      <c r="AT2522" s="8"/>
      <c r="AU2522" s="8">
        <f ca="1">IFERROR(__xludf.DUMMYFUNCTION("""COMPUTED_VALUE"""),34.865274)</f>
        <v>34.865273999999999</v>
      </c>
      <c r="AV2522" s="8">
        <f ca="1">IFERROR(__xludf.DUMMYFUNCTION("""COMPUTED_VALUE"""),-92.125226)</f>
        <v>-92.125225999999998</v>
      </c>
      <c r="AW2522" s="8"/>
      <c r="AX2522" s="8">
        <f ca="1">IFERROR(__xludf.DUMMYFUNCTION("""COMPUTED_VALUE"""),72076)</f>
        <v>72076</v>
      </c>
    </row>
    <row r="2523" spans="1:50" ht="60" x14ac:dyDescent="0.2">
      <c r="A2523" s="8" t="str">
        <f ca="1">IFERROR(__xludf.DUMMYFUNCTION("""COMPUTED_VALUE"""),"19961004CASTP")</f>
        <v>19961004CASTP</v>
      </c>
      <c r="B2523" s="8">
        <f ca="1">IFERROR(__xludf.DUMMYFUNCTION("""COMPUTED_VALUE"""),10)</f>
        <v>10</v>
      </c>
      <c r="C2523" s="8">
        <f ca="1">IFERROR(__xludf.DUMMYFUNCTION("""COMPUTED_VALUE"""),4)</f>
        <v>4</v>
      </c>
      <c r="D2523" s="8">
        <f ca="1">IFERROR(__xludf.DUMMYFUNCTION("""COMPUTED_VALUE"""),1996)</f>
        <v>1996</v>
      </c>
      <c r="E2523" s="9">
        <f ca="1">IFERROR(__xludf.DUMMYFUNCTION("""COMPUTED_VALUE"""),35342)</f>
        <v>35342</v>
      </c>
      <c r="F2523" s="8" t="str">
        <f ca="1">IFERROR(__xludf.DUMMYFUNCTION("""COMPUTED_VALUE"""),"St. Bernard High School")</f>
        <v>St. Bernard High School</v>
      </c>
      <c r="G2523" s="8">
        <f ca="1">IFERROR(__xludf.DUMMYFUNCTION("""COMPUTED_VALUE"""),1)</f>
        <v>1</v>
      </c>
      <c r="H2523" s="8">
        <f ca="1">IFERROR(__xludf.DUMMYFUNCTION("""COMPUTED_VALUE"""),1)</f>
        <v>1</v>
      </c>
      <c r="I2523" s="8">
        <f ca="1">IFERROR(__xludf.DUMMYFUNCTION("""COMPUTED_VALUE"""),2)</f>
        <v>2</v>
      </c>
      <c r="J2523" s="8">
        <f ca="1">IFERROR(__xludf.DUMMYFUNCTION("""COMPUTED_VALUE"""),0)</f>
        <v>0</v>
      </c>
      <c r="K2523" s="10" t="str">
        <f ca="1">IFERROR(__xludf.DUMMYFUNCTION("""COMPUTED_VALUE"""),"http://www.psychceu.com/school_violence/savd.pdf")</f>
        <v>http://www.psychceu.com/school_violence/savd.pdf</v>
      </c>
      <c r="L2523" s="8"/>
      <c r="M2523" s="8"/>
      <c r="N2523" s="8">
        <f ca="1">IFERROR(__xludf.DUMMYFUNCTION("""COMPUTED_VALUE"""),1)</f>
        <v>1</v>
      </c>
      <c r="O2523" s="8" t="str">
        <f ca="1">IFERROR(__xludf.DUMMYFUNCTION("""COMPUTED_VALUE"""),"Fall")</f>
        <v>Fall</v>
      </c>
      <c r="P2523" s="8" t="str">
        <f ca="1">IFERROR(__xludf.DUMMYFUNCTION("""COMPUTED_VALUE"""),"Playa Del Rey")</f>
        <v>Playa Del Rey</v>
      </c>
      <c r="Q2523" s="8" t="str">
        <f ca="1">IFERROR(__xludf.DUMMYFUNCTION("""COMPUTED_VALUE"""),"CA")</f>
        <v>CA</v>
      </c>
      <c r="R2523" s="8" t="str">
        <f ca="1">IFERROR(__xludf.DUMMYFUNCTION("""COMPUTED_VALUE"""),"High")</f>
        <v>High</v>
      </c>
      <c r="S2523" s="8" t="str">
        <f ca="1">IFERROR(__xludf.DUMMYFUNCTION("""COMPUTED_VALUE"""),"Football Field/Track")</f>
        <v>Football Field/Track</v>
      </c>
      <c r="T2523" s="8" t="str">
        <f ca="1">IFERROR(__xludf.DUMMYFUNCTION("""COMPUTED_VALUE"""),"Outside on School Property")</f>
        <v>Outside on School Property</v>
      </c>
      <c r="U2523" s="8" t="str">
        <f ca="1">IFERROR(__xludf.DUMMYFUNCTION("""COMPUTED_VALUE"""),"No")</f>
        <v>No</v>
      </c>
      <c r="V2523" s="8" t="str">
        <f ca="1">IFERROR(__xludf.DUMMYFUNCTION("""COMPUTED_VALUE"""),"Sport Event")</f>
        <v>Sport Event</v>
      </c>
      <c r="W2523" s="11">
        <f ca="1">IFERROR(__xludf.DUMMYFUNCTION("""COMPUTED_VALUE"""),0.916666666666666)</f>
        <v>0.91666666666666596</v>
      </c>
      <c r="X2523" s="8">
        <f ca="1">IFERROR(__xludf.DUMMYFUNCTION("""COMPUTED_VALUE"""),1)</f>
        <v>1</v>
      </c>
      <c r="Y2523" s="12" t="str">
        <f ca="1">IFERROR(__xludf.DUMMYFUNCTION("""COMPUTED_VALUE"""),"Shooting on track after football game")</f>
        <v>Shooting on track after football game</v>
      </c>
      <c r="Z2523" s="12" t="str">
        <f ca="1">IFERROR(__xludf.DUMMYFUNCTION("""COMPUTED_VALUE"""),"18YOM near the track at St. Bernard shortly after 10 p.m.; shot by a 17 year-old Jordan High School football player following a football game between the two schools; another youth was also shot and hospitalized")</f>
        <v>18YOM near the track at St. Bernard shortly after 10 p.m.; shot by a 17 year-old Jordan High School football player following a football game between the two schools; another youth was also shot and hospitalized</v>
      </c>
      <c r="AA2523" s="8" t="str">
        <f ca="1">IFERROR(__xludf.DUMMYFUNCTION("""COMPUTED_VALUE"""),"Escalation of Dispute")</f>
        <v>Escalation of Dispute</v>
      </c>
      <c r="AB2523" s="8"/>
      <c r="AC2523" s="8"/>
      <c r="AD2523" s="8"/>
      <c r="AE2523" s="8" t="str">
        <f ca="1">IFERROR(__xludf.DUMMYFUNCTION("""COMPUTED_VALUE"""),"No")</f>
        <v>No</v>
      </c>
      <c r="AF2523" s="8"/>
      <c r="AG2523" s="8" t="str">
        <f ca="1">IFERROR(__xludf.DUMMYFUNCTION("""COMPUTED_VALUE"""),"No")</f>
        <v>No</v>
      </c>
      <c r="AH2523" s="8" t="str">
        <f ca="1">IFERROR(__xludf.DUMMYFUNCTION("""COMPUTED_VALUE"""),"No")</f>
        <v>No</v>
      </c>
      <c r="AI2523" s="8" t="str">
        <f ca="1">IFERROR(__xludf.DUMMYFUNCTION("""COMPUTED_VALUE"""),"No")</f>
        <v>No</v>
      </c>
      <c r="AJ2523" s="8" t="str">
        <f ca="1">IFERROR(__xludf.DUMMYFUNCTION("""COMPUTED_VALUE"""),"No")</f>
        <v>No</v>
      </c>
      <c r="AK2523" s="8" t="str">
        <f ca="1">IFERROR(__xludf.DUMMYFUNCTION("""COMPUTED_VALUE"""),"No")</f>
        <v>No</v>
      </c>
      <c r="AL2523" s="8"/>
      <c r="AM2523" s="8"/>
      <c r="AN2523" s="8"/>
      <c r="AO2523" s="8" t="str">
        <f ca="1">IFERROR(__xludf.DUMMYFUNCTION("""COMPUTED_VALUE"""),"No")</f>
        <v>No</v>
      </c>
      <c r="AP2523" s="8"/>
      <c r="AQ2523" s="8" t="str">
        <f ca="1">IFERROR(__xludf.DUMMYFUNCTION("""COMPUTED_VALUE"""),"Unknown")</f>
        <v>Unknown</v>
      </c>
      <c r="AR2523" s="8" t="str">
        <f ca="1">IFERROR(__xludf.DUMMYFUNCTION("""COMPUTED_VALUE"""),"NA")</f>
        <v>NA</v>
      </c>
      <c r="AS2523" s="8"/>
      <c r="AT2523" s="8"/>
      <c r="AU2523" s="8">
        <f ca="1">IFERROR(__xludf.DUMMYFUNCTION("""COMPUTED_VALUE"""),33.95417)</f>
        <v>33.954169999999998</v>
      </c>
      <c r="AV2523" s="8">
        <f ca="1">IFERROR(__xludf.DUMMYFUNCTION("""COMPUTED_VALUE"""),-118.432973)</f>
        <v>-118.432973</v>
      </c>
      <c r="AW2523" s="8"/>
      <c r="AX2523" s="8">
        <f ca="1">IFERROR(__xludf.DUMMYFUNCTION("""COMPUTED_VALUE"""),90293)</f>
        <v>90293</v>
      </c>
    </row>
    <row r="2524" spans="1:50" ht="45" x14ac:dyDescent="0.2">
      <c r="A2524" s="8" t="str">
        <f ca="1">IFERROR(__xludf.DUMMYFUNCTION("""COMPUTED_VALUE"""),"19961002PASMP")</f>
        <v>19961002PASMP</v>
      </c>
      <c r="B2524" s="8">
        <f ca="1">IFERROR(__xludf.DUMMYFUNCTION("""COMPUTED_VALUE"""),10)</f>
        <v>10</v>
      </c>
      <c r="C2524" s="8">
        <f ca="1">IFERROR(__xludf.DUMMYFUNCTION("""COMPUTED_VALUE"""),2)</f>
        <v>2</v>
      </c>
      <c r="D2524" s="8">
        <f ca="1">IFERROR(__xludf.DUMMYFUNCTION("""COMPUTED_VALUE"""),1996)</f>
        <v>1996</v>
      </c>
      <c r="E2524" s="9">
        <f ca="1">IFERROR(__xludf.DUMMYFUNCTION("""COMPUTED_VALUE"""),35340)</f>
        <v>35340</v>
      </c>
      <c r="F2524" s="8" t="str">
        <f ca="1">IFERROR(__xludf.DUMMYFUNCTION("""COMPUTED_VALUE"""),"Smedley Elementary School")</f>
        <v>Smedley Elementary School</v>
      </c>
      <c r="G2524" s="8">
        <f ca="1">IFERROR(__xludf.DUMMYFUNCTION("""COMPUTED_VALUE"""),2)</f>
        <v>2</v>
      </c>
      <c r="H2524" s="8">
        <f ca="1">IFERROR(__xludf.DUMMYFUNCTION("""COMPUTED_VALUE"""),0)</f>
        <v>0</v>
      </c>
      <c r="I2524" s="8">
        <f ca="1">IFERROR(__xludf.DUMMYFUNCTION("""COMPUTED_VALUE"""),2)</f>
        <v>2</v>
      </c>
      <c r="J2524" s="8">
        <f ca="1">IFERROR(__xludf.DUMMYFUNCTION("""COMPUTED_VALUE"""),0)</f>
        <v>0</v>
      </c>
      <c r="K2524" s="10" t="str">
        <f ca="1">IFERROR(__xludf.DUMMYFUNCTION("""COMPUTED_VALUE"""),"http://www.psychceu.com/school_violence/savd.pdf")</f>
        <v>http://www.psychceu.com/school_violence/savd.pdf</v>
      </c>
      <c r="L2524" s="8"/>
      <c r="M2524" s="8"/>
      <c r="N2524" s="8">
        <f ca="1">IFERROR(__xludf.DUMMYFUNCTION("""COMPUTED_VALUE"""),1)</f>
        <v>1</v>
      </c>
      <c r="O2524" s="8" t="str">
        <f ca="1">IFERROR(__xludf.DUMMYFUNCTION("""COMPUTED_VALUE"""),"Fall")</f>
        <v>Fall</v>
      </c>
      <c r="P2524" s="8" t="str">
        <f ca="1">IFERROR(__xludf.DUMMYFUNCTION("""COMPUTED_VALUE"""),"Philadelphia")</f>
        <v>Philadelphia</v>
      </c>
      <c r="Q2524" s="8" t="str">
        <f ca="1">IFERROR(__xludf.DUMMYFUNCTION("""COMPUTED_VALUE"""),"PA")</f>
        <v>PA</v>
      </c>
      <c r="R2524" s="8" t="str">
        <f ca="1">IFERROR(__xludf.DUMMYFUNCTION("""COMPUTED_VALUE"""),"Elementary")</f>
        <v>Elementary</v>
      </c>
      <c r="S2524" s="8" t="str">
        <f ca="1">IFERROR(__xludf.DUMMYFUNCTION("""COMPUTED_VALUE"""),"Parking Lot")</f>
        <v>Parking Lot</v>
      </c>
      <c r="T2524" s="8" t="str">
        <f ca="1">IFERROR(__xludf.DUMMYFUNCTION("""COMPUTED_VALUE"""),"Outside on School Property")</f>
        <v>Outside on School Property</v>
      </c>
      <c r="U2524" s="8" t="str">
        <f ca="1">IFERROR(__xludf.DUMMYFUNCTION("""COMPUTED_VALUE"""),"Yes")</f>
        <v>Yes</v>
      </c>
      <c r="V2524" s="8" t="str">
        <f ca="1">IFERROR(__xludf.DUMMYFUNCTION("""COMPUTED_VALUE"""),"Dismissal")</f>
        <v>Dismissal</v>
      </c>
      <c r="W2524" s="8"/>
      <c r="X2524" s="8">
        <f ca="1">IFERROR(__xludf.DUMMYFUNCTION("""COMPUTED_VALUE"""),1)</f>
        <v>1</v>
      </c>
      <c r="Y2524" s="12" t="str">
        <f ca="1">IFERROR(__xludf.DUMMYFUNCTION("""COMPUTED_VALUE"""),"Two women killed outside of school during domestic")</f>
        <v>Two women killed outside of school during domestic</v>
      </c>
      <c r="Z2524" s="12" t="str">
        <f ca="1">IFERROR(__xludf.DUMMYFUNCTION("""COMPUTED_VALUE"""),"Victim was the cousin of Stacy Buxton-Boyd, the estranged wife of Steven Boyd, who shot and killed both women as they waited for Stacy's children to be dismissed from school")</f>
        <v>Victim was the cousin of Stacy Buxton-Boyd, the estranged wife of Steven Boyd, who shot and killed both women as they waited for Stacy's children to be dismissed from school</v>
      </c>
      <c r="AA2524" s="8" t="str">
        <f ca="1">IFERROR(__xludf.DUMMYFUNCTION("""COMPUTED_VALUE"""),"Domestic w/ Targeted Victim")</f>
        <v>Domestic w/ Targeted Victim</v>
      </c>
      <c r="AB2524" s="8"/>
      <c r="AC2524" s="8"/>
      <c r="AD2524" s="8" t="str">
        <f ca="1">IFERROR(__xludf.DUMMYFUNCTION("""COMPUTED_VALUE"""),"Victims Targeted")</f>
        <v>Victims Targeted</v>
      </c>
      <c r="AE2524" s="8" t="str">
        <f ca="1">IFERROR(__xludf.DUMMYFUNCTION("""COMPUTED_VALUE"""),"No")</f>
        <v>No</v>
      </c>
      <c r="AF2524" s="8"/>
      <c r="AG2524" s="8" t="str">
        <f ca="1">IFERROR(__xludf.DUMMYFUNCTION("""COMPUTED_VALUE"""),"No")</f>
        <v>No</v>
      </c>
      <c r="AH2524" s="8" t="str">
        <f ca="1">IFERROR(__xludf.DUMMYFUNCTION("""COMPUTED_VALUE"""),"No")</f>
        <v>No</v>
      </c>
      <c r="AI2524" s="8" t="str">
        <f ca="1">IFERROR(__xludf.DUMMYFUNCTION("""COMPUTED_VALUE"""),"No")</f>
        <v>No</v>
      </c>
      <c r="AJ2524" s="8" t="str">
        <f ca="1">IFERROR(__xludf.DUMMYFUNCTION("""COMPUTED_VALUE"""),"No")</f>
        <v>No</v>
      </c>
      <c r="AK2524" s="8" t="str">
        <f ca="1">IFERROR(__xludf.DUMMYFUNCTION("""COMPUTED_VALUE"""),"Yes")</f>
        <v>Yes</v>
      </c>
      <c r="AL2524" s="8" t="str">
        <f ca="1">IFERROR(__xludf.DUMMYFUNCTION("""COMPUTED_VALUE"""),"No")</f>
        <v>No</v>
      </c>
      <c r="AM2524" s="8"/>
      <c r="AN2524" s="8"/>
      <c r="AO2524" s="8" t="str">
        <f ca="1">IFERROR(__xludf.DUMMYFUNCTION("""COMPUTED_VALUE"""),"No")</f>
        <v>No</v>
      </c>
      <c r="AP2524" s="8"/>
      <c r="AQ2524" s="8" t="str">
        <f ca="1">IFERROR(__xludf.DUMMYFUNCTION("""COMPUTED_VALUE"""),"Unknown")</f>
        <v>Unknown</v>
      </c>
      <c r="AR2524" s="8" t="str">
        <f ca="1">IFERROR(__xludf.DUMMYFUNCTION("""COMPUTED_VALUE"""),"NA")</f>
        <v>NA</v>
      </c>
      <c r="AS2524" s="8"/>
      <c r="AT2524" s="8"/>
      <c r="AU2524" s="8">
        <f ca="1">IFERROR(__xludf.DUMMYFUNCTION("""COMPUTED_VALUE"""),40.019548)</f>
        <v>40.019548</v>
      </c>
      <c r="AV2524" s="8">
        <f ca="1">IFERROR(__xludf.DUMMYFUNCTION("""COMPUTED_VALUE"""),-75.074144)</f>
        <v>-75.074144000000004</v>
      </c>
      <c r="AW2524" s="8"/>
      <c r="AX2524" s="8">
        <f ca="1">IFERROR(__xludf.DUMMYFUNCTION("""COMPUTED_VALUE"""),19124)</f>
        <v>19124</v>
      </c>
    </row>
    <row r="2525" spans="1:50" ht="60" x14ac:dyDescent="0.2">
      <c r="A2525" s="8" t="str">
        <f ca="1">IFERROR(__xludf.DUMMYFUNCTION("""COMPUTED_VALUE"""),"19960925GADED")</f>
        <v>19960925GADED</v>
      </c>
      <c r="B2525" s="8">
        <f ca="1">IFERROR(__xludf.DUMMYFUNCTION("""COMPUTED_VALUE"""),9)</f>
        <v>9</v>
      </c>
      <c r="C2525" s="8">
        <f ca="1">IFERROR(__xludf.DUMMYFUNCTION("""COMPUTED_VALUE"""),25)</f>
        <v>25</v>
      </c>
      <c r="D2525" s="8">
        <f ca="1">IFERROR(__xludf.DUMMYFUNCTION("""COMPUTED_VALUE"""),1996)</f>
        <v>1996</v>
      </c>
      <c r="E2525" s="9">
        <f ca="1">IFERROR(__xludf.DUMMYFUNCTION("""COMPUTED_VALUE"""),35333)</f>
        <v>35333</v>
      </c>
      <c r="F2525" s="8" t="str">
        <f ca="1">IFERROR(__xludf.DUMMYFUNCTION("""COMPUTED_VALUE"""),"Dekalb Alternative School")</f>
        <v>Dekalb Alternative School</v>
      </c>
      <c r="G2525" s="8">
        <f ca="1">IFERROR(__xludf.DUMMYFUNCTION("""COMPUTED_VALUE"""),1)</f>
        <v>1</v>
      </c>
      <c r="H2525" s="8">
        <f ca="1">IFERROR(__xludf.DUMMYFUNCTION("""COMPUTED_VALUE"""),0)</f>
        <v>0</v>
      </c>
      <c r="I2525" s="8">
        <f ca="1">IFERROR(__xludf.DUMMYFUNCTION("""COMPUTED_VALUE"""),1)</f>
        <v>1</v>
      </c>
      <c r="J2525" s="8">
        <f ca="1">IFERROR(__xludf.DUMMYFUNCTION("""COMPUTED_VALUE"""),0)</f>
        <v>0</v>
      </c>
      <c r="K2525" s="8" t="str">
        <f ca="1">IFERROR(__xludf.DUMMYFUNCTION("""COMPUTED_VALUE"""),"http://articles.chicagotribune.com/1996-09-26/news/9609260133_1_new-teachers-expelled-teacher-s-slaying https://en.wikipedia.org/wiki/List_of_attacks_related_to_secondary_schools#1990s")</f>
        <v>http://articles.chicagotribune.com/1996-09-26/news/9609260133_1_new-teachers-expelled-teacher-s-slaying https://en.wikipedia.org/wiki/List_of_attacks_related_to_secondary_schools#1990s</v>
      </c>
      <c r="L2525" s="8"/>
      <c r="M2525" s="8"/>
      <c r="N2525" s="8">
        <f ca="1">IFERROR(__xludf.DUMMYFUNCTION("""COMPUTED_VALUE"""),2)</f>
        <v>2</v>
      </c>
      <c r="O2525" s="8" t="str">
        <f ca="1">IFERROR(__xludf.DUMMYFUNCTION("""COMPUTED_VALUE"""),"Fall")</f>
        <v>Fall</v>
      </c>
      <c r="P2525" s="8" t="str">
        <f ca="1">IFERROR(__xludf.DUMMYFUNCTION("""COMPUTED_VALUE"""),"Decatur")</f>
        <v>Decatur</v>
      </c>
      <c r="Q2525" s="8" t="str">
        <f ca="1">IFERROR(__xludf.DUMMYFUNCTION("""COMPUTED_VALUE"""),"GA")</f>
        <v>GA</v>
      </c>
      <c r="R2525" s="8" t="str">
        <f ca="1">IFERROR(__xludf.DUMMYFUNCTION("""COMPUTED_VALUE"""),"Unknown")</f>
        <v>Unknown</v>
      </c>
      <c r="S2525" s="8" t="str">
        <f ca="1">IFERROR(__xludf.DUMMYFUNCTION("""COMPUTED_VALUE"""),"Classroom")</f>
        <v>Classroom</v>
      </c>
      <c r="T2525" s="8" t="str">
        <f ca="1">IFERROR(__xludf.DUMMYFUNCTION("""COMPUTED_VALUE"""),"Inside School Building")</f>
        <v>Inside School Building</v>
      </c>
      <c r="U2525" s="8" t="str">
        <f ca="1">IFERROR(__xludf.DUMMYFUNCTION("""COMPUTED_VALUE"""),"Yes")</f>
        <v>Yes</v>
      </c>
      <c r="V2525" s="8" t="str">
        <f ca="1">IFERROR(__xludf.DUMMYFUNCTION("""COMPUTED_VALUE"""),"Unknown")</f>
        <v>Unknown</v>
      </c>
      <c r="W2525" s="8"/>
      <c r="X2525" s="8">
        <f ca="1">IFERROR(__xludf.DUMMYFUNCTION("""COMPUTED_VALUE"""),1)</f>
        <v>1</v>
      </c>
      <c r="Y2525" s="12" t="str">
        <f ca="1">IFERROR(__xludf.DUMMYFUNCTION("""COMPUTED_VALUE"""),"Recently expelled student shot teacher")</f>
        <v>Recently expelled student shot teacher</v>
      </c>
      <c r="Z2525" s="12" t="str">
        <f ca="1">IFERROR(__xludf.DUMMYFUNCTION("""COMPUTED_VALUE"""),"Shooter (student) killed teacher at school for troubled students. Shooter ran from classroom but was detained by other teachers. The shooter had been expelled from another school the week prior. Motive is unknown.")</f>
        <v>Shooter (student) killed teacher at school for troubled students. Shooter ran from classroom but was detained by other teachers. The shooter had been expelled from another school the week prior. Motive is unknown.</v>
      </c>
      <c r="AA2525" s="8" t="str">
        <f ca="1">IFERROR(__xludf.DUMMYFUNCTION("""COMPUTED_VALUE"""),"Anger Over Grade/Suspension/Discipline")</f>
        <v>Anger Over Grade/Suspension/Discipline</v>
      </c>
      <c r="AB2525" s="8"/>
      <c r="AC2525" s="8"/>
      <c r="AD2525" s="8" t="str">
        <f ca="1">IFERROR(__xludf.DUMMYFUNCTION("""COMPUTED_VALUE"""),"Victims Targeted")</f>
        <v>Victims Targeted</v>
      </c>
      <c r="AE2525" s="8" t="str">
        <f ca="1">IFERROR(__xludf.DUMMYFUNCTION("""COMPUTED_VALUE"""),"No")</f>
        <v>No</v>
      </c>
      <c r="AF2525" s="8"/>
      <c r="AG2525" s="8" t="str">
        <f ca="1">IFERROR(__xludf.DUMMYFUNCTION("""COMPUTED_VALUE"""),"No")</f>
        <v>No</v>
      </c>
      <c r="AH2525" s="8" t="str">
        <f ca="1">IFERROR(__xludf.DUMMYFUNCTION("""COMPUTED_VALUE"""),"No")</f>
        <v>No</v>
      </c>
      <c r="AI2525" s="8" t="str">
        <f ca="1">IFERROR(__xludf.DUMMYFUNCTION("""COMPUTED_VALUE"""),"No")</f>
        <v>No</v>
      </c>
      <c r="AJ2525" s="8" t="str">
        <f ca="1">IFERROR(__xludf.DUMMYFUNCTION("""COMPUTED_VALUE"""),"No")</f>
        <v>No</v>
      </c>
      <c r="AK2525" s="8" t="str">
        <f ca="1">IFERROR(__xludf.DUMMYFUNCTION("""COMPUTED_VALUE"""),"No")</f>
        <v>No</v>
      </c>
      <c r="AL2525" s="8" t="str">
        <f ca="1">IFERROR(__xludf.DUMMYFUNCTION("""COMPUTED_VALUE"""),"No")</f>
        <v>No</v>
      </c>
      <c r="AM2525" s="8"/>
      <c r="AN2525" s="8"/>
      <c r="AO2525" s="8" t="str">
        <f ca="1">IFERROR(__xludf.DUMMYFUNCTION("""COMPUTED_VALUE"""),"No")</f>
        <v>No</v>
      </c>
      <c r="AP2525" s="8"/>
      <c r="AQ2525" s="8" t="str">
        <f ca="1">IFERROR(__xludf.DUMMYFUNCTION("""COMPUTED_VALUE"""),"Unknown")</f>
        <v>Unknown</v>
      </c>
      <c r="AR2525" s="8" t="str">
        <f ca="1">IFERROR(__xludf.DUMMYFUNCTION("""COMPUTED_VALUE"""),"NA")</f>
        <v>NA</v>
      </c>
      <c r="AS2525" s="8"/>
      <c r="AT2525" s="8"/>
      <c r="AU2525" s="8">
        <f ca="1">IFERROR(__xludf.DUMMYFUNCTION("""COMPUTED_VALUE"""),33.798154)</f>
        <v>33.798153999999997</v>
      </c>
      <c r="AV2525" s="8">
        <f ca="1">IFERROR(__xludf.DUMMYFUNCTION("""COMPUTED_VALUE"""),-84.198038)</f>
        <v>-84.198037999999997</v>
      </c>
      <c r="AW2525" s="8"/>
      <c r="AX2525" s="8">
        <f ca="1">IFERROR(__xludf.DUMMYFUNCTION("""COMPUTED_VALUE"""),30083)</f>
        <v>30083</v>
      </c>
    </row>
    <row r="2526" spans="1:50" ht="75" x14ac:dyDescent="0.2">
      <c r="A2526" s="8" t="str">
        <f ca="1">IFERROR(__xludf.DUMMYFUNCTION("""COMPUTED_VALUE"""),"19960726CAJOL")</f>
        <v>19960726CAJOL</v>
      </c>
      <c r="B2526" s="8">
        <f ca="1">IFERROR(__xludf.DUMMYFUNCTION("""COMPUTED_VALUE"""),7)</f>
        <v>7</v>
      </c>
      <c r="C2526" s="8">
        <f ca="1">IFERROR(__xludf.DUMMYFUNCTION("""COMPUTED_VALUE"""),26)</f>
        <v>26</v>
      </c>
      <c r="D2526" s="8">
        <f ca="1">IFERROR(__xludf.DUMMYFUNCTION("""COMPUTED_VALUE"""),1996)</f>
        <v>1996</v>
      </c>
      <c r="E2526" s="9">
        <f ca="1">IFERROR(__xludf.DUMMYFUNCTION("""COMPUTED_VALUE"""),35272)</f>
        <v>35272</v>
      </c>
      <c r="F2526" s="8" t="str">
        <f ca="1">IFERROR(__xludf.DUMMYFUNCTION("""COMPUTED_VALUE"""),"John Marshall High School")</f>
        <v>John Marshall High School</v>
      </c>
      <c r="G2526" s="8">
        <f ca="1">IFERROR(__xludf.DUMMYFUNCTION("""COMPUTED_VALUE"""),0)</f>
        <v>0</v>
      </c>
      <c r="H2526" s="8">
        <f ca="1">IFERROR(__xludf.DUMMYFUNCTION("""COMPUTED_VALUE"""),2)</f>
        <v>2</v>
      </c>
      <c r="I2526" s="8">
        <f ca="1">IFERROR(__xludf.DUMMYFUNCTION("""COMPUTED_VALUE"""),2)</f>
        <v>2</v>
      </c>
      <c r="J2526" s="8">
        <f ca="1">IFERROR(__xludf.DUMMYFUNCTION("""COMPUTED_VALUE"""),0)</f>
        <v>0</v>
      </c>
      <c r="K2526" s="8" t="str">
        <f ca="1">IFERROR(__xludf.DUMMYFUNCTION("""COMPUTED_VALUE"""),"L.A. Times - 2 Students Hurt in Shooting at Marshall High; L.A. Times - Student is Charged in Marshall High Shootings; https://www.columbine-angels.com/School_Violence_1995-1996.htm")</f>
        <v>L.A. Times - 2 Students Hurt in Shooting at Marshall High; L.A. Times - Student is Charged in Marshall High Shootings; https://www.columbine-angels.com/School_Violence_1995-1996.htm</v>
      </c>
      <c r="L2526" s="8"/>
      <c r="M2526" s="8"/>
      <c r="N2526" s="8">
        <f ca="1">IFERROR(__xludf.DUMMYFUNCTION("""COMPUTED_VALUE"""),1)</f>
        <v>1</v>
      </c>
      <c r="O2526" s="8" t="str">
        <f ca="1">IFERROR(__xludf.DUMMYFUNCTION("""COMPUTED_VALUE"""),"Summer")</f>
        <v>Summer</v>
      </c>
      <c r="P2526" s="8" t="str">
        <f ca="1">IFERROR(__xludf.DUMMYFUNCTION("""COMPUTED_VALUE"""),"Los Angeles")</f>
        <v>Los Angeles</v>
      </c>
      <c r="Q2526" s="8" t="str">
        <f ca="1">IFERROR(__xludf.DUMMYFUNCTION("""COMPUTED_VALUE"""),"CA")</f>
        <v>CA</v>
      </c>
      <c r="R2526" s="8" t="str">
        <f ca="1">IFERROR(__xludf.DUMMYFUNCTION("""COMPUTED_VALUE"""),"High")</f>
        <v>High</v>
      </c>
      <c r="S2526" s="8" t="str">
        <f ca="1">IFERROR(__xludf.DUMMYFUNCTION("""COMPUTED_VALUE"""),"Hallway")</f>
        <v>Hallway</v>
      </c>
      <c r="T2526" s="8" t="str">
        <f ca="1">IFERROR(__xludf.DUMMYFUNCTION("""COMPUTED_VALUE"""),"Inside School Building")</f>
        <v>Inside School Building</v>
      </c>
      <c r="U2526" s="8" t="str">
        <f ca="1">IFERROR(__xludf.DUMMYFUNCTION("""COMPUTED_VALUE"""),"Yes")</f>
        <v>Yes</v>
      </c>
      <c r="V2526" s="8" t="str">
        <f ca="1">IFERROR(__xludf.DUMMYFUNCTION("""COMPUTED_VALUE"""),"Afternoon Classes")</f>
        <v>Afternoon Classes</v>
      </c>
      <c r="W2526" s="11">
        <f ca="1">IFERROR(__xludf.DUMMYFUNCTION("""COMPUTED_VALUE"""),0.583333333333333)</f>
        <v>0.58333333333333304</v>
      </c>
      <c r="X2526" s="8">
        <f ca="1">IFERROR(__xludf.DUMMYFUNCTION("""COMPUTED_VALUE"""),1)</f>
        <v>1</v>
      </c>
      <c r="Y2526" s="12" t="str">
        <f ca="1">IFERROR(__xludf.DUMMYFUNCTION("""COMPUTED_VALUE"""),"Missed intended target, hit two other students in stairwell")</f>
        <v>Missed intended target, hit two other students in stairwell</v>
      </c>
      <c r="Z2526" s="12" t="str">
        <f ca="1">IFERROR(__xludf.DUMMYFUNCTION("""COMPUTED_VALUE"""),"18YOM targeted specific victim in school stairwell between classes. Missed victim and struck two other students causing injuries. Ran to next class and was found by police officers based on witness statements. Police officer assigned to school was in the "&amp;"stairwell during the shooting.")</f>
        <v>18YOM targeted specific victim in school stairwell between classes. Missed victim and struck two other students causing injuries. Ran to next class and was found by police officers based on witness statements. Police officer assigned to school was in the stairwell during the shooting.</v>
      </c>
      <c r="AA2526" s="8" t="str">
        <f ca="1">IFERROR(__xludf.DUMMYFUNCTION("""COMPUTED_VALUE"""),"Escalation of Dispute")</f>
        <v>Escalation of Dispute</v>
      </c>
      <c r="AB2526" s="8"/>
      <c r="AC2526" s="8"/>
      <c r="AD2526" s="8" t="str">
        <f ca="1">IFERROR(__xludf.DUMMYFUNCTION("""COMPUTED_VALUE"""),"Both")</f>
        <v>Both</v>
      </c>
      <c r="AE2526" s="8" t="str">
        <f ca="1">IFERROR(__xludf.DUMMYFUNCTION("""COMPUTED_VALUE"""),"No")</f>
        <v>No</v>
      </c>
      <c r="AF2526" s="8"/>
      <c r="AG2526" s="8" t="str">
        <f ca="1">IFERROR(__xludf.DUMMYFUNCTION("""COMPUTED_VALUE"""),"No")</f>
        <v>No</v>
      </c>
      <c r="AH2526" s="8" t="str">
        <f ca="1">IFERROR(__xludf.DUMMYFUNCTION("""COMPUTED_VALUE"""),"No")</f>
        <v>No</v>
      </c>
      <c r="AI2526" s="8" t="str">
        <f ca="1">IFERROR(__xludf.DUMMYFUNCTION("""COMPUTED_VALUE"""),"No")</f>
        <v>No</v>
      </c>
      <c r="AJ2526" s="8" t="str">
        <f ca="1">IFERROR(__xludf.DUMMYFUNCTION("""COMPUTED_VALUE"""),"No")</f>
        <v>No</v>
      </c>
      <c r="AK2526" s="8" t="str">
        <f ca="1">IFERROR(__xludf.DUMMYFUNCTION("""COMPUTED_VALUE"""),"No")</f>
        <v>No</v>
      </c>
      <c r="AL2526" s="8" t="str">
        <f ca="1">IFERROR(__xludf.DUMMYFUNCTION("""COMPUTED_VALUE"""),"No")</f>
        <v>No</v>
      </c>
      <c r="AM2526" s="8"/>
      <c r="AN2526" s="8"/>
      <c r="AO2526" s="8" t="str">
        <f ca="1">IFERROR(__xludf.DUMMYFUNCTION("""COMPUTED_VALUE"""),"No")</f>
        <v>No</v>
      </c>
      <c r="AP2526" s="8" t="str">
        <f ca="1">IFERROR(__xludf.DUMMYFUNCTION("""COMPUTED_VALUE"""),"Yes")</f>
        <v>Yes</v>
      </c>
      <c r="AQ2526" s="8" t="str">
        <f ca="1">IFERROR(__xludf.DUMMYFUNCTION("""COMPUTED_VALUE"""),"Unknown")</f>
        <v>Unknown</v>
      </c>
      <c r="AR2526" s="8" t="str">
        <f ca="1">IFERROR(__xludf.DUMMYFUNCTION("""COMPUTED_VALUE"""),"NA")</f>
        <v>NA</v>
      </c>
      <c r="AS2526" s="8">
        <f ca="1">IFERROR(__xludf.DUMMYFUNCTION("""COMPUTED_VALUE"""),2)</f>
        <v>2</v>
      </c>
      <c r="AT2526" s="8"/>
      <c r="AU2526" s="8">
        <f ca="1">IFERROR(__xludf.DUMMYFUNCTION("""COMPUTED_VALUE"""),34.0522342)</f>
        <v>34.052234200000001</v>
      </c>
      <c r="AV2526" s="8">
        <f ca="1">IFERROR(__xludf.DUMMYFUNCTION("""COMPUTED_VALUE"""),-118.2436849)</f>
        <v>-118.24368490000001</v>
      </c>
      <c r="AW2526" s="8"/>
      <c r="AX2526" s="8">
        <f ca="1">IFERROR(__xludf.DUMMYFUNCTION("""COMPUTED_VALUE"""),90012)</f>
        <v>90012</v>
      </c>
    </row>
    <row r="2527" spans="1:50" ht="30" x14ac:dyDescent="0.2">
      <c r="A2527" s="8" t="str">
        <f ca="1">IFERROR(__xludf.DUMMYFUNCTION("""COMPUTED_VALUE"""),"19960604CAWEH")</f>
        <v>19960604CAWEH</v>
      </c>
      <c r="B2527" s="8">
        <f ca="1">IFERROR(__xludf.DUMMYFUNCTION("""COMPUTED_VALUE"""),6)</f>
        <v>6</v>
      </c>
      <c r="C2527" s="8">
        <f ca="1">IFERROR(__xludf.DUMMYFUNCTION("""COMPUTED_VALUE"""),4)</f>
        <v>4</v>
      </c>
      <c r="D2527" s="8">
        <f ca="1">IFERROR(__xludf.DUMMYFUNCTION("""COMPUTED_VALUE"""),1996)</f>
        <v>1996</v>
      </c>
      <c r="E2527" s="9">
        <f ca="1">IFERROR(__xludf.DUMMYFUNCTION("""COMPUTED_VALUE"""),35220)</f>
        <v>35220</v>
      </c>
      <c r="F2527" s="8" t="str">
        <f ca="1">IFERROR(__xludf.DUMMYFUNCTION("""COMPUTED_VALUE"""),"West Valley High School")</f>
        <v>West Valley High School</v>
      </c>
      <c r="G2527" s="8">
        <f ca="1">IFERROR(__xludf.DUMMYFUNCTION("""COMPUTED_VALUE"""),0)</f>
        <v>0</v>
      </c>
      <c r="H2527" s="8">
        <f ca="1">IFERROR(__xludf.DUMMYFUNCTION("""COMPUTED_VALUE"""),0)</f>
        <v>0</v>
      </c>
      <c r="I2527" s="8">
        <f ca="1">IFERROR(__xludf.DUMMYFUNCTION("""COMPUTED_VALUE"""),0)</f>
        <v>0</v>
      </c>
      <c r="J2527" s="8">
        <f ca="1">IFERROR(__xludf.DUMMYFUNCTION("""COMPUTED_VALUE"""),1)</f>
        <v>1</v>
      </c>
      <c r="K2527" s="10" t="str">
        <f ca="1">IFERROR(__xludf.DUMMYFUNCTION("""COMPUTED_VALUE"""),"https://www.columbine-angels.com/School_Violence_1995-1996.htm")</f>
        <v>https://www.columbine-angels.com/School_Violence_1995-1996.htm</v>
      </c>
      <c r="L2527" s="8"/>
      <c r="M2527" s="8"/>
      <c r="N2527" s="8">
        <f ca="1">IFERROR(__xludf.DUMMYFUNCTION("""COMPUTED_VALUE"""),1)</f>
        <v>1</v>
      </c>
      <c r="O2527" s="8" t="str">
        <f ca="1">IFERROR(__xludf.DUMMYFUNCTION("""COMPUTED_VALUE"""),"Summer")</f>
        <v>Summer</v>
      </c>
      <c r="P2527" s="8" t="str">
        <f ca="1">IFERROR(__xludf.DUMMYFUNCTION("""COMPUTED_VALUE"""),"Hemet")</f>
        <v>Hemet</v>
      </c>
      <c r="Q2527" s="8" t="str">
        <f ca="1">IFERROR(__xludf.DUMMYFUNCTION("""COMPUTED_VALUE"""),"CA")</f>
        <v>CA</v>
      </c>
      <c r="R2527" s="8" t="str">
        <f ca="1">IFERROR(__xludf.DUMMYFUNCTION("""COMPUTED_VALUE"""),"High")</f>
        <v>High</v>
      </c>
      <c r="S2527" s="8" t="str">
        <f ca="1">IFERROR(__xludf.DUMMYFUNCTION("""COMPUTED_VALUE"""),"Inside School Building")</f>
        <v>Inside School Building</v>
      </c>
      <c r="T2527" s="8" t="str">
        <f ca="1">IFERROR(__xludf.DUMMYFUNCTION("""COMPUTED_VALUE"""),"Inside School Building")</f>
        <v>Inside School Building</v>
      </c>
      <c r="U2527" s="8" t="str">
        <f ca="1">IFERROR(__xludf.DUMMYFUNCTION("""COMPUTED_VALUE"""),"Yes")</f>
        <v>Yes</v>
      </c>
      <c r="V2527" s="8" t="str">
        <f ca="1">IFERROR(__xludf.DUMMYFUNCTION("""COMPUTED_VALUE"""),"School Start")</f>
        <v>School Start</v>
      </c>
      <c r="W2527" s="8"/>
      <c r="X2527" s="8">
        <f ca="1">IFERROR(__xludf.DUMMYFUNCTION("""COMPUTED_VALUE"""),1)</f>
        <v>1</v>
      </c>
      <c r="Y2527" s="12" t="str">
        <f ca="1">IFERROR(__xludf.DUMMYFUNCTION("""COMPUTED_VALUE"""),"Shot self prior to classes starting")</f>
        <v>Shot self prior to classes starting</v>
      </c>
      <c r="Z2527" s="12" t="str">
        <f ca="1">IFERROR(__xludf.DUMMYFUNCTION("""COMPUTED_VALUE"""),"16YOM commit suicide as students were arriving for class.")</f>
        <v>16YOM commit suicide as students were arriving for class.</v>
      </c>
      <c r="AA2527" s="8" t="str">
        <f ca="1">IFERROR(__xludf.DUMMYFUNCTION("""COMPUTED_VALUE"""),"Suicide/Attempted")</f>
        <v>Suicide/Attempted</v>
      </c>
      <c r="AB2527" s="8"/>
      <c r="AC2527" s="8"/>
      <c r="AD2527" s="8" t="str">
        <f ca="1">IFERROR(__xludf.DUMMYFUNCTION("""COMPUTED_VALUE"""),"Victims Targeted")</f>
        <v>Victims Targeted</v>
      </c>
      <c r="AE2527" s="8" t="str">
        <f ca="1">IFERROR(__xludf.DUMMYFUNCTION("""COMPUTED_VALUE"""),"No")</f>
        <v>No</v>
      </c>
      <c r="AF2527" s="8"/>
      <c r="AG2527" s="8" t="str">
        <f ca="1">IFERROR(__xludf.DUMMYFUNCTION("""COMPUTED_VALUE"""),"No")</f>
        <v>No</v>
      </c>
      <c r="AH2527" s="8" t="str">
        <f ca="1">IFERROR(__xludf.DUMMYFUNCTION("""COMPUTED_VALUE"""),"No")</f>
        <v>No</v>
      </c>
      <c r="AI2527" s="8" t="str">
        <f ca="1">IFERROR(__xludf.DUMMYFUNCTION("""COMPUTED_VALUE"""),"No")</f>
        <v>No</v>
      </c>
      <c r="AJ2527" s="8" t="str">
        <f ca="1">IFERROR(__xludf.DUMMYFUNCTION("""COMPUTED_VALUE"""),"No")</f>
        <v>No</v>
      </c>
      <c r="AK2527" s="8" t="str">
        <f ca="1">IFERROR(__xludf.DUMMYFUNCTION("""COMPUTED_VALUE"""),"No")</f>
        <v>No</v>
      </c>
      <c r="AL2527" s="8" t="str">
        <f ca="1">IFERROR(__xludf.DUMMYFUNCTION("""COMPUTED_VALUE"""),"No")</f>
        <v>No</v>
      </c>
      <c r="AM2527" s="8"/>
      <c r="AN2527" s="8"/>
      <c r="AO2527" s="8" t="str">
        <f ca="1">IFERROR(__xludf.DUMMYFUNCTION("""COMPUTED_VALUE"""),"No")</f>
        <v>No</v>
      </c>
      <c r="AP2527" s="8"/>
      <c r="AQ2527" s="8" t="str">
        <f ca="1">IFERROR(__xludf.DUMMYFUNCTION("""COMPUTED_VALUE"""),"Unknown")</f>
        <v>Unknown</v>
      </c>
      <c r="AR2527" s="8" t="str">
        <f ca="1">IFERROR(__xludf.DUMMYFUNCTION("""COMPUTED_VALUE"""),"NA")</f>
        <v>NA</v>
      </c>
      <c r="AS2527" s="8">
        <f ca="1">IFERROR(__xludf.DUMMYFUNCTION("""COMPUTED_VALUE"""),1)</f>
        <v>1</v>
      </c>
      <c r="AT2527" s="8"/>
      <c r="AU2527" s="8">
        <f ca="1">IFERROR(__xludf.DUMMYFUNCTION("""COMPUTED_VALUE"""),33.719976)</f>
        <v>33.719976000000003</v>
      </c>
      <c r="AV2527" s="8">
        <f ca="1">IFERROR(__xludf.DUMMYFUNCTION("""COMPUTED_VALUE"""),-117.009756)</f>
        <v>-117.009756</v>
      </c>
      <c r="AW2527" s="8"/>
      <c r="AX2527" s="8">
        <f ca="1">IFERROR(__xludf.DUMMYFUNCTION("""COMPUTED_VALUE"""),92545)</f>
        <v>92545</v>
      </c>
    </row>
    <row r="2528" spans="1:50" ht="45" x14ac:dyDescent="0.2">
      <c r="A2528" s="8" t="str">
        <f ca="1">IFERROR(__xludf.DUMMYFUNCTION("""COMPUTED_VALUE"""),"19960522CACOC")</f>
        <v>19960522CACOC</v>
      </c>
      <c r="B2528" s="8">
        <f ca="1">IFERROR(__xludf.DUMMYFUNCTION("""COMPUTED_VALUE"""),5)</f>
        <v>5</v>
      </c>
      <c r="C2528" s="8">
        <f ca="1">IFERROR(__xludf.DUMMYFUNCTION("""COMPUTED_VALUE"""),22)</f>
        <v>22</v>
      </c>
      <c r="D2528" s="8">
        <f ca="1">IFERROR(__xludf.DUMMYFUNCTION("""COMPUTED_VALUE"""),1996)</f>
        <v>1996</v>
      </c>
      <c r="E2528" s="9">
        <f ca="1">IFERROR(__xludf.DUMMYFUNCTION("""COMPUTED_VALUE"""),35207)</f>
        <v>35207</v>
      </c>
      <c r="F2528" s="8" t="str">
        <f ca="1">IFERROR(__xludf.DUMMYFUNCTION("""COMPUTED_VALUE"""),"Colton High School")</f>
        <v>Colton High School</v>
      </c>
      <c r="G2528" s="8">
        <f ca="1">IFERROR(__xludf.DUMMYFUNCTION("""COMPUTED_VALUE"""),1)</f>
        <v>1</v>
      </c>
      <c r="H2528" s="8">
        <f ca="1">IFERROR(__xludf.DUMMYFUNCTION("""COMPUTED_VALUE"""),0)</f>
        <v>0</v>
      </c>
      <c r="I2528" s="8">
        <f ca="1">IFERROR(__xludf.DUMMYFUNCTION("""COMPUTED_VALUE"""),1)</f>
        <v>1</v>
      </c>
      <c r="J2528" s="8">
        <f ca="1">IFERROR(__xludf.DUMMYFUNCTION("""COMPUTED_VALUE"""),0)</f>
        <v>0</v>
      </c>
      <c r="K2528" s="10" t="str">
        <f ca="1">IFERROR(__xludf.DUMMYFUNCTION("""COMPUTED_VALUE"""),"https://pepperbough.com/features/2012/08/17/who-mourns-for-sexy-x/")</f>
        <v>https://pepperbough.com/features/2012/08/17/who-mourns-for-sexy-x/</v>
      </c>
      <c r="L2528" s="8"/>
      <c r="M2528" s="8"/>
      <c r="N2528" s="8">
        <f ca="1">IFERROR(__xludf.DUMMYFUNCTION("""COMPUTED_VALUE"""),1)</f>
        <v>1</v>
      </c>
      <c r="O2528" s="8" t="str">
        <f ca="1">IFERROR(__xludf.DUMMYFUNCTION("""COMPUTED_VALUE"""),"Spring")</f>
        <v>Spring</v>
      </c>
      <c r="P2528" s="8" t="str">
        <f ca="1">IFERROR(__xludf.DUMMYFUNCTION("""COMPUTED_VALUE"""),"Colton")</f>
        <v>Colton</v>
      </c>
      <c r="Q2528" s="8" t="str">
        <f ca="1">IFERROR(__xludf.DUMMYFUNCTION("""COMPUTED_VALUE"""),"CA")</f>
        <v>CA</v>
      </c>
      <c r="R2528" s="8" t="str">
        <f ca="1">IFERROR(__xludf.DUMMYFUNCTION("""COMPUTED_VALUE"""),"High")</f>
        <v>High</v>
      </c>
      <c r="S2528" s="8" t="str">
        <f ca="1">IFERROR(__xludf.DUMMYFUNCTION("""COMPUTED_VALUE"""),"Outside on School Property")</f>
        <v>Outside on School Property</v>
      </c>
      <c r="T2528" s="8" t="str">
        <f ca="1">IFERROR(__xludf.DUMMYFUNCTION("""COMPUTED_VALUE"""),"Outside on School Property")</f>
        <v>Outside on School Property</v>
      </c>
      <c r="U2528" s="8" t="str">
        <f ca="1">IFERROR(__xludf.DUMMYFUNCTION("""COMPUTED_VALUE"""),"Yes")</f>
        <v>Yes</v>
      </c>
      <c r="V2528" s="8" t="str">
        <f ca="1">IFERROR(__xludf.DUMMYFUNCTION("""COMPUTED_VALUE"""),"Afternoon Classes")</f>
        <v>Afternoon Classes</v>
      </c>
      <c r="W2528" s="11">
        <f ca="1">IFERROR(__xludf.DUMMYFUNCTION("""COMPUTED_VALUE"""),0.597222222222222)</f>
        <v>0.59722222222222199</v>
      </c>
      <c r="X2528" s="8">
        <f ca="1">IFERROR(__xludf.DUMMYFUNCTION("""COMPUTED_VALUE"""),1)</f>
        <v>1</v>
      </c>
      <c r="Y2528" s="12" t="str">
        <f ca="1">IFERROR(__xludf.DUMMYFUNCTION("""COMPUTED_VALUE"""),"Student executed outside of school by another student")</f>
        <v>Student executed outside of school by another student</v>
      </c>
      <c r="Z2528" s="12" t="str">
        <f ca="1">IFERROR(__xludf.DUMMYFUNCTION("""COMPUTED_VALUE"""),"14YOM executed 14YOM student in front of multiple witnesses to increase his ""street cred"" with a gang.")</f>
        <v>14YOM executed 14YOM student in front of multiple witnesses to increase his "street cred" with a gang.</v>
      </c>
      <c r="AA2528" s="8" t="str">
        <f ca="1">IFERROR(__xludf.DUMMYFUNCTION("""COMPUTED_VALUE"""),"Illegal Activity")</f>
        <v>Illegal Activity</v>
      </c>
      <c r="AB2528" s="8"/>
      <c r="AC2528" s="8"/>
      <c r="AD2528" s="8" t="str">
        <f ca="1">IFERROR(__xludf.DUMMYFUNCTION("""COMPUTED_VALUE"""),"Victims Targeted")</f>
        <v>Victims Targeted</v>
      </c>
      <c r="AE2528" s="8" t="str">
        <f ca="1">IFERROR(__xludf.DUMMYFUNCTION("""COMPUTED_VALUE"""),"No")</f>
        <v>No</v>
      </c>
      <c r="AF2528" s="8"/>
      <c r="AG2528" s="8" t="str">
        <f ca="1">IFERROR(__xludf.DUMMYFUNCTION("""COMPUTED_VALUE"""),"No")</f>
        <v>No</v>
      </c>
      <c r="AH2528" s="8" t="str">
        <f ca="1">IFERROR(__xludf.DUMMYFUNCTION("""COMPUTED_VALUE"""),"No")</f>
        <v>No</v>
      </c>
      <c r="AI2528" s="8" t="str">
        <f ca="1">IFERROR(__xludf.DUMMYFUNCTION("""COMPUTED_VALUE"""),"No")</f>
        <v>No</v>
      </c>
      <c r="AJ2528" s="8"/>
      <c r="AK2528" s="8" t="str">
        <f ca="1">IFERROR(__xludf.DUMMYFUNCTION("""COMPUTED_VALUE"""),"No")</f>
        <v>No</v>
      </c>
      <c r="AL2528" s="8" t="str">
        <f ca="1">IFERROR(__xludf.DUMMYFUNCTION("""COMPUTED_VALUE"""),"Yes")</f>
        <v>Yes</v>
      </c>
      <c r="AM2528" s="8"/>
      <c r="AN2528" s="8"/>
      <c r="AO2528" s="8" t="str">
        <f ca="1">IFERROR(__xludf.DUMMYFUNCTION("""COMPUTED_VALUE"""),"No")</f>
        <v>No</v>
      </c>
      <c r="AP2528" s="8"/>
      <c r="AQ2528" s="8" t="str">
        <f ca="1">IFERROR(__xludf.DUMMYFUNCTION("""COMPUTED_VALUE"""),"Unknown")</f>
        <v>Unknown</v>
      </c>
      <c r="AR2528" s="8" t="str">
        <f ca="1">IFERROR(__xludf.DUMMYFUNCTION("""COMPUTED_VALUE"""),"NA")</f>
        <v>NA</v>
      </c>
      <c r="AS2528" s="8" t="str">
        <f ca="1">IFERROR(__xludf.DUMMYFUNCTION("""COMPUTED_VALUE"""),"&lt;10")</f>
        <v>&lt;10</v>
      </c>
      <c r="AT2528" s="8"/>
      <c r="AU2528" s="8">
        <f ca="1">IFERROR(__xludf.DUMMYFUNCTION("""COMPUTED_VALUE"""),34.070029)</f>
        <v>34.070028999999998</v>
      </c>
      <c r="AV2528" s="8">
        <f ca="1">IFERROR(__xludf.DUMMYFUNCTION("""COMPUTED_VALUE"""),-117.334367)</f>
        <v>-117.334367</v>
      </c>
      <c r="AW2528" s="8"/>
      <c r="AX2528" s="8">
        <f ca="1">IFERROR(__xludf.DUMMYFUNCTION("""COMPUTED_VALUE"""),92324)</f>
        <v>92324</v>
      </c>
    </row>
    <row r="2529" spans="1:50" ht="45" x14ac:dyDescent="0.2">
      <c r="A2529" s="8" t="str">
        <f ca="1">IFERROR(__xludf.DUMMYFUNCTION("""COMPUTED_VALUE"""),"19960514UTBIT")</f>
        <v>19960514UTBIT</v>
      </c>
      <c r="B2529" s="8">
        <f ca="1">IFERROR(__xludf.DUMMYFUNCTION("""COMPUTED_VALUE"""),5)</f>
        <v>5</v>
      </c>
      <c r="C2529" s="8">
        <f ca="1">IFERROR(__xludf.DUMMYFUNCTION("""COMPUTED_VALUE"""),14)</f>
        <v>14</v>
      </c>
      <c r="D2529" s="8">
        <f ca="1">IFERROR(__xludf.DUMMYFUNCTION("""COMPUTED_VALUE"""),1996)</f>
        <v>1996</v>
      </c>
      <c r="E2529" s="9">
        <f ca="1">IFERROR(__xludf.DUMMYFUNCTION("""COMPUTED_VALUE"""),35199)</f>
        <v>35199</v>
      </c>
      <c r="F2529" s="8" t="str">
        <f ca="1">IFERROR(__xludf.DUMMYFUNCTION("""COMPUTED_VALUE"""),"Bingham Middle School")</f>
        <v>Bingham Middle School</v>
      </c>
      <c r="G2529" s="8">
        <f ca="1">IFERROR(__xludf.DUMMYFUNCTION("""COMPUTED_VALUE"""),0)</f>
        <v>0</v>
      </c>
      <c r="H2529" s="8">
        <f ca="1">IFERROR(__xludf.DUMMYFUNCTION("""COMPUTED_VALUE"""),1)</f>
        <v>1</v>
      </c>
      <c r="I2529" s="8">
        <f ca="1">IFERROR(__xludf.DUMMYFUNCTION("""COMPUTED_VALUE"""),1)</f>
        <v>1</v>
      </c>
      <c r="J2529" s="8">
        <f ca="1">IFERROR(__xludf.DUMMYFUNCTION("""COMPUTED_VALUE"""),1)</f>
        <v>1</v>
      </c>
      <c r="K2529" s="10" t="str">
        <f ca="1">IFERROR(__xludf.DUMMYFUNCTION("""COMPUTED_VALUE"""),"https://www.columbine-angels.com/School_Violence_1995-1996.htm")</f>
        <v>https://www.columbine-angels.com/School_Violence_1995-1996.htm</v>
      </c>
      <c r="L2529" s="8"/>
      <c r="M2529" s="8"/>
      <c r="N2529" s="8">
        <f ca="1">IFERROR(__xludf.DUMMYFUNCTION("""COMPUTED_VALUE"""),1)</f>
        <v>1</v>
      </c>
      <c r="O2529" s="8" t="str">
        <f ca="1">IFERROR(__xludf.DUMMYFUNCTION("""COMPUTED_VALUE"""),"Spring")</f>
        <v>Spring</v>
      </c>
      <c r="P2529" s="8" t="str">
        <f ca="1">IFERROR(__xludf.DUMMYFUNCTION("""COMPUTED_VALUE"""),"Taylorsville")</f>
        <v>Taylorsville</v>
      </c>
      <c r="Q2529" s="8" t="str">
        <f ca="1">IFERROR(__xludf.DUMMYFUNCTION("""COMPUTED_VALUE"""),"UT")</f>
        <v>UT</v>
      </c>
      <c r="R2529" s="8" t="str">
        <f ca="1">IFERROR(__xludf.DUMMYFUNCTION("""COMPUTED_VALUE"""),"High")</f>
        <v>High</v>
      </c>
      <c r="S2529" s="8" t="str">
        <f ca="1">IFERROR(__xludf.DUMMYFUNCTION("""COMPUTED_VALUE"""),"School Bus")</f>
        <v>School Bus</v>
      </c>
      <c r="T2529" s="8" t="str">
        <f ca="1">IFERROR(__xludf.DUMMYFUNCTION("""COMPUTED_VALUE"""),"School Bus")</f>
        <v>School Bus</v>
      </c>
      <c r="U2529" s="8"/>
      <c r="V2529" s="8"/>
      <c r="W2529" s="8"/>
      <c r="X2529" s="8"/>
      <c r="Y2529" s="12" t="str">
        <f ca="1">IFERROR(__xludf.DUMMYFUNCTION("""COMPUTED_VALUE"""),"Shot bus driver, stole bus, crashed bus, killed self")</f>
        <v>Shot bus driver, stole bus, crashed bus, killed self</v>
      </c>
      <c r="Z2529" s="12" t="str">
        <f ca="1">IFERROR(__xludf.DUMMYFUNCTION("""COMPUTED_VALUE"""),"15YOM shot the bus driver, stole the school bus, crashed into multiple cars, crashed into house, and shot himself (suicide).")</f>
        <v>15YOM shot the bus driver, stole the school bus, crashed into multiple cars, crashed into house, and shot himself (suicide).</v>
      </c>
      <c r="AA2529" s="8" t="str">
        <f ca="1">IFERROR(__xludf.DUMMYFUNCTION("""COMPUTED_VALUE"""),"Suicide/Attempted")</f>
        <v>Suicide/Attempted</v>
      </c>
      <c r="AB2529" s="8"/>
      <c r="AC2529" s="8"/>
      <c r="AD2529" s="8" t="str">
        <f ca="1">IFERROR(__xludf.DUMMYFUNCTION("""COMPUTED_VALUE"""),"Victims Targeted")</f>
        <v>Victims Targeted</v>
      </c>
      <c r="AE2529" s="8" t="str">
        <f ca="1">IFERROR(__xludf.DUMMYFUNCTION("""COMPUTED_VALUE"""),"No")</f>
        <v>No</v>
      </c>
      <c r="AF2529" s="8"/>
      <c r="AG2529" s="8" t="str">
        <f ca="1">IFERROR(__xludf.DUMMYFUNCTION("""COMPUTED_VALUE"""),"No")</f>
        <v>No</v>
      </c>
      <c r="AH2529" s="8" t="str">
        <f ca="1">IFERROR(__xludf.DUMMYFUNCTION("""COMPUTED_VALUE"""),"No")</f>
        <v>No</v>
      </c>
      <c r="AI2529" s="8" t="str">
        <f ca="1">IFERROR(__xludf.DUMMYFUNCTION("""COMPUTED_VALUE"""),"No")</f>
        <v>No</v>
      </c>
      <c r="AJ2529" s="8" t="str">
        <f ca="1">IFERROR(__xludf.DUMMYFUNCTION("""COMPUTED_VALUE"""),"No")</f>
        <v>No</v>
      </c>
      <c r="AK2529" s="8" t="str">
        <f ca="1">IFERROR(__xludf.DUMMYFUNCTION("""COMPUTED_VALUE"""),"No")</f>
        <v>No</v>
      </c>
      <c r="AL2529" s="8" t="str">
        <f ca="1">IFERROR(__xludf.DUMMYFUNCTION("""COMPUTED_VALUE"""),"No")</f>
        <v>No</v>
      </c>
      <c r="AM2529" s="8"/>
      <c r="AN2529" s="8"/>
      <c r="AO2529" s="8" t="str">
        <f ca="1">IFERROR(__xludf.DUMMYFUNCTION("""COMPUTED_VALUE"""),"No")</f>
        <v>No</v>
      </c>
      <c r="AP2529" s="8"/>
      <c r="AQ2529" s="8" t="str">
        <f ca="1">IFERROR(__xludf.DUMMYFUNCTION("""COMPUTED_VALUE"""),"Unknown")</f>
        <v>Unknown</v>
      </c>
      <c r="AR2529" s="8" t="str">
        <f ca="1">IFERROR(__xludf.DUMMYFUNCTION("""COMPUTED_VALUE"""),"NA")</f>
        <v>NA</v>
      </c>
      <c r="AS2529" s="8">
        <f ca="1">IFERROR(__xludf.DUMMYFUNCTION("""COMPUTED_VALUE"""),2)</f>
        <v>2</v>
      </c>
      <c r="AT2529" s="8"/>
      <c r="AU2529" s="8">
        <f ca="1">IFERROR(__xludf.DUMMYFUNCTION("""COMPUTED_VALUE"""),40.6677248)</f>
        <v>40.667724800000002</v>
      </c>
      <c r="AV2529" s="8">
        <f ca="1">IFERROR(__xludf.DUMMYFUNCTION("""COMPUTED_VALUE"""),-111.9388258)</f>
        <v>-111.9388258</v>
      </c>
      <c r="AW2529" s="8"/>
      <c r="AX2529" s="8">
        <f ca="1">IFERROR(__xludf.DUMMYFUNCTION("""COMPUTED_VALUE"""),84123)</f>
        <v>84123</v>
      </c>
    </row>
    <row r="2530" spans="1:50" ht="15" x14ac:dyDescent="0.2">
      <c r="A2530" s="8" t="str">
        <f ca="1">IFERROR(__xludf.DUMMYFUNCTION("""COMPUTED_VALUE"""),"19960415DCMCW")</f>
        <v>19960415DCMCW</v>
      </c>
      <c r="B2530" s="8">
        <f ca="1">IFERROR(__xludf.DUMMYFUNCTION("""COMPUTED_VALUE"""),4)</f>
        <v>4</v>
      </c>
      <c r="C2530" s="8">
        <f ca="1">IFERROR(__xludf.DUMMYFUNCTION("""COMPUTED_VALUE"""),15)</f>
        <v>15</v>
      </c>
      <c r="D2530" s="8">
        <f ca="1">IFERROR(__xludf.DUMMYFUNCTION("""COMPUTED_VALUE"""),1996)</f>
        <v>1996</v>
      </c>
      <c r="E2530" s="9">
        <f ca="1">IFERROR(__xludf.DUMMYFUNCTION("""COMPUTED_VALUE"""),35170)</f>
        <v>35170</v>
      </c>
      <c r="F2530" s="8" t="str">
        <f ca="1">IFERROR(__xludf.DUMMYFUNCTION("""COMPUTED_VALUE"""),"McKinley High School")</f>
        <v>McKinley High School</v>
      </c>
      <c r="G2530" s="8">
        <f ca="1">IFERROR(__xludf.DUMMYFUNCTION("""COMPUTED_VALUE"""),1)</f>
        <v>1</v>
      </c>
      <c r="H2530" s="8">
        <f ca="1">IFERROR(__xludf.DUMMYFUNCTION("""COMPUTED_VALUE"""),0)</f>
        <v>0</v>
      </c>
      <c r="I2530" s="8">
        <f ca="1">IFERROR(__xludf.DUMMYFUNCTION("""COMPUTED_VALUE"""),1)</f>
        <v>1</v>
      </c>
      <c r="J2530" s="8">
        <f ca="1">IFERROR(__xludf.DUMMYFUNCTION("""COMPUTED_VALUE"""),0)</f>
        <v>0</v>
      </c>
      <c r="K2530" s="10" t="str">
        <f ca="1">IFERROR(__xludf.DUMMYFUNCTION("""COMPUTED_VALUE"""),"https://www.columbine-angels.com/School_Violence_1995-1996.htm")</f>
        <v>https://www.columbine-angels.com/School_Violence_1995-1996.htm</v>
      </c>
      <c r="L2530" s="8"/>
      <c r="M2530" s="8"/>
      <c r="N2530" s="8">
        <f ca="1">IFERROR(__xludf.DUMMYFUNCTION("""COMPUTED_VALUE"""),1)</f>
        <v>1</v>
      </c>
      <c r="O2530" s="8" t="str">
        <f ca="1">IFERROR(__xludf.DUMMYFUNCTION("""COMPUTED_VALUE"""),"Spring")</f>
        <v>Spring</v>
      </c>
      <c r="P2530" s="8" t="str">
        <f ca="1">IFERROR(__xludf.DUMMYFUNCTION("""COMPUTED_VALUE"""),"Washington")</f>
        <v>Washington</v>
      </c>
      <c r="Q2530" s="8" t="str">
        <f ca="1">IFERROR(__xludf.DUMMYFUNCTION("""COMPUTED_VALUE"""),"DC")</f>
        <v>DC</v>
      </c>
      <c r="R2530" s="8" t="str">
        <f ca="1">IFERROR(__xludf.DUMMYFUNCTION("""COMPUTED_VALUE"""),"High")</f>
        <v>High</v>
      </c>
      <c r="S2530" s="8" t="str">
        <f ca="1">IFERROR(__xludf.DUMMYFUNCTION("""COMPUTED_VALUE"""),"Gym")</f>
        <v>Gym</v>
      </c>
      <c r="T2530" s="8" t="str">
        <f ca="1">IFERROR(__xludf.DUMMYFUNCTION("""COMPUTED_VALUE"""),"Inside School Building")</f>
        <v>Inside School Building</v>
      </c>
      <c r="U2530" s="8" t="str">
        <f ca="1">IFERROR(__xludf.DUMMYFUNCTION("""COMPUTED_VALUE"""),"Yes")</f>
        <v>Yes</v>
      </c>
      <c r="V2530" s="8" t="str">
        <f ca="1">IFERROR(__xludf.DUMMYFUNCTION("""COMPUTED_VALUE"""),"Unknown")</f>
        <v>Unknown</v>
      </c>
      <c r="W2530" s="8"/>
      <c r="X2530" s="8">
        <f ca="1">IFERROR(__xludf.DUMMYFUNCTION("""COMPUTED_VALUE"""),1)</f>
        <v>1</v>
      </c>
      <c r="Y2530" s="12" t="str">
        <f ca="1">IFERROR(__xludf.DUMMYFUNCTION("""COMPUTED_VALUE"""),"Shot in the gym")</f>
        <v>Shot in the gym</v>
      </c>
      <c r="Z2530" s="12" t="str">
        <f ca="1">IFERROR(__xludf.DUMMYFUNCTION("""COMPUTED_VALUE"""),"23YOM shot in the gym of the school. No other information.")</f>
        <v>23YOM shot in the gym of the school. No other information.</v>
      </c>
      <c r="AA2530" s="8" t="str">
        <f ca="1">IFERROR(__xludf.DUMMYFUNCTION("""COMPUTED_VALUE"""),"Escalation of Dispute")</f>
        <v>Escalation of Dispute</v>
      </c>
      <c r="AB2530" s="8"/>
      <c r="AC2530" s="8"/>
      <c r="AD2530" s="8"/>
      <c r="AE2530" s="8" t="str">
        <f ca="1">IFERROR(__xludf.DUMMYFUNCTION("""COMPUTED_VALUE"""),"No")</f>
        <v>No</v>
      </c>
      <c r="AF2530" s="8"/>
      <c r="AG2530" s="8" t="str">
        <f ca="1">IFERROR(__xludf.DUMMYFUNCTION("""COMPUTED_VALUE"""),"No")</f>
        <v>No</v>
      </c>
      <c r="AH2530" s="8" t="str">
        <f ca="1">IFERROR(__xludf.DUMMYFUNCTION("""COMPUTED_VALUE"""),"No")</f>
        <v>No</v>
      </c>
      <c r="AI2530" s="8" t="str">
        <f ca="1">IFERROR(__xludf.DUMMYFUNCTION("""COMPUTED_VALUE"""),"No")</f>
        <v>No</v>
      </c>
      <c r="AJ2530" s="8" t="str">
        <f ca="1">IFERROR(__xludf.DUMMYFUNCTION("""COMPUTED_VALUE"""),"No")</f>
        <v>No</v>
      </c>
      <c r="AK2530" s="8" t="str">
        <f ca="1">IFERROR(__xludf.DUMMYFUNCTION("""COMPUTED_VALUE"""),"No")</f>
        <v>No</v>
      </c>
      <c r="AL2530" s="8"/>
      <c r="AM2530" s="8"/>
      <c r="AN2530" s="8"/>
      <c r="AO2530" s="8" t="str">
        <f ca="1">IFERROR(__xludf.DUMMYFUNCTION("""COMPUTED_VALUE"""),"No")</f>
        <v>No</v>
      </c>
      <c r="AP2530" s="8"/>
      <c r="AQ2530" s="8" t="str">
        <f ca="1">IFERROR(__xludf.DUMMYFUNCTION("""COMPUTED_VALUE"""),"Unknown")</f>
        <v>Unknown</v>
      </c>
      <c r="AR2530" s="8" t="str">
        <f ca="1">IFERROR(__xludf.DUMMYFUNCTION("""COMPUTED_VALUE"""),"NA")</f>
        <v>NA</v>
      </c>
      <c r="AS2530" s="8"/>
      <c r="AT2530" s="8"/>
      <c r="AU2530" s="8">
        <f ca="1">IFERROR(__xludf.DUMMYFUNCTION("""COMPUTED_VALUE"""),38.914536)</f>
        <v>38.914535999999998</v>
      </c>
      <c r="AV2530" s="8">
        <f ca="1">IFERROR(__xludf.DUMMYFUNCTION("""COMPUTED_VALUE"""),-77.004906)</f>
        <v>-77.004906000000005</v>
      </c>
      <c r="AW2530" s="8"/>
      <c r="AX2530" s="8">
        <f ca="1">IFERROR(__xludf.DUMMYFUNCTION("""COMPUTED_VALUE"""),20002)</f>
        <v>20002</v>
      </c>
    </row>
    <row r="2531" spans="1:50" ht="45" x14ac:dyDescent="0.2">
      <c r="A2531" s="8" t="str">
        <f ca="1">IFERROR(__xludf.DUMMYFUNCTION("""COMPUTED_VALUE"""),"19960411ALTAT")</f>
        <v>19960411ALTAT</v>
      </c>
      <c r="B2531" s="8">
        <f ca="1">IFERROR(__xludf.DUMMYFUNCTION("""COMPUTED_VALUE"""),4)</f>
        <v>4</v>
      </c>
      <c r="C2531" s="8">
        <f ca="1">IFERROR(__xludf.DUMMYFUNCTION("""COMPUTED_VALUE"""),11)</f>
        <v>11</v>
      </c>
      <c r="D2531" s="8">
        <f ca="1">IFERROR(__xludf.DUMMYFUNCTION("""COMPUTED_VALUE"""),1996)</f>
        <v>1996</v>
      </c>
      <c r="E2531" s="9">
        <f ca="1">IFERROR(__xludf.DUMMYFUNCTION("""COMPUTED_VALUE"""),35166)</f>
        <v>35166</v>
      </c>
      <c r="F2531" s="8" t="str">
        <f ca="1">IFERROR(__xludf.DUMMYFUNCTION("""COMPUTED_VALUE"""),"Talladega High School")</f>
        <v>Talladega High School</v>
      </c>
      <c r="G2531" s="8">
        <f ca="1">IFERROR(__xludf.DUMMYFUNCTION("""COMPUTED_VALUE"""),1)</f>
        <v>1</v>
      </c>
      <c r="H2531" s="8">
        <f ca="1">IFERROR(__xludf.DUMMYFUNCTION("""COMPUTED_VALUE"""),0)</f>
        <v>0</v>
      </c>
      <c r="I2531" s="8">
        <f ca="1">IFERROR(__xludf.DUMMYFUNCTION("""COMPUTED_VALUE"""),1)</f>
        <v>1</v>
      </c>
      <c r="J2531" s="8">
        <f ca="1">IFERROR(__xludf.DUMMYFUNCTION("""COMPUTED_VALUE"""),0)</f>
        <v>0</v>
      </c>
      <c r="K2531" s="8" t="str">
        <f ca="1">IFERROR(__xludf.DUMMYFUNCTION("""COMPUTED_VALUE"""),"https://www.columbine-angels.com/School_Violence_1995-1996.htm https://en.wikipedia.org/wiki/List_of_attacks_related_to_secondary_schools#1990s")</f>
        <v>https://www.columbine-angels.com/School_Violence_1995-1996.htm https://en.wikipedia.org/wiki/List_of_attacks_related_to_secondary_schools#1990s</v>
      </c>
      <c r="L2531" s="8"/>
      <c r="M2531" s="8"/>
      <c r="N2531" s="8">
        <f ca="1">IFERROR(__xludf.DUMMYFUNCTION("""COMPUTED_VALUE"""),2)</f>
        <v>2</v>
      </c>
      <c r="O2531" s="8" t="str">
        <f ca="1">IFERROR(__xludf.DUMMYFUNCTION("""COMPUTED_VALUE"""),"Spring")</f>
        <v>Spring</v>
      </c>
      <c r="P2531" s="8" t="str">
        <f ca="1">IFERROR(__xludf.DUMMYFUNCTION("""COMPUTED_VALUE"""),"Talladega")</f>
        <v>Talladega</v>
      </c>
      <c r="Q2531" s="8" t="str">
        <f ca="1">IFERROR(__xludf.DUMMYFUNCTION("""COMPUTED_VALUE"""),"AL")</f>
        <v>AL</v>
      </c>
      <c r="R2531" s="8" t="str">
        <f ca="1">IFERROR(__xludf.DUMMYFUNCTION("""COMPUTED_VALUE"""),"High")</f>
        <v>High</v>
      </c>
      <c r="S2531" s="8" t="str">
        <f ca="1">IFERROR(__xludf.DUMMYFUNCTION("""COMPUTED_VALUE"""),"Parking Lot")</f>
        <v>Parking Lot</v>
      </c>
      <c r="T2531" s="8" t="str">
        <f ca="1">IFERROR(__xludf.DUMMYFUNCTION("""COMPUTED_VALUE"""),"Outside on School Property")</f>
        <v>Outside on School Property</v>
      </c>
      <c r="U2531" s="8"/>
      <c r="V2531" s="8"/>
      <c r="W2531" s="8"/>
      <c r="X2531" s="8">
        <f ca="1">IFERROR(__xludf.DUMMYFUNCTION("""COMPUTED_VALUE"""),1)</f>
        <v>1</v>
      </c>
      <c r="Y2531" s="12" t="str">
        <f ca="1">IFERROR(__xludf.DUMMYFUNCTION("""COMPUTED_VALUE"""),"Fight in parking lot escalated into shooting")</f>
        <v>Fight in parking lot escalated into shooting</v>
      </c>
      <c r="Z2531" s="12" t="str">
        <f ca="1">IFERROR(__xludf.DUMMYFUNCTION("""COMPUTED_VALUE"""),"16 year-old male shot and killed 18 year-old male in school parking lot following a heated argument the day before.")</f>
        <v>16 year-old male shot and killed 18 year-old male in school parking lot following a heated argument the day before.</v>
      </c>
      <c r="AA2531" s="8" t="str">
        <f ca="1">IFERROR(__xludf.DUMMYFUNCTION("""COMPUTED_VALUE"""),"Escalation of Dispute")</f>
        <v>Escalation of Dispute</v>
      </c>
      <c r="AB2531" s="8"/>
      <c r="AC2531" s="8"/>
      <c r="AD2531" s="8" t="str">
        <f ca="1">IFERROR(__xludf.DUMMYFUNCTION("""COMPUTED_VALUE"""),"Victims Targeted")</f>
        <v>Victims Targeted</v>
      </c>
      <c r="AE2531" s="8" t="str">
        <f ca="1">IFERROR(__xludf.DUMMYFUNCTION("""COMPUTED_VALUE"""),"No")</f>
        <v>No</v>
      </c>
      <c r="AF2531" s="8"/>
      <c r="AG2531" s="8" t="str">
        <f ca="1">IFERROR(__xludf.DUMMYFUNCTION("""COMPUTED_VALUE"""),"No")</f>
        <v>No</v>
      </c>
      <c r="AH2531" s="8" t="str">
        <f ca="1">IFERROR(__xludf.DUMMYFUNCTION("""COMPUTED_VALUE"""),"No")</f>
        <v>No</v>
      </c>
      <c r="AI2531" s="8" t="str">
        <f ca="1">IFERROR(__xludf.DUMMYFUNCTION("""COMPUTED_VALUE"""),"No")</f>
        <v>No</v>
      </c>
      <c r="AJ2531" s="8" t="str">
        <f ca="1">IFERROR(__xludf.DUMMYFUNCTION("""COMPUTED_VALUE"""),"No")</f>
        <v>No</v>
      </c>
      <c r="AK2531" s="8" t="str">
        <f ca="1">IFERROR(__xludf.DUMMYFUNCTION("""COMPUTED_VALUE"""),"No")</f>
        <v>No</v>
      </c>
      <c r="AL2531" s="8"/>
      <c r="AM2531" s="8"/>
      <c r="AN2531" s="8"/>
      <c r="AO2531" s="8" t="str">
        <f ca="1">IFERROR(__xludf.DUMMYFUNCTION("""COMPUTED_VALUE"""),"No")</f>
        <v>No</v>
      </c>
      <c r="AP2531" s="8"/>
      <c r="AQ2531" s="8" t="str">
        <f ca="1">IFERROR(__xludf.DUMMYFUNCTION("""COMPUTED_VALUE"""),"Unknown")</f>
        <v>Unknown</v>
      </c>
      <c r="AR2531" s="8" t="str">
        <f ca="1">IFERROR(__xludf.DUMMYFUNCTION("""COMPUTED_VALUE"""),"NA")</f>
        <v>NA</v>
      </c>
      <c r="AS2531" s="8" t="str">
        <f ca="1">IFERROR(__xludf.DUMMYFUNCTION("""COMPUTED_VALUE"""),"&lt;5")</f>
        <v>&lt;5</v>
      </c>
      <c r="AT2531" s="8"/>
      <c r="AU2531" s="8">
        <f ca="1">IFERROR(__xludf.DUMMYFUNCTION("""COMPUTED_VALUE"""),33.422529)</f>
        <v>33.422528999999997</v>
      </c>
      <c r="AV2531" s="8">
        <f ca="1">IFERROR(__xludf.DUMMYFUNCTION("""COMPUTED_VALUE"""),-86.077584)</f>
        <v>-86.077584000000002</v>
      </c>
      <c r="AW2531" s="8"/>
      <c r="AX2531" s="8">
        <f ca="1">IFERROR(__xludf.DUMMYFUNCTION("""COMPUTED_VALUE"""),35160)</f>
        <v>35160</v>
      </c>
    </row>
    <row r="2532" spans="1:50" ht="75" x14ac:dyDescent="0.2">
      <c r="A2532" s="8" t="str">
        <f ca="1">IFERROR(__xludf.DUMMYFUNCTION("""COMPUTED_VALUE"""),"19960319NVSWL")</f>
        <v>19960319NVSWL</v>
      </c>
      <c r="B2532" s="8">
        <f ca="1">IFERROR(__xludf.DUMMYFUNCTION("""COMPUTED_VALUE"""),3)</f>
        <v>3</v>
      </c>
      <c r="C2532" s="8">
        <f ca="1">IFERROR(__xludf.DUMMYFUNCTION("""COMPUTED_VALUE"""),19)</f>
        <v>19</v>
      </c>
      <c r="D2532" s="8">
        <f ca="1">IFERROR(__xludf.DUMMYFUNCTION("""COMPUTED_VALUE"""),1996)</f>
        <v>1996</v>
      </c>
      <c r="E2532" s="9">
        <f ca="1">IFERROR(__xludf.DUMMYFUNCTION("""COMPUTED_VALUE"""),35143)</f>
        <v>35143</v>
      </c>
      <c r="F2532" s="8" t="str">
        <f ca="1">IFERROR(__xludf.DUMMYFUNCTION("""COMPUTED_VALUE"""),"Swainston Middle School")</f>
        <v>Swainston Middle School</v>
      </c>
      <c r="G2532" s="8">
        <f ca="1">IFERROR(__xludf.DUMMYFUNCTION("""COMPUTED_VALUE"""),0)</f>
        <v>0</v>
      </c>
      <c r="H2532" s="8">
        <f ca="1">IFERROR(__xludf.DUMMYFUNCTION("""COMPUTED_VALUE"""),0)</f>
        <v>0</v>
      </c>
      <c r="I2532" s="8">
        <f ca="1">IFERROR(__xludf.DUMMYFUNCTION("""COMPUTED_VALUE"""),0)</f>
        <v>0</v>
      </c>
      <c r="J2532" s="8">
        <f ca="1">IFERROR(__xludf.DUMMYFUNCTION("""COMPUTED_VALUE"""),0)</f>
        <v>0</v>
      </c>
      <c r="K2532" s="8" t="str">
        <f ca="1">IFERROR(__xludf.DUMMYFUNCTION("""COMPUTED_VALUE"""),"https://www.columbine-angels.com/School_Violence_1995-1996.htm https://lasvegassun.com/news/1996/mar/20/student-arrested-in-shooting-at-middle-school/")</f>
        <v>https://www.columbine-angels.com/School_Violence_1995-1996.htm https://lasvegassun.com/news/1996/mar/20/student-arrested-in-shooting-at-middle-school/</v>
      </c>
      <c r="L2532" s="8"/>
      <c r="M2532" s="8"/>
      <c r="N2532" s="8">
        <f ca="1">IFERROR(__xludf.DUMMYFUNCTION("""COMPUTED_VALUE"""),2)</f>
        <v>2</v>
      </c>
      <c r="O2532" s="8" t="str">
        <f ca="1">IFERROR(__xludf.DUMMYFUNCTION("""COMPUTED_VALUE"""),"Spring")</f>
        <v>Spring</v>
      </c>
      <c r="P2532" s="8" t="str">
        <f ca="1">IFERROR(__xludf.DUMMYFUNCTION("""COMPUTED_VALUE"""),"Las Vegas")</f>
        <v>Las Vegas</v>
      </c>
      <c r="Q2532" s="8" t="str">
        <f ca="1">IFERROR(__xludf.DUMMYFUNCTION("""COMPUTED_VALUE"""),"NV")</f>
        <v>NV</v>
      </c>
      <c r="R2532" s="8" t="str">
        <f ca="1">IFERROR(__xludf.DUMMYFUNCTION("""COMPUTED_VALUE"""),"Middle")</f>
        <v>Middle</v>
      </c>
      <c r="S2532" s="8" t="str">
        <f ca="1">IFERROR(__xludf.DUMMYFUNCTION("""COMPUTED_VALUE"""),"Beside Building")</f>
        <v>Beside Building</v>
      </c>
      <c r="T2532" s="8" t="str">
        <f ca="1">IFERROR(__xludf.DUMMYFUNCTION("""COMPUTED_VALUE"""),"Outside on School Property")</f>
        <v>Outside on School Property</v>
      </c>
      <c r="U2532" s="8" t="str">
        <f ca="1">IFERROR(__xludf.DUMMYFUNCTION("""COMPUTED_VALUE"""),"Yes")</f>
        <v>Yes</v>
      </c>
      <c r="V2532" s="8" t="str">
        <f ca="1">IFERROR(__xludf.DUMMYFUNCTION("""COMPUTED_VALUE"""),"Morning Classes")</f>
        <v>Morning Classes</v>
      </c>
      <c r="W2532" s="11">
        <f ca="1">IFERROR(__xludf.DUMMYFUNCTION("""COMPUTED_VALUE"""),0.479166666666666)</f>
        <v>0.47916666666666602</v>
      </c>
      <c r="X2532" s="8">
        <f ca="1">IFERROR(__xludf.DUMMYFUNCTION("""COMPUTED_VALUE"""),1)</f>
        <v>1</v>
      </c>
      <c r="Y2532" s="12" t="str">
        <f ca="1">IFERROR(__xludf.DUMMYFUNCTION("""COMPUTED_VALUE"""),"Students shot with pellet gun while walking between classes")</f>
        <v>Students shot with pellet gun while walking between classes</v>
      </c>
      <c r="Z2532" s="12" t="str">
        <f ca="1">IFERROR(__xludf.DUMMYFUNCTION("""COMPUTED_VALUE"""),"Two students were hit by shots from a pellet gun while walking on the northwest side of the campus around 11:30 am. The shooter was at a residence near school when he fired the gun. He had missed school that day. Injuries were minor bruising.")</f>
        <v>Two students were hit by shots from a pellet gun while walking on the northwest side of the campus around 11:30 am. The shooter was at a residence near school when he fired the gun. He had missed school that day. Injuries were minor bruising.</v>
      </c>
      <c r="AA2532" s="8" t="str">
        <f ca="1">IFERROR(__xludf.DUMMYFUNCTION("""COMPUTED_VALUE"""),"Indiscriminate Shooting")</f>
        <v>Indiscriminate Shooting</v>
      </c>
      <c r="AB2532" s="8"/>
      <c r="AC2532" s="8"/>
      <c r="AD2532" s="8"/>
      <c r="AE2532" s="8" t="str">
        <f ca="1">IFERROR(__xludf.DUMMYFUNCTION("""COMPUTED_VALUE"""),"No")</f>
        <v>No</v>
      </c>
      <c r="AF2532" s="8"/>
      <c r="AG2532" s="8" t="str">
        <f ca="1">IFERROR(__xludf.DUMMYFUNCTION("""COMPUTED_VALUE"""),"No")</f>
        <v>No</v>
      </c>
      <c r="AH2532" s="8" t="str">
        <f ca="1">IFERROR(__xludf.DUMMYFUNCTION("""COMPUTED_VALUE"""),"No")</f>
        <v>No</v>
      </c>
      <c r="AI2532" s="8" t="str">
        <f ca="1">IFERROR(__xludf.DUMMYFUNCTION("""COMPUTED_VALUE"""),"No")</f>
        <v>No</v>
      </c>
      <c r="AJ2532" s="8"/>
      <c r="AK2532" s="8" t="str">
        <f ca="1">IFERROR(__xludf.DUMMYFUNCTION("""COMPUTED_VALUE"""),"No")</f>
        <v>No</v>
      </c>
      <c r="AL2532" s="8" t="str">
        <f ca="1">IFERROR(__xludf.DUMMYFUNCTION("""COMPUTED_VALUE"""),"No")</f>
        <v>No</v>
      </c>
      <c r="AM2532" s="8"/>
      <c r="AN2532" s="8"/>
      <c r="AO2532" s="8" t="str">
        <f ca="1">IFERROR(__xludf.DUMMYFUNCTION("""COMPUTED_VALUE"""),"No")</f>
        <v>No</v>
      </c>
      <c r="AP2532" s="8"/>
      <c r="AQ2532" s="8" t="str">
        <f ca="1">IFERROR(__xludf.DUMMYFUNCTION("""COMPUTED_VALUE"""),"Unknown")</f>
        <v>Unknown</v>
      </c>
      <c r="AR2532" s="8" t="str">
        <f ca="1">IFERROR(__xludf.DUMMYFUNCTION("""COMPUTED_VALUE"""),"NA")</f>
        <v>NA</v>
      </c>
      <c r="AS2532" s="8"/>
      <c r="AT2532" s="8"/>
      <c r="AU2532" s="8">
        <f ca="1">IFERROR(__xludf.DUMMYFUNCTION("""COMPUTED_VALUE"""),36.229109)</f>
        <v>36.229109000000001</v>
      </c>
      <c r="AV2532" s="8">
        <f ca="1">IFERROR(__xludf.DUMMYFUNCTION("""COMPUTED_VALUE"""),-115.186797)</f>
        <v>-115.186797</v>
      </c>
      <c r="AW2532" s="8"/>
      <c r="AX2532" s="8">
        <f ca="1">IFERROR(__xludf.DUMMYFUNCTION("""COMPUTED_VALUE"""),89032)</f>
        <v>89032</v>
      </c>
    </row>
    <row r="2533" spans="1:50" ht="75" x14ac:dyDescent="0.2">
      <c r="A2533" s="8" t="str">
        <f ca="1">IFERROR(__xludf.DUMMYFUNCTION("""COMPUTED_VALUE"""),"19960311NCNON")</f>
        <v>19960311NCNON</v>
      </c>
      <c r="B2533" s="8">
        <f ca="1">IFERROR(__xludf.DUMMYFUNCTION("""COMPUTED_VALUE"""),3)</f>
        <v>3</v>
      </c>
      <c r="C2533" s="8">
        <f ca="1">IFERROR(__xludf.DUMMYFUNCTION("""COMPUTED_VALUE"""),11)</f>
        <v>11</v>
      </c>
      <c r="D2533" s="8">
        <f ca="1">IFERROR(__xludf.DUMMYFUNCTION("""COMPUTED_VALUE"""),1996)</f>
        <v>1996</v>
      </c>
      <c r="E2533" s="9">
        <f ca="1">IFERROR(__xludf.DUMMYFUNCTION("""COMPUTED_VALUE"""),35135)</f>
        <v>35135</v>
      </c>
      <c r="F2533" s="8" t="str">
        <f ca="1">IFERROR(__xludf.DUMMYFUNCTION("""COMPUTED_VALUE"""),"North Stanley High School")</f>
        <v>North Stanley High School</v>
      </c>
      <c r="G2533" s="8">
        <f ca="1">IFERROR(__xludf.DUMMYFUNCTION("""COMPUTED_VALUE"""),0)</f>
        <v>0</v>
      </c>
      <c r="H2533" s="8">
        <f ca="1">IFERROR(__xludf.DUMMYFUNCTION("""COMPUTED_VALUE"""),0)</f>
        <v>0</v>
      </c>
      <c r="I2533" s="8">
        <f ca="1">IFERROR(__xludf.DUMMYFUNCTION("""COMPUTED_VALUE"""),0)</f>
        <v>0</v>
      </c>
      <c r="J2533" s="8">
        <f ca="1">IFERROR(__xludf.DUMMYFUNCTION("""COMPUTED_VALUE"""),1)</f>
        <v>1</v>
      </c>
      <c r="K2533" s="8" t="str">
        <f ca="1">IFERROR(__xludf.DUMMYFUNCTION("""COMPUTED_VALUE"""),"https://www.columbine-angels.com/School_Violence_1995-1996.htm https://apnews.com/520f96a326e5ea865eea69624bcb01a1 https://www.greensboro.com/stanly-students-deal-with-death/article_a38d9b7a-6107-58db-a78d-901b49e0ef61.html")</f>
        <v>https://www.columbine-angels.com/School_Violence_1995-1996.htm https://apnews.com/520f96a326e5ea865eea69624bcb01a1 https://www.greensboro.com/stanly-students-deal-with-death/article_a38d9b7a-6107-58db-a78d-901b49e0ef61.html</v>
      </c>
      <c r="L2533" s="8"/>
      <c r="M2533" s="8"/>
      <c r="N2533" s="8">
        <f ca="1">IFERROR(__xludf.DUMMYFUNCTION("""COMPUTED_VALUE"""),1)</f>
        <v>1</v>
      </c>
      <c r="O2533" s="8" t="str">
        <f ca="1">IFERROR(__xludf.DUMMYFUNCTION("""COMPUTED_VALUE"""),"Spring")</f>
        <v>Spring</v>
      </c>
      <c r="P2533" s="8" t="str">
        <f ca="1">IFERROR(__xludf.DUMMYFUNCTION("""COMPUTED_VALUE"""),"New Longdon")</f>
        <v>New Longdon</v>
      </c>
      <c r="Q2533" s="8" t="str">
        <f ca="1">IFERROR(__xludf.DUMMYFUNCTION("""COMPUTED_VALUE"""),"NC")</f>
        <v>NC</v>
      </c>
      <c r="R2533" s="8" t="str">
        <f ca="1">IFERROR(__xludf.DUMMYFUNCTION("""COMPUTED_VALUE"""),"High")</f>
        <v>High</v>
      </c>
      <c r="S2533" s="8" t="str">
        <f ca="1">IFERROR(__xludf.DUMMYFUNCTION("""COMPUTED_VALUE"""),"Classroom")</f>
        <v>Classroom</v>
      </c>
      <c r="T2533" s="8" t="str">
        <f ca="1">IFERROR(__xludf.DUMMYFUNCTION("""COMPUTED_VALUE"""),"Inside School Building")</f>
        <v>Inside School Building</v>
      </c>
      <c r="U2533" s="8" t="str">
        <f ca="1">IFERROR(__xludf.DUMMYFUNCTION("""COMPUTED_VALUE"""),"Yes")</f>
        <v>Yes</v>
      </c>
      <c r="V2533" s="8" t="str">
        <f ca="1">IFERROR(__xludf.DUMMYFUNCTION("""COMPUTED_VALUE"""),"Afternoon Classes")</f>
        <v>Afternoon Classes</v>
      </c>
      <c r="W2533" s="8"/>
      <c r="X2533" s="8">
        <f ca="1">IFERROR(__xludf.DUMMYFUNCTION("""COMPUTED_VALUE"""),1)</f>
        <v>1</v>
      </c>
      <c r="Y2533" s="12" t="str">
        <f ca="1">IFERROR(__xludf.DUMMYFUNCTION("""COMPUTED_VALUE"""),"Student shot himself during algebra")</f>
        <v>Student shot himself during algebra</v>
      </c>
      <c r="Z2533" s="12" t="str">
        <f ca="1">IFERROR(__xludf.DUMMYFUNCTION("""COMPUTED_VALUE"""),"15 year-old male pulled 9mm pistol out of coat pocket during 4th period algebra class, another student asked if it was real, and student replied ""you betcha"" and waved gun around. Teacher ordered students out of the classroom, they did not get far befor"&amp;"e student shot himself in the head.")</f>
        <v>15 year-old male pulled 9mm pistol out of coat pocket during 4th period algebra class, another student asked if it was real, and student replied "you betcha" and waved gun around. Teacher ordered students out of the classroom, they did not get far before student shot himself in the head.</v>
      </c>
      <c r="AA2533" s="8" t="str">
        <f ca="1">IFERROR(__xludf.DUMMYFUNCTION("""COMPUTED_VALUE"""),"Suicide/Attempted")</f>
        <v>Suicide/Attempted</v>
      </c>
      <c r="AB2533" s="8"/>
      <c r="AC2533" s="8"/>
      <c r="AD2533" s="8" t="str">
        <f ca="1">IFERROR(__xludf.DUMMYFUNCTION("""COMPUTED_VALUE"""),"Victims Targeted")</f>
        <v>Victims Targeted</v>
      </c>
      <c r="AE2533" s="8" t="str">
        <f ca="1">IFERROR(__xludf.DUMMYFUNCTION("""COMPUTED_VALUE"""),"No")</f>
        <v>No</v>
      </c>
      <c r="AF2533" s="8"/>
      <c r="AG2533" s="8" t="str">
        <f ca="1">IFERROR(__xludf.DUMMYFUNCTION("""COMPUTED_VALUE"""),"No")</f>
        <v>No</v>
      </c>
      <c r="AH2533" s="8" t="str">
        <f ca="1">IFERROR(__xludf.DUMMYFUNCTION("""COMPUTED_VALUE"""),"No")</f>
        <v>No</v>
      </c>
      <c r="AI2533" s="8" t="str">
        <f ca="1">IFERROR(__xludf.DUMMYFUNCTION("""COMPUTED_VALUE"""),"No")</f>
        <v>No</v>
      </c>
      <c r="AJ2533" s="8" t="str">
        <f ca="1">IFERROR(__xludf.DUMMYFUNCTION("""COMPUTED_VALUE"""),"No")</f>
        <v>No</v>
      </c>
      <c r="AK2533" s="8" t="str">
        <f ca="1">IFERROR(__xludf.DUMMYFUNCTION("""COMPUTED_VALUE"""),"No")</f>
        <v>No</v>
      </c>
      <c r="AL2533" s="8" t="str">
        <f ca="1">IFERROR(__xludf.DUMMYFUNCTION("""COMPUTED_VALUE"""),"No")</f>
        <v>No</v>
      </c>
      <c r="AM2533" s="8"/>
      <c r="AN2533" s="8"/>
      <c r="AO2533" s="8" t="str">
        <f ca="1">IFERROR(__xludf.DUMMYFUNCTION("""COMPUTED_VALUE"""),"No")</f>
        <v>No</v>
      </c>
      <c r="AP2533" s="8"/>
      <c r="AQ2533" s="8" t="str">
        <f ca="1">IFERROR(__xludf.DUMMYFUNCTION("""COMPUTED_VALUE"""),"Unknown")</f>
        <v>Unknown</v>
      </c>
      <c r="AR2533" s="8" t="str">
        <f ca="1">IFERROR(__xludf.DUMMYFUNCTION("""COMPUTED_VALUE"""),"NA")</f>
        <v>NA</v>
      </c>
      <c r="AS2533" s="8">
        <f ca="1">IFERROR(__xludf.DUMMYFUNCTION("""COMPUTED_VALUE"""),1)</f>
        <v>1</v>
      </c>
      <c r="AT2533" s="8"/>
      <c r="AU2533" s="8">
        <f ca="1">IFERROR(__xludf.DUMMYFUNCTION("""COMPUTED_VALUE"""),35.426949)</f>
        <v>35.426949</v>
      </c>
      <c r="AV2533" s="8">
        <f ca="1">IFERROR(__xludf.DUMMYFUNCTION("""COMPUTED_VALUE"""),-80.211656)</f>
        <v>-80.211656000000005</v>
      </c>
      <c r="AW2533" s="8"/>
      <c r="AX2533" s="8">
        <f ca="1">IFERROR(__xludf.DUMMYFUNCTION("""COMPUTED_VALUE"""),28793)</f>
        <v>28793</v>
      </c>
    </row>
    <row r="2534" spans="1:50" ht="90" x14ac:dyDescent="0.2">
      <c r="A2534" s="8" t="str">
        <f ca="1">IFERROR(__xludf.DUMMYFUNCTION("""COMPUTED_VALUE"""),"19960229MOBES")</f>
        <v>19960229MOBES</v>
      </c>
      <c r="B2534" s="8">
        <f ca="1">IFERROR(__xludf.DUMMYFUNCTION("""COMPUTED_VALUE"""),2)</f>
        <v>2</v>
      </c>
      <c r="C2534" s="8">
        <f ca="1">IFERROR(__xludf.DUMMYFUNCTION("""COMPUTED_VALUE"""),29)</f>
        <v>29</v>
      </c>
      <c r="D2534" s="8">
        <f ca="1">IFERROR(__xludf.DUMMYFUNCTION("""COMPUTED_VALUE"""),1996)</f>
        <v>1996</v>
      </c>
      <c r="E2534" s="9">
        <f ca="1">IFERROR(__xludf.DUMMYFUNCTION("""COMPUTED_VALUE"""),35124)</f>
        <v>35124</v>
      </c>
      <c r="F2534" s="8" t="str">
        <f ca="1">IFERROR(__xludf.DUMMYFUNCTION("""COMPUTED_VALUE"""),"Beaumont High School (bus)")</f>
        <v>Beaumont High School (bus)</v>
      </c>
      <c r="G2534" s="8">
        <f ca="1">IFERROR(__xludf.DUMMYFUNCTION("""COMPUTED_VALUE"""),2)</f>
        <v>2</v>
      </c>
      <c r="H2534" s="8">
        <f ca="1">IFERROR(__xludf.DUMMYFUNCTION("""COMPUTED_VALUE"""),1)</f>
        <v>1</v>
      </c>
      <c r="I2534" s="8">
        <f ca="1">IFERROR(__xludf.DUMMYFUNCTION("""COMPUTED_VALUE"""),3)</f>
        <v>3</v>
      </c>
      <c r="J2534" s="8">
        <f ca="1">IFERROR(__xludf.DUMMYFUNCTION("""COMPUTED_VALUE"""),0)</f>
        <v>0</v>
      </c>
      <c r="K2534" s="8" t="str">
        <f ca="1">IFERROR(__xludf.DUMMYFUNCTION("""COMPUTED_VALUE"""),"https://www.history.com/this-day-in-history/a-pregnant-teenager-is-shot-while-riding-the-bus-to-school https://www.newspapers.com/image/142524916/ https://www.newspapers.com/image/142524981/ https://www.newspapers.com/image/142505625/ https://www.newspape"&amp;"rs.com/image/142505646/ https://apnews.com/a48349cdd1ddff7a3bce6fce5e059816")</f>
        <v>https://www.history.com/this-day-in-history/a-pregnant-teenager-is-shot-while-riding-the-bus-to-school https://www.newspapers.com/image/142524916/ https://www.newspapers.com/image/142524981/ https://www.newspapers.com/image/142505625/ https://www.newspapers.com/image/142505646/ https://apnews.com/a48349cdd1ddff7a3bce6fce5e059816</v>
      </c>
      <c r="L2534" s="8"/>
      <c r="M2534" s="8"/>
      <c r="N2534" s="8">
        <f ca="1">IFERROR(__xludf.DUMMYFUNCTION("""COMPUTED_VALUE"""),3)</f>
        <v>3</v>
      </c>
      <c r="O2534" s="8" t="str">
        <f ca="1">IFERROR(__xludf.DUMMYFUNCTION("""COMPUTED_VALUE"""),"Winter")</f>
        <v>Winter</v>
      </c>
      <c r="P2534" s="8" t="str">
        <f ca="1">IFERROR(__xludf.DUMMYFUNCTION("""COMPUTED_VALUE"""),"St. Louis")</f>
        <v>St. Louis</v>
      </c>
      <c r="Q2534" s="8" t="str">
        <f ca="1">IFERROR(__xludf.DUMMYFUNCTION("""COMPUTED_VALUE"""),"MO")</f>
        <v>MO</v>
      </c>
      <c r="R2534" s="8" t="str">
        <f ca="1">IFERROR(__xludf.DUMMYFUNCTION("""COMPUTED_VALUE"""),"High")</f>
        <v>High</v>
      </c>
      <c r="S2534" s="8" t="str">
        <f ca="1">IFERROR(__xludf.DUMMYFUNCTION("""COMPUTED_VALUE"""),"School Bus")</f>
        <v>School Bus</v>
      </c>
      <c r="T2534" s="8" t="str">
        <f ca="1">IFERROR(__xludf.DUMMYFUNCTION("""COMPUTED_VALUE"""),"School Bus")</f>
        <v>School Bus</v>
      </c>
      <c r="U2534" s="8" t="str">
        <f ca="1">IFERROR(__xludf.DUMMYFUNCTION("""COMPUTED_VALUE"""),"No")</f>
        <v>No</v>
      </c>
      <c r="V2534" s="8" t="str">
        <f ca="1">IFERROR(__xludf.DUMMYFUNCTION("""COMPUTED_VALUE"""),"Before School")</f>
        <v>Before School</v>
      </c>
      <c r="W2534" s="11">
        <f ca="1">IFERROR(__xludf.DUMMYFUNCTION("""COMPUTED_VALUE"""),0.291666666666666)</f>
        <v>0.29166666666666602</v>
      </c>
      <c r="X2534" s="8">
        <f ca="1">IFERROR(__xludf.DUMMYFUNCTION("""COMPUTED_VALUE"""),1)</f>
        <v>1</v>
      </c>
      <c r="Y2534" s="12" t="str">
        <f ca="1">IFERROR(__xludf.DUMMYFUNCTION("""COMPUTED_VALUE"""),"Hitman hired to kill pregnant student")</f>
        <v>Hitman hired to kill pregnant student</v>
      </c>
      <c r="Z2534" s="12" t="str">
        <f ca="1">IFERROR(__xludf.DUMMYFUNCTION("""COMPUTED_VALUE"""),"Hitman (Malik J. Nettles, 21) was hired to kill pregnant student. Shooter shot the bus driver (Richard Lanemann, 60) and the pregnant victim multiple times and fled the scene. 29 year-old male neighbor (Mark Boyd) of the victim had gotten her pregnant and"&amp;" she did not want an abortion. Baby was delivered via C-section, but died later.")</f>
        <v>Hitman (Malik J. Nettles, 21) was hired to kill pregnant student. Shooter shot the bus driver (Richard Lanemann, 60) and the pregnant victim multiple times and fled the scene. 29 year-old male neighbor (Mark Boyd) of the victim had gotten her pregnant and she did not want an abortion. Baby was delivered via C-section, but died later.</v>
      </c>
      <c r="AA2534" s="8" t="str">
        <f ca="1">IFERROR(__xludf.DUMMYFUNCTION("""COMPUTED_VALUE"""),"Domestic w/ Targeted Victim")</f>
        <v>Domestic w/ Targeted Victim</v>
      </c>
      <c r="AB2534" s="8"/>
      <c r="AC2534" s="8"/>
      <c r="AD2534" s="8" t="str">
        <f ca="1">IFERROR(__xludf.DUMMYFUNCTION("""COMPUTED_VALUE"""),"Victims Targeted")</f>
        <v>Victims Targeted</v>
      </c>
      <c r="AE2534" s="8" t="str">
        <f ca="1">IFERROR(__xludf.DUMMYFUNCTION("""COMPUTED_VALUE"""),"Yes")</f>
        <v>Yes</v>
      </c>
      <c r="AF2534" s="8" t="str">
        <f ca="1">IFERROR(__xludf.DUMMYFUNCTION("""COMPUTED_VALUE"""),"Mark Boyd, 29 YOM, hired hitman to kill pregnant girl, charge with first degree murder, second degree murder (baby), and statutory rape")</f>
        <v>Mark Boyd, 29 YOM, hired hitman to kill pregnant girl, charge with first degree murder, second degree murder (baby), and statutory rape</v>
      </c>
      <c r="AG2534" s="8" t="str">
        <f ca="1">IFERROR(__xludf.DUMMYFUNCTION("""COMPUTED_VALUE"""),"No")</f>
        <v>No</v>
      </c>
      <c r="AH2534" s="8" t="str">
        <f ca="1">IFERROR(__xludf.DUMMYFUNCTION("""COMPUTED_VALUE"""),"No")</f>
        <v>No</v>
      </c>
      <c r="AI2534" s="8" t="str">
        <f ca="1">IFERROR(__xludf.DUMMYFUNCTION("""COMPUTED_VALUE"""),"No")</f>
        <v>No</v>
      </c>
      <c r="AJ2534" s="8" t="str">
        <f ca="1">IFERROR(__xludf.DUMMYFUNCTION("""COMPUTED_VALUE"""),"No")</f>
        <v>No</v>
      </c>
      <c r="AK2534" s="8" t="str">
        <f ca="1">IFERROR(__xludf.DUMMYFUNCTION("""COMPUTED_VALUE"""),"No")</f>
        <v>No</v>
      </c>
      <c r="AL2534" s="8" t="str">
        <f ca="1">IFERROR(__xludf.DUMMYFUNCTION("""COMPUTED_VALUE"""),"No")</f>
        <v>No</v>
      </c>
      <c r="AM2534" s="8"/>
      <c r="AN2534" s="8"/>
      <c r="AO2534" s="8" t="str">
        <f ca="1">IFERROR(__xludf.DUMMYFUNCTION("""COMPUTED_VALUE"""),"No")</f>
        <v>No</v>
      </c>
      <c r="AP2534" s="8"/>
      <c r="AQ2534" s="8" t="str">
        <f ca="1">IFERROR(__xludf.DUMMYFUNCTION("""COMPUTED_VALUE"""),"Metal Detectors")</f>
        <v>Metal Detectors</v>
      </c>
      <c r="AR2534" s="8" t="str">
        <f ca="1">IFERROR(__xludf.DUMMYFUNCTION("""COMPUTED_VALUE"""),"Outside/Off-Property")</f>
        <v>Outside/Off-Property</v>
      </c>
      <c r="AS2534" s="8">
        <f ca="1">IFERROR(__xludf.DUMMYFUNCTION("""COMPUTED_VALUE"""),7)</f>
        <v>7</v>
      </c>
      <c r="AT2534" s="8"/>
      <c r="AU2534" s="8">
        <f ca="1">IFERROR(__xludf.DUMMYFUNCTION("""COMPUTED_VALUE"""),38.662204)</f>
        <v>38.662204000000003</v>
      </c>
      <c r="AV2534" s="8">
        <f ca="1">IFERROR(__xludf.DUMMYFUNCTION("""COMPUTED_VALUE"""),-90.22218)</f>
        <v>-90.222179999999994</v>
      </c>
      <c r="AW2534" s="8"/>
      <c r="AX2534" s="8">
        <f ca="1">IFERROR(__xludf.DUMMYFUNCTION("""COMPUTED_VALUE"""),63107)</f>
        <v>63107</v>
      </c>
    </row>
    <row r="2535" spans="1:50" ht="60" x14ac:dyDescent="0.2">
      <c r="A2535" s="8" t="str">
        <f ca="1">IFERROR(__xludf.DUMMYFUNCTION("""COMPUTED_VALUE"""),"19960222GAJES")</f>
        <v>19960222GAJES</v>
      </c>
      <c r="B2535" s="8">
        <f ca="1">IFERROR(__xludf.DUMMYFUNCTION("""COMPUTED_VALUE"""),2)</f>
        <v>2</v>
      </c>
      <c r="C2535" s="8">
        <f ca="1">IFERROR(__xludf.DUMMYFUNCTION("""COMPUTED_VALUE"""),22)</f>
        <v>22</v>
      </c>
      <c r="D2535" s="8">
        <f ca="1">IFERROR(__xludf.DUMMYFUNCTION("""COMPUTED_VALUE"""),1996)</f>
        <v>1996</v>
      </c>
      <c r="E2535" s="9">
        <f ca="1">IFERROR(__xludf.DUMMYFUNCTION("""COMPUTED_VALUE"""),35117)</f>
        <v>35117</v>
      </c>
      <c r="F2535" s="8" t="str">
        <f ca="1">IFERROR(__xludf.DUMMYFUNCTION("""COMPUTED_VALUE"""),"Jenkins High School")</f>
        <v>Jenkins High School</v>
      </c>
      <c r="G2535" s="8">
        <f ca="1">IFERROR(__xludf.DUMMYFUNCTION("""COMPUTED_VALUE"""),1)</f>
        <v>1</v>
      </c>
      <c r="H2535" s="8">
        <f ca="1">IFERROR(__xludf.DUMMYFUNCTION("""COMPUTED_VALUE"""),0)</f>
        <v>0</v>
      </c>
      <c r="I2535" s="8">
        <f ca="1">IFERROR(__xludf.DUMMYFUNCTION("""COMPUTED_VALUE"""),1)</f>
        <v>1</v>
      </c>
      <c r="J2535" s="8">
        <f ca="1">IFERROR(__xludf.DUMMYFUNCTION("""COMPUTED_VALUE"""),0)</f>
        <v>0</v>
      </c>
      <c r="K2535" s="8" t="str">
        <f ca="1">IFERROR(__xludf.DUMMYFUNCTION("""COMPUTED_VALUE"""),"https://www.columbine-angels.com/School_Violence_1995-1996.htm https://www.savannahnow.com/news/20190417/savannah-man-indicted-for-murder-in-january-domestic-violence-case")</f>
        <v>https://www.columbine-angels.com/School_Violence_1995-1996.htm https://www.savannahnow.com/news/20190417/savannah-man-indicted-for-murder-in-january-domestic-violence-case</v>
      </c>
      <c r="L2535" s="8"/>
      <c r="M2535" s="8"/>
      <c r="N2535" s="8">
        <f ca="1">IFERROR(__xludf.DUMMYFUNCTION("""COMPUTED_VALUE"""),2)</f>
        <v>2</v>
      </c>
      <c r="O2535" s="8" t="str">
        <f ca="1">IFERROR(__xludf.DUMMYFUNCTION("""COMPUTED_VALUE"""),"Winter")</f>
        <v>Winter</v>
      </c>
      <c r="P2535" s="8" t="str">
        <f ca="1">IFERROR(__xludf.DUMMYFUNCTION("""COMPUTED_VALUE"""),"Savannah")</f>
        <v>Savannah</v>
      </c>
      <c r="Q2535" s="8" t="str">
        <f ca="1">IFERROR(__xludf.DUMMYFUNCTION("""COMPUTED_VALUE"""),"GA")</f>
        <v>GA</v>
      </c>
      <c r="R2535" s="8" t="str">
        <f ca="1">IFERROR(__xludf.DUMMYFUNCTION("""COMPUTED_VALUE"""),"High")</f>
        <v>High</v>
      </c>
      <c r="S2535" s="8" t="str">
        <f ca="1">IFERROR(__xludf.DUMMYFUNCTION("""COMPUTED_VALUE"""),"Front of School")</f>
        <v>Front of School</v>
      </c>
      <c r="T2535" s="8" t="str">
        <f ca="1">IFERROR(__xludf.DUMMYFUNCTION("""COMPUTED_VALUE"""),"Outside on School Property")</f>
        <v>Outside on School Property</v>
      </c>
      <c r="U2535" s="8" t="str">
        <f ca="1">IFERROR(__xludf.DUMMYFUNCTION("""COMPUTED_VALUE"""),"No")</f>
        <v>No</v>
      </c>
      <c r="V2535" s="8" t="str">
        <f ca="1">IFERROR(__xludf.DUMMYFUNCTION("""COMPUTED_VALUE"""),"Dismissal")</f>
        <v>Dismissal</v>
      </c>
      <c r="W2535" s="8"/>
      <c r="X2535" s="8">
        <f ca="1">IFERROR(__xludf.DUMMYFUNCTION("""COMPUTED_VALUE"""),1)</f>
        <v>1</v>
      </c>
      <c r="Y2535" s="12" t="str">
        <f ca="1">IFERROR(__xludf.DUMMYFUNCTION("""COMPUTED_VALUE"""),"Ongoing argument for 3 days escalated into shooting")</f>
        <v>Ongoing argument for 3 days escalated into shooting</v>
      </c>
      <c r="Z2535" s="12" t="str">
        <f ca="1">IFERROR(__xludf.DUMMYFUNCTION("""COMPUTED_VALUE"""),"15YOM shooter killed victim while students were lining up to get on the school bus. Shooter and victim had been arguing for the past 3 days.")</f>
        <v>15YOM shooter killed victim while students were lining up to get on the school bus. Shooter and victim had been arguing for the past 3 days.</v>
      </c>
      <c r="AA2535" s="8" t="str">
        <f ca="1">IFERROR(__xludf.DUMMYFUNCTION("""COMPUTED_VALUE"""),"Escalation of Dispute")</f>
        <v>Escalation of Dispute</v>
      </c>
      <c r="AB2535" s="8"/>
      <c r="AC2535" s="8"/>
      <c r="AD2535" s="8" t="str">
        <f ca="1">IFERROR(__xludf.DUMMYFUNCTION("""COMPUTED_VALUE"""),"Victims Targeted")</f>
        <v>Victims Targeted</v>
      </c>
      <c r="AE2535" s="8" t="str">
        <f ca="1">IFERROR(__xludf.DUMMYFUNCTION("""COMPUTED_VALUE"""),"No")</f>
        <v>No</v>
      </c>
      <c r="AF2535" s="8"/>
      <c r="AG2535" s="8" t="str">
        <f ca="1">IFERROR(__xludf.DUMMYFUNCTION("""COMPUTED_VALUE"""),"No")</f>
        <v>No</v>
      </c>
      <c r="AH2535" s="8" t="str">
        <f ca="1">IFERROR(__xludf.DUMMYFUNCTION("""COMPUTED_VALUE"""),"No")</f>
        <v>No</v>
      </c>
      <c r="AI2535" s="8" t="str">
        <f ca="1">IFERROR(__xludf.DUMMYFUNCTION("""COMPUTED_VALUE"""),"No")</f>
        <v>No</v>
      </c>
      <c r="AJ2535" s="8" t="str">
        <f ca="1">IFERROR(__xludf.DUMMYFUNCTION("""COMPUTED_VALUE"""),"No")</f>
        <v>No</v>
      </c>
      <c r="AK2535" s="8" t="str">
        <f ca="1">IFERROR(__xludf.DUMMYFUNCTION("""COMPUTED_VALUE"""),"No")</f>
        <v>No</v>
      </c>
      <c r="AL2535" s="8" t="str">
        <f ca="1">IFERROR(__xludf.DUMMYFUNCTION("""COMPUTED_VALUE"""),"No")</f>
        <v>No</v>
      </c>
      <c r="AM2535" s="8"/>
      <c r="AN2535" s="8"/>
      <c r="AO2535" s="8" t="str">
        <f ca="1">IFERROR(__xludf.DUMMYFUNCTION("""COMPUTED_VALUE"""),"No")</f>
        <v>No</v>
      </c>
      <c r="AP2535" s="8"/>
      <c r="AQ2535" s="8" t="str">
        <f ca="1">IFERROR(__xludf.DUMMYFUNCTION("""COMPUTED_VALUE"""),"Unknown")</f>
        <v>Unknown</v>
      </c>
      <c r="AR2535" s="8" t="str">
        <f ca="1">IFERROR(__xludf.DUMMYFUNCTION("""COMPUTED_VALUE"""),"NA")</f>
        <v>NA</v>
      </c>
      <c r="AS2535" s="8"/>
      <c r="AT2535" s="8"/>
      <c r="AU2535" s="8">
        <f ca="1">IFERROR(__xludf.DUMMYFUNCTION("""COMPUTED_VALUE"""),32.023047)</f>
        <v>32.023046999999998</v>
      </c>
      <c r="AV2535" s="8">
        <f ca="1">IFERROR(__xludf.DUMMYFUNCTION("""COMPUTED_VALUE"""),-81.083181)</f>
        <v>-81.083180999999996</v>
      </c>
      <c r="AW2535" s="8"/>
      <c r="AX2535" s="8">
        <f ca="1">IFERROR(__xludf.DUMMYFUNCTION("""COMPUTED_VALUE"""),31406)</f>
        <v>31406</v>
      </c>
    </row>
    <row r="2536" spans="1:50" ht="75" x14ac:dyDescent="0.2">
      <c r="A2536" s="8" t="str">
        <f ca="1">IFERROR(__xludf.DUMMYFUNCTION("""COMPUTED_VALUE"""),"19960208CAMIM")</f>
        <v>19960208CAMIM</v>
      </c>
      <c r="B2536" s="8">
        <f ca="1">IFERROR(__xludf.DUMMYFUNCTION("""COMPUTED_VALUE"""),2)</f>
        <v>2</v>
      </c>
      <c r="C2536" s="8">
        <f ca="1">IFERROR(__xludf.DUMMYFUNCTION("""COMPUTED_VALUE"""),8)</f>
        <v>8</v>
      </c>
      <c r="D2536" s="8">
        <f ca="1">IFERROR(__xludf.DUMMYFUNCTION("""COMPUTED_VALUE"""),1996)</f>
        <v>1996</v>
      </c>
      <c r="E2536" s="9">
        <f ca="1">IFERROR(__xludf.DUMMYFUNCTION("""COMPUTED_VALUE"""),35103)</f>
        <v>35103</v>
      </c>
      <c r="F2536" s="8" t="str">
        <f ca="1">IFERROR(__xludf.DUMMYFUNCTION("""COMPUTED_VALUE"""),"Mid-Peninsula High School")</f>
        <v>Mid-Peninsula High School</v>
      </c>
      <c r="G2536" s="8">
        <f ca="1">IFERROR(__xludf.DUMMYFUNCTION("""COMPUTED_VALUE"""),0)</f>
        <v>0</v>
      </c>
      <c r="H2536" s="8">
        <f ca="1">IFERROR(__xludf.DUMMYFUNCTION("""COMPUTED_VALUE"""),1)</f>
        <v>1</v>
      </c>
      <c r="I2536" s="8">
        <f ca="1">IFERROR(__xludf.DUMMYFUNCTION("""COMPUTED_VALUE"""),1)</f>
        <v>1</v>
      </c>
      <c r="J2536" s="8">
        <f ca="1">IFERROR(__xludf.DUMMYFUNCTION("""COMPUTED_VALUE"""),1)</f>
        <v>1</v>
      </c>
      <c r="K2536" s="8" t="str">
        <f ca="1">IFERROR(__xludf.DUMMYFUNCTION("""COMPUTED_VALUE"""),"https://www.sfgate.com/news/article/PAGE-ONE-Teen-Fires-on-Classmates-In-Palo-Alto-2995325.php https://napavalleyregister.newspapers.com/image/565670321/ https://en.wikipedia.org/wiki/List_of_attacks_related_to_secondary_schools#1990s https://www.paloalto"&amp;"online.com/weekly/morgue/news/1996_Feb_14.SHOOTING.html https://www.paloaltoonline.com/weekly/morgue/news/1996_Feb_9.SHOOTING.html")</f>
        <v>https://www.sfgate.com/news/article/PAGE-ONE-Teen-Fires-on-Classmates-In-Palo-Alto-2995325.php https://napavalleyregister.newspapers.com/image/565670321/ https://en.wikipedia.org/wiki/List_of_attacks_related_to_secondary_schools#1990s https://www.paloaltoonline.com/weekly/morgue/news/1996_Feb_14.SHOOTING.html https://www.paloaltoonline.com/weekly/morgue/news/1996_Feb_9.SHOOTING.html</v>
      </c>
      <c r="L2536" s="8"/>
      <c r="M2536" s="8"/>
      <c r="N2536" s="8">
        <f ca="1">IFERROR(__xludf.DUMMYFUNCTION("""COMPUTED_VALUE"""),2)</f>
        <v>2</v>
      </c>
      <c r="O2536" s="8" t="str">
        <f ca="1">IFERROR(__xludf.DUMMYFUNCTION("""COMPUTED_VALUE"""),"Winter")</f>
        <v>Winter</v>
      </c>
      <c r="P2536" s="8" t="str">
        <f ca="1">IFERROR(__xludf.DUMMYFUNCTION("""COMPUTED_VALUE"""),"Menlo Park")</f>
        <v>Menlo Park</v>
      </c>
      <c r="Q2536" s="8" t="str">
        <f ca="1">IFERROR(__xludf.DUMMYFUNCTION("""COMPUTED_VALUE"""),"CA")</f>
        <v>CA</v>
      </c>
      <c r="R2536" s="8" t="str">
        <f ca="1">IFERROR(__xludf.DUMMYFUNCTION("""COMPUTED_VALUE"""),"High")</f>
        <v>High</v>
      </c>
      <c r="S2536" s="8" t="str">
        <f ca="1">IFERROR(__xludf.DUMMYFUNCTION("""COMPUTED_VALUE"""),"Basketball Court")</f>
        <v>Basketball Court</v>
      </c>
      <c r="T2536" s="8" t="str">
        <f ca="1">IFERROR(__xludf.DUMMYFUNCTION("""COMPUTED_VALUE"""),"Outside on School Property")</f>
        <v>Outside on School Property</v>
      </c>
      <c r="U2536" s="8" t="str">
        <f ca="1">IFERROR(__xludf.DUMMYFUNCTION("""COMPUTED_VALUE"""),"Yes")</f>
        <v>Yes</v>
      </c>
      <c r="V2536" s="8" t="str">
        <f ca="1">IFERROR(__xludf.DUMMYFUNCTION("""COMPUTED_VALUE"""),"Morning Classes")</f>
        <v>Morning Classes</v>
      </c>
      <c r="W2536" s="11">
        <f ca="1">IFERROR(__xludf.DUMMYFUNCTION("""COMPUTED_VALUE"""),0.458333333333333)</f>
        <v>0.45833333333333298</v>
      </c>
      <c r="X2536" s="8">
        <f ca="1">IFERROR(__xludf.DUMMYFUNCTION("""COMPUTED_VALUE"""),1)</f>
        <v>1</v>
      </c>
      <c r="Y2536" s="12" t="str">
        <f ca="1">IFERROR(__xludf.DUMMYFUNCTION("""COMPUTED_VALUE"""),"Suicidal - shot randomly at students then killed himself")</f>
        <v>Suicidal - shot randomly at students then killed himself</v>
      </c>
      <c r="Z2536" s="12" t="str">
        <f ca="1">IFERROR(__xludf.DUMMYFUNCTION("""COMPUTED_VALUE"""),"16 year old student was depressed over issues with girlfriend - drove his car onto school basketball court and began throwing money out window - when students came to pick up he randomly started shooting at them, shot several bullets into nearby classroom"&amp;" then shot himself.")</f>
        <v>16 year old student was depressed over issues with girlfriend - drove his car onto school basketball court and began throwing money out window - when students came to pick up he randomly started shooting at them, shot several bullets into nearby classroom then shot himself.</v>
      </c>
      <c r="AA2536" s="8" t="str">
        <f ca="1">IFERROR(__xludf.DUMMYFUNCTION("""COMPUTED_VALUE"""),"Indiscriminate Shooting")</f>
        <v>Indiscriminate Shooting</v>
      </c>
      <c r="AB2536" s="8"/>
      <c r="AC2536" s="8"/>
      <c r="AD2536" s="8" t="str">
        <f ca="1">IFERROR(__xludf.DUMMYFUNCTION("""COMPUTED_VALUE"""),"Random Shooting")</f>
        <v>Random Shooting</v>
      </c>
      <c r="AE2536" s="8" t="str">
        <f ca="1">IFERROR(__xludf.DUMMYFUNCTION("""COMPUTED_VALUE"""),"No")</f>
        <v>No</v>
      </c>
      <c r="AF2536" s="8"/>
      <c r="AG2536" s="8" t="str">
        <f ca="1">IFERROR(__xludf.DUMMYFUNCTION("""COMPUTED_VALUE"""),"No")</f>
        <v>No</v>
      </c>
      <c r="AH2536" s="8" t="str">
        <f ca="1">IFERROR(__xludf.DUMMYFUNCTION("""COMPUTED_VALUE"""),"No")</f>
        <v>No</v>
      </c>
      <c r="AI2536" s="8" t="str">
        <f ca="1">IFERROR(__xludf.DUMMYFUNCTION("""COMPUTED_VALUE"""),"No")</f>
        <v>No</v>
      </c>
      <c r="AJ2536" s="8" t="str">
        <f ca="1">IFERROR(__xludf.DUMMYFUNCTION("""COMPUTED_VALUE"""),"No")</f>
        <v>No</v>
      </c>
      <c r="AK2536" s="8" t="str">
        <f ca="1">IFERROR(__xludf.DUMMYFUNCTION("""COMPUTED_VALUE"""),"No")</f>
        <v>No</v>
      </c>
      <c r="AL2536" s="8" t="str">
        <f ca="1">IFERROR(__xludf.DUMMYFUNCTION("""COMPUTED_VALUE"""),"No")</f>
        <v>No</v>
      </c>
      <c r="AM2536" s="8" t="str">
        <f ca="1">IFERROR(__xludf.DUMMYFUNCTION("""COMPUTED_VALUE"""),"Yes")</f>
        <v>Yes</v>
      </c>
      <c r="AN2536" s="8" t="str">
        <f ca="1">IFERROR(__xludf.DUMMYFUNCTION("""COMPUTED_VALUE"""),"Outside")</f>
        <v>Outside</v>
      </c>
      <c r="AO2536" s="8" t="str">
        <f ca="1">IFERROR(__xludf.DUMMYFUNCTION("""COMPUTED_VALUE"""),"No")</f>
        <v>No</v>
      </c>
      <c r="AP2536" s="8"/>
      <c r="AQ2536" s="8" t="str">
        <f ca="1">IFERROR(__xludf.DUMMYFUNCTION("""COMPUTED_VALUE"""),"Unknown")</f>
        <v>Unknown</v>
      </c>
      <c r="AR2536" s="8" t="str">
        <f ca="1">IFERROR(__xludf.DUMMYFUNCTION("""COMPUTED_VALUE"""),"NA")</f>
        <v>NA</v>
      </c>
      <c r="AS2536" s="8" t="str">
        <f ca="1">IFERROR(__xludf.DUMMYFUNCTION("""COMPUTED_VALUE"""),"Multiple")</f>
        <v>Multiple</v>
      </c>
      <c r="AT2536" s="8"/>
      <c r="AU2536" s="8">
        <f ca="1">IFERROR(__xludf.DUMMYFUNCTION("""COMPUTED_VALUE"""),37.476284)</f>
        <v>37.476284</v>
      </c>
      <c r="AV2536" s="8">
        <f ca="1">IFERROR(__xludf.DUMMYFUNCTION("""COMPUTED_VALUE"""),-122.152068)</f>
        <v>-122.152068</v>
      </c>
      <c r="AW2536" s="8"/>
      <c r="AX2536" s="8">
        <f ca="1">IFERROR(__xludf.DUMMYFUNCTION("""COMPUTED_VALUE"""),94025)</f>
        <v>94025</v>
      </c>
    </row>
    <row r="2537" spans="1:50" ht="195" x14ac:dyDescent="0.2">
      <c r="A2537" s="8" t="str">
        <f ca="1">IFERROR(__xludf.DUMMYFUNCTION("""COMPUTED_VALUE"""),"19960202WAFRM")</f>
        <v>19960202WAFRM</v>
      </c>
      <c r="B2537" s="8">
        <f ca="1">IFERROR(__xludf.DUMMYFUNCTION("""COMPUTED_VALUE"""),2)</f>
        <v>2</v>
      </c>
      <c r="C2537" s="8">
        <f ca="1">IFERROR(__xludf.DUMMYFUNCTION("""COMPUTED_VALUE"""),2)</f>
        <v>2</v>
      </c>
      <c r="D2537" s="8">
        <f ca="1">IFERROR(__xludf.DUMMYFUNCTION("""COMPUTED_VALUE"""),1996)</f>
        <v>1996</v>
      </c>
      <c r="E2537" s="9">
        <f ca="1">IFERROR(__xludf.DUMMYFUNCTION("""COMPUTED_VALUE"""),35097)</f>
        <v>35097</v>
      </c>
      <c r="F2537" s="8" t="str">
        <f ca="1">IFERROR(__xludf.DUMMYFUNCTION("""COMPUTED_VALUE"""),"Frontier Middle School")</f>
        <v>Frontier Middle School</v>
      </c>
      <c r="G2537" s="8">
        <f ca="1">IFERROR(__xludf.DUMMYFUNCTION("""COMPUTED_VALUE"""),3)</f>
        <v>3</v>
      </c>
      <c r="H2537" s="8">
        <f ca="1">IFERROR(__xludf.DUMMYFUNCTION("""COMPUTED_VALUE"""),1)</f>
        <v>1</v>
      </c>
      <c r="I2537" s="8">
        <f ca="1">IFERROR(__xludf.DUMMYFUNCTION("""COMPUTED_VALUE"""),4)</f>
        <v>4</v>
      </c>
      <c r="J2537" s="8">
        <f ca="1">IFERROR(__xludf.DUMMYFUNCTION("""COMPUTED_VALUE"""),0)</f>
        <v>0</v>
      </c>
      <c r="K2537" s="8" t="str">
        <f ca="1">IFERROR(__xludf.DUMMYFUNCTION("""COMPUTED_VALUE"""),"https://www.usnews.com/news/best-states/washington/articles/2017-04-19/school-shooter-barry-loukaitis-resentenced-to-189-years http://www.columbine-angels.com/School_Violence_1995-1996.htm https://murderpedia.org/male.L/l/loukaitis-barry.htm https://en.wi"&amp;"kipedia.org/wiki/Frontier_Middle_School_shooting")</f>
        <v>https://www.usnews.com/news/best-states/washington/articles/2017-04-19/school-shooter-barry-loukaitis-resentenced-to-189-years http://www.columbine-angels.com/School_Violence_1995-1996.htm https://murderpedia.org/male.L/l/loukaitis-barry.htm https://en.wikipedia.org/wiki/Frontier_Middle_School_shooting</v>
      </c>
      <c r="L2537" s="8"/>
      <c r="M2537" s="8"/>
      <c r="N2537" s="8">
        <f ca="1">IFERROR(__xludf.DUMMYFUNCTION("""COMPUTED_VALUE"""),3)</f>
        <v>3</v>
      </c>
      <c r="O2537" s="8" t="str">
        <f ca="1">IFERROR(__xludf.DUMMYFUNCTION("""COMPUTED_VALUE"""),"Winter")</f>
        <v>Winter</v>
      </c>
      <c r="P2537" s="8" t="str">
        <f ca="1">IFERROR(__xludf.DUMMYFUNCTION("""COMPUTED_VALUE"""),"Moses Lake")</f>
        <v>Moses Lake</v>
      </c>
      <c r="Q2537" s="8" t="str">
        <f ca="1">IFERROR(__xludf.DUMMYFUNCTION("""COMPUTED_VALUE"""),"WA")</f>
        <v>WA</v>
      </c>
      <c r="R2537" s="8" t="str">
        <f ca="1">IFERROR(__xludf.DUMMYFUNCTION("""COMPUTED_VALUE"""),"Middle")</f>
        <v>Middle</v>
      </c>
      <c r="S2537" s="8" t="str">
        <f ca="1">IFERROR(__xludf.DUMMYFUNCTION("""COMPUTED_VALUE"""),"Classroom")</f>
        <v>Classroom</v>
      </c>
      <c r="T2537" s="8" t="str">
        <f ca="1">IFERROR(__xludf.DUMMYFUNCTION("""COMPUTED_VALUE"""),"Inside School Building")</f>
        <v>Inside School Building</v>
      </c>
      <c r="U2537" s="8" t="str">
        <f ca="1">IFERROR(__xludf.DUMMYFUNCTION("""COMPUTED_VALUE"""),"Yes")</f>
        <v>Yes</v>
      </c>
      <c r="V2537" s="8" t="str">
        <f ca="1">IFERROR(__xludf.DUMMYFUNCTION("""COMPUTED_VALUE"""),"Afternoon Classes")</f>
        <v>Afternoon Classes</v>
      </c>
      <c r="W2537" s="8"/>
      <c r="X2537" s="8"/>
      <c r="Y2537" s="12" t="str">
        <f ca="1">IFERROR(__xludf.DUMMYFUNCTION("""COMPUTED_VALUE"""),"Student dressed as cowboy planned attack/hostages; subdued by teacher")</f>
        <v>Student dressed as cowboy planned attack/hostages; subdued by teacher</v>
      </c>
      <c r="Z2537" s="12" t="str">
        <f ca="1">IFERROR(__xludf.DUMMYFUNCTION("""COMPUTED_VALUE"""),"Shooter was dressed as a cowboy with rifle and two pistols. Walked into classroom and shot the teacher and three students. He took the other students hostage and planned use them to escape. Shooter was tackled by another teacher allowing the students to e"&amp;"scape and held until police arrived. Shooter had planned the shooting and made references to Pearl Jam song about commiting suicide at school, Stephen King book Rage, and the movie Natural Born Killers. Shooter said he tried to model himself after the cha"&amp;"racter in Rage who kills a teacher and two students. Shooting happened during 5th period algebra class. Shooter used a .30-30 rifle, 0.357 Magnum revolver, and .25 ACP pistol")</f>
        <v>Shooter was dressed as a cowboy with rifle and two pistols. Walked into classroom and shot the teacher and three students. He took the other students hostage and planned use them to escape. Shooter was tackled by another teacher allowing the students to escape and held until police arrived. Shooter had planned the shooting and made references to Pearl Jam song about commiting suicide at school, Stephen King book Rage, and the movie Natural Born Killers. Shooter said he tried to model himself after the character in Rage who kills a teacher and two students. Shooting happened during 5th period algebra class. Shooter used a .30-30 rifle, 0.357 Magnum revolver, and .25 ACP pistol</v>
      </c>
      <c r="AA2537" s="8" t="str">
        <f ca="1">IFERROR(__xludf.DUMMYFUNCTION("""COMPUTED_VALUE"""),"Hostage/Standoff")</f>
        <v>Hostage/Standoff</v>
      </c>
      <c r="AB2537" s="8"/>
      <c r="AC2537" s="8" t="str">
        <f ca="1">IFERROR(__xludf.DUMMYFUNCTION("""COMPUTED_VALUE"""),"Yes")</f>
        <v>Yes</v>
      </c>
      <c r="AD2537" s="8" t="str">
        <f ca="1">IFERROR(__xludf.DUMMYFUNCTION("""COMPUTED_VALUE"""),"Both")</f>
        <v>Both</v>
      </c>
      <c r="AE2537" s="8" t="str">
        <f ca="1">IFERROR(__xludf.DUMMYFUNCTION("""COMPUTED_VALUE"""),"No")</f>
        <v>No</v>
      </c>
      <c r="AF2537" s="8"/>
      <c r="AG2537" s="8" t="str">
        <f ca="1">IFERROR(__xludf.DUMMYFUNCTION("""COMPUTED_VALUE"""),"Yes")</f>
        <v>Yes</v>
      </c>
      <c r="AH2537" s="8" t="str">
        <f ca="1">IFERROR(__xludf.DUMMYFUNCTION("""COMPUTED_VALUE"""),"No")</f>
        <v>No</v>
      </c>
      <c r="AI2537" s="8" t="str">
        <f ca="1">IFERROR(__xludf.DUMMYFUNCTION("""COMPUTED_VALUE"""),"No")</f>
        <v>No</v>
      </c>
      <c r="AJ2537" s="8" t="str">
        <f ca="1">IFERROR(__xludf.DUMMYFUNCTION("""COMPUTED_VALUE"""),"Yes")</f>
        <v>Yes</v>
      </c>
      <c r="AK2537" s="8" t="str">
        <f ca="1">IFERROR(__xludf.DUMMYFUNCTION("""COMPUTED_VALUE"""),"Yes")</f>
        <v>Yes</v>
      </c>
      <c r="AL2537" s="8" t="str">
        <f ca="1">IFERROR(__xludf.DUMMYFUNCTION("""COMPUTED_VALUE"""),"No")</f>
        <v>No</v>
      </c>
      <c r="AM2537" s="8" t="str">
        <f ca="1">IFERROR(__xludf.DUMMYFUNCTION("""COMPUTED_VALUE"""),"Yes")</f>
        <v>Yes</v>
      </c>
      <c r="AN2537" s="8" t="str">
        <f ca="1">IFERROR(__xludf.DUMMYFUNCTION("""COMPUTED_VALUE"""),"Single Room")</f>
        <v>Single Room</v>
      </c>
      <c r="AO2537" s="8" t="str">
        <f ca="1">IFERROR(__xludf.DUMMYFUNCTION("""COMPUTED_VALUE"""),"Yes")</f>
        <v>Yes</v>
      </c>
      <c r="AP2537" s="8"/>
      <c r="AQ2537" s="8" t="str">
        <f ca="1">IFERROR(__xludf.DUMMYFUNCTION("""COMPUTED_VALUE"""),"Unknown")</f>
        <v>Unknown</v>
      </c>
      <c r="AR2537" s="8" t="str">
        <f ca="1">IFERROR(__xludf.DUMMYFUNCTION("""COMPUTED_VALUE"""),"NA")</f>
        <v>NA</v>
      </c>
      <c r="AS2537" s="8"/>
      <c r="AT2537" s="8"/>
      <c r="AU2537" s="8">
        <f ca="1">IFERROR(__xludf.DUMMYFUNCTION("""COMPUTED_VALUE"""),47.126687)</f>
        <v>47.126686999999997</v>
      </c>
      <c r="AV2537" s="8">
        <f ca="1">IFERROR(__xludf.DUMMYFUNCTION("""COMPUTED_VALUE"""),-119.282726)</f>
        <v>-119.282726</v>
      </c>
      <c r="AW2537" s="8"/>
      <c r="AX2537" s="8">
        <f ca="1">IFERROR(__xludf.DUMMYFUNCTION("""COMPUTED_VALUE"""),98837)</f>
        <v>98837</v>
      </c>
    </row>
    <row r="2538" spans="1:50" ht="45" x14ac:dyDescent="0.2">
      <c r="A2538" s="8" t="str">
        <f ca="1">IFERROR(__xludf.DUMMYFUNCTION("""COMPUTED_VALUE"""),"19960126TNEAM")</f>
        <v>19960126TNEAM</v>
      </c>
      <c r="B2538" s="8">
        <f ca="1">IFERROR(__xludf.DUMMYFUNCTION("""COMPUTED_VALUE"""),1)</f>
        <v>1</v>
      </c>
      <c r="C2538" s="8">
        <f ca="1">IFERROR(__xludf.DUMMYFUNCTION("""COMPUTED_VALUE"""),26)</f>
        <v>26</v>
      </c>
      <c r="D2538" s="8">
        <f ca="1">IFERROR(__xludf.DUMMYFUNCTION("""COMPUTED_VALUE"""),1996)</f>
        <v>1996</v>
      </c>
      <c r="E2538" s="9">
        <f ca="1">IFERROR(__xludf.DUMMYFUNCTION("""COMPUTED_VALUE"""),35090)</f>
        <v>35090</v>
      </c>
      <c r="F2538" s="8" t="str">
        <f ca="1">IFERROR(__xludf.DUMMYFUNCTION("""COMPUTED_VALUE"""),"East High School")</f>
        <v>East High School</v>
      </c>
      <c r="G2538" s="8">
        <f ca="1">IFERROR(__xludf.DUMMYFUNCTION("""COMPUTED_VALUE"""),1)</f>
        <v>1</v>
      </c>
      <c r="H2538" s="8">
        <f ca="1">IFERROR(__xludf.DUMMYFUNCTION("""COMPUTED_VALUE"""),0)</f>
        <v>0</v>
      </c>
      <c r="I2538" s="8">
        <f ca="1">IFERROR(__xludf.DUMMYFUNCTION("""COMPUTED_VALUE"""),1)</f>
        <v>1</v>
      </c>
      <c r="J2538" s="8">
        <f ca="1">IFERROR(__xludf.DUMMYFUNCTION("""COMPUTED_VALUE"""),0)</f>
        <v>0</v>
      </c>
      <c r="K2538" s="8" t="str">
        <f ca="1">IFERROR(__xludf.DUMMYFUNCTION("""COMPUTED_VALUE"""),"https://www.columbine-angels.com/School_Violence_1995-1996.htm https://www.psychceu.com/school_violence/savd.pdf http://www.easthigh.org/fullhist.html")</f>
        <v>https://www.columbine-angels.com/School_Violence_1995-1996.htm https://www.psychceu.com/school_violence/savd.pdf http://www.easthigh.org/fullhist.html</v>
      </c>
      <c r="L2538" s="8"/>
      <c r="M2538" s="8"/>
      <c r="N2538" s="8">
        <f ca="1">IFERROR(__xludf.DUMMYFUNCTION("""COMPUTED_VALUE"""),2)</f>
        <v>2</v>
      </c>
      <c r="O2538" s="8" t="str">
        <f ca="1">IFERROR(__xludf.DUMMYFUNCTION("""COMPUTED_VALUE"""),"Winter")</f>
        <v>Winter</v>
      </c>
      <c r="P2538" s="8" t="str">
        <f ca="1">IFERROR(__xludf.DUMMYFUNCTION("""COMPUTED_VALUE"""),"Memphis")</f>
        <v>Memphis</v>
      </c>
      <c r="Q2538" s="8" t="str">
        <f ca="1">IFERROR(__xludf.DUMMYFUNCTION("""COMPUTED_VALUE"""),"TN")</f>
        <v>TN</v>
      </c>
      <c r="R2538" s="8" t="str">
        <f ca="1">IFERROR(__xludf.DUMMYFUNCTION("""COMPUTED_VALUE"""),"High")</f>
        <v>High</v>
      </c>
      <c r="S2538" s="8" t="str">
        <f ca="1">IFERROR(__xludf.DUMMYFUNCTION("""COMPUTED_VALUE"""),"Parking Lot")</f>
        <v>Parking Lot</v>
      </c>
      <c r="T2538" s="8" t="str">
        <f ca="1">IFERROR(__xludf.DUMMYFUNCTION("""COMPUTED_VALUE"""),"Outside on School Property")</f>
        <v>Outside on School Property</v>
      </c>
      <c r="U2538" s="8" t="str">
        <f ca="1">IFERROR(__xludf.DUMMYFUNCTION("""COMPUTED_VALUE"""),"No")</f>
        <v>No</v>
      </c>
      <c r="V2538" s="8" t="str">
        <f ca="1">IFERROR(__xludf.DUMMYFUNCTION("""COMPUTED_VALUE"""),"Sport Event")</f>
        <v>Sport Event</v>
      </c>
      <c r="W2538" s="11">
        <f ca="1">IFERROR(__xludf.DUMMYFUNCTION("""COMPUTED_VALUE"""),0.90625)</f>
        <v>0.90625</v>
      </c>
      <c r="X2538" s="8">
        <f ca="1">IFERROR(__xludf.DUMMYFUNCTION("""COMPUTED_VALUE"""),1)</f>
        <v>1</v>
      </c>
      <c r="Y2538" s="12" t="str">
        <f ca="1">IFERROR(__xludf.DUMMYFUNCTION("""COMPUTED_VALUE"""),"Shot while trying to break up fight after basketball game")</f>
        <v>Shot while trying to break up fight after basketball game</v>
      </c>
      <c r="Z2538" s="12" t="str">
        <f ca="1">IFERROR(__xludf.DUMMYFUNCTION("""COMPUTED_VALUE"""),"Victim tried to break up a fight between several women around 9:45 pm after a basketball game. Victim was shot and killed by unknown shooter.")</f>
        <v>Victim tried to break up a fight between several women around 9:45 pm after a basketball game. Victim was shot and killed by unknown shooter.</v>
      </c>
      <c r="AA2538" s="8" t="str">
        <f ca="1">IFERROR(__xludf.DUMMYFUNCTION("""COMPUTED_VALUE"""),"Escalation of Dispute")</f>
        <v>Escalation of Dispute</v>
      </c>
      <c r="AB2538" s="8"/>
      <c r="AC2538" s="8"/>
      <c r="AD2538" s="8" t="str">
        <f ca="1">IFERROR(__xludf.DUMMYFUNCTION("""COMPUTED_VALUE"""),"Random Shooting")</f>
        <v>Random Shooting</v>
      </c>
      <c r="AE2538" s="8" t="str">
        <f ca="1">IFERROR(__xludf.DUMMYFUNCTION("""COMPUTED_VALUE"""),"No")</f>
        <v>No</v>
      </c>
      <c r="AF2538" s="8"/>
      <c r="AG2538" s="8" t="str">
        <f ca="1">IFERROR(__xludf.DUMMYFUNCTION("""COMPUTED_VALUE"""),"No")</f>
        <v>No</v>
      </c>
      <c r="AH2538" s="8" t="str">
        <f ca="1">IFERROR(__xludf.DUMMYFUNCTION("""COMPUTED_VALUE"""),"No")</f>
        <v>No</v>
      </c>
      <c r="AI2538" s="8" t="str">
        <f ca="1">IFERROR(__xludf.DUMMYFUNCTION("""COMPUTED_VALUE"""),"No")</f>
        <v>No</v>
      </c>
      <c r="AJ2538" s="8" t="str">
        <f ca="1">IFERROR(__xludf.DUMMYFUNCTION("""COMPUTED_VALUE"""),"No")</f>
        <v>No</v>
      </c>
      <c r="AK2538" s="8" t="str">
        <f ca="1">IFERROR(__xludf.DUMMYFUNCTION("""COMPUTED_VALUE"""),"No")</f>
        <v>No</v>
      </c>
      <c r="AL2538" s="8" t="str">
        <f ca="1">IFERROR(__xludf.DUMMYFUNCTION("""COMPUTED_VALUE"""),"No")</f>
        <v>No</v>
      </c>
      <c r="AM2538" s="8"/>
      <c r="AN2538" s="8"/>
      <c r="AO2538" s="8" t="str">
        <f ca="1">IFERROR(__xludf.DUMMYFUNCTION("""COMPUTED_VALUE"""),"No")</f>
        <v>No</v>
      </c>
      <c r="AP2538" s="8"/>
      <c r="AQ2538" s="8" t="str">
        <f ca="1">IFERROR(__xludf.DUMMYFUNCTION("""COMPUTED_VALUE"""),"Unknown")</f>
        <v>Unknown</v>
      </c>
      <c r="AR2538" s="8" t="str">
        <f ca="1">IFERROR(__xludf.DUMMYFUNCTION("""COMPUTED_VALUE"""),"NA")</f>
        <v>NA</v>
      </c>
      <c r="AS2538" s="8" t="str">
        <f ca="1">IFERROR(__xludf.DUMMYFUNCTION("""COMPUTED_VALUE"""),"&lt;10")</f>
        <v>&lt;10</v>
      </c>
      <c r="AT2538" s="8"/>
      <c r="AU2538" s="8">
        <f ca="1">IFERROR(__xludf.DUMMYFUNCTION("""COMPUTED_VALUE"""),35.13146)</f>
        <v>35.131459999999997</v>
      </c>
      <c r="AV2538" s="8">
        <f ca="1">IFERROR(__xludf.DUMMYFUNCTION("""COMPUTED_VALUE"""),-89.954414)</f>
        <v>-89.954414</v>
      </c>
      <c r="AW2538" s="8"/>
      <c r="AX2538" s="8">
        <f ca="1">IFERROR(__xludf.DUMMYFUNCTION("""COMPUTED_VALUE"""),38111)</f>
        <v>38111</v>
      </c>
    </row>
    <row r="2539" spans="1:50" ht="120" x14ac:dyDescent="0.2">
      <c r="A2539" s="8" t="str">
        <f ca="1">IFERROR(__xludf.DUMMYFUNCTION("""COMPUTED_VALUE"""),"19960119DCWIW")</f>
        <v>19960119DCWIW</v>
      </c>
      <c r="B2539" s="8">
        <f ca="1">IFERROR(__xludf.DUMMYFUNCTION("""COMPUTED_VALUE"""),1)</f>
        <v>1</v>
      </c>
      <c r="C2539" s="8">
        <f ca="1">IFERROR(__xludf.DUMMYFUNCTION("""COMPUTED_VALUE"""),19)</f>
        <v>19</v>
      </c>
      <c r="D2539" s="8">
        <f ca="1">IFERROR(__xludf.DUMMYFUNCTION("""COMPUTED_VALUE"""),1996)</f>
        <v>1996</v>
      </c>
      <c r="E2539" s="9">
        <f ca="1">IFERROR(__xludf.DUMMYFUNCTION("""COMPUTED_VALUE"""),35083)</f>
        <v>35083</v>
      </c>
      <c r="F2539" s="8" t="str">
        <f ca="1">IFERROR(__xludf.DUMMYFUNCTION("""COMPUTED_VALUE"""),"Winston Education Center")</f>
        <v>Winston Education Center</v>
      </c>
      <c r="G2539" s="8">
        <f ca="1">IFERROR(__xludf.DUMMYFUNCTION("""COMPUTED_VALUE"""),1)</f>
        <v>1</v>
      </c>
      <c r="H2539" s="8">
        <f ca="1">IFERROR(__xludf.DUMMYFUNCTION("""COMPUTED_VALUE"""),0)</f>
        <v>0</v>
      </c>
      <c r="I2539" s="8">
        <f ca="1">IFERROR(__xludf.DUMMYFUNCTION("""COMPUTED_VALUE"""),1)</f>
        <v>1</v>
      </c>
      <c r="J2539" s="8">
        <f ca="1">IFERROR(__xludf.DUMMYFUNCTION("""COMPUTED_VALUE"""),0)</f>
        <v>0</v>
      </c>
      <c r="K2539" s="8" t="str">
        <f ca="1">IFERROR(__xludf.DUMMYFUNCTION("""COMPUTED_VALUE"""),"https://www.washingtonpost.com/archive/local/1997/06/25/teen-convicted-of-fatally-shooting-boy-at-dc-school/097c0f6e-0e54-42ef-93b4-64c4c8a8cbbd/?utm_term=.27f0b555fa39 https://www.psychceu.com/school_violence/savd.pdf")</f>
        <v>https://www.washingtonpost.com/archive/local/1997/06/25/teen-convicted-of-fatally-shooting-boy-at-dc-school/097c0f6e-0e54-42ef-93b4-64c4c8a8cbbd/?utm_term=.27f0b555fa39 https://www.psychceu.com/school_violence/savd.pdf</v>
      </c>
      <c r="L2539" s="8"/>
      <c r="M2539" s="8"/>
      <c r="N2539" s="8">
        <f ca="1">IFERROR(__xludf.DUMMYFUNCTION("""COMPUTED_VALUE"""),2)</f>
        <v>2</v>
      </c>
      <c r="O2539" s="8" t="str">
        <f ca="1">IFERROR(__xludf.DUMMYFUNCTION("""COMPUTED_VALUE"""),"Winter")</f>
        <v>Winter</v>
      </c>
      <c r="P2539" s="8" t="str">
        <f ca="1">IFERROR(__xludf.DUMMYFUNCTION("""COMPUTED_VALUE"""),"Washington")</f>
        <v>Washington</v>
      </c>
      <c r="Q2539" s="8" t="str">
        <f ca="1">IFERROR(__xludf.DUMMYFUNCTION("""COMPUTED_VALUE"""),"DC")</f>
        <v>DC</v>
      </c>
      <c r="R2539" s="8" t="str">
        <f ca="1">IFERROR(__xludf.DUMMYFUNCTION("""COMPUTED_VALUE"""),"K-8")</f>
        <v>K-8</v>
      </c>
      <c r="S2539" s="8" t="str">
        <f ca="1">IFERROR(__xludf.DUMMYFUNCTION("""COMPUTED_VALUE"""),"Other")</f>
        <v>Other</v>
      </c>
      <c r="T2539" s="8" t="str">
        <f ca="1">IFERROR(__xludf.DUMMYFUNCTION("""COMPUTED_VALUE"""),"Inside School Building")</f>
        <v>Inside School Building</v>
      </c>
      <c r="U2539" s="8" t="str">
        <f ca="1">IFERROR(__xludf.DUMMYFUNCTION("""COMPUTED_VALUE"""),"Yes")</f>
        <v>Yes</v>
      </c>
      <c r="V2539" s="8" t="str">
        <f ca="1">IFERROR(__xludf.DUMMYFUNCTION("""COMPUTED_VALUE"""),"Dismissal")</f>
        <v>Dismissal</v>
      </c>
      <c r="W2539" s="8"/>
      <c r="X2539" s="8">
        <f ca="1">IFERROR(__xludf.DUMMYFUNCTION("""COMPUTED_VALUE"""),1)</f>
        <v>1</v>
      </c>
      <c r="Y2539" s="12" t="str">
        <f ca="1">IFERROR(__xludf.DUMMYFUNCTION("""COMPUTED_VALUE"""),"Shot fired during a chase between non-students inside school, hit bystander victim")</f>
        <v>Shot fired during a chase between non-students inside school, hit bystander victim</v>
      </c>
      <c r="Z2539" s="12" t="str">
        <f ca="1">IFERROR(__xludf.DUMMYFUNCTION("""COMPUTED_VALUE"""),"Victim was a 14 year-old bystander, picking up a 5 year-old cousin in kindergarten at the school after school dismissal. A conflict stemming from an existing dispute between the shooter and the intended target (an unarmed 16 year-old boy) occurred outside"&amp;" the school. The shooter chased the victim from outside into school and fired a shot inside the school that grazed the 16 year-old being pursued and fatally hit an unintended victim instead.")</f>
        <v>Victim was a 14 year-old bystander, picking up a 5 year-old cousin in kindergarten at the school after school dismissal. A conflict stemming from an existing dispute between the shooter and the intended target (an unarmed 16 year-old boy) occurred outside the school. The shooter chased the victim from outside into school and fired a shot inside the school that grazed the 16 year-old being pursued and fatally hit an unintended victim instead.</v>
      </c>
      <c r="AA2539" s="8" t="str">
        <f ca="1">IFERROR(__xludf.DUMMYFUNCTION("""COMPUTED_VALUE"""),"Escalation of Dispute")</f>
        <v>Escalation of Dispute</v>
      </c>
      <c r="AB2539" s="8"/>
      <c r="AC2539" s="8"/>
      <c r="AD2539" s="8" t="str">
        <f ca="1">IFERROR(__xludf.DUMMYFUNCTION("""COMPUTED_VALUE"""),"Victims Targeted")</f>
        <v>Victims Targeted</v>
      </c>
      <c r="AE2539" s="8" t="str">
        <f ca="1">IFERROR(__xludf.DUMMYFUNCTION("""COMPUTED_VALUE"""),"Yes")</f>
        <v>Yes</v>
      </c>
      <c r="AF2539" s="8" t="str">
        <f ca="1">IFERROR(__xludf.DUMMYFUNCTION("""COMPUTED_VALUE"""),"William Arnell Batchelor Jr 18 year-old, conflict with a 16 year-old, Evans pursued 16 year-old into school, Batchelor remained outside")</f>
        <v>William Arnell Batchelor Jr 18 year-old, conflict with a 16 year-old, Evans pursued 16 year-old into school, Batchelor remained outside</v>
      </c>
      <c r="AG2539" s="8" t="str">
        <f ca="1">IFERROR(__xludf.DUMMYFUNCTION("""COMPUTED_VALUE"""),"No")</f>
        <v>No</v>
      </c>
      <c r="AH2539" s="8" t="str">
        <f ca="1">IFERROR(__xludf.DUMMYFUNCTION("""COMPUTED_VALUE"""),"No")</f>
        <v>No</v>
      </c>
      <c r="AI2539" s="8" t="str">
        <f ca="1">IFERROR(__xludf.DUMMYFUNCTION("""COMPUTED_VALUE"""),"No")</f>
        <v>No</v>
      </c>
      <c r="AJ2539" s="8" t="str">
        <f ca="1">IFERROR(__xludf.DUMMYFUNCTION("""COMPUTED_VALUE"""),"No")</f>
        <v>No</v>
      </c>
      <c r="AK2539" s="8" t="str">
        <f ca="1">IFERROR(__xludf.DUMMYFUNCTION("""COMPUTED_VALUE"""),"No")</f>
        <v>No</v>
      </c>
      <c r="AL2539" s="8" t="str">
        <f ca="1">IFERROR(__xludf.DUMMYFUNCTION("""COMPUTED_VALUE"""),"No")</f>
        <v>No</v>
      </c>
      <c r="AM2539" s="8" t="str">
        <f ca="1">IFERROR(__xludf.DUMMYFUNCTION("""COMPUTED_VALUE"""),"No")</f>
        <v>No</v>
      </c>
      <c r="AN2539" s="8"/>
      <c r="AO2539" s="8" t="str">
        <f ca="1">IFERROR(__xludf.DUMMYFUNCTION("""COMPUTED_VALUE"""),"No")</f>
        <v>No</v>
      </c>
      <c r="AP2539" s="8"/>
      <c r="AQ2539" s="8" t="str">
        <f ca="1">IFERROR(__xludf.DUMMYFUNCTION("""COMPUTED_VALUE"""),"Unknown")</f>
        <v>Unknown</v>
      </c>
      <c r="AR2539" s="8" t="str">
        <f ca="1">IFERROR(__xludf.DUMMYFUNCTION("""COMPUTED_VALUE"""),"NA")</f>
        <v>NA</v>
      </c>
      <c r="AS2539" s="8">
        <f ca="1">IFERROR(__xludf.DUMMYFUNCTION("""COMPUTED_VALUE"""),1)</f>
        <v>1</v>
      </c>
      <c r="AT2539" s="8"/>
      <c r="AU2539" s="8">
        <f ca="1">IFERROR(__xludf.DUMMYFUNCTION("""COMPUTED_VALUE"""),38.857407)</f>
        <v>38.857407000000002</v>
      </c>
      <c r="AV2539" s="8">
        <f ca="1">IFERROR(__xludf.DUMMYFUNCTION("""COMPUTED_VALUE"""),-76.963004)</f>
        <v>-76.963003999999998</v>
      </c>
      <c r="AW2539" s="8"/>
      <c r="AX2539" s="8">
        <f ca="1">IFERROR(__xludf.DUMMYFUNCTION("""COMPUTED_VALUE"""),20020)</f>
        <v>20020</v>
      </c>
    </row>
    <row r="2540" spans="1:50" ht="45" x14ac:dyDescent="0.2">
      <c r="A2540" s="8" t="str">
        <f ca="1">IFERROR(__xludf.DUMMYFUNCTION("""COMPUTED_VALUE"""),"19960102PAGIG")</f>
        <v>19960102PAGIG</v>
      </c>
      <c r="B2540" s="8">
        <f ca="1">IFERROR(__xludf.DUMMYFUNCTION("""COMPUTED_VALUE"""),1)</f>
        <v>1</v>
      </c>
      <c r="C2540" s="8">
        <f ca="1">IFERROR(__xludf.DUMMYFUNCTION("""COMPUTED_VALUE"""),2)</f>
        <v>2</v>
      </c>
      <c r="D2540" s="8">
        <f ca="1">IFERROR(__xludf.DUMMYFUNCTION("""COMPUTED_VALUE"""),1996)</f>
        <v>1996</v>
      </c>
      <c r="E2540" s="9">
        <f ca="1">IFERROR(__xludf.DUMMYFUNCTION("""COMPUTED_VALUE"""),35066)</f>
        <v>35066</v>
      </c>
      <c r="F2540" s="8" t="str">
        <f ca="1">IFERROR(__xludf.DUMMYFUNCTION("""COMPUTED_VALUE"""),"Girard High School")</f>
        <v>Girard High School</v>
      </c>
      <c r="G2540" s="8">
        <f ca="1">IFERROR(__xludf.DUMMYFUNCTION("""COMPUTED_VALUE"""),0)</f>
        <v>0</v>
      </c>
      <c r="H2540" s="8">
        <f ca="1">IFERROR(__xludf.DUMMYFUNCTION("""COMPUTED_VALUE"""),0)</f>
        <v>0</v>
      </c>
      <c r="I2540" s="8">
        <f ca="1">IFERROR(__xludf.DUMMYFUNCTION("""COMPUTED_VALUE"""),0)</f>
        <v>0</v>
      </c>
      <c r="J2540" s="8">
        <f ca="1">IFERROR(__xludf.DUMMYFUNCTION("""COMPUTED_VALUE"""),1)</f>
        <v>1</v>
      </c>
      <c r="K2540" s="8" t="str">
        <f ca="1">IFERROR(__xludf.DUMMYFUNCTION("""COMPUTED_VALUE"""),"https://www.columbine-angels.com/School_Violence_1995-1996.htm  https://www.psychceu.com/school_violence/savd.pdf")</f>
        <v>https://www.columbine-angels.com/School_Violence_1995-1996.htm  https://www.psychceu.com/school_violence/savd.pdf</v>
      </c>
      <c r="L2540" s="8"/>
      <c r="M2540" s="8"/>
      <c r="N2540" s="8">
        <f ca="1">IFERROR(__xludf.DUMMYFUNCTION("""COMPUTED_VALUE"""),1)</f>
        <v>1</v>
      </c>
      <c r="O2540" s="8" t="str">
        <f ca="1">IFERROR(__xludf.DUMMYFUNCTION("""COMPUTED_VALUE"""),"Winter")</f>
        <v>Winter</v>
      </c>
      <c r="P2540" s="8" t="str">
        <f ca="1">IFERROR(__xludf.DUMMYFUNCTION("""COMPUTED_VALUE"""),"Girard")</f>
        <v>Girard</v>
      </c>
      <c r="Q2540" s="8" t="str">
        <f ca="1">IFERROR(__xludf.DUMMYFUNCTION("""COMPUTED_VALUE"""),"PA")</f>
        <v>PA</v>
      </c>
      <c r="R2540" s="8" t="str">
        <f ca="1">IFERROR(__xludf.DUMMYFUNCTION("""COMPUTED_VALUE"""),"High")</f>
        <v>High</v>
      </c>
      <c r="S2540" s="8" t="str">
        <f ca="1">IFERROR(__xludf.DUMMYFUNCTION("""COMPUTED_VALUE"""),"Hallway")</f>
        <v>Hallway</v>
      </c>
      <c r="T2540" s="8" t="str">
        <f ca="1">IFERROR(__xludf.DUMMYFUNCTION("""COMPUTED_VALUE"""),"Inside School Building")</f>
        <v>Inside School Building</v>
      </c>
      <c r="U2540" s="8"/>
      <c r="V2540" s="8"/>
      <c r="W2540" s="8"/>
      <c r="X2540" s="8">
        <f ca="1">IFERROR(__xludf.DUMMYFUNCTION("""COMPUTED_VALUE"""),1)</f>
        <v>1</v>
      </c>
      <c r="Y2540" s="12" t="str">
        <f ca="1">IFERROR(__xludf.DUMMYFUNCTION("""COMPUTED_VALUE"""),"Commit suicide in school hallway")</f>
        <v>Commit suicide in school hallway</v>
      </c>
      <c r="Z2540" s="12" t="str">
        <f ca="1">IFERROR(__xludf.DUMMYFUNCTION("""COMPUTED_VALUE"""),"16 year-old male student committed suicide in school hallway by shooting himself in the head. No other details available.")</f>
        <v>16 year-old male student committed suicide in school hallway by shooting himself in the head. No other details available.</v>
      </c>
      <c r="AA2540" s="8" t="str">
        <f ca="1">IFERROR(__xludf.DUMMYFUNCTION("""COMPUTED_VALUE"""),"Suicide/Attempted")</f>
        <v>Suicide/Attempted</v>
      </c>
      <c r="AB2540" s="8"/>
      <c r="AC2540" s="8"/>
      <c r="AD2540" s="8" t="str">
        <f ca="1">IFERROR(__xludf.DUMMYFUNCTION("""COMPUTED_VALUE"""),"Victims Targeted")</f>
        <v>Victims Targeted</v>
      </c>
      <c r="AE2540" s="8" t="str">
        <f ca="1">IFERROR(__xludf.DUMMYFUNCTION("""COMPUTED_VALUE"""),"No")</f>
        <v>No</v>
      </c>
      <c r="AF2540" s="8"/>
      <c r="AG2540" s="8" t="str">
        <f ca="1">IFERROR(__xludf.DUMMYFUNCTION("""COMPUTED_VALUE"""),"No")</f>
        <v>No</v>
      </c>
      <c r="AH2540" s="8" t="str">
        <f ca="1">IFERROR(__xludf.DUMMYFUNCTION("""COMPUTED_VALUE"""),"N/A")</f>
        <v>N/A</v>
      </c>
      <c r="AI2540" s="8" t="str">
        <f ca="1">IFERROR(__xludf.DUMMYFUNCTION("""COMPUTED_VALUE"""),"No")</f>
        <v>No</v>
      </c>
      <c r="AJ2540" s="8"/>
      <c r="AK2540" s="8"/>
      <c r="AL2540" s="8"/>
      <c r="AM2540" s="8" t="str">
        <f ca="1">IFERROR(__xludf.DUMMYFUNCTION("""COMPUTED_VALUE"""),"No")</f>
        <v>No</v>
      </c>
      <c r="AN2540" s="8"/>
      <c r="AO2540" s="8" t="str">
        <f ca="1">IFERROR(__xludf.DUMMYFUNCTION("""COMPUTED_VALUE"""),"No")</f>
        <v>No</v>
      </c>
      <c r="AP2540" s="8"/>
      <c r="AQ2540" s="8" t="str">
        <f ca="1">IFERROR(__xludf.DUMMYFUNCTION("""COMPUTED_VALUE"""),"Unknown")</f>
        <v>Unknown</v>
      </c>
      <c r="AR2540" s="8" t="str">
        <f ca="1">IFERROR(__xludf.DUMMYFUNCTION("""COMPUTED_VALUE"""),"NA")</f>
        <v>NA</v>
      </c>
      <c r="AS2540" s="8"/>
      <c r="AT2540" s="8"/>
      <c r="AU2540" s="8">
        <f ca="1">IFERROR(__xludf.DUMMYFUNCTION("""COMPUTED_VALUE"""),42.008105)</f>
        <v>42.008105</v>
      </c>
      <c r="AV2540" s="8">
        <f ca="1">IFERROR(__xludf.DUMMYFUNCTION("""COMPUTED_VALUE"""),-80.333545)</f>
        <v>-80.333545000000001</v>
      </c>
      <c r="AW2540" s="8"/>
      <c r="AX2540" s="8">
        <f ca="1">IFERROR(__xludf.DUMMYFUNCTION("""COMPUTED_VALUE"""),16417)</f>
        <v>16417</v>
      </c>
    </row>
    <row r="2541" spans="1:50" ht="105" x14ac:dyDescent="0.2">
      <c r="A2541" s="8" t="str">
        <f ca="1">IFERROR(__xludf.DUMMYFUNCTION("""COMPUTED_VALUE"""),"19951128NYTHN")</f>
        <v>19951128NYTHN</v>
      </c>
      <c r="B2541" s="8">
        <f ca="1">IFERROR(__xludf.DUMMYFUNCTION("""COMPUTED_VALUE"""),11)</f>
        <v>11</v>
      </c>
      <c r="C2541" s="8">
        <f ca="1">IFERROR(__xludf.DUMMYFUNCTION("""COMPUTED_VALUE"""),28)</f>
        <v>28</v>
      </c>
      <c r="D2541" s="8">
        <f ca="1">IFERROR(__xludf.DUMMYFUNCTION("""COMPUTED_VALUE"""),1995)</f>
        <v>1995</v>
      </c>
      <c r="E2541" s="9">
        <f ca="1">IFERROR(__xludf.DUMMYFUNCTION("""COMPUTED_VALUE"""),35031)</f>
        <v>35031</v>
      </c>
      <c r="F2541" s="8" t="str">
        <f ca="1">IFERROR(__xludf.DUMMYFUNCTION("""COMPUTED_VALUE"""),"Thomas A. Edison Vocational and Technical High School")</f>
        <v>Thomas A. Edison Vocational and Technical High School</v>
      </c>
      <c r="G2541" s="8">
        <f ca="1">IFERROR(__xludf.DUMMYFUNCTION("""COMPUTED_VALUE"""),1)</f>
        <v>1</v>
      </c>
      <c r="H2541" s="8">
        <f ca="1">IFERROR(__xludf.DUMMYFUNCTION("""COMPUTED_VALUE"""),0)</f>
        <v>0</v>
      </c>
      <c r="I2541" s="8">
        <f ca="1">IFERROR(__xludf.DUMMYFUNCTION("""COMPUTED_VALUE"""),1)</f>
        <v>1</v>
      </c>
      <c r="J2541" s="8">
        <f ca="1">IFERROR(__xludf.DUMMYFUNCTION("""COMPUTED_VALUE"""),0)</f>
        <v>0</v>
      </c>
      <c r="K2541" s="8" t="str">
        <f ca="1">IFERROR(__xludf.DUMMYFUNCTION("""COMPUTED_VALUE"""),"https://www.nytimes.com/1995/11/29/nyregion/student-17-is-killed-after-leaving-school-in-queens.html http://www.columbine-angels.com/School_Violence_1995-1996.htm")</f>
        <v>https://www.nytimes.com/1995/11/29/nyregion/student-17-is-killed-after-leaving-school-in-queens.html http://www.columbine-angels.com/School_Violence_1995-1996.htm</v>
      </c>
      <c r="L2541" s="8"/>
      <c r="M2541" s="8"/>
      <c r="N2541" s="8">
        <f ca="1">IFERROR(__xludf.DUMMYFUNCTION("""COMPUTED_VALUE"""),2)</f>
        <v>2</v>
      </c>
      <c r="O2541" s="8" t="str">
        <f ca="1">IFERROR(__xludf.DUMMYFUNCTION("""COMPUTED_VALUE"""),"Fall")</f>
        <v>Fall</v>
      </c>
      <c r="P2541" s="8" t="str">
        <f ca="1">IFERROR(__xludf.DUMMYFUNCTION("""COMPUTED_VALUE"""),"New York")</f>
        <v>New York</v>
      </c>
      <c r="Q2541" s="8" t="str">
        <f ca="1">IFERROR(__xludf.DUMMYFUNCTION("""COMPUTED_VALUE"""),"NY")</f>
        <v>NY</v>
      </c>
      <c r="R2541" s="8" t="str">
        <f ca="1">IFERROR(__xludf.DUMMYFUNCTION("""COMPUTED_VALUE"""),"High")</f>
        <v>High</v>
      </c>
      <c r="S2541" s="8" t="str">
        <f ca="1">IFERROR(__xludf.DUMMYFUNCTION("""COMPUTED_VALUE"""),"Parking Lot")</f>
        <v>Parking Lot</v>
      </c>
      <c r="T2541" s="8" t="str">
        <f ca="1">IFERROR(__xludf.DUMMYFUNCTION("""COMPUTED_VALUE"""),"Outside on School Property")</f>
        <v>Outside on School Property</v>
      </c>
      <c r="U2541" s="8" t="str">
        <f ca="1">IFERROR(__xludf.DUMMYFUNCTION("""COMPUTED_VALUE"""),"Yes")</f>
        <v>Yes</v>
      </c>
      <c r="V2541" s="8" t="str">
        <f ca="1">IFERROR(__xludf.DUMMYFUNCTION("""COMPUTED_VALUE"""),"Morning Classes")</f>
        <v>Morning Classes</v>
      </c>
      <c r="W2541" s="11">
        <f ca="1">IFERROR(__xludf.DUMMYFUNCTION("""COMPUTED_VALUE"""),0.479166666666666)</f>
        <v>0.47916666666666602</v>
      </c>
      <c r="X2541" s="8">
        <f ca="1">IFERROR(__xludf.DUMMYFUNCTION("""COMPUTED_VALUE"""),1)</f>
        <v>1</v>
      </c>
      <c r="Y2541" s="12" t="str">
        <f ca="1">IFERROR(__xludf.DUMMYFUNCTION("""COMPUTED_VALUE"""),"Three suspects pursued victim and shot during robbery for his gold chain.")</f>
        <v>Three suspects pursued victim and shot during robbery for his gold chain.</v>
      </c>
      <c r="Z2541" s="12" t="str">
        <f ca="1">IFERROR(__xludf.DUMMYFUNCTION("""COMPUTED_VALUE"""),"Victim left school without permission Three suspects got out of their car and approached the victim outside of the school and asked him to give them his gold chain. The suspect refused. When one suspect pulled out a .225 pistol and another suspect pulled "&amp;"out a bottle, the victim fled and the three suspects followed. One of the suspects shot him three times then they all fled the scene.")</f>
        <v>Victim left school without permission Three suspects got out of their car and approached the victim outside of the school and asked him to give them his gold chain. The suspect refused. When one suspect pulled out a .225 pistol and another suspect pulled out a bottle, the victim fled and the three suspects followed. One of the suspects shot him three times then they all fled the scene.</v>
      </c>
      <c r="AA2541" s="8" t="str">
        <f ca="1">IFERROR(__xludf.DUMMYFUNCTION("""COMPUTED_VALUE"""),"Illegal Activity")</f>
        <v>Illegal Activity</v>
      </c>
      <c r="AB2541" s="8"/>
      <c r="AC2541" s="8"/>
      <c r="AD2541" s="8" t="str">
        <f ca="1">IFERROR(__xludf.DUMMYFUNCTION("""COMPUTED_VALUE"""),"Victims Targeted")</f>
        <v>Victims Targeted</v>
      </c>
      <c r="AE2541" s="8" t="str">
        <f ca="1">IFERROR(__xludf.DUMMYFUNCTION("""COMPUTED_VALUE"""),"Yes")</f>
        <v>Yes</v>
      </c>
      <c r="AF2541" s="8" t="str">
        <f ca="1">IFERROR(__xludf.DUMMYFUNCTION("""COMPUTED_VALUE"""),"3 suspects involved in robbery")</f>
        <v>3 suspects involved in robbery</v>
      </c>
      <c r="AG2541" s="8" t="str">
        <f ca="1">IFERROR(__xludf.DUMMYFUNCTION("""COMPUTED_VALUE"""),"No")</f>
        <v>No</v>
      </c>
      <c r="AH2541" s="8" t="str">
        <f ca="1">IFERROR(__xludf.DUMMYFUNCTION("""COMPUTED_VALUE"""),"No")</f>
        <v>No</v>
      </c>
      <c r="AI2541" s="8" t="str">
        <f ca="1">IFERROR(__xludf.DUMMYFUNCTION("""COMPUTED_VALUE"""),"No")</f>
        <v>No</v>
      </c>
      <c r="AJ2541" s="8" t="str">
        <f ca="1">IFERROR(__xludf.DUMMYFUNCTION("""COMPUTED_VALUE"""),"No")</f>
        <v>No</v>
      </c>
      <c r="AK2541" s="8" t="str">
        <f ca="1">IFERROR(__xludf.DUMMYFUNCTION("""COMPUTED_VALUE"""),"No")</f>
        <v>No</v>
      </c>
      <c r="AL2541" s="8" t="str">
        <f ca="1">IFERROR(__xludf.DUMMYFUNCTION("""COMPUTED_VALUE"""),"No")</f>
        <v>No</v>
      </c>
      <c r="AM2541" s="8"/>
      <c r="AN2541" s="8"/>
      <c r="AO2541" s="8" t="str">
        <f ca="1">IFERROR(__xludf.DUMMYFUNCTION("""COMPUTED_VALUE"""),"No")</f>
        <v>No</v>
      </c>
      <c r="AP2541" s="8"/>
      <c r="AQ2541" s="8" t="str">
        <f ca="1">IFERROR(__xludf.DUMMYFUNCTION("""COMPUTED_VALUE"""),"Unknown")</f>
        <v>Unknown</v>
      </c>
      <c r="AR2541" s="8" t="str">
        <f ca="1">IFERROR(__xludf.DUMMYFUNCTION("""COMPUTED_VALUE"""),"NA")</f>
        <v>NA</v>
      </c>
      <c r="AS2541" s="8">
        <f ca="1">IFERROR(__xludf.DUMMYFUNCTION("""COMPUTED_VALUE"""),3)</f>
        <v>3</v>
      </c>
      <c r="AT2541" s="8"/>
      <c r="AU2541" s="8">
        <f ca="1">IFERROR(__xludf.DUMMYFUNCTION("""COMPUTED_VALUE"""),40.716202)</f>
        <v>40.716202000000003</v>
      </c>
      <c r="AV2541" s="8">
        <f ca="1">IFERROR(__xludf.DUMMYFUNCTION("""COMPUTED_VALUE"""),-73.798262)</f>
        <v>-73.798261999999994</v>
      </c>
      <c r="AW2541" s="8"/>
      <c r="AX2541" s="8">
        <f ca="1">IFERROR(__xludf.DUMMYFUNCTION("""COMPUTED_VALUE"""),11432)</f>
        <v>11432</v>
      </c>
    </row>
    <row r="2542" spans="1:50" ht="225" x14ac:dyDescent="0.2">
      <c r="A2542" s="8" t="str">
        <f ca="1">IFERROR(__xludf.DUMMYFUNCTION("""COMPUTED_VALUE"""),"19951115TNRIL")</f>
        <v>19951115TNRIL</v>
      </c>
      <c r="B2542" s="8">
        <f ca="1">IFERROR(__xludf.DUMMYFUNCTION("""COMPUTED_VALUE"""),11)</f>
        <v>11</v>
      </c>
      <c r="C2542" s="8">
        <f ca="1">IFERROR(__xludf.DUMMYFUNCTION("""COMPUTED_VALUE"""),15)</f>
        <v>15</v>
      </c>
      <c r="D2542" s="8">
        <f ca="1">IFERROR(__xludf.DUMMYFUNCTION("""COMPUTED_VALUE"""),1995)</f>
        <v>1995</v>
      </c>
      <c r="E2542" s="9">
        <f ca="1">IFERROR(__xludf.DUMMYFUNCTION("""COMPUTED_VALUE"""),35018)</f>
        <v>35018</v>
      </c>
      <c r="F2542" s="8" t="str">
        <f ca="1">IFERROR(__xludf.DUMMYFUNCTION("""COMPUTED_VALUE"""),"Richland High School")</f>
        <v>Richland High School</v>
      </c>
      <c r="G2542" s="8">
        <f ca="1">IFERROR(__xludf.DUMMYFUNCTION("""COMPUTED_VALUE"""),2)</f>
        <v>2</v>
      </c>
      <c r="H2542" s="8">
        <f ca="1">IFERROR(__xludf.DUMMYFUNCTION("""COMPUTED_VALUE"""),1)</f>
        <v>1</v>
      </c>
      <c r="I2542" s="8">
        <f ca="1">IFERROR(__xludf.DUMMYFUNCTION("""COMPUTED_VALUE"""),3)</f>
        <v>3</v>
      </c>
      <c r="J2542" s="8">
        <f ca="1">IFERROR(__xludf.DUMMYFUNCTION("""COMPUTED_VALUE"""),0)</f>
        <v>0</v>
      </c>
      <c r="K2542" s="8" t="str">
        <f ca="1">IFERROR(__xludf.DUMMYFUNCTION("""COMPUTED_VALUE"""),"https://www.cbsnews.com/news/the-mind-of-a-school-shooter/ https://apnews.com/6adb7feb0f91c42d98a43011bf6f5eee https://www.nytimes.com/1995/11/16/us/student-held-after-2-die-in-shooting-at-school.html")</f>
        <v>https://www.cbsnews.com/news/the-mind-of-a-school-shooter/ https://apnews.com/6adb7feb0f91c42d98a43011bf6f5eee https://www.nytimes.com/1995/11/16/us/student-held-after-2-die-in-shooting-at-school.html</v>
      </c>
      <c r="L2542" s="8"/>
      <c r="M2542" s="8"/>
      <c r="N2542" s="8">
        <f ca="1">IFERROR(__xludf.DUMMYFUNCTION("""COMPUTED_VALUE"""),2)</f>
        <v>2</v>
      </c>
      <c r="O2542" s="8" t="str">
        <f ca="1">IFERROR(__xludf.DUMMYFUNCTION("""COMPUTED_VALUE"""),"Fall")</f>
        <v>Fall</v>
      </c>
      <c r="P2542" s="8" t="str">
        <f ca="1">IFERROR(__xludf.DUMMYFUNCTION("""COMPUTED_VALUE"""),"Lynnville")</f>
        <v>Lynnville</v>
      </c>
      <c r="Q2542" s="8" t="str">
        <f ca="1">IFERROR(__xludf.DUMMYFUNCTION("""COMPUTED_VALUE"""),"TN")</f>
        <v>TN</v>
      </c>
      <c r="R2542" s="8" t="str">
        <f ca="1">IFERROR(__xludf.DUMMYFUNCTION("""COMPUTED_VALUE"""),"High")</f>
        <v>High</v>
      </c>
      <c r="S2542" s="8" t="str">
        <f ca="1">IFERROR(__xludf.DUMMYFUNCTION("""COMPUTED_VALUE"""),"Hallway")</f>
        <v>Hallway</v>
      </c>
      <c r="T2542" s="8" t="str">
        <f ca="1">IFERROR(__xludf.DUMMYFUNCTION("""COMPUTED_VALUE"""),"Inside School Building")</f>
        <v>Inside School Building</v>
      </c>
      <c r="U2542" s="8" t="str">
        <f ca="1">IFERROR(__xludf.DUMMYFUNCTION("""COMPUTED_VALUE"""),"Yes")</f>
        <v>Yes</v>
      </c>
      <c r="V2542" s="8" t="str">
        <f ca="1">IFERROR(__xludf.DUMMYFUNCTION("""COMPUTED_VALUE"""),"School Start")</f>
        <v>School Start</v>
      </c>
      <c r="W2542" s="8"/>
      <c r="X2542" s="8"/>
      <c r="Y2542" s="12" t="str">
        <f ca="1">IFERROR(__xludf.DUMMYFUNCTION("""COMPUTED_VALUE"""),"Planned attack, shot at 3 teachers before being tackled by a teacher and student; blamed teachers for allowing bullying.")</f>
        <v>Planned attack, shot at 3 teachers before being tackled by a teacher and student; blamed teachers for allowing bullying.</v>
      </c>
      <c r="Z2542" s="12" t="str">
        <f ca="1">IFERROR(__xludf.DUMMYFUNCTION("""COMPUTED_VALUE"""),"17 year-old male brought a .22 rifle to school. He entered the north entrance of the school and began to shoot, killing one teacher and injuring a second teacher. He fired at a third and missed, striking a female student. He was tackled by a teacher and 1"&amp;"8 year-old student and restrained with 8 others until police arrived. Shooter was obsessed with the movie Natural Born Killers, dressed in all black, listened to death metal, and abused drugs/alcohol. Shooter said the music made him feel powerful. He was "&amp;"often bullied by classmates for being small and quiet. He blamed the teachers for allowing the bullying to happen. Shooter's cousin said he was angry over a traffic accident involving a female student and her boyfriend, yelling that he'd kill her. His fam"&amp;"ily said he was angry with his girlfriend. Later, his father admits he was physically abusive.")</f>
        <v>17 year-old male brought a .22 rifle to school. He entered the north entrance of the school and began to shoot, killing one teacher and injuring a second teacher. He fired at a third and missed, striking a female student. He was tackled by a teacher and 18 year-old student and restrained with 8 others until police arrived. Shooter was obsessed with the movie Natural Born Killers, dressed in all black, listened to death metal, and abused drugs/alcohol. Shooter said the music made him feel powerful. He was often bullied by classmates for being small and quiet. He blamed the teachers for allowing the bullying to happen. Shooter's cousin said he was angry over a traffic accident involving a female student and her boyfriend, yelling that he'd kill her. His family said he was angry with his girlfriend. Later, his father admits he was physically abusive.</v>
      </c>
      <c r="AA2542" s="8" t="str">
        <f ca="1">IFERROR(__xludf.DUMMYFUNCTION("""COMPUTED_VALUE"""),"Indiscriminate Shooting")</f>
        <v>Indiscriminate Shooting</v>
      </c>
      <c r="AB2542" s="8"/>
      <c r="AC2542" s="8" t="str">
        <f ca="1">IFERROR(__xludf.DUMMYFUNCTION("""COMPUTED_VALUE"""),"Yes")</f>
        <v>Yes</v>
      </c>
      <c r="AD2542" s="8" t="str">
        <f ca="1">IFERROR(__xludf.DUMMYFUNCTION("""COMPUTED_VALUE"""),"Both")</f>
        <v>Both</v>
      </c>
      <c r="AE2542" s="8" t="str">
        <f ca="1">IFERROR(__xludf.DUMMYFUNCTION("""COMPUTED_VALUE"""),"No")</f>
        <v>No</v>
      </c>
      <c r="AF2542" s="8"/>
      <c r="AG2542" s="8" t="str">
        <f ca="1">IFERROR(__xludf.DUMMYFUNCTION("""COMPUTED_VALUE"""),"No")</f>
        <v>No</v>
      </c>
      <c r="AH2542" s="8" t="str">
        <f ca="1">IFERROR(__xludf.DUMMYFUNCTION("""COMPUTED_VALUE"""),"No")</f>
        <v>No</v>
      </c>
      <c r="AI2542" s="8" t="str">
        <f ca="1">IFERROR(__xludf.DUMMYFUNCTION("""COMPUTED_VALUE"""),"No")</f>
        <v>No</v>
      </c>
      <c r="AJ2542" s="8" t="str">
        <f ca="1">IFERROR(__xludf.DUMMYFUNCTION("""COMPUTED_VALUE"""),"Yes")</f>
        <v>Yes</v>
      </c>
      <c r="AK2542" s="8" t="str">
        <f ca="1">IFERROR(__xludf.DUMMYFUNCTION("""COMPUTED_VALUE"""),"No")</f>
        <v>No</v>
      </c>
      <c r="AL2542" s="8" t="str">
        <f ca="1">IFERROR(__xludf.DUMMYFUNCTION("""COMPUTED_VALUE"""),"No")</f>
        <v>No</v>
      </c>
      <c r="AM2542" s="8" t="str">
        <f ca="1">IFERROR(__xludf.DUMMYFUNCTION("""COMPUTED_VALUE"""),"Yes")</f>
        <v>Yes</v>
      </c>
      <c r="AN2542" s="8" t="str">
        <f ca="1">IFERROR(__xludf.DUMMYFUNCTION("""COMPUTED_VALUE"""),"Multiple Rooms")</f>
        <v>Multiple Rooms</v>
      </c>
      <c r="AO2542" s="8" t="str">
        <f ca="1">IFERROR(__xludf.DUMMYFUNCTION("""COMPUTED_VALUE"""),"Yes")</f>
        <v>Yes</v>
      </c>
      <c r="AP2542" s="8"/>
      <c r="AQ2542" s="8" t="str">
        <f ca="1">IFERROR(__xludf.DUMMYFUNCTION("""COMPUTED_VALUE"""),"Unknown")</f>
        <v>Unknown</v>
      </c>
      <c r="AR2542" s="8" t="str">
        <f ca="1">IFERROR(__xludf.DUMMYFUNCTION("""COMPUTED_VALUE"""),"NA")</f>
        <v>NA</v>
      </c>
      <c r="AS2542" s="8">
        <f ca="1">IFERROR(__xludf.DUMMYFUNCTION("""COMPUTED_VALUE"""),3)</f>
        <v>3</v>
      </c>
      <c r="AT2542" s="8"/>
      <c r="AU2542" s="8">
        <f ca="1">IFERROR(__xludf.DUMMYFUNCTION("""COMPUTED_VALUE"""),35.337318)</f>
        <v>35.337318000000003</v>
      </c>
      <c r="AV2542" s="8">
        <f ca="1">IFERROR(__xludf.DUMMYFUNCTION("""COMPUTED_VALUE"""),-87.031961)</f>
        <v>-87.031960999999995</v>
      </c>
      <c r="AW2542" s="8"/>
      <c r="AX2542" s="8">
        <f ca="1">IFERROR(__xludf.DUMMYFUNCTION("""COMPUTED_VALUE"""),38472)</f>
        <v>38472</v>
      </c>
    </row>
    <row r="2543" spans="1:50" ht="135" x14ac:dyDescent="0.2">
      <c r="A2543" s="8" t="str">
        <f ca="1">IFERROR(__xludf.DUMMYFUNCTION("""COMPUTED_VALUE"""),"19951102FLBLM")</f>
        <v>19951102FLBLM</v>
      </c>
      <c r="B2543" s="8">
        <f ca="1">IFERROR(__xludf.DUMMYFUNCTION("""COMPUTED_VALUE"""),11)</f>
        <v>11</v>
      </c>
      <c r="C2543" s="8">
        <f ca="1">IFERROR(__xludf.DUMMYFUNCTION("""COMPUTED_VALUE"""),2)</f>
        <v>2</v>
      </c>
      <c r="D2543" s="8">
        <f ca="1">IFERROR(__xludf.DUMMYFUNCTION("""COMPUTED_VALUE"""),1995)</f>
        <v>1995</v>
      </c>
      <c r="E2543" s="9">
        <f ca="1">IFERROR(__xludf.DUMMYFUNCTION("""COMPUTED_VALUE"""),35005)</f>
        <v>35005</v>
      </c>
      <c r="F2543" s="8" t="str">
        <f ca="1">IFERROR(__xludf.DUMMYFUNCTION("""COMPUTED_VALUE"""),"Blue Lake Elementary School (bus)")</f>
        <v>Blue Lake Elementary School (bus)</v>
      </c>
      <c r="G2543" s="8">
        <f ca="1">IFERROR(__xludf.DUMMYFUNCTION("""COMPUTED_VALUE"""),0)</f>
        <v>0</v>
      </c>
      <c r="H2543" s="8">
        <f ca="1">IFERROR(__xludf.DUMMYFUNCTION("""COMPUTED_VALUE"""),0)</f>
        <v>0</v>
      </c>
      <c r="I2543" s="8">
        <f ca="1">IFERROR(__xludf.DUMMYFUNCTION("""COMPUTED_VALUE"""),0)</f>
        <v>0</v>
      </c>
      <c r="J2543" s="8">
        <f ca="1">IFERROR(__xludf.DUMMYFUNCTION("""COMPUTED_VALUE"""),1)</f>
        <v>1</v>
      </c>
      <c r="K2543" s="8" t="str">
        <f ca="1">IFERROR(__xludf.DUMMYFUNCTION("""COMPUTED_VALUE"""),"http://articles.baltimoresun.com/1995-11-03/news/1995307039_1_hijacker-school-bus-miami-beach-restaurant https://www.latimes.com/archives/la-xpm-1995-11-03-mn-64379-story.html https://www.spokesman.com/stories/1995/nov/03/man-killed-after-hijacking-bus-of"&amp;"-disabled/")</f>
        <v>http://articles.baltimoresun.com/1995-11-03/news/1995307039_1_hijacker-school-bus-miami-beach-restaurant https://www.latimes.com/archives/la-xpm-1995-11-03-mn-64379-story.html https://www.spokesman.com/stories/1995/nov/03/man-killed-after-hijacking-bus-of-disabled/</v>
      </c>
      <c r="L2543" s="8"/>
      <c r="M2543" s="8"/>
      <c r="N2543" s="8">
        <f ca="1">IFERROR(__xludf.DUMMYFUNCTION("""COMPUTED_VALUE"""),2)</f>
        <v>2</v>
      </c>
      <c r="O2543" s="8" t="str">
        <f ca="1">IFERROR(__xludf.DUMMYFUNCTION("""COMPUTED_VALUE"""),"Fall")</f>
        <v>Fall</v>
      </c>
      <c r="P2543" s="8" t="str">
        <f ca="1">IFERROR(__xludf.DUMMYFUNCTION("""COMPUTED_VALUE"""),"Miami Beach")</f>
        <v>Miami Beach</v>
      </c>
      <c r="Q2543" s="8" t="str">
        <f ca="1">IFERROR(__xludf.DUMMYFUNCTION("""COMPUTED_VALUE"""),"FL")</f>
        <v>FL</v>
      </c>
      <c r="R2543" s="8" t="str">
        <f ca="1">IFERROR(__xludf.DUMMYFUNCTION("""COMPUTED_VALUE"""),"Elementary")</f>
        <v>Elementary</v>
      </c>
      <c r="S2543" s="8" t="str">
        <f ca="1">IFERROR(__xludf.DUMMYFUNCTION("""COMPUTED_VALUE"""),"School Bus")</f>
        <v>School Bus</v>
      </c>
      <c r="T2543" s="8" t="str">
        <f ca="1">IFERROR(__xludf.DUMMYFUNCTION("""COMPUTED_VALUE"""),"School Bus")</f>
        <v>School Bus</v>
      </c>
      <c r="U2543" s="8" t="str">
        <f ca="1">IFERROR(__xludf.DUMMYFUNCTION("""COMPUTED_VALUE"""),"No")</f>
        <v>No</v>
      </c>
      <c r="V2543" s="8" t="str">
        <f ca="1">IFERROR(__xludf.DUMMYFUNCTION("""COMPUTED_VALUE"""),"Before School")</f>
        <v>Before School</v>
      </c>
      <c r="W2543" s="11">
        <f ca="1">IFERROR(__xludf.DUMMYFUNCTION("""COMPUTED_VALUE"""),0.34375)</f>
        <v>0.34375</v>
      </c>
      <c r="X2543" s="8"/>
      <c r="Y2543" s="12" t="str">
        <f ca="1">IFERROR(__xludf.DUMMYFUNCTION("""COMPUTED_VALUE"""),"Hijacked a bus full of disabled students and held them hostage.")</f>
        <v>Hijacked a bus full of disabled students and held them hostage.</v>
      </c>
      <c r="Z2543" s="12" t="str">
        <f ca="1">IFERROR(__xludf.DUMMYFUNCTION("""COMPUTED_VALUE"""),"42 year-old male was upset with the IRS over a large debt. He hijacked an elementary school bus with 13 disabled students and 3 adults and held them hostage. He forced the driver to drive 15 miles to a restaurant, where he worked as a waiter but quit the "&amp;"night prior (famous Joe's Stone Crabs). He was in communication with the police and told them he had a bomb on the bus. When hostage negotiations failed, the shooter was killed by police. One child was injured from shattered glass. Likely copycat of movie"&amp;" ""Speed"".")</f>
        <v>42 year-old male was upset with the IRS over a large debt. He hijacked an elementary school bus with 13 disabled students and 3 adults and held them hostage. He forced the driver to drive 15 miles to a restaurant, where he worked as a waiter but quit the night prior (famous Joe's Stone Crabs). He was in communication with the police and told them he had a bomb on the bus. When hostage negotiations failed, the shooter was killed by police. One child was injured from shattered glass. Likely copycat of movie "Speed".</v>
      </c>
      <c r="AA2543" s="8" t="str">
        <f ca="1">IFERROR(__xludf.DUMMYFUNCTION("""COMPUTED_VALUE"""),"Hostage/Standoff")</f>
        <v>Hostage/Standoff</v>
      </c>
      <c r="AB2543" s="8"/>
      <c r="AC2543" s="8"/>
      <c r="AD2543" s="8" t="str">
        <f ca="1">IFERROR(__xludf.DUMMYFUNCTION("""COMPUTED_VALUE"""),"Random Shooting")</f>
        <v>Random Shooting</v>
      </c>
      <c r="AE2543" s="8" t="str">
        <f ca="1">IFERROR(__xludf.DUMMYFUNCTION("""COMPUTED_VALUE"""),"No")</f>
        <v>No</v>
      </c>
      <c r="AF2543" s="8"/>
      <c r="AG2543" s="8" t="str">
        <f ca="1">IFERROR(__xludf.DUMMYFUNCTION("""COMPUTED_VALUE"""),"Yes")</f>
        <v>Yes</v>
      </c>
      <c r="AH2543" s="8" t="str">
        <f ca="1">IFERROR(__xludf.DUMMYFUNCTION("""COMPUTED_VALUE"""),"Yes")</f>
        <v>Yes</v>
      </c>
      <c r="AI2543" s="8" t="str">
        <f ca="1">IFERROR(__xludf.DUMMYFUNCTION("""COMPUTED_VALUE"""),"No")</f>
        <v>No</v>
      </c>
      <c r="AJ2543" s="8" t="str">
        <f ca="1">IFERROR(__xludf.DUMMYFUNCTION("""COMPUTED_VALUE"""),"No")</f>
        <v>No</v>
      </c>
      <c r="AK2543" s="8" t="str">
        <f ca="1">IFERROR(__xludf.DUMMYFUNCTION("""COMPUTED_VALUE"""),"No")</f>
        <v>No</v>
      </c>
      <c r="AL2543" s="8" t="str">
        <f ca="1">IFERROR(__xludf.DUMMYFUNCTION("""COMPUTED_VALUE"""),"No")</f>
        <v>No</v>
      </c>
      <c r="AM2543" s="8"/>
      <c r="AN2543" s="8"/>
      <c r="AO2543" s="8" t="str">
        <f ca="1">IFERROR(__xludf.DUMMYFUNCTION("""COMPUTED_VALUE"""),"No")</f>
        <v>No</v>
      </c>
      <c r="AP2543" s="8"/>
      <c r="AQ2543" s="8" t="str">
        <f ca="1">IFERROR(__xludf.DUMMYFUNCTION("""COMPUTED_VALUE"""),"Unknown")</f>
        <v>Unknown</v>
      </c>
      <c r="AR2543" s="8" t="str">
        <f ca="1">IFERROR(__xludf.DUMMYFUNCTION("""COMPUTED_VALUE"""),"NA")</f>
        <v>NA</v>
      </c>
      <c r="AS2543" s="8"/>
      <c r="AT2543" s="8"/>
      <c r="AU2543" s="8">
        <f ca="1">IFERROR(__xludf.DUMMYFUNCTION("""COMPUTED_VALUE"""),25.718565)</f>
        <v>25.718565000000002</v>
      </c>
      <c r="AV2543" s="8">
        <f ca="1">IFERROR(__xludf.DUMMYFUNCTION("""COMPUTED_VALUE"""),-80.344345)</f>
        <v>-80.344345000000004</v>
      </c>
      <c r="AW2543" s="8"/>
      <c r="AX2543" s="8">
        <f ca="1">IFERROR(__xludf.DUMMYFUNCTION("""COMPUTED_VALUE"""),33165)</f>
        <v>33165</v>
      </c>
    </row>
    <row r="2544" spans="1:50" ht="150" x14ac:dyDescent="0.2">
      <c r="A2544" s="8" t="str">
        <f ca="1">IFERROR(__xludf.DUMMYFUNCTION("""COMPUTED_VALUE"""),"19951030VAJOR")</f>
        <v>19951030VAJOR</v>
      </c>
      <c r="B2544" s="8">
        <f ca="1">IFERROR(__xludf.DUMMYFUNCTION("""COMPUTED_VALUE"""),10)</f>
        <v>10</v>
      </c>
      <c r="C2544" s="8">
        <f ca="1">IFERROR(__xludf.DUMMYFUNCTION("""COMPUTED_VALUE"""),30)</f>
        <v>30</v>
      </c>
      <c r="D2544" s="8">
        <f ca="1">IFERROR(__xludf.DUMMYFUNCTION("""COMPUTED_VALUE"""),1995)</f>
        <v>1995</v>
      </c>
      <c r="E2544" s="9">
        <f ca="1">IFERROR(__xludf.DUMMYFUNCTION("""COMPUTED_VALUE"""),35002)</f>
        <v>35002</v>
      </c>
      <c r="F2544" s="8" t="str">
        <f ca="1">IFERROR(__xludf.DUMMYFUNCTION("""COMPUTED_VALUE"""),"John F. Kennedy High School")</f>
        <v>John F. Kennedy High School</v>
      </c>
      <c r="G2544" s="8">
        <f ca="1">IFERROR(__xludf.DUMMYFUNCTION("""COMPUTED_VALUE"""),0)</f>
        <v>0</v>
      </c>
      <c r="H2544" s="8">
        <f ca="1">IFERROR(__xludf.DUMMYFUNCTION("""COMPUTED_VALUE"""),4)</f>
        <v>4</v>
      </c>
      <c r="I2544" s="8">
        <f ca="1">IFERROR(__xludf.DUMMYFUNCTION("""COMPUTED_VALUE"""),4)</f>
        <v>4</v>
      </c>
      <c r="J2544" s="8">
        <f ca="1">IFERROR(__xludf.DUMMYFUNCTION("""COMPUTED_VALUE"""),0)</f>
        <v>0</v>
      </c>
      <c r="K2544" s="10" t="str">
        <f ca="1">IFERROR(__xludf.DUMMYFUNCTION("""COMPUTED_VALUE"""),"https://www.columbine-angels.com/School_Violence_1995-1996.htm")</f>
        <v>https://www.columbine-angels.com/School_Violence_1995-1996.htm</v>
      </c>
      <c r="L2544" s="8"/>
      <c r="M2544" s="8"/>
      <c r="N2544" s="8">
        <f ca="1">IFERROR(__xludf.DUMMYFUNCTION("""COMPUTED_VALUE"""),1)</f>
        <v>1</v>
      </c>
      <c r="O2544" s="8" t="str">
        <f ca="1">IFERROR(__xludf.DUMMYFUNCTION("""COMPUTED_VALUE"""),"Fall")</f>
        <v>Fall</v>
      </c>
      <c r="P2544" s="8" t="str">
        <f ca="1">IFERROR(__xludf.DUMMYFUNCTION("""COMPUTED_VALUE"""),"Richmond")</f>
        <v>Richmond</v>
      </c>
      <c r="Q2544" s="8" t="str">
        <f ca="1">IFERROR(__xludf.DUMMYFUNCTION("""COMPUTED_VALUE"""),"VA")</f>
        <v>VA</v>
      </c>
      <c r="R2544" s="8" t="str">
        <f ca="1">IFERROR(__xludf.DUMMYFUNCTION("""COMPUTED_VALUE"""),"High")</f>
        <v>High</v>
      </c>
      <c r="S2544" s="8" t="str">
        <f ca="1">IFERROR(__xludf.DUMMYFUNCTION("""COMPUTED_VALUE"""),"Other")</f>
        <v>Other</v>
      </c>
      <c r="T2544" s="8" t="str">
        <f ca="1">IFERROR(__xludf.DUMMYFUNCTION("""COMPUTED_VALUE"""),"Outside on School Property")</f>
        <v>Outside on School Property</v>
      </c>
      <c r="U2544" s="8" t="str">
        <f ca="1">IFERROR(__xludf.DUMMYFUNCTION("""COMPUTED_VALUE"""),"No")</f>
        <v>No</v>
      </c>
      <c r="V2544" s="8" t="str">
        <f ca="1">IFERROR(__xludf.DUMMYFUNCTION("""COMPUTED_VALUE"""),"Dismissal")</f>
        <v>Dismissal</v>
      </c>
      <c r="W2544" s="11">
        <f ca="1">IFERROR(__xludf.DUMMYFUNCTION("""COMPUTED_VALUE"""),0.586805555555555)</f>
        <v>0.58680555555555503</v>
      </c>
      <c r="X2544" s="8">
        <f ca="1">IFERROR(__xludf.DUMMYFUNCTION("""COMPUTED_VALUE"""),1)</f>
        <v>1</v>
      </c>
      <c r="Y2544" s="12" t="str">
        <f ca="1">IFERROR(__xludf.DUMMYFUNCTION("""COMPUTED_VALUE"""),"Shooter had an ongoing feud for more than a year with the victims.")</f>
        <v>Shooter had an ongoing feud for more than a year with the victims.</v>
      </c>
      <c r="Z2544" s="12" t="str">
        <f ca="1">IFERROR(__xludf.DUMMYFUNCTION("""COMPUTED_VALUE"""),"17 year-old male lived in a housing project near the victims and had ongoing dispute for more than year. At the end of the school day, the shooter was standing across the street from the parking lot. He approached the victims as they were walking home fro"&amp;"m school and called out to grab their attention where he then fired multiple shots, injuring 4 targeted victims. Shooter fled the scene. Police issued an arrest warrant for the shooter and a 15 year-old male. Shortly after the shooter turned himself in an"&amp;"d the other male was apprehended.")</f>
        <v>17 year-old male lived in a housing project near the victims and had ongoing dispute for more than year. At the end of the school day, the shooter was standing across the street from the parking lot. He approached the victims as they were walking home from school and called out to grab their attention where he then fired multiple shots, injuring 4 targeted victims. Shooter fled the scene. Police issued an arrest warrant for the shooter and a 15 year-old male. Shortly after the shooter turned himself in and the other male was apprehended.</v>
      </c>
      <c r="AA2544" s="8" t="str">
        <f ca="1">IFERROR(__xludf.DUMMYFUNCTION("""COMPUTED_VALUE"""),"Escalation of Dispute")</f>
        <v>Escalation of Dispute</v>
      </c>
      <c r="AB2544" s="8"/>
      <c r="AC2544" s="8"/>
      <c r="AD2544" s="8" t="str">
        <f ca="1">IFERROR(__xludf.DUMMYFUNCTION("""COMPUTED_VALUE"""),"Victims Targeted")</f>
        <v>Victims Targeted</v>
      </c>
      <c r="AE2544" s="8" t="str">
        <f ca="1">IFERROR(__xludf.DUMMYFUNCTION("""COMPUTED_VALUE"""),"No")</f>
        <v>No</v>
      </c>
      <c r="AF2544" s="8"/>
      <c r="AG2544" s="8" t="str">
        <f ca="1">IFERROR(__xludf.DUMMYFUNCTION("""COMPUTED_VALUE"""),"No")</f>
        <v>No</v>
      </c>
      <c r="AH2544" s="8" t="str">
        <f ca="1">IFERROR(__xludf.DUMMYFUNCTION("""COMPUTED_VALUE"""),"No")</f>
        <v>No</v>
      </c>
      <c r="AI2544" s="8" t="str">
        <f ca="1">IFERROR(__xludf.DUMMYFUNCTION("""COMPUTED_VALUE"""),"No")</f>
        <v>No</v>
      </c>
      <c r="AJ2544" s="8" t="str">
        <f ca="1">IFERROR(__xludf.DUMMYFUNCTION("""COMPUTED_VALUE"""),"No")</f>
        <v>No</v>
      </c>
      <c r="AK2544" s="8" t="str">
        <f ca="1">IFERROR(__xludf.DUMMYFUNCTION("""COMPUTED_VALUE"""),"No")</f>
        <v>No</v>
      </c>
      <c r="AL2544" s="8" t="str">
        <f ca="1">IFERROR(__xludf.DUMMYFUNCTION("""COMPUTED_VALUE"""),"Yes")</f>
        <v>Yes</v>
      </c>
      <c r="AM2544" s="8"/>
      <c r="AN2544" s="8"/>
      <c r="AO2544" s="8" t="str">
        <f ca="1">IFERROR(__xludf.DUMMYFUNCTION("""COMPUTED_VALUE"""),"No")</f>
        <v>No</v>
      </c>
      <c r="AP2544" s="8"/>
      <c r="AQ2544" s="8" t="str">
        <f ca="1">IFERROR(__xludf.DUMMYFUNCTION("""COMPUTED_VALUE"""),"Unknown")</f>
        <v>Unknown</v>
      </c>
      <c r="AR2544" s="8" t="str">
        <f ca="1">IFERROR(__xludf.DUMMYFUNCTION("""COMPUTED_VALUE"""),"NA")</f>
        <v>NA</v>
      </c>
      <c r="AS2544" s="8">
        <f ca="1">IFERROR(__xludf.DUMMYFUNCTION("""COMPUTED_VALUE"""),10)</f>
        <v>10</v>
      </c>
      <c r="AT2544" s="8"/>
      <c r="AU2544" s="8">
        <f ca="1">IFERROR(__xludf.DUMMYFUNCTION("""COMPUTED_VALUE"""),37.552039)</f>
        <v>37.552039000000001</v>
      </c>
      <c r="AV2544" s="8">
        <f ca="1">IFERROR(__xludf.DUMMYFUNCTION("""COMPUTED_VALUE"""),-77.404069)</f>
        <v>-77.404069000000007</v>
      </c>
      <c r="AW2544" s="8"/>
      <c r="AX2544" s="8">
        <f ca="1">IFERROR(__xludf.DUMMYFUNCTION("""COMPUTED_VALUE"""),23223)</f>
        <v>23223</v>
      </c>
    </row>
    <row r="2545" spans="1:50" ht="150" x14ac:dyDescent="0.2">
      <c r="A2545" s="8" t="str">
        <f ca="1">IFERROR(__xludf.DUMMYFUNCTION("""COMPUTED_VALUE"""),"19951023FLLAC")</f>
        <v>19951023FLLAC</v>
      </c>
      <c r="B2545" s="8">
        <f ca="1">IFERROR(__xludf.DUMMYFUNCTION("""COMPUTED_VALUE"""),10)</f>
        <v>10</v>
      </c>
      <c r="C2545" s="8">
        <f ca="1">IFERROR(__xludf.DUMMYFUNCTION("""COMPUTED_VALUE"""),23)</f>
        <v>23</v>
      </c>
      <c r="D2545" s="8">
        <f ca="1">IFERROR(__xludf.DUMMYFUNCTION("""COMPUTED_VALUE"""),1995)</f>
        <v>1995</v>
      </c>
      <c r="E2545" s="9">
        <f ca="1">IFERROR(__xludf.DUMMYFUNCTION("""COMPUTED_VALUE"""),34995)</f>
        <v>34995</v>
      </c>
      <c r="F2545" s="8" t="str">
        <f ca="1">IFERROR(__xludf.DUMMYFUNCTION("""COMPUTED_VALUE"""),"Lake Howell High School")</f>
        <v>Lake Howell High School</v>
      </c>
      <c r="G2545" s="8">
        <f ca="1">IFERROR(__xludf.DUMMYFUNCTION("""COMPUTED_VALUE"""),0)</f>
        <v>0</v>
      </c>
      <c r="H2545" s="8">
        <f ca="1">IFERROR(__xludf.DUMMYFUNCTION("""COMPUTED_VALUE"""),0)</f>
        <v>0</v>
      </c>
      <c r="I2545" s="8">
        <f ca="1">IFERROR(__xludf.DUMMYFUNCTION("""COMPUTED_VALUE"""),0)</f>
        <v>0</v>
      </c>
      <c r="J2545" s="8">
        <f ca="1">IFERROR(__xludf.DUMMYFUNCTION("""COMPUTED_VALUE"""),0)</f>
        <v>0</v>
      </c>
      <c r="K2545" s="8" t="str">
        <f ca="1">IFERROR(__xludf.DUMMYFUNCTION("""COMPUTED_VALUE"""),"https://www.newspapers.com/image/247247217/?terms=student%2Bshot https://www.upi.com/Archives/1995/10/23/Student-shot-at-Florida-high-school/9697814420800/ https://www.upi.com/Archives/1995/11/15/Shot-Florida-student-faces-charges/7605816411600/")</f>
        <v>https://www.newspapers.com/image/247247217/?terms=student%2Bshot https://www.upi.com/Archives/1995/10/23/Student-shot-at-Florida-high-school/9697814420800/ https://www.upi.com/Archives/1995/11/15/Shot-Florida-student-faces-charges/7605816411600/</v>
      </c>
      <c r="L2545" s="8"/>
      <c r="M2545" s="8"/>
      <c r="N2545" s="8">
        <f ca="1">IFERROR(__xludf.DUMMYFUNCTION("""COMPUTED_VALUE"""),2)</f>
        <v>2</v>
      </c>
      <c r="O2545" s="8" t="str">
        <f ca="1">IFERROR(__xludf.DUMMYFUNCTION("""COMPUTED_VALUE"""),"Fall")</f>
        <v>Fall</v>
      </c>
      <c r="P2545" s="8" t="str">
        <f ca="1">IFERROR(__xludf.DUMMYFUNCTION("""COMPUTED_VALUE"""),"Casselberry")</f>
        <v>Casselberry</v>
      </c>
      <c r="Q2545" s="8" t="str">
        <f ca="1">IFERROR(__xludf.DUMMYFUNCTION("""COMPUTED_VALUE"""),"FL")</f>
        <v>FL</v>
      </c>
      <c r="R2545" s="8" t="str">
        <f ca="1">IFERROR(__xludf.DUMMYFUNCTION("""COMPUTED_VALUE"""),"High")</f>
        <v>High</v>
      </c>
      <c r="S2545" s="8" t="str">
        <f ca="1">IFERROR(__xludf.DUMMYFUNCTION("""COMPUTED_VALUE"""),"Parking Lot")</f>
        <v>Parking Lot</v>
      </c>
      <c r="T2545" s="8" t="str">
        <f ca="1">IFERROR(__xludf.DUMMYFUNCTION("""COMPUTED_VALUE"""),"Outside on School Property")</f>
        <v>Outside on School Property</v>
      </c>
      <c r="U2545" s="8" t="str">
        <f ca="1">IFERROR(__xludf.DUMMYFUNCTION("""COMPUTED_VALUE"""),"Yes")</f>
        <v>Yes</v>
      </c>
      <c r="V2545" s="8" t="str">
        <f ca="1">IFERROR(__xludf.DUMMYFUNCTION("""COMPUTED_VALUE"""),"School Start")</f>
        <v>School Start</v>
      </c>
      <c r="W2545" s="11">
        <f ca="1">IFERROR(__xludf.DUMMYFUNCTION("""COMPUTED_VALUE"""),0.329861111111111)</f>
        <v>0.32986111111111099</v>
      </c>
      <c r="X2545" s="8">
        <f ca="1">IFERROR(__xludf.DUMMYFUNCTION("""COMPUTED_VALUE"""),1)</f>
        <v>1</v>
      </c>
      <c r="Y2545" s="12" t="str">
        <f ca="1">IFERROR(__xludf.DUMMYFUNCTION("""COMPUTED_VALUE"""),"Accidentally shot oneself while hiding weapon.")</f>
        <v>Accidentally shot oneself while hiding weapon.</v>
      </c>
      <c r="Z2545" s="12" t="str">
        <f ca="1">IFERROR(__xludf.DUMMYFUNCTION("""COMPUTED_VALUE"""),"16 year-old female accidentally shot herself in the stomach while hiding the .25 handgun in a dumpster. She was on her way to the principal's office to meet with her mother about her report card. She told authorities that she had been approached by two yo"&amp;"ung men and shot as she was on her way to school. Authorities found a gun in a school's dumpster near where student was shot. Student's mother reported this was the same type of gun missing from her home. Student later admitted to police she accidentally "&amp;"shot herself.")</f>
        <v>16 year-old female accidentally shot herself in the stomach while hiding the .25 handgun in a dumpster. She was on her way to the principal's office to meet with her mother about her report card. She told authorities that she had been approached by two young men and shot as she was on her way to school. Authorities found a gun in a school's dumpster near where student was shot. Student's mother reported this was the same type of gun missing from her home. Student later admitted to police she accidentally shot herself.</v>
      </c>
      <c r="AA2545" s="8" t="str">
        <f ca="1">IFERROR(__xludf.DUMMYFUNCTION("""COMPUTED_VALUE"""),"Accidental")</f>
        <v>Accidental</v>
      </c>
      <c r="AB2545" s="8"/>
      <c r="AC2545" s="8"/>
      <c r="AD2545" s="8" t="str">
        <f ca="1">IFERROR(__xludf.DUMMYFUNCTION("""COMPUTED_VALUE"""),"Victims Targeted")</f>
        <v>Victims Targeted</v>
      </c>
      <c r="AE2545" s="8" t="str">
        <f ca="1">IFERROR(__xludf.DUMMYFUNCTION("""COMPUTED_VALUE"""),"No")</f>
        <v>No</v>
      </c>
      <c r="AF2545" s="8"/>
      <c r="AG2545" s="8" t="str">
        <f ca="1">IFERROR(__xludf.DUMMYFUNCTION("""COMPUTED_VALUE"""),"No")</f>
        <v>No</v>
      </c>
      <c r="AH2545" s="8" t="str">
        <f ca="1">IFERROR(__xludf.DUMMYFUNCTION("""COMPUTED_VALUE"""),"No")</f>
        <v>No</v>
      </c>
      <c r="AI2545" s="8" t="str">
        <f ca="1">IFERROR(__xludf.DUMMYFUNCTION("""COMPUTED_VALUE"""),"No")</f>
        <v>No</v>
      </c>
      <c r="AJ2545" s="8" t="str">
        <f ca="1">IFERROR(__xludf.DUMMYFUNCTION("""COMPUTED_VALUE"""),"No")</f>
        <v>No</v>
      </c>
      <c r="AK2545" s="8" t="str">
        <f ca="1">IFERROR(__xludf.DUMMYFUNCTION("""COMPUTED_VALUE"""),"No")</f>
        <v>No</v>
      </c>
      <c r="AL2545" s="8" t="str">
        <f ca="1">IFERROR(__xludf.DUMMYFUNCTION("""COMPUTED_VALUE"""),"No")</f>
        <v>No</v>
      </c>
      <c r="AM2545" s="8"/>
      <c r="AN2545" s="8"/>
      <c r="AO2545" s="8" t="str">
        <f ca="1">IFERROR(__xludf.DUMMYFUNCTION("""COMPUTED_VALUE"""),"No")</f>
        <v>No</v>
      </c>
      <c r="AP2545" s="8"/>
      <c r="AQ2545" s="8" t="str">
        <f ca="1">IFERROR(__xludf.DUMMYFUNCTION("""COMPUTED_VALUE"""),"Unknown")</f>
        <v>Unknown</v>
      </c>
      <c r="AR2545" s="8" t="str">
        <f ca="1">IFERROR(__xludf.DUMMYFUNCTION("""COMPUTED_VALUE"""),"NA")</f>
        <v>NA</v>
      </c>
      <c r="AS2545" s="8">
        <f ca="1">IFERROR(__xludf.DUMMYFUNCTION("""COMPUTED_VALUE"""),1)</f>
        <v>1</v>
      </c>
      <c r="AT2545" s="8"/>
      <c r="AU2545" s="8">
        <f ca="1">IFERROR(__xludf.DUMMYFUNCTION("""COMPUTED_VALUE"""),28.63722)</f>
        <v>28.637219999999999</v>
      </c>
      <c r="AV2545" s="8">
        <f ca="1">IFERROR(__xludf.DUMMYFUNCTION("""COMPUTED_VALUE"""),-81.27318)</f>
        <v>-81.273179999999996</v>
      </c>
      <c r="AW2545" s="8"/>
      <c r="AX2545" s="8">
        <f ca="1">IFERROR(__xludf.DUMMYFUNCTION("""COMPUTED_VALUE"""),32972)</f>
        <v>32972</v>
      </c>
    </row>
    <row r="2546" spans="1:50" ht="225" x14ac:dyDescent="0.2">
      <c r="A2546" s="8" t="str">
        <f ca="1">IFERROR(__xludf.DUMMYFUNCTION("""COMPUTED_VALUE"""),"19951012SCBLB")</f>
        <v>19951012SCBLB</v>
      </c>
      <c r="B2546" s="8">
        <f ca="1">IFERROR(__xludf.DUMMYFUNCTION("""COMPUTED_VALUE"""),10)</f>
        <v>10</v>
      </c>
      <c r="C2546" s="8">
        <f ca="1">IFERROR(__xludf.DUMMYFUNCTION("""COMPUTED_VALUE"""),12)</f>
        <v>12</v>
      </c>
      <c r="D2546" s="8">
        <f ca="1">IFERROR(__xludf.DUMMYFUNCTION("""COMPUTED_VALUE"""),1995)</f>
        <v>1995</v>
      </c>
      <c r="E2546" s="9">
        <f ca="1">IFERROR(__xludf.DUMMYFUNCTION("""COMPUTED_VALUE"""),34984)</f>
        <v>34984</v>
      </c>
      <c r="F2546" s="8" t="str">
        <f ca="1">IFERROR(__xludf.DUMMYFUNCTION("""COMPUTED_VALUE"""),"Blackville-Hilda High School")</f>
        <v>Blackville-Hilda High School</v>
      </c>
      <c r="G2546" s="8">
        <f ca="1">IFERROR(__xludf.DUMMYFUNCTION("""COMPUTED_VALUE"""),1)</f>
        <v>1</v>
      </c>
      <c r="H2546" s="8">
        <f ca="1">IFERROR(__xludf.DUMMYFUNCTION("""COMPUTED_VALUE"""),1)</f>
        <v>1</v>
      </c>
      <c r="I2546" s="8">
        <f ca="1">IFERROR(__xludf.DUMMYFUNCTION("""COMPUTED_VALUE"""),2)</f>
        <v>2</v>
      </c>
      <c r="J2546" s="8">
        <f ca="1">IFERROR(__xludf.DUMMYFUNCTION("""COMPUTED_VALUE"""),1)</f>
        <v>1</v>
      </c>
      <c r="K2546" s="8" t="str">
        <f ca="1">IFERROR(__xludf.DUMMYFUNCTION("""COMPUTED_VALUE"""),"https://www.upi.com/Archives/1995/10/14/Carolina-teacher-died-from-bullet/5588813643200/ https://apnews.com/cd6df5aa2f5c54b6a8a303ab064bf325 https://www.deseret.com/1995/10/13/19198588/student-shoots-teacher-then-turns-gun-on-himself")</f>
        <v>https://www.upi.com/Archives/1995/10/14/Carolina-teacher-died-from-bullet/5588813643200/ https://apnews.com/cd6df5aa2f5c54b6a8a303ab064bf325 https://www.deseret.com/1995/10/13/19198588/student-shoots-teacher-then-turns-gun-on-himself</v>
      </c>
      <c r="L2546" s="8"/>
      <c r="M2546" s="8"/>
      <c r="N2546" s="8">
        <f ca="1">IFERROR(__xludf.DUMMYFUNCTION("""COMPUTED_VALUE"""),2)</f>
        <v>2</v>
      </c>
      <c r="O2546" s="8" t="str">
        <f ca="1">IFERROR(__xludf.DUMMYFUNCTION("""COMPUTED_VALUE"""),"Fall")</f>
        <v>Fall</v>
      </c>
      <c r="P2546" s="8" t="str">
        <f ca="1">IFERROR(__xludf.DUMMYFUNCTION("""COMPUTED_VALUE"""),"Blackville")</f>
        <v>Blackville</v>
      </c>
      <c r="Q2546" s="8" t="str">
        <f ca="1">IFERROR(__xludf.DUMMYFUNCTION("""COMPUTED_VALUE"""),"SC")</f>
        <v>SC</v>
      </c>
      <c r="R2546" s="8" t="str">
        <f ca="1">IFERROR(__xludf.DUMMYFUNCTION("""COMPUTED_VALUE"""),"High")</f>
        <v>High</v>
      </c>
      <c r="S2546" s="8" t="str">
        <f ca="1">IFERROR(__xludf.DUMMYFUNCTION("""COMPUTED_VALUE"""),"Classroom")</f>
        <v>Classroom</v>
      </c>
      <c r="T2546" s="8" t="str">
        <f ca="1">IFERROR(__xludf.DUMMYFUNCTION("""COMPUTED_VALUE"""),"Inside School Building")</f>
        <v>Inside School Building</v>
      </c>
      <c r="U2546" s="8" t="str">
        <f ca="1">IFERROR(__xludf.DUMMYFUNCTION("""COMPUTED_VALUE"""),"Yes")</f>
        <v>Yes</v>
      </c>
      <c r="V2546" s="8" t="str">
        <f ca="1">IFERROR(__xludf.DUMMYFUNCTION("""COMPUTED_VALUE"""),"Morning Classes")</f>
        <v>Morning Classes</v>
      </c>
      <c r="W2546" s="11">
        <f ca="1">IFERROR(__xludf.DUMMYFUNCTION("""COMPUTED_VALUE"""),0.361111111111111)</f>
        <v>0.36111111111111099</v>
      </c>
      <c r="X2546" s="8"/>
      <c r="Y2546" s="12" t="str">
        <f ca="1">IFERROR(__xludf.DUMMYFUNCTION("""COMPUTED_VALUE"""),"Anger of suspension, shot 2 teachers and himself.")</f>
        <v>Anger of suspension, shot 2 teachers and himself.</v>
      </c>
      <c r="Z2546" s="12" t="str">
        <f ca="1">IFERROR(__xludf.DUMMYFUNCTION("""COMPUTED_VALUE"""),"16 year-old male had been suspended from school the previous day from indecent hand gestures on the back of the school bus. The next day the shooter entered the building with a .32 pistol and walked into a specific classroom and fired the gun at a teacher"&amp;" in the head, leaving him seriously wounded. He moved to the teachers workroom and shot a second teacher (who authorities believed had a heart attack but actually died from a gunshot to the back). He tried to enter the office but it was locked, where he t"&amp;"hen shot himself in the head. Shooter believes he was suspended because he was black and the white students wouldn't be getting the same discipline for making an obscene gesture. The previous school year the shooter had been expelled and readmitted the fo"&amp;"llowing year on a strict probation.")</f>
        <v>16 year-old male had been suspended from school the previous day from indecent hand gestures on the back of the school bus. The next day the shooter entered the building with a .32 pistol and walked into a specific classroom and fired the gun at a teacher in the head, leaving him seriously wounded. He moved to the teachers workroom and shot a second teacher (who authorities believed had a heart attack but actually died from a gunshot to the back). He tried to enter the office but it was locked, where he then shot himself in the head. Shooter believes he was suspended because he was black and the white students wouldn't be getting the same discipline for making an obscene gesture. The previous school year the shooter had been expelled and readmitted the following year on a strict probation.</v>
      </c>
      <c r="AA2546" s="8" t="str">
        <f ca="1">IFERROR(__xludf.DUMMYFUNCTION("""COMPUTED_VALUE"""),"Anger Over Grade/Suspension/Discipline")</f>
        <v>Anger Over Grade/Suspension/Discipline</v>
      </c>
      <c r="AB2546" s="8"/>
      <c r="AC2546" s="8"/>
      <c r="AD2546" s="8" t="str">
        <f ca="1">IFERROR(__xludf.DUMMYFUNCTION("""COMPUTED_VALUE"""),"Victims Targeted")</f>
        <v>Victims Targeted</v>
      </c>
      <c r="AE2546" s="8" t="str">
        <f ca="1">IFERROR(__xludf.DUMMYFUNCTION("""COMPUTED_VALUE"""),"No")</f>
        <v>No</v>
      </c>
      <c r="AF2546" s="8"/>
      <c r="AG2546" s="8" t="str">
        <f ca="1">IFERROR(__xludf.DUMMYFUNCTION("""COMPUTED_VALUE"""),"No")</f>
        <v>No</v>
      </c>
      <c r="AH2546" s="8" t="str">
        <f ca="1">IFERROR(__xludf.DUMMYFUNCTION("""COMPUTED_VALUE"""),"No")</f>
        <v>No</v>
      </c>
      <c r="AI2546" s="8" t="str">
        <f ca="1">IFERROR(__xludf.DUMMYFUNCTION("""COMPUTED_VALUE"""),"No")</f>
        <v>No</v>
      </c>
      <c r="AJ2546" s="8" t="str">
        <f ca="1">IFERROR(__xludf.DUMMYFUNCTION("""COMPUTED_VALUE"""),"Yes")</f>
        <v>Yes</v>
      </c>
      <c r="AK2546" s="8" t="str">
        <f ca="1">IFERROR(__xludf.DUMMYFUNCTION("""COMPUTED_VALUE"""),"No")</f>
        <v>No</v>
      </c>
      <c r="AL2546" s="8" t="str">
        <f ca="1">IFERROR(__xludf.DUMMYFUNCTION("""COMPUTED_VALUE"""),"No")</f>
        <v>No</v>
      </c>
      <c r="AM2546" s="8" t="str">
        <f ca="1">IFERROR(__xludf.DUMMYFUNCTION("""COMPUTED_VALUE"""),"Yes")</f>
        <v>Yes</v>
      </c>
      <c r="AN2546" s="8" t="str">
        <f ca="1">IFERROR(__xludf.DUMMYFUNCTION("""COMPUTED_VALUE"""),"Multiple Rooms")</f>
        <v>Multiple Rooms</v>
      </c>
      <c r="AO2546" s="8" t="str">
        <f ca="1">IFERROR(__xludf.DUMMYFUNCTION("""COMPUTED_VALUE"""),"Yes")</f>
        <v>Yes</v>
      </c>
      <c r="AP2546" s="8"/>
      <c r="AQ2546" s="8" t="str">
        <f ca="1">IFERROR(__xludf.DUMMYFUNCTION("""COMPUTED_VALUE"""),"Unknown")</f>
        <v>Unknown</v>
      </c>
      <c r="AR2546" s="8" t="str">
        <f ca="1">IFERROR(__xludf.DUMMYFUNCTION("""COMPUTED_VALUE"""),"NA")</f>
        <v>NA</v>
      </c>
      <c r="AS2546" s="8"/>
      <c r="AT2546" s="8"/>
      <c r="AU2546" s="8">
        <f ca="1">IFERROR(__xludf.DUMMYFUNCTION("""COMPUTED_VALUE"""),33.364251)</f>
        <v>33.364251000000003</v>
      </c>
      <c r="AV2546" s="8">
        <f ca="1">IFERROR(__xludf.DUMMYFUNCTION("""COMPUTED_VALUE"""),-81.263651)</f>
        <v>-81.263650999999996</v>
      </c>
      <c r="AW2546" s="8"/>
      <c r="AX2546" s="8">
        <f ca="1">IFERROR(__xludf.DUMMYFUNCTION("""COMPUTED_VALUE"""),29817)</f>
        <v>29817</v>
      </c>
    </row>
    <row r="2547" spans="1:50" ht="180" x14ac:dyDescent="0.2">
      <c r="A2547" s="8" t="str">
        <f ca="1">IFERROR(__xludf.DUMMYFUNCTION("""COMPUTED_VALUE"""),"19950929FLTAT")</f>
        <v>19950929FLTAT</v>
      </c>
      <c r="B2547" s="8">
        <f ca="1">IFERROR(__xludf.DUMMYFUNCTION("""COMPUTED_VALUE"""),9)</f>
        <v>9</v>
      </c>
      <c r="C2547" s="8">
        <f ca="1">IFERROR(__xludf.DUMMYFUNCTION("""COMPUTED_VALUE"""),29)</f>
        <v>29</v>
      </c>
      <c r="D2547" s="8">
        <f ca="1">IFERROR(__xludf.DUMMYFUNCTION("""COMPUTED_VALUE"""),1995)</f>
        <v>1995</v>
      </c>
      <c r="E2547" s="9">
        <f ca="1">IFERROR(__xludf.DUMMYFUNCTION("""COMPUTED_VALUE"""),34971)</f>
        <v>34971</v>
      </c>
      <c r="F2547" s="8" t="str">
        <f ca="1">IFERROR(__xludf.DUMMYFUNCTION("""COMPUTED_VALUE"""),"Tavares Middle School")</f>
        <v>Tavares Middle School</v>
      </c>
      <c r="G2547" s="8">
        <f ca="1">IFERROR(__xludf.DUMMYFUNCTION("""COMPUTED_VALUE"""),1)</f>
        <v>1</v>
      </c>
      <c r="H2547" s="8">
        <f ca="1">IFERROR(__xludf.DUMMYFUNCTION("""COMPUTED_VALUE"""),0)</f>
        <v>0</v>
      </c>
      <c r="I2547" s="8">
        <f ca="1">IFERROR(__xludf.DUMMYFUNCTION("""COMPUTED_VALUE"""),1)</f>
        <v>1</v>
      </c>
      <c r="J2547" s="8">
        <f ca="1">IFERROR(__xludf.DUMMYFUNCTION("""COMPUTED_VALUE"""),0)</f>
        <v>0</v>
      </c>
      <c r="K2547" s="8" t="str">
        <f ca="1">IFERROR(__xludf.DUMMYFUNCTION("""COMPUTED_VALUE"""),"http://www.orlandosentinel.com/news/os-lk-school-shooting-tavares-middle-1995-20150918-story.html https://www.newspapers.com/image/233952285/?terms=Tavares%20Middle%20School&amp;match=1")</f>
        <v>http://www.orlandosentinel.com/news/os-lk-school-shooting-tavares-middle-1995-20150918-story.html https://www.newspapers.com/image/233952285/?terms=Tavares%20Middle%20School&amp;match=1</v>
      </c>
      <c r="L2547" s="8"/>
      <c r="M2547" s="8"/>
      <c r="N2547" s="8">
        <f ca="1">IFERROR(__xludf.DUMMYFUNCTION("""COMPUTED_VALUE"""),2)</f>
        <v>2</v>
      </c>
      <c r="O2547" s="8" t="str">
        <f ca="1">IFERROR(__xludf.DUMMYFUNCTION("""COMPUTED_VALUE"""),"Fall")</f>
        <v>Fall</v>
      </c>
      <c r="P2547" s="8" t="str">
        <f ca="1">IFERROR(__xludf.DUMMYFUNCTION("""COMPUTED_VALUE"""),"Tavares")</f>
        <v>Tavares</v>
      </c>
      <c r="Q2547" s="8" t="str">
        <f ca="1">IFERROR(__xludf.DUMMYFUNCTION("""COMPUTED_VALUE"""),"FL")</f>
        <v>FL</v>
      </c>
      <c r="R2547" s="8" t="str">
        <f ca="1">IFERROR(__xludf.DUMMYFUNCTION("""COMPUTED_VALUE"""),"Middle")</f>
        <v>Middle</v>
      </c>
      <c r="S2547" s="8" t="str">
        <f ca="1">IFERROR(__xludf.DUMMYFUNCTION("""COMPUTED_VALUE"""),"Courtyard")</f>
        <v>Courtyard</v>
      </c>
      <c r="T2547" s="8" t="str">
        <f ca="1">IFERROR(__xludf.DUMMYFUNCTION("""COMPUTED_VALUE"""),"Outside on School Property")</f>
        <v>Outside on School Property</v>
      </c>
      <c r="U2547" s="8" t="str">
        <f ca="1">IFERROR(__xludf.DUMMYFUNCTION("""COMPUTED_VALUE"""),"Yes")</f>
        <v>Yes</v>
      </c>
      <c r="V2547" s="8" t="str">
        <f ca="1">IFERROR(__xludf.DUMMYFUNCTION("""COMPUTED_VALUE"""),"Unknown")</f>
        <v>Unknown</v>
      </c>
      <c r="W2547" s="8"/>
      <c r="X2547" s="8">
        <f ca="1">IFERROR(__xludf.DUMMYFUNCTION("""COMPUTED_VALUE"""),1)</f>
        <v>1</v>
      </c>
      <c r="Y2547" s="12" t="str">
        <f ca="1">IFERROR(__xludf.DUMMYFUNCTION("""COMPUTED_VALUE"""),"Shooter had ongoing conflict with victim (possible bullying was involved)")</f>
        <v>Shooter had ongoing conflict with victim (possible bullying was involved)</v>
      </c>
      <c r="Z2547" s="12" t="str">
        <f ca="1">IFERROR(__xludf.DUMMYFUNCTION("""COMPUTED_VALUE"""),"Shooter stole the handgun from a neighbor and brought it to school. Showed the gun to multiple other students and said he planned to kill somebody on the bus ride to school. None of the students reported this to any of the school staff. Shooter had an ong"&amp;"oing dispute with the victim. During some words exchanged in the courtyard, the shooter pulled the 9mm semiautomatic gun and fired all 13 rounds at the victim. Authorities found the shooter in a wooded area across from the school and arrested him. Some st"&amp;"udents knew of the victim and shooter to be fighting. Shooter stated in court that victim was bullying him. Others thought it involved gangs.")</f>
        <v>Shooter stole the handgun from a neighbor and brought it to school. Showed the gun to multiple other students and said he planned to kill somebody on the bus ride to school. None of the students reported this to any of the school staff. Shooter had an ongoing dispute with the victim. During some words exchanged in the courtyard, the shooter pulled the 9mm semiautomatic gun and fired all 13 rounds at the victim. Authorities found the shooter in a wooded area across from the school and arrested him. Some students knew of the victim and shooter to be fighting. Shooter stated in court that victim was bullying him. Others thought it involved gangs.</v>
      </c>
      <c r="AA2547" s="8" t="str">
        <f ca="1">IFERROR(__xludf.DUMMYFUNCTION("""COMPUTED_VALUE"""),"Escalation of Dispute")</f>
        <v>Escalation of Dispute</v>
      </c>
      <c r="AB2547" s="8"/>
      <c r="AC2547" s="8"/>
      <c r="AD2547" s="8" t="str">
        <f ca="1">IFERROR(__xludf.DUMMYFUNCTION("""COMPUTED_VALUE"""),"Victims Targeted")</f>
        <v>Victims Targeted</v>
      </c>
      <c r="AE2547" s="8" t="str">
        <f ca="1">IFERROR(__xludf.DUMMYFUNCTION("""COMPUTED_VALUE"""),"No")</f>
        <v>No</v>
      </c>
      <c r="AF2547" s="8"/>
      <c r="AG2547" s="8" t="str">
        <f ca="1">IFERROR(__xludf.DUMMYFUNCTION("""COMPUTED_VALUE"""),"No")</f>
        <v>No</v>
      </c>
      <c r="AH2547" s="8" t="str">
        <f ca="1">IFERROR(__xludf.DUMMYFUNCTION("""COMPUTED_VALUE"""),"No")</f>
        <v>No</v>
      </c>
      <c r="AI2547" s="8" t="str">
        <f ca="1">IFERROR(__xludf.DUMMYFUNCTION("""COMPUTED_VALUE"""),"No")</f>
        <v>No</v>
      </c>
      <c r="AJ2547" s="8" t="str">
        <f ca="1">IFERROR(__xludf.DUMMYFUNCTION("""COMPUTED_VALUE"""),"Yes")</f>
        <v>Yes</v>
      </c>
      <c r="AK2547" s="8" t="str">
        <f ca="1">IFERROR(__xludf.DUMMYFUNCTION("""COMPUTED_VALUE"""),"No")</f>
        <v>No</v>
      </c>
      <c r="AL2547" s="8" t="str">
        <f ca="1">IFERROR(__xludf.DUMMYFUNCTION("""COMPUTED_VALUE"""),"Yes")</f>
        <v>Yes</v>
      </c>
      <c r="AM2547" s="8"/>
      <c r="AN2547" s="8"/>
      <c r="AO2547" s="8" t="str">
        <f ca="1">IFERROR(__xludf.DUMMYFUNCTION("""COMPUTED_VALUE"""),"No")</f>
        <v>No</v>
      </c>
      <c r="AP2547" s="8"/>
      <c r="AQ2547" s="8" t="str">
        <f ca="1">IFERROR(__xludf.DUMMYFUNCTION("""COMPUTED_VALUE"""),"Unknown")</f>
        <v>Unknown</v>
      </c>
      <c r="AR2547" s="8" t="str">
        <f ca="1">IFERROR(__xludf.DUMMYFUNCTION("""COMPUTED_VALUE"""),"NA")</f>
        <v>NA</v>
      </c>
      <c r="AS2547" s="8">
        <f ca="1">IFERROR(__xludf.DUMMYFUNCTION("""COMPUTED_VALUE"""),13)</f>
        <v>13</v>
      </c>
      <c r="AT2547" s="8"/>
      <c r="AU2547" s="8">
        <f ca="1">IFERROR(__xludf.DUMMYFUNCTION("""COMPUTED_VALUE"""),28.770384)</f>
        <v>28.770384</v>
      </c>
      <c r="AV2547" s="8">
        <f ca="1">IFERROR(__xludf.DUMMYFUNCTION("""COMPUTED_VALUE"""),-81.741119)</f>
        <v>-81.741118999999998</v>
      </c>
      <c r="AW2547" s="8"/>
      <c r="AX2547" s="8">
        <f ca="1">IFERROR(__xludf.DUMMYFUNCTION("""COMPUTED_VALUE"""),32778)</f>
        <v>32778</v>
      </c>
    </row>
    <row r="2548" spans="1:50" ht="60" x14ac:dyDescent="0.2">
      <c r="A2548" s="8" t="str">
        <f ca="1">IFERROR(__xludf.DUMMYFUNCTION("""COMPUTED_VALUE"""),"19950927ALBLP")</f>
        <v>19950927ALBLP</v>
      </c>
      <c r="B2548" s="8">
        <f ca="1">IFERROR(__xludf.DUMMYFUNCTION("""COMPUTED_VALUE"""),9)</f>
        <v>9</v>
      </c>
      <c r="C2548" s="8">
        <f ca="1">IFERROR(__xludf.DUMMYFUNCTION("""COMPUTED_VALUE"""),27)</f>
        <v>27</v>
      </c>
      <c r="D2548" s="8">
        <f ca="1">IFERROR(__xludf.DUMMYFUNCTION("""COMPUTED_VALUE"""),1995)</f>
        <v>1995</v>
      </c>
      <c r="E2548" s="9">
        <f ca="1">IFERROR(__xludf.DUMMYFUNCTION("""COMPUTED_VALUE"""),34969)</f>
        <v>34969</v>
      </c>
      <c r="F2548" s="8" t="str">
        <f ca="1">IFERROR(__xludf.DUMMYFUNCTION("""COMPUTED_VALUE"""),"Blount High School")</f>
        <v>Blount High School</v>
      </c>
      <c r="G2548" s="8">
        <f ca="1">IFERROR(__xludf.DUMMYFUNCTION("""COMPUTED_VALUE"""),0)</f>
        <v>0</v>
      </c>
      <c r="H2548" s="8">
        <f ca="1">IFERROR(__xludf.DUMMYFUNCTION("""COMPUTED_VALUE"""),1)</f>
        <v>1</v>
      </c>
      <c r="I2548" s="8">
        <f ca="1">IFERROR(__xludf.DUMMYFUNCTION("""COMPUTED_VALUE"""),1)</f>
        <v>1</v>
      </c>
      <c r="J2548" s="8">
        <f ca="1">IFERROR(__xludf.DUMMYFUNCTION("""COMPUTED_VALUE"""),0)</f>
        <v>0</v>
      </c>
      <c r="K2548" s="10" t="str">
        <f ca="1">IFERROR(__xludf.DUMMYFUNCTION("""COMPUTED_VALUE"""),"https://www.newspapers.com/image/106718796/?terms=student%2Bshot")</f>
        <v>https://www.newspapers.com/image/106718796/?terms=student%2Bshot</v>
      </c>
      <c r="L2548" s="8"/>
      <c r="M2548" s="8"/>
      <c r="N2548" s="8">
        <f ca="1">IFERROR(__xludf.DUMMYFUNCTION("""COMPUTED_VALUE"""),2)</f>
        <v>2</v>
      </c>
      <c r="O2548" s="8" t="str">
        <f ca="1">IFERROR(__xludf.DUMMYFUNCTION("""COMPUTED_VALUE"""),"Fall")</f>
        <v>Fall</v>
      </c>
      <c r="P2548" s="8" t="str">
        <f ca="1">IFERROR(__xludf.DUMMYFUNCTION("""COMPUTED_VALUE"""),"Prichard")</f>
        <v>Prichard</v>
      </c>
      <c r="Q2548" s="8" t="str">
        <f ca="1">IFERROR(__xludf.DUMMYFUNCTION("""COMPUTED_VALUE"""),"AL")</f>
        <v>AL</v>
      </c>
      <c r="R2548" s="8" t="str">
        <f ca="1">IFERROR(__xludf.DUMMYFUNCTION("""COMPUTED_VALUE"""),"High")</f>
        <v>High</v>
      </c>
      <c r="S2548" s="8" t="str">
        <f ca="1">IFERROR(__xludf.DUMMYFUNCTION("""COMPUTED_VALUE"""),"Hallway")</f>
        <v>Hallway</v>
      </c>
      <c r="T2548" s="8" t="str">
        <f ca="1">IFERROR(__xludf.DUMMYFUNCTION("""COMPUTED_VALUE"""),"Inside School Building")</f>
        <v>Inside School Building</v>
      </c>
      <c r="U2548" s="8" t="str">
        <f ca="1">IFERROR(__xludf.DUMMYFUNCTION("""COMPUTED_VALUE"""),"Yes")</f>
        <v>Yes</v>
      </c>
      <c r="V2548" s="8" t="str">
        <f ca="1">IFERROR(__xludf.DUMMYFUNCTION("""COMPUTED_VALUE"""),"Morning Classes")</f>
        <v>Morning Classes</v>
      </c>
      <c r="W2548" s="11">
        <f ca="1">IFERROR(__xludf.DUMMYFUNCTION("""COMPUTED_VALUE"""),0.458333333333333)</f>
        <v>0.45833333333333298</v>
      </c>
      <c r="X2548" s="8">
        <f ca="1">IFERROR(__xludf.DUMMYFUNCTION("""COMPUTED_VALUE"""),1)</f>
        <v>1</v>
      </c>
      <c r="Y2548" s="12" t="str">
        <f ca="1">IFERROR(__xludf.DUMMYFUNCTION("""COMPUTED_VALUE"""),"Shots fired during argument between suspect's younger brother and victim.")</f>
        <v>Shots fired during argument between suspect's younger brother and victim.</v>
      </c>
      <c r="Z2548" s="12" t="str">
        <f ca="1">IFERROR(__xludf.DUMMYFUNCTION("""COMPUTED_VALUE"""),"19 year-old male shot victim who was arguing with shooter's younger brother.")</f>
        <v>19 year-old male shot victim who was arguing with shooter's younger brother.</v>
      </c>
      <c r="AA2548" s="8" t="str">
        <f ca="1">IFERROR(__xludf.DUMMYFUNCTION("""COMPUTED_VALUE"""),"Escalation of Dispute")</f>
        <v>Escalation of Dispute</v>
      </c>
      <c r="AB2548" s="8"/>
      <c r="AC2548" s="8"/>
      <c r="AD2548" s="8" t="str">
        <f ca="1">IFERROR(__xludf.DUMMYFUNCTION("""COMPUTED_VALUE"""),"Victims Targeted")</f>
        <v>Victims Targeted</v>
      </c>
      <c r="AE2548" s="8" t="str">
        <f ca="1">IFERROR(__xludf.DUMMYFUNCTION("""COMPUTED_VALUE"""),"No")</f>
        <v>No</v>
      </c>
      <c r="AF2548" s="8"/>
      <c r="AG2548" s="8" t="str">
        <f ca="1">IFERROR(__xludf.DUMMYFUNCTION("""COMPUTED_VALUE"""),"No")</f>
        <v>No</v>
      </c>
      <c r="AH2548" s="8" t="str">
        <f ca="1">IFERROR(__xludf.DUMMYFUNCTION("""COMPUTED_VALUE"""),"No")</f>
        <v>No</v>
      </c>
      <c r="AI2548" s="8" t="str">
        <f ca="1">IFERROR(__xludf.DUMMYFUNCTION("""COMPUTED_VALUE"""),"No")</f>
        <v>No</v>
      </c>
      <c r="AJ2548" s="8" t="str">
        <f ca="1">IFERROR(__xludf.DUMMYFUNCTION("""COMPUTED_VALUE"""),"No")</f>
        <v>No</v>
      </c>
      <c r="AK2548" s="8" t="str">
        <f ca="1">IFERROR(__xludf.DUMMYFUNCTION("""COMPUTED_VALUE"""),"No")</f>
        <v>No</v>
      </c>
      <c r="AL2548" s="8" t="str">
        <f ca="1">IFERROR(__xludf.DUMMYFUNCTION("""COMPUTED_VALUE"""),"No")</f>
        <v>No</v>
      </c>
      <c r="AM2548" s="8"/>
      <c r="AN2548" s="8"/>
      <c r="AO2548" s="8" t="str">
        <f ca="1">IFERROR(__xludf.DUMMYFUNCTION("""COMPUTED_VALUE"""),"No")</f>
        <v>No</v>
      </c>
      <c r="AP2548" s="8"/>
      <c r="AQ2548" s="8" t="str">
        <f ca="1">IFERROR(__xludf.DUMMYFUNCTION("""COMPUTED_VALUE"""),"Unknown")</f>
        <v>Unknown</v>
      </c>
      <c r="AR2548" s="8" t="str">
        <f ca="1">IFERROR(__xludf.DUMMYFUNCTION("""COMPUTED_VALUE"""),"NA")</f>
        <v>NA</v>
      </c>
      <c r="AS2548" s="8"/>
      <c r="AT2548" s="8"/>
      <c r="AU2548" s="8">
        <f ca="1">IFERROR(__xludf.DUMMYFUNCTION("""COMPUTED_VALUE"""),30.778754)</f>
        <v>30.778753999999999</v>
      </c>
      <c r="AV2548" s="8">
        <f ca="1">IFERROR(__xludf.DUMMYFUNCTION("""COMPUTED_VALUE"""),-88.178933)</f>
        <v>-88.178933000000001</v>
      </c>
      <c r="AW2548" s="8"/>
      <c r="AX2548" s="8">
        <f ca="1">IFERROR(__xludf.DUMMYFUNCTION("""COMPUTED_VALUE"""),36613)</f>
        <v>36613</v>
      </c>
    </row>
    <row r="2549" spans="1:50" ht="75" x14ac:dyDescent="0.2">
      <c r="A2549" s="8" t="str">
        <f ca="1">IFERROR(__xludf.DUMMYFUNCTION("""COMPUTED_VALUE"""),"19950915KYGEW")</f>
        <v>19950915KYGEW</v>
      </c>
      <c r="B2549" s="8">
        <f ca="1">IFERROR(__xludf.DUMMYFUNCTION("""COMPUTED_VALUE"""),9)</f>
        <v>9</v>
      </c>
      <c r="C2549" s="8">
        <f ca="1">IFERROR(__xludf.DUMMYFUNCTION("""COMPUTED_VALUE"""),15)</f>
        <v>15</v>
      </c>
      <c r="D2549" s="8">
        <f ca="1">IFERROR(__xludf.DUMMYFUNCTION("""COMPUTED_VALUE"""),1995)</f>
        <v>1995</v>
      </c>
      <c r="E2549" s="9">
        <f ca="1">IFERROR(__xludf.DUMMYFUNCTION("""COMPUTED_VALUE"""),34957)</f>
        <v>34957</v>
      </c>
      <c r="F2549" s="8" t="str">
        <f ca="1">IFERROR(__xludf.DUMMYFUNCTION("""COMPUTED_VALUE"""),"George Rogers Clark High School")</f>
        <v>George Rogers Clark High School</v>
      </c>
      <c r="G2549" s="8">
        <f ca="1">IFERROR(__xludf.DUMMYFUNCTION("""COMPUTED_VALUE"""),0)</f>
        <v>0</v>
      </c>
      <c r="H2549" s="8">
        <f ca="1">IFERROR(__xludf.DUMMYFUNCTION("""COMPUTED_VALUE"""),0)</f>
        <v>0</v>
      </c>
      <c r="I2549" s="8">
        <f ca="1">IFERROR(__xludf.DUMMYFUNCTION("""COMPUTED_VALUE"""),0)</f>
        <v>0</v>
      </c>
      <c r="J2549" s="8">
        <f ca="1">IFERROR(__xludf.DUMMYFUNCTION("""COMPUTED_VALUE"""),0)</f>
        <v>0</v>
      </c>
      <c r="K2549" s="8" t="str">
        <f ca="1">IFERROR(__xludf.DUMMYFUNCTION("""COMPUTED_VALUE"""),"https://books.google.com/books?id=paCVN9ECUc4C&amp;pg=PA10&amp;lpg=PA10&amp;dq=George+Rogers+Clark+High+School+1995+shooting&amp;source=bl&amp;ots=nnxJbjaRMQ&amp;sig=ACfU3U1h5FLZ_tsjP7gMsufkPZl-4TgtMQ&amp;hl=en&amp;sa=X&amp;ved=2ahUKEwiyu9rB5sDpAhXMHjQIHSCBAYoQ6AEwAXoECAsQAQ#v=onepage&amp;q=Geo"&amp;"rge%20Rogers%20Clark%20High%20School%201995%20shooting&amp;f=false http://www.columbine-angels.com/School_Violence_1995-1996.htm")</f>
        <v>https://books.google.com/books?id=paCVN9ECUc4C&amp;pg=PA10&amp;lpg=PA10&amp;dq=George+Rogers+Clark+High+School+1995+shooting&amp;source=bl&amp;ots=nnxJbjaRMQ&amp;sig=ACfU3U1h5FLZ_tsjP7gMsufkPZl-4TgtMQ&amp;hl=en&amp;sa=X&amp;ved=2ahUKEwiyu9rB5sDpAhXMHjQIHSCBAYoQ6AEwAXoECAsQAQ#v=onepage&amp;q=George%20Rogers%20Clark%20High%20School%201995%20shooting&amp;f=false http://www.columbine-angels.com/School_Violence_1995-1996.htm</v>
      </c>
      <c r="L2549" s="8"/>
      <c r="M2549" s="8"/>
      <c r="N2549" s="8">
        <f ca="1">IFERROR(__xludf.DUMMYFUNCTION("""COMPUTED_VALUE"""),1)</f>
        <v>1</v>
      </c>
      <c r="O2549" s="8" t="str">
        <f ca="1">IFERROR(__xludf.DUMMYFUNCTION("""COMPUTED_VALUE"""),"Fall")</f>
        <v>Fall</v>
      </c>
      <c r="P2549" s="8" t="str">
        <f ca="1">IFERROR(__xludf.DUMMYFUNCTION("""COMPUTED_VALUE"""),"Winchester")</f>
        <v>Winchester</v>
      </c>
      <c r="Q2549" s="8" t="str">
        <f ca="1">IFERROR(__xludf.DUMMYFUNCTION("""COMPUTED_VALUE"""),"KY")</f>
        <v>KY</v>
      </c>
      <c r="R2549" s="8" t="str">
        <f ca="1">IFERROR(__xludf.DUMMYFUNCTION("""COMPUTED_VALUE"""),"High")</f>
        <v>High</v>
      </c>
      <c r="S2549" s="8" t="str">
        <f ca="1">IFERROR(__xludf.DUMMYFUNCTION("""COMPUTED_VALUE"""),"Inside School Building")</f>
        <v>Inside School Building</v>
      </c>
      <c r="T2549" s="8" t="str">
        <f ca="1">IFERROR(__xludf.DUMMYFUNCTION("""COMPUTED_VALUE"""),"Inside School Building")</f>
        <v>Inside School Building</v>
      </c>
      <c r="U2549" s="8" t="str">
        <f ca="1">IFERROR(__xludf.DUMMYFUNCTION("""COMPUTED_VALUE"""),"Yes")</f>
        <v>Yes</v>
      </c>
      <c r="V2549" s="8" t="str">
        <f ca="1">IFERROR(__xludf.DUMMYFUNCTION("""COMPUTED_VALUE"""),"Afternoon Classes")</f>
        <v>Afternoon Classes</v>
      </c>
      <c r="W2549" s="8"/>
      <c r="X2549" s="8"/>
      <c r="Y2549" s="12" t="str">
        <f ca="1">IFERROR(__xludf.DUMMYFUNCTION("""COMPUTED_VALUE"""),"Student took another student hostage at gunpoint after fight earlier in the day")</f>
        <v>Student took another student hostage at gunpoint after fight earlier in the day</v>
      </c>
      <c r="Z2549" s="12" t="str">
        <f ca="1">IFERROR(__xludf.DUMMYFUNCTION("""COMPUTED_VALUE"""),"Student took another student hostage in the school. Shooter had a fight with the student earlier in the day, when home and got two guns, and then returned to the school. No further information.")</f>
        <v>Student took another student hostage in the school. Shooter had a fight with the student earlier in the day, when home and got two guns, and then returned to the school. No further information.</v>
      </c>
      <c r="AA2549" s="8" t="str">
        <f ca="1">IFERROR(__xludf.DUMMYFUNCTION("""COMPUTED_VALUE"""),"Hostage/Standoff")</f>
        <v>Hostage/Standoff</v>
      </c>
      <c r="AB2549" s="8"/>
      <c r="AC2549" s="8"/>
      <c r="AD2549" s="8" t="str">
        <f ca="1">IFERROR(__xludf.DUMMYFUNCTION("""COMPUTED_VALUE"""),"Victims Targeted")</f>
        <v>Victims Targeted</v>
      </c>
      <c r="AE2549" s="8" t="str">
        <f ca="1">IFERROR(__xludf.DUMMYFUNCTION("""COMPUTED_VALUE"""),"No")</f>
        <v>No</v>
      </c>
      <c r="AF2549" s="8"/>
      <c r="AG2549" s="8" t="str">
        <f ca="1">IFERROR(__xludf.DUMMYFUNCTION("""COMPUTED_VALUE"""),"Yes")</f>
        <v>Yes</v>
      </c>
      <c r="AH2549" s="8" t="str">
        <f ca="1">IFERROR(__xludf.DUMMYFUNCTION("""COMPUTED_VALUE"""),"Yes")</f>
        <v>Yes</v>
      </c>
      <c r="AI2549" s="8" t="str">
        <f ca="1">IFERROR(__xludf.DUMMYFUNCTION("""COMPUTED_VALUE"""),"No")</f>
        <v>No</v>
      </c>
      <c r="AJ2549" s="8"/>
      <c r="AK2549" s="8" t="str">
        <f ca="1">IFERROR(__xludf.DUMMYFUNCTION("""COMPUTED_VALUE"""),"No")</f>
        <v>No</v>
      </c>
      <c r="AL2549" s="8" t="str">
        <f ca="1">IFERROR(__xludf.DUMMYFUNCTION("""COMPUTED_VALUE"""),"No")</f>
        <v>No</v>
      </c>
      <c r="AM2549" s="8" t="str">
        <f ca="1">IFERROR(__xludf.DUMMYFUNCTION("""COMPUTED_VALUE"""),"Yes")</f>
        <v>Yes</v>
      </c>
      <c r="AN2549" s="8" t="str">
        <f ca="1">IFERROR(__xludf.DUMMYFUNCTION("""COMPUTED_VALUE"""),"Single Room")</f>
        <v>Single Room</v>
      </c>
      <c r="AO2549" s="8" t="str">
        <f ca="1">IFERROR(__xludf.DUMMYFUNCTION("""COMPUTED_VALUE"""),"No")</f>
        <v>No</v>
      </c>
      <c r="AP2549" s="8"/>
      <c r="AQ2549" s="8" t="str">
        <f ca="1">IFERROR(__xludf.DUMMYFUNCTION("""COMPUTED_VALUE"""),"Unknown")</f>
        <v>Unknown</v>
      </c>
      <c r="AR2549" s="8" t="str">
        <f ca="1">IFERROR(__xludf.DUMMYFUNCTION("""COMPUTED_VALUE"""),"NA")</f>
        <v>NA</v>
      </c>
      <c r="AS2549" s="8">
        <f ca="1">IFERROR(__xludf.DUMMYFUNCTION("""COMPUTED_VALUE"""),0)</f>
        <v>0</v>
      </c>
      <c r="AT2549" s="8"/>
      <c r="AU2549" s="8">
        <f ca="1">IFERROR(__xludf.DUMMYFUNCTION("""COMPUTED_VALUE"""),37.961414)</f>
        <v>37.961413999999998</v>
      </c>
      <c r="AV2549" s="8">
        <f ca="1">IFERROR(__xludf.DUMMYFUNCTION("""COMPUTED_VALUE"""),-84.213526)</f>
        <v>-84.213526000000002</v>
      </c>
      <c r="AW2549" s="8"/>
      <c r="AX2549" s="8">
        <f ca="1">IFERROR(__xludf.DUMMYFUNCTION("""COMPUTED_VALUE"""),40391)</f>
        <v>40391</v>
      </c>
    </row>
    <row r="2550" spans="1:50" ht="60" x14ac:dyDescent="0.2">
      <c r="A2550" s="8" t="str">
        <f ca="1">IFERROR(__xludf.DUMMYFUNCTION("""COMPUTED_VALUE"""),"19950914KSOLO")</f>
        <v>19950914KSOLO</v>
      </c>
      <c r="B2550" s="8">
        <f ca="1">IFERROR(__xludf.DUMMYFUNCTION("""COMPUTED_VALUE"""),9)</f>
        <v>9</v>
      </c>
      <c r="C2550" s="8">
        <f ca="1">IFERROR(__xludf.DUMMYFUNCTION("""COMPUTED_VALUE"""),14)</f>
        <v>14</v>
      </c>
      <c r="D2550" s="8">
        <f ca="1">IFERROR(__xludf.DUMMYFUNCTION("""COMPUTED_VALUE"""),1995)</f>
        <v>1995</v>
      </c>
      <c r="E2550" s="9">
        <f ca="1">IFERROR(__xludf.DUMMYFUNCTION("""COMPUTED_VALUE"""),34956)</f>
        <v>34956</v>
      </c>
      <c r="F2550" s="8" t="str">
        <f ca="1">IFERROR(__xludf.DUMMYFUNCTION("""COMPUTED_VALUE"""),"Olathe North High School")</f>
        <v>Olathe North High School</v>
      </c>
      <c r="G2550" s="8">
        <f ca="1">IFERROR(__xludf.DUMMYFUNCTION("""COMPUTED_VALUE"""),2)</f>
        <v>2</v>
      </c>
      <c r="H2550" s="8">
        <f ca="1">IFERROR(__xludf.DUMMYFUNCTION("""COMPUTED_VALUE"""),4)</f>
        <v>4</v>
      </c>
      <c r="I2550" s="8">
        <f ca="1">IFERROR(__xludf.DUMMYFUNCTION("""COMPUTED_VALUE"""),6)</f>
        <v>6</v>
      </c>
      <c r="J2550" s="8">
        <f ca="1">IFERROR(__xludf.DUMMYFUNCTION("""COMPUTED_VALUE"""),0)</f>
        <v>0</v>
      </c>
      <c r="K2550" s="8" t="str">
        <f ca="1">IFERROR(__xludf.DUMMYFUNCTION("""COMPUTED_VALUE"""),"https://apnews.com/50a40f57fb28f9cec34b9c3f67812308 https://www.deseretnews.com/article/441226/CAPTION-ONLY--VICTIMS-MOURNED-IN-KANSAS-FOOTBALL-SLAYINGS.html http://www.columbine-angels.com/School_Violence_1995-1996.htm")</f>
        <v>https://apnews.com/50a40f57fb28f9cec34b9c3f67812308 https://www.deseretnews.com/article/441226/CAPTION-ONLY--VICTIMS-MOURNED-IN-KANSAS-FOOTBALL-SLAYINGS.html http://www.columbine-angels.com/School_Violence_1995-1996.htm</v>
      </c>
      <c r="L2550" s="8"/>
      <c r="M2550" s="8"/>
      <c r="N2550" s="8">
        <f ca="1">IFERROR(__xludf.DUMMYFUNCTION("""COMPUTED_VALUE"""),2)</f>
        <v>2</v>
      </c>
      <c r="O2550" s="8" t="str">
        <f ca="1">IFERROR(__xludf.DUMMYFUNCTION("""COMPUTED_VALUE"""),"Fall")</f>
        <v>Fall</v>
      </c>
      <c r="P2550" s="8" t="str">
        <f ca="1">IFERROR(__xludf.DUMMYFUNCTION("""COMPUTED_VALUE"""),"Olathe")</f>
        <v>Olathe</v>
      </c>
      <c r="Q2550" s="8" t="str">
        <f ca="1">IFERROR(__xludf.DUMMYFUNCTION("""COMPUTED_VALUE"""),"KS")</f>
        <v>KS</v>
      </c>
      <c r="R2550" s="8" t="str">
        <f ca="1">IFERROR(__xludf.DUMMYFUNCTION("""COMPUTED_VALUE"""),"High")</f>
        <v>High</v>
      </c>
      <c r="S2550" s="8" t="str">
        <f ca="1">IFERROR(__xludf.DUMMYFUNCTION("""COMPUTED_VALUE"""),"Parking Lot")</f>
        <v>Parking Lot</v>
      </c>
      <c r="T2550" s="8" t="str">
        <f ca="1">IFERROR(__xludf.DUMMYFUNCTION("""COMPUTED_VALUE"""),"Outside on School Property")</f>
        <v>Outside on School Property</v>
      </c>
      <c r="U2550" s="8" t="str">
        <f ca="1">IFERROR(__xludf.DUMMYFUNCTION("""COMPUTED_VALUE"""),"No")</f>
        <v>No</v>
      </c>
      <c r="V2550" s="8" t="str">
        <f ca="1">IFERROR(__xludf.DUMMYFUNCTION("""COMPUTED_VALUE"""),"Sport Event")</f>
        <v>Sport Event</v>
      </c>
      <c r="W2550" s="8"/>
      <c r="X2550" s="8">
        <f ca="1">IFERROR(__xludf.DUMMYFUNCTION("""COMPUTED_VALUE"""),1)</f>
        <v>1</v>
      </c>
      <c r="Y2550" s="12" t="str">
        <f ca="1">IFERROR(__xludf.DUMMYFUNCTION("""COMPUTED_VALUE"""),"Drive-by shooting by student from rival school at a football game.")</f>
        <v>Drive-by shooting by student from rival school at a football game.</v>
      </c>
      <c r="Z2550" s="12" t="str">
        <f ca="1">IFERROR(__xludf.DUMMYFUNCTION("""COMPUTED_VALUE"""),"Student and former student killed during drive-by shooting by student from rival school during a football game. Prior to the shooting there was a fist fight between the shooter and victims during the game.")</f>
        <v>Student and former student killed during drive-by shooting by student from rival school during a football game. Prior to the shooting there was a fist fight between the shooter and victims during the game.</v>
      </c>
      <c r="AA2550" s="8" t="str">
        <f ca="1">IFERROR(__xludf.DUMMYFUNCTION("""COMPUTED_VALUE"""),"Drive-by Shooting")</f>
        <v>Drive-by Shooting</v>
      </c>
      <c r="AB2550" s="8"/>
      <c r="AC2550" s="8"/>
      <c r="AD2550" s="8" t="str">
        <f ca="1">IFERROR(__xludf.DUMMYFUNCTION("""COMPUTED_VALUE"""),"Victims Targeted")</f>
        <v>Victims Targeted</v>
      </c>
      <c r="AE2550" s="8" t="str">
        <f ca="1">IFERROR(__xludf.DUMMYFUNCTION("""COMPUTED_VALUE"""),"No")</f>
        <v>No</v>
      </c>
      <c r="AF2550" s="8"/>
      <c r="AG2550" s="8" t="str">
        <f ca="1">IFERROR(__xludf.DUMMYFUNCTION("""COMPUTED_VALUE"""),"No")</f>
        <v>No</v>
      </c>
      <c r="AH2550" s="8" t="str">
        <f ca="1">IFERROR(__xludf.DUMMYFUNCTION("""COMPUTED_VALUE"""),"No")</f>
        <v>No</v>
      </c>
      <c r="AI2550" s="8" t="str">
        <f ca="1">IFERROR(__xludf.DUMMYFUNCTION("""COMPUTED_VALUE"""),"No")</f>
        <v>No</v>
      </c>
      <c r="AJ2550" s="8" t="str">
        <f ca="1">IFERROR(__xludf.DUMMYFUNCTION("""COMPUTED_VALUE"""),"No")</f>
        <v>No</v>
      </c>
      <c r="AK2550" s="8" t="str">
        <f ca="1">IFERROR(__xludf.DUMMYFUNCTION("""COMPUTED_VALUE"""),"No")</f>
        <v>No</v>
      </c>
      <c r="AL2550" s="8" t="str">
        <f ca="1">IFERROR(__xludf.DUMMYFUNCTION("""COMPUTED_VALUE"""),"Yes")</f>
        <v>Yes</v>
      </c>
      <c r="AM2550" s="8"/>
      <c r="AN2550" s="8"/>
      <c r="AO2550" s="8" t="str">
        <f ca="1">IFERROR(__xludf.DUMMYFUNCTION("""COMPUTED_VALUE"""),"No")</f>
        <v>No</v>
      </c>
      <c r="AP2550" s="8"/>
      <c r="AQ2550" s="8" t="str">
        <f ca="1">IFERROR(__xludf.DUMMYFUNCTION("""COMPUTED_VALUE"""),"Unknown")</f>
        <v>Unknown</v>
      </c>
      <c r="AR2550" s="8" t="str">
        <f ca="1">IFERROR(__xludf.DUMMYFUNCTION("""COMPUTED_VALUE"""),"NA")</f>
        <v>NA</v>
      </c>
      <c r="AS2550" s="8"/>
      <c r="AT2550" s="8"/>
      <c r="AU2550" s="8">
        <f ca="1">IFERROR(__xludf.DUMMYFUNCTION("""COMPUTED_VALUE"""),38.887456)</f>
        <v>38.887456</v>
      </c>
      <c r="AV2550" s="8">
        <f ca="1">IFERROR(__xludf.DUMMYFUNCTION("""COMPUTED_VALUE"""),-94.808308)</f>
        <v>-94.808307999999997</v>
      </c>
      <c r="AW2550" s="8"/>
      <c r="AX2550" s="8">
        <f ca="1">IFERROR(__xludf.DUMMYFUNCTION("""COMPUTED_VALUE"""),66061)</f>
        <v>66061</v>
      </c>
    </row>
    <row r="2551" spans="1:50" ht="45" x14ac:dyDescent="0.2">
      <c r="A2551" s="8" t="str">
        <f ca="1">IFERROR(__xludf.DUMMYFUNCTION("""COMPUTED_VALUE"""),"19950912TNCYM")</f>
        <v>19950912TNCYM</v>
      </c>
      <c r="B2551" s="8">
        <f ca="1">IFERROR(__xludf.DUMMYFUNCTION("""COMPUTED_VALUE"""),9)</f>
        <v>9</v>
      </c>
      <c r="C2551" s="8">
        <f ca="1">IFERROR(__xludf.DUMMYFUNCTION("""COMPUTED_VALUE"""),12)</f>
        <v>12</v>
      </c>
      <c r="D2551" s="8">
        <f ca="1">IFERROR(__xludf.DUMMYFUNCTION("""COMPUTED_VALUE"""),1995)</f>
        <v>1995</v>
      </c>
      <c r="E2551" s="9">
        <f ca="1">IFERROR(__xludf.DUMMYFUNCTION("""COMPUTED_VALUE"""),34954)</f>
        <v>34954</v>
      </c>
      <c r="F2551" s="8" t="str">
        <f ca="1">IFERROR(__xludf.DUMMYFUNCTION("""COMPUTED_VALUE"""),"Cypress Junior High School")</f>
        <v>Cypress Junior High School</v>
      </c>
      <c r="G2551" s="8">
        <f ca="1">IFERROR(__xludf.DUMMYFUNCTION("""COMPUTED_VALUE"""),1)</f>
        <v>1</v>
      </c>
      <c r="H2551" s="8">
        <f ca="1">IFERROR(__xludf.DUMMYFUNCTION("""COMPUTED_VALUE"""),0)</f>
        <v>0</v>
      </c>
      <c r="I2551" s="8">
        <f ca="1">IFERROR(__xludf.DUMMYFUNCTION("""COMPUTED_VALUE"""),1)</f>
        <v>1</v>
      </c>
      <c r="J2551" s="8">
        <f ca="1">IFERROR(__xludf.DUMMYFUNCTION("""COMPUTED_VALUE"""),0)</f>
        <v>0</v>
      </c>
      <c r="K2551" s="10" t="str">
        <f ca="1">IFERROR(__xludf.DUMMYFUNCTION("""COMPUTED_VALUE"""),"https://www.columbine-angels.com/School_Violence_1995-1996.htm")</f>
        <v>https://www.columbine-angels.com/School_Violence_1995-1996.htm</v>
      </c>
      <c r="L2551" s="8"/>
      <c r="M2551" s="8"/>
      <c r="N2551" s="8">
        <f ca="1">IFERROR(__xludf.DUMMYFUNCTION("""COMPUTED_VALUE"""),1)</f>
        <v>1</v>
      </c>
      <c r="O2551" s="8" t="str">
        <f ca="1">IFERROR(__xludf.DUMMYFUNCTION("""COMPUTED_VALUE"""),"Fall")</f>
        <v>Fall</v>
      </c>
      <c r="P2551" s="8" t="str">
        <f ca="1">IFERROR(__xludf.DUMMYFUNCTION("""COMPUTED_VALUE"""),"Memphis")</f>
        <v>Memphis</v>
      </c>
      <c r="Q2551" s="8" t="str">
        <f ca="1">IFERROR(__xludf.DUMMYFUNCTION("""COMPUTED_VALUE"""),"TN")</f>
        <v>TN</v>
      </c>
      <c r="R2551" s="8" t="str">
        <f ca="1">IFERROR(__xludf.DUMMYFUNCTION("""COMPUTED_VALUE"""),"Junior High")</f>
        <v>Junior High</v>
      </c>
      <c r="S2551" s="8" t="str">
        <f ca="1">IFERROR(__xludf.DUMMYFUNCTION("""COMPUTED_VALUE"""),"Hallway")</f>
        <v>Hallway</v>
      </c>
      <c r="T2551" s="8" t="str">
        <f ca="1">IFERROR(__xludf.DUMMYFUNCTION("""COMPUTED_VALUE"""),"Inside School Building")</f>
        <v>Inside School Building</v>
      </c>
      <c r="U2551" s="8" t="str">
        <f ca="1">IFERROR(__xludf.DUMMYFUNCTION("""COMPUTED_VALUE"""),"Yes")</f>
        <v>Yes</v>
      </c>
      <c r="V2551" s="8" t="str">
        <f ca="1">IFERROR(__xludf.DUMMYFUNCTION("""COMPUTED_VALUE"""),"Morning Classes")</f>
        <v>Morning Classes</v>
      </c>
      <c r="W2551" s="11">
        <f ca="1">IFERROR(__xludf.DUMMYFUNCTION("""COMPUTED_VALUE"""),0.354166666666666)</f>
        <v>0.35416666666666602</v>
      </c>
      <c r="X2551" s="8">
        <f ca="1">IFERROR(__xludf.DUMMYFUNCTION("""COMPUTED_VALUE"""),1)</f>
        <v>1</v>
      </c>
      <c r="Y2551" s="12" t="str">
        <f ca="1">IFERROR(__xludf.DUMMYFUNCTION("""COMPUTED_VALUE"""),"Shooter retaliated for previous assault by victim.")</f>
        <v>Shooter retaliated for previous assault by victim.</v>
      </c>
      <c r="Z2551" s="12" t="str">
        <f ca="1">IFERROR(__xludf.DUMMYFUNCTION("""COMPUTED_VALUE"""),"15 year-old male shooter had been jumped by victim and his friend that morning. Shooter shot and killed victim with .38 handgun.")</f>
        <v>15 year-old male shooter had been jumped by victim and his friend that morning. Shooter shot and killed victim with .38 handgun.</v>
      </c>
      <c r="AA2551" s="8" t="str">
        <f ca="1">IFERROR(__xludf.DUMMYFUNCTION("""COMPUTED_VALUE"""),"Escalation of Dispute")</f>
        <v>Escalation of Dispute</v>
      </c>
      <c r="AB2551" s="8"/>
      <c r="AC2551" s="8"/>
      <c r="AD2551" s="8" t="str">
        <f ca="1">IFERROR(__xludf.DUMMYFUNCTION("""COMPUTED_VALUE"""),"Victims Targeted")</f>
        <v>Victims Targeted</v>
      </c>
      <c r="AE2551" s="8" t="str">
        <f ca="1">IFERROR(__xludf.DUMMYFUNCTION("""COMPUTED_VALUE"""),"No")</f>
        <v>No</v>
      </c>
      <c r="AF2551" s="8"/>
      <c r="AG2551" s="8" t="str">
        <f ca="1">IFERROR(__xludf.DUMMYFUNCTION("""COMPUTED_VALUE"""),"No")</f>
        <v>No</v>
      </c>
      <c r="AH2551" s="8" t="str">
        <f ca="1">IFERROR(__xludf.DUMMYFUNCTION("""COMPUTED_VALUE"""),"No")</f>
        <v>No</v>
      </c>
      <c r="AI2551" s="8" t="str">
        <f ca="1">IFERROR(__xludf.DUMMYFUNCTION("""COMPUTED_VALUE"""),"No")</f>
        <v>No</v>
      </c>
      <c r="AJ2551" s="8" t="str">
        <f ca="1">IFERROR(__xludf.DUMMYFUNCTION("""COMPUTED_VALUE"""),"No")</f>
        <v>No</v>
      </c>
      <c r="AK2551" s="8" t="str">
        <f ca="1">IFERROR(__xludf.DUMMYFUNCTION("""COMPUTED_VALUE"""),"No")</f>
        <v>No</v>
      </c>
      <c r="AL2551" s="8" t="str">
        <f ca="1">IFERROR(__xludf.DUMMYFUNCTION("""COMPUTED_VALUE"""),"No")</f>
        <v>No</v>
      </c>
      <c r="AM2551" s="8"/>
      <c r="AN2551" s="8"/>
      <c r="AO2551" s="8" t="str">
        <f ca="1">IFERROR(__xludf.DUMMYFUNCTION("""COMPUTED_VALUE"""),"No")</f>
        <v>No</v>
      </c>
      <c r="AP2551" s="8"/>
      <c r="AQ2551" s="8" t="str">
        <f ca="1">IFERROR(__xludf.DUMMYFUNCTION("""COMPUTED_VALUE"""),"Unknown")</f>
        <v>Unknown</v>
      </c>
      <c r="AR2551" s="8" t="str">
        <f ca="1">IFERROR(__xludf.DUMMYFUNCTION("""COMPUTED_VALUE"""),"NA")</f>
        <v>NA</v>
      </c>
      <c r="AS2551" s="8"/>
      <c r="AT2551" s="8"/>
      <c r="AU2551" s="8">
        <f ca="1">IFERROR(__xludf.DUMMYFUNCTION("""COMPUTED_VALUE"""),35.167052)</f>
        <v>35.167051999999998</v>
      </c>
      <c r="AV2551" s="8">
        <f ca="1">IFERROR(__xludf.DUMMYFUNCTION("""COMPUTED_VALUE"""),-89.987778)</f>
        <v>-89.987778000000006</v>
      </c>
      <c r="AW2551" s="8"/>
      <c r="AX2551" s="8">
        <f ca="1">IFERROR(__xludf.DUMMYFUNCTION("""COMPUTED_VALUE"""),38108)</f>
        <v>38108</v>
      </c>
    </row>
    <row r="2552" spans="1:50" ht="120" x14ac:dyDescent="0.2">
      <c r="A2552" s="8" t="str">
        <f ca="1">IFERROR(__xludf.DUMMYFUNCTION("""COMPUTED_VALUE"""),"19950829TXMEL")</f>
        <v>19950829TXMEL</v>
      </c>
      <c r="B2552" s="8">
        <f ca="1">IFERROR(__xludf.DUMMYFUNCTION("""COMPUTED_VALUE"""),8)</f>
        <v>8</v>
      </c>
      <c r="C2552" s="8">
        <f ca="1">IFERROR(__xludf.DUMMYFUNCTION("""COMPUTED_VALUE"""),29)</f>
        <v>29</v>
      </c>
      <c r="D2552" s="8">
        <f ca="1">IFERROR(__xludf.DUMMYFUNCTION("""COMPUTED_VALUE"""),1995)</f>
        <v>1995</v>
      </c>
      <c r="E2552" s="9">
        <f ca="1">IFERROR(__xludf.DUMMYFUNCTION("""COMPUTED_VALUE"""),34940)</f>
        <v>34940</v>
      </c>
      <c r="F2552" s="8" t="str">
        <f ca="1">IFERROR(__xludf.DUMMYFUNCTION("""COMPUTED_VALUE"""),"Memorial Middle School")</f>
        <v>Memorial Middle School</v>
      </c>
      <c r="G2552" s="8">
        <f ca="1">IFERROR(__xludf.DUMMYFUNCTION("""COMPUTED_VALUE"""),1)</f>
        <v>1</v>
      </c>
      <c r="H2552" s="8">
        <f ca="1">IFERROR(__xludf.DUMMYFUNCTION("""COMPUTED_VALUE"""),0)</f>
        <v>0</v>
      </c>
      <c r="I2552" s="8">
        <f ca="1">IFERROR(__xludf.DUMMYFUNCTION("""COMPUTED_VALUE"""),1)</f>
        <v>1</v>
      </c>
      <c r="J2552" s="8">
        <f ca="1">IFERROR(__xludf.DUMMYFUNCTION("""COMPUTED_VALUE"""),0)</f>
        <v>0</v>
      </c>
      <c r="K2552" s="10" t="str">
        <f ca="1">IFERROR(__xludf.DUMMYFUNCTION("""COMPUTED_VALUE"""),"http://www.columbine-angels.com/School_Violence_1995-1996.htm")</f>
        <v>http://www.columbine-angels.com/School_Violence_1995-1996.htm</v>
      </c>
      <c r="L2552" s="8"/>
      <c r="M2552" s="8"/>
      <c r="N2552" s="8">
        <f ca="1">IFERROR(__xludf.DUMMYFUNCTION("""COMPUTED_VALUE"""),1)</f>
        <v>1</v>
      </c>
      <c r="O2552" s="8" t="str">
        <f ca="1">IFERROR(__xludf.DUMMYFUNCTION("""COMPUTED_VALUE"""),"Summer")</f>
        <v>Summer</v>
      </c>
      <c r="P2552" s="8" t="str">
        <f ca="1">IFERROR(__xludf.DUMMYFUNCTION("""COMPUTED_VALUE"""),"Laredo")</f>
        <v>Laredo</v>
      </c>
      <c r="Q2552" s="8" t="str">
        <f ca="1">IFERROR(__xludf.DUMMYFUNCTION("""COMPUTED_VALUE"""),"TX")</f>
        <v>TX</v>
      </c>
      <c r="R2552" s="8" t="str">
        <f ca="1">IFERROR(__xludf.DUMMYFUNCTION("""COMPUTED_VALUE"""),"Middle")</f>
        <v>Middle</v>
      </c>
      <c r="S2552" s="8" t="str">
        <f ca="1">IFERROR(__xludf.DUMMYFUNCTION("""COMPUTED_VALUE"""),"Bathroom")</f>
        <v>Bathroom</v>
      </c>
      <c r="T2552" s="8" t="str">
        <f ca="1">IFERROR(__xludf.DUMMYFUNCTION("""COMPUTED_VALUE"""),"Inside School Building")</f>
        <v>Inside School Building</v>
      </c>
      <c r="U2552" s="8" t="str">
        <f ca="1">IFERROR(__xludf.DUMMYFUNCTION("""COMPUTED_VALUE"""),"No")</f>
        <v>No</v>
      </c>
      <c r="V2552" s="8" t="str">
        <f ca="1">IFERROR(__xludf.DUMMYFUNCTION("""COMPUTED_VALUE"""),"After School")</f>
        <v>After School</v>
      </c>
      <c r="W2552" s="11">
        <f ca="1">IFERROR(__xludf.DUMMYFUNCTION("""COMPUTED_VALUE"""),0.677083333333333)</f>
        <v>0.67708333333333304</v>
      </c>
      <c r="X2552" s="8">
        <f ca="1">IFERROR(__xludf.DUMMYFUNCTION("""COMPUTED_VALUE"""),1)</f>
        <v>1</v>
      </c>
      <c r="Y2552" s="12" t="str">
        <f ca="1">IFERROR(__xludf.DUMMYFUNCTION("""COMPUTED_VALUE"""),"Shot victim in the bathroom then fled.")</f>
        <v>Shot victim in the bathroom then fled.</v>
      </c>
      <c r="Z2552" s="12" t="str">
        <f ca="1">IFERROR(__xludf.DUMMYFUNCTION("""COMPUTED_VALUE"""),"12 year-old male shooter was sitting with other students outside of school with a sawed off shotgun. Shooter saw the victim and followed her into the bathroom. He'd previously asked the victim to go out with him and she refused. He pointed the gun at her "&amp;"and shot her in the head and fled the scene. A nearby teacher heard the shot and found the victim in the bathroom. Later that night shooter was arrested in his home.")</f>
        <v>12 year-old male shooter was sitting with other students outside of school with a sawed off shotgun. Shooter saw the victim and followed her into the bathroom. He'd previously asked the victim to go out with him and she refused. He pointed the gun at her and shot her in the head and fled the scene. A nearby teacher heard the shot and found the victim in the bathroom. Later that night shooter was arrested in his home.</v>
      </c>
      <c r="AA2552" s="8" t="str">
        <f ca="1">IFERROR(__xludf.DUMMYFUNCTION("""COMPUTED_VALUE"""),"Domestic w/ Targeted Victim")</f>
        <v>Domestic w/ Targeted Victim</v>
      </c>
      <c r="AB2552" s="8"/>
      <c r="AC2552" s="8"/>
      <c r="AD2552" s="8" t="str">
        <f ca="1">IFERROR(__xludf.DUMMYFUNCTION("""COMPUTED_VALUE"""),"Victims Targeted")</f>
        <v>Victims Targeted</v>
      </c>
      <c r="AE2552" s="8" t="str">
        <f ca="1">IFERROR(__xludf.DUMMYFUNCTION("""COMPUTED_VALUE"""),"No")</f>
        <v>No</v>
      </c>
      <c r="AF2552" s="8"/>
      <c r="AG2552" s="8" t="str">
        <f ca="1">IFERROR(__xludf.DUMMYFUNCTION("""COMPUTED_VALUE"""),"No")</f>
        <v>No</v>
      </c>
      <c r="AH2552" s="8" t="str">
        <f ca="1">IFERROR(__xludf.DUMMYFUNCTION("""COMPUTED_VALUE"""),"No")</f>
        <v>No</v>
      </c>
      <c r="AI2552" s="8" t="str">
        <f ca="1">IFERROR(__xludf.DUMMYFUNCTION("""COMPUTED_VALUE"""),"No")</f>
        <v>No</v>
      </c>
      <c r="AJ2552" s="8" t="str">
        <f ca="1">IFERROR(__xludf.DUMMYFUNCTION("""COMPUTED_VALUE"""),"No")</f>
        <v>No</v>
      </c>
      <c r="AK2552" s="8" t="str">
        <f ca="1">IFERROR(__xludf.DUMMYFUNCTION("""COMPUTED_VALUE"""),"Yes")</f>
        <v>Yes</v>
      </c>
      <c r="AL2552" s="8" t="str">
        <f ca="1">IFERROR(__xludf.DUMMYFUNCTION("""COMPUTED_VALUE"""),"No")</f>
        <v>No</v>
      </c>
      <c r="AM2552" s="8"/>
      <c r="AN2552" s="8"/>
      <c r="AO2552" s="8" t="str">
        <f ca="1">IFERROR(__xludf.DUMMYFUNCTION("""COMPUTED_VALUE"""),"No")</f>
        <v>No</v>
      </c>
      <c r="AP2552" s="8"/>
      <c r="AQ2552" s="8" t="str">
        <f ca="1">IFERROR(__xludf.DUMMYFUNCTION("""COMPUTED_VALUE"""),"Unknown")</f>
        <v>Unknown</v>
      </c>
      <c r="AR2552" s="8" t="str">
        <f ca="1">IFERROR(__xludf.DUMMYFUNCTION("""COMPUTED_VALUE"""),"NA")</f>
        <v>NA</v>
      </c>
      <c r="AS2552" s="8">
        <f ca="1">IFERROR(__xludf.DUMMYFUNCTION("""COMPUTED_VALUE"""),1)</f>
        <v>1</v>
      </c>
      <c r="AT2552" s="8"/>
      <c r="AU2552" s="8">
        <f ca="1">IFERROR(__xludf.DUMMYFUNCTION("""COMPUTED_VALUE"""),27.514197)</f>
        <v>27.514196999999999</v>
      </c>
      <c r="AV2552" s="8">
        <f ca="1">IFERROR(__xludf.DUMMYFUNCTION("""COMPUTED_VALUE"""),-99.49399)</f>
        <v>-99.493989999999997</v>
      </c>
      <c r="AW2552" s="8"/>
      <c r="AX2552" s="8">
        <f ca="1">IFERROR(__xludf.DUMMYFUNCTION("""COMPUTED_VALUE"""),78040)</f>
        <v>78040</v>
      </c>
    </row>
    <row r="2553" spans="1:50" ht="180" x14ac:dyDescent="0.2">
      <c r="A2553" s="8" t="str">
        <f ca="1">IFERROR(__xludf.DUMMYFUNCTION("""COMPUTED_VALUE"""),"19950614FLLAL")</f>
        <v>19950614FLLAL</v>
      </c>
      <c r="B2553" s="8">
        <f ca="1">IFERROR(__xludf.DUMMYFUNCTION("""COMPUTED_VALUE"""),6)</f>
        <v>6</v>
      </c>
      <c r="C2553" s="8">
        <f ca="1">IFERROR(__xludf.DUMMYFUNCTION("""COMPUTED_VALUE"""),14)</f>
        <v>14</v>
      </c>
      <c r="D2553" s="8">
        <f ca="1">IFERROR(__xludf.DUMMYFUNCTION("""COMPUTED_VALUE"""),1995)</f>
        <v>1995</v>
      </c>
      <c r="E2553" s="9">
        <f ca="1">IFERROR(__xludf.DUMMYFUNCTION("""COMPUTED_VALUE"""),34864)</f>
        <v>34864</v>
      </c>
      <c r="F2553" s="8" t="str">
        <f ca="1">IFERROR(__xludf.DUMMYFUNCTION("""COMPUTED_VALUE"""),"Lake Worth High School")</f>
        <v>Lake Worth High School</v>
      </c>
      <c r="G2553" s="8">
        <f ca="1">IFERROR(__xludf.DUMMYFUNCTION("""COMPUTED_VALUE"""),0)</f>
        <v>0</v>
      </c>
      <c r="H2553" s="8">
        <f ca="1">IFERROR(__xludf.DUMMYFUNCTION("""COMPUTED_VALUE"""),2)</f>
        <v>2</v>
      </c>
      <c r="I2553" s="8">
        <f ca="1">IFERROR(__xludf.DUMMYFUNCTION("""COMPUTED_VALUE"""),2)</f>
        <v>2</v>
      </c>
      <c r="J2553" s="8">
        <f ca="1">IFERROR(__xludf.DUMMYFUNCTION("""COMPUTED_VALUE"""),0)</f>
        <v>0</v>
      </c>
      <c r="K2553" s="8" t="str">
        <f ca="1">IFERROR(__xludf.DUMMYFUNCTION("""COMPUTED_VALUE"""),"https://www.columbine-angels.com/School_Violence_1994-1995.htm https://www.sun-sentinel.com/news/fl-xpm-1995-06-15-9506150119-story.html")</f>
        <v>https://www.columbine-angels.com/School_Violence_1994-1995.htm https://www.sun-sentinel.com/news/fl-xpm-1995-06-15-9506150119-story.html</v>
      </c>
      <c r="L2553" s="8"/>
      <c r="M2553" s="8"/>
      <c r="N2553" s="8">
        <f ca="1">IFERROR(__xludf.DUMMYFUNCTION("""COMPUTED_VALUE"""),1)</f>
        <v>1</v>
      </c>
      <c r="O2553" s="8" t="str">
        <f ca="1">IFERROR(__xludf.DUMMYFUNCTION("""COMPUTED_VALUE"""),"Summer")</f>
        <v>Summer</v>
      </c>
      <c r="P2553" s="8" t="str">
        <f ca="1">IFERROR(__xludf.DUMMYFUNCTION("""COMPUTED_VALUE"""),"Lake Worth")</f>
        <v>Lake Worth</v>
      </c>
      <c r="Q2553" s="8" t="str">
        <f ca="1">IFERROR(__xludf.DUMMYFUNCTION("""COMPUTED_VALUE"""),"FL")</f>
        <v>FL</v>
      </c>
      <c r="R2553" s="8" t="str">
        <f ca="1">IFERROR(__xludf.DUMMYFUNCTION("""COMPUTED_VALUE"""),"High")</f>
        <v>High</v>
      </c>
      <c r="S2553" s="8" t="str">
        <f ca="1">IFERROR(__xludf.DUMMYFUNCTION("""COMPUTED_VALUE"""),"Parking Lot")</f>
        <v>Parking Lot</v>
      </c>
      <c r="T2553" s="8" t="str">
        <f ca="1">IFERROR(__xludf.DUMMYFUNCTION("""COMPUTED_VALUE"""),"Outside on School Property")</f>
        <v>Outside on School Property</v>
      </c>
      <c r="U2553" s="8" t="str">
        <f ca="1">IFERROR(__xludf.DUMMYFUNCTION("""COMPUTED_VALUE"""),"No")</f>
        <v>No</v>
      </c>
      <c r="V2553" s="8" t="str">
        <f ca="1">IFERROR(__xludf.DUMMYFUNCTION("""COMPUTED_VALUE"""),"Dismissal")</f>
        <v>Dismissal</v>
      </c>
      <c r="W2553" s="11">
        <f ca="1">IFERROR(__xludf.DUMMYFUNCTION("""COMPUTED_VALUE"""),0.520833333333333)</f>
        <v>0.52083333333333304</v>
      </c>
      <c r="X2553" s="8">
        <f ca="1">IFERROR(__xludf.DUMMYFUNCTION("""COMPUTED_VALUE"""),1)</f>
        <v>1</v>
      </c>
      <c r="Y2553" s="12" t="str">
        <f ca="1">IFERROR(__xludf.DUMMYFUNCTION("""COMPUTED_VALUE"""),"Shooting in parking lot on the last day of school at dismissal time.")</f>
        <v>Shooting in parking lot on the last day of school at dismissal time.</v>
      </c>
      <c r="Z2553" s="12" t="str">
        <f ca="1">IFERROR(__xludf.DUMMYFUNCTION("""COMPUTED_VALUE"""),"A 19 year-old male, former student and dropout went to the school to pick up his girlfriend. He was waiting by the parking lot steps for her. Male victim was also picking up his girlfriend. When he found her, he brought her to his car and started walking "&amp;"back to campus with 3 other friends to look for someone else. As the male victim approached, the suspect pulled out his gun. When victim turned to run the handgun was fired, striking another female student in her knee from the bullet ricocheting off the c"&amp;"ement. Both had went to a different highschool together and were weightlifting buddies. He fled in his friends car - police arrested him several hours later.")</f>
        <v>A 19 year-old male, former student and dropout went to the school to pick up his girlfriend. He was waiting by the parking lot steps for her. Male victim was also picking up his girlfriend. When he found her, he brought her to his car and started walking back to campus with 3 other friends to look for someone else. As the male victim approached, the suspect pulled out his gun. When victim turned to run the handgun was fired, striking another female student in her knee from the bullet ricocheting off the cement. Both had went to a different highschool together and were weightlifting buddies. He fled in his friends car - police arrested him several hours later.</v>
      </c>
      <c r="AA2553" s="8" t="str">
        <f ca="1">IFERROR(__xludf.DUMMYFUNCTION("""COMPUTED_VALUE"""),"Domestic w/ Targeted Victim")</f>
        <v>Domestic w/ Targeted Victim</v>
      </c>
      <c r="AB2553" s="8"/>
      <c r="AC2553" s="8"/>
      <c r="AD2553" s="8" t="str">
        <f ca="1">IFERROR(__xludf.DUMMYFUNCTION("""COMPUTED_VALUE"""),"Both")</f>
        <v>Both</v>
      </c>
      <c r="AE2553" s="8" t="str">
        <f ca="1">IFERROR(__xludf.DUMMYFUNCTION("""COMPUTED_VALUE"""),"No")</f>
        <v>No</v>
      </c>
      <c r="AF2553" s="8"/>
      <c r="AG2553" s="8" t="str">
        <f ca="1">IFERROR(__xludf.DUMMYFUNCTION("""COMPUTED_VALUE"""),"No")</f>
        <v>No</v>
      </c>
      <c r="AH2553" s="8" t="str">
        <f ca="1">IFERROR(__xludf.DUMMYFUNCTION("""COMPUTED_VALUE"""),"No")</f>
        <v>No</v>
      </c>
      <c r="AI2553" s="8" t="str">
        <f ca="1">IFERROR(__xludf.DUMMYFUNCTION("""COMPUTED_VALUE"""),"No")</f>
        <v>No</v>
      </c>
      <c r="AJ2553" s="8" t="str">
        <f ca="1">IFERROR(__xludf.DUMMYFUNCTION("""COMPUTED_VALUE"""),"No")</f>
        <v>No</v>
      </c>
      <c r="AK2553" s="8" t="str">
        <f ca="1">IFERROR(__xludf.DUMMYFUNCTION("""COMPUTED_VALUE"""),"No")</f>
        <v>No</v>
      </c>
      <c r="AL2553" s="8" t="str">
        <f ca="1">IFERROR(__xludf.DUMMYFUNCTION("""COMPUTED_VALUE"""),"No")</f>
        <v>No</v>
      </c>
      <c r="AM2553" s="8"/>
      <c r="AN2553" s="8"/>
      <c r="AO2553" s="8" t="str">
        <f ca="1">IFERROR(__xludf.DUMMYFUNCTION("""COMPUTED_VALUE"""),"No")</f>
        <v>No</v>
      </c>
      <c r="AP2553" s="8"/>
      <c r="AQ2553" s="8" t="str">
        <f ca="1">IFERROR(__xludf.DUMMYFUNCTION("""COMPUTED_VALUE"""),"Unknown")</f>
        <v>Unknown</v>
      </c>
      <c r="AR2553" s="8" t="str">
        <f ca="1">IFERROR(__xludf.DUMMYFUNCTION("""COMPUTED_VALUE"""),"NA")</f>
        <v>NA</v>
      </c>
      <c r="AS2553" s="8">
        <f ca="1">IFERROR(__xludf.DUMMYFUNCTION("""COMPUTED_VALUE"""),1)</f>
        <v>1</v>
      </c>
      <c r="AT2553" s="8"/>
      <c r="AU2553" s="8">
        <f ca="1">IFERROR(__xludf.DUMMYFUNCTION("""COMPUTED_VALUE"""),26.615818)</f>
        <v>26.615818000000001</v>
      </c>
      <c r="AV2553" s="8">
        <f ca="1">IFERROR(__xludf.DUMMYFUNCTION("""COMPUTED_VALUE"""),-80.0659)</f>
        <v>-80.065899999999999</v>
      </c>
      <c r="AW2553" s="8"/>
      <c r="AX2553" s="8">
        <f ca="1">IFERROR(__xludf.DUMMYFUNCTION("""COMPUTED_VALUE"""),33460)</f>
        <v>33460</v>
      </c>
    </row>
    <row r="2554" spans="1:50" ht="135" x14ac:dyDescent="0.2">
      <c r="A2554" s="8" t="str">
        <f ca="1">IFERROR(__xludf.DUMMYFUNCTION("""COMPUTED_VALUE"""),"19950327MIRED")</f>
        <v>19950327MIRED</v>
      </c>
      <c r="B2554" s="8">
        <f ca="1">IFERROR(__xludf.DUMMYFUNCTION("""COMPUTED_VALUE"""),3)</f>
        <v>3</v>
      </c>
      <c r="C2554" s="8">
        <f ca="1">IFERROR(__xludf.DUMMYFUNCTION("""COMPUTED_VALUE"""),27)</f>
        <v>27</v>
      </c>
      <c r="D2554" s="8">
        <f ca="1">IFERROR(__xludf.DUMMYFUNCTION("""COMPUTED_VALUE"""),1995)</f>
        <v>1995</v>
      </c>
      <c r="E2554" s="9">
        <f ca="1">IFERROR(__xludf.DUMMYFUNCTION("""COMPUTED_VALUE"""),34785)</f>
        <v>34785</v>
      </c>
      <c r="F2554" s="8" t="str">
        <f ca="1">IFERROR(__xludf.DUMMYFUNCTION("""COMPUTED_VALUE"""),"Redford High School")</f>
        <v>Redford High School</v>
      </c>
      <c r="G2554" s="8">
        <f ca="1">IFERROR(__xludf.DUMMYFUNCTION("""COMPUTED_VALUE"""),0)</f>
        <v>0</v>
      </c>
      <c r="H2554" s="8">
        <f ca="1">IFERROR(__xludf.DUMMYFUNCTION("""COMPUTED_VALUE"""),1)</f>
        <v>1</v>
      </c>
      <c r="I2554" s="8">
        <f ca="1">IFERROR(__xludf.DUMMYFUNCTION("""COMPUTED_VALUE"""),1)</f>
        <v>1</v>
      </c>
      <c r="J2554" s="8">
        <f ca="1">IFERROR(__xludf.DUMMYFUNCTION("""COMPUTED_VALUE"""),0)</f>
        <v>0</v>
      </c>
      <c r="K2554" s="8" t="str">
        <f ca="1">IFERROR(__xludf.DUMMYFUNCTION("""COMPUTED_VALUE"""),"https://www.newspapers.com/image/99233823/?terms=student%2Bshot https://crimeindetroit.com/documents/Student%20says%20she%20was%20shot%20by%20Suspect's%20Brother.pdf https://www.crimeindetroit.com/documents/Denby.pdf")</f>
        <v>https://www.newspapers.com/image/99233823/?terms=student%2Bshot https://crimeindetroit.com/documents/Student%20says%20she%20was%20shot%20by%20Suspect's%20Brother.pdf https://www.crimeindetroit.com/documents/Denby.pdf</v>
      </c>
      <c r="L2554" s="8"/>
      <c r="M2554" s="8"/>
      <c r="N2554" s="8">
        <f ca="1">IFERROR(__xludf.DUMMYFUNCTION("""COMPUTED_VALUE"""),2)</f>
        <v>2</v>
      </c>
      <c r="O2554" s="8" t="str">
        <f ca="1">IFERROR(__xludf.DUMMYFUNCTION("""COMPUTED_VALUE"""),"Spring")</f>
        <v>Spring</v>
      </c>
      <c r="P2554" s="8" t="str">
        <f ca="1">IFERROR(__xludf.DUMMYFUNCTION("""COMPUTED_VALUE"""),"Detroit")</f>
        <v>Detroit</v>
      </c>
      <c r="Q2554" s="8" t="str">
        <f ca="1">IFERROR(__xludf.DUMMYFUNCTION("""COMPUTED_VALUE"""),"MI")</f>
        <v>MI</v>
      </c>
      <c r="R2554" s="8" t="str">
        <f ca="1">IFERROR(__xludf.DUMMYFUNCTION("""COMPUTED_VALUE"""),"High")</f>
        <v>High</v>
      </c>
      <c r="S2554" s="8" t="str">
        <f ca="1">IFERROR(__xludf.DUMMYFUNCTION("""COMPUTED_VALUE"""),"Hallway")</f>
        <v>Hallway</v>
      </c>
      <c r="T2554" s="8" t="str">
        <f ca="1">IFERROR(__xludf.DUMMYFUNCTION("""COMPUTED_VALUE"""),"Inside School Building")</f>
        <v>Inside School Building</v>
      </c>
      <c r="U2554" s="8" t="str">
        <f ca="1">IFERROR(__xludf.DUMMYFUNCTION("""COMPUTED_VALUE"""),"Yes")</f>
        <v>Yes</v>
      </c>
      <c r="V2554" s="8" t="str">
        <f ca="1">IFERROR(__xludf.DUMMYFUNCTION("""COMPUTED_VALUE"""),"Morning Classes")</f>
        <v>Morning Classes</v>
      </c>
      <c r="W2554" s="11">
        <f ca="1">IFERROR(__xludf.DUMMYFUNCTION("""COMPUTED_VALUE"""),0.416666666666666)</f>
        <v>0.41666666666666602</v>
      </c>
      <c r="X2554" s="8">
        <f ca="1">IFERROR(__xludf.DUMMYFUNCTION("""COMPUTED_VALUE"""),1)</f>
        <v>1</v>
      </c>
      <c r="Y2554" s="12" t="str">
        <f ca="1">IFERROR(__xludf.DUMMYFUNCTION("""COMPUTED_VALUE"""),"A gun was dropped and went off in the hallway.")</f>
        <v>A gun was dropped and went off in the hallway.</v>
      </c>
      <c r="Z2554" s="12" t="str">
        <f ca="1">IFERROR(__xludf.DUMMYFUNCTION("""COMPUTED_VALUE"""),"A 15 year-old female was shot in the leg when a gang member was removing his gun from his locker and dropped it, causing it to go off in the hallway. The person she allegedly identified as the shooter confessed and was charged, but later told police it wa"&amp;"s his brother. She made a false statement to police about the identify of the shooter due to fear of retribution. Police arrested the shooter in school and told police he had disposed of the gun, which was later found in a field nearby.")</f>
        <v>A 15 year-old female was shot in the leg when a gang member was removing his gun from his locker and dropped it, causing it to go off in the hallway. The person she allegedly identified as the shooter confessed and was charged, but later told police it was his brother. She made a false statement to police about the identify of the shooter due to fear of retribution. Police arrested the shooter in school and told police he had disposed of the gun, which was later found in a field nearby.</v>
      </c>
      <c r="AA2554" s="8" t="str">
        <f ca="1">IFERROR(__xludf.DUMMYFUNCTION("""COMPUTED_VALUE"""),"Accidental")</f>
        <v>Accidental</v>
      </c>
      <c r="AB2554" s="8"/>
      <c r="AC2554" s="8"/>
      <c r="AD2554" s="8" t="str">
        <f ca="1">IFERROR(__xludf.DUMMYFUNCTION("""COMPUTED_VALUE"""),"Victims Targeted")</f>
        <v>Victims Targeted</v>
      </c>
      <c r="AE2554" s="8" t="str">
        <f ca="1">IFERROR(__xludf.DUMMYFUNCTION("""COMPUTED_VALUE"""),"No")</f>
        <v>No</v>
      </c>
      <c r="AF2554" s="8"/>
      <c r="AG2554" s="8" t="str">
        <f ca="1">IFERROR(__xludf.DUMMYFUNCTION("""COMPUTED_VALUE"""),"No")</f>
        <v>No</v>
      </c>
      <c r="AH2554" s="8" t="str">
        <f ca="1">IFERROR(__xludf.DUMMYFUNCTION("""COMPUTED_VALUE"""),"No")</f>
        <v>No</v>
      </c>
      <c r="AI2554" s="8" t="str">
        <f ca="1">IFERROR(__xludf.DUMMYFUNCTION("""COMPUTED_VALUE"""),"No")</f>
        <v>No</v>
      </c>
      <c r="AJ2554" s="8" t="str">
        <f ca="1">IFERROR(__xludf.DUMMYFUNCTION("""COMPUTED_VALUE"""),"No")</f>
        <v>No</v>
      </c>
      <c r="AK2554" s="8" t="str">
        <f ca="1">IFERROR(__xludf.DUMMYFUNCTION("""COMPUTED_VALUE"""),"No")</f>
        <v>No</v>
      </c>
      <c r="AL2554" s="8" t="str">
        <f ca="1">IFERROR(__xludf.DUMMYFUNCTION("""COMPUTED_VALUE"""),"Yes")</f>
        <v>Yes</v>
      </c>
      <c r="AM2554" s="8" t="str">
        <f ca="1">IFERROR(__xludf.DUMMYFUNCTION("""COMPUTED_VALUE"""),"No")</f>
        <v>No</v>
      </c>
      <c r="AN2554" s="8"/>
      <c r="AO2554" s="8" t="str">
        <f ca="1">IFERROR(__xludf.DUMMYFUNCTION("""COMPUTED_VALUE"""),"No")</f>
        <v>No</v>
      </c>
      <c r="AP2554" s="8"/>
      <c r="AQ2554" s="8" t="str">
        <f ca="1">IFERROR(__xludf.DUMMYFUNCTION("""COMPUTED_VALUE"""),"Unknown")</f>
        <v>Unknown</v>
      </c>
      <c r="AR2554" s="8" t="str">
        <f ca="1">IFERROR(__xludf.DUMMYFUNCTION("""COMPUTED_VALUE"""),"NA")</f>
        <v>NA</v>
      </c>
      <c r="AS2554" s="8">
        <f ca="1">IFERROR(__xludf.DUMMYFUNCTION("""COMPUTED_VALUE"""),1)</f>
        <v>1</v>
      </c>
      <c r="AT2554" s="8"/>
      <c r="AU2554" s="8">
        <f ca="1">IFERROR(__xludf.DUMMYFUNCTION("""COMPUTED_VALUE"""),42.412516)</f>
        <v>42.412515999999997</v>
      </c>
      <c r="AV2554" s="8">
        <f ca="1">IFERROR(__xludf.DUMMYFUNCTION("""COMPUTED_VALUE"""),-83.252961)</f>
        <v>-83.252960999999999</v>
      </c>
      <c r="AW2554" s="8"/>
      <c r="AX2554" s="8">
        <f ca="1">IFERROR(__xludf.DUMMYFUNCTION("""COMPUTED_VALUE"""),48219)</f>
        <v>48219</v>
      </c>
    </row>
    <row r="2555" spans="1:50" ht="30" x14ac:dyDescent="0.2">
      <c r="A2555" s="8" t="str">
        <f ca="1">IFERROR(__xludf.DUMMYFUNCTION("""COMPUTED_VALUE"""),"19950327MIPED")</f>
        <v>19950327MIPED</v>
      </c>
      <c r="B2555" s="8">
        <f ca="1">IFERROR(__xludf.DUMMYFUNCTION("""COMPUTED_VALUE"""),3)</f>
        <v>3</v>
      </c>
      <c r="C2555" s="8">
        <f ca="1">IFERROR(__xludf.DUMMYFUNCTION("""COMPUTED_VALUE"""),27)</f>
        <v>27</v>
      </c>
      <c r="D2555" s="8">
        <f ca="1">IFERROR(__xludf.DUMMYFUNCTION("""COMPUTED_VALUE"""),1995)</f>
        <v>1995</v>
      </c>
      <c r="E2555" s="9">
        <f ca="1">IFERROR(__xludf.DUMMYFUNCTION("""COMPUTED_VALUE"""),34785)</f>
        <v>34785</v>
      </c>
      <c r="F2555" s="8" t="str">
        <f ca="1">IFERROR(__xludf.DUMMYFUNCTION("""COMPUTED_VALUE"""),"Pershing High School")</f>
        <v>Pershing High School</v>
      </c>
      <c r="G2555" s="8">
        <f ca="1">IFERROR(__xludf.DUMMYFUNCTION("""COMPUTED_VALUE"""),0)</f>
        <v>0</v>
      </c>
      <c r="H2555" s="8">
        <f ca="1">IFERROR(__xludf.DUMMYFUNCTION("""COMPUTED_VALUE"""),2)</f>
        <v>2</v>
      </c>
      <c r="I2555" s="8">
        <f ca="1">IFERROR(__xludf.DUMMYFUNCTION("""COMPUTED_VALUE"""),2)</f>
        <v>2</v>
      </c>
      <c r="J2555" s="8">
        <f ca="1">IFERROR(__xludf.DUMMYFUNCTION("""COMPUTED_VALUE"""),0)</f>
        <v>0</v>
      </c>
      <c r="K2555" s="10" t="str">
        <f ca="1">IFERROR(__xludf.DUMMYFUNCTION("""COMPUTED_VALUE"""),"https://www.detroitnews.com/story/news/local/oakland-county/2021/11/30/school-shootings-michigan-oxford-high-school-history-bath-school-bombing/8812624002/")</f>
        <v>https://www.detroitnews.com/story/news/local/oakland-county/2021/11/30/school-shootings-michigan-oxford-high-school-history-bath-school-bombing/8812624002/</v>
      </c>
      <c r="L2555" s="8"/>
      <c r="M2555" s="8" t="str">
        <f ca="1">IFERROR(__xludf.DUMMYFUNCTION("""COMPUTED_VALUE"""),"Local")</f>
        <v>Local</v>
      </c>
      <c r="N2555" s="8">
        <f ca="1">IFERROR(__xludf.DUMMYFUNCTION("""COMPUTED_VALUE"""),3)</f>
        <v>3</v>
      </c>
      <c r="O2555" s="8" t="str">
        <f ca="1">IFERROR(__xludf.DUMMYFUNCTION("""COMPUTED_VALUE"""),"Spring")</f>
        <v>Spring</v>
      </c>
      <c r="P2555" s="8" t="str">
        <f ca="1">IFERROR(__xludf.DUMMYFUNCTION("""COMPUTED_VALUE"""),"Detroit")</f>
        <v>Detroit</v>
      </c>
      <c r="Q2555" s="8" t="str">
        <f ca="1">IFERROR(__xludf.DUMMYFUNCTION("""COMPUTED_VALUE"""),"MI")</f>
        <v>MI</v>
      </c>
      <c r="R2555" s="8" t="str">
        <f ca="1">IFERROR(__xludf.DUMMYFUNCTION("""COMPUTED_VALUE"""),"High")</f>
        <v>High</v>
      </c>
      <c r="S2555" s="8" t="str">
        <f ca="1">IFERROR(__xludf.DUMMYFUNCTION("""COMPUTED_VALUE"""),"Inside School Building")</f>
        <v>Inside School Building</v>
      </c>
      <c r="T2555" s="8" t="str">
        <f ca="1">IFERROR(__xludf.DUMMYFUNCTION("""COMPUTED_VALUE"""),"Inside School Building")</f>
        <v>Inside School Building</v>
      </c>
      <c r="U2555" s="8" t="str">
        <f ca="1">IFERROR(__xludf.DUMMYFUNCTION("""COMPUTED_VALUE"""),"Yes")</f>
        <v>Yes</v>
      </c>
      <c r="V2555" s="8"/>
      <c r="W2555" s="8"/>
      <c r="X2555" s="8">
        <f ca="1">IFERROR(__xludf.DUMMYFUNCTION("""COMPUTED_VALUE"""),1)</f>
        <v>1</v>
      </c>
      <c r="Y2555" s="12" t="str">
        <f ca="1">IFERROR(__xludf.DUMMYFUNCTION("""COMPUTED_VALUE"""),"Two students shot inside school")</f>
        <v>Two students shot inside school</v>
      </c>
      <c r="Z2555" s="12" t="str">
        <f ca="1">IFERROR(__xludf.DUMMYFUNCTION("""COMPUTED_VALUE"""),"Two students shot inside school")</f>
        <v>Two students shot inside school</v>
      </c>
      <c r="AA2555" s="8"/>
      <c r="AB2555" s="8"/>
      <c r="AC2555" s="8"/>
      <c r="AD2555" s="8"/>
      <c r="AE2555" s="8"/>
      <c r="AF2555" s="8"/>
      <c r="AG2555" s="8" t="str">
        <f ca="1">IFERROR(__xludf.DUMMYFUNCTION("""COMPUTED_VALUE"""),"No")</f>
        <v>No</v>
      </c>
      <c r="AH2555" s="8" t="str">
        <f ca="1">IFERROR(__xludf.DUMMYFUNCTION("""COMPUTED_VALUE"""),"No")</f>
        <v>No</v>
      </c>
      <c r="AI2555" s="8" t="str">
        <f ca="1">IFERROR(__xludf.DUMMYFUNCTION("""COMPUTED_VALUE"""),"No")</f>
        <v>No</v>
      </c>
      <c r="AJ2555" s="8" t="str">
        <f ca="1">IFERROR(__xludf.DUMMYFUNCTION("""COMPUTED_VALUE"""),"No")</f>
        <v>No</v>
      </c>
      <c r="AK2555" s="8" t="str">
        <f ca="1">IFERROR(__xludf.DUMMYFUNCTION("""COMPUTED_VALUE"""),"No")</f>
        <v>No</v>
      </c>
      <c r="AL2555" s="8" t="str">
        <f ca="1">IFERROR(__xludf.DUMMYFUNCTION("""COMPUTED_VALUE"""),"Yes")</f>
        <v>Yes</v>
      </c>
      <c r="AM2555" s="8" t="str">
        <f ca="1">IFERROR(__xludf.DUMMYFUNCTION("""COMPUTED_VALUE"""),"No")</f>
        <v>No</v>
      </c>
      <c r="AN2555" s="8"/>
      <c r="AO2555" s="8" t="str">
        <f ca="1">IFERROR(__xludf.DUMMYFUNCTION("""COMPUTED_VALUE"""),"No")</f>
        <v>No</v>
      </c>
      <c r="AP2555" s="8"/>
      <c r="AQ2555" s="8"/>
      <c r="AR2555" s="8"/>
      <c r="AS2555" s="8"/>
      <c r="AT2555" s="8"/>
      <c r="AU2555" s="8">
        <f ca="1">IFERROR(__xludf.DUMMYFUNCTION("""COMPUTED_VALUE"""),42.432841)</f>
        <v>42.432841000000003</v>
      </c>
      <c r="AV2555" s="8">
        <f ca="1">IFERROR(__xludf.DUMMYFUNCTION("""COMPUTED_VALUE"""),-83.06487)</f>
        <v>-83.064869999999999</v>
      </c>
      <c r="AW2555" s="8"/>
      <c r="AX2555" s="8">
        <f ca="1">IFERROR(__xludf.DUMMYFUNCTION("""COMPUTED_VALUE"""),48234)</f>
        <v>48234</v>
      </c>
    </row>
    <row r="2556" spans="1:50" ht="30" x14ac:dyDescent="0.2">
      <c r="A2556" s="8" t="str">
        <f ca="1">IFERROR(__xludf.DUMMYFUNCTION("""COMPUTED_VALUE"""),"19950327MIDED")</f>
        <v>19950327MIDED</v>
      </c>
      <c r="B2556" s="8">
        <f ca="1">IFERROR(__xludf.DUMMYFUNCTION("""COMPUTED_VALUE"""),3)</f>
        <v>3</v>
      </c>
      <c r="C2556" s="8">
        <f ca="1">IFERROR(__xludf.DUMMYFUNCTION("""COMPUTED_VALUE"""),27)</f>
        <v>27</v>
      </c>
      <c r="D2556" s="8">
        <f ca="1">IFERROR(__xludf.DUMMYFUNCTION("""COMPUTED_VALUE"""),1995)</f>
        <v>1995</v>
      </c>
      <c r="E2556" s="9">
        <f ca="1">IFERROR(__xludf.DUMMYFUNCTION("""COMPUTED_VALUE"""),34785)</f>
        <v>34785</v>
      </c>
      <c r="F2556" s="8" t="str">
        <f ca="1">IFERROR(__xludf.DUMMYFUNCTION("""COMPUTED_VALUE"""),"Denby High School")</f>
        <v>Denby High School</v>
      </c>
      <c r="G2556" s="8">
        <f ca="1">IFERROR(__xludf.DUMMYFUNCTION("""COMPUTED_VALUE"""),0)</f>
        <v>0</v>
      </c>
      <c r="H2556" s="8">
        <f ca="1">IFERROR(__xludf.DUMMYFUNCTION("""COMPUTED_VALUE"""),1)</f>
        <v>1</v>
      </c>
      <c r="I2556" s="8">
        <f ca="1">IFERROR(__xludf.DUMMYFUNCTION("""COMPUTED_VALUE"""),1)</f>
        <v>1</v>
      </c>
      <c r="J2556" s="8">
        <f ca="1">IFERROR(__xludf.DUMMYFUNCTION("""COMPUTED_VALUE"""),0)</f>
        <v>0</v>
      </c>
      <c r="K2556" s="10" t="str">
        <f ca="1">IFERROR(__xludf.DUMMYFUNCTION("""COMPUTED_VALUE"""),"https://www.detroitnews.com/story/news/local/oakland-county/2021/11/30/school-shootings-michigan-oxford-high-school-history-bath-school-bombing/8812624002/")</f>
        <v>https://www.detroitnews.com/story/news/local/oakland-county/2021/11/30/school-shootings-michigan-oxford-high-school-history-bath-school-bombing/8812624002/</v>
      </c>
      <c r="L2556" s="8"/>
      <c r="M2556" s="8" t="str">
        <f ca="1">IFERROR(__xludf.DUMMYFUNCTION("""COMPUTED_VALUE"""),"Local")</f>
        <v>Local</v>
      </c>
      <c r="N2556" s="8">
        <f ca="1">IFERROR(__xludf.DUMMYFUNCTION("""COMPUTED_VALUE"""),3)</f>
        <v>3</v>
      </c>
      <c r="O2556" s="8" t="str">
        <f ca="1">IFERROR(__xludf.DUMMYFUNCTION("""COMPUTED_VALUE"""),"Spring")</f>
        <v>Spring</v>
      </c>
      <c r="P2556" s="8" t="str">
        <f ca="1">IFERROR(__xludf.DUMMYFUNCTION("""COMPUTED_VALUE"""),"Detroit")</f>
        <v>Detroit</v>
      </c>
      <c r="Q2556" s="8" t="str">
        <f ca="1">IFERROR(__xludf.DUMMYFUNCTION("""COMPUTED_VALUE"""),"MI")</f>
        <v>MI</v>
      </c>
      <c r="R2556" s="8" t="str">
        <f ca="1">IFERROR(__xludf.DUMMYFUNCTION("""COMPUTED_VALUE"""),"High")</f>
        <v>High</v>
      </c>
      <c r="S2556" s="8" t="str">
        <f ca="1">IFERROR(__xludf.DUMMYFUNCTION("""COMPUTED_VALUE"""),"Inside School Building")</f>
        <v>Inside School Building</v>
      </c>
      <c r="T2556" s="8" t="str">
        <f ca="1">IFERROR(__xludf.DUMMYFUNCTION("""COMPUTED_VALUE"""),"Inside School Building")</f>
        <v>Inside School Building</v>
      </c>
      <c r="U2556" s="8" t="str">
        <f ca="1">IFERROR(__xludf.DUMMYFUNCTION("""COMPUTED_VALUE"""),"Yes")</f>
        <v>Yes</v>
      </c>
      <c r="V2556" s="8"/>
      <c r="W2556" s="8"/>
      <c r="X2556" s="8">
        <f ca="1">IFERROR(__xludf.DUMMYFUNCTION("""COMPUTED_VALUE"""),1)</f>
        <v>1</v>
      </c>
      <c r="Y2556" s="12" t="str">
        <f ca="1">IFERROR(__xludf.DUMMYFUNCTION("""COMPUTED_VALUE"""),"One student shot inside school")</f>
        <v>One student shot inside school</v>
      </c>
      <c r="Z2556" s="12" t="str">
        <f ca="1">IFERROR(__xludf.DUMMYFUNCTION("""COMPUTED_VALUE"""),"One student shot inside school")</f>
        <v>One student shot inside school</v>
      </c>
      <c r="AA2556" s="8"/>
      <c r="AB2556" s="8"/>
      <c r="AC2556" s="8"/>
      <c r="AD2556" s="8"/>
      <c r="AE2556" s="8"/>
      <c r="AF2556" s="8"/>
      <c r="AG2556" s="8" t="str">
        <f ca="1">IFERROR(__xludf.DUMMYFUNCTION("""COMPUTED_VALUE"""),"No")</f>
        <v>No</v>
      </c>
      <c r="AH2556" s="8" t="str">
        <f ca="1">IFERROR(__xludf.DUMMYFUNCTION("""COMPUTED_VALUE"""),"No")</f>
        <v>No</v>
      </c>
      <c r="AI2556" s="8" t="str">
        <f ca="1">IFERROR(__xludf.DUMMYFUNCTION("""COMPUTED_VALUE"""),"No")</f>
        <v>No</v>
      </c>
      <c r="AJ2556" s="8" t="str">
        <f ca="1">IFERROR(__xludf.DUMMYFUNCTION("""COMPUTED_VALUE"""),"No")</f>
        <v>No</v>
      </c>
      <c r="AK2556" s="8" t="str">
        <f ca="1">IFERROR(__xludf.DUMMYFUNCTION("""COMPUTED_VALUE"""),"No")</f>
        <v>No</v>
      </c>
      <c r="AL2556" s="8" t="str">
        <f ca="1">IFERROR(__xludf.DUMMYFUNCTION("""COMPUTED_VALUE"""),"Yes")</f>
        <v>Yes</v>
      </c>
      <c r="AM2556" s="8" t="str">
        <f ca="1">IFERROR(__xludf.DUMMYFUNCTION("""COMPUTED_VALUE"""),"No")</f>
        <v>No</v>
      </c>
      <c r="AN2556" s="8"/>
      <c r="AO2556" s="8" t="str">
        <f ca="1">IFERROR(__xludf.DUMMYFUNCTION("""COMPUTED_VALUE"""),"No")</f>
        <v>No</v>
      </c>
      <c r="AP2556" s="8"/>
      <c r="AQ2556" s="8"/>
      <c r="AR2556" s="8"/>
      <c r="AS2556" s="8"/>
      <c r="AT2556" s="8"/>
      <c r="AU2556" s="8">
        <f ca="1">IFERROR(__xludf.DUMMYFUNCTION("""COMPUTED_VALUE"""),42.425006)</f>
        <v>42.425006000000003</v>
      </c>
      <c r="AV2556" s="8">
        <f ca="1">IFERROR(__xludf.DUMMYFUNCTION("""COMPUTED_VALUE"""),-82.957982)</f>
        <v>-82.957982000000001</v>
      </c>
      <c r="AW2556" s="8"/>
      <c r="AX2556" s="8">
        <f ca="1">IFERROR(__xludf.DUMMYFUNCTION("""COMPUTED_VALUE"""),48224)</f>
        <v>48224</v>
      </c>
    </row>
    <row r="2557" spans="1:50" ht="45" x14ac:dyDescent="0.2">
      <c r="A2557" s="8" t="str">
        <f ca="1">IFERROR(__xludf.DUMMYFUNCTION("""COMPUTED_VALUE"""),"19950303MIPED")</f>
        <v>19950303MIPED</v>
      </c>
      <c r="B2557" s="8">
        <f ca="1">IFERROR(__xludf.DUMMYFUNCTION("""COMPUTED_VALUE"""),3)</f>
        <v>3</v>
      </c>
      <c r="C2557" s="8">
        <f ca="1">IFERROR(__xludf.DUMMYFUNCTION("""COMPUTED_VALUE"""),3)</f>
        <v>3</v>
      </c>
      <c r="D2557" s="8">
        <f ca="1">IFERROR(__xludf.DUMMYFUNCTION("""COMPUTED_VALUE"""),1995)</f>
        <v>1995</v>
      </c>
      <c r="E2557" s="9">
        <f ca="1">IFERROR(__xludf.DUMMYFUNCTION("""COMPUTED_VALUE"""),34761)</f>
        <v>34761</v>
      </c>
      <c r="F2557" s="8" t="str">
        <f ca="1">IFERROR(__xludf.DUMMYFUNCTION("""COMPUTED_VALUE"""),"Pershing High School")</f>
        <v>Pershing High School</v>
      </c>
      <c r="G2557" s="8">
        <f ca="1">IFERROR(__xludf.DUMMYFUNCTION("""COMPUTED_VALUE"""),0)</f>
        <v>0</v>
      </c>
      <c r="H2557" s="8">
        <f ca="1">IFERROR(__xludf.DUMMYFUNCTION("""COMPUTED_VALUE"""),1)</f>
        <v>1</v>
      </c>
      <c r="I2557" s="8">
        <f ca="1">IFERROR(__xludf.DUMMYFUNCTION("""COMPUTED_VALUE"""),1)</f>
        <v>1</v>
      </c>
      <c r="J2557" s="8">
        <f ca="1">IFERROR(__xludf.DUMMYFUNCTION("""COMPUTED_VALUE"""),0)</f>
        <v>0</v>
      </c>
      <c r="K2557" s="8" t="str">
        <f ca="1">IFERROR(__xludf.DUMMYFUNCTION("""COMPUTED_VALUE"""),"https://www.crimeindetroit.com/documents/Denby.pdf https://www.newspapers.com/image/99271023/")</f>
        <v>https://www.crimeindetroit.com/documents/Denby.pdf https://www.newspapers.com/image/99271023/</v>
      </c>
      <c r="L2557" s="8"/>
      <c r="M2557" s="8"/>
      <c r="N2557" s="8">
        <f ca="1">IFERROR(__xludf.DUMMYFUNCTION("""COMPUTED_VALUE"""),3)</f>
        <v>3</v>
      </c>
      <c r="O2557" s="8" t="str">
        <f ca="1">IFERROR(__xludf.DUMMYFUNCTION("""COMPUTED_VALUE"""),"Spring")</f>
        <v>Spring</v>
      </c>
      <c r="P2557" s="8" t="str">
        <f ca="1">IFERROR(__xludf.DUMMYFUNCTION("""COMPUTED_VALUE"""),"Detroit")</f>
        <v>Detroit</v>
      </c>
      <c r="Q2557" s="8" t="str">
        <f ca="1">IFERROR(__xludf.DUMMYFUNCTION("""COMPUTED_VALUE"""),"MI")</f>
        <v>MI</v>
      </c>
      <c r="R2557" s="8" t="str">
        <f ca="1">IFERROR(__xludf.DUMMYFUNCTION("""COMPUTED_VALUE"""),"High")</f>
        <v>High</v>
      </c>
      <c r="S2557" s="8" t="str">
        <f ca="1">IFERROR(__xludf.DUMMYFUNCTION("""COMPUTED_VALUE"""),"Hallway")</f>
        <v>Hallway</v>
      </c>
      <c r="T2557" s="8" t="str">
        <f ca="1">IFERROR(__xludf.DUMMYFUNCTION("""COMPUTED_VALUE"""),"Inside School Building")</f>
        <v>Inside School Building</v>
      </c>
      <c r="U2557" s="8" t="str">
        <f ca="1">IFERROR(__xludf.DUMMYFUNCTION("""COMPUTED_VALUE"""),"Yes")</f>
        <v>Yes</v>
      </c>
      <c r="V2557" s="8" t="str">
        <f ca="1">IFERROR(__xludf.DUMMYFUNCTION("""COMPUTED_VALUE"""),"Afternoon Classes")</f>
        <v>Afternoon Classes</v>
      </c>
      <c r="W2557" s="11">
        <f ca="1">IFERROR(__xludf.DUMMYFUNCTION("""COMPUTED_VALUE"""),0.583333333333333)</f>
        <v>0.58333333333333304</v>
      </c>
      <c r="X2557" s="8">
        <f ca="1">IFERROR(__xludf.DUMMYFUNCTION("""COMPUTED_VALUE"""),1)</f>
        <v>1</v>
      </c>
      <c r="Y2557" s="12" t="str">
        <f ca="1">IFERROR(__xludf.DUMMYFUNCTION("""COMPUTED_VALUE"""),"16-year-old student shot 4 times in the chest")</f>
        <v>16-year-old student shot 4 times in the chest</v>
      </c>
      <c r="Z2557" s="12" t="str">
        <f ca="1">IFERROR(__xludf.DUMMYFUNCTION("""COMPUTED_VALUE"""),"16 year-old student was shot 4 times by an unknown shooter in a back hallway of the school. No other details available.")</f>
        <v>16 year-old student was shot 4 times by an unknown shooter in a back hallway of the school. No other details available.</v>
      </c>
      <c r="AA2557" s="8" t="str">
        <f ca="1">IFERROR(__xludf.DUMMYFUNCTION("""COMPUTED_VALUE"""),"Escalation of Dispute")</f>
        <v>Escalation of Dispute</v>
      </c>
      <c r="AB2557" s="8"/>
      <c r="AC2557" s="8"/>
      <c r="AD2557" s="8" t="str">
        <f ca="1">IFERROR(__xludf.DUMMYFUNCTION("""COMPUTED_VALUE"""),"Victims Targeted")</f>
        <v>Victims Targeted</v>
      </c>
      <c r="AE2557" s="8" t="str">
        <f ca="1">IFERROR(__xludf.DUMMYFUNCTION("""COMPUTED_VALUE"""),"No")</f>
        <v>No</v>
      </c>
      <c r="AF2557" s="8"/>
      <c r="AG2557" s="8" t="str">
        <f ca="1">IFERROR(__xludf.DUMMYFUNCTION("""COMPUTED_VALUE"""),"No")</f>
        <v>No</v>
      </c>
      <c r="AH2557" s="8" t="str">
        <f ca="1">IFERROR(__xludf.DUMMYFUNCTION("""COMPUTED_VALUE"""),"No")</f>
        <v>No</v>
      </c>
      <c r="AI2557" s="8" t="str">
        <f ca="1">IFERROR(__xludf.DUMMYFUNCTION("""COMPUTED_VALUE"""),"No")</f>
        <v>No</v>
      </c>
      <c r="AJ2557" s="8" t="str">
        <f ca="1">IFERROR(__xludf.DUMMYFUNCTION("""COMPUTED_VALUE"""),"No")</f>
        <v>No</v>
      </c>
      <c r="AK2557" s="8" t="str">
        <f ca="1">IFERROR(__xludf.DUMMYFUNCTION("""COMPUTED_VALUE"""),"No")</f>
        <v>No</v>
      </c>
      <c r="AL2557" s="8"/>
      <c r="AM2557" s="8" t="str">
        <f ca="1">IFERROR(__xludf.DUMMYFUNCTION("""COMPUTED_VALUE"""),"No")</f>
        <v>No</v>
      </c>
      <c r="AN2557" s="8"/>
      <c r="AO2557" s="8" t="str">
        <f ca="1">IFERROR(__xludf.DUMMYFUNCTION("""COMPUTED_VALUE"""),"No")</f>
        <v>No</v>
      </c>
      <c r="AP2557" s="8"/>
      <c r="AQ2557" s="8" t="str">
        <f ca="1">IFERROR(__xludf.DUMMYFUNCTION("""COMPUTED_VALUE"""),"Unknown")</f>
        <v>Unknown</v>
      </c>
      <c r="AR2557" s="8" t="str">
        <f ca="1">IFERROR(__xludf.DUMMYFUNCTION("""COMPUTED_VALUE"""),"NA")</f>
        <v>NA</v>
      </c>
      <c r="AS2557" s="8">
        <f ca="1">IFERROR(__xludf.DUMMYFUNCTION("""COMPUTED_VALUE"""),4)</f>
        <v>4</v>
      </c>
      <c r="AT2557" s="8"/>
      <c r="AU2557" s="8">
        <f ca="1">IFERROR(__xludf.DUMMYFUNCTION("""COMPUTED_VALUE"""),42.432152)</f>
        <v>42.432152000000002</v>
      </c>
      <c r="AV2557" s="8">
        <f ca="1">IFERROR(__xludf.DUMMYFUNCTION("""COMPUTED_VALUE"""),-83.063765)</f>
        <v>-83.063765000000004</v>
      </c>
      <c r="AW2557" s="8"/>
      <c r="AX2557" s="8">
        <f ca="1">IFERROR(__xludf.DUMMYFUNCTION("""COMPUTED_VALUE"""),48234)</f>
        <v>48234</v>
      </c>
    </row>
    <row r="2558" spans="1:50" ht="90" x14ac:dyDescent="0.2">
      <c r="A2558" s="8" t="str">
        <f ca="1">IFERROR(__xludf.DUMMYFUNCTION("""COMPUTED_VALUE"""),"19950208NECHS")</f>
        <v>19950208NECHS</v>
      </c>
      <c r="B2558" s="8">
        <f ca="1">IFERROR(__xludf.DUMMYFUNCTION("""COMPUTED_VALUE"""),2)</f>
        <v>2</v>
      </c>
      <c r="C2558" s="8">
        <f ca="1">IFERROR(__xludf.DUMMYFUNCTION("""COMPUTED_VALUE"""),8)</f>
        <v>8</v>
      </c>
      <c r="D2558" s="8">
        <f ca="1">IFERROR(__xludf.DUMMYFUNCTION("""COMPUTED_VALUE"""),1995)</f>
        <v>1995</v>
      </c>
      <c r="E2558" s="9">
        <f ca="1">IFERROR(__xludf.DUMMYFUNCTION("""COMPUTED_VALUE"""),34738)</f>
        <v>34738</v>
      </c>
      <c r="F2558" s="8" t="str">
        <f ca="1">IFERROR(__xludf.DUMMYFUNCTION("""COMPUTED_VALUE"""),"Chadron Middle School")</f>
        <v>Chadron Middle School</v>
      </c>
      <c r="G2558" s="8">
        <f ca="1">IFERROR(__xludf.DUMMYFUNCTION("""COMPUTED_VALUE"""),0)</f>
        <v>0</v>
      </c>
      <c r="H2558" s="8">
        <f ca="1">IFERROR(__xludf.DUMMYFUNCTION("""COMPUTED_VALUE"""),1)</f>
        <v>1</v>
      </c>
      <c r="I2558" s="8">
        <f ca="1">IFERROR(__xludf.DUMMYFUNCTION("""COMPUTED_VALUE"""),1)</f>
        <v>1</v>
      </c>
      <c r="J2558" s="8">
        <f ca="1">IFERROR(__xludf.DUMMYFUNCTION("""COMPUTED_VALUE"""),0)</f>
        <v>0</v>
      </c>
      <c r="K2558" s="10" t="str">
        <f ca="1">IFERROR(__xludf.DUMMYFUNCTION("""COMPUTED_VALUE"""),"https://apnews.com/a07c45ae91ad4f448d560abb24e292f1")</f>
        <v>https://apnews.com/a07c45ae91ad4f448d560abb24e292f1</v>
      </c>
      <c r="L2558" s="8"/>
      <c r="M2558" s="8"/>
      <c r="N2558" s="8">
        <f ca="1">IFERROR(__xludf.DUMMYFUNCTION("""COMPUTED_VALUE"""),2)</f>
        <v>2</v>
      </c>
      <c r="O2558" s="8" t="str">
        <f ca="1">IFERROR(__xludf.DUMMYFUNCTION("""COMPUTED_VALUE"""),"Winter")</f>
        <v>Winter</v>
      </c>
      <c r="P2558" s="8" t="str">
        <f ca="1">IFERROR(__xludf.DUMMYFUNCTION("""COMPUTED_VALUE"""),"Scottsbluff")</f>
        <v>Scottsbluff</v>
      </c>
      <c r="Q2558" s="8" t="str">
        <f ca="1">IFERROR(__xludf.DUMMYFUNCTION("""COMPUTED_VALUE"""),"NE")</f>
        <v>NE</v>
      </c>
      <c r="R2558" s="8" t="str">
        <f ca="1">IFERROR(__xludf.DUMMYFUNCTION("""COMPUTED_VALUE"""),"Middle")</f>
        <v>Middle</v>
      </c>
      <c r="S2558" s="8" t="str">
        <f ca="1">IFERROR(__xludf.DUMMYFUNCTION("""COMPUTED_VALUE"""),"Classroom")</f>
        <v>Classroom</v>
      </c>
      <c r="T2558" s="8" t="str">
        <f ca="1">IFERROR(__xludf.DUMMYFUNCTION("""COMPUTED_VALUE"""),"Inside School Building")</f>
        <v>Inside School Building</v>
      </c>
      <c r="U2558" s="8" t="str">
        <f ca="1">IFERROR(__xludf.DUMMYFUNCTION("""COMPUTED_VALUE"""),"Yes")</f>
        <v>Yes</v>
      </c>
      <c r="V2558" s="8" t="str">
        <f ca="1">IFERROR(__xludf.DUMMYFUNCTION("""COMPUTED_VALUE"""),"Morning Classes")</f>
        <v>Morning Classes</v>
      </c>
      <c r="W2558" s="8"/>
      <c r="X2558" s="8">
        <f ca="1">IFERROR(__xludf.DUMMYFUNCTION("""COMPUTED_VALUE"""),1)</f>
        <v>1</v>
      </c>
      <c r="Y2558" s="12" t="str">
        <f ca="1">IFERROR(__xludf.DUMMYFUNCTION("""COMPUTED_VALUE"""),"Student walked in and shot teacher during class.")</f>
        <v>Student walked in and shot teacher during class.</v>
      </c>
      <c r="Z2558" s="12" t="str">
        <f ca="1">IFERROR(__xludf.DUMMYFUNCTION("""COMPUTED_VALUE"""),"A 13 year old walked into a Social Studies class and shot his teacher in the chest, whose class he had later that day. The bullet grazed the teacher's chest and was not seriously injured. A neighboring teacher and policeman on campus took the gun away fro"&amp;"m the student. There were no traces of a bad relationship between the student and teacher.")</f>
        <v>A 13 year old walked into a Social Studies class and shot his teacher in the chest, whose class he had later that day. The bullet grazed the teacher's chest and was not seriously injured. A neighboring teacher and policeman on campus took the gun away from the student. There were no traces of a bad relationship between the student and teacher.</v>
      </c>
      <c r="AA2558" s="8" t="str">
        <f ca="1">IFERROR(__xludf.DUMMYFUNCTION("""COMPUTED_VALUE"""),"Anger Over Grade/Suspension/Discipline")</f>
        <v>Anger Over Grade/Suspension/Discipline</v>
      </c>
      <c r="AB2558" s="8"/>
      <c r="AC2558" s="8"/>
      <c r="AD2558" s="8" t="str">
        <f ca="1">IFERROR(__xludf.DUMMYFUNCTION("""COMPUTED_VALUE"""),"Victims Targeted")</f>
        <v>Victims Targeted</v>
      </c>
      <c r="AE2558" s="8" t="str">
        <f ca="1">IFERROR(__xludf.DUMMYFUNCTION("""COMPUTED_VALUE"""),"No")</f>
        <v>No</v>
      </c>
      <c r="AF2558" s="8"/>
      <c r="AG2558" s="8" t="str">
        <f ca="1">IFERROR(__xludf.DUMMYFUNCTION("""COMPUTED_VALUE"""),"No")</f>
        <v>No</v>
      </c>
      <c r="AH2558" s="8" t="str">
        <f ca="1">IFERROR(__xludf.DUMMYFUNCTION("""COMPUTED_VALUE"""),"No")</f>
        <v>No</v>
      </c>
      <c r="AI2558" s="8" t="str">
        <f ca="1">IFERROR(__xludf.DUMMYFUNCTION("""COMPUTED_VALUE"""),"No")</f>
        <v>No</v>
      </c>
      <c r="AJ2558" s="8" t="str">
        <f ca="1">IFERROR(__xludf.DUMMYFUNCTION("""COMPUTED_VALUE"""),"No")</f>
        <v>No</v>
      </c>
      <c r="AK2558" s="8" t="str">
        <f ca="1">IFERROR(__xludf.DUMMYFUNCTION("""COMPUTED_VALUE"""),"No")</f>
        <v>No</v>
      </c>
      <c r="AL2558" s="8" t="str">
        <f ca="1">IFERROR(__xludf.DUMMYFUNCTION("""COMPUTED_VALUE"""),"No")</f>
        <v>No</v>
      </c>
      <c r="AM2558" s="8"/>
      <c r="AN2558" s="8"/>
      <c r="AO2558" s="8" t="str">
        <f ca="1">IFERROR(__xludf.DUMMYFUNCTION("""COMPUTED_VALUE"""),"No")</f>
        <v>No</v>
      </c>
      <c r="AP2558" s="8"/>
      <c r="AQ2558" s="8" t="str">
        <f ca="1">IFERROR(__xludf.DUMMYFUNCTION("""COMPUTED_VALUE"""),"Unknown")</f>
        <v>Unknown</v>
      </c>
      <c r="AR2558" s="8" t="str">
        <f ca="1">IFERROR(__xludf.DUMMYFUNCTION("""COMPUTED_VALUE"""),"NA")</f>
        <v>NA</v>
      </c>
      <c r="AS2558" s="8" t="str">
        <f ca="1">IFERROR(__xludf.DUMMYFUNCTION("""COMPUTED_VALUE"""),"&lt;5")</f>
        <v>&lt;5</v>
      </c>
      <c r="AT2558" s="8"/>
      <c r="AU2558" s="8">
        <f ca="1">IFERROR(__xludf.DUMMYFUNCTION("""COMPUTED_VALUE"""),41.870153)</f>
        <v>41.870153000000002</v>
      </c>
      <c r="AV2558" s="8">
        <f ca="1">IFERROR(__xludf.DUMMYFUNCTION("""COMPUTED_VALUE"""),-103.661391)</f>
        <v>-103.66139099999999</v>
      </c>
      <c r="AW2558" s="8"/>
      <c r="AX2558" s="8">
        <f ca="1">IFERROR(__xludf.DUMMYFUNCTION("""COMPUTED_VALUE"""),69361)</f>
        <v>69361</v>
      </c>
    </row>
    <row r="2559" spans="1:50" ht="75" x14ac:dyDescent="0.2">
      <c r="A2559" s="8" t="str">
        <f ca="1">IFERROR(__xludf.DUMMYFUNCTION("""COMPUTED_VALUE"""),"19950202CAJOL")</f>
        <v>19950202CAJOL</v>
      </c>
      <c r="B2559" s="8">
        <f ca="1">IFERROR(__xludf.DUMMYFUNCTION("""COMPUTED_VALUE"""),2)</f>
        <v>2</v>
      </c>
      <c r="C2559" s="8">
        <f ca="1">IFERROR(__xludf.DUMMYFUNCTION("""COMPUTED_VALUE"""),2)</f>
        <v>2</v>
      </c>
      <c r="D2559" s="8">
        <f ca="1">IFERROR(__xludf.DUMMYFUNCTION("""COMPUTED_VALUE"""),1995)</f>
        <v>1995</v>
      </c>
      <c r="E2559" s="9">
        <f ca="1">IFERROR(__xludf.DUMMYFUNCTION("""COMPUTED_VALUE"""),34732)</f>
        <v>34732</v>
      </c>
      <c r="F2559" s="8" t="str">
        <f ca="1">IFERROR(__xludf.DUMMYFUNCTION("""COMPUTED_VALUE"""),"Jordan High School")</f>
        <v>Jordan High School</v>
      </c>
      <c r="G2559" s="8">
        <f ca="1">IFERROR(__xludf.DUMMYFUNCTION("""COMPUTED_VALUE"""),1)</f>
        <v>1</v>
      </c>
      <c r="H2559" s="8">
        <f ca="1">IFERROR(__xludf.DUMMYFUNCTION("""COMPUTED_VALUE"""),1)</f>
        <v>1</v>
      </c>
      <c r="I2559" s="8">
        <f ca="1">IFERROR(__xludf.DUMMYFUNCTION("""COMPUTED_VALUE"""),2)</f>
        <v>2</v>
      </c>
      <c r="J2559" s="8">
        <f ca="1">IFERROR(__xludf.DUMMYFUNCTION("""COMPUTED_VALUE"""),0)</f>
        <v>0</v>
      </c>
      <c r="K2559" s="10" t="str">
        <f ca="1">IFERROR(__xludf.DUMMYFUNCTION("""COMPUTED_VALUE"""),"https://www.presstelegram.com/2015/10/16/javiers-dream-of-helping-people-lives-on-rich-archbold/")</f>
        <v>https://www.presstelegram.com/2015/10/16/javiers-dream-of-helping-people-lives-on-rich-archbold/</v>
      </c>
      <c r="L2559" s="8"/>
      <c r="M2559" s="8"/>
      <c r="N2559" s="8">
        <f ca="1">IFERROR(__xludf.DUMMYFUNCTION("""COMPUTED_VALUE"""),2)</f>
        <v>2</v>
      </c>
      <c r="O2559" s="8" t="str">
        <f ca="1">IFERROR(__xludf.DUMMYFUNCTION("""COMPUTED_VALUE"""),"Winter")</f>
        <v>Winter</v>
      </c>
      <c r="P2559" s="8" t="str">
        <f ca="1">IFERROR(__xludf.DUMMYFUNCTION("""COMPUTED_VALUE"""),"Long Beach")</f>
        <v>Long Beach</v>
      </c>
      <c r="Q2559" s="8" t="str">
        <f ca="1">IFERROR(__xludf.DUMMYFUNCTION("""COMPUTED_VALUE"""),"CA")</f>
        <v>CA</v>
      </c>
      <c r="R2559" s="8" t="str">
        <f ca="1">IFERROR(__xludf.DUMMYFUNCTION("""COMPUTED_VALUE"""),"High")</f>
        <v>High</v>
      </c>
      <c r="S2559" s="8" t="str">
        <f ca="1">IFERROR(__xludf.DUMMYFUNCTION("""COMPUTED_VALUE"""),"Field (General)")</f>
        <v>Field (General)</v>
      </c>
      <c r="T2559" s="8" t="str">
        <f ca="1">IFERROR(__xludf.DUMMYFUNCTION("""COMPUTED_VALUE"""),"Outside on School Property")</f>
        <v>Outside on School Property</v>
      </c>
      <c r="U2559" s="8" t="str">
        <f ca="1">IFERROR(__xludf.DUMMYFUNCTION("""COMPUTED_VALUE"""),"No")</f>
        <v>No</v>
      </c>
      <c r="V2559" s="8" t="str">
        <f ca="1">IFERROR(__xludf.DUMMYFUNCTION("""COMPUTED_VALUE"""),"Sport Event")</f>
        <v>Sport Event</v>
      </c>
      <c r="W2559" s="8"/>
      <c r="X2559" s="8">
        <f ca="1">IFERROR(__xludf.DUMMYFUNCTION("""COMPUTED_VALUE"""),1)</f>
        <v>1</v>
      </c>
      <c r="Y2559" s="12" t="str">
        <f ca="1">IFERROR(__xludf.DUMMYFUNCTION("""COMPUTED_VALUE"""),"Two students were shot by gang member on an athletic field.")</f>
        <v>Two students were shot by gang member on an athletic field.</v>
      </c>
      <c r="Z2559" s="12" t="str">
        <f ca="1">IFERROR(__xludf.DUMMYFUNCTION("""COMPUTED_VALUE"""),"Two students were walking across an athletic field to watch a school soccer match when they were shot by a gang member. The shooter said he shot them because he gave him dirty looks. The two students were involved in an anti-gang youth group.")</f>
        <v>Two students were walking across an athletic field to watch a school soccer match when they were shot by a gang member. The shooter said he shot them because he gave him dirty looks. The two students were involved in an anti-gang youth group.</v>
      </c>
      <c r="AA2559" s="8" t="str">
        <f ca="1">IFERROR(__xludf.DUMMYFUNCTION("""COMPUTED_VALUE"""),"Escalation of Dispute")</f>
        <v>Escalation of Dispute</v>
      </c>
      <c r="AB2559" s="8"/>
      <c r="AC2559" s="8"/>
      <c r="AD2559" s="8" t="str">
        <f ca="1">IFERROR(__xludf.DUMMYFUNCTION("""COMPUTED_VALUE"""),"Victims Targeted")</f>
        <v>Victims Targeted</v>
      </c>
      <c r="AE2559" s="8" t="str">
        <f ca="1">IFERROR(__xludf.DUMMYFUNCTION("""COMPUTED_VALUE"""),"No")</f>
        <v>No</v>
      </c>
      <c r="AF2559" s="8"/>
      <c r="AG2559" s="8" t="str">
        <f ca="1">IFERROR(__xludf.DUMMYFUNCTION("""COMPUTED_VALUE"""),"No")</f>
        <v>No</v>
      </c>
      <c r="AH2559" s="8" t="str">
        <f ca="1">IFERROR(__xludf.DUMMYFUNCTION("""COMPUTED_VALUE"""),"No")</f>
        <v>No</v>
      </c>
      <c r="AI2559" s="8" t="str">
        <f ca="1">IFERROR(__xludf.DUMMYFUNCTION("""COMPUTED_VALUE"""),"No")</f>
        <v>No</v>
      </c>
      <c r="AJ2559" s="8" t="str">
        <f ca="1">IFERROR(__xludf.DUMMYFUNCTION("""COMPUTED_VALUE"""),"No")</f>
        <v>No</v>
      </c>
      <c r="AK2559" s="8" t="str">
        <f ca="1">IFERROR(__xludf.DUMMYFUNCTION("""COMPUTED_VALUE"""),"No")</f>
        <v>No</v>
      </c>
      <c r="AL2559" s="8" t="str">
        <f ca="1">IFERROR(__xludf.DUMMYFUNCTION("""COMPUTED_VALUE"""),"Yes")</f>
        <v>Yes</v>
      </c>
      <c r="AM2559" s="8"/>
      <c r="AN2559" s="8"/>
      <c r="AO2559" s="8" t="str">
        <f ca="1">IFERROR(__xludf.DUMMYFUNCTION("""COMPUTED_VALUE"""),"No")</f>
        <v>No</v>
      </c>
      <c r="AP2559" s="8"/>
      <c r="AQ2559" s="8" t="str">
        <f ca="1">IFERROR(__xludf.DUMMYFUNCTION("""COMPUTED_VALUE"""),"Unknown")</f>
        <v>Unknown</v>
      </c>
      <c r="AR2559" s="8" t="str">
        <f ca="1">IFERROR(__xludf.DUMMYFUNCTION("""COMPUTED_VALUE"""),"NA")</f>
        <v>NA</v>
      </c>
      <c r="AS2559" s="8" t="str">
        <f ca="1">IFERROR(__xludf.DUMMYFUNCTION("""COMPUTED_VALUE"""),"&lt;10")</f>
        <v>&lt;10</v>
      </c>
      <c r="AT2559" s="8"/>
      <c r="AU2559" s="8">
        <f ca="1">IFERROR(__xludf.DUMMYFUNCTION("""COMPUTED_VALUE"""),33.871301)</f>
        <v>33.871301000000003</v>
      </c>
      <c r="AV2559" s="8">
        <f ca="1">IFERROR(__xludf.DUMMYFUNCTION("""COMPUTED_VALUE"""),-118.184253)</f>
        <v>-118.184253</v>
      </c>
      <c r="AW2559" s="8"/>
      <c r="AX2559" s="8">
        <f ca="1">IFERROR(__xludf.DUMMYFUNCTION("""COMPUTED_VALUE"""),90805)</f>
        <v>90805</v>
      </c>
    </row>
    <row r="2560" spans="1:50" ht="195" x14ac:dyDescent="0.2">
      <c r="A2560" s="8" t="str">
        <f ca="1">IFERROR(__xludf.DUMMYFUNCTION("""COMPUTED_VALUE"""),"19950124DCSPW")</f>
        <v>19950124DCSPW</v>
      </c>
      <c r="B2560" s="8">
        <f ca="1">IFERROR(__xludf.DUMMYFUNCTION("""COMPUTED_VALUE"""),1)</f>
        <v>1</v>
      </c>
      <c r="C2560" s="8">
        <f ca="1">IFERROR(__xludf.DUMMYFUNCTION("""COMPUTED_VALUE"""),24)</f>
        <v>24</v>
      </c>
      <c r="D2560" s="8">
        <f ca="1">IFERROR(__xludf.DUMMYFUNCTION("""COMPUTED_VALUE"""),1995)</f>
        <v>1995</v>
      </c>
      <c r="E2560" s="9">
        <f ca="1">IFERROR(__xludf.DUMMYFUNCTION("""COMPUTED_VALUE"""),34723)</f>
        <v>34723</v>
      </c>
      <c r="F2560" s="8" t="str">
        <f ca="1">IFERROR(__xludf.DUMMYFUNCTION("""COMPUTED_VALUE"""),"Spingarn High School")</f>
        <v>Spingarn High School</v>
      </c>
      <c r="G2560" s="8">
        <f ca="1">IFERROR(__xludf.DUMMYFUNCTION("""COMPUTED_VALUE"""),0)</f>
        <v>0</v>
      </c>
      <c r="H2560" s="8">
        <f ca="1">IFERROR(__xludf.DUMMYFUNCTION("""COMPUTED_VALUE"""),1)</f>
        <v>1</v>
      </c>
      <c r="I2560" s="8">
        <f ca="1">IFERROR(__xludf.DUMMYFUNCTION("""COMPUTED_VALUE"""),1)</f>
        <v>1</v>
      </c>
      <c r="J2560" s="8">
        <f ca="1">IFERROR(__xludf.DUMMYFUNCTION("""COMPUTED_VALUE"""),0)</f>
        <v>0</v>
      </c>
      <c r="K2560" s="10" t="str">
        <f ca="1">IFERROR(__xludf.DUMMYFUNCTION("""COMPUTED_VALUE"""),"https://www.washingtonpost.com/archive/local/1995/01/25/student-wounded-in-school-shooting/43b9c1ae-244d-40ed-8bc7-18fec6c338f3/")</f>
        <v>https://www.washingtonpost.com/archive/local/1995/01/25/student-wounded-in-school-shooting/43b9c1ae-244d-40ed-8bc7-18fec6c338f3/</v>
      </c>
      <c r="L2560" s="8"/>
      <c r="M2560" s="8"/>
      <c r="N2560" s="8">
        <f ca="1">IFERROR(__xludf.DUMMYFUNCTION("""COMPUTED_VALUE"""),3)</f>
        <v>3</v>
      </c>
      <c r="O2560" s="8" t="str">
        <f ca="1">IFERROR(__xludf.DUMMYFUNCTION("""COMPUTED_VALUE"""),"Winter")</f>
        <v>Winter</v>
      </c>
      <c r="P2560" s="8" t="str">
        <f ca="1">IFERROR(__xludf.DUMMYFUNCTION("""COMPUTED_VALUE"""),"Washington")</f>
        <v>Washington</v>
      </c>
      <c r="Q2560" s="8" t="str">
        <f ca="1">IFERROR(__xludf.DUMMYFUNCTION("""COMPUTED_VALUE"""),"DC")</f>
        <v>DC</v>
      </c>
      <c r="R2560" s="8" t="str">
        <f ca="1">IFERROR(__xludf.DUMMYFUNCTION("""COMPUTED_VALUE"""),"High")</f>
        <v>High</v>
      </c>
      <c r="S2560" s="8" t="str">
        <f ca="1">IFERROR(__xludf.DUMMYFUNCTION("""COMPUTED_VALUE"""),"Entryway")</f>
        <v>Entryway</v>
      </c>
      <c r="T2560" s="8" t="str">
        <f ca="1">IFERROR(__xludf.DUMMYFUNCTION("""COMPUTED_VALUE"""),"Inside School Building")</f>
        <v>Inside School Building</v>
      </c>
      <c r="U2560" s="8" t="str">
        <f ca="1">IFERROR(__xludf.DUMMYFUNCTION("""COMPUTED_VALUE"""),"Yes")</f>
        <v>Yes</v>
      </c>
      <c r="V2560" s="8" t="str">
        <f ca="1">IFERROR(__xludf.DUMMYFUNCTION("""COMPUTED_VALUE"""),"Lunch")</f>
        <v>Lunch</v>
      </c>
      <c r="W2560" s="11">
        <f ca="1">IFERROR(__xludf.DUMMYFUNCTION("""COMPUTED_VALUE"""),0.5)</f>
        <v>0.5</v>
      </c>
      <c r="X2560" s="8">
        <f ca="1">IFERROR(__xludf.DUMMYFUNCTION("""COMPUTED_VALUE"""),1)</f>
        <v>1</v>
      </c>
      <c r="Y2560" s="12" t="str">
        <f ca="1">IFERROR(__xludf.DUMMYFUNCTION("""COMPUTED_VALUE"""),"Student was shot while sitting on the school exit stairs during lunch by a student from another school.")</f>
        <v>Student was shot while sitting on the school exit stairs during lunch by a student from another school.</v>
      </c>
      <c r="Z2560" s="12" t="str">
        <f ca="1">IFERROR(__xludf.DUMMYFUNCTION("""COMPUTED_VALUE"""),"16 year-old male student was shot 3 times during lunch while sitting on the stairs inside the school. The shooter was a student from another school and entered the school through an exit door that was unlocked or open. Police were looking for a second sus"&amp;"pect who may have opened the doors. Police were unsure of the motive. Police officers are assigned to the school but needed to rotate between multiple school buildings. There are metal detectors at the front door of the school but not at the exit doors. S"&amp;"chool officials had locked exit doors but were required to leave them unlocked due to fire codes. The shooter fled and was hailing a taxi on a nearby street but was stopped by a police officer and then detained.")</f>
        <v>16 year-old male student was shot 3 times during lunch while sitting on the stairs inside the school. The shooter was a student from another school and entered the school through an exit door that was unlocked or open. Police were looking for a second suspect who may have opened the doors. Police were unsure of the motive. Police officers are assigned to the school but needed to rotate between multiple school buildings. There are metal detectors at the front door of the school but not at the exit doors. School officials had locked exit doors but were required to leave them unlocked due to fire codes. The shooter fled and was hailing a taxi on a nearby street but was stopped by a police officer and then detained.</v>
      </c>
      <c r="AA2560" s="8" t="str">
        <f ca="1">IFERROR(__xludf.DUMMYFUNCTION("""COMPUTED_VALUE"""),"Escalation of Dispute")</f>
        <v>Escalation of Dispute</v>
      </c>
      <c r="AB2560" s="8"/>
      <c r="AC2560" s="8"/>
      <c r="AD2560" s="8" t="str">
        <f ca="1">IFERROR(__xludf.DUMMYFUNCTION("""COMPUTED_VALUE"""),"Victims Targeted")</f>
        <v>Victims Targeted</v>
      </c>
      <c r="AE2560" s="8" t="str">
        <f ca="1">IFERROR(__xludf.DUMMYFUNCTION("""COMPUTED_VALUE"""),"No")</f>
        <v>No</v>
      </c>
      <c r="AF2560" s="8" t="str">
        <f ca="1">IFERROR(__xludf.DUMMYFUNCTION("""COMPUTED_VALUE"""),"Police looking for second suspect")</f>
        <v>Police looking for second suspect</v>
      </c>
      <c r="AG2560" s="8" t="str">
        <f ca="1">IFERROR(__xludf.DUMMYFUNCTION("""COMPUTED_VALUE"""),"No")</f>
        <v>No</v>
      </c>
      <c r="AH2560" s="8" t="str">
        <f ca="1">IFERROR(__xludf.DUMMYFUNCTION("""COMPUTED_VALUE"""),"No")</f>
        <v>No</v>
      </c>
      <c r="AI2560" s="8" t="str">
        <f ca="1">IFERROR(__xludf.DUMMYFUNCTION("""COMPUTED_VALUE"""),"No")</f>
        <v>No</v>
      </c>
      <c r="AJ2560" s="8" t="str">
        <f ca="1">IFERROR(__xludf.DUMMYFUNCTION("""COMPUTED_VALUE"""),"No")</f>
        <v>No</v>
      </c>
      <c r="AK2560" s="8" t="str">
        <f ca="1">IFERROR(__xludf.DUMMYFUNCTION("""COMPUTED_VALUE"""),"No")</f>
        <v>No</v>
      </c>
      <c r="AL2560" s="8"/>
      <c r="AM2560" s="8" t="str">
        <f ca="1">IFERROR(__xludf.DUMMYFUNCTION("""COMPUTED_VALUE"""),"No")</f>
        <v>No</v>
      </c>
      <c r="AN2560" s="8"/>
      <c r="AO2560" s="8" t="str">
        <f ca="1">IFERROR(__xludf.DUMMYFUNCTION("""COMPUTED_VALUE"""),"No")</f>
        <v>No</v>
      </c>
      <c r="AP2560" s="8" t="str">
        <f ca="1">IFERROR(__xludf.DUMMYFUNCTION("""COMPUTED_VALUE"""),"Yes")</f>
        <v>Yes</v>
      </c>
      <c r="AQ2560" s="8" t="str">
        <f ca="1">IFERROR(__xludf.DUMMYFUNCTION("""COMPUTED_VALUE"""),"Metal Detectors Front Only")</f>
        <v>Metal Detectors Front Only</v>
      </c>
      <c r="AR2560" s="8" t="str">
        <f ca="1">IFERROR(__xludf.DUMMYFUNCTION("""COMPUTED_VALUE"""),"Bypassed")</f>
        <v>Bypassed</v>
      </c>
      <c r="AS2560" s="8">
        <f ca="1">IFERROR(__xludf.DUMMYFUNCTION("""COMPUTED_VALUE"""),3)</f>
        <v>3</v>
      </c>
      <c r="AT2560" s="8"/>
      <c r="AU2560" s="8">
        <f ca="1">IFERROR(__xludf.DUMMYFUNCTION("""COMPUTED_VALUE"""),38.899414)</f>
        <v>38.899414</v>
      </c>
      <c r="AV2560" s="8">
        <f ca="1">IFERROR(__xludf.DUMMYFUNCTION("""COMPUTED_VALUE"""),-76.970563)</f>
        <v>-76.970562999999999</v>
      </c>
      <c r="AW2560" s="8"/>
      <c r="AX2560" s="8">
        <f ca="1">IFERROR(__xludf.DUMMYFUNCTION("""COMPUTED_VALUE"""),20002)</f>
        <v>20002</v>
      </c>
    </row>
    <row r="2561" spans="1:50" ht="150" x14ac:dyDescent="0.2">
      <c r="A2561" s="8" t="str">
        <f ca="1">IFERROR(__xludf.DUMMYFUNCTION("""COMPUTED_VALUE"""),"19950123CASAR")</f>
        <v>19950123CASAR</v>
      </c>
      <c r="B2561" s="8">
        <f ca="1">IFERROR(__xludf.DUMMYFUNCTION("""COMPUTED_VALUE"""),1)</f>
        <v>1</v>
      </c>
      <c r="C2561" s="8">
        <f ca="1">IFERROR(__xludf.DUMMYFUNCTION("""COMPUTED_VALUE"""),23)</f>
        <v>23</v>
      </c>
      <c r="D2561" s="8">
        <f ca="1">IFERROR(__xludf.DUMMYFUNCTION("""COMPUTED_VALUE"""),1995)</f>
        <v>1995</v>
      </c>
      <c r="E2561" s="9">
        <f ca="1">IFERROR(__xludf.DUMMYFUNCTION("""COMPUTED_VALUE"""),34722)</f>
        <v>34722</v>
      </c>
      <c r="F2561" s="8" t="str">
        <f ca="1">IFERROR(__xludf.DUMMYFUNCTION("""COMPUTED_VALUE"""),"Sacred Heart Middle School")</f>
        <v>Sacred Heart Middle School</v>
      </c>
      <c r="G2561" s="8">
        <f ca="1">IFERROR(__xludf.DUMMYFUNCTION("""COMPUTED_VALUE"""),1)</f>
        <v>1</v>
      </c>
      <c r="H2561" s="8">
        <f ca="1">IFERROR(__xludf.DUMMYFUNCTION("""COMPUTED_VALUE"""),0)</f>
        <v>0</v>
      </c>
      <c r="I2561" s="8">
        <f ca="1">IFERROR(__xludf.DUMMYFUNCTION("""COMPUTED_VALUE"""),1)</f>
        <v>1</v>
      </c>
      <c r="J2561" s="8">
        <f ca="1">IFERROR(__xludf.DUMMYFUNCTION("""COMPUTED_VALUE"""),1)</f>
        <v>1</v>
      </c>
      <c r="K2561" s="10" t="str">
        <f ca="1">IFERROR(__xludf.DUMMYFUNCTION("""COMPUTED_VALUE"""),"http://articles.latimes.com/1995-01-25/news/mn-24213_1_attitude-problem")</f>
        <v>http://articles.latimes.com/1995-01-25/news/mn-24213_1_attitude-problem</v>
      </c>
      <c r="L2561" s="8"/>
      <c r="M2561" s="8"/>
      <c r="N2561" s="8">
        <f ca="1">IFERROR(__xludf.DUMMYFUNCTION("""COMPUTED_VALUE"""),2)</f>
        <v>2</v>
      </c>
      <c r="O2561" s="8" t="str">
        <f ca="1">IFERROR(__xludf.DUMMYFUNCTION("""COMPUTED_VALUE"""),"Winter")</f>
        <v>Winter</v>
      </c>
      <c r="P2561" s="8" t="str">
        <f ca="1">IFERROR(__xludf.DUMMYFUNCTION("""COMPUTED_VALUE"""),"Redlands")</f>
        <v>Redlands</v>
      </c>
      <c r="Q2561" s="8" t="str">
        <f ca="1">IFERROR(__xludf.DUMMYFUNCTION("""COMPUTED_VALUE"""),"CA")</f>
        <v>CA</v>
      </c>
      <c r="R2561" s="8" t="str">
        <f ca="1">IFERROR(__xludf.DUMMYFUNCTION("""COMPUTED_VALUE"""),"Middle")</f>
        <v>Middle</v>
      </c>
      <c r="S2561" s="8" t="str">
        <f ca="1">IFERROR(__xludf.DUMMYFUNCTION("""COMPUTED_VALUE"""),"Office; Other")</f>
        <v>Office; Other</v>
      </c>
      <c r="T2561" s="8" t="str">
        <f ca="1">IFERROR(__xludf.DUMMYFUNCTION("""COMPUTED_VALUE"""),"Both Inside/Outside")</f>
        <v>Both Inside/Outside</v>
      </c>
      <c r="U2561" s="8" t="str">
        <f ca="1">IFERROR(__xludf.DUMMYFUNCTION("""COMPUTED_VALUE"""),"Yes")</f>
        <v>Yes</v>
      </c>
      <c r="V2561" s="8"/>
      <c r="W2561" s="8"/>
      <c r="X2561" s="8"/>
      <c r="Y2561" s="12" t="str">
        <f ca="1">IFERROR(__xludf.DUMMYFUNCTION("""COMPUTED_VALUE"""),"Killed his principal after their meeting, discussing how to improve his attitude.")</f>
        <v>Killed his principal after their meeting, discussing how to improve his attitude.</v>
      </c>
      <c r="Z2561" s="12" t="str">
        <f ca="1">IFERROR(__xludf.DUMMYFUNCTION("""COMPUTED_VALUE"""),"13 year-old Male had discipline issues with his attitude and the dress code. The principal and student were meeting to work on a behavioral contract. After their meeting, the student walked home to grab his weapon and came back to the middle school. He wa"&amp;"lked into the principal's office with a sawed off shotgun and killed him. He ran from the scene and dropped the shotgun while running, causing it to fire and killing him (remains unclear if it was accidental or suicide). His fatal wound was in the chest a"&amp;"nd he was found between the school and the church.")</f>
        <v>13 year-old Male had discipline issues with his attitude and the dress code. The principal and student were meeting to work on a behavioral contract. After their meeting, the student walked home to grab his weapon and came back to the middle school. He walked into the principal's office with a sawed off shotgun and killed him. He ran from the scene and dropped the shotgun while running, causing it to fire and killing him (remains unclear if it was accidental or suicide). His fatal wound was in the chest and he was found between the school and the church.</v>
      </c>
      <c r="AA2561" s="8" t="str">
        <f ca="1">IFERROR(__xludf.DUMMYFUNCTION("""COMPUTED_VALUE"""),"Anger Over Grade/Suspension/Discipline")</f>
        <v>Anger Over Grade/Suspension/Discipline</v>
      </c>
      <c r="AB2561" s="8"/>
      <c r="AC2561" s="8"/>
      <c r="AD2561" s="8" t="str">
        <f ca="1">IFERROR(__xludf.DUMMYFUNCTION("""COMPUTED_VALUE"""),"Victims Targeted")</f>
        <v>Victims Targeted</v>
      </c>
      <c r="AE2561" s="8" t="str">
        <f ca="1">IFERROR(__xludf.DUMMYFUNCTION("""COMPUTED_VALUE"""),"No")</f>
        <v>No</v>
      </c>
      <c r="AF2561" s="8"/>
      <c r="AG2561" s="8" t="str">
        <f ca="1">IFERROR(__xludf.DUMMYFUNCTION("""COMPUTED_VALUE"""),"No")</f>
        <v>No</v>
      </c>
      <c r="AH2561" s="8" t="str">
        <f ca="1">IFERROR(__xludf.DUMMYFUNCTION("""COMPUTED_VALUE"""),"No")</f>
        <v>No</v>
      </c>
      <c r="AI2561" s="8" t="str">
        <f ca="1">IFERROR(__xludf.DUMMYFUNCTION("""COMPUTED_VALUE"""),"No")</f>
        <v>No</v>
      </c>
      <c r="AJ2561" s="8" t="str">
        <f ca="1">IFERROR(__xludf.DUMMYFUNCTION("""COMPUTED_VALUE"""),"No")</f>
        <v>No</v>
      </c>
      <c r="AK2561" s="8" t="str">
        <f ca="1">IFERROR(__xludf.DUMMYFUNCTION("""COMPUTED_VALUE"""),"No")</f>
        <v>No</v>
      </c>
      <c r="AL2561" s="8" t="str">
        <f ca="1">IFERROR(__xludf.DUMMYFUNCTION("""COMPUTED_VALUE"""),"No")</f>
        <v>No</v>
      </c>
      <c r="AM2561" s="8"/>
      <c r="AN2561" s="8"/>
      <c r="AO2561" s="8" t="str">
        <f ca="1">IFERROR(__xludf.DUMMYFUNCTION("""COMPUTED_VALUE"""),"No")</f>
        <v>No</v>
      </c>
      <c r="AP2561" s="8"/>
      <c r="AQ2561" s="8" t="str">
        <f ca="1">IFERROR(__xludf.DUMMYFUNCTION("""COMPUTED_VALUE"""),"Unknown")</f>
        <v>Unknown</v>
      </c>
      <c r="AR2561" s="8" t="str">
        <f ca="1">IFERROR(__xludf.DUMMYFUNCTION("""COMPUTED_VALUE"""),"NA")</f>
        <v>NA</v>
      </c>
      <c r="AS2561" s="8">
        <f ca="1">IFERROR(__xludf.DUMMYFUNCTION("""COMPUTED_VALUE"""),2)</f>
        <v>2</v>
      </c>
      <c r="AT2561" s="8"/>
      <c r="AU2561" s="8">
        <f ca="1">IFERROR(__xludf.DUMMYFUNCTION("""COMPUTED_VALUE"""),34.051855)</f>
        <v>34.051855000000003</v>
      </c>
      <c r="AV2561" s="8">
        <f ca="1">IFERROR(__xludf.DUMMYFUNCTION("""COMPUTED_VALUE"""),-117.182576)</f>
        <v>-117.182576</v>
      </c>
      <c r="AW2561" s="8"/>
      <c r="AX2561" s="8">
        <f ca="1">IFERROR(__xludf.DUMMYFUNCTION("""COMPUTED_VALUE"""),92373)</f>
        <v>92373</v>
      </c>
    </row>
    <row r="2562" spans="1:50" ht="150" x14ac:dyDescent="0.2">
      <c r="A2562" s="8" t="str">
        <f ca="1">IFERROR(__xludf.DUMMYFUNCTION("""COMPUTED_VALUE"""),"19950112WAGAS")</f>
        <v>19950112WAGAS</v>
      </c>
      <c r="B2562" s="8">
        <f ca="1">IFERROR(__xludf.DUMMYFUNCTION("""COMPUTED_VALUE"""),1)</f>
        <v>1</v>
      </c>
      <c r="C2562" s="8">
        <f ca="1">IFERROR(__xludf.DUMMYFUNCTION("""COMPUTED_VALUE"""),12)</f>
        <v>12</v>
      </c>
      <c r="D2562" s="8">
        <f ca="1">IFERROR(__xludf.DUMMYFUNCTION("""COMPUTED_VALUE"""),1995)</f>
        <v>1995</v>
      </c>
      <c r="E2562" s="9">
        <f ca="1">IFERROR(__xludf.DUMMYFUNCTION("""COMPUTED_VALUE"""),34711)</f>
        <v>34711</v>
      </c>
      <c r="F2562" s="8" t="str">
        <f ca="1">IFERROR(__xludf.DUMMYFUNCTION("""COMPUTED_VALUE"""),"Garfield High School")</f>
        <v>Garfield High School</v>
      </c>
      <c r="G2562" s="8">
        <f ca="1">IFERROR(__xludf.DUMMYFUNCTION("""COMPUTED_VALUE"""),0)</f>
        <v>0</v>
      </c>
      <c r="H2562" s="8">
        <f ca="1">IFERROR(__xludf.DUMMYFUNCTION("""COMPUTED_VALUE"""),2)</f>
        <v>2</v>
      </c>
      <c r="I2562" s="8">
        <f ca="1">IFERROR(__xludf.DUMMYFUNCTION("""COMPUTED_VALUE"""),2)</f>
        <v>2</v>
      </c>
      <c r="J2562" s="8">
        <f ca="1">IFERROR(__xludf.DUMMYFUNCTION("""COMPUTED_VALUE"""),0)</f>
        <v>0</v>
      </c>
      <c r="K2562" s="10" t="str">
        <f ca="1">IFERROR(__xludf.DUMMYFUNCTION("""COMPUTED_VALUE"""),"http://community.seattletimes.nwsource.com/archive/?date=19950118&amp;slug=2100074")</f>
        <v>http://community.seattletimes.nwsource.com/archive/?date=19950118&amp;slug=2100074</v>
      </c>
      <c r="L2562" s="8"/>
      <c r="M2562" s="8"/>
      <c r="N2562" s="8">
        <f ca="1">IFERROR(__xludf.DUMMYFUNCTION("""COMPUTED_VALUE"""),2)</f>
        <v>2</v>
      </c>
      <c r="O2562" s="8" t="str">
        <f ca="1">IFERROR(__xludf.DUMMYFUNCTION("""COMPUTED_VALUE"""),"Winter")</f>
        <v>Winter</v>
      </c>
      <c r="P2562" s="8" t="str">
        <f ca="1">IFERROR(__xludf.DUMMYFUNCTION("""COMPUTED_VALUE"""),"Seattle")</f>
        <v>Seattle</v>
      </c>
      <c r="Q2562" s="8" t="str">
        <f ca="1">IFERROR(__xludf.DUMMYFUNCTION("""COMPUTED_VALUE"""),"WA")</f>
        <v>WA</v>
      </c>
      <c r="R2562" s="8" t="str">
        <f ca="1">IFERROR(__xludf.DUMMYFUNCTION("""COMPUTED_VALUE"""),"High")</f>
        <v>High</v>
      </c>
      <c r="S2562" s="8" t="str">
        <f ca="1">IFERROR(__xludf.DUMMYFUNCTION("""COMPUTED_VALUE"""),"Cafeteria")</f>
        <v>Cafeteria</v>
      </c>
      <c r="T2562" s="8" t="str">
        <f ca="1">IFERROR(__xludf.DUMMYFUNCTION("""COMPUTED_VALUE"""),"Inside School Building")</f>
        <v>Inside School Building</v>
      </c>
      <c r="U2562" s="8" t="str">
        <f ca="1">IFERROR(__xludf.DUMMYFUNCTION("""COMPUTED_VALUE"""),"Yes")</f>
        <v>Yes</v>
      </c>
      <c r="V2562" s="8"/>
      <c r="W2562" s="8"/>
      <c r="X2562" s="8">
        <f ca="1">IFERROR(__xludf.DUMMYFUNCTION("""COMPUTED_VALUE"""),4)</f>
        <v>4</v>
      </c>
      <c r="Y2562" s="12" t="str">
        <f ca="1">IFERROR(__xludf.DUMMYFUNCTION("""COMPUTED_VALUE"""),"Left school to get gun after fight, returned and shot victim")</f>
        <v>Left school to get gun after fight, returned and shot victim</v>
      </c>
      <c r="Z2562" s="12" t="str">
        <f ca="1">IFERROR(__xludf.DUMMYFUNCTION("""COMPUTED_VALUE"""),"The shooter and victim got into an argument during the morning over marijuana. The shooter left the school and went home to get a handgun he had stolen from his grandfather the prior year. The shooter walked into the cafeteria and fired multiple shots at "&amp;"the victim, striking another girl in the crossfire. The shooter left the school and was arrested by police in a nearby field. It was reported that the shooter was selling marijuana and the victim had stolen some of it from him that morning when he refused"&amp;" to pay. Shooter referred to himself as ""Mr. Murder"" to police.")</f>
        <v>The shooter and victim got into an argument during the morning over marijuana. The shooter left the school and went home to get a handgun he had stolen from his grandfather the prior year. The shooter walked into the cafeteria and fired multiple shots at the victim, striking another girl in the crossfire. The shooter left the school and was arrested by police in a nearby field. It was reported that the shooter was selling marijuana and the victim had stolen some of it from him that morning when he refused to pay. Shooter referred to himself as "Mr. Murder" to police.</v>
      </c>
      <c r="AA2562" s="8" t="str">
        <f ca="1">IFERROR(__xludf.DUMMYFUNCTION("""COMPUTED_VALUE"""),"Escalation of Dispute")</f>
        <v>Escalation of Dispute</v>
      </c>
      <c r="AB2562" s="8"/>
      <c r="AC2562" s="8"/>
      <c r="AD2562" s="8" t="str">
        <f ca="1">IFERROR(__xludf.DUMMYFUNCTION("""COMPUTED_VALUE"""),"Victims Targeted")</f>
        <v>Victims Targeted</v>
      </c>
      <c r="AE2562" s="8" t="str">
        <f ca="1">IFERROR(__xludf.DUMMYFUNCTION("""COMPUTED_VALUE"""),"No")</f>
        <v>No</v>
      </c>
      <c r="AF2562" s="8"/>
      <c r="AG2562" s="8" t="str">
        <f ca="1">IFERROR(__xludf.DUMMYFUNCTION("""COMPUTED_VALUE"""),"No")</f>
        <v>No</v>
      </c>
      <c r="AH2562" s="8" t="str">
        <f ca="1">IFERROR(__xludf.DUMMYFUNCTION("""COMPUTED_VALUE"""),"No")</f>
        <v>No</v>
      </c>
      <c r="AI2562" s="8" t="str">
        <f ca="1">IFERROR(__xludf.DUMMYFUNCTION("""COMPUTED_VALUE"""),"No")</f>
        <v>No</v>
      </c>
      <c r="AJ2562" s="8"/>
      <c r="AK2562" s="8" t="str">
        <f ca="1">IFERROR(__xludf.DUMMYFUNCTION("""COMPUTED_VALUE"""),"No")</f>
        <v>No</v>
      </c>
      <c r="AL2562" s="8" t="str">
        <f ca="1">IFERROR(__xludf.DUMMYFUNCTION("""COMPUTED_VALUE"""),"No")</f>
        <v>No</v>
      </c>
      <c r="AM2562" s="8"/>
      <c r="AN2562" s="8"/>
      <c r="AO2562" s="8" t="str">
        <f ca="1">IFERROR(__xludf.DUMMYFUNCTION("""COMPUTED_VALUE"""),"No")</f>
        <v>No</v>
      </c>
      <c r="AP2562" s="8"/>
      <c r="AQ2562" s="8" t="str">
        <f ca="1">IFERROR(__xludf.DUMMYFUNCTION("""COMPUTED_VALUE"""),"Unknown")</f>
        <v>Unknown</v>
      </c>
      <c r="AR2562" s="8" t="str">
        <f ca="1">IFERROR(__xludf.DUMMYFUNCTION("""COMPUTED_VALUE"""),"NA")</f>
        <v>NA</v>
      </c>
      <c r="AS2562" s="8"/>
      <c r="AT2562" s="8"/>
      <c r="AU2562" s="8">
        <f ca="1">IFERROR(__xludf.DUMMYFUNCTION("""COMPUTED_VALUE"""),47.605098)</f>
        <v>47.605097999999998</v>
      </c>
      <c r="AV2562" s="8">
        <f ca="1">IFERROR(__xludf.DUMMYFUNCTION("""COMPUTED_VALUE"""),-122.302285)</f>
        <v>-122.302285</v>
      </c>
      <c r="AW2562" s="8"/>
      <c r="AX2562" s="8">
        <f ca="1">IFERROR(__xludf.DUMMYFUNCTION("""COMPUTED_VALUE"""),98122)</f>
        <v>98122</v>
      </c>
    </row>
    <row r="2563" spans="1:50" ht="105" x14ac:dyDescent="0.2">
      <c r="A2563" s="8" t="str">
        <f ca="1">IFERROR(__xludf.DUMMYFUNCTION("""COMPUTED_VALUE"""),"19950110FLPAP")</f>
        <v>19950110FLPAP</v>
      </c>
      <c r="B2563" s="8">
        <f ca="1">IFERROR(__xludf.DUMMYFUNCTION("""COMPUTED_VALUE"""),1)</f>
        <v>1</v>
      </c>
      <c r="C2563" s="8">
        <f ca="1">IFERROR(__xludf.DUMMYFUNCTION("""COMPUTED_VALUE"""),10)</f>
        <v>10</v>
      </c>
      <c r="D2563" s="8">
        <f ca="1">IFERROR(__xludf.DUMMYFUNCTION("""COMPUTED_VALUE"""),1995)</f>
        <v>1995</v>
      </c>
      <c r="E2563" s="9">
        <f ca="1">IFERROR(__xludf.DUMMYFUNCTION("""COMPUTED_VALUE"""),34709)</f>
        <v>34709</v>
      </c>
      <c r="F2563" s="8" t="str">
        <f ca="1">IFERROR(__xludf.DUMMYFUNCTION("""COMPUTED_VALUE"""),"Palm Beach Gardens High School")</f>
        <v>Palm Beach Gardens High School</v>
      </c>
      <c r="G2563" s="8">
        <f ca="1">IFERROR(__xludf.DUMMYFUNCTION("""COMPUTED_VALUE"""),0)</f>
        <v>0</v>
      </c>
      <c r="H2563" s="8">
        <f ca="1">IFERROR(__xludf.DUMMYFUNCTION("""COMPUTED_VALUE"""),0)</f>
        <v>0</v>
      </c>
      <c r="I2563" s="8">
        <f ca="1">IFERROR(__xludf.DUMMYFUNCTION("""COMPUTED_VALUE"""),0)</f>
        <v>0</v>
      </c>
      <c r="J2563" s="8">
        <f ca="1">IFERROR(__xludf.DUMMYFUNCTION("""COMPUTED_VALUE"""),1)</f>
        <v>1</v>
      </c>
      <c r="K2563" s="10" t="str">
        <f ca="1">IFERROR(__xludf.DUMMYFUNCTION("""COMPUTED_VALUE"""),"http://articles.sun-sentinel.com/1995-01-12/news/9501120169_1_high-schools-gun-school-administrators")</f>
        <v>http://articles.sun-sentinel.com/1995-01-12/news/9501120169_1_high-schools-gun-school-administrators</v>
      </c>
      <c r="L2563" s="8"/>
      <c r="M2563" s="8"/>
      <c r="N2563" s="8">
        <f ca="1">IFERROR(__xludf.DUMMYFUNCTION("""COMPUTED_VALUE"""),2)</f>
        <v>2</v>
      </c>
      <c r="O2563" s="8" t="str">
        <f ca="1">IFERROR(__xludf.DUMMYFUNCTION("""COMPUTED_VALUE"""),"Winter")</f>
        <v>Winter</v>
      </c>
      <c r="P2563" s="8" t="str">
        <f ca="1">IFERROR(__xludf.DUMMYFUNCTION("""COMPUTED_VALUE"""),"Palm Beach Gardens")</f>
        <v>Palm Beach Gardens</v>
      </c>
      <c r="Q2563" s="8" t="str">
        <f ca="1">IFERROR(__xludf.DUMMYFUNCTION("""COMPUTED_VALUE"""),"FL")</f>
        <v>FL</v>
      </c>
      <c r="R2563" s="8" t="str">
        <f ca="1">IFERROR(__xludf.DUMMYFUNCTION("""COMPUTED_VALUE"""),"High")</f>
        <v>High</v>
      </c>
      <c r="S2563" s="8" t="str">
        <f ca="1">IFERROR(__xludf.DUMMYFUNCTION("""COMPUTED_VALUE"""),"Courtyard")</f>
        <v>Courtyard</v>
      </c>
      <c r="T2563" s="8" t="str">
        <f ca="1">IFERROR(__xludf.DUMMYFUNCTION("""COMPUTED_VALUE"""),"Outside on School Property")</f>
        <v>Outside on School Property</v>
      </c>
      <c r="U2563" s="8" t="str">
        <f ca="1">IFERROR(__xludf.DUMMYFUNCTION("""COMPUTED_VALUE"""),"Yes")</f>
        <v>Yes</v>
      </c>
      <c r="V2563" s="8" t="str">
        <f ca="1">IFERROR(__xludf.DUMMYFUNCTION("""COMPUTED_VALUE"""),"Morning Classes")</f>
        <v>Morning Classes</v>
      </c>
      <c r="W2563" s="11">
        <f ca="1">IFERROR(__xludf.DUMMYFUNCTION("""COMPUTED_VALUE"""),0.4375)</f>
        <v>0.4375</v>
      </c>
      <c r="X2563" s="8">
        <f ca="1">IFERROR(__xludf.DUMMYFUNCTION("""COMPUTED_VALUE"""),1)</f>
        <v>1</v>
      </c>
      <c r="Y2563" s="12" t="str">
        <f ca="1">IFERROR(__xludf.DUMMYFUNCTION("""COMPUTED_VALUE"""),"Student commit suicide in outdoor hallway")</f>
        <v>Student commit suicide in outdoor hallway</v>
      </c>
      <c r="Z2563" s="12" t="str">
        <f ca="1">IFERROR(__xludf.DUMMYFUNCTION("""COMPUTED_VALUE"""),"15 year-old Male committed suicide in an outdoor hallway with a .25 handgun. He was a well liked student and football player. Other students knew he had the gun and had been distressed over personal problems, but did not want to tell school officials beca"&amp;"use of the zero tolerance policy for weapons, resulting in an expulsion. The male was in critical condition and passed in the hospital the following evening.")</f>
        <v>15 year-old Male committed suicide in an outdoor hallway with a .25 handgun. He was a well liked student and football player. Other students knew he had the gun and had been distressed over personal problems, but did not want to tell school officials because of the zero tolerance policy for weapons, resulting in an expulsion. The male was in critical condition and passed in the hospital the following evening.</v>
      </c>
      <c r="AA2563" s="8" t="str">
        <f ca="1">IFERROR(__xludf.DUMMYFUNCTION("""COMPUTED_VALUE"""),"Suicide/Attempted")</f>
        <v>Suicide/Attempted</v>
      </c>
      <c r="AB2563" s="8"/>
      <c r="AC2563" s="8"/>
      <c r="AD2563" s="8" t="str">
        <f ca="1">IFERROR(__xludf.DUMMYFUNCTION("""COMPUTED_VALUE"""),"Victims Targeted")</f>
        <v>Victims Targeted</v>
      </c>
      <c r="AE2563" s="8" t="str">
        <f ca="1">IFERROR(__xludf.DUMMYFUNCTION("""COMPUTED_VALUE"""),"No")</f>
        <v>No</v>
      </c>
      <c r="AF2563" s="8"/>
      <c r="AG2563" s="8" t="str">
        <f ca="1">IFERROR(__xludf.DUMMYFUNCTION("""COMPUTED_VALUE"""),"No")</f>
        <v>No</v>
      </c>
      <c r="AH2563" s="8" t="str">
        <f ca="1">IFERROR(__xludf.DUMMYFUNCTION("""COMPUTED_VALUE"""),"No")</f>
        <v>No</v>
      </c>
      <c r="AI2563" s="8" t="str">
        <f ca="1">IFERROR(__xludf.DUMMYFUNCTION("""COMPUTED_VALUE"""),"No")</f>
        <v>No</v>
      </c>
      <c r="AJ2563" s="8" t="str">
        <f ca="1">IFERROR(__xludf.DUMMYFUNCTION("""COMPUTED_VALUE"""),"No")</f>
        <v>No</v>
      </c>
      <c r="AK2563" s="8" t="str">
        <f ca="1">IFERROR(__xludf.DUMMYFUNCTION("""COMPUTED_VALUE"""),"No")</f>
        <v>No</v>
      </c>
      <c r="AL2563" s="8" t="str">
        <f ca="1">IFERROR(__xludf.DUMMYFUNCTION("""COMPUTED_VALUE"""),"No")</f>
        <v>No</v>
      </c>
      <c r="AM2563" s="8"/>
      <c r="AN2563" s="8"/>
      <c r="AO2563" s="8" t="str">
        <f ca="1">IFERROR(__xludf.DUMMYFUNCTION("""COMPUTED_VALUE"""),"No")</f>
        <v>No</v>
      </c>
      <c r="AP2563" s="8"/>
      <c r="AQ2563" s="8" t="str">
        <f ca="1">IFERROR(__xludf.DUMMYFUNCTION("""COMPUTED_VALUE"""),"Unknown")</f>
        <v>Unknown</v>
      </c>
      <c r="AR2563" s="8" t="str">
        <f ca="1">IFERROR(__xludf.DUMMYFUNCTION("""COMPUTED_VALUE"""),"NA")</f>
        <v>NA</v>
      </c>
      <c r="AS2563" s="8">
        <f ca="1">IFERROR(__xludf.DUMMYFUNCTION("""COMPUTED_VALUE"""),1)</f>
        <v>1</v>
      </c>
      <c r="AT2563" s="8"/>
      <c r="AU2563" s="8">
        <f ca="1">IFERROR(__xludf.DUMMYFUNCTION("""COMPUTED_VALUE"""),26.826159)</f>
        <v>26.826159000000001</v>
      </c>
      <c r="AV2563" s="8">
        <f ca="1">IFERROR(__xludf.DUMMYFUNCTION("""COMPUTED_VALUE"""),-80.101154)</f>
        <v>-80.101153999999994</v>
      </c>
      <c r="AW2563" s="8"/>
      <c r="AX2563" s="8">
        <f ca="1">IFERROR(__xludf.DUMMYFUNCTION("""COMPUTED_VALUE"""),33410)</f>
        <v>33410</v>
      </c>
    </row>
    <row r="2564" spans="1:50" ht="75" x14ac:dyDescent="0.2">
      <c r="A2564" s="8" t="str">
        <f ca="1">IFERROR(__xludf.DUMMYFUNCTION("""COMPUTED_VALUE"""),"19950105DCCAW")</f>
        <v>19950105DCCAW</v>
      </c>
      <c r="B2564" s="8">
        <f ca="1">IFERROR(__xludf.DUMMYFUNCTION("""COMPUTED_VALUE"""),1)</f>
        <v>1</v>
      </c>
      <c r="C2564" s="8">
        <f ca="1">IFERROR(__xludf.DUMMYFUNCTION("""COMPUTED_VALUE"""),5)</f>
        <v>5</v>
      </c>
      <c r="D2564" s="8">
        <f ca="1">IFERROR(__xludf.DUMMYFUNCTION("""COMPUTED_VALUE"""),1995)</f>
        <v>1995</v>
      </c>
      <c r="E2564" s="9">
        <f ca="1">IFERROR(__xludf.DUMMYFUNCTION("""COMPUTED_VALUE"""),34704)</f>
        <v>34704</v>
      </c>
      <c r="F2564" s="8" t="str">
        <f ca="1">IFERROR(__xludf.DUMMYFUNCTION("""COMPUTED_VALUE"""),"Cardozo Senior High School")</f>
        <v>Cardozo Senior High School</v>
      </c>
      <c r="G2564" s="8">
        <f ca="1">IFERROR(__xludf.DUMMYFUNCTION("""COMPUTED_VALUE"""),1)</f>
        <v>1</v>
      </c>
      <c r="H2564" s="8">
        <f ca="1">IFERROR(__xludf.DUMMYFUNCTION("""COMPUTED_VALUE"""),0)</f>
        <v>0</v>
      </c>
      <c r="I2564" s="8">
        <f ca="1">IFERROR(__xludf.DUMMYFUNCTION("""COMPUTED_VALUE"""),1)</f>
        <v>1</v>
      </c>
      <c r="J2564" s="8">
        <f ca="1">IFERROR(__xludf.DUMMYFUNCTION("""COMPUTED_VALUE"""),0)</f>
        <v>0</v>
      </c>
      <c r="K2564" s="8" t="str">
        <f ca="1">IFERROR(__xludf.DUMMYFUNCTION("""COMPUTED_VALUE"""),"https://www.washingtonpost.com/archive/local/1995/01/25/student-wounded-in-school-shooting/43b9c1ae-244d-40ed-8bc7-18fec6c338f3/?utm_term=.f2d8f748783b  https://www.washingtonpost.com/archive/local/1995/03/17/teen-pleads-guilty-as-juvenile-to-slaying-of-s"&amp;"tudent-at-cardozo-high-school/e88a8130-dbf4-42ff-a0cf-1d3a339d5ac8/")</f>
        <v>https://www.washingtonpost.com/archive/local/1995/01/25/student-wounded-in-school-shooting/43b9c1ae-244d-40ed-8bc7-18fec6c338f3/?utm_term=.f2d8f748783b  https://www.washingtonpost.com/archive/local/1995/03/17/teen-pleads-guilty-as-juvenile-to-slaying-of-student-at-cardozo-high-school/e88a8130-dbf4-42ff-a0cf-1d3a339d5ac8/</v>
      </c>
      <c r="L2564" s="8"/>
      <c r="M2564" s="8"/>
      <c r="N2564" s="8">
        <f ca="1">IFERROR(__xludf.DUMMYFUNCTION("""COMPUTED_VALUE"""),3)</f>
        <v>3</v>
      </c>
      <c r="O2564" s="8" t="str">
        <f ca="1">IFERROR(__xludf.DUMMYFUNCTION("""COMPUTED_VALUE"""),"Winter")</f>
        <v>Winter</v>
      </c>
      <c r="P2564" s="8" t="str">
        <f ca="1">IFERROR(__xludf.DUMMYFUNCTION("""COMPUTED_VALUE"""),"Washington")</f>
        <v>Washington</v>
      </c>
      <c r="Q2564" s="8" t="str">
        <f ca="1">IFERROR(__xludf.DUMMYFUNCTION("""COMPUTED_VALUE"""),"DC")</f>
        <v>DC</v>
      </c>
      <c r="R2564" s="8" t="str">
        <f ca="1">IFERROR(__xludf.DUMMYFUNCTION("""COMPUTED_VALUE"""),"High")</f>
        <v>High</v>
      </c>
      <c r="S2564" s="8" t="str">
        <f ca="1">IFERROR(__xludf.DUMMYFUNCTION("""COMPUTED_VALUE"""),"Entryway")</f>
        <v>Entryway</v>
      </c>
      <c r="T2564" s="8" t="str">
        <f ca="1">IFERROR(__xludf.DUMMYFUNCTION("""COMPUTED_VALUE"""),"Inside School Building")</f>
        <v>Inside School Building</v>
      </c>
      <c r="U2564" s="8" t="str">
        <f ca="1">IFERROR(__xludf.DUMMYFUNCTION("""COMPUTED_VALUE"""),"Yes")</f>
        <v>Yes</v>
      </c>
      <c r="V2564" s="8" t="str">
        <f ca="1">IFERROR(__xludf.DUMMYFUNCTION("""COMPUTED_VALUE"""),"Lunch")</f>
        <v>Lunch</v>
      </c>
      <c r="W2564" s="11">
        <f ca="1">IFERROR(__xludf.DUMMYFUNCTION("""COMPUTED_VALUE"""),0.520833333333333)</f>
        <v>0.52083333333333304</v>
      </c>
      <c r="X2564" s="8">
        <f ca="1">IFERROR(__xludf.DUMMYFUNCTION("""COMPUTED_VALUE"""),1)</f>
        <v>1</v>
      </c>
      <c r="Y2564" s="12" t="str">
        <f ca="1">IFERROR(__xludf.DUMMYFUNCTION("""COMPUTED_VALUE"""),"8 males entered the school seeking victim in retaliation for previous fight.")</f>
        <v>8 males entered the school seeking victim in retaliation for previous fight.</v>
      </c>
      <c r="Z2564" s="12" t="str">
        <f ca="1">IFERROR(__xludf.DUMMYFUNCTION("""COMPUTED_VALUE"""),"8 males entered the school to confront a victim who had assaulted a female friend of theirs the previous week. A 14 year-old in the group was handed a .380 handgun during the fight killing the targeted victim and injuring two other uninvolved students. Su"&amp;"spects fled the scene.")</f>
        <v>8 males entered the school to confront a victim who had assaulted a female friend of theirs the previous week. A 14 year-old in the group was handed a .380 handgun during the fight killing the targeted victim and injuring two other uninvolved students. Suspects fled the scene.</v>
      </c>
      <c r="AA2564" s="8" t="str">
        <f ca="1">IFERROR(__xludf.DUMMYFUNCTION("""COMPUTED_VALUE"""),"Escalation of Dispute")</f>
        <v>Escalation of Dispute</v>
      </c>
      <c r="AB2564" s="8"/>
      <c r="AC2564" s="8"/>
      <c r="AD2564" s="8" t="str">
        <f ca="1">IFERROR(__xludf.DUMMYFUNCTION("""COMPUTED_VALUE"""),"Both")</f>
        <v>Both</v>
      </c>
      <c r="AE2564" s="8" t="str">
        <f ca="1">IFERROR(__xludf.DUMMYFUNCTION("""COMPUTED_VALUE"""),"No")</f>
        <v>No</v>
      </c>
      <c r="AF2564" s="8" t="str">
        <f ca="1">IFERROR(__xludf.DUMMYFUNCTION("""COMPUTED_VALUE"""),"Philip Baines, 17 gave the shooter the gun")</f>
        <v>Philip Baines, 17 gave the shooter the gun</v>
      </c>
      <c r="AG2564" s="8" t="str">
        <f ca="1">IFERROR(__xludf.DUMMYFUNCTION("""COMPUTED_VALUE"""),"No")</f>
        <v>No</v>
      </c>
      <c r="AH2564" s="8" t="str">
        <f ca="1">IFERROR(__xludf.DUMMYFUNCTION("""COMPUTED_VALUE"""),"No")</f>
        <v>No</v>
      </c>
      <c r="AI2564" s="8" t="str">
        <f ca="1">IFERROR(__xludf.DUMMYFUNCTION("""COMPUTED_VALUE"""),"No")</f>
        <v>No</v>
      </c>
      <c r="AJ2564" s="8" t="str">
        <f ca="1">IFERROR(__xludf.DUMMYFUNCTION("""COMPUTED_VALUE"""),"No")</f>
        <v>No</v>
      </c>
      <c r="AK2564" s="8" t="str">
        <f ca="1">IFERROR(__xludf.DUMMYFUNCTION("""COMPUTED_VALUE"""),"No")</f>
        <v>No</v>
      </c>
      <c r="AL2564" s="8" t="str">
        <f ca="1">IFERROR(__xludf.DUMMYFUNCTION("""COMPUTED_VALUE"""),"Yes")</f>
        <v>Yes</v>
      </c>
      <c r="AM2564" s="8" t="str">
        <f ca="1">IFERROR(__xludf.DUMMYFUNCTION("""COMPUTED_VALUE"""),"No")</f>
        <v>No</v>
      </c>
      <c r="AN2564" s="8"/>
      <c r="AO2564" s="8" t="str">
        <f ca="1">IFERROR(__xludf.DUMMYFUNCTION("""COMPUTED_VALUE"""),"No")</f>
        <v>No</v>
      </c>
      <c r="AP2564" s="8"/>
      <c r="AQ2564" s="8" t="str">
        <f ca="1">IFERROR(__xludf.DUMMYFUNCTION("""COMPUTED_VALUE"""),"Unknown")</f>
        <v>Unknown</v>
      </c>
      <c r="AR2564" s="8" t="str">
        <f ca="1">IFERROR(__xludf.DUMMYFUNCTION("""COMPUTED_VALUE"""),"NA")</f>
        <v>NA</v>
      </c>
      <c r="AS2564" s="8">
        <f ca="1">IFERROR(__xludf.DUMMYFUNCTION("""COMPUTED_VALUE"""),3)</f>
        <v>3</v>
      </c>
      <c r="AT2564" s="8"/>
      <c r="AU2564" s="8">
        <f ca="1">IFERROR(__xludf.DUMMYFUNCTION("""COMPUTED_VALUE"""),38.921482)</f>
        <v>38.921481999999997</v>
      </c>
      <c r="AV2564" s="8">
        <f ca="1">IFERROR(__xludf.DUMMYFUNCTION("""COMPUTED_VALUE"""),-77.028431)</f>
        <v>-77.028430999999998</v>
      </c>
      <c r="AW2564" s="8"/>
      <c r="AX2564" s="8">
        <f ca="1">IFERROR(__xludf.DUMMYFUNCTION("""COMPUTED_VALUE"""),20009)</f>
        <v>20009</v>
      </c>
    </row>
    <row r="2565" spans="1:50" ht="60" x14ac:dyDescent="0.2">
      <c r="A2565" s="8" t="str">
        <f ca="1">IFERROR(__xludf.DUMMYFUNCTION("""COMPUTED_VALUE"""),"19941207FLPAM")</f>
        <v>19941207FLPAM</v>
      </c>
      <c r="B2565" s="8">
        <f ca="1">IFERROR(__xludf.DUMMYFUNCTION("""COMPUTED_VALUE"""),12)</f>
        <v>12</v>
      </c>
      <c r="C2565" s="8">
        <f ca="1">IFERROR(__xludf.DUMMYFUNCTION("""COMPUTED_VALUE"""),7)</f>
        <v>7</v>
      </c>
      <c r="D2565" s="8">
        <f ca="1">IFERROR(__xludf.DUMMYFUNCTION("""COMPUTED_VALUE"""),1994)</f>
        <v>1994</v>
      </c>
      <c r="E2565" s="9">
        <f ca="1">IFERROR(__xludf.DUMMYFUNCTION("""COMPUTED_VALUE"""),34675)</f>
        <v>34675</v>
      </c>
      <c r="F2565" s="8" t="str">
        <f ca="1">IFERROR(__xludf.DUMMYFUNCTION("""COMPUTED_VALUE"""),"Palm Bay High School")</f>
        <v>Palm Bay High School</v>
      </c>
      <c r="G2565" s="8">
        <f ca="1">IFERROR(__xludf.DUMMYFUNCTION("""COMPUTED_VALUE"""),0)</f>
        <v>0</v>
      </c>
      <c r="H2565" s="8">
        <f ca="1">IFERROR(__xludf.DUMMYFUNCTION("""COMPUTED_VALUE"""),0)</f>
        <v>0</v>
      </c>
      <c r="I2565" s="8">
        <f ca="1">IFERROR(__xludf.DUMMYFUNCTION("""COMPUTED_VALUE"""),0)</f>
        <v>0</v>
      </c>
      <c r="J2565" s="8">
        <f ca="1">IFERROR(__xludf.DUMMYFUNCTION("""COMPUTED_VALUE"""),0)</f>
        <v>0</v>
      </c>
      <c r="K2565" s="10" t="str">
        <f ca="1">IFERROR(__xludf.DUMMYFUNCTION("""COMPUTED_VALUE"""),"https://www.orlandosentinel.com/news/os-xpm-1994-12-09-9412080916-story.html")</f>
        <v>https://www.orlandosentinel.com/news/os-xpm-1994-12-09-9412080916-story.html</v>
      </c>
      <c r="L2565" s="8">
        <f ca="1">IFERROR(__xludf.DUMMYFUNCTION("""COMPUTED_VALUE"""),1)</f>
        <v>1</v>
      </c>
      <c r="M2565" s="8" t="str">
        <f ca="1">IFERROR(__xludf.DUMMYFUNCTION("""COMPUTED_VALUE"""),"Local")</f>
        <v>Local</v>
      </c>
      <c r="N2565" s="8">
        <f ca="1">IFERROR(__xludf.DUMMYFUNCTION("""COMPUTED_VALUE"""),2)</f>
        <v>2</v>
      </c>
      <c r="O2565" s="8" t="str">
        <f ca="1">IFERROR(__xludf.DUMMYFUNCTION("""COMPUTED_VALUE"""),"Winter")</f>
        <v>Winter</v>
      </c>
      <c r="P2565" s="8" t="str">
        <f ca="1">IFERROR(__xludf.DUMMYFUNCTION("""COMPUTED_VALUE"""),"Melbourne")</f>
        <v>Melbourne</v>
      </c>
      <c r="Q2565" s="8" t="str">
        <f ca="1">IFERROR(__xludf.DUMMYFUNCTION("""COMPUTED_VALUE"""),"FL")</f>
        <v>FL</v>
      </c>
      <c r="R2565" s="8" t="str">
        <f ca="1">IFERROR(__xludf.DUMMYFUNCTION("""COMPUTED_VALUE"""),"High")</f>
        <v>High</v>
      </c>
      <c r="S2565" s="8" t="str">
        <f ca="1">IFERROR(__xludf.DUMMYFUNCTION("""COMPUTED_VALUE"""),"Courtyard")</f>
        <v>Courtyard</v>
      </c>
      <c r="T2565" s="8" t="str">
        <f ca="1">IFERROR(__xludf.DUMMYFUNCTION("""COMPUTED_VALUE"""),"Outside on School Property")</f>
        <v>Outside on School Property</v>
      </c>
      <c r="U2565" s="8" t="str">
        <f ca="1">IFERROR(__xludf.DUMMYFUNCTION("""COMPUTED_VALUE"""),"Yes")</f>
        <v>Yes</v>
      </c>
      <c r="V2565" s="8" t="str">
        <f ca="1">IFERROR(__xludf.DUMMYFUNCTION("""COMPUTED_VALUE"""),"Afternoon Classes")</f>
        <v>Afternoon Classes</v>
      </c>
      <c r="W2565" s="11">
        <f ca="1">IFERROR(__xludf.DUMMYFUNCTION("""COMPUTED_VALUE"""),0.5)</f>
        <v>0.5</v>
      </c>
      <c r="X2565" s="8">
        <f ca="1">IFERROR(__xludf.DUMMYFUNCTION("""COMPUTED_VALUE"""),1)</f>
        <v>1</v>
      </c>
      <c r="Y2565" s="12" t="str">
        <f ca="1">IFERROR(__xludf.DUMMYFUNCTION("""COMPUTED_VALUE"""),"Teen fired shot during domestic dispute with girlfriend (student)")</f>
        <v>Teen fired shot during domestic dispute with girlfriend (student)</v>
      </c>
      <c r="Z2565" s="12" t="str">
        <f ca="1">IFERROR(__xludf.DUMMYFUNCTION("""COMPUTED_VALUE"""),"19-year-old man fired shot during dispute with girlfriend (student) in the school courtyard. Other students and school resource officer came to her assistance. Shooter arrested.")</f>
        <v>19-year-old man fired shot during dispute with girlfriend (student) in the school courtyard. Other students and school resource officer came to her assistance. Shooter arrested.</v>
      </c>
      <c r="AA2565" s="8" t="str">
        <f ca="1">IFERROR(__xludf.DUMMYFUNCTION("""COMPUTED_VALUE"""),"Domestic w/ Targeted Victim")</f>
        <v>Domestic w/ Targeted Victim</v>
      </c>
      <c r="AB2565" s="8"/>
      <c r="AC2565" s="8"/>
      <c r="AD2565" s="8" t="str">
        <f ca="1">IFERROR(__xludf.DUMMYFUNCTION("""COMPUTED_VALUE"""),"Victims Targeted")</f>
        <v>Victims Targeted</v>
      </c>
      <c r="AE2565" s="8" t="str">
        <f ca="1">IFERROR(__xludf.DUMMYFUNCTION("""COMPUTED_VALUE"""),"No")</f>
        <v>No</v>
      </c>
      <c r="AF2565" s="8"/>
      <c r="AG2565" s="8" t="str">
        <f ca="1">IFERROR(__xludf.DUMMYFUNCTION("""COMPUTED_VALUE"""),"No")</f>
        <v>No</v>
      </c>
      <c r="AH2565" s="8" t="str">
        <f ca="1">IFERROR(__xludf.DUMMYFUNCTION("""COMPUTED_VALUE"""),"No")</f>
        <v>No</v>
      </c>
      <c r="AI2565" s="8" t="str">
        <f ca="1">IFERROR(__xludf.DUMMYFUNCTION("""COMPUTED_VALUE"""),"No")</f>
        <v>No</v>
      </c>
      <c r="AJ2565" s="8" t="str">
        <f ca="1">IFERROR(__xludf.DUMMYFUNCTION("""COMPUTED_VALUE"""),"No")</f>
        <v>No</v>
      </c>
      <c r="AK2565" s="8" t="str">
        <f ca="1">IFERROR(__xludf.DUMMYFUNCTION("""COMPUTED_VALUE"""),"Yes")</f>
        <v>Yes</v>
      </c>
      <c r="AL2565" s="8" t="str">
        <f ca="1">IFERROR(__xludf.DUMMYFUNCTION("""COMPUTED_VALUE"""),"No")</f>
        <v>No</v>
      </c>
      <c r="AM2565" s="8" t="str">
        <f ca="1">IFERROR(__xludf.DUMMYFUNCTION("""COMPUTED_VALUE"""),"No")</f>
        <v>No</v>
      </c>
      <c r="AN2565" s="8"/>
      <c r="AO2565" s="8" t="str">
        <f ca="1">IFERROR(__xludf.DUMMYFUNCTION("""COMPUTED_VALUE"""),"No")</f>
        <v>No</v>
      </c>
      <c r="AP2565" s="8"/>
      <c r="AQ2565" s="8" t="str">
        <f ca="1">IFERROR(__xludf.DUMMYFUNCTION("""COMPUTED_VALUE"""),"Armed Guards")</f>
        <v>Armed Guards</v>
      </c>
      <c r="AR2565" s="8" t="str">
        <f ca="1">IFERROR(__xludf.DUMMYFUNCTION("""COMPUTED_VALUE"""),"Failed")</f>
        <v>Failed</v>
      </c>
      <c r="AS2565" s="8">
        <f ca="1">IFERROR(__xludf.DUMMYFUNCTION("""COMPUTED_VALUE"""),1)</f>
        <v>1</v>
      </c>
      <c r="AT2565" s="8"/>
      <c r="AU2565" s="8">
        <f ca="1">IFERROR(__xludf.DUMMYFUNCTION("""COMPUTED_VALUE"""),28.0481)</f>
        <v>28.048100000000002</v>
      </c>
      <c r="AV2565" s="8">
        <f ca="1">IFERROR(__xludf.DUMMYFUNCTION("""COMPUTED_VALUE"""),-80.618136)</f>
        <v>-80.618136000000007</v>
      </c>
      <c r="AW2565" s="8"/>
      <c r="AX2565" s="8">
        <f ca="1">IFERROR(__xludf.DUMMYFUNCTION("""COMPUTED_VALUE"""),32905)</f>
        <v>32905</v>
      </c>
    </row>
    <row r="2566" spans="1:50" ht="60" x14ac:dyDescent="0.2">
      <c r="A2566" s="8" t="str">
        <f ca="1">IFERROR(__xludf.DUMMYFUNCTION("""COMPUTED_VALUE"""),"19941115WASTT")</f>
        <v>19941115WASTT</v>
      </c>
      <c r="B2566" s="8">
        <f ca="1">IFERROR(__xludf.DUMMYFUNCTION("""COMPUTED_VALUE"""),11)</f>
        <v>11</v>
      </c>
      <c r="C2566" s="8">
        <f ca="1">IFERROR(__xludf.DUMMYFUNCTION("""COMPUTED_VALUE"""),15)</f>
        <v>15</v>
      </c>
      <c r="D2566" s="8">
        <f ca="1">IFERROR(__xludf.DUMMYFUNCTION("""COMPUTED_VALUE"""),1994)</f>
        <v>1994</v>
      </c>
      <c r="E2566" s="9">
        <f ca="1">IFERROR(__xludf.DUMMYFUNCTION("""COMPUTED_VALUE"""),34653)</f>
        <v>34653</v>
      </c>
      <c r="F2566" s="8" t="str">
        <f ca="1">IFERROR(__xludf.DUMMYFUNCTION("""COMPUTED_VALUE"""),"Stadium High School")</f>
        <v>Stadium High School</v>
      </c>
      <c r="G2566" s="8">
        <f ca="1">IFERROR(__xludf.DUMMYFUNCTION("""COMPUTED_VALUE"""),0)</f>
        <v>0</v>
      </c>
      <c r="H2566" s="8">
        <f ca="1">IFERROR(__xludf.DUMMYFUNCTION("""COMPUTED_VALUE"""),0)</f>
        <v>0</v>
      </c>
      <c r="I2566" s="8">
        <f ca="1">IFERROR(__xludf.DUMMYFUNCTION("""COMPUTED_VALUE"""),0)</f>
        <v>0</v>
      </c>
      <c r="J2566" s="8">
        <f ca="1">IFERROR(__xludf.DUMMYFUNCTION("""COMPUTED_VALUE"""),1)</f>
        <v>1</v>
      </c>
      <c r="K2566" s="8" t="str">
        <f ca="1">IFERROR(__xludf.DUMMYFUNCTION("""COMPUTED_VALUE"""),"The News Tribune - 'You'd Never Think He Was Suicidal' Amid Grief, Dead Teen's Family, Friends Ask Themselves Why; https://www.columbine-angels.com/School_Violence_1994-1995.htm")</f>
        <v>The News Tribune - 'You'd Never Think He Was Suicidal' Amid Grief, Dead Teen's Family, Friends Ask Themselves Why; https://www.columbine-angels.com/School_Violence_1994-1995.htm</v>
      </c>
      <c r="L2566" s="8"/>
      <c r="M2566" s="8"/>
      <c r="N2566" s="8">
        <f ca="1">IFERROR(__xludf.DUMMYFUNCTION("""COMPUTED_VALUE"""),1)</f>
        <v>1</v>
      </c>
      <c r="O2566" s="8" t="str">
        <f ca="1">IFERROR(__xludf.DUMMYFUNCTION("""COMPUTED_VALUE"""),"Fall")</f>
        <v>Fall</v>
      </c>
      <c r="P2566" s="8" t="str">
        <f ca="1">IFERROR(__xludf.DUMMYFUNCTION("""COMPUTED_VALUE"""),"Tacoma")</f>
        <v>Tacoma</v>
      </c>
      <c r="Q2566" s="8" t="str">
        <f ca="1">IFERROR(__xludf.DUMMYFUNCTION("""COMPUTED_VALUE"""),"WA")</f>
        <v>WA</v>
      </c>
      <c r="R2566" s="8" t="str">
        <f ca="1">IFERROR(__xludf.DUMMYFUNCTION("""COMPUTED_VALUE"""),"High")</f>
        <v>High</v>
      </c>
      <c r="S2566" s="8" t="str">
        <f ca="1">IFERROR(__xludf.DUMMYFUNCTION("""COMPUTED_VALUE"""),"Hallway")</f>
        <v>Hallway</v>
      </c>
      <c r="T2566" s="8" t="str">
        <f ca="1">IFERROR(__xludf.DUMMYFUNCTION("""COMPUTED_VALUE"""),"Inside School Building")</f>
        <v>Inside School Building</v>
      </c>
      <c r="U2566" s="8" t="str">
        <f ca="1">IFERROR(__xludf.DUMMYFUNCTION("""COMPUTED_VALUE"""),"Yes")</f>
        <v>Yes</v>
      </c>
      <c r="V2566" s="8" t="str">
        <f ca="1">IFERROR(__xludf.DUMMYFUNCTION("""COMPUTED_VALUE"""),"Lunch")</f>
        <v>Lunch</v>
      </c>
      <c r="W2566" s="8"/>
      <c r="X2566" s="8">
        <f ca="1">IFERROR(__xludf.DUMMYFUNCTION("""COMPUTED_VALUE"""),1)</f>
        <v>1</v>
      </c>
      <c r="Y2566" s="12" t="str">
        <f ca="1">IFERROR(__xludf.DUMMYFUNCTION("""COMPUTED_VALUE"""),"Suicide in school hallway")</f>
        <v>Suicide in school hallway</v>
      </c>
      <c r="Z2566" s="12" t="str">
        <f ca="1">IFERROR(__xludf.DUMMYFUNCTION("""COMPUTED_VALUE"""),"Shooter told another student at lunch that he was going to kill himself. Minutes later he shot himself in the school hallway. Shooter was a good student who had recently started to struggle in class.")</f>
        <v>Shooter told another student at lunch that he was going to kill himself. Minutes later he shot himself in the school hallway. Shooter was a good student who had recently started to struggle in class.</v>
      </c>
      <c r="AA2566" s="8" t="str">
        <f ca="1">IFERROR(__xludf.DUMMYFUNCTION("""COMPUTED_VALUE"""),"Suicide/Attempted")</f>
        <v>Suicide/Attempted</v>
      </c>
      <c r="AB2566" s="8"/>
      <c r="AC2566" s="8"/>
      <c r="AD2566" s="8" t="str">
        <f ca="1">IFERROR(__xludf.DUMMYFUNCTION("""COMPUTED_VALUE"""),"Victims Targeted")</f>
        <v>Victims Targeted</v>
      </c>
      <c r="AE2566" s="8" t="str">
        <f ca="1">IFERROR(__xludf.DUMMYFUNCTION("""COMPUTED_VALUE"""),"No")</f>
        <v>No</v>
      </c>
      <c r="AF2566" s="8"/>
      <c r="AG2566" s="8" t="str">
        <f ca="1">IFERROR(__xludf.DUMMYFUNCTION("""COMPUTED_VALUE"""),"No")</f>
        <v>No</v>
      </c>
      <c r="AH2566" s="8" t="str">
        <f ca="1">IFERROR(__xludf.DUMMYFUNCTION("""COMPUTED_VALUE"""),"No")</f>
        <v>No</v>
      </c>
      <c r="AI2566" s="8" t="str">
        <f ca="1">IFERROR(__xludf.DUMMYFUNCTION("""COMPUTED_VALUE"""),"No")</f>
        <v>No</v>
      </c>
      <c r="AJ2566" s="8" t="str">
        <f ca="1">IFERROR(__xludf.DUMMYFUNCTION("""COMPUTED_VALUE"""),"No")</f>
        <v>No</v>
      </c>
      <c r="AK2566" s="8" t="str">
        <f ca="1">IFERROR(__xludf.DUMMYFUNCTION("""COMPUTED_VALUE"""),"No")</f>
        <v>No</v>
      </c>
      <c r="AL2566" s="8" t="str">
        <f ca="1">IFERROR(__xludf.DUMMYFUNCTION("""COMPUTED_VALUE"""),"No")</f>
        <v>No</v>
      </c>
      <c r="AM2566" s="8"/>
      <c r="AN2566" s="8"/>
      <c r="AO2566" s="8" t="str">
        <f ca="1">IFERROR(__xludf.DUMMYFUNCTION("""COMPUTED_VALUE"""),"No")</f>
        <v>No</v>
      </c>
      <c r="AP2566" s="8"/>
      <c r="AQ2566" s="8" t="str">
        <f ca="1">IFERROR(__xludf.DUMMYFUNCTION("""COMPUTED_VALUE"""),"Unknown")</f>
        <v>Unknown</v>
      </c>
      <c r="AR2566" s="8" t="str">
        <f ca="1">IFERROR(__xludf.DUMMYFUNCTION("""COMPUTED_VALUE"""),"NA")</f>
        <v>NA</v>
      </c>
      <c r="AS2566" s="8">
        <f ca="1">IFERROR(__xludf.DUMMYFUNCTION("""COMPUTED_VALUE"""),1)</f>
        <v>1</v>
      </c>
      <c r="AT2566" s="8"/>
      <c r="AU2566" s="8">
        <f ca="1">IFERROR(__xludf.DUMMYFUNCTION("""COMPUTED_VALUE"""),47.265827)</f>
        <v>47.265827000000002</v>
      </c>
      <c r="AV2566" s="8">
        <f ca="1">IFERROR(__xludf.DUMMYFUNCTION("""COMPUTED_VALUE"""),-122.448514)</f>
        <v>-122.448514</v>
      </c>
      <c r="AW2566" s="8"/>
      <c r="AX2566" s="8">
        <f ca="1">IFERROR(__xludf.DUMMYFUNCTION("""COMPUTED_VALUE"""),98403)</f>
        <v>98403</v>
      </c>
    </row>
    <row r="2567" spans="1:50" ht="75" x14ac:dyDescent="0.2">
      <c r="A2567" s="8" t="str">
        <f ca="1">IFERROR(__xludf.DUMMYFUNCTION("""COMPUTED_VALUE"""),"19941108IAWEM")</f>
        <v>19941108IAWEM</v>
      </c>
      <c r="B2567" s="8">
        <f ca="1">IFERROR(__xludf.DUMMYFUNCTION("""COMPUTED_VALUE"""),11)</f>
        <v>11</v>
      </c>
      <c r="C2567" s="8">
        <f ca="1">IFERROR(__xludf.DUMMYFUNCTION("""COMPUTED_VALUE"""),8)</f>
        <v>8</v>
      </c>
      <c r="D2567" s="8">
        <f ca="1">IFERROR(__xludf.DUMMYFUNCTION("""COMPUTED_VALUE"""),1994)</f>
        <v>1994</v>
      </c>
      <c r="E2567" s="9">
        <f ca="1">IFERROR(__xludf.DUMMYFUNCTION("""COMPUTED_VALUE"""),34646)</f>
        <v>34646</v>
      </c>
      <c r="F2567" s="8" t="str">
        <f ca="1">IFERROR(__xludf.DUMMYFUNCTION("""COMPUTED_VALUE"""),"West Delaware High School")</f>
        <v>West Delaware High School</v>
      </c>
      <c r="G2567" s="8">
        <f ca="1">IFERROR(__xludf.DUMMYFUNCTION("""COMPUTED_VALUE"""),0)</f>
        <v>0</v>
      </c>
      <c r="H2567" s="8">
        <f ca="1">IFERROR(__xludf.DUMMYFUNCTION("""COMPUTED_VALUE"""),1)</f>
        <v>1</v>
      </c>
      <c r="I2567" s="8">
        <f ca="1">IFERROR(__xludf.DUMMYFUNCTION("""COMPUTED_VALUE"""),1)</f>
        <v>1</v>
      </c>
      <c r="J2567" s="8">
        <f ca="1">IFERROR(__xludf.DUMMYFUNCTION("""COMPUTED_VALUE"""),0)</f>
        <v>0</v>
      </c>
      <c r="K2567" s="8" t="str">
        <f ca="1">IFERROR(__xludf.DUMMYFUNCTION("""COMPUTED_VALUE"""),"Cedar Rapids-Iowa City Gazette - Shooting Jolts School - W. Delaware Officials Hope for Return to Normalcy; https://www.columbine-angels.com/School_Violence_1994-1995.htm")</f>
        <v>Cedar Rapids-Iowa City Gazette - Shooting Jolts School - W. Delaware Officials Hope for Return to Normalcy; https://www.columbine-angels.com/School_Violence_1994-1995.htm</v>
      </c>
      <c r="L2567" s="8"/>
      <c r="M2567" s="8"/>
      <c r="N2567" s="8">
        <f ca="1">IFERROR(__xludf.DUMMYFUNCTION("""COMPUTED_VALUE"""),1)</f>
        <v>1</v>
      </c>
      <c r="O2567" s="8" t="str">
        <f ca="1">IFERROR(__xludf.DUMMYFUNCTION("""COMPUTED_VALUE"""),"Fall")</f>
        <v>Fall</v>
      </c>
      <c r="P2567" s="8" t="str">
        <f ca="1">IFERROR(__xludf.DUMMYFUNCTION("""COMPUTED_VALUE"""),"Manchester")</f>
        <v>Manchester</v>
      </c>
      <c r="Q2567" s="8" t="str">
        <f ca="1">IFERROR(__xludf.DUMMYFUNCTION("""COMPUTED_VALUE"""),"IA")</f>
        <v>IA</v>
      </c>
      <c r="R2567" s="8" t="str">
        <f ca="1">IFERROR(__xludf.DUMMYFUNCTION("""COMPUTED_VALUE"""),"High")</f>
        <v>High</v>
      </c>
      <c r="S2567" s="8" t="str">
        <f ca="1">IFERROR(__xludf.DUMMYFUNCTION("""COMPUTED_VALUE"""),"Office")</f>
        <v>Office</v>
      </c>
      <c r="T2567" s="8" t="str">
        <f ca="1">IFERROR(__xludf.DUMMYFUNCTION("""COMPUTED_VALUE"""),"Inside School Building")</f>
        <v>Inside School Building</v>
      </c>
      <c r="U2567" s="8" t="str">
        <f ca="1">IFERROR(__xludf.DUMMYFUNCTION("""COMPUTED_VALUE"""),"Yes")</f>
        <v>Yes</v>
      </c>
      <c r="V2567" s="8" t="str">
        <f ca="1">IFERROR(__xludf.DUMMYFUNCTION("""COMPUTED_VALUE"""),"Not a School Day")</f>
        <v>Not a School Day</v>
      </c>
      <c r="W2567" s="11">
        <f ca="1">IFERROR(__xludf.DUMMYFUNCTION("""COMPUTED_VALUE"""),0.583333333333333)</f>
        <v>0.58333333333333304</v>
      </c>
      <c r="X2567" s="8">
        <f ca="1">IFERROR(__xludf.DUMMYFUNCTION("""COMPUTED_VALUE"""),1)</f>
        <v>1</v>
      </c>
      <c r="Y2567" s="12" t="str">
        <f ca="1">IFERROR(__xludf.DUMMYFUNCTION("""COMPUTED_VALUE"""),"Fired two shotgun shells from outside school administrator's office")</f>
        <v>Fired two shotgun shells from outside school administrator's office</v>
      </c>
      <c r="Z2567" s="12" t="str">
        <f ca="1">IFERROR(__xludf.DUMMYFUNCTION("""COMPUTED_VALUE"""),"16YO shooter fired two shots from outside the school office causing minor injuries to the school secretary. School was not in session during the shooting.")</f>
        <v>16YO shooter fired two shots from outside the school office causing minor injuries to the school secretary. School was not in session during the shooting.</v>
      </c>
      <c r="AA2567" s="8" t="str">
        <f ca="1">IFERROR(__xludf.DUMMYFUNCTION("""COMPUTED_VALUE"""),"Intentional Property Damage")</f>
        <v>Intentional Property Damage</v>
      </c>
      <c r="AB2567" s="8"/>
      <c r="AC2567" s="8"/>
      <c r="AD2567" s="8" t="str">
        <f ca="1">IFERROR(__xludf.DUMMYFUNCTION("""COMPUTED_VALUE"""),"Random Shooting")</f>
        <v>Random Shooting</v>
      </c>
      <c r="AE2567" s="8" t="str">
        <f ca="1">IFERROR(__xludf.DUMMYFUNCTION("""COMPUTED_VALUE"""),"No")</f>
        <v>No</v>
      </c>
      <c r="AF2567" s="8"/>
      <c r="AG2567" s="8" t="str">
        <f ca="1">IFERROR(__xludf.DUMMYFUNCTION("""COMPUTED_VALUE"""),"No")</f>
        <v>No</v>
      </c>
      <c r="AH2567" s="8" t="str">
        <f ca="1">IFERROR(__xludf.DUMMYFUNCTION("""COMPUTED_VALUE"""),"No")</f>
        <v>No</v>
      </c>
      <c r="AI2567" s="8" t="str">
        <f ca="1">IFERROR(__xludf.DUMMYFUNCTION("""COMPUTED_VALUE"""),"No")</f>
        <v>No</v>
      </c>
      <c r="AJ2567" s="8" t="str">
        <f ca="1">IFERROR(__xludf.DUMMYFUNCTION("""COMPUTED_VALUE"""),"No")</f>
        <v>No</v>
      </c>
      <c r="AK2567" s="8" t="str">
        <f ca="1">IFERROR(__xludf.DUMMYFUNCTION("""COMPUTED_VALUE"""),"No")</f>
        <v>No</v>
      </c>
      <c r="AL2567" s="8" t="str">
        <f ca="1">IFERROR(__xludf.DUMMYFUNCTION("""COMPUTED_VALUE"""),"No")</f>
        <v>No</v>
      </c>
      <c r="AM2567" s="8"/>
      <c r="AN2567" s="8"/>
      <c r="AO2567" s="8" t="str">
        <f ca="1">IFERROR(__xludf.DUMMYFUNCTION("""COMPUTED_VALUE"""),"No")</f>
        <v>No</v>
      </c>
      <c r="AP2567" s="8"/>
      <c r="AQ2567" s="8" t="str">
        <f ca="1">IFERROR(__xludf.DUMMYFUNCTION("""COMPUTED_VALUE"""),"Unknown")</f>
        <v>Unknown</v>
      </c>
      <c r="AR2567" s="8" t="str">
        <f ca="1">IFERROR(__xludf.DUMMYFUNCTION("""COMPUTED_VALUE"""),"NA")</f>
        <v>NA</v>
      </c>
      <c r="AS2567" s="8"/>
      <c r="AT2567" s="8"/>
      <c r="AU2567" s="8">
        <f ca="1">IFERROR(__xludf.DUMMYFUNCTION("""COMPUTED_VALUE"""),42.489133)</f>
        <v>42.489133000000002</v>
      </c>
      <c r="AV2567" s="8">
        <f ca="1">IFERROR(__xludf.DUMMYFUNCTION("""COMPUTED_VALUE"""),-91.453738)</f>
        <v>-91.453738000000001</v>
      </c>
      <c r="AW2567" s="8"/>
      <c r="AX2567" s="8">
        <f ca="1">IFERROR(__xludf.DUMMYFUNCTION("""COMPUTED_VALUE"""),52057)</f>
        <v>52057</v>
      </c>
    </row>
    <row r="2568" spans="1:50" ht="90" x14ac:dyDescent="0.2">
      <c r="A2568" s="8" t="str">
        <f ca="1">IFERROR(__xludf.DUMMYFUNCTION("""COMPUTED_VALUE"""),"19941107OHWIW")</f>
        <v>19941107OHWIW</v>
      </c>
      <c r="B2568" s="8">
        <f ca="1">IFERROR(__xludf.DUMMYFUNCTION("""COMPUTED_VALUE"""),11)</f>
        <v>11</v>
      </c>
      <c r="C2568" s="8">
        <f ca="1">IFERROR(__xludf.DUMMYFUNCTION("""COMPUTED_VALUE"""),7)</f>
        <v>7</v>
      </c>
      <c r="D2568" s="8">
        <f ca="1">IFERROR(__xludf.DUMMYFUNCTION("""COMPUTED_VALUE"""),1994)</f>
        <v>1994</v>
      </c>
      <c r="E2568" s="9">
        <f ca="1">IFERROR(__xludf.DUMMYFUNCTION("""COMPUTED_VALUE"""),34645)</f>
        <v>34645</v>
      </c>
      <c r="F2568" s="8" t="str">
        <f ca="1">IFERROR(__xludf.DUMMYFUNCTION("""COMPUTED_VALUE"""),"Wickliffe Middle School")</f>
        <v>Wickliffe Middle School</v>
      </c>
      <c r="G2568" s="8">
        <f ca="1">IFERROR(__xludf.DUMMYFUNCTION("""COMPUTED_VALUE"""),1)</f>
        <v>1</v>
      </c>
      <c r="H2568" s="8">
        <f ca="1">IFERROR(__xludf.DUMMYFUNCTION("""COMPUTED_VALUE"""),4)</f>
        <v>4</v>
      </c>
      <c r="I2568" s="8">
        <f ca="1">IFERROR(__xludf.DUMMYFUNCTION("""COMPUTED_VALUE"""),5)</f>
        <v>5</v>
      </c>
      <c r="J2568" s="8">
        <f ca="1">IFERROR(__xludf.DUMMYFUNCTION("""COMPUTED_VALUE"""),0)</f>
        <v>0</v>
      </c>
      <c r="K2568" s="8" t="str">
        <f ca="1">IFERROR(__xludf.DUMMYFUNCTION("""COMPUTED_VALUE"""),"http://www.cleveland.com/metro/index.ssf/2014/11/1994_wickliffe_school_shooting_terror_enters_middle_school_detailed_description_of_the_shooting_unfolding.html   http://www.news-herald.com/general-news/20120229/remembering-1994-wickliffe-middle-school-sho"&amp;"oter-has-since-died-in-prison")</f>
        <v>http://www.cleveland.com/metro/index.ssf/2014/11/1994_wickliffe_school_shooting_terror_enters_middle_school_detailed_description_of_the_shooting_unfolding.html   http://www.news-herald.com/general-news/20120229/remembering-1994-wickliffe-middle-school-shooter-has-since-died-in-prison</v>
      </c>
      <c r="L2568" s="8"/>
      <c r="M2568" s="8"/>
      <c r="N2568" s="8">
        <f ca="1">IFERROR(__xludf.DUMMYFUNCTION("""COMPUTED_VALUE"""),2)</f>
        <v>2</v>
      </c>
      <c r="O2568" s="8" t="str">
        <f ca="1">IFERROR(__xludf.DUMMYFUNCTION("""COMPUTED_VALUE"""),"Fall")</f>
        <v>Fall</v>
      </c>
      <c r="P2568" s="8" t="str">
        <f ca="1">IFERROR(__xludf.DUMMYFUNCTION("""COMPUTED_VALUE"""),"Wickliffe")</f>
        <v>Wickliffe</v>
      </c>
      <c r="Q2568" s="8" t="str">
        <f ca="1">IFERROR(__xludf.DUMMYFUNCTION("""COMPUTED_VALUE"""),"OH")</f>
        <v>OH</v>
      </c>
      <c r="R2568" s="8" t="str">
        <f ca="1">IFERROR(__xludf.DUMMYFUNCTION("""COMPUTED_VALUE"""),"Middle")</f>
        <v>Middle</v>
      </c>
      <c r="S2568" s="8" t="str">
        <f ca="1">IFERROR(__xludf.DUMMYFUNCTION("""COMPUTED_VALUE"""),"Hallway")</f>
        <v>Hallway</v>
      </c>
      <c r="T2568" s="8" t="str">
        <f ca="1">IFERROR(__xludf.DUMMYFUNCTION("""COMPUTED_VALUE"""),"Inside School Building")</f>
        <v>Inside School Building</v>
      </c>
      <c r="U2568" s="8" t="str">
        <f ca="1">IFERROR(__xludf.DUMMYFUNCTION("""COMPUTED_VALUE"""),"Yes")</f>
        <v>Yes</v>
      </c>
      <c r="V2568" s="8"/>
      <c r="W2568" s="8"/>
      <c r="X2568" s="8"/>
      <c r="Y2568" s="12" t="str">
        <f ca="1">IFERROR(__xludf.DUMMYFUNCTION("""COMPUTED_VALUE"""),"Stopped taking medications, fired at multiple school employees")</f>
        <v>Stopped taking medications, fired at multiple school employees</v>
      </c>
      <c r="Z2568" s="12" t="str">
        <f ca="1">IFERROR(__xludf.DUMMYFUNCTION("""COMPUTED_VALUE"""),"Shooter was a former student at Wickliffe Middle School. He shot and killed a custodian, as well as wounding the assistant principal, a police officer, and two teachers. Relatives reported shooter was diagnosed as having paranoid schizophrenia and had not"&amp;" been taking medications.")</f>
        <v>Shooter was a former student at Wickliffe Middle School. He shot and killed a custodian, as well as wounding the assistant principal, a police officer, and two teachers. Relatives reported shooter was diagnosed as having paranoid schizophrenia and had not been taking medications.</v>
      </c>
      <c r="AA2568" s="8" t="str">
        <f ca="1">IFERROR(__xludf.DUMMYFUNCTION("""COMPUTED_VALUE"""),"Psychosis")</f>
        <v>Psychosis</v>
      </c>
      <c r="AB2568" s="8"/>
      <c r="AC2568" s="8"/>
      <c r="AD2568" s="8" t="str">
        <f ca="1">IFERROR(__xludf.DUMMYFUNCTION("""COMPUTED_VALUE"""),"Random Shooting")</f>
        <v>Random Shooting</v>
      </c>
      <c r="AE2568" s="8" t="str">
        <f ca="1">IFERROR(__xludf.DUMMYFUNCTION("""COMPUTED_VALUE"""),"No")</f>
        <v>No</v>
      </c>
      <c r="AF2568" s="8"/>
      <c r="AG2568" s="8" t="str">
        <f ca="1">IFERROR(__xludf.DUMMYFUNCTION("""COMPUTED_VALUE"""),"No")</f>
        <v>No</v>
      </c>
      <c r="AH2568" s="8" t="str">
        <f ca="1">IFERROR(__xludf.DUMMYFUNCTION("""COMPUTED_VALUE"""),"Yes")</f>
        <v>Yes</v>
      </c>
      <c r="AI2568" s="8" t="str">
        <f ca="1">IFERROR(__xludf.DUMMYFUNCTION("""COMPUTED_VALUE"""),"No")</f>
        <v>No</v>
      </c>
      <c r="AJ2568" s="8" t="str">
        <f ca="1">IFERROR(__xludf.DUMMYFUNCTION("""COMPUTED_VALUE"""),"No")</f>
        <v>No</v>
      </c>
      <c r="AK2568" s="8" t="str">
        <f ca="1">IFERROR(__xludf.DUMMYFUNCTION("""COMPUTED_VALUE"""),"No")</f>
        <v>No</v>
      </c>
      <c r="AL2568" s="8" t="str">
        <f ca="1">IFERROR(__xludf.DUMMYFUNCTION("""COMPUTED_VALUE"""),"No")</f>
        <v>No</v>
      </c>
      <c r="AM2568" s="8" t="str">
        <f ca="1">IFERROR(__xludf.DUMMYFUNCTION("""COMPUTED_VALUE"""),"Yes")</f>
        <v>Yes</v>
      </c>
      <c r="AN2568" s="8" t="str">
        <f ca="1">IFERROR(__xludf.DUMMYFUNCTION("""COMPUTED_VALUE"""),"Hallway")</f>
        <v>Hallway</v>
      </c>
      <c r="AO2568" s="8" t="str">
        <f ca="1">IFERROR(__xludf.DUMMYFUNCTION("""COMPUTED_VALUE"""),"Yes")</f>
        <v>Yes</v>
      </c>
      <c r="AP2568" s="8"/>
      <c r="AQ2568" s="8" t="str">
        <f ca="1">IFERROR(__xludf.DUMMYFUNCTION("""COMPUTED_VALUE"""),"Unknown")</f>
        <v>Unknown</v>
      </c>
      <c r="AR2568" s="8" t="str">
        <f ca="1">IFERROR(__xludf.DUMMYFUNCTION("""COMPUTED_VALUE"""),"NA")</f>
        <v>NA</v>
      </c>
      <c r="AS2568" s="8"/>
      <c r="AT2568" s="8"/>
      <c r="AU2568" s="8">
        <f ca="1">IFERROR(__xludf.DUMMYFUNCTION("""COMPUTED_VALUE"""),41.605519)</f>
        <v>41.605519000000001</v>
      </c>
      <c r="AV2568" s="8">
        <f ca="1">IFERROR(__xludf.DUMMYFUNCTION("""COMPUTED_VALUE"""),-81.474479)</f>
        <v>-81.474479000000002</v>
      </c>
      <c r="AW2568" s="8"/>
      <c r="AX2568" s="8">
        <f ca="1">IFERROR(__xludf.DUMMYFUNCTION("""COMPUTED_VALUE"""),44092)</f>
        <v>44092</v>
      </c>
    </row>
    <row r="2569" spans="1:50" ht="90" x14ac:dyDescent="0.2">
      <c r="A2569" s="8" t="str">
        <f ca="1">IFERROR(__xludf.DUMMYFUNCTION("""COMPUTED_VALUE"""),"19941105CATHS")</f>
        <v>19941105CATHS</v>
      </c>
      <c r="B2569" s="8">
        <f ca="1">IFERROR(__xludf.DUMMYFUNCTION("""COMPUTED_VALUE"""),11)</f>
        <v>11</v>
      </c>
      <c r="C2569" s="8">
        <f ca="1">IFERROR(__xludf.DUMMYFUNCTION("""COMPUTED_VALUE"""),5)</f>
        <v>5</v>
      </c>
      <c r="D2569" s="8">
        <f ca="1">IFERROR(__xludf.DUMMYFUNCTION("""COMPUTED_VALUE"""),1994)</f>
        <v>1994</v>
      </c>
      <c r="E2569" s="9">
        <f ca="1">IFERROR(__xludf.DUMMYFUNCTION("""COMPUTED_VALUE"""),34643)</f>
        <v>34643</v>
      </c>
      <c r="F2569" s="8" t="str">
        <f ca="1">IFERROR(__xludf.DUMMYFUNCTION("""COMPUTED_VALUE"""),"Thomas Jefferson Elementary School")</f>
        <v>Thomas Jefferson Elementary School</v>
      </c>
      <c r="G2569" s="8">
        <f ca="1">IFERROR(__xludf.DUMMYFUNCTION("""COMPUTED_VALUE"""),1)</f>
        <v>1</v>
      </c>
      <c r="H2569" s="8">
        <f ca="1">IFERROR(__xludf.DUMMYFUNCTION("""COMPUTED_VALUE"""),0)</f>
        <v>0</v>
      </c>
      <c r="I2569" s="8">
        <f ca="1">IFERROR(__xludf.DUMMYFUNCTION("""COMPUTED_VALUE"""),1)</f>
        <v>1</v>
      </c>
      <c r="J2569" s="8">
        <f ca="1">IFERROR(__xludf.DUMMYFUNCTION("""COMPUTED_VALUE"""),0)</f>
        <v>0</v>
      </c>
      <c r="K2569" s="10" t="str">
        <f ca="1">IFERROR(__xludf.DUMMYFUNCTION("""COMPUTED_VALUE"""),"https://www.sfgate.com/bayarea/article/SAN-LEANDRO-Suspect-named-in-1994-slaying-2596999.php")</f>
        <v>https://www.sfgate.com/bayarea/article/SAN-LEANDRO-Suspect-named-in-1994-slaying-2596999.php</v>
      </c>
      <c r="L2569" s="8"/>
      <c r="M2569" s="8"/>
      <c r="N2569" s="8">
        <f ca="1">IFERROR(__xludf.DUMMYFUNCTION("""COMPUTED_VALUE"""),4)</f>
        <v>4</v>
      </c>
      <c r="O2569" s="8" t="str">
        <f ca="1">IFERROR(__xludf.DUMMYFUNCTION("""COMPUTED_VALUE"""),"Fall")</f>
        <v>Fall</v>
      </c>
      <c r="P2569" s="8" t="str">
        <f ca="1">IFERROR(__xludf.DUMMYFUNCTION("""COMPUTED_VALUE"""),"San Leandro")</f>
        <v>San Leandro</v>
      </c>
      <c r="Q2569" s="8" t="str">
        <f ca="1">IFERROR(__xludf.DUMMYFUNCTION("""COMPUTED_VALUE"""),"CA")</f>
        <v>CA</v>
      </c>
      <c r="R2569" s="8" t="str">
        <f ca="1">IFERROR(__xludf.DUMMYFUNCTION("""COMPUTED_VALUE"""),"Elementary")</f>
        <v>Elementary</v>
      </c>
      <c r="S2569" s="8" t="str">
        <f ca="1">IFERROR(__xludf.DUMMYFUNCTION("""COMPUTED_VALUE"""),"Field (General)")</f>
        <v>Field (General)</v>
      </c>
      <c r="T2569" s="8" t="str">
        <f ca="1">IFERROR(__xludf.DUMMYFUNCTION("""COMPUTED_VALUE"""),"Outside on School Property")</f>
        <v>Outside on School Property</v>
      </c>
      <c r="U2569" s="8" t="str">
        <f ca="1">IFERROR(__xludf.DUMMYFUNCTION("""COMPUTED_VALUE"""),"No")</f>
        <v>No</v>
      </c>
      <c r="V2569" s="8" t="str">
        <f ca="1">IFERROR(__xludf.DUMMYFUNCTION("""COMPUTED_VALUE"""),"Night")</f>
        <v>Night</v>
      </c>
      <c r="W2569" s="8"/>
      <c r="X2569" s="8"/>
      <c r="Y2569" s="12" t="str">
        <f ca="1">IFERROR(__xludf.DUMMYFUNCTION("""COMPUTED_VALUE"""),"Female teenager (non-student) killed outside of school while walking home by unknown male")</f>
        <v>Female teenager (non-student) killed outside of school while walking home by unknown male</v>
      </c>
      <c r="Z2569" s="12" t="str">
        <f ca="1">IFERROR(__xludf.DUMMYFUNCTION("""COMPUTED_VALUE"""),"Victim was walking home from football game and took shortcut through the elementary school grounds. Unclear if she was walking with an unknown male or being followed. She was found dead from a GSW to the head outside of the school. Victim was sexually ass"&amp;"aulted prior to shooting. Unknown suspect and no arrest made.")</f>
        <v>Victim was walking home from football game and took shortcut through the elementary school grounds. Unclear if she was walking with an unknown male or being followed. She was found dead from a GSW to the head outside of the school. Victim was sexually assaulted prior to shooting. Unknown suspect and no arrest made.</v>
      </c>
      <c r="AA2569" s="8" t="str">
        <f ca="1">IFERROR(__xludf.DUMMYFUNCTION("""COMPUTED_VALUE"""),"Unknown")</f>
        <v>Unknown</v>
      </c>
      <c r="AB2569" s="8"/>
      <c r="AC2569" s="8"/>
      <c r="AD2569" s="8" t="str">
        <f ca="1">IFERROR(__xludf.DUMMYFUNCTION("""COMPUTED_VALUE"""),"Victims Targeted")</f>
        <v>Victims Targeted</v>
      </c>
      <c r="AE2569" s="8" t="str">
        <f ca="1">IFERROR(__xludf.DUMMYFUNCTION("""COMPUTED_VALUE"""),"No")</f>
        <v>No</v>
      </c>
      <c r="AF2569" s="8"/>
      <c r="AG2569" s="8" t="str">
        <f ca="1">IFERROR(__xludf.DUMMYFUNCTION("""COMPUTED_VALUE"""),"No")</f>
        <v>No</v>
      </c>
      <c r="AH2569" s="8" t="str">
        <f ca="1">IFERROR(__xludf.DUMMYFUNCTION("""COMPUTED_VALUE"""),"No")</f>
        <v>No</v>
      </c>
      <c r="AI2569" s="8" t="str">
        <f ca="1">IFERROR(__xludf.DUMMYFUNCTION("""COMPUTED_VALUE"""),"No")</f>
        <v>No</v>
      </c>
      <c r="AJ2569" s="8" t="str">
        <f ca="1">IFERROR(__xludf.DUMMYFUNCTION("""COMPUTED_VALUE"""),"No")</f>
        <v>No</v>
      </c>
      <c r="AK2569" s="8"/>
      <c r="AL2569" s="8" t="str">
        <f ca="1">IFERROR(__xludf.DUMMYFUNCTION("""COMPUTED_VALUE"""),"No")</f>
        <v>No</v>
      </c>
      <c r="AM2569" s="8"/>
      <c r="AN2569" s="8"/>
      <c r="AO2569" s="8" t="str">
        <f ca="1">IFERROR(__xludf.DUMMYFUNCTION("""COMPUTED_VALUE"""),"No")</f>
        <v>No</v>
      </c>
      <c r="AP2569" s="8"/>
      <c r="AQ2569" s="8" t="str">
        <f ca="1">IFERROR(__xludf.DUMMYFUNCTION("""COMPUTED_VALUE"""),"Unknown")</f>
        <v>Unknown</v>
      </c>
      <c r="AR2569" s="8" t="str">
        <f ca="1">IFERROR(__xludf.DUMMYFUNCTION("""COMPUTED_VALUE"""),"NA")</f>
        <v>NA</v>
      </c>
      <c r="AS2569" s="8">
        <f ca="1">IFERROR(__xludf.DUMMYFUNCTION("""COMPUTED_VALUE"""),1)</f>
        <v>1</v>
      </c>
      <c r="AT2569" s="8"/>
      <c r="AU2569" s="8">
        <f ca="1">IFERROR(__xludf.DUMMYFUNCTION("""COMPUTED_VALUE"""),37.712576)</f>
        <v>37.712575999999999</v>
      </c>
      <c r="AV2569" s="8">
        <f ca="1">IFERROR(__xludf.DUMMYFUNCTION("""COMPUTED_VALUE"""),-122.135815)</f>
        <v>-122.13581499999999</v>
      </c>
      <c r="AW2569" s="8"/>
      <c r="AX2569" s="8">
        <f ca="1">IFERROR(__xludf.DUMMYFUNCTION("""COMPUTED_VALUE"""),94578)</f>
        <v>94578</v>
      </c>
    </row>
    <row r="2570" spans="1:50" ht="75" x14ac:dyDescent="0.2">
      <c r="A2570" s="8" t="str">
        <f ca="1">IFERROR(__xludf.DUMMYFUNCTION("""COMPUTED_VALUE"""),"19941031CAALA")</f>
        <v>19941031CAALA</v>
      </c>
      <c r="B2570" s="8">
        <f ca="1">IFERROR(__xludf.DUMMYFUNCTION("""COMPUTED_VALUE"""),10)</f>
        <v>10</v>
      </c>
      <c r="C2570" s="8">
        <f ca="1">IFERROR(__xludf.DUMMYFUNCTION("""COMPUTED_VALUE"""),31)</f>
        <v>31</v>
      </c>
      <c r="D2570" s="8">
        <f ca="1">IFERROR(__xludf.DUMMYFUNCTION("""COMPUTED_VALUE"""),1994)</f>
        <v>1994</v>
      </c>
      <c r="E2570" s="9">
        <f ca="1">IFERROR(__xludf.DUMMYFUNCTION("""COMPUTED_VALUE"""),34638)</f>
        <v>34638</v>
      </c>
      <c r="F2570" s="8" t="str">
        <f ca="1">IFERROR(__xludf.DUMMYFUNCTION("""COMPUTED_VALUE"""),"Aliso Niguel High school")</f>
        <v>Aliso Niguel High school</v>
      </c>
      <c r="G2570" s="8">
        <f ca="1">IFERROR(__xludf.DUMMYFUNCTION("""COMPUTED_VALUE"""),0)</f>
        <v>0</v>
      </c>
      <c r="H2570" s="8">
        <f ca="1">IFERROR(__xludf.DUMMYFUNCTION("""COMPUTED_VALUE"""),0)</f>
        <v>0</v>
      </c>
      <c r="I2570" s="8">
        <f ca="1">IFERROR(__xludf.DUMMYFUNCTION("""COMPUTED_VALUE"""),0)</f>
        <v>0</v>
      </c>
      <c r="J2570" s="8">
        <f ca="1">IFERROR(__xludf.DUMMYFUNCTION("""COMPUTED_VALUE"""),0)</f>
        <v>0</v>
      </c>
      <c r="K2570" s="10" t="str">
        <f ca="1">IFERROR(__xludf.DUMMYFUNCTION("""COMPUTED_VALUE"""),"http://articles.latimes.com/1994-11-01/local/me-57381_1_aliso-niguel-high-student")</f>
        <v>http://articles.latimes.com/1994-11-01/local/me-57381_1_aliso-niguel-high-student</v>
      </c>
      <c r="L2570" s="8"/>
      <c r="M2570" s="8"/>
      <c r="N2570" s="8">
        <f ca="1">IFERROR(__xludf.DUMMYFUNCTION("""COMPUTED_VALUE"""),2)</f>
        <v>2</v>
      </c>
      <c r="O2570" s="8" t="str">
        <f ca="1">IFERROR(__xludf.DUMMYFUNCTION("""COMPUTED_VALUE"""),"Fall")</f>
        <v>Fall</v>
      </c>
      <c r="P2570" s="8" t="str">
        <f ca="1">IFERROR(__xludf.DUMMYFUNCTION("""COMPUTED_VALUE"""),"Aliso Veijo")</f>
        <v>Aliso Veijo</v>
      </c>
      <c r="Q2570" s="8" t="str">
        <f ca="1">IFERROR(__xludf.DUMMYFUNCTION("""COMPUTED_VALUE"""),"CA")</f>
        <v>CA</v>
      </c>
      <c r="R2570" s="8" t="str">
        <f ca="1">IFERROR(__xludf.DUMMYFUNCTION("""COMPUTED_VALUE"""),"High")</f>
        <v>High</v>
      </c>
      <c r="S2570" s="8" t="str">
        <f ca="1">IFERROR(__xludf.DUMMYFUNCTION("""COMPUTED_VALUE"""),"Classroom")</f>
        <v>Classroom</v>
      </c>
      <c r="T2570" s="8" t="str">
        <f ca="1">IFERROR(__xludf.DUMMYFUNCTION("""COMPUTED_VALUE"""),"Inside School Building")</f>
        <v>Inside School Building</v>
      </c>
      <c r="U2570" s="8" t="str">
        <f ca="1">IFERROR(__xludf.DUMMYFUNCTION("""COMPUTED_VALUE"""),"Yes")</f>
        <v>Yes</v>
      </c>
      <c r="V2570" s="8" t="str">
        <f ca="1">IFERROR(__xludf.DUMMYFUNCTION("""COMPUTED_VALUE"""),"Afternoon Classes")</f>
        <v>Afternoon Classes</v>
      </c>
      <c r="W2570" s="11">
        <f ca="1">IFERROR(__xludf.DUMMYFUNCTION("""COMPUTED_VALUE"""),0.530555555555555)</f>
        <v>0.530555555555555</v>
      </c>
      <c r="X2570" s="8">
        <f ca="1">IFERROR(__xludf.DUMMYFUNCTION("""COMPUTED_VALUE"""),1)</f>
        <v>1</v>
      </c>
      <c r="Y2570" s="12" t="str">
        <f ca="1">IFERROR(__xludf.DUMMYFUNCTION("""COMPUTED_VALUE"""),"Distraught over girlfriend breakup - attempted suicide in classroom with weapon")</f>
        <v>Distraught over girlfriend breakup - attempted suicide in classroom with weapon</v>
      </c>
      <c r="Z2570" s="12" t="str">
        <f ca="1">IFERROR(__xludf.DUMMYFUNCTION("""COMPUTED_VALUE"""),"Shooter tried to commit suicide after girlfriend of 18 months broke up with him. He shot himself in front of her during 5 hour photography class. told friends prior he would do it - they didn't believe him as he had made threats in past.")</f>
        <v>Shooter tried to commit suicide after girlfriend of 18 months broke up with him. He shot himself in front of her during 5 hour photography class. told friends prior he would do it - they didn't believe him as he had made threats in past.</v>
      </c>
      <c r="AA2570" s="8" t="str">
        <f ca="1">IFERROR(__xludf.DUMMYFUNCTION("""COMPUTED_VALUE"""),"Suicide/Attempted")</f>
        <v>Suicide/Attempted</v>
      </c>
      <c r="AB2570" s="8"/>
      <c r="AC2570" s="8"/>
      <c r="AD2570" s="8" t="str">
        <f ca="1">IFERROR(__xludf.DUMMYFUNCTION("""COMPUTED_VALUE"""),"Victims Targeted")</f>
        <v>Victims Targeted</v>
      </c>
      <c r="AE2570" s="8" t="str">
        <f ca="1">IFERROR(__xludf.DUMMYFUNCTION("""COMPUTED_VALUE"""),"No")</f>
        <v>No</v>
      </c>
      <c r="AF2570" s="8"/>
      <c r="AG2570" s="8" t="str">
        <f ca="1">IFERROR(__xludf.DUMMYFUNCTION("""COMPUTED_VALUE"""),"No")</f>
        <v>No</v>
      </c>
      <c r="AH2570" s="8" t="str">
        <f ca="1">IFERROR(__xludf.DUMMYFUNCTION("""COMPUTED_VALUE"""),"No")</f>
        <v>No</v>
      </c>
      <c r="AI2570" s="8" t="str">
        <f ca="1">IFERROR(__xludf.DUMMYFUNCTION("""COMPUTED_VALUE"""),"No")</f>
        <v>No</v>
      </c>
      <c r="AJ2570" s="8" t="str">
        <f ca="1">IFERROR(__xludf.DUMMYFUNCTION("""COMPUTED_VALUE"""),"No")</f>
        <v>No</v>
      </c>
      <c r="AK2570" s="8" t="str">
        <f ca="1">IFERROR(__xludf.DUMMYFUNCTION("""COMPUTED_VALUE"""),"Yes")</f>
        <v>Yes</v>
      </c>
      <c r="AL2570" s="8" t="str">
        <f ca="1">IFERROR(__xludf.DUMMYFUNCTION("""COMPUTED_VALUE"""),"No")</f>
        <v>No</v>
      </c>
      <c r="AM2570" s="8"/>
      <c r="AN2570" s="8"/>
      <c r="AO2570" s="8" t="str">
        <f ca="1">IFERROR(__xludf.DUMMYFUNCTION("""COMPUTED_VALUE"""),"No")</f>
        <v>No</v>
      </c>
      <c r="AP2570" s="8"/>
      <c r="AQ2570" s="8" t="str">
        <f ca="1">IFERROR(__xludf.DUMMYFUNCTION("""COMPUTED_VALUE"""),"Unknown")</f>
        <v>Unknown</v>
      </c>
      <c r="AR2570" s="8" t="str">
        <f ca="1">IFERROR(__xludf.DUMMYFUNCTION("""COMPUTED_VALUE"""),"NA")</f>
        <v>NA</v>
      </c>
      <c r="AS2570" s="8"/>
      <c r="AT2570" s="8"/>
      <c r="AU2570" s="8">
        <f ca="1">IFERROR(__xludf.DUMMYFUNCTION("""COMPUTED_VALUE"""),33.561727)</f>
        <v>33.561726999999998</v>
      </c>
      <c r="AV2570" s="8">
        <f ca="1">IFERROR(__xludf.DUMMYFUNCTION("""COMPUTED_VALUE"""),-117.71901)</f>
        <v>-117.71901</v>
      </c>
      <c r="AW2570" s="8"/>
      <c r="AX2570" s="8">
        <f ca="1">IFERROR(__xludf.DUMMYFUNCTION("""COMPUTED_VALUE"""),92656)</f>
        <v>92656</v>
      </c>
    </row>
    <row r="2571" spans="1:50" ht="45" x14ac:dyDescent="0.2">
      <c r="A2571" s="8" t="str">
        <f ca="1">IFERROR(__xludf.DUMMYFUNCTION("""COMPUTED_VALUE"""),"19941017ILHUC")</f>
        <v>19941017ILHUC</v>
      </c>
      <c r="B2571" s="8">
        <f ca="1">IFERROR(__xludf.DUMMYFUNCTION("""COMPUTED_VALUE"""),10)</f>
        <v>10</v>
      </c>
      <c r="C2571" s="8">
        <f ca="1">IFERROR(__xludf.DUMMYFUNCTION("""COMPUTED_VALUE"""),17)</f>
        <v>17</v>
      </c>
      <c r="D2571" s="8">
        <f ca="1">IFERROR(__xludf.DUMMYFUNCTION("""COMPUTED_VALUE"""),1994)</f>
        <v>1994</v>
      </c>
      <c r="E2571" s="9">
        <f ca="1">IFERROR(__xludf.DUMMYFUNCTION("""COMPUTED_VALUE"""),34624)</f>
        <v>34624</v>
      </c>
      <c r="F2571" s="8" t="str">
        <f ca="1">IFERROR(__xludf.DUMMYFUNCTION("""COMPUTED_VALUE"""),"Hubbard High School")</f>
        <v>Hubbard High School</v>
      </c>
      <c r="G2571" s="8">
        <f ca="1">IFERROR(__xludf.DUMMYFUNCTION("""COMPUTED_VALUE"""),0)</f>
        <v>0</v>
      </c>
      <c r="H2571" s="8">
        <f ca="1">IFERROR(__xludf.DUMMYFUNCTION("""COMPUTED_VALUE"""),1)</f>
        <v>1</v>
      </c>
      <c r="I2571" s="8">
        <f ca="1">IFERROR(__xludf.DUMMYFUNCTION("""COMPUTED_VALUE"""),1)</f>
        <v>1</v>
      </c>
      <c r="J2571" s="8">
        <f ca="1">IFERROR(__xludf.DUMMYFUNCTION("""COMPUTED_VALUE"""),0)</f>
        <v>0</v>
      </c>
      <c r="K2571" s="10" t="str">
        <f ca="1">IFERROR(__xludf.DUMMYFUNCTION("""COMPUTED_VALUE"""),"http://articles.chicagotribune.com/1994-10-18/news/9410180247_1_female-student-was-shot-christ-hospital-flesh-wound")</f>
        <v>http://articles.chicagotribune.com/1994-10-18/news/9410180247_1_female-student-was-shot-christ-hospital-flesh-wound</v>
      </c>
      <c r="L2571" s="8"/>
      <c r="M2571" s="8"/>
      <c r="N2571" s="8">
        <f ca="1">IFERROR(__xludf.DUMMYFUNCTION("""COMPUTED_VALUE"""),2)</f>
        <v>2</v>
      </c>
      <c r="O2571" s="8" t="str">
        <f ca="1">IFERROR(__xludf.DUMMYFUNCTION("""COMPUTED_VALUE"""),"Fall")</f>
        <v>Fall</v>
      </c>
      <c r="P2571" s="8" t="str">
        <f ca="1">IFERROR(__xludf.DUMMYFUNCTION("""COMPUTED_VALUE"""),"Chicago")</f>
        <v>Chicago</v>
      </c>
      <c r="Q2571" s="8" t="str">
        <f ca="1">IFERROR(__xludf.DUMMYFUNCTION("""COMPUTED_VALUE"""),"IL")</f>
        <v>IL</v>
      </c>
      <c r="R2571" s="8" t="str">
        <f ca="1">IFERROR(__xludf.DUMMYFUNCTION("""COMPUTED_VALUE"""),"High")</f>
        <v>High</v>
      </c>
      <c r="S2571" s="8" t="str">
        <f ca="1">IFERROR(__xludf.DUMMYFUNCTION("""COMPUTED_VALUE"""),"Front of School")</f>
        <v>Front of School</v>
      </c>
      <c r="T2571" s="8" t="str">
        <f ca="1">IFERROR(__xludf.DUMMYFUNCTION("""COMPUTED_VALUE"""),"Outside on School Property")</f>
        <v>Outside on School Property</v>
      </c>
      <c r="U2571" s="8" t="str">
        <f ca="1">IFERROR(__xludf.DUMMYFUNCTION("""COMPUTED_VALUE"""),"Yes")</f>
        <v>Yes</v>
      </c>
      <c r="V2571" s="8" t="str">
        <f ca="1">IFERROR(__xludf.DUMMYFUNCTION("""COMPUTED_VALUE"""),"Dismissal")</f>
        <v>Dismissal</v>
      </c>
      <c r="W2571" s="11">
        <f ca="1">IFERROR(__xludf.DUMMYFUNCTION("""COMPUTED_VALUE"""),0.59375)</f>
        <v>0.59375</v>
      </c>
      <c r="X2571" s="8">
        <f ca="1">IFERROR(__xludf.DUMMYFUNCTION("""COMPUTED_VALUE"""),1)</f>
        <v>1</v>
      </c>
      <c r="Y2571" s="12" t="str">
        <f ca="1">IFERROR(__xludf.DUMMYFUNCTION("""COMPUTED_VALUE"""),"Gang related shooting, bystander student hit")</f>
        <v>Gang related shooting, bystander student hit</v>
      </c>
      <c r="Z2571" s="12" t="str">
        <f ca="1">IFERROR(__xludf.DUMMYFUNCTION("""COMPUTED_VALUE"""),"Unknown shooter on bicycle fired at crowd while riding by high school. Bystander female student was struck. Shooter fled. Police said the shooting was gang related.")</f>
        <v>Unknown shooter on bicycle fired at crowd while riding by high school. Bystander female student was struck. Shooter fled. Police said the shooting was gang related.</v>
      </c>
      <c r="AA2571" s="8" t="str">
        <f ca="1">IFERROR(__xludf.DUMMYFUNCTION("""COMPUTED_VALUE"""),"Drive-by Shooting")</f>
        <v>Drive-by Shooting</v>
      </c>
      <c r="AB2571" s="8"/>
      <c r="AC2571" s="8"/>
      <c r="AD2571" s="8" t="str">
        <f ca="1">IFERROR(__xludf.DUMMYFUNCTION("""COMPUTED_VALUE"""),"Both")</f>
        <v>Both</v>
      </c>
      <c r="AE2571" s="8" t="str">
        <f ca="1">IFERROR(__xludf.DUMMYFUNCTION("""COMPUTED_VALUE"""),"No")</f>
        <v>No</v>
      </c>
      <c r="AF2571" s="8"/>
      <c r="AG2571" s="8" t="str">
        <f ca="1">IFERROR(__xludf.DUMMYFUNCTION("""COMPUTED_VALUE"""),"No")</f>
        <v>No</v>
      </c>
      <c r="AH2571" s="8" t="str">
        <f ca="1">IFERROR(__xludf.DUMMYFUNCTION("""COMPUTED_VALUE"""),"No")</f>
        <v>No</v>
      </c>
      <c r="AI2571" s="8" t="str">
        <f ca="1">IFERROR(__xludf.DUMMYFUNCTION("""COMPUTED_VALUE"""),"No")</f>
        <v>No</v>
      </c>
      <c r="AJ2571" s="8" t="str">
        <f ca="1">IFERROR(__xludf.DUMMYFUNCTION("""COMPUTED_VALUE"""),"No")</f>
        <v>No</v>
      </c>
      <c r="AK2571" s="8" t="str">
        <f ca="1">IFERROR(__xludf.DUMMYFUNCTION("""COMPUTED_VALUE"""),"No")</f>
        <v>No</v>
      </c>
      <c r="AL2571" s="8" t="str">
        <f ca="1">IFERROR(__xludf.DUMMYFUNCTION("""COMPUTED_VALUE"""),"Yes")</f>
        <v>Yes</v>
      </c>
      <c r="AM2571" s="8"/>
      <c r="AN2571" s="8"/>
      <c r="AO2571" s="8" t="str">
        <f ca="1">IFERROR(__xludf.DUMMYFUNCTION("""COMPUTED_VALUE"""),"No")</f>
        <v>No</v>
      </c>
      <c r="AP2571" s="8"/>
      <c r="AQ2571" s="8" t="str">
        <f ca="1">IFERROR(__xludf.DUMMYFUNCTION("""COMPUTED_VALUE"""),"Unknown")</f>
        <v>Unknown</v>
      </c>
      <c r="AR2571" s="8" t="str">
        <f ca="1">IFERROR(__xludf.DUMMYFUNCTION("""COMPUTED_VALUE"""),"NA")</f>
        <v>NA</v>
      </c>
      <c r="AS2571" s="8" t="str">
        <f ca="1">IFERROR(__xludf.DUMMYFUNCTION("""COMPUTED_VALUE"""),"&lt;10")</f>
        <v>&lt;10</v>
      </c>
      <c r="AT2571" s="8"/>
      <c r="AU2571" s="8">
        <f ca="1">IFERROR(__xludf.DUMMYFUNCTION("""COMPUTED_VALUE"""),41.78043)</f>
        <v>41.780430000000003</v>
      </c>
      <c r="AV2571" s="8">
        <f ca="1">IFERROR(__xludf.DUMMYFUNCTION("""COMPUTED_VALUE"""),-87.718697)</f>
        <v>-87.718697000000006</v>
      </c>
      <c r="AW2571" s="8"/>
      <c r="AX2571" s="8">
        <f ca="1">IFERROR(__xludf.DUMMYFUNCTION("""COMPUTED_VALUE"""),60629)</f>
        <v>60629</v>
      </c>
    </row>
    <row r="2572" spans="1:50" ht="105" x14ac:dyDescent="0.2">
      <c r="A2572" s="8" t="str">
        <f ca="1">IFERROR(__xludf.DUMMYFUNCTION("""COMPUTED_VALUE"""),"19941012NCGRG")</f>
        <v>19941012NCGRG</v>
      </c>
      <c r="B2572" s="8">
        <f ca="1">IFERROR(__xludf.DUMMYFUNCTION("""COMPUTED_VALUE"""),10)</f>
        <v>10</v>
      </c>
      <c r="C2572" s="8">
        <f ca="1">IFERROR(__xludf.DUMMYFUNCTION("""COMPUTED_VALUE"""),12)</f>
        <v>12</v>
      </c>
      <c r="D2572" s="8">
        <f ca="1">IFERROR(__xludf.DUMMYFUNCTION("""COMPUTED_VALUE"""),1994)</f>
        <v>1994</v>
      </c>
      <c r="E2572" s="9">
        <f ca="1">IFERROR(__xludf.DUMMYFUNCTION("""COMPUTED_VALUE"""),34619)</f>
        <v>34619</v>
      </c>
      <c r="F2572" s="8" t="str">
        <f ca="1">IFERROR(__xludf.DUMMYFUNCTION("""COMPUTED_VALUE"""),"Grimsley High School")</f>
        <v>Grimsley High School</v>
      </c>
      <c r="G2572" s="8">
        <f ca="1">IFERROR(__xludf.DUMMYFUNCTION("""COMPUTED_VALUE"""),0)</f>
        <v>0</v>
      </c>
      <c r="H2572" s="8">
        <f ca="1">IFERROR(__xludf.DUMMYFUNCTION("""COMPUTED_VALUE"""),1)</f>
        <v>1</v>
      </c>
      <c r="I2572" s="8">
        <f ca="1">IFERROR(__xludf.DUMMYFUNCTION("""COMPUTED_VALUE"""),1)</f>
        <v>1</v>
      </c>
      <c r="J2572" s="8">
        <f ca="1">IFERROR(__xludf.DUMMYFUNCTION("""COMPUTED_VALUE"""),1)</f>
        <v>1</v>
      </c>
      <c r="K2572" s="8" t="str">
        <f ca="1">IFERROR(__xludf.DUMMYFUNCTION("""COMPUTED_VALUE"""),"http://www.greensboro.com/turmoil-ends-with-tragedy/article_8a983951-14c6-5b87-a82e-e972684a3481.html https://www.wfmynews2.com/article/news/local/2-wants-to-know/greensboros-history-with-school-shootings/83-609608035")</f>
        <v>http://www.greensboro.com/turmoil-ends-with-tragedy/article_8a983951-14c6-5b87-a82e-e972684a3481.html https://www.wfmynews2.com/article/news/local/2-wants-to-know/greensboros-history-with-school-shootings/83-609608035</v>
      </c>
      <c r="L2572" s="8"/>
      <c r="M2572" s="8"/>
      <c r="N2572" s="8">
        <f ca="1">IFERROR(__xludf.DUMMYFUNCTION("""COMPUTED_VALUE"""),3)</f>
        <v>3</v>
      </c>
      <c r="O2572" s="8" t="str">
        <f ca="1">IFERROR(__xludf.DUMMYFUNCTION("""COMPUTED_VALUE"""),"Fall")</f>
        <v>Fall</v>
      </c>
      <c r="P2572" s="8" t="str">
        <f ca="1">IFERROR(__xludf.DUMMYFUNCTION("""COMPUTED_VALUE"""),"Greensboro")</f>
        <v>Greensboro</v>
      </c>
      <c r="Q2572" s="8" t="str">
        <f ca="1">IFERROR(__xludf.DUMMYFUNCTION("""COMPUTED_VALUE"""),"NC")</f>
        <v>NC</v>
      </c>
      <c r="R2572" s="8" t="str">
        <f ca="1">IFERROR(__xludf.DUMMYFUNCTION("""COMPUTED_VALUE"""),"High")</f>
        <v>High</v>
      </c>
      <c r="S2572" s="8" t="str">
        <f ca="1">IFERROR(__xludf.DUMMYFUNCTION("""COMPUTED_VALUE"""),"Parking Lot")</f>
        <v>Parking Lot</v>
      </c>
      <c r="T2572" s="8" t="str">
        <f ca="1">IFERROR(__xludf.DUMMYFUNCTION("""COMPUTED_VALUE"""),"Outside on School Property")</f>
        <v>Outside on School Property</v>
      </c>
      <c r="U2572" s="8" t="str">
        <f ca="1">IFERROR(__xludf.DUMMYFUNCTION("""COMPUTED_VALUE"""),"Yes")</f>
        <v>Yes</v>
      </c>
      <c r="V2572" s="8" t="str">
        <f ca="1">IFERROR(__xludf.DUMMYFUNCTION("""COMPUTED_VALUE"""),"Dismissal")</f>
        <v>Dismissal</v>
      </c>
      <c r="W2572" s="8"/>
      <c r="X2572" s="8">
        <f ca="1">IFERROR(__xludf.DUMMYFUNCTION("""COMPUTED_VALUE"""),1)</f>
        <v>1</v>
      </c>
      <c r="Y2572" s="12" t="str">
        <f ca="1">IFERROR(__xludf.DUMMYFUNCTION("""COMPUTED_VALUE"""),"Anger for being suspended")</f>
        <v>Anger for being suspended</v>
      </c>
      <c r="Z2572" s="12" t="str">
        <f ca="1">IFERROR(__xludf.DUMMYFUNCTION("""COMPUTED_VALUE"""),"Shooter was suspended the prior day for smoking at school. Shooter walked to the school at the end of the school day and shot the principal who was standing in front of the school. He then shot himself in the head. His father was a behavioral specialist a"&amp;"t another school. The shooter was well liked and smart. Shooter drank and smoked cigarettes.")</f>
        <v>Shooter was suspended the prior day for smoking at school. Shooter walked to the school at the end of the school day and shot the principal who was standing in front of the school. He then shot himself in the head. His father was a behavioral specialist at another school. The shooter was well liked and smart. Shooter drank and smoked cigarettes.</v>
      </c>
      <c r="AA2572" s="8" t="str">
        <f ca="1">IFERROR(__xludf.DUMMYFUNCTION("""COMPUTED_VALUE"""),"Anger Over Grade/Suspension/Discipline")</f>
        <v>Anger Over Grade/Suspension/Discipline</v>
      </c>
      <c r="AB2572" s="8"/>
      <c r="AC2572" s="8"/>
      <c r="AD2572" s="8" t="str">
        <f ca="1">IFERROR(__xludf.DUMMYFUNCTION("""COMPUTED_VALUE"""),"Victims Targeted")</f>
        <v>Victims Targeted</v>
      </c>
      <c r="AE2572" s="8" t="str">
        <f ca="1">IFERROR(__xludf.DUMMYFUNCTION("""COMPUTED_VALUE"""),"No")</f>
        <v>No</v>
      </c>
      <c r="AF2572" s="8"/>
      <c r="AG2572" s="8" t="str">
        <f ca="1">IFERROR(__xludf.DUMMYFUNCTION("""COMPUTED_VALUE"""),"No")</f>
        <v>No</v>
      </c>
      <c r="AH2572" s="8" t="str">
        <f ca="1">IFERROR(__xludf.DUMMYFUNCTION("""COMPUTED_VALUE"""),"No")</f>
        <v>No</v>
      </c>
      <c r="AI2572" s="8" t="str">
        <f ca="1">IFERROR(__xludf.DUMMYFUNCTION("""COMPUTED_VALUE"""),"No")</f>
        <v>No</v>
      </c>
      <c r="AJ2572" s="8" t="str">
        <f ca="1">IFERROR(__xludf.DUMMYFUNCTION("""COMPUTED_VALUE"""),"No")</f>
        <v>No</v>
      </c>
      <c r="AK2572" s="8" t="str">
        <f ca="1">IFERROR(__xludf.DUMMYFUNCTION("""COMPUTED_VALUE"""),"No")</f>
        <v>No</v>
      </c>
      <c r="AL2572" s="8" t="str">
        <f ca="1">IFERROR(__xludf.DUMMYFUNCTION("""COMPUTED_VALUE"""),"No")</f>
        <v>No</v>
      </c>
      <c r="AM2572" s="8"/>
      <c r="AN2572" s="8"/>
      <c r="AO2572" s="8" t="str">
        <f ca="1">IFERROR(__xludf.DUMMYFUNCTION("""COMPUTED_VALUE"""),"No")</f>
        <v>No</v>
      </c>
      <c r="AP2572" s="8"/>
      <c r="AQ2572" s="8" t="str">
        <f ca="1">IFERROR(__xludf.DUMMYFUNCTION("""COMPUTED_VALUE"""),"Unknown")</f>
        <v>Unknown</v>
      </c>
      <c r="AR2572" s="8" t="str">
        <f ca="1">IFERROR(__xludf.DUMMYFUNCTION("""COMPUTED_VALUE"""),"NA")</f>
        <v>NA</v>
      </c>
      <c r="AS2572" s="8"/>
      <c r="AT2572" s="8"/>
      <c r="AU2572" s="8">
        <f ca="1">IFERROR(__xludf.DUMMYFUNCTION("""COMPUTED_VALUE"""),36.082626)</f>
        <v>36.082625999999998</v>
      </c>
      <c r="AV2572" s="8">
        <f ca="1">IFERROR(__xludf.DUMMYFUNCTION("""COMPUTED_VALUE"""),-79.814359)</f>
        <v>-79.814358999999996</v>
      </c>
      <c r="AW2572" s="8"/>
      <c r="AX2572" s="8">
        <f ca="1">IFERROR(__xludf.DUMMYFUNCTION("""COMPUTED_VALUE"""),27408)</f>
        <v>27408</v>
      </c>
    </row>
    <row r="2573" spans="1:50" ht="60" x14ac:dyDescent="0.2">
      <c r="A2573" s="8" t="str">
        <f ca="1">IFERROR(__xludf.DUMMYFUNCTION("""COMPUTED_VALUE"""),"19940922ORLEL")</f>
        <v>19940922ORLEL</v>
      </c>
      <c r="B2573" s="8">
        <f ca="1">IFERROR(__xludf.DUMMYFUNCTION("""COMPUTED_VALUE"""),9)</f>
        <v>9</v>
      </c>
      <c r="C2573" s="8">
        <f ca="1">IFERROR(__xludf.DUMMYFUNCTION("""COMPUTED_VALUE"""),22)</f>
        <v>22</v>
      </c>
      <c r="D2573" s="8">
        <f ca="1">IFERROR(__xludf.DUMMYFUNCTION("""COMPUTED_VALUE"""),1994)</f>
        <v>1994</v>
      </c>
      <c r="E2573" s="9">
        <f ca="1">IFERROR(__xludf.DUMMYFUNCTION("""COMPUTED_VALUE"""),34599)</f>
        <v>34599</v>
      </c>
      <c r="F2573" s="8" t="str">
        <f ca="1">IFERROR(__xludf.DUMMYFUNCTION("""COMPUTED_VALUE"""),"Lebanon Union High School")</f>
        <v>Lebanon Union High School</v>
      </c>
      <c r="G2573" s="8">
        <f ca="1">IFERROR(__xludf.DUMMYFUNCTION("""COMPUTED_VALUE"""),0)</f>
        <v>0</v>
      </c>
      <c r="H2573" s="8">
        <f ca="1">IFERROR(__xludf.DUMMYFUNCTION("""COMPUTED_VALUE"""),1)</f>
        <v>1</v>
      </c>
      <c r="I2573" s="8">
        <f ca="1">IFERROR(__xludf.DUMMYFUNCTION("""COMPUTED_VALUE"""),1)</f>
        <v>1</v>
      </c>
      <c r="J2573" s="8">
        <f ca="1">IFERROR(__xludf.DUMMYFUNCTION("""COMPUTED_VALUE"""),0)</f>
        <v>0</v>
      </c>
      <c r="K2573" s="10" t="str">
        <f ca="1">IFERROR(__xludf.DUMMYFUNCTION("""COMPUTED_VALUE"""),"https://www.gazettetimes.com/news/local/a-history-of-violence/article_54ce32a6-d4e3-5d34-8aa6-09d9437a0439.html")</f>
        <v>https://www.gazettetimes.com/news/local/a-history-of-violence/article_54ce32a6-d4e3-5d34-8aa6-09d9437a0439.html</v>
      </c>
      <c r="L2573" s="8"/>
      <c r="M2573" s="8"/>
      <c r="N2573" s="8">
        <f ca="1">IFERROR(__xludf.DUMMYFUNCTION("""COMPUTED_VALUE"""),2)</f>
        <v>2</v>
      </c>
      <c r="O2573" s="8" t="str">
        <f ca="1">IFERROR(__xludf.DUMMYFUNCTION("""COMPUTED_VALUE"""),"Fall")</f>
        <v>Fall</v>
      </c>
      <c r="P2573" s="8" t="str">
        <f ca="1">IFERROR(__xludf.DUMMYFUNCTION("""COMPUTED_VALUE"""),"Lebanon")</f>
        <v>Lebanon</v>
      </c>
      <c r="Q2573" s="8" t="str">
        <f ca="1">IFERROR(__xludf.DUMMYFUNCTION("""COMPUTED_VALUE"""),"OR")</f>
        <v>OR</v>
      </c>
      <c r="R2573" s="8" t="str">
        <f ca="1">IFERROR(__xludf.DUMMYFUNCTION("""COMPUTED_VALUE"""),"High")</f>
        <v>High</v>
      </c>
      <c r="S2573" s="8" t="str">
        <f ca="1">IFERROR(__xludf.DUMMYFUNCTION("""COMPUTED_VALUE"""),"Parking Lot")</f>
        <v>Parking Lot</v>
      </c>
      <c r="T2573" s="8" t="str">
        <f ca="1">IFERROR(__xludf.DUMMYFUNCTION("""COMPUTED_VALUE"""),"Outside on School Property")</f>
        <v>Outside on School Property</v>
      </c>
      <c r="U2573" s="8" t="str">
        <f ca="1">IFERROR(__xludf.DUMMYFUNCTION("""COMPUTED_VALUE"""),"Yes")</f>
        <v>Yes</v>
      </c>
      <c r="V2573" s="8" t="str">
        <f ca="1">IFERROR(__xludf.DUMMYFUNCTION("""COMPUTED_VALUE"""),"Not a School Day")</f>
        <v>Not a School Day</v>
      </c>
      <c r="W2573" s="8"/>
      <c r="X2573" s="8">
        <f ca="1">IFERROR(__xludf.DUMMYFUNCTION("""COMPUTED_VALUE"""),1)</f>
        <v>1</v>
      </c>
      <c r="Y2573" s="12" t="str">
        <f ca="1">IFERROR(__xludf.DUMMYFUNCTION("""COMPUTED_VALUE"""),"Accidental discharge while looking at gun in vehicle")</f>
        <v>Accidental discharge while looking at gun in vehicle</v>
      </c>
      <c r="Z2573" s="12" t="str">
        <f ca="1">IFERROR(__xludf.DUMMYFUNCTION("""COMPUTED_VALUE"""),"Shooter and victim were examining a handgun in the shooters truck before it accidentally went off and struck the victim in the calf - gun was later determined to be stolen.")</f>
        <v>Shooter and victim were examining a handgun in the shooters truck before it accidentally went off and struck the victim in the calf - gun was later determined to be stolen.</v>
      </c>
      <c r="AA2573" s="8" t="str">
        <f ca="1">IFERROR(__xludf.DUMMYFUNCTION("""COMPUTED_VALUE"""),"Accidental")</f>
        <v>Accidental</v>
      </c>
      <c r="AB2573" s="8"/>
      <c r="AC2573" s="8"/>
      <c r="AD2573" s="8" t="str">
        <f ca="1">IFERROR(__xludf.DUMMYFUNCTION("""COMPUTED_VALUE"""),"Random Shooting")</f>
        <v>Random Shooting</v>
      </c>
      <c r="AE2573" s="8" t="str">
        <f ca="1">IFERROR(__xludf.DUMMYFUNCTION("""COMPUTED_VALUE"""),"No")</f>
        <v>No</v>
      </c>
      <c r="AF2573" s="8"/>
      <c r="AG2573" s="8" t="str">
        <f ca="1">IFERROR(__xludf.DUMMYFUNCTION("""COMPUTED_VALUE"""),"No")</f>
        <v>No</v>
      </c>
      <c r="AH2573" s="8" t="str">
        <f ca="1">IFERROR(__xludf.DUMMYFUNCTION("""COMPUTED_VALUE"""),"No")</f>
        <v>No</v>
      </c>
      <c r="AI2573" s="8" t="str">
        <f ca="1">IFERROR(__xludf.DUMMYFUNCTION("""COMPUTED_VALUE"""),"No")</f>
        <v>No</v>
      </c>
      <c r="AJ2573" s="8" t="str">
        <f ca="1">IFERROR(__xludf.DUMMYFUNCTION("""COMPUTED_VALUE"""),"No")</f>
        <v>No</v>
      </c>
      <c r="AK2573" s="8" t="str">
        <f ca="1">IFERROR(__xludf.DUMMYFUNCTION("""COMPUTED_VALUE"""),"No")</f>
        <v>No</v>
      </c>
      <c r="AL2573" s="8" t="str">
        <f ca="1">IFERROR(__xludf.DUMMYFUNCTION("""COMPUTED_VALUE"""),"No")</f>
        <v>No</v>
      </c>
      <c r="AM2573" s="8"/>
      <c r="AN2573" s="8"/>
      <c r="AO2573" s="8" t="str">
        <f ca="1">IFERROR(__xludf.DUMMYFUNCTION("""COMPUTED_VALUE"""),"No")</f>
        <v>No</v>
      </c>
      <c r="AP2573" s="8"/>
      <c r="AQ2573" s="8" t="str">
        <f ca="1">IFERROR(__xludf.DUMMYFUNCTION("""COMPUTED_VALUE"""),"Unknown")</f>
        <v>Unknown</v>
      </c>
      <c r="AR2573" s="8" t="str">
        <f ca="1">IFERROR(__xludf.DUMMYFUNCTION("""COMPUTED_VALUE"""),"NA")</f>
        <v>NA</v>
      </c>
      <c r="AS2573" s="8">
        <f ca="1">IFERROR(__xludf.DUMMYFUNCTION("""COMPUTED_VALUE"""),1)</f>
        <v>1</v>
      </c>
      <c r="AT2573" s="8"/>
      <c r="AU2573" s="8">
        <f ca="1">IFERROR(__xludf.DUMMYFUNCTION("""COMPUTED_VALUE"""),44.529595)</f>
        <v>44.529595</v>
      </c>
      <c r="AV2573" s="8">
        <f ca="1">IFERROR(__xludf.DUMMYFUNCTION("""COMPUTED_VALUE"""),-122.914683)</f>
        <v>-122.914683</v>
      </c>
      <c r="AW2573" s="8"/>
      <c r="AX2573" s="8">
        <f ca="1">IFERROR(__xludf.DUMMYFUNCTION("""COMPUTED_VALUE"""),97355)</f>
        <v>97355</v>
      </c>
    </row>
    <row r="2574" spans="1:50" ht="60" x14ac:dyDescent="0.2">
      <c r="A2574" s="8" t="str">
        <f ca="1">IFERROR(__xludf.DUMMYFUNCTION("""COMPUTED_VALUE"""),"19940919CALOL")</f>
        <v>19940919CALOL</v>
      </c>
      <c r="B2574" s="8">
        <f ca="1">IFERROR(__xludf.DUMMYFUNCTION("""COMPUTED_VALUE"""),9)</f>
        <v>9</v>
      </c>
      <c r="C2574" s="8">
        <f ca="1">IFERROR(__xludf.DUMMYFUNCTION("""COMPUTED_VALUE"""),19)</f>
        <v>19</v>
      </c>
      <c r="D2574" s="8">
        <f ca="1">IFERROR(__xludf.DUMMYFUNCTION("""COMPUTED_VALUE"""),1994)</f>
        <v>1994</v>
      </c>
      <c r="E2574" s="9">
        <f ca="1">IFERROR(__xludf.DUMMYFUNCTION("""COMPUTED_VALUE"""),34596)</f>
        <v>34596</v>
      </c>
      <c r="F2574" s="8" t="str">
        <f ca="1">IFERROR(__xludf.DUMMYFUNCTION("""COMPUTED_VALUE"""),"Locke High School")</f>
        <v>Locke High School</v>
      </c>
      <c r="G2574" s="8">
        <f ca="1">IFERROR(__xludf.DUMMYFUNCTION("""COMPUTED_VALUE"""),0)</f>
        <v>0</v>
      </c>
      <c r="H2574" s="8">
        <f ca="1">IFERROR(__xludf.DUMMYFUNCTION("""COMPUTED_VALUE"""),3)</f>
        <v>3</v>
      </c>
      <c r="I2574" s="8">
        <f ca="1">IFERROR(__xludf.DUMMYFUNCTION("""COMPUTED_VALUE"""),3)</f>
        <v>3</v>
      </c>
      <c r="J2574" s="8">
        <f ca="1">IFERROR(__xludf.DUMMYFUNCTION("""COMPUTED_VALUE"""),0)</f>
        <v>0</v>
      </c>
      <c r="K2574" s="10" t="str">
        <f ca="1">IFERROR(__xludf.DUMMYFUNCTION("""COMPUTED_VALUE"""),"https://www.newspapers.com/image/159244311/?terms=Hollywood%2BHigh%2BSchool%2Bshooting")</f>
        <v>https://www.newspapers.com/image/159244311/?terms=Hollywood%2BHigh%2BSchool%2Bshooting</v>
      </c>
      <c r="L2574" s="8"/>
      <c r="M2574" s="8"/>
      <c r="N2574" s="8">
        <f ca="1">IFERROR(__xludf.DUMMYFUNCTION("""COMPUTED_VALUE"""),2)</f>
        <v>2</v>
      </c>
      <c r="O2574" s="8" t="str">
        <f ca="1">IFERROR(__xludf.DUMMYFUNCTION("""COMPUTED_VALUE"""),"Fall")</f>
        <v>Fall</v>
      </c>
      <c r="P2574" s="8" t="str">
        <f ca="1">IFERROR(__xludf.DUMMYFUNCTION("""COMPUTED_VALUE"""),"Los Angeles")</f>
        <v>Los Angeles</v>
      </c>
      <c r="Q2574" s="8" t="str">
        <f ca="1">IFERROR(__xludf.DUMMYFUNCTION("""COMPUTED_VALUE"""),"CA")</f>
        <v>CA</v>
      </c>
      <c r="R2574" s="8" t="str">
        <f ca="1">IFERROR(__xludf.DUMMYFUNCTION("""COMPUTED_VALUE"""),"High")</f>
        <v>High</v>
      </c>
      <c r="S2574" s="8" t="str">
        <f ca="1">IFERROR(__xludf.DUMMYFUNCTION("""COMPUTED_VALUE"""),"Front of School")</f>
        <v>Front of School</v>
      </c>
      <c r="T2574" s="8" t="str">
        <f ca="1">IFERROR(__xludf.DUMMYFUNCTION("""COMPUTED_VALUE"""),"Outside on School Property")</f>
        <v>Outside on School Property</v>
      </c>
      <c r="U2574" s="8" t="str">
        <f ca="1">IFERROR(__xludf.DUMMYFUNCTION("""COMPUTED_VALUE"""),"Yes")</f>
        <v>Yes</v>
      </c>
      <c r="V2574" s="8" t="str">
        <f ca="1">IFERROR(__xludf.DUMMYFUNCTION("""COMPUTED_VALUE"""),"Morning Classes")</f>
        <v>Morning Classes</v>
      </c>
      <c r="W2574" s="11">
        <f ca="1">IFERROR(__xludf.DUMMYFUNCTION("""COMPUTED_VALUE"""),0.430555555555555)</f>
        <v>0.43055555555555503</v>
      </c>
      <c r="X2574" s="8">
        <f ca="1">IFERROR(__xludf.DUMMYFUNCTION("""COMPUTED_VALUE"""),1)</f>
        <v>1</v>
      </c>
      <c r="Y2574" s="12" t="str">
        <f ca="1">IFERROR(__xludf.DUMMYFUNCTION("""COMPUTED_VALUE"""),"Gang related drive-by shooting")</f>
        <v>Gang related drive-by shooting</v>
      </c>
      <c r="Z2574" s="12" t="str">
        <f ca="1">IFERROR(__xludf.DUMMYFUNCTION("""COMPUTED_VALUE"""),"16YOF and 2 male students were shot during a gang-related drive by shooting at the school. Law enforcement stated that there have been multiple shootings near the school in a turf battle between gangs.")</f>
        <v>16YOF and 2 male students were shot during a gang-related drive by shooting at the school. Law enforcement stated that there have been multiple shootings near the school in a turf battle between gangs.</v>
      </c>
      <c r="AA2574" s="8" t="str">
        <f ca="1">IFERROR(__xludf.DUMMYFUNCTION("""COMPUTED_VALUE"""),"Drive-by Shooting")</f>
        <v>Drive-by Shooting</v>
      </c>
      <c r="AB2574" s="8"/>
      <c r="AC2574" s="8"/>
      <c r="AD2574" s="8" t="str">
        <f ca="1">IFERROR(__xludf.DUMMYFUNCTION("""COMPUTED_VALUE"""),"Both")</f>
        <v>Both</v>
      </c>
      <c r="AE2574" s="8" t="str">
        <f ca="1">IFERROR(__xludf.DUMMYFUNCTION("""COMPUTED_VALUE"""),"Yes")</f>
        <v>Yes</v>
      </c>
      <c r="AF2574" s="8" t="str">
        <f ca="1">IFERROR(__xludf.DUMMYFUNCTION("""COMPUTED_VALUE"""),"Multiple in car")</f>
        <v>Multiple in car</v>
      </c>
      <c r="AG2574" s="8" t="str">
        <f ca="1">IFERROR(__xludf.DUMMYFUNCTION("""COMPUTED_VALUE"""),"No")</f>
        <v>No</v>
      </c>
      <c r="AH2574" s="8" t="str">
        <f ca="1">IFERROR(__xludf.DUMMYFUNCTION("""COMPUTED_VALUE"""),"No")</f>
        <v>No</v>
      </c>
      <c r="AI2574" s="8" t="str">
        <f ca="1">IFERROR(__xludf.DUMMYFUNCTION("""COMPUTED_VALUE"""),"No")</f>
        <v>No</v>
      </c>
      <c r="AJ2574" s="8" t="str">
        <f ca="1">IFERROR(__xludf.DUMMYFUNCTION("""COMPUTED_VALUE"""),"No")</f>
        <v>No</v>
      </c>
      <c r="AK2574" s="8" t="str">
        <f ca="1">IFERROR(__xludf.DUMMYFUNCTION("""COMPUTED_VALUE"""),"No")</f>
        <v>No</v>
      </c>
      <c r="AL2574" s="8" t="str">
        <f ca="1">IFERROR(__xludf.DUMMYFUNCTION("""COMPUTED_VALUE"""),"Yes")</f>
        <v>Yes</v>
      </c>
      <c r="AM2574" s="8"/>
      <c r="AN2574" s="8"/>
      <c r="AO2574" s="8" t="str">
        <f ca="1">IFERROR(__xludf.DUMMYFUNCTION("""COMPUTED_VALUE"""),"No")</f>
        <v>No</v>
      </c>
      <c r="AP2574" s="8"/>
      <c r="AQ2574" s="8" t="str">
        <f ca="1">IFERROR(__xludf.DUMMYFUNCTION("""COMPUTED_VALUE"""),"Unknown")</f>
        <v>Unknown</v>
      </c>
      <c r="AR2574" s="8" t="str">
        <f ca="1">IFERROR(__xludf.DUMMYFUNCTION("""COMPUTED_VALUE"""),"NA")</f>
        <v>NA</v>
      </c>
      <c r="AS2574" s="8"/>
      <c r="AT2574" s="8"/>
      <c r="AU2574" s="8">
        <f ca="1">IFERROR(__xludf.DUMMYFUNCTION("""COMPUTED_VALUE"""),33.93495)</f>
        <v>33.934950000000001</v>
      </c>
      <c r="AV2574" s="8">
        <f ca="1">IFERROR(__xludf.DUMMYFUNCTION("""COMPUTED_VALUE"""),-118.268656)</f>
        <v>-118.26865599999999</v>
      </c>
      <c r="AW2574" s="8"/>
      <c r="AX2574" s="8">
        <f ca="1">IFERROR(__xludf.DUMMYFUNCTION("""COMPUTED_VALUE"""),90061)</f>
        <v>90061</v>
      </c>
    </row>
    <row r="2575" spans="1:50" ht="45" x14ac:dyDescent="0.2">
      <c r="A2575" s="8" t="str">
        <f ca="1">IFERROR(__xludf.DUMMYFUNCTION("""COMPUTED_VALUE"""),"19940908NYSWA")</f>
        <v>19940908NYSWA</v>
      </c>
      <c r="B2575" s="8">
        <f ca="1">IFERROR(__xludf.DUMMYFUNCTION("""COMPUTED_VALUE"""),9)</f>
        <v>9</v>
      </c>
      <c r="C2575" s="8">
        <f ca="1">IFERROR(__xludf.DUMMYFUNCTION("""COMPUTED_VALUE"""),8)</f>
        <v>8</v>
      </c>
      <c r="D2575" s="8">
        <f ca="1">IFERROR(__xludf.DUMMYFUNCTION("""COMPUTED_VALUE"""),1994)</f>
        <v>1994</v>
      </c>
      <c r="E2575" s="9">
        <f ca="1">IFERROR(__xludf.DUMMYFUNCTION("""COMPUTED_VALUE"""),34585)</f>
        <v>34585</v>
      </c>
      <c r="F2575" s="8" t="str">
        <f ca="1">IFERROR(__xludf.DUMMYFUNCTION("""COMPUTED_VALUE"""),"Sweet Home High School")</f>
        <v>Sweet Home High School</v>
      </c>
      <c r="G2575" s="8">
        <f ca="1">IFERROR(__xludf.DUMMYFUNCTION("""COMPUTED_VALUE"""),0)</f>
        <v>0</v>
      </c>
      <c r="H2575" s="8">
        <f ca="1">IFERROR(__xludf.DUMMYFUNCTION("""COMPUTED_VALUE"""),1)</f>
        <v>1</v>
      </c>
      <c r="I2575" s="8">
        <f ca="1">IFERROR(__xludf.DUMMYFUNCTION("""COMPUTED_VALUE"""),1)</f>
        <v>1</v>
      </c>
      <c r="J2575" s="8">
        <f ca="1">IFERROR(__xludf.DUMMYFUNCTION("""COMPUTED_VALUE"""),0)</f>
        <v>0</v>
      </c>
      <c r="K2575" s="8" t="str">
        <f ca="1">IFERROR(__xludf.DUMMYFUNCTION("""COMPUTED_VALUE"""),"https://www.gazettetimes.com/news/local/a-history-of-violence/article_54ce32a6-d4e3-5d34-8aa6-09d9437a0439.html https://www.newspapers.com/image/200788100/?terms=Lebanon%2BUnion%2BHigh%2BSchool%2Bshooting")</f>
        <v>https://www.gazettetimes.com/news/local/a-history-of-violence/article_54ce32a6-d4e3-5d34-8aa6-09d9437a0439.html https://www.newspapers.com/image/200788100/?terms=Lebanon%2BUnion%2BHigh%2BSchool%2Bshooting</v>
      </c>
      <c r="L2575" s="8"/>
      <c r="M2575" s="8"/>
      <c r="N2575" s="8">
        <f ca="1">IFERROR(__xludf.DUMMYFUNCTION("""COMPUTED_VALUE"""),3)</f>
        <v>3</v>
      </c>
      <c r="O2575" s="8" t="str">
        <f ca="1">IFERROR(__xludf.DUMMYFUNCTION("""COMPUTED_VALUE"""),"Fall")</f>
        <v>Fall</v>
      </c>
      <c r="P2575" s="8" t="str">
        <f ca="1">IFERROR(__xludf.DUMMYFUNCTION("""COMPUTED_VALUE"""),"Albany")</f>
        <v>Albany</v>
      </c>
      <c r="Q2575" s="8" t="str">
        <f ca="1">IFERROR(__xludf.DUMMYFUNCTION("""COMPUTED_VALUE"""),"NY")</f>
        <v>NY</v>
      </c>
      <c r="R2575" s="8" t="str">
        <f ca="1">IFERROR(__xludf.DUMMYFUNCTION("""COMPUTED_VALUE"""),"High")</f>
        <v>High</v>
      </c>
      <c r="S2575" s="8" t="str">
        <f ca="1">IFERROR(__xludf.DUMMYFUNCTION("""COMPUTED_VALUE"""),"Classroom")</f>
        <v>Classroom</v>
      </c>
      <c r="T2575" s="8" t="str">
        <f ca="1">IFERROR(__xludf.DUMMYFUNCTION("""COMPUTED_VALUE"""),"Inside School Building")</f>
        <v>Inside School Building</v>
      </c>
      <c r="U2575" s="8" t="str">
        <f ca="1">IFERROR(__xludf.DUMMYFUNCTION("""COMPUTED_VALUE"""),"Yes")</f>
        <v>Yes</v>
      </c>
      <c r="V2575" s="8" t="str">
        <f ca="1">IFERROR(__xludf.DUMMYFUNCTION("""COMPUTED_VALUE"""),"Morning Classes")</f>
        <v>Morning Classes</v>
      </c>
      <c r="W2575" s="11">
        <f ca="1">IFERROR(__xludf.DUMMYFUNCTION("""COMPUTED_VALUE"""),0.375)</f>
        <v>0.375</v>
      </c>
      <c r="X2575" s="8">
        <f ca="1">IFERROR(__xludf.DUMMYFUNCTION("""COMPUTED_VALUE"""),1)</f>
        <v>1</v>
      </c>
      <c r="Y2575" s="12" t="str">
        <f ca="1">IFERROR(__xludf.DUMMYFUNCTION("""COMPUTED_VALUE"""),"Shot bully after being thrown into locker")</f>
        <v>Shot bully after being thrown into locker</v>
      </c>
      <c r="Z2575" s="12" t="str">
        <f ca="1">IFERROR(__xludf.DUMMYFUNCTION("""COMPUTED_VALUE"""),"14YOM shooter and 14YOM accomplice shot 16YOM bully in classroom and then fled the scene. Shooter had been bullied by target for extended period of time.")</f>
        <v>14YOM shooter and 14YOM accomplice shot 16YOM bully in classroom and then fled the scene. Shooter had been bullied by target for extended period of time.</v>
      </c>
      <c r="AA2575" s="8" t="str">
        <f ca="1">IFERROR(__xludf.DUMMYFUNCTION("""COMPUTED_VALUE"""),"Bullying")</f>
        <v>Bullying</v>
      </c>
      <c r="AB2575" s="8"/>
      <c r="AC2575" s="8"/>
      <c r="AD2575" s="8" t="str">
        <f ca="1">IFERROR(__xludf.DUMMYFUNCTION("""COMPUTED_VALUE"""),"Victims Targeted")</f>
        <v>Victims Targeted</v>
      </c>
      <c r="AE2575" s="8" t="str">
        <f ca="1">IFERROR(__xludf.DUMMYFUNCTION("""COMPUTED_VALUE"""),"Yes")</f>
        <v>Yes</v>
      </c>
      <c r="AF2575" s="8" t="str">
        <f ca="1">IFERROR(__xludf.DUMMYFUNCTION("""COMPUTED_VALUE"""),"2 students planned to shoot bully, 2nd charged to conspiracy")</f>
        <v>2 students planned to shoot bully, 2nd charged to conspiracy</v>
      </c>
      <c r="AG2575" s="8" t="str">
        <f ca="1">IFERROR(__xludf.DUMMYFUNCTION("""COMPUTED_VALUE"""),"No")</f>
        <v>No</v>
      </c>
      <c r="AH2575" s="8" t="str">
        <f ca="1">IFERROR(__xludf.DUMMYFUNCTION("""COMPUTED_VALUE"""),"No")</f>
        <v>No</v>
      </c>
      <c r="AI2575" s="8" t="str">
        <f ca="1">IFERROR(__xludf.DUMMYFUNCTION("""COMPUTED_VALUE"""),"No")</f>
        <v>No</v>
      </c>
      <c r="AJ2575" s="8" t="str">
        <f ca="1">IFERROR(__xludf.DUMMYFUNCTION("""COMPUTED_VALUE"""),"Yes")</f>
        <v>Yes</v>
      </c>
      <c r="AK2575" s="8" t="str">
        <f ca="1">IFERROR(__xludf.DUMMYFUNCTION("""COMPUTED_VALUE"""),"No")</f>
        <v>No</v>
      </c>
      <c r="AL2575" s="8" t="str">
        <f ca="1">IFERROR(__xludf.DUMMYFUNCTION("""COMPUTED_VALUE"""),"No")</f>
        <v>No</v>
      </c>
      <c r="AM2575" s="8"/>
      <c r="AN2575" s="8"/>
      <c r="AO2575" s="8" t="str">
        <f ca="1">IFERROR(__xludf.DUMMYFUNCTION("""COMPUTED_VALUE"""),"No")</f>
        <v>No</v>
      </c>
      <c r="AP2575" s="8"/>
      <c r="AQ2575" s="8" t="str">
        <f ca="1">IFERROR(__xludf.DUMMYFUNCTION("""COMPUTED_VALUE"""),"Unknown")</f>
        <v>Unknown</v>
      </c>
      <c r="AR2575" s="8" t="str">
        <f ca="1">IFERROR(__xludf.DUMMYFUNCTION("""COMPUTED_VALUE"""),"NA")</f>
        <v>NA</v>
      </c>
      <c r="AS2575" s="8">
        <f ca="1">IFERROR(__xludf.DUMMYFUNCTION("""COMPUTED_VALUE"""),1)</f>
        <v>1</v>
      </c>
      <c r="AT2575" s="8"/>
      <c r="AU2575" s="8">
        <f ca="1">IFERROR(__xludf.DUMMYFUNCTION("""COMPUTED_VALUE"""),43.01029)</f>
        <v>43.010289999999998</v>
      </c>
      <c r="AV2575" s="8">
        <f ca="1">IFERROR(__xludf.DUMMYFUNCTION("""COMPUTED_VALUE"""),-78.796673)</f>
        <v>-78.796672999999998</v>
      </c>
      <c r="AW2575" s="8"/>
      <c r="AX2575" s="8">
        <f ca="1">IFERROR(__xludf.DUMMYFUNCTION("""COMPUTED_VALUE"""),14228)</f>
        <v>14228</v>
      </c>
    </row>
    <row r="2576" spans="1:50" ht="60" x14ac:dyDescent="0.2">
      <c r="A2576" s="8" t="str">
        <f ca="1">IFERROR(__xludf.DUMMYFUNCTION("""COMPUTED_VALUE"""),"19940907CAHOL")</f>
        <v>19940907CAHOL</v>
      </c>
      <c r="B2576" s="8">
        <f ca="1">IFERROR(__xludf.DUMMYFUNCTION("""COMPUTED_VALUE"""),9)</f>
        <v>9</v>
      </c>
      <c r="C2576" s="8">
        <f ca="1">IFERROR(__xludf.DUMMYFUNCTION("""COMPUTED_VALUE"""),7)</f>
        <v>7</v>
      </c>
      <c r="D2576" s="8">
        <f ca="1">IFERROR(__xludf.DUMMYFUNCTION("""COMPUTED_VALUE"""),1994)</f>
        <v>1994</v>
      </c>
      <c r="E2576" s="9">
        <f ca="1">IFERROR(__xludf.DUMMYFUNCTION("""COMPUTED_VALUE"""),34584)</f>
        <v>34584</v>
      </c>
      <c r="F2576" s="8" t="str">
        <f ca="1">IFERROR(__xludf.DUMMYFUNCTION("""COMPUTED_VALUE"""),"Hollywood High School")</f>
        <v>Hollywood High School</v>
      </c>
      <c r="G2576" s="8">
        <f ca="1">IFERROR(__xludf.DUMMYFUNCTION("""COMPUTED_VALUE"""),1)</f>
        <v>1</v>
      </c>
      <c r="H2576" s="8">
        <f ca="1">IFERROR(__xludf.DUMMYFUNCTION("""COMPUTED_VALUE"""),0)</f>
        <v>0</v>
      </c>
      <c r="I2576" s="8">
        <f ca="1">IFERROR(__xludf.DUMMYFUNCTION("""COMPUTED_VALUE"""),1)</f>
        <v>1</v>
      </c>
      <c r="J2576" s="8">
        <f ca="1">IFERROR(__xludf.DUMMYFUNCTION("""COMPUTED_VALUE"""),0)</f>
        <v>0</v>
      </c>
      <c r="K2576" s="8" t="str">
        <f ca="1">IFERROR(__xludf.DUMMYFUNCTION("""COMPUTED_VALUE"""),"Los Angeles Times - A Very Public Murder; Los Angeles Times - 10th Grader Slain at Hollywood High as Rival Gangs Clash; https://www.columbine-angels.com/School_Violence_1994-1995.htm")</f>
        <v>Los Angeles Times - A Very Public Murder; Los Angeles Times - 10th Grader Slain at Hollywood High as Rival Gangs Clash; https://www.columbine-angels.com/School_Violence_1994-1995.htm</v>
      </c>
      <c r="L2576" s="8"/>
      <c r="M2576" s="8"/>
      <c r="N2576" s="8">
        <f ca="1">IFERROR(__xludf.DUMMYFUNCTION("""COMPUTED_VALUE"""),1)</f>
        <v>1</v>
      </c>
      <c r="O2576" s="8" t="str">
        <f ca="1">IFERROR(__xludf.DUMMYFUNCTION("""COMPUTED_VALUE"""),"Fall")</f>
        <v>Fall</v>
      </c>
      <c r="P2576" s="8" t="str">
        <f ca="1">IFERROR(__xludf.DUMMYFUNCTION("""COMPUTED_VALUE"""),"Los Angeles")</f>
        <v>Los Angeles</v>
      </c>
      <c r="Q2576" s="8" t="str">
        <f ca="1">IFERROR(__xludf.DUMMYFUNCTION("""COMPUTED_VALUE"""),"CA")</f>
        <v>CA</v>
      </c>
      <c r="R2576" s="8" t="str">
        <f ca="1">IFERROR(__xludf.DUMMYFUNCTION("""COMPUTED_VALUE"""),"High")</f>
        <v>High</v>
      </c>
      <c r="S2576" s="8" t="str">
        <f ca="1">IFERROR(__xludf.DUMMYFUNCTION("""COMPUTED_VALUE"""),"Front of School")</f>
        <v>Front of School</v>
      </c>
      <c r="T2576" s="8" t="str">
        <f ca="1">IFERROR(__xludf.DUMMYFUNCTION("""COMPUTED_VALUE"""),"Outside on School Property")</f>
        <v>Outside on School Property</v>
      </c>
      <c r="U2576" s="8" t="str">
        <f ca="1">IFERROR(__xludf.DUMMYFUNCTION("""COMPUTED_VALUE"""),"No")</f>
        <v>No</v>
      </c>
      <c r="V2576" s="8" t="str">
        <f ca="1">IFERROR(__xludf.DUMMYFUNCTION("""COMPUTED_VALUE"""),"After School")</f>
        <v>After School</v>
      </c>
      <c r="W2576" s="11">
        <f ca="1">IFERROR(__xludf.DUMMYFUNCTION("""COMPUTED_VALUE"""),0.645833333333333)</f>
        <v>0.64583333333333304</v>
      </c>
      <c r="X2576" s="8">
        <f ca="1">IFERROR(__xludf.DUMMYFUNCTION("""COMPUTED_VALUE"""),1)</f>
        <v>1</v>
      </c>
      <c r="Y2576" s="12" t="str">
        <f ca="1">IFERROR(__xludf.DUMMYFUNCTION("""COMPUTED_VALUE"""),"Killed by rival gang members")</f>
        <v>Killed by rival gang members</v>
      </c>
      <c r="Z2576" s="12" t="str">
        <f ca="1">IFERROR(__xludf.DUMMYFUNCTION("""COMPUTED_VALUE"""),"Student was outside of high school when car with multiple males pulled up. Exchanged words about rival gang affiliations. Gang members in car fired multiple shots killing student and fled the area.")</f>
        <v>Student was outside of high school when car with multiple males pulled up. Exchanged words about rival gang affiliations. Gang members in car fired multiple shots killing student and fled the area.</v>
      </c>
      <c r="AA2576" s="8" t="str">
        <f ca="1">IFERROR(__xludf.DUMMYFUNCTION("""COMPUTED_VALUE"""),"Drive-by Shooting")</f>
        <v>Drive-by Shooting</v>
      </c>
      <c r="AB2576" s="8"/>
      <c r="AC2576" s="8"/>
      <c r="AD2576" s="8" t="str">
        <f ca="1">IFERROR(__xludf.DUMMYFUNCTION("""COMPUTED_VALUE"""),"Victims Targeted")</f>
        <v>Victims Targeted</v>
      </c>
      <c r="AE2576" s="8" t="str">
        <f ca="1">IFERROR(__xludf.DUMMYFUNCTION("""COMPUTED_VALUE"""),"No")</f>
        <v>No</v>
      </c>
      <c r="AF2576" s="8"/>
      <c r="AG2576" s="8" t="str">
        <f ca="1">IFERROR(__xludf.DUMMYFUNCTION("""COMPUTED_VALUE"""),"No")</f>
        <v>No</v>
      </c>
      <c r="AH2576" s="8" t="str">
        <f ca="1">IFERROR(__xludf.DUMMYFUNCTION("""COMPUTED_VALUE"""),"No")</f>
        <v>No</v>
      </c>
      <c r="AI2576" s="8" t="str">
        <f ca="1">IFERROR(__xludf.DUMMYFUNCTION("""COMPUTED_VALUE"""),"No")</f>
        <v>No</v>
      </c>
      <c r="AJ2576" s="8" t="str">
        <f ca="1">IFERROR(__xludf.DUMMYFUNCTION("""COMPUTED_VALUE"""),"No")</f>
        <v>No</v>
      </c>
      <c r="AK2576" s="8" t="str">
        <f ca="1">IFERROR(__xludf.DUMMYFUNCTION("""COMPUTED_VALUE"""),"No")</f>
        <v>No</v>
      </c>
      <c r="AL2576" s="8" t="str">
        <f ca="1">IFERROR(__xludf.DUMMYFUNCTION("""COMPUTED_VALUE"""),"Yes")</f>
        <v>Yes</v>
      </c>
      <c r="AM2576" s="8"/>
      <c r="AN2576" s="8"/>
      <c r="AO2576" s="8" t="str">
        <f ca="1">IFERROR(__xludf.DUMMYFUNCTION("""COMPUTED_VALUE"""),"No")</f>
        <v>No</v>
      </c>
      <c r="AP2576" s="8"/>
      <c r="AQ2576" s="8" t="str">
        <f ca="1">IFERROR(__xludf.DUMMYFUNCTION("""COMPUTED_VALUE"""),"Unknown")</f>
        <v>Unknown</v>
      </c>
      <c r="AR2576" s="8" t="str">
        <f ca="1">IFERROR(__xludf.DUMMYFUNCTION("""COMPUTED_VALUE"""),"NA")</f>
        <v>NA</v>
      </c>
      <c r="AS2576" s="8"/>
      <c r="AT2576" s="8"/>
      <c r="AU2576" s="8">
        <f ca="1">IFERROR(__xludf.DUMMYFUNCTION("""COMPUTED_VALUE"""),34.099373)</f>
        <v>34.099373</v>
      </c>
      <c r="AV2576" s="8">
        <f ca="1">IFERROR(__xludf.DUMMYFUNCTION("""COMPUTED_VALUE"""),-118.340087)</f>
        <v>-118.340087</v>
      </c>
      <c r="AW2576" s="8"/>
      <c r="AX2576" s="8">
        <f ca="1">IFERROR(__xludf.DUMMYFUNCTION("""COMPUTED_VALUE"""),90028)</f>
        <v>90028</v>
      </c>
    </row>
    <row r="2577" spans="1:50" ht="60" x14ac:dyDescent="0.2">
      <c r="A2577" s="8" t="str">
        <f ca="1">IFERROR(__xludf.DUMMYFUNCTION("""COMPUTED_VALUE"""),"19940725IAOTO")</f>
        <v>19940725IAOTO</v>
      </c>
      <c r="B2577" s="8">
        <f ca="1">IFERROR(__xludf.DUMMYFUNCTION("""COMPUTED_VALUE"""),7)</f>
        <v>7</v>
      </c>
      <c r="C2577" s="8">
        <f ca="1">IFERROR(__xludf.DUMMYFUNCTION("""COMPUTED_VALUE"""),25)</f>
        <v>25</v>
      </c>
      <c r="D2577" s="8">
        <f ca="1">IFERROR(__xludf.DUMMYFUNCTION("""COMPUTED_VALUE"""),1994)</f>
        <v>1994</v>
      </c>
      <c r="E2577" s="9">
        <f ca="1">IFERROR(__xludf.DUMMYFUNCTION("""COMPUTED_VALUE"""),34540)</f>
        <v>34540</v>
      </c>
      <c r="F2577" s="8" t="str">
        <f ca="1">IFERROR(__xludf.DUMMYFUNCTION("""COMPUTED_VALUE"""),"Ottumwa High School")</f>
        <v>Ottumwa High School</v>
      </c>
      <c r="G2577" s="8">
        <f ca="1">IFERROR(__xludf.DUMMYFUNCTION("""COMPUTED_VALUE"""),1)</f>
        <v>1</v>
      </c>
      <c r="H2577" s="8">
        <f ca="1">IFERROR(__xludf.DUMMYFUNCTION("""COMPUTED_VALUE"""),0)</f>
        <v>0</v>
      </c>
      <c r="I2577" s="8">
        <f ca="1">IFERROR(__xludf.DUMMYFUNCTION("""COMPUTED_VALUE"""),1)</f>
        <v>1</v>
      </c>
      <c r="J2577" s="8">
        <f ca="1">IFERROR(__xludf.DUMMYFUNCTION("""COMPUTED_VALUE"""),0)</f>
        <v>0</v>
      </c>
      <c r="K2577" s="10" t="str">
        <f ca="1">IFERROR(__xludf.DUMMYFUNCTION("""COMPUTED_VALUE"""),"http://ottumwaradio.com/coffman-get-new-sentence-1994-murder-ottumwa-high-school/")</f>
        <v>http://ottumwaradio.com/coffman-get-new-sentence-1994-murder-ottumwa-high-school/</v>
      </c>
      <c r="L2577" s="8"/>
      <c r="M2577" s="8"/>
      <c r="N2577" s="8">
        <f ca="1">IFERROR(__xludf.DUMMYFUNCTION("""COMPUTED_VALUE"""),2)</f>
        <v>2</v>
      </c>
      <c r="O2577" s="8" t="str">
        <f ca="1">IFERROR(__xludf.DUMMYFUNCTION("""COMPUTED_VALUE"""),"Summer")</f>
        <v>Summer</v>
      </c>
      <c r="P2577" s="8" t="str">
        <f ca="1">IFERROR(__xludf.DUMMYFUNCTION("""COMPUTED_VALUE"""),"Ottumwa")</f>
        <v>Ottumwa</v>
      </c>
      <c r="Q2577" s="8" t="str">
        <f ca="1">IFERROR(__xludf.DUMMYFUNCTION("""COMPUTED_VALUE"""),"IA")</f>
        <v>IA</v>
      </c>
      <c r="R2577" s="8" t="str">
        <f ca="1">IFERROR(__xludf.DUMMYFUNCTION("""COMPUTED_VALUE"""),"High")</f>
        <v>High</v>
      </c>
      <c r="S2577" s="8" t="str">
        <f ca="1">IFERROR(__xludf.DUMMYFUNCTION("""COMPUTED_VALUE"""),"Beside Building")</f>
        <v>Beside Building</v>
      </c>
      <c r="T2577" s="8" t="str">
        <f ca="1">IFERROR(__xludf.DUMMYFUNCTION("""COMPUTED_VALUE"""),"Outside on School Property")</f>
        <v>Outside on School Property</v>
      </c>
      <c r="U2577" s="8" t="str">
        <f ca="1">IFERROR(__xludf.DUMMYFUNCTION("""COMPUTED_VALUE"""),"Yes")</f>
        <v>Yes</v>
      </c>
      <c r="V2577" s="8" t="str">
        <f ca="1">IFERROR(__xludf.DUMMYFUNCTION("""COMPUTED_VALUE"""),"Lunch")</f>
        <v>Lunch</v>
      </c>
      <c r="W2577" s="11">
        <f ca="1">IFERROR(__xludf.DUMMYFUNCTION("""COMPUTED_VALUE"""),0.484722222222222)</f>
        <v>0.484722222222222</v>
      </c>
      <c r="X2577" s="8">
        <f ca="1">IFERROR(__xludf.DUMMYFUNCTION("""COMPUTED_VALUE"""),1)</f>
        <v>1</v>
      </c>
      <c r="Y2577" s="12" t="str">
        <f ca="1">IFERROR(__xludf.DUMMYFUNCTION("""COMPUTED_VALUE"""),"Ongoing dispute, shooter warned victim he would kill him")</f>
        <v>Ongoing dispute, shooter warned victim he would kill him</v>
      </c>
      <c r="Z2577" s="12" t="str">
        <f ca="1">IFERROR(__xludf.DUMMYFUNCTION("""COMPUTED_VALUE"""),"17YOM shooter had warned 16YOM victim he was going to kill him. They had ongoing fight. During an argument, shooter fired at victims head, then again while he was on the ground, then walked off.")</f>
        <v>17YOM shooter had warned 16YOM victim he was going to kill him. They had ongoing fight. During an argument, shooter fired at victims head, then again while he was on the ground, then walked off.</v>
      </c>
      <c r="AA2577" s="8" t="str">
        <f ca="1">IFERROR(__xludf.DUMMYFUNCTION("""COMPUTED_VALUE"""),"Escalation of Dispute")</f>
        <v>Escalation of Dispute</v>
      </c>
      <c r="AB2577" s="8"/>
      <c r="AC2577" s="8"/>
      <c r="AD2577" s="8" t="str">
        <f ca="1">IFERROR(__xludf.DUMMYFUNCTION("""COMPUTED_VALUE"""),"Victims Targeted")</f>
        <v>Victims Targeted</v>
      </c>
      <c r="AE2577" s="8" t="str">
        <f ca="1">IFERROR(__xludf.DUMMYFUNCTION("""COMPUTED_VALUE"""),"No")</f>
        <v>No</v>
      </c>
      <c r="AF2577" s="8"/>
      <c r="AG2577" s="8" t="str">
        <f ca="1">IFERROR(__xludf.DUMMYFUNCTION("""COMPUTED_VALUE"""),"No")</f>
        <v>No</v>
      </c>
      <c r="AH2577" s="8" t="str">
        <f ca="1">IFERROR(__xludf.DUMMYFUNCTION("""COMPUTED_VALUE"""),"No")</f>
        <v>No</v>
      </c>
      <c r="AI2577" s="8" t="str">
        <f ca="1">IFERROR(__xludf.DUMMYFUNCTION("""COMPUTED_VALUE"""),"No")</f>
        <v>No</v>
      </c>
      <c r="AJ2577" s="8" t="str">
        <f ca="1">IFERROR(__xludf.DUMMYFUNCTION("""COMPUTED_VALUE"""),"No")</f>
        <v>No</v>
      </c>
      <c r="AK2577" s="8" t="str">
        <f ca="1">IFERROR(__xludf.DUMMYFUNCTION("""COMPUTED_VALUE"""),"No")</f>
        <v>No</v>
      </c>
      <c r="AL2577" s="8" t="str">
        <f ca="1">IFERROR(__xludf.DUMMYFUNCTION("""COMPUTED_VALUE"""),"No")</f>
        <v>No</v>
      </c>
      <c r="AM2577" s="8"/>
      <c r="AN2577" s="8"/>
      <c r="AO2577" s="8" t="str">
        <f ca="1">IFERROR(__xludf.DUMMYFUNCTION("""COMPUTED_VALUE"""),"No")</f>
        <v>No</v>
      </c>
      <c r="AP2577" s="8"/>
      <c r="AQ2577" s="8" t="str">
        <f ca="1">IFERROR(__xludf.DUMMYFUNCTION("""COMPUTED_VALUE"""),"Unknown")</f>
        <v>Unknown</v>
      </c>
      <c r="AR2577" s="8" t="str">
        <f ca="1">IFERROR(__xludf.DUMMYFUNCTION("""COMPUTED_VALUE"""),"NA")</f>
        <v>NA</v>
      </c>
      <c r="AS2577" s="8">
        <f ca="1">IFERROR(__xludf.DUMMYFUNCTION("""COMPUTED_VALUE"""),2)</f>
        <v>2</v>
      </c>
      <c r="AT2577" s="8"/>
      <c r="AU2577" s="8">
        <f ca="1">IFERROR(__xludf.DUMMYFUNCTION("""COMPUTED_VALUE"""),41.014958)</f>
        <v>41.014958</v>
      </c>
      <c r="AV2577" s="8">
        <f ca="1">IFERROR(__xludf.DUMMYFUNCTION("""COMPUTED_VALUE"""),-92.4083022)</f>
        <v>-92.408302199999994</v>
      </c>
      <c r="AW2577" s="8"/>
      <c r="AX2577" s="8">
        <f ca="1">IFERROR(__xludf.DUMMYFUNCTION("""COMPUTED_VALUE"""),52501)</f>
        <v>52501</v>
      </c>
    </row>
    <row r="2578" spans="1:50" ht="45" x14ac:dyDescent="0.2">
      <c r="A2578" s="8" t="str">
        <f ca="1">IFERROR(__xludf.DUMMYFUNCTION("""COMPUTED_VALUE"""),"19940724PAMAM")</f>
        <v>19940724PAMAM</v>
      </c>
      <c r="B2578" s="8">
        <f ca="1">IFERROR(__xludf.DUMMYFUNCTION("""COMPUTED_VALUE"""),7)</f>
        <v>7</v>
      </c>
      <c r="C2578" s="8">
        <f ca="1">IFERROR(__xludf.DUMMYFUNCTION("""COMPUTED_VALUE"""),24)</f>
        <v>24</v>
      </c>
      <c r="D2578" s="8">
        <f ca="1">IFERROR(__xludf.DUMMYFUNCTION("""COMPUTED_VALUE"""),1994)</f>
        <v>1994</v>
      </c>
      <c r="E2578" s="9">
        <f ca="1">IFERROR(__xludf.DUMMYFUNCTION("""COMPUTED_VALUE"""),34539)</f>
        <v>34539</v>
      </c>
      <c r="F2578" s="8" t="str">
        <f ca="1">IFERROR(__xludf.DUMMYFUNCTION("""COMPUTED_VALUE"""),"Manchester Elementary School")</f>
        <v>Manchester Elementary School</v>
      </c>
      <c r="G2578" s="8">
        <f ca="1">IFERROR(__xludf.DUMMYFUNCTION("""COMPUTED_VALUE"""),1)</f>
        <v>1</v>
      </c>
      <c r="H2578" s="8">
        <f ca="1">IFERROR(__xludf.DUMMYFUNCTION("""COMPUTED_VALUE"""),0)</f>
        <v>0</v>
      </c>
      <c r="I2578" s="8">
        <f ca="1">IFERROR(__xludf.DUMMYFUNCTION("""COMPUTED_VALUE"""),1)</f>
        <v>1</v>
      </c>
      <c r="J2578" s="8">
        <f ca="1">IFERROR(__xludf.DUMMYFUNCTION("""COMPUTED_VALUE"""),0)</f>
        <v>0</v>
      </c>
      <c r="K2578" s="10" t="str">
        <f ca="1">IFERROR(__xludf.DUMMYFUNCTION("""COMPUTED_VALUE"""),"https://www.publicsource.org/most-of-pennsylvanias-juvenile-lifers-are-still-awaiting-their-new-day-in-court/")</f>
        <v>https://www.publicsource.org/most-of-pennsylvanias-juvenile-lifers-are-still-awaiting-their-new-day-in-court/</v>
      </c>
      <c r="L2578" s="8"/>
      <c r="M2578" s="8"/>
      <c r="N2578" s="8">
        <f ca="1">IFERROR(__xludf.DUMMYFUNCTION("""COMPUTED_VALUE"""),1)</f>
        <v>1</v>
      </c>
      <c r="O2578" s="8" t="str">
        <f ca="1">IFERROR(__xludf.DUMMYFUNCTION("""COMPUTED_VALUE"""),"Summer")</f>
        <v>Summer</v>
      </c>
      <c r="P2578" s="8" t="str">
        <f ca="1">IFERROR(__xludf.DUMMYFUNCTION("""COMPUTED_VALUE"""),"Manchester")</f>
        <v>Manchester</v>
      </c>
      <c r="Q2578" s="8" t="str">
        <f ca="1">IFERROR(__xludf.DUMMYFUNCTION("""COMPUTED_VALUE"""),"PA")</f>
        <v>PA</v>
      </c>
      <c r="R2578" s="8" t="str">
        <f ca="1">IFERROR(__xludf.DUMMYFUNCTION("""COMPUTED_VALUE"""),"Elementary")</f>
        <v>Elementary</v>
      </c>
      <c r="S2578" s="8" t="str">
        <f ca="1">IFERROR(__xludf.DUMMYFUNCTION("""COMPUTED_VALUE"""),"Basketball Court")</f>
        <v>Basketball Court</v>
      </c>
      <c r="T2578" s="8" t="str">
        <f ca="1">IFERROR(__xludf.DUMMYFUNCTION("""COMPUTED_VALUE"""),"Outside on School Property")</f>
        <v>Outside on School Property</v>
      </c>
      <c r="U2578" s="8" t="str">
        <f ca="1">IFERROR(__xludf.DUMMYFUNCTION("""COMPUTED_VALUE"""),"No")</f>
        <v>No</v>
      </c>
      <c r="V2578" s="8" t="str">
        <f ca="1">IFERROR(__xludf.DUMMYFUNCTION("""COMPUTED_VALUE"""),"Not a School Day")</f>
        <v>Not a School Day</v>
      </c>
      <c r="W2578" s="8"/>
      <c r="X2578" s="8">
        <f ca="1">IFERROR(__xludf.DUMMYFUNCTION("""COMPUTED_VALUE"""),1)</f>
        <v>1</v>
      </c>
      <c r="Y2578" s="12" t="str">
        <f ca="1">IFERROR(__xludf.DUMMYFUNCTION("""COMPUTED_VALUE"""),"Shot during basketball game at school")</f>
        <v>Shot during basketball game at school</v>
      </c>
      <c r="Z2578" s="12" t="str">
        <f ca="1">IFERROR(__xludf.DUMMYFUNCTION("""COMPUTED_VALUE"""),"Ongoing feud between 15YOM and 17YOM escalated into shooting during basketball game at the school.")</f>
        <v>Ongoing feud between 15YOM and 17YOM escalated into shooting during basketball game at the school.</v>
      </c>
      <c r="AA2578" s="8" t="str">
        <f ca="1">IFERROR(__xludf.DUMMYFUNCTION("""COMPUTED_VALUE"""),"Escalation of Dispute")</f>
        <v>Escalation of Dispute</v>
      </c>
      <c r="AB2578" s="8"/>
      <c r="AC2578" s="8"/>
      <c r="AD2578" s="8" t="str">
        <f ca="1">IFERROR(__xludf.DUMMYFUNCTION("""COMPUTED_VALUE"""),"Victims Targeted")</f>
        <v>Victims Targeted</v>
      </c>
      <c r="AE2578" s="8" t="str">
        <f ca="1">IFERROR(__xludf.DUMMYFUNCTION("""COMPUTED_VALUE"""),"No")</f>
        <v>No</v>
      </c>
      <c r="AF2578" s="8"/>
      <c r="AG2578" s="8" t="str">
        <f ca="1">IFERROR(__xludf.DUMMYFUNCTION("""COMPUTED_VALUE"""),"No")</f>
        <v>No</v>
      </c>
      <c r="AH2578" s="8" t="str">
        <f ca="1">IFERROR(__xludf.DUMMYFUNCTION("""COMPUTED_VALUE"""),"No")</f>
        <v>No</v>
      </c>
      <c r="AI2578" s="8" t="str">
        <f ca="1">IFERROR(__xludf.DUMMYFUNCTION("""COMPUTED_VALUE"""),"No")</f>
        <v>No</v>
      </c>
      <c r="AJ2578" s="8" t="str">
        <f ca="1">IFERROR(__xludf.DUMMYFUNCTION("""COMPUTED_VALUE"""),"No")</f>
        <v>No</v>
      </c>
      <c r="AK2578" s="8" t="str">
        <f ca="1">IFERROR(__xludf.DUMMYFUNCTION("""COMPUTED_VALUE"""),"No")</f>
        <v>No</v>
      </c>
      <c r="AL2578" s="8" t="str">
        <f ca="1">IFERROR(__xludf.DUMMYFUNCTION("""COMPUTED_VALUE"""),"No")</f>
        <v>No</v>
      </c>
      <c r="AM2578" s="8"/>
      <c r="AN2578" s="8"/>
      <c r="AO2578" s="8" t="str">
        <f ca="1">IFERROR(__xludf.DUMMYFUNCTION("""COMPUTED_VALUE"""),"No")</f>
        <v>No</v>
      </c>
      <c r="AP2578" s="8"/>
      <c r="AQ2578" s="8" t="str">
        <f ca="1">IFERROR(__xludf.DUMMYFUNCTION("""COMPUTED_VALUE"""),"Unknown")</f>
        <v>Unknown</v>
      </c>
      <c r="AR2578" s="8" t="str">
        <f ca="1">IFERROR(__xludf.DUMMYFUNCTION("""COMPUTED_VALUE"""),"NA")</f>
        <v>NA</v>
      </c>
      <c r="AS2578" s="8"/>
      <c r="AT2578" s="8"/>
      <c r="AU2578" s="8">
        <f ca="1">IFERROR(__xludf.DUMMYFUNCTION("""COMPUTED_VALUE"""),39.14003)</f>
        <v>39.140030000000003</v>
      </c>
      <c r="AV2578" s="8">
        <f ca="1">IFERROR(__xludf.DUMMYFUNCTION("""COMPUTED_VALUE"""),-84.99347)</f>
        <v>-84.993470000000002</v>
      </c>
      <c r="AW2578" s="8"/>
      <c r="AX2578" s="8">
        <f ca="1">IFERROR(__xludf.DUMMYFUNCTION("""COMPUTED_VALUE"""),47001)</f>
        <v>47001</v>
      </c>
    </row>
    <row r="2579" spans="1:50" ht="315" x14ac:dyDescent="0.2">
      <c r="A2579" s="8" t="str">
        <f ca="1">IFERROR(__xludf.DUMMYFUNCTION("""COMPUTED_VALUE"""),"19940526KYLAU")</f>
        <v>19940526KYLAU</v>
      </c>
      <c r="B2579" s="8">
        <f ca="1">IFERROR(__xludf.DUMMYFUNCTION("""COMPUTED_VALUE"""),5)</f>
        <v>5</v>
      </c>
      <c r="C2579" s="8">
        <f ca="1">IFERROR(__xludf.DUMMYFUNCTION("""COMPUTED_VALUE"""),26)</f>
        <v>26</v>
      </c>
      <c r="D2579" s="8">
        <f ca="1">IFERROR(__xludf.DUMMYFUNCTION("""COMPUTED_VALUE"""),1994)</f>
        <v>1994</v>
      </c>
      <c r="E2579" s="9">
        <f ca="1">IFERROR(__xludf.DUMMYFUNCTION("""COMPUTED_VALUE"""),34480)</f>
        <v>34480</v>
      </c>
      <c r="F2579" s="8" t="str">
        <f ca="1">IFERROR(__xludf.DUMMYFUNCTION("""COMPUTED_VALUE"""),"Larry A. Ryle High School")</f>
        <v>Larry A. Ryle High School</v>
      </c>
      <c r="G2579" s="8">
        <f ca="1">IFERROR(__xludf.DUMMYFUNCTION("""COMPUTED_VALUE"""),0)</f>
        <v>0</v>
      </c>
      <c r="H2579" s="8">
        <f ca="1">IFERROR(__xludf.DUMMYFUNCTION("""COMPUTED_VALUE"""),0)</f>
        <v>0</v>
      </c>
      <c r="I2579" s="8">
        <f ca="1">IFERROR(__xludf.DUMMYFUNCTION("""COMPUTED_VALUE"""),0)</f>
        <v>0</v>
      </c>
      <c r="J2579" s="8">
        <f ca="1">IFERROR(__xludf.DUMMYFUNCTION("""COMPUTED_VALUE"""),0)</f>
        <v>0</v>
      </c>
      <c r="K2579" s="8" t="str">
        <f ca="1">IFERROR(__xludf.DUMMYFUNCTION("""COMPUTED_VALUE"""),"https://books.google.com/books?id=paCVN9ECUc4C&amp;pg=PA10&amp;lpg=PA10&amp;dq=George+Rogers+Clark+High+School+hostage+1995&amp;source=bl&amp;ots=nnsA6mfWJP&amp;sig=Eg_GpHVGdpBSqw57FExYfpEPEGg&amp;hl=en&amp;sa=X&amp;ved=0ahUKEwjEzNrvk_7bAhUIpFkKHYajCvgQ6AEIiQEwEg#v=onepage&amp;q=George%20Rogers"&amp;"%20Clark%20High%20School%20hostage%201995&amp;f=false https://www.fox19.com/story/25495272/principal-tells-of-first-hand-experience-with-clay-shrout/ https://www.cincinnati.com/story/news/crime/crime-and-courts/2019/03/10/clay-shrout-killed-his-family-took-cl"&amp;"ass-hostage-and-up-parole/3069610002/")</f>
        <v>https://books.google.com/books?id=paCVN9ECUc4C&amp;pg=PA10&amp;lpg=PA10&amp;dq=George+Rogers+Clark+High+School+hostage+1995&amp;source=bl&amp;ots=nnsA6mfWJP&amp;sig=Eg_GpHVGdpBSqw57FExYfpEPEGg&amp;hl=en&amp;sa=X&amp;ved=0ahUKEwjEzNrvk_7bAhUIpFkKHYajCvgQ6AEIiQEwEg#v=onepage&amp;q=George%20Rogers%20Clark%20High%20School%20hostage%201995&amp;f=false https://www.fox19.com/story/25495272/principal-tells-of-first-hand-experience-with-clay-shrout/ https://www.cincinnati.com/story/news/crime/crime-and-courts/2019/03/10/clay-shrout-killed-his-family-took-class-hostage-and-up-parole/3069610002/</v>
      </c>
      <c r="L2579" s="8"/>
      <c r="M2579" s="8"/>
      <c r="N2579" s="8">
        <f ca="1">IFERROR(__xludf.DUMMYFUNCTION("""COMPUTED_VALUE"""),5)</f>
        <v>5</v>
      </c>
      <c r="O2579" s="8" t="str">
        <f ca="1">IFERROR(__xludf.DUMMYFUNCTION("""COMPUTED_VALUE"""),"Spring")</f>
        <v>Spring</v>
      </c>
      <c r="P2579" s="8" t="str">
        <f ca="1">IFERROR(__xludf.DUMMYFUNCTION("""COMPUTED_VALUE"""),"Union")</f>
        <v>Union</v>
      </c>
      <c r="Q2579" s="8" t="str">
        <f ca="1">IFERROR(__xludf.DUMMYFUNCTION("""COMPUTED_VALUE"""),"KY")</f>
        <v>KY</v>
      </c>
      <c r="R2579" s="8" t="str">
        <f ca="1">IFERROR(__xludf.DUMMYFUNCTION("""COMPUTED_VALUE"""),"High")</f>
        <v>High</v>
      </c>
      <c r="S2579" s="8" t="str">
        <f ca="1">IFERROR(__xludf.DUMMYFUNCTION("""COMPUTED_VALUE"""),"Classroom")</f>
        <v>Classroom</v>
      </c>
      <c r="T2579" s="8" t="str">
        <f ca="1">IFERROR(__xludf.DUMMYFUNCTION("""COMPUTED_VALUE"""),"Inside School Building")</f>
        <v>Inside School Building</v>
      </c>
      <c r="U2579" s="8" t="str">
        <f ca="1">IFERROR(__xludf.DUMMYFUNCTION("""COMPUTED_VALUE"""),"Yes")</f>
        <v>Yes</v>
      </c>
      <c r="V2579" s="8" t="str">
        <f ca="1">IFERROR(__xludf.DUMMYFUNCTION("""COMPUTED_VALUE"""),"Morning Classes")</f>
        <v>Morning Classes</v>
      </c>
      <c r="W2579" s="11">
        <f ca="1">IFERROR(__xludf.DUMMYFUNCTION("""COMPUTED_VALUE"""),0.375)</f>
        <v>0.375</v>
      </c>
      <c r="X2579" s="8">
        <f ca="1">IFERROR(__xludf.DUMMYFUNCTION("""COMPUTED_VALUE"""),30)</f>
        <v>30</v>
      </c>
      <c r="Y2579" s="12" t="str">
        <f ca="1">IFERROR(__xludf.DUMMYFUNCTION("""COMPUTED_VALUE"""),"Killed family, went to school and took class hostage")</f>
        <v>Killed family, went to school and took class hostage</v>
      </c>
      <c r="Z2579" s="12" t="str">
        <f ca="1">IFERROR(__xludf.DUMMYFUNCTION("""COMPUTED_VALUE"""),"17YOM killed parents and two younger sisters and went to his school with gun. During trigonometry class, there was a warning that a student at the school had a gun. The shooter stood up, took out the gun, and said ""it's me, I'm having a bad day and I kil"&amp;"led my parents"". Shooter took classmates hostage for 30 minutes. Teacher approached the shooter, put this hands on the gun, and took it away from the shooter as police officers entered the classroom. Teacher received letter commending his heroism from Fo"&amp;"rmer President Bill Clinton. he was smart, gifted even. He excelled as a student at Ryle High School in suburban Northern Kentucky, but there were signs he was in a spiral. His friends said he had become depressed and obsessed with death and gore. He inex"&amp;"plicably quit his job at Rally's, jumping out of the window mid-shift. He brought a stun gun and bullets to school. His parents took away the keys to his truck, his phone privileges and insisted he stop listening to heavy metal and alternative rock. The s"&amp;"tories about Shrout from the time have all the buzzwords that would later sprinkle coverage of school shooters: Anarchist Cookbook, black trench coat, combat boots.")</f>
        <v>17YOM killed parents and two younger sisters and went to his school with gun. During trigonometry class, there was a warning that a student at the school had a gun. The shooter stood up, took out the gun, and said "it's me, I'm having a bad day and I killed my parents". Shooter took classmates hostage for 30 minutes. Teacher approached the shooter, put this hands on the gun, and took it away from the shooter as police officers entered the classroom. Teacher received letter commending his heroism from Former President Bill Clinton. he was smart, gifted even. He excelled as a student at Ryle High School in suburban Northern Kentucky, but there were signs he was in a spiral. His friends said he had become depressed and obsessed with death and gore. He inexplicably quit his job at Rally's, jumping out of the window mid-shift. He brought a stun gun and bullets to school. His parents took away the keys to his truck, his phone privileges and insisted he stop listening to heavy metal and alternative rock. The stories about Shrout from the time have all the buzzwords that would later sprinkle coverage of school shooters: Anarchist Cookbook, black trench coat, combat boots.</v>
      </c>
      <c r="AA2579" s="8" t="str">
        <f ca="1">IFERROR(__xludf.DUMMYFUNCTION("""COMPUTED_VALUE"""),"Hostage/Standoff")</f>
        <v>Hostage/Standoff</v>
      </c>
      <c r="AB2579" s="8"/>
      <c r="AC2579" s="8"/>
      <c r="AD2579" s="8" t="str">
        <f ca="1">IFERROR(__xludf.DUMMYFUNCTION("""COMPUTED_VALUE"""),"Neither")</f>
        <v>Neither</v>
      </c>
      <c r="AE2579" s="8" t="str">
        <f ca="1">IFERROR(__xludf.DUMMYFUNCTION("""COMPUTED_VALUE"""),"No")</f>
        <v>No</v>
      </c>
      <c r="AF2579" s="8"/>
      <c r="AG2579" s="8" t="str">
        <f ca="1">IFERROR(__xludf.DUMMYFUNCTION("""COMPUTED_VALUE"""),"Yes")</f>
        <v>Yes</v>
      </c>
      <c r="AH2579" s="8" t="str">
        <f ca="1">IFERROR(__xludf.DUMMYFUNCTION("""COMPUTED_VALUE"""),"Yes")</f>
        <v>Yes</v>
      </c>
      <c r="AI2579" s="8" t="str">
        <f ca="1">IFERROR(__xludf.DUMMYFUNCTION("""COMPUTED_VALUE"""),"No")</f>
        <v>No</v>
      </c>
      <c r="AJ2579" s="8" t="str">
        <f ca="1">IFERROR(__xludf.DUMMYFUNCTION("""COMPUTED_VALUE"""),"No")</f>
        <v>No</v>
      </c>
      <c r="AK2579" s="8" t="str">
        <f ca="1">IFERROR(__xludf.DUMMYFUNCTION("""COMPUTED_VALUE"""),"No")</f>
        <v>No</v>
      </c>
      <c r="AL2579" s="8" t="str">
        <f ca="1">IFERROR(__xludf.DUMMYFUNCTION("""COMPUTED_VALUE"""),"No")</f>
        <v>No</v>
      </c>
      <c r="AM2579" s="8" t="str">
        <f ca="1">IFERROR(__xludf.DUMMYFUNCTION("""COMPUTED_VALUE"""),"Yes")</f>
        <v>Yes</v>
      </c>
      <c r="AN2579" s="8" t="str">
        <f ca="1">IFERROR(__xludf.DUMMYFUNCTION("""COMPUTED_VALUE"""),"Single Room")</f>
        <v>Single Room</v>
      </c>
      <c r="AO2579" s="8" t="str">
        <f ca="1">IFERROR(__xludf.DUMMYFUNCTION("""COMPUTED_VALUE"""),"No")</f>
        <v>No</v>
      </c>
      <c r="AP2579" s="8"/>
      <c r="AQ2579" s="8" t="str">
        <f ca="1">IFERROR(__xludf.DUMMYFUNCTION("""COMPUTED_VALUE"""),"None")</f>
        <v>None</v>
      </c>
      <c r="AR2579" s="8" t="str">
        <f ca="1">IFERROR(__xludf.DUMMYFUNCTION("""COMPUTED_VALUE"""),"NA")</f>
        <v>NA</v>
      </c>
      <c r="AS2579" s="8">
        <f ca="1">IFERROR(__xludf.DUMMYFUNCTION("""COMPUTED_VALUE"""),0)</f>
        <v>0</v>
      </c>
      <c r="AT2579" s="8" t="str">
        <f ca="1">IFERROR(__xludf.DUMMYFUNCTION("""COMPUTED_VALUE"""),"Yes")</f>
        <v>Yes</v>
      </c>
      <c r="AU2579" s="8">
        <f ca="1">IFERROR(__xludf.DUMMYFUNCTION("""COMPUTED_VALUE"""),38.933193)</f>
        <v>38.933193000000003</v>
      </c>
      <c r="AV2579" s="8">
        <f ca="1">IFERROR(__xludf.DUMMYFUNCTION("""COMPUTED_VALUE"""),-84.676877)</f>
        <v>-84.676877000000005</v>
      </c>
      <c r="AW2579" s="8"/>
      <c r="AX2579" s="8">
        <f ca="1">IFERROR(__xludf.DUMMYFUNCTION("""COMPUTED_VALUE"""),41091)</f>
        <v>41091</v>
      </c>
    </row>
    <row r="2580" spans="1:50" ht="60" x14ac:dyDescent="0.2">
      <c r="A2580" s="8" t="str">
        <f ca="1">IFERROR(__xludf.DUMMYFUNCTION("""COMPUTED_VALUE"""),"19940525NJLAW")</f>
        <v>19940525NJLAW</v>
      </c>
      <c r="B2580" s="8">
        <f ca="1">IFERROR(__xludf.DUMMYFUNCTION("""COMPUTED_VALUE"""),5)</f>
        <v>5</v>
      </c>
      <c r="C2580" s="8">
        <f ca="1">IFERROR(__xludf.DUMMYFUNCTION("""COMPUTED_VALUE"""),25)</f>
        <v>25</v>
      </c>
      <c r="D2580" s="8">
        <f ca="1">IFERROR(__xludf.DUMMYFUNCTION("""COMPUTED_VALUE"""),1994)</f>
        <v>1994</v>
      </c>
      <c r="E2580" s="9">
        <f ca="1">IFERROR(__xludf.DUMMYFUNCTION("""COMPUTED_VALUE"""),34479)</f>
        <v>34479</v>
      </c>
      <c r="F2580" s="8" t="str">
        <f ca="1">IFERROR(__xludf.DUMMYFUNCTION("""COMPUTED_VALUE"""),"Lakeland Regional High School")</f>
        <v>Lakeland Regional High School</v>
      </c>
      <c r="G2580" s="8">
        <f ca="1">IFERROR(__xludf.DUMMYFUNCTION("""COMPUTED_VALUE"""),0)</f>
        <v>0</v>
      </c>
      <c r="H2580" s="8">
        <f ca="1">IFERROR(__xludf.DUMMYFUNCTION("""COMPUTED_VALUE"""),0)</f>
        <v>0</v>
      </c>
      <c r="I2580" s="8">
        <f ca="1">IFERROR(__xludf.DUMMYFUNCTION("""COMPUTED_VALUE"""),0)</f>
        <v>0</v>
      </c>
      <c r="J2580" s="8">
        <f ca="1">IFERROR(__xludf.DUMMYFUNCTION("""COMPUTED_VALUE"""),1)</f>
        <v>1</v>
      </c>
      <c r="K2580" s="10" t="str">
        <f ca="1">IFERROR(__xludf.DUMMYFUNCTION("""COMPUTED_VALUE"""),"https://www.newspapers.com/image/166926358/?terms=Amy%2BGamarello")</f>
        <v>https://www.newspapers.com/image/166926358/?terms=Amy%2BGamarello</v>
      </c>
      <c r="L2580" s="8"/>
      <c r="M2580" s="8"/>
      <c r="N2580" s="8">
        <f ca="1">IFERROR(__xludf.DUMMYFUNCTION("""COMPUTED_VALUE"""),2)</f>
        <v>2</v>
      </c>
      <c r="O2580" s="8" t="str">
        <f ca="1">IFERROR(__xludf.DUMMYFUNCTION("""COMPUTED_VALUE"""),"Spring")</f>
        <v>Spring</v>
      </c>
      <c r="P2580" s="8" t="str">
        <f ca="1">IFERROR(__xludf.DUMMYFUNCTION("""COMPUTED_VALUE"""),"Wanaque")</f>
        <v>Wanaque</v>
      </c>
      <c r="Q2580" s="8" t="str">
        <f ca="1">IFERROR(__xludf.DUMMYFUNCTION("""COMPUTED_VALUE"""),"NJ")</f>
        <v>NJ</v>
      </c>
      <c r="R2580" s="8" t="str">
        <f ca="1">IFERROR(__xludf.DUMMYFUNCTION("""COMPUTED_VALUE"""),"High")</f>
        <v>High</v>
      </c>
      <c r="S2580" s="8" t="str">
        <f ca="1">IFERROR(__xludf.DUMMYFUNCTION("""COMPUTED_VALUE"""),"Beside Building")</f>
        <v>Beside Building</v>
      </c>
      <c r="T2580" s="8" t="str">
        <f ca="1">IFERROR(__xludf.DUMMYFUNCTION("""COMPUTED_VALUE"""),"Outside on School Property")</f>
        <v>Outside on School Property</v>
      </c>
      <c r="U2580" s="8" t="str">
        <f ca="1">IFERROR(__xludf.DUMMYFUNCTION("""COMPUTED_VALUE"""),"Yes")</f>
        <v>Yes</v>
      </c>
      <c r="V2580" s="8" t="str">
        <f ca="1">IFERROR(__xludf.DUMMYFUNCTION("""COMPUTED_VALUE"""),"Morning Classes")</f>
        <v>Morning Classes</v>
      </c>
      <c r="W2580" s="11">
        <f ca="1">IFERROR(__xludf.DUMMYFUNCTION("""COMPUTED_VALUE"""),0.354166666666666)</f>
        <v>0.35416666666666602</v>
      </c>
      <c r="X2580" s="8">
        <f ca="1">IFERROR(__xludf.DUMMYFUNCTION("""COMPUTED_VALUE"""),1)</f>
        <v>1</v>
      </c>
      <c r="Y2580" s="12" t="str">
        <f ca="1">IFERROR(__xludf.DUMMYFUNCTION("""COMPUTED_VALUE"""),"Shot herself behind the school")</f>
        <v>Shot herself behind the school</v>
      </c>
      <c r="Z2580" s="12" t="str">
        <f ca="1">IFERROR(__xludf.DUMMYFUNCTION("""COMPUTED_VALUE"""),"17YOF student told her friend she had taken pills and needed professional help. While friend went to get help, she went behind the school and killed herself with her father's pistol.")</f>
        <v>17YOF student told her friend she had taken pills and needed professional help. While friend went to get help, she went behind the school and killed herself with her father's pistol.</v>
      </c>
      <c r="AA2580" s="8" t="str">
        <f ca="1">IFERROR(__xludf.DUMMYFUNCTION("""COMPUTED_VALUE"""),"Suicide/Attempted")</f>
        <v>Suicide/Attempted</v>
      </c>
      <c r="AB2580" s="8"/>
      <c r="AC2580" s="8"/>
      <c r="AD2580" s="8" t="str">
        <f ca="1">IFERROR(__xludf.DUMMYFUNCTION("""COMPUTED_VALUE"""),"Victims Targeted")</f>
        <v>Victims Targeted</v>
      </c>
      <c r="AE2580" s="8" t="str">
        <f ca="1">IFERROR(__xludf.DUMMYFUNCTION("""COMPUTED_VALUE"""),"No")</f>
        <v>No</v>
      </c>
      <c r="AF2580" s="8"/>
      <c r="AG2580" s="8" t="str">
        <f ca="1">IFERROR(__xludf.DUMMYFUNCTION("""COMPUTED_VALUE"""),"No")</f>
        <v>No</v>
      </c>
      <c r="AH2580" s="8" t="str">
        <f ca="1">IFERROR(__xludf.DUMMYFUNCTION("""COMPUTED_VALUE"""),"No")</f>
        <v>No</v>
      </c>
      <c r="AI2580" s="8" t="str">
        <f ca="1">IFERROR(__xludf.DUMMYFUNCTION("""COMPUTED_VALUE"""),"No")</f>
        <v>No</v>
      </c>
      <c r="AJ2580" s="8" t="str">
        <f ca="1">IFERROR(__xludf.DUMMYFUNCTION("""COMPUTED_VALUE"""),"No")</f>
        <v>No</v>
      </c>
      <c r="AK2580" s="8" t="str">
        <f ca="1">IFERROR(__xludf.DUMMYFUNCTION("""COMPUTED_VALUE"""),"No")</f>
        <v>No</v>
      </c>
      <c r="AL2580" s="8" t="str">
        <f ca="1">IFERROR(__xludf.DUMMYFUNCTION("""COMPUTED_VALUE"""),"No")</f>
        <v>No</v>
      </c>
      <c r="AM2580" s="8"/>
      <c r="AN2580" s="8"/>
      <c r="AO2580" s="8" t="str">
        <f ca="1">IFERROR(__xludf.DUMMYFUNCTION("""COMPUTED_VALUE"""),"No")</f>
        <v>No</v>
      </c>
      <c r="AP2580" s="8"/>
      <c r="AQ2580" s="8" t="str">
        <f ca="1">IFERROR(__xludf.DUMMYFUNCTION("""COMPUTED_VALUE"""),"Unknown")</f>
        <v>Unknown</v>
      </c>
      <c r="AR2580" s="8" t="str">
        <f ca="1">IFERROR(__xludf.DUMMYFUNCTION("""COMPUTED_VALUE"""),"NA")</f>
        <v>NA</v>
      </c>
      <c r="AS2580" s="8">
        <f ca="1">IFERROR(__xludf.DUMMYFUNCTION("""COMPUTED_VALUE"""),1)</f>
        <v>1</v>
      </c>
      <c r="AT2580" s="8"/>
      <c r="AU2580" s="8">
        <f ca="1">IFERROR(__xludf.DUMMYFUNCTION("""COMPUTED_VALUE"""),41.058878)</f>
        <v>41.058878</v>
      </c>
      <c r="AV2580" s="8">
        <f ca="1">IFERROR(__xludf.DUMMYFUNCTION("""COMPUTED_VALUE"""),-74.281809)</f>
        <v>-74.281808999999996</v>
      </c>
      <c r="AW2580" s="8"/>
      <c r="AX2580" s="8">
        <f ca="1">IFERROR(__xludf.DUMMYFUNCTION("""COMPUTED_VALUE"""),7465)</f>
        <v>7465</v>
      </c>
    </row>
    <row r="2581" spans="1:50" ht="45" x14ac:dyDescent="0.2">
      <c r="A2581" s="8" t="str">
        <f ca="1">IFERROR(__xludf.DUMMYFUNCTION("""COMPUTED_VALUE"""),"19940525INLAS")</f>
        <v>19940525INLAS</v>
      </c>
      <c r="B2581" s="8">
        <f ca="1">IFERROR(__xludf.DUMMYFUNCTION("""COMPUTED_VALUE"""),5)</f>
        <v>5</v>
      </c>
      <c r="C2581" s="8">
        <f ca="1">IFERROR(__xludf.DUMMYFUNCTION("""COMPUTED_VALUE"""),25)</f>
        <v>25</v>
      </c>
      <c r="D2581" s="8">
        <f ca="1">IFERROR(__xludf.DUMMYFUNCTION("""COMPUTED_VALUE"""),1994)</f>
        <v>1994</v>
      </c>
      <c r="E2581" s="9">
        <f ca="1">IFERROR(__xludf.DUMMYFUNCTION("""COMPUTED_VALUE"""),34479)</f>
        <v>34479</v>
      </c>
      <c r="F2581" s="8" t="str">
        <f ca="1">IFERROR(__xludf.DUMMYFUNCTION("""COMPUTED_VALUE"""),"LaSalle High School")</f>
        <v>LaSalle High School</v>
      </c>
      <c r="G2581" s="8">
        <f ca="1">IFERROR(__xludf.DUMMYFUNCTION("""COMPUTED_VALUE"""),0)</f>
        <v>0</v>
      </c>
      <c r="H2581" s="8">
        <f ca="1">IFERROR(__xludf.DUMMYFUNCTION("""COMPUTED_VALUE"""),1)</f>
        <v>1</v>
      </c>
      <c r="I2581" s="8">
        <f ca="1">IFERROR(__xludf.DUMMYFUNCTION("""COMPUTED_VALUE"""),1)</f>
        <v>1</v>
      </c>
      <c r="J2581" s="8">
        <f ca="1">IFERROR(__xludf.DUMMYFUNCTION("""COMPUTED_VALUE"""),0)</f>
        <v>0</v>
      </c>
      <c r="K2581" s="8" t="str">
        <f ca="1">IFERROR(__xludf.DUMMYFUNCTION("""COMPUTED_VALUE"""),"https://www.newspapers.com/image/110204610/?terms=shot%2Bin%2Bschool%2Bparking%2Blot; https://www.newspapers.com/image/520229330/?terms=lasalle%2Bhigh%2Bschool%2Bstudent%2Bshot;")</f>
        <v>https://www.newspapers.com/image/110204610/?terms=shot%2Bin%2Bschool%2Bparking%2Blot; https://www.newspapers.com/image/520229330/?terms=lasalle%2Bhigh%2Bschool%2Bstudent%2Bshot;</v>
      </c>
      <c r="L2581" s="8"/>
      <c r="M2581" s="8"/>
      <c r="N2581" s="8">
        <f ca="1">IFERROR(__xludf.DUMMYFUNCTION("""COMPUTED_VALUE"""),3)</f>
        <v>3</v>
      </c>
      <c r="O2581" s="8" t="str">
        <f ca="1">IFERROR(__xludf.DUMMYFUNCTION("""COMPUTED_VALUE"""),"Spring")</f>
        <v>Spring</v>
      </c>
      <c r="P2581" s="8" t="str">
        <f ca="1">IFERROR(__xludf.DUMMYFUNCTION("""COMPUTED_VALUE"""),"South Bend")</f>
        <v>South Bend</v>
      </c>
      <c r="Q2581" s="8" t="str">
        <f ca="1">IFERROR(__xludf.DUMMYFUNCTION("""COMPUTED_VALUE"""),"IN")</f>
        <v>IN</v>
      </c>
      <c r="R2581" s="8" t="str">
        <f ca="1">IFERROR(__xludf.DUMMYFUNCTION("""COMPUTED_VALUE"""),"High")</f>
        <v>High</v>
      </c>
      <c r="S2581" s="8" t="str">
        <f ca="1">IFERROR(__xludf.DUMMYFUNCTION("""COMPUTED_VALUE"""),"Parking Lot")</f>
        <v>Parking Lot</v>
      </c>
      <c r="T2581" s="8" t="str">
        <f ca="1">IFERROR(__xludf.DUMMYFUNCTION("""COMPUTED_VALUE"""),"Outside on School Property")</f>
        <v>Outside on School Property</v>
      </c>
      <c r="U2581" s="8" t="str">
        <f ca="1">IFERROR(__xludf.DUMMYFUNCTION("""COMPUTED_VALUE"""),"Yes")</f>
        <v>Yes</v>
      </c>
      <c r="V2581" s="8" t="str">
        <f ca="1">IFERROR(__xludf.DUMMYFUNCTION("""COMPUTED_VALUE"""),"Lunch")</f>
        <v>Lunch</v>
      </c>
      <c r="W2581" s="11">
        <f ca="1">IFERROR(__xludf.DUMMYFUNCTION("""COMPUTED_VALUE"""),0.520833333333333)</f>
        <v>0.52083333333333304</v>
      </c>
      <c r="X2581" s="8">
        <f ca="1">IFERROR(__xludf.DUMMYFUNCTION("""COMPUTED_VALUE"""),1)</f>
        <v>1</v>
      </c>
      <c r="Y2581" s="12" t="str">
        <f ca="1">IFERROR(__xludf.DUMMYFUNCTION("""COMPUTED_VALUE"""),"Fight ensued over stolen jewelry")</f>
        <v>Fight ensued over stolen jewelry</v>
      </c>
      <c r="Z2581" s="12" t="str">
        <f ca="1">IFERROR(__xludf.DUMMYFUNCTION("""COMPUTED_VALUE"""),"Shooting happened in parking lot over stolen jewelry. 2 students and another teenager were arrested - all were considered juveniles so names were not released.")</f>
        <v>Shooting happened in parking lot over stolen jewelry. 2 students and another teenager were arrested - all were considered juveniles so names were not released.</v>
      </c>
      <c r="AA2581" s="8" t="str">
        <f ca="1">IFERROR(__xludf.DUMMYFUNCTION("""COMPUTED_VALUE"""),"Illegal Activity")</f>
        <v>Illegal Activity</v>
      </c>
      <c r="AB2581" s="8"/>
      <c r="AC2581" s="8"/>
      <c r="AD2581" s="8" t="str">
        <f ca="1">IFERROR(__xludf.DUMMYFUNCTION("""COMPUTED_VALUE"""),"Victims Targeted")</f>
        <v>Victims Targeted</v>
      </c>
      <c r="AE2581" s="8" t="str">
        <f ca="1">IFERROR(__xludf.DUMMYFUNCTION("""COMPUTED_VALUE"""),"Yes")</f>
        <v>Yes</v>
      </c>
      <c r="AF2581" s="8" t="str">
        <f ca="1">IFERROR(__xludf.DUMMYFUNCTION("""COMPUTED_VALUE"""),"two accomplices, one gave shooter gun and other got rid of gun after shooting")</f>
        <v>two accomplices, one gave shooter gun and other got rid of gun after shooting</v>
      </c>
      <c r="AG2581" s="8" t="str">
        <f ca="1">IFERROR(__xludf.DUMMYFUNCTION("""COMPUTED_VALUE"""),"No")</f>
        <v>No</v>
      </c>
      <c r="AH2581" s="8" t="str">
        <f ca="1">IFERROR(__xludf.DUMMYFUNCTION("""COMPUTED_VALUE"""),"No")</f>
        <v>No</v>
      </c>
      <c r="AI2581" s="8" t="str">
        <f ca="1">IFERROR(__xludf.DUMMYFUNCTION("""COMPUTED_VALUE"""),"No")</f>
        <v>No</v>
      </c>
      <c r="AJ2581" s="8" t="str">
        <f ca="1">IFERROR(__xludf.DUMMYFUNCTION("""COMPUTED_VALUE"""),"No")</f>
        <v>No</v>
      </c>
      <c r="AK2581" s="8" t="str">
        <f ca="1">IFERROR(__xludf.DUMMYFUNCTION("""COMPUTED_VALUE"""),"No")</f>
        <v>No</v>
      </c>
      <c r="AL2581" s="8" t="str">
        <f ca="1">IFERROR(__xludf.DUMMYFUNCTION("""COMPUTED_VALUE"""),"No")</f>
        <v>No</v>
      </c>
      <c r="AM2581" s="8" t="str">
        <f ca="1">IFERROR(__xludf.DUMMYFUNCTION("""COMPUTED_VALUE"""),"No")</f>
        <v>No</v>
      </c>
      <c r="AN2581" s="8"/>
      <c r="AO2581" s="8" t="str">
        <f ca="1">IFERROR(__xludf.DUMMYFUNCTION("""COMPUTED_VALUE"""),"No")</f>
        <v>No</v>
      </c>
      <c r="AP2581" s="8"/>
      <c r="AQ2581" s="8" t="str">
        <f ca="1">IFERROR(__xludf.DUMMYFUNCTION("""COMPUTED_VALUE"""),"Unknown")</f>
        <v>Unknown</v>
      </c>
      <c r="AR2581" s="8" t="str">
        <f ca="1">IFERROR(__xludf.DUMMYFUNCTION("""COMPUTED_VALUE"""),"NA")</f>
        <v>NA</v>
      </c>
      <c r="AS2581" s="8"/>
      <c r="AT2581" s="8"/>
      <c r="AU2581" s="8">
        <f ca="1">IFERROR(__xludf.DUMMYFUNCTION("""COMPUTED_VALUE"""),41.694196)</f>
        <v>41.694195999999998</v>
      </c>
      <c r="AV2581" s="8">
        <f ca="1">IFERROR(__xludf.DUMMYFUNCTION("""COMPUTED_VALUE"""),-86.287155)</f>
        <v>-86.287154999999998</v>
      </c>
      <c r="AW2581" s="8"/>
      <c r="AX2581" s="8">
        <f ca="1">IFERROR(__xludf.DUMMYFUNCTION("""COMPUTED_VALUE"""),46616)</f>
        <v>46616</v>
      </c>
    </row>
    <row r="2582" spans="1:50" ht="60" x14ac:dyDescent="0.2">
      <c r="A2582" s="8" t="str">
        <f ca="1">IFERROR(__xludf.DUMMYFUNCTION("""COMPUTED_VALUE"""),"19940502FLNON")</f>
        <v>19940502FLNON</v>
      </c>
      <c r="B2582" s="8">
        <f ca="1">IFERROR(__xludf.DUMMYFUNCTION("""COMPUTED_VALUE"""),5)</f>
        <v>5</v>
      </c>
      <c r="C2582" s="8">
        <f ca="1">IFERROR(__xludf.DUMMYFUNCTION("""COMPUTED_VALUE"""),2)</f>
        <v>2</v>
      </c>
      <c r="D2582" s="8">
        <f ca="1">IFERROR(__xludf.DUMMYFUNCTION("""COMPUTED_VALUE"""),1994)</f>
        <v>1994</v>
      </c>
      <c r="E2582" s="9">
        <f ca="1">IFERROR(__xludf.DUMMYFUNCTION("""COMPUTED_VALUE"""),34456)</f>
        <v>34456</v>
      </c>
      <c r="F2582" s="8" t="str">
        <f ca="1">IFERROR(__xludf.DUMMYFUNCTION("""COMPUTED_VALUE"""),"North Miami High School")</f>
        <v>North Miami High School</v>
      </c>
      <c r="G2582" s="8">
        <f ca="1">IFERROR(__xludf.DUMMYFUNCTION("""COMPUTED_VALUE"""),1)</f>
        <v>1</v>
      </c>
      <c r="H2582" s="8">
        <f ca="1">IFERROR(__xludf.DUMMYFUNCTION("""COMPUTED_VALUE"""),0)</f>
        <v>0</v>
      </c>
      <c r="I2582" s="8">
        <f ca="1">IFERROR(__xludf.DUMMYFUNCTION("""COMPUTED_VALUE"""),1)</f>
        <v>1</v>
      </c>
      <c r="J2582" s="8">
        <f ca="1">IFERROR(__xludf.DUMMYFUNCTION("""COMPUTED_VALUE"""),0)</f>
        <v>0</v>
      </c>
      <c r="K2582" s="8" t="str">
        <f ca="1">IFERROR(__xludf.DUMMYFUNCTION("""COMPUTED_VALUE"""),"https://www.newspapers.com/image/133113436/?terms=Edvard%2BAlmonor https://www.sun-sentinel.com/news/fl-xpm-1994-05-05-9405050231-story.html http://www.columbine-angels.com/School_Violence_1993-1994.htm")</f>
        <v>https://www.newspapers.com/image/133113436/?terms=Edvard%2BAlmonor https://www.sun-sentinel.com/news/fl-xpm-1994-05-05-9405050231-story.html http://www.columbine-angels.com/School_Violence_1993-1994.htm</v>
      </c>
      <c r="L2582" s="8"/>
      <c r="M2582" s="8"/>
      <c r="N2582" s="8">
        <f ca="1">IFERROR(__xludf.DUMMYFUNCTION("""COMPUTED_VALUE"""),2)</f>
        <v>2</v>
      </c>
      <c r="O2582" s="8" t="str">
        <f ca="1">IFERROR(__xludf.DUMMYFUNCTION("""COMPUTED_VALUE"""),"Spring")</f>
        <v>Spring</v>
      </c>
      <c r="P2582" s="8" t="str">
        <f ca="1">IFERROR(__xludf.DUMMYFUNCTION("""COMPUTED_VALUE"""),"North Miami")</f>
        <v>North Miami</v>
      </c>
      <c r="Q2582" s="8" t="str">
        <f ca="1">IFERROR(__xludf.DUMMYFUNCTION("""COMPUTED_VALUE"""),"FL")</f>
        <v>FL</v>
      </c>
      <c r="R2582" s="8" t="str">
        <f ca="1">IFERROR(__xludf.DUMMYFUNCTION("""COMPUTED_VALUE"""),"High")</f>
        <v>High</v>
      </c>
      <c r="S2582" s="8" t="str">
        <f ca="1">IFERROR(__xludf.DUMMYFUNCTION("""COMPUTED_VALUE"""),"Parking Lot")</f>
        <v>Parking Lot</v>
      </c>
      <c r="T2582" s="8" t="str">
        <f ca="1">IFERROR(__xludf.DUMMYFUNCTION("""COMPUTED_VALUE"""),"Outside on School Property")</f>
        <v>Outside on School Property</v>
      </c>
      <c r="U2582" s="8" t="str">
        <f ca="1">IFERROR(__xludf.DUMMYFUNCTION("""COMPUTED_VALUE"""),"Yes")</f>
        <v>Yes</v>
      </c>
      <c r="V2582" s="8" t="str">
        <f ca="1">IFERROR(__xludf.DUMMYFUNCTION("""COMPUTED_VALUE"""),"Lunch")</f>
        <v>Lunch</v>
      </c>
      <c r="W2582" s="11">
        <f ca="1">IFERROR(__xludf.DUMMYFUNCTION("""COMPUTED_VALUE"""),0.5)</f>
        <v>0.5</v>
      </c>
      <c r="X2582" s="8">
        <f ca="1">IFERROR(__xludf.DUMMYFUNCTION("""COMPUTED_VALUE"""),1)</f>
        <v>1</v>
      </c>
      <c r="Y2582" s="12" t="str">
        <f ca="1">IFERROR(__xludf.DUMMYFUNCTION("""COMPUTED_VALUE"""),"Showing off gun, discharged and struck female student.")</f>
        <v>Showing off gun, discharged and struck female student.</v>
      </c>
      <c r="Z2582" s="12" t="str">
        <f ca="1">IFERROR(__xludf.DUMMYFUNCTION("""COMPUTED_VALUE"""),"An 18 year-old male student was showing off a .380 handgun during lunch in the school's parking lot. He accidentally discharged the gun, striking an 18 year-old female. She died from her injuries 2 days after the incident.")</f>
        <v>An 18 year-old male student was showing off a .380 handgun during lunch in the school's parking lot. He accidentally discharged the gun, striking an 18 year-old female. She died from her injuries 2 days after the incident.</v>
      </c>
      <c r="AA2582" s="8" t="str">
        <f ca="1">IFERROR(__xludf.DUMMYFUNCTION("""COMPUTED_VALUE"""),"Accidental")</f>
        <v>Accidental</v>
      </c>
      <c r="AB2582" s="8"/>
      <c r="AC2582" s="8"/>
      <c r="AD2582" s="8" t="str">
        <f ca="1">IFERROR(__xludf.DUMMYFUNCTION("""COMPUTED_VALUE"""),"Random Shooting")</f>
        <v>Random Shooting</v>
      </c>
      <c r="AE2582" s="8" t="str">
        <f ca="1">IFERROR(__xludf.DUMMYFUNCTION("""COMPUTED_VALUE"""),"No")</f>
        <v>No</v>
      </c>
      <c r="AF2582" s="8"/>
      <c r="AG2582" s="8" t="str">
        <f ca="1">IFERROR(__xludf.DUMMYFUNCTION("""COMPUTED_VALUE"""),"No")</f>
        <v>No</v>
      </c>
      <c r="AH2582" s="8" t="str">
        <f ca="1">IFERROR(__xludf.DUMMYFUNCTION("""COMPUTED_VALUE"""),"No")</f>
        <v>No</v>
      </c>
      <c r="AI2582" s="8" t="str">
        <f ca="1">IFERROR(__xludf.DUMMYFUNCTION("""COMPUTED_VALUE"""),"No")</f>
        <v>No</v>
      </c>
      <c r="AJ2582" s="8" t="str">
        <f ca="1">IFERROR(__xludf.DUMMYFUNCTION("""COMPUTED_VALUE"""),"No")</f>
        <v>No</v>
      </c>
      <c r="AK2582" s="8" t="str">
        <f ca="1">IFERROR(__xludf.DUMMYFUNCTION("""COMPUTED_VALUE"""),"No")</f>
        <v>No</v>
      </c>
      <c r="AL2582" s="8" t="str">
        <f ca="1">IFERROR(__xludf.DUMMYFUNCTION("""COMPUTED_VALUE"""),"No")</f>
        <v>No</v>
      </c>
      <c r="AM2582" s="8"/>
      <c r="AN2582" s="8"/>
      <c r="AO2582" s="8" t="str">
        <f ca="1">IFERROR(__xludf.DUMMYFUNCTION("""COMPUTED_VALUE"""),"No")</f>
        <v>No</v>
      </c>
      <c r="AP2582" s="8"/>
      <c r="AQ2582" s="8" t="str">
        <f ca="1">IFERROR(__xludf.DUMMYFUNCTION("""COMPUTED_VALUE"""),"Unknown")</f>
        <v>Unknown</v>
      </c>
      <c r="AR2582" s="8" t="str">
        <f ca="1">IFERROR(__xludf.DUMMYFUNCTION("""COMPUTED_VALUE"""),"NA")</f>
        <v>NA</v>
      </c>
      <c r="AS2582" s="8">
        <f ca="1">IFERROR(__xludf.DUMMYFUNCTION("""COMPUTED_VALUE"""),1)</f>
        <v>1</v>
      </c>
      <c r="AT2582" s="8"/>
      <c r="AU2582" s="8">
        <f ca="1">IFERROR(__xludf.DUMMYFUNCTION("""COMPUTED_VALUE"""),25.896915)</f>
        <v>25.896915</v>
      </c>
      <c r="AV2582" s="8">
        <f ca="1">IFERROR(__xludf.DUMMYFUNCTION("""COMPUTED_VALUE"""),-80.184148)</f>
        <v>-80.184147999999993</v>
      </c>
      <c r="AW2582" s="8"/>
      <c r="AX2582" s="8">
        <f ca="1">IFERROR(__xludf.DUMMYFUNCTION("""COMPUTED_VALUE"""),33161)</f>
        <v>33161</v>
      </c>
    </row>
    <row r="2583" spans="1:50" ht="120" x14ac:dyDescent="0.2">
      <c r="A2583" s="8" t="str">
        <f ca="1">IFERROR(__xludf.DUMMYFUNCTION("""COMPUTED_VALUE"""),"19940421TNJTN")</f>
        <v>19940421TNJTN</v>
      </c>
      <c r="B2583" s="8">
        <f ca="1">IFERROR(__xludf.DUMMYFUNCTION("""COMPUTED_VALUE"""),4)</f>
        <v>4</v>
      </c>
      <c r="C2583" s="8">
        <f ca="1">IFERROR(__xludf.DUMMYFUNCTION("""COMPUTED_VALUE"""),21)</f>
        <v>21</v>
      </c>
      <c r="D2583" s="8">
        <f ca="1">IFERROR(__xludf.DUMMYFUNCTION("""COMPUTED_VALUE"""),1994)</f>
        <v>1994</v>
      </c>
      <c r="E2583" s="9">
        <f ca="1">IFERROR(__xludf.DUMMYFUNCTION("""COMPUTED_VALUE"""),34445)</f>
        <v>34445</v>
      </c>
      <c r="F2583" s="8" t="str">
        <f ca="1">IFERROR(__xludf.DUMMYFUNCTION("""COMPUTED_VALUE"""),"J T Moore Middle School")</f>
        <v>J T Moore Middle School</v>
      </c>
      <c r="G2583" s="8">
        <f ca="1">IFERROR(__xludf.DUMMYFUNCTION("""COMPUTED_VALUE"""),1)</f>
        <v>1</v>
      </c>
      <c r="H2583" s="8">
        <f ca="1">IFERROR(__xludf.DUMMYFUNCTION("""COMPUTED_VALUE"""),0)</f>
        <v>0</v>
      </c>
      <c r="I2583" s="8">
        <f ca="1">IFERROR(__xludf.DUMMYFUNCTION("""COMPUTED_VALUE"""),1)</f>
        <v>1</v>
      </c>
      <c r="J2583" s="8">
        <f ca="1">IFERROR(__xludf.DUMMYFUNCTION("""COMPUTED_VALUE"""),0)</f>
        <v>0</v>
      </c>
      <c r="K2583" s="8" t="str">
        <f ca="1">IFERROR(__xludf.DUMMYFUNCTION("""COMPUTED_VALUE"""),"https://www.tennessean.com/story/news/education/2022/02/04/nashville-metro-schools-director-school-shooting-death-guns-john-trotwood-moore/9314780002/ http://articles.orlandosentinel.com/1994-04-22/news/9404250527_1_music-class-video-in-class-shot-to-deat"&amp;"h https://www.tennessean.com/story/news/crime/2018/10/08/1994-nashville-school-shooting/923644002/")</f>
        <v>https://www.tennessean.com/story/news/education/2022/02/04/nashville-metro-schools-director-school-shooting-death-guns-john-trotwood-moore/9314780002/ http://articles.orlandosentinel.com/1994-04-22/news/9404250527_1_music-class-video-in-class-shot-to-death https://www.tennessean.com/story/news/crime/2018/10/08/1994-nashville-school-shooting/923644002/</v>
      </c>
      <c r="L2583" s="8"/>
      <c r="M2583" s="8" t="str">
        <f ca="1">IFERROR(__xludf.DUMMYFUNCTION("""COMPUTED_VALUE"""),"Regional")</f>
        <v>Regional</v>
      </c>
      <c r="N2583" s="8">
        <f ca="1">IFERROR(__xludf.DUMMYFUNCTION("""COMPUTED_VALUE"""),4)</f>
        <v>4</v>
      </c>
      <c r="O2583" s="8" t="str">
        <f ca="1">IFERROR(__xludf.DUMMYFUNCTION("""COMPUTED_VALUE"""),"Spring")</f>
        <v>Spring</v>
      </c>
      <c r="P2583" s="8" t="str">
        <f ca="1">IFERROR(__xludf.DUMMYFUNCTION("""COMPUTED_VALUE"""),"Nashville")</f>
        <v>Nashville</v>
      </c>
      <c r="Q2583" s="8" t="str">
        <f ca="1">IFERROR(__xludf.DUMMYFUNCTION("""COMPUTED_VALUE"""),"TN")</f>
        <v>TN</v>
      </c>
      <c r="R2583" s="8" t="str">
        <f ca="1">IFERROR(__xludf.DUMMYFUNCTION("""COMPUTED_VALUE"""),"Middle")</f>
        <v>Middle</v>
      </c>
      <c r="S2583" s="8" t="str">
        <f ca="1">IFERROR(__xludf.DUMMYFUNCTION("""COMPUTED_VALUE"""),"Classroom")</f>
        <v>Classroom</v>
      </c>
      <c r="T2583" s="8" t="str">
        <f ca="1">IFERROR(__xludf.DUMMYFUNCTION("""COMPUTED_VALUE"""),"Inside School Building")</f>
        <v>Inside School Building</v>
      </c>
      <c r="U2583" s="8" t="str">
        <f ca="1">IFERROR(__xludf.DUMMYFUNCTION("""COMPUTED_VALUE"""),"Yes")</f>
        <v>Yes</v>
      </c>
      <c r="V2583" s="8" t="str">
        <f ca="1">IFERROR(__xludf.DUMMYFUNCTION("""COMPUTED_VALUE"""),"Afternoon Classes")</f>
        <v>Afternoon Classes</v>
      </c>
      <c r="W2583" s="11">
        <f ca="1">IFERROR(__xludf.DUMMYFUNCTION("""COMPUTED_VALUE"""),0.5625)</f>
        <v>0.5625</v>
      </c>
      <c r="X2583" s="8">
        <f ca="1">IFERROR(__xludf.DUMMYFUNCTION("""COMPUTED_VALUE"""),1)</f>
        <v>1</v>
      </c>
      <c r="Y2583" s="12" t="str">
        <f ca="1">IFERROR(__xludf.DUMMYFUNCTION("""COMPUTED_VALUE"""),"Accidental discharge in classroom")</f>
        <v>Accidental discharge in classroom</v>
      </c>
      <c r="Z2583" s="12" t="str">
        <f ca="1">IFERROR(__xludf.DUMMYFUNCTION("""COMPUTED_VALUE"""),"Students were watching a movie during music class in a dark classroom. The 14 year-old male shooter took out the .25 handgun in class when he fired a shot (believed to be accidental), striking the 13 year-old male student in front of him in the head. The "&amp;"gun was found in a school trashcan and the shooter was later apprehended but not identified. Earlier that day, the shooter had been bragging to friends about the gun, who got the gun from a classmate.")</f>
        <v>Students were watching a movie during music class in a dark classroom. The 14 year-old male shooter took out the .25 handgun in class when he fired a shot (believed to be accidental), striking the 13 year-old male student in front of him in the head. The gun was found in a school trashcan and the shooter was later apprehended but not identified. Earlier that day, the shooter had been bragging to friends about the gun, who got the gun from a classmate.</v>
      </c>
      <c r="AA2583" s="8" t="str">
        <f ca="1">IFERROR(__xludf.DUMMYFUNCTION("""COMPUTED_VALUE"""),"Accidental")</f>
        <v>Accidental</v>
      </c>
      <c r="AB2583" s="8"/>
      <c r="AC2583" s="8"/>
      <c r="AD2583" s="8" t="str">
        <f ca="1">IFERROR(__xludf.DUMMYFUNCTION("""COMPUTED_VALUE"""),"Neither")</f>
        <v>Neither</v>
      </c>
      <c r="AE2583" s="8" t="str">
        <f ca="1">IFERROR(__xludf.DUMMYFUNCTION("""COMPUTED_VALUE"""),"No")</f>
        <v>No</v>
      </c>
      <c r="AF2583" s="8"/>
      <c r="AG2583" s="8" t="str">
        <f ca="1">IFERROR(__xludf.DUMMYFUNCTION("""COMPUTED_VALUE"""),"No")</f>
        <v>No</v>
      </c>
      <c r="AH2583" s="8" t="str">
        <f ca="1">IFERROR(__xludf.DUMMYFUNCTION("""COMPUTED_VALUE"""),"No")</f>
        <v>No</v>
      </c>
      <c r="AI2583" s="8" t="str">
        <f ca="1">IFERROR(__xludf.DUMMYFUNCTION("""COMPUTED_VALUE"""),"No")</f>
        <v>No</v>
      </c>
      <c r="AJ2583" s="8" t="str">
        <f ca="1">IFERROR(__xludf.DUMMYFUNCTION("""COMPUTED_VALUE"""),"No")</f>
        <v>No</v>
      </c>
      <c r="AK2583" s="8" t="str">
        <f ca="1">IFERROR(__xludf.DUMMYFUNCTION("""COMPUTED_VALUE"""),"No")</f>
        <v>No</v>
      </c>
      <c r="AL2583" s="8" t="str">
        <f ca="1">IFERROR(__xludf.DUMMYFUNCTION("""COMPUTED_VALUE"""),"No")</f>
        <v>No</v>
      </c>
      <c r="AM2583" s="8" t="str">
        <f ca="1">IFERROR(__xludf.DUMMYFUNCTION("""COMPUTED_VALUE"""),"No")</f>
        <v>No</v>
      </c>
      <c r="AN2583" s="8"/>
      <c r="AO2583" s="8" t="str">
        <f ca="1">IFERROR(__xludf.DUMMYFUNCTION("""COMPUTED_VALUE"""),"No")</f>
        <v>No</v>
      </c>
      <c r="AP2583" s="8"/>
      <c r="AQ2583" s="8" t="str">
        <f ca="1">IFERROR(__xludf.DUMMYFUNCTION("""COMPUTED_VALUE"""),"Unknown")</f>
        <v>Unknown</v>
      </c>
      <c r="AR2583" s="8" t="str">
        <f ca="1">IFERROR(__xludf.DUMMYFUNCTION("""COMPUTED_VALUE"""),"NA")</f>
        <v>NA</v>
      </c>
      <c r="AS2583" s="8">
        <f ca="1">IFERROR(__xludf.DUMMYFUNCTION("""COMPUTED_VALUE"""),1)</f>
        <v>1</v>
      </c>
      <c r="AT2583" s="8"/>
      <c r="AU2583" s="8">
        <f ca="1">IFERROR(__xludf.DUMMYFUNCTION("""COMPUTED_VALUE"""),36.095473)</f>
        <v>36.095472999999998</v>
      </c>
      <c r="AV2583" s="8">
        <f ca="1">IFERROR(__xludf.DUMMYFUNCTION("""COMPUTED_VALUE"""),-86.802497)</f>
        <v>-86.802497000000002</v>
      </c>
      <c r="AW2583" s="8"/>
      <c r="AX2583" s="8">
        <f ca="1">IFERROR(__xludf.DUMMYFUNCTION("""COMPUTED_VALUE"""),37215)</f>
        <v>37215</v>
      </c>
    </row>
    <row r="2584" spans="1:50" ht="105" x14ac:dyDescent="0.2">
      <c r="A2584" s="8" t="str">
        <f ca="1">IFERROR(__xludf.DUMMYFUNCTION("""COMPUTED_VALUE"""),"19940420INDIS")</f>
        <v>19940420INDIS</v>
      </c>
      <c r="B2584" s="8">
        <f ca="1">IFERROR(__xludf.DUMMYFUNCTION("""COMPUTED_VALUE"""),4)</f>
        <v>4</v>
      </c>
      <c r="C2584" s="8">
        <f ca="1">IFERROR(__xludf.DUMMYFUNCTION("""COMPUTED_VALUE"""),20)</f>
        <v>20</v>
      </c>
      <c r="D2584" s="8">
        <f ca="1">IFERROR(__xludf.DUMMYFUNCTION("""COMPUTED_VALUE"""),1994)</f>
        <v>1994</v>
      </c>
      <c r="E2584" s="9">
        <f ca="1">IFERROR(__xludf.DUMMYFUNCTION("""COMPUTED_VALUE"""),34444)</f>
        <v>34444</v>
      </c>
      <c r="F2584" s="8" t="str">
        <f ca="1">IFERROR(__xludf.DUMMYFUNCTION("""COMPUTED_VALUE"""),"Dickinson Middle School")</f>
        <v>Dickinson Middle School</v>
      </c>
      <c r="G2584" s="8">
        <f ca="1">IFERROR(__xludf.DUMMYFUNCTION("""COMPUTED_VALUE"""),0)</f>
        <v>0</v>
      </c>
      <c r="H2584" s="8">
        <f ca="1">IFERROR(__xludf.DUMMYFUNCTION("""COMPUTED_VALUE"""),1)</f>
        <v>1</v>
      </c>
      <c r="I2584" s="8">
        <f ca="1">IFERROR(__xludf.DUMMYFUNCTION("""COMPUTED_VALUE"""),1)</f>
        <v>1</v>
      </c>
      <c r="J2584" s="8">
        <f ca="1">IFERROR(__xludf.DUMMYFUNCTION("""COMPUTED_VALUE"""),0)</f>
        <v>0</v>
      </c>
      <c r="K2584" s="8" t="str">
        <f ca="1">IFERROR(__xludf.DUMMYFUNCTION("""COMPUTED_VALUE"""),"https://www.newspapers.com/image/520596220/?terms=dickinson%2Bmiddle%2Bschool%2Bshooting https://www.newspapers.com/image/179268146/?terms=dickinson%2Bmiddle%2Bschool%2Bshooting https://www.newspapers.com/image/520599455/?terms=dickinson%2Bmiddle%2Bschool"&amp;"%2Bshooting")</f>
        <v>https://www.newspapers.com/image/520596220/?terms=dickinson%2Bmiddle%2Bschool%2Bshooting https://www.newspapers.com/image/179268146/?terms=dickinson%2Bmiddle%2Bschool%2Bshooting https://www.newspapers.com/image/520599455/?terms=dickinson%2Bmiddle%2Bschool%2Bshooting</v>
      </c>
      <c r="L2584" s="8"/>
      <c r="M2584" s="8"/>
      <c r="N2584" s="8">
        <f ca="1">IFERROR(__xludf.DUMMYFUNCTION("""COMPUTED_VALUE"""),2)</f>
        <v>2</v>
      </c>
      <c r="O2584" s="8" t="str">
        <f ca="1">IFERROR(__xludf.DUMMYFUNCTION("""COMPUTED_VALUE"""),"Spring")</f>
        <v>Spring</v>
      </c>
      <c r="P2584" s="8" t="str">
        <f ca="1">IFERROR(__xludf.DUMMYFUNCTION("""COMPUTED_VALUE"""),"South Bend")</f>
        <v>South Bend</v>
      </c>
      <c r="Q2584" s="8" t="str">
        <f ca="1">IFERROR(__xludf.DUMMYFUNCTION("""COMPUTED_VALUE"""),"IN")</f>
        <v>IN</v>
      </c>
      <c r="R2584" s="8" t="str">
        <f ca="1">IFERROR(__xludf.DUMMYFUNCTION("""COMPUTED_VALUE"""),"Middle")</f>
        <v>Middle</v>
      </c>
      <c r="S2584" s="8" t="str">
        <f ca="1">IFERROR(__xludf.DUMMYFUNCTION("""COMPUTED_VALUE"""),"Classroom")</f>
        <v>Classroom</v>
      </c>
      <c r="T2584" s="8" t="str">
        <f ca="1">IFERROR(__xludf.DUMMYFUNCTION("""COMPUTED_VALUE"""),"Inside School Building")</f>
        <v>Inside School Building</v>
      </c>
      <c r="U2584" s="8" t="str">
        <f ca="1">IFERROR(__xludf.DUMMYFUNCTION("""COMPUTED_VALUE"""),"Yes")</f>
        <v>Yes</v>
      </c>
      <c r="V2584" s="8" t="str">
        <f ca="1">IFERROR(__xludf.DUMMYFUNCTION("""COMPUTED_VALUE"""),"Morning Classes")</f>
        <v>Morning Classes</v>
      </c>
      <c r="W2584" s="11">
        <f ca="1">IFERROR(__xludf.DUMMYFUNCTION("""COMPUTED_VALUE"""),0)</f>
        <v>0</v>
      </c>
      <c r="X2584" s="8">
        <f ca="1">IFERROR(__xludf.DUMMYFUNCTION("""COMPUTED_VALUE"""),1)</f>
        <v>1</v>
      </c>
      <c r="Y2584" s="12" t="str">
        <f ca="1">IFERROR(__xludf.DUMMYFUNCTION("""COMPUTED_VALUE"""),"Accidental shooting")</f>
        <v>Accidental shooting</v>
      </c>
      <c r="Z2584" s="12" t="str">
        <f ca="1">IFERROR(__xludf.DUMMYFUNCTION("""COMPUTED_VALUE"""),"Two 13 year-old males and one 14 year-old male were playing with a handgun in class when it accidentally discharged, striking a 14 year-old male student. All three youths were expected to be charged with illegal possession of handgun. Authorities also too"&amp;"k into custody another 12 year-old male and 14 year-old male for handling and concealing the weapon days before the shooting.")</f>
        <v>Two 13 year-old males and one 14 year-old male were playing with a handgun in class when it accidentally discharged, striking a 14 year-old male student. All three youths were expected to be charged with illegal possession of handgun. Authorities also took into custody another 12 year-old male and 14 year-old male for handling and concealing the weapon days before the shooting.</v>
      </c>
      <c r="AA2584" s="8" t="str">
        <f ca="1">IFERROR(__xludf.DUMMYFUNCTION("""COMPUTED_VALUE"""),"Accidental")</f>
        <v>Accidental</v>
      </c>
      <c r="AB2584" s="8"/>
      <c r="AC2584" s="8"/>
      <c r="AD2584" s="8" t="str">
        <f ca="1">IFERROR(__xludf.DUMMYFUNCTION("""COMPUTED_VALUE"""),"Random Shooting")</f>
        <v>Random Shooting</v>
      </c>
      <c r="AE2584" s="8" t="str">
        <f ca="1">IFERROR(__xludf.DUMMYFUNCTION("""COMPUTED_VALUE"""),"No")</f>
        <v>No</v>
      </c>
      <c r="AF2584" s="8"/>
      <c r="AG2584" s="8" t="str">
        <f ca="1">IFERROR(__xludf.DUMMYFUNCTION("""COMPUTED_VALUE"""),"No")</f>
        <v>No</v>
      </c>
      <c r="AH2584" s="8"/>
      <c r="AI2584" s="8" t="str">
        <f ca="1">IFERROR(__xludf.DUMMYFUNCTION("""COMPUTED_VALUE"""),"No")</f>
        <v>No</v>
      </c>
      <c r="AJ2584" s="8" t="str">
        <f ca="1">IFERROR(__xludf.DUMMYFUNCTION("""COMPUTED_VALUE"""),"No")</f>
        <v>No</v>
      </c>
      <c r="AK2584" s="8" t="str">
        <f ca="1">IFERROR(__xludf.DUMMYFUNCTION("""COMPUTED_VALUE"""),"No")</f>
        <v>No</v>
      </c>
      <c r="AL2584" s="8"/>
      <c r="AM2584" s="8" t="str">
        <f ca="1">IFERROR(__xludf.DUMMYFUNCTION("""COMPUTED_VALUE"""),"No")</f>
        <v>No</v>
      </c>
      <c r="AN2584" s="8"/>
      <c r="AO2584" s="8" t="str">
        <f ca="1">IFERROR(__xludf.DUMMYFUNCTION("""COMPUTED_VALUE"""),"No")</f>
        <v>No</v>
      </c>
      <c r="AP2584" s="8"/>
      <c r="AQ2584" s="8" t="str">
        <f ca="1">IFERROR(__xludf.DUMMYFUNCTION("""COMPUTED_VALUE"""),"Unknown")</f>
        <v>Unknown</v>
      </c>
      <c r="AR2584" s="8" t="str">
        <f ca="1">IFERROR(__xludf.DUMMYFUNCTION("""COMPUTED_VALUE"""),"NA")</f>
        <v>NA</v>
      </c>
      <c r="AS2584" s="8">
        <f ca="1">IFERROR(__xludf.DUMMYFUNCTION("""COMPUTED_VALUE"""),1)</f>
        <v>1</v>
      </c>
      <c r="AT2584" s="8"/>
      <c r="AU2584" s="8">
        <f ca="1">IFERROR(__xludf.DUMMYFUNCTION("""COMPUTED_VALUE"""),41.692197)</f>
        <v>41.692197</v>
      </c>
      <c r="AV2584" s="8">
        <f ca="1">IFERROR(__xludf.DUMMYFUNCTION("""COMPUTED_VALUE"""),-86.309146)</f>
        <v>-86.309145999999998</v>
      </c>
      <c r="AW2584" s="8"/>
      <c r="AX2584" s="8">
        <f ca="1">IFERROR(__xludf.DUMMYFUNCTION("""COMPUTED_VALUE"""),46619)</f>
        <v>46619</v>
      </c>
    </row>
    <row r="2585" spans="1:50" ht="45" x14ac:dyDescent="0.2">
      <c r="A2585" s="8" t="str">
        <f ca="1">IFERROR(__xludf.DUMMYFUNCTION("""COMPUTED_VALUE"""),"19940419DCELW")</f>
        <v>19940419DCELW</v>
      </c>
      <c r="B2585" s="8">
        <f ca="1">IFERROR(__xludf.DUMMYFUNCTION("""COMPUTED_VALUE"""),4)</f>
        <v>4</v>
      </c>
      <c r="C2585" s="8">
        <f ca="1">IFERROR(__xludf.DUMMYFUNCTION("""COMPUTED_VALUE"""),19)</f>
        <v>19</v>
      </c>
      <c r="D2585" s="8">
        <f ca="1">IFERROR(__xludf.DUMMYFUNCTION("""COMPUTED_VALUE"""),1994)</f>
        <v>1994</v>
      </c>
      <c r="E2585" s="9">
        <f ca="1">IFERROR(__xludf.DUMMYFUNCTION("""COMPUTED_VALUE"""),34443)</f>
        <v>34443</v>
      </c>
      <c r="F2585" s="8" t="str">
        <f ca="1">IFERROR(__xludf.DUMMYFUNCTION("""COMPUTED_VALUE"""),"Eliot Junior High School")</f>
        <v>Eliot Junior High School</v>
      </c>
      <c r="G2585" s="8">
        <f ca="1">IFERROR(__xludf.DUMMYFUNCTION("""COMPUTED_VALUE"""),1)</f>
        <v>1</v>
      </c>
      <c r="H2585" s="8">
        <f ca="1">IFERROR(__xludf.DUMMYFUNCTION("""COMPUTED_VALUE"""),0)</f>
        <v>0</v>
      </c>
      <c r="I2585" s="8">
        <f ca="1">IFERROR(__xludf.DUMMYFUNCTION("""COMPUTED_VALUE"""),1)</f>
        <v>1</v>
      </c>
      <c r="J2585" s="8">
        <f ca="1">IFERROR(__xludf.DUMMYFUNCTION("""COMPUTED_VALUE"""),0)</f>
        <v>0</v>
      </c>
      <c r="K2585" s="10" t="str">
        <f ca="1">IFERROR(__xludf.DUMMYFUNCTION("""COMPUTED_VALUE"""),"https://www.washingtonpost.com/archive/local/1994/04/20/man-found-slain-at-dc-school/64a705c4-ab7a-43d0-b027-dd0b21ec008b/?utm_term=.21348ca8fd4b")</f>
        <v>https://www.washingtonpost.com/archive/local/1994/04/20/man-found-slain-at-dc-school/64a705c4-ab7a-43d0-b027-dd0b21ec008b/?utm_term=.21348ca8fd4b</v>
      </c>
      <c r="L2585" s="8"/>
      <c r="M2585" s="8"/>
      <c r="N2585" s="8">
        <f ca="1">IFERROR(__xludf.DUMMYFUNCTION("""COMPUTED_VALUE"""),2)</f>
        <v>2</v>
      </c>
      <c r="O2585" s="8" t="str">
        <f ca="1">IFERROR(__xludf.DUMMYFUNCTION("""COMPUTED_VALUE"""),"Spring")</f>
        <v>Spring</v>
      </c>
      <c r="P2585" s="8" t="str">
        <f ca="1">IFERROR(__xludf.DUMMYFUNCTION("""COMPUTED_VALUE"""),"Washington")</f>
        <v>Washington</v>
      </c>
      <c r="Q2585" s="8" t="str">
        <f ca="1">IFERROR(__xludf.DUMMYFUNCTION("""COMPUTED_VALUE"""),"DC")</f>
        <v>DC</v>
      </c>
      <c r="R2585" s="8" t="str">
        <f ca="1">IFERROR(__xludf.DUMMYFUNCTION("""COMPUTED_VALUE"""),"High")</f>
        <v>High</v>
      </c>
      <c r="S2585" s="8" t="str">
        <f ca="1">IFERROR(__xludf.DUMMYFUNCTION("""COMPUTED_VALUE"""),"Front of School")</f>
        <v>Front of School</v>
      </c>
      <c r="T2585" s="8" t="str">
        <f ca="1">IFERROR(__xludf.DUMMYFUNCTION("""COMPUTED_VALUE"""),"Outside on School Property")</f>
        <v>Outside on School Property</v>
      </c>
      <c r="U2585" s="8" t="str">
        <f ca="1">IFERROR(__xludf.DUMMYFUNCTION("""COMPUTED_VALUE"""),"No")</f>
        <v>No</v>
      </c>
      <c r="V2585" s="8" t="str">
        <f ca="1">IFERROR(__xludf.DUMMYFUNCTION("""COMPUTED_VALUE"""),"Night")</f>
        <v>Night</v>
      </c>
      <c r="W2585" s="8"/>
      <c r="X2585" s="8">
        <f ca="1">IFERROR(__xludf.DUMMYFUNCTION("""COMPUTED_VALUE"""),1)</f>
        <v>1</v>
      </c>
      <c r="Y2585" s="12" t="str">
        <f ca="1">IFERROR(__xludf.DUMMYFUNCTION("""COMPUTED_VALUE"""),"Shot overnight, found dead on steps, no suspects")</f>
        <v>Shot overnight, found dead on steps, no suspects</v>
      </c>
      <c r="Z2585" s="12" t="str">
        <f ca="1">IFERROR(__xludf.DUMMYFUNCTION("""COMPUTED_VALUE"""),"A 21 year-old male was found dead at 0530 at the school steps from an overnight shooting. No suspect or motive.")</f>
        <v>A 21 year-old male was found dead at 0530 at the school steps from an overnight shooting. No suspect or motive.</v>
      </c>
      <c r="AA2585" s="8" t="str">
        <f ca="1">IFERROR(__xludf.DUMMYFUNCTION("""COMPUTED_VALUE"""),"Unknown")</f>
        <v>Unknown</v>
      </c>
      <c r="AB2585" s="8"/>
      <c r="AC2585" s="8"/>
      <c r="AD2585" s="8"/>
      <c r="AE2585" s="8" t="str">
        <f ca="1">IFERROR(__xludf.DUMMYFUNCTION("""COMPUTED_VALUE"""),"No")</f>
        <v>No</v>
      </c>
      <c r="AF2585" s="8"/>
      <c r="AG2585" s="8" t="str">
        <f ca="1">IFERROR(__xludf.DUMMYFUNCTION("""COMPUTED_VALUE"""),"No")</f>
        <v>No</v>
      </c>
      <c r="AH2585" s="8" t="str">
        <f ca="1">IFERROR(__xludf.DUMMYFUNCTION("""COMPUTED_VALUE"""),"No")</f>
        <v>No</v>
      </c>
      <c r="AI2585" s="8" t="str">
        <f ca="1">IFERROR(__xludf.DUMMYFUNCTION("""COMPUTED_VALUE"""),"No")</f>
        <v>No</v>
      </c>
      <c r="AJ2585" s="8" t="str">
        <f ca="1">IFERROR(__xludf.DUMMYFUNCTION("""COMPUTED_VALUE"""),"No")</f>
        <v>No</v>
      </c>
      <c r="AK2585" s="8" t="str">
        <f ca="1">IFERROR(__xludf.DUMMYFUNCTION("""COMPUTED_VALUE"""),"No")</f>
        <v>No</v>
      </c>
      <c r="AL2585" s="8"/>
      <c r="AM2585" s="8"/>
      <c r="AN2585" s="8"/>
      <c r="AO2585" s="8" t="str">
        <f ca="1">IFERROR(__xludf.DUMMYFUNCTION("""COMPUTED_VALUE"""),"No")</f>
        <v>No</v>
      </c>
      <c r="AP2585" s="8"/>
      <c r="AQ2585" s="8" t="str">
        <f ca="1">IFERROR(__xludf.DUMMYFUNCTION("""COMPUTED_VALUE"""),"Unknown")</f>
        <v>Unknown</v>
      </c>
      <c r="AR2585" s="8" t="str">
        <f ca="1">IFERROR(__xludf.DUMMYFUNCTION("""COMPUTED_VALUE"""),"NA")</f>
        <v>NA</v>
      </c>
      <c r="AS2585" s="8"/>
      <c r="AT2585" s="8"/>
      <c r="AU2585" s="8">
        <f ca="1">IFERROR(__xludf.DUMMYFUNCTION("""COMPUTED_VALUE"""),38.892403)</f>
        <v>38.892403000000002</v>
      </c>
      <c r="AV2585" s="8">
        <f ca="1">IFERROR(__xludf.DUMMYFUNCTION("""COMPUTED_VALUE"""),-76.978558)</f>
        <v>-76.978558000000007</v>
      </c>
      <c r="AW2585" s="8"/>
      <c r="AX2585" s="8">
        <f ca="1">IFERROR(__xludf.DUMMYFUNCTION("""COMPUTED_VALUE"""),20003)</f>
        <v>20003</v>
      </c>
    </row>
    <row r="2586" spans="1:50" ht="90" x14ac:dyDescent="0.2">
      <c r="A2586" s="8" t="str">
        <f ca="1">IFERROR(__xludf.DUMMYFUNCTION("""COMPUTED_VALUE"""),"19940413CA49L")</f>
        <v>19940413CA49L</v>
      </c>
      <c r="B2586" s="8">
        <f ca="1">IFERROR(__xludf.DUMMYFUNCTION("""COMPUTED_VALUE"""),4)</f>
        <v>4</v>
      </c>
      <c r="C2586" s="8">
        <f ca="1">IFERROR(__xludf.DUMMYFUNCTION("""COMPUTED_VALUE"""),13)</f>
        <v>13</v>
      </c>
      <c r="D2586" s="8">
        <f ca="1">IFERROR(__xludf.DUMMYFUNCTION("""COMPUTED_VALUE"""),1994)</f>
        <v>1994</v>
      </c>
      <c r="E2586" s="9">
        <f ca="1">IFERROR(__xludf.DUMMYFUNCTION("""COMPUTED_VALUE"""),34437)</f>
        <v>34437</v>
      </c>
      <c r="F2586" s="8" t="str">
        <f ca="1">IFERROR(__xludf.DUMMYFUNCTION("""COMPUTED_VALUE"""),"49th Street Elementary School")</f>
        <v>49th Street Elementary School</v>
      </c>
      <c r="G2586" s="8">
        <f ca="1">IFERROR(__xludf.DUMMYFUNCTION("""COMPUTED_VALUE"""),0)</f>
        <v>0</v>
      </c>
      <c r="H2586" s="8">
        <f ca="1">IFERROR(__xludf.DUMMYFUNCTION("""COMPUTED_VALUE"""),0)</f>
        <v>0</v>
      </c>
      <c r="I2586" s="8">
        <f ca="1">IFERROR(__xludf.DUMMYFUNCTION("""COMPUTED_VALUE"""),0)</f>
        <v>0</v>
      </c>
      <c r="J2586" s="8">
        <f ca="1">IFERROR(__xludf.DUMMYFUNCTION("""COMPUTED_VALUE"""),1)</f>
        <v>1</v>
      </c>
      <c r="K2586" s="8" t="str">
        <f ca="1">IFERROR(__xludf.DUMMYFUNCTION("""COMPUTED_VALUE"""),"https://www.newspapers.com/image/159125452/?terms=Jorge%2BDavid%2BLicea https://www.latimes.com/archives/la-xpm-1994-04-14-me-45733-story.html")</f>
        <v>https://www.newspapers.com/image/159125452/?terms=Jorge%2BDavid%2BLicea https://www.latimes.com/archives/la-xpm-1994-04-14-me-45733-story.html</v>
      </c>
      <c r="L2586" s="8"/>
      <c r="M2586" s="8"/>
      <c r="N2586" s="8">
        <f ca="1">IFERROR(__xludf.DUMMYFUNCTION("""COMPUTED_VALUE"""),2)</f>
        <v>2</v>
      </c>
      <c r="O2586" s="8" t="str">
        <f ca="1">IFERROR(__xludf.DUMMYFUNCTION("""COMPUTED_VALUE"""),"Spring")</f>
        <v>Spring</v>
      </c>
      <c r="P2586" s="8" t="str">
        <f ca="1">IFERROR(__xludf.DUMMYFUNCTION("""COMPUTED_VALUE"""),"Los Angeles")</f>
        <v>Los Angeles</v>
      </c>
      <c r="Q2586" s="8" t="str">
        <f ca="1">IFERROR(__xludf.DUMMYFUNCTION("""COMPUTED_VALUE"""),"CA")</f>
        <v>CA</v>
      </c>
      <c r="R2586" s="8" t="str">
        <f ca="1">IFERROR(__xludf.DUMMYFUNCTION("""COMPUTED_VALUE"""),"Elementary")</f>
        <v>Elementary</v>
      </c>
      <c r="S2586" s="8" t="str">
        <f ca="1">IFERROR(__xludf.DUMMYFUNCTION("""COMPUTED_VALUE"""),"Front of School")</f>
        <v>Front of School</v>
      </c>
      <c r="T2586" s="8" t="str">
        <f ca="1">IFERROR(__xludf.DUMMYFUNCTION("""COMPUTED_VALUE"""),"Outside on School Property")</f>
        <v>Outside on School Property</v>
      </c>
      <c r="U2586" s="8" t="str">
        <f ca="1">IFERROR(__xludf.DUMMYFUNCTION("""COMPUTED_VALUE"""),"Yes")</f>
        <v>Yes</v>
      </c>
      <c r="V2586" s="8" t="str">
        <f ca="1">IFERROR(__xludf.DUMMYFUNCTION("""COMPUTED_VALUE"""),"Before School")</f>
        <v>Before School</v>
      </c>
      <c r="W2586" s="8"/>
      <c r="X2586" s="8">
        <f ca="1">IFERROR(__xludf.DUMMYFUNCTION("""COMPUTED_VALUE"""),1)</f>
        <v>1</v>
      </c>
      <c r="Y2586" s="12" t="str">
        <f ca="1">IFERROR(__xludf.DUMMYFUNCTION("""COMPUTED_VALUE"""),"Commit suicide at school, upset about disciplinary problems")</f>
        <v>Commit suicide at school, upset about disciplinary problems</v>
      </c>
      <c r="Z2586" s="12" t="str">
        <f ca="1">IFERROR(__xludf.DUMMYFUNCTION("""COMPUTED_VALUE"""),"A 10 year-old male student was crying in front of the school 20 minutes before class begun and shot himself in head with a .380 handgun. Shooter had been having disciplinary problems (5 recent notes from teacher for bad behavior, asking the parents to com"&amp;"e in for discussion) and was suspended the day before. He died the following day.")</f>
        <v>A 10 year-old male student was crying in front of the school 20 minutes before class begun and shot himself in head with a .380 handgun. Shooter had been having disciplinary problems (5 recent notes from teacher for bad behavior, asking the parents to come in for discussion) and was suspended the day before. He died the following day.</v>
      </c>
      <c r="AA2586" s="8" t="str">
        <f ca="1">IFERROR(__xludf.DUMMYFUNCTION("""COMPUTED_VALUE"""),"Suicide/Attempted")</f>
        <v>Suicide/Attempted</v>
      </c>
      <c r="AB2586" s="8"/>
      <c r="AC2586" s="8"/>
      <c r="AD2586" s="8" t="str">
        <f ca="1">IFERROR(__xludf.DUMMYFUNCTION("""COMPUTED_VALUE"""),"Victims Targeted")</f>
        <v>Victims Targeted</v>
      </c>
      <c r="AE2586" s="8" t="str">
        <f ca="1">IFERROR(__xludf.DUMMYFUNCTION("""COMPUTED_VALUE"""),"No")</f>
        <v>No</v>
      </c>
      <c r="AF2586" s="8"/>
      <c r="AG2586" s="8" t="str">
        <f ca="1">IFERROR(__xludf.DUMMYFUNCTION("""COMPUTED_VALUE"""),"No")</f>
        <v>No</v>
      </c>
      <c r="AH2586" s="8" t="str">
        <f ca="1">IFERROR(__xludf.DUMMYFUNCTION("""COMPUTED_VALUE"""),"No")</f>
        <v>No</v>
      </c>
      <c r="AI2586" s="8" t="str">
        <f ca="1">IFERROR(__xludf.DUMMYFUNCTION("""COMPUTED_VALUE"""),"No")</f>
        <v>No</v>
      </c>
      <c r="AJ2586" s="8" t="str">
        <f ca="1">IFERROR(__xludf.DUMMYFUNCTION("""COMPUTED_VALUE"""),"No")</f>
        <v>No</v>
      </c>
      <c r="AK2586" s="8" t="str">
        <f ca="1">IFERROR(__xludf.DUMMYFUNCTION("""COMPUTED_VALUE"""),"No")</f>
        <v>No</v>
      </c>
      <c r="AL2586" s="8" t="str">
        <f ca="1">IFERROR(__xludf.DUMMYFUNCTION("""COMPUTED_VALUE"""),"No")</f>
        <v>No</v>
      </c>
      <c r="AM2586" s="8"/>
      <c r="AN2586" s="8"/>
      <c r="AO2586" s="8" t="str">
        <f ca="1">IFERROR(__xludf.DUMMYFUNCTION("""COMPUTED_VALUE"""),"No")</f>
        <v>No</v>
      </c>
      <c r="AP2586" s="8"/>
      <c r="AQ2586" s="8" t="str">
        <f ca="1">IFERROR(__xludf.DUMMYFUNCTION("""COMPUTED_VALUE"""),"Unknown")</f>
        <v>Unknown</v>
      </c>
      <c r="AR2586" s="8" t="str">
        <f ca="1">IFERROR(__xludf.DUMMYFUNCTION("""COMPUTED_VALUE"""),"NA")</f>
        <v>NA</v>
      </c>
      <c r="AS2586" s="8">
        <f ca="1">IFERROR(__xludf.DUMMYFUNCTION("""COMPUTED_VALUE"""),1)</f>
        <v>1</v>
      </c>
      <c r="AT2586" s="8"/>
      <c r="AU2586" s="8">
        <f ca="1">IFERROR(__xludf.DUMMYFUNCTION("""COMPUTED_VALUE"""),33.998536)</f>
        <v>33.998536000000001</v>
      </c>
      <c r="AV2586" s="8">
        <f ca="1">IFERROR(__xludf.DUMMYFUNCTION("""COMPUTED_VALUE"""),-118.261803)</f>
        <v>-118.261803</v>
      </c>
      <c r="AW2586" s="8"/>
      <c r="AX2586" s="8">
        <f ca="1">IFERROR(__xludf.DUMMYFUNCTION("""COMPUTED_VALUE"""),90011)</f>
        <v>90011</v>
      </c>
    </row>
    <row r="2587" spans="1:50" ht="165" x14ac:dyDescent="0.2">
      <c r="A2587" s="8" t="str">
        <f ca="1">IFERROR(__xludf.DUMMYFUNCTION("""COMPUTED_VALUE"""),"19940412MTMAB")</f>
        <v>19940412MTMAB</v>
      </c>
      <c r="B2587" s="8">
        <f ca="1">IFERROR(__xludf.DUMMYFUNCTION("""COMPUTED_VALUE"""),4)</f>
        <v>4</v>
      </c>
      <c r="C2587" s="8">
        <f ca="1">IFERROR(__xludf.DUMMYFUNCTION("""COMPUTED_VALUE"""),12)</f>
        <v>12</v>
      </c>
      <c r="D2587" s="8">
        <f ca="1">IFERROR(__xludf.DUMMYFUNCTION("""COMPUTED_VALUE"""),1994)</f>
        <v>1994</v>
      </c>
      <c r="E2587" s="9">
        <f ca="1">IFERROR(__xludf.DUMMYFUNCTION("""COMPUTED_VALUE"""),34436)</f>
        <v>34436</v>
      </c>
      <c r="F2587" s="8" t="str">
        <f ca="1">IFERROR(__xludf.DUMMYFUNCTION("""COMPUTED_VALUE"""),"Margaret Leary Elementary School")</f>
        <v>Margaret Leary Elementary School</v>
      </c>
      <c r="G2587" s="8">
        <f ca="1">IFERROR(__xludf.DUMMYFUNCTION("""COMPUTED_VALUE"""),1)</f>
        <v>1</v>
      </c>
      <c r="H2587" s="8">
        <f ca="1">IFERROR(__xludf.DUMMYFUNCTION("""COMPUTED_VALUE"""),0)</f>
        <v>0</v>
      </c>
      <c r="I2587" s="8">
        <f ca="1">IFERROR(__xludf.DUMMYFUNCTION("""COMPUTED_VALUE"""),1)</f>
        <v>1</v>
      </c>
      <c r="J2587" s="8">
        <f ca="1">IFERROR(__xludf.DUMMYFUNCTION("""COMPUTED_VALUE"""),0)</f>
        <v>0</v>
      </c>
      <c r="K2587" s="8" t="str">
        <f ca="1">IFERROR(__xludf.DUMMYFUNCTION("""COMPUTED_VALUE"""),"http://billingsgazette.com/news/state-and-regional/montana/help-changed-life-for-young-killer-college-ahead-for-schoolyard/article_5e88e8d0-4d6d-579e-9f12-e357d43a7583.html  https://www.newspapers.com/image/351235895/?terms=james%2Bosmanson   https://www."&amp;"upi.com/Archives/1994/04/13/Child-shot-by-playmate-on-Montana-school-ground-dies/8061766209600/    https://www.newspapers.com/image/351359787/?terms=jeremy%2Bbullock https://mtstandard.com/news/local/years-after-elementary-school-shooting-butte-hosts-scho"&amp;"ol-safety-summit/article_f45262ab-2749-51dc-a908-81fe4503d14c.html")</f>
        <v>http://billingsgazette.com/news/state-and-regional/montana/help-changed-life-for-young-killer-college-ahead-for-schoolyard/article_5e88e8d0-4d6d-579e-9f12-e357d43a7583.html  https://www.newspapers.com/image/351235895/?terms=james%2Bosmanson   https://www.upi.com/Archives/1994/04/13/Child-shot-by-playmate-on-Montana-school-ground-dies/8061766209600/    https://www.newspapers.com/image/351359787/?terms=jeremy%2Bbullock https://mtstandard.com/news/local/years-after-elementary-school-shooting-butte-hosts-school-safety-summit/article_f45262ab-2749-51dc-a908-81fe4503d14c.html</v>
      </c>
      <c r="L2587" s="8"/>
      <c r="M2587" s="8"/>
      <c r="N2587" s="8">
        <f ca="1">IFERROR(__xludf.DUMMYFUNCTION("""COMPUTED_VALUE"""),4)</f>
        <v>4</v>
      </c>
      <c r="O2587" s="8" t="str">
        <f ca="1">IFERROR(__xludf.DUMMYFUNCTION("""COMPUTED_VALUE"""),"Spring")</f>
        <v>Spring</v>
      </c>
      <c r="P2587" s="8" t="str">
        <f ca="1">IFERROR(__xludf.DUMMYFUNCTION("""COMPUTED_VALUE"""),"Butte")</f>
        <v>Butte</v>
      </c>
      <c r="Q2587" s="8" t="str">
        <f ca="1">IFERROR(__xludf.DUMMYFUNCTION("""COMPUTED_VALUE"""),"MT")</f>
        <v>MT</v>
      </c>
      <c r="R2587" s="8" t="str">
        <f ca="1">IFERROR(__xludf.DUMMYFUNCTION("""COMPUTED_VALUE"""),"Elementary")</f>
        <v>Elementary</v>
      </c>
      <c r="S2587" s="8" t="str">
        <f ca="1">IFERROR(__xludf.DUMMYFUNCTION("""COMPUTED_VALUE"""),"Playground")</f>
        <v>Playground</v>
      </c>
      <c r="T2587" s="8" t="str">
        <f ca="1">IFERROR(__xludf.DUMMYFUNCTION("""COMPUTED_VALUE"""),"Outside on School Property")</f>
        <v>Outside on School Property</v>
      </c>
      <c r="U2587" s="8" t="str">
        <f ca="1">IFERROR(__xludf.DUMMYFUNCTION("""COMPUTED_VALUE"""),"Yes")</f>
        <v>Yes</v>
      </c>
      <c r="V2587" s="8" t="str">
        <f ca="1">IFERROR(__xludf.DUMMYFUNCTION("""COMPUTED_VALUE"""),"Before School")</f>
        <v>Before School</v>
      </c>
      <c r="W2587" s="8"/>
      <c r="X2587" s="8">
        <f ca="1">IFERROR(__xludf.DUMMYFUNCTION("""COMPUTED_VALUE"""),1)</f>
        <v>1</v>
      </c>
      <c r="Y2587" s="12" t="str">
        <f ca="1">IFERROR(__xludf.DUMMYFUNCTION("""COMPUTED_VALUE"""),"Shot at bully, missed and struck other student")</f>
        <v>Shot at bully, missed and struck other student</v>
      </c>
      <c r="Z2587" s="12" t="str">
        <f ca="1">IFERROR(__xludf.DUMMYFUNCTION("""COMPUTED_VALUE"""),"A 10 year-old male student was being bullied because his parents have AIDS. The shooter shot a .22 handgun towards the bully on the playground and fired three shots, all missed the intended target. One shot fatally struck an 11 year-old student. The shoot"&amp;"er had been through extreme stress with abuse at home, his brother committing suicide, and his stepfather's murder. The judge ordered the shooter to attend a mental health treatment in juvenile detention facility, but his diagnosis was unknown. Released a"&amp;"nd attended college. The school system created an anti-bullying program in response.")</f>
        <v>A 10 year-old male student was being bullied because his parents have AIDS. The shooter shot a .22 handgun towards the bully on the playground and fired three shots, all missed the intended target. One shot fatally struck an 11 year-old student. The shooter had been through extreme stress with abuse at home, his brother committing suicide, and his stepfather's murder. The judge ordered the shooter to attend a mental health treatment in juvenile detention facility, but his diagnosis was unknown. Released and attended college. The school system created an anti-bullying program in response.</v>
      </c>
      <c r="AA2587" s="8" t="str">
        <f ca="1">IFERROR(__xludf.DUMMYFUNCTION("""COMPUTED_VALUE"""),"Bullying")</f>
        <v>Bullying</v>
      </c>
      <c r="AB2587" s="8"/>
      <c r="AC2587" s="8"/>
      <c r="AD2587" s="8" t="str">
        <f ca="1">IFERROR(__xludf.DUMMYFUNCTION("""COMPUTED_VALUE"""),"Random Shooting")</f>
        <v>Random Shooting</v>
      </c>
      <c r="AE2587" s="8" t="str">
        <f ca="1">IFERROR(__xludf.DUMMYFUNCTION("""COMPUTED_VALUE"""),"No")</f>
        <v>No</v>
      </c>
      <c r="AF2587" s="8"/>
      <c r="AG2587" s="8" t="str">
        <f ca="1">IFERROR(__xludf.DUMMYFUNCTION("""COMPUTED_VALUE"""),"No")</f>
        <v>No</v>
      </c>
      <c r="AH2587" s="8" t="str">
        <f ca="1">IFERROR(__xludf.DUMMYFUNCTION("""COMPUTED_VALUE"""),"No")</f>
        <v>No</v>
      </c>
      <c r="AI2587" s="8" t="str">
        <f ca="1">IFERROR(__xludf.DUMMYFUNCTION("""COMPUTED_VALUE"""),"No")</f>
        <v>No</v>
      </c>
      <c r="AJ2587" s="8" t="str">
        <f ca="1">IFERROR(__xludf.DUMMYFUNCTION("""COMPUTED_VALUE"""),"Yes")</f>
        <v>Yes</v>
      </c>
      <c r="AK2587" s="8" t="str">
        <f ca="1">IFERROR(__xludf.DUMMYFUNCTION("""COMPUTED_VALUE"""),"No")</f>
        <v>No</v>
      </c>
      <c r="AL2587" s="8" t="str">
        <f ca="1">IFERROR(__xludf.DUMMYFUNCTION("""COMPUTED_VALUE"""),"No")</f>
        <v>No</v>
      </c>
      <c r="AM2587" s="8" t="str">
        <f ca="1">IFERROR(__xludf.DUMMYFUNCTION("""COMPUTED_VALUE"""),"No")</f>
        <v>No</v>
      </c>
      <c r="AN2587" s="8"/>
      <c r="AO2587" s="8" t="str">
        <f ca="1">IFERROR(__xludf.DUMMYFUNCTION("""COMPUTED_VALUE"""),"No")</f>
        <v>No</v>
      </c>
      <c r="AP2587" s="8"/>
      <c r="AQ2587" s="8" t="str">
        <f ca="1">IFERROR(__xludf.DUMMYFUNCTION("""COMPUTED_VALUE"""),"Unknown")</f>
        <v>Unknown</v>
      </c>
      <c r="AR2587" s="8" t="str">
        <f ca="1">IFERROR(__xludf.DUMMYFUNCTION("""COMPUTED_VALUE"""),"NA")</f>
        <v>NA</v>
      </c>
      <c r="AS2587" s="8">
        <f ca="1">IFERROR(__xludf.DUMMYFUNCTION("""COMPUTED_VALUE"""),3)</f>
        <v>3</v>
      </c>
      <c r="AT2587" s="8"/>
      <c r="AU2587" s="8">
        <f ca="1">IFERROR(__xludf.DUMMYFUNCTION("""COMPUTED_VALUE"""),45.960873)</f>
        <v>45.960872999999999</v>
      </c>
      <c r="AV2587" s="8">
        <f ca="1">IFERROR(__xludf.DUMMYFUNCTION("""COMPUTED_VALUE"""),-112.521717)</f>
        <v>-112.521717</v>
      </c>
      <c r="AW2587" s="8"/>
      <c r="AX2587" s="8">
        <f ca="1">IFERROR(__xludf.DUMMYFUNCTION("""COMPUTED_VALUE"""),59701)</f>
        <v>59701</v>
      </c>
    </row>
    <row r="2588" spans="1:50" ht="135" x14ac:dyDescent="0.2">
      <c r="A2588" s="8" t="str">
        <f ca="1">IFERROR(__xludf.DUMMYFUNCTION("""COMPUTED_VALUE"""),"19940408MDLAU")</f>
        <v>19940408MDLAU</v>
      </c>
      <c r="B2588" s="8">
        <f ca="1">IFERROR(__xludf.DUMMYFUNCTION("""COMPUTED_VALUE"""),4)</f>
        <v>4</v>
      </c>
      <c r="C2588" s="8">
        <f ca="1">IFERROR(__xludf.DUMMYFUNCTION("""COMPUTED_VALUE"""),8)</f>
        <v>8</v>
      </c>
      <c r="D2588" s="8">
        <f ca="1">IFERROR(__xludf.DUMMYFUNCTION("""COMPUTED_VALUE"""),1994)</f>
        <v>1994</v>
      </c>
      <c r="E2588" s="9">
        <f ca="1">IFERROR(__xludf.DUMMYFUNCTION("""COMPUTED_VALUE"""),34432)</f>
        <v>34432</v>
      </c>
      <c r="F2588" s="8" t="str">
        <f ca="1">IFERROR(__xludf.DUMMYFUNCTION("""COMPUTED_VALUE"""),"Largo High School")</f>
        <v>Largo High School</v>
      </c>
      <c r="G2588" s="8">
        <f ca="1">IFERROR(__xludf.DUMMYFUNCTION("""COMPUTED_VALUE"""),0)</f>
        <v>0</v>
      </c>
      <c r="H2588" s="8">
        <f ca="1">IFERROR(__xludf.DUMMYFUNCTION("""COMPUTED_VALUE"""),1)</f>
        <v>1</v>
      </c>
      <c r="I2588" s="8">
        <f ca="1">IFERROR(__xludf.DUMMYFUNCTION("""COMPUTED_VALUE"""),1)</f>
        <v>1</v>
      </c>
      <c r="J2588" s="8">
        <f ca="1">IFERROR(__xludf.DUMMYFUNCTION("""COMPUTED_VALUE"""),0)</f>
        <v>0</v>
      </c>
      <c r="K2588" s="8" t="str">
        <f ca="1">IFERROR(__xludf.DUMMYFUNCTION("""COMPUTED_VALUE"""),"https://www.washingtonpost.com/archive/politics/1994/04/09/pg-teacher-is-shot/d414ee9d-da1c-47c3-93c2-41a29a9fe9ca/ https://www.columbine-angels.com/School_Violence_1993-1994.htm")</f>
        <v>https://www.washingtonpost.com/archive/politics/1994/04/09/pg-teacher-is-shot/d414ee9d-da1c-47c3-93c2-41a29a9fe9ca/ https://www.columbine-angels.com/School_Violence_1993-1994.htm</v>
      </c>
      <c r="L2588" s="8"/>
      <c r="M2588" s="8"/>
      <c r="N2588" s="8">
        <f ca="1">IFERROR(__xludf.DUMMYFUNCTION("""COMPUTED_VALUE"""),1)</f>
        <v>1</v>
      </c>
      <c r="O2588" s="8" t="str">
        <f ca="1">IFERROR(__xludf.DUMMYFUNCTION("""COMPUTED_VALUE"""),"Spring")</f>
        <v>Spring</v>
      </c>
      <c r="P2588" s="8" t="str">
        <f ca="1">IFERROR(__xludf.DUMMYFUNCTION("""COMPUTED_VALUE"""),"Upper Marlboro")</f>
        <v>Upper Marlboro</v>
      </c>
      <c r="Q2588" s="8" t="str">
        <f ca="1">IFERROR(__xludf.DUMMYFUNCTION("""COMPUTED_VALUE"""),"MD")</f>
        <v>MD</v>
      </c>
      <c r="R2588" s="8" t="str">
        <f ca="1">IFERROR(__xludf.DUMMYFUNCTION("""COMPUTED_VALUE"""),"High")</f>
        <v>High</v>
      </c>
      <c r="S2588" s="8" t="str">
        <f ca="1">IFERROR(__xludf.DUMMYFUNCTION("""COMPUTED_VALUE"""),"Bathroom")</f>
        <v>Bathroom</v>
      </c>
      <c r="T2588" s="8" t="str">
        <f ca="1">IFERROR(__xludf.DUMMYFUNCTION("""COMPUTED_VALUE"""),"Inside School Building")</f>
        <v>Inside School Building</v>
      </c>
      <c r="U2588" s="8" t="str">
        <f ca="1">IFERROR(__xludf.DUMMYFUNCTION("""COMPUTED_VALUE"""),"Yes")</f>
        <v>Yes</v>
      </c>
      <c r="V2588" s="8" t="str">
        <f ca="1">IFERROR(__xludf.DUMMYFUNCTION("""COMPUTED_VALUE"""),"Morning Classes")</f>
        <v>Morning Classes</v>
      </c>
      <c r="W2588" s="11">
        <f ca="1">IFERROR(__xludf.DUMMYFUNCTION("""COMPUTED_VALUE"""),0.375)</f>
        <v>0.375</v>
      </c>
      <c r="X2588" s="8">
        <f ca="1">IFERROR(__xludf.DUMMYFUNCTION("""COMPUTED_VALUE"""),1)</f>
        <v>1</v>
      </c>
      <c r="Y2588" s="12" t="str">
        <f ca="1">IFERROR(__xludf.DUMMYFUNCTION("""COMPUTED_VALUE"""),"Teacher asked student to give him the gun in the bathroom, where student shot the teacher in the chest.")</f>
        <v>Teacher asked student to give him the gun in the bathroom, where student shot the teacher in the chest.</v>
      </c>
      <c r="Z2588" s="12" t="str">
        <f ca="1">IFERROR(__xludf.DUMMYFUNCTION("""COMPUTED_VALUE"""),"A 45 year-old male teacher walked into the bathroom and found 6 boys with a gun. One of the students, a 17 year-old male, was trying to sell a gun he stole from his father, a police officer. The teacher told him to give him the gun and the student shot th"&amp;"e teacher in the chest. The shooter fled the scene to a friends house. Several hours later, he returned to the school and was arrested. The teacher was in critical condition but survived. The gun was recovered in a wooded area.")</f>
        <v>A 45 year-old male teacher walked into the bathroom and found 6 boys with a gun. One of the students, a 17 year-old male, was trying to sell a gun he stole from his father, a police officer. The teacher told him to give him the gun and the student shot the teacher in the chest. The shooter fled the scene to a friends house. Several hours later, he returned to the school and was arrested. The teacher was in critical condition but survived. The gun was recovered in a wooded area.</v>
      </c>
      <c r="AA2588" s="8" t="str">
        <f ca="1">IFERROR(__xludf.DUMMYFUNCTION("""COMPUTED_VALUE"""),"Indiscriminate Shooting")</f>
        <v>Indiscriminate Shooting</v>
      </c>
      <c r="AB2588" s="8"/>
      <c r="AC2588" s="8"/>
      <c r="AD2588" s="8" t="str">
        <f ca="1">IFERROR(__xludf.DUMMYFUNCTION("""COMPUTED_VALUE"""),"Random Shooting")</f>
        <v>Random Shooting</v>
      </c>
      <c r="AE2588" s="8" t="str">
        <f ca="1">IFERROR(__xludf.DUMMYFUNCTION("""COMPUTED_VALUE"""),"No")</f>
        <v>No</v>
      </c>
      <c r="AF2588" s="8"/>
      <c r="AG2588" s="8" t="str">
        <f ca="1">IFERROR(__xludf.DUMMYFUNCTION("""COMPUTED_VALUE"""),"No")</f>
        <v>No</v>
      </c>
      <c r="AH2588" s="8" t="str">
        <f ca="1">IFERROR(__xludf.DUMMYFUNCTION("""COMPUTED_VALUE"""),"No")</f>
        <v>No</v>
      </c>
      <c r="AI2588" s="8" t="str">
        <f ca="1">IFERROR(__xludf.DUMMYFUNCTION("""COMPUTED_VALUE"""),"No")</f>
        <v>No</v>
      </c>
      <c r="AJ2588" s="8" t="str">
        <f ca="1">IFERROR(__xludf.DUMMYFUNCTION("""COMPUTED_VALUE"""),"No")</f>
        <v>No</v>
      </c>
      <c r="AK2588" s="8" t="str">
        <f ca="1">IFERROR(__xludf.DUMMYFUNCTION("""COMPUTED_VALUE"""),"No")</f>
        <v>No</v>
      </c>
      <c r="AL2588" s="8" t="str">
        <f ca="1">IFERROR(__xludf.DUMMYFUNCTION("""COMPUTED_VALUE"""),"No")</f>
        <v>No</v>
      </c>
      <c r="AM2588" s="8"/>
      <c r="AN2588" s="8"/>
      <c r="AO2588" s="8" t="str">
        <f ca="1">IFERROR(__xludf.DUMMYFUNCTION("""COMPUTED_VALUE"""),"No")</f>
        <v>No</v>
      </c>
      <c r="AP2588" s="8"/>
      <c r="AQ2588" s="8" t="str">
        <f ca="1">IFERROR(__xludf.DUMMYFUNCTION("""COMPUTED_VALUE"""),"Unknown")</f>
        <v>Unknown</v>
      </c>
      <c r="AR2588" s="8" t="str">
        <f ca="1">IFERROR(__xludf.DUMMYFUNCTION("""COMPUTED_VALUE"""),"NA")</f>
        <v>NA</v>
      </c>
      <c r="AS2588" s="8">
        <f ca="1">IFERROR(__xludf.DUMMYFUNCTION("""COMPUTED_VALUE"""),1)</f>
        <v>1</v>
      </c>
      <c r="AT2588" s="8"/>
      <c r="AU2588" s="8">
        <f ca="1">IFERROR(__xludf.DUMMYFUNCTION("""COMPUTED_VALUE"""),38.886543)</f>
        <v>38.886543000000003</v>
      </c>
      <c r="AV2588" s="8">
        <f ca="1">IFERROR(__xludf.DUMMYFUNCTION("""COMPUTED_VALUE"""),-76.820284)</f>
        <v>-76.820284000000001</v>
      </c>
      <c r="AW2588" s="8"/>
      <c r="AX2588" s="8">
        <f ca="1">IFERROR(__xludf.DUMMYFUNCTION("""COMPUTED_VALUE"""),20774)</f>
        <v>20774</v>
      </c>
    </row>
    <row r="2589" spans="1:50" ht="105" x14ac:dyDescent="0.2">
      <c r="A2589" s="8" t="str">
        <f ca="1">IFERROR(__xludf.DUMMYFUNCTION("""COMPUTED_VALUE"""),"19940405TXMCA")</f>
        <v>19940405TXMCA</v>
      </c>
      <c r="B2589" s="8">
        <f ca="1">IFERROR(__xludf.DUMMYFUNCTION("""COMPUTED_VALUE"""),4)</f>
        <v>4</v>
      </c>
      <c r="C2589" s="8">
        <f ca="1">IFERROR(__xludf.DUMMYFUNCTION("""COMPUTED_VALUE"""),5)</f>
        <v>5</v>
      </c>
      <c r="D2589" s="8">
        <f ca="1">IFERROR(__xludf.DUMMYFUNCTION("""COMPUTED_VALUE"""),1994)</f>
        <v>1994</v>
      </c>
      <c r="E2589" s="9">
        <f ca="1">IFERROR(__xludf.DUMMYFUNCTION("""COMPUTED_VALUE"""),34429)</f>
        <v>34429</v>
      </c>
      <c r="F2589" s="8" t="str">
        <f ca="1">IFERROR(__xludf.DUMMYFUNCTION("""COMPUTED_VALUE"""),"McNeil High School")</f>
        <v>McNeil High School</v>
      </c>
      <c r="G2589" s="8">
        <f ca="1">IFERROR(__xludf.DUMMYFUNCTION("""COMPUTED_VALUE"""),0)</f>
        <v>0</v>
      </c>
      <c r="H2589" s="8">
        <f ca="1">IFERROR(__xludf.DUMMYFUNCTION("""COMPUTED_VALUE"""),2)</f>
        <v>2</v>
      </c>
      <c r="I2589" s="8">
        <f ca="1">IFERROR(__xludf.DUMMYFUNCTION("""COMPUTED_VALUE"""),2)</f>
        <v>2</v>
      </c>
      <c r="J2589" s="8">
        <f ca="1">IFERROR(__xludf.DUMMYFUNCTION("""COMPUTED_VALUE"""),0)</f>
        <v>0</v>
      </c>
      <c r="K2589" s="8" t="str">
        <f ca="1">IFERROR(__xludf.DUMMYFUNCTION("""COMPUTED_VALUE"""),"https://www.newspapers.com/image/366497672/?terms=McNeil%2BHigh%2BSchool%2Bshooting http://www.columbine-angels.com/School_Violence_1993-1994.htm")</f>
        <v>https://www.newspapers.com/image/366497672/?terms=McNeil%2BHigh%2BSchool%2Bshooting http://www.columbine-angels.com/School_Violence_1993-1994.htm</v>
      </c>
      <c r="L2589" s="8"/>
      <c r="M2589" s="8"/>
      <c r="N2589" s="8">
        <f ca="1">IFERROR(__xludf.DUMMYFUNCTION("""COMPUTED_VALUE"""),2)</f>
        <v>2</v>
      </c>
      <c r="O2589" s="8" t="str">
        <f ca="1">IFERROR(__xludf.DUMMYFUNCTION("""COMPUTED_VALUE"""),"Spring")</f>
        <v>Spring</v>
      </c>
      <c r="P2589" s="8" t="str">
        <f ca="1">IFERROR(__xludf.DUMMYFUNCTION("""COMPUTED_VALUE"""),"Austin")</f>
        <v>Austin</v>
      </c>
      <c r="Q2589" s="8" t="str">
        <f ca="1">IFERROR(__xludf.DUMMYFUNCTION("""COMPUTED_VALUE"""),"TX")</f>
        <v>TX</v>
      </c>
      <c r="R2589" s="8" t="str">
        <f ca="1">IFERROR(__xludf.DUMMYFUNCTION("""COMPUTED_VALUE"""),"High")</f>
        <v>High</v>
      </c>
      <c r="S2589" s="8" t="str">
        <f ca="1">IFERROR(__xludf.DUMMYFUNCTION("""COMPUTED_VALUE"""),"Classroom")</f>
        <v>Classroom</v>
      </c>
      <c r="T2589" s="8" t="str">
        <f ca="1">IFERROR(__xludf.DUMMYFUNCTION("""COMPUTED_VALUE"""),"Inside School Building")</f>
        <v>Inside School Building</v>
      </c>
      <c r="U2589" s="8" t="str">
        <f ca="1">IFERROR(__xludf.DUMMYFUNCTION("""COMPUTED_VALUE"""),"Yes")</f>
        <v>Yes</v>
      </c>
      <c r="V2589" s="8"/>
      <c r="W2589" s="8"/>
      <c r="X2589" s="8">
        <f ca="1">IFERROR(__xludf.DUMMYFUNCTION("""COMPUTED_VALUE"""),1)</f>
        <v>1</v>
      </c>
      <c r="Y2589" s="12" t="str">
        <f ca="1">IFERROR(__xludf.DUMMYFUNCTION("""COMPUTED_VALUE"""),"Accidental discharge in backpack, owner had prior charges of theft/burglary.")</f>
        <v>Accidental discharge in backpack, owner had prior charges of theft/burglary.</v>
      </c>
      <c r="Z2589" s="12" t="str">
        <f ca="1">IFERROR(__xludf.DUMMYFUNCTION("""COMPUTED_VALUE"""),"Three 16 year-old males students were involved in robberies and selling stolen items. One had a stolen gun in his backpack and brought it to school. During biology class, he was showing off the gun to another student. As he placed it back in his backpack "&amp;"it discharged, sending the bullet through wall and struck two female students who were learning CPR. School has metal detectors.")</f>
        <v>Three 16 year-old males students were involved in robberies and selling stolen items. One had a stolen gun in his backpack and brought it to school. During biology class, he was showing off the gun to another student. As he placed it back in his backpack it discharged, sending the bullet through wall and struck two female students who were learning CPR. School has metal detectors.</v>
      </c>
      <c r="AA2589" s="8" t="str">
        <f ca="1">IFERROR(__xludf.DUMMYFUNCTION("""COMPUTED_VALUE"""),"Accidental")</f>
        <v>Accidental</v>
      </c>
      <c r="AB2589" s="8"/>
      <c r="AC2589" s="8"/>
      <c r="AD2589" s="8" t="str">
        <f ca="1">IFERROR(__xludf.DUMMYFUNCTION("""COMPUTED_VALUE"""),"Random Shooting")</f>
        <v>Random Shooting</v>
      </c>
      <c r="AE2589" s="8" t="str">
        <f ca="1">IFERROR(__xludf.DUMMYFUNCTION("""COMPUTED_VALUE"""),"Yes")</f>
        <v>Yes</v>
      </c>
      <c r="AF2589" s="8" t="str">
        <f ca="1">IFERROR(__xludf.DUMMYFUNCTION("""COMPUTED_VALUE"""),"Group of three students involved with robberies and guns. All charged.")</f>
        <v>Group of three students involved with robberies and guns. All charged.</v>
      </c>
      <c r="AG2589" s="8" t="str">
        <f ca="1">IFERROR(__xludf.DUMMYFUNCTION("""COMPUTED_VALUE"""),"No")</f>
        <v>No</v>
      </c>
      <c r="AH2589" s="8" t="str">
        <f ca="1">IFERROR(__xludf.DUMMYFUNCTION("""COMPUTED_VALUE"""),"No")</f>
        <v>No</v>
      </c>
      <c r="AI2589" s="8" t="str">
        <f ca="1">IFERROR(__xludf.DUMMYFUNCTION("""COMPUTED_VALUE"""),"No")</f>
        <v>No</v>
      </c>
      <c r="AJ2589" s="8" t="str">
        <f ca="1">IFERROR(__xludf.DUMMYFUNCTION("""COMPUTED_VALUE"""),"No")</f>
        <v>No</v>
      </c>
      <c r="AK2589" s="8" t="str">
        <f ca="1">IFERROR(__xludf.DUMMYFUNCTION("""COMPUTED_VALUE"""),"No")</f>
        <v>No</v>
      </c>
      <c r="AL2589" s="8" t="str">
        <f ca="1">IFERROR(__xludf.DUMMYFUNCTION("""COMPUTED_VALUE"""),"No")</f>
        <v>No</v>
      </c>
      <c r="AM2589" s="8"/>
      <c r="AN2589" s="8"/>
      <c r="AO2589" s="8" t="str">
        <f ca="1">IFERROR(__xludf.DUMMYFUNCTION("""COMPUTED_VALUE"""),"No")</f>
        <v>No</v>
      </c>
      <c r="AP2589" s="8" t="str">
        <f ca="1">IFERROR(__xludf.DUMMYFUNCTION("""COMPUTED_VALUE"""),"Yes")</f>
        <v>Yes</v>
      </c>
      <c r="AQ2589" s="8" t="str">
        <f ca="1">IFERROR(__xludf.DUMMYFUNCTION("""COMPUTED_VALUE"""),"Metal Detectors Bypassed")</f>
        <v>Metal Detectors Bypassed</v>
      </c>
      <c r="AR2589" s="8" t="str">
        <f ca="1">IFERROR(__xludf.DUMMYFUNCTION("""COMPUTED_VALUE"""),"Bypassed")</f>
        <v>Bypassed</v>
      </c>
      <c r="AS2589" s="8">
        <f ca="1">IFERROR(__xludf.DUMMYFUNCTION("""COMPUTED_VALUE"""),1)</f>
        <v>1</v>
      </c>
      <c r="AT2589" s="8"/>
      <c r="AU2589" s="8">
        <f ca="1">IFERROR(__xludf.DUMMYFUNCTION("""COMPUTED_VALUE"""),30.44955)</f>
        <v>30.449549999999999</v>
      </c>
      <c r="AV2589" s="8">
        <f ca="1">IFERROR(__xludf.DUMMYFUNCTION("""COMPUTED_VALUE"""),-97.732428)</f>
        <v>-97.732427999999999</v>
      </c>
      <c r="AW2589" s="8"/>
      <c r="AX2589" s="8">
        <f ca="1">IFERROR(__xludf.DUMMYFUNCTION("""COMPUTED_VALUE"""),78727)</f>
        <v>78727</v>
      </c>
    </row>
    <row r="2590" spans="1:50" ht="120" x14ac:dyDescent="0.2">
      <c r="A2590" s="8" t="str">
        <f ca="1">IFERROR(__xludf.DUMMYFUNCTION("""COMPUTED_VALUE"""),"19940325GAETC")</f>
        <v>19940325GAETC</v>
      </c>
      <c r="B2590" s="8">
        <f ca="1">IFERROR(__xludf.DUMMYFUNCTION("""COMPUTED_VALUE"""),3)</f>
        <v>3</v>
      </c>
      <c r="C2590" s="8">
        <f ca="1">IFERROR(__xludf.DUMMYFUNCTION("""COMPUTED_VALUE"""),25)</f>
        <v>25</v>
      </c>
      <c r="D2590" s="8">
        <f ca="1">IFERROR(__xludf.DUMMYFUNCTION("""COMPUTED_VALUE"""),1994)</f>
        <v>1994</v>
      </c>
      <c r="E2590" s="9">
        <f ca="1">IFERROR(__xludf.DUMMYFUNCTION("""COMPUTED_VALUE"""),34418)</f>
        <v>34418</v>
      </c>
      <c r="F2590" s="8" t="str">
        <f ca="1">IFERROR(__xludf.DUMMYFUNCTION("""COMPUTED_VALUE"""),"Etowah High School")</f>
        <v>Etowah High School</v>
      </c>
      <c r="G2590" s="8">
        <f ca="1">IFERROR(__xludf.DUMMYFUNCTION("""COMPUTED_VALUE"""),0)</f>
        <v>0</v>
      </c>
      <c r="H2590" s="8">
        <f ca="1">IFERROR(__xludf.DUMMYFUNCTION("""COMPUTED_VALUE"""),0)</f>
        <v>0</v>
      </c>
      <c r="I2590" s="8">
        <f ca="1">IFERROR(__xludf.DUMMYFUNCTION("""COMPUTED_VALUE"""),0)</f>
        <v>0</v>
      </c>
      <c r="J2590" s="8">
        <f ca="1">IFERROR(__xludf.DUMMYFUNCTION("""COMPUTED_VALUE"""),1)</f>
        <v>1</v>
      </c>
      <c r="K2590" s="8" t="str">
        <f ca="1">IFERROR(__xludf.DUMMYFUNCTION("""COMPUTED_VALUE"""),"https://books.google.com/books?id=EPwmTueA1m0C&amp;pg=PA266&amp;lpg=PA266&amp;dq=ETOWAH+HIGH+SCHOOL+SHOOTING+SUICIDE+1994+brian+head&amp;source=bl&amp;ots=nT5m2L1V8c&amp;sig=A2vvk_lF_40imAbfip3dhCsWfZY&amp;hl=en&amp;sa=X&amp;ved=0ahUKEwivg4jQ_-LbAhXK7YMKHchBAgQQ6AEIZDAI#v=onepage&amp;q=ETOWAH%2"&amp;"0HIGH%20SCHOOL%20SHOOTING%20SUICIDE%201994%20brian%20head&amp;f=false https://apnews.com/4c12287366bc557541ca4191150b24a5")</f>
        <v>https://books.google.com/books?id=EPwmTueA1m0C&amp;pg=PA266&amp;lpg=PA266&amp;dq=ETOWAH+HIGH+SCHOOL+SHOOTING+SUICIDE+1994+brian+head&amp;source=bl&amp;ots=nT5m2L1V8c&amp;sig=A2vvk_lF_40imAbfip3dhCsWfZY&amp;hl=en&amp;sa=X&amp;ved=0ahUKEwivg4jQ_-LbAhXK7YMKHchBAgQQ6AEIZDAI#v=onepage&amp;q=ETOWAH%20HIGH%20SCHOOL%20SHOOTING%20SUICIDE%201994%20brian%20head&amp;f=false https://apnews.com/4c12287366bc557541ca4191150b24a5</v>
      </c>
      <c r="L2590" s="8"/>
      <c r="M2590" s="8"/>
      <c r="N2590" s="8">
        <f ca="1">IFERROR(__xludf.DUMMYFUNCTION("""COMPUTED_VALUE"""),1)</f>
        <v>1</v>
      </c>
      <c r="O2590" s="8" t="str">
        <f ca="1">IFERROR(__xludf.DUMMYFUNCTION("""COMPUTED_VALUE"""),"Spring")</f>
        <v>Spring</v>
      </c>
      <c r="P2590" s="8" t="str">
        <f ca="1">IFERROR(__xludf.DUMMYFUNCTION("""COMPUTED_VALUE"""),"Cherokee County")</f>
        <v>Cherokee County</v>
      </c>
      <c r="Q2590" s="8" t="str">
        <f ca="1">IFERROR(__xludf.DUMMYFUNCTION("""COMPUTED_VALUE"""),"GA")</f>
        <v>GA</v>
      </c>
      <c r="R2590" s="8" t="str">
        <f ca="1">IFERROR(__xludf.DUMMYFUNCTION("""COMPUTED_VALUE"""),"High")</f>
        <v>High</v>
      </c>
      <c r="S2590" s="8" t="str">
        <f ca="1">IFERROR(__xludf.DUMMYFUNCTION("""COMPUTED_VALUE"""),"Classroom")</f>
        <v>Classroom</v>
      </c>
      <c r="T2590" s="8" t="str">
        <f ca="1">IFERROR(__xludf.DUMMYFUNCTION("""COMPUTED_VALUE"""),"Inside School Building")</f>
        <v>Inside School Building</v>
      </c>
      <c r="U2590" s="8" t="str">
        <f ca="1">IFERROR(__xludf.DUMMYFUNCTION("""COMPUTED_VALUE"""),"Yes")</f>
        <v>Yes</v>
      </c>
      <c r="V2590" s="8"/>
      <c r="W2590" s="8"/>
      <c r="X2590" s="8"/>
      <c r="Y2590" s="12" t="str">
        <f ca="1">IFERROR(__xludf.DUMMYFUNCTION("""COMPUTED_VALUE"""),"Suicide in classroom after being bullied")</f>
        <v>Suicide in classroom after being bullied</v>
      </c>
      <c r="Z2590" s="12" t="str">
        <f ca="1">IFERROR(__xludf.DUMMYFUNCTION("""COMPUTED_VALUE"""),"A 15 year-old male had been bullied for some time due to his weight and thick glasses. After being picked on in economics class, he pulled out a 9mm handgun from his waistband and yelled, "" I can't take it anymore,"" shooting himself in the head. The tea"&amp;"cher tried to talk to the student to put the gun down before he shot himself. In response, the father passed a law where schools have to inform the parent if their child is being bullied.")</f>
        <v>A 15 year-old male had been bullied for some time due to his weight and thick glasses. After being picked on in economics class, he pulled out a 9mm handgun from his waistband and yelled, " I can't take it anymore," shooting himself in the head. The teacher tried to talk to the student to put the gun down before he shot himself. In response, the father passed a law where schools have to inform the parent if their child is being bullied.</v>
      </c>
      <c r="AA2590" s="8" t="str">
        <f ca="1">IFERROR(__xludf.DUMMYFUNCTION("""COMPUTED_VALUE"""),"Suicide/Attempted")</f>
        <v>Suicide/Attempted</v>
      </c>
      <c r="AB2590" s="8"/>
      <c r="AC2590" s="8"/>
      <c r="AD2590" s="8" t="str">
        <f ca="1">IFERROR(__xludf.DUMMYFUNCTION("""COMPUTED_VALUE"""),"Victims Targeted")</f>
        <v>Victims Targeted</v>
      </c>
      <c r="AE2590" s="8" t="str">
        <f ca="1">IFERROR(__xludf.DUMMYFUNCTION("""COMPUTED_VALUE"""),"No")</f>
        <v>No</v>
      </c>
      <c r="AF2590" s="8"/>
      <c r="AG2590" s="8" t="str">
        <f ca="1">IFERROR(__xludf.DUMMYFUNCTION("""COMPUTED_VALUE"""),"No")</f>
        <v>No</v>
      </c>
      <c r="AH2590" s="8" t="str">
        <f ca="1">IFERROR(__xludf.DUMMYFUNCTION("""COMPUTED_VALUE"""),"No")</f>
        <v>No</v>
      </c>
      <c r="AI2590" s="8" t="str">
        <f ca="1">IFERROR(__xludf.DUMMYFUNCTION("""COMPUTED_VALUE"""),"No")</f>
        <v>No</v>
      </c>
      <c r="AJ2590" s="8" t="str">
        <f ca="1">IFERROR(__xludf.DUMMYFUNCTION("""COMPUTED_VALUE"""),"Yes")</f>
        <v>Yes</v>
      </c>
      <c r="AK2590" s="8" t="str">
        <f ca="1">IFERROR(__xludf.DUMMYFUNCTION("""COMPUTED_VALUE"""),"No")</f>
        <v>No</v>
      </c>
      <c r="AL2590" s="8" t="str">
        <f ca="1">IFERROR(__xludf.DUMMYFUNCTION("""COMPUTED_VALUE"""),"No")</f>
        <v>No</v>
      </c>
      <c r="AM2590" s="8"/>
      <c r="AN2590" s="8"/>
      <c r="AO2590" s="8" t="str">
        <f ca="1">IFERROR(__xludf.DUMMYFUNCTION("""COMPUTED_VALUE"""),"No")</f>
        <v>No</v>
      </c>
      <c r="AP2590" s="8"/>
      <c r="AQ2590" s="8" t="str">
        <f ca="1">IFERROR(__xludf.DUMMYFUNCTION("""COMPUTED_VALUE"""),"Unknown")</f>
        <v>Unknown</v>
      </c>
      <c r="AR2590" s="8" t="str">
        <f ca="1">IFERROR(__xludf.DUMMYFUNCTION("""COMPUTED_VALUE"""),"NA")</f>
        <v>NA</v>
      </c>
      <c r="AS2590" s="8">
        <f ca="1">IFERROR(__xludf.DUMMYFUNCTION("""COMPUTED_VALUE"""),1)</f>
        <v>1</v>
      </c>
      <c r="AT2590" s="8"/>
      <c r="AU2590" s="8">
        <f ca="1">IFERROR(__xludf.DUMMYFUNCTION("""COMPUTED_VALUE"""),34.116132)</f>
        <v>34.116132</v>
      </c>
      <c r="AV2590" s="8">
        <f ca="1">IFERROR(__xludf.DUMMYFUNCTION("""COMPUTED_VALUE"""),-84.564306)</f>
        <v>-84.564306000000002</v>
      </c>
      <c r="AW2590" s="8"/>
      <c r="AX2590" s="8">
        <f ca="1">IFERROR(__xludf.DUMMYFUNCTION("""COMPUTED_VALUE"""),30189)</f>
        <v>30189</v>
      </c>
    </row>
    <row r="2591" spans="1:50" ht="135" x14ac:dyDescent="0.2">
      <c r="A2591" s="8" t="str">
        <f ca="1">IFERROR(__xludf.DUMMYFUNCTION("""COMPUTED_VALUE"""),"19940323WABAS")</f>
        <v>19940323WABAS</v>
      </c>
      <c r="B2591" s="8">
        <f ca="1">IFERROR(__xludf.DUMMYFUNCTION("""COMPUTED_VALUE"""),3)</f>
        <v>3</v>
      </c>
      <c r="C2591" s="8">
        <f ca="1">IFERROR(__xludf.DUMMYFUNCTION("""COMPUTED_VALUE"""),23)</f>
        <v>23</v>
      </c>
      <c r="D2591" s="8">
        <f ca="1">IFERROR(__xludf.DUMMYFUNCTION("""COMPUTED_VALUE"""),1994)</f>
        <v>1994</v>
      </c>
      <c r="E2591" s="9">
        <f ca="1">IFERROR(__xludf.DUMMYFUNCTION("""COMPUTED_VALUE"""),34416)</f>
        <v>34416</v>
      </c>
      <c r="F2591" s="8" t="str">
        <f ca="1">IFERROR(__xludf.DUMMYFUNCTION("""COMPUTED_VALUE"""),"Ballard High School")</f>
        <v>Ballard High School</v>
      </c>
      <c r="G2591" s="8">
        <f ca="1">IFERROR(__xludf.DUMMYFUNCTION("""COMPUTED_VALUE"""),1)</f>
        <v>1</v>
      </c>
      <c r="H2591" s="8">
        <f ca="1">IFERROR(__xludf.DUMMYFUNCTION("""COMPUTED_VALUE"""),1)</f>
        <v>1</v>
      </c>
      <c r="I2591" s="8">
        <f ca="1">IFERROR(__xludf.DUMMYFUNCTION("""COMPUTED_VALUE"""),2)</f>
        <v>2</v>
      </c>
      <c r="J2591" s="8">
        <f ca="1">IFERROR(__xludf.DUMMYFUNCTION("""COMPUTED_VALUE"""),0)</f>
        <v>0</v>
      </c>
      <c r="K2591" s="8" t="str">
        <f ca="1">IFERROR(__xludf.DUMMYFUNCTION("""COMPUTED_VALUE"""),"https://products.kitsapsun.com/archive/1994/03-28/290986_teen_wanted_in_drive-by_slaying.html https://www.seattletimes.com/seattle-news/emotional-day-killer-of-ballard-student-in-1994-seeks-leniency/")</f>
        <v>https://products.kitsapsun.com/archive/1994/03-28/290986_teen_wanted_in_drive-by_slaying.html https://www.seattletimes.com/seattle-news/emotional-day-killer-of-ballard-student-in-1994-seeks-leniency/</v>
      </c>
      <c r="L2591" s="8"/>
      <c r="M2591" s="8"/>
      <c r="N2591" s="8">
        <f ca="1">IFERROR(__xludf.DUMMYFUNCTION("""COMPUTED_VALUE"""),2)</f>
        <v>2</v>
      </c>
      <c r="O2591" s="8" t="str">
        <f ca="1">IFERROR(__xludf.DUMMYFUNCTION("""COMPUTED_VALUE"""),"Spring")</f>
        <v>Spring</v>
      </c>
      <c r="P2591" s="8" t="str">
        <f ca="1">IFERROR(__xludf.DUMMYFUNCTION("""COMPUTED_VALUE"""),"Seattle")</f>
        <v>Seattle</v>
      </c>
      <c r="Q2591" s="8" t="str">
        <f ca="1">IFERROR(__xludf.DUMMYFUNCTION("""COMPUTED_VALUE"""),"WA")</f>
        <v>WA</v>
      </c>
      <c r="R2591" s="8" t="str">
        <f ca="1">IFERROR(__xludf.DUMMYFUNCTION("""COMPUTED_VALUE"""),"High")</f>
        <v>High</v>
      </c>
      <c r="S2591" s="8" t="str">
        <f ca="1">IFERROR(__xludf.DUMMYFUNCTION("""COMPUTED_VALUE"""),"Parking Lot")</f>
        <v>Parking Lot</v>
      </c>
      <c r="T2591" s="8" t="str">
        <f ca="1">IFERROR(__xludf.DUMMYFUNCTION("""COMPUTED_VALUE"""),"Outside on School Property")</f>
        <v>Outside on School Property</v>
      </c>
      <c r="U2591" s="8" t="str">
        <f ca="1">IFERROR(__xludf.DUMMYFUNCTION("""COMPUTED_VALUE"""),"Yes")</f>
        <v>Yes</v>
      </c>
      <c r="V2591" s="8" t="str">
        <f ca="1">IFERROR(__xludf.DUMMYFUNCTION("""COMPUTED_VALUE"""),"Lunch")</f>
        <v>Lunch</v>
      </c>
      <c r="W2591" s="11">
        <f ca="1">IFERROR(__xludf.DUMMYFUNCTION("""COMPUTED_VALUE"""),0.5)</f>
        <v>0.5</v>
      </c>
      <c r="X2591" s="8">
        <f ca="1">IFERROR(__xludf.DUMMYFUNCTION("""COMPUTED_VALUE"""),1)</f>
        <v>1</v>
      </c>
      <c r="Y2591" s="12" t="str">
        <f ca="1">IFERROR(__xludf.DUMMYFUNCTION("""COMPUTED_VALUE"""),"Bystander student struck during gang drive-by shooting")</f>
        <v>Bystander student struck during gang drive-by shooting</v>
      </c>
      <c r="Z2591" s="12" t="str">
        <f ca="1">IFERROR(__xludf.DUMMYFUNCTION("""COMPUTED_VALUE"""),"One of the 23rd Street Diablos gang members was chased off campus from a rival gang member a few days earlier. A few days later, the 16 year-old shooter was in a car full of the 23rd Street Diablos members when they pulled up to campus around lunch time, "&amp;"but left when they heard Police were on the way. They returned an hour later when the 16 year-old opened fire 8 times into a crowd of students, killing one and injuring another. The 16 year-old victim was not the target. Shooter later turned himself in.")</f>
        <v>One of the 23rd Street Diablos gang members was chased off campus from a rival gang member a few days earlier. A few days later, the 16 year-old shooter was in a car full of the 23rd Street Diablos members when they pulled up to campus around lunch time, but left when they heard Police were on the way. They returned an hour later when the 16 year-old opened fire 8 times into a crowd of students, killing one and injuring another. The 16 year-old victim was not the target. Shooter later turned himself in.</v>
      </c>
      <c r="AA2591" s="8" t="str">
        <f ca="1">IFERROR(__xludf.DUMMYFUNCTION("""COMPUTED_VALUE"""),"Drive-by Shooting")</f>
        <v>Drive-by Shooting</v>
      </c>
      <c r="AB2591" s="8"/>
      <c r="AC2591" s="8"/>
      <c r="AD2591" s="8" t="str">
        <f ca="1">IFERROR(__xludf.DUMMYFUNCTION("""COMPUTED_VALUE"""),"Random Shooting")</f>
        <v>Random Shooting</v>
      </c>
      <c r="AE2591" s="8" t="str">
        <f ca="1">IFERROR(__xludf.DUMMYFUNCTION("""COMPUTED_VALUE"""),"No")</f>
        <v>No</v>
      </c>
      <c r="AF2591" s="8"/>
      <c r="AG2591" s="8" t="str">
        <f ca="1">IFERROR(__xludf.DUMMYFUNCTION("""COMPUTED_VALUE"""),"No")</f>
        <v>No</v>
      </c>
      <c r="AH2591" s="8" t="str">
        <f ca="1">IFERROR(__xludf.DUMMYFUNCTION("""COMPUTED_VALUE"""),"No")</f>
        <v>No</v>
      </c>
      <c r="AI2591" s="8" t="str">
        <f ca="1">IFERROR(__xludf.DUMMYFUNCTION("""COMPUTED_VALUE"""),"No")</f>
        <v>No</v>
      </c>
      <c r="AJ2591" s="8" t="str">
        <f ca="1">IFERROR(__xludf.DUMMYFUNCTION("""COMPUTED_VALUE"""),"No")</f>
        <v>No</v>
      </c>
      <c r="AK2591" s="8" t="str">
        <f ca="1">IFERROR(__xludf.DUMMYFUNCTION("""COMPUTED_VALUE"""),"No")</f>
        <v>No</v>
      </c>
      <c r="AL2591" s="8" t="str">
        <f ca="1">IFERROR(__xludf.DUMMYFUNCTION("""COMPUTED_VALUE"""),"Yes")</f>
        <v>Yes</v>
      </c>
      <c r="AM2591" s="8"/>
      <c r="AN2591" s="8"/>
      <c r="AO2591" s="8" t="str">
        <f ca="1">IFERROR(__xludf.DUMMYFUNCTION("""COMPUTED_VALUE"""),"No")</f>
        <v>No</v>
      </c>
      <c r="AP2591" s="8"/>
      <c r="AQ2591" s="8" t="str">
        <f ca="1">IFERROR(__xludf.DUMMYFUNCTION("""COMPUTED_VALUE"""),"Unknown")</f>
        <v>Unknown</v>
      </c>
      <c r="AR2591" s="8" t="str">
        <f ca="1">IFERROR(__xludf.DUMMYFUNCTION("""COMPUTED_VALUE"""),"NA")</f>
        <v>NA</v>
      </c>
      <c r="AS2591" s="8">
        <f ca="1">IFERROR(__xludf.DUMMYFUNCTION("""COMPUTED_VALUE"""),8)</f>
        <v>8</v>
      </c>
      <c r="AT2591" s="8"/>
      <c r="AU2591" s="8">
        <f ca="1">IFERROR(__xludf.DUMMYFUNCTION("""COMPUTED_VALUE"""),47.67664)</f>
        <v>47.676639999999999</v>
      </c>
      <c r="AV2591" s="8">
        <f ca="1">IFERROR(__xludf.DUMMYFUNCTION("""COMPUTED_VALUE"""),-122.37539)</f>
        <v>-122.37539</v>
      </c>
      <c r="AW2591" s="8"/>
      <c r="AX2591" s="8">
        <f ca="1">IFERROR(__xludf.DUMMYFUNCTION("""COMPUTED_VALUE"""),98117)</f>
        <v>98117</v>
      </c>
    </row>
    <row r="2592" spans="1:50" ht="45" x14ac:dyDescent="0.2">
      <c r="A2592" s="8" t="str">
        <f ca="1">IFERROR(__xludf.DUMMYFUNCTION("""COMPUTED_VALUE"""),"19940315SCGOC")</f>
        <v>19940315SCGOC</v>
      </c>
      <c r="B2592" s="8">
        <f ca="1">IFERROR(__xludf.DUMMYFUNCTION("""COMPUTED_VALUE"""),3)</f>
        <v>3</v>
      </c>
      <c r="C2592" s="8">
        <f ca="1">IFERROR(__xludf.DUMMYFUNCTION("""COMPUTED_VALUE"""),15)</f>
        <v>15</v>
      </c>
      <c r="D2592" s="8">
        <f ca="1">IFERROR(__xludf.DUMMYFUNCTION("""COMPUTED_VALUE"""),1994)</f>
        <v>1994</v>
      </c>
      <c r="E2592" s="9">
        <f ca="1">IFERROR(__xludf.DUMMYFUNCTION("""COMPUTED_VALUE"""),34408)</f>
        <v>34408</v>
      </c>
      <c r="F2592" s="8" t="str">
        <f ca="1">IFERROR(__xludf.DUMMYFUNCTION("""COMPUTED_VALUE"""),"Goose Creek High School")</f>
        <v>Goose Creek High School</v>
      </c>
      <c r="G2592" s="8">
        <f ca="1">IFERROR(__xludf.DUMMYFUNCTION("""COMPUTED_VALUE"""),1)</f>
        <v>1</v>
      </c>
      <c r="H2592" s="8">
        <f ca="1">IFERROR(__xludf.DUMMYFUNCTION("""COMPUTED_VALUE"""),0)</f>
        <v>0</v>
      </c>
      <c r="I2592" s="8">
        <f ca="1">IFERROR(__xludf.DUMMYFUNCTION("""COMPUTED_VALUE"""),1)</f>
        <v>1</v>
      </c>
      <c r="J2592" s="8">
        <f ca="1">IFERROR(__xludf.DUMMYFUNCTION("""COMPUTED_VALUE"""),0)</f>
        <v>0</v>
      </c>
      <c r="K2592" s="10" t="str">
        <f ca="1">IFERROR(__xludf.DUMMYFUNCTION("""COMPUTED_VALUE"""),"http://www.wistv.com/story/23589594/school-shootings-in-south-carolina")</f>
        <v>http://www.wistv.com/story/23589594/school-shootings-in-south-carolina</v>
      </c>
      <c r="L2592" s="8"/>
      <c r="M2592" s="8"/>
      <c r="N2592" s="8">
        <f ca="1">IFERROR(__xludf.DUMMYFUNCTION("""COMPUTED_VALUE"""),2)</f>
        <v>2</v>
      </c>
      <c r="O2592" s="8" t="str">
        <f ca="1">IFERROR(__xludf.DUMMYFUNCTION("""COMPUTED_VALUE"""),"Spring")</f>
        <v>Spring</v>
      </c>
      <c r="P2592" s="8" t="str">
        <f ca="1">IFERROR(__xludf.DUMMYFUNCTION("""COMPUTED_VALUE"""),"Charleston")</f>
        <v>Charleston</v>
      </c>
      <c r="Q2592" s="8" t="str">
        <f ca="1">IFERROR(__xludf.DUMMYFUNCTION("""COMPUTED_VALUE"""),"SC")</f>
        <v>SC</v>
      </c>
      <c r="R2592" s="8" t="str">
        <f ca="1">IFERROR(__xludf.DUMMYFUNCTION("""COMPUTED_VALUE"""),"High")</f>
        <v>High</v>
      </c>
      <c r="S2592" s="8" t="str">
        <f ca="1">IFERROR(__xludf.DUMMYFUNCTION("""COMPUTED_VALUE"""),"Outside on School Property")</f>
        <v>Outside on School Property</v>
      </c>
      <c r="T2592" s="8" t="str">
        <f ca="1">IFERROR(__xludf.DUMMYFUNCTION("""COMPUTED_VALUE"""),"Outside on School Property")</f>
        <v>Outside on School Property</v>
      </c>
      <c r="U2592" s="8" t="str">
        <f ca="1">IFERROR(__xludf.DUMMYFUNCTION("""COMPUTED_VALUE"""),"No")</f>
        <v>No</v>
      </c>
      <c r="V2592" s="8" t="str">
        <f ca="1">IFERROR(__xludf.DUMMYFUNCTION("""COMPUTED_VALUE"""),"After School")</f>
        <v>After School</v>
      </c>
      <c r="W2592" s="8"/>
      <c r="X2592" s="8">
        <f ca="1">IFERROR(__xludf.DUMMYFUNCTION("""COMPUTED_VALUE"""),1)</f>
        <v>1</v>
      </c>
      <c r="Y2592" s="12" t="str">
        <f ca="1">IFERROR(__xludf.DUMMYFUNCTION("""COMPUTED_VALUE"""),"Bystander shot during fight that escalated")</f>
        <v>Bystander shot during fight that escalated</v>
      </c>
      <c r="Z2592" s="12" t="str">
        <f ca="1">IFERROR(__xludf.DUMMYFUNCTION("""COMPUTED_VALUE"""),"Student was shot in the head while watching a fist fight that escalated into a shooting.")</f>
        <v>Student was shot in the head while watching a fist fight that escalated into a shooting.</v>
      </c>
      <c r="AA2592" s="8" t="str">
        <f ca="1">IFERROR(__xludf.DUMMYFUNCTION("""COMPUTED_VALUE"""),"Escalation of Dispute")</f>
        <v>Escalation of Dispute</v>
      </c>
      <c r="AB2592" s="8"/>
      <c r="AC2592" s="8"/>
      <c r="AD2592" s="8" t="str">
        <f ca="1">IFERROR(__xludf.DUMMYFUNCTION("""COMPUTED_VALUE"""),"Random Shooting")</f>
        <v>Random Shooting</v>
      </c>
      <c r="AE2592" s="8" t="str">
        <f ca="1">IFERROR(__xludf.DUMMYFUNCTION("""COMPUTED_VALUE"""),"No")</f>
        <v>No</v>
      </c>
      <c r="AF2592" s="8"/>
      <c r="AG2592" s="8" t="str">
        <f ca="1">IFERROR(__xludf.DUMMYFUNCTION("""COMPUTED_VALUE"""),"No")</f>
        <v>No</v>
      </c>
      <c r="AH2592" s="8" t="str">
        <f ca="1">IFERROR(__xludf.DUMMYFUNCTION("""COMPUTED_VALUE"""),"No")</f>
        <v>No</v>
      </c>
      <c r="AI2592" s="8" t="str">
        <f ca="1">IFERROR(__xludf.DUMMYFUNCTION("""COMPUTED_VALUE"""),"No")</f>
        <v>No</v>
      </c>
      <c r="AJ2592" s="8" t="str">
        <f ca="1">IFERROR(__xludf.DUMMYFUNCTION("""COMPUTED_VALUE"""),"No")</f>
        <v>No</v>
      </c>
      <c r="AK2592" s="8" t="str">
        <f ca="1">IFERROR(__xludf.DUMMYFUNCTION("""COMPUTED_VALUE"""),"No")</f>
        <v>No</v>
      </c>
      <c r="AL2592" s="8" t="str">
        <f ca="1">IFERROR(__xludf.DUMMYFUNCTION("""COMPUTED_VALUE"""),"No")</f>
        <v>No</v>
      </c>
      <c r="AM2592" s="8"/>
      <c r="AN2592" s="8"/>
      <c r="AO2592" s="8" t="str">
        <f ca="1">IFERROR(__xludf.DUMMYFUNCTION("""COMPUTED_VALUE"""),"No")</f>
        <v>No</v>
      </c>
      <c r="AP2592" s="8"/>
      <c r="AQ2592" s="8" t="str">
        <f ca="1">IFERROR(__xludf.DUMMYFUNCTION("""COMPUTED_VALUE"""),"Unknown")</f>
        <v>Unknown</v>
      </c>
      <c r="AR2592" s="8" t="str">
        <f ca="1">IFERROR(__xludf.DUMMYFUNCTION("""COMPUTED_VALUE"""),"NA")</f>
        <v>NA</v>
      </c>
      <c r="AS2592" s="8" t="str">
        <f ca="1">IFERROR(__xludf.DUMMYFUNCTION("""COMPUTED_VALUE"""),"&lt;10")</f>
        <v>&lt;10</v>
      </c>
      <c r="AT2592" s="8"/>
      <c r="AU2592" s="8">
        <f ca="1">IFERROR(__xludf.DUMMYFUNCTION("""COMPUTED_VALUE"""),32.973722)</f>
        <v>32.973722000000002</v>
      </c>
      <c r="AV2592" s="8">
        <f ca="1">IFERROR(__xludf.DUMMYFUNCTION("""COMPUTED_VALUE"""),-80.016414)</f>
        <v>-80.016413999999997</v>
      </c>
      <c r="AW2592" s="8"/>
      <c r="AX2592" s="8">
        <f ca="1">IFERROR(__xludf.DUMMYFUNCTION("""COMPUTED_VALUE"""),29445)</f>
        <v>29445</v>
      </c>
    </row>
    <row r="2593" spans="1:50" ht="90" x14ac:dyDescent="0.2">
      <c r="A2593" s="8" t="str">
        <f ca="1">IFERROR(__xludf.DUMMYFUNCTION("""COMPUTED_VALUE"""),"19940309DCEAW")</f>
        <v>19940309DCEAW</v>
      </c>
      <c r="B2593" s="8">
        <f ca="1">IFERROR(__xludf.DUMMYFUNCTION("""COMPUTED_VALUE"""),3)</f>
        <v>3</v>
      </c>
      <c r="C2593" s="8">
        <f ca="1">IFERROR(__xludf.DUMMYFUNCTION("""COMPUTED_VALUE"""),9)</f>
        <v>9</v>
      </c>
      <c r="D2593" s="8">
        <f ca="1">IFERROR(__xludf.DUMMYFUNCTION("""COMPUTED_VALUE"""),1994)</f>
        <v>1994</v>
      </c>
      <c r="E2593" s="9">
        <f ca="1">IFERROR(__xludf.DUMMYFUNCTION("""COMPUTED_VALUE"""),34402)</f>
        <v>34402</v>
      </c>
      <c r="F2593" s="8" t="str">
        <f ca="1">IFERROR(__xludf.DUMMYFUNCTION("""COMPUTED_VALUE"""),"Eastern High School")</f>
        <v>Eastern High School</v>
      </c>
      <c r="G2593" s="8">
        <f ca="1">IFERROR(__xludf.DUMMYFUNCTION("""COMPUTED_VALUE"""),1)</f>
        <v>1</v>
      </c>
      <c r="H2593" s="8">
        <f ca="1">IFERROR(__xludf.DUMMYFUNCTION("""COMPUTED_VALUE"""),0)</f>
        <v>0</v>
      </c>
      <c r="I2593" s="8">
        <f ca="1">IFERROR(__xludf.DUMMYFUNCTION("""COMPUTED_VALUE"""),1)</f>
        <v>1</v>
      </c>
      <c r="J2593" s="8">
        <f ca="1">IFERROR(__xludf.DUMMYFUNCTION("""COMPUTED_VALUE"""),0)</f>
        <v>0</v>
      </c>
      <c r="K2593" s="10" t="str">
        <f ca="1">IFERROR(__xludf.DUMMYFUNCTION("""COMPUTED_VALUE"""),"http://www.columbine-angels.com/School_Violence_1993-1994.htm")</f>
        <v>http://www.columbine-angels.com/School_Violence_1993-1994.htm</v>
      </c>
      <c r="L2593" s="8"/>
      <c r="M2593" s="8"/>
      <c r="N2593" s="8">
        <f ca="1">IFERROR(__xludf.DUMMYFUNCTION("""COMPUTED_VALUE"""),3)</f>
        <v>3</v>
      </c>
      <c r="O2593" s="8" t="str">
        <f ca="1">IFERROR(__xludf.DUMMYFUNCTION("""COMPUTED_VALUE"""),"Spring")</f>
        <v>Spring</v>
      </c>
      <c r="P2593" s="8" t="str">
        <f ca="1">IFERROR(__xludf.DUMMYFUNCTION("""COMPUTED_VALUE"""),"Washington")</f>
        <v>Washington</v>
      </c>
      <c r="Q2593" s="8" t="str">
        <f ca="1">IFERROR(__xludf.DUMMYFUNCTION("""COMPUTED_VALUE"""),"DC")</f>
        <v>DC</v>
      </c>
      <c r="R2593" s="8" t="str">
        <f ca="1">IFERROR(__xludf.DUMMYFUNCTION("""COMPUTED_VALUE"""),"High")</f>
        <v>High</v>
      </c>
      <c r="S2593" s="8" t="str">
        <f ca="1">IFERROR(__xludf.DUMMYFUNCTION("""COMPUTED_VALUE"""),"Cafeteria")</f>
        <v>Cafeteria</v>
      </c>
      <c r="T2593" s="8" t="str">
        <f ca="1">IFERROR(__xludf.DUMMYFUNCTION("""COMPUTED_VALUE"""),"Inside School Building")</f>
        <v>Inside School Building</v>
      </c>
      <c r="U2593" s="8" t="str">
        <f ca="1">IFERROR(__xludf.DUMMYFUNCTION("""COMPUTED_VALUE"""),"Yes")</f>
        <v>Yes</v>
      </c>
      <c r="V2593" s="8" t="str">
        <f ca="1">IFERROR(__xludf.DUMMYFUNCTION("""COMPUTED_VALUE"""),"Lunch")</f>
        <v>Lunch</v>
      </c>
      <c r="W2593" s="11">
        <f ca="1">IFERROR(__xludf.DUMMYFUNCTION("""COMPUTED_VALUE"""),0.458333333333333)</f>
        <v>0.45833333333333298</v>
      </c>
      <c r="X2593" s="8">
        <f ca="1">IFERROR(__xludf.DUMMYFUNCTION("""COMPUTED_VALUE"""),1)</f>
        <v>1</v>
      </c>
      <c r="Y2593" s="12" t="str">
        <f ca="1">IFERROR(__xludf.DUMMYFUNCTION("""COMPUTED_VALUE"""),"Shots fired during fight")</f>
        <v>Shots fired during fight</v>
      </c>
      <c r="Z2593" s="12" t="str">
        <f ca="1">IFERROR(__xludf.DUMMYFUNCTION("""COMPUTED_VALUE"""),"Earlier that day, two 17 year-old male students bumped into one another, starting an all day feud. The dispute continued later in the day, when one of the students shot the other outside the cafeteria. The school has armed police officers assigned and met"&amp;"al detectors. The shooter fled the scene, and later turned himself in to the police.")</f>
        <v>Earlier that day, two 17 year-old male students bumped into one another, starting an all day feud. The dispute continued later in the day, when one of the students shot the other outside the cafeteria. The school has armed police officers assigned and metal detectors. The shooter fled the scene, and later turned himself in to the police.</v>
      </c>
      <c r="AA2593" s="8" t="str">
        <f ca="1">IFERROR(__xludf.DUMMYFUNCTION("""COMPUTED_VALUE"""),"Escalation of Dispute")</f>
        <v>Escalation of Dispute</v>
      </c>
      <c r="AB2593" s="8"/>
      <c r="AC2593" s="8"/>
      <c r="AD2593" s="8" t="str">
        <f ca="1">IFERROR(__xludf.DUMMYFUNCTION("""COMPUTED_VALUE"""),"Victims Targeted")</f>
        <v>Victims Targeted</v>
      </c>
      <c r="AE2593" s="8" t="str">
        <f ca="1">IFERROR(__xludf.DUMMYFUNCTION("""COMPUTED_VALUE"""),"No")</f>
        <v>No</v>
      </c>
      <c r="AF2593" s="8"/>
      <c r="AG2593" s="8" t="str">
        <f ca="1">IFERROR(__xludf.DUMMYFUNCTION("""COMPUTED_VALUE"""),"No")</f>
        <v>No</v>
      </c>
      <c r="AH2593" s="8" t="str">
        <f ca="1">IFERROR(__xludf.DUMMYFUNCTION("""COMPUTED_VALUE"""),"No")</f>
        <v>No</v>
      </c>
      <c r="AI2593" s="8" t="str">
        <f ca="1">IFERROR(__xludf.DUMMYFUNCTION("""COMPUTED_VALUE"""),"No")</f>
        <v>No</v>
      </c>
      <c r="AJ2593" s="8" t="str">
        <f ca="1">IFERROR(__xludf.DUMMYFUNCTION("""COMPUTED_VALUE"""),"No")</f>
        <v>No</v>
      </c>
      <c r="AK2593" s="8" t="str">
        <f ca="1">IFERROR(__xludf.DUMMYFUNCTION("""COMPUTED_VALUE"""),"No")</f>
        <v>No</v>
      </c>
      <c r="AL2593" s="8" t="str">
        <f ca="1">IFERROR(__xludf.DUMMYFUNCTION("""COMPUTED_VALUE"""),"No")</f>
        <v>No</v>
      </c>
      <c r="AM2593" s="8" t="str">
        <f ca="1">IFERROR(__xludf.DUMMYFUNCTION("""COMPUTED_VALUE"""),"No")</f>
        <v>No</v>
      </c>
      <c r="AN2593" s="8"/>
      <c r="AO2593" s="8" t="str">
        <f ca="1">IFERROR(__xludf.DUMMYFUNCTION("""COMPUTED_VALUE"""),"No")</f>
        <v>No</v>
      </c>
      <c r="AP2593" s="8" t="str">
        <f ca="1">IFERROR(__xludf.DUMMYFUNCTION("""COMPUTED_VALUE"""),"Yes")</f>
        <v>Yes</v>
      </c>
      <c r="AQ2593" s="8" t="str">
        <f ca="1">IFERROR(__xludf.DUMMYFUNCTION("""COMPUTED_VALUE"""),"Metal Detectors Bypassed; Armed Guards")</f>
        <v>Metal Detectors Bypassed; Armed Guards</v>
      </c>
      <c r="AR2593" s="8" t="str">
        <f ca="1">IFERROR(__xludf.DUMMYFUNCTION("""COMPUTED_VALUE"""),"Bypassed")</f>
        <v>Bypassed</v>
      </c>
      <c r="AS2593" s="8">
        <f ca="1">IFERROR(__xludf.DUMMYFUNCTION("""COMPUTED_VALUE"""),4)</f>
        <v>4</v>
      </c>
      <c r="AT2593" s="8"/>
      <c r="AU2593" s="8">
        <f ca="1">IFERROR(__xludf.DUMMYFUNCTION("""COMPUTED_VALUE"""),38.89026)</f>
        <v>38.890259999999998</v>
      </c>
      <c r="AV2593" s="8">
        <f ca="1">IFERROR(__xludf.DUMMYFUNCTION("""COMPUTED_VALUE"""),-76.979531)</f>
        <v>-76.979530999999994</v>
      </c>
      <c r="AW2593" s="8"/>
      <c r="AX2593" s="8">
        <f ca="1">IFERROR(__xludf.DUMMYFUNCTION("""COMPUTED_VALUE"""),20002)</f>
        <v>20002</v>
      </c>
    </row>
    <row r="2594" spans="1:50" ht="75" x14ac:dyDescent="0.2">
      <c r="A2594" s="8" t="str">
        <f ca="1">IFERROR(__xludf.DUMMYFUNCTION("""COMPUTED_VALUE"""),"19940303ALENB")</f>
        <v>19940303ALENB</v>
      </c>
      <c r="B2594" s="8">
        <f ca="1">IFERROR(__xludf.DUMMYFUNCTION("""COMPUTED_VALUE"""),3)</f>
        <v>3</v>
      </c>
      <c r="C2594" s="8">
        <f ca="1">IFERROR(__xludf.DUMMYFUNCTION("""COMPUTED_VALUE"""),3)</f>
        <v>3</v>
      </c>
      <c r="D2594" s="8">
        <f ca="1">IFERROR(__xludf.DUMMYFUNCTION("""COMPUTED_VALUE"""),1994)</f>
        <v>1994</v>
      </c>
      <c r="E2594" s="9">
        <f ca="1">IFERROR(__xludf.DUMMYFUNCTION("""COMPUTED_VALUE"""),34396)</f>
        <v>34396</v>
      </c>
      <c r="F2594" s="8" t="str">
        <f ca="1">IFERROR(__xludf.DUMMYFUNCTION("""COMPUTED_VALUE"""),"Ensley High School")</f>
        <v>Ensley High School</v>
      </c>
      <c r="G2594" s="8">
        <f ca="1">IFERROR(__xludf.DUMMYFUNCTION("""COMPUTED_VALUE"""),0)</f>
        <v>0</v>
      </c>
      <c r="H2594" s="8">
        <f ca="1">IFERROR(__xludf.DUMMYFUNCTION("""COMPUTED_VALUE"""),1)</f>
        <v>1</v>
      </c>
      <c r="I2594" s="8">
        <f ca="1">IFERROR(__xludf.DUMMYFUNCTION("""COMPUTED_VALUE"""),1)</f>
        <v>1</v>
      </c>
      <c r="J2594" s="8">
        <f ca="1">IFERROR(__xludf.DUMMYFUNCTION("""COMPUTED_VALUE"""),0)</f>
        <v>0</v>
      </c>
      <c r="K2594" s="8" t="str">
        <f ca="1">IFERROR(__xludf.DUMMYFUNCTION("""COMPUTED_VALUE"""),"https://www.newspapers.com/image/260120461/?terms=Ensley%2BHigh%2BSchool%2Bshooting http://www.columbine-angels.com/School_Violence_1993-1994.htm https://law.justia.com/cases/alabama/court-of-appeals-criminal/1998/cr-96-0667-0.html")</f>
        <v>https://www.newspapers.com/image/260120461/?terms=Ensley%2BHigh%2BSchool%2Bshooting http://www.columbine-angels.com/School_Violence_1993-1994.htm https://law.justia.com/cases/alabama/court-of-appeals-criminal/1998/cr-96-0667-0.html</v>
      </c>
      <c r="L2594" s="8"/>
      <c r="M2594" s="8"/>
      <c r="N2594" s="8">
        <f ca="1">IFERROR(__xludf.DUMMYFUNCTION("""COMPUTED_VALUE"""),2)</f>
        <v>2</v>
      </c>
      <c r="O2594" s="8" t="str">
        <f ca="1">IFERROR(__xludf.DUMMYFUNCTION("""COMPUTED_VALUE"""),"Spring")</f>
        <v>Spring</v>
      </c>
      <c r="P2594" s="8" t="str">
        <f ca="1">IFERROR(__xludf.DUMMYFUNCTION("""COMPUTED_VALUE"""),"Birmingham")</f>
        <v>Birmingham</v>
      </c>
      <c r="Q2594" s="8" t="str">
        <f ca="1">IFERROR(__xludf.DUMMYFUNCTION("""COMPUTED_VALUE"""),"AL")</f>
        <v>AL</v>
      </c>
      <c r="R2594" s="8" t="str">
        <f ca="1">IFERROR(__xludf.DUMMYFUNCTION("""COMPUTED_VALUE"""),"High")</f>
        <v>High</v>
      </c>
      <c r="S2594" s="8" t="str">
        <f ca="1">IFERROR(__xludf.DUMMYFUNCTION("""COMPUTED_VALUE"""),"Other")</f>
        <v>Other</v>
      </c>
      <c r="T2594" s="8" t="str">
        <f ca="1">IFERROR(__xludf.DUMMYFUNCTION("""COMPUTED_VALUE"""),"Inside School Building")</f>
        <v>Inside School Building</v>
      </c>
      <c r="U2594" s="8" t="str">
        <f ca="1">IFERROR(__xludf.DUMMYFUNCTION("""COMPUTED_VALUE"""),"Yes")</f>
        <v>Yes</v>
      </c>
      <c r="V2594" s="8" t="str">
        <f ca="1">IFERROR(__xludf.DUMMYFUNCTION("""COMPUTED_VALUE"""),"Lunch")</f>
        <v>Lunch</v>
      </c>
      <c r="W2594" s="8"/>
      <c r="X2594" s="8">
        <f ca="1">IFERROR(__xludf.DUMMYFUNCTION("""COMPUTED_VALUE"""),1)</f>
        <v>1</v>
      </c>
      <c r="Y2594" s="12" t="str">
        <f ca="1">IFERROR(__xludf.DUMMYFUNCTION("""COMPUTED_VALUE"""),"Fight between gang members near the band room.")</f>
        <v>Fight between gang members near the band room.</v>
      </c>
      <c r="Z2594" s="12" t="str">
        <f ca="1">IFERROR(__xludf.DUMMYFUNCTION("""COMPUTED_VALUE"""),"A 15 year-old male of the Crips gang and a 17 year-old male of the Disciples gang got into a fight the day before the shooting. During the school's lunch period, the 17 year-old approached the 15 year-old victim and shot him in the chest outside the schoo"&amp;"l's band room.")</f>
        <v>A 15 year-old male of the Crips gang and a 17 year-old male of the Disciples gang got into a fight the day before the shooting. During the school's lunch period, the 17 year-old approached the 15 year-old victim and shot him in the chest outside the school's band room.</v>
      </c>
      <c r="AA2594" s="8" t="str">
        <f ca="1">IFERROR(__xludf.DUMMYFUNCTION("""COMPUTED_VALUE"""),"Escalation of Dispute")</f>
        <v>Escalation of Dispute</v>
      </c>
      <c r="AB2594" s="8"/>
      <c r="AC2594" s="8"/>
      <c r="AD2594" s="8" t="str">
        <f ca="1">IFERROR(__xludf.DUMMYFUNCTION("""COMPUTED_VALUE"""),"Victims Targeted")</f>
        <v>Victims Targeted</v>
      </c>
      <c r="AE2594" s="8" t="str">
        <f ca="1">IFERROR(__xludf.DUMMYFUNCTION("""COMPUTED_VALUE"""),"No")</f>
        <v>No</v>
      </c>
      <c r="AF2594" s="8"/>
      <c r="AG2594" s="8" t="str">
        <f ca="1">IFERROR(__xludf.DUMMYFUNCTION("""COMPUTED_VALUE"""),"No")</f>
        <v>No</v>
      </c>
      <c r="AH2594" s="8" t="str">
        <f ca="1">IFERROR(__xludf.DUMMYFUNCTION("""COMPUTED_VALUE"""),"No")</f>
        <v>No</v>
      </c>
      <c r="AI2594" s="8" t="str">
        <f ca="1">IFERROR(__xludf.DUMMYFUNCTION("""COMPUTED_VALUE"""),"No")</f>
        <v>No</v>
      </c>
      <c r="AJ2594" s="8" t="str">
        <f ca="1">IFERROR(__xludf.DUMMYFUNCTION("""COMPUTED_VALUE"""),"No")</f>
        <v>No</v>
      </c>
      <c r="AK2594" s="8" t="str">
        <f ca="1">IFERROR(__xludf.DUMMYFUNCTION("""COMPUTED_VALUE"""),"No")</f>
        <v>No</v>
      </c>
      <c r="AL2594" s="8" t="str">
        <f ca="1">IFERROR(__xludf.DUMMYFUNCTION("""COMPUTED_VALUE"""),"Yes")</f>
        <v>Yes</v>
      </c>
      <c r="AM2594" s="8"/>
      <c r="AN2594" s="8"/>
      <c r="AO2594" s="8" t="str">
        <f ca="1">IFERROR(__xludf.DUMMYFUNCTION("""COMPUTED_VALUE"""),"No")</f>
        <v>No</v>
      </c>
      <c r="AP2594" s="8"/>
      <c r="AQ2594" s="8" t="str">
        <f ca="1">IFERROR(__xludf.DUMMYFUNCTION("""COMPUTED_VALUE"""),"Unknown")</f>
        <v>Unknown</v>
      </c>
      <c r="AR2594" s="8" t="str">
        <f ca="1">IFERROR(__xludf.DUMMYFUNCTION("""COMPUTED_VALUE"""),"NA")</f>
        <v>NA</v>
      </c>
      <c r="AS2594" s="8"/>
      <c r="AT2594" s="8"/>
      <c r="AU2594" s="8">
        <f ca="1">IFERROR(__xludf.DUMMYFUNCTION("""COMPUTED_VALUE"""),33.506261)</f>
        <v>33.506261000000002</v>
      </c>
      <c r="AV2594" s="8">
        <f ca="1">IFERROR(__xludf.DUMMYFUNCTION("""COMPUTED_VALUE"""),-86.894263)</f>
        <v>-86.894262999999995</v>
      </c>
      <c r="AW2594" s="8"/>
      <c r="AX2594" s="8">
        <f ca="1">IFERROR(__xludf.DUMMYFUNCTION("""COMPUTED_VALUE"""),35218)</f>
        <v>35218</v>
      </c>
    </row>
    <row r="2595" spans="1:50" ht="105" x14ac:dyDescent="0.2">
      <c r="A2595" s="8" t="str">
        <f ca="1">IFERROR(__xludf.DUMMYFUNCTION("""COMPUTED_VALUE"""),"19940301MOKEB")</f>
        <v>19940301MOKEB</v>
      </c>
      <c r="B2595" s="8">
        <f ca="1">IFERROR(__xludf.DUMMYFUNCTION("""COMPUTED_VALUE"""),3)</f>
        <v>3</v>
      </c>
      <c r="C2595" s="8">
        <f ca="1">IFERROR(__xludf.DUMMYFUNCTION("""COMPUTED_VALUE"""),1)</f>
        <v>1</v>
      </c>
      <c r="D2595" s="8">
        <f ca="1">IFERROR(__xludf.DUMMYFUNCTION("""COMPUTED_VALUE"""),1994)</f>
        <v>1994</v>
      </c>
      <c r="E2595" s="9">
        <f ca="1">IFERROR(__xludf.DUMMYFUNCTION("""COMPUTED_VALUE"""),34394)</f>
        <v>34394</v>
      </c>
      <c r="F2595" s="8" t="str">
        <f ca="1">IFERROR(__xludf.DUMMYFUNCTION("""COMPUTED_VALUE"""),"Kemper Military School and College")</f>
        <v>Kemper Military School and College</v>
      </c>
      <c r="G2595" s="8">
        <f ca="1">IFERROR(__xludf.DUMMYFUNCTION("""COMPUTED_VALUE"""),2)</f>
        <v>2</v>
      </c>
      <c r="H2595" s="8">
        <f ca="1">IFERROR(__xludf.DUMMYFUNCTION("""COMPUTED_VALUE"""),0)</f>
        <v>0</v>
      </c>
      <c r="I2595" s="8">
        <f ca="1">IFERROR(__xludf.DUMMYFUNCTION("""COMPUTED_VALUE"""),2)</f>
        <v>2</v>
      </c>
      <c r="J2595" s="8">
        <f ca="1">IFERROR(__xludf.DUMMYFUNCTION("""COMPUTED_VALUE"""),0)</f>
        <v>0</v>
      </c>
      <c r="K2595" s="8" t="str">
        <f ca="1">IFERROR(__xludf.DUMMYFUNCTION("""COMPUTED_VALUE"""),"https://www.deseretnews.com/article/339317/GUNMAN-KILLS-2-AT-MISSOURI-MILITARY-SCHOOL.html https://apnews.com/5202b17802cd8ff336ef861b452a77e8 https://www.rapsheetz.com/missouri/doc-prisoner/Hayes_Dante/507510")</f>
        <v>https://www.deseretnews.com/article/339317/GUNMAN-KILLS-2-AT-MISSOURI-MILITARY-SCHOOL.html https://apnews.com/5202b17802cd8ff336ef861b452a77e8 https://www.rapsheetz.com/missouri/doc-prisoner/Hayes_Dante/507510</v>
      </c>
      <c r="L2595" s="8"/>
      <c r="M2595" s="8"/>
      <c r="N2595" s="8">
        <f ca="1">IFERROR(__xludf.DUMMYFUNCTION("""COMPUTED_VALUE"""),2)</f>
        <v>2</v>
      </c>
      <c r="O2595" s="8" t="str">
        <f ca="1">IFERROR(__xludf.DUMMYFUNCTION("""COMPUTED_VALUE"""),"Spring")</f>
        <v>Spring</v>
      </c>
      <c r="P2595" s="8" t="str">
        <f ca="1">IFERROR(__xludf.DUMMYFUNCTION("""COMPUTED_VALUE"""),"Boonville")</f>
        <v>Boonville</v>
      </c>
      <c r="Q2595" s="8" t="str">
        <f ca="1">IFERROR(__xludf.DUMMYFUNCTION("""COMPUTED_VALUE"""),"MO")</f>
        <v>MO</v>
      </c>
      <c r="R2595" s="8" t="str">
        <f ca="1">IFERROR(__xludf.DUMMYFUNCTION("""COMPUTED_VALUE"""),"Other")</f>
        <v>Other</v>
      </c>
      <c r="S2595" s="8" t="str">
        <f ca="1">IFERROR(__xludf.DUMMYFUNCTION("""COMPUTED_VALUE"""),"Cafeteria")</f>
        <v>Cafeteria</v>
      </c>
      <c r="T2595" s="8" t="str">
        <f ca="1">IFERROR(__xludf.DUMMYFUNCTION("""COMPUTED_VALUE"""),"Inside School Building")</f>
        <v>Inside School Building</v>
      </c>
      <c r="U2595" s="8" t="str">
        <f ca="1">IFERROR(__xludf.DUMMYFUNCTION("""COMPUTED_VALUE"""),"Yes")</f>
        <v>Yes</v>
      </c>
      <c r="V2595" s="8" t="str">
        <f ca="1">IFERROR(__xludf.DUMMYFUNCTION("""COMPUTED_VALUE"""),"Morning Classes")</f>
        <v>Morning Classes</v>
      </c>
      <c r="W2595" s="11">
        <f ca="1">IFERROR(__xludf.DUMMYFUNCTION("""COMPUTED_VALUE"""),0.375)</f>
        <v>0.375</v>
      </c>
      <c r="X2595" s="8"/>
      <c r="Y2595" s="12" t="str">
        <f ca="1">IFERROR(__xludf.DUMMYFUNCTION("""COMPUTED_VALUE"""),"Drunk, looking for ex-wife")</f>
        <v>Drunk, looking for ex-wife</v>
      </c>
      <c r="Z2595" s="12" t="str">
        <f ca="1">IFERROR(__xludf.DUMMYFUNCTION("""COMPUTED_VALUE"""),"33 year-old male shooter had been drinking heavily the night prior. He walked into the school cafeteria with a shotgun before the school day looking for his ex-wife. He shot and killed two school cafeteria employees. He went to a nearby apartment building"&amp;" and took two teenagers as hostages before later surrendering to police after hours of negotiation.")</f>
        <v>33 year-old male shooter had been drinking heavily the night prior. He walked into the school cafeteria with a shotgun before the school day looking for his ex-wife. He shot and killed two school cafeteria employees. He went to a nearby apartment building and took two teenagers as hostages before later surrendering to police after hours of negotiation.</v>
      </c>
      <c r="AA2595" s="8" t="str">
        <f ca="1">IFERROR(__xludf.DUMMYFUNCTION("""COMPUTED_VALUE"""),"Domestic w/ Targeted Victim")</f>
        <v>Domestic w/ Targeted Victim</v>
      </c>
      <c r="AB2595" s="8"/>
      <c r="AC2595" s="8" t="str">
        <f ca="1">IFERROR(__xludf.DUMMYFUNCTION("""COMPUTED_VALUE"""),"Yes")</f>
        <v>Yes</v>
      </c>
      <c r="AD2595" s="8" t="str">
        <f ca="1">IFERROR(__xludf.DUMMYFUNCTION("""COMPUTED_VALUE"""),"Both")</f>
        <v>Both</v>
      </c>
      <c r="AE2595" s="8" t="str">
        <f ca="1">IFERROR(__xludf.DUMMYFUNCTION("""COMPUTED_VALUE"""),"No")</f>
        <v>No</v>
      </c>
      <c r="AF2595" s="8"/>
      <c r="AG2595" s="8" t="str">
        <f ca="1">IFERROR(__xludf.DUMMYFUNCTION("""COMPUTED_VALUE"""),"Yes")</f>
        <v>Yes</v>
      </c>
      <c r="AH2595" s="8" t="str">
        <f ca="1">IFERROR(__xludf.DUMMYFUNCTION("""COMPUTED_VALUE"""),"No")</f>
        <v>No</v>
      </c>
      <c r="AI2595" s="8" t="str">
        <f ca="1">IFERROR(__xludf.DUMMYFUNCTION("""COMPUTED_VALUE"""),"No")</f>
        <v>No</v>
      </c>
      <c r="AJ2595" s="8" t="str">
        <f ca="1">IFERROR(__xludf.DUMMYFUNCTION("""COMPUTED_VALUE"""),"No")</f>
        <v>No</v>
      </c>
      <c r="AK2595" s="8" t="str">
        <f ca="1">IFERROR(__xludf.DUMMYFUNCTION("""COMPUTED_VALUE"""),"Yes")</f>
        <v>Yes</v>
      </c>
      <c r="AL2595" s="8" t="str">
        <f ca="1">IFERROR(__xludf.DUMMYFUNCTION("""COMPUTED_VALUE"""),"No")</f>
        <v>No</v>
      </c>
      <c r="AM2595" s="8" t="str">
        <f ca="1">IFERROR(__xludf.DUMMYFUNCTION("""COMPUTED_VALUE"""),"Yes")</f>
        <v>Yes</v>
      </c>
      <c r="AN2595" s="8" t="str">
        <f ca="1">IFERROR(__xludf.DUMMYFUNCTION("""COMPUTED_VALUE"""),"Single Room")</f>
        <v>Single Room</v>
      </c>
      <c r="AO2595" s="8" t="str">
        <f ca="1">IFERROR(__xludf.DUMMYFUNCTION("""COMPUTED_VALUE"""),"No")</f>
        <v>No</v>
      </c>
      <c r="AP2595" s="8"/>
      <c r="AQ2595" s="8" t="str">
        <f ca="1">IFERROR(__xludf.DUMMYFUNCTION("""COMPUTED_VALUE"""),"Unknown")</f>
        <v>Unknown</v>
      </c>
      <c r="AR2595" s="8" t="str">
        <f ca="1">IFERROR(__xludf.DUMMYFUNCTION("""COMPUTED_VALUE"""),"NA")</f>
        <v>NA</v>
      </c>
      <c r="AS2595" s="8"/>
      <c r="AT2595" s="8"/>
      <c r="AU2595" s="8">
        <f ca="1">IFERROR(__xludf.DUMMYFUNCTION("""COMPUTED_VALUE"""),38.971509)</f>
        <v>38.971508999999998</v>
      </c>
      <c r="AV2595" s="8">
        <f ca="1">IFERROR(__xludf.DUMMYFUNCTION("""COMPUTED_VALUE"""),-92.746332)</f>
        <v>-92.746331999999995</v>
      </c>
      <c r="AW2595" s="8"/>
      <c r="AX2595" s="8">
        <f ca="1">IFERROR(__xludf.DUMMYFUNCTION("""COMPUTED_VALUE"""),65233)</f>
        <v>65233</v>
      </c>
    </row>
    <row r="2596" spans="1:50" ht="75" x14ac:dyDescent="0.2">
      <c r="A2596" s="8" t="str">
        <f ca="1">IFERROR(__xludf.DUMMYFUNCTION("""COMPUTED_VALUE"""),"19940218SCSPS")</f>
        <v>19940218SCSPS</v>
      </c>
      <c r="B2596" s="8">
        <f ca="1">IFERROR(__xludf.DUMMYFUNCTION("""COMPUTED_VALUE"""),2)</f>
        <v>2</v>
      </c>
      <c r="C2596" s="8">
        <f ca="1">IFERROR(__xludf.DUMMYFUNCTION("""COMPUTED_VALUE"""),18)</f>
        <v>18</v>
      </c>
      <c r="D2596" s="8">
        <f ca="1">IFERROR(__xludf.DUMMYFUNCTION("""COMPUTED_VALUE"""),1994)</f>
        <v>1994</v>
      </c>
      <c r="E2596" s="9">
        <f ca="1">IFERROR(__xludf.DUMMYFUNCTION("""COMPUTED_VALUE"""),34383)</f>
        <v>34383</v>
      </c>
      <c r="F2596" s="8" t="str">
        <f ca="1">IFERROR(__xludf.DUMMYFUNCTION("""COMPUTED_VALUE"""),"Spartanburg High School")</f>
        <v>Spartanburg High School</v>
      </c>
      <c r="G2596" s="8">
        <f ca="1">IFERROR(__xludf.DUMMYFUNCTION("""COMPUTED_VALUE"""),0)</f>
        <v>0</v>
      </c>
      <c r="H2596" s="8">
        <f ca="1">IFERROR(__xludf.DUMMYFUNCTION("""COMPUTED_VALUE"""),1)</f>
        <v>1</v>
      </c>
      <c r="I2596" s="8">
        <f ca="1">IFERROR(__xludf.DUMMYFUNCTION("""COMPUTED_VALUE"""),1)</f>
        <v>1</v>
      </c>
      <c r="J2596" s="8">
        <f ca="1">IFERROR(__xludf.DUMMYFUNCTION("""COMPUTED_VALUE"""),0)</f>
        <v>0</v>
      </c>
      <c r="K2596" s="10" t="str">
        <f ca="1">IFERROR(__xludf.DUMMYFUNCTION("""COMPUTED_VALUE"""),"http://www.goupstate.com/article/NC/19940219/News/605198620/SJ/")</f>
        <v>http://www.goupstate.com/article/NC/19940219/News/605198620/SJ/</v>
      </c>
      <c r="L2596" s="8"/>
      <c r="M2596" s="8"/>
      <c r="N2596" s="8">
        <f ca="1">IFERROR(__xludf.DUMMYFUNCTION("""COMPUTED_VALUE"""),2)</f>
        <v>2</v>
      </c>
      <c r="O2596" s="8" t="str">
        <f ca="1">IFERROR(__xludf.DUMMYFUNCTION("""COMPUTED_VALUE"""),"Winter")</f>
        <v>Winter</v>
      </c>
      <c r="P2596" s="8" t="str">
        <f ca="1">IFERROR(__xludf.DUMMYFUNCTION("""COMPUTED_VALUE"""),"Spartanburg")</f>
        <v>Spartanburg</v>
      </c>
      <c r="Q2596" s="8" t="str">
        <f ca="1">IFERROR(__xludf.DUMMYFUNCTION("""COMPUTED_VALUE"""),"SC")</f>
        <v>SC</v>
      </c>
      <c r="R2596" s="8" t="str">
        <f ca="1">IFERROR(__xludf.DUMMYFUNCTION("""COMPUTED_VALUE"""),"High")</f>
        <v>High</v>
      </c>
      <c r="S2596" s="8" t="str">
        <f ca="1">IFERROR(__xludf.DUMMYFUNCTION("""COMPUTED_VALUE"""),"Parking Lot")</f>
        <v>Parking Lot</v>
      </c>
      <c r="T2596" s="8" t="str">
        <f ca="1">IFERROR(__xludf.DUMMYFUNCTION("""COMPUTED_VALUE"""),"Outside on School Property")</f>
        <v>Outside on School Property</v>
      </c>
      <c r="U2596" s="8" t="str">
        <f ca="1">IFERROR(__xludf.DUMMYFUNCTION("""COMPUTED_VALUE"""),"No")</f>
        <v>No</v>
      </c>
      <c r="V2596" s="8" t="str">
        <f ca="1">IFERROR(__xludf.DUMMYFUNCTION("""COMPUTED_VALUE"""),"Sport Event")</f>
        <v>Sport Event</v>
      </c>
      <c r="W2596" s="11">
        <f ca="1">IFERROR(__xludf.DUMMYFUNCTION("""COMPUTED_VALUE"""),0.916666666666666)</f>
        <v>0.91666666666666596</v>
      </c>
      <c r="X2596" s="8">
        <f ca="1">IFERROR(__xludf.DUMMYFUNCTION("""COMPUTED_VALUE"""),1)</f>
        <v>1</v>
      </c>
      <c r="Y2596" s="12" t="str">
        <f ca="1">IFERROR(__xludf.DUMMYFUNCTION("""COMPUTED_VALUE"""),"Drive-by after basketball game")</f>
        <v>Drive-by after basketball game</v>
      </c>
      <c r="Z2596" s="12" t="str">
        <f ca="1">IFERROR(__xludf.DUMMYFUNCTION("""COMPUTED_VALUE"""),"Shooter in a pick-up drove up to a group of students leaving a basketball game. After a verbal altercation, the shooter fired a 9mm handgun at the students, striking one of them in the leg. The shooter struck a pole leaving the parking lot and was apprehe"&amp;"nded by police in a nearby field.")</f>
        <v>Shooter in a pick-up drove up to a group of students leaving a basketball game. After a verbal altercation, the shooter fired a 9mm handgun at the students, striking one of them in the leg. The shooter struck a pole leaving the parking lot and was apprehended by police in a nearby field.</v>
      </c>
      <c r="AA2596" s="8" t="str">
        <f ca="1">IFERROR(__xludf.DUMMYFUNCTION("""COMPUTED_VALUE"""),"Drive-by Shooting")</f>
        <v>Drive-by Shooting</v>
      </c>
      <c r="AB2596" s="8"/>
      <c r="AC2596" s="8"/>
      <c r="AD2596" s="8" t="str">
        <f ca="1">IFERROR(__xludf.DUMMYFUNCTION("""COMPUTED_VALUE"""),"Victims Targeted")</f>
        <v>Victims Targeted</v>
      </c>
      <c r="AE2596" s="8" t="str">
        <f ca="1">IFERROR(__xludf.DUMMYFUNCTION("""COMPUTED_VALUE"""),"No")</f>
        <v>No</v>
      </c>
      <c r="AF2596" s="8"/>
      <c r="AG2596" s="8" t="str">
        <f ca="1">IFERROR(__xludf.DUMMYFUNCTION("""COMPUTED_VALUE"""),"No")</f>
        <v>No</v>
      </c>
      <c r="AH2596" s="8" t="str">
        <f ca="1">IFERROR(__xludf.DUMMYFUNCTION("""COMPUTED_VALUE"""),"No")</f>
        <v>No</v>
      </c>
      <c r="AI2596" s="8" t="str">
        <f ca="1">IFERROR(__xludf.DUMMYFUNCTION("""COMPUTED_VALUE"""),"No")</f>
        <v>No</v>
      </c>
      <c r="AJ2596" s="8" t="str">
        <f ca="1">IFERROR(__xludf.DUMMYFUNCTION("""COMPUTED_VALUE"""),"No")</f>
        <v>No</v>
      </c>
      <c r="AK2596" s="8" t="str">
        <f ca="1">IFERROR(__xludf.DUMMYFUNCTION("""COMPUTED_VALUE"""),"No")</f>
        <v>No</v>
      </c>
      <c r="AL2596" s="8" t="str">
        <f ca="1">IFERROR(__xludf.DUMMYFUNCTION("""COMPUTED_VALUE"""),"No")</f>
        <v>No</v>
      </c>
      <c r="AM2596" s="8"/>
      <c r="AN2596" s="8"/>
      <c r="AO2596" s="8" t="str">
        <f ca="1">IFERROR(__xludf.DUMMYFUNCTION("""COMPUTED_VALUE"""),"No")</f>
        <v>No</v>
      </c>
      <c r="AP2596" s="8"/>
      <c r="AQ2596" s="8" t="str">
        <f ca="1">IFERROR(__xludf.DUMMYFUNCTION("""COMPUTED_VALUE"""),"Unknown")</f>
        <v>Unknown</v>
      </c>
      <c r="AR2596" s="8" t="str">
        <f ca="1">IFERROR(__xludf.DUMMYFUNCTION("""COMPUTED_VALUE"""),"NA")</f>
        <v>NA</v>
      </c>
      <c r="AS2596" s="8"/>
      <c r="AT2596" s="8"/>
      <c r="AU2596" s="8">
        <f ca="1">IFERROR(__xludf.DUMMYFUNCTION("""COMPUTED_VALUE"""),34.979119)</f>
        <v>34.979118999999997</v>
      </c>
      <c r="AV2596" s="8">
        <f ca="1">IFERROR(__xludf.DUMMYFUNCTION("""COMPUTED_VALUE"""),-81.87903)</f>
        <v>-81.87903</v>
      </c>
      <c r="AW2596" s="8"/>
      <c r="AX2596" s="8">
        <f ca="1">IFERROR(__xludf.DUMMYFUNCTION("""COMPUTED_VALUE"""),29307)</f>
        <v>29307</v>
      </c>
    </row>
    <row r="2597" spans="1:50" ht="45" x14ac:dyDescent="0.2">
      <c r="A2597" s="8" t="str">
        <f ca="1">IFERROR(__xludf.DUMMYFUNCTION("""COMPUTED_VALUE"""),"19940208MIOSD")</f>
        <v>19940208MIOSD</v>
      </c>
      <c r="B2597" s="8">
        <f ca="1">IFERROR(__xludf.DUMMYFUNCTION("""COMPUTED_VALUE"""),2)</f>
        <v>2</v>
      </c>
      <c r="C2597" s="8">
        <f ca="1">IFERROR(__xludf.DUMMYFUNCTION("""COMPUTED_VALUE"""),8)</f>
        <v>8</v>
      </c>
      <c r="D2597" s="8">
        <f ca="1">IFERROR(__xludf.DUMMYFUNCTION("""COMPUTED_VALUE"""),1994)</f>
        <v>1994</v>
      </c>
      <c r="E2597" s="9">
        <f ca="1">IFERROR(__xludf.DUMMYFUNCTION("""COMPUTED_VALUE"""),34373)</f>
        <v>34373</v>
      </c>
      <c r="F2597" s="8" t="str">
        <f ca="1">IFERROR(__xludf.DUMMYFUNCTION("""COMPUTED_VALUE"""),"Osborn High School")</f>
        <v>Osborn High School</v>
      </c>
      <c r="G2597" s="8">
        <f ca="1">IFERROR(__xludf.DUMMYFUNCTION("""COMPUTED_VALUE"""),1)</f>
        <v>1</v>
      </c>
      <c r="H2597" s="8">
        <f ca="1">IFERROR(__xludf.DUMMYFUNCTION("""COMPUTED_VALUE"""),0)</f>
        <v>0</v>
      </c>
      <c r="I2597" s="8">
        <f ca="1">IFERROR(__xludf.DUMMYFUNCTION("""COMPUTED_VALUE"""),1)</f>
        <v>1</v>
      </c>
      <c r="J2597" s="8">
        <f ca="1">IFERROR(__xludf.DUMMYFUNCTION("""COMPUTED_VALUE"""),0)</f>
        <v>0</v>
      </c>
      <c r="K2597" s="8" t="str">
        <f ca="1">IFERROR(__xludf.DUMMYFUNCTION("""COMPUTED_VALUE"""),"https://www.newspapers.com/image/97831665/?terms=Steven%2BWatkins http://www.columbine-angels.com/School_Violence_1993-1994.htm")</f>
        <v>https://www.newspapers.com/image/97831665/?terms=Steven%2BWatkins http://www.columbine-angels.com/School_Violence_1993-1994.htm</v>
      </c>
      <c r="L2597" s="8"/>
      <c r="M2597" s="8"/>
      <c r="N2597" s="8">
        <f ca="1">IFERROR(__xludf.DUMMYFUNCTION("""COMPUTED_VALUE"""),2)</f>
        <v>2</v>
      </c>
      <c r="O2597" s="8" t="str">
        <f ca="1">IFERROR(__xludf.DUMMYFUNCTION("""COMPUTED_VALUE"""),"Winter")</f>
        <v>Winter</v>
      </c>
      <c r="P2597" s="8" t="str">
        <f ca="1">IFERROR(__xludf.DUMMYFUNCTION("""COMPUTED_VALUE"""),"Detroit")</f>
        <v>Detroit</v>
      </c>
      <c r="Q2597" s="8" t="str">
        <f ca="1">IFERROR(__xludf.DUMMYFUNCTION("""COMPUTED_VALUE"""),"MI")</f>
        <v>MI</v>
      </c>
      <c r="R2597" s="8" t="str">
        <f ca="1">IFERROR(__xludf.DUMMYFUNCTION("""COMPUTED_VALUE"""),"High")</f>
        <v>High</v>
      </c>
      <c r="S2597" s="8" t="str">
        <f ca="1">IFERROR(__xludf.DUMMYFUNCTION("""COMPUTED_VALUE"""),"Parking Lot")</f>
        <v>Parking Lot</v>
      </c>
      <c r="T2597" s="8" t="str">
        <f ca="1">IFERROR(__xludf.DUMMYFUNCTION("""COMPUTED_VALUE"""),"Outside on School Property")</f>
        <v>Outside on School Property</v>
      </c>
      <c r="U2597" s="8" t="str">
        <f ca="1">IFERROR(__xludf.DUMMYFUNCTION("""COMPUTED_VALUE"""),"Yes")</f>
        <v>Yes</v>
      </c>
      <c r="V2597" s="8"/>
      <c r="W2597" s="8"/>
      <c r="X2597" s="8">
        <f ca="1">IFERROR(__xludf.DUMMYFUNCTION("""COMPUTED_VALUE"""),1)</f>
        <v>1</v>
      </c>
      <c r="Y2597" s="12" t="str">
        <f ca="1">IFERROR(__xludf.DUMMYFUNCTION("""COMPUTED_VALUE"""),"Special ed student shot in parking lot")</f>
        <v>Special ed student shot in parking lot</v>
      </c>
      <c r="Z2597" s="12" t="str">
        <f ca="1">IFERROR(__xludf.DUMMYFUNCTION("""COMPUTED_VALUE"""),"A well-liked, special education student was shot in his car in the parking lot by an unknown gunman. No motive or suspect.")</f>
        <v>A well-liked, special education student was shot in his car in the parking lot by an unknown gunman. No motive or suspect.</v>
      </c>
      <c r="AA2597" s="8" t="str">
        <f ca="1">IFERROR(__xludf.DUMMYFUNCTION("""COMPUTED_VALUE"""),"Unknown")</f>
        <v>Unknown</v>
      </c>
      <c r="AB2597" s="8"/>
      <c r="AC2597" s="8"/>
      <c r="AD2597" s="8"/>
      <c r="AE2597" s="8" t="str">
        <f ca="1">IFERROR(__xludf.DUMMYFUNCTION("""COMPUTED_VALUE"""),"No")</f>
        <v>No</v>
      </c>
      <c r="AF2597" s="8"/>
      <c r="AG2597" s="8" t="str">
        <f ca="1">IFERROR(__xludf.DUMMYFUNCTION("""COMPUTED_VALUE"""),"No")</f>
        <v>No</v>
      </c>
      <c r="AH2597" s="8" t="str">
        <f ca="1">IFERROR(__xludf.DUMMYFUNCTION("""COMPUTED_VALUE"""),"No")</f>
        <v>No</v>
      </c>
      <c r="AI2597" s="8" t="str">
        <f ca="1">IFERROR(__xludf.DUMMYFUNCTION("""COMPUTED_VALUE"""),"No")</f>
        <v>No</v>
      </c>
      <c r="AJ2597" s="8" t="str">
        <f ca="1">IFERROR(__xludf.DUMMYFUNCTION("""COMPUTED_VALUE"""),"No")</f>
        <v>No</v>
      </c>
      <c r="AK2597" s="8" t="str">
        <f ca="1">IFERROR(__xludf.DUMMYFUNCTION("""COMPUTED_VALUE"""),"No")</f>
        <v>No</v>
      </c>
      <c r="AL2597" s="8" t="str">
        <f ca="1">IFERROR(__xludf.DUMMYFUNCTION("""COMPUTED_VALUE"""),"No")</f>
        <v>No</v>
      </c>
      <c r="AM2597" s="8"/>
      <c r="AN2597" s="8"/>
      <c r="AO2597" s="8" t="str">
        <f ca="1">IFERROR(__xludf.DUMMYFUNCTION("""COMPUTED_VALUE"""),"No")</f>
        <v>No</v>
      </c>
      <c r="AP2597" s="8"/>
      <c r="AQ2597" s="8" t="str">
        <f ca="1">IFERROR(__xludf.DUMMYFUNCTION("""COMPUTED_VALUE"""),"Unknown")</f>
        <v>Unknown</v>
      </c>
      <c r="AR2597" s="8" t="str">
        <f ca="1">IFERROR(__xludf.DUMMYFUNCTION("""COMPUTED_VALUE"""),"NA")</f>
        <v>NA</v>
      </c>
      <c r="AS2597" s="8"/>
      <c r="AT2597" s="8"/>
      <c r="AU2597" s="8">
        <f ca="1">IFERROR(__xludf.DUMMYFUNCTION("""COMPUTED_VALUE"""),42.434022)</f>
        <v>42.434021999999999</v>
      </c>
      <c r="AV2597" s="8">
        <f ca="1">IFERROR(__xludf.DUMMYFUNCTION("""COMPUTED_VALUE"""),-83.002744)</f>
        <v>-83.002744000000007</v>
      </c>
      <c r="AW2597" s="8"/>
      <c r="AX2597" s="8">
        <f ca="1">IFERROR(__xludf.DUMMYFUNCTION("""COMPUTED_VALUE"""),48282)</f>
        <v>48282</v>
      </c>
    </row>
    <row r="2598" spans="1:50" ht="90" x14ac:dyDescent="0.2">
      <c r="A2598" s="8" t="str">
        <f ca="1">IFERROR(__xludf.DUMMYFUNCTION("""COMPUTED_VALUE"""),"19940131WAWHS")</f>
        <v>19940131WAWHS</v>
      </c>
      <c r="B2598" s="8">
        <f ca="1">IFERROR(__xludf.DUMMYFUNCTION("""COMPUTED_VALUE"""),1)</f>
        <v>1</v>
      </c>
      <c r="C2598" s="8">
        <f ca="1">IFERROR(__xludf.DUMMYFUNCTION("""COMPUTED_VALUE"""),31)</f>
        <v>31</v>
      </c>
      <c r="D2598" s="8">
        <f ca="1">IFERROR(__xludf.DUMMYFUNCTION("""COMPUTED_VALUE"""),1994)</f>
        <v>1994</v>
      </c>
      <c r="E2598" s="9">
        <f ca="1">IFERROR(__xludf.DUMMYFUNCTION("""COMPUTED_VALUE"""),34365)</f>
        <v>34365</v>
      </c>
      <c r="F2598" s="8" t="str">
        <f ca="1">IFERROR(__xludf.DUMMYFUNCTION("""COMPUTED_VALUE"""),"Whitman Middle School")</f>
        <v>Whitman Middle School</v>
      </c>
      <c r="G2598" s="8">
        <f ca="1">IFERROR(__xludf.DUMMYFUNCTION("""COMPUTED_VALUE"""),1)</f>
        <v>1</v>
      </c>
      <c r="H2598" s="8">
        <f ca="1">IFERROR(__xludf.DUMMYFUNCTION("""COMPUTED_VALUE"""),0)</f>
        <v>0</v>
      </c>
      <c r="I2598" s="8">
        <f ca="1">IFERROR(__xludf.DUMMYFUNCTION("""COMPUTED_VALUE"""),1)</f>
        <v>1</v>
      </c>
      <c r="J2598" s="8">
        <f ca="1">IFERROR(__xludf.DUMMYFUNCTION("""COMPUTED_VALUE"""),0)</f>
        <v>0</v>
      </c>
      <c r="K2598" s="8" t="str">
        <f ca="1">IFERROR(__xludf.DUMMYFUNCTION("""COMPUTED_VALUE"""),"https://www.seattletimes.com/seattle-news/crime/abuse-victim-who-killed-seattle-teacher-in-1994-now-charged-with-killing-girlfriend-in-spokane/ https://archive.seattletimes.com/archive/?date=19940131&amp;slug=1892799")</f>
        <v>https://www.seattletimes.com/seattle-news/crime/abuse-victim-who-killed-seattle-teacher-in-1994-now-charged-with-killing-girlfriend-in-spokane/ https://archive.seattletimes.com/archive/?date=19940131&amp;slug=1892799</v>
      </c>
      <c r="L2598" s="8"/>
      <c r="M2598" s="8"/>
      <c r="N2598" s="8">
        <f ca="1">IFERROR(__xludf.DUMMYFUNCTION("""COMPUTED_VALUE"""),2)</f>
        <v>2</v>
      </c>
      <c r="O2598" s="8" t="str">
        <f ca="1">IFERROR(__xludf.DUMMYFUNCTION("""COMPUTED_VALUE"""),"Winter")</f>
        <v>Winter</v>
      </c>
      <c r="P2598" s="8" t="str">
        <f ca="1">IFERROR(__xludf.DUMMYFUNCTION("""COMPUTED_VALUE"""),"Seattle")</f>
        <v>Seattle</v>
      </c>
      <c r="Q2598" s="8" t="str">
        <f ca="1">IFERROR(__xludf.DUMMYFUNCTION("""COMPUTED_VALUE"""),"WA")</f>
        <v>WA</v>
      </c>
      <c r="R2598" s="8" t="str">
        <f ca="1">IFERROR(__xludf.DUMMYFUNCTION("""COMPUTED_VALUE"""),"Middle")</f>
        <v>Middle</v>
      </c>
      <c r="S2598" s="8" t="str">
        <f ca="1">IFERROR(__xludf.DUMMYFUNCTION("""COMPUTED_VALUE"""),"Field (General)")</f>
        <v>Field (General)</v>
      </c>
      <c r="T2598" s="8" t="str">
        <f ca="1">IFERROR(__xludf.DUMMYFUNCTION("""COMPUTED_VALUE"""),"Outside on School Property")</f>
        <v>Outside on School Property</v>
      </c>
      <c r="U2598" s="8" t="str">
        <f ca="1">IFERROR(__xludf.DUMMYFUNCTION("""COMPUTED_VALUE"""),"No")</f>
        <v>No</v>
      </c>
      <c r="V2598" s="8" t="str">
        <f ca="1">IFERROR(__xludf.DUMMYFUNCTION("""COMPUTED_VALUE"""),"Before School")</f>
        <v>Before School</v>
      </c>
      <c r="W2598" s="11">
        <f ca="1">IFERROR(__xludf.DUMMYFUNCTION("""COMPUTED_VALUE"""),0.270833333333333)</f>
        <v>0.27083333333333298</v>
      </c>
      <c r="X2598" s="8">
        <f ca="1">IFERROR(__xludf.DUMMYFUNCTION("""COMPUTED_VALUE"""),1)</f>
        <v>1</v>
      </c>
      <c r="Y2598" s="12" t="str">
        <f ca="1">IFERROR(__xludf.DUMMYFUNCTION("""COMPUTED_VALUE"""),"Revenge for sexual abuse by teacher")</f>
        <v>Revenge for sexual abuse by teacher</v>
      </c>
      <c r="Z2598" s="12" t="str">
        <f ca="1">IFERROR(__xludf.DUMMYFUNCTION("""COMPUTED_VALUE"""),"The shooter attended Whitman Middle School in the early 1980s. In January 1994, when he was 24 years old, he hid outside the school with an assault-style rifle and shot his former social-studies teacher, Neal Summers, in the back from about 150 feet away."&amp;" Shooter stated that Summers had been sexually assaulting him since he was 14.")</f>
        <v>The shooter attended Whitman Middle School in the early 1980s. In January 1994, when he was 24 years old, he hid outside the school with an assault-style rifle and shot his former social-studies teacher, Neal Summers, in the back from about 150 feet away. Shooter stated that Summers had been sexually assaulting him since he was 14.</v>
      </c>
      <c r="AA2598" s="8" t="str">
        <f ca="1">IFERROR(__xludf.DUMMYFUNCTION("""COMPUTED_VALUE"""),"Domestic w/ Targeted Victim")</f>
        <v>Domestic w/ Targeted Victim</v>
      </c>
      <c r="AB2598" s="8"/>
      <c r="AC2598" s="8"/>
      <c r="AD2598" s="8" t="str">
        <f ca="1">IFERROR(__xludf.DUMMYFUNCTION("""COMPUTED_VALUE"""),"Victims Targeted")</f>
        <v>Victims Targeted</v>
      </c>
      <c r="AE2598" s="8" t="str">
        <f ca="1">IFERROR(__xludf.DUMMYFUNCTION("""COMPUTED_VALUE"""),"No")</f>
        <v>No</v>
      </c>
      <c r="AF2598" s="8"/>
      <c r="AG2598" s="8" t="str">
        <f ca="1">IFERROR(__xludf.DUMMYFUNCTION("""COMPUTED_VALUE"""),"No")</f>
        <v>No</v>
      </c>
      <c r="AH2598" s="8" t="str">
        <f ca="1">IFERROR(__xludf.DUMMYFUNCTION("""COMPUTED_VALUE"""),"No")</f>
        <v>No</v>
      </c>
      <c r="AI2598" s="8" t="str">
        <f ca="1">IFERROR(__xludf.DUMMYFUNCTION("""COMPUTED_VALUE"""),"No")</f>
        <v>No</v>
      </c>
      <c r="AJ2598" s="8" t="str">
        <f ca="1">IFERROR(__xludf.DUMMYFUNCTION("""COMPUTED_VALUE"""),"No")</f>
        <v>No</v>
      </c>
      <c r="AK2598" s="8" t="str">
        <f ca="1">IFERROR(__xludf.DUMMYFUNCTION("""COMPUTED_VALUE"""),"No")</f>
        <v>No</v>
      </c>
      <c r="AL2598" s="8" t="str">
        <f ca="1">IFERROR(__xludf.DUMMYFUNCTION("""COMPUTED_VALUE"""),"No")</f>
        <v>No</v>
      </c>
      <c r="AM2598" s="8"/>
      <c r="AN2598" s="8"/>
      <c r="AO2598" s="8" t="str">
        <f ca="1">IFERROR(__xludf.DUMMYFUNCTION("""COMPUTED_VALUE"""),"No")</f>
        <v>No</v>
      </c>
      <c r="AP2598" s="8"/>
      <c r="AQ2598" s="8" t="str">
        <f ca="1">IFERROR(__xludf.DUMMYFUNCTION("""COMPUTED_VALUE"""),"Unknown")</f>
        <v>Unknown</v>
      </c>
      <c r="AR2598" s="8" t="str">
        <f ca="1">IFERROR(__xludf.DUMMYFUNCTION("""COMPUTED_VALUE"""),"NA")</f>
        <v>NA</v>
      </c>
      <c r="AS2598" s="8"/>
      <c r="AT2598" s="8"/>
      <c r="AU2598" s="8">
        <f ca="1">IFERROR(__xludf.DUMMYFUNCTION("""COMPUTED_VALUE"""),47.696541)</f>
        <v>47.696541000000003</v>
      </c>
      <c r="AV2598" s="8">
        <f ca="1">IFERROR(__xludf.DUMMYFUNCTION("""COMPUTED_VALUE"""),-122.377702)</f>
        <v>-122.377702</v>
      </c>
      <c r="AW2598" s="8"/>
      <c r="AX2598" s="8">
        <f ca="1">IFERROR(__xludf.DUMMYFUNCTION("""COMPUTED_VALUE"""),98117)</f>
        <v>98117</v>
      </c>
    </row>
    <row r="2599" spans="1:50" ht="90" x14ac:dyDescent="0.2">
      <c r="A2599" s="8" t="str">
        <f ca="1">IFERROR(__xludf.DUMMYFUNCTION("""COMPUTED_VALUE"""),"19940127CAWAS")</f>
        <v>19940127CAWAS</v>
      </c>
      <c r="B2599" s="8">
        <f ca="1">IFERROR(__xludf.DUMMYFUNCTION("""COMPUTED_VALUE"""),1)</f>
        <v>1</v>
      </c>
      <c r="C2599" s="8">
        <f ca="1">IFERROR(__xludf.DUMMYFUNCTION("""COMPUTED_VALUE"""),27)</f>
        <v>27</v>
      </c>
      <c r="D2599" s="8">
        <f ca="1">IFERROR(__xludf.DUMMYFUNCTION("""COMPUTED_VALUE"""),1994)</f>
        <v>1994</v>
      </c>
      <c r="E2599" s="9">
        <f ca="1">IFERROR(__xludf.DUMMYFUNCTION("""COMPUTED_VALUE"""),34361)</f>
        <v>34361</v>
      </c>
      <c r="F2599" s="8" t="str">
        <f ca="1">IFERROR(__xludf.DUMMYFUNCTION("""COMPUTED_VALUE"""),"Washington Elementary School")</f>
        <v>Washington Elementary School</v>
      </c>
      <c r="G2599" s="8">
        <f ca="1">IFERROR(__xludf.DUMMYFUNCTION("""COMPUTED_VALUE"""),1)</f>
        <v>1</v>
      </c>
      <c r="H2599" s="8">
        <f ca="1">IFERROR(__xludf.DUMMYFUNCTION("""COMPUTED_VALUE"""),0)</f>
        <v>0</v>
      </c>
      <c r="I2599" s="8">
        <f ca="1">IFERROR(__xludf.DUMMYFUNCTION("""COMPUTED_VALUE"""),1)</f>
        <v>1</v>
      </c>
      <c r="J2599" s="8">
        <f ca="1">IFERROR(__xludf.DUMMYFUNCTION("""COMPUTED_VALUE"""),0)</f>
        <v>0</v>
      </c>
      <c r="K2599" s="8" t="str">
        <f ca="1">IFERROR(__xludf.DUMMYFUNCTION("""COMPUTED_VALUE"""),"https://caselaw.findlaw.com/ca-court-of-appeal/1122045.html https://caselaw.findlaw.com/ca-court-of-appeal/1775723.html")</f>
        <v>https://caselaw.findlaw.com/ca-court-of-appeal/1122045.html https://caselaw.findlaw.com/ca-court-of-appeal/1775723.html</v>
      </c>
      <c r="L2599" s="8"/>
      <c r="M2599" s="8"/>
      <c r="N2599" s="8">
        <f ca="1">IFERROR(__xludf.DUMMYFUNCTION("""COMPUTED_VALUE"""),5)</f>
        <v>5</v>
      </c>
      <c r="O2599" s="8" t="str">
        <f ca="1">IFERROR(__xludf.DUMMYFUNCTION("""COMPUTED_VALUE"""),"Winter")</f>
        <v>Winter</v>
      </c>
      <c r="P2599" s="8" t="str">
        <f ca="1">IFERROR(__xludf.DUMMYFUNCTION("""COMPUTED_VALUE"""),"San Jose")</f>
        <v>San Jose</v>
      </c>
      <c r="Q2599" s="8" t="str">
        <f ca="1">IFERROR(__xludf.DUMMYFUNCTION("""COMPUTED_VALUE"""),"CA")</f>
        <v>CA</v>
      </c>
      <c r="R2599" s="8" t="str">
        <f ca="1">IFERROR(__xludf.DUMMYFUNCTION("""COMPUTED_VALUE"""),"Elementary")</f>
        <v>Elementary</v>
      </c>
      <c r="S2599" s="8" t="str">
        <f ca="1">IFERROR(__xludf.DUMMYFUNCTION("""COMPUTED_VALUE"""),"Parking Lot")</f>
        <v>Parking Lot</v>
      </c>
      <c r="T2599" s="8" t="str">
        <f ca="1">IFERROR(__xludf.DUMMYFUNCTION("""COMPUTED_VALUE"""),"Outside on School Property")</f>
        <v>Outside on School Property</v>
      </c>
      <c r="U2599" s="8" t="str">
        <f ca="1">IFERROR(__xludf.DUMMYFUNCTION("""COMPUTED_VALUE"""),"Yes")</f>
        <v>Yes</v>
      </c>
      <c r="V2599" s="8"/>
      <c r="W2599" s="11">
        <f ca="1">IFERROR(__xludf.DUMMYFUNCTION("""COMPUTED_VALUE"""),0.604166666666666)</f>
        <v>0.60416666666666596</v>
      </c>
      <c r="X2599" s="8">
        <f ca="1">IFERROR(__xludf.DUMMYFUNCTION("""COMPUTED_VALUE"""),1)</f>
        <v>1</v>
      </c>
      <c r="Y2599" s="12" t="str">
        <f ca="1">IFERROR(__xludf.DUMMYFUNCTION("""COMPUTED_VALUE"""),"Targeted killing by gang members")</f>
        <v>Targeted killing by gang members</v>
      </c>
      <c r="Z2599" s="12" t="str">
        <f ca="1">IFERROR(__xludf.DUMMYFUNCTION("""COMPUTED_VALUE"""),"A group of gang members known as Surenos were out looking for rival gang members, Nortenos. They spotted the 22 year-old victim and his wife sitting in their car of the schools parking lot waiting to pick up their child. After a brief interaction, the gro"&amp;"up shot and killed the victim while he was sitting in his car.")</f>
        <v>A group of gang members known as Surenos were out looking for rival gang members, Nortenos. They spotted the 22 year-old victim and his wife sitting in their car of the schools parking lot waiting to pick up their child. After a brief interaction, the group shot and killed the victim while he was sitting in his car.</v>
      </c>
      <c r="AA2599" s="8" t="str">
        <f ca="1">IFERROR(__xludf.DUMMYFUNCTION("""COMPUTED_VALUE"""),"Escalation of Dispute")</f>
        <v>Escalation of Dispute</v>
      </c>
      <c r="AB2599" s="8"/>
      <c r="AC2599" s="8"/>
      <c r="AD2599" s="8" t="str">
        <f ca="1">IFERROR(__xludf.DUMMYFUNCTION("""COMPUTED_VALUE"""),"Victims Targeted")</f>
        <v>Victims Targeted</v>
      </c>
      <c r="AE2599" s="8" t="str">
        <f ca="1">IFERROR(__xludf.DUMMYFUNCTION("""COMPUTED_VALUE"""),"Yes")</f>
        <v>Yes</v>
      </c>
      <c r="AF2599" s="8" t="str">
        <f ca="1">IFERROR(__xludf.DUMMYFUNCTION("""COMPUTED_VALUE"""),"Group of gang members in vehicle")</f>
        <v>Group of gang members in vehicle</v>
      </c>
      <c r="AG2599" s="8" t="str">
        <f ca="1">IFERROR(__xludf.DUMMYFUNCTION("""COMPUTED_VALUE"""),"No")</f>
        <v>No</v>
      </c>
      <c r="AH2599" s="8" t="str">
        <f ca="1">IFERROR(__xludf.DUMMYFUNCTION("""COMPUTED_VALUE"""),"No")</f>
        <v>No</v>
      </c>
      <c r="AI2599" s="8" t="str">
        <f ca="1">IFERROR(__xludf.DUMMYFUNCTION("""COMPUTED_VALUE"""),"No")</f>
        <v>No</v>
      </c>
      <c r="AJ2599" s="8" t="str">
        <f ca="1">IFERROR(__xludf.DUMMYFUNCTION("""COMPUTED_VALUE"""),"No")</f>
        <v>No</v>
      </c>
      <c r="AK2599" s="8" t="str">
        <f ca="1">IFERROR(__xludf.DUMMYFUNCTION("""COMPUTED_VALUE"""),"No")</f>
        <v>No</v>
      </c>
      <c r="AL2599" s="8" t="str">
        <f ca="1">IFERROR(__xludf.DUMMYFUNCTION("""COMPUTED_VALUE"""),"Yes")</f>
        <v>Yes</v>
      </c>
      <c r="AM2599" s="8"/>
      <c r="AN2599" s="8"/>
      <c r="AO2599" s="8" t="str">
        <f ca="1">IFERROR(__xludf.DUMMYFUNCTION("""COMPUTED_VALUE"""),"No")</f>
        <v>No</v>
      </c>
      <c r="AP2599" s="8"/>
      <c r="AQ2599" s="8" t="str">
        <f ca="1">IFERROR(__xludf.DUMMYFUNCTION("""COMPUTED_VALUE"""),"Unknown")</f>
        <v>Unknown</v>
      </c>
      <c r="AR2599" s="8" t="str">
        <f ca="1">IFERROR(__xludf.DUMMYFUNCTION("""COMPUTED_VALUE"""),"NA")</f>
        <v>NA</v>
      </c>
      <c r="AS2599" s="8"/>
      <c r="AT2599" s="8"/>
      <c r="AU2599" s="8">
        <f ca="1">IFERROR(__xludf.DUMMYFUNCTION("""COMPUTED_VALUE"""),37.321099)</f>
        <v>37.321098999999997</v>
      </c>
      <c r="AV2599" s="8">
        <f ca="1">IFERROR(__xludf.DUMMYFUNCTION("""COMPUTED_VALUE"""),-121.881283)</f>
        <v>-121.881283</v>
      </c>
      <c r="AW2599" s="8"/>
      <c r="AX2599" s="8">
        <f ca="1">IFERROR(__xludf.DUMMYFUNCTION("""COMPUTED_VALUE"""),95110)</f>
        <v>95110</v>
      </c>
    </row>
    <row r="2600" spans="1:50" ht="90" x14ac:dyDescent="0.2">
      <c r="A2600" s="8" t="str">
        <f ca="1">IFERROR(__xludf.DUMMYFUNCTION("""COMPUTED_VALUE"""),"19940126DCPAW")</f>
        <v>19940126DCPAW</v>
      </c>
      <c r="B2600" s="8">
        <f ca="1">IFERROR(__xludf.DUMMYFUNCTION("""COMPUTED_VALUE"""),1)</f>
        <v>1</v>
      </c>
      <c r="C2600" s="8">
        <f ca="1">IFERROR(__xludf.DUMMYFUNCTION("""COMPUTED_VALUE"""),26)</f>
        <v>26</v>
      </c>
      <c r="D2600" s="8">
        <f ca="1">IFERROR(__xludf.DUMMYFUNCTION("""COMPUTED_VALUE"""),1994)</f>
        <v>1994</v>
      </c>
      <c r="E2600" s="9">
        <f ca="1">IFERROR(__xludf.DUMMYFUNCTION("""COMPUTED_VALUE"""),34360)</f>
        <v>34360</v>
      </c>
      <c r="F2600" s="8" t="str">
        <f ca="1">IFERROR(__xludf.DUMMYFUNCTION("""COMPUTED_VALUE"""),"Paul Lawrence Dunbar High School")</f>
        <v>Paul Lawrence Dunbar High School</v>
      </c>
      <c r="G2600" s="8">
        <f ca="1">IFERROR(__xludf.DUMMYFUNCTION("""COMPUTED_VALUE"""),0)</f>
        <v>0</v>
      </c>
      <c r="H2600" s="8">
        <f ca="1">IFERROR(__xludf.DUMMYFUNCTION("""COMPUTED_VALUE"""),0)</f>
        <v>0</v>
      </c>
      <c r="I2600" s="8">
        <f ca="1">IFERROR(__xludf.DUMMYFUNCTION("""COMPUTED_VALUE"""),0)</f>
        <v>0</v>
      </c>
      <c r="J2600" s="8">
        <f ca="1">IFERROR(__xludf.DUMMYFUNCTION("""COMPUTED_VALUE"""),0)</f>
        <v>0</v>
      </c>
      <c r="K2600" s="8" t="str">
        <f ca="1">IFERROR(__xludf.DUMMYFUNCTION("""COMPUTED_VALUE"""),"Washington Post - School Shootings Break Out in D.C.; https://www.columbine-angels.com/School_Violence_1993-1994.htm")</f>
        <v>Washington Post - School Shootings Break Out in D.C.; https://www.columbine-angels.com/School_Violence_1993-1994.htm</v>
      </c>
      <c r="L2600" s="8"/>
      <c r="M2600" s="8"/>
      <c r="N2600" s="8">
        <f ca="1">IFERROR(__xludf.DUMMYFUNCTION("""COMPUTED_VALUE"""),1)</f>
        <v>1</v>
      </c>
      <c r="O2600" s="8" t="str">
        <f ca="1">IFERROR(__xludf.DUMMYFUNCTION("""COMPUTED_VALUE"""),"Winter")</f>
        <v>Winter</v>
      </c>
      <c r="P2600" s="8" t="str">
        <f ca="1">IFERROR(__xludf.DUMMYFUNCTION("""COMPUTED_VALUE"""),"Washington")</f>
        <v>Washington</v>
      </c>
      <c r="Q2600" s="8" t="str">
        <f ca="1">IFERROR(__xludf.DUMMYFUNCTION("""COMPUTED_VALUE"""),"DC")</f>
        <v>DC</v>
      </c>
      <c r="R2600" s="8" t="str">
        <f ca="1">IFERROR(__xludf.DUMMYFUNCTION("""COMPUTED_VALUE"""),"High")</f>
        <v>High</v>
      </c>
      <c r="S2600" s="8" t="str">
        <f ca="1">IFERROR(__xludf.DUMMYFUNCTION("""COMPUTED_VALUE"""),"Hallway")</f>
        <v>Hallway</v>
      </c>
      <c r="T2600" s="8" t="str">
        <f ca="1">IFERROR(__xludf.DUMMYFUNCTION("""COMPUTED_VALUE"""),"Inside School Building")</f>
        <v>Inside School Building</v>
      </c>
      <c r="U2600" s="8" t="str">
        <f ca="1">IFERROR(__xludf.DUMMYFUNCTION("""COMPUTED_VALUE"""),"Yes")</f>
        <v>Yes</v>
      </c>
      <c r="V2600" s="8" t="str">
        <f ca="1">IFERROR(__xludf.DUMMYFUNCTION("""COMPUTED_VALUE"""),"Morning Classes")</f>
        <v>Morning Classes</v>
      </c>
      <c r="W2600" s="11">
        <f ca="1">IFERROR(__xludf.DUMMYFUNCTION("""COMPUTED_VALUE"""),0.451388888888888)</f>
        <v>0.45138888888888801</v>
      </c>
      <c r="X2600" s="8"/>
      <c r="Y2600" s="12" t="str">
        <f ca="1">IFERROR(__xludf.DUMMYFUNCTION("""COMPUTED_VALUE"""),"17 shots were fired inside and outside the school, police chased the unknown teen from school.")</f>
        <v>17 shots were fired inside and outside the school, police chased the unknown teen from school.</v>
      </c>
      <c r="Z2600" s="12" t="str">
        <f ca="1">IFERROR(__xludf.DUMMYFUNCTION("""COMPUTED_VALUE"""),"17 shots were fired in and around the school. Three males were arguing over a girl when the shots began inside the school. The shots continued outside the school until the police arrived and chased the unidentified teenager with a 9mm pistol. The shooter "&amp;"was caught and arrested. Nobody was injured.")</f>
        <v>17 shots were fired in and around the school. Three males were arguing over a girl when the shots began inside the school. The shots continued outside the school until the police arrived and chased the unidentified teenager with a 9mm pistol. The shooter was caught and arrested. Nobody was injured.</v>
      </c>
      <c r="AA2600" s="8" t="str">
        <f ca="1">IFERROR(__xludf.DUMMYFUNCTION("""COMPUTED_VALUE"""),"Escalation of Dispute")</f>
        <v>Escalation of Dispute</v>
      </c>
      <c r="AB2600" s="8"/>
      <c r="AC2600" s="8" t="str">
        <f ca="1">IFERROR(__xludf.DUMMYFUNCTION("""COMPUTED_VALUE"""),"Yes")</f>
        <v>Yes</v>
      </c>
      <c r="AD2600" s="8"/>
      <c r="AE2600" s="8" t="str">
        <f ca="1">IFERROR(__xludf.DUMMYFUNCTION("""COMPUTED_VALUE"""),"Yes")</f>
        <v>Yes</v>
      </c>
      <c r="AF2600" s="8" t="str">
        <f ca="1">IFERROR(__xludf.DUMMYFUNCTION("""COMPUTED_VALUE"""),"Shooter was with 2 other teens")</f>
        <v>Shooter was with 2 other teens</v>
      </c>
      <c r="AG2600" s="8" t="str">
        <f ca="1">IFERROR(__xludf.DUMMYFUNCTION("""COMPUTED_VALUE"""),"No")</f>
        <v>No</v>
      </c>
      <c r="AH2600" s="8" t="str">
        <f ca="1">IFERROR(__xludf.DUMMYFUNCTION("""COMPUTED_VALUE"""),"No")</f>
        <v>No</v>
      </c>
      <c r="AI2600" s="8" t="str">
        <f ca="1">IFERROR(__xludf.DUMMYFUNCTION("""COMPUTED_VALUE"""),"No")</f>
        <v>No</v>
      </c>
      <c r="AJ2600" s="8" t="str">
        <f ca="1">IFERROR(__xludf.DUMMYFUNCTION("""COMPUTED_VALUE"""),"No")</f>
        <v>No</v>
      </c>
      <c r="AK2600" s="8" t="str">
        <f ca="1">IFERROR(__xludf.DUMMYFUNCTION("""COMPUTED_VALUE"""),"No")</f>
        <v>No</v>
      </c>
      <c r="AL2600" s="8" t="str">
        <f ca="1">IFERROR(__xludf.DUMMYFUNCTION("""COMPUTED_VALUE"""),"No")</f>
        <v>No</v>
      </c>
      <c r="AM2600" s="8" t="str">
        <f ca="1">IFERROR(__xludf.DUMMYFUNCTION("""COMPUTED_VALUE"""),"No")</f>
        <v>No</v>
      </c>
      <c r="AN2600" s="8"/>
      <c r="AO2600" s="8" t="str">
        <f ca="1">IFERROR(__xludf.DUMMYFUNCTION("""COMPUTED_VALUE"""),"No")</f>
        <v>No</v>
      </c>
      <c r="AP2600" s="8"/>
      <c r="AQ2600" s="8" t="str">
        <f ca="1">IFERROR(__xludf.DUMMYFUNCTION("""COMPUTED_VALUE"""),"Unknown")</f>
        <v>Unknown</v>
      </c>
      <c r="AR2600" s="8" t="str">
        <f ca="1">IFERROR(__xludf.DUMMYFUNCTION("""COMPUTED_VALUE"""),"NA")</f>
        <v>NA</v>
      </c>
      <c r="AS2600" s="8">
        <f ca="1">IFERROR(__xludf.DUMMYFUNCTION("""COMPUTED_VALUE"""),17)</f>
        <v>17</v>
      </c>
      <c r="AT2600" s="8"/>
      <c r="AU2600" s="8">
        <f ca="1">IFERROR(__xludf.DUMMYFUNCTION("""COMPUTED_VALUE"""),38.907666)</f>
        <v>38.907665999999999</v>
      </c>
      <c r="AV2600" s="8">
        <f ca="1">IFERROR(__xludf.DUMMYFUNCTION("""COMPUTED_VALUE"""),-77.0131)</f>
        <v>-77.013099999999994</v>
      </c>
      <c r="AW2600" s="8"/>
      <c r="AX2600" s="8">
        <f ca="1">IFERROR(__xludf.DUMMYFUNCTION("""COMPUTED_VALUE"""),20001)</f>
        <v>20001</v>
      </c>
    </row>
    <row r="2601" spans="1:50" ht="60" x14ac:dyDescent="0.2">
      <c r="A2601" s="8" t="str">
        <f ca="1">IFERROR(__xludf.DUMMYFUNCTION("""COMPUTED_VALUE"""),"19940126DCELW")</f>
        <v>19940126DCELW</v>
      </c>
      <c r="B2601" s="8">
        <f ca="1">IFERROR(__xludf.DUMMYFUNCTION("""COMPUTED_VALUE"""),1)</f>
        <v>1</v>
      </c>
      <c r="C2601" s="8">
        <f ca="1">IFERROR(__xludf.DUMMYFUNCTION("""COMPUTED_VALUE"""),26)</f>
        <v>26</v>
      </c>
      <c r="D2601" s="8">
        <f ca="1">IFERROR(__xludf.DUMMYFUNCTION("""COMPUTED_VALUE"""),1994)</f>
        <v>1994</v>
      </c>
      <c r="E2601" s="9">
        <f ca="1">IFERROR(__xludf.DUMMYFUNCTION("""COMPUTED_VALUE"""),34360)</f>
        <v>34360</v>
      </c>
      <c r="F2601" s="8" t="str">
        <f ca="1">IFERROR(__xludf.DUMMYFUNCTION("""COMPUTED_VALUE"""),"Eliot Junior High School")</f>
        <v>Eliot Junior High School</v>
      </c>
      <c r="G2601" s="8">
        <f ca="1">IFERROR(__xludf.DUMMYFUNCTION("""COMPUTED_VALUE"""),0)</f>
        <v>0</v>
      </c>
      <c r="H2601" s="8">
        <f ca="1">IFERROR(__xludf.DUMMYFUNCTION("""COMPUTED_VALUE"""),0)</f>
        <v>0</v>
      </c>
      <c r="I2601" s="8">
        <f ca="1">IFERROR(__xludf.DUMMYFUNCTION("""COMPUTED_VALUE"""),0)</f>
        <v>0</v>
      </c>
      <c r="J2601" s="8">
        <f ca="1">IFERROR(__xludf.DUMMYFUNCTION("""COMPUTED_VALUE"""),0)</f>
        <v>0</v>
      </c>
      <c r="K2601" s="8" t="str">
        <f ca="1">IFERROR(__xludf.DUMMYFUNCTION("""COMPUTED_VALUE"""),"Washington Post - School Shootings Break Out in D.C.; https://www.columbine-angels.com/School_Violence_1993-1994.htm")</f>
        <v>Washington Post - School Shootings Break Out in D.C.; https://www.columbine-angels.com/School_Violence_1993-1994.htm</v>
      </c>
      <c r="L2601" s="8"/>
      <c r="M2601" s="8"/>
      <c r="N2601" s="8">
        <f ca="1">IFERROR(__xludf.DUMMYFUNCTION("""COMPUTED_VALUE"""),1)</f>
        <v>1</v>
      </c>
      <c r="O2601" s="8" t="str">
        <f ca="1">IFERROR(__xludf.DUMMYFUNCTION("""COMPUTED_VALUE"""),"Winter")</f>
        <v>Winter</v>
      </c>
      <c r="P2601" s="8" t="str">
        <f ca="1">IFERROR(__xludf.DUMMYFUNCTION("""COMPUTED_VALUE"""),"Washington")</f>
        <v>Washington</v>
      </c>
      <c r="Q2601" s="8" t="str">
        <f ca="1">IFERROR(__xludf.DUMMYFUNCTION("""COMPUTED_VALUE"""),"DC")</f>
        <v>DC</v>
      </c>
      <c r="R2601" s="8" t="str">
        <f ca="1">IFERROR(__xludf.DUMMYFUNCTION("""COMPUTED_VALUE"""),"Junior High")</f>
        <v>Junior High</v>
      </c>
      <c r="S2601" s="8" t="str">
        <f ca="1">IFERROR(__xludf.DUMMYFUNCTION("""COMPUTED_VALUE"""),"Hallway")</f>
        <v>Hallway</v>
      </c>
      <c r="T2601" s="8" t="str">
        <f ca="1">IFERROR(__xludf.DUMMYFUNCTION("""COMPUTED_VALUE"""),"Inside School Building")</f>
        <v>Inside School Building</v>
      </c>
      <c r="U2601" s="8" t="str">
        <f ca="1">IFERROR(__xludf.DUMMYFUNCTION("""COMPUTED_VALUE"""),"Yes")</f>
        <v>Yes</v>
      </c>
      <c r="V2601" s="8" t="str">
        <f ca="1">IFERROR(__xludf.DUMMYFUNCTION("""COMPUTED_VALUE"""),"Dismissal")</f>
        <v>Dismissal</v>
      </c>
      <c r="W2601" s="11">
        <f ca="1">IFERROR(__xludf.DUMMYFUNCTION("""COMPUTED_VALUE"""),0.645833333333333)</f>
        <v>0.64583333333333304</v>
      </c>
      <c r="X2601" s="8">
        <f ca="1">IFERROR(__xludf.DUMMYFUNCTION("""COMPUTED_VALUE"""),1)</f>
        <v>1</v>
      </c>
      <c r="Y2601" s="12" t="str">
        <f ca="1">IFERROR(__xludf.DUMMYFUNCTION("""COMPUTED_VALUE"""),"Unknown gunman fired during dismissal, no injuries")</f>
        <v>Unknown gunman fired during dismissal, no injuries</v>
      </c>
      <c r="Z2601" s="12" t="str">
        <f ca="1">IFERROR(__xludf.DUMMYFUNCTION("""COMPUTED_VALUE"""),"Unknown shooter fired shots during dismissal.")</f>
        <v>Unknown shooter fired shots during dismissal.</v>
      </c>
      <c r="AA2601" s="8" t="str">
        <f ca="1">IFERROR(__xludf.DUMMYFUNCTION("""COMPUTED_VALUE"""),"Unknown")</f>
        <v>Unknown</v>
      </c>
      <c r="AB2601" s="8"/>
      <c r="AC2601" s="8"/>
      <c r="AD2601" s="8"/>
      <c r="AE2601" s="8" t="str">
        <f ca="1">IFERROR(__xludf.DUMMYFUNCTION("""COMPUTED_VALUE"""),"No")</f>
        <v>No</v>
      </c>
      <c r="AF2601" s="8"/>
      <c r="AG2601" s="8" t="str">
        <f ca="1">IFERROR(__xludf.DUMMYFUNCTION("""COMPUTED_VALUE"""),"No")</f>
        <v>No</v>
      </c>
      <c r="AH2601" s="8" t="str">
        <f ca="1">IFERROR(__xludf.DUMMYFUNCTION("""COMPUTED_VALUE"""),"No")</f>
        <v>No</v>
      </c>
      <c r="AI2601" s="8" t="str">
        <f ca="1">IFERROR(__xludf.DUMMYFUNCTION("""COMPUTED_VALUE"""),"No")</f>
        <v>No</v>
      </c>
      <c r="AJ2601" s="8" t="str">
        <f ca="1">IFERROR(__xludf.DUMMYFUNCTION("""COMPUTED_VALUE"""),"No")</f>
        <v>No</v>
      </c>
      <c r="AK2601" s="8" t="str">
        <f ca="1">IFERROR(__xludf.DUMMYFUNCTION("""COMPUTED_VALUE"""),"No")</f>
        <v>No</v>
      </c>
      <c r="AL2601" s="8"/>
      <c r="AM2601" s="8"/>
      <c r="AN2601" s="8"/>
      <c r="AO2601" s="8" t="str">
        <f ca="1">IFERROR(__xludf.DUMMYFUNCTION("""COMPUTED_VALUE"""),"No")</f>
        <v>No</v>
      </c>
      <c r="AP2601" s="8"/>
      <c r="AQ2601" s="8" t="str">
        <f ca="1">IFERROR(__xludf.DUMMYFUNCTION("""COMPUTED_VALUE"""),"Unknown")</f>
        <v>Unknown</v>
      </c>
      <c r="AR2601" s="8" t="str">
        <f ca="1">IFERROR(__xludf.DUMMYFUNCTION("""COMPUTED_VALUE"""),"NA")</f>
        <v>NA</v>
      </c>
      <c r="AS2601" s="8"/>
      <c r="AT2601" s="8"/>
      <c r="AU2601" s="8">
        <f ca="1">IFERROR(__xludf.DUMMYFUNCTION("""COMPUTED_VALUE"""),38.892403)</f>
        <v>38.892403000000002</v>
      </c>
      <c r="AV2601" s="8">
        <f ca="1">IFERROR(__xludf.DUMMYFUNCTION("""COMPUTED_VALUE"""),-76.978558)</f>
        <v>-76.978558000000007</v>
      </c>
      <c r="AW2601" s="8"/>
      <c r="AX2601" s="8">
        <f ca="1">IFERROR(__xludf.DUMMYFUNCTION("""COMPUTED_VALUE"""),20003)</f>
        <v>20003</v>
      </c>
    </row>
    <row r="2602" spans="1:50" ht="90" x14ac:dyDescent="0.2">
      <c r="A2602" s="8" t="str">
        <f ca="1">IFERROR(__xludf.DUMMYFUNCTION("""COMPUTED_VALUE"""),"19940124SCEAC")</f>
        <v>19940124SCEAC</v>
      </c>
      <c r="B2602" s="8">
        <f ca="1">IFERROR(__xludf.DUMMYFUNCTION("""COMPUTED_VALUE"""),1)</f>
        <v>1</v>
      </c>
      <c r="C2602" s="8">
        <f ca="1">IFERROR(__xludf.DUMMYFUNCTION("""COMPUTED_VALUE"""),24)</f>
        <v>24</v>
      </c>
      <c r="D2602" s="8">
        <f ca="1">IFERROR(__xludf.DUMMYFUNCTION("""COMPUTED_VALUE"""),1994)</f>
        <v>1994</v>
      </c>
      <c r="E2602" s="9">
        <f ca="1">IFERROR(__xludf.DUMMYFUNCTION("""COMPUTED_VALUE"""),34358)</f>
        <v>34358</v>
      </c>
      <c r="F2602" s="8" t="str">
        <f ca="1">IFERROR(__xludf.DUMMYFUNCTION("""COMPUTED_VALUE"""),"Eau Claire High School")</f>
        <v>Eau Claire High School</v>
      </c>
      <c r="G2602" s="8">
        <f ca="1">IFERROR(__xludf.DUMMYFUNCTION("""COMPUTED_VALUE"""),1)</f>
        <v>1</v>
      </c>
      <c r="H2602" s="8">
        <f ca="1">IFERROR(__xludf.DUMMYFUNCTION("""COMPUTED_VALUE"""),0)</f>
        <v>0</v>
      </c>
      <c r="I2602" s="8">
        <f ca="1">IFERROR(__xludf.DUMMYFUNCTION("""COMPUTED_VALUE"""),1)</f>
        <v>1</v>
      </c>
      <c r="J2602" s="8">
        <f ca="1">IFERROR(__xludf.DUMMYFUNCTION("""COMPUTED_VALUE"""),0)</f>
        <v>0</v>
      </c>
      <c r="K2602" s="8" t="str">
        <f ca="1">IFERROR(__xludf.DUMMYFUNCTION("""COMPUTED_VALUE"""),"https://www.independentmail.com/story/news/local/2016/09/28/south-carolina-has-history-school-shootings/91236014/ http://www.columbine-angels.com/School_Violence_1993-1994.htm")</f>
        <v>https://www.independentmail.com/story/news/local/2016/09/28/south-carolina-has-history-school-shootings/91236014/ http://www.columbine-angels.com/School_Violence_1993-1994.htm</v>
      </c>
      <c r="L2602" s="8"/>
      <c r="M2602" s="8"/>
      <c r="N2602" s="8">
        <f ca="1">IFERROR(__xludf.DUMMYFUNCTION("""COMPUTED_VALUE"""),2)</f>
        <v>2</v>
      </c>
      <c r="O2602" s="8" t="str">
        <f ca="1">IFERROR(__xludf.DUMMYFUNCTION("""COMPUTED_VALUE"""),"Winter")</f>
        <v>Winter</v>
      </c>
      <c r="P2602" s="8" t="str">
        <f ca="1">IFERROR(__xludf.DUMMYFUNCTION("""COMPUTED_VALUE"""),"Columbia")</f>
        <v>Columbia</v>
      </c>
      <c r="Q2602" s="8" t="str">
        <f ca="1">IFERROR(__xludf.DUMMYFUNCTION("""COMPUTED_VALUE"""),"SC")</f>
        <v>SC</v>
      </c>
      <c r="R2602" s="8" t="str">
        <f ca="1">IFERROR(__xludf.DUMMYFUNCTION("""COMPUTED_VALUE"""),"High")</f>
        <v>High</v>
      </c>
      <c r="S2602" s="8" t="str">
        <f ca="1">IFERROR(__xludf.DUMMYFUNCTION("""COMPUTED_VALUE"""),"Hallway")</f>
        <v>Hallway</v>
      </c>
      <c r="T2602" s="8" t="str">
        <f ca="1">IFERROR(__xludf.DUMMYFUNCTION("""COMPUTED_VALUE"""),"Inside School Building")</f>
        <v>Inside School Building</v>
      </c>
      <c r="U2602" s="8" t="str">
        <f ca="1">IFERROR(__xludf.DUMMYFUNCTION("""COMPUTED_VALUE"""),"Yes")</f>
        <v>Yes</v>
      </c>
      <c r="V2602" s="8" t="str">
        <f ca="1">IFERROR(__xludf.DUMMYFUNCTION("""COMPUTED_VALUE"""),"Unknown")</f>
        <v>Unknown</v>
      </c>
      <c r="W2602" s="8"/>
      <c r="X2602" s="8">
        <f ca="1">IFERROR(__xludf.DUMMYFUNCTION("""COMPUTED_VALUE"""),1)</f>
        <v>1</v>
      </c>
      <c r="Y2602" s="12" t="str">
        <f ca="1">IFERROR(__xludf.DUMMYFUNCTION("""COMPUTED_VALUE"""),"Shot specific victim (bully) in hallway, then fled.")</f>
        <v>Shot specific victim (bully) in hallway, then fled.</v>
      </c>
      <c r="Z2602" s="12" t="str">
        <f ca="1">IFERROR(__xludf.DUMMYFUNCTION("""COMPUTED_VALUE"""),"18 year-old male shot the victim with a .22 handgun in the school hallway in between classes. He fled the scene and was later arrested at his house. The shooter was bullied by the victim. He was later acquitted for murder charge based on the argument that"&amp;" he was vulnerable and defending himself against the victim.")</f>
        <v>18 year-old male shot the victim with a .22 handgun in the school hallway in between classes. He fled the scene and was later arrested at his house. The shooter was bullied by the victim. He was later acquitted for murder charge based on the argument that he was vulnerable and defending himself against the victim.</v>
      </c>
      <c r="AA2602" s="8" t="str">
        <f ca="1">IFERROR(__xludf.DUMMYFUNCTION("""COMPUTED_VALUE"""),"Bullying")</f>
        <v>Bullying</v>
      </c>
      <c r="AB2602" s="8" t="str">
        <f ca="1">IFERROR(__xludf.DUMMYFUNCTION("""COMPUTED_VALUE"""),"Targeted")</f>
        <v>Targeted</v>
      </c>
      <c r="AC2602" s="8"/>
      <c r="AD2602" s="8" t="str">
        <f ca="1">IFERROR(__xludf.DUMMYFUNCTION("""COMPUTED_VALUE"""),"Victims Targeted")</f>
        <v>Victims Targeted</v>
      </c>
      <c r="AE2602" s="8" t="str">
        <f ca="1">IFERROR(__xludf.DUMMYFUNCTION("""COMPUTED_VALUE"""),"No")</f>
        <v>No</v>
      </c>
      <c r="AF2602" s="8"/>
      <c r="AG2602" s="8" t="str">
        <f ca="1">IFERROR(__xludf.DUMMYFUNCTION("""COMPUTED_VALUE"""),"No")</f>
        <v>No</v>
      </c>
      <c r="AH2602" s="8" t="str">
        <f ca="1">IFERROR(__xludf.DUMMYFUNCTION("""COMPUTED_VALUE"""),"No")</f>
        <v>No</v>
      </c>
      <c r="AI2602" s="8" t="str">
        <f ca="1">IFERROR(__xludf.DUMMYFUNCTION("""COMPUTED_VALUE"""),"No")</f>
        <v>No</v>
      </c>
      <c r="AJ2602" s="8" t="str">
        <f ca="1">IFERROR(__xludf.DUMMYFUNCTION("""COMPUTED_VALUE"""),"Yes")</f>
        <v>Yes</v>
      </c>
      <c r="AK2602" s="8" t="str">
        <f ca="1">IFERROR(__xludf.DUMMYFUNCTION("""COMPUTED_VALUE"""),"No")</f>
        <v>No</v>
      </c>
      <c r="AL2602" s="8" t="str">
        <f ca="1">IFERROR(__xludf.DUMMYFUNCTION("""COMPUTED_VALUE"""),"No")</f>
        <v>No</v>
      </c>
      <c r="AM2602" s="8"/>
      <c r="AN2602" s="8"/>
      <c r="AO2602" s="8" t="str">
        <f ca="1">IFERROR(__xludf.DUMMYFUNCTION("""COMPUTED_VALUE"""),"No")</f>
        <v>No</v>
      </c>
      <c r="AP2602" s="8"/>
      <c r="AQ2602" s="8" t="str">
        <f ca="1">IFERROR(__xludf.DUMMYFUNCTION("""COMPUTED_VALUE"""),"Unknown")</f>
        <v>Unknown</v>
      </c>
      <c r="AR2602" s="8" t="str">
        <f ca="1">IFERROR(__xludf.DUMMYFUNCTION("""COMPUTED_VALUE"""),"NA")</f>
        <v>NA</v>
      </c>
      <c r="AS2602" s="8"/>
      <c r="AT2602" s="8"/>
      <c r="AU2602" s="8">
        <f ca="1">IFERROR(__xludf.DUMMYFUNCTION("""COMPUTED_VALUE"""),34.048108)</f>
        <v>34.048107999999999</v>
      </c>
      <c r="AV2602" s="8">
        <f ca="1">IFERROR(__xludf.DUMMYFUNCTION("""COMPUTED_VALUE"""),-81.04264)</f>
        <v>-81.042640000000006</v>
      </c>
      <c r="AW2602" s="8"/>
      <c r="AX2602" s="8">
        <f ca="1">IFERROR(__xludf.DUMMYFUNCTION("""COMPUTED_VALUE"""),29203)</f>
        <v>29203</v>
      </c>
    </row>
    <row r="2603" spans="1:50" ht="75" x14ac:dyDescent="0.2">
      <c r="A2603" s="8" t="str">
        <f ca="1">IFERROR(__xludf.DUMMYFUNCTION("""COMPUTED_VALUE"""),"19940121TXKEK")</f>
        <v>19940121TXKEK</v>
      </c>
      <c r="B2603" s="8">
        <f ca="1">IFERROR(__xludf.DUMMYFUNCTION("""COMPUTED_VALUE"""),1)</f>
        <v>1</v>
      </c>
      <c r="C2603" s="8">
        <f ca="1">IFERROR(__xludf.DUMMYFUNCTION("""COMPUTED_VALUE"""),21)</f>
        <v>21</v>
      </c>
      <c r="D2603" s="8">
        <f ca="1">IFERROR(__xludf.DUMMYFUNCTION("""COMPUTED_VALUE"""),1994)</f>
        <v>1994</v>
      </c>
      <c r="E2603" s="9">
        <f ca="1">IFERROR(__xludf.DUMMYFUNCTION("""COMPUTED_VALUE"""),34355)</f>
        <v>34355</v>
      </c>
      <c r="F2603" s="8" t="str">
        <f ca="1">IFERROR(__xludf.DUMMYFUNCTION("""COMPUTED_VALUE"""),"Kennard High School")</f>
        <v>Kennard High School</v>
      </c>
      <c r="G2603" s="8">
        <f ca="1">IFERROR(__xludf.DUMMYFUNCTION("""COMPUTED_VALUE"""),0)</f>
        <v>0</v>
      </c>
      <c r="H2603" s="8">
        <f ca="1">IFERROR(__xludf.DUMMYFUNCTION("""COMPUTED_VALUE"""),0)</f>
        <v>0</v>
      </c>
      <c r="I2603" s="8">
        <f ca="1">IFERROR(__xludf.DUMMYFUNCTION("""COMPUTED_VALUE"""),0)</f>
        <v>0</v>
      </c>
      <c r="J2603" s="8">
        <f ca="1">IFERROR(__xludf.DUMMYFUNCTION("""COMPUTED_VALUE"""),1)</f>
        <v>1</v>
      </c>
      <c r="K2603" s="10" t="str">
        <f ca="1">IFERROR(__xludf.DUMMYFUNCTION("""COMPUTED_VALUE"""),"https://www.newspapers.com/image/219396903/?terms=Kennard%2BHigh%2BSchool%2Bsuicide")</f>
        <v>https://www.newspapers.com/image/219396903/?terms=Kennard%2BHigh%2BSchool%2Bsuicide</v>
      </c>
      <c r="L2603" s="8"/>
      <c r="M2603" s="8"/>
      <c r="N2603" s="8">
        <f ca="1">IFERROR(__xludf.DUMMYFUNCTION("""COMPUTED_VALUE"""),2)</f>
        <v>2</v>
      </c>
      <c r="O2603" s="8" t="str">
        <f ca="1">IFERROR(__xludf.DUMMYFUNCTION("""COMPUTED_VALUE"""),"Winter")</f>
        <v>Winter</v>
      </c>
      <c r="P2603" s="8" t="str">
        <f ca="1">IFERROR(__xludf.DUMMYFUNCTION("""COMPUTED_VALUE"""),"Kennard")</f>
        <v>Kennard</v>
      </c>
      <c r="Q2603" s="8" t="str">
        <f ca="1">IFERROR(__xludf.DUMMYFUNCTION("""COMPUTED_VALUE"""),"TX")</f>
        <v>TX</v>
      </c>
      <c r="R2603" s="8" t="str">
        <f ca="1">IFERROR(__xludf.DUMMYFUNCTION("""COMPUTED_VALUE"""),"High")</f>
        <v>High</v>
      </c>
      <c r="S2603" s="8" t="str">
        <f ca="1">IFERROR(__xludf.DUMMYFUNCTION("""COMPUTED_VALUE"""),"Classroom")</f>
        <v>Classroom</v>
      </c>
      <c r="T2603" s="8" t="str">
        <f ca="1">IFERROR(__xludf.DUMMYFUNCTION("""COMPUTED_VALUE"""),"Inside School Building")</f>
        <v>Inside School Building</v>
      </c>
      <c r="U2603" s="8" t="str">
        <f ca="1">IFERROR(__xludf.DUMMYFUNCTION("""COMPUTED_VALUE"""),"Yes")</f>
        <v>Yes</v>
      </c>
      <c r="V2603" s="8" t="str">
        <f ca="1">IFERROR(__xludf.DUMMYFUNCTION("""COMPUTED_VALUE"""),"Morning Classes")</f>
        <v>Morning Classes</v>
      </c>
      <c r="W2603" s="11">
        <f ca="1">IFERROR(__xludf.DUMMYFUNCTION("""COMPUTED_VALUE"""),0.334722222222222)</f>
        <v>0.33472222222222198</v>
      </c>
      <c r="X2603" s="8">
        <f ca="1">IFERROR(__xludf.DUMMYFUNCTION("""COMPUTED_VALUE"""),1)</f>
        <v>1</v>
      </c>
      <c r="Y2603" s="12" t="str">
        <f ca="1">IFERROR(__xludf.DUMMYFUNCTION("""COMPUTED_VALUE"""),"Suicide in school")</f>
        <v>Suicide in school</v>
      </c>
      <c r="Z2603" s="12" t="str">
        <f ca="1">IFERROR(__xludf.DUMMYFUNCTION("""COMPUTED_VALUE"""),"17 year-old male student commit suicide in school. In one of his classes he commanded the teacher and students to exit. An administrator and teacher tried to speak with the student, but he demanded they leave him alone. He shot himself with a .30-30 rifle"&amp;". A note cited personal problems.")</f>
        <v>17 year-old male student commit suicide in school. In one of his classes he commanded the teacher and students to exit. An administrator and teacher tried to speak with the student, but he demanded they leave him alone. He shot himself with a .30-30 rifle. A note cited personal problems.</v>
      </c>
      <c r="AA2603" s="8" t="str">
        <f ca="1">IFERROR(__xludf.DUMMYFUNCTION("""COMPUTED_VALUE"""),"Suicide/Attempted")</f>
        <v>Suicide/Attempted</v>
      </c>
      <c r="AB2603" s="8"/>
      <c r="AC2603" s="8"/>
      <c r="AD2603" s="8" t="str">
        <f ca="1">IFERROR(__xludf.DUMMYFUNCTION("""COMPUTED_VALUE"""),"Victims Targeted")</f>
        <v>Victims Targeted</v>
      </c>
      <c r="AE2603" s="8" t="str">
        <f ca="1">IFERROR(__xludf.DUMMYFUNCTION("""COMPUTED_VALUE"""),"No")</f>
        <v>No</v>
      </c>
      <c r="AF2603" s="8"/>
      <c r="AG2603" s="8" t="str">
        <f ca="1">IFERROR(__xludf.DUMMYFUNCTION("""COMPUTED_VALUE"""),"No")</f>
        <v>No</v>
      </c>
      <c r="AH2603" s="8" t="str">
        <f ca="1">IFERROR(__xludf.DUMMYFUNCTION("""COMPUTED_VALUE"""),"No")</f>
        <v>No</v>
      </c>
      <c r="AI2603" s="8" t="str">
        <f ca="1">IFERROR(__xludf.DUMMYFUNCTION("""COMPUTED_VALUE"""),"No")</f>
        <v>No</v>
      </c>
      <c r="AJ2603" s="8" t="str">
        <f ca="1">IFERROR(__xludf.DUMMYFUNCTION("""COMPUTED_VALUE"""),"No")</f>
        <v>No</v>
      </c>
      <c r="AK2603" s="8" t="str">
        <f ca="1">IFERROR(__xludf.DUMMYFUNCTION("""COMPUTED_VALUE"""),"No")</f>
        <v>No</v>
      </c>
      <c r="AL2603" s="8" t="str">
        <f ca="1">IFERROR(__xludf.DUMMYFUNCTION("""COMPUTED_VALUE"""),"No")</f>
        <v>No</v>
      </c>
      <c r="AM2603" s="8"/>
      <c r="AN2603" s="8"/>
      <c r="AO2603" s="8" t="str">
        <f ca="1">IFERROR(__xludf.DUMMYFUNCTION("""COMPUTED_VALUE"""),"No")</f>
        <v>No</v>
      </c>
      <c r="AP2603" s="8"/>
      <c r="AQ2603" s="8" t="str">
        <f ca="1">IFERROR(__xludf.DUMMYFUNCTION("""COMPUTED_VALUE"""),"Unknown")</f>
        <v>Unknown</v>
      </c>
      <c r="AR2603" s="8" t="str">
        <f ca="1">IFERROR(__xludf.DUMMYFUNCTION("""COMPUTED_VALUE"""),"NA")</f>
        <v>NA</v>
      </c>
      <c r="AS2603" s="8">
        <f ca="1">IFERROR(__xludf.DUMMYFUNCTION("""COMPUTED_VALUE"""),1)</f>
        <v>1</v>
      </c>
      <c r="AT2603" s="8"/>
      <c r="AU2603" s="8">
        <f ca="1">IFERROR(__xludf.DUMMYFUNCTION("""COMPUTED_VALUE"""),31.360995)</f>
        <v>31.360994999999999</v>
      </c>
      <c r="AV2603" s="8">
        <f ca="1">IFERROR(__xludf.DUMMYFUNCTION("""COMPUTED_VALUE"""),-95.179984)</f>
        <v>-95.179984000000005</v>
      </c>
      <c r="AW2603" s="8"/>
      <c r="AX2603" s="8">
        <f ca="1">IFERROR(__xludf.DUMMYFUNCTION("""COMPUTED_VALUE"""),75847)</f>
        <v>75847</v>
      </c>
    </row>
    <row r="2604" spans="1:50" ht="60" x14ac:dyDescent="0.2">
      <c r="A2604" s="8" t="str">
        <f ca="1">IFERROR(__xludf.DUMMYFUNCTION("""COMPUTED_VALUE"""),"19940120CALOH")</f>
        <v>19940120CALOH</v>
      </c>
      <c r="B2604" s="8">
        <f ca="1">IFERROR(__xludf.DUMMYFUNCTION("""COMPUTED_VALUE"""),1)</f>
        <v>1</v>
      </c>
      <c r="C2604" s="8">
        <f ca="1">IFERROR(__xludf.DUMMYFUNCTION("""COMPUTED_VALUE"""),20)</f>
        <v>20</v>
      </c>
      <c r="D2604" s="8">
        <f ca="1">IFERROR(__xludf.DUMMYFUNCTION("""COMPUTED_VALUE"""),1994)</f>
        <v>1994</v>
      </c>
      <c r="E2604" s="9">
        <f ca="1">IFERROR(__xludf.DUMMYFUNCTION("""COMPUTED_VALUE"""),34354)</f>
        <v>34354</v>
      </c>
      <c r="F2604" s="8" t="str">
        <f ca="1">IFERROR(__xludf.DUMMYFUNCTION("""COMPUTED_VALUE"""),"Los Altos High School")</f>
        <v>Los Altos High School</v>
      </c>
      <c r="G2604" s="8">
        <f ca="1">IFERROR(__xludf.DUMMYFUNCTION("""COMPUTED_VALUE"""),1)</f>
        <v>1</v>
      </c>
      <c r="H2604" s="8">
        <f ca="1">IFERROR(__xludf.DUMMYFUNCTION("""COMPUTED_VALUE"""),0)</f>
        <v>0</v>
      </c>
      <c r="I2604" s="8">
        <f ca="1">IFERROR(__xludf.DUMMYFUNCTION("""COMPUTED_VALUE"""),1)</f>
        <v>1</v>
      </c>
      <c r="J2604" s="8">
        <f ca="1">IFERROR(__xludf.DUMMYFUNCTION("""COMPUTED_VALUE"""),0)</f>
        <v>0</v>
      </c>
      <c r="K2604" s="10" t="str">
        <f ca="1">IFERROR(__xludf.DUMMYFUNCTION("""COMPUTED_VALUE"""),"https://www.newspapers.com/image/159190089/?terms=Los%2BAltos%2BHigh%2BSchool")</f>
        <v>https://www.newspapers.com/image/159190089/?terms=Los%2BAltos%2BHigh%2BSchool</v>
      </c>
      <c r="L2604" s="8"/>
      <c r="M2604" s="8"/>
      <c r="N2604" s="8">
        <f ca="1">IFERROR(__xludf.DUMMYFUNCTION("""COMPUTED_VALUE"""),2)</f>
        <v>2</v>
      </c>
      <c r="O2604" s="8" t="str">
        <f ca="1">IFERROR(__xludf.DUMMYFUNCTION("""COMPUTED_VALUE"""),"Winter")</f>
        <v>Winter</v>
      </c>
      <c r="P2604" s="8" t="str">
        <f ca="1">IFERROR(__xludf.DUMMYFUNCTION("""COMPUTED_VALUE"""),"Hacienda Heights")</f>
        <v>Hacienda Heights</v>
      </c>
      <c r="Q2604" s="8" t="str">
        <f ca="1">IFERROR(__xludf.DUMMYFUNCTION("""COMPUTED_VALUE"""),"CA")</f>
        <v>CA</v>
      </c>
      <c r="R2604" s="8" t="str">
        <f ca="1">IFERROR(__xludf.DUMMYFUNCTION("""COMPUTED_VALUE"""),"High")</f>
        <v>High</v>
      </c>
      <c r="S2604" s="8" t="str">
        <f ca="1">IFERROR(__xludf.DUMMYFUNCTION("""COMPUTED_VALUE"""),"Parking Lot")</f>
        <v>Parking Lot</v>
      </c>
      <c r="T2604" s="8" t="str">
        <f ca="1">IFERROR(__xludf.DUMMYFUNCTION("""COMPUTED_VALUE"""),"Outside on School Property")</f>
        <v>Outside on School Property</v>
      </c>
      <c r="U2604" s="8" t="str">
        <f ca="1">IFERROR(__xludf.DUMMYFUNCTION("""COMPUTED_VALUE"""),"No")</f>
        <v>No</v>
      </c>
      <c r="V2604" s="8" t="str">
        <f ca="1">IFERROR(__xludf.DUMMYFUNCTION("""COMPUTED_VALUE"""),"After School")</f>
        <v>After School</v>
      </c>
      <c r="W2604" s="11">
        <f ca="1">IFERROR(__xludf.DUMMYFUNCTION("""COMPUTED_VALUE"""),0.631944444444444)</f>
        <v>0.63194444444444398</v>
      </c>
      <c r="X2604" s="8">
        <f ca="1">IFERROR(__xludf.DUMMYFUNCTION("""COMPUTED_VALUE"""),1)</f>
        <v>1</v>
      </c>
      <c r="Y2604" s="12" t="str">
        <f ca="1">IFERROR(__xludf.DUMMYFUNCTION("""COMPUTED_VALUE"""),"Shot 3 times in parking lot after argument")</f>
        <v>Shot 3 times in parking lot after argument</v>
      </c>
      <c r="Z2604" s="12" t="str">
        <f ca="1">IFERROR(__xludf.DUMMYFUNCTION("""COMPUTED_VALUE"""),"17 year-old male student was shot 3 times in the parking lot after an argument with a car full of unknown males. Some students mentioned that there had been tension between an Asian gang and Latinos students.")</f>
        <v>17 year-old male student was shot 3 times in the parking lot after an argument with a car full of unknown males. Some students mentioned that there had been tension between an Asian gang and Latinos students.</v>
      </c>
      <c r="AA2604" s="8" t="str">
        <f ca="1">IFERROR(__xludf.DUMMYFUNCTION("""COMPUTED_VALUE"""),"Escalation of Dispute")</f>
        <v>Escalation of Dispute</v>
      </c>
      <c r="AB2604" s="8"/>
      <c r="AC2604" s="8"/>
      <c r="AD2604" s="8" t="str">
        <f ca="1">IFERROR(__xludf.DUMMYFUNCTION("""COMPUTED_VALUE"""),"Victims Targeted")</f>
        <v>Victims Targeted</v>
      </c>
      <c r="AE2604" s="8" t="str">
        <f ca="1">IFERROR(__xludf.DUMMYFUNCTION("""COMPUTED_VALUE"""),"Yes")</f>
        <v>Yes</v>
      </c>
      <c r="AF2604" s="8" t="str">
        <f ca="1">IFERROR(__xludf.DUMMYFUNCTION("""COMPUTED_VALUE"""),"Car with multiple males")</f>
        <v>Car with multiple males</v>
      </c>
      <c r="AG2604" s="8" t="str">
        <f ca="1">IFERROR(__xludf.DUMMYFUNCTION("""COMPUTED_VALUE"""),"No")</f>
        <v>No</v>
      </c>
      <c r="AH2604" s="8" t="str">
        <f ca="1">IFERROR(__xludf.DUMMYFUNCTION("""COMPUTED_VALUE"""),"No")</f>
        <v>No</v>
      </c>
      <c r="AI2604" s="8" t="str">
        <f ca="1">IFERROR(__xludf.DUMMYFUNCTION("""COMPUTED_VALUE"""),"No")</f>
        <v>No</v>
      </c>
      <c r="AJ2604" s="8" t="str">
        <f ca="1">IFERROR(__xludf.DUMMYFUNCTION("""COMPUTED_VALUE"""),"No")</f>
        <v>No</v>
      </c>
      <c r="AK2604" s="8" t="str">
        <f ca="1">IFERROR(__xludf.DUMMYFUNCTION("""COMPUTED_VALUE"""),"No")</f>
        <v>No</v>
      </c>
      <c r="AL2604" s="8" t="str">
        <f ca="1">IFERROR(__xludf.DUMMYFUNCTION("""COMPUTED_VALUE"""),"Yes")</f>
        <v>Yes</v>
      </c>
      <c r="AM2604" s="8"/>
      <c r="AN2604" s="8"/>
      <c r="AO2604" s="8" t="str">
        <f ca="1">IFERROR(__xludf.DUMMYFUNCTION("""COMPUTED_VALUE"""),"No")</f>
        <v>No</v>
      </c>
      <c r="AP2604" s="8"/>
      <c r="AQ2604" s="8" t="str">
        <f ca="1">IFERROR(__xludf.DUMMYFUNCTION("""COMPUTED_VALUE"""),"Unknown")</f>
        <v>Unknown</v>
      </c>
      <c r="AR2604" s="8" t="str">
        <f ca="1">IFERROR(__xludf.DUMMYFUNCTION("""COMPUTED_VALUE"""),"NA")</f>
        <v>NA</v>
      </c>
      <c r="AS2604" s="8">
        <f ca="1">IFERROR(__xludf.DUMMYFUNCTION("""COMPUTED_VALUE"""),3)</f>
        <v>3</v>
      </c>
      <c r="AT2604" s="8"/>
      <c r="AU2604" s="8">
        <f ca="1">IFERROR(__xludf.DUMMYFUNCTION("""COMPUTED_VALUE"""),34.007726)</f>
        <v>34.007725999999998</v>
      </c>
      <c r="AV2604" s="8">
        <f ca="1">IFERROR(__xludf.DUMMYFUNCTION("""COMPUTED_VALUE"""),-117.977145)</f>
        <v>-117.97714499999999</v>
      </c>
      <c r="AW2604" s="8"/>
      <c r="AX2604" s="8">
        <f ca="1">IFERROR(__xludf.DUMMYFUNCTION("""COMPUTED_VALUE"""),91745)</f>
        <v>91745</v>
      </c>
    </row>
    <row r="2605" spans="1:50" ht="75" x14ac:dyDescent="0.2">
      <c r="A2605" s="8" t="str">
        <f ca="1">IFERROR(__xludf.DUMMYFUNCTION("""COMPUTED_VALUE"""),"19931217MICHC")</f>
        <v>19931217MICHC</v>
      </c>
      <c r="B2605" s="8">
        <f ca="1">IFERROR(__xludf.DUMMYFUNCTION("""COMPUTED_VALUE"""),12)</f>
        <v>12</v>
      </c>
      <c r="C2605" s="8">
        <f ca="1">IFERROR(__xludf.DUMMYFUNCTION("""COMPUTED_VALUE"""),17)</f>
        <v>17</v>
      </c>
      <c r="D2605" s="8">
        <f ca="1">IFERROR(__xludf.DUMMYFUNCTION("""COMPUTED_VALUE"""),1993)</f>
        <v>1993</v>
      </c>
      <c r="E2605" s="9">
        <f ca="1">IFERROR(__xludf.DUMMYFUNCTION("""COMPUTED_VALUE"""),34320)</f>
        <v>34320</v>
      </c>
      <c r="F2605" s="8" t="str">
        <f ca="1">IFERROR(__xludf.DUMMYFUNCTION("""COMPUTED_VALUE"""),"Chelsea High School")</f>
        <v>Chelsea High School</v>
      </c>
      <c r="G2605" s="8">
        <f ca="1">IFERROR(__xludf.DUMMYFUNCTION("""COMPUTED_VALUE"""),1)</f>
        <v>1</v>
      </c>
      <c r="H2605" s="8">
        <f ca="1">IFERROR(__xludf.DUMMYFUNCTION("""COMPUTED_VALUE"""),2)</f>
        <v>2</v>
      </c>
      <c r="I2605" s="8">
        <f ca="1">IFERROR(__xludf.DUMMYFUNCTION("""COMPUTED_VALUE"""),3)</f>
        <v>3</v>
      </c>
      <c r="J2605" s="8">
        <f ca="1">IFERROR(__xludf.DUMMYFUNCTION("""COMPUTED_VALUE"""),0)</f>
        <v>0</v>
      </c>
      <c r="K2605" s="10" t="str">
        <f ca="1">IFERROR(__xludf.DUMMYFUNCTION("""COMPUTED_VALUE"""),"https://www.mlive.com/politics/index.ssf/2013/04/chelsea_school_shooter_gun_con.html")</f>
        <v>https://www.mlive.com/politics/index.ssf/2013/04/chelsea_school_shooter_gun_con.html</v>
      </c>
      <c r="L2605" s="8"/>
      <c r="M2605" s="8"/>
      <c r="N2605" s="8">
        <f ca="1">IFERROR(__xludf.DUMMYFUNCTION("""COMPUTED_VALUE"""),2)</f>
        <v>2</v>
      </c>
      <c r="O2605" s="8" t="str">
        <f ca="1">IFERROR(__xludf.DUMMYFUNCTION("""COMPUTED_VALUE"""),"Winter")</f>
        <v>Winter</v>
      </c>
      <c r="P2605" s="8" t="str">
        <f ca="1">IFERROR(__xludf.DUMMYFUNCTION("""COMPUTED_VALUE"""),"Chelsea")</f>
        <v>Chelsea</v>
      </c>
      <c r="Q2605" s="8" t="str">
        <f ca="1">IFERROR(__xludf.DUMMYFUNCTION("""COMPUTED_VALUE"""),"MI")</f>
        <v>MI</v>
      </c>
      <c r="R2605" s="8" t="str">
        <f ca="1">IFERROR(__xludf.DUMMYFUNCTION("""COMPUTED_VALUE"""),"High")</f>
        <v>High</v>
      </c>
      <c r="S2605" s="8" t="str">
        <f ca="1">IFERROR(__xludf.DUMMYFUNCTION("""COMPUTED_VALUE"""),"Office")</f>
        <v>Office</v>
      </c>
      <c r="T2605" s="8" t="str">
        <f ca="1">IFERROR(__xludf.DUMMYFUNCTION("""COMPUTED_VALUE"""),"Inside School Building")</f>
        <v>Inside School Building</v>
      </c>
      <c r="U2605" s="8" t="str">
        <f ca="1">IFERROR(__xludf.DUMMYFUNCTION("""COMPUTED_VALUE"""),"No")</f>
        <v>No</v>
      </c>
      <c r="V2605" s="8" t="str">
        <f ca="1">IFERROR(__xludf.DUMMYFUNCTION("""COMPUTED_VALUE"""),"After School")</f>
        <v>After School</v>
      </c>
      <c r="W2605" s="8"/>
      <c r="X2605" s="8"/>
      <c r="Y2605" s="12" t="str">
        <f ca="1">IFERROR(__xludf.DUMMYFUNCTION("""COMPUTED_VALUE"""),"Suspect - science teacher - walked into afterschool staff meeting and shot other staff members")</f>
        <v>Suspect - science teacher - walked into afterschool staff meeting and shot other staff members</v>
      </c>
      <c r="Z2605" s="12" t="str">
        <f ca="1">IFERROR(__xludf.DUMMYFUNCTION("""COMPUTED_VALUE"""),"Suspect was angry for being reprimanded by school admin over his inappropriate remarks related to a student")</f>
        <v>Suspect was angry for being reprimanded by school admin over his inappropriate remarks related to a student</v>
      </c>
      <c r="AA2605" s="8" t="str">
        <f ca="1">IFERROR(__xludf.DUMMYFUNCTION("""COMPUTED_VALUE"""),"Anger Over Grade/Suspension/Discipline")</f>
        <v>Anger Over Grade/Suspension/Discipline</v>
      </c>
      <c r="AB2605" s="8" t="str">
        <f ca="1">IFERROR(__xludf.DUMMYFUNCTION("""COMPUTED_VALUE"""),"Targeted")</f>
        <v>Targeted</v>
      </c>
      <c r="AC2605" s="8"/>
      <c r="AD2605" s="8" t="str">
        <f ca="1">IFERROR(__xludf.DUMMYFUNCTION("""COMPUTED_VALUE"""),"Victims Targeted")</f>
        <v>Victims Targeted</v>
      </c>
      <c r="AE2605" s="8"/>
      <c r="AF2605" s="8"/>
      <c r="AG2605" s="8" t="str">
        <f ca="1">IFERROR(__xludf.DUMMYFUNCTION("""COMPUTED_VALUE"""),"No")</f>
        <v>No</v>
      </c>
      <c r="AH2605" s="8" t="str">
        <f ca="1">IFERROR(__xludf.DUMMYFUNCTION("""COMPUTED_VALUE"""),"No")</f>
        <v>No</v>
      </c>
      <c r="AI2605" s="8" t="str">
        <f ca="1">IFERROR(__xludf.DUMMYFUNCTION("""COMPUTED_VALUE"""),"No")</f>
        <v>No</v>
      </c>
      <c r="AJ2605" s="8" t="str">
        <f ca="1">IFERROR(__xludf.DUMMYFUNCTION("""COMPUTED_VALUE"""),"No")</f>
        <v>No</v>
      </c>
      <c r="AK2605" s="8" t="str">
        <f ca="1">IFERROR(__xludf.DUMMYFUNCTION("""COMPUTED_VALUE"""),"No")</f>
        <v>No</v>
      </c>
      <c r="AL2605" s="8" t="str">
        <f ca="1">IFERROR(__xludf.DUMMYFUNCTION("""COMPUTED_VALUE"""),"No")</f>
        <v>No</v>
      </c>
      <c r="AM2605" s="8" t="str">
        <f ca="1">IFERROR(__xludf.DUMMYFUNCTION("""COMPUTED_VALUE"""),"Yes")</f>
        <v>Yes</v>
      </c>
      <c r="AN2605" s="8"/>
      <c r="AO2605" s="8" t="str">
        <f ca="1">IFERROR(__xludf.DUMMYFUNCTION("""COMPUTED_VALUE"""),"No")</f>
        <v>No</v>
      </c>
      <c r="AP2605" s="8"/>
      <c r="AQ2605" s="8" t="str">
        <f ca="1">IFERROR(__xludf.DUMMYFUNCTION("""COMPUTED_VALUE"""),"Unknown")</f>
        <v>Unknown</v>
      </c>
      <c r="AR2605" s="8" t="str">
        <f ca="1">IFERROR(__xludf.DUMMYFUNCTION("""COMPUTED_VALUE"""),"NA")</f>
        <v>NA</v>
      </c>
      <c r="AS2605" s="8"/>
      <c r="AT2605" s="8"/>
      <c r="AU2605" s="8">
        <f ca="1">IFERROR(__xludf.DUMMYFUNCTION("""COMPUTED_VALUE"""),42.311387)</f>
        <v>42.311387000000003</v>
      </c>
      <c r="AV2605" s="8">
        <f ca="1">IFERROR(__xludf.DUMMYFUNCTION("""COMPUTED_VALUE"""),-84.002362)</f>
        <v>-84.002362000000005</v>
      </c>
      <c r="AW2605" s="8"/>
      <c r="AX2605" s="8">
        <f ca="1">IFERROR(__xludf.DUMMYFUNCTION("""COMPUTED_VALUE"""),48118)</f>
        <v>48118</v>
      </c>
    </row>
    <row r="2606" spans="1:50" ht="30" x14ac:dyDescent="0.2">
      <c r="A2606" s="8" t="str">
        <f ca="1">IFERROR(__xludf.DUMMYFUNCTION("""COMPUTED_VALUE"""),"19931215CACHS")</f>
        <v>19931215CACHS</v>
      </c>
      <c r="B2606" s="8">
        <f ca="1">IFERROR(__xludf.DUMMYFUNCTION("""COMPUTED_VALUE"""),12)</f>
        <v>12</v>
      </c>
      <c r="C2606" s="8">
        <f ca="1">IFERROR(__xludf.DUMMYFUNCTION("""COMPUTED_VALUE"""),15)</f>
        <v>15</v>
      </c>
      <c r="D2606" s="8">
        <f ca="1">IFERROR(__xludf.DUMMYFUNCTION("""COMPUTED_VALUE"""),1993)</f>
        <v>1993</v>
      </c>
      <c r="E2606" s="9">
        <f ca="1">IFERROR(__xludf.DUMMYFUNCTION("""COMPUTED_VALUE"""),34318)</f>
        <v>34318</v>
      </c>
      <c r="F2606" s="8" t="str">
        <f ca="1">IFERROR(__xludf.DUMMYFUNCTION("""COMPUTED_VALUE"""),"Chatsworth High School")</f>
        <v>Chatsworth High School</v>
      </c>
      <c r="G2606" s="8">
        <f ca="1">IFERROR(__xludf.DUMMYFUNCTION("""COMPUTED_VALUE"""),1)</f>
        <v>1</v>
      </c>
      <c r="H2606" s="8">
        <f ca="1">IFERROR(__xludf.DUMMYFUNCTION("""COMPUTED_VALUE"""),0)</f>
        <v>0</v>
      </c>
      <c r="I2606" s="8">
        <f ca="1">IFERROR(__xludf.DUMMYFUNCTION("""COMPUTED_VALUE"""),1)</f>
        <v>1</v>
      </c>
      <c r="J2606" s="8">
        <f ca="1">IFERROR(__xludf.DUMMYFUNCTION("""COMPUTED_VALUE"""),0)</f>
        <v>0</v>
      </c>
      <c r="K2606" s="8" t="str">
        <f ca="1">IFERROR(__xludf.DUMMYFUNCTION("""COMPUTED_VALUE"""),"; https://www.columbine-angels.com/School_Violence_1993-1994.htm")</f>
        <v>; https://www.columbine-angels.com/School_Violence_1993-1994.htm</v>
      </c>
      <c r="L2606" s="8"/>
      <c r="M2606" s="8"/>
      <c r="N2606" s="8">
        <f ca="1">IFERROR(__xludf.DUMMYFUNCTION("""COMPUTED_VALUE"""),1)</f>
        <v>1</v>
      </c>
      <c r="O2606" s="8" t="str">
        <f ca="1">IFERROR(__xludf.DUMMYFUNCTION("""COMPUTED_VALUE"""),"Winter")</f>
        <v>Winter</v>
      </c>
      <c r="P2606" s="8" t="str">
        <f ca="1">IFERROR(__xludf.DUMMYFUNCTION("""COMPUTED_VALUE"""),"San Fernando Valley")</f>
        <v>San Fernando Valley</v>
      </c>
      <c r="Q2606" s="8" t="str">
        <f ca="1">IFERROR(__xludf.DUMMYFUNCTION("""COMPUTED_VALUE"""),"CA")</f>
        <v>CA</v>
      </c>
      <c r="R2606" s="8" t="str">
        <f ca="1">IFERROR(__xludf.DUMMYFUNCTION("""COMPUTED_VALUE"""),"High")</f>
        <v>High</v>
      </c>
      <c r="S2606" s="8" t="str">
        <f ca="1">IFERROR(__xludf.DUMMYFUNCTION("""COMPUTED_VALUE"""),"Outside on School Property")</f>
        <v>Outside on School Property</v>
      </c>
      <c r="T2606" s="8" t="str">
        <f ca="1">IFERROR(__xludf.DUMMYFUNCTION("""COMPUTED_VALUE"""),"Outside on School Property")</f>
        <v>Outside on School Property</v>
      </c>
      <c r="U2606" s="8" t="str">
        <f ca="1">IFERROR(__xludf.DUMMYFUNCTION("""COMPUTED_VALUE"""),"Yes")</f>
        <v>Yes</v>
      </c>
      <c r="V2606" s="8" t="str">
        <f ca="1">IFERROR(__xludf.DUMMYFUNCTION("""COMPUTED_VALUE"""),"Afternoon Classes")</f>
        <v>Afternoon Classes</v>
      </c>
      <c r="W2606" s="11">
        <f ca="1">IFERROR(__xludf.DUMMYFUNCTION("""COMPUTED_VALUE"""),0.569444444444444)</f>
        <v>0.56944444444444398</v>
      </c>
      <c r="X2606" s="8">
        <f ca="1">IFERROR(__xludf.DUMMYFUNCTION("""COMPUTED_VALUE"""),1)</f>
        <v>1</v>
      </c>
      <c r="Y2606" s="12" t="str">
        <f ca="1">IFERROR(__xludf.DUMMYFUNCTION("""COMPUTED_VALUE"""),"Shot during robbery of backpack")</f>
        <v>Shot during robbery of backpack</v>
      </c>
      <c r="Z2606" s="12" t="str">
        <f ca="1">IFERROR(__xludf.DUMMYFUNCTION("""COMPUTED_VALUE"""),"17YOM student shot during robbery of backpack by 14YOM shooter and 17YOM accomplice. Shooter fled.")</f>
        <v>17YOM student shot during robbery of backpack by 14YOM shooter and 17YOM accomplice. Shooter fled.</v>
      </c>
      <c r="AA2606" s="8" t="str">
        <f ca="1">IFERROR(__xludf.DUMMYFUNCTION("""COMPUTED_VALUE"""),"Illegal Activity")</f>
        <v>Illegal Activity</v>
      </c>
      <c r="AB2606" s="8"/>
      <c r="AC2606" s="8"/>
      <c r="AD2606" s="8" t="str">
        <f ca="1">IFERROR(__xludf.DUMMYFUNCTION("""COMPUTED_VALUE"""),"Victims Targeted")</f>
        <v>Victims Targeted</v>
      </c>
      <c r="AE2606" s="8" t="str">
        <f ca="1">IFERROR(__xludf.DUMMYFUNCTION("""COMPUTED_VALUE"""),"Yes")</f>
        <v>Yes</v>
      </c>
      <c r="AF2606" s="8" t="str">
        <f ca="1">IFERROR(__xludf.DUMMYFUNCTION("""COMPUTED_VALUE"""),"17YOM in car with shooter")</f>
        <v>17YOM in car with shooter</v>
      </c>
      <c r="AG2606" s="8" t="str">
        <f ca="1">IFERROR(__xludf.DUMMYFUNCTION("""COMPUTED_VALUE"""),"No")</f>
        <v>No</v>
      </c>
      <c r="AH2606" s="8" t="str">
        <f ca="1">IFERROR(__xludf.DUMMYFUNCTION("""COMPUTED_VALUE"""),"No")</f>
        <v>No</v>
      </c>
      <c r="AI2606" s="8" t="str">
        <f ca="1">IFERROR(__xludf.DUMMYFUNCTION("""COMPUTED_VALUE"""),"No")</f>
        <v>No</v>
      </c>
      <c r="AJ2606" s="8" t="str">
        <f ca="1">IFERROR(__xludf.DUMMYFUNCTION("""COMPUTED_VALUE"""),"No")</f>
        <v>No</v>
      </c>
      <c r="AK2606" s="8" t="str">
        <f ca="1">IFERROR(__xludf.DUMMYFUNCTION("""COMPUTED_VALUE"""),"No")</f>
        <v>No</v>
      </c>
      <c r="AL2606" s="8" t="str">
        <f ca="1">IFERROR(__xludf.DUMMYFUNCTION("""COMPUTED_VALUE"""),"No")</f>
        <v>No</v>
      </c>
      <c r="AM2606" s="8"/>
      <c r="AN2606" s="8"/>
      <c r="AO2606" s="8" t="str">
        <f ca="1">IFERROR(__xludf.DUMMYFUNCTION("""COMPUTED_VALUE"""),"No")</f>
        <v>No</v>
      </c>
      <c r="AP2606" s="8"/>
      <c r="AQ2606" s="8" t="str">
        <f ca="1">IFERROR(__xludf.DUMMYFUNCTION("""COMPUTED_VALUE"""),"Unknown")</f>
        <v>Unknown</v>
      </c>
      <c r="AR2606" s="8" t="str">
        <f ca="1">IFERROR(__xludf.DUMMYFUNCTION("""COMPUTED_VALUE"""),"NA")</f>
        <v>NA</v>
      </c>
      <c r="AS2606" s="8"/>
      <c r="AT2606" s="8"/>
      <c r="AU2606" s="8">
        <f ca="1">IFERROR(__xludf.DUMMYFUNCTION("""COMPUTED_VALUE"""),34.253355)</f>
        <v>34.253354999999999</v>
      </c>
      <c r="AV2606" s="8">
        <f ca="1">IFERROR(__xludf.DUMMYFUNCTION("""COMPUTED_VALUE"""),-118.586339)</f>
        <v>-118.586339</v>
      </c>
      <c r="AW2606" s="8"/>
      <c r="AX2606" s="8">
        <f ca="1">IFERROR(__xludf.DUMMYFUNCTION("""COMPUTED_VALUE"""),91311)</f>
        <v>91311</v>
      </c>
    </row>
    <row r="2607" spans="1:50" ht="45" x14ac:dyDescent="0.2">
      <c r="A2607" s="8" t="str">
        <f ca="1">IFERROR(__xludf.DUMMYFUNCTION("""COMPUTED_VALUE"""),"19931208GABES")</f>
        <v>19931208GABES</v>
      </c>
      <c r="B2607" s="8">
        <f ca="1">IFERROR(__xludf.DUMMYFUNCTION("""COMPUTED_VALUE"""),12)</f>
        <v>12</v>
      </c>
      <c r="C2607" s="8">
        <f ca="1">IFERROR(__xludf.DUMMYFUNCTION("""COMPUTED_VALUE"""),8)</f>
        <v>8</v>
      </c>
      <c r="D2607" s="8">
        <f ca="1">IFERROR(__xludf.DUMMYFUNCTION("""COMPUTED_VALUE"""),1993)</f>
        <v>1993</v>
      </c>
      <c r="E2607" s="9">
        <f ca="1">IFERROR(__xludf.DUMMYFUNCTION("""COMPUTED_VALUE"""),34311)</f>
        <v>34311</v>
      </c>
      <c r="F2607" s="8" t="str">
        <f ca="1">IFERROR(__xludf.DUMMYFUNCTION("""COMPUTED_VALUE"""),"Beach High School")</f>
        <v>Beach High School</v>
      </c>
      <c r="G2607" s="8">
        <f ca="1">IFERROR(__xludf.DUMMYFUNCTION("""COMPUTED_VALUE"""),1)</f>
        <v>1</v>
      </c>
      <c r="H2607" s="8">
        <f ca="1">IFERROR(__xludf.DUMMYFUNCTION("""COMPUTED_VALUE"""),0)</f>
        <v>0</v>
      </c>
      <c r="I2607" s="8">
        <f ca="1">IFERROR(__xludf.DUMMYFUNCTION("""COMPUTED_VALUE"""),1)</f>
        <v>1</v>
      </c>
      <c r="J2607" s="8">
        <f ca="1">IFERROR(__xludf.DUMMYFUNCTION("""COMPUTED_VALUE"""),0)</f>
        <v>0</v>
      </c>
      <c r="K2607" s="10" t="str">
        <f ca="1">IFERROR(__xludf.DUMMYFUNCTION("""COMPUTED_VALUE"""),"https://www.newspapers.com/image/403544801/?terms=Aron%2BGilliam")</f>
        <v>https://www.newspapers.com/image/403544801/?terms=Aron%2BGilliam</v>
      </c>
      <c r="L2607" s="8"/>
      <c r="M2607" s="8"/>
      <c r="N2607" s="8">
        <f ca="1">IFERROR(__xludf.DUMMYFUNCTION("""COMPUTED_VALUE"""),2)</f>
        <v>2</v>
      </c>
      <c r="O2607" s="8" t="str">
        <f ca="1">IFERROR(__xludf.DUMMYFUNCTION("""COMPUTED_VALUE"""),"Winter")</f>
        <v>Winter</v>
      </c>
      <c r="P2607" s="8" t="str">
        <f ca="1">IFERROR(__xludf.DUMMYFUNCTION("""COMPUTED_VALUE"""),"Savannah")</f>
        <v>Savannah</v>
      </c>
      <c r="Q2607" s="8" t="str">
        <f ca="1">IFERROR(__xludf.DUMMYFUNCTION("""COMPUTED_VALUE"""),"GA")</f>
        <v>GA</v>
      </c>
      <c r="R2607" s="8" t="str">
        <f ca="1">IFERROR(__xludf.DUMMYFUNCTION("""COMPUTED_VALUE"""),"High")</f>
        <v>High</v>
      </c>
      <c r="S2607" s="8" t="str">
        <f ca="1">IFERROR(__xludf.DUMMYFUNCTION("""COMPUTED_VALUE"""),"Front of School")</f>
        <v>Front of School</v>
      </c>
      <c r="T2607" s="8" t="str">
        <f ca="1">IFERROR(__xludf.DUMMYFUNCTION("""COMPUTED_VALUE"""),"Outside on School Property")</f>
        <v>Outside on School Property</v>
      </c>
      <c r="U2607" s="8" t="str">
        <f ca="1">IFERROR(__xludf.DUMMYFUNCTION("""COMPUTED_VALUE"""),"No")</f>
        <v>No</v>
      </c>
      <c r="V2607" s="8" t="str">
        <f ca="1">IFERROR(__xludf.DUMMYFUNCTION("""COMPUTED_VALUE"""),"Evening")</f>
        <v>Evening</v>
      </c>
      <c r="W2607" s="11">
        <f ca="1">IFERROR(__xludf.DUMMYFUNCTION("""COMPUTED_VALUE"""),0.833333333333333)</f>
        <v>0.83333333333333304</v>
      </c>
      <c r="X2607" s="8">
        <f ca="1">IFERROR(__xludf.DUMMYFUNCTION("""COMPUTED_VALUE"""),1)</f>
        <v>1</v>
      </c>
      <c r="Y2607" s="12" t="str">
        <f ca="1">IFERROR(__xludf.DUMMYFUNCTION("""COMPUTED_VALUE"""),"Gang related shooting at front door of school")</f>
        <v>Gang related shooting at front door of school</v>
      </c>
      <c r="Z2607" s="12" t="str">
        <f ca="1">IFERROR(__xludf.DUMMYFUNCTION("""COMPUTED_VALUE"""),"16YOM shot 15YOM outside of front door of school in gang related shooting.")</f>
        <v>16YOM shot 15YOM outside of front door of school in gang related shooting.</v>
      </c>
      <c r="AA2607" s="8" t="str">
        <f ca="1">IFERROR(__xludf.DUMMYFUNCTION("""COMPUTED_VALUE"""),"Escalation of Dispute")</f>
        <v>Escalation of Dispute</v>
      </c>
      <c r="AB2607" s="8"/>
      <c r="AC2607" s="8"/>
      <c r="AD2607" s="8" t="str">
        <f ca="1">IFERROR(__xludf.DUMMYFUNCTION("""COMPUTED_VALUE"""),"Victims Targeted")</f>
        <v>Victims Targeted</v>
      </c>
      <c r="AE2607" s="8" t="str">
        <f ca="1">IFERROR(__xludf.DUMMYFUNCTION("""COMPUTED_VALUE"""),"No")</f>
        <v>No</v>
      </c>
      <c r="AF2607" s="8"/>
      <c r="AG2607" s="8" t="str">
        <f ca="1">IFERROR(__xludf.DUMMYFUNCTION("""COMPUTED_VALUE"""),"No")</f>
        <v>No</v>
      </c>
      <c r="AH2607" s="8" t="str">
        <f ca="1">IFERROR(__xludf.DUMMYFUNCTION("""COMPUTED_VALUE"""),"No")</f>
        <v>No</v>
      </c>
      <c r="AI2607" s="8" t="str">
        <f ca="1">IFERROR(__xludf.DUMMYFUNCTION("""COMPUTED_VALUE"""),"No")</f>
        <v>No</v>
      </c>
      <c r="AJ2607" s="8" t="str">
        <f ca="1">IFERROR(__xludf.DUMMYFUNCTION("""COMPUTED_VALUE"""),"No")</f>
        <v>No</v>
      </c>
      <c r="AK2607" s="8" t="str">
        <f ca="1">IFERROR(__xludf.DUMMYFUNCTION("""COMPUTED_VALUE"""),"No")</f>
        <v>No</v>
      </c>
      <c r="AL2607" s="8" t="str">
        <f ca="1">IFERROR(__xludf.DUMMYFUNCTION("""COMPUTED_VALUE"""),"Yes")</f>
        <v>Yes</v>
      </c>
      <c r="AM2607" s="8"/>
      <c r="AN2607" s="8"/>
      <c r="AO2607" s="8" t="str">
        <f ca="1">IFERROR(__xludf.DUMMYFUNCTION("""COMPUTED_VALUE"""),"No")</f>
        <v>No</v>
      </c>
      <c r="AP2607" s="8"/>
      <c r="AQ2607" s="8" t="str">
        <f ca="1">IFERROR(__xludf.DUMMYFUNCTION("""COMPUTED_VALUE"""),"Unknown")</f>
        <v>Unknown</v>
      </c>
      <c r="AR2607" s="8" t="str">
        <f ca="1">IFERROR(__xludf.DUMMYFUNCTION("""COMPUTED_VALUE"""),"NA")</f>
        <v>NA</v>
      </c>
      <c r="AS2607" s="8"/>
      <c r="AT2607" s="8"/>
      <c r="AU2607" s="8">
        <f ca="1">IFERROR(__xludf.DUMMYFUNCTION("""COMPUTED_VALUE"""),32.054086)</f>
        <v>32.054085999999998</v>
      </c>
      <c r="AV2607" s="8">
        <f ca="1">IFERROR(__xludf.DUMMYFUNCTION("""COMPUTED_VALUE"""),-81.11673)</f>
        <v>-81.116730000000004</v>
      </c>
      <c r="AW2607" s="8"/>
      <c r="AX2607" s="8">
        <f ca="1">IFERROR(__xludf.DUMMYFUNCTION("""COMPUTED_VALUE"""),31405)</f>
        <v>31405</v>
      </c>
    </row>
    <row r="2608" spans="1:50" ht="75" x14ac:dyDescent="0.2">
      <c r="A2608" s="8" t="str">
        <f ca="1">IFERROR(__xludf.DUMMYFUNCTION("""COMPUTED_VALUE"""),"19931202CTNEN")</f>
        <v>19931202CTNEN</v>
      </c>
      <c r="B2608" s="8">
        <f ca="1">IFERROR(__xludf.DUMMYFUNCTION("""COMPUTED_VALUE"""),12)</f>
        <v>12</v>
      </c>
      <c r="C2608" s="8">
        <f ca="1">IFERROR(__xludf.DUMMYFUNCTION("""COMPUTED_VALUE"""),2)</f>
        <v>2</v>
      </c>
      <c r="D2608" s="8">
        <f ca="1">IFERROR(__xludf.DUMMYFUNCTION("""COMPUTED_VALUE"""),1993)</f>
        <v>1993</v>
      </c>
      <c r="E2608" s="9">
        <f ca="1">IFERROR(__xludf.DUMMYFUNCTION("""COMPUTED_VALUE"""),34305)</f>
        <v>34305</v>
      </c>
      <c r="F2608" s="8" t="str">
        <f ca="1">IFERROR(__xludf.DUMMYFUNCTION("""COMPUTED_VALUE"""),"New Britain High School")</f>
        <v>New Britain High School</v>
      </c>
      <c r="G2608" s="8">
        <f ca="1">IFERROR(__xludf.DUMMYFUNCTION("""COMPUTED_VALUE"""),1)</f>
        <v>1</v>
      </c>
      <c r="H2608" s="8">
        <f ca="1">IFERROR(__xludf.DUMMYFUNCTION("""COMPUTED_VALUE"""),0)</f>
        <v>0</v>
      </c>
      <c r="I2608" s="8">
        <f ca="1">IFERROR(__xludf.DUMMYFUNCTION("""COMPUTED_VALUE"""),1)</f>
        <v>1</v>
      </c>
      <c r="J2608" s="8">
        <f ca="1">IFERROR(__xludf.DUMMYFUNCTION("""COMPUTED_VALUE"""),0)</f>
        <v>0</v>
      </c>
      <c r="K2608" s="10" t="str">
        <f ca="1">IFERROR(__xludf.DUMMYFUNCTION("""COMPUTED_VALUE"""),"https://www.newspapers.com/image/175645669/?terms=New%2BBritain%2BHigh%2BSchool%2Bshooting")</f>
        <v>https://www.newspapers.com/image/175645669/?terms=New%2BBritain%2BHigh%2BSchool%2Bshooting</v>
      </c>
      <c r="L2608" s="8"/>
      <c r="M2608" s="8"/>
      <c r="N2608" s="8">
        <f ca="1">IFERROR(__xludf.DUMMYFUNCTION("""COMPUTED_VALUE"""),2)</f>
        <v>2</v>
      </c>
      <c r="O2608" s="8" t="str">
        <f ca="1">IFERROR(__xludf.DUMMYFUNCTION("""COMPUTED_VALUE"""),"Winter")</f>
        <v>Winter</v>
      </c>
      <c r="P2608" s="8" t="str">
        <f ca="1">IFERROR(__xludf.DUMMYFUNCTION("""COMPUTED_VALUE"""),"New Britain")</f>
        <v>New Britain</v>
      </c>
      <c r="Q2608" s="8" t="str">
        <f ca="1">IFERROR(__xludf.DUMMYFUNCTION("""COMPUTED_VALUE"""),"CT")</f>
        <v>CT</v>
      </c>
      <c r="R2608" s="8" t="str">
        <f ca="1">IFERROR(__xludf.DUMMYFUNCTION("""COMPUTED_VALUE"""),"High")</f>
        <v>High</v>
      </c>
      <c r="S2608" s="8" t="str">
        <f ca="1">IFERROR(__xludf.DUMMYFUNCTION("""COMPUTED_VALUE"""),"Front of School")</f>
        <v>Front of School</v>
      </c>
      <c r="T2608" s="8" t="str">
        <f ca="1">IFERROR(__xludf.DUMMYFUNCTION("""COMPUTED_VALUE"""),"Outside on School Property")</f>
        <v>Outside on School Property</v>
      </c>
      <c r="U2608" s="8" t="str">
        <f ca="1">IFERROR(__xludf.DUMMYFUNCTION("""COMPUTED_VALUE"""),"No")</f>
        <v>No</v>
      </c>
      <c r="V2608" s="8"/>
      <c r="W2608" s="8"/>
      <c r="X2608" s="8">
        <f ca="1">IFERROR(__xludf.DUMMYFUNCTION("""COMPUTED_VALUE"""),1)</f>
        <v>1</v>
      </c>
      <c r="Y2608" s="12" t="str">
        <f ca="1">IFERROR(__xludf.DUMMYFUNCTION("""COMPUTED_VALUE"""),"Masked gunman shot student on school steps, possible gang related")</f>
        <v>Masked gunman shot student on school steps, possible gang related</v>
      </c>
      <c r="Z2608" s="12" t="str">
        <f ca="1">IFERROR(__xludf.DUMMYFUNCTION("""COMPUTED_VALUE"""),"18YOM student shot on the steps of the high school by a masked gunman who fled the area.")</f>
        <v>18YOM student shot on the steps of the high school by a masked gunman who fled the area.</v>
      </c>
      <c r="AA2608" s="8" t="str">
        <f ca="1">IFERROR(__xludf.DUMMYFUNCTION("""COMPUTED_VALUE"""),"Escalation of Dispute")</f>
        <v>Escalation of Dispute</v>
      </c>
      <c r="AB2608" s="8"/>
      <c r="AC2608" s="8"/>
      <c r="AD2608" s="8" t="str">
        <f ca="1">IFERROR(__xludf.DUMMYFUNCTION("""COMPUTED_VALUE"""),"Victims Targeted")</f>
        <v>Victims Targeted</v>
      </c>
      <c r="AE2608" s="8" t="str">
        <f ca="1">IFERROR(__xludf.DUMMYFUNCTION("""COMPUTED_VALUE"""),"No")</f>
        <v>No</v>
      </c>
      <c r="AF2608" s="8"/>
      <c r="AG2608" s="8" t="str">
        <f ca="1">IFERROR(__xludf.DUMMYFUNCTION("""COMPUTED_VALUE"""),"No")</f>
        <v>No</v>
      </c>
      <c r="AH2608" s="8" t="str">
        <f ca="1">IFERROR(__xludf.DUMMYFUNCTION("""COMPUTED_VALUE"""),"No")</f>
        <v>No</v>
      </c>
      <c r="AI2608" s="8" t="str">
        <f ca="1">IFERROR(__xludf.DUMMYFUNCTION("""COMPUTED_VALUE"""),"No")</f>
        <v>No</v>
      </c>
      <c r="AJ2608" s="8" t="str">
        <f ca="1">IFERROR(__xludf.DUMMYFUNCTION("""COMPUTED_VALUE"""),"No")</f>
        <v>No</v>
      </c>
      <c r="AK2608" s="8" t="str">
        <f ca="1">IFERROR(__xludf.DUMMYFUNCTION("""COMPUTED_VALUE"""),"No")</f>
        <v>No</v>
      </c>
      <c r="AL2608" s="8" t="str">
        <f ca="1">IFERROR(__xludf.DUMMYFUNCTION("""COMPUTED_VALUE"""),"Yes")</f>
        <v>Yes</v>
      </c>
      <c r="AM2608" s="8"/>
      <c r="AN2608" s="8"/>
      <c r="AO2608" s="8" t="str">
        <f ca="1">IFERROR(__xludf.DUMMYFUNCTION("""COMPUTED_VALUE"""),"No")</f>
        <v>No</v>
      </c>
      <c r="AP2608" s="8"/>
      <c r="AQ2608" s="8" t="str">
        <f ca="1">IFERROR(__xludf.DUMMYFUNCTION("""COMPUTED_VALUE"""),"Unknown")</f>
        <v>Unknown</v>
      </c>
      <c r="AR2608" s="8" t="str">
        <f ca="1">IFERROR(__xludf.DUMMYFUNCTION("""COMPUTED_VALUE"""),"NA")</f>
        <v>NA</v>
      </c>
      <c r="AS2608" s="8"/>
      <c r="AT2608" s="8"/>
      <c r="AU2608" s="8">
        <f ca="1">IFERROR(__xludf.DUMMYFUNCTION("""COMPUTED_VALUE"""),41.649824)</f>
        <v>41.649824000000002</v>
      </c>
      <c r="AV2608" s="8">
        <f ca="1">IFERROR(__xludf.DUMMYFUNCTION("""COMPUTED_VALUE"""),-72.778119)</f>
        <v>-72.778119000000004</v>
      </c>
      <c r="AW2608" s="8"/>
      <c r="AX2608" s="8">
        <f ca="1">IFERROR(__xludf.DUMMYFUNCTION("""COMPUTED_VALUE"""),6051)</f>
        <v>6051</v>
      </c>
    </row>
    <row r="2609" spans="1:50" ht="105" x14ac:dyDescent="0.2">
      <c r="A2609" s="8" t="str">
        <f ca="1">IFERROR(__xludf.DUMMYFUNCTION("""COMPUTED_VALUE"""),"19931201WIWAW")</f>
        <v>19931201WIWAW</v>
      </c>
      <c r="B2609" s="8">
        <f ca="1">IFERROR(__xludf.DUMMYFUNCTION("""COMPUTED_VALUE"""),12)</f>
        <v>12</v>
      </c>
      <c r="C2609" s="8">
        <f ca="1">IFERROR(__xludf.DUMMYFUNCTION("""COMPUTED_VALUE"""),1)</f>
        <v>1</v>
      </c>
      <c r="D2609" s="8">
        <f ca="1">IFERROR(__xludf.DUMMYFUNCTION("""COMPUTED_VALUE"""),1993)</f>
        <v>1993</v>
      </c>
      <c r="E2609" s="9">
        <f ca="1">IFERROR(__xludf.DUMMYFUNCTION("""COMPUTED_VALUE"""),34304)</f>
        <v>34304</v>
      </c>
      <c r="F2609" s="8" t="str">
        <f ca="1">IFERROR(__xludf.DUMMYFUNCTION("""COMPUTED_VALUE"""),"Wauwatosa West High School")</f>
        <v>Wauwatosa West High School</v>
      </c>
      <c r="G2609" s="8">
        <f ca="1">IFERROR(__xludf.DUMMYFUNCTION("""COMPUTED_VALUE"""),1)</f>
        <v>1</v>
      </c>
      <c r="H2609" s="8">
        <f ca="1">IFERROR(__xludf.DUMMYFUNCTION("""COMPUTED_VALUE"""),0)</f>
        <v>0</v>
      </c>
      <c r="I2609" s="8">
        <f ca="1">IFERROR(__xludf.DUMMYFUNCTION("""COMPUTED_VALUE"""),1)</f>
        <v>1</v>
      </c>
      <c r="J2609" s="8">
        <f ca="1">IFERROR(__xludf.DUMMYFUNCTION("""COMPUTED_VALUE"""),0)</f>
        <v>0</v>
      </c>
      <c r="K2609" s="10" t="str">
        <f ca="1">IFERROR(__xludf.DUMMYFUNCTION("""COMPUTED_VALUE"""),"http://journaltimes.com/news/former-student-arrested-in-tosa-west-slaying/article_dfb15b1e-986c-5b2b-ba06-76388109b2cf.html")</f>
        <v>http://journaltimes.com/news/former-student-arrested-in-tosa-west-slaying/article_dfb15b1e-986c-5b2b-ba06-76388109b2cf.html</v>
      </c>
      <c r="L2609" s="8"/>
      <c r="M2609" s="8"/>
      <c r="N2609" s="8">
        <f ca="1">IFERROR(__xludf.DUMMYFUNCTION("""COMPUTED_VALUE"""),2)</f>
        <v>2</v>
      </c>
      <c r="O2609" s="8" t="str">
        <f ca="1">IFERROR(__xludf.DUMMYFUNCTION("""COMPUTED_VALUE"""),"Winter")</f>
        <v>Winter</v>
      </c>
      <c r="P2609" s="8" t="str">
        <f ca="1">IFERROR(__xludf.DUMMYFUNCTION("""COMPUTED_VALUE"""),"Wauwatosa")</f>
        <v>Wauwatosa</v>
      </c>
      <c r="Q2609" s="8" t="str">
        <f ca="1">IFERROR(__xludf.DUMMYFUNCTION("""COMPUTED_VALUE"""),"WI")</f>
        <v>WI</v>
      </c>
      <c r="R2609" s="8" t="str">
        <f ca="1">IFERROR(__xludf.DUMMYFUNCTION("""COMPUTED_VALUE"""),"High")</f>
        <v>High</v>
      </c>
      <c r="S2609" s="8" t="str">
        <f ca="1">IFERROR(__xludf.DUMMYFUNCTION("""COMPUTED_VALUE"""),"Hallway")</f>
        <v>Hallway</v>
      </c>
      <c r="T2609" s="8" t="str">
        <f ca="1">IFERROR(__xludf.DUMMYFUNCTION("""COMPUTED_VALUE"""),"Inside School Building")</f>
        <v>Inside School Building</v>
      </c>
      <c r="U2609" s="8" t="str">
        <f ca="1">IFERROR(__xludf.DUMMYFUNCTION("""COMPUTED_VALUE"""),"Yes")</f>
        <v>Yes</v>
      </c>
      <c r="V2609" s="8" t="str">
        <f ca="1">IFERROR(__xludf.DUMMYFUNCTION("""COMPUTED_VALUE"""),"Unknown")</f>
        <v>Unknown</v>
      </c>
      <c r="W2609" s="8"/>
      <c r="X2609" s="8"/>
      <c r="Y2609" s="12" t="str">
        <f ca="1">IFERROR(__xludf.DUMMYFUNCTION("""COMPUTED_VALUE"""),"Killed principal, history of disciplinary issues")</f>
        <v>Killed principal, history of disciplinary issues</v>
      </c>
      <c r="Z2609" s="12" t="str">
        <f ca="1">IFERROR(__xludf.DUMMYFUNCTION("""COMPUTED_VALUE"""),"Shooter was a former student with a history of disciplinary issues at the school. Shooter lived near school, walked into the school building, fired multiple shots in the hallway killing the principal, and fled to his home where he was arrested without inc"&amp;"ident. Shooter had been arrested for battery a student and loitering around the school building the previous year.")</f>
        <v>Shooter was a former student with a history of disciplinary issues at the school. Shooter lived near school, walked into the school building, fired multiple shots in the hallway killing the principal, and fled to his home where he was arrested without incident. Shooter had been arrested for battery a student and loitering around the school building the previous year.</v>
      </c>
      <c r="AA2609" s="8" t="str">
        <f ca="1">IFERROR(__xludf.DUMMYFUNCTION("""COMPUTED_VALUE"""),"Anger Over Grade/Suspension/Discipline")</f>
        <v>Anger Over Grade/Suspension/Discipline</v>
      </c>
      <c r="AB2609" s="8"/>
      <c r="AC2609" s="8"/>
      <c r="AD2609" s="8" t="str">
        <f ca="1">IFERROR(__xludf.DUMMYFUNCTION("""COMPUTED_VALUE"""),"Victims Targeted")</f>
        <v>Victims Targeted</v>
      </c>
      <c r="AE2609" s="8" t="str">
        <f ca="1">IFERROR(__xludf.DUMMYFUNCTION("""COMPUTED_VALUE"""),"No")</f>
        <v>No</v>
      </c>
      <c r="AF2609" s="8"/>
      <c r="AG2609" s="8" t="str">
        <f ca="1">IFERROR(__xludf.DUMMYFUNCTION("""COMPUTED_VALUE"""),"No")</f>
        <v>No</v>
      </c>
      <c r="AH2609" s="8" t="str">
        <f ca="1">IFERROR(__xludf.DUMMYFUNCTION("""COMPUTED_VALUE"""),"No")</f>
        <v>No</v>
      </c>
      <c r="AI2609" s="8" t="str">
        <f ca="1">IFERROR(__xludf.DUMMYFUNCTION("""COMPUTED_VALUE"""),"No")</f>
        <v>No</v>
      </c>
      <c r="AJ2609" s="8" t="str">
        <f ca="1">IFERROR(__xludf.DUMMYFUNCTION("""COMPUTED_VALUE"""),"No")</f>
        <v>No</v>
      </c>
      <c r="AK2609" s="8" t="str">
        <f ca="1">IFERROR(__xludf.DUMMYFUNCTION("""COMPUTED_VALUE"""),"No")</f>
        <v>No</v>
      </c>
      <c r="AL2609" s="8" t="str">
        <f ca="1">IFERROR(__xludf.DUMMYFUNCTION("""COMPUTED_VALUE"""),"No")</f>
        <v>No</v>
      </c>
      <c r="AM2609" s="8"/>
      <c r="AN2609" s="8"/>
      <c r="AO2609" s="8" t="str">
        <f ca="1">IFERROR(__xludf.DUMMYFUNCTION("""COMPUTED_VALUE"""),"No")</f>
        <v>No</v>
      </c>
      <c r="AP2609" s="8"/>
      <c r="AQ2609" s="8" t="str">
        <f ca="1">IFERROR(__xludf.DUMMYFUNCTION("""COMPUTED_VALUE"""),"Unknown")</f>
        <v>Unknown</v>
      </c>
      <c r="AR2609" s="8" t="str">
        <f ca="1">IFERROR(__xludf.DUMMYFUNCTION("""COMPUTED_VALUE"""),"NA")</f>
        <v>NA</v>
      </c>
      <c r="AS2609" s="8"/>
      <c r="AT2609" s="8"/>
      <c r="AU2609" s="8">
        <f ca="1">IFERROR(__xludf.DUMMYFUNCTION("""COMPUTED_VALUE"""),43.068331)</f>
        <v>43.068331000000001</v>
      </c>
      <c r="AV2609" s="8">
        <f ca="1">IFERROR(__xludf.DUMMYFUNCTION("""COMPUTED_VALUE"""),-88.05546)</f>
        <v>-88.055459999999997</v>
      </c>
      <c r="AW2609" s="8"/>
      <c r="AX2609" s="8">
        <f ca="1">IFERROR(__xludf.DUMMYFUNCTION("""COMPUTED_VALUE"""),53226)</f>
        <v>53226</v>
      </c>
    </row>
    <row r="2610" spans="1:50" ht="60" x14ac:dyDescent="0.2">
      <c r="A2610" s="8" t="str">
        <f ca="1">IFERROR(__xludf.DUMMYFUNCTION("""COMPUTED_VALUE"""),"19931111ILRIS")</f>
        <v>19931111ILRIS</v>
      </c>
      <c r="B2610" s="8">
        <f ca="1">IFERROR(__xludf.DUMMYFUNCTION("""COMPUTED_VALUE"""),11)</f>
        <v>11</v>
      </c>
      <c r="C2610" s="8">
        <f ca="1">IFERROR(__xludf.DUMMYFUNCTION("""COMPUTED_VALUE"""),11)</f>
        <v>11</v>
      </c>
      <c r="D2610" s="8">
        <f ca="1">IFERROR(__xludf.DUMMYFUNCTION("""COMPUTED_VALUE"""),1993)</f>
        <v>1993</v>
      </c>
      <c r="E2610" s="9">
        <f ca="1">IFERROR(__xludf.DUMMYFUNCTION("""COMPUTED_VALUE"""),34284)</f>
        <v>34284</v>
      </c>
      <c r="F2610" s="8" t="str">
        <f ca="1">IFERROR(__xludf.DUMMYFUNCTION("""COMPUTED_VALUE"""),"Ridgely Elementary School")</f>
        <v>Ridgely Elementary School</v>
      </c>
      <c r="G2610" s="8">
        <f ca="1">IFERROR(__xludf.DUMMYFUNCTION("""COMPUTED_VALUE"""),1)</f>
        <v>1</v>
      </c>
      <c r="H2610" s="8">
        <f ca="1">IFERROR(__xludf.DUMMYFUNCTION("""COMPUTED_VALUE"""),0)</f>
        <v>0</v>
      </c>
      <c r="I2610" s="8">
        <f ca="1">IFERROR(__xludf.DUMMYFUNCTION("""COMPUTED_VALUE"""),1)</f>
        <v>1</v>
      </c>
      <c r="J2610" s="8">
        <f ca="1">IFERROR(__xludf.DUMMYFUNCTION("""COMPUTED_VALUE"""),0)</f>
        <v>0</v>
      </c>
      <c r="K2610" s="10" t="str">
        <f ca="1">IFERROR(__xludf.DUMMYFUNCTION("""COMPUTED_VALUE"""),"https://www.newspapers.com/image/195155455/?terms=Harold%2BPage%2BIII")</f>
        <v>https://www.newspapers.com/image/195155455/?terms=Harold%2BPage%2BIII</v>
      </c>
      <c r="L2610" s="8"/>
      <c r="M2610" s="8"/>
      <c r="N2610" s="8">
        <f ca="1">IFERROR(__xludf.DUMMYFUNCTION("""COMPUTED_VALUE"""),2)</f>
        <v>2</v>
      </c>
      <c r="O2610" s="8" t="str">
        <f ca="1">IFERROR(__xludf.DUMMYFUNCTION("""COMPUTED_VALUE"""),"Fall")</f>
        <v>Fall</v>
      </c>
      <c r="P2610" s="8" t="str">
        <f ca="1">IFERROR(__xludf.DUMMYFUNCTION("""COMPUTED_VALUE"""),"Springfield")</f>
        <v>Springfield</v>
      </c>
      <c r="Q2610" s="8" t="str">
        <f ca="1">IFERROR(__xludf.DUMMYFUNCTION("""COMPUTED_VALUE"""),"IL")</f>
        <v>IL</v>
      </c>
      <c r="R2610" s="8" t="str">
        <f ca="1">IFERROR(__xludf.DUMMYFUNCTION("""COMPUTED_VALUE"""),"High")</f>
        <v>High</v>
      </c>
      <c r="S2610" s="8" t="str">
        <f ca="1">IFERROR(__xludf.DUMMYFUNCTION("""COMPUTED_VALUE"""),"Hallway")</f>
        <v>Hallway</v>
      </c>
      <c r="T2610" s="8" t="str">
        <f ca="1">IFERROR(__xludf.DUMMYFUNCTION("""COMPUTED_VALUE"""),"Inside School Building")</f>
        <v>Inside School Building</v>
      </c>
      <c r="U2610" s="8" t="str">
        <f ca="1">IFERROR(__xludf.DUMMYFUNCTION("""COMPUTED_VALUE"""),"No")</f>
        <v>No</v>
      </c>
      <c r="V2610" s="8" t="str">
        <f ca="1">IFERROR(__xludf.DUMMYFUNCTION("""COMPUTED_VALUE"""),"Night")</f>
        <v>Night</v>
      </c>
      <c r="W2610" s="11">
        <f ca="1">IFERROR(__xludf.DUMMYFUNCTION("""COMPUTED_VALUE"""),0)</f>
        <v>0</v>
      </c>
      <c r="X2610" s="8">
        <f ca="1">IFERROR(__xludf.DUMMYFUNCTION("""COMPUTED_VALUE"""),1)</f>
        <v>1</v>
      </c>
      <c r="Y2610" s="12" t="str">
        <f ca="1">IFERROR(__xludf.DUMMYFUNCTION("""COMPUTED_VALUE"""),"Shot in head in stairwell, found next morning, gang related")</f>
        <v>Shot in head in stairwell, found next morning, gang related</v>
      </c>
      <c r="Z2610" s="12" t="str">
        <f ca="1">IFERROR(__xludf.DUMMYFUNCTION("""COMPUTED_VALUE"""),"14YOM found dead from GSW to the head in the stairwell of the school. Believed to be shot overnight. Police said shooting was gang related. Victim was not student at school. No shooter identified.")</f>
        <v>14YOM found dead from GSW to the head in the stairwell of the school. Believed to be shot overnight. Police said shooting was gang related. Victim was not student at school. No shooter identified.</v>
      </c>
      <c r="AA2610" s="8" t="str">
        <f ca="1">IFERROR(__xludf.DUMMYFUNCTION("""COMPUTED_VALUE"""),"Escalation of Dispute")</f>
        <v>Escalation of Dispute</v>
      </c>
      <c r="AB2610" s="8"/>
      <c r="AC2610" s="8"/>
      <c r="AD2610" s="8" t="str">
        <f ca="1">IFERROR(__xludf.DUMMYFUNCTION("""COMPUTED_VALUE"""),"Victims Targeted")</f>
        <v>Victims Targeted</v>
      </c>
      <c r="AE2610" s="8" t="str">
        <f ca="1">IFERROR(__xludf.DUMMYFUNCTION("""COMPUTED_VALUE"""),"No")</f>
        <v>No</v>
      </c>
      <c r="AF2610" s="8"/>
      <c r="AG2610" s="8" t="str">
        <f ca="1">IFERROR(__xludf.DUMMYFUNCTION("""COMPUTED_VALUE"""),"No")</f>
        <v>No</v>
      </c>
      <c r="AH2610" s="8" t="str">
        <f ca="1">IFERROR(__xludf.DUMMYFUNCTION("""COMPUTED_VALUE"""),"No")</f>
        <v>No</v>
      </c>
      <c r="AI2610" s="8" t="str">
        <f ca="1">IFERROR(__xludf.DUMMYFUNCTION("""COMPUTED_VALUE"""),"No")</f>
        <v>No</v>
      </c>
      <c r="AJ2610" s="8" t="str">
        <f ca="1">IFERROR(__xludf.DUMMYFUNCTION("""COMPUTED_VALUE"""),"No")</f>
        <v>No</v>
      </c>
      <c r="AK2610" s="8" t="str">
        <f ca="1">IFERROR(__xludf.DUMMYFUNCTION("""COMPUTED_VALUE"""),"No")</f>
        <v>No</v>
      </c>
      <c r="AL2610" s="8" t="str">
        <f ca="1">IFERROR(__xludf.DUMMYFUNCTION("""COMPUTED_VALUE"""),"Yes")</f>
        <v>Yes</v>
      </c>
      <c r="AM2610" s="8"/>
      <c r="AN2610" s="8"/>
      <c r="AO2610" s="8" t="str">
        <f ca="1">IFERROR(__xludf.DUMMYFUNCTION("""COMPUTED_VALUE"""),"No")</f>
        <v>No</v>
      </c>
      <c r="AP2610" s="8"/>
      <c r="AQ2610" s="8" t="str">
        <f ca="1">IFERROR(__xludf.DUMMYFUNCTION("""COMPUTED_VALUE"""),"Unknown")</f>
        <v>Unknown</v>
      </c>
      <c r="AR2610" s="8" t="str">
        <f ca="1">IFERROR(__xludf.DUMMYFUNCTION("""COMPUTED_VALUE"""),"NA")</f>
        <v>NA</v>
      </c>
      <c r="AS2610" s="8">
        <f ca="1">IFERROR(__xludf.DUMMYFUNCTION("""COMPUTED_VALUE"""),2)</f>
        <v>2</v>
      </c>
      <c r="AT2610" s="8"/>
      <c r="AU2610" s="8">
        <f ca="1">IFERROR(__xludf.DUMMYFUNCTION("""COMPUTED_VALUE"""),39.82912)</f>
        <v>39.829120000000003</v>
      </c>
      <c r="AV2610" s="8">
        <f ca="1">IFERROR(__xludf.DUMMYFUNCTION("""COMPUTED_VALUE"""),-89.643374)</f>
        <v>-89.643373999999994</v>
      </c>
      <c r="AW2610" s="8"/>
      <c r="AX2610" s="8">
        <f ca="1">IFERROR(__xludf.DUMMYFUNCTION("""COMPUTED_VALUE"""),62702)</f>
        <v>62702</v>
      </c>
    </row>
    <row r="2611" spans="1:50" ht="45" x14ac:dyDescent="0.2">
      <c r="A2611" s="8" t="str">
        <f ca="1">IFERROR(__xludf.DUMMYFUNCTION("""COMPUTED_VALUE"""),"19931104MSBAB")</f>
        <v>19931104MSBAB</v>
      </c>
      <c r="B2611" s="8">
        <f ca="1">IFERROR(__xludf.DUMMYFUNCTION("""COMPUTED_VALUE"""),11)</f>
        <v>11</v>
      </c>
      <c r="C2611" s="8">
        <f ca="1">IFERROR(__xludf.DUMMYFUNCTION("""COMPUTED_VALUE"""),4)</f>
        <v>4</v>
      </c>
      <c r="D2611" s="8">
        <f ca="1">IFERROR(__xludf.DUMMYFUNCTION("""COMPUTED_VALUE"""),1993)</f>
        <v>1993</v>
      </c>
      <c r="E2611" s="9">
        <f ca="1">IFERROR(__xludf.DUMMYFUNCTION("""COMPUTED_VALUE"""),34277)</f>
        <v>34277</v>
      </c>
      <c r="F2611" s="8" t="str">
        <f ca="1">IFERROR(__xludf.DUMMYFUNCTION("""COMPUTED_VALUE"""),"Bay Springs High School")</f>
        <v>Bay Springs High School</v>
      </c>
      <c r="G2611" s="8">
        <f ca="1">IFERROR(__xludf.DUMMYFUNCTION("""COMPUTED_VALUE"""),1)</f>
        <v>1</v>
      </c>
      <c r="H2611" s="8">
        <f ca="1">IFERROR(__xludf.DUMMYFUNCTION("""COMPUTED_VALUE"""),0)</f>
        <v>0</v>
      </c>
      <c r="I2611" s="8">
        <f ca="1">IFERROR(__xludf.DUMMYFUNCTION("""COMPUTED_VALUE"""),1)</f>
        <v>1</v>
      </c>
      <c r="J2611" s="8">
        <f ca="1">IFERROR(__xludf.DUMMYFUNCTION("""COMPUTED_VALUE"""),0)</f>
        <v>0</v>
      </c>
      <c r="K2611" s="10" t="str">
        <f ca="1">IFERROR(__xludf.DUMMYFUNCTION("""COMPUTED_VALUE"""),"https://www.newspapers.com/image/278601708/?terms=Bay%2BSprings%2BHigh%2BSchool%2Bshooting")</f>
        <v>https://www.newspapers.com/image/278601708/?terms=Bay%2BSprings%2BHigh%2BSchool%2Bshooting</v>
      </c>
      <c r="L2611" s="8"/>
      <c r="M2611" s="8"/>
      <c r="N2611" s="8">
        <f ca="1">IFERROR(__xludf.DUMMYFUNCTION("""COMPUTED_VALUE"""),2)</f>
        <v>2</v>
      </c>
      <c r="O2611" s="8" t="str">
        <f ca="1">IFERROR(__xludf.DUMMYFUNCTION("""COMPUTED_VALUE"""),"Fall")</f>
        <v>Fall</v>
      </c>
      <c r="P2611" s="8" t="str">
        <f ca="1">IFERROR(__xludf.DUMMYFUNCTION("""COMPUTED_VALUE"""),"Bay Springs")</f>
        <v>Bay Springs</v>
      </c>
      <c r="Q2611" s="8" t="str">
        <f ca="1">IFERROR(__xludf.DUMMYFUNCTION("""COMPUTED_VALUE"""),"MS")</f>
        <v>MS</v>
      </c>
      <c r="R2611" s="8" t="str">
        <f ca="1">IFERROR(__xludf.DUMMYFUNCTION("""COMPUTED_VALUE"""),"High")</f>
        <v>High</v>
      </c>
      <c r="S2611" s="8" t="str">
        <f ca="1">IFERROR(__xludf.DUMMYFUNCTION("""COMPUTED_VALUE"""),"Classroom")</f>
        <v>Classroom</v>
      </c>
      <c r="T2611" s="8" t="str">
        <f ca="1">IFERROR(__xludf.DUMMYFUNCTION("""COMPUTED_VALUE"""),"Inside School Building")</f>
        <v>Inside School Building</v>
      </c>
      <c r="U2611" s="8" t="str">
        <f ca="1">IFERROR(__xludf.DUMMYFUNCTION("""COMPUTED_VALUE"""),"Yes")</f>
        <v>Yes</v>
      </c>
      <c r="V2611" s="8"/>
      <c r="W2611" s="8"/>
      <c r="X2611" s="8">
        <f ca="1">IFERROR(__xludf.DUMMYFUNCTION("""COMPUTED_VALUE"""),1)</f>
        <v>1</v>
      </c>
      <c r="Y2611" s="12" t="str">
        <f ca="1">IFERROR(__xludf.DUMMYFUNCTION("""COMPUTED_VALUE"""),"Good student killed in band room by unknown shooter")</f>
        <v>Good student killed in band room by unknown shooter</v>
      </c>
      <c r="Z2611" s="12" t="str">
        <f ca="1">IFERROR(__xludf.DUMMYFUNCTION("""COMPUTED_VALUE"""),"Good student and popular athlete killed in bandroom. No suspect identified.")</f>
        <v>Good student and popular athlete killed in bandroom. No suspect identified.</v>
      </c>
      <c r="AA2611" s="8" t="str">
        <f ca="1">IFERROR(__xludf.DUMMYFUNCTION("""COMPUTED_VALUE"""),"Unknown")</f>
        <v>Unknown</v>
      </c>
      <c r="AB2611" s="8"/>
      <c r="AC2611" s="8"/>
      <c r="AD2611" s="8" t="str">
        <f ca="1">IFERROR(__xludf.DUMMYFUNCTION("""COMPUTED_VALUE"""),"Victims Targeted")</f>
        <v>Victims Targeted</v>
      </c>
      <c r="AE2611" s="8" t="str">
        <f ca="1">IFERROR(__xludf.DUMMYFUNCTION("""COMPUTED_VALUE"""),"No")</f>
        <v>No</v>
      </c>
      <c r="AF2611" s="8"/>
      <c r="AG2611" s="8" t="str">
        <f ca="1">IFERROR(__xludf.DUMMYFUNCTION("""COMPUTED_VALUE"""),"No")</f>
        <v>No</v>
      </c>
      <c r="AH2611" s="8" t="str">
        <f ca="1">IFERROR(__xludf.DUMMYFUNCTION("""COMPUTED_VALUE"""),"No")</f>
        <v>No</v>
      </c>
      <c r="AI2611" s="8" t="str">
        <f ca="1">IFERROR(__xludf.DUMMYFUNCTION("""COMPUTED_VALUE"""),"No")</f>
        <v>No</v>
      </c>
      <c r="AJ2611" s="8"/>
      <c r="AK2611" s="8"/>
      <c r="AL2611" s="8" t="str">
        <f ca="1">IFERROR(__xludf.DUMMYFUNCTION("""COMPUTED_VALUE"""),"No")</f>
        <v>No</v>
      </c>
      <c r="AM2611" s="8"/>
      <c r="AN2611" s="8"/>
      <c r="AO2611" s="8" t="str">
        <f ca="1">IFERROR(__xludf.DUMMYFUNCTION("""COMPUTED_VALUE"""),"No")</f>
        <v>No</v>
      </c>
      <c r="AP2611" s="8"/>
      <c r="AQ2611" s="8" t="str">
        <f ca="1">IFERROR(__xludf.DUMMYFUNCTION("""COMPUTED_VALUE"""),"Unknown")</f>
        <v>Unknown</v>
      </c>
      <c r="AR2611" s="8" t="str">
        <f ca="1">IFERROR(__xludf.DUMMYFUNCTION("""COMPUTED_VALUE"""),"NA")</f>
        <v>NA</v>
      </c>
      <c r="AS2611" s="8"/>
      <c r="AT2611" s="8"/>
      <c r="AU2611" s="8">
        <f ca="1">IFERROR(__xludf.DUMMYFUNCTION("""COMPUTED_VALUE"""),31.977662)</f>
        <v>31.977661999999999</v>
      </c>
      <c r="AV2611" s="8">
        <f ca="1">IFERROR(__xludf.DUMMYFUNCTION("""COMPUTED_VALUE"""),-89.278046)</f>
        <v>-89.278046000000003</v>
      </c>
      <c r="AW2611" s="8"/>
      <c r="AX2611" s="8">
        <f ca="1">IFERROR(__xludf.DUMMYFUNCTION("""COMPUTED_VALUE"""),39422)</f>
        <v>39422</v>
      </c>
    </row>
    <row r="2612" spans="1:50" ht="60" x14ac:dyDescent="0.2">
      <c r="A2612" s="8" t="str">
        <f ca="1">IFERROR(__xludf.DUMMYFUNCTION("""COMPUTED_VALUE"""),"19931104FLTEJ")</f>
        <v>19931104FLTEJ</v>
      </c>
      <c r="B2612" s="8">
        <f ca="1">IFERROR(__xludf.DUMMYFUNCTION("""COMPUTED_VALUE"""),11)</f>
        <v>11</v>
      </c>
      <c r="C2612" s="8">
        <f ca="1">IFERROR(__xludf.DUMMYFUNCTION("""COMPUTED_VALUE"""),4)</f>
        <v>4</v>
      </c>
      <c r="D2612" s="8">
        <f ca="1">IFERROR(__xludf.DUMMYFUNCTION("""COMPUTED_VALUE"""),1993)</f>
        <v>1993</v>
      </c>
      <c r="E2612" s="9">
        <f ca="1">IFERROR(__xludf.DUMMYFUNCTION("""COMPUTED_VALUE"""),34277)</f>
        <v>34277</v>
      </c>
      <c r="F2612" s="8" t="str">
        <f ca="1">IFERROR(__xludf.DUMMYFUNCTION("""COMPUTED_VALUE"""),"Terry Parker High School")</f>
        <v>Terry Parker High School</v>
      </c>
      <c r="G2612" s="8">
        <f ca="1">IFERROR(__xludf.DUMMYFUNCTION("""COMPUTED_VALUE"""),1)</f>
        <v>1</v>
      </c>
      <c r="H2612" s="8">
        <f ca="1">IFERROR(__xludf.DUMMYFUNCTION("""COMPUTED_VALUE"""),0)</f>
        <v>0</v>
      </c>
      <c r="I2612" s="8">
        <f ca="1">IFERROR(__xludf.DUMMYFUNCTION("""COMPUTED_VALUE"""),1)</f>
        <v>1</v>
      </c>
      <c r="J2612" s="8">
        <f ca="1">IFERROR(__xludf.DUMMYFUNCTION("""COMPUTED_VALUE"""),0)</f>
        <v>0</v>
      </c>
      <c r="K2612" s="10" t="str">
        <f ca="1">IFERROR(__xludf.DUMMYFUNCTION("""COMPUTED_VALUE"""),"https://www.newspapers.com/image/179150239/?terms=Richard%2BJefferson%2BMitchell")</f>
        <v>https://www.newspapers.com/image/179150239/?terms=Richard%2BJefferson%2BMitchell</v>
      </c>
      <c r="L2612" s="8"/>
      <c r="M2612" s="8"/>
      <c r="N2612" s="8">
        <f ca="1">IFERROR(__xludf.DUMMYFUNCTION("""COMPUTED_VALUE"""),2)</f>
        <v>2</v>
      </c>
      <c r="O2612" s="8" t="str">
        <f ca="1">IFERROR(__xludf.DUMMYFUNCTION("""COMPUTED_VALUE"""),"Fall")</f>
        <v>Fall</v>
      </c>
      <c r="P2612" s="8" t="str">
        <f ca="1">IFERROR(__xludf.DUMMYFUNCTION("""COMPUTED_VALUE"""),"Jacksonville")</f>
        <v>Jacksonville</v>
      </c>
      <c r="Q2612" s="8" t="str">
        <f ca="1">IFERROR(__xludf.DUMMYFUNCTION("""COMPUTED_VALUE"""),"FL")</f>
        <v>FL</v>
      </c>
      <c r="R2612" s="8" t="str">
        <f ca="1">IFERROR(__xludf.DUMMYFUNCTION("""COMPUTED_VALUE"""),"High")</f>
        <v>High</v>
      </c>
      <c r="S2612" s="8" t="str">
        <f ca="1">IFERROR(__xludf.DUMMYFUNCTION("""COMPUTED_VALUE"""),"Front of School")</f>
        <v>Front of School</v>
      </c>
      <c r="T2612" s="8" t="str">
        <f ca="1">IFERROR(__xludf.DUMMYFUNCTION("""COMPUTED_VALUE"""),"Outside on School Property")</f>
        <v>Outside on School Property</v>
      </c>
      <c r="U2612" s="8" t="str">
        <f ca="1">IFERROR(__xludf.DUMMYFUNCTION("""COMPUTED_VALUE"""),"No")</f>
        <v>No</v>
      </c>
      <c r="V2612" s="8" t="str">
        <f ca="1">IFERROR(__xludf.DUMMYFUNCTION("""COMPUTED_VALUE"""),"After School")</f>
        <v>After School</v>
      </c>
      <c r="W2612" s="8"/>
      <c r="X2612" s="8">
        <f ca="1">IFERROR(__xludf.DUMMYFUNCTION("""COMPUTED_VALUE"""),1)</f>
        <v>1</v>
      </c>
      <c r="Y2612" s="12" t="str">
        <f ca="1">IFERROR(__xludf.DUMMYFUNCTION("""COMPUTED_VALUE"""),"Shot by group of students during robbery")</f>
        <v>Shot by group of students during robbery</v>
      </c>
      <c r="Z2612" s="12" t="str">
        <f ca="1">IFERROR(__xludf.DUMMYFUNCTION("""COMPUTED_VALUE"""),"14YOM student waiting to be picked up from school was shot during a robbery by a group of 9 students. Group of students robbed other people and businesses following shooting.")</f>
        <v>14YOM student waiting to be picked up from school was shot during a robbery by a group of 9 students. Group of students robbed other people and businesses following shooting.</v>
      </c>
      <c r="AA2612" s="8" t="str">
        <f ca="1">IFERROR(__xludf.DUMMYFUNCTION("""COMPUTED_VALUE"""),"Illegal Activity")</f>
        <v>Illegal Activity</v>
      </c>
      <c r="AB2612" s="8"/>
      <c r="AC2612" s="8"/>
      <c r="AD2612" s="8" t="str">
        <f ca="1">IFERROR(__xludf.DUMMYFUNCTION("""COMPUTED_VALUE"""),"Victims Targeted")</f>
        <v>Victims Targeted</v>
      </c>
      <c r="AE2612" s="8" t="str">
        <f ca="1">IFERROR(__xludf.DUMMYFUNCTION("""COMPUTED_VALUE"""),"Yes")</f>
        <v>Yes</v>
      </c>
      <c r="AF2612" s="8" t="str">
        <f ca="1">IFERROR(__xludf.DUMMYFUNCTION("""COMPUTED_VALUE"""),"8 other teenagers indicted in connection with robbery")</f>
        <v>8 other teenagers indicted in connection with robbery</v>
      </c>
      <c r="AG2612" s="8" t="str">
        <f ca="1">IFERROR(__xludf.DUMMYFUNCTION("""COMPUTED_VALUE"""),"No")</f>
        <v>No</v>
      </c>
      <c r="AH2612" s="8" t="str">
        <f ca="1">IFERROR(__xludf.DUMMYFUNCTION("""COMPUTED_VALUE"""),"No")</f>
        <v>No</v>
      </c>
      <c r="AI2612" s="8" t="str">
        <f ca="1">IFERROR(__xludf.DUMMYFUNCTION("""COMPUTED_VALUE"""),"No")</f>
        <v>No</v>
      </c>
      <c r="AJ2612" s="8" t="str">
        <f ca="1">IFERROR(__xludf.DUMMYFUNCTION("""COMPUTED_VALUE"""),"No")</f>
        <v>No</v>
      </c>
      <c r="AK2612" s="8" t="str">
        <f ca="1">IFERROR(__xludf.DUMMYFUNCTION("""COMPUTED_VALUE"""),"No")</f>
        <v>No</v>
      </c>
      <c r="AL2612" s="8" t="str">
        <f ca="1">IFERROR(__xludf.DUMMYFUNCTION("""COMPUTED_VALUE"""),"No")</f>
        <v>No</v>
      </c>
      <c r="AM2612" s="8"/>
      <c r="AN2612" s="8"/>
      <c r="AO2612" s="8" t="str">
        <f ca="1">IFERROR(__xludf.DUMMYFUNCTION("""COMPUTED_VALUE"""),"No")</f>
        <v>No</v>
      </c>
      <c r="AP2612" s="8"/>
      <c r="AQ2612" s="8" t="str">
        <f ca="1">IFERROR(__xludf.DUMMYFUNCTION("""COMPUTED_VALUE"""),"Unknown")</f>
        <v>Unknown</v>
      </c>
      <c r="AR2612" s="8" t="str">
        <f ca="1">IFERROR(__xludf.DUMMYFUNCTION("""COMPUTED_VALUE"""),"NA")</f>
        <v>NA</v>
      </c>
      <c r="AS2612" s="8"/>
      <c r="AT2612" s="8"/>
      <c r="AU2612" s="8">
        <f ca="1">IFERROR(__xludf.DUMMYFUNCTION("""COMPUTED_VALUE"""),30.34191)</f>
        <v>30.341909999999999</v>
      </c>
      <c r="AV2612" s="8">
        <f ca="1">IFERROR(__xludf.DUMMYFUNCTION("""COMPUTED_VALUE"""),-81.575152)</f>
        <v>-81.575152000000003</v>
      </c>
      <c r="AW2612" s="8"/>
      <c r="AX2612" s="8">
        <f ca="1">IFERROR(__xludf.DUMMYFUNCTION("""COMPUTED_VALUE"""),32211)</f>
        <v>32211</v>
      </c>
    </row>
    <row r="2613" spans="1:50" ht="45" x14ac:dyDescent="0.2">
      <c r="A2613" s="8" t="str">
        <f ca="1">IFERROR(__xludf.DUMMYFUNCTION("""COMPUTED_VALUE"""),"19931104CTNEN")</f>
        <v>19931104CTNEN</v>
      </c>
      <c r="B2613" s="8">
        <f ca="1">IFERROR(__xludf.DUMMYFUNCTION("""COMPUTED_VALUE"""),11)</f>
        <v>11</v>
      </c>
      <c r="C2613" s="8">
        <f ca="1">IFERROR(__xludf.DUMMYFUNCTION("""COMPUTED_VALUE"""),4)</f>
        <v>4</v>
      </c>
      <c r="D2613" s="8">
        <f ca="1">IFERROR(__xludf.DUMMYFUNCTION("""COMPUTED_VALUE"""),1993)</f>
        <v>1993</v>
      </c>
      <c r="E2613" s="9">
        <f ca="1">IFERROR(__xludf.DUMMYFUNCTION("""COMPUTED_VALUE"""),34277)</f>
        <v>34277</v>
      </c>
      <c r="F2613" s="8" t="str">
        <f ca="1">IFERROR(__xludf.DUMMYFUNCTION("""COMPUTED_VALUE"""),"New Britain High School")</f>
        <v>New Britain High School</v>
      </c>
      <c r="G2613" s="8">
        <f ca="1">IFERROR(__xludf.DUMMYFUNCTION("""COMPUTED_VALUE"""),1)</f>
        <v>1</v>
      </c>
      <c r="H2613" s="8">
        <f ca="1">IFERROR(__xludf.DUMMYFUNCTION("""COMPUTED_VALUE"""),0)</f>
        <v>0</v>
      </c>
      <c r="I2613" s="8">
        <f ca="1">IFERROR(__xludf.DUMMYFUNCTION("""COMPUTED_VALUE"""),1)</f>
        <v>1</v>
      </c>
      <c r="J2613" s="8">
        <f ca="1">IFERROR(__xludf.DUMMYFUNCTION("""COMPUTED_VALUE"""),0)</f>
        <v>0</v>
      </c>
      <c r="K2613" s="10" t="str">
        <f ca="1">IFERROR(__xludf.DUMMYFUNCTION("""COMPUTED_VALUE"""),"http://articles.courant.com/1995-07-21/news/9507210401_1_latin-king-rival-gang-gang-war")</f>
        <v>http://articles.courant.com/1995-07-21/news/9507210401_1_latin-king-rival-gang-gang-war</v>
      </c>
      <c r="L2613" s="8"/>
      <c r="M2613" s="8"/>
      <c r="N2613" s="8">
        <f ca="1">IFERROR(__xludf.DUMMYFUNCTION("""COMPUTED_VALUE"""),2)</f>
        <v>2</v>
      </c>
      <c r="O2613" s="8" t="str">
        <f ca="1">IFERROR(__xludf.DUMMYFUNCTION("""COMPUTED_VALUE"""),"Fall")</f>
        <v>Fall</v>
      </c>
      <c r="P2613" s="8" t="str">
        <f ca="1">IFERROR(__xludf.DUMMYFUNCTION("""COMPUTED_VALUE"""),"New Britain")</f>
        <v>New Britain</v>
      </c>
      <c r="Q2613" s="8" t="str">
        <f ca="1">IFERROR(__xludf.DUMMYFUNCTION("""COMPUTED_VALUE"""),"CT")</f>
        <v>CT</v>
      </c>
      <c r="R2613" s="8" t="str">
        <f ca="1">IFERROR(__xludf.DUMMYFUNCTION("""COMPUTED_VALUE"""),"High")</f>
        <v>High</v>
      </c>
      <c r="S2613" s="8" t="str">
        <f ca="1">IFERROR(__xludf.DUMMYFUNCTION("""COMPUTED_VALUE"""),"Beside Building")</f>
        <v>Beside Building</v>
      </c>
      <c r="T2613" s="8" t="str">
        <f ca="1">IFERROR(__xludf.DUMMYFUNCTION("""COMPUTED_VALUE"""),"Outside on School Property")</f>
        <v>Outside on School Property</v>
      </c>
      <c r="U2613" s="8" t="str">
        <f ca="1">IFERROR(__xludf.DUMMYFUNCTION("""COMPUTED_VALUE"""),"No")</f>
        <v>No</v>
      </c>
      <c r="V2613" s="8" t="str">
        <f ca="1">IFERROR(__xludf.DUMMYFUNCTION("""COMPUTED_VALUE"""),"Unknown")</f>
        <v>Unknown</v>
      </c>
      <c r="W2613" s="8"/>
      <c r="X2613" s="8">
        <f ca="1">IFERROR(__xludf.DUMMYFUNCTION("""COMPUTED_VALUE"""),1)</f>
        <v>1</v>
      </c>
      <c r="Y2613" s="12" t="str">
        <f ca="1">IFERROR(__xludf.DUMMYFUNCTION("""COMPUTED_VALUE"""),"Gang execution style shooting")</f>
        <v>Gang execution style shooting</v>
      </c>
      <c r="Z2613" s="12" t="str">
        <f ca="1">IFERROR(__xludf.DUMMYFUNCTION("""COMPUTED_VALUE"""),"Victim was killed in execution style gang shooting outside of the school. Shooter was recently acquitted in fatal stabbing near the school.")</f>
        <v>Victim was killed in execution style gang shooting outside of the school. Shooter was recently acquitted in fatal stabbing near the school.</v>
      </c>
      <c r="AA2613" s="8" t="str">
        <f ca="1">IFERROR(__xludf.DUMMYFUNCTION("""COMPUTED_VALUE"""),"Illegal Activity")</f>
        <v>Illegal Activity</v>
      </c>
      <c r="AB2613" s="8"/>
      <c r="AC2613" s="8"/>
      <c r="AD2613" s="8" t="str">
        <f ca="1">IFERROR(__xludf.DUMMYFUNCTION("""COMPUTED_VALUE"""),"Victims Targeted")</f>
        <v>Victims Targeted</v>
      </c>
      <c r="AE2613" s="8" t="str">
        <f ca="1">IFERROR(__xludf.DUMMYFUNCTION("""COMPUTED_VALUE"""),"No")</f>
        <v>No</v>
      </c>
      <c r="AF2613" s="8"/>
      <c r="AG2613" s="8" t="str">
        <f ca="1">IFERROR(__xludf.DUMMYFUNCTION("""COMPUTED_VALUE"""),"No")</f>
        <v>No</v>
      </c>
      <c r="AH2613" s="8" t="str">
        <f ca="1">IFERROR(__xludf.DUMMYFUNCTION("""COMPUTED_VALUE"""),"No")</f>
        <v>No</v>
      </c>
      <c r="AI2613" s="8" t="str">
        <f ca="1">IFERROR(__xludf.DUMMYFUNCTION("""COMPUTED_VALUE"""),"No")</f>
        <v>No</v>
      </c>
      <c r="AJ2613" s="8" t="str">
        <f ca="1">IFERROR(__xludf.DUMMYFUNCTION("""COMPUTED_VALUE"""),"No")</f>
        <v>No</v>
      </c>
      <c r="AK2613" s="8" t="str">
        <f ca="1">IFERROR(__xludf.DUMMYFUNCTION("""COMPUTED_VALUE"""),"No")</f>
        <v>No</v>
      </c>
      <c r="AL2613" s="8" t="str">
        <f ca="1">IFERROR(__xludf.DUMMYFUNCTION("""COMPUTED_VALUE"""),"Yes")</f>
        <v>Yes</v>
      </c>
      <c r="AM2613" s="8"/>
      <c r="AN2613" s="8"/>
      <c r="AO2613" s="8" t="str">
        <f ca="1">IFERROR(__xludf.DUMMYFUNCTION("""COMPUTED_VALUE"""),"No")</f>
        <v>No</v>
      </c>
      <c r="AP2613" s="8"/>
      <c r="AQ2613" s="8" t="str">
        <f ca="1">IFERROR(__xludf.DUMMYFUNCTION("""COMPUTED_VALUE"""),"Unknown")</f>
        <v>Unknown</v>
      </c>
      <c r="AR2613" s="8" t="str">
        <f ca="1">IFERROR(__xludf.DUMMYFUNCTION("""COMPUTED_VALUE"""),"NA")</f>
        <v>NA</v>
      </c>
      <c r="AS2613" s="8"/>
      <c r="AT2613" s="8"/>
      <c r="AU2613" s="8">
        <f ca="1">IFERROR(__xludf.DUMMYFUNCTION("""COMPUTED_VALUE"""),41.649791)</f>
        <v>41.649791</v>
      </c>
      <c r="AV2613" s="8">
        <f ca="1">IFERROR(__xludf.DUMMYFUNCTION("""COMPUTED_VALUE"""),-72.778114)</f>
        <v>-72.778114000000002</v>
      </c>
      <c r="AW2613" s="8"/>
      <c r="AX2613" s="8">
        <f ca="1">IFERROR(__xludf.DUMMYFUNCTION("""COMPUTED_VALUE"""),6051)</f>
        <v>6051</v>
      </c>
    </row>
    <row r="2614" spans="1:50" ht="45" x14ac:dyDescent="0.2">
      <c r="A2614" s="8" t="str">
        <f ca="1">IFERROR(__xludf.DUMMYFUNCTION("""COMPUTED_VALUE"""),"19931101ILSUC")</f>
        <v>19931101ILSUC</v>
      </c>
      <c r="B2614" s="8">
        <f ca="1">IFERROR(__xludf.DUMMYFUNCTION("""COMPUTED_VALUE"""),11)</f>
        <v>11</v>
      </c>
      <c r="C2614" s="8">
        <f ca="1">IFERROR(__xludf.DUMMYFUNCTION("""COMPUTED_VALUE"""),1)</f>
        <v>1</v>
      </c>
      <c r="D2614" s="8">
        <f ca="1">IFERROR(__xludf.DUMMYFUNCTION("""COMPUTED_VALUE"""),1993)</f>
        <v>1993</v>
      </c>
      <c r="E2614" s="9">
        <f ca="1">IFERROR(__xludf.DUMMYFUNCTION("""COMPUTED_VALUE"""),34274)</f>
        <v>34274</v>
      </c>
      <c r="F2614" s="8" t="str">
        <f ca="1">IFERROR(__xludf.DUMMYFUNCTION("""COMPUTED_VALUE"""),"Sullivan High School")</f>
        <v>Sullivan High School</v>
      </c>
      <c r="G2614" s="8">
        <f ca="1">IFERROR(__xludf.DUMMYFUNCTION("""COMPUTED_VALUE"""),1)</f>
        <v>1</v>
      </c>
      <c r="H2614" s="8">
        <f ca="1">IFERROR(__xludf.DUMMYFUNCTION("""COMPUTED_VALUE"""),0)</f>
        <v>0</v>
      </c>
      <c r="I2614" s="8">
        <f ca="1">IFERROR(__xludf.DUMMYFUNCTION("""COMPUTED_VALUE"""),1)</f>
        <v>1</v>
      </c>
      <c r="J2614" s="8">
        <f ca="1">IFERROR(__xludf.DUMMYFUNCTION("""COMPUTED_VALUE"""),0)</f>
        <v>0</v>
      </c>
      <c r="K2614" s="10" t="str">
        <f ca="1">IFERROR(__xludf.DUMMYFUNCTION("""COMPUTED_VALUE"""),"https://www.newspapers.com/image/241267382/?terms=Sullivan%2BHigh%2BSchool%2Bshooting")</f>
        <v>https://www.newspapers.com/image/241267382/?terms=Sullivan%2BHigh%2BSchool%2Bshooting</v>
      </c>
      <c r="L2614" s="8"/>
      <c r="M2614" s="8"/>
      <c r="N2614" s="8">
        <f ca="1">IFERROR(__xludf.DUMMYFUNCTION("""COMPUTED_VALUE"""),2)</f>
        <v>2</v>
      </c>
      <c r="O2614" s="8" t="str">
        <f ca="1">IFERROR(__xludf.DUMMYFUNCTION("""COMPUTED_VALUE"""),"Fall")</f>
        <v>Fall</v>
      </c>
      <c r="P2614" s="8" t="str">
        <f ca="1">IFERROR(__xludf.DUMMYFUNCTION("""COMPUTED_VALUE"""),"Chicago")</f>
        <v>Chicago</v>
      </c>
      <c r="Q2614" s="8" t="str">
        <f ca="1">IFERROR(__xludf.DUMMYFUNCTION("""COMPUTED_VALUE"""),"IL")</f>
        <v>IL</v>
      </c>
      <c r="R2614" s="8" t="str">
        <f ca="1">IFERROR(__xludf.DUMMYFUNCTION("""COMPUTED_VALUE"""),"High")</f>
        <v>High</v>
      </c>
      <c r="S2614" s="8" t="str">
        <f ca="1">IFERROR(__xludf.DUMMYFUNCTION("""COMPUTED_VALUE"""),"Outside on School Property")</f>
        <v>Outside on School Property</v>
      </c>
      <c r="T2614" s="8" t="str">
        <f ca="1">IFERROR(__xludf.DUMMYFUNCTION("""COMPUTED_VALUE"""),"Outside on School Property")</f>
        <v>Outside on School Property</v>
      </c>
      <c r="U2614" s="8" t="str">
        <f ca="1">IFERROR(__xludf.DUMMYFUNCTION("""COMPUTED_VALUE"""),"Yes")</f>
        <v>Yes</v>
      </c>
      <c r="V2614" s="8"/>
      <c r="W2614" s="8"/>
      <c r="X2614" s="8">
        <f ca="1">IFERROR(__xludf.DUMMYFUNCTION("""COMPUTED_VALUE"""),1)</f>
        <v>1</v>
      </c>
      <c r="Y2614" s="12" t="str">
        <f ca="1">IFERROR(__xludf.DUMMYFUNCTION("""COMPUTED_VALUE"""),"Student shot at school, motive unknown")</f>
        <v>Student shot at school, motive unknown</v>
      </c>
      <c r="Z2614" s="12" t="str">
        <f ca="1">IFERROR(__xludf.DUMMYFUNCTION("""COMPUTED_VALUE"""),"13YOM supplied gun to 16YOM (who was already on probation for gun charges). 16YOM shot 15YOM student then fled.")</f>
        <v>13YOM supplied gun to 16YOM (who was already on probation for gun charges). 16YOM shot 15YOM student then fled.</v>
      </c>
      <c r="AA2614" s="8" t="str">
        <f ca="1">IFERROR(__xludf.DUMMYFUNCTION("""COMPUTED_VALUE"""),"Intentional Property Damage")</f>
        <v>Intentional Property Damage</v>
      </c>
      <c r="AB2614" s="8"/>
      <c r="AC2614" s="8"/>
      <c r="AD2614" s="8" t="str">
        <f ca="1">IFERROR(__xludf.DUMMYFUNCTION("""COMPUTED_VALUE"""),"Victims Targeted")</f>
        <v>Victims Targeted</v>
      </c>
      <c r="AE2614" s="8" t="str">
        <f ca="1">IFERROR(__xludf.DUMMYFUNCTION("""COMPUTED_VALUE"""),"Yes")</f>
        <v>Yes</v>
      </c>
      <c r="AF2614" s="8" t="str">
        <f ca="1">IFERROR(__xludf.DUMMYFUNCTION("""COMPUTED_VALUE"""),"13YOM provided shooter with gun")</f>
        <v>13YOM provided shooter with gun</v>
      </c>
      <c r="AG2614" s="8" t="str">
        <f ca="1">IFERROR(__xludf.DUMMYFUNCTION("""COMPUTED_VALUE"""),"No")</f>
        <v>No</v>
      </c>
      <c r="AH2614" s="8" t="str">
        <f ca="1">IFERROR(__xludf.DUMMYFUNCTION("""COMPUTED_VALUE"""),"No")</f>
        <v>No</v>
      </c>
      <c r="AI2614" s="8" t="str">
        <f ca="1">IFERROR(__xludf.DUMMYFUNCTION("""COMPUTED_VALUE"""),"No")</f>
        <v>No</v>
      </c>
      <c r="AJ2614" s="8" t="str">
        <f ca="1">IFERROR(__xludf.DUMMYFUNCTION("""COMPUTED_VALUE"""),"No")</f>
        <v>No</v>
      </c>
      <c r="AK2614" s="8" t="str">
        <f ca="1">IFERROR(__xludf.DUMMYFUNCTION("""COMPUTED_VALUE"""),"No")</f>
        <v>No</v>
      </c>
      <c r="AL2614" s="8" t="str">
        <f ca="1">IFERROR(__xludf.DUMMYFUNCTION("""COMPUTED_VALUE"""),"No")</f>
        <v>No</v>
      </c>
      <c r="AM2614" s="8"/>
      <c r="AN2614" s="8"/>
      <c r="AO2614" s="8" t="str">
        <f ca="1">IFERROR(__xludf.DUMMYFUNCTION("""COMPUTED_VALUE"""),"No")</f>
        <v>No</v>
      </c>
      <c r="AP2614" s="8"/>
      <c r="AQ2614" s="8" t="str">
        <f ca="1">IFERROR(__xludf.DUMMYFUNCTION("""COMPUTED_VALUE"""),"Unknown")</f>
        <v>Unknown</v>
      </c>
      <c r="AR2614" s="8" t="str">
        <f ca="1">IFERROR(__xludf.DUMMYFUNCTION("""COMPUTED_VALUE"""),"NA")</f>
        <v>NA</v>
      </c>
      <c r="AS2614" s="8"/>
      <c r="AT2614" s="8"/>
      <c r="AU2614" s="8">
        <f ca="1">IFERROR(__xludf.DUMMYFUNCTION("""COMPUTED_VALUE"""),42.002713)</f>
        <v>42.002713</v>
      </c>
      <c r="AV2614" s="8">
        <f ca="1">IFERROR(__xludf.DUMMYFUNCTION("""COMPUTED_VALUE"""),-87.668906)</f>
        <v>-87.668906000000007</v>
      </c>
      <c r="AW2614" s="8"/>
      <c r="AX2614" s="8">
        <f ca="1">IFERROR(__xludf.DUMMYFUNCTION("""COMPUTED_VALUE"""),60626)</f>
        <v>60626</v>
      </c>
    </row>
    <row r="2615" spans="1:50" ht="30" x14ac:dyDescent="0.2">
      <c r="A2615" s="8" t="str">
        <f ca="1">IFERROR(__xludf.DUMMYFUNCTION("""COMPUTED_VALUE"""),"19931018DCJHW")</f>
        <v>19931018DCJHW</v>
      </c>
      <c r="B2615" s="8">
        <f ca="1">IFERROR(__xludf.DUMMYFUNCTION("""COMPUTED_VALUE"""),10)</f>
        <v>10</v>
      </c>
      <c r="C2615" s="8">
        <f ca="1">IFERROR(__xludf.DUMMYFUNCTION("""COMPUTED_VALUE"""),18)</f>
        <v>18</v>
      </c>
      <c r="D2615" s="8">
        <f ca="1">IFERROR(__xludf.DUMMYFUNCTION("""COMPUTED_VALUE"""),1993)</f>
        <v>1993</v>
      </c>
      <c r="E2615" s="9">
        <f ca="1">IFERROR(__xludf.DUMMYFUNCTION("""COMPUTED_VALUE"""),34260)</f>
        <v>34260</v>
      </c>
      <c r="F2615" s="8" t="str">
        <f ca="1">IFERROR(__xludf.DUMMYFUNCTION("""COMPUTED_VALUE"""),"J H Johnson Junior High School")</f>
        <v>J H Johnson Junior High School</v>
      </c>
      <c r="G2615" s="8">
        <f ca="1">IFERROR(__xludf.DUMMYFUNCTION("""COMPUTED_VALUE"""),0)</f>
        <v>0</v>
      </c>
      <c r="H2615" s="8">
        <f ca="1">IFERROR(__xludf.DUMMYFUNCTION("""COMPUTED_VALUE"""),1)</f>
        <v>1</v>
      </c>
      <c r="I2615" s="8">
        <f ca="1">IFERROR(__xludf.DUMMYFUNCTION("""COMPUTED_VALUE"""),1)</f>
        <v>1</v>
      </c>
      <c r="J2615" s="8">
        <f ca="1">IFERROR(__xludf.DUMMYFUNCTION("""COMPUTED_VALUE"""),0)</f>
        <v>0</v>
      </c>
      <c r="K2615" s="8" t="str">
        <f ca="1">IFERROR(__xludf.DUMMYFUNCTION("""COMPUTED_VALUE"""),"Washington Post - Student, 13, is Shot Inside SE Junior High - Schoolmate, 15, Charged in Locker Room Wounding; https://www.columbine-angels.com/School_Violence_1993-1994.htm")</f>
        <v>Washington Post - Student, 13, is Shot Inside SE Junior High - Schoolmate, 15, Charged in Locker Room Wounding; https://www.columbine-angels.com/School_Violence_1993-1994.htm</v>
      </c>
      <c r="L2615" s="8"/>
      <c r="M2615" s="8"/>
      <c r="N2615" s="8">
        <f ca="1">IFERROR(__xludf.DUMMYFUNCTION("""COMPUTED_VALUE"""),1)</f>
        <v>1</v>
      </c>
      <c r="O2615" s="8" t="str">
        <f ca="1">IFERROR(__xludf.DUMMYFUNCTION("""COMPUTED_VALUE"""),"Fall")</f>
        <v>Fall</v>
      </c>
      <c r="P2615" s="8" t="str">
        <f ca="1">IFERROR(__xludf.DUMMYFUNCTION("""COMPUTED_VALUE"""),"Washington")</f>
        <v>Washington</v>
      </c>
      <c r="Q2615" s="8" t="str">
        <f ca="1">IFERROR(__xludf.DUMMYFUNCTION("""COMPUTED_VALUE"""),"DC")</f>
        <v>DC</v>
      </c>
      <c r="R2615" s="8" t="str">
        <f ca="1">IFERROR(__xludf.DUMMYFUNCTION("""COMPUTED_VALUE"""),"Junior High")</f>
        <v>Junior High</v>
      </c>
      <c r="S2615" s="8" t="str">
        <f ca="1">IFERROR(__xludf.DUMMYFUNCTION("""COMPUTED_VALUE"""),"Gym")</f>
        <v>Gym</v>
      </c>
      <c r="T2615" s="8" t="str">
        <f ca="1">IFERROR(__xludf.DUMMYFUNCTION("""COMPUTED_VALUE"""),"Inside School Building")</f>
        <v>Inside School Building</v>
      </c>
      <c r="U2615" s="8" t="str">
        <f ca="1">IFERROR(__xludf.DUMMYFUNCTION("""COMPUTED_VALUE"""),"Yes")</f>
        <v>Yes</v>
      </c>
      <c r="V2615" s="8"/>
      <c r="W2615" s="11">
        <f ca="1">IFERROR(__xludf.DUMMYFUNCTION("""COMPUTED_VALUE"""),0.479166666666666)</f>
        <v>0.47916666666666602</v>
      </c>
      <c r="X2615" s="8">
        <f ca="1">IFERROR(__xludf.DUMMYFUNCTION("""COMPUTED_VALUE"""),1)</f>
        <v>1</v>
      </c>
      <c r="Y2615" s="12" t="str">
        <f ca="1">IFERROR(__xludf.DUMMYFUNCTION("""COMPUTED_VALUE"""),"Shooting in locker room")</f>
        <v>Shooting in locker room</v>
      </c>
      <c r="Z2615" s="12" t="str">
        <f ca="1">IFERROR(__xludf.DUMMYFUNCTION("""COMPUTED_VALUE"""),"15YOM student shot 13YOM student in the school locker room. Shooter fled and turned himself in later.")</f>
        <v>15YOM student shot 13YOM student in the school locker room. Shooter fled and turned himself in later.</v>
      </c>
      <c r="AA2615" s="8" t="str">
        <f ca="1">IFERROR(__xludf.DUMMYFUNCTION("""COMPUTED_VALUE"""),"Escalation of Dispute")</f>
        <v>Escalation of Dispute</v>
      </c>
      <c r="AB2615" s="8"/>
      <c r="AC2615" s="8"/>
      <c r="AD2615" s="8" t="str">
        <f ca="1">IFERROR(__xludf.DUMMYFUNCTION("""COMPUTED_VALUE"""),"Victims Targeted")</f>
        <v>Victims Targeted</v>
      </c>
      <c r="AE2615" s="8" t="str">
        <f ca="1">IFERROR(__xludf.DUMMYFUNCTION("""COMPUTED_VALUE"""),"No")</f>
        <v>No</v>
      </c>
      <c r="AF2615" s="8"/>
      <c r="AG2615" s="8" t="str">
        <f ca="1">IFERROR(__xludf.DUMMYFUNCTION("""COMPUTED_VALUE"""),"No")</f>
        <v>No</v>
      </c>
      <c r="AH2615" s="8" t="str">
        <f ca="1">IFERROR(__xludf.DUMMYFUNCTION("""COMPUTED_VALUE"""),"No")</f>
        <v>No</v>
      </c>
      <c r="AI2615" s="8" t="str">
        <f ca="1">IFERROR(__xludf.DUMMYFUNCTION("""COMPUTED_VALUE"""),"No")</f>
        <v>No</v>
      </c>
      <c r="AJ2615" s="8"/>
      <c r="AK2615" s="8" t="str">
        <f ca="1">IFERROR(__xludf.DUMMYFUNCTION("""COMPUTED_VALUE"""),"No")</f>
        <v>No</v>
      </c>
      <c r="AL2615" s="8"/>
      <c r="AM2615" s="8"/>
      <c r="AN2615" s="8"/>
      <c r="AO2615" s="8" t="str">
        <f ca="1">IFERROR(__xludf.DUMMYFUNCTION("""COMPUTED_VALUE"""),"No")</f>
        <v>No</v>
      </c>
      <c r="AP2615" s="8"/>
      <c r="AQ2615" s="8" t="str">
        <f ca="1">IFERROR(__xludf.DUMMYFUNCTION("""COMPUTED_VALUE"""),"Unknown")</f>
        <v>Unknown</v>
      </c>
      <c r="AR2615" s="8" t="str">
        <f ca="1">IFERROR(__xludf.DUMMYFUNCTION("""COMPUTED_VALUE"""),"NA")</f>
        <v>NA</v>
      </c>
      <c r="AS2615" s="8"/>
      <c r="AT2615" s="8"/>
      <c r="AU2615" s="8">
        <f ca="1">IFERROR(__xludf.DUMMYFUNCTION("""COMPUTED_VALUE"""),38.851301)</f>
        <v>38.851300999999999</v>
      </c>
      <c r="AV2615" s="8">
        <f ca="1">IFERROR(__xludf.DUMMYFUNCTION("""COMPUTED_VALUE"""),-76.98384)</f>
        <v>-76.983840000000001</v>
      </c>
      <c r="AW2615" s="8"/>
      <c r="AX2615" s="8">
        <f ca="1">IFERROR(__xludf.DUMMYFUNCTION("""COMPUTED_VALUE"""),20020)</f>
        <v>20020</v>
      </c>
    </row>
    <row r="2616" spans="1:50" ht="30" x14ac:dyDescent="0.2">
      <c r="A2616" s="8" t="str">
        <f ca="1">IFERROR(__xludf.DUMMYFUNCTION("""COMPUTED_VALUE"""),"19931012DEDON")</f>
        <v>19931012DEDON</v>
      </c>
      <c r="B2616" s="8">
        <f ca="1">IFERROR(__xludf.DUMMYFUNCTION("""COMPUTED_VALUE"""),10)</f>
        <v>10</v>
      </c>
      <c r="C2616" s="8">
        <f ca="1">IFERROR(__xludf.DUMMYFUNCTION("""COMPUTED_VALUE"""),12)</f>
        <v>12</v>
      </c>
      <c r="D2616" s="8">
        <f ca="1">IFERROR(__xludf.DUMMYFUNCTION("""COMPUTED_VALUE"""),1993)</f>
        <v>1993</v>
      </c>
      <c r="E2616" s="9">
        <f ca="1">IFERROR(__xludf.DUMMYFUNCTION("""COMPUTED_VALUE"""),34254)</f>
        <v>34254</v>
      </c>
      <c r="F2616" s="8" t="str">
        <f ca="1">IFERROR(__xludf.DUMMYFUNCTION("""COMPUTED_VALUE"""),"Dover High School")</f>
        <v>Dover High School</v>
      </c>
      <c r="G2616" s="8">
        <f ca="1">IFERROR(__xludf.DUMMYFUNCTION("""COMPUTED_VALUE"""),0)</f>
        <v>0</v>
      </c>
      <c r="H2616" s="8">
        <f ca="1">IFERROR(__xludf.DUMMYFUNCTION("""COMPUTED_VALUE"""),0)</f>
        <v>0</v>
      </c>
      <c r="I2616" s="8">
        <f ca="1">IFERROR(__xludf.DUMMYFUNCTION("""COMPUTED_VALUE"""),0)</f>
        <v>0</v>
      </c>
      <c r="J2616" s="8">
        <f ca="1">IFERROR(__xludf.DUMMYFUNCTION("""COMPUTED_VALUE"""),1)</f>
        <v>1</v>
      </c>
      <c r="K2616" s="10" t="str">
        <f ca="1">IFERROR(__xludf.DUMMYFUNCTION("""COMPUTED_VALUE"""),"https://www.newspapers.com/image/156503737/?terms=Dover%2BHigh%2BSchool%2Bsuicide")</f>
        <v>https://www.newspapers.com/image/156503737/?terms=Dover%2BHigh%2BSchool%2Bsuicide</v>
      </c>
      <c r="L2616" s="8"/>
      <c r="M2616" s="8"/>
      <c r="N2616" s="8">
        <f ca="1">IFERROR(__xludf.DUMMYFUNCTION("""COMPUTED_VALUE"""),2)</f>
        <v>2</v>
      </c>
      <c r="O2616" s="8" t="str">
        <f ca="1">IFERROR(__xludf.DUMMYFUNCTION("""COMPUTED_VALUE"""),"Fall")</f>
        <v>Fall</v>
      </c>
      <c r="P2616" s="8" t="str">
        <f ca="1">IFERROR(__xludf.DUMMYFUNCTION("""COMPUTED_VALUE"""),"New Castle")</f>
        <v>New Castle</v>
      </c>
      <c r="Q2616" s="8" t="str">
        <f ca="1">IFERROR(__xludf.DUMMYFUNCTION("""COMPUTED_VALUE"""),"DE")</f>
        <v>DE</v>
      </c>
      <c r="R2616" s="8" t="str">
        <f ca="1">IFERROR(__xludf.DUMMYFUNCTION("""COMPUTED_VALUE"""),"High")</f>
        <v>High</v>
      </c>
      <c r="S2616" s="8" t="str">
        <f ca="1">IFERROR(__xludf.DUMMYFUNCTION("""COMPUTED_VALUE"""),"Bathroom")</f>
        <v>Bathroom</v>
      </c>
      <c r="T2616" s="8" t="str">
        <f ca="1">IFERROR(__xludf.DUMMYFUNCTION("""COMPUTED_VALUE"""),"Inside School Building")</f>
        <v>Inside School Building</v>
      </c>
      <c r="U2616" s="8" t="str">
        <f ca="1">IFERROR(__xludf.DUMMYFUNCTION("""COMPUTED_VALUE"""),"Yes")</f>
        <v>Yes</v>
      </c>
      <c r="V2616" s="8"/>
      <c r="W2616" s="8"/>
      <c r="X2616" s="8">
        <f ca="1">IFERROR(__xludf.DUMMYFUNCTION("""COMPUTED_VALUE"""),1)</f>
        <v>1</v>
      </c>
      <c r="Y2616" s="12" t="str">
        <f ca="1">IFERROR(__xludf.DUMMYFUNCTION("""COMPUTED_VALUE"""),"Commit suicide in bathroom")</f>
        <v>Commit suicide in bathroom</v>
      </c>
      <c r="Z2616" s="12" t="str">
        <f ca="1">IFERROR(__xludf.DUMMYFUNCTION("""COMPUTED_VALUE"""),"16YOF student commit suicide in bathroom")</f>
        <v>16YOF student commit suicide in bathroom</v>
      </c>
      <c r="AA2616" s="8" t="str">
        <f ca="1">IFERROR(__xludf.DUMMYFUNCTION("""COMPUTED_VALUE"""),"Murder/Suicide")</f>
        <v>Murder/Suicide</v>
      </c>
      <c r="AB2616" s="8"/>
      <c r="AC2616" s="8"/>
      <c r="AD2616" s="8" t="str">
        <f ca="1">IFERROR(__xludf.DUMMYFUNCTION("""COMPUTED_VALUE"""),"Victims Targeted")</f>
        <v>Victims Targeted</v>
      </c>
      <c r="AE2616" s="8" t="str">
        <f ca="1">IFERROR(__xludf.DUMMYFUNCTION("""COMPUTED_VALUE"""),"No")</f>
        <v>No</v>
      </c>
      <c r="AF2616" s="8"/>
      <c r="AG2616" s="8" t="str">
        <f ca="1">IFERROR(__xludf.DUMMYFUNCTION("""COMPUTED_VALUE"""),"No")</f>
        <v>No</v>
      </c>
      <c r="AH2616" s="8" t="str">
        <f ca="1">IFERROR(__xludf.DUMMYFUNCTION("""COMPUTED_VALUE"""),"No")</f>
        <v>No</v>
      </c>
      <c r="AI2616" s="8" t="str">
        <f ca="1">IFERROR(__xludf.DUMMYFUNCTION("""COMPUTED_VALUE"""),"No")</f>
        <v>No</v>
      </c>
      <c r="AJ2616" s="8"/>
      <c r="AK2616" s="8" t="str">
        <f ca="1">IFERROR(__xludf.DUMMYFUNCTION("""COMPUTED_VALUE"""),"No")</f>
        <v>No</v>
      </c>
      <c r="AL2616" s="8" t="str">
        <f ca="1">IFERROR(__xludf.DUMMYFUNCTION("""COMPUTED_VALUE"""),"No")</f>
        <v>No</v>
      </c>
      <c r="AM2616" s="8"/>
      <c r="AN2616" s="8"/>
      <c r="AO2616" s="8" t="str">
        <f ca="1">IFERROR(__xludf.DUMMYFUNCTION("""COMPUTED_VALUE"""),"No")</f>
        <v>No</v>
      </c>
      <c r="AP2616" s="8"/>
      <c r="AQ2616" s="8" t="str">
        <f ca="1">IFERROR(__xludf.DUMMYFUNCTION("""COMPUTED_VALUE"""),"Unknown")</f>
        <v>Unknown</v>
      </c>
      <c r="AR2616" s="8" t="str">
        <f ca="1">IFERROR(__xludf.DUMMYFUNCTION("""COMPUTED_VALUE"""),"NA")</f>
        <v>NA</v>
      </c>
      <c r="AS2616" s="8">
        <f ca="1">IFERROR(__xludf.DUMMYFUNCTION("""COMPUTED_VALUE"""),1)</f>
        <v>1</v>
      </c>
      <c r="AT2616" s="8"/>
      <c r="AU2616" s="8">
        <f ca="1">IFERROR(__xludf.DUMMYFUNCTION("""COMPUTED_VALUE"""),39.156639)</f>
        <v>39.156638999999998</v>
      </c>
      <c r="AV2616" s="8">
        <f ca="1">IFERROR(__xludf.DUMMYFUNCTION("""COMPUTED_VALUE"""),-75.573488)</f>
        <v>-75.573487999999998</v>
      </c>
      <c r="AW2616" s="8"/>
      <c r="AX2616" s="8">
        <f ca="1">IFERROR(__xludf.DUMMYFUNCTION("""COMPUTED_VALUE"""),19904)</f>
        <v>19904</v>
      </c>
    </row>
    <row r="2617" spans="1:50" ht="60" x14ac:dyDescent="0.2">
      <c r="A2617" s="8" t="str">
        <f ca="1">IFERROR(__xludf.DUMMYFUNCTION("""COMPUTED_VALUE"""),"19930928MSCOG")</f>
        <v>19930928MSCOG</v>
      </c>
      <c r="B2617" s="8">
        <f ca="1">IFERROR(__xludf.DUMMYFUNCTION("""COMPUTED_VALUE"""),9)</f>
        <v>9</v>
      </c>
      <c r="C2617" s="8">
        <f ca="1">IFERROR(__xludf.DUMMYFUNCTION("""COMPUTED_VALUE"""),28)</f>
        <v>28</v>
      </c>
      <c r="D2617" s="8">
        <f ca="1">IFERROR(__xludf.DUMMYFUNCTION("""COMPUTED_VALUE"""),1993)</f>
        <v>1993</v>
      </c>
      <c r="E2617" s="9">
        <f ca="1">IFERROR(__xludf.DUMMYFUNCTION("""COMPUTED_VALUE"""),34240)</f>
        <v>34240</v>
      </c>
      <c r="F2617" s="8" t="str">
        <f ca="1">IFERROR(__xludf.DUMMYFUNCTION("""COMPUTED_VALUE"""),"Coleman Junior High School")</f>
        <v>Coleman Junior High School</v>
      </c>
      <c r="G2617" s="8">
        <f ca="1">IFERROR(__xludf.DUMMYFUNCTION("""COMPUTED_VALUE"""),1)</f>
        <v>1</v>
      </c>
      <c r="H2617" s="8">
        <f ca="1">IFERROR(__xludf.DUMMYFUNCTION("""COMPUTED_VALUE"""),0)</f>
        <v>0</v>
      </c>
      <c r="I2617" s="8">
        <f ca="1">IFERROR(__xludf.DUMMYFUNCTION("""COMPUTED_VALUE"""),1)</f>
        <v>1</v>
      </c>
      <c r="J2617" s="8">
        <f ca="1">IFERROR(__xludf.DUMMYFUNCTION("""COMPUTED_VALUE"""),0)</f>
        <v>0</v>
      </c>
      <c r="K2617" s="8" t="str">
        <f ca="1">IFERROR(__xludf.DUMMYFUNCTION("""COMPUTED_VALUE"""),"https://www.newspapers.com/image/181217721/?terms=student%2Bshot  https://www.newspapers.com/image/255947937/?terms=teacher%2Bshot")</f>
        <v>https://www.newspapers.com/image/181217721/?terms=student%2Bshot  https://www.newspapers.com/image/255947937/?terms=teacher%2Bshot</v>
      </c>
      <c r="L2617" s="8"/>
      <c r="M2617" s="8"/>
      <c r="N2617" s="8">
        <f ca="1">IFERROR(__xludf.DUMMYFUNCTION("""COMPUTED_VALUE"""),2)</f>
        <v>2</v>
      </c>
      <c r="O2617" s="8" t="str">
        <f ca="1">IFERROR(__xludf.DUMMYFUNCTION("""COMPUTED_VALUE"""),"Fall")</f>
        <v>Fall</v>
      </c>
      <c r="P2617" s="8" t="str">
        <f ca="1">IFERROR(__xludf.DUMMYFUNCTION("""COMPUTED_VALUE"""),"Greenville")</f>
        <v>Greenville</v>
      </c>
      <c r="Q2617" s="8" t="str">
        <f ca="1">IFERROR(__xludf.DUMMYFUNCTION("""COMPUTED_VALUE"""),"MS")</f>
        <v>MS</v>
      </c>
      <c r="R2617" s="8" t="str">
        <f ca="1">IFERROR(__xludf.DUMMYFUNCTION("""COMPUTED_VALUE"""),"Junior High")</f>
        <v>Junior High</v>
      </c>
      <c r="S2617" s="8" t="str">
        <f ca="1">IFERROR(__xludf.DUMMYFUNCTION("""COMPUTED_VALUE"""),"Classroom")</f>
        <v>Classroom</v>
      </c>
      <c r="T2617" s="8" t="str">
        <f ca="1">IFERROR(__xludf.DUMMYFUNCTION("""COMPUTED_VALUE"""),"Inside School Building")</f>
        <v>Inside School Building</v>
      </c>
      <c r="U2617" s="8" t="str">
        <f ca="1">IFERROR(__xludf.DUMMYFUNCTION("""COMPUTED_VALUE"""),"Yes")</f>
        <v>Yes</v>
      </c>
      <c r="V2617" s="8" t="str">
        <f ca="1">IFERROR(__xludf.DUMMYFUNCTION("""COMPUTED_VALUE"""),"Morning Classes")</f>
        <v>Morning Classes</v>
      </c>
      <c r="W2617" s="11">
        <f ca="1">IFERROR(__xludf.DUMMYFUNCTION("""COMPUTED_VALUE"""),0.340277777777777)</f>
        <v>0.34027777777777701</v>
      </c>
      <c r="X2617" s="8">
        <f ca="1">IFERROR(__xludf.DUMMYFUNCTION("""COMPUTED_VALUE"""),1)</f>
        <v>1</v>
      </c>
      <c r="Y2617" s="12" t="str">
        <f ca="1">IFERROR(__xludf.DUMMYFUNCTION("""COMPUTED_VALUE"""),"Shooter walked into class room and shot victim 4 times over a girl")</f>
        <v>Shooter walked into class room and shot victim 4 times over a girl</v>
      </c>
      <c r="Z2617" s="12" t="str">
        <f ca="1">IFERROR(__xludf.DUMMYFUNCTION("""COMPUTED_VALUE"""),"Shooter walked into classroom and shot victim 4 times - shooting stemmed from students involved in earlier argument possibly over a girl. Student fled - later found at friends house.")</f>
        <v>Shooter walked into classroom and shot victim 4 times - shooting stemmed from students involved in earlier argument possibly over a girl. Student fled - later found at friends house.</v>
      </c>
      <c r="AA2617" s="8" t="str">
        <f ca="1">IFERROR(__xludf.DUMMYFUNCTION("""COMPUTED_VALUE"""),"Escalation of Dispute")</f>
        <v>Escalation of Dispute</v>
      </c>
      <c r="AB2617" s="8"/>
      <c r="AC2617" s="8"/>
      <c r="AD2617" s="8" t="str">
        <f ca="1">IFERROR(__xludf.DUMMYFUNCTION("""COMPUTED_VALUE"""),"Victims Targeted")</f>
        <v>Victims Targeted</v>
      </c>
      <c r="AE2617" s="8" t="str">
        <f ca="1">IFERROR(__xludf.DUMMYFUNCTION("""COMPUTED_VALUE"""),"No")</f>
        <v>No</v>
      </c>
      <c r="AF2617" s="8"/>
      <c r="AG2617" s="8" t="str">
        <f ca="1">IFERROR(__xludf.DUMMYFUNCTION("""COMPUTED_VALUE"""),"No")</f>
        <v>No</v>
      </c>
      <c r="AH2617" s="8" t="str">
        <f ca="1">IFERROR(__xludf.DUMMYFUNCTION("""COMPUTED_VALUE"""),"No")</f>
        <v>No</v>
      </c>
      <c r="AI2617" s="8" t="str">
        <f ca="1">IFERROR(__xludf.DUMMYFUNCTION("""COMPUTED_VALUE"""),"No")</f>
        <v>No</v>
      </c>
      <c r="AJ2617" s="8" t="str">
        <f ca="1">IFERROR(__xludf.DUMMYFUNCTION("""COMPUTED_VALUE"""),"No")</f>
        <v>No</v>
      </c>
      <c r="AK2617" s="8" t="str">
        <f ca="1">IFERROR(__xludf.DUMMYFUNCTION("""COMPUTED_VALUE"""),"No")</f>
        <v>No</v>
      </c>
      <c r="AL2617" s="8" t="str">
        <f ca="1">IFERROR(__xludf.DUMMYFUNCTION("""COMPUTED_VALUE"""),"No")</f>
        <v>No</v>
      </c>
      <c r="AM2617" s="8"/>
      <c r="AN2617" s="8"/>
      <c r="AO2617" s="8" t="str">
        <f ca="1">IFERROR(__xludf.DUMMYFUNCTION("""COMPUTED_VALUE"""),"No")</f>
        <v>No</v>
      </c>
      <c r="AP2617" s="8"/>
      <c r="AQ2617" s="8" t="str">
        <f ca="1">IFERROR(__xludf.DUMMYFUNCTION("""COMPUTED_VALUE"""),"Unknown")</f>
        <v>Unknown</v>
      </c>
      <c r="AR2617" s="8" t="str">
        <f ca="1">IFERROR(__xludf.DUMMYFUNCTION("""COMPUTED_VALUE"""),"NA")</f>
        <v>NA</v>
      </c>
      <c r="AS2617" s="8">
        <f ca="1">IFERROR(__xludf.DUMMYFUNCTION("""COMPUTED_VALUE"""),4)</f>
        <v>4</v>
      </c>
      <c r="AT2617" s="8"/>
      <c r="AU2617" s="8">
        <f ca="1">IFERROR(__xludf.DUMMYFUNCTION("""COMPUTED_VALUE"""),33.407673)</f>
        <v>33.407673000000003</v>
      </c>
      <c r="AV2617" s="8">
        <f ca="1">IFERROR(__xludf.DUMMYFUNCTION("""COMPUTED_VALUE"""),-91.038648)</f>
        <v>-91.038647999999995</v>
      </c>
      <c r="AW2617" s="8"/>
      <c r="AX2617" s="8">
        <f ca="1">IFERROR(__xludf.DUMMYFUNCTION("""COMPUTED_VALUE"""),38703)</f>
        <v>38703</v>
      </c>
    </row>
    <row r="2618" spans="1:50" ht="60" x14ac:dyDescent="0.2">
      <c r="A2618" s="8" t="str">
        <f ca="1">IFERROR(__xludf.DUMMYFUNCTION("""COMPUTED_VALUE"""),"19930925DCWEW")</f>
        <v>19930925DCWEW</v>
      </c>
      <c r="B2618" s="8">
        <f ca="1">IFERROR(__xludf.DUMMYFUNCTION("""COMPUTED_VALUE"""),9)</f>
        <v>9</v>
      </c>
      <c r="C2618" s="8">
        <f ca="1">IFERROR(__xludf.DUMMYFUNCTION("""COMPUTED_VALUE"""),25)</f>
        <v>25</v>
      </c>
      <c r="D2618" s="8">
        <f ca="1">IFERROR(__xludf.DUMMYFUNCTION("""COMPUTED_VALUE"""),1993)</f>
        <v>1993</v>
      </c>
      <c r="E2618" s="9">
        <f ca="1">IFERROR(__xludf.DUMMYFUNCTION("""COMPUTED_VALUE"""),34237)</f>
        <v>34237</v>
      </c>
      <c r="F2618" s="8" t="str">
        <f ca="1">IFERROR(__xludf.DUMMYFUNCTION("""COMPUTED_VALUE"""),"Weatherless Elementary School")</f>
        <v>Weatherless Elementary School</v>
      </c>
      <c r="G2618" s="8">
        <f ca="1">IFERROR(__xludf.DUMMYFUNCTION("""COMPUTED_VALUE"""),2)</f>
        <v>2</v>
      </c>
      <c r="H2618" s="8">
        <f ca="1">IFERROR(__xludf.DUMMYFUNCTION("""COMPUTED_VALUE"""),0)</f>
        <v>0</v>
      </c>
      <c r="I2618" s="8">
        <f ca="1">IFERROR(__xludf.DUMMYFUNCTION("""COMPUTED_VALUE"""),2)</f>
        <v>2</v>
      </c>
      <c r="J2618" s="8">
        <f ca="1">IFERROR(__xludf.DUMMYFUNCTION("""COMPUTED_VALUE"""),0)</f>
        <v>0</v>
      </c>
      <c r="K2618" s="10" t="str">
        <f ca="1">IFERROR(__xludf.DUMMYFUNCTION("""COMPUTED_VALUE"""),"https://www.newspapers.com/image/276635826/?terms=Weatherless%2BElementary%2BSchool%2Bshooting")</f>
        <v>https://www.newspapers.com/image/276635826/?terms=Weatherless%2BElementary%2BSchool%2Bshooting</v>
      </c>
      <c r="L2618" s="8"/>
      <c r="M2618" s="8"/>
      <c r="N2618" s="8">
        <f ca="1">IFERROR(__xludf.DUMMYFUNCTION("""COMPUTED_VALUE"""),2)</f>
        <v>2</v>
      </c>
      <c r="O2618" s="8" t="str">
        <f ca="1">IFERROR(__xludf.DUMMYFUNCTION("""COMPUTED_VALUE"""),"Fall")</f>
        <v>Fall</v>
      </c>
      <c r="P2618" s="8" t="str">
        <f ca="1">IFERROR(__xludf.DUMMYFUNCTION("""COMPUTED_VALUE"""),"Washington")</f>
        <v>Washington</v>
      </c>
      <c r="Q2618" s="8" t="str">
        <f ca="1">IFERROR(__xludf.DUMMYFUNCTION("""COMPUTED_VALUE"""),"DC")</f>
        <v>DC</v>
      </c>
      <c r="R2618" s="8" t="str">
        <f ca="1">IFERROR(__xludf.DUMMYFUNCTION("""COMPUTED_VALUE"""),"Elementary")</f>
        <v>Elementary</v>
      </c>
      <c r="S2618" s="8" t="str">
        <f ca="1">IFERROR(__xludf.DUMMYFUNCTION("""COMPUTED_VALUE"""),"Football Field/Track")</f>
        <v>Football Field/Track</v>
      </c>
      <c r="T2618" s="8" t="str">
        <f ca="1">IFERROR(__xludf.DUMMYFUNCTION("""COMPUTED_VALUE"""),"Outside on School Property")</f>
        <v>Outside on School Property</v>
      </c>
      <c r="U2618" s="8" t="str">
        <f ca="1">IFERROR(__xludf.DUMMYFUNCTION("""COMPUTED_VALUE"""),"No")</f>
        <v>No</v>
      </c>
      <c r="V2618" s="8" t="str">
        <f ca="1">IFERROR(__xludf.DUMMYFUNCTION("""COMPUTED_VALUE"""),"Not a School Day")</f>
        <v>Not a School Day</v>
      </c>
      <c r="W2618" s="8"/>
      <c r="X2618" s="8">
        <f ca="1">IFERROR(__xludf.DUMMYFUNCTION("""COMPUTED_VALUE"""),1)</f>
        <v>1</v>
      </c>
      <c r="Y2618" s="12" t="str">
        <f ca="1">IFERROR(__xludf.DUMMYFUNCTION("""COMPUTED_VALUE"""),"Gang shooting at pick-up football game, bystanders killed")</f>
        <v>Gang shooting at pick-up football game, bystanders killed</v>
      </c>
      <c r="Z2618" s="12" t="str">
        <f ca="1">IFERROR(__xludf.DUMMYFUNCTION("""COMPUTED_VALUE"""),"Gang shooting during pickup football game. Bystanders killed (23YOM and 4 YOF). 23YOM and 15 YOM both arrested for shooting (both had guns and fired).")</f>
        <v>Gang shooting during pickup football game. Bystanders killed (23YOM and 4 YOF). 23YOM and 15 YOM both arrested for shooting (both had guns and fired).</v>
      </c>
      <c r="AA2618" s="8" t="str">
        <f ca="1">IFERROR(__xludf.DUMMYFUNCTION("""COMPUTED_VALUE"""),"Escalation of Dispute")</f>
        <v>Escalation of Dispute</v>
      </c>
      <c r="AB2618" s="8"/>
      <c r="AC2618" s="8"/>
      <c r="AD2618" s="8" t="str">
        <f ca="1">IFERROR(__xludf.DUMMYFUNCTION("""COMPUTED_VALUE"""),"Both")</f>
        <v>Both</v>
      </c>
      <c r="AE2618" s="8" t="str">
        <f ca="1">IFERROR(__xludf.DUMMYFUNCTION("""COMPUTED_VALUE"""),"No")</f>
        <v>No</v>
      </c>
      <c r="AF2618" s="8"/>
      <c r="AG2618" s="8" t="str">
        <f ca="1">IFERROR(__xludf.DUMMYFUNCTION("""COMPUTED_VALUE"""),"No")</f>
        <v>No</v>
      </c>
      <c r="AH2618" s="8" t="str">
        <f ca="1">IFERROR(__xludf.DUMMYFUNCTION("""COMPUTED_VALUE"""),"No")</f>
        <v>No</v>
      </c>
      <c r="AI2618" s="8" t="str">
        <f ca="1">IFERROR(__xludf.DUMMYFUNCTION("""COMPUTED_VALUE"""),"No")</f>
        <v>No</v>
      </c>
      <c r="AJ2618" s="8" t="str">
        <f ca="1">IFERROR(__xludf.DUMMYFUNCTION("""COMPUTED_VALUE"""),"No")</f>
        <v>No</v>
      </c>
      <c r="AK2618" s="8" t="str">
        <f ca="1">IFERROR(__xludf.DUMMYFUNCTION("""COMPUTED_VALUE"""),"No")</f>
        <v>No</v>
      </c>
      <c r="AL2618" s="8" t="str">
        <f ca="1">IFERROR(__xludf.DUMMYFUNCTION("""COMPUTED_VALUE"""),"Yes")</f>
        <v>Yes</v>
      </c>
      <c r="AM2618" s="8"/>
      <c r="AN2618" s="8"/>
      <c r="AO2618" s="8" t="str">
        <f ca="1">IFERROR(__xludf.DUMMYFUNCTION("""COMPUTED_VALUE"""),"No")</f>
        <v>No</v>
      </c>
      <c r="AP2618" s="8"/>
      <c r="AQ2618" s="8" t="str">
        <f ca="1">IFERROR(__xludf.DUMMYFUNCTION("""COMPUTED_VALUE"""),"Unknown")</f>
        <v>Unknown</v>
      </c>
      <c r="AR2618" s="8" t="str">
        <f ca="1">IFERROR(__xludf.DUMMYFUNCTION("""COMPUTED_VALUE"""),"NA")</f>
        <v>NA</v>
      </c>
      <c r="AS2618" s="8"/>
      <c r="AT2618" s="8"/>
      <c r="AU2618" s="8">
        <f ca="1">IFERROR(__xludf.DUMMYFUNCTION("""COMPUTED_VALUE"""),38.88667)</f>
        <v>38.886670000000002</v>
      </c>
      <c r="AV2618" s="8">
        <f ca="1">IFERROR(__xludf.DUMMYFUNCTION("""COMPUTED_VALUE"""),-76.945)</f>
        <v>-76.944999999999993</v>
      </c>
      <c r="AW2618" s="8"/>
      <c r="AX2618" s="8">
        <f ca="1">IFERROR(__xludf.DUMMYFUNCTION("""COMPUTED_VALUE"""),20019)</f>
        <v>20019</v>
      </c>
    </row>
    <row r="2619" spans="1:50" ht="90" x14ac:dyDescent="0.2">
      <c r="A2619" s="8" t="str">
        <f ca="1">IFERROR(__xludf.DUMMYFUNCTION("""COMPUTED_VALUE"""),"19930917WYCES")</f>
        <v>19930917WYCES</v>
      </c>
      <c r="B2619" s="8">
        <f ca="1">IFERROR(__xludf.DUMMYFUNCTION("""COMPUTED_VALUE"""),9)</f>
        <v>9</v>
      </c>
      <c r="C2619" s="8">
        <f ca="1">IFERROR(__xludf.DUMMYFUNCTION("""COMPUTED_VALUE"""),17)</f>
        <v>17</v>
      </c>
      <c r="D2619" s="8">
        <f ca="1">IFERROR(__xludf.DUMMYFUNCTION("""COMPUTED_VALUE"""),1993)</f>
        <v>1993</v>
      </c>
      <c r="E2619" s="9">
        <f ca="1">IFERROR(__xludf.DUMMYFUNCTION("""COMPUTED_VALUE"""),34229)</f>
        <v>34229</v>
      </c>
      <c r="F2619" s="8" t="str">
        <f ca="1">IFERROR(__xludf.DUMMYFUNCTION("""COMPUTED_VALUE"""),"Central Junior High School")</f>
        <v>Central Junior High School</v>
      </c>
      <c r="G2619" s="8">
        <f ca="1">IFERROR(__xludf.DUMMYFUNCTION("""COMPUTED_VALUE"""),0)</f>
        <v>0</v>
      </c>
      <c r="H2619" s="8">
        <f ca="1">IFERROR(__xludf.DUMMYFUNCTION("""COMPUTED_VALUE"""),0)</f>
        <v>0</v>
      </c>
      <c r="I2619" s="8">
        <f ca="1">IFERROR(__xludf.DUMMYFUNCTION("""COMPUTED_VALUE"""),0)</f>
        <v>0</v>
      </c>
      <c r="J2619" s="8">
        <f ca="1">IFERROR(__xludf.DUMMYFUNCTION("""COMPUTED_VALUE"""),1)</f>
        <v>1</v>
      </c>
      <c r="K2619" s="10" t="str">
        <f ca="1">IFERROR(__xludf.DUMMYFUNCTION("""COMPUTED_VALUE"""),"http://buffalonews.com/1993/09/18/gunman-wounds-4-at-school-kills-self-shooting-takes-place-on-football-field/")</f>
        <v>http://buffalonews.com/1993/09/18/gunman-wounds-4-at-school-kills-self-shooting-takes-place-on-football-field/</v>
      </c>
      <c r="L2619" s="8"/>
      <c r="M2619" s="8"/>
      <c r="N2619" s="8">
        <f ca="1">IFERROR(__xludf.DUMMYFUNCTION("""COMPUTED_VALUE"""),2)</f>
        <v>2</v>
      </c>
      <c r="O2619" s="8" t="str">
        <f ca="1">IFERROR(__xludf.DUMMYFUNCTION("""COMPUTED_VALUE"""),"Fall")</f>
        <v>Fall</v>
      </c>
      <c r="P2619" s="8" t="str">
        <f ca="1">IFERROR(__xludf.DUMMYFUNCTION("""COMPUTED_VALUE"""),"Sheridan")</f>
        <v>Sheridan</v>
      </c>
      <c r="Q2619" s="8" t="str">
        <f ca="1">IFERROR(__xludf.DUMMYFUNCTION("""COMPUTED_VALUE"""),"WY")</f>
        <v>WY</v>
      </c>
      <c r="R2619" s="8" t="str">
        <f ca="1">IFERROR(__xludf.DUMMYFUNCTION("""COMPUTED_VALUE"""),"Junior High")</f>
        <v>Junior High</v>
      </c>
      <c r="S2619" s="8" t="str">
        <f ca="1">IFERROR(__xludf.DUMMYFUNCTION("""COMPUTED_VALUE"""),"Football Field/Track")</f>
        <v>Football Field/Track</v>
      </c>
      <c r="T2619" s="8" t="str">
        <f ca="1">IFERROR(__xludf.DUMMYFUNCTION("""COMPUTED_VALUE"""),"Outside on School Property")</f>
        <v>Outside on School Property</v>
      </c>
      <c r="U2619" s="8" t="str">
        <f ca="1">IFERROR(__xludf.DUMMYFUNCTION("""COMPUTED_VALUE"""),"Yes")</f>
        <v>Yes</v>
      </c>
      <c r="V2619" s="8"/>
      <c r="W2619" s="8"/>
      <c r="X2619" s="8">
        <f ca="1">IFERROR(__xludf.DUMMYFUNCTION("""COMPUTED_VALUE"""),1)</f>
        <v>1</v>
      </c>
      <c r="Y2619" s="12" t="str">
        <f ca="1">IFERROR(__xludf.DUMMYFUNCTION("""COMPUTED_VALUE"""),"Depressed - recently received dishonorable discharge from Navy")</f>
        <v>Depressed - recently received dishonorable discharge from Navy</v>
      </c>
      <c r="Z2619" s="12" t="str">
        <f ca="1">IFERROR(__xludf.DUMMYFUNCTION("""COMPUTED_VALUE"""),"Shooter walked onto the football field, fired multiple shots hitting 4 middle school students (minor injuries), and shot himself in the head. Recent dishonorable discharge for Navy. Left suicide note saying he was unhappy with life. No connection or motiv"&amp;"e established with why he fired shots at the students or killed himself at the school.")</f>
        <v>Shooter walked onto the football field, fired multiple shots hitting 4 middle school students (minor injuries), and shot himself in the head. Recent dishonorable discharge for Navy. Left suicide note saying he was unhappy with life. No connection or motive established with why he fired shots at the students or killed himself at the school.</v>
      </c>
      <c r="AA2619" s="8" t="str">
        <f ca="1">IFERROR(__xludf.DUMMYFUNCTION("""COMPUTED_VALUE"""),"Indiscriminate Shooting")</f>
        <v>Indiscriminate Shooting</v>
      </c>
      <c r="AB2619" s="8"/>
      <c r="AC2619" s="8"/>
      <c r="AD2619" s="8" t="str">
        <f ca="1">IFERROR(__xludf.DUMMYFUNCTION("""COMPUTED_VALUE"""),"Random Shooting")</f>
        <v>Random Shooting</v>
      </c>
      <c r="AE2619" s="8" t="str">
        <f ca="1">IFERROR(__xludf.DUMMYFUNCTION("""COMPUTED_VALUE"""),"No")</f>
        <v>No</v>
      </c>
      <c r="AF2619" s="8"/>
      <c r="AG2619" s="8" t="str">
        <f ca="1">IFERROR(__xludf.DUMMYFUNCTION("""COMPUTED_VALUE"""),"No")</f>
        <v>No</v>
      </c>
      <c r="AH2619" s="8" t="str">
        <f ca="1">IFERROR(__xludf.DUMMYFUNCTION("""COMPUTED_VALUE"""),"No")</f>
        <v>No</v>
      </c>
      <c r="AI2619" s="8" t="str">
        <f ca="1">IFERROR(__xludf.DUMMYFUNCTION("""COMPUTED_VALUE"""),"No")</f>
        <v>No</v>
      </c>
      <c r="AJ2619" s="8" t="str">
        <f ca="1">IFERROR(__xludf.DUMMYFUNCTION("""COMPUTED_VALUE"""),"No")</f>
        <v>No</v>
      </c>
      <c r="AK2619" s="8" t="str">
        <f ca="1">IFERROR(__xludf.DUMMYFUNCTION("""COMPUTED_VALUE"""),"No")</f>
        <v>No</v>
      </c>
      <c r="AL2619" s="8" t="str">
        <f ca="1">IFERROR(__xludf.DUMMYFUNCTION("""COMPUTED_VALUE"""),"No")</f>
        <v>No</v>
      </c>
      <c r="AM2619" s="8" t="str">
        <f ca="1">IFERROR(__xludf.DUMMYFUNCTION("""COMPUTED_VALUE"""),"Yes")</f>
        <v>Yes</v>
      </c>
      <c r="AN2619" s="8" t="str">
        <f ca="1">IFERROR(__xludf.DUMMYFUNCTION("""COMPUTED_VALUE"""),"Outside")</f>
        <v>Outside</v>
      </c>
      <c r="AO2619" s="8" t="str">
        <f ca="1">IFERROR(__xludf.DUMMYFUNCTION("""COMPUTED_VALUE"""),"No")</f>
        <v>No</v>
      </c>
      <c r="AP2619" s="8"/>
      <c r="AQ2619" s="8" t="str">
        <f ca="1">IFERROR(__xludf.DUMMYFUNCTION("""COMPUTED_VALUE"""),"Unknown")</f>
        <v>Unknown</v>
      </c>
      <c r="AR2619" s="8" t="str">
        <f ca="1">IFERROR(__xludf.DUMMYFUNCTION("""COMPUTED_VALUE"""),"NA")</f>
        <v>NA</v>
      </c>
      <c r="AS2619" s="8">
        <f ca="1">IFERROR(__xludf.DUMMYFUNCTION("""COMPUTED_VALUE"""),30)</f>
        <v>30</v>
      </c>
      <c r="AT2619" s="8"/>
      <c r="AU2619" s="8">
        <f ca="1">IFERROR(__xludf.DUMMYFUNCTION("""COMPUTED_VALUE"""),44.803007)</f>
        <v>44.803007000000001</v>
      </c>
      <c r="AV2619" s="8">
        <f ca="1">IFERROR(__xludf.DUMMYFUNCTION("""COMPUTED_VALUE"""),-106.963903)</f>
        <v>-106.963903</v>
      </c>
      <c r="AW2619" s="8"/>
      <c r="AX2619" s="8">
        <f ca="1">IFERROR(__xludf.DUMMYFUNCTION("""COMPUTED_VALUE"""),82801)</f>
        <v>82801</v>
      </c>
    </row>
    <row r="2620" spans="1:50" ht="60" x14ac:dyDescent="0.2">
      <c r="A2620" s="8" t="str">
        <f ca="1">IFERROR(__xludf.DUMMYFUNCTION("""COMPUTED_VALUE"""),"19930917ILDOD")</f>
        <v>19930917ILDOD</v>
      </c>
      <c r="B2620" s="8">
        <f ca="1">IFERROR(__xludf.DUMMYFUNCTION("""COMPUTED_VALUE"""),9)</f>
        <v>9</v>
      </c>
      <c r="C2620" s="8">
        <f ca="1">IFERROR(__xludf.DUMMYFUNCTION("""COMPUTED_VALUE"""),17)</f>
        <v>17</v>
      </c>
      <c r="D2620" s="8">
        <f ca="1">IFERROR(__xludf.DUMMYFUNCTION("""COMPUTED_VALUE"""),1993)</f>
        <v>1993</v>
      </c>
      <c r="E2620" s="9">
        <f ca="1">IFERROR(__xludf.DUMMYFUNCTION("""COMPUTED_VALUE"""),34229)</f>
        <v>34229</v>
      </c>
      <c r="F2620" s="8" t="str">
        <f ca="1">IFERROR(__xludf.DUMMYFUNCTION("""COMPUTED_VALUE"""),"Downers South High School")</f>
        <v>Downers South High School</v>
      </c>
      <c r="G2620" s="8">
        <f ca="1">IFERROR(__xludf.DUMMYFUNCTION("""COMPUTED_VALUE"""),1)</f>
        <v>1</v>
      </c>
      <c r="H2620" s="8">
        <f ca="1">IFERROR(__xludf.DUMMYFUNCTION("""COMPUTED_VALUE"""),0)</f>
        <v>0</v>
      </c>
      <c r="I2620" s="8">
        <f ca="1">IFERROR(__xludf.DUMMYFUNCTION("""COMPUTED_VALUE"""),1)</f>
        <v>1</v>
      </c>
      <c r="J2620" s="8">
        <f ca="1">IFERROR(__xludf.DUMMYFUNCTION("""COMPUTED_VALUE"""),0)</f>
        <v>0</v>
      </c>
      <c r="K2620" s="10" t="str">
        <f ca="1">IFERROR(__xludf.DUMMYFUNCTION("""COMPUTED_VALUE"""),"http://www.mysuburbanlife.com/2011/12/20/philip-powell-who-murdered-hinsdale-teen-barrett-modisette-after-downers-grove-south-high-school-football-game-released-early-from-prison/za3xo73/")</f>
        <v>http://www.mysuburbanlife.com/2011/12/20/philip-powell-who-murdered-hinsdale-teen-barrett-modisette-after-downers-grove-south-high-school-football-game-released-early-from-prison/za3xo73/</v>
      </c>
      <c r="L2620" s="8"/>
      <c r="M2620" s="8"/>
      <c r="N2620" s="8">
        <f ca="1">IFERROR(__xludf.DUMMYFUNCTION("""COMPUTED_VALUE"""),1)</f>
        <v>1</v>
      </c>
      <c r="O2620" s="8" t="str">
        <f ca="1">IFERROR(__xludf.DUMMYFUNCTION("""COMPUTED_VALUE"""),"Fall")</f>
        <v>Fall</v>
      </c>
      <c r="P2620" s="8" t="str">
        <f ca="1">IFERROR(__xludf.DUMMYFUNCTION("""COMPUTED_VALUE"""),"Downers Grove")</f>
        <v>Downers Grove</v>
      </c>
      <c r="Q2620" s="8" t="str">
        <f ca="1">IFERROR(__xludf.DUMMYFUNCTION("""COMPUTED_VALUE"""),"IL")</f>
        <v>IL</v>
      </c>
      <c r="R2620" s="8" t="str">
        <f ca="1">IFERROR(__xludf.DUMMYFUNCTION("""COMPUTED_VALUE"""),"High")</f>
        <v>High</v>
      </c>
      <c r="S2620" s="8" t="str">
        <f ca="1">IFERROR(__xludf.DUMMYFUNCTION("""COMPUTED_VALUE"""),"Football Field/Track")</f>
        <v>Football Field/Track</v>
      </c>
      <c r="T2620" s="8" t="str">
        <f ca="1">IFERROR(__xludf.DUMMYFUNCTION("""COMPUTED_VALUE"""),"Outside on School Property")</f>
        <v>Outside on School Property</v>
      </c>
      <c r="U2620" s="8" t="str">
        <f ca="1">IFERROR(__xludf.DUMMYFUNCTION("""COMPUTED_VALUE"""),"No")</f>
        <v>No</v>
      </c>
      <c r="V2620" s="8" t="str">
        <f ca="1">IFERROR(__xludf.DUMMYFUNCTION("""COMPUTED_VALUE"""),"Sport Event")</f>
        <v>Sport Event</v>
      </c>
      <c r="W2620" s="8"/>
      <c r="X2620" s="8">
        <f ca="1">IFERROR(__xludf.DUMMYFUNCTION("""COMPUTED_VALUE"""),1)</f>
        <v>1</v>
      </c>
      <c r="Y2620" s="12" t="str">
        <f ca="1">IFERROR(__xludf.DUMMYFUNCTION("""COMPUTED_VALUE"""),"Shot victim in head after prior disputes")</f>
        <v>Shot victim in head after prior disputes</v>
      </c>
      <c r="Z2620" s="12" t="str">
        <f ca="1">IFERROR(__xludf.DUMMYFUNCTION("""COMPUTED_VALUE"""),"Victim was sticking up for his younger brother which caused the victim and suspect to begin feuding. The situation escalated over the next few weeks until the suspect shot the victim in the head after a football game.")</f>
        <v>Victim was sticking up for his younger brother which caused the victim and suspect to begin feuding. The situation escalated over the next few weeks until the suspect shot the victim in the head after a football game.</v>
      </c>
      <c r="AA2620" s="8" t="str">
        <f ca="1">IFERROR(__xludf.DUMMYFUNCTION("""COMPUTED_VALUE"""),"Escalation of Dispute")</f>
        <v>Escalation of Dispute</v>
      </c>
      <c r="AB2620" s="8"/>
      <c r="AC2620" s="8"/>
      <c r="AD2620" s="8" t="str">
        <f ca="1">IFERROR(__xludf.DUMMYFUNCTION("""COMPUTED_VALUE"""),"Victims Targeted")</f>
        <v>Victims Targeted</v>
      </c>
      <c r="AE2620" s="8" t="str">
        <f ca="1">IFERROR(__xludf.DUMMYFUNCTION("""COMPUTED_VALUE"""),"No")</f>
        <v>No</v>
      </c>
      <c r="AF2620" s="8"/>
      <c r="AG2620" s="8" t="str">
        <f ca="1">IFERROR(__xludf.DUMMYFUNCTION("""COMPUTED_VALUE"""),"No")</f>
        <v>No</v>
      </c>
      <c r="AH2620" s="8" t="str">
        <f ca="1">IFERROR(__xludf.DUMMYFUNCTION("""COMPUTED_VALUE"""),"No")</f>
        <v>No</v>
      </c>
      <c r="AI2620" s="8" t="str">
        <f ca="1">IFERROR(__xludf.DUMMYFUNCTION("""COMPUTED_VALUE"""),"No")</f>
        <v>No</v>
      </c>
      <c r="AJ2620" s="8" t="str">
        <f ca="1">IFERROR(__xludf.DUMMYFUNCTION("""COMPUTED_VALUE"""),"No")</f>
        <v>No</v>
      </c>
      <c r="AK2620" s="8" t="str">
        <f ca="1">IFERROR(__xludf.DUMMYFUNCTION("""COMPUTED_VALUE"""),"No")</f>
        <v>No</v>
      </c>
      <c r="AL2620" s="8" t="str">
        <f ca="1">IFERROR(__xludf.DUMMYFUNCTION("""COMPUTED_VALUE"""),"No")</f>
        <v>No</v>
      </c>
      <c r="AM2620" s="8"/>
      <c r="AN2620" s="8"/>
      <c r="AO2620" s="8" t="str">
        <f ca="1">IFERROR(__xludf.DUMMYFUNCTION("""COMPUTED_VALUE"""),"No")</f>
        <v>No</v>
      </c>
      <c r="AP2620" s="8"/>
      <c r="AQ2620" s="8" t="str">
        <f ca="1">IFERROR(__xludf.DUMMYFUNCTION("""COMPUTED_VALUE"""),"Unknown")</f>
        <v>Unknown</v>
      </c>
      <c r="AR2620" s="8" t="str">
        <f ca="1">IFERROR(__xludf.DUMMYFUNCTION("""COMPUTED_VALUE"""),"NA")</f>
        <v>NA</v>
      </c>
      <c r="AS2620" s="8"/>
      <c r="AT2620" s="8"/>
      <c r="AU2620" s="8">
        <f ca="1">IFERROR(__xludf.DUMMYFUNCTION("""COMPUTED_VALUE"""),41.770898)</f>
        <v>41.770898000000003</v>
      </c>
      <c r="AV2620" s="8">
        <f ca="1">IFERROR(__xludf.DUMMYFUNCTION("""COMPUTED_VALUE"""),-88.020456)</f>
        <v>-88.020455999999996</v>
      </c>
      <c r="AW2620" s="8"/>
      <c r="AX2620" s="8">
        <f ca="1">IFERROR(__xludf.DUMMYFUNCTION("""COMPUTED_VALUE"""),60516)</f>
        <v>60516</v>
      </c>
    </row>
    <row r="2621" spans="1:50" ht="60" x14ac:dyDescent="0.2">
      <c r="A2621" s="8" t="str">
        <f ca="1">IFERROR(__xludf.DUMMYFUNCTION("""COMPUTED_VALUE"""),"19930916ILROC")</f>
        <v>19930916ILROC</v>
      </c>
      <c r="B2621" s="8">
        <f ca="1">IFERROR(__xludf.DUMMYFUNCTION("""COMPUTED_VALUE"""),9)</f>
        <v>9</v>
      </c>
      <c r="C2621" s="8">
        <f ca="1">IFERROR(__xludf.DUMMYFUNCTION("""COMPUTED_VALUE"""),16)</f>
        <v>16</v>
      </c>
      <c r="D2621" s="8">
        <f ca="1">IFERROR(__xludf.DUMMYFUNCTION("""COMPUTED_VALUE"""),1993)</f>
        <v>1993</v>
      </c>
      <c r="E2621" s="9">
        <f ca="1">IFERROR(__xludf.DUMMYFUNCTION("""COMPUTED_VALUE"""),34228)</f>
        <v>34228</v>
      </c>
      <c r="F2621" s="8" t="str">
        <f ca="1">IFERROR(__xludf.DUMMYFUNCTION("""COMPUTED_VALUE"""),"Roosevelt High School")</f>
        <v>Roosevelt High School</v>
      </c>
      <c r="G2621" s="8">
        <f ca="1">IFERROR(__xludf.DUMMYFUNCTION("""COMPUTED_VALUE"""),1)</f>
        <v>1</v>
      </c>
      <c r="H2621" s="8">
        <f ca="1">IFERROR(__xludf.DUMMYFUNCTION("""COMPUTED_VALUE"""),0)</f>
        <v>0</v>
      </c>
      <c r="I2621" s="8">
        <f ca="1">IFERROR(__xludf.DUMMYFUNCTION("""COMPUTED_VALUE"""),1)</f>
        <v>1</v>
      </c>
      <c r="J2621" s="8">
        <f ca="1">IFERROR(__xludf.DUMMYFUNCTION("""COMPUTED_VALUE"""),0)</f>
        <v>0</v>
      </c>
      <c r="K2621" s="10" t="str">
        <f ca="1">IFERROR(__xludf.DUMMYFUNCTION("""COMPUTED_VALUE"""),"https://www.newspapers.com/image/241417531/?terms=Roosevelt%2BHigh%2BSchool%2Bshooting")</f>
        <v>https://www.newspapers.com/image/241417531/?terms=Roosevelt%2BHigh%2BSchool%2Bshooting</v>
      </c>
      <c r="L2621" s="8"/>
      <c r="M2621" s="8"/>
      <c r="N2621" s="8">
        <f ca="1">IFERROR(__xludf.DUMMYFUNCTION("""COMPUTED_VALUE"""),2)</f>
        <v>2</v>
      </c>
      <c r="O2621" s="8" t="str">
        <f ca="1">IFERROR(__xludf.DUMMYFUNCTION("""COMPUTED_VALUE"""),"Fall")</f>
        <v>Fall</v>
      </c>
      <c r="P2621" s="8" t="str">
        <f ca="1">IFERROR(__xludf.DUMMYFUNCTION("""COMPUTED_VALUE"""),"Chicago")</f>
        <v>Chicago</v>
      </c>
      <c r="Q2621" s="8" t="str">
        <f ca="1">IFERROR(__xludf.DUMMYFUNCTION("""COMPUTED_VALUE"""),"IL")</f>
        <v>IL</v>
      </c>
      <c r="R2621" s="8" t="str">
        <f ca="1">IFERROR(__xludf.DUMMYFUNCTION("""COMPUTED_VALUE"""),"High")</f>
        <v>High</v>
      </c>
      <c r="S2621" s="8" t="str">
        <f ca="1">IFERROR(__xludf.DUMMYFUNCTION("""COMPUTED_VALUE"""),"Beside Building")</f>
        <v>Beside Building</v>
      </c>
      <c r="T2621" s="8" t="str">
        <f ca="1">IFERROR(__xludf.DUMMYFUNCTION("""COMPUTED_VALUE"""),"Outside on School Property")</f>
        <v>Outside on School Property</v>
      </c>
      <c r="U2621" s="8" t="str">
        <f ca="1">IFERROR(__xludf.DUMMYFUNCTION("""COMPUTED_VALUE"""),"Yes")</f>
        <v>Yes</v>
      </c>
      <c r="V2621" s="8" t="str">
        <f ca="1">IFERROR(__xludf.DUMMYFUNCTION("""COMPUTED_VALUE"""),"Dismissal")</f>
        <v>Dismissal</v>
      </c>
      <c r="W2621" s="11">
        <f ca="1">IFERROR(__xludf.DUMMYFUNCTION("""COMPUTED_VALUE"""),0.625)</f>
        <v>0.625</v>
      </c>
      <c r="X2621" s="8">
        <f ca="1">IFERROR(__xludf.DUMMYFUNCTION("""COMPUTED_VALUE"""),1)</f>
        <v>1</v>
      </c>
      <c r="Y2621" s="12" t="str">
        <f ca="1">IFERROR(__xludf.DUMMYFUNCTION("""COMPUTED_VALUE"""),"Gang related shooting at dismissal outside of school")</f>
        <v>Gang related shooting at dismissal outside of school</v>
      </c>
      <c r="Z2621" s="12" t="str">
        <f ca="1">IFERROR(__xludf.DUMMYFUNCTION("""COMPUTED_VALUE"""),"Gang related shooting. Part of 6 other shootings that occurred just off of school grounds in the first 2 weeks of the school year.")</f>
        <v>Gang related shooting. Part of 6 other shootings that occurred just off of school grounds in the first 2 weeks of the school year.</v>
      </c>
      <c r="AA2621" s="8" t="str">
        <f ca="1">IFERROR(__xludf.DUMMYFUNCTION("""COMPUTED_VALUE"""),"Escalation of Dispute")</f>
        <v>Escalation of Dispute</v>
      </c>
      <c r="AB2621" s="8"/>
      <c r="AC2621" s="8"/>
      <c r="AD2621" s="8"/>
      <c r="AE2621" s="8" t="str">
        <f ca="1">IFERROR(__xludf.DUMMYFUNCTION("""COMPUTED_VALUE"""),"No")</f>
        <v>No</v>
      </c>
      <c r="AF2621" s="8"/>
      <c r="AG2621" s="8" t="str">
        <f ca="1">IFERROR(__xludf.DUMMYFUNCTION("""COMPUTED_VALUE"""),"No")</f>
        <v>No</v>
      </c>
      <c r="AH2621" s="8" t="str">
        <f ca="1">IFERROR(__xludf.DUMMYFUNCTION("""COMPUTED_VALUE"""),"No")</f>
        <v>No</v>
      </c>
      <c r="AI2621" s="8" t="str">
        <f ca="1">IFERROR(__xludf.DUMMYFUNCTION("""COMPUTED_VALUE"""),"No")</f>
        <v>No</v>
      </c>
      <c r="AJ2621" s="8"/>
      <c r="AK2621" s="8"/>
      <c r="AL2621" s="8" t="str">
        <f ca="1">IFERROR(__xludf.DUMMYFUNCTION("""COMPUTED_VALUE"""),"Yes")</f>
        <v>Yes</v>
      </c>
      <c r="AM2621" s="8"/>
      <c r="AN2621" s="8"/>
      <c r="AO2621" s="8" t="str">
        <f ca="1">IFERROR(__xludf.DUMMYFUNCTION("""COMPUTED_VALUE"""),"No")</f>
        <v>No</v>
      </c>
      <c r="AP2621" s="8"/>
      <c r="AQ2621" s="8" t="str">
        <f ca="1">IFERROR(__xludf.DUMMYFUNCTION("""COMPUTED_VALUE"""),"Unknown")</f>
        <v>Unknown</v>
      </c>
      <c r="AR2621" s="8" t="str">
        <f ca="1">IFERROR(__xludf.DUMMYFUNCTION("""COMPUTED_VALUE"""),"NA")</f>
        <v>NA</v>
      </c>
      <c r="AS2621" s="8"/>
      <c r="AT2621" s="8"/>
      <c r="AU2621" s="8">
        <f ca="1">IFERROR(__xludf.DUMMYFUNCTION("""COMPUTED_VALUE"""),41.965789)</f>
        <v>41.965789000000001</v>
      </c>
      <c r="AV2621" s="8">
        <f ca="1">IFERROR(__xludf.DUMMYFUNCTION("""COMPUTED_VALUE"""),-87.715117)</f>
        <v>-87.715117000000006</v>
      </c>
      <c r="AW2621" s="8"/>
      <c r="AX2621" s="8">
        <f ca="1">IFERROR(__xludf.DUMMYFUNCTION("""COMPUTED_VALUE"""),60625)</f>
        <v>60625</v>
      </c>
    </row>
    <row r="2622" spans="1:50" ht="45" x14ac:dyDescent="0.2">
      <c r="A2622" s="8" t="str">
        <f ca="1">IFERROR(__xludf.DUMMYFUNCTION("""COMPUTED_VALUE"""),"19930912ALFAF")</f>
        <v>19930912ALFAF</v>
      </c>
      <c r="B2622" s="8">
        <f ca="1">IFERROR(__xludf.DUMMYFUNCTION("""COMPUTED_VALUE"""),9)</f>
        <v>9</v>
      </c>
      <c r="C2622" s="8">
        <f ca="1">IFERROR(__xludf.DUMMYFUNCTION("""COMPUTED_VALUE"""),12)</f>
        <v>12</v>
      </c>
      <c r="D2622" s="8">
        <f ca="1">IFERROR(__xludf.DUMMYFUNCTION("""COMPUTED_VALUE"""),1993)</f>
        <v>1993</v>
      </c>
      <c r="E2622" s="9">
        <f ca="1">IFERROR(__xludf.DUMMYFUNCTION("""COMPUTED_VALUE"""),34224)</f>
        <v>34224</v>
      </c>
      <c r="F2622" s="8" t="str">
        <f ca="1">IFERROR(__xludf.DUMMYFUNCTION("""COMPUTED_VALUE"""),"Fairfield High School")</f>
        <v>Fairfield High School</v>
      </c>
      <c r="G2622" s="8">
        <f ca="1">IFERROR(__xludf.DUMMYFUNCTION("""COMPUTED_VALUE"""),0)</f>
        <v>0</v>
      </c>
      <c r="H2622" s="8">
        <f ca="1">IFERROR(__xludf.DUMMYFUNCTION("""COMPUTED_VALUE"""),0)</f>
        <v>0</v>
      </c>
      <c r="I2622" s="8">
        <f ca="1">IFERROR(__xludf.DUMMYFUNCTION("""COMPUTED_VALUE"""),0)</f>
        <v>0</v>
      </c>
      <c r="J2622" s="8">
        <f ca="1">IFERROR(__xludf.DUMMYFUNCTION("""COMPUTED_VALUE"""),0)</f>
        <v>0</v>
      </c>
      <c r="K2622" s="10" t="str">
        <f ca="1">IFERROR(__xludf.DUMMYFUNCTION("""COMPUTED_VALUE"""),"https://www.newspapers.com/image/89590422/?terms=%22shot%20high%20school%20football%22&amp;match=1")</f>
        <v>https://www.newspapers.com/image/89590422/?terms=%22shot%20high%20school%20football%22&amp;match=1</v>
      </c>
      <c r="L2622" s="8">
        <f ca="1">IFERROR(__xludf.DUMMYFUNCTION("""COMPUTED_VALUE"""),1)</f>
        <v>1</v>
      </c>
      <c r="M2622" s="8" t="str">
        <f ca="1">IFERROR(__xludf.DUMMYFUNCTION("""COMPUTED_VALUE"""),"Local")</f>
        <v>Local</v>
      </c>
      <c r="N2622" s="8">
        <f ca="1">IFERROR(__xludf.DUMMYFUNCTION("""COMPUTED_VALUE"""),3)</f>
        <v>3</v>
      </c>
      <c r="O2622" s="8" t="str">
        <f ca="1">IFERROR(__xludf.DUMMYFUNCTION("""COMPUTED_VALUE"""),"Fall")</f>
        <v>Fall</v>
      </c>
      <c r="P2622" s="8" t="str">
        <f ca="1">IFERROR(__xludf.DUMMYFUNCTION("""COMPUTED_VALUE"""),"Fairfield")</f>
        <v>Fairfield</v>
      </c>
      <c r="Q2622" s="8" t="str">
        <f ca="1">IFERROR(__xludf.DUMMYFUNCTION("""COMPUTED_VALUE"""),"AL")</f>
        <v>AL</v>
      </c>
      <c r="R2622" s="8" t="str">
        <f ca="1">IFERROR(__xludf.DUMMYFUNCTION("""COMPUTED_VALUE"""),"High")</f>
        <v>High</v>
      </c>
      <c r="S2622" s="8" t="str">
        <f ca="1">IFERROR(__xludf.DUMMYFUNCTION("""COMPUTED_VALUE"""),"Football Field/Track")</f>
        <v>Football Field/Track</v>
      </c>
      <c r="T2622" s="8" t="str">
        <f ca="1">IFERROR(__xludf.DUMMYFUNCTION("""COMPUTED_VALUE"""),"Outside on School Property")</f>
        <v>Outside on School Property</v>
      </c>
      <c r="U2622" s="8" t="str">
        <f ca="1">IFERROR(__xludf.DUMMYFUNCTION("""COMPUTED_VALUE"""),"No")</f>
        <v>No</v>
      </c>
      <c r="V2622" s="8" t="str">
        <f ca="1">IFERROR(__xludf.DUMMYFUNCTION("""COMPUTED_VALUE"""),"Sport Event")</f>
        <v>Sport Event</v>
      </c>
      <c r="W2622" s="11">
        <f ca="1">IFERROR(__xludf.DUMMYFUNCTION("""COMPUTED_VALUE"""),0.573611111111111)</f>
        <v>0.57361111111111096</v>
      </c>
      <c r="X2622" s="8">
        <f ca="1">IFERROR(__xludf.DUMMYFUNCTION("""COMPUTED_VALUE"""),1)</f>
        <v>1</v>
      </c>
      <c r="Y2622" s="12" t="str">
        <f ca="1">IFERROR(__xludf.DUMMYFUNCTION("""COMPUTED_VALUE"""),"Shots fired into the air during football game")</f>
        <v>Shots fired into the air during football game</v>
      </c>
      <c r="Z2622" s="12"/>
      <c r="AA2622" s="8" t="str">
        <f ca="1">IFERROR(__xludf.DUMMYFUNCTION("""COMPUTED_VALUE"""),"Illegal Activity")</f>
        <v>Illegal Activity</v>
      </c>
      <c r="AB2622" s="8"/>
      <c r="AC2622" s="8"/>
      <c r="AD2622" s="8" t="str">
        <f ca="1">IFERROR(__xludf.DUMMYFUNCTION("""COMPUTED_VALUE"""),"Neither")</f>
        <v>Neither</v>
      </c>
      <c r="AE2622" s="8" t="str">
        <f ca="1">IFERROR(__xludf.DUMMYFUNCTION("""COMPUTED_VALUE"""),"No")</f>
        <v>No</v>
      </c>
      <c r="AF2622" s="8"/>
      <c r="AG2622" s="8" t="str">
        <f ca="1">IFERROR(__xludf.DUMMYFUNCTION("""COMPUTED_VALUE"""),"No")</f>
        <v>No</v>
      </c>
      <c r="AH2622" s="8" t="str">
        <f ca="1">IFERROR(__xludf.DUMMYFUNCTION("""COMPUTED_VALUE"""),"No")</f>
        <v>No</v>
      </c>
      <c r="AI2622" s="8" t="str">
        <f ca="1">IFERROR(__xludf.DUMMYFUNCTION("""COMPUTED_VALUE"""),"No")</f>
        <v>No</v>
      </c>
      <c r="AJ2622" s="8" t="str">
        <f ca="1">IFERROR(__xludf.DUMMYFUNCTION("""COMPUTED_VALUE"""),"No")</f>
        <v>No</v>
      </c>
      <c r="AK2622" s="8" t="str">
        <f ca="1">IFERROR(__xludf.DUMMYFUNCTION("""COMPUTED_VALUE"""),"No")</f>
        <v>No</v>
      </c>
      <c r="AL2622" s="8" t="str">
        <f ca="1">IFERROR(__xludf.DUMMYFUNCTION("""COMPUTED_VALUE"""),"No")</f>
        <v>No</v>
      </c>
      <c r="AM2622" s="8" t="str">
        <f ca="1">IFERROR(__xludf.DUMMYFUNCTION("""COMPUTED_VALUE"""),"No")</f>
        <v>No</v>
      </c>
      <c r="AN2622" s="8"/>
      <c r="AO2622" s="8" t="str">
        <f ca="1">IFERROR(__xludf.DUMMYFUNCTION("""COMPUTED_VALUE"""),"No")</f>
        <v>No</v>
      </c>
      <c r="AP2622" s="8"/>
      <c r="AQ2622" s="8"/>
      <c r="AR2622" s="8" t="str">
        <f ca="1">IFERROR(__xludf.DUMMYFUNCTION("""COMPUTED_VALUE"""),"Outside/Off-Property")</f>
        <v>Outside/Off-Property</v>
      </c>
      <c r="AS2622" s="8"/>
      <c r="AT2622" s="8"/>
      <c r="AU2622" s="8">
        <f ca="1">IFERROR(__xludf.DUMMYFUNCTION("""COMPUTED_VALUE"""),33.490686)</f>
        <v>33.490685999999997</v>
      </c>
      <c r="AV2622" s="8">
        <f ca="1">IFERROR(__xludf.DUMMYFUNCTION("""COMPUTED_VALUE"""),-86.908205)</f>
        <v>-86.908204999999995</v>
      </c>
      <c r="AW2622" s="8"/>
      <c r="AX2622" s="8">
        <f ca="1">IFERROR(__xludf.DUMMYFUNCTION("""COMPUTED_VALUE"""),35604)</f>
        <v>35604</v>
      </c>
    </row>
    <row r="2623" spans="1:50" ht="45" x14ac:dyDescent="0.2">
      <c r="A2623" s="8" t="str">
        <f ca="1">IFERROR(__xludf.DUMMYFUNCTION("""COMPUTED_VALUE"""),"19930902TXROD")</f>
        <v>19930902TXROD</v>
      </c>
      <c r="B2623" s="8">
        <f ca="1">IFERROR(__xludf.DUMMYFUNCTION("""COMPUTED_VALUE"""),9)</f>
        <v>9</v>
      </c>
      <c r="C2623" s="8">
        <f ca="1">IFERROR(__xludf.DUMMYFUNCTION("""COMPUTED_VALUE"""),2)</f>
        <v>2</v>
      </c>
      <c r="D2623" s="8">
        <f ca="1">IFERROR(__xludf.DUMMYFUNCTION("""COMPUTED_VALUE"""),1993)</f>
        <v>1993</v>
      </c>
      <c r="E2623" s="9">
        <f ca="1">IFERROR(__xludf.DUMMYFUNCTION("""COMPUTED_VALUE"""),34214)</f>
        <v>34214</v>
      </c>
      <c r="F2623" s="8" t="str">
        <f ca="1">IFERROR(__xludf.DUMMYFUNCTION("""COMPUTED_VALUE"""),"Roosevelt High School")</f>
        <v>Roosevelt High School</v>
      </c>
      <c r="G2623" s="8">
        <f ca="1">IFERROR(__xludf.DUMMYFUNCTION("""COMPUTED_VALUE"""),1)</f>
        <v>1</v>
      </c>
      <c r="H2623" s="8">
        <f ca="1">IFERROR(__xludf.DUMMYFUNCTION("""COMPUTED_VALUE"""),0)</f>
        <v>0</v>
      </c>
      <c r="I2623" s="8">
        <f ca="1">IFERROR(__xludf.DUMMYFUNCTION("""COMPUTED_VALUE"""),1)</f>
        <v>1</v>
      </c>
      <c r="J2623" s="8">
        <f ca="1">IFERROR(__xludf.DUMMYFUNCTION("""COMPUTED_VALUE"""),0)</f>
        <v>0</v>
      </c>
      <c r="K2623" s="8" t="str">
        <f ca="1">IFERROR(__xludf.DUMMYFUNCTION("""COMPUTED_VALUE"""),"Dallas Morning News - Student, 15, Fatally Shot at School - Suspect, 16, Surrenders to Police; Dallas Morning News - Victim was Getting His Life Together; https://www.columbine-angels.com/School_Violence_1993-1994.htm")</f>
        <v>Dallas Morning News - Student, 15, Fatally Shot at School - Suspect, 16, Surrenders to Police; Dallas Morning News - Victim was Getting His Life Together; https://www.columbine-angels.com/School_Violence_1993-1994.htm</v>
      </c>
      <c r="L2623" s="8"/>
      <c r="M2623" s="8"/>
      <c r="N2623" s="8">
        <f ca="1">IFERROR(__xludf.DUMMYFUNCTION("""COMPUTED_VALUE"""),1)</f>
        <v>1</v>
      </c>
      <c r="O2623" s="8" t="str">
        <f ca="1">IFERROR(__xludf.DUMMYFUNCTION("""COMPUTED_VALUE"""),"Fall")</f>
        <v>Fall</v>
      </c>
      <c r="P2623" s="8" t="str">
        <f ca="1">IFERROR(__xludf.DUMMYFUNCTION("""COMPUTED_VALUE"""),"Dallas")</f>
        <v>Dallas</v>
      </c>
      <c r="Q2623" s="8" t="str">
        <f ca="1">IFERROR(__xludf.DUMMYFUNCTION("""COMPUTED_VALUE"""),"TX")</f>
        <v>TX</v>
      </c>
      <c r="R2623" s="8" t="str">
        <f ca="1">IFERROR(__xludf.DUMMYFUNCTION("""COMPUTED_VALUE"""),"High")</f>
        <v>High</v>
      </c>
      <c r="S2623" s="8" t="str">
        <f ca="1">IFERROR(__xludf.DUMMYFUNCTION("""COMPUTED_VALUE"""),"Hallway")</f>
        <v>Hallway</v>
      </c>
      <c r="T2623" s="8" t="str">
        <f ca="1">IFERROR(__xludf.DUMMYFUNCTION("""COMPUTED_VALUE"""),"Inside School Building")</f>
        <v>Inside School Building</v>
      </c>
      <c r="U2623" s="8" t="str">
        <f ca="1">IFERROR(__xludf.DUMMYFUNCTION("""COMPUTED_VALUE"""),"Yes")</f>
        <v>Yes</v>
      </c>
      <c r="V2623" s="8" t="str">
        <f ca="1">IFERROR(__xludf.DUMMYFUNCTION("""COMPUTED_VALUE"""),"Dismissal")</f>
        <v>Dismissal</v>
      </c>
      <c r="W2623" s="11">
        <f ca="1">IFERROR(__xludf.DUMMYFUNCTION("""COMPUTED_VALUE"""),0.614583333333333)</f>
        <v>0.61458333333333304</v>
      </c>
      <c r="X2623" s="8">
        <f ca="1">IFERROR(__xludf.DUMMYFUNCTION("""COMPUTED_VALUE"""),1)</f>
        <v>1</v>
      </c>
      <c r="Y2623" s="12" t="str">
        <f ca="1">IFERROR(__xludf.DUMMYFUNCTION("""COMPUTED_VALUE"""),"Argument over stolen beeper")</f>
        <v>Argument over stolen beeper</v>
      </c>
      <c r="Z2623" s="12" t="str">
        <f ca="1">IFERROR(__xludf.DUMMYFUNCTION("""COMPUTED_VALUE"""),"Victim and shooter had multiple arguments about a stolen beeper. During an argument in the school hallway, 16YOM student shot 15YOM student in the head and fled.")</f>
        <v>Victim and shooter had multiple arguments about a stolen beeper. During an argument in the school hallway, 16YOM student shot 15YOM student in the head and fled.</v>
      </c>
      <c r="AA2623" s="8" t="str">
        <f ca="1">IFERROR(__xludf.DUMMYFUNCTION("""COMPUTED_VALUE"""),"Escalation of Dispute")</f>
        <v>Escalation of Dispute</v>
      </c>
      <c r="AB2623" s="8"/>
      <c r="AC2623" s="8"/>
      <c r="AD2623" s="8" t="str">
        <f ca="1">IFERROR(__xludf.DUMMYFUNCTION("""COMPUTED_VALUE"""),"Victims Targeted")</f>
        <v>Victims Targeted</v>
      </c>
      <c r="AE2623" s="8" t="str">
        <f ca="1">IFERROR(__xludf.DUMMYFUNCTION("""COMPUTED_VALUE"""),"No")</f>
        <v>No</v>
      </c>
      <c r="AF2623" s="8"/>
      <c r="AG2623" s="8" t="str">
        <f ca="1">IFERROR(__xludf.DUMMYFUNCTION("""COMPUTED_VALUE"""),"No")</f>
        <v>No</v>
      </c>
      <c r="AH2623" s="8" t="str">
        <f ca="1">IFERROR(__xludf.DUMMYFUNCTION("""COMPUTED_VALUE"""),"No")</f>
        <v>No</v>
      </c>
      <c r="AI2623" s="8" t="str">
        <f ca="1">IFERROR(__xludf.DUMMYFUNCTION("""COMPUTED_VALUE"""),"No")</f>
        <v>No</v>
      </c>
      <c r="AJ2623" s="8" t="str">
        <f ca="1">IFERROR(__xludf.DUMMYFUNCTION("""COMPUTED_VALUE"""),"No")</f>
        <v>No</v>
      </c>
      <c r="AK2623" s="8" t="str">
        <f ca="1">IFERROR(__xludf.DUMMYFUNCTION("""COMPUTED_VALUE"""),"No")</f>
        <v>No</v>
      </c>
      <c r="AL2623" s="8" t="str">
        <f ca="1">IFERROR(__xludf.DUMMYFUNCTION("""COMPUTED_VALUE"""),"No")</f>
        <v>No</v>
      </c>
      <c r="AM2623" s="8"/>
      <c r="AN2623" s="8"/>
      <c r="AO2623" s="8" t="str">
        <f ca="1">IFERROR(__xludf.DUMMYFUNCTION("""COMPUTED_VALUE"""),"No")</f>
        <v>No</v>
      </c>
      <c r="AP2623" s="8"/>
      <c r="AQ2623" s="8" t="str">
        <f ca="1">IFERROR(__xludf.DUMMYFUNCTION("""COMPUTED_VALUE"""),"Unknown")</f>
        <v>Unknown</v>
      </c>
      <c r="AR2623" s="8" t="str">
        <f ca="1">IFERROR(__xludf.DUMMYFUNCTION("""COMPUTED_VALUE"""),"NA")</f>
        <v>NA</v>
      </c>
      <c r="AS2623" s="8">
        <f ca="1">IFERROR(__xludf.DUMMYFUNCTION("""COMPUTED_VALUE"""),1)</f>
        <v>1</v>
      </c>
      <c r="AT2623" s="8"/>
      <c r="AU2623" s="8">
        <f ca="1">IFERROR(__xludf.DUMMYFUNCTION("""COMPUTED_VALUE"""),32.741619)</f>
        <v>32.741619</v>
      </c>
      <c r="AV2623" s="8">
        <f ca="1">IFERROR(__xludf.DUMMYFUNCTION("""COMPUTED_VALUE"""),-96.795419)</f>
        <v>-96.795418999999995</v>
      </c>
      <c r="AW2623" s="8"/>
      <c r="AX2623" s="8">
        <f ca="1">IFERROR(__xludf.DUMMYFUNCTION("""COMPUTED_VALUE"""),75203)</f>
        <v>75203</v>
      </c>
    </row>
    <row r="2624" spans="1:50" ht="45" x14ac:dyDescent="0.2">
      <c r="A2624" s="8" t="str">
        <f ca="1">IFERROR(__xludf.DUMMYFUNCTION("""COMPUTED_VALUE"""),"19930901KSJUJ")</f>
        <v>19930901KSJUJ</v>
      </c>
      <c r="B2624" s="8">
        <f ca="1">IFERROR(__xludf.DUMMYFUNCTION("""COMPUTED_VALUE"""),9)</f>
        <v>9</v>
      </c>
      <c r="C2624" s="8">
        <f ca="1">IFERROR(__xludf.DUMMYFUNCTION("""COMPUTED_VALUE"""),1)</f>
        <v>1</v>
      </c>
      <c r="D2624" s="8">
        <f ca="1">IFERROR(__xludf.DUMMYFUNCTION("""COMPUTED_VALUE"""),1993)</f>
        <v>1993</v>
      </c>
      <c r="E2624" s="9">
        <f ca="1">IFERROR(__xludf.DUMMYFUNCTION("""COMPUTED_VALUE"""),34213)</f>
        <v>34213</v>
      </c>
      <c r="F2624" s="8" t="str">
        <f ca="1">IFERROR(__xludf.DUMMYFUNCTION("""COMPUTED_VALUE"""),"Junction City High School")</f>
        <v>Junction City High School</v>
      </c>
      <c r="G2624" s="8">
        <f ca="1">IFERROR(__xludf.DUMMYFUNCTION("""COMPUTED_VALUE"""),0)</f>
        <v>0</v>
      </c>
      <c r="H2624" s="8">
        <f ca="1">IFERROR(__xludf.DUMMYFUNCTION("""COMPUTED_VALUE"""),1)</f>
        <v>1</v>
      </c>
      <c r="I2624" s="8">
        <f ca="1">IFERROR(__xludf.DUMMYFUNCTION("""COMPUTED_VALUE"""),1)</f>
        <v>1</v>
      </c>
      <c r="J2624" s="8">
        <f ca="1">IFERROR(__xludf.DUMMYFUNCTION("""COMPUTED_VALUE"""),0)</f>
        <v>0</v>
      </c>
      <c r="K2624" s="10" t="str">
        <f ca="1">IFERROR(__xludf.DUMMYFUNCTION("""COMPUTED_VALUE"""),"https://www.newspapers.com/image/1005267/?terms=Junction%2BCity%2BHigh%2BSchool%2Bshooting")</f>
        <v>https://www.newspapers.com/image/1005267/?terms=Junction%2BCity%2BHigh%2BSchool%2Bshooting</v>
      </c>
      <c r="L2624" s="8"/>
      <c r="M2624" s="8"/>
      <c r="N2624" s="8">
        <f ca="1">IFERROR(__xludf.DUMMYFUNCTION("""COMPUTED_VALUE"""),2)</f>
        <v>2</v>
      </c>
      <c r="O2624" s="8" t="str">
        <f ca="1">IFERROR(__xludf.DUMMYFUNCTION("""COMPUTED_VALUE"""),"Fall")</f>
        <v>Fall</v>
      </c>
      <c r="P2624" s="8" t="str">
        <f ca="1">IFERROR(__xludf.DUMMYFUNCTION("""COMPUTED_VALUE"""),"Junction City")</f>
        <v>Junction City</v>
      </c>
      <c r="Q2624" s="8" t="str">
        <f ca="1">IFERROR(__xludf.DUMMYFUNCTION("""COMPUTED_VALUE"""),"KS")</f>
        <v>KS</v>
      </c>
      <c r="R2624" s="8" t="str">
        <f ca="1">IFERROR(__xludf.DUMMYFUNCTION("""COMPUTED_VALUE"""),"High")</f>
        <v>High</v>
      </c>
      <c r="S2624" s="8" t="str">
        <f ca="1">IFERROR(__xludf.DUMMYFUNCTION("""COMPUTED_VALUE"""),"Cafeteria")</f>
        <v>Cafeteria</v>
      </c>
      <c r="T2624" s="8" t="str">
        <f ca="1">IFERROR(__xludf.DUMMYFUNCTION("""COMPUTED_VALUE"""),"Inside School Building")</f>
        <v>Inside School Building</v>
      </c>
      <c r="U2624" s="8" t="str">
        <f ca="1">IFERROR(__xludf.DUMMYFUNCTION("""COMPUTED_VALUE"""),"Yes")</f>
        <v>Yes</v>
      </c>
      <c r="V2624" s="8" t="str">
        <f ca="1">IFERROR(__xludf.DUMMYFUNCTION("""COMPUTED_VALUE"""),"Lunch")</f>
        <v>Lunch</v>
      </c>
      <c r="W2624" s="8"/>
      <c r="X2624" s="8">
        <f ca="1">IFERROR(__xludf.DUMMYFUNCTION("""COMPUTED_VALUE"""),1)</f>
        <v>1</v>
      </c>
      <c r="Y2624" s="12" t="str">
        <f ca="1">IFERROR(__xludf.DUMMYFUNCTION("""COMPUTED_VALUE"""),"Argument in cafeteria, bystander shot")</f>
        <v>Argument in cafeteria, bystander shot</v>
      </c>
      <c r="Z2624" s="12" t="str">
        <f ca="1">IFERROR(__xludf.DUMMYFUNCTION("""COMPUTED_VALUE"""),"Argument between group of male students in cafeteria. Bystander girl eating lunch was shot. 15YOM shooter fled.")</f>
        <v>Argument between group of male students in cafeteria. Bystander girl eating lunch was shot. 15YOM shooter fled.</v>
      </c>
      <c r="AA2624" s="8" t="str">
        <f ca="1">IFERROR(__xludf.DUMMYFUNCTION("""COMPUTED_VALUE"""),"Escalation of Dispute")</f>
        <v>Escalation of Dispute</v>
      </c>
      <c r="AB2624" s="8"/>
      <c r="AC2624" s="8"/>
      <c r="AD2624" s="8" t="str">
        <f ca="1">IFERROR(__xludf.DUMMYFUNCTION("""COMPUTED_VALUE"""),"Both")</f>
        <v>Both</v>
      </c>
      <c r="AE2624" s="8" t="str">
        <f ca="1">IFERROR(__xludf.DUMMYFUNCTION("""COMPUTED_VALUE"""),"No")</f>
        <v>No</v>
      </c>
      <c r="AF2624" s="8"/>
      <c r="AG2624" s="8" t="str">
        <f ca="1">IFERROR(__xludf.DUMMYFUNCTION("""COMPUTED_VALUE"""),"No")</f>
        <v>No</v>
      </c>
      <c r="AH2624" s="8" t="str">
        <f ca="1">IFERROR(__xludf.DUMMYFUNCTION("""COMPUTED_VALUE"""),"No")</f>
        <v>No</v>
      </c>
      <c r="AI2624" s="8" t="str">
        <f ca="1">IFERROR(__xludf.DUMMYFUNCTION("""COMPUTED_VALUE"""),"No")</f>
        <v>No</v>
      </c>
      <c r="AJ2624" s="8" t="str">
        <f ca="1">IFERROR(__xludf.DUMMYFUNCTION("""COMPUTED_VALUE"""),"No")</f>
        <v>No</v>
      </c>
      <c r="AK2624" s="8" t="str">
        <f ca="1">IFERROR(__xludf.DUMMYFUNCTION("""COMPUTED_VALUE"""),"No")</f>
        <v>No</v>
      </c>
      <c r="AL2624" s="8" t="str">
        <f ca="1">IFERROR(__xludf.DUMMYFUNCTION("""COMPUTED_VALUE"""),"No")</f>
        <v>No</v>
      </c>
      <c r="AM2624" s="8"/>
      <c r="AN2624" s="8"/>
      <c r="AO2624" s="8" t="str">
        <f ca="1">IFERROR(__xludf.DUMMYFUNCTION("""COMPUTED_VALUE"""),"No")</f>
        <v>No</v>
      </c>
      <c r="AP2624" s="8"/>
      <c r="AQ2624" s="8" t="str">
        <f ca="1">IFERROR(__xludf.DUMMYFUNCTION("""COMPUTED_VALUE"""),"Unknown")</f>
        <v>Unknown</v>
      </c>
      <c r="AR2624" s="8" t="str">
        <f ca="1">IFERROR(__xludf.DUMMYFUNCTION("""COMPUTED_VALUE"""),"NA")</f>
        <v>NA</v>
      </c>
      <c r="AS2624" s="8"/>
      <c r="AT2624" s="8"/>
      <c r="AU2624" s="8">
        <f ca="1">IFERROR(__xludf.DUMMYFUNCTION("""COMPUTED_VALUE"""),39.031471)</f>
        <v>39.031471000000003</v>
      </c>
      <c r="AV2624" s="8">
        <f ca="1">IFERROR(__xludf.DUMMYFUNCTION("""COMPUTED_VALUE"""),-96.849737)</f>
        <v>-96.849737000000005</v>
      </c>
      <c r="AW2624" s="8"/>
      <c r="AX2624" s="8">
        <f ca="1">IFERROR(__xludf.DUMMYFUNCTION("""COMPUTED_VALUE"""),66441)</f>
        <v>66441</v>
      </c>
    </row>
    <row r="2625" spans="1:50" ht="30" x14ac:dyDescent="0.2">
      <c r="A2625" s="8" t="str">
        <f ca="1">IFERROR(__xludf.DUMMYFUNCTION("""COMPUTED_VALUE"""),"19930831GAHAA")</f>
        <v>19930831GAHAA</v>
      </c>
      <c r="B2625" s="8">
        <f ca="1">IFERROR(__xludf.DUMMYFUNCTION("""COMPUTED_VALUE"""),8)</f>
        <v>8</v>
      </c>
      <c r="C2625" s="8">
        <f ca="1">IFERROR(__xludf.DUMMYFUNCTION("""COMPUTED_VALUE"""),31)</f>
        <v>31</v>
      </c>
      <c r="D2625" s="8">
        <f ca="1">IFERROR(__xludf.DUMMYFUNCTION("""COMPUTED_VALUE"""),1993)</f>
        <v>1993</v>
      </c>
      <c r="E2625" s="9">
        <f ca="1">IFERROR(__xludf.DUMMYFUNCTION("""COMPUTED_VALUE"""),34212)</f>
        <v>34212</v>
      </c>
      <c r="F2625" s="8" t="str">
        <f ca="1">IFERROR(__xludf.DUMMYFUNCTION("""COMPUTED_VALUE"""),"Harper High School")</f>
        <v>Harper High School</v>
      </c>
      <c r="G2625" s="8">
        <f ca="1">IFERROR(__xludf.DUMMYFUNCTION("""COMPUTED_VALUE"""),1)</f>
        <v>1</v>
      </c>
      <c r="H2625" s="8">
        <f ca="1">IFERROR(__xludf.DUMMYFUNCTION("""COMPUTED_VALUE"""),0)</f>
        <v>0</v>
      </c>
      <c r="I2625" s="8">
        <f ca="1">IFERROR(__xludf.DUMMYFUNCTION("""COMPUTED_VALUE"""),1)</f>
        <v>1</v>
      </c>
      <c r="J2625" s="8">
        <f ca="1">IFERROR(__xludf.DUMMYFUNCTION("""COMPUTED_VALUE"""),0)</f>
        <v>0</v>
      </c>
      <c r="K2625" s="10" t="str">
        <f ca="1">IFERROR(__xludf.DUMMYFUNCTION("""COMPUTED_VALUE"""),"https://www.newspapers.com/image/403198507/?terms=Marcus%2BTaylor%2Bdied")</f>
        <v>https://www.newspapers.com/image/403198507/?terms=Marcus%2BTaylor%2Bdied</v>
      </c>
      <c r="L2625" s="8"/>
      <c r="M2625" s="8"/>
      <c r="N2625" s="8">
        <f ca="1">IFERROR(__xludf.DUMMYFUNCTION("""COMPUTED_VALUE"""),2)</f>
        <v>2</v>
      </c>
      <c r="O2625" s="8" t="str">
        <f ca="1">IFERROR(__xludf.DUMMYFUNCTION("""COMPUTED_VALUE"""),"Summer")</f>
        <v>Summer</v>
      </c>
      <c r="P2625" s="8" t="str">
        <f ca="1">IFERROR(__xludf.DUMMYFUNCTION("""COMPUTED_VALUE"""),"Atlanta")</f>
        <v>Atlanta</v>
      </c>
      <c r="Q2625" s="8" t="str">
        <f ca="1">IFERROR(__xludf.DUMMYFUNCTION("""COMPUTED_VALUE"""),"GA")</f>
        <v>GA</v>
      </c>
      <c r="R2625" s="8" t="str">
        <f ca="1">IFERROR(__xludf.DUMMYFUNCTION("""COMPUTED_VALUE"""),"High")</f>
        <v>High</v>
      </c>
      <c r="S2625" s="8" t="str">
        <f ca="1">IFERROR(__xludf.DUMMYFUNCTION("""COMPUTED_VALUE"""),"Cafeteria")</f>
        <v>Cafeteria</v>
      </c>
      <c r="T2625" s="8" t="str">
        <f ca="1">IFERROR(__xludf.DUMMYFUNCTION("""COMPUTED_VALUE"""),"Inside School Building")</f>
        <v>Inside School Building</v>
      </c>
      <c r="U2625" s="8" t="str">
        <f ca="1">IFERROR(__xludf.DUMMYFUNCTION("""COMPUTED_VALUE"""),"Yes")</f>
        <v>Yes</v>
      </c>
      <c r="V2625" s="8"/>
      <c r="W2625" s="8"/>
      <c r="X2625" s="8">
        <f ca="1">IFERROR(__xludf.DUMMYFUNCTION("""COMPUTED_VALUE"""),1)</f>
        <v>1</v>
      </c>
      <c r="Y2625" s="12" t="str">
        <f ca="1">IFERROR(__xludf.DUMMYFUNCTION("""COMPUTED_VALUE"""),"Argument in cafeteria")</f>
        <v>Argument in cafeteria</v>
      </c>
      <c r="Z2625" s="12" t="str">
        <f ca="1">IFERROR(__xludf.DUMMYFUNCTION("""COMPUTED_VALUE"""),"Fight between two students in cafeteria escalated into shooting.")</f>
        <v>Fight between two students in cafeteria escalated into shooting.</v>
      </c>
      <c r="AA2625" s="8" t="str">
        <f ca="1">IFERROR(__xludf.DUMMYFUNCTION("""COMPUTED_VALUE"""),"Escalation of Dispute")</f>
        <v>Escalation of Dispute</v>
      </c>
      <c r="AB2625" s="8"/>
      <c r="AC2625" s="8"/>
      <c r="AD2625" s="8" t="str">
        <f ca="1">IFERROR(__xludf.DUMMYFUNCTION("""COMPUTED_VALUE"""),"Victims Targeted")</f>
        <v>Victims Targeted</v>
      </c>
      <c r="AE2625" s="8" t="str">
        <f ca="1">IFERROR(__xludf.DUMMYFUNCTION("""COMPUTED_VALUE"""),"No")</f>
        <v>No</v>
      </c>
      <c r="AF2625" s="8"/>
      <c r="AG2625" s="8" t="str">
        <f ca="1">IFERROR(__xludf.DUMMYFUNCTION("""COMPUTED_VALUE"""),"No")</f>
        <v>No</v>
      </c>
      <c r="AH2625" s="8" t="str">
        <f ca="1">IFERROR(__xludf.DUMMYFUNCTION("""COMPUTED_VALUE"""),"No")</f>
        <v>No</v>
      </c>
      <c r="AI2625" s="8" t="str">
        <f ca="1">IFERROR(__xludf.DUMMYFUNCTION("""COMPUTED_VALUE"""),"No")</f>
        <v>No</v>
      </c>
      <c r="AJ2625" s="8"/>
      <c r="AK2625" s="8" t="str">
        <f ca="1">IFERROR(__xludf.DUMMYFUNCTION("""COMPUTED_VALUE"""),"No")</f>
        <v>No</v>
      </c>
      <c r="AL2625" s="8"/>
      <c r="AM2625" s="8"/>
      <c r="AN2625" s="8"/>
      <c r="AO2625" s="8" t="str">
        <f ca="1">IFERROR(__xludf.DUMMYFUNCTION("""COMPUTED_VALUE"""),"No")</f>
        <v>No</v>
      </c>
      <c r="AP2625" s="8"/>
      <c r="AQ2625" s="8" t="str">
        <f ca="1">IFERROR(__xludf.DUMMYFUNCTION("""COMPUTED_VALUE"""),"Unknown")</f>
        <v>Unknown</v>
      </c>
      <c r="AR2625" s="8" t="str">
        <f ca="1">IFERROR(__xludf.DUMMYFUNCTION("""COMPUTED_VALUE"""),"NA")</f>
        <v>NA</v>
      </c>
      <c r="AS2625" s="8"/>
      <c r="AT2625" s="8"/>
      <c r="AU2625" s="8">
        <f ca="1">IFERROR(__xludf.DUMMYFUNCTION("""COMPUTED_VALUE"""),33.769423)</f>
        <v>33.769423000000003</v>
      </c>
      <c r="AV2625" s="8">
        <f ca="1">IFERROR(__xludf.DUMMYFUNCTION("""COMPUTED_VALUE"""),-84.498864)</f>
        <v>-84.498863999999998</v>
      </c>
      <c r="AW2625" s="8"/>
      <c r="AX2625" s="8">
        <f ca="1">IFERROR(__xludf.DUMMYFUNCTION("""COMPUTED_VALUE"""),30331)</f>
        <v>30331</v>
      </c>
    </row>
    <row r="2626" spans="1:50" ht="45" x14ac:dyDescent="0.2">
      <c r="A2626" s="8" t="str">
        <f ca="1">IFERROR(__xludf.DUMMYFUNCTION("""COMPUTED_VALUE"""),"19930803NYTHN")</f>
        <v>19930803NYTHN</v>
      </c>
      <c r="B2626" s="8">
        <f ca="1">IFERROR(__xludf.DUMMYFUNCTION("""COMPUTED_VALUE"""),8)</f>
        <v>8</v>
      </c>
      <c r="C2626" s="8">
        <f ca="1">IFERROR(__xludf.DUMMYFUNCTION("""COMPUTED_VALUE"""),3)</f>
        <v>3</v>
      </c>
      <c r="D2626" s="8">
        <f ca="1">IFERROR(__xludf.DUMMYFUNCTION("""COMPUTED_VALUE"""),1993)</f>
        <v>1993</v>
      </c>
      <c r="E2626" s="9">
        <f ca="1">IFERROR(__xludf.DUMMYFUNCTION("""COMPUTED_VALUE"""),34184)</f>
        <v>34184</v>
      </c>
      <c r="F2626" s="8" t="str">
        <f ca="1">IFERROR(__xludf.DUMMYFUNCTION("""COMPUTED_VALUE"""),"Theodore Roosevelt High School")</f>
        <v>Theodore Roosevelt High School</v>
      </c>
      <c r="G2626" s="8">
        <f ca="1">IFERROR(__xludf.DUMMYFUNCTION("""COMPUTED_VALUE"""),0)</f>
        <v>0</v>
      </c>
      <c r="H2626" s="8">
        <f ca="1">IFERROR(__xludf.DUMMYFUNCTION("""COMPUTED_VALUE"""),1)</f>
        <v>1</v>
      </c>
      <c r="I2626" s="8">
        <f ca="1">IFERROR(__xludf.DUMMYFUNCTION("""COMPUTED_VALUE"""),1)</f>
        <v>1</v>
      </c>
      <c r="J2626" s="8">
        <f ca="1">IFERROR(__xludf.DUMMYFUNCTION("""COMPUTED_VALUE"""),0)</f>
        <v>0</v>
      </c>
      <c r="K2626" s="10" t="str">
        <f ca="1">IFERROR(__xludf.DUMMYFUNCTION("""COMPUTED_VALUE"""),"https://www.nytimes.com/1993/08/03/nyregion/student-shot-during-class-in-bronx-high-school.html")</f>
        <v>https://www.nytimes.com/1993/08/03/nyregion/student-shot-during-class-in-bronx-high-school.html</v>
      </c>
      <c r="L2626" s="8"/>
      <c r="M2626" s="8"/>
      <c r="N2626" s="8">
        <f ca="1">IFERROR(__xludf.DUMMYFUNCTION("""COMPUTED_VALUE"""),2)</f>
        <v>2</v>
      </c>
      <c r="O2626" s="8" t="str">
        <f ca="1">IFERROR(__xludf.DUMMYFUNCTION("""COMPUTED_VALUE"""),"Summer")</f>
        <v>Summer</v>
      </c>
      <c r="P2626" s="8" t="str">
        <f ca="1">IFERROR(__xludf.DUMMYFUNCTION("""COMPUTED_VALUE"""),"New York")</f>
        <v>New York</v>
      </c>
      <c r="Q2626" s="8" t="str">
        <f ca="1">IFERROR(__xludf.DUMMYFUNCTION("""COMPUTED_VALUE"""),"NY")</f>
        <v>NY</v>
      </c>
      <c r="R2626" s="8" t="str">
        <f ca="1">IFERROR(__xludf.DUMMYFUNCTION("""COMPUTED_VALUE"""),"High")</f>
        <v>High</v>
      </c>
      <c r="S2626" s="8" t="str">
        <f ca="1">IFERROR(__xludf.DUMMYFUNCTION("""COMPUTED_VALUE"""),"Classroom")</f>
        <v>Classroom</v>
      </c>
      <c r="T2626" s="8" t="str">
        <f ca="1">IFERROR(__xludf.DUMMYFUNCTION("""COMPUTED_VALUE"""),"Inside School Building")</f>
        <v>Inside School Building</v>
      </c>
      <c r="U2626" s="8" t="str">
        <f ca="1">IFERROR(__xludf.DUMMYFUNCTION("""COMPUTED_VALUE"""),"Yes")</f>
        <v>Yes</v>
      </c>
      <c r="V2626" s="8" t="str">
        <f ca="1">IFERROR(__xludf.DUMMYFUNCTION("""COMPUTED_VALUE"""),"Morning Classes")</f>
        <v>Morning Classes</v>
      </c>
      <c r="W2626" s="8"/>
      <c r="X2626" s="8">
        <f ca="1">IFERROR(__xludf.DUMMYFUNCTION("""COMPUTED_VALUE"""),1)</f>
        <v>1</v>
      </c>
      <c r="Y2626" s="12" t="str">
        <f ca="1">IFERROR(__xludf.DUMMYFUNCTION("""COMPUTED_VALUE"""),"Victim shot in classroom by unknown shooter")</f>
        <v>Victim shot in classroom by unknown shooter</v>
      </c>
      <c r="Z2626" s="12" t="str">
        <f ca="1">IFERROR(__xludf.DUMMYFUNCTION("""COMPUTED_VALUE"""),"Unknown shooter walked into classroom, shot 18YOM student, and fled the area. No suspect identified.")</f>
        <v>Unknown shooter walked into classroom, shot 18YOM student, and fled the area. No suspect identified.</v>
      </c>
      <c r="AA2626" s="8" t="str">
        <f ca="1">IFERROR(__xludf.DUMMYFUNCTION("""COMPUTED_VALUE"""),"Escalation of Dispute")</f>
        <v>Escalation of Dispute</v>
      </c>
      <c r="AB2626" s="8"/>
      <c r="AC2626" s="8"/>
      <c r="AD2626" s="8" t="str">
        <f ca="1">IFERROR(__xludf.DUMMYFUNCTION("""COMPUTED_VALUE"""),"Victims Targeted")</f>
        <v>Victims Targeted</v>
      </c>
      <c r="AE2626" s="8" t="str">
        <f ca="1">IFERROR(__xludf.DUMMYFUNCTION("""COMPUTED_VALUE"""),"No")</f>
        <v>No</v>
      </c>
      <c r="AF2626" s="8"/>
      <c r="AG2626" s="8" t="str">
        <f ca="1">IFERROR(__xludf.DUMMYFUNCTION("""COMPUTED_VALUE"""),"No")</f>
        <v>No</v>
      </c>
      <c r="AH2626" s="8" t="str">
        <f ca="1">IFERROR(__xludf.DUMMYFUNCTION("""COMPUTED_VALUE"""),"No")</f>
        <v>No</v>
      </c>
      <c r="AI2626" s="8" t="str">
        <f ca="1">IFERROR(__xludf.DUMMYFUNCTION("""COMPUTED_VALUE"""),"No")</f>
        <v>No</v>
      </c>
      <c r="AJ2626" s="8"/>
      <c r="AK2626" s="8"/>
      <c r="AL2626" s="8"/>
      <c r="AM2626" s="8"/>
      <c r="AN2626" s="8"/>
      <c r="AO2626" s="8" t="str">
        <f ca="1">IFERROR(__xludf.DUMMYFUNCTION("""COMPUTED_VALUE"""),"No")</f>
        <v>No</v>
      </c>
      <c r="AP2626" s="8"/>
      <c r="AQ2626" s="8" t="str">
        <f ca="1">IFERROR(__xludf.DUMMYFUNCTION("""COMPUTED_VALUE"""),"Unknown")</f>
        <v>Unknown</v>
      </c>
      <c r="AR2626" s="8" t="str">
        <f ca="1">IFERROR(__xludf.DUMMYFUNCTION("""COMPUTED_VALUE"""),"NA")</f>
        <v>NA</v>
      </c>
      <c r="AS2626" s="8"/>
      <c r="AT2626" s="8"/>
      <c r="AU2626" s="8">
        <f ca="1">IFERROR(__xludf.DUMMYFUNCTION("""COMPUTED_VALUE"""),40.859036)</f>
        <v>40.859036000000003</v>
      </c>
      <c r="AV2626" s="8">
        <f ca="1">IFERROR(__xludf.DUMMYFUNCTION("""COMPUTED_VALUE"""),-73.888488)</f>
        <v>-73.888487999999995</v>
      </c>
      <c r="AW2626" s="8"/>
      <c r="AX2626" s="8">
        <f ca="1">IFERROR(__xludf.DUMMYFUNCTION("""COMPUTED_VALUE"""),10458)</f>
        <v>10458</v>
      </c>
    </row>
    <row r="2627" spans="1:50" ht="60" x14ac:dyDescent="0.2">
      <c r="A2627" s="8" t="str">
        <f ca="1">IFERROR(__xludf.DUMMYFUNCTION("""COMPUTED_VALUE"""),"19930707CADOL")</f>
        <v>19930707CADOL</v>
      </c>
      <c r="B2627" s="8">
        <f ca="1">IFERROR(__xludf.DUMMYFUNCTION("""COMPUTED_VALUE"""),7)</f>
        <v>7</v>
      </c>
      <c r="C2627" s="8">
        <f ca="1">IFERROR(__xludf.DUMMYFUNCTION("""COMPUTED_VALUE"""),7)</f>
        <v>7</v>
      </c>
      <c r="D2627" s="8">
        <f ca="1">IFERROR(__xludf.DUMMYFUNCTION("""COMPUTED_VALUE"""),1993)</f>
        <v>1993</v>
      </c>
      <c r="E2627" s="9">
        <f ca="1">IFERROR(__xludf.DUMMYFUNCTION("""COMPUTED_VALUE"""),34157)</f>
        <v>34157</v>
      </c>
      <c r="F2627" s="8" t="str">
        <f ca="1">IFERROR(__xludf.DUMMYFUNCTION("""COMPUTED_VALUE"""),"Dorsey High School")</f>
        <v>Dorsey High School</v>
      </c>
      <c r="G2627" s="8">
        <f ca="1">IFERROR(__xludf.DUMMYFUNCTION("""COMPUTED_VALUE"""),1)</f>
        <v>1</v>
      </c>
      <c r="H2627" s="8">
        <f ca="1">IFERROR(__xludf.DUMMYFUNCTION("""COMPUTED_VALUE"""),0)</f>
        <v>0</v>
      </c>
      <c r="I2627" s="8">
        <f ca="1">IFERROR(__xludf.DUMMYFUNCTION("""COMPUTED_VALUE"""),1)</f>
        <v>1</v>
      </c>
      <c r="J2627" s="8">
        <f ca="1">IFERROR(__xludf.DUMMYFUNCTION("""COMPUTED_VALUE"""),0)</f>
        <v>0</v>
      </c>
      <c r="K2627" s="8" t="str">
        <f ca="1">IFERROR(__xludf.DUMMYFUNCTION("""COMPUTED_VALUE"""),"L. A. Times - Teenager Shot on Dorsey Campus; L. A Times - Gang Member Arrested in Dorsey High Shooting; https://www.columbine-angels.com/School_Violence_1993-1994.htm")</f>
        <v>L. A. Times - Teenager Shot on Dorsey Campus; L. A Times - Gang Member Arrested in Dorsey High Shooting; https://www.columbine-angels.com/School_Violence_1993-1994.htm</v>
      </c>
      <c r="L2627" s="8"/>
      <c r="M2627" s="8"/>
      <c r="N2627" s="8">
        <f ca="1">IFERROR(__xludf.DUMMYFUNCTION("""COMPUTED_VALUE"""),1)</f>
        <v>1</v>
      </c>
      <c r="O2627" s="8" t="str">
        <f ca="1">IFERROR(__xludf.DUMMYFUNCTION("""COMPUTED_VALUE"""),"Summer")</f>
        <v>Summer</v>
      </c>
      <c r="P2627" s="8" t="str">
        <f ca="1">IFERROR(__xludf.DUMMYFUNCTION("""COMPUTED_VALUE"""),"Los Angeles")</f>
        <v>Los Angeles</v>
      </c>
      <c r="Q2627" s="8" t="str">
        <f ca="1">IFERROR(__xludf.DUMMYFUNCTION("""COMPUTED_VALUE"""),"CA")</f>
        <v>CA</v>
      </c>
      <c r="R2627" s="8" t="str">
        <f ca="1">IFERROR(__xludf.DUMMYFUNCTION("""COMPUTED_VALUE"""),"High")</f>
        <v>High</v>
      </c>
      <c r="S2627" s="8" t="str">
        <f ca="1">IFERROR(__xludf.DUMMYFUNCTION("""COMPUTED_VALUE"""),"Beside Building")</f>
        <v>Beside Building</v>
      </c>
      <c r="T2627" s="8" t="str">
        <f ca="1">IFERROR(__xludf.DUMMYFUNCTION("""COMPUTED_VALUE"""),"Outside on School Property")</f>
        <v>Outside on School Property</v>
      </c>
      <c r="U2627" s="8" t="str">
        <f ca="1">IFERROR(__xludf.DUMMYFUNCTION("""COMPUTED_VALUE"""),"Yes")</f>
        <v>Yes</v>
      </c>
      <c r="V2627" s="8" t="str">
        <f ca="1">IFERROR(__xludf.DUMMYFUNCTION("""COMPUTED_VALUE"""),"After School")</f>
        <v>After School</v>
      </c>
      <c r="W2627" s="11">
        <f ca="1">IFERROR(__xludf.DUMMYFUNCTION("""COMPUTED_VALUE"""),0.604166666666666)</f>
        <v>0.60416666666666596</v>
      </c>
      <c r="X2627" s="8">
        <f ca="1">IFERROR(__xludf.DUMMYFUNCTION("""COMPUTED_VALUE"""),1)</f>
        <v>1</v>
      </c>
      <c r="Y2627" s="12" t="str">
        <f ca="1">IFERROR(__xludf.DUMMYFUNCTION("""COMPUTED_VALUE"""),"Fight between other students, bystander fatally shot")</f>
        <v>Fight between other students, bystander fatally shot</v>
      </c>
      <c r="Z2627" s="12" t="str">
        <f ca="1">IFERROR(__xludf.DUMMYFUNCTION("""COMPUTED_VALUE"""),"Group of students were waiting outside of the school. There was an argument between a group of rival gang member students and shots were fired. Bystander student was fatally shot.")</f>
        <v>Group of students were waiting outside of the school. There was an argument between a group of rival gang member students and shots were fired. Bystander student was fatally shot.</v>
      </c>
      <c r="AA2627" s="8" t="str">
        <f ca="1">IFERROR(__xludf.DUMMYFUNCTION("""COMPUTED_VALUE"""),"Escalation of Dispute")</f>
        <v>Escalation of Dispute</v>
      </c>
      <c r="AB2627" s="8"/>
      <c r="AC2627" s="8"/>
      <c r="AD2627" s="8" t="str">
        <f ca="1">IFERROR(__xludf.DUMMYFUNCTION("""COMPUTED_VALUE"""),"Both")</f>
        <v>Both</v>
      </c>
      <c r="AE2627" s="8" t="str">
        <f ca="1">IFERROR(__xludf.DUMMYFUNCTION("""COMPUTED_VALUE"""),"No")</f>
        <v>No</v>
      </c>
      <c r="AF2627" s="8"/>
      <c r="AG2627" s="8" t="str">
        <f ca="1">IFERROR(__xludf.DUMMYFUNCTION("""COMPUTED_VALUE"""),"No")</f>
        <v>No</v>
      </c>
      <c r="AH2627" s="8" t="str">
        <f ca="1">IFERROR(__xludf.DUMMYFUNCTION("""COMPUTED_VALUE"""),"No")</f>
        <v>No</v>
      </c>
      <c r="AI2627" s="8" t="str">
        <f ca="1">IFERROR(__xludf.DUMMYFUNCTION("""COMPUTED_VALUE"""),"No")</f>
        <v>No</v>
      </c>
      <c r="AJ2627" s="8" t="str">
        <f ca="1">IFERROR(__xludf.DUMMYFUNCTION("""COMPUTED_VALUE"""),"No")</f>
        <v>No</v>
      </c>
      <c r="AK2627" s="8" t="str">
        <f ca="1">IFERROR(__xludf.DUMMYFUNCTION("""COMPUTED_VALUE"""),"No")</f>
        <v>No</v>
      </c>
      <c r="AL2627" s="8" t="str">
        <f ca="1">IFERROR(__xludf.DUMMYFUNCTION("""COMPUTED_VALUE"""),"Yes")</f>
        <v>Yes</v>
      </c>
      <c r="AM2627" s="8"/>
      <c r="AN2627" s="8"/>
      <c r="AO2627" s="8" t="str">
        <f ca="1">IFERROR(__xludf.DUMMYFUNCTION("""COMPUTED_VALUE"""),"No")</f>
        <v>No</v>
      </c>
      <c r="AP2627" s="8"/>
      <c r="AQ2627" s="8" t="str">
        <f ca="1">IFERROR(__xludf.DUMMYFUNCTION("""COMPUTED_VALUE"""),"Unknown")</f>
        <v>Unknown</v>
      </c>
      <c r="AR2627" s="8" t="str">
        <f ca="1">IFERROR(__xludf.DUMMYFUNCTION("""COMPUTED_VALUE"""),"NA")</f>
        <v>NA</v>
      </c>
      <c r="AS2627" s="8"/>
      <c r="AT2627" s="8"/>
      <c r="AU2627" s="8">
        <f ca="1">IFERROR(__xludf.DUMMYFUNCTION("""COMPUTED_VALUE"""),34.022934)</f>
        <v>34.022933999999999</v>
      </c>
      <c r="AV2627" s="8">
        <f ca="1">IFERROR(__xludf.DUMMYFUNCTION("""COMPUTED_VALUE"""),-118.346664)</f>
        <v>-118.346664</v>
      </c>
      <c r="AW2627" s="8"/>
      <c r="AX2627" s="8">
        <f ca="1">IFERROR(__xludf.DUMMYFUNCTION("""COMPUTED_VALUE"""),90016)</f>
        <v>90016</v>
      </c>
    </row>
    <row r="2628" spans="1:50" ht="60" x14ac:dyDescent="0.2">
      <c r="A2628" s="8" t="str">
        <f ca="1">IFERROR(__xludf.DUMMYFUNCTION("""COMPUTED_VALUE"""),"19930527LAFRN")</f>
        <v>19930527LAFRN</v>
      </c>
      <c r="B2628" s="8">
        <f ca="1">IFERROR(__xludf.DUMMYFUNCTION("""COMPUTED_VALUE"""),5)</f>
        <v>5</v>
      </c>
      <c r="C2628" s="8">
        <f ca="1">IFERROR(__xludf.DUMMYFUNCTION("""COMPUTED_VALUE"""),27)</f>
        <v>27</v>
      </c>
      <c r="D2628" s="8">
        <f ca="1">IFERROR(__xludf.DUMMYFUNCTION("""COMPUTED_VALUE"""),1993)</f>
        <v>1993</v>
      </c>
      <c r="E2628" s="9">
        <f ca="1">IFERROR(__xludf.DUMMYFUNCTION("""COMPUTED_VALUE"""),34116)</f>
        <v>34116</v>
      </c>
      <c r="F2628" s="8" t="str">
        <f ca="1">IFERROR(__xludf.DUMMYFUNCTION("""COMPUTED_VALUE"""),"Francis T. Nicholls High School")</f>
        <v>Francis T. Nicholls High School</v>
      </c>
      <c r="G2628" s="8">
        <f ca="1">IFERROR(__xludf.DUMMYFUNCTION("""COMPUTED_VALUE"""),1)</f>
        <v>1</v>
      </c>
      <c r="H2628" s="8">
        <f ca="1">IFERROR(__xludf.DUMMYFUNCTION("""COMPUTED_VALUE"""),0)</f>
        <v>0</v>
      </c>
      <c r="I2628" s="8">
        <f ca="1">IFERROR(__xludf.DUMMYFUNCTION("""COMPUTED_VALUE"""),1)</f>
        <v>1</v>
      </c>
      <c r="J2628" s="8">
        <f ca="1">IFERROR(__xludf.DUMMYFUNCTION("""COMPUTED_VALUE"""),0)</f>
        <v>0</v>
      </c>
      <c r="K2628" s="10" t="str">
        <f ca="1">IFERROR(__xludf.DUMMYFUNCTION("""COMPUTED_VALUE"""),"https://www.newspapers.com/image/278618494/?terms=Francis%2BT.%2BNicholls%2BHigh%2BSchool%2Bshooting")</f>
        <v>https://www.newspapers.com/image/278618494/?terms=Francis%2BT.%2BNicholls%2BHigh%2BSchool%2Bshooting</v>
      </c>
      <c r="L2628" s="8"/>
      <c r="M2628" s="8"/>
      <c r="N2628" s="8">
        <f ca="1">IFERROR(__xludf.DUMMYFUNCTION("""COMPUTED_VALUE"""),2)</f>
        <v>2</v>
      </c>
      <c r="O2628" s="8" t="str">
        <f ca="1">IFERROR(__xludf.DUMMYFUNCTION("""COMPUTED_VALUE"""),"Spring")</f>
        <v>Spring</v>
      </c>
      <c r="P2628" s="8" t="str">
        <f ca="1">IFERROR(__xludf.DUMMYFUNCTION("""COMPUTED_VALUE"""),"New Orleans")</f>
        <v>New Orleans</v>
      </c>
      <c r="Q2628" s="8" t="str">
        <f ca="1">IFERROR(__xludf.DUMMYFUNCTION("""COMPUTED_VALUE"""),"LA")</f>
        <v>LA</v>
      </c>
      <c r="R2628" s="8" t="str">
        <f ca="1">IFERROR(__xludf.DUMMYFUNCTION("""COMPUTED_VALUE"""),"High")</f>
        <v>High</v>
      </c>
      <c r="S2628" s="8" t="str">
        <f ca="1">IFERROR(__xludf.DUMMYFUNCTION("""COMPUTED_VALUE"""),"Hallway")</f>
        <v>Hallway</v>
      </c>
      <c r="T2628" s="8" t="str">
        <f ca="1">IFERROR(__xludf.DUMMYFUNCTION("""COMPUTED_VALUE"""),"Inside School Building")</f>
        <v>Inside School Building</v>
      </c>
      <c r="U2628" s="8" t="str">
        <f ca="1">IFERROR(__xludf.DUMMYFUNCTION("""COMPUTED_VALUE"""),"Yes")</f>
        <v>Yes</v>
      </c>
      <c r="V2628" s="8" t="str">
        <f ca="1">IFERROR(__xludf.DUMMYFUNCTION("""COMPUTED_VALUE"""),"Morning Classes")</f>
        <v>Morning Classes</v>
      </c>
      <c r="W2628" s="8"/>
      <c r="X2628" s="8">
        <f ca="1">IFERROR(__xludf.DUMMYFUNCTION("""COMPUTED_VALUE"""),1)</f>
        <v>1</v>
      </c>
      <c r="Y2628" s="12" t="str">
        <f ca="1">IFERROR(__xludf.DUMMYFUNCTION("""COMPUTED_VALUE"""),"Shooting in hallway related to quarrel")</f>
        <v>Shooting in hallway related to quarrel</v>
      </c>
      <c r="Z2628" s="12" t="str">
        <f ca="1">IFERROR(__xludf.DUMMYFUNCTION("""COMPUTED_VALUE"""),"Victim was former student who was expelled but was in school hallway. Shot by another student during an argument. Suspect fled and was later arrested. School has metal detectors and assigned police officers.")</f>
        <v>Victim was former student who was expelled but was in school hallway. Shot by another student during an argument. Suspect fled and was later arrested. School has metal detectors and assigned police officers.</v>
      </c>
      <c r="AA2628" s="8" t="str">
        <f ca="1">IFERROR(__xludf.DUMMYFUNCTION("""COMPUTED_VALUE"""),"Escalation of Dispute")</f>
        <v>Escalation of Dispute</v>
      </c>
      <c r="AB2628" s="8"/>
      <c r="AC2628" s="8"/>
      <c r="AD2628" s="8" t="str">
        <f ca="1">IFERROR(__xludf.DUMMYFUNCTION("""COMPUTED_VALUE"""),"Victims Targeted")</f>
        <v>Victims Targeted</v>
      </c>
      <c r="AE2628" s="8" t="str">
        <f ca="1">IFERROR(__xludf.DUMMYFUNCTION("""COMPUTED_VALUE"""),"No")</f>
        <v>No</v>
      </c>
      <c r="AF2628" s="8"/>
      <c r="AG2628" s="8" t="str">
        <f ca="1">IFERROR(__xludf.DUMMYFUNCTION("""COMPUTED_VALUE"""),"No")</f>
        <v>No</v>
      </c>
      <c r="AH2628" s="8" t="str">
        <f ca="1">IFERROR(__xludf.DUMMYFUNCTION("""COMPUTED_VALUE"""),"No")</f>
        <v>No</v>
      </c>
      <c r="AI2628" s="8" t="str">
        <f ca="1">IFERROR(__xludf.DUMMYFUNCTION("""COMPUTED_VALUE"""),"No")</f>
        <v>No</v>
      </c>
      <c r="AJ2628" s="8" t="str">
        <f ca="1">IFERROR(__xludf.DUMMYFUNCTION("""COMPUTED_VALUE"""),"No")</f>
        <v>No</v>
      </c>
      <c r="AK2628" s="8" t="str">
        <f ca="1">IFERROR(__xludf.DUMMYFUNCTION("""COMPUTED_VALUE"""),"No")</f>
        <v>No</v>
      </c>
      <c r="AL2628" s="8" t="str">
        <f ca="1">IFERROR(__xludf.DUMMYFUNCTION("""COMPUTED_VALUE"""),"No")</f>
        <v>No</v>
      </c>
      <c r="AM2628" s="8"/>
      <c r="AN2628" s="8"/>
      <c r="AO2628" s="8" t="str">
        <f ca="1">IFERROR(__xludf.DUMMYFUNCTION("""COMPUTED_VALUE"""),"No")</f>
        <v>No</v>
      </c>
      <c r="AP2628" s="8" t="str">
        <f ca="1">IFERROR(__xludf.DUMMYFUNCTION("""COMPUTED_VALUE"""),"Yes")</f>
        <v>Yes</v>
      </c>
      <c r="AQ2628" s="8" t="str">
        <f ca="1">IFERROR(__xludf.DUMMYFUNCTION("""COMPUTED_VALUE"""),"Metal Detectors Bypassed; Armed Guards")</f>
        <v>Metal Detectors Bypassed; Armed Guards</v>
      </c>
      <c r="AR2628" s="8" t="str">
        <f ca="1">IFERROR(__xludf.DUMMYFUNCTION("""COMPUTED_VALUE"""),"Bypassed")</f>
        <v>Bypassed</v>
      </c>
      <c r="AS2628" s="8">
        <f ca="1">IFERROR(__xludf.DUMMYFUNCTION("""COMPUTED_VALUE"""),3)</f>
        <v>3</v>
      </c>
      <c r="AT2628" s="8"/>
      <c r="AU2628" s="8">
        <f ca="1">IFERROR(__xludf.DUMMYFUNCTION("""COMPUTED_VALUE"""),29.965662)</f>
        <v>29.965661999999998</v>
      </c>
      <c r="AV2628" s="8">
        <f ca="1">IFERROR(__xludf.DUMMYFUNCTION("""COMPUTED_VALUE"""),-90.036879)</f>
        <v>-90.036878999999999</v>
      </c>
      <c r="AW2628" s="8"/>
      <c r="AX2628" s="8">
        <f ca="1">IFERROR(__xludf.DUMMYFUNCTION("""COMPUTED_VALUE"""),70117)</f>
        <v>70117</v>
      </c>
    </row>
    <row r="2629" spans="1:50" ht="135" x14ac:dyDescent="0.2">
      <c r="A2629" s="8" t="str">
        <f ca="1">IFERROR(__xludf.DUMMYFUNCTION("""COMPUTED_VALUE"""),"19930524PAUPP")</f>
        <v>19930524PAUPP</v>
      </c>
      <c r="B2629" s="8">
        <f ca="1">IFERROR(__xludf.DUMMYFUNCTION("""COMPUTED_VALUE"""),5)</f>
        <v>5</v>
      </c>
      <c r="C2629" s="8">
        <f ca="1">IFERROR(__xludf.DUMMYFUNCTION("""COMPUTED_VALUE"""),24)</f>
        <v>24</v>
      </c>
      <c r="D2629" s="8">
        <f ca="1">IFERROR(__xludf.DUMMYFUNCTION("""COMPUTED_VALUE"""),1993)</f>
        <v>1993</v>
      </c>
      <c r="E2629" s="9">
        <f ca="1">IFERROR(__xludf.DUMMYFUNCTION("""COMPUTED_VALUE"""),34113)</f>
        <v>34113</v>
      </c>
      <c r="F2629" s="8" t="str">
        <f ca="1">IFERROR(__xludf.DUMMYFUNCTION("""COMPUTED_VALUE"""),"Upper Perkiomen High School")</f>
        <v>Upper Perkiomen High School</v>
      </c>
      <c r="G2629" s="8">
        <f ca="1">IFERROR(__xludf.DUMMYFUNCTION("""COMPUTED_VALUE"""),1)</f>
        <v>1</v>
      </c>
      <c r="H2629" s="8">
        <f ca="1">IFERROR(__xludf.DUMMYFUNCTION("""COMPUTED_VALUE"""),0)</f>
        <v>0</v>
      </c>
      <c r="I2629" s="8">
        <f ca="1">IFERROR(__xludf.DUMMYFUNCTION("""COMPUTED_VALUE"""),1)</f>
        <v>1</v>
      </c>
      <c r="J2629" s="8">
        <f ca="1">IFERROR(__xludf.DUMMYFUNCTION("""COMPUTED_VALUE"""),0)</f>
        <v>0</v>
      </c>
      <c r="K2629" s="10" t="str">
        <f ca="1">IFERROR(__xludf.DUMMYFUNCTION("""COMPUTED_VALUE"""),"http://articles.mcall.com/1993-05-25/news/2916043_1_michael-swann-upper-perkiomen-high-school-jason-michael-smith")</f>
        <v>http://articles.mcall.com/1993-05-25/news/2916043_1_michael-swann-upper-perkiomen-high-school-jason-michael-smith</v>
      </c>
      <c r="L2629" s="8"/>
      <c r="M2629" s="8"/>
      <c r="N2629" s="8">
        <f ca="1">IFERROR(__xludf.DUMMYFUNCTION("""COMPUTED_VALUE"""),2)</f>
        <v>2</v>
      </c>
      <c r="O2629" s="8" t="str">
        <f ca="1">IFERROR(__xludf.DUMMYFUNCTION("""COMPUTED_VALUE"""),"Spring")</f>
        <v>Spring</v>
      </c>
      <c r="P2629" s="8" t="str">
        <f ca="1">IFERROR(__xludf.DUMMYFUNCTION("""COMPUTED_VALUE"""),"Pennsburg")</f>
        <v>Pennsburg</v>
      </c>
      <c r="Q2629" s="8" t="str">
        <f ca="1">IFERROR(__xludf.DUMMYFUNCTION("""COMPUTED_VALUE"""),"PA")</f>
        <v>PA</v>
      </c>
      <c r="R2629" s="8" t="str">
        <f ca="1">IFERROR(__xludf.DUMMYFUNCTION("""COMPUTED_VALUE"""),"High")</f>
        <v>High</v>
      </c>
      <c r="S2629" s="8" t="str">
        <f ca="1">IFERROR(__xludf.DUMMYFUNCTION("""COMPUTED_VALUE"""),"Classroom")</f>
        <v>Classroom</v>
      </c>
      <c r="T2629" s="8" t="str">
        <f ca="1">IFERROR(__xludf.DUMMYFUNCTION("""COMPUTED_VALUE"""),"Inside School Building")</f>
        <v>Inside School Building</v>
      </c>
      <c r="U2629" s="8" t="str">
        <f ca="1">IFERROR(__xludf.DUMMYFUNCTION("""COMPUTED_VALUE"""),"Yes")</f>
        <v>Yes</v>
      </c>
      <c r="V2629" s="8"/>
      <c r="W2629" s="8"/>
      <c r="X2629" s="8">
        <f ca="1">IFERROR(__xludf.DUMMYFUNCTION("""COMPUTED_VALUE"""),1)</f>
        <v>1</v>
      </c>
      <c r="Y2629" s="12" t="str">
        <f ca="1">IFERROR(__xludf.DUMMYFUNCTION("""COMPUTED_VALUE"""),"Bullying, much larger bully shot in front of class")</f>
        <v>Bullying, much larger bully shot in front of class</v>
      </c>
      <c r="Z2629" s="12" t="str">
        <f ca="1">IFERROR(__xludf.DUMMYFUNCTION("""COMPUTED_VALUE"""),"Shooter took .22 pistol out of backpack during class. Walked up to victim and said ""bully this"" and shot him multiple times. Shooter walked out of school and sat down next to tree until police arrived. Shooter was 5'3 and victim was 6'4. Victim had bull"&amp;"ied the shooter. Other students described the victim as a frequent bully and a ""big kid who got on people's nerves"". Shooter had stolen the pistol from his mother's boyfriend gun safe and test fired it in his room prior to the shooting.")</f>
        <v>Shooter took .22 pistol out of backpack during class. Walked up to victim and said "bully this" and shot him multiple times. Shooter walked out of school and sat down next to tree until police arrived. Shooter was 5'3 and victim was 6'4. Victim had bullied the shooter. Other students described the victim as a frequent bully and a "big kid who got on people's nerves". Shooter had stolen the pistol from his mother's boyfriend gun safe and test fired it in his room prior to the shooting.</v>
      </c>
      <c r="AA2629" s="8" t="str">
        <f ca="1">IFERROR(__xludf.DUMMYFUNCTION("""COMPUTED_VALUE"""),"Bullying")</f>
        <v>Bullying</v>
      </c>
      <c r="AB2629" s="8"/>
      <c r="AC2629" s="8"/>
      <c r="AD2629" s="8" t="str">
        <f ca="1">IFERROR(__xludf.DUMMYFUNCTION("""COMPUTED_VALUE"""),"Victims Targeted")</f>
        <v>Victims Targeted</v>
      </c>
      <c r="AE2629" s="8"/>
      <c r="AF2629" s="8"/>
      <c r="AG2629" s="8" t="str">
        <f ca="1">IFERROR(__xludf.DUMMYFUNCTION("""COMPUTED_VALUE"""),"No")</f>
        <v>No</v>
      </c>
      <c r="AH2629" s="8" t="str">
        <f ca="1">IFERROR(__xludf.DUMMYFUNCTION("""COMPUTED_VALUE"""),"No")</f>
        <v>No</v>
      </c>
      <c r="AI2629" s="8" t="str">
        <f ca="1">IFERROR(__xludf.DUMMYFUNCTION("""COMPUTED_VALUE"""),"No")</f>
        <v>No</v>
      </c>
      <c r="AJ2629" s="8" t="str">
        <f ca="1">IFERROR(__xludf.DUMMYFUNCTION("""COMPUTED_VALUE"""),"Yes")</f>
        <v>Yes</v>
      </c>
      <c r="AK2629" s="8" t="str">
        <f ca="1">IFERROR(__xludf.DUMMYFUNCTION("""COMPUTED_VALUE"""),"No")</f>
        <v>No</v>
      </c>
      <c r="AL2629" s="8" t="str">
        <f ca="1">IFERROR(__xludf.DUMMYFUNCTION("""COMPUTED_VALUE"""),"No")</f>
        <v>No</v>
      </c>
      <c r="AM2629" s="8"/>
      <c r="AN2629" s="8"/>
      <c r="AO2629" s="8" t="str">
        <f ca="1">IFERROR(__xludf.DUMMYFUNCTION("""COMPUTED_VALUE"""),"No")</f>
        <v>No</v>
      </c>
      <c r="AP2629" s="8"/>
      <c r="AQ2629" s="8" t="str">
        <f ca="1">IFERROR(__xludf.DUMMYFUNCTION("""COMPUTED_VALUE"""),"Unknown")</f>
        <v>Unknown</v>
      </c>
      <c r="AR2629" s="8" t="str">
        <f ca="1">IFERROR(__xludf.DUMMYFUNCTION("""COMPUTED_VALUE"""),"NA")</f>
        <v>NA</v>
      </c>
      <c r="AS2629" s="8" t="str">
        <f ca="1">IFERROR(__xludf.DUMMYFUNCTION("""COMPUTED_VALUE"""),"&lt;10")</f>
        <v>&lt;10</v>
      </c>
      <c r="AT2629" s="8"/>
      <c r="AU2629" s="8">
        <f ca="1">IFERROR(__xludf.DUMMYFUNCTION("""COMPUTED_VALUE"""),40.381239)</f>
        <v>40.381239000000001</v>
      </c>
      <c r="AV2629" s="8">
        <f ca="1">IFERROR(__xludf.DUMMYFUNCTION("""COMPUTED_VALUE"""),-75.490162)</f>
        <v>-75.490161999999998</v>
      </c>
      <c r="AW2629" s="8"/>
      <c r="AX2629" s="8">
        <f ca="1">IFERROR(__xludf.DUMMYFUNCTION("""COMPUTED_VALUE"""),18073)</f>
        <v>18073</v>
      </c>
    </row>
    <row r="2630" spans="1:50" ht="75" x14ac:dyDescent="0.2">
      <c r="A2630" s="8" t="str">
        <f ca="1">IFERROR(__xludf.DUMMYFUNCTION("""COMPUTED_VALUE"""),"19930514TXNII")</f>
        <v>19930514TXNII</v>
      </c>
      <c r="B2630" s="8">
        <f ca="1">IFERROR(__xludf.DUMMYFUNCTION("""COMPUTED_VALUE"""),5)</f>
        <v>5</v>
      </c>
      <c r="C2630" s="8">
        <f ca="1">IFERROR(__xludf.DUMMYFUNCTION("""COMPUTED_VALUE"""),14)</f>
        <v>14</v>
      </c>
      <c r="D2630" s="8">
        <f ca="1">IFERROR(__xludf.DUMMYFUNCTION("""COMPUTED_VALUE"""),1993)</f>
        <v>1993</v>
      </c>
      <c r="E2630" s="9">
        <f ca="1">IFERROR(__xludf.DUMMYFUNCTION("""COMPUTED_VALUE"""),34103)</f>
        <v>34103</v>
      </c>
      <c r="F2630" s="8" t="str">
        <f ca="1">IFERROR(__xludf.DUMMYFUNCTION("""COMPUTED_VALUE"""),"Nimitz High School")</f>
        <v>Nimitz High School</v>
      </c>
      <c r="G2630" s="8">
        <f ca="1">IFERROR(__xludf.DUMMYFUNCTION("""COMPUTED_VALUE"""),1)</f>
        <v>1</v>
      </c>
      <c r="H2630" s="8">
        <f ca="1">IFERROR(__xludf.DUMMYFUNCTION("""COMPUTED_VALUE"""),0)</f>
        <v>0</v>
      </c>
      <c r="I2630" s="8">
        <f ca="1">IFERROR(__xludf.DUMMYFUNCTION("""COMPUTED_VALUE"""),1)</f>
        <v>1</v>
      </c>
      <c r="J2630" s="8">
        <f ca="1">IFERROR(__xludf.DUMMYFUNCTION("""COMPUTED_VALUE"""),0)</f>
        <v>0</v>
      </c>
      <c r="K2630" s="8" t="str">
        <f ca="1">IFERROR(__xludf.DUMMYFUNCTION("""COMPUTED_VALUE"""),"https://www.newspapers.com/image/41741473/?terms=shot%20at%20school&amp;match=1 https://www.deseretnews.com/article/290704/TEXAS-TEEN-KILLED-IN-SCHOOL-BY-CLASSMATE.html")</f>
        <v>https://www.newspapers.com/image/41741473/?terms=shot%20at%20school&amp;match=1 https://www.deseretnews.com/article/290704/TEXAS-TEEN-KILLED-IN-SCHOOL-BY-CLASSMATE.html</v>
      </c>
      <c r="L2630" s="8"/>
      <c r="M2630" s="8" t="str">
        <f ca="1">IFERROR(__xludf.DUMMYFUNCTION("""COMPUTED_VALUE"""),"National")</f>
        <v>National</v>
      </c>
      <c r="N2630" s="8">
        <f ca="1">IFERROR(__xludf.DUMMYFUNCTION("""COMPUTED_VALUE"""),4)</f>
        <v>4</v>
      </c>
      <c r="O2630" s="8" t="str">
        <f ca="1">IFERROR(__xludf.DUMMYFUNCTION("""COMPUTED_VALUE"""),"Spring")</f>
        <v>Spring</v>
      </c>
      <c r="P2630" s="8" t="str">
        <f ca="1">IFERROR(__xludf.DUMMYFUNCTION("""COMPUTED_VALUE"""),"Irving")</f>
        <v>Irving</v>
      </c>
      <c r="Q2630" s="8" t="str">
        <f ca="1">IFERROR(__xludf.DUMMYFUNCTION("""COMPUTED_VALUE"""),"TX")</f>
        <v>TX</v>
      </c>
      <c r="R2630" s="8" t="str">
        <f ca="1">IFERROR(__xludf.DUMMYFUNCTION("""COMPUTED_VALUE"""),"High")</f>
        <v>High</v>
      </c>
      <c r="S2630" s="8" t="str">
        <f ca="1">IFERROR(__xludf.DUMMYFUNCTION("""COMPUTED_VALUE"""),"Hallway")</f>
        <v>Hallway</v>
      </c>
      <c r="T2630" s="8" t="str">
        <f ca="1">IFERROR(__xludf.DUMMYFUNCTION("""COMPUTED_VALUE"""),"Inside School Building")</f>
        <v>Inside School Building</v>
      </c>
      <c r="U2630" s="8" t="str">
        <f ca="1">IFERROR(__xludf.DUMMYFUNCTION("""COMPUTED_VALUE"""),"Yes")</f>
        <v>Yes</v>
      </c>
      <c r="V2630" s="8" t="str">
        <f ca="1">IFERROR(__xludf.DUMMYFUNCTION("""COMPUTED_VALUE"""),"Dismissal")</f>
        <v>Dismissal</v>
      </c>
      <c r="W2630" s="11">
        <f ca="1">IFERROR(__xludf.DUMMYFUNCTION("""COMPUTED_VALUE"""),0.625)</f>
        <v>0.625</v>
      </c>
      <c r="X2630" s="8">
        <f ca="1">IFERROR(__xludf.DUMMYFUNCTION("""COMPUTED_VALUE"""),1)</f>
        <v>1</v>
      </c>
      <c r="Y2630" s="12" t="str">
        <f ca="1">IFERROR(__xludf.DUMMYFUNCTION("""COMPUTED_VALUE"""),"Dispute over girl in school hallway at dismissal")</f>
        <v>Dispute over girl in school hallway at dismissal</v>
      </c>
      <c r="Z2630" s="12" t="str">
        <f ca="1">IFERROR(__xludf.DUMMYFUNCTION("""COMPUTED_VALUE"""),"Fight over a girl in the school hallway escalated into a shooting. There had been an ongoing dispute between the shooter and victim. Victim was killed. No other students were involved or injured. Gun was taken from the home of a friend.")</f>
        <v>Fight over a girl in the school hallway escalated into a shooting. There had been an ongoing dispute between the shooter and victim. Victim was killed. No other students were involved or injured. Gun was taken from the home of a friend.</v>
      </c>
      <c r="AA2630" s="8" t="str">
        <f ca="1">IFERROR(__xludf.DUMMYFUNCTION("""COMPUTED_VALUE"""),"Escalation of Dispute")</f>
        <v>Escalation of Dispute</v>
      </c>
      <c r="AB2630" s="8"/>
      <c r="AC2630" s="8"/>
      <c r="AD2630" s="8" t="str">
        <f ca="1">IFERROR(__xludf.DUMMYFUNCTION("""COMPUTED_VALUE"""),"Victims Targeted")</f>
        <v>Victims Targeted</v>
      </c>
      <c r="AE2630" s="8" t="str">
        <f ca="1">IFERROR(__xludf.DUMMYFUNCTION("""COMPUTED_VALUE"""),"No")</f>
        <v>No</v>
      </c>
      <c r="AF2630" s="8"/>
      <c r="AG2630" s="8" t="str">
        <f ca="1">IFERROR(__xludf.DUMMYFUNCTION("""COMPUTED_VALUE"""),"No")</f>
        <v>No</v>
      </c>
      <c r="AH2630" s="8" t="str">
        <f ca="1">IFERROR(__xludf.DUMMYFUNCTION("""COMPUTED_VALUE"""),"No")</f>
        <v>No</v>
      </c>
      <c r="AI2630" s="8" t="str">
        <f ca="1">IFERROR(__xludf.DUMMYFUNCTION("""COMPUTED_VALUE"""),"No")</f>
        <v>No</v>
      </c>
      <c r="AJ2630" s="8" t="str">
        <f ca="1">IFERROR(__xludf.DUMMYFUNCTION("""COMPUTED_VALUE"""),"No")</f>
        <v>No</v>
      </c>
      <c r="AK2630" s="8" t="str">
        <f ca="1">IFERROR(__xludf.DUMMYFUNCTION("""COMPUTED_VALUE"""),"No")</f>
        <v>No</v>
      </c>
      <c r="AL2630" s="8" t="str">
        <f ca="1">IFERROR(__xludf.DUMMYFUNCTION("""COMPUTED_VALUE"""),"No")</f>
        <v>No</v>
      </c>
      <c r="AM2630" s="8" t="str">
        <f ca="1">IFERROR(__xludf.DUMMYFUNCTION("""COMPUTED_VALUE"""),"No")</f>
        <v>No</v>
      </c>
      <c r="AN2630" s="8"/>
      <c r="AO2630" s="8" t="str">
        <f ca="1">IFERROR(__xludf.DUMMYFUNCTION("""COMPUTED_VALUE"""),"No")</f>
        <v>No</v>
      </c>
      <c r="AP2630" s="8"/>
      <c r="AQ2630" s="8" t="str">
        <f ca="1">IFERROR(__xludf.DUMMYFUNCTION("""COMPUTED_VALUE"""),"Unknown")</f>
        <v>Unknown</v>
      </c>
      <c r="AR2630" s="8" t="str">
        <f ca="1">IFERROR(__xludf.DUMMYFUNCTION("""COMPUTED_VALUE"""),"NA")</f>
        <v>NA</v>
      </c>
      <c r="AS2630" s="8"/>
      <c r="AT2630" s="8"/>
      <c r="AU2630" s="8">
        <f ca="1">IFERROR(__xludf.DUMMYFUNCTION("""COMPUTED_VALUE"""),32.792661)</f>
        <v>32.792661000000003</v>
      </c>
      <c r="AV2630" s="8">
        <f ca="1">IFERROR(__xludf.DUMMYFUNCTION("""COMPUTED_VALUE"""),-96.947009)</f>
        <v>-96.947008999999994</v>
      </c>
      <c r="AW2630" s="8"/>
      <c r="AX2630" s="8">
        <f ca="1">IFERROR(__xludf.DUMMYFUNCTION("""COMPUTED_VALUE"""),75060)</f>
        <v>75060</v>
      </c>
    </row>
    <row r="2631" spans="1:50" ht="30" x14ac:dyDescent="0.2">
      <c r="A2631" s="8" t="str">
        <f ca="1">IFERROR(__xludf.DUMMYFUNCTION("""COMPUTED_VALUE"""),"19930416WAMOT")</f>
        <v>19930416WAMOT</v>
      </c>
      <c r="B2631" s="8">
        <f ca="1">IFERROR(__xludf.DUMMYFUNCTION("""COMPUTED_VALUE"""),4)</f>
        <v>4</v>
      </c>
      <c r="C2631" s="8">
        <f ca="1">IFERROR(__xludf.DUMMYFUNCTION("""COMPUTED_VALUE"""),16)</f>
        <v>16</v>
      </c>
      <c r="D2631" s="8">
        <f ca="1">IFERROR(__xludf.DUMMYFUNCTION("""COMPUTED_VALUE"""),1993)</f>
        <v>1993</v>
      </c>
      <c r="E2631" s="9">
        <f ca="1">IFERROR(__xludf.DUMMYFUNCTION("""COMPUTED_VALUE"""),34075)</f>
        <v>34075</v>
      </c>
      <c r="F2631" s="8" t="str">
        <f ca="1">IFERROR(__xludf.DUMMYFUNCTION("""COMPUTED_VALUE"""),"Mount Tahoma High School")</f>
        <v>Mount Tahoma High School</v>
      </c>
      <c r="G2631" s="8">
        <f ca="1">IFERROR(__xludf.DUMMYFUNCTION("""COMPUTED_VALUE"""),0)</f>
        <v>0</v>
      </c>
      <c r="H2631" s="8">
        <f ca="1">IFERROR(__xludf.DUMMYFUNCTION("""COMPUTED_VALUE"""),0)</f>
        <v>0</v>
      </c>
      <c r="I2631" s="8">
        <f ca="1">IFERROR(__xludf.DUMMYFUNCTION("""COMPUTED_VALUE"""),0)</f>
        <v>0</v>
      </c>
      <c r="J2631" s="8">
        <f ca="1">IFERROR(__xludf.DUMMYFUNCTION("""COMPUTED_VALUE"""),1)</f>
        <v>1</v>
      </c>
      <c r="K2631" s="10" t="str">
        <f ca="1">IFERROR(__xludf.DUMMYFUNCTION("""COMPUTED_VALUE"""),"https://people.com/archive/roll-call-of-the-dead-vol-39-no-23/")</f>
        <v>https://people.com/archive/roll-call-of-the-dead-vol-39-no-23/</v>
      </c>
      <c r="L2631" s="8"/>
      <c r="M2631" s="8"/>
      <c r="N2631" s="8">
        <f ca="1">IFERROR(__xludf.DUMMYFUNCTION("""COMPUTED_VALUE"""),2)</f>
        <v>2</v>
      </c>
      <c r="O2631" s="8" t="str">
        <f ca="1">IFERROR(__xludf.DUMMYFUNCTION("""COMPUTED_VALUE"""),"Spring")</f>
        <v>Spring</v>
      </c>
      <c r="P2631" s="8" t="str">
        <f ca="1">IFERROR(__xludf.DUMMYFUNCTION("""COMPUTED_VALUE"""),"Tacoma")</f>
        <v>Tacoma</v>
      </c>
      <c r="Q2631" s="8" t="str">
        <f ca="1">IFERROR(__xludf.DUMMYFUNCTION("""COMPUTED_VALUE"""),"WA")</f>
        <v>WA</v>
      </c>
      <c r="R2631" s="8" t="str">
        <f ca="1">IFERROR(__xludf.DUMMYFUNCTION("""COMPUTED_VALUE"""),"High")</f>
        <v>High</v>
      </c>
      <c r="S2631" s="8" t="str">
        <f ca="1">IFERROR(__xludf.DUMMYFUNCTION("""COMPUTED_VALUE"""),"Beside Building")</f>
        <v>Beside Building</v>
      </c>
      <c r="T2631" s="8" t="str">
        <f ca="1">IFERROR(__xludf.DUMMYFUNCTION("""COMPUTED_VALUE"""),"Outside on School Property")</f>
        <v>Outside on School Property</v>
      </c>
      <c r="U2631" s="8"/>
      <c r="V2631" s="8"/>
      <c r="W2631" s="8"/>
      <c r="X2631" s="8"/>
      <c r="Y2631" s="12" t="str">
        <f ca="1">IFERROR(__xludf.DUMMYFUNCTION("""COMPUTED_VALUE"""),"Suicide outside of school")</f>
        <v>Suicide outside of school</v>
      </c>
      <c r="Z2631" s="12" t="str">
        <f ca="1">IFERROR(__xludf.DUMMYFUNCTION("""COMPUTED_VALUE"""),"33YOF commit suicide outside of high school. Father reported she had been depressed.")</f>
        <v>33YOF commit suicide outside of high school. Father reported she had been depressed.</v>
      </c>
      <c r="AA2631" s="8" t="str">
        <f ca="1">IFERROR(__xludf.DUMMYFUNCTION("""COMPUTED_VALUE"""),"Suicide/Attempted")</f>
        <v>Suicide/Attempted</v>
      </c>
      <c r="AB2631" s="8"/>
      <c r="AC2631" s="8"/>
      <c r="AD2631" s="8" t="str">
        <f ca="1">IFERROR(__xludf.DUMMYFUNCTION("""COMPUTED_VALUE"""),"Victims Targeted")</f>
        <v>Victims Targeted</v>
      </c>
      <c r="AE2631" s="8" t="str">
        <f ca="1">IFERROR(__xludf.DUMMYFUNCTION("""COMPUTED_VALUE"""),"No")</f>
        <v>No</v>
      </c>
      <c r="AF2631" s="8"/>
      <c r="AG2631" s="8" t="str">
        <f ca="1">IFERROR(__xludf.DUMMYFUNCTION("""COMPUTED_VALUE"""),"No")</f>
        <v>No</v>
      </c>
      <c r="AH2631" s="8" t="str">
        <f ca="1">IFERROR(__xludf.DUMMYFUNCTION("""COMPUTED_VALUE"""),"No")</f>
        <v>No</v>
      </c>
      <c r="AI2631" s="8" t="str">
        <f ca="1">IFERROR(__xludf.DUMMYFUNCTION("""COMPUTED_VALUE"""),"No")</f>
        <v>No</v>
      </c>
      <c r="AJ2631" s="8" t="str">
        <f ca="1">IFERROR(__xludf.DUMMYFUNCTION("""COMPUTED_VALUE"""),"No")</f>
        <v>No</v>
      </c>
      <c r="AK2631" s="8" t="str">
        <f ca="1">IFERROR(__xludf.DUMMYFUNCTION("""COMPUTED_VALUE"""),"No")</f>
        <v>No</v>
      </c>
      <c r="AL2631" s="8" t="str">
        <f ca="1">IFERROR(__xludf.DUMMYFUNCTION("""COMPUTED_VALUE"""),"No")</f>
        <v>No</v>
      </c>
      <c r="AM2631" s="8"/>
      <c r="AN2631" s="8"/>
      <c r="AO2631" s="8" t="str">
        <f ca="1">IFERROR(__xludf.DUMMYFUNCTION("""COMPUTED_VALUE"""),"No")</f>
        <v>No</v>
      </c>
      <c r="AP2631" s="8"/>
      <c r="AQ2631" s="8" t="str">
        <f ca="1">IFERROR(__xludf.DUMMYFUNCTION("""COMPUTED_VALUE"""),"Unknown")</f>
        <v>Unknown</v>
      </c>
      <c r="AR2631" s="8" t="str">
        <f ca="1">IFERROR(__xludf.DUMMYFUNCTION("""COMPUTED_VALUE"""),"NA")</f>
        <v>NA</v>
      </c>
      <c r="AS2631" s="8">
        <f ca="1">IFERROR(__xludf.DUMMYFUNCTION("""COMPUTED_VALUE"""),1)</f>
        <v>1</v>
      </c>
      <c r="AT2631" s="8"/>
      <c r="AU2631" s="8">
        <f ca="1">IFERROR(__xludf.DUMMYFUNCTION("""COMPUTED_VALUE"""),47.189257)</f>
        <v>47.189256999999998</v>
      </c>
      <c r="AV2631" s="8">
        <f ca="1">IFERROR(__xludf.DUMMYFUNCTION("""COMPUTED_VALUE"""),-122.502769)</f>
        <v>-122.502769</v>
      </c>
      <c r="AW2631" s="8"/>
      <c r="AX2631" s="8">
        <f ca="1">IFERROR(__xludf.DUMMYFUNCTION("""COMPUTED_VALUE"""),98409)</f>
        <v>98409</v>
      </c>
    </row>
    <row r="2632" spans="1:50" ht="45" x14ac:dyDescent="0.2">
      <c r="A2632" s="8" t="str">
        <f ca="1">IFERROR(__xludf.DUMMYFUNCTION("""COMPUTED_VALUE"""),"19930416CAGRS")</f>
        <v>19930416CAGRS</v>
      </c>
      <c r="B2632" s="8">
        <f ca="1">IFERROR(__xludf.DUMMYFUNCTION("""COMPUTED_VALUE"""),4)</f>
        <v>4</v>
      </c>
      <c r="C2632" s="8">
        <f ca="1">IFERROR(__xludf.DUMMYFUNCTION("""COMPUTED_VALUE"""),16)</f>
        <v>16</v>
      </c>
      <c r="D2632" s="8">
        <f ca="1">IFERROR(__xludf.DUMMYFUNCTION("""COMPUTED_VALUE"""),1993)</f>
        <v>1993</v>
      </c>
      <c r="E2632" s="9">
        <f ca="1">IFERROR(__xludf.DUMMYFUNCTION("""COMPUTED_VALUE"""),34075)</f>
        <v>34075</v>
      </c>
      <c r="F2632" s="8" t="str">
        <f ca="1">IFERROR(__xludf.DUMMYFUNCTION("""COMPUTED_VALUE"""),"Grant High School")</f>
        <v>Grant High School</v>
      </c>
      <c r="G2632" s="8">
        <f ca="1">IFERROR(__xludf.DUMMYFUNCTION("""COMPUTED_VALUE"""),1)</f>
        <v>1</v>
      </c>
      <c r="H2632" s="8">
        <f ca="1">IFERROR(__xludf.DUMMYFUNCTION("""COMPUTED_VALUE"""),0)</f>
        <v>0</v>
      </c>
      <c r="I2632" s="8">
        <f ca="1">IFERROR(__xludf.DUMMYFUNCTION("""COMPUTED_VALUE"""),1)</f>
        <v>1</v>
      </c>
      <c r="J2632" s="8">
        <f ca="1">IFERROR(__xludf.DUMMYFUNCTION("""COMPUTED_VALUE"""),0)</f>
        <v>0</v>
      </c>
      <c r="K2632" s="8" t="str">
        <f ca="1">IFERROR(__xludf.DUMMYFUNCTION("""COMPUTED_VALUE"""),"https://www.newspapers.com/image/273363591/?terms=Grant%2BHigh%2BSchool%2Bshooting Sacramento Bee - Little League Coach Killed at Grant High")</f>
        <v>https://www.newspapers.com/image/273363591/?terms=Grant%2BHigh%2BSchool%2Bshooting Sacramento Bee - Little League Coach Killed at Grant High</v>
      </c>
      <c r="L2632" s="8"/>
      <c r="M2632" s="8"/>
      <c r="N2632" s="8">
        <f ca="1">IFERROR(__xludf.DUMMYFUNCTION("""COMPUTED_VALUE"""),3)</f>
        <v>3</v>
      </c>
      <c r="O2632" s="8" t="str">
        <f ca="1">IFERROR(__xludf.DUMMYFUNCTION("""COMPUTED_VALUE"""),"Spring")</f>
        <v>Spring</v>
      </c>
      <c r="P2632" s="8" t="str">
        <f ca="1">IFERROR(__xludf.DUMMYFUNCTION("""COMPUTED_VALUE"""),"Sacramento")</f>
        <v>Sacramento</v>
      </c>
      <c r="Q2632" s="8" t="str">
        <f ca="1">IFERROR(__xludf.DUMMYFUNCTION("""COMPUTED_VALUE"""),"CA")</f>
        <v>CA</v>
      </c>
      <c r="R2632" s="8" t="str">
        <f ca="1">IFERROR(__xludf.DUMMYFUNCTION("""COMPUTED_VALUE"""),"High")</f>
        <v>High</v>
      </c>
      <c r="S2632" s="8" t="str">
        <f ca="1">IFERROR(__xludf.DUMMYFUNCTION("""COMPUTED_VALUE"""),"Field (General)")</f>
        <v>Field (General)</v>
      </c>
      <c r="T2632" s="8" t="str">
        <f ca="1">IFERROR(__xludf.DUMMYFUNCTION("""COMPUTED_VALUE"""),"Outside on School Property")</f>
        <v>Outside on School Property</v>
      </c>
      <c r="U2632" s="8" t="str">
        <f ca="1">IFERROR(__xludf.DUMMYFUNCTION("""COMPUTED_VALUE"""),"No")</f>
        <v>No</v>
      </c>
      <c r="V2632" s="8" t="str">
        <f ca="1">IFERROR(__xludf.DUMMYFUNCTION("""COMPUTED_VALUE"""),"Evening")</f>
        <v>Evening</v>
      </c>
      <c r="W2632" s="11">
        <f ca="1">IFERROR(__xludf.DUMMYFUNCTION("""COMPUTED_VALUE"""),0.725694444444444)</f>
        <v>0.72569444444444398</v>
      </c>
      <c r="X2632" s="8">
        <f ca="1">IFERROR(__xludf.DUMMYFUNCTION("""COMPUTED_VALUE"""),1)</f>
        <v>1</v>
      </c>
      <c r="Y2632" s="12" t="str">
        <f ca="1">IFERROR(__xludf.DUMMYFUNCTION("""COMPUTED_VALUE"""),"Baseball coach struck by handgun fired 820 feet away")</f>
        <v>Baseball coach struck by handgun fired 820 feet away</v>
      </c>
      <c r="Z2632" s="12" t="str">
        <f ca="1">IFERROR(__xludf.DUMMYFUNCTION("""COMPUTED_VALUE"""),"Little league coach on baseball field struck by handgun round fired 820 away. Unknown if he was targeted.")</f>
        <v>Little league coach on baseball field struck by handgun round fired 820 away. Unknown if he was targeted.</v>
      </c>
      <c r="AA2632" s="8" t="str">
        <f ca="1">IFERROR(__xludf.DUMMYFUNCTION("""COMPUTED_VALUE"""),"Accidental")</f>
        <v>Accidental</v>
      </c>
      <c r="AB2632" s="8"/>
      <c r="AC2632" s="8"/>
      <c r="AD2632" s="8"/>
      <c r="AE2632" s="8" t="str">
        <f ca="1">IFERROR(__xludf.DUMMYFUNCTION("""COMPUTED_VALUE"""),"No")</f>
        <v>No</v>
      </c>
      <c r="AF2632" s="8"/>
      <c r="AG2632" s="8" t="str">
        <f ca="1">IFERROR(__xludf.DUMMYFUNCTION("""COMPUTED_VALUE"""),"No")</f>
        <v>No</v>
      </c>
      <c r="AH2632" s="8" t="str">
        <f ca="1">IFERROR(__xludf.DUMMYFUNCTION("""COMPUTED_VALUE"""),"No")</f>
        <v>No</v>
      </c>
      <c r="AI2632" s="8" t="str">
        <f ca="1">IFERROR(__xludf.DUMMYFUNCTION("""COMPUTED_VALUE"""),"No")</f>
        <v>No</v>
      </c>
      <c r="AJ2632" s="8" t="str">
        <f ca="1">IFERROR(__xludf.DUMMYFUNCTION("""COMPUTED_VALUE"""),"No")</f>
        <v>No</v>
      </c>
      <c r="AK2632" s="8" t="str">
        <f ca="1">IFERROR(__xludf.DUMMYFUNCTION("""COMPUTED_VALUE"""),"No")</f>
        <v>No</v>
      </c>
      <c r="AL2632" s="8"/>
      <c r="AM2632" s="8"/>
      <c r="AN2632" s="8"/>
      <c r="AO2632" s="8" t="str">
        <f ca="1">IFERROR(__xludf.DUMMYFUNCTION("""COMPUTED_VALUE"""),"No")</f>
        <v>No</v>
      </c>
      <c r="AP2632" s="8"/>
      <c r="AQ2632" s="8" t="str">
        <f ca="1">IFERROR(__xludf.DUMMYFUNCTION("""COMPUTED_VALUE"""),"Unknown")</f>
        <v>Unknown</v>
      </c>
      <c r="AR2632" s="8" t="str">
        <f ca="1">IFERROR(__xludf.DUMMYFUNCTION("""COMPUTED_VALUE"""),"NA")</f>
        <v>NA</v>
      </c>
      <c r="AS2632" s="8"/>
      <c r="AT2632" s="8"/>
      <c r="AU2632" s="8">
        <f ca="1">IFERROR(__xludf.DUMMYFUNCTION("""COMPUTED_VALUE"""),38.636012)</f>
        <v>38.636012000000001</v>
      </c>
      <c r="AV2632" s="8">
        <f ca="1">IFERROR(__xludf.DUMMYFUNCTION("""COMPUTED_VALUE"""),-121.435193)</f>
        <v>-121.435193</v>
      </c>
      <c r="AW2632" s="8"/>
      <c r="AX2632" s="8">
        <f ca="1">IFERROR(__xludf.DUMMYFUNCTION("""COMPUTED_VALUE"""),95838)</f>
        <v>95838</v>
      </c>
    </row>
    <row r="2633" spans="1:50" ht="135" x14ac:dyDescent="0.2">
      <c r="A2633" s="8" t="str">
        <f ca="1">IFERROR(__xludf.DUMMYFUNCTION("""COMPUTED_VALUE"""),"19930415MAFOA")</f>
        <v>19930415MAFOA</v>
      </c>
      <c r="B2633" s="8">
        <f ca="1">IFERROR(__xludf.DUMMYFUNCTION("""COMPUTED_VALUE"""),4)</f>
        <v>4</v>
      </c>
      <c r="C2633" s="8">
        <f ca="1">IFERROR(__xludf.DUMMYFUNCTION("""COMPUTED_VALUE"""),15)</f>
        <v>15</v>
      </c>
      <c r="D2633" s="8">
        <f ca="1">IFERROR(__xludf.DUMMYFUNCTION("""COMPUTED_VALUE"""),1993)</f>
        <v>1993</v>
      </c>
      <c r="E2633" s="9">
        <f ca="1">IFERROR(__xludf.DUMMYFUNCTION("""COMPUTED_VALUE"""),34074)</f>
        <v>34074</v>
      </c>
      <c r="F2633" s="8" t="str">
        <f ca="1">IFERROR(__xludf.DUMMYFUNCTION("""COMPUTED_VALUE"""),"Ford Middle School")</f>
        <v>Ford Middle School</v>
      </c>
      <c r="G2633" s="8">
        <f ca="1">IFERROR(__xludf.DUMMYFUNCTION("""COMPUTED_VALUE"""),1)</f>
        <v>1</v>
      </c>
      <c r="H2633" s="8">
        <f ca="1">IFERROR(__xludf.DUMMYFUNCTION("""COMPUTED_VALUE"""),0)</f>
        <v>0</v>
      </c>
      <c r="I2633" s="8">
        <f ca="1">IFERROR(__xludf.DUMMYFUNCTION("""COMPUTED_VALUE"""),1)</f>
        <v>1</v>
      </c>
      <c r="J2633" s="8">
        <f ca="1">IFERROR(__xludf.DUMMYFUNCTION("""COMPUTED_VALUE"""),0)</f>
        <v>0</v>
      </c>
      <c r="K2633" s="10" t="str">
        <f ca="1">IFERROR(__xludf.DUMMYFUNCTION("""COMPUTED_VALUE"""),"http://www.southcoasttoday.com/article/20150617/NEWS/150619469")</f>
        <v>http://www.southcoasttoday.com/article/20150617/NEWS/150619469</v>
      </c>
      <c r="L2633" s="8"/>
      <c r="M2633" s="8"/>
      <c r="N2633" s="8">
        <f ca="1">IFERROR(__xludf.DUMMYFUNCTION("""COMPUTED_VALUE"""),4)</f>
        <v>4</v>
      </c>
      <c r="O2633" s="8" t="str">
        <f ca="1">IFERROR(__xludf.DUMMYFUNCTION("""COMPUTED_VALUE"""),"Spring")</f>
        <v>Spring</v>
      </c>
      <c r="P2633" s="8" t="str">
        <f ca="1">IFERROR(__xludf.DUMMYFUNCTION("""COMPUTED_VALUE"""),"Acushnet")</f>
        <v>Acushnet</v>
      </c>
      <c r="Q2633" s="8" t="str">
        <f ca="1">IFERROR(__xludf.DUMMYFUNCTION("""COMPUTED_VALUE"""),"MA")</f>
        <v>MA</v>
      </c>
      <c r="R2633" s="8" t="str">
        <f ca="1">IFERROR(__xludf.DUMMYFUNCTION("""COMPUTED_VALUE"""),"Middle")</f>
        <v>Middle</v>
      </c>
      <c r="S2633" s="8" t="str">
        <f ca="1">IFERROR(__xludf.DUMMYFUNCTION("""COMPUTED_VALUE"""),"Office")</f>
        <v>Office</v>
      </c>
      <c r="T2633" s="8" t="str">
        <f ca="1">IFERROR(__xludf.DUMMYFUNCTION("""COMPUTED_VALUE"""),"Inside School Building")</f>
        <v>Inside School Building</v>
      </c>
      <c r="U2633" s="8" t="str">
        <f ca="1">IFERROR(__xludf.DUMMYFUNCTION("""COMPUTED_VALUE"""),"Yes")</f>
        <v>Yes</v>
      </c>
      <c r="V2633" s="8" t="str">
        <f ca="1">IFERROR(__xludf.DUMMYFUNCTION("""COMPUTED_VALUE"""),"Unknown")</f>
        <v>Unknown</v>
      </c>
      <c r="W2633" s="8"/>
      <c r="X2633" s="8"/>
      <c r="Y2633" s="12" t="str">
        <f ca="1">IFERROR(__xludf.DUMMYFUNCTION("""COMPUTED_VALUE"""),"Burned down house, shot secretary, attempted to take principal hostage - tackled by school staff")</f>
        <v>Burned down house, shot secretary, attempted to take principal hostage - tackled by school staff</v>
      </c>
      <c r="Z2633" s="12" t="str">
        <f ca="1">IFERROR(__xludf.DUMMYFUNCTION("""COMPUTED_VALUE"""),"Shooter became delusional and thought he was being watched by the CIA. He burned down his father's house and went to the school with a shotgun. He fired a shot and killed the school nurse. He attempted to take the principal hostage but was instead tackled"&amp;" by the principal and detained until police arrived. Police reported the shooter was mentally ill. After release from prison, shooter was arrested the following year for assaulting his 88 year-old father.")</f>
        <v>Shooter became delusional and thought he was being watched by the CIA. He burned down his father's house and went to the school with a shotgun. He fired a shot and killed the school nurse. He attempted to take the principal hostage but was instead tackled by the principal and detained until police arrived. Police reported the shooter was mentally ill. After release from prison, shooter was arrested the following year for assaulting his 88 year-old father.</v>
      </c>
      <c r="AA2633" s="8" t="str">
        <f ca="1">IFERROR(__xludf.DUMMYFUNCTION("""COMPUTED_VALUE"""),"Psychosis")</f>
        <v>Psychosis</v>
      </c>
      <c r="AB2633" s="8"/>
      <c r="AC2633" s="8"/>
      <c r="AD2633" s="8" t="str">
        <f ca="1">IFERROR(__xludf.DUMMYFUNCTION("""COMPUTED_VALUE"""),"Random Shooting")</f>
        <v>Random Shooting</v>
      </c>
      <c r="AE2633" s="8" t="str">
        <f ca="1">IFERROR(__xludf.DUMMYFUNCTION("""COMPUTED_VALUE"""),"No")</f>
        <v>No</v>
      </c>
      <c r="AF2633" s="8"/>
      <c r="AG2633" s="8" t="str">
        <f ca="1">IFERROR(__xludf.DUMMYFUNCTION("""COMPUTED_VALUE"""),"No")</f>
        <v>No</v>
      </c>
      <c r="AH2633" s="8" t="str">
        <f ca="1">IFERROR(__xludf.DUMMYFUNCTION("""COMPUTED_VALUE"""),"No")</f>
        <v>No</v>
      </c>
      <c r="AI2633" s="8" t="str">
        <f ca="1">IFERROR(__xludf.DUMMYFUNCTION("""COMPUTED_VALUE"""),"No")</f>
        <v>No</v>
      </c>
      <c r="AJ2633" s="8" t="str">
        <f ca="1">IFERROR(__xludf.DUMMYFUNCTION("""COMPUTED_VALUE"""),"No")</f>
        <v>No</v>
      </c>
      <c r="AK2633" s="8" t="str">
        <f ca="1">IFERROR(__xludf.DUMMYFUNCTION("""COMPUTED_VALUE"""),"No")</f>
        <v>No</v>
      </c>
      <c r="AL2633" s="8" t="str">
        <f ca="1">IFERROR(__xludf.DUMMYFUNCTION("""COMPUTED_VALUE"""),"No")</f>
        <v>No</v>
      </c>
      <c r="AM2633" s="8" t="str">
        <f ca="1">IFERROR(__xludf.DUMMYFUNCTION("""COMPUTED_VALUE"""),"Yes")</f>
        <v>Yes</v>
      </c>
      <c r="AN2633" s="8" t="str">
        <f ca="1">IFERROR(__xludf.DUMMYFUNCTION("""COMPUTED_VALUE"""),"Multiple Rooms")</f>
        <v>Multiple Rooms</v>
      </c>
      <c r="AO2633" s="8" t="str">
        <f ca="1">IFERROR(__xludf.DUMMYFUNCTION("""COMPUTED_VALUE"""),"No")</f>
        <v>No</v>
      </c>
      <c r="AP2633" s="8"/>
      <c r="AQ2633" s="8" t="str">
        <f ca="1">IFERROR(__xludf.DUMMYFUNCTION("""COMPUTED_VALUE"""),"Unknown")</f>
        <v>Unknown</v>
      </c>
      <c r="AR2633" s="8" t="str">
        <f ca="1">IFERROR(__xludf.DUMMYFUNCTION("""COMPUTED_VALUE"""),"NA")</f>
        <v>NA</v>
      </c>
      <c r="AS2633" s="8"/>
      <c r="AT2633" s="8"/>
      <c r="AU2633" s="8">
        <f ca="1">IFERROR(__xludf.DUMMYFUNCTION("""COMPUTED_VALUE"""),41.723606)</f>
        <v>41.723605999999997</v>
      </c>
      <c r="AV2633" s="8">
        <f ca="1">IFERROR(__xludf.DUMMYFUNCTION("""COMPUTED_VALUE"""),-70.904741)</f>
        <v>-70.904741000000001</v>
      </c>
      <c r="AW2633" s="8"/>
      <c r="AX2633" s="8">
        <f ca="1">IFERROR(__xludf.DUMMYFUNCTION("""COMPUTED_VALUE"""),2743)</f>
        <v>2743</v>
      </c>
    </row>
    <row r="2634" spans="1:50" ht="45" x14ac:dyDescent="0.2">
      <c r="A2634" s="8" t="str">
        <f ca="1">IFERROR(__xludf.DUMMYFUNCTION("""COMPUTED_VALUE"""),"19930403CAGRS")</f>
        <v>19930403CAGRS</v>
      </c>
      <c r="B2634" s="8">
        <f ca="1">IFERROR(__xludf.DUMMYFUNCTION("""COMPUTED_VALUE"""),4)</f>
        <v>4</v>
      </c>
      <c r="C2634" s="8">
        <f ca="1">IFERROR(__xludf.DUMMYFUNCTION("""COMPUTED_VALUE"""),3)</f>
        <v>3</v>
      </c>
      <c r="D2634" s="8">
        <f ca="1">IFERROR(__xludf.DUMMYFUNCTION("""COMPUTED_VALUE"""),1993)</f>
        <v>1993</v>
      </c>
      <c r="E2634" s="9">
        <f ca="1">IFERROR(__xludf.DUMMYFUNCTION("""COMPUTED_VALUE"""),34062)</f>
        <v>34062</v>
      </c>
      <c r="F2634" s="8" t="str">
        <f ca="1">IFERROR(__xludf.DUMMYFUNCTION("""COMPUTED_VALUE"""),"Grant High School")</f>
        <v>Grant High School</v>
      </c>
      <c r="G2634" s="8">
        <f ca="1">IFERROR(__xludf.DUMMYFUNCTION("""COMPUTED_VALUE"""),1)</f>
        <v>1</v>
      </c>
      <c r="H2634" s="8">
        <f ca="1">IFERROR(__xludf.DUMMYFUNCTION("""COMPUTED_VALUE"""),1)</f>
        <v>1</v>
      </c>
      <c r="I2634" s="8">
        <f ca="1">IFERROR(__xludf.DUMMYFUNCTION("""COMPUTED_VALUE"""),2)</f>
        <v>2</v>
      </c>
      <c r="J2634" s="8">
        <f ca="1">IFERROR(__xludf.DUMMYFUNCTION("""COMPUTED_VALUE"""),0)</f>
        <v>0</v>
      </c>
      <c r="K2634" s="10" t="str">
        <f ca="1">IFERROR(__xludf.DUMMYFUNCTION("""COMPUTED_VALUE"""),"https://www.newspapers.com/image/384227902/?terms=Vodrick%2BJohnson")</f>
        <v>https://www.newspapers.com/image/384227902/?terms=Vodrick%2BJohnson</v>
      </c>
      <c r="L2634" s="8"/>
      <c r="M2634" s="8"/>
      <c r="N2634" s="8">
        <f ca="1">IFERROR(__xludf.DUMMYFUNCTION("""COMPUTED_VALUE"""),2)</f>
        <v>2</v>
      </c>
      <c r="O2634" s="8" t="str">
        <f ca="1">IFERROR(__xludf.DUMMYFUNCTION("""COMPUTED_VALUE"""),"Spring")</f>
        <v>Spring</v>
      </c>
      <c r="P2634" s="8" t="str">
        <f ca="1">IFERROR(__xludf.DUMMYFUNCTION("""COMPUTED_VALUE"""),"Sacramento")</f>
        <v>Sacramento</v>
      </c>
      <c r="Q2634" s="8" t="str">
        <f ca="1">IFERROR(__xludf.DUMMYFUNCTION("""COMPUTED_VALUE"""),"CA")</f>
        <v>CA</v>
      </c>
      <c r="R2634" s="8" t="str">
        <f ca="1">IFERROR(__xludf.DUMMYFUNCTION("""COMPUTED_VALUE"""),"High")</f>
        <v>High</v>
      </c>
      <c r="S2634" s="8" t="str">
        <f ca="1">IFERROR(__xludf.DUMMYFUNCTION("""COMPUTED_VALUE"""),"Field (General)")</f>
        <v>Field (General)</v>
      </c>
      <c r="T2634" s="8" t="str">
        <f ca="1">IFERROR(__xludf.DUMMYFUNCTION("""COMPUTED_VALUE"""),"Outside on School Property")</f>
        <v>Outside on School Property</v>
      </c>
      <c r="U2634" s="8" t="str">
        <f ca="1">IFERROR(__xludf.DUMMYFUNCTION("""COMPUTED_VALUE"""),"No")</f>
        <v>No</v>
      </c>
      <c r="V2634" s="8" t="str">
        <f ca="1">IFERROR(__xludf.DUMMYFUNCTION("""COMPUTED_VALUE"""),"Not a School Day")</f>
        <v>Not a School Day</v>
      </c>
      <c r="W2634" s="8"/>
      <c r="X2634" s="8">
        <f ca="1">IFERROR(__xludf.DUMMYFUNCTION("""COMPUTED_VALUE"""),1)</f>
        <v>1</v>
      </c>
      <c r="Y2634" s="12" t="str">
        <f ca="1">IFERROR(__xludf.DUMMYFUNCTION("""COMPUTED_VALUE"""),"Two students shot walking around school field")</f>
        <v>Two students shot walking around school field</v>
      </c>
      <c r="Z2634" s="12" t="str">
        <f ca="1">IFERROR(__xludf.DUMMYFUNCTION("""COMPUTED_VALUE"""),"Unknown shooter with shotgun fired at two students walking around the school baseball field.")</f>
        <v>Unknown shooter with shotgun fired at two students walking around the school baseball field.</v>
      </c>
      <c r="AA2634" s="8" t="str">
        <f ca="1">IFERROR(__xludf.DUMMYFUNCTION("""COMPUTED_VALUE"""),"Unknown")</f>
        <v>Unknown</v>
      </c>
      <c r="AB2634" s="8"/>
      <c r="AC2634" s="8"/>
      <c r="AD2634" s="8"/>
      <c r="AE2634" s="8" t="str">
        <f ca="1">IFERROR(__xludf.DUMMYFUNCTION("""COMPUTED_VALUE"""),"No")</f>
        <v>No</v>
      </c>
      <c r="AF2634" s="8"/>
      <c r="AG2634" s="8" t="str">
        <f ca="1">IFERROR(__xludf.DUMMYFUNCTION("""COMPUTED_VALUE"""),"No")</f>
        <v>No</v>
      </c>
      <c r="AH2634" s="8" t="str">
        <f ca="1">IFERROR(__xludf.DUMMYFUNCTION("""COMPUTED_VALUE"""),"No")</f>
        <v>No</v>
      </c>
      <c r="AI2634" s="8" t="str">
        <f ca="1">IFERROR(__xludf.DUMMYFUNCTION("""COMPUTED_VALUE"""),"No")</f>
        <v>No</v>
      </c>
      <c r="AJ2634" s="8" t="str">
        <f ca="1">IFERROR(__xludf.DUMMYFUNCTION("""COMPUTED_VALUE"""),"No")</f>
        <v>No</v>
      </c>
      <c r="AK2634" s="8" t="str">
        <f ca="1">IFERROR(__xludf.DUMMYFUNCTION("""COMPUTED_VALUE"""),"No")</f>
        <v>No</v>
      </c>
      <c r="AL2634" s="8"/>
      <c r="AM2634" s="8"/>
      <c r="AN2634" s="8"/>
      <c r="AO2634" s="8" t="str">
        <f ca="1">IFERROR(__xludf.DUMMYFUNCTION("""COMPUTED_VALUE"""),"No")</f>
        <v>No</v>
      </c>
      <c r="AP2634" s="8"/>
      <c r="AQ2634" s="8" t="str">
        <f ca="1">IFERROR(__xludf.DUMMYFUNCTION("""COMPUTED_VALUE"""),"Unknown")</f>
        <v>Unknown</v>
      </c>
      <c r="AR2634" s="8" t="str">
        <f ca="1">IFERROR(__xludf.DUMMYFUNCTION("""COMPUTED_VALUE"""),"NA")</f>
        <v>NA</v>
      </c>
      <c r="AS2634" s="8">
        <f ca="1">IFERROR(__xludf.DUMMYFUNCTION("""COMPUTED_VALUE"""),2)</f>
        <v>2</v>
      </c>
      <c r="AT2634" s="8"/>
      <c r="AU2634" s="8">
        <f ca="1">IFERROR(__xludf.DUMMYFUNCTION("""COMPUTED_VALUE"""),38.636012)</f>
        <v>38.636012000000001</v>
      </c>
      <c r="AV2634" s="8">
        <f ca="1">IFERROR(__xludf.DUMMYFUNCTION("""COMPUTED_VALUE"""),-121.435193)</f>
        <v>-121.435193</v>
      </c>
      <c r="AW2634" s="8"/>
      <c r="AX2634" s="8">
        <f ca="1">IFERROR(__xludf.DUMMYFUNCTION("""COMPUTED_VALUE"""),95838)</f>
        <v>95838</v>
      </c>
    </row>
    <row r="2635" spans="1:50" ht="45" x14ac:dyDescent="0.2">
      <c r="A2635" s="8" t="str">
        <f ca="1">IFERROR(__xludf.DUMMYFUNCTION("""COMPUTED_VALUE"""),"19930325MOSUS")</f>
        <v>19930325MOSUS</v>
      </c>
      <c r="B2635" s="8">
        <f ca="1">IFERROR(__xludf.DUMMYFUNCTION("""COMPUTED_VALUE"""),3)</f>
        <v>3</v>
      </c>
      <c r="C2635" s="8">
        <f ca="1">IFERROR(__xludf.DUMMYFUNCTION("""COMPUTED_VALUE"""),25)</f>
        <v>25</v>
      </c>
      <c r="D2635" s="8">
        <f ca="1">IFERROR(__xludf.DUMMYFUNCTION("""COMPUTED_VALUE"""),1993)</f>
        <v>1993</v>
      </c>
      <c r="E2635" s="9">
        <f ca="1">IFERROR(__xludf.DUMMYFUNCTION("""COMPUTED_VALUE"""),34053)</f>
        <v>34053</v>
      </c>
      <c r="F2635" s="8" t="str">
        <f ca="1">IFERROR(__xludf.DUMMYFUNCTION("""COMPUTED_VALUE"""),"Sumner High School")</f>
        <v>Sumner High School</v>
      </c>
      <c r="G2635" s="8">
        <f ca="1">IFERROR(__xludf.DUMMYFUNCTION("""COMPUTED_VALUE"""),1)</f>
        <v>1</v>
      </c>
      <c r="H2635" s="8">
        <f ca="1">IFERROR(__xludf.DUMMYFUNCTION("""COMPUTED_VALUE"""),0)</f>
        <v>0</v>
      </c>
      <c r="I2635" s="8">
        <f ca="1">IFERROR(__xludf.DUMMYFUNCTION("""COMPUTED_VALUE"""),1)</f>
        <v>1</v>
      </c>
      <c r="J2635" s="8">
        <f ca="1">IFERROR(__xludf.DUMMYFUNCTION("""COMPUTED_VALUE"""),0)</f>
        <v>0</v>
      </c>
      <c r="K2635" s="10" t="str">
        <f ca="1">IFERROR(__xludf.DUMMYFUNCTION("""COMPUTED_VALUE"""),"https://www.newspapers.com/image/141626514/?terms=Sumner%2BHigh%2BSchool")</f>
        <v>https://www.newspapers.com/image/141626514/?terms=Sumner%2BHigh%2BSchool</v>
      </c>
      <c r="L2635" s="8"/>
      <c r="M2635" s="8"/>
      <c r="N2635" s="8">
        <f ca="1">IFERROR(__xludf.DUMMYFUNCTION("""COMPUTED_VALUE"""),2)</f>
        <v>2</v>
      </c>
      <c r="O2635" s="8" t="str">
        <f ca="1">IFERROR(__xludf.DUMMYFUNCTION("""COMPUTED_VALUE"""),"Spring")</f>
        <v>Spring</v>
      </c>
      <c r="P2635" s="8" t="str">
        <f ca="1">IFERROR(__xludf.DUMMYFUNCTION("""COMPUTED_VALUE"""),"St. Louis")</f>
        <v>St. Louis</v>
      </c>
      <c r="Q2635" s="8" t="str">
        <f ca="1">IFERROR(__xludf.DUMMYFUNCTION("""COMPUTED_VALUE"""),"MO")</f>
        <v>MO</v>
      </c>
      <c r="R2635" s="8" t="str">
        <f ca="1">IFERROR(__xludf.DUMMYFUNCTION("""COMPUTED_VALUE"""),"High")</f>
        <v>High</v>
      </c>
      <c r="S2635" s="8" t="str">
        <f ca="1">IFERROR(__xludf.DUMMYFUNCTION("""COMPUTED_VALUE"""),"Hallway")</f>
        <v>Hallway</v>
      </c>
      <c r="T2635" s="8" t="str">
        <f ca="1">IFERROR(__xludf.DUMMYFUNCTION("""COMPUTED_VALUE"""),"Inside School Building")</f>
        <v>Inside School Building</v>
      </c>
      <c r="U2635" s="8" t="str">
        <f ca="1">IFERROR(__xludf.DUMMYFUNCTION("""COMPUTED_VALUE"""),"Yes")</f>
        <v>Yes</v>
      </c>
      <c r="V2635" s="8" t="str">
        <f ca="1">IFERROR(__xludf.DUMMYFUNCTION("""COMPUTED_VALUE"""),"School Start")</f>
        <v>School Start</v>
      </c>
      <c r="W2635" s="11">
        <f ca="1">IFERROR(__xludf.DUMMYFUNCTION("""COMPUTED_VALUE"""),0.333333333333333)</f>
        <v>0.33333333333333298</v>
      </c>
      <c r="X2635" s="8">
        <f ca="1">IFERROR(__xludf.DUMMYFUNCTION("""COMPUTED_VALUE"""),1)</f>
        <v>1</v>
      </c>
      <c r="Y2635" s="12" t="str">
        <f ca="1">IFERROR(__xludf.DUMMYFUNCTION("""COMPUTED_VALUE"""),"Shot ex-boyfriend in back of head in hallway")</f>
        <v>Shot ex-boyfriend in back of head in hallway</v>
      </c>
      <c r="Z2635" s="12" t="str">
        <f ca="1">IFERROR(__xludf.DUMMYFUNCTION("""COMPUTED_VALUE"""),"17YOF shot her ex-boyfriend in the hallway. She had told other students that she planned to kill herself and him prior to the shooting.")</f>
        <v>17YOF shot her ex-boyfriend in the hallway. She had told other students that she planned to kill herself and him prior to the shooting.</v>
      </c>
      <c r="AA2635" s="8" t="str">
        <f ca="1">IFERROR(__xludf.DUMMYFUNCTION("""COMPUTED_VALUE"""),"Domestic w/ Targeted Victim")</f>
        <v>Domestic w/ Targeted Victim</v>
      </c>
      <c r="AB2635" s="8"/>
      <c r="AC2635" s="8"/>
      <c r="AD2635" s="8" t="str">
        <f ca="1">IFERROR(__xludf.DUMMYFUNCTION("""COMPUTED_VALUE"""),"Victims Targeted")</f>
        <v>Victims Targeted</v>
      </c>
      <c r="AE2635" s="8" t="str">
        <f ca="1">IFERROR(__xludf.DUMMYFUNCTION("""COMPUTED_VALUE"""),"No")</f>
        <v>No</v>
      </c>
      <c r="AF2635" s="8"/>
      <c r="AG2635" s="8" t="str">
        <f ca="1">IFERROR(__xludf.DUMMYFUNCTION("""COMPUTED_VALUE"""),"No")</f>
        <v>No</v>
      </c>
      <c r="AH2635" s="8" t="str">
        <f ca="1">IFERROR(__xludf.DUMMYFUNCTION("""COMPUTED_VALUE"""),"No")</f>
        <v>No</v>
      </c>
      <c r="AI2635" s="8" t="str">
        <f ca="1">IFERROR(__xludf.DUMMYFUNCTION("""COMPUTED_VALUE"""),"No")</f>
        <v>No</v>
      </c>
      <c r="AJ2635" s="8" t="str">
        <f ca="1">IFERROR(__xludf.DUMMYFUNCTION("""COMPUTED_VALUE"""),"No")</f>
        <v>No</v>
      </c>
      <c r="AK2635" s="8" t="str">
        <f ca="1">IFERROR(__xludf.DUMMYFUNCTION("""COMPUTED_VALUE"""),"Yes")</f>
        <v>Yes</v>
      </c>
      <c r="AL2635" s="8" t="str">
        <f ca="1">IFERROR(__xludf.DUMMYFUNCTION("""COMPUTED_VALUE"""),"No")</f>
        <v>No</v>
      </c>
      <c r="AM2635" s="8"/>
      <c r="AN2635" s="8"/>
      <c r="AO2635" s="8" t="str">
        <f ca="1">IFERROR(__xludf.DUMMYFUNCTION("""COMPUTED_VALUE"""),"No")</f>
        <v>No</v>
      </c>
      <c r="AP2635" s="8"/>
      <c r="AQ2635" s="8" t="str">
        <f ca="1">IFERROR(__xludf.DUMMYFUNCTION("""COMPUTED_VALUE"""),"Unknown")</f>
        <v>Unknown</v>
      </c>
      <c r="AR2635" s="8" t="str">
        <f ca="1">IFERROR(__xludf.DUMMYFUNCTION("""COMPUTED_VALUE"""),"NA")</f>
        <v>NA</v>
      </c>
      <c r="AS2635" s="8">
        <f ca="1">IFERROR(__xludf.DUMMYFUNCTION("""COMPUTED_VALUE"""),1)</f>
        <v>1</v>
      </c>
      <c r="AT2635" s="8"/>
      <c r="AU2635" s="8">
        <f ca="1">IFERROR(__xludf.DUMMYFUNCTION("""COMPUTED_VALUE"""),38.659678)</f>
        <v>38.659678</v>
      </c>
      <c r="AV2635" s="8">
        <f ca="1">IFERROR(__xludf.DUMMYFUNCTION("""COMPUTED_VALUE"""),-90.239138)</f>
        <v>-90.239137999999997</v>
      </c>
      <c r="AW2635" s="8"/>
      <c r="AX2635" s="8">
        <f ca="1">IFERROR(__xludf.DUMMYFUNCTION("""COMPUTED_VALUE"""),63113)</f>
        <v>63113</v>
      </c>
    </row>
    <row r="2636" spans="1:50" ht="90" x14ac:dyDescent="0.2">
      <c r="A2636" s="8" t="str">
        <f ca="1">IFERROR(__xludf.DUMMYFUNCTION("""COMPUTED_VALUE"""),"19930318GAHAH")</f>
        <v>19930318GAHAH</v>
      </c>
      <c r="B2636" s="8">
        <f ca="1">IFERROR(__xludf.DUMMYFUNCTION("""COMPUTED_VALUE"""),3)</f>
        <v>3</v>
      </c>
      <c r="C2636" s="8">
        <f ca="1">IFERROR(__xludf.DUMMYFUNCTION("""COMPUTED_VALUE"""),18)</f>
        <v>18</v>
      </c>
      <c r="D2636" s="8">
        <f ca="1">IFERROR(__xludf.DUMMYFUNCTION("""COMPUTED_VALUE"""),1993)</f>
        <v>1993</v>
      </c>
      <c r="E2636" s="9">
        <f ca="1">IFERROR(__xludf.DUMMYFUNCTION("""COMPUTED_VALUE"""),34046)</f>
        <v>34046</v>
      </c>
      <c r="F2636" s="8" t="str">
        <f ca="1">IFERROR(__xludf.DUMMYFUNCTION("""COMPUTED_VALUE"""),"Harlem High School")</f>
        <v>Harlem High School</v>
      </c>
      <c r="G2636" s="8">
        <f ca="1">IFERROR(__xludf.DUMMYFUNCTION("""COMPUTED_VALUE"""),1)</f>
        <v>1</v>
      </c>
      <c r="H2636" s="8">
        <f ca="1">IFERROR(__xludf.DUMMYFUNCTION("""COMPUTED_VALUE"""),1)</f>
        <v>1</v>
      </c>
      <c r="I2636" s="8">
        <f ca="1">IFERROR(__xludf.DUMMYFUNCTION("""COMPUTED_VALUE"""),2)</f>
        <v>2</v>
      </c>
      <c r="J2636" s="8">
        <f ca="1">IFERROR(__xludf.DUMMYFUNCTION("""COMPUTED_VALUE"""),0)</f>
        <v>0</v>
      </c>
      <c r="K2636" s="8" t="str">
        <f ca="1">IFERROR(__xludf.DUMMYFUNCTION("""COMPUTED_VALUE"""),"https://www.columbine-angels.com/School_Violence_1992-1993.htm   http://articles.latimes.com/1993-03-19/news/mn-12874_1_school-hallway   https://www.apnews.com/fcddd8b998a732fbcde56819a69833c3")</f>
        <v>https://www.columbine-angels.com/School_Violence_1992-1993.htm   http://articles.latimes.com/1993-03-19/news/mn-12874_1_school-hallway   https://www.apnews.com/fcddd8b998a732fbcde56819a69833c3</v>
      </c>
      <c r="L2636" s="8"/>
      <c r="M2636" s="8"/>
      <c r="N2636" s="8">
        <f ca="1">IFERROR(__xludf.DUMMYFUNCTION("""COMPUTED_VALUE"""),2)</f>
        <v>2</v>
      </c>
      <c r="O2636" s="8" t="str">
        <f ca="1">IFERROR(__xludf.DUMMYFUNCTION("""COMPUTED_VALUE"""),"Spring")</f>
        <v>Spring</v>
      </c>
      <c r="P2636" s="8" t="str">
        <f ca="1">IFERROR(__xludf.DUMMYFUNCTION("""COMPUTED_VALUE"""),"Harlem")</f>
        <v>Harlem</v>
      </c>
      <c r="Q2636" s="8" t="str">
        <f ca="1">IFERROR(__xludf.DUMMYFUNCTION("""COMPUTED_VALUE"""),"GA")</f>
        <v>GA</v>
      </c>
      <c r="R2636" s="8" t="str">
        <f ca="1">IFERROR(__xludf.DUMMYFUNCTION("""COMPUTED_VALUE"""),"High")</f>
        <v>High</v>
      </c>
      <c r="S2636" s="8" t="str">
        <f ca="1">IFERROR(__xludf.DUMMYFUNCTION("""COMPUTED_VALUE"""),"Hallway")</f>
        <v>Hallway</v>
      </c>
      <c r="T2636" s="8" t="str">
        <f ca="1">IFERROR(__xludf.DUMMYFUNCTION("""COMPUTED_VALUE"""),"Inside School Building")</f>
        <v>Inside School Building</v>
      </c>
      <c r="U2636" s="8" t="str">
        <f ca="1">IFERROR(__xludf.DUMMYFUNCTION("""COMPUTED_VALUE"""),"Yes")</f>
        <v>Yes</v>
      </c>
      <c r="V2636" s="8" t="str">
        <f ca="1">IFERROR(__xludf.DUMMYFUNCTION("""COMPUTED_VALUE"""),"School Start")</f>
        <v>School Start</v>
      </c>
      <c r="W2636" s="11">
        <f ca="1">IFERROR(__xludf.DUMMYFUNCTION("""COMPUTED_VALUE"""),0.34375)</f>
        <v>0.34375</v>
      </c>
      <c r="X2636" s="8">
        <f ca="1">IFERROR(__xludf.DUMMYFUNCTION("""COMPUTED_VALUE"""),1)</f>
        <v>1</v>
      </c>
      <c r="Y2636" s="12" t="str">
        <f ca="1">IFERROR(__xludf.DUMMYFUNCTION("""COMPUTED_VALUE"""),"Shot two students who bullied him")</f>
        <v>Shot two students who bullied him</v>
      </c>
      <c r="Z2636" s="12" t="str">
        <f ca="1">IFERROR(__xludf.DUMMYFUNCTION("""COMPUTED_VALUE"""),"Conflicting reports - suspect pulled out .38 revolver from backpack and shot two subjects who had been bullying him - suspect was acquitted at trial but sentenced to 5 years probation for bringing gun to school. Other report stated suspect shot victims du"&amp;"e to them arguing with him about a girl he was dating.")</f>
        <v>Conflicting reports - suspect pulled out .38 revolver from backpack and shot two subjects who had been bullying him - suspect was acquitted at trial but sentenced to 5 years probation for bringing gun to school. Other report stated suspect shot victims due to them arguing with him about a girl he was dating.</v>
      </c>
      <c r="AA2636" s="8" t="str">
        <f ca="1">IFERROR(__xludf.DUMMYFUNCTION("""COMPUTED_VALUE"""),"Bullying")</f>
        <v>Bullying</v>
      </c>
      <c r="AB2636" s="8"/>
      <c r="AC2636" s="8"/>
      <c r="AD2636" s="8" t="str">
        <f ca="1">IFERROR(__xludf.DUMMYFUNCTION("""COMPUTED_VALUE"""),"Victims Targeted")</f>
        <v>Victims Targeted</v>
      </c>
      <c r="AE2636" s="8" t="str">
        <f ca="1">IFERROR(__xludf.DUMMYFUNCTION("""COMPUTED_VALUE"""),"No")</f>
        <v>No</v>
      </c>
      <c r="AF2636" s="8"/>
      <c r="AG2636" s="8" t="str">
        <f ca="1">IFERROR(__xludf.DUMMYFUNCTION("""COMPUTED_VALUE"""),"No")</f>
        <v>No</v>
      </c>
      <c r="AH2636" s="8" t="str">
        <f ca="1">IFERROR(__xludf.DUMMYFUNCTION("""COMPUTED_VALUE"""),"No")</f>
        <v>No</v>
      </c>
      <c r="AI2636" s="8" t="str">
        <f ca="1">IFERROR(__xludf.DUMMYFUNCTION("""COMPUTED_VALUE"""),"No")</f>
        <v>No</v>
      </c>
      <c r="AJ2636" s="8" t="str">
        <f ca="1">IFERROR(__xludf.DUMMYFUNCTION("""COMPUTED_VALUE"""),"Yes")</f>
        <v>Yes</v>
      </c>
      <c r="AK2636" s="8" t="str">
        <f ca="1">IFERROR(__xludf.DUMMYFUNCTION("""COMPUTED_VALUE"""),"No")</f>
        <v>No</v>
      </c>
      <c r="AL2636" s="8" t="str">
        <f ca="1">IFERROR(__xludf.DUMMYFUNCTION("""COMPUTED_VALUE"""),"No")</f>
        <v>No</v>
      </c>
      <c r="AM2636" s="8"/>
      <c r="AN2636" s="8"/>
      <c r="AO2636" s="8" t="str">
        <f ca="1">IFERROR(__xludf.DUMMYFUNCTION("""COMPUTED_VALUE"""),"No")</f>
        <v>No</v>
      </c>
      <c r="AP2636" s="8"/>
      <c r="AQ2636" s="8" t="str">
        <f ca="1">IFERROR(__xludf.DUMMYFUNCTION("""COMPUTED_VALUE"""),"Unknown")</f>
        <v>Unknown</v>
      </c>
      <c r="AR2636" s="8" t="str">
        <f ca="1">IFERROR(__xludf.DUMMYFUNCTION("""COMPUTED_VALUE"""),"NA")</f>
        <v>NA</v>
      </c>
      <c r="AS2636" s="8"/>
      <c r="AT2636" s="8"/>
      <c r="AU2636" s="8">
        <f ca="1">IFERROR(__xludf.DUMMYFUNCTION("""COMPUTED_VALUE"""),33.456753)</f>
        <v>33.456752999999999</v>
      </c>
      <c r="AV2636" s="8">
        <f ca="1">IFERROR(__xludf.DUMMYFUNCTION("""COMPUTED_VALUE"""),-82.31319)</f>
        <v>-82.313190000000006</v>
      </c>
      <c r="AW2636" s="8"/>
      <c r="AX2636" s="8">
        <f ca="1">IFERROR(__xludf.DUMMYFUNCTION("""COMPUTED_VALUE"""),30814)</f>
        <v>30814</v>
      </c>
    </row>
    <row r="2637" spans="1:50" ht="120" x14ac:dyDescent="0.2">
      <c r="A2637" s="8" t="str">
        <f ca="1">IFERROR(__xludf.DUMMYFUNCTION("""COMPUTED_VALUE"""),"19930308VADOD")</f>
        <v>19930308VADOD</v>
      </c>
      <c r="B2637" s="8">
        <f ca="1">IFERROR(__xludf.DUMMYFUNCTION("""COMPUTED_VALUE"""),3)</f>
        <v>3</v>
      </c>
      <c r="C2637" s="8">
        <f ca="1">IFERROR(__xludf.DUMMYFUNCTION("""COMPUTED_VALUE"""),8)</f>
        <v>8</v>
      </c>
      <c r="D2637" s="8">
        <f ca="1">IFERROR(__xludf.DUMMYFUNCTION("""COMPUTED_VALUE"""),1993)</f>
        <v>1993</v>
      </c>
      <c r="E2637" s="9">
        <f ca="1">IFERROR(__xludf.DUMMYFUNCTION("""COMPUTED_VALUE"""),34036)</f>
        <v>34036</v>
      </c>
      <c r="F2637" s="8" t="str">
        <f ca="1">IFERROR(__xludf.DUMMYFUNCTION("""COMPUTED_VALUE"""),"Dozier Middle School")</f>
        <v>Dozier Middle School</v>
      </c>
      <c r="G2637" s="8">
        <f ca="1">IFERROR(__xludf.DUMMYFUNCTION("""COMPUTED_VALUE"""),1)</f>
        <v>1</v>
      </c>
      <c r="H2637" s="8">
        <f ca="1">IFERROR(__xludf.DUMMYFUNCTION("""COMPUTED_VALUE"""),0)</f>
        <v>0</v>
      </c>
      <c r="I2637" s="8">
        <f ca="1">IFERROR(__xludf.DUMMYFUNCTION("""COMPUTED_VALUE"""),1)</f>
        <v>1</v>
      </c>
      <c r="J2637" s="8">
        <f ca="1">IFERROR(__xludf.DUMMYFUNCTION("""COMPUTED_VALUE"""),0)</f>
        <v>0</v>
      </c>
      <c r="K2637" s="8" t="str">
        <f ca="1">IFERROR(__xludf.DUMMYFUNCTION("""COMPUTED_VALUE"""),"https://www.newspapers.com/image/237313969/?terms=donna%2Bharrison; https://www.newspapers.com/image/237314409/?terms=darryl%2Bquentin%2Bsmith; https://www.newspapers.com/image/236399254; https://www.newspapers.com/image/235999265/?terms=darryl%2Bquentin%"&amp;"2Bsmith")</f>
        <v>https://www.newspapers.com/image/237313969/?terms=donna%2Bharrison; https://www.newspapers.com/image/237314409/?terms=darryl%2Bquentin%2Bsmith; https://www.newspapers.com/image/236399254; https://www.newspapers.com/image/235999265/?terms=darryl%2Bquentin%2Bsmith</v>
      </c>
      <c r="L2637" s="8"/>
      <c r="M2637" s="8"/>
      <c r="N2637" s="8">
        <f ca="1">IFERROR(__xludf.DUMMYFUNCTION("""COMPUTED_VALUE"""),4)</f>
        <v>4</v>
      </c>
      <c r="O2637" s="8" t="str">
        <f ca="1">IFERROR(__xludf.DUMMYFUNCTION("""COMPUTED_VALUE"""),"Spring")</f>
        <v>Spring</v>
      </c>
      <c r="P2637" s="8" t="str">
        <f ca="1">IFERROR(__xludf.DUMMYFUNCTION("""COMPUTED_VALUE"""),"Denbigh")</f>
        <v>Denbigh</v>
      </c>
      <c r="Q2637" s="8" t="str">
        <f ca="1">IFERROR(__xludf.DUMMYFUNCTION("""COMPUTED_VALUE"""),"VA")</f>
        <v>VA</v>
      </c>
      <c r="R2637" s="8" t="str">
        <f ca="1">IFERROR(__xludf.DUMMYFUNCTION("""COMPUTED_VALUE"""),"Middle")</f>
        <v>Middle</v>
      </c>
      <c r="S2637" s="8" t="str">
        <f ca="1">IFERROR(__xludf.DUMMYFUNCTION("""COMPUTED_VALUE"""),"Parking Lot")</f>
        <v>Parking Lot</v>
      </c>
      <c r="T2637" s="8" t="str">
        <f ca="1">IFERROR(__xludf.DUMMYFUNCTION("""COMPUTED_VALUE"""),"Outside on School Property")</f>
        <v>Outside on School Property</v>
      </c>
      <c r="U2637" s="8" t="str">
        <f ca="1">IFERROR(__xludf.DUMMYFUNCTION("""COMPUTED_VALUE"""),"Yes")</f>
        <v>Yes</v>
      </c>
      <c r="V2637" s="8" t="str">
        <f ca="1">IFERROR(__xludf.DUMMYFUNCTION("""COMPUTED_VALUE"""),"School Start")</f>
        <v>School Start</v>
      </c>
      <c r="W2637" s="8"/>
      <c r="X2637" s="8"/>
      <c r="Y2637" s="12" t="str">
        <f ca="1">IFERROR(__xludf.DUMMYFUNCTION("""COMPUTED_VALUE"""),"Ex-school athlete shot teacher in school parking lot")</f>
        <v>Ex-school athlete shot teacher in school parking lot</v>
      </c>
      <c r="Z2637" s="12" t="str">
        <f ca="1">IFERROR(__xludf.DUMMYFUNCTION("""COMPUTED_VALUE"""),"Shooter confronted woman in 7-11 parking lot, shot her several times, then stole her vehicle. Shooter then drove to middle school where he confronted victim #2, shot her several time in the school parking lot. After shooting, shooter, picked up victim #2'"&amp;"s body and placed into the back seat of her vehicle. Shooter then drove away and was later arrested. Motive remained unknown - possible mental health issue.")</f>
        <v>Shooter confronted woman in 7-11 parking lot, shot her several times, then stole her vehicle. Shooter then drove to middle school where he confronted victim #2, shot her several time in the school parking lot. After shooting, shooter, picked up victim #2's body and placed into the back seat of her vehicle. Shooter then drove away and was later arrested. Motive remained unknown - possible mental health issue.</v>
      </c>
      <c r="AA2637" s="8" t="str">
        <f ca="1">IFERROR(__xludf.DUMMYFUNCTION("""COMPUTED_VALUE"""),"Psychosis")</f>
        <v>Psychosis</v>
      </c>
      <c r="AB2637" s="8"/>
      <c r="AC2637" s="8"/>
      <c r="AD2637" s="8" t="str">
        <f ca="1">IFERROR(__xludf.DUMMYFUNCTION("""COMPUTED_VALUE"""),"Victims Targeted")</f>
        <v>Victims Targeted</v>
      </c>
      <c r="AE2637" s="8" t="str">
        <f ca="1">IFERROR(__xludf.DUMMYFUNCTION("""COMPUTED_VALUE"""),"No")</f>
        <v>No</v>
      </c>
      <c r="AF2637" s="8"/>
      <c r="AG2637" s="8" t="str">
        <f ca="1">IFERROR(__xludf.DUMMYFUNCTION("""COMPUTED_VALUE"""),"No")</f>
        <v>No</v>
      </c>
      <c r="AH2637" s="8" t="str">
        <f ca="1">IFERROR(__xludf.DUMMYFUNCTION("""COMPUTED_VALUE"""),"No")</f>
        <v>No</v>
      </c>
      <c r="AI2637" s="8" t="str">
        <f ca="1">IFERROR(__xludf.DUMMYFUNCTION("""COMPUTED_VALUE"""),"No")</f>
        <v>No</v>
      </c>
      <c r="AJ2637" s="8" t="str">
        <f ca="1">IFERROR(__xludf.DUMMYFUNCTION("""COMPUTED_VALUE"""),"No")</f>
        <v>No</v>
      </c>
      <c r="AK2637" s="8" t="str">
        <f ca="1">IFERROR(__xludf.DUMMYFUNCTION("""COMPUTED_VALUE"""),"No")</f>
        <v>No</v>
      </c>
      <c r="AL2637" s="8" t="str">
        <f ca="1">IFERROR(__xludf.DUMMYFUNCTION("""COMPUTED_VALUE"""),"No")</f>
        <v>No</v>
      </c>
      <c r="AM2637" s="8" t="str">
        <f ca="1">IFERROR(__xludf.DUMMYFUNCTION("""COMPUTED_VALUE"""),"No")</f>
        <v>No</v>
      </c>
      <c r="AN2637" s="8"/>
      <c r="AO2637" s="8" t="str">
        <f ca="1">IFERROR(__xludf.DUMMYFUNCTION("""COMPUTED_VALUE"""),"No")</f>
        <v>No</v>
      </c>
      <c r="AP2637" s="8"/>
      <c r="AQ2637" s="8" t="str">
        <f ca="1">IFERROR(__xludf.DUMMYFUNCTION("""COMPUTED_VALUE"""),"Unknown")</f>
        <v>Unknown</v>
      </c>
      <c r="AR2637" s="8" t="str">
        <f ca="1">IFERROR(__xludf.DUMMYFUNCTION("""COMPUTED_VALUE"""),"NA")</f>
        <v>NA</v>
      </c>
      <c r="AS2637" s="8">
        <f ca="1">IFERROR(__xludf.DUMMYFUNCTION("""COMPUTED_VALUE"""),1)</f>
        <v>1</v>
      </c>
      <c r="AT2637" s="8"/>
      <c r="AU2637" s="8">
        <f ca="1">IFERROR(__xludf.DUMMYFUNCTION("""COMPUTED_VALUE"""),37.163431)</f>
        <v>37.163431000000003</v>
      </c>
      <c r="AV2637" s="8">
        <f ca="1">IFERROR(__xludf.DUMMYFUNCTION("""COMPUTED_VALUE"""),-76.552237)</f>
        <v>-76.552237000000005</v>
      </c>
      <c r="AW2637" s="8"/>
      <c r="AX2637" s="8">
        <f ca="1">IFERROR(__xludf.DUMMYFUNCTION("""COMPUTED_VALUE"""),23608)</f>
        <v>23608</v>
      </c>
    </row>
    <row r="2638" spans="1:50" ht="15" x14ac:dyDescent="0.2">
      <c r="A2638" s="8" t="str">
        <f ca="1">IFERROR(__xludf.DUMMYFUNCTION("""COMPUTED_VALUE"""),"19930226MAGLG")</f>
        <v>19930226MAGLG</v>
      </c>
      <c r="B2638" s="8">
        <f ca="1">IFERROR(__xludf.DUMMYFUNCTION("""COMPUTED_VALUE"""),2)</f>
        <v>2</v>
      </c>
      <c r="C2638" s="8">
        <f ca="1">IFERROR(__xludf.DUMMYFUNCTION("""COMPUTED_VALUE"""),26)</f>
        <v>26</v>
      </c>
      <c r="D2638" s="8">
        <f ca="1">IFERROR(__xludf.DUMMYFUNCTION("""COMPUTED_VALUE"""),1993)</f>
        <v>1993</v>
      </c>
      <c r="E2638" s="9">
        <f ca="1">IFERROR(__xludf.DUMMYFUNCTION("""COMPUTED_VALUE"""),34026)</f>
        <v>34026</v>
      </c>
      <c r="F2638" s="8" t="str">
        <f ca="1">IFERROR(__xludf.DUMMYFUNCTION("""COMPUTED_VALUE"""),"Gloucester High School")</f>
        <v>Gloucester High School</v>
      </c>
      <c r="G2638" s="8">
        <f ca="1">IFERROR(__xludf.DUMMYFUNCTION("""COMPUTED_VALUE"""),0)</f>
        <v>0</v>
      </c>
      <c r="H2638" s="8">
        <f ca="1">IFERROR(__xludf.DUMMYFUNCTION("""COMPUTED_VALUE"""),0)</f>
        <v>0</v>
      </c>
      <c r="I2638" s="8">
        <f ca="1">IFERROR(__xludf.DUMMYFUNCTION("""COMPUTED_VALUE"""),0)</f>
        <v>0</v>
      </c>
      <c r="J2638" s="8">
        <f ca="1">IFERROR(__xludf.DUMMYFUNCTION("""COMPUTED_VALUE"""),1)</f>
        <v>1</v>
      </c>
      <c r="K2638" s="10" t="str">
        <f ca="1">IFERROR(__xludf.DUMMYFUNCTION("""COMPUTED_VALUE"""),"https://www.highbeam.com/doc/1P2-8216829.html")</f>
        <v>https://www.highbeam.com/doc/1P2-8216829.html</v>
      </c>
      <c r="L2638" s="8"/>
      <c r="M2638" s="8"/>
      <c r="N2638" s="8">
        <f ca="1">IFERROR(__xludf.DUMMYFUNCTION("""COMPUTED_VALUE"""),2)</f>
        <v>2</v>
      </c>
      <c r="O2638" s="8" t="str">
        <f ca="1">IFERROR(__xludf.DUMMYFUNCTION("""COMPUTED_VALUE"""),"Winter")</f>
        <v>Winter</v>
      </c>
      <c r="P2638" s="8" t="str">
        <f ca="1">IFERROR(__xludf.DUMMYFUNCTION("""COMPUTED_VALUE"""),"Gloucester")</f>
        <v>Gloucester</v>
      </c>
      <c r="Q2638" s="8" t="str">
        <f ca="1">IFERROR(__xludf.DUMMYFUNCTION("""COMPUTED_VALUE"""),"MA")</f>
        <v>MA</v>
      </c>
      <c r="R2638" s="8" t="str">
        <f ca="1">IFERROR(__xludf.DUMMYFUNCTION("""COMPUTED_VALUE"""),"High")</f>
        <v>High</v>
      </c>
      <c r="S2638" s="8" t="str">
        <f ca="1">IFERROR(__xludf.DUMMYFUNCTION("""COMPUTED_VALUE"""),"Cafeteria")</f>
        <v>Cafeteria</v>
      </c>
      <c r="T2638" s="8" t="str">
        <f ca="1">IFERROR(__xludf.DUMMYFUNCTION("""COMPUTED_VALUE"""),"Inside School Building")</f>
        <v>Inside School Building</v>
      </c>
      <c r="U2638" s="8" t="str">
        <f ca="1">IFERROR(__xludf.DUMMYFUNCTION("""COMPUTED_VALUE"""),"Yes")</f>
        <v>Yes</v>
      </c>
      <c r="V2638" s="8" t="str">
        <f ca="1">IFERROR(__xludf.DUMMYFUNCTION("""COMPUTED_VALUE"""),"Lunch")</f>
        <v>Lunch</v>
      </c>
      <c r="W2638" s="8"/>
      <c r="X2638" s="8">
        <f ca="1">IFERROR(__xludf.DUMMYFUNCTION("""COMPUTED_VALUE"""),1)</f>
        <v>1</v>
      </c>
      <c r="Y2638" s="12" t="str">
        <f ca="1">IFERROR(__xludf.DUMMYFUNCTION("""COMPUTED_VALUE"""),"Suicide in cafeteria")</f>
        <v>Suicide in cafeteria</v>
      </c>
      <c r="Z2638" s="12" t="str">
        <f ca="1">IFERROR(__xludf.DUMMYFUNCTION("""COMPUTED_VALUE"""),"15YOM student commit suicide in cafeteria.")</f>
        <v>15YOM student commit suicide in cafeteria.</v>
      </c>
      <c r="AA2638" s="8" t="str">
        <f ca="1">IFERROR(__xludf.DUMMYFUNCTION("""COMPUTED_VALUE"""),"Suicide/Attempted")</f>
        <v>Suicide/Attempted</v>
      </c>
      <c r="AB2638" s="8"/>
      <c r="AC2638" s="8"/>
      <c r="AD2638" s="8" t="str">
        <f ca="1">IFERROR(__xludf.DUMMYFUNCTION("""COMPUTED_VALUE"""),"Victims Targeted")</f>
        <v>Victims Targeted</v>
      </c>
      <c r="AE2638" s="8" t="str">
        <f ca="1">IFERROR(__xludf.DUMMYFUNCTION("""COMPUTED_VALUE"""),"No")</f>
        <v>No</v>
      </c>
      <c r="AF2638" s="8"/>
      <c r="AG2638" s="8" t="str">
        <f ca="1">IFERROR(__xludf.DUMMYFUNCTION("""COMPUTED_VALUE"""),"No")</f>
        <v>No</v>
      </c>
      <c r="AH2638" s="8" t="str">
        <f ca="1">IFERROR(__xludf.DUMMYFUNCTION("""COMPUTED_VALUE"""),"No")</f>
        <v>No</v>
      </c>
      <c r="AI2638" s="8" t="str">
        <f ca="1">IFERROR(__xludf.DUMMYFUNCTION("""COMPUTED_VALUE"""),"No")</f>
        <v>No</v>
      </c>
      <c r="AJ2638" s="8" t="str">
        <f ca="1">IFERROR(__xludf.DUMMYFUNCTION("""COMPUTED_VALUE"""),"No")</f>
        <v>No</v>
      </c>
      <c r="AK2638" s="8" t="str">
        <f ca="1">IFERROR(__xludf.DUMMYFUNCTION("""COMPUTED_VALUE"""),"No")</f>
        <v>No</v>
      </c>
      <c r="AL2638" s="8" t="str">
        <f ca="1">IFERROR(__xludf.DUMMYFUNCTION("""COMPUTED_VALUE"""),"No")</f>
        <v>No</v>
      </c>
      <c r="AM2638" s="8"/>
      <c r="AN2638" s="8"/>
      <c r="AO2638" s="8" t="str">
        <f ca="1">IFERROR(__xludf.DUMMYFUNCTION("""COMPUTED_VALUE"""),"No")</f>
        <v>No</v>
      </c>
      <c r="AP2638" s="8"/>
      <c r="AQ2638" s="8" t="str">
        <f ca="1">IFERROR(__xludf.DUMMYFUNCTION("""COMPUTED_VALUE"""),"Unknown")</f>
        <v>Unknown</v>
      </c>
      <c r="AR2638" s="8" t="str">
        <f ca="1">IFERROR(__xludf.DUMMYFUNCTION("""COMPUTED_VALUE"""),"NA")</f>
        <v>NA</v>
      </c>
      <c r="AS2638" s="8">
        <f ca="1">IFERROR(__xludf.DUMMYFUNCTION("""COMPUTED_VALUE"""),1)</f>
        <v>1</v>
      </c>
      <c r="AT2638" s="8"/>
      <c r="AU2638" s="8">
        <f ca="1">IFERROR(__xludf.DUMMYFUNCTION("""COMPUTED_VALUE"""),42.613371)</f>
        <v>42.613371000000001</v>
      </c>
      <c r="AV2638" s="8">
        <f ca="1">IFERROR(__xludf.DUMMYFUNCTION("""COMPUTED_VALUE"""),-70.675962)</f>
        <v>-70.675961999999998</v>
      </c>
      <c r="AW2638" s="8"/>
      <c r="AX2638" s="8">
        <f ca="1">IFERROR(__xludf.DUMMYFUNCTION("""COMPUTED_VALUE"""),1930)</f>
        <v>1930</v>
      </c>
    </row>
    <row r="2639" spans="1:50" ht="60" x14ac:dyDescent="0.2">
      <c r="A2639" s="8" t="str">
        <f ca="1">IFERROR(__xludf.DUMMYFUNCTION("""COMPUTED_VALUE"""),"19930222CAREL")</f>
        <v>19930222CAREL</v>
      </c>
      <c r="B2639" s="8">
        <f ca="1">IFERROR(__xludf.DUMMYFUNCTION("""COMPUTED_VALUE"""),2)</f>
        <v>2</v>
      </c>
      <c r="C2639" s="8">
        <f ca="1">IFERROR(__xludf.DUMMYFUNCTION("""COMPUTED_VALUE"""),22)</f>
        <v>22</v>
      </c>
      <c r="D2639" s="8">
        <f ca="1">IFERROR(__xludf.DUMMYFUNCTION("""COMPUTED_VALUE"""),1993)</f>
        <v>1993</v>
      </c>
      <c r="E2639" s="9">
        <f ca="1">IFERROR(__xludf.DUMMYFUNCTION("""COMPUTED_VALUE"""),34022)</f>
        <v>34022</v>
      </c>
      <c r="F2639" s="8" t="str">
        <f ca="1">IFERROR(__xludf.DUMMYFUNCTION("""COMPUTED_VALUE"""),"Reseda High School")</f>
        <v>Reseda High School</v>
      </c>
      <c r="G2639" s="8">
        <f ca="1">IFERROR(__xludf.DUMMYFUNCTION("""COMPUTED_VALUE"""),1)</f>
        <v>1</v>
      </c>
      <c r="H2639" s="8">
        <f ca="1">IFERROR(__xludf.DUMMYFUNCTION("""COMPUTED_VALUE"""),0)</f>
        <v>0</v>
      </c>
      <c r="I2639" s="8">
        <f ca="1">IFERROR(__xludf.DUMMYFUNCTION("""COMPUTED_VALUE"""),1)</f>
        <v>1</v>
      </c>
      <c r="J2639" s="8">
        <f ca="1">IFERROR(__xludf.DUMMYFUNCTION("""COMPUTED_VALUE"""),0)</f>
        <v>0</v>
      </c>
      <c r="K2639" s="8" t="str">
        <f ca="1">IFERROR(__xludf.DUMMYFUNCTION("""COMPUTED_VALUE"""),"https://www.newspapers.com/image/712126935/?terms=shot%20at%20school&amp;match=1 http://articles.latimes.com/1993-02-24/local/me-483_1_reseda-high-school    https://www.newspapers.com/image/439677871/?terms=monadnock%2Bhigh%2Bschool%2Bshooting")</f>
        <v>https://www.newspapers.com/image/712126935/?terms=shot%20at%20school&amp;match=1 http://articles.latimes.com/1993-02-24/local/me-483_1_reseda-high-school    https://www.newspapers.com/image/439677871/?terms=monadnock%2Bhigh%2Bschool%2Bshooting</v>
      </c>
      <c r="L2639" s="8"/>
      <c r="M2639" s="8" t="str">
        <f ca="1">IFERROR(__xludf.DUMMYFUNCTION("""COMPUTED_VALUE"""),"Regional")</f>
        <v>Regional</v>
      </c>
      <c r="N2639" s="8">
        <f ca="1">IFERROR(__xludf.DUMMYFUNCTION("""COMPUTED_VALUE"""),4)</f>
        <v>4</v>
      </c>
      <c r="O2639" s="8" t="str">
        <f ca="1">IFERROR(__xludf.DUMMYFUNCTION("""COMPUTED_VALUE"""),"Winter")</f>
        <v>Winter</v>
      </c>
      <c r="P2639" s="8" t="str">
        <f ca="1">IFERROR(__xludf.DUMMYFUNCTION("""COMPUTED_VALUE"""),"Los Angeles")</f>
        <v>Los Angeles</v>
      </c>
      <c r="Q2639" s="8" t="str">
        <f ca="1">IFERROR(__xludf.DUMMYFUNCTION("""COMPUTED_VALUE"""),"CA")</f>
        <v>CA</v>
      </c>
      <c r="R2639" s="8" t="str">
        <f ca="1">IFERROR(__xludf.DUMMYFUNCTION("""COMPUTED_VALUE"""),"High")</f>
        <v>High</v>
      </c>
      <c r="S2639" s="8" t="str">
        <f ca="1">IFERROR(__xludf.DUMMYFUNCTION("""COMPUTED_VALUE"""),"Hallway")</f>
        <v>Hallway</v>
      </c>
      <c r="T2639" s="8" t="str">
        <f ca="1">IFERROR(__xludf.DUMMYFUNCTION("""COMPUTED_VALUE"""),"Inside School Building")</f>
        <v>Inside School Building</v>
      </c>
      <c r="U2639" s="8" t="str">
        <f ca="1">IFERROR(__xludf.DUMMYFUNCTION("""COMPUTED_VALUE"""),"Yes")</f>
        <v>Yes</v>
      </c>
      <c r="V2639" s="8" t="str">
        <f ca="1">IFERROR(__xludf.DUMMYFUNCTION("""COMPUTED_VALUE"""),"Morning Classes")</f>
        <v>Morning Classes</v>
      </c>
      <c r="W2639" s="11">
        <f ca="1">IFERROR(__xludf.DUMMYFUNCTION("""COMPUTED_VALUE"""),0.416666666666666)</f>
        <v>0.41666666666666602</v>
      </c>
      <c r="X2639" s="8">
        <f ca="1">IFERROR(__xludf.DUMMYFUNCTION("""COMPUTED_VALUE"""),1)</f>
        <v>1</v>
      </c>
      <c r="Y2639" s="12" t="str">
        <f ca="1">IFERROR(__xludf.DUMMYFUNCTION("""COMPUTED_VALUE"""),"Gang related shooting in school hallway")</f>
        <v>Gang related shooting in school hallway</v>
      </c>
      <c r="Z2639" s="12" t="str">
        <f ca="1">IFERROR(__xludf.DUMMYFUNCTION("""COMPUTED_VALUE"""),"Shooter had criminal history and gang affiliation. Shot and killed a student who was a rival gang member in a dispute in the school hallway. Shooter then robbed another student at gunpoint before leaving the scene.")</f>
        <v>Shooter had criminal history and gang affiliation. Shot and killed a student who was a rival gang member in a dispute in the school hallway. Shooter then robbed another student at gunpoint before leaving the scene.</v>
      </c>
      <c r="AA2639" s="8" t="str">
        <f ca="1">IFERROR(__xludf.DUMMYFUNCTION("""COMPUTED_VALUE"""),"Escalation of Dispute")</f>
        <v>Escalation of Dispute</v>
      </c>
      <c r="AB2639" s="8"/>
      <c r="AC2639" s="8"/>
      <c r="AD2639" s="8" t="str">
        <f ca="1">IFERROR(__xludf.DUMMYFUNCTION("""COMPUTED_VALUE"""),"Victims Targeted")</f>
        <v>Victims Targeted</v>
      </c>
      <c r="AE2639" s="8" t="str">
        <f ca="1">IFERROR(__xludf.DUMMYFUNCTION("""COMPUTED_VALUE"""),"No")</f>
        <v>No</v>
      </c>
      <c r="AF2639" s="8"/>
      <c r="AG2639" s="8" t="str">
        <f ca="1">IFERROR(__xludf.DUMMYFUNCTION("""COMPUTED_VALUE"""),"No")</f>
        <v>No</v>
      </c>
      <c r="AH2639" s="8" t="str">
        <f ca="1">IFERROR(__xludf.DUMMYFUNCTION("""COMPUTED_VALUE"""),"No")</f>
        <v>No</v>
      </c>
      <c r="AI2639" s="8" t="str">
        <f ca="1">IFERROR(__xludf.DUMMYFUNCTION("""COMPUTED_VALUE"""),"No")</f>
        <v>No</v>
      </c>
      <c r="AJ2639" s="8" t="str">
        <f ca="1">IFERROR(__xludf.DUMMYFUNCTION("""COMPUTED_VALUE"""),"No")</f>
        <v>No</v>
      </c>
      <c r="AK2639" s="8" t="str">
        <f ca="1">IFERROR(__xludf.DUMMYFUNCTION("""COMPUTED_VALUE"""),"No")</f>
        <v>No</v>
      </c>
      <c r="AL2639" s="8" t="str">
        <f ca="1">IFERROR(__xludf.DUMMYFUNCTION("""COMPUTED_VALUE"""),"Yes")</f>
        <v>Yes</v>
      </c>
      <c r="AM2639" s="8" t="str">
        <f ca="1">IFERROR(__xludf.DUMMYFUNCTION("""COMPUTED_VALUE"""),"No")</f>
        <v>No</v>
      </c>
      <c r="AN2639" s="8"/>
      <c r="AO2639" s="8" t="str">
        <f ca="1">IFERROR(__xludf.DUMMYFUNCTION("""COMPUTED_VALUE"""),"No")</f>
        <v>No</v>
      </c>
      <c r="AP2639" s="8"/>
      <c r="AQ2639" s="8" t="str">
        <f ca="1">IFERROR(__xludf.DUMMYFUNCTION("""COMPUTED_VALUE"""),"Unknown")</f>
        <v>Unknown</v>
      </c>
      <c r="AR2639" s="8" t="str">
        <f ca="1">IFERROR(__xludf.DUMMYFUNCTION("""COMPUTED_VALUE"""),"NA")</f>
        <v>NA</v>
      </c>
      <c r="AS2639" s="8"/>
      <c r="AT2639" s="8"/>
      <c r="AU2639" s="8">
        <f ca="1">IFERROR(__xludf.DUMMYFUNCTION("""COMPUTED_VALUE"""),34.18983)</f>
        <v>34.189830000000001</v>
      </c>
      <c r="AV2639" s="8">
        <f ca="1">IFERROR(__xludf.DUMMYFUNCTION("""COMPUTED_VALUE"""),-118.530423)</f>
        <v>-118.530423</v>
      </c>
      <c r="AW2639" s="8"/>
      <c r="AX2639" s="8">
        <f ca="1">IFERROR(__xludf.DUMMYFUNCTION("""COMPUTED_VALUE"""),91335)</f>
        <v>91335</v>
      </c>
    </row>
    <row r="2640" spans="1:50" ht="30" x14ac:dyDescent="0.2">
      <c r="A2640" s="8" t="str">
        <f ca="1">IFERROR(__xludf.DUMMYFUNCTION("""COMPUTED_VALUE"""),"19930208MNMIM")</f>
        <v>19930208MNMIM</v>
      </c>
      <c r="B2640" s="8">
        <f ca="1">IFERROR(__xludf.DUMMYFUNCTION("""COMPUTED_VALUE"""),2)</f>
        <v>2</v>
      </c>
      <c r="C2640" s="8">
        <f ca="1">IFERROR(__xludf.DUMMYFUNCTION("""COMPUTED_VALUE"""),8)</f>
        <v>8</v>
      </c>
      <c r="D2640" s="8">
        <f ca="1">IFERROR(__xludf.DUMMYFUNCTION("""COMPUTED_VALUE"""),1993)</f>
        <v>1993</v>
      </c>
      <c r="E2640" s="9">
        <f ca="1">IFERROR(__xludf.DUMMYFUNCTION("""COMPUTED_VALUE"""),34008)</f>
        <v>34008</v>
      </c>
      <c r="F2640" s="8" t="str">
        <f ca="1">IFERROR(__xludf.DUMMYFUNCTION("""COMPUTED_VALUE"""),"Middle River Middle School")</f>
        <v>Middle River Middle School</v>
      </c>
      <c r="G2640" s="8">
        <f ca="1">IFERROR(__xludf.DUMMYFUNCTION("""COMPUTED_VALUE"""),0)</f>
        <v>0</v>
      </c>
      <c r="H2640" s="8">
        <f ca="1">IFERROR(__xludf.DUMMYFUNCTION("""COMPUTED_VALUE"""),0)</f>
        <v>0</v>
      </c>
      <c r="I2640" s="8">
        <f ca="1">IFERROR(__xludf.DUMMYFUNCTION("""COMPUTED_VALUE"""),0)</f>
        <v>0</v>
      </c>
      <c r="J2640" s="8">
        <f ca="1">IFERROR(__xludf.DUMMYFUNCTION("""COMPUTED_VALUE"""),1)</f>
        <v>1</v>
      </c>
      <c r="K2640" s="10" t="str">
        <f ca="1">IFERROR(__xludf.DUMMYFUNCTION("""COMPUTED_VALUE"""),"https://mnmarshallus.genweb.io/people/obituaries/melby-eric-john-1979-1993/")</f>
        <v>https://mnmarshallus.genweb.io/people/obituaries/melby-eric-john-1979-1993/</v>
      </c>
      <c r="L2640" s="8"/>
      <c r="M2640" s="8"/>
      <c r="N2640" s="8">
        <f ca="1">IFERROR(__xludf.DUMMYFUNCTION("""COMPUTED_VALUE"""),2)</f>
        <v>2</v>
      </c>
      <c r="O2640" s="8" t="str">
        <f ca="1">IFERROR(__xludf.DUMMYFUNCTION("""COMPUTED_VALUE"""),"Winter")</f>
        <v>Winter</v>
      </c>
      <c r="P2640" s="8" t="str">
        <f ca="1">IFERROR(__xludf.DUMMYFUNCTION("""COMPUTED_VALUE"""),"Middle River")</f>
        <v>Middle River</v>
      </c>
      <c r="Q2640" s="8" t="str">
        <f ca="1">IFERROR(__xludf.DUMMYFUNCTION("""COMPUTED_VALUE"""),"MN")</f>
        <v>MN</v>
      </c>
      <c r="R2640" s="8" t="str">
        <f ca="1">IFERROR(__xludf.DUMMYFUNCTION("""COMPUTED_VALUE"""),"Middle")</f>
        <v>Middle</v>
      </c>
      <c r="S2640" s="8" t="str">
        <f ca="1">IFERROR(__xludf.DUMMYFUNCTION("""COMPUTED_VALUE"""),"Classroom")</f>
        <v>Classroom</v>
      </c>
      <c r="T2640" s="8" t="str">
        <f ca="1">IFERROR(__xludf.DUMMYFUNCTION("""COMPUTED_VALUE"""),"Inside School Building")</f>
        <v>Inside School Building</v>
      </c>
      <c r="U2640" s="8" t="str">
        <f ca="1">IFERROR(__xludf.DUMMYFUNCTION("""COMPUTED_VALUE"""),"Yes")</f>
        <v>Yes</v>
      </c>
      <c r="V2640" s="8"/>
      <c r="W2640" s="8"/>
      <c r="X2640" s="8">
        <f ca="1">IFERROR(__xludf.DUMMYFUNCTION("""COMPUTED_VALUE"""),1)</f>
        <v>1</v>
      </c>
      <c r="Y2640" s="12" t="str">
        <f ca="1">IFERROR(__xludf.DUMMYFUNCTION("""COMPUTED_VALUE"""),"Shot self in classroom")</f>
        <v>Shot self in classroom</v>
      </c>
      <c r="Z2640" s="12" t="str">
        <f ca="1">IFERROR(__xludf.DUMMYFUNCTION("""COMPUTED_VALUE"""),"14YOM shot self in classroom.")</f>
        <v>14YOM shot self in classroom.</v>
      </c>
      <c r="AA2640" s="8" t="str">
        <f ca="1">IFERROR(__xludf.DUMMYFUNCTION("""COMPUTED_VALUE"""),"Suicide/Attempted")</f>
        <v>Suicide/Attempted</v>
      </c>
      <c r="AB2640" s="8"/>
      <c r="AC2640" s="8"/>
      <c r="AD2640" s="8" t="str">
        <f ca="1">IFERROR(__xludf.DUMMYFUNCTION("""COMPUTED_VALUE"""),"Victims Targeted")</f>
        <v>Victims Targeted</v>
      </c>
      <c r="AE2640" s="8" t="str">
        <f ca="1">IFERROR(__xludf.DUMMYFUNCTION("""COMPUTED_VALUE"""),"No")</f>
        <v>No</v>
      </c>
      <c r="AF2640" s="8"/>
      <c r="AG2640" s="8" t="str">
        <f ca="1">IFERROR(__xludf.DUMMYFUNCTION("""COMPUTED_VALUE"""),"No")</f>
        <v>No</v>
      </c>
      <c r="AH2640" s="8" t="str">
        <f ca="1">IFERROR(__xludf.DUMMYFUNCTION("""COMPUTED_VALUE"""),"No")</f>
        <v>No</v>
      </c>
      <c r="AI2640" s="8" t="str">
        <f ca="1">IFERROR(__xludf.DUMMYFUNCTION("""COMPUTED_VALUE"""),"No")</f>
        <v>No</v>
      </c>
      <c r="AJ2640" s="8"/>
      <c r="AK2640" s="8" t="str">
        <f ca="1">IFERROR(__xludf.DUMMYFUNCTION("""COMPUTED_VALUE"""),"No")</f>
        <v>No</v>
      </c>
      <c r="AL2640" s="8" t="str">
        <f ca="1">IFERROR(__xludf.DUMMYFUNCTION("""COMPUTED_VALUE"""),"No")</f>
        <v>No</v>
      </c>
      <c r="AM2640" s="8"/>
      <c r="AN2640" s="8"/>
      <c r="AO2640" s="8" t="str">
        <f ca="1">IFERROR(__xludf.DUMMYFUNCTION("""COMPUTED_VALUE"""),"No")</f>
        <v>No</v>
      </c>
      <c r="AP2640" s="8"/>
      <c r="AQ2640" s="8" t="str">
        <f ca="1">IFERROR(__xludf.DUMMYFUNCTION("""COMPUTED_VALUE"""),"Unknown")</f>
        <v>Unknown</v>
      </c>
      <c r="AR2640" s="8" t="str">
        <f ca="1">IFERROR(__xludf.DUMMYFUNCTION("""COMPUTED_VALUE"""),"NA")</f>
        <v>NA</v>
      </c>
      <c r="AS2640" s="8">
        <f ca="1">IFERROR(__xludf.DUMMYFUNCTION("""COMPUTED_VALUE"""),1)</f>
        <v>1</v>
      </c>
      <c r="AT2640" s="8"/>
      <c r="AU2640" s="8">
        <f ca="1">IFERROR(__xludf.DUMMYFUNCTION("""COMPUTED_VALUE"""),48.696079)</f>
        <v>48.696078999999997</v>
      </c>
      <c r="AV2640" s="8">
        <f ca="1">IFERROR(__xludf.DUMMYFUNCTION("""COMPUTED_VALUE"""),-96.183646)</f>
        <v>-96.183645999999996</v>
      </c>
      <c r="AW2640" s="8"/>
      <c r="AX2640" s="8">
        <f ca="1">IFERROR(__xludf.DUMMYFUNCTION("""COMPUTED_VALUE"""),56726)</f>
        <v>56726</v>
      </c>
    </row>
    <row r="2641" spans="1:50" ht="60" x14ac:dyDescent="0.2">
      <c r="A2641" s="8" t="str">
        <f ca="1">IFERROR(__xludf.DUMMYFUNCTION("""COMPUTED_VALUE"""),"19930208DCWAW")</f>
        <v>19930208DCWAW</v>
      </c>
      <c r="B2641" s="8">
        <f ca="1">IFERROR(__xludf.DUMMYFUNCTION("""COMPUTED_VALUE"""),2)</f>
        <v>2</v>
      </c>
      <c r="C2641" s="8">
        <f ca="1">IFERROR(__xludf.DUMMYFUNCTION("""COMPUTED_VALUE"""),8)</f>
        <v>8</v>
      </c>
      <c r="D2641" s="8">
        <f ca="1">IFERROR(__xludf.DUMMYFUNCTION("""COMPUTED_VALUE"""),1993)</f>
        <v>1993</v>
      </c>
      <c r="E2641" s="9">
        <f ca="1">IFERROR(__xludf.DUMMYFUNCTION("""COMPUTED_VALUE"""),34008)</f>
        <v>34008</v>
      </c>
      <c r="F2641" s="8" t="str">
        <f ca="1">IFERROR(__xludf.DUMMYFUNCTION("""COMPUTED_VALUE"""),"Washington-Dix Street Academy (High School)")</f>
        <v>Washington-Dix Street Academy (High School)</v>
      </c>
      <c r="G2641" s="8">
        <f ca="1">IFERROR(__xludf.DUMMYFUNCTION("""COMPUTED_VALUE"""),1)</f>
        <v>1</v>
      </c>
      <c r="H2641" s="8">
        <f ca="1">IFERROR(__xludf.DUMMYFUNCTION("""COMPUTED_VALUE"""),0)</f>
        <v>0</v>
      </c>
      <c r="I2641" s="8">
        <f ca="1">IFERROR(__xludf.DUMMYFUNCTION("""COMPUTED_VALUE"""),1)</f>
        <v>1</v>
      </c>
      <c r="J2641" s="8">
        <f ca="1">IFERROR(__xludf.DUMMYFUNCTION("""COMPUTED_VALUE"""),0)</f>
        <v>0</v>
      </c>
      <c r="K2641" s="8" t="str">
        <f ca="1">IFERROR(__xludf.DUMMYFUNCTION("""COMPUTED_VALUE"""),"Washington Post - D.C. Student is Shot Dead at School; https://www.columbine-angels.com/School_Violence_1992-1993.htm")</f>
        <v>Washington Post - D.C. Student is Shot Dead at School; https://www.columbine-angels.com/School_Violence_1992-1993.htm</v>
      </c>
      <c r="L2641" s="8"/>
      <c r="M2641" s="8"/>
      <c r="N2641" s="8">
        <f ca="1">IFERROR(__xludf.DUMMYFUNCTION("""COMPUTED_VALUE"""),1)</f>
        <v>1</v>
      </c>
      <c r="O2641" s="8" t="str">
        <f ca="1">IFERROR(__xludf.DUMMYFUNCTION("""COMPUTED_VALUE"""),"Winter")</f>
        <v>Winter</v>
      </c>
      <c r="P2641" s="8" t="str">
        <f ca="1">IFERROR(__xludf.DUMMYFUNCTION("""COMPUTED_VALUE"""),"Washington")</f>
        <v>Washington</v>
      </c>
      <c r="Q2641" s="8" t="str">
        <f ca="1">IFERROR(__xludf.DUMMYFUNCTION("""COMPUTED_VALUE"""),"DC")</f>
        <v>DC</v>
      </c>
      <c r="R2641" s="8" t="str">
        <f ca="1">IFERROR(__xludf.DUMMYFUNCTION("""COMPUTED_VALUE"""),"High")</f>
        <v>High</v>
      </c>
      <c r="S2641" s="8" t="str">
        <f ca="1">IFERROR(__xludf.DUMMYFUNCTION("""COMPUTED_VALUE"""),"Hallway")</f>
        <v>Hallway</v>
      </c>
      <c r="T2641" s="8" t="str">
        <f ca="1">IFERROR(__xludf.DUMMYFUNCTION("""COMPUTED_VALUE"""),"Inside School Building")</f>
        <v>Inside School Building</v>
      </c>
      <c r="U2641" s="8" t="str">
        <f ca="1">IFERROR(__xludf.DUMMYFUNCTION("""COMPUTED_VALUE"""),"Yes")</f>
        <v>Yes</v>
      </c>
      <c r="V2641" s="8" t="str">
        <f ca="1">IFERROR(__xludf.DUMMYFUNCTION("""COMPUTED_VALUE"""),"Morning Classes")</f>
        <v>Morning Classes</v>
      </c>
      <c r="W2641" s="11">
        <f ca="1">IFERROR(__xludf.DUMMYFUNCTION("""COMPUTED_VALUE"""),0.458333333333333)</f>
        <v>0.45833333333333298</v>
      </c>
      <c r="X2641" s="8">
        <f ca="1">IFERROR(__xludf.DUMMYFUNCTION("""COMPUTED_VALUE"""),1)</f>
        <v>1</v>
      </c>
      <c r="Y2641" s="12" t="str">
        <f ca="1">IFERROR(__xludf.DUMMYFUNCTION("""COMPUTED_VALUE"""),"Shot during robbery")</f>
        <v>Shot during robbery</v>
      </c>
      <c r="Z2641" s="12" t="str">
        <f ca="1">IFERROR(__xludf.DUMMYFUNCTION("""COMPUTED_VALUE"""),"Janitor heard gunshot, looked around but didn't see anything. Later 21YOM student was found dead in hallway by janitor. Victims pockets were turned inside out. No suspect identified.")</f>
        <v>Janitor heard gunshot, looked around but didn't see anything. Later 21YOM student was found dead in hallway by janitor. Victims pockets were turned inside out. No suspect identified.</v>
      </c>
      <c r="AA2641" s="8" t="str">
        <f ca="1">IFERROR(__xludf.DUMMYFUNCTION("""COMPUTED_VALUE"""),"Illegal Activity")</f>
        <v>Illegal Activity</v>
      </c>
      <c r="AB2641" s="8"/>
      <c r="AC2641" s="8"/>
      <c r="AD2641" s="8" t="str">
        <f ca="1">IFERROR(__xludf.DUMMYFUNCTION("""COMPUTED_VALUE"""),"Victims Targeted")</f>
        <v>Victims Targeted</v>
      </c>
      <c r="AE2641" s="8" t="str">
        <f ca="1">IFERROR(__xludf.DUMMYFUNCTION("""COMPUTED_VALUE"""),"No")</f>
        <v>No</v>
      </c>
      <c r="AF2641" s="8"/>
      <c r="AG2641" s="8" t="str">
        <f ca="1">IFERROR(__xludf.DUMMYFUNCTION("""COMPUTED_VALUE"""),"No")</f>
        <v>No</v>
      </c>
      <c r="AH2641" s="8" t="str">
        <f ca="1">IFERROR(__xludf.DUMMYFUNCTION("""COMPUTED_VALUE"""),"No")</f>
        <v>No</v>
      </c>
      <c r="AI2641" s="8" t="str">
        <f ca="1">IFERROR(__xludf.DUMMYFUNCTION("""COMPUTED_VALUE"""),"No")</f>
        <v>No</v>
      </c>
      <c r="AJ2641" s="8" t="str">
        <f ca="1">IFERROR(__xludf.DUMMYFUNCTION("""COMPUTED_VALUE"""),"No")</f>
        <v>No</v>
      </c>
      <c r="AK2641" s="8" t="str">
        <f ca="1">IFERROR(__xludf.DUMMYFUNCTION("""COMPUTED_VALUE"""),"No")</f>
        <v>No</v>
      </c>
      <c r="AL2641" s="8" t="str">
        <f ca="1">IFERROR(__xludf.DUMMYFUNCTION("""COMPUTED_VALUE"""),"No")</f>
        <v>No</v>
      </c>
      <c r="AM2641" s="8"/>
      <c r="AN2641" s="8"/>
      <c r="AO2641" s="8" t="str">
        <f ca="1">IFERROR(__xludf.DUMMYFUNCTION("""COMPUTED_VALUE"""),"No")</f>
        <v>No</v>
      </c>
      <c r="AP2641" s="8"/>
      <c r="AQ2641" s="8" t="str">
        <f ca="1">IFERROR(__xludf.DUMMYFUNCTION("""COMPUTED_VALUE"""),"Unknown")</f>
        <v>Unknown</v>
      </c>
      <c r="AR2641" s="8" t="str">
        <f ca="1">IFERROR(__xludf.DUMMYFUNCTION("""COMPUTED_VALUE"""),"NA")</f>
        <v>NA</v>
      </c>
      <c r="AS2641" s="8">
        <f ca="1">IFERROR(__xludf.DUMMYFUNCTION("""COMPUTED_VALUE"""),1)</f>
        <v>1</v>
      </c>
      <c r="AT2641" s="8"/>
      <c r="AU2641" s="8">
        <f ca="1">IFERROR(__xludf.DUMMYFUNCTION("""COMPUTED_VALUE"""),38.894445)</f>
        <v>38.894444999999997</v>
      </c>
      <c r="AV2641" s="8">
        <f ca="1">IFERROR(__xludf.DUMMYFUNCTION("""COMPUTED_VALUE"""),-76.93763)</f>
        <v>-76.937629999999999</v>
      </c>
      <c r="AW2641" s="8"/>
      <c r="AX2641" s="8">
        <f ca="1">IFERROR(__xludf.DUMMYFUNCTION("""COMPUTED_VALUE"""),20019)</f>
        <v>20019</v>
      </c>
    </row>
    <row r="2642" spans="1:50" ht="60" x14ac:dyDescent="0.2">
      <c r="A2642" s="8" t="str">
        <f ca="1">IFERROR(__xludf.DUMMYFUNCTION("""COMPUTED_VALUE"""),"19930204GACLA")</f>
        <v>19930204GACLA</v>
      </c>
      <c r="B2642" s="8">
        <f ca="1">IFERROR(__xludf.DUMMYFUNCTION("""COMPUTED_VALUE"""),2)</f>
        <v>2</v>
      </c>
      <c r="C2642" s="8">
        <f ca="1">IFERROR(__xludf.DUMMYFUNCTION("""COMPUTED_VALUE"""),4)</f>
        <v>4</v>
      </c>
      <c r="D2642" s="8">
        <f ca="1">IFERROR(__xludf.DUMMYFUNCTION("""COMPUTED_VALUE"""),1993)</f>
        <v>1993</v>
      </c>
      <c r="E2642" s="9">
        <f ca="1">IFERROR(__xludf.DUMMYFUNCTION("""COMPUTED_VALUE"""),34004)</f>
        <v>34004</v>
      </c>
      <c r="F2642" s="8" t="str">
        <f ca="1">IFERROR(__xludf.DUMMYFUNCTION("""COMPUTED_VALUE"""),"Clayton High School")</f>
        <v>Clayton High School</v>
      </c>
      <c r="G2642" s="8">
        <f ca="1">IFERROR(__xludf.DUMMYFUNCTION("""COMPUTED_VALUE"""),1)</f>
        <v>1</v>
      </c>
      <c r="H2642" s="8">
        <f ca="1">IFERROR(__xludf.DUMMYFUNCTION("""COMPUTED_VALUE"""),0)</f>
        <v>0</v>
      </c>
      <c r="I2642" s="8">
        <f ca="1">IFERROR(__xludf.DUMMYFUNCTION("""COMPUTED_VALUE"""),1)</f>
        <v>1</v>
      </c>
      <c r="J2642" s="8">
        <f ca="1">IFERROR(__xludf.DUMMYFUNCTION("""COMPUTED_VALUE"""),0)</f>
        <v>0</v>
      </c>
      <c r="K2642" s="10" t="str">
        <f ca="1">IFERROR(__xludf.DUMMYFUNCTION("""COMPUTED_VALUE"""),"https://www.newspapers.com/image/402779742/?terms=North%2BClayton%2BHigh%2BSchool%2Bshooting")</f>
        <v>https://www.newspapers.com/image/402779742/?terms=North%2BClayton%2BHigh%2BSchool%2Bshooting</v>
      </c>
      <c r="L2642" s="8"/>
      <c r="M2642" s="8"/>
      <c r="N2642" s="8">
        <f ca="1">IFERROR(__xludf.DUMMYFUNCTION("""COMPUTED_VALUE"""),2)</f>
        <v>2</v>
      </c>
      <c r="O2642" s="8" t="str">
        <f ca="1">IFERROR(__xludf.DUMMYFUNCTION("""COMPUTED_VALUE"""),"Winter")</f>
        <v>Winter</v>
      </c>
      <c r="P2642" s="8" t="str">
        <f ca="1">IFERROR(__xludf.DUMMYFUNCTION("""COMPUTED_VALUE"""),"Atlanta")</f>
        <v>Atlanta</v>
      </c>
      <c r="Q2642" s="8" t="str">
        <f ca="1">IFERROR(__xludf.DUMMYFUNCTION("""COMPUTED_VALUE"""),"GA")</f>
        <v>GA</v>
      </c>
      <c r="R2642" s="8" t="str">
        <f ca="1">IFERROR(__xludf.DUMMYFUNCTION("""COMPUTED_VALUE"""),"High")</f>
        <v>High</v>
      </c>
      <c r="S2642" s="8" t="str">
        <f ca="1">IFERROR(__xludf.DUMMYFUNCTION("""COMPUTED_VALUE"""),"Parking Lot")</f>
        <v>Parking Lot</v>
      </c>
      <c r="T2642" s="8" t="str">
        <f ca="1">IFERROR(__xludf.DUMMYFUNCTION("""COMPUTED_VALUE"""),"Outside on School Property")</f>
        <v>Outside on School Property</v>
      </c>
      <c r="U2642" s="8" t="str">
        <f ca="1">IFERROR(__xludf.DUMMYFUNCTION("""COMPUTED_VALUE"""),"No")</f>
        <v>No</v>
      </c>
      <c r="V2642" s="8" t="str">
        <f ca="1">IFERROR(__xludf.DUMMYFUNCTION("""COMPUTED_VALUE"""),"After School")</f>
        <v>After School</v>
      </c>
      <c r="W2642" s="11">
        <f ca="1">IFERROR(__xludf.DUMMYFUNCTION("""COMPUTED_VALUE"""),0.645833333333333)</f>
        <v>0.64583333333333304</v>
      </c>
      <c r="X2642" s="8">
        <f ca="1">IFERROR(__xludf.DUMMYFUNCTION("""COMPUTED_VALUE"""),1)</f>
        <v>1</v>
      </c>
      <c r="Y2642" s="12" t="str">
        <f ca="1">IFERROR(__xludf.DUMMYFUNCTION("""COMPUTED_VALUE"""),"Bad blood between two non-students fighting in parking lot after school")</f>
        <v>Bad blood between two non-students fighting in parking lot after school</v>
      </c>
      <c r="Z2642" s="12" t="str">
        <f ca="1">IFERROR(__xludf.DUMMYFUNCTION("""COMPUTED_VALUE"""),"Bad blood escalated into shooting during a fight between 2 non students in the parking lot after school. 20-30 students watched the fight. Shooter surrender to school officials.")</f>
        <v>Bad blood escalated into shooting during a fight between 2 non students in the parking lot after school. 20-30 students watched the fight. Shooter surrender to school officials.</v>
      </c>
      <c r="AA2642" s="8" t="str">
        <f ca="1">IFERROR(__xludf.DUMMYFUNCTION("""COMPUTED_VALUE"""),"Escalation of Dispute")</f>
        <v>Escalation of Dispute</v>
      </c>
      <c r="AB2642" s="8"/>
      <c r="AC2642" s="8"/>
      <c r="AD2642" s="8" t="str">
        <f ca="1">IFERROR(__xludf.DUMMYFUNCTION("""COMPUTED_VALUE"""),"Victims Targeted")</f>
        <v>Victims Targeted</v>
      </c>
      <c r="AE2642" s="8"/>
      <c r="AF2642" s="8"/>
      <c r="AG2642" s="8" t="str">
        <f ca="1">IFERROR(__xludf.DUMMYFUNCTION("""COMPUTED_VALUE"""),"No")</f>
        <v>No</v>
      </c>
      <c r="AH2642" s="8" t="str">
        <f ca="1">IFERROR(__xludf.DUMMYFUNCTION("""COMPUTED_VALUE"""),"No")</f>
        <v>No</v>
      </c>
      <c r="AI2642" s="8" t="str">
        <f ca="1">IFERROR(__xludf.DUMMYFUNCTION("""COMPUTED_VALUE"""),"No")</f>
        <v>No</v>
      </c>
      <c r="AJ2642" s="8" t="str">
        <f ca="1">IFERROR(__xludf.DUMMYFUNCTION("""COMPUTED_VALUE"""),"No")</f>
        <v>No</v>
      </c>
      <c r="AK2642" s="8" t="str">
        <f ca="1">IFERROR(__xludf.DUMMYFUNCTION("""COMPUTED_VALUE"""),"No")</f>
        <v>No</v>
      </c>
      <c r="AL2642" s="8" t="str">
        <f ca="1">IFERROR(__xludf.DUMMYFUNCTION("""COMPUTED_VALUE"""),"No")</f>
        <v>No</v>
      </c>
      <c r="AM2642" s="8"/>
      <c r="AN2642" s="8"/>
      <c r="AO2642" s="8" t="str">
        <f ca="1">IFERROR(__xludf.DUMMYFUNCTION("""COMPUTED_VALUE"""),"No")</f>
        <v>No</v>
      </c>
      <c r="AP2642" s="8"/>
      <c r="AQ2642" s="8" t="str">
        <f ca="1">IFERROR(__xludf.DUMMYFUNCTION("""COMPUTED_VALUE"""),"Unknown")</f>
        <v>Unknown</v>
      </c>
      <c r="AR2642" s="8" t="str">
        <f ca="1">IFERROR(__xludf.DUMMYFUNCTION("""COMPUTED_VALUE"""),"NA")</f>
        <v>NA</v>
      </c>
      <c r="AS2642" s="8"/>
      <c r="AT2642" s="8"/>
      <c r="AU2642" s="8">
        <f ca="1">IFERROR(__xludf.DUMMYFUNCTION("""COMPUTED_VALUE"""),33.609024)</f>
        <v>33.609023999999998</v>
      </c>
      <c r="AV2642" s="8">
        <f ca="1">IFERROR(__xludf.DUMMYFUNCTION("""COMPUTED_VALUE"""),-84.439703)</f>
        <v>-84.439702999999994</v>
      </c>
      <c r="AW2642" s="8"/>
      <c r="AX2642" s="8">
        <f ca="1">IFERROR(__xludf.DUMMYFUNCTION("""COMPUTED_VALUE"""),30349)</f>
        <v>30349</v>
      </c>
    </row>
    <row r="2643" spans="1:50" ht="30" x14ac:dyDescent="0.2">
      <c r="A2643" s="8" t="str">
        <f ca="1">IFERROR(__xludf.DUMMYFUNCTION("""COMPUTED_VALUE"""),"19930203SCLEL")</f>
        <v>19930203SCLEL</v>
      </c>
      <c r="B2643" s="8">
        <f ca="1">IFERROR(__xludf.DUMMYFUNCTION("""COMPUTED_VALUE"""),2)</f>
        <v>2</v>
      </c>
      <c r="C2643" s="8">
        <f ca="1">IFERROR(__xludf.DUMMYFUNCTION("""COMPUTED_VALUE"""),3)</f>
        <v>3</v>
      </c>
      <c r="D2643" s="8">
        <f ca="1">IFERROR(__xludf.DUMMYFUNCTION("""COMPUTED_VALUE"""),1993)</f>
        <v>1993</v>
      </c>
      <c r="E2643" s="9">
        <f ca="1">IFERROR(__xludf.DUMMYFUNCTION("""COMPUTED_VALUE"""),34003)</f>
        <v>34003</v>
      </c>
      <c r="F2643" s="8" t="str">
        <f ca="1">IFERROR(__xludf.DUMMYFUNCTION("""COMPUTED_VALUE"""),"Lexington High School")</f>
        <v>Lexington High School</v>
      </c>
      <c r="G2643" s="8">
        <f ca="1">IFERROR(__xludf.DUMMYFUNCTION("""COMPUTED_VALUE"""),0)</f>
        <v>0</v>
      </c>
      <c r="H2643" s="8">
        <f ca="1">IFERROR(__xludf.DUMMYFUNCTION("""COMPUTED_VALUE"""),1)</f>
        <v>1</v>
      </c>
      <c r="I2643" s="8">
        <f ca="1">IFERROR(__xludf.DUMMYFUNCTION("""COMPUTED_VALUE"""),1)</f>
        <v>1</v>
      </c>
      <c r="J2643" s="8">
        <f ca="1">IFERROR(__xludf.DUMMYFUNCTION("""COMPUTED_VALUE"""),0)</f>
        <v>0</v>
      </c>
      <c r="K2643" s="10" t="str">
        <f ca="1">IFERROR(__xludf.DUMMYFUNCTION("""COMPUTED_VALUE"""),"https://www.newspapers.com/image/752371201/?terms=shot%20at%20school&amp;match=1")</f>
        <v>https://www.newspapers.com/image/752371201/?terms=shot%20at%20school&amp;match=1</v>
      </c>
      <c r="L2643" s="8">
        <f ca="1">IFERROR(__xludf.DUMMYFUNCTION("""COMPUTED_VALUE"""),1)</f>
        <v>1</v>
      </c>
      <c r="M2643" s="8" t="str">
        <f ca="1">IFERROR(__xludf.DUMMYFUNCTION("""COMPUTED_VALUE"""),"Regional")</f>
        <v>Regional</v>
      </c>
      <c r="N2643" s="8">
        <f ca="1">IFERROR(__xludf.DUMMYFUNCTION("""COMPUTED_VALUE"""),3)</f>
        <v>3</v>
      </c>
      <c r="O2643" s="8" t="str">
        <f ca="1">IFERROR(__xludf.DUMMYFUNCTION("""COMPUTED_VALUE"""),"Winter")</f>
        <v>Winter</v>
      </c>
      <c r="P2643" s="8" t="str">
        <f ca="1">IFERROR(__xludf.DUMMYFUNCTION("""COMPUTED_VALUE"""),"Lexington")</f>
        <v>Lexington</v>
      </c>
      <c r="Q2643" s="8" t="str">
        <f ca="1">IFERROR(__xludf.DUMMYFUNCTION("""COMPUTED_VALUE"""),"SC")</f>
        <v>SC</v>
      </c>
      <c r="R2643" s="8" t="str">
        <f ca="1">IFERROR(__xludf.DUMMYFUNCTION("""COMPUTED_VALUE"""),"High")</f>
        <v>High</v>
      </c>
      <c r="S2643" s="8" t="str">
        <f ca="1">IFERROR(__xludf.DUMMYFUNCTION("""COMPUTED_VALUE"""),"Outside on School Property")</f>
        <v>Outside on School Property</v>
      </c>
      <c r="T2643" s="8" t="str">
        <f ca="1">IFERROR(__xludf.DUMMYFUNCTION("""COMPUTED_VALUE"""),"Outside on School Property")</f>
        <v>Outside on School Property</v>
      </c>
      <c r="U2643" s="8" t="str">
        <f ca="1">IFERROR(__xludf.DUMMYFUNCTION("""COMPUTED_VALUE"""),"Yes")</f>
        <v>Yes</v>
      </c>
      <c r="V2643" s="8"/>
      <c r="W2643" s="8"/>
      <c r="X2643" s="8">
        <f ca="1">IFERROR(__xludf.DUMMYFUNCTION("""COMPUTED_VALUE"""),1)</f>
        <v>1</v>
      </c>
      <c r="Y2643" s="12" t="str">
        <f ca="1">IFERROR(__xludf.DUMMYFUNCTION("""COMPUTED_VALUE"""),"Student shot at high school")</f>
        <v>Student shot at high school</v>
      </c>
      <c r="Z2643" s="12" t="str">
        <f ca="1">IFERROR(__xludf.DUMMYFUNCTION("""COMPUTED_VALUE"""),"17-year-old male student was shot by another student at the school. Critically injured. Shooter arrested.")</f>
        <v>17-year-old male student was shot by another student at the school. Critically injured. Shooter arrested.</v>
      </c>
      <c r="AA2643" s="8" t="str">
        <f ca="1">IFERROR(__xludf.DUMMYFUNCTION("""COMPUTED_VALUE"""),"Escalation of Dispute")</f>
        <v>Escalation of Dispute</v>
      </c>
      <c r="AB2643" s="8"/>
      <c r="AC2643" s="8"/>
      <c r="AD2643" s="8" t="str">
        <f ca="1">IFERROR(__xludf.DUMMYFUNCTION("""COMPUTED_VALUE"""),"Victims Targeted")</f>
        <v>Victims Targeted</v>
      </c>
      <c r="AE2643" s="8" t="str">
        <f ca="1">IFERROR(__xludf.DUMMYFUNCTION("""COMPUTED_VALUE"""),"No")</f>
        <v>No</v>
      </c>
      <c r="AF2643" s="8"/>
      <c r="AG2643" s="8" t="str">
        <f ca="1">IFERROR(__xludf.DUMMYFUNCTION("""COMPUTED_VALUE"""),"No")</f>
        <v>No</v>
      </c>
      <c r="AH2643" s="8" t="str">
        <f ca="1">IFERROR(__xludf.DUMMYFUNCTION("""COMPUTED_VALUE"""),"No")</f>
        <v>No</v>
      </c>
      <c r="AI2643" s="8" t="str">
        <f ca="1">IFERROR(__xludf.DUMMYFUNCTION("""COMPUTED_VALUE"""),"No")</f>
        <v>No</v>
      </c>
      <c r="AJ2643" s="8" t="str">
        <f ca="1">IFERROR(__xludf.DUMMYFUNCTION("""COMPUTED_VALUE"""),"No")</f>
        <v>No</v>
      </c>
      <c r="AK2643" s="8" t="str">
        <f ca="1">IFERROR(__xludf.DUMMYFUNCTION("""COMPUTED_VALUE"""),"No")</f>
        <v>No</v>
      </c>
      <c r="AL2643" s="8"/>
      <c r="AM2643" s="8" t="str">
        <f ca="1">IFERROR(__xludf.DUMMYFUNCTION("""COMPUTED_VALUE"""),"No")</f>
        <v>No</v>
      </c>
      <c r="AN2643" s="8"/>
      <c r="AO2643" s="8" t="str">
        <f ca="1">IFERROR(__xludf.DUMMYFUNCTION("""COMPUTED_VALUE"""),"No")</f>
        <v>No</v>
      </c>
      <c r="AP2643" s="8"/>
      <c r="AQ2643" s="8"/>
      <c r="AR2643" s="8" t="str">
        <f ca="1">IFERROR(__xludf.DUMMYFUNCTION("""COMPUTED_VALUE"""),"Outside/Off-Property")</f>
        <v>Outside/Off-Property</v>
      </c>
      <c r="AS2643" s="8"/>
      <c r="AT2643" s="8"/>
      <c r="AU2643" s="8">
        <f ca="1">IFERROR(__xludf.DUMMYFUNCTION("""COMPUTED_VALUE"""),33.975629)</f>
        <v>33.975628999999998</v>
      </c>
      <c r="AV2643" s="8">
        <f ca="1">IFERROR(__xludf.DUMMYFUNCTION("""COMPUTED_VALUE"""),-81.308342)</f>
        <v>-81.308341999999996</v>
      </c>
      <c r="AW2643" s="8"/>
      <c r="AX2643" s="8">
        <f ca="1">IFERROR(__xludf.DUMMYFUNCTION("""COMPUTED_VALUE"""),29072)</f>
        <v>29072</v>
      </c>
    </row>
    <row r="2644" spans="1:50" ht="60" x14ac:dyDescent="0.2">
      <c r="A2644" s="8" t="str">
        <f ca="1">IFERROR(__xludf.DUMMYFUNCTION("""COMPUTED_VALUE"""),"19930203SCGAC")</f>
        <v>19930203SCGAC</v>
      </c>
      <c r="B2644" s="8">
        <f ca="1">IFERROR(__xludf.DUMMYFUNCTION("""COMPUTED_VALUE"""),2)</f>
        <v>2</v>
      </c>
      <c r="C2644" s="8">
        <f ca="1">IFERROR(__xludf.DUMMYFUNCTION("""COMPUTED_VALUE"""),3)</f>
        <v>3</v>
      </c>
      <c r="D2644" s="8">
        <f ca="1">IFERROR(__xludf.DUMMYFUNCTION("""COMPUTED_VALUE"""),1993)</f>
        <v>1993</v>
      </c>
      <c r="E2644" s="9">
        <f ca="1">IFERROR(__xludf.DUMMYFUNCTION("""COMPUTED_VALUE"""),34003)</f>
        <v>34003</v>
      </c>
      <c r="F2644" s="8" t="str">
        <f ca="1">IFERROR(__xludf.DUMMYFUNCTION("""COMPUTED_VALUE"""),"Garrett High School")</f>
        <v>Garrett High School</v>
      </c>
      <c r="G2644" s="8">
        <f ca="1">IFERROR(__xludf.DUMMYFUNCTION("""COMPUTED_VALUE"""),0)</f>
        <v>0</v>
      </c>
      <c r="H2644" s="8">
        <f ca="1">IFERROR(__xludf.DUMMYFUNCTION("""COMPUTED_VALUE"""),1)</f>
        <v>1</v>
      </c>
      <c r="I2644" s="8">
        <f ca="1">IFERROR(__xludf.DUMMYFUNCTION("""COMPUTED_VALUE"""),1)</f>
        <v>1</v>
      </c>
      <c r="J2644" s="8">
        <f ca="1">IFERROR(__xludf.DUMMYFUNCTION("""COMPUTED_VALUE"""),0)</f>
        <v>0</v>
      </c>
      <c r="K2644" s="10" t="str">
        <f ca="1">IFERROR(__xludf.DUMMYFUNCTION("""COMPUTED_VALUE"""),"https://www.newspapers.com/image/752371201/?terms=shot%20at%20school&amp;match=1")</f>
        <v>https://www.newspapers.com/image/752371201/?terms=shot%20at%20school&amp;match=1</v>
      </c>
      <c r="L2644" s="8">
        <f ca="1">IFERROR(__xludf.DUMMYFUNCTION("""COMPUTED_VALUE"""),1)</f>
        <v>1</v>
      </c>
      <c r="M2644" s="8" t="str">
        <f ca="1">IFERROR(__xludf.DUMMYFUNCTION("""COMPUTED_VALUE"""),"Local")</f>
        <v>Local</v>
      </c>
      <c r="N2644" s="8">
        <f ca="1">IFERROR(__xludf.DUMMYFUNCTION("""COMPUTED_VALUE"""),3)</f>
        <v>3</v>
      </c>
      <c r="O2644" s="8" t="str">
        <f ca="1">IFERROR(__xludf.DUMMYFUNCTION("""COMPUTED_VALUE"""),"Winter")</f>
        <v>Winter</v>
      </c>
      <c r="P2644" s="8" t="str">
        <f ca="1">IFERROR(__xludf.DUMMYFUNCTION("""COMPUTED_VALUE"""),"Charleston")</f>
        <v>Charleston</v>
      </c>
      <c r="Q2644" s="8" t="str">
        <f ca="1">IFERROR(__xludf.DUMMYFUNCTION("""COMPUTED_VALUE"""),"SC")</f>
        <v>SC</v>
      </c>
      <c r="R2644" s="8" t="str">
        <f ca="1">IFERROR(__xludf.DUMMYFUNCTION("""COMPUTED_VALUE"""),"High")</f>
        <v>High</v>
      </c>
      <c r="S2644" s="8" t="str">
        <f ca="1">IFERROR(__xludf.DUMMYFUNCTION("""COMPUTED_VALUE"""),"Front of School")</f>
        <v>Front of School</v>
      </c>
      <c r="T2644" s="8" t="str">
        <f ca="1">IFERROR(__xludf.DUMMYFUNCTION("""COMPUTED_VALUE"""),"Outside on School Property")</f>
        <v>Outside on School Property</v>
      </c>
      <c r="U2644" s="8" t="str">
        <f ca="1">IFERROR(__xludf.DUMMYFUNCTION("""COMPUTED_VALUE"""),"Yes")</f>
        <v>Yes</v>
      </c>
      <c r="V2644" s="8" t="str">
        <f ca="1">IFERROR(__xludf.DUMMYFUNCTION("""COMPUTED_VALUE"""),"Evening")</f>
        <v>Evening</v>
      </c>
      <c r="W2644" s="11">
        <f ca="1">IFERROR(__xludf.DUMMYFUNCTION("""COMPUTED_VALUE"""),0.833333333333333)</f>
        <v>0.83333333333333304</v>
      </c>
      <c r="X2644" s="8">
        <f ca="1">IFERROR(__xludf.DUMMYFUNCTION("""COMPUTED_VALUE"""),1)</f>
        <v>1</v>
      </c>
      <c r="Y2644" s="12" t="str">
        <f ca="1">IFERROR(__xludf.DUMMYFUNCTION("""COMPUTED_VALUE"""),"Student shot outside during break in night classes")</f>
        <v>Student shot outside during break in night classes</v>
      </c>
      <c r="Z2644" s="12" t="str">
        <f ca="1">IFERROR(__xludf.DUMMYFUNCTION("""COMPUTED_VALUE"""),"A 20-year-old student was shot and critically injured while standing in front of the school during night classes. He was shot in the arm, chest, and stomach with a 9mm handgun. Shooter fled.")</f>
        <v>A 20-year-old student was shot and critically injured while standing in front of the school during night classes. He was shot in the arm, chest, and stomach with a 9mm handgun. Shooter fled.</v>
      </c>
      <c r="AA2644" s="8"/>
      <c r="AB2644" s="8"/>
      <c r="AC2644" s="8"/>
      <c r="AD2644" s="8" t="str">
        <f ca="1">IFERROR(__xludf.DUMMYFUNCTION("""COMPUTED_VALUE"""),"Victims Targeted")</f>
        <v>Victims Targeted</v>
      </c>
      <c r="AE2644" s="8" t="str">
        <f ca="1">IFERROR(__xludf.DUMMYFUNCTION("""COMPUTED_VALUE"""),"No")</f>
        <v>No</v>
      </c>
      <c r="AF2644" s="8"/>
      <c r="AG2644" s="8" t="str">
        <f ca="1">IFERROR(__xludf.DUMMYFUNCTION("""COMPUTED_VALUE"""),"No")</f>
        <v>No</v>
      </c>
      <c r="AH2644" s="8" t="str">
        <f ca="1">IFERROR(__xludf.DUMMYFUNCTION("""COMPUTED_VALUE"""),"No")</f>
        <v>No</v>
      </c>
      <c r="AI2644" s="8" t="str">
        <f ca="1">IFERROR(__xludf.DUMMYFUNCTION("""COMPUTED_VALUE"""),"No")</f>
        <v>No</v>
      </c>
      <c r="AJ2644" s="8" t="str">
        <f ca="1">IFERROR(__xludf.DUMMYFUNCTION("""COMPUTED_VALUE"""),"No")</f>
        <v>No</v>
      </c>
      <c r="AK2644" s="8" t="str">
        <f ca="1">IFERROR(__xludf.DUMMYFUNCTION("""COMPUTED_VALUE"""),"No")</f>
        <v>No</v>
      </c>
      <c r="AL2644" s="8"/>
      <c r="AM2644" s="8" t="str">
        <f ca="1">IFERROR(__xludf.DUMMYFUNCTION("""COMPUTED_VALUE"""),"No")</f>
        <v>No</v>
      </c>
      <c r="AN2644" s="8"/>
      <c r="AO2644" s="8" t="str">
        <f ca="1">IFERROR(__xludf.DUMMYFUNCTION("""COMPUTED_VALUE"""),"No")</f>
        <v>No</v>
      </c>
      <c r="AP2644" s="8"/>
      <c r="AQ2644" s="8"/>
      <c r="AR2644" s="8" t="str">
        <f ca="1">IFERROR(__xludf.DUMMYFUNCTION("""COMPUTED_VALUE"""),"Outside/Off-Property")</f>
        <v>Outside/Off-Property</v>
      </c>
      <c r="AS2644" s="8">
        <f ca="1">IFERROR(__xludf.DUMMYFUNCTION("""COMPUTED_VALUE"""),3)</f>
        <v>3</v>
      </c>
      <c r="AT2644" s="8"/>
      <c r="AU2644" s="8">
        <f ca="1">IFERROR(__xludf.DUMMYFUNCTION("""COMPUTED_VALUE"""),32.86183)</f>
        <v>32.861829999999998</v>
      </c>
      <c r="AV2644" s="8">
        <f ca="1">IFERROR(__xludf.DUMMYFUNCTION("""COMPUTED_VALUE"""),-80.002733)</f>
        <v>-80.002733000000006</v>
      </c>
      <c r="AW2644" s="8"/>
      <c r="AX2644" s="8">
        <f ca="1">IFERROR(__xludf.DUMMYFUNCTION("""COMPUTED_VALUE"""),29405)</f>
        <v>29405</v>
      </c>
    </row>
    <row r="2645" spans="1:50" ht="30" x14ac:dyDescent="0.2">
      <c r="A2645" s="8" t="str">
        <f ca="1">IFERROR(__xludf.DUMMYFUNCTION("""COMPUTED_VALUE"""),"19930201WARER")</f>
        <v>19930201WARER</v>
      </c>
      <c r="B2645" s="8">
        <f ca="1">IFERROR(__xludf.DUMMYFUNCTION("""COMPUTED_VALUE"""),2)</f>
        <v>2</v>
      </c>
      <c r="C2645" s="8">
        <f ca="1">IFERROR(__xludf.DUMMYFUNCTION("""COMPUTED_VALUE"""),1)</f>
        <v>1</v>
      </c>
      <c r="D2645" s="8">
        <f ca="1">IFERROR(__xludf.DUMMYFUNCTION("""COMPUTED_VALUE"""),1993)</f>
        <v>1993</v>
      </c>
      <c r="E2645" s="9">
        <f ca="1">IFERROR(__xludf.DUMMYFUNCTION("""COMPUTED_VALUE"""),34001)</f>
        <v>34001</v>
      </c>
      <c r="F2645" s="8" t="str">
        <f ca="1">IFERROR(__xludf.DUMMYFUNCTION("""COMPUTED_VALUE"""),"Redmond Junior High School")</f>
        <v>Redmond Junior High School</v>
      </c>
      <c r="G2645" s="8">
        <f ca="1">IFERROR(__xludf.DUMMYFUNCTION("""COMPUTED_VALUE"""),0)</f>
        <v>0</v>
      </c>
      <c r="H2645" s="8">
        <f ca="1">IFERROR(__xludf.DUMMYFUNCTION("""COMPUTED_VALUE"""),0)</f>
        <v>0</v>
      </c>
      <c r="I2645" s="8">
        <f ca="1">IFERROR(__xludf.DUMMYFUNCTION("""COMPUTED_VALUE"""),0)</f>
        <v>0</v>
      </c>
      <c r="J2645" s="8">
        <f ca="1">IFERROR(__xludf.DUMMYFUNCTION("""COMPUTED_VALUE"""),1)</f>
        <v>1</v>
      </c>
      <c r="K2645" s="10" t="str">
        <f ca="1">IFERROR(__xludf.DUMMYFUNCTION("""COMPUTED_VALUE"""),"https://people.com/archive/roll-call-of-the-dead-vol-39-no-23/")</f>
        <v>https://people.com/archive/roll-call-of-the-dead-vol-39-no-23/</v>
      </c>
      <c r="L2645" s="8"/>
      <c r="M2645" s="8"/>
      <c r="N2645" s="8">
        <f ca="1">IFERROR(__xludf.DUMMYFUNCTION("""COMPUTED_VALUE"""),2)</f>
        <v>2</v>
      </c>
      <c r="O2645" s="8" t="str">
        <f ca="1">IFERROR(__xludf.DUMMYFUNCTION("""COMPUTED_VALUE"""),"Winter")</f>
        <v>Winter</v>
      </c>
      <c r="P2645" s="8" t="str">
        <f ca="1">IFERROR(__xludf.DUMMYFUNCTION("""COMPUTED_VALUE"""),"Redmond")</f>
        <v>Redmond</v>
      </c>
      <c r="Q2645" s="8" t="str">
        <f ca="1">IFERROR(__xludf.DUMMYFUNCTION("""COMPUTED_VALUE"""),"WA")</f>
        <v>WA</v>
      </c>
      <c r="R2645" s="8" t="str">
        <f ca="1">IFERROR(__xludf.DUMMYFUNCTION("""COMPUTED_VALUE"""),"High")</f>
        <v>High</v>
      </c>
      <c r="S2645" s="8" t="str">
        <f ca="1">IFERROR(__xludf.DUMMYFUNCTION("""COMPUTED_VALUE"""),"Outside on School Property")</f>
        <v>Outside on School Property</v>
      </c>
      <c r="T2645" s="8" t="str">
        <f ca="1">IFERROR(__xludf.DUMMYFUNCTION("""COMPUTED_VALUE"""),"Outside on School Property")</f>
        <v>Outside on School Property</v>
      </c>
      <c r="U2645" s="8" t="str">
        <f ca="1">IFERROR(__xludf.DUMMYFUNCTION("""COMPUTED_VALUE"""),"No")</f>
        <v>No</v>
      </c>
      <c r="V2645" s="8" t="str">
        <f ca="1">IFERROR(__xludf.DUMMYFUNCTION("""COMPUTED_VALUE"""),"Before School")</f>
        <v>Before School</v>
      </c>
      <c r="W2645" s="11">
        <f ca="1">IFERROR(__xludf.DUMMYFUNCTION("""COMPUTED_VALUE"""),0.270833333333333)</f>
        <v>0.27083333333333298</v>
      </c>
      <c r="X2645" s="8">
        <f ca="1">IFERROR(__xludf.DUMMYFUNCTION("""COMPUTED_VALUE"""),1)</f>
        <v>1</v>
      </c>
      <c r="Y2645" s="12" t="str">
        <f ca="1">IFERROR(__xludf.DUMMYFUNCTION("""COMPUTED_VALUE"""),"Suicide on school grounds")</f>
        <v>Suicide on school grounds</v>
      </c>
      <c r="Z2645" s="12" t="str">
        <f ca="1">IFERROR(__xludf.DUMMYFUNCTION("""COMPUTED_VALUE"""),"14YOM student found dead outside of school from self inflicted GSW.")</f>
        <v>14YOM student found dead outside of school from self inflicted GSW.</v>
      </c>
      <c r="AA2645" s="8" t="str">
        <f ca="1">IFERROR(__xludf.DUMMYFUNCTION("""COMPUTED_VALUE"""),"Suicide/Attempted")</f>
        <v>Suicide/Attempted</v>
      </c>
      <c r="AB2645" s="8"/>
      <c r="AC2645" s="8"/>
      <c r="AD2645" s="8" t="str">
        <f ca="1">IFERROR(__xludf.DUMMYFUNCTION("""COMPUTED_VALUE"""),"Victims Targeted")</f>
        <v>Victims Targeted</v>
      </c>
      <c r="AE2645" s="8" t="str">
        <f ca="1">IFERROR(__xludf.DUMMYFUNCTION("""COMPUTED_VALUE"""),"No")</f>
        <v>No</v>
      </c>
      <c r="AF2645" s="8"/>
      <c r="AG2645" s="8" t="str">
        <f ca="1">IFERROR(__xludf.DUMMYFUNCTION("""COMPUTED_VALUE"""),"No")</f>
        <v>No</v>
      </c>
      <c r="AH2645" s="8" t="str">
        <f ca="1">IFERROR(__xludf.DUMMYFUNCTION("""COMPUTED_VALUE"""),"No")</f>
        <v>No</v>
      </c>
      <c r="AI2645" s="8" t="str">
        <f ca="1">IFERROR(__xludf.DUMMYFUNCTION("""COMPUTED_VALUE"""),"No")</f>
        <v>No</v>
      </c>
      <c r="AJ2645" s="8"/>
      <c r="AK2645" s="8" t="str">
        <f ca="1">IFERROR(__xludf.DUMMYFUNCTION("""COMPUTED_VALUE"""),"No")</f>
        <v>No</v>
      </c>
      <c r="AL2645" s="8" t="str">
        <f ca="1">IFERROR(__xludf.DUMMYFUNCTION("""COMPUTED_VALUE"""),"No")</f>
        <v>No</v>
      </c>
      <c r="AM2645" s="8"/>
      <c r="AN2645" s="8"/>
      <c r="AO2645" s="8" t="str">
        <f ca="1">IFERROR(__xludf.DUMMYFUNCTION("""COMPUTED_VALUE"""),"No")</f>
        <v>No</v>
      </c>
      <c r="AP2645" s="8"/>
      <c r="AQ2645" s="8" t="str">
        <f ca="1">IFERROR(__xludf.DUMMYFUNCTION("""COMPUTED_VALUE"""),"Unknown")</f>
        <v>Unknown</v>
      </c>
      <c r="AR2645" s="8" t="str">
        <f ca="1">IFERROR(__xludf.DUMMYFUNCTION("""COMPUTED_VALUE"""),"NA")</f>
        <v>NA</v>
      </c>
      <c r="AS2645" s="8">
        <f ca="1">IFERROR(__xludf.DUMMYFUNCTION("""COMPUTED_VALUE"""),1)</f>
        <v>1</v>
      </c>
      <c r="AT2645" s="8"/>
      <c r="AU2645" s="8">
        <f ca="1">IFERROR(__xludf.DUMMYFUNCTION("""COMPUTED_VALUE"""),47.691737)</f>
        <v>47.691737000000003</v>
      </c>
      <c r="AV2645" s="8">
        <f ca="1">IFERROR(__xludf.DUMMYFUNCTION("""COMPUTED_VALUE"""),-122.119966)</f>
        <v>-122.11996600000001</v>
      </c>
      <c r="AW2645" s="8"/>
      <c r="AX2645" s="8">
        <f ca="1">IFERROR(__xludf.DUMMYFUNCTION("""COMPUTED_VALUE"""),98052)</f>
        <v>98052</v>
      </c>
    </row>
    <row r="2646" spans="1:50" ht="45" x14ac:dyDescent="0.2">
      <c r="A2646" s="8" t="str">
        <f ca="1">IFERROR(__xludf.DUMMYFUNCTION("""COMPUTED_VALUE"""),"19930201NYAMA")</f>
        <v>19930201NYAMA</v>
      </c>
      <c r="B2646" s="8">
        <f ca="1">IFERROR(__xludf.DUMMYFUNCTION("""COMPUTED_VALUE"""),2)</f>
        <v>2</v>
      </c>
      <c r="C2646" s="8">
        <f ca="1">IFERROR(__xludf.DUMMYFUNCTION("""COMPUTED_VALUE"""),1)</f>
        <v>1</v>
      </c>
      <c r="D2646" s="8">
        <f ca="1">IFERROR(__xludf.DUMMYFUNCTION("""COMPUTED_VALUE"""),1993)</f>
        <v>1993</v>
      </c>
      <c r="E2646" s="9">
        <f ca="1">IFERROR(__xludf.DUMMYFUNCTION("""COMPUTED_VALUE"""),34001)</f>
        <v>34001</v>
      </c>
      <c r="F2646" s="8" t="str">
        <f ca="1">IFERROR(__xludf.DUMMYFUNCTION("""COMPUTED_VALUE"""),"Amityville High School")</f>
        <v>Amityville High School</v>
      </c>
      <c r="G2646" s="8">
        <f ca="1">IFERROR(__xludf.DUMMYFUNCTION("""COMPUTED_VALUE"""),1)</f>
        <v>1</v>
      </c>
      <c r="H2646" s="8">
        <f ca="1">IFERROR(__xludf.DUMMYFUNCTION("""COMPUTED_VALUE"""),1)</f>
        <v>1</v>
      </c>
      <c r="I2646" s="8">
        <f ca="1">IFERROR(__xludf.DUMMYFUNCTION("""COMPUTED_VALUE"""),2)</f>
        <v>2</v>
      </c>
      <c r="J2646" s="8">
        <f ca="1">IFERROR(__xludf.DUMMYFUNCTION("""COMPUTED_VALUE"""),0)</f>
        <v>0</v>
      </c>
      <c r="K2646" s="8" t="str">
        <f ca="1">IFERROR(__xludf.DUMMYFUNCTION("""COMPUTED_VALUE"""),"https://www.nytimes.com/1993/02/03/nyregion/youth-arraigned-in-killing-at-amityville-high-school.html   https://www.newspapers.com/image/255754296/?terms=shem%2Bs.%2Bmccoy")</f>
        <v>https://www.nytimes.com/1993/02/03/nyregion/youth-arraigned-in-killing-at-amityville-high-school.html   https://www.newspapers.com/image/255754296/?terms=shem%2Bs.%2Bmccoy</v>
      </c>
      <c r="L2646" s="8"/>
      <c r="M2646" s="8"/>
      <c r="N2646" s="8">
        <f ca="1">IFERROR(__xludf.DUMMYFUNCTION("""COMPUTED_VALUE"""),2)</f>
        <v>2</v>
      </c>
      <c r="O2646" s="8" t="str">
        <f ca="1">IFERROR(__xludf.DUMMYFUNCTION("""COMPUTED_VALUE"""),"Winter")</f>
        <v>Winter</v>
      </c>
      <c r="P2646" s="8" t="str">
        <f ca="1">IFERROR(__xludf.DUMMYFUNCTION("""COMPUTED_VALUE"""),"Amityville")</f>
        <v>Amityville</v>
      </c>
      <c r="Q2646" s="8" t="str">
        <f ca="1">IFERROR(__xludf.DUMMYFUNCTION("""COMPUTED_VALUE"""),"NY")</f>
        <v>NY</v>
      </c>
      <c r="R2646" s="8" t="str">
        <f ca="1">IFERROR(__xludf.DUMMYFUNCTION("""COMPUTED_VALUE"""),"High")</f>
        <v>High</v>
      </c>
      <c r="S2646" s="8" t="str">
        <f ca="1">IFERROR(__xludf.DUMMYFUNCTION("""COMPUTED_VALUE"""),"Beside Building")</f>
        <v>Beside Building</v>
      </c>
      <c r="T2646" s="8" t="str">
        <f ca="1">IFERROR(__xludf.DUMMYFUNCTION("""COMPUTED_VALUE"""),"Outside on School Property")</f>
        <v>Outside on School Property</v>
      </c>
      <c r="U2646" s="8" t="str">
        <f ca="1">IFERROR(__xludf.DUMMYFUNCTION("""COMPUTED_VALUE"""),"Yes")</f>
        <v>Yes</v>
      </c>
      <c r="V2646" s="8" t="str">
        <f ca="1">IFERROR(__xludf.DUMMYFUNCTION("""COMPUTED_VALUE"""),"Afternoon Classes")</f>
        <v>Afternoon Classes</v>
      </c>
      <c r="W2646" s="11">
        <f ca="1">IFERROR(__xludf.DUMMYFUNCTION("""COMPUTED_VALUE"""),0.59375)</f>
        <v>0.59375</v>
      </c>
      <c r="X2646" s="8">
        <f ca="1">IFERROR(__xludf.DUMMYFUNCTION("""COMPUTED_VALUE"""),1)</f>
        <v>1</v>
      </c>
      <c r="Y2646" s="12" t="str">
        <f ca="1">IFERROR(__xludf.DUMMYFUNCTION("""COMPUTED_VALUE"""),"Suspect was in ongoing dispute with victims")</f>
        <v>Suspect was in ongoing dispute with victims</v>
      </c>
      <c r="Z2646" s="12" t="str">
        <f ca="1">IFERROR(__xludf.DUMMYFUNCTION("""COMPUTED_VALUE"""),"17 year-old male shot his 17 year-old male victim and his 17 year-old male cousin behind the school following an ongoing dispute between them.")</f>
        <v>17 year-old male shot his 17 year-old male victim and his 17 year-old male cousin behind the school following an ongoing dispute between them.</v>
      </c>
      <c r="AA2646" s="8" t="str">
        <f ca="1">IFERROR(__xludf.DUMMYFUNCTION("""COMPUTED_VALUE"""),"Escalation of Dispute")</f>
        <v>Escalation of Dispute</v>
      </c>
      <c r="AB2646" s="8"/>
      <c r="AC2646" s="8"/>
      <c r="AD2646" s="8" t="str">
        <f ca="1">IFERROR(__xludf.DUMMYFUNCTION("""COMPUTED_VALUE"""),"Victims Targeted")</f>
        <v>Victims Targeted</v>
      </c>
      <c r="AE2646" s="8" t="str">
        <f ca="1">IFERROR(__xludf.DUMMYFUNCTION("""COMPUTED_VALUE"""),"No")</f>
        <v>No</v>
      </c>
      <c r="AF2646" s="8"/>
      <c r="AG2646" s="8" t="str">
        <f ca="1">IFERROR(__xludf.DUMMYFUNCTION("""COMPUTED_VALUE"""),"No")</f>
        <v>No</v>
      </c>
      <c r="AH2646" s="8" t="str">
        <f ca="1">IFERROR(__xludf.DUMMYFUNCTION("""COMPUTED_VALUE"""),"No")</f>
        <v>No</v>
      </c>
      <c r="AI2646" s="8" t="str">
        <f ca="1">IFERROR(__xludf.DUMMYFUNCTION("""COMPUTED_VALUE"""),"No")</f>
        <v>No</v>
      </c>
      <c r="AJ2646" s="8"/>
      <c r="AK2646" s="8" t="str">
        <f ca="1">IFERROR(__xludf.DUMMYFUNCTION("""COMPUTED_VALUE"""),"No")</f>
        <v>No</v>
      </c>
      <c r="AL2646" s="8" t="str">
        <f ca="1">IFERROR(__xludf.DUMMYFUNCTION("""COMPUTED_VALUE"""),"No")</f>
        <v>No</v>
      </c>
      <c r="AM2646" s="8"/>
      <c r="AN2646" s="8"/>
      <c r="AO2646" s="8" t="str">
        <f ca="1">IFERROR(__xludf.DUMMYFUNCTION("""COMPUTED_VALUE"""),"No")</f>
        <v>No</v>
      </c>
      <c r="AP2646" s="8"/>
      <c r="AQ2646" s="8" t="str">
        <f ca="1">IFERROR(__xludf.DUMMYFUNCTION("""COMPUTED_VALUE"""),"Unknown")</f>
        <v>Unknown</v>
      </c>
      <c r="AR2646" s="8" t="str">
        <f ca="1">IFERROR(__xludf.DUMMYFUNCTION("""COMPUTED_VALUE"""),"NA")</f>
        <v>NA</v>
      </c>
      <c r="AS2646" s="8">
        <f ca="1">IFERROR(__xludf.DUMMYFUNCTION("""COMPUTED_VALUE"""),4)</f>
        <v>4</v>
      </c>
      <c r="AT2646" s="8"/>
      <c r="AU2646" s="8">
        <f ca="1">IFERROR(__xludf.DUMMYFUNCTION("""COMPUTED_VALUE"""),40.670505)</f>
        <v>40.670504999999999</v>
      </c>
      <c r="AV2646" s="8">
        <f ca="1">IFERROR(__xludf.DUMMYFUNCTION("""COMPUTED_VALUE"""),-73.412039)</f>
        <v>-73.412038999999993</v>
      </c>
      <c r="AW2646" s="8"/>
      <c r="AX2646" s="8">
        <f ca="1">IFERROR(__xludf.DUMMYFUNCTION("""COMPUTED_VALUE"""),11701)</f>
        <v>11701</v>
      </c>
    </row>
    <row r="2647" spans="1:50" ht="45" x14ac:dyDescent="0.2">
      <c r="A2647" s="8" t="str">
        <f ca="1">IFERROR(__xludf.DUMMYFUNCTION("""COMPUTED_VALUE"""),"19930121CAFAL")</f>
        <v>19930121CAFAL</v>
      </c>
      <c r="B2647" s="8">
        <f ca="1">IFERROR(__xludf.DUMMYFUNCTION("""COMPUTED_VALUE"""),1)</f>
        <v>1</v>
      </c>
      <c r="C2647" s="8">
        <f ca="1">IFERROR(__xludf.DUMMYFUNCTION("""COMPUTED_VALUE"""),21)</f>
        <v>21</v>
      </c>
      <c r="D2647" s="8">
        <f ca="1">IFERROR(__xludf.DUMMYFUNCTION("""COMPUTED_VALUE"""),1993)</f>
        <v>1993</v>
      </c>
      <c r="E2647" s="9">
        <f ca="1">IFERROR(__xludf.DUMMYFUNCTION("""COMPUTED_VALUE"""),33990)</f>
        <v>33990</v>
      </c>
      <c r="F2647" s="8" t="str">
        <f ca="1">IFERROR(__xludf.DUMMYFUNCTION("""COMPUTED_VALUE"""),"Fairfax High School")</f>
        <v>Fairfax High School</v>
      </c>
      <c r="G2647" s="8">
        <f ca="1">IFERROR(__xludf.DUMMYFUNCTION("""COMPUTED_VALUE"""),1)</f>
        <v>1</v>
      </c>
      <c r="H2647" s="8">
        <f ca="1">IFERROR(__xludf.DUMMYFUNCTION("""COMPUTED_VALUE"""),1)</f>
        <v>1</v>
      </c>
      <c r="I2647" s="8">
        <f ca="1">IFERROR(__xludf.DUMMYFUNCTION("""COMPUTED_VALUE"""),2)</f>
        <v>2</v>
      </c>
      <c r="J2647" s="8">
        <f ca="1">IFERROR(__xludf.DUMMYFUNCTION("""COMPUTED_VALUE"""),0)</f>
        <v>0</v>
      </c>
      <c r="K2647" s="10" t="str">
        <f ca="1">IFERROR(__xludf.DUMMYFUNCTION("""COMPUTED_VALUE"""),"http://articles.latimes.com/1993-01-29/local/me-2165_1_student-body")</f>
        <v>http://articles.latimes.com/1993-01-29/local/me-2165_1_student-body</v>
      </c>
      <c r="L2647" s="8"/>
      <c r="M2647" s="8"/>
      <c r="N2647" s="8">
        <f ca="1">IFERROR(__xludf.DUMMYFUNCTION("""COMPUTED_VALUE"""),2)</f>
        <v>2</v>
      </c>
      <c r="O2647" s="8" t="str">
        <f ca="1">IFERROR(__xludf.DUMMYFUNCTION("""COMPUTED_VALUE"""),"Winter")</f>
        <v>Winter</v>
      </c>
      <c r="P2647" s="8" t="str">
        <f ca="1">IFERROR(__xludf.DUMMYFUNCTION("""COMPUTED_VALUE"""),"Los Angeles")</f>
        <v>Los Angeles</v>
      </c>
      <c r="Q2647" s="8" t="str">
        <f ca="1">IFERROR(__xludf.DUMMYFUNCTION("""COMPUTED_VALUE"""),"CA")</f>
        <v>CA</v>
      </c>
      <c r="R2647" s="8" t="str">
        <f ca="1">IFERROR(__xludf.DUMMYFUNCTION("""COMPUTED_VALUE"""),"High")</f>
        <v>High</v>
      </c>
      <c r="S2647" s="8" t="str">
        <f ca="1">IFERROR(__xludf.DUMMYFUNCTION("""COMPUTED_VALUE"""),"Classroom")</f>
        <v>Classroom</v>
      </c>
      <c r="T2647" s="8" t="str">
        <f ca="1">IFERROR(__xludf.DUMMYFUNCTION("""COMPUTED_VALUE"""),"Inside School Building")</f>
        <v>Inside School Building</v>
      </c>
      <c r="U2647" s="8" t="str">
        <f ca="1">IFERROR(__xludf.DUMMYFUNCTION("""COMPUTED_VALUE"""),"Yes")</f>
        <v>Yes</v>
      </c>
      <c r="V2647" s="8"/>
      <c r="W2647" s="8"/>
      <c r="X2647" s="8">
        <f ca="1">IFERROR(__xludf.DUMMYFUNCTION("""COMPUTED_VALUE"""),1)</f>
        <v>1</v>
      </c>
      <c r="Y2647" s="12" t="str">
        <f ca="1">IFERROR(__xludf.DUMMYFUNCTION("""COMPUTED_VALUE"""),"Gun in backpack went off")</f>
        <v>Gun in backpack went off</v>
      </c>
      <c r="Z2647" s="12" t="str">
        <f ca="1">IFERROR(__xludf.DUMMYFUNCTION("""COMPUTED_VALUE"""),"15YOM student had gun in backpack. Gun accidentally discharged striking other student in chest and injuring another. Gun owner tried to aid the injured student.")</f>
        <v>15YOM student had gun in backpack. Gun accidentally discharged striking other student in chest and injuring another. Gun owner tried to aid the injured student.</v>
      </c>
      <c r="AA2647" s="8" t="str">
        <f ca="1">IFERROR(__xludf.DUMMYFUNCTION("""COMPUTED_VALUE"""),"Accidental")</f>
        <v>Accidental</v>
      </c>
      <c r="AB2647" s="8"/>
      <c r="AC2647" s="8"/>
      <c r="AD2647" s="8" t="str">
        <f ca="1">IFERROR(__xludf.DUMMYFUNCTION("""COMPUTED_VALUE"""),"Random Shooting")</f>
        <v>Random Shooting</v>
      </c>
      <c r="AE2647" s="8"/>
      <c r="AF2647" s="8"/>
      <c r="AG2647" s="8" t="str">
        <f ca="1">IFERROR(__xludf.DUMMYFUNCTION("""COMPUTED_VALUE"""),"No")</f>
        <v>No</v>
      </c>
      <c r="AH2647" s="8" t="str">
        <f ca="1">IFERROR(__xludf.DUMMYFUNCTION("""COMPUTED_VALUE"""),"No")</f>
        <v>No</v>
      </c>
      <c r="AI2647" s="8" t="str">
        <f ca="1">IFERROR(__xludf.DUMMYFUNCTION("""COMPUTED_VALUE"""),"No")</f>
        <v>No</v>
      </c>
      <c r="AJ2647" s="8" t="str">
        <f ca="1">IFERROR(__xludf.DUMMYFUNCTION("""COMPUTED_VALUE"""),"No")</f>
        <v>No</v>
      </c>
      <c r="AK2647" s="8" t="str">
        <f ca="1">IFERROR(__xludf.DUMMYFUNCTION("""COMPUTED_VALUE"""),"No")</f>
        <v>No</v>
      </c>
      <c r="AL2647" s="8" t="str">
        <f ca="1">IFERROR(__xludf.DUMMYFUNCTION("""COMPUTED_VALUE"""),"No")</f>
        <v>No</v>
      </c>
      <c r="AM2647" s="8"/>
      <c r="AN2647" s="8"/>
      <c r="AO2647" s="8" t="str">
        <f ca="1">IFERROR(__xludf.DUMMYFUNCTION("""COMPUTED_VALUE"""),"No")</f>
        <v>No</v>
      </c>
      <c r="AP2647" s="8"/>
      <c r="AQ2647" s="8" t="str">
        <f ca="1">IFERROR(__xludf.DUMMYFUNCTION("""COMPUTED_VALUE"""),"Unknown")</f>
        <v>Unknown</v>
      </c>
      <c r="AR2647" s="8" t="str">
        <f ca="1">IFERROR(__xludf.DUMMYFUNCTION("""COMPUTED_VALUE"""),"NA")</f>
        <v>NA</v>
      </c>
      <c r="AS2647" s="8">
        <f ca="1">IFERROR(__xludf.DUMMYFUNCTION("""COMPUTED_VALUE"""),1)</f>
        <v>1</v>
      </c>
      <c r="AT2647" s="8"/>
      <c r="AU2647" s="8">
        <f ca="1">IFERROR(__xludf.DUMMYFUNCTION("""COMPUTED_VALUE"""),34.081856)</f>
        <v>34.081856000000002</v>
      </c>
      <c r="AV2647" s="8">
        <f ca="1">IFERROR(__xludf.DUMMYFUNCTION("""COMPUTED_VALUE"""),-118.360429)</f>
        <v>-118.360429</v>
      </c>
      <c r="AW2647" s="8"/>
      <c r="AX2647" s="8">
        <f ca="1">IFERROR(__xludf.DUMMYFUNCTION("""COMPUTED_VALUE"""),90046)</f>
        <v>90046</v>
      </c>
    </row>
    <row r="2648" spans="1:50" ht="210" x14ac:dyDescent="0.2">
      <c r="A2648" s="8" t="str">
        <f ca="1">IFERROR(__xludf.DUMMYFUNCTION("""COMPUTED_VALUE"""),"19930118KYEAG")</f>
        <v>19930118KYEAG</v>
      </c>
      <c r="B2648" s="8">
        <f ca="1">IFERROR(__xludf.DUMMYFUNCTION("""COMPUTED_VALUE"""),1)</f>
        <v>1</v>
      </c>
      <c r="C2648" s="8">
        <f ca="1">IFERROR(__xludf.DUMMYFUNCTION("""COMPUTED_VALUE"""),18)</f>
        <v>18</v>
      </c>
      <c r="D2648" s="8">
        <f ca="1">IFERROR(__xludf.DUMMYFUNCTION("""COMPUTED_VALUE"""),1993)</f>
        <v>1993</v>
      </c>
      <c r="E2648" s="9">
        <f ca="1">IFERROR(__xludf.DUMMYFUNCTION("""COMPUTED_VALUE"""),33987)</f>
        <v>33987</v>
      </c>
      <c r="F2648" s="8" t="str">
        <f ca="1">IFERROR(__xludf.DUMMYFUNCTION("""COMPUTED_VALUE"""),"East Carter High School")</f>
        <v>East Carter High School</v>
      </c>
      <c r="G2648" s="8">
        <f ca="1">IFERROR(__xludf.DUMMYFUNCTION("""COMPUTED_VALUE"""),2)</f>
        <v>2</v>
      </c>
      <c r="H2648" s="8">
        <f ca="1">IFERROR(__xludf.DUMMYFUNCTION("""COMPUTED_VALUE"""),0)</f>
        <v>0</v>
      </c>
      <c r="I2648" s="8">
        <f ca="1">IFERROR(__xludf.DUMMYFUNCTION("""COMPUTED_VALUE"""),2)</f>
        <v>2</v>
      </c>
      <c r="J2648" s="8">
        <f ca="1">IFERROR(__xludf.DUMMYFUNCTION("""COMPUTED_VALUE"""),0)</f>
        <v>0</v>
      </c>
      <c r="K2648" s="8" t="str">
        <f ca="1">IFERROR(__xludf.DUMMYFUNCTION("""COMPUTED_VALUE"""),"https://www.courier-journal.com/story/opinion/2024/02/12/gun-violence-kentucky-common-sense-gun-legislation/72512939007/
https://www.usnews.com/news/articles/1993/10/31/the-tragedy-in-room-108 http://www.dailyindependent.com/news/local_news/years-later-ea"&amp;"st-carter-school-shooting/article_d98213db-dedb-5edc-9bf9-efa47c2e7d7b.html")</f>
        <v>https://www.courier-journal.com/story/opinion/2024/02/12/gun-violence-kentucky-common-sense-gun-legislation/72512939007/
https://www.usnews.com/news/articles/1993/10/31/the-tragedy-in-room-108 http://www.dailyindependent.com/news/local_news/years-later-east-carter-school-shooting/article_d98213db-dedb-5edc-9bf9-efa47c2e7d7b.html</v>
      </c>
      <c r="L2648" s="8"/>
      <c r="M2648" s="8" t="str">
        <f ca="1">IFERROR(__xludf.DUMMYFUNCTION("""COMPUTED_VALUE"""),"National")</f>
        <v>National</v>
      </c>
      <c r="N2648" s="8">
        <f ca="1">IFERROR(__xludf.DUMMYFUNCTION("""COMPUTED_VALUE"""),4)</f>
        <v>4</v>
      </c>
      <c r="O2648" s="8" t="str">
        <f ca="1">IFERROR(__xludf.DUMMYFUNCTION("""COMPUTED_VALUE"""),"Winter")</f>
        <v>Winter</v>
      </c>
      <c r="P2648" s="8" t="str">
        <f ca="1">IFERROR(__xludf.DUMMYFUNCTION("""COMPUTED_VALUE"""),"Grayson")</f>
        <v>Grayson</v>
      </c>
      <c r="Q2648" s="8" t="str">
        <f ca="1">IFERROR(__xludf.DUMMYFUNCTION("""COMPUTED_VALUE"""),"KY")</f>
        <v>KY</v>
      </c>
      <c r="R2648" s="8" t="str">
        <f ca="1">IFERROR(__xludf.DUMMYFUNCTION("""COMPUTED_VALUE"""),"High")</f>
        <v>High</v>
      </c>
      <c r="S2648" s="8" t="str">
        <f ca="1">IFERROR(__xludf.DUMMYFUNCTION("""COMPUTED_VALUE"""),"Classroom")</f>
        <v>Classroom</v>
      </c>
      <c r="T2648" s="8" t="str">
        <f ca="1">IFERROR(__xludf.DUMMYFUNCTION("""COMPUTED_VALUE"""),"Inside School Building")</f>
        <v>Inside School Building</v>
      </c>
      <c r="U2648" s="8" t="str">
        <f ca="1">IFERROR(__xludf.DUMMYFUNCTION("""COMPUTED_VALUE"""),"Yes")</f>
        <v>Yes</v>
      </c>
      <c r="V2648" s="8" t="str">
        <f ca="1">IFERROR(__xludf.DUMMYFUNCTION("""COMPUTED_VALUE"""),"Afternoon Classes")</f>
        <v>Afternoon Classes</v>
      </c>
      <c r="W2648" s="11">
        <f ca="1">IFERROR(__xludf.DUMMYFUNCTION("""COMPUTED_VALUE"""),0.611111111111111)</f>
        <v>0.61111111111111105</v>
      </c>
      <c r="X2648" s="8">
        <f ca="1">IFERROR(__xludf.DUMMYFUNCTION("""COMPUTED_VALUE"""),21)</f>
        <v>21</v>
      </c>
      <c r="Y2648" s="12" t="str">
        <f ca="1">IFERROR(__xludf.DUMMYFUNCTION("""COMPUTED_VALUE"""),"Planned attack, took 22 hostages, upset over grade")</f>
        <v>Planned attack, took 22 hostages, upset over grade</v>
      </c>
      <c r="Z2648" s="12" t="str">
        <f ca="1">IFERROR(__xludf.DUMMYFUNCTION("""COMPUTED_VALUE"""),"Shooter took pistol to school in a duffle bag. During class later in the day, the shooter pulled out the pistol and fired at the teacher killing her. Upset over grade from the prior week. Janitor came to investigate the sounds of the shooting and was kill"&amp;"ed by the shooter. Shooter stated he intended to kill 2 people so that he would get the death penalty. Shooter held the students hostage for about 15 minutes until releasing them 2 by 2 then surrendering to police. Shooter was from an extremely poor famil"&amp;"y without running water in their house. Shooter was a very good student and had recently gotten a low grade from the teacher that he was extremely upset about. Students reported he talked about killing himself while holding them hostage. Referenced the bo"&amp;"ok Rage.")</f>
        <v>Shooter took pistol to school in a duffle bag. During class later in the day, the shooter pulled out the pistol and fired at the teacher killing her. Upset over grade from the prior week. Janitor came to investigate the sounds of the shooting and was killed by the shooter. Shooter stated he intended to kill 2 people so that he would get the death penalty. Shooter held the students hostage for about 15 minutes until releasing them 2 by 2 then surrendering to police. Shooter was from an extremely poor family without running water in their house. Shooter was a very good student and had recently gotten a low grade from the teacher that he was extremely upset about. Students reported he talked about killing himself while holding them hostage. Referenced the book Rage.</v>
      </c>
      <c r="AA2648" s="8" t="str">
        <f ca="1">IFERROR(__xludf.DUMMYFUNCTION("""COMPUTED_VALUE"""),"Hostage/Standoff")</f>
        <v>Hostage/Standoff</v>
      </c>
      <c r="AB2648" s="8" t="str">
        <f ca="1">IFERROR(__xludf.DUMMYFUNCTION("""COMPUTED_VALUE"""),"Active Shooter/Planned Attack")</f>
        <v>Active Shooter/Planned Attack</v>
      </c>
      <c r="AC2648" s="8" t="str">
        <f ca="1">IFERROR(__xludf.DUMMYFUNCTION("""COMPUTED_VALUE"""),"Yes")</f>
        <v>Yes</v>
      </c>
      <c r="AD2648" s="8" t="str">
        <f ca="1">IFERROR(__xludf.DUMMYFUNCTION("""COMPUTED_VALUE"""),"Both")</f>
        <v>Both</v>
      </c>
      <c r="AE2648" s="8" t="str">
        <f ca="1">IFERROR(__xludf.DUMMYFUNCTION("""COMPUTED_VALUE"""),"No")</f>
        <v>No</v>
      </c>
      <c r="AF2648" s="8"/>
      <c r="AG2648" s="8" t="str">
        <f ca="1">IFERROR(__xludf.DUMMYFUNCTION("""COMPUTED_VALUE"""),"Yes")</f>
        <v>Yes</v>
      </c>
      <c r="AH2648" s="8" t="str">
        <f ca="1">IFERROR(__xludf.DUMMYFUNCTION("""COMPUTED_VALUE"""),"Yes")</f>
        <v>Yes</v>
      </c>
      <c r="AI2648" s="8" t="str">
        <f ca="1">IFERROR(__xludf.DUMMYFUNCTION("""COMPUTED_VALUE"""),"No")</f>
        <v>No</v>
      </c>
      <c r="AJ2648" s="8" t="str">
        <f ca="1">IFERROR(__xludf.DUMMYFUNCTION("""COMPUTED_VALUE"""),"Yes")</f>
        <v>Yes</v>
      </c>
      <c r="AK2648" s="8" t="str">
        <f ca="1">IFERROR(__xludf.DUMMYFUNCTION("""COMPUTED_VALUE"""),"No")</f>
        <v>No</v>
      </c>
      <c r="AL2648" s="8" t="str">
        <f ca="1">IFERROR(__xludf.DUMMYFUNCTION("""COMPUTED_VALUE"""),"No")</f>
        <v>No</v>
      </c>
      <c r="AM2648" s="8" t="str">
        <f ca="1">IFERROR(__xludf.DUMMYFUNCTION("""COMPUTED_VALUE"""),"Yes")</f>
        <v>Yes</v>
      </c>
      <c r="AN2648" s="8" t="str">
        <f ca="1">IFERROR(__xludf.DUMMYFUNCTION("""COMPUTED_VALUE"""),"Single Room")</f>
        <v>Single Room</v>
      </c>
      <c r="AO2648" s="8" t="str">
        <f ca="1">IFERROR(__xludf.DUMMYFUNCTION("""COMPUTED_VALUE"""),"Yes")</f>
        <v>Yes</v>
      </c>
      <c r="AP2648" s="8"/>
      <c r="AQ2648" s="8" t="str">
        <f ca="1">IFERROR(__xludf.DUMMYFUNCTION("""COMPUTED_VALUE"""),"Unknown")</f>
        <v>Unknown</v>
      </c>
      <c r="AR2648" s="8" t="str">
        <f ca="1">IFERROR(__xludf.DUMMYFUNCTION("""COMPUTED_VALUE"""),"NA")</f>
        <v>NA</v>
      </c>
      <c r="AS2648" s="8" t="str">
        <f ca="1">IFERROR(__xludf.DUMMYFUNCTION("""COMPUTED_VALUE"""),"&lt;10")</f>
        <v>&lt;10</v>
      </c>
      <c r="AT2648" s="8"/>
      <c r="AU2648" s="8">
        <f ca="1">IFERROR(__xludf.DUMMYFUNCTION("""COMPUTED_VALUE"""),38.324572)</f>
        <v>38.324572000000003</v>
      </c>
      <c r="AV2648" s="8">
        <f ca="1">IFERROR(__xludf.DUMMYFUNCTION("""COMPUTED_VALUE"""),-82.933512)</f>
        <v>-82.933511999999993</v>
      </c>
      <c r="AW2648" s="8"/>
      <c r="AX2648" s="8">
        <f ca="1">IFERROR(__xludf.DUMMYFUNCTION("""COMPUTED_VALUE"""),41143)</f>
        <v>41143</v>
      </c>
    </row>
    <row r="2649" spans="1:50" ht="75" x14ac:dyDescent="0.2">
      <c r="A2649" s="8" t="str">
        <f ca="1">IFERROR(__xludf.DUMMYFUNCTION("""COMPUTED_VALUE"""),"19930112FLNOM")</f>
        <v>19930112FLNOM</v>
      </c>
      <c r="B2649" s="8">
        <f ca="1">IFERROR(__xludf.DUMMYFUNCTION("""COMPUTED_VALUE"""),1)</f>
        <v>1</v>
      </c>
      <c r="C2649" s="8">
        <f ca="1">IFERROR(__xludf.DUMMYFUNCTION("""COMPUTED_VALUE"""),12)</f>
        <v>12</v>
      </c>
      <c r="D2649" s="8">
        <f ca="1">IFERROR(__xludf.DUMMYFUNCTION("""COMPUTED_VALUE"""),1993)</f>
        <v>1993</v>
      </c>
      <c r="E2649" s="9">
        <f ca="1">IFERROR(__xludf.DUMMYFUNCTION("""COMPUTED_VALUE"""),33981)</f>
        <v>33981</v>
      </c>
      <c r="F2649" s="8" t="str">
        <f ca="1">IFERROR(__xludf.DUMMYFUNCTION("""COMPUTED_VALUE"""),"Norland Senior High School")</f>
        <v>Norland Senior High School</v>
      </c>
      <c r="G2649" s="8">
        <f ca="1">IFERROR(__xludf.DUMMYFUNCTION("""COMPUTED_VALUE"""),1)</f>
        <v>1</v>
      </c>
      <c r="H2649" s="8">
        <f ca="1">IFERROR(__xludf.DUMMYFUNCTION("""COMPUTED_VALUE"""),0)</f>
        <v>0</v>
      </c>
      <c r="I2649" s="8">
        <f ca="1">IFERROR(__xludf.DUMMYFUNCTION("""COMPUTED_VALUE"""),1)</f>
        <v>1</v>
      </c>
      <c r="J2649" s="8">
        <f ca="1">IFERROR(__xludf.DUMMYFUNCTION("""COMPUTED_VALUE"""),0)</f>
        <v>0</v>
      </c>
      <c r="K2649" s="10" t="str">
        <f ca="1">IFERROR(__xludf.DUMMYFUNCTION("""COMPUTED_VALUE"""),"https://www.newspapers.com/image/238950794/?terms=Norland%2BSenior%2BHigh%2BSchool%2Bshooting")</f>
        <v>https://www.newspapers.com/image/238950794/?terms=Norland%2BSenior%2BHigh%2BSchool%2Bshooting</v>
      </c>
      <c r="L2649" s="8"/>
      <c r="M2649" s="8"/>
      <c r="N2649" s="8">
        <f ca="1">IFERROR(__xludf.DUMMYFUNCTION("""COMPUTED_VALUE"""),2)</f>
        <v>2</v>
      </c>
      <c r="O2649" s="8" t="str">
        <f ca="1">IFERROR(__xludf.DUMMYFUNCTION("""COMPUTED_VALUE"""),"Winter")</f>
        <v>Winter</v>
      </c>
      <c r="P2649" s="8" t="str">
        <f ca="1">IFERROR(__xludf.DUMMYFUNCTION("""COMPUTED_VALUE"""),"Miami")</f>
        <v>Miami</v>
      </c>
      <c r="Q2649" s="8" t="str">
        <f ca="1">IFERROR(__xludf.DUMMYFUNCTION("""COMPUTED_VALUE"""),"FL")</f>
        <v>FL</v>
      </c>
      <c r="R2649" s="8" t="str">
        <f ca="1">IFERROR(__xludf.DUMMYFUNCTION("""COMPUTED_VALUE"""),"High")</f>
        <v>High</v>
      </c>
      <c r="S2649" s="8" t="str">
        <f ca="1">IFERROR(__xludf.DUMMYFUNCTION("""COMPUTED_VALUE"""),"Hallway")</f>
        <v>Hallway</v>
      </c>
      <c r="T2649" s="8" t="str">
        <f ca="1">IFERROR(__xludf.DUMMYFUNCTION("""COMPUTED_VALUE"""),"Inside School Building")</f>
        <v>Inside School Building</v>
      </c>
      <c r="U2649" s="8" t="str">
        <f ca="1">IFERROR(__xludf.DUMMYFUNCTION("""COMPUTED_VALUE"""),"Yes")</f>
        <v>Yes</v>
      </c>
      <c r="V2649" s="8" t="str">
        <f ca="1">IFERROR(__xludf.DUMMYFUNCTION("""COMPUTED_VALUE"""),"After School")</f>
        <v>After School</v>
      </c>
      <c r="W2649" s="11">
        <f ca="1">IFERROR(__xludf.DUMMYFUNCTION("""COMPUTED_VALUE"""),0.635416666666666)</f>
        <v>0.63541666666666596</v>
      </c>
      <c r="X2649" s="8">
        <f ca="1">IFERROR(__xludf.DUMMYFUNCTION("""COMPUTED_VALUE"""),1)</f>
        <v>1</v>
      </c>
      <c r="Y2649" s="12" t="str">
        <f ca="1">IFERROR(__xludf.DUMMYFUNCTION("""COMPUTED_VALUE"""),"Shooting during argument between victim and 3 males over girl")</f>
        <v>Shooting during argument between victim and 3 males over girl</v>
      </c>
      <c r="Z2649" s="12" t="str">
        <f ca="1">IFERROR(__xludf.DUMMYFUNCTION("""COMPUTED_VALUE"""),"18YOM victim shot 10 times while arguing with 3 other students about a girl. Neighborhood is site of frequent gang and racial violence including 2 mass shootings not on school property involving youths the prior year. Police described school as having ser"&amp;"ious gang problem.")</f>
        <v>18YOM victim shot 10 times while arguing with 3 other students about a girl. Neighborhood is site of frequent gang and racial violence including 2 mass shootings not on school property involving youths the prior year. Police described school as having serious gang problem.</v>
      </c>
      <c r="AA2649" s="8" t="str">
        <f ca="1">IFERROR(__xludf.DUMMYFUNCTION("""COMPUTED_VALUE"""),"Escalation of Dispute")</f>
        <v>Escalation of Dispute</v>
      </c>
      <c r="AB2649" s="8"/>
      <c r="AC2649" s="8"/>
      <c r="AD2649" s="8" t="str">
        <f ca="1">IFERROR(__xludf.DUMMYFUNCTION("""COMPUTED_VALUE"""),"Victims Targeted")</f>
        <v>Victims Targeted</v>
      </c>
      <c r="AE2649" s="8" t="str">
        <f ca="1">IFERROR(__xludf.DUMMYFUNCTION("""COMPUTED_VALUE"""),"No")</f>
        <v>No</v>
      </c>
      <c r="AF2649" s="8"/>
      <c r="AG2649" s="8" t="str">
        <f ca="1">IFERROR(__xludf.DUMMYFUNCTION("""COMPUTED_VALUE"""),"No")</f>
        <v>No</v>
      </c>
      <c r="AH2649" s="8" t="str">
        <f ca="1">IFERROR(__xludf.DUMMYFUNCTION("""COMPUTED_VALUE"""),"No")</f>
        <v>No</v>
      </c>
      <c r="AI2649" s="8" t="str">
        <f ca="1">IFERROR(__xludf.DUMMYFUNCTION("""COMPUTED_VALUE"""),"No")</f>
        <v>No</v>
      </c>
      <c r="AJ2649" s="8" t="str">
        <f ca="1">IFERROR(__xludf.DUMMYFUNCTION("""COMPUTED_VALUE"""),"No")</f>
        <v>No</v>
      </c>
      <c r="AK2649" s="8" t="str">
        <f ca="1">IFERROR(__xludf.DUMMYFUNCTION("""COMPUTED_VALUE"""),"No")</f>
        <v>No</v>
      </c>
      <c r="AL2649" s="8" t="str">
        <f ca="1">IFERROR(__xludf.DUMMYFUNCTION("""COMPUTED_VALUE"""),"Yes")</f>
        <v>Yes</v>
      </c>
      <c r="AM2649" s="8"/>
      <c r="AN2649" s="8"/>
      <c r="AO2649" s="8" t="str">
        <f ca="1">IFERROR(__xludf.DUMMYFUNCTION("""COMPUTED_VALUE"""),"No")</f>
        <v>No</v>
      </c>
      <c r="AP2649" s="8"/>
      <c r="AQ2649" s="8" t="str">
        <f ca="1">IFERROR(__xludf.DUMMYFUNCTION("""COMPUTED_VALUE"""),"Unknown")</f>
        <v>Unknown</v>
      </c>
      <c r="AR2649" s="8" t="str">
        <f ca="1">IFERROR(__xludf.DUMMYFUNCTION("""COMPUTED_VALUE"""),"NA")</f>
        <v>NA</v>
      </c>
      <c r="AS2649" s="8">
        <f ca="1">IFERROR(__xludf.DUMMYFUNCTION("""COMPUTED_VALUE"""),10)</f>
        <v>10</v>
      </c>
      <c r="AT2649" s="8"/>
      <c r="AU2649" s="8">
        <f ca="1">IFERROR(__xludf.DUMMYFUNCTION("""COMPUTED_VALUE"""),25.951405)</f>
        <v>25.951405000000001</v>
      </c>
      <c r="AV2649" s="8">
        <f ca="1">IFERROR(__xludf.DUMMYFUNCTION("""COMPUTED_VALUE"""),-80.220555)</f>
        <v>-80.220555000000004</v>
      </c>
      <c r="AW2649" s="8"/>
      <c r="AX2649" s="8">
        <f ca="1">IFERROR(__xludf.DUMMYFUNCTION("""COMPUTED_VALUE"""),33169)</f>
        <v>33169</v>
      </c>
    </row>
    <row r="2650" spans="1:50" ht="60" x14ac:dyDescent="0.2">
      <c r="A2650" s="8" t="str">
        <f ca="1">IFERROR(__xludf.DUMMYFUNCTION("""COMPUTED_VALUE"""),"19930108PACRM")</f>
        <v>19930108PACRM</v>
      </c>
      <c r="B2650" s="8">
        <f ca="1">IFERROR(__xludf.DUMMYFUNCTION("""COMPUTED_VALUE"""),1)</f>
        <v>1</v>
      </c>
      <c r="C2650" s="8">
        <f ca="1">IFERROR(__xludf.DUMMYFUNCTION("""COMPUTED_VALUE"""),8)</f>
        <v>8</v>
      </c>
      <c r="D2650" s="8">
        <f ca="1">IFERROR(__xludf.DUMMYFUNCTION("""COMPUTED_VALUE"""),1993)</f>
        <v>1993</v>
      </c>
      <c r="E2650" s="9">
        <f ca="1">IFERROR(__xludf.DUMMYFUNCTION("""COMPUTED_VALUE"""),33977)</f>
        <v>33977</v>
      </c>
      <c r="F2650" s="8" t="str">
        <f ca="1">IFERROR(__xludf.DUMMYFUNCTION("""COMPUTED_VALUE"""),"Crawford County Joint Vocational Technical School")</f>
        <v>Crawford County Joint Vocational Technical School</v>
      </c>
      <c r="G2650" s="8">
        <f ca="1">IFERROR(__xludf.DUMMYFUNCTION("""COMPUTED_VALUE"""),0)</f>
        <v>0</v>
      </c>
      <c r="H2650" s="8">
        <f ca="1">IFERROR(__xludf.DUMMYFUNCTION("""COMPUTED_VALUE"""),1)</f>
        <v>1</v>
      </c>
      <c r="I2650" s="8">
        <f ca="1">IFERROR(__xludf.DUMMYFUNCTION("""COMPUTED_VALUE"""),1)</f>
        <v>1</v>
      </c>
      <c r="J2650" s="8">
        <f ca="1">IFERROR(__xludf.DUMMYFUNCTION("""COMPUTED_VALUE"""),0)</f>
        <v>0</v>
      </c>
      <c r="K2650" s="10" t="str">
        <f ca="1">IFERROR(__xludf.DUMMYFUNCTION("""COMPUTED_VALUE"""),"https://www.newspapers.com/image/510596731/?terms=shot%20at%20school&amp;match=1")</f>
        <v>https://www.newspapers.com/image/510596731/?terms=shot%20at%20school&amp;match=1</v>
      </c>
      <c r="L2650" s="8">
        <f ca="1">IFERROR(__xludf.DUMMYFUNCTION("""COMPUTED_VALUE"""),1)</f>
        <v>1</v>
      </c>
      <c r="M2650" s="8" t="str">
        <f ca="1">IFERROR(__xludf.DUMMYFUNCTION("""COMPUTED_VALUE"""),"National")</f>
        <v>National</v>
      </c>
      <c r="N2650" s="8">
        <f ca="1">IFERROR(__xludf.DUMMYFUNCTION("""COMPUTED_VALUE"""),3)</f>
        <v>3</v>
      </c>
      <c r="O2650" s="8" t="str">
        <f ca="1">IFERROR(__xludf.DUMMYFUNCTION("""COMPUTED_VALUE"""),"Winter")</f>
        <v>Winter</v>
      </c>
      <c r="P2650" s="8" t="str">
        <f ca="1">IFERROR(__xludf.DUMMYFUNCTION("""COMPUTED_VALUE"""),"Meadville")</f>
        <v>Meadville</v>
      </c>
      <c r="Q2650" s="8" t="str">
        <f ca="1">IFERROR(__xludf.DUMMYFUNCTION("""COMPUTED_VALUE"""),"PA")</f>
        <v>PA</v>
      </c>
      <c r="R2650" s="8" t="str">
        <f ca="1">IFERROR(__xludf.DUMMYFUNCTION("""COMPUTED_VALUE"""),"High")</f>
        <v>High</v>
      </c>
      <c r="S2650" s="8" t="str">
        <f ca="1">IFERROR(__xludf.DUMMYFUNCTION("""COMPUTED_VALUE"""),"Hallway")</f>
        <v>Hallway</v>
      </c>
      <c r="T2650" s="8" t="str">
        <f ca="1">IFERROR(__xludf.DUMMYFUNCTION("""COMPUTED_VALUE"""),"Inside School Building")</f>
        <v>Inside School Building</v>
      </c>
      <c r="U2650" s="8" t="str">
        <f ca="1">IFERROR(__xludf.DUMMYFUNCTION("""COMPUTED_VALUE"""),"Yes")</f>
        <v>Yes</v>
      </c>
      <c r="V2650" s="8" t="str">
        <f ca="1">IFERROR(__xludf.DUMMYFUNCTION("""COMPUTED_VALUE"""),"Morning Classes")</f>
        <v>Morning Classes</v>
      </c>
      <c r="W2650" s="11">
        <f ca="1">IFERROR(__xludf.DUMMYFUNCTION("""COMPUTED_VALUE"""),0.333333333333333)</f>
        <v>0.33333333333333298</v>
      </c>
      <c r="X2650" s="8">
        <f ca="1">IFERROR(__xludf.DUMMYFUNCTION("""COMPUTED_VALUE"""),1)</f>
        <v>1</v>
      </c>
      <c r="Y2650" s="12" t="str">
        <f ca="1">IFERROR(__xludf.DUMMYFUNCTION("""COMPUTED_VALUE"""),"Student shot in the head in hallway by unknown shooter")</f>
        <v>Student shot in the head in hallway by unknown shooter</v>
      </c>
      <c r="Z2650" s="12" t="str">
        <f ca="1">IFERROR(__xludf.DUMMYFUNCTION("""COMPUTED_VALUE"""),"A 15-year-old student was shot in the head by an unknown shooter in the hallway of the school. A bus driver witnessed the shooting. Shooter fled. Student transported in critical condition.")</f>
        <v>A 15-year-old student was shot in the head by an unknown shooter in the hallway of the school. A bus driver witnessed the shooting. Shooter fled. Student transported in critical condition.</v>
      </c>
      <c r="AA2650" s="8"/>
      <c r="AB2650" s="8"/>
      <c r="AC2650" s="8"/>
      <c r="AD2650" s="8" t="str">
        <f ca="1">IFERROR(__xludf.DUMMYFUNCTION("""COMPUTED_VALUE"""),"Victims Targeted")</f>
        <v>Victims Targeted</v>
      </c>
      <c r="AE2650" s="8" t="str">
        <f ca="1">IFERROR(__xludf.DUMMYFUNCTION("""COMPUTED_VALUE"""),"No")</f>
        <v>No</v>
      </c>
      <c r="AF2650" s="8"/>
      <c r="AG2650" s="8" t="str">
        <f ca="1">IFERROR(__xludf.DUMMYFUNCTION("""COMPUTED_VALUE"""),"No")</f>
        <v>No</v>
      </c>
      <c r="AH2650" s="8" t="str">
        <f ca="1">IFERROR(__xludf.DUMMYFUNCTION("""COMPUTED_VALUE"""),"No")</f>
        <v>No</v>
      </c>
      <c r="AI2650" s="8" t="str">
        <f ca="1">IFERROR(__xludf.DUMMYFUNCTION("""COMPUTED_VALUE"""),"No")</f>
        <v>No</v>
      </c>
      <c r="AJ2650" s="8" t="str">
        <f ca="1">IFERROR(__xludf.DUMMYFUNCTION("""COMPUTED_VALUE"""),"No")</f>
        <v>No</v>
      </c>
      <c r="AK2650" s="8" t="str">
        <f ca="1">IFERROR(__xludf.DUMMYFUNCTION("""COMPUTED_VALUE"""),"No")</f>
        <v>No</v>
      </c>
      <c r="AL2650" s="8"/>
      <c r="AM2650" s="8" t="str">
        <f ca="1">IFERROR(__xludf.DUMMYFUNCTION("""COMPUTED_VALUE"""),"No")</f>
        <v>No</v>
      </c>
      <c r="AN2650" s="8"/>
      <c r="AO2650" s="8" t="str">
        <f ca="1">IFERROR(__xludf.DUMMYFUNCTION("""COMPUTED_VALUE"""),"No")</f>
        <v>No</v>
      </c>
      <c r="AP2650" s="8"/>
      <c r="AQ2650" s="8"/>
      <c r="AR2650" s="8"/>
      <c r="AS2650" s="8">
        <f ca="1">IFERROR(__xludf.DUMMYFUNCTION("""COMPUTED_VALUE"""),1)</f>
        <v>1</v>
      </c>
      <c r="AT2650" s="8"/>
      <c r="AU2650" s="8">
        <f ca="1">IFERROR(__xludf.DUMMYFUNCTION("""COMPUTED_VALUE"""),41.643886)</f>
        <v>41.643886000000002</v>
      </c>
      <c r="AV2650" s="8">
        <f ca="1">IFERROR(__xludf.DUMMYFUNCTION("""COMPUTED_VALUE"""),-80.154508)</f>
        <v>-80.154508000000007</v>
      </c>
      <c r="AW2650" s="8"/>
      <c r="AX2650" s="8">
        <f ca="1">IFERROR(__xludf.DUMMYFUNCTION("""COMPUTED_VALUE"""),16335)</f>
        <v>16335</v>
      </c>
    </row>
    <row r="2651" spans="1:50" ht="45" x14ac:dyDescent="0.2">
      <c r="A2651" s="8" t="str">
        <f ca="1">IFERROR(__xludf.DUMMYFUNCTION("""COMPUTED_VALUE"""),"19930105NYBRB")</f>
        <v>19930105NYBRB</v>
      </c>
      <c r="B2651" s="8">
        <f ca="1">IFERROR(__xludf.DUMMYFUNCTION("""COMPUTED_VALUE"""),1)</f>
        <v>1</v>
      </c>
      <c r="C2651" s="8">
        <f ca="1">IFERROR(__xludf.DUMMYFUNCTION("""COMPUTED_VALUE"""),5)</f>
        <v>5</v>
      </c>
      <c r="D2651" s="8">
        <f ca="1">IFERROR(__xludf.DUMMYFUNCTION("""COMPUTED_VALUE"""),1993)</f>
        <v>1993</v>
      </c>
      <c r="E2651" s="9">
        <f ca="1">IFERROR(__xludf.DUMMYFUNCTION("""COMPUTED_VALUE"""),33974)</f>
        <v>33974</v>
      </c>
      <c r="F2651" s="8" t="str">
        <f ca="1">IFERROR(__xludf.DUMMYFUNCTION("""COMPUTED_VALUE"""),"Brentwood High School")</f>
        <v>Brentwood High School</v>
      </c>
      <c r="G2651" s="8">
        <f ca="1">IFERROR(__xludf.DUMMYFUNCTION("""COMPUTED_VALUE"""),0)</f>
        <v>0</v>
      </c>
      <c r="H2651" s="8">
        <f ca="1">IFERROR(__xludf.DUMMYFUNCTION("""COMPUTED_VALUE"""),1)</f>
        <v>1</v>
      </c>
      <c r="I2651" s="8">
        <f ca="1">IFERROR(__xludf.DUMMYFUNCTION("""COMPUTED_VALUE"""),1)</f>
        <v>1</v>
      </c>
      <c r="J2651" s="8">
        <f ca="1">IFERROR(__xludf.DUMMYFUNCTION("""COMPUTED_VALUE"""),0)</f>
        <v>0</v>
      </c>
      <c r="K2651" s="10" t="str">
        <f ca="1">IFERROR(__xludf.DUMMYFUNCTION("""COMPUTED_VALUE"""),"https://www.nytimes.com/1993/01/07/nyregion/school-upset-by-shooting-of-teen-ager-during-game.html")</f>
        <v>https://www.nytimes.com/1993/01/07/nyregion/school-upset-by-shooting-of-teen-ager-during-game.html</v>
      </c>
      <c r="L2651" s="8"/>
      <c r="M2651" s="8"/>
      <c r="N2651" s="8">
        <f ca="1">IFERROR(__xludf.DUMMYFUNCTION("""COMPUTED_VALUE"""),2)</f>
        <v>2</v>
      </c>
      <c r="O2651" s="8" t="str">
        <f ca="1">IFERROR(__xludf.DUMMYFUNCTION("""COMPUTED_VALUE"""),"Winter")</f>
        <v>Winter</v>
      </c>
      <c r="P2651" s="8" t="str">
        <f ca="1">IFERROR(__xludf.DUMMYFUNCTION("""COMPUTED_VALUE"""),"Brentwood")</f>
        <v>Brentwood</v>
      </c>
      <c r="Q2651" s="8" t="str">
        <f ca="1">IFERROR(__xludf.DUMMYFUNCTION("""COMPUTED_VALUE"""),"NY")</f>
        <v>NY</v>
      </c>
      <c r="R2651" s="8" t="str">
        <f ca="1">IFERROR(__xludf.DUMMYFUNCTION("""COMPUTED_VALUE"""),"High")</f>
        <v>High</v>
      </c>
      <c r="S2651" s="8" t="str">
        <f ca="1">IFERROR(__xludf.DUMMYFUNCTION("""COMPUTED_VALUE"""),"Gym")</f>
        <v>Gym</v>
      </c>
      <c r="T2651" s="8" t="str">
        <f ca="1">IFERROR(__xludf.DUMMYFUNCTION("""COMPUTED_VALUE"""),"Inside School Building")</f>
        <v>Inside School Building</v>
      </c>
      <c r="U2651" s="8" t="str">
        <f ca="1">IFERROR(__xludf.DUMMYFUNCTION("""COMPUTED_VALUE"""),"No")</f>
        <v>No</v>
      </c>
      <c r="V2651" s="8" t="str">
        <f ca="1">IFERROR(__xludf.DUMMYFUNCTION("""COMPUTED_VALUE"""),"Evening")</f>
        <v>Evening</v>
      </c>
      <c r="W2651" s="11">
        <f ca="1">IFERROR(__xludf.DUMMYFUNCTION("""COMPUTED_VALUE"""),0.727083333333333)</f>
        <v>0.72708333333333297</v>
      </c>
      <c r="X2651" s="8">
        <f ca="1">IFERROR(__xludf.DUMMYFUNCTION("""COMPUTED_VALUE"""),1)</f>
        <v>1</v>
      </c>
      <c r="Y2651" s="12" t="str">
        <f ca="1">IFERROR(__xludf.DUMMYFUNCTION("""COMPUTED_VALUE"""),"Dispute over theft of gold chain")</f>
        <v>Dispute over theft of gold chain</v>
      </c>
      <c r="Z2651" s="12" t="str">
        <f ca="1">IFERROR(__xludf.DUMMYFUNCTION("""COMPUTED_VALUE"""),"During a basketball game between rival schools, shots were fired during a dispute between students from different schools over a gold chain.")</f>
        <v>During a basketball game between rival schools, shots were fired during a dispute between students from different schools over a gold chain.</v>
      </c>
      <c r="AA2651" s="8" t="str">
        <f ca="1">IFERROR(__xludf.DUMMYFUNCTION("""COMPUTED_VALUE"""),"Escalation of Dispute")</f>
        <v>Escalation of Dispute</v>
      </c>
      <c r="AB2651" s="8"/>
      <c r="AC2651" s="8"/>
      <c r="AD2651" s="8" t="str">
        <f ca="1">IFERROR(__xludf.DUMMYFUNCTION("""COMPUTED_VALUE"""),"Victims Targeted")</f>
        <v>Victims Targeted</v>
      </c>
      <c r="AE2651" s="8" t="str">
        <f ca="1">IFERROR(__xludf.DUMMYFUNCTION("""COMPUTED_VALUE"""),"No")</f>
        <v>No</v>
      </c>
      <c r="AF2651" s="8"/>
      <c r="AG2651" s="8" t="str">
        <f ca="1">IFERROR(__xludf.DUMMYFUNCTION("""COMPUTED_VALUE"""),"No")</f>
        <v>No</v>
      </c>
      <c r="AH2651" s="8" t="str">
        <f ca="1">IFERROR(__xludf.DUMMYFUNCTION("""COMPUTED_VALUE"""),"No")</f>
        <v>No</v>
      </c>
      <c r="AI2651" s="8" t="str">
        <f ca="1">IFERROR(__xludf.DUMMYFUNCTION("""COMPUTED_VALUE"""),"No")</f>
        <v>No</v>
      </c>
      <c r="AJ2651" s="8" t="str">
        <f ca="1">IFERROR(__xludf.DUMMYFUNCTION("""COMPUTED_VALUE"""),"No")</f>
        <v>No</v>
      </c>
      <c r="AK2651" s="8" t="str">
        <f ca="1">IFERROR(__xludf.DUMMYFUNCTION("""COMPUTED_VALUE"""),"No")</f>
        <v>No</v>
      </c>
      <c r="AL2651" s="8" t="str">
        <f ca="1">IFERROR(__xludf.DUMMYFUNCTION("""COMPUTED_VALUE"""),"Yes")</f>
        <v>Yes</v>
      </c>
      <c r="AM2651" s="8"/>
      <c r="AN2651" s="8"/>
      <c r="AO2651" s="8" t="str">
        <f ca="1">IFERROR(__xludf.DUMMYFUNCTION("""COMPUTED_VALUE"""),"No")</f>
        <v>No</v>
      </c>
      <c r="AP2651" s="8"/>
      <c r="AQ2651" s="8" t="str">
        <f ca="1">IFERROR(__xludf.DUMMYFUNCTION("""COMPUTED_VALUE"""),"Unknown")</f>
        <v>Unknown</v>
      </c>
      <c r="AR2651" s="8" t="str">
        <f ca="1">IFERROR(__xludf.DUMMYFUNCTION("""COMPUTED_VALUE"""),"NA")</f>
        <v>NA</v>
      </c>
      <c r="AS2651" s="8"/>
      <c r="AT2651" s="8"/>
      <c r="AU2651" s="8">
        <f ca="1">IFERROR(__xludf.DUMMYFUNCTION("""COMPUTED_VALUE"""),40.774177)</f>
        <v>40.774177000000002</v>
      </c>
      <c r="AV2651" s="8">
        <f ca="1">IFERROR(__xludf.DUMMYFUNCTION("""COMPUTED_VALUE"""),-73.254154)</f>
        <v>-73.254154</v>
      </c>
      <c r="AW2651" s="8"/>
      <c r="AX2651" s="8">
        <f ca="1">IFERROR(__xludf.DUMMYFUNCTION("""COMPUTED_VALUE"""),11717)</f>
        <v>11717</v>
      </c>
    </row>
    <row r="2652" spans="1:50" ht="75" x14ac:dyDescent="0.2">
      <c r="A2652" s="8" t="str">
        <f ca="1">IFERROR(__xludf.DUMMYFUNCTION("""COMPUTED_VALUE"""),"19921214NYWAW")</f>
        <v>19921214NYWAW</v>
      </c>
      <c r="B2652" s="8">
        <f ca="1">IFERROR(__xludf.DUMMYFUNCTION("""COMPUTED_VALUE"""),12)</f>
        <v>12</v>
      </c>
      <c r="C2652" s="8">
        <f ca="1">IFERROR(__xludf.DUMMYFUNCTION("""COMPUTED_VALUE"""),14)</f>
        <v>14</v>
      </c>
      <c r="D2652" s="8">
        <f ca="1">IFERROR(__xludf.DUMMYFUNCTION("""COMPUTED_VALUE"""),1992)</f>
        <v>1992</v>
      </c>
      <c r="E2652" s="9">
        <f ca="1">IFERROR(__xludf.DUMMYFUNCTION("""COMPUTED_VALUE"""),33952)</f>
        <v>33952</v>
      </c>
      <c r="F2652" s="8" t="str">
        <f ca="1">IFERROR(__xludf.DUMMYFUNCTION("""COMPUTED_VALUE"""),"Walton High School")</f>
        <v>Walton High School</v>
      </c>
      <c r="G2652" s="8">
        <f ca="1">IFERROR(__xludf.DUMMYFUNCTION("""COMPUTED_VALUE"""),0)</f>
        <v>0</v>
      </c>
      <c r="H2652" s="8">
        <f ca="1">IFERROR(__xludf.DUMMYFUNCTION("""COMPUTED_VALUE"""),1)</f>
        <v>1</v>
      </c>
      <c r="I2652" s="8">
        <f ca="1">IFERROR(__xludf.DUMMYFUNCTION("""COMPUTED_VALUE"""),1)</f>
        <v>1</v>
      </c>
      <c r="J2652" s="8">
        <f ca="1">IFERROR(__xludf.DUMMYFUNCTION("""COMPUTED_VALUE"""),0)</f>
        <v>0</v>
      </c>
      <c r="K2652" s="10" t="str">
        <f ca="1">IFERROR(__xludf.DUMMYFUNCTION("""COMPUTED_VALUE"""),"https://www.newspapers.com/image/257172973/?terms=Virginia%2BWilcox")</f>
        <v>https://www.newspapers.com/image/257172973/?terms=Virginia%2BWilcox</v>
      </c>
      <c r="L2652" s="8"/>
      <c r="M2652" s="8"/>
      <c r="N2652" s="8">
        <f ca="1">IFERROR(__xludf.DUMMYFUNCTION("""COMPUTED_VALUE"""),2)</f>
        <v>2</v>
      </c>
      <c r="O2652" s="8" t="str">
        <f ca="1">IFERROR(__xludf.DUMMYFUNCTION("""COMPUTED_VALUE"""),"Winter")</f>
        <v>Winter</v>
      </c>
      <c r="P2652" s="8" t="str">
        <f ca="1">IFERROR(__xludf.DUMMYFUNCTION("""COMPUTED_VALUE"""),"Walton")</f>
        <v>Walton</v>
      </c>
      <c r="Q2652" s="8" t="str">
        <f ca="1">IFERROR(__xludf.DUMMYFUNCTION("""COMPUTED_VALUE"""),"NY")</f>
        <v>NY</v>
      </c>
      <c r="R2652" s="8" t="str">
        <f ca="1">IFERROR(__xludf.DUMMYFUNCTION("""COMPUTED_VALUE"""),"High")</f>
        <v>High</v>
      </c>
      <c r="S2652" s="8" t="str">
        <f ca="1">IFERROR(__xludf.DUMMYFUNCTION("""COMPUTED_VALUE"""),"Classroom")</f>
        <v>Classroom</v>
      </c>
      <c r="T2652" s="8" t="str">
        <f ca="1">IFERROR(__xludf.DUMMYFUNCTION("""COMPUTED_VALUE"""),"Inside School Building")</f>
        <v>Inside School Building</v>
      </c>
      <c r="U2652" s="8" t="str">
        <f ca="1">IFERROR(__xludf.DUMMYFUNCTION("""COMPUTED_VALUE"""),"Yes")</f>
        <v>Yes</v>
      </c>
      <c r="V2652" s="8" t="str">
        <f ca="1">IFERROR(__xludf.DUMMYFUNCTION("""COMPUTED_VALUE"""),"Morning Classes")</f>
        <v>Morning Classes</v>
      </c>
      <c r="W2652" s="11">
        <f ca="1">IFERROR(__xludf.DUMMYFUNCTION("""COMPUTED_VALUE"""),0.384722222222222)</f>
        <v>0.38472222222222202</v>
      </c>
      <c r="X2652" s="8">
        <f ca="1">IFERROR(__xludf.DUMMYFUNCTION("""COMPUTED_VALUE"""),1)</f>
        <v>1</v>
      </c>
      <c r="Y2652" s="12" t="str">
        <f ca="1">IFERROR(__xludf.DUMMYFUNCTION("""COMPUTED_VALUE"""),"Shot teacher when she would not let him read poem in class")</f>
        <v>Shot teacher when she would not let him read poem in class</v>
      </c>
      <c r="Z2652" s="12" t="str">
        <f ca="1">IFERROR(__xludf.DUMMYFUNCTION("""COMPUTED_VALUE"""),"Shooter had been writing poems about killing his teachers and suicide. Teacher had reported him to school officials which angered the shooter. During class the shooter asked to read a poem aloud and the teacher refused. The shooter shot the teacher in the"&amp;" face seriously injuring her.")</f>
        <v>Shooter had been writing poems about killing his teachers and suicide. Teacher had reported him to school officials which angered the shooter. During class the shooter asked to read a poem aloud and the teacher refused. The shooter shot the teacher in the face seriously injuring her.</v>
      </c>
      <c r="AA2652" s="8" t="str">
        <f ca="1">IFERROR(__xludf.DUMMYFUNCTION("""COMPUTED_VALUE"""),"Anger Over Grade/Suspension/Discipline")</f>
        <v>Anger Over Grade/Suspension/Discipline</v>
      </c>
      <c r="AB2652" s="8"/>
      <c r="AC2652" s="8"/>
      <c r="AD2652" s="8" t="str">
        <f ca="1">IFERROR(__xludf.DUMMYFUNCTION("""COMPUTED_VALUE"""),"Victims Targeted")</f>
        <v>Victims Targeted</v>
      </c>
      <c r="AE2652" s="8"/>
      <c r="AF2652" s="8"/>
      <c r="AG2652" s="8" t="str">
        <f ca="1">IFERROR(__xludf.DUMMYFUNCTION("""COMPUTED_VALUE"""),"No")</f>
        <v>No</v>
      </c>
      <c r="AH2652" s="8" t="str">
        <f ca="1">IFERROR(__xludf.DUMMYFUNCTION("""COMPUTED_VALUE"""),"No")</f>
        <v>No</v>
      </c>
      <c r="AI2652" s="8" t="str">
        <f ca="1">IFERROR(__xludf.DUMMYFUNCTION("""COMPUTED_VALUE"""),"No")</f>
        <v>No</v>
      </c>
      <c r="AJ2652" s="8" t="str">
        <f ca="1">IFERROR(__xludf.DUMMYFUNCTION("""COMPUTED_VALUE"""),"No")</f>
        <v>No</v>
      </c>
      <c r="AK2652" s="8" t="str">
        <f ca="1">IFERROR(__xludf.DUMMYFUNCTION("""COMPUTED_VALUE"""),"No")</f>
        <v>No</v>
      </c>
      <c r="AL2652" s="8" t="str">
        <f ca="1">IFERROR(__xludf.DUMMYFUNCTION("""COMPUTED_VALUE"""),"No")</f>
        <v>No</v>
      </c>
      <c r="AM2652" s="8"/>
      <c r="AN2652" s="8"/>
      <c r="AO2652" s="8" t="str">
        <f ca="1">IFERROR(__xludf.DUMMYFUNCTION("""COMPUTED_VALUE"""),"No")</f>
        <v>No</v>
      </c>
      <c r="AP2652" s="8"/>
      <c r="AQ2652" s="8" t="str">
        <f ca="1">IFERROR(__xludf.DUMMYFUNCTION("""COMPUTED_VALUE"""),"Unknown")</f>
        <v>Unknown</v>
      </c>
      <c r="AR2652" s="8" t="str">
        <f ca="1">IFERROR(__xludf.DUMMYFUNCTION("""COMPUTED_VALUE"""),"NA")</f>
        <v>NA</v>
      </c>
      <c r="AS2652" s="8">
        <f ca="1">IFERROR(__xludf.DUMMYFUNCTION("""COMPUTED_VALUE"""),1)</f>
        <v>1</v>
      </c>
      <c r="AT2652" s="8"/>
      <c r="AU2652" s="8">
        <f ca="1">IFERROR(__xludf.DUMMYFUNCTION("""COMPUTED_VALUE"""),42.159909)</f>
        <v>42.159908999999999</v>
      </c>
      <c r="AV2652" s="8">
        <f ca="1">IFERROR(__xludf.DUMMYFUNCTION("""COMPUTED_VALUE"""),-75.125739)</f>
        <v>-75.125738999999996</v>
      </c>
      <c r="AW2652" s="8"/>
      <c r="AX2652" s="8">
        <f ca="1">IFERROR(__xludf.DUMMYFUNCTION("""COMPUTED_VALUE"""),13856)</f>
        <v>13856</v>
      </c>
    </row>
    <row r="2653" spans="1:50" ht="90" x14ac:dyDescent="0.2">
      <c r="A2653" s="8" t="str">
        <f ca="1">IFERROR(__xludf.DUMMYFUNCTION("""COMPUTED_VALUE"""),"19921203ILWOC")</f>
        <v>19921203ILWOC</v>
      </c>
      <c r="B2653" s="8">
        <f ca="1">IFERROR(__xludf.DUMMYFUNCTION("""COMPUTED_VALUE"""),12)</f>
        <v>12</v>
      </c>
      <c r="C2653" s="8">
        <f ca="1">IFERROR(__xludf.DUMMYFUNCTION("""COMPUTED_VALUE"""),3)</f>
        <v>3</v>
      </c>
      <c r="D2653" s="8">
        <f ca="1">IFERROR(__xludf.DUMMYFUNCTION("""COMPUTED_VALUE"""),1992)</f>
        <v>1992</v>
      </c>
      <c r="E2653" s="9">
        <f ca="1">IFERROR(__xludf.DUMMYFUNCTION("""COMPUTED_VALUE"""),33941)</f>
        <v>33941</v>
      </c>
      <c r="F2653" s="8" t="str">
        <f ca="1">IFERROR(__xludf.DUMMYFUNCTION("""COMPUTED_VALUE"""),"Woodson High School")</f>
        <v>Woodson High School</v>
      </c>
      <c r="G2653" s="8">
        <f ca="1">IFERROR(__xludf.DUMMYFUNCTION("""COMPUTED_VALUE"""),1)</f>
        <v>1</v>
      </c>
      <c r="H2653" s="8">
        <f ca="1">IFERROR(__xludf.DUMMYFUNCTION("""COMPUTED_VALUE"""),1)</f>
        <v>1</v>
      </c>
      <c r="I2653" s="8">
        <f ca="1">IFERROR(__xludf.DUMMYFUNCTION("""COMPUTED_VALUE"""),2)</f>
        <v>2</v>
      </c>
      <c r="J2653" s="8">
        <f ca="1">IFERROR(__xludf.DUMMYFUNCTION("""COMPUTED_VALUE"""),0)</f>
        <v>0</v>
      </c>
      <c r="K2653" s="10" t="str">
        <f ca="1">IFERROR(__xludf.DUMMYFUNCTION("""COMPUTED_VALUE"""),"https://www.newspapers.com/image/389807433/")</f>
        <v>https://www.newspapers.com/image/389807433/</v>
      </c>
      <c r="L2653" s="8"/>
      <c r="M2653" s="8"/>
      <c r="N2653" s="8">
        <f ca="1">IFERROR(__xludf.DUMMYFUNCTION("""COMPUTED_VALUE"""),2)</f>
        <v>2</v>
      </c>
      <c r="O2653" s="8" t="str">
        <f ca="1">IFERROR(__xludf.DUMMYFUNCTION("""COMPUTED_VALUE"""),"Winter")</f>
        <v>Winter</v>
      </c>
      <c r="P2653" s="8" t="str">
        <f ca="1">IFERROR(__xludf.DUMMYFUNCTION("""COMPUTED_VALUE"""),"Chicago")</f>
        <v>Chicago</v>
      </c>
      <c r="Q2653" s="8" t="str">
        <f ca="1">IFERROR(__xludf.DUMMYFUNCTION("""COMPUTED_VALUE"""),"IL")</f>
        <v>IL</v>
      </c>
      <c r="R2653" s="8" t="str">
        <f ca="1">IFERROR(__xludf.DUMMYFUNCTION("""COMPUTED_VALUE"""),"High")</f>
        <v>High</v>
      </c>
      <c r="S2653" s="8" t="str">
        <f ca="1">IFERROR(__xludf.DUMMYFUNCTION("""COMPUTED_VALUE"""),"Gym")</f>
        <v>Gym</v>
      </c>
      <c r="T2653" s="8" t="str">
        <f ca="1">IFERROR(__xludf.DUMMYFUNCTION("""COMPUTED_VALUE"""),"Inside School Building")</f>
        <v>Inside School Building</v>
      </c>
      <c r="U2653" s="8" t="str">
        <f ca="1">IFERROR(__xludf.DUMMYFUNCTION("""COMPUTED_VALUE"""),"No")</f>
        <v>No</v>
      </c>
      <c r="V2653" s="8" t="str">
        <f ca="1">IFERROR(__xludf.DUMMYFUNCTION("""COMPUTED_VALUE"""),"Sport Event")</f>
        <v>Sport Event</v>
      </c>
      <c r="W2653" s="11">
        <f ca="1">IFERROR(__xludf.DUMMYFUNCTION("""COMPUTED_VALUE"""),0.791666666666666)</f>
        <v>0.79166666666666596</v>
      </c>
      <c r="X2653" s="8">
        <f ca="1">IFERROR(__xludf.DUMMYFUNCTION("""COMPUTED_VALUE"""),1)</f>
        <v>1</v>
      </c>
      <c r="Y2653" s="12" t="str">
        <f ca="1">IFERROR(__xludf.DUMMYFUNCTION("""COMPUTED_VALUE"""),"Shooting during open gym at basketball court")</f>
        <v>Shooting during open gym at basketball court</v>
      </c>
      <c r="Z2653" s="12" t="str">
        <f ca="1">IFERROR(__xludf.DUMMYFUNCTION("""COMPUTED_VALUE"""),"Open gym at the school from 3-7PM for students and adults. 25 people were in the gym and 2 gun man entered firing at 2 targeted victims (19YOM 23 YOM). Gunmen fled and were confronted by police officer assigned to school. Officer fired multiple shots but "&amp;"shooters escaped in vehicle. Police said shooting was gang related.")</f>
        <v>Open gym at the school from 3-7PM for students and adults. 25 people were in the gym and 2 gun man entered firing at 2 targeted victims (19YOM 23 YOM). Gunmen fled and were confronted by police officer assigned to school. Officer fired multiple shots but shooters escaped in vehicle. Police said shooting was gang related.</v>
      </c>
      <c r="AA2653" s="8" t="str">
        <f ca="1">IFERROR(__xludf.DUMMYFUNCTION("""COMPUTED_VALUE"""),"Escalation of Dispute")</f>
        <v>Escalation of Dispute</v>
      </c>
      <c r="AB2653" s="8"/>
      <c r="AC2653" s="8"/>
      <c r="AD2653" s="8" t="str">
        <f ca="1">IFERROR(__xludf.DUMMYFUNCTION("""COMPUTED_VALUE"""),"Victims Targeted")</f>
        <v>Victims Targeted</v>
      </c>
      <c r="AE2653" s="8" t="str">
        <f ca="1">IFERROR(__xludf.DUMMYFUNCTION("""COMPUTED_VALUE"""),"Yes")</f>
        <v>Yes</v>
      </c>
      <c r="AF2653" s="8" t="str">
        <f ca="1">IFERROR(__xludf.DUMMYFUNCTION("""COMPUTED_VALUE"""),"2 shooters")</f>
        <v>2 shooters</v>
      </c>
      <c r="AG2653" s="8" t="str">
        <f ca="1">IFERROR(__xludf.DUMMYFUNCTION("""COMPUTED_VALUE"""),"No")</f>
        <v>No</v>
      </c>
      <c r="AH2653" s="8" t="str">
        <f ca="1">IFERROR(__xludf.DUMMYFUNCTION("""COMPUTED_VALUE"""),"No")</f>
        <v>No</v>
      </c>
      <c r="AI2653" s="8" t="str">
        <f ca="1">IFERROR(__xludf.DUMMYFUNCTION("""COMPUTED_VALUE"""),"No")</f>
        <v>No</v>
      </c>
      <c r="AJ2653" s="8" t="str">
        <f ca="1">IFERROR(__xludf.DUMMYFUNCTION("""COMPUTED_VALUE"""),"No")</f>
        <v>No</v>
      </c>
      <c r="AK2653" s="8" t="str">
        <f ca="1">IFERROR(__xludf.DUMMYFUNCTION("""COMPUTED_VALUE"""),"No")</f>
        <v>No</v>
      </c>
      <c r="AL2653" s="8" t="str">
        <f ca="1">IFERROR(__xludf.DUMMYFUNCTION("""COMPUTED_VALUE"""),"Yes")</f>
        <v>Yes</v>
      </c>
      <c r="AM2653" s="8"/>
      <c r="AN2653" s="8"/>
      <c r="AO2653" s="8" t="str">
        <f ca="1">IFERROR(__xludf.DUMMYFUNCTION("""COMPUTED_VALUE"""),"No")</f>
        <v>No</v>
      </c>
      <c r="AP2653" s="8"/>
      <c r="AQ2653" s="8" t="str">
        <f ca="1">IFERROR(__xludf.DUMMYFUNCTION("""COMPUTED_VALUE"""),"Unknown")</f>
        <v>Unknown</v>
      </c>
      <c r="AR2653" s="8" t="str">
        <f ca="1">IFERROR(__xludf.DUMMYFUNCTION("""COMPUTED_VALUE"""),"NA")</f>
        <v>NA</v>
      </c>
      <c r="AS2653" s="8">
        <f ca="1">IFERROR(__xludf.DUMMYFUNCTION("""COMPUTED_VALUE"""),5)</f>
        <v>5</v>
      </c>
      <c r="AT2653" s="8"/>
      <c r="AU2653" s="8">
        <f ca="1">IFERROR(__xludf.DUMMYFUNCTION("""COMPUTED_VALUE"""),41.814005)</f>
        <v>41.814005000000002</v>
      </c>
      <c r="AV2653" s="8">
        <f ca="1">IFERROR(__xludf.DUMMYFUNCTION("""COMPUTED_VALUE"""),-87.608652)</f>
        <v>-87.608652000000006</v>
      </c>
      <c r="AW2653" s="8"/>
      <c r="AX2653" s="8">
        <f ca="1">IFERROR(__xludf.DUMMYFUNCTION("""COMPUTED_VALUE"""),60653)</f>
        <v>60653</v>
      </c>
    </row>
    <row r="2654" spans="1:50" ht="75" x14ac:dyDescent="0.2">
      <c r="A2654" s="8" t="str">
        <f ca="1">IFERROR(__xludf.DUMMYFUNCTION("""COMPUTED_VALUE"""),"19921202PASOS")</f>
        <v>19921202PASOS</v>
      </c>
      <c r="B2654" s="8">
        <f ca="1">IFERROR(__xludf.DUMMYFUNCTION("""COMPUTED_VALUE"""),12)</f>
        <v>12</v>
      </c>
      <c r="C2654" s="8">
        <f ca="1">IFERROR(__xludf.DUMMYFUNCTION("""COMPUTED_VALUE"""),2)</f>
        <v>2</v>
      </c>
      <c r="D2654" s="8">
        <f ca="1">IFERROR(__xludf.DUMMYFUNCTION("""COMPUTED_VALUE"""),1992)</f>
        <v>1992</v>
      </c>
      <c r="E2654" s="9">
        <f ca="1">IFERROR(__xludf.DUMMYFUNCTION("""COMPUTED_VALUE"""),33940)</f>
        <v>33940</v>
      </c>
      <c r="F2654" s="8" t="str">
        <f ca="1">IFERROR(__xludf.DUMMYFUNCTION("""COMPUTED_VALUE"""),"South Philadelphia High School")</f>
        <v>South Philadelphia High School</v>
      </c>
      <c r="G2654" s="8">
        <f ca="1">IFERROR(__xludf.DUMMYFUNCTION("""COMPUTED_VALUE"""),0)</f>
        <v>0</v>
      </c>
      <c r="H2654" s="8">
        <f ca="1">IFERROR(__xludf.DUMMYFUNCTION("""COMPUTED_VALUE"""),2)</f>
        <v>2</v>
      </c>
      <c r="I2654" s="8">
        <f ca="1">IFERROR(__xludf.DUMMYFUNCTION("""COMPUTED_VALUE"""),2)</f>
        <v>2</v>
      </c>
      <c r="J2654" s="8">
        <f ca="1">IFERROR(__xludf.DUMMYFUNCTION("""COMPUTED_VALUE"""),0)</f>
        <v>0</v>
      </c>
      <c r="K2654" s="10" t="str">
        <f ca="1">IFERROR(__xludf.DUMMYFUNCTION("""COMPUTED_VALUE"""),"https://www.newspapers.com/image/923226972/?terms=school%20shooting%20pennsylvania&amp;match=1")</f>
        <v>https://www.newspapers.com/image/923226972/?terms=school%20shooting%20pennsylvania&amp;match=1</v>
      </c>
      <c r="L2654" s="8"/>
      <c r="M2654" s="8" t="str">
        <f ca="1">IFERROR(__xludf.DUMMYFUNCTION("""COMPUTED_VALUE"""),"Regional")</f>
        <v>Regional</v>
      </c>
      <c r="N2654" s="8">
        <f ca="1">IFERROR(__xludf.DUMMYFUNCTION("""COMPUTED_VALUE"""),4)</f>
        <v>4</v>
      </c>
      <c r="O2654" s="8" t="str">
        <f ca="1">IFERROR(__xludf.DUMMYFUNCTION("""COMPUTED_VALUE"""),"Winter")</f>
        <v>Winter</v>
      </c>
      <c r="P2654" s="8" t="str">
        <f ca="1">IFERROR(__xludf.DUMMYFUNCTION("""COMPUTED_VALUE"""),"Philadelphia")</f>
        <v>Philadelphia</v>
      </c>
      <c r="Q2654" s="8" t="str">
        <f ca="1">IFERROR(__xludf.DUMMYFUNCTION("""COMPUTED_VALUE"""),"PA")</f>
        <v>PA</v>
      </c>
      <c r="R2654" s="8" t="str">
        <f ca="1">IFERROR(__xludf.DUMMYFUNCTION("""COMPUTED_VALUE"""),"High")</f>
        <v>High</v>
      </c>
      <c r="S2654" s="8" t="str">
        <f ca="1">IFERROR(__xludf.DUMMYFUNCTION("""COMPUTED_VALUE"""),"Cafeteria")</f>
        <v>Cafeteria</v>
      </c>
      <c r="T2654" s="8" t="str">
        <f ca="1">IFERROR(__xludf.DUMMYFUNCTION("""COMPUTED_VALUE"""),"Inside School Building")</f>
        <v>Inside School Building</v>
      </c>
      <c r="U2654" s="8" t="str">
        <f ca="1">IFERROR(__xludf.DUMMYFUNCTION("""COMPUTED_VALUE"""),"Yes")</f>
        <v>Yes</v>
      </c>
      <c r="V2654" s="8" t="str">
        <f ca="1">IFERROR(__xludf.DUMMYFUNCTION("""COMPUTED_VALUE"""),"Lunch")</f>
        <v>Lunch</v>
      </c>
      <c r="W2654" s="11">
        <f ca="1">IFERROR(__xludf.DUMMYFUNCTION("""COMPUTED_VALUE"""),0.479166666666666)</f>
        <v>0.47916666666666602</v>
      </c>
      <c r="X2654" s="8">
        <f ca="1">IFERROR(__xludf.DUMMYFUNCTION("""COMPUTED_VALUE"""),1)</f>
        <v>1</v>
      </c>
      <c r="Y2654" s="12" t="str">
        <f ca="1">IFERROR(__xludf.DUMMYFUNCTION("""COMPUTED_VALUE"""),"Student fired shotgun inside cafeteria during fight between two groups")</f>
        <v>Student fired shotgun inside cafeteria during fight between two groups</v>
      </c>
      <c r="Z2654" s="12" t="str">
        <f ca="1">IFERROR(__xludf.DUMMYFUNCTION("""COMPUTED_VALUE"""),"Student fired shotgun inside cafeteria during fight between two groups. Shooter fled and was arrested. Two students wounded.")</f>
        <v>Student fired shotgun inside cafeteria during fight between two groups. Shooter fled and was arrested. Two students wounded.</v>
      </c>
      <c r="AA2654" s="8" t="str">
        <f ca="1">IFERROR(__xludf.DUMMYFUNCTION("""COMPUTED_VALUE"""),"Escalation of Dispute")</f>
        <v>Escalation of Dispute</v>
      </c>
      <c r="AB2654" s="8"/>
      <c r="AC2654" s="8"/>
      <c r="AD2654" s="8" t="str">
        <f ca="1">IFERROR(__xludf.DUMMYFUNCTION("""COMPUTED_VALUE"""),"Both")</f>
        <v>Both</v>
      </c>
      <c r="AE2654" s="8" t="str">
        <f ca="1">IFERROR(__xludf.DUMMYFUNCTION("""COMPUTED_VALUE"""),"No")</f>
        <v>No</v>
      </c>
      <c r="AF2654" s="8"/>
      <c r="AG2654" s="8" t="str">
        <f ca="1">IFERROR(__xludf.DUMMYFUNCTION("""COMPUTED_VALUE"""),"No")</f>
        <v>No</v>
      </c>
      <c r="AH2654" s="8" t="str">
        <f ca="1">IFERROR(__xludf.DUMMYFUNCTION("""COMPUTED_VALUE"""),"No")</f>
        <v>No</v>
      </c>
      <c r="AI2654" s="8" t="str">
        <f ca="1">IFERROR(__xludf.DUMMYFUNCTION("""COMPUTED_VALUE"""),"No")</f>
        <v>No</v>
      </c>
      <c r="AJ2654" s="8" t="str">
        <f ca="1">IFERROR(__xludf.DUMMYFUNCTION("""COMPUTED_VALUE"""),"No")</f>
        <v>No</v>
      </c>
      <c r="AK2654" s="8" t="str">
        <f ca="1">IFERROR(__xludf.DUMMYFUNCTION("""COMPUTED_VALUE"""),"No")</f>
        <v>No</v>
      </c>
      <c r="AL2654" s="8" t="str">
        <f ca="1">IFERROR(__xludf.DUMMYFUNCTION("""COMPUTED_VALUE"""),"Yes")</f>
        <v>Yes</v>
      </c>
      <c r="AM2654" s="8" t="str">
        <f ca="1">IFERROR(__xludf.DUMMYFUNCTION("""COMPUTED_VALUE"""),"No")</f>
        <v>No</v>
      </c>
      <c r="AN2654" s="8" t="str">
        <f ca="1">IFERROR(__xludf.DUMMYFUNCTION("""COMPUTED_VALUE"""),"Single Room")</f>
        <v>Single Room</v>
      </c>
      <c r="AO2654" s="8" t="str">
        <f ca="1">IFERROR(__xludf.DUMMYFUNCTION("""COMPUTED_VALUE"""),"No")</f>
        <v>No</v>
      </c>
      <c r="AP2654" s="8"/>
      <c r="AQ2654" s="8"/>
      <c r="AR2654" s="8"/>
      <c r="AS2654" s="8">
        <f ca="1">IFERROR(__xludf.DUMMYFUNCTION("""COMPUTED_VALUE"""),2)</f>
        <v>2</v>
      </c>
      <c r="AT2654" s="8"/>
      <c r="AU2654" s="8">
        <f ca="1">IFERROR(__xludf.DUMMYFUNCTION("""COMPUTED_VALUE"""),39.923315)</f>
        <v>39.923315000000002</v>
      </c>
      <c r="AV2654" s="8">
        <f ca="1">IFERROR(__xludf.DUMMYFUNCTION("""COMPUTED_VALUE"""),-75.168804)</f>
        <v>-75.168803999999994</v>
      </c>
      <c r="AW2654" s="8"/>
      <c r="AX2654" s="8">
        <f ca="1">IFERROR(__xludf.DUMMYFUNCTION("""COMPUTED_VALUE"""),19148)</f>
        <v>19148</v>
      </c>
    </row>
    <row r="2655" spans="1:50" ht="45" x14ac:dyDescent="0.2">
      <c r="A2655" s="8" t="str">
        <f ca="1">IFERROR(__xludf.DUMMYFUNCTION("""COMPUTED_VALUE"""),"19921130ILORC")</f>
        <v>19921130ILORC</v>
      </c>
      <c r="B2655" s="8">
        <f ca="1">IFERROR(__xludf.DUMMYFUNCTION("""COMPUTED_VALUE"""),11)</f>
        <v>11</v>
      </c>
      <c r="C2655" s="8">
        <f ca="1">IFERROR(__xludf.DUMMYFUNCTION("""COMPUTED_VALUE"""),30)</f>
        <v>30</v>
      </c>
      <c r="D2655" s="8">
        <f ca="1">IFERROR(__xludf.DUMMYFUNCTION("""COMPUTED_VALUE"""),1992)</f>
        <v>1992</v>
      </c>
      <c r="E2655" s="9">
        <f ca="1">IFERROR(__xludf.DUMMYFUNCTION("""COMPUTED_VALUE"""),33938)</f>
        <v>33938</v>
      </c>
      <c r="F2655" s="8" t="str">
        <f ca="1">IFERROR(__xludf.DUMMYFUNCTION("""COMPUTED_VALUE"""),"Orr High School")</f>
        <v>Orr High School</v>
      </c>
      <c r="G2655" s="8">
        <f ca="1">IFERROR(__xludf.DUMMYFUNCTION("""COMPUTED_VALUE"""),0)</f>
        <v>0</v>
      </c>
      <c r="H2655" s="8">
        <f ca="1">IFERROR(__xludf.DUMMYFUNCTION("""COMPUTED_VALUE"""),1)</f>
        <v>1</v>
      </c>
      <c r="I2655" s="8">
        <f ca="1">IFERROR(__xludf.DUMMYFUNCTION("""COMPUTED_VALUE"""),1)</f>
        <v>1</v>
      </c>
      <c r="J2655" s="8">
        <f ca="1">IFERROR(__xludf.DUMMYFUNCTION("""COMPUTED_VALUE"""),0)</f>
        <v>0</v>
      </c>
      <c r="K2655" s="10" t="str">
        <f ca="1">IFERROR(__xludf.DUMMYFUNCTION("""COMPUTED_VALUE"""),"https://www.newspapers.com/image/389789093/?terms=laroyal%2Bcrowley")</f>
        <v>https://www.newspapers.com/image/389789093/?terms=laroyal%2Bcrowley</v>
      </c>
      <c r="L2655" s="8"/>
      <c r="M2655" s="8"/>
      <c r="N2655" s="8">
        <f ca="1">IFERROR(__xludf.DUMMYFUNCTION("""COMPUTED_VALUE"""),2)</f>
        <v>2</v>
      </c>
      <c r="O2655" s="8" t="str">
        <f ca="1">IFERROR(__xludf.DUMMYFUNCTION("""COMPUTED_VALUE"""),"Fall")</f>
        <v>Fall</v>
      </c>
      <c r="P2655" s="8" t="str">
        <f ca="1">IFERROR(__xludf.DUMMYFUNCTION("""COMPUTED_VALUE"""),"Chicago")</f>
        <v>Chicago</v>
      </c>
      <c r="Q2655" s="8" t="str">
        <f ca="1">IFERROR(__xludf.DUMMYFUNCTION("""COMPUTED_VALUE"""),"IL")</f>
        <v>IL</v>
      </c>
      <c r="R2655" s="8" t="str">
        <f ca="1">IFERROR(__xludf.DUMMYFUNCTION("""COMPUTED_VALUE"""),"High")</f>
        <v>High</v>
      </c>
      <c r="S2655" s="8" t="str">
        <f ca="1">IFERROR(__xludf.DUMMYFUNCTION("""COMPUTED_VALUE"""),"Beside Building")</f>
        <v>Beside Building</v>
      </c>
      <c r="T2655" s="8" t="str">
        <f ca="1">IFERROR(__xludf.DUMMYFUNCTION("""COMPUTED_VALUE"""),"Outside on School Property")</f>
        <v>Outside on School Property</v>
      </c>
      <c r="U2655" s="8" t="str">
        <f ca="1">IFERROR(__xludf.DUMMYFUNCTION("""COMPUTED_VALUE"""),"Yes")</f>
        <v>Yes</v>
      </c>
      <c r="V2655" s="8" t="str">
        <f ca="1">IFERROR(__xludf.DUMMYFUNCTION("""COMPUTED_VALUE"""),"Dismissal")</f>
        <v>Dismissal</v>
      </c>
      <c r="W2655" s="8"/>
      <c r="X2655" s="8"/>
      <c r="Y2655" s="12" t="str">
        <f ca="1">IFERROR(__xludf.DUMMYFUNCTION("""COMPUTED_VALUE"""),"Retaliation for previous beating by victim")</f>
        <v>Retaliation for previous beating by victim</v>
      </c>
      <c r="Z2655" s="12" t="str">
        <f ca="1">IFERROR(__xludf.DUMMYFUNCTION("""COMPUTED_VALUE"""),"17YOM shot 16YOM as he exited high school. Victim had beaten the shooter in a prior incident. Shooter fled the scene.")</f>
        <v>17YOM shot 16YOM as he exited high school. Victim had beaten the shooter in a prior incident. Shooter fled the scene.</v>
      </c>
      <c r="AA2655" s="8" t="str">
        <f ca="1">IFERROR(__xludf.DUMMYFUNCTION("""COMPUTED_VALUE"""),"Escalation of Dispute")</f>
        <v>Escalation of Dispute</v>
      </c>
      <c r="AB2655" s="8"/>
      <c r="AC2655" s="8"/>
      <c r="AD2655" s="8" t="str">
        <f ca="1">IFERROR(__xludf.DUMMYFUNCTION("""COMPUTED_VALUE"""),"Victims Targeted")</f>
        <v>Victims Targeted</v>
      </c>
      <c r="AE2655" s="8" t="str">
        <f ca="1">IFERROR(__xludf.DUMMYFUNCTION("""COMPUTED_VALUE"""),"No")</f>
        <v>No</v>
      </c>
      <c r="AF2655" s="8"/>
      <c r="AG2655" s="8" t="str">
        <f ca="1">IFERROR(__xludf.DUMMYFUNCTION("""COMPUTED_VALUE"""),"No")</f>
        <v>No</v>
      </c>
      <c r="AH2655" s="8" t="str">
        <f ca="1">IFERROR(__xludf.DUMMYFUNCTION("""COMPUTED_VALUE"""),"No")</f>
        <v>No</v>
      </c>
      <c r="AI2655" s="8" t="str">
        <f ca="1">IFERROR(__xludf.DUMMYFUNCTION("""COMPUTED_VALUE"""),"No")</f>
        <v>No</v>
      </c>
      <c r="AJ2655" s="8" t="str">
        <f ca="1">IFERROR(__xludf.DUMMYFUNCTION("""COMPUTED_VALUE"""),"No")</f>
        <v>No</v>
      </c>
      <c r="AK2655" s="8" t="str">
        <f ca="1">IFERROR(__xludf.DUMMYFUNCTION("""COMPUTED_VALUE"""),"No")</f>
        <v>No</v>
      </c>
      <c r="AL2655" s="8" t="str">
        <f ca="1">IFERROR(__xludf.DUMMYFUNCTION("""COMPUTED_VALUE"""),"No")</f>
        <v>No</v>
      </c>
      <c r="AM2655" s="8"/>
      <c r="AN2655" s="8"/>
      <c r="AO2655" s="8" t="str">
        <f ca="1">IFERROR(__xludf.DUMMYFUNCTION("""COMPUTED_VALUE"""),"No")</f>
        <v>No</v>
      </c>
      <c r="AP2655" s="8"/>
      <c r="AQ2655" s="8" t="str">
        <f ca="1">IFERROR(__xludf.DUMMYFUNCTION("""COMPUTED_VALUE"""),"Unknown")</f>
        <v>Unknown</v>
      </c>
      <c r="AR2655" s="8" t="str">
        <f ca="1">IFERROR(__xludf.DUMMYFUNCTION("""COMPUTED_VALUE"""),"NA")</f>
        <v>NA</v>
      </c>
      <c r="AS2655" s="8" t="str">
        <f ca="1">IFERROR(__xludf.DUMMYFUNCTION("""COMPUTED_VALUE"""),"&lt;10")</f>
        <v>&lt;10</v>
      </c>
      <c r="AT2655" s="8"/>
      <c r="AU2655" s="8">
        <f ca="1">IFERROR(__xludf.DUMMYFUNCTION("""COMPUTED_VALUE"""),41.893855)</f>
        <v>41.893855000000002</v>
      </c>
      <c r="AV2655" s="8">
        <f ca="1">IFERROR(__xludf.DUMMYFUNCTION("""COMPUTED_VALUE"""),-87.726778)</f>
        <v>-87.726777999999996</v>
      </c>
      <c r="AW2655" s="8"/>
      <c r="AX2655" s="8">
        <f ca="1">IFERROR(__xludf.DUMMYFUNCTION("""COMPUTED_VALUE"""),60624)</f>
        <v>60624</v>
      </c>
    </row>
    <row r="2656" spans="1:50" ht="45" x14ac:dyDescent="0.2">
      <c r="A2656" s="8" t="str">
        <f ca="1">IFERROR(__xludf.DUMMYFUNCTION("""COMPUTED_VALUE"""),"19921124ALROM")</f>
        <v>19921124ALROM</v>
      </c>
      <c r="B2656" s="8">
        <f ca="1">IFERROR(__xludf.DUMMYFUNCTION("""COMPUTED_VALUE"""),11)</f>
        <v>11</v>
      </c>
      <c r="C2656" s="8">
        <f ca="1">IFERROR(__xludf.DUMMYFUNCTION("""COMPUTED_VALUE"""),24)</f>
        <v>24</v>
      </c>
      <c r="D2656" s="8">
        <f ca="1">IFERROR(__xludf.DUMMYFUNCTION("""COMPUTED_VALUE"""),1992)</f>
        <v>1992</v>
      </c>
      <c r="E2656" s="9">
        <f ca="1">IFERROR(__xludf.DUMMYFUNCTION("""COMPUTED_VALUE"""),33932)</f>
        <v>33932</v>
      </c>
      <c r="F2656" s="8" t="str">
        <f ca="1">IFERROR(__xludf.DUMMYFUNCTION("""COMPUTED_VALUE"""),"Robert E. Lee High School")</f>
        <v>Robert E. Lee High School</v>
      </c>
      <c r="G2656" s="8">
        <f ca="1">IFERROR(__xludf.DUMMYFUNCTION("""COMPUTED_VALUE"""),0)</f>
        <v>0</v>
      </c>
      <c r="H2656" s="8">
        <f ca="1">IFERROR(__xludf.DUMMYFUNCTION("""COMPUTED_VALUE"""),1)</f>
        <v>1</v>
      </c>
      <c r="I2656" s="8">
        <f ca="1">IFERROR(__xludf.DUMMYFUNCTION("""COMPUTED_VALUE"""),1)</f>
        <v>1</v>
      </c>
      <c r="J2656" s="8">
        <f ca="1">IFERROR(__xludf.DUMMYFUNCTION("""COMPUTED_VALUE"""),0)</f>
        <v>0</v>
      </c>
      <c r="K2656" s="8" t="str">
        <f ca="1">IFERROR(__xludf.DUMMYFUNCTION("""COMPUTED_VALUE"""),"Mobile Register - Student Shoots Self in Finger; https://www.columbine-angels.com/School_Violence_1992-1993.htm")</f>
        <v>Mobile Register - Student Shoots Self in Finger; https://www.columbine-angels.com/School_Violence_1992-1993.htm</v>
      </c>
      <c r="L2656" s="8"/>
      <c r="M2656" s="8"/>
      <c r="N2656" s="8">
        <f ca="1">IFERROR(__xludf.DUMMYFUNCTION("""COMPUTED_VALUE"""),1)</f>
        <v>1</v>
      </c>
      <c r="O2656" s="8" t="str">
        <f ca="1">IFERROR(__xludf.DUMMYFUNCTION("""COMPUTED_VALUE"""),"Fall")</f>
        <v>Fall</v>
      </c>
      <c r="P2656" s="8" t="str">
        <f ca="1">IFERROR(__xludf.DUMMYFUNCTION("""COMPUTED_VALUE"""),"Montgomery")</f>
        <v>Montgomery</v>
      </c>
      <c r="Q2656" s="8" t="str">
        <f ca="1">IFERROR(__xludf.DUMMYFUNCTION("""COMPUTED_VALUE"""),"AL")</f>
        <v>AL</v>
      </c>
      <c r="R2656" s="8" t="str">
        <f ca="1">IFERROR(__xludf.DUMMYFUNCTION("""COMPUTED_VALUE"""),"High")</f>
        <v>High</v>
      </c>
      <c r="S2656" s="8" t="str">
        <f ca="1">IFERROR(__xludf.DUMMYFUNCTION("""COMPUTED_VALUE"""),"Bathroom")</f>
        <v>Bathroom</v>
      </c>
      <c r="T2656" s="8" t="str">
        <f ca="1">IFERROR(__xludf.DUMMYFUNCTION("""COMPUTED_VALUE"""),"Inside School Building")</f>
        <v>Inside School Building</v>
      </c>
      <c r="U2656" s="8" t="str">
        <f ca="1">IFERROR(__xludf.DUMMYFUNCTION("""COMPUTED_VALUE"""),"Yes")</f>
        <v>Yes</v>
      </c>
      <c r="V2656" s="8"/>
      <c r="W2656" s="8"/>
      <c r="X2656" s="8">
        <f ca="1">IFERROR(__xludf.DUMMYFUNCTION("""COMPUTED_VALUE"""),1)</f>
        <v>1</v>
      </c>
      <c r="Y2656" s="12" t="str">
        <f ca="1">IFERROR(__xludf.DUMMYFUNCTION("""COMPUTED_VALUE"""),"Fight between two girls in school bathroom")</f>
        <v>Fight between two girls in school bathroom</v>
      </c>
      <c r="Z2656" s="12" t="str">
        <f ca="1">IFERROR(__xludf.DUMMYFUNCTION("""COMPUTED_VALUE"""),"Fight between 18YOF and 17YOF in bathroom of school. 18YOF pulled handgun and during struggle shot herself in the finger.")</f>
        <v>Fight between 18YOF and 17YOF in bathroom of school. 18YOF pulled handgun and during struggle shot herself in the finger.</v>
      </c>
      <c r="AA2656" s="8" t="str">
        <f ca="1">IFERROR(__xludf.DUMMYFUNCTION("""COMPUTED_VALUE"""),"Escalation of Dispute")</f>
        <v>Escalation of Dispute</v>
      </c>
      <c r="AB2656" s="8"/>
      <c r="AC2656" s="8"/>
      <c r="AD2656" s="8" t="str">
        <f ca="1">IFERROR(__xludf.DUMMYFUNCTION("""COMPUTED_VALUE"""),"Victims Targeted")</f>
        <v>Victims Targeted</v>
      </c>
      <c r="AE2656" s="8" t="str">
        <f ca="1">IFERROR(__xludf.DUMMYFUNCTION("""COMPUTED_VALUE"""),"No")</f>
        <v>No</v>
      </c>
      <c r="AF2656" s="8"/>
      <c r="AG2656" s="8" t="str">
        <f ca="1">IFERROR(__xludf.DUMMYFUNCTION("""COMPUTED_VALUE"""),"No")</f>
        <v>No</v>
      </c>
      <c r="AH2656" s="8" t="str">
        <f ca="1">IFERROR(__xludf.DUMMYFUNCTION("""COMPUTED_VALUE"""),"No")</f>
        <v>No</v>
      </c>
      <c r="AI2656" s="8" t="str">
        <f ca="1">IFERROR(__xludf.DUMMYFUNCTION("""COMPUTED_VALUE"""),"No")</f>
        <v>No</v>
      </c>
      <c r="AJ2656" s="8" t="str">
        <f ca="1">IFERROR(__xludf.DUMMYFUNCTION("""COMPUTED_VALUE"""),"No")</f>
        <v>No</v>
      </c>
      <c r="AK2656" s="8" t="str">
        <f ca="1">IFERROR(__xludf.DUMMYFUNCTION("""COMPUTED_VALUE"""),"No")</f>
        <v>No</v>
      </c>
      <c r="AL2656" s="8" t="str">
        <f ca="1">IFERROR(__xludf.DUMMYFUNCTION("""COMPUTED_VALUE"""),"No")</f>
        <v>No</v>
      </c>
      <c r="AM2656" s="8"/>
      <c r="AN2656" s="8"/>
      <c r="AO2656" s="8" t="str">
        <f ca="1">IFERROR(__xludf.DUMMYFUNCTION("""COMPUTED_VALUE"""),"No")</f>
        <v>No</v>
      </c>
      <c r="AP2656" s="8"/>
      <c r="AQ2656" s="8" t="str">
        <f ca="1">IFERROR(__xludf.DUMMYFUNCTION("""COMPUTED_VALUE"""),"Unknown")</f>
        <v>Unknown</v>
      </c>
      <c r="AR2656" s="8" t="str">
        <f ca="1">IFERROR(__xludf.DUMMYFUNCTION("""COMPUTED_VALUE"""),"NA")</f>
        <v>NA</v>
      </c>
      <c r="AS2656" s="8">
        <f ca="1">IFERROR(__xludf.DUMMYFUNCTION("""COMPUTED_VALUE"""),1)</f>
        <v>1</v>
      </c>
      <c r="AT2656" s="8"/>
      <c r="AU2656" s="8">
        <f ca="1">IFERROR(__xludf.DUMMYFUNCTION("""COMPUTED_VALUE"""),32.378534)</f>
        <v>32.378534000000002</v>
      </c>
      <c r="AV2656" s="8">
        <f ca="1">IFERROR(__xludf.DUMMYFUNCTION("""COMPUTED_VALUE"""),-86.271914)</f>
        <v>-86.271913999999995</v>
      </c>
      <c r="AW2656" s="8"/>
      <c r="AX2656" s="8">
        <f ca="1">IFERROR(__xludf.DUMMYFUNCTION("""COMPUTED_VALUE"""),36107)</f>
        <v>36107</v>
      </c>
    </row>
    <row r="2657" spans="1:50" ht="60" x14ac:dyDescent="0.2">
      <c r="A2657" s="8" t="str">
        <f ca="1">IFERROR(__xludf.DUMMYFUNCTION("""COMPUTED_VALUE"""),"19921120ILTIC")</f>
        <v>19921120ILTIC</v>
      </c>
      <c r="B2657" s="8">
        <f ca="1">IFERROR(__xludf.DUMMYFUNCTION("""COMPUTED_VALUE"""),11)</f>
        <v>11</v>
      </c>
      <c r="C2657" s="8">
        <f ca="1">IFERROR(__xludf.DUMMYFUNCTION("""COMPUTED_VALUE"""),20)</f>
        <v>20</v>
      </c>
      <c r="D2657" s="8">
        <f ca="1">IFERROR(__xludf.DUMMYFUNCTION("""COMPUTED_VALUE"""),1992)</f>
        <v>1992</v>
      </c>
      <c r="E2657" s="9">
        <f ca="1">IFERROR(__xludf.DUMMYFUNCTION("""COMPUTED_VALUE"""),33928)</f>
        <v>33928</v>
      </c>
      <c r="F2657" s="8" t="str">
        <f ca="1">IFERROR(__xludf.DUMMYFUNCTION("""COMPUTED_VALUE"""),"Tilden High School")</f>
        <v>Tilden High School</v>
      </c>
      <c r="G2657" s="8">
        <f ca="1">IFERROR(__xludf.DUMMYFUNCTION("""COMPUTED_VALUE"""),1)</f>
        <v>1</v>
      </c>
      <c r="H2657" s="8">
        <f ca="1">IFERROR(__xludf.DUMMYFUNCTION("""COMPUTED_VALUE"""),2)</f>
        <v>2</v>
      </c>
      <c r="I2657" s="8">
        <f ca="1">IFERROR(__xludf.DUMMYFUNCTION("""COMPUTED_VALUE"""),3)</f>
        <v>3</v>
      </c>
      <c r="J2657" s="8">
        <f ca="1">IFERROR(__xludf.DUMMYFUNCTION("""COMPUTED_VALUE"""),0)</f>
        <v>0</v>
      </c>
      <c r="K2657" s="8" t="str">
        <f ca="1">IFERROR(__xludf.DUMMYFUNCTION("""COMPUTED_VALUE"""),"https://www.chicagotribune.com/news/ct-xpm-1994-01-22-9401220160-story.html
https://www.newspapers.com/image/389765443")</f>
        <v>https://www.chicagotribune.com/news/ct-xpm-1994-01-22-9401220160-story.html
https://www.newspapers.com/image/389765443</v>
      </c>
      <c r="L2657" s="8"/>
      <c r="M2657" s="8"/>
      <c r="N2657" s="8">
        <f ca="1">IFERROR(__xludf.DUMMYFUNCTION("""COMPUTED_VALUE"""),4)</f>
        <v>4</v>
      </c>
      <c r="O2657" s="8" t="str">
        <f ca="1">IFERROR(__xludf.DUMMYFUNCTION("""COMPUTED_VALUE"""),"Fall")</f>
        <v>Fall</v>
      </c>
      <c r="P2657" s="8" t="str">
        <f ca="1">IFERROR(__xludf.DUMMYFUNCTION("""COMPUTED_VALUE"""),"Chicago")</f>
        <v>Chicago</v>
      </c>
      <c r="Q2657" s="8" t="str">
        <f ca="1">IFERROR(__xludf.DUMMYFUNCTION("""COMPUTED_VALUE"""),"IL")</f>
        <v>IL</v>
      </c>
      <c r="R2657" s="8" t="str">
        <f ca="1">IFERROR(__xludf.DUMMYFUNCTION("""COMPUTED_VALUE"""),"High")</f>
        <v>High</v>
      </c>
      <c r="S2657" s="8" t="str">
        <f ca="1">IFERROR(__xludf.DUMMYFUNCTION("""COMPUTED_VALUE"""),"Hallway")</f>
        <v>Hallway</v>
      </c>
      <c r="T2657" s="8" t="str">
        <f ca="1">IFERROR(__xludf.DUMMYFUNCTION("""COMPUTED_VALUE"""),"Inside School Building")</f>
        <v>Inside School Building</v>
      </c>
      <c r="U2657" s="8" t="str">
        <f ca="1">IFERROR(__xludf.DUMMYFUNCTION("""COMPUTED_VALUE"""),"Yes")</f>
        <v>Yes</v>
      </c>
      <c r="V2657" s="8" t="str">
        <f ca="1">IFERROR(__xludf.DUMMYFUNCTION("""COMPUTED_VALUE"""),"Morning Classes")</f>
        <v>Morning Classes</v>
      </c>
      <c r="W2657" s="11">
        <f ca="1">IFERROR(__xludf.DUMMYFUNCTION("""COMPUTED_VALUE"""),0.416666666666666)</f>
        <v>0.41666666666666602</v>
      </c>
      <c r="X2657" s="8">
        <f ca="1">IFERROR(__xludf.DUMMYFUNCTION("""COMPUTED_VALUE"""),1)</f>
        <v>1</v>
      </c>
      <c r="Y2657" s="12" t="str">
        <f ca="1">IFERROR(__xludf.DUMMYFUNCTION("""COMPUTED_VALUE"""),"Fight in the hallway, shooter fired 4 random shots")</f>
        <v>Fight in the hallway, shooter fired 4 random shots</v>
      </c>
      <c r="Z2657" s="12" t="str">
        <f ca="1">IFERROR(__xludf.DUMMYFUNCTION("""COMPUTED_VALUE"""),"During a fight in the hallway, 15YOM shooter fired 4 random shots striking 3 uninvolved students. Shooter fled the scene and was later arrested. School had metal detectors but they were not used everyday.")</f>
        <v>During a fight in the hallway, 15YOM shooter fired 4 random shots striking 3 uninvolved students. Shooter fled the scene and was later arrested. School had metal detectors but they were not used everyday.</v>
      </c>
      <c r="AA2657" s="8" t="str">
        <f ca="1">IFERROR(__xludf.DUMMYFUNCTION("""COMPUTED_VALUE"""),"Escalation of Dispute")</f>
        <v>Escalation of Dispute</v>
      </c>
      <c r="AB2657" s="8"/>
      <c r="AC2657" s="8"/>
      <c r="AD2657" s="8" t="str">
        <f ca="1">IFERROR(__xludf.DUMMYFUNCTION("""COMPUTED_VALUE"""),"Random Shooting")</f>
        <v>Random Shooting</v>
      </c>
      <c r="AE2657" s="8" t="str">
        <f ca="1">IFERROR(__xludf.DUMMYFUNCTION("""COMPUTED_VALUE"""),"No")</f>
        <v>No</v>
      </c>
      <c r="AF2657" s="8"/>
      <c r="AG2657" s="8" t="str">
        <f ca="1">IFERROR(__xludf.DUMMYFUNCTION("""COMPUTED_VALUE"""),"No")</f>
        <v>No</v>
      </c>
      <c r="AH2657" s="8" t="str">
        <f ca="1">IFERROR(__xludf.DUMMYFUNCTION("""COMPUTED_VALUE"""),"No")</f>
        <v>No</v>
      </c>
      <c r="AI2657" s="8" t="str">
        <f ca="1">IFERROR(__xludf.DUMMYFUNCTION("""COMPUTED_VALUE"""),"No")</f>
        <v>No</v>
      </c>
      <c r="AJ2657" s="8" t="str">
        <f ca="1">IFERROR(__xludf.DUMMYFUNCTION("""COMPUTED_VALUE"""),"No")</f>
        <v>No</v>
      </c>
      <c r="AK2657" s="8" t="str">
        <f ca="1">IFERROR(__xludf.DUMMYFUNCTION("""COMPUTED_VALUE"""),"No")</f>
        <v>No</v>
      </c>
      <c r="AL2657" s="8" t="str">
        <f ca="1">IFERROR(__xludf.DUMMYFUNCTION("""COMPUTED_VALUE"""),"No")</f>
        <v>No</v>
      </c>
      <c r="AM2657" s="8"/>
      <c r="AN2657" s="8"/>
      <c r="AO2657" s="8" t="str">
        <f ca="1">IFERROR(__xludf.DUMMYFUNCTION("""COMPUTED_VALUE"""),"No")</f>
        <v>No</v>
      </c>
      <c r="AP2657" s="8"/>
      <c r="AQ2657" s="8" t="str">
        <f ca="1">IFERROR(__xludf.DUMMYFUNCTION("""COMPUTED_VALUE"""),"Metal Detectors Intermittent")</f>
        <v>Metal Detectors Intermittent</v>
      </c>
      <c r="AR2657" s="8" t="str">
        <f ca="1">IFERROR(__xludf.DUMMYFUNCTION("""COMPUTED_VALUE"""),"Bypassed")</f>
        <v>Bypassed</v>
      </c>
      <c r="AS2657" s="8">
        <f ca="1">IFERROR(__xludf.DUMMYFUNCTION("""COMPUTED_VALUE"""),4)</f>
        <v>4</v>
      </c>
      <c r="AT2657" s="8"/>
      <c r="AU2657" s="8">
        <f ca="1">IFERROR(__xludf.DUMMYFUNCTION("""COMPUTED_VALUE"""),41.807504)</f>
        <v>41.807504000000002</v>
      </c>
      <c r="AV2657" s="8">
        <f ca="1">IFERROR(__xludf.DUMMYFUNCTION("""COMPUTED_VALUE"""),-87.642143)</f>
        <v>-87.642143000000004</v>
      </c>
      <c r="AW2657" s="8"/>
      <c r="AX2657" s="8">
        <f ca="1">IFERROR(__xludf.DUMMYFUNCTION("""COMPUTED_VALUE"""),60609)</f>
        <v>60609</v>
      </c>
    </row>
    <row r="2658" spans="1:50" ht="30" x14ac:dyDescent="0.2">
      <c r="A2658" s="8" t="str">
        <f ca="1">IFERROR(__xludf.DUMMYFUNCTION("""COMPUTED_VALUE"""),"19921116ALFAB")</f>
        <v>19921116ALFAB</v>
      </c>
      <c r="B2658" s="8">
        <f ca="1">IFERROR(__xludf.DUMMYFUNCTION("""COMPUTED_VALUE"""),11)</f>
        <v>11</v>
      </c>
      <c r="C2658" s="8">
        <f ca="1">IFERROR(__xludf.DUMMYFUNCTION("""COMPUTED_VALUE"""),16)</f>
        <v>16</v>
      </c>
      <c r="D2658" s="8">
        <f ca="1">IFERROR(__xludf.DUMMYFUNCTION("""COMPUTED_VALUE"""),1992)</f>
        <v>1992</v>
      </c>
      <c r="E2658" s="9">
        <f ca="1">IFERROR(__xludf.DUMMYFUNCTION("""COMPUTED_VALUE"""),33924)</f>
        <v>33924</v>
      </c>
      <c r="F2658" s="8" t="str">
        <f ca="1">IFERROR(__xludf.DUMMYFUNCTION("""COMPUTED_VALUE"""),"Fairfield High School")</f>
        <v>Fairfield High School</v>
      </c>
      <c r="G2658" s="8">
        <f ca="1">IFERROR(__xludf.DUMMYFUNCTION("""COMPUTED_VALUE"""),1)</f>
        <v>1</v>
      </c>
      <c r="H2658" s="8">
        <f ca="1">IFERROR(__xludf.DUMMYFUNCTION("""COMPUTED_VALUE"""),0)</f>
        <v>0</v>
      </c>
      <c r="I2658" s="8">
        <f ca="1">IFERROR(__xludf.DUMMYFUNCTION("""COMPUTED_VALUE"""),1)</f>
        <v>1</v>
      </c>
      <c r="J2658" s="8">
        <f ca="1">IFERROR(__xludf.DUMMYFUNCTION("""COMPUTED_VALUE"""),0)</f>
        <v>0</v>
      </c>
      <c r="K2658" s="10" t="str">
        <f ca="1">IFERROR(__xludf.DUMMYFUNCTION("""COMPUTED_VALUE"""),"https://www.newspapers.com/image/106780083/?terms=Michael%2BJackson%2BJr")</f>
        <v>https://www.newspapers.com/image/106780083/?terms=Michael%2BJackson%2BJr</v>
      </c>
      <c r="L2658" s="8"/>
      <c r="M2658" s="8"/>
      <c r="N2658" s="8">
        <f ca="1">IFERROR(__xludf.DUMMYFUNCTION("""COMPUTED_VALUE"""),2)</f>
        <v>2</v>
      </c>
      <c r="O2658" s="8" t="str">
        <f ca="1">IFERROR(__xludf.DUMMYFUNCTION("""COMPUTED_VALUE"""),"Fall")</f>
        <v>Fall</v>
      </c>
      <c r="P2658" s="8" t="str">
        <f ca="1">IFERROR(__xludf.DUMMYFUNCTION("""COMPUTED_VALUE"""),"Birmingham")</f>
        <v>Birmingham</v>
      </c>
      <c r="Q2658" s="8" t="str">
        <f ca="1">IFERROR(__xludf.DUMMYFUNCTION("""COMPUTED_VALUE"""),"AL")</f>
        <v>AL</v>
      </c>
      <c r="R2658" s="8" t="str">
        <f ca="1">IFERROR(__xludf.DUMMYFUNCTION("""COMPUTED_VALUE"""),"High")</f>
        <v>High</v>
      </c>
      <c r="S2658" s="8" t="str">
        <f ca="1">IFERROR(__xludf.DUMMYFUNCTION("""COMPUTED_VALUE"""),"Hallway")</f>
        <v>Hallway</v>
      </c>
      <c r="T2658" s="8" t="str">
        <f ca="1">IFERROR(__xludf.DUMMYFUNCTION("""COMPUTED_VALUE"""),"Inside School Building")</f>
        <v>Inside School Building</v>
      </c>
      <c r="U2658" s="8" t="str">
        <f ca="1">IFERROR(__xludf.DUMMYFUNCTION("""COMPUTED_VALUE"""),"Yes")</f>
        <v>Yes</v>
      </c>
      <c r="V2658" s="8"/>
      <c r="W2658" s="8"/>
      <c r="X2658" s="8">
        <f ca="1">IFERROR(__xludf.DUMMYFUNCTION("""COMPUTED_VALUE"""),1)</f>
        <v>1</v>
      </c>
      <c r="Y2658" s="12" t="str">
        <f ca="1">IFERROR(__xludf.DUMMYFUNCTION("""COMPUTED_VALUE"""),"4 youths shot victim during robbery")</f>
        <v>4 youths shot victim during robbery</v>
      </c>
      <c r="Z2658" s="12" t="str">
        <f ca="1">IFERROR(__xludf.DUMMYFUNCTION("""COMPUTED_VALUE"""),"16YOM shot during robbery. 4 teens were trying to steal his new jacket.")</f>
        <v>16YOM shot during robbery. 4 teens were trying to steal his new jacket.</v>
      </c>
      <c r="AA2658" s="8" t="str">
        <f ca="1">IFERROR(__xludf.DUMMYFUNCTION("""COMPUTED_VALUE"""),"Illegal Activity")</f>
        <v>Illegal Activity</v>
      </c>
      <c r="AB2658" s="8"/>
      <c r="AC2658" s="8"/>
      <c r="AD2658" s="8" t="str">
        <f ca="1">IFERROR(__xludf.DUMMYFUNCTION("""COMPUTED_VALUE"""),"Victims Targeted")</f>
        <v>Victims Targeted</v>
      </c>
      <c r="AE2658" s="8" t="str">
        <f ca="1">IFERROR(__xludf.DUMMYFUNCTION("""COMPUTED_VALUE"""),"Yes")</f>
        <v>Yes</v>
      </c>
      <c r="AF2658" s="8" t="str">
        <f ca="1">IFERROR(__xludf.DUMMYFUNCTION("""COMPUTED_VALUE"""),"4 teen involved in robbery")</f>
        <v>4 teen involved in robbery</v>
      </c>
      <c r="AG2658" s="8" t="str">
        <f ca="1">IFERROR(__xludf.DUMMYFUNCTION("""COMPUTED_VALUE"""),"No")</f>
        <v>No</v>
      </c>
      <c r="AH2658" s="8" t="str">
        <f ca="1">IFERROR(__xludf.DUMMYFUNCTION("""COMPUTED_VALUE"""),"No")</f>
        <v>No</v>
      </c>
      <c r="AI2658" s="8" t="str">
        <f ca="1">IFERROR(__xludf.DUMMYFUNCTION("""COMPUTED_VALUE"""),"No")</f>
        <v>No</v>
      </c>
      <c r="AJ2658" s="8" t="str">
        <f ca="1">IFERROR(__xludf.DUMMYFUNCTION("""COMPUTED_VALUE"""),"No")</f>
        <v>No</v>
      </c>
      <c r="AK2658" s="8" t="str">
        <f ca="1">IFERROR(__xludf.DUMMYFUNCTION("""COMPUTED_VALUE"""),"No")</f>
        <v>No</v>
      </c>
      <c r="AL2658" s="8" t="str">
        <f ca="1">IFERROR(__xludf.DUMMYFUNCTION("""COMPUTED_VALUE"""),"No")</f>
        <v>No</v>
      </c>
      <c r="AM2658" s="8"/>
      <c r="AN2658" s="8"/>
      <c r="AO2658" s="8" t="str">
        <f ca="1">IFERROR(__xludf.DUMMYFUNCTION("""COMPUTED_VALUE"""),"No")</f>
        <v>No</v>
      </c>
      <c r="AP2658" s="8"/>
      <c r="AQ2658" s="8" t="str">
        <f ca="1">IFERROR(__xludf.DUMMYFUNCTION("""COMPUTED_VALUE"""),"Unknown")</f>
        <v>Unknown</v>
      </c>
      <c r="AR2658" s="8" t="str">
        <f ca="1">IFERROR(__xludf.DUMMYFUNCTION("""COMPUTED_VALUE"""),"NA")</f>
        <v>NA</v>
      </c>
      <c r="AS2658" s="8">
        <f ca="1">IFERROR(__xludf.DUMMYFUNCTION("""COMPUTED_VALUE"""),1)</f>
        <v>1</v>
      </c>
      <c r="AT2658" s="8"/>
      <c r="AU2658" s="8">
        <f ca="1">IFERROR(__xludf.DUMMYFUNCTION("""COMPUTED_VALUE"""),33.491171)</f>
        <v>33.491171000000001</v>
      </c>
      <c r="AV2658" s="8">
        <f ca="1">IFERROR(__xludf.DUMMYFUNCTION("""COMPUTED_VALUE"""),-86.908227)</f>
        <v>-86.908226999999997</v>
      </c>
      <c r="AW2658" s="8"/>
      <c r="AX2658" s="8">
        <f ca="1">IFERROR(__xludf.DUMMYFUNCTION("""COMPUTED_VALUE"""),35604)</f>
        <v>35604</v>
      </c>
    </row>
    <row r="2659" spans="1:50" ht="45" x14ac:dyDescent="0.2">
      <c r="A2659" s="8" t="str">
        <f ca="1">IFERROR(__xludf.DUMMYFUNCTION("""COMPUTED_VALUE"""),"19921113TXLAC")</f>
        <v>19921113TXLAC</v>
      </c>
      <c r="B2659" s="8">
        <f ca="1">IFERROR(__xludf.DUMMYFUNCTION("""COMPUTED_VALUE"""),11)</f>
        <v>11</v>
      </c>
      <c r="C2659" s="8">
        <f ca="1">IFERROR(__xludf.DUMMYFUNCTION("""COMPUTED_VALUE"""),13)</f>
        <v>13</v>
      </c>
      <c r="D2659" s="8">
        <f ca="1">IFERROR(__xludf.DUMMYFUNCTION("""COMPUTED_VALUE"""),1992)</f>
        <v>1992</v>
      </c>
      <c r="E2659" s="9">
        <f ca="1">IFERROR(__xludf.DUMMYFUNCTION("""COMPUTED_VALUE"""),33921)</f>
        <v>33921</v>
      </c>
      <c r="F2659" s="8" t="str">
        <f ca="1">IFERROR(__xludf.DUMMYFUNCTION("""COMPUTED_VALUE"""),"Langham Creek High School")</f>
        <v>Langham Creek High School</v>
      </c>
      <c r="G2659" s="8">
        <f ca="1">IFERROR(__xludf.DUMMYFUNCTION("""COMPUTED_VALUE"""),1)</f>
        <v>1</v>
      </c>
      <c r="H2659" s="8">
        <f ca="1">IFERROR(__xludf.DUMMYFUNCTION("""COMPUTED_VALUE"""),0)</f>
        <v>0</v>
      </c>
      <c r="I2659" s="8">
        <f ca="1">IFERROR(__xludf.DUMMYFUNCTION("""COMPUTED_VALUE"""),1)</f>
        <v>1</v>
      </c>
      <c r="J2659" s="8">
        <f ca="1">IFERROR(__xludf.DUMMYFUNCTION("""COMPUTED_VALUE"""),1)</f>
        <v>1</v>
      </c>
      <c r="K2659" s="8" t="str">
        <f ca="1">IFERROR(__xludf.DUMMYFUNCTION("""COMPUTED_VALUE"""),"Houston Chronicle - Man Shoots Wife, Self on Grounds of School; https://www.columbine-angels.com/School_Violence_1992-1993.htm")</f>
        <v>Houston Chronicle - Man Shoots Wife, Self on Grounds of School; https://www.columbine-angels.com/School_Violence_1992-1993.htm</v>
      </c>
      <c r="L2659" s="8"/>
      <c r="M2659" s="8"/>
      <c r="N2659" s="8">
        <f ca="1">IFERROR(__xludf.DUMMYFUNCTION("""COMPUTED_VALUE"""),1)</f>
        <v>1</v>
      </c>
      <c r="O2659" s="8" t="str">
        <f ca="1">IFERROR(__xludf.DUMMYFUNCTION("""COMPUTED_VALUE"""),"Fall")</f>
        <v>Fall</v>
      </c>
      <c r="P2659" s="8" t="str">
        <f ca="1">IFERROR(__xludf.DUMMYFUNCTION("""COMPUTED_VALUE"""),"Cypress")</f>
        <v>Cypress</v>
      </c>
      <c r="Q2659" s="8" t="str">
        <f ca="1">IFERROR(__xludf.DUMMYFUNCTION("""COMPUTED_VALUE"""),"TX")</f>
        <v>TX</v>
      </c>
      <c r="R2659" s="8" t="str">
        <f ca="1">IFERROR(__xludf.DUMMYFUNCTION("""COMPUTED_VALUE"""),"High")</f>
        <v>High</v>
      </c>
      <c r="S2659" s="8" t="str">
        <f ca="1">IFERROR(__xludf.DUMMYFUNCTION("""COMPUTED_VALUE"""),"Parking Lot")</f>
        <v>Parking Lot</v>
      </c>
      <c r="T2659" s="8" t="str">
        <f ca="1">IFERROR(__xludf.DUMMYFUNCTION("""COMPUTED_VALUE"""),"Outside on School Property")</f>
        <v>Outside on School Property</v>
      </c>
      <c r="U2659" s="8" t="str">
        <f ca="1">IFERROR(__xludf.DUMMYFUNCTION("""COMPUTED_VALUE"""),"Yes")</f>
        <v>Yes</v>
      </c>
      <c r="V2659" s="8" t="str">
        <f ca="1">IFERROR(__xludf.DUMMYFUNCTION("""COMPUTED_VALUE"""),"Afternoon Classes")</f>
        <v>Afternoon Classes</v>
      </c>
      <c r="W2659" s="11">
        <f ca="1">IFERROR(__xludf.DUMMYFUNCTION("""COMPUTED_VALUE"""),0.583333333333333)</f>
        <v>0.58333333333333304</v>
      </c>
      <c r="X2659" s="8">
        <f ca="1">IFERROR(__xludf.DUMMYFUNCTION("""COMPUTED_VALUE"""),1)</f>
        <v>1</v>
      </c>
      <c r="Y2659" s="12" t="str">
        <f ca="1">IFERROR(__xludf.DUMMYFUNCTION("""COMPUTED_VALUE"""),"Murder suicide of estranged wife in parking lot")</f>
        <v>Murder suicide of estranged wife in parking lot</v>
      </c>
      <c r="Z2659" s="12" t="str">
        <f ca="1">IFERROR(__xludf.DUMMYFUNCTION("""COMPUTED_VALUE"""),"39YOM went to school where estranged wife worked. She went to parking lot to talk to him. He shot and killed her and then killed himself.")</f>
        <v>39YOM went to school where estranged wife worked. She went to parking lot to talk to him. He shot and killed her and then killed himself.</v>
      </c>
      <c r="AA2659" s="8" t="str">
        <f ca="1">IFERROR(__xludf.DUMMYFUNCTION("""COMPUTED_VALUE"""),"Murder/Suicide")</f>
        <v>Murder/Suicide</v>
      </c>
      <c r="AB2659" s="8"/>
      <c r="AC2659" s="8"/>
      <c r="AD2659" s="8" t="str">
        <f ca="1">IFERROR(__xludf.DUMMYFUNCTION("""COMPUTED_VALUE"""),"Victims Targeted")</f>
        <v>Victims Targeted</v>
      </c>
      <c r="AE2659" s="8" t="str">
        <f ca="1">IFERROR(__xludf.DUMMYFUNCTION("""COMPUTED_VALUE"""),"No")</f>
        <v>No</v>
      </c>
      <c r="AF2659" s="8"/>
      <c r="AG2659" s="8" t="str">
        <f ca="1">IFERROR(__xludf.DUMMYFUNCTION("""COMPUTED_VALUE"""),"No")</f>
        <v>No</v>
      </c>
      <c r="AH2659" s="8" t="str">
        <f ca="1">IFERROR(__xludf.DUMMYFUNCTION("""COMPUTED_VALUE"""),"No")</f>
        <v>No</v>
      </c>
      <c r="AI2659" s="8" t="str">
        <f ca="1">IFERROR(__xludf.DUMMYFUNCTION("""COMPUTED_VALUE"""),"No")</f>
        <v>No</v>
      </c>
      <c r="AJ2659" s="8" t="str">
        <f ca="1">IFERROR(__xludf.DUMMYFUNCTION("""COMPUTED_VALUE"""),"No")</f>
        <v>No</v>
      </c>
      <c r="AK2659" s="8" t="str">
        <f ca="1">IFERROR(__xludf.DUMMYFUNCTION("""COMPUTED_VALUE"""),"Yes")</f>
        <v>Yes</v>
      </c>
      <c r="AL2659" s="8" t="str">
        <f ca="1">IFERROR(__xludf.DUMMYFUNCTION("""COMPUTED_VALUE"""),"No")</f>
        <v>No</v>
      </c>
      <c r="AM2659" s="8"/>
      <c r="AN2659" s="8"/>
      <c r="AO2659" s="8" t="str">
        <f ca="1">IFERROR(__xludf.DUMMYFUNCTION("""COMPUTED_VALUE"""),"No")</f>
        <v>No</v>
      </c>
      <c r="AP2659" s="8"/>
      <c r="AQ2659" s="8" t="str">
        <f ca="1">IFERROR(__xludf.DUMMYFUNCTION("""COMPUTED_VALUE"""),"Unknown")</f>
        <v>Unknown</v>
      </c>
      <c r="AR2659" s="8" t="str">
        <f ca="1">IFERROR(__xludf.DUMMYFUNCTION("""COMPUTED_VALUE"""),"NA")</f>
        <v>NA</v>
      </c>
      <c r="AS2659" s="8">
        <f ca="1">IFERROR(__xludf.DUMMYFUNCTION("""COMPUTED_VALUE"""),2)</f>
        <v>2</v>
      </c>
      <c r="AT2659" s="8"/>
      <c r="AU2659" s="8">
        <f ca="1">IFERROR(__xludf.DUMMYFUNCTION("""COMPUTED_VALUE"""),29.881151)</f>
        <v>29.881150999999999</v>
      </c>
      <c r="AV2659" s="8">
        <f ca="1">IFERROR(__xludf.DUMMYFUNCTION("""COMPUTED_VALUE"""),-95.677121)</f>
        <v>-95.677121</v>
      </c>
      <c r="AW2659" s="8"/>
      <c r="AX2659" s="8">
        <f ca="1">IFERROR(__xludf.DUMMYFUNCTION("""COMPUTED_VALUE"""),77095)</f>
        <v>77095</v>
      </c>
    </row>
    <row r="2660" spans="1:50" ht="75" x14ac:dyDescent="0.2">
      <c r="A2660" s="8" t="str">
        <f ca="1">IFERROR(__xludf.DUMMYFUNCTION("""COMPUTED_VALUE"""),"19921110ILSHC")</f>
        <v>19921110ILSHC</v>
      </c>
      <c r="B2660" s="8">
        <f ca="1">IFERROR(__xludf.DUMMYFUNCTION("""COMPUTED_VALUE"""),11)</f>
        <v>11</v>
      </c>
      <c r="C2660" s="8">
        <f ca="1">IFERROR(__xludf.DUMMYFUNCTION("""COMPUTED_VALUE"""),10)</f>
        <v>10</v>
      </c>
      <c r="D2660" s="8">
        <f ca="1">IFERROR(__xludf.DUMMYFUNCTION("""COMPUTED_VALUE"""),1992)</f>
        <v>1992</v>
      </c>
      <c r="E2660" s="9">
        <f ca="1">IFERROR(__xludf.DUMMYFUNCTION("""COMPUTED_VALUE"""),33918)</f>
        <v>33918</v>
      </c>
      <c r="F2660" s="8" t="str">
        <f ca="1">IFERROR(__xludf.DUMMYFUNCTION("""COMPUTED_VALUE"""),"Sherman Elementary School")</f>
        <v>Sherman Elementary School</v>
      </c>
      <c r="G2660" s="8">
        <f ca="1">IFERROR(__xludf.DUMMYFUNCTION("""COMPUTED_VALUE"""),0)</f>
        <v>0</v>
      </c>
      <c r="H2660" s="8">
        <f ca="1">IFERROR(__xludf.DUMMYFUNCTION("""COMPUTED_VALUE"""),0)</f>
        <v>0</v>
      </c>
      <c r="I2660" s="8">
        <f ca="1">IFERROR(__xludf.DUMMYFUNCTION("""COMPUTED_VALUE"""),0)</f>
        <v>0</v>
      </c>
      <c r="J2660" s="8">
        <f ca="1">IFERROR(__xludf.DUMMYFUNCTION("""COMPUTED_VALUE"""),1)</f>
        <v>1</v>
      </c>
      <c r="K2660" s="10" t="str">
        <f ca="1">IFERROR(__xludf.DUMMYFUNCTION("""COMPUTED_VALUE"""),"https://www.newspapers.com/image/389728711/?terms=Willie%2BClayborn")</f>
        <v>https://www.newspapers.com/image/389728711/?terms=Willie%2BClayborn</v>
      </c>
      <c r="L2660" s="8"/>
      <c r="M2660" s="8"/>
      <c r="N2660" s="8">
        <f ca="1">IFERROR(__xludf.DUMMYFUNCTION("""COMPUTED_VALUE"""),2)</f>
        <v>2</v>
      </c>
      <c r="O2660" s="8" t="str">
        <f ca="1">IFERROR(__xludf.DUMMYFUNCTION("""COMPUTED_VALUE"""),"Fall")</f>
        <v>Fall</v>
      </c>
      <c r="P2660" s="8" t="str">
        <f ca="1">IFERROR(__xludf.DUMMYFUNCTION("""COMPUTED_VALUE"""),"Chicago")</f>
        <v>Chicago</v>
      </c>
      <c r="Q2660" s="8" t="str">
        <f ca="1">IFERROR(__xludf.DUMMYFUNCTION("""COMPUTED_VALUE"""),"IL")</f>
        <v>IL</v>
      </c>
      <c r="R2660" s="8" t="str">
        <f ca="1">IFERROR(__xludf.DUMMYFUNCTION("""COMPUTED_VALUE"""),"Elementary")</f>
        <v>Elementary</v>
      </c>
      <c r="S2660" s="8" t="str">
        <f ca="1">IFERROR(__xludf.DUMMYFUNCTION("""COMPUTED_VALUE"""),"Classroom")</f>
        <v>Classroom</v>
      </c>
      <c r="T2660" s="8" t="str">
        <f ca="1">IFERROR(__xludf.DUMMYFUNCTION("""COMPUTED_VALUE"""),"Inside School Building")</f>
        <v>Inside School Building</v>
      </c>
      <c r="U2660" s="8" t="str">
        <f ca="1">IFERROR(__xludf.DUMMYFUNCTION("""COMPUTED_VALUE"""),"Yes")</f>
        <v>Yes</v>
      </c>
      <c r="V2660" s="8"/>
      <c r="W2660" s="8"/>
      <c r="X2660" s="8">
        <f ca="1">IFERROR(__xludf.DUMMYFUNCTION("""COMPUTED_VALUE"""),1)</f>
        <v>1</v>
      </c>
      <c r="Y2660" s="12" t="str">
        <f ca="1">IFERROR(__xludf.DUMMYFUNCTION("""COMPUTED_VALUE"""),"Playing with gun in classroom, shot himself in the head")</f>
        <v>Playing with gun in classroom, shot himself in the head</v>
      </c>
      <c r="Z2660" s="12" t="str">
        <f ca="1">IFERROR(__xludf.DUMMYFUNCTION("""COMPUTED_VALUE"""),"13YOM student was playing with gun in classroom. Pulled trigger once and it didn't go off. Pointed it at his head and pulled the trigger again killing himself. Student had found gun and carried it with him for protection against gangs. 30 students were in"&amp;" the classroom during the shooting.")</f>
        <v>13YOM student was playing with gun in classroom. Pulled trigger once and it didn't go off. Pointed it at his head and pulled the trigger again killing himself. Student had found gun and carried it with him for protection against gangs. 30 students were in the classroom during the shooting.</v>
      </c>
      <c r="AA2660" s="8" t="str">
        <f ca="1">IFERROR(__xludf.DUMMYFUNCTION("""COMPUTED_VALUE"""),"Accidental")</f>
        <v>Accidental</v>
      </c>
      <c r="AB2660" s="8"/>
      <c r="AC2660" s="8"/>
      <c r="AD2660" s="8" t="str">
        <f ca="1">IFERROR(__xludf.DUMMYFUNCTION("""COMPUTED_VALUE"""),"Victims Targeted")</f>
        <v>Victims Targeted</v>
      </c>
      <c r="AE2660" s="8" t="str">
        <f ca="1">IFERROR(__xludf.DUMMYFUNCTION("""COMPUTED_VALUE"""),"No")</f>
        <v>No</v>
      </c>
      <c r="AF2660" s="8"/>
      <c r="AG2660" s="8" t="str">
        <f ca="1">IFERROR(__xludf.DUMMYFUNCTION("""COMPUTED_VALUE"""),"No")</f>
        <v>No</v>
      </c>
      <c r="AH2660" s="8" t="str">
        <f ca="1">IFERROR(__xludf.DUMMYFUNCTION("""COMPUTED_VALUE"""),"No")</f>
        <v>No</v>
      </c>
      <c r="AI2660" s="8" t="str">
        <f ca="1">IFERROR(__xludf.DUMMYFUNCTION("""COMPUTED_VALUE"""),"No")</f>
        <v>No</v>
      </c>
      <c r="AJ2660" s="8" t="str">
        <f ca="1">IFERROR(__xludf.DUMMYFUNCTION("""COMPUTED_VALUE"""),"No")</f>
        <v>No</v>
      </c>
      <c r="AK2660" s="8" t="str">
        <f ca="1">IFERROR(__xludf.DUMMYFUNCTION("""COMPUTED_VALUE"""),"No")</f>
        <v>No</v>
      </c>
      <c r="AL2660" s="8" t="str">
        <f ca="1">IFERROR(__xludf.DUMMYFUNCTION("""COMPUTED_VALUE"""),"No")</f>
        <v>No</v>
      </c>
      <c r="AM2660" s="8"/>
      <c r="AN2660" s="8"/>
      <c r="AO2660" s="8" t="str">
        <f ca="1">IFERROR(__xludf.DUMMYFUNCTION("""COMPUTED_VALUE"""),"No")</f>
        <v>No</v>
      </c>
      <c r="AP2660" s="8"/>
      <c r="AQ2660" s="8" t="str">
        <f ca="1">IFERROR(__xludf.DUMMYFUNCTION("""COMPUTED_VALUE"""),"Unknown")</f>
        <v>Unknown</v>
      </c>
      <c r="AR2660" s="8" t="str">
        <f ca="1">IFERROR(__xludf.DUMMYFUNCTION("""COMPUTED_VALUE"""),"NA")</f>
        <v>NA</v>
      </c>
      <c r="AS2660" s="8">
        <f ca="1">IFERROR(__xludf.DUMMYFUNCTION("""COMPUTED_VALUE"""),1)</f>
        <v>1</v>
      </c>
      <c r="AT2660" s="8"/>
      <c r="AU2660" s="8">
        <f ca="1">IFERROR(__xludf.DUMMYFUNCTION("""COMPUTED_VALUE"""),41.799908)</f>
        <v>41.799908000000002</v>
      </c>
      <c r="AV2660" s="8">
        <f ca="1">IFERROR(__xludf.DUMMYFUNCTION("""COMPUTED_VALUE"""),-87.650556)</f>
        <v>-87.650555999999995</v>
      </c>
      <c r="AW2660" s="8"/>
      <c r="AX2660" s="8">
        <f ca="1">IFERROR(__xludf.DUMMYFUNCTION("""COMPUTED_VALUE"""),60609)</f>
        <v>60609</v>
      </c>
    </row>
    <row r="2661" spans="1:50" ht="90" x14ac:dyDescent="0.2">
      <c r="A2661" s="8" t="str">
        <f ca="1">IFERROR(__xludf.DUMMYFUNCTION("""COMPUTED_VALUE"""),"19921104MIMUD")</f>
        <v>19921104MIMUD</v>
      </c>
      <c r="B2661" s="8">
        <f ca="1">IFERROR(__xludf.DUMMYFUNCTION("""COMPUTED_VALUE"""),11)</f>
        <v>11</v>
      </c>
      <c r="C2661" s="8">
        <f ca="1">IFERROR(__xludf.DUMMYFUNCTION("""COMPUTED_VALUE"""),4)</f>
        <v>4</v>
      </c>
      <c r="D2661" s="8">
        <f ca="1">IFERROR(__xludf.DUMMYFUNCTION("""COMPUTED_VALUE"""),1992)</f>
        <v>1992</v>
      </c>
      <c r="E2661" s="9">
        <f ca="1">IFERROR(__xludf.DUMMYFUNCTION("""COMPUTED_VALUE"""),33912)</f>
        <v>33912</v>
      </c>
      <c r="F2661" s="8" t="str">
        <f ca="1">IFERROR(__xludf.DUMMYFUNCTION("""COMPUTED_VALUE"""),"Mumford High School")</f>
        <v>Mumford High School</v>
      </c>
      <c r="G2661" s="8">
        <f ca="1">IFERROR(__xludf.DUMMYFUNCTION("""COMPUTED_VALUE"""),0)</f>
        <v>0</v>
      </c>
      <c r="H2661" s="8">
        <f ca="1">IFERROR(__xludf.DUMMYFUNCTION("""COMPUTED_VALUE"""),3)</f>
        <v>3</v>
      </c>
      <c r="I2661" s="8">
        <f ca="1">IFERROR(__xludf.DUMMYFUNCTION("""COMPUTED_VALUE"""),3)</f>
        <v>3</v>
      </c>
      <c r="J2661" s="8">
        <f ca="1">IFERROR(__xludf.DUMMYFUNCTION("""COMPUTED_VALUE"""),0)</f>
        <v>0</v>
      </c>
      <c r="K2661" s="8" t="str">
        <f ca="1">IFERROR(__xludf.DUMMYFUNCTION("""COMPUTED_VALUE"""),"https://www.edweek.org/leadership/detroit-schools-step-up-security-after-student-shootings/1992/11
https://www.newspapers.com/image/366371409/?terms=Robert%2BE.%2BLee%2BHigh%2BSchool%2Bshooting https://www.edweek.org/ew/articles/1992/11/18/11detr.h12.html")</f>
        <v>https://www.edweek.org/leadership/detroit-schools-step-up-security-after-student-shootings/1992/11
https://www.newspapers.com/image/366371409/?terms=Robert%2BE.%2BLee%2BHigh%2BSchool%2Bshooting https://www.edweek.org/ew/articles/1992/11/18/11detr.h12.html</v>
      </c>
      <c r="L2661" s="8"/>
      <c r="M2661" s="8"/>
      <c r="N2661" s="8">
        <f ca="1">IFERROR(__xludf.DUMMYFUNCTION("""COMPUTED_VALUE"""),3)</f>
        <v>3</v>
      </c>
      <c r="O2661" s="8" t="str">
        <f ca="1">IFERROR(__xludf.DUMMYFUNCTION("""COMPUTED_VALUE"""),"Fall")</f>
        <v>Fall</v>
      </c>
      <c r="P2661" s="8" t="str">
        <f ca="1">IFERROR(__xludf.DUMMYFUNCTION("""COMPUTED_VALUE"""),"Detroit")</f>
        <v>Detroit</v>
      </c>
      <c r="Q2661" s="8" t="str">
        <f ca="1">IFERROR(__xludf.DUMMYFUNCTION("""COMPUTED_VALUE"""),"MI")</f>
        <v>MI</v>
      </c>
      <c r="R2661" s="8" t="str">
        <f ca="1">IFERROR(__xludf.DUMMYFUNCTION("""COMPUTED_VALUE"""),"High")</f>
        <v>High</v>
      </c>
      <c r="S2661" s="8" t="str">
        <f ca="1">IFERROR(__xludf.DUMMYFUNCTION("""COMPUTED_VALUE"""),"Front of School")</f>
        <v>Front of School</v>
      </c>
      <c r="T2661" s="8" t="str">
        <f ca="1">IFERROR(__xludf.DUMMYFUNCTION("""COMPUTED_VALUE"""),"Outside on School Property")</f>
        <v>Outside on School Property</v>
      </c>
      <c r="U2661" s="8" t="str">
        <f ca="1">IFERROR(__xludf.DUMMYFUNCTION("""COMPUTED_VALUE"""),"Yes")</f>
        <v>Yes</v>
      </c>
      <c r="V2661" s="8" t="str">
        <f ca="1">IFERROR(__xludf.DUMMYFUNCTION("""COMPUTED_VALUE"""),"Afternoon Classes")</f>
        <v>Afternoon Classes</v>
      </c>
      <c r="W2661" s="11">
        <f ca="1">IFERROR(__xludf.DUMMYFUNCTION("""COMPUTED_VALUE"""),0.614583333333333)</f>
        <v>0.61458333333333304</v>
      </c>
      <c r="X2661" s="8">
        <f ca="1">IFERROR(__xludf.DUMMYFUNCTION("""COMPUTED_VALUE"""),1)</f>
        <v>1</v>
      </c>
      <c r="Y2661" s="12" t="str">
        <f ca="1">IFERROR(__xludf.DUMMYFUNCTION("""COMPUTED_VALUE"""),"Bystander student hit during related drive-by")</f>
        <v>Bystander student hit during related drive-by</v>
      </c>
      <c r="Z2661" s="12" t="str">
        <f ca="1">IFERROR(__xludf.DUMMYFUNCTION("""COMPUTED_VALUE"""),"A 14 year-old boy and two girls, ages 13 and 14, were charged with assault with intent to commit murder and sent to the Wayne County Youth Home after a 3 P.M. Drive-by shooting that injured three youths near Foch Middle School and Marcus Garvey Academy, a"&amp;"n eastside elementary school")</f>
        <v>A 14 year-old boy and two girls, ages 13 and 14, were charged with assault with intent to commit murder and sent to the Wayne County Youth Home after a 3 P.M. Drive-by shooting that injured three youths near Foch Middle School and Marcus Garvey Academy, an eastside elementary school</v>
      </c>
      <c r="AA2661" s="8" t="str">
        <f ca="1">IFERROR(__xludf.DUMMYFUNCTION("""COMPUTED_VALUE"""),"Drive-by Shooting")</f>
        <v>Drive-by Shooting</v>
      </c>
      <c r="AB2661" s="8"/>
      <c r="AC2661" s="8"/>
      <c r="AD2661" s="8"/>
      <c r="AE2661" s="8" t="str">
        <f ca="1">IFERROR(__xludf.DUMMYFUNCTION("""COMPUTED_VALUE"""),"Yes")</f>
        <v>Yes</v>
      </c>
      <c r="AF2661" s="8" t="str">
        <f ca="1">IFERROR(__xludf.DUMMYFUNCTION("""COMPUTED_VALUE"""),"3 teens involved, unclear how many were shooting")</f>
        <v>3 teens involved, unclear how many were shooting</v>
      </c>
      <c r="AG2661" s="8" t="str">
        <f ca="1">IFERROR(__xludf.DUMMYFUNCTION("""COMPUTED_VALUE"""),"No")</f>
        <v>No</v>
      </c>
      <c r="AH2661" s="8" t="str">
        <f ca="1">IFERROR(__xludf.DUMMYFUNCTION("""COMPUTED_VALUE"""),"No")</f>
        <v>No</v>
      </c>
      <c r="AI2661" s="8" t="str">
        <f ca="1">IFERROR(__xludf.DUMMYFUNCTION("""COMPUTED_VALUE"""),"No")</f>
        <v>No</v>
      </c>
      <c r="AJ2661" s="8" t="str">
        <f ca="1">IFERROR(__xludf.DUMMYFUNCTION("""COMPUTED_VALUE"""),"No")</f>
        <v>No</v>
      </c>
      <c r="AK2661" s="8" t="str">
        <f ca="1">IFERROR(__xludf.DUMMYFUNCTION("""COMPUTED_VALUE"""),"No")</f>
        <v>No</v>
      </c>
      <c r="AL2661" s="8" t="str">
        <f ca="1">IFERROR(__xludf.DUMMYFUNCTION("""COMPUTED_VALUE"""),"Yes")</f>
        <v>Yes</v>
      </c>
      <c r="AM2661" s="8"/>
      <c r="AN2661" s="8"/>
      <c r="AO2661" s="8" t="str">
        <f ca="1">IFERROR(__xludf.DUMMYFUNCTION("""COMPUTED_VALUE"""),"No")</f>
        <v>No</v>
      </c>
      <c r="AP2661" s="8"/>
      <c r="AQ2661" s="8" t="str">
        <f ca="1">IFERROR(__xludf.DUMMYFUNCTION("""COMPUTED_VALUE"""),"Unknown")</f>
        <v>Unknown</v>
      </c>
      <c r="AR2661" s="8" t="str">
        <f ca="1">IFERROR(__xludf.DUMMYFUNCTION("""COMPUTED_VALUE"""),"NA")</f>
        <v>NA</v>
      </c>
      <c r="AS2661" s="8" t="str">
        <f ca="1">IFERROR(__xludf.DUMMYFUNCTION("""COMPUTED_VALUE"""),"&lt;10")</f>
        <v>&lt;10</v>
      </c>
      <c r="AT2661" s="8"/>
      <c r="AU2661" s="8">
        <f ca="1">IFERROR(__xludf.DUMMYFUNCTION("""COMPUTED_VALUE"""),42.421012)</f>
        <v>42.421011999999997</v>
      </c>
      <c r="AV2661" s="8">
        <f ca="1">IFERROR(__xludf.DUMMYFUNCTION("""COMPUTED_VALUE"""),-83.163966)</f>
        <v>-83.163966000000002</v>
      </c>
      <c r="AW2661" s="8"/>
      <c r="AX2661" s="8">
        <f ca="1">IFERROR(__xludf.DUMMYFUNCTION("""COMPUTED_VALUE"""),48221)</f>
        <v>48221</v>
      </c>
    </row>
    <row r="2662" spans="1:50" ht="45" x14ac:dyDescent="0.2">
      <c r="A2662" s="8" t="str">
        <f ca="1">IFERROR(__xludf.DUMMYFUNCTION("""COMPUTED_VALUE"""),"19921104MIMAD")</f>
        <v>19921104MIMAD</v>
      </c>
      <c r="B2662" s="8">
        <f ca="1">IFERROR(__xludf.DUMMYFUNCTION("""COMPUTED_VALUE"""),11)</f>
        <v>11</v>
      </c>
      <c r="C2662" s="8">
        <f ca="1">IFERROR(__xludf.DUMMYFUNCTION("""COMPUTED_VALUE"""),4)</f>
        <v>4</v>
      </c>
      <c r="D2662" s="8">
        <f ca="1">IFERROR(__xludf.DUMMYFUNCTION("""COMPUTED_VALUE"""),1992)</f>
        <v>1992</v>
      </c>
      <c r="E2662" s="9">
        <f ca="1">IFERROR(__xludf.DUMMYFUNCTION("""COMPUTED_VALUE"""),33912)</f>
        <v>33912</v>
      </c>
      <c r="F2662" s="8" t="str">
        <f ca="1">IFERROR(__xludf.DUMMYFUNCTION("""COMPUTED_VALUE"""),"Marcus Garvey Academy")</f>
        <v>Marcus Garvey Academy</v>
      </c>
      <c r="G2662" s="8">
        <f ca="1">IFERROR(__xludf.DUMMYFUNCTION("""COMPUTED_VALUE"""),0)</f>
        <v>0</v>
      </c>
      <c r="H2662" s="8">
        <f ca="1">IFERROR(__xludf.DUMMYFUNCTION("""COMPUTED_VALUE"""),1)</f>
        <v>1</v>
      </c>
      <c r="I2662" s="8">
        <f ca="1">IFERROR(__xludf.DUMMYFUNCTION("""COMPUTED_VALUE"""),1)</f>
        <v>1</v>
      </c>
      <c r="J2662" s="8">
        <f ca="1">IFERROR(__xludf.DUMMYFUNCTION("""COMPUTED_VALUE"""),0)</f>
        <v>0</v>
      </c>
      <c r="K2662" s="8" t="str">
        <f ca="1">IFERROR(__xludf.DUMMYFUNCTION("""COMPUTED_VALUE"""),"https://www.newspapers.com/image/366371409/?terms=Robert%2BE.%2BLee%2BHigh%2BSchool%2Bshooting https://www.edweek.org/ew/articles/1992/11/18/11detr.h12.html")</f>
        <v>https://www.newspapers.com/image/366371409/?terms=Robert%2BE.%2BLee%2BHigh%2BSchool%2Bshooting https://www.edweek.org/ew/articles/1992/11/18/11detr.h12.html</v>
      </c>
      <c r="L2662" s="8"/>
      <c r="M2662" s="8"/>
      <c r="N2662" s="8">
        <f ca="1">IFERROR(__xludf.DUMMYFUNCTION("""COMPUTED_VALUE"""),3)</f>
        <v>3</v>
      </c>
      <c r="O2662" s="8" t="str">
        <f ca="1">IFERROR(__xludf.DUMMYFUNCTION("""COMPUTED_VALUE"""),"Fall")</f>
        <v>Fall</v>
      </c>
      <c r="P2662" s="8" t="str">
        <f ca="1">IFERROR(__xludf.DUMMYFUNCTION("""COMPUTED_VALUE"""),"Detroit")</f>
        <v>Detroit</v>
      </c>
      <c r="Q2662" s="8" t="str">
        <f ca="1">IFERROR(__xludf.DUMMYFUNCTION("""COMPUTED_VALUE"""),"MI")</f>
        <v>MI</v>
      </c>
      <c r="R2662" s="8" t="str">
        <f ca="1">IFERROR(__xludf.DUMMYFUNCTION("""COMPUTED_VALUE"""),"K-8")</f>
        <v>K-8</v>
      </c>
      <c r="S2662" s="8" t="str">
        <f ca="1">IFERROR(__xludf.DUMMYFUNCTION("""COMPUTED_VALUE"""),"Front of School")</f>
        <v>Front of School</v>
      </c>
      <c r="T2662" s="8" t="str">
        <f ca="1">IFERROR(__xludf.DUMMYFUNCTION("""COMPUTED_VALUE"""),"Outside on School Property")</f>
        <v>Outside on School Property</v>
      </c>
      <c r="U2662" s="8" t="str">
        <f ca="1">IFERROR(__xludf.DUMMYFUNCTION("""COMPUTED_VALUE"""),"Yes")</f>
        <v>Yes</v>
      </c>
      <c r="V2662" s="8" t="str">
        <f ca="1">IFERROR(__xludf.DUMMYFUNCTION("""COMPUTED_VALUE"""),"Dismissal")</f>
        <v>Dismissal</v>
      </c>
      <c r="W2662" s="11">
        <f ca="1">IFERROR(__xludf.DUMMYFUNCTION("""COMPUTED_VALUE"""),0.614583333333333)</f>
        <v>0.61458333333333304</v>
      </c>
      <c r="X2662" s="8">
        <f ca="1">IFERROR(__xludf.DUMMYFUNCTION("""COMPUTED_VALUE"""),1)</f>
        <v>1</v>
      </c>
      <c r="Y2662" s="12" t="str">
        <f ca="1">IFERROR(__xludf.DUMMYFUNCTION("""COMPUTED_VALUE"""),"Bystander student hit during related drive-by")</f>
        <v>Bystander student hit during related drive-by</v>
      </c>
      <c r="Z2662" s="12" t="str">
        <f ca="1">IFERROR(__xludf.DUMMYFUNCTION("""COMPUTED_VALUE"""),"Student was shot outside of the school during a targeted drive by shootings.")</f>
        <v>Student was shot outside of the school during a targeted drive by shootings.</v>
      </c>
      <c r="AA2662" s="8" t="str">
        <f ca="1">IFERROR(__xludf.DUMMYFUNCTION("""COMPUTED_VALUE"""),"Drive-by Shooting")</f>
        <v>Drive-by Shooting</v>
      </c>
      <c r="AB2662" s="8"/>
      <c r="AC2662" s="8"/>
      <c r="AD2662" s="8"/>
      <c r="AE2662" s="8" t="str">
        <f ca="1">IFERROR(__xludf.DUMMYFUNCTION("""COMPUTED_VALUE"""),"No")</f>
        <v>No</v>
      </c>
      <c r="AF2662" s="8"/>
      <c r="AG2662" s="8" t="str">
        <f ca="1">IFERROR(__xludf.DUMMYFUNCTION("""COMPUTED_VALUE"""),"No")</f>
        <v>No</v>
      </c>
      <c r="AH2662" s="8" t="str">
        <f ca="1">IFERROR(__xludf.DUMMYFUNCTION("""COMPUTED_VALUE"""),"No")</f>
        <v>No</v>
      </c>
      <c r="AI2662" s="8" t="str">
        <f ca="1">IFERROR(__xludf.DUMMYFUNCTION("""COMPUTED_VALUE"""),"No")</f>
        <v>No</v>
      </c>
      <c r="AJ2662" s="8" t="str">
        <f ca="1">IFERROR(__xludf.DUMMYFUNCTION("""COMPUTED_VALUE"""),"No")</f>
        <v>No</v>
      </c>
      <c r="AK2662" s="8" t="str">
        <f ca="1">IFERROR(__xludf.DUMMYFUNCTION("""COMPUTED_VALUE"""),"No")</f>
        <v>No</v>
      </c>
      <c r="AL2662" s="8" t="str">
        <f ca="1">IFERROR(__xludf.DUMMYFUNCTION("""COMPUTED_VALUE"""),"Yes")</f>
        <v>Yes</v>
      </c>
      <c r="AM2662" s="8"/>
      <c r="AN2662" s="8"/>
      <c r="AO2662" s="8" t="str">
        <f ca="1">IFERROR(__xludf.DUMMYFUNCTION("""COMPUTED_VALUE"""),"No")</f>
        <v>No</v>
      </c>
      <c r="AP2662" s="8"/>
      <c r="AQ2662" s="8" t="str">
        <f ca="1">IFERROR(__xludf.DUMMYFUNCTION("""COMPUTED_VALUE"""),"Unknown")</f>
        <v>Unknown</v>
      </c>
      <c r="AR2662" s="8" t="str">
        <f ca="1">IFERROR(__xludf.DUMMYFUNCTION("""COMPUTED_VALUE"""),"NA")</f>
        <v>NA</v>
      </c>
      <c r="AS2662" s="8" t="str">
        <f ca="1">IFERROR(__xludf.DUMMYFUNCTION("""COMPUTED_VALUE"""),"&lt;10")</f>
        <v>&lt;10</v>
      </c>
      <c r="AT2662" s="8"/>
      <c r="AU2662" s="8">
        <f ca="1">IFERROR(__xludf.DUMMYFUNCTION("""COMPUTED_VALUE"""),42.359307)</f>
        <v>42.359307000000001</v>
      </c>
      <c r="AV2662" s="8">
        <f ca="1">IFERROR(__xludf.DUMMYFUNCTION("""COMPUTED_VALUE"""),-83.001089)</f>
        <v>-83.001088999999993</v>
      </c>
      <c r="AW2662" s="8"/>
      <c r="AX2662" s="8">
        <f ca="1">IFERROR(__xludf.DUMMYFUNCTION("""COMPUTED_VALUE"""),48214)</f>
        <v>48214</v>
      </c>
    </row>
    <row r="2663" spans="1:50" ht="45" x14ac:dyDescent="0.2">
      <c r="A2663" s="8" t="str">
        <f ca="1">IFERROR(__xludf.DUMMYFUNCTION("""COMPUTED_VALUE"""),"19921104MIFID")</f>
        <v>19921104MIFID</v>
      </c>
      <c r="B2663" s="8">
        <f ca="1">IFERROR(__xludf.DUMMYFUNCTION("""COMPUTED_VALUE"""),11)</f>
        <v>11</v>
      </c>
      <c r="C2663" s="8">
        <f ca="1">IFERROR(__xludf.DUMMYFUNCTION("""COMPUTED_VALUE"""),4)</f>
        <v>4</v>
      </c>
      <c r="D2663" s="8">
        <f ca="1">IFERROR(__xludf.DUMMYFUNCTION("""COMPUTED_VALUE"""),1992)</f>
        <v>1992</v>
      </c>
      <c r="E2663" s="9">
        <f ca="1">IFERROR(__xludf.DUMMYFUNCTION("""COMPUTED_VALUE"""),33912)</f>
        <v>33912</v>
      </c>
      <c r="F2663" s="8" t="str">
        <f ca="1">IFERROR(__xludf.DUMMYFUNCTION("""COMPUTED_VALUE"""),"Finney High School")</f>
        <v>Finney High School</v>
      </c>
      <c r="G2663" s="8">
        <f ca="1">IFERROR(__xludf.DUMMYFUNCTION("""COMPUTED_VALUE"""),0)</f>
        <v>0</v>
      </c>
      <c r="H2663" s="8">
        <f ca="1">IFERROR(__xludf.DUMMYFUNCTION("""COMPUTED_VALUE"""),6)</f>
        <v>6</v>
      </c>
      <c r="I2663" s="8">
        <f ca="1">IFERROR(__xludf.DUMMYFUNCTION("""COMPUTED_VALUE"""),6)</f>
        <v>6</v>
      </c>
      <c r="J2663" s="8">
        <f ca="1">IFERROR(__xludf.DUMMYFUNCTION("""COMPUTED_VALUE"""),0)</f>
        <v>0</v>
      </c>
      <c r="K2663" s="8" t="str">
        <f ca="1">IFERROR(__xludf.DUMMYFUNCTION("""COMPUTED_VALUE"""),"https://www.newspapers.com/image/366371409/?terms=Robert%2BE.%2BLee%2BHigh%2BSchool%2Bshooting https://www.edweek.org/ew/articles/1992/11/18/11detr.h12.html")</f>
        <v>https://www.newspapers.com/image/366371409/?terms=Robert%2BE.%2BLee%2BHigh%2BSchool%2Bshooting https://www.edweek.org/ew/articles/1992/11/18/11detr.h12.html</v>
      </c>
      <c r="L2663" s="8"/>
      <c r="M2663" s="8"/>
      <c r="N2663" s="8">
        <f ca="1">IFERROR(__xludf.DUMMYFUNCTION("""COMPUTED_VALUE"""),3)</f>
        <v>3</v>
      </c>
      <c r="O2663" s="8" t="str">
        <f ca="1">IFERROR(__xludf.DUMMYFUNCTION("""COMPUTED_VALUE"""),"Fall")</f>
        <v>Fall</v>
      </c>
      <c r="P2663" s="8" t="str">
        <f ca="1">IFERROR(__xludf.DUMMYFUNCTION("""COMPUTED_VALUE"""),"Detroit")</f>
        <v>Detroit</v>
      </c>
      <c r="Q2663" s="8" t="str">
        <f ca="1">IFERROR(__xludf.DUMMYFUNCTION("""COMPUTED_VALUE"""),"MI")</f>
        <v>MI</v>
      </c>
      <c r="R2663" s="8" t="str">
        <f ca="1">IFERROR(__xludf.DUMMYFUNCTION("""COMPUTED_VALUE"""),"High")</f>
        <v>High</v>
      </c>
      <c r="S2663" s="8" t="str">
        <f ca="1">IFERROR(__xludf.DUMMYFUNCTION("""COMPUTED_VALUE"""),"Hallway")</f>
        <v>Hallway</v>
      </c>
      <c r="T2663" s="8" t="str">
        <f ca="1">IFERROR(__xludf.DUMMYFUNCTION("""COMPUTED_VALUE"""),"Inside School Building")</f>
        <v>Inside School Building</v>
      </c>
      <c r="U2663" s="8" t="str">
        <f ca="1">IFERROR(__xludf.DUMMYFUNCTION("""COMPUTED_VALUE"""),"Yes")</f>
        <v>Yes</v>
      </c>
      <c r="V2663" s="8" t="str">
        <f ca="1">IFERROR(__xludf.DUMMYFUNCTION("""COMPUTED_VALUE"""),"Morning Classes")</f>
        <v>Morning Classes</v>
      </c>
      <c r="W2663" s="11">
        <f ca="1">IFERROR(__xludf.DUMMYFUNCTION("""COMPUTED_VALUE"""),0.4375)</f>
        <v>0.4375</v>
      </c>
      <c r="X2663" s="8">
        <f ca="1">IFERROR(__xludf.DUMMYFUNCTION("""COMPUTED_VALUE"""),1)</f>
        <v>1</v>
      </c>
      <c r="Y2663" s="12" t="str">
        <f ca="1">IFERROR(__xludf.DUMMYFUNCTION("""COMPUTED_VALUE"""),"Gang related shooting in hallway")</f>
        <v>Gang related shooting in hallway</v>
      </c>
      <c r="Z2663" s="12" t="str">
        <f ca="1">IFERROR(__xludf.DUMMYFUNCTION("""COMPUTED_VALUE"""),"Three shooters donned ski masks and began firing into a group in a hallway. Six students were injured by lightweight shot, possibly bird shot, and refused medical treatment")</f>
        <v>Three shooters donned ski masks and began firing into a group in a hallway. Six students were injured by lightweight shot, possibly bird shot, and refused medical treatment</v>
      </c>
      <c r="AA2663" s="8" t="str">
        <f ca="1">IFERROR(__xludf.DUMMYFUNCTION("""COMPUTED_VALUE"""),"Indiscriminate Shooting")</f>
        <v>Indiscriminate Shooting</v>
      </c>
      <c r="AB2663" s="8"/>
      <c r="AC2663" s="8"/>
      <c r="AD2663" s="8" t="str">
        <f ca="1">IFERROR(__xludf.DUMMYFUNCTION("""COMPUTED_VALUE"""),"Both")</f>
        <v>Both</v>
      </c>
      <c r="AE2663" s="8" t="str">
        <f ca="1">IFERROR(__xludf.DUMMYFUNCTION("""COMPUTED_VALUE"""),"Yes")</f>
        <v>Yes</v>
      </c>
      <c r="AF2663" s="8" t="str">
        <f ca="1">IFERROR(__xludf.DUMMYFUNCTION("""COMPUTED_VALUE"""),"Group of three shooters")</f>
        <v>Group of three shooters</v>
      </c>
      <c r="AG2663" s="8" t="str">
        <f ca="1">IFERROR(__xludf.DUMMYFUNCTION("""COMPUTED_VALUE"""),"No")</f>
        <v>No</v>
      </c>
      <c r="AH2663" s="8" t="str">
        <f ca="1">IFERROR(__xludf.DUMMYFUNCTION("""COMPUTED_VALUE"""),"No")</f>
        <v>No</v>
      </c>
      <c r="AI2663" s="8" t="str">
        <f ca="1">IFERROR(__xludf.DUMMYFUNCTION("""COMPUTED_VALUE"""),"No")</f>
        <v>No</v>
      </c>
      <c r="AJ2663" s="8" t="str">
        <f ca="1">IFERROR(__xludf.DUMMYFUNCTION("""COMPUTED_VALUE"""),"No")</f>
        <v>No</v>
      </c>
      <c r="AK2663" s="8" t="str">
        <f ca="1">IFERROR(__xludf.DUMMYFUNCTION("""COMPUTED_VALUE"""),"No")</f>
        <v>No</v>
      </c>
      <c r="AL2663" s="8" t="str">
        <f ca="1">IFERROR(__xludf.DUMMYFUNCTION("""COMPUTED_VALUE"""),"Yes")</f>
        <v>Yes</v>
      </c>
      <c r="AM2663" s="8"/>
      <c r="AN2663" s="8"/>
      <c r="AO2663" s="8" t="str">
        <f ca="1">IFERROR(__xludf.DUMMYFUNCTION("""COMPUTED_VALUE"""),"No")</f>
        <v>No</v>
      </c>
      <c r="AP2663" s="8"/>
      <c r="AQ2663" s="8" t="str">
        <f ca="1">IFERROR(__xludf.DUMMYFUNCTION("""COMPUTED_VALUE"""),"Unknown")</f>
        <v>Unknown</v>
      </c>
      <c r="AR2663" s="8" t="str">
        <f ca="1">IFERROR(__xludf.DUMMYFUNCTION("""COMPUTED_VALUE"""),"NA")</f>
        <v>NA</v>
      </c>
      <c r="AS2663" s="8"/>
      <c r="AT2663" s="8"/>
      <c r="AU2663" s="8">
        <f ca="1">IFERROR(__xludf.DUMMYFUNCTION("""COMPUTED_VALUE"""),42.39017)</f>
        <v>42.390169999999998</v>
      </c>
      <c r="AV2663" s="8">
        <f ca="1">IFERROR(__xludf.DUMMYFUNCTION("""COMPUTED_VALUE"""),-82.953433)</f>
        <v>-82.953433000000004</v>
      </c>
      <c r="AW2663" s="8"/>
      <c r="AX2663" s="8">
        <f ca="1">IFERROR(__xludf.DUMMYFUNCTION("""COMPUTED_VALUE"""),48215)</f>
        <v>48215</v>
      </c>
    </row>
    <row r="2664" spans="1:50" ht="90" x14ac:dyDescent="0.2">
      <c r="A2664" s="8" t="str">
        <f ca="1">IFERROR(__xludf.DUMMYFUNCTION("""COMPUTED_VALUE"""),"19921019NYEVB")</f>
        <v>19921019NYEVB</v>
      </c>
      <c r="B2664" s="8">
        <f ca="1">IFERROR(__xludf.DUMMYFUNCTION("""COMPUTED_VALUE"""),10)</f>
        <v>10</v>
      </c>
      <c r="C2664" s="8">
        <f ca="1">IFERROR(__xludf.DUMMYFUNCTION("""COMPUTED_VALUE"""),19)</f>
        <v>19</v>
      </c>
      <c r="D2664" s="8">
        <f ca="1">IFERROR(__xludf.DUMMYFUNCTION("""COMPUTED_VALUE"""),1992)</f>
        <v>1992</v>
      </c>
      <c r="E2664" s="9">
        <f ca="1">IFERROR(__xludf.DUMMYFUNCTION("""COMPUTED_VALUE"""),33896)</f>
        <v>33896</v>
      </c>
      <c r="F2664" s="8" t="str">
        <f ca="1">IFERROR(__xludf.DUMMYFUNCTION("""COMPUTED_VALUE"""),"Evander Childs High School")</f>
        <v>Evander Childs High School</v>
      </c>
      <c r="G2664" s="8">
        <f ca="1">IFERROR(__xludf.DUMMYFUNCTION("""COMPUTED_VALUE"""),0)</f>
        <v>0</v>
      </c>
      <c r="H2664" s="8">
        <f ca="1">IFERROR(__xludf.DUMMYFUNCTION("""COMPUTED_VALUE"""),3)</f>
        <v>3</v>
      </c>
      <c r="I2664" s="8">
        <f ca="1">IFERROR(__xludf.DUMMYFUNCTION("""COMPUTED_VALUE"""),3)</f>
        <v>3</v>
      </c>
      <c r="J2664" s="8">
        <f ca="1">IFERROR(__xludf.DUMMYFUNCTION("""COMPUTED_VALUE"""),0)</f>
        <v>0</v>
      </c>
      <c r="K2664" s="10" t="str">
        <f ca="1">IFERROR(__xludf.DUMMYFUNCTION("""COMPUTED_VALUE"""),"https://www.nytimes.com/1992/10/20/nyregion/3-teen-agers-shot-in-bronx-near-a-school.html")</f>
        <v>https://www.nytimes.com/1992/10/20/nyregion/3-teen-agers-shot-in-bronx-near-a-school.html</v>
      </c>
      <c r="L2664" s="8"/>
      <c r="M2664" s="8"/>
      <c r="N2664" s="8">
        <f ca="1">IFERROR(__xludf.DUMMYFUNCTION("""COMPUTED_VALUE"""),2)</f>
        <v>2</v>
      </c>
      <c r="O2664" s="8" t="str">
        <f ca="1">IFERROR(__xludf.DUMMYFUNCTION("""COMPUTED_VALUE"""),"Fall")</f>
        <v>Fall</v>
      </c>
      <c r="P2664" s="8" t="str">
        <f ca="1">IFERROR(__xludf.DUMMYFUNCTION("""COMPUTED_VALUE"""),"Bronx")</f>
        <v>Bronx</v>
      </c>
      <c r="Q2664" s="8" t="str">
        <f ca="1">IFERROR(__xludf.DUMMYFUNCTION("""COMPUTED_VALUE"""),"NY")</f>
        <v>NY</v>
      </c>
      <c r="R2664" s="8" t="str">
        <f ca="1">IFERROR(__xludf.DUMMYFUNCTION("""COMPUTED_VALUE"""),"High")</f>
        <v>High</v>
      </c>
      <c r="S2664" s="8" t="str">
        <f ca="1">IFERROR(__xludf.DUMMYFUNCTION("""COMPUTED_VALUE"""),"Beside Building")</f>
        <v>Beside Building</v>
      </c>
      <c r="T2664" s="8" t="str">
        <f ca="1">IFERROR(__xludf.DUMMYFUNCTION("""COMPUTED_VALUE"""),"Outside on School Property")</f>
        <v>Outside on School Property</v>
      </c>
      <c r="U2664" s="8" t="str">
        <f ca="1">IFERROR(__xludf.DUMMYFUNCTION("""COMPUTED_VALUE"""),"Yes")</f>
        <v>Yes</v>
      </c>
      <c r="V2664" s="8" t="str">
        <f ca="1">IFERROR(__xludf.DUMMYFUNCTION("""COMPUTED_VALUE"""),"Afternoon Classes")</f>
        <v>Afternoon Classes</v>
      </c>
      <c r="W2664" s="11">
        <f ca="1">IFERROR(__xludf.DUMMYFUNCTION("""COMPUTED_VALUE"""),0.574305555555555)</f>
        <v>0.57430555555555496</v>
      </c>
      <c r="X2664" s="8">
        <f ca="1">IFERROR(__xludf.DUMMYFUNCTION("""COMPUTED_VALUE"""),1)</f>
        <v>1</v>
      </c>
      <c r="Y2664" s="12" t="str">
        <f ca="1">IFERROR(__xludf.DUMMYFUNCTION("""COMPUTED_VALUE"""),"Bystander student shot in hallway during gang shooting")</f>
        <v>Bystander student shot in hallway during gang shooting</v>
      </c>
      <c r="Z2664" s="12" t="str">
        <f ca="1">IFERROR(__xludf.DUMMYFUNCTION("""COMPUTED_VALUE"""),"Shooter fired at another male student outside of the school building hitting two female students in the crossfire. The shooter fled the scene. The shooter and targeted victim had a dispute earlier during the school day over hand gestures/gang signs in the"&amp;" hallway. The two female students struck were both honor students.")</f>
        <v>Shooter fired at another male student outside of the school building hitting two female students in the crossfire. The shooter fled the scene. The shooter and targeted victim had a dispute earlier during the school day over hand gestures/gang signs in the hallway. The two female students struck were both honor students.</v>
      </c>
      <c r="AA2664" s="8" t="str">
        <f ca="1">IFERROR(__xludf.DUMMYFUNCTION("""COMPUTED_VALUE"""),"Escalation of Dispute")</f>
        <v>Escalation of Dispute</v>
      </c>
      <c r="AB2664" s="8"/>
      <c r="AC2664" s="8"/>
      <c r="AD2664" s="8" t="str">
        <f ca="1">IFERROR(__xludf.DUMMYFUNCTION("""COMPUTED_VALUE"""),"Victims Targeted")</f>
        <v>Victims Targeted</v>
      </c>
      <c r="AE2664" s="8" t="str">
        <f ca="1">IFERROR(__xludf.DUMMYFUNCTION("""COMPUTED_VALUE"""),"No")</f>
        <v>No</v>
      </c>
      <c r="AF2664" s="8"/>
      <c r="AG2664" s="8" t="str">
        <f ca="1">IFERROR(__xludf.DUMMYFUNCTION("""COMPUTED_VALUE"""),"No")</f>
        <v>No</v>
      </c>
      <c r="AH2664" s="8" t="str">
        <f ca="1">IFERROR(__xludf.DUMMYFUNCTION("""COMPUTED_VALUE"""),"No")</f>
        <v>No</v>
      </c>
      <c r="AI2664" s="8" t="str">
        <f ca="1">IFERROR(__xludf.DUMMYFUNCTION("""COMPUTED_VALUE"""),"No")</f>
        <v>No</v>
      </c>
      <c r="AJ2664" s="8" t="str">
        <f ca="1">IFERROR(__xludf.DUMMYFUNCTION("""COMPUTED_VALUE"""),"No")</f>
        <v>No</v>
      </c>
      <c r="AK2664" s="8" t="str">
        <f ca="1">IFERROR(__xludf.DUMMYFUNCTION("""COMPUTED_VALUE"""),"No")</f>
        <v>No</v>
      </c>
      <c r="AL2664" s="8" t="str">
        <f ca="1">IFERROR(__xludf.DUMMYFUNCTION("""COMPUTED_VALUE"""),"Yes")</f>
        <v>Yes</v>
      </c>
      <c r="AM2664" s="8"/>
      <c r="AN2664" s="8"/>
      <c r="AO2664" s="8" t="str">
        <f ca="1">IFERROR(__xludf.DUMMYFUNCTION("""COMPUTED_VALUE"""),"No")</f>
        <v>No</v>
      </c>
      <c r="AP2664" s="8"/>
      <c r="AQ2664" s="8" t="str">
        <f ca="1">IFERROR(__xludf.DUMMYFUNCTION("""COMPUTED_VALUE"""),"Unknown")</f>
        <v>Unknown</v>
      </c>
      <c r="AR2664" s="8" t="str">
        <f ca="1">IFERROR(__xludf.DUMMYFUNCTION("""COMPUTED_VALUE"""),"NA")</f>
        <v>NA</v>
      </c>
      <c r="AS2664" s="8" t="str">
        <f ca="1">IFERROR(__xludf.DUMMYFUNCTION("""COMPUTED_VALUE"""),"&lt;5")</f>
        <v>&lt;5</v>
      </c>
      <c r="AT2664" s="8"/>
      <c r="AU2664" s="8">
        <f ca="1">IFERROR(__xludf.DUMMYFUNCTION("""COMPUTED_VALUE"""),40.875394)</f>
        <v>40.875394</v>
      </c>
      <c r="AV2664" s="8">
        <f ca="1">IFERROR(__xludf.DUMMYFUNCTION("""COMPUTED_VALUE"""),-73.861414)</f>
        <v>-73.861413999999996</v>
      </c>
      <c r="AW2664" s="8"/>
      <c r="AX2664" s="8">
        <f ca="1">IFERROR(__xludf.DUMMYFUNCTION("""COMPUTED_VALUE"""),10467)</f>
        <v>10467</v>
      </c>
    </row>
    <row r="2665" spans="1:50" ht="45" x14ac:dyDescent="0.2">
      <c r="A2665" s="8" t="str">
        <f ca="1">IFERROR(__xludf.DUMMYFUNCTION("""COMPUTED_VALUE"""),"19921013AZDET")</f>
        <v>19921013AZDET</v>
      </c>
      <c r="B2665" s="8">
        <f ca="1">IFERROR(__xludf.DUMMYFUNCTION("""COMPUTED_VALUE"""),10)</f>
        <v>10</v>
      </c>
      <c r="C2665" s="8">
        <f ca="1">IFERROR(__xludf.DUMMYFUNCTION("""COMPUTED_VALUE"""),13)</f>
        <v>13</v>
      </c>
      <c r="D2665" s="8">
        <f ca="1">IFERROR(__xludf.DUMMYFUNCTION("""COMPUTED_VALUE"""),1992)</f>
        <v>1992</v>
      </c>
      <c r="E2665" s="9">
        <f ca="1">IFERROR(__xludf.DUMMYFUNCTION("""COMPUTED_VALUE"""),33890)</f>
        <v>33890</v>
      </c>
      <c r="F2665" s="8" t="str">
        <f ca="1">IFERROR(__xludf.DUMMYFUNCTION("""COMPUTED_VALUE"""),"Desert View High School")</f>
        <v>Desert View High School</v>
      </c>
      <c r="G2665" s="8">
        <f ca="1">IFERROR(__xludf.DUMMYFUNCTION("""COMPUTED_VALUE"""),1)</f>
        <v>1</v>
      </c>
      <c r="H2665" s="8">
        <f ca="1">IFERROR(__xludf.DUMMYFUNCTION("""COMPUTED_VALUE"""),0)</f>
        <v>0</v>
      </c>
      <c r="I2665" s="8">
        <f ca="1">IFERROR(__xludf.DUMMYFUNCTION("""COMPUTED_VALUE"""),1)</f>
        <v>1</v>
      </c>
      <c r="J2665" s="8">
        <f ca="1">IFERROR(__xludf.DUMMYFUNCTION("""COMPUTED_VALUE"""),0)</f>
        <v>0</v>
      </c>
      <c r="K2665" s="8" t="str">
        <f ca="1">IFERROR(__xludf.DUMMYFUNCTION("""COMPUTED_VALUE"""),"https://www.newspapers.com/image/169151413/?terms=Oscar%2BDaniel%2BLeon http://tucsoncitizen.com/morgue2/1994/10/20/168376-triumph-follows-tragedy/")</f>
        <v>https://www.newspapers.com/image/169151413/?terms=Oscar%2BDaniel%2BLeon http://tucsoncitizen.com/morgue2/1994/10/20/168376-triumph-follows-tragedy/</v>
      </c>
      <c r="L2665" s="8"/>
      <c r="M2665" s="8"/>
      <c r="N2665" s="8">
        <f ca="1">IFERROR(__xludf.DUMMYFUNCTION("""COMPUTED_VALUE"""),3)</f>
        <v>3</v>
      </c>
      <c r="O2665" s="8" t="str">
        <f ca="1">IFERROR(__xludf.DUMMYFUNCTION("""COMPUTED_VALUE"""),"Fall")</f>
        <v>Fall</v>
      </c>
      <c r="P2665" s="8" t="str">
        <f ca="1">IFERROR(__xludf.DUMMYFUNCTION("""COMPUTED_VALUE"""),"Tucson")</f>
        <v>Tucson</v>
      </c>
      <c r="Q2665" s="8" t="str">
        <f ca="1">IFERROR(__xludf.DUMMYFUNCTION("""COMPUTED_VALUE"""),"AZ")</f>
        <v>AZ</v>
      </c>
      <c r="R2665" s="8" t="str">
        <f ca="1">IFERROR(__xludf.DUMMYFUNCTION("""COMPUTED_VALUE"""),"High")</f>
        <v>High</v>
      </c>
      <c r="S2665" s="8" t="str">
        <f ca="1">IFERROR(__xludf.DUMMYFUNCTION("""COMPUTED_VALUE"""),"Parking Lot")</f>
        <v>Parking Lot</v>
      </c>
      <c r="T2665" s="8" t="str">
        <f ca="1">IFERROR(__xludf.DUMMYFUNCTION("""COMPUTED_VALUE"""),"Outside on School Property")</f>
        <v>Outside on School Property</v>
      </c>
      <c r="U2665" s="8" t="str">
        <f ca="1">IFERROR(__xludf.DUMMYFUNCTION("""COMPUTED_VALUE"""),"Yes")</f>
        <v>Yes</v>
      </c>
      <c r="V2665" s="8" t="str">
        <f ca="1">IFERROR(__xludf.DUMMYFUNCTION("""COMPUTED_VALUE"""),"Dismissal")</f>
        <v>Dismissal</v>
      </c>
      <c r="W2665" s="8"/>
      <c r="X2665" s="8">
        <f ca="1">IFERROR(__xludf.DUMMYFUNCTION("""COMPUTED_VALUE"""),1)</f>
        <v>1</v>
      </c>
      <c r="Y2665" s="12" t="str">
        <f ca="1">IFERROR(__xludf.DUMMYFUNCTION("""COMPUTED_VALUE"""),"Student flashed gang sign at shooter")</f>
        <v>Student flashed gang sign at shooter</v>
      </c>
      <c r="Z2665" s="12" t="str">
        <f ca="1">IFERROR(__xludf.DUMMYFUNCTION("""COMPUTED_VALUE"""),"16YOM student flashes gang sign at 20YOM in school parking lot. 20YOM was member of rival gang and shot/killed him.")</f>
        <v>16YOM student flashes gang sign at 20YOM in school parking lot. 20YOM was member of rival gang and shot/killed him.</v>
      </c>
      <c r="AA2665" s="8" t="str">
        <f ca="1">IFERROR(__xludf.DUMMYFUNCTION("""COMPUTED_VALUE"""),"Escalation of Dispute")</f>
        <v>Escalation of Dispute</v>
      </c>
      <c r="AB2665" s="8"/>
      <c r="AC2665" s="8"/>
      <c r="AD2665" s="8" t="str">
        <f ca="1">IFERROR(__xludf.DUMMYFUNCTION("""COMPUTED_VALUE"""),"Victims Targeted")</f>
        <v>Victims Targeted</v>
      </c>
      <c r="AE2665" s="8" t="str">
        <f ca="1">IFERROR(__xludf.DUMMYFUNCTION("""COMPUTED_VALUE"""),"No")</f>
        <v>No</v>
      </c>
      <c r="AF2665" s="8"/>
      <c r="AG2665" s="8" t="str">
        <f ca="1">IFERROR(__xludf.DUMMYFUNCTION("""COMPUTED_VALUE"""),"No")</f>
        <v>No</v>
      </c>
      <c r="AH2665" s="8" t="str">
        <f ca="1">IFERROR(__xludf.DUMMYFUNCTION("""COMPUTED_VALUE"""),"No")</f>
        <v>No</v>
      </c>
      <c r="AI2665" s="8" t="str">
        <f ca="1">IFERROR(__xludf.DUMMYFUNCTION("""COMPUTED_VALUE"""),"No")</f>
        <v>No</v>
      </c>
      <c r="AJ2665" s="8" t="str">
        <f ca="1">IFERROR(__xludf.DUMMYFUNCTION("""COMPUTED_VALUE"""),"No")</f>
        <v>No</v>
      </c>
      <c r="AK2665" s="8" t="str">
        <f ca="1">IFERROR(__xludf.DUMMYFUNCTION("""COMPUTED_VALUE"""),"No")</f>
        <v>No</v>
      </c>
      <c r="AL2665" s="8" t="str">
        <f ca="1">IFERROR(__xludf.DUMMYFUNCTION("""COMPUTED_VALUE"""),"Yes")</f>
        <v>Yes</v>
      </c>
      <c r="AM2665" s="8"/>
      <c r="AN2665" s="8"/>
      <c r="AO2665" s="8" t="str">
        <f ca="1">IFERROR(__xludf.DUMMYFUNCTION("""COMPUTED_VALUE"""),"No")</f>
        <v>No</v>
      </c>
      <c r="AP2665" s="8"/>
      <c r="AQ2665" s="8" t="str">
        <f ca="1">IFERROR(__xludf.DUMMYFUNCTION("""COMPUTED_VALUE"""),"Unknown")</f>
        <v>Unknown</v>
      </c>
      <c r="AR2665" s="8" t="str">
        <f ca="1">IFERROR(__xludf.DUMMYFUNCTION("""COMPUTED_VALUE"""),"NA")</f>
        <v>NA</v>
      </c>
      <c r="AS2665" s="8"/>
      <c r="AT2665" s="8"/>
      <c r="AU2665" s="8">
        <f ca="1">IFERROR(__xludf.DUMMYFUNCTION("""COMPUTED_VALUE"""),32.136029)</f>
        <v>32.136029000000001</v>
      </c>
      <c r="AV2665" s="8">
        <f ca="1">IFERROR(__xludf.DUMMYFUNCTION("""COMPUTED_VALUE"""),-110.904568)</f>
        <v>-110.904568</v>
      </c>
      <c r="AW2665" s="8"/>
      <c r="AX2665" s="8">
        <f ca="1">IFERROR(__xludf.DUMMYFUNCTION("""COMPUTED_VALUE"""),85706)</f>
        <v>85706</v>
      </c>
    </row>
    <row r="2666" spans="1:50" ht="30" x14ac:dyDescent="0.2">
      <c r="A2666" s="8" t="str">
        <f ca="1">IFERROR(__xludf.DUMMYFUNCTION("""COMPUTED_VALUE"""),"19920930TXHOH")</f>
        <v>19920930TXHOH</v>
      </c>
      <c r="B2666" s="8">
        <f ca="1">IFERROR(__xludf.DUMMYFUNCTION("""COMPUTED_VALUE"""),9)</f>
        <v>9</v>
      </c>
      <c r="C2666" s="8">
        <f ca="1">IFERROR(__xludf.DUMMYFUNCTION("""COMPUTED_VALUE"""),30)</f>
        <v>30</v>
      </c>
      <c r="D2666" s="8">
        <f ca="1">IFERROR(__xludf.DUMMYFUNCTION("""COMPUTED_VALUE"""),1992)</f>
        <v>1992</v>
      </c>
      <c r="E2666" s="9">
        <f ca="1">IFERROR(__xludf.DUMMYFUNCTION("""COMPUTED_VALUE"""),33877)</f>
        <v>33877</v>
      </c>
      <c r="F2666" s="8" t="str">
        <f ca="1">IFERROR(__xludf.DUMMYFUNCTION("""COMPUTED_VALUE"""),"Hollibrook Elementary School")</f>
        <v>Hollibrook Elementary School</v>
      </c>
      <c r="G2666" s="8">
        <f ca="1">IFERROR(__xludf.DUMMYFUNCTION("""COMPUTED_VALUE"""),1)</f>
        <v>1</v>
      </c>
      <c r="H2666" s="8">
        <f ca="1">IFERROR(__xludf.DUMMYFUNCTION("""COMPUTED_VALUE"""),1)</f>
        <v>1</v>
      </c>
      <c r="I2666" s="8">
        <f ca="1">IFERROR(__xludf.DUMMYFUNCTION("""COMPUTED_VALUE"""),2)</f>
        <v>2</v>
      </c>
      <c r="J2666" s="8">
        <f ca="1">IFERROR(__xludf.DUMMYFUNCTION("""COMPUTED_VALUE"""),0)</f>
        <v>0</v>
      </c>
      <c r="K2666" s="8" t="str">
        <f ca="1">IFERROR(__xludf.DUMMYFUNCTION("""COMPUTED_VALUE"""),"Houston Chronicle - Northbrook High School Student Arrested in Boy's Slaying; https://www.columbine-angels.com/School_Violence_1992-1993.htm")</f>
        <v>Houston Chronicle - Northbrook High School Student Arrested in Boy's Slaying; https://www.columbine-angels.com/School_Violence_1992-1993.htm</v>
      </c>
      <c r="L2666" s="8"/>
      <c r="M2666" s="8"/>
      <c r="N2666" s="8">
        <f ca="1">IFERROR(__xludf.DUMMYFUNCTION("""COMPUTED_VALUE"""),1)</f>
        <v>1</v>
      </c>
      <c r="O2666" s="8" t="str">
        <f ca="1">IFERROR(__xludf.DUMMYFUNCTION("""COMPUTED_VALUE"""),"Fall")</f>
        <v>Fall</v>
      </c>
      <c r="P2666" s="8" t="str">
        <f ca="1">IFERROR(__xludf.DUMMYFUNCTION("""COMPUTED_VALUE"""),"Houston")</f>
        <v>Houston</v>
      </c>
      <c r="Q2666" s="8" t="str">
        <f ca="1">IFERROR(__xludf.DUMMYFUNCTION("""COMPUTED_VALUE"""),"TX")</f>
        <v>TX</v>
      </c>
      <c r="R2666" s="8" t="str">
        <f ca="1">IFERROR(__xludf.DUMMYFUNCTION("""COMPUTED_VALUE"""),"Elementary")</f>
        <v>Elementary</v>
      </c>
      <c r="S2666" s="8" t="str">
        <f ca="1">IFERROR(__xludf.DUMMYFUNCTION("""COMPUTED_VALUE"""),"Outside on School Property")</f>
        <v>Outside on School Property</v>
      </c>
      <c r="T2666" s="8" t="str">
        <f ca="1">IFERROR(__xludf.DUMMYFUNCTION("""COMPUTED_VALUE"""),"Outside on School Property")</f>
        <v>Outside on School Property</v>
      </c>
      <c r="U2666" s="8" t="str">
        <f ca="1">IFERROR(__xludf.DUMMYFUNCTION("""COMPUTED_VALUE"""),"No")</f>
        <v>No</v>
      </c>
      <c r="V2666" s="8" t="str">
        <f ca="1">IFERROR(__xludf.DUMMYFUNCTION("""COMPUTED_VALUE"""),"Night")</f>
        <v>Night</v>
      </c>
      <c r="W2666" s="11">
        <f ca="1">IFERROR(__xludf.DUMMYFUNCTION("""COMPUTED_VALUE"""),0.9375)</f>
        <v>0.9375</v>
      </c>
      <c r="X2666" s="8">
        <f ca="1">IFERROR(__xludf.DUMMYFUNCTION("""COMPUTED_VALUE"""),1)</f>
        <v>1</v>
      </c>
      <c r="Y2666" s="12" t="str">
        <f ca="1">IFERROR(__xludf.DUMMYFUNCTION("""COMPUTED_VALUE"""),"Gang fight at school during night")</f>
        <v>Gang fight at school during night</v>
      </c>
      <c r="Z2666" s="12" t="str">
        <f ca="1">IFERROR(__xludf.DUMMYFUNCTION("""COMPUTED_VALUE"""),"Fight between rival gang members. One killed and one injured by shotgun. 15YOM later charged.")</f>
        <v>Fight between rival gang members. One killed and one injured by shotgun. 15YOM later charged.</v>
      </c>
      <c r="AA2666" s="8" t="str">
        <f ca="1">IFERROR(__xludf.DUMMYFUNCTION("""COMPUTED_VALUE"""),"Escalation of Dispute")</f>
        <v>Escalation of Dispute</v>
      </c>
      <c r="AB2666" s="8"/>
      <c r="AC2666" s="8"/>
      <c r="AD2666" s="8" t="str">
        <f ca="1">IFERROR(__xludf.DUMMYFUNCTION("""COMPUTED_VALUE"""),"Victims Targeted")</f>
        <v>Victims Targeted</v>
      </c>
      <c r="AE2666" s="8" t="str">
        <f ca="1">IFERROR(__xludf.DUMMYFUNCTION("""COMPUTED_VALUE"""),"No")</f>
        <v>No</v>
      </c>
      <c r="AF2666" s="8"/>
      <c r="AG2666" s="8" t="str">
        <f ca="1">IFERROR(__xludf.DUMMYFUNCTION("""COMPUTED_VALUE"""),"No")</f>
        <v>No</v>
      </c>
      <c r="AH2666" s="8" t="str">
        <f ca="1">IFERROR(__xludf.DUMMYFUNCTION("""COMPUTED_VALUE"""),"No")</f>
        <v>No</v>
      </c>
      <c r="AI2666" s="8" t="str">
        <f ca="1">IFERROR(__xludf.DUMMYFUNCTION("""COMPUTED_VALUE"""),"No")</f>
        <v>No</v>
      </c>
      <c r="AJ2666" s="8" t="str">
        <f ca="1">IFERROR(__xludf.DUMMYFUNCTION("""COMPUTED_VALUE"""),"No")</f>
        <v>No</v>
      </c>
      <c r="AK2666" s="8" t="str">
        <f ca="1">IFERROR(__xludf.DUMMYFUNCTION("""COMPUTED_VALUE"""),"No")</f>
        <v>No</v>
      </c>
      <c r="AL2666" s="8" t="str">
        <f ca="1">IFERROR(__xludf.DUMMYFUNCTION("""COMPUTED_VALUE"""),"Yes")</f>
        <v>Yes</v>
      </c>
      <c r="AM2666" s="8"/>
      <c r="AN2666" s="8"/>
      <c r="AO2666" s="8" t="str">
        <f ca="1">IFERROR(__xludf.DUMMYFUNCTION("""COMPUTED_VALUE"""),"No")</f>
        <v>No</v>
      </c>
      <c r="AP2666" s="8"/>
      <c r="AQ2666" s="8" t="str">
        <f ca="1">IFERROR(__xludf.DUMMYFUNCTION("""COMPUTED_VALUE"""),"Unknown")</f>
        <v>Unknown</v>
      </c>
      <c r="AR2666" s="8" t="str">
        <f ca="1">IFERROR(__xludf.DUMMYFUNCTION("""COMPUTED_VALUE"""),"NA")</f>
        <v>NA</v>
      </c>
      <c r="AS2666" s="8">
        <f ca="1">IFERROR(__xludf.DUMMYFUNCTION("""COMPUTED_VALUE"""),2)</f>
        <v>2</v>
      </c>
      <c r="AT2666" s="8"/>
      <c r="AU2666" s="8">
        <f ca="1">IFERROR(__xludf.DUMMYFUNCTION("""COMPUTED_VALUE"""),29.826246)</f>
        <v>29.826246000000001</v>
      </c>
      <c r="AV2666" s="8">
        <f ca="1">IFERROR(__xludf.DUMMYFUNCTION("""COMPUTED_VALUE"""),-95.50733)</f>
        <v>-95.507329999999996</v>
      </c>
      <c r="AW2666" s="8"/>
      <c r="AX2666" s="8">
        <f ca="1">IFERROR(__xludf.DUMMYFUNCTION("""COMPUTED_VALUE"""),77080)</f>
        <v>77080</v>
      </c>
    </row>
    <row r="2667" spans="1:50" ht="90" x14ac:dyDescent="0.2">
      <c r="A2667" s="8" t="str">
        <f ca="1">IFERROR(__xludf.DUMMYFUNCTION("""COMPUTED_VALUE"""),"19920930CAPAL")</f>
        <v>19920930CAPAL</v>
      </c>
      <c r="B2667" s="8">
        <f ca="1">IFERROR(__xludf.DUMMYFUNCTION("""COMPUTED_VALUE"""),9)</f>
        <v>9</v>
      </c>
      <c r="C2667" s="8">
        <f ca="1">IFERROR(__xludf.DUMMYFUNCTION("""COMPUTED_VALUE"""),30)</f>
        <v>30</v>
      </c>
      <c r="D2667" s="8">
        <f ca="1">IFERROR(__xludf.DUMMYFUNCTION("""COMPUTED_VALUE"""),1992)</f>
        <v>1992</v>
      </c>
      <c r="E2667" s="9">
        <f ca="1">IFERROR(__xludf.DUMMYFUNCTION("""COMPUTED_VALUE"""),33877)</f>
        <v>33877</v>
      </c>
      <c r="F2667" s="8" t="str">
        <f ca="1">IFERROR(__xludf.DUMMYFUNCTION("""COMPUTED_VALUE"""),"Paramount High School")</f>
        <v>Paramount High School</v>
      </c>
      <c r="G2667" s="8">
        <f ca="1">IFERROR(__xludf.DUMMYFUNCTION("""COMPUTED_VALUE"""),1)</f>
        <v>1</v>
      </c>
      <c r="H2667" s="8">
        <f ca="1">IFERROR(__xludf.DUMMYFUNCTION("""COMPUTED_VALUE"""),0)</f>
        <v>0</v>
      </c>
      <c r="I2667" s="8">
        <f ca="1">IFERROR(__xludf.DUMMYFUNCTION("""COMPUTED_VALUE"""),1)</f>
        <v>1</v>
      </c>
      <c r="J2667" s="8">
        <f ca="1">IFERROR(__xludf.DUMMYFUNCTION("""COMPUTED_VALUE"""),0)</f>
        <v>0</v>
      </c>
      <c r="K2667" s="8" t="str">
        <f ca="1">IFERROR(__xludf.DUMMYFUNCTION("""COMPUTED_VALUE"""),"https://www.newspapers.com/image/712126935/?terms=shot%20at%20school&amp;match=1 https://www.latimes.com/archives/la-xpm-1992-10-01-mn-358-story.html")</f>
        <v>https://www.newspapers.com/image/712126935/?terms=shot%20at%20school&amp;match=1 https://www.latimes.com/archives/la-xpm-1992-10-01-mn-358-story.html</v>
      </c>
      <c r="L2667" s="8"/>
      <c r="M2667" s="8" t="str">
        <f ca="1">IFERROR(__xludf.DUMMYFUNCTION("""COMPUTED_VALUE"""),"Regional")</f>
        <v>Regional</v>
      </c>
      <c r="N2667" s="8">
        <f ca="1">IFERROR(__xludf.DUMMYFUNCTION("""COMPUTED_VALUE"""),4)</f>
        <v>4</v>
      </c>
      <c r="O2667" s="8" t="str">
        <f ca="1">IFERROR(__xludf.DUMMYFUNCTION("""COMPUTED_VALUE"""),"Fall")</f>
        <v>Fall</v>
      </c>
      <c r="P2667" s="8" t="str">
        <f ca="1">IFERROR(__xludf.DUMMYFUNCTION("""COMPUTED_VALUE"""),"Los Angeles")</f>
        <v>Los Angeles</v>
      </c>
      <c r="Q2667" s="8" t="str">
        <f ca="1">IFERROR(__xludf.DUMMYFUNCTION("""COMPUTED_VALUE"""),"CA")</f>
        <v>CA</v>
      </c>
      <c r="R2667" s="8" t="str">
        <f ca="1">IFERROR(__xludf.DUMMYFUNCTION("""COMPUTED_VALUE"""),"High")</f>
        <v>High</v>
      </c>
      <c r="S2667" s="8" t="str">
        <f ca="1">IFERROR(__xludf.DUMMYFUNCTION("""COMPUTED_VALUE"""),"Front of School")</f>
        <v>Front of School</v>
      </c>
      <c r="T2667" s="8" t="str">
        <f ca="1">IFERROR(__xludf.DUMMYFUNCTION("""COMPUTED_VALUE"""),"Outside on School Property")</f>
        <v>Outside on School Property</v>
      </c>
      <c r="U2667" s="8" t="str">
        <f ca="1">IFERROR(__xludf.DUMMYFUNCTION("""COMPUTED_VALUE"""),"No")</f>
        <v>No</v>
      </c>
      <c r="V2667" s="8" t="str">
        <f ca="1">IFERROR(__xludf.DUMMYFUNCTION("""COMPUTED_VALUE"""),"After School")</f>
        <v>After School</v>
      </c>
      <c r="W2667" s="11">
        <f ca="1">IFERROR(__xludf.DUMMYFUNCTION("""COMPUTED_VALUE"""),0.625)</f>
        <v>0.625</v>
      </c>
      <c r="X2667" s="8">
        <f ca="1">IFERROR(__xludf.DUMMYFUNCTION("""COMPUTED_VALUE"""),1)</f>
        <v>1</v>
      </c>
      <c r="Y2667" s="12" t="str">
        <f ca="1">IFERROR(__xludf.DUMMYFUNCTION("""COMPUTED_VALUE"""),"Student walking to cheerleading practice was fatally shot")</f>
        <v>Student walking to cheerleading practice was fatally shot</v>
      </c>
      <c r="Z2667" s="12" t="str">
        <f ca="1">IFERROR(__xludf.DUMMYFUNCTION("""COMPUTED_VALUE"""),"A 16-year-old female student was walking in front of the school to cheerleading practice when she was fatally shot in the back of the head. The bullet was fired by a teen on a bike who was shooting at a rival teenage gang member. The victim was not the in"&amp;"tended target. Shooter fled the scene.")</f>
        <v>A 16-year-old female student was walking in front of the school to cheerleading practice when she was fatally shot in the back of the head. The bullet was fired by a teen on a bike who was shooting at a rival teenage gang member. The victim was not the intended target. Shooter fled the scene.</v>
      </c>
      <c r="AA2667" s="8" t="str">
        <f ca="1">IFERROR(__xludf.DUMMYFUNCTION("""COMPUTED_VALUE"""),"Drive-by Shooting")</f>
        <v>Drive-by Shooting</v>
      </c>
      <c r="AB2667" s="8"/>
      <c r="AC2667" s="8"/>
      <c r="AD2667" s="8" t="str">
        <f ca="1">IFERROR(__xludf.DUMMYFUNCTION("""COMPUTED_VALUE"""),"Both")</f>
        <v>Both</v>
      </c>
      <c r="AE2667" s="8" t="str">
        <f ca="1">IFERROR(__xludf.DUMMYFUNCTION("""COMPUTED_VALUE"""),"No")</f>
        <v>No</v>
      </c>
      <c r="AF2667" s="8"/>
      <c r="AG2667" s="8" t="str">
        <f ca="1">IFERROR(__xludf.DUMMYFUNCTION("""COMPUTED_VALUE"""),"No")</f>
        <v>No</v>
      </c>
      <c r="AH2667" s="8" t="str">
        <f ca="1">IFERROR(__xludf.DUMMYFUNCTION("""COMPUTED_VALUE"""),"No")</f>
        <v>No</v>
      </c>
      <c r="AI2667" s="8" t="str">
        <f ca="1">IFERROR(__xludf.DUMMYFUNCTION("""COMPUTED_VALUE"""),"No")</f>
        <v>No</v>
      </c>
      <c r="AJ2667" s="8" t="str">
        <f ca="1">IFERROR(__xludf.DUMMYFUNCTION("""COMPUTED_VALUE"""),"No")</f>
        <v>No</v>
      </c>
      <c r="AK2667" s="8" t="str">
        <f ca="1">IFERROR(__xludf.DUMMYFUNCTION("""COMPUTED_VALUE"""),"No")</f>
        <v>No</v>
      </c>
      <c r="AL2667" s="8" t="str">
        <f ca="1">IFERROR(__xludf.DUMMYFUNCTION("""COMPUTED_VALUE"""),"Yes")</f>
        <v>Yes</v>
      </c>
      <c r="AM2667" s="8" t="str">
        <f ca="1">IFERROR(__xludf.DUMMYFUNCTION("""COMPUTED_VALUE"""),"No")</f>
        <v>No</v>
      </c>
      <c r="AN2667" s="8"/>
      <c r="AO2667" s="8" t="str">
        <f ca="1">IFERROR(__xludf.DUMMYFUNCTION("""COMPUTED_VALUE"""),"No")</f>
        <v>No</v>
      </c>
      <c r="AP2667" s="8"/>
      <c r="AQ2667" s="8"/>
      <c r="AR2667" s="8" t="str">
        <f ca="1">IFERROR(__xludf.DUMMYFUNCTION("""COMPUTED_VALUE"""),"Outside/Off-Property")</f>
        <v>Outside/Off-Property</v>
      </c>
      <c r="AS2667" s="8"/>
      <c r="AT2667" s="8"/>
      <c r="AU2667" s="8">
        <f ca="1">IFERROR(__xludf.DUMMYFUNCTION("""COMPUTED_VALUE"""),33.902033)</f>
        <v>33.902033000000003</v>
      </c>
      <c r="AV2667" s="8">
        <f ca="1">IFERROR(__xludf.DUMMYFUNCTION("""COMPUTED_VALUE"""),-118.152261)</f>
        <v>-118.152261</v>
      </c>
      <c r="AW2667" s="8"/>
      <c r="AX2667" s="8">
        <f ca="1">IFERROR(__xludf.DUMMYFUNCTION("""COMPUTED_VALUE"""),90723)</f>
        <v>90723</v>
      </c>
    </row>
    <row r="2668" spans="1:50" ht="60" x14ac:dyDescent="0.2">
      <c r="A2668" s="8" t="str">
        <f ca="1">IFERROR(__xludf.DUMMYFUNCTION("""COMPUTED_VALUE"""),"19920928CAHIS")</f>
        <v>19920928CAHIS</v>
      </c>
      <c r="B2668" s="8">
        <f ca="1">IFERROR(__xludf.DUMMYFUNCTION("""COMPUTED_VALUE"""),9)</f>
        <v>9</v>
      </c>
      <c r="C2668" s="8">
        <f ca="1">IFERROR(__xludf.DUMMYFUNCTION("""COMPUTED_VALUE"""),28)</f>
        <v>28</v>
      </c>
      <c r="D2668" s="8">
        <f ca="1">IFERROR(__xludf.DUMMYFUNCTION("""COMPUTED_VALUE"""),1992)</f>
        <v>1992</v>
      </c>
      <c r="E2668" s="9">
        <f ca="1">IFERROR(__xludf.DUMMYFUNCTION("""COMPUTED_VALUE"""),33875)</f>
        <v>33875</v>
      </c>
      <c r="F2668" s="8" t="str">
        <f ca="1">IFERROR(__xludf.DUMMYFUNCTION("""COMPUTED_VALUE"""),"Hiram Johnson High School")</f>
        <v>Hiram Johnson High School</v>
      </c>
      <c r="G2668" s="8">
        <f ca="1">IFERROR(__xludf.DUMMYFUNCTION("""COMPUTED_VALUE"""),0)</f>
        <v>0</v>
      </c>
      <c r="H2668" s="8">
        <f ca="1">IFERROR(__xludf.DUMMYFUNCTION("""COMPUTED_VALUE"""),2)</f>
        <v>2</v>
      </c>
      <c r="I2668" s="8">
        <f ca="1">IFERROR(__xludf.DUMMYFUNCTION("""COMPUTED_VALUE"""),2)</f>
        <v>2</v>
      </c>
      <c r="J2668" s="8">
        <f ca="1">IFERROR(__xludf.DUMMYFUNCTION("""COMPUTED_VALUE"""),0)</f>
        <v>0</v>
      </c>
      <c r="K2668" s="10" t="str">
        <f ca="1">IFERROR(__xludf.DUMMYFUNCTION("""COMPUTED_VALUE"""),"https://www.newspapers.com/image/384174219/?terms=Hiram%2BJohnson%2BHigh%2BSchool%2Bshooting")</f>
        <v>https://www.newspapers.com/image/384174219/?terms=Hiram%2BJohnson%2BHigh%2BSchool%2Bshooting</v>
      </c>
      <c r="L2668" s="8"/>
      <c r="M2668" s="8"/>
      <c r="N2668" s="8">
        <f ca="1">IFERROR(__xludf.DUMMYFUNCTION("""COMPUTED_VALUE"""),3)</f>
        <v>3</v>
      </c>
      <c r="O2668" s="8" t="str">
        <f ca="1">IFERROR(__xludf.DUMMYFUNCTION("""COMPUTED_VALUE"""),"Fall")</f>
        <v>Fall</v>
      </c>
      <c r="P2668" s="8" t="str">
        <f ca="1">IFERROR(__xludf.DUMMYFUNCTION("""COMPUTED_VALUE"""),"Sacramento")</f>
        <v>Sacramento</v>
      </c>
      <c r="Q2668" s="8" t="str">
        <f ca="1">IFERROR(__xludf.DUMMYFUNCTION("""COMPUTED_VALUE"""),"CA")</f>
        <v>CA</v>
      </c>
      <c r="R2668" s="8" t="str">
        <f ca="1">IFERROR(__xludf.DUMMYFUNCTION("""COMPUTED_VALUE"""),"High")</f>
        <v>High</v>
      </c>
      <c r="S2668" s="8" t="str">
        <f ca="1">IFERROR(__xludf.DUMMYFUNCTION("""COMPUTED_VALUE"""),"Hallway")</f>
        <v>Hallway</v>
      </c>
      <c r="T2668" s="8" t="str">
        <f ca="1">IFERROR(__xludf.DUMMYFUNCTION("""COMPUTED_VALUE"""),"Inside School Building")</f>
        <v>Inside School Building</v>
      </c>
      <c r="U2668" s="8" t="str">
        <f ca="1">IFERROR(__xludf.DUMMYFUNCTION("""COMPUTED_VALUE"""),"Yes")</f>
        <v>Yes</v>
      </c>
      <c r="V2668" s="8" t="str">
        <f ca="1">IFERROR(__xludf.DUMMYFUNCTION("""COMPUTED_VALUE"""),"Dismissal")</f>
        <v>Dismissal</v>
      </c>
      <c r="W2668" s="11">
        <f ca="1">IFERROR(__xludf.DUMMYFUNCTION("""COMPUTED_VALUE"""),0.631944444444444)</f>
        <v>0.63194444444444398</v>
      </c>
      <c r="X2668" s="8">
        <f ca="1">IFERROR(__xludf.DUMMYFUNCTION("""COMPUTED_VALUE"""),1)</f>
        <v>1</v>
      </c>
      <c r="Y2668" s="12" t="str">
        <f ca="1">IFERROR(__xludf.DUMMYFUNCTION("""COMPUTED_VALUE"""),"Fight between Latino and Vietnamese students")</f>
        <v>Fight between Latino and Vietnamese students</v>
      </c>
      <c r="Z2668" s="12" t="str">
        <f ca="1">IFERROR(__xludf.DUMMYFUNCTION("""COMPUTED_VALUE"""),"Fight between three Latino and three Vietnamese student escalated into shooting. When the three Vietnamese students fled the scene, they shot another uninvolved Latino student standing outside.")</f>
        <v>Fight between three Latino and three Vietnamese student escalated into shooting. When the three Vietnamese students fled the scene, they shot another uninvolved Latino student standing outside.</v>
      </c>
      <c r="AA2668" s="8" t="str">
        <f ca="1">IFERROR(__xludf.DUMMYFUNCTION("""COMPUTED_VALUE"""),"Racial")</f>
        <v>Racial</v>
      </c>
      <c r="AB2668" s="8"/>
      <c r="AC2668" s="8"/>
      <c r="AD2668" s="8" t="str">
        <f ca="1">IFERROR(__xludf.DUMMYFUNCTION("""COMPUTED_VALUE"""),"Victims Targeted")</f>
        <v>Victims Targeted</v>
      </c>
      <c r="AE2668" s="8" t="str">
        <f ca="1">IFERROR(__xludf.DUMMYFUNCTION("""COMPUTED_VALUE"""),"Yes")</f>
        <v>Yes</v>
      </c>
      <c r="AF2668" s="8" t="str">
        <f ca="1">IFERROR(__xludf.DUMMYFUNCTION("""COMPUTED_VALUE"""),"Three Vietnamese students involved in fight and shooting")</f>
        <v>Three Vietnamese students involved in fight and shooting</v>
      </c>
      <c r="AG2668" s="8" t="str">
        <f ca="1">IFERROR(__xludf.DUMMYFUNCTION("""COMPUTED_VALUE"""),"No")</f>
        <v>No</v>
      </c>
      <c r="AH2668" s="8" t="str">
        <f ca="1">IFERROR(__xludf.DUMMYFUNCTION("""COMPUTED_VALUE"""),"No")</f>
        <v>No</v>
      </c>
      <c r="AI2668" s="8" t="str">
        <f ca="1">IFERROR(__xludf.DUMMYFUNCTION("""COMPUTED_VALUE"""),"No")</f>
        <v>No</v>
      </c>
      <c r="AJ2668" s="8" t="str">
        <f ca="1">IFERROR(__xludf.DUMMYFUNCTION("""COMPUTED_VALUE"""),"No")</f>
        <v>No</v>
      </c>
      <c r="AK2668" s="8" t="str">
        <f ca="1">IFERROR(__xludf.DUMMYFUNCTION("""COMPUTED_VALUE"""),"No")</f>
        <v>No</v>
      </c>
      <c r="AL2668" s="8" t="str">
        <f ca="1">IFERROR(__xludf.DUMMYFUNCTION("""COMPUTED_VALUE"""),"No")</f>
        <v>No</v>
      </c>
      <c r="AM2668" s="8"/>
      <c r="AN2668" s="8"/>
      <c r="AO2668" s="8" t="str">
        <f ca="1">IFERROR(__xludf.DUMMYFUNCTION("""COMPUTED_VALUE"""),"No")</f>
        <v>No</v>
      </c>
      <c r="AP2668" s="8"/>
      <c r="AQ2668" s="8" t="str">
        <f ca="1">IFERROR(__xludf.DUMMYFUNCTION("""COMPUTED_VALUE"""),"Unknown")</f>
        <v>Unknown</v>
      </c>
      <c r="AR2668" s="8" t="str">
        <f ca="1">IFERROR(__xludf.DUMMYFUNCTION("""COMPUTED_VALUE"""),"NA")</f>
        <v>NA</v>
      </c>
      <c r="AS2668" s="8">
        <f ca="1">IFERROR(__xludf.DUMMYFUNCTION("""COMPUTED_VALUE"""),2)</f>
        <v>2</v>
      </c>
      <c r="AT2668" s="8"/>
      <c r="AU2668" s="8">
        <f ca="1">IFERROR(__xludf.DUMMYFUNCTION("""COMPUTED_VALUE"""),38.540758)</f>
        <v>38.540757999999997</v>
      </c>
      <c r="AV2668" s="8">
        <f ca="1">IFERROR(__xludf.DUMMYFUNCTION("""COMPUTED_VALUE"""),-121.424893)</f>
        <v>-121.424893</v>
      </c>
      <c r="AW2668" s="8"/>
      <c r="AX2668" s="8">
        <f ca="1">IFERROR(__xludf.DUMMYFUNCTION("""COMPUTED_VALUE"""),95820)</f>
        <v>95820</v>
      </c>
    </row>
    <row r="2669" spans="1:50" ht="30" x14ac:dyDescent="0.2">
      <c r="A2669" s="8" t="str">
        <f ca="1">IFERROR(__xludf.DUMMYFUNCTION("""COMPUTED_VALUE"""),"19920911TXPAA")</f>
        <v>19920911TXPAA</v>
      </c>
      <c r="B2669" s="8">
        <f ca="1">IFERROR(__xludf.DUMMYFUNCTION("""COMPUTED_VALUE"""),9)</f>
        <v>9</v>
      </c>
      <c r="C2669" s="8">
        <f ca="1">IFERROR(__xludf.DUMMYFUNCTION("""COMPUTED_VALUE"""),11)</f>
        <v>11</v>
      </c>
      <c r="D2669" s="8">
        <f ca="1">IFERROR(__xludf.DUMMYFUNCTION("""COMPUTED_VALUE"""),1992)</f>
        <v>1992</v>
      </c>
      <c r="E2669" s="9">
        <f ca="1">IFERROR(__xludf.DUMMYFUNCTION("""COMPUTED_VALUE"""),33858)</f>
        <v>33858</v>
      </c>
      <c r="F2669" s="8" t="str">
        <f ca="1">IFERROR(__xludf.DUMMYFUNCTION("""COMPUTED_VALUE"""),"Palo Duro High School")</f>
        <v>Palo Duro High School</v>
      </c>
      <c r="G2669" s="8">
        <f ca="1">IFERROR(__xludf.DUMMYFUNCTION("""COMPUTED_VALUE"""),0)</f>
        <v>0</v>
      </c>
      <c r="H2669" s="8">
        <f ca="1">IFERROR(__xludf.DUMMYFUNCTION("""COMPUTED_VALUE"""),7)</f>
        <v>7</v>
      </c>
      <c r="I2669" s="8">
        <f ca="1">IFERROR(__xludf.DUMMYFUNCTION("""COMPUTED_VALUE"""),7)</f>
        <v>7</v>
      </c>
      <c r="J2669" s="8">
        <f ca="1">IFERROR(__xludf.DUMMYFUNCTION("""COMPUTED_VALUE"""),0)</f>
        <v>0</v>
      </c>
      <c r="K2669" s="8" t="str">
        <f ca="1">IFERROR(__xludf.DUMMYFUNCTION("""COMPUTED_VALUE"""),"https://www.nytimes.com/1992/09/12/us/student-wounds-6-at-high-school.html; http://www.amarillo.com/article/20120910/news/309109718 https://www.latimes.com/archives/la-xpm-1992-09-12-mn-275-story.html")</f>
        <v>https://www.nytimes.com/1992/09/12/us/student-wounds-6-at-high-school.html; http://www.amarillo.com/article/20120910/news/309109718 https://www.latimes.com/archives/la-xpm-1992-09-12-mn-275-story.html</v>
      </c>
      <c r="L2669" s="8"/>
      <c r="M2669" s="8"/>
      <c r="N2669" s="8">
        <f ca="1">IFERROR(__xludf.DUMMYFUNCTION("""COMPUTED_VALUE"""),3)</f>
        <v>3</v>
      </c>
      <c r="O2669" s="8" t="str">
        <f ca="1">IFERROR(__xludf.DUMMYFUNCTION("""COMPUTED_VALUE"""),"Fall")</f>
        <v>Fall</v>
      </c>
      <c r="P2669" s="8" t="str">
        <f ca="1">IFERROR(__xludf.DUMMYFUNCTION("""COMPUTED_VALUE"""),"Amarillo")</f>
        <v>Amarillo</v>
      </c>
      <c r="Q2669" s="8" t="str">
        <f ca="1">IFERROR(__xludf.DUMMYFUNCTION("""COMPUTED_VALUE"""),"TX")</f>
        <v>TX</v>
      </c>
      <c r="R2669" s="8" t="str">
        <f ca="1">IFERROR(__xludf.DUMMYFUNCTION("""COMPUTED_VALUE"""),"High")</f>
        <v>High</v>
      </c>
      <c r="S2669" s="8" t="str">
        <f ca="1">IFERROR(__xludf.DUMMYFUNCTION("""COMPUTED_VALUE"""),"Hallway")</f>
        <v>Hallway</v>
      </c>
      <c r="T2669" s="8" t="str">
        <f ca="1">IFERROR(__xludf.DUMMYFUNCTION("""COMPUTED_VALUE"""),"Inside School Building")</f>
        <v>Inside School Building</v>
      </c>
      <c r="U2669" s="8" t="str">
        <f ca="1">IFERROR(__xludf.DUMMYFUNCTION("""COMPUTED_VALUE"""),"Yes")</f>
        <v>Yes</v>
      </c>
      <c r="V2669" s="8" t="str">
        <f ca="1">IFERROR(__xludf.DUMMYFUNCTION("""COMPUTED_VALUE"""),"Morning Classes")</f>
        <v>Morning Classes</v>
      </c>
      <c r="W2669" s="11">
        <f ca="1">IFERROR(__xludf.DUMMYFUNCTION("""COMPUTED_VALUE"""),0.416666666666666)</f>
        <v>0.41666666666666602</v>
      </c>
      <c r="X2669" s="8">
        <f ca="1">IFERROR(__xludf.DUMMYFUNCTION("""COMPUTED_VALUE"""),1)</f>
        <v>1</v>
      </c>
      <c r="Y2669" s="12" t="str">
        <f ca="1">IFERROR(__xludf.DUMMYFUNCTION("""COMPUTED_VALUE"""),"Shooting spurred from earlier fights")</f>
        <v>Shooting spurred from earlier fights</v>
      </c>
      <c r="Z2669" s="12" t="str">
        <f ca="1">IFERROR(__xludf.DUMMYFUNCTION("""COMPUTED_VALUE"""),"Suspect targeted one person but hit 5 other with bullets also another person was injured when students fled scene.")</f>
        <v>Suspect targeted one person but hit 5 other with bullets also another person was injured when students fled scene.</v>
      </c>
      <c r="AA2669" s="8" t="str">
        <f ca="1">IFERROR(__xludf.DUMMYFUNCTION("""COMPUTED_VALUE"""),"Escalation of Dispute")</f>
        <v>Escalation of Dispute</v>
      </c>
      <c r="AB2669" s="8"/>
      <c r="AC2669" s="8"/>
      <c r="AD2669" s="8" t="str">
        <f ca="1">IFERROR(__xludf.DUMMYFUNCTION("""COMPUTED_VALUE"""),"Both")</f>
        <v>Both</v>
      </c>
      <c r="AE2669" s="8" t="str">
        <f ca="1">IFERROR(__xludf.DUMMYFUNCTION("""COMPUTED_VALUE"""),"No")</f>
        <v>No</v>
      </c>
      <c r="AF2669" s="8"/>
      <c r="AG2669" s="8" t="str">
        <f ca="1">IFERROR(__xludf.DUMMYFUNCTION("""COMPUTED_VALUE"""),"No")</f>
        <v>No</v>
      </c>
      <c r="AH2669" s="8" t="str">
        <f ca="1">IFERROR(__xludf.DUMMYFUNCTION("""COMPUTED_VALUE"""),"No")</f>
        <v>No</v>
      </c>
      <c r="AI2669" s="8" t="str">
        <f ca="1">IFERROR(__xludf.DUMMYFUNCTION("""COMPUTED_VALUE"""),"No")</f>
        <v>No</v>
      </c>
      <c r="AJ2669" s="8" t="str">
        <f ca="1">IFERROR(__xludf.DUMMYFUNCTION("""COMPUTED_VALUE"""),"No")</f>
        <v>No</v>
      </c>
      <c r="AK2669" s="8" t="str">
        <f ca="1">IFERROR(__xludf.DUMMYFUNCTION("""COMPUTED_VALUE"""),"No")</f>
        <v>No</v>
      </c>
      <c r="AL2669" s="8" t="str">
        <f ca="1">IFERROR(__xludf.DUMMYFUNCTION("""COMPUTED_VALUE"""),"No")</f>
        <v>No</v>
      </c>
      <c r="AM2669" s="8"/>
      <c r="AN2669" s="8"/>
      <c r="AO2669" s="8" t="str">
        <f ca="1">IFERROR(__xludf.DUMMYFUNCTION("""COMPUTED_VALUE"""),"No")</f>
        <v>No</v>
      </c>
      <c r="AP2669" s="8"/>
      <c r="AQ2669" s="8" t="str">
        <f ca="1">IFERROR(__xludf.DUMMYFUNCTION("""COMPUTED_VALUE"""),"Unknown")</f>
        <v>Unknown</v>
      </c>
      <c r="AR2669" s="8" t="str">
        <f ca="1">IFERROR(__xludf.DUMMYFUNCTION("""COMPUTED_VALUE"""),"NA")</f>
        <v>NA</v>
      </c>
      <c r="AS2669" s="8">
        <f ca="1">IFERROR(__xludf.DUMMYFUNCTION("""COMPUTED_VALUE"""),6)</f>
        <v>6</v>
      </c>
      <c r="AT2669" s="8"/>
      <c r="AU2669" s="8">
        <f ca="1">IFERROR(__xludf.DUMMYFUNCTION("""COMPUTED_VALUE"""),35.227216)</f>
        <v>35.227215999999999</v>
      </c>
      <c r="AV2669" s="8">
        <f ca="1">IFERROR(__xludf.DUMMYFUNCTION("""COMPUTED_VALUE"""),-101.823659)</f>
        <v>-101.82365900000001</v>
      </c>
      <c r="AW2669" s="8"/>
      <c r="AX2669" s="8">
        <f ca="1">IFERROR(__xludf.DUMMYFUNCTION("""COMPUTED_VALUE"""),79107)</f>
        <v>79107</v>
      </c>
    </row>
    <row r="2670" spans="1:50" ht="30" x14ac:dyDescent="0.2">
      <c r="A2670" s="8" t="str">
        <f ca="1">IFERROR(__xludf.DUMMYFUNCTION("""COMPUTED_VALUE"""),"19920609MIDED")</f>
        <v>19920609MIDED</v>
      </c>
      <c r="B2670" s="8">
        <f ca="1">IFERROR(__xludf.DUMMYFUNCTION("""COMPUTED_VALUE"""),6)</f>
        <v>6</v>
      </c>
      <c r="C2670" s="8">
        <f ca="1">IFERROR(__xludf.DUMMYFUNCTION("""COMPUTED_VALUE"""),9)</f>
        <v>9</v>
      </c>
      <c r="D2670" s="8">
        <f ca="1">IFERROR(__xludf.DUMMYFUNCTION("""COMPUTED_VALUE"""),1992)</f>
        <v>1992</v>
      </c>
      <c r="E2670" s="9">
        <f ca="1">IFERROR(__xludf.DUMMYFUNCTION("""COMPUTED_VALUE"""),33764)</f>
        <v>33764</v>
      </c>
      <c r="F2670" s="8" t="str">
        <f ca="1">IFERROR(__xludf.DUMMYFUNCTION("""COMPUTED_VALUE"""),"Detroit Webber Middle School")</f>
        <v>Detroit Webber Middle School</v>
      </c>
      <c r="G2670" s="8">
        <f ca="1">IFERROR(__xludf.DUMMYFUNCTION("""COMPUTED_VALUE"""),1)</f>
        <v>1</v>
      </c>
      <c r="H2670" s="8">
        <f ca="1">IFERROR(__xludf.DUMMYFUNCTION("""COMPUTED_VALUE"""),0)</f>
        <v>0</v>
      </c>
      <c r="I2670" s="8">
        <f ca="1">IFERROR(__xludf.DUMMYFUNCTION("""COMPUTED_VALUE"""),1)</f>
        <v>1</v>
      </c>
      <c r="J2670" s="8">
        <f ca="1">IFERROR(__xludf.DUMMYFUNCTION("""COMPUTED_VALUE"""),0)</f>
        <v>0</v>
      </c>
      <c r="K2670" s="10" t="str">
        <f ca="1">IFERROR(__xludf.DUMMYFUNCTION("""COMPUTED_VALUE"""),"https://www.detroitnews.com/story/news/local/oakland-county/2021/11/30/school-shootings-michigan-oxford-high-school-history-bath-school-bombing/8812624002/")</f>
        <v>https://www.detroitnews.com/story/news/local/oakland-county/2021/11/30/school-shootings-michigan-oxford-high-school-history-bath-school-bombing/8812624002/</v>
      </c>
      <c r="L2670" s="8"/>
      <c r="M2670" s="8" t="str">
        <f ca="1">IFERROR(__xludf.DUMMYFUNCTION("""COMPUTED_VALUE"""),"Local")</f>
        <v>Local</v>
      </c>
      <c r="N2670" s="8">
        <f ca="1">IFERROR(__xludf.DUMMYFUNCTION("""COMPUTED_VALUE"""),3)</f>
        <v>3</v>
      </c>
      <c r="O2670" s="8" t="str">
        <f ca="1">IFERROR(__xludf.DUMMYFUNCTION("""COMPUTED_VALUE"""),"Summer")</f>
        <v>Summer</v>
      </c>
      <c r="P2670" s="8" t="str">
        <f ca="1">IFERROR(__xludf.DUMMYFUNCTION("""COMPUTED_VALUE"""),"Detroit")</f>
        <v>Detroit</v>
      </c>
      <c r="Q2670" s="8" t="str">
        <f ca="1">IFERROR(__xludf.DUMMYFUNCTION("""COMPUTED_VALUE"""),"MI")</f>
        <v>MI</v>
      </c>
      <c r="R2670" s="8" t="str">
        <f ca="1">IFERROR(__xludf.DUMMYFUNCTION("""COMPUTED_VALUE"""),"Middle")</f>
        <v>Middle</v>
      </c>
      <c r="S2670" s="8" t="str">
        <f ca="1">IFERROR(__xludf.DUMMYFUNCTION("""COMPUTED_VALUE"""),"Parking Lot")</f>
        <v>Parking Lot</v>
      </c>
      <c r="T2670" s="8" t="str">
        <f ca="1">IFERROR(__xludf.DUMMYFUNCTION("""COMPUTED_VALUE"""),"Outside on School Property")</f>
        <v>Outside on School Property</v>
      </c>
      <c r="U2670" s="8"/>
      <c r="V2670" s="8"/>
      <c r="W2670" s="8"/>
      <c r="X2670" s="8"/>
      <c r="Y2670" s="12" t="str">
        <f ca="1">IFERROR(__xludf.DUMMYFUNCTION("""COMPUTED_VALUE"""),"Teacher killed in school parking lot")</f>
        <v>Teacher killed in school parking lot</v>
      </c>
      <c r="Z2670" s="12" t="str">
        <f ca="1">IFERROR(__xludf.DUMMYFUNCTION("""COMPUTED_VALUE"""),"Teacher killed in school parking lot")</f>
        <v>Teacher killed in school parking lot</v>
      </c>
      <c r="AA2670" s="8"/>
      <c r="AB2670" s="8"/>
      <c r="AC2670" s="8"/>
      <c r="AD2670" s="8"/>
      <c r="AE2670" s="8"/>
      <c r="AF2670" s="8"/>
      <c r="AG2670" s="8"/>
      <c r="AH2670" s="8"/>
      <c r="AI2670" s="8"/>
      <c r="AJ2670" s="8"/>
      <c r="AK2670" s="8"/>
      <c r="AL2670" s="8"/>
      <c r="AM2670" s="8"/>
      <c r="AN2670" s="8"/>
      <c r="AO2670" s="8"/>
      <c r="AP2670" s="8"/>
      <c r="AQ2670" s="8"/>
      <c r="AR2670" s="8"/>
      <c r="AS2670" s="8"/>
      <c r="AT2670" s="8"/>
      <c r="AU2670" s="8">
        <f ca="1">IFERROR(__xludf.DUMMYFUNCTION("""COMPUTED_VALUE"""),42.353527)</f>
        <v>42.353527</v>
      </c>
      <c r="AV2670" s="8">
        <f ca="1">IFERROR(__xludf.DUMMYFUNCTION("""COMPUTED_VALUE"""),-83.119107)</f>
        <v>-83.119107</v>
      </c>
      <c r="AW2670" s="8"/>
      <c r="AX2670" s="8">
        <f ca="1">IFERROR(__xludf.DUMMYFUNCTION("""COMPUTED_VALUE"""),48204)</f>
        <v>48204</v>
      </c>
    </row>
    <row r="2671" spans="1:50" ht="60" x14ac:dyDescent="0.2">
      <c r="A2671" s="8" t="str">
        <f ca="1">IFERROR(__xludf.DUMMYFUNCTION("""COMPUTED_VALUE"""),"19920606CAMEM")</f>
        <v>19920606CAMEM</v>
      </c>
      <c r="B2671" s="8">
        <f ca="1">IFERROR(__xludf.DUMMYFUNCTION("""COMPUTED_VALUE"""),6)</f>
        <v>6</v>
      </c>
      <c r="C2671" s="8">
        <f ca="1">IFERROR(__xludf.DUMMYFUNCTION("""COMPUTED_VALUE"""),6)</f>
        <v>6</v>
      </c>
      <c r="D2671" s="8">
        <f ca="1">IFERROR(__xludf.DUMMYFUNCTION("""COMPUTED_VALUE"""),1992)</f>
        <v>1992</v>
      </c>
      <c r="E2671" s="9">
        <f ca="1">IFERROR(__xludf.DUMMYFUNCTION("""COMPUTED_VALUE"""),33761)</f>
        <v>33761</v>
      </c>
      <c r="F2671" s="8" t="str">
        <f ca="1">IFERROR(__xludf.DUMMYFUNCTION("""COMPUTED_VALUE"""),"Merced High School")</f>
        <v>Merced High School</v>
      </c>
      <c r="G2671" s="8">
        <f ca="1">IFERROR(__xludf.DUMMYFUNCTION("""COMPUTED_VALUE"""),0)</f>
        <v>0</v>
      </c>
      <c r="H2671" s="8">
        <f ca="1">IFERROR(__xludf.DUMMYFUNCTION("""COMPUTED_VALUE"""),1)</f>
        <v>1</v>
      </c>
      <c r="I2671" s="8">
        <f ca="1">IFERROR(__xludf.DUMMYFUNCTION("""COMPUTED_VALUE"""),1)</f>
        <v>1</v>
      </c>
      <c r="J2671" s="8">
        <f ca="1">IFERROR(__xludf.DUMMYFUNCTION("""COMPUTED_VALUE"""),0)</f>
        <v>0</v>
      </c>
      <c r="K2671" s="8" t="str">
        <f ca="1">IFERROR(__xludf.DUMMYFUNCTION("""COMPUTED_VALUE"""),"Modesto Bee - Boy Held in School Shooting; https://www.columbine-angels.com/School_Violence_1991-1992.htm")</f>
        <v>Modesto Bee - Boy Held in School Shooting; https://www.columbine-angels.com/School_Violence_1991-1992.htm</v>
      </c>
      <c r="L2671" s="8"/>
      <c r="M2671" s="8"/>
      <c r="N2671" s="8">
        <f ca="1">IFERROR(__xludf.DUMMYFUNCTION("""COMPUTED_VALUE"""),1)</f>
        <v>1</v>
      </c>
      <c r="O2671" s="8" t="str">
        <f ca="1">IFERROR(__xludf.DUMMYFUNCTION("""COMPUTED_VALUE"""),"Summer")</f>
        <v>Summer</v>
      </c>
      <c r="P2671" s="8" t="str">
        <f ca="1">IFERROR(__xludf.DUMMYFUNCTION("""COMPUTED_VALUE"""),"Merced")</f>
        <v>Merced</v>
      </c>
      <c r="Q2671" s="8" t="str">
        <f ca="1">IFERROR(__xludf.DUMMYFUNCTION("""COMPUTED_VALUE"""),"CA")</f>
        <v>CA</v>
      </c>
      <c r="R2671" s="8" t="str">
        <f ca="1">IFERROR(__xludf.DUMMYFUNCTION("""COMPUTED_VALUE"""),"High")</f>
        <v>High</v>
      </c>
      <c r="S2671" s="8" t="str">
        <f ca="1">IFERROR(__xludf.DUMMYFUNCTION("""COMPUTED_VALUE"""),"Gym")</f>
        <v>Gym</v>
      </c>
      <c r="T2671" s="8" t="str">
        <f ca="1">IFERROR(__xludf.DUMMYFUNCTION("""COMPUTED_VALUE"""),"Inside School Building")</f>
        <v>Inside School Building</v>
      </c>
      <c r="U2671" s="8" t="str">
        <f ca="1">IFERROR(__xludf.DUMMYFUNCTION("""COMPUTED_VALUE"""),"No")</f>
        <v>No</v>
      </c>
      <c r="V2671" s="8" t="str">
        <f ca="1">IFERROR(__xludf.DUMMYFUNCTION("""COMPUTED_VALUE"""),"School Event")</f>
        <v>School Event</v>
      </c>
      <c r="W2671" s="11">
        <f ca="1">IFERROR(__xludf.DUMMYFUNCTION("""COMPUTED_VALUE"""),0.970833333333333)</f>
        <v>0.97083333333333299</v>
      </c>
      <c r="X2671" s="8">
        <f ca="1">IFERROR(__xludf.DUMMYFUNCTION("""COMPUTED_VALUE"""),1)</f>
        <v>1</v>
      </c>
      <c r="Y2671" s="12" t="str">
        <f ca="1">IFERROR(__xludf.DUMMYFUNCTION("""COMPUTED_VALUE"""),"Fight at school dance escalated into shooting")</f>
        <v>Fight at school dance escalated into shooting</v>
      </c>
      <c r="Z2671" s="12" t="str">
        <f ca="1">IFERROR(__xludf.DUMMYFUNCTION("""COMPUTED_VALUE"""),"Fight between 2 students occurred during school dance that escalated into shooting. Music was so loud that students did not know a shooting had happened. Victim walked across the street to call 911.")</f>
        <v>Fight between 2 students occurred during school dance that escalated into shooting. Music was so loud that students did not know a shooting had happened. Victim walked across the street to call 911.</v>
      </c>
      <c r="AA2671" s="8" t="str">
        <f ca="1">IFERROR(__xludf.DUMMYFUNCTION("""COMPUTED_VALUE"""),"Escalation of Dispute")</f>
        <v>Escalation of Dispute</v>
      </c>
      <c r="AB2671" s="8"/>
      <c r="AC2671" s="8"/>
      <c r="AD2671" s="8" t="str">
        <f ca="1">IFERROR(__xludf.DUMMYFUNCTION("""COMPUTED_VALUE"""),"Victims Targeted")</f>
        <v>Victims Targeted</v>
      </c>
      <c r="AE2671" s="8" t="str">
        <f ca="1">IFERROR(__xludf.DUMMYFUNCTION("""COMPUTED_VALUE"""),"No")</f>
        <v>No</v>
      </c>
      <c r="AF2671" s="8"/>
      <c r="AG2671" s="8" t="str">
        <f ca="1">IFERROR(__xludf.DUMMYFUNCTION("""COMPUTED_VALUE"""),"No")</f>
        <v>No</v>
      </c>
      <c r="AH2671" s="8" t="str">
        <f ca="1">IFERROR(__xludf.DUMMYFUNCTION("""COMPUTED_VALUE"""),"No")</f>
        <v>No</v>
      </c>
      <c r="AI2671" s="8" t="str">
        <f ca="1">IFERROR(__xludf.DUMMYFUNCTION("""COMPUTED_VALUE"""),"No")</f>
        <v>No</v>
      </c>
      <c r="AJ2671" s="8" t="str">
        <f ca="1">IFERROR(__xludf.DUMMYFUNCTION("""COMPUTED_VALUE"""),"No")</f>
        <v>No</v>
      </c>
      <c r="AK2671" s="8" t="str">
        <f ca="1">IFERROR(__xludf.DUMMYFUNCTION("""COMPUTED_VALUE"""),"No")</f>
        <v>No</v>
      </c>
      <c r="AL2671" s="8" t="str">
        <f ca="1">IFERROR(__xludf.DUMMYFUNCTION("""COMPUTED_VALUE"""),"No")</f>
        <v>No</v>
      </c>
      <c r="AM2671" s="8"/>
      <c r="AN2671" s="8"/>
      <c r="AO2671" s="8" t="str">
        <f ca="1">IFERROR(__xludf.DUMMYFUNCTION("""COMPUTED_VALUE"""),"No")</f>
        <v>No</v>
      </c>
      <c r="AP2671" s="8"/>
      <c r="AQ2671" s="8" t="str">
        <f ca="1">IFERROR(__xludf.DUMMYFUNCTION("""COMPUTED_VALUE"""),"Unknown")</f>
        <v>Unknown</v>
      </c>
      <c r="AR2671" s="8" t="str">
        <f ca="1">IFERROR(__xludf.DUMMYFUNCTION("""COMPUTED_VALUE"""),"NA")</f>
        <v>NA</v>
      </c>
      <c r="AS2671" s="8">
        <f ca="1">IFERROR(__xludf.DUMMYFUNCTION("""COMPUTED_VALUE"""),1)</f>
        <v>1</v>
      </c>
      <c r="AT2671" s="8"/>
      <c r="AU2671" s="8">
        <f ca="1">IFERROR(__xludf.DUMMYFUNCTION("""COMPUTED_VALUE"""),37.320259)</f>
        <v>37.320259</v>
      </c>
      <c r="AV2671" s="8">
        <f ca="1">IFERROR(__xludf.DUMMYFUNCTION("""COMPUTED_VALUE"""),-120.472685)</f>
        <v>-120.472685</v>
      </c>
      <c r="AW2671" s="8"/>
      <c r="AX2671" s="8">
        <f ca="1">IFERROR(__xludf.DUMMYFUNCTION("""COMPUTED_VALUE"""),98348)</f>
        <v>98348</v>
      </c>
    </row>
    <row r="2672" spans="1:50" ht="90" x14ac:dyDescent="0.2">
      <c r="A2672" s="8" t="str">
        <f ca="1">IFERROR(__xludf.DUMMYFUNCTION("""COMPUTED_VALUE"""),"19920530DCARW")</f>
        <v>19920530DCARW</v>
      </c>
      <c r="B2672" s="8">
        <f ca="1">IFERROR(__xludf.DUMMYFUNCTION("""COMPUTED_VALUE"""),5)</f>
        <v>5</v>
      </c>
      <c r="C2672" s="8">
        <f ca="1">IFERROR(__xludf.DUMMYFUNCTION("""COMPUTED_VALUE"""),30)</f>
        <v>30</v>
      </c>
      <c r="D2672" s="8">
        <f ca="1">IFERROR(__xludf.DUMMYFUNCTION("""COMPUTED_VALUE"""),1992)</f>
        <v>1992</v>
      </c>
      <c r="E2672" s="9">
        <f ca="1">IFERROR(__xludf.DUMMYFUNCTION("""COMPUTED_VALUE"""),33754)</f>
        <v>33754</v>
      </c>
      <c r="F2672" s="8" t="str">
        <f ca="1">IFERROR(__xludf.DUMMYFUNCTION("""COMPUTED_VALUE"""),"Archbishop Carroll High School")</f>
        <v>Archbishop Carroll High School</v>
      </c>
      <c r="G2672" s="8">
        <f ca="1">IFERROR(__xludf.DUMMYFUNCTION("""COMPUTED_VALUE"""),1)</f>
        <v>1</v>
      </c>
      <c r="H2672" s="8">
        <f ca="1">IFERROR(__xludf.DUMMYFUNCTION("""COMPUTED_VALUE"""),4)</f>
        <v>4</v>
      </c>
      <c r="I2672" s="8">
        <f ca="1">IFERROR(__xludf.DUMMYFUNCTION("""COMPUTED_VALUE"""),5)</f>
        <v>5</v>
      </c>
      <c r="J2672" s="8">
        <f ca="1">IFERROR(__xludf.DUMMYFUNCTION("""COMPUTED_VALUE"""),0)</f>
        <v>0</v>
      </c>
      <c r="K2672" s="10" t="str">
        <f ca="1">IFERROR(__xludf.DUMMYFUNCTION("""COMPUTED_VALUE"""),"https://www.washingtonpost.com/archive/politics/1992/06/01/9-are-slain-in-dc-area-in-2-days/32b3c46c-27dc-45f4-9f60-14ce403dbad5/")</f>
        <v>https://www.washingtonpost.com/archive/politics/1992/06/01/9-are-slain-in-dc-area-in-2-days/32b3c46c-27dc-45f4-9f60-14ce403dbad5/</v>
      </c>
      <c r="L2672" s="8">
        <f ca="1">IFERROR(__xludf.DUMMYFUNCTION("""COMPUTED_VALUE"""),1)</f>
        <v>1</v>
      </c>
      <c r="M2672" s="8" t="str">
        <f ca="1">IFERROR(__xludf.DUMMYFUNCTION("""COMPUTED_VALUE"""),"Local")</f>
        <v>Local</v>
      </c>
      <c r="N2672" s="8">
        <f ca="1">IFERROR(__xludf.DUMMYFUNCTION("""COMPUTED_VALUE"""),3)</f>
        <v>3</v>
      </c>
      <c r="O2672" s="8" t="str">
        <f ca="1">IFERROR(__xludf.DUMMYFUNCTION("""COMPUTED_VALUE"""),"Spring")</f>
        <v>Spring</v>
      </c>
      <c r="P2672" s="8" t="str">
        <f ca="1">IFERROR(__xludf.DUMMYFUNCTION("""COMPUTED_VALUE"""),"Washington")</f>
        <v>Washington</v>
      </c>
      <c r="Q2672" s="8" t="str">
        <f ca="1">IFERROR(__xludf.DUMMYFUNCTION("""COMPUTED_VALUE"""),"DC")</f>
        <v>DC</v>
      </c>
      <c r="R2672" s="8" t="str">
        <f ca="1">IFERROR(__xludf.DUMMYFUNCTION("""COMPUTED_VALUE"""),"High")</f>
        <v>High</v>
      </c>
      <c r="S2672" s="8" t="str">
        <f ca="1">IFERROR(__xludf.DUMMYFUNCTION("""COMPUTED_VALUE"""),"Beside Building")</f>
        <v>Beside Building</v>
      </c>
      <c r="T2672" s="8" t="str">
        <f ca="1">IFERROR(__xludf.DUMMYFUNCTION("""COMPUTED_VALUE"""),"Outside on School Property")</f>
        <v>Outside on School Property</v>
      </c>
      <c r="U2672" s="8" t="str">
        <f ca="1">IFERROR(__xludf.DUMMYFUNCTION("""COMPUTED_VALUE"""),"No")</f>
        <v>No</v>
      </c>
      <c r="V2672" s="8" t="str">
        <f ca="1">IFERROR(__xludf.DUMMYFUNCTION("""COMPUTED_VALUE"""),"School Event")</f>
        <v>School Event</v>
      </c>
      <c r="W2672" s="11">
        <f ca="1">IFERROR(__xludf.DUMMYFUNCTION("""COMPUTED_VALUE"""),0.993055555555555)</f>
        <v>0.99305555555555503</v>
      </c>
      <c r="X2672" s="8">
        <f ca="1">IFERROR(__xludf.DUMMYFUNCTION("""COMPUTED_VALUE"""),1)</f>
        <v>1</v>
      </c>
      <c r="Y2672" s="12" t="str">
        <f ca="1">IFERROR(__xludf.DUMMYFUNCTION("""COMPUTED_VALUE"""),"Five teens shot outside of school dance")</f>
        <v>Five teens shot outside of school dance</v>
      </c>
      <c r="Z2672" s="12" t="str">
        <f ca="1">IFERROR(__xludf.DUMMYFUNCTION("""COMPUTED_VALUE"""),"Five teens were shot outside of the school dance by an unknown shooter who fired 15 shots following a fight that broke out in the gym. The dance was a sports fundraiser that was attended by 850 people including students and adults. Security officers were "&amp;"inside and outside the building, all attendees were patted down when they entered.")</f>
        <v>Five teens were shot outside of the school dance by an unknown shooter who fired 15 shots following a fight that broke out in the gym. The dance was a sports fundraiser that was attended by 850 people including students and adults. Security officers were inside and outside the building, all attendees were patted down when they entered.</v>
      </c>
      <c r="AA2672" s="8" t="str">
        <f ca="1">IFERROR(__xludf.DUMMYFUNCTION("""COMPUTED_VALUE"""),"Escalation of Dispute")</f>
        <v>Escalation of Dispute</v>
      </c>
      <c r="AB2672" s="8"/>
      <c r="AC2672" s="8"/>
      <c r="AD2672" s="8" t="str">
        <f ca="1">IFERROR(__xludf.DUMMYFUNCTION("""COMPUTED_VALUE"""),"Both")</f>
        <v>Both</v>
      </c>
      <c r="AE2672" s="8" t="str">
        <f ca="1">IFERROR(__xludf.DUMMYFUNCTION("""COMPUTED_VALUE"""),"No")</f>
        <v>No</v>
      </c>
      <c r="AF2672" s="8"/>
      <c r="AG2672" s="8" t="str">
        <f ca="1">IFERROR(__xludf.DUMMYFUNCTION("""COMPUTED_VALUE"""),"No")</f>
        <v>No</v>
      </c>
      <c r="AH2672" s="8" t="str">
        <f ca="1">IFERROR(__xludf.DUMMYFUNCTION("""COMPUTED_VALUE"""),"No")</f>
        <v>No</v>
      </c>
      <c r="AI2672" s="8" t="str">
        <f ca="1">IFERROR(__xludf.DUMMYFUNCTION("""COMPUTED_VALUE"""),"No")</f>
        <v>No</v>
      </c>
      <c r="AJ2672" s="8" t="str">
        <f ca="1">IFERROR(__xludf.DUMMYFUNCTION("""COMPUTED_VALUE"""),"No")</f>
        <v>No</v>
      </c>
      <c r="AK2672" s="8" t="str">
        <f ca="1">IFERROR(__xludf.DUMMYFUNCTION("""COMPUTED_VALUE"""),"No")</f>
        <v>No</v>
      </c>
      <c r="AL2672" s="8"/>
      <c r="AM2672" s="8" t="str">
        <f ca="1">IFERROR(__xludf.DUMMYFUNCTION("""COMPUTED_VALUE"""),"No")</f>
        <v>No</v>
      </c>
      <c r="AN2672" s="8"/>
      <c r="AO2672" s="8" t="str">
        <f ca="1">IFERROR(__xludf.DUMMYFUNCTION("""COMPUTED_VALUE"""),"No")</f>
        <v>No</v>
      </c>
      <c r="AP2672" s="8"/>
      <c r="AQ2672" s="8" t="str">
        <f ca="1">IFERROR(__xludf.DUMMYFUNCTION("""COMPUTED_VALUE"""),"Guards")</f>
        <v>Guards</v>
      </c>
      <c r="AR2672" s="8" t="str">
        <f ca="1">IFERROR(__xludf.DUMMYFUNCTION("""COMPUTED_VALUE"""),"Outside/Off-Property")</f>
        <v>Outside/Off-Property</v>
      </c>
      <c r="AS2672" s="8">
        <f ca="1">IFERROR(__xludf.DUMMYFUNCTION("""COMPUTED_VALUE"""),15)</f>
        <v>15</v>
      </c>
      <c r="AT2672" s="8"/>
      <c r="AU2672" s="8">
        <f ca="1">IFERROR(__xludf.DUMMYFUNCTION("""COMPUTED_VALUE"""),38.940489)</f>
        <v>38.940488999999999</v>
      </c>
      <c r="AV2672" s="8">
        <f ca="1">IFERROR(__xludf.DUMMYFUNCTION("""COMPUTED_VALUE"""),-77.005985)</f>
        <v>-77.005984999999995</v>
      </c>
      <c r="AW2672" s="8"/>
      <c r="AX2672" s="8">
        <f ca="1">IFERROR(__xludf.DUMMYFUNCTION("""COMPUTED_VALUE"""),20011)</f>
        <v>20011</v>
      </c>
    </row>
    <row r="2673" spans="1:50" ht="45" x14ac:dyDescent="0.2">
      <c r="A2673" s="8" t="str">
        <f ca="1">IFERROR(__xludf.DUMMYFUNCTION("""COMPUTED_VALUE"""),"19920529CAVEL")</f>
        <v>19920529CAVEL</v>
      </c>
      <c r="B2673" s="8">
        <f ca="1">IFERROR(__xludf.DUMMYFUNCTION("""COMPUTED_VALUE"""),5)</f>
        <v>5</v>
      </c>
      <c r="C2673" s="8">
        <f ca="1">IFERROR(__xludf.DUMMYFUNCTION("""COMPUTED_VALUE"""),29)</f>
        <v>29</v>
      </c>
      <c r="D2673" s="8">
        <f ca="1">IFERROR(__xludf.DUMMYFUNCTION("""COMPUTED_VALUE"""),1992)</f>
        <v>1992</v>
      </c>
      <c r="E2673" s="9">
        <f ca="1">IFERROR(__xludf.DUMMYFUNCTION("""COMPUTED_VALUE"""),33753)</f>
        <v>33753</v>
      </c>
      <c r="F2673" s="8" t="str">
        <f ca="1">IFERROR(__xludf.DUMMYFUNCTION("""COMPUTED_VALUE"""),"Venice High School")</f>
        <v>Venice High School</v>
      </c>
      <c r="G2673" s="8">
        <f ca="1">IFERROR(__xludf.DUMMYFUNCTION("""COMPUTED_VALUE"""),0)</f>
        <v>0</v>
      </c>
      <c r="H2673" s="8">
        <f ca="1">IFERROR(__xludf.DUMMYFUNCTION("""COMPUTED_VALUE"""),3)</f>
        <v>3</v>
      </c>
      <c r="I2673" s="8">
        <f ca="1">IFERROR(__xludf.DUMMYFUNCTION("""COMPUTED_VALUE"""),3)</f>
        <v>3</v>
      </c>
      <c r="J2673" s="8">
        <f ca="1">IFERROR(__xludf.DUMMYFUNCTION("""COMPUTED_VALUE"""),0)</f>
        <v>0</v>
      </c>
      <c r="K2673" s="10" t="str">
        <f ca="1">IFERROR(__xludf.DUMMYFUNCTION("""COMPUTED_VALUE"""),"https://www.newspapers.com/image/177465085")</f>
        <v>https://www.newspapers.com/image/177465085</v>
      </c>
      <c r="L2673" s="8"/>
      <c r="M2673" s="8"/>
      <c r="N2673" s="8">
        <f ca="1">IFERROR(__xludf.DUMMYFUNCTION("""COMPUTED_VALUE"""),2)</f>
        <v>2</v>
      </c>
      <c r="O2673" s="8" t="str">
        <f ca="1">IFERROR(__xludf.DUMMYFUNCTION("""COMPUTED_VALUE"""),"Spring")</f>
        <v>Spring</v>
      </c>
      <c r="P2673" s="8" t="str">
        <f ca="1">IFERROR(__xludf.DUMMYFUNCTION("""COMPUTED_VALUE"""),"Los Angeles")</f>
        <v>Los Angeles</v>
      </c>
      <c r="Q2673" s="8" t="str">
        <f ca="1">IFERROR(__xludf.DUMMYFUNCTION("""COMPUTED_VALUE"""),"CA")</f>
        <v>CA</v>
      </c>
      <c r="R2673" s="8" t="str">
        <f ca="1">IFERROR(__xludf.DUMMYFUNCTION("""COMPUTED_VALUE"""),"High")</f>
        <v>High</v>
      </c>
      <c r="S2673" s="8" t="str">
        <f ca="1">IFERROR(__xludf.DUMMYFUNCTION("""COMPUTED_VALUE"""),"Front of School")</f>
        <v>Front of School</v>
      </c>
      <c r="T2673" s="8" t="str">
        <f ca="1">IFERROR(__xludf.DUMMYFUNCTION("""COMPUTED_VALUE"""),"Outside on School Property")</f>
        <v>Outside on School Property</v>
      </c>
      <c r="U2673" s="8" t="str">
        <f ca="1">IFERROR(__xludf.DUMMYFUNCTION("""COMPUTED_VALUE"""),"Yes")</f>
        <v>Yes</v>
      </c>
      <c r="V2673" s="8"/>
      <c r="W2673" s="8"/>
      <c r="X2673" s="8">
        <f ca="1">IFERROR(__xludf.DUMMYFUNCTION("""COMPUTED_VALUE"""),1)</f>
        <v>1</v>
      </c>
      <c r="Y2673" s="12" t="str">
        <f ca="1">IFERROR(__xludf.DUMMYFUNCTION("""COMPUTED_VALUE"""),"Drive-by, students/shooter yelled gang names")</f>
        <v>Drive-by, students/shooter yelled gang names</v>
      </c>
      <c r="Z2673" s="12" t="str">
        <f ca="1">IFERROR(__xludf.DUMMYFUNCTION("""COMPUTED_VALUE"""),"Four unknown males in a vehicle opened fire on three students outside the school after gang names were yelled.")</f>
        <v>Four unknown males in a vehicle opened fire on three students outside the school after gang names were yelled.</v>
      </c>
      <c r="AA2673" s="8" t="str">
        <f ca="1">IFERROR(__xludf.DUMMYFUNCTION("""COMPUTED_VALUE"""),"Drive-by Shooting")</f>
        <v>Drive-by Shooting</v>
      </c>
      <c r="AB2673" s="8"/>
      <c r="AC2673" s="8"/>
      <c r="AD2673" s="8" t="str">
        <f ca="1">IFERROR(__xludf.DUMMYFUNCTION("""COMPUTED_VALUE"""),"Victims Targeted")</f>
        <v>Victims Targeted</v>
      </c>
      <c r="AE2673" s="8" t="str">
        <f ca="1">IFERROR(__xludf.DUMMYFUNCTION("""COMPUTED_VALUE"""),"No")</f>
        <v>No</v>
      </c>
      <c r="AF2673" s="8"/>
      <c r="AG2673" s="8" t="str">
        <f ca="1">IFERROR(__xludf.DUMMYFUNCTION("""COMPUTED_VALUE"""),"No")</f>
        <v>No</v>
      </c>
      <c r="AH2673" s="8" t="str">
        <f ca="1">IFERROR(__xludf.DUMMYFUNCTION("""COMPUTED_VALUE"""),"No")</f>
        <v>No</v>
      </c>
      <c r="AI2673" s="8" t="str">
        <f ca="1">IFERROR(__xludf.DUMMYFUNCTION("""COMPUTED_VALUE"""),"No")</f>
        <v>No</v>
      </c>
      <c r="AJ2673" s="8" t="str">
        <f ca="1">IFERROR(__xludf.DUMMYFUNCTION("""COMPUTED_VALUE"""),"No")</f>
        <v>No</v>
      </c>
      <c r="AK2673" s="8" t="str">
        <f ca="1">IFERROR(__xludf.DUMMYFUNCTION("""COMPUTED_VALUE"""),"No")</f>
        <v>No</v>
      </c>
      <c r="AL2673" s="8" t="str">
        <f ca="1">IFERROR(__xludf.DUMMYFUNCTION("""COMPUTED_VALUE"""),"Yes")</f>
        <v>Yes</v>
      </c>
      <c r="AM2673" s="8"/>
      <c r="AN2673" s="8"/>
      <c r="AO2673" s="8" t="str">
        <f ca="1">IFERROR(__xludf.DUMMYFUNCTION("""COMPUTED_VALUE"""),"No")</f>
        <v>No</v>
      </c>
      <c r="AP2673" s="8"/>
      <c r="AQ2673" s="8" t="str">
        <f ca="1">IFERROR(__xludf.DUMMYFUNCTION("""COMPUTED_VALUE"""),"Unknown")</f>
        <v>Unknown</v>
      </c>
      <c r="AR2673" s="8" t="str">
        <f ca="1">IFERROR(__xludf.DUMMYFUNCTION("""COMPUTED_VALUE"""),"NA")</f>
        <v>NA</v>
      </c>
      <c r="AS2673" s="8"/>
      <c r="AT2673" s="8"/>
      <c r="AU2673" s="8">
        <f ca="1">IFERROR(__xludf.DUMMYFUNCTION("""COMPUTED_VALUE"""),34.0522342)</f>
        <v>34.052234200000001</v>
      </c>
      <c r="AV2673" s="8">
        <f ca="1">IFERROR(__xludf.DUMMYFUNCTION("""COMPUTED_VALUE"""),-118.2436849)</f>
        <v>-118.24368490000001</v>
      </c>
      <c r="AW2673" s="8"/>
      <c r="AX2673" s="8">
        <f ca="1">IFERROR(__xludf.DUMMYFUNCTION("""COMPUTED_VALUE"""),90012)</f>
        <v>90012</v>
      </c>
    </row>
    <row r="2674" spans="1:50" ht="75" x14ac:dyDescent="0.2">
      <c r="A2674" s="8" t="str">
        <f ca="1">IFERROR(__xludf.DUMMYFUNCTION("""COMPUTED_VALUE"""),"19920514TXHUH")</f>
        <v>19920514TXHUH</v>
      </c>
      <c r="B2674" s="8">
        <f ca="1">IFERROR(__xludf.DUMMYFUNCTION("""COMPUTED_VALUE"""),5)</f>
        <v>5</v>
      </c>
      <c r="C2674" s="8">
        <f ca="1">IFERROR(__xludf.DUMMYFUNCTION("""COMPUTED_VALUE"""),14)</f>
        <v>14</v>
      </c>
      <c r="D2674" s="8">
        <f ca="1">IFERROR(__xludf.DUMMYFUNCTION("""COMPUTED_VALUE"""),1992)</f>
        <v>1992</v>
      </c>
      <c r="E2674" s="9">
        <f ca="1">IFERROR(__xludf.DUMMYFUNCTION("""COMPUTED_VALUE"""),33738)</f>
        <v>33738</v>
      </c>
      <c r="F2674" s="8" t="str">
        <f ca="1">IFERROR(__xludf.DUMMYFUNCTION("""COMPUTED_VALUE"""),"Huntsville Junior High School")</f>
        <v>Huntsville Junior High School</v>
      </c>
      <c r="G2674" s="8">
        <f ca="1">IFERROR(__xludf.DUMMYFUNCTION("""COMPUTED_VALUE"""),0)</f>
        <v>0</v>
      </c>
      <c r="H2674" s="8">
        <f ca="1">IFERROR(__xludf.DUMMYFUNCTION("""COMPUTED_VALUE"""),1)</f>
        <v>1</v>
      </c>
      <c r="I2674" s="8">
        <f ca="1">IFERROR(__xludf.DUMMYFUNCTION("""COMPUTED_VALUE"""),1)</f>
        <v>1</v>
      </c>
      <c r="J2674" s="8">
        <f ca="1">IFERROR(__xludf.DUMMYFUNCTION("""COMPUTED_VALUE"""),0)</f>
        <v>0</v>
      </c>
      <c r="K2674" s="10" t="str">
        <f ca="1">IFERROR(__xludf.DUMMYFUNCTION("""COMPUTED_VALUE"""),"https://www.newspapers.com/image/300277708/?terms=Huntsville%2BJunior%2BHigh%2BSchool%2Bshooting")</f>
        <v>https://www.newspapers.com/image/300277708/?terms=Huntsville%2BJunior%2BHigh%2BSchool%2Bshooting</v>
      </c>
      <c r="L2674" s="8"/>
      <c r="M2674" s="8"/>
      <c r="N2674" s="8">
        <f ca="1">IFERROR(__xludf.DUMMYFUNCTION("""COMPUTED_VALUE"""),2)</f>
        <v>2</v>
      </c>
      <c r="O2674" s="8" t="str">
        <f ca="1">IFERROR(__xludf.DUMMYFUNCTION("""COMPUTED_VALUE"""),"Spring")</f>
        <v>Spring</v>
      </c>
      <c r="P2674" s="8" t="str">
        <f ca="1">IFERROR(__xludf.DUMMYFUNCTION("""COMPUTED_VALUE"""),"Huntsville")</f>
        <v>Huntsville</v>
      </c>
      <c r="Q2674" s="8" t="str">
        <f ca="1">IFERROR(__xludf.DUMMYFUNCTION("""COMPUTED_VALUE"""),"TX")</f>
        <v>TX</v>
      </c>
      <c r="R2674" s="8" t="str">
        <f ca="1">IFERROR(__xludf.DUMMYFUNCTION("""COMPUTED_VALUE"""),"Junior High")</f>
        <v>Junior High</v>
      </c>
      <c r="S2674" s="8" t="str">
        <f ca="1">IFERROR(__xludf.DUMMYFUNCTION("""COMPUTED_VALUE"""),"Courtyard")</f>
        <v>Courtyard</v>
      </c>
      <c r="T2674" s="8" t="str">
        <f ca="1">IFERROR(__xludf.DUMMYFUNCTION("""COMPUTED_VALUE"""),"Outside on School Property")</f>
        <v>Outside on School Property</v>
      </c>
      <c r="U2674" s="8" t="str">
        <f ca="1">IFERROR(__xludf.DUMMYFUNCTION("""COMPUTED_VALUE"""),"Yes")</f>
        <v>Yes</v>
      </c>
      <c r="V2674" s="8" t="str">
        <f ca="1">IFERROR(__xludf.DUMMYFUNCTION("""COMPUTED_VALUE"""),"School Start")</f>
        <v>School Start</v>
      </c>
      <c r="W2674" s="11">
        <f ca="1">IFERROR(__xludf.DUMMYFUNCTION("""COMPUTED_VALUE"""),0.322916666666666)</f>
        <v>0.32291666666666602</v>
      </c>
      <c r="X2674" s="8">
        <f ca="1">IFERROR(__xludf.DUMMYFUNCTION("""COMPUTED_VALUE"""),1)</f>
        <v>1</v>
      </c>
      <c r="Y2674" s="12" t="str">
        <f ca="1">IFERROR(__xludf.DUMMYFUNCTION("""COMPUTED_VALUE"""),"Ongoing fight, shooter told victim he was going to kill him tomorrow day prior")</f>
        <v>Ongoing fight, shooter told victim he was going to kill him tomorrow day prior</v>
      </c>
      <c r="Z2674" s="12" t="str">
        <f ca="1">IFERROR(__xludf.DUMMYFUNCTION("""COMPUTED_VALUE"""),"Ongoing conflict between two students. Shooter told the victim he was going to bring a gun and kill him tomorrow. Met in the courtyard before school and the shooter fired a shot at the chest of the victim. Shooter handed the gun to a teacher to arrived to"&amp;" investigate the sounds of the gunshot.")</f>
        <v>Ongoing conflict between two students. Shooter told the victim he was going to bring a gun and kill him tomorrow. Met in the courtyard before school and the shooter fired a shot at the chest of the victim. Shooter handed the gun to a teacher to arrived to investigate the sounds of the gunshot.</v>
      </c>
      <c r="AA2674" s="8" t="str">
        <f ca="1">IFERROR(__xludf.DUMMYFUNCTION("""COMPUTED_VALUE"""),"Escalation of Dispute")</f>
        <v>Escalation of Dispute</v>
      </c>
      <c r="AB2674" s="8"/>
      <c r="AC2674" s="8"/>
      <c r="AD2674" s="8" t="str">
        <f ca="1">IFERROR(__xludf.DUMMYFUNCTION("""COMPUTED_VALUE"""),"Victims Targeted")</f>
        <v>Victims Targeted</v>
      </c>
      <c r="AE2674" s="8"/>
      <c r="AF2674" s="8"/>
      <c r="AG2674" s="8" t="str">
        <f ca="1">IFERROR(__xludf.DUMMYFUNCTION("""COMPUTED_VALUE"""),"No")</f>
        <v>No</v>
      </c>
      <c r="AH2674" s="8" t="str">
        <f ca="1">IFERROR(__xludf.DUMMYFUNCTION("""COMPUTED_VALUE"""),"No")</f>
        <v>No</v>
      </c>
      <c r="AI2674" s="8" t="str">
        <f ca="1">IFERROR(__xludf.DUMMYFUNCTION("""COMPUTED_VALUE"""),"No")</f>
        <v>No</v>
      </c>
      <c r="AJ2674" s="8" t="str">
        <f ca="1">IFERROR(__xludf.DUMMYFUNCTION("""COMPUTED_VALUE"""),"No")</f>
        <v>No</v>
      </c>
      <c r="AK2674" s="8" t="str">
        <f ca="1">IFERROR(__xludf.DUMMYFUNCTION("""COMPUTED_VALUE"""),"No")</f>
        <v>No</v>
      </c>
      <c r="AL2674" s="8" t="str">
        <f ca="1">IFERROR(__xludf.DUMMYFUNCTION("""COMPUTED_VALUE"""),"No")</f>
        <v>No</v>
      </c>
      <c r="AM2674" s="8"/>
      <c r="AN2674" s="8"/>
      <c r="AO2674" s="8" t="str">
        <f ca="1">IFERROR(__xludf.DUMMYFUNCTION("""COMPUTED_VALUE"""),"No")</f>
        <v>No</v>
      </c>
      <c r="AP2674" s="8"/>
      <c r="AQ2674" s="8" t="str">
        <f ca="1">IFERROR(__xludf.DUMMYFUNCTION("""COMPUTED_VALUE"""),"Unknown")</f>
        <v>Unknown</v>
      </c>
      <c r="AR2674" s="8" t="str">
        <f ca="1">IFERROR(__xludf.DUMMYFUNCTION("""COMPUTED_VALUE"""),"NA")</f>
        <v>NA</v>
      </c>
      <c r="AS2674" s="8">
        <f ca="1">IFERROR(__xludf.DUMMYFUNCTION("""COMPUTED_VALUE"""),1)</f>
        <v>1</v>
      </c>
      <c r="AT2674" s="8"/>
      <c r="AU2674" s="8">
        <f ca="1">IFERROR(__xludf.DUMMYFUNCTION("""COMPUTED_VALUE"""),30.72146)</f>
        <v>30.72146</v>
      </c>
      <c r="AV2674" s="8">
        <f ca="1">IFERROR(__xludf.DUMMYFUNCTION("""COMPUTED_VALUE"""),-95.532702)</f>
        <v>-95.532702</v>
      </c>
      <c r="AW2674" s="8"/>
      <c r="AX2674" s="8">
        <f ca="1">IFERROR(__xludf.DUMMYFUNCTION("""COMPUTED_VALUE"""),77340)</f>
        <v>77340</v>
      </c>
    </row>
    <row r="2675" spans="1:50" ht="105" x14ac:dyDescent="0.2">
      <c r="A2675" s="8" t="str">
        <f ca="1">IFERROR(__xludf.DUMMYFUNCTION("""COMPUTED_VALUE"""),"19920514CASIN")</f>
        <v>19920514CASIN</v>
      </c>
      <c r="B2675" s="8">
        <f ca="1">IFERROR(__xludf.DUMMYFUNCTION("""COMPUTED_VALUE"""),5)</f>
        <v>5</v>
      </c>
      <c r="C2675" s="8">
        <f ca="1">IFERROR(__xludf.DUMMYFUNCTION("""COMPUTED_VALUE"""),14)</f>
        <v>14</v>
      </c>
      <c r="D2675" s="8">
        <f ca="1">IFERROR(__xludf.DUMMYFUNCTION("""COMPUTED_VALUE"""),1992)</f>
        <v>1992</v>
      </c>
      <c r="E2675" s="9">
        <f ca="1">IFERROR(__xludf.DUMMYFUNCTION("""COMPUTED_VALUE"""),33738)</f>
        <v>33738</v>
      </c>
      <c r="F2675" s="8" t="str">
        <f ca="1">IFERROR(__xludf.DUMMYFUNCTION("""COMPUTED_VALUE"""),"Silverado Middle School")</f>
        <v>Silverado Middle School</v>
      </c>
      <c r="G2675" s="8">
        <f ca="1">IFERROR(__xludf.DUMMYFUNCTION("""COMPUTED_VALUE"""),0)</f>
        <v>0</v>
      </c>
      <c r="H2675" s="8">
        <f ca="1">IFERROR(__xludf.DUMMYFUNCTION("""COMPUTED_VALUE"""),2)</f>
        <v>2</v>
      </c>
      <c r="I2675" s="8">
        <f ca="1">IFERROR(__xludf.DUMMYFUNCTION("""COMPUTED_VALUE"""),2)</f>
        <v>2</v>
      </c>
      <c r="J2675" s="8">
        <f ca="1">IFERROR(__xludf.DUMMYFUNCTION("""COMPUTED_VALUE"""),0)</f>
        <v>0</v>
      </c>
      <c r="K2675" s="10" t="str">
        <f ca="1">IFERROR(__xludf.DUMMYFUNCTION("""COMPUTED_VALUE"""),"https://www.upi.com/Archives/1992/05/14/Student-opens-fire-in-school/6395705816000/")</f>
        <v>https://www.upi.com/Archives/1992/05/14/Student-opens-fire-in-school/6395705816000/</v>
      </c>
      <c r="L2675" s="8"/>
      <c r="M2675" s="8"/>
      <c r="N2675" s="8">
        <f ca="1">IFERROR(__xludf.DUMMYFUNCTION("""COMPUTED_VALUE"""),2)</f>
        <v>2</v>
      </c>
      <c r="O2675" s="8" t="str">
        <f ca="1">IFERROR(__xludf.DUMMYFUNCTION("""COMPUTED_VALUE"""),"Spring")</f>
        <v>Spring</v>
      </c>
      <c r="P2675" s="8" t="str">
        <f ca="1">IFERROR(__xludf.DUMMYFUNCTION("""COMPUTED_VALUE"""),"Napa")</f>
        <v>Napa</v>
      </c>
      <c r="Q2675" s="8" t="str">
        <f ca="1">IFERROR(__xludf.DUMMYFUNCTION("""COMPUTED_VALUE"""),"CA")</f>
        <v>CA</v>
      </c>
      <c r="R2675" s="8" t="str">
        <f ca="1">IFERROR(__xludf.DUMMYFUNCTION("""COMPUTED_VALUE"""),"Junior High")</f>
        <v>Junior High</v>
      </c>
      <c r="S2675" s="8" t="str">
        <f ca="1">IFERROR(__xludf.DUMMYFUNCTION("""COMPUTED_VALUE"""),"Classroom")</f>
        <v>Classroom</v>
      </c>
      <c r="T2675" s="8" t="str">
        <f ca="1">IFERROR(__xludf.DUMMYFUNCTION("""COMPUTED_VALUE"""),"Inside School Building")</f>
        <v>Inside School Building</v>
      </c>
      <c r="U2675" s="8" t="str">
        <f ca="1">IFERROR(__xludf.DUMMYFUNCTION("""COMPUTED_VALUE"""),"Yes")</f>
        <v>Yes</v>
      </c>
      <c r="V2675" s="8" t="str">
        <f ca="1">IFERROR(__xludf.DUMMYFUNCTION("""COMPUTED_VALUE"""),"Morning Classes")</f>
        <v>Morning Classes</v>
      </c>
      <c r="W2675" s="11">
        <f ca="1">IFERROR(__xludf.DUMMYFUNCTION("""COMPUTED_VALUE"""),0.34375)</f>
        <v>0.34375</v>
      </c>
      <c r="X2675" s="8"/>
      <c r="Y2675" s="12" t="str">
        <f ca="1">IFERROR(__xludf.DUMMYFUNCTION("""COMPUTED_VALUE"""),"Bullied - planned attacked - referred to himself as a ""new Jack City Hustler.""")</f>
        <v>Bullied - planned attacked - referred to himself as a "new Jack City Hustler."</v>
      </c>
      <c r="Z2675" s="12" t="str">
        <f ca="1">IFERROR(__xludf.DUMMYFUNCTION("""COMPUTED_VALUE"""),"Suspect was previously picked on. During first period science class, suspect pulled out .357 and shot round striking one student in arm and hitting other student. Suspect then walked through class while students begged not to be shot. Suspect then walked "&amp;"outside and shot round into bush - teachers were able to get the student to surrender.")</f>
        <v>Suspect was previously picked on. During first period science class, suspect pulled out .357 and shot round striking one student in arm and hitting other student. Suspect then walked through class while students begged not to be shot. Suspect then walked outside and shot round into bush - teachers were able to get the student to surrender.</v>
      </c>
      <c r="AA2675" s="8" t="str">
        <f ca="1">IFERROR(__xludf.DUMMYFUNCTION("""COMPUTED_VALUE"""),"Indiscriminate Shooting")</f>
        <v>Indiscriminate Shooting</v>
      </c>
      <c r="AB2675" s="8"/>
      <c r="AC2675" s="8" t="str">
        <f ca="1">IFERROR(__xludf.DUMMYFUNCTION("""COMPUTED_VALUE"""),"Yes")</f>
        <v>Yes</v>
      </c>
      <c r="AD2675" s="8"/>
      <c r="AE2675" s="8"/>
      <c r="AF2675" s="8"/>
      <c r="AG2675" s="8" t="str">
        <f ca="1">IFERROR(__xludf.DUMMYFUNCTION("""COMPUTED_VALUE"""),"No")</f>
        <v>No</v>
      </c>
      <c r="AH2675" s="8" t="str">
        <f ca="1">IFERROR(__xludf.DUMMYFUNCTION("""COMPUTED_VALUE"""),"No")</f>
        <v>No</v>
      </c>
      <c r="AI2675" s="8" t="str">
        <f ca="1">IFERROR(__xludf.DUMMYFUNCTION("""COMPUTED_VALUE"""),"No")</f>
        <v>No</v>
      </c>
      <c r="AJ2675" s="8" t="str">
        <f ca="1">IFERROR(__xludf.DUMMYFUNCTION("""COMPUTED_VALUE"""),"Yes")</f>
        <v>Yes</v>
      </c>
      <c r="AK2675" s="8" t="str">
        <f ca="1">IFERROR(__xludf.DUMMYFUNCTION("""COMPUTED_VALUE"""),"No")</f>
        <v>No</v>
      </c>
      <c r="AL2675" s="8" t="str">
        <f ca="1">IFERROR(__xludf.DUMMYFUNCTION("""COMPUTED_VALUE"""),"No")</f>
        <v>No</v>
      </c>
      <c r="AM2675" s="8" t="str">
        <f ca="1">IFERROR(__xludf.DUMMYFUNCTION("""COMPUTED_VALUE"""),"Yes")</f>
        <v>Yes</v>
      </c>
      <c r="AN2675" s="8" t="str">
        <f ca="1">IFERROR(__xludf.DUMMYFUNCTION("""COMPUTED_VALUE"""),"Multiple Rooms")</f>
        <v>Multiple Rooms</v>
      </c>
      <c r="AO2675" s="8" t="str">
        <f ca="1">IFERROR(__xludf.DUMMYFUNCTION("""COMPUTED_VALUE"""),"Yes")</f>
        <v>Yes</v>
      </c>
      <c r="AP2675" s="8"/>
      <c r="AQ2675" s="8" t="str">
        <f ca="1">IFERROR(__xludf.DUMMYFUNCTION("""COMPUTED_VALUE"""),"Unknown")</f>
        <v>Unknown</v>
      </c>
      <c r="AR2675" s="8" t="str">
        <f ca="1">IFERROR(__xludf.DUMMYFUNCTION("""COMPUTED_VALUE"""),"NA")</f>
        <v>NA</v>
      </c>
      <c r="AS2675" s="8">
        <f ca="1">IFERROR(__xludf.DUMMYFUNCTION("""COMPUTED_VALUE"""),2)</f>
        <v>2</v>
      </c>
      <c r="AT2675" s="8"/>
      <c r="AU2675" s="8">
        <f ca="1">IFERROR(__xludf.DUMMYFUNCTION("""COMPUTED_VALUE"""),38.295212)</f>
        <v>38.295211999999999</v>
      </c>
      <c r="AV2675" s="8">
        <f ca="1">IFERROR(__xludf.DUMMYFUNCTION("""COMPUTED_VALUE"""),-122.261712)</f>
        <v>-122.261712</v>
      </c>
      <c r="AW2675" s="8"/>
      <c r="AX2675" s="8">
        <f ca="1">IFERROR(__xludf.DUMMYFUNCTION("""COMPUTED_VALUE"""),94558)</f>
        <v>94558</v>
      </c>
    </row>
    <row r="2676" spans="1:50" ht="150" x14ac:dyDescent="0.2">
      <c r="A2676" s="8" t="str">
        <f ca="1">IFERROR(__xludf.DUMMYFUNCTION("""COMPUTED_VALUE"""),"19920501CALIO")</f>
        <v>19920501CALIO</v>
      </c>
      <c r="B2676" s="8">
        <f ca="1">IFERROR(__xludf.DUMMYFUNCTION("""COMPUTED_VALUE"""),5)</f>
        <v>5</v>
      </c>
      <c r="C2676" s="8">
        <f ca="1">IFERROR(__xludf.DUMMYFUNCTION("""COMPUTED_VALUE"""),1)</f>
        <v>1</v>
      </c>
      <c r="D2676" s="8">
        <f ca="1">IFERROR(__xludf.DUMMYFUNCTION("""COMPUTED_VALUE"""),1992)</f>
        <v>1992</v>
      </c>
      <c r="E2676" s="9">
        <f ca="1">IFERROR(__xludf.DUMMYFUNCTION("""COMPUTED_VALUE"""),33725)</f>
        <v>33725</v>
      </c>
      <c r="F2676" s="8" t="str">
        <f ca="1">IFERROR(__xludf.DUMMYFUNCTION("""COMPUTED_VALUE"""),"Lindhurst High School")</f>
        <v>Lindhurst High School</v>
      </c>
      <c r="G2676" s="8">
        <f ca="1">IFERROR(__xludf.DUMMYFUNCTION("""COMPUTED_VALUE"""),4)</f>
        <v>4</v>
      </c>
      <c r="H2676" s="8">
        <f ca="1">IFERROR(__xludf.DUMMYFUNCTION("""COMPUTED_VALUE"""),10)</f>
        <v>10</v>
      </c>
      <c r="I2676" s="8">
        <f ca="1">IFERROR(__xludf.DUMMYFUNCTION("""COMPUTED_VALUE"""),14)</f>
        <v>14</v>
      </c>
      <c r="J2676" s="8">
        <f ca="1">IFERROR(__xludf.DUMMYFUNCTION("""COMPUTED_VALUE"""),0)</f>
        <v>0</v>
      </c>
      <c r="K2676" s="10" t="str">
        <f ca="1">IFERROR(__xludf.DUMMYFUNCTION("""COMPUTED_VALUE"""),"http://sacramento.cbslocal.com/2012/08/02/state-supreme-court-upholds-death-penalty-for-houston-in-lindhurst-high-rampage/")</f>
        <v>http://sacramento.cbslocal.com/2012/08/02/state-supreme-court-upholds-death-penalty-for-houston-in-lindhurst-high-rampage/</v>
      </c>
      <c r="L2676" s="8"/>
      <c r="M2676" s="8"/>
      <c r="N2676" s="8">
        <f ca="1">IFERROR(__xludf.DUMMYFUNCTION("""COMPUTED_VALUE"""),4)</f>
        <v>4</v>
      </c>
      <c r="O2676" s="8" t="str">
        <f ca="1">IFERROR(__xludf.DUMMYFUNCTION("""COMPUTED_VALUE"""),"Spring")</f>
        <v>Spring</v>
      </c>
      <c r="P2676" s="8" t="str">
        <f ca="1">IFERROR(__xludf.DUMMYFUNCTION("""COMPUTED_VALUE"""),"Olivehurst")</f>
        <v>Olivehurst</v>
      </c>
      <c r="Q2676" s="8" t="str">
        <f ca="1">IFERROR(__xludf.DUMMYFUNCTION("""COMPUTED_VALUE"""),"CA")</f>
        <v>CA</v>
      </c>
      <c r="R2676" s="8" t="str">
        <f ca="1">IFERROR(__xludf.DUMMYFUNCTION("""COMPUTED_VALUE"""),"High")</f>
        <v>High</v>
      </c>
      <c r="S2676" s="8" t="str">
        <f ca="1">IFERROR(__xludf.DUMMYFUNCTION("""COMPUTED_VALUE"""),"Hallway")</f>
        <v>Hallway</v>
      </c>
      <c r="T2676" s="8" t="str">
        <f ca="1">IFERROR(__xludf.DUMMYFUNCTION("""COMPUTED_VALUE"""),"Inside School Building")</f>
        <v>Inside School Building</v>
      </c>
      <c r="U2676" s="8" t="str">
        <f ca="1">IFERROR(__xludf.DUMMYFUNCTION("""COMPUTED_VALUE"""),"Yes")</f>
        <v>Yes</v>
      </c>
      <c r="V2676" s="8" t="str">
        <f ca="1">IFERROR(__xludf.DUMMYFUNCTION("""COMPUTED_VALUE"""),"Afternoon Classes")</f>
        <v>Afternoon Classes</v>
      </c>
      <c r="W2676" s="8"/>
      <c r="X2676" s="8">
        <f ca="1">IFERROR(__xludf.DUMMYFUNCTION("""COMPUTED_VALUE"""),480)</f>
        <v>480</v>
      </c>
      <c r="Y2676" s="12" t="str">
        <f ca="1">IFERROR(__xludf.DUMMYFUNCTION("""COMPUTED_VALUE"""),"Planned attack, 80 hostages")</f>
        <v>Planned attack, 80 hostages</v>
      </c>
      <c r="Z2676" s="12" t="str">
        <f ca="1">IFERROR(__xludf.DUMMYFUNCTION("""COMPUTED_VALUE"""),"Shooter (former student) entered the school and killed a targeted victim (teach who had failed him in class) then fired random shots hitting multiple students. Shooter took 80 students hostage for 8 hours before surrendering to police. Shooter had been re"&amp;"cently fired from an assembly line job and blamed the school and the teacher he killed for failing him out. Did not have high school diploma. Shooter had planned the attack, wore a camo vest with ammo belt, and had waited until he got his unemployment che"&amp;"ck to buy more ammo before the shooting. No mental health history.")</f>
        <v>Shooter (former student) entered the school and killed a targeted victim (teach who had failed him in class) then fired random shots hitting multiple students. Shooter took 80 students hostage for 8 hours before surrendering to police. Shooter had been recently fired from an assembly line job and blamed the school and the teacher he killed for failing him out. Did not have high school diploma. Shooter had planned the attack, wore a camo vest with ammo belt, and had waited until he got his unemployment check to buy more ammo before the shooting. No mental health history.</v>
      </c>
      <c r="AA2676" s="8" t="str">
        <f ca="1">IFERROR(__xludf.DUMMYFUNCTION("""COMPUTED_VALUE"""),"Hostage/Standoff")</f>
        <v>Hostage/Standoff</v>
      </c>
      <c r="AB2676" s="8"/>
      <c r="AC2676" s="8"/>
      <c r="AD2676" s="8" t="str">
        <f ca="1">IFERROR(__xludf.DUMMYFUNCTION("""COMPUTED_VALUE"""),"Both")</f>
        <v>Both</v>
      </c>
      <c r="AE2676" s="8" t="str">
        <f ca="1">IFERROR(__xludf.DUMMYFUNCTION("""COMPUTED_VALUE"""),"No")</f>
        <v>No</v>
      </c>
      <c r="AF2676" s="8"/>
      <c r="AG2676" s="8" t="str">
        <f ca="1">IFERROR(__xludf.DUMMYFUNCTION("""COMPUTED_VALUE"""),"Yes")</f>
        <v>Yes</v>
      </c>
      <c r="AH2676" s="8" t="str">
        <f ca="1">IFERROR(__xludf.DUMMYFUNCTION("""COMPUTED_VALUE"""),"Yes")</f>
        <v>Yes</v>
      </c>
      <c r="AI2676" s="8" t="str">
        <f ca="1">IFERROR(__xludf.DUMMYFUNCTION("""COMPUTED_VALUE"""),"No")</f>
        <v>No</v>
      </c>
      <c r="AJ2676" s="8" t="str">
        <f ca="1">IFERROR(__xludf.DUMMYFUNCTION("""COMPUTED_VALUE"""),"No")</f>
        <v>No</v>
      </c>
      <c r="AK2676" s="8" t="str">
        <f ca="1">IFERROR(__xludf.DUMMYFUNCTION("""COMPUTED_VALUE"""),"No")</f>
        <v>No</v>
      </c>
      <c r="AL2676" s="8" t="str">
        <f ca="1">IFERROR(__xludf.DUMMYFUNCTION("""COMPUTED_VALUE"""),"No")</f>
        <v>No</v>
      </c>
      <c r="AM2676" s="8" t="str">
        <f ca="1">IFERROR(__xludf.DUMMYFUNCTION("""COMPUTED_VALUE"""),"Yes")</f>
        <v>Yes</v>
      </c>
      <c r="AN2676" s="8" t="str">
        <f ca="1">IFERROR(__xludf.DUMMYFUNCTION("""COMPUTED_VALUE"""),"Single Room")</f>
        <v>Single Room</v>
      </c>
      <c r="AO2676" s="8" t="str">
        <f ca="1">IFERROR(__xludf.DUMMYFUNCTION("""COMPUTED_VALUE"""),"Yes")</f>
        <v>Yes</v>
      </c>
      <c r="AP2676" s="8"/>
      <c r="AQ2676" s="8" t="str">
        <f ca="1">IFERROR(__xludf.DUMMYFUNCTION("""COMPUTED_VALUE"""),"Unknown")</f>
        <v>Unknown</v>
      </c>
      <c r="AR2676" s="8" t="str">
        <f ca="1">IFERROR(__xludf.DUMMYFUNCTION("""COMPUTED_VALUE"""),"NA")</f>
        <v>NA</v>
      </c>
      <c r="AS2676" s="8" t="str">
        <f ca="1">IFERROR(__xludf.DUMMYFUNCTION("""COMPUTED_VALUE"""),"&gt;10")</f>
        <v>&gt;10</v>
      </c>
      <c r="AT2676" s="8"/>
      <c r="AU2676" s="8">
        <f ca="1">IFERROR(__xludf.DUMMYFUNCTION("""COMPUTED_VALUE"""),39.083509)</f>
        <v>39.083508999999999</v>
      </c>
      <c r="AV2676" s="8">
        <f ca="1">IFERROR(__xludf.DUMMYFUNCTION("""COMPUTED_VALUE"""),-121.537328)</f>
        <v>-121.537328</v>
      </c>
      <c r="AW2676" s="8"/>
      <c r="AX2676" s="8">
        <f ca="1">IFERROR(__xludf.DUMMYFUNCTION("""COMPUTED_VALUE"""),95961)</f>
        <v>95961</v>
      </c>
    </row>
    <row r="2677" spans="1:50" ht="60" x14ac:dyDescent="0.2">
      <c r="A2677" s="8" t="str">
        <f ca="1">IFERROR(__xludf.DUMMYFUNCTION("""COMPUTED_VALUE"""),"19920417TXLID")</f>
        <v>19920417TXLID</v>
      </c>
      <c r="B2677" s="8">
        <f ca="1">IFERROR(__xludf.DUMMYFUNCTION("""COMPUTED_VALUE"""),4)</f>
        <v>4</v>
      </c>
      <c r="C2677" s="8">
        <f ca="1">IFERROR(__xludf.DUMMYFUNCTION("""COMPUTED_VALUE"""),17)</f>
        <v>17</v>
      </c>
      <c r="D2677" s="8">
        <f ca="1">IFERROR(__xludf.DUMMYFUNCTION("""COMPUTED_VALUE"""),1992)</f>
        <v>1992</v>
      </c>
      <c r="E2677" s="9">
        <f ca="1">IFERROR(__xludf.DUMMYFUNCTION("""COMPUTED_VALUE"""),33711)</f>
        <v>33711</v>
      </c>
      <c r="F2677" s="8" t="str">
        <f ca="1">IFERROR(__xludf.DUMMYFUNCTION("""COMPUTED_VALUE"""),"Lincoln High School")</f>
        <v>Lincoln High School</v>
      </c>
      <c r="G2677" s="8">
        <f ca="1">IFERROR(__xludf.DUMMYFUNCTION("""COMPUTED_VALUE"""),1)</f>
        <v>1</v>
      </c>
      <c r="H2677" s="8">
        <f ca="1">IFERROR(__xludf.DUMMYFUNCTION("""COMPUTED_VALUE"""),0)</f>
        <v>0</v>
      </c>
      <c r="I2677" s="8">
        <f ca="1">IFERROR(__xludf.DUMMYFUNCTION("""COMPUTED_VALUE"""),1)</f>
        <v>1</v>
      </c>
      <c r="J2677" s="8">
        <f ca="1">IFERROR(__xludf.DUMMYFUNCTION("""COMPUTED_VALUE"""),0)</f>
        <v>0</v>
      </c>
      <c r="K2677" s="8" t="str">
        <f ca="1">IFERROR(__xludf.DUMMYFUNCTION("""COMPUTED_VALUE"""),"Dallas Morning News - Man Shot After Dance at School; Dallas Morning News - Man, 18, Shot at School Dies; https://www.columbine-angels.com/School_Violence_1991-1992.htm")</f>
        <v>Dallas Morning News - Man Shot After Dance at School; Dallas Morning News - Man, 18, Shot at School Dies; https://www.columbine-angels.com/School_Violence_1991-1992.htm</v>
      </c>
      <c r="L2677" s="8"/>
      <c r="M2677" s="8"/>
      <c r="N2677" s="8">
        <f ca="1">IFERROR(__xludf.DUMMYFUNCTION("""COMPUTED_VALUE"""),1)</f>
        <v>1</v>
      </c>
      <c r="O2677" s="8" t="str">
        <f ca="1">IFERROR(__xludf.DUMMYFUNCTION("""COMPUTED_VALUE"""),"Spring")</f>
        <v>Spring</v>
      </c>
      <c r="P2677" s="8" t="str">
        <f ca="1">IFERROR(__xludf.DUMMYFUNCTION("""COMPUTED_VALUE"""),"Dallas")</f>
        <v>Dallas</v>
      </c>
      <c r="Q2677" s="8" t="str">
        <f ca="1">IFERROR(__xludf.DUMMYFUNCTION("""COMPUTED_VALUE"""),"TX")</f>
        <v>TX</v>
      </c>
      <c r="R2677" s="8" t="str">
        <f ca="1">IFERROR(__xludf.DUMMYFUNCTION("""COMPUTED_VALUE"""),"High")</f>
        <v>High</v>
      </c>
      <c r="S2677" s="8" t="str">
        <f ca="1">IFERROR(__xludf.DUMMYFUNCTION("""COMPUTED_VALUE"""),"Parking Lot")</f>
        <v>Parking Lot</v>
      </c>
      <c r="T2677" s="8" t="str">
        <f ca="1">IFERROR(__xludf.DUMMYFUNCTION("""COMPUTED_VALUE"""),"Outside on School Property")</f>
        <v>Outside on School Property</v>
      </c>
      <c r="U2677" s="8" t="str">
        <f ca="1">IFERROR(__xludf.DUMMYFUNCTION("""COMPUTED_VALUE"""),"No")</f>
        <v>No</v>
      </c>
      <c r="V2677" s="8" t="str">
        <f ca="1">IFERROR(__xludf.DUMMYFUNCTION("""COMPUTED_VALUE"""),"Night")</f>
        <v>Night</v>
      </c>
      <c r="W2677" s="8"/>
      <c r="X2677" s="8"/>
      <c r="Y2677" s="12" t="str">
        <f ca="1">IFERROR(__xludf.DUMMYFUNCTION("""COMPUTED_VALUE"""),"Accidental, gun fired into air came down and struck 19YOM in head")</f>
        <v>Accidental, gun fired into air came down and struck 19YOM in head</v>
      </c>
      <c r="Z2677" s="12" t="str">
        <f ca="1">IFERROR(__xludf.DUMMYFUNCTION("""COMPUTED_VALUE"""),"Party in the parking lot of the school. Students and former students were drinking and firing guns. Bullet fell and struck former student in the head.")</f>
        <v>Party in the parking lot of the school. Students and former students were drinking and firing guns. Bullet fell and struck former student in the head.</v>
      </c>
      <c r="AA2677" s="8" t="str">
        <f ca="1">IFERROR(__xludf.DUMMYFUNCTION("""COMPUTED_VALUE"""),"Accidental")</f>
        <v>Accidental</v>
      </c>
      <c r="AB2677" s="8"/>
      <c r="AC2677" s="8"/>
      <c r="AD2677" s="8" t="str">
        <f ca="1">IFERROR(__xludf.DUMMYFUNCTION("""COMPUTED_VALUE"""),"Random Shooting")</f>
        <v>Random Shooting</v>
      </c>
      <c r="AE2677" s="8"/>
      <c r="AF2677" s="8"/>
      <c r="AG2677" s="8" t="str">
        <f ca="1">IFERROR(__xludf.DUMMYFUNCTION("""COMPUTED_VALUE"""),"No")</f>
        <v>No</v>
      </c>
      <c r="AH2677" s="8" t="str">
        <f ca="1">IFERROR(__xludf.DUMMYFUNCTION("""COMPUTED_VALUE"""),"No")</f>
        <v>No</v>
      </c>
      <c r="AI2677" s="8" t="str">
        <f ca="1">IFERROR(__xludf.DUMMYFUNCTION("""COMPUTED_VALUE"""),"No")</f>
        <v>No</v>
      </c>
      <c r="AJ2677" s="8" t="str">
        <f ca="1">IFERROR(__xludf.DUMMYFUNCTION("""COMPUTED_VALUE"""),"No")</f>
        <v>No</v>
      </c>
      <c r="AK2677" s="8" t="str">
        <f ca="1">IFERROR(__xludf.DUMMYFUNCTION("""COMPUTED_VALUE"""),"No")</f>
        <v>No</v>
      </c>
      <c r="AL2677" s="8" t="str">
        <f ca="1">IFERROR(__xludf.DUMMYFUNCTION("""COMPUTED_VALUE"""),"No")</f>
        <v>No</v>
      </c>
      <c r="AM2677" s="8"/>
      <c r="AN2677" s="8"/>
      <c r="AO2677" s="8" t="str">
        <f ca="1">IFERROR(__xludf.DUMMYFUNCTION("""COMPUTED_VALUE"""),"No")</f>
        <v>No</v>
      </c>
      <c r="AP2677" s="8"/>
      <c r="AQ2677" s="8" t="str">
        <f ca="1">IFERROR(__xludf.DUMMYFUNCTION("""COMPUTED_VALUE"""),"Unknown")</f>
        <v>Unknown</v>
      </c>
      <c r="AR2677" s="8" t="str">
        <f ca="1">IFERROR(__xludf.DUMMYFUNCTION("""COMPUTED_VALUE"""),"NA")</f>
        <v>NA</v>
      </c>
      <c r="AS2677" s="8"/>
      <c r="AT2677" s="8"/>
      <c r="AU2677" s="8">
        <f ca="1">IFERROR(__xludf.DUMMYFUNCTION("""COMPUTED_VALUE"""),32.756142)</f>
        <v>32.756141999999997</v>
      </c>
      <c r="AV2677" s="8">
        <f ca="1">IFERROR(__xludf.DUMMYFUNCTION("""COMPUTED_VALUE"""),-96.750953)</f>
        <v>-96.750952999999996</v>
      </c>
      <c r="AW2677" s="8"/>
      <c r="AX2677" s="8">
        <f ca="1">IFERROR(__xludf.DUMMYFUNCTION("""COMPUTED_VALUE"""),75215)</f>
        <v>75215</v>
      </c>
    </row>
    <row r="2678" spans="1:50" ht="90" x14ac:dyDescent="0.2">
      <c r="A2678" s="8" t="str">
        <f ca="1">IFERROR(__xludf.DUMMYFUNCTION("""COMPUTED_VALUE"""),"19920409FLFOF")</f>
        <v>19920409FLFOF</v>
      </c>
      <c r="B2678" s="8">
        <f ca="1">IFERROR(__xludf.DUMMYFUNCTION("""COMPUTED_VALUE"""),4)</f>
        <v>4</v>
      </c>
      <c r="C2678" s="8">
        <f ca="1">IFERROR(__xludf.DUMMYFUNCTION("""COMPUTED_VALUE"""),9)</f>
        <v>9</v>
      </c>
      <c r="D2678" s="8">
        <f ca="1">IFERROR(__xludf.DUMMYFUNCTION("""COMPUTED_VALUE"""),1992)</f>
        <v>1992</v>
      </c>
      <c r="E2678" s="9">
        <f ca="1">IFERROR(__xludf.DUMMYFUNCTION("""COMPUTED_VALUE"""),33703)</f>
        <v>33703</v>
      </c>
      <c r="F2678" s="8" t="str">
        <f ca="1">IFERROR(__xludf.DUMMYFUNCTION("""COMPUTED_VALUE"""),"Fort Myers High School")</f>
        <v>Fort Myers High School</v>
      </c>
      <c r="G2678" s="8">
        <f ca="1">IFERROR(__xludf.DUMMYFUNCTION("""COMPUTED_VALUE"""),0)</f>
        <v>0</v>
      </c>
      <c r="H2678" s="8">
        <f ca="1">IFERROR(__xludf.DUMMYFUNCTION("""COMPUTED_VALUE"""),1)</f>
        <v>1</v>
      </c>
      <c r="I2678" s="8">
        <f ca="1">IFERROR(__xludf.DUMMYFUNCTION("""COMPUTED_VALUE"""),1)</f>
        <v>1</v>
      </c>
      <c r="J2678" s="8">
        <f ca="1">IFERROR(__xludf.DUMMYFUNCTION("""COMPUTED_VALUE"""),0)</f>
        <v>0</v>
      </c>
      <c r="K2678" s="8" t="str">
        <f ca="1">IFERROR(__xludf.DUMMYFUNCTION("""COMPUTED_VALUE"""),"https://www.newspapers.com/image/217388697/?terms=fort%2Bmyers%2Bhigh%2Bschool   https://www.newspapers.com/image/217363834/?terms=fort%2Bmyers%2Bhigh%2Bschool%2Bshooting   https://www.newspapers.com/image/217332689/?terms=Freddie%2BLee%2BJOhnson%2BJr.")</f>
        <v>https://www.newspapers.com/image/217388697/?terms=fort%2Bmyers%2Bhigh%2Bschool   https://www.newspapers.com/image/217363834/?terms=fort%2Bmyers%2Bhigh%2Bschool%2Bshooting   https://www.newspapers.com/image/217332689/?terms=Freddie%2BLee%2BJOhnson%2BJr.</v>
      </c>
      <c r="L2678" s="8"/>
      <c r="M2678" s="8"/>
      <c r="N2678" s="8">
        <f ca="1">IFERROR(__xludf.DUMMYFUNCTION("""COMPUTED_VALUE"""),3)</f>
        <v>3</v>
      </c>
      <c r="O2678" s="8" t="str">
        <f ca="1">IFERROR(__xludf.DUMMYFUNCTION("""COMPUTED_VALUE"""),"Spring")</f>
        <v>Spring</v>
      </c>
      <c r="P2678" s="8" t="str">
        <f ca="1">IFERROR(__xludf.DUMMYFUNCTION("""COMPUTED_VALUE"""),"Fort Myers")</f>
        <v>Fort Myers</v>
      </c>
      <c r="Q2678" s="8" t="str">
        <f ca="1">IFERROR(__xludf.DUMMYFUNCTION("""COMPUTED_VALUE"""),"FL")</f>
        <v>FL</v>
      </c>
      <c r="R2678" s="8" t="str">
        <f ca="1">IFERROR(__xludf.DUMMYFUNCTION("""COMPUTED_VALUE"""),"High")</f>
        <v>High</v>
      </c>
      <c r="S2678" s="8" t="str">
        <f ca="1">IFERROR(__xludf.DUMMYFUNCTION("""COMPUTED_VALUE"""),"Field (General)")</f>
        <v>Field (General)</v>
      </c>
      <c r="T2678" s="8" t="str">
        <f ca="1">IFERROR(__xludf.DUMMYFUNCTION("""COMPUTED_VALUE"""),"Outside on School Property")</f>
        <v>Outside on School Property</v>
      </c>
      <c r="U2678" s="8" t="str">
        <f ca="1">IFERROR(__xludf.DUMMYFUNCTION("""COMPUTED_VALUE"""),"Yes")</f>
        <v>Yes</v>
      </c>
      <c r="V2678" s="8" t="str">
        <f ca="1">IFERROR(__xludf.DUMMYFUNCTION("""COMPUTED_VALUE"""),"Morning Classes")</f>
        <v>Morning Classes</v>
      </c>
      <c r="W2678" s="11">
        <f ca="1">IFERROR(__xludf.DUMMYFUNCTION("""COMPUTED_VALUE"""),0.385416666666666)</f>
        <v>0.38541666666666602</v>
      </c>
      <c r="X2678" s="8">
        <f ca="1">IFERROR(__xludf.DUMMYFUNCTION("""COMPUTED_VALUE"""),1)</f>
        <v>1</v>
      </c>
      <c r="Y2678" s="12" t="str">
        <f ca="1">IFERROR(__xludf.DUMMYFUNCTION("""COMPUTED_VALUE"""),"Shots fired during fight in school hallway")</f>
        <v>Shots fired during fight in school hallway</v>
      </c>
      <c r="Z2678" s="12" t="str">
        <f ca="1">IFERROR(__xludf.DUMMYFUNCTION("""COMPUTED_VALUE"""),"Shooter and victim bumped into each other in school hallway - decided to meet after school to fight. Once they meet to fight a few days later the shooter pulled out a small caliber pistol and shot the victim twice in the stomach. The shooter then fled, bu"&amp;"t was caught the next day and charged with attempted murder.")</f>
        <v>Shooter and victim bumped into each other in school hallway - decided to meet after school to fight. Once they meet to fight a few days later the shooter pulled out a small caliber pistol and shot the victim twice in the stomach. The shooter then fled, but was caught the next day and charged with attempted murder.</v>
      </c>
      <c r="AA2678" s="8" t="str">
        <f ca="1">IFERROR(__xludf.DUMMYFUNCTION("""COMPUTED_VALUE"""),"Escalation of Dispute")</f>
        <v>Escalation of Dispute</v>
      </c>
      <c r="AB2678" s="8"/>
      <c r="AC2678" s="8"/>
      <c r="AD2678" s="8" t="str">
        <f ca="1">IFERROR(__xludf.DUMMYFUNCTION("""COMPUTED_VALUE"""),"Victims Targeted")</f>
        <v>Victims Targeted</v>
      </c>
      <c r="AE2678" s="8" t="str">
        <f ca="1">IFERROR(__xludf.DUMMYFUNCTION("""COMPUTED_VALUE"""),"No")</f>
        <v>No</v>
      </c>
      <c r="AF2678" s="8"/>
      <c r="AG2678" s="8" t="str">
        <f ca="1">IFERROR(__xludf.DUMMYFUNCTION("""COMPUTED_VALUE"""),"No")</f>
        <v>No</v>
      </c>
      <c r="AH2678" s="8" t="str">
        <f ca="1">IFERROR(__xludf.DUMMYFUNCTION("""COMPUTED_VALUE"""),"No")</f>
        <v>No</v>
      </c>
      <c r="AI2678" s="8" t="str">
        <f ca="1">IFERROR(__xludf.DUMMYFUNCTION("""COMPUTED_VALUE"""),"No")</f>
        <v>No</v>
      </c>
      <c r="AJ2678" s="8" t="str">
        <f ca="1">IFERROR(__xludf.DUMMYFUNCTION("""COMPUTED_VALUE"""),"No")</f>
        <v>No</v>
      </c>
      <c r="AK2678" s="8" t="str">
        <f ca="1">IFERROR(__xludf.DUMMYFUNCTION("""COMPUTED_VALUE"""),"No")</f>
        <v>No</v>
      </c>
      <c r="AL2678" s="8" t="str">
        <f ca="1">IFERROR(__xludf.DUMMYFUNCTION("""COMPUTED_VALUE"""),"No")</f>
        <v>No</v>
      </c>
      <c r="AM2678" s="8"/>
      <c r="AN2678" s="8"/>
      <c r="AO2678" s="8" t="str">
        <f ca="1">IFERROR(__xludf.DUMMYFUNCTION("""COMPUTED_VALUE"""),"No")</f>
        <v>No</v>
      </c>
      <c r="AP2678" s="8" t="str">
        <f ca="1">IFERROR(__xludf.DUMMYFUNCTION("""COMPUTED_VALUE"""),"Yes")</f>
        <v>Yes</v>
      </c>
      <c r="AQ2678" s="8" t="str">
        <f ca="1">IFERROR(__xludf.DUMMYFUNCTION("""COMPUTED_VALUE"""),"Unknown")</f>
        <v>Unknown</v>
      </c>
      <c r="AR2678" s="8" t="str">
        <f ca="1">IFERROR(__xludf.DUMMYFUNCTION("""COMPUTED_VALUE"""),"NA")</f>
        <v>NA</v>
      </c>
      <c r="AS2678" s="8">
        <f ca="1">IFERROR(__xludf.DUMMYFUNCTION("""COMPUTED_VALUE"""),2)</f>
        <v>2</v>
      </c>
      <c r="AT2678" s="8"/>
      <c r="AU2678" s="8">
        <f ca="1">IFERROR(__xludf.DUMMYFUNCTION("""COMPUTED_VALUE"""),26.628191)</f>
        <v>26.628191000000001</v>
      </c>
      <c r="AV2678" s="8">
        <f ca="1">IFERROR(__xludf.DUMMYFUNCTION("""COMPUTED_VALUE"""),-81.87745)</f>
        <v>-81.877449999999996</v>
      </c>
      <c r="AW2678" s="8"/>
      <c r="AX2678" s="8">
        <f ca="1">IFERROR(__xludf.DUMMYFUNCTION("""COMPUTED_VALUE"""),33901)</f>
        <v>33901</v>
      </c>
    </row>
    <row r="2679" spans="1:50" ht="45" x14ac:dyDescent="0.2">
      <c r="A2679" s="8" t="str">
        <f ca="1">IFERROR(__xludf.DUMMYFUNCTION("""COMPUTED_VALUE"""),"19920331LAOPA")</f>
        <v>19920331LAOPA</v>
      </c>
      <c r="B2679" s="8">
        <f ca="1">IFERROR(__xludf.DUMMYFUNCTION("""COMPUTED_VALUE"""),3)</f>
        <v>3</v>
      </c>
      <c r="C2679" s="8">
        <f ca="1">IFERROR(__xludf.DUMMYFUNCTION("""COMPUTED_VALUE"""),31)</f>
        <v>31</v>
      </c>
      <c r="D2679" s="8">
        <f ca="1">IFERROR(__xludf.DUMMYFUNCTION("""COMPUTED_VALUE"""),1992)</f>
        <v>1992</v>
      </c>
      <c r="E2679" s="9">
        <f ca="1">IFERROR(__xludf.DUMMYFUNCTION("""COMPUTED_VALUE"""),33694)</f>
        <v>33694</v>
      </c>
      <c r="F2679" s="8" t="str">
        <f ca="1">IFERROR(__xludf.DUMMYFUNCTION("""COMPUTED_VALUE"""),"O Perry Walker High School")</f>
        <v>O Perry Walker High School</v>
      </c>
      <c r="G2679" s="8">
        <f ca="1">IFERROR(__xludf.DUMMYFUNCTION("""COMPUTED_VALUE"""),1)</f>
        <v>1</v>
      </c>
      <c r="H2679" s="8">
        <f ca="1">IFERROR(__xludf.DUMMYFUNCTION("""COMPUTED_VALUE"""),0)</f>
        <v>0</v>
      </c>
      <c r="I2679" s="8">
        <f ca="1">IFERROR(__xludf.DUMMYFUNCTION("""COMPUTED_VALUE"""),1)</f>
        <v>1</v>
      </c>
      <c r="J2679" s="8">
        <f ca="1">IFERROR(__xludf.DUMMYFUNCTION("""COMPUTED_VALUE"""),0)</f>
        <v>0</v>
      </c>
      <c r="K2679" s="10" t="str">
        <f ca="1">IFERROR(__xludf.DUMMYFUNCTION("""COMPUTED_VALUE"""),"https://www.nola.com/crime/index.ssf/2017/09/25_years_after_walker_students.html")</f>
        <v>https://www.nola.com/crime/index.ssf/2017/09/25_years_after_walker_students.html</v>
      </c>
      <c r="L2679" s="8"/>
      <c r="M2679" s="8"/>
      <c r="N2679" s="8">
        <f ca="1">IFERROR(__xludf.DUMMYFUNCTION("""COMPUTED_VALUE"""),2)</f>
        <v>2</v>
      </c>
      <c r="O2679" s="8" t="str">
        <f ca="1">IFERROR(__xludf.DUMMYFUNCTION("""COMPUTED_VALUE"""),"Spring")</f>
        <v>Spring</v>
      </c>
      <c r="P2679" s="8" t="str">
        <f ca="1">IFERROR(__xludf.DUMMYFUNCTION("""COMPUTED_VALUE"""),"Algiers")</f>
        <v>Algiers</v>
      </c>
      <c r="Q2679" s="8" t="str">
        <f ca="1">IFERROR(__xludf.DUMMYFUNCTION("""COMPUTED_VALUE"""),"LA")</f>
        <v>LA</v>
      </c>
      <c r="R2679" s="8" t="str">
        <f ca="1">IFERROR(__xludf.DUMMYFUNCTION("""COMPUTED_VALUE"""),"High")</f>
        <v>High</v>
      </c>
      <c r="S2679" s="8" t="str">
        <f ca="1">IFERROR(__xludf.DUMMYFUNCTION("""COMPUTED_VALUE"""),"Hallway")</f>
        <v>Hallway</v>
      </c>
      <c r="T2679" s="8" t="str">
        <f ca="1">IFERROR(__xludf.DUMMYFUNCTION("""COMPUTED_VALUE"""),"Inside School Building")</f>
        <v>Inside School Building</v>
      </c>
      <c r="U2679" s="8" t="str">
        <f ca="1">IFERROR(__xludf.DUMMYFUNCTION("""COMPUTED_VALUE"""),"Yes")</f>
        <v>Yes</v>
      </c>
      <c r="V2679" s="8" t="str">
        <f ca="1">IFERROR(__xludf.DUMMYFUNCTION("""COMPUTED_VALUE"""),"Morning Classes")</f>
        <v>Morning Classes</v>
      </c>
      <c r="W2679" s="11">
        <f ca="1">IFERROR(__xludf.DUMMYFUNCTION("""COMPUTED_VALUE"""),0.34375)</f>
        <v>0.34375</v>
      </c>
      <c r="X2679" s="8">
        <f ca="1">IFERROR(__xludf.DUMMYFUNCTION("""COMPUTED_VALUE"""),1)</f>
        <v>1</v>
      </c>
      <c r="Y2679" s="12" t="str">
        <f ca="1">IFERROR(__xludf.DUMMYFUNCTION("""COMPUTED_VALUE"""),"Fight escalated into shooting in the hallways")</f>
        <v>Fight escalated into shooting in the hallways</v>
      </c>
      <c r="Z2679" s="12" t="str">
        <f ca="1">IFERROR(__xludf.DUMMYFUNCTION("""COMPUTED_VALUE"""),"Shooter pulled out gun during fight with other student striking him once in the head (fatal). Shooter fled and was arrested later.")</f>
        <v>Shooter pulled out gun during fight with other student striking him once in the head (fatal). Shooter fled and was arrested later.</v>
      </c>
      <c r="AA2679" s="8" t="str">
        <f ca="1">IFERROR(__xludf.DUMMYFUNCTION("""COMPUTED_VALUE"""),"Escalation of Dispute")</f>
        <v>Escalation of Dispute</v>
      </c>
      <c r="AB2679" s="8"/>
      <c r="AC2679" s="8"/>
      <c r="AD2679" s="8" t="str">
        <f ca="1">IFERROR(__xludf.DUMMYFUNCTION("""COMPUTED_VALUE"""),"Victims Targeted")</f>
        <v>Victims Targeted</v>
      </c>
      <c r="AE2679" s="8"/>
      <c r="AF2679" s="8"/>
      <c r="AG2679" s="8" t="str">
        <f ca="1">IFERROR(__xludf.DUMMYFUNCTION("""COMPUTED_VALUE"""),"No")</f>
        <v>No</v>
      </c>
      <c r="AH2679" s="8" t="str">
        <f ca="1">IFERROR(__xludf.DUMMYFUNCTION("""COMPUTED_VALUE"""),"No")</f>
        <v>No</v>
      </c>
      <c r="AI2679" s="8" t="str">
        <f ca="1">IFERROR(__xludf.DUMMYFUNCTION("""COMPUTED_VALUE"""),"No")</f>
        <v>No</v>
      </c>
      <c r="AJ2679" s="8" t="str">
        <f ca="1">IFERROR(__xludf.DUMMYFUNCTION("""COMPUTED_VALUE"""),"No")</f>
        <v>No</v>
      </c>
      <c r="AK2679" s="8" t="str">
        <f ca="1">IFERROR(__xludf.DUMMYFUNCTION("""COMPUTED_VALUE"""),"No")</f>
        <v>No</v>
      </c>
      <c r="AL2679" s="8" t="str">
        <f ca="1">IFERROR(__xludf.DUMMYFUNCTION("""COMPUTED_VALUE"""),"No")</f>
        <v>No</v>
      </c>
      <c r="AM2679" s="8"/>
      <c r="AN2679" s="8"/>
      <c r="AO2679" s="8" t="str">
        <f ca="1">IFERROR(__xludf.DUMMYFUNCTION("""COMPUTED_VALUE"""),"No")</f>
        <v>No</v>
      </c>
      <c r="AP2679" s="8"/>
      <c r="AQ2679" s="8" t="str">
        <f ca="1">IFERROR(__xludf.DUMMYFUNCTION("""COMPUTED_VALUE"""),"Unknown")</f>
        <v>Unknown</v>
      </c>
      <c r="AR2679" s="8" t="str">
        <f ca="1">IFERROR(__xludf.DUMMYFUNCTION("""COMPUTED_VALUE"""),"NA")</f>
        <v>NA</v>
      </c>
      <c r="AS2679" s="8">
        <f ca="1">IFERROR(__xludf.DUMMYFUNCTION("""COMPUTED_VALUE"""),1)</f>
        <v>1</v>
      </c>
      <c r="AT2679" s="8"/>
      <c r="AU2679" s="8">
        <f ca="1">IFERROR(__xludf.DUMMYFUNCTION("""COMPUTED_VALUE"""),29.942327)</f>
        <v>29.942326999999999</v>
      </c>
      <c r="AV2679" s="8">
        <f ca="1">IFERROR(__xludf.DUMMYFUNCTION("""COMPUTED_VALUE"""),-90.039648)</f>
        <v>-90.039648</v>
      </c>
      <c r="AW2679" s="8"/>
      <c r="AX2679" s="8">
        <f ca="1">IFERROR(__xludf.DUMMYFUNCTION("""COMPUTED_VALUE"""),70114)</f>
        <v>70114</v>
      </c>
    </row>
    <row r="2680" spans="1:50" ht="60" x14ac:dyDescent="0.2">
      <c r="A2680" s="8" t="str">
        <f ca="1">IFERROR(__xludf.DUMMYFUNCTION("""COMPUTED_VALUE"""),"19920305OHHAO")</f>
        <v>19920305OHHAO</v>
      </c>
      <c r="B2680" s="8">
        <f ca="1">IFERROR(__xludf.DUMMYFUNCTION("""COMPUTED_VALUE"""),3)</f>
        <v>3</v>
      </c>
      <c r="C2680" s="8">
        <f ca="1">IFERROR(__xludf.DUMMYFUNCTION("""COMPUTED_VALUE"""),5)</f>
        <v>5</v>
      </c>
      <c r="D2680" s="8">
        <f ca="1">IFERROR(__xludf.DUMMYFUNCTION("""COMPUTED_VALUE"""),1992)</f>
        <v>1992</v>
      </c>
      <c r="E2680" s="9">
        <f ca="1">IFERROR(__xludf.DUMMYFUNCTION("""COMPUTED_VALUE"""),33668)</f>
        <v>33668</v>
      </c>
      <c r="F2680" s="8" t="str">
        <f ca="1">IFERROR(__xludf.DUMMYFUNCTION("""COMPUTED_VALUE"""),"Hamilton Middle School")</f>
        <v>Hamilton Middle School</v>
      </c>
      <c r="G2680" s="8">
        <f ca="1">IFERROR(__xludf.DUMMYFUNCTION("""COMPUTED_VALUE"""),0)</f>
        <v>0</v>
      </c>
      <c r="H2680" s="8">
        <f ca="1">IFERROR(__xludf.DUMMYFUNCTION("""COMPUTED_VALUE"""),1)</f>
        <v>1</v>
      </c>
      <c r="I2680" s="8">
        <f ca="1">IFERROR(__xludf.DUMMYFUNCTION("""COMPUTED_VALUE"""),1)</f>
        <v>1</v>
      </c>
      <c r="J2680" s="8">
        <f ca="1">IFERROR(__xludf.DUMMYFUNCTION("""COMPUTED_VALUE"""),0)</f>
        <v>0</v>
      </c>
      <c r="K2680" s="10" t="str">
        <f ca="1">IFERROR(__xludf.DUMMYFUNCTION("""COMPUTED_VALUE"""),"https://www.newspapers.com/image/296856537/?terms=Hamilton%2BMiddle%2BSchool%2Bshooting")</f>
        <v>https://www.newspapers.com/image/296856537/?terms=Hamilton%2BMiddle%2BSchool%2Bshooting</v>
      </c>
      <c r="L2680" s="8"/>
      <c r="M2680" s="8"/>
      <c r="N2680" s="8">
        <f ca="1">IFERROR(__xludf.DUMMYFUNCTION("""COMPUTED_VALUE"""),2)</f>
        <v>2</v>
      </c>
      <c r="O2680" s="8" t="str">
        <f ca="1">IFERROR(__xludf.DUMMYFUNCTION("""COMPUTED_VALUE"""),"Spring")</f>
        <v>Spring</v>
      </c>
      <c r="P2680" s="8" t="str">
        <f ca="1">IFERROR(__xludf.DUMMYFUNCTION("""COMPUTED_VALUE"""),"Obetz")</f>
        <v>Obetz</v>
      </c>
      <c r="Q2680" s="8" t="str">
        <f ca="1">IFERROR(__xludf.DUMMYFUNCTION("""COMPUTED_VALUE"""),"OH")</f>
        <v>OH</v>
      </c>
      <c r="R2680" s="8" t="str">
        <f ca="1">IFERROR(__xludf.DUMMYFUNCTION("""COMPUTED_VALUE"""),"Middle")</f>
        <v>Middle</v>
      </c>
      <c r="S2680" s="8" t="str">
        <f ca="1">IFERROR(__xludf.DUMMYFUNCTION("""COMPUTED_VALUE"""),"Cafeteria")</f>
        <v>Cafeteria</v>
      </c>
      <c r="T2680" s="8" t="str">
        <f ca="1">IFERROR(__xludf.DUMMYFUNCTION("""COMPUTED_VALUE"""),"Inside School Building")</f>
        <v>Inside School Building</v>
      </c>
      <c r="U2680" s="8" t="str">
        <f ca="1">IFERROR(__xludf.DUMMYFUNCTION("""COMPUTED_VALUE"""),"Yes")</f>
        <v>Yes</v>
      </c>
      <c r="V2680" s="8" t="str">
        <f ca="1">IFERROR(__xludf.DUMMYFUNCTION("""COMPUTED_VALUE"""),"Lunch")</f>
        <v>Lunch</v>
      </c>
      <c r="W2680" s="8"/>
      <c r="X2680" s="8">
        <f ca="1">IFERROR(__xludf.DUMMYFUNCTION("""COMPUTED_VALUE"""),1)</f>
        <v>1</v>
      </c>
      <c r="Y2680" s="12" t="str">
        <f ca="1">IFERROR(__xludf.DUMMYFUNCTION("""COMPUTED_VALUE"""),"Shot specific victim in school cafeteria")</f>
        <v>Shot specific victim in school cafeteria</v>
      </c>
      <c r="Z2680" s="12" t="str">
        <f ca="1">IFERROR(__xludf.DUMMYFUNCTION("""COMPUTED_VALUE"""),"12YO shooter brought .22 pistol concealed in overalls. During argument with victim in school cafeteria, shooter fired one shot striking the victim in the head and fled the scene.")</f>
        <v>12YO shooter brought .22 pistol concealed in overalls. During argument with victim in school cafeteria, shooter fired one shot striking the victim in the head and fled the scene.</v>
      </c>
      <c r="AA2680" s="8" t="str">
        <f ca="1">IFERROR(__xludf.DUMMYFUNCTION("""COMPUTED_VALUE"""),"Escalation of Dispute")</f>
        <v>Escalation of Dispute</v>
      </c>
      <c r="AB2680" s="8"/>
      <c r="AC2680" s="8"/>
      <c r="AD2680" s="8" t="str">
        <f ca="1">IFERROR(__xludf.DUMMYFUNCTION("""COMPUTED_VALUE"""),"Victims Targeted")</f>
        <v>Victims Targeted</v>
      </c>
      <c r="AE2680" s="8" t="str">
        <f ca="1">IFERROR(__xludf.DUMMYFUNCTION("""COMPUTED_VALUE"""),"No")</f>
        <v>No</v>
      </c>
      <c r="AF2680" s="8"/>
      <c r="AG2680" s="8" t="str">
        <f ca="1">IFERROR(__xludf.DUMMYFUNCTION("""COMPUTED_VALUE"""),"No")</f>
        <v>No</v>
      </c>
      <c r="AH2680" s="8" t="str">
        <f ca="1">IFERROR(__xludf.DUMMYFUNCTION("""COMPUTED_VALUE"""),"No")</f>
        <v>No</v>
      </c>
      <c r="AI2680" s="8" t="str">
        <f ca="1">IFERROR(__xludf.DUMMYFUNCTION("""COMPUTED_VALUE"""),"No")</f>
        <v>No</v>
      </c>
      <c r="AJ2680" s="8"/>
      <c r="AK2680" s="8" t="str">
        <f ca="1">IFERROR(__xludf.DUMMYFUNCTION("""COMPUTED_VALUE"""),"No")</f>
        <v>No</v>
      </c>
      <c r="AL2680" s="8" t="str">
        <f ca="1">IFERROR(__xludf.DUMMYFUNCTION("""COMPUTED_VALUE"""),"No")</f>
        <v>No</v>
      </c>
      <c r="AM2680" s="8"/>
      <c r="AN2680" s="8"/>
      <c r="AO2680" s="8" t="str">
        <f ca="1">IFERROR(__xludf.DUMMYFUNCTION("""COMPUTED_VALUE"""),"No")</f>
        <v>No</v>
      </c>
      <c r="AP2680" s="8"/>
      <c r="AQ2680" s="8" t="str">
        <f ca="1">IFERROR(__xludf.DUMMYFUNCTION("""COMPUTED_VALUE"""),"Unknown")</f>
        <v>Unknown</v>
      </c>
      <c r="AR2680" s="8" t="str">
        <f ca="1">IFERROR(__xludf.DUMMYFUNCTION("""COMPUTED_VALUE"""),"NA")</f>
        <v>NA</v>
      </c>
      <c r="AS2680" s="8">
        <f ca="1">IFERROR(__xludf.DUMMYFUNCTION("""COMPUTED_VALUE"""),5)</f>
        <v>5</v>
      </c>
      <c r="AT2680" s="8"/>
      <c r="AU2680" s="8">
        <f ca="1">IFERROR(__xludf.DUMMYFUNCTION("""COMPUTED_VALUE"""),39.857296)</f>
        <v>39.857295999999998</v>
      </c>
      <c r="AV2680" s="8">
        <f ca="1">IFERROR(__xludf.DUMMYFUNCTION("""COMPUTED_VALUE"""),-82.987359)</f>
        <v>-82.987358999999998</v>
      </c>
      <c r="AW2680" s="8"/>
      <c r="AX2680" s="8">
        <f ca="1">IFERROR(__xludf.DUMMYFUNCTION("""COMPUTED_VALUE"""),43207)</f>
        <v>43207</v>
      </c>
    </row>
    <row r="2681" spans="1:50" ht="135" x14ac:dyDescent="0.2">
      <c r="A2681" s="8" t="str">
        <f ca="1">IFERROR(__xludf.DUMMYFUNCTION("""COMPUTED_VALUE"""),"19920226NYTHB")</f>
        <v>19920226NYTHB</v>
      </c>
      <c r="B2681" s="8">
        <f ca="1">IFERROR(__xludf.DUMMYFUNCTION("""COMPUTED_VALUE"""),2)</f>
        <v>2</v>
      </c>
      <c r="C2681" s="8">
        <f ca="1">IFERROR(__xludf.DUMMYFUNCTION("""COMPUTED_VALUE"""),26)</f>
        <v>26</v>
      </c>
      <c r="D2681" s="8">
        <f ca="1">IFERROR(__xludf.DUMMYFUNCTION("""COMPUTED_VALUE"""),1992)</f>
        <v>1992</v>
      </c>
      <c r="E2681" s="9">
        <f ca="1">IFERROR(__xludf.DUMMYFUNCTION("""COMPUTED_VALUE"""),33660)</f>
        <v>33660</v>
      </c>
      <c r="F2681" s="8" t="str">
        <f ca="1">IFERROR(__xludf.DUMMYFUNCTION("""COMPUTED_VALUE"""),"Thomas Jefferson High School")</f>
        <v>Thomas Jefferson High School</v>
      </c>
      <c r="G2681" s="8">
        <f ca="1">IFERROR(__xludf.DUMMYFUNCTION("""COMPUTED_VALUE"""),2)</f>
        <v>2</v>
      </c>
      <c r="H2681" s="8">
        <f ca="1">IFERROR(__xludf.DUMMYFUNCTION("""COMPUTED_VALUE"""),0)</f>
        <v>0</v>
      </c>
      <c r="I2681" s="8">
        <f ca="1">IFERROR(__xludf.DUMMYFUNCTION("""COMPUTED_VALUE"""),2)</f>
        <v>2</v>
      </c>
      <c r="J2681" s="8">
        <f ca="1">IFERROR(__xludf.DUMMYFUNCTION("""COMPUTED_VALUE"""),0)</f>
        <v>0</v>
      </c>
      <c r="K2681" s="10" t="str">
        <f ca="1">IFERROR(__xludf.DUMMYFUNCTION("""COMPUTED_VALUE"""),"https://www.nytimes.com/1992/02/27/nyregion/2-teen-agers-shot-to-death-in-a-brooklyn-school.html")</f>
        <v>https://www.nytimes.com/1992/02/27/nyregion/2-teen-agers-shot-to-death-in-a-brooklyn-school.html</v>
      </c>
      <c r="L2681" s="8"/>
      <c r="M2681" s="8"/>
      <c r="N2681" s="8">
        <f ca="1">IFERROR(__xludf.DUMMYFUNCTION("""COMPUTED_VALUE"""),2)</f>
        <v>2</v>
      </c>
      <c r="O2681" s="8" t="str">
        <f ca="1">IFERROR(__xludf.DUMMYFUNCTION("""COMPUTED_VALUE"""),"Winter")</f>
        <v>Winter</v>
      </c>
      <c r="P2681" s="8" t="str">
        <f ca="1">IFERROR(__xludf.DUMMYFUNCTION("""COMPUTED_VALUE"""),"Brooklyn")</f>
        <v>Brooklyn</v>
      </c>
      <c r="Q2681" s="8" t="str">
        <f ca="1">IFERROR(__xludf.DUMMYFUNCTION("""COMPUTED_VALUE"""),"NY")</f>
        <v>NY</v>
      </c>
      <c r="R2681" s="8" t="str">
        <f ca="1">IFERROR(__xludf.DUMMYFUNCTION("""COMPUTED_VALUE"""),"High")</f>
        <v>High</v>
      </c>
      <c r="S2681" s="8" t="str">
        <f ca="1">IFERROR(__xludf.DUMMYFUNCTION("""COMPUTED_VALUE"""),"Hallway")</f>
        <v>Hallway</v>
      </c>
      <c r="T2681" s="8" t="str">
        <f ca="1">IFERROR(__xludf.DUMMYFUNCTION("""COMPUTED_VALUE"""),"Inside School Building")</f>
        <v>Inside School Building</v>
      </c>
      <c r="U2681" s="8" t="str">
        <f ca="1">IFERROR(__xludf.DUMMYFUNCTION("""COMPUTED_VALUE"""),"Yes")</f>
        <v>Yes</v>
      </c>
      <c r="V2681" s="8" t="str">
        <f ca="1">IFERROR(__xludf.DUMMYFUNCTION("""COMPUTED_VALUE"""),"Morning Classes")</f>
        <v>Morning Classes</v>
      </c>
      <c r="W2681" s="11">
        <f ca="1">IFERROR(__xludf.DUMMYFUNCTION("""COMPUTED_VALUE"""),0.361111111111111)</f>
        <v>0.36111111111111099</v>
      </c>
      <c r="X2681" s="8">
        <f ca="1">IFERROR(__xludf.DUMMYFUNCTION("""COMPUTED_VALUE"""),1)</f>
        <v>1</v>
      </c>
      <c r="Y2681" s="12" t="str">
        <f ca="1">IFERROR(__xludf.DUMMYFUNCTION("""COMPUTED_VALUE"""),"Shots fired during fight in hallway")</f>
        <v>Shots fired during fight in hallway</v>
      </c>
      <c r="Z2681" s="12" t="str">
        <f ca="1">IFERROR(__xludf.DUMMYFUNCTION("""COMPUTED_VALUE"""),"Shooter fired at two victims in the hallway of the high school during a dispute. Two police officers were approximately 15 feet away. Shooter ran from the scene and was arrested out. Shooter and victim had been arrested for previous armed robbery and only"&amp;" the shooter had been charged creating ongoing dispute. Shooter obtained the gun from a friend the morning of the shooting. This was the second shooting inside the school in 3 months and police officers were assigned to the school at the time of the shoot"&amp;"ing.")</f>
        <v>Shooter fired at two victims in the hallway of the high school during a dispute. Two police officers were approximately 15 feet away. Shooter ran from the scene and was arrested out. Shooter and victim had been arrested for previous armed robbery and only the shooter had been charged creating ongoing dispute. Shooter obtained the gun from a friend the morning of the shooting. This was the second shooting inside the school in 3 months and police officers were assigned to the school at the time of the shooting.</v>
      </c>
      <c r="AA2681" s="8" t="str">
        <f ca="1">IFERROR(__xludf.DUMMYFUNCTION("""COMPUTED_VALUE"""),"Escalation of Dispute")</f>
        <v>Escalation of Dispute</v>
      </c>
      <c r="AB2681" s="8"/>
      <c r="AC2681" s="8"/>
      <c r="AD2681" s="8" t="str">
        <f ca="1">IFERROR(__xludf.DUMMYFUNCTION("""COMPUTED_VALUE"""),"Victims Targeted")</f>
        <v>Victims Targeted</v>
      </c>
      <c r="AE2681" s="8" t="str">
        <f ca="1">IFERROR(__xludf.DUMMYFUNCTION("""COMPUTED_VALUE"""),"No")</f>
        <v>No</v>
      </c>
      <c r="AF2681" s="8"/>
      <c r="AG2681" s="8" t="str">
        <f ca="1">IFERROR(__xludf.DUMMYFUNCTION("""COMPUTED_VALUE"""),"No")</f>
        <v>No</v>
      </c>
      <c r="AH2681" s="8" t="str">
        <f ca="1">IFERROR(__xludf.DUMMYFUNCTION("""COMPUTED_VALUE"""),"No")</f>
        <v>No</v>
      </c>
      <c r="AI2681" s="8" t="str">
        <f ca="1">IFERROR(__xludf.DUMMYFUNCTION("""COMPUTED_VALUE"""),"No")</f>
        <v>No</v>
      </c>
      <c r="AJ2681" s="8"/>
      <c r="AK2681" s="8" t="str">
        <f ca="1">IFERROR(__xludf.DUMMYFUNCTION("""COMPUTED_VALUE"""),"No")</f>
        <v>No</v>
      </c>
      <c r="AL2681" s="8" t="str">
        <f ca="1">IFERROR(__xludf.DUMMYFUNCTION("""COMPUTED_VALUE"""),"No")</f>
        <v>No</v>
      </c>
      <c r="AM2681" s="8"/>
      <c r="AN2681" s="8"/>
      <c r="AO2681" s="8" t="str">
        <f ca="1">IFERROR(__xludf.DUMMYFUNCTION("""COMPUTED_VALUE"""),"No")</f>
        <v>No</v>
      </c>
      <c r="AP2681" s="8"/>
      <c r="AQ2681" s="8" t="str">
        <f ca="1">IFERROR(__xludf.DUMMYFUNCTION("""COMPUTED_VALUE"""),"Unknown")</f>
        <v>Unknown</v>
      </c>
      <c r="AR2681" s="8" t="str">
        <f ca="1">IFERROR(__xludf.DUMMYFUNCTION("""COMPUTED_VALUE"""),"NA")</f>
        <v>NA</v>
      </c>
      <c r="AS2681" s="8">
        <f ca="1">IFERROR(__xludf.DUMMYFUNCTION("""COMPUTED_VALUE"""),1)</f>
        <v>1</v>
      </c>
      <c r="AT2681" s="8"/>
      <c r="AU2681" s="8">
        <f ca="1">IFERROR(__xludf.DUMMYFUNCTION("""COMPUTED_VALUE"""),40.666764)</f>
        <v>40.666764000000001</v>
      </c>
      <c r="AV2681" s="8">
        <f ca="1">IFERROR(__xludf.DUMMYFUNCTION("""COMPUTED_VALUE"""),-73.895235)</f>
        <v>-73.895235</v>
      </c>
      <c r="AW2681" s="8"/>
      <c r="AX2681" s="8">
        <f ca="1">IFERROR(__xludf.DUMMYFUNCTION("""COMPUTED_VALUE"""),11207)</f>
        <v>11207</v>
      </c>
    </row>
    <row r="2682" spans="1:50" ht="75" x14ac:dyDescent="0.2">
      <c r="A2682" s="8" t="str">
        <f ca="1">IFERROR(__xludf.DUMMYFUNCTION("""COMPUTED_VALUE"""),"19920224MDROB")</f>
        <v>19920224MDROB</v>
      </c>
      <c r="B2682" s="8">
        <f ca="1">IFERROR(__xludf.DUMMYFUNCTION("""COMPUTED_VALUE"""),2)</f>
        <v>2</v>
      </c>
      <c r="C2682" s="8">
        <f ca="1">IFERROR(__xludf.DUMMYFUNCTION("""COMPUTED_VALUE"""),24)</f>
        <v>24</v>
      </c>
      <c r="D2682" s="8">
        <f ca="1">IFERROR(__xludf.DUMMYFUNCTION("""COMPUTED_VALUE"""),1992)</f>
        <v>1992</v>
      </c>
      <c r="E2682" s="9">
        <f ca="1">IFERROR(__xludf.DUMMYFUNCTION("""COMPUTED_VALUE"""),33658)</f>
        <v>33658</v>
      </c>
      <c r="F2682" s="8" t="str">
        <f ca="1">IFERROR(__xludf.DUMMYFUNCTION("""COMPUTED_VALUE"""),"Rolland Park Elementary Middle School")</f>
        <v>Rolland Park Elementary Middle School</v>
      </c>
      <c r="G2682" s="8">
        <f ca="1">IFERROR(__xludf.DUMMYFUNCTION("""COMPUTED_VALUE"""),0)</f>
        <v>0</v>
      </c>
      <c r="H2682" s="8">
        <f ca="1">IFERROR(__xludf.DUMMYFUNCTION("""COMPUTED_VALUE"""),1)</f>
        <v>1</v>
      </c>
      <c r="I2682" s="8">
        <f ca="1">IFERROR(__xludf.DUMMYFUNCTION("""COMPUTED_VALUE"""),1)</f>
        <v>1</v>
      </c>
      <c r="J2682" s="8">
        <f ca="1">IFERROR(__xludf.DUMMYFUNCTION("""COMPUTED_VALUE"""),0)</f>
        <v>0</v>
      </c>
      <c r="K2682" s="8" t="str">
        <f ca="1">IFERROR(__xludf.DUMMYFUNCTION("""COMPUTED_VALUE"""),"https://www.newspapers.com/image/375921947/?terms=peter%20adams%20baltimore%20shooting&amp;match=1
https://www.newspapers.com/image/158883153/?terms=school%20shooting%20pennsylvania&amp;match=1")</f>
        <v>https://www.newspapers.com/image/375921947/?terms=peter%20adams%20baltimore%20shooting&amp;match=1
https://www.newspapers.com/image/158883153/?terms=school%20shooting%20pennsylvania&amp;match=1</v>
      </c>
      <c r="L2682" s="8"/>
      <c r="M2682" s="8" t="str">
        <f ca="1">IFERROR(__xludf.DUMMYFUNCTION("""COMPUTED_VALUE"""),"Local")</f>
        <v>Local</v>
      </c>
      <c r="N2682" s="8">
        <f ca="1">IFERROR(__xludf.DUMMYFUNCTION("""COMPUTED_VALUE"""),4)</f>
        <v>4</v>
      </c>
      <c r="O2682" s="8" t="str">
        <f ca="1">IFERROR(__xludf.DUMMYFUNCTION("""COMPUTED_VALUE"""),"Winter")</f>
        <v>Winter</v>
      </c>
      <c r="P2682" s="8" t="str">
        <f ca="1">IFERROR(__xludf.DUMMYFUNCTION("""COMPUTED_VALUE"""),"Baltimore")</f>
        <v>Baltimore</v>
      </c>
      <c r="Q2682" s="8" t="str">
        <f ca="1">IFERROR(__xludf.DUMMYFUNCTION("""COMPUTED_VALUE"""),"MD")</f>
        <v>MD</v>
      </c>
      <c r="R2682" s="8" t="str">
        <f ca="1">IFERROR(__xludf.DUMMYFUNCTION("""COMPUTED_VALUE"""),"K-8")</f>
        <v>K-8</v>
      </c>
      <c r="S2682" s="8" t="str">
        <f ca="1">IFERROR(__xludf.DUMMYFUNCTION("""COMPUTED_VALUE"""),"Office")</f>
        <v>Office</v>
      </c>
      <c r="T2682" s="8" t="str">
        <f ca="1">IFERROR(__xludf.DUMMYFUNCTION("""COMPUTED_VALUE"""),"Inside School Building")</f>
        <v>Inside School Building</v>
      </c>
      <c r="U2682" s="8" t="str">
        <f ca="1">IFERROR(__xludf.DUMMYFUNCTION("""COMPUTED_VALUE"""),"Yes")</f>
        <v>Yes</v>
      </c>
      <c r="V2682" s="8" t="str">
        <f ca="1">IFERROR(__xludf.DUMMYFUNCTION("""COMPUTED_VALUE"""),"Morning Classes")</f>
        <v>Morning Classes</v>
      </c>
      <c r="W2682" s="8"/>
      <c r="X2682" s="8">
        <f ca="1">IFERROR(__xludf.DUMMYFUNCTION("""COMPUTED_VALUE"""),1)</f>
        <v>1</v>
      </c>
      <c r="Y2682" s="12" t="str">
        <f ca="1">IFERROR(__xludf.DUMMYFUNCTION("""COMPUTED_VALUE"""),"Student was caught with beeper, shot school police officer during search in the office")</f>
        <v>Student was caught with beeper, shot school police officer during search in the office</v>
      </c>
      <c r="Z2682" s="12" t="str">
        <f ca="1">IFERROR(__xludf.DUMMYFUNCTION("""COMPUTED_VALUE"""),"7th grader was carrying a beeper at school. When the school police officer noticed this and took him to the office, he shot the officer. 15-year-olds student had a .22 pistol and cocaine. Charged as adult with attempted murder and sentenced to 20 years.")</f>
        <v>7th grader was carrying a beeper at school. When the school police officer noticed this and took him to the office, he shot the officer. 15-year-olds student had a .22 pistol and cocaine. Charged as adult with attempted murder and sentenced to 20 years.</v>
      </c>
      <c r="AA2682" s="8" t="str">
        <f ca="1">IFERROR(__xludf.DUMMYFUNCTION("""COMPUTED_VALUE"""),"Illegal Activity")</f>
        <v>Illegal Activity</v>
      </c>
      <c r="AB2682" s="8"/>
      <c r="AC2682" s="8" t="str">
        <f ca="1">IFERROR(__xludf.DUMMYFUNCTION("""COMPUTED_VALUE"""),"Yes")</f>
        <v>Yes</v>
      </c>
      <c r="AD2682" s="8" t="str">
        <f ca="1">IFERROR(__xludf.DUMMYFUNCTION("""COMPUTED_VALUE"""),"Victims Targeted")</f>
        <v>Victims Targeted</v>
      </c>
      <c r="AE2682" s="8" t="str">
        <f ca="1">IFERROR(__xludf.DUMMYFUNCTION("""COMPUTED_VALUE"""),"No")</f>
        <v>No</v>
      </c>
      <c r="AF2682" s="8"/>
      <c r="AG2682" s="8" t="str">
        <f ca="1">IFERROR(__xludf.DUMMYFUNCTION("""COMPUTED_VALUE"""),"No")</f>
        <v>No</v>
      </c>
      <c r="AH2682" s="8" t="str">
        <f ca="1">IFERROR(__xludf.DUMMYFUNCTION("""COMPUTED_VALUE"""),"No")</f>
        <v>No</v>
      </c>
      <c r="AI2682" s="8" t="str">
        <f ca="1">IFERROR(__xludf.DUMMYFUNCTION("""COMPUTED_VALUE"""),"No")</f>
        <v>No</v>
      </c>
      <c r="AJ2682" s="8" t="str">
        <f ca="1">IFERROR(__xludf.DUMMYFUNCTION("""COMPUTED_VALUE"""),"No")</f>
        <v>No</v>
      </c>
      <c r="AK2682" s="8" t="str">
        <f ca="1">IFERROR(__xludf.DUMMYFUNCTION("""COMPUTED_VALUE"""),"No")</f>
        <v>No</v>
      </c>
      <c r="AL2682" s="8" t="str">
        <f ca="1">IFERROR(__xludf.DUMMYFUNCTION("""COMPUTED_VALUE"""),"No")</f>
        <v>No</v>
      </c>
      <c r="AM2682" s="8" t="str">
        <f ca="1">IFERROR(__xludf.DUMMYFUNCTION("""COMPUTED_VALUE"""),"No")</f>
        <v>No</v>
      </c>
      <c r="AN2682" s="8" t="str">
        <f ca="1">IFERROR(__xludf.DUMMYFUNCTION("""COMPUTED_VALUE"""),"Single Room")</f>
        <v>Single Room</v>
      </c>
      <c r="AO2682" s="8" t="str">
        <f ca="1">IFERROR(__xludf.DUMMYFUNCTION("""COMPUTED_VALUE"""),"No")</f>
        <v>No</v>
      </c>
      <c r="AP2682" s="8" t="str">
        <f ca="1">IFERROR(__xludf.DUMMYFUNCTION("""COMPUTED_VALUE"""),"Yes")</f>
        <v>Yes</v>
      </c>
      <c r="AQ2682" s="8" t="str">
        <f ca="1">IFERROR(__xludf.DUMMYFUNCTION("""COMPUTED_VALUE"""),"Armed Guards")</f>
        <v>Armed Guards</v>
      </c>
      <c r="AR2682" s="8" t="str">
        <f ca="1">IFERROR(__xludf.DUMMYFUNCTION("""COMPUTED_VALUE"""),"Failed")</f>
        <v>Failed</v>
      </c>
      <c r="AS2682" s="8">
        <f ca="1">IFERROR(__xludf.DUMMYFUNCTION("""COMPUTED_VALUE"""),1)</f>
        <v>1</v>
      </c>
      <c r="AT2682" s="8"/>
      <c r="AU2682" s="8">
        <f ca="1">IFERROR(__xludf.DUMMYFUNCTION("""COMPUTED_VALUE"""),39.357395)</f>
        <v>39.357394999999997</v>
      </c>
      <c r="AV2682" s="8">
        <f ca="1">IFERROR(__xludf.DUMMYFUNCTION("""COMPUTED_VALUE"""),-76.634233)</f>
        <v>-76.634232999999995</v>
      </c>
      <c r="AW2682" s="8"/>
      <c r="AX2682" s="8">
        <f ca="1">IFERROR(__xludf.DUMMYFUNCTION("""COMPUTED_VALUE"""),21210)</f>
        <v>21210</v>
      </c>
    </row>
    <row r="2683" spans="1:50" ht="60" x14ac:dyDescent="0.2">
      <c r="A2683" s="8" t="str">
        <f ca="1">IFERROR(__xludf.DUMMYFUNCTION("""COMPUTED_VALUE"""),"19920207VABON")</f>
        <v>19920207VABON</v>
      </c>
      <c r="B2683" s="8">
        <f ca="1">IFERROR(__xludf.DUMMYFUNCTION("""COMPUTED_VALUE"""),2)</f>
        <v>2</v>
      </c>
      <c r="C2683" s="8">
        <f ca="1">IFERROR(__xludf.DUMMYFUNCTION("""COMPUTED_VALUE"""),7)</f>
        <v>7</v>
      </c>
      <c r="D2683" s="8">
        <f ca="1">IFERROR(__xludf.DUMMYFUNCTION("""COMPUTED_VALUE"""),1992)</f>
        <v>1992</v>
      </c>
      <c r="E2683" s="9">
        <f ca="1">IFERROR(__xludf.DUMMYFUNCTION("""COMPUTED_VALUE"""),33641)</f>
        <v>33641</v>
      </c>
      <c r="F2683" s="8" t="str">
        <f ca="1">IFERROR(__xludf.DUMMYFUNCTION("""COMPUTED_VALUE"""),"Booker T. Washington High School")</f>
        <v>Booker T. Washington High School</v>
      </c>
      <c r="G2683" s="8">
        <f ca="1">IFERROR(__xludf.DUMMYFUNCTION("""COMPUTED_VALUE"""),1)</f>
        <v>1</v>
      </c>
      <c r="H2683" s="8">
        <f ca="1">IFERROR(__xludf.DUMMYFUNCTION("""COMPUTED_VALUE"""),1)</f>
        <v>1</v>
      </c>
      <c r="I2683" s="8">
        <f ca="1">IFERROR(__xludf.DUMMYFUNCTION("""COMPUTED_VALUE"""),2)</f>
        <v>2</v>
      </c>
      <c r="J2683" s="8">
        <f ca="1">IFERROR(__xludf.DUMMYFUNCTION("""COMPUTED_VALUE"""),0)</f>
        <v>0</v>
      </c>
      <c r="K2683" s="10" t="str">
        <f ca="1">IFERROR(__xludf.DUMMYFUNCTION("""COMPUTED_VALUE"""),"http://articles.dailypress.com/1992-02-08/news/9202080051_1_place-on-school-property-critical-condition-school-officials")</f>
        <v>http://articles.dailypress.com/1992-02-08/news/9202080051_1_place-on-school-property-critical-condition-school-officials</v>
      </c>
      <c r="L2683" s="8"/>
      <c r="M2683" s="8"/>
      <c r="N2683" s="8">
        <f ca="1">IFERROR(__xludf.DUMMYFUNCTION("""COMPUTED_VALUE"""),2)</f>
        <v>2</v>
      </c>
      <c r="O2683" s="8" t="str">
        <f ca="1">IFERROR(__xludf.DUMMYFUNCTION("""COMPUTED_VALUE"""),"Winter")</f>
        <v>Winter</v>
      </c>
      <c r="P2683" s="8" t="str">
        <f ca="1">IFERROR(__xludf.DUMMYFUNCTION("""COMPUTED_VALUE"""),"Norfolk")</f>
        <v>Norfolk</v>
      </c>
      <c r="Q2683" s="8" t="str">
        <f ca="1">IFERROR(__xludf.DUMMYFUNCTION("""COMPUTED_VALUE"""),"VA")</f>
        <v>VA</v>
      </c>
      <c r="R2683" s="8" t="str">
        <f ca="1">IFERROR(__xludf.DUMMYFUNCTION("""COMPUTED_VALUE"""),"High")</f>
        <v>High</v>
      </c>
      <c r="S2683" s="8" t="str">
        <f ca="1">IFERROR(__xludf.DUMMYFUNCTION("""COMPUTED_VALUE"""),"Beside Building")</f>
        <v>Beside Building</v>
      </c>
      <c r="T2683" s="8" t="str">
        <f ca="1">IFERROR(__xludf.DUMMYFUNCTION("""COMPUTED_VALUE"""),"Outside on School Property")</f>
        <v>Outside on School Property</v>
      </c>
      <c r="U2683" s="8" t="str">
        <f ca="1">IFERROR(__xludf.DUMMYFUNCTION("""COMPUTED_VALUE"""),"Yes")</f>
        <v>Yes</v>
      </c>
      <c r="V2683" s="8" t="str">
        <f ca="1">IFERROR(__xludf.DUMMYFUNCTION("""COMPUTED_VALUE"""),"Lunch")</f>
        <v>Lunch</v>
      </c>
      <c r="W2683" s="11">
        <f ca="1">IFERROR(__xludf.DUMMYFUNCTION("""COMPUTED_VALUE"""),0.532638888888888)</f>
        <v>0.532638888888888</v>
      </c>
      <c r="X2683" s="8">
        <f ca="1">IFERROR(__xludf.DUMMYFUNCTION("""COMPUTED_VALUE"""),1)</f>
        <v>1</v>
      </c>
      <c r="Y2683" s="12" t="str">
        <f ca="1">IFERROR(__xludf.DUMMYFUNCTION("""COMPUTED_VALUE"""),"Argument over coat stolen in prior burglary")</f>
        <v>Argument over coat stolen in prior burglary</v>
      </c>
      <c r="Z2683" s="12" t="str">
        <f ca="1">IFERROR(__xludf.DUMMYFUNCTION("""COMPUTED_VALUE"""),"Two teenage students confronted a man outside the school wearing a coat that they believed was stolen in a prior burglary. The unknown male pulled out an automatic pistol and shot both of them.")</f>
        <v>Two teenage students confronted a man outside the school wearing a coat that they believed was stolen in a prior burglary. The unknown male pulled out an automatic pistol and shot both of them.</v>
      </c>
      <c r="AA2683" s="8" t="str">
        <f ca="1">IFERROR(__xludf.DUMMYFUNCTION("""COMPUTED_VALUE"""),"Escalation of Dispute")</f>
        <v>Escalation of Dispute</v>
      </c>
      <c r="AB2683" s="8"/>
      <c r="AC2683" s="8"/>
      <c r="AD2683" s="8" t="str">
        <f ca="1">IFERROR(__xludf.DUMMYFUNCTION("""COMPUTED_VALUE"""),"Victims Targeted")</f>
        <v>Victims Targeted</v>
      </c>
      <c r="AE2683" s="8" t="str">
        <f ca="1">IFERROR(__xludf.DUMMYFUNCTION("""COMPUTED_VALUE"""),"No")</f>
        <v>No</v>
      </c>
      <c r="AF2683" s="8"/>
      <c r="AG2683" s="8" t="str">
        <f ca="1">IFERROR(__xludf.DUMMYFUNCTION("""COMPUTED_VALUE"""),"No")</f>
        <v>No</v>
      </c>
      <c r="AH2683" s="8" t="str">
        <f ca="1">IFERROR(__xludf.DUMMYFUNCTION("""COMPUTED_VALUE"""),"No")</f>
        <v>No</v>
      </c>
      <c r="AI2683" s="8" t="str">
        <f ca="1">IFERROR(__xludf.DUMMYFUNCTION("""COMPUTED_VALUE"""),"No")</f>
        <v>No</v>
      </c>
      <c r="AJ2683" s="8" t="str">
        <f ca="1">IFERROR(__xludf.DUMMYFUNCTION("""COMPUTED_VALUE"""),"No")</f>
        <v>No</v>
      </c>
      <c r="AK2683" s="8" t="str">
        <f ca="1">IFERROR(__xludf.DUMMYFUNCTION("""COMPUTED_VALUE"""),"No")</f>
        <v>No</v>
      </c>
      <c r="AL2683" s="8" t="str">
        <f ca="1">IFERROR(__xludf.DUMMYFUNCTION("""COMPUTED_VALUE"""),"No")</f>
        <v>No</v>
      </c>
      <c r="AM2683" s="8"/>
      <c r="AN2683" s="8"/>
      <c r="AO2683" s="8" t="str">
        <f ca="1">IFERROR(__xludf.DUMMYFUNCTION("""COMPUTED_VALUE"""),"No")</f>
        <v>No</v>
      </c>
      <c r="AP2683" s="8"/>
      <c r="AQ2683" s="8" t="str">
        <f ca="1">IFERROR(__xludf.DUMMYFUNCTION("""COMPUTED_VALUE"""),"Unknown")</f>
        <v>Unknown</v>
      </c>
      <c r="AR2683" s="8" t="str">
        <f ca="1">IFERROR(__xludf.DUMMYFUNCTION("""COMPUTED_VALUE"""),"NA")</f>
        <v>NA</v>
      </c>
      <c r="AS2683" s="8"/>
      <c r="AT2683" s="8"/>
      <c r="AU2683" s="8">
        <f ca="1">IFERROR(__xludf.DUMMYFUNCTION("""COMPUTED_VALUE"""),36.853532)</f>
        <v>36.853532000000001</v>
      </c>
      <c r="AV2683" s="8">
        <f ca="1">IFERROR(__xludf.DUMMYFUNCTION("""COMPUTED_VALUE"""),-76.266775)</f>
        <v>-76.266774999999996</v>
      </c>
      <c r="AW2683" s="8"/>
      <c r="AX2683" s="8">
        <f ca="1">IFERROR(__xludf.DUMMYFUNCTION("""COMPUTED_VALUE"""),23504)</f>
        <v>23504</v>
      </c>
    </row>
    <row r="2684" spans="1:50" ht="30" x14ac:dyDescent="0.2">
      <c r="A2684" s="8" t="str">
        <f ca="1">IFERROR(__xludf.DUMMYFUNCTION("""COMPUTED_VALUE"""),"19920206OKDOO")</f>
        <v>19920206OKDOO</v>
      </c>
      <c r="B2684" s="8">
        <f ca="1">IFERROR(__xludf.DUMMYFUNCTION("""COMPUTED_VALUE"""),2)</f>
        <v>2</v>
      </c>
      <c r="C2684" s="8">
        <f ca="1">IFERROR(__xludf.DUMMYFUNCTION("""COMPUTED_VALUE"""),6)</f>
        <v>6</v>
      </c>
      <c r="D2684" s="8">
        <f ca="1">IFERROR(__xludf.DUMMYFUNCTION("""COMPUTED_VALUE"""),1992)</f>
        <v>1992</v>
      </c>
      <c r="E2684" s="9">
        <f ca="1">IFERROR(__xludf.DUMMYFUNCTION("""COMPUTED_VALUE"""),33640)</f>
        <v>33640</v>
      </c>
      <c r="F2684" s="8" t="str">
        <f ca="1">IFERROR(__xludf.DUMMYFUNCTION("""COMPUTED_VALUE"""),"Douglass High School")</f>
        <v>Douglass High School</v>
      </c>
      <c r="G2684" s="8">
        <f ca="1">IFERROR(__xludf.DUMMYFUNCTION("""COMPUTED_VALUE"""),1)</f>
        <v>1</v>
      </c>
      <c r="H2684" s="8">
        <f ca="1">IFERROR(__xludf.DUMMYFUNCTION("""COMPUTED_VALUE"""),0)</f>
        <v>0</v>
      </c>
      <c r="I2684" s="8">
        <f ca="1">IFERROR(__xludf.DUMMYFUNCTION("""COMPUTED_VALUE"""),1)</f>
        <v>1</v>
      </c>
      <c r="J2684" s="8">
        <f ca="1">IFERROR(__xludf.DUMMYFUNCTION("""COMPUTED_VALUE"""),0)</f>
        <v>0</v>
      </c>
      <c r="K2684" s="10" t="str">
        <f ca="1">IFERROR(__xludf.DUMMYFUNCTION("""COMPUTED_VALUE"""),"https://newsok.com/article/2384331/city-campuses-close-after-shooting-death-security-searches-stepped-up")</f>
        <v>https://newsok.com/article/2384331/city-campuses-close-after-shooting-death-security-searches-stepped-up</v>
      </c>
      <c r="L2684" s="8"/>
      <c r="M2684" s="8"/>
      <c r="N2684" s="8">
        <f ca="1">IFERROR(__xludf.DUMMYFUNCTION("""COMPUTED_VALUE"""),2)</f>
        <v>2</v>
      </c>
      <c r="O2684" s="8" t="str">
        <f ca="1">IFERROR(__xludf.DUMMYFUNCTION("""COMPUTED_VALUE"""),"Winter")</f>
        <v>Winter</v>
      </c>
      <c r="P2684" s="8" t="str">
        <f ca="1">IFERROR(__xludf.DUMMYFUNCTION("""COMPUTED_VALUE"""),"Oklahoma City")</f>
        <v>Oklahoma City</v>
      </c>
      <c r="Q2684" s="8" t="str">
        <f ca="1">IFERROR(__xludf.DUMMYFUNCTION("""COMPUTED_VALUE"""),"OK")</f>
        <v>OK</v>
      </c>
      <c r="R2684" s="8" t="str">
        <f ca="1">IFERROR(__xludf.DUMMYFUNCTION("""COMPUTED_VALUE"""),"High")</f>
        <v>High</v>
      </c>
      <c r="S2684" s="8" t="str">
        <f ca="1">IFERROR(__xludf.DUMMYFUNCTION("""COMPUTED_VALUE"""),"Inside School Building")</f>
        <v>Inside School Building</v>
      </c>
      <c r="T2684" s="8" t="str">
        <f ca="1">IFERROR(__xludf.DUMMYFUNCTION("""COMPUTED_VALUE"""),"Inside School Building")</f>
        <v>Inside School Building</v>
      </c>
      <c r="U2684" s="8" t="str">
        <f ca="1">IFERROR(__xludf.DUMMYFUNCTION("""COMPUTED_VALUE"""),"Yes")</f>
        <v>Yes</v>
      </c>
      <c r="V2684" s="8" t="str">
        <f ca="1">IFERROR(__xludf.DUMMYFUNCTION("""COMPUTED_VALUE"""),"Afternoon Classes")</f>
        <v>Afternoon Classes</v>
      </c>
      <c r="W2684" s="11">
        <f ca="1">IFERROR(__xludf.DUMMYFUNCTION("""COMPUTED_VALUE"""),0.597222222222222)</f>
        <v>0.59722222222222199</v>
      </c>
      <c r="X2684" s="8">
        <f ca="1">IFERROR(__xludf.DUMMYFUNCTION("""COMPUTED_VALUE"""),1)</f>
        <v>1</v>
      </c>
      <c r="Y2684" s="12" t="str">
        <f ca="1">IFERROR(__xludf.DUMMYFUNCTION("""COMPUTED_VALUE"""),"Shot victim due to jealousy over a girl")</f>
        <v>Shot victim due to jealousy over a girl</v>
      </c>
      <c r="Z2684" s="12" t="str">
        <f ca="1">IFERROR(__xludf.DUMMYFUNCTION("""COMPUTED_VALUE"""),"Suspect shoots victim - on going problems between the two - possibly over a girl")</f>
        <v>Suspect shoots victim - on going problems between the two - possibly over a girl</v>
      </c>
      <c r="AA2684" s="8" t="str">
        <f ca="1">IFERROR(__xludf.DUMMYFUNCTION("""COMPUTED_VALUE"""),"Escalation of Dispute")</f>
        <v>Escalation of Dispute</v>
      </c>
      <c r="AB2684" s="8"/>
      <c r="AC2684" s="8"/>
      <c r="AD2684" s="8" t="str">
        <f ca="1">IFERROR(__xludf.DUMMYFUNCTION("""COMPUTED_VALUE"""),"Victims Targeted")</f>
        <v>Victims Targeted</v>
      </c>
      <c r="AE2684" s="8" t="str">
        <f ca="1">IFERROR(__xludf.DUMMYFUNCTION("""COMPUTED_VALUE"""),"No")</f>
        <v>No</v>
      </c>
      <c r="AF2684" s="8"/>
      <c r="AG2684" s="8" t="str">
        <f ca="1">IFERROR(__xludf.DUMMYFUNCTION("""COMPUTED_VALUE"""),"No")</f>
        <v>No</v>
      </c>
      <c r="AH2684" s="8" t="str">
        <f ca="1">IFERROR(__xludf.DUMMYFUNCTION("""COMPUTED_VALUE"""),"No")</f>
        <v>No</v>
      </c>
      <c r="AI2684" s="8" t="str">
        <f ca="1">IFERROR(__xludf.DUMMYFUNCTION("""COMPUTED_VALUE"""),"No")</f>
        <v>No</v>
      </c>
      <c r="AJ2684" s="8" t="str">
        <f ca="1">IFERROR(__xludf.DUMMYFUNCTION("""COMPUTED_VALUE"""),"No")</f>
        <v>No</v>
      </c>
      <c r="AK2684" s="8" t="str">
        <f ca="1">IFERROR(__xludf.DUMMYFUNCTION("""COMPUTED_VALUE"""),"No")</f>
        <v>No</v>
      </c>
      <c r="AL2684" s="8" t="str">
        <f ca="1">IFERROR(__xludf.DUMMYFUNCTION("""COMPUTED_VALUE"""),"No")</f>
        <v>No</v>
      </c>
      <c r="AM2684" s="8"/>
      <c r="AN2684" s="8"/>
      <c r="AO2684" s="8" t="str">
        <f ca="1">IFERROR(__xludf.DUMMYFUNCTION("""COMPUTED_VALUE"""),"No")</f>
        <v>No</v>
      </c>
      <c r="AP2684" s="8"/>
      <c r="AQ2684" s="8" t="str">
        <f ca="1">IFERROR(__xludf.DUMMYFUNCTION("""COMPUTED_VALUE"""),"Unknown")</f>
        <v>Unknown</v>
      </c>
      <c r="AR2684" s="8" t="str">
        <f ca="1">IFERROR(__xludf.DUMMYFUNCTION("""COMPUTED_VALUE"""),"NA")</f>
        <v>NA</v>
      </c>
      <c r="AS2684" s="8">
        <f ca="1">IFERROR(__xludf.DUMMYFUNCTION("""COMPUTED_VALUE"""),1)</f>
        <v>1</v>
      </c>
      <c r="AT2684" s="8"/>
      <c r="AU2684" s="8">
        <f ca="1">IFERROR(__xludf.DUMMYFUNCTION("""COMPUTED_VALUE"""),35.475333)</f>
        <v>35.475332999999999</v>
      </c>
      <c r="AV2684" s="8">
        <f ca="1">IFERROR(__xludf.DUMMYFUNCTION("""COMPUTED_VALUE"""),-97.475325)</f>
        <v>-97.475324999999998</v>
      </c>
      <c r="AW2684" s="8"/>
      <c r="AX2684" s="8">
        <f ca="1">IFERROR(__xludf.DUMMYFUNCTION("""COMPUTED_VALUE"""),73117)</f>
        <v>73117</v>
      </c>
    </row>
    <row r="2685" spans="1:50" ht="60" x14ac:dyDescent="0.2">
      <c r="A2685" s="8" t="str">
        <f ca="1">IFERROR(__xludf.DUMMYFUNCTION("""COMPUTED_VALUE"""),"19920131LAFRG")</f>
        <v>19920131LAFRG</v>
      </c>
      <c r="B2685" s="8">
        <f ca="1">IFERROR(__xludf.DUMMYFUNCTION("""COMPUTED_VALUE"""),1)</f>
        <v>1</v>
      </c>
      <c r="C2685" s="8">
        <f ca="1">IFERROR(__xludf.DUMMYFUNCTION("""COMPUTED_VALUE"""),31)</f>
        <v>31</v>
      </c>
      <c r="D2685" s="8">
        <f ca="1">IFERROR(__xludf.DUMMYFUNCTION("""COMPUTED_VALUE"""),1992)</f>
        <v>1992</v>
      </c>
      <c r="E2685" s="9">
        <f ca="1">IFERROR(__xludf.DUMMYFUNCTION("""COMPUTED_VALUE"""),33634)</f>
        <v>33634</v>
      </c>
      <c r="F2685" s="8" t="str">
        <f ca="1">IFERROR(__xludf.DUMMYFUNCTION("""COMPUTED_VALUE"""),"Francis W. Gregory Junior High School")</f>
        <v>Francis W. Gregory Junior High School</v>
      </c>
      <c r="G2685" s="8">
        <f ca="1">IFERROR(__xludf.DUMMYFUNCTION("""COMPUTED_VALUE"""),0)</f>
        <v>0</v>
      </c>
      <c r="H2685" s="8">
        <f ca="1">IFERROR(__xludf.DUMMYFUNCTION("""COMPUTED_VALUE"""),1)</f>
        <v>1</v>
      </c>
      <c r="I2685" s="8">
        <f ca="1">IFERROR(__xludf.DUMMYFUNCTION("""COMPUTED_VALUE"""),1)</f>
        <v>1</v>
      </c>
      <c r="J2685" s="8">
        <f ca="1">IFERROR(__xludf.DUMMYFUNCTION("""COMPUTED_VALUE"""),0)</f>
        <v>0</v>
      </c>
      <c r="K2685" s="10" t="str">
        <f ca="1">IFERROR(__xludf.DUMMYFUNCTION("""COMPUTED_VALUE"""),"https://www.newspapers.com/image/218234824/?terms=Francis%2BW.%2BGregory%2BJunior%2BHigh%2BSchool%2Bshooting")</f>
        <v>https://www.newspapers.com/image/218234824/?terms=Francis%2BW.%2BGregory%2BJunior%2BHigh%2BSchool%2Bshooting</v>
      </c>
      <c r="L2685" s="8"/>
      <c r="M2685" s="8"/>
      <c r="N2685" s="8">
        <f ca="1">IFERROR(__xludf.DUMMYFUNCTION("""COMPUTED_VALUE"""),2)</f>
        <v>2</v>
      </c>
      <c r="O2685" s="8" t="str">
        <f ca="1">IFERROR(__xludf.DUMMYFUNCTION("""COMPUTED_VALUE"""),"Winter")</f>
        <v>Winter</v>
      </c>
      <c r="P2685" s="8" t="str">
        <f ca="1">IFERROR(__xludf.DUMMYFUNCTION("""COMPUTED_VALUE"""),"Gentilly")</f>
        <v>Gentilly</v>
      </c>
      <c r="Q2685" s="8" t="str">
        <f ca="1">IFERROR(__xludf.DUMMYFUNCTION("""COMPUTED_VALUE"""),"LA")</f>
        <v>LA</v>
      </c>
      <c r="R2685" s="8" t="str">
        <f ca="1">IFERROR(__xludf.DUMMYFUNCTION("""COMPUTED_VALUE"""),"Junior High")</f>
        <v>Junior High</v>
      </c>
      <c r="S2685" s="8" t="str">
        <f ca="1">IFERROR(__xludf.DUMMYFUNCTION("""COMPUTED_VALUE"""),"Hallway")</f>
        <v>Hallway</v>
      </c>
      <c r="T2685" s="8" t="str">
        <f ca="1">IFERROR(__xludf.DUMMYFUNCTION("""COMPUTED_VALUE"""),"Inside School Building")</f>
        <v>Inside School Building</v>
      </c>
      <c r="U2685" s="8" t="str">
        <f ca="1">IFERROR(__xludf.DUMMYFUNCTION("""COMPUTED_VALUE"""),"Yes")</f>
        <v>Yes</v>
      </c>
      <c r="V2685" s="8" t="str">
        <f ca="1">IFERROR(__xludf.DUMMYFUNCTION("""COMPUTED_VALUE"""),"Afternoon Classes")</f>
        <v>Afternoon Classes</v>
      </c>
      <c r="W2685" s="11">
        <f ca="1">IFERROR(__xludf.DUMMYFUNCTION("""COMPUTED_VALUE"""),0.5625)</f>
        <v>0.5625</v>
      </c>
      <c r="X2685" s="8">
        <f ca="1">IFERROR(__xludf.DUMMYFUNCTION("""COMPUTED_VALUE"""),1)</f>
        <v>1</v>
      </c>
      <c r="Y2685" s="12" t="str">
        <f ca="1">IFERROR(__xludf.DUMMYFUNCTION("""COMPUTED_VALUE"""),"Student shot in hallway during a fight with 3 other students")</f>
        <v>Student shot in hallway during a fight with 3 other students</v>
      </c>
      <c r="Z2685" s="12" t="str">
        <f ca="1">IFERROR(__xludf.DUMMYFUNCTION("""COMPUTED_VALUE"""),"7th grade student in the hallway during class was shot during a conflict with three other students. Three suspects involved in shooting fled. 14 and 15 year old were arrested but shooter was not found.")</f>
        <v>7th grade student in the hallway during class was shot during a conflict with three other students. Three suspects involved in shooting fled. 14 and 15 year old were arrested but shooter was not found.</v>
      </c>
      <c r="AA2685" s="8" t="str">
        <f ca="1">IFERROR(__xludf.DUMMYFUNCTION("""COMPUTED_VALUE"""),"Escalation of Dispute")</f>
        <v>Escalation of Dispute</v>
      </c>
      <c r="AB2685" s="8"/>
      <c r="AC2685" s="8"/>
      <c r="AD2685" s="8" t="str">
        <f ca="1">IFERROR(__xludf.DUMMYFUNCTION("""COMPUTED_VALUE"""),"Victims Targeted")</f>
        <v>Victims Targeted</v>
      </c>
      <c r="AE2685" s="8" t="str">
        <f ca="1">IFERROR(__xludf.DUMMYFUNCTION("""COMPUTED_VALUE"""),"Unknown")</f>
        <v>Unknown</v>
      </c>
      <c r="AF2685" s="8"/>
      <c r="AG2685" s="8" t="str">
        <f ca="1">IFERROR(__xludf.DUMMYFUNCTION("""COMPUTED_VALUE"""),"No")</f>
        <v>No</v>
      </c>
      <c r="AH2685" s="8" t="str">
        <f ca="1">IFERROR(__xludf.DUMMYFUNCTION("""COMPUTED_VALUE"""),"No")</f>
        <v>No</v>
      </c>
      <c r="AI2685" s="8" t="str">
        <f ca="1">IFERROR(__xludf.DUMMYFUNCTION("""COMPUTED_VALUE"""),"No")</f>
        <v>No</v>
      </c>
      <c r="AJ2685" s="8" t="str">
        <f ca="1">IFERROR(__xludf.DUMMYFUNCTION("""COMPUTED_VALUE"""),"No")</f>
        <v>No</v>
      </c>
      <c r="AK2685" s="8" t="str">
        <f ca="1">IFERROR(__xludf.DUMMYFUNCTION("""COMPUTED_VALUE"""),"No")</f>
        <v>No</v>
      </c>
      <c r="AL2685" s="8" t="str">
        <f ca="1">IFERROR(__xludf.DUMMYFUNCTION("""COMPUTED_VALUE"""),"No")</f>
        <v>No</v>
      </c>
      <c r="AM2685" s="8"/>
      <c r="AN2685" s="8"/>
      <c r="AO2685" s="8" t="str">
        <f ca="1">IFERROR(__xludf.DUMMYFUNCTION("""COMPUTED_VALUE"""),"No")</f>
        <v>No</v>
      </c>
      <c r="AP2685" s="8"/>
      <c r="AQ2685" s="8" t="str">
        <f ca="1">IFERROR(__xludf.DUMMYFUNCTION("""COMPUTED_VALUE"""),"Unknown")</f>
        <v>Unknown</v>
      </c>
      <c r="AR2685" s="8" t="str">
        <f ca="1">IFERROR(__xludf.DUMMYFUNCTION("""COMPUTED_VALUE"""),"NA")</f>
        <v>NA</v>
      </c>
      <c r="AS2685" s="8"/>
      <c r="AT2685" s="8"/>
      <c r="AU2685" s="8">
        <f ca="1">IFERROR(__xludf.DUMMYFUNCTION("""COMPUTED_VALUE"""),30.002915)</f>
        <v>30.002915000000002</v>
      </c>
      <c r="AV2685" s="8">
        <f ca="1">IFERROR(__xludf.DUMMYFUNCTION("""COMPUTED_VALUE"""),-90.070691)</f>
        <v>-90.070690999999997</v>
      </c>
      <c r="AW2685" s="8"/>
      <c r="AX2685" s="8">
        <f ca="1">IFERROR(__xludf.DUMMYFUNCTION("""COMPUTED_VALUE"""),70122)</f>
        <v>70122</v>
      </c>
    </row>
    <row r="2686" spans="1:50" ht="30" x14ac:dyDescent="0.2">
      <c r="A2686" s="8" t="str">
        <f ca="1">IFERROR(__xludf.DUMMYFUNCTION("""COMPUTED_VALUE"""),"19920128LAFRG")</f>
        <v>19920128LAFRG</v>
      </c>
      <c r="B2686" s="8">
        <f ca="1">IFERROR(__xludf.DUMMYFUNCTION("""COMPUTED_VALUE"""),1)</f>
        <v>1</v>
      </c>
      <c r="C2686" s="8">
        <f ca="1">IFERROR(__xludf.DUMMYFUNCTION("""COMPUTED_VALUE"""),28)</f>
        <v>28</v>
      </c>
      <c r="D2686" s="8">
        <f ca="1">IFERROR(__xludf.DUMMYFUNCTION("""COMPUTED_VALUE"""),1992)</f>
        <v>1992</v>
      </c>
      <c r="E2686" s="9">
        <f ca="1">IFERROR(__xludf.DUMMYFUNCTION("""COMPUTED_VALUE"""),33631)</f>
        <v>33631</v>
      </c>
      <c r="F2686" s="8" t="str">
        <f ca="1">IFERROR(__xludf.DUMMYFUNCTION("""COMPUTED_VALUE"""),"Francis W. Gregory Junior High School")</f>
        <v>Francis W. Gregory Junior High School</v>
      </c>
      <c r="G2686" s="8">
        <f ca="1">IFERROR(__xludf.DUMMYFUNCTION("""COMPUTED_VALUE"""),0)</f>
        <v>0</v>
      </c>
      <c r="H2686" s="8">
        <f ca="1">IFERROR(__xludf.DUMMYFUNCTION("""COMPUTED_VALUE"""),1)</f>
        <v>1</v>
      </c>
      <c r="I2686" s="8">
        <f ca="1">IFERROR(__xludf.DUMMYFUNCTION("""COMPUTED_VALUE"""),1)</f>
        <v>1</v>
      </c>
      <c r="J2686" s="8">
        <f ca="1">IFERROR(__xludf.DUMMYFUNCTION("""COMPUTED_VALUE"""),0)</f>
        <v>0</v>
      </c>
      <c r="K2686" s="10" t="str">
        <f ca="1">IFERROR(__xludf.DUMMYFUNCTION("""COMPUTED_VALUE"""),"https://www.newspapers.com/image/218234824/?terms=Francis%2BW.%2BGregory%2BJunior%2BHigh%2BSchool%2Bshooting")</f>
        <v>https://www.newspapers.com/image/218234824/?terms=Francis%2BW.%2BGregory%2BJunior%2BHigh%2BSchool%2Bshooting</v>
      </c>
      <c r="L2686" s="8"/>
      <c r="M2686" s="8"/>
      <c r="N2686" s="8">
        <f ca="1">IFERROR(__xludf.DUMMYFUNCTION("""COMPUTED_VALUE"""),2)</f>
        <v>2</v>
      </c>
      <c r="O2686" s="8" t="str">
        <f ca="1">IFERROR(__xludf.DUMMYFUNCTION("""COMPUTED_VALUE"""),"Winter")</f>
        <v>Winter</v>
      </c>
      <c r="P2686" s="8" t="str">
        <f ca="1">IFERROR(__xludf.DUMMYFUNCTION("""COMPUTED_VALUE"""),"Gentilly")</f>
        <v>Gentilly</v>
      </c>
      <c r="Q2686" s="8" t="str">
        <f ca="1">IFERROR(__xludf.DUMMYFUNCTION("""COMPUTED_VALUE"""),"LA")</f>
        <v>LA</v>
      </c>
      <c r="R2686" s="8" t="str">
        <f ca="1">IFERROR(__xludf.DUMMYFUNCTION("""COMPUTED_VALUE"""),"Junior High")</f>
        <v>Junior High</v>
      </c>
      <c r="S2686" s="8" t="str">
        <f ca="1">IFERROR(__xludf.DUMMYFUNCTION("""COMPUTED_VALUE"""),"Beside Building")</f>
        <v>Beside Building</v>
      </c>
      <c r="T2686" s="8" t="str">
        <f ca="1">IFERROR(__xludf.DUMMYFUNCTION("""COMPUTED_VALUE"""),"Outside on School Property")</f>
        <v>Outside on School Property</v>
      </c>
      <c r="U2686" s="8"/>
      <c r="V2686" s="8"/>
      <c r="W2686" s="8"/>
      <c r="X2686" s="8">
        <f ca="1">IFERROR(__xludf.DUMMYFUNCTION("""COMPUTED_VALUE"""),1)</f>
        <v>1</v>
      </c>
      <c r="Y2686" s="12" t="str">
        <f ca="1">IFERROR(__xludf.DUMMYFUNCTION("""COMPUTED_VALUE"""),"Shot during robbery behind school")</f>
        <v>Shot during robbery behind school</v>
      </c>
      <c r="Z2686" s="12" t="str">
        <f ca="1">IFERROR(__xludf.DUMMYFUNCTION("""COMPUTED_VALUE"""),"14YOM shot behind the school during attempt to steal his jacket.")</f>
        <v>14YOM shot behind the school during attempt to steal his jacket.</v>
      </c>
      <c r="AA2686" s="8" t="str">
        <f ca="1">IFERROR(__xludf.DUMMYFUNCTION("""COMPUTED_VALUE"""),"Illegal Activity")</f>
        <v>Illegal Activity</v>
      </c>
      <c r="AB2686" s="8"/>
      <c r="AC2686" s="8"/>
      <c r="AD2686" s="8" t="str">
        <f ca="1">IFERROR(__xludf.DUMMYFUNCTION("""COMPUTED_VALUE"""),"Victims Targeted")</f>
        <v>Victims Targeted</v>
      </c>
      <c r="AE2686" s="8" t="str">
        <f ca="1">IFERROR(__xludf.DUMMYFUNCTION("""COMPUTED_VALUE"""),"No")</f>
        <v>No</v>
      </c>
      <c r="AF2686" s="8"/>
      <c r="AG2686" s="8" t="str">
        <f ca="1">IFERROR(__xludf.DUMMYFUNCTION("""COMPUTED_VALUE"""),"No")</f>
        <v>No</v>
      </c>
      <c r="AH2686" s="8" t="str">
        <f ca="1">IFERROR(__xludf.DUMMYFUNCTION("""COMPUTED_VALUE"""),"No")</f>
        <v>No</v>
      </c>
      <c r="AI2686" s="8" t="str">
        <f ca="1">IFERROR(__xludf.DUMMYFUNCTION("""COMPUTED_VALUE"""),"No")</f>
        <v>No</v>
      </c>
      <c r="AJ2686" s="8" t="str">
        <f ca="1">IFERROR(__xludf.DUMMYFUNCTION("""COMPUTED_VALUE"""),"No")</f>
        <v>No</v>
      </c>
      <c r="AK2686" s="8" t="str">
        <f ca="1">IFERROR(__xludf.DUMMYFUNCTION("""COMPUTED_VALUE"""),"No")</f>
        <v>No</v>
      </c>
      <c r="AL2686" s="8" t="str">
        <f ca="1">IFERROR(__xludf.DUMMYFUNCTION("""COMPUTED_VALUE"""),"No")</f>
        <v>No</v>
      </c>
      <c r="AM2686" s="8"/>
      <c r="AN2686" s="8"/>
      <c r="AO2686" s="8" t="str">
        <f ca="1">IFERROR(__xludf.DUMMYFUNCTION("""COMPUTED_VALUE"""),"No")</f>
        <v>No</v>
      </c>
      <c r="AP2686" s="8"/>
      <c r="AQ2686" s="8" t="str">
        <f ca="1">IFERROR(__xludf.DUMMYFUNCTION("""COMPUTED_VALUE"""),"Unknown")</f>
        <v>Unknown</v>
      </c>
      <c r="AR2686" s="8" t="str">
        <f ca="1">IFERROR(__xludf.DUMMYFUNCTION("""COMPUTED_VALUE"""),"NA")</f>
        <v>NA</v>
      </c>
      <c r="AS2686" s="8">
        <f ca="1">IFERROR(__xludf.DUMMYFUNCTION("""COMPUTED_VALUE"""),1)</f>
        <v>1</v>
      </c>
      <c r="AT2686" s="8"/>
      <c r="AU2686" s="8">
        <f ca="1">IFERROR(__xludf.DUMMYFUNCTION("""COMPUTED_VALUE"""),30.002915)</f>
        <v>30.002915000000002</v>
      </c>
      <c r="AV2686" s="8">
        <f ca="1">IFERROR(__xludf.DUMMYFUNCTION("""COMPUTED_VALUE"""),-90.070691)</f>
        <v>-90.070690999999997</v>
      </c>
      <c r="AW2686" s="8"/>
      <c r="AX2686" s="8">
        <f ca="1">IFERROR(__xludf.DUMMYFUNCTION("""COMPUTED_VALUE"""),70122)</f>
        <v>70122</v>
      </c>
    </row>
    <row r="2687" spans="1:50" ht="60" x14ac:dyDescent="0.2">
      <c r="A2687" s="8" t="str">
        <f ca="1">IFERROR(__xludf.DUMMYFUNCTION("""COMPUTED_VALUE"""),"19920117SCGRG")</f>
        <v>19920117SCGRG</v>
      </c>
      <c r="B2687" s="8">
        <f ca="1">IFERROR(__xludf.DUMMYFUNCTION("""COMPUTED_VALUE"""),1)</f>
        <v>1</v>
      </c>
      <c r="C2687" s="8">
        <f ca="1">IFERROR(__xludf.DUMMYFUNCTION("""COMPUTED_VALUE"""),17)</f>
        <v>17</v>
      </c>
      <c r="D2687" s="8">
        <f ca="1">IFERROR(__xludf.DUMMYFUNCTION("""COMPUTED_VALUE"""),1992)</f>
        <v>1992</v>
      </c>
      <c r="E2687" s="9">
        <f ca="1">IFERROR(__xludf.DUMMYFUNCTION("""COMPUTED_VALUE"""),33620)</f>
        <v>33620</v>
      </c>
      <c r="F2687" s="8" t="str">
        <f ca="1">IFERROR(__xludf.DUMMYFUNCTION("""COMPUTED_VALUE"""),"Greenwood High School")</f>
        <v>Greenwood High School</v>
      </c>
      <c r="G2687" s="8">
        <f ca="1">IFERROR(__xludf.DUMMYFUNCTION("""COMPUTED_VALUE"""),0)</f>
        <v>0</v>
      </c>
      <c r="H2687" s="8">
        <f ca="1">IFERROR(__xludf.DUMMYFUNCTION("""COMPUTED_VALUE"""),1)</f>
        <v>1</v>
      </c>
      <c r="I2687" s="8">
        <f ca="1">IFERROR(__xludf.DUMMYFUNCTION("""COMPUTED_VALUE"""),1)</f>
        <v>1</v>
      </c>
      <c r="J2687" s="8">
        <f ca="1">IFERROR(__xludf.DUMMYFUNCTION("""COMPUTED_VALUE"""),0)</f>
        <v>0</v>
      </c>
      <c r="K2687" s="8" t="str">
        <f ca="1">IFERROR(__xludf.DUMMYFUNCTION("""COMPUTED_VALUE"""),"https://www.newspapers.com/image/69815372/ https://www.newspapers.com/image/752371201/?terms=shot%20at%20school&amp;match=1")</f>
        <v>https://www.newspapers.com/image/69815372/ https://www.newspapers.com/image/752371201/?terms=shot%20at%20school&amp;match=1</v>
      </c>
      <c r="L2687" s="8">
        <f ca="1">IFERROR(__xludf.DUMMYFUNCTION("""COMPUTED_VALUE"""),2)</f>
        <v>2</v>
      </c>
      <c r="M2687" s="8" t="str">
        <f ca="1">IFERROR(__xludf.DUMMYFUNCTION("""COMPUTED_VALUE"""),"Regional")</f>
        <v>Regional</v>
      </c>
      <c r="N2687" s="8">
        <f ca="1">IFERROR(__xludf.DUMMYFUNCTION("""COMPUTED_VALUE"""),4)</f>
        <v>4</v>
      </c>
      <c r="O2687" s="8" t="str">
        <f ca="1">IFERROR(__xludf.DUMMYFUNCTION("""COMPUTED_VALUE"""),"Winter")</f>
        <v>Winter</v>
      </c>
      <c r="P2687" s="8" t="str">
        <f ca="1">IFERROR(__xludf.DUMMYFUNCTION("""COMPUTED_VALUE"""),"Greenwood")</f>
        <v>Greenwood</v>
      </c>
      <c r="Q2687" s="8" t="str">
        <f ca="1">IFERROR(__xludf.DUMMYFUNCTION("""COMPUTED_VALUE"""),"SC")</f>
        <v>SC</v>
      </c>
      <c r="R2687" s="8" t="str">
        <f ca="1">IFERROR(__xludf.DUMMYFUNCTION("""COMPUTED_VALUE"""),"High")</f>
        <v>High</v>
      </c>
      <c r="S2687" s="8" t="str">
        <f ca="1">IFERROR(__xludf.DUMMYFUNCTION("""COMPUTED_VALUE"""),"Cafeteria")</f>
        <v>Cafeteria</v>
      </c>
      <c r="T2687" s="8" t="str">
        <f ca="1">IFERROR(__xludf.DUMMYFUNCTION("""COMPUTED_VALUE"""),"Inside School Building")</f>
        <v>Inside School Building</v>
      </c>
      <c r="U2687" s="8" t="str">
        <f ca="1">IFERROR(__xludf.DUMMYFUNCTION("""COMPUTED_VALUE"""),"Yes")</f>
        <v>Yes</v>
      </c>
      <c r="V2687" s="8" t="str">
        <f ca="1">IFERROR(__xludf.DUMMYFUNCTION("""COMPUTED_VALUE"""),"Lunch")</f>
        <v>Lunch</v>
      </c>
      <c r="W2687" s="11">
        <f ca="1">IFERROR(__xludf.DUMMYFUNCTION("""COMPUTED_VALUE"""),0.5)</f>
        <v>0.5</v>
      </c>
      <c r="X2687" s="8">
        <f ca="1">IFERROR(__xludf.DUMMYFUNCTION("""COMPUTED_VALUE"""),1)</f>
        <v>1</v>
      </c>
      <c r="Y2687" s="12" t="str">
        <f ca="1">IFERROR(__xludf.DUMMYFUNCTION("""COMPUTED_VALUE"""),"Student shot another student during a dispute near the cafeteria")</f>
        <v>Student shot another student during a dispute near the cafeteria</v>
      </c>
      <c r="Z2687" s="12" t="str">
        <f ca="1">IFERROR(__xludf.DUMMYFUNCTION("""COMPUTED_VALUE"""),"A 16-year-old student shot an 18-year-old student in the stomach and leg during a dispute near the cafeteria. Both students were expelled. Shooter charged as an adult with multiple felonies.")</f>
        <v>A 16-year-old student shot an 18-year-old student in the stomach and leg during a dispute near the cafeteria. Both students were expelled. Shooter charged as an adult with multiple felonies.</v>
      </c>
      <c r="AA2687" s="8" t="str">
        <f ca="1">IFERROR(__xludf.DUMMYFUNCTION("""COMPUTED_VALUE"""),"Escalation of Dispute")</f>
        <v>Escalation of Dispute</v>
      </c>
      <c r="AB2687" s="8"/>
      <c r="AC2687" s="8"/>
      <c r="AD2687" s="8" t="str">
        <f ca="1">IFERROR(__xludf.DUMMYFUNCTION("""COMPUTED_VALUE"""),"Victims Targeted")</f>
        <v>Victims Targeted</v>
      </c>
      <c r="AE2687" s="8" t="str">
        <f ca="1">IFERROR(__xludf.DUMMYFUNCTION("""COMPUTED_VALUE"""),"No")</f>
        <v>No</v>
      </c>
      <c r="AF2687" s="8"/>
      <c r="AG2687" s="8" t="str">
        <f ca="1">IFERROR(__xludf.DUMMYFUNCTION("""COMPUTED_VALUE"""),"No")</f>
        <v>No</v>
      </c>
      <c r="AH2687" s="8" t="str">
        <f ca="1">IFERROR(__xludf.DUMMYFUNCTION("""COMPUTED_VALUE"""),"No")</f>
        <v>No</v>
      </c>
      <c r="AI2687" s="8" t="str">
        <f ca="1">IFERROR(__xludf.DUMMYFUNCTION("""COMPUTED_VALUE"""),"No")</f>
        <v>No</v>
      </c>
      <c r="AJ2687" s="8" t="str">
        <f ca="1">IFERROR(__xludf.DUMMYFUNCTION("""COMPUTED_VALUE"""),"No")</f>
        <v>No</v>
      </c>
      <c r="AK2687" s="8" t="str">
        <f ca="1">IFERROR(__xludf.DUMMYFUNCTION("""COMPUTED_VALUE"""),"No")</f>
        <v>No</v>
      </c>
      <c r="AL2687" s="8" t="str">
        <f ca="1">IFERROR(__xludf.DUMMYFUNCTION("""COMPUTED_VALUE"""),"No")</f>
        <v>No</v>
      </c>
      <c r="AM2687" s="8" t="str">
        <f ca="1">IFERROR(__xludf.DUMMYFUNCTION("""COMPUTED_VALUE"""),"No")</f>
        <v>No</v>
      </c>
      <c r="AN2687" s="8"/>
      <c r="AO2687" s="8" t="str">
        <f ca="1">IFERROR(__xludf.DUMMYFUNCTION("""COMPUTED_VALUE"""),"No")</f>
        <v>No</v>
      </c>
      <c r="AP2687" s="8"/>
      <c r="AQ2687" s="8"/>
      <c r="AR2687" s="8"/>
      <c r="AS2687" s="8">
        <f ca="1">IFERROR(__xludf.DUMMYFUNCTION("""COMPUTED_VALUE"""),2)</f>
        <v>2</v>
      </c>
      <c r="AT2687" s="8"/>
      <c r="AU2687" s="8">
        <f ca="1">IFERROR(__xludf.DUMMYFUNCTION("""COMPUTED_VALUE"""),34.229874)</f>
        <v>34.229874000000002</v>
      </c>
      <c r="AV2687" s="8">
        <f ca="1">IFERROR(__xludf.DUMMYFUNCTION("""COMPUTED_VALUE"""),-82.17483)</f>
        <v>-82.17483</v>
      </c>
      <c r="AW2687" s="8"/>
      <c r="AX2687" s="8">
        <f ca="1">IFERROR(__xludf.DUMMYFUNCTION("""COMPUTED_VALUE"""),29653)</f>
        <v>29653</v>
      </c>
    </row>
    <row r="2688" spans="1:50" ht="60" x14ac:dyDescent="0.2">
      <c r="A2688" s="8" t="str">
        <f ca="1">IFERROR(__xludf.DUMMYFUNCTION("""COMPUTED_VALUE"""),"19911226NCWHW")</f>
        <v>19911226NCWHW</v>
      </c>
      <c r="B2688" s="8">
        <f ca="1">IFERROR(__xludf.DUMMYFUNCTION("""COMPUTED_VALUE"""),12)</f>
        <v>12</v>
      </c>
      <c r="C2688" s="8">
        <f ca="1">IFERROR(__xludf.DUMMYFUNCTION("""COMPUTED_VALUE"""),26)</f>
        <v>26</v>
      </c>
      <c r="D2688" s="8">
        <f ca="1">IFERROR(__xludf.DUMMYFUNCTION("""COMPUTED_VALUE"""),1991)</f>
        <v>1991</v>
      </c>
      <c r="E2688" s="9">
        <f ca="1">IFERROR(__xludf.DUMMYFUNCTION("""COMPUTED_VALUE"""),33598)</f>
        <v>33598</v>
      </c>
      <c r="F2688" s="8" t="str">
        <f ca="1">IFERROR(__xludf.DUMMYFUNCTION("""COMPUTED_VALUE"""),"Whiteville High School")</f>
        <v>Whiteville High School</v>
      </c>
      <c r="G2688" s="8">
        <f ca="1">IFERROR(__xludf.DUMMYFUNCTION("""COMPUTED_VALUE"""),0)</f>
        <v>0</v>
      </c>
      <c r="H2688" s="8">
        <f ca="1">IFERROR(__xludf.DUMMYFUNCTION("""COMPUTED_VALUE"""),2)</f>
        <v>2</v>
      </c>
      <c r="I2688" s="8">
        <f ca="1">IFERROR(__xludf.DUMMYFUNCTION("""COMPUTED_VALUE"""),2)</f>
        <v>2</v>
      </c>
      <c r="J2688" s="8">
        <f ca="1">IFERROR(__xludf.DUMMYFUNCTION("""COMPUTED_VALUE"""),0)</f>
        <v>0</v>
      </c>
      <c r="K2688" s="8" t="str">
        <f ca="1">IFERROR(__xludf.DUMMYFUNCTION("""COMPUTED_VALUE"""),"The Fayetteville Observer - Police Seeking Suspect in Whiteville Shootings; The Fayetteville Observer - Man Charged in Shooting at School; https://www.columbine-angels.com/School_Violence_1991-1992.htm")</f>
        <v>The Fayetteville Observer - Police Seeking Suspect in Whiteville Shootings; The Fayetteville Observer - Man Charged in Shooting at School; https://www.columbine-angels.com/School_Violence_1991-1992.htm</v>
      </c>
      <c r="L2688" s="8"/>
      <c r="M2688" s="8"/>
      <c r="N2688" s="8">
        <f ca="1">IFERROR(__xludf.DUMMYFUNCTION("""COMPUTED_VALUE"""),1)</f>
        <v>1</v>
      </c>
      <c r="O2688" s="8" t="str">
        <f ca="1">IFERROR(__xludf.DUMMYFUNCTION("""COMPUTED_VALUE"""),"Winter")</f>
        <v>Winter</v>
      </c>
      <c r="P2688" s="8" t="str">
        <f ca="1">IFERROR(__xludf.DUMMYFUNCTION("""COMPUTED_VALUE"""),"Whiteville")</f>
        <v>Whiteville</v>
      </c>
      <c r="Q2688" s="8" t="str">
        <f ca="1">IFERROR(__xludf.DUMMYFUNCTION("""COMPUTED_VALUE"""),"NC")</f>
        <v>NC</v>
      </c>
      <c r="R2688" s="8" t="str">
        <f ca="1">IFERROR(__xludf.DUMMYFUNCTION("""COMPUTED_VALUE"""),"High")</f>
        <v>High</v>
      </c>
      <c r="S2688" s="8" t="str">
        <f ca="1">IFERROR(__xludf.DUMMYFUNCTION("""COMPUTED_VALUE"""),"Beside Building")</f>
        <v>Beside Building</v>
      </c>
      <c r="T2688" s="8" t="str">
        <f ca="1">IFERROR(__xludf.DUMMYFUNCTION("""COMPUTED_VALUE"""),"Outside on School Property")</f>
        <v>Outside on School Property</v>
      </c>
      <c r="U2688" s="8" t="str">
        <f ca="1">IFERROR(__xludf.DUMMYFUNCTION("""COMPUTED_VALUE"""),"No")</f>
        <v>No</v>
      </c>
      <c r="V2688" s="8" t="str">
        <f ca="1">IFERROR(__xludf.DUMMYFUNCTION("""COMPUTED_VALUE"""),"Sport Event")</f>
        <v>Sport Event</v>
      </c>
      <c r="W2688" s="8"/>
      <c r="X2688" s="8">
        <f ca="1">IFERROR(__xludf.DUMMYFUNCTION("""COMPUTED_VALUE"""),1)</f>
        <v>1</v>
      </c>
      <c r="Y2688" s="12" t="str">
        <f ca="1">IFERROR(__xludf.DUMMYFUNCTION("""COMPUTED_VALUE"""),"Two shot during basketball tournament outside of gym")</f>
        <v>Two shot during basketball tournament outside of gym</v>
      </c>
      <c r="Z2688" s="12" t="str">
        <f ca="1">IFERROR(__xludf.DUMMYFUNCTION("""COMPUTED_VALUE"""),"Shooter was outside of high school during basketball tournament. Approached two victims and fired multiple shots before fleeing.")</f>
        <v>Shooter was outside of high school during basketball tournament. Approached two victims and fired multiple shots before fleeing.</v>
      </c>
      <c r="AA2688" s="8" t="str">
        <f ca="1">IFERROR(__xludf.DUMMYFUNCTION("""COMPUTED_VALUE"""),"Escalation of Dispute")</f>
        <v>Escalation of Dispute</v>
      </c>
      <c r="AB2688" s="8"/>
      <c r="AC2688" s="8"/>
      <c r="AD2688" s="8" t="str">
        <f ca="1">IFERROR(__xludf.DUMMYFUNCTION("""COMPUTED_VALUE"""),"Victims Targeted")</f>
        <v>Victims Targeted</v>
      </c>
      <c r="AE2688" s="8" t="str">
        <f ca="1">IFERROR(__xludf.DUMMYFUNCTION("""COMPUTED_VALUE"""),"No")</f>
        <v>No</v>
      </c>
      <c r="AF2688" s="8"/>
      <c r="AG2688" s="8" t="str">
        <f ca="1">IFERROR(__xludf.DUMMYFUNCTION("""COMPUTED_VALUE"""),"No")</f>
        <v>No</v>
      </c>
      <c r="AH2688" s="8" t="str">
        <f ca="1">IFERROR(__xludf.DUMMYFUNCTION("""COMPUTED_VALUE"""),"No")</f>
        <v>No</v>
      </c>
      <c r="AI2688" s="8" t="str">
        <f ca="1">IFERROR(__xludf.DUMMYFUNCTION("""COMPUTED_VALUE"""),"No")</f>
        <v>No</v>
      </c>
      <c r="AJ2688" s="8" t="str">
        <f ca="1">IFERROR(__xludf.DUMMYFUNCTION("""COMPUTED_VALUE"""),"No")</f>
        <v>No</v>
      </c>
      <c r="AK2688" s="8" t="str">
        <f ca="1">IFERROR(__xludf.DUMMYFUNCTION("""COMPUTED_VALUE"""),"No")</f>
        <v>No</v>
      </c>
      <c r="AL2688" s="8"/>
      <c r="AM2688" s="8"/>
      <c r="AN2688" s="8"/>
      <c r="AO2688" s="8" t="str">
        <f ca="1">IFERROR(__xludf.DUMMYFUNCTION("""COMPUTED_VALUE"""),"No")</f>
        <v>No</v>
      </c>
      <c r="AP2688" s="8"/>
      <c r="AQ2688" s="8" t="str">
        <f ca="1">IFERROR(__xludf.DUMMYFUNCTION("""COMPUTED_VALUE"""),"Unknown")</f>
        <v>Unknown</v>
      </c>
      <c r="AR2688" s="8" t="str">
        <f ca="1">IFERROR(__xludf.DUMMYFUNCTION("""COMPUTED_VALUE"""),"NA")</f>
        <v>NA</v>
      </c>
      <c r="AS2688" s="8" t="str">
        <f ca="1">IFERROR(__xludf.DUMMYFUNCTION("""COMPUTED_VALUE"""),"&lt;10")</f>
        <v>&lt;10</v>
      </c>
      <c r="AT2688" s="8"/>
      <c r="AU2688" s="8">
        <f ca="1">IFERROR(__xludf.DUMMYFUNCTION("""COMPUTED_VALUE"""),34.335006)</f>
        <v>34.335006</v>
      </c>
      <c r="AV2688" s="8">
        <f ca="1">IFERROR(__xludf.DUMMYFUNCTION("""COMPUTED_VALUE"""),-78.707251)</f>
        <v>-78.707250999999999</v>
      </c>
      <c r="AW2688" s="8"/>
      <c r="AX2688" s="8">
        <f ca="1">IFERROR(__xludf.DUMMYFUNCTION("""COMPUTED_VALUE"""),28472)</f>
        <v>28472</v>
      </c>
    </row>
    <row r="2689" spans="1:50" ht="105" x14ac:dyDescent="0.2">
      <c r="A2689" s="8" t="str">
        <f ca="1">IFERROR(__xludf.DUMMYFUNCTION("""COMPUTED_VALUE"""),"19911125NYTHB")</f>
        <v>19911125NYTHB</v>
      </c>
      <c r="B2689" s="8">
        <f ca="1">IFERROR(__xludf.DUMMYFUNCTION("""COMPUTED_VALUE"""),11)</f>
        <v>11</v>
      </c>
      <c r="C2689" s="8">
        <f ca="1">IFERROR(__xludf.DUMMYFUNCTION("""COMPUTED_VALUE"""),25)</f>
        <v>25</v>
      </c>
      <c r="D2689" s="8">
        <f ca="1">IFERROR(__xludf.DUMMYFUNCTION("""COMPUTED_VALUE"""),1991)</f>
        <v>1991</v>
      </c>
      <c r="E2689" s="9">
        <f ca="1">IFERROR(__xludf.DUMMYFUNCTION("""COMPUTED_VALUE"""),33567)</f>
        <v>33567</v>
      </c>
      <c r="F2689" s="8" t="str">
        <f ca="1">IFERROR(__xludf.DUMMYFUNCTION("""COMPUTED_VALUE"""),"Thomas Jefferson High School")</f>
        <v>Thomas Jefferson High School</v>
      </c>
      <c r="G2689" s="8">
        <f ca="1">IFERROR(__xludf.DUMMYFUNCTION("""COMPUTED_VALUE"""),1)</f>
        <v>1</v>
      </c>
      <c r="H2689" s="8">
        <f ca="1">IFERROR(__xludf.DUMMYFUNCTION("""COMPUTED_VALUE"""),1)</f>
        <v>1</v>
      </c>
      <c r="I2689" s="8">
        <f ca="1">IFERROR(__xludf.DUMMYFUNCTION("""COMPUTED_VALUE"""),2)</f>
        <v>2</v>
      </c>
      <c r="J2689" s="8">
        <f ca="1">IFERROR(__xludf.DUMMYFUNCTION("""COMPUTED_VALUE"""),0)</f>
        <v>0</v>
      </c>
      <c r="K2689" s="10" t="str">
        <f ca="1">IFERROR(__xludf.DUMMYFUNCTION("""COMPUTED_VALUE"""),"https://www.nytimes.com/1991/11/26/nyregion/16-year-old-is-shot-to-death-in-a-high-school-in-brooklyn.html")</f>
        <v>https://www.nytimes.com/1991/11/26/nyregion/16-year-old-is-shot-to-death-in-a-high-school-in-brooklyn.html</v>
      </c>
      <c r="L2689" s="8"/>
      <c r="M2689" s="8"/>
      <c r="N2689" s="8">
        <f ca="1">IFERROR(__xludf.DUMMYFUNCTION("""COMPUTED_VALUE"""),2)</f>
        <v>2</v>
      </c>
      <c r="O2689" s="8" t="str">
        <f ca="1">IFERROR(__xludf.DUMMYFUNCTION("""COMPUTED_VALUE"""),"Fall")</f>
        <v>Fall</v>
      </c>
      <c r="P2689" s="8" t="str">
        <f ca="1">IFERROR(__xludf.DUMMYFUNCTION("""COMPUTED_VALUE"""),"Brooklyn")</f>
        <v>Brooklyn</v>
      </c>
      <c r="Q2689" s="8" t="str">
        <f ca="1">IFERROR(__xludf.DUMMYFUNCTION("""COMPUTED_VALUE"""),"NY")</f>
        <v>NY</v>
      </c>
      <c r="R2689" s="8" t="str">
        <f ca="1">IFERROR(__xludf.DUMMYFUNCTION("""COMPUTED_VALUE"""),"High")</f>
        <v>High</v>
      </c>
      <c r="S2689" s="8" t="str">
        <f ca="1">IFERROR(__xludf.DUMMYFUNCTION("""COMPUTED_VALUE"""),"Hallway")</f>
        <v>Hallway</v>
      </c>
      <c r="T2689" s="8" t="str">
        <f ca="1">IFERROR(__xludf.DUMMYFUNCTION("""COMPUTED_VALUE"""),"Inside School Building")</f>
        <v>Inside School Building</v>
      </c>
      <c r="U2689" s="8" t="str">
        <f ca="1">IFERROR(__xludf.DUMMYFUNCTION("""COMPUTED_VALUE"""),"Yes")</f>
        <v>Yes</v>
      </c>
      <c r="V2689" s="8" t="str">
        <f ca="1">IFERROR(__xludf.DUMMYFUNCTION("""COMPUTED_VALUE"""),"Morning Classes")</f>
        <v>Morning Classes</v>
      </c>
      <c r="W2689" s="11">
        <f ca="1">IFERROR(__xludf.DUMMYFUNCTION("""COMPUTED_VALUE"""),0.4375)</f>
        <v>0.4375</v>
      </c>
      <c r="X2689" s="8">
        <f ca="1">IFERROR(__xludf.DUMMYFUNCTION("""COMPUTED_VALUE"""),1)</f>
        <v>1</v>
      </c>
      <c r="Y2689" s="12" t="str">
        <f ca="1">IFERROR(__xludf.DUMMYFUNCTION("""COMPUTED_VALUE"""),"Shots fired during fight in hallway")</f>
        <v>Shots fired during fight in hallway</v>
      </c>
      <c r="Z2689" s="12" t="str">
        <f ca="1">IFERROR(__xludf.DUMMYFUNCTION("""COMPUTED_VALUE"""),"Three shots were fired in the hallway during a dispute between students. Another student not involved in the dispute was struck and killed and a teacher was critically injured. Shooter fled the scene and was arrested at his home later that day. The shooti"&amp;"ng was an escalation of a long standing dispute between the shooter's brother and two other students.")</f>
        <v>Three shots were fired in the hallway during a dispute between students. Another student not involved in the dispute was struck and killed and a teacher was critically injured. Shooter fled the scene and was arrested at his home later that day. The shooting was an escalation of a long standing dispute between the shooter's brother and two other students.</v>
      </c>
      <c r="AA2689" s="8" t="str">
        <f ca="1">IFERROR(__xludf.DUMMYFUNCTION("""COMPUTED_VALUE"""),"Escalation of Dispute")</f>
        <v>Escalation of Dispute</v>
      </c>
      <c r="AB2689" s="8"/>
      <c r="AC2689" s="8"/>
      <c r="AD2689" s="8" t="str">
        <f ca="1">IFERROR(__xludf.DUMMYFUNCTION("""COMPUTED_VALUE"""),"Both")</f>
        <v>Both</v>
      </c>
      <c r="AE2689" s="8" t="str">
        <f ca="1">IFERROR(__xludf.DUMMYFUNCTION("""COMPUTED_VALUE"""),"No")</f>
        <v>No</v>
      </c>
      <c r="AF2689" s="8"/>
      <c r="AG2689" s="8" t="str">
        <f ca="1">IFERROR(__xludf.DUMMYFUNCTION("""COMPUTED_VALUE"""),"No")</f>
        <v>No</v>
      </c>
      <c r="AH2689" s="8" t="str">
        <f ca="1">IFERROR(__xludf.DUMMYFUNCTION("""COMPUTED_VALUE"""),"No")</f>
        <v>No</v>
      </c>
      <c r="AI2689" s="8" t="str">
        <f ca="1">IFERROR(__xludf.DUMMYFUNCTION("""COMPUTED_VALUE"""),"No")</f>
        <v>No</v>
      </c>
      <c r="AJ2689" s="8" t="str">
        <f ca="1">IFERROR(__xludf.DUMMYFUNCTION("""COMPUTED_VALUE"""),"No")</f>
        <v>No</v>
      </c>
      <c r="AK2689" s="8" t="str">
        <f ca="1">IFERROR(__xludf.DUMMYFUNCTION("""COMPUTED_VALUE"""),"No")</f>
        <v>No</v>
      </c>
      <c r="AL2689" s="8" t="str">
        <f ca="1">IFERROR(__xludf.DUMMYFUNCTION("""COMPUTED_VALUE"""),"No")</f>
        <v>No</v>
      </c>
      <c r="AM2689" s="8"/>
      <c r="AN2689" s="8"/>
      <c r="AO2689" s="8" t="str">
        <f ca="1">IFERROR(__xludf.DUMMYFUNCTION("""COMPUTED_VALUE"""),"No")</f>
        <v>No</v>
      </c>
      <c r="AP2689" s="8"/>
      <c r="AQ2689" s="8" t="str">
        <f ca="1">IFERROR(__xludf.DUMMYFUNCTION("""COMPUTED_VALUE"""),"Unknown")</f>
        <v>Unknown</v>
      </c>
      <c r="AR2689" s="8" t="str">
        <f ca="1">IFERROR(__xludf.DUMMYFUNCTION("""COMPUTED_VALUE"""),"NA")</f>
        <v>NA</v>
      </c>
      <c r="AS2689" s="8">
        <f ca="1">IFERROR(__xludf.DUMMYFUNCTION("""COMPUTED_VALUE"""),3)</f>
        <v>3</v>
      </c>
      <c r="AT2689" s="8"/>
      <c r="AU2689" s="8">
        <f ca="1">IFERROR(__xludf.DUMMYFUNCTION("""COMPUTED_VALUE"""),40.666764)</f>
        <v>40.666764000000001</v>
      </c>
      <c r="AV2689" s="8">
        <f ca="1">IFERROR(__xludf.DUMMYFUNCTION("""COMPUTED_VALUE"""),-73.895235)</f>
        <v>-73.895235</v>
      </c>
      <c r="AW2689" s="8"/>
      <c r="AX2689" s="8">
        <f ca="1">IFERROR(__xludf.DUMMYFUNCTION("""COMPUTED_VALUE"""),11207)</f>
        <v>11207</v>
      </c>
    </row>
    <row r="2690" spans="1:50" ht="60" x14ac:dyDescent="0.2">
      <c r="A2690" s="8" t="str">
        <f ca="1">IFERROR(__xludf.DUMMYFUNCTION("""COMPUTED_VALUE"""),"19911114TXMIH")</f>
        <v>19911114TXMIH</v>
      </c>
      <c r="B2690" s="8">
        <f ca="1">IFERROR(__xludf.DUMMYFUNCTION("""COMPUTED_VALUE"""),11)</f>
        <v>11</v>
      </c>
      <c r="C2690" s="8">
        <f ca="1">IFERROR(__xludf.DUMMYFUNCTION("""COMPUTED_VALUE"""),14)</f>
        <v>14</v>
      </c>
      <c r="D2690" s="8">
        <f ca="1">IFERROR(__xludf.DUMMYFUNCTION("""COMPUTED_VALUE"""),1991)</f>
        <v>1991</v>
      </c>
      <c r="E2690" s="9">
        <f ca="1">IFERROR(__xludf.DUMMYFUNCTION("""COMPUTED_VALUE"""),33556)</f>
        <v>33556</v>
      </c>
      <c r="F2690" s="8" t="str">
        <f ca="1">IFERROR(__xludf.DUMMYFUNCTION("""COMPUTED_VALUE"""),"Milby High School")</f>
        <v>Milby High School</v>
      </c>
      <c r="G2690" s="8">
        <f ca="1">IFERROR(__xludf.DUMMYFUNCTION("""COMPUTED_VALUE"""),0)</f>
        <v>0</v>
      </c>
      <c r="H2690" s="8">
        <f ca="1">IFERROR(__xludf.DUMMYFUNCTION("""COMPUTED_VALUE"""),1)</f>
        <v>1</v>
      </c>
      <c r="I2690" s="8">
        <f ca="1">IFERROR(__xludf.DUMMYFUNCTION("""COMPUTED_VALUE"""),1)</f>
        <v>1</v>
      </c>
      <c r="J2690" s="8">
        <f ca="1">IFERROR(__xludf.DUMMYFUNCTION("""COMPUTED_VALUE"""),0)</f>
        <v>0</v>
      </c>
      <c r="K2690" s="10" t="str">
        <f ca="1">IFERROR(__xludf.DUMMYFUNCTION("""COMPUTED_VALUE"""),"https://www.newspapers.com/image/17145244/?terms=Milby%2BHIgh%2BSchool%2Bshot")</f>
        <v>https://www.newspapers.com/image/17145244/?terms=Milby%2BHIgh%2BSchool%2Bshot</v>
      </c>
      <c r="L2690" s="8"/>
      <c r="M2690" s="8"/>
      <c r="N2690" s="8">
        <f ca="1">IFERROR(__xludf.DUMMYFUNCTION("""COMPUTED_VALUE"""),2)</f>
        <v>2</v>
      </c>
      <c r="O2690" s="8" t="str">
        <f ca="1">IFERROR(__xludf.DUMMYFUNCTION("""COMPUTED_VALUE"""),"Fall")</f>
        <v>Fall</v>
      </c>
      <c r="P2690" s="8" t="str">
        <f ca="1">IFERROR(__xludf.DUMMYFUNCTION("""COMPUTED_VALUE"""),"Houston")</f>
        <v>Houston</v>
      </c>
      <c r="Q2690" s="8" t="str">
        <f ca="1">IFERROR(__xludf.DUMMYFUNCTION("""COMPUTED_VALUE"""),"TX")</f>
        <v>TX</v>
      </c>
      <c r="R2690" s="8" t="str">
        <f ca="1">IFERROR(__xludf.DUMMYFUNCTION("""COMPUTED_VALUE"""),"High")</f>
        <v>High</v>
      </c>
      <c r="S2690" s="8" t="str">
        <f ca="1">IFERROR(__xludf.DUMMYFUNCTION("""COMPUTED_VALUE"""),"Hallway")</f>
        <v>Hallway</v>
      </c>
      <c r="T2690" s="8" t="str">
        <f ca="1">IFERROR(__xludf.DUMMYFUNCTION("""COMPUTED_VALUE"""),"Inside School Building")</f>
        <v>Inside School Building</v>
      </c>
      <c r="U2690" s="8" t="str">
        <f ca="1">IFERROR(__xludf.DUMMYFUNCTION("""COMPUTED_VALUE"""),"Yes")</f>
        <v>Yes</v>
      </c>
      <c r="V2690" s="8" t="str">
        <f ca="1">IFERROR(__xludf.DUMMYFUNCTION("""COMPUTED_VALUE"""),"Lunch")</f>
        <v>Lunch</v>
      </c>
      <c r="W2690" s="11">
        <f ca="1">IFERROR(__xludf.DUMMYFUNCTION("""COMPUTED_VALUE"""),0)</f>
        <v>0</v>
      </c>
      <c r="X2690" s="8">
        <f ca="1">IFERROR(__xludf.DUMMYFUNCTION("""COMPUTED_VALUE"""),1)</f>
        <v>1</v>
      </c>
      <c r="Y2690" s="12" t="str">
        <f ca="1">IFERROR(__xludf.DUMMYFUNCTION("""COMPUTED_VALUE"""),"18 year old victim was shot 4 time in legs and feet by 16YO student")</f>
        <v>18 year old victim was shot 4 time in legs and feet by 16YO student</v>
      </c>
      <c r="Z2690" s="12" t="str">
        <f ca="1">IFERROR(__xludf.DUMMYFUNCTION("""COMPUTED_VALUE"""),"Victim shot in legs and feet during a fight outside of cafeteria. School security officers arrested the shooter immediately.")</f>
        <v>Victim shot in legs and feet during a fight outside of cafeteria. School security officers arrested the shooter immediately.</v>
      </c>
      <c r="AA2690" s="8" t="str">
        <f ca="1">IFERROR(__xludf.DUMMYFUNCTION("""COMPUTED_VALUE"""),"Escalation of Dispute")</f>
        <v>Escalation of Dispute</v>
      </c>
      <c r="AB2690" s="8"/>
      <c r="AC2690" s="8"/>
      <c r="AD2690" s="8"/>
      <c r="AE2690" s="8" t="str">
        <f ca="1">IFERROR(__xludf.DUMMYFUNCTION("""COMPUTED_VALUE"""),"No")</f>
        <v>No</v>
      </c>
      <c r="AF2690" s="8"/>
      <c r="AG2690" s="8" t="str">
        <f ca="1">IFERROR(__xludf.DUMMYFUNCTION("""COMPUTED_VALUE"""),"No")</f>
        <v>No</v>
      </c>
      <c r="AH2690" s="8" t="str">
        <f ca="1">IFERROR(__xludf.DUMMYFUNCTION("""COMPUTED_VALUE"""),"No")</f>
        <v>No</v>
      </c>
      <c r="AI2690" s="8" t="str">
        <f ca="1">IFERROR(__xludf.DUMMYFUNCTION("""COMPUTED_VALUE"""),"No")</f>
        <v>No</v>
      </c>
      <c r="AJ2690" s="8"/>
      <c r="AK2690" s="8" t="str">
        <f ca="1">IFERROR(__xludf.DUMMYFUNCTION("""COMPUTED_VALUE"""),"No")</f>
        <v>No</v>
      </c>
      <c r="AL2690" s="8" t="str">
        <f ca="1">IFERROR(__xludf.DUMMYFUNCTION("""COMPUTED_VALUE"""),"No")</f>
        <v>No</v>
      </c>
      <c r="AM2690" s="8"/>
      <c r="AN2690" s="8"/>
      <c r="AO2690" s="8" t="str">
        <f ca="1">IFERROR(__xludf.DUMMYFUNCTION("""COMPUTED_VALUE"""),"No")</f>
        <v>No</v>
      </c>
      <c r="AP2690" s="8" t="str">
        <f ca="1">IFERROR(__xludf.DUMMYFUNCTION("""COMPUTED_VALUE"""),"Yes")</f>
        <v>Yes</v>
      </c>
      <c r="AQ2690" s="8" t="str">
        <f ca="1">IFERROR(__xludf.DUMMYFUNCTION("""COMPUTED_VALUE"""),"None")</f>
        <v>None</v>
      </c>
      <c r="AR2690" s="8" t="str">
        <f ca="1">IFERROR(__xludf.DUMMYFUNCTION("""COMPUTED_VALUE"""),"NA")</f>
        <v>NA</v>
      </c>
      <c r="AS2690" s="8" t="str">
        <f ca="1">IFERROR(__xludf.DUMMYFUNCTION("""COMPUTED_VALUE"""),"&lt;10")</f>
        <v>&lt;10</v>
      </c>
      <c r="AT2690" s="8"/>
      <c r="AU2690" s="8">
        <f ca="1">IFERROR(__xludf.DUMMYFUNCTION("""COMPUTED_VALUE"""),29.710754)</f>
        <v>29.710754000000001</v>
      </c>
      <c r="AV2690" s="8">
        <f ca="1">IFERROR(__xludf.DUMMYFUNCTION("""COMPUTED_VALUE"""),-95.277328)</f>
        <v>-95.277327999999997</v>
      </c>
      <c r="AW2690" s="8"/>
      <c r="AX2690" s="8">
        <f ca="1">IFERROR(__xludf.DUMMYFUNCTION("""COMPUTED_VALUE"""),77012)</f>
        <v>77012</v>
      </c>
    </row>
    <row r="2691" spans="1:50" ht="75" x14ac:dyDescent="0.2">
      <c r="A2691" s="8" t="str">
        <f ca="1">IFERROR(__xludf.DUMMYFUNCTION("""COMPUTED_VALUE"""),"19911111TXYSE")</f>
        <v>19911111TXYSE</v>
      </c>
      <c r="B2691" s="8">
        <f ca="1">IFERROR(__xludf.DUMMYFUNCTION("""COMPUTED_VALUE"""),11)</f>
        <v>11</v>
      </c>
      <c r="C2691" s="8">
        <f ca="1">IFERROR(__xludf.DUMMYFUNCTION("""COMPUTED_VALUE"""),11)</f>
        <v>11</v>
      </c>
      <c r="D2691" s="8">
        <f ca="1">IFERROR(__xludf.DUMMYFUNCTION("""COMPUTED_VALUE"""),1991)</f>
        <v>1991</v>
      </c>
      <c r="E2691" s="9">
        <f ca="1">IFERROR(__xludf.DUMMYFUNCTION("""COMPUTED_VALUE"""),33553)</f>
        <v>33553</v>
      </c>
      <c r="F2691" s="8" t="str">
        <f ca="1">IFERROR(__xludf.DUMMYFUNCTION("""COMPUTED_VALUE"""),"Ysleta High School")</f>
        <v>Ysleta High School</v>
      </c>
      <c r="G2691" s="8">
        <f ca="1">IFERROR(__xludf.DUMMYFUNCTION("""COMPUTED_VALUE"""),1)</f>
        <v>1</v>
      </c>
      <c r="H2691" s="8">
        <f ca="1">IFERROR(__xludf.DUMMYFUNCTION("""COMPUTED_VALUE"""),1)</f>
        <v>1</v>
      </c>
      <c r="I2691" s="8">
        <f ca="1">IFERROR(__xludf.DUMMYFUNCTION("""COMPUTED_VALUE"""),2)</f>
        <v>2</v>
      </c>
      <c r="J2691" s="8">
        <f ca="1">IFERROR(__xludf.DUMMYFUNCTION("""COMPUTED_VALUE"""),0)</f>
        <v>0</v>
      </c>
      <c r="K2691" s="8" t="str">
        <f ca="1">IFERROR(__xludf.DUMMYFUNCTION("""COMPUTED_VALUE"""),"https://www.newspapers.com/image/20139494/?terms=school%2Bshooting   https://www.newspapers.com/image/436346724/?terms=ysleta%2Bhigh%2Bschool")</f>
        <v>https://www.newspapers.com/image/20139494/?terms=school%2Bshooting   https://www.newspapers.com/image/436346724/?terms=ysleta%2Bhigh%2Bschool</v>
      </c>
      <c r="L2691" s="8"/>
      <c r="M2691" s="8"/>
      <c r="N2691" s="8">
        <f ca="1">IFERROR(__xludf.DUMMYFUNCTION("""COMPUTED_VALUE"""),2)</f>
        <v>2</v>
      </c>
      <c r="O2691" s="8" t="str">
        <f ca="1">IFERROR(__xludf.DUMMYFUNCTION("""COMPUTED_VALUE"""),"Fall")</f>
        <v>Fall</v>
      </c>
      <c r="P2691" s="8" t="str">
        <f ca="1">IFERROR(__xludf.DUMMYFUNCTION("""COMPUTED_VALUE"""),"El Paso")</f>
        <v>El Paso</v>
      </c>
      <c r="Q2691" s="8" t="str">
        <f ca="1">IFERROR(__xludf.DUMMYFUNCTION("""COMPUTED_VALUE"""),"TX")</f>
        <v>TX</v>
      </c>
      <c r="R2691" s="8" t="str">
        <f ca="1">IFERROR(__xludf.DUMMYFUNCTION("""COMPUTED_VALUE"""),"High")</f>
        <v>High</v>
      </c>
      <c r="S2691" s="8" t="str">
        <f ca="1">IFERROR(__xludf.DUMMYFUNCTION("""COMPUTED_VALUE"""),"Front of School")</f>
        <v>Front of School</v>
      </c>
      <c r="T2691" s="8" t="str">
        <f ca="1">IFERROR(__xludf.DUMMYFUNCTION("""COMPUTED_VALUE"""),"Outside on School Property")</f>
        <v>Outside on School Property</v>
      </c>
      <c r="U2691" s="8" t="str">
        <f ca="1">IFERROR(__xludf.DUMMYFUNCTION("""COMPUTED_VALUE"""),"Yes")</f>
        <v>Yes</v>
      </c>
      <c r="V2691" s="8" t="str">
        <f ca="1">IFERROR(__xludf.DUMMYFUNCTION("""COMPUTED_VALUE"""),"After School")</f>
        <v>After School</v>
      </c>
      <c r="W2691" s="8"/>
      <c r="X2691" s="8">
        <f ca="1">IFERROR(__xludf.DUMMYFUNCTION("""COMPUTED_VALUE"""),1)</f>
        <v>1</v>
      </c>
      <c r="Y2691" s="12" t="str">
        <f ca="1">IFERROR(__xludf.DUMMYFUNCTION("""COMPUTED_VALUE"""),"Gang related shooting at group outside of high school")</f>
        <v>Gang related shooting at group outside of high school</v>
      </c>
      <c r="Z2691" s="12" t="str">
        <f ca="1">IFERROR(__xludf.DUMMYFUNCTION("""COMPUTED_VALUE"""),"Gang related shooting. Shooters opened fired on a group of students outside high school. Car then left scene, but came back and opened fired again. A student from another school who was at Ysleta was killed and another Ysleta student was wounded. 4 gang m"&amp;"embers charged with murder.")</f>
        <v>Gang related shooting. Shooters opened fired on a group of students outside high school. Car then left scene, but came back and opened fired again. A student from another school who was at Ysleta was killed and another Ysleta student was wounded. 4 gang members charged with murder.</v>
      </c>
      <c r="AA2691" s="8" t="str">
        <f ca="1">IFERROR(__xludf.DUMMYFUNCTION("""COMPUTED_VALUE"""),"Drive-by Shooting")</f>
        <v>Drive-by Shooting</v>
      </c>
      <c r="AB2691" s="8"/>
      <c r="AC2691" s="8"/>
      <c r="AD2691" s="8"/>
      <c r="AE2691" s="8" t="str">
        <f ca="1">IFERROR(__xludf.DUMMYFUNCTION("""COMPUTED_VALUE"""),"Yes")</f>
        <v>Yes</v>
      </c>
      <c r="AF2691" s="8" t="str">
        <f ca="1">IFERROR(__xludf.DUMMYFUNCTION("""COMPUTED_VALUE"""),"4 arrested and charged")</f>
        <v>4 arrested and charged</v>
      </c>
      <c r="AG2691" s="8" t="str">
        <f ca="1">IFERROR(__xludf.DUMMYFUNCTION("""COMPUTED_VALUE"""),"No")</f>
        <v>No</v>
      </c>
      <c r="AH2691" s="8" t="str">
        <f ca="1">IFERROR(__xludf.DUMMYFUNCTION("""COMPUTED_VALUE"""),"No")</f>
        <v>No</v>
      </c>
      <c r="AI2691" s="8" t="str">
        <f ca="1">IFERROR(__xludf.DUMMYFUNCTION("""COMPUTED_VALUE"""),"No")</f>
        <v>No</v>
      </c>
      <c r="AJ2691" s="8" t="str">
        <f ca="1">IFERROR(__xludf.DUMMYFUNCTION("""COMPUTED_VALUE"""),"No")</f>
        <v>No</v>
      </c>
      <c r="AK2691" s="8" t="str">
        <f ca="1">IFERROR(__xludf.DUMMYFUNCTION("""COMPUTED_VALUE"""),"No")</f>
        <v>No</v>
      </c>
      <c r="AL2691" s="8" t="str">
        <f ca="1">IFERROR(__xludf.DUMMYFUNCTION("""COMPUTED_VALUE"""),"Yes")</f>
        <v>Yes</v>
      </c>
      <c r="AM2691" s="8"/>
      <c r="AN2691" s="8"/>
      <c r="AO2691" s="8" t="str">
        <f ca="1">IFERROR(__xludf.DUMMYFUNCTION("""COMPUTED_VALUE"""),"No")</f>
        <v>No</v>
      </c>
      <c r="AP2691" s="8"/>
      <c r="AQ2691" s="8" t="str">
        <f ca="1">IFERROR(__xludf.DUMMYFUNCTION("""COMPUTED_VALUE"""),"Unknown")</f>
        <v>Unknown</v>
      </c>
      <c r="AR2691" s="8" t="str">
        <f ca="1">IFERROR(__xludf.DUMMYFUNCTION("""COMPUTED_VALUE"""),"NA")</f>
        <v>NA</v>
      </c>
      <c r="AS2691" s="8"/>
      <c r="AT2691" s="8"/>
      <c r="AU2691" s="8">
        <f ca="1">IFERROR(__xludf.DUMMYFUNCTION("""COMPUTED_VALUE"""),31.700335)</f>
        <v>31.700334999999999</v>
      </c>
      <c r="AV2691" s="8">
        <f ca="1">IFERROR(__xludf.DUMMYFUNCTION("""COMPUTED_VALUE"""),-106.3408)</f>
        <v>-106.3408</v>
      </c>
      <c r="AW2691" s="8"/>
      <c r="AX2691" s="8">
        <f ca="1">IFERROR(__xludf.DUMMYFUNCTION("""COMPUTED_VALUE"""),79907)</f>
        <v>79907</v>
      </c>
    </row>
    <row r="2692" spans="1:50" ht="60" x14ac:dyDescent="0.2">
      <c r="A2692" s="8" t="str">
        <f ca="1">IFERROR(__xludf.DUMMYFUNCTION("""COMPUTED_VALUE"""),"19911106LAWAN")</f>
        <v>19911106LAWAN</v>
      </c>
      <c r="B2692" s="8">
        <f ca="1">IFERROR(__xludf.DUMMYFUNCTION("""COMPUTED_VALUE"""),11)</f>
        <v>11</v>
      </c>
      <c r="C2692" s="8">
        <f ca="1">IFERROR(__xludf.DUMMYFUNCTION("""COMPUTED_VALUE"""),6)</f>
        <v>6</v>
      </c>
      <c r="D2692" s="8">
        <f ca="1">IFERROR(__xludf.DUMMYFUNCTION("""COMPUTED_VALUE"""),1991)</f>
        <v>1991</v>
      </c>
      <c r="E2692" s="9">
        <f ca="1">IFERROR(__xludf.DUMMYFUNCTION("""COMPUTED_VALUE"""),33548)</f>
        <v>33548</v>
      </c>
      <c r="F2692" s="8" t="str">
        <f ca="1">IFERROR(__xludf.DUMMYFUNCTION("""COMPUTED_VALUE"""),"Walter L. Cohen Senior High School")</f>
        <v>Walter L. Cohen Senior High School</v>
      </c>
      <c r="G2692" s="8">
        <f ca="1">IFERROR(__xludf.DUMMYFUNCTION("""COMPUTED_VALUE"""),1)</f>
        <v>1</v>
      </c>
      <c r="H2692" s="8">
        <f ca="1">IFERROR(__xludf.DUMMYFUNCTION("""COMPUTED_VALUE"""),1)</f>
        <v>1</v>
      </c>
      <c r="I2692" s="8">
        <f ca="1">IFERROR(__xludf.DUMMYFUNCTION("""COMPUTED_VALUE"""),2)</f>
        <v>2</v>
      </c>
      <c r="J2692" s="8">
        <f ca="1">IFERROR(__xludf.DUMMYFUNCTION("""COMPUTED_VALUE"""),0)</f>
        <v>0</v>
      </c>
      <c r="K2692" s="8" t="str">
        <f ca="1">IFERROR(__xludf.DUMMYFUNCTION("""COMPUTED_VALUE"""),"New Orleans Times-Picayune - Student Killed, 1 Hurt in Shooting at School; New Orleans Times-Picayune - Teenager Arrested in Student's Slaying at N.O. High School; https://www.columbine-angels.com/School_Violence_1991-1992.htm")</f>
        <v>New Orleans Times-Picayune - Student Killed, 1 Hurt in Shooting at School; New Orleans Times-Picayune - Teenager Arrested in Student's Slaying at N.O. High School; https://www.columbine-angels.com/School_Violence_1991-1992.htm</v>
      </c>
      <c r="L2692" s="8"/>
      <c r="M2692" s="8"/>
      <c r="N2692" s="8">
        <f ca="1">IFERROR(__xludf.DUMMYFUNCTION("""COMPUTED_VALUE"""),1)</f>
        <v>1</v>
      </c>
      <c r="O2692" s="8" t="str">
        <f ca="1">IFERROR(__xludf.DUMMYFUNCTION("""COMPUTED_VALUE"""),"Fall")</f>
        <v>Fall</v>
      </c>
      <c r="P2692" s="8" t="str">
        <f ca="1">IFERROR(__xludf.DUMMYFUNCTION("""COMPUTED_VALUE"""),"New Orleans")</f>
        <v>New Orleans</v>
      </c>
      <c r="Q2692" s="8" t="str">
        <f ca="1">IFERROR(__xludf.DUMMYFUNCTION("""COMPUTED_VALUE"""),"LA")</f>
        <v>LA</v>
      </c>
      <c r="R2692" s="8" t="str">
        <f ca="1">IFERROR(__xludf.DUMMYFUNCTION("""COMPUTED_VALUE"""),"High")</f>
        <v>High</v>
      </c>
      <c r="S2692" s="8" t="str">
        <f ca="1">IFERROR(__xludf.DUMMYFUNCTION("""COMPUTED_VALUE"""),"Parking Lot")</f>
        <v>Parking Lot</v>
      </c>
      <c r="T2692" s="8" t="str">
        <f ca="1">IFERROR(__xludf.DUMMYFUNCTION("""COMPUTED_VALUE"""),"Outside on School Property")</f>
        <v>Outside on School Property</v>
      </c>
      <c r="U2692" s="8" t="str">
        <f ca="1">IFERROR(__xludf.DUMMYFUNCTION("""COMPUTED_VALUE"""),"No")</f>
        <v>No</v>
      </c>
      <c r="V2692" s="8" t="str">
        <f ca="1">IFERROR(__xludf.DUMMYFUNCTION("""COMPUTED_VALUE"""),"After School")</f>
        <v>After School</v>
      </c>
      <c r="W2692" s="11">
        <f ca="1">IFERROR(__xludf.DUMMYFUNCTION("""COMPUTED_VALUE"""),0.645833333333333)</f>
        <v>0.64583333333333304</v>
      </c>
      <c r="X2692" s="8">
        <f ca="1">IFERROR(__xludf.DUMMYFUNCTION("""COMPUTED_VALUE"""),1)</f>
        <v>1</v>
      </c>
      <c r="Y2692" s="12" t="str">
        <f ca="1">IFERROR(__xludf.DUMMYFUNCTION("""COMPUTED_VALUE"""),"Fight between 8 students escalated into shooting outside school")</f>
        <v>Fight between 8 students escalated into shooting outside school</v>
      </c>
      <c r="Z2692" s="12" t="str">
        <f ca="1">IFERROR(__xludf.DUMMYFUNCTION("""COMPUTED_VALUE"""),"Argument between 8 students turned into fight outside of school. Shooter in a vehicle fired multiple shots striking two students and killing one of them.")</f>
        <v>Argument between 8 students turned into fight outside of school. Shooter in a vehicle fired multiple shots striking two students and killing one of them.</v>
      </c>
      <c r="AA2692" s="8" t="str">
        <f ca="1">IFERROR(__xludf.DUMMYFUNCTION("""COMPUTED_VALUE"""),"Drive-by Shooting")</f>
        <v>Drive-by Shooting</v>
      </c>
      <c r="AB2692" s="8"/>
      <c r="AC2692" s="8"/>
      <c r="AD2692" s="8" t="str">
        <f ca="1">IFERROR(__xludf.DUMMYFUNCTION("""COMPUTED_VALUE"""),"Victims Targeted")</f>
        <v>Victims Targeted</v>
      </c>
      <c r="AE2692" s="8" t="str">
        <f ca="1">IFERROR(__xludf.DUMMYFUNCTION("""COMPUTED_VALUE"""),"No")</f>
        <v>No</v>
      </c>
      <c r="AF2692" s="8"/>
      <c r="AG2692" s="8" t="str">
        <f ca="1">IFERROR(__xludf.DUMMYFUNCTION("""COMPUTED_VALUE"""),"No")</f>
        <v>No</v>
      </c>
      <c r="AH2692" s="8" t="str">
        <f ca="1">IFERROR(__xludf.DUMMYFUNCTION("""COMPUTED_VALUE"""),"No")</f>
        <v>No</v>
      </c>
      <c r="AI2692" s="8" t="str">
        <f ca="1">IFERROR(__xludf.DUMMYFUNCTION("""COMPUTED_VALUE"""),"No")</f>
        <v>No</v>
      </c>
      <c r="AJ2692" s="8" t="str">
        <f ca="1">IFERROR(__xludf.DUMMYFUNCTION("""COMPUTED_VALUE"""),"No")</f>
        <v>No</v>
      </c>
      <c r="AK2692" s="8" t="str">
        <f ca="1">IFERROR(__xludf.DUMMYFUNCTION("""COMPUTED_VALUE"""),"No")</f>
        <v>No</v>
      </c>
      <c r="AL2692" s="8" t="str">
        <f ca="1">IFERROR(__xludf.DUMMYFUNCTION("""COMPUTED_VALUE"""),"No")</f>
        <v>No</v>
      </c>
      <c r="AM2692" s="8"/>
      <c r="AN2692" s="8"/>
      <c r="AO2692" s="8" t="str">
        <f ca="1">IFERROR(__xludf.DUMMYFUNCTION("""COMPUTED_VALUE"""),"No")</f>
        <v>No</v>
      </c>
      <c r="AP2692" s="8"/>
      <c r="AQ2692" s="8" t="str">
        <f ca="1">IFERROR(__xludf.DUMMYFUNCTION("""COMPUTED_VALUE"""),"Unknown")</f>
        <v>Unknown</v>
      </c>
      <c r="AR2692" s="8" t="str">
        <f ca="1">IFERROR(__xludf.DUMMYFUNCTION("""COMPUTED_VALUE"""),"NA")</f>
        <v>NA</v>
      </c>
      <c r="AS2692" s="8">
        <f ca="1">IFERROR(__xludf.DUMMYFUNCTION("""COMPUTED_VALUE"""),5)</f>
        <v>5</v>
      </c>
      <c r="AT2692" s="8"/>
      <c r="AU2692" s="8">
        <f ca="1">IFERROR(__xludf.DUMMYFUNCTION("""COMPUTED_VALUE"""),29.930063)</f>
        <v>29.930063000000001</v>
      </c>
      <c r="AV2692" s="8">
        <f ca="1">IFERROR(__xludf.DUMMYFUNCTION("""COMPUTED_VALUE"""),-90.094487)</f>
        <v>-90.094487000000001</v>
      </c>
      <c r="AW2692" s="8"/>
      <c r="AX2692" s="8">
        <f ca="1">IFERROR(__xludf.DUMMYFUNCTION("""COMPUTED_VALUE"""),70115)</f>
        <v>70115</v>
      </c>
    </row>
    <row r="2693" spans="1:50" ht="60" x14ac:dyDescent="0.2">
      <c r="A2693" s="8" t="str">
        <f ca="1">IFERROR(__xludf.DUMMYFUNCTION("""COMPUTED_VALUE"""),"19911023TXOAD")</f>
        <v>19911023TXOAD</v>
      </c>
      <c r="B2693" s="8">
        <f ca="1">IFERROR(__xludf.DUMMYFUNCTION("""COMPUTED_VALUE"""),10)</f>
        <v>10</v>
      </c>
      <c r="C2693" s="8">
        <f ca="1">IFERROR(__xludf.DUMMYFUNCTION("""COMPUTED_VALUE"""),23)</f>
        <v>23</v>
      </c>
      <c r="D2693" s="8">
        <f ca="1">IFERROR(__xludf.DUMMYFUNCTION("""COMPUTED_VALUE"""),1991)</f>
        <v>1991</v>
      </c>
      <c r="E2693" s="9">
        <f ca="1">IFERROR(__xludf.DUMMYFUNCTION("""COMPUTED_VALUE"""),33534)</f>
        <v>33534</v>
      </c>
      <c r="F2693" s="8" t="str">
        <f ca="1">IFERROR(__xludf.DUMMYFUNCTION("""COMPUTED_VALUE"""),"Oak Cliff High School")</f>
        <v>Oak Cliff High School</v>
      </c>
      <c r="G2693" s="8">
        <f ca="1">IFERROR(__xludf.DUMMYFUNCTION("""COMPUTED_VALUE"""),1)</f>
        <v>1</v>
      </c>
      <c r="H2693" s="8">
        <f ca="1">IFERROR(__xludf.DUMMYFUNCTION("""COMPUTED_VALUE"""),0)</f>
        <v>0</v>
      </c>
      <c r="I2693" s="8">
        <f ca="1">IFERROR(__xludf.DUMMYFUNCTION("""COMPUTED_VALUE"""),1)</f>
        <v>1</v>
      </c>
      <c r="J2693" s="8">
        <f ca="1">IFERROR(__xludf.DUMMYFUNCTION("""COMPUTED_VALUE"""),0)</f>
        <v>0</v>
      </c>
      <c r="K2693" s="10" t="str">
        <f ca="1">IFERROR(__xludf.DUMMYFUNCTION("""COMPUTED_VALUE"""),"https://www.newspapers.com/image/300241588/?terms=Spring%2BWoods%2BHigh%2BSchool%2Bstudent%2Bshot")</f>
        <v>https://www.newspapers.com/image/300241588/?terms=Spring%2BWoods%2BHigh%2BSchool%2Bstudent%2Bshot</v>
      </c>
      <c r="L2693" s="8"/>
      <c r="M2693" s="8"/>
      <c r="N2693" s="8">
        <f ca="1">IFERROR(__xludf.DUMMYFUNCTION("""COMPUTED_VALUE"""),2)</f>
        <v>2</v>
      </c>
      <c r="O2693" s="8" t="str">
        <f ca="1">IFERROR(__xludf.DUMMYFUNCTION("""COMPUTED_VALUE"""),"Fall")</f>
        <v>Fall</v>
      </c>
      <c r="P2693" s="8" t="str">
        <f ca="1">IFERROR(__xludf.DUMMYFUNCTION("""COMPUTED_VALUE"""),"Dallas")</f>
        <v>Dallas</v>
      </c>
      <c r="Q2693" s="8" t="str">
        <f ca="1">IFERROR(__xludf.DUMMYFUNCTION("""COMPUTED_VALUE"""),"TX")</f>
        <v>TX</v>
      </c>
      <c r="R2693" s="8" t="str">
        <f ca="1">IFERROR(__xludf.DUMMYFUNCTION("""COMPUTED_VALUE"""),"High")</f>
        <v>High</v>
      </c>
      <c r="S2693" s="8" t="str">
        <f ca="1">IFERROR(__xludf.DUMMYFUNCTION("""COMPUTED_VALUE"""),"Hallway")</f>
        <v>Hallway</v>
      </c>
      <c r="T2693" s="8" t="str">
        <f ca="1">IFERROR(__xludf.DUMMYFUNCTION("""COMPUTED_VALUE"""),"Inside School Building")</f>
        <v>Inside School Building</v>
      </c>
      <c r="U2693" s="8" t="str">
        <f ca="1">IFERROR(__xludf.DUMMYFUNCTION("""COMPUTED_VALUE"""),"Yes")</f>
        <v>Yes</v>
      </c>
      <c r="V2693" s="8" t="str">
        <f ca="1">IFERROR(__xludf.DUMMYFUNCTION("""COMPUTED_VALUE"""),"School Start")</f>
        <v>School Start</v>
      </c>
      <c r="W2693" s="11">
        <f ca="1">IFERROR(__xludf.DUMMYFUNCTION("""COMPUTED_VALUE"""),0.322916666666666)</f>
        <v>0.32291666666666602</v>
      </c>
      <c r="X2693" s="8">
        <f ca="1">IFERROR(__xludf.DUMMYFUNCTION("""COMPUTED_VALUE"""),1)</f>
        <v>1</v>
      </c>
      <c r="Y2693" s="12" t="str">
        <f ca="1">IFERROR(__xludf.DUMMYFUNCTION("""COMPUTED_VALUE"""),"Shooter younger brother was bullied. Shot bully during confrontation.")</f>
        <v>Shooter younger brother was bullied. Shot bully during confrontation.</v>
      </c>
      <c r="Z2693" s="12" t="str">
        <f ca="1">IFERROR(__xludf.DUMMYFUNCTION("""COMPUTED_VALUE"""),"Shooters younger brother was being bullied. Went to school to confront bullies and fired shot killing one during confrontation. Shooter fled the scene.")</f>
        <v>Shooters younger brother was being bullied. Went to school to confront bullies and fired shot killing one during confrontation. Shooter fled the scene.</v>
      </c>
      <c r="AA2693" s="8" t="str">
        <f ca="1">IFERROR(__xludf.DUMMYFUNCTION("""COMPUTED_VALUE"""),"Bullying")</f>
        <v>Bullying</v>
      </c>
      <c r="AB2693" s="8"/>
      <c r="AC2693" s="8"/>
      <c r="AD2693" s="8" t="str">
        <f ca="1">IFERROR(__xludf.DUMMYFUNCTION("""COMPUTED_VALUE"""),"Victims Targeted")</f>
        <v>Victims Targeted</v>
      </c>
      <c r="AE2693" s="8" t="str">
        <f ca="1">IFERROR(__xludf.DUMMYFUNCTION("""COMPUTED_VALUE"""),"No")</f>
        <v>No</v>
      </c>
      <c r="AF2693" s="8"/>
      <c r="AG2693" s="8" t="str">
        <f ca="1">IFERROR(__xludf.DUMMYFUNCTION("""COMPUTED_VALUE"""),"No")</f>
        <v>No</v>
      </c>
      <c r="AH2693" s="8" t="str">
        <f ca="1">IFERROR(__xludf.DUMMYFUNCTION("""COMPUTED_VALUE"""),"No")</f>
        <v>No</v>
      </c>
      <c r="AI2693" s="8" t="str">
        <f ca="1">IFERROR(__xludf.DUMMYFUNCTION("""COMPUTED_VALUE"""),"No")</f>
        <v>No</v>
      </c>
      <c r="AJ2693" s="8" t="str">
        <f ca="1">IFERROR(__xludf.DUMMYFUNCTION("""COMPUTED_VALUE"""),"Yes")</f>
        <v>Yes</v>
      </c>
      <c r="AK2693" s="8" t="str">
        <f ca="1">IFERROR(__xludf.DUMMYFUNCTION("""COMPUTED_VALUE"""),"No")</f>
        <v>No</v>
      </c>
      <c r="AL2693" s="8" t="str">
        <f ca="1">IFERROR(__xludf.DUMMYFUNCTION("""COMPUTED_VALUE"""),"No")</f>
        <v>No</v>
      </c>
      <c r="AM2693" s="8"/>
      <c r="AN2693" s="8"/>
      <c r="AO2693" s="8" t="str">
        <f ca="1">IFERROR(__xludf.DUMMYFUNCTION("""COMPUTED_VALUE"""),"No")</f>
        <v>No</v>
      </c>
      <c r="AP2693" s="8"/>
      <c r="AQ2693" s="8" t="str">
        <f ca="1">IFERROR(__xludf.DUMMYFUNCTION("""COMPUTED_VALUE"""),"Unknown")</f>
        <v>Unknown</v>
      </c>
      <c r="AR2693" s="8" t="str">
        <f ca="1">IFERROR(__xludf.DUMMYFUNCTION("""COMPUTED_VALUE"""),"NA")</f>
        <v>NA</v>
      </c>
      <c r="AS2693" s="8">
        <f ca="1">IFERROR(__xludf.DUMMYFUNCTION("""COMPUTED_VALUE"""),1)</f>
        <v>1</v>
      </c>
      <c r="AT2693" s="8"/>
      <c r="AU2693" s="8">
        <f ca="1">IFERROR(__xludf.DUMMYFUNCTION("""COMPUTED_VALUE"""),32.69958)</f>
        <v>32.699579999999997</v>
      </c>
      <c r="AV2693" s="8">
        <f ca="1">IFERROR(__xludf.DUMMYFUNCTION("""COMPUTED_VALUE"""),-96.815693)</f>
        <v>-96.815692999999996</v>
      </c>
      <c r="AW2693" s="8"/>
      <c r="AX2693" s="8">
        <f ca="1">IFERROR(__xludf.DUMMYFUNCTION("""COMPUTED_VALUE"""),75216)</f>
        <v>75216</v>
      </c>
    </row>
    <row r="2694" spans="1:50" ht="105" x14ac:dyDescent="0.2">
      <c r="A2694" s="8" t="str">
        <f ca="1">IFERROR(__xludf.DUMMYFUNCTION("""COMPUTED_VALUE"""),"19911015TXGEP")</f>
        <v>19911015TXGEP</v>
      </c>
      <c r="B2694" s="8">
        <f ca="1">IFERROR(__xludf.DUMMYFUNCTION("""COMPUTED_VALUE"""),10)</f>
        <v>10</v>
      </c>
      <c r="C2694" s="8">
        <f ca="1">IFERROR(__xludf.DUMMYFUNCTION("""COMPUTED_VALUE"""),15)</f>
        <v>15</v>
      </c>
      <c r="D2694" s="8">
        <f ca="1">IFERROR(__xludf.DUMMYFUNCTION("""COMPUTED_VALUE"""),1991)</f>
        <v>1991</v>
      </c>
      <c r="E2694" s="9">
        <f ca="1">IFERROR(__xludf.DUMMYFUNCTION("""COMPUTED_VALUE"""),33526)</f>
        <v>33526</v>
      </c>
      <c r="F2694" s="8" t="str">
        <f ca="1">IFERROR(__xludf.DUMMYFUNCTION("""COMPUTED_VALUE"""),"Genevieve Sparks Elementary School")</f>
        <v>Genevieve Sparks Elementary School</v>
      </c>
      <c r="G2694" s="8">
        <f ca="1">IFERROR(__xludf.DUMMYFUNCTION("""COMPUTED_VALUE"""),0)</f>
        <v>0</v>
      </c>
      <c r="H2694" s="8">
        <f ca="1">IFERROR(__xludf.DUMMYFUNCTION("""COMPUTED_VALUE"""),1)</f>
        <v>1</v>
      </c>
      <c r="I2694" s="8">
        <f ca="1">IFERROR(__xludf.DUMMYFUNCTION("""COMPUTED_VALUE"""),1)</f>
        <v>1</v>
      </c>
      <c r="J2694" s="8">
        <f ca="1">IFERROR(__xludf.DUMMYFUNCTION("""COMPUTED_VALUE"""),0)</f>
        <v>0</v>
      </c>
      <c r="K2694" s="10" t="str">
        <f ca="1">IFERROR(__xludf.DUMMYFUNCTION("""COMPUTED_VALUE"""),"https://www.newspapers.com/image/300231582/?terms=Genevieve%2BSparks%2BElementary%2BSchool")</f>
        <v>https://www.newspapers.com/image/300231582/?terms=Genevieve%2BSparks%2BElementary%2BSchool</v>
      </c>
      <c r="L2694" s="8"/>
      <c r="M2694" s="8"/>
      <c r="N2694" s="8">
        <f ca="1">IFERROR(__xludf.DUMMYFUNCTION("""COMPUTED_VALUE"""),2)</f>
        <v>2</v>
      </c>
      <c r="O2694" s="8" t="str">
        <f ca="1">IFERROR(__xludf.DUMMYFUNCTION("""COMPUTED_VALUE"""),"Fall")</f>
        <v>Fall</v>
      </c>
      <c r="P2694" s="8" t="str">
        <f ca="1">IFERROR(__xludf.DUMMYFUNCTION("""COMPUTED_VALUE"""),"Pasadena")</f>
        <v>Pasadena</v>
      </c>
      <c r="Q2694" s="8" t="str">
        <f ca="1">IFERROR(__xludf.DUMMYFUNCTION("""COMPUTED_VALUE"""),"TX")</f>
        <v>TX</v>
      </c>
      <c r="R2694" s="8" t="str">
        <f ca="1">IFERROR(__xludf.DUMMYFUNCTION("""COMPUTED_VALUE"""),"Elementary")</f>
        <v>Elementary</v>
      </c>
      <c r="S2694" s="8" t="str">
        <f ca="1">IFERROR(__xludf.DUMMYFUNCTION("""COMPUTED_VALUE"""),"Field (General)")</f>
        <v>Field (General)</v>
      </c>
      <c r="T2694" s="8" t="str">
        <f ca="1">IFERROR(__xludf.DUMMYFUNCTION("""COMPUTED_VALUE"""),"Outside on School Property")</f>
        <v>Outside on School Property</v>
      </c>
      <c r="U2694" s="8" t="str">
        <f ca="1">IFERROR(__xludf.DUMMYFUNCTION("""COMPUTED_VALUE"""),"Yes")</f>
        <v>Yes</v>
      </c>
      <c r="V2694" s="8" t="str">
        <f ca="1">IFERROR(__xludf.DUMMYFUNCTION("""COMPUTED_VALUE"""),"Afternoon Classes")</f>
        <v>Afternoon Classes</v>
      </c>
      <c r="W2694" s="11">
        <f ca="1">IFERROR(__xludf.DUMMYFUNCTION("""COMPUTED_VALUE"""),0.552083333333333)</f>
        <v>0.55208333333333304</v>
      </c>
      <c r="X2694" s="8">
        <f ca="1">IFERROR(__xludf.DUMMYFUNCTION("""COMPUTED_VALUE"""),1)</f>
        <v>1</v>
      </c>
      <c r="Y2694" s="12" t="str">
        <f ca="1">IFERROR(__xludf.DUMMYFUNCTION("""COMPUTED_VALUE"""),"Accidental. 13YO boy in woods nearby was shooting at squirrels, didn't realize how far bullets traveled.")</f>
        <v>Accidental. 13YO boy in woods nearby was shooting at squirrels, didn't realize how far bullets traveled.</v>
      </c>
      <c r="Z2694" s="12" t="str">
        <f ca="1">IFERROR(__xludf.DUMMYFUNCTION("""COMPUTED_VALUE"""),"Victim was struck outside of school during recess by single .22 round. Boy nearby was shooting at squirrels. Didn't realize bullets would travel far enough to reach school.")</f>
        <v>Victim was struck outside of school during recess by single .22 round. Boy nearby was shooting at squirrels. Didn't realize bullets would travel far enough to reach school.</v>
      </c>
      <c r="AA2694" s="8" t="str">
        <f ca="1">IFERROR(__xludf.DUMMYFUNCTION("""COMPUTED_VALUE"""),"Accidental")</f>
        <v>Accidental</v>
      </c>
      <c r="AB2694" s="8"/>
      <c r="AC2694" s="8"/>
      <c r="AD2694" s="8" t="str">
        <f ca="1">IFERROR(__xludf.DUMMYFUNCTION("""COMPUTED_VALUE"""),"Random Shooting")</f>
        <v>Random Shooting</v>
      </c>
      <c r="AE2694" s="8" t="str">
        <f ca="1">IFERROR(__xludf.DUMMYFUNCTION("""COMPUTED_VALUE"""),"No")</f>
        <v>No</v>
      </c>
      <c r="AF2694" s="8"/>
      <c r="AG2694" s="8" t="str">
        <f ca="1">IFERROR(__xludf.DUMMYFUNCTION("""COMPUTED_VALUE"""),"No")</f>
        <v>No</v>
      </c>
      <c r="AH2694" s="8" t="str">
        <f ca="1">IFERROR(__xludf.DUMMYFUNCTION("""COMPUTED_VALUE"""),"No")</f>
        <v>No</v>
      </c>
      <c r="AI2694" s="8" t="str">
        <f ca="1">IFERROR(__xludf.DUMMYFUNCTION("""COMPUTED_VALUE"""),"No")</f>
        <v>No</v>
      </c>
      <c r="AJ2694" s="8" t="str">
        <f ca="1">IFERROR(__xludf.DUMMYFUNCTION("""COMPUTED_VALUE"""),"No")</f>
        <v>No</v>
      </c>
      <c r="AK2694" s="8" t="str">
        <f ca="1">IFERROR(__xludf.DUMMYFUNCTION("""COMPUTED_VALUE"""),"No")</f>
        <v>No</v>
      </c>
      <c r="AL2694" s="8" t="str">
        <f ca="1">IFERROR(__xludf.DUMMYFUNCTION("""COMPUTED_VALUE"""),"No")</f>
        <v>No</v>
      </c>
      <c r="AM2694" s="8"/>
      <c r="AN2694" s="8"/>
      <c r="AO2694" s="8" t="str">
        <f ca="1">IFERROR(__xludf.DUMMYFUNCTION("""COMPUTED_VALUE"""),"No")</f>
        <v>No</v>
      </c>
      <c r="AP2694" s="8"/>
      <c r="AQ2694" s="8" t="str">
        <f ca="1">IFERROR(__xludf.DUMMYFUNCTION("""COMPUTED_VALUE"""),"Unknown")</f>
        <v>Unknown</v>
      </c>
      <c r="AR2694" s="8" t="str">
        <f ca="1">IFERROR(__xludf.DUMMYFUNCTION("""COMPUTED_VALUE"""),"NA")</f>
        <v>NA</v>
      </c>
      <c r="AS2694" s="8">
        <f ca="1">IFERROR(__xludf.DUMMYFUNCTION("""COMPUTED_VALUE"""),1)</f>
        <v>1</v>
      </c>
      <c r="AT2694" s="8"/>
      <c r="AU2694" s="8">
        <f ca="1">IFERROR(__xludf.DUMMYFUNCTION("""COMPUTED_VALUE"""),29.692404)</f>
        <v>29.692404</v>
      </c>
      <c r="AV2694" s="8">
        <f ca="1">IFERROR(__xludf.DUMMYFUNCTION("""COMPUTED_VALUE"""),-95.17813)</f>
        <v>-95.178129999999996</v>
      </c>
      <c r="AW2694" s="8"/>
      <c r="AX2694" s="8">
        <f ca="1">IFERROR(__xludf.DUMMYFUNCTION("""COMPUTED_VALUE"""),77506)</f>
        <v>77506</v>
      </c>
    </row>
    <row r="2695" spans="1:50" ht="75" x14ac:dyDescent="0.2">
      <c r="A2695" s="8" t="str">
        <f ca="1">IFERROR(__xludf.DUMMYFUNCTION("""COMPUTED_VALUE"""),"19911015SCWOW")</f>
        <v>19911015SCWOW</v>
      </c>
      <c r="B2695" s="8">
        <f ca="1">IFERROR(__xludf.DUMMYFUNCTION("""COMPUTED_VALUE"""),10)</f>
        <v>10</v>
      </c>
      <c r="C2695" s="8">
        <f ca="1">IFERROR(__xludf.DUMMYFUNCTION("""COMPUTED_VALUE"""),15)</f>
        <v>15</v>
      </c>
      <c r="D2695" s="8">
        <f ca="1">IFERROR(__xludf.DUMMYFUNCTION("""COMPUTED_VALUE"""),1991)</f>
        <v>1991</v>
      </c>
      <c r="E2695" s="9">
        <f ca="1">IFERROR(__xludf.DUMMYFUNCTION("""COMPUTED_VALUE"""),33526)</f>
        <v>33526</v>
      </c>
      <c r="F2695" s="8" t="str">
        <f ca="1">IFERROR(__xludf.DUMMYFUNCTION("""COMPUTED_VALUE"""),"Woodruff High School")</f>
        <v>Woodruff High School</v>
      </c>
      <c r="G2695" s="8">
        <f ca="1">IFERROR(__xludf.DUMMYFUNCTION("""COMPUTED_VALUE"""),0)</f>
        <v>0</v>
      </c>
      <c r="H2695" s="8">
        <f ca="1">IFERROR(__xludf.DUMMYFUNCTION("""COMPUTED_VALUE"""),0)</f>
        <v>0</v>
      </c>
      <c r="I2695" s="8">
        <f ca="1">IFERROR(__xludf.DUMMYFUNCTION("""COMPUTED_VALUE"""),0)</f>
        <v>0</v>
      </c>
      <c r="J2695" s="8">
        <f ca="1">IFERROR(__xludf.DUMMYFUNCTION("""COMPUTED_VALUE"""),0)</f>
        <v>0</v>
      </c>
      <c r="K2695" s="10" t="str">
        <f ca="1">IFERROR(__xludf.DUMMYFUNCTION("""COMPUTED_VALUE"""),"https://www.newspapers.com/image/191964993/?terms=Woodruff%2BHigh%2BSchool%2Bshooting")</f>
        <v>https://www.newspapers.com/image/191964993/?terms=Woodruff%2BHigh%2BSchool%2Bshooting</v>
      </c>
      <c r="L2695" s="8"/>
      <c r="M2695" s="8"/>
      <c r="N2695" s="8">
        <f ca="1">IFERROR(__xludf.DUMMYFUNCTION("""COMPUTED_VALUE"""),2)</f>
        <v>2</v>
      </c>
      <c r="O2695" s="8" t="str">
        <f ca="1">IFERROR(__xludf.DUMMYFUNCTION("""COMPUTED_VALUE"""),"Fall")</f>
        <v>Fall</v>
      </c>
      <c r="P2695" s="8" t="str">
        <f ca="1">IFERROR(__xludf.DUMMYFUNCTION("""COMPUTED_VALUE"""),"Woodruff")</f>
        <v>Woodruff</v>
      </c>
      <c r="Q2695" s="8" t="str">
        <f ca="1">IFERROR(__xludf.DUMMYFUNCTION("""COMPUTED_VALUE"""),"SC")</f>
        <v>SC</v>
      </c>
      <c r="R2695" s="8" t="str">
        <f ca="1">IFERROR(__xludf.DUMMYFUNCTION("""COMPUTED_VALUE"""),"High")</f>
        <v>High</v>
      </c>
      <c r="S2695" s="8" t="str">
        <f ca="1">IFERROR(__xludf.DUMMYFUNCTION("""COMPUTED_VALUE"""),"Hallway")</f>
        <v>Hallway</v>
      </c>
      <c r="T2695" s="8" t="str">
        <f ca="1">IFERROR(__xludf.DUMMYFUNCTION("""COMPUTED_VALUE"""),"Inside School Building")</f>
        <v>Inside School Building</v>
      </c>
      <c r="U2695" s="8" t="str">
        <f ca="1">IFERROR(__xludf.DUMMYFUNCTION("""COMPUTED_VALUE"""),"Yes")</f>
        <v>Yes</v>
      </c>
      <c r="V2695" s="8" t="str">
        <f ca="1">IFERROR(__xludf.DUMMYFUNCTION("""COMPUTED_VALUE"""),"Lunch")</f>
        <v>Lunch</v>
      </c>
      <c r="W2695" s="11">
        <f ca="1">IFERROR(__xludf.DUMMYFUNCTION("""COMPUTED_VALUE"""),0.520833333333333)</f>
        <v>0.52083333333333304</v>
      </c>
      <c r="X2695" s="8">
        <f ca="1">IFERROR(__xludf.DUMMYFUNCTION("""COMPUTED_VALUE"""),1)</f>
        <v>1</v>
      </c>
      <c r="Y2695" s="12" t="str">
        <f ca="1">IFERROR(__xludf.DUMMYFUNCTION("""COMPUTED_VALUE"""),"Shooter fired shots into the air while being harassed by two bullies. Fled scene after firing.")</f>
        <v>Shooter fired shots into the air while being harassed by two bullies. Fled scene after firing.</v>
      </c>
      <c r="Z2695" s="12" t="str">
        <f ca="1">IFERROR(__xludf.DUMMYFUNCTION("""COMPUTED_VALUE"""),"Two students had bullied shooter. Shooter pulled out pistol and fired shots into the air then fled the scene. Shooter was arrested at a nearby apartment building.")</f>
        <v>Two students had bullied shooter. Shooter pulled out pistol and fired shots into the air then fled the scene. Shooter was arrested at a nearby apartment building.</v>
      </c>
      <c r="AA2695" s="8" t="str">
        <f ca="1">IFERROR(__xludf.DUMMYFUNCTION("""COMPUTED_VALUE"""),"Bullying")</f>
        <v>Bullying</v>
      </c>
      <c r="AB2695" s="8"/>
      <c r="AC2695" s="8"/>
      <c r="AD2695" s="8" t="str">
        <f ca="1">IFERROR(__xludf.DUMMYFUNCTION("""COMPUTED_VALUE"""),"Victims Targeted")</f>
        <v>Victims Targeted</v>
      </c>
      <c r="AE2695" s="8" t="str">
        <f ca="1">IFERROR(__xludf.DUMMYFUNCTION("""COMPUTED_VALUE"""),"No")</f>
        <v>No</v>
      </c>
      <c r="AF2695" s="8"/>
      <c r="AG2695" s="8" t="str">
        <f ca="1">IFERROR(__xludf.DUMMYFUNCTION("""COMPUTED_VALUE"""),"No")</f>
        <v>No</v>
      </c>
      <c r="AH2695" s="8" t="str">
        <f ca="1">IFERROR(__xludf.DUMMYFUNCTION("""COMPUTED_VALUE"""),"No")</f>
        <v>No</v>
      </c>
      <c r="AI2695" s="8" t="str">
        <f ca="1">IFERROR(__xludf.DUMMYFUNCTION("""COMPUTED_VALUE"""),"No")</f>
        <v>No</v>
      </c>
      <c r="AJ2695" s="8" t="str">
        <f ca="1">IFERROR(__xludf.DUMMYFUNCTION("""COMPUTED_VALUE"""),"Yes")</f>
        <v>Yes</v>
      </c>
      <c r="AK2695" s="8" t="str">
        <f ca="1">IFERROR(__xludf.DUMMYFUNCTION("""COMPUTED_VALUE"""),"No")</f>
        <v>No</v>
      </c>
      <c r="AL2695" s="8" t="str">
        <f ca="1">IFERROR(__xludf.DUMMYFUNCTION("""COMPUTED_VALUE"""),"No")</f>
        <v>No</v>
      </c>
      <c r="AM2695" s="8"/>
      <c r="AN2695" s="8"/>
      <c r="AO2695" s="8" t="str">
        <f ca="1">IFERROR(__xludf.DUMMYFUNCTION("""COMPUTED_VALUE"""),"No")</f>
        <v>No</v>
      </c>
      <c r="AP2695" s="8"/>
      <c r="AQ2695" s="8" t="str">
        <f ca="1">IFERROR(__xludf.DUMMYFUNCTION("""COMPUTED_VALUE"""),"Unknown")</f>
        <v>Unknown</v>
      </c>
      <c r="AR2695" s="8" t="str">
        <f ca="1">IFERROR(__xludf.DUMMYFUNCTION("""COMPUTED_VALUE"""),"NA")</f>
        <v>NA</v>
      </c>
      <c r="AS2695" s="8" t="str">
        <f ca="1">IFERROR(__xludf.DUMMYFUNCTION("""COMPUTED_VALUE"""),"&lt;5")</f>
        <v>&lt;5</v>
      </c>
      <c r="AT2695" s="8"/>
      <c r="AU2695" s="8">
        <f ca="1">IFERROR(__xludf.DUMMYFUNCTION("""COMPUTED_VALUE"""),34.732033)</f>
        <v>34.732033000000001</v>
      </c>
      <c r="AV2695" s="8">
        <f ca="1">IFERROR(__xludf.DUMMYFUNCTION("""COMPUTED_VALUE"""),-82.022422)</f>
        <v>-82.022422000000006</v>
      </c>
      <c r="AW2695" s="8"/>
      <c r="AX2695" s="8">
        <f ca="1">IFERROR(__xludf.DUMMYFUNCTION("""COMPUTED_VALUE"""),29388)</f>
        <v>29388</v>
      </c>
    </row>
    <row r="2696" spans="1:50" ht="105" x14ac:dyDescent="0.2">
      <c r="A2696" s="8" t="str">
        <f ca="1">IFERROR(__xludf.DUMMYFUNCTION("""COMPUTED_VALUE"""),"19911015NHMOS")</f>
        <v>19911015NHMOS</v>
      </c>
      <c r="B2696" s="8">
        <f ca="1">IFERROR(__xludf.DUMMYFUNCTION("""COMPUTED_VALUE"""),10)</f>
        <v>10</v>
      </c>
      <c r="C2696" s="8">
        <f ca="1">IFERROR(__xludf.DUMMYFUNCTION("""COMPUTED_VALUE"""),15)</f>
        <v>15</v>
      </c>
      <c r="D2696" s="8">
        <f ca="1">IFERROR(__xludf.DUMMYFUNCTION("""COMPUTED_VALUE"""),1991)</f>
        <v>1991</v>
      </c>
      <c r="E2696" s="9">
        <f ca="1">IFERROR(__xludf.DUMMYFUNCTION("""COMPUTED_VALUE"""),33526)</f>
        <v>33526</v>
      </c>
      <c r="F2696" s="8" t="str">
        <f ca="1">IFERROR(__xludf.DUMMYFUNCTION("""COMPUTED_VALUE"""),"Monadnock Regional High School")</f>
        <v>Monadnock Regional High School</v>
      </c>
      <c r="G2696" s="8">
        <f ca="1">IFERROR(__xludf.DUMMYFUNCTION("""COMPUTED_VALUE"""),0)</f>
        <v>0</v>
      </c>
      <c r="H2696" s="8">
        <f ca="1">IFERROR(__xludf.DUMMYFUNCTION("""COMPUTED_VALUE"""),2)</f>
        <v>2</v>
      </c>
      <c r="I2696" s="8">
        <f ca="1">IFERROR(__xludf.DUMMYFUNCTION("""COMPUTED_VALUE"""),2)</f>
        <v>2</v>
      </c>
      <c r="J2696" s="8">
        <f ca="1">IFERROR(__xludf.DUMMYFUNCTION("""COMPUTED_VALUE"""),0)</f>
        <v>0</v>
      </c>
      <c r="K2696" s="8" t="str">
        <f ca="1">IFERROR(__xludf.DUMMYFUNCTION("""COMPUTED_VALUE"""),"http://www.sentinelsource.com/news/local/from-the-files-oct/article_9e9f4e93-7810-5896-aa30-ce17d05e8a68.html   https://www.carnegiehero.org/awardees/profiles/stockwell/")</f>
        <v>http://www.sentinelsource.com/news/local/from-the-files-oct/article_9e9f4e93-7810-5896-aa30-ce17d05e8a68.html   https://www.carnegiehero.org/awardees/profiles/stockwell/</v>
      </c>
      <c r="L2696" s="8"/>
      <c r="M2696" s="8"/>
      <c r="N2696" s="8">
        <f ca="1">IFERROR(__xludf.DUMMYFUNCTION("""COMPUTED_VALUE"""),2)</f>
        <v>2</v>
      </c>
      <c r="O2696" s="8" t="str">
        <f ca="1">IFERROR(__xludf.DUMMYFUNCTION("""COMPUTED_VALUE"""),"Fall")</f>
        <v>Fall</v>
      </c>
      <c r="P2696" s="8" t="str">
        <f ca="1">IFERROR(__xludf.DUMMYFUNCTION("""COMPUTED_VALUE"""),"Swanzey")</f>
        <v>Swanzey</v>
      </c>
      <c r="Q2696" s="8" t="str">
        <f ca="1">IFERROR(__xludf.DUMMYFUNCTION("""COMPUTED_VALUE"""),"NH")</f>
        <v>NH</v>
      </c>
      <c r="R2696" s="8" t="str">
        <f ca="1">IFERROR(__xludf.DUMMYFUNCTION("""COMPUTED_VALUE"""),"High")</f>
        <v>High</v>
      </c>
      <c r="S2696" s="8" t="str">
        <f ca="1">IFERROR(__xludf.DUMMYFUNCTION("""COMPUTED_VALUE"""),"Hallway")</f>
        <v>Hallway</v>
      </c>
      <c r="T2696" s="8" t="str">
        <f ca="1">IFERROR(__xludf.DUMMYFUNCTION("""COMPUTED_VALUE"""),"Inside School Building")</f>
        <v>Inside School Building</v>
      </c>
      <c r="U2696" s="8" t="str">
        <f ca="1">IFERROR(__xludf.DUMMYFUNCTION("""COMPUTED_VALUE"""),"Yes")</f>
        <v>Yes</v>
      </c>
      <c r="V2696" s="8" t="str">
        <f ca="1">IFERROR(__xludf.DUMMYFUNCTION("""COMPUTED_VALUE"""),"Morning Classes")</f>
        <v>Morning Classes</v>
      </c>
      <c r="W2696" s="8"/>
      <c r="X2696" s="8">
        <f ca="1">IFERROR(__xludf.DUMMYFUNCTION("""COMPUTED_VALUE"""),15)</f>
        <v>15</v>
      </c>
      <c r="Y2696" s="12" t="str">
        <f ca="1">IFERROR(__xludf.DUMMYFUNCTION("""COMPUTED_VALUE"""),"Shooter fired rifle shot which broke into pieces and injured two students; subdued by police after 15 minute standoff")</f>
        <v>Shooter fired rifle shot which broke into pieces and injured two students; subdued by police after 15 minute standoff</v>
      </c>
      <c r="Z2696" s="12" t="str">
        <f ca="1">IFERROR(__xludf.DUMMYFUNCTION("""COMPUTED_VALUE"""),"16 year old drop out walked into his former school - shoots rifle  - bullet breaks into fragments and injured two students. 15 minute standoff ensues - police able to sneak in behind him and tackle")</f>
        <v>16 year old drop out walked into his former school - shoots rifle  - bullet breaks into fragments and injured two students. 15 minute standoff ensues - police able to sneak in behind him and tackle</v>
      </c>
      <c r="AA2696" s="8" t="str">
        <f ca="1">IFERROR(__xludf.DUMMYFUNCTION("""COMPUTED_VALUE"""),"Indiscriminate Shooting")</f>
        <v>Indiscriminate Shooting</v>
      </c>
      <c r="AB2696" s="8"/>
      <c r="AC2696" s="8"/>
      <c r="AD2696" s="8" t="str">
        <f ca="1">IFERROR(__xludf.DUMMYFUNCTION("""COMPUTED_VALUE"""),"Random Shooting")</f>
        <v>Random Shooting</v>
      </c>
      <c r="AE2696" s="8" t="str">
        <f ca="1">IFERROR(__xludf.DUMMYFUNCTION("""COMPUTED_VALUE"""),"No")</f>
        <v>No</v>
      </c>
      <c r="AF2696" s="8"/>
      <c r="AG2696" s="8" t="str">
        <f ca="1">IFERROR(__xludf.DUMMYFUNCTION("""COMPUTED_VALUE"""),"No")</f>
        <v>No</v>
      </c>
      <c r="AH2696" s="8" t="str">
        <f ca="1">IFERROR(__xludf.DUMMYFUNCTION("""COMPUTED_VALUE"""),"Yes")</f>
        <v>Yes</v>
      </c>
      <c r="AI2696" s="8" t="str">
        <f ca="1">IFERROR(__xludf.DUMMYFUNCTION("""COMPUTED_VALUE"""),"No")</f>
        <v>No</v>
      </c>
      <c r="AJ2696" s="8" t="str">
        <f ca="1">IFERROR(__xludf.DUMMYFUNCTION("""COMPUTED_VALUE"""),"No")</f>
        <v>No</v>
      </c>
      <c r="AK2696" s="8"/>
      <c r="AL2696" s="8" t="str">
        <f ca="1">IFERROR(__xludf.DUMMYFUNCTION("""COMPUTED_VALUE"""),"No")</f>
        <v>No</v>
      </c>
      <c r="AM2696" s="8" t="str">
        <f ca="1">IFERROR(__xludf.DUMMYFUNCTION("""COMPUTED_VALUE"""),"Yes")</f>
        <v>Yes</v>
      </c>
      <c r="AN2696" s="8" t="str">
        <f ca="1">IFERROR(__xludf.DUMMYFUNCTION("""COMPUTED_VALUE"""),"Single Room")</f>
        <v>Single Room</v>
      </c>
      <c r="AO2696" s="8" t="str">
        <f ca="1">IFERROR(__xludf.DUMMYFUNCTION("""COMPUTED_VALUE"""),"Yes")</f>
        <v>Yes</v>
      </c>
      <c r="AP2696" s="8"/>
      <c r="AQ2696" s="8" t="str">
        <f ca="1">IFERROR(__xludf.DUMMYFUNCTION("""COMPUTED_VALUE"""),"Unknown")</f>
        <v>Unknown</v>
      </c>
      <c r="AR2696" s="8" t="str">
        <f ca="1">IFERROR(__xludf.DUMMYFUNCTION("""COMPUTED_VALUE"""),"NA")</f>
        <v>NA</v>
      </c>
      <c r="AS2696" s="8">
        <f ca="1">IFERROR(__xludf.DUMMYFUNCTION("""COMPUTED_VALUE"""),1)</f>
        <v>1</v>
      </c>
      <c r="AT2696" s="8"/>
      <c r="AU2696" s="8">
        <f ca="1">IFERROR(__xludf.DUMMYFUNCTION("""COMPUTED_VALUE"""),42.874282)</f>
        <v>42.874282000000001</v>
      </c>
      <c r="AV2696" s="8">
        <f ca="1">IFERROR(__xludf.DUMMYFUNCTION("""COMPUTED_VALUE"""),-72.27973)</f>
        <v>-72.279730000000001</v>
      </c>
      <c r="AW2696" s="8"/>
      <c r="AX2696" s="8">
        <f ca="1">IFERROR(__xludf.DUMMYFUNCTION("""COMPUTED_VALUE"""),3446)</f>
        <v>3446</v>
      </c>
    </row>
    <row r="2697" spans="1:50" ht="45" x14ac:dyDescent="0.2">
      <c r="A2697" s="8" t="str">
        <f ca="1">IFERROR(__xludf.DUMMYFUNCTION("""COMPUTED_VALUE"""),"19911011MAMAR")</f>
        <v>19911011MAMAR</v>
      </c>
      <c r="B2697" s="8">
        <f ca="1">IFERROR(__xludf.DUMMYFUNCTION("""COMPUTED_VALUE"""),10)</f>
        <v>10</v>
      </c>
      <c r="C2697" s="8">
        <f ca="1">IFERROR(__xludf.DUMMYFUNCTION("""COMPUTED_VALUE"""),11)</f>
        <v>11</v>
      </c>
      <c r="D2697" s="8">
        <f ca="1">IFERROR(__xludf.DUMMYFUNCTION("""COMPUTED_VALUE"""),1991)</f>
        <v>1991</v>
      </c>
      <c r="E2697" s="9">
        <f ca="1">IFERROR(__xludf.DUMMYFUNCTION("""COMPUTED_VALUE"""),33522)</f>
        <v>33522</v>
      </c>
      <c r="F2697" s="8" t="str">
        <f ca="1">IFERROR(__xludf.DUMMYFUNCTION("""COMPUTED_VALUE"""),"Madison Park High School")</f>
        <v>Madison Park High School</v>
      </c>
      <c r="G2697" s="8">
        <f ca="1">IFERROR(__xludf.DUMMYFUNCTION("""COMPUTED_VALUE"""),0)</f>
        <v>0</v>
      </c>
      <c r="H2697" s="8">
        <f ca="1">IFERROR(__xludf.DUMMYFUNCTION("""COMPUTED_VALUE"""),1)</f>
        <v>1</v>
      </c>
      <c r="I2697" s="8">
        <f ca="1">IFERROR(__xludf.DUMMYFUNCTION("""COMPUTED_VALUE"""),1)</f>
        <v>1</v>
      </c>
      <c r="J2697" s="8">
        <f ca="1">IFERROR(__xludf.DUMMYFUNCTION("""COMPUTED_VALUE"""),0)</f>
        <v>0</v>
      </c>
      <c r="K2697" s="8" t="str">
        <f ca="1">IFERROR(__xludf.DUMMYFUNCTION("""COMPUTED_VALUE"""),"https://www.newspapers.com/image/169132628/?terms=%22shot%20high%20school%20football%22&amp;match=1 https://www.newspapers.com/image/439652854/?terms=JAMAL%2BDOUGLAS   https://www.newspapers.com/image/439677871/?terms=monadnock%2Bhigh%2Bschool%2Bshooting")</f>
        <v>https://www.newspapers.com/image/169132628/?terms=%22shot%20high%20school%20football%22&amp;match=1 https://www.newspapers.com/image/439652854/?terms=JAMAL%2BDOUGLAS   https://www.newspapers.com/image/439677871/?terms=monadnock%2Bhigh%2Bschool%2Bshooting</v>
      </c>
      <c r="L2697" s="8">
        <f ca="1">IFERROR(__xludf.DUMMYFUNCTION("""COMPUTED_VALUE"""),2)</f>
        <v>2</v>
      </c>
      <c r="M2697" s="8" t="str">
        <f ca="1">IFERROR(__xludf.DUMMYFUNCTION("""COMPUTED_VALUE"""),"National")</f>
        <v>National</v>
      </c>
      <c r="N2697" s="8">
        <f ca="1">IFERROR(__xludf.DUMMYFUNCTION("""COMPUTED_VALUE"""),3)</f>
        <v>3</v>
      </c>
      <c r="O2697" s="8" t="str">
        <f ca="1">IFERROR(__xludf.DUMMYFUNCTION("""COMPUTED_VALUE"""),"Fall")</f>
        <v>Fall</v>
      </c>
      <c r="P2697" s="8" t="str">
        <f ca="1">IFERROR(__xludf.DUMMYFUNCTION("""COMPUTED_VALUE"""),"Roxbury")</f>
        <v>Roxbury</v>
      </c>
      <c r="Q2697" s="8" t="str">
        <f ca="1">IFERROR(__xludf.DUMMYFUNCTION("""COMPUTED_VALUE"""),"MA")</f>
        <v>MA</v>
      </c>
      <c r="R2697" s="8" t="str">
        <f ca="1">IFERROR(__xludf.DUMMYFUNCTION("""COMPUTED_VALUE"""),"High")</f>
        <v>High</v>
      </c>
      <c r="S2697" s="8" t="str">
        <f ca="1">IFERROR(__xludf.DUMMYFUNCTION("""COMPUTED_VALUE"""),"Football Field/Track")</f>
        <v>Football Field/Track</v>
      </c>
      <c r="T2697" s="8" t="str">
        <f ca="1">IFERROR(__xludf.DUMMYFUNCTION("""COMPUTED_VALUE"""),"Outside on School Property")</f>
        <v>Outside on School Property</v>
      </c>
      <c r="U2697" s="8" t="str">
        <f ca="1">IFERROR(__xludf.DUMMYFUNCTION("""COMPUTED_VALUE"""),"Yes")</f>
        <v>Yes</v>
      </c>
      <c r="V2697" s="8" t="str">
        <f ca="1">IFERROR(__xludf.DUMMYFUNCTION("""COMPUTED_VALUE"""),"After School")</f>
        <v>After School</v>
      </c>
      <c r="W2697" s="11">
        <f ca="1">IFERROR(__xludf.DUMMYFUNCTION("""COMPUTED_VALUE"""),0.663194444444444)</f>
        <v>0.66319444444444398</v>
      </c>
      <c r="X2697" s="8">
        <f ca="1">IFERROR(__xludf.DUMMYFUNCTION("""COMPUTED_VALUE"""),1)</f>
        <v>1</v>
      </c>
      <c r="Y2697" s="12" t="str">
        <f ca="1">IFERROR(__xludf.DUMMYFUNCTION("""COMPUTED_VALUE"""),"Teen shot during halftime of football game")</f>
        <v>Teen shot during halftime of football game</v>
      </c>
      <c r="Z2697" s="12" t="str">
        <f ca="1">IFERROR(__xludf.DUMMYFUNCTION("""COMPUTED_VALUE"""),"17-year-old student from rival school was shot during halftime of the football game. Victim was assaulted by 4 teens and shot when he ran away.")</f>
        <v>17-year-old student from rival school was shot during halftime of the football game. Victim was assaulted by 4 teens and shot when he ran away.</v>
      </c>
      <c r="AA2697" s="8" t="str">
        <f ca="1">IFERROR(__xludf.DUMMYFUNCTION("""COMPUTED_VALUE"""),"Escalation of Dispute")</f>
        <v>Escalation of Dispute</v>
      </c>
      <c r="AB2697" s="8"/>
      <c r="AC2697" s="8"/>
      <c r="AD2697" s="8" t="str">
        <f ca="1">IFERROR(__xludf.DUMMYFUNCTION("""COMPUTED_VALUE"""),"Victims Targeted")</f>
        <v>Victims Targeted</v>
      </c>
      <c r="AE2697" s="8" t="str">
        <f ca="1">IFERROR(__xludf.DUMMYFUNCTION("""COMPUTED_VALUE"""),"Yes")</f>
        <v>Yes</v>
      </c>
      <c r="AF2697" s="8" t="str">
        <f ca="1">IFERROR(__xludf.DUMMYFUNCTION("""COMPUTED_VALUE"""),"Multiple youths beating up victim prior to shooting.")</f>
        <v>Multiple youths beating up victim prior to shooting.</v>
      </c>
      <c r="AG2697" s="8" t="str">
        <f ca="1">IFERROR(__xludf.DUMMYFUNCTION("""COMPUTED_VALUE"""),"No")</f>
        <v>No</v>
      </c>
      <c r="AH2697" s="8" t="str">
        <f ca="1">IFERROR(__xludf.DUMMYFUNCTION("""COMPUTED_VALUE"""),"No")</f>
        <v>No</v>
      </c>
      <c r="AI2697" s="8" t="str">
        <f ca="1">IFERROR(__xludf.DUMMYFUNCTION("""COMPUTED_VALUE"""),"No")</f>
        <v>No</v>
      </c>
      <c r="AJ2697" s="8" t="str">
        <f ca="1">IFERROR(__xludf.DUMMYFUNCTION("""COMPUTED_VALUE"""),"No")</f>
        <v>No</v>
      </c>
      <c r="AK2697" s="8" t="str">
        <f ca="1">IFERROR(__xludf.DUMMYFUNCTION("""COMPUTED_VALUE"""),"No")</f>
        <v>No</v>
      </c>
      <c r="AL2697" s="8" t="str">
        <f ca="1">IFERROR(__xludf.DUMMYFUNCTION("""COMPUTED_VALUE"""),"Yes")</f>
        <v>Yes</v>
      </c>
      <c r="AM2697" s="8" t="str">
        <f ca="1">IFERROR(__xludf.DUMMYFUNCTION("""COMPUTED_VALUE"""),"No")</f>
        <v>No</v>
      </c>
      <c r="AN2697" s="8"/>
      <c r="AO2697" s="8" t="str">
        <f ca="1">IFERROR(__xludf.DUMMYFUNCTION("""COMPUTED_VALUE"""),"No")</f>
        <v>No</v>
      </c>
      <c r="AP2697" s="8"/>
      <c r="AQ2697" s="8" t="str">
        <f ca="1">IFERROR(__xludf.DUMMYFUNCTION("""COMPUTED_VALUE"""),"Unknown")</f>
        <v>Unknown</v>
      </c>
      <c r="AR2697" s="8" t="str">
        <f ca="1">IFERROR(__xludf.DUMMYFUNCTION("""COMPUTED_VALUE"""),"NA")</f>
        <v>NA</v>
      </c>
      <c r="AS2697" s="8">
        <f ca="1">IFERROR(__xludf.DUMMYFUNCTION("""COMPUTED_VALUE"""),1)</f>
        <v>1</v>
      </c>
      <c r="AT2697" s="8"/>
      <c r="AU2697" s="8">
        <f ca="1">IFERROR(__xludf.DUMMYFUNCTION("""COMPUTED_VALUE"""),42.331864)</f>
        <v>42.331864000000003</v>
      </c>
      <c r="AV2697" s="8">
        <f ca="1">IFERROR(__xludf.DUMMYFUNCTION("""COMPUTED_VALUE"""),-71.09087)</f>
        <v>-71.090869999999995</v>
      </c>
      <c r="AW2697" s="8"/>
      <c r="AX2697" s="8">
        <f ca="1">IFERROR(__xludf.DUMMYFUNCTION("""COMPUTED_VALUE"""),2119)</f>
        <v>2119</v>
      </c>
    </row>
    <row r="2698" spans="1:50" ht="45" x14ac:dyDescent="0.2">
      <c r="A2698" s="8" t="str">
        <f ca="1">IFERROR(__xludf.DUMMYFUNCTION("""COMPUTED_VALUE"""),"19911009NYJAB")</f>
        <v>19911009NYJAB</v>
      </c>
      <c r="B2698" s="8">
        <f ca="1">IFERROR(__xludf.DUMMYFUNCTION("""COMPUTED_VALUE"""),10)</f>
        <v>10</v>
      </c>
      <c r="C2698" s="8">
        <f ca="1">IFERROR(__xludf.DUMMYFUNCTION("""COMPUTED_VALUE"""),9)</f>
        <v>9</v>
      </c>
      <c r="D2698" s="8">
        <f ca="1">IFERROR(__xludf.DUMMYFUNCTION("""COMPUTED_VALUE"""),1991)</f>
        <v>1991</v>
      </c>
      <c r="E2698" s="9">
        <f ca="1">IFERROR(__xludf.DUMMYFUNCTION("""COMPUTED_VALUE"""),33520)</f>
        <v>33520</v>
      </c>
      <c r="F2698" s="8" t="str">
        <f ca="1">IFERROR(__xludf.DUMMYFUNCTION("""COMPUTED_VALUE"""),"James Monroe High School")</f>
        <v>James Monroe High School</v>
      </c>
      <c r="G2698" s="8">
        <f ca="1">IFERROR(__xludf.DUMMYFUNCTION("""COMPUTED_VALUE"""),1)</f>
        <v>1</v>
      </c>
      <c r="H2698" s="8">
        <f ca="1">IFERROR(__xludf.DUMMYFUNCTION("""COMPUTED_VALUE"""),0)</f>
        <v>0</v>
      </c>
      <c r="I2698" s="8">
        <f ca="1">IFERROR(__xludf.DUMMYFUNCTION("""COMPUTED_VALUE"""),1)</f>
        <v>1</v>
      </c>
      <c r="J2698" s="8">
        <f ca="1">IFERROR(__xludf.DUMMYFUNCTION("""COMPUTED_VALUE"""),0)</f>
        <v>0</v>
      </c>
      <c r="K2698" s="10" t="str">
        <f ca="1">IFERROR(__xludf.DUMMYFUNCTION("""COMPUTED_VALUE"""),"https://www.nytimes.com/1991/10/09/nyregion/a-bronx-youth-is-shot-to-death-outside-a-school.html")</f>
        <v>https://www.nytimes.com/1991/10/09/nyregion/a-bronx-youth-is-shot-to-death-outside-a-school.html</v>
      </c>
      <c r="L2698" s="8"/>
      <c r="M2698" s="8"/>
      <c r="N2698" s="8">
        <f ca="1">IFERROR(__xludf.DUMMYFUNCTION("""COMPUTED_VALUE"""),2)</f>
        <v>2</v>
      </c>
      <c r="O2698" s="8" t="str">
        <f ca="1">IFERROR(__xludf.DUMMYFUNCTION("""COMPUTED_VALUE"""),"Fall")</f>
        <v>Fall</v>
      </c>
      <c r="P2698" s="8" t="str">
        <f ca="1">IFERROR(__xludf.DUMMYFUNCTION("""COMPUTED_VALUE"""),"Bronx")</f>
        <v>Bronx</v>
      </c>
      <c r="Q2698" s="8" t="str">
        <f ca="1">IFERROR(__xludf.DUMMYFUNCTION("""COMPUTED_VALUE"""),"NY")</f>
        <v>NY</v>
      </c>
      <c r="R2698" s="8" t="str">
        <f ca="1">IFERROR(__xludf.DUMMYFUNCTION("""COMPUTED_VALUE"""),"High")</f>
        <v>High</v>
      </c>
      <c r="S2698" s="8" t="str">
        <f ca="1">IFERROR(__xludf.DUMMYFUNCTION("""COMPUTED_VALUE"""),"Outside on School Property")</f>
        <v>Outside on School Property</v>
      </c>
      <c r="T2698" s="8" t="str">
        <f ca="1">IFERROR(__xludf.DUMMYFUNCTION("""COMPUTED_VALUE"""),"Outside on School Property")</f>
        <v>Outside on School Property</v>
      </c>
      <c r="U2698" s="8" t="str">
        <f ca="1">IFERROR(__xludf.DUMMYFUNCTION("""COMPUTED_VALUE"""),"Yes")</f>
        <v>Yes</v>
      </c>
      <c r="V2698" s="8" t="str">
        <f ca="1">IFERROR(__xludf.DUMMYFUNCTION("""COMPUTED_VALUE"""),"Morning Classes")</f>
        <v>Morning Classes</v>
      </c>
      <c r="W2698" s="11">
        <f ca="1">IFERROR(__xludf.DUMMYFUNCTION("""COMPUTED_VALUE"""),0.385416666666666)</f>
        <v>0.38541666666666602</v>
      </c>
      <c r="X2698" s="8">
        <f ca="1">IFERROR(__xludf.DUMMYFUNCTION("""COMPUTED_VALUE"""),1)</f>
        <v>1</v>
      </c>
      <c r="Y2698" s="12" t="str">
        <f ca="1">IFERROR(__xludf.DUMMYFUNCTION("""COMPUTED_VALUE"""),"Planned fight outside of school")</f>
        <v>Planned fight outside of school</v>
      </c>
      <c r="Z2698" s="12" t="str">
        <f ca="1">IFERROR(__xludf.DUMMYFUNCTION("""COMPUTED_VALUE"""),"Victim challenge suspect to a fight. Suspect left scene and came back with a gun. Shot and killed victim outside of high school.")</f>
        <v>Victim challenge suspect to a fight. Suspect left scene and came back with a gun. Shot and killed victim outside of high school.</v>
      </c>
      <c r="AA2698" s="8" t="str">
        <f ca="1">IFERROR(__xludf.DUMMYFUNCTION("""COMPUTED_VALUE"""),"Escalation of Dispute")</f>
        <v>Escalation of Dispute</v>
      </c>
      <c r="AB2698" s="8"/>
      <c r="AC2698" s="8"/>
      <c r="AD2698" s="8" t="str">
        <f ca="1">IFERROR(__xludf.DUMMYFUNCTION("""COMPUTED_VALUE"""),"Victims Targeted")</f>
        <v>Victims Targeted</v>
      </c>
      <c r="AE2698" s="8" t="str">
        <f ca="1">IFERROR(__xludf.DUMMYFUNCTION("""COMPUTED_VALUE"""),"No")</f>
        <v>No</v>
      </c>
      <c r="AF2698" s="8"/>
      <c r="AG2698" s="8" t="str">
        <f ca="1">IFERROR(__xludf.DUMMYFUNCTION("""COMPUTED_VALUE"""),"No")</f>
        <v>No</v>
      </c>
      <c r="AH2698" s="8" t="str">
        <f ca="1">IFERROR(__xludf.DUMMYFUNCTION("""COMPUTED_VALUE"""),"No")</f>
        <v>No</v>
      </c>
      <c r="AI2698" s="8" t="str">
        <f ca="1">IFERROR(__xludf.DUMMYFUNCTION("""COMPUTED_VALUE"""),"No")</f>
        <v>No</v>
      </c>
      <c r="AJ2698" s="8" t="str">
        <f ca="1">IFERROR(__xludf.DUMMYFUNCTION("""COMPUTED_VALUE"""),"No")</f>
        <v>No</v>
      </c>
      <c r="AK2698" s="8" t="str">
        <f ca="1">IFERROR(__xludf.DUMMYFUNCTION("""COMPUTED_VALUE"""),"No")</f>
        <v>No</v>
      </c>
      <c r="AL2698" s="8" t="str">
        <f ca="1">IFERROR(__xludf.DUMMYFUNCTION("""COMPUTED_VALUE"""),"No")</f>
        <v>No</v>
      </c>
      <c r="AM2698" s="8"/>
      <c r="AN2698" s="8"/>
      <c r="AO2698" s="8" t="str">
        <f ca="1">IFERROR(__xludf.DUMMYFUNCTION("""COMPUTED_VALUE"""),"No")</f>
        <v>No</v>
      </c>
      <c r="AP2698" s="8"/>
      <c r="AQ2698" s="8" t="str">
        <f ca="1">IFERROR(__xludf.DUMMYFUNCTION("""COMPUTED_VALUE"""),"Unknown")</f>
        <v>Unknown</v>
      </c>
      <c r="AR2698" s="8" t="str">
        <f ca="1">IFERROR(__xludf.DUMMYFUNCTION("""COMPUTED_VALUE"""),"NA")</f>
        <v>NA</v>
      </c>
      <c r="AS2698" s="8">
        <f ca="1">IFERROR(__xludf.DUMMYFUNCTION("""COMPUTED_VALUE"""),2)</f>
        <v>2</v>
      </c>
      <c r="AT2698" s="8"/>
      <c r="AU2698" s="8">
        <f ca="1">IFERROR(__xludf.DUMMYFUNCTION("""COMPUTED_VALUE"""),40.832087)</f>
        <v>40.832087000000001</v>
      </c>
      <c r="AV2698" s="8">
        <f ca="1">IFERROR(__xludf.DUMMYFUNCTION("""COMPUTED_VALUE"""),-73.877832)</f>
        <v>-73.877831999999998</v>
      </c>
      <c r="AW2698" s="8"/>
      <c r="AX2698" s="8">
        <f ca="1">IFERROR(__xludf.DUMMYFUNCTION("""COMPUTED_VALUE"""),10472)</f>
        <v>10472</v>
      </c>
    </row>
    <row r="2699" spans="1:50" ht="45" x14ac:dyDescent="0.2">
      <c r="A2699" s="8" t="str">
        <f ca="1">IFERROR(__xludf.DUMMYFUNCTION("""COMPUTED_VALUE"""),"19911004CAROL")</f>
        <v>19911004CAROL</v>
      </c>
      <c r="B2699" s="8">
        <f ca="1">IFERROR(__xludf.DUMMYFUNCTION("""COMPUTED_VALUE"""),10)</f>
        <v>10</v>
      </c>
      <c r="C2699" s="8">
        <f ca="1">IFERROR(__xludf.DUMMYFUNCTION("""COMPUTED_VALUE"""),4)</f>
        <v>4</v>
      </c>
      <c r="D2699" s="8">
        <f ca="1">IFERROR(__xludf.DUMMYFUNCTION("""COMPUTED_VALUE"""),1991)</f>
        <v>1991</v>
      </c>
      <c r="E2699" s="9">
        <f ca="1">IFERROR(__xludf.DUMMYFUNCTION("""COMPUTED_VALUE"""),33515)</f>
        <v>33515</v>
      </c>
      <c r="F2699" s="8" t="str">
        <f ca="1">IFERROR(__xludf.DUMMYFUNCTION("""COMPUTED_VALUE"""),"Roosevelt High School")</f>
        <v>Roosevelt High School</v>
      </c>
      <c r="G2699" s="8">
        <f ca="1">IFERROR(__xludf.DUMMYFUNCTION("""COMPUTED_VALUE"""),0)</f>
        <v>0</v>
      </c>
      <c r="H2699" s="8">
        <f ca="1">IFERROR(__xludf.DUMMYFUNCTION("""COMPUTED_VALUE"""),0)</f>
        <v>0</v>
      </c>
      <c r="I2699" s="8">
        <f ca="1">IFERROR(__xludf.DUMMYFUNCTION("""COMPUTED_VALUE"""),0)</f>
        <v>0</v>
      </c>
      <c r="J2699" s="8">
        <f ca="1">IFERROR(__xludf.DUMMYFUNCTION("""COMPUTED_VALUE"""),0)</f>
        <v>0</v>
      </c>
      <c r="K2699" s="10" t="str">
        <f ca="1">IFERROR(__xludf.DUMMYFUNCTION("""COMPUTED_VALUE"""),"https://www.newspapers.com/image/176460783/?terms=Dorsey%2BHigh%2BSchool%2Bshooting")</f>
        <v>https://www.newspapers.com/image/176460783/?terms=Dorsey%2BHigh%2BSchool%2Bshooting</v>
      </c>
      <c r="L2699" s="8"/>
      <c r="M2699" s="8"/>
      <c r="N2699" s="8">
        <f ca="1">IFERROR(__xludf.DUMMYFUNCTION("""COMPUTED_VALUE"""),2)</f>
        <v>2</v>
      </c>
      <c r="O2699" s="8" t="str">
        <f ca="1">IFERROR(__xludf.DUMMYFUNCTION("""COMPUTED_VALUE"""),"Fall")</f>
        <v>Fall</v>
      </c>
      <c r="P2699" s="8" t="str">
        <f ca="1">IFERROR(__xludf.DUMMYFUNCTION("""COMPUTED_VALUE"""),"Los Angeles")</f>
        <v>Los Angeles</v>
      </c>
      <c r="Q2699" s="8" t="str">
        <f ca="1">IFERROR(__xludf.DUMMYFUNCTION("""COMPUTED_VALUE"""),"CA")</f>
        <v>CA</v>
      </c>
      <c r="R2699" s="8" t="str">
        <f ca="1">IFERROR(__xludf.DUMMYFUNCTION("""COMPUTED_VALUE"""),"High")</f>
        <v>High</v>
      </c>
      <c r="S2699" s="8" t="str">
        <f ca="1">IFERROR(__xludf.DUMMYFUNCTION("""COMPUTED_VALUE"""),"Football Field/Track")</f>
        <v>Football Field/Track</v>
      </c>
      <c r="T2699" s="8" t="str">
        <f ca="1">IFERROR(__xludf.DUMMYFUNCTION("""COMPUTED_VALUE"""),"Outside on School Property")</f>
        <v>Outside on School Property</v>
      </c>
      <c r="U2699" s="8" t="str">
        <f ca="1">IFERROR(__xludf.DUMMYFUNCTION("""COMPUTED_VALUE"""),"No")</f>
        <v>No</v>
      </c>
      <c r="V2699" s="8" t="str">
        <f ca="1">IFERROR(__xludf.DUMMYFUNCTION("""COMPUTED_VALUE"""),"Sport Event")</f>
        <v>Sport Event</v>
      </c>
      <c r="W2699" s="8"/>
      <c r="X2699" s="8">
        <f ca="1">IFERROR(__xludf.DUMMYFUNCTION("""COMPUTED_VALUE"""),1)</f>
        <v>1</v>
      </c>
      <c r="Y2699" s="12" t="str">
        <f ca="1">IFERROR(__xludf.DUMMYFUNCTION("""COMPUTED_VALUE"""),"Shooting at football game between rival teams")</f>
        <v>Shooting at football game between rival teams</v>
      </c>
      <c r="Z2699" s="12" t="str">
        <f ca="1">IFERROR(__xludf.DUMMYFUNCTION("""COMPUTED_VALUE"""),"Shots fired during fight between fans of rival schools. Game had to be stopped. No injuries reported.")</f>
        <v>Shots fired during fight between fans of rival schools. Game had to be stopped. No injuries reported.</v>
      </c>
      <c r="AA2699" s="8" t="str">
        <f ca="1">IFERROR(__xludf.DUMMYFUNCTION("""COMPUTED_VALUE"""),"Escalation of Dispute")</f>
        <v>Escalation of Dispute</v>
      </c>
      <c r="AB2699" s="8"/>
      <c r="AC2699" s="8"/>
      <c r="AD2699" s="8"/>
      <c r="AE2699" s="8" t="str">
        <f ca="1">IFERROR(__xludf.DUMMYFUNCTION("""COMPUTED_VALUE"""),"No")</f>
        <v>No</v>
      </c>
      <c r="AF2699" s="8"/>
      <c r="AG2699" s="8" t="str">
        <f ca="1">IFERROR(__xludf.DUMMYFUNCTION("""COMPUTED_VALUE"""),"No")</f>
        <v>No</v>
      </c>
      <c r="AH2699" s="8" t="str">
        <f ca="1">IFERROR(__xludf.DUMMYFUNCTION("""COMPUTED_VALUE"""),"No")</f>
        <v>No</v>
      </c>
      <c r="AI2699" s="8" t="str">
        <f ca="1">IFERROR(__xludf.DUMMYFUNCTION("""COMPUTED_VALUE"""),"No")</f>
        <v>No</v>
      </c>
      <c r="AJ2699" s="8" t="str">
        <f ca="1">IFERROR(__xludf.DUMMYFUNCTION("""COMPUTED_VALUE"""),"No")</f>
        <v>No</v>
      </c>
      <c r="AK2699" s="8" t="str">
        <f ca="1">IFERROR(__xludf.DUMMYFUNCTION("""COMPUTED_VALUE"""),"No")</f>
        <v>No</v>
      </c>
      <c r="AL2699" s="8" t="str">
        <f ca="1">IFERROR(__xludf.DUMMYFUNCTION("""COMPUTED_VALUE"""),"Yes")</f>
        <v>Yes</v>
      </c>
      <c r="AM2699" s="8"/>
      <c r="AN2699" s="8"/>
      <c r="AO2699" s="8" t="str">
        <f ca="1">IFERROR(__xludf.DUMMYFUNCTION("""COMPUTED_VALUE"""),"No")</f>
        <v>No</v>
      </c>
      <c r="AP2699" s="8"/>
      <c r="AQ2699" s="8" t="str">
        <f ca="1">IFERROR(__xludf.DUMMYFUNCTION("""COMPUTED_VALUE"""),"Unknown")</f>
        <v>Unknown</v>
      </c>
      <c r="AR2699" s="8" t="str">
        <f ca="1">IFERROR(__xludf.DUMMYFUNCTION("""COMPUTED_VALUE"""),"NA")</f>
        <v>NA</v>
      </c>
      <c r="AS2699" s="8"/>
      <c r="AT2699" s="8"/>
      <c r="AU2699" s="8">
        <f ca="1">IFERROR(__xludf.DUMMYFUNCTION("""COMPUTED_VALUE"""),34.038582)</f>
        <v>34.038581999999998</v>
      </c>
      <c r="AV2699" s="8">
        <f ca="1">IFERROR(__xludf.DUMMYFUNCTION("""COMPUTED_VALUE"""),-118.211362)</f>
        <v>-118.21136199999999</v>
      </c>
      <c r="AW2699" s="8"/>
      <c r="AX2699" s="8">
        <f ca="1">IFERROR(__xludf.DUMMYFUNCTION("""COMPUTED_VALUE"""),90033)</f>
        <v>90033</v>
      </c>
    </row>
    <row r="2700" spans="1:50" ht="60" x14ac:dyDescent="0.2">
      <c r="A2700" s="8" t="str">
        <f ca="1">IFERROR(__xludf.DUMMYFUNCTION("""COMPUTED_VALUE"""),"19911004CADOL")</f>
        <v>19911004CADOL</v>
      </c>
      <c r="B2700" s="8">
        <f ca="1">IFERROR(__xludf.DUMMYFUNCTION("""COMPUTED_VALUE"""),10)</f>
        <v>10</v>
      </c>
      <c r="C2700" s="8">
        <f ca="1">IFERROR(__xludf.DUMMYFUNCTION("""COMPUTED_VALUE"""),4)</f>
        <v>4</v>
      </c>
      <c r="D2700" s="8">
        <f ca="1">IFERROR(__xludf.DUMMYFUNCTION("""COMPUTED_VALUE"""),1991)</f>
        <v>1991</v>
      </c>
      <c r="E2700" s="9">
        <f ca="1">IFERROR(__xludf.DUMMYFUNCTION("""COMPUTED_VALUE"""),33515)</f>
        <v>33515</v>
      </c>
      <c r="F2700" s="8" t="str">
        <f ca="1">IFERROR(__xludf.DUMMYFUNCTION("""COMPUTED_VALUE"""),"Dorsey High School")</f>
        <v>Dorsey High School</v>
      </c>
      <c r="G2700" s="8">
        <f ca="1">IFERROR(__xludf.DUMMYFUNCTION("""COMPUTED_VALUE"""),0)</f>
        <v>0</v>
      </c>
      <c r="H2700" s="8">
        <f ca="1">IFERROR(__xludf.DUMMYFUNCTION("""COMPUTED_VALUE"""),2)</f>
        <v>2</v>
      </c>
      <c r="I2700" s="8">
        <f ca="1">IFERROR(__xludf.DUMMYFUNCTION("""COMPUTED_VALUE"""),2)</f>
        <v>2</v>
      </c>
      <c r="J2700" s="8">
        <f ca="1">IFERROR(__xludf.DUMMYFUNCTION("""COMPUTED_VALUE"""),0)</f>
        <v>0</v>
      </c>
      <c r="K2700" s="10" t="str">
        <f ca="1">IFERROR(__xludf.DUMMYFUNCTION("""COMPUTED_VALUE"""),"https://www.newspapers.com/image/176460783/?terms=Dorsey%2BHigh%2BSchool%2Bshooting")</f>
        <v>https://www.newspapers.com/image/176460783/?terms=Dorsey%2BHigh%2BSchool%2Bshooting</v>
      </c>
      <c r="L2700" s="8"/>
      <c r="M2700" s="8"/>
      <c r="N2700" s="8">
        <f ca="1">IFERROR(__xludf.DUMMYFUNCTION("""COMPUTED_VALUE"""),2)</f>
        <v>2</v>
      </c>
      <c r="O2700" s="8" t="str">
        <f ca="1">IFERROR(__xludf.DUMMYFUNCTION("""COMPUTED_VALUE"""),"Fall")</f>
        <v>Fall</v>
      </c>
      <c r="P2700" s="8" t="str">
        <f ca="1">IFERROR(__xludf.DUMMYFUNCTION("""COMPUTED_VALUE"""),"Los Angeles")</f>
        <v>Los Angeles</v>
      </c>
      <c r="Q2700" s="8" t="str">
        <f ca="1">IFERROR(__xludf.DUMMYFUNCTION("""COMPUTED_VALUE"""),"CA")</f>
        <v>CA</v>
      </c>
      <c r="R2700" s="8" t="str">
        <f ca="1">IFERROR(__xludf.DUMMYFUNCTION("""COMPUTED_VALUE"""),"High")</f>
        <v>High</v>
      </c>
      <c r="S2700" s="8" t="str">
        <f ca="1">IFERROR(__xludf.DUMMYFUNCTION("""COMPUTED_VALUE"""),"Football Field/Track")</f>
        <v>Football Field/Track</v>
      </c>
      <c r="T2700" s="8" t="str">
        <f ca="1">IFERROR(__xludf.DUMMYFUNCTION("""COMPUTED_VALUE"""),"Outside on School Property")</f>
        <v>Outside on School Property</v>
      </c>
      <c r="U2700" s="8" t="str">
        <f ca="1">IFERROR(__xludf.DUMMYFUNCTION("""COMPUTED_VALUE"""),"No")</f>
        <v>No</v>
      </c>
      <c r="V2700" s="8" t="str">
        <f ca="1">IFERROR(__xludf.DUMMYFUNCTION("""COMPUTED_VALUE"""),"Sport Event")</f>
        <v>Sport Event</v>
      </c>
      <c r="W2700" s="11">
        <f ca="1">IFERROR(__xludf.DUMMYFUNCTION("""COMPUTED_VALUE"""),0.727083333333333)</f>
        <v>0.72708333333333297</v>
      </c>
      <c r="X2700" s="8">
        <f ca="1">IFERROR(__xludf.DUMMYFUNCTION("""COMPUTED_VALUE"""),3)</f>
        <v>3</v>
      </c>
      <c r="Y2700" s="12" t="str">
        <f ca="1">IFERROR(__xludf.DUMMYFUNCTION("""COMPUTED_VALUE"""),"Shooting between 15-20 rival gang members at football game")</f>
        <v>Shooting between 15-20 rival gang members at football game</v>
      </c>
      <c r="Z2700" s="12" t="str">
        <f ca="1">IFERROR(__xludf.DUMMYFUNCTION("""COMPUTED_VALUE"""),"School officials had issues with fights and shooting at previous games. Game time was moved up to 3PM to avoid this. Large fight occured in 4th quarter with gunshots fired by multiple people. 2 students were injured.")</f>
        <v>School officials had issues with fights and shooting at previous games. Game time was moved up to 3PM to avoid this. Large fight occured in 4th quarter with gunshots fired by multiple people. 2 students were injured.</v>
      </c>
      <c r="AA2700" s="8" t="str">
        <f ca="1">IFERROR(__xludf.DUMMYFUNCTION("""COMPUTED_VALUE"""),"Escalation of Dispute")</f>
        <v>Escalation of Dispute</v>
      </c>
      <c r="AB2700" s="8"/>
      <c r="AC2700" s="8"/>
      <c r="AD2700" s="8" t="str">
        <f ca="1">IFERROR(__xludf.DUMMYFUNCTION("""COMPUTED_VALUE"""),"Random Shooting")</f>
        <v>Random Shooting</v>
      </c>
      <c r="AE2700" s="8" t="str">
        <f ca="1">IFERROR(__xludf.DUMMYFUNCTION("""COMPUTED_VALUE"""),"No")</f>
        <v>No</v>
      </c>
      <c r="AF2700" s="8"/>
      <c r="AG2700" s="8" t="str">
        <f ca="1">IFERROR(__xludf.DUMMYFUNCTION("""COMPUTED_VALUE"""),"No")</f>
        <v>No</v>
      </c>
      <c r="AH2700" s="8" t="str">
        <f ca="1">IFERROR(__xludf.DUMMYFUNCTION("""COMPUTED_VALUE"""),"No")</f>
        <v>No</v>
      </c>
      <c r="AI2700" s="8" t="str">
        <f ca="1">IFERROR(__xludf.DUMMYFUNCTION("""COMPUTED_VALUE"""),"No")</f>
        <v>No</v>
      </c>
      <c r="AJ2700" s="8" t="str">
        <f ca="1">IFERROR(__xludf.DUMMYFUNCTION("""COMPUTED_VALUE"""),"No")</f>
        <v>No</v>
      </c>
      <c r="AK2700" s="8" t="str">
        <f ca="1">IFERROR(__xludf.DUMMYFUNCTION("""COMPUTED_VALUE"""),"No")</f>
        <v>No</v>
      </c>
      <c r="AL2700" s="8" t="str">
        <f ca="1">IFERROR(__xludf.DUMMYFUNCTION("""COMPUTED_VALUE"""),"Yes")</f>
        <v>Yes</v>
      </c>
      <c r="AM2700" s="8"/>
      <c r="AN2700" s="8"/>
      <c r="AO2700" s="8" t="str">
        <f ca="1">IFERROR(__xludf.DUMMYFUNCTION("""COMPUTED_VALUE"""),"No")</f>
        <v>No</v>
      </c>
      <c r="AP2700" s="8"/>
      <c r="AQ2700" s="8" t="str">
        <f ca="1">IFERROR(__xludf.DUMMYFUNCTION("""COMPUTED_VALUE"""),"Unknown")</f>
        <v>Unknown</v>
      </c>
      <c r="AR2700" s="8" t="str">
        <f ca="1">IFERROR(__xludf.DUMMYFUNCTION("""COMPUTED_VALUE"""),"NA")</f>
        <v>NA</v>
      </c>
      <c r="AS2700" s="8" t="str">
        <f ca="1">IFERROR(__xludf.DUMMYFUNCTION("""COMPUTED_VALUE"""),"&lt;10")</f>
        <v>&lt;10</v>
      </c>
      <c r="AT2700" s="8"/>
      <c r="AU2700" s="8">
        <f ca="1">IFERROR(__xludf.DUMMYFUNCTION("""COMPUTED_VALUE"""),34.022654)</f>
        <v>34.022654000000003</v>
      </c>
      <c r="AV2700" s="8">
        <f ca="1">IFERROR(__xludf.DUMMYFUNCTION("""COMPUTED_VALUE"""),-118.34645)</f>
        <v>-118.34645</v>
      </c>
      <c r="AW2700" s="8"/>
      <c r="AX2700" s="8">
        <f ca="1">IFERROR(__xludf.DUMMYFUNCTION("""COMPUTED_VALUE"""),90016)</f>
        <v>90016</v>
      </c>
    </row>
    <row r="2701" spans="1:50" ht="60" x14ac:dyDescent="0.2">
      <c r="A2701" s="8" t="str">
        <f ca="1">IFERROR(__xludf.DUMMYFUNCTION("""COMPUTED_VALUE"""),"19911002TXSPH")</f>
        <v>19911002TXSPH</v>
      </c>
      <c r="B2701" s="8">
        <f ca="1">IFERROR(__xludf.DUMMYFUNCTION("""COMPUTED_VALUE"""),10)</f>
        <v>10</v>
      </c>
      <c r="C2701" s="8">
        <f ca="1">IFERROR(__xludf.DUMMYFUNCTION("""COMPUTED_VALUE"""),2)</f>
        <v>2</v>
      </c>
      <c r="D2701" s="8">
        <f ca="1">IFERROR(__xludf.DUMMYFUNCTION("""COMPUTED_VALUE"""),1991)</f>
        <v>1991</v>
      </c>
      <c r="E2701" s="9">
        <f ca="1">IFERROR(__xludf.DUMMYFUNCTION("""COMPUTED_VALUE"""),33513)</f>
        <v>33513</v>
      </c>
      <c r="F2701" s="8" t="str">
        <f ca="1">IFERROR(__xludf.DUMMYFUNCTION("""COMPUTED_VALUE"""),"Spring Woods High School (bus)")</f>
        <v>Spring Woods High School (bus)</v>
      </c>
      <c r="G2701" s="8">
        <f ca="1">IFERROR(__xludf.DUMMYFUNCTION("""COMPUTED_VALUE"""),0)</f>
        <v>0</v>
      </c>
      <c r="H2701" s="8">
        <f ca="1">IFERROR(__xludf.DUMMYFUNCTION("""COMPUTED_VALUE"""),1)</f>
        <v>1</v>
      </c>
      <c r="I2701" s="8">
        <f ca="1">IFERROR(__xludf.DUMMYFUNCTION("""COMPUTED_VALUE"""),1)</f>
        <v>1</v>
      </c>
      <c r="J2701" s="8">
        <f ca="1">IFERROR(__xludf.DUMMYFUNCTION("""COMPUTED_VALUE"""),0)</f>
        <v>0</v>
      </c>
      <c r="K2701" s="8" t="str">
        <f ca="1">IFERROR(__xludf.DUMMYFUNCTION("""COMPUTED_VALUE"""),"Houston Chronicle - Spring Branch Student Shot on School Bus; Houston Chronicle - Spring Woods Student Shot; https://www.columbine-angels.com/School_Violence_1990-1991.htm")</f>
        <v>Houston Chronicle - Spring Branch Student Shot on School Bus; Houston Chronicle - Spring Woods Student Shot; https://www.columbine-angels.com/School_Violence_1990-1991.htm</v>
      </c>
      <c r="L2701" s="8"/>
      <c r="M2701" s="8"/>
      <c r="N2701" s="8">
        <f ca="1">IFERROR(__xludf.DUMMYFUNCTION("""COMPUTED_VALUE"""),1)</f>
        <v>1</v>
      </c>
      <c r="O2701" s="8" t="str">
        <f ca="1">IFERROR(__xludf.DUMMYFUNCTION("""COMPUTED_VALUE"""),"Fall")</f>
        <v>Fall</v>
      </c>
      <c r="P2701" s="8" t="str">
        <f ca="1">IFERROR(__xludf.DUMMYFUNCTION("""COMPUTED_VALUE"""),"Houston")</f>
        <v>Houston</v>
      </c>
      <c r="Q2701" s="8" t="str">
        <f ca="1">IFERROR(__xludf.DUMMYFUNCTION("""COMPUTED_VALUE"""),"TX")</f>
        <v>TX</v>
      </c>
      <c r="R2701" s="8" t="str">
        <f ca="1">IFERROR(__xludf.DUMMYFUNCTION("""COMPUTED_VALUE"""),"High")</f>
        <v>High</v>
      </c>
      <c r="S2701" s="8" t="str">
        <f ca="1">IFERROR(__xludf.DUMMYFUNCTION("""COMPUTED_VALUE"""),"School Bus")</f>
        <v>School Bus</v>
      </c>
      <c r="T2701" s="8" t="str">
        <f ca="1">IFERROR(__xludf.DUMMYFUNCTION("""COMPUTED_VALUE"""),"School Bus")</f>
        <v>School Bus</v>
      </c>
      <c r="U2701" s="8" t="str">
        <f ca="1">IFERROR(__xludf.DUMMYFUNCTION("""COMPUTED_VALUE"""),"No")</f>
        <v>No</v>
      </c>
      <c r="V2701" s="8" t="str">
        <f ca="1">IFERROR(__xludf.DUMMYFUNCTION("""COMPUTED_VALUE"""),"Before School")</f>
        <v>Before School</v>
      </c>
      <c r="W2701" s="11">
        <f ca="1">IFERROR(__xludf.DUMMYFUNCTION("""COMPUTED_VALUE"""),0.301388888888888)</f>
        <v>0.30138888888888798</v>
      </c>
      <c r="X2701" s="8">
        <f ca="1">IFERROR(__xludf.DUMMYFUNCTION("""COMPUTED_VALUE"""),1)</f>
        <v>1</v>
      </c>
      <c r="Y2701" s="12" t="str">
        <f ca="1">IFERROR(__xludf.DUMMYFUNCTION("""COMPUTED_VALUE"""),"Accidental while showing off gun")</f>
        <v>Accidental while showing off gun</v>
      </c>
      <c r="Z2701" s="12" t="str">
        <f ca="1">IFERROR(__xludf.DUMMYFUNCTION("""COMPUTED_VALUE"""),"Shooter had purchased the handgun from a friend. He was showing it off on the school bus when it accidentally discharged hitting another student in the leg. Shooter fled the bus and threw the gun in the sewer.")</f>
        <v>Shooter had purchased the handgun from a friend. He was showing it off on the school bus when it accidentally discharged hitting another student in the leg. Shooter fled the bus and threw the gun in the sewer.</v>
      </c>
      <c r="AA2701" s="8" t="str">
        <f ca="1">IFERROR(__xludf.DUMMYFUNCTION("""COMPUTED_VALUE"""),"Accidental")</f>
        <v>Accidental</v>
      </c>
      <c r="AB2701" s="8"/>
      <c r="AC2701" s="8"/>
      <c r="AD2701" s="8" t="str">
        <f ca="1">IFERROR(__xludf.DUMMYFUNCTION("""COMPUTED_VALUE"""),"Random Shooting")</f>
        <v>Random Shooting</v>
      </c>
      <c r="AE2701" s="8" t="str">
        <f ca="1">IFERROR(__xludf.DUMMYFUNCTION("""COMPUTED_VALUE"""),"No")</f>
        <v>No</v>
      </c>
      <c r="AF2701" s="8"/>
      <c r="AG2701" s="8" t="str">
        <f ca="1">IFERROR(__xludf.DUMMYFUNCTION("""COMPUTED_VALUE"""),"No")</f>
        <v>No</v>
      </c>
      <c r="AH2701" s="8" t="str">
        <f ca="1">IFERROR(__xludf.DUMMYFUNCTION("""COMPUTED_VALUE"""),"No")</f>
        <v>No</v>
      </c>
      <c r="AI2701" s="8" t="str">
        <f ca="1">IFERROR(__xludf.DUMMYFUNCTION("""COMPUTED_VALUE"""),"No")</f>
        <v>No</v>
      </c>
      <c r="AJ2701" s="8" t="str">
        <f ca="1">IFERROR(__xludf.DUMMYFUNCTION("""COMPUTED_VALUE"""),"No")</f>
        <v>No</v>
      </c>
      <c r="AK2701" s="8" t="str">
        <f ca="1">IFERROR(__xludf.DUMMYFUNCTION("""COMPUTED_VALUE"""),"No")</f>
        <v>No</v>
      </c>
      <c r="AL2701" s="8" t="str">
        <f ca="1">IFERROR(__xludf.DUMMYFUNCTION("""COMPUTED_VALUE"""),"No")</f>
        <v>No</v>
      </c>
      <c r="AM2701" s="8"/>
      <c r="AN2701" s="8"/>
      <c r="AO2701" s="8" t="str">
        <f ca="1">IFERROR(__xludf.DUMMYFUNCTION("""COMPUTED_VALUE"""),"No")</f>
        <v>No</v>
      </c>
      <c r="AP2701" s="8"/>
      <c r="AQ2701" s="8" t="str">
        <f ca="1">IFERROR(__xludf.DUMMYFUNCTION("""COMPUTED_VALUE"""),"Unknown")</f>
        <v>Unknown</v>
      </c>
      <c r="AR2701" s="8" t="str">
        <f ca="1">IFERROR(__xludf.DUMMYFUNCTION("""COMPUTED_VALUE"""),"NA")</f>
        <v>NA</v>
      </c>
      <c r="AS2701" s="8">
        <f ca="1">IFERROR(__xludf.DUMMYFUNCTION("""COMPUTED_VALUE"""),1)</f>
        <v>1</v>
      </c>
      <c r="AT2701" s="8"/>
      <c r="AU2701" s="8">
        <f ca="1">IFERROR(__xludf.DUMMYFUNCTION("""COMPUTED_VALUE"""),29.810269)</f>
        <v>29.810269000000002</v>
      </c>
      <c r="AV2701" s="8">
        <f ca="1">IFERROR(__xludf.DUMMYFUNCTION("""COMPUTED_VALUE"""),-95.547945)</f>
        <v>-95.547944999999999</v>
      </c>
      <c r="AW2701" s="8"/>
      <c r="AX2701" s="8">
        <f ca="1">IFERROR(__xludf.DUMMYFUNCTION("""COMPUTED_VALUE"""),77080)</f>
        <v>77080</v>
      </c>
    </row>
    <row r="2702" spans="1:50" ht="60" x14ac:dyDescent="0.2">
      <c r="A2702" s="8" t="str">
        <f ca="1">IFERROR(__xludf.DUMMYFUNCTION("""COMPUTED_VALUE"""),"19910918TXCRC")</f>
        <v>19910918TXCRC</v>
      </c>
      <c r="B2702" s="8">
        <f ca="1">IFERROR(__xludf.DUMMYFUNCTION("""COMPUTED_VALUE"""),9)</f>
        <v>9</v>
      </c>
      <c r="C2702" s="8">
        <f ca="1">IFERROR(__xludf.DUMMYFUNCTION("""COMPUTED_VALUE"""),18)</f>
        <v>18</v>
      </c>
      <c r="D2702" s="8">
        <f ca="1">IFERROR(__xludf.DUMMYFUNCTION("""COMPUTED_VALUE"""),1991)</f>
        <v>1991</v>
      </c>
      <c r="E2702" s="9">
        <f ca="1">IFERROR(__xludf.DUMMYFUNCTION("""COMPUTED_VALUE"""),33499)</f>
        <v>33499</v>
      </c>
      <c r="F2702" s="8" t="str">
        <f ca="1">IFERROR(__xludf.DUMMYFUNCTION("""COMPUTED_VALUE"""),"Crosby High School")</f>
        <v>Crosby High School</v>
      </c>
      <c r="G2702" s="8">
        <f ca="1">IFERROR(__xludf.DUMMYFUNCTION("""COMPUTED_VALUE"""),1)</f>
        <v>1</v>
      </c>
      <c r="H2702" s="8">
        <f ca="1">IFERROR(__xludf.DUMMYFUNCTION("""COMPUTED_VALUE"""),0)</f>
        <v>0</v>
      </c>
      <c r="I2702" s="8">
        <f ca="1">IFERROR(__xludf.DUMMYFUNCTION("""COMPUTED_VALUE"""),1)</f>
        <v>1</v>
      </c>
      <c r="J2702" s="8">
        <f ca="1">IFERROR(__xludf.DUMMYFUNCTION("""COMPUTED_VALUE"""),0)</f>
        <v>0</v>
      </c>
      <c r="K2702" s="8" t="str">
        <f ca="1">IFERROR(__xludf.DUMMYFUNCTION("""COMPUTED_VALUE"""),"http://www.newsweek.com/its-not-just-new-york-195928  https://www.newspapers.com/image/193007719/?terms=CROSBY%2BHIGH%2BSCHOOL%2BSHOOTING   https://www.newspapers.com/image/425008822/?terms=lakeeta%2Bcadoree      https://www.newspapers.com/image/453814080"&amp;"/?terms=CROSBY%2BHIGH%2BSCHOOL%2BSHOOTING https://www.newspapers.com/image/9453361/?terms=lakeeta%2Bcadoree   https://www.newspapers.com/image/16810191/?terms=lakeeta%2Bcadoree")</f>
        <v>http://www.newsweek.com/its-not-just-new-york-195928  https://www.newspapers.com/image/193007719/?terms=CROSBY%2BHIGH%2BSCHOOL%2BSHOOTING   https://www.newspapers.com/image/425008822/?terms=lakeeta%2Bcadoree      https://www.newspapers.com/image/453814080/?terms=CROSBY%2BHIGH%2BSCHOOL%2BSHOOTING https://www.newspapers.com/image/9453361/?terms=lakeeta%2Bcadoree   https://www.newspapers.com/image/16810191/?terms=lakeeta%2Bcadoree</v>
      </c>
      <c r="L2702" s="8"/>
      <c r="M2702" s="8"/>
      <c r="N2702" s="8">
        <f ca="1">IFERROR(__xludf.DUMMYFUNCTION("""COMPUTED_VALUE"""),3)</f>
        <v>3</v>
      </c>
      <c r="O2702" s="8" t="str">
        <f ca="1">IFERROR(__xludf.DUMMYFUNCTION("""COMPUTED_VALUE"""),"Fall")</f>
        <v>Fall</v>
      </c>
      <c r="P2702" s="8" t="str">
        <f ca="1">IFERROR(__xludf.DUMMYFUNCTION("""COMPUTED_VALUE"""),"Crosby")</f>
        <v>Crosby</v>
      </c>
      <c r="Q2702" s="8" t="str">
        <f ca="1">IFERROR(__xludf.DUMMYFUNCTION("""COMPUTED_VALUE"""),"TX")</f>
        <v>TX</v>
      </c>
      <c r="R2702" s="8" t="str">
        <f ca="1">IFERROR(__xludf.DUMMYFUNCTION("""COMPUTED_VALUE"""),"High")</f>
        <v>High</v>
      </c>
      <c r="S2702" s="8" t="str">
        <f ca="1">IFERROR(__xludf.DUMMYFUNCTION("""COMPUTED_VALUE"""),"Cafeteria")</f>
        <v>Cafeteria</v>
      </c>
      <c r="T2702" s="8" t="str">
        <f ca="1">IFERROR(__xludf.DUMMYFUNCTION("""COMPUTED_VALUE"""),"Inside School Building")</f>
        <v>Inside School Building</v>
      </c>
      <c r="U2702" s="8" t="str">
        <f ca="1">IFERROR(__xludf.DUMMYFUNCTION("""COMPUTED_VALUE"""),"Yes")</f>
        <v>Yes</v>
      </c>
      <c r="V2702" s="8" t="str">
        <f ca="1">IFERROR(__xludf.DUMMYFUNCTION("""COMPUTED_VALUE"""),"School Start")</f>
        <v>School Start</v>
      </c>
      <c r="W2702" s="8"/>
      <c r="X2702" s="8">
        <f ca="1">IFERROR(__xludf.DUMMYFUNCTION("""COMPUTED_VALUE"""),1)</f>
        <v>1</v>
      </c>
      <c r="Y2702" s="12" t="str">
        <f ca="1">IFERROR(__xludf.DUMMYFUNCTION("""COMPUTED_VALUE"""),"Victim insulted shooter in cafeteria")</f>
        <v>Victim insulted shooter in cafeteria</v>
      </c>
      <c r="Z2702" s="12" t="str">
        <f ca="1">IFERROR(__xludf.DUMMYFUNCTION("""COMPUTED_VALUE"""),"Shooter shot victim in cafeteria after she borrowed a gun from a friend. Shooter heard that victim had called her a ""bitch"" a day prior - waved gun at other students after shooting - no one else was injured.")</f>
        <v>Shooter shot victim in cafeteria after she borrowed a gun from a friend. Shooter heard that victim had called her a "bitch" a day prior - waved gun at other students after shooting - no one else was injured.</v>
      </c>
      <c r="AA2702" s="8" t="str">
        <f ca="1">IFERROR(__xludf.DUMMYFUNCTION("""COMPUTED_VALUE"""),"Escalation of Dispute")</f>
        <v>Escalation of Dispute</v>
      </c>
      <c r="AB2702" s="8"/>
      <c r="AC2702" s="8"/>
      <c r="AD2702" s="8" t="str">
        <f ca="1">IFERROR(__xludf.DUMMYFUNCTION("""COMPUTED_VALUE"""),"Victims Targeted")</f>
        <v>Victims Targeted</v>
      </c>
      <c r="AE2702" s="8" t="str">
        <f ca="1">IFERROR(__xludf.DUMMYFUNCTION("""COMPUTED_VALUE"""),"No")</f>
        <v>No</v>
      </c>
      <c r="AF2702" s="8"/>
      <c r="AG2702" s="8" t="str">
        <f ca="1">IFERROR(__xludf.DUMMYFUNCTION("""COMPUTED_VALUE"""),"No")</f>
        <v>No</v>
      </c>
      <c r="AH2702" s="8" t="str">
        <f ca="1">IFERROR(__xludf.DUMMYFUNCTION("""COMPUTED_VALUE"""),"No")</f>
        <v>No</v>
      </c>
      <c r="AI2702" s="8" t="str">
        <f ca="1">IFERROR(__xludf.DUMMYFUNCTION("""COMPUTED_VALUE"""),"No")</f>
        <v>No</v>
      </c>
      <c r="AJ2702" s="8" t="str">
        <f ca="1">IFERROR(__xludf.DUMMYFUNCTION("""COMPUTED_VALUE"""),"No")</f>
        <v>No</v>
      </c>
      <c r="AK2702" s="8" t="str">
        <f ca="1">IFERROR(__xludf.DUMMYFUNCTION("""COMPUTED_VALUE"""),"No")</f>
        <v>No</v>
      </c>
      <c r="AL2702" s="8" t="str">
        <f ca="1">IFERROR(__xludf.DUMMYFUNCTION("""COMPUTED_VALUE"""),"No")</f>
        <v>No</v>
      </c>
      <c r="AM2702" s="8"/>
      <c r="AN2702" s="8"/>
      <c r="AO2702" s="8" t="str">
        <f ca="1">IFERROR(__xludf.DUMMYFUNCTION("""COMPUTED_VALUE"""),"No")</f>
        <v>No</v>
      </c>
      <c r="AP2702" s="8"/>
      <c r="AQ2702" s="8" t="str">
        <f ca="1">IFERROR(__xludf.DUMMYFUNCTION("""COMPUTED_VALUE"""),"Unknown")</f>
        <v>Unknown</v>
      </c>
      <c r="AR2702" s="8" t="str">
        <f ca="1">IFERROR(__xludf.DUMMYFUNCTION("""COMPUTED_VALUE"""),"NA")</f>
        <v>NA</v>
      </c>
      <c r="AS2702" s="8">
        <f ca="1">IFERROR(__xludf.DUMMYFUNCTION("""COMPUTED_VALUE"""),2)</f>
        <v>2</v>
      </c>
      <c r="AT2702" s="8"/>
      <c r="AU2702" s="8">
        <f ca="1">IFERROR(__xludf.DUMMYFUNCTION("""COMPUTED_VALUE"""),29.895349)</f>
        <v>29.895349</v>
      </c>
      <c r="AV2702" s="8">
        <f ca="1">IFERROR(__xludf.DUMMYFUNCTION("""COMPUTED_VALUE"""),-95.068653)</f>
        <v>-95.068652999999998</v>
      </c>
      <c r="AW2702" s="8"/>
      <c r="AX2702" s="8">
        <f ca="1">IFERROR(__xludf.DUMMYFUNCTION("""COMPUTED_VALUE"""),77532)</f>
        <v>77532</v>
      </c>
    </row>
    <row r="2703" spans="1:50" ht="75" x14ac:dyDescent="0.2">
      <c r="A2703" s="8" t="str">
        <f ca="1">IFERROR(__xludf.DUMMYFUNCTION("""COMPUTED_VALUE"""),"19910917ILWOC")</f>
        <v>19910917ILWOC</v>
      </c>
      <c r="B2703" s="8">
        <f ca="1">IFERROR(__xludf.DUMMYFUNCTION("""COMPUTED_VALUE"""),9)</f>
        <v>9</v>
      </c>
      <c r="C2703" s="8">
        <f ca="1">IFERROR(__xludf.DUMMYFUNCTION("""COMPUTED_VALUE"""),17)</f>
        <v>17</v>
      </c>
      <c r="D2703" s="8">
        <f ca="1">IFERROR(__xludf.DUMMYFUNCTION("""COMPUTED_VALUE"""),1991)</f>
        <v>1991</v>
      </c>
      <c r="E2703" s="9">
        <f ca="1">IFERROR(__xludf.DUMMYFUNCTION("""COMPUTED_VALUE"""),33498)</f>
        <v>33498</v>
      </c>
      <c r="F2703" s="8" t="str">
        <f ca="1">IFERROR(__xludf.DUMMYFUNCTION("""COMPUTED_VALUE"""),"Woodson High School")</f>
        <v>Woodson High School</v>
      </c>
      <c r="G2703" s="8">
        <f ca="1">IFERROR(__xludf.DUMMYFUNCTION("""COMPUTED_VALUE"""),0)</f>
        <v>0</v>
      </c>
      <c r="H2703" s="8">
        <f ca="1">IFERROR(__xludf.DUMMYFUNCTION("""COMPUTED_VALUE"""),1)</f>
        <v>1</v>
      </c>
      <c r="I2703" s="8">
        <f ca="1">IFERROR(__xludf.DUMMYFUNCTION("""COMPUTED_VALUE"""),1)</f>
        <v>1</v>
      </c>
      <c r="J2703" s="8">
        <f ca="1">IFERROR(__xludf.DUMMYFUNCTION("""COMPUTED_VALUE"""),0)</f>
        <v>0</v>
      </c>
      <c r="K2703" s="10" t="str">
        <f ca="1">IFERROR(__xludf.DUMMYFUNCTION("""COMPUTED_VALUE"""),"https://www.newspapers.com/image/389496363/?terms=Woodson%2BHigh%2BSchool%2Bshooting")</f>
        <v>https://www.newspapers.com/image/389496363/?terms=Woodson%2BHigh%2BSchool%2Bshooting</v>
      </c>
      <c r="L2703" s="8"/>
      <c r="M2703" s="8"/>
      <c r="N2703" s="8">
        <f ca="1">IFERROR(__xludf.DUMMYFUNCTION("""COMPUTED_VALUE"""),2)</f>
        <v>2</v>
      </c>
      <c r="O2703" s="8" t="str">
        <f ca="1">IFERROR(__xludf.DUMMYFUNCTION("""COMPUTED_VALUE"""),"Fall")</f>
        <v>Fall</v>
      </c>
      <c r="P2703" s="8" t="str">
        <f ca="1">IFERROR(__xludf.DUMMYFUNCTION("""COMPUTED_VALUE"""),"Chicago")</f>
        <v>Chicago</v>
      </c>
      <c r="Q2703" s="8" t="str">
        <f ca="1">IFERROR(__xludf.DUMMYFUNCTION("""COMPUTED_VALUE"""),"IL")</f>
        <v>IL</v>
      </c>
      <c r="R2703" s="8" t="str">
        <f ca="1">IFERROR(__xludf.DUMMYFUNCTION("""COMPUTED_VALUE"""),"High")</f>
        <v>High</v>
      </c>
      <c r="S2703" s="8" t="str">
        <f ca="1">IFERROR(__xludf.DUMMYFUNCTION("""COMPUTED_VALUE"""),"Gym")</f>
        <v>Gym</v>
      </c>
      <c r="T2703" s="8" t="str">
        <f ca="1">IFERROR(__xludf.DUMMYFUNCTION("""COMPUTED_VALUE"""),"Inside School Building")</f>
        <v>Inside School Building</v>
      </c>
      <c r="U2703" s="8" t="str">
        <f ca="1">IFERROR(__xludf.DUMMYFUNCTION("""COMPUTED_VALUE"""),"No")</f>
        <v>No</v>
      </c>
      <c r="V2703" s="8" t="str">
        <f ca="1">IFERROR(__xludf.DUMMYFUNCTION("""COMPUTED_VALUE"""),"After School")</f>
        <v>After School</v>
      </c>
      <c r="W2703" s="11">
        <f ca="1">IFERROR(__xludf.DUMMYFUNCTION("""COMPUTED_VALUE"""),0.708333333333333)</f>
        <v>0.70833333333333304</v>
      </c>
      <c r="X2703" s="8">
        <f ca="1">IFERROR(__xludf.DUMMYFUNCTION("""COMPUTED_VALUE"""),1)</f>
        <v>1</v>
      </c>
      <c r="Y2703" s="12" t="str">
        <f ca="1">IFERROR(__xludf.DUMMYFUNCTION("""COMPUTED_VALUE"""),"Shooter fired crowd during basketball game in retaliation for previous gang shooting")</f>
        <v>Shooter fired crowd during basketball game in retaliation for previous gang shooting</v>
      </c>
      <c r="Z2703" s="12" t="str">
        <f ca="1">IFERROR(__xludf.DUMMYFUNCTION("""COMPUTED_VALUE"""),"Shooter fired random shots at crowd in gym during basketball game in retaliation for prior gang shooting. One student was injured.")</f>
        <v>Shooter fired random shots at crowd in gym during basketball game in retaliation for prior gang shooting. One student was injured.</v>
      </c>
      <c r="AA2703" s="8" t="str">
        <f ca="1">IFERROR(__xludf.DUMMYFUNCTION("""COMPUTED_VALUE"""),"Indiscriminate Shooting")</f>
        <v>Indiscriminate Shooting</v>
      </c>
      <c r="AB2703" s="8"/>
      <c r="AC2703" s="8"/>
      <c r="AD2703" s="8" t="str">
        <f ca="1">IFERROR(__xludf.DUMMYFUNCTION("""COMPUTED_VALUE"""),"Random Shooting")</f>
        <v>Random Shooting</v>
      </c>
      <c r="AE2703" s="8" t="str">
        <f ca="1">IFERROR(__xludf.DUMMYFUNCTION("""COMPUTED_VALUE"""),"No")</f>
        <v>No</v>
      </c>
      <c r="AF2703" s="8"/>
      <c r="AG2703" s="8" t="str">
        <f ca="1">IFERROR(__xludf.DUMMYFUNCTION("""COMPUTED_VALUE"""),"No")</f>
        <v>No</v>
      </c>
      <c r="AH2703" s="8" t="str">
        <f ca="1">IFERROR(__xludf.DUMMYFUNCTION("""COMPUTED_VALUE"""),"No")</f>
        <v>No</v>
      </c>
      <c r="AI2703" s="8" t="str">
        <f ca="1">IFERROR(__xludf.DUMMYFUNCTION("""COMPUTED_VALUE"""),"No")</f>
        <v>No</v>
      </c>
      <c r="AJ2703" s="8" t="str">
        <f ca="1">IFERROR(__xludf.DUMMYFUNCTION("""COMPUTED_VALUE"""),"No")</f>
        <v>No</v>
      </c>
      <c r="AK2703" s="8" t="str">
        <f ca="1">IFERROR(__xludf.DUMMYFUNCTION("""COMPUTED_VALUE"""),"No")</f>
        <v>No</v>
      </c>
      <c r="AL2703" s="8" t="str">
        <f ca="1">IFERROR(__xludf.DUMMYFUNCTION("""COMPUTED_VALUE"""),"Yes")</f>
        <v>Yes</v>
      </c>
      <c r="AM2703" s="8"/>
      <c r="AN2703" s="8"/>
      <c r="AO2703" s="8" t="str">
        <f ca="1">IFERROR(__xludf.DUMMYFUNCTION("""COMPUTED_VALUE"""),"No")</f>
        <v>No</v>
      </c>
      <c r="AP2703" s="8"/>
      <c r="AQ2703" s="8" t="str">
        <f ca="1">IFERROR(__xludf.DUMMYFUNCTION("""COMPUTED_VALUE"""),"Unknown")</f>
        <v>Unknown</v>
      </c>
      <c r="AR2703" s="8" t="str">
        <f ca="1">IFERROR(__xludf.DUMMYFUNCTION("""COMPUTED_VALUE"""),"NA")</f>
        <v>NA</v>
      </c>
      <c r="AS2703" s="8">
        <f ca="1">IFERROR(__xludf.DUMMYFUNCTION("""COMPUTED_VALUE"""),12)</f>
        <v>12</v>
      </c>
      <c r="AT2703" s="8"/>
      <c r="AU2703" s="8">
        <f ca="1">IFERROR(__xludf.DUMMYFUNCTION("""COMPUTED_VALUE"""),41.814028)</f>
        <v>41.814028</v>
      </c>
      <c r="AV2703" s="8">
        <f ca="1">IFERROR(__xludf.DUMMYFUNCTION("""COMPUTED_VALUE"""),-87.608697)</f>
        <v>-87.608697000000006</v>
      </c>
      <c r="AW2703" s="8"/>
      <c r="AX2703" s="8">
        <f ca="1">IFERROR(__xludf.DUMMYFUNCTION("""COMPUTED_VALUE"""),60653)</f>
        <v>60653</v>
      </c>
    </row>
    <row r="2704" spans="1:50" ht="60" x14ac:dyDescent="0.2">
      <c r="A2704" s="8" t="str">
        <f ca="1">IFERROR(__xludf.DUMMYFUNCTION("""COMPUTED_VALUE"""),"19910913TXMAH")</f>
        <v>19910913TXMAH</v>
      </c>
      <c r="B2704" s="8">
        <f ca="1">IFERROR(__xludf.DUMMYFUNCTION("""COMPUTED_VALUE"""),9)</f>
        <v>9</v>
      </c>
      <c r="C2704" s="8">
        <f ca="1">IFERROR(__xludf.DUMMYFUNCTION("""COMPUTED_VALUE"""),13)</f>
        <v>13</v>
      </c>
      <c r="D2704" s="8">
        <f ca="1">IFERROR(__xludf.DUMMYFUNCTION("""COMPUTED_VALUE"""),1991)</f>
        <v>1991</v>
      </c>
      <c r="E2704" s="9">
        <f ca="1">IFERROR(__xludf.DUMMYFUNCTION("""COMPUTED_VALUE"""),33494)</f>
        <v>33494</v>
      </c>
      <c r="F2704" s="8" t="str">
        <f ca="1">IFERROR(__xludf.DUMMYFUNCTION("""COMPUTED_VALUE"""),"Madison High School")</f>
        <v>Madison High School</v>
      </c>
      <c r="G2704" s="8">
        <f ca="1">IFERROR(__xludf.DUMMYFUNCTION("""COMPUTED_VALUE"""),1)</f>
        <v>1</v>
      </c>
      <c r="H2704" s="8">
        <f ca="1">IFERROR(__xludf.DUMMYFUNCTION("""COMPUTED_VALUE"""),0)</f>
        <v>0</v>
      </c>
      <c r="I2704" s="8">
        <f ca="1">IFERROR(__xludf.DUMMYFUNCTION("""COMPUTED_VALUE"""),1)</f>
        <v>1</v>
      </c>
      <c r="J2704" s="8">
        <f ca="1">IFERROR(__xludf.DUMMYFUNCTION("""COMPUTED_VALUE"""),0)</f>
        <v>0</v>
      </c>
      <c r="K2704" s="10" t="str">
        <f ca="1">IFERROR(__xludf.DUMMYFUNCTION("""COMPUTED_VALUE"""),"https://www.newspapers.com/image/300249662/?terms=Madison%2BHigh%2BSchool%2Bshooting%2Bhouston")</f>
        <v>https://www.newspapers.com/image/300249662/?terms=Madison%2BHigh%2BSchool%2Bshooting%2Bhouston</v>
      </c>
      <c r="L2704" s="8"/>
      <c r="M2704" s="8"/>
      <c r="N2704" s="8">
        <f ca="1">IFERROR(__xludf.DUMMYFUNCTION("""COMPUTED_VALUE"""),2)</f>
        <v>2</v>
      </c>
      <c r="O2704" s="8" t="str">
        <f ca="1">IFERROR(__xludf.DUMMYFUNCTION("""COMPUTED_VALUE"""),"Fall")</f>
        <v>Fall</v>
      </c>
      <c r="P2704" s="8" t="str">
        <f ca="1">IFERROR(__xludf.DUMMYFUNCTION("""COMPUTED_VALUE"""),"Houston")</f>
        <v>Houston</v>
      </c>
      <c r="Q2704" s="8" t="str">
        <f ca="1">IFERROR(__xludf.DUMMYFUNCTION("""COMPUTED_VALUE"""),"TX")</f>
        <v>TX</v>
      </c>
      <c r="R2704" s="8" t="str">
        <f ca="1">IFERROR(__xludf.DUMMYFUNCTION("""COMPUTED_VALUE"""),"High")</f>
        <v>High</v>
      </c>
      <c r="S2704" s="8" t="str">
        <f ca="1">IFERROR(__xludf.DUMMYFUNCTION("""COMPUTED_VALUE"""),"Parking Lot")</f>
        <v>Parking Lot</v>
      </c>
      <c r="T2704" s="8" t="str">
        <f ca="1">IFERROR(__xludf.DUMMYFUNCTION("""COMPUTED_VALUE"""),"Outside on School Property")</f>
        <v>Outside on School Property</v>
      </c>
      <c r="U2704" s="8" t="str">
        <f ca="1">IFERROR(__xludf.DUMMYFUNCTION("""COMPUTED_VALUE"""),"No")</f>
        <v>No</v>
      </c>
      <c r="V2704" s="8" t="str">
        <f ca="1">IFERROR(__xludf.DUMMYFUNCTION("""COMPUTED_VALUE"""),"Sport Event")</f>
        <v>Sport Event</v>
      </c>
      <c r="W2704" s="11">
        <f ca="1">IFERROR(__xludf.DUMMYFUNCTION("""COMPUTED_VALUE"""),0.958333333333333)</f>
        <v>0.95833333333333304</v>
      </c>
      <c r="X2704" s="8">
        <f ca="1">IFERROR(__xludf.DUMMYFUNCTION("""COMPUTED_VALUE"""),1)</f>
        <v>1</v>
      </c>
      <c r="Y2704" s="12" t="str">
        <f ca="1">IFERROR(__xludf.DUMMYFUNCTION("""COMPUTED_VALUE"""),"Shots fired during large fighter between rival football teams")</f>
        <v>Shots fired during large fighter between rival football teams</v>
      </c>
      <c r="Z2704" s="12" t="str">
        <f ca="1">IFERROR(__xludf.DUMMYFUNCTION("""COMPUTED_VALUE"""),"Large fight occurred in parking lot after football game between rival schools. 20 gunshots were fired by multiple shooters. Victim was fatally shot in the crossfire.")</f>
        <v>Large fight occurred in parking lot after football game between rival schools. 20 gunshots were fired by multiple shooters. Victim was fatally shot in the crossfire.</v>
      </c>
      <c r="AA2704" s="8" t="str">
        <f ca="1">IFERROR(__xludf.DUMMYFUNCTION("""COMPUTED_VALUE"""),"Escalation of Dispute")</f>
        <v>Escalation of Dispute</v>
      </c>
      <c r="AB2704" s="8"/>
      <c r="AC2704" s="8"/>
      <c r="AD2704" s="8" t="str">
        <f ca="1">IFERROR(__xludf.DUMMYFUNCTION("""COMPUTED_VALUE"""),"Random Shooting")</f>
        <v>Random Shooting</v>
      </c>
      <c r="AE2704" s="8" t="str">
        <f ca="1">IFERROR(__xludf.DUMMYFUNCTION("""COMPUTED_VALUE"""),"No")</f>
        <v>No</v>
      </c>
      <c r="AF2704" s="8"/>
      <c r="AG2704" s="8" t="str">
        <f ca="1">IFERROR(__xludf.DUMMYFUNCTION("""COMPUTED_VALUE"""),"No")</f>
        <v>No</v>
      </c>
      <c r="AH2704" s="8" t="str">
        <f ca="1">IFERROR(__xludf.DUMMYFUNCTION("""COMPUTED_VALUE"""),"No")</f>
        <v>No</v>
      </c>
      <c r="AI2704" s="8" t="str">
        <f ca="1">IFERROR(__xludf.DUMMYFUNCTION("""COMPUTED_VALUE"""),"No")</f>
        <v>No</v>
      </c>
      <c r="AJ2704" s="8" t="str">
        <f ca="1">IFERROR(__xludf.DUMMYFUNCTION("""COMPUTED_VALUE"""),"No")</f>
        <v>No</v>
      </c>
      <c r="AK2704" s="8" t="str">
        <f ca="1">IFERROR(__xludf.DUMMYFUNCTION("""COMPUTED_VALUE"""),"No")</f>
        <v>No</v>
      </c>
      <c r="AL2704" s="8" t="str">
        <f ca="1">IFERROR(__xludf.DUMMYFUNCTION("""COMPUTED_VALUE"""),"Yes")</f>
        <v>Yes</v>
      </c>
      <c r="AM2704" s="8"/>
      <c r="AN2704" s="8"/>
      <c r="AO2704" s="8" t="str">
        <f ca="1">IFERROR(__xludf.DUMMYFUNCTION("""COMPUTED_VALUE"""),"No")</f>
        <v>No</v>
      </c>
      <c r="AP2704" s="8"/>
      <c r="AQ2704" s="8" t="str">
        <f ca="1">IFERROR(__xludf.DUMMYFUNCTION("""COMPUTED_VALUE"""),"Unknown")</f>
        <v>Unknown</v>
      </c>
      <c r="AR2704" s="8" t="str">
        <f ca="1">IFERROR(__xludf.DUMMYFUNCTION("""COMPUTED_VALUE"""),"NA")</f>
        <v>NA</v>
      </c>
      <c r="AS2704" s="8">
        <f ca="1">IFERROR(__xludf.DUMMYFUNCTION("""COMPUTED_VALUE"""),20)</f>
        <v>20</v>
      </c>
      <c r="AT2704" s="8"/>
      <c r="AU2704" s="8">
        <f ca="1">IFERROR(__xludf.DUMMYFUNCTION("""COMPUTED_VALUE"""),29.628673)</f>
        <v>29.628672999999999</v>
      </c>
      <c r="AV2704" s="8">
        <f ca="1">IFERROR(__xludf.DUMMYFUNCTION("""COMPUTED_VALUE"""),-95.436559)</f>
        <v>-95.436559000000003</v>
      </c>
      <c r="AW2704" s="8"/>
      <c r="AX2704" s="8">
        <f ca="1">IFERROR(__xludf.DUMMYFUNCTION("""COMPUTED_VALUE"""),77045)</f>
        <v>77045</v>
      </c>
    </row>
    <row r="2705" spans="1:50" ht="60" x14ac:dyDescent="0.2">
      <c r="A2705" s="8" t="str">
        <f ca="1">IFERROR(__xludf.DUMMYFUNCTION("""COMPUTED_VALUE"""),"19910730CAENC")</f>
        <v>19910730CAENC</v>
      </c>
      <c r="B2705" s="8">
        <f ca="1">IFERROR(__xludf.DUMMYFUNCTION("""COMPUTED_VALUE"""),7)</f>
        <v>7</v>
      </c>
      <c r="C2705" s="8">
        <f ca="1">IFERROR(__xludf.DUMMYFUNCTION("""COMPUTED_VALUE"""),30)</f>
        <v>30</v>
      </c>
      <c r="D2705" s="8">
        <f ca="1">IFERROR(__xludf.DUMMYFUNCTION("""COMPUTED_VALUE"""),1991)</f>
        <v>1991</v>
      </c>
      <c r="E2705" s="9">
        <f ca="1">IFERROR(__xludf.DUMMYFUNCTION("""COMPUTED_VALUE"""),33449)</f>
        <v>33449</v>
      </c>
      <c r="F2705" s="8" t="str">
        <f ca="1">IFERROR(__xludf.DUMMYFUNCTION("""COMPUTED_VALUE"""),"Enterprise Middle School")</f>
        <v>Enterprise Middle School</v>
      </c>
      <c r="G2705" s="8">
        <f ca="1">IFERROR(__xludf.DUMMYFUNCTION("""COMPUTED_VALUE"""),0)</f>
        <v>0</v>
      </c>
      <c r="H2705" s="8">
        <f ca="1">IFERROR(__xludf.DUMMYFUNCTION("""COMPUTED_VALUE"""),1)</f>
        <v>1</v>
      </c>
      <c r="I2705" s="8">
        <f ca="1">IFERROR(__xludf.DUMMYFUNCTION("""COMPUTED_VALUE"""),1)</f>
        <v>1</v>
      </c>
      <c r="J2705" s="8">
        <f ca="1">IFERROR(__xludf.DUMMYFUNCTION("""COMPUTED_VALUE"""),0)</f>
        <v>0</v>
      </c>
      <c r="K2705" s="10" t="str">
        <f ca="1">IFERROR(__xludf.DUMMYFUNCTION("""COMPUTED_VALUE"""),"https://www.newspapers.com/image/176991255/?terms=Enterprise%2BMiddle%2BSchool%2Bshot%2Bcompton")</f>
        <v>https://www.newspapers.com/image/176991255/?terms=Enterprise%2BMiddle%2BSchool%2Bshot%2Bcompton</v>
      </c>
      <c r="L2705" s="8"/>
      <c r="M2705" s="8"/>
      <c r="N2705" s="8">
        <f ca="1">IFERROR(__xludf.DUMMYFUNCTION("""COMPUTED_VALUE"""),2)</f>
        <v>2</v>
      </c>
      <c r="O2705" s="8" t="str">
        <f ca="1">IFERROR(__xludf.DUMMYFUNCTION("""COMPUTED_VALUE"""),"Summer")</f>
        <v>Summer</v>
      </c>
      <c r="P2705" s="8" t="str">
        <f ca="1">IFERROR(__xludf.DUMMYFUNCTION("""COMPUTED_VALUE"""),"Compton")</f>
        <v>Compton</v>
      </c>
      <c r="Q2705" s="8" t="str">
        <f ca="1">IFERROR(__xludf.DUMMYFUNCTION("""COMPUTED_VALUE"""),"CA")</f>
        <v>CA</v>
      </c>
      <c r="R2705" s="8" t="str">
        <f ca="1">IFERROR(__xludf.DUMMYFUNCTION("""COMPUTED_VALUE"""),"Middle")</f>
        <v>Middle</v>
      </c>
      <c r="S2705" s="8" t="str">
        <f ca="1">IFERROR(__xludf.DUMMYFUNCTION("""COMPUTED_VALUE"""),"Hallway")</f>
        <v>Hallway</v>
      </c>
      <c r="T2705" s="8" t="str">
        <f ca="1">IFERROR(__xludf.DUMMYFUNCTION("""COMPUTED_VALUE"""),"Inside School Building")</f>
        <v>Inside School Building</v>
      </c>
      <c r="U2705" s="8" t="str">
        <f ca="1">IFERROR(__xludf.DUMMYFUNCTION("""COMPUTED_VALUE"""),"Yes")</f>
        <v>Yes</v>
      </c>
      <c r="V2705" s="8" t="str">
        <f ca="1">IFERROR(__xludf.DUMMYFUNCTION("""COMPUTED_VALUE"""),"Afternoon Classes")</f>
        <v>Afternoon Classes</v>
      </c>
      <c r="W2705" s="8"/>
      <c r="X2705" s="8">
        <f ca="1">IFERROR(__xludf.DUMMYFUNCTION("""COMPUTED_VALUE"""),1)</f>
        <v>1</v>
      </c>
      <c r="Y2705" s="12" t="str">
        <f ca="1">IFERROR(__xludf.DUMMYFUNCTION("""COMPUTED_VALUE"""),"Victim was beat and shot by two gang members in school")</f>
        <v>Victim was beat and shot by two gang members in school</v>
      </c>
      <c r="Z2705" s="12" t="str">
        <f ca="1">IFERROR(__xludf.DUMMYFUNCTION("""COMPUTED_VALUE"""),"Victim and friend were challenge by two gang members to a fight. Victim was shot in the leg during the fight.")</f>
        <v>Victim and friend were challenge by two gang members to a fight. Victim was shot in the leg during the fight.</v>
      </c>
      <c r="AA2705" s="8" t="str">
        <f ca="1">IFERROR(__xludf.DUMMYFUNCTION("""COMPUTED_VALUE"""),"Escalation of Dispute")</f>
        <v>Escalation of Dispute</v>
      </c>
      <c r="AB2705" s="8"/>
      <c r="AC2705" s="8"/>
      <c r="AD2705" s="8" t="str">
        <f ca="1">IFERROR(__xludf.DUMMYFUNCTION("""COMPUTED_VALUE"""),"Victims Targeted")</f>
        <v>Victims Targeted</v>
      </c>
      <c r="AE2705" s="8" t="str">
        <f ca="1">IFERROR(__xludf.DUMMYFUNCTION("""COMPUTED_VALUE"""),"No")</f>
        <v>No</v>
      </c>
      <c r="AF2705" s="8"/>
      <c r="AG2705" s="8" t="str">
        <f ca="1">IFERROR(__xludf.DUMMYFUNCTION("""COMPUTED_VALUE"""),"No")</f>
        <v>No</v>
      </c>
      <c r="AH2705" s="8" t="str">
        <f ca="1">IFERROR(__xludf.DUMMYFUNCTION("""COMPUTED_VALUE"""),"No")</f>
        <v>No</v>
      </c>
      <c r="AI2705" s="8" t="str">
        <f ca="1">IFERROR(__xludf.DUMMYFUNCTION("""COMPUTED_VALUE"""),"No")</f>
        <v>No</v>
      </c>
      <c r="AJ2705" s="8" t="str">
        <f ca="1">IFERROR(__xludf.DUMMYFUNCTION("""COMPUTED_VALUE"""),"No")</f>
        <v>No</v>
      </c>
      <c r="AK2705" s="8" t="str">
        <f ca="1">IFERROR(__xludf.DUMMYFUNCTION("""COMPUTED_VALUE"""),"No")</f>
        <v>No</v>
      </c>
      <c r="AL2705" s="8" t="str">
        <f ca="1">IFERROR(__xludf.DUMMYFUNCTION("""COMPUTED_VALUE"""),"Yes")</f>
        <v>Yes</v>
      </c>
      <c r="AM2705" s="8"/>
      <c r="AN2705" s="8"/>
      <c r="AO2705" s="8" t="str">
        <f ca="1">IFERROR(__xludf.DUMMYFUNCTION("""COMPUTED_VALUE"""),"No")</f>
        <v>No</v>
      </c>
      <c r="AP2705" s="8"/>
      <c r="AQ2705" s="8" t="str">
        <f ca="1">IFERROR(__xludf.DUMMYFUNCTION("""COMPUTED_VALUE"""),"Unknown")</f>
        <v>Unknown</v>
      </c>
      <c r="AR2705" s="8" t="str">
        <f ca="1">IFERROR(__xludf.DUMMYFUNCTION("""COMPUTED_VALUE"""),"NA")</f>
        <v>NA</v>
      </c>
      <c r="AS2705" s="8" t="str">
        <f ca="1">IFERROR(__xludf.DUMMYFUNCTION("""COMPUTED_VALUE"""),"&lt;5")</f>
        <v>&lt;5</v>
      </c>
      <c r="AT2705" s="8"/>
      <c r="AU2705" s="8">
        <f ca="1">IFERROR(__xludf.DUMMYFUNCTION("""COMPUTED_VALUE"""),33.894825)</f>
        <v>33.894824999999997</v>
      </c>
      <c r="AV2705" s="8">
        <f ca="1">IFERROR(__xludf.DUMMYFUNCTION("""COMPUTED_VALUE"""),-118.257993)</f>
        <v>-118.257993</v>
      </c>
      <c r="AW2705" s="8"/>
      <c r="AX2705" s="8">
        <f ca="1">IFERROR(__xludf.DUMMYFUNCTION("""COMPUTED_VALUE"""),90220)</f>
        <v>90220</v>
      </c>
    </row>
    <row r="2706" spans="1:50" ht="60" x14ac:dyDescent="0.2">
      <c r="A2706" s="8" t="str">
        <f ca="1">IFERROR(__xludf.DUMMYFUNCTION("""COMPUTED_VALUE"""),"19910722CAWEL")</f>
        <v>19910722CAWEL</v>
      </c>
      <c r="B2706" s="8">
        <f ca="1">IFERROR(__xludf.DUMMYFUNCTION("""COMPUTED_VALUE"""),7)</f>
        <v>7</v>
      </c>
      <c r="C2706" s="8">
        <f ca="1">IFERROR(__xludf.DUMMYFUNCTION("""COMPUTED_VALUE"""),22)</f>
        <v>22</v>
      </c>
      <c r="D2706" s="8">
        <f ca="1">IFERROR(__xludf.DUMMYFUNCTION("""COMPUTED_VALUE"""),1991)</f>
        <v>1991</v>
      </c>
      <c r="E2706" s="9">
        <f ca="1">IFERROR(__xludf.DUMMYFUNCTION("""COMPUTED_VALUE"""),33441)</f>
        <v>33441</v>
      </c>
      <c r="F2706" s="8" t="str">
        <f ca="1">IFERROR(__xludf.DUMMYFUNCTION("""COMPUTED_VALUE"""),"Westchester High School")</f>
        <v>Westchester High School</v>
      </c>
      <c r="G2706" s="8">
        <f ca="1">IFERROR(__xludf.DUMMYFUNCTION("""COMPUTED_VALUE"""),0)</f>
        <v>0</v>
      </c>
      <c r="H2706" s="8">
        <f ca="1">IFERROR(__xludf.DUMMYFUNCTION("""COMPUTED_VALUE"""),1)</f>
        <v>1</v>
      </c>
      <c r="I2706" s="8">
        <f ca="1">IFERROR(__xludf.DUMMYFUNCTION("""COMPUTED_VALUE"""),1)</f>
        <v>1</v>
      </c>
      <c r="J2706" s="8">
        <f ca="1">IFERROR(__xludf.DUMMYFUNCTION("""COMPUTED_VALUE"""),0)</f>
        <v>0</v>
      </c>
      <c r="K2706" s="10" t="str">
        <f ca="1">IFERROR(__xludf.DUMMYFUNCTION("""COMPUTED_VALUE"""),"https://www.newspapers.com/image/176655612/?terms=Westchester%2BHigh%2BSchool%2Bshooting")</f>
        <v>https://www.newspapers.com/image/176655612/?terms=Westchester%2BHigh%2BSchool%2Bshooting</v>
      </c>
      <c r="L2706" s="8"/>
      <c r="M2706" s="8"/>
      <c r="N2706" s="8">
        <f ca="1">IFERROR(__xludf.DUMMYFUNCTION("""COMPUTED_VALUE"""),2)</f>
        <v>2</v>
      </c>
      <c r="O2706" s="8" t="str">
        <f ca="1">IFERROR(__xludf.DUMMYFUNCTION("""COMPUTED_VALUE"""),"Summer")</f>
        <v>Summer</v>
      </c>
      <c r="P2706" s="8" t="str">
        <f ca="1">IFERROR(__xludf.DUMMYFUNCTION("""COMPUTED_VALUE"""),"Los Angeles")</f>
        <v>Los Angeles</v>
      </c>
      <c r="Q2706" s="8" t="str">
        <f ca="1">IFERROR(__xludf.DUMMYFUNCTION("""COMPUTED_VALUE"""),"CA")</f>
        <v>CA</v>
      </c>
      <c r="R2706" s="8" t="str">
        <f ca="1">IFERROR(__xludf.DUMMYFUNCTION("""COMPUTED_VALUE"""),"High")</f>
        <v>High</v>
      </c>
      <c r="S2706" s="8" t="str">
        <f ca="1">IFERROR(__xludf.DUMMYFUNCTION("""COMPUTED_VALUE"""),"Front of School")</f>
        <v>Front of School</v>
      </c>
      <c r="T2706" s="8" t="str">
        <f ca="1">IFERROR(__xludf.DUMMYFUNCTION("""COMPUTED_VALUE"""),"Outside on School Property")</f>
        <v>Outside on School Property</v>
      </c>
      <c r="U2706" s="8" t="str">
        <f ca="1">IFERROR(__xludf.DUMMYFUNCTION("""COMPUTED_VALUE"""),"Yes")</f>
        <v>Yes</v>
      </c>
      <c r="V2706" s="8" t="str">
        <f ca="1">IFERROR(__xludf.DUMMYFUNCTION("""COMPUTED_VALUE"""),"Morning Classes")</f>
        <v>Morning Classes</v>
      </c>
      <c r="W2706" s="11">
        <f ca="1">IFERROR(__xludf.DUMMYFUNCTION("""COMPUTED_VALUE"""),0.4375)</f>
        <v>0.4375</v>
      </c>
      <c r="X2706" s="8">
        <f ca="1">IFERROR(__xludf.DUMMYFUNCTION("""COMPUTED_VALUE"""),1)</f>
        <v>1</v>
      </c>
      <c r="Y2706" s="12" t="str">
        <f ca="1">IFERROR(__xludf.DUMMYFUNCTION("""COMPUTED_VALUE"""),"Gang members shot a student outside of school")</f>
        <v>Gang members shot a student outside of school</v>
      </c>
      <c r="Z2706" s="12" t="str">
        <f ca="1">IFERROR(__xludf.DUMMYFUNCTION("""COMPUTED_VALUE"""),"Student was standing outside of school. Car pulled up and student walked over to talk with driver/passenger. Someone in the car pulled a gun and shot the student. Police said the shooting was gang related.")</f>
        <v>Student was standing outside of school. Car pulled up and student walked over to talk with driver/passenger. Someone in the car pulled a gun and shot the student. Police said the shooting was gang related.</v>
      </c>
      <c r="AA2706" s="8" t="str">
        <f ca="1">IFERROR(__xludf.DUMMYFUNCTION("""COMPUTED_VALUE"""),"Drive-by Shooting")</f>
        <v>Drive-by Shooting</v>
      </c>
      <c r="AB2706" s="8"/>
      <c r="AC2706" s="8"/>
      <c r="AD2706" s="8" t="str">
        <f ca="1">IFERROR(__xludf.DUMMYFUNCTION("""COMPUTED_VALUE"""),"Victims Targeted")</f>
        <v>Victims Targeted</v>
      </c>
      <c r="AE2706" s="8" t="str">
        <f ca="1">IFERROR(__xludf.DUMMYFUNCTION("""COMPUTED_VALUE"""),"No")</f>
        <v>No</v>
      </c>
      <c r="AF2706" s="8"/>
      <c r="AG2706" s="8" t="str">
        <f ca="1">IFERROR(__xludf.DUMMYFUNCTION("""COMPUTED_VALUE"""),"No")</f>
        <v>No</v>
      </c>
      <c r="AH2706" s="8" t="str">
        <f ca="1">IFERROR(__xludf.DUMMYFUNCTION("""COMPUTED_VALUE"""),"No")</f>
        <v>No</v>
      </c>
      <c r="AI2706" s="8" t="str">
        <f ca="1">IFERROR(__xludf.DUMMYFUNCTION("""COMPUTED_VALUE"""),"No")</f>
        <v>No</v>
      </c>
      <c r="AJ2706" s="8" t="str">
        <f ca="1">IFERROR(__xludf.DUMMYFUNCTION("""COMPUTED_VALUE"""),"No")</f>
        <v>No</v>
      </c>
      <c r="AK2706" s="8" t="str">
        <f ca="1">IFERROR(__xludf.DUMMYFUNCTION("""COMPUTED_VALUE"""),"No")</f>
        <v>No</v>
      </c>
      <c r="AL2706" s="8" t="str">
        <f ca="1">IFERROR(__xludf.DUMMYFUNCTION("""COMPUTED_VALUE"""),"Yes")</f>
        <v>Yes</v>
      </c>
      <c r="AM2706" s="8"/>
      <c r="AN2706" s="8"/>
      <c r="AO2706" s="8" t="str">
        <f ca="1">IFERROR(__xludf.DUMMYFUNCTION("""COMPUTED_VALUE"""),"No")</f>
        <v>No</v>
      </c>
      <c r="AP2706" s="8"/>
      <c r="AQ2706" s="8" t="str">
        <f ca="1">IFERROR(__xludf.DUMMYFUNCTION("""COMPUTED_VALUE"""),"Unknown")</f>
        <v>Unknown</v>
      </c>
      <c r="AR2706" s="8" t="str">
        <f ca="1">IFERROR(__xludf.DUMMYFUNCTION("""COMPUTED_VALUE"""),"NA")</f>
        <v>NA</v>
      </c>
      <c r="AS2706" s="8" t="str">
        <f ca="1">IFERROR(__xludf.DUMMYFUNCTION("""COMPUTED_VALUE"""),"&lt;10")</f>
        <v>&lt;10</v>
      </c>
      <c r="AT2706" s="8"/>
      <c r="AU2706" s="8">
        <f ca="1">IFERROR(__xludf.DUMMYFUNCTION("""COMPUTED_VALUE"""),33.958191)</f>
        <v>33.958190999999999</v>
      </c>
      <c r="AV2706" s="8">
        <f ca="1">IFERROR(__xludf.DUMMYFUNCTION("""COMPUTED_VALUE"""),-118.428615)</f>
        <v>-118.42861499999999</v>
      </c>
      <c r="AW2706" s="8"/>
      <c r="AX2706" s="8">
        <f ca="1">IFERROR(__xludf.DUMMYFUNCTION("""COMPUTED_VALUE"""),90293)</f>
        <v>90293</v>
      </c>
    </row>
    <row r="2707" spans="1:50" ht="135" x14ac:dyDescent="0.2">
      <c r="A2707" s="8" t="str">
        <f ca="1">IFERROR(__xludf.DUMMYFUNCTION("""COMPUTED_VALUE"""),"19910521FLSCP")</f>
        <v>19910521FLSCP</v>
      </c>
      <c r="B2707" s="8">
        <f ca="1">IFERROR(__xludf.DUMMYFUNCTION("""COMPUTED_VALUE"""),5)</f>
        <v>5</v>
      </c>
      <c r="C2707" s="8">
        <f ca="1">IFERROR(__xludf.DUMMYFUNCTION("""COMPUTED_VALUE"""),21)</f>
        <v>21</v>
      </c>
      <c r="D2707" s="8">
        <f ca="1">IFERROR(__xludf.DUMMYFUNCTION("""COMPUTED_VALUE"""),1991)</f>
        <v>1991</v>
      </c>
      <c r="E2707" s="9">
        <f ca="1">IFERROR(__xludf.DUMMYFUNCTION("""COMPUTED_VALUE"""),33379)</f>
        <v>33379</v>
      </c>
      <c r="F2707" s="8" t="str">
        <f ca="1">IFERROR(__xludf.DUMMYFUNCTION("""COMPUTED_VALUE"""),"School of Choice")</f>
        <v>School of Choice</v>
      </c>
      <c r="G2707" s="8">
        <f ca="1">IFERROR(__xludf.DUMMYFUNCTION("""COMPUTED_VALUE"""),1)</f>
        <v>1</v>
      </c>
      <c r="H2707" s="8">
        <f ca="1">IFERROR(__xludf.DUMMYFUNCTION("""COMPUTED_VALUE"""),2)</f>
        <v>2</v>
      </c>
      <c r="I2707" s="8">
        <f ca="1">IFERROR(__xludf.DUMMYFUNCTION("""COMPUTED_VALUE"""),3)</f>
        <v>3</v>
      </c>
      <c r="J2707" s="8">
        <f ca="1">IFERROR(__xludf.DUMMYFUNCTION("""COMPUTED_VALUE"""),0)</f>
        <v>0</v>
      </c>
      <c r="K2707" s="8" t="str">
        <f ca="1">IFERROR(__xludf.DUMMYFUNCTION("""COMPUTED_VALUE"""),"https://www.sun-sentinel.com/news/fl-xpm-1991-05-21-9102270896-story.html https://www.sun-sentinel.com/news/fl-xpm-1997-01-28-9701280066-story.html")</f>
        <v>https://www.sun-sentinel.com/news/fl-xpm-1991-05-21-9102270896-story.html https://www.sun-sentinel.com/news/fl-xpm-1997-01-28-9701280066-story.html</v>
      </c>
      <c r="L2707" s="8"/>
      <c r="M2707" s="8"/>
      <c r="N2707" s="8">
        <f ca="1">IFERROR(__xludf.DUMMYFUNCTION("""COMPUTED_VALUE"""),3)</f>
        <v>3</v>
      </c>
      <c r="O2707" s="8" t="str">
        <f ca="1">IFERROR(__xludf.DUMMYFUNCTION("""COMPUTED_VALUE"""),"Spring")</f>
        <v>Spring</v>
      </c>
      <c r="P2707" s="8" t="str">
        <f ca="1">IFERROR(__xludf.DUMMYFUNCTION("""COMPUTED_VALUE"""),"Pahokee")</f>
        <v>Pahokee</v>
      </c>
      <c r="Q2707" s="8" t="str">
        <f ca="1">IFERROR(__xludf.DUMMYFUNCTION("""COMPUTED_VALUE"""),"FL")</f>
        <v>FL</v>
      </c>
      <c r="R2707" s="8" t="str">
        <f ca="1">IFERROR(__xludf.DUMMYFUNCTION("""COMPUTED_VALUE"""),"Unknown")</f>
        <v>Unknown</v>
      </c>
      <c r="S2707" s="8" t="str">
        <f ca="1">IFERROR(__xludf.DUMMYFUNCTION("""COMPUTED_VALUE"""),"Beside Building")</f>
        <v>Beside Building</v>
      </c>
      <c r="T2707" s="8" t="str">
        <f ca="1">IFERROR(__xludf.DUMMYFUNCTION("""COMPUTED_VALUE"""),"Outside on School Property")</f>
        <v>Outside on School Property</v>
      </c>
      <c r="U2707" s="8" t="str">
        <f ca="1">IFERROR(__xludf.DUMMYFUNCTION("""COMPUTED_VALUE"""),"Yes")</f>
        <v>Yes</v>
      </c>
      <c r="V2707" s="8" t="str">
        <f ca="1">IFERROR(__xludf.DUMMYFUNCTION("""COMPUTED_VALUE"""),"Morning Classes")</f>
        <v>Morning Classes</v>
      </c>
      <c r="W2707" s="11">
        <f ca="1">IFERROR(__xludf.DUMMYFUNCTION("""COMPUTED_VALUE"""),0.4375)</f>
        <v>0.4375</v>
      </c>
      <c r="X2707" s="8">
        <f ca="1">IFERROR(__xludf.DUMMYFUNCTION("""COMPUTED_VALUE"""),1)</f>
        <v>1</v>
      </c>
      <c r="Y2707" s="12" t="str">
        <f ca="1">IFERROR(__xludf.DUMMYFUNCTION("""COMPUTED_VALUE"""),"Three students shot following fight the prior night")</f>
        <v>Three students shot following fight the prior night</v>
      </c>
      <c r="Z2707" s="12" t="str">
        <f ca="1">IFERROR(__xludf.DUMMYFUNCTION("""COMPUTED_VALUE"""),"A 15 year-old female student and two other male students were shot outside of the school by an 18 year-old male student. The shooter was subdued by teachers and school security guards while trying to reload the handgun. The incident was part of an ongoing"&amp;" dispute and started when the shooter challenged another student to a fight. 30 students were in the area at the time of the shooting. The school is for students who have dropped out of traditional schools.")</f>
        <v>A 15 year-old female student and two other male students were shot outside of the school by an 18 year-old male student. The shooter was subdued by teachers and school security guards while trying to reload the handgun. The incident was part of an ongoing dispute and started when the shooter challenged another student to a fight. 30 students were in the area at the time of the shooting. The school is for students who have dropped out of traditional schools.</v>
      </c>
      <c r="AA2707" s="8" t="str">
        <f ca="1">IFERROR(__xludf.DUMMYFUNCTION("""COMPUTED_VALUE"""),"Escalation of Dispute")</f>
        <v>Escalation of Dispute</v>
      </c>
      <c r="AB2707" s="8"/>
      <c r="AC2707" s="8"/>
      <c r="AD2707" s="8" t="str">
        <f ca="1">IFERROR(__xludf.DUMMYFUNCTION("""COMPUTED_VALUE"""),"Both")</f>
        <v>Both</v>
      </c>
      <c r="AE2707" s="8" t="str">
        <f ca="1">IFERROR(__xludf.DUMMYFUNCTION("""COMPUTED_VALUE"""),"No")</f>
        <v>No</v>
      </c>
      <c r="AF2707" s="8"/>
      <c r="AG2707" s="8" t="str">
        <f ca="1">IFERROR(__xludf.DUMMYFUNCTION("""COMPUTED_VALUE"""),"No")</f>
        <v>No</v>
      </c>
      <c r="AH2707" s="8" t="str">
        <f ca="1">IFERROR(__xludf.DUMMYFUNCTION("""COMPUTED_VALUE"""),"No")</f>
        <v>No</v>
      </c>
      <c r="AI2707" s="8" t="str">
        <f ca="1">IFERROR(__xludf.DUMMYFUNCTION("""COMPUTED_VALUE"""),"No")</f>
        <v>No</v>
      </c>
      <c r="AJ2707" s="8" t="str">
        <f ca="1">IFERROR(__xludf.DUMMYFUNCTION("""COMPUTED_VALUE"""),"No")</f>
        <v>No</v>
      </c>
      <c r="AK2707" s="8" t="str">
        <f ca="1">IFERROR(__xludf.DUMMYFUNCTION("""COMPUTED_VALUE"""),"No")</f>
        <v>No</v>
      </c>
      <c r="AL2707" s="8" t="str">
        <f ca="1">IFERROR(__xludf.DUMMYFUNCTION("""COMPUTED_VALUE"""),"No")</f>
        <v>No</v>
      </c>
      <c r="AM2707" s="8" t="str">
        <f ca="1">IFERROR(__xludf.DUMMYFUNCTION("""COMPUTED_VALUE"""),"No")</f>
        <v>No</v>
      </c>
      <c r="AN2707" s="8"/>
      <c r="AO2707" s="8" t="str">
        <f ca="1">IFERROR(__xludf.DUMMYFUNCTION("""COMPUTED_VALUE"""),"No")</f>
        <v>No</v>
      </c>
      <c r="AP2707" s="8" t="str">
        <f ca="1">IFERROR(__xludf.DUMMYFUNCTION("""COMPUTED_VALUE"""),"Yes")</f>
        <v>Yes</v>
      </c>
      <c r="AQ2707" s="8" t="str">
        <f ca="1">IFERROR(__xludf.DUMMYFUNCTION("""COMPUTED_VALUE"""),"Unknown")</f>
        <v>Unknown</v>
      </c>
      <c r="AR2707" s="8" t="str">
        <f ca="1">IFERROR(__xludf.DUMMYFUNCTION("""COMPUTED_VALUE"""),"NA")</f>
        <v>NA</v>
      </c>
      <c r="AS2707" s="8" t="str">
        <f ca="1">IFERROR(__xludf.DUMMYFUNCTION("""COMPUTED_VALUE"""),"&lt;10")</f>
        <v>&lt;10</v>
      </c>
      <c r="AT2707" s="8"/>
      <c r="AU2707" s="8">
        <f ca="1">IFERROR(__xludf.DUMMYFUNCTION("""COMPUTED_VALUE"""),26.816058)</f>
        <v>26.816058000000002</v>
      </c>
      <c r="AV2707" s="8">
        <f ca="1">IFERROR(__xludf.DUMMYFUNCTION("""COMPUTED_VALUE"""),-80.666606)</f>
        <v>-80.666606000000002</v>
      </c>
      <c r="AW2707" s="8"/>
      <c r="AX2707" s="8">
        <f ca="1">IFERROR(__xludf.DUMMYFUNCTION("""COMPUTED_VALUE"""),33476)</f>
        <v>33476</v>
      </c>
    </row>
    <row r="2708" spans="1:50" ht="90" x14ac:dyDescent="0.2">
      <c r="A2708" s="8" t="str">
        <f ca="1">IFERROR(__xludf.DUMMYFUNCTION("""COMPUTED_VALUE"""),"19910521CAROS")</f>
        <v>19910521CAROS</v>
      </c>
      <c r="B2708" s="8">
        <f ca="1">IFERROR(__xludf.DUMMYFUNCTION("""COMPUTED_VALUE"""),5)</f>
        <v>5</v>
      </c>
      <c r="C2708" s="8">
        <f ca="1">IFERROR(__xludf.DUMMYFUNCTION("""COMPUTED_VALUE"""),21)</f>
        <v>21</v>
      </c>
      <c r="D2708" s="8">
        <f ca="1">IFERROR(__xludf.DUMMYFUNCTION("""COMPUTED_VALUE"""),1991)</f>
        <v>1991</v>
      </c>
      <c r="E2708" s="9">
        <f ca="1">IFERROR(__xludf.DUMMYFUNCTION("""COMPUTED_VALUE"""),33379)</f>
        <v>33379</v>
      </c>
      <c r="F2708" s="8" t="str">
        <f ca="1">IFERROR(__xludf.DUMMYFUNCTION("""COMPUTED_VALUE"""),"Robert A. Millikan Junior High School")</f>
        <v>Robert A. Millikan Junior High School</v>
      </c>
      <c r="G2708" s="8">
        <f ca="1">IFERROR(__xludf.DUMMYFUNCTION("""COMPUTED_VALUE"""),1)</f>
        <v>1</v>
      </c>
      <c r="H2708" s="8">
        <f ca="1">IFERROR(__xludf.DUMMYFUNCTION("""COMPUTED_VALUE"""),0)</f>
        <v>0</v>
      </c>
      <c r="I2708" s="8">
        <f ca="1">IFERROR(__xludf.DUMMYFUNCTION("""COMPUTED_VALUE"""),1)</f>
        <v>1</v>
      </c>
      <c r="J2708" s="8">
        <f ca="1">IFERROR(__xludf.DUMMYFUNCTION("""COMPUTED_VALUE"""),0)</f>
        <v>0</v>
      </c>
      <c r="K2708" s="10" t="str">
        <f ca="1">IFERROR(__xludf.DUMMYFUNCTION("""COMPUTED_VALUE"""),"https://www.newspapers.com/image/176951271/?terms=Robert%2BA.%2BMillikan%2BJunior%2BHigh%2BSchool%2Bshooting")</f>
        <v>https://www.newspapers.com/image/176951271/?terms=Robert%2BA.%2BMillikan%2BJunior%2BHigh%2BSchool%2Bshooting</v>
      </c>
      <c r="L2708" s="8"/>
      <c r="M2708" s="8"/>
      <c r="N2708" s="8">
        <f ca="1">IFERROR(__xludf.DUMMYFUNCTION("""COMPUTED_VALUE"""),2)</f>
        <v>2</v>
      </c>
      <c r="O2708" s="8" t="str">
        <f ca="1">IFERROR(__xludf.DUMMYFUNCTION("""COMPUTED_VALUE"""),"Spring")</f>
        <v>Spring</v>
      </c>
      <c r="P2708" s="8" t="str">
        <f ca="1">IFERROR(__xludf.DUMMYFUNCTION("""COMPUTED_VALUE"""),"Sherman Oaks")</f>
        <v>Sherman Oaks</v>
      </c>
      <c r="Q2708" s="8" t="str">
        <f ca="1">IFERROR(__xludf.DUMMYFUNCTION("""COMPUTED_VALUE"""),"CA")</f>
        <v>CA</v>
      </c>
      <c r="R2708" s="8" t="str">
        <f ca="1">IFERROR(__xludf.DUMMYFUNCTION("""COMPUTED_VALUE"""),"Junior High")</f>
        <v>Junior High</v>
      </c>
      <c r="S2708" s="8" t="str">
        <f ca="1">IFERROR(__xludf.DUMMYFUNCTION("""COMPUTED_VALUE"""),"Front of School")</f>
        <v>Front of School</v>
      </c>
      <c r="T2708" s="8" t="str">
        <f ca="1">IFERROR(__xludf.DUMMYFUNCTION("""COMPUTED_VALUE"""),"Outside on School Property")</f>
        <v>Outside on School Property</v>
      </c>
      <c r="U2708" s="8" t="str">
        <f ca="1">IFERROR(__xludf.DUMMYFUNCTION("""COMPUTED_VALUE"""),"No")</f>
        <v>No</v>
      </c>
      <c r="V2708" s="8" t="str">
        <f ca="1">IFERROR(__xludf.DUMMYFUNCTION("""COMPUTED_VALUE"""),"After School")</f>
        <v>After School</v>
      </c>
      <c r="W2708" s="8"/>
      <c r="X2708" s="8">
        <f ca="1">IFERROR(__xludf.DUMMYFUNCTION("""COMPUTED_VALUE"""),1)</f>
        <v>1</v>
      </c>
      <c r="Y2708" s="12" t="str">
        <f ca="1">IFERROR(__xludf.DUMMYFUNCTION("""COMPUTED_VALUE"""),"Victim flashed gang signs at a male in a van outside of school, shooter fired multiple shots killing him")</f>
        <v>Victim flashed gang signs at a male in a van outside of school, shooter fired multiple shots killing him</v>
      </c>
      <c r="Z2708" s="12" t="str">
        <f ca="1">IFERROR(__xludf.DUMMYFUNCTION("""COMPUTED_VALUE"""),"Student outside of school flashed gang signs at the driver of a van. The van driver was a rival gang members and shot the student to death then drove away.")</f>
        <v>Student outside of school flashed gang signs at the driver of a van. The van driver was a rival gang members and shot the student to death then drove away.</v>
      </c>
      <c r="AA2708" s="8" t="str">
        <f ca="1">IFERROR(__xludf.DUMMYFUNCTION("""COMPUTED_VALUE"""),"Drive-by Shooting")</f>
        <v>Drive-by Shooting</v>
      </c>
      <c r="AB2708" s="8"/>
      <c r="AC2708" s="8"/>
      <c r="AD2708" s="8" t="str">
        <f ca="1">IFERROR(__xludf.DUMMYFUNCTION("""COMPUTED_VALUE"""),"Victims Targeted")</f>
        <v>Victims Targeted</v>
      </c>
      <c r="AE2708" s="8" t="str">
        <f ca="1">IFERROR(__xludf.DUMMYFUNCTION("""COMPUTED_VALUE"""),"No")</f>
        <v>No</v>
      </c>
      <c r="AF2708" s="8"/>
      <c r="AG2708" s="8" t="str">
        <f ca="1">IFERROR(__xludf.DUMMYFUNCTION("""COMPUTED_VALUE"""),"No")</f>
        <v>No</v>
      </c>
      <c r="AH2708" s="8" t="str">
        <f ca="1">IFERROR(__xludf.DUMMYFUNCTION("""COMPUTED_VALUE"""),"No")</f>
        <v>No</v>
      </c>
      <c r="AI2708" s="8" t="str">
        <f ca="1">IFERROR(__xludf.DUMMYFUNCTION("""COMPUTED_VALUE"""),"No")</f>
        <v>No</v>
      </c>
      <c r="AJ2708" s="8" t="str">
        <f ca="1">IFERROR(__xludf.DUMMYFUNCTION("""COMPUTED_VALUE"""),"No")</f>
        <v>No</v>
      </c>
      <c r="AK2708" s="8" t="str">
        <f ca="1">IFERROR(__xludf.DUMMYFUNCTION("""COMPUTED_VALUE"""),"No")</f>
        <v>No</v>
      </c>
      <c r="AL2708" s="8" t="str">
        <f ca="1">IFERROR(__xludf.DUMMYFUNCTION("""COMPUTED_VALUE"""),"Yes")</f>
        <v>Yes</v>
      </c>
      <c r="AM2708" s="8"/>
      <c r="AN2708" s="8"/>
      <c r="AO2708" s="8" t="str">
        <f ca="1">IFERROR(__xludf.DUMMYFUNCTION("""COMPUTED_VALUE"""),"No")</f>
        <v>No</v>
      </c>
      <c r="AP2708" s="8"/>
      <c r="AQ2708" s="8" t="str">
        <f ca="1">IFERROR(__xludf.DUMMYFUNCTION("""COMPUTED_VALUE"""),"Unknown")</f>
        <v>Unknown</v>
      </c>
      <c r="AR2708" s="8" t="str">
        <f ca="1">IFERROR(__xludf.DUMMYFUNCTION("""COMPUTED_VALUE"""),"NA")</f>
        <v>NA</v>
      </c>
      <c r="AS2708" s="8" t="str">
        <f ca="1">IFERROR(__xludf.DUMMYFUNCTION("""COMPUTED_VALUE"""),"&lt;10")</f>
        <v>&lt;10</v>
      </c>
      <c r="AT2708" s="8"/>
      <c r="AU2708" s="8">
        <f ca="1">IFERROR(__xludf.DUMMYFUNCTION("""COMPUTED_VALUE"""),34.162671)</f>
        <v>34.162671000000003</v>
      </c>
      <c r="AV2708" s="8">
        <f ca="1">IFERROR(__xludf.DUMMYFUNCTION("""COMPUTED_VALUE"""),-118.427767)</f>
        <v>-118.427767</v>
      </c>
      <c r="AW2708" s="8"/>
      <c r="AX2708" s="8">
        <f ca="1">IFERROR(__xludf.DUMMYFUNCTION("""COMPUTED_VALUE"""),91423)</f>
        <v>91423</v>
      </c>
    </row>
    <row r="2709" spans="1:50" ht="30" x14ac:dyDescent="0.2">
      <c r="A2709" s="8" t="str">
        <f ca="1">IFERROR(__xludf.DUMMYFUNCTION("""COMPUTED_VALUE"""),"19910516KSCOK")</f>
        <v>19910516KSCOK</v>
      </c>
      <c r="B2709" s="8">
        <f ca="1">IFERROR(__xludf.DUMMYFUNCTION("""COMPUTED_VALUE"""),5)</f>
        <v>5</v>
      </c>
      <c r="C2709" s="8">
        <f ca="1">IFERROR(__xludf.DUMMYFUNCTION("""COMPUTED_VALUE"""),16)</f>
        <v>16</v>
      </c>
      <c r="D2709" s="8">
        <f ca="1">IFERROR(__xludf.DUMMYFUNCTION("""COMPUTED_VALUE"""),1991)</f>
        <v>1991</v>
      </c>
      <c r="E2709" s="9">
        <f ca="1">IFERROR(__xludf.DUMMYFUNCTION("""COMPUTED_VALUE"""),33374)</f>
        <v>33374</v>
      </c>
      <c r="F2709" s="8" t="str">
        <f ca="1">IFERROR(__xludf.DUMMYFUNCTION("""COMPUTED_VALUE"""),"Coronado Middle School")</f>
        <v>Coronado Middle School</v>
      </c>
      <c r="G2709" s="8">
        <f ca="1">IFERROR(__xludf.DUMMYFUNCTION("""COMPUTED_VALUE"""),0)</f>
        <v>0</v>
      </c>
      <c r="H2709" s="8">
        <f ca="1">IFERROR(__xludf.DUMMYFUNCTION("""COMPUTED_VALUE"""),2)</f>
        <v>2</v>
      </c>
      <c r="I2709" s="8">
        <f ca="1">IFERROR(__xludf.DUMMYFUNCTION("""COMPUTED_VALUE"""),2)</f>
        <v>2</v>
      </c>
      <c r="J2709" s="8">
        <f ca="1">IFERROR(__xludf.DUMMYFUNCTION("""COMPUTED_VALUE"""),0)</f>
        <v>0</v>
      </c>
      <c r="K2709" s="10" t="str">
        <f ca="1">IFERROR(__xludf.DUMMYFUNCTION("""COMPUTED_VALUE"""),"https://www.newspapers.com/image/424939665/?terms=Coronado%2BMiddle%2BSchool")</f>
        <v>https://www.newspapers.com/image/424939665/?terms=Coronado%2BMiddle%2BSchool</v>
      </c>
      <c r="L2709" s="8"/>
      <c r="M2709" s="8"/>
      <c r="N2709" s="8">
        <f ca="1">IFERROR(__xludf.DUMMYFUNCTION("""COMPUTED_VALUE"""),2)</f>
        <v>2</v>
      </c>
      <c r="O2709" s="8" t="str">
        <f ca="1">IFERROR(__xludf.DUMMYFUNCTION("""COMPUTED_VALUE"""),"Spring")</f>
        <v>Spring</v>
      </c>
      <c r="P2709" s="8" t="str">
        <f ca="1">IFERROR(__xludf.DUMMYFUNCTION("""COMPUTED_VALUE"""),"Kansas City")</f>
        <v>Kansas City</v>
      </c>
      <c r="Q2709" s="8" t="str">
        <f ca="1">IFERROR(__xludf.DUMMYFUNCTION("""COMPUTED_VALUE"""),"KS")</f>
        <v>KS</v>
      </c>
      <c r="R2709" s="8" t="str">
        <f ca="1">IFERROR(__xludf.DUMMYFUNCTION("""COMPUTED_VALUE"""),"Middle")</f>
        <v>Middle</v>
      </c>
      <c r="S2709" s="8" t="str">
        <f ca="1">IFERROR(__xludf.DUMMYFUNCTION("""COMPUTED_VALUE"""),"Inside School Building")</f>
        <v>Inside School Building</v>
      </c>
      <c r="T2709" s="8" t="str">
        <f ca="1">IFERROR(__xludf.DUMMYFUNCTION("""COMPUTED_VALUE"""),"Inside School Building")</f>
        <v>Inside School Building</v>
      </c>
      <c r="U2709" s="8" t="str">
        <f ca="1">IFERROR(__xludf.DUMMYFUNCTION("""COMPUTED_VALUE"""),"Yes")</f>
        <v>Yes</v>
      </c>
      <c r="V2709" s="8"/>
      <c r="W2709" s="8"/>
      <c r="X2709" s="8">
        <f ca="1">IFERROR(__xludf.DUMMYFUNCTION("""COMPUTED_VALUE"""),1)</f>
        <v>1</v>
      </c>
      <c r="Y2709" s="12" t="str">
        <f ca="1">IFERROR(__xludf.DUMMYFUNCTION("""COMPUTED_VALUE"""),"Gang-initiation shooting at school")</f>
        <v>Gang-initiation shooting at school</v>
      </c>
      <c r="Z2709" s="12" t="str">
        <f ca="1">IFERROR(__xludf.DUMMYFUNCTION("""COMPUTED_VALUE"""),"Gang initiation  - a 13 year old and two 15 year olds were charged with attempted murder")</f>
        <v>Gang initiation  - a 13 year old and two 15 year olds were charged with attempted murder</v>
      </c>
      <c r="AA2709" s="8" t="str">
        <f ca="1">IFERROR(__xludf.DUMMYFUNCTION("""COMPUTED_VALUE"""),"Illegal Activity")</f>
        <v>Illegal Activity</v>
      </c>
      <c r="AB2709" s="8"/>
      <c r="AC2709" s="8"/>
      <c r="AD2709" s="8"/>
      <c r="AE2709" s="8" t="str">
        <f ca="1">IFERROR(__xludf.DUMMYFUNCTION("""COMPUTED_VALUE"""),"Yes")</f>
        <v>Yes</v>
      </c>
      <c r="AF2709" s="8" t="str">
        <f ca="1">IFERROR(__xludf.DUMMYFUNCTION("""COMPUTED_VALUE"""),"3 students charged in connection")</f>
        <v>3 students charged in connection</v>
      </c>
      <c r="AG2709" s="8" t="str">
        <f ca="1">IFERROR(__xludf.DUMMYFUNCTION("""COMPUTED_VALUE"""),"No")</f>
        <v>No</v>
      </c>
      <c r="AH2709" s="8" t="str">
        <f ca="1">IFERROR(__xludf.DUMMYFUNCTION("""COMPUTED_VALUE"""),"No")</f>
        <v>No</v>
      </c>
      <c r="AI2709" s="8" t="str">
        <f ca="1">IFERROR(__xludf.DUMMYFUNCTION("""COMPUTED_VALUE"""),"No")</f>
        <v>No</v>
      </c>
      <c r="AJ2709" s="8" t="str">
        <f ca="1">IFERROR(__xludf.DUMMYFUNCTION("""COMPUTED_VALUE"""),"No")</f>
        <v>No</v>
      </c>
      <c r="AK2709" s="8" t="str">
        <f ca="1">IFERROR(__xludf.DUMMYFUNCTION("""COMPUTED_VALUE"""),"No")</f>
        <v>No</v>
      </c>
      <c r="AL2709" s="8" t="str">
        <f ca="1">IFERROR(__xludf.DUMMYFUNCTION("""COMPUTED_VALUE"""),"Yes")</f>
        <v>Yes</v>
      </c>
      <c r="AM2709" s="8"/>
      <c r="AN2709" s="8"/>
      <c r="AO2709" s="8" t="str">
        <f ca="1">IFERROR(__xludf.DUMMYFUNCTION("""COMPUTED_VALUE"""),"No")</f>
        <v>No</v>
      </c>
      <c r="AP2709" s="8"/>
      <c r="AQ2709" s="8" t="str">
        <f ca="1">IFERROR(__xludf.DUMMYFUNCTION("""COMPUTED_VALUE"""),"Unknown")</f>
        <v>Unknown</v>
      </c>
      <c r="AR2709" s="8" t="str">
        <f ca="1">IFERROR(__xludf.DUMMYFUNCTION("""COMPUTED_VALUE"""),"NA")</f>
        <v>NA</v>
      </c>
      <c r="AS2709" s="8">
        <f ca="1">IFERROR(__xludf.DUMMYFUNCTION("""COMPUTED_VALUE"""),1)</f>
        <v>1</v>
      </c>
      <c r="AT2709" s="8"/>
      <c r="AU2709" s="8">
        <f ca="1">IFERROR(__xludf.DUMMYFUNCTION("""COMPUTED_VALUE"""),39.125082)</f>
        <v>39.125081999999999</v>
      </c>
      <c r="AV2709" s="8">
        <f ca="1">IFERROR(__xludf.DUMMYFUNCTION("""COMPUTED_VALUE"""),-94.726793)</f>
        <v>-94.726793000000001</v>
      </c>
      <c r="AW2709" s="8"/>
      <c r="AX2709" s="8">
        <f ca="1">IFERROR(__xludf.DUMMYFUNCTION("""COMPUTED_VALUE"""),66112)</f>
        <v>66112</v>
      </c>
    </row>
    <row r="2710" spans="1:50" ht="90" x14ac:dyDescent="0.2">
      <c r="A2710" s="8" t="str">
        <f ca="1">IFERROR(__xludf.DUMMYFUNCTION("""COMPUTED_VALUE"""),"19910510OHFRC")</f>
        <v>19910510OHFRC</v>
      </c>
      <c r="B2710" s="8">
        <f ca="1">IFERROR(__xludf.DUMMYFUNCTION("""COMPUTED_VALUE"""),5)</f>
        <v>5</v>
      </c>
      <c r="C2710" s="8">
        <f ca="1">IFERROR(__xludf.DUMMYFUNCTION("""COMPUTED_VALUE"""),10)</f>
        <v>10</v>
      </c>
      <c r="D2710" s="8">
        <f ca="1">IFERROR(__xludf.DUMMYFUNCTION("""COMPUTED_VALUE"""),1991)</f>
        <v>1991</v>
      </c>
      <c r="E2710" s="9">
        <f ca="1">IFERROR(__xludf.DUMMYFUNCTION("""COMPUTED_VALUE"""),33368)</f>
        <v>33368</v>
      </c>
      <c r="F2710" s="8" t="str">
        <f ca="1">IFERROR(__xludf.DUMMYFUNCTION("""COMPUTED_VALUE"""),"Franklin Alternative Middle School")</f>
        <v>Franklin Alternative Middle School</v>
      </c>
      <c r="G2710" s="8">
        <f ca="1">IFERROR(__xludf.DUMMYFUNCTION("""COMPUTED_VALUE"""),1)</f>
        <v>1</v>
      </c>
      <c r="H2710" s="8">
        <f ca="1">IFERROR(__xludf.DUMMYFUNCTION("""COMPUTED_VALUE"""),0)</f>
        <v>0</v>
      </c>
      <c r="I2710" s="8">
        <f ca="1">IFERROR(__xludf.DUMMYFUNCTION("""COMPUTED_VALUE"""),1)</f>
        <v>1</v>
      </c>
      <c r="J2710" s="8">
        <f ca="1">IFERROR(__xludf.DUMMYFUNCTION("""COMPUTED_VALUE"""),0)</f>
        <v>0</v>
      </c>
      <c r="K2710" s="10" t="str">
        <f ca="1">IFERROR(__xludf.DUMMYFUNCTION("""COMPUTED_VALUE"""),"https://www.newspapers.com/image/289233212/?terms=Franklin%2BAlternative%2BMiddle%2BSchool%2Bshooting")</f>
        <v>https://www.newspapers.com/image/289233212/?terms=Franklin%2BAlternative%2BMiddle%2BSchool%2Bshooting</v>
      </c>
      <c r="L2710" s="8"/>
      <c r="M2710" s="8"/>
      <c r="N2710" s="8">
        <f ca="1">IFERROR(__xludf.DUMMYFUNCTION("""COMPUTED_VALUE"""),2)</f>
        <v>2</v>
      </c>
      <c r="O2710" s="8" t="str">
        <f ca="1">IFERROR(__xludf.DUMMYFUNCTION("""COMPUTED_VALUE"""),"Spring")</f>
        <v>Spring</v>
      </c>
      <c r="P2710" s="8" t="str">
        <f ca="1">IFERROR(__xludf.DUMMYFUNCTION("""COMPUTED_VALUE"""),"Columbus")</f>
        <v>Columbus</v>
      </c>
      <c r="Q2710" s="8" t="str">
        <f ca="1">IFERROR(__xludf.DUMMYFUNCTION("""COMPUTED_VALUE"""),"OH")</f>
        <v>OH</v>
      </c>
      <c r="R2710" s="8" t="str">
        <f ca="1">IFERROR(__xludf.DUMMYFUNCTION("""COMPUTED_VALUE"""),"Middle")</f>
        <v>Middle</v>
      </c>
      <c r="S2710" s="8" t="str">
        <f ca="1">IFERROR(__xludf.DUMMYFUNCTION("""COMPUTED_VALUE"""),"Front of School")</f>
        <v>Front of School</v>
      </c>
      <c r="T2710" s="8" t="str">
        <f ca="1">IFERROR(__xludf.DUMMYFUNCTION("""COMPUTED_VALUE"""),"Outside on School Property")</f>
        <v>Outside on School Property</v>
      </c>
      <c r="U2710" s="8" t="str">
        <f ca="1">IFERROR(__xludf.DUMMYFUNCTION("""COMPUTED_VALUE"""),"No")</f>
        <v>No</v>
      </c>
      <c r="V2710" s="8" t="str">
        <f ca="1">IFERROR(__xludf.DUMMYFUNCTION("""COMPUTED_VALUE"""),"After School")</f>
        <v>After School</v>
      </c>
      <c r="W2710" s="11">
        <f ca="1">IFERROR(__xludf.DUMMYFUNCTION("""COMPUTED_VALUE"""),0.583333333333333)</f>
        <v>0.58333333333333304</v>
      </c>
      <c r="X2710" s="8">
        <f ca="1">IFERROR(__xludf.DUMMYFUNCTION("""COMPUTED_VALUE"""),1)</f>
        <v>1</v>
      </c>
      <c r="Y2710" s="12" t="str">
        <f ca="1">IFERROR(__xludf.DUMMYFUNCTION("""COMPUTED_VALUE"""),"Shooter fired at group of students standing outside the school, previous conflict with the group")</f>
        <v>Shooter fired at group of students standing outside the school, previous conflict with the group</v>
      </c>
      <c r="Z2710" s="12" t="str">
        <f ca="1">IFERROR(__xludf.DUMMYFUNCTION("""COMPUTED_VALUE"""),"While a choir concert was being held at the school, a group of teenagers were standing out front. The shooter approached them and fired multiple shots killing one victim.")</f>
        <v>While a choir concert was being held at the school, a group of teenagers were standing out front. The shooter approached them and fired multiple shots killing one victim.</v>
      </c>
      <c r="AA2710" s="8" t="str">
        <f ca="1">IFERROR(__xludf.DUMMYFUNCTION("""COMPUTED_VALUE"""),"Escalation of Dispute")</f>
        <v>Escalation of Dispute</v>
      </c>
      <c r="AB2710" s="8"/>
      <c r="AC2710" s="8"/>
      <c r="AD2710" s="8" t="str">
        <f ca="1">IFERROR(__xludf.DUMMYFUNCTION("""COMPUTED_VALUE"""),"Victims Targeted")</f>
        <v>Victims Targeted</v>
      </c>
      <c r="AE2710" s="8" t="str">
        <f ca="1">IFERROR(__xludf.DUMMYFUNCTION("""COMPUTED_VALUE"""),"No")</f>
        <v>No</v>
      </c>
      <c r="AF2710" s="8"/>
      <c r="AG2710" s="8" t="str">
        <f ca="1">IFERROR(__xludf.DUMMYFUNCTION("""COMPUTED_VALUE"""),"No")</f>
        <v>No</v>
      </c>
      <c r="AH2710" s="8" t="str">
        <f ca="1">IFERROR(__xludf.DUMMYFUNCTION("""COMPUTED_VALUE"""),"No")</f>
        <v>No</v>
      </c>
      <c r="AI2710" s="8" t="str">
        <f ca="1">IFERROR(__xludf.DUMMYFUNCTION("""COMPUTED_VALUE"""),"No")</f>
        <v>No</v>
      </c>
      <c r="AJ2710" s="8" t="str">
        <f ca="1">IFERROR(__xludf.DUMMYFUNCTION("""COMPUTED_VALUE"""),"No")</f>
        <v>No</v>
      </c>
      <c r="AK2710" s="8" t="str">
        <f ca="1">IFERROR(__xludf.DUMMYFUNCTION("""COMPUTED_VALUE"""),"No")</f>
        <v>No</v>
      </c>
      <c r="AL2710" s="8"/>
      <c r="AM2710" s="8"/>
      <c r="AN2710" s="8"/>
      <c r="AO2710" s="8" t="str">
        <f ca="1">IFERROR(__xludf.DUMMYFUNCTION("""COMPUTED_VALUE"""),"No")</f>
        <v>No</v>
      </c>
      <c r="AP2710" s="8"/>
      <c r="AQ2710" s="8" t="str">
        <f ca="1">IFERROR(__xludf.DUMMYFUNCTION("""COMPUTED_VALUE"""),"Unknown")</f>
        <v>Unknown</v>
      </c>
      <c r="AR2710" s="8" t="str">
        <f ca="1">IFERROR(__xludf.DUMMYFUNCTION("""COMPUTED_VALUE"""),"NA")</f>
        <v>NA</v>
      </c>
      <c r="AS2710" s="8" t="str">
        <f ca="1">IFERROR(__xludf.DUMMYFUNCTION("""COMPUTED_VALUE"""),"&lt;5")</f>
        <v>&lt;5</v>
      </c>
      <c r="AT2710" s="8"/>
      <c r="AU2710" s="8">
        <f ca="1">IFERROR(__xludf.DUMMYFUNCTION("""COMPUTED_VALUE"""),39.961177)</f>
        <v>39.961176999999999</v>
      </c>
      <c r="AV2710" s="8">
        <f ca="1">IFERROR(__xludf.DUMMYFUNCTION("""COMPUTED_VALUE"""),-82.9632)</f>
        <v>-82.963200000000001</v>
      </c>
      <c r="AW2710" s="8"/>
      <c r="AX2710" s="8">
        <f ca="1">IFERROR(__xludf.DUMMYFUNCTION("""COMPUTED_VALUE"""),43205)</f>
        <v>43205</v>
      </c>
    </row>
    <row r="2711" spans="1:50" ht="60" x14ac:dyDescent="0.2">
      <c r="A2711" s="8" t="str">
        <f ca="1">IFERROR(__xludf.DUMMYFUNCTION("""COMPUTED_VALUE"""),"19910423MSHUB")</f>
        <v>19910423MSHUB</v>
      </c>
      <c r="B2711" s="8">
        <f ca="1">IFERROR(__xludf.DUMMYFUNCTION("""COMPUTED_VALUE"""),4)</f>
        <v>4</v>
      </c>
      <c r="C2711" s="8">
        <f ca="1">IFERROR(__xludf.DUMMYFUNCTION("""COMPUTED_VALUE"""),23)</f>
        <v>23</v>
      </c>
      <c r="D2711" s="8">
        <f ca="1">IFERROR(__xludf.DUMMYFUNCTION("""COMPUTED_VALUE"""),1991)</f>
        <v>1991</v>
      </c>
      <c r="E2711" s="9">
        <f ca="1">IFERROR(__xludf.DUMMYFUNCTION("""COMPUTED_VALUE"""),33351)</f>
        <v>33351</v>
      </c>
      <c r="F2711" s="8" t="str">
        <f ca="1">IFERROR(__xludf.DUMMYFUNCTION("""COMPUTED_VALUE"""),"Humphrey's County High School")</f>
        <v>Humphrey's County High School</v>
      </c>
      <c r="G2711" s="8">
        <f ca="1">IFERROR(__xludf.DUMMYFUNCTION("""COMPUTED_VALUE"""),0)</f>
        <v>0</v>
      </c>
      <c r="H2711" s="8">
        <f ca="1">IFERROR(__xludf.DUMMYFUNCTION("""COMPUTED_VALUE"""),1)</f>
        <v>1</v>
      </c>
      <c r="I2711" s="8">
        <f ca="1">IFERROR(__xludf.DUMMYFUNCTION("""COMPUTED_VALUE"""),1)</f>
        <v>1</v>
      </c>
      <c r="J2711" s="8">
        <f ca="1">IFERROR(__xludf.DUMMYFUNCTION("""COMPUTED_VALUE"""),0)</f>
        <v>0</v>
      </c>
      <c r="K2711" s="8" t="str">
        <f ca="1">IFERROR(__xludf.DUMMYFUNCTION("""COMPUTED_VALUE"""),"https://www.newspapers.com/image/318836247/?terms=school%2Bshooting   https://www.newspapers.com/image/181983489/?terms=DEVERICK%2BWALTON   https://www.newspapers.com/image/237783551/?terms=DEVERICK%2BWALTON")</f>
        <v>https://www.newspapers.com/image/318836247/?terms=school%2Bshooting   https://www.newspapers.com/image/181983489/?terms=DEVERICK%2BWALTON   https://www.newspapers.com/image/237783551/?terms=DEVERICK%2BWALTON</v>
      </c>
      <c r="L2711" s="8"/>
      <c r="M2711" s="8"/>
      <c r="N2711" s="8">
        <f ca="1">IFERROR(__xludf.DUMMYFUNCTION("""COMPUTED_VALUE"""),2)</f>
        <v>2</v>
      </c>
      <c r="O2711" s="8" t="str">
        <f ca="1">IFERROR(__xludf.DUMMYFUNCTION("""COMPUTED_VALUE"""),"Spring")</f>
        <v>Spring</v>
      </c>
      <c r="P2711" s="8" t="str">
        <f ca="1">IFERROR(__xludf.DUMMYFUNCTION("""COMPUTED_VALUE"""),"Belzoni")</f>
        <v>Belzoni</v>
      </c>
      <c r="Q2711" s="8" t="str">
        <f ca="1">IFERROR(__xludf.DUMMYFUNCTION("""COMPUTED_VALUE"""),"MS")</f>
        <v>MS</v>
      </c>
      <c r="R2711" s="8" t="str">
        <f ca="1">IFERROR(__xludf.DUMMYFUNCTION("""COMPUTED_VALUE"""),"High")</f>
        <v>High</v>
      </c>
      <c r="S2711" s="8" t="str">
        <f ca="1">IFERROR(__xludf.DUMMYFUNCTION("""COMPUTED_VALUE"""),"Classroom")</f>
        <v>Classroom</v>
      </c>
      <c r="T2711" s="8" t="str">
        <f ca="1">IFERROR(__xludf.DUMMYFUNCTION("""COMPUTED_VALUE"""),"Inside School Building")</f>
        <v>Inside School Building</v>
      </c>
      <c r="U2711" s="8" t="str">
        <f ca="1">IFERROR(__xludf.DUMMYFUNCTION("""COMPUTED_VALUE"""),"Yes")</f>
        <v>Yes</v>
      </c>
      <c r="V2711" s="8" t="str">
        <f ca="1">IFERROR(__xludf.DUMMYFUNCTION("""COMPUTED_VALUE"""),"Afternoon Classes")</f>
        <v>Afternoon Classes</v>
      </c>
      <c r="W2711" s="8"/>
      <c r="X2711" s="8">
        <f ca="1">IFERROR(__xludf.DUMMYFUNCTION("""COMPUTED_VALUE"""),1)</f>
        <v>1</v>
      </c>
      <c r="Y2711" s="12" t="str">
        <f ca="1">IFERROR(__xludf.DUMMYFUNCTION("""COMPUTED_VALUE"""),"Accidental discharge playing with gun in classroom")</f>
        <v>Accidental discharge playing with gun in classroom</v>
      </c>
      <c r="Z2711" s="12" t="str">
        <f ca="1">IFERROR(__xludf.DUMMYFUNCTION("""COMPUTED_VALUE"""),"16 year old teen accidentally shot his friend during class. Victim refused to testify against shooter.")</f>
        <v>16 year old teen accidentally shot his friend during class. Victim refused to testify against shooter.</v>
      </c>
      <c r="AA2711" s="8" t="str">
        <f ca="1">IFERROR(__xludf.DUMMYFUNCTION("""COMPUTED_VALUE"""),"Accidental")</f>
        <v>Accidental</v>
      </c>
      <c r="AB2711" s="8"/>
      <c r="AC2711" s="8"/>
      <c r="AD2711" s="8" t="str">
        <f ca="1">IFERROR(__xludf.DUMMYFUNCTION("""COMPUTED_VALUE"""),"Random Shooting")</f>
        <v>Random Shooting</v>
      </c>
      <c r="AE2711" s="8" t="str">
        <f ca="1">IFERROR(__xludf.DUMMYFUNCTION("""COMPUTED_VALUE"""),"No")</f>
        <v>No</v>
      </c>
      <c r="AF2711" s="8"/>
      <c r="AG2711" s="8" t="str">
        <f ca="1">IFERROR(__xludf.DUMMYFUNCTION("""COMPUTED_VALUE"""),"No")</f>
        <v>No</v>
      </c>
      <c r="AH2711" s="8" t="str">
        <f ca="1">IFERROR(__xludf.DUMMYFUNCTION("""COMPUTED_VALUE"""),"No")</f>
        <v>No</v>
      </c>
      <c r="AI2711" s="8" t="str">
        <f ca="1">IFERROR(__xludf.DUMMYFUNCTION("""COMPUTED_VALUE"""),"No")</f>
        <v>No</v>
      </c>
      <c r="AJ2711" s="8" t="str">
        <f ca="1">IFERROR(__xludf.DUMMYFUNCTION("""COMPUTED_VALUE"""),"No")</f>
        <v>No</v>
      </c>
      <c r="AK2711" s="8" t="str">
        <f ca="1">IFERROR(__xludf.DUMMYFUNCTION("""COMPUTED_VALUE"""),"No")</f>
        <v>No</v>
      </c>
      <c r="AL2711" s="8" t="str">
        <f ca="1">IFERROR(__xludf.DUMMYFUNCTION("""COMPUTED_VALUE"""),"No")</f>
        <v>No</v>
      </c>
      <c r="AM2711" s="8"/>
      <c r="AN2711" s="8"/>
      <c r="AO2711" s="8" t="str">
        <f ca="1">IFERROR(__xludf.DUMMYFUNCTION("""COMPUTED_VALUE"""),"No")</f>
        <v>No</v>
      </c>
      <c r="AP2711" s="8"/>
      <c r="AQ2711" s="8" t="str">
        <f ca="1">IFERROR(__xludf.DUMMYFUNCTION("""COMPUTED_VALUE"""),"Unknown")</f>
        <v>Unknown</v>
      </c>
      <c r="AR2711" s="8" t="str">
        <f ca="1">IFERROR(__xludf.DUMMYFUNCTION("""COMPUTED_VALUE"""),"NA")</f>
        <v>NA</v>
      </c>
      <c r="AS2711" s="8">
        <f ca="1">IFERROR(__xludf.DUMMYFUNCTION("""COMPUTED_VALUE"""),1)</f>
        <v>1</v>
      </c>
      <c r="AT2711" s="8"/>
      <c r="AU2711" s="8">
        <f ca="1">IFERROR(__xludf.DUMMYFUNCTION("""COMPUTED_VALUE"""),33.18574)</f>
        <v>33.185740000000003</v>
      </c>
      <c r="AV2711" s="8">
        <f ca="1">IFERROR(__xludf.DUMMYFUNCTION("""COMPUTED_VALUE"""),-90.48474)</f>
        <v>-90.484740000000002</v>
      </c>
      <c r="AW2711" s="8"/>
      <c r="AX2711" s="8">
        <f ca="1">IFERROR(__xludf.DUMMYFUNCTION("""COMPUTED_VALUE"""),39038)</f>
        <v>39038</v>
      </c>
    </row>
    <row r="2712" spans="1:50" ht="75" x14ac:dyDescent="0.2">
      <c r="A2712" s="8" t="str">
        <f ca="1">IFERROR(__xludf.DUMMYFUNCTION("""COMPUTED_VALUE"""),"19910423CARAC")</f>
        <v>19910423CARAC</v>
      </c>
      <c r="B2712" s="8">
        <f ca="1">IFERROR(__xludf.DUMMYFUNCTION("""COMPUTED_VALUE"""),4)</f>
        <v>4</v>
      </c>
      <c r="C2712" s="8">
        <f ca="1">IFERROR(__xludf.DUMMYFUNCTION("""COMPUTED_VALUE"""),23)</f>
        <v>23</v>
      </c>
      <c r="D2712" s="8">
        <f ca="1">IFERROR(__xludf.DUMMYFUNCTION("""COMPUTED_VALUE"""),1991)</f>
        <v>1991</v>
      </c>
      <c r="E2712" s="9">
        <f ca="1">IFERROR(__xludf.DUMMYFUNCTION("""COMPUTED_VALUE"""),33351)</f>
        <v>33351</v>
      </c>
      <c r="F2712" s="8" t="str">
        <f ca="1">IFERROR(__xludf.DUMMYFUNCTION("""COMPUTED_VALUE"""),"Ralph J. Bunche Middle School")</f>
        <v>Ralph J. Bunche Middle School</v>
      </c>
      <c r="G2712" s="8">
        <f ca="1">IFERROR(__xludf.DUMMYFUNCTION("""COMPUTED_VALUE"""),1)</f>
        <v>1</v>
      </c>
      <c r="H2712" s="8">
        <f ca="1">IFERROR(__xludf.DUMMYFUNCTION("""COMPUTED_VALUE"""),0)</f>
        <v>0</v>
      </c>
      <c r="I2712" s="8">
        <f ca="1">IFERROR(__xludf.DUMMYFUNCTION("""COMPUTED_VALUE"""),1)</f>
        <v>1</v>
      </c>
      <c r="J2712" s="8">
        <f ca="1">IFERROR(__xludf.DUMMYFUNCTION("""COMPUTED_VALUE"""),0)</f>
        <v>0</v>
      </c>
      <c r="K2712" s="10" t="str">
        <f ca="1">IFERROR(__xludf.DUMMYFUNCTION("""COMPUTED_VALUE"""),"http://articles.latimes.com/1991-04-25/news/mn-828_1_school-district")</f>
        <v>http://articles.latimes.com/1991-04-25/news/mn-828_1_school-district</v>
      </c>
      <c r="L2712" s="8"/>
      <c r="M2712" s="8"/>
      <c r="N2712" s="8">
        <f ca="1">IFERROR(__xludf.DUMMYFUNCTION("""COMPUTED_VALUE"""),2)</f>
        <v>2</v>
      </c>
      <c r="O2712" s="8" t="str">
        <f ca="1">IFERROR(__xludf.DUMMYFUNCTION("""COMPUTED_VALUE"""),"Spring")</f>
        <v>Spring</v>
      </c>
      <c r="P2712" s="8" t="str">
        <f ca="1">IFERROR(__xludf.DUMMYFUNCTION("""COMPUTED_VALUE"""),"Compton")</f>
        <v>Compton</v>
      </c>
      <c r="Q2712" s="8" t="str">
        <f ca="1">IFERROR(__xludf.DUMMYFUNCTION("""COMPUTED_VALUE"""),"CA")</f>
        <v>CA</v>
      </c>
      <c r="R2712" s="8" t="str">
        <f ca="1">IFERROR(__xludf.DUMMYFUNCTION("""COMPUTED_VALUE"""),"Middle")</f>
        <v>Middle</v>
      </c>
      <c r="S2712" s="8" t="str">
        <f ca="1">IFERROR(__xludf.DUMMYFUNCTION("""COMPUTED_VALUE"""),"Beside Building")</f>
        <v>Beside Building</v>
      </c>
      <c r="T2712" s="8" t="str">
        <f ca="1">IFERROR(__xludf.DUMMYFUNCTION("""COMPUTED_VALUE"""),"Outside on School Property")</f>
        <v>Outside on School Property</v>
      </c>
      <c r="U2712" s="8" t="str">
        <f ca="1">IFERROR(__xludf.DUMMYFUNCTION("""COMPUTED_VALUE"""),"Yes")</f>
        <v>Yes</v>
      </c>
      <c r="V2712" s="8"/>
      <c r="W2712" s="8"/>
      <c r="X2712" s="8">
        <f ca="1">IFERROR(__xludf.DUMMYFUNCTION("""COMPUTED_VALUE"""),1)</f>
        <v>1</v>
      </c>
      <c r="Y2712" s="12" t="str">
        <f ca="1">IFERROR(__xludf.DUMMYFUNCTION("""COMPUTED_VALUE"""),"Gang-related shooting in school hallway")</f>
        <v>Gang-related shooting in school hallway</v>
      </c>
      <c r="Z2712" s="12" t="str">
        <f ca="1">IFERROR(__xludf.DUMMYFUNCTION("""COMPUTED_VALUE"""),"A group of 10 youths affiliated with a gang tried to enter the school. When the security guard stopped them, they ran away and fired shots back at the guard. One of the shots hit another student in the head killing him. Two minors were arrested the next d"&amp;"ay but not identified.")</f>
        <v>A group of 10 youths affiliated with a gang tried to enter the school. When the security guard stopped them, they ran away and fired shots back at the guard. One of the shots hit another student in the head killing him. Two minors were arrested the next day but not identified.</v>
      </c>
      <c r="AA2712" s="8" t="str">
        <f ca="1">IFERROR(__xludf.DUMMYFUNCTION("""COMPUTED_VALUE"""),"Illegal Activity")</f>
        <v>Illegal Activity</v>
      </c>
      <c r="AB2712" s="8"/>
      <c r="AC2712" s="8"/>
      <c r="AD2712" s="8" t="str">
        <f ca="1">IFERROR(__xludf.DUMMYFUNCTION("""COMPUTED_VALUE"""),"Random Shooting")</f>
        <v>Random Shooting</v>
      </c>
      <c r="AE2712" s="8" t="str">
        <f ca="1">IFERROR(__xludf.DUMMYFUNCTION("""COMPUTED_VALUE"""),"No")</f>
        <v>No</v>
      </c>
      <c r="AF2712" s="8"/>
      <c r="AG2712" s="8" t="str">
        <f ca="1">IFERROR(__xludf.DUMMYFUNCTION("""COMPUTED_VALUE"""),"No")</f>
        <v>No</v>
      </c>
      <c r="AH2712" s="8" t="str">
        <f ca="1">IFERROR(__xludf.DUMMYFUNCTION("""COMPUTED_VALUE"""),"No")</f>
        <v>No</v>
      </c>
      <c r="AI2712" s="8" t="str">
        <f ca="1">IFERROR(__xludf.DUMMYFUNCTION("""COMPUTED_VALUE"""),"No")</f>
        <v>No</v>
      </c>
      <c r="AJ2712" s="8" t="str">
        <f ca="1">IFERROR(__xludf.DUMMYFUNCTION("""COMPUTED_VALUE"""),"No")</f>
        <v>No</v>
      </c>
      <c r="AK2712" s="8" t="str">
        <f ca="1">IFERROR(__xludf.DUMMYFUNCTION("""COMPUTED_VALUE"""),"No")</f>
        <v>No</v>
      </c>
      <c r="AL2712" s="8" t="str">
        <f ca="1">IFERROR(__xludf.DUMMYFUNCTION("""COMPUTED_VALUE"""),"Yes")</f>
        <v>Yes</v>
      </c>
      <c r="AM2712" s="8"/>
      <c r="AN2712" s="8"/>
      <c r="AO2712" s="8" t="str">
        <f ca="1">IFERROR(__xludf.DUMMYFUNCTION("""COMPUTED_VALUE"""),"No")</f>
        <v>No</v>
      </c>
      <c r="AP2712" s="8" t="str">
        <f ca="1">IFERROR(__xludf.DUMMYFUNCTION("""COMPUTED_VALUE"""),"Yes")</f>
        <v>Yes</v>
      </c>
      <c r="AQ2712" s="8" t="str">
        <f ca="1">IFERROR(__xludf.DUMMYFUNCTION("""COMPUTED_VALUE"""),"Unknown")</f>
        <v>Unknown</v>
      </c>
      <c r="AR2712" s="8" t="str">
        <f ca="1">IFERROR(__xludf.DUMMYFUNCTION("""COMPUTED_VALUE"""),"NA")</f>
        <v>NA</v>
      </c>
      <c r="AS2712" s="8" t="str">
        <f ca="1">IFERROR(__xludf.DUMMYFUNCTION("""COMPUTED_VALUE"""),"&lt;10")</f>
        <v>&lt;10</v>
      </c>
      <c r="AT2712" s="8"/>
      <c r="AU2712" s="8">
        <f ca="1">IFERROR(__xludf.DUMMYFUNCTION("""COMPUTED_VALUE"""),33.920813)</f>
        <v>33.920813000000003</v>
      </c>
      <c r="AV2712" s="8">
        <f ca="1">IFERROR(__xludf.DUMMYFUNCTION("""COMPUTED_VALUE"""),-118.227923)</f>
        <v>-118.227923</v>
      </c>
      <c r="AW2712" s="8"/>
      <c r="AX2712" s="8">
        <f ca="1">IFERROR(__xludf.DUMMYFUNCTION("""COMPUTED_VALUE"""),90220)</f>
        <v>90220</v>
      </c>
    </row>
    <row r="2713" spans="1:50" ht="105" x14ac:dyDescent="0.2">
      <c r="A2713" s="8" t="str">
        <f ca="1">IFERROR(__xludf.DUMMYFUNCTION("""COMPUTED_VALUE"""),"19910411SCNOR")</f>
        <v>19910411SCNOR</v>
      </c>
      <c r="B2713" s="8">
        <f ca="1">IFERROR(__xludf.DUMMYFUNCTION("""COMPUTED_VALUE"""),4)</f>
        <v>4</v>
      </c>
      <c r="C2713" s="8">
        <f ca="1">IFERROR(__xludf.DUMMYFUNCTION("""COMPUTED_VALUE"""),11)</f>
        <v>11</v>
      </c>
      <c r="D2713" s="8">
        <f ca="1">IFERROR(__xludf.DUMMYFUNCTION("""COMPUTED_VALUE"""),1991)</f>
        <v>1991</v>
      </c>
      <c r="E2713" s="9">
        <f ca="1">IFERROR(__xludf.DUMMYFUNCTION("""COMPUTED_VALUE"""),33339)</f>
        <v>33339</v>
      </c>
      <c r="F2713" s="8" t="str">
        <f ca="1">IFERROR(__xludf.DUMMYFUNCTION("""COMPUTED_VALUE"""),"Northwest High School")</f>
        <v>Northwest High School</v>
      </c>
      <c r="G2713" s="8">
        <f ca="1">IFERROR(__xludf.DUMMYFUNCTION("""COMPUTED_VALUE"""),0)</f>
        <v>0</v>
      </c>
      <c r="H2713" s="8">
        <f ca="1">IFERROR(__xludf.DUMMYFUNCTION("""COMPUTED_VALUE"""),0)</f>
        <v>0</v>
      </c>
      <c r="I2713" s="8">
        <f ca="1">IFERROR(__xludf.DUMMYFUNCTION("""COMPUTED_VALUE"""),0)</f>
        <v>0</v>
      </c>
      <c r="J2713" s="8">
        <f ca="1">IFERROR(__xludf.DUMMYFUNCTION("""COMPUTED_VALUE"""),1)</f>
        <v>1</v>
      </c>
      <c r="K2713" s="8" t="str">
        <f ca="1">IFERROR(__xludf.DUMMYFUNCTION("""COMPUTED_VALUE"""),"The Charlotte Observer - Community Mobilizes at News of School Shooting; https://www.columbine-angels.com/School_Violence_1990-1991.htm")</f>
        <v>The Charlotte Observer - Community Mobilizes at News of School Shooting; https://www.columbine-angels.com/School_Violence_1990-1991.htm</v>
      </c>
      <c r="L2713" s="8"/>
      <c r="M2713" s="8"/>
      <c r="N2713" s="8">
        <f ca="1">IFERROR(__xludf.DUMMYFUNCTION("""COMPUTED_VALUE"""),1)</f>
        <v>1</v>
      </c>
      <c r="O2713" s="8" t="str">
        <f ca="1">IFERROR(__xludf.DUMMYFUNCTION("""COMPUTED_VALUE"""),"Spring")</f>
        <v>Spring</v>
      </c>
      <c r="P2713" s="8" t="str">
        <f ca="1">IFERROR(__xludf.DUMMYFUNCTION("""COMPUTED_VALUE"""),"Rock Hill")</f>
        <v>Rock Hill</v>
      </c>
      <c r="Q2713" s="8" t="str">
        <f ca="1">IFERROR(__xludf.DUMMYFUNCTION("""COMPUTED_VALUE"""),"SC")</f>
        <v>SC</v>
      </c>
      <c r="R2713" s="8" t="str">
        <f ca="1">IFERROR(__xludf.DUMMYFUNCTION("""COMPUTED_VALUE"""),"High")</f>
        <v>High</v>
      </c>
      <c r="S2713" s="8" t="str">
        <f ca="1">IFERROR(__xludf.DUMMYFUNCTION("""COMPUTED_VALUE"""),"Cafeteria")</f>
        <v>Cafeteria</v>
      </c>
      <c r="T2713" s="8" t="str">
        <f ca="1">IFERROR(__xludf.DUMMYFUNCTION("""COMPUTED_VALUE"""),"Inside School Building")</f>
        <v>Inside School Building</v>
      </c>
      <c r="U2713" s="8" t="str">
        <f ca="1">IFERROR(__xludf.DUMMYFUNCTION("""COMPUTED_VALUE"""),"Yes")</f>
        <v>Yes</v>
      </c>
      <c r="V2713" s="8" t="str">
        <f ca="1">IFERROR(__xludf.DUMMYFUNCTION("""COMPUTED_VALUE"""),"School Start")</f>
        <v>School Start</v>
      </c>
      <c r="W2713" s="11">
        <f ca="1">IFERROR(__xludf.DUMMYFUNCTION("""COMPUTED_VALUE"""),0.333333333333333)</f>
        <v>0.33333333333333298</v>
      </c>
      <c r="X2713" s="8">
        <f ca="1">IFERROR(__xludf.DUMMYFUNCTION("""COMPUTED_VALUE"""),1)</f>
        <v>1</v>
      </c>
      <c r="Y2713" s="12" t="str">
        <f ca="1">IFERROR(__xludf.DUMMYFUNCTION("""COMPUTED_VALUE"""),"Student commit suicide in school cafeteria after break-up with gf")</f>
        <v>Student commit suicide in school cafeteria after break-up with gf</v>
      </c>
      <c r="Z2713" s="12" t="str">
        <f ca="1">IFERROR(__xludf.DUMMYFUNCTION("""COMPUTED_VALUE"""),"Shooter had just broken up with girlfriend and we upset. Attempted suicide 2 weeks prior. Took .22 pistol out of his book bag and put it to his head in the cafeteria with about 100 other students present. Student tried to stop him. Shooter pointed the gun"&amp;" at the other student and pulled the trigger but it misfired. Pointed the gun at his own head, pulled trigger second time, and was fatally shot.")</f>
        <v>Shooter had just broken up with girlfriend and we upset. Attempted suicide 2 weeks prior. Took .22 pistol out of his book bag and put it to his head in the cafeteria with about 100 other students present. Student tried to stop him. Shooter pointed the gun at the other student and pulled the trigger but it misfired. Pointed the gun at his own head, pulled trigger second time, and was fatally shot.</v>
      </c>
      <c r="AA2713" s="8" t="str">
        <f ca="1">IFERROR(__xludf.DUMMYFUNCTION("""COMPUTED_VALUE"""),"Suicide/Attempted")</f>
        <v>Suicide/Attempted</v>
      </c>
      <c r="AB2713" s="8"/>
      <c r="AC2713" s="8"/>
      <c r="AD2713" s="8" t="str">
        <f ca="1">IFERROR(__xludf.DUMMYFUNCTION("""COMPUTED_VALUE"""),"Victims Targeted")</f>
        <v>Victims Targeted</v>
      </c>
      <c r="AE2713" s="8" t="str">
        <f ca="1">IFERROR(__xludf.DUMMYFUNCTION("""COMPUTED_VALUE"""),"No")</f>
        <v>No</v>
      </c>
      <c r="AF2713" s="8"/>
      <c r="AG2713" s="8" t="str">
        <f ca="1">IFERROR(__xludf.DUMMYFUNCTION("""COMPUTED_VALUE"""),"No")</f>
        <v>No</v>
      </c>
      <c r="AH2713" s="8" t="str">
        <f ca="1">IFERROR(__xludf.DUMMYFUNCTION("""COMPUTED_VALUE"""),"No")</f>
        <v>No</v>
      </c>
      <c r="AI2713" s="8" t="str">
        <f ca="1">IFERROR(__xludf.DUMMYFUNCTION("""COMPUTED_VALUE"""),"No")</f>
        <v>No</v>
      </c>
      <c r="AJ2713" s="8" t="str">
        <f ca="1">IFERROR(__xludf.DUMMYFUNCTION("""COMPUTED_VALUE"""),"No")</f>
        <v>No</v>
      </c>
      <c r="AK2713" s="8" t="str">
        <f ca="1">IFERROR(__xludf.DUMMYFUNCTION("""COMPUTED_VALUE"""),"No")</f>
        <v>No</v>
      </c>
      <c r="AL2713" s="8" t="str">
        <f ca="1">IFERROR(__xludf.DUMMYFUNCTION("""COMPUTED_VALUE"""),"No")</f>
        <v>No</v>
      </c>
      <c r="AM2713" s="8"/>
      <c r="AN2713" s="8"/>
      <c r="AO2713" s="8" t="str">
        <f ca="1">IFERROR(__xludf.DUMMYFUNCTION("""COMPUTED_VALUE"""),"No")</f>
        <v>No</v>
      </c>
      <c r="AP2713" s="8"/>
      <c r="AQ2713" s="8" t="str">
        <f ca="1">IFERROR(__xludf.DUMMYFUNCTION("""COMPUTED_VALUE"""),"Unknown")</f>
        <v>Unknown</v>
      </c>
      <c r="AR2713" s="8" t="str">
        <f ca="1">IFERROR(__xludf.DUMMYFUNCTION("""COMPUTED_VALUE"""),"NA")</f>
        <v>NA</v>
      </c>
      <c r="AS2713" s="8">
        <f ca="1">IFERROR(__xludf.DUMMYFUNCTION("""COMPUTED_VALUE"""),1)</f>
        <v>1</v>
      </c>
      <c r="AT2713" s="8"/>
      <c r="AU2713" s="8">
        <f ca="1">IFERROR(__xludf.DUMMYFUNCTION("""COMPUTED_VALUE"""),34.95016)</f>
        <v>34.950159999999997</v>
      </c>
      <c r="AV2713" s="8">
        <f ca="1">IFERROR(__xludf.DUMMYFUNCTION("""COMPUTED_VALUE"""),-81.083025)</f>
        <v>-81.083025000000006</v>
      </c>
      <c r="AW2713" s="8"/>
      <c r="AX2713" s="8">
        <f ca="1">IFERROR(__xludf.DUMMYFUNCTION("""COMPUTED_VALUE"""),29732)</f>
        <v>29732</v>
      </c>
    </row>
    <row r="2714" spans="1:50" ht="45" x14ac:dyDescent="0.2">
      <c r="A2714" s="8" t="str">
        <f ca="1">IFERROR(__xludf.DUMMYFUNCTION("""COMPUTED_VALUE"""),"19910325NCGAC")</f>
        <v>19910325NCGAC</v>
      </c>
      <c r="B2714" s="8">
        <f ca="1">IFERROR(__xludf.DUMMYFUNCTION("""COMPUTED_VALUE"""),3)</f>
        <v>3</v>
      </c>
      <c r="C2714" s="8">
        <f ca="1">IFERROR(__xludf.DUMMYFUNCTION("""COMPUTED_VALUE"""),25)</f>
        <v>25</v>
      </c>
      <c r="D2714" s="8">
        <f ca="1">IFERROR(__xludf.DUMMYFUNCTION("""COMPUTED_VALUE"""),1991)</f>
        <v>1991</v>
      </c>
      <c r="E2714" s="9">
        <f ca="1">IFERROR(__xludf.DUMMYFUNCTION("""COMPUTED_VALUE"""),33322)</f>
        <v>33322</v>
      </c>
      <c r="F2714" s="8" t="str">
        <f ca="1">IFERROR(__xludf.DUMMYFUNCTION("""COMPUTED_VALUE"""),"Garinger High School")</f>
        <v>Garinger High School</v>
      </c>
      <c r="G2714" s="8">
        <f ca="1">IFERROR(__xludf.DUMMYFUNCTION("""COMPUTED_VALUE"""),1)</f>
        <v>1</v>
      </c>
      <c r="H2714" s="8">
        <f ca="1">IFERROR(__xludf.DUMMYFUNCTION("""COMPUTED_VALUE"""),0)</f>
        <v>0</v>
      </c>
      <c r="I2714" s="8">
        <f ca="1">IFERROR(__xludf.DUMMYFUNCTION("""COMPUTED_VALUE"""),1)</f>
        <v>1</v>
      </c>
      <c r="J2714" s="8">
        <f ca="1">IFERROR(__xludf.DUMMYFUNCTION("""COMPUTED_VALUE"""),0)</f>
        <v>0</v>
      </c>
      <c r="K2714" s="10" t="str">
        <f ca="1">IFERROR(__xludf.DUMMYFUNCTION("""COMPUTED_VALUE"""),"https://www.newspapers.com/image/200149579/?terms=Garinger%2BHigh%2BSchool%2Bshooting")</f>
        <v>https://www.newspapers.com/image/200149579/?terms=Garinger%2BHigh%2BSchool%2Bshooting</v>
      </c>
      <c r="L2714" s="8"/>
      <c r="M2714" s="8"/>
      <c r="N2714" s="8">
        <f ca="1">IFERROR(__xludf.DUMMYFUNCTION("""COMPUTED_VALUE"""),2)</f>
        <v>2</v>
      </c>
      <c r="O2714" s="8" t="str">
        <f ca="1">IFERROR(__xludf.DUMMYFUNCTION("""COMPUTED_VALUE"""),"Spring")</f>
        <v>Spring</v>
      </c>
      <c r="P2714" s="8" t="str">
        <f ca="1">IFERROR(__xludf.DUMMYFUNCTION("""COMPUTED_VALUE"""),"Charlotte")</f>
        <v>Charlotte</v>
      </c>
      <c r="Q2714" s="8" t="str">
        <f ca="1">IFERROR(__xludf.DUMMYFUNCTION("""COMPUTED_VALUE"""),"NC")</f>
        <v>NC</v>
      </c>
      <c r="R2714" s="8" t="str">
        <f ca="1">IFERROR(__xludf.DUMMYFUNCTION("""COMPUTED_VALUE"""),"High")</f>
        <v>High</v>
      </c>
      <c r="S2714" s="8" t="str">
        <f ca="1">IFERROR(__xludf.DUMMYFUNCTION("""COMPUTED_VALUE"""),"Front of School")</f>
        <v>Front of School</v>
      </c>
      <c r="T2714" s="8" t="str">
        <f ca="1">IFERROR(__xludf.DUMMYFUNCTION("""COMPUTED_VALUE"""),"Outside on School Property")</f>
        <v>Outside on School Property</v>
      </c>
      <c r="U2714" s="8" t="str">
        <f ca="1">IFERROR(__xludf.DUMMYFUNCTION("""COMPUTED_VALUE"""),"No")</f>
        <v>No</v>
      </c>
      <c r="V2714" s="8" t="str">
        <f ca="1">IFERROR(__xludf.DUMMYFUNCTION("""COMPUTED_VALUE"""),"Dismissal")</f>
        <v>Dismissal</v>
      </c>
      <c r="W2714" s="11">
        <f ca="1">IFERROR(__xludf.DUMMYFUNCTION("""COMPUTED_VALUE"""),0.597222222222222)</f>
        <v>0.59722222222222199</v>
      </c>
      <c r="X2714" s="8">
        <f ca="1">IFERROR(__xludf.DUMMYFUNCTION("""COMPUTED_VALUE"""),1)</f>
        <v>1</v>
      </c>
      <c r="Y2714" s="12" t="str">
        <f ca="1">IFERROR(__xludf.DUMMYFUNCTION("""COMPUTED_VALUE"""),"Drive-by shooting at end of school day")</f>
        <v>Drive-by shooting at end of school day</v>
      </c>
      <c r="Z2714" s="12" t="str">
        <f ca="1">IFERROR(__xludf.DUMMYFUNCTION("""COMPUTED_VALUE"""),"21YOM shot in drive by at school while picking up younger sister. Shooting related to prior shooting between former students.")</f>
        <v>21YOM shot in drive by at school while picking up younger sister. Shooting related to prior shooting between former students.</v>
      </c>
      <c r="AA2714" s="8" t="str">
        <f ca="1">IFERROR(__xludf.DUMMYFUNCTION("""COMPUTED_VALUE"""),"Drive-by Shooting")</f>
        <v>Drive-by Shooting</v>
      </c>
      <c r="AB2714" s="8"/>
      <c r="AC2714" s="8"/>
      <c r="AD2714" s="8" t="str">
        <f ca="1">IFERROR(__xludf.DUMMYFUNCTION("""COMPUTED_VALUE"""),"Victims Targeted")</f>
        <v>Victims Targeted</v>
      </c>
      <c r="AE2714" s="8" t="str">
        <f ca="1">IFERROR(__xludf.DUMMYFUNCTION("""COMPUTED_VALUE"""),"No")</f>
        <v>No</v>
      </c>
      <c r="AF2714" s="8"/>
      <c r="AG2714" s="8" t="str">
        <f ca="1">IFERROR(__xludf.DUMMYFUNCTION("""COMPUTED_VALUE"""),"No")</f>
        <v>No</v>
      </c>
      <c r="AH2714" s="8" t="str">
        <f ca="1">IFERROR(__xludf.DUMMYFUNCTION("""COMPUTED_VALUE"""),"No")</f>
        <v>No</v>
      </c>
      <c r="AI2714" s="8" t="str">
        <f ca="1">IFERROR(__xludf.DUMMYFUNCTION("""COMPUTED_VALUE"""),"No")</f>
        <v>No</v>
      </c>
      <c r="AJ2714" s="8" t="str">
        <f ca="1">IFERROR(__xludf.DUMMYFUNCTION("""COMPUTED_VALUE"""),"No")</f>
        <v>No</v>
      </c>
      <c r="AK2714" s="8" t="str">
        <f ca="1">IFERROR(__xludf.DUMMYFUNCTION("""COMPUTED_VALUE"""),"No")</f>
        <v>No</v>
      </c>
      <c r="AL2714" s="8"/>
      <c r="AM2714" s="8"/>
      <c r="AN2714" s="8"/>
      <c r="AO2714" s="8" t="str">
        <f ca="1">IFERROR(__xludf.DUMMYFUNCTION("""COMPUTED_VALUE"""),"No")</f>
        <v>No</v>
      </c>
      <c r="AP2714" s="8"/>
      <c r="AQ2714" s="8" t="str">
        <f ca="1">IFERROR(__xludf.DUMMYFUNCTION("""COMPUTED_VALUE"""),"Unknown")</f>
        <v>Unknown</v>
      </c>
      <c r="AR2714" s="8" t="str">
        <f ca="1">IFERROR(__xludf.DUMMYFUNCTION("""COMPUTED_VALUE"""),"NA")</f>
        <v>NA</v>
      </c>
      <c r="AS2714" s="8"/>
      <c r="AT2714" s="8"/>
      <c r="AU2714" s="8">
        <f ca="1">IFERROR(__xludf.DUMMYFUNCTION("""COMPUTED_VALUE"""),35.240982)</f>
        <v>35.240982000000002</v>
      </c>
      <c r="AV2714" s="8">
        <f ca="1">IFERROR(__xludf.DUMMYFUNCTION("""COMPUTED_VALUE"""),-80.782172)</f>
        <v>-80.782172000000003</v>
      </c>
      <c r="AW2714" s="8"/>
      <c r="AX2714" s="8">
        <f ca="1">IFERROR(__xludf.DUMMYFUNCTION("""COMPUTED_VALUE"""),28205)</f>
        <v>28205</v>
      </c>
    </row>
    <row r="2715" spans="1:50" ht="90" x14ac:dyDescent="0.2">
      <c r="A2715" s="8" t="str">
        <f ca="1">IFERROR(__xludf.DUMMYFUNCTION("""COMPUTED_VALUE"""),"19910314SCWOP")</f>
        <v>19910314SCWOP</v>
      </c>
      <c r="B2715" s="8">
        <f ca="1">IFERROR(__xludf.DUMMYFUNCTION("""COMPUTED_VALUE"""),3)</f>
        <v>3</v>
      </c>
      <c r="C2715" s="8">
        <f ca="1">IFERROR(__xludf.DUMMYFUNCTION("""COMPUTED_VALUE"""),14)</f>
        <v>14</v>
      </c>
      <c r="D2715" s="8">
        <f ca="1">IFERROR(__xludf.DUMMYFUNCTION("""COMPUTED_VALUE"""),1991)</f>
        <v>1991</v>
      </c>
      <c r="E2715" s="9">
        <f ca="1">IFERROR(__xludf.DUMMYFUNCTION("""COMPUTED_VALUE"""),33311)</f>
        <v>33311</v>
      </c>
      <c r="F2715" s="8" t="str">
        <f ca="1">IFERROR(__xludf.DUMMYFUNCTION("""COMPUTED_VALUE"""),"Woodmont High School")</f>
        <v>Woodmont High School</v>
      </c>
      <c r="G2715" s="8">
        <f ca="1">IFERROR(__xludf.DUMMYFUNCTION("""COMPUTED_VALUE"""),0)</f>
        <v>0</v>
      </c>
      <c r="H2715" s="8">
        <f ca="1">IFERROR(__xludf.DUMMYFUNCTION("""COMPUTED_VALUE"""),4)</f>
        <v>4</v>
      </c>
      <c r="I2715" s="8">
        <f ca="1">IFERROR(__xludf.DUMMYFUNCTION("""COMPUTED_VALUE"""),4)</f>
        <v>4</v>
      </c>
      <c r="J2715" s="8">
        <f ca="1">IFERROR(__xludf.DUMMYFUNCTION("""COMPUTED_VALUE"""),0)</f>
        <v>0</v>
      </c>
      <c r="K2715" s="8" t="str">
        <f ca="1">IFERROR(__xludf.DUMMYFUNCTION("""COMPUTED_VALUE"""),"https://www.newspapers.com/image/192033170/?terms=Woodmont%2BHigh%2BSchool%2Bshooting https://www.newspapers.com/image/192382156/?terms=Lincoln%2BHigh%2BSchool%2Bshooting")</f>
        <v>https://www.newspapers.com/image/192033170/?terms=Woodmont%2BHigh%2BSchool%2Bshooting https://www.newspapers.com/image/192382156/?terms=Lincoln%2BHigh%2BSchool%2Bshooting</v>
      </c>
      <c r="L2715" s="8"/>
      <c r="M2715" s="8"/>
      <c r="N2715" s="8">
        <f ca="1">IFERROR(__xludf.DUMMYFUNCTION("""COMPUTED_VALUE"""),3)</f>
        <v>3</v>
      </c>
      <c r="O2715" s="8" t="str">
        <f ca="1">IFERROR(__xludf.DUMMYFUNCTION("""COMPUTED_VALUE"""),"Spring")</f>
        <v>Spring</v>
      </c>
      <c r="P2715" s="8" t="str">
        <f ca="1">IFERROR(__xludf.DUMMYFUNCTION("""COMPUTED_VALUE"""),"Piedmont")</f>
        <v>Piedmont</v>
      </c>
      <c r="Q2715" s="8" t="str">
        <f ca="1">IFERROR(__xludf.DUMMYFUNCTION("""COMPUTED_VALUE"""),"SC")</f>
        <v>SC</v>
      </c>
      <c r="R2715" s="8" t="str">
        <f ca="1">IFERROR(__xludf.DUMMYFUNCTION("""COMPUTED_VALUE"""),"High")</f>
        <v>High</v>
      </c>
      <c r="S2715" s="8" t="str">
        <f ca="1">IFERROR(__xludf.DUMMYFUNCTION("""COMPUTED_VALUE"""),"Parking Lot")</f>
        <v>Parking Lot</v>
      </c>
      <c r="T2715" s="8" t="str">
        <f ca="1">IFERROR(__xludf.DUMMYFUNCTION("""COMPUTED_VALUE"""),"Outside on School Property")</f>
        <v>Outside on School Property</v>
      </c>
      <c r="U2715" s="8" t="str">
        <f ca="1">IFERROR(__xludf.DUMMYFUNCTION("""COMPUTED_VALUE"""),"No")</f>
        <v>No</v>
      </c>
      <c r="V2715" s="8" t="str">
        <f ca="1">IFERROR(__xludf.DUMMYFUNCTION("""COMPUTED_VALUE"""),"School Event")</f>
        <v>School Event</v>
      </c>
      <c r="W2715" s="8"/>
      <c r="X2715" s="8"/>
      <c r="Y2715" s="12" t="str">
        <f ca="1">IFERROR(__xludf.DUMMYFUNCTION("""COMPUTED_VALUE"""),"Following talent show, large fight broke out in school parking lot. 2 shooters fired during fight.")</f>
        <v>Following talent show, large fight broke out in school parking lot. 2 shooters fired during fight.</v>
      </c>
      <c r="Z2715" s="12" t="str">
        <f ca="1">IFERROR(__xludf.DUMMYFUNCTION("""COMPUTED_VALUE"""),"Large fight broke out over a rap performance at the school talent show. Shots were fired by two shooters who fled the scene. Armed police officers were present before and during the incident.")</f>
        <v>Large fight broke out over a rap performance at the school talent show. Shots were fired by two shooters who fled the scene. Armed police officers were present before and during the incident.</v>
      </c>
      <c r="AA2715" s="8" t="str">
        <f ca="1">IFERROR(__xludf.DUMMYFUNCTION("""COMPUTED_VALUE"""),"Escalation of Dispute")</f>
        <v>Escalation of Dispute</v>
      </c>
      <c r="AB2715" s="8"/>
      <c r="AC2715" s="8"/>
      <c r="AD2715" s="8" t="str">
        <f ca="1">IFERROR(__xludf.DUMMYFUNCTION("""COMPUTED_VALUE"""),"Both")</f>
        <v>Both</v>
      </c>
      <c r="AE2715" s="8" t="str">
        <f ca="1">IFERROR(__xludf.DUMMYFUNCTION("""COMPUTED_VALUE"""),"Yes")</f>
        <v>Yes</v>
      </c>
      <c r="AF2715" s="8" t="str">
        <f ca="1">IFERROR(__xludf.DUMMYFUNCTION("""COMPUTED_VALUE"""),"2 arrested")</f>
        <v>2 arrested</v>
      </c>
      <c r="AG2715" s="8" t="str">
        <f ca="1">IFERROR(__xludf.DUMMYFUNCTION("""COMPUTED_VALUE"""),"No")</f>
        <v>No</v>
      </c>
      <c r="AH2715" s="8" t="str">
        <f ca="1">IFERROR(__xludf.DUMMYFUNCTION("""COMPUTED_VALUE"""),"No")</f>
        <v>No</v>
      </c>
      <c r="AI2715" s="8" t="str">
        <f ca="1">IFERROR(__xludf.DUMMYFUNCTION("""COMPUTED_VALUE"""),"No")</f>
        <v>No</v>
      </c>
      <c r="AJ2715" s="8" t="str">
        <f ca="1">IFERROR(__xludf.DUMMYFUNCTION("""COMPUTED_VALUE"""),"No")</f>
        <v>No</v>
      </c>
      <c r="AK2715" s="8" t="str">
        <f ca="1">IFERROR(__xludf.DUMMYFUNCTION("""COMPUTED_VALUE"""),"No")</f>
        <v>No</v>
      </c>
      <c r="AL2715" s="8" t="str">
        <f ca="1">IFERROR(__xludf.DUMMYFUNCTION("""COMPUTED_VALUE"""),"No")</f>
        <v>No</v>
      </c>
      <c r="AM2715" s="8"/>
      <c r="AN2715" s="8"/>
      <c r="AO2715" s="8" t="str">
        <f ca="1">IFERROR(__xludf.DUMMYFUNCTION("""COMPUTED_VALUE"""),"No")</f>
        <v>No</v>
      </c>
      <c r="AP2715" s="8" t="str">
        <f ca="1">IFERROR(__xludf.DUMMYFUNCTION("""COMPUTED_VALUE"""),"Yes")</f>
        <v>Yes</v>
      </c>
      <c r="AQ2715" s="8" t="str">
        <f ca="1">IFERROR(__xludf.DUMMYFUNCTION("""COMPUTED_VALUE"""),"Unknown")</f>
        <v>Unknown</v>
      </c>
      <c r="AR2715" s="8" t="str">
        <f ca="1">IFERROR(__xludf.DUMMYFUNCTION("""COMPUTED_VALUE"""),"NA")</f>
        <v>NA</v>
      </c>
      <c r="AS2715" s="8"/>
      <c r="AT2715" s="8"/>
      <c r="AU2715" s="8">
        <f ca="1">IFERROR(__xludf.DUMMYFUNCTION("""COMPUTED_VALUE"""),34.688467)</f>
        <v>34.688467000000003</v>
      </c>
      <c r="AV2715" s="8">
        <f ca="1">IFERROR(__xludf.DUMMYFUNCTION("""COMPUTED_VALUE"""),-82.358743)</f>
        <v>-82.358743000000004</v>
      </c>
      <c r="AW2715" s="8"/>
      <c r="AX2715" s="8">
        <f ca="1">IFERROR(__xludf.DUMMYFUNCTION("""COMPUTED_VALUE"""),29605)</f>
        <v>29605</v>
      </c>
    </row>
    <row r="2716" spans="1:50" ht="90" x14ac:dyDescent="0.2">
      <c r="A2716" s="8" t="str">
        <f ca="1">IFERROR(__xludf.DUMMYFUNCTION("""COMPUTED_VALUE"""),"19910313ALSES")</f>
        <v>19910313ALSES</v>
      </c>
      <c r="B2716" s="8">
        <f ca="1">IFERROR(__xludf.DUMMYFUNCTION("""COMPUTED_VALUE"""),3)</f>
        <v>3</v>
      </c>
      <c r="C2716" s="8">
        <f ca="1">IFERROR(__xludf.DUMMYFUNCTION("""COMPUTED_VALUE"""),13)</f>
        <v>13</v>
      </c>
      <c r="D2716" s="8">
        <f ca="1">IFERROR(__xludf.DUMMYFUNCTION("""COMPUTED_VALUE"""),1991)</f>
        <v>1991</v>
      </c>
      <c r="E2716" s="9">
        <f ca="1">IFERROR(__xludf.DUMMYFUNCTION("""COMPUTED_VALUE"""),33310)</f>
        <v>33310</v>
      </c>
      <c r="F2716" s="8" t="str">
        <f ca="1">IFERROR(__xludf.DUMMYFUNCTION("""COMPUTED_VALUE"""),"Selma High School")</f>
        <v>Selma High School</v>
      </c>
      <c r="G2716" s="8">
        <f ca="1">IFERROR(__xludf.DUMMYFUNCTION("""COMPUTED_VALUE"""),0)</f>
        <v>0</v>
      </c>
      <c r="H2716" s="8">
        <f ca="1">IFERROR(__xludf.DUMMYFUNCTION("""COMPUTED_VALUE"""),2)</f>
        <v>2</v>
      </c>
      <c r="I2716" s="8">
        <f ca="1">IFERROR(__xludf.DUMMYFUNCTION("""COMPUTED_VALUE"""),2)</f>
        <v>2</v>
      </c>
      <c r="J2716" s="8">
        <f ca="1">IFERROR(__xludf.DUMMYFUNCTION("""COMPUTED_VALUE"""),0)</f>
        <v>0</v>
      </c>
      <c r="K2716" s="8" t="str">
        <f ca="1">IFERROR(__xludf.DUMMYFUNCTION("""COMPUTED_VALUE"""),"https://www.newspapers.com/image/106635652/?terms=selma%2Bschool%2Bshooting   https://www.newspapers.com/image/106694680/?terms=school%2Bshooting   https://www.newspapers.com/image/259707038/?terms=selma%2Bschool%2Bshooting")</f>
        <v>https://www.newspapers.com/image/106635652/?terms=selma%2Bschool%2Bshooting   https://www.newspapers.com/image/106694680/?terms=school%2Bshooting   https://www.newspapers.com/image/259707038/?terms=selma%2Bschool%2Bshooting</v>
      </c>
      <c r="L2716" s="8"/>
      <c r="M2716" s="8"/>
      <c r="N2716" s="8">
        <f ca="1">IFERROR(__xludf.DUMMYFUNCTION("""COMPUTED_VALUE"""),3)</f>
        <v>3</v>
      </c>
      <c r="O2716" s="8" t="str">
        <f ca="1">IFERROR(__xludf.DUMMYFUNCTION("""COMPUTED_VALUE"""),"Spring")</f>
        <v>Spring</v>
      </c>
      <c r="P2716" s="8" t="str">
        <f ca="1">IFERROR(__xludf.DUMMYFUNCTION("""COMPUTED_VALUE"""),"Selma")</f>
        <v>Selma</v>
      </c>
      <c r="Q2716" s="8" t="str">
        <f ca="1">IFERROR(__xludf.DUMMYFUNCTION("""COMPUTED_VALUE"""),"AL")</f>
        <v>AL</v>
      </c>
      <c r="R2716" s="8" t="str">
        <f ca="1">IFERROR(__xludf.DUMMYFUNCTION("""COMPUTED_VALUE"""),"High")</f>
        <v>High</v>
      </c>
      <c r="S2716" s="8" t="str">
        <f ca="1">IFERROR(__xludf.DUMMYFUNCTION("""COMPUTED_VALUE"""),"Gym")</f>
        <v>Gym</v>
      </c>
      <c r="T2716" s="8" t="str">
        <f ca="1">IFERROR(__xludf.DUMMYFUNCTION("""COMPUTED_VALUE"""),"Inside School Building")</f>
        <v>Inside School Building</v>
      </c>
      <c r="U2716" s="8" t="str">
        <f ca="1">IFERROR(__xludf.DUMMYFUNCTION("""COMPUTED_VALUE"""),"Yes")</f>
        <v>Yes</v>
      </c>
      <c r="V2716" s="8" t="str">
        <f ca="1">IFERROR(__xludf.DUMMYFUNCTION("""COMPUTED_VALUE"""),"Morning Classes")</f>
        <v>Morning Classes</v>
      </c>
      <c r="W2716" s="11">
        <f ca="1">IFERROR(__xludf.DUMMYFUNCTION("""COMPUTED_VALUE"""),0.399305555555555)</f>
        <v>0.39930555555555503</v>
      </c>
      <c r="X2716" s="8">
        <f ca="1">IFERROR(__xludf.DUMMYFUNCTION("""COMPUTED_VALUE"""),1)</f>
        <v>1</v>
      </c>
      <c r="Y2716" s="12" t="str">
        <f ca="1">IFERROR(__xludf.DUMMYFUNCTION("""COMPUTED_VALUE"""),"Targeted victim after fight the prior weekend")</f>
        <v>Targeted victim after fight the prior weekend</v>
      </c>
      <c r="Z2716" s="12" t="str">
        <f ca="1">IFERROR(__xludf.DUMMYFUNCTION("""COMPUTED_VALUE"""),"Shooter was seeking revenge for fist fight he got into over the weekend with one of the victims. Shooter entered the school's gym around 9:45 am and shot the victim in the face, the bullet ricocheted and struck an innocent bystander. The shooter fled but "&amp;"was later caught and arrested. Charged with attempted murder and 2nd degree assault")</f>
        <v>Shooter was seeking revenge for fist fight he got into over the weekend with one of the victims. Shooter entered the school's gym around 9:45 am and shot the victim in the face, the bullet ricocheted and struck an innocent bystander. The shooter fled but was later caught and arrested. Charged with attempted murder and 2nd degree assault</v>
      </c>
      <c r="AA2716" s="8" t="str">
        <f ca="1">IFERROR(__xludf.DUMMYFUNCTION("""COMPUTED_VALUE"""),"Escalation of Dispute")</f>
        <v>Escalation of Dispute</v>
      </c>
      <c r="AB2716" s="8"/>
      <c r="AC2716" s="8"/>
      <c r="AD2716" s="8" t="str">
        <f ca="1">IFERROR(__xludf.DUMMYFUNCTION("""COMPUTED_VALUE"""),"Both")</f>
        <v>Both</v>
      </c>
      <c r="AE2716" s="8" t="str">
        <f ca="1">IFERROR(__xludf.DUMMYFUNCTION("""COMPUTED_VALUE"""),"No")</f>
        <v>No</v>
      </c>
      <c r="AF2716" s="8"/>
      <c r="AG2716" s="8" t="str">
        <f ca="1">IFERROR(__xludf.DUMMYFUNCTION("""COMPUTED_VALUE"""),"No")</f>
        <v>No</v>
      </c>
      <c r="AH2716" s="8" t="str">
        <f ca="1">IFERROR(__xludf.DUMMYFUNCTION("""COMPUTED_VALUE"""),"No")</f>
        <v>No</v>
      </c>
      <c r="AI2716" s="8" t="str">
        <f ca="1">IFERROR(__xludf.DUMMYFUNCTION("""COMPUTED_VALUE"""),"No")</f>
        <v>No</v>
      </c>
      <c r="AJ2716" s="8" t="str">
        <f ca="1">IFERROR(__xludf.DUMMYFUNCTION("""COMPUTED_VALUE"""),"No")</f>
        <v>No</v>
      </c>
      <c r="AK2716" s="8" t="str">
        <f ca="1">IFERROR(__xludf.DUMMYFUNCTION("""COMPUTED_VALUE"""),"No")</f>
        <v>No</v>
      </c>
      <c r="AL2716" s="8" t="str">
        <f ca="1">IFERROR(__xludf.DUMMYFUNCTION("""COMPUTED_VALUE"""),"No")</f>
        <v>No</v>
      </c>
      <c r="AM2716" s="8"/>
      <c r="AN2716" s="8"/>
      <c r="AO2716" s="8" t="str">
        <f ca="1">IFERROR(__xludf.DUMMYFUNCTION("""COMPUTED_VALUE"""),"No")</f>
        <v>No</v>
      </c>
      <c r="AP2716" s="8"/>
      <c r="AQ2716" s="8" t="str">
        <f ca="1">IFERROR(__xludf.DUMMYFUNCTION("""COMPUTED_VALUE"""),"Unknown")</f>
        <v>Unknown</v>
      </c>
      <c r="AR2716" s="8" t="str">
        <f ca="1">IFERROR(__xludf.DUMMYFUNCTION("""COMPUTED_VALUE"""),"NA")</f>
        <v>NA</v>
      </c>
      <c r="AS2716" s="8">
        <f ca="1">IFERROR(__xludf.DUMMYFUNCTION("""COMPUTED_VALUE"""),1)</f>
        <v>1</v>
      </c>
      <c r="AT2716" s="8"/>
      <c r="AU2716" s="8">
        <f ca="1">IFERROR(__xludf.DUMMYFUNCTION("""COMPUTED_VALUE"""),32.428283)</f>
        <v>32.428283</v>
      </c>
      <c r="AV2716" s="8">
        <f ca="1">IFERROR(__xludf.DUMMYFUNCTION("""COMPUTED_VALUE"""),-87.022695)</f>
        <v>-87.022694999999999</v>
      </c>
      <c r="AW2716" s="8"/>
      <c r="AX2716" s="8">
        <f ca="1">IFERROR(__xludf.DUMMYFUNCTION("""COMPUTED_VALUE"""),36702)</f>
        <v>36702</v>
      </c>
    </row>
    <row r="2717" spans="1:50" ht="120" x14ac:dyDescent="0.2">
      <c r="A2717" s="8" t="str">
        <f ca="1">IFERROR(__xludf.DUMMYFUNCTION("""COMPUTED_VALUE"""),"19910219LABON")</f>
        <v>19910219LABON</v>
      </c>
      <c r="B2717" s="8">
        <f ca="1">IFERROR(__xludf.DUMMYFUNCTION("""COMPUTED_VALUE"""),2)</f>
        <v>2</v>
      </c>
      <c r="C2717" s="8">
        <f ca="1">IFERROR(__xludf.DUMMYFUNCTION("""COMPUTED_VALUE"""),19)</f>
        <v>19</v>
      </c>
      <c r="D2717" s="8">
        <f ca="1">IFERROR(__xludf.DUMMYFUNCTION("""COMPUTED_VALUE"""),1991)</f>
        <v>1991</v>
      </c>
      <c r="E2717" s="9">
        <f ca="1">IFERROR(__xludf.DUMMYFUNCTION("""COMPUTED_VALUE"""),33288)</f>
        <v>33288</v>
      </c>
      <c r="F2717" s="8" t="str">
        <f ca="1">IFERROR(__xludf.DUMMYFUNCTION("""COMPUTED_VALUE"""),"Booker T. Washington High School")</f>
        <v>Booker T. Washington High School</v>
      </c>
      <c r="G2717" s="8">
        <f ca="1">IFERROR(__xludf.DUMMYFUNCTION("""COMPUTED_VALUE"""),1)</f>
        <v>1</v>
      </c>
      <c r="H2717" s="8">
        <f ca="1">IFERROR(__xludf.DUMMYFUNCTION("""COMPUTED_VALUE"""),1)</f>
        <v>1</v>
      </c>
      <c r="I2717" s="8">
        <f ca="1">IFERROR(__xludf.DUMMYFUNCTION("""COMPUTED_VALUE"""),2)</f>
        <v>2</v>
      </c>
      <c r="J2717" s="8">
        <f ca="1">IFERROR(__xludf.DUMMYFUNCTION("""COMPUTED_VALUE"""),0)</f>
        <v>0</v>
      </c>
      <c r="K2717" s="10" t="str">
        <f ca="1">IFERROR(__xludf.DUMMYFUNCTION("""COMPUTED_VALUE"""),"https://www.newspapers.com/image/216895876/?terms=Booker%2BT.%2BWashington%2BHigh%2BSchool%2Bshooting")</f>
        <v>https://www.newspapers.com/image/216895876/?terms=Booker%2BT.%2BWashington%2BHigh%2BSchool%2Bshooting</v>
      </c>
      <c r="L2717" s="8"/>
      <c r="M2717" s="8" t="str">
        <f ca="1">IFERROR(__xludf.DUMMYFUNCTION("""COMPUTED_VALUE"""),"Local")</f>
        <v>Local</v>
      </c>
      <c r="N2717" s="8">
        <f ca="1">IFERROR(__xludf.DUMMYFUNCTION("""COMPUTED_VALUE"""),2)</f>
        <v>2</v>
      </c>
      <c r="O2717" s="8" t="str">
        <f ca="1">IFERROR(__xludf.DUMMYFUNCTION("""COMPUTED_VALUE"""),"Winter")</f>
        <v>Winter</v>
      </c>
      <c r="P2717" s="8" t="str">
        <f ca="1">IFERROR(__xludf.DUMMYFUNCTION("""COMPUTED_VALUE"""),"New Orleans")</f>
        <v>New Orleans</v>
      </c>
      <c r="Q2717" s="8" t="str">
        <f ca="1">IFERROR(__xludf.DUMMYFUNCTION("""COMPUTED_VALUE"""),"LA")</f>
        <v>LA</v>
      </c>
      <c r="R2717" s="8" t="str">
        <f ca="1">IFERROR(__xludf.DUMMYFUNCTION("""COMPUTED_VALUE"""),"High")</f>
        <v>High</v>
      </c>
      <c r="S2717" s="8" t="str">
        <f ca="1">IFERROR(__xludf.DUMMYFUNCTION("""COMPUTED_VALUE"""),"Outside on School Property")</f>
        <v>Outside on School Property</v>
      </c>
      <c r="T2717" s="8" t="str">
        <f ca="1">IFERROR(__xludf.DUMMYFUNCTION("""COMPUTED_VALUE"""),"Outside on School Property")</f>
        <v>Outside on School Property</v>
      </c>
      <c r="U2717" s="8" t="str">
        <f ca="1">IFERROR(__xludf.DUMMYFUNCTION("""COMPUTED_VALUE"""),"Yes")</f>
        <v>Yes</v>
      </c>
      <c r="V2717" s="8" t="str">
        <f ca="1">IFERROR(__xludf.DUMMYFUNCTION("""COMPUTED_VALUE"""),"Lunch")</f>
        <v>Lunch</v>
      </c>
      <c r="W2717" s="11">
        <f ca="1">IFERROR(__xludf.DUMMYFUNCTION("""COMPUTED_VALUE"""),0.541666666666666)</f>
        <v>0.54166666666666596</v>
      </c>
      <c r="X2717" s="8">
        <f ca="1">IFERROR(__xludf.DUMMYFUNCTION("""COMPUTED_VALUE"""),1)</f>
        <v>1</v>
      </c>
      <c r="Y2717" s="12" t="str">
        <f ca="1">IFERROR(__xludf.DUMMYFUNCTION("""COMPUTED_VALUE"""),"Non-student killed on student and injured another in the parking lot. Student killed had 2 grams of crack cocaine in his pocket")</f>
        <v>Non-student killed on student and injured another in the parking lot. Student killed had 2 grams of crack cocaine in his pocket</v>
      </c>
      <c r="Z2717" s="12" t="str">
        <f ca="1">IFERROR(__xludf.DUMMYFUNCTION("""COMPUTED_VALUE"""),"Shooter had long criminal history and had fled juvenile custody. Shooter walked onto school property through broken fence to avoid 2 armed guards. Shooter walked up to a group of students and shot one in the head and injured another. Shooter fled the scen"&amp;"e and was later arrested. Victim had 2 grams of crack cocaine in his pocket packaged for sale.")</f>
        <v>Shooter had long criminal history and had fled juvenile custody. Shooter walked onto school property through broken fence to avoid 2 armed guards. Shooter walked up to a group of students and shot one in the head and injured another. Shooter fled the scene and was later arrested. Victim had 2 grams of crack cocaine in his pocket packaged for sale.</v>
      </c>
      <c r="AA2717" s="8" t="str">
        <f ca="1">IFERROR(__xludf.DUMMYFUNCTION("""COMPUTED_VALUE"""),"Illegal Activity")</f>
        <v>Illegal Activity</v>
      </c>
      <c r="AB2717" s="8"/>
      <c r="AC2717" s="8"/>
      <c r="AD2717" s="8" t="str">
        <f ca="1">IFERROR(__xludf.DUMMYFUNCTION("""COMPUTED_VALUE"""),"Both")</f>
        <v>Both</v>
      </c>
      <c r="AE2717" s="8" t="str">
        <f ca="1">IFERROR(__xludf.DUMMYFUNCTION("""COMPUTED_VALUE"""),"No")</f>
        <v>No</v>
      </c>
      <c r="AF2717" s="8"/>
      <c r="AG2717" s="8" t="str">
        <f ca="1">IFERROR(__xludf.DUMMYFUNCTION("""COMPUTED_VALUE"""),"No")</f>
        <v>No</v>
      </c>
      <c r="AH2717" s="8" t="str">
        <f ca="1">IFERROR(__xludf.DUMMYFUNCTION("""COMPUTED_VALUE"""),"No")</f>
        <v>No</v>
      </c>
      <c r="AI2717" s="8" t="str">
        <f ca="1">IFERROR(__xludf.DUMMYFUNCTION("""COMPUTED_VALUE"""),"No")</f>
        <v>No</v>
      </c>
      <c r="AJ2717" s="8" t="str">
        <f ca="1">IFERROR(__xludf.DUMMYFUNCTION("""COMPUTED_VALUE"""),"No")</f>
        <v>No</v>
      </c>
      <c r="AK2717" s="8" t="str">
        <f ca="1">IFERROR(__xludf.DUMMYFUNCTION("""COMPUTED_VALUE"""),"No")</f>
        <v>No</v>
      </c>
      <c r="AL2717" s="8" t="str">
        <f ca="1">IFERROR(__xludf.DUMMYFUNCTION("""COMPUTED_VALUE"""),"No")</f>
        <v>No</v>
      </c>
      <c r="AM2717" s="8"/>
      <c r="AN2717" s="8"/>
      <c r="AO2717" s="8" t="str">
        <f ca="1">IFERROR(__xludf.DUMMYFUNCTION("""COMPUTED_VALUE"""),"No")</f>
        <v>No</v>
      </c>
      <c r="AP2717" s="8" t="str">
        <f ca="1">IFERROR(__xludf.DUMMYFUNCTION("""COMPUTED_VALUE"""),"Yes")</f>
        <v>Yes</v>
      </c>
      <c r="AQ2717" s="8" t="str">
        <f ca="1">IFERROR(__xludf.DUMMYFUNCTION("""COMPUTED_VALUE"""),"Unknown")</f>
        <v>Unknown</v>
      </c>
      <c r="AR2717" s="8" t="str">
        <f ca="1">IFERROR(__xludf.DUMMYFUNCTION("""COMPUTED_VALUE"""),"NA")</f>
        <v>NA</v>
      </c>
      <c r="AS2717" s="8">
        <f ca="1">IFERROR(__xludf.DUMMYFUNCTION("""COMPUTED_VALUE"""),4)</f>
        <v>4</v>
      </c>
      <c r="AT2717" s="8"/>
      <c r="AU2717" s="8">
        <f ca="1">IFERROR(__xludf.DUMMYFUNCTION("""COMPUTED_VALUE"""),29.949872)</f>
        <v>29.949871999999999</v>
      </c>
      <c r="AV2717" s="8">
        <f ca="1">IFERROR(__xludf.DUMMYFUNCTION("""COMPUTED_VALUE"""),-90.089174)</f>
        <v>-90.089174</v>
      </c>
      <c r="AW2717" s="8"/>
      <c r="AX2717" s="8">
        <f ca="1">IFERROR(__xludf.DUMMYFUNCTION("""COMPUTED_VALUE"""),70125)</f>
        <v>70125</v>
      </c>
    </row>
    <row r="2718" spans="1:50" ht="105" x14ac:dyDescent="0.2">
      <c r="A2718" s="8" t="str">
        <f ca="1">IFERROR(__xludf.DUMMYFUNCTION("""COMPUTED_VALUE"""),"19910117TXHOD")</f>
        <v>19910117TXHOD</v>
      </c>
      <c r="B2718" s="8">
        <f ca="1">IFERROR(__xludf.DUMMYFUNCTION("""COMPUTED_VALUE"""),1)</f>
        <v>1</v>
      </c>
      <c r="C2718" s="8">
        <f ca="1">IFERROR(__xludf.DUMMYFUNCTION("""COMPUTED_VALUE"""),17)</f>
        <v>17</v>
      </c>
      <c r="D2718" s="8">
        <f ca="1">IFERROR(__xludf.DUMMYFUNCTION("""COMPUTED_VALUE"""),1991)</f>
        <v>1991</v>
      </c>
      <c r="E2718" s="9">
        <f ca="1">IFERROR(__xludf.DUMMYFUNCTION("""COMPUTED_VALUE"""),33255)</f>
        <v>33255</v>
      </c>
      <c r="F2718" s="8" t="str">
        <f ca="1">IFERROR(__xludf.DUMMYFUNCTION("""COMPUTED_VALUE"""),"Hood Middle School")</f>
        <v>Hood Middle School</v>
      </c>
      <c r="G2718" s="8">
        <f ca="1">IFERROR(__xludf.DUMMYFUNCTION("""COMPUTED_VALUE"""),0)</f>
        <v>0</v>
      </c>
      <c r="H2718" s="8">
        <f ca="1">IFERROR(__xludf.DUMMYFUNCTION("""COMPUTED_VALUE"""),1)</f>
        <v>1</v>
      </c>
      <c r="I2718" s="8">
        <f ca="1">IFERROR(__xludf.DUMMYFUNCTION("""COMPUTED_VALUE"""),1)</f>
        <v>1</v>
      </c>
      <c r="J2718" s="8">
        <f ca="1">IFERROR(__xludf.DUMMYFUNCTION("""COMPUTED_VALUE"""),0)</f>
        <v>0</v>
      </c>
      <c r="K2718" s="8" t="str">
        <f ca="1">IFERROR(__xludf.DUMMYFUNCTION("""COMPUTED_VALUE"""),"Dallas Morning News - Girl, 15, Wounded in Clash of Rival Groups Outside School; https://www.columbine-angels.com/School_Violence_1990-1991.htm")</f>
        <v>Dallas Morning News - Girl, 15, Wounded in Clash of Rival Groups Outside School; https://www.columbine-angels.com/School_Violence_1990-1991.htm</v>
      </c>
      <c r="L2718" s="8"/>
      <c r="M2718" s="8"/>
      <c r="N2718" s="8">
        <f ca="1">IFERROR(__xludf.DUMMYFUNCTION("""COMPUTED_VALUE"""),1)</f>
        <v>1</v>
      </c>
      <c r="O2718" s="8" t="str">
        <f ca="1">IFERROR(__xludf.DUMMYFUNCTION("""COMPUTED_VALUE"""),"Winter")</f>
        <v>Winter</v>
      </c>
      <c r="P2718" s="8" t="str">
        <f ca="1">IFERROR(__xludf.DUMMYFUNCTION("""COMPUTED_VALUE"""),"Dallas")</f>
        <v>Dallas</v>
      </c>
      <c r="Q2718" s="8" t="str">
        <f ca="1">IFERROR(__xludf.DUMMYFUNCTION("""COMPUTED_VALUE"""),"TX")</f>
        <v>TX</v>
      </c>
      <c r="R2718" s="8" t="str">
        <f ca="1">IFERROR(__xludf.DUMMYFUNCTION("""COMPUTED_VALUE"""),"Middle")</f>
        <v>Middle</v>
      </c>
      <c r="S2718" s="8" t="str">
        <f ca="1">IFERROR(__xludf.DUMMYFUNCTION("""COMPUTED_VALUE"""),"Outside on School Property")</f>
        <v>Outside on School Property</v>
      </c>
      <c r="T2718" s="8" t="str">
        <f ca="1">IFERROR(__xludf.DUMMYFUNCTION("""COMPUTED_VALUE"""),"Outside on School Property")</f>
        <v>Outside on School Property</v>
      </c>
      <c r="U2718" s="8" t="str">
        <f ca="1">IFERROR(__xludf.DUMMYFUNCTION("""COMPUTED_VALUE"""),"No")</f>
        <v>No</v>
      </c>
      <c r="V2718" s="8" t="str">
        <f ca="1">IFERROR(__xludf.DUMMYFUNCTION("""COMPUTED_VALUE"""),"Before School")</f>
        <v>Before School</v>
      </c>
      <c r="W2718" s="8"/>
      <c r="X2718" s="8"/>
      <c r="Y2718" s="12" t="str">
        <f ca="1">IFERROR(__xludf.DUMMYFUNCTION("""COMPUTED_VALUE"""),"Large fight occurred between students from rival neighborhood. Shots fired by two students. One was injured.")</f>
        <v>Large fight occurred between students from rival neighborhood. Shots fired by two students. One was injured.</v>
      </c>
      <c r="Z2718" s="12" t="str">
        <f ca="1">IFERROR(__xludf.DUMMYFUNCTION("""COMPUTED_VALUE"""),"Large fight occured between 20-30 students outside of the school. Fight involved students who were bused in from another neighborhood. Shots were fired by two different unidentified shooters. One student was injured by a GSW.")</f>
        <v>Large fight occured between 20-30 students outside of the school. Fight involved students who were bused in from another neighborhood. Shots were fired by two different unidentified shooters. One student was injured by a GSW.</v>
      </c>
      <c r="AA2718" s="8" t="str">
        <f ca="1">IFERROR(__xludf.DUMMYFUNCTION("""COMPUTED_VALUE"""),"Escalation of Dispute")</f>
        <v>Escalation of Dispute</v>
      </c>
      <c r="AB2718" s="8"/>
      <c r="AC2718" s="8"/>
      <c r="AD2718" s="8" t="str">
        <f ca="1">IFERROR(__xludf.DUMMYFUNCTION("""COMPUTED_VALUE"""),"Random Shooting")</f>
        <v>Random Shooting</v>
      </c>
      <c r="AE2718" s="8" t="str">
        <f ca="1">IFERROR(__xludf.DUMMYFUNCTION("""COMPUTED_VALUE"""),"Yes")</f>
        <v>Yes</v>
      </c>
      <c r="AF2718" s="8" t="str">
        <f ca="1">IFERROR(__xludf.DUMMYFUNCTION("""COMPUTED_VALUE"""),"20-30 students involved in fight")</f>
        <v>20-30 students involved in fight</v>
      </c>
      <c r="AG2718" s="8" t="str">
        <f ca="1">IFERROR(__xludf.DUMMYFUNCTION("""COMPUTED_VALUE"""),"No")</f>
        <v>No</v>
      </c>
      <c r="AH2718" s="8" t="str">
        <f ca="1">IFERROR(__xludf.DUMMYFUNCTION("""COMPUTED_VALUE"""),"No")</f>
        <v>No</v>
      </c>
      <c r="AI2718" s="8" t="str">
        <f ca="1">IFERROR(__xludf.DUMMYFUNCTION("""COMPUTED_VALUE"""),"No")</f>
        <v>No</v>
      </c>
      <c r="AJ2718" s="8" t="str">
        <f ca="1">IFERROR(__xludf.DUMMYFUNCTION("""COMPUTED_VALUE"""),"No")</f>
        <v>No</v>
      </c>
      <c r="AK2718" s="8" t="str">
        <f ca="1">IFERROR(__xludf.DUMMYFUNCTION("""COMPUTED_VALUE"""),"No")</f>
        <v>No</v>
      </c>
      <c r="AL2718" s="8" t="str">
        <f ca="1">IFERROR(__xludf.DUMMYFUNCTION("""COMPUTED_VALUE"""),"Yes")</f>
        <v>Yes</v>
      </c>
      <c r="AM2718" s="8"/>
      <c r="AN2718" s="8"/>
      <c r="AO2718" s="8" t="str">
        <f ca="1">IFERROR(__xludf.DUMMYFUNCTION("""COMPUTED_VALUE"""),"No")</f>
        <v>No</v>
      </c>
      <c r="AP2718" s="8"/>
      <c r="AQ2718" s="8" t="str">
        <f ca="1">IFERROR(__xludf.DUMMYFUNCTION("""COMPUTED_VALUE"""),"Unknown")</f>
        <v>Unknown</v>
      </c>
      <c r="AR2718" s="8" t="str">
        <f ca="1">IFERROR(__xludf.DUMMYFUNCTION("""COMPUTED_VALUE"""),"NA")</f>
        <v>NA</v>
      </c>
      <c r="AS2718" s="8">
        <f ca="1">IFERROR(__xludf.DUMMYFUNCTION("""COMPUTED_VALUE"""),2)</f>
        <v>2</v>
      </c>
      <c r="AT2718" s="8"/>
      <c r="AU2718" s="8">
        <f ca="1">IFERROR(__xludf.DUMMYFUNCTION("""COMPUTED_VALUE"""),32.758269)</f>
        <v>32.758268999999999</v>
      </c>
      <c r="AV2718" s="8">
        <f ca="1">IFERROR(__xludf.DUMMYFUNCTION("""COMPUTED_VALUE"""),-96.689592)</f>
        <v>-96.689592000000005</v>
      </c>
      <c r="AW2718" s="8"/>
      <c r="AX2718" s="8">
        <f ca="1">IFERROR(__xludf.DUMMYFUNCTION("""COMPUTED_VALUE"""),75227)</f>
        <v>75227</v>
      </c>
    </row>
    <row r="2719" spans="1:50" ht="90" x14ac:dyDescent="0.2">
      <c r="A2719" s="8" t="str">
        <f ca="1">IFERROR(__xludf.DUMMYFUNCTION("""COMPUTED_VALUE"""),"19910108TXRIR")</f>
        <v>19910108TXRIR</v>
      </c>
      <c r="B2719" s="8">
        <f ca="1">IFERROR(__xludf.DUMMYFUNCTION("""COMPUTED_VALUE"""),1)</f>
        <v>1</v>
      </c>
      <c r="C2719" s="8">
        <f ca="1">IFERROR(__xludf.DUMMYFUNCTION("""COMPUTED_VALUE"""),8)</f>
        <v>8</v>
      </c>
      <c r="D2719" s="8">
        <f ca="1">IFERROR(__xludf.DUMMYFUNCTION("""COMPUTED_VALUE"""),1991)</f>
        <v>1991</v>
      </c>
      <c r="E2719" s="9">
        <f ca="1">IFERROR(__xludf.DUMMYFUNCTION("""COMPUTED_VALUE"""),33246)</f>
        <v>33246</v>
      </c>
      <c r="F2719" s="8" t="str">
        <f ca="1">IFERROR(__xludf.DUMMYFUNCTION("""COMPUTED_VALUE"""),"Richardson High School")</f>
        <v>Richardson High School</v>
      </c>
      <c r="G2719" s="8">
        <f ca="1">IFERROR(__xludf.DUMMYFUNCTION("""COMPUTED_VALUE"""),0)</f>
        <v>0</v>
      </c>
      <c r="H2719" s="8">
        <f ca="1">IFERROR(__xludf.DUMMYFUNCTION("""COMPUTED_VALUE"""),0)</f>
        <v>0</v>
      </c>
      <c r="I2719" s="8">
        <f ca="1">IFERROR(__xludf.DUMMYFUNCTION("""COMPUTED_VALUE"""),0)</f>
        <v>0</v>
      </c>
      <c r="J2719" s="8">
        <f ca="1">IFERROR(__xludf.DUMMYFUNCTION("""COMPUTED_VALUE"""),1)</f>
        <v>1</v>
      </c>
      <c r="K2719" s="8" t="str">
        <f ca="1">IFERROR(__xludf.DUMMYFUNCTION("""COMPUTED_VALUE"""),"http://www.fivehorizons.com/songs/aug99/jeremy_article.shtml  https://www.newspapers.com/image/389640995/?terms=Jeremy%2BWade%2Bdelle   https://www.newspapers.com/image/322789445/?terms=Jeremy%2BWade%2Bdelle    https://www.newspapers.com/image/325679993/?"&amp;"terms=Jeremy%2BWade%2Bdelle")</f>
        <v>http://www.fivehorizons.com/songs/aug99/jeremy_article.shtml  https://www.newspapers.com/image/389640995/?terms=Jeremy%2BWade%2Bdelle   https://www.newspapers.com/image/322789445/?terms=Jeremy%2BWade%2Bdelle    https://www.newspapers.com/image/325679993/?terms=Jeremy%2BWade%2Bdelle</v>
      </c>
      <c r="L2719" s="8"/>
      <c r="M2719" s="8"/>
      <c r="N2719" s="8">
        <f ca="1">IFERROR(__xludf.DUMMYFUNCTION("""COMPUTED_VALUE"""),3)</f>
        <v>3</v>
      </c>
      <c r="O2719" s="8" t="str">
        <f ca="1">IFERROR(__xludf.DUMMYFUNCTION("""COMPUTED_VALUE"""),"Winter")</f>
        <v>Winter</v>
      </c>
      <c r="P2719" s="8" t="str">
        <f ca="1">IFERROR(__xludf.DUMMYFUNCTION("""COMPUTED_VALUE"""),"Richardson")</f>
        <v>Richardson</v>
      </c>
      <c r="Q2719" s="8" t="str">
        <f ca="1">IFERROR(__xludf.DUMMYFUNCTION("""COMPUTED_VALUE"""),"TX")</f>
        <v>TX</v>
      </c>
      <c r="R2719" s="8" t="str">
        <f ca="1">IFERROR(__xludf.DUMMYFUNCTION("""COMPUTED_VALUE"""),"High")</f>
        <v>High</v>
      </c>
      <c r="S2719" s="8" t="str">
        <f ca="1">IFERROR(__xludf.DUMMYFUNCTION("""COMPUTED_VALUE"""),"Classroom")</f>
        <v>Classroom</v>
      </c>
      <c r="T2719" s="8" t="str">
        <f ca="1">IFERROR(__xludf.DUMMYFUNCTION("""COMPUTED_VALUE"""),"Inside School Building")</f>
        <v>Inside School Building</v>
      </c>
      <c r="U2719" s="8" t="str">
        <f ca="1">IFERROR(__xludf.DUMMYFUNCTION("""COMPUTED_VALUE"""),"Yes")</f>
        <v>Yes</v>
      </c>
      <c r="V2719" s="8" t="str">
        <f ca="1">IFERROR(__xludf.DUMMYFUNCTION("""COMPUTED_VALUE"""),"Morning Classes")</f>
        <v>Morning Classes</v>
      </c>
      <c r="W2719" s="11">
        <f ca="1">IFERROR(__xludf.DUMMYFUNCTION("""COMPUTED_VALUE"""),0.40625)</f>
        <v>0.40625</v>
      </c>
      <c r="X2719" s="8">
        <f ca="1">IFERROR(__xludf.DUMMYFUNCTION("""COMPUTED_VALUE"""),1)</f>
        <v>1</v>
      </c>
      <c r="Y2719" s="12" t="str">
        <f ca="1">IFERROR(__xludf.DUMMYFUNCTION("""COMPUTED_VALUE"""),"Student walked into class room, put .357 into mouth, and commit suicide")</f>
        <v>Student walked into class room, put .357 into mouth, and commit suicide</v>
      </c>
      <c r="Z2719" s="12" t="str">
        <f ca="1">IFERROR(__xludf.DUMMYFUNCTION("""COMPUTED_VALUE"""),"Student walked into class and shot himself in the head with a .357. Student was depressed, loaner, and had poor attendance. Gave suicide note to another student prior to the shooting. Inspire the song ""Jeremy"" by Pearl Jam. Some news reports state the w"&amp;"eapon was a .38 caliber. (last source cited).")</f>
        <v>Student walked into class and shot himself in the head with a .357. Student was depressed, loaner, and had poor attendance. Gave suicide note to another student prior to the shooting. Inspire the song "Jeremy" by Pearl Jam. Some news reports state the weapon was a .38 caliber. (last source cited).</v>
      </c>
      <c r="AA2719" s="8" t="str">
        <f ca="1">IFERROR(__xludf.DUMMYFUNCTION("""COMPUTED_VALUE"""),"Suicide/Attempted")</f>
        <v>Suicide/Attempted</v>
      </c>
      <c r="AB2719" s="8"/>
      <c r="AC2719" s="8"/>
      <c r="AD2719" s="8" t="str">
        <f ca="1">IFERROR(__xludf.DUMMYFUNCTION("""COMPUTED_VALUE"""),"Victims Targeted")</f>
        <v>Victims Targeted</v>
      </c>
      <c r="AE2719" s="8" t="str">
        <f ca="1">IFERROR(__xludf.DUMMYFUNCTION("""COMPUTED_VALUE"""),"No")</f>
        <v>No</v>
      </c>
      <c r="AF2719" s="8"/>
      <c r="AG2719" s="8" t="str">
        <f ca="1">IFERROR(__xludf.DUMMYFUNCTION("""COMPUTED_VALUE"""),"No")</f>
        <v>No</v>
      </c>
      <c r="AH2719" s="8" t="str">
        <f ca="1">IFERROR(__xludf.DUMMYFUNCTION("""COMPUTED_VALUE"""),"No")</f>
        <v>No</v>
      </c>
      <c r="AI2719" s="8" t="str">
        <f ca="1">IFERROR(__xludf.DUMMYFUNCTION("""COMPUTED_VALUE"""),"No")</f>
        <v>No</v>
      </c>
      <c r="AJ2719" s="8" t="str">
        <f ca="1">IFERROR(__xludf.DUMMYFUNCTION("""COMPUTED_VALUE"""),"No")</f>
        <v>No</v>
      </c>
      <c r="AK2719" s="8" t="str">
        <f ca="1">IFERROR(__xludf.DUMMYFUNCTION("""COMPUTED_VALUE"""),"No")</f>
        <v>No</v>
      </c>
      <c r="AL2719" s="8" t="str">
        <f ca="1">IFERROR(__xludf.DUMMYFUNCTION("""COMPUTED_VALUE"""),"No")</f>
        <v>No</v>
      </c>
      <c r="AM2719" s="8"/>
      <c r="AN2719" s="8"/>
      <c r="AO2719" s="8" t="str">
        <f ca="1">IFERROR(__xludf.DUMMYFUNCTION("""COMPUTED_VALUE"""),"No")</f>
        <v>No</v>
      </c>
      <c r="AP2719" s="8"/>
      <c r="AQ2719" s="8" t="str">
        <f ca="1">IFERROR(__xludf.DUMMYFUNCTION("""COMPUTED_VALUE"""),"Unknown")</f>
        <v>Unknown</v>
      </c>
      <c r="AR2719" s="8" t="str">
        <f ca="1">IFERROR(__xludf.DUMMYFUNCTION("""COMPUTED_VALUE"""),"NA")</f>
        <v>NA</v>
      </c>
      <c r="AS2719" s="8">
        <f ca="1">IFERROR(__xludf.DUMMYFUNCTION("""COMPUTED_VALUE"""),1)</f>
        <v>1</v>
      </c>
      <c r="AT2719" s="8"/>
      <c r="AU2719" s="8">
        <f ca="1">IFERROR(__xludf.DUMMYFUNCTION("""COMPUTED_VALUE"""),32.952984)</f>
        <v>32.952984000000001</v>
      </c>
      <c r="AV2719" s="8">
        <f ca="1">IFERROR(__xludf.DUMMYFUNCTION("""COMPUTED_VALUE"""),-96.762233)</f>
        <v>-96.762232999999995</v>
      </c>
      <c r="AW2719" s="8"/>
      <c r="AX2719" s="8">
        <f ca="1">IFERROR(__xludf.DUMMYFUNCTION("""COMPUTED_VALUE"""),75080)</f>
        <v>75080</v>
      </c>
    </row>
    <row r="2720" spans="1:50" ht="105" x14ac:dyDescent="0.2">
      <c r="A2720" s="8" t="str">
        <f ca="1">IFERROR(__xludf.DUMMYFUNCTION("""COMPUTED_VALUE"""),"19901213LASAS")</f>
        <v>19901213LASAS</v>
      </c>
      <c r="B2720" s="8">
        <f ca="1">IFERROR(__xludf.DUMMYFUNCTION("""COMPUTED_VALUE"""),12)</f>
        <v>12</v>
      </c>
      <c r="C2720" s="8">
        <f ca="1">IFERROR(__xludf.DUMMYFUNCTION("""COMPUTED_VALUE"""),13)</f>
        <v>13</v>
      </c>
      <c r="D2720" s="8">
        <f ca="1">IFERROR(__xludf.DUMMYFUNCTION("""COMPUTED_VALUE"""),1990)</f>
        <v>1990</v>
      </c>
      <c r="E2720" s="9">
        <f ca="1">IFERROR(__xludf.DUMMYFUNCTION("""COMPUTED_VALUE"""),33220)</f>
        <v>33220</v>
      </c>
      <c r="F2720" s="8" t="str">
        <f ca="1">IFERROR(__xludf.DUMMYFUNCTION("""COMPUTED_VALUE"""),"Salmen High School")</f>
        <v>Salmen High School</v>
      </c>
      <c r="G2720" s="8">
        <f ca="1">IFERROR(__xludf.DUMMYFUNCTION("""COMPUTED_VALUE"""),0)</f>
        <v>0</v>
      </c>
      <c r="H2720" s="8">
        <f ca="1">IFERROR(__xludf.DUMMYFUNCTION("""COMPUTED_VALUE"""),0)</f>
        <v>0</v>
      </c>
      <c r="I2720" s="8">
        <f ca="1">IFERROR(__xludf.DUMMYFUNCTION("""COMPUTED_VALUE"""),0)</f>
        <v>0</v>
      </c>
      <c r="J2720" s="8">
        <f ca="1">IFERROR(__xludf.DUMMYFUNCTION("""COMPUTED_VALUE"""),0)</f>
        <v>0</v>
      </c>
      <c r="K2720" s="8" t="str">
        <f ca="1">IFERROR(__xludf.DUMMYFUNCTION("""COMPUTED_VALUE"""),"New Orleans Times-Picayune - Drug Gangs Fire 50 Shots in Slidell School Shootout; https://www.columbine-angels.com/School_Violence_1990-1991.htm")</f>
        <v>New Orleans Times-Picayune - Drug Gangs Fire 50 Shots in Slidell School Shootout; https://www.columbine-angels.com/School_Violence_1990-1991.htm</v>
      </c>
      <c r="L2720" s="8"/>
      <c r="M2720" s="8"/>
      <c r="N2720" s="8">
        <f ca="1">IFERROR(__xludf.DUMMYFUNCTION("""COMPUTED_VALUE"""),1)</f>
        <v>1</v>
      </c>
      <c r="O2720" s="8" t="str">
        <f ca="1">IFERROR(__xludf.DUMMYFUNCTION("""COMPUTED_VALUE"""),"Winter")</f>
        <v>Winter</v>
      </c>
      <c r="P2720" s="8" t="str">
        <f ca="1">IFERROR(__xludf.DUMMYFUNCTION("""COMPUTED_VALUE"""),"Slidell")</f>
        <v>Slidell</v>
      </c>
      <c r="Q2720" s="8" t="str">
        <f ca="1">IFERROR(__xludf.DUMMYFUNCTION("""COMPUTED_VALUE"""),"LA")</f>
        <v>LA</v>
      </c>
      <c r="R2720" s="8" t="str">
        <f ca="1">IFERROR(__xludf.DUMMYFUNCTION("""COMPUTED_VALUE"""),"High")</f>
        <v>High</v>
      </c>
      <c r="S2720" s="8" t="str">
        <f ca="1">IFERROR(__xludf.DUMMYFUNCTION("""COMPUTED_VALUE"""),"Parking Lot")</f>
        <v>Parking Lot</v>
      </c>
      <c r="T2720" s="8" t="str">
        <f ca="1">IFERROR(__xludf.DUMMYFUNCTION("""COMPUTED_VALUE"""),"Outside on School Property")</f>
        <v>Outside on School Property</v>
      </c>
      <c r="U2720" s="8" t="str">
        <f ca="1">IFERROR(__xludf.DUMMYFUNCTION("""COMPUTED_VALUE"""),"No")</f>
        <v>No</v>
      </c>
      <c r="V2720" s="8" t="str">
        <f ca="1">IFERROR(__xludf.DUMMYFUNCTION("""COMPUTED_VALUE"""),"Sport Event")</f>
        <v>Sport Event</v>
      </c>
      <c r="W2720" s="11">
        <f ca="1">IFERROR(__xludf.DUMMYFUNCTION("""COMPUTED_VALUE"""),0.869444444444444)</f>
        <v>0.86944444444444402</v>
      </c>
      <c r="X2720" s="8">
        <f ca="1">IFERROR(__xludf.DUMMYFUNCTION("""COMPUTED_VALUE"""),1)</f>
        <v>1</v>
      </c>
      <c r="Y2720" s="12" t="str">
        <f ca="1">IFERROR(__xludf.DUMMYFUNCTION("""COMPUTED_VALUE"""),"50 rounds fired in school parking lot outside of basketball game by gang members over a drug debt, no injuries")</f>
        <v>50 rounds fired in school parking lot outside of basketball game by gang members over a drug debt, no injuries</v>
      </c>
      <c r="Z2720" s="12" t="str">
        <f ca="1">IFERROR(__xludf.DUMMYFUNCTION("""COMPUTED_VALUE"""),"Rival gang members fired 50 shots in the school parking lot over a dispute about a cocaine purchase. A basketball game was taking place in the school gym at the time of the shooting. 9 cars were damaged but no injuries occurred.")</f>
        <v>Rival gang members fired 50 shots in the school parking lot over a dispute about a cocaine purchase. A basketball game was taking place in the school gym at the time of the shooting. 9 cars were damaged but no injuries occurred.</v>
      </c>
      <c r="AA2720" s="8" t="str">
        <f ca="1">IFERROR(__xludf.DUMMYFUNCTION("""COMPUTED_VALUE"""),"Illegal Activity")</f>
        <v>Illegal Activity</v>
      </c>
      <c r="AB2720" s="8"/>
      <c r="AC2720" s="8"/>
      <c r="AD2720" s="8" t="str">
        <f ca="1">IFERROR(__xludf.DUMMYFUNCTION("""COMPUTED_VALUE"""),"Victims Targeted")</f>
        <v>Victims Targeted</v>
      </c>
      <c r="AE2720" s="8" t="str">
        <f ca="1">IFERROR(__xludf.DUMMYFUNCTION("""COMPUTED_VALUE"""),"No")</f>
        <v>No</v>
      </c>
      <c r="AF2720" s="8"/>
      <c r="AG2720" s="8" t="str">
        <f ca="1">IFERROR(__xludf.DUMMYFUNCTION("""COMPUTED_VALUE"""),"No")</f>
        <v>No</v>
      </c>
      <c r="AH2720" s="8" t="str">
        <f ca="1">IFERROR(__xludf.DUMMYFUNCTION("""COMPUTED_VALUE"""),"No")</f>
        <v>No</v>
      </c>
      <c r="AI2720" s="8" t="str">
        <f ca="1">IFERROR(__xludf.DUMMYFUNCTION("""COMPUTED_VALUE"""),"No")</f>
        <v>No</v>
      </c>
      <c r="AJ2720" s="8" t="str">
        <f ca="1">IFERROR(__xludf.DUMMYFUNCTION("""COMPUTED_VALUE"""),"No")</f>
        <v>No</v>
      </c>
      <c r="AK2720" s="8" t="str">
        <f ca="1">IFERROR(__xludf.DUMMYFUNCTION("""COMPUTED_VALUE"""),"No")</f>
        <v>No</v>
      </c>
      <c r="AL2720" s="8" t="str">
        <f ca="1">IFERROR(__xludf.DUMMYFUNCTION("""COMPUTED_VALUE"""),"Yes")</f>
        <v>Yes</v>
      </c>
      <c r="AM2720" s="8"/>
      <c r="AN2720" s="8"/>
      <c r="AO2720" s="8" t="str">
        <f ca="1">IFERROR(__xludf.DUMMYFUNCTION("""COMPUTED_VALUE"""),"No")</f>
        <v>No</v>
      </c>
      <c r="AP2720" s="8"/>
      <c r="AQ2720" s="8" t="str">
        <f ca="1">IFERROR(__xludf.DUMMYFUNCTION("""COMPUTED_VALUE"""),"Unknown")</f>
        <v>Unknown</v>
      </c>
      <c r="AR2720" s="8" t="str">
        <f ca="1">IFERROR(__xludf.DUMMYFUNCTION("""COMPUTED_VALUE"""),"NA")</f>
        <v>NA</v>
      </c>
      <c r="AS2720" s="8">
        <f ca="1">IFERROR(__xludf.DUMMYFUNCTION("""COMPUTED_VALUE"""),50)</f>
        <v>50</v>
      </c>
      <c r="AT2720" s="8"/>
      <c r="AU2720" s="8">
        <f ca="1">IFERROR(__xludf.DUMMYFUNCTION("""COMPUTED_VALUE"""),30.24779)</f>
        <v>30.247789999999998</v>
      </c>
      <c r="AV2720" s="8">
        <f ca="1">IFERROR(__xludf.DUMMYFUNCTION("""COMPUTED_VALUE"""),-89.790289)</f>
        <v>-89.790289000000001</v>
      </c>
      <c r="AW2720" s="8"/>
      <c r="AX2720" s="8">
        <f ca="1">IFERROR(__xludf.DUMMYFUNCTION("""COMPUTED_VALUE"""),70458)</f>
        <v>70458</v>
      </c>
    </row>
    <row r="2721" spans="1:50" ht="60" x14ac:dyDescent="0.2">
      <c r="A2721" s="8" t="str">
        <f ca="1">IFERROR(__xludf.DUMMYFUNCTION("""COMPUTED_VALUE"""),"19901110TXJUD")</f>
        <v>19901110TXJUD</v>
      </c>
      <c r="B2721" s="8">
        <f ca="1">IFERROR(__xludf.DUMMYFUNCTION("""COMPUTED_VALUE"""),11)</f>
        <v>11</v>
      </c>
      <c r="C2721" s="8">
        <f ca="1">IFERROR(__xludf.DUMMYFUNCTION("""COMPUTED_VALUE"""),10)</f>
        <v>10</v>
      </c>
      <c r="D2721" s="8">
        <f ca="1">IFERROR(__xludf.DUMMYFUNCTION("""COMPUTED_VALUE"""),1990)</f>
        <v>1990</v>
      </c>
      <c r="E2721" s="9">
        <f ca="1">IFERROR(__xludf.DUMMYFUNCTION("""COMPUTED_VALUE"""),33187)</f>
        <v>33187</v>
      </c>
      <c r="F2721" s="8" t="str">
        <f ca="1">IFERROR(__xludf.DUMMYFUNCTION("""COMPUTED_VALUE"""),"Justin Kimball High School")</f>
        <v>Justin Kimball High School</v>
      </c>
      <c r="G2721" s="8">
        <f ca="1">IFERROR(__xludf.DUMMYFUNCTION("""COMPUTED_VALUE"""),0)</f>
        <v>0</v>
      </c>
      <c r="H2721" s="8">
        <f ca="1">IFERROR(__xludf.DUMMYFUNCTION("""COMPUTED_VALUE"""),1)</f>
        <v>1</v>
      </c>
      <c r="I2721" s="8">
        <f ca="1">IFERROR(__xludf.DUMMYFUNCTION("""COMPUTED_VALUE"""),1)</f>
        <v>1</v>
      </c>
      <c r="J2721" s="8">
        <f ca="1">IFERROR(__xludf.DUMMYFUNCTION("""COMPUTED_VALUE"""),0)</f>
        <v>0</v>
      </c>
      <c r="K2721" s="10" t="str">
        <f ca="1">IFERROR(__xludf.DUMMYFUNCTION("""COMPUTED_VALUE"""),"https://www.newspapers.com/image/16849683/?terms=%22shot%20high%20school%20football%22&amp;match=1")</f>
        <v>https://www.newspapers.com/image/16849683/?terms=%22shot%20high%20school%20football%22&amp;match=1</v>
      </c>
      <c r="L2721" s="8">
        <f ca="1">IFERROR(__xludf.DUMMYFUNCTION("""COMPUTED_VALUE"""),1)</f>
        <v>1</v>
      </c>
      <c r="M2721" s="8" t="str">
        <f ca="1">IFERROR(__xludf.DUMMYFUNCTION("""COMPUTED_VALUE"""),"Regional")</f>
        <v>Regional</v>
      </c>
      <c r="N2721" s="8">
        <f ca="1">IFERROR(__xludf.DUMMYFUNCTION("""COMPUTED_VALUE"""),3)</f>
        <v>3</v>
      </c>
      <c r="O2721" s="8" t="str">
        <f ca="1">IFERROR(__xludf.DUMMYFUNCTION("""COMPUTED_VALUE"""),"Fall")</f>
        <v>Fall</v>
      </c>
      <c r="P2721" s="8" t="str">
        <f ca="1">IFERROR(__xludf.DUMMYFUNCTION("""COMPUTED_VALUE"""),"Dallas")</f>
        <v>Dallas</v>
      </c>
      <c r="Q2721" s="8" t="str">
        <f ca="1">IFERROR(__xludf.DUMMYFUNCTION("""COMPUTED_VALUE"""),"TX")</f>
        <v>TX</v>
      </c>
      <c r="R2721" s="8" t="str">
        <f ca="1">IFERROR(__xludf.DUMMYFUNCTION("""COMPUTED_VALUE"""),"High")</f>
        <v>High</v>
      </c>
      <c r="S2721" s="8" t="str">
        <f ca="1">IFERROR(__xludf.DUMMYFUNCTION("""COMPUTED_VALUE"""),"Football Field/Track")</f>
        <v>Football Field/Track</v>
      </c>
      <c r="T2721" s="8" t="str">
        <f ca="1">IFERROR(__xludf.DUMMYFUNCTION("""COMPUTED_VALUE"""),"Outside on School Property")</f>
        <v>Outside on School Property</v>
      </c>
      <c r="U2721" s="8" t="str">
        <f ca="1">IFERROR(__xludf.DUMMYFUNCTION("""COMPUTED_VALUE"""),"No")</f>
        <v>No</v>
      </c>
      <c r="V2721" s="8" t="str">
        <f ca="1">IFERROR(__xludf.DUMMYFUNCTION("""COMPUTED_VALUE"""),"Sport Event")</f>
        <v>Sport Event</v>
      </c>
      <c r="W2721" s="11">
        <f ca="1">IFERROR(__xludf.DUMMYFUNCTION("""COMPUTED_VALUE"""),0.861111111111111)</f>
        <v>0.86111111111111105</v>
      </c>
      <c r="X2721" s="8">
        <f ca="1">IFERROR(__xludf.DUMMYFUNCTION("""COMPUTED_VALUE"""),1)</f>
        <v>1</v>
      </c>
      <c r="Y2721" s="12" t="str">
        <f ca="1">IFERROR(__xludf.DUMMYFUNCTION("""COMPUTED_VALUE"""),"Teen shot in the neck in the stands during football game")</f>
        <v>Teen shot in the neck in the stands during football game</v>
      </c>
      <c r="Z2721" s="12" t="str">
        <f ca="1">IFERROR(__xludf.DUMMYFUNCTION("""COMPUTED_VALUE"""),"A 19-year-old male was shot in the stands during halftime of the football game. Police said an automatic weapon was fired. Shooting sparked panic in the stands. No other information available.")</f>
        <v>A 19-year-old male was shot in the stands during halftime of the football game. Police said an automatic weapon was fired. Shooting sparked panic in the stands. No other information available.</v>
      </c>
      <c r="AA2721" s="8" t="str">
        <f ca="1">IFERROR(__xludf.DUMMYFUNCTION("""COMPUTED_VALUE"""),"Unknown")</f>
        <v>Unknown</v>
      </c>
      <c r="AB2721" s="8"/>
      <c r="AC2721" s="8"/>
      <c r="AD2721" s="8" t="str">
        <f ca="1">IFERROR(__xludf.DUMMYFUNCTION("""COMPUTED_VALUE"""),"Both")</f>
        <v>Both</v>
      </c>
      <c r="AE2721" s="8" t="str">
        <f ca="1">IFERROR(__xludf.DUMMYFUNCTION("""COMPUTED_VALUE"""),"No")</f>
        <v>No</v>
      </c>
      <c r="AF2721" s="8"/>
      <c r="AG2721" s="8" t="str">
        <f ca="1">IFERROR(__xludf.DUMMYFUNCTION("""COMPUTED_VALUE"""),"No")</f>
        <v>No</v>
      </c>
      <c r="AH2721" s="8" t="str">
        <f ca="1">IFERROR(__xludf.DUMMYFUNCTION("""COMPUTED_VALUE"""),"No")</f>
        <v>No</v>
      </c>
      <c r="AI2721" s="8" t="str">
        <f ca="1">IFERROR(__xludf.DUMMYFUNCTION("""COMPUTED_VALUE"""),"No")</f>
        <v>No</v>
      </c>
      <c r="AJ2721" s="8" t="str">
        <f ca="1">IFERROR(__xludf.DUMMYFUNCTION("""COMPUTED_VALUE"""),"No")</f>
        <v>No</v>
      </c>
      <c r="AK2721" s="8" t="str">
        <f ca="1">IFERROR(__xludf.DUMMYFUNCTION("""COMPUTED_VALUE"""),"No")</f>
        <v>No</v>
      </c>
      <c r="AL2721" s="8"/>
      <c r="AM2721" s="8" t="str">
        <f ca="1">IFERROR(__xludf.DUMMYFUNCTION("""COMPUTED_VALUE"""),"No")</f>
        <v>No</v>
      </c>
      <c r="AN2721" s="8"/>
      <c r="AO2721" s="8" t="str">
        <f ca="1">IFERROR(__xludf.DUMMYFUNCTION("""COMPUTED_VALUE"""),"No")</f>
        <v>No</v>
      </c>
      <c r="AP2721" s="8"/>
      <c r="AQ2721" s="8"/>
      <c r="AR2721" s="8"/>
      <c r="AS2721" s="8"/>
      <c r="AT2721" s="8"/>
      <c r="AU2721" s="8">
        <f ca="1">IFERROR(__xludf.DUMMYFUNCTION("""COMPUTED_VALUE"""),32.698535)</f>
        <v>32.698535</v>
      </c>
      <c r="AV2721" s="8">
        <f ca="1">IFERROR(__xludf.DUMMYFUNCTION("""COMPUTED_VALUE"""),-96.876129)</f>
        <v>-96.876129000000006</v>
      </c>
      <c r="AW2721" s="8"/>
      <c r="AX2721" s="8">
        <f ca="1">IFERROR(__xludf.DUMMYFUNCTION("""COMPUTED_VALUE"""),75233)</f>
        <v>75233</v>
      </c>
    </row>
    <row r="2722" spans="1:50" ht="45" x14ac:dyDescent="0.2">
      <c r="A2722" s="8" t="str">
        <f ca="1">IFERROR(__xludf.DUMMYFUNCTION("""COMPUTED_VALUE"""),"19901030TXNAG")</f>
        <v>19901030TXNAG</v>
      </c>
      <c r="B2722" s="8">
        <f ca="1">IFERROR(__xludf.DUMMYFUNCTION("""COMPUTED_VALUE"""),10)</f>
        <v>10</v>
      </c>
      <c r="C2722" s="8">
        <f ca="1">IFERROR(__xludf.DUMMYFUNCTION("""COMPUTED_VALUE"""),30)</f>
        <v>30</v>
      </c>
      <c r="D2722" s="8">
        <f ca="1">IFERROR(__xludf.DUMMYFUNCTION("""COMPUTED_VALUE"""),1990)</f>
        <v>1990</v>
      </c>
      <c r="E2722" s="9">
        <f ca="1">IFERROR(__xludf.DUMMYFUNCTION("""COMPUTED_VALUE"""),33176)</f>
        <v>33176</v>
      </c>
      <c r="F2722" s="8" t="str">
        <f ca="1">IFERROR(__xludf.DUMMYFUNCTION("""COMPUTED_VALUE"""),"Naaman Forest High School")</f>
        <v>Naaman Forest High School</v>
      </c>
      <c r="G2722" s="8">
        <f ca="1">IFERROR(__xludf.DUMMYFUNCTION("""COMPUTED_VALUE"""),0)</f>
        <v>0</v>
      </c>
      <c r="H2722" s="8">
        <f ca="1">IFERROR(__xludf.DUMMYFUNCTION("""COMPUTED_VALUE"""),1)</f>
        <v>1</v>
      </c>
      <c r="I2722" s="8">
        <f ca="1">IFERROR(__xludf.DUMMYFUNCTION("""COMPUTED_VALUE"""),1)</f>
        <v>1</v>
      </c>
      <c r="J2722" s="8">
        <f ca="1">IFERROR(__xludf.DUMMYFUNCTION("""COMPUTED_VALUE"""),0)</f>
        <v>0</v>
      </c>
      <c r="K2722" s="10" t="str">
        <f ca="1">IFERROR(__xludf.DUMMYFUNCTION("""COMPUTED_VALUE"""),"https://www.newspapers.com/image/300370142/?terms=Naaman%2BForest%2BHigh%2BSchool")</f>
        <v>https://www.newspapers.com/image/300370142/?terms=Naaman%2BForest%2BHigh%2BSchool</v>
      </c>
      <c r="L2722" s="8"/>
      <c r="M2722" s="8"/>
      <c r="N2722" s="8">
        <f ca="1">IFERROR(__xludf.DUMMYFUNCTION("""COMPUTED_VALUE"""),2)</f>
        <v>2</v>
      </c>
      <c r="O2722" s="8" t="str">
        <f ca="1">IFERROR(__xludf.DUMMYFUNCTION("""COMPUTED_VALUE"""),"Fall")</f>
        <v>Fall</v>
      </c>
      <c r="P2722" s="8" t="str">
        <f ca="1">IFERROR(__xludf.DUMMYFUNCTION("""COMPUTED_VALUE"""),"Garland")</f>
        <v>Garland</v>
      </c>
      <c r="Q2722" s="8" t="str">
        <f ca="1">IFERROR(__xludf.DUMMYFUNCTION("""COMPUTED_VALUE"""),"TX")</f>
        <v>TX</v>
      </c>
      <c r="R2722" s="8" t="str">
        <f ca="1">IFERROR(__xludf.DUMMYFUNCTION("""COMPUTED_VALUE"""),"High")</f>
        <v>High</v>
      </c>
      <c r="S2722" s="8" t="str">
        <f ca="1">IFERROR(__xludf.DUMMYFUNCTION("""COMPUTED_VALUE"""),"Office")</f>
        <v>Office</v>
      </c>
      <c r="T2722" s="8" t="str">
        <f ca="1">IFERROR(__xludf.DUMMYFUNCTION("""COMPUTED_VALUE"""),"Inside School Building")</f>
        <v>Inside School Building</v>
      </c>
      <c r="U2722" s="8" t="str">
        <f ca="1">IFERROR(__xludf.DUMMYFUNCTION("""COMPUTED_VALUE"""),"No")</f>
        <v>No</v>
      </c>
      <c r="V2722" s="8" t="str">
        <f ca="1">IFERROR(__xludf.DUMMYFUNCTION("""COMPUTED_VALUE"""),"Morning Classes")</f>
        <v>Morning Classes</v>
      </c>
      <c r="W2722" s="8"/>
      <c r="X2722" s="8">
        <f ca="1">IFERROR(__xludf.DUMMYFUNCTION("""COMPUTED_VALUE"""),1)</f>
        <v>1</v>
      </c>
      <c r="Y2722" s="12" t="str">
        <f ca="1">IFERROR(__xludf.DUMMYFUNCTION("""COMPUTED_VALUE"""),"Mother of student shot principal for suspending son")</f>
        <v>Mother of student shot principal for suspending son</v>
      </c>
      <c r="Z2722" s="12" t="str">
        <f ca="1">IFERROR(__xludf.DUMMYFUNCTION("""COMPUTED_VALUE"""),"Shooter (parent of student) shot principal during an argument about the suspension of her son. Shooter claimed the principal had made a racial slur to her.")</f>
        <v>Shooter (parent of student) shot principal during an argument about the suspension of her son. Shooter claimed the principal had made a racial slur to her.</v>
      </c>
      <c r="AA2722" s="8" t="str">
        <f ca="1">IFERROR(__xludf.DUMMYFUNCTION("""COMPUTED_VALUE"""),"Anger Over Grade/Suspension/Discipline")</f>
        <v>Anger Over Grade/Suspension/Discipline</v>
      </c>
      <c r="AB2722" s="8"/>
      <c r="AC2722" s="8"/>
      <c r="AD2722" s="8" t="str">
        <f ca="1">IFERROR(__xludf.DUMMYFUNCTION("""COMPUTED_VALUE"""),"Victims Targeted")</f>
        <v>Victims Targeted</v>
      </c>
      <c r="AE2722" s="8" t="str">
        <f ca="1">IFERROR(__xludf.DUMMYFUNCTION("""COMPUTED_VALUE"""),"No")</f>
        <v>No</v>
      </c>
      <c r="AF2722" s="8"/>
      <c r="AG2722" s="8" t="str">
        <f ca="1">IFERROR(__xludf.DUMMYFUNCTION("""COMPUTED_VALUE"""),"No")</f>
        <v>No</v>
      </c>
      <c r="AH2722" s="8" t="str">
        <f ca="1">IFERROR(__xludf.DUMMYFUNCTION("""COMPUTED_VALUE"""),"No")</f>
        <v>No</v>
      </c>
      <c r="AI2722" s="8" t="str">
        <f ca="1">IFERROR(__xludf.DUMMYFUNCTION("""COMPUTED_VALUE"""),"No")</f>
        <v>No</v>
      </c>
      <c r="AJ2722" s="8" t="str">
        <f ca="1">IFERROR(__xludf.DUMMYFUNCTION("""COMPUTED_VALUE"""),"No")</f>
        <v>No</v>
      </c>
      <c r="AK2722" s="8" t="str">
        <f ca="1">IFERROR(__xludf.DUMMYFUNCTION("""COMPUTED_VALUE"""),"No")</f>
        <v>No</v>
      </c>
      <c r="AL2722" s="8" t="str">
        <f ca="1">IFERROR(__xludf.DUMMYFUNCTION("""COMPUTED_VALUE"""),"No")</f>
        <v>No</v>
      </c>
      <c r="AM2722" s="8"/>
      <c r="AN2722" s="8"/>
      <c r="AO2722" s="8" t="str">
        <f ca="1">IFERROR(__xludf.DUMMYFUNCTION("""COMPUTED_VALUE"""),"No")</f>
        <v>No</v>
      </c>
      <c r="AP2722" s="8"/>
      <c r="AQ2722" s="8" t="str">
        <f ca="1">IFERROR(__xludf.DUMMYFUNCTION("""COMPUTED_VALUE"""),"Unknown")</f>
        <v>Unknown</v>
      </c>
      <c r="AR2722" s="8" t="str">
        <f ca="1">IFERROR(__xludf.DUMMYFUNCTION("""COMPUTED_VALUE"""),"NA")</f>
        <v>NA</v>
      </c>
      <c r="AS2722" s="8">
        <f ca="1">IFERROR(__xludf.DUMMYFUNCTION("""COMPUTED_VALUE"""),2)</f>
        <v>2</v>
      </c>
      <c r="AT2722" s="8"/>
      <c r="AU2722" s="8">
        <f ca="1">IFERROR(__xludf.DUMMYFUNCTION("""COMPUTED_VALUE"""),32.957779)</f>
        <v>32.957779000000002</v>
      </c>
      <c r="AV2722" s="8">
        <f ca="1">IFERROR(__xludf.DUMMYFUNCTION("""COMPUTED_VALUE"""),-96.637652)</f>
        <v>-96.637652000000003</v>
      </c>
      <c r="AW2722" s="8"/>
      <c r="AX2722" s="8">
        <f ca="1">IFERROR(__xludf.DUMMYFUNCTION("""COMPUTED_VALUE"""),75040)</f>
        <v>75040</v>
      </c>
    </row>
    <row r="2723" spans="1:50" ht="105" x14ac:dyDescent="0.2">
      <c r="A2723" s="8" t="str">
        <f ca="1">IFERROR(__xludf.DUMMYFUNCTION("""COMPUTED_VALUE"""),"19901029INCHC")</f>
        <v>19901029INCHC</v>
      </c>
      <c r="B2723" s="8">
        <f ca="1">IFERROR(__xludf.DUMMYFUNCTION("""COMPUTED_VALUE"""),10)</f>
        <v>10</v>
      </c>
      <c r="C2723" s="8">
        <f ca="1">IFERROR(__xludf.DUMMYFUNCTION("""COMPUTED_VALUE"""),29)</f>
        <v>29</v>
      </c>
      <c r="D2723" s="8">
        <f ca="1">IFERROR(__xludf.DUMMYFUNCTION("""COMPUTED_VALUE"""),1990)</f>
        <v>1990</v>
      </c>
      <c r="E2723" s="9">
        <f ca="1">IFERROR(__xludf.DUMMYFUNCTION("""COMPUTED_VALUE"""),33175)</f>
        <v>33175</v>
      </c>
      <c r="F2723" s="8" t="str">
        <f ca="1">IFERROR(__xludf.DUMMYFUNCTION("""COMPUTED_VALUE"""),"Charlestown High School")</f>
        <v>Charlestown High School</v>
      </c>
      <c r="G2723" s="8">
        <f ca="1">IFERROR(__xludf.DUMMYFUNCTION("""COMPUTED_VALUE"""),0)</f>
        <v>0</v>
      </c>
      <c r="H2723" s="8">
        <f ca="1">IFERROR(__xludf.DUMMYFUNCTION("""COMPUTED_VALUE"""),0)</f>
        <v>0</v>
      </c>
      <c r="I2723" s="8">
        <f ca="1">IFERROR(__xludf.DUMMYFUNCTION("""COMPUTED_VALUE"""),0)</f>
        <v>0</v>
      </c>
      <c r="J2723" s="8">
        <f ca="1">IFERROR(__xludf.DUMMYFUNCTION("""COMPUTED_VALUE"""),0)</f>
        <v>0</v>
      </c>
      <c r="K2723" s="10" t="str">
        <f ca="1">IFERROR(__xludf.DUMMYFUNCTION("""COMPUTED_VALUE"""),"https://www.upi.com/Archives/1990/10/29/Teenager-holds-hostages-at-high-school-for-more-than-8-hours/6921657176400/")</f>
        <v>https://www.upi.com/Archives/1990/10/29/Teenager-holds-hostages-at-high-school-for-more-than-8-hours/6921657176400/</v>
      </c>
      <c r="L2723" s="8"/>
      <c r="M2723" s="8" t="str">
        <f ca="1">IFERROR(__xludf.DUMMYFUNCTION("""COMPUTED_VALUE"""),"Local")</f>
        <v>Local</v>
      </c>
      <c r="N2723" s="8">
        <f ca="1">IFERROR(__xludf.DUMMYFUNCTION("""COMPUTED_VALUE"""),2)</f>
        <v>2</v>
      </c>
      <c r="O2723" s="8" t="str">
        <f ca="1">IFERROR(__xludf.DUMMYFUNCTION("""COMPUTED_VALUE"""),"Fall")</f>
        <v>Fall</v>
      </c>
      <c r="P2723" s="8" t="str">
        <f ca="1">IFERROR(__xludf.DUMMYFUNCTION("""COMPUTED_VALUE"""),"Charlestown")</f>
        <v>Charlestown</v>
      </c>
      <c r="Q2723" s="8" t="str">
        <f ca="1">IFERROR(__xludf.DUMMYFUNCTION("""COMPUTED_VALUE"""),"IN")</f>
        <v>IN</v>
      </c>
      <c r="R2723" s="8" t="str">
        <f ca="1">IFERROR(__xludf.DUMMYFUNCTION("""COMPUTED_VALUE"""),"High")</f>
        <v>High</v>
      </c>
      <c r="S2723" s="8" t="str">
        <f ca="1">IFERROR(__xludf.DUMMYFUNCTION("""COMPUTED_VALUE"""),"Classroom")</f>
        <v>Classroom</v>
      </c>
      <c r="T2723" s="8" t="str">
        <f ca="1">IFERROR(__xludf.DUMMYFUNCTION("""COMPUTED_VALUE"""),"Inside School Building")</f>
        <v>Inside School Building</v>
      </c>
      <c r="U2723" s="8" t="str">
        <f ca="1">IFERROR(__xludf.DUMMYFUNCTION("""COMPUTED_VALUE"""),"Yes")</f>
        <v>Yes</v>
      </c>
      <c r="V2723" s="8" t="str">
        <f ca="1">IFERROR(__xludf.DUMMYFUNCTION("""COMPUTED_VALUE"""),"Morning Classes")</f>
        <v>Morning Classes</v>
      </c>
      <c r="W2723" s="11">
        <f ca="1">IFERROR(__xludf.DUMMYFUNCTION("""COMPUTED_VALUE"""),0.465277777777777)</f>
        <v>0.46527777777777701</v>
      </c>
      <c r="X2723" s="8">
        <f ca="1">IFERROR(__xludf.DUMMYFUNCTION("""COMPUTED_VALUE"""),500)</f>
        <v>500</v>
      </c>
      <c r="Y2723" s="12" t="str">
        <f ca="1">IFERROR(__xludf.DUMMYFUNCTION("""COMPUTED_VALUE"""),"Armed student took teacher and 15 students hostage in classroom for 8 hours")</f>
        <v>Armed student took teacher and 15 students hostage in classroom for 8 hours</v>
      </c>
      <c r="Z2723" s="12" t="str">
        <f ca="1">IFERROR(__xludf.DUMMYFUNCTION("""COMPUTED_VALUE"""),"Good student and well liked. Suspended twice just prior to the shooting for breaking a window and pulling a fire alarm during pranks. Held 15 students and a teach hostage for 8 hours in a classroom. Said that he was upset about the suspension while holdin"&amp;"g students hostage. Other students were in disbelief that it was him and told police he would not hurt anyone. Father is a police officer.")</f>
        <v>Good student and well liked. Suspended twice just prior to the shooting for breaking a window and pulling a fire alarm during pranks. Held 15 students and a teach hostage for 8 hours in a classroom. Said that he was upset about the suspension while holding students hostage. Other students were in disbelief that it was him and told police he would not hurt anyone. Father is a police officer.</v>
      </c>
      <c r="AA2723" s="8" t="str">
        <f ca="1">IFERROR(__xludf.DUMMYFUNCTION("""COMPUTED_VALUE"""),"Hostage/Standoff")</f>
        <v>Hostage/Standoff</v>
      </c>
      <c r="AB2723" s="8"/>
      <c r="AC2723" s="8"/>
      <c r="AD2723" s="8" t="str">
        <f ca="1">IFERROR(__xludf.DUMMYFUNCTION("""COMPUTED_VALUE"""),"Neither")</f>
        <v>Neither</v>
      </c>
      <c r="AE2723" s="8" t="str">
        <f ca="1">IFERROR(__xludf.DUMMYFUNCTION("""COMPUTED_VALUE"""),"No")</f>
        <v>No</v>
      </c>
      <c r="AF2723" s="8"/>
      <c r="AG2723" s="8" t="str">
        <f ca="1">IFERROR(__xludf.DUMMYFUNCTION("""COMPUTED_VALUE"""),"Yes")</f>
        <v>Yes</v>
      </c>
      <c r="AH2723" s="8" t="str">
        <f ca="1">IFERROR(__xludf.DUMMYFUNCTION("""COMPUTED_VALUE"""),"Yes")</f>
        <v>Yes</v>
      </c>
      <c r="AI2723" s="8" t="str">
        <f ca="1">IFERROR(__xludf.DUMMYFUNCTION("""COMPUTED_VALUE"""),"No")</f>
        <v>No</v>
      </c>
      <c r="AJ2723" s="8" t="str">
        <f ca="1">IFERROR(__xludf.DUMMYFUNCTION("""COMPUTED_VALUE"""),"No")</f>
        <v>No</v>
      </c>
      <c r="AK2723" s="8" t="str">
        <f ca="1">IFERROR(__xludf.DUMMYFUNCTION("""COMPUTED_VALUE"""),"No")</f>
        <v>No</v>
      </c>
      <c r="AL2723" s="8" t="str">
        <f ca="1">IFERROR(__xludf.DUMMYFUNCTION("""COMPUTED_VALUE"""),"No")</f>
        <v>No</v>
      </c>
      <c r="AM2723" s="8" t="str">
        <f ca="1">IFERROR(__xludf.DUMMYFUNCTION("""COMPUTED_VALUE"""),"Yes")</f>
        <v>Yes</v>
      </c>
      <c r="AN2723" s="8" t="str">
        <f ca="1">IFERROR(__xludf.DUMMYFUNCTION("""COMPUTED_VALUE"""),"Single Room")</f>
        <v>Single Room</v>
      </c>
      <c r="AO2723" s="8" t="str">
        <f ca="1">IFERROR(__xludf.DUMMYFUNCTION("""COMPUTED_VALUE"""),"No")</f>
        <v>No</v>
      </c>
      <c r="AP2723" s="8" t="str">
        <f ca="1">IFERROR(__xludf.DUMMYFUNCTION("""COMPUTED_VALUE"""),"No")</f>
        <v>No</v>
      </c>
      <c r="AQ2723" s="8" t="str">
        <f ca="1">IFERROR(__xludf.DUMMYFUNCTION("""COMPUTED_VALUE"""),"Unknown")</f>
        <v>Unknown</v>
      </c>
      <c r="AR2723" s="8" t="str">
        <f ca="1">IFERROR(__xludf.DUMMYFUNCTION("""COMPUTED_VALUE"""),"NA")</f>
        <v>NA</v>
      </c>
      <c r="AS2723" s="8">
        <f ca="1">IFERROR(__xludf.DUMMYFUNCTION("""COMPUTED_VALUE"""),0)</f>
        <v>0</v>
      </c>
      <c r="AT2723" s="8"/>
      <c r="AU2723" s="8">
        <f ca="1">IFERROR(__xludf.DUMMYFUNCTION("""COMPUTED_VALUE"""),38.455413)</f>
        <v>38.455413</v>
      </c>
      <c r="AV2723" s="8">
        <f ca="1">IFERROR(__xludf.DUMMYFUNCTION("""COMPUTED_VALUE"""),-85.66775)</f>
        <v>-85.667749999999998</v>
      </c>
      <c r="AW2723" s="8"/>
      <c r="AX2723" s="8">
        <f ca="1">IFERROR(__xludf.DUMMYFUNCTION("""COMPUTED_VALUE"""),47111)</f>
        <v>47111</v>
      </c>
    </row>
    <row r="2724" spans="1:50" ht="60" x14ac:dyDescent="0.2">
      <c r="A2724" s="8" t="str">
        <f ca="1">IFERROR(__xludf.DUMMYFUNCTION("""COMPUTED_VALUE"""),"19901002TXWHD")</f>
        <v>19901002TXWHD</v>
      </c>
      <c r="B2724" s="8">
        <f ca="1">IFERROR(__xludf.DUMMYFUNCTION("""COMPUTED_VALUE"""),10)</f>
        <v>10</v>
      </c>
      <c r="C2724" s="8">
        <f ca="1">IFERROR(__xludf.DUMMYFUNCTION("""COMPUTED_VALUE"""),2)</f>
        <v>2</v>
      </c>
      <c r="D2724" s="8">
        <f ca="1">IFERROR(__xludf.DUMMYFUNCTION("""COMPUTED_VALUE"""),1990)</f>
        <v>1990</v>
      </c>
      <c r="E2724" s="9">
        <f ca="1">IFERROR(__xludf.DUMMYFUNCTION("""COMPUTED_VALUE"""),33148)</f>
        <v>33148</v>
      </c>
      <c r="F2724" s="8" t="str">
        <f ca="1">IFERROR(__xludf.DUMMYFUNCTION("""COMPUTED_VALUE"""),"W H Adamson High School")</f>
        <v>W H Adamson High School</v>
      </c>
      <c r="G2724" s="8">
        <f ca="1">IFERROR(__xludf.DUMMYFUNCTION("""COMPUTED_VALUE"""),0)</f>
        <v>0</v>
      </c>
      <c r="H2724" s="8">
        <f ca="1">IFERROR(__xludf.DUMMYFUNCTION("""COMPUTED_VALUE"""),1)</f>
        <v>1</v>
      </c>
      <c r="I2724" s="8">
        <f ca="1">IFERROR(__xludf.DUMMYFUNCTION("""COMPUTED_VALUE"""),1)</f>
        <v>1</v>
      </c>
      <c r="J2724" s="8">
        <f ca="1">IFERROR(__xludf.DUMMYFUNCTION("""COMPUTED_VALUE"""),0)</f>
        <v>0</v>
      </c>
      <c r="K2724" s="10" t="str">
        <f ca="1">IFERROR(__xludf.DUMMYFUNCTION("""COMPUTED_VALUE"""),"https://www.columbine-angels.com/School_Violence_1990-1991.htm")</f>
        <v>https://www.columbine-angels.com/School_Violence_1990-1991.htm</v>
      </c>
      <c r="L2724" s="8"/>
      <c r="M2724" s="8"/>
      <c r="N2724" s="8">
        <f ca="1">IFERROR(__xludf.DUMMYFUNCTION("""COMPUTED_VALUE"""),1)</f>
        <v>1</v>
      </c>
      <c r="O2724" s="8" t="str">
        <f ca="1">IFERROR(__xludf.DUMMYFUNCTION("""COMPUTED_VALUE"""),"Fall")</f>
        <v>Fall</v>
      </c>
      <c r="P2724" s="8" t="str">
        <f ca="1">IFERROR(__xludf.DUMMYFUNCTION("""COMPUTED_VALUE"""),"Dallas")</f>
        <v>Dallas</v>
      </c>
      <c r="Q2724" s="8" t="str">
        <f ca="1">IFERROR(__xludf.DUMMYFUNCTION("""COMPUTED_VALUE"""),"TX")</f>
        <v>TX</v>
      </c>
      <c r="R2724" s="8" t="str">
        <f ca="1">IFERROR(__xludf.DUMMYFUNCTION("""COMPUTED_VALUE"""),"High")</f>
        <v>High</v>
      </c>
      <c r="S2724" s="8" t="str">
        <f ca="1">IFERROR(__xludf.DUMMYFUNCTION("""COMPUTED_VALUE"""),"Parking Lot")</f>
        <v>Parking Lot</v>
      </c>
      <c r="T2724" s="8" t="str">
        <f ca="1">IFERROR(__xludf.DUMMYFUNCTION("""COMPUTED_VALUE"""),"Outside on School Property")</f>
        <v>Outside on School Property</v>
      </c>
      <c r="U2724" s="8" t="str">
        <f ca="1">IFERROR(__xludf.DUMMYFUNCTION("""COMPUTED_VALUE"""),"No")</f>
        <v>No</v>
      </c>
      <c r="V2724" s="8" t="str">
        <f ca="1">IFERROR(__xludf.DUMMYFUNCTION("""COMPUTED_VALUE"""),"After School")</f>
        <v>After School</v>
      </c>
      <c r="W2724" s="11">
        <f ca="1">IFERROR(__xludf.DUMMYFUNCTION("""COMPUTED_VALUE"""),0.701388888888888)</f>
        <v>0.70138888888888795</v>
      </c>
      <c r="X2724" s="8">
        <f ca="1">IFERROR(__xludf.DUMMYFUNCTION("""COMPUTED_VALUE"""),1)</f>
        <v>1</v>
      </c>
      <c r="Y2724" s="12" t="str">
        <f ca="1">IFERROR(__xludf.DUMMYFUNCTION("""COMPUTED_VALUE"""),"Drive-by in school parking lot, vehicle had covered license plate")</f>
        <v>Drive-by in school parking lot, vehicle had covered license plate</v>
      </c>
      <c r="Z2724" s="12" t="str">
        <f ca="1">IFERROR(__xludf.DUMMYFUNCTION("""COMPUTED_VALUE"""),"Two women in a car drove up to a group of students and opened fire outside of the school. The injured student did not know the shooters.")</f>
        <v>Two women in a car drove up to a group of students and opened fire outside of the school. The injured student did not know the shooters.</v>
      </c>
      <c r="AA2724" s="8" t="str">
        <f ca="1">IFERROR(__xludf.DUMMYFUNCTION("""COMPUTED_VALUE"""),"Drive-by Shooting")</f>
        <v>Drive-by Shooting</v>
      </c>
      <c r="AB2724" s="8"/>
      <c r="AC2724" s="8"/>
      <c r="AD2724" s="8" t="str">
        <f ca="1">IFERROR(__xludf.DUMMYFUNCTION("""COMPUTED_VALUE"""),"Random Shooting")</f>
        <v>Random Shooting</v>
      </c>
      <c r="AE2724" s="8" t="str">
        <f ca="1">IFERROR(__xludf.DUMMYFUNCTION("""COMPUTED_VALUE"""),"Yes")</f>
        <v>Yes</v>
      </c>
      <c r="AF2724" s="8" t="str">
        <f ca="1">IFERROR(__xludf.DUMMYFUNCTION("""COMPUTED_VALUE"""),"Two women in car")</f>
        <v>Two women in car</v>
      </c>
      <c r="AG2724" s="8" t="str">
        <f ca="1">IFERROR(__xludf.DUMMYFUNCTION("""COMPUTED_VALUE"""),"No")</f>
        <v>No</v>
      </c>
      <c r="AH2724" s="8" t="str">
        <f ca="1">IFERROR(__xludf.DUMMYFUNCTION("""COMPUTED_VALUE"""),"No")</f>
        <v>No</v>
      </c>
      <c r="AI2724" s="8" t="str">
        <f ca="1">IFERROR(__xludf.DUMMYFUNCTION("""COMPUTED_VALUE"""),"No")</f>
        <v>No</v>
      </c>
      <c r="AJ2724" s="8" t="str">
        <f ca="1">IFERROR(__xludf.DUMMYFUNCTION("""COMPUTED_VALUE"""),"No")</f>
        <v>No</v>
      </c>
      <c r="AK2724" s="8" t="str">
        <f ca="1">IFERROR(__xludf.DUMMYFUNCTION("""COMPUTED_VALUE"""),"No")</f>
        <v>No</v>
      </c>
      <c r="AL2724" s="8"/>
      <c r="AM2724" s="8"/>
      <c r="AN2724" s="8"/>
      <c r="AO2724" s="8" t="str">
        <f ca="1">IFERROR(__xludf.DUMMYFUNCTION("""COMPUTED_VALUE"""),"No")</f>
        <v>No</v>
      </c>
      <c r="AP2724" s="8"/>
      <c r="AQ2724" s="8" t="str">
        <f ca="1">IFERROR(__xludf.DUMMYFUNCTION("""COMPUTED_VALUE"""),"Unknown")</f>
        <v>Unknown</v>
      </c>
      <c r="AR2724" s="8" t="str">
        <f ca="1">IFERROR(__xludf.DUMMYFUNCTION("""COMPUTED_VALUE"""),"NA")</f>
        <v>NA</v>
      </c>
      <c r="AS2724" s="8" t="str">
        <f ca="1">IFERROR(__xludf.DUMMYFUNCTION("""COMPUTED_VALUE"""),"&lt;10")</f>
        <v>&lt;10</v>
      </c>
      <c r="AT2724" s="8"/>
      <c r="AU2724" s="8">
        <f ca="1">IFERROR(__xludf.DUMMYFUNCTION("""COMPUTED_VALUE"""),32.748277)</f>
        <v>32.748277000000002</v>
      </c>
      <c r="AV2724" s="8">
        <f ca="1">IFERROR(__xludf.DUMMYFUNCTION("""COMPUTED_VALUE"""),-96.820542)</f>
        <v>-96.820542000000003</v>
      </c>
      <c r="AW2724" s="8"/>
      <c r="AX2724" s="8">
        <f ca="1">IFERROR(__xludf.DUMMYFUNCTION("""COMPUTED_VALUE"""),75203)</f>
        <v>75203</v>
      </c>
    </row>
    <row r="2725" spans="1:50" ht="75" x14ac:dyDescent="0.2">
      <c r="A2725" s="8" t="str">
        <f ca="1">IFERROR(__xludf.DUMMYFUNCTION("""COMPUTED_VALUE"""),"19900922ALLEB")</f>
        <v>19900922ALLEB</v>
      </c>
      <c r="B2725" s="8">
        <f ca="1">IFERROR(__xludf.DUMMYFUNCTION("""COMPUTED_VALUE"""),9)</f>
        <v>9</v>
      </c>
      <c r="C2725" s="8">
        <f ca="1">IFERROR(__xludf.DUMMYFUNCTION("""COMPUTED_VALUE"""),22)</f>
        <v>22</v>
      </c>
      <c r="D2725" s="8">
        <f ca="1">IFERROR(__xludf.DUMMYFUNCTION("""COMPUTED_VALUE"""),1990)</f>
        <v>1990</v>
      </c>
      <c r="E2725" s="9">
        <f ca="1">IFERROR(__xludf.DUMMYFUNCTION("""COMPUTED_VALUE"""),33138)</f>
        <v>33138</v>
      </c>
      <c r="F2725" s="8" t="str">
        <f ca="1">IFERROR(__xludf.DUMMYFUNCTION("""COMPUTED_VALUE"""),"Legion Field Statium (high school game)")</f>
        <v>Legion Field Statium (high school game)</v>
      </c>
      <c r="G2725" s="8">
        <f ca="1">IFERROR(__xludf.DUMMYFUNCTION("""COMPUTED_VALUE"""),0)</f>
        <v>0</v>
      </c>
      <c r="H2725" s="8">
        <f ca="1">IFERROR(__xludf.DUMMYFUNCTION("""COMPUTED_VALUE"""),2)</f>
        <v>2</v>
      </c>
      <c r="I2725" s="8">
        <f ca="1">IFERROR(__xludf.DUMMYFUNCTION("""COMPUTED_VALUE"""),2)</f>
        <v>2</v>
      </c>
      <c r="J2725" s="8">
        <f ca="1">IFERROR(__xludf.DUMMYFUNCTION("""COMPUTED_VALUE"""),0)</f>
        <v>0</v>
      </c>
      <c r="K2725" s="10" t="str">
        <f ca="1">IFERROR(__xludf.DUMMYFUNCTION("""COMPUTED_VALUE"""),"https://www.newspapers.com/image/106533912/?terms=shot%2Bat%2Bfootball%2Bgame")</f>
        <v>https://www.newspapers.com/image/106533912/?terms=shot%2Bat%2Bfootball%2Bgame</v>
      </c>
      <c r="L2725" s="8"/>
      <c r="M2725" s="8"/>
      <c r="N2725" s="8">
        <f ca="1">IFERROR(__xludf.DUMMYFUNCTION("""COMPUTED_VALUE"""),3)</f>
        <v>3</v>
      </c>
      <c r="O2725" s="8" t="str">
        <f ca="1">IFERROR(__xludf.DUMMYFUNCTION("""COMPUTED_VALUE"""),"Fall")</f>
        <v>Fall</v>
      </c>
      <c r="P2725" s="8" t="str">
        <f ca="1">IFERROR(__xludf.DUMMYFUNCTION("""COMPUTED_VALUE"""),"Birmingham")</f>
        <v>Birmingham</v>
      </c>
      <c r="Q2725" s="8" t="str">
        <f ca="1">IFERROR(__xludf.DUMMYFUNCTION("""COMPUTED_VALUE"""),"AL")</f>
        <v>AL</v>
      </c>
      <c r="R2725" s="8" t="str">
        <f ca="1">IFERROR(__xludf.DUMMYFUNCTION("""COMPUTED_VALUE"""),"High")</f>
        <v>High</v>
      </c>
      <c r="S2725" s="8" t="str">
        <f ca="1">IFERROR(__xludf.DUMMYFUNCTION("""COMPUTED_VALUE"""),"Football Field/Track")</f>
        <v>Football Field/Track</v>
      </c>
      <c r="T2725" s="8" t="str">
        <f ca="1">IFERROR(__xludf.DUMMYFUNCTION("""COMPUTED_VALUE"""),"Outside on School Property")</f>
        <v>Outside on School Property</v>
      </c>
      <c r="U2725" s="8" t="str">
        <f ca="1">IFERROR(__xludf.DUMMYFUNCTION("""COMPUTED_VALUE"""),"No")</f>
        <v>No</v>
      </c>
      <c r="V2725" s="8" t="str">
        <f ca="1">IFERROR(__xludf.DUMMYFUNCTION("""COMPUTED_VALUE"""),"Sport Event")</f>
        <v>Sport Event</v>
      </c>
      <c r="W2725" s="8"/>
      <c r="X2725" s="8">
        <f ca="1">IFERROR(__xludf.DUMMYFUNCTION("""COMPUTED_VALUE"""),1)</f>
        <v>1</v>
      </c>
      <c r="Y2725" s="12" t="str">
        <f ca="1">IFERROR(__xludf.DUMMYFUNCTION("""COMPUTED_VALUE"""),"Two teens shot during football game inside stadium, remainder of game cancelled.")</f>
        <v>Two teens shot during football game inside stadium, remainder of game cancelled.</v>
      </c>
      <c r="Z2725" s="12" t="str">
        <f ca="1">IFERROR(__xludf.DUMMYFUNCTION("""COMPUTED_VALUE"""),"Two teens (not students of either school) were shot inside the stadium during a high school football game. Shooter was not identified. Police officers were assigned to the stadium and heard the shots. The game was stopped and the fans were told to leave t"&amp;"he stadium")</f>
        <v>Two teens (not students of either school) were shot inside the stadium during a high school football game. Shooter was not identified. Police officers were assigned to the stadium and heard the shots. The game was stopped and the fans were told to leave the stadium</v>
      </c>
      <c r="AA2725" s="8" t="str">
        <f ca="1">IFERROR(__xludf.DUMMYFUNCTION("""COMPUTED_VALUE"""),"Escalation of Dispute")</f>
        <v>Escalation of Dispute</v>
      </c>
      <c r="AB2725" s="8"/>
      <c r="AC2725" s="8"/>
      <c r="AD2725" s="8"/>
      <c r="AE2725" s="8" t="str">
        <f ca="1">IFERROR(__xludf.DUMMYFUNCTION("""COMPUTED_VALUE"""),"No")</f>
        <v>No</v>
      </c>
      <c r="AF2725" s="8"/>
      <c r="AG2725" s="8" t="str">
        <f ca="1">IFERROR(__xludf.DUMMYFUNCTION("""COMPUTED_VALUE"""),"No")</f>
        <v>No</v>
      </c>
      <c r="AH2725" s="8" t="str">
        <f ca="1">IFERROR(__xludf.DUMMYFUNCTION("""COMPUTED_VALUE"""),"No")</f>
        <v>No</v>
      </c>
      <c r="AI2725" s="8" t="str">
        <f ca="1">IFERROR(__xludf.DUMMYFUNCTION("""COMPUTED_VALUE"""),"No")</f>
        <v>No</v>
      </c>
      <c r="AJ2725" s="8" t="str">
        <f ca="1">IFERROR(__xludf.DUMMYFUNCTION("""COMPUTED_VALUE"""),"No")</f>
        <v>No</v>
      </c>
      <c r="AK2725" s="8" t="str">
        <f ca="1">IFERROR(__xludf.DUMMYFUNCTION("""COMPUTED_VALUE"""),"No")</f>
        <v>No</v>
      </c>
      <c r="AL2725" s="8"/>
      <c r="AM2725" s="8" t="str">
        <f ca="1">IFERROR(__xludf.DUMMYFUNCTION("""COMPUTED_VALUE"""),"No")</f>
        <v>No</v>
      </c>
      <c r="AN2725" s="8"/>
      <c r="AO2725" s="8" t="str">
        <f ca="1">IFERROR(__xludf.DUMMYFUNCTION("""COMPUTED_VALUE"""),"No")</f>
        <v>No</v>
      </c>
      <c r="AP2725" s="8" t="str">
        <f ca="1">IFERROR(__xludf.DUMMYFUNCTION("""COMPUTED_VALUE"""),"Yes")</f>
        <v>Yes</v>
      </c>
      <c r="AQ2725" s="8" t="str">
        <f ca="1">IFERROR(__xludf.DUMMYFUNCTION("""COMPUTED_VALUE"""),"Unknown")</f>
        <v>Unknown</v>
      </c>
      <c r="AR2725" s="8" t="str">
        <f ca="1">IFERROR(__xludf.DUMMYFUNCTION("""COMPUTED_VALUE"""),"NA")</f>
        <v>NA</v>
      </c>
      <c r="AS2725" s="8" t="str">
        <f ca="1">IFERROR(__xludf.DUMMYFUNCTION("""COMPUTED_VALUE"""),"&lt;10")</f>
        <v>&lt;10</v>
      </c>
      <c r="AT2725" s="8"/>
      <c r="AU2725" s="8">
        <f ca="1">IFERROR(__xludf.DUMMYFUNCTION("""COMPUTED_VALUE"""),33.511012)</f>
        <v>33.511012000000001</v>
      </c>
      <c r="AV2725" s="8">
        <f ca="1">IFERROR(__xludf.DUMMYFUNCTION("""COMPUTED_VALUE"""),-86.843127)</f>
        <v>-86.843126999999996</v>
      </c>
      <c r="AW2725" s="8"/>
      <c r="AX2725" s="8">
        <f ca="1">IFERROR(__xludf.DUMMYFUNCTION("""COMPUTED_VALUE"""),35208)</f>
        <v>35208</v>
      </c>
    </row>
    <row r="2726" spans="1:50" ht="60" x14ac:dyDescent="0.2">
      <c r="A2726" s="8" t="str">
        <f ca="1">IFERROR(__xludf.DUMMYFUNCTION("""COMPUTED_VALUE"""),"19900911TXSAS")</f>
        <v>19900911TXSAS</v>
      </c>
      <c r="B2726" s="8">
        <f ca="1">IFERROR(__xludf.DUMMYFUNCTION("""COMPUTED_VALUE"""),9)</f>
        <v>9</v>
      </c>
      <c r="C2726" s="8">
        <f ca="1">IFERROR(__xludf.DUMMYFUNCTION("""COMPUTED_VALUE"""),11)</f>
        <v>11</v>
      </c>
      <c r="D2726" s="8">
        <f ca="1">IFERROR(__xludf.DUMMYFUNCTION("""COMPUTED_VALUE"""),1990)</f>
        <v>1990</v>
      </c>
      <c r="E2726" s="9">
        <f ca="1">IFERROR(__xludf.DUMMYFUNCTION("""COMPUTED_VALUE"""),33127)</f>
        <v>33127</v>
      </c>
      <c r="F2726" s="8" t="str">
        <f ca="1">IFERROR(__xludf.DUMMYFUNCTION("""COMPUTED_VALUE"""),"Sam Houston High School")</f>
        <v>Sam Houston High School</v>
      </c>
      <c r="G2726" s="8">
        <f ca="1">IFERROR(__xludf.DUMMYFUNCTION("""COMPUTED_VALUE"""),0)</f>
        <v>0</v>
      </c>
      <c r="H2726" s="8">
        <f ca="1">IFERROR(__xludf.DUMMYFUNCTION("""COMPUTED_VALUE"""),3)</f>
        <v>3</v>
      </c>
      <c r="I2726" s="8">
        <f ca="1">IFERROR(__xludf.DUMMYFUNCTION("""COMPUTED_VALUE"""),3)</f>
        <v>3</v>
      </c>
      <c r="J2726" s="8">
        <f ca="1">IFERROR(__xludf.DUMMYFUNCTION("""COMPUTED_VALUE"""),0)</f>
        <v>0</v>
      </c>
      <c r="K2726" s="10" t="str">
        <f ca="1">IFERROR(__xludf.DUMMYFUNCTION("""COMPUTED_VALUE"""),"https://www.upi.com/Archives/1990/09/11/Three-shot-wounded-in-confrontation-on-school-grounds/4334653025600/")</f>
        <v>https://www.upi.com/Archives/1990/09/11/Three-shot-wounded-in-confrontation-on-school-grounds/4334653025600/</v>
      </c>
      <c r="L2726" s="8"/>
      <c r="M2726" s="8"/>
      <c r="N2726" s="8">
        <f ca="1">IFERROR(__xludf.DUMMYFUNCTION("""COMPUTED_VALUE"""),2)</f>
        <v>2</v>
      </c>
      <c r="O2726" s="8" t="str">
        <f ca="1">IFERROR(__xludf.DUMMYFUNCTION("""COMPUTED_VALUE"""),"Fall")</f>
        <v>Fall</v>
      </c>
      <c r="P2726" s="8" t="str">
        <f ca="1">IFERROR(__xludf.DUMMYFUNCTION("""COMPUTED_VALUE"""),"San Antonio")</f>
        <v>San Antonio</v>
      </c>
      <c r="Q2726" s="8" t="str">
        <f ca="1">IFERROR(__xludf.DUMMYFUNCTION("""COMPUTED_VALUE"""),"TX")</f>
        <v>TX</v>
      </c>
      <c r="R2726" s="8" t="str">
        <f ca="1">IFERROR(__xludf.DUMMYFUNCTION("""COMPUTED_VALUE"""),"High")</f>
        <v>High</v>
      </c>
      <c r="S2726" s="8" t="str">
        <f ca="1">IFERROR(__xludf.DUMMYFUNCTION("""COMPUTED_VALUE"""),"Beside Building")</f>
        <v>Beside Building</v>
      </c>
      <c r="T2726" s="8" t="str">
        <f ca="1">IFERROR(__xludf.DUMMYFUNCTION("""COMPUTED_VALUE"""),"Outside on School Property")</f>
        <v>Outside on School Property</v>
      </c>
      <c r="U2726" s="8" t="str">
        <f ca="1">IFERROR(__xludf.DUMMYFUNCTION("""COMPUTED_VALUE"""),"Yes")</f>
        <v>Yes</v>
      </c>
      <c r="V2726" s="8" t="str">
        <f ca="1">IFERROR(__xludf.DUMMYFUNCTION("""COMPUTED_VALUE"""),"Lunch")</f>
        <v>Lunch</v>
      </c>
      <c r="W2726" s="11">
        <f ca="1">IFERROR(__xludf.DUMMYFUNCTION("""COMPUTED_VALUE"""),0.496527777777777)</f>
        <v>0.49652777777777701</v>
      </c>
      <c r="X2726" s="8">
        <f ca="1">IFERROR(__xludf.DUMMYFUNCTION("""COMPUTED_VALUE"""),1)</f>
        <v>1</v>
      </c>
      <c r="Y2726" s="12" t="str">
        <f ca="1">IFERROR(__xludf.DUMMYFUNCTION("""COMPUTED_VALUE"""),"Bystander students shot during gang shooting outside of school")</f>
        <v>Bystander students shot during gang shooting outside of school</v>
      </c>
      <c r="Z2726" s="12" t="str">
        <f ca="1">IFERROR(__xludf.DUMMYFUNCTION("""COMPUTED_VALUE"""),"A fight occurred outside of the school involving members from rival gangs. Three students were shot during the fight.")</f>
        <v>A fight occurred outside of the school involving members from rival gangs. Three students were shot during the fight.</v>
      </c>
      <c r="AA2726" s="8" t="str">
        <f ca="1">IFERROR(__xludf.DUMMYFUNCTION("""COMPUTED_VALUE"""),"Escalation of Dispute")</f>
        <v>Escalation of Dispute</v>
      </c>
      <c r="AB2726" s="8"/>
      <c r="AC2726" s="8"/>
      <c r="AD2726" s="8" t="str">
        <f ca="1">IFERROR(__xludf.DUMMYFUNCTION("""COMPUTED_VALUE"""),"Victims Targeted")</f>
        <v>Victims Targeted</v>
      </c>
      <c r="AE2726" s="8" t="str">
        <f ca="1">IFERROR(__xludf.DUMMYFUNCTION("""COMPUTED_VALUE"""),"Yes")</f>
        <v>Yes</v>
      </c>
      <c r="AF2726" s="8" t="str">
        <f ca="1">IFERROR(__xludf.DUMMYFUNCTION("""COMPUTED_VALUE"""),"Three arrested")</f>
        <v>Three arrested</v>
      </c>
      <c r="AG2726" s="8" t="str">
        <f ca="1">IFERROR(__xludf.DUMMYFUNCTION("""COMPUTED_VALUE"""),"No")</f>
        <v>No</v>
      </c>
      <c r="AH2726" s="8" t="str">
        <f ca="1">IFERROR(__xludf.DUMMYFUNCTION("""COMPUTED_VALUE"""),"No")</f>
        <v>No</v>
      </c>
      <c r="AI2726" s="8" t="str">
        <f ca="1">IFERROR(__xludf.DUMMYFUNCTION("""COMPUTED_VALUE"""),"No")</f>
        <v>No</v>
      </c>
      <c r="AJ2726" s="8" t="str">
        <f ca="1">IFERROR(__xludf.DUMMYFUNCTION("""COMPUTED_VALUE"""),"No")</f>
        <v>No</v>
      </c>
      <c r="AK2726" s="8" t="str">
        <f ca="1">IFERROR(__xludf.DUMMYFUNCTION("""COMPUTED_VALUE"""),"No")</f>
        <v>No</v>
      </c>
      <c r="AL2726" s="8" t="str">
        <f ca="1">IFERROR(__xludf.DUMMYFUNCTION("""COMPUTED_VALUE"""),"Yes")</f>
        <v>Yes</v>
      </c>
      <c r="AM2726" s="8"/>
      <c r="AN2726" s="8"/>
      <c r="AO2726" s="8" t="str">
        <f ca="1">IFERROR(__xludf.DUMMYFUNCTION("""COMPUTED_VALUE"""),"No")</f>
        <v>No</v>
      </c>
      <c r="AP2726" s="8" t="str">
        <f ca="1">IFERROR(__xludf.DUMMYFUNCTION("""COMPUTED_VALUE"""),"Yes")</f>
        <v>Yes</v>
      </c>
      <c r="AQ2726" s="8" t="str">
        <f ca="1">IFERROR(__xludf.DUMMYFUNCTION("""COMPUTED_VALUE"""),"Unknown")</f>
        <v>Unknown</v>
      </c>
      <c r="AR2726" s="8" t="str">
        <f ca="1">IFERROR(__xludf.DUMMYFUNCTION("""COMPUTED_VALUE"""),"NA")</f>
        <v>NA</v>
      </c>
      <c r="AS2726" s="8" t="str">
        <f ca="1">IFERROR(__xludf.DUMMYFUNCTION("""COMPUTED_VALUE"""),"&lt;10")</f>
        <v>&lt;10</v>
      </c>
      <c r="AT2726" s="8"/>
      <c r="AU2726" s="8">
        <f ca="1">IFERROR(__xludf.DUMMYFUNCTION("""COMPUTED_VALUE"""),29.425221)</f>
        <v>29.425221000000001</v>
      </c>
      <c r="AV2726" s="8">
        <f ca="1">IFERROR(__xludf.DUMMYFUNCTION("""COMPUTED_VALUE"""),-98.399193)</f>
        <v>-98.399192999999997</v>
      </c>
      <c r="AW2726" s="8"/>
      <c r="AX2726" s="8">
        <f ca="1">IFERROR(__xludf.DUMMYFUNCTION("""COMPUTED_VALUE"""),78220)</f>
        <v>78220</v>
      </c>
    </row>
    <row r="2727" spans="1:50" ht="240" x14ac:dyDescent="0.2">
      <c r="A2727" s="8" t="str">
        <f ca="1">IFERROR(__xludf.DUMMYFUNCTION("""COMPUTED_VALUE"""),"19900906GASOC")</f>
        <v>19900906GASOC</v>
      </c>
      <c r="B2727" s="8">
        <f ca="1">IFERROR(__xludf.DUMMYFUNCTION("""COMPUTED_VALUE"""),9)</f>
        <v>9</v>
      </c>
      <c r="C2727" s="8">
        <f ca="1">IFERROR(__xludf.DUMMYFUNCTION("""COMPUTED_VALUE"""),6)</f>
        <v>6</v>
      </c>
      <c r="D2727" s="8">
        <f ca="1">IFERROR(__xludf.DUMMYFUNCTION("""COMPUTED_VALUE"""),1990)</f>
        <v>1990</v>
      </c>
      <c r="E2727" s="9">
        <f ca="1">IFERROR(__xludf.DUMMYFUNCTION("""COMPUTED_VALUE"""),33122)</f>
        <v>33122</v>
      </c>
      <c r="F2727" s="8" t="str">
        <f ca="1">IFERROR(__xludf.DUMMYFUNCTION("""COMPUTED_VALUE"""),"South Forsyth Middle School - High School")</f>
        <v>South Forsyth Middle School - High School</v>
      </c>
      <c r="G2727" s="8">
        <f ca="1">IFERROR(__xludf.DUMMYFUNCTION("""COMPUTED_VALUE"""),0)</f>
        <v>0</v>
      </c>
      <c r="H2727" s="8">
        <f ca="1">IFERROR(__xludf.DUMMYFUNCTION("""COMPUTED_VALUE"""),0)</f>
        <v>0</v>
      </c>
      <c r="I2727" s="8">
        <f ca="1">IFERROR(__xludf.DUMMYFUNCTION("""COMPUTED_VALUE"""),0)</f>
        <v>0</v>
      </c>
      <c r="J2727" s="8">
        <f ca="1">IFERROR(__xludf.DUMMYFUNCTION("""COMPUTED_VALUE"""),0)</f>
        <v>0</v>
      </c>
      <c r="K2727" s="8" t="str">
        <f ca="1">IFERROR(__xludf.DUMMYFUNCTION("""COMPUTED_VALUE"""),"https://www.ajc.com/news/from-1990-hostages-fear-diminished-as-teen-discussed-troubles/OV4MB7PSZZFXPEAU7K3PNIQXJQ/ https://www.ajc.com/education/greene-references-gun-incident-at-her-georgia-high-school/H4IJIIOFOJFFJAIW42LX7COHWE/ https://www.ajc.com/news"&amp;"/from-1990-hostages-fear-diminished-as-teen-discussed-troubles/OV4MB7PSZZFXPEAU7K3PNIQXJQ/ https://www.dailyitem.com/news/under-fire-for-harassing-parkland-survivor-taylor-greene-recounts-experience-with-student-gunman/article_003e7d80-0cc2-53b7-bffd-4276"&amp;"be4abd78.html https://www.upi.com/Archives/1990/09/06/Student-seizes-six-hostages-at-school/2747652593600/ https://apnews.com/article/b41718f3d339dabd4c7d1cf700cc8a45")</f>
        <v>https://www.ajc.com/news/from-1990-hostages-fear-diminished-as-teen-discussed-troubles/OV4MB7PSZZFXPEAU7K3PNIQXJQ/ https://www.ajc.com/education/greene-references-gun-incident-at-her-georgia-high-school/H4IJIIOFOJFFJAIW42LX7COHWE/ https://www.ajc.com/news/from-1990-hostages-fear-diminished-as-teen-discussed-troubles/OV4MB7PSZZFXPEAU7K3PNIQXJQ/ https://www.dailyitem.com/news/under-fire-for-harassing-parkland-survivor-taylor-greene-recounts-experience-with-student-gunman/article_003e7d80-0cc2-53b7-bffd-4276be4abd78.html https://www.upi.com/Archives/1990/09/06/Student-seizes-six-hostages-at-school/2747652593600/ https://apnews.com/article/b41718f3d339dabd4c7d1cf700cc8a45</v>
      </c>
      <c r="L2727" s="8">
        <f ca="1">IFERROR(__xludf.DUMMYFUNCTION("""COMPUTED_VALUE"""),100)</f>
        <v>100</v>
      </c>
      <c r="M2727" s="8" t="str">
        <f ca="1">IFERROR(__xludf.DUMMYFUNCTION("""COMPUTED_VALUE"""),"National")</f>
        <v>National</v>
      </c>
      <c r="N2727" s="8">
        <f ca="1">IFERROR(__xludf.DUMMYFUNCTION("""COMPUTED_VALUE"""),4)</f>
        <v>4</v>
      </c>
      <c r="O2727" s="8" t="str">
        <f ca="1">IFERROR(__xludf.DUMMYFUNCTION("""COMPUTED_VALUE"""),"Fall")</f>
        <v>Fall</v>
      </c>
      <c r="P2727" s="8" t="str">
        <f ca="1">IFERROR(__xludf.DUMMYFUNCTION("""COMPUTED_VALUE"""),"Cumming")</f>
        <v>Cumming</v>
      </c>
      <c r="Q2727" s="8" t="str">
        <f ca="1">IFERROR(__xludf.DUMMYFUNCTION("""COMPUTED_VALUE"""),"GA")</f>
        <v>GA</v>
      </c>
      <c r="R2727" s="13">
        <f ca="1">IFERROR(__xludf.DUMMYFUNCTION("""COMPUTED_VALUE"""),44724)</f>
        <v>44724</v>
      </c>
      <c r="S2727" s="8" t="str">
        <f ca="1">IFERROR(__xludf.DUMMYFUNCTION("""COMPUTED_VALUE"""),"Classroom")</f>
        <v>Classroom</v>
      </c>
      <c r="T2727" s="8" t="str">
        <f ca="1">IFERROR(__xludf.DUMMYFUNCTION("""COMPUTED_VALUE"""),"Inside School Building")</f>
        <v>Inside School Building</v>
      </c>
      <c r="U2727" s="8" t="str">
        <f ca="1">IFERROR(__xludf.DUMMYFUNCTION("""COMPUTED_VALUE"""),"Yes")</f>
        <v>Yes</v>
      </c>
      <c r="V2727" s="8" t="str">
        <f ca="1">IFERROR(__xludf.DUMMYFUNCTION("""COMPUTED_VALUE"""),"Morning Classes")</f>
        <v>Morning Classes</v>
      </c>
      <c r="W2727" s="11">
        <f ca="1">IFERROR(__xludf.DUMMYFUNCTION("""COMPUTED_VALUE"""),0.350694444444444)</f>
        <v>0.35069444444444398</v>
      </c>
      <c r="X2727" s="8">
        <f ca="1">IFERROR(__xludf.DUMMYFUNCTION("""COMPUTED_VALUE"""),330)</f>
        <v>330</v>
      </c>
      <c r="Y2727" s="12" t="str">
        <f ca="1">IFERROR(__xludf.DUMMYFUNCTION("""COMPUTED_VALUE"""),"Student took 53 students hostage at gunpoint in classroom for 5.5 hours")</f>
        <v>Student took 53 students hostage at gunpoint in classroom for 5.5 hours</v>
      </c>
      <c r="Z2727" s="12" t="str">
        <f ca="1">IFERROR(__xludf.DUMMYFUNCTION("""COMPUTED_VALUE"""),"A 17-year-old student took 53 classmates hostage inside a classroom. He was armed with a rifle, shotgun, and handgun. He fired a shot from the rifle inside the classroom and the teacher was able to wrestle the rifle away. He then pulled a handgun and took"&amp;" the students in the class hostage. During a 5.5 hour standoff with police, he exchanged hostages for soda and candy. Shooter demanded $5,000 in cash and a school bus. At 1:45 with 9 hostages left in the classroom, the shooter became dizzy and surrendered"&amp;" to police. Students reported the shooter had a history if seizures and took medication. Court reports cited psychological and emotional problems. Juvenile criminal record. Shooter was taken by police to a psychiatric hospital following the incident. Char"&amp;"ged as an adult with 90 felony charges including 53 counts of kidnapping, aggravated assault, and weapons charges.")</f>
        <v>A 17-year-old student took 53 classmates hostage inside a classroom. He was armed with a rifle, shotgun, and handgun. He fired a shot from the rifle inside the classroom and the teacher was able to wrestle the rifle away. He then pulled a handgun and took the students in the class hostage. During a 5.5 hour standoff with police, he exchanged hostages for soda and candy. Shooter demanded $5,000 in cash and a school bus. At 1:45 with 9 hostages left in the classroom, the shooter became dizzy and surrendered to police. Students reported the shooter had a history if seizures and took medication. Court reports cited psychological and emotional problems. Juvenile criminal record. Shooter was taken by police to a psychiatric hospital following the incident. Charged as an adult with 90 felony charges including 53 counts of kidnapping, aggravated assault, and weapons charges.</v>
      </c>
      <c r="AA2727" s="8" t="str">
        <f ca="1">IFERROR(__xludf.DUMMYFUNCTION("""COMPUTED_VALUE"""),"Hostage/Standoff")</f>
        <v>Hostage/Standoff</v>
      </c>
      <c r="AB2727" s="8"/>
      <c r="AC2727" s="8"/>
      <c r="AD2727" s="8" t="str">
        <f ca="1">IFERROR(__xludf.DUMMYFUNCTION("""COMPUTED_VALUE"""),"Both")</f>
        <v>Both</v>
      </c>
      <c r="AE2727" s="8" t="str">
        <f ca="1">IFERROR(__xludf.DUMMYFUNCTION("""COMPUTED_VALUE"""),"No")</f>
        <v>No</v>
      </c>
      <c r="AF2727" s="8"/>
      <c r="AG2727" s="8" t="str">
        <f ca="1">IFERROR(__xludf.DUMMYFUNCTION("""COMPUTED_VALUE"""),"Yes")</f>
        <v>Yes</v>
      </c>
      <c r="AH2727" s="8" t="str">
        <f ca="1">IFERROR(__xludf.DUMMYFUNCTION("""COMPUTED_VALUE"""),"Yes")</f>
        <v>Yes</v>
      </c>
      <c r="AI2727" s="8" t="str">
        <f ca="1">IFERROR(__xludf.DUMMYFUNCTION("""COMPUTED_VALUE"""),"No")</f>
        <v>No</v>
      </c>
      <c r="AJ2727" s="8"/>
      <c r="AK2727" s="8" t="str">
        <f ca="1">IFERROR(__xludf.DUMMYFUNCTION("""COMPUTED_VALUE"""),"No")</f>
        <v>No</v>
      </c>
      <c r="AL2727" s="8" t="str">
        <f ca="1">IFERROR(__xludf.DUMMYFUNCTION("""COMPUTED_VALUE"""),"No")</f>
        <v>No</v>
      </c>
      <c r="AM2727" s="8" t="str">
        <f ca="1">IFERROR(__xludf.DUMMYFUNCTION("""COMPUTED_VALUE"""),"Yes")</f>
        <v>Yes</v>
      </c>
      <c r="AN2727" s="8" t="str">
        <f ca="1">IFERROR(__xludf.DUMMYFUNCTION("""COMPUTED_VALUE"""),"Single Room")</f>
        <v>Single Room</v>
      </c>
      <c r="AO2727" s="8" t="str">
        <f ca="1">IFERROR(__xludf.DUMMYFUNCTION("""COMPUTED_VALUE"""),"Yes")</f>
        <v>Yes</v>
      </c>
      <c r="AP2727" s="8"/>
      <c r="AQ2727" s="8" t="str">
        <f ca="1">IFERROR(__xludf.DUMMYFUNCTION("""COMPUTED_VALUE"""),"None")</f>
        <v>None</v>
      </c>
      <c r="AR2727" s="8"/>
      <c r="AS2727" s="8">
        <f ca="1">IFERROR(__xludf.DUMMYFUNCTION("""COMPUTED_VALUE"""),1)</f>
        <v>1</v>
      </c>
      <c r="AT2727" s="8"/>
      <c r="AU2727" s="8">
        <f ca="1">IFERROR(__xludf.DUMMYFUNCTION("""COMPUTED_VALUE"""),34.115962)</f>
        <v>34.115962000000003</v>
      </c>
      <c r="AV2727" s="8">
        <f ca="1">IFERROR(__xludf.DUMMYFUNCTION("""COMPUTED_VALUE"""),-84.153171)</f>
        <v>-84.153171</v>
      </c>
      <c r="AW2727" s="8"/>
      <c r="AX2727" s="8">
        <f ca="1">IFERROR(__xludf.DUMMYFUNCTION("""COMPUTED_VALUE"""),30041)</f>
        <v>30041</v>
      </c>
    </row>
    <row r="2728" spans="1:50" ht="60" x14ac:dyDescent="0.2">
      <c r="A2728" s="8" t="str">
        <f ca="1">IFERROR(__xludf.DUMMYFUNCTION("""COMPUTED_VALUE"""),"19900827TXWHD")</f>
        <v>19900827TXWHD</v>
      </c>
      <c r="B2728" s="8">
        <f ca="1">IFERROR(__xludf.DUMMYFUNCTION("""COMPUTED_VALUE"""),8)</f>
        <v>8</v>
      </c>
      <c r="C2728" s="8">
        <f ca="1">IFERROR(__xludf.DUMMYFUNCTION("""COMPUTED_VALUE"""),27)</f>
        <v>27</v>
      </c>
      <c r="D2728" s="8">
        <f ca="1">IFERROR(__xludf.DUMMYFUNCTION("""COMPUTED_VALUE"""),1990)</f>
        <v>1990</v>
      </c>
      <c r="E2728" s="9">
        <f ca="1">IFERROR(__xludf.DUMMYFUNCTION("""COMPUTED_VALUE"""),33112)</f>
        <v>33112</v>
      </c>
      <c r="F2728" s="8" t="str">
        <f ca="1">IFERROR(__xludf.DUMMYFUNCTION("""COMPUTED_VALUE"""),"W H Adamson High School")</f>
        <v>W H Adamson High School</v>
      </c>
      <c r="G2728" s="8">
        <f ca="1">IFERROR(__xludf.DUMMYFUNCTION("""COMPUTED_VALUE"""),0)</f>
        <v>0</v>
      </c>
      <c r="H2728" s="8">
        <f ca="1">IFERROR(__xludf.DUMMYFUNCTION("""COMPUTED_VALUE"""),0)</f>
        <v>0</v>
      </c>
      <c r="I2728" s="8">
        <f ca="1">IFERROR(__xludf.DUMMYFUNCTION("""COMPUTED_VALUE"""),0)</f>
        <v>0</v>
      </c>
      <c r="J2728" s="8">
        <f ca="1">IFERROR(__xludf.DUMMYFUNCTION("""COMPUTED_VALUE"""),0)</f>
        <v>0</v>
      </c>
      <c r="K2728" s="10" t="str">
        <f ca="1">IFERROR(__xludf.DUMMYFUNCTION("""COMPUTED_VALUE"""),"https://www.columbine-angels.com/School_Violence_1990-1991.htm")</f>
        <v>https://www.columbine-angels.com/School_Violence_1990-1991.htm</v>
      </c>
      <c r="L2728" s="8"/>
      <c r="M2728" s="8"/>
      <c r="N2728" s="8">
        <f ca="1">IFERROR(__xludf.DUMMYFUNCTION("""COMPUTED_VALUE"""),1)</f>
        <v>1</v>
      </c>
      <c r="O2728" s="8" t="str">
        <f ca="1">IFERROR(__xludf.DUMMYFUNCTION("""COMPUTED_VALUE"""),"Summer")</f>
        <v>Summer</v>
      </c>
      <c r="P2728" s="8" t="str">
        <f ca="1">IFERROR(__xludf.DUMMYFUNCTION("""COMPUTED_VALUE"""),"Dallas")</f>
        <v>Dallas</v>
      </c>
      <c r="Q2728" s="8" t="str">
        <f ca="1">IFERROR(__xludf.DUMMYFUNCTION("""COMPUTED_VALUE"""),"TX")</f>
        <v>TX</v>
      </c>
      <c r="R2728" s="8" t="str">
        <f ca="1">IFERROR(__xludf.DUMMYFUNCTION("""COMPUTED_VALUE"""),"High")</f>
        <v>High</v>
      </c>
      <c r="S2728" s="8" t="str">
        <f ca="1">IFERROR(__xludf.DUMMYFUNCTION("""COMPUTED_VALUE"""),"Outside on School Property")</f>
        <v>Outside on School Property</v>
      </c>
      <c r="T2728" s="8" t="str">
        <f ca="1">IFERROR(__xludf.DUMMYFUNCTION("""COMPUTED_VALUE"""),"Outside on School Property")</f>
        <v>Outside on School Property</v>
      </c>
      <c r="U2728" s="8" t="str">
        <f ca="1">IFERROR(__xludf.DUMMYFUNCTION("""COMPUTED_VALUE"""),"Yes")</f>
        <v>Yes</v>
      </c>
      <c r="V2728" s="8" t="str">
        <f ca="1">IFERROR(__xludf.DUMMYFUNCTION("""COMPUTED_VALUE"""),"Morning Classes")</f>
        <v>Morning Classes</v>
      </c>
      <c r="W2728" s="11">
        <f ca="1">IFERROR(__xludf.DUMMYFUNCTION("""COMPUTED_VALUE"""),0.427083333333333)</f>
        <v>0.42708333333333298</v>
      </c>
      <c r="X2728" s="8">
        <f ca="1">IFERROR(__xludf.DUMMYFUNCTION("""COMPUTED_VALUE"""),1)</f>
        <v>1</v>
      </c>
      <c r="Y2728" s="12" t="str">
        <f ca="1">IFERROR(__xludf.DUMMYFUNCTION("""COMPUTED_VALUE"""),"5 gang members fired shots at a student, all shots missed.")</f>
        <v>5 gang members fired shots at a student, all shots missed.</v>
      </c>
      <c r="Z2728" s="12" t="str">
        <f ca="1">IFERROR(__xludf.DUMMYFUNCTION("""COMPUTED_VALUE"""),"5 gang members approached a student outside of the school and fired 3 shots during a confrontation.")</f>
        <v>5 gang members approached a student outside of the school and fired 3 shots during a confrontation.</v>
      </c>
      <c r="AA2728" s="8" t="str">
        <f ca="1">IFERROR(__xludf.DUMMYFUNCTION("""COMPUTED_VALUE"""),"Escalation of Dispute")</f>
        <v>Escalation of Dispute</v>
      </c>
      <c r="AB2728" s="8"/>
      <c r="AC2728" s="8"/>
      <c r="AD2728" s="8" t="str">
        <f ca="1">IFERROR(__xludf.DUMMYFUNCTION("""COMPUTED_VALUE"""),"Victims Targeted")</f>
        <v>Victims Targeted</v>
      </c>
      <c r="AE2728" s="8" t="str">
        <f ca="1">IFERROR(__xludf.DUMMYFUNCTION("""COMPUTED_VALUE"""),"Yes")</f>
        <v>Yes</v>
      </c>
      <c r="AF2728" s="8" t="str">
        <f ca="1">IFERROR(__xludf.DUMMYFUNCTION("""COMPUTED_VALUE"""),"Multiple gang members involved")</f>
        <v>Multiple gang members involved</v>
      </c>
      <c r="AG2728" s="8" t="str">
        <f ca="1">IFERROR(__xludf.DUMMYFUNCTION("""COMPUTED_VALUE"""),"No")</f>
        <v>No</v>
      </c>
      <c r="AH2728" s="8" t="str">
        <f ca="1">IFERROR(__xludf.DUMMYFUNCTION("""COMPUTED_VALUE"""),"No")</f>
        <v>No</v>
      </c>
      <c r="AI2728" s="8" t="str">
        <f ca="1">IFERROR(__xludf.DUMMYFUNCTION("""COMPUTED_VALUE"""),"No")</f>
        <v>No</v>
      </c>
      <c r="AJ2728" s="8" t="str">
        <f ca="1">IFERROR(__xludf.DUMMYFUNCTION("""COMPUTED_VALUE"""),"No")</f>
        <v>No</v>
      </c>
      <c r="AK2728" s="8" t="str">
        <f ca="1">IFERROR(__xludf.DUMMYFUNCTION("""COMPUTED_VALUE"""),"No")</f>
        <v>No</v>
      </c>
      <c r="AL2728" s="8" t="str">
        <f ca="1">IFERROR(__xludf.DUMMYFUNCTION("""COMPUTED_VALUE"""),"Yes")</f>
        <v>Yes</v>
      </c>
      <c r="AM2728" s="8"/>
      <c r="AN2728" s="8"/>
      <c r="AO2728" s="8" t="str">
        <f ca="1">IFERROR(__xludf.DUMMYFUNCTION("""COMPUTED_VALUE"""),"No")</f>
        <v>No</v>
      </c>
      <c r="AP2728" s="8" t="str">
        <f ca="1">IFERROR(__xludf.DUMMYFUNCTION("""COMPUTED_VALUE"""),"No")</f>
        <v>No</v>
      </c>
      <c r="AQ2728" s="8" t="str">
        <f ca="1">IFERROR(__xludf.DUMMYFUNCTION("""COMPUTED_VALUE"""),"Unknown")</f>
        <v>Unknown</v>
      </c>
      <c r="AR2728" s="8" t="str">
        <f ca="1">IFERROR(__xludf.DUMMYFUNCTION("""COMPUTED_VALUE"""),"NA")</f>
        <v>NA</v>
      </c>
      <c r="AS2728" s="8">
        <f ca="1">IFERROR(__xludf.DUMMYFUNCTION("""COMPUTED_VALUE"""),3)</f>
        <v>3</v>
      </c>
      <c r="AT2728" s="8"/>
      <c r="AU2728" s="8">
        <f ca="1">IFERROR(__xludf.DUMMYFUNCTION("""COMPUTED_VALUE"""),32.748277)</f>
        <v>32.748277000000002</v>
      </c>
      <c r="AV2728" s="8">
        <f ca="1">IFERROR(__xludf.DUMMYFUNCTION("""COMPUTED_VALUE"""),-96.820542)</f>
        <v>-96.820542000000003</v>
      </c>
      <c r="AW2728" s="8"/>
      <c r="AX2728" s="8">
        <f ca="1">IFERROR(__xludf.DUMMYFUNCTION("""COMPUTED_VALUE"""),75203)</f>
        <v>75203</v>
      </c>
    </row>
    <row r="2729" spans="1:50" ht="60" x14ac:dyDescent="0.2">
      <c r="A2729" s="8" t="str">
        <f ca="1">IFERROR(__xludf.DUMMYFUNCTION("""COMPUTED_VALUE"""),"19900827NVELL")</f>
        <v>19900827NVELL</v>
      </c>
      <c r="B2729" s="8">
        <f ca="1">IFERROR(__xludf.DUMMYFUNCTION("""COMPUTED_VALUE"""),8)</f>
        <v>8</v>
      </c>
      <c r="C2729" s="8">
        <f ca="1">IFERROR(__xludf.DUMMYFUNCTION("""COMPUTED_VALUE"""),27)</f>
        <v>27</v>
      </c>
      <c r="D2729" s="8">
        <f ca="1">IFERROR(__xludf.DUMMYFUNCTION("""COMPUTED_VALUE"""),1990)</f>
        <v>1990</v>
      </c>
      <c r="E2729" s="9">
        <f ca="1">IFERROR(__xludf.DUMMYFUNCTION("""COMPUTED_VALUE"""),33112)</f>
        <v>33112</v>
      </c>
      <c r="F2729" s="8" t="str">
        <f ca="1">IFERROR(__xludf.DUMMYFUNCTION("""COMPUTED_VALUE"""),"Eldorado High School")</f>
        <v>Eldorado High School</v>
      </c>
      <c r="G2729" s="8">
        <f ca="1">IFERROR(__xludf.DUMMYFUNCTION("""COMPUTED_VALUE"""),1)</f>
        <v>1</v>
      </c>
      <c r="H2729" s="8">
        <f ca="1">IFERROR(__xludf.DUMMYFUNCTION("""COMPUTED_VALUE"""),0)</f>
        <v>0</v>
      </c>
      <c r="I2729" s="8">
        <f ca="1">IFERROR(__xludf.DUMMYFUNCTION("""COMPUTED_VALUE"""),1)</f>
        <v>1</v>
      </c>
      <c r="J2729" s="8">
        <f ca="1">IFERROR(__xludf.DUMMYFUNCTION("""COMPUTED_VALUE"""),0)</f>
        <v>0</v>
      </c>
      <c r="K2729" s="10" t="str">
        <f ca="1">IFERROR(__xludf.DUMMYFUNCTION("""COMPUTED_VALUE"""),"https://lasvegassun.com/news/1998/jun/20/memories-linger-for-victims-mother/")</f>
        <v>https://lasvegassun.com/news/1998/jun/20/memories-linger-for-victims-mother/</v>
      </c>
      <c r="L2729" s="8"/>
      <c r="M2729" s="8"/>
      <c r="N2729" s="8">
        <f ca="1">IFERROR(__xludf.DUMMYFUNCTION("""COMPUTED_VALUE"""),2)</f>
        <v>2</v>
      </c>
      <c r="O2729" s="8" t="str">
        <f ca="1">IFERROR(__xludf.DUMMYFUNCTION("""COMPUTED_VALUE"""),"Summer")</f>
        <v>Summer</v>
      </c>
      <c r="P2729" s="8" t="str">
        <f ca="1">IFERROR(__xludf.DUMMYFUNCTION("""COMPUTED_VALUE"""),"Las Vegas")</f>
        <v>Las Vegas</v>
      </c>
      <c r="Q2729" s="8" t="str">
        <f ca="1">IFERROR(__xludf.DUMMYFUNCTION("""COMPUTED_VALUE"""),"NV")</f>
        <v>NV</v>
      </c>
      <c r="R2729" s="8" t="str">
        <f ca="1">IFERROR(__xludf.DUMMYFUNCTION("""COMPUTED_VALUE"""),"High")</f>
        <v>High</v>
      </c>
      <c r="S2729" s="8" t="str">
        <f ca="1">IFERROR(__xludf.DUMMYFUNCTION("""COMPUTED_VALUE"""),"Hallway")</f>
        <v>Hallway</v>
      </c>
      <c r="T2729" s="8" t="str">
        <f ca="1">IFERROR(__xludf.DUMMYFUNCTION("""COMPUTED_VALUE"""),"Inside School Building")</f>
        <v>Inside School Building</v>
      </c>
      <c r="U2729" s="8" t="str">
        <f ca="1">IFERROR(__xludf.DUMMYFUNCTION("""COMPUTED_VALUE"""),"Yes")</f>
        <v>Yes</v>
      </c>
      <c r="V2729" s="8" t="str">
        <f ca="1">IFERROR(__xludf.DUMMYFUNCTION("""COMPUTED_VALUE"""),"Before School")</f>
        <v>Before School</v>
      </c>
      <c r="W2729" s="11">
        <f ca="1">IFERROR(__xludf.DUMMYFUNCTION("""COMPUTED_VALUE"""),0.302083333333333)</f>
        <v>0.30208333333333298</v>
      </c>
      <c r="X2729" s="8">
        <f ca="1">IFERROR(__xludf.DUMMYFUNCTION("""COMPUTED_VALUE"""),1)</f>
        <v>1</v>
      </c>
      <c r="Y2729" s="12" t="str">
        <f ca="1">IFERROR(__xludf.DUMMYFUNCTION("""COMPUTED_VALUE"""),"Gang related shooting involving large group of students")</f>
        <v>Gang related shooting involving large group of students</v>
      </c>
      <c r="Z2729" s="12" t="str">
        <f ca="1">IFERROR(__xludf.DUMMYFUNCTION("""COMPUTED_VALUE"""),"Gang related - stemmed from previous fights in the past. Bystander student struck and killed.")</f>
        <v>Gang related - stemmed from previous fights in the past. Bystander student struck and killed.</v>
      </c>
      <c r="AA2729" s="8" t="str">
        <f ca="1">IFERROR(__xludf.DUMMYFUNCTION("""COMPUTED_VALUE"""),"Escalation of Dispute")</f>
        <v>Escalation of Dispute</v>
      </c>
      <c r="AB2729" s="8"/>
      <c r="AC2729" s="8"/>
      <c r="AD2729" s="8" t="str">
        <f ca="1">IFERROR(__xludf.DUMMYFUNCTION("""COMPUTED_VALUE"""),"Victims Targeted")</f>
        <v>Victims Targeted</v>
      </c>
      <c r="AE2729" s="8" t="str">
        <f ca="1">IFERROR(__xludf.DUMMYFUNCTION("""COMPUTED_VALUE"""),"No")</f>
        <v>No</v>
      </c>
      <c r="AF2729" s="8"/>
      <c r="AG2729" s="8" t="str">
        <f ca="1">IFERROR(__xludf.DUMMYFUNCTION("""COMPUTED_VALUE"""),"No")</f>
        <v>No</v>
      </c>
      <c r="AH2729" s="8" t="str">
        <f ca="1">IFERROR(__xludf.DUMMYFUNCTION("""COMPUTED_VALUE"""),"No")</f>
        <v>No</v>
      </c>
      <c r="AI2729" s="8" t="str">
        <f ca="1">IFERROR(__xludf.DUMMYFUNCTION("""COMPUTED_VALUE"""),"No")</f>
        <v>No</v>
      </c>
      <c r="AJ2729" s="8" t="str">
        <f ca="1">IFERROR(__xludf.DUMMYFUNCTION("""COMPUTED_VALUE"""),"No")</f>
        <v>No</v>
      </c>
      <c r="AK2729" s="8" t="str">
        <f ca="1">IFERROR(__xludf.DUMMYFUNCTION("""COMPUTED_VALUE"""),"No")</f>
        <v>No</v>
      </c>
      <c r="AL2729" s="8" t="str">
        <f ca="1">IFERROR(__xludf.DUMMYFUNCTION("""COMPUTED_VALUE"""),"Yes")</f>
        <v>Yes</v>
      </c>
      <c r="AM2729" s="8"/>
      <c r="AN2729" s="8"/>
      <c r="AO2729" s="8" t="str">
        <f ca="1">IFERROR(__xludf.DUMMYFUNCTION("""COMPUTED_VALUE"""),"No")</f>
        <v>No</v>
      </c>
      <c r="AP2729" s="8"/>
      <c r="AQ2729" s="8" t="str">
        <f ca="1">IFERROR(__xludf.DUMMYFUNCTION("""COMPUTED_VALUE"""),"Unknown")</f>
        <v>Unknown</v>
      </c>
      <c r="AR2729" s="8" t="str">
        <f ca="1">IFERROR(__xludf.DUMMYFUNCTION("""COMPUTED_VALUE"""),"NA")</f>
        <v>NA</v>
      </c>
      <c r="AS2729" s="8" t="str">
        <f ca="1">IFERROR(__xludf.DUMMYFUNCTION("""COMPUTED_VALUE"""),"&lt;10")</f>
        <v>&lt;10</v>
      </c>
      <c r="AT2729" s="8"/>
      <c r="AU2729" s="8">
        <f ca="1">IFERROR(__xludf.DUMMYFUNCTION("""COMPUTED_VALUE"""),36.180037)</f>
        <v>36.180036999999999</v>
      </c>
      <c r="AV2729" s="8">
        <f ca="1">IFERROR(__xludf.DUMMYFUNCTION("""COMPUTED_VALUE"""),-115.049397)</f>
        <v>-115.049397</v>
      </c>
      <c r="AW2729" s="8"/>
      <c r="AX2729" s="8">
        <f ca="1">IFERROR(__xludf.DUMMYFUNCTION("""COMPUTED_VALUE"""),89110)</f>
        <v>89110</v>
      </c>
    </row>
    <row r="2730" spans="1:50" ht="60" x14ac:dyDescent="0.2">
      <c r="A2730" s="8" t="str">
        <f ca="1">IFERROR(__xludf.DUMMYFUNCTION("""COMPUTED_VALUE"""),"19900824NCMYC")</f>
        <v>19900824NCMYC</v>
      </c>
      <c r="B2730" s="8">
        <f ca="1">IFERROR(__xludf.DUMMYFUNCTION("""COMPUTED_VALUE"""),8)</f>
        <v>8</v>
      </c>
      <c r="C2730" s="8">
        <f ca="1">IFERROR(__xludf.DUMMYFUNCTION("""COMPUTED_VALUE"""),24)</f>
        <v>24</v>
      </c>
      <c r="D2730" s="8">
        <f ca="1">IFERROR(__xludf.DUMMYFUNCTION("""COMPUTED_VALUE"""),1990)</f>
        <v>1990</v>
      </c>
      <c r="E2730" s="9">
        <f ca="1">IFERROR(__xludf.DUMMYFUNCTION("""COMPUTED_VALUE"""),33109)</f>
        <v>33109</v>
      </c>
      <c r="F2730" s="8" t="str">
        <f ca="1">IFERROR(__xludf.DUMMYFUNCTION("""COMPUTED_VALUE"""),"Myers Park High School")</f>
        <v>Myers Park High School</v>
      </c>
      <c r="G2730" s="8">
        <f ca="1">IFERROR(__xludf.DUMMYFUNCTION("""COMPUTED_VALUE"""),1)</f>
        <v>1</v>
      </c>
      <c r="H2730" s="8">
        <f ca="1">IFERROR(__xludf.DUMMYFUNCTION("""COMPUTED_VALUE"""),0)</f>
        <v>0</v>
      </c>
      <c r="I2730" s="8">
        <f ca="1">IFERROR(__xludf.DUMMYFUNCTION("""COMPUTED_VALUE"""),1)</f>
        <v>1</v>
      </c>
      <c r="J2730" s="8">
        <f ca="1">IFERROR(__xludf.DUMMYFUNCTION("""COMPUTED_VALUE"""),0)</f>
        <v>0</v>
      </c>
      <c r="K2730" s="10" t="str">
        <f ca="1">IFERROR(__xludf.DUMMYFUNCTION("""COMPUTED_VALUE"""),"https://www.newspapers.com/image/400340582/?terms=Myers%2BPark%2BHigh%2BSchool%2Bshooting")</f>
        <v>https://www.newspapers.com/image/400340582/?terms=Myers%2BPark%2BHigh%2BSchool%2Bshooting</v>
      </c>
      <c r="L2730" s="8"/>
      <c r="M2730" s="8"/>
      <c r="N2730" s="8">
        <f ca="1">IFERROR(__xludf.DUMMYFUNCTION("""COMPUTED_VALUE"""),2)</f>
        <v>2</v>
      </c>
      <c r="O2730" s="8" t="str">
        <f ca="1">IFERROR(__xludf.DUMMYFUNCTION("""COMPUTED_VALUE"""),"Summer")</f>
        <v>Summer</v>
      </c>
      <c r="P2730" s="8" t="str">
        <f ca="1">IFERROR(__xludf.DUMMYFUNCTION("""COMPUTED_VALUE"""),"Charlotte")</f>
        <v>Charlotte</v>
      </c>
      <c r="Q2730" s="8" t="str">
        <f ca="1">IFERROR(__xludf.DUMMYFUNCTION("""COMPUTED_VALUE"""),"NC")</f>
        <v>NC</v>
      </c>
      <c r="R2730" s="8" t="str">
        <f ca="1">IFERROR(__xludf.DUMMYFUNCTION("""COMPUTED_VALUE"""),"High")</f>
        <v>High</v>
      </c>
      <c r="S2730" s="8" t="str">
        <f ca="1">IFERROR(__xludf.DUMMYFUNCTION("""COMPUTED_VALUE"""),"Football Field/Track")</f>
        <v>Football Field/Track</v>
      </c>
      <c r="T2730" s="8" t="str">
        <f ca="1">IFERROR(__xludf.DUMMYFUNCTION("""COMPUTED_VALUE"""),"Outside on School Property")</f>
        <v>Outside on School Property</v>
      </c>
      <c r="U2730" s="8" t="str">
        <f ca="1">IFERROR(__xludf.DUMMYFUNCTION("""COMPUTED_VALUE"""),"No")</f>
        <v>No</v>
      </c>
      <c r="V2730" s="8" t="str">
        <f ca="1">IFERROR(__xludf.DUMMYFUNCTION("""COMPUTED_VALUE"""),"Sport Event")</f>
        <v>Sport Event</v>
      </c>
      <c r="W2730" s="8"/>
      <c r="X2730" s="8">
        <f ca="1">IFERROR(__xludf.DUMMYFUNCTION("""COMPUTED_VALUE"""),1)</f>
        <v>1</v>
      </c>
      <c r="Y2730" s="12" t="str">
        <f ca="1">IFERROR(__xludf.DUMMYFUNCTION("""COMPUTED_VALUE"""),"Student shot during football game by unknown shooter who fled")</f>
        <v>Student shot during football game by unknown shooter who fled</v>
      </c>
      <c r="Z2730" s="12" t="str">
        <f ca="1">IFERROR(__xludf.DUMMYFUNCTION("""COMPUTED_VALUE"""),"15 year old student shot and killed during football game by unknown suspect.")</f>
        <v>15 year old student shot and killed during football game by unknown suspect.</v>
      </c>
      <c r="AA2730" s="8" t="str">
        <f ca="1">IFERROR(__xludf.DUMMYFUNCTION("""COMPUTED_VALUE"""),"Unknown")</f>
        <v>Unknown</v>
      </c>
      <c r="AB2730" s="8"/>
      <c r="AC2730" s="8"/>
      <c r="AD2730" s="8"/>
      <c r="AE2730" s="8" t="str">
        <f ca="1">IFERROR(__xludf.DUMMYFUNCTION("""COMPUTED_VALUE"""),"No")</f>
        <v>No</v>
      </c>
      <c r="AF2730" s="8"/>
      <c r="AG2730" s="8" t="str">
        <f ca="1">IFERROR(__xludf.DUMMYFUNCTION("""COMPUTED_VALUE"""),"No")</f>
        <v>No</v>
      </c>
      <c r="AH2730" s="8" t="str">
        <f ca="1">IFERROR(__xludf.DUMMYFUNCTION("""COMPUTED_VALUE"""),"No")</f>
        <v>No</v>
      </c>
      <c r="AI2730" s="8" t="str">
        <f ca="1">IFERROR(__xludf.DUMMYFUNCTION("""COMPUTED_VALUE"""),"No")</f>
        <v>No</v>
      </c>
      <c r="AJ2730" s="8" t="str">
        <f ca="1">IFERROR(__xludf.DUMMYFUNCTION("""COMPUTED_VALUE"""),"No")</f>
        <v>No</v>
      </c>
      <c r="AK2730" s="8" t="str">
        <f ca="1">IFERROR(__xludf.DUMMYFUNCTION("""COMPUTED_VALUE"""),"No")</f>
        <v>No</v>
      </c>
      <c r="AL2730" s="8"/>
      <c r="AM2730" s="8"/>
      <c r="AN2730" s="8"/>
      <c r="AO2730" s="8" t="str">
        <f ca="1">IFERROR(__xludf.DUMMYFUNCTION("""COMPUTED_VALUE"""),"No")</f>
        <v>No</v>
      </c>
      <c r="AP2730" s="8"/>
      <c r="AQ2730" s="8" t="str">
        <f ca="1">IFERROR(__xludf.DUMMYFUNCTION("""COMPUTED_VALUE"""),"Unknown")</f>
        <v>Unknown</v>
      </c>
      <c r="AR2730" s="8" t="str">
        <f ca="1">IFERROR(__xludf.DUMMYFUNCTION("""COMPUTED_VALUE"""),"NA")</f>
        <v>NA</v>
      </c>
      <c r="AS2730" s="8">
        <f ca="1">IFERROR(__xludf.DUMMYFUNCTION("""COMPUTED_VALUE"""),8)</f>
        <v>8</v>
      </c>
      <c r="AT2730" s="8"/>
      <c r="AU2730" s="8">
        <f ca="1">IFERROR(__xludf.DUMMYFUNCTION("""COMPUTED_VALUE"""),35.171555)</f>
        <v>35.171554999999998</v>
      </c>
      <c r="AV2730" s="8">
        <f ca="1">IFERROR(__xludf.DUMMYFUNCTION("""COMPUTED_VALUE"""),-80.833236)</f>
        <v>-80.833235999999999</v>
      </c>
      <c r="AW2730" s="8"/>
      <c r="AX2730" s="8">
        <f ca="1">IFERROR(__xludf.DUMMYFUNCTION("""COMPUTED_VALUE"""),28209)</f>
        <v>28209</v>
      </c>
    </row>
    <row r="2731" spans="1:50" ht="90" x14ac:dyDescent="0.2">
      <c r="A2731" s="8" t="str">
        <f ca="1">IFERROR(__xludf.DUMMYFUNCTION("""COMPUTED_VALUE"""),"19900531TXSUF")</f>
        <v>19900531TXSUF</v>
      </c>
      <c r="B2731" s="8">
        <f ca="1">IFERROR(__xludf.DUMMYFUNCTION("""COMPUTED_VALUE"""),5)</f>
        <v>5</v>
      </c>
      <c r="C2731" s="8">
        <f ca="1">IFERROR(__xludf.DUMMYFUNCTION("""COMPUTED_VALUE"""),31)</f>
        <v>31</v>
      </c>
      <c r="D2731" s="8">
        <f ca="1">IFERROR(__xludf.DUMMYFUNCTION("""COMPUTED_VALUE"""),1990)</f>
        <v>1990</v>
      </c>
      <c r="E2731" s="9">
        <f ca="1">IFERROR(__xludf.DUMMYFUNCTION("""COMPUTED_VALUE"""),33024)</f>
        <v>33024</v>
      </c>
      <c r="F2731" s="8" t="str">
        <f ca="1">IFERROR(__xludf.DUMMYFUNCTION("""COMPUTED_VALUE"""),"Sunrise Elementary School")</f>
        <v>Sunrise Elementary School</v>
      </c>
      <c r="G2731" s="8">
        <f ca="1">IFERROR(__xludf.DUMMYFUNCTION("""COMPUTED_VALUE"""),0)</f>
        <v>0</v>
      </c>
      <c r="H2731" s="8">
        <f ca="1">IFERROR(__xludf.DUMMYFUNCTION("""COMPUTED_VALUE"""),2)</f>
        <v>2</v>
      </c>
      <c r="I2731" s="8">
        <f ca="1">IFERROR(__xludf.DUMMYFUNCTION("""COMPUTED_VALUE"""),2)</f>
        <v>2</v>
      </c>
      <c r="J2731" s="8">
        <f ca="1">IFERROR(__xludf.DUMMYFUNCTION("""COMPUTED_VALUE"""),0)</f>
        <v>0</v>
      </c>
      <c r="K2731" s="8" t="str">
        <f ca="1">IFERROR(__xludf.DUMMYFUNCTION("""COMPUTED_VALUE"""),"https://www.newspapers.com/image/213770638/?terms=Sunrise%2BElementary%2BSchool   https://www.newspapers.com/image/431528264/?terms=sunrise%2Belementary%2Bschool")</f>
        <v>https://www.newspapers.com/image/213770638/?terms=Sunrise%2BElementary%2BSchool   https://www.newspapers.com/image/431528264/?terms=sunrise%2Belementary%2Bschool</v>
      </c>
      <c r="L2731" s="8"/>
      <c r="M2731" s="8"/>
      <c r="N2731" s="8">
        <f ca="1">IFERROR(__xludf.DUMMYFUNCTION("""COMPUTED_VALUE"""),2)</f>
        <v>2</v>
      </c>
      <c r="O2731" s="8" t="str">
        <f ca="1">IFERROR(__xludf.DUMMYFUNCTION("""COMPUTED_VALUE"""),"Spring")</f>
        <v>Spring</v>
      </c>
      <c r="P2731" s="8" t="str">
        <f ca="1">IFERROR(__xludf.DUMMYFUNCTION("""COMPUTED_VALUE"""),"Fort Worth")</f>
        <v>Fort Worth</v>
      </c>
      <c r="Q2731" s="8" t="str">
        <f ca="1">IFERROR(__xludf.DUMMYFUNCTION("""COMPUTED_VALUE"""),"TX")</f>
        <v>TX</v>
      </c>
      <c r="R2731" s="8" t="str">
        <f ca="1">IFERROR(__xludf.DUMMYFUNCTION("""COMPUTED_VALUE"""),"Elementary")</f>
        <v>Elementary</v>
      </c>
      <c r="S2731" s="8" t="str">
        <f ca="1">IFERROR(__xludf.DUMMYFUNCTION("""COMPUTED_VALUE"""),"Playground")</f>
        <v>Playground</v>
      </c>
      <c r="T2731" s="8" t="str">
        <f ca="1">IFERROR(__xludf.DUMMYFUNCTION("""COMPUTED_VALUE"""),"Outside on School Property")</f>
        <v>Outside on School Property</v>
      </c>
      <c r="U2731" s="8" t="str">
        <f ca="1">IFERROR(__xludf.DUMMYFUNCTION("""COMPUTED_VALUE"""),"Yes")</f>
        <v>Yes</v>
      </c>
      <c r="V2731" s="8" t="str">
        <f ca="1">IFERROR(__xludf.DUMMYFUNCTION("""COMPUTED_VALUE"""),"Morning Classes")</f>
        <v>Morning Classes</v>
      </c>
      <c r="W2731" s="11">
        <f ca="1">IFERROR(__xludf.DUMMYFUNCTION("""COMPUTED_VALUE"""),0.427083333333333)</f>
        <v>0.42708333333333298</v>
      </c>
      <c r="X2731" s="8">
        <f ca="1">IFERROR(__xludf.DUMMYFUNCTION("""COMPUTED_VALUE"""),1)</f>
        <v>1</v>
      </c>
      <c r="Y2731" s="12" t="str">
        <f ca="1">IFERROR(__xludf.DUMMYFUNCTION("""COMPUTED_VALUE"""),"Teenagers joyriding fired at two elementary school students on a school playground")</f>
        <v>Teenagers joyriding fired at two elementary school students on a school playground</v>
      </c>
      <c r="Z2731" s="12" t="str">
        <f ca="1">IFERROR(__xludf.DUMMYFUNCTION("""COMPUTED_VALUE"""),"15YOM and 16YOM male driving in vehicle fired shots for .22 handgun at playground striking two elementary school students. The shooters were later caught and said they were playing around. 16YO who fired was released to his father for punishment who brand"&amp;"ed him with a ""2"" to signify the two student he could have killed.")</f>
        <v>15YOM and 16YOM male driving in vehicle fired shots for .22 handgun at playground striking two elementary school students. The shooters were later caught and said they were playing around. 16YO who fired was released to his father for punishment who branded him with a "2" to signify the two student he could have killed.</v>
      </c>
      <c r="AA2731" s="8" t="str">
        <f ca="1">IFERROR(__xludf.DUMMYFUNCTION("""COMPUTED_VALUE"""),"Indiscriminate Shooting")</f>
        <v>Indiscriminate Shooting</v>
      </c>
      <c r="AB2731" s="8"/>
      <c r="AC2731" s="8"/>
      <c r="AD2731" s="8" t="str">
        <f ca="1">IFERROR(__xludf.DUMMYFUNCTION("""COMPUTED_VALUE"""),"Random Shooting")</f>
        <v>Random Shooting</v>
      </c>
      <c r="AE2731" s="8" t="str">
        <f ca="1">IFERROR(__xludf.DUMMYFUNCTION("""COMPUTED_VALUE"""),"No")</f>
        <v>No</v>
      </c>
      <c r="AF2731" s="8"/>
      <c r="AG2731" s="8" t="str">
        <f ca="1">IFERROR(__xludf.DUMMYFUNCTION("""COMPUTED_VALUE"""),"No")</f>
        <v>No</v>
      </c>
      <c r="AH2731" s="8" t="str">
        <f ca="1">IFERROR(__xludf.DUMMYFUNCTION("""COMPUTED_VALUE"""),"No")</f>
        <v>No</v>
      </c>
      <c r="AI2731" s="8" t="str">
        <f ca="1">IFERROR(__xludf.DUMMYFUNCTION("""COMPUTED_VALUE"""),"No")</f>
        <v>No</v>
      </c>
      <c r="AJ2731" s="8" t="str">
        <f ca="1">IFERROR(__xludf.DUMMYFUNCTION("""COMPUTED_VALUE"""),"No")</f>
        <v>No</v>
      </c>
      <c r="AK2731" s="8" t="str">
        <f ca="1">IFERROR(__xludf.DUMMYFUNCTION("""COMPUTED_VALUE"""),"No")</f>
        <v>No</v>
      </c>
      <c r="AL2731" s="8" t="str">
        <f ca="1">IFERROR(__xludf.DUMMYFUNCTION("""COMPUTED_VALUE"""),"No")</f>
        <v>No</v>
      </c>
      <c r="AM2731" s="8"/>
      <c r="AN2731" s="8"/>
      <c r="AO2731" s="8" t="str">
        <f ca="1">IFERROR(__xludf.DUMMYFUNCTION("""COMPUTED_VALUE"""),"No")</f>
        <v>No</v>
      </c>
      <c r="AP2731" s="8"/>
      <c r="AQ2731" s="8" t="str">
        <f ca="1">IFERROR(__xludf.DUMMYFUNCTION("""COMPUTED_VALUE"""),"Unknown")</f>
        <v>Unknown</v>
      </c>
      <c r="AR2731" s="8" t="str">
        <f ca="1">IFERROR(__xludf.DUMMYFUNCTION("""COMPUTED_VALUE"""),"NA")</f>
        <v>NA</v>
      </c>
      <c r="AS2731" s="8">
        <f ca="1">IFERROR(__xludf.DUMMYFUNCTION("""COMPUTED_VALUE"""),4)</f>
        <v>4</v>
      </c>
      <c r="AT2731" s="8"/>
      <c r="AU2731" s="8">
        <f ca="1">IFERROR(__xludf.DUMMYFUNCTION("""COMPUTED_VALUE"""),32.711721)</f>
        <v>32.711720999999997</v>
      </c>
      <c r="AV2731" s="8">
        <f ca="1">IFERROR(__xludf.DUMMYFUNCTION("""COMPUTED_VALUE"""),-97.237083)</f>
        <v>-97.237082999999998</v>
      </c>
      <c r="AW2731" s="8"/>
      <c r="AX2731" s="8">
        <f ca="1">IFERROR(__xludf.DUMMYFUNCTION("""COMPUTED_VALUE"""),76119)</f>
        <v>76119</v>
      </c>
    </row>
    <row r="2732" spans="1:50" ht="30" x14ac:dyDescent="0.2">
      <c r="A2732" s="8" t="str">
        <f ca="1">IFERROR(__xludf.DUMMYFUNCTION("""COMPUTED_VALUE"""),"19900520TNHIC")</f>
        <v>19900520TNHIC</v>
      </c>
      <c r="B2732" s="8">
        <f ca="1">IFERROR(__xludf.DUMMYFUNCTION("""COMPUTED_VALUE"""),5)</f>
        <v>5</v>
      </c>
      <c r="C2732" s="8">
        <f ca="1">IFERROR(__xludf.DUMMYFUNCTION("""COMPUTED_VALUE"""),20)</f>
        <v>20</v>
      </c>
      <c r="D2732" s="8">
        <f ca="1">IFERROR(__xludf.DUMMYFUNCTION("""COMPUTED_VALUE"""),1990)</f>
        <v>1990</v>
      </c>
      <c r="E2732" s="9">
        <f ca="1">IFERROR(__xludf.DUMMYFUNCTION("""COMPUTED_VALUE"""),33013)</f>
        <v>33013</v>
      </c>
      <c r="F2732" s="8" t="str">
        <f ca="1">IFERROR(__xludf.DUMMYFUNCTION("""COMPUTED_VALUE"""),"Hickman County High School")</f>
        <v>Hickman County High School</v>
      </c>
      <c r="G2732" s="8">
        <f ca="1">IFERROR(__xludf.DUMMYFUNCTION("""COMPUTED_VALUE"""),1)</f>
        <v>1</v>
      </c>
      <c r="H2732" s="8">
        <f ca="1">IFERROR(__xludf.DUMMYFUNCTION("""COMPUTED_VALUE"""),0)</f>
        <v>0</v>
      </c>
      <c r="I2732" s="8">
        <f ca="1">IFERROR(__xludf.DUMMYFUNCTION("""COMPUTED_VALUE"""),1)</f>
        <v>1</v>
      </c>
      <c r="J2732" s="8">
        <f ca="1">IFERROR(__xludf.DUMMYFUNCTION("""COMPUTED_VALUE"""),0)</f>
        <v>0</v>
      </c>
      <c r="K2732" s="10" t="str">
        <f ca="1">IFERROR(__xludf.DUMMYFUNCTION("""COMPUTED_VALUE"""),"https://news.google.com/newspapers?nid=1310&amp;dat=19900521&amp;id=wcJWAAAAIBAJ&amp;sjid=0eoDAAAAIBAJ&amp;pg=6655,5338612,")</f>
        <v>https://news.google.com/newspapers?nid=1310&amp;dat=19900521&amp;id=wcJWAAAAIBAJ&amp;sjid=0eoDAAAAIBAJ&amp;pg=6655,5338612,</v>
      </c>
      <c r="L2732" s="8"/>
      <c r="M2732" s="8"/>
      <c r="N2732" s="8">
        <f ca="1">IFERROR(__xludf.DUMMYFUNCTION("""COMPUTED_VALUE"""),2)</f>
        <v>2</v>
      </c>
      <c r="O2732" s="8" t="str">
        <f ca="1">IFERROR(__xludf.DUMMYFUNCTION("""COMPUTED_VALUE"""),"Spring")</f>
        <v>Spring</v>
      </c>
      <c r="P2732" s="8" t="str">
        <f ca="1">IFERROR(__xludf.DUMMYFUNCTION("""COMPUTED_VALUE"""),"Centerville")</f>
        <v>Centerville</v>
      </c>
      <c r="Q2732" s="8" t="str">
        <f ca="1">IFERROR(__xludf.DUMMYFUNCTION("""COMPUTED_VALUE"""),"TN")</f>
        <v>TN</v>
      </c>
      <c r="R2732" s="8" t="str">
        <f ca="1">IFERROR(__xludf.DUMMYFUNCTION("""COMPUTED_VALUE"""),"High")</f>
        <v>High</v>
      </c>
      <c r="S2732" s="8" t="str">
        <f ca="1">IFERROR(__xludf.DUMMYFUNCTION("""COMPUTED_VALUE"""),"Hallway")</f>
        <v>Hallway</v>
      </c>
      <c r="T2732" s="8" t="str">
        <f ca="1">IFERROR(__xludf.DUMMYFUNCTION("""COMPUTED_VALUE"""),"Inside School Building")</f>
        <v>Inside School Building</v>
      </c>
      <c r="U2732" s="8" t="str">
        <f ca="1">IFERROR(__xludf.DUMMYFUNCTION("""COMPUTED_VALUE"""),"No")</f>
        <v>No</v>
      </c>
      <c r="V2732" s="8" t="str">
        <f ca="1">IFERROR(__xludf.DUMMYFUNCTION("""COMPUTED_VALUE"""),"Not a School Day")</f>
        <v>Not a School Day</v>
      </c>
      <c r="W2732" s="11">
        <f ca="1">IFERROR(__xludf.DUMMYFUNCTION("""COMPUTED_VALUE"""),0.375)</f>
        <v>0.375</v>
      </c>
      <c r="X2732" s="8"/>
      <c r="Y2732" s="12" t="str">
        <f ca="1">IFERROR(__xludf.DUMMYFUNCTION("""COMPUTED_VALUE"""),"Caught trying to set fire to school")</f>
        <v>Caught trying to set fire to school</v>
      </c>
      <c r="Z2732" s="12" t="str">
        <f ca="1">IFERROR(__xludf.DUMMYFUNCTION("""COMPUTED_VALUE"""),"Suspect (science teacher) shot assistant principal who caught him trying to set fire to several areas in school.")</f>
        <v>Suspect (science teacher) shot assistant principal who caught him trying to set fire to several areas in school.</v>
      </c>
      <c r="AA2732" s="8" t="str">
        <f ca="1">IFERROR(__xludf.DUMMYFUNCTION("""COMPUTED_VALUE"""),"Psychosis")</f>
        <v>Psychosis</v>
      </c>
      <c r="AB2732" s="8"/>
      <c r="AC2732" s="8"/>
      <c r="AD2732" s="8" t="str">
        <f ca="1">IFERROR(__xludf.DUMMYFUNCTION("""COMPUTED_VALUE"""),"Victims Targeted")</f>
        <v>Victims Targeted</v>
      </c>
      <c r="AE2732" s="8" t="str">
        <f ca="1">IFERROR(__xludf.DUMMYFUNCTION("""COMPUTED_VALUE"""),"No")</f>
        <v>No</v>
      </c>
      <c r="AF2732" s="8"/>
      <c r="AG2732" s="8" t="str">
        <f ca="1">IFERROR(__xludf.DUMMYFUNCTION("""COMPUTED_VALUE"""),"No")</f>
        <v>No</v>
      </c>
      <c r="AH2732" s="8" t="str">
        <f ca="1">IFERROR(__xludf.DUMMYFUNCTION("""COMPUTED_VALUE"""),"No")</f>
        <v>No</v>
      </c>
      <c r="AI2732" s="8" t="str">
        <f ca="1">IFERROR(__xludf.DUMMYFUNCTION("""COMPUTED_VALUE"""),"No")</f>
        <v>No</v>
      </c>
      <c r="AJ2732" s="8" t="str">
        <f ca="1">IFERROR(__xludf.DUMMYFUNCTION("""COMPUTED_VALUE"""),"No")</f>
        <v>No</v>
      </c>
      <c r="AK2732" s="8" t="str">
        <f ca="1">IFERROR(__xludf.DUMMYFUNCTION("""COMPUTED_VALUE"""),"No")</f>
        <v>No</v>
      </c>
      <c r="AL2732" s="8" t="str">
        <f ca="1">IFERROR(__xludf.DUMMYFUNCTION("""COMPUTED_VALUE"""),"No")</f>
        <v>No</v>
      </c>
      <c r="AM2732" s="8"/>
      <c r="AN2732" s="8"/>
      <c r="AO2732" s="8" t="str">
        <f ca="1">IFERROR(__xludf.DUMMYFUNCTION("""COMPUTED_VALUE"""),"No")</f>
        <v>No</v>
      </c>
      <c r="AP2732" s="8"/>
      <c r="AQ2732" s="8" t="str">
        <f ca="1">IFERROR(__xludf.DUMMYFUNCTION("""COMPUTED_VALUE"""),"Unknown")</f>
        <v>Unknown</v>
      </c>
      <c r="AR2732" s="8" t="str">
        <f ca="1">IFERROR(__xludf.DUMMYFUNCTION("""COMPUTED_VALUE"""),"NA")</f>
        <v>NA</v>
      </c>
      <c r="AS2732" s="8">
        <f ca="1">IFERROR(__xludf.DUMMYFUNCTION("""COMPUTED_VALUE"""),2)</f>
        <v>2</v>
      </c>
      <c r="AT2732" s="8"/>
      <c r="AU2732" s="8">
        <f ca="1">IFERROR(__xludf.DUMMYFUNCTION("""COMPUTED_VALUE"""),35.808282)</f>
        <v>35.808281999999998</v>
      </c>
      <c r="AV2732" s="8">
        <f ca="1">IFERROR(__xludf.DUMMYFUNCTION("""COMPUTED_VALUE"""),-87.42966)</f>
        <v>-87.429659999999998</v>
      </c>
      <c r="AW2732" s="8"/>
      <c r="AX2732" s="8">
        <f ca="1">IFERROR(__xludf.DUMMYFUNCTION("""COMPUTED_VALUE"""),37033)</f>
        <v>37033</v>
      </c>
    </row>
    <row r="2733" spans="1:50" ht="90" x14ac:dyDescent="0.2">
      <c r="A2733" s="8" t="str">
        <f ca="1">IFERROR(__xludf.DUMMYFUNCTION("""COMPUTED_VALUE"""),"19900504CAMOE")</f>
        <v>19900504CAMOE</v>
      </c>
      <c r="B2733" s="8">
        <f ca="1">IFERROR(__xludf.DUMMYFUNCTION("""COMPUTED_VALUE"""),5)</f>
        <v>5</v>
      </c>
      <c r="C2733" s="8">
        <f ca="1">IFERROR(__xludf.DUMMYFUNCTION("""COMPUTED_VALUE"""),4)</f>
        <v>4</v>
      </c>
      <c r="D2733" s="8">
        <f ca="1">IFERROR(__xludf.DUMMYFUNCTION("""COMPUTED_VALUE"""),1990)</f>
        <v>1990</v>
      </c>
      <c r="E2733" s="9">
        <f ca="1">IFERROR(__xludf.DUMMYFUNCTION("""COMPUTED_VALUE"""),32997)</f>
        <v>32997</v>
      </c>
      <c r="F2733" s="8" t="str">
        <f ca="1">IFERROR(__xludf.DUMMYFUNCTION("""COMPUTED_VALUE"""),"Mount Pleasant High School")</f>
        <v>Mount Pleasant High School</v>
      </c>
      <c r="G2733" s="8">
        <f ca="1">IFERROR(__xludf.DUMMYFUNCTION("""COMPUTED_VALUE"""),1)</f>
        <v>1</v>
      </c>
      <c r="H2733" s="8">
        <f ca="1">IFERROR(__xludf.DUMMYFUNCTION("""COMPUTED_VALUE"""),1)</f>
        <v>1</v>
      </c>
      <c r="I2733" s="8">
        <f ca="1">IFERROR(__xludf.DUMMYFUNCTION("""COMPUTED_VALUE"""),2)</f>
        <v>2</v>
      </c>
      <c r="J2733" s="8">
        <f ca="1">IFERROR(__xludf.DUMMYFUNCTION("""COMPUTED_VALUE"""),0)</f>
        <v>0</v>
      </c>
      <c r="K2733" s="10" t="str">
        <f ca="1">IFERROR(__xludf.DUMMYFUNCTION("""COMPUTED_VALUE"""),"https://www.newspapers.com/image/462261165/?terms=Mount%2BPleasant%2BHigh%2BSchool%2Bshooting")</f>
        <v>https://www.newspapers.com/image/462261165/?terms=Mount%2BPleasant%2BHigh%2BSchool%2Bshooting</v>
      </c>
      <c r="L2733" s="8"/>
      <c r="M2733" s="8"/>
      <c r="N2733" s="8">
        <f ca="1">IFERROR(__xludf.DUMMYFUNCTION("""COMPUTED_VALUE"""),2)</f>
        <v>2</v>
      </c>
      <c r="O2733" s="8" t="str">
        <f ca="1">IFERROR(__xludf.DUMMYFUNCTION("""COMPUTED_VALUE"""),"Spring")</f>
        <v>Spring</v>
      </c>
      <c r="P2733" s="8" t="str">
        <f ca="1">IFERROR(__xludf.DUMMYFUNCTION("""COMPUTED_VALUE"""),"East San Jose")</f>
        <v>East San Jose</v>
      </c>
      <c r="Q2733" s="8" t="str">
        <f ca="1">IFERROR(__xludf.DUMMYFUNCTION("""COMPUTED_VALUE"""),"CA")</f>
        <v>CA</v>
      </c>
      <c r="R2733" s="8" t="str">
        <f ca="1">IFERROR(__xludf.DUMMYFUNCTION("""COMPUTED_VALUE"""),"High")</f>
        <v>High</v>
      </c>
      <c r="S2733" s="8" t="str">
        <f ca="1">IFERROR(__xludf.DUMMYFUNCTION("""COMPUTED_VALUE"""),"Hallway")</f>
        <v>Hallway</v>
      </c>
      <c r="T2733" s="8" t="str">
        <f ca="1">IFERROR(__xludf.DUMMYFUNCTION("""COMPUTED_VALUE"""),"Inside School Building")</f>
        <v>Inside School Building</v>
      </c>
      <c r="U2733" s="8" t="str">
        <f ca="1">IFERROR(__xludf.DUMMYFUNCTION("""COMPUTED_VALUE"""),"Yes")</f>
        <v>Yes</v>
      </c>
      <c r="V2733" s="8"/>
      <c r="W2733" s="8"/>
      <c r="X2733" s="8">
        <f ca="1">IFERROR(__xludf.DUMMYFUNCTION("""COMPUTED_VALUE"""),1)</f>
        <v>1</v>
      </c>
      <c r="Y2733" s="12" t="str">
        <f ca="1">IFERROR(__xludf.DUMMYFUNCTION("""COMPUTED_VALUE"""),"Group of Vietnamese students had Ongoing argument with group of white students")</f>
        <v>Group of Vietnamese students had Ongoing argument with group of white students</v>
      </c>
      <c r="Z2733" s="12" t="str">
        <f ca="1">IFERROR(__xludf.DUMMYFUNCTION("""COMPUTED_VALUE"""),"Group of Vietnamese students had an ongoing dispute with a group of white students. The group of Vietnamese students yelled slurs at a group of white students in the hallway, they misidentified the students they had the issue with and fired shot striking "&amp;"two uninvolved students.")</f>
        <v>Group of Vietnamese students had an ongoing dispute with a group of white students. The group of Vietnamese students yelled slurs at a group of white students in the hallway, they misidentified the students they had the issue with and fired shot striking two uninvolved students.</v>
      </c>
      <c r="AA2733" s="8" t="str">
        <f ca="1">IFERROR(__xludf.DUMMYFUNCTION("""COMPUTED_VALUE"""),"Racial")</f>
        <v>Racial</v>
      </c>
      <c r="AB2733" s="8"/>
      <c r="AC2733" s="8"/>
      <c r="AD2733" s="8" t="str">
        <f ca="1">IFERROR(__xludf.DUMMYFUNCTION("""COMPUTED_VALUE"""),"Both")</f>
        <v>Both</v>
      </c>
      <c r="AE2733" s="8" t="str">
        <f ca="1">IFERROR(__xludf.DUMMYFUNCTION("""COMPUTED_VALUE"""),"Yes")</f>
        <v>Yes</v>
      </c>
      <c r="AF2733" s="8" t="str">
        <f ca="1">IFERROR(__xludf.DUMMYFUNCTION("""COMPUTED_VALUE"""),"16YOM and 14 YOF arrested")</f>
        <v>16YOM and 14 YOF arrested</v>
      </c>
      <c r="AG2733" s="8" t="str">
        <f ca="1">IFERROR(__xludf.DUMMYFUNCTION("""COMPUTED_VALUE"""),"No")</f>
        <v>No</v>
      </c>
      <c r="AH2733" s="8" t="str">
        <f ca="1">IFERROR(__xludf.DUMMYFUNCTION("""COMPUTED_VALUE"""),"No")</f>
        <v>No</v>
      </c>
      <c r="AI2733" s="8" t="str">
        <f ca="1">IFERROR(__xludf.DUMMYFUNCTION("""COMPUTED_VALUE"""),"No")</f>
        <v>No</v>
      </c>
      <c r="AJ2733" s="8" t="str">
        <f ca="1">IFERROR(__xludf.DUMMYFUNCTION("""COMPUTED_VALUE"""),"No")</f>
        <v>No</v>
      </c>
      <c r="AK2733" s="8" t="str">
        <f ca="1">IFERROR(__xludf.DUMMYFUNCTION("""COMPUTED_VALUE"""),"No")</f>
        <v>No</v>
      </c>
      <c r="AL2733" s="8" t="str">
        <f ca="1">IFERROR(__xludf.DUMMYFUNCTION("""COMPUTED_VALUE"""),"No")</f>
        <v>No</v>
      </c>
      <c r="AM2733" s="8"/>
      <c r="AN2733" s="8"/>
      <c r="AO2733" s="8" t="str">
        <f ca="1">IFERROR(__xludf.DUMMYFUNCTION("""COMPUTED_VALUE"""),"No")</f>
        <v>No</v>
      </c>
      <c r="AP2733" s="8"/>
      <c r="AQ2733" s="8" t="str">
        <f ca="1">IFERROR(__xludf.DUMMYFUNCTION("""COMPUTED_VALUE"""),"Unknown")</f>
        <v>Unknown</v>
      </c>
      <c r="AR2733" s="8" t="str">
        <f ca="1">IFERROR(__xludf.DUMMYFUNCTION("""COMPUTED_VALUE"""),"NA")</f>
        <v>NA</v>
      </c>
      <c r="AS2733" s="8"/>
      <c r="AT2733" s="8"/>
      <c r="AU2733" s="8">
        <f ca="1">IFERROR(__xludf.DUMMYFUNCTION("""COMPUTED_VALUE"""),37.346271)</f>
        <v>37.346271000000002</v>
      </c>
      <c r="AV2733" s="8">
        <f ca="1">IFERROR(__xludf.DUMMYFUNCTION("""COMPUTED_VALUE"""),-121.808899)</f>
        <v>-121.808899</v>
      </c>
      <c r="AW2733" s="8"/>
      <c r="AX2733" s="8">
        <f ca="1">IFERROR(__xludf.DUMMYFUNCTION("""COMPUTED_VALUE"""),95127)</f>
        <v>95127</v>
      </c>
    </row>
    <row r="2734" spans="1:50" ht="60" x14ac:dyDescent="0.2">
      <c r="A2734" s="8" t="str">
        <f ca="1">IFERROR(__xludf.DUMMYFUNCTION("""COMPUTED_VALUE"""),"19900403TXSKD")</f>
        <v>19900403TXSKD</v>
      </c>
      <c r="B2734" s="8">
        <f ca="1">IFERROR(__xludf.DUMMYFUNCTION("""COMPUTED_VALUE"""),4)</f>
        <v>4</v>
      </c>
      <c r="C2734" s="8">
        <f ca="1">IFERROR(__xludf.DUMMYFUNCTION("""COMPUTED_VALUE"""),3)</f>
        <v>3</v>
      </c>
      <c r="D2734" s="8">
        <f ca="1">IFERROR(__xludf.DUMMYFUNCTION("""COMPUTED_VALUE"""),1990)</f>
        <v>1990</v>
      </c>
      <c r="E2734" s="9">
        <f ca="1">IFERROR(__xludf.DUMMYFUNCTION("""COMPUTED_VALUE"""),32966)</f>
        <v>32966</v>
      </c>
      <c r="F2734" s="8" t="str">
        <f ca="1">IFERROR(__xludf.DUMMYFUNCTION("""COMPUTED_VALUE"""),"Skyline High School")</f>
        <v>Skyline High School</v>
      </c>
      <c r="G2734" s="8">
        <f ca="1">IFERROR(__xludf.DUMMYFUNCTION("""COMPUTED_VALUE"""),0)</f>
        <v>0</v>
      </c>
      <c r="H2734" s="8">
        <f ca="1">IFERROR(__xludf.DUMMYFUNCTION("""COMPUTED_VALUE"""),1)</f>
        <v>1</v>
      </c>
      <c r="I2734" s="8">
        <f ca="1">IFERROR(__xludf.DUMMYFUNCTION("""COMPUTED_VALUE"""),1)</f>
        <v>1</v>
      </c>
      <c r="J2734" s="8">
        <f ca="1">IFERROR(__xludf.DUMMYFUNCTION("""COMPUTED_VALUE"""),0)</f>
        <v>0</v>
      </c>
      <c r="K2734" s="10" t="str">
        <f ca="1">IFERROR(__xludf.DUMMYFUNCTION("""COMPUTED_VALUE"""),"https://www.newspapers.com/image/13852014/?terms=Skyline%2BHigh%2BSchool%2Bshooting")</f>
        <v>https://www.newspapers.com/image/13852014/?terms=Skyline%2BHigh%2BSchool%2Bshooting</v>
      </c>
      <c r="L2734" s="8"/>
      <c r="M2734" s="8"/>
      <c r="N2734" s="8">
        <f ca="1">IFERROR(__xludf.DUMMYFUNCTION("""COMPUTED_VALUE"""),2)</f>
        <v>2</v>
      </c>
      <c r="O2734" s="8" t="str">
        <f ca="1">IFERROR(__xludf.DUMMYFUNCTION("""COMPUTED_VALUE"""),"Spring")</f>
        <v>Spring</v>
      </c>
      <c r="P2734" s="8" t="str">
        <f ca="1">IFERROR(__xludf.DUMMYFUNCTION("""COMPUTED_VALUE"""),"Dallas")</f>
        <v>Dallas</v>
      </c>
      <c r="Q2734" s="8" t="str">
        <f ca="1">IFERROR(__xludf.DUMMYFUNCTION("""COMPUTED_VALUE"""),"TX")</f>
        <v>TX</v>
      </c>
      <c r="R2734" s="8" t="str">
        <f ca="1">IFERROR(__xludf.DUMMYFUNCTION("""COMPUTED_VALUE"""),"High")</f>
        <v>High</v>
      </c>
      <c r="S2734" s="8" t="str">
        <f ca="1">IFERROR(__xludf.DUMMYFUNCTION("""COMPUTED_VALUE"""),"Hallway")</f>
        <v>Hallway</v>
      </c>
      <c r="T2734" s="8" t="str">
        <f ca="1">IFERROR(__xludf.DUMMYFUNCTION("""COMPUTED_VALUE"""),"Inside School Building")</f>
        <v>Inside School Building</v>
      </c>
      <c r="U2734" s="8" t="str">
        <f ca="1">IFERROR(__xludf.DUMMYFUNCTION("""COMPUTED_VALUE"""),"Yes")</f>
        <v>Yes</v>
      </c>
      <c r="V2734" s="8"/>
      <c r="W2734" s="8"/>
      <c r="X2734" s="8"/>
      <c r="Y2734" s="12" t="str">
        <f ca="1">IFERROR(__xludf.DUMMYFUNCTION("""COMPUTED_VALUE"""),"Earlier fight escalated into shooting in school hallway")</f>
        <v>Earlier fight escalated into shooting in school hallway</v>
      </c>
      <c r="Z2734" s="12" t="str">
        <f ca="1">IFERROR(__xludf.DUMMYFUNCTION("""COMPUTED_VALUE"""),"16YOM (victim) and 17YOM (shooter) had previous fight at apartment complex. Later at the school, the shooter ran into the victim in the main hallway of the school building and shot him. Shooter fled the scene.")</f>
        <v>16YOM (victim) and 17YOM (shooter) had previous fight at apartment complex. Later at the school, the shooter ran into the victim in the main hallway of the school building and shot him. Shooter fled the scene.</v>
      </c>
      <c r="AA2734" s="8" t="str">
        <f ca="1">IFERROR(__xludf.DUMMYFUNCTION("""COMPUTED_VALUE"""),"Escalation of Dispute")</f>
        <v>Escalation of Dispute</v>
      </c>
      <c r="AB2734" s="8"/>
      <c r="AC2734" s="8"/>
      <c r="AD2734" s="8" t="str">
        <f ca="1">IFERROR(__xludf.DUMMYFUNCTION("""COMPUTED_VALUE"""),"Victims Targeted")</f>
        <v>Victims Targeted</v>
      </c>
      <c r="AE2734" s="8" t="str">
        <f ca="1">IFERROR(__xludf.DUMMYFUNCTION("""COMPUTED_VALUE"""),"No")</f>
        <v>No</v>
      </c>
      <c r="AF2734" s="8"/>
      <c r="AG2734" s="8" t="str">
        <f ca="1">IFERROR(__xludf.DUMMYFUNCTION("""COMPUTED_VALUE"""),"No")</f>
        <v>No</v>
      </c>
      <c r="AH2734" s="8" t="str">
        <f ca="1">IFERROR(__xludf.DUMMYFUNCTION("""COMPUTED_VALUE"""),"No")</f>
        <v>No</v>
      </c>
      <c r="AI2734" s="8" t="str">
        <f ca="1">IFERROR(__xludf.DUMMYFUNCTION("""COMPUTED_VALUE"""),"No")</f>
        <v>No</v>
      </c>
      <c r="AJ2734" s="8" t="str">
        <f ca="1">IFERROR(__xludf.DUMMYFUNCTION("""COMPUTED_VALUE"""),"No")</f>
        <v>No</v>
      </c>
      <c r="AK2734" s="8" t="str">
        <f ca="1">IFERROR(__xludf.DUMMYFUNCTION("""COMPUTED_VALUE"""),"No")</f>
        <v>No</v>
      </c>
      <c r="AL2734" s="8" t="str">
        <f ca="1">IFERROR(__xludf.DUMMYFUNCTION("""COMPUTED_VALUE"""),"No")</f>
        <v>No</v>
      </c>
      <c r="AM2734" s="8"/>
      <c r="AN2734" s="8"/>
      <c r="AO2734" s="8" t="str">
        <f ca="1">IFERROR(__xludf.DUMMYFUNCTION("""COMPUTED_VALUE"""),"No")</f>
        <v>No</v>
      </c>
      <c r="AP2734" s="8"/>
      <c r="AQ2734" s="8" t="str">
        <f ca="1">IFERROR(__xludf.DUMMYFUNCTION("""COMPUTED_VALUE"""),"Unknown")</f>
        <v>Unknown</v>
      </c>
      <c r="AR2734" s="8" t="str">
        <f ca="1">IFERROR(__xludf.DUMMYFUNCTION("""COMPUTED_VALUE"""),"NA")</f>
        <v>NA</v>
      </c>
      <c r="AS2734" s="8" t="str">
        <f ca="1">IFERROR(__xludf.DUMMYFUNCTION("""COMPUTED_VALUE"""),"&lt;10")</f>
        <v>&lt;10</v>
      </c>
      <c r="AT2734" s="8"/>
      <c r="AU2734" s="8">
        <f ca="1">IFERROR(__xludf.DUMMYFUNCTION("""COMPUTED_VALUE"""),32.780378)</f>
        <v>32.780377999999999</v>
      </c>
      <c r="AV2734" s="8">
        <f ca="1">IFERROR(__xludf.DUMMYFUNCTION("""COMPUTED_VALUE"""),-96.690068)</f>
        <v>-96.690067999999997</v>
      </c>
      <c r="AW2734" s="8"/>
      <c r="AX2734" s="8">
        <f ca="1">IFERROR(__xludf.DUMMYFUNCTION("""COMPUTED_VALUE"""),75227)</f>
        <v>75227</v>
      </c>
    </row>
    <row r="2735" spans="1:50" ht="75" x14ac:dyDescent="0.2">
      <c r="A2735" s="8" t="str">
        <f ca="1">IFERROR(__xludf.DUMMYFUNCTION("""COMPUTED_VALUE"""),"19900327NYNEB")</f>
        <v>19900327NYNEB</v>
      </c>
      <c r="B2735" s="8">
        <f ca="1">IFERROR(__xludf.DUMMYFUNCTION("""COMPUTED_VALUE"""),3)</f>
        <v>3</v>
      </c>
      <c r="C2735" s="8">
        <f ca="1">IFERROR(__xludf.DUMMYFUNCTION("""COMPUTED_VALUE"""),27)</f>
        <v>27</v>
      </c>
      <c r="D2735" s="8">
        <f ca="1">IFERROR(__xludf.DUMMYFUNCTION("""COMPUTED_VALUE"""),1990)</f>
        <v>1990</v>
      </c>
      <c r="E2735" s="9">
        <f ca="1">IFERROR(__xludf.DUMMYFUNCTION("""COMPUTED_VALUE"""),32959)</f>
        <v>32959</v>
      </c>
      <c r="F2735" s="8" t="str">
        <f ca="1">IFERROR(__xludf.DUMMYFUNCTION("""COMPUTED_VALUE"""),"New Utrecht High School")</f>
        <v>New Utrecht High School</v>
      </c>
      <c r="G2735" s="8">
        <f ca="1">IFERROR(__xludf.DUMMYFUNCTION("""COMPUTED_VALUE"""),0)</f>
        <v>0</v>
      </c>
      <c r="H2735" s="8">
        <f ca="1">IFERROR(__xludf.DUMMYFUNCTION("""COMPUTED_VALUE"""),1)</f>
        <v>1</v>
      </c>
      <c r="I2735" s="8">
        <f ca="1">IFERROR(__xludf.DUMMYFUNCTION("""COMPUTED_VALUE"""),1)</f>
        <v>1</v>
      </c>
      <c r="J2735" s="8">
        <f ca="1">IFERROR(__xludf.DUMMYFUNCTION("""COMPUTED_VALUE"""),0)</f>
        <v>0</v>
      </c>
      <c r="K2735" s="10" t="str">
        <f ca="1">IFERROR(__xludf.DUMMYFUNCTION("""COMPUTED_VALUE"""),"https://www.nytimes.com/1990/03/28/nyregion/a-black-is-shot-in-a-high-school-in-bensonshurst.html")</f>
        <v>https://www.nytimes.com/1990/03/28/nyregion/a-black-is-shot-in-a-high-school-in-bensonshurst.html</v>
      </c>
      <c r="L2735" s="8"/>
      <c r="M2735" s="8"/>
      <c r="N2735" s="8">
        <f ca="1">IFERROR(__xludf.DUMMYFUNCTION("""COMPUTED_VALUE"""),2)</f>
        <v>2</v>
      </c>
      <c r="O2735" s="8" t="str">
        <f ca="1">IFERROR(__xludf.DUMMYFUNCTION("""COMPUTED_VALUE"""),"Spring")</f>
        <v>Spring</v>
      </c>
      <c r="P2735" s="8" t="str">
        <f ca="1">IFERROR(__xludf.DUMMYFUNCTION("""COMPUTED_VALUE"""),"Brooklyn")</f>
        <v>Brooklyn</v>
      </c>
      <c r="Q2735" s="8" t="str">
        <f ca="1">IFERROR(__xludf.DUMMYFUNCTION("""COMPUTED_VALUE"""),"NY")</f>
        <v>NY</v>
      </c>
      <c r="R2735" s="8" t="str">
        <f ca="1">IFERROR(__xludf.DUMMYFUNCTION("""COMPUTED_VALUE"""),"High")</f>
        <v>High</v>
      </c>
      <c r="S2735" s="8" t="str">
        <f ca="1">IFERROR(__xludf.DUMMYFUNCTION("""COMPUTED_VALUE"""),"Hallway")</f>
        <v>Hallway</v>
      </c>
      <c r="T2735" s="8" t="str">
        <f ca="1">IFERROR(__xludf.DUMMYFUNCTION("""COMPUTED_VALUE"""),"Inside School Building")</f>
        <v>Inside School Building</v>
      </c>
      <c r="U2735" s="8" t="str">
        <f ca="1">IFERROR(__xludf.DUMMYFUNCTION("""COMPUTED_VALUE"""),"Yes")</f>
        <v>Yes</v>
      </c>
      <c r="V2735" s="8" t="str">
        <f ca="1">IFERROR(__xludf.DUMMYFUNCTION("""COMPUTED_VALUE"""),"Morning Classes")</f>
        <v>Morning Classes</v>
      </c>
      <c r="W2735" s="11">
        <f ca="1">IFERROR(__xludf.DUMMYFUNCTION("""COMPUTED_VALUE"""),0.361111111111111)</f>
        <v>0.36111111111111099</v>
      </c>
      <c r="X2735" s="8">
        <f ca="1">IFERROR(__xludf.DUMMYFUNCTION("""COMPUTED_VALUE"""),1)</f>
        <v>1</v>
      </c>
      <c r="Y2735" s="12" t="str">
        <f ca="1">IFERROR(__xludf.DUMMYFUNCTION("""COMPUTED_VALUE"""),"Racially motivated, three older white students confronted a black student and shot him")</f>
        <v>Racially motivated, three older white students confronted a black student and shot him</v>
      </c>
      <c r="Z2735" s="12" t="str">
        <f ca="1">IFERROR(__xludf.DUMMYFUNCTION("""COMPUTED_VALUE"""),"Three white students made racial slurs at a black student in a stairwell of the high school and fired a single shot striking him in the wrist. The shooting was part of a series of racial issues occuring in the neighborhood following the shooting of a blac"&amp;"k student by white students the prior year.")</f>
        <v>Three white students made racial slurs at a black student in a stairwell of the high school and fired a single shot striking him in the wrist. The shooting was part of a series of racial issues occuring in the neighborhood following the shooting of a black student by white students the prior year.</v>
      </c>
      <c r="AA2735" s="8" t="str">
        <f ca="1">IFERROR(__xludf.DUMMYFUNCTION("""COMPUTED_VALUE"""),"Racial")</f>
        <v>Racial</v>
      </c>
      <c r="AB2735" s="8"/>
      <c r="AC2735" s="8"/>
      <c r="AD2735" s="8" t="str">
        <f ca="1">IFERROR(__xludf.DUMMYFUNCTION("""COMPUTED_VALUE"""),"Victims Targeted")</f>
        <v>Victims Targeted</v>
      </c>
      <c r="AE2735" s="8" t="str">
        <f ca="1">IFERROR(__xludf.DUMMYFUNCTION("""COMPUTED_VALUE"""),"Yes")</f>
        <v>Yes</v>
      </c>
      <c r="AF2735" s="8" t="str">
        <f ca="1">IFERROR(__xludf.DUMMYFUNCTION("""COMPUTED_VALUE"""),"Three white teens involved")</f>
        <v>Three white teens involved</v>
      </c>
      <c r="AG2735" s="8" t="str">
        <f ca="1">IFERROR(__xludf.DUMMYFUNCTION("""COMPUTED_VALUE"""),"No")</f>
        <v>No</v>
      </c>
      <c r="AH2735" s="8" t="str">
        <f ca="1">IFERROR(__xludf.DUMMYFUNCTION("""COMPUTED_VALUE"""),"No")</f>
        <v>No</v>
      </c>
      <c r="AI2735" s="8" t="str">
        <f ca="1">IFERROR(__xludf.DUMMYFUNCTION("""COMPUTED_VALUE"""),"No")</f>
        <v>No</v>
      </c>
      <c r="AJ2735" s="8" t="str">
        <f ca="1">IFERROR(__xludf.DUMMYFUNCTION("""COMPUTED_VALUE"""),"No")</f>
        <v>No</v>
      </c>
      <c r="AK2735" s="8" t="str">
        <f ca="1">IFERROR(__xludf.DUMMYFUNCTION("""COMPUTED_VALUE"""),"No")</f>
        <v>No</v>
      </c>
      <c r="AL2735" s="8" t="str">
        <f ca="1">IFERROR(__xludf.DUMMYFUNCTION("""COMPUTED_VALUE"""),"No")</f>
        <v>No</v>
      </c>
      <c r="AM2735" s="8"/>
      <c r="AN2735" s="8"/>
      <c r="AO2735" s="8" t="str">
        <f ca="1">IFERROR(__xludf.DUMMYFUNCTION("""COMPUTED_VALUE"""),"No")</f>
        <v>No</v>
      </c>
      <c r="AP2735" s="8"/>
      <c r="AQ2735" s="8" t="str">
        <f ca="1">IFERROR(__xludf.DUMMYFUNCTION("""COMPUTED_VALUE"""),"Unknown")</f>
        <v>Unknown</v>
      </c>
      <c r="AR2735" s="8" t="str">
        <f ca="1">IFERROR(__xludf.DUMMYFUNCTION("""COMPUTED_VALUE"""),"NA")</f>
        <v>NA</v>
      </c>
      <c r="AS2735" s="8">
        <f ca="1">IFERROR(__xludf.DUMMYFUNCTION("""COMPUTED_VALUE"""),1)</f>
        <v>1</v>
      </c>
      <c r="AT2735" s="8"/>
      <c r="AU2735" s="8">
        <f ca="1">IFERROR(__xludf.DUMMYFUNCTION("""COMPUTED_VALUE"""),40.61313)</f>
        <v>40.613129999999998</v>
      </c>
      <c r="AV2735" s="8">
        <f ca="1">IFERROR(__xludf.DUMMYFUNCTION("""COMPUTED_VALUE"""),-74.002644)</f>
        <v>-74.002644000000004</v>
      </c>
      <c r="AW2735" s="8"/>
      <c r="AX2735" s="8">
        <f ca="1">IFERROR(__xludf.DUMMYFUNCTION("""COMPUTED_VALUE"""),11214)</f>
        <v>11214</v>
      </c>
    </row>
    <row r="2736" spans="1:50" ht="45" x14ac:dyDescent="0.2">
      <c r="A2736" s="8" t="str">
        <f ca="1">IFERROR(__xludf.DUMMYFUNCTION("""COMPUTED_VALUE"""),"19900220OHTAC")</f>
        <v>19900220OHTAC</v>
      </c>
      <c r="B2736" s="8">
        <f ca="1">IFERROR(__xludf.DUMMYFUNCTION("""COMPUTED_VALUE"""),2)</f>
        <v>2</v>
      </c>
      <c r="C2736" s="8">
        <f ca="1">IFERROR(__xludf.DUMMYFUNCTION("""COMPUTED_VALUE"""),20)</f>
        <v>20</v>
      </c>
      <c r="D2736" s="8">
        <f ca="1">IFERROR(__xludf.DUMMYFUNCTION("""COMPUTED_VALUE"""),1990)</f>
        <v>1990</v>
      </c>
      <c r="E2736" s="9">
        <f ca="1">IFERROR(__xludf.DUMMYFUNCTION("""COMPUTED_VALUE"""),32924)</f>
        <v>32924</v>
      </c>
      <c r="F2736" s="8" t="str">
        <f ca="1">IFERROR(__xludf.DUMMYFUNCTION("""COMPUTED_VALUE"""),"Taft High School")</f>
        <v>Taft High School</v>
      </c>
      <c r="G2736" s="8">
        <f ca="1">IFERROR(__xludf.DUMMYFUNCTION("""COMPUTED_VALUE"""),1)</f>
        <v>1</v>
      </c>
      <c r="H2736" s="8">
        <f ca="1">IFERROR(__xludf.DUMMYFUNCTION("""COMPUTED_VALUE"""),0)</f>
        <v>0</v>
      </c>
      <c r="I2736" s="8">
        <f ca="1">IFERROR(__xludf.DUMMYFUNCTION("""COMPUTED_VALUE"""),1)</f>
        <v>1</v>
      </c>
      <c r="J2736" s="8">
        <f ca="1">IFERROR(__xludf.DUMMYFUNCTION("""COMPUTED_VALUE"""),0)</f>
        <v>0</v>
      </c>
      <c r="K2736" s="10" t="str">
        <f ca="1">IFERROR(__xludf.DUMMYFUNCTION("""COMPUTED_VALUE"""),"https://www.newspapers.com/image/101597966/?terms=Taft%2BHigh%2BSchool%2Bshooting")</f>
        <v>https://www.newspapers.com/image/101597966/?terms=Taft%2BHigh%2BSchool%2Bshooting</v>
      </c>
      <c r="L2736" s="8"/>
      <c r="M2736" s="8"/>
      <c r="N2736" s="8">
        <f ca="1">IFERROR(__xludf.DUMMYFUNCTION("""COMPUTED_VALUE"""),2)</f>
        <v>2</v>
      </c>
      <c r="O2736" s="8" t="str">
        <f ca="1">IFERROR(__xludf.DUMMYFUNCTION("""COMPUTED_VALUE"""),"Winter")</f>
        <v>Winter</v>
      </c>
      <c r="P2736" s="8" t="str">
        <f ca="1">IFERROR(__xludf.DUMMYFUNCTION("""COMPUTED_VALUE"""),"Cincinnati")</f>
        <v>Cincinnati</v>
      </c>
      <c r="Q2736" s="8" t="str">
        <f ca="1">IFERROR(__xludf.DUMMYFUNCTION("""COMPUTED_VALUE"""),"OH")</f>
        <v>OH</v>
      </c>
      <c r="R2736" s="8" t="str">
        <f ca="1">IFERROR(__xludf.DUMMYFUNCTION("""COMPUTED_VALUE"""),"High")</f>
        <v>High</v>
      </c>
      <c r="S2736" s="8" t="str">
        <f ca="1">IFERROR(__xludf.DUMMYFUNCTION("""COMPUTED_VALUE"""),"Outside on School Property")</f>
        <v>Outside on School Property</v>
      </c>
      <c r="T2736" s="8" t="str">
        <f ca="1">IFERROR(__xludf.DUMMYFUNCTION("""COMPUTED_VALUE"""),"Outside on School Property")</f>
        <v>Outside on School Property</v>
      </c>
      <c r="U2736" s="8" t="str">
        <f ca="1">IFERROR(__xludf.DUMMYFUNCTION("""COMPUTED_VALUE"""),"No")</f>
        <v>No</v>
      </c>
      <c r="V2736" s="8" t="str">
        <f ca="1">IFERROR(__xludf.DUMMYFUNCTION("""COMPUTED_VALUE"""),"Dismissal")</f>
        <v>Dismissal</v>
      </c>
      <c r="W2736" s="11">
        <f ca="1">IFERROR(__xludf.DUMMYFUNCTION("""COMPUTED_VALUE"""),0.625)</f>
        <v>0.625</v>
      </c>
      <c r="X2736" s="8">
        <f ca="1">IFERROR(__xludf.DUMMYFUNCTION("""COMPUTED_VALUE"""),1)</f>
        <v>1</v>
      </c>
      <c r="Y2736" s="12" t="str">
        <f ca="1">IFERROR(__xludf.DUMMYFUNCTION("""COMPUTED_VALUE"""),"Struck by bullet while watching fight at school")</f>
        <v>Struck by bullet while watching fight at school</v>
      </c>
      <c r="Z2736" s="12" t="str">
        <f ca="1">IFERROR(__xludf.DUMMYFUNCTION("""COMPUTED_VALUE"""),"Fight outside school escalated into a shooting. Bystander was struck and killed.")</f>
        <v>Fight outside school escalated into a shooting. Bystander was struck and killed.</v>
      </c>
      <c r="AA2736" s="8" t="str">
        <f ca="1">IFERROR(__xludf.DUMMYFUNCTION("""COMPUTED_VALUE"""),"Escalation of Dispute")</f>
        <v>Escalation of Dispute</v>
      </c>
      <c r="AB2736" s="8"/>
      <c r="AC2736" s="8"/>
      <c r="AD2736" s="8" t="str">
        <f ca="1">IFERROR(__xludf.DUMMYFUNCTION("""COMPUTED_VALUE"""),"Both")</f>
        <v>Both</v>
      </c>
      <c r="AE2736" s="8" t="str">
        <f ca="1">IFERROR(__xludf.DUMMYFUNCTION("""COMPUTED_VALUE"""),"No")</f>
        <v>No</v>
      </c>
      <c r="AF2736" s="8"/>
      <c r="AG2736" s="8" t="str">
        <f ca="1">IFERROR(__xludf.DUMMYFUNCTION("""COMPUTED_VALUE"""),"No")</f>
        <v>No</v>
      </c>
      <c r="AH2736" s="8" t="str">
        <f ca="1">IFERROR(__xludf.DUMMYFUNCTION("""COMPUTED_VALUE"""),"No")</f>
        <v>No</v>
      </c>
      <c r="AI2736" s="8" t="str">
        <f ca="1">IFERROR(__xludf.DUMMYFUNCTION("""COMPUTED_VALUE"""),"No")</f>
        <v>No</v>
      </c>
      <c r="AJ2736" s="8" t="str">
        <f ca="1">IFERROR(__xludf.DUMMYFUNCTION("""COMPUTED_VALUE"""),"No")</f>
        <v>No</v>
      </c>
      <c r="AK2736" s="8" t="str">
        <f ca="1">IFERROR(__xludf.DUMMYFUNCTION("""COMPUTED_VALUE"""),"No")</f>
        <v>No</v>
      </c>
      <c r="AL2736" s="8" t="str">
        <f ca="1">IFERROR(__xludf.DUMMYFUNCTION("""COMPUTED_VALUE"""),"No")</f>
        <v>No</v>
      </c>
      <c r="AM2736" s="8"/>
      <c r="AN2736" s="8"/>
      <c r="AO2736" s="8" t="str">
        <f ca="1">IFERROR(__xludf.DUMMYFUNCTION("""COMPUTED_VALUE"""),"No")</f>
        <v>No</v>
      </c>
      <c r="AP2736" s="8"/>
      <c r="AQ2736" s="8" t="str">
        <f ca="1">IFERROR(__xludf.DUMMYFUNCTION("""COMPUTED_VALUE"""),"Unknown")</f>
        <v>Unknown</v>
      </c>
      <c r="AR2736" s="8" t="str">
        <f ca="1">IFERROR(__xludf.DUMMYFUNCTION("""COMPUTED_VALUE"""),"NA")</f>
        <v>NA</v>
      </c>
      <c r="AS2736" s="8" t="str">
        <f ca="1">IFERROR(__xludf.DUMMYFUNCTION("""COMPUTED_VALUE"""),"&lt;10")</f>
        <v>&lt;10</v>
      </c>
      <c r="AT2736" s="8"/>
      <c r="AU2736" s="8">
        <f ca="1">IFERROR(__xludf.DUMMYFUNCTION("""COMPUTED_VALUE"""),39.109462)</f>
        <v>39.109462000000001</v>
      </c>
      <c r="AV2736" s="8">
        <f ca="1">IFERROR(__xludf.DUMMYFUNCTION("""COMPUTED_VALUE"""),-84.522851)</f>
        <v>-84.522851000000003</v>
      </c>
      <c r="AW2736" s="8"/>
      <c r="AX2736" s="8">
        <f ca="1">IFERROR(__xludf.DUMMYFUNCTION("""COMPUTED_VALUE"""),45203)</f>
        <v>45203</v>
      </c>
    </row>
    <row r="2737" spans="1:50" ht="45" x14ac:dyDescent="0.2">
      <c r="A2737" s="8" t="str">
        <f ca="1">IFERROR(__xludf.DUMMYFUNCTION("""COMPUTED_VALUE"""),"19900124MIFID")</f>
        <v>19900124MIFID</v>
      </c>
      <c r="B2737" s="8">
        <f ca="1">IFERROR(__xludf.DUMMYFUNCTION("""COMPUTED_VALUE"""),1)</f>
        <v>1</v>
      </c>
      <c r="C2737" s="8">
        <f ca="1">IFERROR(__xludf.DUMMYFUNCTION("""COMPUTED_VALUE"""),24)</f>
        <v>24</v>
      </c>
      <c r="D2737" s="8">
        <f ca="1">IFERROR(__xludf.DUMMYFUNCTION("""COMPUTED_VALUE"""),1990)</f>
        <v>1990</v>
      </c>
      <c r="E2737" s="9">
        <f ca="1">IFERROR(__xludf.DUMMYFUNCTION("""COMPUTED_VALUE"""),32897)</f>
        <v>32897</v>
      </c>
      <c r="F2737" s="8" t="str">
        <f ca="1">IFERROR(__xludf.DUMMYFUNCTION("""COMPUTED_VALUE"""),"Finney High School")</f>
        <v>Finney High School</v>
      </c>
      <c r="G2737" s="8">
        <f ca="1">IFERROR(__xludf.DUMMYFUNCTION("""COMPUTED_VALUE"""),0)</f>
        <v>0</v>
      </c>
      <c r="H2737" s="8">
        <f ca="1">IFERROR(__xludf.DUMMYFUNCTION("""COMPUTED_VALUE"""),1)</f>
        <v>1</v>
      </c>
      <c r="I2737" s="8">
        <f ca="1">IFERROR(__xludf.DUMMYFUNCTION("""COMPUTED_VALUE"""),1)</f>
        <v>1</v>
      </c>
      <c r="J2737" s="8">
        <f ca="1">IFERROR(__xludf.DUMMYFUNCTION("""COMPUTED_VALUE"""),0)</f>
        <v>0</v>
      </c>
      <c r="K2737" s="10" t="str">
        <f ca="1">IFERROR(__xludf.DUMMYFUNCTION("""COMPUTED_VALUE"""),"https://www.newspapers.com/image/100014893/?terms=student%20shot")</f>
        <v>https://www.newspapers.com/image/100014893/?terms=student%20shot</v>
      </c>
      <c r="L2737" s="8"/>
      <c r="M2737" s="8" t="str">
        <f ca="1">IFERROR(__xludf.DUMMYFUNCTION("""COMPUTED_VALUE"""),"Local")</f>
        <v>Local</v>
      </c>
      <c r="N2737" s="8">
        <f ca="1">IFERROR(__xludf.DUMMYFUNCTION("""COMPUTED_VALUE"""),4)</f>
        <v>4</v>
      </c>
      <c r="O2737" s="8" t="str">
        <f ca="1">IFERROR(__xludf.DUMMYFUNCTION("""COMPUTED_VALUE"""),"Winter")</f>
        <v>Winter</v>
      </c>
      <c r="P2737" s="8" t="str">
        <f ca="1">IFERROR(__xludf.DUMMYFUNCTION("""COMPUTED_VALUE"""),"Detroit")</f>
        <v>Detroit</v>
      </c>
      <c r="Q2737" s="8" t="str">
        <f ca="1">IFERROR(__xludf.DUMMYFUNCTION("""COMPUTED_VALUE"""),"MI")</f>
        <v>MI</v>
      </c>
      <c r="R2737" s="8" t="str">
        <f ca="1">IFERROR(__xludf.DUMMYFUNCTION("""COMPUTED_VALUE"""),"High")</f>
        <v>High</v>
      </c>
      <c r="S2737" s="8" t="str">
        <f ca="1">IFERROR(__xludf.DUMMYFUNCTION("""COMPUTED_VALUE"""),"Front of School")</f>
        <v>Front of School</v>
      </c>
      <c r="T2737" s="8" t="str">
        <f ca="1">IFERROR(__xludf.DUMMYFUNCTION("""COMPUTED_VALUE"""),"Outside on School Property")</f>
        <v>Outside on School Property</v>
      </c>
      <c r="U2737" s="8" t="str">
        <f ca="1">IFERROR(__xludf.DUMMYFUNCTION("""COMPUTED_VALUE"""),"Yes")</f>
        <v>Yes</v>
      </c>
      <c r="V2737" s="8" t="str">
        <f ca="1">IFERROR(__xludf.DUMMYFUNCTION("""COMPUTED_VALUE"""),"School Start")</f>
        <v>School Start</v>
      </c>
      <c r="W2737" s="11">
        <f ca="1">IFERROR(__xludf.DUMMYFUNCTION("""COMPUTED_VALUE"""),0.371527777777777)</f>
        <v>0.37152777777777701</v>
      </c>
      <c r="X2737" s="8">
        <f ca="1">IFERROR(__xludf.DUMMYFUNCTION("""COMPUTED_VALUE"""),1)</f>
        <v>1</v>
      </c>
      <c r="Y2737" s="12" t="str">
        <f ca="1">IFERROR(__xludf.DUMMYFUNCTION("""COMPUTED_VALUE"""),"Student was shot while walking into school")</f>
        <v>Student was shot while walking into school</v>
      </c>
      <c r="Z2737" s="12" t="str">
        <f ca="1">IFERROR(__xludf.DUMMYFUNCTION("""COMPUTED_VALUE"""),"Student was shot while walking into school by non-students who fled.")</f>
        <v>Student was shot while walking into school by non-students who fled.</v>
      </c>
      <c r="AA2737" s="8"/>
      <c r="AB2737" s="8" t="str">
        <f ca="1">IFERROR(__xludf.DUMMYFUNCTION("""COMPUTED_VALUE"""),"Targeted")</f>
        <v>Targeted</v>
      </c>
      <c r="AC2737" s="8" t="str">
        <f ca="1">IFERROR(__xludf.DUMMYFUNCTION("""COMPUTED_VALUE"""),"Yes")</f>
        <v>Yes</v>
      </c>
      <c r="AD2737" s="8" t="str">
        <f ca="1">IFERROR(__xludf.DUMMYFUNCTION("""COMPUTED_VALUE"""),"Victims Targeted")</f>
        <v>Victims Targeted</v>
      </c>
      <c r="AE2737" s="8"/>
      <c r="AF2737" s="8"/>
      <c r="AG2737" s="8" t="str">
        <f ca="1">IFERROR(__xludf.DUMMYFUNCTION("""COMPUTED_VALUE"""),"No")</f>
        <v>No</v>
      </c>
      <c r="AH2737" s="8" t="str">
        <f ca="1">IFERROR(__xludf.DUMMYFUNCTION("""COMPUTED_VALUE"""),"No")</f>
        <v>No</v>
      </c>
      <c r="AI2737" s="8" t="str">
        <f ca="1">IFERROR(__xludf.DUMMYFUNCTION("""COMPUTED_VALUE"""),"No")</f>
        <v>No</v>
      </c>
      <c r="AJ2737" s="8" t="str">
        <f ca="1">IFERROR(__xludf.DUMMYFUNCTION("""COMPUTED_VALUE"""),"No")</f>
        <v>No</v>
      </c>
      <c r="AK2737" s="8" t="str">
        <f ca="1">IFERROR(__xludf.DUMMYFUNCTION("""COMPUTED_VALUE"""),"No")</f>
        <v>No</v>
      </c>
      <c r="AL2737" s="8" t="str">
        <f ca="1">IFERROR(__xludf.DUMMYFUNCTION("""COMPUTED_VALUE"""),"No")</f>
        <v>No</v>
      </c>
      <c r="AM2737" s="8" t="str">
        <f ca="1">IFERROR(__xludf.DUMMYFUNCTION("""COMPUTED_VALUE"""),"No")</f>
        <v>No</v>
      </c>
      <c r="AN2737" s="8" t="str">
        <f ca="1">IFERROR(__xludf.DUMMYFUNCTION("""COMPUTED_VALUE"""),"Outside")</f>
        <v>Outside</v>
      </c>
      <c r="AO2737" s="8" t="str">
        <f ca="1">IFERROR(__xludf.DUMMYFUNCTION("""COMPUTED_VALUE"""),"No")</f>
        <v>No</v>
      </c>
      <c r="AP2737" s="8"/>
      <c r="AQ2737" s="8"/>
      <c r="AR2737" s="8"/>
      <c r="AS2737" s="8"/>
      <c r="AT2737" s="8"/>
      <c r="AU2737" s="8">
        <f ca="1">IFERROR(__xludf.DUMMYFUNCTION("""COMPUTED_VALUE"""),42.389865)</f>
        <v>42.389865</v>
      </c>
      <c r="AV2737" s="8">
        <f ca="1">IFERROR(__xludf.DUMMYFUNCTION("""COMPUTED_VALUE"""),-82.953782)</f>
        <v>-82.953782000000004</v>
      </c>
      <c r="AW2737" s="8"/>
      <c r="AX2737" s="8">
        <f ca="1">IFERROR(__xludf.DUMMYFUNCTION("""COMPUTED_VALUE"""),48215)</f>
        <v>48215</v>
      </c>
    </row>
    <row r="2738" spans="1:50" ht="60" x14ac:dyDescent="0.2">
      <c r="A2738" s="8" t="str">
        <f ca="1">IFERROR(__xludf.DUMMYFUNCTION("""COMPUTED_VALUE"""),"19900116RICEP")</f>
        <v>19900116RICEP</v>
      </c>
      <c r="B2738" s="8">
        <f ca="1">IFERROR(__xludf.DUMMYFUNCTION("""COMPUTED_VALUE"""),1)</f>
        <v>1</v>
      </c>
      <c r="C2738" s="8">
        <f ca="1">IFERROR(__xludf.DUMMYFUNCTION("""COMPUTED_VALUE"""),16)</f>
        <v>16</v>
      </c>
      <c r="D2738" s="8">
        <f ca="1">IFERROR(__xludf.DUMMYFUNCTION("""COMPUTED_VALUE"""),1990)</f>
        <v>1990</v>
      </c>
      <c r="E2738" s="9">
        <f ca="1">IFERROR(__xludf.DUMMYFUNCTION("""COMPUTED_VALUE"""),32889)</f>
        <v>32889</v>
      </c>
      <c r="F2738" s="8" t="str">
        <f ca="1">IFERROR(__xludf.DUMMYFUNCTION("""COMPUTED_VALUE"""),"Central High School")</f>
        <v>Central High School</v>
      </c>
      <c r="G2738" s="8">
        <f ca="1">IFERROR(__xludf.DUMMYFUNCTION("""COMPUTED_VALUE"""),0)</f>
        <v>0</v>
      </c>
      <c r="H2738" s="8">
        <f ca="1">IFERROR(__xludf.DUMMYFUNCTION("""COMPUTED_VALUE"""),2)</f>
        <v>2</v>
      </c>
      <c r="I2738" s="8">
        <f ca="1">IFERROR(__xludf.DUMMYFUNCTION("""COMPUTED_VALUE"""),2)</f>
        <v>2</v>
      </c>
      <c r="J2738" s="8">
        <f ca="1">IFERROR(__xludf.DUMMYFUNCTION("""COMPUTED_VALUE"""),0)</f>
        <v>0</v>
      </c>
      <c r="K2738" s="10" t="str">
        <f ca="1">IFERROR(__xludf.DUMMYFUNCTION("""COMPUTED_VALUE"""),"https://www.upi.com/Archives/1990/01/16/Two-wounded-in-school-shooting-racial-tensions-blamed/1799632466000/")</f>
        <v>https://www.upi.com/Archives/1990/01/16/Two-wounded-in-school-shooting-racial-tensions-blamed/1799632466000/</v>
      </c>
      <c r="L2738" s="8"/>
      <c r="M2738" s="8"/>
      <c r="N2738" s="8">
        <f ca="1">IFERROR(__xludf.DUMMYFUNCTION("""COMPUTED_VALUE"""),2)</f>
        <v>2</v>
      </c>
      <c r="O2738" s="8" t="str">
        <f ca="1">IFERROR(__xludf.DUMMYFUNCTION("""COMPUTED_VALUE"""),"Winter")</f>
        <v>Winter</v>
      </c>
      <c r="P2738" s="8" t="str">
        <f ca="1">IFERROR(__xludf.DUMMYFUNCTION("""COMPUTED_VALUE"""),"Providence")</f>
        <v>Providence</v>
      </c>
      <c r="Q2738" s="8" t="str">
        <f ca="1">IFERROR(__xludf.DUMMYFUNCTION("""COMPUTED_VALUE"""),"RI")</f>
        <v>RI</v>
      </c>
      <c r="R2738" s="8" t="str">
        <f ca="1">IFERROR(__xludf.DUMMYFUNCTION("""COMPUTED_VALUE"""),"High")</f>
        <v>High</v>
      </c>
      <c r="S2738" s="8" t="str">
        <f ca="1">IFERROR(__xludf.DUMMYFUNCTION("""COMPUTED_VALUE"""),"Beside Building")</f>
        <v>Beside Building</v>
      </c>
      <c r="T2738" s="8" t="str">
        <f ca="1">IFERROR(__xludf.DUMMYFUNCTION("""COMPUTED_VALUE"""),"Outside on School Property")</f>
        <v>Outside on School Property</v>
      </c>
      <c r="U2738" s="8" t="str">
        <f ca="1">IFERROR(__xludf.DUMMYFUNCTION("""COMPUTED_VALUE"""),"Yes")</f>
        <v>Yes</v>
      </c>
      <c r="V2738" s="8" t="str">
        <f ca="1">IFERROR(__xludf.DUMMYFUNCTION("""COMPUTED_VALUE"""),"Lunch")</f>
        <v>Lunch</v>
      </c>
      <c r="W2738" s="8"/>
      <c r="X2738" s="8">
        <f ca="1">IFERROR(__xludf.DUMMYFUNCTION("""COMPUTED_VALUE"""),1)</f>
        <v>1</v>
      </c>
      <c r="Y2738" s="12" t="str">
        <f ca="1">IFERROR(__xludf.DUMMYFUNCTION("""COMPUTED_VALUE"""),"Racial shooting between Asian and White students")</f>
        <v>Racial shooting between Asian and White students</v>
      </c>
      <c r="Z2738" s="12" t="str">
        <f ca="1">IFERROR(__xludf.DUMMYFUNCTION("""COMPUTED_VALUE"""),"Asian student was harassed - looking for revenge to shoot white students - students came out for lunch, suspect shot 4-5 times hit unintended victims - foot chase ensured - suspect caught.")</f>
        <v>Asian student was harassed - looking for revenge to shoot white students - students came out for lunch, suspect shot 4-5 times hit unintended victims - foot chase ensured - suspect caught.</v>
      </c>
      <c r="AA2738" s="8" t="str">
        <f ca="1">IFERROR(__xludf.DUMMYFUNCTION("""COMPUTED_VALUE"""),"Bullying")</f>
        <v>Bullying</v>
      </c>
      <c r="AB2738" s="8"/>
      <c r="AC2738" s="8"/>
      <c r="AD2738" s="8" t="str">
        <f ca="1">IFERROR(__xludf.DUMMYFUNCTION("""COMPUTED_VALUE"""),"Random Shooting")</f>
        <v>Random Shooting</v>
      </c>
      <c r="AE2738" s="8" t="str">
        <f ca="1">IFERROR(__xludf.DUMMYFUNCTION("""COMPUTED_VALUE"""),"No")</f>
        <v>No</v>
      </c>
      <c r="AF2738" s="8"/>
      <c r="AG2738" s="8" t="str">
        <f ca="1">IFERROR(__xludf.DUMMYFUNCTION("""COMPUTED_VALUE"""),"No")</f>
        <v>No</v>
      </c>
      <c r="AH2738" s="8" t="str">
        <f ca="1">IFERROR(__xludf.DUMMYFUNCTION("""COMPUTED_VALUE"""),"No")</f>
        <v>No</v>
      </c>
      <c r="AI2738" s="8" t="str">
        <f ca="1">IFERROR(__xludf.DUMMYFUNCTION("""COMPUTED_VALUE"""),"No")</f>
        <v>No</v>
      </c>
      <c r="AJ2738" s="8" t="str">
        <f ca="1">IFERROR(__xludf.DUMMYFUNCTION("""COMPUTED_VALUE"""),"Yes")</f>
        <v>Yes</v>
      </c>
      <c r="AK2738" s="8" t="str">
        <f ca="1">IFERROR(__xludf.DUMMYFUNCTION("""COMPUTED_VALUE"""),"No")</f>
        <v>No</v>
      </c>
      <c r="AL2738" s="8" t="str">
        <f ca="1">IFERROR(__xludf.DUMMYFUNCTION("""COMPUTED_VALUE"""),"No")</f>
        <v>No</v>
      </c>
      <c r="AM2738" s="8"/>
      <c r="AN2738" s="8"/>
      <c r="AO2738" s="8" t="str">
        <f ca="1">IFERROR(__xludf.DUMMYFUNCTION("""COMPUTED_VALUE"""),"No")</f>
        <v>No</v>
      </c>
      <c r="AP2738" s="8"/>
      <c r="AQ2738" s="8" t="str">
        <f ca="1">IFERROR(__xludf.DUMMYFUNCTION("""COMPUTED_VALUE"""),"Unknown")</f>
        <v>Unknown</v>
      </c>
      <c r="AR2738" s="8" t="str">
        <f ca="1">IFERROR(__xludf.DUMMYFUNCTION("""COMPUTED_VALUE"""),"NA")</f>
        <v>NA</v>
      </c>
      <c r="AS2738" s="8">
        <f ca="1">IFERROR(__xludf.DUMMYFUNCTION("""COMPUTED_VALUE"""),4)</f>
        <v>4</v>
      </c>
      <c r="AT2738" s="8"/>
      <c r="AU2738" s="8">
        <f ca="1">IFERROR(__xludf.DUMMYFUNCTION("""COMPUTED_VALUE"""),41.816563)</f>
        <v>41.816563000000002</v>
      </c>
      <c r="AV2738" s="8">
        <f ca="1">IFERROR(__xludf.DUMMYFUNCTION("""COMPUTED_VALUE"""),-71.420964)</f>
        <v>-71.420963999999998</v>
      </c>
      <c r="AW2738" s="8"/>
      <c r="AX2738" s="8">
        <f ca="1">IFERROR(__xludf.DUMMYFUNCTION("""COMPUTED_VALUE"""),2902)</f>
        <v>2902</v>
      </c>
    </row>
    <row r="2739" spans="1:50" ht="75" x14ac:dyDescent="0.2">
      <c r="A2739" s="8" t="str">
        <f ca="1">IFERROR(__xludf.DUMMYFUNCTION("""COMPUTED_VALUE"""),"19900105FLCRC")</f>
        <v>19900105FLCRC</v>
      </c>
      <c r="B2739" s="8">
        <f ca="1">IFERROR(__xludf.DUMMYFUNCTION("""COMPUTED_VALUE"""),1)</f>
        <v>1</v>
      </c>
      <c r="C2739" s="8">
        <f ca="1">IFERROR(__xludf.DUMMYFUNCTION("""COMPUTED_VALUE"""),5)</f>
        <v>5</v>
      </c>
      <c r="D2739" s="8">
        <f ca="1">IFERROR(__xludf.DUMMYFUNCTION("""COMPUTED_VALUE"""),1990)</f>
        <v>1990</v>
      </c>
      <c r="E2739" s="9">
        <f ca="1">IFERROR(__xludf.DUMMYFUNCTION("""COMPUTED_VALUE"""),32878)</f>
        <v>32878</v>
      </c>
      <c r="F2739" s="8" t="str">
        <f ca="1">IFERROR(__xludf.DUMMYFUNCTION("""COMPUTED_VALUE"""),"Crystal River Middle School")</f>
        <v>Crystal River Middle School</v>
      </c>
      <c r="G2739" s="8">
        <f ca="1">IFERROR(__xludf.DUMMYFUNCTION("""COMPUTED_VALUE"""),0)</f>
        <v>0</v>
      </c>
      <c r="H2739" s="8">
        <f ca="1">IFERROR(__xludf.DUMMYFUNCTION("""COMPUTED_VALUE"""),0)</f>
        <v>0</v>
      </c>
      <c r="I2739" s="8">
        <f ca="1">IFERROR(__xludf.DUMMYFUNCTION("""COMPUTED_VALUE"""),0)</f>
        <v>0</v>
      </c>
      <c r="J2739" s="8">
        <f ca="1">IFERROR(__xludf.DUMMYFUNCTION("""COMPUTED_VALUE"""),0)</f>
        <v>0</v>
      </c>
      <c r="K2739" s="10" t="str">
        <f ca="1">IFERROR(__xludf.DUMMYFUNCTION("""COMPUTED_VALUE"""),"https://www.tampabay.com/archive/1990/01/06/boy-12-points-gun-at-self-in-school-yard/")</f>
        <v>https://www.tampabay.com/archive/1990/01/06/boy-12-points-gun-at-self-in-school-yard/</v>
      </c>
      <c r="L2739" s="8"/>
      <c r="M2739" s="8"/>
      <c r="N2739" s="8">
        <f ca="1">IFERROR(__xludf.DUMMYFUNCTION("""COMPUTED_VALUE"""),3)</f>
        <v>3</v>
      </c>
      <c r="O2739" s="8" t="str">
        <f ca="1">IFERROR(__xludf.DUMMYFUNCTION("""COMPUTED_VALUE"""),"Winter")</f>
        <v>Winter</v>
      </c>
      <c r="P2739" s="8" t="str">
        <f ca="1">IFERROR(__xludf.DUMMYFUNCTION("""COMPUTED_VALUE"""),"Crystal River")</f>
        <v>Crystal River</v>
      </c>
      <c r="Q2739" s="8" t="str">
        <f ca="1">IFERROR(__xludf.DUMMYFUNCTION("""COMPUTED_VALUE"""),"FL")</f>
        <v>FL</v>
      </c>
      <c r="R2739" s="8" t="str">
        <f ca="1">IFERROR(__xludf.DUMMYFUNCTION("""COMPUTED_VALUE"""),"Middle")</f>
        <v>Middle</v>
      </c>
      <c r="S2739" s="8" t="str">
        <f ca="1">IFERROR(__xludf.DUMMYFUNCTION("""COMPUTED_VALUE"""),"Courtyard")</f>
        <v>Courtyard</v>
      </c>
      <c r="T2739" s="8" t="str">
        <f ca="1">IFERROR(__xludf.DUMMYFUNCTION("""COMPUTED_VALUE"""),"Outside on School Property")</f>
        <v>Outside on School Property</v>
      </c>
      <c r="U2739" s="8" t="str">
        <f ca="1">IFERROR(__xludf.DUMMYFUNCTION("""COMPUTED_VALUE"""),"Yes")</f>
        <v>Yes</v>
      </c>
      <c r="V2739" s="8" t="str">
        <f ca="1">IFERROR(__xludf.DUMMYFUNCTION("""COMPUTED_VALUE"""),"Morning Classes")</f>
        <v>Morning Classes</v>
      </c>
      <c r="W2739" s="8"/>
      <c r="X2739" s="8">
        <f ca="1">IFERROR(__xludf.DUMMYFUNCTION("""COMPUTED_VALUE"""),1)</f>
        <v>1</v>
      </c>
      <c r="Y2739" s="12" t="str">
        <f ca="1">IFERROR(__xludf.DUMMYFUNCTION("""COMPUTED_VALUE"""),"12-year-old student had loaded gun and threatened to kill himself in front of classmates")</f>
        <v>12-year-old student had loaded gun and threatened to kill himself in front of classmates</v>
      </c>
      <c r="Z2739" s="12" t="str">
        <f ca="1">IFERROR(__xludf.DUMMYFUNCTION("""COMPUTED_VALUE"""),"12-year-old student had loaded gun and threatened to kill himself in front of classmates. Teachers were able to talk to the student, calm him down, and get him to drop the gun.")</f>
        <v>12-year-old student had loaded gun and threatened to kill himself in front of classmates. Teachers were able to talk to the student, calm him down, and get him to drop the gun.</v>
      </c>
      <c r="AA2739" s="8" t="str">
        <f ca="1">IFERROR(__xludf.DUMMYFUNCTION("""COMPUTED_VALUE"""),"Suicide/Attempted")</f>
        <v>Suicide/Attempted</v>
      </c>
      <c r="AB2739" s="8" t="str">
        <f ca="1">IFERROR(__xludf.DUMMYFUNCTION("""COMPUTED_VALUE"""),"Targeted")</f>
        <v>Targeted</v>
      </c>
      <c r="AC2739" s="8" t="str">
        <f ca="1">IFERROR(__xludf.DUMMYFUNCTION("""COMPUTED_VALUE"""),"Yes")</f>
        <v>Yes</v>
      </c>
      <c r="AD2739" s="8" t="str">
        <f ca="1">IFERROR(__xludf.DUMMYFUNCTION("""COMPUTED_VALUE"""),"Victims Targeted")</f>
        <v>Victims Targeted</v>
      </c>
      <c r="AE2739" s="8" t="str">
        <f ca="1">IFERROR(__xludf.DUMMYFUNCTION("""COMPUTED_VALUE"""),"No")</f>
        <v>No</v>
      </c>
      <c r="AF2739" s="8"/>
      <c r="AG2739" s="8" t="str">
        <f ca="1">IFERROR(__xludf.DUMMYFUNCTION("""COMPUTED_VALUE"""),"No")</f>
        <v>No</v>
      </c>
      <c r="AH2739" s="8" t="str">
        <f ca="1">IFERROR(__xludf.DUMMYFUNCTION("""COMPUTED_VALUE"""),"No")</f>
        <v>No</v>
      </c>
      <c r="AI2739" s="8" t="str">
        <f ca="1">IFERROR(__xludf.DUMMYFUNCTION("""COMPUTED_VALUE"""),"No")</f>
        <v>No</v>
      </c>
      <c r="AJ2739" s="8"/>
      <c r="AK2739" s="8" t="str">
        <f ca="1">IFERROR(__xludf.DUMMYFUNCTION("""COMPUTED_VALUE"""),"No")</f>
        <v>No</v>
      </c>
      <c r="AL2739" s="8" t="str">
        <f ca="1">IFERROR(__xludf.DUMMYFUNCTION("""COMPUTED_VALUE"""),"No")</f>
        <v>No</v>
      </c>
      <c r="AM2739" s="8" t="str">
        <f ca="1">IFERROR(__xludf.DUMMYFUNCTION("""COMPUTED_VALUE"""),"No")</f>
        <v>No</v>
      </c>
      <c r="AN2739" s="8" t="str">
        <f ca="1">IFERROR(__xludf.DUMMYFUNCTION("""COMPUTED_VALUE"""),"Outside")</f>
        <v>Outside</v>
      </c>
      <c r="AO2739" s="8" t="str">
        <f ca="1">IFERROR(__xludf.DUMMYFUNCTION("""COMPUTED_VALUE"""),"No")</f>
        <v>No</v>
      </c>
      <c r="AP2739" s="8"/>
      <c r="AQ2739" s="8"/>
      <c r="AR2739" s="8"/>
      <c r="AS2739" s="8">
        <f ca="1">IFERROR(__xludf.DUMMYFUNCTION("""COMPUTED_VALUE"""),0)</f>
        <v>0</v>
      </c>
      <c r="AT2739" s="8" t="str">
        <f ca="1">IFERROR(__xludf.DUMMYFUNCTION("""COMPUTED_VALUE"""),"No")</f>
        <v>No</v>
      </c>
      <c r="AU2739" s="8">
        <f ca="1">IFERROR(__xludf.DUMMYFUNCTION("""COMPUTED_VALUE"""),28.906764)</f>
        <v>28.906763999999999</v>
      </c>
      <c r="AV2739" s="8">
        <f ca="1">IFERROR(__xludf.DUMMYFUNCTION("""COMPUTED_VALUE"""),-82.578524)</f>
        <v>-82.578524000000002</v>
      </c>
      <c r="AW2739" s="8" t="str">
        <f ca="1">IFERROR(__xludf.DUMMYFUNCTION("""COMPUTED_VALUE"""),"Multiple detached buildings")</f>
        <v>Multiple detached buildings</v>
      </c>
      <c r="AX2739" s="8">
        <f ca="1">IFERROR(__xludf.DUMMYFUNCTION("""COMPUTED_VALUE"""),34428)</f>
        <v>34428</v>
      </c>
    </row>
    <row r="2740" spans="1:50" ht="45" x14ac:dyDescent="0.2">
      <c r="A2740" s="8" t="str">
        <f ca="1">IFERROR(__xludf.DUMMYFUNCTION("""COMPUTED_VALUE"""),"19891212SCCHC")</f>
        <v>19891212SCCHC</v>
      </c>
      <c r="B2740" s="8">
        <f ca="1">IFERROR(__xludf.DUMMYFUNCTION("""COMPUTED_VALUE"""),12)</f>
        <v>12</v>
      </c>
      <c r="C2740" s="8">
        <f ca="1">IFERROR(__xludf.DUMMYFUNCTION("""COMPUTED_VALUE"""),12)</f>
        <v>12</v>
      </c>
      <c r="D2740" s="8">
        <f ca="1">IFERROR(__xludf.DUMMYFUNCTION("""COMPUTED_VALUE"""),1989)</f>
        <v>1989</v>
      </c>
      <c r="E2740" s="9">
        <f ca="1">IFERROR(__xludf.DUMMYFUNCTION("""COMPUTED_VALUE"""),32854)</f>
        <v>32854</v>
      </c>
      <c r="F2740" s="8" t="str">
        <f ca="1">IFERROR(__xludf.DUMMYFUNCTION("""COMPUTED_VALUE"""),"Chester High School")</f>
        <v>Chester High School</v>
      </c>
      <c r="G2740" s="8">
        <f ca="1">IFERROR(__xludf.DUMMYFUNCTION("""COMPUTED_VALUE"""),0)</f>
        <v>0</v>
      </c>
      <c r="H2740" s="8">
        <f ca="1">IFERROR(__xludf.DUMMYFUNCTION("""COMPUTED_VALUE"""),1)</f>
        <v>1</v>
      </c>
      <c r="I2740" s="8">
        <f ca="1">IFERROR(__xludf.DUMMYFUNCTION("""COMPUTED_VALUE"""),1)</f>
        <v>1</v>
      </c>
      <c r="J2740" s="8">
        <f ca="1">IFERROR(__xludf.DUMMYFUNCTION("""COMPUTED_VALUE"""),0)</f>
        <v>0</v>
      </c>
      <c r="K2740" s="10" t="str">
        <f ca="1">IFERROR(__xludf.DUMMYFUNCTION("""COMPUTED_VALUE"""),"https://www.newspapers.com/image/192086573/?terms=STUDENT%2BSHOT")</f>
        <v>https://www.newspapers.com/image/192086573/?terms=STUDENT%2BSHOT</v>
      </c>
      <c r="L2740" s="8"/>
      <c r="M2740" s="8"/>
      <c r="N2740" s="8">
        <f ca="1">IFERROR(__xludf.DUMMYFUNCTION("""COMPUTED_VALUE"""),2)</f>
        <v>2</v>
      </c>
      <c r="O2740" s="8" t="str">
        <f ca="1">IFERROR(__xludf.DUMMYFUNCTION("""COMPUTED_VALUE"""),"Winter")</f>
        <v>Winter</v>
      </c>
      <c r="P2740" s="8" t="str">
        <f ca="1">IFERROR(__xludf.DUMMYFUNCTION("""COMPUTED_VALUE"""),"Chester")</f>
        <v>Chester</v>
      </c>
      <c r="Q2740" s="8" t="str">
        <f ca="1">IFERROR(__xludf.DUMMYFUNCTION("""COMPUTED_VALUE"""),"SC")</f>
        <v>SC</v>
      </c>
      <c r="R2740" s="8" t="str">
        <f ca="1">IFERROR(__xludf.DUMMYFUNCTION("""COMPUTED_VALUE"""),"High")</f>
        <v>High</v>
      </c>
      <c r="S2740" s="8" t="str">
        <f ca="1">IFERROR(__xludf.DUMMYFUNCTION("""COMPUTED_VALUE"""),"Courtyard")</f>
        <v>Courtyard</v>
      </c>
      <c r="T2740" s="8" t="str">
        <f ca="1">IFERROR(__xludf.DUMMYFUNCTION("""COMPUTED_VALUE"""),"Outside on School Property")</f>
        <v>Outside on School Property</v>
      </c>
      <c r="U2740" s="8" t="str">
        <f ca="1">IFERROR(__xludf.DUMMYFUNCTION("""COMPUTED_VALUE"""),"Yes")</f>
        <v>Yes</v>
      </c>
      <c r="V2740" s="8" t="str">
        <f ca="1">IFERROR(__xludf.DUMMYFUNCTION("""COMPUTED_VALUE"""),"Dismissal")</f>
        <v>Dismissal</v>
      </c>
      <c r="W2740" s="8"/>
      <c r="X2740" s="8">
        <f ca="1">IFERROR(__xludf.DUMMYFUNCTION("""COMPUTED_VALUE"""),1)</f>
        <v>1</v>
      </c>
      <c r="Y2740" s="12" t="str">
        <f ca="1">IFERROR(__xludf.DUMMYFUNCTION("""COMPUTED_VALUE"""),"Targeted victim after fight")</f>
        <v>Targeted victim after fight</v>
      </c>
      <c r="Z2740" s="12" t="str">
        <f ca="1">IFERROR(__xludf.DUMMYFUNCTION("""COMPUTED_VALUE"""),"Escalation of Ongoing argument - victim was shot in the back with a .45 caliber while he waited in school courtyard for bus - suspect eventually arrested")</f>
        <v>Escalation of Ongoing argument - victim was shot in the back with a .45 caliber while he waited in school courtyard for bus - suspect eventually arrested</v>
      </c>
      <c r="AA2740" s="8" t="str">
        <f ca="1">IFERROR(__xludf.DUMMYFUNCTION("""COMPUTED_VALUE"""),"Escalation of Dispute")</f>
        <v>Escalation of Dispute</v>
      </c>
      <c r="AB2740" s="8"/>
      <c r="AC2740" s="8"/>
      <c r="AD2740" s="8" t="str">
        <f ca="1">IFERROR(__xludf.DUMMYFUNCTION("""COMPUTED_VALUE"""),"Victims Targeted")</f>
        <v>Victims Targeted</v>
      </c>
      <c r="AE2740" s="8" t="str">
        <f ca="1">IFERROR(__xludf.DUMMYFUNCTION("""COMPUTED_VALUE"""),"No")</f>
        <v>No</v>
      </c>
      <c r="AF2740" s="8"/>
      <c r="AG2740" s="8" t="str">
        <f ca="1">IFERROR(__xludf.DUMMYFUNCTION("""COMPUTED_VALUE"""),"No")</f>
        <v>No</v>
      </c>
      <c r="AH2740" s="8" t="str">
        <f ca="1">IFERROR(__xludf.DUMMYFUNCTION("""COMPUTED_VALUE"""),"No")</f>
        <v>No</v>
      </c>
      <c r="AI2740" s="8" t="str">
        <f ca="1">IFERROR(__xludf.DUMMYFUNCTION("""COMPUTED_VALUE"""),"No")</f>
        <v>No</v>
      </c>
      <c r="AJ2740" s="8" t="str">
        <f ca="1">IFERROR(__xludf.DUMMYFUNCTION("""COMPUTED_VALUE"""),"No")</f>
        <v>No</v>
      </c>
      <c r="AK2740" s="8" t="str">
        <f ca="1">IFERROR(__xludf.DUMMYFUNCTION("""COMPUTED_VALUE"""),"No")</f>
        <v>No</v>
      </c>
      <c r="AL2740" s="8" t="str">
        <f ca="1">IFERROR(__xludf.DUMMYFUNCTION("""COMPUTED_VALUE"""),"No")</f>
        <v>No</v>
      </c>
      <c r="AM2740" s="8"/>
      <c r="AN2740" s="8"/>
      <c r="AO2740" s="8" t="str">
        <f ca="1">IFERROR(__xludf.DUMMYFUNCTION("""COMPUTED_VALUE"""),"No")</f>
        <v>No</v>
      </c>
      <c r="AP2740" s="8"/>
      <c r="AQ2740" s="8" t="str">
        <f ca="1">IFERROR(__xludf.DUMMYFUNCTION("""COMPUTED_VALUE"""),"Unknown")</f>
        <v>Unknown</v>
      </c>
      <c r="AR2740" s="8" t="str">
        <f ca="1">IFERROR(__xludf.DUMMYFUNCTION("""COMPUTED_VALUE"""),"NA")</f>
        <v>NA</v>
      </c>
      <c r="AS2740" s="8">
        <f ca="1">IFERROR(__xludf.DUMMYFUNCTION("""COMPUTED_VALUE"""),1)</f>
        <v>1</v>
      </c>
      <c r="AT2740" s="8"/>
      <c r="AU2740" s="8">
        <f ca="1">IFERROR(__xludf.DUMMYFUNCTION("""COMPUTED_VALUE"""),34.687955)</f>
        <v>34.687955000000002</v>
      </c>
      <c r="AV2740" s="8">
        <f ca="1">IFERROR(__xludf.DUMMYFUNCTION("""COMPUTED_VALUE"""),-81.202669)</f>
        <v>-81.202669</v>
      </c>
      <c r="AW2740" s="8"/>
      <c r="AX2740" s="8">
        <f ca="1">IFERROR(__xludf.DUMMYFUNCTION("""COMPUTED_VALUE"""),29706)</f>
        <v>29706</v>
      </c>
    </row>
    <row r="2741" spans="1:50" ht="60" x14ac:dyDescent="0.2">
      <c r="A2741" s="8" t="str">
        <f ca="1">IFERROR(__xludf.DUMMYFUNCTION("""COMPUTED_VALUE"""),"19891205TXWWD")</f>
        <v>19891205TXWWD</v>
      </c>
      <c r="B2741" s="8">
        <f ca="1">IFERROR(__xludf.DUMMYFUNCTION("""COMPUTED_VALUE"""),12)</f>
        <v>12</v>
      </c>
      <c r="C2741" s="8">
        <f ca="1">IFERROR(__xludf.DUMMYFUNCTION("""COMPUTED_VALUE"""),5)</f>
        <v>5</v>
      </c>
      <c r="D2741" s="8">
        <f ca="1">IFERROR(__xludf.DUMMYFUNCTION("""COMPUTED_VALUE"""),1989)</f>
        <v>1989</v>
      </c>
      <c r="E2741" s="9">
        <f ca="1">IFERROR(__xludf.DUMMYFUNCTION("""COMPUTED_VALUE"""),32847)</f>
        <v>32847</v>
      </c>
      <c r="F2741" s="8" t="str">
        <f ca="1">IFERROR(__xludf.DUMMYFUNCTION("""COMPUTED_VALUE"""),"W W Samuell High School")</f>
        <v>W W Samuell High School</v>
      </c>
      <c r="G2741" s="8">
        <f ca="1">IFERROR(__xludf.DUMMYFUNCTION("""COMPUTED_VALUE"""),0)</f>
        <v>0</v>
      </c>
      <c r="H2741" s="8">
        <f ca="1">IFERROR(__xludf.DUMMYFUNCTION("""COMPUTED_VALUE"""),1)</f>
        <v>1</v>
      </c>
      <c r="I2741" s="8">
        <f ca="1">IFERROR(__xludf.DUMMYFUNCTION("""COMPUTED_VALUE"""),1)</f>
        <v>1</v>
      </c>
      <c r="J2741" s="8">
        <f ca="1">IFERROR(__xludf.DUMMYFUNCTION("""COMPUTED_VALUE"""),0)</f>
        <v>0</v>
      </c>
      <c r="K2741" s="10" t="str">
        <f ca="1">IFERROR(__xludf.DUMMYFUNCTION("""COMPUTED_VALUE"""),"https://www.newspapers.com/image/410785023/?terms=W.%2BW.%2BSamuell%2BHigh%2BSchool")</f>
        <v>https://www.newspapers.com/image/410785023/?terms=W.%2BW.%2BSamuell%2BHigh%2BSchool</v>
      </c>
      <c r="L2741" s="8"/>
      <c r="M2741" s="8"/>
      <c r="N2741" s="8">
        <f ca="1">IFERROR(__xludf.DUMMYFUNCTION("""COMPUTED_VALUE"""),2)</f>
        <v>2</v>
      </c>
      <c r="O2741" s="8" t="str">
        <f ca="1">IFERROR(__xludf.DUMMYFUNCTION("""COMPUTED_VALUE"""),"Winter")</f>
        <v>Winter</v>
      </c>
      <c r="P2741" s="8" t="str">
        <f ca="1">IFERROR(__xludf.DUMMYFUNCTION("""COMPUTED_VALUE"""),"Dallas")</f>
        <v>Dallas</v>
      </c>
      <c r="Q2741" s="8" t="str">
        <f ca="1">IFERROR(__xludf.DUMMYFUNCTION("""COMPUTED_VALUE"""),"TX")</f>
        <v>TX</v>
      </c>
      <c r="R2741" s="8" t="str">
        <f ca="1">IFERROR(__xludf.DUMMYFUNCTION("""COMPUTED_VALUE"""),"High")</f>
        <v>High</v>
      </c>
      <c r="S2741" s="8" t="str">
        <f ca="1">IFERROR(__xludf.DUMMYFUNCTION("""COMPUTED_VALUE"""),"Hallway")</f>
        <v>Hallway</v>
      </c>
      <c r="T2741" s="8" t="str">
        <f ca="1">IFERROR(__xludf.DUMMYFUNCTION("""COMPUTED_VALUE"""),"Inside School Building")</f>
        <v>Inside School Building</v>
      </c>
      <c r="U2741" s="8" t="str">
        <f ca="1">IFERROR(__xludf.DUMMYFUNCTION("""COMPUTED_VALUE"""),"Yes")</f>
        <v>Yes</v>
      </c>
      <c r="V2741" s="8" t="str">
        <f ca="1">IFERROR(__xludf.DUMMYFUNCTION("""COMPUTED_VALUE"""),"Morning Classes")</f>
        <v>Morning Classes</v>
      </c>
      <c r="W2741" s="11">
        <f ca="1">IFERROR(__xludf.DUMMYFUNCTION("""COMPUTED_VALUE"""),0.347222222222222)</f>
        <v>0.34722222222222199</v>
      </c>
      <c r="X2741" s="8">
        <f ca="1">IFERROR(__xludf.DUMMYFUNCTION("""COMPUTED_VALUE"""),1)</f>
        <v>1</v>
      </c>
      <c r="Y2741" s="12" t="str">
        <f ca="1">IFERROR(__xludf.DUMMYFUNCTION("""COMPUTED_VALUE"""),"Gang members fired shots, ricocheted and hit teacher")</f>
        <v>Gang members fired shots, ricocheted and hit teacher</v>
      </c>
      <c r="Z2741" s="12" t="str">
        <f ca="1">IFERROR(__xludf.DUMMYFUNCTION("""COMPUTED_VALUE"""),"7 gang members came into school to fight with members of a rival gang. During the fight, shots were fired and a round ricocheted off the floor then struck a special education teacher. All of the gang members fled the area.")</f>
        <v>7 gang members came into school to fight with members of a rival gang. During the fight, shots were fired and a round ricocheted off the floor then struck a special education teacher. All of the gang members fled the area.</v>
      </c>
      <c r="AA2741" s="8" t="str">
        <f ca="1">IFERROR(__xludf.DUMMYFUNCTION("""COMPUTED_VALUE"""),"Escalation of Dispute")</f>
        <v>Escalation of Dispute</v>
      </c>
      <c r="AB2741" s="8"/>
      <c r="AC2741" s="8"/>
      <c r="AD2741" s="8" t="str">
        <f ca="1">IFERROR(__xludf.DUMMYFUNCTION("""COMPUTED_VALUE"""),"Both")</f>
        <v>Both</v>
      </c>
      <c r="AE2741" s="8" t="str">
        <f ca="1">IFERROR(__xludf.DUMMYFUNCTION("""COMPUTED_VALUE"""),"No")</f>
        <v>No</v>
      </c>
      <c r="AF2741" s="8"/>
      <c r="AG2741" s="8" t="str">
        <f ca="1">IFERROR(__xludf.DUMMYFUNCTION("""COMPUTED_VALUE"""),"No")</f>
        <v>No</v>
      </c>
      <c r="AH2741" s="8" t="str">
        <f ca="1">IFERROR(__xludf.DUMMYFUNCTION("""COMPUTED_VALUE"""),"No")</f>
        <v>No</v>
      </c>
      <c r="AI2741" s="8" t="str">
        <f ca="1">IFERROR(__xludf.DUMMYFUNCTION("""COMPUTED_VALUE"""),"No")</f>
        <v>No</v>
      </c>
      <c r="AJ2741" s="8" t="str">
        <f ca="1">IFERROR(__xludf.DUMMYFUNCTION("""COMPUTED_VALUE"""),"No")</f>
        <v>No</v>
      </c>
      <c r="AK2741" s="8" t="str">
        <f ca="1">IFERROR(__xludf.DUMMYFUNCTION("""COMPUTED_VALUE"""),"No")</f>
        <v>No</v>
      </c>
      <c r="AL2741" s="8" t="str">
        <f ca="1">IFERROR(__xludf.DUMMYFUNCTION("""COMPUTED_VALUE"""),"Yes")</f>
        <v>Yes</v>
      </c>
      <c r="AM2741" s="8"/>
      <c r="AN2741" s="8"/>
      <c r="AO2741" s="8" t="str">
        <f ca="1">IFERROR(__xludf.DUMMYFUNCTION("""COMPUTED_VALUE"""),"No")</f>
        <v>No</v>
      </c>
      <c r="AP2741" s="8"/>
      <c r="AQ2741" s="8" t="str">
        <f ca="1">IFERROR(__xludf.DUMMYFUNCTION("""COMPUTED_VALUE"""),"Unknown")</f>
        <v>Unknown</v>
      </c>
      <c r="AR2741" s="8" t="str">
        <f ca="1">IFERROR(__xludf.DUMMYFUNCTION("""COMPUTED_VALUE"""),"NA")</f>
        <v>NA</v>
      </c>
      <c r="AS2741" s="8"/>
      <c r="AT2741" s="8"/>
      <c r="AU2741" s="8">
        <f ca="1">IFERROR(__xludf.DUMMYFUNCTION("""COMPUTED_VALUE"""),32.745369)</f>
        <v>32.745368999999997</v>
      </c>
      <c r="AV2741" s="8">
        <f ca="1">IFERROR(__xludf.DUMMYFUNCTION("""COMPUTED_VALUE"""),-96.667888)</f>
        <v>-96.667888000000005</v>
      </c>
      <c r="AW2741" s="8"/>
      <c r="AX2741" s="8">
        <f ca="1">IFERROR(__xludf.DUMMYFUNCTION("""COMPUTED_VALUE"""),75217)</f>
        <v>75217</v>
      </c>
    </row>
    <row r="2742" spans="1:50" ht="90" x14ac:dyDescent="0.2">
      <c r="A2742" s="8" t="str">
        <f ca="1">IFERROR(__xludf.DUMMYFUNCTION("""COMPUTED_VALUE"""),"19891205PASEM")</f>
        <v>19891205PASEM</v>
      </c>
      <c r="B2742" s="8">
        <f ca="1">IFERROR(__xludf.DUMMYFUNCTION("""COMPUTED_VALUE"""),12)</f>
        <v>12</v>
      </c>
      <c r="C2742" s="8">
        <f ca="1">IFERROR(__xludf.DUMMYFUNCTION("""COMPUTED_VALUE"""),5)</f>
        <v>5</v>
      </c>
      <c r="D2742" s="8">
        <f ca="1">IFERROR(__xludf.DUMMYFUNCTION("""COMPUTED_VALUE"""),1989)</f>
        <v>1989</v>
      </c>
      <c r="E2742" s="9">
        <f ca="1">IFERROR(__xludf.DUMMYFUNCTION("""COMPUTED_VALUE"""),32847)</f>
        <v>32847</v>
      </c>
      <c r="F2742" s="8" t="str">
        <f ca="1">IFERROR(__xludf.DUMMYFUNCTION("""COMPUTED_VALUE"""),"Serra Catholic High School bus")</f>
        <v>Serra Catholic High School bus</v>
      </c>
      <c r="G2742" s="8">
        <f ca="1">IFERROR(__xludf.DUMMYFUNCTION("""COMPUTED_VALUE"""),0)</f>
        <v>0</v>
      </c>
      <c r="H2742" s="8">
        <f ca="1">IFERROR(__xludf.DUMMYFUNCTION("""COMPUTED_VALUE"""),1)</f>
        <v>1</v>
      </c>
      <c r="I2742" s="8">
        <f ca="1">IFERROR(__xludf.DUMMYFUNCTION("""COMPUTED_VALUE"""),1)</f>
        <v>1</v>
      </c>
      <c r="J2742" s="8">
        <f ca="1">IFERROR(__xludf.DUMMYFUNCTION("""COMPUTED_VALUE"""),1)</f>
        <v>1</v>
      </c>
      <c r="K2742" s="10" t="str">
        <f ca="1">IFERROR(__xludf.DUMMYFUNCTION("""COMPUTED_VALUE"""),"https://www.newspapers.com/image/?spot=18344924&amp;fcfToken=536773687944775732446a58364954534665376d633843482b323739555a426a2f504561364e734836595337333573763434484338504843556571516b5a3172417a344c2b66306a4762733d")</f>
        <v>https://www.newspapers.com/image/?spot=18344924&amp;fcfToken=536773687944775732446a58364954534665376d633843482b323739555a426a2f504561364e734836595337333573763434484338504843556571516b5a3172417a344c2b66306a4762733d</v>
      </c>
      <c r="L2742" s="8">
        <f ca="1">IFERROR(__xludf.DUMMYFUNCTION("""COMPUTED_VALUE"""),1)</f>
        <v>1</v>
      </c>
      <c r="M2742" s="8" t="str">
        <f ca="1">IFERROR(__xludf.DUMMYFUNCTION("""COMPUTED_VALUE"""),"Local")</f>
        <v>Local</v>
      </c>
      <c r="N2742" s="8">
        <f ca="1">IFERROR(__xludf.DUMMYFUNCTION("""COMPUTED_VALUE"""),2)</f>
        <v>2</v>
      </c>
      <c r="O2742" s="8" t="str">
        <f ca="1">IFERROR(__xludf.DUMMYFUNCTION("""COMPUTED_VALUE"""),"Winter")</f>
        <v>Winter</v>
      </c>
      <c r="P2742" s="8" t="str">
        <f ca="1">IFERROR(__xludf.DUMMYFUNCTION("""COMPUTED_VALUE"""),"McKeesport")</f>
        <v>McKeesport</v>
      </c>
      <c r="Q2742" s="8" t="str">
        <f ca="1">IFERROR(__xludf.DUMMYFUNCTION("""COMPUTED_VALUE"""),"PA")</f>
        <v>PA</v>
      </c>
      <c r="R2742" s="8" t="str">
        <f ca="1">IFERROR(__xludf.DUMMYFUNCTION("""COMPUTED_VALUE"""),"High")</f>
        <v>High</v>
      </c>
      <c r="S2742" s="8" t="str">
        <f ca="1">IFERROR(__xludf.DUMMYFUNCTION("""COMPUTED_VALUE"""),"School Bus")</f>
        <v>School Bus</v>
      </c>
      <c r="T2742" s="8" t="str">
        <f ca="1">IFERROR(__xludf.DUMMYFUNCTION("""COMPUTED_VALUE"""),"School Bus")</f>
        <v>School Bus</v>
      </c>
      <c r="U2742" s="8" t="str">
        <f ca="1">IFERROR(__xludf.DUMMYFUNCTION("""COMPUTED_VALUE"""),"No")</f>
        <v>No</v>
      </c>
      <c r="V2742" s="8" t="str">
        <f ca="1">IFERROR(__xludf.DUMMYFUNCTION("""COMPUTED_VALUE"""),"Before School")</f>
        <v>Before School</v>
      </c>
      <c r="W2742" s="8"/>
      <c r="X2742" s="8"/>
      <c r="Y2742" s="12" t="str">
        <f ca="1">IFERROR(__xludf.DUMMYFUNCTION("""COMPUTED_VALUE"""),"Shot student in front of him on bus then killed self")</f>
        <v>Shot student in front of him on bus then killed self</v>
      </c>
      <c r="Z2742" s="12" t="str">
        <f ca="1">IFERROR(__xludf.DUMMYFUNCTION("""COMPUTED_VALUE"""),"Shooter got on the school bus and went to regular seat. During the ride to school, he shot the student in front of him in the back of the head and then shot himself (fatal). Police did not have any motive. Students said the shooter was agitated when he go"&amp;"t on the bus. Shooter did not say anything prior to or during the shooting.")</f>
        <v>Shooter got on the school bus and went to regular seat. During the ride to school, he shot the student in front of him in the back of the head and then shot himself (fatal). Police did not have any motive. Students said the shooter was agitated when he got on the bus. Shooter did not say anything prior to or during the shooting.</v>
      </c>
      <c r="AA2742" s="8" t="str">
        <f ca="1">IFERROR(__xludf.DUMMYFUNCTION("""COMPUTED_VALUE"""),"Murder/Suicide")</f>
        <v>Murder/Suicide</v>
      </c>
      <c r="AB2742" s="8"/>
      <c r="AC2742" s="8"/>
      <c r="AD2742" s="8" t="str">
        <f ca="1">IFERROR(__xludf.DUMMYFUNCTION("""COMPUTED_VALUE"""),"Victims Targeted")</f>
        <v>Victims Targeted</v>
      </c>
      <c r="AE2742" s="8" t="str">
        <f ca="1">IFERROR(__xludf.DUMMYFUNCTION("""COMPUTED_VALUE"""),"No")</f>
        <v>No</v>
      </c>
      <c r="AF2742" s="8"/>
      <c r="AG2742" s="8" t="str">
        <f ca="1">IFERROR(__xludf.DUMMYFUNCTION("""COMPUTED_VALUE"""),"No")</f>
        <v>No</v>
      </c>
      <c r="AH2742" s="8" t="str">
        <f ca="1">IFERROR(__xludf.DUMMYFUNCTION("""COMPUTED_VALUE"""),"No")</f>
        <v>No</v>
      </c>
      <c r="AI2742" s="8" t="str">
        <f ca="1">IFERROR(__xludf.DUMMYFUNCTION("""COMPUTED_VALUE"""),"No")</f>
        <v>No</v>
      </c>
      <c r="AJ2742" s="8" t="str">
        <f ca="1">IFERROR(__xludf.DUMMYFUNCTION("""COMPUTED_VALUE"""),"No")</f>
        <v>No</v>
      </c>
      <c r="AK2742" s="8" t="str">
        <f ca="1">IFERROR(__xludf.DUMMYFUNCTION("""COMPUTED_VALUE"""),"No")</f>
        <v>No</v>
      </c>
      <c r="AL2742" s="8" t="str">
        <f ca="1">IFERROR(__xludf.DUMMYFUNCTION("""COMPUTED_VALUE"""),"No")</f>
        <v>No</v>
      </c>
      <c r="AM2742" s="8"/>
      <c r="AN2742" s="8"/>
      <c r="AO2742" s="8" t="str">
        <f ca="1">IFERROR(__xludf.DUMMYFUNCTION("""COMPUTED_VALUE"""),"No")</f>
        <v>No</v>
      </c>
      <c r="AP2742" s="8"/>
      <c r="AQ2742" s="8" t="str">
        <f ca="1">IFERROR(__xludf.DUMMYFUNCTION("""COMPUTED_VALUE"""),"Unknown")</f>
        <v>Unknown</v>
      </c>
      <c r="AR2742" s="8" t="str">
        <f ca="1">IFERROR(__xludf.DUMMYFUNCTION("""COMPUTED_VALUE"""),"NA")</f>
        <v>NA</v>
      </c>
      <c r="AS2742" s="8">
        <f ca="1">IFERROR(__xludf.DUMMYFUNCTION("""COMPUTED_VALUE"""),2)</f>
        <v>2</v>
      </c>
      <c r="AT2742" s="8"/>
      <c r="AU2742" s="8">
        <f ca="1">IFERROR(__xludf.DUMMYFUNCTION("""COMPUTED_VALUE"""),40.325541)</f>
        <v>40.325541000000001</v>
      </c>
      <c r="AV2742" s="8">
        <f ca="1">IFERROR(__xludf.DUMMYFUNCTION("""COMPUTED_VALUE"""),-79.82442)</f>
        <v>-79.824420000000003</v>
      </c>
      <c r="AW2742" s="8"/>
      <c r="AX2742" s="8">
        <f ca="1">IFERROR(__xludf.DUMMYFUNCTION("""COMPUTED_VALUE"""),15131)</f>
        <v>15131</v>
      </c>
    </row>
    <row r="2743" spans="1:50" ht="60" x14ac:dyDescent="0.2">
      <c r="A2743" s="8" t="str">
        <f ca="1">IFERROR(__xludf.DUMMYFUNCTION("""COMPUTED_VALUE"""),"19891204LACAS")</f>
        <v>19891204LACAS</v>
      </c>
      <c r="B2743" s="8">
        <f ca="1">IFERROR(__xludf.DUMMYFUNCTION("""COMPUTED_VALUE"""),12)</f>
        <v>12</v>
      </c>
      <c r="C2743" s="8">
        <f ca="1">IFERROR(__xludf.DUMMYFUNCTION("""COMPUTED_VALUE"""),4)</f>
        <v>4</v>
      </c>
      <c r="D2743" s="8">
        <f ca="1">IFERROR(__xludf.DUMMYFUNCTION("""COMPUTED_VALUE"""),1989)</f>
        <v>1989</v>
      </c>
      <c r="E2743" s="9">
        <f ca="1">IFERROR(__xludf.DUMMYFUNCTION("""COMPUTED_VALUE"""),32846)</f>
        <v>32846</v>
      </c>
      <c r="F2743" s="8" t="str">
        <f ca="1">IFERROR(__xludf.DUMMYFUNCTION("""COMPUTED_VALUE"""),"Caddo Magnet High School")</f>
        <v>Caddo Magnet High School</v>
      </c>
      <c r="G2743" s="8">
        <f ca="1">IFERROR(__xludf.DUMMYFUNCTION("""COMPUTED_VALUE"""),0)</f>
        <v>0</v>
      </c>
      <c r="H2743" s="8">
        <f ca="1">IFERROR(__xludf.DUMMYFUNCTION("""COMPUTED_VALUE"""),1)</f>
        <v>1</v>
      </c>
      <c r="I2743" s="8">
        <f ca="1">IFERROR(__xludf.DUMMYFUNCTION("""COMPUTED_VALUE"""),1)</f>
        <v>1</v>
      </c>
      <c r="J2743" s="8">
        <f ca="1">IFERROR(__xludf.DUMMYFUNCTION("""COMPUTED_VALUE"""),0)</f>
        <v>0</v>
      </c>
      <c r="K2743" s="10" t="str">
        <f ca="1">IFERROR(__xludf.DUMMYFUNCTION("""COMPUTED_VALUE"""),"https://www.newspapers.com/image/228504621/?terms=student%2Bshot")</f>
        <v>https://www.newspapers.com/image/228504621/?terms=student%2Bshot</v>
      </c>
      <c r="L2743" s="8"/>
      <c r="M2743" s="8"/>
      <c r="N2743" s="8">
        <f ca="1">IFERROR(__xludf.DUMMYFUNCTION("""COMPUTED_VALUE"""),2)</f>
        <v>2</v>
      </c>
      <c r="O2743" s="8" t="str">
        <f ca="1">IFERROR(__xludf.DUMMYFUNCTION("""COMPUTED_VALUE"""),"Winter")</f>
        <v>Winter</v>
      </c>
      <c r="P2743" s="8" t="str">
        <f ca="1">IFERROR(__xludf.DUMMYFUNCTION("""COMPUTED_VALUE"""),"Shreveport")</f>
        <v>Shreveport</v>
      </c>
      <c r="Q2743" s="8" t="str">
        <f ca="1">IFERROR(__xludf.DUMMYFUNCTION("""COMPUTED_VALUE"""),"LA")</f>
        <v>LA</v>
      </c>
      <c r="R2743" s="8" t="str">
        <f ca="1">IFERROR(__xludf.DUMMYFUNCTION("""COMPUTED_VALUE"""),"High")</f>
        <v>High</v>
      </c>
      <c r="S2743" s="8" t="str">
        <f ca="1">IFERROR(__xludf.DUMMYFUNCTION("""COMPUTED_VALUE"""),"School Bus")</f>
        <v>School Bus</v>
      </c>
      <c r="T2743" s="8" t="str">
        <f ca="1">IFERROR(__xludf.DUMMYFUNCTION("""COMPUTED_VALUE"""),"School Bus")</f>
        <v>School Bus</v>
      </c>
      <c r="U2743" s="8" t="str">
        <f ca="1">IFERROR(__xludf.DUMMYFUNCTION("""COMPUTED_VALUE"""),"No")</f>
        <v>No</v>
      </c>
      <c r="V2743" s="8" t="str">
        <f ca="1">IFERROR(__xludf.DUMMYFUNCTION("""COMPUTED_VALUE"""),"After School")</f>
        <v>After School</v>
      </c>
      <c r="W2743" s="8"/>
      <c r="X2743" s="8">
        <f ca="1">IFERROR(__xludf.DUMMYFUNCTION("""COMPUTED_VALUE"""),1)</f>
        <v>1</v>
      </c>
      <c r="Y2743" s="12" t="str">
        <f ca="1">IFERROR(__xludf.DUMMYFUNCTION("""COMPUTED_VALUE"""),"Fight on school bus")</f>
        <v>Fight on school bus</v>
      </c>
      <c r="Z2743" s="12" t="str">
        <f ca="1">IFERROR(__xludf.DUMMYFUNCTION("""COMPUTED_VALUE"""),"Students from different high schools got into a fight on the school bus after in pulled into Caddo Magnet High School. During the fight, a student was shot - no further in archived report")</f>
        <v>Students from different high schools got into a fight on the school bus after in pulled into Caddo Magnet High School. During the fight, a student was shot - no further in archived report</v>
      </c>
      <c r="AA2743" s="8" t="str">
        <f ca="1">IFERROR(__xludf.DUMMYFUNCTION("""COMPUTED_VALUE"""),"Escalation of Dispute")</f>
        <v>Escalation of Dispute</v>
      </c>
      <c r="AB2743" s="8"/>
      <c r="AC2743" s="8"/>
      <c r="AD2743" s="8" t="str">
        <f ca="1">IFERROR(__xludf.DUMMYFUNCTION("""COMPUTED_VALUE"""),"Victims Targeted")</f>
        <v>Victims Targeted</v>
      </c>
      <c r="AE2743" s="8" t="str">
        <f ca="1">IFERROR(__xludf.DUMMYFUNCTION("""COMPUTED_VALUE"""),"No")</f>
        <v>No</v>
      </c>
      <c r="AF2743" s="8"/>
      <c r="AG2743" s="8" t="str">
        <f ca="1">IFERROR(__xludf.DUMMYFUNCTION("""COMPUTED_VALUE"""),"No")</f>
        <v>No</v>
      </c>
      <c r="AH2743" s="8" t="str">
        <f ca="1">IFERROR(__xludf.DUMMYFUNCTION("""COMPUTED_VALUE"""),"No")</f>
        <v>No</v>
      </c>
      <c r="AI2743" s="8" t="str">
        <f ca="1">IFERROR(__xludf.DUMMYFUNCTION("""COMPUTED_VALUE"""),"No")</f>
        <v>No</v>
      </c>
      <c r="AJ2743" s="8" t="str">
        <f ca="1">IFERROR(__xludf.DUMMYFUNCTION("""COMPUTED_VALUE"""),"No")</f>
        <v>No</v>
      </c>
      <c r="AK2743" s="8" t="str">
        <f ca="1">IFERROR(__xludf.DUMMYFUNCTION("""COMPUTED_VALUE"""),"No")</f>
        <v>No</v>
      </c>
      <c r="AL2743" s="8" t="str">
        <f ca="1">IFERROR(__xludf.DUMMYFUNCTION("""COMPUTED_VALUE"""),"No")</f>
        <v>No</v>
      </c>
      <c r="AM2743" s="8"/>
      <c r="AN2743" s="8"/>
      <c r="AO2743" s="8" t="str">
        <f ca="1">IFERROR(__xludf.DUMMYFUNCTION("""COMPUTED_VALUE"""),"No")</f>
        <v>No</v>
      </c>
      <c r="AP2743" s="8"/>
      <c r="AQ2743" s="8" t="str">
        <f ca="1">IFERROR(__xludf.DUMMYFUNCTION("""COMPUTED_VALUE"""),"Unknown")</f>
        <v>Unknown</v>
      </c>
      <c r="AR2743" s="8" t="str">
        <f ca="1">IFERROR(__xludf.DUMMYFUNCTION("""COMPUTED_VALUE"""),"NA")</f>
        <v>NA</v>
      </c>
      <c r="AS2743" s="8"/>
      <c r="AT2743" s="8"/>
      <c r="AU2743" s="8">
        <f ca="1">IFERROR(__xludf.DUMMYFUNCTION("""COMPUTED_VALUE"""),32.497087)</f>
        <v>32.497087000000001</v>
      </c>
      <c r="AV2743" s="8">
        <f ca="1">IFERROR(__xludf.DUMMYFUNCTION("""COMPUTED_VALUE"""),-93.719662)</f>
        <v>-93.719662</v>
      </c>
      <c r="AW2743" s="8"/>
      <c r="AX2743" s="8">
        <f ca="1">IFERROR(__xludf.DUMMYFUNCTION("""COMPUTED_VALUE"""),71101)</f>
        <v>71101</v>
      </c>
    </row>
    <row r="2744" spans="1:50" ht="45" x14ac:dyDescent="0.2">
      <c r="A2744" s="8" t="str">
        <f ca="1">IFERROR(__xludf.DUMMYFUNCTION("""COMPUTED_VALUE"""),"19891122CACHO")</f>
        <v>19891122CACHO</v>
      </c>
      <c r="B2744" s="8">
        <f ca="1">IFERROR(__xludf.DUMMYFUNCTION("""COMPUTED_VALUE"""),11)</f>
        <v>11</v>
      </c>
      <c r="C2744" s="8">
        <f ca="1">IFERROR(__xludf.DUMMYFUNCTION("""COMPUTED_VALUE"""),22)</f>
        <v>22</v>
      </c>
      <c r="D2744" s="8">
        <f ca="1">IFERROR(__xludf.DUMMYFUNCTION("""COMPUTED_VALUE"""),1989)</f>
        <v>1989</v>
      </c>
      <c r="E2744" s="9">
        <f ca="1">IFERROR(__xludf.DUMMYFUNCTION("""COMPUTED_VALUE"""),32834)</f>
        <v>32834</v>
      </c>
      <c r="F2744" s="8" t="str">
        <f ca="1">IFERROR(__xludf.DUMMYFUNCTION("""COMPUTED_VALUE"""),"Channel Islands High School")</f>
        <v>Channel Islands High School</v>
      </c>
      <c r="G2744" s="8">
        <f ca="1">IFERROR(__xludf.DUMMYFUNCTION("""COMPUTED_VALUE"""),1)</f>
        <v>1</v>
      </c>
      <c r="H2744" s="8">
        <f ca="1">IFERROR(__xludf.DUMMYFUNCTION("""COMPUTED_VALUE"""),0)</f>
        <v>0</v>
      </c>
      <c r="I2744" s="8">
        <f ca="1">IFERROR(__xludf.DUMMYFUNCTION("""COMPUTED_VALUE"""),1)</f>
        <v>1</v>
      </c>
      <c r="J2744" s="8">
        <f ca="1">IFERROR(__xludf.DUMMYFUNCTION("""COMPUTED_VALUE"""),0)</f>
        <v>0</v>
      </c>
      <c r="K2744" s="10" t="str">
        <f ca="1">IFERROR(__xludf.DUMMYFUNCTION("""COMPUTED_VALUE"""),"http://articles.latimes.com/1990-06-15/local/me-106_1_rival-gang-member")</f>
        <v>http://articles.latimes.com/1990-06-15/local/me-106_1_rival-gang-member</v>
      </c>
      <c r="L2744" s="8"/>
      <c r="M2744" s="8"/>
      <c r="N2744" s="8">
        <f ca="1">IFERROR(__xludf.DUMMYFUNCTION("""COMPUTED_VALUE"""),2)</f>
        <v>2</v>
      </c>
      <c r="O2744" s="8" t="str">
        <f ca="1">IFERROR(__xludf.DUMMYFUNCTION("""COMPUTED_VALUE"""),"Fall")</f>
        <v>Fall</v>
      </c>
      <c r="P2744" s="8" t="str">
        <f ca="1">IFERROR(__xludf.DUMMYFUNCTION("""COMPUTED_VALUE"""),"Oxnard")</f>
        <v>Oxnard</v>
      </c>
      <c r="Q2744" s="8" t="str">
        <f ca="1">IFERROR(__xludf.DUMMYFUNCTION("""COMPUTED_VALUE"""),"CA")</f>
        <v>CA</v>
      </c>
      <c r="R2744" s="8" t="str">
        <f ca="1">IFERROR(__xludf.DUMMYFUNCTION("""COMPUTED_VALUE"""),"High")</f>
        <v>High</v>
      </c>
      <c r="S2744" s="8" t="str">
        <f ca="1">IFERROR(__xludf.DUMMYFUNCTION("""COMPUTED_VALUE"""),"Beside Building")</f>
        <v>Beside Building</v>
      </c>
      <c r="T2744" s="8" t="str">
        <f ca="1">IFERROR(__xludf.DUMMYFUNCTION("""COMPUTED_VALUE"""),"Outside on School Property")</f>
        <v>Outside on School Property</v>
      </c>
      <c r="U2744" s="8" t="str">
        <f ca="1">IFERROR(__xludf.DUMMYFUNCTION("""COMPUTED_VALUE"""),"No")</f>
        <v>No</v>
      </c>
      <c r="V2744" s="8" t="str">
        <f ca="1">IFERROR(__xludf.DUMMYFUNCTION("""COMPUTED_VALUE"""),"After School")</f>
        <v>After School</v>
      </c>
      <c r="W2744" s="11">
        <f ca="1">IFERROR(__xludf.DUMMYFUNCTION("""COMPUTED_VALUE"""),0.625)</f>
        <v>0.625</v>
      </c>
      <c r="X2744" s="8">
        <f ca="1">IFERROR(__xludf.DUMMYFUNCTION("""COMPUTED_VALUE"""),1)</f>
        <v>1</v>
      </c>
      <c r="Y2744" s="12" t="str">
        <f ca="1">IFERROR(__xludf.DUMMYFUNCTION("""COMPUTED_VALUE"""),"Fight between rival gang members outside of school")</f>
        <v>Fight between rival gang members outside of school</v>
      </c>
      <c r="Z2744" s="12" t="str">
        <f ca="1">IFERROR(__xludf.DUMMYFUNCTION("""COMPUTED_VALUE"""),"19YOM fatally shot 20YOM outside of school building and fled the scene. Victim was member of rival Latino gang. Shooter fled the scene in a vehicle following the shooting.")</f>
        <v>19YOM fatally shot 20YOM outside of school building and fled the scene. Victim was member of rival Latino gang. Shooter fled the scene in a vehicle following the shooting.</v>
      </c>
      <c r="AA2744" s="8" t="str">
        <f ca="1">IFERROR(__xludf.DUMMYFUNCTION("""COMPUTED_VALUE"""),"Escalation of Dispute")</f>
        <v>Escalation of Dispute</v>
      </c>
      <c r="AB2744" s="8"/>
      <c r="AC2744" s="8"/>
      <c r="AD2744" s="8" t="str">
        <f ca="1">IFERROR(__xludf.DUMMYFUNCTION("""COMPUTED_VALUE"""),"Victims Targeted")</f>
        <v>Victims Targeted</v>
      </c>
      <c r="AE2744" s="8" t="str">
        <f ca="1">IFERROR(__xludf.DUMMYFUNCTION("""COMPUTED_VALUE"""),"No")</f>
        <v>No</v>
      </c>
      <c r="AF2744" s="8"/>
      <c r="AG2744" s="8" t="str">
        <f ca="1">IFERROR(__xludf.DUMMYFUNCTION("""COMPUTED_VALUE"""),"No")</f>
        <v>No</v>
      </c>
      <c r="AH2744" s="8" t="str">
        <f ca="1">IFERROR(__xludf.DUMMYFUNCTION("""COMPUTED_VALUE"""),"No")</f>
        <v>No</v>
      </c>
      <c r="AI2744" s="8" t="str">
        <f ca="1">IFERROR(__xludf.DUMMYFUNCTION("""COMPUTED_VALUE"""),"No")</f>
        <v>No</v>
      </c>
      <c r="AJ2744" s="8" t="str">
        <f ca="1">IFERROR(__xludf.DUMMYFUNCTION("""COMPUTED_VALUE"""),"No")</f>
        <v>No</v>
      </c>
      <c r="AK2744" s="8" t="str">
        <f ca="1">IFERROR(__xludf.DUMMYFUNCTION("""COMPUTED_VALUE"""),"No")</f>
        <v>No</v>
      </c>
      <c r="AL2744" s="8" t="str">
        <f ca="1">IFERROR(__xludf.DUMMYFUNCTION("""COMPUTED_VALUE"""),"Yes")</f>
        <v>Yes</v>
      </c>
      <c r="AM2744" s="8"/>
      <c r="AN2744" s="8"/>
      <c r="AO2744" s="8" t="str">
        <f ca="1">IFERROR(__xludf.DUMMYFUNCTION("""COMPUTED_VALUE"""),"No")</f>
        <v>No</v>
      </c>
      <c r="AP2744" s="8"/>
      <c r="AQ2744" s="8" t="str">
        <f ca="1">IFERROR(__xludf.DUMMYFUNCTION("""COMPUTED_VALUE"""),"Unknown")</f>
        <v>Unknown</v>
      </c>
      <c r="AR2744" s="8" t="str">
        <f ca="1">IFERROR(__xludf.DUMMYFUNCTION("""COMPUTED_VALUE"""),"NA")</f>
        <v>NA</v>
      </c>
      <c r="AS2744" s="8">
        <f ca="1">IFERROR(__xludf.DUMMYFUNCTION("""COMPUTED_VALUE"""),1)</f>
        <v>1</v>
      </c>
      <c r="AT2744" s="8"/>
      <c r="AU2744" s="8">
        <f ca="1">IFERROR(__xludf.DUMMYFUNCTION("""COMPUTED_VALUE"""),34.170845)</f>
        <v>34.170845</v>
      </c>
      <c r="AV2744" s="8">
        <f ca="1">IFERROR(__xludf.DUMMYFUNCTION("""COMPUTED_VALUE"""),-119.162681)</f>
        <v>-119.16268100000001</v>
      </c>
      <c r="AW2744" s="8"/>
      <c r="AX2744" s="8">
        <f ca="1">IFERROR(__xludf.DUMMYFUNCTION("""COMPUTED_VALUE"""),93033)</f>
        <v>93033</v>
      </c>
    </row>
    <row r="2745" spans="1:50" ht="60" x14ac:dyDescent="0.2">
      <c r="A2745" s="8" t="str">
        <f ca="1">IFERROR(__xludf.DUMMYFUNCTION("""COMPUTED_VALUE"""),"19891115TXWOA")</f>
        <v>19891115TXWOA</v>
      </c>
      <c r="B2745" s="8">
        <f ca="1">IFERROR(__xludf.DUMMYFUNCTION("""COMPUTED_VALUE"""),11)</f>
        <v>11</v>
      </c>
      <c r="C2745" s="8">
        <f ca="1">IFERROR(__xludf.DUMMYFUNCTION("""COMPUTED_VALUE"""),15)</f>
        <v>15</v>
      </c>
      <c r="D2745" s="8">
        <f ca="1">IFERROR(__xludf.DUMMYFUNCTION("""COMPUTED_VALUE"""),1989)</f>
        <v>1989</v>
      </c>
      <c r="E2745" s="9">
        <f ca="1">IFERROR(__xludf.DUMMYFUNCTION("""COMPUTED_VALUE"""),32827)</f>
        <v>32827</v>
      </c>
      <c r="F2745" s="8" t="str">
        <f ca="1">IFERROR(__xludf.DUMMYFUNCTION("""COMPUTED_VALUE"""),"Workman Junior High School")</f>
        <v>Workman Junior High School</v>
      </c>
      <c r="G2745" s="8">
        <f ca="1">IFERROR(__xludf.DUMMYFUNCTION("""COMPUTED_VALUE"""),0)</f>
        <v>0</v>
      </c>
      <c r="H2745" s="8">
        <f ca="1">IFERROR(__xludf.DUMMYFUNCTION("""COMPUTED_VALUE"""),1)</f>
        <v>1</v>
      </c>
      <c r="I2745" s="8">
        <f ca="1">IFERROR(__xludf.DUMMYFUNCTION("""COMPUTED_VALUE"""),1)</f>
        <v>1</v>
      </c>
      <c r="J2745" s="8">
        <f ca="1">IFERROR(__xludf.DUMMYFUNCTION("""COMPUTED_VALUE"""),0)</f>
        <v>0</v>
      </c>
      <c r="K2745" s="8" t="str">
        <f ca="1">IFERROR(__xludf.DUMMYFUNCTION("""COMPUTED_VALUE"""),"https://www.newspapers.com/image/132729880/?terms=Workman%2BJunior%2BHigh%2BSchool; https://www.newspapers.com/image/300710884/?terms=Andy%2Bchambers; https://apnews.com/73274954a2b21920074cff0bf55cadb3")</f>
        <v>https://www.newspapers.com/image/132729880/?terms=Workman%2BJunior%2BHigh%2BSchool; https://www.newspapers.com/image/300710884/?terms=Andy%2Bchambers; https://apnews.com/73274954a2b21920074cff0bf55cadb3</v>
      </c>
      <c r="L2745" s="8"/>
      <c r="M2745" s="8"/>
      <c r="N2745" s="8">
        <f ca="1">IFERROR(__xludf.DUMMYFUNCTION("""COMPUTED_VALUE"""),2)</f>
        <v>2</v>
      </c>
      <c r="O2745" s="8" t="str">
        <f ca="1">IFERROR(__xludf.DUMMYFUNCTION("""COMPUTED_VALUE"""),"Fall")</f>
        <v>Fall</v>
      </c>
      <c r="P2745" s="8" t="str">
        <f ca="1">IFERROR(__xludf.DUMMYFUNCTION("""COMPUTED_VALUE"""),"Arlington")</f>
        <v>Arlington</v>
      </c>
      <c r="Q2745" s="8" t="str">
        <f ca="1">IFERROR(__xludf.DUMMYFUNCTION("""COMPUTED_VALUE"""),"TX")</f>
        <v>TX</v>
      </c>
      <c r="R2745" s="8" t="str">
        <f ca="1">IFERROR(__xludf.DUMMYFUNCTION("""COMPUTED_VALUE"""),"Junior High")</f>
        <v>Junior High</v>
      </c>
      <c r="S2745" s="8" t="str">
        <f ca="1">IFERROR(__xludf.DUMMYFUNCTION("""COMPUTED_VALUE"""),"Parking Lot")</f>
        <v>Parking Lot</v>
      </c>
      <c r="T2745" s="8" t="str">
        <f ca="1">IFERROR(__xludf.DUMMYFUNCTION("""COMPUTED_VALUE"""),"Outside on School Property")</f>
        <v>Outside on School Property</v>
      </c>
      <c r="U2745" s="8" t="str">
        <f ca="1">IFERROR(__xludf.DUMMYFUNCTION("""COMPUTED_VALUE"""),"Yes")</f>
        <v>Yes</v>
      </c>
      <c r="V2745" s="8" t="str">
        <f ca="1">IFERROR(__xludf.DUMMYFUNCTION("""COMPUTED_VALUE"""),"Dismissal")</f>
        <v>Dismissal</v>
      </c>
      <c r="W2745" s="11">
        <f ca="1">IFERROR(__xludf.DUMMYFUNCTION("""COMPUTED_VALUE"""),0.65625)</f>
        <v>0.65625</v>
      </c>
      <c r="X2745" s="8">
        <f ca="1">IFERROR(__xludf.DUMMYFUNCTION("""COMPUTED_VALUE"""),1)</f>
        <v>1</v>
      </c>
      <c r="Y2745" s="12" t="str">
        <f ca="1">IFERROR(__xludf.DUMMYFUNCTION("""COMPUTED_VALUE"""),"Shot vice principal in back during dismissal")</f>
        <v>Shot vice principal in back during dismissal</v>
      </c>
      <c r="Z2745" s="12" t="str">
        <f ca="1">IFERROR(__xludf.DUMMYFUNCTION("""COMPUTED_VALUE"""),"13YOM shot vice principal one time in the back during school dismissal. Shooter then fled and was apprehended approximately 1/2 miles away. Shooter told fellow students he was planning on shooting victim.")</f>
        <v>13YOM shot vice principal one time in the back during school dismissal. Shooter then fled and was apprehended approximately 1/2 miles away. Shooter told fellow students he was planning on shooting victim.</v>
      </c>
      <c r="AA2745" s="8" t="str">
        <f ca="1">IFERROR(__xludf.DUMMYFUNCTION("""COMPUTED_VALUE"""),"Anger Over Grade/Suspension/Discipline")</f>
        <v>Anger Over Grade/Suspension/Discipline</v>
      </c>
      <c r="AB2745" s="8"/>
      <c r="AC2745" s="8" t="str">
        <f ca="1">IFERROR(__xludf.DUMMYFUNCTION("""COMPUTED_VALUE"""),"Yes")</f>
        <v>Yes</v>
      </c>
      <c r="AD2745" s="8" t="str">
        <f ca="1">IFERROR(__xludf.DUMMYFUNCTION("""COMPUTED_VALUE"""),"Victims Targeted")</f>
        <v>Victims Targeted</v>
      </c>
      <c r="AE2745" s="8" t="str">
        <f ca="1">IFERROR(__xludf.DUMMYFUNCTION("""COMPUTED_VALUE"""),"No")</f>
        <v>No</v>
      </c>
      <c r="AF2745" s="8"/>
      <c r="AG2745" s="8" t="str">
        <f ca="1">IFERROR(__xludf.DUMMYFUNCTION("""COMPUTED_VALUE"""),"No")</f>
        <v>No</v>
      </c>
      <c r="AH2745" s="8" t="str">
        <f ca="1">IFERROR(__xludf.DUMMYFUNCTION("""COMPUTED_VALUE"""),"No")</f>
        <v>No</v>
      </c>
      <c r="AI2745" s="8" t="str">
        <f ca="1">IFERROR(__xludf.DUMMYFUNCTION("""COMPUTED_VALUE"""),"No")</f>
        <v>No</v>
      </c>
      <c r="AJ2745" s="8" t="str">
        <f ca="1">IFERROR(__xludf.DUMMYFUNCTION("""COMPUTED_VALUE"""),"No")</f>
        <v>No</v>
      </c>
      <c r="AK2745" s="8" t="str">
        <f ca="1">IFERROR(__xludf.DUMMYFUNCTION("""COMPUTED_VALUE"""),"No")</f>
        <v>No</v>
      </c>
      <c r="AL2745" s="8" t="str">
        <f ca="1">IFERROR(__xludf.DUMMYFUNCTION("""COMPUTED_VALUE"""),"No")</f>
        <v>No</v>
      </c>
      <c r="AM2745" s="8" t="str">
        <f ca="1">IFERROR(__xludf.DUMMYFUNCTION("""COMPUTED_VALUE"""),"No")</f>
        <v>No</v>
      </c>
      <c r="AN2745" s="8"/>
      <c r="AO2745" s="8" t="str">
        <f ca="1">IFERROR(__xludf.DUMMYFUNCTION("""COMPUTED_VALUE"""),"Yes")</f>
        <v>Yes</v>
      </c>
      <c r="AP2745" s="8"/>
      <c r="AQ2745" s="8" t="str">
        <f ca="1">IFERROR(__xludf.DUMMYFUNCTION("""COMPUTED_VALUE"""),"Unknown")</f>
        <v>Unknown</v>
      </c>
      <c r="AR2745" s="8" t="str">
        <f ca="1">IFERROR(__xludf.DUMMYFUNCTION("""COMPUTED_VALUE"""),"NA")</f>
        <v>NA</v>
      </c>
      <c r="AS2745" s="8">
        <f ca="1">IFERROR(__xludf.DUMMYFUNCTION("""COMPUTED_VALUE"""),2)</f>
        <v>2</v>
      </c>
      <c r="AT2745" s="8"/>
      <c r="AU2745" s="8">
        <f ca="1">IFERROR(__xludf.DUMMYFUNCTION("""COMPUTED_VALUE"""),32.735687)</f>
        <v>32.735686999999999</v>
      </c>
      <c r="AV2745" s="8">
        <f ca="1">IFERROR(__xludf.DUMMYFUNCTION("""COMPUTED_VALUE"""),-97.1080656)</f>
        <v>-97.108065600000003</v>
      </c>
      <c r="AW2745" s="8"/>
      <c r="AX2745" s="8">
        <f ca="1">IFERROR(__xludf.DUMMYFUNCTION("""COMPUTED_VALUE"""),76019)</f>
        <v>76019</v>
      </c>
    </row>
    <row r="2746" spans="1:50" ht="60" x14ac:dyDescent="0.2">
      <c r="A2746" s="8" t="str">
        <f ca="1">IFERROR(__xludf.DUMMYFUNCTION("""COMPUTED_VALUE"""),"19891113NYALN")</f>
        <v>19891113NYALN</v>
      </c>
      <c r="B2746" s="8">
        <f ca="1">IFERROR(__xludf.DUMMYFUNCTION("""COMPUTED_VALUE"""),11)</f>
        <v>11</v>
      </c>
      <c r="C2746" s="8">
        <f ca="1">IFERROR(__xludf.DUMMYFUNCTION("""COMPUTED_VALUE"""),13)</f>
        <v>13</v>
      </c>
      <c r="D2746" s="8">
        <f ca="1">IFERROR(__xludf.DUMMYFUNCTION("""COMPUTED_VALUE"""),1989)</f>
        <v>1989</v>
      </c>
      <c r="E2746" s="9">
        <f ca="1">IFERROR(__xludf.DUMMYFUNCTION("""COMPUTED_VALUE"""),32825)</f>
        <v>32825</v>
      </c>
      <c r="F2746" s="8" t="str">
        <f ca="1">IFERROR(__xludf.DUMMYFUNCTION("""COMPUTED_VALUE"""),"Alfred E. Smith High School")</f>
        <v>Alfred E. Smith High School</v>
      </c>
      <c r="G2746" s="8">
        <f ca="1">IFERROR(__xludf.DUMMYFUNCTION("""COMPUTED_VALUE"""),1)</f>
        <v>1</v>
      </c>
      <c r="H2746" s="8">
        <f ca="1">IFERROR(__xludf.DUMMYFUNCTION("""COMPUTED_VALUE"""),0)</f>
        <v>0</v>
      </c>
      <c r="I2746" s="8">
        <f ca="1">IFERROR(__xludf.DUMMYFUNCTION("""COMPUTED_VALUE"""),1)</f>
        <v>1</v>
      </c>
      <c r="J2746" s="8">
        <f ca="1">IFERROR(__xludf.DUMMYFUNCTION("""COMPUTED_VALUE"""),0)</f>
        <v>0</v>
      </c>
      <c r="K2746" s="10" t="str">
        <f ca="1">IFERROR(__xludf.DUMMYFUNCTION("""COMPUTED_VALUE"""),"https://www.newspapers.com/image/112524612/?terms=Alfred%2BE.%2BSmith%2BHigh%2BSchool")</f>
        <v>https://www.newspapers.com/image/112524612/?terms=Alfred%2BE.%2BSmith%2BHigh%2BSchool</v>
      </c>
      <c r="L2746" s="8"/>
      <c r="M2746" s="8"/>
      <c r="N2746" s="8">
        <f ca="1">IFERROR(__xludf.DUMMYFUNCTION("""COMPUTED_VALUE"""),2)</f>
        <v>2</v>
      </c>
      <c r="O2746" s="8" t="str">
        <f ca="1">IFERROR(__xludf.DUMMYFUNCTION("""COMPUTED_VALUE"""),"Fall")</f>
        <v>Fall</v>
      </c>
      <c r="P2746" s="8" t="str">
        <f ca="1">IFERROR(__xludf.DUMMYFUNCTION("""COMPUTED_VALUE"""),"New York")</f>
        <v>New York</v>
      </c>
      <c r="Q2746" s="8" t="str">
        <f ca="1">IFERROR(__xludf.DUMMYFUNCTION("""COMPUTED_VALUE"""),"NY")</f>
        <v>NY</v>
      </c>
      <c r="R2746" s="8" t="str">
        <f ca="1">IFERROR(__xludf.DUMMYFUNCTION("""COMPUTED_VALUE"""),"High")</f>
        <v>High</v>
      </c>
      <c r="S2746" s="8" t="str">
        <f ca="1">IFERROR(__xludf.DUMMYFUNCTION("""COMPUTED_VALUE"""),"Inside School Building")</f>
        <v>Inside School Building</v>
      </c>
      <c r="T2746" s="8" t="str">
        <f ca="1">IFERROR(__xludf.DUMMYFUNCTION("""COMPUTED_VALUE"""),"Inside School Building")</f>
        <v>Inside School Building</v>
      </c>
      <c r="U2746" s="8" t="str">
        <f ca="1">IFERROR(__xludf.DUMMYFUNCTION("""COMPUTED_VALUE"""),"Yes")</f>
        <v>Yes</v>
      </c>
      <c r="V2746" s="8" t="str">
        <f ca="1">IFERROR(__xludf.DUMMYFUNCTION("""COMPUTED_VALUE"""),"Afternoon Classes")</f>
        <v>Afternoon Classes</v>
      </c>
      <c r="W2746" s="8"/>
      <c r="X2746" s="8">
        <f ca="1">IFERROR(__xludf.DUMMYFUNCTION("""COMPUTED_VALUE"""),1)</f>
        <v>1</v>
      </c>
      <c r="Y2746" s="12" t="str">
        <f ca="1">IFERROR(__xludf.DUMMYFUNCTION("""COMPUTED_VALUE"""),"Showing off gun, accidental discharge struck victim in chest")</f>
        <v>Showing off gun, accidental discharge struck victim in chest</v>
      </c>
      <c r="Z2746" s="12" t="str">
        <f ca="1">IFERROR(__xludf.DUMMYFUNCTION("""COMPUTED_VALUE"""),"15YOM student was showing off .22 revolver when it accidentally discharged striking the other student in the chest. Student died on way to hospital.")</f>
        <v>15YOM student was showing off .22 revolver when it accidentally discharged striking the other student in the chest. Student died on way to hospital.</v>
      </c>
      <c r="AA2746" s="8" t="str">
        <f ca="1">IFERROR(__xludf.DUMMYFUNCTION("""COMPUTED_VALUE"""),"Accidental")</f>
        <v>Accidental</v>
      </c>
      <c r="AB2746" s="8"/>
      <c r="AC2746" s="8"/>
      <c r="AD2746" s="8" t="str">
        <f ca="1">IFERROR(__xludf.DUMMYFUNCTION("""COMPUTED_VALUE"""),"Random Shooting")</f>
        <v>Random Shooting</v>
      </c>
      <c r="AE2746" s="8" t="str">
        <f ca="1">IFERROR(__xludf.DUMMYFUNCTION("""COMPUTED_VALUE"""),"No")</f>
        <v>No</v>
      </c>
      <c r="AF2746" s="8"/>
      <c r="AG2746" s="8" t="str">
        <f ca="1">IFERROR(__xludf.DUMMYFUNCTION("""COMPUTED_VALUE"""),"No")</f>
        <v>No</v>
      </c>
      <c r="AH2746" s="8" t="str">
        <f ca="1">IFERROR(__xludf.DUMMYFUNCTION("""COMPUTED_VALUE"""),"No")</f>
        <v>No</v>
      </c>
      <c r="AI2746" s="8" t="str">
        <f ca="1">IFERROR(__xludf.DUMMYFUNCTION("""COMPUTED_VALUE"""),"No")</f>
        <v>No</v>
      </c>
      <c r="AJ2746" s="8" t="str">
        <f ca="1">IFERROR(__xludf.DUMMYFUNCTION("""COMPUTED_VALUE"""),"No")</f>
        <v>No</v>
      </c>
      <c r="AK2746" s="8" t="str">
        <f ca="1">IFERROR(__xludf.DUMMYFUNCTION("""COMPUTED_VALUE"""),"No")</f>
        <v>No</v>
      </c>
      <c r="AL2746" s="8" t="str">
        <f ca="1">IFERROR(__xludf.DUMMYFUNCTION("""COMPUTED_VALUE"""),"No")</f>
        <v>No</v>
      </c>
      <c r="AM2746" s="8"/>
      <c r="AN2746" s="8"/>
      <c r="AO2746" s="8" t="str">
        <f ca="1">IFERROR(__xludf.DUMMYFUNCTION("""COMPUTED_VALUE"""),"No")</f>
        <v>No</v>
      </c>
      <c r="AP2746" s="8"/>
      <c r="AQ2746" s="8" t="str">
        <f ca="1">IFERROR(__xludf.DUMMYFUNCTION("""COMPUTED_VALUE"""),"Unknown")</f>
        <v>Unknown</v>
      </c>
      <c r="AR2746" s="8" t="str">
        <f ca="1">IFERROR(__xludf.DUMMYFUNCTION("""COMPUTED_VALUE"""),"NA")</f>
        <v>NA</v>
      </c>
      <c r="AS2746" s="8">
        <f ca="1">IFERROR(__xludf.DUMMYFUNCTION("""COMPUTED_VALUE"""),1)</f>
        <v>1</v>
      </c>
      <c r="AT2746" s="8"/>
      <c r="AU2746" s="8">
        <f ca="1">IFERROR(__xludf.DUMMYFUNCTION("""COMPUTED_VALUE"""),40.818461)</f>
        <v>40.818460999999999</v>
      </c>
      <c r="AV2746" s="8">
        <f ca="1">IFERROR(__xludf.DUMMYFUNCTION("""COMPUTED_VALUE"""),-73.919855)</f>
        <v>-73.919854999999998</v>
      </c>
      <c r="AW2746" s="8"/>
      <c r="AX2746" s="8">
        <f ca="1">IFERROR(__xludf.DUMMYFUNCTION("""COMPUTED_VALUE"""),10451)</f>
        <v>10451</v>
      </c>
    </row>
    <row r="2747" spans="1:50" ht="75" x14ac:dyDescent="0.2">
      <c r="A2747" s="8" t="str">
        <f ca="1">IFERROR(__xludf.DUMMYFUNCTION("""COMPUTED_VALUE"""),"19891031TXOLD")</f>
        <v>19891031TXOLD</v>
      </c>
      <c r="B2747" s="8">
        <f ca="1">IFERROR(__xludf.DUMMYFUNCTION("""COMPUTED_VALUE"""),10)</f>
        <v>10</v>
      </c>
      <c r="C2747" s="8">
        <f ca="1">IFERROR(__xludf.DUMMYFUNCTION("""COMPUTED_VALUE"""),31)</f>
        <v>31</v>
      </c>
      <c r="D2747" s="8">
        <f ca="1">IFERROR(__xludf.DUMMYFUNCTION("""COMPUTED_VALUE"""),1989)</f>
        <v>1989</v>
      </c>
      <c r="E2747" s="9">
        <f ca="1">IFERROR(__xludf.DUMMYFUNCTION("""COMPUTED_VALUE"""),32812)</f>
        <v>32812</v>
      </c>
      <c r="F2747" s="8" t="str">
        <f ca="1">IFERROR(__xludf.DUMMYFUNCTION("""COMPUTED_VALUE"""),"Oliver Wendell Holmes Middle School")</f>
        <v>Oliver Wendell Holmes Middle School</v>
      </c>
      <c r="G2747" s="8">
        <f ca="1">IFERROR(__xludf.DUMMYFUNCTION("""COMPUTED_VALUE"""),0)</f>
        <v>0</v>
      </c>
      <c r="H2747" s="8">
        <f ca="1">IFERROR(__xludf.DUMMYFUNCTION("""COMPUTED_VALUE"""),1)</f>
        <v>1</v>
      </c>
      <c r="I2747" s="8">
        <f ca="1">IFERROR(__xludf.DUMMYFUNCTION("""COMPUTED_VALUE"""),1)</f>
        <v>1</v>
      </c>
      <c r="J2747" s="8">
        <f ca="1">IFERROR(__xludf.DUMMYFUNCTION("""COMPUTED_VALUE"""),0)</f>
        <v>0</v>
      </c>
      <c r="K2747" s="10" t="str">
        <f ca="1">IFERROR(__xludf.DUMMYFUNCTION("""COMPUTED_VALUE"""),"https://www.newspapers.com/image/300055668/?terms=Oliver%2BWendell%2BHolmes%2BMiddle%2BSchool%2Bshooting")</f>
        <v>https://www.newspapers.com/image/300055668/?terms=Oliver%2BWendell%2BHolmes%2BMiddle%2BSchool%2Bshooting</v>
      </c>
      <c r="L2747" s="8"/>
      <c r="M2747" s="8"/>
      <c r="N2747" s="8">
        <f ca="1">IFERROR(__xludf.DUMMYFUNCTION("""COMPUTED_VALUE"""),2)</f>
        <v>2</v>
      </c>
      <c r="O2747" s="8" t="str">
        <f ca="1">IFERROR(__xludf.DUMMYFUNCTION("""COMPUTED_VALUE"""),"Fall")</f>
        <v>Fall</v>
      </c>
      <c r="P2747" s="8" t="str">
        <f ca="1">IFERROR(__xludf.DUMMYFUNCTION("""COMPUTED_VALUE"""),"Dallas")</f>
        <v>Dallas</v>
      </c>
      <c r="Q2747" s="8" t="str">
        <f ca="1">IFERROR(__xludf.DUMMYFUNCTION("""COMPUTED_VALUE"""),"TX")</f>
        <v>TX</v>
      </c>
      <c r="R2747" s="8" t="str">
        <f ca="1">IFERROR(__xludf.DUMMYFUNCTION("""COMPUTED_VALUE"""),"Middle")</f>
        <v>Middle</v>
      </c>
      <c r="S2747" s="8" t="str">
        <f ca="1">IFERROR(__xludf.DUMMYFUNCTION("""COMPUTED_VALUE"""),"Inside School Building")</f>
        <v>Inside School Building</v>
      </c>
      <c r="T2747" s="8" t="str">
        <f ca="1">IFERROR(__xludf.DUMMYFUNCTION("""COMPUTED_VALUE"""),"Inside School Building")</f>
        <v>Inside School Building</v>
      </c>
      <c r="U2747" s="8" t="str">
        <f ca="1">IFERROR(__xludf.DUMMYFUNCTION("""COMPUTED_VALUE"""),"Yes")</f>
        <v>Yes</v>
      </c>
      <c r="V2747" s="8" t="str">
        <f ca="1">IFERROR(__xludf.DUMMYFUNCTION("""COMPUTED_VALUE"""),"School Start")</f>
        <v>School Start</v>
      </c>
      <c r="W2747" s="8"/>
      <c r="X2747" s="8">
        <f ca="1">IFERROR(__xludf.DUMMYFUNCTION("""COMPUTED_VALUE"""),1)</f>
        <v>1</v>
      </c>
      <c r="Y2747" s="12" t="str">
        <f ca="1">IFERROR(__xludf.DUMMYFUNCTION("""COMPUTED_VALUE"""),"Student shot with bb gun in spine")</f>
        <v>Student shot with bb gun in spine</v>
      </c>
      <c r="Z2747" s="12" t="str">
        <f ca="1">IFERROR(__xludf.DUMMYFUNCTION("""COMPUTED_VALUE"""),"14YOM student was dressed a GI Joe for halloween with BB gun as part of costume. Student was playing with gun and it accidentally fired striking another student in the spine. Student fell over and had numbness in legs. Shooter went with the victim (friend"&amp;") to the nurses office.")</f>
        <v>14YOM student was dressed a GI Joe for halloween with BB gun as part of costume. Student was playing with gun and it accidentally fired striking another student in the spine. Student fell over and had numbness in legs. Shooter went with the victim (friend) to the nurses office.</v>
      </c>
      <c r="AA2747" s="8" t="str">
        <f ca="1">IFERROR(__xludf.DUMMYFUNCTION("""COMPUTED_VALUE"""),"Accidental")</f>
        <v>Accidental</v>
      </c>
      <c r="AB2747" s="8"/>
      <c r="AC2747" s="8"/>
      <c r="AD2747" s="8" t="str">
        <f ca="1">IFERROR(__xludf.DUMMYFUNCTION("""COMPUTED_VALUE"""),"Random Shooting")</f>
        <v>Random Shooting</v>
      </c>
      <c r="AE2747" s="8"/>
      <c r="AF2747" s="8"/>
      <c r="AG2747" s="8" t="str">
        <f ca="1">IFERROR(__xludf.DUMMYFUNCTION("""COMPUTED_VALUE"""),"No")</f>
        <v>No</v>
      </c>
      <c r="AH2747" s="8" t="str">
        <f ca="1">IFERROR(__xludf.DUMMYFUNCTION("""COMPUTED_VALUE"""),"No")</f>
        <v>No</v>
      </c>
      <c r="AI2747" s="8" t="str">
        <f ca="1">IFERROR(__xludf.DUMMYFUNCTION("""COMPUTED_VALUE"""),"No")</f>
        <v>No</v>
      </c>
      <c r="AJ2747" s="8" t="str">
        <f ca="1">IFERROR(__xludf.DUMMYFUNCTION("""COMPUTED_VALUE"""),"No")</f>
        <v>No</v>
      </c>
      <c r="AK2747" s="8" t="str">
        <f ca="1">IFERROR(__xludf.DUMMYFUNCTION("""COMPUTED_VALUE"""),"No")</f>
        <v>No</v>
      </c>
      <c r="AL2747" s="8" t="str">
        <f ca="1">IFERROR(__xludf.DUMMYFUNCTION("""COMPUTED_VALUE"""),"No")</f>
        <v>No</v>
      </c>
      <c r="AM2747" s="8"/>
      <c r="AN2747" s="8"/>
      <c r="AO2747" s="8" t="str">
        <f ca="1">IFERROR(__xludf.DUMMYFUNCTION("""COMPUTED_VALUE"""),"No")</f>
        <v>No</v>
      </c>
      <c r="AP2747" s="8"/>
      <c r="AQ2747" s="8" t="str">
        <f ca="1">IFERROR(__xludf.DUMMYFUNCTION("""COMPUTED_VALUE"""),"Unknown")</f>
        <v>Unknown</v>
      </c>
      <c r="AR2747" s="8" t="str">
        <f ca="1">IFERROR(__xludf.DUMMYFUNCTION("""COMPUTED_VALUE"""),"NA")</f>
        <v>NA</v>
      </c>
      <c r="AS2747" s="8">
        <f ca="1">IFERROR(__xludf.DUMMYFUNCTION("""COMPUTED_VALUE"""),1)</f>
        <v>1</v>
      </c>
      <c r="AT2747" s="8"/>
      <c r="AU2747" s="8">
        <f ca="1">IFERROR(__xludf.DUMMYFUNCTION("""COMPUTED_VALUE"""),32.715364)</f>
        <v>32.715364000000001</v>
      </c>
      <c r="AV2747" s="8">
        <f ca="1">IFERROR(__xludf.DUMMYFUNCTION("""COMPUTED_VALUE"""),-96.791304)</f>
        <v>-96.791303999999997</v>
      </c>
      <c r="AW2747" s="8"/>
      <c r="AX2747" s="8">
        <f ca="1">IFERROR(__xludf.DUMMYFUNCTION("""COMPUTED_VALUE"""),75216)</f>
        <v>75216</v>
      </c>
    </row>
    <row r="2748" spans="1:50" ht="75" x14ac:dyDescent="0.2">
      <c r="A2748" s="8" t="str">
        <f ca="1">IFERROR(__xludf.DUMMYFUNCTION("""COMPUTED_VALUE"""),"19891027CABAB")</f>
        <v>19891027CABAB</v>
      </c>
      <c r="B2748" s="8">
        <f ca="1">IFERROR(__xludf.DUMMYFUNCTION("""COMPUTED_VALUE"""),10)</f>
        <v>10</v>
      </c>
      <c r="C2748" s="8">
        <f ca="1">IFERROR(__xludf.DUMMYFUNCTION("""COMPUTED_VALUE"""),28)</f>
        <v>28</v>
      </c>
      <c r="D2748" s="8">
        <f ca="1">IFERROR(__xludf.DUMMYFUNCTION("""COMPUTED_VALUE"""),1989)</f>
        <v>1989</v>
      </c>
      <c r="E2748" s="9">
        <f ca="1">IFERROR(__xludf.DUMMYFUNCTION("""COMPUTED_VALUE"""),32809)</f>
        <v>32809</v>
      </c>
      <c r="F2748" s="8" t="str">
        <f ca="1">IFERROR(__xludf.DUMMYFUNCTION("""COMPUTED_VALUE"""),"Baldwin Park High School")</f>
        <v>Baldwin Park High School</v>
      </c>
      <c r="G2748" s="8">
        <f ca="1">IFERROR(__xludf.DUMMYFUNCTION("""COMPUTED_VALUE"""),0)</f>
        <v>0</v>
      </c>
      <c r="H2748" s="8">
        <f ca="1">IFERROR(__xludf.DUMMYFUNCTION("""COMPUTED_VALUE"""),2)</f>
        <v>2</v>
      </c>
      <c r="I2748" s="8">
        <f ca="1">IFERROR(__xludf.DUMMYFUNCTION("""COMPUTED_VALUE"""),2)</f>
        <v>2</v>
      </c>
      <c r="J2748" s="8">
        <f ca="1">IFERROR(__xludf.DUMMYFUNCTION("""COMPUTED_VALUE"""),0)</f>
        <v>0</v>
      </c>
      <c r="K2748" s="10" t="str">
        <f ca="1">IFERROR(__xludf.DUMMYFUNCTION("""COMPUTED_VALUE"""),"https://da.lacounty.gov/media/news/district-attorney-gasc-n-announces-exoneration-man-custody-over-33-years")</f>
        <v>https://da.lacounty.gov/media/news/district-attorney-gasc-n-announces-exoneration-man-custody-over-33-years</v>
      </c>
      <c r="L2748" s="8">
        <f ca="1">IFERROR(__xludf.DUMMYFUNCTION("""COMPUTED_VALUE"""),100)</f>
        <v>100</v>
      </c>
      <c r="M2748" s="8" t="str">
        <f ca="1">IFERROR(__xludf.DUMMYFUNCTION("""COMPUTED_VALUE"""),"National")</f>
        <v>National</v>
      </c>
      <c r="N2748" s="8">
        <f ca="1">IFERROR(__xludf.DUMMYFUNCTION("""COMPUTED_VALUE"""),4)</f>
        <v>4</v>
      </c>
      <c r="O2748" s="8" t="str">
        <f ca="1">IFERROR(__xludf.DUMMYFUNCTION("""COMPUTED_VALUE"""),"Fall")</f>
        <v>Fall</v>
      </c>
      <c r="P2748" s="8" t="str">
        <f ca="1">IFERROR(__xludf.DUMMYFUNCTION("""COMPUTED_VALUE"""),"Baldwin Park")</f>
        <v>Baldwin Park</v>
      </c>
      <c r="Q2748" s="8" t="str">
        <f ca="1">IFERROR(__xludf.DUMMYFUNCTION("""COMPUTED_VALUE"""),"CA")</f>
        <v>CA</v>
      </c>
      <c r="R2748" s="8" t="str">
        <f ca="1">IFERROR(__xludf.DUMMYFUNCTION("""COMPUTED_VALUE"""),"High")</f>
        <v>High</v>
      </c>
      <c r="S2748" s="8" t="str">
        <f ca="1">IFERROR(__xludf.DUMMYFUNCTION("""COMPUTED_VALUE"""),"Parking Lot")</f>
        <v>Parking Lot</v>
      </c>
      <c r="T2748" s="8" t="str">
        <f ca="1">IFERROR(__xludf.DUMMYFUNCTION("""COMPUTED_VALUE"""),"Outside on School Property")</f>
        <v>Outside on School Property</v>
      </c>
      <c r="U2748" s="8" t="str">
        <f ca="1">IFERROR(__xludf.DUMMYFUNCTION("""COMPUTED_VALUE"""),"No")</f>
        <v>No</v>
      </c>
      <c r="V2748" s="8" t="str">
        <f ca="1">IFERROR(__xludf.DUMMYFUNCTION("""COMPUTED_VALUE"""),"Sport Event")</f>
        <v>Sport Event</v>
      </c>
      <c r="W2748" s="11">
        <f ca="1">IFERROR(__xludf.DUMMYFUNCTION("""COMPUTED_VALUE"""),0.875)</f>
        <v>0.875</v>
      </c>
      <c r="X2748" s="8">
        <f ca="1">IFERROR(__xludf.DUMMYFUNCTION("""COMPUTED_VALUE"""),1)</f>
        <v>1</v>
      </c>
      <c r="Y2748" s="12" t="str">
        <f ca="1">IFERROR(__xludf.DUMMYFUNCTION("""COMPUTED_VALUE"""),"Two gang members shot at 6 students in a car leaving the football game")</f>
        <v>Two gang members shot at 6 students in a car leaving the football game</v>
      </c>
      <c r="Z2748" s="12" t="str">
        <f ca="1">IFERROR(__xludf.DUMMYFUNCTION("""COMPUTED_VALUE"""),"On October 27, 1989, six high school students were driving in Baldwin Park after a high school football game when two young men mistook them for gang members and opened fire. Two of the students were injured but survived their wounds.")</f>
        <v>On October 27, 1989, six high school students were driving in Baldwin Park after a high school football game when two young men mistook them for gang members and opened fire. Two of the students were injured but survived their wounds.</v>
      </c>
      <c r="AA2748" s="8" t="str">
        <f ca="1">IFERROR(__xludf.DUMMYFUNCTION("""COMPUTED_VALUE"""),"Drive-by Shooting")</f>
        <v>Drive-by Shooting</v>
      </c>
      <c r="AB2748" s="8"/>
      <c r="AC2748" s="8" t="str">
        <f ca="1">IFERROR(__xludf.DUMMYFUNCTION("""COMPUTED_VALUE"""),"Yes")</f>
        <v>Yes</v>
      </c>
      <c r="AD2748" s="8" t="str">
        <f ca="1">IFERROR(__xludf.DUMMYFUNCTION("""COMPUTED_VALUE"""),"Both")</f>
        <v>Both</v>
      </c>
      <c r="AE2748" s="8" t="str">
        <f ca="1">IFERROR(__xludf.DUMMYFUNCTION("""COMPUTED_VALUE"""),"Yes")</f>
        <v>Yes</v>
      </c>
      <c r="AF2748" s="8"/>
      <c r="AG2748" s="8" t="str">
        <f ca="1">IFERROR(__xludf.DUMMYFUNCTION("""COMPUTED_VALUE"""),"No")</f>
        <v>No</v>
      </c>
      <c r="AH2748" s="8" t="str">
        <f ca="1">IFERROR(__xludf.DUMMYFUNCTION("""COMPUTED_VALUE"""),"No")</f>
        <v>No</v>
      </c>
      <c r="AI2748" s="8" t="str">
        <f ca="1">IFERROR(__xludf.DUMMYFUNCTION("""COMPUTED_VALUE"""),"No")</f>
        <v>No</v>
      </c>
      <c r="AJ2748" s="8" t="str">
        <f ca="1">IFERROR(__xludf.DUMMYFUNCTION("""COMPUTED_VALUE"""),"No")</f>
        <v>No</v>
      </c>
      <c r="AK2748" s="8" t="str">
        <f ca="1">IFERROR(__xludf.DUMMYFUNCTION("""COMPUTED_VALUE"""),"No")</f>
        <v>No</v>
      </c>
      <c r="AL2748" s="8" t="str">
        <f ca="1">IFERROR(__xludf.DUMMYFUNCTION("""COMPUTED_VALUE"""),"Yes")</f>
        <v>Yes</v>
      </c>
      <c r="AM2748" s="8" t="str">
        <f ca="1">IFERROR(__xludf.DUMMYFUNCTION("""COMPUTED_VALUE"""),"No")</f>
        <v>No</v>
      </c>
      <c r="AN2748" s="8"/>
      <c r="AO2748" s="8" t="str">
        <f ca="1">IFERROR(__xludf.DUMMYFUNCTION("""COMPUTED_VALUE"""),"No")</f>
        <v>No</v>
      </c>
      <c r="AP2748" s="8"/>
      <c r="AQ2748" s="8"/>
      <c r="AR2748" s="8" t="str">
        <f ca="1">IFERROR(__xludf.DUMMYFUNCTION("""COMPUTED_VALUE"""),"Outside/Off-Property")</f>
        <v>Outside/Off-Property</v>
      </c>
      <c r="AS2748" s="8">
        <f ca="1">IFERROR(__xludf.DUMMYFUNCTION("""COMPUTED_VALUE"""),99)</f>
        <v>99</v>
      </c>
      <c r="AT2748" s="8"/>
      <c r="AU2748" s="8">
        <f ca="1">IFERROR(__xludf.DUMMYFUNCTION("""COMPUTED_VALUE"""),34.084097)</f>
        <v>34.084097</v>
      </c>
      <c r="AV2748" s="8">
        <f ca="1">IFERROR(__xludf.DUMMYFUNCTION("""COMPUTED_VALUE"""),-117.949005)</f>
        <v>-117.949005</v>
      </c>
      <c r="AW2748" s="8"/>
      <c r="AX2748" s="8">
        <f ca="1">IFERROR(__xludf.DUMMYFUNCTION("""COMPUTED_VALUE"""),91790)</f>
        <v>91790</v>
      </c>
    </row>
    <row r="2749" spans="1:50" ht="165" x14ac:dyDescent="0.2">
      <c r="A2749" s="8" t="str">
        <f ca="1">IFERROR(__xludf.DUMMYFUNCTION("""COMPUTED_VALUE"""),"19891005CALOA")</f>
        <v>19891005CALOA</v>
      </c>
      <c r="B2749" s="8">
        <f ca="1">IFERROR(__xludf.DUMMYFUNCTION("""COMPUTED_VALUE"""),10)</f>
        <v>10</v>
      </c>
      <c r="C2749" s="8">
        <f ca="1">IFERROR(__xludf.DUMMYFUNCTION("""COMPUTED_VALUE"""),5)</f>
        <v>5</v>
      </c>
      <c r="D2749" s="8">
        <f ca="1">IFERROR(__xludf.DUMMYFUNCTION("""COMPUTED_VALUE"""),1989)</f>
        <v>1989</v>
      </c>
      <c r="E2749" s="9">
        <f ca="1">IFERROR(__xludf.DUMMYFUNCTION("""COMPUTED_VALUE"""),32786)</f>
        <v>32786</v>
      </c>
      <c r="F2749" s="8" t="str">
        <f ca="1">IFERROR(__xludf.DUMMYFUNCTION("""COMPUTED_VALUE"""),"Loara High School")</f>
        <v>Loara High School</v>
      </c>
      <c r="G2749" s="8">
        <f ca="1">IFERROR(__xludf.DUMMYFUNCTION("""COMPUTED_VALUE"""),0)</f>
        <v>0</v>
      </c>
      <c r="H2749" s="8">
        <f ca="1">IFERROR(__xludf.DUMMYFUNCTION("""COMPUTED_VALUE"""),1)</f>
        <v>1</v>
      </c>
      <c r="I2749" s="8">
        <f ca="1">IFERROR(__xludf.DUMMYFUNCTION("""COMPUTED_VALUE"""),1)</f>
        <v>1</v>
      </c>
      <c r="J2749" s="8">
        <f ca="1">IFERROR(__xludf.DUMMYFUNCTION("""COMPUTED_VALUE"""),0)</f>
        <v>0</v>
      </c>
      <c r="K2749" s="8" t="str">
        <f ca="1">IFERROR(__xludf.DUMMYFUNCTION("""COMPUTED_VALUE"""),"https://www.newspapers.com/image/181739390/?terms=student%2Bshot https://www.latimes.com/archives/la-xpm-1989-10-06-mn-808-story.html")</f>
        <v>https://www.newspapers.com/image/181739390/?terms=student%2Bshot https://www.latimes.com/archives/la-xpm-1989-10-06-mn-808-story.html</v>
      </c>
      <c r="L2749" s="8"/>
      <c r="M2749" s="8"/>
      <c r="N2749" s="8">
        <f ca="1">IFERROR(__xludf.DUMMYFUNCTION("""COMPUTED_VALUE"""),3)</f>
        <v>3</v>
      </c>
      <c r="O2749" s="8" t="str">
        <f ca="1">IFERROR(__xludf.DUMMYFUNCTION("""COMPUTED_VALUE"""),"Fall")</f>
        <v>Fall</v>
      </c>
      <c r="P2749" s="8" t="str">
        <f ca="1">IFERROR(__xludf.DUMMYFUNCTION("""COMPUTED_VALUE"""),"Anaheim")</f>
        <v>Anaheim</v>
      </c>
      <c r="Q2749" s="8" t="str">
        <f ca="1">IFERROR(__xludf.DUMMYFUNCTION("""COMPUTED_VALUE"""),"CA")</f>
        <v>CA</v>
      </c>
      <c r="R2749" s="8" t="str">
        <f ca="1">IFERROR(__xludf.DUMMYFUNCTION("""COMPUTED_VALUE"""),"High")</f>
        <v>High</v>
      </c>
      <c r="S2749" s="8" t="str">
        <f ca="1">IFERROR(__xludf.DUMMYFUNCTION("""COMPUTED_VALUE"""),"Classroom")</f>
        <v>Classroom</v>
      </c>
      <c r="T2749" s="8" t="str">
        <f ca="1">IFERROR(__xludf.DUMMYFUNCTION("""COMPUTED_VALUE"""),"Inside School Building")</f>
        <v>Inside School Building</v>
      </c>
      <c r="U2749" s="8" t="str">
        <f ca="1">IFERROR(__xludf.DUMMYFUNCTION("""COMPUTED_VALUE"""),"Yes")</f>
        <v>Yes</v>
      </c>
      <c r="V2749" s="8" t="str">
        <f ca="1">IFERROR(__xludf.DUMMYFUNCTION("""COMPUTED_VALUE"""),"Morning Classes")</f>
        <v>Morning Classes</v>
      </c>
      <c r="W2749" s="11">
        <f ca="1">IFERROR(__xludf.DUMMYFUNCTION("""COMPUTED_VALUE"""),0.395833333333333)</f>
        <v>0.39583333333333298</v>
      </c>
      <c r="X2749" s="8">
        <f ca="1">IFERROR(__xludf.DUMMYFUNCTION("""COMPUTED_VALUE"""),40)</f>
        <v>40</v>
      </c>
      <c r="Y2749" s="12" t="str">
        <f ca="1">IFERROR(__xludf.DUMMYFUNCTION("""COMPUTED_VALUE"""),"Suspect held 35 students in drama class hostage for 40 minutes before surrendering to police")</f>
        <v>Suspect held 35 students in drama class hostage for 40 minutes before surrendering to police</v>
      </c>
      <c r="Z2749" s="12" t="str">
        <f ca="1">IFERROR(__xludf.DUMMYFUNCTION("""COMPUTED_VALUE"""),"15 year old suspect entered high school drama class with shotgun and automatic pistol. Shot one male student in the face shattering his jaw. Held all students hostage for about 10 minutes and then let all of the girls leave. Surrendering to police 40 minu"&amp;"tes later. Only one shot fired. Shooter's father was Vietnam veteran who had commit suicide in front of shooter as a child. Shooter was upset about family planning to move away from the area. Made threats about a shooting to other students but it was not "&amp;"taken seriously. Day prior to the shooting, he told another student ""tomorrow is my last day"".")</f>
        <v>15 year old suspect entered high school drama class with shotgun and automatic pistol. Shot one male student in the face shattering his jaw. Held all students hostage for about 10 minutes and then let all of the girls leave. Surrendering to police 40 minutes later. Only one shot fired. Shooter's father was Vietnam veteran who had commit suicide in front of shooter as a child. Shooter was upset about family planning to move away from the area. Made threats about a shooting to other students but it was not taken seriously. Day prior to the shooting, he told another student "tomorrow is my last day".</v>
      </c>
      <c r="AA2749" s="8" t="str">
        <f ca="1">IFERROR(__xludf.DUMMYFUNCTION("""COMPUTED_VALUE"""),"Hostage/Standoff")</f>
        <v>Hostage/Standoff</v>
      </c>
      <c r="AB2749" s="8"/>
      <c r="AC2749" s="8"/>
      <c r="AD2749" s="8" t="str">
        <f ca="1">IFERROR(__xludf.DUMMYFUNCTION("""COMPUTED_VALUE"""),"Victims Targeted")</f>
        <v>Victims Targeted</v>
      </c>
      <c r="AE2749" s="8" t="str">
        <f ca="1">IFERROR(__xludf.DUMMYFUNCTION("""COMPUTED_VALUE"""),"No")</f>
        <v>No</v>
      </c>
      <c r="AF2749" s="8"/>
      <c r="AG2749" s="8" t="str">
        <f ca="1">IFERROR(__xludf.DUMMYFUNCTION("""COMPUTED_VALUE"""),"Yes")</f>
        <v>Yes</v>
      </c>
      <c r="AH2749" s="8" t="str">
        <f ca="1">IFERROR(__xludf.DUMMYFUNCTION("""COMPUTED_VALUE"""),"Yes")</f>
        <v>Yes</v>
      </c>
      <c r="AI2749" s="8" t="str">
        <f ca="1">IFERROR(__xludf.DUMMYFUNCTION("""COMPUTED_VALUE"""),"No")</f>
        <v>No</v>
      </c>
      <c r="AJ2749" s="8" t="str">
        <f ca="1">IFERROR(__xludf.DUMMYFUNCTION("""COMPUTED_VALUE"""),"No")</f>
        <v>No</v>
      </c>
      <c r="AK2749" s="8" t="str">
        <f ca="1">IFERROR(__xludf.DUMMYFUNCTION("""COMPUTED_VALUE"""),"No")</f>
        <v>No</v>
      </c>
      <c r="AL2749" s="8" t="str">
        <f ca="1">IFERROR(__xludf.DUMMYFUNCTION("""COMPUTED_VALUE"""),"No")</f>
        <v>No</v>
      </c>
      <c r="AM2749" s="8" t="str">
        <f ca="1">IFERROR(__xludf.DUMMYFUNCTION("""COMPUTED_VALUE"""),"Yes")</f>
        <v>Yes</v>
      </c>
      <c r="AN2749" s="8" t="str">
        <f ca="1">IFERROR(__xludf.DUMMYFUNCTION("""COMPUTED_VALUE"""),"Single Room")</f>
        <v>Single Room</v>
      </c>
      <c r="AO2749" s="8" t="str">
        <f ca="1">IFERROR(__xludf.DUMMYFUNCTION("""COMPUTED_VALUE"""),"Yes")</f>
        <v>Yes</v>
      </c>
      <c r="AP2749" s="8" t="str">
        <f ca="1">IFERROR(__xludf.DUMMYFUNCTION("""COMPUTED_VALUE"""),"No")</f>
        <v>No</v>
      </c>
      <c r="AQ2749" s="8" t="str">
        <f ca="1">IFERROR(__xludf.DUMMYFUNCTION("""COMPUTED_VALUE"""),"None")</f>
        <v>None</v>
      </c>
      <c r="AR2749" s="8" t="str">
        <f ca="1">IFERROR(__xludf.DUMMYFUNCTION("""COMPUTED_VALUE"""),"NA")</f>
        <v>NA</v>
      </c>
      <c r="AS2749" s="8">
        <f ca="1">IFERROR(__xludf.DUMMYFUNCTION("""COMPUTED_VALUE"""),1)</f>
        <v>1</v>
      </c>
      <c r="AT2749" s="8" t="str">
        <f ca="1">IFERROR(__xludf.DUMMYFUNCTION("""COMPUTED_VALUE"""),"No")</f>
        <v>No</v>
      </c>
      <c r="AU2749" s="8">
        <f ca="1">IFERROR(__xludf.DUMMYFUNCTION("""COMPUTED_VALUE"""),33.811546)</f>
        <v>33.811546</v>
      </c>
      <c r="AV2749" s="8">
        <f ca="1">IFERROR(__xludf.DUMMYFUNCTION("""COMPUTED_VALUE"""),-117.943684)</f>
        <v>-117.943684</v>
      </c>
      <c r="AW2749" s="8"/>
      <c r="AX2749" s="8">
        <f ca="1">IFERROR(__xludf.DUMMYFUNCTION("""COMPUTED_VALUE"""),92804)</f>
        <v>92804</v>
      </c>
    </row>
    <row r="2750" spans="1:50" ht="45" x14ac:dyDescent="0.2">
      <c r="A2750" s="8" t="str">
        <f ca="1">IFERROR(__xludf.DUMMYFUNCTION("""COMPUTED_VALUE"""),"19890918KYJAM")</f>
        <v>19890918KYJAM</v>
      </c>
      <c r="B2750" s="8">
        <f ca="1">IFERROR(__xludf.DUMMYFUNCTION("""COMPUTED_VALUE"""),9)</f>
        <v>9</v>
      </c>
      <c r="C2750" s="8">
        <f ca="1">IFERROR(__xludf.DUMMYFUNCTION("""COMPUTED_VALUE"""),18)</f>
        <v>18</v>
      </c>
      <c r="D2750" s="8">
        <f ca="1">IFERROR(__xludf.DUMMYFUNCTION("""COMPUTED_VALUE"""),1989)</f>
        <v>1989</v>
      </c>
      <c r="E2750" s="9">
        <f ca="1">IFERROR(__xludf.DUMMYFUNCTION("""COMPUTED_VALUE"""),32769)</f>
        <v>32769</v>
      </c>
      <c r="F2750" s="8" t="str">
        <f ca="1">IFERROR(__xludf.DUMMYFUNCTION("""COMPUTED_VALUE"""),"Jackson County High School")</f>
        <v>Jackson County High School</v>
      </c>
      <c r="G2750" s="8">
        <f ca="1">IFERROR(__xludf.DUMMYFUNCTION("""COMPUTED_VALUE"""),0)</f>
        <v>0</v>
      </c>
      <c r="H2750" s="8">
        <f ca="1">IFERROR(__xludf.DUMMYFUNCTION("""COMPUTED_VALUE"""),0)</f>
        <v>0</v>
      </c>
      <c r="I2750" s="8">
        <f ca="1">IFERROR(__xludf.DUMMYFUNCTION("""COMPUTED_VALUE"""),0)</f>
        <v>0</v>
      </c>
      <c r="J2750" s="8">
        <f ca="1">IFERROR(__xludf.DUMMYFUNCTION("""COMPUTED_VALUE"""),0)</f>
        <v>0</v>
      </c>
      <c r="K2750" s="10" t="str">
        <f ca="1">IFERROR(__xludf.DUMMYFUNCTION("""COMPUTED_VALUE"""),"https://books.google.com/books?id=paCVN9ECUc4C&amp;pg=PA10&amp;lpg=PA10&amp;dq=George+Rogers+Clark+High+School+hostage+1995&amp;source=bl&amp;ots=nnsA6mfWJP&amp;sig=Eg_GpHVGdpBSqw57FExYfpEPEGg&amp;hl=en&amp;sa=X&amp;ved=0ahUKEwjEzNrvk_7bAhUIpFkKHYajCvgQ6AEIiQEwEg#v=onepage&amp;q=George%20Rogers"&amp;"%20Clark%20High%20School%20hostage%201995&amp;f=false")</f>
        <v>https://books.google.com/books?id=paCVN9ECUc4C&amp;pg=PA10&amp;lpg=PA10&amp;dq=George+Rogers+Clark+High+School+hostage+1995&amp;source=bl&amp;ots=nnsA6mfWJP&amp;sig=Eg_GpHVGdpBSqw57FExYfpEPEGg&amp;hl=en&amp;sa=X&amp;ved=0ahUKEwjEzNrvk_7bAhUIpFkKHYajCvgQ6AEIiQEwEg#v=onepage&amp;q=George%20Rogers%20Clark%20High%20School%20hostage%201995&amp;f=false</v>
      </c>
      <c r="L2750" s="8"/>
      <c r="M2750" s="8"/>
      <c r="N2750" s="8">
        <f ca="1">IFERROR(__xludf.DUMMYFUNCTION("""COMPUTED_VALUE"""),2)</f>
        <v>2</v>
      </c>
      <c r="O2750" s="8" t="str">
        <f ca="1">IFERROR(__xludf.DUMMYFUNCTION("""COMPUTED_VALUE"""),"Fall")</f>
        <v>Fall</v>
      </c>
      <c r="P2750" s="8" t="str">
        <f ca="1">IFERROR(__xludf.DUMMYFUNCTION("""COMPUTED_VALUE"""),"McKee")</f>
        <v>McKee</v>
      </c>
      <c r="Q2750" s="8" t="str">
        <f ca="1">IFERROR(__xludf.DUMMYFUNCTION("""COMPUTED_VALUE"""),"KY")</f>
        <v>KY</v>
      </c>
      <c r="R2750" s="8" t="str">
        <f ca="1">IFERROR(__xludf.DUMMYFUNCTION("""COMPUTED_VALUE"""),"High")</f>
        <v>High</v>
      </c>
      <c r="S2750" s="8" t="str">
        <f ca="1">IFERROR(__xludf.DUMMYFUNCTION("""COMPUTED_VALUE"""),"Classroom")</f>
        <v>Classroom</v>
      </c>
      <c r="T2750" s="8" t="str">
        <f ca="1">IFERROR(__xludf.DUMMYFUNCTION("""COMPUTED_VALUE"""),"Inside School Building")</f>
        <v>Inside School Building</v>
      </c>
      <c r="U2750" s="8" t="str">
        <f ca="1">IFERROR(__xludf.DUMMYFUNCTION("""COMPUTED_VALUE"""),"Yes")</f>
        <v>Yes</v>
      </c>
      <c r="V2750" s="8"/>
      <c r="W2750" s="8"/>
      <c r="X2750" s="8"/>
      <c r="Y2750" s="12" t="str">
        <f ca="1">IFERROR(__xludf.DUMMYFUNCTION("""COMPUTED_VALUE"""),"Took class hostage, fired 2 shots, no injuries")</f>
        <v>Took class hostage, fired 2 shots, no injuries</v>
      </c>
      <c r="Z2750" s="12" t="str">
        <f ca="1">IFERROR(__xludf.DUMMYFUNCTION("""COMPUTED_VALUE"""),"17YOM student took 11 hostages and demanded to see his father who he had not seen in 13 years. Fired two shots. No injuries. Surrendered to police.")</f>
        <v>17YOM student took 11 hostages and demanded to see his father who he had not seen in 13 years. Fired two shots. No injuries. Surrendered to police.</v>
      </c>
      <c r="AA2750" s="8" t="str">
        <f ca="1">IFERROR(__xludf.DUMMYFUNCTION("""COMPUTED_VALUE"""),"Hostage/Standoff")</f>
        <v>Hostage/Standoff</v>
      </c>
      <c r="AB2750" s="8"/>
      <c r="AC2750" s="8"/>
      <c r="AD2750" s="8" t="str">
        <f ca="1">IFERROR(__xludf.DUMMYFUNCTION("""COMPUTED_VALUE"""),"Random Shooting")</f>
        <v>Random Shooting</v>
      </c>
      <c r="AE2750" s="8"/>
      <c r="AF2750" s="8"/>
      <c r="AG2750" s="8" t="str">
        <f ca="1">IFERROR(__xludf.DUMMYFUNCTION("""COMPUTED_VALUE"""),"Yes")</f>
        <v>Yes</v>
      </c>
      <c r="AH2750" s="8" t="str">
        <f ca="1">IFERROR(__xludf.DUMMYFUNCTION("""COMPUTED_VALUE"""),"Yes")</f>
        <v>Yes</v>
      </c>
      <c r="AI2750" s="8" t="str">
        <f ca="1">IFERROR(__xludf.DUMMYFUNCTION("""COMPUTED_VALUE"""),"No")</f>
        <v>No</v>
      </c>
      <c r="AJ2750" s="8" t="str">
        <f ca="1">IFERROR(__xludf.DUMMYFUNCTION("""COMPUTED_VALUE"""),"Yes")</f>
        <v>Yes</v>
      </c>
      <c r="AK2750" s="8" t="str">
        <f ca="1">IFERROR(__xludf.DUMMYFUNCTION("""COMPUTED_VALUE"""),"No")</f>
        <v>No</v>
      </c>
      <c r="AL2750" s="8" t="str">
        <f ca="1">IFERROR(__xludf.DUMMYFUNCTION("""COMPUTED_VALUE"""),"No")</f>
        <v>No</v>
      </c>
      <c r="AM2750" s="8" t="str">
        <f ca="1">IFERROR(__xludf.DUMMYFUNCTION("""COMPUTED_VALUE"""),"Yes")</f>
        <v>Yes</v>
      </c>
      <c r="AN2750" s="8" t="str">
        <f ca="1">IFERROR(__xludf.DUMMYFUNCTION("""COMPUTED_VALUE"""),"Single Room")</f>
        <v>Single Room</v>
      </c>
      <c r="AO2750" s="8" t="str">
        <f ca="1">IFERROR(__xludf.DUMMYFUNCTION("""COMPUTED_VALUE"""),"No")</f>
        <v>No</v>
      </c>
      <c r="AP2750" s="8"/>
      <c r="AQ2750" s="8" t="str">
        <f ca="1">IFERROR(__xludf.DUMMYFUNCTION("""COMPUTED_VALUE"""),"Unknown")</f>
        <v>Unknown</v>
      </c>
      <c r="AR2750" s="8" t="str">
        <f ca="1">IFERROR(__xludf.DUMMYFUNCTION("""COMPUTED_VALUE"""),"NA")</f>
        <v>NA</v>
      </c>
      <c r="AS2750" s="8">
        <f ca="1">IFERROR(__xludf.DUMMYFUNCTION("""COMPUTED_VALUE"""),2)</f>
        <v>2</v>
      </c>
      <c r="AT2750" s="8"/>
      <c r="AU2750" s="8">
        <f ca="1">IFERROR(__xludf.DUMMYFUNCTION("""COMPUTED_VALUE"""),37.437048)</f>
        <v>37.437047999999997</v>
      </c>
      <c r="AV2750" s="8">
        <f ca="1">IFERROR(__xludf.DUMMYFUNCTION("""COMPUTED_VALUE"""),-83.986369)</f>
        <v>-83.986368999999996</v>
      </c>
      <c r="AW2750" s="8"/>
      <c r="AX2750" s="8">
        <f ca="1">IFERROR(__xludf.DUMMYFUNCTION("""COMPUTED_VALUE"""),40447)</f>
        <v>40447</v>
      </c>
    </row>
    <row r="2751" spans="1:50" ht="60" x14ac:dyDescent="0.2">
      <c r="A2751" s="8" t="str">
        <f ca="1">IFERROR(__xludf.DUMMYFUNCTION("""COMPUTED_VALUE"""),"19890911AZDYE")</f>
        <v>19890911AZDYE</v>
      </c>
      <c r="B2751" s="8">
        <f ca="1">IFERROR(__xludf.DUMMYFUNCTION("""COMPUTED_VALUE"""),9)</f>
        <v>9</v>
      </c>
      <c r="C2751" s="8">
        <f ca="1">IFERROR(__xludf.DUMMYFUNCTION("""COMPUTED_VALUE"""),11)</f>
        <v>11</v>
      </c>
      <c r="D2751" s="8">
        <f ca="1">IFERROR(__xludf.DUMMYFUNCTION("""COMPUTED_VALUE"""),1989)</f>
        <v>1989</v>
      </c>
      <c r="E2751" s="9">
        <f ca="1">IFERROR(__xludf.DUMMYFUNCTION("""COMPUTED_VALUE"""),32762)</f>
        <v>32762</v>
      </c>
      <c r="F2751" s="8" t="str">
        <f ca="1">IFERROR(__xludf.DUMMYFUNCTION("""COMPUTED_VALUE"""),"Dysart High School")</f>
        <v>Dysart High School</v>
      </c>
      <c r="G2751" s="8">
        <f ca="1">IFERROR(__xludf.DUMMYFUNCTION("""COMPUTED_VALUE"""),1)</f>
        <v>1</v>
      </c>
      <c r="H2751" s="8">
        <f ca="1">IFERROR(__xludf.DUMMYFUNCTION("""COMPUTED_VALUE"""),0)</f>
        <v>0</v>
      </c>
      <c r="I2751" s="8">
        <f ca="1">IFERROR(__xludf.DUMMYFUNCTION("""COMPUTED_VALUE"""),1)</f>
        <v>1</v>
      </c>
      <c r="J2751" s="8">
        <f ca="1">IFERROR(__xludf.DUMMYFUNCTION("""COMPUTED_VALUE"""),0)</f>
        <v>0</v>
      </c>
      <c r="K2751" s="10" t="str">
        <f ca="1">IFERROR(__xludf.DUMMYFUNCTION("""COMPUTED_VALUE"""),"https://www.newspapers.com/image/121870781/?terms=student%2Bshot")</f>
        <v>https://www.newspapers.com/image/121870781/?terms=student%2Bshot</v>
      </c>
      <c r="L2751" s="8"/>
      <c r="M2751" s="8"/>
      <c r="N2751" s="8">
        <f ca="1">IFERROR(__xludf.DUMMYFUNCTION("""COMPUTED_VALUE"""),2)</f>
        <v>2</v>
      </c>
      <c r="O2751" s="8" t="str">
        <f ca="1">IFERROR(__xludf.DUMMYFUNCTION("""COMPUTED_VALUE"""),"Fall")</f>
        <v>Fall</v>
      </c>
      <c r="P2751" s="8" t="str">
        <f ca="1">IFERROR(__xludf.DUMMYFUNCTION("""COMPUTED_VALUE"""),"El Mirage")</f>
        <v>El Mirage</v>
      </c>
      <c r="Q2751" s="8" t="str">
        <f ca="1">IFERROR(__xludf.DUMMYFUNCTION("""COMPUTED_VALUE"""),"AZ")</f>
        <v>AZ</v>
      </c>
      <c r="R2751" s="8" t="str">
        <f ca="1">IFERROR(__xludf.DUMMYFUNCTION("""COMPUTED_VALUE"""),"High")</f>
        <v>High</v>
      </c>
      <c r="S2751" s="8" t="str">
        <f ca="1">IFERROR(__xludf.DUMMYFUNCTION("""COMPUTED_VALUE"""),"Inside School Building")</f>
        <v>Inside School Building</v>
      </c>
      <c r="T2751" s="8" t="str">
        <f ca="1">IFERROR(__xludf.DUMMYFUNCTION("""COMPUTED_VALUE"""),"Inside School Building")</f>
        <v>Inside School Building</v>
      </c>
      <c r="U2751" s="8" t="str">
        <f ca="1">IFERROR(__xludf.DUMMYFUNCTION("""COMPUTED_VALUE"""),"Yes")</f>
        <v>Yes</v>
      </c>
      <c r="V2751" s="8" t="str">
        <f ca="1">IFERROR(__xludf.DUMMYFUNCTION("""COMPUTED_VALUE"""),"Before School")</f>
        <v>Before School</v>
      </c>
      <c r="W2751" s="11">
        <f ca="1">IFERROR(__xludf.DUMMYFUNCTION("""COMPUTED_VALUE"""),0.3125)</f>
        <v>0.3125</v>
      </c>
      <c r="X2751" s="8">
        <f ca="1">IFERROR(__xludf.DUMMYFUNCTION("""COMPUTED_VALUE"""),1)</f>
        <v>1</v>
      </c>
      <c r="Y2751" s="12" t="str">
        <f ca="1">IFERROR(__xludf.DUMMYFUNCTION("""COMPUTED_VALUE"""),"Accidental discharge while showing off gun in school")</f>
        <v>Accidental discharge while showing off gun in school</v>
      </c>
      <c r="Z2751" s="12" t="str">
        <f ca="1">IFERROR(__xludf.DUMMYFUNCTION("""COMPUTED_VALUE"""),"Gang members looking at gun during school - gun goes off and shoots/kills victim - unknown who shooter was.")</f>
        <v>Gang members looking at gun during school - gun goes off and shoots/kills victim - unknown who shooter was.</v>
      </c>
      <c r="AA2751" s="8" t="str">
        <f ca="1">IFERROR(__xludf.DUMMYFUNCTION("""COMPUTED_VALUE"""),"Accidental")</f>
        <v>Accidental</v>
      </c>
      <c r="AB2751" s="8"/>
      <c r="AC2751" s="8"/>
      <c r="AD2751" s="8" t="str">
        <f ca="1">IFERROR(__xludf.DUMMYFUNCTION("""COMPUTED_VALUE"""),"Random Shooting")</f>
        <v>Random Shooting</v>
      </c>
      <c r="AE2751" s="8" t="str">
        <f ca="1">IFERROR(__xludf.DUMMYFUNCTION("""COMPUTED_VALUE"""),"No")</f>
        <v>No</v>
      </c>
      <c r="AF2751" s="8"/>
      <c r="AG2751" s="8" t="str">
        <f ca="1">IFERROR(__xludf.DUMMYFUNCTION("""COMPUTED_VALUE"""),"No")</f>
        <v>No</v>
      </c>
      <c r="AH2751" s="8" t="str">
        <f ca="1">IFERROR(__xludf.DUMMYFUNCTION("""COMPUTED_VALUE"""),"No")</f>
        <v>No</v>
      </c>
      <c r="AI2751" s="8" t="str">
        <f ca="1">IFERROR(__xludf.DUMMYFUNCTION("""COMPUTED_VALUE"""),"No")</f>
        <v>No</v>
      </c>
      <c r="AJ2751" s="8" t="str">
        <f ca="1">IFERROR(__xludf.DUMMYFUNCTION("""COMPUTED_VALUE"""),"No")</f>
        <v>No</v>
      </c>
      <c r="AK2751" s="8" t="str">
        <f ca="1">IFERROR(__xludf.DUMMYFUNCTION("""COMPUTED_VALUE"""),"No")</f>
        <v>No</v>
      </c>
      <c r="AL2751" s="8" t="str">
        <f ca="1">IFERROR(__xludf.DUMMYFUNCTION("""COMPUTED_VALUE"""),"No")</f>
        <v>No</v>
      </c>
      <c r="AM2751" s="8"/>
      <c r="AN2751" s="8"/>
      <c r="AO2751" s="8" t="str">
        <f ca="1">IFERROR(__xludf.DUMMYFUNCTION("""COMPUTED_VALUE"""),"No")</f>
        <v>No</v>
      </c>
      <c r="AP2751" s="8"/>
      <c r="AQ2751" s="8" t="str">
        <f ca="1">IFERROR(__xludf.DUMMYFUNCTION("""COMPUTED_VALUE"""),"Unknown")</f>
        <v>Unknown</v>
      </c>
      <c r="AR2751" s="8" t="str">
        <f ca="1">IFERROR(__xludf.DUMMYFUNCTION("""COMPUTED_VALUE"""),"NA")</f>
        <v>NA</v>
      </c>
      <c r="AS2751" s="8">
        <f ca="1">IFERROR(__xludf.DUMMYFUNCTION("""COMPUTED_VALUE"""),1)</f>
        <v>1</v>
      </c>
      <c r="AT2751" s="8"/>
      <c r="AU2751" s="8">
        <f ca="1">IFERROR(__xludf.DUMMYFUNCTION("""COMPUTED_VALUE"""),33.590966)</f>
        <v>33.590966000000002</v>
      </c>
      <c r="AV2751" s="8">
        <f ca="1">IFERROR(__xludf.DUMMYFUNCTION("""COMPUTED_VALUE"""),-112.339914)</f>
        <v>-112.33991399999999</v>
      </c>
      <c r="AW2751" s="8"/>
      <c r="AX2751" s="8">
        <f ca="1">IFERROR(__xludf.DUMMYFUNCTION("""COMPUTED_VALUE"""),85335)</f>
        <v>85335</v>
      </c>
    </row>
    <row r="2752" spans="1:50" ht="60" x14ac:dyDescent="0.2">
      <c r="A2752" s="8" t="str">
        <f ca="1">IFERROR(__xludf.DUMMYFUNCTION("""COMPUTED_VALUE"""),"19890901VASAV")</f>
        <v>19890901VASAV</v>
      </c>
      <c r="B2752" s="8">
        <f ca="1">IFERROR(__xludf.DUMMYFUNCTION("""COMPUTED_VALUE"""),9)</f>
        <v>9</v>
      </c>
      <c r="C2752" s="8">
        <f ca="1">IFERROR(__xludf.DUMMYFUNCTION("""COMPUTED_VALUE"""),1)</f>
        <v>1</v>
      </c>
      <c r="D2752" s="8">
        <f ca="1">IFERROR(__xludf.DUMMYFUNCTION("""COMPUTED_VALUE"""),1989)</f>
        <v>1989</v>
      </c>
      <c r="E2752" s="9">
        <f ca="1">IFERROR(__xludf.DUMMYFUNCTION("""COMPUTED_VALUE"""),32752)</f>
        <v>32752</v>
      </c>
      <c r="F2752" s="8" t="str">
        <f ca="1">IFERROR(__xludf.DUMMYFUNCTION("""COMPUTED_VALUE"""),"Salem High School")</f>
        <v>Salem High School</v>
      </c>
      <c r="G2752" s="8">
        <f ca="1">IFERROR(__xludf.DUMMYFUNCTION("""COMPUTED_VALUE"""),0)</f>
        <v>0</v>
      </c>
      <c r="H2752" s="8">
        <f ca="1">IFERROR(__xludf.DUMMYFUNCTION("""COMPUTED_VALUE"""),2)</f>
        <v>2</v>
      </c>
      <c r="I2752" s="8">
        <f ca="1">IFERROR(__xludf.DUMMYFUNCTION("""COMPUTED_VALUE"""),2)</f>
        <v>2</v>
      </c>
      <c r="J2752" s="8">
        <f ca="1">IFERROR(__xludf.DUMMYFUNCTION("""COMPUTED_VALUE"""),0)</f>
        <v>0</v>
      </c>
      <c r="K2752" s="10" t="str">
        <f ca="1">IFERROR(__xludf.DUMMYFUNCTION("""COMPUTED_VALUE"""),"https://www.newspapers.com/image/129470000/?terms=%22shot%20high%20school%20football%22&amp;match=1")</f>
        <v>https://www.newspapers.com/image/129470000/?terms=%22shot%20high%20school%20football%22&amp;match=1</v>
      </c>
      <c r="L2752" s="8">
        <f ca="1">IFERROR(__xludf.DUMMYFUNCTION("""COMPUTED_VALUE"""),1)</f>
        <v>1</v>
      </c>
      <c r="M2752" s="8" t="str">
        <f ca="1">IFERROR(__xludf.DUMMYFUNCTION("""COMPUTED_VALUE"""),"National")</f>
        <v>National</v>
      </c>
      <c r="N2752" s="8">
        <f ca="1">IFERROR(__xludf.DUMMYFUNCTION("""COMPUTED_VALUE"""),3)</f>
        <v>3</v>
      </c>
      <c r="O2752" s="8" t="str">
        <f ca="1">IFERROR(__xludf.DUMMYFUNCTION("""COMPUTED_VALUE"""),"Fall")</f>
        <v>Fall</v>
      </c>
      <c r="P2752" s="8" t="str">
        <f ca="1">IFERROR(__xludf.DUMMYFUNCTION("""COMPUTED_VALUE"""),"Virginia Beach")</f>
        <v>Virginia Beach</v>
      </c>
      <c r="Q2752" s="8" t="str">
        <f ca="1">IFERROR(__xludf.DUMMYFUNCTION("""COMPUTED_VALUE"""),"VA")</f>
        <v>VA</v>
      </c>
      <c r="R2752" s="8" t="str">
        <f ca="1">IFERROR(__xludf.DUMMYFUNCTION("""COMPUTED_VALUE"""),"High")</f>
        <v>High</v>
      </c>
      <c r="S2752" s="8" t="str">
        <f ca="1">IFERROR(__xludf.DUMMYFUNCTION("""COMPUTED_VALUE"""),"Parking Lot")</f>
        <v>Parking Lot</v>
      </c>
      <c r="T2752" s="8" t="str">
        <f ca="1">IFERROR(__xludf.DUMMYFUNCTION("""COMPUTED_VALUE"""),"Outside on School Property")</f>
        <v>Outside on School Property</v>
      </c>
      <c r="U2752" s="8" t="str">
        <f ca="1">IFERROR(__xludf.DUMMYFUNCTION("""COMPUTED_VALUE"""),"No")</f>
        <v>No</v>
      </c>
      <c r="V2752" s="8" t="str">
        <f ca="1">IFERROR(__xludf.DUMMYFUNCTION("""COMPUTED_VALUE"""),"Sport Event")</f>
        <v>Sport Event</v>
      </c>
      <c r="W2752" s="11">
        <f ca="1">IFERROR(__xludf.DUMMYFUNCTION("""COMPUTED_VALUE"""),0.875)</f>
        <v>0.875</v>
      </c>
      <c r="X2752" s="8">
        <f ca="1">IFERROR(__xludf.DUMMYFUNCTION("""COMPUTED_VALUE"""),1)</f>
        <v>1</v>
      </c>
      <c r="Y2752" s="12" t="str">
        <f ca="1">IFERROR(__xludf.DUMMYFUNCTION("""COMPUTED_VALUE"""),"Two teens shot during fight in the parking lot following football game")</f>
        <v>Two teens shot during fight in the parking lot following football game</v>
      </c>
      <c r="Z2752" s="12" t="str">
        <f ca="1">IFERROR(__xludf.DUMMYFUNCTION("""COMPUTED_VALUE"""),"Two teens were shot during a fight between 30 teens in the parking lot following a football game. Two teens fired shots. The teens were from rival neighborhoods but did not have gang affiliation.")</f>
        <v>Two teens were shot during a fight between 30 teens in the parking lot following a football game. Two teens fired shots. The teens were from rival neighborhoods but did not have gang affiliation.</v>
      </c>
      <c r="AA2752" s="8" t="str">
        <f ca="1">IFERROR(__xludf.DUMMYFUNCTION("""COMPUTED_VALUE"""),"Escalation of Dispute")</f>
        <v>Escalation of Dispute</v>
      </c>
      <c r="AB2752" s="8"/>
      <c r="AC2752" s="8"/>
      <c r="AD2752" s="8" t="str">
        <f ca="1">IFERROR(__xludf.DUMMYFUNCTION("""COMPUTED_VALUE"""),"Victims Targeted")</f>
        <v>Victims Targeted</v>
      </c>
      <c r="AE2752" s="8" t="str">
        <f ca="1">IFERROR(__xludf.DUMMYFUNCTION("""COMPUTED_VALUE"""),"Yes")</f>
        <v>Yes</v>
      </c>
      <c r="AF2752" s="8" t="str">
        <f ca="1">IFERROR(__xludf.DUMMYFUNCTION("""COMPUTED_VALUE"""),"30 teens involved")</f>
        <v>30 teens involved</v>
      </c>
      <c r="AG2752" s="8" t="str">
        <f ca="1">IFERROR(__xludf.DUMMYFUNCTION("""COMPUTED_VALUE"""),"No")</f>
        <v>No</v>
      </c>
      <c r="AH2752" s="8" t="str">
        <f ca="1">IFERROR(__xludf.DUMMYFUNCTION("""COMPUTED_VALUE"""),"No")</f>
        <v>No</v>
      </c>
      <c r="AI2752" s="8" t="str">
        <f ca="1">IFERROR(__xludf.DUMMYFUNCTION("""COMPUTED_VALUE"""),"No")</f>
        <v>No</v>
      </c>
      <c r="AJ2752" s="8" t="str">
        <f ca="1">IFERROR(__xludf.DUMMYFUNCTION("""COMPUTED_VALUE"""),"No")</f>
        <v>No</v>
      </c>
      <c r="AK2752" s="8" t="str">
        <f ca="1">IFERROR(__xludf.DUMMYFUNCTION("""COMPUTED_VALUE"""),"No")</f>
        <v>No</v>
      </c>
      <c r="AL2752" s="8" t="str">
        <f ca="1">IFERROR(__xludf.DUMMYFUNCTION("""COMPUTED_VALUE"""),"No")</f>
        <v>No</v>
      </c>
      <c r="AM2752" s="8" t="str">
        <f ca="1">IFERROR(__xludf.DUMMYFUNCTION("""COMPUTED_VALUE"""),"No")</f>
        <v>No</v>
      </c>
      <c r="AN2752" s="8"/>
      <c r="AO2752" s="8" t="str">
        <f ca="1">IFERROR(__xludf.DUMMYFUNCTION("""COMPUTED_VALUE"""),"No")</f>
        <v>No</v>
      </c>
      <c r="AP2752" s="8"/>
      <c r="AQ2752" s="8"/>
      <c r="AR2752" s="8" t="str">
        <f ca="1">IFERROR(__xludf.DUMMYFUNCTION("""COMPUTED_VALUE"""),"Outside/Off-Property")</f>
        <v>Outside/Off-Property</v>
      </c>
      <c r="AS2752" s="8"/>
      <c r="AT2752" s="8"/>
      <c r="AU2752" s="8">
        <f ca="1">IFERROR(__xludf.DUMMYFUNCTION("""COMPUTED_VALUE"""),36.782907)</f>
        <v>36.782907000000002</v>
      </c>
      <c r="AV2752" s="8">
        <f ca="1">IFERROR(__xludf.DUMMYFUNCTION("""COMPUTED_VALUE"""),-76.14341)</f>
        <v>-76.143410000000003</v>
      </c>
      <c r="AW2752" s="8"/>
      <c r="AX2752" s="8">
        <f ca="1">IFERROR(__xludf.DUMMYFUNCTION("""COMPUTED_VALUE"""),23464)</f>
        <v>23464</v>
      </c>
    </row>
    <row r="2753" spans="1:50" ht="45" x14ac:dyDescent="0.2">
      <c r="A2753" s="8" t="str">
        <f ca="1">IFERROR(__xludf.DUMMYFUNCTION("""COMPUTED_VALUE"""),"19890426TXAMD")</f>
        <v>19890426TXAMD</v>
      </c>
      <c r="B2753" s="8">
        <f ca="1">IFERROR(__xludf.DUMMYFUNCTION("""COMPUTED_VALUE"""),4)</f>
        <v>4</v>
      </c>
      <c r="C2753" s="8">
        <f ca="1">IFERROR(__xludf.DUMMYFUNCTION("""COMPUTED_VALUE"""),26)</f>
        <v>26</v>
      </c>
      <c r="D2753" s="8">
        <f ca="1">IFERROR(__xludf.DUMMYFUNCTION("""COMPUTED_VALUE"""),1989)</f>
        <v>1989</v>
      </c>
      <c r="E2753" s="9">
        <f ca="1">IFERROR(__xludf.DUMMYFUNCTION("""COMPUTED_VALUE"""),32624)</f>
        <v>32624</v>
      </c>
      <c r="F2753" s="8" t="str">
        <f ca="1">IFERROR(__xludf.DUMMYFUNCTION("""COMPUTED_VALUE"""),"A Maceo Smith High School")</f>
        <v>A Maceo Smith High School</v>
      </c>
      <c r="G2753" s="8">
        <f ca="1">IFERROR(__xludf.DUMMYFUNCTION("""COMPUTED_VALUE"""),0)</f>
        <v>0</v>
      </c>
      <c r="H2753" s="8">
        <f ca="1">IFERROR(__xludf.DUMMYFUNCTION("""COMPUTED_VALUE"""),1)</f>
        <v>1</v>
      </c>
      <c r="I2753" s="8">
        <f ca="1">IFERROR(__xludf.DUMMYFUNCTION("""COMPUTED_VALUE"""),1)</f>
        <v>1</v>
      </c>
      <c r="J2753" s="8">
        <f ca="1">IFERROR(__xludf.DUMMYFUNCTION("""COMPUTED_VALUE"""),0)</f>
        <v>0</v>
      </c>
      <c r="K2753" s="8" t="str">
        <f ca="1">IFERROR(__xludf.DUMMYFUNCTION("""COMPUTED_VALUE"""),"Dallas Morning News - Campus Violence / Intruder Shoots High School Student; https://www.columbine-angels.com/School_Violence_1991-1992.htm")</f>
        <v>Dallas Morning News - Campus Violence / Intruder Shoots High School Student; https://www.columbine-angels.com/School_Violence_1991-1992.htm</v>
      </c>
      <c r="L2753" s="8"/>
      <c r="M2753" s="8"/>
      <c r="N2753" s="8">
        <f ca="1">IFERROR(__xludf.DUMMYFUNCTION("""COMPUTED_VALUE"""),1)</f>
        <v>1</v>
      </c>
      <c r="O2753" s="8" t="str">
        <f ca="1">IFERROR(__xludf.DUMMYFUNCTION("""COMPUTED_VALUE"""),"Spring")</f>
        <v>Spring</v>
      </c>
      <c r="P2753" s="8" t="str">
        <f ca="1">IFERROR(__xludf.DUMMYFUNCTION("""COMPUTED_VALUE"""),"Dallas")</f>
        <v>Dallas</v>
      </c>
      <c r="Q2753" s="8" t="str">
        <f ca="1">IFERROR(__xludf.DUMMYFUNCTION("""COMPUTED_VALUE"""),"TX")</f>
        <v>TX</v>
      </c>
      <c r="R2753" s="8" t="str">
        <f ca="1">IFERROR(__xludf.DUMMYFUNCTION("""COMPUTED_VALUE"""),"High")</f>
        <v>High</v>
      </c>
      <c r="S2753" s="8" t="str">
        <f ca="1">IFERROR(__xludf.DUMMYFUNCTION("""COMPUTED_VALUE"""),"Parking Lot")</f>
        <v>Parking Lot</v>
      </c>
      <c r="T2753" s="8" t="str">
        <f ca="1">IFERROR(__xludf.DUMMYFUNCTION("""COMPUTED_VALUE"""),"Outside on School Property")</f>
        <v>Outside on School Property</v>
      </c>
      <c r="U2753" s="8" t="str">
        <f ca="1">IFERROR(__xludf.DUMMYFUNCTION("""COMPUTED_VALUE"""),"Yes")</f>
        <v>Yes</v>
      </c>
      <c r="V2753" s="8" t="str">
        <f ca="1">IFERROR(__xludf.DUMMYFUNCTION("""COMPUTED_VALUE"""),"School Start")</f>
        <v>School Start</v>
      </c>
      <c r="W2753" s="8"/>
      <c r="X2753" s="8">
        <f ca="1">IFERROR(__xludf.DUMMYFUNCTION("""COMPUTED_VALUE"""),1)</f>
        <v>1</v>
      </c>
      <c r="Y2753" s="12" t="str">
        <f ca="1">IFERROR(__xludf.DUMMYFUNCTION("""COMPUTED_VALUE"""),"Argument about shooter female cousin, fired shots")</f>
        <v>Argument about shooter female cousin, fired shots</v>
      </c>
      <c r="Z2753" s="12" t="str">
        <f ca="1">IFERROR(__xludf.DUMMYFUNCTION("""COMPUTED_VALUE"""),"17YOM shooter drove up to victim in vehicle with 2 other teenage males. Argued with victim about his female cousin and shot at victim 5 times then fled the scene.")</f>
        <v>17YOM shooter drove up to victim in vehicle with 2 other teenage males. Argued with victim about his female cousin and shot at victim 5 times then fled the scene.</v>
      </c>
      <c r="AA2753" s="8" t="str">
        <f ca="1">IFERROR(__xludf.DUMMYFUNCTION("""COMPUTED_VALUE"""),"Escalation of Dispute")</f>
        <v>Escalation of Dispute</v>
      </c>
      <c r="AB2753" s="8"/>
      <c r="AC2753" s="8"/>
      <c r="AD2753" s="8" t="str">
        <f ca="1">IFERROR(__xludf.DUMMYFUNCTION("""COMPUTED_VALUE"""),"Victims Targeted")</f>
        <v>Victims Targeted</v>
      </c>
      <c r="AE2753" s="8" t="str">
        <f ca="1">IFERROR(__xludf.DUMMYFUNCTION("""COMPUTED_VALUE"""),"Yes")</f>
        <v>Yes</v>
      </c>
      <c r="AF2753" s="8" t="str">
        <f ca="1">IFERROR(__xludf.DUMMYFUNCTION("""COMPUTED_VALUE"""),"Shooter was in car with 2 other teenage males")</f>
        <v>Shooter was in car with 2 other teenage males</v>
      </c>
      <c r="AG2753" s="8" t="str">
        <f ca="1">IFERROR(__xludf.DUMMYFUNCTION("""COMPUTED_VALUE"""),"No")</f>
        <v>No</v>
      </c>
      <c r="AH2753" s="8" t="str">
        <f ca="1">IFERROR(__xludf.DUMMYFUNCTION("""COMPUTED_VALUE"""),"No")</f>
        <v>No</v>
      </c>
      <c r="AI2753" s="8" t="str">
        <f ca="1">IFERROR(__xludf.DUMMYFUNCTION("""COMPUTED_VALUE"""),"No")</f>
        <v>No</v>
      </c>
      <c r="AJ2753" s="8" t="str">
        <f ca="1">IFERROR(__xludf.DUMMYFUNCTION("""COMPUTED_VALUE"""),"No")</f>
        <v>No</v>
      </c>
      <c r="AK2753" s="8" t="str">
        <f ca="1">IFERROR(__xludf.DUMMYFUNCTION("""COMPUTED_VALUE"""),"Yes")</f>
        <v>Yes</v>
      </c>
      <c r="AL2753" s="8" t="str">
        <f ca="1">IFERROR(__xludf.DUMMYFUNCTION("""COMPUTED_VALUE"""),"No")</f>
        <v>No</v>
      </c>
      <c r="AM2753" s="8"/>
      <c r="AN2753" s="8"/>
      <c r="AO2753" s="8" t="str">
        <f ca="1">IFERROR(__xludf.DUMMYFUNCTION("""COMPUTED_VALUE"""),"No")</f>
        <v>No</v>
      </c>
      <c r="AP2753" s="8"/>
      <c r="AQ2753" s="8" t="str">
        <f ca="1">IFERROR(__xludf.DUMMYFUNCTION("""COMPUTED_VALUE"""),"Unknown")</f>
        <v>Unknown</v>
      </c>
      <c r="AR2753" s="8" t="str">
        <f ca="1">IFERROR(__xludf.DUMMYFUNCTION("""COMPUTED_VALUE"""),"NA")</f>
        <v>NA</v>
      </c>
      <c r="AS2753" s="8">
        <f ca="1">IFERROR(__xludf.DUMMYFUNCTION("""COMPUTED_VALUE"""),5)</f>
        <v>5</v>
      </c>
      <c r="AT2753" s="8"/>
      <c r="AU2753" s="8">
        <f ca="1">IFERROR(__xludf.DUMMYFUNCTION("""COMPUTED_VALUE"""),32.691489)</f>
        <v>32.691488999999997</v>
      </c>
      <c r="AV2753" s="8">
        <f ca="1">IFERROR(__xludf.DUMMYFUNCTION("""COMPUTED_VALUE"""),-96.7907)</f>
        <v>-96.790700000000001</v>
      </c>
      <c r="AW2753" s="8"/>
      <c r="AX2753" s="8">
        <f ca="1">IFERROR(__xludf.DUMMYFUNCTION("""COMPUTED_VALUE"""),75216)</f>
        <v>75216</v>
      </c>
    </row>
    <row r="2754" spans="1:50" ht="90" x14ac:dyDescent="0.2">
      <c r="A2754" s="8" t="str">
        <f ca="1">IFERROR(__xludf.DUMMYFUNCTION("""COMPUTED_VALUE"""),"19890303INWIG")</f>
        <v>19890303INWIG</v>
      </c>
      <c r="B2754" s="8">
        <f ca="1">IFERROR(__xludf.DUMMYFUNCTION("""COMPUTED_VALUE"""),3)</f>
        <v>3</v>
      </c>
      <c r="C2754" s="8">
        <f ca="1">IFERROR(__xludf.DUMMYFUNCTION("""COMPUTED_VALUE"""),3)</f>
        <v>3</v>
      </c>
      <c r="D2754" s="8">
        <f ca="1">IFERROR(__xludf.DUMMYFUNCTION("""COMPUTED_VALUE"""),1989)</f>
        <v>1989</v>
      </c>
      <c r="E2754" s="9">
        <f ca="1">IFERROR(__xludf.DUMMYFUNCTION("""COMPUTED_VALUE"""),32570)</f>
        <v>32570</v>
      </c>
      <c r="F2754" s="8" t="str">
        <f ca="1">IFERROR(__xludf.DUMMYFUNCTION("""COMPUTED_VALUE"""),"Wirt High School")</f>
        <v>Wirt High School</v>
      </c>
      <c r="G2754" s="8">
        <f ca="1">IFERROR(__xludf.DUMMYFUNCTION("""COMPUTED_VALUE"""),1)</f>
        <v>1</v>
      </c>
      <c r="H2754" s="8">
        <f ca="1">IFERROR(__xludf.DUMMYFUNCTION("""COMPUTED_VALUE"""),0)</f>
        <v>0</v>
      </c>
      <c r="I2754" s="8">
        <f ca="1">IFERROR(__xludf.DUMMYFUNCTION("""COMPUTED_VALUE"""),1)</f>
        <v>1</v>
      </c>
      <c r="J2754" s="8">
        <f ca="1">IFERROR(__xludf.DUMMYFUNCTION("""COMPUTED_VALUE"""),0)</f>
        <v>0</v>
      </c>
      <c r="K2754" s="8" t="str">
        <f ca="1">IFERROR(__xludf.DUMMYFUNCTION("""COMPUTED_VALUE"""),"https://www.newspapers.com/image/155005808/?terms=Wirt%2BHigh%2BSchool%2Bshooting   https://www.newspapers.com/image/105134227/?terms=JOcelyn%2Bsims   https://www.newspapers.com/image/389260432/?terms=JOcelyn%2Bsims   https://www.newspapers.com/image/3105"&amp;"84481/?terms=Shannon%2Bbrown 
  https://www.newspapers.com/image/106130499/?terms=STUDENT%2BSHOT; https://www.newspapers.com/image/264345928/?terms=SHANNON%2BBROWN%2BSHOT; https://www.newspapers.com/image/310584481/?terms=SHANNON%2BBROWN%2BSHOT; https://w"&amp;"ww.newspapers.com/image/253205494/?terms=SHANNON%2BBROWN%2BSHOT")</f>
        <v>https://www.newspapers.com/image/155005808/?terms=Wirt%2BHigh%2BSchool%2Bshooting   https://www.newspapers.com/image/105134227/?terms=JOcelyn%2Bsims   https://www.newspapers.com/image/389260432/?terms=JOcelyn%2Bsims   https://www.newspapers.com/image/310584481/?terms=Shannon%2Bbrown 
  https://www.newspapers.com/image/106130499/?terms=STUDENT%2BSHOT; https://www.newspapers.com/image/264345928/?terms=SHANNON%2BBROWN%2BSHOT; https://www.newspapers.com/image/310584481/?terms=SHANNON%2BBROWN%2BSHOT; https://www.newspapers.com/image/253205494/?terms=SHANNON%2BBROWN%2BSHOT</v>
      </c>
      <c r="L2754" s="8"/>
      <c r="M2754" s="8"/>
      <c r="N2754" s="8">
        <f ca="1">IFERROR(__xludf.DUMMYFUNCTION("""COMPUTED_VALUE"""),4)</f>
        <v>4</v>
      </c>
      <c r="O2754" s="8" t="str">
        <f ca="1">IFERROR(__xludf.DUMMYFUNCTION("""COMPUTED_VALUE"""),"Spring")</f>
        <v>Spring</v>
      </c>
      <c r="P2754" s="8" t="str">
        <f ca="1">IFERROR(__xludf.DUMMYFUNCTION("""COMPUTED_VALUE"""),"Gary")</f>
        <v>Gary</v>
      </c>
      <c r="Q2754" s="8" t="str">
        <f ca="1">IFERROR(__xludf.DUMMYFUNCTION("""COMPUTED_VALUE"""),"IN")</f>
        <v>IN</v>
      </c>
      <c r="R2754" s="8" t="str">
        <f ca="1">IFERROR(__xludf.DUMMYFUNCTION("""COMPUTED_VALUE"""),"High")</f>
        <v>High</v>
      </c>
      <c r="S2754" s="8" t="str">
        <f ca="1">IFERROR(__xludf.DUMMYFUNCTION("""COMPUTED_VALUE"""),"Beside Building")</f>
        <v>Beside Building</v>
      </c>
      <c r="T2754" s="8" t="str">
        <f ca="1">IFERROR(__xludf.DUMMYFUNCTION("""COMPUTED_VALUE"""),"Outside on School Property")</f>
        <v>Outside on School Property</v>
      </c>
      <c r="U2754" s="8" t="str">
        <f ca="1">IFERROR(__xludf.DUMMYFUNCTION("""COMPUTED_VALUE"""),"Yes")</f>
        <v>Yes</v>
      </c>
      <c r="V2754" s="8" t="str">
        <f ca="1">IFERROR(__xludf.DUMMYFUNCTION("""COMPUTED_VALUE"""),"Lunch")</f>
        <v>Lunch</v>
      </c>
      <c r="W2754" s="11">
        <f ca="1">IFERROR(__xludf.DUMMYFUNCTION("""COMPUTED_VALUE"""),0.50625)</f>
        <v>0.50624999999999998</v>
      </c>
      <c r="X2754" s="8">
        <f ca="1">IFERROR(__xludf.DUMMYFUNCTION("""COMPUTED_VALUE"""),1)</f>
        <v>1</v>
      </c>
      <c r="Y2754" s="12" t="str">
        <f ca="1">IFERROR(__xludf.DUMMYFUNCTION("""COMPUTED_VALUE"""),"Dispute between students in gym class")</f>
        <v>Dispute between students in gym class</v>
      </c>
      <c r="Z2754" s="12" t="str">
        <f ca="1">IFERROR(__xludf.DUMMYFUNCTION("""COMPUTED_VALUE"""),"Shooter and victim were involved in an argument during gym so decided to further argument outside - possible gang related. Once outside, shooter pulled .22 caliber handgun and shot victim in the head. Shooter then fled, but was later caught by police. Sen"&amp;"tenced to reckless homicide and sentenced to 6 years.")</f>
        <v>Shooter and victim were involved in an argument during gym so decided to further argument outside - possible gang related. Once outside, shooter pulled .22 caliber handgun and shot victim in the head. Shooter then fled, but was later caught by police. Sentenced to reckless homicide and sentenced to 6 years.</v>
      </c>
      <c r="AA2754" s="8" t="str">
        <f ca="1">IFERROR(__xludf.DUMMYFUNCTION("""COMPUTED_VALUE"""),"Escalation of Dispute")</f>
        <v>Escalation of Dispute</v>
      </c>
      <c r="AB2754" s="8"/>
      <c r="AC2754" s="8"/>
      <c r="AD2754" s="8" t="str">
        <f ca="1">IFERROR(__xludf.DUMMYFUNCTION("""COMPUTED_VALUE"""),"Victims Targeted")</f>
        <v>Victims Targeted</v>
      </c>
      <c r="AE2754" s="8" t="str">
        <f ca="1">IFERROR(__xludf.DUMMYFUNCTION("""COMPUTED_VALUE"""),"No")</f>
        <v>No</v>
      </c>
      <c r="AF2754" s="8"/>
      <c r="AG2754" s="8" t="str">
        <f ca="1">IFERROR(__xludf.DUMMYFUNCTION("""COMPUTED_VALUE"""),"No")</f>
        <v>No</v>
      </c>
      <c r="AH2754" s="8" t="str">
        <f ca="1">IFERROR(__xludf.DUMMYFUNCTION("""COMPUTED_VALUE"""),"No")</f>
        <v>No</v>
      </c>
      <c r="AI2754" s="8" t="str">
        <f ca="1">IFERROR(__xludf.DUMMYFUNCTION("""COMPUTED_VALUE"""),"No")</f>
        <v>No</v>
      </c>
      <c r="AJ2754" s="8" t="str">
        <f ca="1">IFERROR(__xludf.DUMMYFUNCTION("""COMPUTED_VALUE"""),"No")</f>
        <v>No</v>
      </c>
      <c r="AK2754" s="8" t="str">
        <f ca="1">IFERROR(__xludf.DUMMYFUNCTION("""COMPUTED_VALUE"""),"No")</f>
        <v>No</v>
      </c>
      <c r="AL2754" s="8" t="str">
        <f ca="1">IFERROR(__xludf.DUMMYFUNCTION("""COMPUTED_VALUE"""),"No")</f>
        <v>No</v>
      </c>
      <c r="AM2754" s="8"/>
      <c r="AN2754" s="8"/>
      <c r="AO2754" s="8" t="str">
        <f ca="1">IFERROR(__xludf.DUMMYFUNCTION("""COMPUTED_VALUE"""),"No")</f>
        <v>No</v>
      </c>
      <c r="AP2754" s="8"/>
      <c r="AQ2754" s="8" t="str">
        <f ca="1">IFERROR(__xludf.DUMMYFUNCTION("""COMPUTED_VALUE"""),"Unknown")</f>
        <v>Unknown</v>
      </c>
      <c r="AR2754" s="8" t="str">
        <f ca="1">IFERROR(__xludf.DUMMYFUNCTION("""COMPUTED_VALUE"""),"NA")</f>
        <v>NA</v>
      </c>
      <c r="AS2754" s="8">
        <f ca="1">IFERROR(__xludf.DUMMYFUNCTION("""COMPUTED_VALUE"""),1)</f>
        <v>1</v>
      </c>
      <c r="AT2754" s="8"/>
      <c r="AU2754" s="8">
        <f ca="1">IFERROR(__xludf.DUMMYFUNCTION("""COMPUTED_VALUE"""),41.609662)</f>
        <v>41.609662</v>
      </c>
      <c r="AV2754" s="8">
        <f ca="1">IFERROR(__xludf.DUMMYFUNCTION("""COMPUTED_VALUE"""),-87.263522)</f>
        <v>-87.263521999999995</v>
      </c>
      <c r="AW2754" s="8"/>
      <c r="AX2754" s="8">
        <f ca="1">IFERROR(__xludf.DUMMYFUNCTION("""COMPUTED_VALUE"""),46403)</f>
        <v>46403</v>
      </c>
    </row>
    <row r="2755" spans="1:50" ht="90" x14ac:dyDescent="0.2">
      <c r="A2755" s="8" t="str">
        <f ca="1">IFERROR(__xludf.DUMMYFUNCTION("""COMPUTED_VALUE"""),"19890210UTTHK")</f>
        <v>19890210UTTHK</v>
      </c>
      <c r="B2755" s="8">
        <f ca="1">IFERROR(__xludf.DUMMYFUNCTION("""COMPUTED_VALUE"""),2)</f>
        <v>2</v>
      </c>
      <c r="C2755" s="8">
        <f ca="1">IFERROR(__xludf.DUMMYFUNCTION("""COMPUTED_VALUE"""),10)</f>
        <v>10</v>
      </c>
      <c r="D2755" s="8">
        <f ca="1">IFERROR(__xludf.DUMMYFUNCTION("""COMPUTED_VALUE"""),1989)</f>
        <v>1989</v>
      </c>
      <c r="E2755" s="9">
        <f ca="1">IFERROR(__xludf.DUMMYFUNCTION("""COMPUTED_VALUE"""),32549)</f>
        <v>32549</v>
      </c>
      <c r="F2755" s="8" t="str">
        <f ca="1">IFERROR(__xludf.DUMMYFUNCTION("""COMPUTED_VALUE"""),"Thomas Jefferson Junior High School")</f>
        <v>Thomas Jefferson Junior High School</v>
      </c>
      <c r="G2755" s="8">
        <f ca="1">IFERROR(__xludf.DUMMYFUNCTION("""COMPUTED_VALUE"""),0)</f>
        <v>0</v>
      </c>
      <c r="H2755" s="8">
        <f ca="1">IFERROR(__xludf.DUMMYFUNCTION("""COMPUTED_VALUE"""),0)</f>
        <v>0</v>
      </c>
      <c r="I2755" s="8">
        <f ca="1">IFERROR(__xludf.DUMMYFUNCTION("""COMPUTED_VALUE"""),0)</f>
        <v>0</v>
      </c>
      <c r="J2755" s="8">
        <f ca="1">IFERROR(__xludf.DUMMYFUNCTION("""COMPUTED_VALUE"""),0)</f>
        <v>0</v>
      </c>
      <c r="K2755" s="10" t="str">
        <f ca="1">IFERROR(__xludf.DUMMYFUNCTION("""COMPUTED_VALUE"""),"https://www.deseretnews.com/article/34103/OFFICERS-SEEKING-ANSWERS-AFTER-JUNIOR-HIGH-SHOOTING.html")</f>
        <v>https://www.deseretnews.com/article/34103/OFFICERS-SEEKING-ANSWERS-AFTER-JUNIOR-HIGH-SHOOTING.html</v>
      </c>
      <c r="L2755" s="8"/>
      <c r="M2755" s="8"/>
      <c r="N2755" s="8">
        <f ca="1">IFERROR(__xludf.DUMMYFUNCTION("""COMPUTED_VALUE"""),2)</f>
        <v>2</v>
      </c>
      <c r="O2755" s="8" t="str">
        <f ca="1">IFERROR(__xludf.DUMMYFUNCTION("""COMPUTED_VALUE"""),"Winter")</f>
        <v>Winter</v>
      </c>
      <c r="P2755" s="8" t="str">
        <f ca="1">IFERROR(__xludf.DUMMYFUNCTION("""COMPUTED_VALUE"""),"Kearns")</f>
        <v>Kearns</v>
      </c>
      <c r="Q2755" s="8" t="str">
        <f ca="1">IFERROR(__xludf.DUMMYFUNCTION("""COMPUTED_VALUE"""),"UT")</f>
        <v>UT</v>
      </c>
      <c r="R2755" s="8" t="str">
        <f ca="1">IFERROR(__xludf.DUMMYFUNCTION("""COMPUTED_VALUE"""),"Junior High")</f>
        <v>Junior High</v>
      </c>
      <c r="S2755" s="8" t="str">
        <f ca="1">IFERROR(__xludf.DUMMYFUNCTION("""COMPUTED_VALUE"""),"Parking Lot")</f>
        <v>Parking Lot</v>
      </c>
      <c r="T2755" s="8" t="str">
        <f ca="1">IFERROR(__xludf.DUMMYFUNCTION("""COMPUTED_VALUE"""),"Outside on School Property")</f>
        <v>Outside on School Property</v>
      </c>
      <c r="U2755" s="8" t="str">
        <f ca="1">IFERROR(__xludf.DUMMYFUNCTION("""COMPUTED_VALUE"""),"Yes")</f>
        <v>Yes</v>
      </c>
      <c r="V2755" s="8"/>
      <c r="W2755" s="8"/>
      <c r="X2755" s="8">
        <f ca="1">IFERROR(__xludf.DUMMYFUNCTION("""COMPUTED_VALUE"""),1)</f>
        <v>1</v>
      </c>
      <c r="Y2755" s="12" t="str">
        <f ca="1">IFERROR(__xludf.DUMMYFUNCTION("""COMPUTED_VALUE"""),"Shooter (12YM) fired twice at principal but missed.")</f>
        <v>Shooter (12YM) fired twice at principal but missed.</v>
      </c>
      <c r="Z2755" s="12" t="str">
        <f ca="1">IFERROR(__xludf.DUMMYFUNCTION("""COMPUTED_VALUE"""),"Teacher noticed student playing with .22 rounds and a knife. When teacher tried to take the student to the principal's office, the shooter ran. The principal chased the student out to the parking lot where the shooter fired multiple shots missing the prin"&amp;"cipal. The shooter fled the scene and was arrested a few block away.")</f>
        <v>Teacher noticed student playing with .22 rounds and a knife. When teacher tried to take the student to the principal's office, the shooter ran. The principal chased the student out to the parking lot where the shooter fired multiple shots missing the principal. The shooter fled the scene and was arrested a few block away.</v>
      </c>
      <c r="AA2755" s="8" t="str">
        <f ca="1">IFERROR(__xludf.DUMMYFUNCTION("""COMPUTED_VALUE"""),"Anger Over Grade/Suspension/Discipline")</f>
        <v>Anger Over Grade/Suspension/Discipline</v>
      </c>
      <c r="AB2755" s="8"/>
      <c r="AC2755" s="8"/>
      <c r="AD2755" s="8" t="str">
        <f ca="1">IFERROR(__xludf.DUMMYFUNCTION("""COMPUTED_VALUE"""),"Neither")</f>
        <v>Neither</v>
      </c>
      <c r="AE2755" s="8" t="str">
        <f ca="1">IFERROR(__xludf.DUMMYFUNCTION("""COMPUTED_VALUE"""),"No")</f>
        <v>No</v>
      </c>
      <c r="AF2755" s="8"/>
      <c r="AG2755" s="8" t="str">
        <f ca="1">IFERROR(__xludf.DUMMYFUNCTION("""COMPUTED_VALUE"""),"No")</f>
        <v>No</v>
      </c>
      <c r="AH2755" s="8" t="str">
        <f ca="1">IFERROR(__xludf.DUMMYFUNCTION("""COMPUTED_VALUE"""),"No")</f>
        <v>No</v>
      </c>
      <c r="AI2755" s="8" t="str">
        <f ca="1">IFERROR(__xludf.DUMMYFUNCTION("""COMPUTED_VALUE"""),"No")</f>
        <v>No</v>
      </c>
      <c r="AJ2755" s="8"/>
      <c r="AK2755" s="8" t="str">
        <f ca="1">IFERROR(__xludf.DUMMYFUNCTION("""COMPUTED_VALUE"""),"No")</f>
        <v>No</v>
      </c>
      <c r="AL2755" s="8" t="str">
        <f ca="1">IFERROR(__xludf.DUMMYFUNCTION("""COMPUTED_VALUE"""),"No")</f>
        <v>No</v>
      </c>
      <c r="AM2755" s="8"/>
      <c r="AN2755" s="8"/>
      <c r="AO2755" s="8" t="str">
        <f ca="1">IFERROR(__xludf.DUMMYFUNCTION("""COMPUTED_VALUE"""),"No")</f>
        <v>No</v>
      </c>
      <c r="AP2755" s="8"/>
      <c r="AQ2755" s="8" t="str">
        <f ca="1">IFERROR(__xludf.DUMMYFUNCTION("""COMPUTED_VALUE"""),"Unknown")</f>
        <v>Unknown</v>
      </c>
      <c r="AR2755" s="8" t="str">
        <f ca="1">IFERROR(__xludf.DUMMYFUNCTION("""COMPUTED_VALUE"""),"NA")</f>
        <v>NA</v>
      </c>
      <c r="AS2755" s="8"/>
      <c r="AT2755" s="8"/>
      <c r="AU2755" s="8">
        <f ca="1">IFERROR(__xludf.DUMMYFUNCTION("""COMPUTED_VALUE"""),40.644618)</f>
        <v>40.644618000000001</v>
      </c>
      <c r="AV2755" s="8">
        <f ca="1">IFERROR(__xludf.DUMMYFUNCTION("""COMPUTED_VALUE"""),-112.025745)</f>
        <v>-112.025745</v>
      </c>
      <c r="AW2755" s="8"/>
      <c r="AX2755" s="8">
        <f ca="1">IFERROR(__xludf.DUMMYFUNCTION("""COMPUTED_VALUE"""),84118)</f>
        <v>84118</v>
      </c>
    </row>
    <row r="2756" spans="1:50" ht="90" x14ac:dyDescent="0.2">
      <c r="A2756" s="8" t="str">
        <f ca="1">IFERROR(__xludf.DUMMYFUNCTION("""COMPUTED_VALUE"""),"19890209IDRIR")</f>
        <v>19890209IDRIR</v>
      </c>
      <c r="B2756" s="8">
        <f ca="1">IFERROR(__xludf.DUMMYFUNCTION("""COMPUTED_VALUE"""),2)</f>
        <v>2</v>
      </c>
      <c r="C2756" s="8">
        <f ca="1">IFERROR(__xludf.DUMMYFUNCTION("""COMPUTED_VALUE"""),9)</f>
        <v>9</v>
      </c>
      <c r="D2756" s="8">
        <f ca="1">IFERROR(__xludf.DUMMYFUNCTION("""COMPUTED_VALUE"""),1989)</f>
        <v>1989</v>
      </c>
      <c r="E2756" s="9">
        <f ca="1">IFERROR(__xludf.DUMMYFUNCTION("""COMPUTED_VALUE"""),32548)</f>
        <v>32548</v>
      </c>
      <c r="F2756" s="8" t="str">
        <f ca="1">IFERROR(__xludf.DUMMYFUNCTION("""COMPUTED_VALUE"""),"Rigby Junior High School")</f>
        <v>Rigby Junior High School</v>
      </c>
      <c r="G2756" s="8">
        <f ca="1">IFERROR(__xludf.DUMMYFUNCTION("""COMPUTED_VALUE"""),0)</f>
        <v>0</v>
      </c>
      <c r="H2756" s="8">
        <f ca="1">IFERROR(__xludf.DUMMYFUNCTION("""COMPUTED_VALUE"""),0)</f>
        <v>0</v>
      </c>
      <c r="I2756" s="8">
        <f ca="1">IFERROR(__xludf.DUMMYFUNCTION("""COMPUTED_VALUE"""),0)</f>
        <v>0</v>
      </c>
      <c r="J2756" s="8">
        <f ca="1">IFERROR(__xludf.DUMMYFUNCTION("""COMPUTED_VALUE"""),0)</f>
        <v>0</v>
      </c>
      <c r="K2756" s="10" t="str">
        <f ca="1">IFERROR(__xludf.DUMMYFUNCTION("""COMPUTED_VALUE"""),"https://kutv.com/news/nation-world/student-opens-fire-at-rigby-middle-school-injuring-three https://www.deseret.com/1989/2/9/18794568/idaho-boy-14-in-custody-after-taking-hostage?fbclid=IwAR0TwCLhd7_2mvJMqoP9zln4P4hqoLoFWsetQx3WwDkMcWikB2pNy0egEKk
https:/"&amp;"/www.newspapers.com/image/285249029/?terms=Rigby%20Junior%20High%20hostage&amp;match=1")</f>
        <v>https://kutv.com/news/nation-world/student-opens-fire-at-rigby-middle-school-injuring-three https://www.deseret.com/1989/2/9/18794568/idaho-boy-14-in-custody-after-taking-hostage?fbclid=IwAR0TwCLhd7_2mvJMqoP9zln4P4hqoLoFWsetQx3WwDkMcWikB2pNy0egEKk
https://www.newspapers.com/image/285249029/?terms=Rigby%20Junior%20High%20hostage&amp;match=1</v>
      </c>
      <c r="L2756" s="8">
        <f ca="1">IFERROR(__xludf.DUMMYFUNCTION("""COMPUTED_VALUE"""),2)</f>
        <v>2</v>
      </c>
      <c r="M2756" s="8" t="str">
        <f ca="1">IFERROR(__xludf.DUMMYFUNCTION("""COMPUTED_VALUE"""),"Local")</f>
        <v>Local</v>
      </c>
      <c r="N2756" s="8">
        <f ca="1">IFERROR(__xludf.DUMMYFUNCTION("""COMPUTED_VALUE"""),4)</f>
        <v>4</v>
      </c>
      <c r="O2756" s="8" t="str">
        <f ca="1">IFERROR(__xludf.DUMMYFUNCTION("""COMPUTED_VALUE"""),"Fall")</f>
        <v>Fall</v>
      </c>
      <c r="P2756" s="8" t="str">
        <f ca="1">IFERROR(__xludf.DUMMYFUNCTION("""COMPUTED_VALUE"""),"Rigby")</f>
        <v>Rigby</v>
      </c>
      <c r="Q2756" s="8" t="str">
        <f ca="1">IFERROR(__xludf.DUMMYFUNCTION("""COMPUTED_VALUE"""),"ID")</f>
        <v>ID</v>
      </c>
      <c r="R2756" s="8" t="str">
        <f ca="1">IFERROR(__xludf.DUMMYFUNCTION("""COMPUTED_VALUE"""),"Junior High")</f>
        <v>Junior High</v>
      </c>
      <c r="S2756" s="8" t="str">
        <f ca="1">IFERROR(__xludf.DUMMYFUNCTION("""COMPUTED_VALUE"""),"Classroom")</f>
        <v>Classroom</v>
      </c>
      <c r="T2756" s="8" t="str">
        <f ca="1">IFERROR(__xludf.DUMMYFUNCTION("""COMPUTED_VALUE"""),"Inside School Building")</f>
        <v>Inside School Building</v>
      </c>
      <c r="U2756" s="8" t="str">
        <f ca="1">IFERROR(__xludf.DUMMYFUNCTION("""COMPUTED_VALUE"""),"Yes")</f>
        <v>Yes</v>
      </c>
      <c r="V2756" s="8" t="str">
        <f ca="1">IFERROR(__xludf.DUMMYFUNCTION("""COMPUTED_VALUE"""),"Morning Classes")</f>
        <v>Morning Classes</v>
      </c>
      <c r="W2756" s="11">
        <f ca="1">IFERROR(__xludf.DUMMYFUNCTION("""COMPUTED_VALUE"""),0.454166666666666)</f>
        <v>0.454166666666666</v>
      </c>
      <c r="X2756" s="8">
        <f ca="1">IFERROR(__xludf.DUMMYFUNCTION("""COMPUTED_VALUE"""),60)</f>
        <v>60</v>
      </c>
      <c r="Y2756" s="12" t="str">
        <f ca="1">IFERROR(__xludf.DUMMYFUNCTION("""COMPUTED_VALUE"""),"Student threatened class with gun then held female student hostage during 1 hour standoff")</f>
        <v>Student threatened class with gun then held female student hostage during 1 hour standoff</v>
      </c>
      <c r="Z2756" s="12" t="str">
        <f ca="1">IFERROR(__xludf.DUMMYFUNCTION("""COMPUTED_VALUE"""),"A 14 year-old-male student pulled out a revolver in his classroom and threatened the teacher and two other students. The shooter then fled the school with a 14-year-old female student as his hostage. Police found him inside a nearby church and subdued him"&amp;" during a struggle. No shots were fired at the school or the church.")</f>
        <v>A 14 year-old-male student pulled out a revolver in his classroom and threatened the teacher and two other students. The shooter then fled the school with a 14-year-old female student as his hostage. Police found him inside a nearby church and subdued him during a struggle. No shots were fired at the school or the church.</v>
      </c>
      <c r="AA2756" s="8" t="str">
        <f ca="1">IFERROR(__xludf.DUMMYFUNCTION("""COMPUTED_VALUE"""),"Hostage/Standoff")</f>
        <v>Hostage/Standoff</v>
      </c>
      <c r="AB2756" s="8" t="str">
        <f ca="1">IFERROR(__xludf.DUMMYFUNCTION("""COMPUTED_VALUE"""),"Active Shooter/Planned Attack")</f>
        <v>Active Shooter/Planned Attack</v>
      </c>
      <c r="AC2756" s="8"/>
      <c r="AD2756" s="8" t="str">
        <f ca="1">IFERROR(__xludf.DUMMYFUNCTION("""COMPUTED_VALUE"""),"Victims Targeted")</f>
        <v>Victims Targeted</v>
      </c>
      <c r="AE2756" s="8" t="str">
        <f ca="1">IFERROR(__xludf.DUMMYFUNCTION("""COMPUTED_VALUE"""),"No")</f>
        <v>No</v>
      </c>
      <c r="AF2756" s="8"/>
      <c r="AG2756" s="8" t="str">
        <f ca="1">IFERROR(__xludf.DUMMYFUNCTION("""COMPUTED_VALUE"""),"Yes")</f>
        <v>Yes</v>
      </c>
      <c r="AH2756" s="8" t="str">
        <f ca="1">IFERROR(__xludf.DUMMYFUNCTION("""COMPUTED_VALUE"""),"No")</f>
        <v>No</v>
      </c>
      <c r="AI2756" s="8" t="str">
        <f ca="1">IFERROR(__xludf.DUMMYFUNCTION("""COMPUTED_VALUE"""),"No")</f>
        <v>No</v>
      </c>
      <c r="AJ2756" s="8"/>
      <c r="AK2756" s="8"/>
      <c r="AL2756" s="8" t="str">
        <f ca="1">IFERROR(__xludf.DUMMYFUNCTION("""COMPUTED_VALUE"""),"No")</f>
        <v>No</v>
      </c>
      <c r="AM2756" s="8" t="str">
        <f ca="1">IFERROR(__xludf.DUMMYFUNCTION("""COMPUTED_VALUE"""),"Yes")</f>
        <v>Yes</v>
      </c>
      <c r="AN2756" s="8" t="str">
        <f ca="1">IFERROR(__xludf.DUMMYFUNCTION("""COMPUTED_VALUE"""),"Multiple Rooms")</f>
        <v>Multiple Rooms</v>
      </c>
      <c r="AO2756" s="8" t="str">
        <f ca="1">IFERROR(__xludf.DUMMYFUNCTION("""COMPUTED_VALUE"""),"Yes")</f>
        <v>Yes</v>
      </c>
      <c r="AP2756" s="8" t="str">
        <f ca="1">IFERROR(__xludf.DUMMYFUNCTION("""COMPUTED_VALUE"""),"No")</f>
        <v>No</v>
      </c>
      <c r="AQ2756" s="8"/>
      <c r="AR2756" s="8"/>
      <c r="AS2756" s="8"/>
      <c r="AT2756" s="8"/>
      <c r="AU2756" s="8">
        <f ca="1">IFERROR(__xludf.DUMMYFUNCTION("""COMPUTED_VALUE"""),43.668413)</f>
        <v>43.668413000000001</v>
      </c>
      <c r="AV2756" s="8">
        <f ca="1">IFERROR(__xludf.DUMMYFUNCTION("""COMPUTED_VALUE"""),-111.940731)</f>
        <v>-111.940731</v>
      </c>
      <c r="AW2756" s="8"/>
      <c r="AX2756" s="8">
        <f ca="1">IFERROR(__xludf.DUMMYFUNCTION("""COMPUTED_VALUE"""),83442)</f>
        <v>83442</v>
      </c>
    </row>
    <row r="2757" spans="1:50" ht="45" x14ac:dyDescent="0.2">
      <c r="A2757" s="8" t="str">
        <f ca="1">IFERROR(__xludf.DUMMYFUNCTION("""COMPUTED_VALUE"""),"19890126DCWOW")</f>
        <v>19890126DCWOW</v>
      </c>
      <c r="B2757" s="8">
        <f ca="1">IFERROR(__xludf.DUMMYFUNCTION("""COMPUTED_VALUE"""),1)</f>
        <v>1</v>
      </c>
      <c r="C2757" s="8">
        <f ca="1">IFERROR(__xludf.DUMMYFUNCTION("""COMPUTED_VALUE"""),26)</f>
        <v>26</v>
      </c>
      <c r="D2757" s="8">
        <f ca="1">IFERROR(__xludf.DUMMYFUNCTION("""COMPUTED_VALUE"""),1989)</f>
        <v>1989</v>
      </c>
      <c r="E2757" s="9">
        <f ca="1">IFERROR(__xludf.DUMMYFUNCTION("""COMPUTED_VALUE"""),32534)</f>
        <v>32534</v>
      </c>
      <c r="F2757" s="8" t="str">
        <f ca="1">IFERROR(__xludf.DUMMYFUNCTION("""COMPUTED_VALUE"""),"Woodrow Wilson HIgh School")</f>
        <v>Woodrow Wilson HIgh School</v>
      </c>
      <c r="G2757" s="8">
        <f ca="1">IFERROR(__xludf.DUMMYFUNCTION("""COMPUTED_VALUE"""),0)</f>
        <v>0</v>
      </c>
      <c r="H2757" s="8">
        <f ca="1">IFERROR(__xludf.DUMMYFUNCTION("""COMPUTED_VALUE"""),4)</f>
        <v>4</v>
      </c>
      <c r="I2757" s="8">
        <f ca="1">IFERROR(__xludf.DUMMYFUNCTION("""COMPUTED_VALUE"""),4)</f>
        <v>4</v>
      </c>
      <c r="J2757" s="8">
        <f ca="1">IFERROR(__xludf.DUMMYFUNCTION("""COMPUTED_VALUE"""),0)</f>
        <v>0</v>
      </c>
      <c r="K2757" s="8" t="str">
        <f ca="1">IFERROR(__xludf.DUMMYFUNCTION("""COMPUTED_VALUE"""),"https://www.washingtonpost.com/archive/politics/1989/01/27/4-wounded-in-gunfire-at-wilson-high/fe7606be-6f21-4644-84b8-b7b403acbcf2/?noredirect=on&amp;utm_term=.3f35b4735b2c; https://www.washingtonpost.com/archive/local/1989/01/31/second-suspect-is-charged-in"&amp;"-wilson-shootings/19339de2-e88a-4543-86e6-7f09df7644c2/?utm_term=.0eb94ebfb767")</f>
        <v>https://www.washingtonpost.com/archive/politics/1989/01/27/4-wounded-in-gunfire-at-wilson-high/fe7606be-6f21-4644-84b8-b7b403acbcf2/?noredirect=on&amp;utm_term=.3f35b4735b2c; https://www.washingtonpost.com/archive/local/1989/01/31/second-suspect-is-charged-in-wilson-shootings/19339de2-e88a-4543-86e6-7f09df7644c2/?utm_term=.0eb94ebfb767</v>
      </c>
      <c r="L2757" s="8"/>
      <c r="M2757" s="8"/>
      <c r="N2757" s="8">
        <f ca="1">IFERROR(__xludf.DUMMYFUNCTION("""COMPUTED_VALUE"""),3)</f>
        <v>3</v>
      </c>
      <c r="O2757" s="8" t="str">
        <f ca="1">IFERROR(__xludf.DUMMYFUNCTION("""COMPUTED_VALUE"""),"Winter")</f>
        <v>Winter</v>
      </c>
      <c r="P2757" s="8" t="str">
        <f ca="1">IFERROR(__xludf.DUMMYFUNCTION("""COMPUTED_VALUE"""),"Washington")</f>
        <v>Washington</v>
      </c>
      <c r="Q2757" s="8" t="str">
        <f ca="1">IFERROR(__xludf.DUMMYFUNCTION("""COMPUTED_VALUE"""),"DC")</f>
        <v>DC</v>
      </c>
      <c r="R2757" s="8" t="str">
        <f ca="1">IFERROR(__xludf.DUMMYFUNCTION("""COMPUTED_VALUE"""),"High")</f>
        <v>High</v>
      </c>
      <c r="S2757" s="8" t="str">
        <f ca="1">IFERROR(__xludf.DUMMYFUNCTION("""COMPUTED_VALUE"""),"Parking Lot")</f>
        <v>Parking Lot</v>
      </c>
      <c r="T2757" s="8" t="str">
        <f ca="1">IFERROR(__xludf.DUMMYFUNCTION("""COMPUTED_VALUE"""),"Outside on School Property")</f>
        <v>Outside on School Property</v>
      </c>
      <c r="U2757" s="8" t="str">
        <f ca="1">IFERROR(__xludf.DUMMYFUNCTION("""COMPUTED_VALUE"""),"Yes")</f>
        <v>Yes</v>
      </c>
      <c r="V2757" s="8" t="str">
        <f ca="1">IFERROR(__xludf.DUMMYFUNCTION("""COMPUTED_VALUE"""),"Dismissal")</f>
        <v>Dismissal</v>
      </c>
      <c r="W2757" s="11">
        <f ca="1">IFERROR(__xludf.DUMMYFUNCTION("""COMPUTED_VALUE"""),0.600694444444444)</f>
        <v>0.60069444444444398</v>
      </c>
      <c r="X2757" s="8">
        <f ca="1">IFERROR(__xludf.DUMMYFUNCTION("""COMPUTED_VALUE"""),1)</f>
        <v>1</v>
      </c>
      <c r="Y2757" s="12" t="str">
        <f ca="1">IFERROR(__xludf.DUMMYFUNCTION("""COMPUTED_VALUE"""),"Escalation of on going fight about a girl")</f>
        <v>Escalation of on going fight about a girl</v>
      </c>
      <c r="Z2757" s="12" t="str">
        <f ca="1">IFERROR(__xludf.DUMMYFUNCTION("""COMPUTED_VALUE"""),"Argument over a girl that occurred between boyfriend and ex-boyfriend escalated into after school shooting where shooter shot into crowd hitting 4 - shooters fled in vehicle")</f>
        <v>Argument over a girl that occurred between boyfriend and ex-boyfriend escalated into after school shooting where shooter shot into crowd hitting 4 - shooters fled in vehicle</v>
      </c>
      <c r="AA2757" s="8" t="str">
        <f ca="1">IFERROR(__xludf.DUMMYFUNCTION("""COMPUTED_VALUE"""),"Escalation of Dispute")</f>
        <v>Escalation of Dispute</v>
      </c>
      <c r="AB2757" s="8"/>
      <c r="AC2757" s="8"/>
      <c r="AD2757" s="8" t="str">
        <f ca="1">IFERROR(__xludf.DUMMYFUNCTION("""COMPUTED_VALUE"""),"Victims Targeted")</f>
        <v>Victims Targeted</v>
      </c>
      <c r="AE2757" s="8" t="str">
        <f ca="1">IFERROR(__xludf.DUMMYFUNCTION("""COMPUTED_VALUE"""),"No")</f>
        <v>No</v>
      </c>
      <c r="AF2757" s="8"/>
      <c r="AG2757" s="8" t="str">
        <f ca="1">IFERROR(__xludf.DUMMYFUNCTION("""COMPUTED_VALUE"""),"No")</f>
        <v>No</v>
      </c>
      <c r="AH2757" s="8" t="str">
        <f ca="1">IFERROR(__xludf.DUMMYFUNCTION("""COMPUTED_VALUE"""),"No")</f>
        <v>No</v>
      </c>
      <c r="AI2757" s="8" t="str">
        <f ca="1">IFERROR(__xludf.DUMMYFUNCTION("""COMPUTED_VALUE"""),"No")</f>
        <v>No</v>
      </c>
      <c r="AJ2757" s="8" t="str">
        <f ca="1">IFERROR(__xludf.DUMMYFUNCTION("""COMPUTED_VALUE"""),"No")</f>
        <v>No</v>
      </c>
      <c r="AK2757" s="8" t="str">
        <f ca="1">IFERROR(__xludf.DUMMYFUNCTION("""COMPUTED_VALUE"""),"No")</f>
        <v>No</v>
      </c>
      <c r="AL2757" s="8" t="str">
        <f ca="1">IFERROR(__xludf.DUMMYFUNCTION("""COMPUTED_VALUE"""),"No")</f>
        <v>No</v>
      </c>
      <c r="AM2757" s="8"/>
      <c r="AN2757" s="8"/>
      <c r="AO2757" s="8" t="str">
        <f ca="1">IFERROR(__xludf.DUMMYFUNCTION("""COMPUTED_VALUE"""),"No")</f>
        <v>No</v>
      </c>
      <c r="AP2757" s="8"/>
      <c r="AQ2757" s="8" t="str">
        <f ca="1">IFERROR(__xludf.DUMMYFUNCTION("""COMPUTED_VALUE"""),"Unknown")</f>
        <v>Unknown</v>
      </c>
      <c r="AR2757" s="8" t="str">
        <f ca="1">IFERROR(__xludf.DUMMYFUNCTION("""COMPUTED_VALUE"""),"NA")</f>
        <v>NA</v>
      </c>
      <c r="AS2757" s="8">
        <f ca="1">IFERROR(__xludf.DUMMYFUNCTION("""COMPUTED_VALUE"""),11)</f>
        <v>11</v>
      </c>
      <c r="AT2757" s="8"/>
      <c r="AU2757" s="8">
        <f ca="1">IFERROR(__xludf.DUMMYFUNCTION("""COMPUTED_VALUE"""),38.949738)</f>
        <v>38.949738000000004</v>
      </c>
      <c r="AV2757" s="8">
        <f ca="1">IFERROR(__xludf.DUMMYFUNCTION("""COMPUTED_VALUE"""),-77.077546)</f>
        <v>-77.077545999999998</v>
      </c>
      <c r="AW2757" s="8"/>
      <c r="AX2757" s="8">
        <f ca="1">IFERROR(__xludf.DUMMYFUNCTION("""COMPUTED_VALUE"""),20016)</f>
        <v>20016</v>
      </c>
    </row>
    <row r="2758" spans="1:50" ht="210" x14ac:dyDescent="0.2">
      <c r="A2758" s="8" t="str">
        <f ca="1">IFERROR(__xludf.DUMMYFUNCTION("""COMPUTED_VALUE"""),"19890117CACLS")</f>
        <v>19890117CACLS</v>
      </c>
      <c r="B2758" s="8">
        <f ca="1">IFERROR(__xludf.DUMMYFUNCTION("""COMPUTED_VALUE"""),1)</f>
        <v>1</v>
      </c>
      <c r="C2758" s="8">
        <f ca="1">IFERROR(__xludf.DUMMYFUNCTION("""COMPUTED_VALUE"""),17)</f>
        <v>17</v>
      </c>
      <c r="D2758" s="8">
        <f ca="1">IFERROR(__xludf.DUMMYFUNCTION("""COMPUTED_VALUE"""),1989)</f>
        <v>1989</v>
      </c>
      <c r="E2758" s="9">
        <f ca="1">IFERROR(__xludf.DUMMYFUNCTION("""COMPUTED_VALUE"""),32525)</f>
        <v>32525</v>
      </c>
      <c r="F2758" s="8" t="str">
        <f ca="1">IFERROR(__xludf.DUMMYFUNCTION("""COMPUTED_VALUE"""),"Cleveland Elementary School")</f>
        <v>Cleveland Elementary School</v>
      </c>
      <c r="G2758" s="8">
        <f ca="1">IFERROR(__xludf.DUMMYFUNCTION("""COMPUTED_VALUE"""),5)</f>
        <v>5</v>
      </c>
      <c r="H2758" s="8">
        <f ca="1">IFERROR(__xludf.DUMMYFUNCTION("""COMPUTED_VALUE"""),30)</f>
        <v>30</v>
      </c>
      <c r="I2758" s="8">
        <f ca="1">IFERROR(__xludf.DUMMYFUNCTION("""COMPUTED_VALUE"""),35)</f>
        <v>35</v>
      </c>
      <c r="J2758" s="8">
        <f ca="1">IFERROR(__xludf.DUMMYFUNCTION("""COMPUTED_VALUE"""),1)</f>
        <v>1</v>
      </c>
      <c r="K2758" s="8" t="str">
        <f ca="1">IFERROR(__xludf.DUMMYFUNCTION("""COMPUTED_VALUE"""),"https://www.mercurynews.com/2014/01/16/stockton-shooting-25-years-later-city-cant-forget-its-worst-day/; http://nl.newsbank.com/nl-search/we/Archives?p_product=SJ&amp;s_site=mercurynews&amp;p_multi=SJ&amp;p_theme=realcities&amp;p_action=search&amp;p_maxdocs=200&amp;p_topdoc=1&amp;p_"&amp;"text_direct-0=0EB72F352C11F838&amp;p_field_direct-0=document_id&amp;p_perpage=10&amp;p_sort=YMD_date:D&amp;s_trackval=GooglePM")</f>
        <v>https://www.mercurynews.com/2014/01/16/stockton-shooting-25-years-later-city-cant-forget-its-worst-day/; http://nl.newsbank.com/nl-search/we/Archives?p_product=SJ&amp;s_site=mercurynews&amp;p_multi=SJ&amp;p_theme=realcities&amp;p_action=search&amp;p_maxdocs=200&amp;p_topdoc=1&amp;p_text_direct-0=0EB72F352C11F838&amp;p_field_direct-0=document_id&amp;p_perpage=10&amp;p_sort=YMD_date:D&amp;s_trackval=GooglePM</v>
      </c>
      <c r="L2758" s="8"/>
      <c r="M2758" s="8" t="str">
        <f ca="1">IFERROR(__xludf.DUMMYFUNCTION("""COMPUTED_VALUE"""),"National")</f>
        <v>National</v>
      </c>
      <c r="N2758" s="8">
        <f ca="1">IFERROR(__xludf.DUMMYFUNCTION("""COMPUTED_VALUE"""),2)</f>
        <v>2</v>
      </c>
      <c r="O2758" s="8" t="str">
        <f ca="1">IFERROR(__xludf.DUMMYFUNCTION("""COMPUTED_VALUE"""),"Winter")</f>
        <v>Winter</v>
      </c>
      <c r="P2758" s="8" t="str">
        <f ca="1">IFERROR(__xludf.DUMMYFUNCTION("""COMPUTED_VALUE"""),"Stockton")</f>
        <v>Stockton</v>
      </c>
      <c r="Q2758" s="8" t="str">
        <f ca="1">IFERROR(__xludf.DUMMYFUNCTION("""COMPUTED_VALUE"""),"CA")</f>
        <v>CA</v>
      </c>
      <c r="R2758" s="8" t="str">
        <f ca="1">IFERROR(__xludf.DUMMYFUNCTION("""COMPUTED_VALUE"""),"Elementary")</f>
        <v>Elementary</v>
      </c>
      <c r="S2758" s="8" t="str">
        <f ca="1">IFERROR(__xludf.DUMMYFUNCTION("""COMPUTED_VALUE"""),"Beside Building")</f>
        <v>Beside Building</v>
      </c>
      <c r="T2758" s="8" t="str">
        <f ca="1">IFERROR(__xludf.DUMMYFUNCTION("""COMPUTED_VALUE"""),"Outside on School Property")</f>
        <v>Outside on School Property</v>
      </c>
      <c r="U2758" s="8" t="str">
        <f ca="1">IFERROR(__xludf.DUMMYFUNCTION("""COMPUTED_VALUE"""),"Yes")</f>
        <v>Yes</v>
      </c>
      <c r="V2758" s="8"/>
      <c r="W2758" s="11">
        <f ca="1">IFERROR(__xludf.DUMMYFUNCTION("""COMPUTED_VALUE"""),0.499305555555555)</f>
        <v>0.499305555555555</v>
      </c>
      <c r="X2758" s="8">
        <f ca="1">IFERROR(__xludf.DUMMYFUNCTION("""COMPUTED_VALUE"""),3)</f>
        <v>3</v>
      </c>
      <c r="Y2758" s="12" t="str">
        <f ca="1">IFERROR(__xludf.DUMMYFUNCTION("""COMPUTED_VALUE"""),"Planned attack, shooter had severe mental illness")</f>
        <v>Planned attack, shooter had severe mental illness</v>
      </c>
      <c r="Z2758" s="12" t="str">
        <f ca="1">IFERROR(__xludf.DUMMYFUNCTION("""COMPUTED_VALUE"""),"The morning of the shooting, an anonymous threat was called into the school. The shooter parked a van full of fireworks near the building and lit it on fire. When students exited the building, he fired for 3 minutes before fatally shooting himself with a "&amp;"pistol. No connection between the shooter and the school. Shooter was a ""troubled drifter"" and unemployed. Drug addition and multiple criminal charges relating to weapons and drugs. The shooter, later identified as Patrick Purdy had attended Cleveland E"&amp;"lementary School from kindergarten until 7th grade. Ignited fireworks in van then fired 105 rounds from an AK-47 bought legally in Oregon. Massacre killed 5 children and injured 30 more children and teachers. Shooter then shot himself with a handgun.")</f>
        <v>The morning of the shooting, an anonymous threat was called into the school. The shooter parked a van full of fireworks near the building and lit it on fire. When students exited the building, he fired for 3 minutes before fatally shooting himself with a pistol. No connection between the shooter and the school. Shooter was a "troubled drifter" and unemployed. Drug addition and multiple criminal charges relating to weapons and drugs. The shooter, later identified as Patrick Purdy had attended Cleveland Elementary School from kindergarten until 7th grade. Ignited fireworks in van then fired 105 rounds from an AK-47 bought legally in Oregon. Massacre killed 5 children and injured 30 more children and teachers. Shooter then shot himself with a handgun.</v>
      </c>
      <c r="AA2758" s="8" t="str">
        <f ca="1">IFERROR(__xludf.DUMMYFUNCTION("""COMPUTED_VALUE"""),"Indiscriminate Shooting")</f>
        <v>Indiscriminate Shooting</v>
      </c>
      <c r="AB2758" s="8"/>
      <c r="AC2758" s="8" t="str">
        <f ca="1">IFERROR(__xludf.DUMMYFUNCTION("""COMPUTED_VALUE"""),"Yes")</f>
        <v>Yes</v>
      </c>
      <c r="AD2758" s="8" t="str">
        <f ca="1">IFERROR(__xludf.DUMMYFUNCTION("""COMPUTED_VALUE"""),"Random Shooting")</f>
        <v>Random Shooting</v>
      </c>
      <c r="AE2758" s="8" t="str">
        <f ca="1">IFERROR(__xludf.DUMMYFUNCTION("""COMPUTED_VALUE"""),"No")</f>
        <v>No</v>
      </c>
      <c r="AF2758" s="8"/>
      <c r="AG2758" s="8" t="str">
        <f ca="1">IFERROR(__xludf.DUMMYFUNCTION("""COMPUTED_VALUE"""),"No")</f>
        <v>No</v>
      </c>
      <c r="AH2758" s="8" t="str">
        <f ca="1">IFERROR(__xludf.DUMMYFUNCTION("""COMPUTED_VALUE"""),"No")</f>
        <v>No</v>
      </c>
      <c r="AI2758" s="8" t="str">
        <f ca="1">IFERROR(__xludf.DUMMYFUNCTION("""COMPUTED_VALUE"""),"No")</f>
        <v>No</v>
      </c>
      <c r="AJ2758" s="8"/>
      <c r="AK2758" s="8" t="str">
        <f ca="1">IFERROR(__xludf.DUMMYFUNCTION("""COMPUTED_VALUE"""),"No")</f>
        <v>No</v>
      </c>
      <c r="AL2758" s="8" t="str">
        <f ca="1">IFERROR(__xludf.DUMMYFUNCTION("""COMPUTED_VALUE"""),"No")</f>
        <v>No</v>
      </c>
      <c r="AM2758" s="8" t="str">
        <f ca="1">IFERROR(__xludf.DUMMYFUNCTION("""COMPUTED_VALUE"""),"Yes")</f>
        <v>Yes</v>
      </c>
      <c r="AN2758" s="8" t="str">
        <f ca="1">IFERROR(__xludf.DUMMYFUNCTION("""COMPUTED_VALUE"""),"Outside")</f>
        <v>Outside</v>
      </c>
      <c r="AO2758" s="8" t="str">
        <f ca="1">IFERROR(__xludf.DUMMYFUNCTION("""COMPUTED_VALUE"""),"Yes")</f>
        <v>Yes</v>
      </c>
      <c r="AP2758" s="8"/>
      <c r="AQ2758" s="8" t="str">
        <f ca="1">IFERROR(__xludf.DUMMYFUNCTION("""COMPUTED_VALUE"""),"Unknown")</f>
        <v>Unknown</v>
      </c>
      <c r="AR2758" s="8" t="str">
        <f ca="1">IFERROR(__xludf.DUMMYFUNCTION("""COMPUTED_VALUE"""),"NA")</f>
        <v>NA</v>
      </c>
      <c r="AS2758" s="8">
        <f ca="1">IFERROR(__xludf.DUMMYFUNCTION("""COMPUTED_VALUE"""),105)</f>
        <v>105</v>
      </c>
      <c r="AT2758" s="8"/>
      <c r="AU2758" s="8">
        <f ca="1">IFERROR(__xludf.DUMMYFUNCTION("""COMPUTED_VALUE"""),37.982488)</f>
        <v>37.982487999999996</v>
      </c>
      <c r="AV2758" s="8">
        <f ca="1">IFERROR(__xludf.DUMMYFUNCTION("""COMPUTED_VALUE"""),-121.301457)</f>
        <v>-121.301457</v>
      </c>
      <c r="AW2758" s="8"/>
      <c r="AX2758" s="8">
        <f ca="1">IFERROR(__xludf.DUMMYFUNCTION("""COMPUTED_VALUE"""),95204)</f>
        <v>95204</v>
      </c>
    </row>
    <row r="2759" spans="1:50" ht="90" x14ac:dyDescent="0.2">
      <c r="A2759" s="8" t="str">
        <f ca="1">IFERROR(__xludf.DUMMYFUNCTION("""COMPUTED_VALUE"""),"19890105ARHEL")</f>
        <v>19890105ARHEL</v>
      </c>
      <c r="B2759" s="8">
        <f ca="1">IFERROR(__xludf.DUMMYFUNCTION("""COMPUTED_VALUE"""),1)</f>
        <v>1</v>
      </c>
      <c r="C2759" s="8">
        <f ca="1">IFERROR(__xludf.DUMMYFUNCTION("""COMPUTED_VALUE"""),5)</f>
        <v>5</v>
      </c>
      <c r="D2759" s="8">
        <f ca="1">IFERROR(__xludf.DUMMYFUNCTION("""COMPUTED_VALUE"""),1989)</f>
        <v>1989</v>
      </c>
      <c r="E2759" s="9">
        <f ca="1">IFERROR(__xludf.DUMMYFUNCTION("""COMPUTED_VALUE"""),32513)</f>
        <v>32513</v>
      </c>
      <c r="F2759" s="8" t="str">
        <f ca="1">IFERROR(__xludf.DUMMYFUNCTION("""COMPUTED_VALUE"""),"Henderson Junior High School")</f>
        <v>Henderson Junior High School</v>
      </c>
      <c r="G2759" s="8">
        <f ca="1">IFERROR(__xludf.DUMMYFUNCTION("""COMPUTED_VALUE"""),1)</f>
        <v>1</v>
      </c>
      <c r="H2759" s="8">
        <f ca="1">IFERROR(__xludf.DUMMYFUNCTION("""COMPUTED_VALUE"""),0)</f>
        <v>0</v>
      </c>
      <c r="I2759" s="8">
        <f ca="1">IFERROR(__xludf.DUMMYFUNCTION("""COMPUTED_VALUE"""),1)</f>
        <v>1</v>
      </c>
      <c r="J2759" s="8">
        <f ca="1">IFERROR(__xludf.DUMMYFUNCTION("""COMPUTED_VALUE"""),0)</f>
        <v>0</v>
      </c>
      <c r="K2759" s="8" t="str">
        <f ca="1">IFERROR(__xludf.DUMMYFUNCTION("""COMPUTED_VALUE"""),"https://www.tulsaworld.com/archive/arkansas-teen-dies-in-school-shooting/article_4283e8e7-79fa-539a-97b5-10c9d0189b3e.html https://www.pressreader.com/usa/arkansas-democrat-gazette/20180318/284447099346596")</f>
        <v>https://www.tulsaworld.com/archive/arkansas-teen-dies-in-school-shooting/article_4283e8e7-79fa-539a-97b5-10c9d0189b3e.html https://www.pressreader.com/usa/arkansas-democrat-gazette/20180318/284447099346596</v>
      </c>
      <c r="L2759" s="8"/>
      <c r="M2759" s="8"/>
      <c r="N2759" s="8">
        <f ca="1">IFERROR(__xludf.DUMMYFUNCTION("""COMPUTED_VALUE"""),3)</f>
        <v>3</v>
      </c>
      <c r="O2759" s="8" t="str">
        <f ca="1">IFERROR(__xludf.DUMMYFUNCTION("""COMPUTED_VALUE"""),"Winter")</f>
        <v>Winter</v>
      </c>
      <c r="P2759" s="8" t="str">
        <f ca="1">IFERROR(__xludf.DUMMYFUNCTION("""COMPUTED_VALUE"""),"Little Rock")</f>
        <v>Little Rock</v>
      </c>
      <c r="Q2759" s="8" t="str">
        <f ca="1">IFERROR(__xludf.DUMMYFUNCTION("""COMPUTED_VALUE"""),"AR")</f>
        <v>AR</v>
      </c>
      <c r="R2759" s="8" t="str">
        <f ca="1">IFERROR(__xludf.DUMMYFUNCTION("""COMPUTED_VALUE"""),"Middle")</f>
        <v>Middle</v>
      </c>
      <c r="S2759" s="8" t="str">
        <f ca="1">IFERROR(__xludf.DUMMYFUNCTION("""COMPUTED_VALUE"""),"Basketball Court")</f>
        <v>Basketball Court</v>
      </c>
      <c r="T2759" s="8" t="str">
        <f ca="1">IFERROR(__xludf.DUMMYFUNCTION("""COMPUTED_VALUE"""),"Outside on School Property")</f>
        <v>Outside on School Property</v>
      </c>
      <c r="U2759" s="8" t="str">
        <f ca="1">IFERROR(__xludf.DUMMYFUNCTION("""COMPUTED_VALUE"""),"Yes")</f>
        <v>Yes</v>
      </c>
      <c r="V2759" s="8" t="str">
        <f ca="1">IFERROR(__xludf.DUMMYFUNCTION("""COMPUTED_VALUE"""),"School Start")</f>
        <v>School Start</v>
      </c>
      <c r="W2759" s="11">
        <f ca="1">IFERROR(__xludf.DUMMYFUNCTION("""COMPUTED_VALUE"""),0.333333333333333)</f>
        <v>0.33333333333333298</v>
      </c>
      <c r="X2759" s="8">
        <f ca="1">IFERROR(__xludf.DUMMYFUNCTION("""COMPUTED_VALUE"""),1)</f>
        <v>1</v>
      </c>
      <c r="Y2759" s="12" t="str">
        <f ca="1">IFERROR(__xludf.DUMMYFUNCTION("""COMPUTED_VALUE"""),"19-year-old male shot 16-year-old student on the basketball court as school was opening")</f>
        <v>19-year-old male shot 16-year-old student on the basketball court as school was opening</v>
      </c>
      <c r="Z2759" s="12" t="str">
        <f ca="1">IFERROR(__xludf.DUMMYFUNCTION("""COMPUTED_VALUE"""),"19 year-old male shooter shot and killed a 16 year-old male student (Edward Burnett) on the basketball court of the school 10 minutes prior to the school opening. Other students and staff were present and saw the shooting occur. The victim was shot in the"&amp;" chest and died. Police said the motive was unknown.")</f>
        <v>19 year-old male shooter shot and killed a 16 year-old male student (Edward Burnett) on the basketball court of the school 10 minutes prior to the school opening. Other students and staff were present and saw the shooting occur. The victim was shot in the chest and died. Police said the motive was unknown.</v>
      </c>
      <c r="AA2759" s="8" t="str">
        <f ca="1">IFERROR(__xludf.DUMMYFUNCTION("""COMPUTED_VALUE"""),"Escalation of Dispute")</f>
        <v>Escalation of Dispute</v>
      </c>
      <c r="AB2759" s="8"/>
      <c r="AC2759" s="8"/>
      <c r="AD2759" s="8" t="str">
        <f ca="1">IFERROR(__xludf.DUMMYFUNCTION("""COMPUTED_VALUE"""),"Victims Targeted")</f>
        <v>Victims Targeted</v>
      </c>
      <c r="AE2759" s="8" t="str">
        <f ca="1">IFERROR(__xludf.DUMMYFUNCTION("""COMPUTED_VALUE"""),"No")</f>
        <v>No</v>
      </c>
      <c r="AF2759" s="8"/>
      <c r="AG2759" s="8" t="str">
        <f ca="1">IFERROR(__xludf.DUMMYFUNCTION("""COMPUTED_VALUE"""),"No")</f>
        <v>No</v>
      </c>
      <c r="AH2759" s="8"/>
      <c r="AI2759" s="8" t="str">
        <f ca="1">IFERROR(__xludf.DUMMYFUNCTION("""COMPUTED_VALUE"""),"No")</f>
        <v>No</v>
      </c>
      <c r="AJ2759" s="8" t="str">
        <f ca="1">IFERROR(__xludf.DUMMYFUNCTION("""COMPUTED_VALUE"""),"No")</f>
        <v>No</v>
      </c>
      <c r="AK2759" s="8" t="str">
        <f ca="1">IFERROR(__xludf.DUMMYFUNCTION("""COMPUTED_VALUE"""),"No")</f>
        <v>No</v>
      </c>
      <c r="AL2759" s="8"/>
      <c r="AM2759" s="8" t="str">
        <f ca="1">IFERROR(__xludf.DUMMYFUNCTION("""COMPUTED_VALUE"""),"No")</f>
        <v>No</v>
      </c>
      <c r="AN2759" s="8"/>
      <c r="AO2759" s="8" t="str">
        <f ca="1">IFERROR(__xludf.DUMMYFUNCTION("""COMPUTED_VALUE"""),"No")</f>
        <v>No</v>
      </c>
      <c r="AP2759" s="8"/>
      <c r="AQ2759" s="8" t="str">
        <f ca="1">IFERROR(__xludf.DUMMYFUNCTION("""COMPUTED_VALUE"""),"Unknown")</f>
        <v>Unknown</v>
      </c>
      <c r="AR2759" s="8" t="str">
        <f ca="1">IFERROR(__xludf.DUMMYFUNCTION("""COMPUTED_VALUE"""),"NA")</f>
        <v>NA</v>
      </c>
      <c r="AS2759" s="8">
        <f ca="1">IFERROR(__xludf.DUMMYFUNCTION("""COMPUTED_VALUE"""),1)</f>
        <v>1</v>
      </c>
      <c r="AT2759" s="8"/>
      <c r="AU2759" s="8">
        <f ca="1">IFERROR(__xludf.DUMMYFUNCTION("""COMPUTED_VALUE"""),34.74868)</f>
        <v>34.74868</v>
      </c>
      <c r="AV2759" s="8">
        <f ca="1">IFERROR(__xludf.DUMMYFUNCTION("""COMPUTED_VALUE"""),-92.370289)</f>
        <v>-92.370289</v>
      </c>
      <c r="AW2759" s="8"/>
      <c r="AX2759" s="8">
        <f ca="1">IFERROR(__xludf.DUMMYFUNCTION("""COMPUTED_VALUE"""),72205)</f>
        <v>72205</v>
      </c>
    </row>
    <row r="2760" spans="1:50" ht="165" x14ac:dyDescent="0.2">
      <c r="A2760" s="8" t="str">
        <f ca="1">IFERROR(__xludf.DUMMYFUNCTION("""COMPUTED_VALUE"""),"19881216VAATV")</f>
        <v>19881216VAATV</v>
      </c>
      <c r="B2760" s="8">
        <f ca="1">IFERROR(__xludf.DUMMYFUNCTION("""COMPUTED_VALUE"""),12)</f>
        <v>12</v>
      </c>
      <c r="C2760" s="8">
        <f ca="1">IFERROR(__xludf.DUMMYFUNCTION("""COMPUTED_VALUE"""),16)</f>
        <v>16</v>
      </c>
      <c r="D2760" s="8">
        <f ca="1">IFERROR(__xludf.DUMMYFUNCTION("""COMPUTED_VALUE"""),1988)</f>
        <v>1988</v>
      </c>
      <c r="E2760" s="9">
        <f ca="1">IFERROR(__xludf.DUMMYFUNCTION("""COMPUTED_VALUE"""),32493)</f>
        <v>32493</v>
      </c>
      <c r="F2760" s="8" t="str">
        <f ca="1">IFERROR(__xludf.DUMMYFUNCTION("""COMPUTED_VALUE"""),"Atlantic Shores Christian School")</f>
        <v>Atlantic Shores Christian School</v>
      </c>
      <c r="G2760" s="8">
        <f ca="1">IFERROR(__xludf.DUMMYFUNCTION("""COMPUTED_VALUE"""),1)</f>
        <v>1</v>
      </c>
      <c r="H2760" s="8">
        <f ca="1">IFERROR(__xludf.DUMMYFUNCTION("""COMPUTED_VALUE"""),1)</f>
        <v>1</v>
      </c>
      <c r="I2760" s="8">
        <f ca="1">IFERROR(__xludf.DUMMYFUNCTION("""COMPUTED_VALUE"""),2)</f>
        <v>2</v>
      </c>
      <c r="J2760" s="8">
        <f ca="1">IFERROR(__xludf.DUMMYFUNCTION("""COMPUTED_VALUE"""),0)</f>
        <v>0</v>
      </c>
      <c r="K2760" s="8" t="str">
        <f ca="1">IFERROR(__xludf.DUMMYFUNCTION("""COMPUTED_VALUE"""),"http://articles.dailypress.com/1989-12-13/news/8912130120_1_mr-elliott-nicholas-elliott-portable-classroom  https://www.nytimes.com/1988/12/17/us/student-with-pistol-kills-one-teacher-and-injures-another.html;  https://www.newspapers.com/image/232774056/ "&amp;"  https://schoolshooters.info/nicholas-elliott")</f>
        <v>http://articles.dailypress.com/1989-12-13/news/8912130120_1_mr-elliott-nicholas-elliott-portable-classroom  https://www.nytimes.com/1988/12/17/us/student-with-pistol-kills-one-teacher-and-injures-another.html;  https://www.newspapers.com/image/232774056/   https://schoolshooters.info/nicholas-elliott</v>
      </c>
      <c r="L2760" s="8"/>
      <c r="M2760" s="8" t="str">
        <f ca="1">IFERROR(__xludf.DUMMYFUNCTION("""COMPUTED_VALUE"""),"National")</f>
        <v>National</v>
      </c>
      <c r="N2760" s="8">
        <f ca="1">IFERROR(__xludf.DUMMYFUNCTION("""COMPUTED_VALUE"""),3)</f>
        <v>3</v>
      </c>
      <c r="O2760" s="8" t="str">
        <f ca="1">IFERROR(__xludf.DUMMYFUNCTION("""COMPUTED_VALUE"""),"Winter")</f>
        <v>Winter</v>
      </c>
      <c r="P2760" s="8" t="str">
        <f ca="1">IFERROR(__xludf.DUMMYFUNCTION("""COMPUTED_VALUE"""),"Virginia Beach")</f>
        <v>Virginia Beach</v>
      </c>
      <c r="Q2760" s="8" t="str">
        <f ca="1">IFERROR(__xludf.DUMMYFUNCTION("""COMPUTED_VALUE"""),"VA")</f>
        <v>VA</v>
      </c>
      <c r="R2760" s="8" t="str">
        <f ca="1">IFERROR(__xludf.DUMMYFUNCTION("""COMPUTED_VALUE"""),"K-12")</f>
        <v>K-12</v>
      </c>
      <c r="S2760" s="8" t="str">
        <f ca="1">IFERROR(__xludf.DUMMYFUNCTION("""COMPUTED_VALUE"""),"Classroom")</f>
        <v>Classroom</v>
      </c>
      <c r="T2760" s="8" t="str">
        <f ca="1">IFERROR(__xludf.DUMMYFUNCTION("""COMPUTED_VALUE"""),"Inside School Building")</f>
        <v>Inside School Building</v>
      </c>
      <c r="U2760" s="8" t="str">
        <f ca="1">IFERROR(__xludf.DUMMYFUNCTION("""COMPUTED_VALUE"""),"Yes")</f>
        <v>Yes</v>
      </c>
      <c r="V2760" s="8" t="str">
        <f ca="1">IFERROR(__xludf.DUMMYFUNCTION("""COMPUTED_VALUE"""),"Morning Classes")</f>
        <v>Morning Classes</v>
      </c>
      <c r="W2760" s="11">
        <f ca="1">IFERROR(__xludf.DUMMYFUNCTION("""COMPUTED_VALUE"""),0.4375)</f>
        <v>0.4375</v>
      </c>
      <c r="X2760" s="8">
        <f ca="1">IFERROR(__xludf.DUMMYFUNCTION("""COMPUTED_VALUE"""),1)</f>
        <v>1</v>
      </c>
      <c r="Y2760" s="12" t="str">
        <f ca="1">IFERROR(__xludf.DUMMYFUNCTION("""COMPUTED_VALUE"""),"Killed two teachers and pointed gun at class but it jammed; bullied extensively")</f>
        <v>Killed two teachers and pointed gun at class but it jammed; bullied extensively</v>
      </c>
      <c r="Z2760" s="12" t="str">
        <f ca="1">IFERROR(__xludf.DUMMYFUNCTION("""COMPUTED_VALUE"""),"Shooter took a MAC 10 pistol, pipe bombs, and molotov cocktails to school building. Shot and injured one teacher then walked into a classroom. Shot and killed the teacher and pointed the gun at a student saying ""Jake I'm going to kill you"". The gun jamm"&amp;"ed and students and another teacher were able to tackle the shooter. The targeted victim had said racial slurs to the victim the prior day. While in custody, a psychologist evaluated the shooter and said he had multiple mental health issues including atte"&amp;"mpting suicide, depression, and learning disabilities giving him a low emotional intelligence and lack of understanding of events.")</f>
        <v>Shooter took a MAC 10 pistol, pipe bombs, and molotov cocktails to school building. Shot and injured one teacher then walked into a classroom. Shot and killed the teacher and pointed the gun at a student saying "Jake I'm going to kill you". The gun jammed and students and another teacher were able to tackle the shooter. The targeted victim had said racial slurs to the victim the prior day. While in custody, a psychologist evaluated the shooter and said he had multiple mental health issues including attempting suicide, depression, and learning disabilities giving him a low emotional intelligence and lack of understanding of events.</v>
      </c>
      <c r="AA2760" s="8" t="str">
        <f ca="1">IFERROR(__xludf.DUMMYFUNCTION("""COMPUTED_VALUE"""),"Bullying")</f>
        <v>Bullying</v>
      </c>
      <c r="AB2760" s="8"/>
      <c r="AC2760" s="8" t="str">
        <f ca="1">IFERROR(__xludf.DUMMYFUNCTION("""COMPUTED_VALUE"""),"Yes")</f>
        <v>Yes</v>
      </c>
      <c r="AD2760" s="8" t="str">
        <f ca="1">IFERROR(__xludf.DUMMYFUNCTION("""COMPUTED_VALUE"""),"Both")</f>
        <v>Both</v>
      </c>
      <c r="AE2760" s="8" t="str">
        <f ca="1">IFERROR(__xludf.DUMMYFUNCTION("""COMPUTED_VALUE"""),"No")</f>
        <v>No</v>
      </c>
      <c r="AF2760" s="8"/>
      <c r="AG2760" s="8" t="str">
        <f ca="1">IFERROR(__xludf.DUMMYFUNCTION("""COMPUTED_VALUE"""),"No")</f>
        <v>No</v>
      </c>
      <c r="AH2760" s="8" t="str">
        <f ca="1">IFERROR(__xludf.DUMMYFUNCTION("""COMPUTED_VALUE"""),"No")</f>
        <v>No</v>
      </c>
      <c r="AI2760" s="8" t="str">
        <f ca="1">IFERROR(__xludf.DUMMYFUNCTION("""COMPUTED_VALUE"""),"No")</f>
        <v>No</v>
      </c>
      <c r="AJ2760" s="8" t="str">
        <f ca="1">IFERROR(__xludf.DUMMYFUNCTION("""COMPUTED_VALUE"""),"Yes")</f>
        <v>Yes</v>
      </c>
      <c r="AK2760" s="8" t="str">
        <f ca="1">IFERROR(__xludf.DUMMYFUNCTION("""COMPUTED_VALUE"""),"No")</f>
        <v>No</v>
      </c>
      <c r="AL2760" s="8" t="str">
        <f ca="1">IFERROR(__xludf.DUMMYFUNCTION("""COMPUTED_VALUE"""),"No")</f>
        <v>No</v>
      </c>
      <c r="AM2760" s="8" t="str">
        <f ca="1">IFERROR(__xludf.DUMMYFUNCTION("""COMPUTED_VALUE"""),"Yes")</f>
        <v>Yes</v>
      </c>
      <c r="AN2760" s="8" t="str">
        <f ca="1">IFERROR(__xludf.DUMMYFUNCTION("""COMPUTED_VALUE"""),"Single Room")</f>
        <v>Single Room</v>
      </c>
      <c r="AO2760" s="8" t="str">
        <f ca="1">IFERROR(__xludf.DUMMYFUNCTION("""COMPUTED_VALUE"""),"Yes")</f>
        <v>Yes</v>
      </c>
      <c r="AP2760" s="8"/>
      <c r="AQ2760" s="8" t="str">
        <f ca="1">IFERROR(__xludf.DUMMYFUNCTION("""COMPUTED_VALUE"""),"Unknown")</f>
        <v>Unknown</v>
      </c>
      <c r="AR2760" s="8" t="str">
        <f ca="1">IFERROR(__xludf.DUMMYFUNCTION("""COMPUTED_VALUE"""),"NA")</f>
        <v>NA</v>
      </c>
      <c r="AS2760" s="8"/>
      <c r="AT2760" s="8"/>
      <c r="AU2760" s="8">
        <f ca="1">IFERROR(__xludf.DUMMYFUNCTION("""COMPUTED_VALUE"""),36.760272)</f>
        <v>36.760272000000001</v>
      </c>
      <c r="AV2760" s="8">
        <f ca="1">IFERROR(__xludf.DUMMYFUNCTION("""COMPUTED_VALUE"""),-76.184426)</f>
        <v>-76.184426000000002</v>
      </c>
      <c r="AW2760" s="8"/>
      <c r="AX2760" s="8">
        <f ca="1">IFERROR(__xludf.DUMMYFUNCTION("""COMPUTED_VALUE"""),23320)</f>
        <v>23320</v>
      </c>
    </row>
    <row r="2761" spans="1:50" ht="60" x14ac:dyDescent="0.2">
      <c r="A2761" s="8" t="str">
        <f ca="1">IFERROR(__xludf.DUMMYFUNCTION("""COMPUTED_VALUE"""),"19881122TXABA")</f>
        <v>19881122TXABA</v>
      </c>
      <c r="B2761" s="8">
        <f ca="1">IFERROR(__xludf.DUMMYFUNCTION("""COMPUTED_VALUE"""),11)</f>
        <v>11</v>
      </c>
      <c r="C2761" s="8">
        <f ca="1">IFERROR(__xludf.DUMMYFUNCTION("""COMPUTED_VALUE"""),22)</f>
        <v>22</v>
      </c>
      <c r="D2761" s="8">
        <f ca="1">IFERROR(__xludf.DUMMYFUNCTION("""COMPUTED_VALUE"""),1988)</f>
        <v>1988</v>
      </c>
      <c r="E2761" s="9">
        <f ca="1">IFERROR(__xludf.DUMMYFUNCTION("""COMPUTED_VALUE"""),32469)</f>
        <v>32469</v>
      </c>
      <c r="F2761" s="8" t="str">
        <f ca="1">IFERROR(__xludf.DUMMYFUNCTION("""COMPUTED_VALUE"""),"Abilene Cooper High School")</f>
        <v>Abilene Cooper High School</v>
      </c>
      <c r="G2761" s="8">
        <f ca="1">IFERROR(__xludf.DUMMYFUNCTION("""COMPUTED_VALUE"""),0)</f>
        <v>0</v>
      </c>
      <c r="H2761" s="8">
        <f ca="1">IFERROR(__xludf.DUMMYFUNCTION("""COMPUTED_VALUE"""),1)</f>
        <v>1</v>
      </c>
      <c r="I2761" s="8">
        <f ca="1">IFERROR(__xludf.DUMMYFUNCTION("""COMPUTED_VALUE"""),1)</f>
        <v>1</v>
      </c>
      <c r="J2761" s="8">
        <f ca="1">IFERROR(__xludf.DUMMYFUNCTION("""COMPUTED_VALUE"""),0)</f>
        <v>0</v>
      </c>
      <c r="K2761" s="10" t="str">
        <f ca="1">IFERROR(__xludf.DUMMYFUNCTION("""COMPUTED_VALUE"""),"https://www.upi.com/Archives/1988/11/22/High-school-student-shoots-history-teacher-in-face/3742596178000/")</f>
        <v>https://www.upi.com/Archives/1988/11/22/High-school-student-shoots-history-teacher-in-face/3742596178000/</v>
      </c>
      <c r="L2761" s="8"/>
      <c r="M2761" s="8"/>
      <c r="N2761" s="8">
        <f ca="1">IFERROR(__xludf.DUMMYFUNCTION("""COMPUTED_VALUE"""),2)</f>
        <v>2</v>
      </c>
      <c r="O2761" s="8" t="str">
        <f ca="1">IFERROR(__xludf.DUMMYFUNCTION("""COMPUTED_VALUE"""),"Fall")</f>
        <v>Fall</v>
      </c>
      <c r="P2761" s="8" t="str">
        <f ca="1">IFERROR(__xludf.DUMMYFUNCTION("""COMPUTED_VALUE"""),"Abilene")</f>
        <v>Abilene</v>
      </c>
      <c r="Q2761" s="8" t="str">
        <f ca="1">IFERROR(__xludf.DUMMYFUNCTION("""COMPUTED_VALUE"""),"TX")</f>
        <v>TX</v>
      </c>
      <c r="R2761" s="8" t="str">
        <f ca="1">IFERROR(__xludf.DUMMYFUNCTION("""COMPUTED_VALUE"""),"High")</f>
        <v>High</v>
      </c>
      <c r="S2761" s="8" t="str">
        <f ca="1">IFERROR(__xludf.DUMMYFUNCTION("""COMPUTED_VALUE"""),"Classroom")</f>
        <v>Classroom</v>
      </c>
      <c r="T2761" s="8" t="str">
        <f ca="1">IFERROR(__xludf.DUMMYFUNCTION("""COMPUTED_VALUE"""),"Inside School Building")</f>
        <v>Inside School Building</v>
      </c>
      <c r="U2761" s="8" t="str">
        <f ca="1">IFERROR(__xludf.DUMMYFUNCTION("""COMPUTED_VALUE"""),"Yes")</f>
        <v>Yes</v>
      </c>
      <c r="V2761" s="8" t="str">
        <f ca="1">IFERROR(__xludf.DUMMYFUNCTION("""COMPUTED_VALUE"""),"Morning Classes")</f>
        <v>Morning Classes</v>
      </c>
      <c r="W2761" s="8"/>
      <c r="X2761" s="8"/>
      <c r="Y2761" s="12" t="str">
        <f ca="1">IFERROR(__xludf.DUMMYFUNCTION("""COMPUTED_VALUE"""),"Student shot teacher in the face and walked out of classroom")</f>
        <v>Student shot teacher in the face and walked out of classroom</v>
      </c>
      <c r="Z2761" s="12" t="str">
        <f ca="1">IFERROR(__xludf.DUMMYFUNCTION("""COMPUTED_VALUE"""),"Shooter walked into the classroom, pulled a pistol, shot the teacher in the face, and walked out of the classroom. Shooter did not say anything.")</f>
        <v>Shooter walked into the classroom, pulled a pistol, shot the teacher in the face, and walked out of the classroom. Shooter did not say anything.</v>
      </c>
      <c r="AA2761" s="8" t="str">
        <f ca="1">IFERROR(__xludf.DUMMYFUNCTION("""COMPUTED_VALUE"""),"Anger Over Grade/Suspension/Discipline")</f>
        <v>Anger Over Grade/Suspension/Discipline</v>
      </c>
      <c r="AB2761" s="8"/>
      <c r="AC2761" s="8"/>
      <c r="AD2761" s="8" t="str">
        <f ca="1">IFERROR(__xludf.DUMMYFUNCTION("""COMPUTED_VALUE"""),"Victims Targeted")</f>
        <v>Victims Targeted</v>
      </c>
      <c r="AE2761" s="8" t="str">
        <f ca="1">IFERROR(__xludf.DUMMYFUNCTION("""COMPUTED_VALUE"""),"No")</f>
        <v>No</v>
      </c>
      <c r="AF2761" s="8"/>
      <c r="AG2761" s="8" t="str">
        <f ca="1">IFERROR(__xludf.DUMMYFUNCTION("""COMPUTED_VALUE"""),"No")</f>
        <v>No</v>
      </c>
      <c r="AH2761" s="8" t="str">
        <f ca="1">IFERROR(__xludf.DUMMYFUNCTION("""COMPUTED_VALUE"""),"No")</f>
        <v>No</v>
      </c>
      <c r="AI2761" s="8" t="str">
        <f ca="1">IFERROR(__xludf.DUMMYFUNCTION("""COMPUTED_VALUE"""),"No")</f>
        <v>No</v>
      </c>
      <c r="AJ2761" s="8"/>
      <c r="AK2761" s="8" t="str">
        <f ca="1">IFERROR(__xludf.DUMMYFUNCTION("""COMPUTED_VALUE"""),"No")</f>
        <v>No</v>
      </c>
      <c r="AL2761" s="8" t="str">
        <f ca="1">IFERROR(__xludf.DUMMYFUNCTION("""COMPUTED_VALUE"""),"No")</f>
        <v>No</v>
      </c>
      <c r="AM2761" s="8"/>
      <c r="AN2761" s="8"/>
      <c r="AO2761" s="8" t="str">
        <f ca="1">IFERROR(__xludf.DUMMYFUNCTION("""COMPUTED_VALUE"""),"No")</f>
        <v>No</v>
      </c>
      <c r="AP2761" s="8"/>
      <c r="AQ2761" s="8" t="str">
        <f ca="1">IFERROR(__xludf.DUMMYFUNCTION("""COMPUTED_VALUE"""),"Unknown")</f>
        <v>Unknown</v>
      </c>
      <c r="AR2761" s="8" t="str">
        <f ca="1">IFERROR(__xludf.DUMMYFUNCTION("""COMPUTED_VALUE"""),"NA")</f>
        <v>NA</v>
      </c>
      <c r="AS2761" s="8"/>
      <c r="AT2761" s="8"/>
      <c r="AU2761" s="8">
        <f ca="1">IFERROR(__xludf.DUMMYFUNCTION("""COMPUTED_VALUE"""),32.406351)</f>
        <v>32.406351000000001</v>
      </c>
      <c r="AV2761" s="8">
        <f ca="1">IFERROR(__xludf.DUMMYFUNCTION("""COMPUTED_VALUE"""),-99.748875)</f>
        <v>-99.748874999999998</v>
      </c>
      <c r="AW2761" s="8"/>
      <c r="AX2761" s="8">
        <f ca="1">IFERROR(__xludf.DUMMYFUNCTION("""COMPUTED_VALUE"""),79605)</f>
        <v>79605</v>
      </c>
    </row>
    <row r="2762" spans="1:50" ht="60" x14ac:dyDescent="0.2">
      <c r="A2762" s="8" t="str">
        <f ca="1">IFERROR(__xludf.DUMMYFUNCTION("""COMPUTED_VALUE"""),"19881107UTGLS")</f>
        <v>19881107UTGLS</v>
      </c>
      <c r="B2762" s="8">
        <f ca="1">IFERROR(__xludf.DUMMYFUNCTION("""COMPUTED_VALUE"""),11)</f>
        <v>11</v>
      </c>
      <c r="C2762" s="8">
        <f ca="1">IFERROR(__xludf.DUMMYFUNCTION("""COMPUTED_VALUE"""),7)</f>
        <v>7</v>
      </c>
      <c r="D2762" s="8">
        <f ca="1">IFERROR(__xludf.DUMMYFUNCTION("""COMPUTED_VALUE"""),1988)</f>
        <v>1988</v>
      </c>
      <c r="E2762" s="9">
        <f ca="1">IFERROR(__xludf.DUMMYFUNCTION("""COMPUTED_VALUE"""),32454)</f>
        <v>32454</v>
      </c>
      <c r="F2762" s="8" t="str">
        <f ca="1">IFERROR(__xludf.DUMMYFUNCTION("""COMPUTED_VALUE"""),"Glendale Intermediate School")</f>
        <v>Glendale Intermediate School</v>
      </c>
      <c r="G2762" s="8">
        <f ca="1">IFERROR(__xludf.DUMMYFUNCTION("""COMPUTED_VALUE"""),0)</f>
        <v>0</v>
      </c>
      <c r="H2762" s="8">
        <f ca="1">IFERROR(__xludf.DUMMYFUNCTION("""COMPUTED_VALUE"""),1)</f>
        <v>1</v>
      </c>
      <c r="I2762" s="8">
        <f ca="1">IFERROR(__xludf.DUMMYFUNCTION("""COMPUTED_VALUE"""),1)</f>
        <v>1</v>
      </c>
      <c r="J2762" s="8">
        <f ca="1">IFERROR(__xludf.DUMMYFUNCTION("""COMPUTED_VALUE"""),0)</f>
        <v>0</v>
      </c>
      <c r="K2762" s="10" t="str">
        <f ca="1">IFERROR(__xludf.DUMMYFUNCTION("""COMPUTED_VALUE"""),"https://www.deseretnews.com/article/34103/OFFICERS-SEEKING-ANSWERS-AFTER-JUNIOR-HIGH-SHOOTING.html")</f>
        <v>https://www.deseretnews.com/article/34103/OFFICERS-SEEKING-ANSWERS-AFTER-JUNIOR-HIGH-SHOOTING.html</v>
      </c>
      <c r="L2762" s="8"/>
      <c r="M2762" s="8"/>
      <c r="N2762" s="8">
        <f ca="1">IFERROR(__xludf.DUMMYFUNCTION("""COMPUTED_VALUE"""),2)</f>
        <v>2</v>
      </c>
      <c r="O2762" s="8" t="str">
        <f ca="1">IFERROR(__xludf.DUMMYFUNCTION("""COMPUTED_VALUE"""),"Fall")</f>
        <v>Fall</v>
      </c>
      <c r="P2762" s="8" t="str">
        <f ca="1">IFERROR(__xludf.DUMMYFUNCTION("""COMPUTED_VALUE"""),"Salt Lake City")</f>
        <v>Salt Lake City</v>
      </c>
      <c r="Q2762" s="8" t="str">
        <f ca="1">IFERROR(__xludf.DUMMYFUNCTION("""COMPUTED_VALUE"""),"UT")</f>
        <v>UT</v>
      </c>
      <c r="R2762" s="8" t="str">
        <f ca="1">IFERROR(__xludf.DUMMYFUNCTION("""COMPUTED_VALUE"""),"Middle")</f>
        <v>Middle</v>
      </c>
      <c r="S2762" s="8" t="str">
        <f ca="1">IFERROR(__xludf.DUMMYFUNCTION("""COMPUTED_VALUE"""),"Classroom")</f>
        <v>Classroom</v>
      </c>
      <c r="T2762" s="8" t="str">
        <f ca="1">IFERROR(__xludf.DUMMYFUNCTION("""COMPUTED_VALUE"""),"Inside School Building")</f>
        <v>Inside School Building</v>
      </c>
      <c r="U2762" s="8" t="str">
        <f ca="1">IFERROR(__xludf.DUMMYFUNCTION("""COMPUTED_VALUE"""),"Yes")</f>
        <v>Yes</v>
      </c>
      <c r="V2762" s="8"/>
      <c r="W2762" s="8"/>
      <c r="X2762" s="8">
        <f ca="1">IFERROR(__xludf.DUMMYFUNCTION("""COMPUTED_VALUE"""),1)</f>
        <v>1</v>
      </c>
      <c r="Y2762" s="12" t="str">
        <f ca="1">IFERROR(__xludf.DUMMYFUNCTION("""COMPUTED_VALUE"""),"Accidental Discharge while showing the gun off in classroom")</f>
        <v>Accidental Discharge while showing the gun off in classroom</v>
      </c>
      <c r="Z2762" s="12" t="str">
        <f ca="1">IFERROR(__xludf.DUMMYFUNCTION("""COMPUTED_VALUE"""),"Accidental discharge while showing .22 handgun off in classroom.")</f>
        <v>Accidental discharge while showing .22 handgun off in classroom.</v>
      </c>
      <c r="AA2762" s="8" t="str">
        <f ca="1">IFERROR(__xludf.DUMMYFUNCTION("""COMPUTED_VALUE"""),"Accidental")</f>
        <v>Accidental</v>
      </c>
      <c r="AB2762" s="8"/>
      <c r="AC2762" s="8"/>
      <c r="AD2762" s="8"/>
      <c r="AE2762" s="8" t="str">
        <f ca="1">IFERROR(__xludf.DUMMYFUNCTION("""COMPUTED_VALUE"""),"No")</f>
        <v>No</v>
      </c>
      <c r="AF2762" s="8"/>
      <c r="AG2762" s="8" t="str">
        <f ca="1">IFERROR(__xludf.DUMMYFUNCTION("""COMPUTED_VALUE"""),"No")</f>
        <v>No</v>
      </c>
      <c r="AH2762" s="8" t="str">
        <f ca="1">IFERROR(__xludf.DUMMYFUNCTION("""COMPUTED_VALUE"""),"No")</f>
        <v>No</v>
      </c>
      <c r="AI2762" s="8" t="str">
        <f ca="1">IFERROR(__xludf.DUMMYFUNCTION("""COMPUTED_VALUE"""),"No")</f>
        <v>No</v>
      </c>
      <c r="AJ2762" s="8"/>
      <c r="AK2762" s="8" t="str">
        <f ca="1">IFERROR(__xludf.DUMMYFUNCTION("""COMPUTED_VALUE"""),"No")</f>
        <v>No</v>
      </c>
      <c r="AL2762" s="8" t="str">
        <f ca="1">IFERROR(__xludf.DUMMYFUNCTION("""COMPUTED_VALUE"""),"No")</f>
        <v>No</v>
      </c>
      <c r="AM2762" s="8"/>
      <c r="AN2762" s="8"/>
      <c r="AO2762" s="8" t="str">
        <f ca="1">IFERROR(__xludf.DUMMYFUNCTION("""COMPUTED_VALUE"""),"No")</f>
        <v>No</v>
      </c>
      <c r="AP2762" s="8"/>
      <c r="AQ2762" s="8" t="str">
        <f ca="1">IFERROR(__xludf.DUMMYFUNCTION("""COMPUTED_VALUE"""),"Unknown")</f>
        <v>Unknown</v>
      </c>
      <c r="AR2762" s="8" t="str">
        <f ca="1">IFERROR(__xludf.DUMMYFUNCTION("""COMPUTED_VALUE"""),"NA")</f>
        <v>NA</v>
      </c>
      <c r="AS2762" s="8">
        <f ca="1">IFERROR(__xludf.DUMMYFUNCTION("""COMPUTED_VALUE"""),1)</f>
        <v>1</v>
      </c>
      <c r="AT2762" s="8"/>
      <c r="AU2762" s="8">
        <f ca="1">IFERROR(__xludf.DUMMYFUNCTION("""COMPUTED_VALUE"""),40.737587)</f>
        <v>40.737586999999998</v>
      </c>
      <c r="AV2762" s="8">
        <f ca="1">IFERROR(__xludf.DUMMYFUNCTION("""COMPUTED_VALUE"""),-111.930368)</f>
        <v>-111.930368</v>
      </c>
      <c r="AW2762" s="8"/>
      <c r="AX2762" s="8">
        <f ca="1">IFERROR(__xludf.DUMMYFUNCTION("""COMPUTED_VALUE"""),84104)</f>
        <v>84104</v>
      </c>
    </row>
    <row r="2763" spans="1:50" ht="75" x14ac:dyDescent="0.2">
      <c r="A2763" s="8" t="str">
        <f ca="1">IFERROR(__xludf.DUMMYFUNCTION("""COMPUTED_VALUE"""),"19881101FLPAJ")</f>
        <v>19881101FLPAJ</v>
      </c>
      <c r="B2763" s="8">
        <f ca="1">IFERROR(__xludf.DUMMYFUNCTION("""COMPUTED_VALUE"""),11)</f>
        <v>11</v>
      </c>
      <c r="C2763" s="8">
        <f ca="1">IFERROR(__xludf.DUMMYFUNCTION("""COMPUTED_VALUE"""),1)</f>
        <v>1</v>
      </c>
      <c r="D2763" s="8">
        <f ca="1">IFERROR(__xludf.DUMMYFUNCTION("""COMPUTED_VALUE"""),1988)</f>
        <v>1988</v>
      </c>
      <c r="E2763" s="9">
        <f ca="1">IFERROR(__xludf.DUMMYFUNCTION("""COMPUTED_VALUE"""),32448)</f>
        <v>32448</v>
      </c>
      <c r="F2763" s="8" t="str">
        <f ca="1">IFERROR(__xludf.DUMMYFUNCTION("""COMPUTED_VALUE"""),"Paxon High School")</f>
        <v>Paxon High School</v>
      </c>
      <c r="G2763" s="8">
        <f ca="1">IFERROR(__xludf.DUMMYFUNCTION("""COMPUTED_VALUE"""),0)</f>
        <v>0</v>
      </c>
      <c r="H2763" s="8">
        <f ca="1">IFERROR(__xludf.DUMMYFUNCTION("""COMPUTED_VALUE"""),0)</f>
        <v>0</v>
      </c>
      <c r="I2763" s="8">
        <f ca="1">IFERROR(__xludf.DUMMYFUNCTION("""COMPUTED_VALUE"""),0)</f>
        <v>0</v>
      </c>
      <c r="J2763" s="8">
        <f ca="1">IFERROR(__xludf.DUMMYFUNCTION("""COMPUTED_VALUE"""),0)</f>
        <v>0</v>
      </c>
      <c r="K2763" s="10" t="str">
        <f ca="1">IFERROR(__xludf.DUMMYFUNCTION("""COMPUTED_VALUE"""),"https://www.newspapers.com/image/177559696/?terms=jacksonville%2Bhigh%2Bschool%2Bshooting")</f>
        <v>https://www.newspapers.com/image/177559696/?terms=jacksonville%2Bhigh%2Bschool%2Bshooting</v>
      </c>
      <c r="L2763" s="8"/>
      <c r="M2763" s="8"/>
      <c r="N2763" s="8">
        <f ca="1">IFERROR(__xludf.DUMMYFUNCTION("""COMPUTED_VALUE"""),2)</f>
        <v>2</v>
      </c>
      <c r="O2763" s="8" t="str">
        <f ca="1">IFERROR(__xludf.DUMMYFUNCTION("""COMPUTED_VALUE"""),"Fall")</f>
        <v>Fall</v>
      </c>
      <c r="P2763" s="8" t="str">
        <f ca="1">IFERROR(__xludf.DUMMYFUNCTION("""COMPUTED_VALUE"""),"Jacksonville")</f>
        <v>Jacksonville</v>
      </c>
      <c r="Q2763" s="8" t="str">
        <f ca="1">IFERROR(__xludf.DUMMYFUNCTION("""COMPUTED_VALUE"""),"FL")</f>
        <v>FL</v>
      </c>
      <c r="R2763" s="8" t="str">
        <f ca="1">IFERROR(__xludf.DUMMYFUNCTION("""COMPUTED_VALUE"""),"High")</f>
        <v>High</v>
      </c>
      <c r="S2763" s="8" t="str">
        <f ca="1">IFERROR(__xludf.DUMMYFUNCTION("""COMPUTED_VALUE"""),"Inside School Building")</f>
        <v>Inside School Building</v>
      </c>
      <c r="T2763" s="8" t="str">
        <f ca="1">IFERROR(__xludf.DUMMYFUNCTION("""COMPUTED_VALUE"""),"Inside School Building")</f>
        <v>Inside School Building</v>
      </c>
      <c r="U2763" s="8" t="str">
        <f ca="1">IFERROR(__xludf.DUMMYFUNCTION("""COMPUTED_VALUE"""),"Yes")</f>
        <v>Yes</v>
      </c>
      <c r="V2763" s="8"/>
      <c r="W2763" s="8"/>
      <c r="X2763" s="8">
        <f ca="1">IFERROR(__xludf.DUMMYFUNCTION("""COMPUTED_VALUE"""),1)</f>
        <v>1</v>
      </c>
      <c r="Y2763" s="12" t="str">
        <f ca="1">IFERROR(__xludf.DUMMYFUNCTION("""COMPUTED_VALUE"""),"Escalation of ongoing argument")</f>
        <v>Escalation of ongoing argument</v>
      </c>
      <c r="Z2763" s="12" t="str">
        <f ca="1">IFERROR(__xludf.DUMMYFUNCTION("""COMPUTED_VALUE"""),"15 year old shooter charged with possession of firearm and aggravated assault after firing two shots from his .25 caliber handgun. Shooter was pulled out of a fight by 18 year old victim, after which shooter pulled gun from pants and shot at victim.")</f>
        <v>15 year old shooter charged with possession of firearm and aggravated assault after firing two shots from his .25 caliber handgun. Shooter was pulled out of a fight by 18 year old victim, after which shooter pulled gun from pants and shot at victim.</v>
      </c>
      <c r="AA2763" s="8" t="str">
        <f ca="1">IFERROR(__xludf.DUMMYFUNCTION("""COMPUTED_VALUE"""),"Escalation of Dispute")</f>
        <v>Escalation of Dispute</v>
      </c>
      <c r="AB2763" s="8"/>
      <c r="AC2763" s="8"/>
      <c r="AD2763" s="8" t="str">
        <f ca="1">IFERROR(__xludf.DUMMYFUNCTION("""COMPUTED_VALUE"""),"Victims Targeted")</f>
        <v>Victims Targeted</v>
      </c>
      <c r="AE2763" s="8" t="str">
        <f ca="1">IFERROR(__xludf.DUMMYFUNCTION("""COMPUTED_VALUE"""),"No")</f>
        <v>No</v>
      </c>
      <c r="AF2763" s="8"/>
      <c r="AG2763" s="8" t="str">
        <f ca="1">IFERROR(__xludf.DUMMYFUNCTION("""COMPUTED_VALUE"""),"No")</f>
        <v>No</v>
      </c>
      <c r="AH2763" s="8" t="str">
        <f ca="1">IFERROR(__xludf.DUMMYFUNCTION("""COMPUTED_VALUE"""),"No")</f>
        <v>No</v>
      </c>
      <c r="AI2763" s="8" t="str">
        <f ca="1">IFERROR(__xludf.DUMMYFUNCTION("""COMPUTED_VALUE"""),"No")</f>
        <v>No</v>
      </c>
      <c r="AJ2763" s="8"/>
      <c r="AK2763" s="8"/>
      <c r="AL2763" s="8" t="str">
        <f ca="1">IFERROR(__xludf.DUMMYFUNCTION("""COMPUTED_VALUE"""),"No")</f>
        <v>No</v>
      </c>
      <c r="AM2763" s="8"/>
      <c r="AN2763" s="8"/>
      <c r="AO2763" s="8" t="str">
        <f ca="1">IFERROR(__xludf.DUMMYFUNCTION("""COMPUTED_VALUE"""),"No")</f>
        <v>No</v>
      </c>
      <c r="AP2763" s="8"/>
      <c r="AQ2763" s="8" t="str">
        <f ca="1">IFERROR(__xludf.DUMMYFUNCTION("""COMPUTED_VALUE"""),"Unknown")</f>
        <v>Unknown</v>
      </c>
      <c r="AR2763" s="8" t="str">
        <f ca="1">IFERROR(__xludf.DUMMYFUNCTION("""COMPUTED_VALUE"""),"NA")</f>
        <v>NA</v>
      </c>
      <c r="AS2763" s="8">
        <f ca="1">IFERROR(__xludf.DUMMYFUNCTION("""COMPUTED_VALUE"""),2)</f>
        <v>2</v>
      </c>
      <c r="AT2763" s="8"/>
      <c r="AU2763" s="8">
        <f ca="1">IFERROR(__xludf.DUMMYFUNCTION("""COMPUTED_VALUE"""),30.344534)</f>
        <v>30.344533999999999</v>
      </c>
      <c r="AV2763" s="8">
        <f ca="1">IFERROR(__xludf.DUMMYFUNCTION("""COMPUTED_VALUE"""),-81.722956)</f>
        <v>-81.722955999999996</v>
      </c>
      <c r="AW2763" s="8"/>
      <c r="AX2763" s="8">
        <f ca="1">IFERROR(__xludf.DUMMYFUNCTION("""COMPUTED_VALUE"""),32254)</f>
        <v>32254</v>
      </c>
    </row>
    <row r="2764" spans="1:50" ht="60" x14ac:dyDescent="0.2">
      <c r="A2764" s="8" t="str">
        <f ca="1">IFERROR(__xludf.DUMMYFUNCTION("""COMPUTED_VALUE"""),"19881007TXDIP")</f>
        <v>19881007TXDIP</v>
      </c>
      <c r="B2764" s="8">
        <f ca="1">IFERROR(__xludf.DUMMYFUNCTION("""COMPUTED_VALUE"""),10)</f>
        <v>10</v>
      </c>
      <c r="C2764" s="8">
        <f ca="1">IFERROR(__xludf.DUMMYFUNCTION("""COMPUTED_VALUE"""),7)</f>
        <v>7</v>
      </c>
      <c r="D2764" s="8">
        <f ca="1">IFERROR(__xludf.DUMMYFUNCTION("""COMPUTED_VALUE"""),1988)</f>
        <v>1988</v>
      </c>
      <c r="E2764" s="9">
        <f ca="1">IFERROR(__xludf.DUMMYFUNCTION("""COMPUTED_VALUE"""),32423)</f>
        <v>32423</v>
      </c>
      <c r="F2764" s="8" t="str">
        <f ca="1">IFERROR(__xludf.DUMMYFUNCTION("""COMPUTED_VALUE"""),"Dick Dowling Elementary School")</f>
        <v>Dick Dowling Elementary School</v>
      </c>
      <c r="G2764" s="8">
        <f ca="1">IFERROR(__xludf.DUMMYFUNCTION("""COMPUTED_VALUE"""),0)</f>
        <v>0</v>
      </c>
      <c r="H2764" s="8">
        <f ca="1">IFERROR(__xludf.DUMMYFUNCTION("""COMPUTED_VALUE"""),1)</f>
        <v>1</v>
      </c>
      <c r="I2764" s="8">
        <f ca="1">IFERROR(__xludf.DUMMYFUNCTION("""COMPUTED_VALUE"""),1)</f>
        <v>1</v>
      </c>
      <c r="J2764" s="8">
        <f ca="1">IFERROR(__xludf.DUMMYFUNCTION("""COMPUTED_VALUE"""),0)</f>
        <v>0</v>
      </c>
      <c r="K2764" s="8" t="str">
        <f ca="1">IFERROR(__xludf.DUMMYFUNCTION("""COMPUTED_VALUE"""),"https://www.newspapers.com/image/353952540/?terms=port%2Barthur; https://www.newspapers.com/image/364054210/?terms=port%2Barthur")</f>
        <v>https://www.newspapers.com/image/353952540/?terms=port%2Barthur; https://www.newspapers.com/image/364054210/?terms=port%2Barthur</v>
      </c>
      <c r="L2764" s="8"/>
      <c r="M2764" s="8"/>
      <c r="N2764" s="8">
        <f ca="1">IFERROR(__xludf.DUMMYFUNCTION("""COMPUTED_VALUE"""),3)</f>
        <v>3</v>
      </c>
      <c r="O2764" s="8" t="str">
        <f ca="1">IFERROR(__xludf.DUMMYFUNCTION("""COMPUTED_VALUE"""),"Fall")</f>
        <v>Fall</v>
      </c>
      <c r="P2764" s="8" t="str">
        <f ca="1">IFERROR(__xludf.DUMMYFUNCTION("""COMPUTED_VALUE"""),"Port Arthur")</f>
        <v>Port Arthur</v>
      </c>
      <c r="Q2764" s="8" t="str">
        <f ca="1">IFERROR(__xludf.DUMMYFUNCTION("""COMPUTED_VALUE"""),"TX")</f>
        <v>TX</v>
      </c>
      <c r="R2764" s="8" t="str">
        <f ca="1">IFERROR(__xludf.DUMMYFUNCTION("""COMPUTED_VALUE"""),"Elementary")</f>
        <v>Elementary</v>
      </c>
      <c r="S2764" s="8" t="str">
        <f ca="1">IFERROR(__xludf.DUMMYFUNCTION("""COMPUTED_VALUE"""),"School Bus")</f>
        <v>School Bus</v>
      </c>
      <c r="T2764" s="8" t="str">
        <f ca="1">IFERROR(__xludf.DUMMYFUNCTION("""COMPUTED_VALUE"""),"School Bus")</f>
        <v>School Bus</v>
      </c>
      <c r="U2764" s="8" t="str">
        <f ca="1">IFERROR(__xludf.DUMMYFUNCTION("""COMPUTED_VALUE"""),"Yes")</f>
        <v>Yes</v>
      </c>
      <c r="V2764" s="8" t="str">
        <f ca="1">IFERROR(__xludf.DUMMYFUNCTION("""COMPUTED_VALUE"""),"Before School")</f>
        <v>Before School</v>
      </c>
      <c r="W2764" s="11">
        <f ca="1">IFERROR(__xludf.DUMMYFUNCTION("""COMPUTED_VALUE"""),0.347222222222222)</f>
        <v>0.34722222222222199</v>
      </c>
      <c r="X2764" s="8">
        <f ca="1">IFERROR(__xludf.DUMMYFUNCTION("""COMPUTED_VALUE"""),1)</f>
        <v>1</v>
      </c>
      <c r="Y2764" s="12" t="str">
        <f ca="1">IFERROR(__xludf.DUMMYFUNCTION("""COMPUTED_VALUE"""),"Shot bus driver in back of head during trip to school")</f>
        <v>Shot bus driver in back of head during trip to school</v>
      </c>
      <c r="Z2764" s="12" t="str">
        <f ca="1">IFERROR(__xludf.DUMMYFUNCTION("""COMPUTED_VALUE"""),"Shooter missed bus earlier that day but was later picked up by bus driver. On way to school, shooter shot bus driver in back of head then left gun and bike in bus. Shooter walked to his grandparents' house where he was found by police.")</f>
        <v>Shooter missed bus earlier that day but was later picked up by bus driver. On way to school, shooter shot bus driver in back of head then left gun and bike in bus. Shooter walked to his grandparents' house where he was found by police.</v>
      </c>
      <c r="AA2764" s="8" t="str">
        <f ca="1">IFERROR(__xludf.DUMMYFUNCTION("""COMPUTED_VALUE"""),"Unknown")</f>
        <v>Unknown</v>
      </c>
      <c r="AB2764" s="8"/>
      <c r="AC2764" s="8"/>
      <c r="AD2764" s="8" t="str">
        <f ca="1">IFERROR(__xludf.DUMMYFUNCTION("""COMPUTED_VALUE"""),"Victims Targeted")</f>
        <v>Victims Targeted</v>
      </c>
      <c r="AE2764" s="8" t="str">
        <f ca="1">IFERROR(__xludf.DUMMYFUNCTION("""COMPUTED_VALUE"""),"No")</f>
        <v>No</v>
      </c>
      <c r="AF2764" s="8"/>
      <c r="AG2764" s="8" t="str">
        <f ca="1">IFERROR(__xludf.DUMMYFUNCTION("""COMPUTED_VALUE"""),"No")</f>
        <v>No</v>
      </c>
      <c r="AH2764" s="8" t="str">
        <f ca="1">IFERROR(__xludf.DUMMYFUNCTION("""COMPUTED_VALUE"""),"No")</f>
        <v>No</v>
      </c>
      <c r="AI2764" s="8" t="str">
        <f ca="1">IFERROR(__xludf.DUMMYFUNCTION("""COMPUTED_VALUE"""),"No")</f>
        <v>No</v>
      </c>
      <c r="AJ2764" s="8" t="str">
        <f ca="1">IFERROR(__xludf.DUMMYFUNCTION("""COMPUTED_VALUE"""),"No")</f>
        <v>No</v>
      </c>
      <c r="AK2764" s="8" t="str">
        <f ca="1">IFERROR(__xludf.DUMMYFUNCTION("""COMPUTED_VALUE"""),"No")</f>
        <v>No</v>
      </c>
      <c r="AL2764" s="8" t="str">
        <f ca="1">IFERROR(__xludf.DUMMYFUNCTION("""COMPUTED_VALUE"""),"No")</f>
        <v>No</v>
      </c>
      <c r="AM2764" s="8"/>
      <c r="AN2764" s="8"/>
      <c r="AO2764" s="8" t="str">
        <f ca="1">IFERROR(__xludf.DUMMYFUNCTION("""COMPUTED_VALUE"""),"No")</f>
        <v>No</v>
      </c>
      <c r="AP2764" s="8"/>
      <c r="AQ2764" s="8" t="str">
        <f ca="1">IFERROR(__xludf.DUMMYFUNCTION("""COMPUTED_VALUE"""),"Unknown")</f>
        <v>Unknown</v>
      </c>
      <c r="AR2764" s="8" t="str">
        <f ca="1">IFERROR(__xludf.DUMMYFUNCTION("""COMPUTED_VALUE"""),"NA")</f>
        <v>NA</v>
      </c>
      <c r="AS2764" s="8">
        <f ca="1">IFERROR(__xludf.DUMMYFUNCTION("""COMPUTED_VALUE"""),1)</f>
        <v>1</v>
      </c>
      <c r="AT2764" s="8"/>
      <c r="AU2764" s="8">
        <f ca="1">IFERROR(__xludf.DUMMYFUNCTION("""COMPUTED_VALUE"""),29.902517)</f>
        <v>29.902517</v>
      </c>
      <c r="AV2764" s="8">
        <f ca="1">IFERROR(__xludf.DUMMYFUNCTION("""COMPUTED_VALUE"""),-94.038206)</f>
        <v>-94.038206000000002</v>
      </c>
      <c r="AW2764" s="8"/>
      <c r="AX2764" s="8">
        <f ca="1">IFERROR(__xludf.DUMMYFUNCTION("""COMPUTED_VALUE"""),77640)</f>
        <v>77640</v>
      </c>
    </row>
    <row r="2765" spans="1:50" ht="90" x14ac:dyDescent="0.2">
      <c r="A2765" s="8" t="str">
        <f ca="1">IFERROR(__xludf.DUMMYFUNCTION("""COMPUTED_VALUE"""),"19881007MDSOB")</f>
        <v>19881007MDSOB</v>
      </c>
      <c r="B2765" s="8">
        <f ca="1">IFERROR(__xludf.DUMMYFUNCTION("""COMPUTED_VALUE"""),10)</f>
        <v>10</v>
      </c>
      <c r="C2765" s="8">
        <f ca="1">IFERROR(__xludf.DUMMYFUNCTION("""COMPUTED_VALUE"""),7)</f>
        <v>7</v>
      </c>
      <c r="D2765" s="8">
        <f ca="1">IFERROR(__xludf.DUMMYFUNCTION("""COMPUTED_VALUE"""),1988)</f>
        <v>1988</v>
      </c>
      <c r="E2765" s="9">
        <f ca="1">IFERROR(__xludf.DUMMYFUNCTION("""COMPUTED_VALUE"""),32423)</f>
        <v>32423</v>
      </c>
      <c r="F2765" s="8" t="str">
        <f ca="1">IFERROR(__xludf.DUMMYFUNCTION("""COMPUTED_VALUE"""),"Southwestern Senior High School")</f>
        <v>Southwestern Senior High School</v>
      </c>
      <c r="G2765" s="8">
        <f ca="1">IFERROR(__xludf.DUMMYFUNCTION("""COMPUTED_VALUE"""),0)</f>
        <v>0</v>
      </c>
      <c r="H2765" s="8">
        <f ca="1">IFERROR(__xludf.DUMMYFUNCTION("""COMPUTED_VALUE"""),1)</f>
        <v>1</v>
      </c>
      <c r="I2765" s="8">
        <f ca="1">IFERROR(__xludf.DUMMYFUNCTION("""COMPUTED_VALUE"""),1)</f>
        <v>1</v>
      </c>
      <c r="J2765" s="8">
        <f ca="1">IFERROR(__xludf.DUMMYFUNCTION("""COMPUTED_VALUE"""),0)</f>
        <v>0</v>
      </c>
      <c r="K2765" s="8" t="str">
        <f ca="1">IFERROR(__xludf.DUMMYFUNCTION("""COMPUTED_VALUE"""),"https://www.newspapers.com/image/373276076/?terms=JAMES%2BGROOMES; https://www.newspapers.com/image/373280521/?terms=JAMES%2BGROOMES; https://www.newspapers.com/image/373281852/?terms=4th%2Bshooting%2Bincident%2Bat%2Bschools")</f>
        <v>https://www.newspapers.com/image/373276076/?terms=JAMES%2BGROOMES; https://www.newspapers.com/image/373280521/?terms=JAMES%2BGROOMES; https://www.newspapers.com/image/373281852/?terms=4th%2Bshooting%2Bincident%2Bat%2Bschools</v>
      </c>
      <c r="L2765" s="8"/>
      <c r="M2765" s="8"/>
      <c r="N2765" s="8">
        <f ca="1">IFERROR(__xludf.DUMMYFUNCTION("""COMPUTED_VALUE"""),3)</f>
        <v>3</v>
      </c>
      <c r="O2765" s="8" t="str">
        <f ca="1">IFERROR(__xludf.DUMMYFUNCTION("""COMPUTED_VALUE"""),"Fall")</f>
        <v>Fall</v>
      </c>
      <c r="P2765" s="8" t="str">
        <f ca="1">IFERROR(__xludf.DUMMYFUNCTION("""COMPUTED_VALUE"""),"Baltimore")</f>
        <v>Baltimore</v>
      </c>
      <c r="Q2765" s="8" t="str">
        <f ca="1">IFERROR(__xludf.DUMMYFUNCTION("""COMPUTED_VALUE"""),"MD")</f>
        <v>MD</v>
      </c>
      <c r="R2765" s="8" t="str">
        <f ca="1">IFERROR(__xludf.DUMMYFUNCTION("""COMPUTED_VALUE"""),"High")</f>
        <v>High</v>
      </c>
      <c r="S2765" s="8" t="str">
        <f ca="1">IFERROR(__xludf.DUMMYFUNCTION("""COMPUTED_VALUE"""),"Inside School Building")</f>
        <v>Inside School Building</v>
      </c>
      <c r="T2765" s="8" t="str">
        <f ca="1">IFERROR(__xludf.DUMMYFUNCTION("""COMPUTED_VALUE"""),"Inside School Building")</f>
        <v>Inside School Building</v>
      </c>
      <c r="U2765" s="8" t="str">
        <f ca="1">IFERROR(__xludf.DUMMYFUNCTION("""COMPUTED_VALUE"""),"Yes")</f>
        <v>Yes</v>
      </c>
      <c r="V2765" s="8"/>
      <c r="W2765" s="8"/>
      <c r="X2765" s="8">
        <f ca="1">IFERROR(__xludf.DUMMYFUNCTION("""COMPUTED_VALUE"""),1)</f>
        <v>1</v>
      </c>
      <c r="Y2765" s="12" t="str">
        <f ca="1">IFERROR(__xludf.DUMMYFUNCTION("""COMPUTED_VALUE"""),"Escalation of gang related dispute - victim accidentally shot - not intended target, but reports conflict")</f>
        <v>Escalation of gang related dispute - victim accidentally shot - not intended target, but reports conflict</v>
      </c>
      <c r="Z2765" s="12" t="str">
        <f ca="1">IFERROR(__xludf.DUMMYFUNCTION("""COMPUTED_VALUE"""),"On going gang related tension - Victim was not intended target - conflicting reports")</f>
        <v>On going gang related tension - Victim was not intended target - conflicting reports</v>
      </c>
      <c r="AA2765" s="8" t="str">
        <f ca="1">IFERROR(__xludf.DUMMYFUNCTION("""COMPUTED_VALUE"""),"Escalation of Dispute")</f>
        <v>Escalation of Dispute</v>
      </c>
      <c r="AB2765" s="8"/>
      <c r="AC2765" s="8"/>
      <c r="AD2765" s="8" t="str">
        <f ca="1">IFERROR(__xludf.DUMMYFUNCTION("""COMPUTED_VALUE"""),"Random Shooting")</f>
        <v>Random Shooting</v>
      </c>
      <c r="AE2765" s="8" t="str">
        <f ca="1">IFERROR(__xludf.DUMMYFUNCTION("""COMPUTED_VALUE"""),"Yes")</f>
        <v>Yes</v>
      </c>
      <c r="AF2765" s="8" t="str">
        <f ca="1">IFERROR(__xludf.DUMMYFUNCTION("""COMPUTED_VALUE"""),"Leo Sean Palmer 17 YOM")</f>
        <v>Leo Sean Palmer 17 YOM</v>
      </c>
      <c r="AG2765" s="8" t="str">
        <f ca="1">IFERROR(__xludf.DUMMYFUNCTION("""COMPUTED_VALUE"""),"No")</f>
        <v>No</v>
      </c>
      <c r="AH2765" s="8" t="str">
        <f ca="1">IFERROR(__xludf.DUMMYFUNCTION("""COMPUTED_VALUE"""),"No")</f>
        <v>No</v>
      </c>
      <c r="AI2765" s="8" t="str">
        <f ca="1">IFERROR(__xludf.DUMMYFUNCTION("""COMPUTED_VALUE"""),"No")</f>
        <v>No</v>
      </c>
      <c r="AJ2765" s="8" t="str">
        <f ca="1">IFERROR(__xludf.DUMMYFUNCTION("""COMPUTED_VALUE"""),"No")</f>
        <v>No</v>
      </c>
      <c r="AK2765" s="8" t="str">
        <f ca="1">IFERROR(__xludf.DUMMYFUNCTION("""COMPUTED_VALUE"""),"No")</f>
        <v>No</v>
      </c>
      <c r="AL2765" s="8" t="str">
        <f ca="1">IFERROR(__xludf.DUMMYFUNCTION("""COMPUTED_VALUE"""),"Yes")</f>
        <v>Yes</v>
      </c>
      <c r="AM2765" s="8"/>
      <c r="AN2765" s="8"/>
      <c r="AO2765" s="8" t="str">
        <f ca="1">IFERROR(__xludf.DUMMYFUNCTION("""COMPUTED_VALUE"""),"No")</f>
        <v>No</v>
      </c>
      <c r="AP2765" s="8"/>
      <c r="AQ2765" s="8" t="str">
        <f ca="1">IFERROR(__xludf.DUMMYFUNCTION("""COMPUTED_VALUE"""),"Unknown")</f>
        <v>Unknown</v>
      </c>
      <c r="AR2765" s="8" t="str">
        <f ca="1">IFERROR(__xludf.DUMMYFUNCTION("""COMPUTED_VALUE"""),"NA")</f>
        <v>NA</v>
      </c>
      <c r="AS2765" s="8">
        <f ca="1">IFERROR(__xludf.DUMMYFUNCTION("""COMPUTED_VALUE"""),4)</f>
        <v>4</v>
      </c>
      <c r="AT2765" s="8"/>
      <c r="AU2765" s="8">
        <f ca="1">IFERROR(__xludf.DUMMYFUNCTION("""COMPUTED_VALUE"""),39.284444)</f>
        <v>39.284444000000001</v>
      </c>
      <c r="AV2765" s="8">
        <f ca="1">IFERROR(__xludf.DUMMYFUNCTION("""COMPUTED_VALUE"""),-76.664167)</f>
        <v>-76.664167000000006</v>
      </c>
      <c r="AW2765" s="8"/>
      <c r="AX2765" s="8">
        <f ca="1">IFERROR(__xludf.DUMMYFUNCTION("""COMPUTED_VALUE"""),21223)</f>
        <v>21223</v>
      </c>
    </row>
    <row r="2766" spans="1:50" ht="60" x14ac:dyDescent="0.2">
      <c r="A2766" s="8" t="str">
        <f ca="1">IFERROR(__xludf.DUMMYFUNCTION("""COMPUTED_VALUE"""),"19881006ALMOM")</f>
        <v>19881006ALMOM</v>
      </c>
      <c r="B2766" s="8">
        <f ca="1">IFERROR(__xludf.DUMMYFUNCTION("""COMPUTED_VALUE"""),10)</f>
        <v>10</v>
      </c>
      <c r="C2766" s="8">
        <f ca="1">IFERROR(__xludf.DUMMYFUNCTION("""COMPUTED_VALUE"""),6)</f>
        <v>6</v>
      </c>
      <c r="D2766" s="8">
        <f ca="1">IFERROR(__xludf.DUMMYFUNCTION("""COMPUTED_VALUE"""),1988)</f>
        <v>1988</v>
      </c>
      <c r="E2766" s="9">
        <f ca="1">IFERROR(__xludf.DUMMYFUNCTION("""COMPUTED_VALUE"""),32422)</f>
        <v>32422</v>
      </c>
      <c r="F2766" s="8" t="str">
        <f ca="1">IFERROR(__xludf.DUMMYFUNCTION("""COMPUTED_VALUE"""),"Most Pure Heart of Mary School")</f>
        <v>Most Pure Heart of Mary School</v>
      </c>
      <c r="G2766" s="8">
        <f ca="1">IFERROR(__xludf.DUMMYFUNCTION("""COMPUTED_VALUE"""),0)</f>
        <v>0</v>
      </c>
      <c r="H2766" s="8">
        <f ca="1">IFERROR(__xludf.DUMMYFUNCTION("""COMPUTED_VALUE"""),1)</f>
        <v>1</v>
      </c>
      <c r="I2766" s="8">
        <f ca="1">IFERROR(__xludf.DUMMYFUNCTION("""COMPUTED_VALUE"""),1)</f>
        <v>1</v>
      </c>
      <c r="J2766" s="8">
        <f ca="1">IFERROR(__xludf.DUMMYFUNCTION("""COMPUTED_VALUE"""),0)</f>
        <v>0</v>
      </c>
      <c r="K2766" s="10" t="str">
        <f ca="1">IFERROR(__xludf.DUMMYFUNCTION("""COMPUTED_VALUE"""),"https://www.newspapers.com/image/200956524/?terms=arilyn%2Bjean%2BLelande")</f>
        <v>https://www.newspapers.com/image/200956524/?terms=arilyn%2Bjean%2BLelande</v>
      </c>
      <c r="L2766" s="8"/>
      <c r="M2766" s="8"/>
      <c r="N2766" s="8">
        <f ca="1">IFERROR(__xludf.DUMMYFUNCTION("""COMPUTED_VALUE"""),2)</f>
        <v>2</v>
      </c>
      <c r="O2766" s="8" t="str">
        <f ca="1">IFERROR(__xludf.DUMMYFUNCTION("""COMPUTED_VALUE"""),"Fall")</f>
        <v>Fall</v>
      </c>
      <c r="P2766" s="8" t="str">
        <f ca="1">IFERROR(__xludf.DUMMYFUNCTION("""COMPUTED_VALUE"""),"Mobile")</f>
        <v>Mobile</v>
      </c>
      <c r="Q2766" s="8" t="str">
        <f ca="1">IFERROR(__xludf.DUMMYFUNCTION("""COMPUTED_VALUE"""),"AL")</f>
        <v>AL</v>
      </c>
      <c r="R2766" s="8" t="str">
        <f ca="1">IFERROR(__xludf.DUMMYFUNCTION("""COMPUTED_VALUE"""),"Elementary")</f>
        <v>Elementary</v>
      </c>
      <c r="S2766" s="8" t="str">
        <f ca="1">IFERROR(__xludf.DUMMYFUNCTION("""COMPUTED_VALUE"""),"Classroom")</f>
        <v>Classroom</v>
      </c>
      <c r="T2766" s="8" t="str">
        <f ca="1">IFERROR(__xludf.DUMMYFUNCTION("""COMPUTED_VALUE"""),"Inside School Building")</f>
        <v>Inside School Building</v>
      </c>
      <c r="U2766" s="8" t="str">
        <f ca="1">IFERROR(__xludf.DUMMYFUNCTION("""COMPUTED_VALUE"""),"Yes")</f>
        <v>Yes</v>
      </c>
      <c r="V2766" s="8"/>
      <c r="W2766" s="8"/>
      <c r="X2766" s="8">
        <f ca="1">IFERROR(__xludf.DUMMYFUNCTION("""COMPUTED_VALUE"""),1)</f>
        <v>1</v>
      </c>
      <c r="Y2766" s="12" t="str">
        <f ca="1">IFERROR(__xludf.DUMMYFUNCTION("""COMPUTED_VALUE"""),"Shot sister in class over dispute about money")</f>
        <v>Shot sister in class over dispute about money</v>
      </c>
      <c r="Z2766" s="12" t="str">
        <f ca="1">IFERROR(__xludf.DUMMYFUNCTION("""COMPUTED_VALUE"""),"Ongoing family dispute between sisters - Shooter walked into sister's class, told children to get back, yelled ""I want my money, then shot at sister several times hitting her once in stomach.")</f>
        <v>Ongoing family dispute between sisters - Shooter walked into sister's class, told children to get back, yelled "I want my money, then shot at sister several times hitting her once in stomach.</v>
      </c>
      <c r="AA2766" s="8" t="str">
        <f ca="1">IFERROR(__xludf.DUMMYFUNCTION("""COMPUTED_VALUE"""),"Domestic w/ Targeted Victim")</f>
        <v>Domestic w/ Targeted Victim</v>
      </c>
      <c r="AB2766" s="8"/>
      <c r="AC2766" s="8"/>
      <c r="AD2766" s="8" t="str">
        <f ca="1">IFERROR(__xludf.DUMMYFUNCTION("""COMPUTED_VALUE"""),"Victims Targeted")</f>
        <v>Victims Targeted</v>
      </c>
      <c r="AE2766" s="8" t="str">
        <f ca="1">IFERROR(__xludf.DUMMYFUNCTION("""COMPUTED_VALUE"""),"No")</f>
        <v>No</v>
      </c>
      <c r="AF2766" s="8"/>
      <c r="AG2766" s="8" t="str">
        <f ca="1">IFERROR(__xludf.DUMMYFUNCTION("""COMPUTED_VALUE"""),"No")</f>
        <v>No</v>
      </c>
      <c r="AH2766" s="8" t="str">
        <f ca="1">IFERROR(__xludf.DUMMYFUNCTION("""COMPUTED_VALUE"""),"No")</f>
        <v>No</v>
      </c>
      <c r="AI2766" s="8" t="str">
        <f ca="1">IFERROR(__xludf.DUMMYFUNCTION("""COMPUTED_VALUE"""),"No")</f>
        <v>No</v>
      </c>
      <c r="AJ2766" s="8" t="str">
        <f ca="1">IFERROR(__xludf.DUMMYFUNCTION("""COMPUTED_VALUE"""),"No")</f>
        <v>No</v>
      </c>
      <c r="AK2766" s="8" t="str">
        <f ca="1">IFERROR(__xludf.DUMMYFUNCTION("""COMPUTED_VALUE"""),"Yes")</f>
        <v>Yes</v>
      </c>
      <c r="AL2766" s="8" t="str">
        <f ca="1">IFERROR(__xludf.DUMMYFUNCTION("""COMPUTED_VALUE"""),"No")</f>
        <v>No</v>
      </c>
      <c r="AM2766" s="8"/>
      <c r="AN2766" s="8"/>
      <c r="AO2766" s="8" t="str">
        <f ca="1">IFERROR(__xludf.DUMMYFUNCTION("""COMPUTED_VALUE"""),"No")</f>
        <v>No</v>
      </c>
      <c r="AP2766" s="8"/>
      <c r="AQ2766" s="8" t="str">
        <f ca="1">IFERROR(__xludf.DUMMYFUNCTION("""COMPUTED_VALUE"""),"Unknown")</f>
        <v>Unknown</v>
      </c>
      <c r="AR2766" s="8" t="str">
        <f ca="1">IFERROR(__xludf.DUMMYFUNCTION("""COMPUTED_VALUE"""),"NA")</f>
        <v>NA</v>
      </c>
      <c r="AS2766" s="8" t="str">
        <f ca="1">IFERROR(__xludf.DUMMYFUNCTION("""COMPUTED_VALUE"""),"&lt;10")</f>
        <v>&lt;10</v>
      </c>
      <c r="AT2766" s="8"/>
      <c r="AU2766" s="8">
        <f ca="1">IFERROR(__xludf.DUMMYFUNCTION("""COMPUTED_VALUE"""),30.69659)</f>
        <v>30.69659</v>
      </c>
      <c r="AV2766" s="8">
        <f ca="1">IFERROR(__xludf.DUMMYFUNCTION("""COMPUTED_VALUE"""),-88.053236)</f>
        <v>-88.053235999999998</v>
      </c>
      <c r="AW2766" s="8"/>
      <c r="AX2766" s="8">
        <f ca="1">IFERROR(__xludf.DUMMYFUNCTION("""COMPUTED_VALUE"""),36601)</f>
        <v>36601</v>
      </c>
    </row>
    <row r="2767" spans="1:50" ht="75" x14ac:dyDescent="0.2">
      <c r="A2767" s="8" t="str">
        <f ca="1">IFERROR(__xludf.DUMMYFUNCTION("""COMPUTED_VALUE"""),"19881005MDEDB")</f>
        <v>19881005MDEDB</v>
      </c>
      <c r="B2767" s="8">
        <f ca="1">IFERROR(__xludf.DUMMYFUNCTION("""COMPUTED_VALUE"""),10)</f>
        <v>10</v>
      </c>
      <c r="C2767" s="8">
        <f ca="1">IFERROR(__xludf.DUMMYFUNCTION("""COMPUTED_VALUE"""),5)</f>
        <v>5</v>
      </c>
      <c r="D2767" s="8">
        <f ca="1">IFERROR(__xludf.DUMMYFUNCTION("""COMPUTED_VALUE"""),1988)</f>
        <v>1988</v>
      </c>
      <c r="E2767" s="9">
        <f ca="1">IFERROR(__xludf.DUMMYFUNCTION("""COMPUTED_VALUE"""),32421)</f>
        <v>32421</v>
      </c>
      <c r="F2767" s="8" t="str">
        <f ca="1">IFERROR(__xludf.DUMMYFUNCTION("""COMPUTED_VALUE"""),"Edmondson Westside Senior High School")</f>
        <v>Edmondson Westside Senior High School</v>
      </c>
      <c r="G2767" s="8">
        <f ca="1">IFERROR(__xludf.DUMMYFUNCTION("""COMPUTED_VALUE"""),0)</f>
        <v>0</v>
      </c>
      <c r="H2767" s="8">
        <f ca="1">IFERROR(__xludf.DUMMYFUNCTION("""COMPUTED_VALUE"""),1)</f>
        <v>1</v>
      </c>
      <c r="I2767" s="8">
        <f ca="1">IFERROR(__xludf.DUMMYFUNCTION("""COMPUTED_VALUE"""),1)</f>
        <v>1</v>
      </c>
      <c r="J2767" s="8">
        <f ca="1">IFERROR(__xludf.DUMMYFUNCTION("""COMPUTED_VALUE"""),0)</f>
        <v>0</v>
      </c>
      <c r="K2767" s="10" t="str">
        <f ca="1">IFERROR(__xludf.DUMMYFUNCTION("""COMPUTED_VALUE"""),"https://www.newspapers.com/image/378123968/?terms=anita%2Bmoore")</f>
        <v>https://www.newspapers.com/image/378123968/?terms=anita%2Bmoore</v>
      </c>
      <c r="L2767" s="8"/>
      <c r="M2767" s="8"/>
      <c r="N2767" s="8">
        <f ca="1">IFERROR(__xludf.DUMMYFUNCTION("""COMPUTED_VALUE"""),2)</f>
        <v>2</v>
      </c>
      <c r="O2767" s="8" t="str">
        <f ca="1">IFERROR(__xludf.DUMMYFUNCTION("""COMPUTED_VALUE"""),"Fall")</f>
        <v>Fall</v>
      </c>
      <c r="P2767" s="8" t="str">
        <f ca="1">IFERROR(__xludf.DUMMYFUNCTION("""COMPUTED_VALUE"""),"Baltimore")</f>
        <v>Baltimore</v>
      </c>
      <c r="Q2767" s="8" t="str">
        <f ca="1">IFERROR(__xludf.DUMMYFUNCTION("""COMPUTED_VALUE"""),"MD")</f>
        <v>MD</v>
      </c>
      <c r="R2767" s="8" t="str">
        <f ca="1">IFERROR(__xludf.DUMMYFUNCTION("""COMPUTED_VALUE"""),"High")</f>
        <v>High</v>
      </c>
      <c r="S2767" s="8" t="str">
        <f ca="1">IFERROR(__xludf.DUMMYFUNCTION("""COMPUTED_VALUE"""),"Inside School Building")</f>
        <v>Inside School Building</v>
      </c>
      <c r="T2767" s="8" t="str">
        <f ca="1">IFERROR(__xludf.DUMMYFUNCTION("""COMPUTED_VALUE"""),"Inside School Building")</f>
        <v>Inside School Building</v>
      </c>
      <c r="U2767" s="8" t="str">
        <f ca="1">IFERROR(__xludf.DUMMYFUNCTION("""COMPUTED_VALUE"""),"Yes")</f>
        <v>Yes</v>
      </c>
      <c r="V2767" s="8" t="str">
        <f ca="1">IFERROR(__xludf.DUMMYFUNCTION("""COMPUTED_VALUE"""),"Lunch")</f>
        <v>Lunch</v>
      </c>
      <c r="W2767" s="11">
        <f ca="1">IFERROR(__xludf.DUMMYFUNCTION("""COMPUTED_VALUE"""),0.5)</f>
        <v>0.5</v>
      </c>
      <c r="X2767" s="8">
        <f ca="1">IFERROR(__xludf.DUMMYFUNCTION("""COMPUTED_VALUE"""),1)</f>
        <v>1</v>
      </c>
      <c r="Y2767" s="12" t="str">
        <f ca="1">IFERROR(__xludf.DUMMYFUNCTION("""COMPUTED_VALUE"""),"Victim was innocent bystander during argument between two boys in which shots were fired")</f>
        <v>Victim was innocent bystander during argument between two boys in which shots were fired</v>
      </c>
      <c r="Z2767" s="12" t="str">
        <f ca="1">IFERROR(__xludf.DUMMYFUNCTION("""COMPUTED_VALUE"""),"Victim hit after fight between two boys erupted into gun fire")</f>
        <v>Victim hit after fight between two boys erupted into gun fire</v>
      </c>
      <c r="AA2767" s="8" t="str">
        <f ca="1">IFERROR(__xludf.DUMMYFUNCTION("""COMPUTED_VALUE"""),"Escalation of Dispute")</f>
        <v>Escalation of Dispute</v>
      </c>
      <c r="AB2767" s="8"/>
      <c r="AC2767" s="8"/>
      <c r="AD2767" s="8" t="str">
        <f ca="1">IFERROR(__xludf.DUMMYFUNCTION("""COMPUTED_VALUE"""),"Random Shooting")</f>
        <v>Random Shooting</v>
      </c>
      <c r="AE2767" s="8" t="str">
        <f ca="1">IFERROR(__xludf.DUMMYFUNCTION("""COMPUTED_VALUE"""),"No")</f>
        <v>No</v>
      </c>
      <c r="AF2767" s="8"/>
      <c r="AG2767" s="8" t="str">
        <f ca="1">IFERROR(__xludf.DUMMYFUNCTION("""COMPUTED_VALUE"""),"No")</f>
        <v>No</v>
      </c>
      <c r="AH2767" s="8" t="str">
        <f ca="1">IFERROR(__xludf.DUMMYFUNCTION("""COMPUTED_VALUE"""),"No")</f>
        <v>No</v>
      </c>
      <c r="AI2767" s="8" t="str">
        <f ca="1">IFERROR(__xludf.DUMMYFUNCTION("""COMPUTED_VALUE"""),"No")</f>
        <v>No</v>
      </c>
      <c r="AJ2767" s="8" t="str">
        <f ca="1">IFERROR(__xludf.DUMMYFUNCTION("""COMPUTED_VALUE"""),"No")</f>
        <v>No</v>
      </c>
      <c r="AK2767" s="8" t="str">
        <f ca="1">IFERROR(__xludf.DUMMYFUNCTION("""COMPUTED_VALUE"""),"No")</f>
        <v>No</v>
      </c>
      <c r="AL2767" s="8" t="str">
        <f ca="1">IFERROR(__xludf.DUMMYFUNCTION("""COMPUTED_VALUE"""),"No")</f>
        <v>No</v>
      </c>
      <c r="AM2767" s="8"/>
      <c r="AN2767" s="8"/>
      <c r="AO2767" s="8" t="str">
        <f ca="1">IFERROR(__xludf.DUMMYFUNCTION("""COMPUTED_VALUE"""),"No")</f>
        <v>No</v>
      </c>
      <c r="AP2767" s="8" t="str">
        <f ca="1">IFERROR(__xludf.DUMMYFUNCTION("""COMPUTED_VALUE"""),"Yes")</f>
        <v>Yes</v>
      </c>
      <c r="AQ2767" s="8" t="str">
        <f ca="1">IFERROR(__xludf.DUMMYFUNCTION("""COMPUTED_VALUE"""),"Unknown")</f>
        <v>Unknown</v>
      </c>
      <c r="AR2767" s="8" t="str">
        <f ca="1">IFERROR(__xludf.DUMMYFUNCTION("""COMPUTED_VALUE"""),"NA")</f>
        <v>NA</v>
      </c>
      <c r="AS2767" s="8"/>
      <c r="AT2767" s="8"/>
      <c r="AU2767" s="8">
        <f ca="1">IFERROR(__xludf.DUMMYFUNCTION("""COMPUTED_VALUE"""),39.291703)</f>
        <v>39.291702999999998</v>
      </c>
      <c r="AV2767" s="8">
        <f ca="1">IFERROR(__xludf.DUMMYFUNCTION("""COMPUTED_VALUE"""),-76.687838)</f>
        <v>-76.687837999999999</v>
      </c>
      <c r="AW2767" s="8"/>
      <c r="AX2767" s="8">
        <f ca="1">IFERROR(__xludf.DUMMYFUNCTION("""COMPUTED_VALUE"""),21229)</f>
        <v>21229</v>
      </c>
    </row>
    <row r="2768" spans="1:50" ht="45" x14ac:dyDescent="0.2">
      <c r="A2768" s="8" t="str">
        <f ca="1">IFERROR(__xludf.DUMMYFUNCTION("""COMPUTED_VALUE"""),"19881004LAISB")</f>
        <v>19881004LAISB</v>
      </c>
      <c r="B2768" s="8">
        <f ca="1">IFERROR(__xludf.DUMMYFUNCTION("""COMPUTED_VALUE"""),10)</f>
        <v>10</v>
      </c>
      <c r="C2768" s="8">
        <f ca="1">IFERROR(__xludf.DUMMYFUNCTION("""COMPUTED_VALUE"""),4)</f>
        <v>4</v>
      </c>
      <c r="D2768" s="8">
        <f ca="1">IFERROR(__xludf.DUMMYFUNCTION("""COMPUTED_VALUE"""),1988)</f>
        <v>1988</v>
      </c>
      <c r="E2768" s="9">
        <f ca="1">IFERROR(__xludf.DUMMYFUNCTION("""COMPUTED_VALUE"""),32420)</f>
        <v>32420</v>
      </c>
      <c r="F2768" s="8" t="str">
        <f ca="1">IFERROR(__xludf.DUMMYFUNCTION("""COMPUTED_VALUE"""),"Istrouma Senior High School")</f>
        <v>Istrouma Senior High School</v>
      </c>
      <c r="G2768" s="8">
        <f ca="1">IFERROR(__xludf.DUMMYFUNCTION("""COMPUTED_VALUE"""),0)</f>
        <v>0</v>
      </c>
      <c r="H2768" s="8">
        <f ca="1">IFERROR(__xludf.DUMMYFUNCTION("""COMPUTED_VALUE"""),0)</f>
        <v>0</v>
      </c>
      <c r="I2768" s="8">
        <f ca="1">IFERROR(__xludf.DUMMYFUNCTION("""COMPUTED_VALUE"""),0)</f>
        <v>0</v>
      </c>
      <c r="J2768" s="8">
        <f ca="1">IFERROR(__xludf.DUMMYFUNCTION("""COMPUTED_VALUE"""),0)</f>
        <v>0</v>
      </c>
      <c r="K2768" s="8" t="str">
        <f ca="1">IFERROR(__xludf.DUMMYFUNCTION("""COMPUTED_VALUE"""),"The (Baton Rouge) Advocate - Teacher Booked in Shooting Keeps Job; https://www.columbine-angels.com/School_Violence_1988-1989.htm")</f>
        <v>The (Baton Rouge) Advocate - Teacher Booked in Shooting Keeps Job; https://www.columbine-angels.com/School_Violence_1988-1989.htm</v>
      </c>
      <c r="L2768" s="8"/>
      <c r="M2768" s="8"/>
      <c r="N2768" s="8">
        <f ca="1">IFERROR(__xludf.DUMMYFUNCTION("""COMPUTED_VALUE"""),1)</f>
        <v>1</v>
      </c>
      <c r="O2768" s="8" t="str">
        <f ca="1">IFERROR(__xludf.DUMMYFUNCTION("""COMPUTED_VALUE"""),"Fall")</f>
        <v>Fall</v>
      </c>
      <c r="P2768" s="8" t="str">
        <f ca="1">IFERROR(__xludf.DUMMYFUNCTION("""COMPUTED_VALUE"""),"Baton Rouge")</f>
        <v>Baton Rouge</v>
      </c>
      <c r="Q2768" s="8" t="str">
        <f ca="1">IFERROR(__xludf.DUMMYFUNCTION("""COMPUTED_VALUE"""),"LA")</f>
        <v>LA</v>
      </c>
      <c r="R2768" s="8" t="str">
        <f ca="1">IFERROR(__xludf.DUMMYFUNCTION("""COMPUTED_VALUE"""),"High")</f>
        <v>High</v>
      </c>
      <c r="S2768" s="8" t="str">
        <f ca="1">IFERROR(__xludf.DUMMYFUNCTION("""COMPUTED_VALUE"""),"Parking Lot")</f>
        <v>Parking Lot</v>
      </c>
      <c r="T2768" s="8" t="str">
        <f ca="1">IFERROR(__xludf.DUMMYFUNCTION("""COMPUTED_VALUE"""),"Outside on School Property")</f>
        <v>Outside on School Property</v>
      </c>
      <c r="U2768" s="8"/>
      <c r="V2768" s="8"/>
      <c r="W2768" s="8"/>
      <c r="X2768" s="8">
        <f ca="1">IFERROR(__xludf.DUMMYFUNCTION("""COMPUTED_VALUE"""),1)</f>
        <v>1</v>
      </c>
      <c r="Y2768" s="12" t="str">
        <f ca="1">IFERROR(__xludf.DUMMYFUNCTION("""COMPUTED_VALUE"""),"Teacher fired shots at cafeteria worker in parking lot")</f>
        <v>Teacher fired shots at cafeteria worker in parking lot</v>
      </c>
      <c r="Z2768" s="12" t="str">
        <f ca="1">IFERROR(__xludf.DUMMYFUNCTION("""COMPUTED_VALUE"""),"33YOF teacher fired shots at cafeteria worker in the school parking lot. Teacher remained on the job despite charges.")</f>
        <v>33YOF teacher fired shots at cafeteria worker in the school parking lot. Teacher remained on the job despite charges.</v>
      </c>
      <c r="AA2768" s="8" t="str">
        <f ca="1">IFERROR(__xludf.DUMMYFUNCTION("""COMPUTED_VALUE"""),"Escalation of Dispute")</f>
        <v>Escalation of Dispute</v>
      </c>
      <c r="AB2768" s="8"/>
      <c r="AC2768" s="8"/>
      <c r="AD2768" s="8" t="str">
        <f ca="1">IFERROR(__xludf.DUMMYFUNCTION("""COMPUTED_VALUE"""),"Victims Targeted")</f>
        <v>Victims Targeted</v>
      </c>
      <c r="AE2768" s="8" t="str">
        <f ca="1">IFERROR(__xludf.DUMMYFUNCTION("""COMPUTED_VALUE"""),"No")</f>
        <v>No</v>
      </c>
      <c r="AF2768" s="8"/>
      <c r="AG2768" s="8" t="str">
        <f ca="1">IFERROR(__xludf.DUMMYFUNCTION("""COMPUTED_VALUE"""),"No")</f>
        <v>No</v>
      </c>
      <c r="AH2768" s="8" t="str">
        <f ca="1">IFERROR(__xludf.DUMMYFUNCTION("""COMPUTED_VALUE"""),"No")</f>
        <v>No</v>
      </c>
      <c r="AI2768" s="8" t="str">
        <f ca="1">IFERROR(__xludf.DUMMYFUNCTION("""COMPUTED_VALUE"""),"No")</f>
        <v>No</v>
      </c>
      <c r="AJ2768" s="8" t="str">
        <f ca="1">IFERROR(__xludf.DUMMYFUNCTION("""COMPUTED_VALUE"""),"No")</f>
        <v>No</v>
      </c>
      <c r="AK2768" s="8" t="str">
        <f ca="1">IFERROR(__xludf.DUMMYFUNCTION("""COMPUTED_VALUE"""),"No")</f>
        <v>No</v>
      </c>
      <c r="AL2768" s="8" t="str">
        <f ca="1">IFERROR(__xludf.DUMMYFUNCTION("""COMPUTED_VALUE"""),"No")</f>
        <v>No</v>
      </c>
      <c r="AM2768" s="8"/>
      <c r="AN2768" s="8"/>
      <c r="AO2768" s="8" t="str">
        <f ca="1">IFERROR(__xludf.DUMMYFUNCTION("""COMPUTED_VALUE"""),"No")</f>
        <v>No</v>
      </c>
      <c r="AP2768" s="8"/>
      <c r="AQ2768" s="8" t="str">
        <f ca="1">IFERROR(__xludf.DUMMYFUNCTION("""COMPUTED_VALUE"""),"Unknown")</f>
        <v>Unknown</v>
      </c>
      <c r="AR2768" s="8" t="str">
        <f ca="1">IFERROR(__xludf.DUMMYFUNCTION("""COMPUTED_VALUE"""),"NA")</f>
        <v>NA</v>
      </c>
      <c r="AS2768" s="8"/>
      <c r="AT2768" s="8"/>
      <c r="AU2768" s="8">
        <f ca="1">IFERROR(__xludf.DUMMYFUNCTION("""COMPUTED_VALUE"""),30.477338)</f>
        <v>30.477338</v>
      </c>
      <c r="AV2768" s="8">
        <f ca="1">IFERROR(__xludf.DUMMYFUNCTION("""COMPUTED_VALUE"""),-91.152239)</f>
        <v>-91.152238999999994</v>
      </c>
      <c r="AW2768" s="8"/>
      <c r="AX2768" s="8">
        <f ca="1">IFERROR(__xludf.DUMMYFUNCTION("""COMPUTED_VALUE"""),70805)</f>
        <v>70805</v>
      </c>
    </row>
    <row r="2769" spans="1:50" ht="45" x14ac:dyDescent="0.2">
      <c r="A2769" s="8" t="str">
        <f ca="1">IFERROR(__xludf.DUMMYFUNCTION("""COMPUTED_VALUE"""),"19881004FLJEJ")</f>
        <v>19881004FLJEJ</v>
      </c>
      <c r="B2769" s="8">
        <f ca="1">IFERROR(__xludf.DUMMYFUNCTION("""COMPUTED_VALUE"""),10)</f>
        <v>10</v>
      </c>
      <c r="C2769" s="8">
        <f ca="1">IFERROR(__xludf.DUMMYFUNCTION("""COMPUTED_VALUE"""),4)</f>
        <v>4</v>
      </c>
      <c r="D2769" s="8">
        <f ca="1">IFERROR(__xludf.DUMMYFUNCTION("""COMPUTED_VALUE"""),1988)</f>
        <v>1988</v>
      </c>
      <c r="E2769" s="9">
        <f ca="1">IFERROR(__xludf.DUMMYFUNCTION("""COMPUTED_VALUE"""),32420)</f>
        <v>32420</v>
      </c>
      <c r="F2769" s="8" t="str">
        <f ca="1">IFERROR(__xludf.DUMMYFUNCTION("""COMPUTED_VALUE"""),"J E B Stuart Junior High School (bus)")</f>
        <v>J E B Stuart Junior High School (bus)</v>
      </c>
      <c r="G2769" s="8">
        <f ca="1">IFERROR(__xludf.DUMMYFUNCTION("""COMPUTED_VALUE"""),0)</f>
        <v>0</v>
      </c>
      <c r="H2769" s="8">
        <f ca="1">IFERROR(__xludf.DUMMYFUNCTION("""COMPUTED_VALUE"""),5)</f>
        <v>5</v>
      </c>
      <c r="I2769" s="8">
        <f ca="1">IFERROR(__xludf.DUMMYFUNCTION("""COMPUTED_VALUE"""),5)</f>
        <v>5</v>
      </c>
      <c r="J2769" s="8">
        <f ca="1">IFERROR(__xludf.DUMMYFUNCTION("""COMPUTED_VALUE"""),0)</f>
        <v>0</v>
      </c>
      <c r="K2769" s="10" t="str">
        <f ca="1">IFERROR(__xludf.DUMMYFUNCTION("""COMPUTED_VALUE"""),"https://www.newspapers.com/image/229988989/?terms=J.%2BE.%2BB.%2BStuart%2BJunior%2BHigh%2BSchool%2Bbus%2Bshooting")</f>
        <v>https://www.newspapers.com/image/229988989/?terms=J.%2BE.%2BB.%2BStuart%2BJunior%2BHigh%2BSchool%2Bbus%2Bshooting</v>
      </c>
      <c r="L2769" s="8"/>
      <c r="M2769" s="8"/>
      <c r="N2769" s="8">
        <f ca="1">IFERROR(__xludf.DUMMYFUNCTION("""COMPUTED_VALUE"""),2)</f>
        <v>2</v>
      </c>
      <c r="O2769" s="8" t="str">
        <f ca="1">IFERROR(__xludf.DUMMYFUNCTION("""COMPUTED_VALUE"""),"Fall")</f>
        <v>Fall</v>
      </c>
      <c r="P2769" s="8" t="str">
        <f ca="1">IFERROR(__xludf.DUMMYFUNCTION("""COMPUTED_VALUE"""),"Jacksonville")</f>
        <v>Jacksonville</v>
      </c>
      <c r="Q2769" s="8" t="str">
        <f ca="1">IFERROR(__xludf.DUMMYFUNCTION("""COMPUTED_VALUE"""),"FL")</f>
        <v>FL</v>
      </c>
      <c r="R2769" s="8" t="str">
        <f ca="1">IFERROR(__xludf.DUMMYFUNCTION("""COMPUTED_VALUE"""),"Junior High")</f>
        <v>Junior High</v>
      </c>
      <c r="S2769" s="8" t="str">
        <f ca="1">IFERROR(__xludf.DUMMYFUNCTION("""COMPUTED_VALUE"""),"School Bus")</f>
        <v>School Bus</v>
      </c>
      <c r="T2769" s="8" t="str">
        <f ca="1">IFERROR(__xludf.DUMMYFUNCTION("""COMPUTED_VALUE"""),"School Bus")</f>
        <v>School Bus</v>
      </c>
      <c r="U2769" s="8" t="str">
        <f ca="1">IFERROR(__xludf.DUMMYFUNCTION("""COMPUTED_VALUE"""),"No")</f>
        <v>No</v>
      </c>
      <c r="V2769" s="8" t="str">
        <f ca="1">IFERROR(__xludf.DUMMYFUNCTION("""COMPUTED_VALUE"""),"Sport Event")</f>
        <v>Sport Event</v>
      </c>
      <c r="W2769" s="8"/>
      <c r="X2769" s="8">
        <f ca="1">IFERROR(__xludf.DUMMYFUNCTION("""COMPUTED_VALUE"""),1)</f>
        <v>1</v>
      </c>
      <c r="Y2769" s="12" t="str">
        <f ca="1">IFERROR(__xludf.DUMMYFUNCTION("""COMPUTED_VALUE"""),"Shots fired a bus after football game")</f>
        <v>Shots fired a bus after football game</v>
      </c>
      <c r="Z2769" s="12" t="str">
        <f ca="1">IFERROR(__xludf.DUMMYFUNCTION("""COMPUTED_VALUE"""),"40 staff and students were on a school bus leaving a football game. Shots were fired at the bus injuring 5 students.")</f>
        <v>40 staff and students were on a school bus leaving a football game. Shots were fired at the bus injuring 5 students.</v>
      </c>
      <c r="AA2769" s="8" t="str">
        <f ca="1">IFERROR(__xludf.DUMMYFUNCTION("""COMPUTED_VALUE"""),"Indiscriminate Shooting")</f>
        <v>Indiscriminate Shooting</v>
      </c>
      <c r="AB2769" s="8"/>
      <c r="AC2769" s="8"/>
      <c r="AD2769" s="8" t="str">
        <f ca="1">IFERROR(__xludf.DUMMYFUNCTION("""COMPUTED_VALUE"""),"Both")</f>
        <v>Both</v>
      </c>
      <c r="AE2769" s="8" t="str">
        <f ca="1">IFERROR(__xludf.DUMMYFUNCTION("""COMPUTED_VALUE"""),"No")</f>
        <v>No</v>
      </c>
      <c r="AF2769" s="8"/>
      <c r="AG2769" s="8" t="str">
        <f ca="1">IFERROR(__xludf.DUMMYFUNCTION("""COMPUTED_VALUE"""),"No")</f>
        <v>No</v>
      </c>
      <c r="AH2769" s="8" t="str">
        <f ca="1">IFERROR(__xludf.DUMMYFUNCTION("""COMPUTED_VALUE"""),"No")</f>
        <v>No</v>
      </c>
      <c r="AI2769" s="8" t="str">
        <f ca="1">IFERROR(__xludf.DUMMYFUNCTION("""COMPUTED_VALUE"""),"No")</f>
        <v>No</v>
      </c>
      <c r="AJ2769" s="8" t="str">
        <f ca="1">IFERROR(__xludf.DUMMYFUNCTION("""COMPUTED_VALUE"""),"No")</f>
        <v>No</v>
      </c>
      <c r="AK2769" s="8" t="str">
        <f ca="1">IFERROR(__xludf.DUMMYFUNCTION("""COMPUTED_VALUE"""),"No")</f>
        <v>No</v>
      </c>
      <c r="AL2769" s="8"/>
      <c r="AM2769" s="8"/>
      <c r="AN2769" s="8"/>
      <c r="AO2769" s="8" t="str">
        <f ca="1">IFERROR(__xludf.DUMMYFUNCTION("""COMPUTED_VALUE"""),"No")</f>
        <v>No</v>
      </c>
      <c r="AP2769" s="8"/>
      <c r="AQ2769" s="8" t="str">
        <f ca="1">IFERROR(__xludf.DUMMYFUNCTION("""COMPUTED_VALUE"""),"Unknown")</f>
        <v>Unknown</v>
      </c>
      <c r="AR2769" s="8" t="str">
        <f ca="1">IFERROR(__xludf.DUMMYFUNCTION("""COMPUTED_VALUE"""),"NA")</f>
        <v>NA</v>
      </c>
      <c r="AS2769" s="8" t="str">
        <f ca="1">IFERROR(__xludf.DUMMYFUNCTION("""COMPUTED_VALUE"""),"&lt;10")</f>
        <v>&lt;10</v>
      </c>
      <c r="AT2769" s="8"/>
      <c r="AU2769" s="8">
        <f ca="1">IFERROR(__xludf.DUMMYFUNCTION("""COMPUTED_VALUE"""),30.254742)</f>
        <v>30.254742</v>
      </c>
      <c r="AV2769" s="8">
        <f ca="1">IFERROR(__xludf.DUMMYFUNCTION("""COMPUTED_VALUE"""),-81.737522)</f>
        <v>-81.737521999999998</v>
      </c>
      <c r="AW2769" s="8"/>
      <c r="AX2769" s="8">
        <f ca="1">IFERROR(__xludf.DUMMYFUNCTION("""COMPUTED_VALUE"""),32210)</f>
        <v>32210</v>
      </c>
    </row>
    <row r="2770" spans="1:50" ht="75" x14ac:dyDescent="0.2">
      <c r="A2770" s="8" t="str">
        <f ca="1">IFERROR(__xludf.DUMMYFUNCTION("""COMPUTED_VALUE"""),"19881003FLMAM")</f>
        <v>19881003FLMAM</v>
      </c>
      <c r="B2770" s="8">
        <f ca="1">IFERROR(__xludf.DUMMYFUNCTION("""COMPUTED_VALUE"""),10)</f>
        <v>10</v>
      </c>
      <c r="C2770" s="8">
        <f ca="1">IFERROR(__xludf.DUMMYFUNCTION("""COMPUTED_VALUE"""),3)</f>
        <v>3</v>
      </c>
      <c r="D2770" s="8">
        <f ca="1">IFERROR(__xludf.DUMMYFUNCTION("""COMPUTED_VALUE"""),1988)</f>
        <v>1988</v>
      </c>
      <c r="E2770" s="9">
        <f ca="1">IFERROR(__xludf.DUMMYFUNCTION("""COMPUTED_VALUE"""),32419)</f>
        <v>32419</v>
      </c>
      <c r="F2770" s="8" t="str">
        <f ca="1">IFERROR(__xludf.DUMMYFUNCTION("""COMPUTED_VALUE"""),"Mascotte Elementary School")</f>
        <v>Mascotte Elementary School</v>
      </c>
      <c r="G2770" s="8">
        <f ca="1">IFERROR(__xludf.DUMMYFUNCTION("""COMPUTED_VALUE"""),0)</f>
        <v>0</v>
      </c>
      <c r="H2770" s="8">
        <f ca="1">IFERROR(__xludf.DUMMYFUNCTION("""COMPUTED_VALUE"""),1)</f>
        <v>1</v>
      </c>
      <c r="I2770" s="8">
        <f ca="1">IFERROR(__xludf.DUMMYFUNCTION("""COMPUTED_VALUE"""),1)</f>
        <v>1</v>
      </c>
      <c r="J2770" s="8">
        <f ca="1">IFERROR(__xludf.DUMMYFUNCTION("""COMPUTED_VALUE"""),0)</f>
        <v>0</v>
      </c>
      <c r="K2770" s="8" t="str">
        <f ca="1">IFERROR(__xludf.DUMMYFUNCTION("""COMPUTED_VALUE"""),"https://www.newspapers.com/image/229973837/?terms=hunt%20elementary%20student%20shot&amp;match=1
http://articles.latimes.com/1988-10-04/news/mn-3503_1_elementary-school")</f>
        <v>https://www.newspapers.com/image/229973837/?terms=hunt%20elementary%20student%20shot&amp;match=1
http://articles.latimes.com/1988-10-04/news/mn-3503_1_elementary-school</v>
      </c>
      <c r="L2770" s="8"/>
      <c r="M2770" s="8" t="str">
        <f ca="1">IFERROR(__xludf.DUMMYFUNCTION("""COMPUTED_VALUE"""),"Local")</f>
        <v>Local</v>
      </c>
      <c r="N2770" s="8">
        <f ca="1">IFERROR(__xludf.DUMMYFUNCTION("""COMPUTED_VALUE"""),4)</f>
        <v>4</v>
      </c>
      <c r="O2770" s="8" t="str">
        <f ca="1">IFERROR(__xludf.DUMMYFUNCTION("""COMPUTED_VALUE"""),"Fall")</f>
        <v>Fall</v>
      </c>
      <c r="P2770" s="8" t="str">
        <f ca="1">IFERROR(__xludf.DUMMYFUNCTION("""COMPUTED_VALUE"""),"Mascotte")</f>
        <v>Mascotte</v>
      </c>
      <c r="Q2770" s="8" t="str">
        <f ca="1">IFERROR(__xludf.DUMMYFUNCTION("""COMPUTED_VALUE"""),"FL")</f>
        <v>FL</v>
      </c>
      <c r="R2770" s="8" t="str">
        <f ca="1">IFERROR(__xludf.DUMMYFUNCTION("""COMPUTED_VALUE"""),"Elementary")</f>
        <v>Elementary</v>
      </c>
      <c r="S2770" s="8" t="str">
        <f ca="1">IFERROR(__xludf.DUMMYFUNCTION("""COMPUTED_VALUE"""),"Playground")</f>
        <v>Playground</v>
      </c>
      <c r="T2770" s="8" t="str">
        <f ca="1">IFERROR(__xludf.DUMMYFUNCTION("""COMPUTED_VALUE"""),"Outside on School Property")</f>
        <v>Outside on School Property</v>
      </c>
      <c r="U2770" s="8" t="str">
        <f ca="1">IFERROR(__xludf.DUMMYFUNCTION("""COMPUTED_VALUE"""),"Yes")</f>
        <v>Yes</v>
      </c>
      <c r="V2770" s="8" t="str">
        <f ca="1">IFERROR(__xludf.DUMMYFUNCTION("""COMPUTED_VALUE"""),"Morning Classes")</f>
        <v>Morning Classes</v>
      </c>
      <c r="W2770" s="11">
        <f ca="1">IFERROR(__xludf.DUMMYFUNCTION("""COMPUTED_VALUE"""),0.458333333333333)</f>
        <v>0.45833333333333298</v>
      </c>
      <c r="X2770" s="8">
        <f ca="1">IFERROR(__xludf.DUMMYFUNCTION("""COMPUTED_VALUE"""),1)</f>
        <v>1</v>
      </c>
      <c r="Y2770" s="12" t="str">
        <f ca="1">IFERROR(__xludf.DUMMYFUNCTION("""COMPUTED_VALUE"""),"Gunman in camo fired rifle from woods near school striking a girl on the playground")</f>
        <v>Gunman in camo fired rifle from woods near school striking a girl on the playground</v>
      </c>
      <c r="Z2770" s="12" t="str">
        <f ca="1">IFERROR(__xludf.DUMMYFUNCTION("""COMPUTED_VALUE"""),"A gunman in camo fired three shots from the tree line at the school playground seriously injuring one female student. Police search the area but no gunman was found. No description of the shooter. No arrest made.")</f>
        <v>A gunman in camo fired three shots from the tree line at the school playground seriously injuring one female student. Police search the area but no gunman was found. No description of the shooter. No arrest made.</v>
      </c>
      <c r="AA2770" s="8" t="str">
        <f ca="1">IFERROR(__xludf.DUMMYFUNCTION("""COMPUTED_VALUE"""),"Indiscriminate Shooting")</f>
        <v>Indiscriminate Shooting</v>
      </c>
      <c r="AB2770" s="8"/>
      <c r="AC2770" s="8"/>
      <c r="AD2770" s="8"/>
      <c r="AE2770" s="8" t="str">
        <f ca="1">IFERROR(__xludf.DUMMYFUNCTION("""COMPUTED_VALUE"""),"No")</f>
        <v>No</v>
      </c>
      <c r="AF2770" s="8"/>
      <c r="AG2770" s="8" t="str">
        <f ca="1">IFERROR(__xludf.DUMMYFUNCTION("""COMPUTED_VALUE"""),"No")</f>
        <v>No</v>
      </c>
      <c r="AH2770" s="8" t="str">
        <f ca="1">IFERROR(__xludf.DUMMYFUNCTION("""COMPUTED_VALUE"""),"No")</f>
        <v>No</v>
      </c>
      <c r="AI2770" s="8" t="str">
        <f ca="1">IFERROR(__xludf.DUMMYFUNCTION("""COMPUTED_VALUE"""),"No")</f>
        <v>No</v>
      </c>
      <c r="AJ2770" s="8"/>
      <c r="AK2770" s="8" t="str">
        <f ca="1">IFERROR(__xludf.DUMMYFUNCTION("""COMPUTED_VALUE"""),"No")</f>
        <v>No</v>
      </c>
      <c r="AL2770" s="8" t="str">
        <f ca="1">IFERROR(__xludf.DUMMYFUNCTION("""COMPUTED_VALUE"""),"No")</f>
        <v>No</v>
      </c>
      <c r="AM2770" s="8" t="str">
        <f ca="1">IFERROR(__xludf.DUMMYFUNCTION("""COMPUTED_VALUE"""),"Yes")</f>
        <v>Yes</v>
      </c>
      <c r="AN2770" s="8" t="str">
        <f ca="1">IFERROR(__xludf.DUMMYFUNCTION("""COMPUTED_VALUE"""),"Outside")</f>
        <v>Outside</v>
      </c>
      <c r="AO2770" s="8" t="str">
        <f ca="1">IFERROR(__xludf.DUMMYFUNCTION("""COMPUTED_VALUE"""),"No")</f>
        <v>No</v>
      </c>
      <c r="AP2770" s="8"/>
      <c r="AQ2770" s="8" t="str">
        <f ca="1">IFERROR(__xludf.DUMMYFUNCTION("""COMPUTED_VALUE"""),"Unknown")</f>
        <v>Unknown</v>
      </c>
      <c r="AR2770" s="8" t="str">
        <f ca="1">IFERROR(__xludf.DUMMYFUNCTION("""COMPUTED_VALUE"""),"NA")</f>
        <v>NA</v>
      </c>
      <c r="AS2770" s="8">
        <f ca="1">IFERROR(__xludf.DUMMYFUNCTION("""COMPUTED_VALUE"""),3)</f>
        <v>3</v>
      </c>
      <c r="AT2770" s="8"/>
      <c r="AU2770" s="8">
        <f ca="1">IFERROR(__xludf.DUMMYFUNCTION("""COMPUTED_VALUE"""),28.572249)</f>
        <v>28.572248999999999</v>
      </c>
      <c r="AV2770" s="8">
        <f ca="1">IFERROR(__xludf.DUMMYFUNCTION("""COMPUTED_VALUE"""),-81.885616)</f>
        <v>-81.885615999999999</v>
      </c>
      <c r="AW2770" s="8"/>
      <c r="AX2770" s="8">
        <f ca="1">IFERROR(__xludf.DUMMYFUNCTION("""COMPUTED_VALUE"""),34753)</f>
        <v>34753</v>
      </c>
    </row>
    <row r="2771" spans="1:50" ht="120" x14ac:dyDescent="0.2">
      <c r="A2771" s="8" t="str">
        <f ca="1">IFERROR(__xludf.DUMMYFUNCTION("""COMPUTED_VALUE"""),"19880926SCOAG")</f>
        <v>19880926SCOAG</v>
      </c>
      <c r="B2771" s="8">
        <f ca="1">IFERROR(__xludf.DUMMYFUNCTION("""COMPUTED_VALUE"""),9)</f>
        <v>9</v>
      </c>
      <c r="C2771" s="8">
        <f ca="1">IFERROR(__xludf.DUMMYFUNCTION("""COMPUTED_VALUE"""),26)</f>
        <v>26</v>
      </c>
      <c r="D2771" s="8">
        <f ca="1">IFERROR(__xludf.DUMMYFUNCTION("""COMPUTED_VALUE"""),1988)</f>
        <v>1988</v>
      </c>
      <c r="E2771" s="9">
        <f ca="1">IFERROR(__xludf.DUMMYFUNCTION("""COMPUTED_VALUE"""),32412)</f>
        <v>32412</v>
      </c>
      <c r="F2771" s="8" t="str">
        <f ca="1">IFERROR(__xludf.DUMMYFUNCTION("""COMPUTED_VALUE"""),"Oakland Elementary School")</f>
        <v>Oakland Elementary School</v>
      </c>
      <c r="G2771" s="8">
        <f ca="1">IFERROR(__xludf.DUMMYFUNCTION("""COMPUTED_VALUE"""),2)</f>
        <v>2</v>
      </c>
      <c r="H2771" s="8">
        <f ca="1">IFERROR(__xludf.DUMMYFUNCTION("""COMPUTED_VALUE"""),9)</f>
        <v>9</v>
      </c>
      <c r="I2771" s="8">
        <f ca="1">IFERROR(__xludf.DUMMYFUNCTION("""COMPUTED_VALUE"""),11)</f>
        <v>11</v>
      </c>
      <c r="J2771" s="8">
        <f ca="1">IFERROR(__xludf.DUMMYFUNCTION("""COMPUTED_VALUE"""),0)</f>
        <v>0</v>
      </c>
      <c r="K2771" s="8" t="str">
        <f ca="1">IFERROR(__xludf.DUMMYFUNCTION("""COMPUTED_VALUE"""),"https://www.thestate.com/news/local/crime/article262307282.html https://www.nytimes.com/1988/09/30/us/second-victim-dies-after-school-shooting-incident.html https://en.wikipedia.org/wiki/Oakland_Elementary_School_shooting")</f>
        <v>https://www.thestate.com/news/local/crime/article262307282.html https://www.nytimes.com/1988/09/30/us/second-victim-dies-after-school-shooting-incident.html https://en.wikipedia.org/wiki/Oakland_Elementary_School_shooting</v>
      </c>
      <c r="L2771" s="8"/>
      <c r="M2771" s="8" t="str">
        <f ca="1">IFERROR(__xludf.DUMMYFUNCTION("""COMPUTED_VALUE"""),"National")</f>
        <v>National</v>
      </c>
      <c r="N2771" s="8">
        <f ca="1">IFERROR(__xludf.DUMMYFUNCTION("""COMPUTED_VALUE"""),4)</f>
        <v>4</v>
      </c>
      <c r="O2771" s="8" t="str">
        <f ca="1">IFERROR(__xludf.DUMMYFUNCTION("""COMPUTED_VALUE"""),"Fall")</f>
        <v>Fall</v>
      </c>
      <c r="P2771" s="8" t="str">
        <f ca="1">IFERROR(__xludf.DUMMYFUNCTION("""COMPUTED_VALUE"""),"Greenwood")</f>
        <v>Greenwood</v>
      </c>
      <c r="Q2771" s="8" t="str">
        <f ca="1">IFERROR(__xludf.DUMMYFUNCTION("""COMPUTED_VALUE"""),"SC")</f>
        <v>SC</v>
      </c>
      <c r="R2771" s="8" t="str">
        <f ca="1">IFERROR(__xludf.DUMMYFUNCTION("""COMPUTED_VALUE"""),"Elementary")</f>
        <v>Elementary</v>
      </c>
      <c r="S2771" s="8" t="str">
        <f ca="1">IFERROR(__xludf.DUMMYFUNCTION("""COMPUTED_VALUE"""),"Cafeteria")</f>
        <v>Cafeteria</v>
      </c>
      <c r="T2771" s="8" t="str">
        <f ca="1">IFERROR(__xludf.DUMMYFUNCTION("""COMPUTED_VALUE"""),"Inside School Building")</f>
        <v>Inside School Building</v>
      </c>
      <c r="U2771" s="8" t="str">
        <f ca="1">IFERROR(__xludf.DUMMYFUNCTION("""COMPUTED_VALUE"""),"Yes")</f>
        <v>Yes</v>
      </c>
      <c r="V2771" s="8" t="str">
        <f ca="1">IFERROR(__xludf.DUMMYFUNCTION("""COMPUTED_VALUE"""),"Lunch")</f>
        <v>Lunch</v>
      </c>
      <c r="W2771" s="11">
        <f ca="1">IFERROR(__xludf.DUMMYFUNCTION("""COMPUTED_VALUE"""),0.479166666666666)</f>
        <v>0.47916666666666602</v>
      </c>
      <c r="X2771" s="8"/>
      <c r="Y2771" s="12" t="str">
        <f ca="1">IFERROR(__xludf.DUMMYFUNCTION("""COMPUTED_VALUE"""),"Man with gun walked into cafeteria and started shooting")</f>
        <v>Man with gun walked into cafeteria and started shooting</v>
      </c>
      <c r="Z2771" s="12" t="str">
        <f ca="1">IFERROR(__xludf.DUMMYFUNCTION("""COMPUTED_VALUE"""),"19-year-old carried pistol into cafeteria of school and fired at random students. Shooter walked around school firing at random teachers and students until he was detained by police. Shooter had significant mental health history including being institutio"&amp;"nalized. Lived isolated life with grandfather. Unemployed. Shooter had been taking xanax of anxiety and had lost health insurance coverage so he stopped taking medication.")</f>
        <v>19-year-old carried pistol into cafeteria of school and fired at random students. Shooter walked around school firing at random teachers and students until he was detained by police. Shooter had significant mental health history including being institutionalized. Lived isolated life with grandfather. Unemployed. Shooter had been taking xanax of anxiety and had lost health insurance coverage so he stopped taking medication.</v>
      </c>
      <c r="AA2771" s="8" t="str">
        <f ca="1">IFERROR(__xludf.DUMMYFUNCTION("""COMPUTED_VALUE"""),"Psychosis")</f>
        <v>Psychosis</v>
      </c>
      <c r="AB2771" s="8" t="str">
        <f ca="1">IFERROR(__xludf.DUMMYFUNCTION("""COMPUTED_VALUE"""),"Active Shooter/Planned Attack")</f>
        <v>Active Shooter/Planned Attack</v>
      </c>
      <c r="AC2771" s="8"/>
      <c r="AD2771" s="8" t="str">
        <f ca="1">IFERROR(__xludf.DUMMYFUNCTION("""COMPUTED_VALUE"""),"Random Shooting")</f>
        <v>Random Shooting</v>
      </c>
      <c r="AE2771" s="8" t="str">
        <f ca="1">IFERROR(__xludf.DUMMYFUNCTION("""COMPUTED_VALUE"""),"No")</f>
        <v>No</v>
      </c>
      <c r="AF2771" s="8"/>
      <c r="AG2771" s="8" t="str">
        <f ca="1">IFERROR(__xludf.DUMMYFUNCTION("""COMPUTED_VALUE"""),"No")</f>
        <v>No</v>
      </c>
      <c r="AH2771" s="8" t="str">
        <f ca="1">IFERROR(__xludf.DUMMYFUNCTION("""COMPUTED_VALUE"""),"No")</f>
        <v>No</v>
      </c>
      <c r="AI2771" s="8" t="str">
        <f ca="1">IFERROR(__xludf.DUMMYFUNCTION("""COMPUTED_VALUE"""),"No")</f>
        <v>No</v>
      </c>
      <c r="AJ2771" s="8" t="str">
        <f ca="1">IFERROR(__xludf.DUMMYFUNCTION("""COMPUTED_VALUE"""),"Yes")</f>
        <v>Yes</v>
      </c>
      <c r="AK2771" s="8" t="str">
        <f ca="1">IFERROR(__xludf.DUMMYFUNCTION("""COMPUTED_VALUE"""),"No")</f>
        <v>No</v>
      </c>
      <c r="AL2771" s="8" t="str">
        <f ca="1">IFERROR(__xludf.DUMMYFUNCTION("""COMPUTED_VALUE"""),"No")</f>
        <v>No</v>
      </c>
      <c r="AM2771" s="8" t="str">
        <f ca="1">IFERROR(__xludf.DUMMYFUNCTION("""COMPUTED_VALUE"""),"Yes")</f>
        <v>Yes</v>
      </c>
      <c r="AN2771" s="8" t="str">
        <f ca="1">IFERROR(__xludf.DUMMYFUNCTION("""COMPUTED_VALUE"""),"Multiple Rooms")</f>
        <v>Multiple Rooms</v>
      </c>
      <c r="AO2771" s="8" t="str">
        <f ca="1">IFERROR(__xludf.DUMMYFUNCTION("""COMPUTED_VALUE"""),"Yes")</f>
        <v>Yes</v>
      </c>
      <c r="AP2771" s="8"/>
      <c r="AQ2771" s="8" t="str">
        <f ca="1">IFERROR(__xludf.DUMMYFUNCTION("""COMPUTED_VALUE"""),"Unknown")</f>
        <v>Unknown</v>
      </c>
      <c r="AR2771" s="8" t="str">
        <f ca="1">IFERROR(__xludf.DUMMYFUNCTION("""COMPUTED_VALUE"""),"NA")</f>
        <v>NA</v>
      </c>
      <c r="AS2771" s="8"/>
      <c r="AT2771" s="8"/>
      <c r="AU2771" s="8">
        <f ca="1">IFERROR(__xludf.DUMMYFUNCTION("""COMPUTED_VALUE"""),34.2269)</f>
        <v>34.226900000000001</v>
      </c>
      <c r="AV2771" s="8">
        <f ca="1">IFERROR(__xludf.DUMMYFUNCTION("""COMPUTED_VALUE"""),-82.1408)</f>
        <v>-82.140799999999999</v>
      </c>
      <c r="AW2771" s="8"/>
      <c r="AX2771" s="8">
        <f ca="1">IFERROR(__xludf.DUMMYFUNCTION("""COMPUTED_VALUE"""),29649)</f>
        <v>29649</v>
      </c>
    </row>
    <row r="2772" spans="1:50" ht="120" x14ac:dyDescent="0.2">
      <c r="A2772" s="8" t="str">
        <f ca="1">IFERROR(__xludf.DUMMYFUNCTION("""COMPUTED_VALUE"""),"19880922ILMOC")</f>
        <v>19880922ILMOC</v>
      </c>
      <c r="B2772" s="8">
        <f ca="1">IFERROR(__xludf.DUMMYFUNCTION("""COMPUTED_VALUE"""),9)</f>
        <v>9</v>
      </c>
      <c r="C2772" s="8">
        <f ca="1">IFERROR(__xludf.DUMMYFUNCTION("""COMPUTED_VALUE"""),22)</f>
        <v>22</v>
      </c>
      <c r="D2772" s="8">
        <f ca="1">IFERROR(__xludf.DUMMYFUNCTION("""COMPUTED_VALUE"""),1988)</f>
        <v>1988</v>
      </c>
      <c r="E2772" s="9">
        <f ca="1">IFERROR(__xludf.DUMMYFUNCTION("""COMPUTED_VALUE"""),32408)</f>
        <v>32408</v>
      </c>
      <c r="F2772" s="8" t="str">
        <f ca="1">IFERROR(__xludf.DUMMYFUNCTION("""COMPUTED_VALUE"""),"Moses Montefoire Public School")</f>
        <v>Moses Montefoire Public School</v>
      </c>
      <c r="G2772" s="8">
        <f ca="1">IFERROR(__xludf.DUMMYFUNCTION("""COMPUTED_VALUE"""),4)</f>
        <v>4</v>
      </c>
      <c r="H2772" s="8">
        <f ca="1">IFERROR(__xludf.DUMMYFUNCTION("""COMPUTED_VALUE"""),2)</f>
        <v>2</v>
      </c>
      <c r="I2772" s="8">
        <f ca="1">IFERROR(__xludf.DUMMYFUNCTION("""COMPUTED_VALUE"""),6)</f>
        <v>6</v>
      </c>
      <c r="J2772" s="8">
        <f ca="1">IFERROR(__xludf.DUMMYFUNCTION("""COMPUTED_VALUE"""),1)</f>
        <v>1</v>
      </c>
      <c r="K2772" s="8" t="str">
        <f ca="1">IFERROR(__xludf.DUMMYFUNCTION("""COMPUTED_VALUE"""),"https://www.newspapers.com/image/388358003/ http://www.chicagotribune.com/news/ct-met-irma-ruiz-30-years-20180928-story.html")</f>
        <v>https://www.newspapers.com/image/388358003/ http://www.chicagotribune.com/news/ct-met-irma-ruiz-30-years-20180928-story.html</v>
      </c>
      <c r="L2772" s="8"/>
      <c r="M2772" s="8"/>
      <c r="N2772" s="8">
        <f ca="1">IFERROR(__xludf.DUMMYFUNCTION("""COMPUTED_VALUE"""),3)</f>
        <v>3</v>
      </c>
      <c r="O2772" s="8" t="str">
        <f ca="1">IFERROR(__xludf.DUMMYFUNCTION("""COMPUTED_VALUE"""),"Fall")</f>
        <v>Fall</v>
      </c>
      <c r="P2772" s="8" t="str">
        <f ca="1">IFERROR(__xludf.DUMMYFUNCTION("""COMPUTED_VALUE"""),"Chicago")</f>
        <v>Chicago</v>
      </c>
      <c r="Q2772" s="8" t="str">
        <f ca="1">IFERROR(__xludf.DUMMYFUNCTION("""COMPUTED_VALUE"""),"IL")</f>
        <v>IL</v>
      </c>
      <c r="R2772" s="8" t="str">
        <f ca="1">IFERROR(__xludf.DUMMYFUNCTION("""COMPUTED_VALUE"""),"Elementary")</f>
        <v>Elementary</v>
      </c>
      <c r="S2772" s="8" t="str">
        <f ca="1">IFERROR(__xludf.DUMMYFUNCTION("""COMPUTED_VALUE"""),"Front of School")</f>
        <v>Front of School</v>
      </c>
      <c r="T2772" s="8" t="str">
        <f ca="1">IFERROR(__xludf.DUMMYFUNCTION("""COMPUTED_VALUE"""),"Outside on School Property")</f>
        <v>Outside on School Property</v>
      </c>
      <c r="U2772" s="8" t="str">
        <f ca="1">IFERROR(__xludf.DUMMYFUNCTION("""COMPUTED_VALUE"""),"Yes")</f>
        <v>Yes</v>
      </c>
      <c r="V2772" s="8" t="str">
        <f ca="1">IFERROR(__xludf.DUMMYFUNCTION("""COMPUTED_VALUE"""),"Morning Classes")</f>
        <v>Morning Classes</v>
      </c>
      <c r="W2772" s="11">
        <f ca="1">IFERROR(__xludf.DUMMYFUNCTION("""COMPUTED_VALUE"""),0.416666666666666)</f>
        <v>0.41666666666666602</v>
      </c>
      <c r="X2772" s="8">
        <f ca="1">IFERROR(__xludf.DUMMYFUNCTION("""COMPUTED_VALUE"""),20)</f>
        <v>20</v>
      </c>
      <c r="Y2772" s="12" t="str">
        <f ca="1">IFERROR(__xludf.DUMMYFUNCTION("""COMPUTED_VALUE"""),"Shot 6 people (2 cops, 2 garbage workers, 2 school employees) outside school, killed by wounded officer")</f>
        <v>Shot 6 people (2 cops, 2 garbage workers, 2 school employees) outside school, killed by wounded officer</v>
      </c>
      <c r="Z2772" s="12" t="str">
        <f ca="1">IFERROR(__xludf.DUMMYFUNCTION("""COMPUTED_VALUE"""),"Adult male suspect had frequent criminal charges dating back to 14 years old. Charged 9 times in past 17 years. Vietnam vet. On medication for depression. Said he was going to kill everyone in the school and fired on janitors and city trash collectors out"&amp;"side. Two police were in the area and fired at him. One officer was killed and the other seriously injured. Injured officer shot and killed the shooter. No students were injured.")</f>
        <v>Adult male suspect had frequent criminal charges dating back to 14 years old. Charged 9 times in past 17 years. Vietnam vet. On medication for depression. Said he was going to kill everyone in the school and fired on janitors and city trash collectors outside. Two police were in the area and fired at him. One officer was killed and the other seriously injured. Injured officer shot and killed the shooter. No students were injured.</v>
      </c>
      <c r="AA2772" s="8" t="str">
        <f ca="1">IFERROR(__xludf.DUMMYFUNCTION("""COMPUTED_VALUE"""),"Psychosis")</f>
        <v>Psychosis</v>
      </c>
      <c r="AB2772" s="8"/>
      <c r="AC2772" s="8"/>
      <c r="AD2772" s="8" t="str">
        <f ca="1">IFERROR(__xludf.DUMMYFUNCTION("""COMPUTED_VALUE"""),"Random Shooting")</f>
        <v>Random Shooting</v>
      </c>
      <c r="AE2772" s="8" t="str">
        <f ca="1">IFERROR(__xludf.DUMMYFUNCTION("""COMPUTED_VALUE"""),"No")</f>
        <v>No</v>
      </c>
      <c r="AF2772" s="8"/>
      <c r="AG2772" s="8" t="str">
        <f ca="1">IFERROR(__xludf.DUMMYFUNCTION("""COMPUTED_VALUE"""),"No")</f>
        <v>No</v>
      </c>
      <c r="AH2772" s="8" t="str">
        <f ca="1">IFERROR(__xludf.DUMMYFUNCTION("""COMPUTED_VALUE"""),"No")</f>
        <v>No</v>
      </c>
      <c r="AI2772" s="8" t="str">
        <f ca="1">IFERROR(__xludf.DUMMYFUNCTION("""COMPUTED_VALUE"""),"No")</f>
        <v>No</v>
      </c>
      <c r="AJ2772" s="8" t="str">
        <f ca="1">IFERROR(__xludf.DUMMYFUNCTION("""COMPUTED_VALUE"""),"No")</f>
        <v>No</v>
      </c>
      <c r="AK2772" s="8" t="str">
        <f ca="1">IFERROR(__xludf.DUMMYFUNCTION("""COMPUTED_VALUE"""),"No")</f>
        <v>No</v>
      </c>
      <c r="AL2772" s="8" t="str">
        <f ca="1">IFERROR(__xludf.DUMMYFUNCTION("""COMPUTED_VALUE"""),"No")</f>
        <v>No</v>
      </c>
      <c r="AM2772" s="8" t="str">
        <f ca="1">IFERROR(__xludf.DUMMYFUNCTION("""COMPUTED_VALUE"""),"Yes")</f>
        <v>Yes</v>
      </c>
      <c r="AN2772" s="8" t="str">
        <f ca="1">IFERROR(__xludf.DUMMYFUNCTION("""COMPUTED_VALUE"""),"Outside")</f>
        <v>Outside</v>
      </c>
      <c r="AO2772" s="8" t="str">
        <f ca="1">IFERROR(__xludf.DUMMYFUNCTION("""COMPUTED_VALUE"""),"No")</f>
        <v>No</v>
      </c>
      <c r="AP2772" s="8"/>
      <c r="AQ2772" s="8" t="str">
        <f ca="1">IFERROR(__xludf.DUMMYFUNCTION("""COMPUTED_VALUE"""),"Unknown")</f>
        <v>Unknown</v>
      </c>
      <c r="AR2772" s="8" t="str">
        <f ca="1">IFERROR(__xludf.DUMMYFUNCTION("""COMPUTED_VALUE"""),"NA")</f>
        <v>NA</v>
      </c>
      <c r="AS2772" s="8" t="str">
        <f ca="1">IFERROR(__xludf.DUMMYFUNCTION("""COMPUTED_VALUE"""),"&gt;20")</f>
        <v>&gt;20</v>
      </c>
      <c r="AT2772" s="8"/>
      <c r="AU2772" s="8">
        <f ca="1">IFERROR(__xludf.DUMMYFUNCTION("""COMPUTED_VALUE"""),41.864849)</f>
        <v>41.864849</v>
      </c>
      <c r="AV2772" s="8">
        <f ca="1">IFERROR(__xludf.DUMMYFUNCTION("""COMPUTED_VALUE"""),-87.666631)</f>
        <v>-87.666630999999995</v>
      </c>
      <c r="AW2772" s="8"/>
      <c r="AX2772" s="8">
        <f ca="1">IFERROR(__xludf.DUMMYFUNCTION("""COMPUTED_VALUE"""),60608)</f>
        <v>60608</v>
      </c>
    </row>
    <row r="2773" spans="1:50" ht="75" x14ac:dyDescent="0.2">
      <c r="A2773" s="8" t="str">
        <f ca="1">IFERROR(__xludf.DUMMYFUNCTION("""COMPUTED_VALUE"""),"19880903TXLID")</f>
        <v>19880903TXLID</v>
      </c>
      <c r="B2773" s="8">
        <f ca="1">IFERROR(__xludf.DUMMYFUNCTION("""COMPUTED_VALUE"""),9)</f>
        <v>9</v>
      </c>
      <c r="C2773" s="8">
        <f ca="1">IFERROR(__xludf.DUMMYFUNCTION("""COMPUTED_VALUE"""),3)</f>
        <v>3</v>
      </c>
      <c r="D2773" s="8">
        <f ca="1">IFERROR(__xludf.DUMMYFUNCTION("""COMPUTED_VALUE"""),1988)</f>
        <v>1988</v>
      </c>
      <c r="E2773" s="9">
        <f ca="1">IFERROR(__xludf.DUMMYFUNCTION("""COMPUTED_VALUE"""),32389)</f>
        <v>32389</v>
      </c>
      <c r="F2773" s="8" t="str">
        <f ca="1">IFERROR(__xludf.DUMMYFUNCTION("""COMPUTED_VALUE"""),"Lincoln High School")</f>
        <v>Lincoln High School</v>
      </c>
      <c r="G2773" s="8">
        <f ca="1">IFERROR(__xludf.DUMMYFUNCTION("""COMPUTED_VALUE"""),0)</f>
        <v>0</v>
      </c>
      <c r="H2773" s="8">
        <f ca="1">IFERROR(__xludf.DUMMYFUNCTION("""COMPUTED_VALUE"""),2)</f>
        <v>2</v>
      </c>
      <c r="I2773" s="8">
        <f ca="1">IFERROR(__xludf.DUMMYFUNCTION("""COMPUTED_VALUE"""),2)</f>
        <v>2</v>
      </c>
      <c r="J2773" s="8">
        <f ca="1">IFERROR(__xludf.DUMMYFUNCTION("""COMPUTED_VALUE"""),0)</f>
        <v>0</v>
      </c>
      <c r="K2773" s="10" t="str">
        <f ca="1">IFERROR(__xludf.DUMMYFUNCTION("""COMPUTED_VALUE"""),"https://www.newspapers.com/image/299882814/?terms=Lincoln%2BHigh%2BSchool%2Bdallas%2Bpep%2Brally")</f>
        <v>https://www.newspapers.com/image/299882814/?terms=Lincoln%2BHigh%2BSchool%2Bdallas%2Bpep%2Brally</v>
      </c>
      <c r="L2773" s="8"/>
      <c r="M2773" s="8"/>
      <c r="N2773" s="8">
        <f ca="1">IFERROR(__xludf.DUMMYFUNCTION("""COMPUTED_VALUE"""),2)</f>
        <v>2</v>
      </c>
      <c r="O2773" s="8" t="str">
        <f ca="1">IFERROR(__xludf.DUMMYFUNCTION("""COMPUTED_VALUE"""),"Fall")</f>
        <v>Fall</v>
      </c>
      <c r="P2773" s="8" t="str">
        <f ca="1">IFERROR(__xludf.DUMMYFUNCTION("""COMPUTED_VALUE"""),"Dallas")</f>
        <v>Dallas</v>
      </c>
      <c r="Q2773" s="8" t="str">
        <f ca="1">IFERROR(__xludf.DUMMYFUNCTION("""COMPUTED_VALUE"""),"TX")</f>
        <v>TX</v>
      </c>
      <c r="R2773" s="8" t="str">
        <f ca="1">IFERROR(__xludf.DUMMYFUNCTION("""COMPUTED_VALUE"""),"High")</f>
        <v>High</v>
      </c>
      <c r="S2773" s="8" t="str">
        <f ca="1">IFERROR(__xludf.DUMMYFUNCTION("""COMPUTED_VALUE"""),"Parking Lot")</f>
        <v>Parking Lot</v>
      </c>
      <c r="T2773" s="8" t="str">
        <f ca="1">IFERROR(__xludf.DUMMYFUNCTION("""COMPUTED_VALUE"""),"Outside on School Property")</f>
        <v>Outside on School Property</v>
      </c>
      <c r="U2773" s="8" t="str">
        <f ca="1">IFERROR(__xludf.DUMMYFUNCTION("""COMPUTED_VALUE"""),"No")</f>
        <v>No</v>
      </c>
      <c r="V2773" s="8" t="str">
        <f ca="1">IFERROR(__xludf.DUMMYFUNCTION("""COMPUTED_VALUE"""),"School Event")</f>
        <v>School Event</v>
      </c>
      <c r="W2773" s="8"/>
      <c r="X2773" s="8">
        <f ca="1">IFERROR(__xludf.DUMMYFUNCTION("""COMPUTED_VALUE"""),1)</f>
        <v>1</v>
      </c>
      <c r="Y2773" s="12" t="str">
        <f ca="1">IFERROR(__xludf.DUMMYFUNCTION("""COMPUTED_VALUE"""),"Bystander students stuck during shooting at pep rally")</f>
        <v>Bystander students stuck during shooting at pep rally</v>
      </c>
      <c r="Z2773" s="12" t="str">
        <f ca="1">IFERROR(__xludf.DUMMYFUNCTION("""COMPUTED_VALUE"""),"Two students were struck by the crossfire of a shooting during an attempted robbery of a gold chain in the parking lot. Four youths with pistols all fired during the incident. Large group of students was outside of the school for a pep rally. Shooters arr"&amp;"ived in a vehicle and fled the scene.")</f>
        <v>Two students were struck by the crossfire of a shooting during an attempted robbery of a gold chain in the parking lot. Four youths with pistols all fired during the incident. Large group of students was outside of the school for a pep rally. Shooters arrived in a vehicle and fled the scene.</v>
      </c>
      <c r="AA2773" s="8" t="str">
        <f ca="1">IFERROR(__xludf.DUMMYFUNCTION("""COMPUTED_VALUE"""),"Illegal Activity")</f>
        <v>Illegal Activity</v>
      </c>
      <c r="AB2773" s="8"/>
      <c r="AC2773" s="8"/>
      <c r="AD2773" s="8" t="str">
        <f ca="1">IFERROR(__xludf.DUMMYFUNCTION("""COMPUTED_VALUE"""),"Both")</f>
        <v>Both</v>
      </c>
      <c r="AE2773" s="8" t="str">
        <f ca="1">IFERROR(__xludf.DUMMYFUNCTION("""COMPUTED_VALUE"""),"Yes")</f>
        <v>Yes</v>
      </c>
      <c r="AF2773" s="8" t="str">
        <f ca="1">IFERROR(__xludf.DUMMYFUNCTION("""COMPUTED_VALUE"""),"4 armed youths fired pistols")</f>
        <v>4 armed youths fired pistols</v>
      </c>
      <c r="AG2773" s="8" t="str">
        <f ca="1">IFERROR(__xludf.DUMMYFUNCTION("""COMPUTED_VALUE"""),"No")</f>
        <v>No</v>
      </c>
      <c r="AH2773" s="8" t="str">
        <f ca="1">IFERROR(__xludf.DUMMYFUNCTION("""COMPUTED_VALUE"""),"No")</f>
        <v>No</v>
      </c>
      <c r="AI2773" s="8" t="str">
        <f ca="1">IFERROR(__xludf.DUMMYFUNCTION("""COMPUTED_VALUE"""),"No")</f>
        <v>No</v>
      </c>
      <c r="AJ2773" s="8" t="str">
        <f ca="1">IFERROR(__xludf.DUMMYFUNCTION("""COMPUTED_VALUE"""),"No")</f>
        <v>No</v>
      </c>
      <c r="AK2773" s="8" t="str">
        <f ca="1">IFERROR(__xludf.DUMMYFUNCTION("""COMPUTED_VALUE"""),"No")</f>
        <v>No</v>
      </c>
      <c r="AL2773" s="8"/>
      <c r="AM2773" s="8"/>
      <c r="AN2773" s="8"/>
      <c r="AO2773" s="8" t="str">
        <f ca="1">IFERROR(__xludf.DUMMYFUNCTION("""COMPUTED_VALUE"""),"No")</f>
        <v>No</v>
      </c>
      <c r="AP2773" s="8"/>
      <c r="AQ2773" s="8" t="str">
        <f ca="1">IFERROR(__xludf.DUMMYFUNCTION("""COMPUTED_VALUE"""),"Unknown")</f>
        <v>Unknown</v>
      </c>
      <c r="AR2773" s="8" t="str">
        <f ca="1">IFERROR(__xludf.DUMMYFUNCTION("""COMPUTED_VALUE"""),"NA")</f>
        <v>NA</v>
      </c>
      <c r="AS2773" s="8" t="str">
        <f ca="1">IFERROR(__xludf.DUMMYFUNCTION("""COMPUTED_VALUE"""),"&gt;10")</f>
        <v>&gt;10</v>
      </c>
      <c r="AT2773" s="8"/>
      <c r="AU2773" s="8">
        <f ca="1">IFERROR(__xludf.DUMMYFUNCTION("""COMPUTED_VALUE"""),32.756192)</f>
        <v>32.756191999999999</v>
      </c>
      <c r="AV2773" s="8">
        <f ca="1">IFERROR(__xludf.DUMMYFUNCTION("""COMPUTED_VALUE"""),-96.751029)</f>
        <v>-96.751029000000003</v>
      </c>
      <c r="AW2773" s="8"/>
      <c r="AX2773" s="8">
        <f ca="1">IFERROR(__xludf.DUMMYFUNCTION("""COMPUTED_VALUE"""),75215)</f>
        <v>75215</v>
      </c>
    </row>
    <row r="2774" spans="1:50" ht="60" x14ac:dyDescent="0.2">
      <c r="A2774" s="8" t="str">
        <f ca="1">IFERROR(__xludf.DUMMYFUNCTION("""COMPUTED_VALUE"""),"19880902NCGAC")</f>
        <v>19880902NCGAC</v>
      </c>
      <c r="B2774" s="8">
        <f ca="1">IFERROR(__xludf.DUMMYFUNCTION("""COMPUTED_VALUE"""),9)</f>
        <v>9</v>
      </c>
      <c r="C2774" s="8">
        <f ca="1">IFERROR(__xludf.DUMMYFUNCTION("""COMPUTED_VALUE"""),2)</f>
        <v>2</v>
      </c>
      <c r="D2774" s="8">
        <f ca="1">IFERROR(__xludf.DUMMYFUNCTION("""COMPUTED_VALUE"""),1988)</f>
        <v>1988</v>
      </c>
      <c r="E2774" s="9">
        <f ca="1">IFERROR(__xludf.DUMMYFUNCTION("""COMPUTED_VALUE"""),32388)</f>
        <v>32388</v>
      </c>
      <c r="F2774" s="8" t="str">
        <f ca="1">IFERROR(__xludf.DUMMYFUNCTION("""COMPUTED_VALUE"""),"Garinger High School")</f>
        <v>Garinger High School</v>
      </c>
      <c r="G2774" s="8">
        <f ca="1">IFERROR(__xludf.DUMMYFUNCTION("""COMPUTED_VALUE"""),0)</f>
        <v>0</v>
      </c>
      <c r="H2774" s="8">
        <f ca="1">IFERROR(__xludf.DUMMYFUNCTION("""COMPUTED_VALUE"""),4)</f>
        <v>4</v>
      </c>
      <c r="I2774" s="8">
        <f ca="1">IFERROR(__xludf.DUMMYFUNCTION("""COMPUTED_VALUE"""),4)</f>
        <v>4</v>
      </c>
      <c r="J2774" s="8">
        <f ca="1">IFERROR(__xludf.DUMMYFUNCTION("""COMPUTED_VALUE"""),0)</f>
        <v>0</v>
      </c>
      <c r="K2774" s="8" t="str">
        <f ca="1">IFERROR(__xludf.DUMMYFUNCTION("""COMPUTED_VALUE"""),"https://www.newspapers.com/image/282970426/?terms=shooting%20high%20school%20football&amp;match=1 https://www.newspapers.com/image/282970426/?terms=Garinger%2BHigh%2BSchool%2Bfootball%2Bgame%2Bshooting")</f>
        <v>https://www.newspapers.com/image/282970426/?terms=shooting%20high%20school%20football&amp;match=1 https://www.newspapers.com/image/282970426/?terms=Garinger%2BHigh%2BSchool%2Bfootball%2Bgame%2Bshooting</v>
      </c>
      <c r="L2774" s="8"/>
      <c r="M2774" s="8" t="str">
        <f ca="1">IFERROR(__xludf.DUMMYFUNCTION("""COMPUTED_VALUE"""),"National")</f>
        <v>National</v>
      </c>
      <c r="N2774" s="8">
        <f ca="1">IFERROR(__xludf.DUMMYFUNCTION("""COMPUTED_VALUE"""),3)</f>
        <v>3</v>
      </c>
      <c r="O2774" s="8" t="str">
        <f ca="1">IFERROR(__xludf.DUMMYFUNCTION("""COMPUTED_VALUE"""),"Fall")</f>
        <v>Fall</v>
      </c>
      <c r="P2774" s="8" t="str">
        <f ca="1">IFERROR(__xludf.DUMMYFUNCTION("""COMPUTED_VALUE"""),"Charlotte")</f>
        <v>Charlotte</v>
      </c>
      <c r="Q2774" s="8" t="str">
        <f ca="1">IFERROR(__xludf.DUMMYFUNCTION("""COMPUTED_VALUE"""),"NC")</f>
        <v>NC</v>
      </c>
      <c r="R2774" s="8" t="str">
        <f ca="1">IFERROR(__xludf.DUMMYFUNCTION("""COMPUTED_VALUE"""),"High")</f>
        <v>High</v>
      </c>
      <c r="S2774" s="8" t="str">
        <f ca="1">IFERROR(__xludf.DUMMYFUNCTION("""COMPUTED_VALUE"""),"Football Field/Track")</f>
        <v>Football Field/Track</v>
      </c>
      <c r="T2774" s="8" t="str">
        <f ca="1">IFERROR(__xludf.DUMMYFUNCTION("""COMPUTED_VALUE"""),"Outside on School Property")</f>
        <v>Outside on School Property</v>
      </c>
      <c r="U2774" s="8" t="str">
        <f ca="1">IFERROR(__xludf.DUMMYFUNCTION("""COMPUTED_VALUE"""),"No")</f>
        <v>No</v>
      </c>
      <c r="V2774" s="8" t="str">
        <f ca="1">IFERROR(__xludf.DUMMYFUNCTION("""COMPUTED_VALUE"""),"Sport Event")</f>
        <v>Sport Event</v>
      </c>
      <c r="W2774" s="11">
        <f ca="1">IFERROR(__xludf.DUMMYFUNCTION("""COMPUTED_VALUE"""),0.895833333333333)</f>
        <v>0.89583333333333304</v>
      </c>
      <c r="X2774" s="8">
        <f ca="1">IFERROR(__xludf.DUMMYFUNCTION("""COMPUTED_VALUE"""),1)</f>
        <v>1</v>
      </c>
      <c r="Y2774" s="12" t="str">
        <f ca="1">IFERROR(__xludf.DUMMYFUNCTION("""COMPUTED_VALUE"""),"4 shot at football game, Ongoing dispute with targets")</f>
        <v>4 shot at football game, Ongoing dispute with targets</v>
      </c>
      <c r="Z2774" s="12" t="str">
        <f ca="1">IFERROR(__xludf.DUMMYFUNCTION("""COMPUTED_VALUE"""),"16YOM student had ongoing dispute with victims at football game. Fight turned into shooting. Father said there was a long running dispute with victims. Three people were arrested with handguns.")</f>
        <v>16YOM student had ongoing dispute with victims at football game. Fight turned into shooting. Father said there was a long running dispute with victims. Three people were arrested with handguns.</v>
      </c>
      <c r="AA2774" s="8" t="str">
        <f ca="1">IFERROR(__xludf.DUMMYFUNCTION("""COMPUTED_VALUE"""),"Escalation of Dispute")</f>
        <v>Escalation of Dispute</v>
      </c>
      <c r="AB2774" s="8"/>
      <c r="AC2774" s="8"/>
      <c r="AD2774" s="8" t="str">
        <f ca="1">IFERROR(__xludf.DUMMYFUNCTION("""COMPUTED_VALUE"""),"Both")</f>
        <v>Both</v>
      </c>
      <c r="AE2774" s="8" t="str">
        <f ca="1">IFERROR(__xludf.DUMMYFUNCTION("""COMPUTED_VALUE"""),"No")</f>
        <v>No</v>
      </c>
      <c r="AF2774" s="8"/>
      <c r="AG2774" s="8" t="str">
        <f ca="1">IFERROR(__xludf.DUMMYFUNCTION("""COMPUTED_VALUE"""),"No")</f>
        <v>No</v>
      </c>
      <c r="AH2774" s="8" t="str">
        <f ca="1">IFERROR(__xludf.DUMMYFUNCTION("""COMPUTED_VALUE"""),"No")</f>
        <v>No</v>
      </c>
      <c r="AI2774" s="8" t="str">
        <f ca="1">IFERROR(__xludf.DUMMYFUNCTION("""COMPUTED_VALUE"""),"No")</f>
        <v>No</v>
      </c>
      <c r="AJ2774" s="8" t="str">
        <f ca="1">IFERROR(__xludf.DUMMYFUNCTION("""COMPUTED_VALUE"""),"No")</f>
        <v>No</v>
      </c>
      <c r="AK2774" s="8" t="str">
        <f ca="1">IFERROR(__xludf.DUMMYFUNCTION("""COMPUTED_VALUE"""),"No")</f>
        <v>No</v>
      </c>
      <c r="AL2774" s="8" t="str">
        <f ca="1">IFERROR(__xludf.DUMMYFUNCTION("""COMPUTED_VALUE"""),"No")</f>
        <v>No</v>
      </c>
      <c r="AM2774" s="8"/>
      <c r="AN2774" s="8"/>
      <c r="AO2774" s="8" t="str">
        <f ca="1">IFERROR(__xludf.DUMMYFUNCTION("""COMPUTED_VALUE"""),"No")</f>
        <v>No</v>
      </c>
      <c r="AP2774" s="8"/>
      <c r="AQ2774" s="8" t="str">
        <f ca="1">IFERROR(__xludf.DUMMYFUNCTION("""COMPUTED_VALUE"""),"Unknown")</f>
        <v>Unknown</v>
      </c>
      <c r="AR2774" s="8" t="str">
        <f ca="1">IFERROR(__xludf.DUMMYFUNCTION("""COMPUTED_VALUE"""),"NA")</f>
        <v>NA</v>
      </c>
      <c r="AS2774" s="8"/>
      <c r="AT2774" s="8"/>
      <c r="AU2774" s="8">
        <f ca="1">IFERROR(__xludf.DUMMYFUNCTION("""COMPUTED_VALUE"""),35.240941)</f>
        <v>35.240940999999999</v>
      </c>
      <c r="AV2774" s="8">
        <f ca="1">IFERROR(__xludf.DUMMYFUNCTION("""COMPUTED_VALUE"""),-80.782014)</f>
        <v>-80.782014000000004</v>
      </c>
      <c r="AW2774" s="8"/>
      <c r="AX2774" s="8">
        <f ca="1">IFERROR(__xludf.DUMMYFUNCTION("""COMPUTED_VALUE"""),28205)</f>
        <v>28205</v>
      </c>
    </row>
    <row r="2775" spans="1:50" ht="60" x14ac:dyDescent="0.2">
      <c r="A2775" s="8" t="str">
        <f ca="1">IFERROR(__xludf.DUMMYFUNCTION("""COMPUTED_VALUE"""),"19880902GAGLA")</f>
        <v>19880902GAGLA</v>
      </c>
      <c r="B2775" s="8">
        <f ca="1">IFERROR(__xludf.DUMMYFUNCTION("""COMPUTED_VALUE"""),9)</f>
        <v>9</v>
      </c>
      <c r="C2775" s="8">
        <f ca="1">IFERROR(__xludf.DUMMYFUNCTION("""COMPUTED_VALUE"""),2)</f>
        <v>2</v>
      </c>
      <c r="D2775" s="8">
        <f ca="1">IFERROR(__xludf.DUMMYFUNCTION("""COMPUTED_VALUE"""),1988)</f>
        <v>1988</v>
      </c>
      <c r="E2775" s="9">
        <f ca="1">IFERROR(__xludf.DUMMYFUNCTION("""COMPUTED_VALUE"""),32388)</f>
        <v>32388</v>
      </c>
      <c r="F2775" s="8" t="str">
        <f ca="1">IFERROR(__xludf.DUMMYFUNCTION("""COMPUTED_VALUE"""),"Glen Hills High School")</f>
        <v>Glen Hills High School</v>
      </c>
      <c r="G2775" s="8">
        <f ca="1">IFERROR(__xludf.DUMMYFUNCTION("""COMPUTED_VALUE"""),0)</f>
        <v>0</v>
      </c>
      <c r="H2775" s="8">
        <f ca="1">IFERROR(__xludf.DUMMYFUNCTION("""COMPUTED_VALUE"""),2)</f>
        <v>2</v>
      </c>
      <c r="I2775" s="8">
        <f ca="1">IFERROR(__xludf.DUMMYFUNCTION("""COMPUTED_VALUE"""),2)</f>
        <v>2</v>
      </c>
      <c r="J2775" s="8">
        <f ca="1">IFERROR(__xludf.DUMMYFUNCTION("""COMPUTED_VALUE"""),0)</f>
        <v>0</v>
      </c>
      <c r="K2775" s="8" t="str">
        <f ca="1">IFERROR(__xludf.DUMMYFUNCTION("""COMPUTED_VALUE"""),"https://www.newspapers.com/image/282970426/?terms=shooting%20high%20school%20football&amp;match=1 https://www.newspapers.com/image/103140357/?terms=Glen%2BHills%2BHigh%2BSchool%2Bshooting")</f>
        <v>https://www.newspapers.com/image/282970426/?terms=shooting%20high%20school%20football&amp;match=1 https://www.newspapers.com/image/103140357/?terms=Glen%2BHills%2BHigh%2BSchool%2Bshooting</v>
      </c>
      <c r="L2775" s="8"/>
      <c r="M2775" s="8" t="str">
        <f ca="1">IFERROR(__xludf.DUMMYFUNCTION("""COMPUTED_VALUE"""),"National")</f>
        <v>National</v>
      </c>
      <c r="N2775" s="8">
        <f ca="1">IFERROR(__xludf.DUMMYFUNCTION("""COMPUTED_VALUE"""),3)</f>
        <v>3</v>
      </c>
      <c r="O2775" s="8" t="str">
        <f ca="1">IFERROR(__xludf.DUMMYFUNCTION("""COMPUTED_VALUE"""),"Fall")</f>
        <v>Fall</v>
      </c>
      <c r="P2775" s="8" t="str">
        <f ca="1">IFERROR(__xludf.DUMMYFUNCTION("""COMPUTED_VALUE"""),"Augusta")</f>
        <v>Augusta</v>
      </c>
      <c r="Q2775" s="8" t="str">
        <f ca="1">IFERROR(__xludf.DUMMYFUNCTION("""COMPUTED_VALUE"""),"GA")</f>
        <v>GA</v>
      </c>
      <c r="R2775" s="8" t="str">
        <f ca="1">IFERROR(__xludf.DUMMYFUNCTION("""COMPUTED_VALUE"""),"High")</f>
        <v>High</v>
      </c>
      <c r="S2775" s="8" t="str">
        <f ca="1">IFERROR(__xludf.DUMMYFUNCTION("""COMPUTED_VALUE"""),"Football Field/Track")</f>
        <v>Football Field/Track</v>
      </c>
      <c r="T2775" s="8" t="str">
        <f ca="1">IFERROR(__xludf.DUMMYFUNCTION("""COMPUTED_VALUE"""),"Outside on School Property")</f>
        <v>Outside on School Property</v>
      </c>
      <c r="U2775" s="8" t="str">
        <f ca="1">IFERROR(__xludf.DUMMYFUNCTION("""COMPUTED_VALUE"""),"No")</f>
        <v>No</v>
      </c>
      <c r="V2775" s="8" t="str">
        <f ca="1">IFERROR(__xludf.DUMMYFUNCTION("""COMPUTED_VALUE"""),"Sport Event")</f>
        <v>Sport Event</v>
      </c>
      <c r="W2775" s="11">
        <f ca="1">IFERROR(__xludf.DUMMYFUNCTION("""COMPUTED_VALUE"""),0.954861111111111)</f>
        <v>0.95486111111111105</v>
      </c>
      <c r="X2775" s="8">
        <f ca="1">IFERROR(__xludf.DUMMYFUNCTION("""COMPUTED_VALUE"""),1)</f>
        <v>1</v>
      </c>
      <c r="Y2775" s="12" t="str">
        <f ca="1">IFERROR(__xludf.DUMMYFUNCTION("""COMPUTED_VALUE"""),"Shot fired into air during fight, 2 football coaches struck in press box")</f>
        <v>Shot fired into air during fight, 2 football coaches struck in press box</v>
      </c>
      <c r="Z2775" s="12" t="str">
        <f ca="1">IFERROR(__xludf.DUMMYFUNCTION("""COMPUTED_VALUE"""),"Shots fired into air during fight. Two coaches shot in the press box during the football game. Unknown suspect. Shots created panic in the stands.")</f>
        <v>Shots fired into air during fight. Two coaches shot in the press box during the football game. Unknown suspect. Shots created panic in the stands.</v>
      </c>
      <c r="AA2775" s="8" t="str">
        <f ca="1">IFERROR(__xludf.DUMMYFUNCTION("""COMPUTED_VALUE"""),"Escalation of Dispute")</f>
        <v>Escalation of Dispute</v>
      </c>
      <c r="AB2775" s="8"/>
      <c r="AC2775" s="8"/>
      <c r="AD2775" s="8" t="str">
        <f ca="1">IFERROR(__xludf.DUMMYFUNCTION("""COMPUTED_VALUE"""),"Both")</f>
        <v>Both</v>
      </c>
      <c r="AE2775" s="8" t="str">
        <f ca="1">IFERROR(__xludf.DUMMYFUNCTION("""COMPUTED_VALUE"""),"No")</f>
        <v>No</v>
      </c>
      <c r="AF2775" s="8"/>
      <c r="AG2775" s="8" t="str">
        <f ca="1">IFERROR(__xludf.DUMMYFUNCTION("""COMPUTED_VALUE"""),"No")</f>
        <v>No</v>
      </c>
      <c r="AH2775" s="8" t="str">
        <f ca="1">IFERROR(__xludf.DUMMYFUNCTION("""COMPUTED_VALUE"""),"No")</f>
        <v>No</v>
      </c>
      <c r="AI2775" s="8" t="str">
        <f ca="1">IFERROR(__xludf.DUMMYFUNCTION("""COMPUTED_VALUE"""),"No")</f>
        <v>No</v>
      </c>
      <c r="AJ2775" s="8" t="str">
        <f ca="1">IFERROR(__xludf.DUMMYFUNCTION("""COMPUTED_VALUE"""),"No")</f>
        <v>No</v>
      </c>
      <c r="AK2775" s="8" t="str">
        <f ca="1">IFERROR(__xludf.DUMMYFUNCTION("""COMPUTED_VALUE"""),"No")</f>
        <v>No</v>
      </c>
      <c r="AL2775" s="8" t="str">
        <f ca="1">IFERROR(__xludf.DUMMYFUNCTION("""COMPUTED_VALUE"""),"No")</f>
        <v>No</v>
      </c>
      <c r="AM2775" s="8"/>
      <c r="AN2775" s="8"/>
      <c r="AO2775" s="8" t="str">
        <f ca="1">IFERROR(__xludf.DUMMYFUNCTION("""COMPUTED_VALUE"""),"No")</f>
        <v>No</v>
      </c>
      <c r="AP2775" s="8"/>
      <c r="AQ2775" s="8" t="str">
        <f ca="1">IFERROR(__xludf.DUMMYFUNCTION("""COMPUTED_VALUE"""),"Unknown")</f>
        <v>Unknown</v>
      </c>
      <c r="AR2775" s="8" t="str">
        <f ca="1">IFERROR(__xludf.DUMMYFUNCTION("""COMPUTED_VALUE"""),"NA")</f>
        <v>NA</v>
      </c>
      <c r="AS2775" s="8"/>
      <c r="AT2775" s="8"/>
      <c r="AU2775" s="8">
        <f ca="1">IFERROR(__xludf.DUMMYFUNCTION("""COMPUTED_VALUE"""),33.427551)</f>
        <v>33.427551000000001</v>
      </c>
      <c r="AV2775" s="8">
        <f ca="1">IFERROR(__xludf.DUMMYFUNCTION("""COMPUTED_VALUE"""),-82.068268)</f>
        <v>-82.068268000000003</v>
      </c>
      <c r="AW2775" s="8"/>
      <c r="AX2775" s="8">
        <f ca="1">IFERROR(__xludf.DUMMYFUNCTION("""COMPUTED_VALUE"""),30906)</f>
        <v>30906</v>
      </c>
    </row>
    <row r="2776" spans="1:50" ht="45" x14ac:dyDescent="0.2">
      <c r="A2776" s="8" t="str">
        <f ca="1">IFERROR(__xludf.DUMMYFUNCTION("""COMPUTED_VALUE"""),"19880831SCWEA")</f>
        <v>19880831SCWEA</v>
      </c>
      <c r="B2776" s="8">
        <f ca="1">IFERROR(__xludf.DUMMYFUNCTION("""COMPUTED_VALUE"""),8)</f>
        <v>8</v>
      </c>
      <c r="C2776" s="8">
        <f ca="1">IFERROR(__xludf.DUMMYFUNCTION("""COMPUTED_VALUE"""),31)</f>
        <v>31</v>
      </c>
      <c r="D2776" s="8">
        <f ca="1">IFERROR(__xludf.DUMMYFUNCTION("""COMPUTED_VALUE"""),1988)</f>
        <v>1988</v>
      </c>
      <c r="E2776" s="9">
        <f ca="1">IFERROR(__xludf.DUMMYFUNCTION("""COMPUTED_VALUE"""),32386)</f>
        <v>32386</v>
      </c>
      <c r="F2776" s="8" t="str">
        <f ca="1">IFERROR(__xludf.DUMMYFUNCTION("""COMPUTED_VALUE"""),"West Franklin Elementary School")</f>
        <v>West Franklin Elementary School</v>
      </c>
      <c r="G2776" s="8">
        <f ca="1">IFERROR(__xludf.DUMMYFUNCTION("""COMPUTED_VALUE"""),1)</f>
        <v>1</v>
      </c>
      <c r="H2776" s="8">
        <f ca="1">IFERROR(__xludf.DUMMYFUNCTION("""COMPUTED_VALUE"""),0)</f>
        <v>0</v>
      </c>
      <c r="I2776" s="8">
        <f ca="1">IFERROR(__xludf.DUMMYFUNCTION("""COMPUTED_VALUE"""),1)</f>
        <v>1</v>
      </c>
      <c r="J2776" s="8">
        <f ca="1">IFERROR(__xludf.DUMMYFUNCTION("""COMPUTED_VALUE"""),0)</f>
        <v>0</v>
      </c>
      <c r="K2776" s="10" t="str">
        <f ca="1">IFERROR(__xludf.DUMMYFUNCTION("""COMPUTED_VALUE"""),"https://www.newspapers.com/image/69768900/?terms=Dennis%2BRay%2BHepler")</f>
        <v>https://www.newspapers.com/image/69768900/?terms=Dennis%2BRay%2BHepler</v>
      </c>
      <c r="L2776" s="8"/>
      <c r="M2776" s="8"/>
      <c r="N2776" s="8">
        <f ca="1">IFERROR(__xludf.DUMMYFUNCTION("""COMPUTED_VALUE"""),2)</f>
        <v>2</v>
      </c>
      <c r="O2776" s="8" t="str">
        <f ca="1">IFERROR(__xludf.DUMMYFUNCTION("""COMPUTED_VALUE"""),"Summer")</f>
        <v>Summer</v>
      </c>
      <c r="P2776" s="8" t="str">
        <f ca="1">IFERROR(__xludf.DUMMYFUNCTION("""COMPUTED_VALUE"""),"Anderson")</f>
        <v>Anderson</v>
      </c>
      <c r="Q2776" s="8" t="str">
        <f ca="1">IFERROR(__xludf.DUMMYFUNCTION("""COMPUTED_VALUE"""),"SC")</f>
        <v>SC</v>
      </c>
      <c r="R2776" s="8" t="str">
        <f ca="1">IFERROR(__xludf.DUMMYFUNCTION("""COMPUTED_VALUE"""),"Elementary")</f>
        <v>Elementary</v>
      </c>
      <c r="S2776" s="8" t="str">
        <f ca="1">IFERROR(__xludf.DUMMYFUNCTION("""COMPUTED_VALUE"""),"Beside Building")</f>
        <v>Beside Building</v>
      </c>
      <c r="T2776" s="8" t="str">
        <f ca="1">IFERROR(__xludf.DUMMYFUNCTION("""COMPUTED_VALUE"""),"Outside on School Property")</f>
        <v>Outside on School Property</v>
      </c>
      <c r="U2776" s="8" t="str">
        <f ca="1">IFERROR(__xludf.DUMMYFUNCTION("""COMPUTED_VALUE"""),"Yes")</f>
        <v>Yes</v>
      </c>
      <c r="V2776" s="8" t="str">
        <f ca="1">IFERROR(__xludf.DUMMYFUNCTION("""COMPUTED_VALUE"""),"Night")</f>
        <v>Night</v>
      </c>
      <c r="W2776" s="11">
        <f ca="1">IFERROR(__xludf.DUMMYFUNCTION("""COMPUTED_VALUE"""),0.916666666666666)</f>
        <v>0.91666666666666596</v>
      </c>
      <c r="X2776" s="8">
        <f ca="1">IFERROR(__xludf.DUMMYFUNCTION("""COMPUTED_VALUE"""),1)</f>
        <v>1</v>
      </c>
      <c r="Y2776" s="12" t="str">
        <f ca="1">IFERROR(__xludf.DUMMYFUNCTION("""COMPUTED_VALUE"""),"Principal shot during robbery outside of school")</f>
        <v>Principal shot during robbery outside of school</v>
      </c>
      <c r="Z2776" s="12" t="str">
        <f ca="1">IFERROR(__xludf.DUMMYFUNCTION("""COMPUTED_VALUE"""),"Principal shot in the head during robbery outside of school. Three suspects charged. Shooter sentenced to death.")</f>
        <v>Principal shot in the head during robbery outside of school. Three suspects charged. Shooter sentenced to death.</v>
      </c>
      <c r="AA2776" s="8" t="str">
        <f ca="1">IFERROR(__xludf.DUMMYFUNCTION("""COMPUTED_VALUE"""),"Illegal Activity")</f>
        <v>Illegal Activity</v>
      </c>
      <c r="AB2776" s="8"/>
      <c r="AC2776" s="8"/>
      <c r="AD2776" s="8" t="str">
        <f ca="1">IFERROR(__xludf.DUMMYFUNCTION("""COMPUTED_VALUE"""),"Victims Targeted")</f>
        <v>Victims Targeted</v>
      </c>
      <c r="AE2776" s="8" t="str">
        <f ca="1">IFERROR(__xludf.DUMMYFUNCTION("""COMPUTED_VALUE"""),"Yes")</f>
        <v>Yes</v>
      </c>
      <c r="AF2776" s="8" t="str">
        <f ca="1">IFERROR(__xludf.DUMMYFUNCTION("""COMPUTED_VALUE"""),"Group of 3 men robbed principal at gunpoint")</f>
        <v>Group of 3 men robbed principal at gunpoint</v>
      </c>
      <c r="AG2776" s="8" t="str">
        <f ca="1">IFERROR(__xludf.DUMMYFUNCTION("""COMPUTED_VALUE"""),"No")</f>
        <v>No</v>
      </c>
      <c r="AH2776" s="8" t="str">
        <f ca="1">IFERROR(__xludf.DUMMYFUNCTION("""COMPUTED_VALUE"""),"No")</f>
        <v>No</v>
      </c>
      <c r="AI2776" s="8" t="str">
        <f ca="1">IFERROR(__xludf.DUMMYFUNCTION("""COMPUTED_VALUE"""),"No")</f>
        <v>No</v>
      </c>
      <c r="AJ2776" s="8" t="str">
        <f ca="1">IFERROR(__xludf.DUMMYFUNCTION("""COMPUTED_VALUE"""),"No")</f>
        <v>No</v>
      </c>
      <c r="AK2776" s="8" t="str">
        <f ca="1">IFERROR(__xludf.DUMMYFUNCTION("""COMPUTED_VALUE"""),"No")</f>
        <v>No</v>
      </c>
      <c r="AL2776" s="8" t="str">
        <f ca="1">IFERROR(__xludf.DUMMYFUNCTION("""COMPUTED_VALUE"""),"No")</f>
        <v>No</v>
      </c>
      <c r="AM2776" s="8"/>
      <c r="AN2776" s="8"/>
      <c r="AO2776" s="8" t="str">
        <f ca="1">IFERROR(__xludf.DUMMYFUNCTION("""COMPUTED_VALUE"""),"No")</f>
        <v>No</v>
      </c>
      <c r="AP2776" s="8"/>
      <c r="AQ2776" s="8" t="str">
        <f ca="1">IFERROR(__xludf.DUMMYFUNCTION("""COMPUTED_VALUE"""),"Unknown")</f>
        <v>Unknown</v>
      </c>
      <c r="AR2776" s="8" t="str">
        <f ca="1">IFERROR(__xludf.DUMMYFUNCTION("""COMPUTED_VALUE"""),"NA")</f>
        <v>NA</v>
      </c>
      <c r="AS2776" s="8">
        <f ca="1">IFERROR(__xludf.DUMMYFUNCTION("""COMPUTED_VALUE"""),1)</f>
        <v>1</v>
      </c>
      <c r="AT2776" s="8"/>
      <c r="AU2776" s="8">
        <f ca="1">IFERROR(__xludf.DUMMYFUNCTION("""COMPUTED_VALUE"""),34.496766)</f>
        <v>34.496766000000001</v>
      </c>
      <c r="AV2776" s="8">
        <f ca="1">IFERROR(__xludf.DUMMYFUNCTION("""COMPUTED_VALUE"""),-82.664216)</f>
        <v>-82.664215999999996</v>
      </c>
      <c r="AW2776" s="8"/>
      <c r="AX2776" s="8">
        <f ca="1">IFERROR(__xludf.DUMMYFUNCTION("""COMPUTED_VALUE"""),29624)</f>
        <v>29624</v>
      </c>
    </row>
    <row r="2777" spans="1:50" ht="60" x14ac:dyDescent="0.2">
      <c r="A2777" s="8" t="str">
        <f ca="1">IFERROR(__xludf.DUMMYFUNCTION("""COMPUTED_VALUE"""),"19880831MICED")</f>
        <v>19880831MICED</v>
      </c>
      <c r="B2777" s="8">
        <f ca="1">IFERROR(__xludf.DUMMYFUNCTION("""COMPUTED_VALUE"""),8)</f>
        <v>8</v>
      </c>
      <c r="C2777" s="8">
        <f ca="1">IFERROR(__xludf.DUMMYFUNCTION("""COMPUTED_VALUE"""),31)</f>
        <v>31</v>
      </c>
      <c r="D2777" s="8">
        <f ca="1">IFERROR(__xludf.DUMMYFUNCTION("""COMPUTED_VALUE"""),1988)</f>
        <v>1988</v>
      </c>
      <c r="E2777" s="9">
        <f ca="1">IFERROR(__xludf.DUMMYFUNCTION("""COMPUTED_VALUE"""),32386)</f>
        <v>32386</v>
      </c>
      <c r="F2777" s="8" t="str">
        <f ca="1">IFERROR(__xludf.DUMMYFUNCTION("""COMPUTED_VALUE"""),"Central High School")</f>
        <v>Central High School</v>
      </c>
      <c r="G2777" s="8">
        <f ca="1">IFERROR(__xludf.DUMMYFUNCTION("""COMPUTED_VALUE"""),0)</f>
        <v>0</v>
      </c>
      <c r="H2777" s="8">
        <f ca="1">IFERROR(__xludf.DUMMYFUNCTION("""COMPUTED_VALUE"""),1)</f>
        <v>1</v>
      </c>
      <c r="I2777" s="8">
        <f ca="1">IFERROR(__xludf.DUMMYFUNCTION("""COMPUTED_VALUE"""),1)</f>
        <v>1</v>
      </c>
      <c r="J2777" s="8">
        <f ca="1">IFERROR(__xludf.DUMMYFUNCTION("""COMPUTED_VALUE"""),0)</f>
        <v>0</v>
      </c>
      <c r="K2777" s="10" t="str">
        <f ca="1">IFERROR(__xludf.DUMMYFUNCTION("""COMPUTED_VALUE"""),"https://www.newspapers.com/image/99828797/?terms=student%2Bshot")</f>
        <v>https://www.newspapers.com/image/99828797/?terms=student%2Bshot</v>
      </c>
      <c r="L2777" s="8"/>
      <c r="M2777" s="8"/>
      <c r="N2777" s="8">
        <f ca="1">IFERROR(__xludf.DUMMYFUNCTION("""COMPUTED_VALUE"""),2)</f>
        <v>2</v>
      </c>
      <c r="O2777" s="8" t="str">
        <f ca="1">IFERROR(__xludf.DUMMYFUNCTION("""COMPUTED_VALUE"""),"Summer")</f>
        <v>Summer</v>
      </c>
      <c r="P2777" s="8" t="str">
        <f ca="1">IFERROR(__xludf.DUMMYFUNCTION("""COMPUTED_VALUE"""),"Detroit")</f>
        <v>Detroit</v>
      </c>
      <c r="Q2777" s="8" t="str">
        <f ca="1">IFERROR(__xludf.DUMMYFUNCTION("""COMPUTED_VALUE"""),"MI")</f>
        <v>MI</v>
      </c>
      <c r="R2777" s="8" t="str">
        <f ca="1">IFERROR(__xludf.DUMMYFUNCTION("""COMPUTED_VALUE"""),"High")</f>
        <v>High</v>
      </c>
      <c r="S2777" s="8" t="str">
        <f ca="1">IFERROR(__xludf.DUMMYFUNCTION("""COMPUTED_VALUE"""),"Hallway")</f>
        <v>Hallway</v>
      </c>
      <c r="T2777" s="8" t="str">
        <f ca="1">IFERROR(__xludf.DUMMYFUNCTION("""COMPUTED_VALUE"""),"Inside School Building")</f>
        <v>Inside School Building</v>
      </c>
      <c r="U2777" s="8" t="str">
        <f ca="1">IFERROR(__xludf.DUMMYFUNCTION("""COMPUTED_VALUE"""),"Yes")</f>
        <v>Yes</v>
      </c>
      <c r="V2777" s="8" t="str">
        <f ca="1">IFERROR(__xludf.DUMMYFUNCTION("""COMPUTED_VALUE"""),"Morning Classes")</f>
        <v>Morning Classes</v>
      </c>
      <c r="W2777" s="11">
        <f ca="1">IFERROR(__xludf.DUMMYFUNCTION("""COMPUTED_VALUE"""),0.451388888888888)</f>
        <v>0.45138888888888801</v>
      </c>
      <c r="X2777" s="8">
        <f ca="1">IFERROR(__xludf.DUMMYFUNCTION("""COMPUTED_VALUE"""),1)</f>
        <v>1</v>
      </c>
      <c r="Y2777" s="12" t="str">
        <f ca="1">IFERROR(__xludf.DUMMYFUNCTION("""COMPUTED_VALUE"""),"Gang-related shooting in school hallway")</f>
        <v>Gang-related shooting in school hallway</v>
      </c>
      <c r="Z2777" s="12" t="str">
        <f ca="1">IFERROR(__xludf.DUMMYFUNCTION("""COMPUTED_VALUE"""),"Victim was approached by another gang in school hallway, argument ensued stemming from the previous weekend - shooter pulled gun and began shooting at victim and another student.")</f>
        <v>Victim was approached by another gang in school hallway, argument ensued stemming from the previous weekend - shooter pulled gun and began shooting at victim and another student.</v>
      </c>
      <c r="AA2777" s="8" t="str">
        <f ca="1">IFERROR(__xludf.DUMMYFUNCTION("""COMPUTED_VALUE"""),"Escalation of Dispute")</f>
        <v>Escalation of Dispute</v>
      </c>
      <c r="AB2777" s="8"/>
      <c r="AC2777" s="8"/>
      <c r="AD2777" s="8" t="str">
        <f ca="1">IFERROR(__xludf.DUMMYFUNCTION("""COMPUTED_VALUE"""),"Victims Targeted")</f>
        <v>Victims Targeted</v>
      </c>
      <c r="AE2777" s="8" t="str">
        <f ca="1">IFERROR(__xludf.DUMMYFUNCTION("""COMPUTED_VALUE"""),"No")</f>
        <v>No</v>
      </c>
      <c r="AF2777" s="8"/>
      <c r="AG2777" s="8" t="str">
        <f ca="1">IFERROR(__xludf.DUMMYFUNCTION("""COMPUTED_VALUE"""),"No")</f>
        <v>No</v>
      </c>
      <c r="AH2777" s="8" t="str">
        <f ca="1">IFERROR(__xludf.DUMMYFUNCTION("""COMPUTED_VALUE"""),"No")</f>
        <v>No</v>
      </c>
      <c r="AI2777" s="8" t="str">
        <f ca="1">IFERROR(__xludf.DUMMYFUNCTION("""COMPUTED_VALUE"""),"No")</f>
        <v>No</v>
      </c>
      <c r="AJ2777" s="8" t="str">
        <f ca="1">IFERROR(__xludf.DUMMYFUNCTION("""COMPUTED_VALUE"""),"No")</f>
        <v>No</v>
      </c>
      <c r="AK2777" s="8" t="str">
        <f ca="1">IFERROR(__xludf.DUMMYFUNCTION("""COMPUTED_VALUE"""),"No")</f>
        <v>No</v>
      </c>
      <c r="AL2777" s="8" t="str">
        <f ca="1">IFERROR(__xludf.DUMMYFUNCTION("""COMPUTED_VALUE"""),"Yes")</f>
        <v>Yes</v>
      </c>
      <c r="AM2777" s="8"/>
      <c r="AN2777" s="8"/>
      <c r="AO2777" s="8" t="str">
        <f ca="1">IFERROR(__xludf.DUMMYFUNCTION("""COMPUTED_VALUE"""),"No")</f>
        <v>No</v>
      </c>
      <c r="AP2777" s="8" t="str">
        <f ca="1">IFERROR(__xludf.DUMMYFUNCTION("""COMPUTED_VALUE"""),"Yes")</f>
        <v>Yes</v>
      </c>
      <c r="AQ2777" s="8" t="str">
        <f ca="1">IFERROR(__xludf.DUMMYFUNCTION("""COMPUTED_VALUE"""),"Unknown")</f>
        <v>Unknown</v>
      </c>
      <c r="AR2777" s="8" t="str">
        <f ca="1">IFERROR(__xludf.DUMMYFUNCTION("""COMPUTED_VALUE"""),"NA")</f>
        <v>NA</v>
      </c>
      <c r="AS2777" s="8" t="str">
        <f ca="1">IFERROR(__xludf.DUMMYFUNCTION("""COMPUTED_VALUE"""),"Multiple")</f>
        <v>Multiple</v>
      </c>
      <c r="AT2777" s="8"/>
      <c r="AU2777" s="8">
        <f ca="1">IFERROR(__xludf.DUMMYFUNCTION("""COMPUTED_VALUE"""),42.383461)</f>
        <v>42.383460999999997</v>
      </c>
      <c r="AV2777" s="8">
        <f ca="1">IFERROR(__xludf.DUMMYFUNCTION("""COMPUTED_VALUE"""),-83.111807)</f>
        <v>-83.111806999999999</v>
      </c>
      <c r="AW2777" s="8"/>
      <c r="AX2777" s="8">
        <f ca="1">IFERROR(__xludf.DUMMYFUNCTION("""COMPUTED_VALUE"""),48206)</f>
        <v>48206</v>
      </c>
    </row>
    <row r="2778" spans="1:50" ht="75" x14ac:dyDescent="0.2">
      <c r="A2778" s="8" t="str">
        <f ca="1">IFERROR(__xludf.DUMMYFUNCTION("""COMPUTED_VALUE"""),"19880711MSLAJ")</f>
        <v>19880711MSLAJ</v>
      </c>
      <c r="B2778" s="8">
        <f ca="1">IFERROR(__xludf.DUMMYFUNCTION("""COMPUTED_VALUE"""),7)</f>
        <v>7</v>
      </c>
      <c r="C2778" s="8">
        <f ca="1">IFERROR(__xludf.DUMMYFUNCTION("""COMPUTED_VALUE"""),11)</f>
        <v>11</v>
      </c>
      <c r="D2778" s="8">
        <f ca="1">IFERROR(__xludf.DUMMYFUNCTION("""COMPUTED_VALUE"""),1988)</f>
        <v>1988</v>
      </c>
      <c r="E2778" s="9">
        <f ca="1">IFERROR(__xludf.DUMMYFUNCTION("""COMPUTED_VALUE"""),32335)</f>
        <v>32335</v>
      </c>
      <c r="F2778" s="8" t="str">
        <f ca="1">IFERROR(__xludf.DUMMYFUNCTION("""COMPUTED_VALUE"""),"Lanier High School")</f>
        <v>Lanier High School</v>
      </c>
      <c r="G2778" s="8">
        <f ca="1">IFERROR(__xludf.DUMMYFUNCTION("""COMPUTED_VALUE"""),0)</f>
        <v>0</v>
      </c>
      <c r="H2778" s="8">
        <f ca="1">IFERROR(__xludf.DUMMYFUNCTION("""COMPUTED_VALUE"""),1)</f>
        <v>1</v>
      </c>
      <c r="I2778" s="8">
        <f ca="1">IFERROR(__xludf.DUMMYFUNCTION("""COMPUTED_VALUE"""),1)</f>
        <v>1</v>
      </c>
      <c r="J2778" s="8">
        <f ca="1">IFERROR(__xludf.DUMMYFUNCTION("""COMPUTED_VALUE"""),0)</f>
        <v>0</v>
      </c>
      <c r="K2778" s="8" t="str">
        <f ca="1">IFERROR(__xludf.DUMMYFUNCTION("""COMPUTED_VALUE"""),"https://www.newspapers.com/image/184097820/?terms=lanier%2Bhigh%2Bschool%2Bshooting   https://www.newspapers.com/image/181502535/?terms=qutaize%2Bforrest   https://www.newspapers.com/image/181502499/?terms=qutaize%2Bforrest   https://www.newspapers.com/im"&amp;"age/184094077/?terms=lanier%2Bhigh%2Bschool%2Bshooting   https://www.newspapers.com/image/181502535/?terms=qutaize%2Bforrest   https://www.newspapers.com/image/278159911/?terms=qutaize%2Bforrest")</f>
        <v>https://www.newspapers.com/image/184097820/?terms=lanier%2Bhigh%2Bschool%2Bshooting   https://www.newspapers.com/image/181502535/?terms=qutaize%2Bforrest   https://www.newspapers.com/image/181502499/?terms=qutaize%2Bforrest   https://www.newspapers.com/image/184094077/?terms=lanier%2Bhigh%2Bschool%2Bshooting   https://www.newspapers.com/image/181502535/?terms=qutaize%2Bforrest   https://www.newspapers.com/image/278159911/?terms=qutaize%2Bforrest</v>
      </c>
      <c r="L2778" s="8"/>
      <c r="M2778" s="8"/>
      <c r="N2778" s="8">
        <f ca="1">IFERROR(__xludf.DUMMYFUNCTION("""COMPUTED_VALUE"""),3)</f>
        <v>3</v>
      </c>
      <c r="O2778" s="8" t="str">
        <f ca="1">IFERROR(__xludf.DUMMYFUNCTION("""COMPUTED_VALUE"""),"Summer")</f>
        <v>Summer</v>
      </c>
      <c r="P2778" s="8" t="str">
        <f ca="1">IFERROR(__xludf.DUMMYFUNCTION("""COMPUTED_VALUE"""),"Jackson")</f>
        <v>Jackson</v>
      </c>
      <c r="Q2778" s="8" t="str">
        <f ca="1">IFERROR(__xludf.DUMMYFUNCTION("""COMPUTED_VALUE"""),"MS")</f>
        <v>MS</v>
      </c>
      <c r="R2778" s="8" t="str">
        <f ca="1">IFERROR(__xludf.DUMMYFUNCTION("""COMPUTED_VALUE"""),"High")</f>
        <v>High</v>
      </c>
      <c r="S2778" s="8" t="str">
        <f ca="1">IFERROR(__xludf.DUMMYFUNCTION("""COMPUTED_VALUE"""),"Hallway")</f>
        <v>Hallway</v>
      </c>
      <c r="T2778" s="8" t="str">
        <f ca="1">IFERROR(__xludf.DUMMYFUNCTION("""COMPUTED_VALUE"""),"Inside School Building")</f>
        <v>Inside School Building</v>
      </c>
      <c r="U2778" s="8" t="str">
        <f ca="1">IFERROR(__xludf.DUMMYFUNCTION("""COMPUTED_VALUE"""),"Yes")</f>
        <v>Yes</v>
      </c>
      <c r="V2778" s="8" t="str">
        <f ca="1">IFERROR(__xludf.DUMMYFUNCTION("""COMPUTED_VALUE"""),"Morning Classes")</f>
        <v>Morning Classes</v>
      </c>
      <c r="W2778" s="11">
        <f ca="1">IFERROR(__xludf.DUMMYFUNCTION("""COMPUTED_VALUE"""),0.446527777777777)</f>
        <v>0.44652777777777702</v>
      </c>
      <c r="X2778" s="8">
        <f ca="1">IFERROR(__xludf.DUMMYFUNCTION("""COMPUTED_VALUE"""),2)</f>
        <v>2</v>
      </c>
      <c r="Y2778" s="12" t="str">
        <f ca="1">IFERROR(__xludf.DUMMYFUNCTION("""COMPUTED_VALUE"""),"Gang-related targeted shooting at school")</f>
        <v>Gang-related targeted shooting at school</v>
      </c>
      <c r="Z2778" s="12" t="str">
        <f ca="1">IFERROR(__xludf.DUMMYFUNCTION("""COMPUTED_VALUE"""),"16 year victim was shot in head and chest during a gang fight at school. During testimony, shooter said he had been repeatedly harassed by victim and his friends and shot victim in hallway only after he thought victim was reaching for a gun.")</f>
        <v>16 year victim was shot in head and chest during a gang fight at school. During testimony, shooter said he had been repeatedly harassed by victim and his friends and shot victim in hallway only after he thought victim was reaching for a gun.</v>
      </c>
      <c r="AA2778" s="8" t="str">
        <f ca="1">IFERROR(__xludf.DUMMYFUNCTION("""COMPUTED_VALUE"""),"Escalation of Dispute")</f>
        <v>Escalation of Dispute</v>
      </c>
      <c r="AB2778" s="8"/>
      <c r="AC2778" s="8"/>
      <c r="AD2778" s="8" t="str">
        <f ca="1">IFERROR(__xludf.DUMMYFUNCTION("""COMPUTED_VALUE"""),"Victims Targeted")</f>
        <v>Victims Targeted</v>
      </c>
      <c r="AE2778" s="8" t="str">
        <f ca="1">IFERROR(__xludf.DUMMYFUNCTION("""COMPUTED_VALUE"""),"No")</f>
        <v>No</v>
      </c>
      <c r="AF2778" s="8"/>
      <c r="AG2778" s="8" t="str">
        <f ca="1">IFERROR(__xludf.DUMMYFUNCTION("""COMPUTED_VALUE"""),"No")</f>
        <v>No</v>
      </c>
      <c r="AH2778" s="8" t="str">
        <f ca="1">IFERROR(__xludf.DUMMYFUNCTION("""COMPUTED_VALUE"""),"No")</f>
        <v>No</v>
      </c>
      <c r="AI2778" s="8" t="str">
        <f ca="1">IFERROR(__xludf.DUMMYFUNCTION("""COMPUTED_VALUE"""),"No")</f>
        <v>No</v>
      </c>
      <c r="AJ2778" s="8"/>
      <c r="AK2778" s="8" t="str">
        <f ca="1">IFERROR(__xludf.DUMMYFUNCTION("""COMPUTED_VALUE"""),"No")</f>
        <v>No</v>
      </c>
      <c r="AL2778" s="8" t="str">
        <f ca="1">IFERROR(__xludf.DUMMYFUNCTION("""COMPUTED_VALUE"""),"Yes")</f>
        <v>Yes</v>
      </c>
      <c r="AM2778" s="8"/>
      <c r="AN2778" s="8"/>
      <c r="AO2778" s="8" t="str">
        <f ca="1">IFERROR(__xludf.DUMMYFUNCTION("""COMPUTED_VALUE"""),"No")</f>
        <v>No</v>
      </c>
      <c r="AP2778" s="8"/>
      <c r="AQ2778" s="8" t="str">
        <f ca="1">IFERROR(__xludf.DUMMYFUNCTION("""COMPUTED_VALUE"""),"Unknown")</f>
        <v>Unknown</v>
      </c>
      <c r="AR2778" s="8" t="str">
        <f ca="1">IFERROR(__xludf.DUMMYFUNCTION("""COMPUTED_VALUE"""),"NA")</f>
        <v>NA</v>
      </c>
      <c r="AS2778" s="8">
        <f ca="1">IFERROR(__xludf.DUMMYFUNCTION("""COMPUTED_VALUE"""),3)</f>
        <v>3</v>
      </c>
      <c r="AT2778" s="8"/>
      <c r="AU2778" s="8">
        <f ca="1">IFERROR(__xludf.DUMMYFUNCTION("""COMPUTED_VALUE"""),32.317526)</f>
        <v>32.317526000000001</v>
      </c>
      <c r="AV2778" s="8">
        <f ca="1">IFERROR(__xludf.DUMMYFUNCTION("""COMPUTED_VALUE"""),-90.202322)</f>
        <v>-90.202321999999995</v>
      </c>
      <c r="AW2778" s="8"/>
      <c r="AX2778" s="8">
        <f ca="1">IFERROR(__xludf.DUMMYFUNCTION("""COMPUTED_VALUE"""),39203)</f>
        <v>39203</v>
      </c>
    </row>
    <row r="2779" spans="1:50" ht="60" x14ac:dyDescent="0.2">
      <c r="A2779" s="8" t="str">
        <f ca="1">IFERROR(__xludf.DUMMYFUNCTION("""COMPUTED_VALUE"""),"19880710WISIM")</f>
        <v>19880710WISIM</v>
      </c>
      <c r="B2779" s="8">
        <f ca="1">IFERROR(__xludf.DUMMYFUNCTION("""COMPUTED_VALUE"""),7)</f>
        <v>7</v>
      </c>
      <c r="C2779" s="8">
        <f ca="1">IFERROR(__xludf.DUMMYFUNCTION("""COMPUTED_VALUE"""),10)</f>
        <v>10</v>
      </c>
      <c r="D2779" s="8">
        <f ca="1">IFERROR(__xludf.DUMMYFUNCTION("""COMPUTED_VALUE"""),1988)</f>
        <v>1988</v>
      </c>
      <c r="E2779" s="9">
        <f ca="1">IFERROR(__xludf.DUMMYFUNCTION("""COMPUTED_VALUE"""),32334)</f>
        <v>32334</v>
      </c>
      <c r="F2779" s="8" t="str">
        <f ca="1">IFERROR(__xludf.DUMMYFUNCTION("""COMPUTED_VALUE"""),"Siefert Elementary School")</f>
        <v>Siefert Elementary School</v>
      </c>
      <c r="G2779" s="8">
        <f ca="1">IFERROR(__xludf.DUMMYFUNCTION("""COMPUTED_VALUE"""),0)</f>
        <v>0</v>
      </c>
      <c r="H2779" s="8">
        <f ca="1">IFERROR(__xludf.DUMMYFUNCTION("""COMPUTED_VALUE"""),1)</f>
        <v>1</v>
      </c>
      <c r="I2779" s="8">
        <f ca="1">IFERROR(__xludf.DUMMYFUNCTION("""COMPUTED_VALUE"""),1)</f>
        <v>1</v>
      </c>
      <c r="J2779" s="8">
        <f ca="1">IFERROR(__xludf.DUMMYFUNCTION("""COMPUTED_VALUE"""),0)</f>
        <v>0</v>
      </c>
      <c r="K2779" s="10" t="str">
        <f ca="1">IFERROR(__xludf.DUMMYFUNCTION("""COMPUTED_VALUE"""),"https://news.google.com/newspapers?id=zWcaAAAAIBAJ&amp;pg=4608,2375219")</f>
        <v>https://news.google.com/newspapers?id=zWcaAAAAIBAJ&amp;pg=4608,2375219</v>
      </c>
      <c r="L2779" s="8">
        <f ca="1">IFERROR(__xludf.DUMMYFUNCTION("""COMPUTED_VALUE"""),1)</f>
        <v>1</v>
      </c>
      <c r="M2779" s="8" t="str">
        <f ca="1">IFERROR(__xludf.DUMMYFUNCTION("""COMPUTED_VALUE"""),"Local")</f>
        <v>Local</v>
      </c>
      <c r="N2779" s="8">
        <f ca="1">IFERROR(__xludf.DUMMYFUNCTION("""COMPUTED_VALUE"""),2)</f>
        <v>2</v>
      </c>
      <c r="O2779" s="8" t="str">
        <f ca="1">IFERROR(__xludf.DUMMYFUNCTION("""COMPUTED_VALUE"""),"Summer")</f>
        <v>Summer</v>
      </c>
      <c r="P2779" s="8" t="str">
        <f ca="1">IFERROR(__xludf.DUMMYFUNCTION("""COMPUTED_VALUE"""),"Milwaukee")</f>
        <v>Milwaukee</v>
      </c>
      <c r="Q2779" s="8" t="str">
        <f ca="1">IFERROR(__xludf.DUMMYFUNCTION("""COMPUTED_VALUE"""),"WI")</f>
        <v>WI</v>
      </c>
      <c r="R2779" s="8" t="str">
        <f ca="1">IFERROR(__xludf.DUMMYFUNCTION("""COMPUTED_VALUE"""),"Elementary")</f>
        <v>Elementary</v>
      </c>
      <c r="S2779" s="8" t="str">
        <f ca="1">IFERROR(__xludf.DUMMYFUNCTION("""COMPUTED_VALUE"""),"Basketball Court")</f>
        <v>Basketball Court</v>
      </c>
      <c r="T2779" s="8" t="str">
        <f ca="1">IFERROR(__xludf.DUMMYFUNCTION("""COMPUTED_VALUE"""),"Inside School Building")</f>
        <v>Inside School Building</v>
      </c>
      <c r="U2779" s="8" t="str">
        <f ca="1">IFERROR(__xludf.DUMMYFUNCTION("""COMPUTED_VALUE"""),"No")</f>
        <v>No</v>
      </c>
      <c r="V2779" s="8" t="str">
        <f ca="1">IFERROR(__xludf.DUMMYFUNCTION("""COMPUTED_VALUE"""),"Evening")</f>
        <v>Evening</v>
      </c>
      <c r="W2779" s="11">
        <f ca="1">IFERROR(__xludf.DUMMYFUNCTION("""COMPUTED_VALUE"""),0.822916666666666)</f>
        <v>0.82291666666666596</v>
      </c>
      <c r="X2779" s="8">
        <f ca="1">IFERROR(__xludf.DUMMYFUNCTION("""COMPUTED_VALUE"""),1)</f>
        <v>1</v>
      </c>
      <c r="Y2779" s="12" t="str">
        <f ca="1">IFERROR(__xludf.DUMMYFUNCTION("""COMPUTED_VALUE"""),"Adult basketball game at Elementary school turned violent")</f>
        <v>Adult basketball game at Elementary school turned violent</v>
      </c>
      <c r="Z2779" s="12" t="str">
        <f ca="1">IFERROR(__xludf.DUMMYFUNCTION("""COMPUTED_VALUE"""),"Weekend pick-up basketball game at the school turned violent. During an argument, the shooter pulled out an Uzi and fired 4 shots striking the victim in the arm. Shooter fled the scene and was arrested the next day.")</f>
        <v>Weekend pick-up basketball game at the school turned violent. During an argument, the shooter pulled out an Uzi and fired 4 shots striking the victim in the arm. Shooter fled the scene and was arrested the next day.</v>
      </c>
      <c r="AA2779" s="8" t="str">
        <f ca="1">IFERROR(__xludf.DUMMYFUNCTION("""COMPUTED_VALUE"""),"Escalation of Dispute")</f>
        <v>Escalation of Dispute</v>
      </c>
      <c r="AB2779" s="8"/>
      <c r="AC2779" s="8"/>
      <c r="AD2779" s="8" t="str">
        <f ca="1">IFERROR(__xludf.DUMMYFUNCTION("""COMPUTED_VALUE"""),"Victims Targeted")</f>
        <v>Victims Targeted</v>
      </c>
      <c r="AE2779" s="8" t="str">
        <f ca="1">IFERROR(__xludf.DUMMYFUNCTION("""COMPUTED_VALUE"""),"No")</f>
        <v>No</v>
      </c>
      <c r="AF2779" s="8"/>
      <c r="AG2779" s="8" t="str">
        <f ca="1">IFERROR(__xludf.DUMMYFUNCTION("""COMPUTED_VALUE"""),"No")</f>
        <v>No</v>
      </c>
      <c r="AH2779" s="8" t="str">
        <f ca="1">IFERROR(__xludf.DUMMYFUNCTION("""COMPUTED_VALUE"""),"No")</f>
        <v>No</v>
      </c>
      <c r="AI2779" s="8" t="str">
        <f ca="1">IFERROR(__xludf.DUMMYFUNCTION("""COMPUTED_VALUE"""),"No")</f>
        <v>No</v>
      </c>
      <c r="AJ2779" s="8"/>
      <c r="AK2779" s="8" t="str">
        <f ca="1">IFERROR(__xludf.DUMMYFUNCTION("""COMPUTED_VALUE"""),"No")</f>
        <v>No</v>
      </c>
      <c r="AL2779" s="8" t="str">
        <f ca="1">IFERROR(__xludf.DUMMYFUNCTION("""COMPUTED_VALUE"""),"Yes")</f>
        <v>Yes</v>
      </c>
      <c r="AM2779" s="8"/>
      <c r="AN2779" s="8"/>
      <c r="AO2779" s="8" t="str">
        <f ca="1">IFERROR(__xludf.DUMMYFUNCTION("""COMPUTED_VALUE"""),"No")</f>
        <v>No</v>
      </c>
      <c r="AP2779" s="8"/>
      <c r="AQ2779" s="8" t="str">
        <f ca="1">IFERROR(__xludf.DUMMYFUNCTION("""COMPUTED_VALUE"""),"Unknown")</f>
        <v>Unknown</v>
      </c>
      <c r="AR2779" s="8" t="str">
        <f ca="1">IFERROR(__xludf.DUMMYFUNCTION("""COMPUTED_VALUE"""),"NA")</f>
        <v>NA</v>
      </c>
      <c r="AS2779" s="8">
        <f ca="1">IFERROR(__xludf.DUMMYFUNCTION("""COMPUTED_VALUE"""),4)</f>
        <v>4</v>
      </c>
      <c r="AT2779" s="8"/>
      <c r="AU2779" s="8">
        <f ca="1">IFERROR(__xludf.DUMMYFUNCTION("""COMPUTED_VALUE"""),43.050865)</f>
        <v>43.050865000000002</v>
      </c>
      <c r="AV2779" s="8">
        <f ca="1">IFERROR(__xludf.DUMMYFUNCTION("""COMPUTED_VALUE"""),-87.930447)</f>
        <v>-87.930447000000001</v>
      </c>
      <c r="AW2779" s="8"/>
      <c r="AX2779" s="8">
        <f ca="1">IFERROR(__xludf.DUMMYFUNCTION("""COMPUTED_VALUE"""),53205)</f>
        <v>53205</v>
      </c>
    </row>
    <row r="2780" spans="1:50" ht="75" x14ac:dyDescent="0.2">
      <c r="A2780" s="8" t="str">
        <f ca="1">IFERROR(__xludf.DUMMYFUNCTION("""COMPUTED_VALUE"""),"19880630HIAIO")</f>
        <v>19880630HIAIO</v>
      </c>
      <c r="B2780" s="8">
        <f ca="1">IFERROR(__xludf.DUMMYFUNCTION("""COMPUTED_VALUE"""),6)</f>
        <v>6</v>
      </c>
      <c r="C2780" s="8">
        <f ca="1">IFERROR(__xludf.DUMMYFUNCTION("""COMPUTED_VALUE"""),30)</f>
        <v>30</v>
      </c>
      <c r="D2780" s="8">
        <f ca="1">IFERROR(__xludf.DUMMYFUNCTION("""COMPUTED_VALUE"""),1988)</f>
        <v>1988</v>
      </c>
      <c r="E2780" s="9">
        <f ca="1">IFERROR(__xludf.DUMMYFUNCTION("""COMPUTED_VALUE"""),32324)</f>
        <v>32324</v>
      </c>
      <c r="F2780" s="8" t="str">
        <f ca="1">IFERROR(__xludf.DUMMYFUNCTION("""COMPUTED_VALUE"""),"Aiea High School")</f>
        <v>Aiea High School</v>
      </c>
      <c r="G2780" s="8">
        <f ca="1">IFERROR(__xludf.DUMMYFUNCTION("""COMPUTED_VALUE"""),0)</f>
        <v>0</v>
      </c>
      <c r="H2780" s="8">
        <f ca="1">IFERROR(__xludf.DUMMYFUNCTION("""COMPUTED_VALUE"""),1)</f>
        <v>1</v>
      </c>
      <c r="I2780" s="8">
        <f ca="1">IFERROR(__xludf.DUMMYFUNCTION("""COMPUTED_VALUE"""),1)</f>
        <v>1</v>
      </c>
      <c r="J2780" s="8">
        <f ca="1">IFERROR(__xludf.DUMMYFUNCTION("""COMPUTED_VALUE"""),0)</f>
        <v>0</v>
      </c>
      <c r="K2780" s="8" t="str">
        <f ca="1">IFERROR(__xludf.DUMMYFUNCTION("""COMPUTED_VALUE"""),"https://www.newspapers.com/image/263060322/?terms=rosemary%2Bstout; https://www.newspapers.com/image/263060287/?terms=romel%2Bcastro")</f>
        <v>https://www.newspapers.com/image/263060322/?terms=rosemary%2Bstout; https://www.newspapers.com/image/263060287/?terms=romel%2Bcastro</v>
      </c>
      <c r="L2780" s="8"/>
      <c r="M2780" s="8"/>
      <c r="N2780" s="8">
        <f ca="1">IFERROR(__xludf.DUMMYFUNCTION("""COMPUTED_VALUE"""),3)</f>
        <v>3</v>
      </c>
      <c r="O2780" s="8" t="str">
        <f ca="1">IFERROR(__xludf.DUMMYFUNCTION("""COMPUTED_VALUE"""),"Summer")</f>
        <v>Summer</v>
      </c>
      <c r="P2780" s="8" t="str">
        <f ca="1">IFERROR(__xludf.DUMMYFUNCTION("""COMPUTED_VALUE"""),"Oahu")</f>
        <v>Oahu</v>
      </c>
      <c r="Q2780" s="8" t="str">
        <f ca="1">IFERROR(__xludf.DUMMYFUNCTION("""COMPUTED_VALUE"""),"HI")</f>
        <v>HI</v>
      </c>
      <c r="R2780" s="8" t="str">
        <f ca="1">IFERROR(__xludf.DUMMYFUNCTION("""COMPUTED_VALUE"""),"High")</f>
        <v>High</v>
      </c>
      <c r="S2780" s="8" t="str">
        <f ca="1">IFERROR(__xludf.DUMMYFUNCTION("""COMPUTED_VALUE"""),"Classroom")</f>
        <v>Classroom</v>
      </c>
      <c r="T2780" s="8" t="str">
        <f ca="1">IFERROR(__xludf.DUMMYFUNCTION("""COMPUTED_VALUE"""),"Inside School Building")</f>
        <v>Inside School Building</v>
      </c>
      <c r="U2780" s="8" t="str">
        <f ca="1">IFERROR(__xludf.DUMMYFUNCTION("""COMPUTED_VALUE"""),"Yes")</f>
        <v>Yes</v>
      </c>
      <c r="V2780" s="8" t="str">
        <f ca="1">IFERROR(__xludf.DUMMYFUNCTION("""COMPUTED_VALUE"""),"Morning Classes")</f>
        <v>Morning Classes</v>
      </c>
      <c r="W2780" s="11">
        <f ca="1">IFERROR(__xludf.DUMMYFUNCTION("""COMPUTED_VALUE"""),0.434027777777777)</f>
        <v>0.43402777777777701</v>
      </c>
      <c r="X2780" s="8">
        <f ca="1">IFERROR(__xludf.DUMMYFUNCTION("""COMPUTED_VALUE"""),1)</f>
        <v>1</v>
      </c>
      <c r="Y2780" s="12" t="str">
        <f ca="1">IFERROR(__xludf.DUMMYFUNCTION("""COMPUTED_VALUE"""),"Argument with teacher, told students he planned to kill teacher")</f>
        <v>Argument with teacher, told students he planned to kill teacher</v>
      </c>
      <c r="Z2780" s="12" t="str">
        <f ca="1">IFERROR(__xludf.DUMMYFUNCTION("""COMPUTED_VALUE"""),"Shooter had gotten into an argument with the teacher earlier that day when she asked him to get a chair - he returned to class after recess and shot teacher. Had previously told students he planned to kill teacher. Shooter later fled and was caught by pol"&amp;"ice after he wrecked his car.")</f>
        <v>Shooter had gotten into an argument with the teacher earlier that day when she asked him to get a chair - he returned to class after recess and shot teacher. Had previously told students he planned to kill teacher. Shooter later fled and was caught by police after he wrecked his car.</v>
      </c>
      <c r="AA2780" s="8" t="str">
        <f ca="1">IFERROR(__xludf.DUMMYFUNCTION("""COMPUTED_VALUE"""),"Escalation of Dispute")</f>
        <v>Escalation of Dispute</v>
      </c>
      <c r="AB2780" s="8"/>
      <c r="AC2780" s="8"/>
      <c r="AD2780" s="8" t="str">
        <f ca="1">IFERROR(__xludf.DUMMYFUNCTION("""COMPUTED_VALUE"""),"Victims Targeted")</f>
        <v>Victims Targeted</v>
      </c>
      <c r="AE2780" s="8" t="str">
        <f ca="1">IFERROR(__xludf.DUMMYFUNCTION("""COMPUTED_VALUE"""),"No")</f>
        <v>No</v>
      </c>
      <c r="AF2780" s="8"/>
      <c r="AG2780" s="8" t="str">
        <f ca="1">IFERROR(__xludf.DUMMYFUNCTION("""COMPUTED_VALUE"""),"No")</f>
        <v>No</v>
      </c>
      <c r="AH2780" s="8" t="str">
        <f ca="1">IFERROR(__xludf.DUMMYFUNCTION("""COMPUTED_VALUE"""),"No")</f>
        <v>No</v>
      </c>
      <c r="AI2780" s="8" t="str">
        <f ca="1">IFERROR(__xludf.DUMMYFUNCTION("""COMPUTED_VALUE"""),"No")</f>
        <v>No</v>
      </c>
      <c r="AJ2780" s="8" t="str">
        <f ca="1">IFERROR(__xludf.DUMMYFUNCTION("""COMPUTED_VALUE"""),"No")</f>
        <v>No</v>
      </c>
      <c r="AK2780" s="8" t="str">
        <f ca="1">IFERROR(__xludf.DUMMYFUNCTION("""COMPUTED_VALUE"""),"No")</f>
        <v>No</v>
      </c>
      <c r="AL2780" s="8" t="str">
        <f ca="1">IFERROR(__xludf.DUMMYFUNCTION("""COMPUTED_VALUE"""),"No")</f>
        <v>No</v>
      </c>
      <c r="AM2780" s="8"/>
      <c r="AN2780" s="8"/>
      <c r="AO2780" s="8" t="str">
        <f ca="1">IFERROR(__xludf.DUMMYFUNCTION("""COMPUTED_VALUE"""),"No")</f>
        <v>No</v>
      </c>
      <c r="AP2780" s="8"/>
      <c r="AQ2780" s="8" t="str">
        <f ca="1">IFERROR(__xludf.DUMMYFUNCTION("""COMPUTED_VALUE"""),"Unknown")</f>
        <v>Unknown</v>
      </c>
      <c r="AR2780" s="8" t="str">
        <f ca="1">IFERROR(__xludf.DUMMYFUNCTION("""COMPUTED_VALUE"""),"NA")</f>
        <v>NA</v>
      </c>
      <c r="AS2780" s="8">
        <f ca="1">IFERROR(__xludf.DUMMYFUNCTION("""COMPUTED_VALUE"""),1)</f>
        <v>1</v>
      </c>
      <c r="AT2780" s="8"/>
      <c r="AU2780" s="8">
        <f ca="1">IFERROR(__xludf.DUMMYFUNCTION("""COMPUTED_VALUE"""),21.38485)</f>
        <v>21.38485</v>
      </c>
      <c r="AV2780" s="8">
        <f ca="1">IFERROR(__xludf.DUMMYFUNCTION("""COMPUTED_VALUE"""),-157.930056)</f>
        <v>-157.93005600000001</v>
      </c>
      <c r="AW2780" s="8"/>
      <c r="AX2780" s="8">
        <f ca="1">IFERROR(__xludf.DUMMYFUNCTION("""COMPUTED_VALUE"""),96701)</f>
        <v>96701</v>
      </c>
    </row>
    <row r="2781" spans="1:50" ht="45" x14ac:dyDescent="0.2">
      <c r="A2781" s="8" t="str">
        <f ca="1">IFERROR(__xludf.DUMMYFUNCTION("""COMPUTED_VALUE"""),"19880617MIJOD")</f>
        <v>19880617MIJOD</v>
      </c>
      <c r="B2781" s="8">
        <f ca="1">IFERROR(__xludf.DUMMYFUNCTION("""COMPUTED_VALUE"""),6)</f>
        <v>6</v>
      </c>
      <c r="C2781" s="8">
        <f ca="1">IFERROR(__xludf.DUMMYFUNCTION("""COMPUTED_VALUE"""),17)</f>
        <v>17</v>
      </c>
      <c r="D2781" s="8">
        <f ca="1">IFERROR(__xludf.DUMMYFUNCTION("""COMPUTED_VALUE"""),1988)</f>
        <v>1988</v>
      </c>
      <c r="E2781" s="9">
        <f ca="1">IFERROR(__xludf.DUMMYFUNCTION("""COMPUTED_VALUE"""),32311)</f>
        <v>32311</v>
      </c>
      <c r="F2781" s="8" t="str">
        <f ca="1">IFERROR(__xludf.DUMMYFUNCTION("""COMPUTED_VALUE"""),"Joy Middle School")</f>
        <v>Joy Middle School</v>
      </c>
      <c r="G2781" s="8">
        <f ca="1">IFERROR(__xludf.DUMMYFUNCTION("""COMPUTED_VALUE"""),0)</f>
        <v>0</v>
      </c>
      <c r="H2781" s="8">
        <f ca="1">IFERROR(__xludf.DUMMYFUNCTION("""COMPUTED_VALUE"""),1)</f>
        <v>1</v>
      </c>
      <c r="I2781" s="8">
        <f ca="1">IFERROR(__xludf.DUMMYFUNCTION("""COMPUTED_VALUE"""),1)</f>
        <v>1</v>
      </c>
      <c r="J2781" s="8">
        <f ca="1">IFERROR(__xludf.DUMMYFUNCTION("""COMPUTED_VALUE"""),0)</f>
        <v>0</v>
      </c>
      <c r="K2781" s="8" t="str">
        <f ca="1">IFERROR(__xludf.DUMMYFUNCTION("""COMPUTED_VALUE"""),"https://www.newspapers.com/image/99820382/?terms=JOY%2BMIDDLE%2BSCHOOL; https://www.newspapers.com/image/99822477/?terms=joy%2Bmiddle%2Bschool")</f>
        <v>https://www.newspapers.com/image/99820382/?terms=JOY%2BMIDDLE%2BSCHOOL; https://www.newspapers.com/image/99822477/?terms=joy%2Bmiddle%2Bschool</v>
      </c>
      <c r="L2781" s="8"/>
      <c r="M2781" s="8"/>
      <c r="N2781" s="8">
        <f ca="1">IFERROR(__xludf.DUMMYFUNCTION("""COMPUTED_VALUE"""),3)</f>
        <v>3</v>
      </c>
      <c r="O2781" s="8" t="str">
        <f ca="1">IFERROR(__xludf.DUMMYFUNCTION("""COMPUTED_VALUE"""),"Summer")</f>
        <v>Summer</v>
      </c>
      <c r="P2781" s="8" t="str">
        <f ca="1">IFERROR(__xludf.DUMMYFUNCTION("""COMPUTED_VALUE"""),"Detroit")</f>
        <v>Detroit</v>
      </c>
      <c r="Q2781" s="8" t="str">
        <f ca="1">IFERROR(__xludf.DUMMYFUNCTION("""COMPUTED_VALUE"""),"MI")</f>
        <v>MI</v>
      </c>
      <c r="R2781" s="8" t="str">
        <f ca="1">IFERROR(__xludf.DUMMYFUNCTION("""COMPUTED_VALUE"""),"Middle")</f>
        <v>Middle</v>
      </c>
      <c r="S2781" s="8" t="str">
        <f ca="1">IFERROR(__xludf.DUMMYFUNCTION("""COMPUTED_VALUE"""),"Hallway")</f>
        <v>Hallway</v>
      </c>
      <c r="T2781" s="8" t="str">
        <f ca="1">IFERROR(__xludf.DUMMYFUNCTION("""COMPUTED_VALUE"""),"Inside School Building")</f>
        <v>Inside School Building</v>
      </c>
      <c r="U2781" s="8" t="str">
        <f ca="1">IFERROR(__xludf.DUMMYFUNCTION("""COMPUTED_VALUE"""),"Yes")</f>
        <v>Yes</v>
      </c>
      <c r="V2781" s="8" t="str">
        <f ca="1">IFERROR(__xludf.DUMMYFUNCTION("""COMPUTED_VALUE"""),"Morning Classes")</f>
        <v>Morning Classes</v>
      </c>
      <c r="W2781" s="11">
        <f ca="1">IFERROR(__xludf.DUMMYFUNCTION("""COMPUTED_VALUE"""),0.395833333333333)</f>
        <v>0.39583333333333298</v>
      </c>
      <c r="X2781" s="8">
        <f ca="1">IFERROR(__xludf.DUMMYFUNCTION("""COMPUTED_VALUE"""),1)</f>
        <v>1</v>
      </c>
      <c r="Y2781" s="12" t="str">
        <f ca="1">IFERROR(__xludf.DUMMYFUNCTION("""COMPUTED_VALUE"""),"Escalation of ongoing argument")</f>
        <v>Escalation of ongoing argument</v>
      </c>
      <c r="Z2781" s="12" t="str">
        <f ca="1">IFERROR(__xludf.DUMMYFUNCTION("""COMPUTED_VALUE"""),"Earlier fight between victim and shooter broken up by teachers - shooter went home, got gun and came back to school. shot victim in hallway.")</f>
        <v>Earlier fight between victim and shooter broken up by teachers - shooter went home, got gun and came back to school. shot victim in hallway.</v>
      </c>
      <c r="AA2781" s="8" t="str">
        <f ca="1">IFERROR(__xludf.DUMMYFUNCTION("""COMPUTED_VALUE"""),"Escalation of Dispute")</f>
        <v>Escalation of Dispute</v>
      </c>
      <c r="AB2781" s="8"/>
      <c r="AC2781" s="8"/>
      <c r="AD2781" s="8" t="str">
        <f ca="1">IFERROR(__xludf.DUMMYFUNCTION("""COMPUTED_VALUE"""),"Victims Targeted")</f>
        <v>Victims Targeted</v>
      </c>
      <c r="AE2781" s="8" t="str">
        <f ca="1">IFERROR(__xludf.DUMMYFUNCTION("""COMPUTED_VALUE"""),"No")</f>
        <v>No</v>
      </c>
      <c r="AF2781" s="8"/>
      <c r="AG2781" s="8" t="str">
        <f ca="1">IFERROR(__xludf.DUMMYFUNCTION("""COMPUTED_VALUE"""),"No")</f>
        <v>No</v>
      </c>
      <c r="AH2781" s="8" t="str">
        <f ca="1">IFERROR(__xludf.DUMMYFUNCTION("""COMPUTED_VALUE"""),"No")</f>
        <v>No</v>
      </c>
      <c r="AI2781" s="8" t="str">
        <f ca="1">IFERROR(__xludf.DUMMYFUNCTION("""COMPUTED_VALUE"""),"No")</f>
        <v>No</v>
      </c>
      <c r="AJ2781" s="8" t="str">
        <f ca="1">IFERROR(__xludf.DUMMYFUNCTION("""COMPUTED_VALUE"""),"No")</f>
        <v>No</v>
      </c>
      <c r="AK2781" s="8" t="str">
        <f ca="1">IFERROR(__xludf.DUMMYFUNCTION("""COMPUTED_VALUE"""),"No")</f>
        <v>No</v>
      </c>
      <c r="AL2781" s="8" t="str">
        <f ca="1">IFERROR(__xludf.DUMMYFUNCTION("""COMPUTED_VALUE"""),"No")</f>
        <v>No</v>
      </c>
      <c r="AM2781" s="8"/>
      <c r="AN2781" s="8"/>
      <c r="AO2781" s="8" t="str">
        <f ca="1">IFERROR(__xludf.DUMMYFUNCTION("""COMPUTED_VALUE"""),"No")</f>
        <v>No</v>
      </c>
      <c r="AP2781" s="8"/>
      <c r="AQ2781" s="8" t="str">
        <f ca="1">IFERROR(__xludf.DUMMYFUNCTION("""COMPUTED_VALUE"""),"Unknown")</f>
        <v>Unknown</v>
      </c>
      <c r="AR2781" s="8" t="str">
        <f ca="1">IFERROR(__xludf.DUMMYFUNCTION("""COMPUTED_VALUE"""),"NA")</f>
        <v>NA</v>
      </c>
      <c r="AS2781" s="8">
        <f ca="1">IFERROR(__xludf.DUMMYFUNCTION("""COMPUTED_VALUE"""),2)</f>
        <v>2</v>
      </c>
      <c r="AT2781" s="8"/>
      <c r="AU2781" s="8">
        <f ca="1">IFERROR(__xludf.DUMMYFUNCTION("""COMPUTED_VALUE"""),42.383876)</f>
        <v>42.383876000000001</v>
      </c>
      <c r="AV2781" s="8">
        <f ca="1">IFERROR(__xludf.DUMMYFUNCTION("""COMPUTED_VALUE"""),-82.986981)</f>
        <v>-82.986981</v>
      </c>
      <c r="AW2781" s="8"/>
      <c r="AX2781" s="8">
        <f ca="1">IFERROR(__xludf.DUMMYFUNCTION("""COMPUTED_VALUE"""),48214)</f>
        <v>48214</v>
      </c>
    </row>
    <row r="2782" spans="1:50" ht="45" x14ac:dyDescent="0.2">
      <c r="A2782" s="8" t="str">
        <f ca="1">IFERROR(__xludf.DUMMYFUNCTION("""COMPUTED_VALUE"""),"19880602MSWIJ")</f>
        <v>19880602MSWIJ</v>
      </c>
      <c r="B2782" s="8">
        <f ca="1">IFERROR(__xludf.DUMMYFUNCTION("""COMPUTED_VALUE"""),6)</f>
        <v>6</v>
      </c>
      <c r="C2782" s="8">
        <f ca="1">IFERROR(__xludf.DUMMYFUNCTION("""COMPUTED_VALUE"""),2)</f>
        <v>2</v>
      </c>
      <c r="D2782" s="8">
        <f ca="1">IFERROR(__xludf.DUMMYFUNCTION("""COMPUTED_VALUE"""),1988)</f>
        <v>1988</v>
      </c>
      <c r="E2782" s="9">
        <f ca="1">IFERROR(__xludf.DUMMYFUNCTION("""COMPUTED_VALUE"""),32296)</f>
        <v>32296</v>
      </c>
      <c r="F2782" s="8" t="str">
        <f ca="1">IFERROR(__xludf.DUMMYFUNCTION("""COMPUTED_VALUE"""),"Wingfield High School")</f>
        <v>Wingfield High School</v>
      </c>
      <c r="G2782" s="8">
        <f ca="1">IFERROR(__xludf.DUMMYFUNCTION("""COMPUTED_VALUE"""),0)</f>
        <v>0</v>
      </c>
      <c r="H2782" s="8">
        <f ca="1">IFERROR(__xludf.DUMMYFUNCTION("""COMPUTED_VALUE"""),2)</f>
        <v>2</v>
      </c>
      <c r="I2782" s="8">
        <f ca="1">IFERROR(__xludf.DUMMYFUNCTION("""COMPUTED_VALUE"""),2)</f>
        <v>2</v>
      </c>
      <c r="J2782" s="8">
        <f ca="1">IFERROR(__xludf.DUMMYFUNCTION("""COMPUTED_VALUE"""),0)</f>
        <v>0</v>
      </c>
      <c r="K2782" s="8" t="str">
        <f ca="1">IFERROR(__xludf.DUMMYFUNCTION("""COMPUTED_VALUE"""),"https://www.newspapers.com/image/184121404/?terms=11%2Bjackson%2Bhigh%2Bschool%2Bshooting  https://www.newspapers.com/image/184048209/?spot=8868562")</f>
        <v>https://www.newspapers.com/image/184121404/?terms=11%2Bjackson%2Bhigh%2Bschool%2Bshooting  https://www.newspapers.com/image/184048209/?spot=8868562</v>
      </c>
      <c r="L2782" s="8"/>
      <c r="M2782" s="8"/>
      <c r="N2782" s="8">
        <f ca="1">IFERROR(__xludf.DUMMYFUNCTION("""COMPUTED_VALUE"""),3)</f>
        <v>3</v>
      </c>
      <c r="O2782" s="8" t="str">
        <f ca="1">IFERROR(__xludf.DUMMYFUNCTION("""COMPUTED_VALUE"""),"Summer")</f>
        <v>Summer</v>
      </c>
      <c r="P2782" s="8" t="str">
        <f ca="1">IFERROR(__xludf.DUMMYFUNCTION("""COMPUTED_VALUE"""),"Jackson")</f>
        <v>Jackson</v>
      </c>
      <c r="Q2782" s="8" t="str">
        <f ca="1">IFERROR(__xludf.DUMMYFUNCTION("""COMPUTED_VALUE"""),"MS")</f>
        <v>MS</v>
      </c>
      <c r="R2782" s="8" t="str">
        <f ca="1">IFERROR(__xludf.DUMMYFUNCTION("""COMPUTED_VALUE"""),"High")</f>
        <v>High</v>
      </c>
      <c r="S2782" s="8" t="str">
        <f ca="1">IFERROR(__xludf.DUMMYFUNCTION("""COMPUTED_VALUE"""),"Outside on School Property")</f>
        <v>Outside on School Property</v>
      </c>
      <c r="T2782" s="8" t="str">
        <f ca="1">IFERROR(__xludf.DUMMYFUNCTION("""COMPUTED_VALUE"""),"Outside on School Property")</f>
        <v>Outside on School Property</v>
      </c>
      <c r="U2782" s="8" t="str">
        <f ca="1">IFERROR(__xludf.DUMMYFUNCTION("""COMPUTED_VALUE"""),"Yes")</f>
        <v>Yes</v>
      </c>
      <c r="V2782" s="8" t="str">
        <f ca="1">IFERROR(__xludf.DUMMYFUNCTION("""COMPUTED_VALUE"""),"Dismissal")</f>
        <v>Dismissal</v>
      </c>
      <c r="W2782" s="11">
        <f ca="1">IFERROR(__xludf.DUMMYFUNCTION("""COMPUTED_VALUE"""),0.520833333333333)</f>
        <v>0.52083333333333304</v>
      </c>
      <c r="X2782" s="8">
        <f ca="1">IFERROR(__xludf.DUMMYFUNCTION("""COMPUTED_VALUE"""),1)</f>
        <v>1</v>
      </c>
      <c r="Y2782" s="12" t="str">
        <f ca="1">IFERROR(__xludf.DUMMYFUNCTION("""COMPUTED_VALUE"""),"Gang related shooting outside of school")</f>
        <v>Gang related shooting outside of school</v>
      </c>
      <c r="Z2782" s="12" t="str">
        <f ca="1">IFERROR(__xludf.DUMMYFUNCTION("""COMPUTED_VALUE"""),"Gang violence erupted between students of Wingfield who were Vice Lords and three other non students who were Folks. Three suspects were charged with the shooting.")</f>
        <v>Gang violence erupted between students of Wingfield who were Vice Lords and three other non students who were Folks. Three suspects were charged with the shooting.</v>
      </c>
      <c r="AA2782" s="8" t="str">
        <f ca="1">IFERROR(__xludf.DUMMYFUNCTION("""COMPUTED_VALUE"""),"Escalation of Dispute")</f>
        <v>Escalation of Dispute</v>
      </c>
      <c r="AB2782" s="8"/>
      <c r="AC2782" s="8"/>
      <c r="AD2782" s="8" t="str">
        <f ca="1">IFERROR(__xludf.DUMMYFUNCTION("""COMPUTED_VALUE"""),"Victims Targeted")</f>
        <v>Victims Targeted</v>
      </c>
      <c r="AE2782" s="8" t="str">
        <f ca="1">IFERROR(__xludf.DUMMYFUNCTION("""COMPUTED_VALUE"""),"Yes")</f>
        <v>Yes</v>
      </c>
      <c r="AF2782" s="8" t="str">
        <f ca="1">IFERROR(__xludf.DUMMYFUNCTION("""COMPUTED_VALUE"""),"Three shooters involved - not sure who shooter was - two others (listed) arrested.")</f>
        <v>Three shooters involved - not sure who shooter was - two others (listed) arrested.</v>
      </c>
      <c r="AG2782" s="8" t="str">
        <f ca="1">IFERROR(__xludf.DUMMYFUNCTION("""COMPUTED_VALUE"""),"No")</f>
        <v>No</v>
      </c>
      <c r="AH2782" s="8" t="str">
        <f ca="1">IFERROR(__xludf.DUMMYFUNCTION("""COMPUTED_VALUE"""),"No")</f>
        <v>No</v>
      </c>
      <c r="AI2782" s="8" t="str">
        <f ca="1">IFERROR(__xludf.DUMMYFUNCTION("""COMPUTED_VALUE"""),"No")</f>
        <v>No</v>
      </c>
      <c r="AJ2782" s="8" t="str">
        <f ca="1">IFERROR(__xludf.DUMMYFUNCTION("""COMPUTED_VALUE"""),"No")</f>
        <v>No</v>
      </c>
      <c r="AK2782" s="8" t="str">
        <f ca="1">IFERROR(__xludf.DUMMYFUNCTION("""COMPUTED_VALUE"""),"No")</f>
        <v>No</v>
      </c>
      <c r="AL2782" s="8" t="str">
        <f ca="1">IFERROR(__xludf.DUMMYFUNCTION("""COMPUTED_VALUE"""),"Yes")</f>
        <v>Yes</v>
      </c>
      <c r="AM2782" s="8"/>
      <c r="AN2782" s="8"/>
      <c r="AO2782" s="8" t="str">
        <f ca="1">IFERROR(__xludf.DUMMYFUNCTION("""COMPUTED_VALUE"""),"No")</f>
        <v>No</v>
      </c>
      <c r="AP2782" s="8"/>
      <c r="AQ2782" s="8" t="str">
        <f ca="1">IFERROR(__xludf.DUMMYFUNCTION("""COMPUTED_VALUE"""),"Unknown")</f>
        <v>Unknown</v>
      </c>
      <c r="AR2782" s="8" t="str">
        <f ca="1">IFERROR(__xludf.DUMMYFUNCTION("""COMPUTED_VALUE"""),"NA")</f>
        <v>NA</v>
      </c>
      <c r="AS2782" s="8"/>
      <c r="AT2782" s="8"/>
      <c r="AU2782" s="8">
        <f ca="1">IFERROR(__xludf.DUMMYFUNCTION("""COMPUTED_VALUE"""),32.280481)</f>
        <v>32.280481000000002</v>
      </c>
      <c r="AV2782" s="8">
        <f ca="1">IFERROR(__xludf.DUMMYFUNCTION("""COMPUTED_VALUE"""),-90.24199)</f>
        <v>-90.241990000000001</v>
      </c>
      <c r="AW2782" s="8"/>
      <c r="AX2782" s="8">
        <f ca="1">IFERROR(__xludf.DUMMYFUNCTION("""COMPUTED_VALUE"""),39204)</f>
        <v>39204</v>
      </c>
    </row>
    <row r="2783" spans="1:50" ht="45" x14ac:dyDescent="0.2">
      <c r="A2783" s="8" t="str">
        <f ca="1">IFERROR(__xludf.DUMMYFUNCTION("""COMPUTED_VALUE"""),"19880531NYPUB")</f>
        <v>19880531NYPUB</v>
      </c>
      <c r="B2783" s="8">
        <f ca="1">IFERROR(__xludf.DUMMYFUNCTION("""COMPUTED_VALUE"""),5)</f>
        <v>5</v>
      </c>
      <c r="C2783" s="8">
        <f ca="1">IFERROR(__xludf.DUMMYFUNCTION("""COMPUTED_VALUE"""),31)</f>
        <v>31</v>
      </c>
      <c r="D2783" s="8">
        <f ca="1">IFERROR(__xludf.DUMMYFUNCTION("""COMPUTED_VALUE"""),1988)</f>
        <v>1988</v>
      </c>
      <c r="E2783" s="9">
        <f ca="1">IFERROR(__xludf.DUMMYFUNCTION("""COMPUTED_VALUE"""),32294)</f>
        <v>32294</v>
      </c>
      <c r="F2783" s="8" t="str">
        <f ca="1">IFERROR(__xludf.DUMMYFUNCTION("""COMPUTED_VALUE"""),"Public School 67")</f>
        <v>Public School 67</v>
      </c>
      <c r="G2783" s="8">
        <f ca="1">IFERROR(__xludf.DUMMYFUNCTION("""COMPUTED_VALUE"""),0)</f>
        <v>0</v>
      </c>
      <c r="H2783" s="8">
        <f ca="1">IFERROR(__xludf.DUMMYFUNCTION("""COMPUTED_VALUE"""),1)</f>
        <v>1</v>
      </c>
      <c r="I2783" s="8">
        <f ca="1">IFERROR(__xludf.DUMMYFUNCTION("""COMPUTED_VALUE"""),1)</f>
        <v>1</v>
      </c>
      <c r="J2783" s="8">
        <f ca="1">IFERROR(__xludf.DUMMYFUNCTION("""COMPUTED_VALUE"""),0)</f>
        <v>0</v>
      </c>
      <c r="K2783" s="10" t="str">
        <f ca="1">IFERROR(__xludf.DUMMYFUNCTION("""COMPUTED_VALUE"""),"https://www.newspapers.com/image/145067165/?terms=bridget%2Bisaacs")</f>
        <v>https://www.newspapers.com/image/145067165/?terms=bridget%2Bisaacs</v>
      </c>
      <c r="L2783" s="8"/>
      <c r="M2783" s="8"/>
      <c r="N2783" s="8">
        <f ca="1">IFERROR(__xludf.DUMMYFUNCTION("""COMPUTED_VALUE"""),2)</f>
        <v>2</v>
      </c>
      <c r="O2783" s="8" t="str">
        <f ca="1">IFERROR(__xludf.DUMMYFUNCTION("""COMPUTED_VALUE"""),"Spring")</f>
        <v>Spring</v>
      </c>
      <c r="P2783" s="8" t="str">
        <f ca="1">IFERROR(__xludf.DUMMYFUNCTION("""COMPUTED_VALUE"""),"Bronx")</f>
        <v>Bronx</v>
      </c>
      <c r="Q2783" s="8" t="str">
        <f ca="1">IFERROR(__xludf.DUMMYFUNCTION("""COMPUTED_VALUE"""),"NY")</f>
        <v>NY</v>
      </c>
      <c r="R2783" s="8" t="str">
        <f ca="1">IFERROR(__xludf.DUMMYFUNCTION("""COMPUTED_VALUE"""),"Elementary")</f>
        <v>Elementary</v>
      </c>
      <c r="S2783" s="8" t="str">
        <f ca="1">IFERROR(__xludf.DUMMYFUNCTION("""COMPUTED_VALUE"""),"Beside Building")</f>
        <v>Beside Building</v>
      </c>
      <c r="T2783" s="8" t="str">
        <f ca="1">IFERROR(__xludf.DUMMYFUNCTION("""COMPUTED_VALUE"""),"Outside on School Property")</f>
        <v>Outside on School Property</v>
      </c>
      <c r="U2783" s="8" t="str">
        <f ca="1">IFERROR(__xludf.DUMMYFUNCTION("""COMPUTED_VALUE"""),"Yes")</f>
        <v>Yes</v>
      </c>
      <c r="V2783" s="8" t="str">
        <f ca="1">IFERROR(__xludf.DUMMYFUNCTION("""COMPUTED_VALUE"""),"Dismissal")</f>
        <v>Dismissal</v>
      </c>
      <c r="W2783" s="8"/>
      <c r="X2783" s="8">
        <f ca="1">IFERROR(__xludf.DUMMYFUNCTION("""COMPUTED_VALUE"""),1)</f>
        <v>1</v>
      </c>
      <c r="Y2783" s="12" t="str">
        <f ca="1">IFERROR(__xludf.DUMMYFUNCTION("""COMPUTED_VALUE"""),"Bystander teacher shot during fight outside of school")</f>
        <v>Bystander teacher shot during fight outside of school</v>
      </c>
      <c r="Z2783" s="12" t="str">
        <f ca="1">IFERROR(__xludf.DUMMYFUNCTION("""COMPUTED_VALUE"""),"Teacher stepped outside school building after dismissing class - shot in thigh by one of two men who were arguing near by - suspects fled - no arrests made")</f>
        <v>Teacher stepped outside school building after dismissing class - shot in thigh by one of two men who were arguing near by - suspects fled - no arrests made</v>
      </c>
      <c r="AA2783" s="8" t="str">
        <f ca="1">IFERROR(__xludf.DUMMYFUNCTION("""COMPUTED_VALUE"""),"Escalation of Dispute")</f>
        <v>Escalation of Dispute</v>
      </c>
      <c r="AB2783" s="8"/>
      <c r="AC2783" s="8"/>
      <c r="AD2783" s="8" t="str">
        <f ca="1">IFERROR(__xludf.DUMMYFUNCTION("""COMPUTED_VALUE"""),"Random Shooting")</f>
        <v>Random Shooting</v>
      </c>
      <c r="AE2783" s="8" t="str">
        <f ca="1">IFERROR(__xludf.DUMMYFUNCTION("""COMPUTED_VALUE"""),"No")</f>
        <v>No</v>
      </c>
      <c r="AF2783" s="8"/>
      <c r="AG2783" s="8" t="str">
        <f ca="1">IFERROR(__xludf.DUMMYFUNCTION("""COMPUTED_VALUE"""),"No")</f>
        <v>No</v>
      </c>
      <c r="AH2783" s="8" t="str">
        <f ca="1">IFERROR(__xludf.DUMMYFUNCTION("""COMPUTED_VALUE"""),"No")</f>
        <v>No</v>
      </c>
      <c r="AI2783" s="8" t="str">
        <f ca="1">IFERROR(__xludf.DUMMYFUNCTION("""COMPUTED_VALUE"""),"No")</f>
        <v>No</v>
      </c>
      <c r="AJ2783" s="8" t="str">
        <f ca="1">IFERROR(__xludf.DUMMYFUNCTION("""COMPUTED_VALUE"""),"No")</f>
        <v>No</v>
      </c>
      <c r="AK2783" s="8" t="str">
        <f ca="1">IFERROR(__xludf.DUMMYFUNCTION("""COMPUTED_VALUE"""),"No")</f>
        <v>No</v>
      </c>
      <c r="AL2783" s="8" t="str">
        <f ca="1">IFERROR(__xludf.DUMMYFUNCTION("""COMPUTED_VALUE"""),"No")</f>
        <v>No</v>
      </c>
      <c r="AM2783" s="8"/>
      <c r="AN2783" s="8"/>
      <c r="AO2783" s="8" t="str">
        <f ca="1">IFERROR(__xludf.DUMMYFUNCTION("""COMPUTED_VALUE"""),"No")</f>
        <v>No</v>
      </c>
      <c r="AP2783" s="8"/>
      <c r="AQ2783" s="8" t="str">
        <f ca="1">IFERROR(__xludf.DUMMYFUNCTION("""COMPUTED_VALUE"""),"Unknown")</f>
        <v>Unknown</v>
      </c>
      <c r="AR2783" s="8" t="str">
        <f ca="1">IFERROR(__xludf.DUMMYFUNCTION("""COMPUTED_VALUE"""),"NA")</f>
        <v>NA</v>
      </c>
      <c r="AS2783" s="8">
        <f ca="1">IFERROR(__xludf.DUMMYFUNCTION("""COMPUTED_VALUE"""),1)</f>
        <v>1</v>
      </c>
      <c r="AT2783" s="8"/>
      <c r="AU2783" s="8">
        <f ca="1">IFERROR(__xludf.DUMMYFUNCTION("""COMPUTED_VALUE"""),40.694966)</f>
        <v>40.694966000000001</v>
      </c>
      <c r="AV2783" s="8">
        <f ca="1">IFERROR(__xludf.DUMMYFUNCTION("""COMPUTED_VALUE"""),-73.977889)</f>
        <v>-73.977889000000005</v>
      </c>
      <c r="AW2783" s="8"/>
      <c r="AX2783" s="8">
        <f ca="1">IFERROR(__xludf.DUMMYFUNCTION("""COMPUTED_VALUE"""),11205)</f>
        <v>11205</v>
      </c>
    </row>
    <row r="2784" spans="1:50" ht="210" x14ac:dyDescent="0.2">
      <c r="A2784" s="8" t="str">
        <f ca="1">IFERROR(__xludf.DUMMYFUNCTION("""COMPUTED_VALUE"""),"19880520ILHUW")</f>
        <v>19880520ILHUW</v>
      </c>
      <c r="B2784" s="8">
        <f ca="1">IFERROR(__xludf.DUMMYFUNCTION("""COMPUTED_VALUE"""),5)</f>
        <v>5</v>
      </c>
      <c r="C2784" s="8">
        <f ca="1">IFERROR(__xludf.DUMMYFUNCTION("""COMPUTED_VALUE"""),20)</f>
        <v>20</v>
      </c>
      <c r="D2784" s="8">
        <f ca="1">IFERROR(__xludf.DUMMYFUNCTION("""COMPUTED_VALUE"""),1988)</f>
        <v>1988</v>
      </c>
      <c r="E2784" s="9">
        <f ca="1">IFERROR(__xludf.DUMMYFUNCTION("""COMPUTED_VALUE"""),32283)</f>
        <v>32283</v>
      </c>
      <c r="F2784" s="8" t="str">
        <f ca="1">IFERROR(__xludf.DUMMYFUNCTION("""COMPUTED_VALUE"""),"Hubbard Woods Elementary School")</f>
        <v>Hubbard Woods Elementary School</v>
      </c>
      <c r="G2784" s="8">
        <f ca="1">IFERROR(__xludf.DUMMYFUNCTION("""COMPUTED_VALUE"""),1)</f>
        <v>1</v>
      </c>
      <c r="H2784" s="8">
        <f ca="1">IFERROR(__xludf.DUMMYFUNCTION("""COMPUTED_VALUE"""),6)</f>
        <v>6</v>
      </c>
      <c r="I2784" s="8">
        <f ca="1">IFERROR(__xludf.DUMMYFUNCTION("""COMPUTED_VALUE"""),7)</f>
        <v>7</v>
      </c>
      <c r="J2784" s="8">
        <f ca="1">IFERROR(__xludf.DUMMYFUNCTION("""COMPUTED_VALUE"""),1)</f>
        <v>1</v>
      </c>
      <c r="K2784" s="8" t="str">
        <f ca="1">IFERROR(__xludf.DUMMYFUNCTION("""COMPUTED_VALUE"""),"http://articles.chicagotribune.com/2013-05-19/news/ct-met-laurie-dann-25-years-later-20130519_1_school-violence-hubbard-woods-school-school-shootings; https://en.wikipedia.org/wiki/Laurie_Dann")</f>
        <v>http://articles.chicagotribune.com/2013-05-19/news/ct-met-laurie-dann-25-years-later-20130519_1_school-violence-hubbard-woods-school-school-shootings; https://en.wikipedia.org/wiki/Laurie_Dann</v>
      </c>
      <c r="L2784" s="8"/>
      <c r="M2784" s="8"/>
      <c r="N2784" s="8">
        <f ca="1">IFERROR(__xludf.DUMMYFUNCTION("""COMPUTED_VALUE"""),3)</f>
        <v>3</v>
      </c>
      <c r="O2784" s="8" t="str">
        <f ca="1">IFERROR(__xludf.DUMMYFUNCTION("""COMPUTED_VALUE"""),"Spring")</f>
        <v>Spring</v>
      </c>
      <c r="P2784" s="8" t="str">
        <f ca="1">IFERROR(__xludf.DUMMYFUNCTION("""COMPUTED_VALUE"""),"Winnetka")</f>
        <v>Winnetka</v>
      </c>
      <c r="Q2784" s="8" t="str">
        <f ca="1">IFERROR(__xludf.DUMMYFUNCTION("""COMPUTED_VALUE"""),"IL")</f>
        <v>IL</v>
      </c>
      <c r="R2784" s="8" t="str">
        <f ca="1">IFERROR(__xludf.DUMMYFUNCTION("""COMPUTED_VALUE"""),"Elementary")</f>
        <v>Elementary</v>
      </c>
      <c r="S2784" s="8" t="str">
        <f ca="1">IFERROR(__xludf.DUMMYFUNCTION("""COMPUTED_VALUE"""),"Classroom")</f>
        <v>Classroom</v>
      </c>
      <c r="T2784" s="8" t="str">
        <f ca="1">IFERROR(__xludf.DUMMYFUNCTION("""COMPUTED_VALUE"""),"Inside School Building")</f>
        <v>Inside School Building</v>
      </c>
      <c r="U2784" s="8" t="str">
        <f ca="1">IFERROR(__xludf.DUMMYFUNCTION("""COMPUTED_VALUE"""),"Yes")</f>
        <v>Yes</v>
      </c>
      <c r="V2784" s="8" t="str">
        <f ca="1">IFERROR(__xludf.DUMMYFUNCTION("""COMPUTED_VALUE"""),"School Start")</f>
        <v>School Start</v>
      </c>
      <c r="W2784" s="11">
        <f ca="1">IFERROR(__xludf.DUMMYFUNCTION("""COMPUTED_VALUE"""),0.375)</f>
        <v>0.375</v>
      </c>
      <c r="X2784" s="8">
        <f ca="1">IFERROR(__xludf.DUMMYFUNCTION("""COMPUTED_VALUE"""),720)</f>
        <v>720</v>
      </c>
      <c r="Y2784" s="12" t="str">
        <f ca="1">IFERROR(__xludf.DUMMYFUNCTION("""COMPUTED_VALUE"""),"Babysitter attempted to burn down school and shot random students")</f>
        <v>Babysitter attempted to burn down school and shot random students</v>
      </c>
      <c r="Z2784" s="12" t="str">
        <f ca="1">IFERROR(__xludf.DUMMYFUNCTION("""COMPUTED_VALUE"""),"Shooter attempted to poison two children she was babysitting, drove them to a school where she believe her sister in laws children were, attempted to burn down the school, attempted to burn down another house with people inside, went to another school and"&amp;" shot multiple children then attempted to burn it down, fled the scene and took two people hostage in their home. Commit suicide while in custody. Shooter had significant mental health issues and was receiving treatment from multiple mental health provide"&amp;"rs. Condition became worse prior to the shootings as she called in death threats to schools and former babysitting clients. News paper clipping were found in her room describing other shootings. Family was sued for trying to hide her mental health issues.")</f>
        <v>Shooter attempted to poison two children she was babysitting, drove them to a school where she believe her sister in laws children were, attempted to burn down the school, attempted to burn down another house with people inside, went to another school and shot multiple children then attempted to burn it down, fled the scene and took two people hostage in their home. Commit suicide while in custody. Shooter had significant mental health issues and was receiving treatment from multiple mental health providers. Condition became worse prior to the shootings as she called in death threats to schools and former babysitting clients. News paper clipping were found in her room describing other shootings. Family was sued for trying to hide her mental health issues.</v>
      </c>
      <c r="AA2784" s="8" t="str">
        <f ca="1">IFERROR(__xludf.DUMMYFUNCTION("""COMPUTED_VALUE"""),"Psychosis")</f>
        <v>Psychosis</v>
      </c>
      <c r="AB2784" s="8" t="str">
        <f ca="1">IFERROR(__xludf.DUMMYFUNCTION("""COMPUTED_VALUE"""),"Active Shooter/Planned Attack")</f>
        <v>Active Shooter/Planned Attack</v>
      </c>
      <c r="AC2784" s="8" t="str">
        <f ca="1">IFERROR(__xludf.DUMMYFUNCTION("""COMPUTED_VALUE"""),"Yes")</f>
        <v>Yes</v>
      </c>
      <c r="AD2784" s="8" t="str">
        <f ca="1">IFERROR(__xludf.DUMMYFUNCTION("""COMPUTED_VALUE"""),"Both")</f>
        <v>Both</v>
      </c>
      <c r="AE2784" s="8" t="str">
        <f ca="1">IFERROR(__xludf.DUMMYFUNCTION("""COMPUTED_VALUE"""),"No")</f>
        <v>No</v>
      </c>
      <c r="AF2784" s="8"/>
      <c r="AG2784" s="8" t="str">
        <f ca="1">IFERROR(__xludf.DUMMYFUNCTION("""COMPUTED_VALUE"""),"No")</f>
        <v>No</v>
      </c>
      <c r="AH2784" s="8" t="str">
        <f ca="1">IFERROR(__xludf.DUMMYFUNCTION("""COMPUTED_VALUE"""),"No")</f>
        <v>No</v>
      </c>
      <c r="AI2784" s="8" t="str">
        <f ca="1">IFERROR(__xludf.DUMMYFUNCTION("""COMPUTED_VALUE"""),"No")</f>
        <v>No</v>
      </c>
      <c r="AJ2784" s="8" t="str">
        <f ca="1">IFERROR(__xludf.DUMMYFUNCTION("""COMPUTED_VALUE"""),"No")</f>
        <v>No</v>
      </c>
      <c r="AK2784" s="8" t="str">
        <f ca="1">IFERROR(__xludf.DUMMYFUNCTION("""COMPUTED_VALUE"""),"No")</f>
        <v>No</v>
      </c>
      <c r="AL2784" s="8" t="str">
        <f ca="1">IFERROR(__xludf.DUMMYFUNCTION("""COMPUTED_VALUE"""),"No")</f>
        <v>No</v>
      </c>
      <c r="AM2784" s="8" t="str">
        <f ca="1">IFERROR(__xludf.DUMMYFUNCTION("""COMPUTED_VALUE"""),"Yes")</f>
        <v>Yes</v>
      </c>
      <c r="AN2784" s="8" t="str">
        <f ca="1">IFERROR(__xludf.DUMMYFUNCTION("""COMPUTED_VALUE"""),"Single Room")</f>
        <v>Single Room</v>
      </c>
      <c r="AO2784" s="8" t="str">
        <f ca="1">IFERROR(__xludf.DUMMYFUNCTION("""COMPUTED_VALUE"""),"No")</f>
        <v>No</v>
      </c>
      <c r="AP2784" s="8"/>
      <c r="AQ2784" s="8" t="str">
        <f ca="1">IFERROR(__xludf.DUMMYFUNCTION("""COMPUTED_VALUE"""),"Unknown")</f>
        <v>Unknown</v>
      </c>
      <c r="AR2784" s="8" t="str">
        <f ca="1">IFERROR(__xludf.DUMMYFUNCTION("""COMPUTED_VALUE"""),"NA")</f>
        <v>NA</v>
      </c>
      <c r="AS2784" s="8" t="str">
        <f ca="1">IFERROR(__xludf.DUMMYFUNCTION("""COMPUTED_VALUE"""),"&gt;20")</f>
        <v>&gt;20</v>
      </c>
      <c r="AT2784" s="8"/>
      <c r="AU2784" s="8">
        <f ca="1">IFERROR(__xludf.DUMMYFUNCTION("""COMPUTED_VALUE"""),42.114306)</f>
        <v>42.114305999999999</v>
      </c>
      <c r="AV2784" s="8">
        <f ca="1">IFERROR(__xludf.DUMMYFUNCTION("""COMPUTED_VALUE"""),-87.745762)</f>
        <v>-87.745761999999999</v>
      </c>
      <c r="AW2784" s="8"/>
      <c r="AX2784" s="8">
        <f ca="1">IFERROR(__xludf.DUMMYFUNCTION("""COMPUTED_VALUE"""),60093)</f>
        <v>60093</v>
      </c>
    </row>
    <row r="2785" spans="1:50" ht="45" x14ac:dyDescent="0.2">
      <c r="A2785" s="8" t="str">
        <f ca="1">IFERROR(__xludf.DUMMYFUNCTION("""COMPUTED_VALUE"""),"19880516FLFOF")</f>
        <v>19880516FLFOF</v>
      </c>
      <c r="B2785" s="8">
        <f ca="1">IFERROR(__xludf.DUMMYFUNCTION("""COMPUTED_VALUE"""),5)</f>
        <v>5</v>
      </c>
      <c r="C2785" s="8">
        <f ca="1">IFERROR(__xludf.DUMMYFUNCTION("""COMPUTED_VALUE"""),16)</f>
        <v>16</v>
      </c>
      <c r="D2785" s="8">
        <f ca="1">IFERROR(__xludf.DUMMYFUNCTION("""COMPUTED_VALUE"""),1988)</f>
        <v>1988</v>
      </c>
      <c r="E2785" s="9">
        <f ca="1">IFERROR(__xludf.DUMMYFUNCTION("""COMPUTED_VALUE"""),32279)</f>
        <v>32279</v>
      </c>
      <c r="F2785" s="8" t="str">
        <f ca="1">IFERROR(__xludf.DUMMYFUNCTION("""COMPUTED_VALUE"""),"Fort Myers Middle School")</f>
        <v>Fort Myers Middle School</v>
      </c>
      <c r="G2785" s="8">
        <f ca="1">IFERROR(__xludf.DUMMYFUNCTION("""COMPUTED_VALUE"""),0)</f>
        <v>0</v>
      </c>
      <c r="H2785" s="8">
        <f ca="1">IFERROR(__xludf.DUMMYFUNCTION("""COMPUTED_VALUE"""),1)</f>
        <v>1</v>
      </c>
      <c r="I2785" s="8">
        <f ca="1">IFERROR(__xludf.DUMMYFUNCTION("""COMPUTED_VALUE"""),1)</f>
        <v>1</v>
      </c>
      <c r="J2785" s="8">
        <f ca="1">IFERROR(__xludf.DUMMYFUNCTION("""COMPUTED_VALUE"""),0)</f>
        <v>0</v>
      </c>
      <c r="K2785" s="8" t="str">
        <f ca="1">IFERROR(__xludf.DUMMYFUNCTION("""COMPUTED_VALUE"""),"https://www.newspapers.com/image/215978031/?terms=DEREK%2BSTRONG%2BSTUDENT;  https://www.newspapers.com/image/215978301/   https://www.newspapers.com/image/215580085/?terms=student%2Bshot&amp;match=2")</f>
        <v>https://www.newspapers.com/image/215978031/?terms=DEREK%2BSTRONG%2BSTUDENT;  https://www.newspapers.com/image/215978301/   https://www.newspapers.com/image/215580085/?terms=student%2Bshot&amp;match=2</v>
      </c>
      <c r="L2785" s="8"/>
      <c r="M2785" s="8"/>
      <c r="N2785" s="8">
        <f ca="1">IFERROR(__xludf.DUMMYFUNCTION("""COMPUTED_VALUE"""),3)</f>
        <v>3</v>
      </c>
      <c r="O2785" s="8" t="str">
        <f ca="1">IFERROR(__xludf.DUMMYFUNCTION("""COMPUTED_VALUE"""),"Spring")</f>
        <v>Spring</v>
      </c>
      <c r="P2785" s="8" t="str">
        <f ca="1">IFERROR(__xludf.DUMMYFUNCTION("""COMPUTED_VALUE"""),"Fort Myers")</f>
        <v>Fort Myers</v>
      </c>
      <c r="Q2785" s="8" t="str">
        <f ca="1">IFERROR(__xludf.DUMMYFUNCTION("""COMPUTED_VALUE"""),"FL")</f>
        <v>FL</v>
      </c>
      <c r="R2785" s="8" t="str">
        <f ca="1">IFERROR(__xludf.DUMMYFUNCTION("""COMPUTED_VALUE"""),"Middle")</f>
        <v>Middle</v>
      </c>
      <c r="S2785" s="8" t="str">
        <f ca="1">IFERROR(__xludf.DUMMYFUNCTION("""COMPUTED_VALUE"""),"School Bus")</f>
        <v>School Bus</v>
      </c>
      <c r="T2785" s="8" t="str">
        <f ca="1">IFERROR(__xludf.DUMMYFUNCTION("""COMPUTED_VALUE"""),"School Bus")</f>
        <v>School Bus</v>
      </c>
      <c r="U2785" s="8" t="str">
        <f ca="1">IFERROR(__xludf.DUMMYFUNCTION("""COMPUTED_VALUE"""),"Yes")</f>
        <v>Yes</v>
      </c>
      <c r="V2785" s="8" t="str">
        <f ca="1">IFERROR(__xludf.DUMMYFUNCTION("""COMPUTED_VALUE"""),"After School")</f>
        <v>After School</v>
      </c>
      <c r="W2785" s="11">
        <f ca="1">IFERROR(__xludf.DUMMYFUNCTION("""COMPUTED_VALUE"""),0.654861111111111)</f>
        <v>0.65486111111111101</v>
      </c>
      <c r="X2785" s="8">
        <f ca="1">IFERROR(__xludf.DUMMYFUNCTION("""COMPUTED_VALUE"""),1)</f>
        <v>1</v>
      </c>
      <c r="Y2785" s="12" t="str">
        <f ca="1">IFERROR(__xludf.DUMMYFUNCTION("""COMPUTED_VALUE"""),"Targeted shooting of victim involved in prior fight")</f>
        <v>Targeted shooting of victim involved in prior fight</v>
      </c>
      <c r="Z2785" s="12" t="str">
        <f ca="1">IFERROR(__xludf.DUMMYFUNCTION("""COMPUTED_VALUE"""),"Ongoing feud - last week, victim had beat up suspect pretty bad - suspect retaliated by shooting victim while on school bus ride home")</f>
        <v>Ongoing feud - last week, victim had beat up suspect pretty bad - suspect retaliated by shooting victim while on school bus ride home</v>
      </c>
      <c r="AA2785" s="8" t="str">
        <f ca="1">IFERROR(__xludf.DUMMYFUNCTION("""COMPUTED_VALUE"""),"Escalation of Dispute")</f>
        <v>Escalation of Dispute</v>
      </c>
      <c r="AB2785" s="8"/>
      <c r="AC2785" s="8"/>
      <c r="AD2785" s="8" t="str">
        <f ca="1">IFERROR(__xludf.DUMMYFUNCTION("""COMPUTED_VALUE"""),"Victims Targeted")</f>
        <v>Victims Targeted</v>
      </c>
      <c r="AE2785" s="8" t="str">
        <f ca="1">IFERROR(__xludf.DUMMYFUNCTION("""COMPUTED_VALUE"""),"No")</f>
        <v>No</v>
      </c>
      <c r="AF2785" s="8"/>
      <c r="AG2785" s="8" t="str">
        <f ca="1">IFERROR(__xludf.DUMMYFUNCTION("""COMPUTED_VALUE"""),"No")</f>
        <v>No</v>
      </c>
      <c r="AH2785" s="8" t="str">
        <f ca="1">IFERROR(__xludf.DUMMYFUNCTION("""COMPUTED_VALUE"""),"No")</f>
        <v>No</v>
      </c>
      <c r="AI2785" s="8" t="str">
        <f ca="1">IFERROR(__xludf.DUMMYFUNCTION("""COMPUTED_VALUE"""),"No")</f>
        <v>No</v>
      </c>
      <c r="AJ2785" s="8"/>
      <c r="AK2785" s="8" t="str">
        <f ca="1">IFERROR(__xludf.DUMMYFUNCTION("""COMPUTED_VALUE"""),"No")</f>
        <v>No</v>
      </c>
      <c r="AL2785" s="8" t="str">
        <f ca="1">IFERROR(__xludf.DUMMYFUNCTION("""COMPUTED_VALUE"""),"No")</f>
        <v>No</v>
      </c>
      <c r="AM2785" s="8"/>
      <c r="AN2785" s="8"/>
      <c r="AO2785" s="8" t="str">
        <f ca="1">IFERROR(__xludf.DUMMYFUNCTION("""COMPUTED_VALUE"""),"No")</f>
        <v>No</v>
      </c>
      <c r="AP2785" s="8"/>
      <c r="AQ2785" s="8" t="str">
        <f ca="1">IFERROR(__xludf.DUMMYFUNCTION("""COMPUTED_VALUE"""),"Unknown")</f>
        <v>Unknown</v>
      </c>
      <c r="AR2785" s="8" t="str">
        <f ca="1">IFERROR(__xludf.DUMMYFUNCTION("""COMPUTED_VALUE"""),"NA")</f>
        <v>NA</v>
      </c>
      <c r="AS2785" s="8">
        <f ca="1">IFERROR(__xludf.DUMMYFUNCTION("""COMPUTED_VALUE"""),1)</f>
        <v>1</v>
      </c>
      <c r="AT2785" s="8"/>
      <c r="AU2785" s="8">
        <f ca="1">IFERROR(__xludf.DUMMYFUNCTION("""COMPUTED_VALUE"""),26.619405)</f>
        <v>26.619405</v>
      </c>
      <c r="AV2785" s="8">
        <f ca="1">IFERROR(__xludf.DUMMYFUNCTION("""COMPUTED_VALUE"""),-81.865275)</f>
        <v>-81.865274999999997</v>
      </c>
      <c r="AW2785" s="8"/>
      <c r="AX2785" s="8">
        <f ca="1">IFERROR(__xludf.DUMMYFUNCTION("""COMPUTED_VALUE"""),33901)</f>
        <v>33901</v>
      </c>
    </row>
    <row r="2786" spans="1:50" ht="30" x14ac:dyDescent="0.2">
      <c r="A2786" s="8" t="str">
        <f ca="1">IFERROR(__xludf.DUMMYFUNCTION("""COMPUTED_VALUE"""),"19880505ILMAC")</f>
        <v>19880505ILMAC</v>
      </c>
      <c r="B2786" s="8">
        <f ca="1">IFERROR(__xludf.DUMMYFUNCTION("""COMPUTED_VALUE"""),5)</f>
        <v>5</v>
      </c>
      <c r="C2786" s="8">
        <f ca="1">IFERROR(__xludf.DUMMYFUNCTION("""COMPUTED_VALUE"""),5)</f>
        <v>5</v>
      </c>
      <c r="D2786" s="8">
        <f ca="1">IFERROR(__xludf.DUMMYFUNCTION("""COMPUTED_VALUE"""),1988)</f>
        <v>1988</v>
      </c>
      <c r="E2786" s="9">
        <f ca="1">IFERROR(__xludf.DUMMYFUNCTION("""COMPUTED_VALUE"""),32268)</f>
        <v>32268</v>
      </c>
      <c r="F2786" s="8" t="str">
        <f ca="1">IFERROR(__xludf.DUMMYFUNCTION("""COMPUTED_VALUE"""),"Martin Luther King High School")</f>
        <v>Martin Luther King High School</v>
      </c>
      <c r="G2786" s="8">
        <f ca="1">IFERROR(__xludf.DUMMYFUNCTION("""COMPUTED_VALUE"""),0)</f>
        <v>0</v>
      </c>
      <c r="H2786" s="8">
        <f ca="1">IFERROR(__xludf.DUMMYFUNCTION("""COMPUTED_VALUE"""),1)</f>
        <v>1</v>
      </c>
      <c r="I2786" s="8">
        <f ca="1">IFERROR(__xludf.DUMMYFUNCTION("""COMPUTED_VALUE"""),1)</f>
        <v>1</v>
      </c>
      <c r="J2786" s="8">
        <f ca="1">IFERROR(__xludf.DUMMYFUNCTION("""COMPUTED_VALUE"""),0)</f>
        <v>0</v>
      </c>
      <c r="K2786" s="10" t="str">
        <f ca="1">IFERROR(__xludf.DUMMYFUNCTION("""COMPUTED_VALUE"""),"https://www.newspapers.com/image/388885712/?terms=martin%2Bluther%2Bking%2Bhigh%2Bschool")</f>
        <v>https://www.newspapers.com/image/388885712/?terms=martin%2Bluther%2Bking%2Bhigh%2Bschool</v>
      </c>
      <c r="L2786" s="8"/>
      <c r="M2786" s="8"/>
      <c r="N2786" s="8">
        <f ca="1">IFERROR(__xludf.DUMMYFUNCTION("""COMPUTED_VALUE"""),2)</f>
        <v>2</v>
      </c>
      <c r="O2786" s="8" t="str">
        <f ca="1">IFERROR(__xludf.DUMMYFUNCTION("""COMPUTED_VALUE"""),"Spring")</f>
        <v>Spring</v>
      </c>
      <c r="P2786" s="8" t="str">
        <f ca="1">IFERROR(__xludf.DUMMYFUNCTION("""COMPUTED_VALUE"""),"Chicago")</f>
        <v>Chicago</v>
      </c>
      <c r="Q2786" s="8" t="str">
        <f ca="1">IFERROR(__xludf.DUMMYFUNCTION("""COMPUTED_VALUE"""),"IL")</f>
        <v>IL</v>
      </c>
      <c r="R2786" s="8" t="str">
        <f ca="1">IFERROR(__xludf.DUMMYFUNCTION("""COMPUTED_VALUE"""),"High")</f>
        <v>High</v>
      </c>
      <c r="S2786" s="8" t="str">
        <f ca="1">IFERROR(__xludf.DUMMYFUNCTION("""COMPUTED_VALUE"""),"Classroom")</f>
        <v>Classroom</v>
      </c>
      <c r="T2786" s="8" t="str">
        <f ca="1">IFERROR(__xludf.DUMMYFUNCTION("""COMPUTED_VALUE"""),"Inside School Building")</f>
        <v>Inside School Building</v>
      </c>
      <c r="U2786" s="8" t="str">
        <f ca="1">IFERROR(__xludf.DUMMYFUNCTION("""COMPUTED_VALUE"""),"Yes")</f>
        <v>Yes</v>
      </c>
      <c r="V2786" s="8"/>
      <c r="W2786" s="8"/>
      <c r="X2786" s="8">
        <f ca="1">IFERROR(__xludf.DUMMYFUNCTION("""COMPUTED_VALUE"""),1)</f>
        <v>1</v>
      </c>
      <c r="Y2786" s="12" t="str">
        <f ca="1">IFERROR(__xludf.DUMMYFUNCTION("""COMPUTED_VALUE"""),"Playing with gun in art class")</f>
        <v>Playing with gun in art class</v>
      </c>
      <c r="Z2786" s="12" t="str">
        <f ca="1">IFERROR(__xludf.DUMMYFUNCTION("""COMPUTED_VALUE"""),"Students playing with gun in art class - accidentally discharged - victim shot in right hip -")</f>
        <v>Students playing with gun in art class - accidentally discharged - victim shot in right hip -</v>
      </c>
      <c r="AA2786" s="8" t="str">
        <f ca="1">IFERROR(__xludf.DUMMYFUNCTION("""COMPUTED_VALUE"""),"Accidental")</f>
        <v>Accidental</v>
      </c>
      <c r="AB2786" s="8"/>
      <c r="AC2786" s="8"/>
      <c r="AD2786" s="8" t="str">
        <f ca="1">IFERROR(__xludf.DUMMYFUNCTION("""COMPUTED_VALUE"""),"Random Shooting")</f>
        <v>Random Shooting</v>
      </c>
      <c r="AE2786" s="8"/>
      <c r="AF2786" s="8"/>
      <c r="AG2786" s="8" t="str">
        <f ca="1">IFERROR(__xludf.DUMMYFUNCTION("""COMPUTED_VALUE"""),"No")</f>
        <v>No</v>
      </c>
      <c r="AH2786" s="8" t="str">
        <f ca="1">IFERROR(__xludf.DUMMYFUNCTION("""COMPUTED_VALUE"""),"No")</f>
        <v>No</v>
      </c>
      <c r="AI2786" s="8" t="str">
        <f ca="1">IFERROR(__xludf.DUMMYFUNCTION("""COMPUTED_VALUE"""),"No")</f>
        <v>No</v>
      </c>
      <c r="AJ2786" s="8" t="str">
        <f ca="1">IFERROR(__xludf.DUMMYFUNCTION("""COMPUTED_VALUE"""),"No")</f>
        <v>No</v>
      </c>
      <c r="AK2786" s="8" t="str">
        <f ca="1">IFERROR(__xludf.DUMMYFUNCTION("""COMPUTED_VALUE"""),"No")</f>
        <v>No</v>
      </c>
      <c r="AL2786" s="8" t="str">
        <f ca="1">IFERROR(__xludf.DUMMYFUNCTION("""COMPUTED_VALUE"""),"No")</f>
        <v>No</v>
      </c>
      <c r="AM2786" s="8"/>
      <c r="AN2786" s="8"/>
      <c r="AO2786" s="8" t="str">
        <f ca="1">IFERROR(__xludf.DUMMYFUNCTION("""COMPUTED_VALUE"""),"No")</f>
        <v>No</v>
      </c>
      <c r="AP2786" s="8"/>
      <c r="AQ2786" s="8" t="str">
        <f ca="1">IFERROR(__xludf.DUMMYFUNCTION("""COMPUTED_VALUE"""),"Unknown")</f>
        <v>Unknown</v>
      </c>
      <c r="AR2786" s="8" t="str">
        <f ca="1">IFERROR(__xludf.DUMMYFUNCTION("""COMPUTED_VALUE"""),"NA")</f>
        <v>NA</v>
      </c>
      <c r="AS2786" s="8">
        <f ca="1">IFERROR(__xludf.DUMMYFUNCTION("""COMPUTED_VALUE"""),1)</f>
        <v>1</v>
      </c>
      <c r="AT2786" s="8"/>
      <c r="AU2786" s="8">
        <f ca="1">IFERROR(__xludf.DUMMYFUNCTION("""COMPUTED_VALUE"""),41.813711)</f>
        <v>41.813710999999998</v>
      </c>
      <c r="AV2786" s="8">
        <f ca="1">IFERROR(__xludf.DUMMYFUNCTION("""COMPUTED_VALUE"""),-87.603186)</f>
        <v>-87.603185999999994</v>
      </c>
      <c r="AW2786" s="8"/>
      <c r="AX2786" s="8">
        <f ca="1">IFERROR(__xludf.DUMMYFUNCTION("""COMPUTED_VALUE"""),60653)</f>
        <v>60653</v>
      </c>
    </row>
    <row r="2787" spans="1:50" ht="60" x14ac:dyDescent="0.2">
      <c r="A2787" s="8" t="str">
        <f ca="1">IFERROR(__xludf.DUMMYFUNCTION("""COMPUTED_VALUE"""),"19880324TXTRA")</f>
        <v>19880324TXTRA</v>
      </c>
      <c r="B2787" s="8">
        <f ca="1">IFERROR(__xludf.DUMMYFUNCTION("""COMPUTED_VALUE"""),3)</f>
        <v>3</v>
      </c>
      <c r="C2787" s="8">
        <f ca="1">IFERROR(__xludf.DUMMYFUNCTION("""COMPUTED_VALUE"""),24)</f>
        <v>24</v>
      </c>
      <c r="D2787" s="8">
        <f ca="1">IFERROR(__xludf.DUMMYFUNCTION("""COMPUTED_VALUE"""),1988)</f>
        <v>1988</v>
      </c>
      <c r="E2787" s="9">
        <f ca="1">IFERROR(__xludf.DUMMYFUNCTION("""COMPUTED_VALUE"""),32226)</f>
        <v>32226</v>
      </c>
      <c r="F2787" s="8" t="str">
        <f ca="1">IFERROR(__xludf.DUMMYFUNCTION("""COMPUTED_VALUE"""),"Travis High School")</f>
        <v>Travis High School</v>
      </c>
      <c r="G2787" s="8">
        <f ca="1">IFERROR(__xludf.DUMMYFUNCTION("""COMPUTED_VALUE"""),0)</f>
        <v>0</v>
      </c>
      <c r="H2787" s="8">
        <f ca="1">IFERROR(__xludf.DUMMYFUNCTION("""COMPUTED_VALUE"""),0)</f>
        <v>0</v>
      </c>
      <c r="I2787" s="8">
        <f ca="1">IFERROR(__xludf.DUMMYFUNCTION("""COMPUTED_VALUE"""),0)</f>
        <v>0</v>
      </c>
      <c r="J2787" s="8">
        <f ca="1">IFERROR(__xludf.DUMMYFUNCTION("""COMPUTED_VALUE"""),0)</f>
        <v>0</v>
      </c>
      <c r="K2787" s="10" t="str">
        <f ca="1">IFERROR(__xludf.DUMMYFUNCTION("""COMPUTED_VALUE"""),"https://www.newspapers.com/image/363969550/?terms=school%2Bbus%2Bshooting")</f>
        <v>https://www.newspapers.com/image/363969550/?terms=school%2Bbus%2Bshooting</v>
      </c>
      <c r="L2787" s="8"/>
      <c r="M2787" s="8"/>
      <c r="N2787" s="8">
        <f ca="1">IFERROR(__xludf.DUMMYFUNCTION("""COMPUTED_VALUE"""),2)</f>
        <v>2</v>
      </c>
      <c r="O2787" s="8" t="str">
        <f ca="1">IFERROR(__xludf.DUMMYFUNCTION("""COMPUTED_VALUE"""),"Spring")</f>
        <v>Spring</v>
      </c>
      <c r="P2787" s="8" t="str">
        <f ca="1">IFERROR(__xludf.DUMMYFUNCTION("""COMPUTED_VALUE"""),"Austin")</f>
        <v>Austin</v>
      </c>
      <c r="Q2787" s="8" t="str">
        <f ca="1">IFERROR(__xludf.DUMMYFUNCTION("""COMPUTED_VALUE"""),"TX")</f>
        <v>TX</v>
      </c>
      <c r="R2787" s="8" t="str">
        <f ca="1">IFERROR(__xludf.DUMMYFUNCTION("""COMPUTED_VALUE"""),"High")</f>
        <v>High</v>
      </c>
      <c r="S2787" s="8" t="str">
        <f ca="1">IFERROR(__xludf.DUMMYFUNCTION("""COMPUTED_VALUE"""),"School Bus")</f>
        <v>School Bus</v>
      </c>
      <c r="T2787" s="8" t="str">
        <f ca="1">IFERROR(__xludf.DUMMYFUNCTION("""COMPUTED_VALUE"""),"School Bus")</f>
        <v>School Bus</v>
      </c>
      <c r="U2787" s="8" t="str">
        <f ca="1">IFERROR(__xludf.DUMMYFUNCTION("""COMPUTED_VALUE"""),"Yes")</f>
        <v>Yes</v>
      </c>
      <c r="V2787" s="8" t="str">
        <f ca="1">IFERROR(__xludf.DUMMYFUNCTION("""COMPUTED_VALUE"""),"After School")</f>
        <v>After School</v>
      </c>
      <c r="W2787" s="11">
        <f ca="1">IFERROR(__xludf.DUMMYFUNCTION("""COMPUTED_VALUE"""),0.677083333333333)</f>
        <v>0.67708333333333304</v>
      </c>
      <c r="X2787" s="8">
        <f ca="1">IFERROR(__xludf.DUMMYFUNCTION("""COMPUTED_VALUE"""),1)</f>
        <v>1</v>
      </c>
      <c r="Y2787" s="12" t="str">
        <f ca="1">IFERROR(__xludf.DUMMYFUNCTION("""COMPUTED_VALUE"""),"Student shot at school bus with 9 students - no injuries.")</f>
        <v>Student shot at school bus with 9 students - no injuries.</v>
      </c>
      <c r="Z2787" s="12" t="str">
        <f ca="1">IFERROR(__xludf.DUMMYFUNCTION("""COMPUTED_VALUE"""),"A student who was a passenger in a vehicle shot a BB at a school bus loaded with nine students. the BB broke the window of the bus but no one was injured. The shooter was later arrested and faced charges in juvenile court.")</f>
        <v>A student who was a passenger in a vehicle shot a BB at a school bus loaded with nine students. the BB broke the window of the bus but no one was injured. The shooter was later arrested and faced charges in juvenile court.</v>
      </c>
      <c r="AA2787" s="8" t="str">
        <f ca="1">IFERROR(__xludf.DUMMYFUNCTION("""COMPUTED_VALUE"""),"Drive-by Shooting")</f>
        <v>Drive-by Shooting</v>
      </c>
      <c r="AB2787" s="8"/>
      <c r="AC2787" s="8"/>
      <c r="AD2787" s="8"/>
      <c r="AE2787" s="8" t="str">
        <f ca="1">IFERROR(__xludf.DUMMYFUNCTION("""COMPUTED_VALUE"""),"Yes")</f>
        <v>Yes</v>
      </c>
      <c r="AF2787" s="8" t="str">
        <f ca="1">IFERROR(__xludf.DUMMYFUNCTION("""COMPUTED_VALUE"""),"Shooter was passenger in a car")</f>
        <v>Shooter was passenger in a car</v>
      </c>
      <c r="AG2787" s="8" t="str">
        <f ca="1">IFERROR(__xludf.DUMMYFUNCTION("""COMPUTED_VALUE"""),"No")</f>
        <v>No</v>
      </c>
      <c r="AH2787" s="8" t="str">
        <f ca="1">IFERROR(__xludf.DUMMYFUNCTION("""COMPUTED_VALUE"""),"No")</f>
        <v>No</v>
      </c>
      <c r="AI2787" s="8" t="str">
        <f ca="1">IFERROR(__xludf.DUMMYFUNCTION("""COMPUTED_VALUE"""),"No")</f>
        <v>No</v>
      </c>
      <c r="AJ2787" s="8"/>
      <c r="AK2787" s="8"/>
      <c r="AL2787" s="8" t="str">
        <f ca="1">IFERROR(__xludf.DUMMYFUNCTION("""COMPUTED_VALUE"""),"No")</f>
        <v>No</v>
      </c>
      <c r="AM2787" s="8"/>
      <c r="AN2787" s="8"/>
      <c r="AO2787" s="8" t="str">
        <f ca="1">IFERROR(__xludf.DUMMYFUNCTION("""COMPUTED_VALUE"""),"No")</f>
        <v>No</v>
      </c>
      <c r="AP2787" s="8"/>
      <c r="AQ2787" s="8" t="str">
        <f ca="1">IFERROR(__xludf.DUMMYFUNCTION("""COMPUTED_VALUE"""),"Unknown")</f>
        <v>Unknown</v>
      </c>
      <c r="AR2787" s="8" t="str">
        <f ca="1">IFERROR(__xludf.DUMMYFUNCTION("""COMPUTED_VALUE"""),"NA")</f>
        <v>NA</v>
      </c>
      <c r="AS2787" s="8">
        <f ca="1">IFERROR(__xludf.DUMMYFUNCTION("""COMPUTED_VALUE"""),1)</f>
        <v>1</v>
      </c>
      <c r="AT2787" s="8"/>
      <c r="AU2787" s="8">
        <f ca="1">IFERROR(__xludf.DUMMYFUNCTION("""COMPUTED_VALUE"""),30.232882)</f>
        <v>30.232882</v>
      </c>
      <c r="AV2787" s="8">
        <f ca="1">IFERROR(__xludf.DUMMYFUNCTION("""COMPUTED_VALUE"""),-97.744105)</f>
        <v>-97.744105000000005</v>
      </c>
      <c r="AW2787" s="8"/>
      <c r="AX2787" s="8">
        <f ca="1">IFERROR(__xludf.DUMMYFUNCTION("""COMPUTED_VALUE"""),78704)</f>
        <v>78704</v>
      </c>
    </row>
    <row r="2788" spans="1:50" ht="45" x14ac:dyDescent="0.2">
      <c r="A2788" s="8" t="str">
        <f ca="1">IFERROR(__xludf.DUMMYFUNCTION("""COMPUTED_VALUE"""),"19880323CACAS")</f>
        <v>19880323CACAS</v>
      </c>
      <c r="B2788" s="8">
        <f ca="1">IFERROR(__xludf.DUMMYFUNCTION("""COMPUTED_VALUE"""),3)</f>
        <v>3</v>
      </c>
      <c r="C2788" s="8">
        <f ca="1">IFERROR(__xludf.DUMMYFUNCTION("""COMPUTED_VALUE"""),23)</f>
        <v>23</v>
      </c>
      <c r="D2788" s="8">
        <f ca="1">IFERROR(__xludf.DUMMYFUNCTION("""COMPUTED_VALUE"""),1988)</f>
        <v>1988</v>
      </c>
      <c r="E2788" s="9">
        <f ca="1">IFERROR(__xludf.DUMMYFUNCTION("""COMPUTED_VALUE"""),32225)</f>
        <v>32225</v>
      </c>
      <c r="F2788" s="8" t="str">
        <f ca="1">IFERROR(__xludf.DUMMYFUNCTION("""COMPUTED_VALUE"""),"Cajon High School")</f>
        <v>Cajon High School</v>
      </c>
      <c r="G2788" s="8">
        <f ca="1">IFERROR(__xludf.DUMMYFUNCTION("""COMPUTED_VALUE"""),0)</f>
        <v>0</v>
      </c>
      <c r="H2788" s="8">
        <f ca="1">IFERROR(__xludf.DUMMYFUNCTION("""COMPUTED_VALUE"""),0)</f>
        <v>0</v>
      </c>
      <c r="I2788" s="8">
        <f ca="1">IFERROR(__xludf.DUMMYFUNCTION("""COMPUTED_VALUE"""),0)</f>
        <v>0</v>
      </c>
      <c r="J2788" s="8">
        <f ca="1">IFERROR(__xludf.DUMMYFUNCTION("""COMPUTED_VALUE"""),0)</f>
        <v>0</v>
      </c>
      <c r="K2788" s="10" t="str">
        <f ca="1">IFERROR(__xludf.DUMMYFUNCTION("""COMPUTED_VALUE"""),"https://www.newspapers.com/image/67975492/?terms=school%2Bbus%2Bshooting")</f>
        <v>https://www.newspapers.com/image/67975492/?terms=school%2Bbus%2Bshooting</v>
      </c>
      <c r="L2788" s="8"/>
      <c r="M2788" s="8"/>
      <c r="N2788" s="8">
        <f ca="1">IFERROR(__xludf.DUMMYFUNCTION("""COMPUTED_VALUE"""),2)</f>
        <v>2</v>
      </c>
      <c r="O2788" s="8" t="str">
        <f ca="1">IFERROR(__xludf.DUMMYFUNCTION("""COMPUTED_VALUE"""),"Spring")</f>
        <v>Spring</v>
      </c>
      <c r="P2788" s="8" t="str">
        <f ca="1">IFERROR(__xludf.DUMMYFUNCTION("""COMPUTED_VALUE"""),"San Bernadino")</f>
        <v>San Bernadino</v>
      </c>
      <c r="Q2788" s="8" t="str">
        <f ca="1">IFERROR(__xludf.DUMMYFUNCTION("""COMPUTED_VALUE"""),"CA")</f>
        <v>CA</v>
      </c>
      <c r="R2788" s="8" t="str">
        <f ca="1">IFERROR(__xludf.DUMMYFUNCTION("""COMPUTED_VALUE"""),"High")</f>
        <v>High</v>
      </c>
      <c r="S2788" s="8" t="str">
        <f ca="1">IFERROR(__xludf.DUMMYFUNCTION("""COMPUTED_VALUE"""),"Parking Lot")</f>
        <v>Parking Lot</v>
      </c>
      <c r="T2788" s="8" t="str">
        <f ca="1">IFERROR(__xludf.DUMMYFUNCTION("""COMPUTED_VALUE"""),"Outside on School Property")</f>
        <v>Outside on School Property</v>
      </c>
      <c r="U2788" s="8" t="str">
        <f ca="1">IFERROR(__xludf.DUMMYFUNCTION("""COMPUTED_VALUE"""),"Yes")</f>
        <v>Yes</v>
      </c>
      <c r="V2788" s="8" t="str">
        <f ca="1">IFERROR(__xludf.DUMMYFUNCTION("""COMPUTED_VALUE"""),"Afternoon Classes")</f>
        <v>Afternoon Classes</v>
      </c>
      <c r="W2788" s="8"/>
      <c r="X2788" s="8">
        <f ca="1">IFERROR(__xludf.DUMMYFUNCTION("""COMPUTED_VALUE"""),1)</f>
        <v>1</v>
      </c>
      <c r="Y2788" s="12" t="str">
        <f ca="1">IFERROR(__xludf.DUMMYFUNCTION("""COMPUTED_VALUE"""),"Shot multiple rounds into vice-principals' cars")</f>
        <v>Shot multiple rounds into vice-principals' cars</v>
      </c>
      <c r="Z2788" s="12" t="str">
        <f ca="1">IFERROR(__xludf.DUMMYFUNCTION("""COMPUTED_VALUE"""),"Several rounds were shot into the vice-principals' cars which were parked on the school parking lot during a drive by shooting. No suspects.")</f>
        <v>Several rounds were shot into the vice-principals' cars which were parked on the school parking lot during a drive by shooting. No suspects.</v>
      </c>
      <c r="AA2788" s="8" t="str">
        <f ca="1">IFERROR(__xludf.DUMMYFUNCTION("""COMPUTED_VALUE"""),"Intentional Property Damage")</f>
        <v>Intentional Property Damage</v>
      </c>
      <c r="AB2788" s="8"/>
      <c r="AC2788" s="8"/>
      <c r="AD2788" s="8"/>
      <c r="AE2788" s="8" t="str">
        <f ca="1">IFERROR(__xludf.DUMMYFUNCTION("""COMPUTED_VALUE"""),"No")</f>
        <v>No</v>
      </c>
      <c r="AF2788" s="8"/>
      <c r="AG2788" s="8" t="str">
        <f ca="1">IFERROR(__xludf.DUMMYFUNCTION("""COMPUTED_VALUE"""),"No")</f>
        <v>No</v>
      </c>
      <c r="AH2788" s="8" t="str">
        <f ca="1">IFERROR(__xludf.DUMMYFUNCTION("""COMPUTED_VALUE"""),"No")</f>
        <v>No</v>
      </c>
      <c r="AI2788" s="8" t="str">
        <f ca="1">IFERROR(__xludf.DUMMYFUNCTION("""COMPUTED_VALUE"""),"No")</f>
        <v>No</v>
      </c>
      <c r="AJ2788" s="8"/>
      <c r="AK2788" s="8"/>
      <c r="AL2788" s="8" t="str">
        <f ca="1">IFERROR(__xludf.DUMMYFUNCTION("""COMPUTED_VALUE"""),"No")</f>
        <v>No</v>
      </c>
      <c r="AM2788" s="8"/>
      <c r="AN2788" s="8"/>
      <c r="AO2788" s="8" t="str">
        <f ca="1">IFERROR(__xludf.DUMMYFUNCTION("""COMPUTED_VALUE"""),"No")</f>
        <v>No</v>
      </c>
      <c r="AP2788" s="8"/>
      <c r="AQ2788" s="8" t="str">
        <f ca="1">IFERROR(__xludf.DUMMYFUNCTION("""COMPUTED_VALUE"""),"Unknown")</f>
        <v>Unknown</v>
      </c>
      <c r="AR2788" s="8" t="str">
        <f ca="1">IFERROR(__xludf.DUMMYFUNCTION("""COMPUTED_VALUE"""),"NA")</f>
        <v>NA</v>
      </c>
      <c r="AS2788" s="8">
        <f ca="1">IFERROR(__xludf.DUMMYFUNCTION("""COMPUTED_VALUE"""),12)</f>
        <v>12</v>
      </c>
      <c r="AT2788" s="8"/>
      <c r="AU2788" s="8">
        <f ca="1">IFERROR(__xludf.DUMMYFUNCTION("""COMPUTED_VALUE"""),34.177002)</f>
        <v>34.177002000000002</v>
      </c>
      <c r="AV2788" s="8">
        <f ca="1">IFERROR(__xludf.DUMMYFUNCTION("""COMPUTED_VALUE"""),-117.31066)</f>
        <v>-117.31066</v>
      </c>
      <c r="AW2788" s="8"/>
      <c r="AX2788" s="8">
        <f ca="1">IFERROR(__xludf.DUMMYFUNCTION("""COMPUTED_VALUE"""),92405)</f>
        <v>92405</v>
      </c>
    </row>
    <row r="2789" spans="1:50" ht="30" x14ac:dyDescent="0.2">
      <c r="A2789" s="8" t="str">
        <f ca="1">IFERROR(__xludf.DUMMYFUNCTION("""COMPUTED_VALUE"""),"19880304MILED")</f>
        <v>19880304MILED</v>
      </c>
      <c r="B2789" s="8">
        <f ca="1">IFERROR(__xludf.DUMMYFUNCTION("""COMPUTED_VALUE"""),3)</f>
        <v>3</v>
      </c>
      <c r="C2789" s="8">
        <f ca="1">IFERROR(__xludf.DUMMYFUNCTION("""COMPUTED_VALUE"""),4)</f>
        <v>4</v>
      </c>
      <c r="D2789" s="8">
        <f ca="1">IFERROR(__xludf.DUMMYFUNCTION("""COMPUTED_VALUE"""),1988)</f>
        <v>1988</v>
      </c>
      <c r="E2789" s="9">
        <f ca="1">IFERROR(__xludf.DUMMYFUNCTION("""COMPUTED_VALUE"""),32206)</f>
        <v>32206</v>
      </c>
      <c r="F2789" s="8" t="str">
        <f ca="1">IFERROR(__xludf.DUMMYFUNCTION("""COMPUTED_VALUE"""),"Lessenger Junior High")</f>
        <v>Lessenger Junior High</v>
      </c>
      <c r="G2789" s="8">
        <f ca="1">IFERROR(__xludf.DUMMYFUNCTION("""COMPUTED_VALUE"""),0)</f>
        <v>0</v>
      </c>
      <c r="H2789" s="8">
        <f ca="1">IFERROR(__xludf.DUMMYFUNCTION("""COMPUTED_VALUE"""),1)</f>
        <v>1</v>
      </c>
      <c r="I2789" s="8">
        <f ca="1">IFERROR(__xludf.DUMMYFUNCTION("""COMPUTED_VALUE"""),1)</f>
        <v>1</v>
      </c>
      <c r="J2789" s="8">
        <f ca="1">IFERROR(__xludf.DUMMYFUNCTION("""COMPUTED_VALUE"""),0)</f>
        <v>0</v>
      </c>
      <c r="K2789" s="10" t="str">
        <f ca="1">IFERROR(__xludf.DUMMYFUNCTION("""COMPUTED_VALUE"""),"https://www.newspapers.com/image/99777421/?terms=lessenger")</f>
        <v>https://www.newspapers.com/image/99777421/?terms=lessenger</v>
      </c>
      <c r="L2789" s="8"/>
      <c r="M2789" s="8"/>
      <c r="N2789" s="8">
        <f ca="1">IFERROR(__xludf.DUMMYFUNCTION("""COMPUTED_VALUE"""),2)</f>
        <v>2</v>
      </c>
      <c r="O2789" s="8" t="str">
        <f ca="1">IFERROR(__xludf.DUMMYFUNCTION("""COMPUTED_VALUE"""),"Spring")</f>
        <v>Spring</v>
      </c>
      <c r="P2789" s="8" t="str">
        <f ca="1">IFERROR(__xludf.DUMMYFUNCTION("""COMPUTED_VALUE"""),"Detroit")</f>
        <v>Detroit</v>
      </c>
      <c r="Q2789" s="8" t="str">
        <f ca="1">IFERROR(__xludf.DUMMYFUNCTION("""COMPUTED_VALUE"""),"MI")</f>
        <v>MI</v>
      </c>
      <c r="R2789" s="8" t="str">
        <f ca="1">IFERROR(__xludf.DUMMYFUNCTION("""COMPUTED_VALUE"""),"Junior High")</f>
        <v>Junior High</v>
      </c>
      <c r="S2789" s="8" t="str">
        <f ca="1">IFERROR(__xludf.DUMMYFUNCTION("""COMPUTED_VALUE"""),"School Bus")</f>
        <v>School Bus</v>
      </c>
      <c r="T2789" s="8" t="str">
        <f ca="1">IFERROR(__xludf.DUMMYFUNCTION("""COMPUTED_VALUE"""),"School Bus")</f>
        <v>School Bus</v>
      </c>
      <c r="U2789" s="8" t="str">
        <f ca="1">IFERROR(__xludf.DUMMYFUNCTION("""COMPUTED_VALUE"""),"Yes")</f>
        <v>Yes</v>
      </c>
      <c r="V2789" s="8"/>
      <c r="W2789" s="8"/>
      <c r="X2789" s="8">
        <f ca="1">IFERROR(__xludf.DUMMYFUNCTION("""COMPUTED_VALUE"""),1)</f>
        <v>1</v>
      </c>
      <c r="Y2789" s="12" t="str">
        <f ca="1">IFERROR(__xludf.DUMMYFUNCTION("""COMPUTED_VALUE"""),"Playing with gun on school bus")</f>
        <v>Playing with gun on school bus</v>
      </c>
      <c r="Z2789" s="12" t="str">
        <f ca="1">IFERROR(__xludf.DUMMYFUNCTION("""COMPUTED_VALUE"""),"Female student playing with gun on bus accidentally shoots classmate in leg")</f>
        <v>Female student playing with gun on bus accidentally shoots classmate in leg</v>
      </c>
      <c r="AA2789" s="8" t="str">
        <f ca="1">IFERROR(__xludf.DUMMYFUNCTION("""COMPUTED_VALUE"""),"Accidental")</f>
        <v>Accidental</v>
      </c>
      <c r="AB2789" s="8"/>
      <c r="AC2789" s="8"/>
      <c r="AD2789" s="8" t="str">
        <f ca="1">IFERROR(__xludf.DUMMYFUNCTION("""COMPUTED_VALUE"""),"Random Shooting")</f>
        <v>Random Shooting</v>
      </c>
      <c r="AE2789" s="8" t="str">
        <f ca="1">IFERROR(__xludf.DUMMYFUNCTION("""COMPUTED_VALUE"""),"No")</f>
        <v>No</v>
      </c>
      <c r="AF2789" s="8"/>
      <c r="AG2789" s="8" t="str">
        <f ca="1">IFERROR(__xludf.DUMMYFUNCTION("""COMPUTED_VALUE"""),"No")</f>
        <v>No</v>
      </c>
      <c r="AH2789" s="8" t="str">
        <f ca="1">IFERROR(__xludf.DUMMYFUNCTION("""COMPUTED_VALUE"""),"No")</f>
        <v>No</v>
      </c>
      <c r="AI2789" s="8" t="str">
        <f ca="1">IFERROR(__xludf.DUMMYFUNCTION("""COMPUTED_VALUE"""),"No")</f>
        <v>No</v>
      </c>
      <c r="AJ2789" s="8" t="str">
        <f ca="1">IFERROR(__xludf.DUMMYFUNCTION("""COMPUTED_VALUE"""),"No")</f>
        <v>No</v>
      </c>
      <c r="AK2789" s="8" t="str">
        <f ca="1">IFERROR(__xludf.DUMMYFUNCTION("""COMPUTED_VALUE"""),"No")</f>
        <v>No</v>
      </c>
      <c r="AL2789" s="8" t="str">
        <f ca="1">IFERROR(__xludf.DUMMYFUNCTION("""COMPUTED_VALUE"""),"No")</f>
        <v>No</v>
      </c>
      <c r="AM2789" s="8"/>
      <c r="AN2789" s="8"/>
      <c r="AO2789" s="8" t="str">
        <f ca="1">IFERROR(__xludf.DUMMYFUNCTION("""COMPUTED_VALUE"""),"No")</f>
        <v>No</v>
      </c>
      <c r="AP2789" s="8"/>
      <c r="AQ2789" s="8" t="str">
        <f ca="1">IFERROR(__xludf.DUMMYFUNCTION("""COMPUTED_VALUE"""),"Unknown")</f>
        <v>Unknown</v>
      </c>
      <c r="AR2789" s="8" t="str">
        <f ca="1">IFERROR(__xludf.DUMMYFUNCTION("""COMPUTED_VALUE"""),"NA")</f>
        <v>NA</v>
      </c>
      <c r="AS2789" s="8">
        <f ca="1">IFERROR(__xludf.DUMMYFUNCTION("""COMPUTED_VALUE"""),1)</f>
        <v>1</v>
      </c>
      <c r="AT2789" s="8"/>
      <c r="AU2789" s="8">
        <f ca="1">IFERROR(__xludf.DUMMYFUNCTION("""COMPUTED_VALUE"""),42.354278)</f>
        <v>42.354278000000001</v>
      </c>
      <c r="AV2789" s="8">
        <f ca="1">IFERROR(__xludf.DUMMYFUNCTION("""COMPUTED_VALUE"""),-83.248055)</f>
        <v>-83.248054999999994</v>
      </c>
      <c r="AW2789" s="8"/>
      <c r="AX2789" s="8">
        <f ca="1">IFERROR(__xludf.DUMMYFUNCTION("""COMPUTED_VALUE"""),48228)</f>
        <v>48228</v>
      </c>
    </row>
    <row r="2790" spans="1:50" ht="75" x14ac:dyDescent="0.2">
      <c r="A2790" s="8" t="str">
        <f ca="1">IFERROR(__xludf.DUMMYFUNCTION("""COMPUTED_VALUE"""),"19880226RIBRB")</f>
        <v>19880226RIBRB</v>
      </c>
      <c r="B2790" s="8">
        <f ca="1">IFERROR(__xludf.DUMMYFUNCTION("""COMPUTED_VALUE"""),2)</f>
        <v>2</v>
      </c>
      <c r="C2790" s="8">
        <f ca="1">IFERROR(__xludf.DUMMYFUNCTION("""COMPUTED_VALUE"""),26)</f>
        <v>26</v>
      </c>
      <c r="D2790" s="8">
        <f ca="1">IFERROR(__xludf.DUMMYFUNCTION("""COMPUTED_VALUE"""),1988)</f>
        <v>1988</v>
      </c>
      <c r="E2790" s="9">
        <f ca="1">IFERROR(__xludf.DUMMYFUNCTION("""COMPUTED_VALUE"""),32199)</f>
        <v>32199</v>
      </c>
      <c r="F2790" s="8" t="str">
        <f ca="1">IFERROR(__xludf.DUMMYFUNCTION("""COMPUTED_VALUE"""),"Bristol High School")</f>
        <v>Bristol High School</v>
      </c>
      <c r="G2790" s="8">
        <f ca="1">IFERROR(__xludf.DUMMYFUNCTION("""COMPUTED_VALUE"""),0)</f>
        <v>0</v>
      </c>
      <c r="H2790" s="8">
        <f ca="1">IFERROR(__xludf.DUMMYFUNCTION("""COMPUTED_VALUE"""),1)</f>
        <v>1</v>
      </c>
      <c r="I2790" s="8">
        <f ca="1">IFERROR(__xludf.DUMMYFUNCTION("""COMPUTED_VALUE"""),1)</f>
        <v>1</v>
      </c>
      <c r="J2790" s="8">
        <f ca="1">IFERROR(__xludf.DUMMYFUNCTION("""COMPUTED_VALUE"""),0)</f>
        <v>0</v>
      </c>
      <c r="K2790" s="8" t="str">
        <f ca="1">IFERROR(__xludf.DUMMYFUNCTION("""COMPUTED_VALUE"""),"https://www.newspapers.com/image/264353534/?terms=BRISTOL%2BHIGH; https://www.newspapers.com/image/373743301/?terms=BRISTOL%2BHIGH")</f>
        <v>https://www.newspapers.com/image/264353534/?terms=BRISTOL%2BHIGH; https://www.newspapers.com/image/373743301/?terms=BRISTOL%2BHIGH</v>
      </c>
      <c r="L2790" s="8"/>
      <c r="M2790" s="8"/>
      <c r="N2790" s="8">
        <f ca="1">IFERROR(__xludf.DUMMYFUNCTION("""COMPUTED_VALUE"""),3)</f>
        <v>3</v>
      </c>
      <c r="O2790" s="8" t="str">
        <f ca="1">IFERROR(__xludf.DUMMYFUNCTION("""COMPUTED_VALUE"""),"Winter")</f>
        <v>Winter</v>
      </c>
      <c r="P2790" s="8" t="str">
        <f ca="1">IFERROR(__xludf.DUMMYFUNCTION("""COMPUTED_VALUE"""),"Bristol")</f>
        <v>Bristol</v>
      </c>
      <c r="Q2790" s="8" t="str">
        <f ca="1">IFERROR(__xludf.DUMMYFUNCTION("""COMPUTED_VALUE"""),"RI")</f>
        <v>RI</v>
      </c>
      <c r="R2790" s="8" t="str">
        <f ca="1">IFERROR(__xludf.DUMMYFUNCTION("""COMPUTED_VALUE"""),"High")</f>
        <v>High</v>
      </c>
      <c r="S2790" s="8" t="str">
        <f ca="1">IFERROR(__xludf.DUMMYFUNCTION("""COMPUTED_VALUE"""),"Courtyard")</f>
        <v>Courtyard</v>
      </c>
      <c r="T2790" s="8" t="str">
        <f ca="1">IFERROR(__xludf.DUMMYFUNCTION("""COMPUTED_VALUE"""),"Outside on School Property")</f>
        <v>Outside on School Property</v>
      </c>
      <c r="U2790" s="8" t="str">
        <f ca="1">IFERROR(__xludf.DUMMYFUNCTION("""COMPUTED_VALUE"""),"Yes")</f>
        <v>Yes</v>
      </c>
      <c r="V2790" s="8" t="str">
        <f ca="1">IFERROR(__xludf.DUMMYFUNCTION("""COMPUTED_VALUE"""),"Lunch")</f>
        <v>Lunch</v>
      </c>
      <c r="W2790" s="11">
        <f ca="1">IFERROR(__xludf.DUMMYFUNCTION("""COMPUTED_VALUE"""),0.49375)</f>
        <v>0.49375000000000002</v>
      </c>
      <c r="X2790" s="8">
        <f ca="1">IFERROR(__xludf.DUMMYFUNCTION("""COMPUTED_VALUE"""),1)</f>
        <v>1</v>
      </c>
      <c r="Y2790" s="12" t="str">
        <f ca="1">IFERROR(__xludf.DUMMYFUNCTION("""COMPUTED_VALUE"""),"Planned fight with victim, prior fights")</f>
        <v>Planned fight with victim, prior fights</v>
      </c>
      <c r="Z2790" s="12" t="str">
        <f ca="1">IFERROR(__xludf.DUMMYFUNCTION("""COMPUTED_VALUE"""),"Ongoing conflict between shooter and victim - they were about to fight in school courtyard. Victim began pulling off his jacket, he was shot in head by suspect with .22. caliber handgun. Students said the two had multiple fights over a the past weeks.")</f>
        <v>Ongoing conflict between shooter and victim - they were about to fight in school courtyard. Victim began pulling off his jacket, he was shot in head by suspect with .22. caliber handgun. Students said the two had multiple fights over a the past weeks.</v>
      </c>
      <c r="AA2790" s="8" t="str">
        <f ca="1">IFERROR(__xludf.DUMMYFUNCTION("""COMPUTED_VALUE"""),"Escalation of Dispute")</f>
        <v>Escalation of Dispute</v>
      </c>
      <c r="AB2790" s="8"/>
      <c r="AC2790" s="8"/>
      <c r="AD2790" s="8" t="str">
        <f ca="1">IFERROR(__xludf.DUMMYFUNCTION("""COMPUTED_VALUE"""),"Victims Targeted")</f>
        <v>Victims Targeted</v>
      </c>
      <c r="AE2790" s="8" t="str">
        <f ca="1">IFERROR(__xludf.DUMMYFUNCTION("""COMPUTED_VALUE"""),"No")</f>
        <v>No</v>
      </c>
      <c r="AF2790" s="8"/>
      <c r="AG2790" s="8" t="str">
        <f ca="1">IFERROR(__xludf.DUMMYFUNCTION("""COMPUTED_VALUE"""),"No")</f>
        <v>No</v>
      </c>
      <c r="AH2790" s="8" t="str">
        <f ca="1">IFERROR(__xludf.DUMMYFUNCTION("""COMPUTED_VALUE"""),"No")</f>
        <v>No</v>
      </c>
      <c r="AI2790" s="8" t="str">
        <f ca="1">IFERROR(__xludf.DUMMYFUNCTION("""COMPUTED_VALUE"""),"No")</f>
        <v>No</v>
      </c>
      <c r="AJ2790" s="8" t="str">
        <f ca="1">IFERROR(__xludf.DUMMYFUNCTION("""COMPUTED_VALUE"""),"No")</f>
        <v>No</v>
      </c>
      <c r="AK2790" s="8" t="str">
        <f ca="1">IFERROR(__xludf.DUMMYFUNCTION("""COMPUTED_VALUE"""),"No")</f>
        <v>No</v>
      </c>
      <c r="AL2790" s="8" t="str">
        <f ca="1">IFERROR(__xludf.DUMMYFUNCTION("""COMPUTED_VALUE"""),"No")</f>
        <v>No</v>
      </c>
      <c r="AM2790" s="8"/>
      <c r="AN2790" s="8"/>
      <c r="AO2790" s="8" t="str">
        <f ca="1">IFERROR(__xludf.DUMMYFUNCTION("""COMPUTED_VALUE"""),"No")</f>
        <v>No</v>
      </c>
      <c r="AP2790" s="8"/>
      <c r="AQ2790" s="8" t="str">
        <f ca="1">IFERROR(__xludf.DUMMYFUNCTION("""COMPUTED_VALUE"""),"Unknown")</f>
        <v>Unknown</v>
      </c>
      <c r="AR2790" s="8" t="str">
        <f ca="1">IFERROR(__xludf.DUMMYFUNCTION("""COMPUTED_VALUE"""),"NA")</f>
        <v>NA</v>
      </c>
      <c r="AS2790" s="8">
        <f ca="1">IFERROR(__xludf.DUMMYFUNCTION("""COMPUTED_VALUE"""),1)</f>
        <v>1</v>
      </c>
      <c r="AT2790" s="8"/>
      <c r="AU2790" s="8">
        <f ca="1">IFERROR(__xludf.DUMMYFUNCTION("""COMPUTED_VALUE"""),41.687547)</f>
        <v>41.687547000000002</v>
      </c>
      <c r="AV2790" s="8">
        <f ca="1">IFERROR(__xludf.DUMMYFUNCTION("""COMPUTED_VALUE"""),-71.269037)</f>
        <v>-71.269036999999997</v>
      </c>
      <c r="AW2790" s="8"/>
      <c r="AX2790" s="8">
        <f ca="1">IFERROR(__xludf.DUMMYFUNCTION("""COMPUTED_VALUE"""),2809)</f>
        <v>2809</v>
      </c>
    </row>
    <row r="2791" spans="1:50" ht="180" x14ac:dyDescent="0.2">
      <c r="A2791" s="8" t="str">
        <f ca="1">IFERROR(__xludf.DUMMYFUNCTION("""COMPUTED_VALUE"""),"19880211FLPIL")</f>
        <v>19880211FLPIL</v>
      </c>
      <c r="B2791" s="8">
        <f ca="1">IFERROR(__xludf.DUMMYFUNCTION("""COMPUTED_VALUE"""),2)</f>
        <v>2</v>
      </c>
      <c r="C2791" s="8">
        <f ca="1">IFERROR(__xludf.DUMMYFUNCTION("""COMPUTED_VALUE"""),11)</f>
        <v>11</v>
      </c>
      <c r="D2791" s="8">
        <f ca="1">IFERROR(__xludf.DUMMYFUNCTION("""COMPUTED_VALUE"""),1988)</f>
        <v>1988</v>
      </c>
      <c r="E2791" s="9">
        <f ca="1">IFERROR(__xludf.DUMMYFUNCTION("""COMPUTED_VALUE"""),32184)</f>
        <v>32184</v>
      </c>
      <c r="F2791" s="8" t="str">
        <f ca="1">IFERROR(__xludf.DUMMYFUNCTION("""COMPUTED_VALUE"""),"Pinellas Park High School")</f>
        <v>Pinellas Park High School</v>
      </c>
      <c r="G2791" s="8">
        <f ca="1">IFERROR(__xludf.DUMMYFUNCTION("""COMPUTED_VALUE"""),1)</f>
        <v>1</v>
      </c>
      <c r="H2791" s="8">
        <f ca="1">IFERROR(__xludf.DUMMYFUNCTION("""COMPUTED_VALUE"""),2)</f>
        <v>2</v>
      </c>
      <c r="I2791" s="8">
        <f ca="1">IFERROR(__xludf.DUMMYFUNCTION("""COMPUTED_VALUE"""),3)</f>
        <v>3</v>
      </c>
      <c r="J2791" s="8">
        <f ca="1">IFERROR(__xludf.DUMMYFUNCTION("""COMPUTED_VALUE"""),0)</f>
        <v>0</v>
      </c>
      <c r="K2791" s="8" t="str">
        <f ca="1">IFERROR(__xludf.DUMMYFUNCTION("""COMPUTED_VALUE"""),"https://www.tampabay.com/florida/2019/02/11/pinellas-park-high-shooting-31-years-ago-today-a-precursor-to-gun-violence-in-schools/ http://www.tampabay.com/news/publicsafety/man-from-1988-pinellas-park-high-school-shooting-there-are-no-preventable/1266574 "&amp;"https://www.tampabay.com/florida/2019/02/11/pinellas-park-high-shooting-31-years-ago-today-a-precursor-to-gun-violence-in-schools/")</f>
        <v>https://www.tampabay.com/florida/2019/02/11/pinellas-park-high-shooting-31-years-ago-today-a-precursor-to-gun-violence-in-schools/ http://www.tampabay.com/news/publicsafety/man-from-1988-pinellas-park-high-school-shooting-there-are-no-preventable/1266574 https://www.tampabay.com/florida/2019/02/11/pinellas-park-high-shooting-31-years-ago-today-a-precursor-to-gun-violence-in-schools/</v>
      </c>
      <c r="L2791" s="8"/>
      <c r="M2791" s="8" t="str">
        <f ca="1">IFERROR(__xludf.DUMMYFUNCTION("""COMPUTED_VALUE"""),"National")</f>
        <v>National</v>
      </c>
      <c r="N2791" s="8">
        <f ca="1">IFERROR(__xludf.DUMMYFUNCTION("""COMPUTED_VALUE"""),4)</f>
        <v>4</v>
      </c>
      <c r="O2791" s="8" t="str">
        <f ca="1">IFERROR(__xludf.DUMMYFUNCTION("""COMPUTED_VALUE"""),"Winter")</f>
        <v>Winter</v>
      </c>
      <c r="P2791" s="8" t="str">
        <f ca="1">IFERROR(__xludf.DUMMYFUNCTION("""COMPUTED_VALUE"""),"Largo")</f>
        <v>Largo</v>
      </c>
      <c r="Q2791" s="8" t="str">
        <f ca="1">IFERROR(__xludf.DUMMYFUNCTION("""COMPUTED_VALUE"""),"FL")</f>
        <v>FL</v>
      </c>
      <c r="R2791" s="8" t="str">
        <f ca="1">IFERROR(__xludf.DUMMYFUNCTION("""COMPUTED_VALUE"""),"High")</f>
        <v>High</v>
      </c>
      <c r="S2791" s="8" t="str">
        <f ca="1">IFERROR(__xludf.DUMMYFUNCTION("""COMPUTED_VALUE"""),"Cafeteria")</f>
        <v>Cafeteria</v>
      </c>
      <c r="T2791" s="8" t="str">
        <f ca="1">IFERROR(__xludf.DUMMYFUNCTION("""COMPUTED_VALUE"""),"Inside School Building")</f>
        <v>Inside School Building</v>
      </c>
      <c r="U2791" s="8" t="str">
        <f ca="1">IFERROR(__xludf.DUMMYFUNCTION("""COMPUTED_VALUE"""),"Yes")</f>
        <v>Yes</v>
      </c>
      <c r="V2791" s="8" t="str">
        <f ca="1">IFERROR(__xludf.DUMMYFUNCTION("""COMPUTED_VALUE"""),"Morning Classes")</f>
        <v>Morning Classes</v>
      </c>
      <c r="W2791" s="8"/>
      <c r="X2791" s="8">
        <f ca="1">IFERROR(__xludf.DUMMYFUNCTION("""COMPUTED_VALUE"""),1)</f>
        <v>1</v>
      </c>
      <c r="Y2791" s="12" t="str">
        <f ca="1">IFERROR(__xludf.DUMMYFUNCTION("""COMPUTED_VALUE"""),"Confronted by school administrator about weapons")</f>
        <v>Confronted by school administrator about weapons</v>
      </c>
      <c r="Z2791" s="12" t="str">
        <f ca="1">IFERROR(__xludf.DUMMYFUNCTION("""COMPUTED_VALUE"""),"The two shooters were planning to run away from home and had stolen pistols for protection. School administrators were notified that the two shooters had guns and confronted them in the cafeteria. Both shooters pulled their guns and one fired multiple sho"&amp;"ts hitting three different school employees. As one shooter ran from the school, he fired shots at police and was shot in the shoulder. The shooters were later apprehended by police. No indication of a motive for the shootings or plan to carry out a shoot"&amp;"ing at the school. One of the shooters had been suspended from school and he went to the campus to say goodbye to his girlfriend and show off the gun to classmates.")</f>
        <v>The two shooters were planning to run away from home and had stolen pistols for protection. School administrators were notified that the two shooters had guns and confronted them in the cafeteria. Both shooters pulled their guns and one fired multiple shots hitting three different school employees. As one shooter ran from the school, he fired shots at police and was shot in the shoulder. The shooters were later apprehended by police. No indication of a motive for the shootings or plan to carry out a shooting at the school. One of the shooters had been suspended from school and he went to the campus to say goodbye to his girlfriend and show off the gun to classmates.</v>
      </c>
      <c r="AA2791" s="8" t="str">
        <f ca="1">IFERROR(__xludf.DUMMYFUNCTION("""COMPUTED_VALUE"""),"Anger Over Grade/Suspension/Discipline")</f>
        <v>Anger Over Grade/Suspension/Discipline</v>
      </c>
      <c r="AB2791" s="8"/>
      <c r="AC2791" s="8"/>
      <c r="AD2791" s="8" t="str">
        <f ca="1">IFERROR(__xludf.DUMMYFUNCTION("""COMPUTED_VALUE"""),"Neither")</f>
        <v>Neither</v>
      </c>
      <c r="AE2791" s="8" t="str">
        <f ca="1">IFERROR(__xludf.DUMMYFUNCTION("""COMPUTED_VALUE"""),"Yes")</f>
        <v>Yes</v>
      </c>
      <c r="AF2791" s="8" t="str">
        <f ca="1">IFERROR(__xludf.DUMMYFUNCTION("""COMPUTED_VALUE"""),"Two students armed with pistols")</f>
        <v>Two students armed with pistols</v>
      </c>
      <c r="AG2791" s="8" t="str">
        <f ca="1">IFERROR(__xludf.DUMMYFUNCTION("""COMPUTED_VALUE"""),"No")</f>
        <v>No</v>
      </c>
      <c r="AH2791" s="8" t="str">
        <f ca="1">IFERROR(__xludf.DUMMYFUNCTION("""COMPUTED_VALUE"""),"No")</f>
        <v>No</v>
      </c>
      <c r="AI2791" s="8" t="str">
        <f ca="1">IFERROR(__xludf.DUMMYFUNCTION("""COMPUTED_VALUE"""),"No")</f>
        <v>No</v>
      </c>
      <c r="AJ2791" s="8" t="str">
        <f ca="1">IFERROR(__xludf.DUMMYFUNCTION("""COMPUTED_VALUE"""),"No")</f>
        <v>No</v>
      </c>
      <c r="AK2791" s="8" t="str">
        <f ca="1">IFERROR(__xludf.DUMMYFUNCTION("""COMPUTED_VALUE"""),"No")</f>
        <v>No</v>
      </c>
      <c r="AL2791" s="8" t="str">
        <f ca="1">IFERROR(__xludf.DUMMYFUNCTION("""COMPUTED_VALUE"""),"No")</f>
        <v>No</v>
      </c>
      <c r="AM2791" s="8" t="str">
        <f ca="1">IFERROR(__xludf.DUMMYFUNCTION("""COMPUTED_VALUE"""),"Yes")</f>
        <v>Yes</v>
      </c>
      <c r="AN2791" s="8" t="str">
        <f ca="1">IFERROR(__xludf.DUMMYFUNCTION("""COMPUTED_VALUE"""),"Single Room")</f>
        <v>Single Room</v>
      </c>
      <c r="AO2791" s="8" t="str">
        <f ca="1">IFERROR(__xludf.DUMMYFUNCTION("""COMPUTED_VALUE"""),"Yes")</f>
        <v>Yes</v>
      </c>
      <c r="AP2791" s="8" t="str">
        <f ca="1">IFERROR(__xludf.DUMMYFUNCTION("""COMPUTED_VALUE"""),"No")</f>
        <v>No</v>
      </c>
      <c r="AQ2791" s="8" t="str">
        <f ca="1">IFERROR(__xludf.DUMMYFUNCTION("""COMPUTED_VALUE"""),"None")</f>
        <v>None</v>
      </c>
      <c r="AR2791" s="8" t="str">
        <f ca="1">IFERROR(__xludf.DUMMYFUNCTION("""COMPUTED_VALUE"""),"NA")</f>
        <v>NA</v>
      </c>
      <c r="AS2791" s="8">
        <f ca="1">IFERROR(__xludf.DUMMYFUNCTION("""COMPUTED_VALUE"""),99)</f>
        <v>99</v>
      </c>
      <c r="AT2791" s="8"/>
      <c r="AU2791" s="8">
        <f ca="1">IFERROR(__xludf.DUMMYFUNCTION("""COMPUTED_VALUE"""),27.880992)</f>
        <v>27.880991999999999</v>
      </c>
      <c r="AV2791" s="8">
        <f ca="1">IFERROR(__xludf.DUMMYFUNCTION("""COMPUTED_VALUE"""),-82.724483)</f>
        <v>-82.724483000000006</v>
      </c>
      <c r="AW2791" s="8"/>
      <c r="AX2791" s="8">
        <f ca="1">IFERROR(__xludf.DUMMYFUNCTION("""COMPUTED_VALUE"""),33773)</f>
        <v>33773</v>
      </c>
    </row>
    <row r="2792" spans="1:50" ht="90" x14ac:dyDescent="0.2">
      <c r="A2792" s="8" t="str">
        <f ca="1">IFERROR(__xludf.DUMMYFUNCTION("""COMPUTED_VALUE"""),"19880202ALWET")</f>
        <v>19880202ALWET</v>
      </c>
      <c r="B2792" s="8">
        <f ca="1">IFERROR(__xludf.DUMMYFUNCTION("""COMPUTED_VALUE"""),2)</f>
        <v>2</v>
      </c>
      <c r="C2792" s="8">
        <f ca="1">IFERROR(__xludf.DUMMYFUNCTION("""COMPUTED_VALUE"""),2)</f>
        <v>2</v>
      </c>
      <c r="D2792" s="8">
        <f ca="1">IFERROR(__xludf.DUMMYFUNCTION("""COMPUTED_VALUE"""),1988)</f>
        <v>1988</v>
      </c>
      <c r="E2792" s="9">
        <f ca="1">IFERROR(__xludf.DUMMYFUNCTION("""COMPUTED_VALUE"""),32175)</f>
        <v>32175</v>
      </c>
      <c r="F2792" s="8" t="str">
        <f ca="1">IFERROR(__xludf.DUMMYFUNCTION("""COMPUTED_VALUE"""),"West End Christian Elementary School")</f>
        <v>West End Christian Elementary School</v>
      </c>
      <c r="G2792" s="8">
        <f ca="1">IFERROR(__xludf.DUMMYFUNCTION("""COMPUTED_VALUE"""),0)</f>
        <v>0</v>
      </c>
      <c r="H2792" s="8">
        <f ca="1">IFERROR(__xludf.DUMMYFUNCTION("""COMPUTED_VALUE"""),0)</f>
        <v>0</v>
      </c>
      <c r="I2792" s="8">
        <f ca="1">IFERROR(__xludf.DUMMYFUNCTION("""COMPUTED_VALUE"""),0)</f>
        <v>0</v>
      </c>
      <c r="J2792" s="8">
        <f ca="1">IFERROR(__xludf.DUMMYFUNCTION("""COMPUTED_VALUE"""),0)</f>
        <v>0</v>
      </c>
      <c r="K2792" s="10" t="str">
        <f ca="1">IFERROR(__xludf.DUMMYFUNCTION("""COMPUTED_VALUE"""),"https://www.newspapers.com/image/399821731/?terms=West%2BEnd%2BChristian%2BElementary%2BSchool")</f>
        <v>https://www.newspapers.com/image/399821731/?terms=West%2BEnd%2BChristian%2BElementary%2BSchool</v>
      </c>
      <c r="L2792" s="8"/>
      <c r="M2792" s="8"/>
      <c r="N2792" s="8">
        <f ca="1">IFERROR(__xludf.DUMMYFUNCTION("""COMPUTED_VALUE"""),2)</f>
        <v>2</v>
      </c>
      <c r="O2792" s="8" t="str">
        <f ca="1">IFERROR(__xludf.DUMMYFUNCTION("""COMPUTED_VALUE"""),"Winter")</f>
        <v>Winter</v>
      </c>
      <c r="P2792" s="8" t="str">
        <f ca="1">IFERROR(__xludf.DUMMYFUNCTION("""COMPUTED_VALUE"""),"Tuscaloosa")</f>
        <v>Tuscaloosa</v>
      </c>
      <c r="Q2792" s="8" t="str">
        <f ca="1">IFERROR(__xludf.DUMMYFUNCTION("""COMPUTED_VALUE"""),"AL")</f>
        <v>AL</v>
      </c>
      <c r="R2792" s="8" t="str">
        <f ca="1">IFERROR(__xludf.DUMMYFUNCTION("""COMPUTED_VALUE"""),"Elementary")</f>
        <v>Elementary</v>
      </c>
      <c r="S2792" s="8" t="str">
        <f ca="1">IFERROR(__xludf.DUMMYFUNCTION("""COMPUTED_VALUE"""),"Classroom")</f>
        <v>Classroom</v>
      </c>
      <c r="T2792" s="8" t="str">
        <f ca="1">IFERROR(__xludf.DUMMYFUNCTION("""COMPUTED_VALUE"""),"Inside School Building")</f>
        <v>Inside School Building</v>
      </c>
      <c r="U2792" s="8" t="str">
        <f ca="1">IFERROR(__xludf.DUMMYFUNCTION("""COMPUTED_VALUE"""),"Yes")</f>
        <v>Yes</v>
      </c>
      <c r="V2792" s="8" t="str">
        <f ca="1">IFERROR(__xludf.DUMMYFUNCTION("""COMPUTED_VALUE"""),"Morning Classes")</f>
        <v>Morning Classes</v>
      </c>
      <c r="W2792" s="11">
        <f ca="1">IFERROR(__xludf.DUMMYFUNCTION("""COMPUTED_VALUE"""),0.361111111111111)</f>
        <v>0.36111111111111099</v>
      </c>
      <c r="X2792" s="8">
        <f ca="1">IFERROR(__xludf.DUMMYFUNCTION("""COMPUTED_VALUE"""),710)</f>
        <v>710</v>
      </c>
      <c r="Y2792" s="12" t="str">
        <f ca="1">IFERROR(__xludf.DUMMYFUNCTION("""COMPUTED_VALUE"""),"2 men held 84 students and teacher hostage for 12 hours")</f>
        <v>2 men held 84 students and teacher hostage for 12 hours</v>
      </c>
      <c r="Z2792" s="12" t="str">
        <f ca="1">IFERROR(__xludf.DUMMYFUNCTION("""COMPUTED_VALUE"""),"Two heavily armed men (both unemployed) wearing bulletproof vest and ski masks held 84 students and teachers hostage for 12 hours while demanding ransom money and to speak with the President of the United States. Men eventually surrendered without firing "&amp;"any shots. One man was taken to psychiatric facility.")</f>
        <v>Two heavily armed men (both unemployed) wearing bulletproof vest and ski masks held 84 students and teachers hostage for 12 hours while demanding ransom money and to speak with the President of the United States. Men eventually surrendered without firing any shots. One man was taken to psychiatric facility.</v>
      </c>
      <c r="AA2792" s="8" t="str">
        <f ca="1">IFERROR(__xludf.DUMMYFUNCTION("""COMPUTED_VALUE"""),"Psychosis")</f>
        <v>Psychosis</v>
      </c>
      <c r="AB2792" s="8"/>
      <c r="AC2792" s="8"/>
      <c r="AD2792" s="8" t="str">
        <f ca="1">IFERROR(__xludf.DUMMYFUNCTION("""COMPUTED_VALUE"""),"Random Shooting")</f>
        <v>Random Shooting</v>
      </c>
      <c r="AE2792" s="8" t="str">
        <f ca="1">IFERROR(__xludf.DUMMYFUNCTION("""COMPUTED_VALUE"""),"Yes")</f>
        <v>Yes</v>
      </c>
      <c r="AF2792" s="8" t="str">
        <f ca="1">IFERROR(__xludf.DUMMYFUNCTION("""COMPUTED_VALUE"""),"Two men involved")</f>
        <v>Two men involved</v>
      </c>
      <c r="AG2792" s="8" t="str">
        <f ca="1">IFERROR(__xludf.DUMMYFUNCTION("""COMPUTED_VALUE"""),"Yes")</f>
        <v>Yes</v>
      </c>
      <c r="AH2792" s="8" t="str">
        <f ca="1">IFERROR(__xludf.DUMMYFUNCTION("""COMPUTED_VALUE"""),"Yes")</f>
        <v>Yes</v>
      </c>
      <c r="AI2792" s="8" t="str">
        <f ca="1">IFERROR(__xludf.DUMMYFUNCTION("""COMPUTED_VALUE"""),"No")</f>
        <v>No</v>
      </c>
      <c r="AJ2792" s="8" t="str">
        <f ca="1">IFERROR(__xludf.DUMMYFUNCTION("""COMPUTED_VALUE"""),"No")</f>
        <v>No</v>
      </c>
      <c r="AK2792" s="8" t="str">
        <f ca="1">IFERROR(__xludf.DUMMYFUNCTION("""COMPUTED_VALUE"""),"No")</f>
        <v>No</v>
      </c>
      <c r="AL2792" s="8" t="str">
        <f ca="1">IFERROR(__xludf.DUMMYFUNCTION("""COMPUTED_VALUE"""),"No")</f>
        <v>No</v>
      </c>
      <c r="AM2792" s="8" t="str">
        <f ca="1">IFERROR(__xludf.DUMMYFUNCTION("""COMPUTED_VALUE"""),"Yes")</f>
        <v>Yes</v>
      </c>
      <c r="AN2792" s="8" t="str">
        <f ca="1">IFERROR(__xludf.DUMMYFUNCTION("""COMPUTED_VALUE"""),"Multiple Rooms")</f>
        <v>Multiple Rooms</v>
      </c>
      <c r="AO2792" s="8" t="str">
        <f ca="1">IFERROR(__xludf.DUMMYFUNCTION("""COMPUTED_VALUE"""),"No")</f>
        <v>No</v>
      </c>
      <c r="AP2792" s="8"/>
      <c r="AQ2792" s="8" t="str">
        <f ca="1">IFERROR(__xludf.DUMMYFUNCTION("""COMPUTED_VALUE"""),"Unknown")</f>
        <v>Unknown</v>
      </c>
      <c r="AR2792" s="8" t="str">
        <f ca="1">IFERROR(__xludf.DUMMYFUNCTION("""COMPUTED_VALUE"""),"NA")</f>
        <v>NA</v>
      </c>
      <c r="AS2792" s="8">
        <f ca="1">IFERROR(__xludf.DUMMYFUNCTION("""COMPUTED_VALUE"""),0)</f>
        <v>0</v>
      </c>
      <c r="AT2792" s="8"/>
      <c r="AU2792" s="8">
        <f ca="1">IFERROR(__xludf.DUMMYFUNCTION("""COMPUTED_VALUE"""),33.199523)</f>
        <v>33.199522999999999</v>
      </c>
      <c r="AV2792" s="8">
        <f ca="1">IFERROR(__xludf.DUMMYFUNCTION("""COMPUTED_VALUE"""),-87.508268)</f>
        <v>-87.508268000000001</v>
      </c>
      <c r="AW2792" s="8"/>
      <c r="AX2792" s="8">
        <f ca="1">IFERROR(__xludf.DUMMYFUNCTION("""COMPUTED_VALUE"""),35404)</f>
        <v>35404</v>
      </c>
    </row>
    <row r="2793" spans="1:50" ht="60" x14ac:dyDescent="0.2">
      <c r="A2793" s="8" t="str">
        <f ca="1">IFERROR(__xludf.DUMMYFUNCTION("""COMPUTED_VALUE"""),"19880129TXREA")</f>
        <v>19880129TXREA</v>
      </c>
      <c r="B2793" s="8">
        <f ca="1">IFERROR(__xludf.DUMMYFUNCTION("""COMPUTED_VALUE"""),1)</f>
        <v>1</v>
      </c>
      <c r="C2793" s="8">
        <f ca="1">IFERROR(__xludf.DUMMYFUNCTION("""COMPUTED_VALUE"""),29)</f>
        <v>29</v>
      </c>
      <c r="D2793" s="8">
        <f ca="1">IFERROR(__xludf.DUMMYFUNCTION("""COMPUTED_VALUE"""),1988)</f>
        <v>1988</v>
      </c>
      <c r="E2793" s="9">
        <f ca="1">IFERROR(__xludf.DUMMYFUNCTION("""COMPUTED_VALUE"""),32171)</f>
        <v>32171</v>
      </c>
      <c r="F2793" s="8" t="str">
        <f ca="1">IFERROR(__xludf.DUMMYFUNCTION("""COMPUTED_VALUE"""),"Reagan High School")</f>
        <v>Reagan High School</v>
      </c>
      <c r="G2793" s="8">
        <f ca="1">IFERROR(__xludf.DUMMYFUNCTION("""COMPUTED_VALUE"""),1)</f>
        <v>1</v>
      </c>
      <c r="H2793" s="8">
        <f ca="1">IFERROR(__xludf.DUMMYFUNCTION("""COMPUTED_VALUE"""),0)</f>
        <v>0</v>
      </c>
      <c r="I2793" s="8">
        <f ca="1">IFERROR(__xludf.DUMMYFUNCTION("""COMPUTED_VALUE"""),1)</f>
        <v>1</v>
      </c>
      <c r="J2793" s="8">
        <f ca="1">IFERROR(__xludf.DUMMYFUNCTION("""COMPUTED_VALUE"""),0)</f>
        <v>0</v>
      </c>
      <c r="K2793" s="10" t="str">
        <f ca="1">IFERROR(__xludf.DUMMYFUNCTION("""COMPUTED_VALUE"""),"https://www.newspapers.com/image/364030604/?terms=consuela%2Breed")</f>
        <v>https://www.newspapers.com/image/364030604/?terms=consuela%2Breed</v>
      </c>
      <c r="L2793" s="8"/>
      <c r="M2793" s="8"/>
      <c r="N2793" s="8">
        <f ca="1">IFERROR(__xludf.DUMMYFUNCTION("""COMPUTED_VALUE"""),2)</f>
        <v>2</v>
      </c>
      <c r="O2793" s="8" t="str">
        <f ca="1">IFERROR(__xludf.DUMMYFUNCTION("""COMPUTED_VALUE"""),"Winter")</f>
        <v>Winter</v>
      </c>
      <c r="P2793" s="8" t="str">
        <f ca="1">IFERROR(__xludf.DUMMYFUNCTION("""COMPUTED_VALUE"""),"Austin")</f>
        <v>Austin</v>
      </c>
      <c r="Q2793" s="8" t="str">
        <f ca="1">IFERROR(__xludf.DUMMYFUNCTION("""COMPUTED_VALUE"""),"TX")</f>
        <v>TX</v>
      </c>
      <c r="R2793" s="8" t="str">
        <f ca="1">IFERROR(__xludf.DUMMYFUNCTION("""COMPUTED_VALUE"""),"High")</f>
        <v>High</v>
      </c>
      <c r="S2793" s="8" t="str">
        <f ca="1">IFERROR(__xludf.DUMMYFUNCTION("""COMPUTED_VALUE"""),"Field (General)")</f>
        <v>Field (General)</v>
      </c>
      <c r="T2793" s="8" t="str">
        <f ca="1">IFERROR(__xludf.DUMMYFUNCTION("""COMPUTED_VALUE"""),"Outside on School Property")</f>
        <v>Outside on School Property</v>
      </c>
      <c r="U2793" s="8" t="str">
        <f ca="1">IFERROR(__xludf.DUMMYFUNCTION("""COMPUTED_VALUE"""),"No")</f>
        <v>No</v>
      </c>
      <c r="V2793" s="8" t="str">
        <f ca="1">IFERROR(__xludf.DUMMYFUNCTION("""COMPUTED_VALUE"""),"Evening")</f>
        <v>Evening</v>
      </c>
      <c r="W2793" s="11">
        <f ca="1">IFERROR(__xludf.DUMMYFUNCTION("""COMPUTED_VALUE"""),0.864583333333333)</f>
        <v>0.86458333333333304</v>
      </c>
      <c r="X2793" s="8">
        <f ca="1">IFERROR(__xludf.DUMMYFUNCTION("""COMPUTED_VALUE"""),1)</f>
        <v>1</v>
      </c>
      <c r="Y2793" s="12" t="str">
        <f ca="1">IFERROR(__xludf.DUMMYFUNCTION("""COMPUTED_VALUE"""),"Dispute between boyfriend and girlfriend outside of school")</f>
        <v>Dispute between boyfriend and girlfriend outside of school</v>
      </c>
      <c r="Z2793" s="12" t="str">
        <f ca="1">IFERROR(__xludf.DUMMYFUNCTION("""COMPUTED_VALUE"""),"Shooter and victim (boyfriend and girlfriend) were seen arguing in baseball field in front of school. Victim found severely injured Thursday evening and alerted security - victim died 45 minutes later.")</f>
        <v>Shooter and victim (boyfriend and girlfriend) were seen arguing in baseball field in front of school. Victim found severely injured Thursday evening and alerted security - victim died 45 minutes later.</v>
      </c>
      <c r="AA2793" s="8" t="str">
        <f ca="1">IFERROR(__xludf.DUMMYFUNCTION("""COMPUTED_VALUE"""),"Domestic w/ Targeted Victim")</f>
        <v>Domestic w/ Targeted Victim</v>
      </c>
      <c r="AB2793" s="8"/>
      <c r="AC2793" s="8"/>
      <c r="AD2793" s="8" t="str">
        <f ca="1">IFERROR(__xludf.DUMMYFUNCTION("""COMPUTED_VALUE"""),"Victims Targeted")</f>
        <v>Victims Targeted</v>
      </c>
      <c r="AE2793" s="8" t="str">
        <f ca="1">IFERROR(__xludf.DUMMYFUNCTION("""COMPUTED_VALUE"""),"No")</f>
        <v>No</v>
      </c>
      <c r="AF2793" s="8"/>
      <c r="AG2793" s="8" t="str">
        <f ca="1">IFERROR(__xludf.DUMMYFUNCTION("""COMPUTED_VALUE"""),"No")</f>
        <v>No</v>
      </c>
      <c r="AH2793" s="8" t="str">
        <f ca="1">IFERROR(__xludf.DUMMYFUNCTION("""COMPUTED_VALUE"""),"No")</f>
        <v>No</v>
      </c>
      <c r="AI2793" s="8" t="str">
        <f ca="1">IFERROR(__xludf.DUMMYFUNCTION("""COMPUTED_VALUE"""),"No")</f>
        <v>No</v>
      </c>
      <c r="AJ2793" s="8" t="str">
        <f ca="1">IFERROR(__xludf.DUMMYFUNCTION("""COMPUTED_VALUE"""),"No")</f>
        <v>No</v>
      </c>
      <c r="AK2793" s="8" t="str">
        <f ca="1">IFERROR(__xludf.DUMMYFUNCTION("""COMPUTED_VALUE"""),"No")</f>
        <v>No</v>
      </c>
      <c r="AL2793" s="8" t="str">
        <f ca="1">IFERROR(__xludf.DUMMYFUNCTION("""COMPUTED_VALUE"""),"No")</f>
        <v>No</v>
      </c>
      <c r="AM2793" s="8"/>
      <c r="AN2793" s="8"/>
      <c r="AO2793" s="8" t="str">
        <f ca="1">IFERROR(__xludf.DUMMYFUNCTION("""COMPUTED_VALUE"""),"No")</f>
        <v>No</v>
      </c>
      <c r="AP2793" s="8"/>
      <c r="AQ2793" s="8" t="str">
        <f ca="1">IFERROR(__xludf.DUMMYFUNCTION("""COMPUTED_VALUE"""),"Unknown")</f>
        <v>Unknown</v>
      </c>
      <c r="AR2793" s="8" t="str">
        <f ca="1">IFERROR(__xludf.DUMMYFUNCTION("""COMPUTED_VALUE"""),"NA")</f>
        <v>NA</v>
      </c>
      <c r="AS2793" s="8" t="str">
        <f ca="1">IFERROR(__xludf.DUMMYFUNCTION("""COMPUTED_VALUE"""),"&lt;10")</f>
        <v>&lt;10</v>
      </c>
      <c r="AT2793" s="8"/>
      <c r="AU2793" s="8">
        <f ca="1">IFERROR(__xludf.DUMMYFUNCTION("""COMPUTED_VALUE"""),30.322437)</f>
        <v>30.322437000000001</v>
      </c>
      <c r="AV2793" s="8">
        <f ca="1">IFERROR(__xludf.DUMMYFUNCTION("""COMPUTED_VALUE"""),-97.689914)</f>
        <v>-97.689914000000002</v>
      </c>
      <c r="AW2793" s="8"/>
      <c r="AX2793" s="8">
        <f ca="1">IFERROR(__xludf.DUMMYFUNCTION("""COMPUTED_VALUE"""),78752)</f>
        <v>78752</v>
      </c>
    </row>
    <row r="2794" spans="1:50" ht="75" x14ac:dyDescent="0.2">
      <c r="A2794" s="8" t="str">
        <f ca="1">IFERROR(__xludf.DUMMYFUNCTION("""COMPUTED_VALUE"""),"19880120LASIR")</f>
        <v>19880120LASIR</v>
      </c>
      <c r="B2794" s="8">
        <f ca="1">IFERROR(__xludf.DUMMYFUNCTION("""COMPUTED_VALUE"""),1)</f>
        <v>1</v>
      </c>
      <c r="C2794" s="8">
        <f ca="1">IFERROR(__xludf.DUMMYFUNCTION("""COMPUTED_VALUE"""),20)</f>
        <v>20</v>
      </c>
      <c r="D2794" s="8">
        <f ca="1">IFERROR(__xludf.DUMMYFUNCTION("""COMPUTED_VALUE"""),1988)</f>
        <v>1988</v>
      </c>
      <c r="E2794" s="9">
        <f ca="1">IFERROR(__xludf.DUMMYFUNCTION("""COMPUTED_VALUE"""),32162)</f>
        <v>32162</v>
      </c>
      <c r="F2794" s="8" t="str">
        <f ca="1">IFERROR(__xludf.DUMMYFUNCTION("""COMPUTED_VALUE"""),"Simsboro High School")</f>
        <v>Simsboro High School</v>
      </c>
      <c r="G2794" s="8">
        <f ca="1">IFERROR(__xludf.DUMMYFUNCTION("""COMPUTED_VALUE"""),1)</f>
        <v>1</v>
      </c>
      <c r="H2794" s="8">
        <f ca="1">IFERROR(__xludf.DUMMYFUNCTION("""COMPUTED_VALUE"""),0)</f>
        <v>0</v>
      </c>
      <c r="I2794" s="8">
        <f ca="1">IFERROR(__xludf.DUMMYFUNCTION("""COMPUTED_VALUE"""),1)</f>
        <v>1</v>
      </c>
      <c r="J2794" s="8">
        <f ca="1">IFERROR(__xludf.DUMMYFUNCTION("""COMPUTED_VALUE"""),0)</f>
        <v>0</v>
      </c>
      <c r="K2794" s="8" t="str">
        <f ca="1">IFERROR(__xludf.DUMMYFUNCTION("""COMPUTED_VALUE"""),"https://www.newspapers.com/image/217137074/?terms=student%2Bshot   https://www.newspapers.com/image/211310693/?terms=lori%2Bbeavers")</f>
        <v>https://www.newspapers.com/image/217137074/?terms=student%2Bshot   https://www.newspapers.com/image/211310693/?terms=lori%2Bbeavers</v>
      </c>
      <c r="L2794" s="8"/>
      <c r="M2794" s="8"/>
      <c r="N2794" s="8">
        <f ca="1">IFERROR(__xludf.DUMMYFUNCTION("""COMPUTED_VALUE"""),2)</f>
        <v>2</v>
      </c>
      <c r="O2794" s="8" t="str">
        <f ca="1">IFERROR(__xludf.DUMMYFUNCTION("""COMPUTED_VALUE"""),"Winter")</f>
        <v>Winter</v>
      </c>
      <c r="P2794" s="8" t="str">
        <f ca="1">IFERROR(__xludf.DUMMYFUNCTION("""COMPUTED_VALUE"""),"Ruston")</f>
        <v>Ruston</v>
      </c>
      <c r="Q2794" s="8" t="str">
        <f ca="1">IFERROR(__xludf.DUMMYFUNCTION("""COMPUTED_VALUE"""),"LA")</f>
        <v>LA</v>
      </c>
      <c r="R2794" s="8" t="str">
        <f ca="1">IFERROR(__xludf.DUMMYFUNCTION("""COMPUTED_VALUE"""),"High")</f>
        <v>High</v>
      </c>
      <c r="S2794" s="8" t="str">
        <f ca="1">IFERROR(__xludf.DUMMYFUNCTION("""COMPUTED_VALUE"""),"Parking Lot")</f>
        <v>Parking Lot</v>
      </c>
      <c r="T2794" s="8" t="str">
        <f ca="1">IFERROR(__xludf.DUMMYFUNCTION("""COMPUTED_VALUE"""),"Outside on School Property")</f>
        <v>Outside on School Property</v>
      </c>
      <c r="U2794" s="8" t="str">
        <f ca="1">IFERROR(__xludf.DUMMYFUNCTION("""COMPUTED_VALUE"""),"Yes")</f>
        <v>Yes</v>
      </c>
      <c r="V2794" s="8" t="str">
        <f ca="1">IFERROR(__xludf.DUMMYFUNCTION("""COMPUTED_VALUE"""),"School Start")</f>
        <v>School Start</v>
      </c>
      <c r="W2794" s="11">
        <f ca="1">IFERROR(__xludf.DUMMYFUNCTION("""COMPUTED_VALUE"""),0.333333333333333)</f>
        <v>0.33333333333333298</v>
      </c>
      <c r="X2794" s="8">
        <f ca="1">IFERROR(__xludf.DUMMYFUNCTION("""COMPUTED_VALUE"""),1)</f>
        <v>1</v>
      </c>
      <c r="Y2794" s="12" t="str">
        <f ca="1">IFERROR(__xludf.DUMMYFUNCTION("""COMPUTED_VALUE"""),"Male student shot female student in parking lot")</f>
        <v>Male student shot female student in parking lot</v>
      </c>
      <c r="Z2794" s="12" t="str">
        <f ca="1">IFERROR(__xludf.DUMMYFUNCTION("""COMPUTED_VALUE"""),"18YOM student shot 17YOF student once in the head while she was sitting in her car in the parking lot. Victim gave shooter middle finger and he pointed the gun at her. Shooter claimed he didn't intend for it to go off. Judge determined the shooting to be "&amp;"""idiot act of adolescence""")</f>
        <v>18YOM student shot 17YOF student once in the head while she was sitting in her car in the parking lot. Victim gave shooter middle finger and he pointed the gun at her. Shooter claimed he didn't intend for it to go off. Judge determined the shooting to be "idiot act of adolescence"</v>
      </c>
      <c r="AA2794" s="8" t="str">
        <f ca="1">IFERROR(__xludf.DUMMYFUNCTION("""COMPUTED_VALUE"""),"Accidental")</f>
        <v>Accidental</v>
      </c>
      <c r="AB2794" s="8"/>
      <c r="AC2794" s="8"/>
      <c r="AD2794" s="8" t="str">
        <f ca="1">IFERROR(__xludf.DUMMYFUNCTION("""COMPUTED_VALUE"""),"Victims Targeted")</f>
        <v>Victims Targeted</v>
      </c>
      <c r="AE2794" s="8" t="str">
        <f ca="1">IFERROR(__xludf.DUMMYFUNCTION("""COMPUTED_VALUE"""),"No")</f>
        <v>No</v>
      </c>
      <c r="AF2794" s="8"/>
      <c r="AG2794" s="8" t="str">
        <f ca="1">IFERROR(__xludf.DUMMYFUNCTION("""COMPUTED_VALUE"""),"No")</f>
        <v>No</v>
      </c>
      <c r="AH2794" s="8" t="str">
        <f ca="1">IFERROR(__xludf.DUMMYFUNCTION("""COMPUTED_VALUE"""),"No")</f>
        <v>No</v>
      </c>
      <c r="AI2794" s="8" t="str">
        <f ca="1">IFERROR(__xludf.DUMMYFUNCTION("""COMPUTED_VALUE"""),"No")</f>
        <v>No</v>
      </c>
      <c r="AJ2794" s="8" t="str">
        <f ca="1">IFERROR(__xludf.DUMMYFUNCTION("""COMPUTED_VALUE"""),"No")</f>
        <v>No</v>
      </c>
      <c r="AK2794" s="8" t="str">
        <f ca="1">IFERROR(__xludf.DUMMYFUNCTION("""COMPUTED_VALUE"""),"No")</f>
        <v>No</v>
      </c>
      <c r="AL2794" s="8" t="str">
        <f ca="1">IFERROR(__xludf.DUMMYFUNCTION("""COMPUTED_VALUE"""),"No")</f>
        <v>No</v>
      </c>
      <c r="AM2794" s="8"/>
      <c r="AN2794" s="8"/>
      <c r="AO2794" s="8" t="str">
        <f ca="1">IFERROR(__xludf.DUMMYFUNCTION("""COMPUTED_VALUE"""),"No")</f>
        <v>No</v>
      </c>
      <c r="AP2794" s="8"/>
      <c r="AQ2794" s="8" t="str">
        <f ca="1">IFERROR(__xludf.DUMMYFUNCTION("""COMPUTED_VALUE"""),"Unknown")</f>
        <v>Unknown</v>
      </c>
      <c r="AR2794" s="8" t="str">
        <f ca="1">IFERROR(__xludf.DUMMYFUNCTION("""COMPUTED_VALUE"""),"NA")</f>
        <v>NA</v>
      </c>
      <c r="AS2794" s="8">
        <f ca="1">IFERROR(__xludf.DUMMYFUNCTION("""COMPUTED_VALUE"""),1)</f>
        <v>1</v>
      </c>
      <c r="AT2794" s="8"/>
      <c r="AU2794" s="8">
        <f ca="1">IFERROR(__xludf.DUMMYFUNCTION("""COMPUTED_VALUE"""),32.534082)</f>
        <v>32.534081999999998</v>
      </c>
      <c r="AV2794" s="8">
        <f ca="1">IFERROR(__xludf.DUMMYFUNCTION("""COMPUTED_VALUE"""),-92.786727)</f>
        <v>-92.786726999999999</v>
      </c>
      <c r="AW2794" s="8"/>
      <c r="AX2794" s="8">
        <f ca="1">IFERROR(__xludf.DUMMYFUNCTION("""COMPUTED_VALUE"""),71275)</f>
        <v>71275</v>
      </c>
    </row>
    <row r="2795" spans="1:50" ht="90" x14ac:dyDescent="0.2">
      <c r="A2795" s="8" t="str">
        <f ca="1">IFERROR(__xludf.DUMMYFUNCTION("""COMPUTED_VALUE"""),"19880108PACRM")</f>
        <v>19880108PACRM</v>
      </c>
      <c r="B2795" s="8">
        <f ca="1">IFERROR(__xludf.DUMMYFUNCTION("""COMPUTED_VALUE"""),1)</f>
        <v>1</v>
      </c>
      <c r="C2795" s="8">
        <f ca="1">IFERROR(__xludf.DUMMYFUNCTION("""COMPUTED_VALUE"""),8)</f>
        <v>8</v>
      </c>
      <c r="D2795" s="8">
        <f ca="1">IFERROR(__xludf.DUMMYFUNCTION("""COMPUTED_VALUE"""),1988)</f>
        <v>1988</v>
      </c>
      <c r="E2795" s="9">
        <f ca="1">IFERROR(__xludf.DUMMYFUNCTION("""COMPUTED_VALUE"""),32150)</f>
        <v>32150</v>
      </c>
      <c r="F2795" s="8" t="str">
        <f ca="1">IFERROR(__xludf.DUMMYFUNCTION("""COMPUTED_VALUE"""),"Crawford County Joint Vocational Technical School")</f>
        <v>Crawford County Joint Vocational Technical School</v>
      </c>
      <c r="G2795" s="8">
        <f ca="1">IFERROR(__xludf.DUMMYFUNCTION("""COMPUTED_VALUE"""),0)</f>
        <v>0</v>
      </c>
      <c r="H2795" s="8">
        <f ca="1">IFERROR(__xludf.DUMMYFUNCTION("""COMPUTED_VALUE"""),1)</f>
        <v>1</v>
      </c>
      <c r="I2795" s="8">
        <f ca="1">IFERROR(__xludf.DUMMYFUNCTION("""COMPUTED_VALUE"""),1)</f>
        <v>1</v>
      </c>
      <c r="J2795" s="8">
        <f ca="1">IFERROR(__xludf.DUMMYFUNCTION("""COMPUTED_VALUE"""),0)</f>
        <v>0</v>
      </c>
      <c r="K2795" s="10" t="str">
        <f ca="1">IFERROR(__xludf.DUMMYFUNCTION("""COMPUTED_VALUE"""),"https://www.newspapers.com/image/33621001/?terms=crawford%2Bcounty%2Bjoint%2Bvocational")</f>
        <v>https://www.newspapers.com/image/33621001/?terms=crawford%2Bcounty%2Bjoint%2Bvocational</v>
      </c>
      <c r="L2795" s="8"/>
      <c r="M2795" s="8"/>
      <c r="N2795" s="8">
        <f ca="1">IFERROR(__xludf.DUMMYFUNCTION("""COMPUTED_VALUE"""),2)</f>
        <v>2</v>
      </c>
      <c r="O2795" s="8" t="str">
        <f ca="1">IFERROR(__xludf.DUMMYFUNCTION("""COMPUTED_VALUE"""),"Winter")</f>
        <v>Winter</v>
      </c>
      <c r="P2795" s="8" t="str">
        <f ca="1">IFERROR(__xludf.DUMMYFUNCTION("""COMPUTED_VALUE"""),"Meadville")</f>
        <v>Meadville</v>
      </c>
      <c r="Q2795" s="8" t="str">
        <f ca="1">IFERROR(__xludf.DUMMYFUNCTION("""COMPUTED_VALUE"""),"PA")</f>
        <v>PA</v>
      </c>
      <c r="R2795" s="8" t="str">
        <f ca="1">IFERROR(__xludf.DUMMYFUNCTION("""COMPUTED_VALUE"""),"High")</f>
        <v>High</v>
      </c>
      <c r="S2795" s="8" t="str">
        <f ca="1">IFERROR(__xludf.DUMMYFUNCTION("""COMPUTED_VALUE"""),"Inside School Building")</f>
        <v>Inside School Building</v>
      </c>
      <c r="T2795" s="8" t="str">
        <f ca="1">IFERROR(__xludf.DUMMYFUNCTION("""COMPUTED_VALUE"""),"Inside School Building")</f>
        <v>Inside School Building</v>
      </c>
      <c r="U2795" s="8" t="str">
        <f ca="1">IFERROR(__xludf.DUMMYFUNCTION("""COMPUTED_VALUE"""),"Yes")</f>
        <v>Yes</v>
      </c>
      <c r="V2795" s="8" t="str">
        <f ca="1">IFERROR(__xludf.DUMMYFUNCTION("""COMPUTED_VALUE"""),"Morning Classes")</f>
        <v>Morning Classes</v>
      </c>
      <c r="W2795" s="11">
        <f ca="1">IFERROR(__xludf.DUMMYFUNCTION("""COMPUTED_VALUE"""),0.364583333333333)</f>
        <v>0.36458333333333298</v>
      </c>
      <c r="X2795" s="8">
        <f ca="1">IFERROR(__xludf.DUMMYFUNCTION("""COMPUTED_VALUE"""),1)</f>
        <v>1</v>
      </c>
      <c r="Y2795" s="12" t="str">
        <f ca="1">IFERROR(__xludf.DUMMYFUNCTION("""COMPUTED_VALUE"""),"Reports were unclear - police were not sure if victim was shot by someone else or if he shot himself")</f>
        <v>Reports were unclear - police were not sure if victim was shot by someone else or if he shot himself</v>
      </c>
      <c r="Z2795" s="12" t="str">
        <f ca="1">IFERROR(__xludf.DUMMYFUNCTION("""COMPUTED_VALUE"""),"Police were unsure if victim was shot by someone else or if he shot himself")</f>
        <v>Police were unsure if victim was shot by someone else or if he shot himself</v>
      </c>
      <c r="AA2795" s="8" t="str">
        <f ca="1">IFERROR(__xludf.DUMMYFUNCTION("""COMPUTED_VALUE"""),"Unknown")</f>
        <v>Unknown</v>
      </c>
      <c r="AB2795" s="8"/>
      <c r="AC2795" s="8"/>
      <c r="AD2795" s="8"/>
      <c r="AE2795" s="8" t="str">
        <f ca="1">IFERROR(__xludf.DUMMYFUNCTION("""COMPUTED_VALUE"""),"No")</f>
        <v>No</v>
      </c>
      <c r="AF2795" s="8"/>
      <c r="AG2795" s="8" t="str">
        <f ca="1">IFERROR(__xludf.DUMMYFUNCTION("""COMPUTED_VALUE"""),"No")</f>
        <v>No</v>
      </c>
      <c r="AH2795" s="8" t="str">
        <f ca="1">IFERROR(__xludf.DUMMYFUNCTION("""COMPUTED_VALUE"""),"No")</f>
        <v>No</v>
      </c>
      <c r="AI2795" s="8" t="str">
        <f ca="1">IFERROR(__xludf.DUMMYFUNCTION("""COMPUTED_VALUE"""),"No")</f>
        <v>No</v>
      </c>
      <c r="AJ2795" s="8"/>
      <c r="AK2795" s="8"/>
      <c r="AL2795" s="8" t="str">
        <f ca="1">IFERROR(__xludf.DUMMYFUNCTION("""COMPUTED_VALUE"""),"No")</f>
        <v>No</v>
      </c>
      <c r="AM2795" s="8"/>
      <c r="AN2795" s="8"/>
      <c r="AO2795" s="8"/>
      <c r="AP2795" s="8"/>
      <c r="AQ2795" s="8" t="str">
        <f ca="1">IFERROR(__xludf.DUMMYFUNCTION("""COMPUTED_VALUE"""),"Unknown")</f>
        <v>Unknown</v>
      </c>
      <c r="AR2795" s="8" t="str">
        <f ca="1">IFERROR(__xludf.DUMMYFUNCTION("""COMPUTED_VALUE"""),"NA")</f>
        <v>NA</v>
      </c>
      <c r="AS2795" s="8">
        <f ca="1">IFERROR(__xludf.DUMMYFUNCTION("""COMPUTED_VALUE"""),1)</f>
        <v>1</v>
      </c>
      <c r="AT2795" s="8"/>
      <c r="AU2795" s="8">
        <f ca="1">IFERROR(__xludf.DUMMYFUNCTION("""COMPUTED_VALUE"""),41.63397)</f>
        <v>41.633969999999998</v>
      </c>
      <c r="AV2795" s="8">
        <f ca="1">IFERROR(__xludf.DUMMYFUNCTION("""COMPUTED_VALUE"""),-80.126272)</f>
        <v>-80.126272</v>
      </c>
      <c r="AW2795" s="8"/>
      <c r="AX2795" s="8">
        <f ca="1">IFERROR(__xludf.DUMMYFUNCTION("""COMPUTED_VALUE"""),16335)</f>
        <v>16335</v>
      </c>
    </row>
    <row r="2796" spans="1:50" ht="45" x14ac:dyDescent="0.2">
      <c r="A2796" s="8" t="str">
        <f ca="1">IFERROR(__xludf.DUMMYFUNCTION("""COMPUTED_VALUE"""),"19880106FLGAT")</f>
        <v>19880106FLGAT</v>
      </c>
      <c r="B2796" s="8">
        <f ca="1">IFERROR(__xludf.DUMMYFUNCTION("""COMPUTED_VALUE"""),1)</f>
        <v>1</v>
      </c>
      <c r="C2796" s="8">
        <f ca="1">IFERROR(__xludf.DUMMYFUNCTION("""COMPUTED_VALUE"""),6)</f>
        <v>6</v>
      </c>
      <c r="D2796" s="8">
        <f ca="1">IFERROR(__xludf.DUMMYFUNCTION("""COMPUTED_VALUE"""),1988)</f>
        <v>1988</v>
      </c>
      <c r="E2796" s="9">
        <f ca="1">IFERROR(__xludf.DUMMYFUNCTION("""COMPUTED_VALUE"""),32148)</f>
        <v>32148</v>
      </c>
      <c r="F2796" s="8" t="str">
        <f ca="1">IFERROR(__xludf.DUMMYFUNCTION("""COMPUTED_VALUE"""),"Gaither High School")</f>
        <v>Gaither High School</v>
      </c>
      <c r="G2796" s="8">
        <f ca="1">IFERROR(__xludf.DUMMYFUNCTION("""COMPUTED_VALUE"""),0)</f>
        <v>0</v>
      </c>
      <c r="H2796" s="8">
        <f ca="1">IFERROR(__xludf.DUMMYFUNCTION("""COMPUTED_VALUE"""),0)</f>
        <v>0</v>
      </c>
      <c r="I2796" s="8">
        <f ca="1">IFERROR(__xludf.DUMMYFUNCTION("""COMPUTED_VALUE"""),0)</f>
        <v>0</v>
      </c>
      <c r="J2796" s="8">
        <f ca="1">IFERROR(__xludf.DUMMYFUNCTION("""COMPUTED_VALUE"""),0)</f>
        <v>0</v>
      </c>
      <c r="K2796" s="8" t="str">
        <f ca="1">IFERROR(__xludf.DUMMYFUNCTION("""COMPUTED_VALUE"""),"https://www.newspapers.com/image/337347830/?terms=karen%2Bkeene; https://www.newspapers.com/image/321832403/?terms=karen%2Bkeene")</f>
        <v>https://www.newspapers.com/image/337347830/?terms=karen%2Bkeene; https://www.newspapers.com/image/321832403/?terms=karen%2Bkeene</v>
      </c>
      <c r="L2796" s="8"/>
      <c r="M2796" s="8"/>
      <c r="N2796" s="8">
        <f ca="1">IFERROR(__xludf.DUMMYFUNCTION("""COMPUTED_VALUE"""),3)</f>
        <v>3</v>
      </c>
      <c r="O2796" s="8" t="str">
        <f ca="1">IFERROR(__xludf.DUMMYFUNCTION("""COMPUTED_VALUE"""),"Winter")</f>
        <v>Winter</v>
      </c>
      <c r="P2796" s="8" t="str">
        <f ca="1">IFERROR(__xludf.DUMMYFUNCTION("""COMPUTED_VALUE"""),"Tampa")</f>
        <v>Tampa</v>
      </c>
      <c r="Q2796" s="8" t="str">
        <f ca="1">IFERROR(__xludf.DUMMYFUNCTION("""COMPUTED_VALUE"""),"FL")</f>
        <v>FL</v>
      </c>
      <c r="R2796" s="8" t="str">
        <f ca="1">IFERROR(__xludf.DUMMYFUNCTION("""COMPUTED_VALUE"""),"High")</f>
        <v>High</v>
      </c>
      <c r="S2796" s="8" t="str">
        <f ca="1">IFERROR(__xludf.DUMMYFUNCTION("""COMPUTED_VALUE"""),"Parking Lot")</f>
        <v>Parking Lot</v>
      </c>
      <c r="T2796" s="8" t="str">
        <f ca="1">IFERROR(__xludf.DUMMYFUNCTION("""COMPUTED_VALUE"""),"Outside on School Property")</f>
        <v>Outside on School Property</v>
      </c>
      <c r="U2796" s="8" t="str">
        <f ca="1">IFERROR(__xludf.DUMMYFUNCTION("""COMPUTED_VALUE"""),"Yes")</f>
        <v>Yes</v>
      </c>
      <c r="V2796" s="8" t="str">
        <f ca="1">IFERROR(__xludf.DUMMYFUNCTION("""COMPUTED_VALUE"""),"Morning Classes")</f>
        <v>Morning Classes</v>
      </c>
      <c r="W2796" s="11">
        <f ca="1">IFERROR(__xludf.DUMMYFUNCTION("""COMPUTED_VALUE"""),0.458333333333333)</f>
        <v>0.45833333333333298</v>
      </c>
      <c r="X2796" s="8">
        <f ca="1">IFERROR(__xludf.DUMMYFUNCTION("""COMPUTED_VALUE"""),1)</f>
        <v>1</v>
      </c>
      <c r="Y2796" s="12" t="str">
        <f ca="1">IFERROR(__xludf.DUMMYFUNCTION("""COMPUTED_VALUE"""),"Suicide in school parking lot")</f>
        <v>Suicide in school parking lot</v>
      </c>
      <c r="Z2796" s="12" t="str">
        <f ca="1">IFERROR(__xludf.DUMMYFUNCTION("""COMPUTED_VALUE"""),"Shooter was distraught over a mix up of not returning video tapes to store - though she may be charged with theft. - used step-father's weapon - shot self in school parking lot.")</f>
        <v>Shooter was distraught over a mix up of not returning video tapes to store - though she may be charged with theft. - used step-father's weapon - shot self in school parking lot.</v>
      </c>
      <c r="AA2796" s="8" t="str">
        <f ca="1">IFERROR(__xludf.DUMMYFUNCTION("""COMPUTED_VALUE"""),"Suicide/Attempted")</f>
        <v>Suicide/Attempted</v>
      </c>
      <c r="AB2796" s="8"/>
      <c r="AC2796" s="8"/>
      <c r="AD2796" s="8" t="str">
        <f ca="1">IFERROR(__xludf.DUMMYFUNCTION("""COMPUTED_VALUE"""),"Victims Targeted")</f>
        <v>Victims Targeted</v>
      </c>
      <c r="AE2796" s="8" t="str">
        <f ca="1">IFERROR(__xludf.DUMMYFUNCTION("""COMPUTED_VALUE"""),"No")</f>
        <v>No</v>
      </c>
      <c r="AF2796" s="8"/>
      <c r="AG2796" s="8" t="str">
        <f ca="1">IFERROR(__xludf.DUMMYFUNCTION("""COMPUTED_VALUE"""),"No")</f>
        <v>No</v>
      </c>
      <c r="AH2796" s="8" t="str">
        <f ca="1">IFERROR(__xludf.DUMMYFUNCTION("""COMPUTED_VALUE"""),"No")</f>
        <v>No</v>
      </c>
      <c r="AI2796" s="8" t="str">
        <f ca="1">IFERROR(__xludf.DUMMYFUNCTION("""COMPUTED_VALUE"""),"No")</f>
        <v>No</v>
      </c>
      <c r="AJ2796" s="8" t="str">
        <f ca="1">IFERROR(__xludf.DUMMYFUNCTION("""COMPUTED_VALUE"""),"No")</f>
        <v>No</v>
      </c>
      <c r="AK2796" s="8" t="str">
        <f ca="1">IFERROR(__xludf.DUMMYFUNCTION("""COMPUTED_VALUE"""),"No")</f>
        <v>No</v>
      </c>
      <c r="AL2796" s="8" t="str">
        <f ca="1">IFERROR(__xludf.DUMMYFUNCTION("""COMPUTED_VALUE"""),"No")</f>
        <v>No</v>
      </c>
      <c r="AM2796" s="8"/>
      <c r="AN2796" s="8"/>
      <c r="AO2796" s="8" t="str">
        <f ca="1">IFERROR(__xludf.DUMMYFUNCTION("""COMPUTED_VALUE"""),"No")</f>
        <v>No</v>
      </c>
      <c r="AP2796" s="8"/>
      <c r="AQ2796" s="8" t="str">
        <f ca="1">IFERROR(__xludf.DUMMYFUNCTION("""COMPUTED_VALUE"""),"Unknown")</f>
        <v>Unknown</v>
      </c>
      <c r="AR2796" s="8" t="str">
        <f ca="1">IFERROR(__xludf.DUMMYFUNCTION("""COMPUTED_VALUE"""),"NA")</f>
        <v>NA</v>
      </c>
      <c r="AS2796" s="8">
        <f ca="1">IFERROR(__xludf.DUMMYFUNCTION("""COMPUTED_VALUE"""),1)</f>
        <v>1</v>
      </c>
      <c r="AT2796" s="8"/>
      <c r="AU2796" s="8">
        <f ca="1">IFERROR(__xludf.DUMMYFUNCTION("""COMPUTED_VALUE"""),28.100637)</f>
        <v>28.100636999999999</v>
      </c>
      <c r="AV2796" s="8">
        <f ca="1">IFERROR(__xludf.DUMMYFUNCTION("""COMPUTED_VALUE"""),-82.503421)</f>
        <v>-82.503421000000003</v>
      </c>
      <c r="AW2796" s="8"/>
      <c r="AX2796" s="8">
        <f ca="1">IFERROR(__xludf.DUMMYFUNCTION("""COMPUTED_VALUE"""),33624)</f>
        <v>33624</v>
      </c>
    </row>
    <row r="2797" spans="1:50" ht="30" x14ac:dyDescent="0.2">
      <c r="A2797" s="8" t="str">
        <f ca="1">IFERROR(__xludf.DUMMYFUNCTION("""COMPUTED_VALUE"""),"19880105PASPS")</f>
        <v>19880105PASPS</v>
      </c>
      <c r="B2797" s="8">
        <f ca="1">IFERROR(__xludf.DUMMYFUNCTION("""COMPUTED_VALUE"""),1)</f>
        <v>1</v>
      </c>
      <c r="C2797" s="8">
        <f ca="1">IFERROR(__xludf.DUMMYFUNCTION("""COMPUTED_VALUE"""),5)</f>
        <v>5</v>
      </c>
      <c r="D2797" s="8">
        <f ca="1">IFERROR(__xludf.DUMMYFUNCTION("""COMPUTED_VALUE"""),1988)</f>
        <v>1988</v>
      </c>
      <c r="E2797" s="9">
        <f ca="1">IFERROR(__xludf.DUMMYFUNCTION("""COMPUTED_VALUE"""),32147)</f>
        <v>32147</v>
      </c>
      <c r="F2797" s="8" t="str">
        <f ca="1">IFERROR(__xludf.DUMMYFUNCTION("""COMPUTED_VALUE"""),"Springfield High School")</f>
        <v>Springfield High School</v>
      </c>
      <c r="G2797" s="8">
        <f ca="1">IFERROR(__xludf.DUMMYFUNCTION("""COMPUTED_VALUE"""),0)</f>
        <v>0</v>
      </c>
      <c r="H2797" s="8">
        <f ca="1">IFERROR(__xludf.DUMMYFUNCTION("""COMPUTED_VALUE"""),1)</f>
        <v>1</v>
      </c>
      <c r="I2797" s="8">
        <f ca="1">IFERROR(__xludf.DUMMYFUNCTION("""COMPUTED_VALUE"""),1)</f>
        <v>1</v>
      </c>
      <c r="J2797" s="8">
        <f ca="1">IFERROR(__xludf.DUMMYFUNCTION("""COMPUTED_VALUE"""),0)</f>
        <v>0</v>
      </c>
      <c r="K2797" s="10" t="str">
        <f ca="1">IFERROR(__xludf.DUMMYFUNCTION("""COMPUTED_VALUE"""),"https://www.newspapers.com/image/169515600/?terms=charles%2Bmincey%2Bridley%2Bhigh%2Bschool")</f>
        <v>https://www.newspapers.com/image/169515600/?terms=charles%2Bmincey%2Bridley%2Bhigh%2Bschool</v>
      </c>
      <c r="L2797" s="8"/>
      <c r="M2797" s="8"/>
      <c r="N2797" s="8">
        <f ca="1">IFERROR(__xludf.DUMMYFUNCTION("""COMPUTED_VALUE"""),2)</f>
        <v>2</v>
      </c>
      <c r="O2797" s="8" t="str">
        <f ca="1">IFERROR(__xludf.DUMMYFUNCTION("""COMPUTED_VALUE"""),"Winter")</f>
        <v>Winter</v>
      </c>
      <c r="P2797" s="8" t="str">
        <f ca="1">IFERROR(__xludf.DUMMYFUNCTION("""COMPUTED_VALUE"""),"Springfield")</f>
        <v>Springfield</v>
      </c>
      <c r="Q2797" s="8" t="str">
        <f ca="1">IFERROR(__xludf.DUMMYFUNCTION("""COMPUTED_VALUE"""),"PA")</f>
        <v>PA</v>
      </c>
      <c r="R2797" s="8" t="str">
        <f ca="1">IFERROR(__xludf.DUMMYFUNCTION("""COMPUTED_VALUE"""),"High")</f>
        <v>High</v>
      </c>
      <c r="S2797" s="8" t="str">
        <f ca="1">IFERROR(__xludf.DUMMYFUNCTION("""COMPUTED_VALUE"""),"Basketball Court")</f>
        <v>Basketball Court</v>
      </c>
      <c r="T2797" s="8" t="str">
        <f ca="1">IFERROR(__xludf.DUMMYFUNCTION("""COMPUTED_VALUE"""),"Outside on School Property")</f>
        <v>Outside on School Property</v>
      </c>
      <c r="U2797" s="8" t="str">
        <f ca="1">IFERROR(__xludf.DUMMYFUNCTION("""COMPUTED_VALUE"""),"No")</f>
        <v>No</v>
      </c>
      <c r="V2797" s="8" t="str">
        <f ca="1">IFERROR(__xludf.DUMMYFUNCTION("""COMPUTED_VALUE"""),"Sport Event")</f>
        <v>Sport Event</v>
      </c>
      <c r="W2797" s="11">
        <f ca="1">IFERROR(__xludf.DUMMYFUNCTION("""COMPUTED_VALUE"""),0.875)</f>
        <v>0.875</v>
      </c>
      <c r="X2797" s="8">
        <f ca="1">IFERROR(__xludf.DUMMYFUNCTION("""COMPUTED_VALUE"""),1)</f>
        <v>1</v>
      </c>
      <c r="Y2797" s="12" t="str">
        <f ca="1">IFERROR(__xludf.DUMMYFUNCTION("""COMPUTED_VALUE"""),"Shots fired during basketball game")</f>
        <v>Shots fired during basketball game</v>
      </c>
      <c r="Z2797" s="12" t="str">
        <f ca="1">IFERROR(__xludf.DUMMYFUNCTION("""COMPUTED_VALUE"""),"Escalation of ongoing conflict which took place after basketball game. 20YOM shooter shot 17YOM student.")</f>
        <v>Escalation of ongoing conflict which took place after basketball game. 20YOM shooter shot 17YOM student.</v>
      </c>
      <c r="AA2797" s="8" t="str">
        <f ca="1">IFERROR(__xludf.DUMMYFUNCTION("""COMPUTED_VALUE"""),"Escalation of Dispute")</f>
        <v>Escalation of Dispute</v>
      </c>
      <c r="AB2797" s="8"/>
      <c r="AC2797" s="8"/>
      <c r="AD2797" s="8" t="str">
        <f ca="1">IFERROR(__xludf.DUMMYFUNCTION("""COMPUTED_VALUE"""),"Victims Targeted")</f>
        <v>Victims Targeted</v>
      </c>
      <c r="AE2797" s="8" t="str">
        <f ca="1">IFERROR(__xludf.DUMMYFUNCTION("""COMPUTED_VALUE"""),"No")</f>
        <v>No</v>
      </c>
      <c r="AF2797" s="8"/>
      <c r="AG2797" s="8" t="str">
        <f ca="1">IFERROR(__xludf.DUMMYFUNCTION("""COMPUTED_VALUE"""),"No")</f>
        <v>No</v>
      </c>
      <c r="AH2797" s="8" t="str">
        <f ca="1">IFERROR(__xludf.DUMMYFUNCTION("""COMPUTED_VALUE"""),"No")</f>
        <v>No</v>
      </c>
      <c r="AI2797" s="8" t="str">
        <f ca="1">IFERROR(__xludf.DUMMYFUNCTION("""COMPUTED_VALUE"""),"No")</f>
        <v>No</v>
      </c>
      <c r="AJ2797" s="8" t="str">
        <f ca="1">IFERROR(__xludf.DUMMYFUNCTION("""COMPUTED_VALUE"""),"No")</f>
        <v>No</v>
      </c>
      <c r="AK2797" s="8" t="str">
        <f ca="1">IFERROR(__xludf.DUMMYFUNCTION("""COMPUTED_VALUE"""),"No")</f>
        <v>No</v>
      </c>
      <c r="AL2797" s="8" t="str">
        <f ca="1">IFERROR(__xludf.DUMMYFUNCTION("""COMPUTED_VALUE"""),"No")</f>
        <v>No</v>
      </c>
      <c r="AM2797" s="8"/>
      <c r="AN2797" s="8"/>
      <c r="AO2797" s="8" t="str">
        <f ca="1">IFERROR(__xludf.DUMMYFUNCTION("""COMPUTED_VALUE"""),"No")</f>
        <v>No</v>
      </c>
      <c r="AP2797" s="8"/>
      <c r="AQ2797" s="8" t="str">
        <f ca="1">IFERROR(__xludf.DUMMYFUNCTION("""COMPUTED_VALUE"""),"Unknown")</f>
        <v>Unknown</v>
      </c>
      <c r="AR2797" s="8" t="str">
        <f ca="1">IFERROR(__xludf.DUMMYFUNCTION("""COMPUTED_VALUE"""),"NA")</f>
        <v>NA</v>
      </c>
      <c r="AS2797" s="8">
        <f ca="1">IFERROR(__xludf.DUMMYFUNCTION("""COMPUTED_VALUE"""),1)</f>
        <v>1</v>
      </c>
      <c r="AT2797" s="8"/>
      <c r="AU2797" s="8">
        <f ca="1">IFERROR(__xludf.DUMMYFUNCTION("""COMPUTED_VALUE"""),39.92807)</f>
        <v>39.928069999999998</v>
      </c>
      <c r="AV2797" s="8">
        <f ca="1">IFERROR(__xludf.DUMMYFUNCTION("""COMPUTED_VALUE"""),-75.338091)</f>
        <v>-75.338091000000006</v>
      </c>
      <c r="AW2797" s="8"/>
      <c r="AX2797" s="8">
        <f ca="1">IFERROR(__xludf.DUMMYFUNCTION("""COMPUTED_VALUE"""),19064)</f>
        <v>19064</v>
      </c>
    </row>
    <row r="2798" spans="1:50" ht="75" x14ac:dyDescent="0.2">
      <c r="A2798" s="8" t="str">
        <f ca="1">IFERROR(__xludf.DUMMYFUNCTION("""COMPUTED_VALUE"""),"19871216TXMAK")</f>
        <v>19871216TXMAK</v>
      </c>
      <c r="B2798" s="8">
        <f ca="1">IFERROR(__xludf.DUMMYFUNCTION("""COMPUTED_VALUE"""),12)</f>
        <v>12</v>
      </c>
      <c r="C2798" s="8">
        <f ca="1">IFERROR(__xludf.DUMMYFUNCTION("""COMPUTED_VALUE"""),16)</f>
        <v>16</v>
      </c>
      <c r="D2798" s="8">
        <f ca="1">IFERROR(__xludf.DUMMYFUNCTION("""COMPUTED_VALUE"""),1987)</f>
        <v>1987</v>
      </c>
      <c r="E2798" s="9">
        <f ca="1">IFERROR(__xludf.DUMMYFUNCTION("""COMPUTED_VALUE"""),32127)</f>
        <v>32127</v>
      </c>
      <c r="F2798" s="8" t="str">
        <f ca="1">IFERROR(__xludf.DUMMYFUNCTION("""COMPUTED_VALUE"""),"Mayde Creek High School")</f>
        <v>Mayde Creek High School</v>
      </c>
      <c r="G2798" s="8">
        <f ca="1">IFERROR(__xludf.DUMMYFUNCTION("""COMPUTED_VALUE"""),0)</f>
        <v>0</v>
      </c>
      <c r="H2798" s="8">
        <f ca="1">IFERROR(__xludf.DUMMYFUNCTION("""COMPUTED_VALUE"""),0)</f>
        <v>0</v>
      </c>
      <c r="I2798" s="8">
        <f ca="1">IFERROR(__xludf.DUMMYFUNCTION("""COMPUTED_VALUE"""),0)</f>
        <v>0</v>
      </c>
      <c r="J2798" s="8">
        <f ca="1">IFERROR(__xludf.DUMMYFUNCTION("""COMPUTED_VALUE"""),1)</f>
        <v>1</v>
      </c>
      <c r="K2798" s="10" t="str">
        <f ca="1">IFERROR(__xludf.DUMMYFUNCTION("""COMPUTED_VALUE"""),"https://www.newspapers.com/image/6664149/?terms=student%2Bshot")</f>
        <v>https://www.newspapers.com/image/6664149/?terms=student%2Bshot</v>
      </c>
      <c r="L2798" s="8"/>
      <c r="M2798" s="8"/>
      <c r="N2798" s="8">
        <f ca="1">IFERROR(__xludf.DUMMYFUNCTION("""COMPUTED_VALUE"""),2)</f>
        <v>2</v>
      </c>
      <c r="O2798" s="8" t="str">
        <f ca="1">IFERROR(__xludf.DUMMYFUNCTION("""COMPUTED_VALUE"""),"Winter")</f>
        <v>Winter</v>
      </c>
      <c r="P2798" s="8" t="str">
        <f ca="1">IFERROR(__xludf.DUMMYFUNCTION("""COMPUTED_VALUE"""),"Katy")</f>
        <v>Katy</v>
      </c>
      <c r="Q2798" s="8" t="str">
        <f ca="1">IFERROR(__xludf.DUMMYFUNCTION("""COMPUTED_VALUE"""),"TX")</f>
        <v>TX</v>
      </c>
      <c r="R2798" s="8" t="str">
        <f ca="1">IFERROR(__xludf.DUMMYFUNCTION("""COMPUTED_VALUE"""),"High")</f>
        <v>High</v>
      </c>
      <c r="S2798" s="8" t="str">
        <f ca="1">IFERROR(__xludf.DUMMYFUNCTION("""COMPUTED_VALUE"""),"Classroom")</f>
        <v>Classroom</v>
      </c>
      <c r="T2798" s="8" t="str">
        <f ca="1">IFERROR(__xludf.DUMMYFUNCTION("""COMPUTED_VALUE"""),"Inside School Building")</f>
        <v>Inside School Building</v>
      </c>
      <c r="U2798" s="8" t="str">
        <f ca="1">IFERROR(__xludf.DUMMYFUNCTION("""COMPUTED_VALUE"""),"Yes")</f>
        <v>Yes</v>
      </c>
      <c r="V2798" s="8" t="str">
        <f ca="1">IFERROR(__xludf.DUMMYFUNCTION("""COMPUTED_VALUE"""),"Morning Classes")</f>
        <v>Morning Classes</v>
      </c>
      <c r="W2798" s="11">
        <f ca="1">IFERROR(__xludf.DUMMYFUNCTION("""COMPUTED_VALUE"""),0.416666666666666)</f>
        <v>0.41666666666666602</v>
      </c>
      <c r="X2798" s="8">
        <f ca="1">IFERROR(__xludf.DUMMYFUNCTION("""COMPUTED_VALUE"""),1)</f>
        <v>1</v>
      </c>
      <c r="Y2798" s="12" t="str">
        <f ca="1">IFERROR(__xludf.DUMMYFUNCTION("""COMPUTED_VALUE"""),"Commit suicide in front of class after girl refused to date him")</f>
        <v>Commit suicide in front of class after girl refused to date him</v>
      </c>
      <c r="Z2798" s="12" t="str">
        <f ca="1">IFERROR(__xludf.DUMMYFUNCTION("""COMPUTED_VALUE"""),"Shooter walked to front of algebra class and shot himself with .357 Magnum. Shooter was obsessed with girl and she would not date him. She had told school administrators about him. He told her the night prior he was planning suicide")</f>
        <v>Shooter walked to front of algebra class and shot himself with .357 Magnum. Shooter was obsessed with girl and she would not date him. She had told school administrators about him. He told her the night prior he was planning suicide</v>
      </c>
      <c r="AA2798" s="8" t="str">
        <f ca="1">IFERROR(__xludf.DUMMYFUNCTION("""COMPUTED_VALUE"""),"Suicide/Attempted")</f>
        <v>Suicide/Attempted</v>
      </c>
      <c r="AB2798" s="8"/>
      <c r="AC2798" s="8"/>
      <c r="AD2798" s="8"/>
      <c r="AE2798" s="8" t="str">
        <f ca="1">IFERROR(__xludf.DUMMYFUNCTION("""COMPUTED_VALUE"""),"No")</f>
        <v>No</v>
      </c>
      <c r="AF2798" s="8"/>
      <c r="AG2798" s="8" t="str">
        <f ca="1">IFERROR(__xludf.DUMMYFUNCTION("""COMPUTED_VALUE"""),"No")</f>
        <v>No</v>
      </c>
      <c r="AH2798" s="8" t="str">
        <f ca="1">IFERROR(__xludf.DUMMYFUNCTION("""COMPUTED_VALUE"""),"No")</f>
        <v>No</v>
      </c>
      <c r="AI2798" s="8" t="str">
        <f ca="1">IFERROR(__xludf.DUMMYFUNCTION("""COMPUTED_VALUE"""),"No")</f>
        <v>No</v>
      </c>
      <c r="AJ2798" s="8"/>
      <c r="AK2798" s="8" t="str">
        <f ca="1">IFERROR(__xludf.DUMMYFUNCTION("""COMPUTED_VALUE"""),"No")</f>
        <v>No</v>
      </c>
      <c r="AL2798" s="8" t="str">
        <f ca="1">IFERROR(__xludf.DUMMYFUNCTION("""COMPUTED_VALUE"""),"No")</f>
        <v>No</v>
      </c>
      <c r="AM2798" s="8"/>
      <c r="AN2798" s="8"/>
      <c r="AO2798" s="8" t="str">
        <f ca="1">IFERROR(__xludf.DUMMYFUNCTION("""COMPUTED_VALUE"""),"No")</f>
        <v>No</v>
      </c>
      <c r="AP2798" s="8"/>
      <c r="AQ2798" s="8" t="str">
        <f ca="1">IFERROR(__xludf.DUMMYFUNCTION("""COMPUTED_VALUE"""),"Unknown")</f>
        <v>Unknown</v>
      </c>
      <c r="AR2798" s="8" t="str">
        <f ca="1">IFERROR(__xludf.DUMMYFUNCTION("""COMPUTED_VALUE"""),"NA")</f>
        <v>NA</v>
      </c>
      <c r="AS2798" s="8">
        <f ca="1">IFERROR(__xludf.DUMMYFUNCTION("""COMPUTED_VALUE"""),1)</f>
        <v>1</v>
      </c>
      <c r="AT2798" s="8"/>
      <c r="AU2798" s="8">
        <f ca="1">IFERROR(__xludf.DUMMYFUNCTION("""COMPUTED_VALUE"""),29.806263)</f>
        <v>29.806263000000001</v>
      </c>
      <c r="AV2798" s="8">
        <f ca="1">IFERROR(__xludf.DUMMYFUNCTION("""COMPUTED_VALUE"""),-95.695246)</f>
        <v>-95.695245999999997</v>
      </c>
      <c r="AW2798" s="8"/>
      <c r="AX2798" s="8">
        <f ca="1">IFERROR(__xludf.DUMMYFUNCTION("""COMPUTED_VALUE"""),77084)</f>
        <v>77084</v>
      </c>
    </row>
    <row r="2799" spans="1:50" ht="45" x14ac:dyDescent="0.2">
      <c r="A2799" s="8" t="str">
        <f ca="1">IFERROR(__xludf.DUMMYFUNCTION("""COMPUTED_VALUE"""),"19871215NYGRB")</f>
        <v>19871215NYGRB</v>
      </c>
      <c r="B2799" s="8">
        <f ca="1">IFERROR(__xludf.DUMMYFUNCTION("""COMPUTED_VALUE"""),12)</f>
        <v>12</v>
      </c>
      <c r="C2799" s="8">
        <f ca="1">IFERROR(__xludf.DUMMYFUNCTION("""COMPUTED_VALUE"""),15)</f>
        <v>15</v>
      </c>
      <c r="D2799" s="8">
        <f ca="1">IFERROR(__xludf.DUMMYFUNCTION("""COMPUTED_VALUE"""),1987)</f>
        <v>1987</v>
      </c>
      <c r="E2799" s="9">
        <f ca="1">IFERROR(__xludf.DUMMYFUNCTION("""COMPUTED_VALUE"""),32126)</f>
        <v>32126</v>
      </c>
      <c r="F2799" s="8" t="str">
        <f ca="1">IFERROR(__xludf.DUMMYFUNCTION("""COMPUTED_VALUE"""),"Grady Vocational-Technical School")</f>
        <v>Grady Vocational-Technical School</v>
      </c>
      <c r="G2799" s="8">
        <f ca="1">IFERROR(__xludf.DUMMYFUNCTION("""COMPUTED_VALUE"""),0)</f>
        <v>0</v>
      </c>
      <c r="H2799" s="8">
        <f ca="1">IFERROR(__xludf.DUMMYFUNCTION("""COMPUTED_VALUE"""),1)</f>
        <v>1</v>
      </c>
      <c r="I2799" s="8">
        <f ca="1">IFERROR(__xludf.DUMMYFUNCTION("""COMPUTED_VALUE"""),1)</f>
        <v>1</v>
      </c>
      <c r="J2799" s="8">
        <f ca="1">IFERROR(__xludf.DUMMYFUNCTION("""COMPUTED_VALUE"""),0)</f>
        <v>0</v>
      </c>
      <c r="K2799" s="10" t="str">
        <f ca="1">IFERROR(__xludf.DUMMYFUNCTION("""COMPUTED_VALUE"""),"https://www.newspapers.com/image/406009908/?terms=STUDENT%2BSHOT")</f>
        <v>https://www.newspapers.com/image/406009908/?terms=STUDENT%2BSHOT</v>
      </c>
      <c r="L2799" s="8"/>
      <c r="M2799" s="8"/>
      <c r="N2799" s="8">
        <f ca="1">IFERROR(__xludf.DUMMYFUNCTION("""COMPUTED_VALUE"""),2)</f>
        <v>2</v>
      </c>
      <c r="O2799" s="8" t="str">
        <f ca="1">IFERROR(__xludf.DUMMYFUNCTION("""COMPUTED_VALUE"""),"Winter")</f>
        <v>Winter</v>
      </c>
      <c r="P2799" s="8" t="str">
        <f ca="1">IFERROR(__xludf.DUMMYFUNCTION("""COMPUTED_VALUE"""),"Brighton Beach")</f>
        <v>Brighton Beach</v>
      </c>
      <c r="Q2799" s="8" t="str">
        <f ca="1">IFERROR(__xludf.DUMMYFUNCTION("""COMPUTED_VALUE"""),"NY")</f>
        <v>NY</v>
      </c>
      <c r="R2799" s="8" t="str">
        <f ca="1">IFERROR(__xludf.DUMMYFUNCTION("""COMPUTED_VALUE"""),"High")</f>
        <v>High</v>
      </c>
      <c r="S2799" s="8" t="str">
        <f ca="1">IFERROR(__xludf.DUMMYFUNCTION("""COMPUTED_VALUE"""),"Inside School Building")</f>
        <v>Inside School Building</v>
      </c>
      <c r="T2799" s="8" t="str">
        <f ca="1">IFERROR(__xludf.DUMMYFUNCTION("""COMPUTED_VALUE"""),"Inside School Building")</f>
        <v>Inside School Building</v>
      </c>
      <c r="U2799" s="8" t="str">
        <f ca="1">IFERROR(__xludf.DUMMYFUNCTION("""COMPUTED_VALUE"""),"Yes")</f>
        <v>Yes</v>
      </c>
      <c r="V2799" s="8" t="str">
        <f ca="1">IFERROR(__xludf.DUMMYFUNCTION("""COMPUTED_VALUE"""),"Morning Classes")</f>
        <v>Morning Classes</v>
      </c>
      <c r="W2799" s="11">
        <f ca="1">IFERROR(__xludf.DUMMYFUNCTION("""COMPUTED_VALUE"""),0.40625)</f>
        <v>0.40625</v>
      </c>
      <c r="X2799" s="8">
        <f ca="1">IFERROR(__xludf.DUMMYFUNCTION("""COMPUTED_VALUE"""),1)</f>
        <v>1</v>
      </c>
      <c r="Y2799" s="12" t="str">
        <f ca="1">IFERROR(__xludf.DUMMYFUNCTION("""COMPUTED_VALUE"""),"Accidental discharge showing off gun")</f>
        <v>Accidental discharge showing off gun</v>
      </c>
      <c r="Z2799" s="12" t="str">
        <f ca="1">IFERROR(__xludf.DUMMYFUNCTION("""COMPUTED_VALUE"""),"Victim was shot in the hand by another student who brought gun to school to show off - shooter was later arrested and charged.")</f>
        <v>Victim was shot in the hand by another student who brought gun to school to show off - shooter was later arrested and charged.</v>
      </c>
      <c r="AA2799" s="8" t="str">
        <f ca="1">IFERROR(__xludf.DUMMYFUNCTION("""COMPUTED_VALUE"""),"Accidental")</f>
        <v>Accidental</v>
      </c>
      <c r="AB2799" s="8"/>
      <c r="AC2799" s="8"/>
      <c r="AD2799" s="8" t="str">
        <f ca="1">IFERROR(__xludf.DUMMYFUNCTION("""COMPUTED_VALUE"""),"Random Shooting")</f>
        <v>Random Shooting</v>
      </c>
      <c r="AE2799" s="8" t="str">
        <f ca="1">IFERROR(__xludf.DUMMYFUNCTION("""COMPUTED_VALUE"""),"No")</f>
        <v>No</v>
      </c>
      <c r="AF2799" s="8"/>
      <c r="AG2799" s="8" t="str">
        <f ca="1">IFERROR(__xludf.DUMMYFUNCTION("""COMPUTED_VALUE"""),"No")</f>
        <v>No</v>
      </c>
      <c r="AH2799" s="8" t="str">
        <f ca="1">IFERROR(__xludf.DUMMYFUNCTION("""COMPUTED_VALUE"""),"No")</f>
        <v>No</v>
      </c>
      <c r="AI2799" s="8" t="str">
        <f ca="1">IFERROR(__xludf.DUMMYFUNCTION("""COMPUTED_VALUE"""),"No")</f>
        <v>No</v>
      </c>
      <c r="AJ2799" s="8" t="str">
        <f ca="1">IFERROR(__xludf.DUMMYFUNCTION("""COMPUTED_VALUE"""),"No")</f>
        <v>No</v>
      </c>
      <c r="AK2799" s="8" t="str">
        <f ca="1">IFERROR(__xludf.DUMMYFUNCTION("""COMPUTED_VALUE"""),"No")</f>
        <v>No</v>
      </c>
      <c r="AL2799" s="8" t="str">
        <f ca="1">IFERROR(__xludf.DUMMYFUNCTION("""COMPUTED_VALUE"""),"No")</f>
        <v>No</v>
      </c>
      <c r="AM2799" s="8"/>
      <c r="AN2799" s="8"/>
      <c r="AO2799" s="8" t="str">
        <f ca="1">IFERROR(__xludf.DUMMYFUNCTION("""COMPUTED_VALUE"""),"No")</f>
        <v>No</v>
      </c>
      <c r="AP2799" s="8"/>
      <c r="AQ2799" s="8" t="str">
        <f ca="1">IFERROR(__xludf.DUMMYFUNCTION("""COMPUTED_VALUE"""),"Unknown")</f>
        <v>Unknown</v>
      </c>
      <c r="AR2799" s="8" t="str">
        <f ca="1">IFERROR(__xludf.DUMMYFUNCTION("""COMPUTED_VALUE"""),"NA")</f>
        <v>NA</v>
      </c>
      <c r="AS2799" s="8">
        <f ca="1">IFERROR(__xludf.DUMMYFUNCTION("""COMPUTED_VALUE"""),1)</f>
        <v>1</v>
      </c>
      <c r="AT2799" s="8"/>
      <c r="AU2799" s="8">
        <f ca="1">IFERROR(__xludf.DUMMYFUNCTION("""COMPUTED_VALUE"""),40.582992)</f>
        <v>40.582991999999997</v>
      </c>
      <c r="AV2799" s="8">
        <f ca="1">IFERROR(__xludf.DUMMYFUNCTION("""COMPUTED_VALUE"""),-73.963684)</f>
        <v>-73.963684000000001</v>
      </c>
      <c r="AW2799" s="8"/>
      <c r="AX2799" s="8">
        <f ca="1">IFERROR(__xludf.DUMMYFUNCTION("""COMPUTED_VALUE"""),11235)</f>
        <v>11235</v>
      </c>
    </row>
    <row r="2800" spans="1:50" ht="90" x14ac:dyDescent="0.2">
      <c r="A2800" s="8" t="str">
        <f ca="1">IFERROR(__xludf.DUMMYFUNCTION("""COMPUTED_VALUE"""),"19871204NYEAN")</f>
        <v>19871204NYEAN</v>
      </c>
      <c r="B2800" s="8">
        <f ca="1">IFERROR(__xludf.DUMMYFUNCTION("""COMPUTED_VALUE"""),12)</f>
        <v>12</v>
      </c>
      <c r="C2800" s="8">
        <f ca="1">IFERROR(__xludf.DUMMYFUNCTION("""COMPUTED_VALUE"""),4)</f>
        <v>4</v>
      </c>
      <c r="D2800" s="8">
        <f ca="1">IFERROR(__xludf.DUMMYFUNCTION("""COMPUTED_VALUE"""),1987)</f>
        <v>1987</v>
      </c>
      <c r="E2800" s="9">
        <f ca="1">IFERROR(__xludf.DUMMYFUNCTION("""COMPUTED_VALUE"""),32115)</f>
        <v>32115</v>
      </c>
      <c r="F2800" s="8" t="str">
        <f ca="1">IFERROR(__xludf.DUMMYFUNCTION("""COMPUTED_VALUE"""),"East New York High School of Transit Technology")</f>
        <v>East New York High School of Transit Technology</v>
      </c>
      <c r="G2800" s="8">
        <f ca="1">IFERROR(__xludf.DUMMYFUNCTION("""COMPUTED_VALUE"""),0)</f>
        <v>0</v>
      </c>
      <c r="H2800" s="8">
        <f ca="1">IFERROR(__xludf.DUMMYFUNCTION("""COMPUTED_VALUE"""),1)</f>
        <v>1</v>
      </c>
      <c r="I2800" s="8">
        <f ca="1">IFERROR(__xludf.DUMMYFUNCTION("""COMPUTED_VALUE"""),1)</f>
        <v>1</v>
      </c>
      <c r="J2800" s="8">
        <f ca="1">IFERROR(__xludf.DUMMYFUNCTION("""COMPUTED_VALUE"""),0)</f>
        <v>0</v>
      </c>
      <c r="K2800" s="8" t="str">
        <f ca="1">IFERROR(__xludf.DUMMYFUNCTION("""COMPUTED_VALUE"""),"https://www.newspapers.com/image/33552423/?terms=STUDENT%2BSHOOTS;  https://www.newspapers.com/image/343538114/?terms=LAMAR%2BGOODWINE; https://www.newspapers.com/image/406108544/?terms=barbara%2Bmendez")</f>
        <v>https://www.newspapers.com/image/33552423/?terms=STUDENT%2BSHOOTS;  https://www.newspapers.com/image/343538114/?terms=LAMAR%2BGOODWINE; https://www.newspapers.com/image/406108544/?terms=barbara%2Bmendez</v>
      </c>
      <c r="L2800" s="8"/>
      <c r="M2800" s="8"/>
      <c r="N2800" s="8">
        <f ca="1">IFERROR(__xludf.DUMMYFUNCTION("""COMPUTED_VALUE"""),3)</f>
        <v>3</v>
      </c>
      <c r="O2800" s="8" t="str">
        <f ca="1">IFERROR(__xludf.DUMMYFUNCTION("""COMPUTED_VALUE"""),"Winter")</f>
        <v>Winter</v>
      </c>
      <c r="P2800" s="8" t="str">
        <f ca="1">IFERROR(__xludf.DUMMYFUNCTION("""COMPUTED_VALUE"""),"New York")</f>
        <v>New York</v>
      </c>
      <c r="Q2800" s="8" t="str">
        <f ca="1">IFERROR(__xludf.DUMMYFUNCTION("""COMPUTED_VALUE"""),"NY")</f>
        <v>NY</v>
      </c>
      <c r="R2800" s="8" t="str">
        <f ca="1">IFERROR(__xludf.DUMMYFUNCTION("""COMPUTED_VALUE"""),"High")</f>
        <v>High</v>
      </c>
      <c r="S2800" s="8" t="str">
        <f ca="1">IFERROR(__xludf.DUMMYFUNCTION("""COMPUTED_VALUE"""),"Hallway")</f>
        <v>Hallway</v>
      </c>
      <c r="T2800" s="8" t="str">
        <f ca="1">IFERROR(__xludf.DUMMYFUNCTION("""COMPUTED_VALUE"""),"Inside School Building")</f>
        <v>Inside School Building</v>
      </c>
      <c r="U2800" s="8" t="str">
        <f ca="1">IFERROR(__xludf.DUMMYFUNCTION("""COMPUTED_VALUE"""),"Yes")</f>
        <v>Yes</v>
      </c>
      <c r="V2800" s="8" t="str">
        <f ca="1">IFERROR(__xludf.DUMMYFUNCTION("""COMPUTED_VALUE"""),"Afternoon Classes")</f>
        <v>Afternoon Classes</v>
      </c>
      <c r="W2800" s="11">
        <f ca="1">IFERROR(__xludf.DUMMYFUNCTION("""COMPUTED_VALUE"""),0.538194444444444)</f>
        <v>0.53819444444444398</v>
      </c>
      <c r="X2800" s="8">
        <f ca="1">IFERROR(__xludf.DUMMYFUNCTION("""COMPUTED_VALUE"""),1)</f>
        <v>1</v>
      </c>
      <c r="Y2800" s="12" t="str">
        <f ca="1">IFERROR(__xludf.DUMMYFUNCTION("""COMPUTED_VALUE"""),"Shooter was hired by victim to kill her / failed attempt")</f>
        <v>Shooter was hired by victim to kill her / failed attempt</v>
      </c>
      <c r="Z2800" s="12" t="str">
        <f ca="1">IFERROR(__xludf.DUMMYFUNCTION("""COMPUTED_VALUE"""),"23 year old female student had just been diagnosed with MS - asked 17 year old student to shoot/kill her. After two weeks she talked him into it - gave him $100 to buy gun. He shot her in school stairwell, but only hit her in shoulder. Teacher initially t"&amp;"old police she did not see assailant, but later confessed.")</f>
        <v>23 year old female student had just been diagnosed with MS - asked 17 year old student to shoot/kill her. After two weeks she talked him into it - gave him $100 to buy gun. He shot her in school stairwell, but only hit her in shoulder. Teacher initially told police she did not see assailant, but later confessed.</v>
      </c>
      <c r="AA2800" s="8" t="str">
        <f ca="1">IFERROR(__xludf.DUMMYFUNCTION("""COMPUTED_VALUE"""),"Domestic w/ Targeted Victim")</f>
        <v>Domestic w/ Targeted Victim</v>
      </c>
      <c r="AB2800" s="8"/>
      <c r="AC2800" s="8"/>
      <c r="AD2800" s="8" t="str">
        <f ca="1">IFERROR(__xludf.DUMMYFUNCTION("""COMPUTED_VALUE"""),"Victims Targeted")</f>
        <v>Victims Targeted</v>
      </c>
      <c r="AE2800" s="8" t="str">
        <f ca="1">IFERROR(__xludf.DUMMYFUNCTION("""COMPUTED_VALUE"""),"No")</f>
        <v>No</v>
      </c>
      <c r="AF2800" s="8"/>
      <c r="AG2800" s="8" t="str">
        <f ca="1">IFERROR(__xludf.DUMMYFUNCTION("""COMPUTED_VALUE"""),"No")</f>
        <v>No</v>
      </c>
      <c r="AH2800" s="8" t="str">
        <f ca="1">IFERROR(__xludf.DUMMYFUNCTION("""COMPUTED_VALUE"""),"No")</f>
        <v>No</v>
      </c>
      <c r="AI2800" s="8" t="str">
        <f ca="1">IFERROR(__xludf.DUMMYFUNCTION("""COMPUTED_VALUE"""),"No")</f>
        <v>No</v>
      </c>
      <c r="AJ2800" s="8" t="str">
        <f ca="1">IFERROR(__xludf.DUMMYFUNCTION("""COMPUTED_VALUE"""),"No")</f>
        <v>No</v>
      </c>
      <c r="AK2800" s="8" t="str">
        <f ca="1">IFERROR(__xludf.DUMMYFUNCTION("""COMPUTED_VALUE"""),"No")</f>
        <v>No</v>
      </c>
      <c r="AL2800" s="8" t="str">
        <f ca="1">IFERROR(__xludf.DUMMYFUNCTION("""COMPUTED_VALUE"""),"No")</f>
        <v>No</v>
      </c>
      <c r="AM2800" s="8"/>
      <c r="AN2800" s="8"/>
      <c r="AO2800" s="8" t="str">
        <f ca="1">IFERROR(__xludf.DUMMYFUNCTION("""COMPUTED_VALUE"""),"No")</f>
        <v>No</v>
      </c>
      <c r="AP2800" s="8"/>
      <c r="AQ2800" s="8" t="str">
        <f ca="1">IFERROR(__xludf.DUMMYFUNCTION("""COMPUTED_VALUE"""),"Unknown")</f>
        <v>Unknown</v>
      </c>
      <c r="AR2800" s="8" t="str">
        <f ca="1">IFERROR(__xludf.DUMMYFUNCTION("""COMPUTED_VALUE"""),"NA")</f>
        <v>NA</v>
      </c>
      <c r="AS2800" s="8">
        <f ca="1">IFERROR(__xludf.DUMMYFUNCTION("""COMPUTED_VALUE"""),2)</f>
        <v>2</v>
      </c>
      <c r="AT2800" s="8"/>
      <c r="AU2800" s="8">
        <f ca="1">IFERROR(__xludf.DUMMYFUNCTION("""COMPUTED_VALUE"""),40.678644)</f>
        <v>40.678643999999998</v>
      </c>
      <c r="AV2800" s="8">
        <f ca="1">IFERROR(__xludf.DUMMYFUNCTION("""COMPUTED_VALUE"""),-73.875334)</f>
        <v>-73.875333999999995</v>
      </c>
      <c r="AW2800" s="8"/>
      <c r="AX2800" s="8">
        <f ca="1">IFERROR(__xludf.DUMMYFUNCTION("""COMPUTED_VALUE"""),11208)</f>
        <v>11208</v>
      </c>
    </row>
    <row r="2801" spans="1:50" ht="45" x14ac:dyDescent="0.2">
      <c r="A2801" s="8" t="str">
        <f ca="1">IFERROR(__xludf.DUMMYFUNCTION("""COMPUTED_VALUE"""),"19871202FLENJ")</f>
        <v>19871202FLENJ</v>
      </c>
      <c r="B2801" s="8">
        <f ca="1">IFERROR(__xludf.DUMMYFUNCTION("""COMPUTED_VALUE"""),12)</f>
        <v>12</v>
      </c>
      <c r="C2801" s="8">
        <f ca="1">IFERROR(__xludf.DUMMYFUNCTION("""COMPUTED_VALUE"""),2)</f>
        <v>2</v>
      </c>
      <c r="D2801" s="8">
        <f ca="1">IFERROR(__xludf.DUMMYFUNCTION("""COMPUTED_VALUE"""),1987)</f>
        <v>1987</v>
      </c>
      <c r="E2801" s="9">
        <f ca="1">IFERROR(__xludf.DUMMYFUNCTION("""COMPUTED_VALUE"""),32113)</f>
        <v>32113</v>
      </c>
      <c r="F2801" s="8" t="str">
        <f ca="1">IFERROR(__xludf.DUMMYFUNCTION("""COMPUTED_VALUE"""),"Englewood High School")</f>
        <v>Englewood High School</v>
      </c>
      <c r="G2801" s="8">
        <f ca="1">IFERROR(__xludf.DUMMYFUNCTION("""COMPUTED_VALUE"""),0)</f>
        <v>0</v>
      </c>
      <c r="H2801" s="8">
        <f ca="1">IFERROR(__xludf.DUMMYFUNCTION("""COMPUTED_VALUE"""),0)</f>
        <v>0</v>
      </c>
      <c r="I2801" s="8">
        <f ca="1">IFERROR(__xludf.DUMMYFUNCTION("""COMPUTED_VALUE"""),0)</f>
        <v>0</v>
      </c>
      <c r="J2801" s="8">
        <f ca="1">IFERROR(__xludf.DUMMYFUNCTION("""COMPUTED_VALUE"""),0)</f>
        <v>0</v>
      </c>
      <c r="K2801" s="10" t="str">
        <f ca="1">IFERROR(__xludf.DUMMYFUNCTION("""COMPUTED_VALUE"""),"https://www.newspapers.com/image/321411477/?terms=student%2Bshoots%2Bdean%2Bcar")</f>
        <v>https://www.newspapers.com/image/321411477/?terms=student%2Bshoots%2Bdean%2Bcar</v>
      </c>
      <c r="L2801" s="8"/>
      <c r="M2801" s="8"/>
      <c r="N2801" s="8">
        <f ca="1">IFERROR(__xludf.DUMMYFUNCTION("""COMPUTED_VALUE"""),2)</f>
        <v>2</v>
      </c>
      <c r="O2801" s="8" t="str">
        <f ca="1">IFERROR(__xludf.DUMMYFUNCTION("""COMPUTED_VALUE"""),"Winter")</f>
        <v>Winter</v>
      </c>
      <c r="P2801" s="8" t="str">
        <f ca="1">IFERROR(__xludf.DUMMYFUNCTION("""COMPUTED_VALUE"""),"Jacksonville")</f>
        <v>Jacksonville</v>
      </c>
      <c r="Q2801" s="8" t="str">
        <f ca="1">IFERROR(__xludf.DUMMYFUNCTION("""COMPUTED_VALUE"""),"FL")</f>
        <v>FL</v>
      </c>
      <c r="R2801" s="8" t="str">
        <f ca="1">IFERROR(__xludf.DUMMYFUNCTION("""COMPUTED_VALUE"""),"High")</f>
        <v>High</v>
      </c>
      <c r="S2801" s="8" t="str">
        <f ca="1">IFERROR(__xludf.DUMMYFUNCTION("""COMPUTED_VALUE"""),"Parking Lot")</f>
        <v>Parking Lot</v>
      </c>
      <c r="T2801" s="8" t="str">
        <f ca="1">IFERROR(__xludf.DUMMYFUNCTION("""COMPUTED_VALUE"""),"Outside on School Property")</f>
        <v>Outside on School Property</v>
      </c>
      <c r="U2801" s="8" t="str">
        <f ca="1">IFERROR(__xludf.DUMMYFUNCTION("""COMPUTED_VALUE"""),"Yes")</f>
        <v>Yes</v>
      </c>
      <c r="V2801" s="8"/>
      <c r="W2801" s="8"/>
      <c r="X2801" s="8"/>
      <c r="Y2801" s="12" t="str">
        <f ca="1">IFERROR(__xludf.DUMMYFUNCTION("""COMPUTED_VALUE"""),"Shot principals car in parking lot")</f>
        <v>Shot principals car in parking lot</v>
      </c>
      <c r="Z2801" s="12" t="str">
        <f ca="1">IFERROR(__xludf.DUMMYFUNCTION("""COMPUTED_VALUE"""),"16 year old high school male was arrested after firing two rounds from his .357 magnum into the door of the new car belonging to the dean of the girls at the school")</f>
        <v>16 year old high school male was arrested after firing two rounds from his .357 magnum into the door of the new car belonging to the dean of the girls at the school</v>
      </c>
      <c r="AA2801" s="8" t="str">
        <f ca="1">IFERROR(__xludf.DUMMYFUNCTION("""COMPUTED_VALUE"""),"Intentional Property Damage")</f>
        <v>Intentional Property Damage</v>
      </c>
      <c r="AB2801" s="8"/>
      <c r="AC2801" s="8"/>
      <c r="AD2801" s="8" t="str">
        <f ca="1">IFERROR(__xludf.DUMMYFUNCTION("""COMPUTED_VALUE"""),"NA")</f>
        <v>NA</v>
      </c>
      <c r="AE2801" s="8" t="str">
        <f ca="1">IFERROR(__xludf.DUMMYFUNCTION("""COMPUTED_VALUE"""),"No")</f>
        <v>No</v>
      </c>
      <c r="AF2801" s="8"/>
      <c r="AG2801" s="8" t="str">
        <f ca="1">IFERROR(__xludf.DUMMYFUNCTION("""COMPUTED_VALUE"""),"No")</f>
        <v>No</v>
      </c>
      <c r="AH2801" s="8" t="str">
        <f ca="1">IFERROR(__xludf.DUMMYFUNCTION("""COMPUTED_VALUE"""),"No")</f>
        <v>No</v>
      </c>
      <c r="AI2801" s="8" t="str">
        <f ca="1">IFERROR(__xludf.DUMMYFUNCTION("""COMPUTED_VALUE"""),"No")</f>
        <v>No</v>
      </c>
      <c r="AJ2801" s="8"/>
      <c r="AK2801" s="8"/>
      <c r="AL2801" s="8" t="str">
        <f ca="1">IFERROR(__xludf.DUMMYFUNCTION("""COMPUTED_VALUE"""),"No")</f>
        <v>No</v>
      </c>
      <c r="AM2801" s="8"/>
      <c r="AN2801" s="8"/>
      <c r="AO2801" s="8"/>
      <c r="AP2801" s="8"/>
      <c r="AQ2801" s="8" t="str">
        <f ca="1">IFERROR(__xludf.DUMMYFUNCTION("""COMPUTED_VALUE"""),"Unknown")</f>
        <v>Unknown</v>
      </c>
      <c r="AR2801" s="8" t="str">
        <f ca="1">IFERROR(__xludf.DUMMYFUNCTION("""COMPUTED_VALUE"""),"NA")</f>
        <v>NA</v>
      </c>
      <c r="AS2801" s="8">
        <f ca="1">IFERROR(__xludf.DUMMYFUNCTION("""COMPUTED_VALUE"""),2)</f>
        <v>2</v>
      </c>
      <c r="AT2801" s="8"/>
      <c r="AU2801" s="8">
        <f ca="1">IFERROR(__xludf.DUMMYFUNCTION("""COMPUTED_VALUE"""),30.277842)</f>
        <v>30.277842</v>
      </c>
      <c r="AV2801" s="8">
        <f ca="1">IFERROR(__xludf.DUMMYFUNCTION("""COMPUTED_VALUE"""),-81.61139)</f>
        <v>-81.61139</v>
      </c>
      <c r="AW2801" s="8"/>
      <c r="AX2801" s="8">
        <f ca="1">IFERROR(__xludf.DUMMYFUNCTION("""COMPUTED_VALUE"""),32216)</f>
        <v>32216</v>
      </c>
    </row>
    <row r="2802" spans="1:50" ht="45" x14ac:dyDescent="0.2">
      <c r="A2802" s="8" t="str">
        <f ca="1">IFERROR(__xludf.DUMMYFUNCTION("""COMPUTED_VALUE"""),"19871130TXPES")</f>
        <v>19871130TXPES</v>
      </c>
      <c r="B2802" s="8">
        <f ca="1">IFERROR(__xludf.DUMMYFUNCTION("""COMPUTED_VALUE"""),11)</f>
        <v>11</v>
      </c>
      <c r="C2802" s="8">
        <f ca="1">IFERROR(__xludf.DUMMYFUNCTION("""COMPUTED_VALUE"""),30)</f>
        <v>30</v>
      </c>
      <c r="D2802" s="8">
        <f ca="1">IFERROR(__xludf.DUMMYFUNCTION("""COMPUTED_VALUE"""),1987)</f>
        <v>1987</v>
      </c>
      <c r="E2802" s="9">
        <f ca="1">IFERROR(__xludf.DUMMYFUNCTION("""COMPUTED_VALUE"""),32111)</f>
        <v>32111</v>
      </c>
      <c r="F2802" s="8" t="str">
        <f ca="1">IFERROR(__xludf.DUMMYFUNCTION("""COMPUTED_VALUE"""),"Perales Elementary School")</f>
        <v>Perales Elementary School</v>
      </c>
      <c r="G2802" s="8">
        <f ca="1">IFERROR(__xludf.DUMMYFUNCTION("""COMPUTED_VALUE"""),1)</f>
        <v>1</v>
      </c>
      <c r="H2802" s="8">
        <f ca="1">IFERROR(__xludf.DUMMYFUNCTION("""COMPUTED_VALUE"""),0)</f>
        <v>0</v>
      </c>
      <c r="I2802" s="8">
        <f ca="1">IFERROR(__xludf.DUMMYFUNCTION("""COMPUTED_VALUE"""),1)</f>
        <v>1</v>
      </c>
      <c r="J2802" s="8">
        <f ca="1">IFERROR(__xludf.DUMMYFUNCTION("""COMPUTED_VALUE"""),1)</f>
        <v>1</v>
      </c>
      <c r="K2802" s="10" t="str">
        <f ca="1">IFERROR(__xludf.DUMMYFUNCTION("""COMPUTED_VALUE"""),"https://www.newspapers.com/image/322419384/?terms=MARIA%2BSOLIS")</f>
        <v>https://www.newspapers.com/image/322419384/?terms=MARIA%2BSOLIS</v>
      </c>
      <c r="L2802" s="8"/>
      <c r="M2802" s="8"/>
      <c r="N2802" s="8">
        <f ca="1">IFERROR(__xludf.DUMMYFUNCTION("""COMPUTED_VALUE"""),2)</f>
        <v>2</v>
      </c>
      <c r="O2802" s="8" t="str">
        <f ca="1">IFERROR(__xludf.DUMMYFUNCTION("""COMPUTED_VALUE"""),"Fall")</f>
        <v>Fall</v>
      </c>
      <c r="P2802" s="8" t="str">
        <f ca="1">IFERROR(__xludf.DUMMYFUNCTION("""COMPUTED_VALUE"""),"San Antonio")</f>
        <v>San Antonio</v>
      </c>
      <c r="Q2802" s="8" t="str">
        <f ca="1">IFERROR(__xludf.DUMMYFUNCTION("""COMPUTED_VALUE"""),"TX")</f>
        <v>TX</v>
      </c>
      <c r="R2802" s="8" t="str">
        <f ca="1">IFERROR(__xludf.DUMMYFUNCTION("""COMPUTED_VALUE"""),"Elementary")</f>
        <v>Elementary</v>
      </c>
      <c r="S2802" s="8" t="str">
        <f ca="1">IFERROR(__xludf.DUMMYFUNCTION("""COMPUTED_VALUE"""),"Parking Lot")</f>
        <v>Parking Lot</v>
      </c>
      <c r="T2802" s="8" t="str">
        <f ca="1">IFERROR(__xludf.DUMMYFUNCTION("""COMPUTED_VALUE"""),"Outside on School Property")</f>
        <v>Outside on School Property</v>
      </c>
      <c r="U2802" s="8" t="str">
        <f ca="1">IFERROR(__xludf.DUMMYFUNCTION("""COMPUTED_VALUE"""),"Yes")</f>
        <v>Yes</v>
      </c>
      <c r="V2802" s="8" t="str">
        <f ca="1">IFERROR(__xludf.DUMMYFUNCTION("""COMPUTED_VALUE"""),"Dismissal")</f>
        <v>Dismissal</v>
      </c>
      <c r="W2802" s="11">
        <f ca="1">IFERROR(__xludf.DUMMYFUNCTION("""COMPUTED_VALUE"""),0.659722222222222)</f>
        <v>0.65972222222222199</v>
      </c>
      <c r="X2802" s="8">
        <f ca="1">IFERROR(__xludf.DUMMYFUNCTION("""COMPUTED_VALUE"""),1)</f>
        <v>1</v>
      </c>
      <c r="Y2802" s="12" t="str">
        <f ca="1">IFERROR(__xludf.DUMMYFUNCTION("""COMPUTED_VALUE"""),"Murder of wife, then shot/killed self in school parking lot")</f>
        <v>Murder of wife, then shot/killed self in school parking lot</v>
      </c>
      <c r="Z2802" s="12" t="str">
        <f ca="1">IFERROR(__xludf.DUMMYFUNCTION("""COMPUTED_VALUE"""),"Despondent husband shoots/kills wife in Elementary School parking lot where she was a teacher, then shoots/kills self")</f>
        <v>Despondent husband shoots/kills wife in Elementary School parking lot where she was a teacher, then shoots/kills self</v>
      </c>
      <c r="AA2802" s="8" t="str">
        <f ca="1">IFERROR(__xludf.DUMMYFUNCTION("""COMPUTED_VALUE"""),"Murder/Suicide")</f>
        <v>Murder/Suicide</v>
      </c>
      <c r="AB2802" s="8"/>
      <c r="AC2802" s="8"/>
      <c r="AD2802" s="8" t="str">
        <f ca="1">IFERROR(__xludf.DUMMYFUNCTION("""COMPUTED_VALUE"""),"Victims Targeted")</f>
        <v>Victims Targeted</v>
      </c>
      <c r="AE2802" s="8" t="str">
        <f ca="1">IFERROR(__xludf.DUMMYFUNCTION("""COMPUTED_VALUE"""),"No")</f>
        <v>No</v>
      </c>
      <c r="AF2802" s="8"/>
      <c r="AG2802" s="8" t="str">
        <f ca="1">IFERROR(__xludf.DUMMYFUNCTION("""COMPUTED_VALUE"""),"No")</f>
        <v>No</v>
      </c>
      <c r="AH2802" s="8" t="str">
        <f ca="1">IFERROR(__xludf.DUMMYFUNCTION("""COMPUTED_VALUE"""),"No")</f>
        <v>No</v>
      </c>
      <c r="AI2802" s="8" t="str">
        <f ca="1">IFERROR(__xludf.DUMMYFUNCTION("""COMPUTED_VALUE"""),"No")</f>
        <v>No</v>
      </c>
      <c r="AJ2802" s="8" t="str">
        <f ca="1">IFERROR(__xludf.DUMMYFUNCTION("""COMPUTED_VALUE"""),"No")</f>
        <v>No</v>
      </c>
      <c r="AK2802" s="8" t="str">
        <f ca="1">IFERROR(__xludf.DUMMYFUNCTION("""COMPUTED_VALUE"""),"Yes")</f>
        <v>Yes</v>
      </c>
      <c r="AL2802" s="8" t="str">
        <f ca="1">IFERROR(__xludf.DUMMYFUNCTION("""COMPUTED_VALUE"""),"No")</f>
        <v>No</v>
      </c>
      <c r="AM2802" s="8"/>
      <c r="AN2802" s="8"/>
      <c r="AO2802" s="8" t="str">
        <f ca="1">IFERROR(__xludf.DUMMYFUNCTION("""COMPUTED_VALUE"""),"No")</f>
        <v>No</v>
      </c>
      <c r="AP2802" s="8"/>
      <c r="AQ2802" s="8" t="str">
        <f ca="1">IFERROR(__xludf.DUMMYFUNCTION("""COMPUTED_VALUE"""),"Unknown")</f>
        <v>Unknown</v>
      </c>
      <c r="AR2802" s="8" t="str">
        <f ca="1">IFERROR(__xludf.DUMMYFUNCTION("""COMPUTED_VALUE"""),"NA")</f>
        <v>NA</v>
      </c>
      <c r="AS2802" s="8">
        <f ca="1">IFERROR(__xludf.DUMMYFUNCTION("""COMPUTED_VALUE"""),2)</f>
        <v>2</v>
      </c>
      <c r="AT2802" s="8"/>
      <c r="AU2802" s="8">
        <f ca="1">IFERROR(__xludf.DUMMYFUNCTION("""COMPUTED_VALUE"""),29.409089)</f>
        <v>29.409089000000002</v>
      </c>
      <c r="AV2802" s="8">
        <f ca="1">IFERROR(__xludf.DUMMYFUNCTION("""COMPUTED_VALUE"""),-98.548264)</f>
        <v>-98.548264000000003</v>
      </c>
      <c r="AW2802" s="8"/>
      <c r="AX2802" s="8">
        <f ca="1">IFERROR(__xludf.DUMMYFUNCTION("""COMPUTED_VALUE"""),78237)</f>
        <v>78237</v>
      </c>
    </row>
    <row r="2803" spans="1:50" ht="60" x14ac:dyDescent="0.2">
      <c r="A2803" s="8" t="str">
        <f ca="1">IFERROR(__xludf.DUMMYFUNCTION("""COMPUTED_VALUE"""),"19871114FLCLC")</f>
        <v>19871114FLCLC</v>
      </c>
      <c r="B2803" s="8">
        <f ca="1">IFERROR(__xludf.DUMMYFUNCTION("""COMPUTED_VALUE"""),11)</f>
        <v>11</v>
      </c>
      <c r="C2803" s="8">
        <f ca="1">IFERROR(__xludf.DUMMYFUNCTION("""COMPUTED_VALUE"""),14)</f>
        <v>14</v>
      </c>
      <c r="D2803" s="8">
        <f ca="1">IFERROR(__xludf.DUMMYFUNCTION("""COMPUTED_VALUE"""),1987)</f>
        <v>1987</v>
      </c>
      <c r="E2803" s="9">
        <f ca="1">IFERROR(__xludf.DUMMYFUNCTION("""COMPUTED_VALUE"""),32095)</f>
        <v>32095</v>
      </c>
      <c r="F2803" s="8" t="str">
        <f ca="1">IFERROR(__xludf.DUMMYFUNCTION("""COMPUTED_VALUE"""),"Clearwater High School")</f>
        <v>Clearwater High School</v>
      </c>
      <c r="G2803" s="8">
        <f ca="1">IFERROR(__xludf.DUMMYFUNCTION("""COMPUTED_VALUE"""),0)</f>
        <v>0</v>
      </c>
      <c r="H2803" s="8">
        <f ca="1">IFERROR(__xludf.DUMMYFUNCTION("""COMPUTED_VALUE"""),0)</f>
        <v>0</v>
      </c>
      <c r="I2803" s="8">
        <f ca="1">IFERROR(__xludf.DUMMYFUNCTION("""COMPUTED_VALUE"""),0)</f>
        <v>0</v>
      </c>
      <c r="J2803" s="8">
        <f ca="1">IFERROR(__xludf.DUMMYFUNCTION("""COMPUTED_VALUE"""),1)</f>
        <v>1</v>
      </c>
      <c r="K2803" s="10" t="str">
        <f ca="1">IFERROR(__xludf.DUMMYFUNCTION("""COMPUTED_VALUE"""),"https://www.newspapers.com/image/322900608/?terms=student%2Bshot")</f>
        <v>https://www.newspapers.com/image/322900608/?terms=student%2Bshot</v>
      </c>
      <c r="L2803" s="8"/>
      <c r="M2803" s="8"/>
      <c r="N2803" s="8">
        <f ca="1">IFERROR(__xludf.DUMMYFUNCTION("""COMPUTED_VALUE"""),2)</f>
        <v>2</v>
      </c>
      <c r="O2803" s="8" t="str">
        <f ca="1">IFERROR(__xludf.DUMMYFUNCTION("""COMPUTED_VALUE"""),"Fall")</f>
        <v>Fall</v>
      </c>
      <c r="P2803" s="8" t="str">
        <f ca="1">IFERROR(__xludf.DUMMYFUNCTION("""COMPUTED_VALUE"""),"Clearwater")</f>
        <v>Clearwater</v>
      </c>
      <c r="Q2803" s="8" t="str">
        <f ca="1">IFERROR(__xludf.DUMMYFUNCTION("""COMPUTED_VALUE"""),"FL")</f>
        <v>FL</v>
      </c>
      <c r="R2803" s="8" t="str">
        <f ca="1">IFERROR(__xludf.DUMMYFUNCTION("""COMPUTED_VALUE"""),"High")</f>
        <v>High</v>
      </c>
      <c r="S2803" s="8" t="str">
        <f ca="1">IFERROR(__xludf.DUMMYFUNCTION("""COMPUTED_VALUE"""),"Outside on School Property")</f>
        <v>Outside on School Property</v>
      </c>
      <c r="T2803" s="8" t="str">
        <f ca="1">IFERROR(__xludf.DUMMYFUNCTION("""COMPUTED_VALUE"""),"Outside on School Property")</f>
        <v>Outside on School Property</v>
      </c>
      <c r="U2803" s="8" t="str">
        <f ca="1">IFERROR(__xludf.DUMMYFUNCTION("""COMPUTED_VALUE"""),"No")</f>
        <v>No</v>
      </c>
      <c r="V2803" s="8"/>
      <c r="W2803" s="8"/>
      <c r="X2803" s="8">
        <f ca="1">IFERROR(__xludf.DUMMYFUNCTION("""COMPUTED_VALUE"""),1)</f>
        <v>1</v>
      </c>
      <c r="Y2803" s="12" t="str">
        <f ca="1">IFERROR(__xludf.DUMMYFUNCTION("""COMPUTED_VALUE"""),"Suicide in school parking lot. Found Saturday by maintenance")</f>
        <v>Suicide in school parking lot. Found Saturday by maintenance</v>
      </c>
      <c r="Z2803" s="12" t="str">
        <f ca="1">IFERROR(__xludf.DUMMYFUNCTION("""COMPUTED_VALUE"""),"Student shot himself in the chest - left notes that he was unhappy with his life.")</f>
        <v>Student shot himself in the chest - left notes that he was unhappy with his life.</v>
      </c>
      <c r="AA2803" s="8" t="str">
        <f ca="1">IFERROR(__xludf.DUMMYFUNCTION("""COMPUTED_VALUE"""),"Suicide/Attempted")</f>
        <v>Suicide/Attempted</v>
      </c>
      <c r="AB2803" s="8"/>
      <c r="AC2803" s="8"/>
      <c r="AD2803" s="8" t="str">
        <f ca="1">IFERROR(__xludf.DUMMYFUNCTION("""COMPUTED_VALUE"""),"Victims Targeted")</f>
        <v>Victims Targeted</v>
      </c>
      <c r="AE2803" s="8" t="str">
        <f ca="1">IFERROR(__xludf.DUMMYFUNCTION("""COMPUTED_VALUE"""),"No")</f>
        <v>No</v>
      </c>
      <c r="AF2803" s="8"/>
      <c r="AG2803" s="8" t="str">
        <f ca="1">IFERROR(__xludf.DUMMYFUNCTION("""COMPUTED_VALUE"""),"No")</f>
        <v>No</v>
      </c>
      <c r="AH2803" s="8" t="str">
        <f ca="1">IFERROR(__xludf.DUMMYFUNCTION("""COMPUTED_VALUE"""),"No")</f>
        <v>No</v>
      </c>
      <c r="AI2803" s="8" t="str">
        <f ca="1">IFERROR(__xludf.DUMMYFUNCTION("""COMPUTED_VALUE"""),"No")</f>
        <v>No</v>
      </c>
      <c r="AJ2803" s="8" t="str">
        <f ca="1">IFERROR(__xludf.DUMMYFUNCTION("""COMPUTED_VALUE"""),"No")</f>
        <v>No</v>
      </c>
      <c r="AK2803" s="8" t="str">
        <f ca="1">IFERROR(__xludf.DUMMYFUNCTION("""COMPUTED_VALUE"""),"No")</f>
        <v>No</v>
      </c>
      <c r="AL2803" s="8" t="str">
        <f ca="1">IFERROR(__xludf.DUMMYFUNCTION("""COMPUTED_VALUE"""),"No")</f>
        <v>No</v>
      </c>
      <c r="AM2803" s="8"/>
      <c r="AN2803" s="8"/>
      <c r="AO2803" s="8" t="str">
        <f ca="1">IFERROR(__xludf.DUMMYFUNCTION("""COMPUTED_VALUE"""),"No")</f>
        <v>No</v>
      </c>
      <c r="AP2803" s="8"/>
      <c r="AQ2803" s="8" t="str">
        <f ca="1">IFERROR(__xludf.DUMMYFUNCTION("""COMPUTED_VALUE"""),"Unknown")</f>
        <v>Unknown</v>
      </c>
      <c r="AR2803" s="8" t="str">
        <f ca="1">IFERROR(__xludf.DUMMYFUNCTION("""COMPUTED_VALUE"""),"NA")</f>
        <v>NA</v>
      </c>
      <c r="AS2803" s="8"/>
      <c r="AT2803" s="8"/>
      <c r="AU2803" s="8">
        <f ca="1">IFERROR(__xludf.DUMMYFUNCTION("""COMPUTED_VALUE"""),27.958867)</f>
        <v>27.958867000000001</v>
      </c>
      <c r="AV2803" s="8">
        <f ca="1">IFERROR(__xludf.DUMMYFUNCTION("""COMPUTED_VALUE"""),-82.755512)</f>
        <v>-82.755511999999996</v>
      </c>
      <c r="AW2803" s="8"/>
      <c r="AX2803" s="8">
        <f ca="1">IFERROR(__xludf.DUMMYFUNCTION("""COMPUTED_VALUE"""),33765)</f>
        <v>33765</v>
      </c>
    </row>
    <row r="2804" spans="1:50" ht="45" x14ac:dyDescent="0.2">
      <c r="A2804" s="8" t="str">
        <f ca="1">IFERROR(__xludf.DUMMYFUNCTION("""COMPUTED_VALUE"""),"19871104MISOD")</f>
        <v>19871104MISOD</v>
      </c>
      <c r="B2804" s="8">
        <f ca="1">IFERROR(__xludf.DUMMYFUNCTION("""COMPUTED_VALUE"""),11)</f>
        <v>11</v>
      </c>
      <c r="C2804" s="8">
        <f ca="1">IFERROR(__xludf.DUMMYFUNCTION("""COMPUTED_VALUE"""),4)</f>
        <v>4</v>
      </c>
      <c r="D2804" s="8">
        <f ca="1">IFERROR(__xludf.DUMMYFUNCTION("""COMPUTED_VALUE"""),1987)</f>
        <v>1987</v>
      </c>
      <c r="E2804" s="9">
        <f ca="1">IFERROR(__xludf.DUMMYFUNCTION("""COMPUTED_VALUE"""),32085)</f>
        <v>32085</v>
      </c>
      <c r="F2804" s="8" t="str">
        <f ca="1">IFERROR(__xludf.DUMMYFUNCTION("""COMPUTED_VALUE"""),"Southwestern High School")</f>
        <v>Southwestern High School</v>
      </c>
      <c r="G2804" s="8">
        <f ca="1">IFERROR(__xludf.DUMMYFUNCTION("""COMPUTED_VALUE"""),0)</f>
        <v>0</v>
      </c>
      <c r="H2804" s="8">
        <f ca="1">IFERROR(__xludf.DUMMYFUNCTION("""COMPUTED_VALUE"""),1)</f>
        <v>1</v>
      </c>
      <c r="I2804" s="8">
        <f ca="1">IFERROR(__xludf.DUMMYFUNCTION("""COMPUTED_VALUE"""),1)</f>
        <v>1</v>
      </c>
      <c r="J2804" s="8">
        <f ca="1">IFERROR(__xludf.DUMMYFUNCTION("""COMPUTED_VALUE"""),0)</f>
        <v>0</v>
      </c>
      <c r="K2804" s="10" t="str">
        <f ca="1">IFERROR(__xludf.DUMMYFUNCTION("""COMPUTED_VALUE"""),"https://www.newspapers.com/image/99920647/?terms=STUDENT%2BSHOT")</f>
        <v>https://www.newspapers.com/image/99920647/?terms=STUDENT%2BSHOT</v>
      </c>
      <c r="L2804" s="8"/>
      <c r="M2804" s="8"/>
      <c r="N2804" s="8">
        <f ca="1">IFERROR(__xludf.DUMMYFUNCTION("""COMPUTED_VALUE"""),2)</f>
        <v>2</v>
      </c>
      <c r="O2804" s="8" t="str">
        <f ca="1">IFERROR(__xludf.DUMMYFUNCTION("""COMPUTED_VALUE"""),"Fall")</f>
        <v>Fall</v>
      </c>
      <c r="P2804" s="8" t="str">
        <f ca="1">IFERROR(__xludf.DUMMYFUNCTION("""COMPUTED_VALUE"""),"Detroit")</f>
        <v>Detroit</v>
      </c>
      <c r="Q2804" s="8" t="str">
        <f ca="1">IFERROR(__xludf.DUMMYFUNCTION("""COMPUTED_VALUE"""),"MI")</f>
        <v>MI</v>
      </c>
      <c r="R2804" s="8" t="str">
        <f ca="1">IFERROR(__xludf.DUMMYFUNCTION("""COMPUTED_VALUE"""),"High")</f>
        <v>High</v>
      </c>
      <c r="S2804" s="8" t="str">
        <f ca="1">IFERROR(__xludf.DUMMYFUNCTION("""COMPUTED_VALUE"""),"Parking Lot")</f>
        <v>Parking Lot</v>
      </c>
      <c r="T2804" s="8" t="str">
        <f ca="1">IFERROR(__xludf.DUMMYFUNCTION("""COMPUTED_VALUE"""),"Outside on School Property")</f>
        <v>Outside on School Property</v>
      </c>
      <c r="U2804" s="8" t="str">
        <f ca="1">IFERROR(__xludf.DUMMYFUNCTION("""COMPUTED_VALUE"""),"Yes")</f>
        <v>Yes</v>
      </c>
      <c r="V2804" s="8" t="str">
        <f ca="1">IFERROR(__xludf.DUMMYFUNCTION("""COMPUTED_VALUE"""),"Morning Classes")</f>
        <v>Morning Classes</v>
      </c>
      <c r="W2804" s="11">
        <f ca="1">IFERROR(__xludf.DUMMYFUNCTION("""COMPUTED_VALUE"""),0.451388888888888)</f>
        <v>0.45138888888888801</v>
      </c>
      <c r="X2804" s="8">
        <f ca="1">IFERROR(__xludf.DUMMYFUNCTION("""COMPUTED_VALUE"""),1)</f>
        <v>1</v>
      </c>
      <c r="Y2804" s="12" t="str">
        <f ca="1">IFERROR(__xludf.DUMMYFUNCTION("""COMPUTED_VALUE"""),"Shot during robbery attempt")</f>
        <v>Shot during robbery attempt</v>
      </c>
      <c r="Z2804" s="12" t="str">
        <f ca="1">IFERROR(__xludf.DUMMYFUNCTION("""COMPUTED_VALUE"""),"Student was sitting in his car in HS parking lot - male walks up carrying gun and asks for money - victim stated he didn't have any - suspect shot victim in face")</f>
        <v>Student was sitting in his car in HS parking lot - male walks up carrying gun and asks for money - victim stated he didn't have any - suspect shot victim in face</v>
      </c>
      <c r="AA2804" s="8" t="str">
        <f ca="1">IFERROR(__xludf.DUMMYFUNCTION("""COMPUTED_VALUE"""),"Illegal Activity")</f>
        <v>Illegal Activity</v>
      </c>
      <c r="AB2804" s="8"/>
      <c r="AC2804" s="8"/>
      <c r="AD2804" s="8" t="str">
        <f ca="1">IFERROR(__xludf.DUMMYFUNCTION("""COMPUTED_VALUE"""),"Victims Targeted")</f>
        <v>Victims Targeted</v>
      </c>
      <c r="AE2804" s="8" t="str">
        <f ca="1">IFERROR(__xludf.DUMMYFUNCTION("""COMPUTED_VALUE"""),"No")</f>
        <v>No</v>
      </c>
      <c r="AF2804" s="8"/>
      <c r="AG2804" s="8" t="str">
        <f ca="1">IFERROR(__xludf.DUMMYFUNCTION("""COMPUTED_VALUE"""),"No")</f>
        <v>No</v>
      </c>
      <c r="AH2804" s="8" t="str">
        <f ca="1">IFERROR(__xludf.DUMMYFUNCTION("""COMPUTED_VALUE"""),"No")</f>
        <v>No</v>
      </c>
      <c r="AI2804" s="8" t="str">
        <f ca="1">IFERROR(__xludf.DUMMYFUNCTION("""COMPUTED_VALUE"""),"No")</f>
        <v>No</v>
      </c>
      <c r="AJ2804" s="8" t="str">
        <f ca="1">IFERROR(__xludf.DUMMYFUNCTION("""COMPUTED_VALUE"""),"No")</f>
        <v>No</v>
      </c>
      <c r="AK2804" s="8" t="str">
        <f ca="1">IFERROR(__xludf.DUMMYFUNCTION("""COMPUTED_VALUE"""),"No")</f>
        <v>No</v>
      </c>
      <c r="AL2804" s="8" t="str">
        <f ca="1">IFERROR(__xludf.DUMMYFUNCTION("""COMPUTED_VALUE"""),"No")</f>
        <v>No</v>
      </c>
      <c r="AM2804" s="8"/>
      <c r="AN2804" s="8"/>
      <c r="AO2804" s="8" t="str">
        <f ca="1">IFERROR(__xludf.DUMMYFUNCTION("""COMPUTED_VALUE"""),"No")</f>
        <v>No</v>
      </c>
      <c r="AP2804" s="8"/>
      <c r="AQ2804" s="8" t="str">
        <f ca="1">IFERROR(__xludf.DUMMYFUNCTION("""COMPUTED_VALUE"""),"Unknown")</f>
        <v>Unknown</v>
      </c>
      <c r="AR2804" s="8" t="str">
        <f ca="1">IFERROR(__xludf.DUMMYFUNCTION("""COMPUTED_VALUE"""),"NA")</f>
        <v>NA</v>
      </c>
      <c r="AS2804" s="8">
        <f ca="1">IFERROR(__xludf.DUMMYFUNCTION("""COMPUTED_VALUE"""),1)</f>
        <v>1</v>
      </c>
      <c r="AT2804" s="8"/>
      <c r="AU2804" s="8">
        <f ca="1">IFERROR(__xludf.DUMMYFUNCTION("""COMPUTED_VALUE"""),42.303098)</f>
        <v>42.303097999999999</v>
      </c>
      <c r="AV2804" s="8">
        <f ca="1">IFERROR(__xludf.DUMMYFUNCTION("""COMPUTED_VALUE"""),-83.108656)</f>
        <v>-83.108655999999996</v>
      </c>
      <c r="AW2804" s="8"/>
      <c r="AX2804" s="8">
        <f ca="1">IFERROR(__xludf.DUMMYFUNCTION("""COMPUTED_VALUE"""),48209)</f>
        <v>48209</v>
      </c>
    </row>
    <row r="2805" spans="1:50" ht="60" x14ac:dyDescent="0.2">
      <c r="A2805" s="8" t="str">
        <f ca="1">IFERROR(__xludf.DUMMYFUNCTION("""COMPUTED_VALUE"""),"19871031SCANA")</f>
        <v>19871031SCANA</v>
      </c>
      <c r="B2805" s="8">
        <f ca="1">IFERROR(__xludf.DUMMYFUNCTION("""COMPUTED_VALUE"""),10)</f>
        <v>10</v>
      </c>
      <c r="C2805" s="8">
        <f ca="1">IFERROR(__xludf.DUMMYFUNCTION("""COMPUTED_VALUE"""),31)</f>
        <v>31</v>
      </c>
      <c r="D2805" s="8">
        <f ca="1">IFERROR(__xludf.DUMMYFUNCTION("""COMPUTED_VALUE"""),1987)</f>
        <v>1987</v>
      </c>
      <c r="E2805" s="9">
        <f ca="1">IFERROR(__xludf.DUMMYFUNCTION("""COMPUTED_VALUE"""),32081)</f>
        <v>32081</v>
      </c>
      <c r="F2805" s="8" t="str">
        <f ca="1">IFERROR(__xludf.DUMMYFUNCTION("""COMPUTED_VALUE"""),"Andrews High School")</f>
        <v>Andrews High School</v>
      </c>
      <c r="G2805" s="8">
        <f ca="1">IFERROR(__xludf.DUMMYFUNCTION("""COMPUTED_VALUE"""),0)</f>
        <v>0</v>
      </c>
      <c r="H2805" s="8">
        <f ca="1">IFERROR(__xludf.DUMMYFUNCTION("""COMPUTED_VALUE"""),8)</f>
        <v>8</v>
      </c>
      <c r="I2805" s="8">
        <f ca="1">IFERROR(__xludf.DUMMYFUNCTION("""COMPUTED_VALUE"""),8)</f>
        <v>8</v>
      </c>
      <c r="J2805" s="8">
        <f ca="1">IFERROR(__xludf.DUMMYFUNCTION("""COMPUTED_VALUE"""),0)</f>
        <v>0</v>
      </c>
      <c r="K2805" s="8" t="str">
        <f ca="1">IFERROR(__xludf.DUMMYFUNCTION("""COMPUTED_VALUE"""),"https://www.newspapers.com/image/594514129/?terms=shooting%20high%20school%20football&amp;match=1 https://www.newspapers.com/image/556002291/?terms=shooting%20high%20school%20football&amp;match=1")</f>
        <v>https://www.newspapers.com/image/594514129/?terms=shooting%20high%20school%20football&amp;match=1 https://www.newspapers.com/image/556002291/?terms=shooting%20high%20school%20football&amp;match=1</v>
      </c>
      <c r="L2805" s="8">
        <f ca="1">IFERROR(__xludf.DUMMYFUNCTION("""COMPUTED_VALUE"""),100)</f>
        <v>100</v>
      </c>
      <c r="M2805" s="8" t="str">
        <f ca="1">IFERROR(__xludf.DUMMYFUNCTION("""COMPUTED_VALUE"""),"National")</f>
        <v>National</v>
      </c>
      <c r="N2805" s="8">
        <f ca="1">IFERROR(__xludf.DUMMYFUNCTION("""COMPUTED_VALUE"""),4)</f>
        <v>4</v>
      </c>
      <c r="O2805" s="8" t="str">
        <f ca="1">IFERROR(__xludf.DUMMYFUNCTION("""COMPUTED_VALUE"""),"Fall")</f>
        <v>Fall</v>
      </c>
      <c r="P2805" s="8" t="str">
        <f ca="1">IFERROR(__xludf.DUMMYFUNCTION("""COMPUTED_VALUE"""),"Andrews")</f>
        <v>Andrews</v>
      </c>
      <c r="Q2805" s="8" t="str">
        <f ca="1">IFERROR(__xludf.DUMMYFUNCTION("""COMPUTED_VALUE"""),"SC")</f>
        <v>SC</v>
      </c>
      <c r="R2805" s="8" t="str">
        <f ca="1">IFERROR(__xludf.DUMMYFUNCTION("""COMPUTED_VALUE"""),"High")</f>
        <v>High</v>
      </c>
      <c r="S2805" s="8" t="str">
        <f ca="1">IFERROR(__xludf.DUMMYFUNCTION("""COMPUTED_VALUE"""),"Football Field/Track")</f>
        <v>Football Field/Track</v>
      </c>
      <c r="T2805" s="8" t="str">
        <f ca="1">IFERROR(__xludf.DUMMYFUNCTION("""COMPUTED_VALUE"""),"Outside on School Property")</f>
        <v>Outside on School Property</v>
      </c>
      <c r="U2805" s="8" t="str">
        <f ca="1">IFERROR(__xludf.DUMMYFUNCTION("""COMPUTED_VALUE"""),"No")</f>
        <v>No</v>
      </c>
      <c r="V2805" s="8" t="str">
        <f ca="1">IFERROR(__xludf.DUMMYFUNCTION("""COMPUTED_VALUE"""),"Sport Event")</f>
        <v>Sport Event</v>
      </c>
      <c r="W2805" s="11">
        <f ca="1">IFERROR(__xludf.DUMMYFUNCTION("""COMPUTED_VALUE"""),0.833333333333333)</f>
        <v>0.83333333333333304</v>
      </c>
      <c r="X2805" s="8">
        <f ca="1">IFERROR(__xludf.DUMMYFUNCTION("""COMPUTED_VALUE"""),1)</f>
        <v>1</v>
      </c>
      <c r="Y2805" s="12" t="str">
        <f ca="1">IFERROR(__xludf.DUMMYFUNCTION("""COMPUTED_VALUE"""),"8 students wounded when someone fired shotgun into bleachers")</f>
        <v>8 students wounded when someone fired shotgun into bleachers</v>
      </c>
      <c r="Z2805" s="12" t="str">
        <f ca="1">IFERROR(__xludf.DUMMYFUNCTION("""COMPUTED_VALUE"""),"A students seated in the band section of the bleachers were wounded when someone fired a shotgun near the end of the high school football game. Shooter fled. No arrests made.")</f>
        <v>A students seated in the band section of the bleachers were wounded when someone fired a shotgun near the end of the high school football game. Shooter fled. No arrests made.</v>
      </c>
      <c r="AA2805" s="8" t="str">
        <f ca="1">IFERROR(__xludf.DUMMYFUNCTION("""COMPUTED_VALUE"""),"Indiscriminate Shooting")</f>
        <v>Indiscriminate Shooting</v>
      </c>
      <c r="AB2805" s="8"/>
      <c r="AC2805" s="8"/>
      <c r="AD2805" s="8" t="str">
        <f ca="1">IFERROR(__xludf.DUMMYFUNCTION("""COMPUTED_VALUE"""),"Random Shooting")</f>
        <v>Random Shooting</v>
      </c>
      <c r="AE2805" s="8" t="str">
        <f ca="1">IFERROR(__xludf.DUMMYFUNCTION("""COMPUTED_VALUE"""),"No")</f>
        <v>No</v>
      </c>
      <c r="AF2805" s="8"/>
      <c r="AG2805" s="8" t="str">
        <f ca="1">IFERROR(__xludf.DUMMYFUNCTION("""COMPUTED_VALUE"""),"No")</f>
        <v>No</v>
      </c>
      <c r="AH2805" s="8" t="str">
        <f ca="1">IFERROR(__xludf.DUMMYFUNCTION("""COMPUTED_VALUE"""),"No")</f>
        <v>No</v>
      </c>
      <c r="AI2805" s="8" t="str">
        <f ca="1">IFERROR(__xludf.DUMMYFUNCTION("""COMPUTED_VALUE"""),"No")</f>
        <v>No</v>
      </c>
      <c r="AJ2805" s="8"/>
      <c r="AK2805" s="8" t="str">
        <f ca="1">IFERROR(__xludf.DUMMYFUNCTION("""COMPUTED_VALUE"""),"No")</f>
        <v>No</v>
      </c>
      <c r="AL2805" s="8" t="str">
        <f ca="1">IFERROR(__xludf.DUMMYFUNCTION("""COMPUTED_VALUE"""),"No")</f>
        <v>No</v>
      </c>
      <c r="AM2805" s="8" t="str">
        <f ca="1">IFERROR(__xludf.DUMMYFUNCTION("""COMPUTED_VALUE"""),"No")</f>
        <v>No</v>
      </c>
      <c r="AN2805" s="8"/>
      <c r="AO2805" s="8"/>
      <c r="AP2805" s="8"/>
      <c r="AQ2805" s="8"/>
      <c r="AR2805" s="8" t="str">
        <f ca="1">IFERROR(__xludf.DUMMYFUNCTION("""COMPUTED_VALUE"""),"Outside/Off-Property")</f>
        <v>Outside/Off-Property</v>
      </c>
      <c r="AS2805" s="8">
        <f ca="1">IFERROR(__xludf.DUMMYFUNCTION("""COMPUTED_VALUE"""),1)</f>
        <v>1</v>
      </c>
      <c r="AT2805" s="8"/>
      <c r="AU2805" s="8">
        <f ca="1">IFERROR(__xludf.DUMMYFUNCTION("""COMPUTED_VALUE"""),33.459081)</f>
        <v>33.459080999999998</v>
      </c>
      <c r="AV2805" s="8">
        <f ca="1">IFERROR(__xludf.DUMMYFUNCTION("""COMPUTED_VALUE"""),-79.571848)</f>
        <v>-79.571848000000003</v>
      </c>
      <c r="AW2805" s="8"/>
      <c r="AX2805" s="8">
        <f ca="1">IFERROR(__xludf.DUMMYFUNCTION("""COMPUTED_VALUE"""),29510)</f>
        <v>29510</v>
      </c>
    </row>
    <row r="2806" spans="1:50" ht="90" x14ac:dyDescent="0.2">
      <c r="A2806" s="8" t="str">
        <f ca="1">IFERROR(__xludf.DUMMYFUNCTION("""COMPUTED_VALUE"""),"19871030NCSOK")</f>
        <v>19871030NCSOK</v>
      </c>
      <c r="B2806" s="8">
        <f ca="1">IFERROR(__xludf.DUMMYFUNCTION("""COMPUTED_VALUE"""),10)</f>
        <v>10</v>
      </c>
      <c r="C2806" s="8">
        <f ca="1">IFERROR(__xludf.DUMMYFUNCTION("""COMPUTED_VALUE"""),30)</f>
        <v>30</v>
      </c>
      <c r="D2806" s="8">
        <f ca="1">IFERROR(__xludf.DUMMYFUNCTION("""COMPUTED_VALUE"""),1987)</f>
        <v>1987</v>
      </c>
      <c r="E2806" s="9">
        <f ca="1">IFERROR(__xludf.DUMMYFUNCTION("""COMPUTED_VALUE"""),32080)</f>
        <v>32080</v>
      </c>
      <c r="F2806" s="8" t="str">
        <f ca="1">IFERROR(__xludf.DUMMYFUNCTION("""COMPUTED_VALUE"""),"Southwood Elementary School")</f>
        <v>Southwood Elementary School</v>
      </c>
      <c r="G2806" s="8">
        <f ca="1">IFERROR(__xludf.DUMMYFUNCTION("""COMPUTED_VALUE"""),0)</f>
        <v>0</v>
      </c>
      <c r="H2806" s="8">
        <f ca="1">IFERROR(__xludf.DUMMYFUNCTION("""COMPUTED_VALUE"""),2)</f>
        <v>2</v>
      </c>
      <c r="I2806" s="8">
        <f ca="1">IFERROR(__xludf.DUMMYFUNCTION("""COMPUTED_VALUE"""),2)</f>
        <v>2</v>
      </c>
      <c r="J2806" s="8">
        <f ca="1">IFERROR(__xludf.DUMMYFUNCTION("""COMPUTED_VALUE"""),0)</f>
        <v>0</v>
      </c>
      <c r="K2806" s="10" t="str">
        <f ca="1">IFERROR(__xludf.DUMMYFUNCTION("""COMPUTED_VALUE"""),"https://www.newspapers.com/image/196275731/?terms=SOUTHWOOD%2BELEMENTARY%2BSCHOOL%2BSHOOTING")</f>
        <v>https://www.newspapers.com/image/196275731/?terms=SOUTHWOOD%2BELEMENTARY%2BSCHOOL%2BSHOOTING</v>
      </c>
      <c r="L2806" s="8"/>
      <c r="M2806" s="8"/>
      <c r="N2806" s="8">
        <f ca="1">IFERROR(__xludf.DUMMYFUNCTION("""COMPUTED_VALUE"""),2)</f>
        <v>2</v>
      </c>
      <c r="O2806" s="8" t="str">
        <f ca="1">IFERROR(__xludf.DUMMYFUNCTION("""COMPUTED_VALUE"""),"Fall")</f>
        <v>Fall</v>
      </c>
      <c r="P2806" s="8" t="str">
        <f ca="1">IFERROR(__xludf.DUMMYFUNCTION("""COMPUTED_VALUE"""),"Kingston")</f>
        <v>Kingston</v>
      </c>
      <c r="Q2806" s="8" t="str">
        <f ca="1">IFERROR(__xludf.DUMMYFUNCTION("""COMPUTED_VALUE"""),"NC")</f>
        <v>NC</v>
      </c>
      <c r="R2806" s="8" t="str">
        <f ca="1">IFERROR(__xludf.DUMMYFUNCTION("""COMPUTED_VALUE"""),"Elementary")</f>
        <v>Elementary</v>
      </c>
      <c r="S2806" s="8" t="str">
        <f ca="1">IFERROR(__xludf.DUMMYFUNCTION("""COMPUTED_VALUE"""),"Parking Lot")</f>
        <v>Parking Lot</v>
      </c>
      <c r="T2806" s="8" t="str">
        <f ca="1">IFERROR(__xludf.DUMMYFUNCTION("""COMPUTED_VALUE"""),"Outside on School Property")</f>
        <v>Outside on School Property</v>
      </c>
      <c r="U2806" s="8" t="str">
        <f ca="1">IFERROR(__xludf.DUMMYFUNCTION("""COMPUTED_VALUE"""),"No")</f>
        <v>No</v>
      </c>
      <c r="V2806" s="8" t="str">
        <f ca="1">IFERROR(__xludf.DUMMYFUNCTION("""COMPUTED_VALUE"""),"School Event")</f>
        <v>School Event</v>
      </c>
      <c r="W2806" s="11">
        <f ca="1">IFERROR(__xludf.DUMMYFUNCTION("""COMPUTED_VALUE"""),0.875)</f>
        <v>0.875</v>
      </c>
      <c r="X2806" s="8">
        <f ca="1">IFERROR(__xludf.DUMMYFUNCTION("""COMPUTED_VALUE"""),1)</f>
        <v>1</v>
      </c>
      <c r="Y2806" s="12" t="str">
        <f ca="1">IFERROR(__xludf.DUMMYFUNCTION("""COMPUTED_VALUE"""),"Escalation of on going fight about a girl")</f>
        <v>Escalation of on going fight about a girl</v>
      </c>
      <c r="Z2806" s="12" t="str">
        <f ca="1">IFERROR(__xludf.DUMMYFUNCTION("""COMPUTED_VALUE"""),"Several students were attending a Halloween Party at the local elementary school. Two groups of students were in parking lot. One group said something disrespectful to a girl in the other group - someone threw a bottle. The subject who threw bottle was th"&amp;"en shot at along with his two friends - two victims hit.")</f>
        <v>Several students were attending a Halloween Party at the local elementary school. Two groups of students were in parking lot. One group said something disrespectful to a girl in the other group - someone threw a bottle. The subject who threw bottle was then shot at along with his two friends - two victims hit.</v>
      </c>
      <c r="AA2806" s="8" t="str">
        <f ca="1">IFERROR(__xludf.DUMMYFUNCTION("""COMPUTED_VALUE"""),"Escalation of Dispute")</f>
        <v>Escalation of Dispute</v>
      </c>
      <c r="AB2806" s="8"/>
      <c r="AC2806" s="8"/>
      <c r="AD2806" s="8"/>
      <c r="AE2806" s="8" t="str">
        <f ca="1">IFERROR(__xludf.DUMMYFUNCTION("""COMPUTED_VALUE"""),"Yes")</f>
        <v>Yes</v>
      </c>
      <c r="AF2806" s="8" t="str">
        <f ca="1">IFERROR(__xludf.DUMMYFUNCTION("""COMPUTED_VALUE"""),"Group involved")</f>
        <v>Group involved</v>
      </c>
      <c r="AG2806" s="8" t="str">
        <f ca="1">IFERROR(__xludf.DUMMYFUNCTION("""COMPUTED_VALUE"""),"No")</f>
        <v>No</v>
      </c>
      <c r="AH2806" s="8" t="str">
        <f ca="1">IFERROR(__xludf.DUMMYFUNCTION("""COMPUTED_VALUE"""),"No")</f>
        <v>No</v>
      </c>
      <c r="AI2806" s="8" t="str">
        <f ca="1">IFERROR(__xludf.DUMMYFUNCTION("""COMPUTED_VALUE"""),"No")</f>
        <v>No</v>
      </c>
      <c r="AJ2806" s="8" t="str">
        <f ca="1">IFERROR(__xludf.DUMMYFUNCTION("""COMPUTED_VALUE"""),"No")</f>
        <v>No</v>
      </c>
      <c r="AK2806" s="8" t="str">
        <f ca="1">IFERROR(__xludf.DUMMYFUNCTION("""COMPUTED_VALUE"""),"No")</f>
        <v>No</v>
      </c>
      <c r="AL2806" s="8" t="str">
        <f ca="1">IFERROR(__xludf.DUMMYFUNCTION("""COMPUTED_VALUE"""),"No")</f>
        <v>No</v>
      </c>
      <c r="AM2806" s="8"/>
      <c r="AN2806" s="8"/>
      <c r="AO2806" s="8" t="str">
        <f ca="1">IFERROR(__xludf.DUMMYFUNCTION("""COMPUTED_VALUE"""),"No")</f>
        <v>No</v>
      </c>
      <c r="AP2806" s="8"/>
      <c r="AQ2806" s="8" t="str">
        <f ca="1">IFERROR(__xludf.DUMMYFUNCTION("""COMPUTED_VALUE"""),"Unknown")</f>
        <v>Unknown</v>
      </c>
      <c r="AR2806" s="8" t="str">
        <f ca="1">IFERROR(__xludf.DUMMYFUNCTION("""COMPUTED_VALUE"""),"NA")</f>
        <v>NA</v>
      </c>
      <c r="AS2806" s="8">
        <f ca="1">IFERROR(__xludf.DUMMYFUNCTION("""COMPUTED_VALUE"""),3)</f>
        <v>3</v>
      </c>
      <c r="AT2806" s="8"/>
      <c r="AU2806" s="8">
        <f ca="1">IFERROR(__xludf.DUMMYFUNCTION("""COMPUTED_VALUE"""),35.207943)</f>
        <v>35.207943</v>
      </c>
      <c r="AV2806" s="8">
        <f ca="1">IFERROR(__xludf.DUMMYFUNCTION("""COMPUTED_VALUE"""),-77.564613)</f>
        <v>-77.564612999999994</v>
      </c>
      <c r="AW2806" s="8"/>
      <c r="AX2806" s="8">
        <f ca="1">IFERROR(__xludf.DUMMYFUNCTION("""COMPUTED_VALUE"""),28501)</f>
        <v>28501</v>
      </c>
    </row>
    <row r="2807" spans="1:50" ht="45" x14ac:dyDescent="0.2">
      <c r="A2807" s="8" t="str">
        <f ca="1">IFERROR(__xludf.DUMMYFUNCTION("""COMPUTED_VALUE"""),"19871014ILDUC")</f>
        <v>19871014ILDUC</v>
      </c>
      <c r="B2807" s="8">
        <f ca="1">IFERROR(__xludf.DUMMYFUNCTION("""COMPUTED_VALUE"""),10)</f>
        <v>10</v>
      </c>
      <c r="C2807" s="8">
        <f ca="1">IFERROR(__xludf.DUMMYFUNCTION("""COMPUTED_VALUE"""),14)</f>
        <v>14</v>
      </c>
      <c r="D2807" s="8">
        <f ca="1">IFERROR(__xludf.DUMMYFUNCTION("""COMPUTED_VALUE"""),1987)</f>
        <v>1987</v>
      </c>
      <c r="E2807" s="9">
        <f ca="1">IFERROR(__xludf.DUMMYFUNCTION("""COMPUTED_VALUE"""),32064)</f>
        <v>32064</v>
      </c>
      <c r="F2807" s="8" t="str">
        <f ca="1">IFERROR(__xludf.DUMMYFUNCTION("""COMPUTED_VALUE"""),"DuSable High School")</f>
        <v>DuSable High School</v>
      </c>
      <c r="G2807" s="8">
        <f ca="1">IFERROR(__xludf.DUMMYFUNCTION("""COMPUTED_VALUE"""),1)</f>
        <v>1</v>
      </c>
      <c r="H2807" s="8">
        <f ca="1">IFERROR(__xludf.DUMMYFUNCTION("""COMPUTED_VALUE"""),0)</f>
        <v>0</v>
      </c>
      <c r="I2807" s="8">
        <f ca="1">IFERROR(__xludf.DUMMYFUNCTION("""COMPUTED_VALUE"""),1)</f>
        <v>1</v>
      </c>
      <c r="J2807" s="8">
        <f ca="1">IFERROR(__xludf.DUMMYFUNCTION("""COMPUTED_VALUE"""),0)</f>
        <v>0</v>
      </c>
      <c r="K2807" s="8" t="str">
        <f ca="1">IFERROR(__xludf.DUMMYFUNCTION("""COMPUTED_VALUE"""),"https://www.newspapers.com/image/214607586/?terms=student%2Bshot, https://www.newspapers.com/image/87196859/?terms=DuSable%2BHigh%2BSchool")</f>
        <v>https://www.newspapers.com/image/214607586/?terms=student%2Bshot, https://www.newspapers.com/image/87196859/?terms=DuSable%2BHigh%2BSchool</v>
      </c>
      <c r="L2807" s="8"/>
      <c r="M2807" s="8"/>
      <c r="N2807" s="8">
        <f ca="1">IFERROR(__xludf.DUMMYFUNCTION("""COMPUTED_VALUE"""),3)</f>
        <v>3</v>
      </c>
      <c r="O2807" s="8" t="str">
        <f ca="1">IFERROR(__xludf.DUMMYFUNCTION("""COMPUTED_VALUE"""),"Fall")</f>
        <v>Fall</v>
      </c>
      <c r="P2807" s="8" t="str">
        <f ca="1">IFERROR(__xludf.DUMMYFUNCTION("""COMPUTED_VALUE"""),"Chicago")</f>
        <v>Chicago</v>
      </c>
      <c r="Q2807" s="8" t="str">
        <f ca="1">IFERROR(__xludf.DUMMYFUNCTION("""COMPUTED_VALUE"""),"IL")</f>
        <v>IL</v>
      </c>
      <c r="R2807" s="8" t="str">
        <f ca="1">IFERROR(__xludf.DUMMYFUNCTION("""COMPUTED_VALUE"""),"High")</f>
        <v>High</v>
      </c>
      <c r="S2807" s="8" t="str">
        <f ca="1">IFERROR(__xludf.DUMMYFUNCTION("""COMPUTED_VALUE"""),"Hallway")</f>
        <v>Hallway</v>
      </c>
      <c r="T2807" s="8" t="str">
        <f ca="1">IFERROR(__xludf.DUMMYFUNCTION("""COMPUTED_VALUE"""),"Inside School Building")</f>
        <v>Inside School Building</v>
      </c>
      <c r="U2807" s="8" t="str">
        <f ca="1">IFERROR(__xludf.DUMMYFUNCTION("""COMPUTED_VALUE"""),"Yes")</f>
        <v>Yes</v>
      </c>
      <c r="V2807" s="8" t="str">
        <f ca="1">IFERROR(__xludf.DUMMYFUNCTION("""COMPUTED_VALUE"""),"Morning Classes")</f>
        <v>Morning Classes</v>
      </c>
      <c r="W2807" s="11">
        <f ca="1">IFERROR(__xludf.DUMMYFUNCTION("""COMPUTED_VALUE"""),0.333333333333333)</f>
        <v>0.33333333333333298</v>
      </c>
      <c r="X2807" s="8">
        <f ca="1">IFERROR(__xludf.DUMMYFUNCTION("""COMPUTED_VALUE"""),1)</f>
        <v>1</v>
      </c>
      <c r="Y2807" s="12" t="str">
        <f ca="1">IFERROR(__xludf.DUMMYFUNCTION("""COMPUTED_VALUE"""),"Shooting following ongoing dispute.")</f>
        <v>Shooting following ongoing dispute.</v>
      </c>
      <c r="Z2807" s="12" t="str">
        <f ca="1">IFERROR(__xludf.DUMMYFUNCTION("""COMPUTED_VALUE"""),"Student shot in chest, and later died, while walking through third floor hallway in between classes. Suspect later caught. Possible gang related.")</f>
        <v>Student shot in chest, and later died, while walking through third floor hallway in between classes. Suspect later caught. Possible gang related.</v>
      </c>
      <c r="AA2807" s="8" t="str">
        <f ca="1">IFERROR(__xludf.DUMMYFUNCTION("""COMPUTED_VALUE"""),"Escalation of Dispute")</f>
        <v>Escalation of Dispute</v>
      </c>
      <c r="AB2807" s="8"/>
      <c r="AC2807" s="8"/>
      <c r="AD2807" s="8"/>
      <c r="AE2807" s="8" t="str">
        <f ca="1">IFERROR(__xludf.DUMMYFUNCTION("""COMPUTED_VALUE"""),"No")</f>
        <v>No</v>
      </c>
      <c r="AF2807" s="8"/>
      <c r="AG2807" s="8" t="str">
        <f ca="1">IFERROR(__xludf.DUMMYFUNCTION("""COMPUTED_VALUE"""),"No")</f>
        <v>No</v>
      </c>
      <c r="AH2807" s="8" t="str">
        <f ca="1">IFERROR(__xludf.DUMMYFUNCTION("""COMPUTED_VALUE"""),"No")</f>
        <v>No</v>
      </c>
      <c r="AI2807" s="8" t="str">
        <f ca="1">IFERROR(__xludf.DUMMYFUNCTION("""COMPUTED_VALUE"""),"No")</f>
        <v>No</v>
      </c>
      <c r="AJ2807" s="8"/>
      <c r="AK2807" s="8"/>
      <c r="AL2807" s="8" t="str">
        <f ca="1">IFERROR(__xludf.DUMMYFUNCTION("""COMPUTED_VALUE"""),"Yes")</f>
        <v>Yes</v>
      </c>
      <c r="AM2807" s="8"/>
      <c r="AN2807" s="8"/>
      <c r="AO2807" s="8" t="str">
        <f ca="1">IFERROR(__xludf.DUMMYFUNCTION("""COMPUTED_VALUE"""),"No")</f>
        <v>No</v>
      </c>
      <c r="AP2807" s="8"/>
      <c r="AQ2807" s="8" t="str">
        <f ca="1">IFERROR(__xludf.DUMMYFUNCTION("""COMPUTED_VALUE"""),"Unknown")</f>
        <v>Unknown</v>
      </c>
      <c r="AR2807" s="8" t="str">
        <f ca="1">IFERROR(__xludf.DUMMYFUNCTION("""COMPUTED_VALUE"""),"NA")</f>
        <v>NA</v>
      </c>
      <c r="AS2807" s="8">
        <f ca="1">IFERROR(__xludf.DUMMYFUNCTION("""COMPUTED_VALUE"""),1)</f>
        <v>1</v>
      </c>
      <c r="AT2807" s="8"/>
      <c r="AU2807" s="8">
        <f ca="1">IFERROR(__xludf.DUMMYFUNCTION("""COMPUTED_VALUE"""),41.804751)</f>
        <v>41.804751000000003</v>
      </c>
      <c r="AV2807" s="8">
        <f ca="1">IFERROR(__xludf.DUMMYFUNCTION("""COMPUTED_VALUE"""),-87.624674)</f>
        <v>-87.624673999999999</v>
      </c>
      <c r="AW2807" s="8"/>
      <c r="AX2807" s="8">
        <f ca="1">IFERROR(__xludf.DUMMYFUNCTION("""COMPUTED_VALUE"""),60615)</f>
        <v>60615</v>
      </c>
    </row>
    <row r="2808" spans="1:50" ht="150" x14ac:dyDescent="0.2">
      <c r="A2808" s="8" t="str">
        <f ca="1">IFERROR(__xludf.DUMMYFUNCTION("""COMPUTED_VALUE"""),"19870928ILILL")</f>
        <v>19870928ILILL</v>
      </c>
      <c r="B2808" s="8">
        <f ca="1">IFERROR(__xludf.DUMMYFUNCTION("""COMPUTED_VALUE"""),9)</f>
        <v>9</v>
      </c>
      <c r="C2808" s="8">
        <f ca="1">IFERROR(__xludf.DUMMYFUNCTION("""COMPUTED_VALUE"""),28)</f>
        <v>28</v>
      </c>
      <c r="D2808" s="8">
        <f ca="1">IFERROR(__xludf.DUMMYFUNCTION("""COMPUTED_VALUE"""),1987)</f>
        <v>1987</v>
      </c>
      <c r="E2808" s="9">
        <f ca="1">IFERROR(__xludf.DUMMYFUNCTION("""COMPUTED_VALUE"""),32048)</f>
        <v>32048</v>
      </c>
      <c r="F2808" s="8" t="str">
        <f ca="1">IFERROR(__xludf.DUMMYFUNCTION("""COMPUTED_VALUE"""),"Illiana Christian High School")</f>
        <v>Illiana Christian High School</v>
      </c>
      <c r="G2808" s="8">
        <f ca="1">IFERROR(__xludf.DUMMYFUNCTION("""COMPUTED_VALUE"""),0)</f>
        <v>0</v>
      </c>
      <c r="H2808" s="8">
        <f ca="1">IFERROR(__xludf.DUMMYFUNCTION("""COMPUTED_VALUE"""),1)</f>
        <v>1</v>
      </c>
      <c r="I2808" s="8">
        <f ca="1">IFERROR(__xludf.DUMMYFUNCTION("""COMPUTED_VALUE"""),1)</f>
        <v>1</v>
      </c>
      <c r="J2808" s="8">
        <f ca="1">IFERROR(__xludf.DUMMYFUNCTION("""COMPUTED_VALUE"""),0)</f>
        <v>0</v>
      </c>
      <c r="K2808" s="10" t="str">
        <f ca="1">IFERROR(__xludf.DUMMYFUNCTION("""COMPUTED_VALUE"""),"http://articles.chicagotribune.com/1987-09-30/news/8703130825_1_second-floor-classroom-shooting-smoking-on-school-grounds")</f>
        <v>http://articles.chicagotribune.com/1987-09-30/news/8703130825_1_second-floor-classroom-shooting-smoking-on-school-grounds</v>
      </c>
      <c r="L2808" s="8"/>
      <c r="M2808" s="8"/>
      <c r="N2808" s="8">
        <f ca="1">IFERROR(__xludf.DUMMYFUNCTION("""COMPUTED_VALUE"""),2)</f>
        <v>2</v>
      </c>
      <c r="O2808" s="8" t="str">
        <f ca="1">IFERROR(__xludf.DUMMYFUNCTION("""COMPUTED_VALUE"""),"Fall")</f>
        <v>Fall</v>
      </c>
      <c r="P2808" s="8" t="str">
        <f ca="1">IFERROR(__xludf.DUMMYFUNCTION("""COMPUTED_VALUE"""),"Lansing")</f>
        <v>Lansing</v>
      </c>
      <c r="Q2808" s="8" t="str">
        <f ca="1">IFERROR(__xludf.DUMMYFUNCTION("""COMPUTED_VALUE"""),"IL")</f>
        <v>IL</v>
      </c>
      <c r="R2808" s="8" t="str">
        <f ca="1">IFERROR(__xludf.DUMMYFUNCTION("""COMPUTED_VALUE"""),"High")</f>
        <v>High</v>
      </c>
      <c r="S2808" s="8" t="str">
        <f ca="1">IFERROR(__xludf.DUMMYFUNCTION("""COMPUTED_VALUE"""),"Inside School Building")</f>
        <v>Inside School Building</v>
      </c>
      <c r="T2808" s="8" t="str">
        <f ca="1">IFERROR(__xludf.DUMMYFUNCTION("""COMPUTED_VALUE"""),"Inside School Building")</f>
        <v>Inside School Building</v>
      </c>
      <c r="U2808" s="8" t="str">
        <f ca="1">IFERROR(__xludf.DUMMYFUNCTION("""COMPUTED_VALUE"""),"Yes")</f>
        <v>Yes</v>
      </c>
      <c r="V2808" s="8" t="str">
        <f ca="1">IFERROR(__xludf.DUMMYFUNCTION("""COMPUTED_VALUE"""),"Afternoon Classes")</f>
        <v>Afternoon Classes</v>
      </c>
      <c r="W2808" s="8"/>
      <c r="X2808" s="8">
        <f ca="1">IFERROR(__xludf.DUMMYFUNCTION("""COMPUTED_VALUE"""),1)</f>
        <v>1</v>
      </c>
      <c r="Y2808" s="12" t="str">
        <f ca="1">IFERROR(__xludf.DUMMYFUNCTION("""COMPUTED_VALUE"""),"Anger at teacher for reporting him for smoking")</f>
        <v>Anger at teacher for reporting him for smoking</v>
      </c>
      <c r="Z2808" s="12" t="str">
        <f ca="1">IFERROR(__xludf.DUMMYFUNCTION("""COMPUTED_VALUE"""),"Shooter brought a .22 pistol to school and showed it off during the school day to multiple students. Shooter said he was going to shoot another student he had an ongoing dispute with. Shooter had an confrontation with the other student but the weapon was "&amp;"not involved. Shooter had been caught by a teacher for smoking the week prior and kicked off the soccer team. Student left class in the afternoon and confronted the teacher shooting him once in the chest. The student was arrested outside of the school wit"&amp;"h the gun 30 minutes later.")</f>
        <v>Shooter brought a .22 pistol to school and showed it off during the school day to multiple students. Shooter said he was going to shoot another student he had an ongoing dispute with. Shooter had an confrontation with the other student but the weapon was not involved. Shooter had been caught by a teacher for smoking the week prior and kicked off the soccer team. Student left class in the afternoon and confronted the teacher shooting him once in the chest. The student was arrested outside of the school with the gun 30 minutes later.</v>
      </c>
      <c r="AA2808" s="8" t="str">
        <f ca="1">IFERROR(__xludf.DUMMYFUNCTION("""COMPUTED_VALUE"""),"Anger Over Grade/Suspension/Discipline")</f>
        <v>Anger Over Grade/Suspension/Discipline</v>
      </c>
      <c r="AB2808" s="8"/>
      <c r="AC2808" s="8"/>
      <c r="AD2808" s="8"/>
      <c r="AE2808" s="8" t="str">
        <f ca="1">IFERROR(__xludf.DUMMYFUNCTION("""COMPUTED_VALUE"""),"No")</f>
        <v>No</v>
      </c>
      <c r="AF2808" s="8"/>
      <c r="AG2808" s="8" t="str">
        <f ca="1">IFERROR(__xludf.DUMMYFUNCTION("""COMPUTED_VALUE"""),"No")</f>
        <v>No</v>
      </c>
      <c r="AH2808" s="8" t="str">
        <f ca="1">IFERROR(__xludf.DUMMYFUNCTION("""COMPUTED_VALUE"""),"No")</f>
        <v>No</v>
      </c>
      <c r="AI2808" s="8" t="str">
        <f ca="1">IFERROR(__xludf.DUMMYFUNCTION("""COMPUTED_VALUE"""),"No")</f>
        <v>No</v>
      </c>
      <c r="AJ2808" s="8"/>
      <c r="AK2808" s="8" t="str">
        <f ca="1">IFERROR(__xludf.DUMMYFUNCTION("""COMPUTED_VALUE"""),"No")</f>
        <v>No</v>
      </c>
      <c r="AL2808" s="8" t="str">
        <f ca="1">IFERROR(__xludf.DUMMYFUNCTION("""COMPUTED_VALUE"""),"No")</f>
        <v>No</v>
      </c>
      <c r="AM2808" s="8"/>
      <c r="AN2808" s="8"/>
      <c r="AO2808" s="8" t="str">
        <f ca="1">IFERROR(__xludf.DUMMYFUNCTION("""COMPUTED_VALUE"""),"No")</f>
        <v>No</v>
      </c>
      <c r="AP2808" s="8" t="str">
        <f ca="1">IFERROR(__xludf.DUMMYFUNCTION("""COMPUTED_VALUE"""),"No")</f>
        <v>No</v>
      </c>
      <c r="AQ2808" s="8" t="str">
        <f ca="1">IFERROR(__xludf.DUMMYFUNCTION("""COMPUTED_VALUE"""),"None")</f>
        <v>None</v>
      </c>
      <c r="AR2808" s="8" t="str">
        <f ca="1">IFERROR(__xludf.DUMMYFUNCTION("""COMPUTED_VALUE"""),"NA")</f>
        <v>NA</v>
      </c>
      <c r="AS2808" s="8" t="str">
        <f ca="1">IFERROR(__xludf.DUMMYFUNCTION("""COMPUTED_VALUE"""),"&lt;5")</f>
        <v>&lt;5</v>
      </c>
      <c r="AT2808" s="8"/>
      <c r="AU2808" s="8">
        <f ca="1">IFERROR(__xludf.DUMMYFUNCTION("""COMPUTED_VALUE"""),41.419058)</f>
        <v>41.419058</v>
      </c>
      <c r="AV2808" s="8">
        <f ca="1">IFERROR(__xludf.DUMMYFUNCTION("""COMPUTED_VALUE"""),-87.510584)</f>
        <v>-87.510583999999994</v>
      </c>
      <c r="AW2808" s="8"/>
      <c r="AX2808" s="8">
        <f ca="1">IFERROR(__xludf.DUMMYFUNCTION("""COMPUTED_VALUE"""),46311)</f>
        <v>46311</v>
      </c>
    </row>
    <row r="2809" spans="1:50" ht="90" x14ac:dyDescent="0.2">
      <c r="A2809" s="8" t="str">
        <f ca="1">IFERROR(__xludf.DUMMYFUNCTION("""COMPUTED_VALUE"""),"19870513ILOAO")</f>
        <v>19870513ILOAO</v>
      </c>
      <c r="B2809" s="8">
        <f ca="1">IFERROR(__xludf.DUMMYFUNCTION("""COMPUTED_VALUE"""),5)</f>
        <v>5</v>
      </c>
      <c r="C2809" s="8">
        <f ca="1">IFERROR(__xludf.DUMMYFUNCTION("""COMPUTED_VALUE"""),13)</f>
        <v>13</v>
      </c>
      <c r="D2809" s="8">
        <f ca="1">IFERROR(__xludf.DUMMYFUNCTION("""COMPUTED_VALUE"""),1987)</f>
        <v>1987</v>
      </c>
      <c r="E2809" s="9">
        <f ca="1">IFERROR(__xludf.DUMMYFUNCTION("""COMPUTED_VALUE"""),31910)</f>
        <v>31910</v>
      </c>
      <c r="F2809" s="8" t="str">
        <f ca="1">IFERROR(__xludf.DUMMYFUNCTION("""COMPUTED_VALUE"""),"Oak Lawn Community High School")</f>
        <v>Oak Lawn Community High School</v>
      </c>
      <c r="G2809" s="8">
        <f ca="1">IFERROR(__xludf.DUMMYFUNCTION("""COMPUTED_VALUE"""),0)</f>
        <v>0</v>
      </c>
      <c r="H2809" s="8">
        <f ca="1">IFERROR(__xludf.DUMMYFUNCTION("""COMPUTED_VALUE"""),0)</f>
        <v>0</v>
      </c>
      <c r="I2809" s="8">
        <f ca="1">IFERROR(__xludf.DUMMYFUNCTION("""COMPUTED_VALUE"""),0)</f>
        <v>0</v>
      </c>
      <c r="J2809" s="8">
        <f ca="1">IFERROR(__xludf.DUMMYFUNCTION("""COMPUTED_VALUE"""),0)</f>
        <v>0</v>
      </c>
      <c r="K2809" s="10" t="str">
        <f ca="1">IFERROR(__xludf.DUMMYFUNCTION("""COMPUTED_VALUE"""),"https://www.newspapers.com/image/388845031/?terms=Dale%2BBruck")</f>
        <v>https://www.newspapers.com/image/388845031/?terms=Dale%2BBruck</v>
      </c>
      <c r="L2809" s="8"/>
      <c r="M2809" s="8"/>
      <c r="N2809" s="8">
        <f ca="1">IFERROR(__xludf.DUMMYFUNCTION("""COMPUTED_VALUE"""),2)</f>
        <v>2</v>
      </c>
      <c r="O2809" s="8" t="str">
        <f ca="1">IFERROR(__xludf.DUMMYFUNCTION("""COMPUTED_VALUE"""),"Spring")</f>
        <v>Spring</v>
      </c>
      <c r="P2809" s="8" t="str">
        <f ca="1">IFERROR(__xludf.DUMMYFUNCTION("""COMPUTED_VALUE"""),"Oak Lawn")</f>
        <v>Oak Lawn</v>
      </c>
      <c r="Q2809" s="8" t="str">
        <f ca="1">IFERROR(__xludf.DUMMYFUNCTION("""COMPUTED_VALUE"""),"IL")</f>
        <v>IL</v>
      </c>
      <c r="R2809" s="8" t="str">
        <f ca="1">IFERROR(__xludf.DUMMYFUNCTION("""COMPUTED_VALUE"""),"High")</f>
        <v>High</v>
      </c>
      <c r="S2809" s="8" t="str">
        <f ca="1">IFERROR(__xludf.DUMMYFUNCTION("""COMPUTED_VALUE"""),"Inside School Building")</f>
        <v>Inside School Building</v>
      </c>
      <c r="T2809" s="8" t="str">
        <f ca="1">IFERROR(__xludf.DUMMYFUNCTION("""COMPUTED_VALUE"""),"Inside School Building")</f>
        <v>Inside School Building</v>
      </c>
      <c r="U2809" s="8" t="str">
        <f ca="1">IFERROR(__xludf.DUMMYFUNCTION("""COMPUTED_VALUE"""),"Yes")</f>
        <v>Yes</v>
      </c>
      <c r="V2809" s="8" t="str">
        <f ca="1">IFERROR(__xludf.DUMMYFUNCTION("""COMPUTED_VALUE"""),"Morning Classes")</f>
        <v>Morning Classes</v>
      </c>
      <c r="W2809" s="8"/>
      <c r="X2809" s="8">
        <f ca="1">IFERROR(__xludf.DUMMYFUNCTION("""COMPUTED_VALUE"""),1)</f>
        <v>1</v>
      </c>
      <c r="Y2809" s="12" t="str">
        <f ca="1">IFERROR(__xludf.DUMMYFUNCTION("""COMPUTED_VALUE"""),"Suicide attempt after being turned down for prom")</f>
        <v>Suicide attempt after being turned down for prom</v>
      </c>
      <c r="Z2809" s="12" t="str">
        <f ca="1">IFERROR(__xludf.DUMMYFUNCTION("""COMPUTED_VALUE"""),"Shooter gave suicide note to girl he had dated briefly but refused to go to prom with him - Shooter also gave pistol to friend and told him of plan - friend secretly removed bullet to keep shooter from attempt but shooter later reloaded - after reading no"&amp;"te, girl went to get school counselor, but shooter shot himself in chest with father's .25 caliber")</f>
        <v>Shooter gave suicide note to girl he had dated briefly but refused to go to prom with him - Shooter also gave pistol to friend and told him of plan - friend secretly removed bullet to keep shooter from attempt but shooter later reloaded - after reading note, girl went to get school counselor, but shooter shot himself in chest with father's .25 caliber</v>
      </c>
      <c r="AA2809" s="8" t="str">
        <f ca="1">IFERROR(__xludf.DUMMYFUNCTION("""COMPUTED_VALUE"""),"Suicide/Attempted")</f>
        <v>Suicide/Attempted</v>
      </c>
      <c r="AB2809" s="8"/>
      <c r="AC2809" s="8"/>
      <c r="AD2809" s="8" t="str">
        <f ca="1">IFERROR(__xludf.DUMMYFUNCTION("""COMPUTED_VALUE"""),"Victims Targeted")</f>
        <v>Victims Targeted</v>
      </c>
      <c r="AE2809" s="8" t="str">
        <f ca="1">IFERROR(__xludf.DUMMYFUNCTION("""COMPUTED_VALUE"""),"No")</f>
        <v>No</v>
      </c>
      <c r="AF2809" s="8"/>
      <c r="AG2809" s="8" t="str">
        <f ca="1">IFERROR(__xludf.DUMMYFUNCTION("""COMPUTED_VALUE"""),"No")</f>
        <v>No</v>
      </c>
      <c r="AH2809" s="8" t="str">
        <f ca="1">IFERROR(__xludf.DUMMYFUNCTION("""COMPUTED_VALUE"""),"No")</f>
        <v>No</v>
      </c>
      <c r="AI2809" s="8" t="str">
        <f ca="1">IFERROR(__xludf.DUMMYFUNCTION("""COMPUTED_VALUE"""),"No")</f>
        <v>No</v>
      </c>
      <c r="AJ2809" s="8" t="str">
        <f ca="1">IFERROR(__xludf.DUMMYFUNCTION("""COMPUTED_VALUE"""),"No")</f>
        <v>No</v>
      </c>
      <c r="AK2809" s="8" t="str">
        <f ca="1">IFERROR(__xludf.DUMMYFUNCTION("""COMPUTED_VALUE"""),"No")</f>
        <v>No</v>
      </c>
      <c r="AL2809" s="8" t="str">
        <f ca="1">IFERROR(__xludf.DUMMYFUNCTION("""COMPUTED_VALUE"""),"No")</f>
        <v>No</v>
      </c>
      <c r="AM2809" s="8"/>
      <c r="AN2809" s="8"/>
      <c r="AO2809" s="8" t="str">
        <f ca="1">IFERROR(__xludf.DUMMYFUNCTION("""COMPUTED_VALUE"""),"No")</f>
        <v>No</v>
      </c>
      <c r="AP2809" s="8"/>
      <c r="AQ2809" s="8" t="str">
        <f ca="1">IFERROR(__xludf.DUMMYFUNCTION("""COMPUTED_VALUE"""),"Unknown")</f>
        <v>Unknown</v>
      </c>
      <c r="AR2809" s="8" t="str">
        <f ca="1">IFERROR(__xludf.DUMMYFUNCTION("""COMPUTED_VALUE"""),"NA")</f>
        <v>NA</v>
      </c>
      <c r="AS2809" s="8">
        <f ca="1">IFERROR(__xludf.DUMMYFUNCTION("""COMPUTED_VALUE"""),1)</f>
        <v>1</v>
      </c>
      <c r="AT2809" s="8"/>
      <c r="AU2809" s="8">
        <f ca="1">IFERROR(__xludf.DUMMYFUNCTION("""COMPUTED_VALUE"""),41.721452)</f>
        <v>41.721451999999999</v>
      </c>
      <c r="AV2809" s="8">
        <f ca="1">IFERROR(__xludf.DUMMYFUNCTION("""COMPUTED_VALUE"""),-87.768038)</f>
        <v>-87.768038000000004</v>
      </c>
      <c r="AW2809" s="8"/>
      <c r="AX2809" s="8">
        <f ca="1">IFERROR(__xludf.DUMMYFUNCTION("""COMPUTED_VALUE"""),60453)</f>
        <v>60453</v>
      </c>
    </row>
    <row r="2810" spans="1:50" ht="60" x14ac:dyDescent="0.2">
      <c r="A2810" s="8" t="str">
        <f ca="1">IFERROR(__xludf.DUMMYFUNCTION("""COMPUTED_VALUE"""),"19870506FLLET")</f>
        <v>19870506FLLET</v>
      </c>
      <c r="B2810" s="8">
        <f ca="1">IFERROR(__xludf.DUMMYFUNCTION("""COMPUTED_VALUE"""),5)</f>
        <v>5</v>
      </c>
      <c r="C2810" s="8">
        <f ca="1">IFERROR(__xludf.DUMMYFUNCTION("""COMPUTED_VALUE"""),6)</f>
        <v>6</v>
      </c>
      <c r="D2810" s="8">
        <f ca="1">IFERROR(__xludf.DUMMYFUNCTION("""COMPUTED_VALUE"""),1987)</f>
        <v>1987</v>
      </c>
      <c r="E2810" s="9">
        <f ca="1">IFERROR(__xludf.DUMMYFUNCTION("""COMPUTED_VALUE"""),31903)</f>
        <v>31903</v>
      </c>
      <c r="F2810" s="8" t="str">
        <f ca="1">IFERROR(__xludf.DUMMYFUNCTION("""COMPUTED_VALUE"""),"Leto High School")</f>
        <v>Leto High School</v>
      </c>
      <c r="G2810" s="8">
        <f ca="1">IFERROR(__xludf.DUMMYFUNCTION("""COMPUTED_VALUE"""),0)</f>
        <v>0</v>
      </c>
      <c r="H2810" s="8">
        <f ca="1">IFERROR(__xludf.DUMMYFUNCTION("""COMPUTED_VALUE"""),0)</f>
        <v>0</v>
      </c>
      <c r="I2810" s="8">
        <f ca="1">IFERROR(__xludf.DUMMYFUNCTION("""COMPUTED_VALUE"""),0)</f>
        <v>0</v>
      </c>
      <c r="J2810" s="8">
        <f ca="1">IFERROR(__xludf.DUMMYFUNCTION("""COMPUTED_VALUE"""),1)</f>
        <v>1</v>
      </c>
      <c r="K2810" s="8" t="str">
        <f ca="1">IFERROR(__xludf.DUMMYFUNCTION("""COMPUTED_VALUE"""),"https://www.newspapers.com/image/321400510/?terms=karl%2Btramer https://www.newspapers.com/image/174030895/?terms=student%2Bshoots")</f>
        <v>https://www.newspapers.com/image/321400510/?terms=karl%2Btramer https://www.newspapers.com/image/174030895/?terms=student%2Bshoots</v>
      </c>
      <c r="L2810" s="8"/>
      <c r="M2810" s="8"/>
      <c r="N2810" s="8">
        <f ca="1">IFERROR(__xludf.DUMMYFUNCTION("""COMPUTED_VALUE"""),2)</f>
        <v>2</v>
      </c>
      <c r="O2810" s="8" t="str">
        <f ca="1">IFERROR(__xludf.DUMMYFUNCTION("""COMPUTED_VALUE"""),"Spring")</f>
        <v>Spring</v>
      </c>
      <c r="P2810" s="8" t="str">
        <f ca="1">IFERROR(__xludf.DUMMYFUNCTION("""COMPUTED_VALUE"""),"Tampa")</f>
        <v>Tampa</v>
      </c>
      <c r="Q2810" s="8" t="str">
        <f ca="1">IFERROR(__xludf.DUMMYFUNCTION("""COMPUTED_VALUE"""),"FL")</f>
        <v>FL</v>
      </c>
      <c r="R2810" s="8" t="str">
        <f ca="1">IFERROR(__xludf.DUMMYFUNCTION("""COMPUTED_VALUE"""),"High")</f>
        <v>High</v>
      </c>
      <c r="S2810" s="8" t="str">
        <f ca="1">IFERROR(__xludf.DUMMYFUNCTION("""COMPUTED_VALUE"""),"Classroom")</f>
        <v>Classroom</v>
      </c>
      <c r="T2810" s="8" t="str">
        <f ca="1">IFERROR(__xludf.DUMMYFUNCTION("""COMPUTED_VALUE"""),"Inside School Building")</f>
        <v>Inside School Building</v>
      </c>
      <c r="U2810" s="8" t="str">
        <f ca="1">IFERROR(__xludf.DUMMYFUNCTION("""COMPUTED_VALUE"""),"Yes")</f>
        <v>Yes</v>
      </c>
      <c r="V2810" s="8" t="str">
        <f ca="1">IFERROR(__xludf.DUMMYFUNCTION("""COMPUTED_VALUE"""),"Morning Classes")</f>
        <v>Morning Classes</v>
      </c>
      <c r="W2810" s="11">
        <f ca="1">IFERROR(__xludf.DUMMYFUNCTION("""COMPUTED_VALUE"""),0.388888888888888)</f>
        <v>0.38888888888888801</v>
      </c>
      <c r="X2810" s="8">
        <f ca="1">IFERROR(__xludf.DUMMYFUNCTION("""COMPUTED_VALUE"""),1)</f>
        <v>1</v>
      </c>
      <c r="Y2810" s="12" t="str">
        <f ca="1">IFERROR(__xludf.DUMMYFUNCTION("""COMPUTED_VALUE"""),"Shooter shot self in English class for doing poorly in school")</f>
        <v>Shooter shot self in English class for doing poorly in school</v>
      </c>
      <c r="Z2810" s="12" t="str">
        <f ca="1">IFERROR(__xludf.DUMMYFUNCTION("""COMPUTED_VALUE"""),"Student who was doing poorly in English literature stood at the end of class and shot himself in the head with his father's .38 caliber handgun - no warnings;")</f>
        <v>Student who was doing poorly in English literature stood at the end of class and shot himself in the head with his father's .38 caliber handgun - no warnings;</v>
      </c>
      <c r="AA2810" s="8" t="str">
        <f ca="1">IFERROR(__xludf.DUMMYFUNCTION("""COMPUTED_VALUE"""),"Suicide/Attempted")</f>
        <v>Suicide/Attempted</v>
      </c>
      <c r="AB2810" s="8"/>
      <c r="AC2810" s="8"/>
      <c r="AD2810" s="8" t="str">
        <f ca="1">IFERROR(__xludf.DUMMYFUNCTION("""COMPUTED_VALUE"""),"Victims Targeted")</f>
        <v>Victims Targeted</v>
      </c>
      <c r="AE2810" s="8" t="str">
        <f ca="1">IFERROR(__xludf.DUMMYFUNCTION("""COMPUTED_VALUE"""),"No")</f>
        <v>No</v>
      </c>
      <c r="AF2810" s="8"/>
      <c r="AG2810" s="8" t="str">
        <f ca="1">IFERROR(__xludf.DUMMYFUNCTION("""COMPUTED_VALUE"""),"No")</f>
        <v>No</v>
      </c>
      <c r="AH2810" s="8" t="str">
        <f ca="1">IFERROR(__xludf.DUMMYFUNCTION("""COMPUTED_VALUE"""),"No")</f>
        <v>No</v>
      </c>
      <c r="AI2810" s="8" t="str">
        <f ca="1">IFERROR(__xludf.DUMMYFUNCTION("""COMPUTED_VALUE"""),"No")</f>
        <v>No</v>
      </c>
      <c r="AJ2810" s="8" t="str">
        <f ca="1">IFERROR(__xludf.DUMMYFUNCTION("""COMPUTED_VALUE"""),"No")</f>
        <v>No</v>
      </c>
      <c r="AK2810" s="8" t="str">
        <f ca="1">IFERROR(__xludf.DUMMYFUNCTION("""COMPUTED_VALUE"""),"No")</f>
        <v>No</v>
      </c>
      <c r="AL2810" s="8" t="str">
        <f ca="1">IFERROR(__xludf.DUMMYFUNCTION("""COMPUTED_VALUE"""),"No")</f>
        <v>No</v>
      </c>
      <c r="AM2810" s="8"/>
      <c r="AN2810" s="8"/>
      <c r="AO2810" s="8" t="str">
        <f ca="1">IFERROR(__xludf.DUMMYFUNCTION("""COMPUTED_VALUE"""),"No")</f>
        <v>No</v>
      </c>
      <c r="AP2810" s="8"/>
      <c r="AQ2810" s="8" t="str">
        <f ca="1">IFERROR(__xludf.DUMMYFUNCTION("""COMPUTED_VALUE"""),"Unknown")</f>
        <v>Unknown</v>
      </c>
      <c r="AR2810" s="8" t="str">
        <f ca="1">IFERROR(__xludf.DUMMYFUNCTION("""COMPUTED_VALUE"""),"NA")</f>
        <v>NA</v>
      </c>
      <c r="AS2810" s="8">
        <f ca="1">IFERROR(__xludf.DUMMYFUNCTION("""COMPUTED_VALUE"""),1)</f>
        <v>1</v>
      </c>
      <c r="AT2810" s="8"/>
      <c r="AU2810" s="8">
        <f ca="1">IFERROR(__xludf.DUMMYFUNCTION("""COMPUTED_VALUE"""),28.011723)</f>
        <v>28.011723</v>
      </c>
      <c r="AV2810" s="8">
        <f ca="1">IFERROR(__xludf.DUMMYFUNCTION("""COMPUTED_VALUE"""),-82.518823)</f>
        <v>-82.518822999999998</v>
      </c>
      <c r="AW2810" s="8"/>
      <c r="AX2810" s="8">
        <f ca="1">IFERROR(__xludf.DUMMYFUNCTION("""COMPUTED_VALUE"""),33614)</f>
        <v>33614</v>
      </c>
    </row>
    <row r="2811" spans="1:50" ht="30" x14ac:dyDescent="0.2">
      <c r="A2811" s="8" t="str">
        <f ca="1">IFERROR(__xludf.DUMMYFUNCTION("""COMPUTED_VALUE"""),"19870506ARMAJ")</f>
        <v>19870506ARMAJ</v>
      </c>
      <c r="B2811" s="8">
        <f ca="1">IFERROR(__xludf.DUMMYFUNCTION("""COMPUTED_VALUE"""),5)</f>
        <v>5</v>
      </c>
      <c r="C2811" s="8">
        <f ca="1">IFERROR(__xludf.DUMMYFUNCTION("""COMPUTED_VALUE"""),6)</f>
        <v>6</v>
      </c>
      <c r="D2811" s="8">
        <f ca="1">IFERROR(__xludf.DUMMYFUNCTION("""COMPUTED_VALUE"""),1987)</f>
        <v>1987</v>
      </c>
      <c r="E2811" s="9">
        <f ca="1">IFERROR(__xludf.DUMMYFUNCTION("""COMPUTED_VALUE"""),31903)</f>
        <v>31903</v>
      </c>
      <c r="F2811" s="8" t="str">
        <f ca="1">IFERROR(__xludf.DUMMYFUNCTION("""COMPUTED_VALUE"""),"MacAuthur Junior High")</f>
        <v>MacAuthur Junior High</v>
      </c>
      <c r="G2811" s="8">
        <f ca="1">IFERROR(__xludf.DUMMYFUNCTION("""COMPUTED_VALUE"""),0)</f>
        <v>0</v>
      </c>
      <c r="H2811" s="8">
        <f ca="1">IFERROR(__xludf.DUMMYFUNCTION("""COMPUTED_VALUE"""),0)</f>
        <v>0</v>
      </c>
      <c r="I2811" s="8">
        <f ca="1">IFERROR(__xludf.DUMMYFUNCTION("""COMPUTED_VALUE"""),0)</f>
        <v>0</v>
      </c>
      <c r="J2811" s="8">
        <f ca="1">IFERROR(__xludf.DUMMYFUNCTION("""COMPUTED_VALUE"""),0)</f>
        <v>0</v>
      </c>
      <c r="K2811" s="10" t="str">
        <f ca="1">IFERROR(__xludf.DUMMYFUNCTION("""COMPUTED_VALUE"""),"https://www.newspapers.com/image/174030895/?terms=student%2Bshoots")</f>
        <v>https://www.newspapers.com/image/174030895/?terms=student%2Bshoots</v>
      </c>
      <c r="L2811" s="8"/>
      <c r="M2811" s="8"/>
      <c r="N2811" s="8">
        <f ca="1">IFERROR(__xludf.DUMMYFUNCTION("""COMPUTED_VALUE"""),2)</f>
        <v>2</v>
      </c>
      <c r="O2811" s="8" t="str">
        <f ca="1">IFERROR(__xludf.DUMMYFUNCTION("""COMPUTED_VALUE"""),"Spring")</f>
        <v>Spring</v>
      </c>
      <c r="P2811" s="8" t="str">
        <f ca="1">IFERROR(__xludf.DUMMYFUNCTION("""COMPUTED_VALUE"""),"Jonesboro")</f>
        <v>Jonesboro</v>
      </c>
      <c r="Q2811" s="8" t="str">
        <f ca="1">IFERROR(__xludf.DUMMYFUNCTION("""COMPUTED_VALUE"""),"AR")</f>
        <v>AR</v>
      </c>
      <c r="R2811" s="8" t="str">
        <f ca="1">IFERROR(__xludf.DUMMYFUNCTION("""COMPUTED_VALUE"""),"Junior High")</f>
        <v>Junior High</v>
      </c>
      <c r="S2811" s="8" t="str">
        <f ca="1">IFERROR(__xludf.DUMMYFUNCTION("""COMPUTED_VALUE"""),"Classroom")</f>
        <v>Classroom</v>
      </c>
      <c r="T2811" s="8" t="str">
        <f ca="1">IFERROR(__xludf.DUMMYFUNCTION("""COMPUTED_VALUE"""),"Inside School Building")</f>
        <v>Inside School Building</v>
      </c>
      <c r="U2811" s="8" t="str">
        <f ca="1">IFERROR(__xludf.DUMMYFUNCTION("""COMPUTED_VALUE"""),"Yes")</f>
        <v>Yes</v>
      </c>
      <c r="V2811" s="8" t="str">
        <f ca="1">IFERROR(__xludf.DUMMYFUNCTION("""COMPUTED_VALUE"""),"Morning Classes")</f>
        <v>Morning Classes</v>
      </c>
      <c r="W2811" s="8"/>
      <c r="X2811" s="8">
        <f ca="1">IFERROR(__xludf.DUMMYFUNCTION("""COMPUTED_VALUE"""),1)</f>
        <v>1</v>
      </c>
      <c r="Y2811" s="12" t="str">
        <f ca="1">IFERROR(__xludf.DUMMYFUNCTION("""COMPUTED_VALUE"""),"Student shot self in front of class.")</f>
        <v>Student shot self in front of class.</v>
      </c>
      <c r="Z2811" s="12" t="str">
        <f ca="1">IFERROR(__xludf.DUMMYFUNCTION("""COMPUTED_VALUE"""),"Shooter pointed pistol at classmate and said ""this should be for you,"" he then turned pistol on himself")</f>
        <v>Shooter pointed pistol at classmate and said "this should be for you," he then turned pistol on himself</v>
      </c>
      <c r="AA2811" s="8" t="str">
        <f ca="1">IFERROR(__xludf.DUMMYFUNCTION("""COMPUTED_VALUE"""),"Suicide/Attempted")</f>
        <v>Suicide/Attempted</v>
      </c>
      <c r="AB2811" s="8"/>
      <c r="AC2811" s="8"/>
      <c r="AD2811" s="8" t="str">
        <f ca="1">IFERROR(__xludf.DUMMYFUNCTION("""COMPUTED_VALUE"""),"Victims Targeted")</f>
        <v>Victims Targeted</v>
      </c>
      <c r="AE2811" s="8" t="str">
        <f ca="1">IFERROR(__xludf.DUMMYFUNCTION("""COMPUTED_VALUE"""),"No")</f>
        <v>No</v>
      </c>
      <c r="AF2811" s="8"/>
      <c r="AG2811" s="8" t="str">
        <f ca="1">IFERROR(__xludf.DUMMYFUNCTION("""COMPUTED_VALUE"""),"No")</f>
        <v>No</v>
      </c>
      <c r="AH2811" s="8" t="str">
        <f ca="1">IFERROR(__xludf.DUMMYFUNCTION("""COMPUTED_VALUE"""),"No")</f>
        <v>No</v>
      </c>
      <c r="AI2811" s="8" t="str">
        <f ca="1">IFERROR(__xludf.DUMMYFUNCTION("""COMPUTED_VALUE"""),"No")</f>
        <v>No</v>
      </c>
      <c r="AJ2811" s="8" t="str">
        <f ca="1">IFERROR(__xludf.DUMMYFUNCTION("""COMPUTED_VALUE"""),"No")</f>
        <v>No</v>
      </c>
      <c r="AK2811" s="8" t="str">
        <f ca="1">IFERROR(__xludf.DUMMYFUNCTION("""COMPUTED_VALUE"""),"No")</f>
        <v>No</v>
      </c>
      <c r="AL2811" s="8" t="str">
        <f ca="1">IFERROR(__xludf.DUMMYFUNCTION("""COMPUTED_VALUE"""),"No")</f>
        <v>No</v>
      </c>
      <c r="AM2811" s="8"/>
      <c r="AN2811" s="8"/>
      <c r="AO2811" s="8" t="str">
        <f ca="1">IFERROR(__xludf.DUMMYFUNCTION("""COMPUTED_VALUE"""),"No")</f>
        <v>No</v>
      </c>
      <c r="AP2811" s="8"/>
      <c r="AQ2811" s="8" t="str">
        <f ca="1">IFERROR(__xludf.DUMMYFUNCTION("""COMPUTED_VALUE"""),"Unknown")</f>
        <v>Unknown</v>
      </c>
      <c r="AR2811" s="8" t="str">
        <f ca="1">IFERROR(__xludf.DUMMYFUNCTION("""COMPUTED_VALUE"""),"NA")</f>
        <v>NA</v>
      </c>
      <c r="AS2811" s="8">
        <f ca="1">IFERROR(__xludf.DUMMYFUNCTION("""COMPUTED_VALUE"""),1)</f>
        <v>1</v>
      </c>
      <c r="AT2811" s="8"/>
      <c r="AU2811" s="8">
        <f ca="1">IFERROR(__xludf.DUMMYFUNCTION("""COMPUTED_VALUE"""),35.824163)</f>
        <v>35.824162999999999</v>
      </c>
      <c r="AV2811" s="8">
        <f ca="1">IFERROR(__xludf.DUMMYFUNCTION("""COMPUTED_VALUE"""),-90.690121)</f>
        <v>-90.690121000000005</v>
      </c>
      <c r="AW2811" s="8"/>
      <c r="AX2811" s="8">
        <f ca="1">IFERROR(__xludf.DUMMYFUNCTION("""COMPUTED_VALUE"""),72401)</f>
        <v>72401</v>
      </c>
    </row>
    <row r="2812" spans="1:50" ht="75" x14ac:dyDescent="0.2">
      <c r="A2812" s="8" t="str">
        <f ca="1">IFERROR(__xludf.DUMMYFUNCTION("""COMPUTED_VALUE"""),"19870503INPII")</f>
        <v>19870503INPII</v>
      </c>
      <c r="B2812" s="8">
        <f ca="1">IFERROR(__xludf.DUMMYFUNCTION("""COMPUTED_VALUE"""),5)</f>
        <v>5</v>
      </c>
      <c r="C2812" s="8">
        <f ca="1">IFERROR(__xludf.DUMMYFUNCTION("""COMPUTED_VALUE"""),3)</f>
        <v>3</v>
      </c>
      <c r="D2812" s="8">
        <f ca="1">IFERROR(__xludf.DUMMYFUNCTION("""COMPUTED_VALUE"""),1987)</f>
        <v>1987</v>
      </c>
      <c r="E2812" s="9">
        <f ca="1">IFERROR(__xludf.DUMMYFUNCTION("""COMPUTED_VALUE"""),31900)</f>
        <v>31900</v>
      </c>
      <c r="F2812" s="8" t="str">
        <f ca="1">IFERROR(__xludf.DUMMYFUNCTION("""COMPUTED_VALUE"""),"Pike Township High School")</f>
        <v>Pike Township High School</v>
      </c>
      <c r="G2812" s="8">
        <f ca="1">IFERROR(__xludf.DUMMYFUNCTION("""COMPUTED_VALUE"""),0)</f>
        <v>0</v>
      </c>
      <c r="H2812" s="8">
        <f ca="1">IFERROR(__xludf.DUMMYFUNCTION("""COMPUTED_VALUE"""),1)</f>
        <v>1</v>
      </c>
      <c r="I2812" s="8">
        <f ca="1">IFERROR(__xludf.DUMMYFUNCTION("""COMPUTED_VALUE"""),1)</f>
        <v>1</v>
      </c>
      <c r="J2812" s="8">
        <f ca="1">IFERROR(__xludf.DUMMYFUNCTION("""COMPUTED_VALUE"""),0)</f>
        <v>0</v>
      </c>
      <c r="K2812" s="8" t="str">
        <f ca="1">IFERROR(__xludf.DUMMYFUNCTION("""COMPUTED_VALUE"""),"https://www.newspapers.com/image/106196148/?terms=TEACHER%2BSHOT; https://www.newspapers.com/image/155243487/?terms=TEACHER%2BSHOT")</f>
        <v>https://www.newspapers.com/image/106196148/?terms=TEACHER%2BSHOT; https://www.newspapers.com/image/155243487/?terms=TEACHER%2BSHOT</v>
      </c>
      <c r="L2812" s="8"/>
      <c r="M2812" s="8"/>
      <c r="N2812" s="8">
        <f ca="1">IFERROR(__xludf.DUMMYFUNCTION("""COMPUTED_VALUE"""),3)</f>
        <v>3</v>
      </c>
      <c r="O2812" s="8" t="str">
        <f ca="1">IFERROR(__xludf.DUMMYFUNCTION("""COMPUTED_VALUE"""),"Spring")</f>
        <v>Spring</v>
      </c>
      <c r="P2812" s="8" t="str">
        <f ca="1">IFERROR(__xludf.DUMMYFUNCTION("""COMPUTED_VALUE"""),"Indianapolis")</f>
        <v>Indianapolis</v>
      </c>
      <c r="Q2812" s="8" t="str">
        <f ca="1">IFERROR(__xludf.DUMMYFUNCTION("""COMPUTED_VALUE"""),"IN")</f>
        <v>IN</v>
      </c>
      <c r="R2812" s="8" t="str">
        <f ca="1">IFERROR(__xludf.DUMMYFUNCTION("""COMPUTED_VALUE"""),"High")</f>
        <v>High</v>
      </c>
      <c r="S2812" s="8" t="str">
        <f ca="1">IFERROR(__xludf.DUMMYFUNCTION("""COMPUTED_VALUE"""),"Hallway")</f>
        <v>Hallway</v>
      </c>
      <c r="T2812" s="8" t="str">
        <f ca="1">IFERROR(__xludf.DUMMYFUNCTION("""COMPUTED_VALUE"""),"Inside School Building")</f>
        <v>Inside School Building</v>
      </c>
      <c r="U2812" s="8" t="str">
        <f ca="1">IFERROR(__xludf.DUMMYFUNCTION("""COMPUTED_VALUE"""),"No")</f>
        <v>No</v>
      </c>
      <c r="V2812" s="8" t="str">
        <f ca="1">IFERROR(__xludf.DUMMYFUNCTION("""COMPUTED_VALUE"""),"Not a School Day")</f>
        <v>Not a School Day</v>
      </c>
      <c r="W2812" s="11">
        <f ca="1">IFERROR(__xludf.DUMMYFUNCTION("""COMPUTED_VALUE"""),0.479166666666666)</f>
        <v>0.47916666666666602</v>
      </c>
      <c r="X2812" s="8">
        <f ca="1">IFERROR(__xludf.DUMMYFUNCTION("""COMPUTED_VALUE"""),1)</f>
        <v>1</v>
      </c>
      <c r="Y2812" s="12" t="str">
        <f ca="1">IFERROR(__xludf.DUMMYFUNCTION("""COMPUTED_VALUE"""),"Shooter shot music teacher during foiled burglary at school over weekend")</f>
        <v>Shooter shot music teacher during foiled burglary at school over weekend</v>
      </c>
      <c r="Z2812" s="12" t="str">
        <f ca="1">IFERROR(__xludf.DUMMYFUNCTION("""COMPUTED_VALUE"""),"Music teacher surprises burglar inside school. Burglar shoots teacher in head and beats him several times with hammer before escaping.")</f>
        <v>Music teacher surprises burglar inside school. Burglar shoots teacher in head and beats him several times with hammer before escaping.</v>
      </c>
      <c r="AA2812" s="8" t="str">
        <f ca="1">IFERROR(__xludf.DUMMYFUNCTION("""COMPUTED_VALUE"""),"Illegal Activity")</f>
        <v>Illegal Activity</v>
      </c>
      <c r="AB2812" s="8"/>
      <c r="AC2812" s="8"/>
      <c r="AD2812" s="8" t="str">
        <f ca="1">IFERROR(__xludf.DUMMYFUNCTION("""COMPUTED_VALUE"""),"Random Shooting")</f>
        <v>Random Shooting</v>
      </c>
      <c r="AE2812" s="8" t="str">
        <f ca="1">IFERROR(__xludf.DUMMYFUNCTION("""COMPUTED_VALUE"""),"No")</f>
        <v>No</v>
      </c>
      <c r="AF2812" s="8"/>
      <c r="AG2812" s="8" t="str">
        <f ca="1">IFERROR(__xludf.DUMMYFUNCTION("""COMPUTED_VALUE"""),"No")</f>
        <v>No</v>
      </c>
      <c r="AH2812" s="8" t="str">
        <f ca="1">IFERROR(__xludf.DUMMYFUNCTION("""COMPUTED_VALUE"""),"No")</f>
        <v>No</v>
      </c>
      <c r="AI2812" s="8" t="str">
        <f ca="1">IFERROR(__xludf.DUMMYFUNCTION("""COMPUTED_VALUE"""),"No")</f>
        <v>No</v>
      </c>
      <c r="AJ2812" s="8" t="str">
        <f ca="1">IFERROR(__xludf.DUMMYFUNCTION("""COMPUTED_VALUE"""),"No")</f>
        <v>No</v>
      </c>
      <c r="AK2812" s="8" t="str">
        <f ca="1">IFERROR(__xludf.DUMMYFUNCTION("""COMPUTED_VALUE"""),"No")</f>
        <v>No</v>
      </c>
      <c r="AL2812" s="8" t="str">
        <f ca="1">IFERROR(__xludf.DUMMYFUNCTION("""COMPUTED_VALUE"""),"No")</f>
        <v>No</v>
      </c>
      <c r="AM2812" s="8"/>
      <c r="AN2812" s="8"/>
      <c r="AO2812" s="8" t="str">
        <f ca="1">IFERROR(__xludf.DUMMYFUNCTION("""COMPUTED_VALUE"""),"No")</f>
        <v>No</v>
      </c>
      <c r="AP2812" s="8"/>
      <c r="AQ2812" s="8" t="str">
        <f ca="1">IFERROR(__xludf.DUMMYFUNCTION("""COMPUTED_VALUE"""),"Unknown")</f>
        <v>Unknown</v>
      </c>
      <c r="AR2812" s="8" t="str">
        <f ca="1">IFERROR(__xludf.DUMMYFUNCTION("""COMPUTED_VALUE"""),"NA")</f>
        <v>NA</v>
      </c>
      <c r="AS2812" s="8">
        <f ca="1">IFERROR(__xludf.DUMMYFUNCTION("""COMPUTED_VALUE"""),1)</f>
        <v>1</v>
      </c>
      <c r="AT2812" s="8"/>
      <c r="AU2812" s="8">
        <f ca="1">IFERROR(__xludf.DUMMYFUNCTION("""COMPUTED_VALUE"""),39.876143)</f>
        <v>39.876142999999999</v>
      </c>
      <c r="AV2812" s="8">
        <f ca="1">IFERROR(__xludf.DUMMYFUNCTION("""COMPUTED_VALUE"""),-86.254831)</f>
        <v>-86.254830999999996</v>
      </c>
      <c r="AW2812" s="8"/>
      <c r="AX2812" s="8">
        <f ca="1">IFERROR(__xludf.DUMMYFUNCTION("""COMPUTED_VALUE"""),46268)</f>
        <v>46268</v>
      </c>
    </row>
    <row r="2813" spans="1:50" ht="45" x14ac:dyDescent="0.2">
      <c r="A2813" s="8" t="str">
        <f ca="1">IFERROR(__xludf.DUMMYFUNCTION("""COMPUTED_VALUE"""),"19870430ORGRP")</f>
        <v>19870430ORGRP</v>
      </c>
      <c r="B2813" s="8">
        <f ca="1">IFERROR(__xludf.DUMMYFUNCTION("""COMPUTED_VALUE"""),4)</f>
        <v>4</v>
      </c>
      <c r="C2813" s="8">
        <f ca="1">IFERROR(__xludf.DUMMYFUNCTION("""COMPUTED_VALUE"""),30)</f>
        <v>30</v>
      </c>
      <c r="D2813" s="8">
        <f ca="1">IFERROR(__xludf.DUMMYFUNCTION("""COMPUTED_VALUE"""),1987)</f>
        <v>1987</v>
      </c>
      <c r="E2813" s="9">
        <f ca="1">IFERROR(__xludf.DUMMYFUNCTION("""COMPUTED_VALUE"""),31897)</f>
        <v>31897</v>
      </c>
      <c r="F2813" s="8" t="str">
        <f ca="1">IFERROR(__xludf.DUMMYFUNCTION("""COMPUTED_VALUE"""),"Grant High School")</f>
        <v>Grant High School</v>
      </c>
      <c r="G2813" s="8">
        <f ca="1">IFERROR(__xludf.DUMMYFUNCTION("""COMPUTED_VALUE"""),1)</f>
        <v>1</v>
      </c>
      <c r="H2813" s="8">
        <f ca="1">IFERROR(__xludf.DUMMYFUNCTION("""COMPUTED_VALUE"""),0)</f>
        <v>0</v>
      </c>
      <c r="I2813" s="8">
        <f ca="1">IFERROR(__xludf.DUMMYFUNCTION("""COMPUTED_VALUE"""),1)</f>
        <v>1</v>
      </c>
      <c r="J2813" s="8">
        <f ca="1">IFERROR(__xludf.DUMMYFUNCTION("""COMPUTED_VALUE"""),0)</f>
        <v>0</v>
      </c>
      <c r="K2813" s="8" t="str">
        <f ca="1">IFERROR(__xludf.DUMMYFUNCTION("""COMPUTED_VALUE"""),"https://www.newspapers.com/image/200761270/?terms=GILBERT%2BMYLES; https://www.newspapers.com/image/199689798/?terms=GILBERT%2BMYLES; https://www.newspapers.com/image/199695087/?terms=JERRY%2BSANDLES")</f>
        <v>https://www.newspapers.com/image/200761270/?terms=GILBERT%2BMYLES; https://www.newspapers.com/image/199689798/?terms=GILBERT%2BMYLES; https://www.newspapers.com/image/199695087/?terms=JERRY%2BSANDLES</v>
      </c>
      <c r="L2813" s="8"/>
      <c r="M2813" s="8"/>
      <c r="N2813" s="8">
        <f ca="1">IFERROR(__xludf.DUMMYFUNCTION("""COMPUTED_VALUE"""),3)</f>
        <v>3</v>
      </c>
      <c r="O2813" s="8" t="str">
        <f ca="1">IFERROR(__xludf.DUMMYFUNCTION("""COMPUTED_VALUE"""),"Spring")</f>
        <v>Spring</v>
      </c>
      <c r="P2813" s="8" t="str">
        <f ca="1">IFERROR(__xludf.DUMMYFUNCTION("""COMPUTED_VALUE"""),"Portland")</f>
        <v>Portland</v>
      </c>
      <c r="Q2813" s="8" t="str">
        <f ca="1">IFERROR(__xludf.DUMMYFUNCTION("""COMPUTED_VALUE"""),"OR")</f>
        <v>OR</v>
      </c>
      <c r="R2813" s="8" t="str">
        <f ca="1">IFERROR(__xludf.DUMMYFUNCTION("""COMPUTED_VALUE"""),"High")</f>
        <v>High</v>
      </c>
      <c r="S2813" s="8" t="str">
        <f ca="1">IFERROR(__xludf.DUMMYFUNCTION("""COMPUTED_VALUE"""),"Outside on School Property")</f>
        <v>Outside on School Property</v>
      </c>
      <c r="T2813" s="8" t="str">
        <f ca="1">IFERROR(__xludf.DUMMYFUNCTION("""COMPUTED_VALUE"""),"Outside on School Property")</f>
        <v>Outside on School Property</v>
      </c>
      <c r="U2813" s="8" t="str">
        <f ca="1">IFERROR(__xludf.DUMMYFUNCTION("""COMPUTED_VALUE"""),"Yes")</f>
        <v>Yes</v>
      </c>
      <c r="V2813" s="8" t="str">
        <f ca="1">IFERROR(__xludf.DUMMYFUNCTION("""COMPUTED_VALUE"""),"Afternoon Classes")</f>
        <v>Afternoon Classes</v>
      </c>
      <c r="W2813" s="11">
        <f ca="1">IFERROR(__xludf.DUMMYFUNCTION("""COMPUTED_VALUE"""),0.59375)</f>
        <v>0.59375</v>
      </c>
      <c r="X2813" s="8">
        <f ca="1">IFERROR(__xludf.DUMMYFUNCTION("""COMPUTED_VALUE"""),1)</f>
        <v>1</v>
      </c>
      <c r="Y2813" s="12" t="str">
        <f ca="1">IFERROR(__xludf.DUMMYFUNCTION("""COMPUTED_VALUE"""),"Shooter shot victim during fight")</f>
        <v>Shooter shot victim during fight</v>
      </c>
      <c r="Z2813" s="12" t="str">
        <f ca="1">IFERROR(__xludf.DUMMYFUNCTION("""COMPUTED_VALUE"""),"Shooter was squared off in a fight with victim. In court, shooter stated he shot victim because he thought victim was reaching for gun")</f>
        <v>Shooter was squared off in a fight with victim. In court, shooter stated he shot victim because he thought victim was reaching for gun</v>
      </c>
      <c r="AA2813" s="8" t="str">
        <f ca="1">IFERROR(__xludf.DUMMYFUNCTION("""COMPUTED_VALUE"""),"Escalation of Dispute")</f>
        <v>Escalation of Dispute</v>
      </c>
      <c r="AB2813" s="8"/>
      <c r="AC2813" s="8"/>
      <c r="AD2813" s="8" t="str">
        <f ca="1">IFERROR(__xludf.DUMMYFUNCTION("""COMPUTED_VALUE"""),"Victims Targeted")</f>
        <v>Victims Targeted</v>
      </c>
      <c r="AE2813" s="8" t="str">
        <f ca="1">IFERROR(__xludf.DUMMYFUNCTION("""COMPUTED_VALUE"""),"No")</f>
        <v>No</v>
      </c>
      <c r="AF2813" s="8"/>
      <c r="AG2813" s="8" t="str">
        <f ca="1">IFERROR(__xludf.DUMMYFUNCTION("""COMPUTED_VALUE"""),"No")</f>
        <v>No</v>
      </c>
      <c r="AH2813" s="8" t="str">
        <f ca="1">IFERROR(__xludf.DUMMYFUNCTION("""COMPUTED_VALUE"""),"No")</f>
        <v>No</v>
      </c>
      <c r="AI2813" s="8" t="str">
        <f ca="1">IFERROR(__xludf.DUMMYFUNCTION("""COMPUTED_VALUE"""),"No")</f>
        <v>No</v>
      </c>
      <c r="AJ2813" s="8" t="str">
        <f ca="1">IFERROR(__xludf.DUMMYFUNCTION("""COMPUTED_VALUE"""),"No")</f>
        <v>No</v>
      </c>
      <c r="AK2813" s="8" t="str">
        <f ca="1">IFERROR(__xludf.DUMMYFUNCTION("""COMPUTED_VALUE"""),"No")</f>
        <v>No</v>
      </c>
      <c r="AL2813" s="8" t="str">
        <f ca="1">IFERROR(__xludf.DUMMYFUNCTION("""COMPUTED_VALUE"""),"No")</f>
        <v>No</v>
      </c>
      <c r="AM2813" s="8"/>
      <c r="AN2813" s="8"/>
      <c r="AO2813" s="8" t="str">
        <f ca="1">IFERROR(__xludf.DUMMYFUNCTION("""COMPUTED_VALUE"""),"No")</f>
        <v>No</v>
      </c>
      <c r="AP2813" s="8"/>
      <c r="AQ2813" s="8" t="str">
        <f ca="1">IFERROR(__xludf.DUMMYFUNCTION("""COMPUTED_VALUE"""),"Unknown")</f>
        <v>Unknown</v>
      </c>
      <c r="AR2813" s="8" t="str">
        <f ca="1">IFERROR(__xludf.DUMMYFUNCTION("""COMPUTED_VALUE"""),"NA")</f>
        <v>NA</v>
      </c>
      <c r="AS2813" s="8">
        <f ca="1">IFERROR(__xludf.DUMMYFUNCTION("""COMPUTED_VALUE"""),3)</f>
        <v>3</v>
      </c>
      <c r="AT2813" s="8"/>
      <c r="AU2813" s="8">
        <f ca="1">IFERROR(__xludf.DUMMYFUNCTION("""COMPUTED_VALUE"""),45.538707)</f>
        <v>45.538707000000002</v>
      </c>
      <c r="AV2813" s="8">
        <f ca="1">IFERROR(__xludf.DUMMYFUNCTION("""COMPUTED_VALUE"""),-122.626751)</f>
        <v>-122.626751</v>
      </c>
      <c r="AW2813" s="8"/>
      <c r="AX2813" s="8">
        <f ca="1">IFERROR(__xludf.DUMMYFUNCTION("""COMPUTED_VALUE"""),97212)</f>
        <v>97212</v>
      </c>
    </row>
    <row r="2814" spans="1:50" ht="75" x14ac:dyDescent="0.2">
      <c r="A2814" s="8" t="str">
        <f ca="1">IFERROR(__xludf.DUMMYFUNCTION("""COMPUTED_VALUE"""),"19870416MIMUD")</f>
        <v>19870416MIMUD</v>
      </c>
      <c r="B2814" s="8">
        <f ca="1">IFERROR(__xludf.DUMMYFUNCTION("""COMPUTED_VALUE"""),4)</f>
        <v>4</v>
      </c>
      <c r="C2814" s="8">
        <f ca="1">IFERROR(__xludf.DUMMYFUNCTION("""COMPUTED_VALUE"""),16)</f>
        <v>16</v>
      </c>
      <c r="D2814" s="8">
        <f ca="1">IFERROR(__xludf.DUMMYFUNCTION("""COMPUTED_VALUE"""),1987)</f>
        <v>1987</v>
      </c>
      <c r="E2814" s="9">
        <f ca="1">IFERROR(__xludf.DUMMYFUNCTION("""COMPUTED_VALUE"""),31883)</f>
        <v>31883</v>
      </c>
      <c r="F2814" s="8" t="str">
        <f ca="1">IFERROR(__xludf.DUMMYFUNCTION("""COMPUTED_VALUE"""),"Murray-Wright High School")</f>
        <v>Murray-Wright High School</v>
      </c>
      <c r="G2814" s="8">
        <f ca="1">IFERROR(__xludf.DUMMYFUNCTION("""COMPUTED_VALUE"""),1)</f>
        <v>1</v>
      </c>
      <c r="H2814" s="8">
        <f ca="1">IFERROR(__xludf.DUMMYFUNCTION("""COMPUTED_VALUE"""),1)</f>
        <v>1</v>
      </c>
      <c r="I2814" s="8">
        <f ca="1">IFERROR(__xludf.DUMMYFUNCTION("""COMPUTED_VALUE"""),2)</f>
        <v>2</v>
      </c>
      <c r="J2814" s="8">
        <f ca="1">IFERROR(__xludf.DUMMYFUNCTION("""COMPUTED_VALUE"""),0)</f>
        <v>0</v>
      </c>
      <c r="K2814" s="10" t="str">
        <f ca="1">IFERROR(__xludf.DUMMYFUNCTION("""COMPUTED_VALUE"""),"https://www.upi.com/Archives/1987/04/16/Gunshots-fired-in-a-high-school-gymnasium-killed-a/4536545544000/")</f>
        <v>https://www.upi.com/Archives/1987/04/16/Gunshots-fired-in-a-high-school-gymnasium-killed-a/4536545544000/</v>
      </c>
      <c r="L2814" s="8"/>
      <c r="M2814" s="8"/>
      <c r="N2814" s="8">
        <f ca="1">IFERROR(__xludf.DUMMYFUNCTION("""COMPUTED_VALUE"""),2)</f>
        <v>2</v>
      </c>
      <c r="O2814" s="8" t="str">
        <f ca="1">IFERROR(__xludf.DUMMYFUNCTION("""COMPUTED_VALUE"""),"Spring")</f>
        <v>Spring</v>
      </c>
      <c r="P2814" s="8" t="str">
        <f ca="1">IFERROR(__xludf.DUMMYFUNCTION("""COMPUTED_VALUE"""),"Detroit")</f>
        <v>Detroit</v>
      </c>
      <c r="Q2814" s="8" t="str">
        <f ca="1">IFERROR(__xludf.DUMMYFUNCTION("""COMPUTED_VALUE"""),"MI")</f>
        <v>MI</v>
      </c>
      <c r="R2814" s="8" t="str">
        <f ca="1">IFERROR(__xludf.DUMMYFUNCTION("""COMPUTED_VALUE"""),"High")</f>
        <v>High</v>
      </c>
      <c r="S2814" s="8" t="str">
        <f ca="1">IFERROR(__xludf.DUMMYFUNCTION("""COMPUTED_VALUE"""),"Inside School Building")</f>
        <v>Inside School Building</v>
      </c>
      <c r="T2814" s="8" t="str">
        <f ca="1">IFERROR(__xludf.DUMMYFUNCTION("""COMPUTED_VALUE"""),"Inside School Building")</f>
        <v>Inside School Building</v>
      </c>
      <c r="U2814" s="8" t="str">
        <f ca="1">IFERROR(__xludf.DUMMYFUNCTION("""COMPUTED_VALUE"""),"Yes")</f>
        <v>Yes</v>
      </c>
      <c r="V2814" s="8" t="str">
        <f ca="1">IFERROR(__xludf.DUMMYFUNCTION("""COMPUTED_VALUE"""),"Lunch")</f>
        <v>Lunch</v>
      </c>
      <c r="W2814" s="11">
        <f ca="1">IFERROR(__xludf.DUMMYFUNCTION("""COMPUTED_VALUE"""),0.5)</f>
        <v>0.5</v>
      </c>
      <c r="X2814" s="8">
        <f ca="1">IFERROR(__xludf.DUMMYFUNCTION("""COMPUTED_VALUE"""),1)</f>
        <v>1</v>
      </c>
      <c r="Y2814" s="12" t="str">
        <f ca="1">IFERROR(__xludf.DUMMYFUNCTION("""COMPUTED_VALUE"""),"Shooter had conflict with two victims a day prior - took gun to school and shot them both")</f>
        <v>Shooter had conflict with two victims a day prior - took gun to school and shot them both</v>
      </c>
      <c r="Z2814" s="12" t="str">
        <f ca="1">IFERROR(__xludf.DUMMYFUNCTION("""COMPUTED_VALUE"""),"The shooter (14YOM) had a fight with the two victims the day prior. The shooter targeted each of the victims during the school day. A female student was hit in the crossfire. This was violent period of time in the Detroit area, 91 students (age 16 or unde"&amp;"r) were shot in the city during 1987.")</f>
        <v>The shooter (14YOM) had a fight with the two victims the day prior. The shooter targeted each of the victims during the school day. A female student was hit in the crossfire. This was violent period of time in the Detroit area, 91 students (age 16 or under) were shot in the city during 1987.</v>
      </c>
      <c r="AA2814" s="8" t="str">
        <f ca="1">IFERROR(__xludf.DUMMYFUNCTION("""COMPUTED_VALUE"""),"Escalation of Dispute")</f>
        <v>Escalation of Dispute</v>
      </c>
      <c r="AB2814" s="8"/>
      <c r="AC2814" s="8"/>
      <c r="AD2814" s="8" t="str">
        <f ca="1">IFERROR(__xludf.DUMMYFUNCTION("""COMPUTED_VALUE"""),"Both")</f>
        <v>Both</v>
      </c>
      <c r="AE2814" s="8" t="str">
        <f ca="1">IFERROR(__xludf.DUMMYFUNCTION("""COMPUTED_VALUE"""),"No")</f>
        <v>No</v>
      </c>
      <c r="AF2814" s="8"/>
      <c r="AG2814" s="8" t="str">
        <f ca="1">IFERROR(__xludf.DUMMYFUNCTION("""COMPUTED_VALUE"""),"No")</f>
        <v>No</v>
      </c>
      <c r="AH2814" s="8" t="str">
        <f ca="1">IFERROR(__xludf.DUMMYFUNCTION("""COMPUTED_VALUE"""),"No")</f>
        <v>No</v>
      </c>
      <c r="AI2814" s="8" t="str">
        <f ca="1">IFERROR(__xludf.DUMMYFUNCTION("""COMPUTED_VALUE"""),"No")</f>
        <v>No</v>
      </c>
      <c r="AJ2814" s="8"/>
      <c r="AK2814" s="8" t="str">
        <f ca="1">IFERROR(__xludf.DUMMYFUNCTION("""COMPUTED_VALUE"""),"No")</f>
        <v>No</v>
      </c>
      <c r="AL2814" s="8" t="str">
        <f ca="1">IFERROR(__xludf.DUMMYFUNCTION("""COMPUTED_VALUE"""),"No")</f>
        <v>No</v>
      </c>
      <c r="AM2814" s="8"/>
      <c r="AN2814" s="8"/>
      <c r="AO2814" s="8" t="str">
        <f ca="1">IFERROR(__xludf.DUMMYFUNCTION("""COMPUTED_VALUE"""),"No")</f>
        <v>No</v>
      </c>
      <c r="AP2814" s="8" t="str">
        <f ca="1">IFERROR(__xludf.DUMMYFUNCTION("""COMPUTED_VALUE"""),"No")</f>
        <v>No</v>
      </c>
      <c r="AQ2814" s="8" t="str">
        <f ca="1">IFERROR(__xludf.DUMMYFUNCTION("""COMPUTED_VALUE"""),"None")</f>
        <v>None</v>
      </c>
      <c r="AR2814" s="8" t="str">
        <f ca="1">IFERROR(__xludf.DUMMYFUNCTION("""COMPUTED_VALUE"""),"NA")</f>
        <v>NA</v>
      </c>
      <c r="AS2814" s="8" t="str">
        <f ca="1">IFERROR(__xludf.DUMMYFUNCTION("""COMPUTED_VALUE"""),"&lt;10")</f>
        <v>&lt;10</v>
      </c>
      <c r="AT2814" s="8"/>
      <c r="AU2814" s="8">
        <f ca="1">IFERROR(__xludf.DUMMYFUNCTION("""COMPUTED_VALUE"""),42.349198)</f>
        <v>42.349198000000001</v>
      </c>
      <c r="AV2814" s="8">
        <f ca="1">IFERROR(__xludf.DUMMYFUNCTION("""COMPUTED_VALUE"""),-83.084492)</f>
        <v>-83.084491999999997</v>
      </c>
      <c r="AW2814" s="8"/>
      <c r="AX2814" s="8">
        <f ca="1">IFERROR(__xludf.DUMMYFUNCTION("""COMPUTED_VALUE"""),48208)</f>
        <v>48208</v>
      </c>
    </row>
    <row r="2815" spans="1:50" ht="60" x14ac:dyDescent="0.2">
      <c r="A2815" s="8" t="str">
        <f ca="1">IFERROR(__xludf.DUMMYFUNCTION("""COMPUTED_VALUE"""),"19870330CAPAS")</f>
        <v>19870330CAPAS</v>
      </c>
      <c r="B2815" s="8">
        <f ca="1">IFERROR(__xludf.DUMMYFUNCTION("""COMPUTED_VALUE"""),3)</f>
        <v>3</v>
      </c>
      <c r="C2815" s="8">
        <f ca="1">IFERROR(__xludf.DUMMYFUNCTION("""COMPUTED_VALUE"""),30)</f>
        <v>30</v>
      </c>
      <c r="D2815" s="8">
        <f ca="1">IFERROR(__xludf.DUMMYFUNCTION("""COMPUTED_VALUE"""),1987)</f>
        <v>1987</v>
      </c>
      <c r="E2815" s="9">
        <f ca="1">IFERROR(__xludf.DUMMYFUNCTION("""COMPUTED_VALUE"""),31866)</f>
        <v>31866</v>
      </c>
      <c r="F2815" s="8" t="str">
        <f ca="1">IFERROR(__xludf.DUMMYFUNCTION("""COMPUTED_VALUE"""),"Panorama Elementary School")</f>
        <v>Panorama Elementary School</v>
      </c>
      <c r="G2815" s="8">
        <f ca="1">IFERROR(__xludf.DUMMYFUNCTION("""COMPUTED_VALUE"""),0)</f>
        <v>0</v>
      </c>
      <c r="H2815" s="8">
        <f ca="1">IFERROR(__xludf.DUMMYFUNCTION("""COMPUTED_VALUE"""),0)</f>
        <v>0</v>
      </c>
      <c r="I2815" s="8">
        <f ca="1">IFERROR(__xludf.DUMMYFUNCTION("""COMPUTED_VALUE"""),0)</f>
        <v>0</v>
      </c>
      <c r="J2815" s="8">
        <f ca="1">IFERROR(__xludf.DUMMYFUNCTION("""COMPUTED_VALUE"""),1)</f>
        <v>1</v>
      </c>
      <c r="K2815" s="10" t="str">
        <f ca="1">IFERROR(__xludf.DUMMYFUNCTION("""COMPUTED_VALUE"""),"https://www.newspapers.com/image/404237062/?terms=Panorama%2BElementary%2BSchool%2Bshooting")</f>
        <v>https://www.newspapers.com/image/404237062/?terms=Panorama%2BElementary%2BSchool%2Bshooting</v>
      </c>
      <c r="L2815" s="8"/>
      <c r="M2815" s="8"/>
      <c r="N2815" s="8">
        <f ca="1">IFERROR(__xludf.DUMMYFUNCTION("""COMPUTED_VALUE"""),2)</f>
        <v>2</v>
      </c>
      <c r="O2815" s="8" t="str">
        <f ca="1">IFERROR(__xludf.DUMMYFUNCTION("""COMPUTED_VALUE"""),"Spring")</f>
        <v>Spring</v>
      </c>
      <c r="P2815" s="8" t="str">
        <f ca="1">IFERROR(__xludf.DUMMYFUNCTION("""COMPUTED_VALUE"""),"Santa Ana")</f>
        <v>Santa Ana</v>
      </c>
      <c r="Q2815" s="8" t="str">
        <f ca="1">IFERROR(__xludf.DUMMYFUNCTION("""COMPUTED_VALUE"""),"CA")</f>
        <v>CA</v>
      </c>
      <c r="R2815" s="8" t="str">
        <f ca="1">IFERROR(__xludf.DUMMYFUNCTION("""COMPUTED_VALUE"""),"Elementary")</f>
        <v>Elementary</v>
      </c>
      <c r="S2815" s="8" t="str">
        <f ca="1">IFERROR(__xludf.DUMMYFUNCTION("""COMPUTED_VALUE"""),"Classroom")</f>
        <v>Classroom</v>
      </c>
      <c r="T2815" s="8" t="str">
        <f ca="1">IFERROR(__xludf.DUMMYFUNCTION("""COMPUTED_VALUE"""),"Inside School Building")</f>
        <v>Inside School Building</v>
      </c>
      <c r="U2815" s="8" t="str">
        <f ca="1">IFERROR(__xludf.DUMMYFUNCTION("""COMPUTED_VALUE"""),"Yes")</f>
        <v>Yes</v>
      </c>
      <c r="V2815" s="8" t="str">
        <f ca="1">IFERROR(__xludf.DUMMYFUNCTION("""COMPUTED_VALUE"""),"Morning Classes")</f>
        <v>Morning Classes</v>
      </c>
      <c r="W2815" s="11">
        <f ca="1">IFERROR(__xludf.DUMMYFUNCTION("""COMPUTED_VALUE"""),0.470138888888888)</f>
        <v>0.470138888888888</v>
      </c>
      <c r="X2815" s="8">
        <f ca="1">IFERROR(__xludf.DUMMYFUNCTION("""COMPUTED_VALUE"""),1)</f>
        <v>1</v>
      </c>
      <c r="Y2815" s="12" t="str">
        <f ca="1">IFERROR(__xludf.DUMMYFUNCTION("""COMPUTED_VALUE"""),"Suicide in front of class, no relation to school")</f>
        <v>Suicide in front of class, no relation to school</v>
      </c>
      <c r="Z2815" s="12" t="str">
        <f ca="1">IFERROR(__xludf.DUMMYFUNCTION("""COMPUTED_VALUE"""),"44 YOF with no relation to school within school classroom and killed herself in front of 27 students and 2 teachers. Gun misfired on first shot, point gun at wall, fired, then shot herself in the head. Son said she was emotionally disturbed.")</f>
        <v>44 YOF with no relation to school within school classroom and killed herself in front of 27 students and 2 teachers. Gun misfired on first shot, point gun at wall, fired, then shot herself in the head. Son said she was emotionally disturbed.</v>
      </c>
      <c r="AA2815" s="8" t="str">
        <f ca="1">IFERROR(__xludf.DUMMYFUNCTION("""COMPUTED_VALUE"""),"Suicide/Attempted")</f>
        <v>Suicide/Attempted</v>
      </c>
      <c r="AB2815" s="8"/>
      <c r="AC2815" s="8"/>
      <c r="AD2815" s="8" t="str">
        <f ca="1">IFERROR(__xludf.DUMMYFUNCTION("""COMPUTED_VALUE"""),"Victims Targeted")</f>
        <v>Victims Targeted</v>
      </c>
      <c r="AE2815" s="8" t="str">
        <f ca="1">IFERROR(__xludf.DUMMYFUNCTION("""COMPUTED_VALUE"""),"No")</f>
        <v>No</v>
      </c>
      <c r="AF2815" s="8"/>
      <c r="AG2815" s="8" t="str">
        <f ca="1">IFERROR(__xludf.DUMMYFUNCTION("""COMPUTED_VALUE"""),"No")</f>
        <v>No</v>
      </c>
      <c r="AH2815" s="8" t="str">
        <f ca="1">IFERROR(__xludf.DUMMYFUNCTION("""COMPUTED_VALUE"""),"No")</f>
        <v>No</v>
      </c>
      <c r="AI2815" s="8" t="str">
        <f ca="1">IFERROR(__xludf.DUMMYFUNCTION("""COMPUTED_VALUE"""),"No")</f>
        <v>No</v>
      </c>
      <c r="AJ2815" s="8" t="str">
        <f ca="1">IFERROR(__xludf.DUMMYFUNCTION("""COMPUTED_VALUE"""),"No")</f>
        <v>No</v>
      </c>
      <c r="AK2815" s="8" t="str">
        <f ca="1">IFERROR(__xludf.DUMMYFUNCTION("""COMPUTED_VALUE"""),"No")</f>
        <v>No</v>
      </c>
      <c r="AL2815" s="8" t="str">
        <f ca="1">IFERROR(__xludf.DUMMYFUNCTION("""COMPUTED_VALUE"""),"No")</f>
        <v>No</v>
      </c>
      <c r="AM2815" s="8"/>
      <c r="AN2815" s="8"/>
      <c r="AO2815" s="8" t="str">
        <f ca="1">IFERROR(__xludf.DUMMYFUNCTION("""COMPUTED_VALUE"""),"No")</f>
        <v>No</v>
      </c>
      <c r="AP2815" s="8"/>
      <c r="AQ2815" s="8" t="str">
        <f ca="1">IFERROR(__xludf.DUMMYFUNCTION("""COMPUTED_VALUE"""),"Unknown")</f>
        <v>Unknown</v>
      </c>
      <c r="AR2815" s="8" t="str">
        <f ca="1">IFERROR(__xludf.DUMMYFUNCTION("""COMPUTED_VALUE"""),"NA")</f>
        <v>NA</v>
      </c>
      <c r="AS2815" s="8">
        <f ca="1">IFERROR(__xludf.DUMMYFUNCTION("""COMPUTED_VALUE"""),2)</f>
        <v>2</v>
      </c>
      <c r="AT2815" s="8"/>
      <c r="AU2815" s="8">
        <f ca="1">IFERROR(__xludf.DUMMYFUNCTION("""COMPUTED_VALUE"""),33.780284)</f>
        <v>33.780284000000002</v>
      </c>
      <c r="AV2815" s="8">
        <f ca="1">IFERROR(__xludf.DUMMYFUNCTION("""COMPUTED_VALUE"""),-117.792161)</f>
        <v>-117.79216099999999</v>
      </c>
      <c r="AW2815" s="8"/>
      <c r="AX2815" s="8">
        <f ca="1">IFERROR(__xludf.DUMMYFUNCTION("""COMPUTED_VALUE"""),92705)</f>
        <v>92705</v>
      </c>
    </row>
    <row r="2816" spans="1:50" ht="60" x14ac:dyDescent="0.2">
      <c r="A2816" s="8" t="str">
        <f ca="1">IFERROR(__xludf.DUMMYFUNCTION("""COMPUTED_VALUE"""),"19870306TXRIE")</f>
        <v>19870306TXRIE</v>
      </c>
      <c r="B2816" s="8">
        <f ca="1">IFERROR(__xludf.DUMMYFUNCTION("""COMPUTED_VALUE"""),3)</f>
        <v>3</v>
      </c>
      <c r="C2816" s="8">
        <f ca="1">IFERROR(__xludf.DUMMYFUNCTION("""COMPUTED_VALUE"""),6)</f>
        <v>6</v>
      </c>
      <c r="D2816" s="8">
        <f ca="1">IFERROR(__xludf.DUMMYFUNCTION("""COMPUTED_VALUE"""),1987)</f>
        <v>1987</v>
      </c>
      <c r="E2816" s="9">
        <f ca="1">IFERROR(__xludf.DUMMYFUNCTION("""COMPUTED_VALUE"""),31842)</f>
        <v>31842</v>
      </c>
      <c r="F2816" s="8" t="str">
        <f ca="1">IFERROR(__xludf.DUMMYFUNCTION("""COMPUTED_VALUE"""),"Riverside High School")</f>
        <v>Riverside High School</v>
      </c>
      <c r="G2816" s="8">
        <f ca="1">IFERROR(__xludf.DUMMYFUNCTION("""COMPUTED_VALUE"""),0)</f>
        <v>0</v>
      </c>
      <c r="H2816" s="8">
        <f ca="1">IFERROR(__xludf.DUMMYFUNCTION("""COMPUTED_VALUE"""),1)</f>
        <v>1</v>
      </c>
      <c r="I2816" s="8">
        <f ca="1">IFERROR(__xludf.DUMMYFUNCTION("""COMPUTED_VALUE"""),1)</f>
        <v>1</v>
      </c>
      <c r="J2816" s="8">
        <f ca="1">IFERROR(__xludf.DUMMYFUNCTION("""COMPUTED_VALUE"""),0)</f>
        <v>0</v>
      </c>
      <c r="K2816" s="10" t="str">
        <f ca="1">IFERROR(__xludf.DUMMYFUNCTION("""COMPUTED_VALUE"""),"https://www.newspapers.com/image/430983332/?terms=student%2Bshot")</f>
        <v>https://www.newspapers.com/image/430983332/?terms=student%2Bshot</v>
      </c>
      <c r="L2816" s="8"/>
      <c r="M2816" s="8"/>
      <c r="N2816" s="8">
        <f ca="1">IFERROR(__xludf.DUMMYFUNCTION("""COMPUTED_VALUE"""),2)</f>
        <v>2</v>
      </c>
      <c r="O2816" s="8" t="str">
        <f ca="1">IFERROR(__xludf.DUMMYFUNCTION("""COMPUTED_VALUE"""),"Spring")</f>
        <v>Spring</v>
      </c>
      <c r="P2816" s="8" t="str">
        <f ca="1">IFERROR(__xludf.DUMMYFUNCTION("""COMPUTED_VALUE"""),"El Paso")</f>
        <v>El Paso</v>
      </c>
      <c r="Q2816" s="8" t="str">
        <f ca="1">IFERROR(__xludf.DUMMYFUNCTION("""COMPUTED_VALUE"""),"TX")</f>
        <v>TX</v>
      </c>
      <c r="R2816" s="8" t="str">
        <f ca="1">IFERROR(__xludf.DUMMYFUNCTION("""COMPUTED_VALUE"""),"High")</f>
        <v>High</v>
      </c>
      <c r="S2816" s="8" t="str">
        <f ca="1">IFERROR(__xludf.DUMMYFUNCTION("""COMPUTED_VALUE"""),"Parking Lot")</f>
        <v>Parking Lot</v>
      </c>
      <c r="T2816" s="8" t="str">
        <f ca="1">IFERROR(__xludf.DUMMYFUNCTION("""COMPUTED_VALUE"""),"Outside on School Property")</f>
        <v>Outside on School Property</v>
      </c>
      <c r="U2816" s="8" t="str">
        <f ca="1">IFERROR(__xludf.DUMMYFUNCTION("""COMPUTED_VALUE"""),"Yes")</f>
        <v>Yes</v>
      </c>
      <c r="V2816" s="8" t="str">
        <f ca="1">IFERROR(__xludf.DUMMYFUNCTION("""COMPUTED_VALUE"""),"Lunch")</f>
        <v>Lunch</v>
      </c>
      <c r="W2816" s="8"/>
      <c r="X2816" s="8">
        <f ca="1">IFERROR(__xludf.DUMMYFUNCTION("""COMPUTED_VALUE"""),1)</f>
        <v>1</v>
      </c>
      <c r="Y2816" s="12" t="str">
        <f ca="1">IFERROR(__xludf.DUMMYFUNCTION("""COMPUTED_VALUE"""),"Bystander shot during fight that escalated")</f>
        <v>Bystander shot during fight that escalated</v>
      </c>
      <c r="Z2816" s="12" t="str">
        <f ca="1">IFERROR(__xludf.DUMMYFUNCTION("""COMPUTED_VALUE"""),"Fued between two families - during lunch hour students were outside in parking lot - one student threw a rock at a car passing by. Occupants of car stopped, got out, and fired into crowd. Victim who was shot was not target.")</f>
        <v>Fued between two families - during lunch hour students were outside in parking lot - one student threw a rock at a car passing by. Occupants of car stopped, got out, and fired into crowd. Victim who was shot was not target.</v>
      </c>
      <c r="AA2816" s="8" t="str">
        <f ca="1">IFERROR(__xludf.DUMMYFUNCTION("""COMPUTED_VALUE"""),"Escalation of Dispute")</f>
        <v>Escalation of Dispute</v>
      </c>
      <c r="AB2816" s="8"/>
      <c r="AC2816" s="8"/>
      <c r="AD2816" s="8" t="str">
        <f ca="1">IFERROR(__xludf.DUMMYFUNCTION("""COMPUTED_VALUE"""),"Random Shooting")</f>
        <v>Random Shooting</v>
      </c>
      <c r="AE2816" s="8" t="str">
        <f ca="1">IFERROR(__xludf.DUMMYFUNCTION("""COMPUTED_VALUE"""),"No")</f>
        <v>No</v>
      </c>
      <c r="AF2816" s="8"/>
      <c r="AG2816" s="8" t="str">
        <f ca="1">IFERROR(__xludf.DUMMYFUNCTION("""COMPUTED_VALUE"""),"No")</f>
        <v>No</v>
      </c>
      <c r="AH2816" s="8" t="str">
        <f ca="1">IFERROR(__xludf.DUMMYFUNCTION("""COMPUTED_VALUE"""),"No")</f>
        <v>No</v>
      </c>
      <c r="AI2816" s="8" t="str">
        <f ca="1">IFERROR(__xludf.DUMMYFUNCTION("""COMPUTED_VALUE"""),"No")</f>
        <v>No</v>
      </c>
      <c r="AJ2816" s="8" t="str">
        <f ca="1">IFERROR(__xludf.DUMMYFUNCTION("""COMPUTED_VALUE"""),"No")</f>
        <v>No</v>
      </c>
      <c r="AK2816" s="8" t="str">
        <f ca="1">IFERROR(__xludf.DUMMYFUNCTION("""COMPUTED_VALUE"""),"No")</f>
        <v>No</v>
      </c>
      <c r="AL2816" s="8" t="str">
        <f ca="1">IFERROR(__xludf.DUMMYFUNCTION("""COMPUTED_VALUE"""),"No")</f>
        <v>No</v>
      </c>
      <c r="AM2816" s="8"/>
      <c r="AN2816" s="8"/>
      <c r="AO2816" s="8" t="str">
        <f ca="1">IFERROR(__xludf.DUMMYFUNCTION("""COMPUTED_VALUE"""),"No")</f>
        <v>No</v>
      </c>
      <c r="AP2816" s="8"/>
      <c r="AQ2816" s="8" t="str">
        <f ca="1">IFERROR(__xludf.DUMMYFUNCTION("""COMPUTED_VALUE"""),"Unknown")</f>
        <v>Unknown</v>
      </c>
      <c r="AR2816" s="8" t="str">
        <f ca="1">IFERROR(__xludf.DUMMYFUNCTION("""COMPUTED_VALUE"""),"NA")</f>
        <v>NA</v>
      </c>
      <c r="AS2816" s="8" t="str">
        <f ca="1">IFERROR(__xludf.DUMMYFUNCTION("""COMPUTED_VALUE"""),"&lt;10")</f>
        <v>&lt;10</v>
      </c>
      <c r="AT2816" s="8"/>
      <c r="AU2816" s="8">
        <f ca="1">IFERROR(__xludf.DUMMYFUNCTION("""COMPUTED_VALUE"""),31.733656)</f>
        <v>31.733656</v>
      </c>
      <c r="AV2816" s="8">
        <f ca="1">IFERROR(__xludf.DUMMYFUNCTION("""COMPUTED_VALUE"""),-106.372737)</f>
        <v>-106.372737</v>
      </c>
      <c r="AW2816" s="8"/>
      <c r="AX2816" s="8">
        <f ca="1">IFERROR(__xludf.DUMMYFUNCTION("""COMPUTED_VALUE"""),79915)</f>
        <v>79915</v>
      </c>
    </row>
    <row r="2817" spans="1:50" ht="90" x14ac:dyDescent="0.2">
      <c r="A2817" s="8" t="str">
        <f ca="1">IFERROR(__xludf.DUMMYFUNCTION("""COMPUTED_VALUE"""),"19870302MODED")</f>
        <v>19870302MODED</v>
      </c>
      <c r="B2817" s="8">
        <f ca="1">IFERROR(__xludf.DUMMYFUNCTION("""COMPUTED_VALUE"""),3)</f>
        <v>3</v>
      </c>
      <c r="C2817" s="8">
        <f ca="1">IFERROR(__xludf.DUMMYFUNCTION("""COMPUTED_VALUE"""),2)</f>
        <v>2</v>
      </c>
      <c r="D2817" s="8">
        <f ca="1">IFERROR(__xludf.DUMMYFUNCTION("""COMPUTED_VALUE"""),1987)</f>
        <v>1987</v>
      </c>
      <c r="E2817" s="9">
        <f ca="1">IFERROR(__xludf.DUMMYFUNCTION("""COMPUTED_VALUE"""),31838)</f>
        <v>31838</v>
      </c>
      <c r="F2817" s="8" t="str">
        <f ca="1">IFERROR(__xludf.DUMMYFUNCTION("""COMPUTED_VALUE"""),"Dekalb High School")</f>
        <v>Dekalb High School</v>
      </c>
      <c r="G2817" s="8">
        <f ca="1">IFERROR(__xludf.DUMMYFUNCTION("""COMPUTED_VALUE"""),1)</f>
        <v>1</v>
      </c>
      <c r="H2817" s="8">
        <f ca="1">IFERROR(__xludf.DUMMYFUNCTION("""COMPUTED_VALUE"""),0)</f>
        <v>0</v>
      </c>
      <c r="I2817" s="8">
        <f ca="1">IFERROR(__xludf.DUMMYFUNCTION("""COMPUTED_VALUE"""),1)</f>
        <v>1</v>
      </c>
      <c r="J2817" s="8">
        <f ca="1">IFERROR(__xludf.DUMMYFUNCTION("""COMPUTED_VALUE"""),1)</f>
        <v>1</v>
      </c>
      <c r="K2817" s="10" t="str">
        <f ca="1">IFERROR(__xludf.DUMMYFUNCTION("""COMPUTED_VALUE"""),"https://www.upi.com/Archives/1987/03/03/Death-of-unsung-hero-allows-classmates-to-escape/3177541746000/")</f>
        <v>https://www.upi.com/Archives/1987/03/03/Death-of-unsung-hero-allows-classmates-to-escape/3177541746000/</v>
      </c>
      <c r="L2817" s="8"/>
      <c r="M2817" s="8"/>
      <c r="N2817" s="8">
        <f ca="1">IFERROR(__xludf.DUMMYFUNCTION("""COMPUTED_VALUE"""),2)</f>
        <v>2</v>
      </c>
      <c r="O2817" s="8" t="str">
        <f ca="1">IFERROR(__xludf.DUMMYFUNCTION("""COMPUTED_VALUE"""),"Spring")</f>
        <v>Spring</v>
      </c>
      <c r="P2817" s="8" t="str">
        <f ca="1">IFERROR(__xludf.DUMMYFUNCTION("""COMPUTED_VALUE"""),"De Kalb")</f>
        <v>De Kalb</v>
      </c>
      <c r="Q2817" s="8" t="str">
        <f ca="1">IFERROR(__xludf.DUMMYFUNCTION("""COMPUTED_VALUE"""),"MO")</f>
        <v>MO</v>
      </c>
      <c r="R2817" s="8" t="str">
        <f ca="1">IFERROR(__xludf.DUMMYFUNCTION("""COMPUTED_VALUE"""),"High")</f>
        <v>High</v>
      </c>
      <c r="S2817" s="8" t="str">
        <f ca="1">IFERROR(__xludf.DUMMYFUNCTION("""COMPUTED_VALUE"""),"Classroom")</f>
        <v>Classroom</v>
      </c>
      <c r="T2817" s="8" t="str">
        <f ca="1">IFERROR(__xludf.DUMMYFUNCTION("""COMPUTED_VALUE"""),"Inside School Building")</f>
        <v>Inside School Building</v>
      </c>
      <c r="U2817" s="8" t="str">
        <f ca="1">IFERROR(__xludf.DUMMYFUNCTION("""COMPUTED_VALUE"""),"Yes")</f>
        <v>Yes</v>
      </c>
      <c r="V2817" s="8" t="str">
        <f ca="1">IFERROR(__xludf.DUMMYFUNCTION("""COMPUTED_VALUE"""),"Morning Classes")</f>
        <v>Morning Classes</v>
      </c>
      <c r="W2817" s="11">
        <f ca="1">IFERROR(__xludf.DUMMYFUNCTION("""COMPUTED_VALUE"""),0.350694444444444)</f>
        <v>0.35069444444444398</v>
      </c>
      <c r="X2817" s="8"/>
      <c r="Y2817" s="12" t="str">
        <f ca="1">IFERROR(__xludf.DUMMYFUNCTION("""COMPUTED_VALUE"""),"Shooter bullied, took out gun in class, shot friend then self")</f>
        <v>Shooter bullied, took out gun in class, shot friend then self</v>
      </c>
      <c r="Z2817" s="12" t="str">
        <f ca="1">IFERROR(__xludf.DUMMYFUNCTION("""COMPUTED_VALUE"""),"Shooter had been the victim of relentless bullying for being overweight. When the shooter pulled the gun out in the front of the classroom, students heckled him for bringing a toy gun to school. The shooters friend approached him and tried to take the gun"&amp;" away. The shooter fired killing him then killed himself.")</f>
        <v>Shooter had been the victim of relentless bullying for being overweight. When the shooter pulled the gun out in the front of the classroom, students heckled him for bringing a toy gun to school. The shooters friend approached him and tried to take the gun away. The shooter fired killing him then killed himself.</v>
      </c>
      <c r="AA2817" s="8" t="str">
        <f ca="1">IFERROR(__xludf.DUMMYFUNCTION("""COMPUTED_VALUE"""),"Bullying")</f>
        <v>Bullying</v>
      </c>
      <c r="AB2817" s="8"/>
      <c r="AC2817" s="8"/>
      <c r="AD2817" s="8" t="str">
        <f ca="1">IFERROR(__xludf.DUMMYFUNCTION("""COMPUTED_VALUE"""),"Neither")</f>
        <v>Neither</v>
      </c>
      <c r="AE2817" s="8" t="str">
        <f ca="1">IFERROR(__xludf.DUMMYFUNCTION("""COMPUTED_VALUE"""),"No")</f>
        <v>No</v>
      </c>
      <c r="AF2817" s="8"/>
      <c r="AG2817" s="8" t="str">
        <f ca="1">IFERROR(__xludf.DUMMYFUNCTION("""COMPUTED_VALUE"""),"No")</f>
        <v>No</v>
      </c>
      <c r="AH2817" s="8" t="str">
        <f ca="1">IFERROR(__xludf.DUMMYFUNCTION("""COMPUTED_VALUE"""),"No")</f>
        <v>No</v>
      </c>
      <c r="AI2817" s="8" t="str">
        <f ca="1">IFERROR(__xludf.DUMMYFUNCTION("""COMPUTED_VALUE"""),"No")</f>
        <v>No</v>
      </c>
      <c r="AJ2817" s="8" t="str">
        <f ca="1">IFERROR(__xludf.DUMMYFUNCTION("""COMPUTED_VALUE"""),"Yes")</f>
        <v>Yes</v>
      </c>
      <c r="AK2817" s="8" t="str">
        <f ca="1">IFERROR(__xludf.DUMMYFUNCTION("""COMPUTED_VALUE"""),"No")</f>
        <v>No</v>
      </c>
      <c r="AL2817" s="8" t="str">
        <f ca="1">IFERROR(__xludf.DUMMYFUNCTION("""COMPUTED_VALUE"""),"No")</f>
        <v>No</v>
      </c>
      <c r="AM2817" s="8"/>
      <c r="AN2817" s="8"/>
      <c r="AO2817" s="8" t="str">
        <f ca="1">IFERROR(__xludf.DUMMYFUNCTION("""COMPUTED_VALUE"""),"No")</f>
        <v>No</v>
      </c>
      <c r="AP2817" s="8" t="str">
        <f ca="1">IFERROR(__xludf.DUMMYFUNCTION("""COMPUTED_VALUE"""),"No")</f>
        <v>No</v>
      </c>
      <c r="AQ2817" s="8" t="str">
        <f ca="1">IFERROR(__xludf.DUMMYFUNCTION("""COMPUTED_VALUE"""),"None")</f>
        <v>None</v>
      </c>
      <c r="AR2817" s="8" t="str">
        <f ca="1">IFERROR(__xludf.DUMMYFUNCTION("""COMPUTED_VALUE"""),"NA")</f>
        <v>NA</v>
      </c>
      <c r="AS2817" s="8">
        <f ca="1">IFERROR(__xludf.DUMMYFUNCTION("""COMPUTED_VALUE"""),2)</f>
        <v>2</v>
      </c>
      <c r="AT2817" s="8"/>
      <c r="AU2817" s="8">
        <f ca="1">IFERROR(__xludf.DUMMYFUNCTION("""COMPUTED_VALUE"""),39.586132)</f>
        <v>39.586131999999999</v>
      </c>
      <c r="AV2817" s="8">
        <f ca="1">IFERROR(__xludf.DUMMYFUNCTION("""COMPUTED_VALUE"""),-94.928816)</f>
        <v>-94.928815999999998</v>
      </c>
      <c r="AW2817" s="8"/>
      <c r="AX2817" s="8">
        <f ca="1">IFERROR(__xludf.DUMMYFUNCTION("""COMPUTED_VALUE"""),64440)</f>
        <v>64440</v>
      </c>
    </row>
    <row r="2818" spans="1:50" ht="75" x14ac:dyDescent="0.2">
      <c r="A2818" s="8" t="str">
        <f ca="1">IFERROR(__xludf.DUMMYFUNCTION("""COMPUTED_VALUE"""),"19870224NYMON")</f>
        <v>19870224NYMON</v>
      </c>
      <c r="B2818" s="8">
        <f ca="1">IFERROR(__xludf.DUMMYFUNCTION("""COMPUTED_VALUE"""),2)</f>
        <v>2</v>
      </c>
      <c r="C2818" s="8">
        <f ca="1">IFERROR(__xludf.DUMMYFUNCTION("""COMPUTED_VALUE"""),24)</f>
        <v>24</v>
      </c>
      <c r="D2818" s="8">
        <f ca="1">IFERROR(__xludf.DUMMYFUNCTION("""COMPUTED_VALUE"""),1987)</f>
        <v>1987</v>
      </c>
      <c r="E2818" s="9">
        <f ca="1">IFERROR(__xludf.DUMMYFUNCTION("""COMPUTED_VALUE"""),31832)</f>
        <v>31832</v>
      </c>
      <c r="F2818" s="8" t="str">
        <f ca="1">IFERROR(__xludf.DUMMYFUNCTION("""COMPUTED_VALUE"""),"Mount Tom Country Day School")</f>
        <v>Mount Tom Country Day School</v>
      </c>
      <c r="G2818" s="8">
        <f ca="1">IFERROR(__xludf.DUMMYFUNCTION("""COMPUTED_VALUE"""),0)</f>
        <v>0</v>
      </c>
      <c r="H2818" s="8">
        <f ca="1">IFERROR(__xludf.DUMMYFUNCTION("""COMPUTED_VALUE"""),1)</f>
        <v>1</v>
      </c>
      <c r="I2818" s="8">
        <f ca="1">IFERROR(__xludf.DUMMYFUNCTION("""COMPUTED_VALUE"""),1)</f>
        <v>1</v>
      </c>
      <c r="J2818" s="8">
        <f ca="1">IFERROR(__xludf.DUMMYFUNCTION("""COMPUTED_VALUE"""),0)</f>
        <v>0</v>
      </c>
      <c r="K2818" s="8" t="str">
        <f ca="1">IFERROR(__xludf.DUMMYFUNCTION("""COMPUTED_VALUE"""),"https://www.newspapers.com/image/163362811/?terms=leonette%2Btaylor-coleman; https://www.newspapers.com/image/165115502/?terms=Leonette%2BTaylor-Coleman")</f>
        <v>https://www.newspapers.com/image/163362811/?terms=leonette%2Btaylor-coleman; https://www.newspapers.com/image/165115502/?terms=Leonette%2BTaylor-Coleman</v>
      </c>
      <c r="L2818" s="8"/>
      <c r="M2818" s="8"/>
      <c r="N2818" s="8">
        <f ca="1">IFERROR(__xludf.DUMMYFUNCTION("""COMPUTED_VALUE"""),2)</f>
        <v>2</v>
      </c>
      <c r="O2818" s="8" t="str">
        <f ca="1">IFERROR(__xludf.DUMMYFUNCTION("""COMPUTED_VALUE"""),"Winter")</f>
        <v>Winter</v>
      </c>
      <c r="P2818" s="8" t="str">
        <f ca="1">IFERROR(__xludf.DUMMYFUNCTION("""COMPUTED_VALUE"""),"New Rochelle")</f>
        <v>New Rochelle</v>
      </c>
      <c r="Q2818" s="8" t="str">
        <f ca="1">IFERROR(__xludf.DUMMYFUNCTION("""COMPUTED_VALUE"""),"NY")</f>
        <v>NY</v>
      </c>
      <c r="R2818" s="8" t="str">
        <f ca="1">IFERROR(__xludf.DUMMYFUNCTION("""COMPUTED_VALUE"""),"Other")</f>
        <v>Other</v>
      </c>
      <c r="S2818" s="8" t="str">
        <f ca="1">IFERROR(__xludf.DUMMYFUNCTION("""COMPUTED_VALUE"""),"Parking Lot")</f>
        <v>Parking Lot</v>
      </c>
      <c r="T2818" s="8" t="str">
        <f ca="1">IFERROR(__xludf.DUMMYFUNCTION("""COMPUTED_VALUE"""),"Outside on School Property")</f>
        <v>Outside on School Property</v>
      </c>
      <c r="U2818" s="8" t="str">
        <f ca="1">IFERROR(__xludf.DUMMYFUNCTION("""COMPUTED_VALUE"""),"Yes")</f>
        <v>Yes</v>
      </c>
      <c r="V2818" s="8" t="str">
        <f ca="1">IFERROR(__xludf.DUMMYFUNCTION("""COMPUTED_VALUE"""),"School Start")</f>
        <v>School Start</v>
      </c>
      <c r="W2818" s="11">
        <f ca="1">IFERROR(__xludf.DUMMYFUNCTION("""COMPUTED_VALUE"""),0.354166666666666)</f>
        <v>0.35416666666666602</v>
      </c>
      <c r="X2818" s="8">
        <f ca="1">IFERROR(__xludf.DUMMYFUNCTION("""COMPUTED_VALUE"""),1)</f>
        <v>1</v>
      </c>
      <c r="Y2818" s="12" t="str">
        <f ca="1">IFERROR(__xludf.DUMMYFUNCTION("""COMPUTED_VALUE"""),"Parent was target in assassination attempt after dropping daughter off at school")</f>
        <v>Parent was target in assassination attempt after dropping daughter off at school</v>
      </c>
      <c r="Z2818" s="12" t="str">
        <f ca="1">IFERROR(__xludf.DUMMYFUNCTION("""COMPUTED_VALUE"""),"Victim dropped her 4-year old daughter off at day school. When walking back to car, two men approached, yelled ""that's her"", shot her several times, and fled the scene.")</f>
        <v>Victim dropped her 4-year old daughter off at day school. When walking back to car, two men approached, yelled "that's her", shot her several times, and fled the scene.</v>
      </c>
      <c r="AA2818" s="8" t="str">
        <f ca="1">IFERROR(__xludf.DUMMYFUNCTION("""COMPUTED_VALUE"""),"Escalation of Dispute")</f>
        <v>Escalation of Dispute</v>
      </c>
      <c r="AB2818" s="8"/>
      <c r="AC2818" s="8"/>
      <c r="AD2818" s="8" t="str">
        <f ca="1">IFERROR(__xludf.DUMMYFUNCTION("""COMPUTED_VALUE"""),"Victims Targeted")</f>
        <v>Victims Targeted</v>
      </c>
      <c r="AE2818" s="8" t="str">
        <f ca="1">IFERROR(__xludf.DUMMYFUNCTION("""COMPUTED_VALUE"""),"No")</f>
        <v>No</v>
      </c>
      <c r="AF2818" s="8"/>
      <c r="AG2818" s="8" t="str">
        <f ca="1">IFERROR(__xludf.DUMMYFUNCTION("""COMPUTED_VALUE"""),"No")</f>
        <v>No</v>
      </c>
      <c r="AH2818" s="8" t="str">
        <f ca="1">IFERROR(__xludf.DUMMYFUNCTION("""COMPUTED_VALUE"""),"No")</f>
        <v>No</v>
      </c>
      <c r="AI2818" s="8" t="str">
        <f ca="1">IFERROR(__xludf.DUMMYFUNCTION("""COMPUTED_VALUE"""),"No")</f>
        <v>No</v>
      </c>
      <c r="AJ2818" s="8" t="str">
        <f ca="1">IFERROR(__xludf.DUMMYFUNCTION("""COMPUTED_VALUE"""),"No")</f>
        <v>No</v>
      </c>
      <c r="AK2818" s="8" t="str">
        <f ca="1">IFERROR(__xludf.DUMMYFUNCTION("""COMPUTED_VALUE"""),"No")</f>
        <v>No</v>
      </c>
      <c r="AL2818" s="8" t="str">
        <f ca="1">IFERROR(__xludf.DUMMYFUNCTION("""COMPUTED_VALUE"""),"No")</f>
        <v>No</v>
      </c>
      <c r="AM2818" s="8"/>
      <c r="AN2818" s="8"/>
      <c r="AO2818" s="8" t="str">
        <f ca="1">IFERROR(__xludf.DUMMYFUNCTION("""COMPUTED_VALUE"""),"No")</f>
        <v>No</v>
      </c>
      <c r="AP2818" s="8"/>
      <c r="AQ2818" s="8" t="str">
        <f ca="1">IFERROR(__xludf.DUMMYFUNCTION("""COMPUTED_VALUE"""),"Unknown")</f>
        <v>Unknown</v>
      </c>
      <c r="AR2818" s="8" t="str">
        <f ca="1">IFERROR(__xludf.DUMMYFUNCTION("""COMPUTED_VALUE"""),"NA")</f>
        <v>NA</v>
      </c>
      <c r="AS2818" s="8">
        <f ca="1">IFERROR(__xludf.DUMMYFUNCTION("""COMPUTED_VALUE"""),4)</f>
        <v>4</v>
      </c>
      <c r="AT2818" s="8"/>
      <c r="AU2818" s="8">
        <f ca="1">IFERROR(__xludf.DUMMYFUNCTION("""COMPUTED_VALUE"""),40.89415)</f>
        <v>40.894150000000003</v>
      </c>
      <c r="AV2818" s="8">
        <f ca="1">IFERROR(__xludf.DUMMYFUNCTION("""COMPUTED_VALUE"""),-73.789611)</f>
        <v>-73.789610999999994</v>
      </c>
      <c r="AW2818" s="8"/>
      <c r="AX2818" s="8">
        <f ca="1">IFERROR(__xludf.DUMMYFUNCTION("""COMPUTED_VALUE"""),10805)</f>
        <v>10805</v>
      </c>
    </row>
    <row r="2819" spans="1:50" ht="240" x14ac:dyDescent="0.2">
      <c r="A2819" s="8" t="str">
        <f ca="1">IFERROR(__xludf.DUMMYFUNCTION("""COMPUTED_VALUE"""),"19870213AZORM")</f>
        <v>19870213AZORM</v>
      </c>
      <c r="B2819" s="8">
        <f ca="1">IFERROR(__xludf.DUMMYFUNCTION("""COMPUTED_VALUE"""),2)</f>
        <v>2</v>
      </c>
      <c r="C2819" s="8">
        <f ca="1">IFERROR(__xludf.DUMMYFUNCTION("""COMPUTED_VALUE"""),13)</f>
        <v>13</v>
      </c>
      <c r="D2819" s="8">
        <f ca="1">IFERROR(__xludf.DUMMYFUNCTION("""COMPUTED_VALUE"""),1987)</f>
        <v>1987</v>
      </c>
      <c r="E2819" s="9">
        <f ca="1">IFERROR(__xludf.DUMMYFUNCTION("""COMPUTED_VALUE"""),31821)</f>
        <v>31821</v>
      </c>
      <c r="F2819" s="8" t="str">
        <f ca="1">IFERROR(__xludf.DUMMYFUNCTION("""COMPUTED_VALUE"""),"Orme School")</f>
        <v>Orme School</v>
      </c>
      <c r="G2819" s="8">
        <f ca="1">IFERROR(__xludf.DUMMYFUNCTION("""COMPUTED_VALUE"""),1)</f>
        <v>1</v>
      </c>
      <c r="H2819" s="8">
        <f ca="1">IFERROR(__xludf.DUMMYFUNCTION("""COMPUTED_VALUE"""),2)</f>
        <v>2</v>
      </c>
      <c r="I2819" s="8">
        <f ca="1">IFERROR(__xludf.DUMMYFUNCTION("""COMPUTED_VALUE"""),3)</f>
        <v>3</v>
      </c>
      <c r="J2819" s="8">
        <f ca="1">IFERROR(__xludf.DUMMYFUNCTION("""COMPUTED_VALUE"""),0)</f>
        <v>0</v>
      </c>
      <c r="K2819" s="8" t="str">
        <f ca="1">IFERROR(__xludf.DUMMYFUNCTION("""COMPUTED_VALUE"""),"http://articles.latimes.com/1987-02-15/local/me-3520_1_private-orme-school https://www.nytimes.com/1987/02/16/us/student-caught-with-beer-rampages-and-is-slain.html")</f>
        <v>http://articles.latimes.com/1987-02-15/local/me-3520_1_private-orme-school https://www.nytimes.com/1987/02/16/us/student-caught-with-beer-rampages-and-is-slain.html</v>
      </c>
      <c r="L2819" s="8"/>
      <c r="M2819" s="8"/>
      <c r="N2819" s="8">
        <f ca="1">IFERROR(__xludf.DUMMYFUNCTION("""COMPUTED_VALUE"""),2)</f>
        <v>2</v>
      </c>
      <c r="O2819" s="8" t="str">
        <f ca="1">IFERROR(__xludf.DUMMYFUNCTION("""COMPUTED_VALUE"""),"Winter")</f>
        <v>Winter</v>
      </c>
      <c r="P2819" s="8" t="str">
        <f ca="1">IFERROR(__xludf.DUMMYFUNCTION("""COMPUTED_VALUE"""),"Mayer")</f>
        <v>Mayer</v>
      </c>
      <c r="Q2819" s="8" t="str">
        <f ca="1">IFERROR(__xludf.DUMMYFUNCTION("""COMPUTED_VALUE"""),"AZ")</f>
        <v>AZ</v>
      </c>
      <c r="R2819" s="8" t="str">
        <f ca="1">IFERROR(__xludf.DUMMYFUNCTION("""COMPUTED_VALUE"""),"Other")</f>
        <v>Other</v>
      </c>
      <c r="S2819" s="8" t="str">
        <f ca="1">IFERROR(__xludf.DUMMYFUNCTION("""COMPUTED_VALUE"""),"Field (General)")</f>
        <v>Field (General)</v>
      </c>
      <c r="T2819" s="8" t="str">
        <f ca="1">IFERROR(__xludf.DUMMYFUNCTION("""COMPUTED_VALUE"""),"Outside on School Property")</f>
        <v>Outside on School Property</v>
      </c>
      <c r="U2819" s="8" t="str">
        <f ca="1">IFERROR(__xludf.DUMMYFUNCTION("""COMPUTED_VALUE"""),"No")</f>
        <v>No</v>
      </c>
      <c r="V2819" s="8" t="str">
        <f ca="1">IFERROR(__xludf.DUMMYFUNCTION("""COMPUTED_VALUE"""),"Night")</f>
        <v>Night</v>
      </c>
      <c r="W2819" s="11">
        <f ca="1">IFERROR(__xludf.DUMMYFUNCTION("""COMPUTED_VALUE"""),0.854166666666666)</f>
        <v>0.85416666666666596</v>
      </c>
      <c r="X2819" s="8"/>
      <c r="Y2819" s="12" t="str">
        <f ca="1">IFERROR(__xludf.DUMMYFUNCTION("""COMPUTED_VALUE"""),"Anger over possibly being suspended from school")</f>
        <v>Anger over possibly being suspended from school</v>
      </c>
      <c r="Z2819" s="12" t="str">
        <f ca="1">IFERROR(__xludf.DUMMYFUNCTION("""COMPUTED_VALUE"""),"A 17 year-old male shooter was intoxicated at the time of the shooting and identified with fictional character Charles Decker. Shooter was recently suspended. Shooter when to the shooting range of the school (private school with residential campus) and tr"&amp;"icked a teacher into letting him hold one of the guns. Shooter then shot the teacher, grabbed a shotgun, and began running through campus shooting and injuring 3 different teachers. Shooter was killed by police. Weapons: .45 caliber; shotgun. Shooter was "&amp;"to be captain of next year’s football team and was a member of the wrestling team. He was described as an experienced hunter and an avid outdoorsman. Friends said he was not a troublemaker. He was “a genuinely friendly young man and a good athlete, a very"&amp;" able boy, who wasn't working up to his capacity . . . a B-plus student who was making Cs.”")</f>
        <v>A 17 year-old male shooter was intoxicated at the time of the shooting and identified with fictional character Charles Decker. Shooter was recently suspended. Shooter when to the shooting range of the school (private school with residential campus) and tricked a teacher into letting him hold one of the guns. Shooter then shot the teacher, grabbed a shotgun, and began running through campus shooting and injuring 3 different teachers. Shooter was killed by police. Weapons: .45 caliber; shotgun. Shooter was to be captain of next year’s football team and was a member of the wrestling team. He was described as an experienced hunter and an avid outdoorsman. Friends said he was not a troublemaker. He was “a genuinely friendly young man and a good athlete, a very able boy, who wasn't working up to his capacity . . . a B-plus student who was making Cs.”</v>
      </c>
      <c r="AA2819" s="8" t="str">
        <f ca="1">IFERROR(__xludf.DUMMYFUNCTION("""COMPUTED_VALUE"""),"Indiscriminate Shooting")</f>
        <v>Indiscriminate Shooting</v>
      </c>
      <c r="AB2819" s="8"/>
      <c r="AC2819" s="8" t="str">
        <f ca="1">IFERROR(__xludf.DUMMYFUNCTION("""COMPUTED_VALUE"""),"Yes")</f>
        <v>Yes</v>
      </c>
      <c r="AD2819" s="8" t="str">
        <f ca="1">IFERROR(__xludf.DUMMYFUNCTION("""COMPUTED_VALUE"""),"Victims Targeted")</f>
        <v>Victims Targeted</v>
      </c>
      <c r="AE2819" s="8" t="str">
        <f ca="1">IFERROR(__xludf.DUMMYFUNCTION("""COMPUTED_VALUE"""),"No")</f>
        <v>No</v>
      </c>
      <c r="AF2819" s="8"/>
      <c r="AG2819" s="8" t="str">
        <f ca="1">IFERROR(__xludf.DUMMYFUNCTION("""COMPUTED_VALUE"""),"No")</f>
        <v>No</v>
      </c>
      <c r="AH2819" s="8" t="str">
        <f ca="1">IFERROR(__xludf.DUMMYFUNCTION("""COMPUTED_VALUE"""),"No")</f>
        <v>No</v>
      </c>
      <c r="AI2819" s="8" t="str">
        <f ca="1">IFERROR(__xludf.DUMMYFUNCTION("""COMPUTED_VALUE"""),"No")</f>
        <v>No</v>
      </c>
      <c r="AJ2819" s="8" t="str">
        <f ca="1">IFERROR(__xludf.DUMMYFUNCTION("""COMPUTED_VALUE"""),"No")</f>
        <v>No</v>
      </c>
      <c r="AK2819" s="8" t="str">
        <f ca="1">IFERROR(__xludf.DUMMYFUNCTION("""COMPUTED_VALUE"""),"No")</f>
        <v>No</v>
      </c>
      <c r="AL2819" s="8" t="str">
        <f ca="1">IFERROR(__xludf.DUMMYFUNCTION("""COMPUTED_VALUE"""),"No")</f>
        <v>No</v>
      </c>
      <c r="AM2819" s="8" t="str">
        <f ca="1">IFERROR(__xludf.DUMMYFUNCTION("""COMPUTED_VALUE"""),"Yes")</f>
        <v>Yes</v>
      </c>
      <c r="AN2819" s="8" t="str">
        <f ca="1">IFERROR(__xludf.DUMMYFUNCTION("""COMPUTED_VALUE"""),"Single Room")</f>
        <v>Single Room</v>
      </c>
      <c r="AO2819" s="8" t="str">
        <f ca="1">IFERROR(__xludf.DUMMYFUNCTION("""COMPUTED_VALUE"""),"Yes")</f>
        <v>Yes</v>
      </c>
      <c r="AP2819" s="8"/>
      <c r="AQ2819" s="8" t="str">
        <f ca="1">IFERROR(__xludf.DUMMYFUNCTION("""COMPUTED_VALUE"""),"Unknown")</f>
        <v>Unknown</v>
      </c>
      <c r="AR2819" s="8" t="str">
        <f ca="1">IFERROR(__xludf.DUMMYFUNCTION("""COMPUTED_VALUE"""),"NA")</f>
        <v>NA</v>
      </c>
      <c r="AS2819" s="8" t="str">
        <f ca="1">IFERROR(__xludf.DUMMYFUNCTION("""COMPUTED_VALUE"""),"&gt;5")</f>
        <v>&gt;5</v>
      </c>
      <c r="AT2819" s="8"/>
      <c r="AU2819" s="8">
        <f ca="1">IFERROR(__xludf.DUMMYFUNCTION("""COMPUTED_VALUE"""),34.431944)</f>
        <v>34.431944000000001</v>
      </c>
      <c r="AV2819" s="8">
        <f ca="1">IFERROR(__xludf.DUMMYFUNCTION("""COMPUTED_VALUE"""),-112.070541)</f>
        <v>-112.07054100000001</v>
      </c>
      <c r="AW2819" s="8"/>
      <c r="AX2819" s="8">
        <f ca="1">IFERROR(__xludf.DUMMYFUNCTION("""COMPUTED_VALUE"""),86333)</f>
        <v>86333</v>
      </c>
    </row>
    <row r="2820" spans="1:50" ht="60" x14ac:dyDescent="0.2">
      <c r="A2820" s="8" t="str">
        <f ca="1">IFERROR(__xludf.DUMMYFUNCTION("""COMPUTED_VALUE"""),"19870210ARDAD")</f>
        <v>19870210ARDAD</v>
      </c>
      <c r="B2820" s="8">
        <f ca="1">IFERROR(__xludf.DUMMYFUNCTION("""COMPUTED_VALUE"""),2)</f>
        <v>2</v>
      </c>
      <c r="C2820" s="8">
        <f ca="1">IFERROR(__xludf.DUMMYFUNCTION("""COMPUTED_VALUE"""),10)</f>
        <v>10</v>
      </c>
      <c r="D2820" s="8">
        <f ca="1">IFERROR(__xludf.DUMMYFUNCTION("""COMPUTED_VALUE"""),1987)</f>
        <v>1987</v>
      </c>
      <c r="E2820" s="9">
        <f ca="1">IFERROR(__xludf.DUMMYFUNCTION("""COMPUTED_VALUE"""),31818)</f>
        <v>31818</v>
      </c>
      <c r="F2820" s="8" t="str">
        <f ca="1">IFERROR(__xludf.DUMMYFUNCTION("""COMPUTED_VALUE"""),"Dardanelle High School")</f>
        <v>Dardanelle High School</v>
      </c>
      <c r="G2820" s="8">
        <f ca="1">IFERROR(__xludf.DUMMYFUNCTION("""COMPUTED_VALUE"""),0)</f>
        <v>0</v>
      </c>
      <c r="H2820" s="8">
        <f ca="1">IFERROR(__xludf.DUMMYFUNCTION("""COMPUTED_VALUE"""),0)</f>
        <v>0</v>
      </c>
      <c r="I2820" s="8">
        <f ca="1">IFERROR(__xludf.DUMMYFUNCTION("""COMPUTED_VALUE"""),0)</f>
        <v>0</v>
      </c>
      <c r="J2820" s="8">
        <f ca="1">IFERROR(__xludf.DUMMYFUNCTION("""COMPUTED_VALUE"""),1)</f>
        <v>1</v>
      </c>
      <c r="K2820" s="10" t="str">
        <f ca="1">IFERROR(__xludf.DUMMYFUNCTION("""COMPUTED_VALUE"""),"https://www.newspapers.com/image/203093088/?terms=roger%2Bjoe%2Bedward%2Bjenkins")</f>
        <v>https://www.newspapers.com/image/203093088/?terms=roger%2Bjoe%2Bedward%2Bjenkins</v>
      </c>
      <c r="L2820" s="8"/>
      <c r="M2820" s="8"/>
      <c r="N2820" s="8">
        <f ca="1">IFERROR(__xludf.DUMMYFUNCTION("""COMPUTED_VALUE"""),2)</f>
        <v>2</v>
      </c>
      <c r="O2820" s="8" t="str">
        <f ca="1">IFERROR(__xludf.DUMMYFUNCTION("""COMPUTED_VALUE"""),"Winter")</f>
        <v>Winter</v>
      </c>
      <c r="P2820" s="8" t="str">
        <f ca="1">IFERROR(__xludf.DUMMYFUNCTION("""COMPUTED_VALUE"""),"Dardanelle")</f>
        <v>Dardanelle</v>
      </c>
      <c r="Q2820" s="8" t="str">
        <f ca="1">IFERROR(__xludf.DUMMYFUNCTION("""COMPUTED_VALUE"""),"AR")</f>
        <v>AR</v>
      </c>
      <c r="R2820" s="8" t="str">
        <f ca="1">IFERROR(__xludf.DUMMYFUNCTION("""COMPUTED_VALUE"""),"High")</f>
        <v>High</v>
      </c>
      <c r="S2820" s="8" t="str">
        <f ca="1">IFERROR(__xludf.DUMMYFUNCTION("""COMPUTED_VALUE"""),"Courtyard")</f>
        <v>Courtyard</v>
      </c>
      <c r="T2820" s="8" t="str">
        <f ca="1">IFERROR(__xludf.DUMMYFUNCTION("""COMPUTED_VALUE"""),"Outside on School Property")</f>
        <v>Outside on School Property</v>
      </c>
      <c r="U2820" s="8" t="str">
        <f ca="1">IFERROR(__xludf.DUMMYFUNCTION("""COMPUTED_VALUE"""),"Yes")</f>
        <v>Yes</v>
      </c>
      <c r="V2820" s="8" t="str">
        <f ca="1">IFERROR(__xludf.DUMMYFUNCTION("""COMPUTED_VALUE"""),"Lunch")</f>
        <v>Lunch</v>
      </c>
      <c r="W2820" s="11">
        <f ca="1">IFERROR(__xludf.DUMMYFUNCTION("""COMPUTED_VALUE"""),0.520833333333333)</f>
        <v>0.52083333333333304</v>
      </c>
      <c r="X2820" s="8">
        <f ca="1">IFERROR(__xludf.DUMMYFUNCTION("""COMPUTED_VALUE"""),1)</f>
        <v>1</v>
      </c>
      <c r="Y2820" s="12" t="str">
        <f ca="1">IFERROR(__xludf.DUMMYFUNCTION("""COMPUTED_VALUE"""),"Shooter shot himself outside during lunch after fight with girlfriend")</f>
        <v>Shooter shot himself outside during lunch after fight with girlfriend</v>
      </c>
      <c r="Z2820" s="12" t="str">
        <f ca="1">IFERROR(__xludf.DUMMYFUNCTION("""COMPUTED_VALUE"""),"Shooter got in fight with girlfriend, left school during lunch, came back to school, gave friend a note, then took rifle from car, walked to popular lunch spot on campus, put rifle to chest and pulled trigger")</f>
        <v>Shooter got in fight with girlfriend, left school during lunch, came back to school, gave friend a note, then took rifle from car, walked to popular lunch spot on campus, put rifle to chest and pulled trigger</v>
      </c>
      <c r="AA2820" s="8" t="str">
        <f ca="1">IFERROR(__xludf.DUMMYFUNCTION("""COMPUTED_VALUE"""),"Suicide/Attempted")</f>
        <v>Suicide/Attempted</v>
      </c>
      <c r="AB2820" s="8"/>
      <c r="AC2820" s="8"/>
      <c r="AD2820" s="8" t="str">
        <f ca="1">IFERROR(__xludf.DUMMYFUNCTION("""COMPUTED_VALUE"""),"Victims Targeted")</f>
        <v>Victims Targeted</v>
      </c>
      <c r="AE2820" s="8" t="str">
        <f ca="1">IFERROR(__xludf.DUMMYFUNCTION("""COMPUTED_VALUE"""),"No")</f>
        <v>No</v>
      </c>
      <c r="AF2820" s="8"/>
      <c r="AG2820" s="8" t="str">
        <f ca="1">IFERROR(__xludf.DUMMYFUNCTION("""COMPUTED_VALUE"""),"No")</f>
        <v>No</v>
      </c>
      <c r="AH2820" s="8" t="str">
        <f ca="1">IFERROR(__xludf.DUMMYFUNCTION("""COMPUTED_VALUE"""),"No")</f>
        <v>No</v>
      </c>
      <c r="AI2820" s="8" t="str">
        <f ca="1">IFERROR(__xludf.DUMMYFUNCTION("""COMPUTED_VALUE"""),"No")</f>
        <v>No</v>
      </c>
      <c r="AJ2820" s="8" t="str">
        <f ca="1">IFERROR(__xludf.DUMMYFUNCTION("""COMPUTED_VALUE"""),"No")</f>
        <v>No</v>
      </c>
      <c r="AK2820" s="8" t="str">
        <f ca="1">IFERROR(__xludf.DUMMYFUNCTION("""COMPUTED_VALUE"""),"No")</f>
        <v>No</v>
      </c>
      <c r="AL2820" s="8" t="str">
        <f ca="1">IFERROR(__xludf.DUMMYFUNCTION("""COMPUTED_VALUE"""),"No")</f>
        <v>No</v>
      </c>
      <c r="AM2820" s="8"/>
      <c r="AN2820" s="8"/>
      <c r="AO2820" s="8" t="str">
        <f ca="1">IFERROR(__xludf.DUMMYFUNCTION("""COMPUTED_VALUE"""),"No")</f>
        <v>No</v>
      </c>
      <c r="AP2820" s="8"/>
      <c r="AQ2820" s="8" t="str">
        <f ca="1">IFERROR(__xludf.DUMMYFUNCTION("""COMPUTED_VALUE"""),"Unknown")</f>
        <v>Unknown</v>
      </c>
      <c r="AR2820" s="8" t="str">
        <f ca="1">IFERROR(__xludf.DUMMYFUNCTION("""COMPUTED_VALUE"""),"NA")</f>
        <v>NA</v>
      </c>
      <c r="AS2820" s="8">
        <f ca="1">IFERROR(__xludf.DUMMYFUNCTION("""COMPUTED_VALUE"""),1)</f>
        <v>1</v>
      </c>
      <c r="AT2820" s="8"/>
      <c r="AU2820" s="8">
        <f ca="1">IFERROR(__xludf.DUMMYFUNCTION("""COMPUTED_VALUE"""),35.207158)</f>
        <v>35.207158</v>
      </c>
      <c r="AV2820" s="8">
        <f ca="1">IFERROR(__xludf.DUMMYFUNCTION("""COMPUTED_VALUE"""),-93.157014)</f>
        <v>-93.157014000000004</v>
      </c>
      <c r="AW2820" s="8"/>
      <c r="AX2820" s="8">
        <f ca="1">IFERROR(__xludf.DUMMYFUNCTION("""COMPUTED_VALUE"""),72834)</f>
        <v>72834</v>
      </c>
    </row>
    <row r="2821" spans="1:50" ht="60" x14ac:dyDescent="0.2">
      <c r="A2821" s="8" t="str">
        <f ca="1">IFERROR(__xludf.DUMMYFUNCTION("""COMPUTED_VALUE"""),"19870123MIRED")</f>
        <v>19870123MIRED</v>
      </c>
      <c r="B2821" s="8">
        <f ca="1">IFERROR(__xludf.DUMMYFUNCTION("""COMPUTED_VALUE"""),1)</f>
        <v>1</v>
      </c>
      <c r="C2821" s="8">
        <f ca="1">IFERROR(__xludf.DUMMYFUNCTION("""COMPUTED_VALUE"""),23)</f>
        <v>23</v>
      </c>
      <c r="D2821" s="8">
        <f ca="1">IFERROR(__xludf.DUMMYFUNCTION("""COMPUTED_VALUE"""),1987)</f>
        <v>1987</v>
      </c>
      <c r="E2821" s="9">
        <f ca="1">IFERROR(__xludf.DUMMYFUNCTION("""COMPUTED_VALUE"""),31800)</f>
        <v>31800</v>
      </c>
      <c r="F2821" s="8" t="str">
        <f ca="1">IFERROR(__xludf.DUMMYFUNCTION("""COMPUTED_VALUE"""),"Redford High School")</f>
        <v>Redford High School</v>
      </c>
      <c r="G2821" s="8">
        <f ca="1">IFERROR(__xludf.DUMMYFUNCTION("""COMPUTED_VALUE"""),0)</f>
        <v>0</v>
      </c>
      <c r="H2821" s="8">
        <f ca="1">IFERROR(__xludf.DUMMYFUNCTION("""COMPUTED_VALUE"""),1)</f>
        <v>1</v>
      </c>
      <c r="I2821" s="8">
        <f ca="1">IFERROR(__xludf.DUMMYFUNCTION("""COMPUTED_VALUE"""),1)</f>
        <v>1</v>
      </c>
      <c r="J2821" s="8">
        <f ca="1">IFERROR(__xludf.DUMMYFUNCTION("""COMPUTED_VALUE"""),0)</f>
        <v>0</v>
      </c>
      <c r="K2821" s="10" t="str">
        <f ca="1">IFERROR(__xludf.DUMMYFUNCTION("""COMPUTED_VALUE"""),"https://www.newspapers.com/image/99552670/?terms=redford%2Bhigh%2Bschool")</f>
        <v>https://www.newspapers.com/image/99552670/?terms=redford%2Bhigh%2Bschool</v>
      </c>
      <c r="L2821" s="8"/>
      <c r="M2821" s="8"/>
      <c r="N2821" s="8">
        <f ca="1">IFERROR(__xludf.DUMMYFUNCTION("""COMPUTED_VALUE"""),2)</f>
        <v>2</v>
      </c>
      <c r="O2821" s="8" t="str">
        <f ca="1">IFERROR(__xludf.DUMMYFUNCTION("""COMPUTED_VALUE"""),"Winter")</f>
        <v>Winter</v>
      </c>
      <c r="P2821" s="8" t="str">
        <f ca="1">IFERROR(__xludf.DUMMYFUNCTION("""COMPUTED_VALUE"""),"Detroit")</f>
        <v>Detroit</v>
      </c>
      <c r="Q2821" s="8" t="str">
        <f ca="1">IFERROR(__xludf.DUMMYFUNCTION("""COMPUTED_VALUE"""),"MI")</f>
        <v>MI</v>
      </c>
      <c r="R2821" s="8" t="str">
        <f ca="1">IFERROR(__xludf.DUMMYFUNCTION("""COMPUTED_VALUE"""),"High")</f>
        <v>High</v>
      </c>
      <c r="S2821" s="8" t="str">
        <f ca="1">IFERROR(__xludf.DUMMYFUNCTION("""COMPUTED_VALUE"""),"Inside School Building")</f>
        <v>Inside School Building</v>
      </c>
      <c r="T2821" s="8" t="str">
        <f ca="1">IFERROR(__xludf.DUMMYFUNCTION("""COMPUTED_VALUE"""),"Inside School Building")</f>
        <v>Inside School Building</v>
      </c>
      <c r="U2821" s="8" t="str">
        <f ca="1">IFERROR(__xludf.DUMMYFUNCTION("""COMPUTED_VALUE"""),"Yes")</f>
        <v>Yes</v>
      </c>
      <c r="V2821" s="8" t="str">
        <f ca="1">IFERROR(__xludf.DUMMYFUNCTION("""COMPUTED_VALUE"""),"Morning Classes")</f>
        <v>Morning Classes</v>
      </c>
      <c r="W2821" s="11">
        <f ca="1">IFERROR(__xludf.DUMMYFUNCTION("""COMPUTED_VALUE"""),0.336805555555555)</f>
        <v>0.33680555555555503</v>
      </c>
      <c r="X2821" s="8">
        <f ca="1">IFERROR(__xludf.DUMMYFUNCTION("""COMPUTED_VALUE"""),1)</f>
        <v>1</v>
      </c>
      <c r="Y2821" s="12" t="str">
        <f ca="1">IFERROR(__xludf.DUMMYFUNCTION("""COMPUTED_VALUE"""),"Ongoing conflict between two students resulted in victim being shot")</f>
        <v>Ongoing conflict between two students resulted in victim being shot</v>
      </c>
      <c r="Z2821" s="12" t="str">
        <f ca="1">IFERROR(__xludf.DUMMYFUNCTION("""COMPUTED_VALUE"""),"Ongoing conflict between students - reports stated shooter walked up to victim, pulled gun from briefcase and shot him five times.")</f>
        <v>Ongoing conflict between students - reports stated shooter walked up to victim, pulled gun from briefcase and shot him five times.</v>
      </c>
      <c r="AA2821" s="8" t="str">
        <f ca="1">IFERROR(__xludf.DUMMYFUNCTION("""COMPUTED_VALUE"""),"Escalation of Dispute")</f>
        <v>Escalation of Dispute</v>
      </c>
      <c r="AB2821" s="8"/>
      <c r="AC2821" s="8"/>
      <c r="AD2821" s="8" t="str">
        <f ca="1">IFERROR(__xludf.DUMMYFUNCTION("""COMPUTED_VALUE"""),"Victims Targeted")</f>
        <v>Victims Targeted</v>
      </c>
      <c r="AE2821" s="8" t="str">
        <f ca="1">IFERROR(__xludf.DUMMYFUNCTION("""COMPUTED_VALUE"""),"No")</f>
        <v>No</v>
      </c>
      <c r="AF2821" s="8"/>
      <c r="AG2821" s="8" t="str">
        <f ca="1">IFERROR(__xludf.DUMMYFUNCTION("""COMPUTED_VALUE"""),"No")</f>
        <v>No</v>
      </c>
      <c r="AH2821" s="8" t="str">
        <f ca="1">IFERROR(__xludf.DUMMYFUNCTION("""COMPUTED_VALUE"""),"No")</f>
        <v>No</v>
      </c>
      <c r="AI2821" s="8" t="str">
        <f ca="1">IFERROR(__xludf.DUMMYFUNCTION("""COMPUTED_VALUE"""),"No")</f>
        <v>No</v>
      </c>
      <c r="AJ2821" s="8" t="str">
        <f ca="1">IFERROR(__xludf.DUMMYFUNCTION("""COMPUTED_VALUE"""),"No")</f>
        <v>No</v>
      </c>
      <c r="AK2821" s="8" t="str">
        <f ca="1">IFERROR(__xludf.DUMMYFUNCTION("""COMPUTED_VALUE"""),"No")</f>
        <v>No</v>
      </c>
      <c r="AL2821" s="8" t="str">
        <f ca="1">IFERROR(__xludf.DUMMYFUNCTION("""COMPUTED_VALUE"""),"No")</f>
        <v>No</v>
      </c>
      <c r="AM2821" s="8"/>
      <c r="AN2821" s="8"/>
      <c r="AO2821" s="8" t="str">
        <f ca="1">IFERROR(__xludf.DUMMYFUNCTION("""COMPUTED_VALUE"""),"No")</f>
        <v>No</v>
      </c>
      <c r="AP2821" s="8"/>
      <c r="AQ2821" s="8" t="str">
        <f ca="1">IFERROR(__xludf.DUMMYFUNCTION("""COMPUTED_VALUE"""),"Unknown")</f>
        <v>Unknown</v>
      </c>
      <c r="AR2821" s="8" t="str">
        <f ca="1">IFERROR(__xludf.DUMMYFUNCTION("""COMPUTED_VALUE"""),"NA")</f>
        <v>NA</v>
      </c>
      <c r="AS2821" s="8">
        <f ca="1">IFERROR(__xludf.DUMMYFUNCTION("""COMPUTED_VALUE"""),5)</f>
        <v>5</v>
      </c>
      <c r="AT2821" s="8"/>
      <c r="AU2821" s="8">
        <f ca="1">IFERROR(__xludf.DUMMYFUNCTION("""COMPUTED_VALUE"""),42.412822)</f>
        <v>42.412821999999998</v>
      </c>
      <c r="AV2821" s="8">
        <f ca="1">IFERROR(__xludf.DUMMYFUNCTION("""COMPUTED_VALUE"""),-83.253276)</f>
        <v>-83.253276</v>
      </c>
      <c r="AW2821" s="8"/>
      <c r="AX2821" s="8">
        <f ca="1">IFERROR(__xludf.DUMMYFUNCTION("""COMPUTED_VALUE"""),48219)</f>
        <v>48219</v>
      </c>
    </row>
    <row r="2822" spans="1:50" ht="45" x14ac:dyDescent="0.2">
      <c r="A2822" s="8" t="str">
        <f ca="1">IFERROR(__xludf.DUMMYFUNCTION("""COMPUTED_VALUE"""),"19870114CALOL")</f>
        <v>19870114CALOL</v>
      </c>
      <c r="B2822" s="8">
        <f ca="1">IFERROR(__xludf.DUMMYFUNCTION("""COMPUTED_VALUE"""),1)</f>
        <v>1</v>
      </c>
      <c r="C2822" s="8">
        <f ca="1">IFERROR(__xludf.DUMMYFUNCTION("""COMPUTED_VALUE"""),14)</f>
        <v>14</v>
      </c>
      <c r="D2822" s="8">
        <f ca="1">IFERROR(__xludf.DUMMYFUNCTION("""COMPUTED_VALUE"""),1987)</f>
        <v>1987</v>
      </c>
      <c r="E2822" s="9">
        <f ca="1">IFERROR(__xludf.DUMMYFUNCTION("""COMPUTED_VALUE"""),31791)</f>
        <v>31791</v>
      </c>
      <c r="F2822" s="8" t="str">
        <f ca="1">IFERROR(__xludf.DUMMYFUNCTION("""COMPUTED_VALUE"""),"Los Angeles High School")</f>
        <v>Los Angeles High School</v>
      </c>
      <c r="G2822" s="8">
        <f ca="1">IFERROR(__xludf.DUMMYFUNCTION("""COMPUTED_VALUE"""),0)</f>
        <v>0</v>
      </c>
      <c r="H2822" s="8">
        <f ca="1">IFERROR(__xludf.DUMMYFUNCTION("""COMPUTED_VALUE"""),0)</f>
        <v>0</v>
      </c>
      <c r="I2822" s="8">
        <f ca="1">IFERROR(__xludf.DUMMYFUNCTION("""COMPUTED_VALUE"""),0)</f>
        <v>0</v>
      </c>
      <c r="J2822" s="8">
        <f ca="1">IFERROR(__xludf.DUMMYFUNCTION("""COMPUTED_VALUE"""),0)</f>
        <v>0</v>
      </c>
      <c r="K2822" s="10" t="str">
        <f ca="1">IFERROR(__xludf.DUMMYFUNCTION("""COMPUTED_VALUE"""),"https://www.newspapers.com/image/229316333/?terms=oscar%2Bmartinez")</f>
        <v>https://www.newspapers.com/image/229316333/?terms=oscar%2Bmartinez</v>
      </c>
      <c r="L2822" s="8"/>
      <c r="M2822" s="8"/>
      <c r="N2822" s="8">
        <f ca="1">IFERROR(__xludf.DUMMYFUNCTION("""COMPUTED_VALUE"""),2)</f>
        <v>2</v>
      </c>
      <c r="O2822" s="8" t="str">
        <f ca="1">IFERROR(__xludf.DUMMYFUNCTION("""COMPUTED_VALUE"""),"Winter")</f>
        <v>Winter</v>
      </c>
      <c r="P2822" s="8" t="str">
        <f ca="1">IFERROR(__xludf.DUMMYFUNCTION("""COMPUTED_VALUE"""),"Los Angeles")</f>
        <v>Los Angeles</v>
      </c>
      <c r="Q2822" s="8" t="str">
        <f ca="1">IFERROR(__xludf.DUMMYFUNCTION("""COMPUTED_VALUE"""),"CA")</f>
        <v>CA</v>
      </c>
      <c r="R2822" s="8" t="str">
        <f ca="1">IFERROR(__xludf.DUMMYFUNCTION("""COMPUTED_VALUE"""),"High")</f>
        <v>High</v>
      </c>
      <c r="S2822" s="8" t="str">
        <f ca="1">IFERROR(__xludf.DUMMYFUNCTION("""COMPUTED_VALUE"""),"Classroom")</f>
        <v>Classroom</v>
      </c>
      <c r="T2822" s="8" t="str">
        <f ca="1">IFERROR(__xludf.DUMMYFUNCTION("""COMPUTED_VALUE"""),"Inside School Building")</f>
        <v>Inside School Building</v>
      </c>
      <c r="U2822" s="8" t="str">
        <f ca="1">IFERROR(__xludf.DUMMYFUNCTION("""COMPUTED_VALUE"""),"Yes")</f>
        <v>Yes</v>
      </c>
      <c r="V2822" s="8"/>
      <c r="W2822" s="8"/>
      <c r="X2822" s="8">
        <f ca="1">IFERROR(__xludf.DUMMYFUNCTION("""COMPUTED_VALUE"""),1)</f>
        <v>1</v>
      </c>
      <c r="Y2822" s="12" t="str">
        <f ca="1">IFERROR(__xludf.DUMMYFUNCTION("""COMPUTED_VALUE"""),"Shooter shot self in head during English class.")</f>
        <v>Shooter shot self in head during English class.</v>
      </c>
      <c r="Z2822" s="12" t="str">
        <f ca="1">IFERROR(__xludf.DUMMYFUNCTION("""COMPUTED_VALUE"""),"Shooter shot self in head during English class in front of 25 other students - no further information given")</f>
        <v>Shooter shot self in head during English class in front of 25 other students - no further information given</v>
      </c>
      <c r="AA2822" s="8" t="str">
        <f ca="1">IFERROR(__xludf.DUMMYFUNCTION("""COMPUTED_VALUE"""),"Suicide/Attempted")</f>
        <v>Suicide/Attempted</v>
      </c>
      <c r="AB2822" s="8"/>
      <c r="AC2822" s="8"/>
      <c r="AD2822" s="8" t="str">
        <f ca="1">IFERROR(__xludf.DUMMYFUNCTION("""COMPUTED_VALUE"""),"Victims Targeted")</f>
        <v>Victims Targeted</v>
      </c>
      <c r="AE2822" s="8" t="str">
        <f ca="1">IFERROR(__xludf.DUMMYFUNCTION("""COMPUTED_VALUE"""),"No")</f>
        <v>No</v>
      </c>
      <c r="AF2822" s="8"/>
      <c r="AG2822" s="8" t="str">
        <f ca="1">IFERROR(__xludf.DUMMYFUNCTION("""COMPUTED_VALUE"""),"No")</f>
        <v>No</v>
      </c>
      <c r="AH2822" s="8" t="str">
        <f ca="1">IFERROR(__xludf.DUMMYFUNCTION("""COMPUTED_VALUE"""),"No")</f>
        <v>No</v>
      </c>
      <c r="AI2822" s="8" t="str">
        <f ca="1">IFERROR(__xludf.DUMMYFUNCTION("""COMPUTED_VALUE"""),"No")</f>
        <v>No</v>
      </c>
      <c r="AJ2822" s="8" t="str">
        <f ca="1">IFERROR(__xludf.DUMMYFUNCTION("""COMPUTED_VALUE"""),"No")</f>
        <v>No</v>
      </c>
      <c r="AK2822" s="8" t="str">
        <f ca="1">IFERROR(__xludf.DUMMYFUNCTION("""COMPUTED_VALUE"""),"No")</f>
        <v>No</v>
      </c>
      <c r="AL2822" s="8" t="str">
        <f ca="1">IFERROR(__xludf.DUMMYFUNCTION("""COMPUTED_VALUE"""),"No")</f>
        <v>No</v>
      </c>
      <c r="AM2822" s="8"/>
      <c r="AN2822" s="8"/>
      <c r="AO2822" s="8" t="str">
        <f ca="1">IFERROR(__xludf.DUMMYFUNCTION("""COMPUTED_VALUE"""),"No")</f>
        <v>No</v>
      </c>
      <c r="AP2822" s="8"/>
      <c r="AQ2822" s="8" t="str">
        <f ca="1">IFERROR(__xludf.DUMMYFUNCTION("""COMPUTED_VALUE"""),"Unknown")</f>
        <v>Unknown</v>
      </c>
      <c r="AR2822" s="8" t="str">
        <f ca="1">IFERROR(__xludf.DUMMYFUNCTION("""COMPUTED_VALUE"""),"NA")</f>
        <v>NA</v>
      </c>
      <c r="AS2822" s="8">
        <f ca="1">IFERROR(__xludf.DUMMYFUNCTION("""COMPUTED_VALUE"""),1)</f>
        <v>1</v>
      </c>
      <c r="AT2822" s="8"/>
      <c r="AU2822" s="8">
        <f ca="1">IFERROR(__xludf.DUMMYFUNCTION("""COMPUTED_VALUE"""),34.05531)</f>
        <v>34.055309999999999</v>
      </c>
      <c r="AV2822" s="8">
        <f ca="1">IFERROR(__xludf.DUMMYFUNCTION("""COMPUTED_VALUE"""),-118.333046)</f>
        <v>-118.333046</v>
      </c>
      <c r="AW2822" s="8"/>
      <c r="AX2822" s="8">
        <f ca="1">IFERROR(__xludf.DUMMYFUNCTION("""COMPUTED_VALUE"""),90019)</f>
        <v>90019</v>
      </c>
    </row>
    <row r="2823" spans="1:50" ht="120" x14ac:dyDescent="0.2">
      <c r="A2823" s="8" t="str">
        <f ca="1">IFERROR(__xludf.DUMMYFUNCTION("""COMPUTED_VALUE"""),"19861204MTFEL")</f>
        <v>19861204MTFEL</v>
      </c>
      <c r="B2823" s="8">
        <f ca="1">IFERROR(__xludf.DUMMYFUNCTION("""COMPUTED_VALUE"""),12)</f>
        <v>12</v>
      </c>
      <c r="C2823" s="8">
        <f ca="1">IFERROR(__xludf.DUMMYFUNCTION("""COMPUTED_VALUE"""),4)</f>
        <v>4</v>
      </c>
      <c r="D2823" s="8">
        <f ca="1">IFERROR(__xludf.DUMMYFUNCTION("""COMPUTED_VALUE"""),1986)</f>
        <v>1986</v>
      </c>
      <c r="E2823" s="9">
        <f ca="1">IFERROR(__xludf.DUMMYFUNCTION("""COMPUTED_VALUE"""),31750)</f>
        <v>31750</v>
      </c>
      <c r="F2823" s="8" t="str">
        <f ca="1">IFERROR(__xludf.DUMMYFUNCTION("""COMPUTED_VALUE"""),"Fergus High School")</f>
        <v>Fergus High School</v>
      </c>
      <c r="G2823" s="8">
        <f ca="1">IFERROR(__xludf.DUMMYFUNCTION("""COMPUTED_VALUE"""),1)</f>
        <v>1</v>
      </c>
      <c r="H2823" s="8">
        <f ca="1">IFERROR(__xludf.DUMMYFUNCTION("""COMPUTED_VALUE"""),1)</f>
        <v>1</v>
      </c>
      <c r="I2823" s="8">
        <f ca="1">IFERROR(__xludf.DUMMYFUNCTION("""COMPUTED_VALUE"""),2)</f>
        <v>2</v>
      </c>
      <c r="J2823" s="8">
        <f ca="1">IFERROR(__xludf.DUMMYFUNCTION("""COMPUTED_VALUE"""),0)</f>
        <v>0</v>
      </c>
      <c r="K2823" s="10" t="str">
        <f ca="1">IFERROR(__xludf.DUMMYFUNCTION("""COMPUTED_VALUE"""),"https://www.nytimes.com/1986/12/06/us/failing-grade-is-linked-to-shooting-of-teacher.html")</f>
        <v>https://www.nytimes.com/1986/12/06/us/failing-grade-is-linked-to-shooting-of-teacher.html</v>
      </c>
      <c r="L2823" s="8"/>
      <c r="M2823" s="8"/>
      <c r="N2823" s="8">
        <f ca="1">IFERROR(__xludf.DUMMYFUNCTION("""COMPUTED_VALUE"""),2)</f>
        <v>2</v>
      </c>
      <c r="O2823" s="8" t="str">
        <f ca="1">IFERROR(__xludf.DUMMYFUNCTION("""COMPUTED_VALUE"""),"Winter")</f>
        <v>Winter</v>
      </c>
      <c r="P2823" s="8" t="str">
        <f ca="1">IFERROR(__xludf.DUMMYFUNCTION("""COMPUTED_VALUE"""),"Lewistown")</f>
        <v>Lewistown</v>
      </c>
      <c r="Q2823" s="8" t="str">
        <f ca="1">IFERROR(__xludf.DUMMYFUNCTION("""COMPUTED_VALUE"""),"MT")</f>
        <v>MT</v>
      </c>
      <c r="R2823" s="8" t="str">
        <f ca="1">IFERROR(__xludf.DUMMYFUNCTION("""COMPUTED_VALUE"""),"High")</f>
        <v>High</v>
      </c>
      <c r="S2823" s="8" t="str">
        <f ca="1">IFERROR(__xludf.DUMMYFUNCTION("""COMPUTED_VALUE"""),"Classroom; Field")</f>
        <v>Classroom; Field</v>
      </c>
      <c r="T2823" s="8" t="str">
        <f ca="1">IFERROR(__xludf.DUMMYFUNCTION("""COMPUTED_VALUE"""),"Both Inside/Outside")</f>
        <v>Both Inside/Outside</v>
      </c>
      <c r="U2823" s="8" t="str">
        <f ca="1">IFERROR(__xludf.DUMMYFUNCTION("""COMPUTED_VALUE"""),"Yes")</f>
        <v>Yes</v>
      </c>
      <c r="V2823" s="8"/>
      <c r="W2823" s="8"/>
      <c r="X2823" s="8">
        <f ca="1">IFERROR(__xludf.DUMMYFUNCTION("""COMPUTED_VALUE"""),1)</f>
        <v>1</v>
      </c>
      <c r="Y2823" s="12" t="str">
        <f ca="1">IFERROR(__xludf.DUMMYFUNCTION("""COMPUTED_VALUE"""),"Shooter shot French teacher for failing grade")</f>
        <v>Shooter shot French teacher for failing grade</v>
      </c>
      <c r="Z2823" s="12" t="str">
        <f ca="1">IFERROR(__xludf.DUMMYFUNCTION("""COMPUTED_VALUE"""),"Shooter was upset for failing french class and had made threats about killing the french teacher the two days prior to the shooting. Shooter knocked on the classroom door and fired when the teacher opened it. The french teacher was not at the school that "&amp;"day and the substitute was killed instead. Shooter then fled through the school and fired at a school administrator and 2 other students who chased him. Shooter was caught at his house a mile from the school.")</f>
        <v>Shooter was upset for failing french class and had made threats about killing the french teacher the two days prior to the shooting. Shooter knocked on the classroom door and fired when the teacher opened it. The french teacher was not at the school that day and the substitute was killed instead. Shooter then fled through the school and fired at a school administrator and 2 other students who chased him. Shooter was caught at his house a mile from the school.</v>
      </c>
      <c r="AA2823" s="8" t="str">
        <f ca="1">IFERROR(__xludf.DUMMYFUNCTION("""COMPUTED_VALUE"""),"Anger Over Grade/Suspension/Discipline")</f>
        <v>Anger Over Grade/Suspension/Discipline</v>
      </c>
      <c r="AB2823" s="8"/>
      <c r="AC2823" s="8"/>
      <c r="AD2823" s="8" t="str">
        <f ca="1">IFERROR(__xludf.DUMMYFUNCTION("""COMPUTED_VALUE"""),"Victims Targeted")</f>
        <v>Victims Targeted</v>
      </c>
      <c r="AE2823" s="8" t="str">
        <f ca="1">IFERROR(__xludf.DUMMYFUNCTION("""COMPUTED_VALUE"""),"No")</f>
        <v>No</v>
      </c>
      <c r="AF2823" s="8"/>
      <c r="AG2823" s="8" t="str">
        <f ca="1">IFERROR(__xludf.DUMMYFUNCTION("""COMPUTED_VALUE"""),"No")</f>
        <v>No</v>
      </c>
      <c r="AH2823" s="8" t="str">
        <f ca="1">IFERROR(__xludf.DUMMYFUNCTION("""COMPUTED_VALUE"""),"No")</f>
        <v>No</v>
      </c>
      <c r="AI2823" s="8" t="str">
        <f ca="1">IFERROR(__xludf.DUMMYFUNCTION("""COMPUTED_VALUE"""),"No")</f>
        <v>No</v>
      </c>
      <c r="AJ2823" s="8"/>
      <c r="AK2823" s="8" t="str">
        <f ca="1">IFERROR(__xludf.DUMMYFUNCTION("""COMPUTED_VALUE"""),"No")</f>
        <v>No</v>
      </c>
      <c r="AL2823" s="8" t="str">
        <f ca="1">IFERROR(__xludf.DUMMYFUNCTION("""COMPUTED_VALUE"""),"No")</f>
        <v>No</v>
      </c>
      <c r="AM2823" s="8"/>
      <c r="AN2823" s="8"/>
      <c r="AO2823" s="8" t="str">
        <f ca="1">IFERROR(__xludf.DUMMYFUNCTION("""COMPUTED_VALUE"""),"No")</f>
        <v>No</v>
      </c>
      <c r="AP2823" s="8" t="str">
        <f ca="1">IFERROR(__xludf.DUMMYFUNCTION("""COMPUTED_VALUE"""),"No")</f>
        <v>No</v>
      </c>
      <c r="AQ2823" s="8" t="str">
        <f ca="1">IFERROR(__xludf.DUMMYFUNCTION("""COMPUTED_VALUE"""),"None")</f>
        <v>None</v>
      </c>
      <c r="AR2823" s="8" t="str">
        <f ca="1">IFERROR(__xludf.DUMMYFUNCTION("""COMPUTED_VALUE"""),"NA")</f>
        <v>NA</v>
      </c>
      <c r="AS2823" s="8">
        <f ca="1">IFERROR(__xludf.DUMMYFUNCTION("""COMPUTED_VALUE"""),4)</f>
        <v>4</v>
      </c>
      <c r="AT2823" s="8"/>
      <c r="AU2823" s="8">
        <f ca="1">IFERROR(__xludf.DUMMYFUNCTION("""COMPUTED_VALUE"""),47.053208)</f>
        <v>47.053207999999998</v>
      </c>
      <c r="AV2823" s="8">
        <f ca="1">IFERROR(__xludf.DUMMYFUNCTION("""COMPUTED_VALUE"""),-109.423423)</f>
        <v>-109.423423</v>
      </c>
      <c r="AW2823" s="8"/>
      <c r="AX2823" s="8">
        <f ca="1">IFERROR(__xludf.DUMMYFUNCTION("""COMPUTED_VALUE"""),59457)</f>
        <v>59457</v>
      </c>
    </row>
    <row r="2824" spans="1:50" ht="60" x14ac:dyDescent="0.2">
      <c r="A2824" s="8" t="str">
        <f ca="1">IFERROR(__xludf.DUMMYFUNCTION("""COMPUTED_VALUE"""),"19861008TXSOD")</f>
        <v>19861008TXSOD</v>
      </c>
      <c r="B2824" s="8">
        <f ca="1">IFERROR(__xludf.DUMMYFUNCTION("""COMPUTED_VALUE"""),10)</f>
        <v>10</v>
      </c>
      <c r="C2824" s="8">
        <f ca="1">IFERROR(__xludf.DUMMYFUNCTION("""COMPUTED_VALUE"""),8)</f>
        <v>8</v>
      </c>
      <c r="D2824" s="8">
        <f ca="1">IFERROR(__xludf.DUMMYFUNCTION("""COMPUTED_VALUE"""),1986)</f>
        <v>1986</v>
      </c>
      <c r="E2824" s="9">
        <f ca="1">IFERROR(__xludf.DUMMYFUNCTION("""COMPUTED_VALUE"""),31693)</f>
        <v>31693</v>
      </c>
      <c r="F2824" s="8" t="str">
        <f ca="1">IFERROR(__xludf.DUMMYFUNCTION("""COMPUTED_VALUE"""),"South Oak Cliff High School")</f>
        <v>South Oak Cliff High School</v>
      </c>
      <c r="G2824" s="8">
        <f ca="1">IFERROR(__xludf.DUMMYFUNCTION("""COMPUTED_VALUE"""),1)</f>
        <v>1</v>
      </c>
      <c r="H2824" s="8">
        <f ca="1">IFERROR(__xludf.DUMMYFUNCTION("""COMPUTED_VALUE"""),0)</f>
        <v>0</v>
      </c>
      <c r="I2824" s="8">
        <f ca="1">IFERROR(__xludf.DUMMYFUNCTION("""COMPUTED_VALUE"""),1)</f>
        <v>1</v>
      </c>
      <c r="J2824" s="8">
        <f ca="1">IFERROR(__xludf.DUMMYFUNCTION("""COMPUTED_VALUE"""),0)</f>
        <v>0</v>
      </c>
      <c r="K2824" s="10" t="str">
        <f ca="1">IFERROR(__xludf.DUMMYFUNCTION("""COMPUTED_VALUE"""),"https://www.newspapers.com/image/195486648/?terms=South%2BOak%2BCliff%2BHigh%2BSchool%2Bshooting")</f>
        <v>https://www.newspapers.com/image/195486648/?terms=South%2BOak%2BCliff%2BHigh%2BSchool%2Bshooting</v>
      </c>
      <c r="L2824" s="8"/>
      <c r="M2824" s="8"/>
      <c r="N2824" s="8">
        <f ca="1">IFERROR(__xludf.DUMMYFUNCTION("""COMPUTED_VALUE"""),2)</f>
        <v>2</v>
      </c>
      <c r="O2824" s="8" t="str">
        <f ca="1">IFERROR(__xludf.DUMMYFUNCTION("""COMPUTED_VALUE"""),"Fall")</f>
        <v>Fall</v>
      </c>
      <c r="P2824" s="8" t="str">
        <f ca="1">IFERROR(__xludf.DUMMYFUNCTION("""COMPUTED_VALUE"""),"Dallas")</f>
        <v>Dallas</v>
      </c>
      <c r="Q2824" s="8" t="str">
        <f ca="1">IFERROR(__xludf.DUMMYFUNCTION("""COMPUTED_VALUE"""),"TX")</f>
        <v>TX</v>
      </c>
      <c r="R2824" s="8" t="str">
        <f ca="1">IFERROR(__xludf.DUMMYFUNCTION("""COMPUTED_VALUE"""),"High")</f>
        <v>High</v>
      </c>
      <c r="S2824" s="8" t="str">
        <f ca="1">IFERROR(__xludf.DUMMYFUNCTION("""COMPUTED_VALUE"""),"School Bus")</f>
        <v>School Bus</v>
      </c>
      <c r="T2824" s="8" t="str">
        <f ca="1">IFERROR(__xludf.DUMMYFUNCTION("""COMPUTED_VALUE"""),"School Bus")</f>
        <v>School Bus</v>
      </c>
      <c r="U2824" s="8" t="str">
        <f ca="1">IFERROR(__xludf.DUMMYFUNCTION("""COMPUTED_VALUE"""),"Yes")</f>
        <v>Yes</v>
      </c>
      <c r="V2824" s="8" t="str">
        <f ca="1">IFERROR(__xludf.DUMMYFUNCTION("""COMPUTED_VALUE"""),"After School")</f>
        <v>After School</v>
      </c>
      <c r="W2824" s="11">
        <f ca="1">IFERROR(__xludf.DUMMYFUNCTION("""COMPUTED_VALUE"""),0.666666666666666)</f>
        <v>0.66666666666666596</v>
      </c>
      <c r="X2824" s="8">
        <f ca="1">IFERROR(__xludf.DUMMYFUNCTION("""COMPUTED_VALUE"""),1)</f>
        <v>1</v>
      </c>
      <c r="Y2824" s="12" t="str">
        <f ca="1">IFERROR(__xludf.DUMMYFUNCTION("""COMPUTED_VALUE"""),"Fight on bus, older brother of one of the fighters shot the other fighter")</f>
        <v>Fight on bus, older brother of one of the fighters shot the other fighter</v>
      </c>
      <c r="Z2824" s="12" t="str">
        <f ca="1">IFERROR(__xludf.DUMMYFUNCTION("""COMPUTED_VALUE"""),"Victim was arguing with another student over a seat on the school bus - older brother stepped in a shot victim in chest - then fled - shooter later turned himself in to police")</f>
        <v>Victim was arguing with another student over a seat on the school bus - older brother stepped in a shot victim in chest - then fled - shooter later turned himself in to police</v>
      </c>
      <c r="AA2824" s="8" t="str">
        <f ca="1">IFERROR(__xludf.DUMMYFUNCTION("""COMPUTED_VALUE"""),"Escalation of Dispute")</f>
        <v>Escalation of Dispute</v>
      </c>
      <c r="AB2824" s="8"/>
      <c r="AC2824" s="8"/>
      <c r="AD2824" s="8" t="str">
        <f ca="1">IFERROR(__xludf.DUMMYFUNCTION("""COMPUTED_VALUE"""),"Victims Targeted")</f>
        <v>Victims Targeted</v>
      </c>
      <c r="AE2824" s="8" t="str">
        <f ca="1">IFERROR(__xludf.DUMMYFUNCTION("""COMPUTED_VALUE"""),"Yes")</f>
        <v>Yes</v>
      </c>
      <c r="AF2824" s="8" t="str">
        <f ca="1">IFERROR(__xludf.DUMMYFUNCTION("""COMPUTED_VALUE"""),"Two brothers involved and charged")</f>
        <v>Two brothers involved and charged</v>
      </c>
      <c r="AG2824" s="8" t="str">
        <f ca="1">IFERROR(__xludf.DUMMYFUNCTION("""COMPUTED_VALUE"""),"No")</f>
        <v>No</v>
      </c>
      <c r="AH2824" s="8" t="str">
        <f ca="1">IFERROR(__xludf.DUMMYFUNCTION("""COMPUTED_VALUE"""),"No")</f>
        <v>No</v>
      </c>
      <c r="AI2824" s="8" t="str">
        <f ca="1">IFERROR(__xludf.DUMMYFUNCTION("""COMPUTED_VALUE"""),"No")</f>
        <v>No</v>
      </c>
      <c r="AJ2824" s="8" t="str">
        <f ca="1">IFERROR(__xludf.DUMMYFUNCTION("""COMPUTED_VALUE"""),"No")</f>
        <v>No</v>
      </c>
      <c r="AK2824" s="8" t="str">
        <f ca="1">IFERROR(__xludf.DUMMYFUNCTION("""COMPUTED_VALUE"""),"No")</f>
        <v>No</v>
      </c>
      <c r="AL2824" s="8" t="str">
        <f ca="1">IFERROR(__xludf.DUMMYFUNCTION("""COMPUTED_VALUE"""),"No")</f>
        <v>No</v>
      </c>
      <c r="AM2824" s="8"/>
      <c r="AN2824" s="8"/>
      <c r="AO2824" s="8" t="str">
        <f ca="1">IFERROR(__xludf.DUMMYFUNCTION("""COMPUTED_VALUE"""),"No")</f>
        <v>No</v>
      </c>
      <c r="AP2824" s="8" t="str">
        <f ca="1">IFERROR(__xludf.DUMMYFUNCTION("""COMPUTED_VALUE"""),"No")</f>
        <v>No</v>
      </c>
      <c r="AQ2824" s="8" t="str">
        <f ca="1">IFERROR(__xludf.DUMMYFUNCTION("""COMPUTED_VALUE"""),"Unknown")</f>
        <v>Unknown</v>
      </c>
      <c r="AR2824" s="8" t="str">
        <f ca="1">IFERROR(__xludf.DUMMYFUNCTION("""COMPUTED_VALUE"""),"NA")</f>
        <v>NA</v>
      </c>
      <c r="AS2824" s="8">
        <f ca="1">IFERROR(__xludf.DUMMYFUNCTION("""COMPUTED_VALUE"""),1)</f>
        <v>1</v>
      </c>
      <c r="AT2824" s="8"/>
      <c r="AU2824" s="8">
        <f ca="1">IFERROR(__xludf.DUMMYFUNCTION("""COMPUTED_VALUE"""),32.699543)</f>
        <v>32.699542999999998</v>
      </c>
      <c r="AV2824" s="8">
        <f ca="1">IFERROR(__xludf.DUMMYFUNCTION("""COMPUTED_VALUE"""),-96.815768)</f>
        <v>-96.815768000000006</v>
      </c>
      <c r="AW2824" s="8"/>
      <c r="AX2824" s="8">
        <f ca="1">IFERROR(__xludf.DUMMYFUNCTION("""COMPUTED_VALUE"""),75216)</f>
        <v>75216</v>
      </c>
    </row>
    <row r="2825" spans="1:50" ht="60" x14ac:dyDescent="0.2">
      <c r="A2825" s="8" t="str">
        <f ca="1">IFERROR(__xludf.DUMMYFUNCTION("""COMPUTED_VALUE"""),"19861003CAMOM")</f>
        <v>19861003CAMOM</v>
      </c>
      <c r="B2825" s="8">
        <f ca="1">IFERROR(__xludf.DUMMYFUNCTION("""COMPUTED_VALUE"""),10)</f>
        <v>10</v>
      </c>
      <c r="C2825" s="8">
        <f ca="1">IFERROR(__xludf.DUMMYFUNCTION("""COMPUTED_VALUE"""),3)</f>
        <v>3</v>
      </c>
      <c r="D2825" s="8">
        <f ca="1">IFERROR(__xludf.DUMMYFUNCTION("""COMPUTED_VALUE"""),1986)</f>
        <v>1986</v>
      </c>
      <c r="E2825" s="9">
        <f ca="1">IFERROR(__xludf.DUMMYFUNCTION("""COMPUTED_VALUE"""),31688)</f>
        <v>31688</v>
      </c>
      <c r="F2825" s="8" t="str">
        <f ca="1">IFERROR(__xludf.DUMMYFUNCTION("""COMPUTED_VALUE"""),"Monrovia High School")</f>
        <v>Monrovia High School</v>
      </c>
      <c r="G2825" s="8">
        <f ca="1">IFERROR(__xludf.DUMMYFUNCTION("""COMPUTED_VALUE"""),0)</f>
        <v>0</v>
      </c>
      <c r="H2825" s="8">
        <f ca="1">IFERROR(__xludf.DUMMYFUNCTION("""COMPUTED_VALUE"""),2)</f>
        <v>2</v>
      </c>
      <c r="I2825" s="8">
        <f ca="1">IFERROR(__xludf.DUMMYFUNCTION("""COMPUTED_VALUE"""),2)</f>
        <v>2</v>
      </c>
      <c r="J2825" s="8">
        <f ca="1">IFERROR(__xludf.DUMMYFUNCTION("""COMPUTED_VALUE"""),0)</f>
        <v>0</v>
      </c>
      <c r="K2825" s="10" t="str">
        <f ca="1">IFERROR(__xludf.DUMMYFUNCTION("""COMPUTED_VALUE"""),"https://www.newspapers.com/image/64897451/?terms=Monrovia%2BHigh%2BSchool%2Bshooting")</f>
        <v>https://www.newspapers.com/image/64897451/?terms=Monrovia%2BHigh%2BSchool%2Bshooting</v>
      </c>
      <c r="L2825" s="8"/>
      <c r="M2825" s="8"/>
      <c r="N2825" s="8">
        <f ca="1">IFERROR(__xludf.DUMMYFUNCTION("""COMPUTED_VALUE"""),2)</f>
        <v>2</v>
      </c>
      <c r="O2825" s="8" t="str">
        <f ca="1">IFERROR(__xludf.DUMMYFUNCTION("""COMPUTED_VALUE"""),"Fall")</f>
        <v>Fall</v>
      </c>
      <c r="P2825" s="8" t="str">
        <f ca="1">IFERROR(__xludf.DUMMYFUNCTION("""COMPUTED_VALUE"""),"Monrovia")</f>
        <v>Monrovia</v>
      </c>
      <c r="Q2825" s="8" t="str">
        <f ca="1">IFERROR(__xludf.DUMMYFUNCTION("""COMPUTED_VALUE"""),"CA")</f>
        <v>CA</v>
      </c>
      <c r="R2825" s="8" t="str">
        <f ca="1">IFERROR(__xludf.DUMMYFUNCTION("""COMPUTED_VALUE"""),"High")</f>
        <v>High</v>
      </c>
      <c r="S2825" s="8" t="str">
        <f ca="1">IFERROR(__xludf.DUMMYFUNCTION("""COMPUTED_VALUE"""),"Football Field/Track")</f>
        <v>Football Field/Track</v>
      </c>
      <c r="T2825" s="8" t="str">
        <f ca="1">IFERROR(__xludf.DUMMYFUNCTION("""COMPUTED_VALUE"""),"Outside on School Property")</f>
        <v>Outside on School Property</v>
      </c>
      <c r="U2825" s="8" t="str">
        <f ca="1">IFERROR(__xludf.DUMMYFUNCTION("""COMPUTED_VALUE"""),"No")</f>
        <v>No</v>
      </c>
      <c r="V2825" s="8" t="str">
        <f ca="1">IFERROR(__xludf.DUMMYFUNCTION("""COMPUTED_VALUE"""),"Sport Event")</f>
        <v>Sport Event</v>
      </c>
      <c r="W2825" s="8"/>
      <c r="X2825" s="8">
        <f ca="1">IFERROR(__xludf.DUMMYFUNCTION("""COMPUTED_VALUE"""),1)</f>
        <v>1</v>
      </c>
      <c r="Y2825" s="12" t="str">
        <f ca="1">IFERROR(__xludf.DUMMYFUNCTION("""COMPUTED_VALUE"""),"Rival gang fight during football game")</f>
        <v>Rival gang fight during football game</v>
      </c>
      <c r="Z2825" s="12" t="str">
        <f ca="1">IFERROR(__xludf.DUMMYFUNCTION("""COMPUTED_VALUE"""),"Shots fired during a gang-related fight at a football game injured two bystanders (student and adult). Panic from the shots caused a 1,200 person stamped that caused 6 minor injuries.")</f>
        <v>Shots fired during a gang-related fight at a football game injured two bystanders (student and adult). Panic from the shots caused a 1,200 person stamped that caused 6 minor injuries.</v>
      </c>
      <c r="AA2825" s="8" t="str">
        <f ca="1">IFERROR(__xludf.DUMMYFUNCTION("""COMPUTED_VALUE"""),"Escalation of Dispute")</f>
        <v>Escalation of Dispute</v>
      </c>
      <c r="AB2825" s="8"/>
      <c r="AC2825" s="8"/>
      <c r="AD2825" s="8" t="str">
        <f ca="1">IFERROR(__xludf.DUMMYFUNCTION("""COMPUTED_VALUE"""),"Both")</f>
        <v>Both</v>
      </c>
      <c r="AE2825" s="8" t="str">
        <f ca="1">IFERROR(__xludf.DUMMYFUNCTION("""COMPUTED_VALUE"""),"Yes")</f>
        <v>Yes</v>
      </c>
      <c r="AF2825" s="8" t="str">
        <f ca="1">IFERROR(__xludf.DUMMYFUNCTION("""COMPUTED_VALUE"""),"Three involved in shooting")</f>
        <v>Three involved in shooting</v>
      </c>
      <c r="AG2825" s="8" t="str">
        <f ca="1">IFERROR(__xludf.DUMMYFUNCTION("""COMPUTED_VALUE"""),"No")</f>
        <v>No</v>
      </c>
      <c r="AH2825" s="8" t="str">
        <f ca="1">IFERROR(__xludf.DUMMYFUNCTION("""COMPUTED_VALUE"""),"No")</f>
        <v>No</v>
      </c>
      <c r="AI2825" s="8" t="str">
        <f ca="1">IFERROR(__xludf.DUMMYFUNCTION("""COMPUTED_VALUE"""),"No")</f>
        <v>No</v>
      </c>
      <c r="AJ2825" s="8" t="str">
        <f ca="1">IFERROR(__xludf.DUMMYFUNCTION("""COMPUTED_VALUE"""),"No")</f>
        <v>No</v>
      </c>
      <c r="AK2825" s="8" t="str">
        <f ca="1">IFERROR(__xludf.DUMMYFUNCTION("""COMPUTED_VALUE"""),"No")</f>
        <v>No</v>
      </c>
      <c r="AL2825" s="8" t="str">
        <f ca="1">IFERROR(__xludf.DUMMYFUNCTION("""COMPUTED_VALUE"""),"Yes")</f>
        <v>Yes</v>
      </c>
      <c r="AM2825" s="8"/>
      <c r="AN2825" s="8"/>
      <c r="AO2825" s="8" t="str">
        <f ca="1">IFERROR(__xludf.DUMMYFUNCTION("""COMPUTED_VALUE"""),"No")</f>
        <v>No</v>
      </c>
      <c r="AP2825" s="8"/>
      <c r="AQ2825" s="8" t="str">
        <f ca="1">IFERROR(__xludf.DUMMYFUNCTION("""COMPUTED_VALUE"""),"Unknown")</f>
        <v>Unknown</v>
      </c>
      <c r="AR2825" s="8" t="str">
        <f ca="1">IFERROR(__xludf.DUMMYFUNCTION("""COMPUTED_VALUE"""),"NA")</f>
        <v>NA</v>
      </c>
      <c r="AS2825" s="8" t="str">
        <f ca="1">IFERROR(__xludf.DUMMYFUNCTION("""COMPUTED_VALUE"""),"&lt;10")</f>
        <v>&lt;10</v>
      </c>
      <c r="AT2825" s="8"/>
      <c r="AU2825" s="8">
        <f ca="1">IFERROR(__xludf.DUMMYFUNCTION("""COMPUTED_VALUE"""),34.147975)</f>
        <v>34.147975000000002</v>
      </c>
      <c r="AV2825" s="8">
        <f ca="1">IFERROR(__xludf.DUMMYFUNCTION("""COMPUTED_VALUE"""),-118.017244)</f>
        <v>-118.01724400000001</v>
      </c>
      <c r="AW2825" s="8"/>
      <c r="AX2825" s="8">
        <f ca="1">IFERROR(__xludf.DUMMYFUNCTION("""COMPUTED_VALUE"""),91016)</f>
        <v>91016</v>
      </c>
    </row>
    <row r="2826" spans="1:50" ht="240" x14ac:dyDescent="0.2">
      <c r="A2826" s="8" t="str">
        <f ca="1">IFERROR(__xludf.DUMMYFUNCTION("""COMPUTED_VALUE"""),"19860925NYREB")</f>
        <v>19860925NYREB</v>
      </c>
      <c r="B2826" s="8">
        <f ca="1">IFERROR(__xludf.DUMMYFUNCTION("""COMPUTED_VALUE"""),9)</f>
        <v>9</v>
      </c>
      <c r="C2826" s="8">
        <f ca="1">IFERROR(__xludf.DUMMYFUNCTION("""COMPUTED_VALUE"""),25)</f>
        <v>25</v>
      </c>
      <c r="D2826" s="8">
        <f ca="1">IFERROR(__xludf.DUMMYFUNCTION("""COMPUTED_VALUE"""),1986)</f>
        <v>1986</v>
      </c>
      <c r="E2826" s="9">
        <f ca="1">IFERROR(__xludf.DUMMYFUNCTION("""COMPUTED_VALUE"""),31680)</f>
        <v>31680</v>
      </c>
      <c r="F2826" s="8" t="str">
        <f ca="1">IFERROR(__xludf.DUMMYFUNCTION("""COMPUTED_VALUE"""),"Red Hook High School")</f>
        <v>Red Hook High School</v>
      </c>
      <c r="G2826" s="8">
        <f ca="1">IFERROR(__xludf.DUMMYFUNCTION("""COMPUTED_VALUE"""),0)</f>
        <v>0</v>
      </c>
      <c r="H2826" s="8">
        <f ca="1">IFERROR(__xludf.DUMMYFUNCTION("""COMPUTED_VALUE"""),0)</f>
        <v>0</v>
      </c>
      <c r="I2826" s="8">
        <f ca="1">IFERROR(__xludf.DUMMYFUNCTION("""COMPUTED_VALUE"""),0)</f>
        <v>0</v>
      </c>
      <c r="J2826" s="8">
        <f ca="1">IFERROR(__xludf.DUMMYFUNCTION("""COMPUTED_VALUE"""),0)</f>
        <v>0</v>
      </c>
      <c r="K2826" s="10" t="str">
        <f ca="1">IFERROR(__xludf.DUMMYFUNCTION("""COMPUTED_VALUE"""),"https://1450wkip.iheart.com/content/2025-08-07-woman-arrested-for-murder-linked-to-1986-school-incident/
https://lawandcrime.com/crime/f-ing-with-her-for-too-long-woman-who-once-threatened-to-kill-her-teacher-now-charged-with-murdering-her-boss/")</f>
        <v>https://1450wkip.iheart.com/content/2025-08-07-woman-arrested-for-murder-linked-to-1986-school-incident/
https://lawandcrime.com/crime/f-ing-with-her-for-too-long-woman-who-once-threatened-to-kill-her-teacher-now-charged-with-murdering-her-boss/</v>
      </c>
      <c r="L2826" s="8"/>
      <c r="M2826" s="8" t="str">
        <f ca="1">IFERROR(__xludf.DUMMYFUNCTION("""COMPUTED_VALUE"""),"National")</f>
        <v>National</v>
      </c>
      <c r="N2826" s="8">
        <f ca="1">IFERROR(__xludf.DUMMYFUNCTION("""COMPUTED_VALUE"""),4)</f>
        <v>4</v>
      </c>
      <c r="O2826" s="8" t="str">
        <f ca="1">IFERROR(__xludf.DUMMYFUNCTION("""COMPUTED_VALUE"""),"Fall")</f>
        <v>Fall</v>
      </c>
      <c r="P2826" s="8" t="str">
        <f ca="1">IFERROR(__xludf.DUMMYFUNCTION("""COMPUTED_VALUE"""),"Brooklyn")</f>
        <v>Brooklyn</v>
      </c>
      <c r="Q2826" s="8" t="str">
        <f ca="1">IFERROR(__xludf.DUMMYFUNCTION("""COMPUTED_VALUE"""),"NY")</f>
        <v>NY</v>
      </c>
      <c r="R2826" s="8" t="str">
        <f ca="1">IFERROR(__xludf.DUMMYFUNCTION("""COMPUTED_VALUE"""),"High")</f>
        <v>High</v>
      </c>
      <c r="S2826" s="8" t="str">
        <f ca="1">IFERROR(__xludf.DUMMYFUNCTION("""COMPUTED_VALUE"""),"Office")</f>
        <v>Office</v>
      </c>
      <c r="T2826" s="8" t="str">
        <f ca="1">IFERROR(__xludf.DUMMYFUNCTION("""COMPUTED_VALUE"""),"Inside School Building")</f>
        <v>Inside School Building</v>
      </c>
      <c r="U2826" s="8" t="str">
        <f ca="1">IFERROR(__xludf.DUMMYFUNCTION("""COMPUTED_VALUE"""),"Yes")</f>
        <v>Yes</v>
      </c>
      <c r="V2826" s="8" t="str">
        <f ca="1">IFERROR(__xludf.DUMMYFUNCTION("""COMPUTED_VALUE"""),"Afternoon Classes")</f>
        <v>Afternoon Classes</v>
      </c>
      <c r="W2826" s="8"/>
      <c r="X2826" s="8">
        <f ca="1">IFERROR(__xludf.DUMMYFUNCTION("""COMPUTED_VALUE"""),1)</f>
        <v>1</v>
      </c>
      <c r="Y2826" s="12" t="str">
        <f ca="1">IFERROR(__xludf.DUMMYFUNCTION("""COMPUTED_VALUE"""),"Student was sent home for disrupting class, came back to shotgun, tackled by other teachers")</f>
        <v>Student was sent home for disrupting class, came back to shotgun, tackled by other teachers</v>
      </c>
      <c r="Z2826" s="12" t="str">
        <f ca="1">IFERROR(__xludf.DUMMYFUNCTION("""COMPUTED_VALUE"""),"On Sept. 25, 1986, when she was an 18-year-old high school senior living in Red Hook, a port-adjacent neighborhood in the borough of Brooklyn in New York City, the defendant came to school wielding a loaded 12-gauge shotgun, according to The Daily Freeman"&amp;". At the time, Holt was incensed about about being removed from an English class due to ""behavioral problems"" and appeared intent on striking down the teacher who had disciplined her. The teacher was, thankfully, not in class at the time. So, Holt made "&amp;"her way to a faculty lounge – where she was promptly tackled by two other teachers, disarmed, and arrested without any injuries. Initially charged with attempted murder, attempted assault, and criminal trespass – all felonies – and misdemeanor possession "&amp;"of a weapon, she eventually pleaded guilty to attempted assault and received five years probation due to her young age.")</f>
        <v>On Sept. 25, 1986, when she was an 18-year-old high school senior living in Red Hook, a port-adjacent neighborhood in the borough of Brooklyn in New York City, the defendant came to school wielding a loaded 12-gauge shotgun, according to The Daily Freeman. At the time, Holt was incensed about about being removed from an English class due to "behavioral problems" and appeared intent on striking down the teacher who had disciplined her. The teacher was, thankfully, not in class at the time. So, Holt made her way to a faculty lounge – where she was promptly tackled by two other teachers, disarmed, and arrested without any injuries. Initially charged with attempted murder, attempted assault, and criminal trespass – all felonies – and misdemeanor possession of a weapon, she eventually pleaded guilty to attempted assault and received five years probation due to her young age.</v>
      </c>
      <c r="AA2826" s="8" t="str">
        <f ca="1">IFERROR(__xludf.DUMMYFUNCTION("""COMPUTED_VALUE"""),"Anger Over Grade/Suspension/Discipline")</f>
        <v>Anger Over Grade/Suspension/Discipline</v>
      </c>
      <c r="AB2826" s="8" t="str">
        <f ca="1">IFERROR(__xludf.DUMMYFUNCTION("""COMPUTED_VALUE"""),"Targeted")</f>
        <v>Targeted</v>
      </c>
      <c r="AC2826" s="8" t="str">
        <f ca="1">IFERROR(__xludf.DUMMYFUNCTION("""COMPUTED_VALUE"""),"Yes")</f>
        <v>Yes</v>
      </c>
      <c r="AD2826" s="8" t="str">
        <f ca="1">IFERROR(__xludf.DUMMYFUNCTION("""COMPUTED_VALUE"""),"Victims Targeted")</f>
        <v>Victims Targeted</v>
      </c>
      <c r="AE2826" s="8" t="str">
        <f ca="1">IFERROR(__xludf.DUMMYFUNCTION("""COMPUTED_VALUE"""),"No")</f>
        <v>No</v>
      </c>
      <c r="AF2826" s="8"/>
      <c r="AG2826" s="8" t="str">
        <f ca="1">IFERROR(__xludf.DUMMYFUNCTION("""COMPUTED_VALUE"""),"No")</f>
        <v>No</v>
      </c>
      <c r="AH2826" s="8" t="str">
        <f ca="1">IFERROR(__xludf.DUMMYFUNCTION("""COMPUTED_VALUE"""),"No")</f>
        <v>No</v>
      </c>
      <c r="AI2826" s="8" t="str">
        <f ca="1">IFERROR(__xludf.DUMMYFUNCTION("""COMPUTED_VALUE"""),"No")</f>
        <v>No</v>
      </c>
      <c r="AJ2826" s="8"/>
      <c r="AK2826" s="8" t="str">
        <f ca="1">IFERROR(__xludf.DUMMYFUNCTION("""COMPUTED_VALUE"""),"No")</f>
        <v>No</v>
      </c>
      <c r="AL2826" s="8" t="str">
        <f ca="1">IFERROR(__xludf.DUMMYFUNCTION("""COMPUTED_VALUE"""),"No")</f>
        <v>No</v>
      </c>
      <c r="AM2826" s="8" t="str">
        <f ca="1">IFERROR(__xludf.DUMMYFUNCTION("""COMPUTED_VALUE"""),"Yes")</f>
        <v>Yes</v>
      </c>
      <c r="AN2826" s="8" t="str">
        <f ca="1">IFERROR(__xludf.DUMMYFUNCTION("""COMPUTED_VALUE"""),"Single Room")</f>
        <v>Single Room</v>
      </c>
      <c r="AO2826" s="8" t="str">
        <f ca="1">IFERROR(__xludf.DUMMYFUNCTION("""COMPUTED_VALUE"""),"Yes")</f>
        <v>Yes</v>
      </c>
      <c r="AP2826" s="8"/>
      <c r="AQ2826" s="8"/>
      <c r="AR2826" s="8"/>
      <c r="AS2826" s="8">
        <f ca="1">IFERROR(__xludf.DUMMYFUNCTION("""COMPUTED_VALUE"""),0)</f>
        <v>0</v>
      </c>
      <c r="AT2826" s="8" t="str">
        <f ca="1">IFERROR(__xludf.DUMMYFUNCTION("""COMPUTED_VALUE"""),"No")</f>
        <v>No</v>
      </c>
      <c r="AU2826" s="8">
        <f ca="1">IFERROR(__xludf.DUMMYFUNCTION("""COMPUTED_VALUE"""),41.999248)</f>
        <v>41.999248000000001</v>
      </c>
      <c r="AV2826" s="8">
        <f ca="1">IFERROR(__xludf.DUMMYFUNCTION("""COMPUTED_VALUE"""),-73.884386)</f>
        <v>-73.884386000000006</v>
      </c>
      <c r="AW2826" s="8" t="str">
        <f ca="1">IFERROR(__xludf.DUMMYFUNCTION("""COMPUTED_VALUE"""),"Multiple attached buildings")</f>
        <v>Multiple attached buildings</v>
      </c>
      <c r="AX2826" s="8">
        <f ca="1">IFERROR(__xludf.DUMMYFUNCTION("""COMPUTED_VALUE"""),12571)</f>
        <v>12571</v>
      </c>
    </row>
    <row r="2827" spans="1:50" ht="75" x14ac:dyDescent="0.2">
      <c r="A2827" s="8" t="str">
        <f ca="1">IFERROR(__xludf.DUMMYFUNCTION("""COMPUTED_VALUE"""),"19860918CABEB")</f>
        <v>19860918CABEB</v>
      </c>
      <c r="B2827" s="8">
        <f ca="1">IFERROR(__xludf.DUMMYFUNCTION("""COMPUTED_VALUE"""),9)</f>
        <v>9</v>
      </c>
      <c r="C2827" s="8">
        <f ca="1">IFERROR(__xludf.DUMMYFUNCTION("""COMPUTED_VALUE"""),18)</f>
        <v>18</v>
      </c>
      <c r="D2827" s="8">
        <f ca="1">IFERROR(__xludf.DUMMYFUNCTION("""COMPUTED_VALUE"""),1986)</f>
        <v>1986</v>
      </c>
      <c r="E2827" s="9">
        <f ca="1">IFERROR(__xludf.DUMMYFUNCTION("""COMPUTED_VALUE"""),31673)</f>
        <v>31673</v>
      </c>
      <c r="F2827" s="8" t="str">
        <f ca="1">IFERROR(__xludf.DUMMYFUNCTION("""COMPUTED_VALUE"""),"Benicia High School")</f>
        <v>Benicia High School</v>
      </c>
      <c r="G2827" s="8">
        <f ca="1">IFERROR(__xludf.DUMMYFUNCTION("""COMPUTED_VALUE"""),1)</f>
        <v>1</v>
      </c>
      <c r="H2827" s="8">
        <f ca="1">IFERROR(__xludf.DUMMYFUNCTION("""COMPUTED_VALUE"""),0)</f>
        <v>0</v>
      </c>
      <c r="I2827" s="8">
        <f ca="1">IFERROR(__xludf.DUMMYFUNCTION("""COMPUTED_VALUE"""),1)</f>
        <v>1</v>
      </c>
      <c r="J2827" s="8">
        <f ca="1">IFERROR(__xludf.DUMMYFUNCTION("""COMPUTED_VALUE"""),0)</f>
        <v>0</v>
      </c>
      <c r="K2827" s="10" t="str">
        <f ca="1">IFERROR(__xludf.DUMMYFUNCTION("""COMPUTED_VALUE"""),"https://www.newspapers.com/image/71348642/?terms=Benicia%2BHigh%2BSchool%2Bshooting")</f>
        <v>https://www.newspapers.com/image/71348642/?terms=Benicia%2BHigh%2BSchool%2Bshooting</v>
      </c>
      <c r="L2827" s="8"/>
      <c r="M2827" s="8"/>
      <c r="N2827" s="8">
        <f ca="1">IFERROR(__xludf.DUMMYFUNCTION("""COMPUTED_VALUE"""),2)</f>
        <v>2</v>
      </c>
      <c r="O2827" s="8" t="str">
        <f ca="1">IFERROR(__xludf.DUMMYFUNCTION("""COMPUTED_VALUE"""),"Fall")</f>
        <v>Fall</v>
      </c>
      <c r="P2827" s="8" t="str">
        <f ca="1">IFERROR(__xludf.DUMMYFUNCTION("""COMPUTED_VALUE"""),"Benicia")</f>
        <v>Benicia</v>
      </c>
      <c r="Q2827" s="8" t="str">
        <f ca="1">IFERROR(__xludf.DUMMYFUNCTION("""COMPUTED_VALUE"""),"CA")</f>
        <v>CA</v>
      </c>
      <c r="R2827" s="8" t="str">
        <f ca="1">IFERROR(__xludf.DUMMYFUNCTION("""COMPUTED_VALUE"""),"High")</f>
        <v>High</v>
      </c>
      <c r="S2827" s="8" t="str">
        <f ca="1">IFERROR(__xludf.DUMMYFUNCTION("""COMPUTED_VALUE"""),"Outside on School Property")</f>
        <v>Outside on School Property</v>
      </c>
      <c r="T2827" s="8" t="str">
        <f ca="1">IFERROR(__xludf.DUMMYFUNCTION("""COMPUTED_VALUE"""),"Outside on School Property")</f>
        <v>Outside on School Property</v>
      </c>
      <c r="U2827" s="8" t="str">
        <f ca="1">IFERROR(__xludf.DUMMYFUNCTION("""COMPUTED_VALUE"""),"Yes")</f>
        <v>Yes</v>
      </c>
      <c r="V2827" s="8" t="str">
        <f ca="1">IFERROR(__xludf.DUMMYFUNCTION("""COMPUTED_VALUE"""),"Afternoon Classes")</f>
        <v>Afternoon Classes</v>
      </c>
      <c r="W2827" s="8"/>
      <c r="X2827" s="8">
        <f ca="1">IFERROR(__xludf.DUMMYFUNCTION("""COMPUTED_VALUE"""),1)</f>
        <v>1</v>
      </c>
      <c r="Y2827" s="12" t="str">
        <f ca="1">IFERROR(__xludf.DUMMYFUNCTION("""COMPUTED_VALUE"""),"Victim broke up with boyfriend after school so he shot her in school parking lot")</f>
        <v>Victim broke up with boyfriend after school so he shot her in school parking lot</v>
      </c>
      <c r="Z2827" s="12" t="str">
        <f ca="1">IFERROR(__xludf.DUMMYFUNCTION("""COMPUTED_VALUE"""),"18YOM shot 15YOF during an argument. Shooter was found holding the body of the victim with the gun on the ground nearby. Shooter claimed he didn't think the gun was loaded. Shooter was sent for 72-psych evaluation. Shooter was well liked varsity athlete.")</f>
        <v>18YOM shot 15YOF during an argument. Shooter was found holding the body of the victim with the gun on the ground nearby. Shooter claimed he didn't think the gun was loaded. Shooter was sent for 72-psych evaluation. Shooter was well liked varsity athlete.</v>
      </c>
      <c r="AA2827" s="8" t="str">
        <f ca="1">IFERROR(__xludf.DUMMYFUNCTION("""COMPUTED_VALUE"""),"Domestic w/ Targeted Victim")</f>
        <v>Domestic w/ Targeted Victim</v>
      </c>
      <c r="AB2827" s="8"/>
      <c r="AC2827" s="8"/>
      <c r="AD2827" s="8" t="str">
        <f ca="1">IFERROR(__xludf.DUMMYFUNCTION("""COMPUTED_VALUE"""),"Victims Targeted")</f>
        <v>Victims Targeted</v>
      </c>
      <c r="AE2827" s="8" t="str">
        <f ca="1">IFERROR(__xludf.DUMMYFUNCTION("""COMPUTED_VALUE"""),"No")</f>
        <v>No</v>
      </c>
      <c r="AF2827" s="8"/>
      <c r="AG2827" s="8" t="str">
        <f ca="1">IFERROR(__xludf.DUMMYFUNCTION("""COMPUTED_VALUE"""),"No")</f>
        <v>No</v>
      </c>
      <c r="AH2827" s="8" t="str">
        <f ca="1">IFERROR(__xludf.DUMMYFUNCTION("""COMPUTED_VALUE"""),"No")</f>
        <v>No</v>
      </c>
      <c r="AI2827" s="8" t="str">
        <f ca="1">IFERROR(__xludf.DUMMYFUNCTION("""COMPUTED_VALUE"""),"No")</f>
        <v>No</v>
      </c>
      <c r="AJ2827" s="8" t="str">
        <f ca="1">IFERROR(__xludf.DUMMYFUNCTION("""COMPUTED_VALUE"""),"No")</f>
        <v>No</v>
      </c>
      <c r="AK2827" s="8" t="str">
        <f ca="1">IFERROR(__xludf.DUMMYFUNCTION("""COMPUTED_VALUE"""),"Yes")</f>
        <v>Yes</v>
      </c>
      <c r="AL2827" s="8" t="str">
        <f ca="1">IFERROR(__xludf.DUMMYFUNCTION("""COMPUTED_VALUE"""),"No")</f>
        <v>No</v>
      </c>
      <c r="AM2827" s="8"/>
      <c r="AN2827" s="8"/>
      <c r="AO2827" s="8" t="str">
        <f ca="1">IFERROR(__xludf.DUMMYFUNCTION("""COMPUTED_VALUE"""),"No")</f>
        <v>No</v>
      </c>
      <c r="AP2827" s="8"/>
      <c r="AQ2827" s="8" t="str">
        <f ca="1">IFERROR(__xludf.DUMMYFUNCTION("""COMPUTED_VALUE"""),"Unknown")</f>
        <v>Unknown</v>
      </c>
      <c r="AR2827" s="8" t="str">
        <f ca="1">IFERROR(__xludf.DUMMYFUNCTION("""COMPUTED_VALUE"""),"NA")</f>
        <v>NA</v>
      </c>
      <c r="AS2827" s="8">
        <f ca="1">IFERROR(__xludf.DUMMYFUNCTION("""COMPUTED_VALUE"""),1)</f>
        <v>1</v>
      </c>
      <c r="AT2827" s="8"/>
      <c r="AU2827" s="8">
        <f ca="1">IFERROR(__xludf.DUMMYFUNCTION("""COMPUTED_VALUE"""),38.065121)</f>
        <v>38.065120999999998</v>
      </c>
      <c r="AV2827" s="8">
        <f ca="1">IFERROR(__xludf.DUMMYFUNCTION("""COMPUTED_VALUE"""),-122.176324)</f>
        <v>-122.17632399999999</v>
      </c>
      <c r="AW2827" s="8"/>
      <c r="AX2827" s="8">
        <f ca="1">IFERROR(__xludf.DUMMYFUNCTION("""COMPUTED_VALUE"""),94569)</f>
        <v>94569</v>
      </c>
    </row>
    <row r="2828" spans="1:50" ht="60" x14ac:dyDescent="0.2">
      <c r="A2828" s="8" t="str">
        <f ca="1">IFERROR(__xludf.DUMMYFUNCTION("""COMPUTED_VALUE"""),"19860912CAFAL")</f>
        <v>19860912CAFAL</v>
      </c>
      <c r="B2828" s="8">
        <f ca="1">IFERROR(__xludf.DUMMYFUNCTION("""COMPUTED_VALUE"""),9)</f>
        <v>9</v>
      </c>
      <c r="C2828" s="8">
        <f ca="1">IFERROR(__xludf.DUMMYFUNCTION("""COMPUTED_VALUE"""),12)</f>
        <v>12</v>
      </c>
      <c r="D2828" s="8">
        <f ca="1">IFERROR(__xludf.DUMMYFUNCTION("""COMPUTED_VALUE"""),1986)</f>
        <v>1986</v>
      </c>
      <c r="E2828" s="9">
        <f ca="1">IFERROR(__xludf.DUMMYFUNCTION("""COMPUTED_VALUE"""),31667)</f>
        <v>31667</v>
      </c>
      <c r="F2828" s="8" t="str">
        <f ca="1">IFERROR(__xludf.DUMMYFUNCTION("""COMPUTED_VALUE"""),"Fairfax High School")</f>
        <v>Fairfax High School</v>
      </c>
      <c r="G2828" s="8">
        <f ca="1">IFERROR(__xludf.DUMMYFUNCTION("""COMPUTED_VALUE"""),1)</f>
        <v>1</v>
      </c>
      <c r="H2828" s="8">
        <f ca="1">IFERROR(__xludf.DUMMYFUNCTION("""COMPUTED_VALUE"""),0)</f>
        <v>0</v>
      </c>
      <c r="I2828" s="8">
        <f ca="1">IFERROR(__xludf.DUMMYFUNCTION("""COMPUTED_VALUE"""),1)</f>
        <v>1</v>
      </c>
      <c r="J2828" s="8">
        <f ca="1">IFERROR(__xludf.DUMMYFUNCTION("""COMPUTED_VALUE"""),0)</f>
        <v>0</v>
      </c>
      <c r="K2828" s="10" t="str">
        <f ca="1">IFERROR(__xludf.DUMMYFUNCTION("""COMPUTED_VALUE"""),"https://www.newspapers.com/image/404657287/?terms=Fairfax%2BHigh%2BSchool%2Bshooting")</f>
        <v>https://www.newspapers.com/image/404657287/?terms=Fairfax%2BHigh%2BSchool%2Bshooting</v>
      </c>
      <c r="L2828" s="8"/>
      <c r="M2828" s="8"/>
      <c r="N2828" s="8">
        <f ca="1">IFERROR(__xludf.DUMMYFUNCTION("""COMPUTED_VALUE"""),2)</f>
        <v>2</v>
      </c>
      <c r="O2828" s="8" t="str">
        <f ca="1">IFERROR(__xludf.DUMMYFUNCTION("""COMPUTED_VALUE"""),"Fall")</f>
        <v>Fall</v>
      </c>
      <c r="P2828" s="8" t="str">
        <f ca="1">IFERROR(__xludf.DUMMYFUNCTION("""COMPUTED_VALUE"""),"Los Angeles")</f>
        <v>Los Angeles</v>
      </c>
      <c r="Q2828" s="8" t="str">
        <f ca="1">IFERROR(__xludf.DUMMYFUNCTION("""COMPUTED_VALUE"""),"CA")</f>
        <v>CA</v>
      </c>
      <c r="R2828" s="8" t="str">
        <f ca="1">IFERROR(__xludf.DUMMYFUNCTION("""COMPUTED_VALUE"""),"High")</f>
        <v>High</v>
      </c>
      <c r="S2828" s="8" t="str">
        <f ca="1">IFERROR(__xludf.DUMMYFUNCTION("""COMPUTED_VALUE"""),"Hallway")</f>
        <v>Hallway</v>
      </c>
      <c r="T2828" s="8" t="str">
        <f ca="1">IFERROR(__xludf.DUMMYFUNCTION("""COMPUTED_VALUE"""),"Inside School Building")</f>
        <v>Inside School Building</v>
      </c>
      <c r="U2828" s="8" t="str">
        <f ca="1">IFERROR(__xludf.DUMMYFUNCTION("""COMPUTED_VALUE"""),"Yes")</f>
        <v>Yes</v>
      </c>
      <c r="V2828" s="8" t="str">
        <f ca="1">IFERROR(__xludf.DUMMYFUNCTION("""COMPUTED_VALUE"""),"Afternoon Classes")</f>
        <v>Afternoon Classes</v>
      </c>
      <c r="W2828" s="11">
        <f ca="1">IFERROR(__xludf.DUMMYFUNCTION("""COMPUTED_VALUE"""),0.59375)</f>
        <v>0.59375</v>
      </c>
      <c r="X2828" s="8">
        <f ca="1">IFERROR(__xludf.DUMMYFUNCTION("""COMPUTED_VALUE"""),1)</f>
        <v>1</v>
      </c>
      <c r="Y2828" s="12" t="str">
        <f ca="1">IFERROR(__xludf.DUMMYFUNCTION("""COMPUTED_VALUE"""),"Fight broke out in hallway, victim was inadvertently shot in back and killed")</f>
        <v>Fight broke out in hallway, victim was inadvertently shot in back and killed</v>
      </c>
      <c r="Z2828" s="12" t="str">
        <f ca="1">IFERROR(__xludf.DUMMYFUNCTION("""COMPUTED_VALUE"""),"Gang related shooting in the hallway of the school. A former student visiting the school was in the crossfire and shot in the back. Police were looking for 3 students who were suspects.")</f>
        <v>Gang related shooting in the hallway of the school. A former student visiting the school was in the crossfire and shot in the back. Police were looking for 3 students who were suspects.</v>
      </c>
      <c r="AA2828" s="8" t="str">
        <f ca="1">IFERROR(__xludf.DUMMYFUNCTION("""COMPUTED_VALUE"""),"Escalation of Dispute")</f>
        <v>Escalation of Dispute</v>
      </c>
      <c r="AB2828" s="8"/>
      <c r="AC2828" s="8"/>
      <c r="AD2828" s="8" t="str">
        <f ca="1">IFERROR(__xludf.DUMMYFUNCTION("""COMPUTED_VALUE"""),"Both")</f>
        <v>Both</v>
      </c>
      <c r="AE2828" s="8" t="str">
        <f ca="1">IFERROR(__xludf.DUMMYFUNCTION("""COMPUTED_VALUE"""),"Yes")</f>
        <v>Yes</v>
      </c>
      <c r="AF2828" s="8" t="str">
        <f ca="1">IFERROR(__xludf.DUMMYFUNCTION("""COMPUTED_VALUE"""),"Police were looking for 3 suspected gang members involved")</f>
        <v>Police were looking for 3 suspected gang members involved</v>
      </c>
      <c r="AG2828" s="8" t="str">
        <f ca="1">IFERROR(__xludf.DUMMYFUNCTION("""COMPUTED_VALUE"""),"No")</f>
        <v>No</v>
      </c>
      <c r="AH2828" s="8" t="str">
        <f ca="1">IFERROR(__xludf.DUMMYFUNCTION("""COMPUTED_VALUE"""),"No")</f>
        <v>No</v>
      </c>
      <c r="AI2828" s="8" t="str">
        <f ca="1">IFERROR(__xludf.DUMMYFUNCTION("""COMPUTED_VALUE"""),"No")</f>
        <v>No</v>
      </c>
      <c r="AJ2828" s="8" t="str">
        <f ca="1">IFERROR(__xludf.DUMMYFUNCTION("""COMPUTED_VALUE"""),"No")</f>
        <v>No</v>
      </c>
      <c r="AK2828" s="8" t="str">
        <f ca="1">IFERROR(__xludf.DUMMYFUNCTION("""COMPUTED_VALUE"""),"No")</f>
        <v>No</v>
      </c>
      <c r="AL2828" s="8" t="str">
        <f ca="1">IFERROR(__xludf.DUMMYFUNCTION("""COMPUTED_VALUE"""),"Yes")</f>
        <v>Yes</v>
      </c>
      <c r="AM2828" s="8"/>
      <c r="AN2828" s="8"/>
      <c r="AO2828" s="8" t="str">
        <f ca="1">IFERROR(__xludf.DUMMYFUNCTION("""COMPUTED_VALUE"""),"No")</f>
        <v>No</v>
      </c>
      <c r="AP2828" s="8"/>
      <c r="AQ2828" s="8" t="str">
        <f ca="1">IFERROR(__xludf.DUMMYFUNCTION("""COMPUTED_VALUE"""),"Unknown")</f>
        <v>Unknown</v>
      </c>
      <c r="AR2828" s="8" t="str">
        <f ca="1">IFERROR(__xludf.DUMMYFUNCTION("""COMPUTED_VALUE"""),"NA")</f>
        <v>NA</v>
      </c>
      <c r="AS2828" s="8" t="str">
        <f ca="1">IFERROR(__xludf.DUMMYFUNCTION("""COMPUTED_VALUE"""),"&lt;10")</f>
        <v>&lt;10</v>
      </c>
      <c r="AT2828" s="8"/>
      <c r="AU2828" s="8">
        <f ca="1">IFERROR(__xludf.DUMMYFUNCTION("""COMPUTED_VALUE"""),34.082)</f>
        <v>34.082000000000001</v>
      </c>
      <c r="AV2828" s="8">
        <f ca="1">IFERROR(__xludf.DUMMYFUNCTION("""COMPUTED_VALUE"""),-118.36)</f>
        <v>-118.36</v>
      </c>
      <c r="AW2828" s="8"/>
      <c r="AX2828" s="8">
        <f ca="1">IFERROR(__xludf.DUMMYFUNCTION("""COMPUTED_VALUE"""),90046)</f>
        <v>90046</v>
      </c>
    </row>
    <row r="2829" spans="1:50" ht="60" x14ac:dyDescent="0.2">
      <c r="A2829" s="8" t="str">
        <f ca="1">IFERROR(__xludf.DUMMYFUNCTION("""COMPUTED_VALUE"""),"19860517TNMAN")</f>
        <v>19860517TNMAN</v>
      </c>
      <c r="B2829" s="8">
        <f ca="1">IFERROR(__xludf.DUMMYFUNCTION("""COMPUTED_VALUE"""),5)</f>
        <v>5</v>
      </c>
      <c r="C2829" s="8">
        <f ca="1">IFERROR(__xludf.DUMMYFUNCTION("""COMPUTED_VALUE"""),17)</f>
        <v>17</v>
      </c>
      <c r="D2829" s="8">
        <f ca="1">IFERROR(__xludf.DUMMYFUNCTION("""COMPUTED_VALUE"""),1986)</f>
        <v>1986</v>
      </c>
      <c r="E2829" s="9">
        <f ca="1">IFERROR(__xludf.DUMMYFUNCTION("""COMPUTED_VALUE"""),31549)</f>
        <v>31549</v>
      </c>
      <c r="F2829" s="8" t="str">
        <f ca="1">IFERROR(__xludf.DUMMYFUNCTION("""COMPUTED_VALUE"""),"Maplewood High School")</f>
        <v>Maplewood High School</v>
      </c>
      <c r="G2829" s="8">
        <f ca="1">IFERROR(__xludf.DUMMYFUNCTION("""COMPUTED_VALUE"""),0)</f>
        <v>0</v>
      </c>
      <c r="H2829" s="8">
        <f ca="1">IFERROR(__xludf.DUMMYFUNCTION("""COMPUTED_VALUE"""),1)</f>
        <v>1</v>
      </c>
      <c r="I2829" s="8">
        <f ca="1">IFERROR(__xludf.DUMMYFUNCTION("""COMPUTED_VALUE"""),1)</f>
        <v>1</v>
      </c>
      <c r="J2829" s="8">
        <f ca="1">IFERROR(__xludf.DUMMYFUNCTION("""COMPUTED_VALUE"""),0)</f>
        <v>0</v>
      </c>
      <c r="K2829" s="10" t="str">
        <f ca="1">IFERROR(__xludf.DUMMYFUNCTION("""COMPUTED_VALUE"""),"https://www.newspapers.com/image/321065578/?terms=KERRY%2BDICKENS")</f>
        <v>https://www.newspapers.com/image/321065578/?terms=KERRY%2BDICKENS</v>
      </c>
      <c r="L2829" s="8"/>
      <c r="M2829" s="8"/>
      <c r="N2829" s="8">
        <f ca="1">IFERROR(__xludf.DUMMYFUNCTION("""COMPUTED_VALUE"""),2)</f>
        <v>2</v>
      </c>
      <c r="O2829" s="8" t="str">
        <f ca="1">IFERROR(__xludf.DUMMYFUNCTION("""COMPUTED_VALUE"""),"Spring")</f>
        <v>Spring</v>
      </c>
      <c r="P2829" s="8" t="str">
        <f ca="1">IFERROR(__xludf.DUMMYFUNCTION("""COMPUTED_VALUE"""),"Nashville")</f>
        <v>Nashville</v>
      </c>
      <c r="Q2829" s="8" t="str">
        <f ca="1">IFERROR(__xludf.DUMMYFUNCTION("""COMPUTED_VALUE"""),"TN")</f>
        <v>TN</v>
      </c>
      <c r="R2829" s="8" t="str">
        <f ca="1">IFERROR(__xludf.DUMMYFUNCTION("""COMPUTED_VALUE"""),"High")</f>
        <v>High</v>
      </c>
      <c r="S2829" s="8" t="str">
        <f ca="1">IFERROR(__xludf.DUMMYFUNCTION("""COMPUTED_VALUE"""),"Classroom")</f>
        <v>Classroom</v>
      </c>
      <c r="T2829" s="8" t="str">
        <f ca="1">IFERROR(__xludf.DUMMYFUNCTION("""COMPUTED_VALUE"""),"Inside School Building")</f>
        <v>Inside School Building</v>
      </c>
      <c r="U2829" s="8" t="str">
        <f ca="1">IFERROR(__xludf.DUMMYFUNCTION("""COMPUTED_VALUE"""),"Yes")</f>
        <v>Yes</v>
      </c>
      <c r="V2829" s="8" t="str">
        <f ca="1">IFERROR(__xludf.DUMMYFUNCTION("""COMPUTED_VALUE"""),"Before School")</f>
        <v>Before School</v>
      </c>
      <c r="W2829" s="11">
        <f ca="1">IFERROR(__xludf.DUMMYFUNCTION("""COMPUTED_VALUE"""),0.291666666666666)</f>
        <v>0.29166666666666602</v>
      </c>
      <c r="X2829" s="8">
        <f ca="1">IFERROR(__xludf.DUMMYFUNCTION("""COMPUTED_VALUE"""),1)</f>
        <v>1</v>
      </c>
      <c r="Y2829" s="12" t="str">
        <f ca="1">IFERROR(__xludf.DUMMYFUNCTION("""COMPUTED_VALUE"""),"Angry at teacher for kicking him out of class")</f>
        <v>Angry at teacher for kicking him out of class</v>
      </c>
      <c r="Z2829" s="12" t="str">
        <f ca="1">IFERROR(__xludf.DUMMYFUNCTION("""COMPUTED_VALUE"""),"Shooter was kicked out of class be teacher the day prior. The following day when he showed back up to class, teacher asked him to leave - shooter pulled out gun and shot teacher in chest - shooter fled, but was later caught.")</f>
        <v>Shooter was kicked out of class be teacher the day prior. The following day when he showed back up to class, teacher asked him to leave - shooter pulled out gun and shot teacher in chest - shooter fled, but was later caught.</v>
      </c>
      <c r="AA2829" s="8" t="str">
        <f ca="1">IFERROR(__xludf.DUMMYFUNCTION("""COMPUTED_VALUE"""),"Anger Over Grade/Suspension/Discipline")</f>
        <v>Anger Over Grade/Suspension/Discipline</v>
      </c>
      <c r="AB2829" s="8"/>
      <c r="AC2829" s="8"/>
      <c r="AD2829" s="8" t="str">
        <f ca="1">IFERROR(__xludf.DUMMYFUNCTION("""COMPUTED_VALUE"""),"Victims Targeted")</f>
        <v>Victims Targeted</v>
      </c>
      <c r="AE2829" s="8" t="str">
        <f ca="1">IFERROR(__xludf.DUMMYFUNCTION("""COMPUTED_VALUE"""),"No")</f>
        <v>No</v>
      </c>
      <c r="AF2829" s="8"/>
      <c r="AG2829" s="8" t="str">
        <f ca="1">IFERROR(__xludf.DUMMYFUNCTION("""COMPUTED_VALUE"""),"No")</f>
        <v>No</v>
      </c>
      <c r="AH2829" s="8" t="str">
        <f ca="1">IFERROR(__xludf.DUMMYFUNCTION("""COMPUTED_VALUE"""),"No")</f>
        <v>No</v>
      </c>
      <c r="AI2829" s="8" t="str">
        <f ca="1">IFERROR(__xludf.DUMMYFUNCTION("""COMPUTED_VALUE"""),"No")</f>
        <v>No</v>
      </c>
      <c r="AJ2829" s="8" t="str">
        <f ca="1">IFERROR(__xludf.DUMMYFUNCTION("""COMPUTED_VALUE"""),"No")</f>
        <v>No</v>
      </c>
      <c r="AK2829" s="8" t="str">
        <f ca="1">IFERROR(__xludf.DUMMYFUNCTION("""COMPUTED_VALUE"""),"No")</f>
        <v>No</v>
      </c>
      <c r="AL2829" s="8" t="str">
        <f ca="1">IFERROR(__xludf.DUMMYFUNCTION("""COMPUTED_VALUE"""),"No")</f>
        <v>No</v>
      </c>
      <c r="AM2829" s="8"/>
      <c r="AN2829" s="8"/>
      <c r="AO2829" s="8" t="str">
        <f ca="1">IFERROR(__xludf.DUMMYFUNCTION("""COMPUTED_VALUE"""),"No")</f>
        <v>No</v>
      </c>
      <c r="AP2829" s="8"/>
      <c r="AQ2829" s="8" t="str">
        <f ca="1">IFERROR(__xludf.DUMMYFUNCTION("""COMPUTED_VALUE"""),"Unknown")</f>
        <v>Unknown</v>
      </c>
      <c r="AR2829" s="8" t="str">
        <f ca="1">IFERROR(__xludf.DUMMYFUNCTION("""COMPUTED_VALUE"""),"NA")</f>
        <v>NA</v>
      </c>
      <c r="AS2829" s="8">
        <f ca="1">IFERROR(__xludf.DUMMYFUNCTION("""COMPUTED_VALUE"""),1)</f>
        <v>1</v>
      </c>
      <c r="AT2829" s="8"/>
      <c r="AU2829" s="8">
        <f ca="1">IFERROR(__xludf.DUMMYFUNCTION("""COMPUTED_VALUE"""),36.23217)</f>
        <v>36.232170000000004</v>
      </c>
      <c r="AV2829" s="8">
        <f ca="1">IFERROR(__xludf.DUMMYFUNCTION("""COMPUTED_VALUE"""),-86.74983)</f>
        <v>-86.749830000000003</v>
      </c>
      <c r="AW2829" s="8"/>
      <c r="AX2829" s="8">
        <f ca="1">IFERROR(__xludf.DUMMYFUNCTION("""COMPUTED_VALUE"""),37216)</f>
        <v>37216</v>
      </c>
    </row>
    <row r="2830" spans="1:50" ht="135" x14ac:dyDescent="0.2">
      <c r="A2830" s="8" t="str">
        <f ca="1">IFERROR(__xludf.DUMMYFUNCTION("""COMPUTED_VALUE"""),"19860516WYCOC")</f>
        <v>19860516WYCOC</v>
      </c>
      <c r="B2830" s="8">
        <f ca="1">IFERROR(__xludf.DUMMYFUNCTION("""COMPUTED_VALUE"""),5)</f>
        <v>5</v>
      </c>
      <c r="C2830" s="8">
        <f ca="1">IFERROR(__xludf.DUMMYFUNCTION("""COMPUTED_VALUE"""),16)</f>
        <v>16</v>
      </c>
      <c r="D2830" s="8">
        <f ca="1">IFERROR(__xludf.DUMMYFUNCTION("""COMPUTED_VALUE"""),1986)</f>
        <v>1986</v>
      </c>
      <c r="E2830" s="9">
        <f ca="1">IFERROR(__xludf.DUMMYFUNCTION("""COMPUTED_VALUE"""),31548)</f>
        <v>31548</v>
      </c>
      <c r="F2830" s="8" t="str">
        <f ca="1">IFERROR(__xludf.DUMMYFUNCTION("""COMPUTED_VALUE"""),"Cokeville Elementary School")</f>
        <v>Cokeville Elementary School</v>
      </c>
      <c r="G2830" s="8">
        <f ca="1">IFERROR(__xludf.DUMMYFUNCTION("""COMPUTED_VALUE"""),0)</f>
        <v>0</v>
      </c>
      <c r="H2830" s="8">
        <f ca="1">IFERROR(__xludf.DUMMYFUNCTION("""COMPUTED_VALUE"""),74)</f>
        <v>74</v>
      </c>
      <c r="I2830" s="8">
        <f ca="1">IFERROR(__xludf.DUMMYFUNCTION("""COMPUTED_VALUE"""),74)</f>
        <v>74</v>
      </c>
      <c r="J2830" s="8">
        <f ca="1">IFERROR(__xludf.DUMMYFUNCTION("""COMPUTED_VALUE"""),1)</f>
        <v>1</v>
      </c>
      <c r="K2830" s="8" t="str">
        <f ca="1">IFERROR(__xludf.DUMMYFUNCTION("""COMPUTED_VALUE"""),"https://www.wyohistory.org/encyclopedia/cokeville-elementary-school-bombing https://www.nytimes.com/1986/05/17/us/couple-take-over-school-but-die-after-bomb-blast.html")</f>
        <v>https://www.wyohistory.org/encyclopedia/cokeville-elementary-school-bombing https://www.nytimes.com/1986/05/17/us/couple-take-over-school-but-die-after-bomb-blast.html</v>
      </c>
      <c r="L2830" s="8"/>
      <c r="M2830" s="8"/>
      <c r="N2830" s="8">
        <f ca="1">IFERROR(__xludf.DUMMYFUNCTION("""COMPUTED_VALUE"""),2)</f>
        <v>2</v>
      </c>
      <c r="O2830" s="8" t="str">
        <f ca="1">IFERROR(__xludf.DUMMYFUNCTION("""COMPUTED_VALUE"""),"Spring")</f>
        <v>Spring</v>
      </c>
      <c r="P2830" s="8" t="str">
        <f ca="1">IFERROR(__xludf.DUMMYFUNCTION("""COMPUTED_VALUE"""),"Cokeville")</f>
        <v>Cokeville</v>
      </c>
      <c r="Q2830" s="8" t="str">
        <f ca="1">IFERROR(__xludf.DUMMYFUNCTION("""COMPUTED_VALUE"""),"WY")</f>
        <v>WY</v>
      </c>
      <c r="R2830" s="8" t="str">
        <f ca="1">IFERROR(__xludf.DUMMYFUNCTION("""COMPUTED_VALUE"""),"Elementary")</f>
        <v>Elementary</v>
      </c>
      <c r="S2830" s="8" t="str">
        <f ca="1">IFERROR(__xludf.DUMMYFUNCTION("""COMPUTED_VALUE"""),"Cafeteria")</f>
        <v>Cafeteria</v>
      </c>
      <c r="T2830" s="8" t="str">
        <f ca="1">IFERROR(__xludf.DUMMYFUNCTION("""COMPUTED_VALUE"""),"Inside School Building")</f>
        <v>Inside School Building</v>
      </c>
      <c r="U2830" s="8" t="str">
        <f ca="1">IFERROR(__xludf.DUMMYFUNCTION("""COMPUTED_VALUE"""),"Yes")</f>
        <v>Yes</v>
      </c>
      <c r="V2830" s="8" t="str">
        <f ca="1">IFERROR(__xludf.DUMMYFUNCTION("""COMPUTED_VALUE"""),"Afternoon Classes")</f>
        <v>Afternoon Classes</v>
      </c>
      <c r="W2830" s="11">
        <f ca="1">IFERROR(__xludf.DUMMYFUNCTION("""COMPUTED_VALUE"""),0.5625)</f>
        <v>0.5625</v>
      </c>
      <c r="X2830" s="8">
        <f ca="1">IFERROR(__xludf.DUMMYFUNCTION("""COMPUTED_VALUE"""),150)</f>
        <v>150</v>
      </c>
      <c r="Y2830" s="12" t="str">
        <f ca="1">IFERROR(__xludf.DUMMYFUNCTION("""COMPUTED_VALUE"""),"Adult couple held 150 students and teacher hostage, detonated firebomb in cafeteria")</f>
        <v>Adult couple held 150 students and teacher hostage, detonated firebomb in cafeteria</v>
      </c>
      <c r="Z2830" s="12" t="str">
        <f ca="1">IFERROR(__xludf.DUMMYFUNCTION("""COMPUTED_VALUE"""),"Shooters (husband and wife) took 150 children and teachers hostage in elementary school. Shooters had a gasoline bomb rigged with a dead man switch attached to the wife. The wife accidently set off the gasoline bomb severely injuring herself and 74 studen"&amp;"ts. The husband then fatally shot and killed himself. The husband has previously been the sole police officer in the town but had become socially isolated over the past year. Shooters believed they were leading a revolution.")</f>
        <v>Shooters (husband and wife) took 150 children and teachers hostage in elementary school. Shooters had a gasoline bomb rigged with a dead man switch attached to the wife. The wife accidently set off the gasoline bomb severely injuring herself and 74 students. The husband then fatally shot and killed himself. The husband has previously been the sole police officer in the town but had become socially isolated over the past year. Shooters believed they were leading a revolution.</v>
      </c>
      <c r="AA2830" s="8" t="str">
        <f ca="1">IFERROR(__xludf.DUMMYFUNCTION("""COMPUTED_VALUE"""),"Hostage/Standoff")</f>
        <v>Hostage/Standoff</v>
      </c>
      <c r="AB2830" s="8"/>
      <c r="AC2830" s="8"/>
      <c r="AD2830" s="8" t="str">
        <f ca="1">IFERROR(__xludf.DUMMYFUNCTION("""COMPUTED_VALUE"""),"Neither")</f>
        <v>Neither</v>
      </c>
      <c r="AE2830" s="8" t="str">
        <f ca="1">IFERROR(__xludf.DUMMYFUNCTION("""COMPUTED_VALUE"""),"Yes")</f>
        <v>Yes</v>
      </c>
      <c r="AF2830" s="8" t="str">
        <f ca="1">IFERROR(__xludf.DUMMYFUNCTION("""COMPUTED_VALUE"""),"Husband and Wife")</f>
        <v>Husband and Wife</v>
      </c>
      <c r="AG2830" s="8" t="str">
        <f ca="1">IFERROR(__xludf.DUMMYFUNCTION("""COMPUTED_VALUE"""),"Yes")</f>
        <v>Yes</v>
      </c>
      <c r="AH2830" s="8" t="str">
        <f ca="1">IFERROR(__xludf.DUMMYFUNCTION("""COMPUTED_VALUE"""),"No")</f>
        <v>No</v>
      </c>
      <c r="AI2830" s="8" t="str">
        <f ca="1">IFERROR(__xludf.DUMMYFUNCTION("""COMPUTED_VALUE"""),"No")</f>
        <v>No</v>
      </c>
      <c r="AJ2830" s="8" t="str">
        <f ca="1">IFERROR(__xludf.DUMMYFUNCTION("""COMPUTED_VALUE"""),"No")</f>
        <v>No</v>
      </c>
      <c r="AK2830" s="8" t="str">
        <f ca="1">IFERROR(__xludf.DUMMYFUNCTION("""COMPUTED_VALUE"""),"No")</f>
        <v>No</v>
      </c>
      <c r="AL2830" s="8" t="str">
        <f ca="1">IFERROR(__xludf.DUMMYFUNCTION("""COMPUTED_VALUE"""),"No")</f>
        <v>No</v>
      </c>
      <c r="AM2830" s="8" t="str">
        <f ca="1">IFERROR(__xludf.DUMMYFUNCTION("""COMPUTED_VALUE"""),"Yes")</f>
        <v>Yes</v>
      </c>
      <c r="AN2830" s="8" t="str">
        <f ca="1">IFERROR(__xludf.DUMMYFUNCTION("""COMPUTED_VALUE"""),"Multiple Rooms")</f>
        <v>Multiple Rooms</v>
      </c>
      <c r="AO2830" s="8" t="str">
        <f ca="1">IFERROR(__xludf.DUMMYFUNCTION("""COMPUTED_VALUE"""),"Yes")</f>
        <v>Yes</v>
      </c>
      <c r="AP2830" s="8" t="str">
        <f ca="1">IFERROR(__xludf.DUMMYFUNCTION("""COMPUTED_VALUE"""),"No")</f>
        <v>No</v>
      </c>
      <c r="AQ2830" s="8" t="str">
        <f ca="1">IFERROR(__xludf.DUMMYFUNCTION("""COMPUTED_VALUE"""),"None")</f>
        <v>None</v>
      </c>
      <c r="AR2830" s="8" t="str">
        <f ca="1">IFERROR(__xludf.DUMMYFUNCTION("""COMPUTED_VALUE"""),"NA")</f>
        <v>NA</v>
      </c>
      <c r="AS2830" s="8" t="str">
        <f ca="1">IFERROR(__xludf.DUMMYFUNCTION("""COMPUTED_VALUE"""),"&gt;10")</f>
        <v>&gt;10</v>
      </c>
      <c r="AT2830" s="8"/>
      <c r="AU2830" s="8">
        <f ca="1">IFERROR(__xludf.DUMMYFUNCTION("""COMPUTED_VALUE"""),42.086538)</f>
        <v>42.086537999999997</v>
      </c>
      <c r="AV2830" s="8">
        <f ca="1">IFERROR(__xludf.DUMMYFUNCTION("""COMPUTED_VALUE"""),-110.954597)</f>
        <v>-110.95459700000001</v>
      </c>
      <c r="AW2830" s="8"/>
      <c r="AX2830" s="8">
        <f ca="1">IFERROR(__xludf.DUMMYFUNCTION("""COMPUTED_VALUE"""),83114)</f>
        <v>83114</v>
      </c>
    </row>
    <row r="2831" spans="1:50" ht="45" x14ac:dyDescent="0.2">
      <c r="A2831" s="8" t="str">
        <f ca="1">IFERROR(__xludf.DUMMYFUNCTION("""COMPUTED_VALUE"""),"19860515GACAA")</f>
        <v>19860515GACAA</v>
      </c>
      <c r="B2831" s="8">
        <f ca="1">IFERROR(__xludf.DUMMYFUNCTION("""COMPUTED_VALUE"""),5)</f>
        <v>5</v>
      </c>
      <c r="C2831" s="8">
        <f ca="1">IFERROR(__xludf.DUMMYFUNCTION("""COMPUTED_VALUE"""),15)</f>
        <v>15</v>
      </c>
      <c r="D2831" s="8">
        <f ca="1">IFERROR(__xludf.DUMMYFUNCTION("""COMPUTED_VALUE"""),1986)</f>
        <v>1986</v>
      </c>
      <c r="E2831" s="9">
        <f ca="1">IFERROR(__xludf.DUMMYFUNCTION("""COMPUTED_VALUE"""),31547)</f>
        <v>31547</v>
      </c>
      <c r="F2831" s="8" t="str">
        <f ca="1">IFERROR(__xludf.DUMMYFUNCTION("""COMPUTED_VALUE"""),"Carver High School")</f>
        <v>Carver High School</v>
      </c>
      <c r="G2831" s="8">
        <f ca="1">IFERROR(__xludf.DUMMYFUNCTION("""COMPUTED_VALUE"""),0)</f>
        <v>0</v>
      </c>
      <c r="H2831" s="8">
        <f ca="1">IFERROR(__xludf.DUMMYFUNCTION("""COMPUTED_VALUE"""),1)</f>
        <v>1</v>
      </c>
      <c r="I2831" s="8">
        <f ca="1">IFERROR(__xludf.DUMMYFUNCTION("""COMPUTED_VALUE"""),1)</f>
        <v>1</v>
      </c>
      <c r="J2831" s="8">
        <f ca="1">IFERROR(__xludf.DUMMYFUNCTION("""COMPUTED_VALUE"""),0)</f>
        <v>0</v>
      </c>
      <c r="K2831" s="10" t="str">
        <f ca="1">IFERROR(__xludf.DUMMYFUNCTION("""COMPUTED_VALUE"""),"https://www.newspapers.com/image/399571341/?terms=tammy%2Bfowler%2Bcarver")</f>
        <v>https://www.newspapers.com/image/399571341/?terms=tammy%2Bfowler%2Bcarver</v>
      </c>
      <c r="L2831" s="8"/>
      <c r="M2831" s="8"/>
      <c r="N2831" s="8">
        <f ca="1">IFERROR(__xludf.DUMMYFUNCTION("""COMPUTED_VALUE"""),2)</f>
        <v>2</v>
      </c>
      <c r="O2831" s="8" t="str">
        <f ca="1">IFERROR(__xludf.DUMMYFUNCTION("""COMPUTED_VALUE"""),"Spring")</f>
        <v>Spring</v>
      </c>
      <c r="P2831" s="8" t="str">
        <f ca="1">IFERROR(__xludf.DUMMYFUNCTION("""COMPUTED_VALUE"""),"Atlanta")</f>
        <v>Atlanta</v>
      </c>
      <c r="Q2831" s="8" t="str">
        <f ca="1">IFERROR(__xludf.DUMMYFUNCTION("""COMPUTED_VALUE"""),"GA")</f>
        <v>GA</v>
      </c>
      <c r="R2831" s="8" t="str">
        <f ca="1">IFERROR(__xludf.DUMMYFUNCTION("""COMPUTED_VALUE"""),"High")</f>
        <v>High</v>
      </c>
      <c r="S2831" s="8" t="str">
        <f ca="1">IFERROR(__xludf.DUMMYFUNCTION("""COMPUTED_VALUE"""),"Field (General)")</f>
        <v>Field (General)</v>
      </c>
      <c r="T2831" s="8" t="str">
        <f ca="1">IFERROR(__xludf.DUMMYFUNCTION("""COMPUTED_VALUE"""),"Outside on School Property")</f>
        <v>Outside on School Property</v>
      </c>
      <c r="U2831" s="8" t="str">
        <f ca="1">IFERROR(__xludf.DUMMYFUNCTION("""COMPUTED_VALUE"""),"Yes")</f>
        <v>Yes</v>
      </c>
      <c r="V2831" s="8"/>
      <c r="W2831" s="8"/>
      <c r="X2831" s="8">
        <f ca="1">IFERROR(__xludf.DUMMYFUNCTION("""COMPUTED_VALUE"""),1)</f>
        <v>1</v>
      </c>
      <c r="Y2831" s="12" t="str">
        <f ca="1">IFERROR(__xludf.DUMMYFUNCTION("""COMPUTED_VALUE"""),"Accidental - during ROTC rifle practice")</f>
        <v>Accidental - during ROTC rifle practice</v>
      </c>
      <c r="Z2831" s="12" t="str">
        <f ca="1">IFERROR(__xludf.DUMMYFUNCTION("""COMPUTED_VALUE"""),"Accidentally shot during ROTC rifle shooting practice by fellow student while she was down range - hit in lower left leg")</f>
        <v>Accidentally shot during ROTC rifle shooting practice by fellow student while she was down range - hit in lower left leg</v>
      </c>
      <c r="AA2831" s="8" t="str">
        <f ca="1">IFERROR(__xludf.DUMMYFUNCTION("""COMPUTED_VALUE"""),"Accidental")</f>
        <v>Accidental</v>
      </c>
      <c r="AB2831" s="8"/>
      <c r="AC2831" s="8"/>
      <c r="AD2831" s="8" t="str">
        <f ca="1">IFERROR(__xludf.DUMMYFUNCTION("""COMPUTED_VALUE"""),"Random Shooting")</f>
        <v>Random Shooting</v>
      </c>
      <c r="AE2831" s="8"/>
      <c r="AF2831" s="8"/>
      <c r="AG2831" s="8" t="str">
        <f ca="1">IFERROR(__xludf.DUMMYFUNCTION("""COMPUTED_VALUE"""),"No")</f>
        <v>No</v>
      </c>
      <c r="AH2831" s="8" t="str">
        <f ca="1">IFERROR(__xludf.DUMMYFUNCTION("""COMPUTED_VALUE"""),"No")</f>
        <v>No</v>
      </c>
      <c r="AI2831" s="8" t="str">
        <f ca="1">IFERROR(__xludf.DUMMYFUNCTION("""COMPUTED_VALUE"""),"No")</f>
        <v>No</v>
      </c>
      <c r="AJ2831" s="8" t="str">
        <f ca="1">IFERROR(__xludf.DUMMYFUNCTION("""COMPUTED_VALUE"""),"No")</f>
        <v>No</v>
      </c>
      <c r="AK2831" s="8" t="str">
        <f ca="1">IFERROR(__xludf.DUMMYFUNCTION("""COMPUTED_VALUE"""),"No")</f>
        <v>No</v>
      </c>
      <c r="AL2831" s="8" t="str">
        <f ca="1">IFERROR(__xludf.DUMMYFUNCTION("""COMPUTED_VALUE"""),"No")</f>
        <v>No</v>
      </c>
      <c r="AM2831" s="8"/>
      <c r="AN2831" s="8"/>
      <c r="AO2831" s="8" t="str">
        <f ca="1">IFERROR(__xludf.DUMMYFUNCTION("""COMPUTED_VALUE"""),"No")</f>
        <v>No</v>
      </c>
      <c r="AP2831" s="8"/>
      <c r="AQ2831" s="8" t="str">
        <f ca="1">IFERROR(__xludf.DUMMYFUNCTION("""COMPUTED_VALUE"""),"Unknown")</f>
        <v>Unknown</v>
      </c>
      <c r="AR2831" s="8" t="str">
        <f ca="1">IFERROR(__xludf.DUMMYFUNCTION("""COMPUTED_VALUE"""),"NA")</f>
        <v>NA</v>
      </c>
      <c r="AS2831" s="8">
        <f ca="1">IFERROR(__xludf.DUMMYFUNCTION("""COMPUTED_VALUE"""),1)</f>
        <v>1</v>
      </c>
      <c r="AT2831" s="8"/>
      <c r="AU2831" s="8">
        <f ca="1">IFERROR(__xludf.DUMMYFUNCTION("""COMPUTED_VALUE"""),33.71948)</f>
        <v>33.719479999999997</v>
      </c>
      <c r="AV2831" s="8">
        <f ca="1">IFERROR(__xludf.DUMMYFUNCTION("""COMPUTED_VALUE"""),-84.389659)</f>
        <v>-84.389658999999995</v>
      </c>
      <c r="AW2831" s="8"/>
      <c r="AX2831" s="8">
        <f ca="1">IFERROR(__xludf.DUMMYFUNCTION("""COMPUTED_VALUE"""),30310)</f>
        <v>30310</v>
      </c>
    </row>
    <row r="2832" spans="1:50" ht="60" x14ac:dyDescent="0.2">
      <c r="A2832" s="8" t="str">
        <f ca="1">IFERROR(__xludf.DUMMYFUNCTION("""COMPUTED_VALUE"""),"19860509NCPIF")</f>
        <v>19860509NCPIF</v>
      </c>
      <c r="B2832" s="8">
        <f ca="1">IFERROR(__xludf.DUMMYFUNCTION("""COMPUTED_VALUE"""),5)</f>
        <v>5</v>
      </c>
      <c r="C2832" s="8">
        <f ca="1">IFERROR(__xludf.DUMMYFUNCTION("""COMPUTED_VALUE"""),9)</f>
        <v>9</v>
      </c>
      <c r="D2832" s="8">
        <f ca="1">IFERROR(__xludf.DUMMYFUNCTION("""COMPUTED_VALUE"""),1986)</f>
        <v>1986</v>
      </c>
      <c r="E2832" s="9">
        <f ca="1">IFERROR(__xludf.DUMMYFUNCTION("""COMPUTED_VALUE"""),31541)</f>
        <v>31541</v>
      </c>
      <c r="F2832" s="8" t="str">
        <f ca="1">IFERROR(__xludf.DUMMYFUNCTION("""COMPUTED_VALUE"""),"Pine Forest High School")</f>
        <v>Pine Forest High School</v>
      </c>
      <c r="G2832" s="8">
        <f ca="1">IFERROR(__xludf.DUMMYFUNCTION("""COMPUTED_VALUE"""),0)</f>
        <v>0</v>
      </c>
      <c r="H2832" s="8">
        <f ca="1">IFERROR(__xludf.DUMMYFUNCTION("""COMPUTED_VALUE"""),3)</f>
        <v>3</v>
      </c>
      <c r="I2832" s="8">
        <f ca="1">IFERROR(__xludf.DUMMYFUNCTION("""COMPUTED_VALUE"""),3)</f>
        <v>3</v>
      </c>
      <c r="J2832" s="8">
        <f ca="1">IFERROR(__xludf.DUMMYFUNCTION("""COMPUTED_VALUE"""),0)</f>
        <v>0</v>
      </c>
      <c r="K2832" s="10" t="str">
        <f ca="1">IFERROR(__xludf.DUMMYFUNCTION("""COMPUTED_VALUE"""),"https://www.upi.com/Archives/1986/05/09/A-17-year-old-student-opened-fire-with-a-pistol-in/5107515995200/")</f>
        <v>https://www.upi.com/Archives/1986/05/09/A-17-year-old-student-opened-fire-with-a-pistol-in/5107515995200/</v>
      </c>
      <c r="L2832" s="8"/>
      <c r="M2832" s="8"/>
      <c r="N2832" s="8">
        <f ca="1">IFERROR(__xludf.DUMMYFUNCTION("""COMPUTED_VALUE"""),2)</f>
        <v>2</v>
      </c>
      <c r="O2832" s="8" t="str">
        <f ca="1">IFERROR(__xludf.DUMMYFUNCTION("""COMPUTED_VALUE"""),"Spring")</f>
        <v>Spring</v>
      </c>
      <c r="P2832" s="8" t="str">
        <f ca="1">IFERROR(__xludf.DUMMYFUNCTION("""COMPUTED_VALUE"""),"Fayetteville")</f>
        <v>Fayetteville</v>
      </c>
      <c r="Q2832" s="8" t="str">
        <f ca="1">IFERROR(__xludf.DUMMYFUNCTION("""COMPUTED_VALUE"""),"NC")</f>
        <v>NC</v>
      </c>
      <c r="R2832" s="8" t="str">
        <f ca="1">IFERROR(__xludf.DUMMYFUNCTION("""COMPUTED_VALUE"""),"High")</f>
        <v>High</v>
      </c>
      <c r="S2832" s="8" t="str">
        <f ca="1">IFERROR(__xludf.DUMMYFUNCTION("""COMPUTED_VALUE"""),"Inside School Building")</f>
        <v>Inside School Building</v>
      </c>
      <c r="T2832" s="8" t="str">
        <f ca="1">IFERROR(__xludf.DUMMYFUNCTION("""COMPUTED_VALUE"""),"Inside School Building")</f>
        <v>Inside School Building</v>
      </c>
      <c r="U2832" s="8" t="str">
        <f ca="1">IFERROR(__xludf.DUMMYFUNCTION("""COMPUTED_VALUE"""),"Yes")</f>
        <v>Yes</v>
      </c>
      <c r="V2832" s="8" t="str">
        <f ca="1">IFERROR(__xludf.DUMMYFUNCTION("""COMPUTED_VALUE"""),"Morning Classes")</f>
        <v>Morning Classes</v>
      </c>
      <c r="W2832" s="11">
        <f ca="1">IFERROR(__xludf.DUMMYFUNCTION("""COMPUTED_VALUE"""),0.395833333333333)</f>
        <v>0.39583333333333298</v>
      </c>
      <c r="X2832" s="8">
        <f ca="1">IFERROR(__xludf.DUMMYFUNCTION("""COMPUTED_VALUE"""),1)</f>
        <v>1</v>
      </c>
      <c r="Y2832" s="12" t="str">
        <f ca="1">IFERROR(__xludf.DUMMYFUNCTION("""COMPUTED_VALUE"""),"Threats to shooter by one of the victims he shot")</f>
        <v>Threats to shooter by one of the victims he shot</v>
      </c>
      <c r="Z2832" s="12" t="str">
        <f ca="1">IFERROR(__xludf.DUMMYFUNCTION("""COMPUTED_VALUE"""),"Simmons had been threatened by Roundtree, one of victims. Per detective, Simmons had previously tried to get school officials to intervene, but they refused. Simmons served only 90 days in jail.")</f>
        <v>Simmons had been threatened by Roundtree, one of victims. Per detective, Simmons had previously tried to get school officials to intervene, but they refused. Simmons served only 90 days in jail.</v>
      </c>
      <c r="AA2832" s="8" t="str">
        <f ca="1">IFERROR(__xludf.DUMMYFUNCTION("""COMPUTED_VALUE"""),"Escalation of Dispute")</f>
        <v>Escalation of Dispute</v>
      </c>
      <c r="AB2832" s="8"/>
      <c r="AC2832" s="8"/>
      <c r="AD2832" s="8" t="str">
        <f ca="1">IFERROR(__xludf.DUMMYFUNCTION("""COMPUTED_VALUE"""),"Both")</f>
        <v>Both</v>
      </c>
      <c r="AE2832" s="8" t="str">
        <f ca="1">IFERROR(__xludf.DUMMYFUNCTION("""COMPUTED_VALUE"""),"No")</f>
        <v>No</v>
      </c>
      <c r="AF2832" s="8"/>
      <c r="AG2832" s="8" t="str">
        <f ca="1">IFERROR(__xludf.DUMMYFUNCTION("""COMPUTED_VALUE"""),"No")</f>
        <v>No</v>
      </c>
      <c r="AH2832" s="8" t="str">
        <f ca="1">IFERROR(__xludf.DUMMYFUNCTION("""COMPUTED_VALUE"""),"No")</f>
        <v>No</v>
      </c>
      <c r="AI2832" s="8" t="str">
        <f ca="1">IFERROR(__xludf.DUMMYFUNCTION("""COMPUTED_VALUE"""),"No")</f>
        <v>No</v>
      </c>
      <c r="AJ2832" s="8" t="str">
        <f ca="1">IFERROR(__xludf.DUMMYFUNCTION("""COMPUTED_VALUE"""),"Yes")</f>
        <v>Yes</v>
      </c>
      <c r="AK2832" s="8" t="str">
        <f ca="1">IFERROR(__xludf.DUMMYFUNCTION("""COMPUTED_VALUE"""),"No")</f>
        <v>No</v>
      </c>
      <c r="AL2832" s="8" t="str">
        <f ca="1">IFERROR(__xludf.DUMMYFUNCTION("""COMPUTED_VALUE"""),"No")</f>
        <v>No</v>
      </c>
      <c r="AM2832" s="8"/>
      <c r="AN2832" s="8"/>
      <c r="AO2832" s="8" t="str">
        <f ca="1">IFERROR(__xludf.DUMMYFUNCTION("""COMPUTED_VALUE"""),"No")</f>
        <v>No</v>
      </c>
      <c r="AP2832" s="8" t="str">
        <f ca="1">IFERROR(__xludf.DUMMYFUNCTION("""COMPUTED_VALUE"""),"No")</f>
        <v>No</v>
      </c>
      <c r="AQ2832" s="8" t="str">
        <f ca="1">IFERROR(__xludf.DUMMYFUNCTION("""COMPUTED_VALUE"""),"None")</f>
        <v>None</v>
      </c>
      <c r="AR2832" s="8" t="str">
        <f ca="1">IFERROR(__xludf.DUMMYFUNCTION("""COMPUTED_VALUE"""),"NA")</f>
        <v>NA</v>
      </c>
      <c r="AS2832" s="8">
        <f ca="1">IFERROR(__xludf.DUMMYFUNCTION("""COMPUTED_VALUE"""),6)</f>
        <v>6</v>
      </c>
      <c r="AT2832" s="8"/>
      <c r="AU2832" s="8">
        <f ca="1">IFERROR(__xludf.DUMMYFUNCTION("""COMPUTED_VALUE"""),35.154714)</f>
        <v>35.154713999999998</v>
      </c>
      <c r="AV2832" s="8">
        <f ca="1">IFERROR(__xludf.DUMMYFUNCTION("""COMPUTED_VALUE"""),-78.886814)</f>
        <v>-78.886814000000001</v>
      </c>
      <c r="AW2832" s="8"/>
      <c r="AX2832" s="8">
        <f ca="1">IFERROR(__xludf.DUMMYFUNCTION("""COMPUTED_VALUE"""),28311)</f>
        <v>28311</v>
      </c>
    </row>
    <row r="2833" spans="1:50" ht="225" x14ac:dyDescent="0.2">
      <c r="A2833" s="8" t="str">
        <f ca="1">IFERROR(__xludf.DUMMYFUNCTION("""COMPUTED_VALUE"""),"19860506PAMOK")</f>
        <v>19860506PAMOK</v>
      </c>
      <c r="B2833" s="8">
        <f ca="1">IFERROR(__xludf.DUMMYFUNCTION("""COMPUTED_VALUE"""),5)</f>
        <v>5</v>
      </c>
      <c r="C2833" s="8">
        <f ca="1">IFERROR(__xludf.DUMMYFUNCTION("""COMPUTED_VALUE"""),6)</f>
        <v>6</v>
      </c>
      <c r="D2833" s="8">
        <f ca="1">IFERROR(__xludf.DUMMYFUNCTION("""COMPUTED_VALUE"""),1986)</f>
        <v>1986</v>
      </c>
      <c r="E2833" s="9">
        <f ca="1">IFERROR(__xludf.DUMMYFUNCTION("""COMPUTED_VALUE"""),31538)</f>
        <v>31538</v>
      </c>
      <c r="F2833" s="8" t="str">
        <f ca="1">IFERROR(__xludf.DUMMYFUNCTION("""COMPUTED_VALUE"""),"Mountain View High School")</f>
        <v>Mountain View High School</v>
      </c>
      <c r="G2833" s="8">
        <f ca="1">IFERROR(__xludf.DUMMYFUNCTION("""COMPUTED_VALUE"""),0)</f>
        <v>0</v>
      </c>
      <c r="H2833" s="8">
        <f ca="1">IFERROR(__xludf.DUMMYFUNCTION("""COMPUTED_VALUE"""),0)</f>
        <v>0</v>
      </c>
      <c r="I2833" s="8">
        <f ca="1">IFERROR(__xludf.DUMMYFUNCTION("""COMPUTED_VALUE"""),0)</f>
        <v>0</v>
      </c>
      <c r="J2833" s="8">
        <f ca="1">IFERROR(__xludf.DUMMYFUNCTION("""COMPUTED_VALUE"""),0)</f>
        <v>0</v>
      </c>
      <c r="K2833" s="10" t="str">
        <f ca="1">IFERROR(__xludf.DUMMYFUNCTION("""COMPUTED_VALUE"""),"https://www.upi.com/Archives/1986/05/07/Official-says-teenage-hostage-taker-unhappy-with-life/5055515822400/")</f>
        <v>https://www.upi.com/Archives/1986/05/07/Official-says-teenage-hostage-taker-unhappy-with-life/5055515822400/</v>
      </c>
      <c r="L2833" s="8"/>
      <c r="M2833" s="8"/>
      <c r="N2833" s="8">
        <f ca="1">IFERROR(__xludf.DUMMYFUNCTION("""COMPUTED_VALUE"""),5)</f>
        <v>5</v>
      </c>
      <c r="O2833" s="8" t="str">
        <f ca="1">IFERROR(__xludf.DUMMYFUNCTION("""COMPUTED_VALUE"""),"Spring")</f>
        <v>Spring</v>
      </c>
      <c r="P2833" s="8" t="str">
        <f ca="1">IFERROR(__xludf.DUMMYFUNCTION("""COMPUTED_VALUE"""),"Kingsley")</f>
        <v>Kingsley</v>
      </c>
      <c r="Q2833" s="8" t="str">
        <f ca="1">IFERROR(__xludf.DUMMYFUNCTION("""COMPUTED_VALUE"""),"PA")</f>
        <v>PA</v>
      </c>
      <c r="R2833" s="8" t="str">
        <f ca="1">IFERROR(__xludf.DUMMYFUNCTION("""COMPUTED_VALUE"""),"6-12")</f>
        <v>6-12</v>
      </c>
      <c r="S2833" s="8" t="str">
        <f ca="1">IFERROR(__xludf.DUMMYFUNCTION("""COMPUTED_VALUE"""),"Classroom")</f>
        <v>Classroom</v>
      </c>
      <c r="T2833" s="8" t="str">
        <f ca="1">IFERROR(__xludf.DUMMYFUNCTION("""COMPUTED_VALUE"""),"Inside School Building")</f>
        <v>Inside School Building</v>
      </c>
      <c r="U2833" s="8" t="str">
        <f ca="1">IFERROR(__xludf.DUMMYFUNCTION("""COMPUTED_VALUE"""),"Yes")</f>
        <v>Yes</v>
      </c>
      <c r="V2833" s="8" t="str">
        <f ca="1">IFERROR(__xludf.DUMMYFUNCTION("""COMPUTED_VALUE"""),"Morning Classes")</f>
        <v>Morning Classes</v>
      </c>
      <c r="W2833" s="11">
        <f ca="1">IFERROR(__xludf.DUMMYFUNCTION("""COMPUTED_VALUE"""),0.395833333333333)</f>
        <v>0.39583333333333298</v>
      </c>
      <c r="X2833" s="8">
        <f ca="1">IFERROR(__xludf.DUMMYFUNCTION("""COMPUTED_VALUE"""),1)</f>
        <v>1</v>
      </c>
      <c r="Y2833" s="12" t="str">
        <f ca="1">IFERROR(__xludf.DUMMYFUNCTION("""COMPUTED_VALUE"""),"Student with 2 handguns took 28 classmates hostage for 4.5 hours")</f>
        <v>Student with 2 handguns took 28 classmates hostage for 4.5 hours</v>
      </c>
      <c r="Z2833" s="12" t="str">
        <f ca="1">IFERROR(__xludf.DUMMYFUNCTION("""COMPUTED_VALUE""")," A 16-year-old 9th grade student at the school (misreported as 14 year old in initial accounts) entered a classroom of 8th graders and held the teacher and 25 students hostage. He had 2 handguns and ammunition. He requested the principal come to the room;"&amp;" the principal and another teacher arrived moments later (for a total of 28 hostages). Over the course of 4.5 hours, he eventually released all the hostages, the last one being the principal.  Police arrived on the scene about 2 hours into the incident an"&amp;"d, in collaboration with school officials, successfully convinced the perpetrator to surrender.  Perpetrator was described as distraught and disgruntled, but made no specific demands.  Perpetrator was remanded to a mental health facility and eventually ad"&amp;"judicated.  No one was physically harmed or directly threatened by the gunman. ")</f>
        <v xml:space="preserve"> A 16-year-old 9th grade student at the school (misreported as 14 year old in initial accounts) entered a classroom of 8th graders and held the teacher and 25 students hostage. He had 2 handguns and ammunition. He requested the principal come to the room; the principal and another teacher arrived moments later (for a total of 28 hostages). Over the course of 4.5 hours, he eventually released all the hostages, the last one being the principal.  Police arrived on the scene about 2 hours into the incident and, in collaboration with school officials, successfully convinced the perpetrator to surrender.  Perpetrator was described as distraught and disgruntled, but made no specific demands.  Perpetrator was remanded to a mental health facility and eventually adjudicated.  No one was physically harmed or directly threatened by the gunman. </v>
      </c>
      <c r="AA2833" s="8" t="str">
        <f ca="1">IFERROR(__xludf.DUMMYFUNCTION("""COMPUTED_VALUE"""),"Hostage/Standoff")</f>
        <v>Hostage/Standoff</v>
      </c>
      <c r="AB2833" s="8"/>
      <c r="AC2833" s="8" t="str">
        <f ca="1">IFERROR(__xludf.DUMMYFUNCTION("""COMPUTED_VALUE"""),"Yes")</f>
        <v>Yes</v>
      </c>
      <c r="AD2833" s="8" t="str">
        <f ca="1">IFERROR(__xludf.DUMMYFUNCTION("""COMPUTED_VALUE"""),"Random Shooting")</f>
        <v>Random Shooting</v>
      </c>
      <c r="AE2833" s="8" t="str">
        <f ca="1">IFERROR(__xludf.DUMMYFUNCTION("""COMPUTED_VALUE"""),"No")</f>
        <v>No</v>
      </c>
      <c r="AF2833" s="8"/>
      <c r="AG2833" s="8" t="str">
        <f ca="1">IFERROR(__xludf.DUMMYFUNCTION("""COMPUTED_VALUE"""),"Yes")</f>
        <v>Yes</v>
      </c>
      <c r="AH2833" s="8" t="str">
        <f ca="1">IFERROR(__xludf.DUMMYFUNCTION("""COMPUTED_VALUE"""),"Yes")</f>
        <v>Yes</v>
      </c>
      <c r="AI2833" s="8" t="str">
        <f ca="1">IFERROR(__xludf.DUMMYFUNCTION("""COMPUTED_VALUE"""),"No")</f>
        <v>No</v>
      </c>
      <c r="AJ2833" s="8"/>
      <c r="AK2833" s="8" t="str">
        <f ca="1">IFERROR(__xludf.DUMMYFUNCTION("""COMPUTED_VALUE"""),"No")</f>
        <v>No</v>
      </c>
      <c r="AL2833" s="8" t="str">
        <f ca="1">IFERROR(__xludf.DUMMYFUNCTION("""COMPUTED_VALUE"""),"No")</f>
        <v>No</v>
      </c>
      <c r="AM2833" s="8" t="str">
        <f ca="1">IFERROR(__xludf.DUMMYFUNCTION("""COMPUTED_VALUE"""),"Yes")</f>
        <v>Yes</v>
      </c>
      <c r="AN2833" s="8" t="str">
        <f ca="1">IFERROR(__xludf.DUMMYFUNCTION("""COMPUTED_VALUE"""),"Single Room")</f>
        <v>Single Room</v>
      </c>
      <c r="AO2833" s="8" t="str">
        <f ca="1">IFERROR(__xludf.DUMMYFUNCTION("""COMPUTED_VALUE"""),"Yes")</f>
        <v>Yes</v>
      </c>
      <c r="AP2833" s="8" t="str">
        <f ca="1">IFERROR(__xludf.DUMMYFUNCTION("""COMPUTED_VALUE"""),"No")</f>
        <v>No</v>
      </c>
      <c r="AQ2833" s="8" t="str">
        <f ca="1">IFERROR(__xludf.DUMMYFUNCTION("""COMPUTED_VALUE"""),"None")</f>
        <v>None</v>
      </c>
      <c r="AR2833" s="8"/>
      <c r="AS2833" s="8"/>
      <c r="AT2833" s="8"/>
      <c r="AU2833" s="8">
        <f ca="1">IFERROR(__xludf.DUMMYFUNCTION("""COMPUTED_VALUE"""),41.738036)</f>
        <v>41.738036000000001</v>
      </c>
      <c r="AV2833" s="8">
        <f ca="1">IFERROR(__xludf.DUMMYFUNCTION("""COMPUTED_VALUE"""),-75.726767)</f>
        <v>-75.726766999999995</v>
      </c>
      <c r="AW2833" s="8"/>
      <c r="AX2833" s="8">
        <f ca="1">IFERROR(__xludf.DUMMYFUNCTION("""COMPUTED_VALUE"""),18826)</f>
        <v>18826</v>
      </c>
    </row>
    <row r="2834" spans="1:50" ht="60" x14ac:dyDescent="0.2">
      <c r="A2834" s="8" t="str">
        <f ca="1">IFERROR(__xludf.DUMMYFUNCTION("""COMPUTED_VALUE"""),"19860429MOSES")</f>
        <v>19860429MOSES</v>
      </c>
      <c r="B2834" s="8">
        <f ca="1">IFERROR(__xludf.DUMMYFUNCTION("""COMPUTED_VALUE"""),4)</f>
        <v>4</v>
      </c>
      <c r="C2834" s="8">
        <f ca="1">IFERROR(__xludf.DUMMYFUNCTION("""COMPUTED_VALUE"""),29)</f>
        <v>29</v>
      </c>
      <c r="D2834" s="8">
        <f ca="1">IFERROR(__xludf.DUMMYFUNCTION("""COMPUTED_VALUE"""),1986)</f>
        <v>1986</v>
      </c>
      <c r="E2834" s="9">
        <f ca="1">IFERROR(__xludf.DUMMYFUNCTION("""COMPUTED_VALUE"""),31531)</f>
        <v>31531</v>
      </c>
      <c r="F2834" s="8" t="str">
        <f ca="1">IFERROR(__xludf.DUMMYFUNCTION("""COMPUTED_VALUE"""),"Senath-Hornersville High School")</f>
        <v>Senath-Hornersville High School</v>
      </c>
      <c r="G2834" s="8">
        <f ca="1">IFERROR(__xludf.DUMMYFUNCTION("""COMPUTED_VALUE"""),1)</f>
        <v>1</v>
      </c>
      <c r="H2834" s="8">
        <f ca="1">IFERROR(__xludf.DUMMYFUNCTION("""COMPUTED_VALUE"""),0)</f>
        <v>0</v>
      </c>
      <c r="I2834" s="8">
        <f ca="1">IFERROR(__xludf.DUMMYFUNCTION("""COMPUTED_VALUE"""),1)</f>
        <v>1</v>
      </c>
      <c r="J2834" s="8">
        <f ca="1">IFERROR(__xludf.DUMMYFUNCTION("""COMPUTED_VALUE"""),0)</f>
        <v>0</v>
      </c>
      <c r="K2834" s="10" t="str">
        <f ca="1">IFERROR(__xludf.DUMMYFUNCTION("""COMPUTED_VALUE"""),"http://articles.chicagotribune.com/1986-05-01/news/8601310677_1_science-class-elliott-student")</f>
        <v>http://articles.chicagotribune.com/1986-05-01/news/8601310677_1_science-class-elliott-student</v>
      </c>
      <c r="L2834" s="8"/>
      <c r="M2834" s="8"/>
      <c r="N2834" s="8">
        <f ca="1">IFERROR(__xludf.DUMMYFUNCTION("""COMPUTED_VALUE"""),2)</f>
        <v>2</v>
      </c>
      <c r="O2834" s="8" t="str">
        <f ca="1">IFERROR(__xludf.DUMMYFUNCTION("""COMPUTED_VALUE"""),"Spring")</f>
        <v>Spring</v>
      </c>
      <c r="P2834" s="8" t="str">
        <f ca="1">IFERROR(__xludf.DUMMYFUNCTION("""COMPUTED_VALUE"""),"Senath")</f>
        <v>Senath</v>
      </c>
      <c r="Q2834" s="8" t="str">
        <f ca="1">IFERROR(__xludf.DUMMYFUNCTION("""COMPUTED_VALUE"""),"MO")</f>
        <v>MO</v>
      </c>
      <c r="R2834" s="8" t="str">
        <f ca="1">IFERROR(__xludf.DUMMYFUNCTION("""COMPUTED_VALUE"""),"High")</f>
        <v>High</v>
      </c>
      <c r="S2834" s="8" t="str">
        <f ca="1">IFERROR(__xludf.DUMMYFUNCTION("""COMPUTED_VALUE"""),"Inside School Building")</f>
        <v>Inside School Building</v>
      </c>
      <c r="T2834" s="8" t="str">
        <f ca="1">IFERROR(__xludf.DUMMYFUNCTION("""COMPUTED_VALUE"""),"Inside School Building")</f>
        <v>Inside School Building</v>
      </c>
      <c r="U2834" s="8" t="str">
        <f ca="1">IFERROR(__xludf.DUMMYFUNCTION("""COMPUTED_VALUE"""),"Yes")</f>
        <v>Yes</v>
      </c>
      <c r="V2834" s="8" t="str">
        <f ca="1">IFERROR(__xludf.DUMMYFUNCTION("""COMPUTED_VALUE"""),"Morning Classes")</f>
        <v>Morning Classes</v>
      </c>
      <c r="W2834" s="8"/>
      <c r="X2834" s="8">
        <f ca="1">IFERROR(__xludf.DUMMYFUNCTION("""COMPUTED_VALUE"""),1)</f>
        <v>1</v>
      </c>
      <c r="Y2834" s="12" t="str">
        <f ca="1">IFERROR(__xludf.DUMMYFUNCTION("""COMPUTED_VALUE"""),"Shooter had been previously bullied by victim before shooting her.")</f>
        <v>Shooter had been previously bullied by victim before shooting her.</v>
      </c>
      <c r="Z2834" s="12" t="str">
        <f ca="1">IFERROR(__xludf.DUMMYFUNCTION("""COMPUTED_VALUE"""),"Shooter was victimized by victim prior to shooting. School officials purportedly knew but did not get involved. Surrendered to teacher right after shooting.")</f>
        <v>Shooter was victimized by victim prior to shooting. School officials purportedly knew but did not get involved. Surrendered to teacher right after shooting.</v>
      </c>
      <c r="AA2834" s="8" t="str">
        <f ca="1">IFERROR(__xludf.DUMMYFUNCTION("""COMPUTED_VALUE"""),"Bullying")</f>
        <v>Bullying</v>
      </c>
      <c r="AB2834" s="8"/>
      <c r="AC2834" s="8"/>
      <c r="AD2834" s="8" t="str">
        <f ca="1">IFERROR(__xludf.DUMMYFUNCTION("""COMPUTED_VALUE"""),"Victims Targeted")</f>
        <v>Victims Targeted</v>
      </c>
      <c r="AE2834" s="8" t="str">
        <f ca="1">IFERROR(__xludf.DUMMYFUNCTION("""COMPUTED_VALUE"""),"No")</f>
        <v>No</v>
      </c>
      <c r="AF2834" s="8"/>
      <c r="AG2834" s="8" t="str">
        <f ca="1">IFERROR(__xludf.DUMMYFUNCTION("""COMPUTED_VALUE"""),"No")</f>
        <v>No</v>
      </c>
      <c r="AH2834" s="8" t="str">
        <f ca="1">IFERROR(__xludf.DUMMYFUNCTION("""COMPUTED_VALUE"""),"No")</f>
        <v>No</v>
      </c>
      <c r="AI2834" s="8" t="str">
        <f ca="1">IFERROR(__xludf.DUMMYFUNCTION("""COMPUTED_VALUE"""),"No")</f>
        <v>No</v>
      </c>
      <c r="AJ2834" s="8"/>
      <c r="AK2834" s="8" t="str">
        <f ca="1">IFERROR(__xludf.DUMMYFUNCTION("""COMPUTED_VALUE"""),"No")</f>
        <v>No</v>
      </c>
      <c r="AL2834" s="8" t="str">
        <f ca="1">IFERROR(__xludf.DUMMYFUNCTION("""COMPUTED_VALUE"""),"No")</f>
        <v>No</v>
      </c>
      <c r="AM2834" s="8"/>
      <c r="AN2834" s="8"/>
      <c r="AO2834" s="8" t="str">
        <f ca="1">IFERROR(__xludf.DUMMYFUNCTION("""COMPUTED_VALUE"""),"No")</f>
        <v>No</v>
      </c>
      <c r="AP2834" s="8" t="str">
        <f ca="1">IFERROR(__xludf.DUMMYFUNCTION("""COMPUTED_VALUE"""),"No")</f>
        <v>No</v>
      </c>
      <c r="AQ2834" s="8" t="str">
        <f ca="1">IFERROR(__xludf.DUMMYFUNCTION("""COMPUTED_VALUE"""),"None")</f>
        <v>None</v>
      </c>
      <c r="AR2834" s="8" t="str">
        <f ca="1">IFERROR(__xludf.DUMMYFUNCTION("""COMPUTED_VALUE"""),"NA")</f>
        <v>NA</v>
      </c>
      <c r="AS2834" s="8">
        <f ca="1">IFERROR(__xludf.DUMMYFUNCTION("""COMPUTED_VALUE"""),1)</f>
        <v>1</v>
      </c>
      <c r="AT2834" s="8"/>
      <c r="AU2834" s="8">
        <f ca="1">IFERROR(__xludf.DUMMYFUNCTION("""COMPUTED_VALUE"""),36.126944)</f>
        <v>36.126944000000002</v>
      </c>
      <c r="AV2834" s="8">
        <f ca="1">IFERROR(__xludf.DUMMYFUNCTION("""COMPUTED_VALUE"""),-90.161723)</f>
        <v>-90.161722999999995</v>
      </c>
      <c r="AW2834" s="8"/>
      <c r="AX2834" s="8">
        <f ca="1">IFERROR(__xludf.DUMMYFUNCTION("""COMPUTED_VALUE"""),63876)</f>
        <v>63876</v>
      </c>
    </row>
    <row r="2835" spans="1:50" ht="45" x14ac:dyDescent="0.2">
      <c r="A2835" s="8" t="str">
        <f ca="1">IFERROR(__xludf.DUMMYFUNCTION("""COMPUTED_VALUE"""),"19860423FLCHM")</f>
        <v>19860423FLCHM</v>
      </c>
      <c r="B2835" s="8">
        <f ca="1">IFERROR(__xludf.DUMMYFUNCTION("""COMPUTED_VALUE"""),4)</f>
        <v>4</v>
      </c>
      <c r="C2835" s="8">
        <f ca="1">IFERROR(__xludf.DUMMYFUNCTION("""COMPUTED_VALUE"""),23)</f>
        <v>23</v>
      </c>
      <c r="D2835" s="8">
        <f ca="1">IFERROR(__xludf.DUMMYFUNCTION("""COMPUTED_VALUE"""),1986)</f>
        <v>1986</v>
      </c>
      <c r="E2835" s="9">
        <f ca="1">IFERROR(__xludf.DUMMYFUNCTION("""COMPUTED_VALUE"""),31525)</f>
        <v>31525</v>
      </c>
      <c r="F2835" s="8" t="str">
        <f ca="1">IFERROR(__xludf.DUMMYFUNCTION("""COMPUTED_VALUE"""),"Charles Drew Middle School")</f>
        <v>Charles Drew Middle School</v>
      </c>
      <c r="G2835" s="8">
        <f ca="1">IFERROR(__xludf.DUMMYFUNCTION("""COMPUTED_VALUE"""),0)</f>
        <v>0</v>
      </c>
      <c r="H2835" s="8">
        <f ca="1">IFERROR(__xludf.DUMMYFUNCTION("""COMPUTED_VALUE"""),1)</f>
        <v>1</v>
      </c>
      <c r="I2835" s="8">
        <f ca="1">IFERROR(__xludf.DUMMYFUNCTION("""COMPUTED_VALUE"""),1)</f>
        <v>1</v>
      </c>
      <c r="J2835" s="8">
        <f ca="1">IFERROR(__xludf.DUMMYFUNCTION("""COMPUTED_VALUE"""),0)</f>
        <v>0</v>
      </c>
      <c r="K2835" s="10" t="str">
        <f ca="1">IFERROR(__xludf.DUMMYFUNCTION("""COMPUTED_VALUE"""),"https://www.newspapers.com/image/321178464/?terms=McCauley%2BCharles%2BDrew%2BMiddle%2BSchool")</f>
        <v>https://www.newspapers.com/image/321178464/?terms=McCauley%2BCharles%2BDrew%2BMiddle%2BSchool</v>
      </c>
      <c r="L2835" s="8"/>
      <c r="M2835" s="8"/>
      <c r="N2835" s="8">
        <f ca="1">IFERROR(__xludf.DUMMYFUNCTION("""COMPUTED_VALUE"""),2)</f>
        <v>2</v>
      </c>
      <c r="O2835" s="8" t="str">
        <f ca="1">IFERROR(__xludf.DUMMYFUNCTION("""COMPUTED_VALUE"""),"Spring")</f>
        <v>Spring</v>
      </c>
      <c r="P2835" s="8" t="str">
        <f ca="1">IFERROR(__xludf.DUMMYFUNCTION("""COMPUTED_VALUE"""),"Miami")</f>
        <v>Miami</v>
      </c>
      <c r="Q2835" s="8" t="str">
        <f ca="1">IFERROR(__xludf.DUMMYFUNCTION("""COMPUTED_VALUE"""),"FL")</f>
        <v>FL</v>
      </c>
      <c r="R2835" s="8" t="str">
        <f ca="1">IFERROR(__xludf.DUMMYFUNCTION("""COMPUTED_VALUE"""),"Middle")</f>
        <v>Middle</v>
      </c>
      <c r="S2835" s="8" t="str">
        <f ca="1">IFERROR(__xludf.DUMMYFUNCTION("""COMPUTED_VALUE"""),"Basketball Court")</f>
        <v>Basketball Court</v>
      </c>
      <c r="T2835" s="8" t="str">
        <f ca="1">IFERROR(__xludf.DUMMYFUNCTION("""COMPUTED_VALUE"""),"Outside on School Property")</f>
        <v>Outside on School Property</v>
      </c>
      <c r="U2835" s="8" t="str">
        <f ca="1">IFERROR(__xludf.DUMMYFUNCTION("""COMPUTED_VALUE"""),"Yes")</f>
        <v>Yes</v>
      </c>
      <c r="V2835" s="8" t="str">
        <f ca="1">IFERROR(__xludf.DUMMYFUNCTION("""COMPUTED_VALUE"""),"Before School")</f>
        <v>Before School</v>
      </c>
      <c r="W2835" s="11">
        <f ca="1">IFERROR(__xludf.DUMMYFUNCTION("""COMPUTED_VALUE"""),0.354166666666666)</f>
        <v>0.35416666666666602</v>
      </c>
      <c r="X2835" s="8">
        <f ca="1">IFERROR(__xludf.DUMMYFUNCTION("""COMPUTED_VALUE"""),1)</f>
        <v>1</v>
      </c>
      <c r="Y2835" s="12" t="str">
        <f ca="1">IFERROR(__xludf.DUMMYFUNCTION("""COMPUTED_VALUE"""),"Long standing feud over a girl")</f>
        <v>Long standing feud over a girl</v>
      </c>
      <c r="Z2835" s="12" t="str">
        <f ca="1">IFERROR(__xludf.DUMMYFUNCTION("""COMPUTED_VALUE"""),"Long standing feud over a girl erupted on the school's basketball court before school - student fled but later turned himself in.")</f>
        <v>Long standing feud over a girl erupted on the school's basketball court before school - student fled but later turned himself in.</v>
      </c>
      <c r="AA2835" s="8" t="str">
        <f ca="1">IFERROR(__xludf.DUMMYFUNCTION("""COMPUTED_VALUE"""),"Escalation of Dispute")</f>
        <v>Escalation of Dispute</v>
      </c>
      <c r="AB2835" s="8"/>
      <c r="AC2835" s="8"/>
      <c r="AD2835" s="8" t="str">
        <f ca="1">IFERROR(__xludf.DUMMYFUNCTION("""COMPUTED_VALUE"""),"Victims Targeted")</f>
        <v>Victims Targeted</v>
      </c>
      <c r="AE2835" s="8" t="str">
        <f ca="1">IFERROR(__xludf.DUMMYFUNCTION("""COMPUTED_VALUE"""),"No")</f>
        <v>No</v>
      </c>
      <c r="AF2835" s="8"/>
      <c r="AG2835" s="8" t="str">
        <f ca="1">IFERROR(__xludf.DUMMYFUNCTION("""COMPUTED_VALUE"""),"No")</f>
        <v>No</v>
      </c>
      <c r="AH2835" s="8" t="str">
        <f ca="1">IFERROR(__xludf.DUMMYFUNCTION("""COMPUTED_VALUE"""),"No")</f>
        <v>No</v>
      </c>
      <c r="AI2835" s="8" t="str">
        <f ca="1">IFERROR(__xludf.DUMMYFUNCTION("""COMPUTED_VALUE"""),"No")</f>
        <v>No</v>
      </c>
      <c r="AJ2835" s="8" t="str">
        <f ca="1">IFERROR(__xludf.DUMMYFUNCTION("""COMPUTED_VALUE"""),"No")</f>
        <v>No</v>
      </c>
      <c r="AK2835" s="8" t="str">
        <f ca="1">IFERROR(__xludf.DUMMYFUNCTION("""COMPUTED_VALUE"""),"No")</f>
        <v>No</v>
      </c>
      <c r="AL2835" s="8" t="str">
        <f ca="1">IFERROR(__xludf.DUMMYFUNCTION("""COMPUTED_VALUE"""),"No")</f>
        <v>No</v>
      </c>
      <c r="AM2835" s="8"/>
      <c r="AN2835" s="8"/>
      <c r="AO2835" s="8" t="str">
        <f ca="1">IFERROR(__xludf.DUMMYFUNCTION("""COMPUTED_VALUE"""),"No")</f>
        <v>No</v>
      </c>
      <c r="AP2835" s="8"/>
      <c r="AQ2835" s="8" t="str">
        <f ca="1">IFERROR(__xludf.DUMMYFUNCTION("""COMPUTED_VALUE"""),"Unknown")</f>
        <v>Unknown</v>
      </c>
      <c r="AR2835" s="8" t="str">
        <f ca="1">IFERROR(__xludf.DUMMYFUNCTION("""COMPUTED_VALUE"""),"NA")</f>
        <v>NA</v>
      </c>
      <c r="AS2835" s="8">
        <f ca="1">IFERROR(__xludf.DUMMYFUNCTION("""COMPUTED_VALUE"""),2)</f>
        <v>2</v>
      </c>
      <c r="AT2835" s="8"/>
      <c r="AU2835" s="8">
        <f ca="1">IFERROR(__xludf.DUMMYFUNCTION("""COMPUTED_VALUE"""),25.830203)</f>
        <v>25.830203000000001</v>
      </c>
      <c r="AV2835" s="8">
        <f ca="1">IFERROR(__xludf.DUMMYFUNCTION("""COMPUTED_VALUE"""),-80.226529)</f>
        <v>-80.226528999999999</v>
      </c>
      <c r="AW2835" s="8"/>
      <c r="AX2835" s="8">
        <f ca="1">IFERROR(__xludf.DUMMYFUNCTION("""COMPUTED_VALUE"""),33142)</f>
        <v>33142</v>
      </c>
    </row>
    <row r="2836" spans="1:50" ht="105" x14ac:dyDescent="0.2">
      <c r="A2836" s="8" t="str">
        <f ca="1">IFERROR(__xludf.DUMMYFUNCTION("""COMPUTED_VALUE"""),"19860306ILTHD")</f>
        <v>19860306ILTHD</v>
      </c>
      <c r="B2836" s="8">
        <f ca="1">IFERROR(__xludf.DUMMYFUNCTION("""COMPUTED_VALUE"""),3)</f>
        <v>3</v>
      </c>
      <c r="C2836" s="8">
        <f ca="1">IFERROR(__xludf.DUMMYFUNCTION("""COMPUTED_VALUE"""),6)</f>
        <v>6</v>
      </c>
      <c r="D2836" s="8">
        <f ca="1">IFERROR(__xludf.DUMMYFUNCTION("""COMPUTED_VALUE"""),1986)</f>
        <v>1986</v>
      </c>
      <c r="E2836" s="9">
        <f ca="1">IFERROR(__xludf.DUMMYFUNCTION("""COMPUTED_VALUE"""),31477)</f>
        <v>31477</v>
      </c>
      <c r="F2836" s="8" t="str">
        <f ca="1">IFERROR(__xludf.DUMMYFUNCTION("""COMPUTED_VALUE"""),"Thornridge High School")</f>
        <v>Thornridge High School</v>
      </c>
      <c r="G2836" s="8">
        <f ca="1">IFERROR(__xludf.DUMMYFUNCTION("""COMPUTED_VALUE"""),0)</f>
        <v>0</v>
      </c>
      <c r="H2836" s="8">
        <f ca="1">IFERROR(__xludf.DUMMYFUNCTION("""COMPUTED_VALUE"""),1)</f>
        <v>1</v>
      </c>
      <c r="I2836" s="8">
        <f ca="1">IFERROR(__xludf.DUMMYFUNCTION("""COMPUTED_VALUE"""),1)</f>
        <v>1</v>
      </c>
      <c r="J2836" s="8">
        <f ca="1">IFERROR(__xludf.DUMMYFUNCTION("""COMPUTED_VALUE"""),0)</f>
        <v>0</v>
      </c>
      <c r="K2836" s="10" t="str">
        <f ca="1">IFERROR(__xludf.DUMMYFUNCTION("""COMPUTED_VALUE"""),"http://articles.chicagotribune.com/1986-03-07/news/8601170427_1_second-teacher-third-period-classes-cap-gun")</f>
        <v>http://articles.chicagotribune.com/1986-03-07/news/8601170427_1_second-teacher-third-period-classes-cap-gun</v>
      </c>
      <c r="L2836" s="8"/>
      <c r="M2836" s="8"/>
      <c r="N2836" s="8">
        <f ca="1">IFERROR(__xludf.DUMMYFUNCTION("""COMPUTED_VALUE"""),2)</f>
        <v>2</v>
      </c>
      <c r="O2836" s="8" t="str">
        <f ca="1">IFERROR(__xludf.DUMMYFUNCTION("""COMPUTED_VALUE"""),"Spring")</f>
        <v>Spring</v>
      </c>
      <c r="P2836" s="8" t="str">
        <f ca="1">IFERROR(__xludf.DUMMYFUNCTION("""COMPUTED_VALUE"""),"Dolton")</f>
        <v>Dolton</v>
      </c>
      <c r="Q2836" s="8" t="str">
        <f ca="1">IFERROR(__xludf.DUMMYFUNCTION("""COMPUTED_VALUE"""),"IL")</f>
        <v>IL</v>
      </c>
      <c r="R2836" s="8" t="str">
        <f ca="1">IFERROR(__xludf.DUMMYFUNCTION("""COMPUTED_VALUE"""),"High")</f>
        <v>High</v>
      </c>
      <c r="S2836" s="8" t="str">
        <f ca="1">IFERROR(__xludf.DUMMYFUNCTION("""COMPUTED_VALUE"""),"Classroom")</f>
        <v>Classroom</v>
      </c>
      <c r="T2836" s="8" t="str">
        <f ca="1">IFERROR(__xludf.DUMMYFUNCTION("""COMPUTED_VALUE"""),"Inside School Building")</f>
        <v>Inside School Building</v>
      </c>
      <c r="U2836" s="8" t="str">
        <f ca="1">IFERROR(__xludf.DUMMYFUNCTION("""COMPUTED_VALUE"""),"Yes")</f>
        <v>Yes</v>
      </c>
      <c r="V2836" s="8"/>
      <c r="W2836" s="8"/>
      <c r="X2836" s="8"/>
      <c r="Y2836" s="12" t="str">
        <f ca="1">IFERROR(__xludf.DUMMYFUNCTION("""COMPUTED_VALUE"""),"Shot teacher after argument over grades")</f>
        <v>Shot teacher after argument over grades</v>
      </c>
      <c r="Z2836" s="12" t="str">
        <f ca="1">IFERROR(__xludf.DUMMYFUNCTION("""COMPUTED_VALUE"""),"Prior problems with victim - students math teacher - shooter had previously told other students he planned to shoot teacher - showed them the gun he planned to use - no one believed him so nothing further was reported. Police officer assigned to the schoo"&amp;"l told student to surrender after shooting and he sat down/gave up weapon. Student had just returned from multi-day suspension.")</f>
        <v>Prior problems with victim - students math teacher - shooter had previously told other students he planned to shoot teacher - showed them the gun he planned to use - no one believed him so nothing further was reported. Police officer assigned to the school told student to surrender after shooting and he sat down/gave up weapon. Student had just returned from multi-day suspension.</v>
      </c>
      <c r="AA2836" s="8" t="str">
        <f ca="1">IFERROR(__xludf.DUMMYFUNCTION("""COMPUTED_VALUE"""),"Anger Over Grade/Suspension/Discipline")</f>
        <v>Anger Over Grade/Suspension/Discipline</v>
      </c>
      <c r="AB2836" s="8"/>
      <c r="AC2836" s="8" t="str">
        <f ca="1">IFERROR(__xludf.DUMMYFUNCTION("""COMPUTED_VALUE"""),"Yes")</f>
        <v>Yes</v>
      </c>
      <c r="AD2836" s="8" t="str">
        <f ca="1">IFERROR(__xludf.DUMMYFUNCTION("""COMPUTED_VALUE"""),"Victims Targeted")</f>
        <v>Victims Targeted</v>
      </c>
      <c r="AE2836" s="8" t="str">
        <f ca="1">IFERROR(__xludf.DUMMYFUNCTION("""COMPUTED_VALUE"""),"No")</f>
        <v>No</v>
      </c>
      <c r="AF2836" s="8"/>
      <c r="AG2836" s="8" t="str">
        <f ca="1">IFERROR(__xludf.DUMMYFUNCTION("""COMPUTED_VALUE"""),"No")</f>
        <v>No</v>
      </c>
      <c r="AH2836" s="8" t="str">
        <f ca="1">IFERROR(__xludf.DUMMYFUNCTION("""COMPUTED_VALUE"""),"No")</f>
        <v>No</v>
      </c>
      <c r="AI2836" s="8" t="str">
        <f ca="1">IFERROR(__xludf.DUMMYFUNCTION("""COMPUTED_VALUE"""),"No")</f>
        <v>No</v>
      </c>
      <c r="AJ2836" s="8"/>
      <c r="AK2836" s="8" t="str">
        <f ca="1">IFERROR(__xludf.DUMMYFUNCTION("""COMPUTED_VALUE"""),"No")</f>
        <v>No</v>
      </c>
      <c r="AL2836" s="8" t="str">
        <f ca="1">IFERROR(__xludf.DUMMYFUNCTION("""COMPUTED_VALUE"""),"No")</f>
        <v>No</v>
      </c>
      <c r="AM2836" s="8" t="str">
        <f ca="1">IFERROR(__xludf.DUMMYFUNCTION("""COMPUTED_VALUE"""),"Yes")</f>
        <v>Yes</v>
      </c>
      <c r="AN2836" s="8" t="str">
        <f ca="1">IFERROR(__xludf.DUMMYFUNCTION("""COMPUTED_VALUE"""),"Single Room")</f>
        <v>Single Room</v>
      </c>
      <c r="AO2836" s="8" t="str">
        <f ca="1">IFERROR(__xludf.DUMMYFUNCTION("""COMPUTED_VALUE"""),"Yes")</f>
        <v>Yes</v>
      </c>
      <c r="AP2836" s="8" t="str">
        <f ca="1">IFERROR(__xludf.DUMMYFUNCTION("""COMPUTED_VALUE"""),"Yes")</f>
        <v>Yes</v>
      </c>
      <c r="AQ2836" s="8" t="str">
        <f ca="1">IFERROR(__xludf.DUMMYFUNCTION("""COMPUTED_VALUE"""),"Unknown")</f>
        <v>Unknown</v>
      </c>
      <c r="AR2836" s="8" t="str">
        <f ca="1">IFERROR(__xludf.DUMMYFUNCTION("""COMPUTED_VALUE"""),"NA")</f>
        <v>NA</v>
      </c>
      <c r="AS2836" s="8" t="str">
        <f ca="1">IFERROR(__xludf.DUMMYFUNCTION("""COMPUTED_VALUE"""),"&lt;10")</f>
        <v>&lt;10</v>
      </c>
      <c r="AT2836" s="8"/>
      <c r="AU2836" s="8">
        <f ca="1">IFERROR(__xludf.DUMMYFUNCTION("""COMPUTED_VALUE"""),41.620991)</f>
        <v>41.620990999999997</v>
      </c>
      <c r="AV2836" s="8">
        <f ca="1">IFERROR(__xludf.DUMMYFUNCTION("""COMPUTED_VALUE"""),-87.599277)</f>
        <v>-87.599277000000001</v>
      </c>
      <c r="AW2836" s="8"/>
      <c r="AX2836" s="8">
        <f ca="1">IFERROR(__xludf.DUMMYFUNCTION("""COMPUTED_VALUE"""),60419)</f>
        <v>60419</v>
      </c>
    </row>
    <row r="2837" spans="1:50" ht="45" x14ac:dyDescent="0.2">
      <c r="A2837" s="8" t="str">
        <f ca="1">IFERROR(__xludf.DUMMYFUNCTION("""COMPUTED_VALUE"""),"19860224LABOS")</f>
        <v>19860224LABOS</v>
      </c>
      <c r="B2837" s="8">
        <f ca="1">IFERROR(__xludf.DUMMYFUNCTION("""COMPUTED_VALUE"""),2)</f>
        <v>2</v>
      </c>
      <c r="C2837" s="8">
        <f ca="1">IFERROR(__xludf.DUMMYFUNCTION("""COMPUTED_VALUE"""),24)</f>
        <v>24</v>
      </c>
      <c r="D2837" s="8">
        <f ca="1">IFERROR(__xludf.DUMMYFUNCTION("""COMPUTED_VALUE"""),1986)</f>
        <v>1986</v>
      </c>
      <c r="E2837" s="9">
        <f ca="1">IFERROR(__xludf.DUMMYFUNCTION("""COMPUTED_VALUE"""),31467)</f>
        <v>31467</v>
      </c>
      <c r="F2837" s="8" t="str">
        <f ca="1">IFERROR(__xludf.DUMMYFUNCTION("""COMPUTED_VALUE"""),"Boyet Junior High School")</f>
        <v>Boyet Junior High School</v>
      </c>
      <c r="G2837" s="8">
        <f ca="1">IFERROR(__xludf.DUMMYFUNCTION("""COMPUTED_VALUE"""),0)</f>
        <v>0</v>
      </c>
      <c r="H2837" s="8">
        <f ca="1">IFERROR(__xludf.DUMMYFUNCTION("""COMPUTED_VALUE"""),0)</f>
        <v>0</v>
      </c>
      <c r="I2837" s="8">
        <f ca="1">IFERROR(__xludf.DUMMYFUNCTION("""COMPUTED_VALUE"""),0)</f>
        <v>0</v>
      </c>
      <c r="J2837" s="8">
        <f ca="1">IFERROR(__xludf.DUMMYFUNCTION("""COMPUTED_VALUE"""),1)</f>
        <v>1</v>
      </c>
      <c r="K2837" s="10" t="str">
        <f ca="1">IFERROR(__xludf.DUMMYFUNCTION("""COMPUTED_VALUE"""),"https://www.newspapers.com/image/216501029/?terms=Boyet%2BJunior%2BHigh%2BSchool%2Bshooting")</f>
        <v>https://www.newspapers.com/image/216501029/?terms=Boyet%2BJunior%2BHigh%2BSchool%2Bshooting</v>
      </c>
      <c r="L2837" s="8"/>
      <c r="M2837" s="8"/>
      <c r="N2837" s="8">
        <f ca="1">IFERROR(__xludf.DUMMYFUNCTION("""COMPUTED_VALUE"""),2)</f>
        <v>2</v>
      </c>
      <c r="O2837" s="8" t="str">
        <f ca="1">IFERROR(__xludf.DUMMYFUNCTION("""COMPUTED_VALUE"""),"Winter")</f>
        <v>Winter</v>
      </c>
      <c r="P2837" s="8" t="str">
        <f ca="1">IFERROR(__xludf.DUMMYFUNCTION("""COMPUTED_VALUE"""),"Slidell")</f>
        <v>Slidell</v>
      </c>
      <c r="Q2837" s="8" t="str">
        <f ca="1">IFERROR(__xludf.DUMMYFUNCTION("""COMPUTED_VALUE"""),"LA")</f>
        <v>LA</v>
      </c>
      <c r="R2837" s="8" t="str">
        <f ca="1">IFERROR(__xludf.DUMMYFUNCTION("""COMPUTED_VALUE"""),"Junior High")</f>
        <v>Junior High</v>
      </c>
      <c r="S2837" s="8" t="str">
        <f ca="1">IFERROR(__xludf.DUMMYFUNCTION("""COMPUTED_VALUE"""),"Classroom")</f>
        <v>Classroom</v>
      </c>
      <c r="T2837" s="8" t="str">
        <f ca="1">IFERROR(__xludf.DUMMYFUNCTION("""COMPUTED_VALUE"""),"Inside School Building")</f>
        <v>Inside School Building</v>
      </c>
      <c r="U2837" s="8" t="str">
        <f ca="1">IFERROR(__xludf.DUMMYFUNCTION("""COMPUTED_VALUE"""),"Yes")</f>
        <v>Yes</v>
      </c>
      <c r="V2837" s="8"/>
      <c r="W2837" s="8"/>
      <c r="X2837" s="8">
        <f ca="1">IFERROR(__xludf.DUMMYFUNCTION("""COMPUTED_VALUE"""),1)</f>
        <v>1</v>
      </c>
      <c r="Y2837" s="12" t="str">
        <f ca="1">IFERROR(__xludf.DUMMYFUNCTION("""COMPUTED_VALUE"""),"Shot himself in head in front of class")</f>
        <v>Shot himself in head in front of class</v>
      </c>
      <c r="Z2837" s="12" t="str">
        <f ca="1">IFERROR(__xludf.DUMMYFUNCTION("""COMPUTED_VALUE"""),"13YOM shot self in the head with .45 handgun in front of 28 other students in classroom. Shooter was basketball player and honors student. Well liked.")</f>
        <v>13YOM shot self in the head with .45 handgun in front of 28 other students in classroom. Shooter was basketball player and honors student. Well liked.</v>
      </c>
      <c r="AA2837" s="8" t="str">
        <f ca="1">IFERROR(__xludf.DUMMYFUNCTION("""COMPUTED_VALUE"""),"Suicide/Attempted")</f>
        <v>Suicide/Attempted</v>
      </c>
      <c r="AB2837" s="8"/>
      <c r="AC2837" s="8"/>
      <c r="AD2837" s="8" t="str">
        <f ca="1">IFERROR(__xludf.DUMMYFUNCTION("""COMPUTED_VALUE"""),"Victims Targeted")</f>
        <v>Victims Targeted</v>
      </c>
      <c r="AE2837" s="8" t="str">
        <f ca="1">IFERROR(__xludf.DUMMYFUNCTION("""COMPUTED_VALUE"""),"No")</f>
        <v>No</v>
      </c>
      <c r="AF2837" s="8"/>
      <c r="AG2837" s="8" t="str">
        <f ca="1">IFERROR(__xludf.DUMMYFUNCTION("""COMPUTED_VALUE"""),"No")</f>
        <v>No</v>
      </c>
      <c r="AH2837" s="8" t="str">
        <f ca="1">IFERROR(__xludf.DUMMYFUNCTION("""COMPUTED_VALUE"""),"No")</f>
        <v>No</v>
      </c>
      <c r="AI2837" s="8" t="str">
        <f ca="1">IFERROR(__xludf.DUMMYFUNCTION("""COMPUTED_VALUE"""),"No")</f>
        <v>No</v>
      </c>
      <c r="AJ2837" s="8" t="str">
        <f ca="1">IFERROR(__xludf.DUMMYFUNCTION("""COMPUTED_VALUE"""),"No")</f>
        <v>No</v>
      </c>
      <c r="AK2837" s="8" t="str">
        <f ca="1">IFERROR(__xludf.DUMMYFUNCTION("""COMPUTED_VALUE"""),"No")</f>
        <v>No</v>
      </c>
      <c r="AL2837" s="8" t="str">
        <f ca="1">IFERROR(__xludf.DUMMYFUNCTION("""COMPUTED_VALUE"""),"No")</f>
        <v>No</v>
      </c>
      <c r="AM2837" s="8"/>
      <c r="AN2837" s="8"/>
      <c r="AO2837" s="8" t="str">
        <f ca="1">IFERROR(__xludf.DUMMYFUNCTION("""COMPUTED_VALUE"""),"No")</f>
        <v>No</v>
      </c>
      <c r="AP2837" s="8"/>
      <c r="AQ2837" s="8" t="str">
        <f ca="1">IFERROR(__xludf.DUMMYFUNCTION("""COMPUTED_VALUE"""),"Unknown")</f>
        <v>Unknown</v>
      </c>
      <c r="AR2837" s="8" t="str">
        <f ca="1">IFERROR(__xludf.DUMMYFUNCTION("""COMPUTED_VALUE"""),"NA")</f>
        <v>NA</v>
      </c>
      <c r="AS2837" s="8">
        <f ca="1">IFERROR(__xludf.DUMMYFUNCTION("""COMPUTED_VALUE"""),1)</f>
        <v>1</v>
      </c>
      <c r="AT2837" s="8"/>
      <c r="AU2837" s="8">
        <f ca="1">IFERROR(__xludf.DUMMYFUNCTION("""COMPUTED_VALUE"""),30.291968)</f>
        <v>30.291968000000001</v>
      </c>
      <c r="AV2837" s="8">
        <f ca="1">IFERROR(__xludf.DUMMYFUNCTION("""COMPUTED_VALUE"""),-89.738339)</f>
        <v>-89.738338999999996</v>
      </c>
      <c r="AW2837" s="8"/>
      <c r="AX2837" s="8">
        <f ca="1">IFERROR(__xludf.DUMMYFUNCTION("""COMPUTED_VALUE"""),70461)</f>
        <v>70461</v>
      </c>
    </row>
    <row r="2838" spans="1:50" ht="60" x14ac:dyDescent="0.2">
      <c r="A2838" s="8" t="str">
        <f ca="1">IFERROR(__xludf.DUMMYFUNCTION("""COMPUTED_VALUE"""),"19860129MDLAB")</f>
        <v>19860129MDLAB</v>
      </c>
      <c r="B2838" s="8">
        <f ca="1">IFERROR(__xludf.DUMMYFUNCTION("""COMPUTED_VALUE"""),1)</f>
        <v>1</v>
      </c>
      <c r="C2838" s="8">
        <f ca="1">IFERROR(__xludf.DUMMYFUNCTION("""COMPUTED_VALUE"""),29)</f>
        <v>29</v>
      </c>
      <c r="D2838" s="8">
        <f ca="1">IFERROR(__xludf.DUMMYFUNCTION("""COMPUTED_VALUE"""),1986)</f>
        <v>1986</v>
      </c>
      <c r="E2838" s="9">
        <f ca="1">IFERROR(__xludf.DUMMYFUNCTION("""COMPUTED_VALUE"""),31441)</f>
        <v>31441</v>
      </c>
      <c r="F2838" s="8" t="str">
        <f ca="1">IFERROR(__xludf.DUMMYFUNCTION("""COMPUTED_VALUE"""),"Lake Clifton High School")</f>
        <v>Lake Clifton High School</v>
      </c>
      <c r="G2838" s="8">
        <f ca="1">IFERROR(__xludf.DUMMYFUNCTION("""COMPUTED_VALUE"""),1)</f>
        <v>1</v>
      </c>
      <c r="H2838" s="8">
        <f ca="1">IFERROR(__xludf.DUMMYFUNCTION("""COMPUTED_VALUE"""),0)</f>
        <v>0</v>
      </c>
      <c r="I2838" s="8">
        <f ca="1">IFERROR(__xludf.DUMMYFUNCTION("""COMPUTED_VALUE"""),1)</f>
        <v>1</v>
      </c>
      <c r="J2838" s="8">
        <f ca="1">IFERROR(__xludf.DUMMYFUNCTION("""COMPUTED_VALUE"""),0)</f>
        <v>0</v>
      </c>
      <c r="K2838" s="10" t="str">
        <f ca="1">IFERROR(__xludf.DUMMYFUNCTION("""COMPUTED_VALUE"""),"https://www.newspapers.com/image/377738432/?terms=Lake%2BClifton%2BHigh%2BSchool%2Bshooting")</f>
        <v>https://www.newspapers.com/image/377738432/?terms=Lake%2BClifton%2BHigh%2BSchool%2Bshooting</v>
      </c>
      <c r="L2838" s="8"/>
      <c r="M2838" s="8"/>
      <c r="N2838" s="8">
        <f ca="1">IFERROR(__xludf.DUMMYFUNCTION("""COMPUTED_VALUE"""),2)</f>
        <v>2</v>
      </c>
      <c r="O2838" s="8" t="str">
        <f ca="1">IFERROR(__xludf.DUMMYFUNCTION("""COMPUTED_VALUE"""),"Winter")</f>
        <v>Winter</v>
      </c>
      <c r="P2838" s="8" t="str">
        <f ca="1">IFERROR(__xludf.DUMMYFUNCTION("""COMPUTED_VALUE"""),"Baltimore")</f>
        <v>Baltimore</v>
      </c>
      <c r="Q2838" s="8" t="str">
        <f ca="1">IFERROR(__xludf.DUMMYFUNCTION("""COMPUTED_VALUE"""),"MD")</f>
        <v>MD</v>
      </c>
      <c r="R2838" s="8" t="str">
        <f ca="1">IFERROR(__xludf.DUMMYFUNCTION("""COMPUTED_VALUE"""),"High")</f>
        <v>High</v>
      </c>
      <c r="S2838" s="8" t="str">
        <f ca="1">IFERROR(__xludf.DUMMYFUNCTION("""COMPUTED_VALUE"""),"Inside School Building")</f>
        <v>Inside School Building</v>
      </c>
      <c r="T2838" s="8" t="str">
        <f ca="1">IFERROR(__xludf.DUMMYFUNCTION("""COMPUTED_VALUE"""),"Inside School Building")</f>
        <v>Inside School Building</v>
      </c>
      <c r="U2838" s="8" t="str">
        <f ca="1">IFERROR(__xludf.DUMMYFUNCTION("""COMPUTED_VALUE"""),"Yes")</f>
        <v>Yes</v>
      </c>
      <c r="V2838" s="8"/>
      <c r="W2838" s="8"/>
      <c r="X2838" s="8">
        <f ca="1">IFERROR(__xludf.DUMMYFUNCTION("""COMPUTED_VALUE"""),1)</f>
        <v>1</v>
      </c>
      <c r="Y2838" s="12" t="str">
        <f ca="1">IFERROR(__xludf.DUMMYFUNCTION("""COMPUTED_VALUE"""),"Shooter had been beat up multiple times, shot victim during attack")</f>
        <v>Shooter had been beat up multiple times, shot victim during attack</v>
      </c>
      <c r="Z2838" s="12" t="str">
        <f ca="1">IFERROR(__xludf.DUMMYFUNCTION("""COMPUTED_VALUE"""),"14YOM Shooter had been beat up by the older and much larger 16YOM victim multiple times. Victim attacked the shooter, shooter fired a pistol killing the victim and fled the scene.")</f>
        <v>14YOM Shooter had been beat up by the older and much larger 16YOM victim multiple times. Victim attacked the shooter, shooter fired a pistol killing the victim and fled the scene.</v>
      </c>
      <c r="AA2838" s="8" t="str">
        <f ca="1">IFERROR(__xludf.DUMMYFUNCTION("""COMPUTED_VALUE"""),"Bullying")</f>
        <v>Bullying</v>
      </c>
      <c r="AB2838" s="8"/>
      <c r="AC2838" s="8"/>
      <c r="AD2838" s="8" t="str">
        <f ca="1">IFERROR(__xludf.DUMMYFUNCTION("""COMPUTED_VALUE"""),"Victims Targeted")</f>
        <v>Victims Targeted</v>
      </c>
      <c r="AE2838" s="8" t="str">
        <f ca="1">IFERROR(__xludf.DUMMYFUNCTION("""COMPUTED_VALUE"""),"No")</f>
        <v>No</v>
      </c>
      <c r="AF2838" s="8"/>
      <c r="AG2838" s="8" t="str">
        <f ca="1">IFERROR(__xludf.DUMMYFUNCTION("""COMPUTED_VALUE"""),"No")</f>
        <v>No</v>
      </c>
      <c r="AH2838" s="8" t="str">
        <f ca="1">IFERROR(__xludf.DUMMYFUNCTION("""COMPUTED_VALUE"""),"No")</f>
        <v>No</v>
      </c>
      <c r="AI2838" s="8" t="str">
        <f ca="1">IFERROR(__xludf.DUMMYFUNCTION("""COMPUTED_VALUE"""),"No")</f>
        <v>No</v>
      </c>
      <c r="AJ2838" s="8" t="str">
        <f ca="1">IFERROR(__xludf.DUMMYFUNCTION("""COMPUTED_VALUE"""),"Yes")</f>
        <v>Yes</v>
      </c>
      <c r="AK2838" s="8" t="str">
        <f ca="1">IFERROR(__xludf.DUMMYFUNCTION("""COMPUTED_VALUE"""),"No")</f>
        <v>No</v>
      </c>
      <c r="AL2838" s="8" t="str">
        <f ca="1">IFERROR(__xludf.DUMMYFUNCTION("""COMPUTED_VALUE"""),"No")</f>
        <v>No</v>
      </c>
      <c r="AM2838" s="8"/>
      <c r="AN2838" s="8"/>
      <c r="AO2838" s="8" t="str">
        <f ca="1">IFERROR(__xludf.DUMMYFUNCTION("""COMPUTED_VALUE"""),"No")</f>
        <v>No</v>
      </c>
      <c r="AP2838" s="8"/>
      <c r="AQ2838" s="8" t="str">
        <f ca="1">IFERROR(__xludf.DUMMYFUNCTION("""COMPUTED_VALUE"""),"Unknown")</f>
        <v>Unknown</v>
      </c>
      <c r="AR2838" s="8" t="str">
        <f ca="1">IFERROR(__xludf.DUMMYFUNCTION("""COMPUTED_VALUE"""),"NA")</f>
        <v>NA</v>
      </c>
      <c r="AS2838" s="8">
        <f ca="1">IFERROR(__xludf.DUMMYFUNCTION("""COMPUTED_VALUE"""),1)</f>
        <v>1</v>
      </c>
      <c r="AT2838" s="8"/>
      <c r="AU2838" s="8">
        <f ca="1">IFERROR(__xludf.DUMMYFUNCTION("""COMPUTED_VALUE"""),39.316293)</f>
        <v>39.316293000000002</v>
      </c>
      <c r="AV2838" s="8">
        <f ca="1">IFERROR(__xludf.DUMMYFUNCTION("""COMPUTED_VALUE"""),-76.589516)</f>
        <v>-76.589516000000003</v>
      </c>
      <c r="AW2838" s="8"/>
      <c r="AX2838" s="8">
        <f ca="1">IFERROR(__xludf.DUMMYFUNCTION("""COMPUTED_VALUE"""),21213)</f>
        <v>21213</v>
      </c>
    </row>
    <row r="2839" spans="1:50" ht="60" x14ac:dyDescent="0.2">
      <c r="A2839" s="8" t="str">
        <f ca="1">IFERROR(__xludf.DUMMYFUNCTION("""COMPUTED_VALUE"""),"19860117CAVAL")</f>
        <v>19860117CAVAL</v>
      </c>
      <c r="B2839" s="8">
        <f ca="1">IFERROR(__xludf.DUMMYFUNCTION("""COMPUTED_VALUE"""),1)</f>
        <v>1</v>
      </c>
      <c r="C2839" s="8">
        <f ca="1">IFERROR(__xludf.DUMMYFUNCTION("""COMPUTED_VALUE"""),17)</f>
        <v>17</v>
      </c>
      <c r="D2839" s="8">
        <f ca="1">IFERROR(__xludf.DUMMYFUNCTION("""COMPUTED_VALUE"""),1986)</f>
        <v>1986</v>
      </c>
      <c r="E2839" s="9">
        <f ca="1">IFERROR(__xludf.DUMMYFUNCTION("""COMPUTED_VALUE"""),31429)</f>
        <v>31429</v>
      </c>
      <c r="F2839" s="8" t="str">
        <f ca="1">IFERROR(__xludf.DUMMYFUNCTION("""COMPUTED_VALUE"""),"Vanguard Junior High School")</f>
        <v>Vanguard Junior High School</v>
      </c>
      <c r="G2839" s="8">
        <f ca="1">IFERROR(__xludf.DUMMYFUNCTION("""COMPUTED_VALUE"""),1)</f>
        <v>1</v>
      </c>
      <c r="H2839" s="8">
        <f ca="1">IFERROR(__xludf.DUMMYFUNCTION("""COMPUTED_VALUE"""),0)</f>
        <v>0</v>
      </c>
      <c r="I2839" s="8">
        <f ca="1">IFERROR(__xludf.DUMMYFUNCTION("""COMPUTED_VALUE"""),1)</f>
        <v>1</v>
      </c>
      <c r="J2839" s="8">
        <f ca="1">IFERROR(__xludf.DUMMYFUNCTION("""COMPUTED_VALUE"""),0)</f>
        <v>0</v>
      </c>
      <c r="K2839" s="10" t="str">
        <f ca="1">IFERROR(__xludf.DUMMYFUNCTION("""COMPUTED_VALUE"""),"https://www.newspapers.com/image/401857837/?terms=Vanguard%2BJunior%2BHigh%2BSchool%2Bshooting")</f>
        <v>https://www.newspapers.com/image/401857837/?terms=Vanguard%2BJunior%2BHigh%2BSchool%2Bshooting</v>
      </c>
      <c r="L2839" s="8"/>
      <c r="M2839" s="8"/>
      <c r="N2839" s="8">
        <f ca="1">IFERROR(__xludf.DUMMYFUNCTION("""COMPUTED_VALUE"""),2)</f>
        <v>2</v>
      </c>
      <c r="O2839" s="8" t="str">
        <f ca="1">IFERROR(__xludf.DUMMYFUNCTION("""COMPUTED_VALUE"""),"Winter")</f>
        <v>Winter</v>
      </c>
      <c r="P2839" s="8" t="str">
        <f ca="1">IFERROR(__xludf.DUMMYFUNCTION("""COMPUTED_VALUE"""),"Los Angeles")</f>
        <v>Los Angeles</v>
      </c>
      <c r="Q2839" s="8" t="str">
        <f ca="1">IFERROR(__xludf.DUMMYFUNCTION("""COMPUTED_VALUE"""),"CA")</f>
        <v>CA</v>
      </c>
      <c r="R2839" s="8" t="str">
        <f ca="1">IFERROR(__xludf.DUMMYFUNCTION("""COMPUTED_VALUE"""),"Junior High")</f>
        <v>Junior High</v>
      </c>
      <c r="S2839" s="8" t="str">
        <f ca="1">IFERROR(__xludf.DUMMYFUNCTION("""COMPUTED_VALUE"""),"Outside on School Property")</f>
        <v>Outside on School Property</v>
      </c>
      <c r="T2839" s="8" t="str">
        <f ca="1">IFERROR(__xludf.DUMMYFUNCTION("""COMPUTED_VALUE"""),"Outside on School Property")</f>
        <v>Outside on School Property</v>
      </c>
      <c r="U2839" s="8" t="str">
        <f ca="1">IFERROR(__xludf.DUMMYFUNCTION("""COMPUTED_VALUE"""),"Yes")</f>
        <v>Yes</v>
      </c>
      <c r="V2839" s="8" t="str">
        <f ca="1">IFERROR(__xludf.DUMMYFUNCTION("""COMPUTED_VALUE"""),"Morning Classes")</f>
        <v>Morning Classes</v>
      </c>
      <c r="W2839" s="8"/>
      <c r="X2839" s="8">
        <f ca="1">IFERROR(__xludf.DUMMYFUNCTION("""COMPUTED_VALUE"""),1)</f>
        <v>1</v>
      </c>
      <c r="Y2839" s="12" t="str">
        <f ca="1">IFERROR(__xludf.DUMMYFUNCTION("""COMPUTED_VALUE"""),"Fight between students turned into shooting")</f>
        <v>Fight between students turned into shooting</v>
      </c>
      <c r="Z2839" s="12" t="str">
        <f ca="1">IFERROR(__xludf.DUMMYFUNCTION("""COMPUTED_VALUE"""),"Argument between 16YOM and 14YOM student. 13YOM handed a pistol to the 14YOM who shot the 16YOM victim. Shooter fled the scene and was turned over to police by his parents.")</f>
        <v>Argument between 16YOM and 14YOM student. 13YOM handed a pistol to the 14YOM who shot the 16YOM victim. Shooter fled the scene and was turned over to police by his parents.</v>
      </c>
      <c r="AA2839" s="8" t="str">
        <f ca="1">IFERROR(__xludf.DUMMYFUNCTION("""COMPUTED_VALUE"""),"Escalation of Dispute")</f>
        <v>Escalation of Dispute</v>
      </c>
      <c r="AB2839" s="8"/>
      <c r="AC2839" s="8"/>
      <c r="AD2839" s="8" t="str">
        <f ca="1">IFERROR(__xludf.DUMMYFUNCTION("""COMPUTED_VALUE"""),"Victims Targeted")</f>
        <v>Victims Targeted</v>
      </c>
      <c r="AE2839" s="8" t="str">
        <f ca="1">IFERROR(__xludf.DUMMYFUNCTION("""COMPUTED_VALUE"""),"No")</f>
        <v>No</v>
      </c>
      <c r="AF2839" s="8"/>
      <c r="AG2839" s="8" t="str">
        <f ca="1">IFERROR(__xludf.DUMMYFUNCTION("""COMPUTED_VALUE"""),"No")</f>
        <v>No</v>
      </c>
      <c r="AH2839" s="8" t="str">
        <f ca="1">IFERROR(__xludf.DUMMYFUNCTION("""COMPUTED_VALUE"""),"No")</f>
        <v>No</v>
      </c>
      <c r="AI2839" s="8" t="str">
        <f ca="1">IFERROR(__xludf.DUMMYFUNCTION("""COMPUTED_VALUE"""),"No")</f>
        <v>No</v>
      </c>
      <c r="AJ2839" s="8" t="str">
        <f ca="1">IFERROR(__xludf.DUMMYFUNCTION("""COMPUTED_VALUE"""),"No")</f>
        <v>No</v>
      </c>
      <c r="AK2839" s="8" t="str">
        <f ca="1">IFERROR(__xludf.DUMMYFUNCTION("""COMPUTED_VALUE"""),"No")</f>
        <v>No</v>
      </c>
      <c r="AL2839" s="8" t="str">
        <f ca="1">IFERROR(__xludf.DUMMYFUNCTION("""COMPUTED_VALUE"""),"No")</f>
        <v>No</v>
      </c>
      <c r="AM2839" s="8"/>
      <c r="AN2839" s="8"/>
      <c r="AO2839" s="8" t="str">
        <f ca="1">IFERROR(__xludf.DUMMYFUNCTION("""COMPUTED_VALUE"""),"No")</f>
        <v>No</v>
      </c>
      <c r="AP2839" s="8"/>
      <c r="AQ2839" s="8" t="str">
        <f ca="1">IFERROR(__xludf.DUMMYFUNCTION("""COMPUTED_VALUE"""),"Unknown")</f>
        <v>Unknown</v>
      </c>
      <c r="AR2839" s="8" t="str">
        <f ca="1">IFERROR(__xludf.DUMMYFUNCTION("""COMPUTED_VALUE"""),"NA")</f>
        <v>NA</v>
      </c>
      <c r="AS2839" s="8" t="str">
        <f ca="1">IFERROR(__xludf.DUMMYFUNCTION("""COMPUTED_VALUE"""),"&lt;5")</f>
        <v>&lt;5</v>
      </c>
      <c r="AT2839" s="8"/>
      <c r="AU2839" s="8">
        <f ca="1">IFERROR(__xludf.DUMMYFUNCTION("""COMPUTED_VALUE"""),33.911203)</f>
        <v>33.911203</v>
      </c>
      <c r="AV2839" s="8">
        <f ca="1">IFERROR(__xludf.DUMMYFUNCTION("""COMPUTED_VALUE"""),-118.271196)</f>
        <v>-118.271196</v>
      </c>
      <c r="AW2839" s="8"/>
      <c r="AX2839" s="8">
        <f ca="1">IFERROR(__xludf.DUMMYFUNCTION("""COMPUTED_VALUE"""),90061)</f>
        <v>90061</v>
      </c>
    </row>
    <row r="2840" spans="1:50" ht="60" x14ac:dyDescent="0.2">
      <c r="A2840" s="8" t="str">
        <f ca="1">IFERROR(__xludf.DUMMYFUNCTION("""COMPUTED_VALUE"""),"19860109NCNOD")</f>
        <v>19860109NCNOD</v>
      </c>
      <c r="B2840" s="8">
        <f ca="1">IFERROR(__xludf.DUMMYFUNCTION("""COMPUTED_VALUE"""),1)</f>
        <v>1</v>
      </c>
      <c r="C2840" s="8">
        <f ca="1">IFERROR(__xludf.DUMMYFUNCTION("""COMPUTED_VALUE"""),9)</f>
        <v>9</v>
      </c>
      <c r="D2840" s="8">
        <f ca="1">IFERROR(__xludf.DUMMYFUNCTION("""COMPUTED_VALUE"""),1986)</f>
        <v>1986</v>
      </c>
      <c r="E2840" s="9">
        <f ca="1">IFERROR(__xludf.DUMMYFUNCTION("""COMPUTED_VALUE"""),31421)</f>
        <v>31421</v>
      </c>
      <c r="F2840" s="8" t="str">
        <f ca="1">IFERROR(__xludf.DUMMYFUNCTION("""COMPUTED_VALUE"""),"Northern High School")</f>
        <v>Northern High School</v>
      </c>
      <c r="G2840" s="8">
        <f ca="1">IFERROR(__xludf.DUMMYFUNCTION("""COMPUTED_VALUE"""),1)</f>
        <v>1</v>
      </c>
      <c r="H2840" s="8">
        <f ca="1">IFERROR(__xludf.DUMMYFUNCTION("""COMPUTED_VALUE"""),0)</f>
        <v>0</v>
      </c>
      <c r="I2840" s="8">
        <f ca="1">IFERROR(__xludf.DUMMYFUNCTION("""COMPUTED_VALUE"""),1)</f>
        <v>1</v>
      </c>
      <c r="J2840" s="8">
        <f ca="1">IFERROR(__xludf.DUMMYFUNCTION("""COMPUTED_VALUE"""),0)</f>
        <v>0</v>
      </c>
      <c r="K2840" s="10" t="str">
        <f ca="1">IFERROR(__xludf.DUMMYFUNCTION("""COMPUTED_VALUE"""),"https://www.newspapers.com/image/337579716/?terms=David%2BMancuso")</f>
        <v>https://www.newspapers.com/image/337579716/?terms=David%2BMancuso</v>
      </c>
      <c r="L2840" s="8"/>
      <c r="M2840" s="8"/>
      <c r="N2840" s="8">
        <f ca="1">IFERROR(__xludf.DUMMYFUNCTION("""COMPUTED_VALUE"""),2)</f>
        <v>2</v>
      </c>
      <c r="O2840" s="8" t="str">
        <f ca="1">IFERROR(__xludf.DUMMYFUNCTION("""COMPUTED_VALUE"""),"Winter")</f>
        <v>Winter</v>
      </c>
      <c r="P2840" s="8" t="str">
        <f ca="1">IFERROR(__xludf.DUMMYFUNCTION("""COMPUTED_VALUE"""),"Durham")</f>
        <v>Durham</v>
      </c>
      <c r="Q2840" s="8" t="str">
        <f ca="1">IFERROR(__xludf.DUMMYFUNCTION("""COMPUTED_VALUE"""),"NC")</f>
        <v>NC</v>
      </c>
      <c r="R2840" s="8" t="str">
        <f ca="1">IFERROR(__xludf.DUMMYFUNCTION("""COMPUTED_VALUE"""),"High")</f>
        <v>High</v>
      </c>
      <c r="S2840" s="8" t="str">
        <f ca="1">IFERROR(__xludf.DUMMYFUNCTION("""COMPUTED_VALUE"""),"Parking Lot")</f>
        <v>Parking Lot</v>
      </c>
      <c r="T2840" s="8" t="str">
        <f ca="1">IFERROR(__xludf.DUMMYFUNCTION("""COMPUTED_VALUE"""),"Outside on School Property")</f>
        <v>Outside on School Property</v>
      </c>
      <c r="U2840" s="8" t="str">
        <f ca="1">IFERROR(__xludf.DUMMYFUNCTION("""COMPUTED_VALUE"""),"No")</f>
        <v>No</v>
      </c>
      <c r="V2840" s="8" t="str">
        <f ca="1">IFERROR(__xludf.DUMMYFUNCTION("""COMPUTED_VALUE"""),"After School")</f>
        <v>After School</v>
      </c>
      <c r="W2840" s="11">
        <f ca="1">IFERROR(__xludf.DUMMYFUNCTION("""COMPUTED_VALUE"""),0.666666666666666)</f>
        <v>0.66666666666666596</v>
      </c>
      <c r="X2840" s="8">
        <f ca="1">IFERROR(__xludf.DUMMYFUNCTION("""COMPUTED_VALUE"""),1)</f>
        <v>1</v>
      </c>
      <c r="Y2840" s="12" t="str">
        <f ca="1">IFERROR(__xludf.DUMMYFUNCTION("""COMPUTED_VALUE"""),"Boy infatuated with female classmate kills her in school parking lot")</f>
        <v>Boy infatuated with female classmate kills her in school parking lot</v>
      </c>
      <c r="Z2840" s="12" t="str">
        <f ca="1">IFERROR(__xludf.DUMMYFUNCTION("""COMPUTED_VALUE"""),"17YOM student was stalking 17YOF cheerleader after she told him she was not romantically interested in him. He approached her car in the parking lot after school and fired through the window killing her. Arrest late that night.")</f>
        <v>17YOM student was stalking 17YOF cheerleader after she told him she was not romantically interested in him. He approached her car in the parking lot after school and fired through the window killing her. Arrest late that night.</v>
      </c>
      <c r="AA2840" s="8" t="str">
        <f ca="1">IFERROR(__xludf.DUMMYFUNCTION("""COMPUTED_VALUE"""),"Domestic w/ Targeted Victim")</f>
        <v>Domestic w/ Targeted Victim</v>
      </c>
      <c r="AB2840" s="8"/>
      <c r="AC2840" s="8"/>
      <c r="AD2840" s="8" t="str">
        <f ca="1">IFERROR(__xludf.DUMMYFUNCTION("""COMPUTED_VALUE"""),"Victims Targeted")</f>
        <v>Victims Targeted</v>
      </c>
      <c r="AE2840" s="8" t="str">
        <f ca="1">IFERROR(__xludf.DUMMYFUNCTION("""COMPUTED_VALUE"""),"No")</f>
        <v>No</v>
      </c>
      <c r="AF2840" s="8"/>
      <c r="AG2840" s="8" t="str">
        <f ca="1">IFERROR(__xludf.DUMMYFUNCTION("""COMPUTED_VALUE"""),"No")</f>
        <v>No</v>
      </c>
      <c r="AH2840" s="8" t="str">
        <f ca="1">IFERROR(__xludf.DUMMYFUNCTION("""COMPUTED_VALUE"""),"No")</f>
        <v>No</v>
      </c>
      <c r="AI2840" s="8" t="str">
        <f ca="1">IFERROR(__xludf.DUMMYFUNCTION("""COMPUTED_VALUE"""),"No")</f>
        <v>No</v>
      </c>
      <c r="AJ2840" s="8" t="str">
        <f ca="1">IFERROR(__xludf.DUMMYFUNCTION("""COMPUTED_VALUE"""),"No")</f>
        <v>No</v>
      </c>
      <c r="AK2840" s="8" t="str">
        <f ca="1">IFERROR(__xludf.DUMMYFUNCTION("""COMPUTED_VALUE"""),"Yes")</f>
        <v>Yes</v>
      </c>
      <c r="AL2840" s="8" t="str">
        <f ca="1">IFERROR(__xludf.DUMMYFUNCTION("""COMPUTED_VALUE"""),"No")</f>
        <v>No</v>
      </c>
      <c r="AM2840" s="8"/>
      <c r="AN2840" s="8"/>
      <c r="AO2840" s="8" t="str">
        <f ca="1">IFERROR(__xludf.DUMMYFUNCTION("""COMPUTED_VALUE"""),"No")</f>
        <v>No</v>
      </c>
      <c r="AP2840" s="8"/>
      <c r="AQ2840" s="8" t="str">
        <f ca="1">IFERROR(__xludf.DUMMYFUNCTION("""COMPUTED_VALUE"""),"Unknown")</f>
        <v>Unknown</v>
      </c>
      <c r="AR2840" s="8" t="str">
        <f ca="1">IFERROR(__xludf.DUMMYFUNCTION("""COMPUTED_VALUE"""),"NA")</f>
        <v>NA</v>
      </c>
      <c r="AS2840" s="8" t="str">
        <f ca="1">IFERROR(__xludf.DUMMYFUNCTION("""COMPUTED_VALUE"""),"&lt;5")</f>
        <v>&lt;5</v>
      </c>
      <c r="AT2840" s="8"/>
      <c r="AU2840" s="8">
        <f ca="1">IFERROR(__xludf.DUMMYFUNCTION("""COMPUTED_VALUE"""),36.093717)</f>
        <v>36.093716999999998</v>
      </c>
      <c r="AV2840" s="8">
        <f ca="1">IFERROR(__xludf.DUMMYFUNCTION("""COMPUTED_VALUE"""),-78.911824)</f>
        <v>-78.911823999999996</v>
      </c>
      <c r="AW2840" s="8"/>
      <c r="AX2840" s="8">
        <f ca="1">IFERROR(__xludf.DUMMYFUNCTION("""COMPUTED_VALUE"""),27712)</f>
        <v>27712</v>
      </c>
    </row>
    <row r="2841" spans="1:50" ht="60" x14ac:dyDescent="0.2">
      <c r="A2841" s="8" t="str">
        <f ca="1">IFERROR(__xludf.DUMMYFUNCTION("""COMPUTED_VALUE"""),"19851210CTPOP")</f>
        <v>19851210CTPOP</v>
      </c>
      <c r="B2841" s="8">
        <f ca="1">IFERROR(__xludf.DUMMYFUNCTION("""COMPUTED_VALUE"""),12)</f>
        <v>12</v>
      </c>
      <c r="C2841" s="8">
        <f ca="1">IFERROR(__xludf.DUMMYFUNCTION("""COMPUTED_VALUE"""),10)</f>
        <v>10</v>
      </c>
      <c r="D2841" s="8">
        <f ca="1">IFERROR(__xludf.DUMMYFUNCTION("""COMPUTED_VALUE"""),1985)</f>
        <v>1985</v>
      </c>
      <c r="E2841" s="9">
        <f ca="1">IFERROR(__xludf.DUMMYFUNCTION("""COMPUTED_VALUE"""),31391)</f>
        <v>31391</v>
      </c>
      <c r="F2841" s="8" t="str">
        <f ca="1">IFERROR(__xludf.DUMMYFUNCTION("""COMPUTED_VALUE"""),"Portland Junior High School")</f>
        <v>Portland Junior High School</v>
      </c>
      <c r="G2841" s="8">
        <f ca="1">IFERROR(__xludf.DUMMYFUNCTION("""COMPUTED_VALUE"""),1)</f>
        <v>1</v>
      </c>
      <c r="H2841" s="8">
        <f ca="1">IFERROR(__xludf.DUMMYFUNCTION("""COMPUTED_VALUE"""),2)</f>
        <v>2</v>
      </c>
      <c r="I2841" s="8">
        <f ca="1">IFERROR(__xludf.DUMMYFUNCTION("""COMPUTED_VALUE"""),3)</f>
        <v>3</v>
      </c>
      <c r="J2841" s="8">
        <f ca="1">IFERROR(__xludf.DUMMYFUNCTION("""COMPUTED_VALUE"""),0)</f>
        <v>0</v>
      </c>
      <c r="K2841" s="8" t="str">
        <f ca="1">IFERROR(__xludf.DUMMYFUNCTION("""COMPUTED_VALUE"""),"https://www.nytimes.com/1985/12/13/nyregion/at-junior-high-attempt-to-deal-with-shootings.html; https://en.wikipedia.org/wiki/List_of_attacks_related_to_secondary_schools https://apnews.com/4a31863a15b9073e705b275a22eb132d https://www.newspapers.com/image"&amp;"/245620114/?terms=Portland%2BJunior%2BHigh%2BSchool")</f>
        <v>https://www.nytimes.com/1985/12/13/nyregion/at-junior-high-attempt-to-deal-with-shootings.html; https://en.wikipedia.org/wiki/List_of_attacks_related_to_secondary_schools https://apnews.com/4a31863a15b9073e705b275a22eb132d https://www.newspapers.com/image/245620114/?terms=Portland%2BJunior%2BHigh%2BSchool</v>
      </c>
      <c r="L2841" s="8"/>
      <c r="M2841" s="8"/>
      <c r="N2841" s="8">
        <f ca="1">IFERROR(__xludf.DUMMYFUNCTION("""COMPUTED_VALUE"""),3)</f>
        <v>3</v>
      </c>
      <c r="O2841" s="8" t="str">
        <f ca="1">IFERROR(__xludf.DUMMYFUNCTION("""COMPUTED_VALUE"""),"Winter")</f>
        <v>Winter</v>
      </c>
      <c r="P2841" s="8" t="str">
        <f ca="1">IFERROR(__xludf.DUMMYFUNCTION("""COMPUTED_VALUE"""),"Portland")</f>
        <v>Portland</v>
      </c>
      <c r="Q2841" s="8" t="str">
        <f ca="1">IFERROR(__xludf.DUMMYFUNCTION("""COMPUTED_VALUE"""),"CT")</f>
        <v>CT</v>
      </c>
      <c r="R2841" s="8" t="str">
        <f ca="1">IFERROR(__xludf.DUMMYFUNCTION("""COMPUTED_VALUE"""),"Junior High")</f>
        <v>Junior High</v>
      </c>
      <c r="S2841" s="8" t="str">
        <f ca="1">IFERROR(__xludf.DUMMYFUNCTION("""COMPUTED_VALUE"""),"Classroom")</f>
        <v>Classroom</v>
      </c>
      <c r="T2841" s="8" t="str">
        <f ca="1">IFERROR(__xludf.DUMMYFUNCTION("""COMPUTED_VALUE"""),"Inside School Building")</f>
        <v>Inside School Building</v>
      </c>
      <c r="U2841" s="8" t="str">
        <f ca="1">IFERROR(__xludf.DUMMYFUNCTION("""COMPUTED_VALUE"""),"Yes")</f>
        <v>Yes</v>
      </c>
      <c r="V2841" s="8" t="str">
        <f ca="1">IFERROR(__xludf.DUMMYFUNCTION("""COMPUTED_VALUE"""),"Lunch")</f>
        <v>Lunch</v>
      </c>
      <c r="W2841" s="11">
        <f ca="1">IFERROR(__xludf.DUMMYFUNCTION("""COMPUTED_VALUE"""),0.520833333333333)</f>
        <v>0.52083333333333304</v>
      </c>
      <c r="X2841" s="8">
        <f ca="1">IFERROR(__xludf.DUMMYFUNCTION("""COMPUTED_VALUE"""),30)</f>
        <v>30</v>
      </c>
      <c r="Y2841" s="12" t="str">
        <f ca="1">IFERROR(__xludf.DUMMYFUNCTION("""COMPUTED_VALUE"""),"Shooter shot principal after being disciplined for dress code.")</f>
        <v>Shooter shot principal after being disciplined for dress code.</v>
      </c>
      <c r="Z2841" s="12" t="str">
        <f ca="1">IFERROR(__xludf.DUMMYFUNCTION("""COMPUTED_VALUE"""),"Prior suspensions for failing to follow school dress code. Killed janitor and fired at principal. Took hostages in upstairs classroom for 30 minutes before surrendering.")</f>
        <v>Prior suspensions for failing to follow school dress code. Killed janitor and fired at principal. Took hostages in upstairs classroom for 30 minutes before surrendering.</v>
      </c>
      <c r="AA2841" s="8" t="str">
        <f ca="1">IFERROR(__xludf.DUMMYFUNCTION("""COMPUTED_VALUE"""),"Anger Over Grade/Suspension/Discipline")</f>
        <v>Anger Over Grade/Suspension/Discipline</v>
      </c>
      <c r="AB2841" s="8"/>
      <c r="AC2841" s="8" t="str">
        <f ca="1">IFERROR(__xludf.DUMMYFUNCTION("""COMPUTED_VALUE"""),"Yes")</f>
        <v>Yes</v>
      </c>
      <c r="AD2841" s="8" t="str">
        <f ca="1">IFERROR(__xludf.DUMMYFUNCTION("""COMPUTED_VALUE"""),"Both")</f>
        <v>Both</v>
      </c>
      <c r="AE2841" s="8"/>
      <c r="AF2841" s="8"/>
      <c r="AG2841" s="8" t="str">
        <f ca="1">IFERROR(__xludf.DUMMYFUNCTION("""COMPUTED_VALUE"""),"Yes")</f>
        <v>Yes</v>
      </c>
      <c r="AH2841" s="8" t="str">
        <f ca="1">IFERROR(__xludf.DUMMYFUNCTION("""COMPUTED_VALUE"""),"Yes")</f>
        <v>Yes</v>
      </c>
      <c r="AI2841" s="8" t="str">
        <f ca="1">IFERROR(__xludf.DUMMYFUNCTION("""COMPUTED_VALUE"""),"No")</f>
        <v>No</v>
      </c>
      <c r="AJ2841" s="8" t="str">
        <f ca="1">IFERROR(__xludf.DUMMYFUNCTION("""COMPUTED_VALUE"""),"No")</f>
        <v>No</v>
      </c>
      <c r="AK2841" s="8" t="str">
        <f ca="1">IFERROR(__xludf.DUMMYFUNCTION("""COMPUTED_VALUE"""),"No")</f>
        <v>No</v>
      </c>
      <c r="AL2841" s="8" t="str">
        <f ca="1">IFERROR(__xludf.DUMMYFUNCTION("""COMPUTED_VALUE"""),"No")</f>
        <v>No</v>
      </c>
      <c r="AM2841" s="8" t="str">
        <f ca="1">IFERROR(__xludf.DUMMYFUNCTION("""COMPUTED_VALUE"""),"Yes")</f>
        <v>Yes</v>
      </c>
      <c r="AN2841" s="8" t="str">
        <f ca="1">IFERROR(__xludf.DUMMYFUNCTION("""COMPUTED_VALUE"""),"Multiple Rooms")</f>
        <v>Multiple Rooms</v>
      </c>
      <c r="AO2841" s="8" t="str">
        <f ca="1">IFERROR(__xludf.DUMMYFUNCTION("""COMPUTED_VALUE"""),"Yes")</f>
        <v>Yes</v>
      </c>
      <c r="AP2841" s="8" t="str">
        <f ca="1">IFERROR(__xludf.DUMMYFUNCTION("""COMPUTED_VALUE"""),"No")</f>
        <v>No</v>
      </c>
      <c r="AQ2841" s="8" t="str">
        <f ca="1">IFERROR(__xludf.DUMMYFUNCTION("""COMPUTED_VALUE"""),"Unknown")</f>
        <v>Unknown</v>
      </c>
      <c r="AR2841" s="8" t="str">
        <f ca="1">IFERROR(__xludf.DUMMYFUNCTION("""COMPUTED_VALUE"""),"NA")</f>
        <v>NA</v>
      </c>
      <c r="AS2841" s="8"/>
      <c r="AT2841" s="8"/>
      <c r="AU2841" s="8">
        <f ca="1">IFERROR(__xludf.DUMMYFUNCTION("""COMPUTED_VALUE"""),41.580174)</f>
        <v>41.580174</v>
      </c>
      <c r="AV2841" s="8">
        <f ca="1">IFERROR(__xludf.DUMMYFUNCTION("""COMPUTED_VALUE"""),-72.622412)</f>
        <v>-72.622411999999997</v>
      </c>
      <c r="AW2841" s="8"/>
      <c r="AX2841" s="8">
        <f ca="1">IFERROR(__xludf.DUMMYFUNCTION("""COMPUTED_VALUE"""),6480)</f>
        <v>6480</v>
      </c>
    </row>
    <row r="2842" spans="1:50" ht="60" x14ac:dyDescent="0.2">
      <c r="A2842" s="8" t="str">
        <f ca="1">IFERROR(__xludf.DUMMYFUNCTION("""COMPUTED_VALUE"""),"19851209PAARP")</f>
        <v>19851209PAARP</v>
      </c>
      <c r="B2842" s="8">
        <f ca="1">IFERROR(__xludf.DUMMYFUNCTION("""COMPUTED_VALUE"""),12)</f>
        <v>12</v>
      </c>
      <c r="C2842" s="8">
        <f ca="1">IFERROR(__xludf.DUMMYFUNCTION("""COMPUTED_VALUE"""),9)</f>
        <v>9</v>
      </c>
      <c r="D2842" s="8">
        <f ca="1">IFERROR(__xludf.DUMMYFUNCTION("""COMPUTED_VALUE"""),1985)</f>
        <v>1985</v>
      </c>
      <c r="E2842" s="9">
        <f ca="1">IFERROR(__xludf.DUMMYFUNCTION("""COMPUTED_VALUE"""),31390)</f>
        <v>31390</v>
      </c>
      <c r="F2842" s="8" t="str">
        <f ca="1">IFERROR(__xludf.DUMMYFUNCTION("""COMPUTED_VALUE"""),"Archbishop Ryan High School")</f>
        <v>Archbishop Ryan High School</v>
      </c>
      <c r="G2842" s="8">
        <f ca="1">IFERROR(__xludf.DUMMYFUNCTION("""COMPUTED_VALUE"""),0)</f>
        <v>0</v>
      </c>
      <c r="H2842" s="8">
        <f ca="1">IFERROR(__xludf.DUMMYFUNCTION("""COMPUTED_VALUE"""),0)</f>
        <v>0</v>
      </c>
      <c r="I2842" s="8">
        <f ca="1">IFERROR(__xludf.DUMMYFUNCTION("""COMPUTED_VALUE"""),0)</f>
        <v>0</v>
      </c>
      <c r="J2842" s="8">
        <f ca="1">IFERROR(__xludf.DUMMYFUNCTION("""COMPUTED_VALUE"""),0)</f>
        <v>0</v>
      </c>
      <c r="K2842" s="10" t="str">
        <f ca="1">IFERROR(__xludf.DUMMYFUNCTION("""COMPUTED_VALUE"""),"https://www.newspapers.com/image/182776909/?terms=Archbishop%2BRyan%2BHigh%2BSchool%2Bfor%2Bboys%2Bshooting")</f>
        <v>https://www.newspapers.com/image/182776909/?terms=Archbishop%2BRyan%2BHigh%2BSchool%2Bfor%2Bboys%2Bshooting</v>
      </c>
      <c r="L2842" s="8"/>
      <c r="M2842" s="8"/>
      <c r="N2842" s="8">
        <f ca="1">IFERROR(__xludf.DUMMYFUNCTION("""COMPUTED_VALUE"""),2)</f>
        <v>2</v>
      </c>
      <c r="O2842" s="8" t="str">
        <f ca="1">IFERROR(__xludf.DUMMYFUNCTION("""COMPUTED_VALUE"""),"Winter")</f>
        <v>Winter</v>
      </c>
      <c r="P2842" s="8" t="str">
        <f ca="1">IFERROR(__xludf.DUMMYFUNCTION("""COMPUTED_VALUE"""),"Philadelphia")</f>
        <v>Philadelphia</v>
      </c>
      <c r="Q2842" s="8" t="str">
        <f ca="1">IFERROR(__xludf.DUMMYFUNCTION("""COMPUTED_VALUE"""),"PA")</f>
        <v>PA</v>
      </c>
      <c r="R2842" s="8" t="str">
        <f ca="1">IFERROR(__xludf.DUMMYFUNCTION("""COMPUTED_VALUE"""),"High")</f>
        <v>High</v>
      </c>
      <c r="S2842" s="8" t="str">
        <f ca="1">IFERROR(__xludf.DUMMYFUNCTION("""COMPUTED_VALUE"""),"Classroom")</f>
        <v>Classroom</v>
      </c>
      <c r="T2842" s="8" t="str">
        <f ca="1">IFERROR(__xludf.DUMMYFUNCTION("""COMPUTED_VALUE"""),"Inside School Building")</f>
        <v>Inside School Building</v>
      </c>
      <c r="U2842" s="8" t="str">
        <f ca="1">IFERROR(__xludf.DUMMYFUNCTION("""COMPUTED_VALUE"""),"Yes")</f>
        <v>Yes</v>
      </c>
      <c r="V2842" s="8" t="str">
        <f ca="1">IFERROR(__xludf.DUMMYFUNCTION("""COMPUTED_VALUE"""),"Morning Classes")</f>
        <v>Morning Classes</v>
      </c>
      <c r="W2842" s="8"/>
      <c r="X2842" s="8">
        <f ca="1">IFERROR(__xludf.DUMMYFUNCTION("""COMPUTED_VALUE"""),450)</f>
        <v>450</v>
      </c>
      <c r="Y2842" s="12" t="str">
        <f ca="1">IFERROR(__xludf.DUMMYFUNCTION("""COMPUTED_VALUE"""),"Mental patient took 6 people hostage using a starter pistol")</f>
        <v>Mental patient took 6 people hostage using a starter pistol</v>
      </c>
      <c r="Z2842" s="12" t="str">
        <f ca="1">IFERROR(__xludf.DUMMYFUNCTION("""COMPUTED_VALUE"""),"Mental patient held 6 hostages for 7.5 hours. Incident ended when he was overpowered by students. Turned out shooter had a tear gas pistol not a real gun. No shots were fired. Shooter was demanding that President Reagan step down.")</f>
        <v>Mental patient held 6 hostages for 7.5 hours. Incident ended when he was overpowered by students. Turned out shooter had a tear gas pistol not a real gun. No shots were fired. Shooter was demanding that President Reagan step down.</v>
      </c>
      <c r="AA2842" s="8" t="str">
        <f ca="1">IFERROR(__xludf.DUMMYFUNCTION("""COMPUTED_VALUE"""),"Psychosis")</f>
        <v>Psychosis</v>
      </c>
      <c r="AB2842" s="8"/>
      <c r="AC2842" s="8" t="str">
        <f ca="1">IFERROR(__xludf.DUMMYFUNCTION("""COMPUTED_VALUE"""),"Yes")</f>
        <v>Yes</v>
      </c>
      <c r="AD2842" s="8" t="str">
        <f ca="1">IFERROR(__xludf.DUMMYFUNCTION("""COMPUTED_VALUE"""),"Neither")</f>
        <v>Neither</v>
      </c>
      <c r="AE2842" s="8" t="str">
        <f ca="1">IFERROR(__xludf.DUMMYFUNCTION("""COMPUTED_VALUE"""),"No")</f>
        <v>No</v>
      </c>
      <c r="AF2842" s="8"/>
      <c r="AG2842" s="8" t="str">
        <f ca="1">IFERROR(__xludf.DUMMYFUNCTION("""COMPUTED_VALUE"""),"Yes")</f>
        <v>Yes</v>
      </c>
      <c r="AH2842" s="8" t="str">
        <f ca="1">IFERROR(__xludf.DUMMYFUNCTION("""COMPUTED_VALUE"""),"Yes")</f>
        <v>Yes</v>
      </c>
      <c r="AI2842" s="8" t="str">
        <f ca="1">IFERROR(__xludf.DUMMYFUNCTION("""COMPUTED_VALUE"""),"No")</f>
        <v>No</v>
      </c>
      <c r="AJ2842" s="8" t="str">
        <f ca="1">IFERROR(__xludf.DUMMYFUNCTION("""COMPUTED_VALUE"""),"No")</f>
        <v>No</v>
      </c>
      <c r="AK2842" s="8" t="str">
        <f ca="1">IFERROR(__xludf.DUMMYFUNCTION("""COMPUTED_VALUE"""),"No")</f>
        <v>No</v>
      </c>
      <c r="AL2842" s="8" t="str">
        <f ca="1">IFERROR(__xludf.DUMMYFUNCTION("""COMPUTED_VALUE"""),"No")</f>
        <v>No</v>
      </c>
      <c r="AM2842" s="8" t="str">
        <f ca="1">IFERROR(__xludf.DUMMYFUNCTION("""COMPUTED_VALUE"""),"Yes")</f>
        <v>Yes</v>
      </c>
      <c r="AN2842" s="8" t="str">
        <f ca="1">IFERROR(__xludf.DUMMYFUNCTION("""COMPUTED_VALUE"""),"Single Room")</f>
        <v>Single Room</v>
      </c>
      <c r="AO2842" s="8" t="str">
        <f ca="1">IFERROR(__xludf.DUMMYFUNCTION("""COMPUTED_VALUE"""),"Yes")</f>
        <v>Yes</v>
      </c>
      <c r="AP2842" s="8"/>
      <c r="AQ2842" s="8" t="str">
        <f ca="1">IFERROR(__xludf.DUMMYFUNCTION("""COMPUTED_VALUE"""),"Unknown")</f>
        <v>Unknown</v>
      </c>
      <c r="AR2842" s="8" t="str">
        <f ca="1">IFERROR(__xludf.DUMMYFUNCTION("""COMPUTED_VALUE"""),"NA")</f>
        <v>NA</v>
      </c>
      <c r="AS2842" s="8">
        <f ca="1">IFERROR(__xludf.DUMMYFUNCTION("""COMPUTED_VALUE"""),0)</f>
        <v>0</v>
      </c>
      <c r="AT2842" s="8"/>
      <c r="AU2842" s="8">
        <f ca="1">IFERROR(__xludf.DUMMYFUNCTION("""COMPUTED_VALUE"""),40.085045)</f>
        <v>40.085045000000001</v>
      </c>
      <c r="AV2842" s="8">
        <f ca="1">IFERROR(__xludf.DUMMYFUNCTION("""COMPUTED_VALUE"""),-74.986597)</f>
        <v>-74.986597000000003</v>
      </c>
      <c r="AW2842" s="8"/>
      <c r="AX2842" s="8">
        <f ca="1">IFERROR(__xludf.DUMMYFUNCTION("""COMPUTED_VALUE"""),19154)</f>
        <v>19154</v>
      </c>
    </row>
    <row r="2843" spans="1:50" ht="60" x14ac:dyDescent="0.2">
      <c r="A2843" s="8" t="str">
        <f ca="1">IFERROR(__xludf.DUMMYFUNCTION("""COMPUTED_VALUE"""),"19851203NHCOC")</f>
        <v>19851203NHCOC</v>
      </c>
      <c r="B2843" s="8">
        <f ca="1">IFERROR(__xludf.DUMMYFUNCTION("""COMPUTED_VALUE"""),12)</f>
        <v>12</v>
      </c>
      <c r="C2843" s="8">
        <f ca="1">IFERROR(__xludf.DUMMYFUNCTION("""COMPUTED_VALUE"""),3)</f>
        <v>3</v>
      </c>
      <c r="D2843" s="8">
        <f ca="1">IFERROR(__xludf.DUMMYFUNCTION("""COMPUTED_VALUE"""),1985)</f>
        <v>1985</v>
      </c>
      <c r="E2843" s="9">
        <f ca="1">IFERROR(__xludf.DUMMYFUNCTION("""COMPUTED_VALUE"""),31384)</f>
        <v>31384</v>
      </c>
      <c r="F2843" s="8" t="str">
        <f ca="1">IFERROR(__xludf.DUMMYFUNCTION("""COMPUTED_VALUE"""),"Concord High School")</f>
        <v>Concord High School</v>
      </c>
      <c r="G2843" s="8">
        <f ca="1">IFERROR(__xludf.DUMMYFUNCTION("""COMPUTED_VALUE"""),0)</f>
        <v>0</v>
      </c>
      <c r="H2843" s="8">
        <f ca="1">IFERROR(__xludf.DUMMYFUNCTION("""COMPUTED_VALUE"""),0)</f>
        <v>0</v>
      </c>
      <c r="I2843" s="8">
        <f ca="1">IFERROR(__xludf.DUMMYFUNCTION("""COMPUTED_VALUE"""),0)</f>
        <v>0</v>
      </c>
      <c r="J2843" s="8">
        <f ca="1">IFERROR(__xludf.DUMMYFUNCTION("""COMPUTED_VALUE"""),1)</f>
        <v>1</v>
      </c>
      <c r="K2843" s="8" t="str">
        <f ca="1">IFERROR(__xludf.DUMMYFUNCTION("""COMPUTED_VALUE"""),"https://www.edweek.org/ew/articles/1985/12/11/06130034.h05.html; https://www.upi.com/Archives/1985/12/05/Student-dies-of-gunshot-wounds/2332502606800/; https://narratively.com/before-columbine-there-was-concord-high/")</f>
        <v>https://www.edweek.org/ew/articles/1985/12/11/06130034.h05.html; https://www.upi.com/Archives/1985/12/05/Student-dies-of-gunshot-wounds/2332502606800/; https://narratively.com/before-columbine-there-was-concord-high/</v>
      </c>
      <c r="L2843" s="8"/>
      <c r="M2843" s="8"/>
      <c r="N2843" s="8">
        <f ca="1">IFERROR(__xludf.DUMMYFUNCTION("""COMPUTED_VALUE"""),3)</f>
        <v>3</v>
      </c>
      <c r="O2843" s="8" t="str">
        <f ca="1">IFERROR(__xludf.DUMMYFUNCTION("""COMPUTED_VALUE"""),"Winter")</f>
        <v>Winter</v>
      </c>
      <c r="P2843" s="8" t="str">
        <f ca="1">IFERROR(__xludf.DUMMYFUNCTION("""COMPUTED_VALUE"""),"Concord")</f>
        <v>Concord</v>
      </c>
      <c r="Q2843" s="8" t="str">
        <f ca="1">IFERROR(__xludf.DUMMYFUNCTION("""COMPUTED_VALUE"""),"NH")</f>
        <v>NH</v>
      </c>
      <c r="R2843" s="8" t="str">
        <f ca="1">IFERROR(__xludf.DUMMYFUNCTION("""COMPUTED_VALUE"""),"High")</f>
        <v>High</v>
      </c>
      <c r="S2843" s="8" t="str">
        <f ca="1">IFERROR(__xludf.DUMMYFUNCTION("""COMPUTED_VALUE"""),"Hallway")</f>
        <v>Hallway</v>
      </c>
      <c r="T2843" s="8" t="str">
        <f ca="1">IFERROR(__xludf.DUMMYFUNCTION("""COMPUTED_VALUE"""),"Inside School Building")</f>
        <v>Inside School Building</v>
      </c>
      <c r="U2843" s="8" t="str">
        <f ca="1">IFERROR(__xludf.DUMMYFUNCTION("""COMPUTED_VALUE"""),"Yes")</f>
        <v>Yes</v>
      </c>
      <c r="V2843" s="8" t="str">
        <f ca="1">IFERROR(__xludf.DUMMYFUNCTION("""COMPUTED_VALUE"""),"Morning Classes")</f>
        <v>Morning Classes</v>
      </c>
      <c r="W2843" s="11">
        <f ca="1">IFERROR(__xludf.DUMMYFUNCTION("""COMPUTED_VALUE"""),0.336805555555555)</f>
        <v>0.33680555555555503</v>
      </c>
      <c r="X2843" s="8"/>
      <c r="Y2843" s="12" t="str">
        <f ca="1">IFERROR(__xludf.DUMMYFUNCTION("""COMPUTED_VALUE"""),"Dropout, Teased by other students, took two hostages")</f>
        <v>Dropout, Teased by other students, took two hostages</v>
      </c>
      <c r="Z2843" s="12" t="str">
        <f ca="1">IFERROR(__xludf.DUMMYFUNCTION("""COMPUTED_VALUE"""),"Shooter dropped out of school two weeks prior - came back to school with shotgun and held two students hostage - teacher tried to talk down but didn't work. Police arrived and shot and killed suspect.")</f>
        <v>Shooter dropped out of school two weeks prior - came back to school with shotgun and held two students hostage - teacher tried to talk down but didn't work. Police arrived and shot and killed suspect.</v>
      </c>
      <c r="AA2843" s="8" t="str">
        <f ca="1">IFERROR(__xludf.DUMMYFUNCTION("""COMPUTED_VALUE"""),"Hostage/Standoff")</f>
        <v>Hostage/Standoff</v>
      </c>
      <c r="AB2843" s="8"/>
      <c r="AC2843" s="8" t="str">
        <f ca="1">IFERROR(__xludf.DUMMYFUNCTION("""COMPUTED_VALUE"""),"Yes")</f>
        <v>Yes</v>
      </c>
      <c r="AD2843" s="8" t="str">
        <f ca="1">IFERROR(__xludf.DUMMYFUNCTION("""COMPUTED_VALUE"""),"Victims Targeted")</f>
        <v>Victims Targeted</v>
      </c>
      <c r="AE2843" s="8" t="str">
        <f ca="1">IFERROR(__xludf.DUMMYFUNCTION("""COMPUTED_VALUE"""),"No")</f>
        <v>No</v>
      </c>
      <c r="AF2843" s="8"/>
      <c r="AG2843" s="8" t="str">
        <f ca="1">IFERROR(__xludf.DUMMYFUNCTION("""COMPUTED_VALUE"""),"Yes")</f>
        <v>Yes</v>
      </c>
      <c r="AH2843" s="8" t="str">
        <f ca="1">IFERROR(__xludf.DUMMYFUNCTION("""COMPUTED_VALUE"""),"Yes")</f>
        <v>Yes</v>
      </c>
      <c r="AI2843" s="8" t="str">
        <f ca="1">IFERROR(__xludf.DUMMYFUNCTION("""COMPUTED_VALUE"""),"No")</f>
        <v>No</v>
      </c>
      <c r="AJ2843" s="8" t="str">
        <f ca="1">IFERROR(__xludf.DUMMYFUNCTION("""COMPUTED_VALUE"""),"Yes")</f>
        <v>Yes</v>
      </c>
      <c r="AK2843" s="8" t="str">
        <f ca="1">IFERROR(__xludf.DUMMYFUNCTION("""COMPUTED_VALUE"""),"No")</f>
        <v>No</v>
      </c>
      <c r="AL2843" s="8" t="str">
        <f ca="1">IFERROR(__xludf.DUMMYFUNCTION("""COMPUTED_VALUE"""),"No")</f>
        <v>No</v>
      </c>
      <c r="AM2843" s="8" t="str">
        <f ca="1">IFERROR(__xludf.DUMMYFUNCTION("""COMPUTED_VALUE"""),"Yes")</f>
        <v>Yes</v>
      </c>
      <c r="AN2843" s="8" t="str">
        <f ca="1">IFERROR(__xludf.DUMMYFUNCTION("""COMPUTED_VALUE"""),"Single Room")</f>
        <v>Single Room</v>
      </c>
      <c r="AO2843" s="8" t="str">
        <f ca="1">IFERROR(__xludf.DUMMYFUNCTION("""COMPUTED_VALUE"""),"Yes")</f>
        <v>Yes</v>
      </c>
      <c r="AP2843" s="8"/>
      <c r="AQ2843" s="8" t="str">
        <f ca="1">IFERROR(__xludf.DUMMYFUNCTION("""COMPUTED_VALUE"""),"Unknown")</f>
        <v>Unknown</v>
      </c>
      <c r="AR2843" s="8" t="str">
        <f ca="1">IFERROR(__xludf.DUMMYFUNCTION("""COMPUTED_VALUE"""),"NA")</f>
        <v>NA</v>
      </c>
      <c r="AS2843" s="8">
        <f ca="1">IFERROR(__xludf.DUMMYFUNCTION("""COMPUTED_VALUE"""),1)</f>
        <v>1</v>
      </c>
      <c r="AT2843" s="8"/>
      <c r="AU2843" s="8">
        <f ca="1">IFERROR(__xludf.DUMMYFUNCTION("""COMPUTED_VALUE"""),43.200366)</f>
        <v>43.200366000000002</v>
      </c>
      <c r="AV2843" s="8">
        <f ca="1">IFERROR(__xludf.DUMMYFUNCTION("""COMPUTED_VALUE"""),-71.551089)</f>
        <v>-71.551089000000005</v>
      </c>
      <c r="AW2843" s="8"/>
      <c r="AX2843" s="8">
        <f ca="1">IFERROR(__xludf.DUMMYFUNCTION("""COMPUTED_VALUE"""),3301)</f>
        <v>3301</v>
      </c>
    </row>
    <row r="2844" spans="1:50" ht="75" x14ac:dyDescent="0.2">
      <c r="A2844" s="8" t="str">
        <f ca="1">IFERROR(__xludf.DUMMYFUNCTION("""COMPUTED_VALUE"""),"19851127ALCHB")</f>
        <v>19851127ALCHB</v>
      </c>
      <c r="B2844" s="8">
        <f ca="1">IFERROR(__xludf.DUMMYFUNCTION("""COMPUTED_VALUE"""),11)</f>
        <v>11</v>
      </c>
      <c r="C2844" s="8">
        <f ca="1">IFERROR(__xludf.DUMMYFUNCTION("""COMPUTED_VALUE"""),27)</f>
        <v>27</v>
      </c>
      <c r="D2844" s="8">
        <f ca="1">IFERROR(__xludf.DUMMYFUNCTION("""COMPUTED_VALUE"""),1985)</f>
        <v>1985</v>
      </c>
      <c r="E2844" s="9">
        <f ca="1">IFERROR(__xludf.DUMMYFUNCTION("""COMPUTED_VALUE"""),31378)</f>
        <v>31378</v>
      </c>
      <c r="F2844" s="8" t="str">
        <f ca="1">IFERROR(__xludf.DUMMYFUNCTION("""COMPUTED_VALUE"""),"Chelsea School")</f>
        <v>Chelsea School</v>
      </c>
      <c r="G2844" s="8">
        <f ca="1">IFERROR(__xludf.DUMMYFUNCTION("""COMPUTED_VALUE"""),0)</f>
        <v>0</v>
      </c>
      <c r="H2844" s="8">
        <f ca="1">IFERROR(__xludf.DUMMYFUNCTION("""COMPUTED_VALUE"""),1)</f>
        <v>1</v>
      </c>
      <c r="I2844" s="8">
        <f ca="1">IFERROR(__xludf.DUMMYFUNCTION("""COMPUTED_VALUE"""),1)</f>
        <v>1</v>
      </c>
      <c r="J2844" s="8">
        <f ca="1">IFERROR(__xludf.DUMMYFUNCTION("""COMPUTED_VALUE"""),1)</f>
        <v>1</v>
      </c>
      <c r="K2844" s="10" t="str">
        <f ca="1">IFERROR(__xludf.DUMMYFUNCTION("""COMPUTED_VALUE"""),"https://people.com/archive/a-16-year-old-alabama-boy-points-a-gun-shoots-a-friend-and-kills-himself-in-remorse-vol-25-no-2/")</f>
        <v>https://people.com/archive/a-16-year-old-alabama-boy-points-a-gun-shoots-a-friend-and-kills-himself-in-remorse-vol-25-no-2/</v>
      </c>
      <c r="L2844" s="8"/>
      <c r="M2844" s="8"/>
      <c r="N2844" s="8">
        <f ca="1">IFERROR(__xludf.DUMMYFUNCTION("""COMPUTED_VALUE"""),2)</f>
        <v>2</v>
      </c>
      <c r="O2844" s="8" t="str">
        <f ca="1">IFERROR(__xludf.DUMMYFUNCTION("""COMPUTED_VALUE"""),"Fall")</f>
        <v>Fall</v>
      </c>
      <c r="P2844" s="8" t="str">
        <f ca="1">IFERROR(__xludf.DUMMYFUNCTION("""COMPUTED_VALUE"""),"Birmingham")</f>
        <v>Birmingham</v>
      </c>
      <c r="Q2844" s="8" t="str">
        <f ca="1">IFERROR(__xludf.DUMMYFUNCTION("""COMPUTED_VALUE"""),"AL")</f>
        <v>AL</v>
      </c>
      <c r="R2844" s="8" t="str">
        <f ca="1">IFERROR(__xludf.DUMMYFUNCTION("""COMPUTED_VALUE"""),"High")</f>
        <v>High</v>
      </c>
      <c r="S2844" s="8" t="str">
        <f ca="1">IFERROR(__xludf.DUMMYFUNCTION("""COMPUTED_VALUE"""),"Parking Lot")</f>
        <v>Parking Lot</v>
      </c>
      <c r="T2844" s="8" t="str">
        <f ca="1">IFERROR(__xludf.DUMMYFUNCTION("""COMPUTED_VALUE"""),"Outside on School Property")</f>
        <v>Outside on School Property</v>
      </c>
      <c r="U2844" s="8" t="str">
        <f ca="1">IFERROR(__xludf.DUMMYFUNCTION("""COMPUTED_VALUE"""),"Yes")</f>
        <v>Yes</v>
      </c>
      <c r="V2844" s="8" t="str">
        <f ca="1">IFERROR(__xludf.DUMMYFUNCTION("""COMPUTED_VALUE"""),"Dismissal")</f>
        <v>Dismissal</v>
      </c>
      <c r="W2844" s="11">
        <f ca="1">IFERROR(__xludf.DUMMYFUNCTION("""COMPUTED_VALUE"""),0.625)</f>
        <v>0.625</v>
      </c>
      <c r="X2844" s="8">
        <f ca="1">IFERROR(__xludf.DUMMYFUNCTION("""COMPUTED_VALUE"""),1)</f>
        <v>1</v>
      </c>
      <c r="Y2844" s="12" t="str">
        <f ca="1">IFERROR(__xludf.DUMMYFUNCTION("""COMPUTED_VALUE"""),"Friend accidentally shoots friend in school parking lot - feels so bad he then shoots himself")</f>
        <v>Friend accidentally shoots friend in school parking lot - feels so bad he then shoots himself</v>
      </c>
      <c r="Z2844" s="12" t="str">
        <f ca="1">IFERROR(__xludf.DUMMYFUNCTION("""COMPUTED_VALUE"""),"Friend accidentally shoots friend in school parking lot - feels so bad he then shoots himself")</f>
        <v>Friend accidentally shoots friend in school parking lot - feels so bad he then shoots himself</v>
      </c>
      <c r="AA2844" s="8" t="str">
        <f ca="1">IFERROR(__xludf.DUMMYFUNCTION("""COMPUTED_VALUE"""),"Accidental")</f>
        <v>Accidental</v>
      </c>
      <c r="AB2844" s="8"/>
      <c r="AC2844" s="8"/>
      <c r="AD2844" s="8" t="str">
        <f ca="1">IFERROR(__xludf.DUMMYFUNCTION("""COMPUTED_VALUE"""),"Both")</f>
        <v>Both</v>
      </c>
      <c r="AE2844" s="8" t="str">
        <f ca="1">IFERROR(__xludf.DUMMYFUNCTION("""COMPUTED_VALUE"""),"No")</f>
        <v>No</v>
      </c>
      <c r="AF2844" s="8"/>
      <c r="AG2844" s="8" t="str">
        <f ca="1">IFERROR(__xludf.DUMMYFUNCTION("""COMPUTED_VALUE"""),"No")</f>
        <v>No</v>
      </c>
      <c r="AH2844" s="8" t="str">
        <f ca="1">IFERROR(__xludf.DUMMYFUNCTION("""COMPUTED_VALUE"""),"No")</f>
        <v>No</v>
      </c>
      <c r="AI2844" s="8" t="str">
        <f ca="1">IFERROR(__xludf.DUMMYFUNCTION("""COMPUTED_VALUE"""),"No")</f>
        <v>No</v>
      </c>
      <c r="AJ2844" s="8"/>
      <c r="AK2844" s="8" t="str">
        <f ca="1">IFERROR(__xludf.DUMMYFUNCTION("""COMPUTED_VALUE"""),"No")</f>
        <v>No</v>
      </c>
      <c r="AL2844" s="8" t="str">
        <f ca="1">IFERROR(__xludf.DUMMYFUNCTION("""COMPUTED_VALUE"""),"No")</f>
        <v>No</v>
      </c>
      <c r="AM2844" s="8"/>
      <c r="AN2844" s="8"/>
      <c r="AO2844" s="8" t="str">
        <f ca="1">IFERROR(__xludf.DUMMYFUNCTION("""COMPUTED_VALUE"""),"No")</f>
        <v>No</v>
      </c>
      <c r="AP2844" s="8"/>
      <c r="AQ2844" s="8" t="str">
        <f ca="1">IFERROR(__xludf.DUMMYFUNCTION("""COMPUTED_VALUE"""),"Unknown")</f>
        <v>Unknown</v>
      </c>
      <c r="AR2844" s="8" t="str">
        <f ca="1">IFERROR(__xludf.DUMMYFUNCTION("""COMPUTED_VALUE"""),"NA")</f>
        <v>NA</v>
      </c>
      <c r="AS2844" s="8">
        <f ca="1">IFERROR(__xludf.DUMMYFUNCTION("""COMPUTED_VALUE"""),2)</f>
        <v>2</v>
      </c>
      <c r="AT2844" s="8"/>
      <c r="AU2844" s="8">
        <f ca="1">IFERROR(__xludf.DUMMYFUNCTION("""COMPUTED_VALUE"""),33.333759)</f>
        <v>33.333759000000001</v>
      </c>
      <c r="AV2844" s="8">
        <f ca="1">IFERROR(__xludf.DUMMYFUNCTION("""COMPUTED_VALUE"""),-86.679916)</f>
        <v>-86.679916000000006</v>
      </c>
      <c r="AW2844" s="8"/>
      <c r="AX2844" s="8">
        <f ca="1">IFERROR(__xludf.DUMMYFUNCTION("""COMPUTED_VALUE"""),35043)</f>
        <v>35043</v>
      </c>
    </row>
    <row r="2845" spans="1:50" ht="105" x14ac:dyDescent="0.2">
      <c r="A2845" s="8" t="str">
        <f ca="1">IFERROR(__xludf.DUMMYFUNCTION("""COMPUTED_VALUE"""),"19851126WASPS")</f>
        <v>19851126WASPS</v>
      </c>
      <c r="B2845" s="8">
        <f ca="1">IFERROR(__xludf.DUMMYFUNCTION("""COMPUTED_VALUE"""),11)</f>
        <v>11</v>
      </c>
      <c r="C2845" s="8">
        <f ca="1">IFERROR(__xludf.DUMMYFUNCTION("""COMPUTED_VALUE"""),26)</f>
        <v>26</v>
      </c>
      <c r="D2845" s="8">
        <f ca="1">IFERROR(__xludf.DUMMYFUNCTION("""COMPUTED_VALUE"""),1985)</f>
        <v>1985</v>
      </c>
      <c r="E2845" s="9">
        <f ca="1">IFERROR(__xludf.DUMMYFUNCTION("""COMPUTED_VALUE"""),31377)</f>
        <v>31377</v>
      </c>
      <c r="F2845" s="8" t="str">
        <f ca="1">IFERROR(__xludf.DUMMYFUNCTION("""COMPUTED_VALUE"""),"Spanaway Junior High School")</f>
        <v>Spanaway Junior High School</v>
      </c>
      <c r="G2845" s="8">
        <f ca="1">IFERROR(__xludf.DUMMYFUNCTION("""COMPUTED_VALUE"""),2)</f>
        <v>2</v>
      </c>
      <c r="H2845" s="8">
        <f ca="1">IFERROR(__xludf.DUMMYFUNCTION("""COMPUTED_VALUE"""),0)</f>
        <v>0</v>
      </c>
      <c r="I2845" s="8">
        <f ca="1">IFERROR(__xludf.DUMMYFUNCTION("""COMPUTED_VALUE"""),2)</f>
        <v>2</v>
      </c>
      <c r="J2845" s="8">
        <f ca="1">IFERROR(__xludf.DUMMYFUNCTION("""COMPUTED_VALUE"""),1)</f>
        <v>1</v>
      </c>
      <c r="K2845" s="10" t="str">
        <f ca="1">IFERROR(__xludf.DUMMYFUNCTION("""COMPUTED_VALUE"""),"http://www.apnewsarchive.com/1985/Distraught-Over-Losing-Boyfriend-Girl-Kills-Two-Then-Herself/id-075d33aa6600d2e6b30d969ba3edaf0d")</f>
        <v>http://www.apnewsarchive.com/1985/Distraught-Over-Losing-Boyfriend-Girl-Kills-Two-Then-Herself/id-075d33aa6600d2e6b30d969ba3edaf0d</v>
      </c>
      <c r="L2845" s="8"/>
      <c r="M2845" s="8"/>
      <c r="N2845" s="8">
        <f ca="1">IFERROR(__xludf.DUMMYFUNCTION("""COMPUTED_VALUE"""),2)</f>
        <v>2</v>
      </c>
      <c r="O2845" s="8" t="str">
        <f ca="1">IFERROR(__xludf.DUMMYFUNCTION("""COMPUTED_VALUE"""),"Fall")</f>
        <v>Fall</v>
      </c>
      <c r="P2845" s="8" t="str">
        <f ca="1">IFERROR(__xludf.DUMMYFUNCTION("""COMPUTED_VALUE"""),"Spanaway")</f>
        <v>Spanaway</v>
      </c>
      <c r="Q2845" s="8" t="str">
        <f ca="1">IFERROR(__xludf.DUMMYFUNCTION("""COMPUTED_VALUE"""),"WA")</f>
        <v>WA</v>
      </c>
      <c r="R2845" s="8" t="str">
        <f ca="1">IFERROR(__xludf.DUMMYFUNCTION("""COMPUTED_VALUE"""),"Junior High")</f>
        <v>Junior High</v>
      </c>
      <c r="S2845" s="8" t="str">
        <f ca="1">IFERROR(__xludf.DUMMYFUNCTION("""COMPUTED_VALUE"""),"Gym")</f>
        <v>Gym</v>
      </c>
      <c r="T2845" s="8" t="str">
        <f ca="1">IFERROR(__xludf.DUMMYFUNCTION("""COMPUTED_VALUE"""),"Outside on School Property")</f>
        <v>Outside on School Property</v>
      </c>
      <c r="U2845" s="8" t="str">
        <f ca="1">IFERROR(__xludf.DUMMYFUNCTION("""COMPUTED_VALUE"""),"Yes")</f>
        <v>Yes</v>
      </c>
      <c r="V2845" s="8" t="str">
        <f ca="1">IFERROR(__xludf.DUMMYFUNCTION("""COMPUTED_VALUE"""),"After School")</f>
        <v>After School</v>
      </c>
      <c r="W2845" s="11">
        <f ca="1">IFERROR(__xludf.DUMMYFUNCTION("""COMPUTED_VALUE"""),0.680555555555555)</f>
        <v>0.68055555555555503</v>
      </c>
      <c r="X2845" s="8">
        <f ca="1">IFERROR(__xludf.DUMMYFUNCTION("""COMPUTED_VALUE"""),1)</f>
        <v>1</v>
      </c>
      <c r="Y2845" s="12" t="str">
        <f ca="1">IFERROR(__xludf.DUMMYFUNCTION("""COMPUTED_VALUE"""),"Break up with boyfriend - 1 of the victims")</f>
        <v>Break up with boyfriend - 1 of the victims</v>
      </c>
      <c r="Z2845" s="12" t="str">
        <f ca="1">IFERROR(__xludf.DUMMYFUNCTION("""COMPUTED_VALUE"""),"Shooter had told friends she planned to shoot ex-boyfriend. Suspect also slit her wrists prior week due to failing grades. Shooter waited outside of gym for ex boyfriend to leave wrestling practice. Two males came out. When she pointed gun, friend jump in"&amp;" front of target. Shooter fired additional shots killing ex boyfriend. Walked away from school and shot herself when confronted by police.")</f>
        <v>Shooter had told friends she planned to shoot ex-boyfriend. Suspect also slit her wrists prior week due to failing grades. Shooter waited outside of gym for ex boyfriend to leave wrestling practice. Two males came out. When she pointed gun, friend jump in front of target. Shooter fired additional shots killing ex boyfriend. Walked away from school and shot herself when confronted by police.</v>
      </c>
      <c r="AA2845" s="8" t="str">
        <f ca="1">IFERROR(__xludf.DUMMYFUNCTION("""COMPUTED_VALUE"""),"Murder/Suicide")</f>
        <v>Murder/Suicide</v>
      </c>
      <c r="AB2845" s="8"/>
      <c r="AC2845" s="8"/>
      <c r="AD2845" s="8" t="str">
        <f ca="1">IFERROR(__xludf.DUMMYFUNCTION("""COMPUTED_VALUE"""),"Both")</f>
        <v>Both</v>
      </c>
      <c r="AE2845" s="8" t="str">
        <f ca="1">IFERROR(__xludf.DUMMYFUNCTION("""COMPUTED_VALUE"""),"No")</f>
        <v>No</v>
      </c>
      <c r="AF2845" s="8"/>
      <c r="AG2845" s="8" t="str">
        <f ca="1">IFERROR(__xludf.DUMMYFUNCTION("""COMPUTED_VALUE"""),"No")</f>
        <v>No</v>
      </c>
      <c r="AH2845" s="8" t="str">
        <f ca="1">IFERROR(__xludf.DUMMYFUNCTION("""COMPUTED_VALUE"""),"No")</f>
        <v>No</v>
      </c>
      <c r="AI2845" s="8" t="str">
        <f ca="1">IFERROR(__xludf.DUMMYFUNCTION("""COMPUTED_VALUE"""),"No")</f>
        <v>No</v>
      </c>
      <c r="AJ2845" s="8" t="str">
        <f ca="1">IFERROR(__xludf.DUMMYFUNCTION("""COMPUTED_VALUE"""),"No")</f>
        <v>No</v>
      </c>
      <c r="AK2845" s="8" t="str">
        <f ca="1">IFERROR(__xludf.DUMMYFUNCTION("""COMPUTED_VALUE"""),"No")</f>
        <v>No</v>
      </c>
      <c r="AL2845" s="8" t="str">
        <f ca="1">IFERROR(__xludf.DUMMYFUNCTION("""COMPUTED_VALUE"""),"No")</f>
        <v>No</v>
      </c>
      <c r="AM2845" s="8"/>
      <c r="AN2845" s="8"/>
      <c r="AO2845" s="8" t="str">
        <f ca="1">IFERROR(__xludf.DUMMYFUNCTION("""COMPUTED_VALUE"""),"No")</f>
        <v>No</v>
      </c>
      <c r="AP2845" s="8"/>
      <c r="AQ2845" s="8" t="str">
        <f ca="1">IFERROR(__xludf.DUMMYFUNCTION("""COMPUTED_VALUE"""),"Unknown")</f>
        <v>Unknown</v>
      </c>
      <c r="AR2845" s="8" t="str">
        <f ca="1">IFERROR(__xludf.DUMMYFUNCTION("""COMPUTED_VALUE"""),"NA")</f>
        <v>NA</v>
      </c>
      <c r="AS2845" s="8">
        <f ca="1">IFERROR(__xludf.DUMMYFUNCTION("""COMPUTED_VALUE"""),7)</f>
        <v>7</v>
      </c>
      <c r="AT2845" s="8"/>
      <c r="AU2845" s="8">
        <f ca="1">IFERROR(__xludf.DUMMYFUNCTION("""COMPUTED_VALUE"""),47.115306)</f>
        <v>47.115305999999997</v>
      </c>
      <c r="AV2845" s="8">
        <f ca="1">IFERROR(__xludf.DUMMYFUNCTION("""COMPUTED_VALUE"""),-122.428167)</f>
        <v>-122.428167</v>
      </c>
      <c r="AW2845" s="8"/>
      <c r="AX2845" s="8">
        <f ca="1">IFERROR(__xludf.DUMMYFUNCTION("""COMPUTED_VALUE"""),98448)</f>
        <v>98448</v>
      </c>
    </row>
    <row r="2846" spans="1:50" ht="90" x14ac:dyDescent="0.2">
      <c r="A2846" s="8" t="str">
        <f ca="1">IFERROR(__xludf.DUMMYFUNCTION("""COMPUTED_VALUE"""),"19851022OHSOG")</f>
        <v>19851022OHSOG</v>
      </c>
      <c r="B2846" s="8">
        <f ca="1">IFERROR(__xludf.DUMMYFUNCTION("""COMPUTED_VALUE"""),10)</f>
        <v>10</v>
      </c>
      <c r="C2846" s="8">
        <f ca="1">IFERROR(__xludf.DUMMYFUNCTION("""COMPUTED_VALUE"""),22)</f>
        <v>22</v>
      </c>
      <c r="D2846" s="8">
        <f ca="1">IFERROR(__xludf.DUMMYFUNCTION("""COMPUTED_VALUE"""),1985)</f>
        <v>1985</v>
      </c>
      <c r="E2846" s="9">
        <f ca="1">IFERROR(__xludf.DUMMYFUNCTION("""COMPUTED_VALUE"""),31342)</f>
        <v>31342</v>
      </c>
      <c r="F2846" s="8" t="str">
        <f ca="1">IFERROR(__xludf.DUMMYFUNCTION("""COMPUTED_VALUE"""),"Southern Hills Joint Vocational High School")</f>
        <v>Southern Hills Joint Vocational High School</v>
      </c>
      <c r="G2846" s="8">
        <f ca="1">IFERROR(__xludf.DUMMYFUNCTION("""COMPUTED_VALUE"""),0)</f>
        <v>0</v>
      </c>
      <c r="H2846" s="8">
        <f ca="1">IFERROR(__xludf.DUMMYFUNCTION("""COMPUTED_VALUE"""),1)</f>
        <v>1</v>
      </c>
      <c r="I2846" s="8">
        <f ca="1">IFERROR(__xludf.DUMMYFUNCTION("""COMPUTED_VALUE"""),1)</f>
        <v>1</v>
      </c>
      <c r="J2846" s="8">
        <f ca="1">IFERROR(__xludf.DUMMYFUNCTION("""COMPUTED_VALUE"""),0)</f>
        <v>0</v>
      </c>
      <c r="K2846" s="10" t="str">
        <f ca="1">IFERROR(__xludf.DUMMYFUNCTION("""COMPUTED_VALUE"""),"https://www.newspapers.com/image/292865629/?terms=Southern%2BHills%2BJoint%2BVocational%2BHigh%2BSchool%2Bshooting")</f>
        <v>https://www.newspapers.com/image/292865629/?terms=Southern%2BHills%2BJoint%2BVocational%2BHigh%2BSchool%2Bshooting</v>
      </c>
      <c r="L2846" s="8"/>
      <c r="M2846" s="8"/>
      <c r="N2846" s="8">
        <f ca="1">IFERROR(__xludf.DUMMYFUNCTION("""COMPUTED_VALUE"""),2)</f>
        <v>2</v>
      </c>
      <c r="O2846" s="8" t="str">
        <f ca="1">IFERROR(__xludf.DUMMYFUNCTION("""COMPUTED_VALUE"""),"Fall")</f>
        <v>Fall</v>
      </c>
      <c r="P2846" s="8" t="str">
        <f ca="1">IFERROR(__xludf.DUMMYFUNCTION("""COMPUTED_VALUE"""),"Georgetown")</f>
        <v>Georgetown</v>
      </c>
      <c r="Q2846" s="8" t="str">
        <f ca="1">IFERROR(__xludf.DUMMYFUNCTION("""COMPUTED_VALUE"""),"OH")</f>
        <v>OH</v>
      </c>
      <c r="R2846" s="8" t="str">
        <f ca="1">IFERROR(__xludf.DUMMYFUNCTION("""COMPUTED_VALUE"""),"High")</f>
        <v>High</v>
      </c>
      <c r="S2846" s="8" t="str">
        <f ca="1">IFERROR(__xludf.DUMMYFUNCTION("""COMPUTED_VALUE"""),"Classroom")</f>
        <v>Classroom</v>
      </c>
      <c r="T2846" s="8" t="str">
        <f ca="1">IFERROR(__xludf.DUMMYFUNCTION("""COMPUTED_VALUE"""),"Inside School Building")</f>
        <v>Inside School Building</v>
      </c>
      <c r="U2846" s="8" t="str">
        <f ca="1">IFERROR(__xludf.DUMMYFUNCTION("""COMPUTED_VALUE"""),"Yes")</f>
        <v>Yes</v>
      </c>
      <c r="V2846" s="8" t="str">
        <f ca="1">IFERROR(__xludf.DUMMYFUNCTION("""COMPUTED_VALUE"""),"Afternoon Classes")</f>
        <v>Afternoon Classes</v>
      </c>
      <c r="W2846" s="8"/>
      <c r="X2846" s="8">
        <f ca="1">IFERROR(__xludf.DUMMYFUNCTION("""COMPUTED_VALUE"""),1)</f>
        <v>1</v>
      </c>
      <c r="Y2846" s="12" t="str">
        <f ca="1">IFERROR(__xludf.DUMMYFUNCTION("""COMPUTED_VALUE"""),"Accidental - Police Officer showing students his weapon - accidental discharge")</f>
        <v>Accidental - Police Officer showing students his weapon - accidental discharge</v>
      </c>
      <c r="Z2846" s="12" t="str">
        <f ca="1">IFERROR(__xludf.DUMMYFUNCTION("""COMPUTED_VALUE"""),"Police officer was doing gun demonstration for class. Gun accidentally discharged striking student.")</f>
        <v>Police officer was doing gun demonstration for class. Gun accidentally discharged striking student.</v>
      </c>
      <c r="AA2846" s="8" t="str">
        <f ca="1">IFERROR(__xludf.DUMMYFUNCTION("""COMPUTED_VALUE"""),"Accidental")</f>
        <v>Accidental</v>
      </c>
      <c r="AB2846" s="8"/>
      <c r="AC2846" s="8"/>
      <c r="AD2846" s="8" t="str">
        <f ca="1">IFERROR(__xludf.DUMMYFUNCTION("""COMPUTED_VALUE"""),"Random Shooting")</f>
        <v>Random Shooting</v>
      </c>
      <c r="AE2846" s="8" t="str">
        <f ca="1">IFERROR(__xludf.DUMMYFUNCTION("""COMPUTED_VALUE"""),"No")</f>
        <v>No</v>
      </c>
      <c r="AF2846" s="8"/>
      <c r="AG2846" s="8" t="str">
        <f ca="1">IFERROR(__xludf.DUMMYFUNCTION("""COMPUTED_VALUE"""),"No")</f>
        <v>No</v>
      </c>
      <c r="AH2846" s="8" t="str">
        <f ca="1">IFERROR(__xludf.DUMMYFUNCTION("""COMPUTED_VALUE"""),"No")</f>
        <v>No</v>
      </c>
      <c r="AI2846" s="8" t="str">
        <f ca="1">IFERROR(__xludf.DUMMYFUNCTION("""COMPUTED_VALUE"""),"Yes")</f>
        <v>Yes</v>
      </c>
      <c r="AJ2846" s="8" t="str">
        <f ca="1">IFERROR(__xludf.DUMMYFUNCTION("""COMPUTED_VALUE"""),"N/A")</f>
        <v>N/A</v>
      </c>
      <c r="AK2846" s="8" t="str">
        <f ca="1">IFERROR(__xludf.DUMMYFUNCTION("""COMPUTED_VALUE"""),"N/A")</f>
        <v>N/A</v>
      </c>
      <c r="AL2846" s="8" t="str">
        <f ca="1">IFERROR(__xludf.DUMMYFUNCTION("""COMPUTED_VALUE"""),"N/A")</f>
        <v>N/A</v>
      </c>
      <c r="AM2846" s="8" t="str">
        <f ca="1">IFERROR(__xludf.DUMMYFUNCTION("""COMPUTED_VALUE"""),"N/A")</f>
        <v>N/A</v>
      </c>
      <c r="AN2846" s="8"/>
      <c r="AO2846" s="8" t="str">
        <f ca="1">IFERROR(__xludf.DUMMYFUNCTION("""COMPUTED_VALUE"""),"N/A")</f>
        <v>N/A</v>
      </c>
      <c r="AP2846" s="8"/>
      <c r="AQ2846" s="8" t="str">
        <f ca="1">IFERROR(__xludf.DUMMYFUNCTION("""COMPUTED_VALUE"""),"Unknown")</f>
        <v>Unknown</v>
      </c>
      <c r="AR2846" s="8" t="str">
        <f ca="1">IFERROR(__xludf.DUMMYFUNCTION("""COMPUTED_VALUE"""),"NA")</f>
        <v>NA</v>
      </c>
      <c r="AS2846" s="8">
        <f ca="1">IFERROR(__xludf.DUMMYFUNCTION("""COMPUTED_VALUE"""),1)</f>
        <v>1</v>
      </c>
      <c r="AT2846" s="8"/>
      <c r="AU2846" s="8">
        <f ca="1">IFERROR(__xludf.DUMMYFUNCTION("""COMPUTED_VALUE"""),38.889437)</f>
        <v>38.889437000000001</v>
      </c>
      <c r="AV2846" s="8">
        <f ca="1">IFERROR(__xludf.DUMMYFUNCTION("""COMPUTED_VALUE"""),-83.891124)</f>
        <v>-83.891124000000005</v>
      </c>
      <c r="AW2846" s="8"/>
      <c r="AX2846" s="8">
        <f ca="1">IFERROR(__xludf.DUMMYFUNCTION("""COMPUTED_VALUE"""),45121)</f>
        <v>45121</v>
      </c>
    </row>
    <row r="2847" spans="1:50" ht="60" x14ac:dyDescent="0.2">
      <c r="A2847" s="8" t="str">
        <f ca="1">IFERROR(__xludf.DUMMYFUNCTION("""COMPUTED_VALUE"""),"19851018MIMUD")</f>
        <v>19851018MIMUD</v>
      </c>
      <c r="B2847" s="8">
        <f ca="1">IFERROR(__xludf.DUMMYFUNCTION("""COMPUTED_VALUE"""),10)</f>
        <v>10</v>
      </c>
      <c r="C2847" s="8">
        <f ca="1">IFERROR(__xludf.DUMMYFUNCTION("""COMPUTED_VALUE"""),18)</f>
        <v>18</v>
      </c>
      <c r="D2847" s="8">
        <f ca="1">IFERROR(__xludf.DUMMYFUNCTION("""COMPUTED_VALUE"""),1985)</f>
        <v>1985</v>
      </c>
      <c r="E2847" s="9">
        <f ca="1">IFERROR(__xludf.DUMMYFUNCTION("""COMPUTED_VALUE"""),31338)</f>
        <v>31338</v>
      </c>
      <c r="F2847" s="8" t="str">
        <f ca="1">IFERROR(__xludf.DUMMYFUNCTION("""COMPUTED_VALUE"""),"Murray-Wright High School")</f>
        <v>Murray-Wright High School</v>
      </c>
      <c r="G2847" s="8">
        <f ca="1">IFERROR(__xludf.DUMMYFUNCTION("""COMPUTED_VALUE"""),0)</f>
        <v>0</v>
      </c>
      <c r="H2847" s="8">
        <f ca="1">IFERROR(__xludf.DUMMYFUNCTION("""COMPUTED_VALUE"""),7)</f>
        <v>7</v>
      </c>
      <c r="I2847" s="8">
        <f ca="1">IFERROR(__xludf.DUMMYFUNCTION("""COMPUTED_VALUE"""),7)</f>
        <v>7</v>
      </c>
      <c r="J2847" s="8">
        <f ca="1">IFERROR(__xludf.DUMMYFUNCTION("""COMPUTED_VALUE"""),0)</f>
        <v>0</v>
      </c>
      <c r="K2847" s="10" t="str">
        <f ca="1">IFERROR(__xludf.DUMMYFUNCTION("""COMPUTED_VALUE"""),"https://www.upi.com/Archives/1985/10/18/A-gunman-stepped-out-of-a-car-and-sprayed/5334498456000/")</f>
        <v>https://www.upi.com/Archives/1985/10/18/A-gunman-stepped-out-of-a-car-and-sprayed/5334498456000/</v>
      </c>
      <c r="L2847" s="8"/>
      <c r="M2847" s="8"/>
      <c r="N2847" s="8">
        <f ca="1">IFERROR(__xludf.DUMMYFUNCTION("""COMPUTED_VALUE"""),2)</f>
        <v>2</v>
      </c>
      <c r="O2847" s="8" t="str">
        <f ca="1">IFERROR(__xludf.DUMMYFUNCTION("""COMPUTED_VALUE"""),"Fall")</f>
        <v>Fall</v>
      </c>
      <c r="P2847" s="8" t="str">
        <f ca="1">IFERROR(__xludf.DUMMYFUNCTION("""COMPUTED_VALUE"""),"Detroit")</f>
        <v>Detroit</v>
      </c>
      <c r="Q2847" s="8" t="str">
        <f ca="1">IFERROR(__xludf.DUMMYFUNCTION("""COMPUTED_VALUE"""),"MI")</f>
        <v>MI</v>
      </c>
      <c r="R2847" s="8" t="str">
        <f ca="1">IFERROR(__xludf.DUMMYFUNCTION("""COMPUTED_VALUE"""),"High")</f>
        <v>High</v>
      </c>
      <c r="S2847" s="8" t="str">
        <f ca="1">IFERROR(__xludf.DUMMYFUNCTION("""COMPUTED_VALUE"""),"Parking Lot")</f>
        <v>Parking Lot</v>
      </c>
      <c r="T2847" s="8" t="str">
        <f ca="1">IFERROR(__xludf.DUMMYFUNCTION("""COMPUTED_VALUE"""),"Outside on School Property")</f>
        <v>Outside on School Property</v>
      </c>
      <c r="U2847" s="8" t="str">
        <f ca="1">IFERROR(__xludf.DUMMYFUNCTION("""COMPUTED_VALUE"""),"No")</f>
        <v>No</v>
      </c>
      <c r="V2847" s="8" t="str">
        <f ca="1">IFERROR(__xludf.DUMMYFUNCTION("""COMPUTED_VALUE"""),"Sport Event")</f>
        <v>Sport Event</v>
      </c>
      <c r="W2847" s="8"/>
      <c r="X2847" s="8"/>
      <c r="Y2847" s="12" t="str">
        <f ca="1">IFERROR(__xludf.DUMMYFUNCTION("""COMPUTED_VALUE"""),"Fired shotgun into crowd after football game, involved in earlier fight")</f>
        <v>Fired shotgun into crowd after football game, involved in earlier fight</v>
      </c>
      <c r="Z2847" s="12" t="str">
        <f ca="1">IFERROR(__xludf.DUMMYFUNCTION("""COMPUTED_VALUE"""),"Shooter got out of car with shotgun and fired 6 shells into the crowd outside of a football game. Possibly stemmed from earlier altercation - no suspects listed.")</f>
        <v>Shooter got out of car with shotgun and fired 6 shells into the crowd outside of a football game. Possibly stemmed from earlier altercation - no suspects listed.</v>
      </c>
      <c r="AA2847" s="8" t="str">
        <f ca="1">IFERROR(__xludf.DUMMYFUNCTION("""COMPUTED_VALUE"""),"Escalation of Dispute")</f>
        <v>Escalation of Dispute</v>
      </c>
      <c r="AB2847" s="8"/>
      <c r="AC2847" s="8" t="str">
        <f ca="1">IFERROR(__xludf.DUMMYFUNCTION("""COMPUTED_VALUE"""),"Yes")</f>
        <v>Yes</v>
      </c>
      <c r="AD2847" s="8" t="str">
        <f ca="1">IFERROR(__xludf.DUMMYFUNCTION("""COMPUTED_VALUE"""),"Both")</f>
        <v>Both</v>
      </c>
      <c r="AE2847" s="8" t="str">
        <f ca="1">IFERROR(__xludf.DUMMYFUNCTION("""COMPUTED_VALUE"""),"Yes")</f>
        <v>Yes</v>
      </c>
      <c r="AF2847" s="8" t="str">
        <f ca="1">IFERROR(__xludf.DUMMYFUNCTION("""COMPUTED_VALUE"""),"Came in vehicle, may have been other people in vehicle")</f>
        <v>Came in vehicle, may have been other people in vehicle</v>
      </c>
      <c r="AG2847" s="8" t="str">
        <f ca="1">IFERROR(__xludf.DUMMYFUNCTION("""COMPUTED_VALUE"""),"No")</f>
        <v>No</v>
      </c>
      <c r="AH2847" s="8" t="str">
        <f ca="1">IFERROR(__xludf.DUMMYFUNCTION("""COMPUTED_VALUE"""),"No")</f>
        <v>No</v>
      </c>
      <c r="AI2847" s="8" t="str">
        <f ca="1">IFERROR(__xludf.DUMMYFUNCTION("""COMPUTED_VALUE"""),"No")</f>
        <v>No</v>
      </c>
      <c r="AJ2847" s="8" t="str">
        <f ca="1">IFERROR(__xludf.DUMMYFUNCTION("""COMPUTED_VALUE"""),"No")</f>
        <v>No</v>
      </c>
      <c r="AK2847" s="8" t="str">
        <f ca="1">IFERROR(__xludf.DUMMYFUNCTION("""COMPUTED_VALUE"""),"No")</f>
        <v>No</v>
      </c>
      <c r="AL2847" s="8" t="str">
        <f ca="1">IFERROR(__xludf.DUMMYFUNCTION("""COMPUTED_VALUE"""),"No")</f>
        <v>No</v>
      </c>
      <c r="AM2847" s="8" t="str">
        <f ca="1">IFERROR(__xludf.DUMMYFUNCTION("""COMPUTED_VALUE"""),"Yes")</f>
        <v>Yes</v>
      </c>
      <c r="AN2847" s="8" t="str">
        <f ca="1">IFERROR(__xludf.DUMMYFUNCTION("""COMPUTED_VALUE"""),"Outside")</f>
        <v>Outside</v>
      </c>
      <c r="AO2847" s="8" t="str">
        <f ca="1">IFERROR(__xludf.DUMMYFUNCTION("""COMPUTED_VALUE"""),"No")</f>
        <v>No</v>
      </c>
      <c r="AP2847" s="8"/>
      <c r="AQ2847" s="8" t="str">
        <f ca="1">IFERROR(__xludf.DUMMYFUNCTION("""COMPUTED_VALUE"""),"Unknown")</f>
        <v>Unknown</v>
      </c>
      <c r="AR2847" s="8" t="str">
        <f ca="1">IFERROR(__xludf.DUMMYFUNCTION("""COMPUTED_VALUE"""),"NA")</f>
        <v>NA</v>
      </c>
      <c r="AS2847" s="8">
        <f ca="1">IFERROR(__xludf.DUMMYFUNCTION("""COMPUTED_VALUE"""),6)</f>
        <v>6</v>
      </c>
      <c r="AT2847" s="8"/>
      <c r="AU2847" s="8">
        <f ca="1">IFERROR(__xludf.DUMMYFUNCTION("""COMPUTED_VALUE"""),42.349271)</f>
        <v>42.349271000000002</v>
      </c>
      <c r="AV2847" s="8">
        <f ca="1">IFERROR(__xludf.DUMMYFUNCTION("""COMPUTED_VALUE"""),-83.083546)</f>
        <v>-83.083545999999998</v>
      </c>
      <c r="AW2847" s="8"/>
      <c r="AX2847" s="8">
        <f ca="1">IFERROR(__xludf.DUMMYFUNCTION("""COMPUTED_VALUE"""),48208)</f>
        <v>48208</v>
      </c>
    </row>
    <row r="2848" spans="1:50" ht="60" x14ac:dyDescent="0.2">
      <c r="A2848" s="8" t="str">
        <f ca="1">IFERROR(__xludf.DUMMYFUNCTION("""COMPUTED_VALUE"""),"19851008MDLAB")</f>
        <v>19851008MDLAB</v>
      </c>
      <c r="B2848" s="8">
        <f ca="1">IFERROR(__xludf.DUMMYFUNCTION("""COMPUTED_VALUE"""),10)</f>
        <v>10</v>
      </c>
      <c r="C2848" s="8">
        <f ca="1">IFERROR(__xludf.DUMMYFUNCTION("""COMPUTED_VALUE"""),8)</f>
        <v>8</v>
      </c>
      <c r="D2848" s="8">
        <f ca="1">IFERROR(__xludf.DUMMYFUNCTION("""COMPUTED_VALUE"""),1985)</f>
        <v>1985</v>
      </c>
      <c r="E2848" s="9">
        <f ca="1">IFERROR(__xludf.DUMMYFUNCTION("""COMPUTED_VALUE"""),31328)</f>
        <v>31328</v>
      </c>
      <c r="F2848" s="8" t="str">
        <f ca="1">IFERROR(__xludf.DUMMYFUNCTION("""COMPUTED_VALUE"""),"Lake Clifton High School")</f>
        <v>Lake Clifton High School</v>
      </c>
      <c r="G2848" s="8">
        <f ca="1">IFERROR(__xludf.DUMMYFUNCTION("""COMPUTED_VALUE"""),1)</f>
        <v>1</v>
      </c>
      <c r="H2848" s="8">
        <f ca="1">IFERROR(__xludf.DUMMYFUNCTION("""COMPUTED_VALUE"""),0)</f>
        <v>0</v>
      </c>
      <c r="I2848" s="8">
        <f ca="1">IFERROR(__xludf.DUMMYFUNCTION("""COMPUTED_VALUE"""),1)</f>
        <v>1</v>
      </c>
      <c r="J2848" s="8">
        <f ca="1">IFERROR(__xludf.DUMMYFUNCTION("""COMPUTED_VALUE"""),0)</f>
        <v>0</v>
      </c>
      <c r="K2848" s="10" t="str">
        <f ca="1">IFERROR(__xludf.DUMMYFUNCTION("""COMPUTED_VALUE"""),"https://www.newspapers.com/image/372547711/?terms=Lake%2BClifton%2BHigh%2BSchool%2Bshooting")</f>
        <v>https://www.newspapers.com/image/372547711/?terms=Lake%2BClifton%2BHigh%2BSchool%2Bshooting</v>
      </c>
      <c r="L2848" s="8"/>
      <c r="M2848" s="8"/>
      <c r="N2848" s="8">
        <f ca="1">IFERROR(__xludf.DUMMYFUNCTION("""COMPUTED_VALUE"""),2)</f>
        <v>2</v>
      </c>
      <c r="O2848" s="8" t="str">
        <f ca="1">IFERROR(__xludf.DUMMYFUNCTION("""COMPUTED_VALUE"""),"Fall")</f>
        <v>Fall</v>
      </c>
      <c r="P2848" s="8" t="str">
        <f ca="1">IFERROR(__xludf.DUMMYFUNCTION("""COMPUTED_VALUE"""),"Baltimore")</f>
        <v>Baltimore</v>
      </c>
      <c r="Q2848" s="8" t="str">
        <f ca="1">IFERROR(__xludf.DUMMYFUNCTION("""COMPUTED_VALUE"""),"MD")</f>
        <v>MD</v>
      </c>
      <c r="R2848" s="8" t="str">
        <f ca="1">IFERROR(__xludf.DUMMYFUNCTION("""COMPUTED_VALUE"""),"High")</f>
        <v>High</v>
      </c>
      <c r="S2848" s="8" t="str">
        <f ca="1">IFERROR(__xludf.DUMMYFUNCTION("""COMPUTED_VALUE"""),"Outside on School Property")</f>
        <v>Outside on School Property</v>
      </c>
      <c r="T2848" s="8" t="str">
        <f ca="1">IFERROR(__xludf.DUMMYFUNCTION("""COMPUTED_VALUE"""),"Outside on School Property")</f>
        <v>Outside on School Property</v>
      </c>
      <c r="U2848" s="8" t="str">
        <f ca="1">IFERROR(__xludf.DUMMYFUNCTION("""COMPUTED_VALUE"""),"No")</f>
        <v>No</v>
      </c>
      <c r="V2848" s="8" t="str">
        <f ca="1">IFERROR(__xludf.DUMMYFUNCTION("""COMPUTED_VALUE"""),"Dismissal")</f>
        <v>Dismissal</v>
      </c>
      <c r="W2848" s="11">
        <f ca="1">IFERROR(__xludf.DUMMYFUNCTION("""COMPUTED_VALUE"""),0.625)</f>
        <v>0.625</v>
      </c>
      <c r="X2848" s="8">
        <f ca="1">IFERROR(__xludf.DUMMYFUNCTION("""COMPUTED_VALUE"""),1)</f>
        <v>1</v>
      </c>
      <c r="Y2848" s="12" t="str">
        <f ca="1">IFERROR(__xludf.DUMMYFUNCTION("""COMPUTED_VALUE"""),"Argument with shooter, victim may have pulled pistol")</f>
        <v>Argument with shooter, victim may have pulled pistol</v>
      </c>
      <c r="Z2848" s="12" t="str">
        <f ca="1">IFERROR(__xludf.DUMMYFUNCTION("""COMPUTED_VALUE"""),"Victim had ongoing confrontation with 3 other males about an unborn child of the victim's non-student girlfriend. During argument, shot was firing killing victim. Unclear if victim also pulled a gun during the dispute.")</f>
        <v>Victim had ongoing confrontation with 3 other males about an unborn child of the victim's non-student girlfriend. During argument, shot was firing killing victim. Unclear if victim also pulled a gun during the dispute.</v>
      </c>
      <c r="AA2848" s="8" t="str">
        <f ca="1">IFERROR(__xludf.DUMMYFUNCTION("""COMPUTED_VALUE"""),"Escalation of Dispute")</f>
        <v>Escalation of Dispute</v>
      </c>
      <c r="AB2848" s="8"/>
      <c r="AC2848" s="8"/>
      <c r="AD2848" s="8" t="str">
        <f ca="1">IFERROR(__xludf.DUMMYFUNCTION("""COMPUTED_VALUE"""),"Victims Targeted")</f>
        <v>Victims Targeted</v>
      </c>
      <c r="AE2848" s="8" t="str">
        <f ca="1">IFERROR(__xludf.DUMMYFUNCTION("""COMPUTED_VALUE"""),"No")</f>
        <v>No</v>
      </c>
      <c r="AF2848" s="8"/>
      <c r="AG2848" s="8" t="str">
        <f ca="1">IFERROR(__xludf.DUMMYFUNCTION("""COMPUTED_VALUE"""),"No")</f>
        <v>No</v>
      </c>
      <c r="AH2848" s="8" t="str">
        <f ca="1">IFERROR(__xludf.DUMMYFUNCTION("""COMPUTED_VALUE"""),"No")</f>
        <v>No</v>
      </c>
      <c r="AI2848" s="8" t="str">
        <f ca="1">IFERROR(__xludf.DUMMYFUNCTION("""COMPUTED_VALUE"""),"No")</f>
        <v>No</v>
      </c>
      <c r="AJ2848" s="8" t="str">
        <f ca="1">IFERROR(__xludf.DUMMYFUNCTION("""COMPUTED_VALUE"""),"No")</f>
        <v>No</v>
      </c>
      <c r="AK2848" s="8" t="str">
        <f ca="1">IFERROR(__xludf.DUMMYFUNCTION("""COMPUTED_VALUE"""),"No")</f>
        <v>No</v>
      </c>
      <c r="AL2848" s="8" t="str">
        <f ca="1">IFERROR(__xludf.DUMMYFUNCTION("""COMPUTED_VALUE"""),"No")</f>
        <v>No</v>
      </c>
      <c r="AM2848" s="8"/>
      <c r="AN2848" s="8"/>
      <c r="AO2848" s="8" t="str">
        <f ca="1">IFERROR(__xludf.DUMMYFUNCTION("""COMPUTED_VALUE"""),"No")</f>
        <v>No</v>
      </c>
      <c r="AP2848" s="8"/>
      <c r="AQ2848" s="8" t="str">
        <f ca="1">IFERROR(__xludf.DUMMYFUNCTION("""COMPUTED_VALUE"""),"Unknown")</f>
        <v>Unknown</v>
      </c>
      <c r="AR2848" s="8" t="str">
        <f ca="1">IFERROR(__xludf.DUMMYFUNCTION("""COMPUTED_VALUE"""),"NA")</f>
        <v>NA</v>
      </c>
      <c r="AS2848" s="8" t="str">
        <f ca="1">IFERROR(__xludf.DUMMYFUNCTION("""COMPUTED_VALUE"""),"&lt;10")</f>
        <v>&lt;10</v>
      </c>
      <c r="AT2848" s="8"/>
      <c r="AU2848" s="8">
        <f ca="1">IFERROR(__xludf.DUMMYFUNCTION("""COMPUTED_VALUE"""),39.31621)</f>
        <v>39.316209999999998</v>
      </c>
      <c r="AV2848" s="8">
        <f ca="1">IFERROR(__xludf.DUMMYFUNCTION("""COMPUTED_VALUE"""),-76.588786)</f>
        <v>-76.588785999999999</v>
      </c>
      <c r="AW2848" s="8"/>
      <c r="AX2848" s="8">
        <f ca="1">IFERROR(__xludf.DUMMYFUNCTION("""COMPUTED_VALUE"""),21213)</f>
        <v>21213</v>
      </c>
    </row>
    <row r="2849" spans="1:50" ht="60" x14ac:dyDescent="0.2">
      <c r="A2849" s="8" t="str">
        <f ca="1">IFERROR(__xludf.DUMMYFUNCTION("""COMPUTED_VALUE"""),"19850925OHTRT")</f>
        <v>19850925OHTRT</v>
      </c>
      <c r="B2849" s="8">
        <f ca="1">IFERROR(__xludf.DUMMYFUNCTION("""COMPUTED_VALUE"""),9)</f>
        <v>9</v>
      </c>
      <c r="C2849" s="8">
        <f ca="1">IFERROR(__xludf.DUMMYFUNCTION("""COMPUTED_VALUE"""),25)</f>
        <v>25</v>
      </c>
      <c r="D2849" s="8">
        <f ca="1">IFERROR(__xludf.DUMMYFUNCTION("""COMPUTED_VALUE"""),1985)</f>
        <v>1985</v>
      </c>
      <c r="E2849" s="9">
        <f ca="1">IFERROR(__xludf.DUMMYFUNCTION("""COMPUTED_VALUE"""),31315)</f>
        <v>31315</v>
      </c>
      <c r="F2849" s="8" t="str">
        <f ca="1">IFERROR(__xludf.DUMMYFUNCTION("""COMPUTED_VALUE"""),"Trotwood-Madison Senior High")</f>
        <v>Trotwood-Madison Senior High</v>
      </c>
      <c r="G2849" s="8">
        <f ca="1">IFERROR(__xludf.DUMMYFUNCTION("""COMPUTED_VALUE"""),0)</f>
        <v>0</v>
      </c>
      <c r="H2849" s="8">
        <f ca="1">IFERROR(__xludf.DUMMYFUNCTION("""COMPUTED_VALUE"""),2)</f>
        <v>2</v>
      </c>
      <c r="I2849" s="8">
        <f ca="1">IFERROR(__xludf.DUMMYFUNCTION("""COMPUTED_VALUE"""),2)</f>
        <v>2</v>
      </c>
      <c r="J2849" s="8">
        <f ca="1">IFERROR(__xludf.DUMMYFUNCTION("""COMPUTED_VALUE"""),0)</f>
        <v>0</v>
      </c>
      <c r="K2849" s="10" t="str">
        <f ca="1">IFERROR(__xludf.DUMMYFUNCTION("""COMPUTED_VALUE"""),"https://www.newspapers.com/image/395559841/?terms=TROTWOOD%2BMADISON%2BSCHOOL%2BSHOOTING")</f>
        <v>https://www.newspapers.com/image/395559841/?terms=TROTWOOD%2BMADISON%2BSCHOOL%2BSHOOTING</v>
      </c>
      <c r="L2849" s="8"/>
      <c r="M2849" s="8"/>
      <c r="N2849" s="8">
        <f ca="1">IFERROR(__xludf.DUMMYFUNCTION("""COMPUTED_VALUE"""),2)</f>
        <v>2</v>
      </c>
      <c r="O2849" s="8" t="str">
        <f ca="1">IFERROR(__xludf.DUMMYFUNCTION("""COMPUTED_VALUE"""),"Fall")</f>
        <v>Fall</v>
      </c>
      <c r="P2849" s="8" t="str">
        <f ca="1">IFERROR(__xludf.DUMMYFUNCTION("""COMPUTED_VALUE"""),"Trotwood")</f>
        <v>Trotwood</v>
      </c>
      <c r="Q2849" s="8" t="str">
        <f ca="1">IFERROR(__xludf.DUMMYFUNCTION("""COMPUTED_VALUE"""),"OH")</f>
        <v>OH</v>
      </c>
      <c r="R2849" s="8" t="str">
        <f ca="1">IFERROR(__xludf.DUMMYFUNCTION("""COMPUTED_VALUE"""),"High")</f>
        <v>High</v>
      </c>
      <c r="S2849" s="8" t="str">
        <f ca="1">IFERROR(__xludf.DUMMYFUNCTION("""COMPUTED_VALUE"""),"Inside School Building")</f>
        <v>Inside School Building</v>
      </c>
      <c r="T2849" s="8" t="str">
        <f ca="1">IFERROR(__xludf.DUMMYFUNCTION("""COMPUTED_VALUE"""),"Inside School Building")</f>
        <v>Inside School Building</v>
      </c>
      <c r="U2849" s="8" t="str">
        <f ca="1">IFERROR(__xludf.DUMMYFUNCTION("""COMPUTED_VALUE"""),"Yes")</f>
        <v>Yes</v>
      </c>
      <c r="V2849" s="8" t="str">
        <f ca="1">IFERROR(__xludf.DUMMYFUNCTION("""COMPUTED_VALUE"""),"Afternoon Classes")</f>
        <v>Afternoon Classes</v>
      </c>
      <c r="W2849" s="11">
        <f ca="1">IFERROR(__xludf.DUMMYFUNCTION("""COMPUTED_VALUE"""),0.604166666666666)</f>
        <v>0.60416666666666596</v>
      </c>
      <c r="X2849" s="8">
        <f ca="1">IFERROR(__xludf.DUMMYFUNCTION("""COMPUTED_VALUE"""),1)</f>
        <v>1</v>
      </c>
      <c r="Y2849" s="12" t="str">
        <f ca="1">IFERROR(__xludf.DUMMYFUNCTION("""COMPUTED_VALUE"""),"Shooter accidentally shot two students while showing off gun.")</f>
        <v>Shooter accidentally shot two students while showing off gun.</v>
      </c>
      <c r="Z2849" s="12" t="str">
        <f ca="1">IFERROR(__xludf.DUMMYFUNCTION("""COMPUTED_VALUE"""),"Shooter was showing gun to friends and accidentally shot - Single shot injured two students. Student fled and was later caught by police")</f>
        <v>Shooter was showing gun to friends and accidentally shot - Single shot injured two students. Student fled and was later caught by police</v>
      </c>
      <c r="AA2849" s="8" t="str">
        <f ca="1">IFERROR(__xludf.DUMMYFUNCTION("""COMPUTED_VALUE"""),"Accidental")</f>
        <v>Accidental</v>
      </c>
      <c r="AB2849" s="8"/>
      <c r="AC2849" s="8"/>
      <c r="AD2849" s="8" t="str">
        <f ca="1">IFERROR(__xludf.DUMMYFUNCTION("""COMPUTED_VALUE"""),"Random Shooting")</f>
        <v>Random Shooting</v>
      </c>
      <c r="AE2849" s="8" t="str">
        <f ca="1">IFERROR(__xludf.DUMMYFUNCTION("""COMPUTED_VALUE"""),"No")</f>
        <v>No</v>
      </c>
      <c r="AF2849" s="8"/>
      <c r="AG2849" s="8" t="str">
        <f ca="1">IFERROR(__xludf.DUMMYFUNCTION("""COMPUTED_VALUE"""),"No")</f>
        <v>No</v>
      </c>
      <c r="AH2849" s="8" t="str">
        <f ca="1">IFERROR(__xludf.DUMMYFUNCTION("""COMPUTED_VALUE"""),"No")</f>
        <v>No</v>
      </c>
      <c r="AI2849" s="8" t="str">
        <f ca="1">IFERROR(__xludf.DUMMYFUNCTION("""COMPUTED_VALUE"""),"No")</f>
        <v>No</v>
      </c>
      <c r="AJ2849" s="8" t="str">
        <f ca="1">IFERROR(__xludf.DUMMYFUNCTION("""COMPUTED_VALUE"""),"No")</f>
        <v>No</v>
      </c>
      <c r="AK2849" s="8" t="str">
        <f ca="1">IFERROR(__xludf.DUMMYFUNCTION("""COMPUTED_VALUE"""),"No")</f>
        <v>No</v>
      </c>
      <c r="AL2849" s="8" t="str">
        <f ca="1">IFERROR(__xludf.DUMMYFUNCTION("""COMPUTED_VALUE"""),"No")</f>
        <v>No</v>
      </c>
      <c r="AM2849" s="8"/>
      <c r="AN2849" s="8"/>
      <c r="AO2849" s="8" t="str">
        <f ca="1">IFERROR(__xludf.DUMMYFUNCTION("""COMPUTED_VALUE"""),"No")</f>
        <v>No</v>
      </c>
      <c r="AP2849" s="8"/>
      <c r="AQ2849" s="8" t="str">
        <f ca="1">IFERROR(__xludf.DUMMYFUNCTION("""COMPUTED_VALUE"""),"Unknown")</f>
        <v>Unknown</v>
      </c>
      <c r="AR2849" s="8" t="str">
        <f ca="1">IFERROR(__xludf.DUMMYFUNCTION("""COMPUTED_VALUE"""),"NA")</f>
        <v>NA</v>
      </c>
      <c r="AS2849" s="8">
        <f ca="1">IFERROR(__xludf.DUMMYFUNCTION("""COMPUTED_VALUE"""),1)</f>
        <v>1</v>
      </c>
      <c r="AT2849" s="8"/>
      <c r="AU2849" s="8">
        <f ca="1">IFERROR(__xludf.DUMMYFUNCTION("""COMPUTED_VALUE"""),39.809176)</f>
        <v>39.809176000000001</v>
      </c>
      <c r="AV2849" s="8">
        <f ca="1">IFERROR(__xludf.DUMMYFUNCTION("""COMPUTED_VALUE"""),-84.310114)</f>
        <v>-84.310113999999999</v>
      </c>
      <c r="AW2849" s="8"/>
      <c r="AX2849" s="8">
        <f ca="1">IFERROR(__xludf.DUMMYFUNCTION("""COMPUTED_VALUE"""),45426)</f>
        <v>45426</v>
      </c>
    </row>
    <row r="2850" spans="1:50" ht="90" x14ac:dyDescent="0.2">
      <c r="A2850" s="8" t="str">
        <f ca="1">IFERROR(__xludf.DUMMYFUNCTION("""COMPUTED_VALUE"""),"19850920TXLAC")</f>
        <v>19850920TXLAC</v>
      </c>
      <c r="B2850" s="8">
        <f ca="1">IFERROR(__xludf.DUMMYFUNCTION("""COMPUTED_VALUE"""),9)</f>
        <v>9</v>
      </c>
      <c r="C2850" s="8">
        <f ca="1">IFERROR(__xludf.DUMMYFUNCTION("""COMPUTED_VALUE"""),20)</f>
        <v>20</v>
      </c>
      <c r="D2850" s="8">
        <f ca="1">IFERROR(__xludf.DUMMYFUNCTION("""COMPUTED_VALUE"""),1985)</f>
        <v>1985</v>
      </c>
      <c r="E2850" s="9">
        <f ca="1">IFERROR(__xludf.DUMMYFUNCTION("""COMPUTED_VALUE"""),31310)</f>
        <v>31310</v>
      </c>
      <c r="F2850" s="8" t="str">
        <f ca="1">IFERROR(__xludf.DUMMYFUNCTION("""COMPUTED_VALUE"""),"Langham Creek High School")</f>
        <v>Langham Creek High School</v>
      </c>
      <c r="G2850" s="8">
        <f ca="1">IFERROR(__xludf.DUMMYFUNCTION("""COMPUTED_VALUE"""),0)</f>
        <v>0</v>
      </c>
      <c r="H2850" s="8">
        <f ca="1">IFERROR(__xludf.DUMMYFUNCTION("""COMPUTED_VALUE"""),2)</f>
        <v>2</v>
      </c>
      <c r="I2850" s="8">
        <f ca="1">IFERROR(__xludf.DUMMYFUNCTION("""COMPUTED_VALUE"""),2)</f>
        <v>2</v>
      </c>
      <c r="J2850" s="8">
        <f ca="1">IFERROR(__xludf.DUMMYFUNCTION("""COMPUTED_VALUE"""),0)</f>
        <v>0</v>
      </c>
      <c r="K2850" s="8" t="str">
        <f ca="1">IFERROR(__xludf.DUMMYFUNCTION("""COMPUTED_VALUE"""),"https://www.newspapers.com/image/218127964/?terms=Langham%2BCreek%2BHigh%2BSchool%2Bshooting   https://www.newspapers.com/image/363619920/?terms=marvin%2Bs.%2Bwebster")</f>
        <v>https://www.newspapers.com/image/218127964/?terms=Langham%2BCreek%2BHigh%2BSchool%2Bshooting   https://www.newspapers.com/image/363619920/?terms=marvin%2Bs.%2Bwebster</v>
      </c>
      <c r="L2850" s="8"/>
      <c r="M2850" s="8"/>
      <c r="N2850" s="8">
        <f ca="1">IFERROR(__xludf.DUMMYFUNCTION("""COMPUTED_VALUE"""),2)</f>
        <v>2</v>
      </c>
      <c r="O2850" s="8" t="str">
        <f ca="1">IFERROR(__xludf.DUMMYFUNCTION("""COMPUTED_VALUE"""),"Fall")</f>
        <v>Fall</v>
      </c>
      <c r="P2850" s="8" t="str">
        <f ca="1">IFERROR(__xludf.DUMMYFUNCTION("""COMPUTED_VALUE"""),"Cypress")</f>
        <v>Cypress</v>
      </c>
      <c r="Q2850" s="8" t="str">
        <f ca="1">IFERROR(__xludf.DUMMYFUNCTION("""COMPUTED_VALUE"""),"TX")</f>
        <v>TX</v>
      </c>
      <c r="R2850" s="8" t="str">
        <f ca="1">IFERROR(__xludf.DUMMYFUNCTION("""COMPUTED_VALUE"""),"High")</f>
        <v>High</v>
      </c>
      <c r="S2850" s="8" t="str">
        <f ca="1">IFERROR(__xludf.DUMMYFUNCTION("""COMPUTED_VALUE"""),"Cafeteria")</f>
        <v>Cafeteria</v>
      </c>
      <c r="T2850" s="8" t="str">
        <f ca="1">IFERROR(__xludf.DUMMYFUNCTION("""COMPUTED_VALUE"""),"Inside School Building")</f>
        <v>Inside School Building</v>
      </c>
      <c r="U2850" s="8" t="str">
        <f ca="1">IFERROR(__xludf.DUMMYFUNCTION("""COMPUTED_VALUE"""),"Yes")</f>
        <v>Yes</v>
      </c>
      <c r="V2850" s="8" t="str">
        <f ca="1">IFERROR(__xludf.DUMMYFUNCTION("""COMPUTED_VALUE"""),"Lunch")</f>
        <v>Lunch</v>
      </c>
      <c r="W2850" s="11">
        <f ca="1">IFERROR(__xludf.DUMMYFUNCTION("""COMPUTED_VALUE"""),0.513888888888888)</f>
        <v>0.51388888888888795</v>
      </c>
      <c r="X2850" s="8">
        <f ca="1">IFERROR(__xludf.DUMMYFUNCTION("""COMPUTED_VALUE"""),1)</f>
        <v>1</v>
      </c>
      <c r="Y2850" s="12" t="str">
        <f ca="1">IFERROR(__xludf.DUMMYFUNCTION("""COMPUTED_VALUE"""),"Student fired at principal and another student in cafeteria, bystander struck")</f>
        <v>Student fired at principal and another student in cafeteria, bystander struck</v>
      </c>
      <c r="Z2850" s="12" t="str">
        <f ca="1">IFERROR(__xludf.DUMMYFUNCTION("""COMPUTED_VALUE"""),"16YOM pulled .357 revolver in cafeteria and fired shots at the assistant principal and another student. Shots missed the student and struck another bystander student. Principal was flown to hospital in critical condition. Shooter was arrested and police s"&amp;"aid motive was that shooter was angry school administrators had told him to cut his hair.")</f>
        <v>16YOM pulled .357 revolver in cafeteria and fired shots at the assistant principal and another student. Shots missed the student and struck another bystander student. Principal was flown to hospital in critical condition. Shooter was arrested and police said motive was that shooter was angry school administrators had told him to cut his hair.</v>
      </c>
      <c r="AA2850" s="8" t="str">
        <f ca="1">IFERROR(__xludf.DUMMYFUNCTION("""COMPUTED_VALUE"""),"Anger Over Grade/Suspension/Discipline")</f>
        <v>Anger Over Grade/Suspension/Discipline</v>
      </c>
      <c r="AB2850" s="8"/>
      <c r="AC2850" s="8"/>
      <c r="AD2850" s="8" t="str">
        <f ca="1">IFERROR(__xludf.DUMMYFUNCTION("""COMPUTED_VALUE"""),"Both")</f>
        <v>Both</v>
      </c>
      <c r="AE2850" s="8" t="str">
        <f ca="1">IFERROR(__xludf.DUMMYFUNCTION("""COMPUTED_VALUE"""),"No")</f>
        <v>No</v>
      </c>
      <c r="AF2850" s="8"/>
      <c r="AG2850" s="8" t="str">
        <f ca="1">IFERROR(__xludf.DUMMYFUNCTION("""COMPUTED_VALUE"""),"No")</f>
        <v>No</v>
      </c>
      <c r="AH2850" s="8" t="str">
        <f ca="1">IFERROR(__xludf.DUMMYFUNCTION("""COMPUTED_VALUE"""),"No")</f>
        <v>No</v>
      </c>
      <c r="AI2850" s="8" t="str">
        <f ca="1">IFERROR(__xludf.DUMMYFUNCTION("""COMPUTED_VALUE"""),"No")</f>
        <v>No</v>
      </c>
      <c r="AJ2850" s="8" t="str">
        <f ca="1">IFERROR(__xludf.DUMMYFUNCTION("""COMPUTED_VALUE"""),"No")</f>
        <v>No</v>
      </c>
      <c r="AK2850" s="8" t="str">
        <f ca="1">IFERROR(__xludf.DUMMYFUNCTION("""COMPUTED_VALUE"""),"No")</f>
        <v>No</v>
      </c>
      <c r="AL2850" s="8" t="str">
        <f ca="1">IFERROR(__xludf.DUMMYFUNCTION("""COMPUTED_VALUE"""),"No")</f>
        <v>No</v>
      </c>
      <c r="AM2850" s="8"/>
      <c r="AN2850" s="8"/>
      <c r="AO2850" s="8" t="str">
        <f ca="1">IFERROR(__xludf.DUMMYFUNCTION("""COMPUTED_VALUE"""),"No")</f>
        <v>No</v>
      </c>
      <c r="AP2850" s="8"/>
      <c r="AQ2850" s="8" t="str">
        <f ca="1">IFERROR(__xludf.DUMMYFUNCTION("""COMPUTED_VALUE"""),"Unknown")</f>
        <v>Unknown</v>
      </c>
      <c r="AR2850" s="8" t="str">
        <f ca="1">IFERROR(__xludf.DUMMYFUNCTION("""COMPUTED_VALUE"""),"NA")</f>
        <v>NA</v>
      </c>
      <c r="AS2850" s="8" t="str">
        <f ca="1">IFERROR(__xludf.DUMMYFUNCTION("""COMPUTED_VALUE"""),"&lt;6")</f>
        <v>&lt;6</v>
      </c>
      <c r="AT2850" s="8"/>
      <c r="AU2850" s="8">
        <f ca="1">IFERROR(__xludf.DUMMYFUNCTION("""COMPUTED_VALUE"""),29.881225)</f>
        <v>29.881225000000001</v>
      </c>
      <c r="AV2850" s="8">
        <f ca="1">IFERROR(__xludf.DUMMYFUNCTION("""COMPUTED_VALUE"""),-95.677228)</f>
        <v>-95.677227999999999</v>
      </c>
      <c r="AW2850" s="8"/>
      <c r="AX2850" s="8">
        <f ca="1">IFERROR(__xludf.DUMMYFUNCTION("""COMPUTED_VALUE"""),77095)</f>
        <v>77095</v>
      </c>
    </row>
    <row r="2851" spans="1:50" ht="75" x14ac:dyDescent="0.2">
      <c r="A2851" s="8" t="str">
        <f ca="1">IFERROR(__xludf.DUMMYFUNCTION("""COMPUTED_VALUE"""),"19850909TXWHH")</f>
        <v>19850909TXWHH</v>
      </c>
      <c r="B2851" s="8">
        <f ca="1">IFERROR(__xludf.DUMMYFUNCTION("""COMPUTED_VALUE"""),9)</f>
        <v>9</v>
      </c>
      <c r="C2851" s="8">
        <f ca="1">IFERROR(__xludf.DUMMYFUNCTION("""COMPUTED_VALUE"""),9)</f>
        <v>9</v>
      </c>
      <c r="D2851" s="8">
        <f ca="1">IFERROR(__xludf.DUMMYFUNCTION("""COMPUTED_VALUE"""),1985)</f>
        <v>1985</v>
      </c>
      <c r="E2851" s="9">
        <f ca="1">IFERROR(__xludf.DUMMYFUNCTION("""COMPUTED_VALUE"""),31299)</f>
        <v>31299</v>
      </c>
      <c r="F2851" s="8" t="str">
        <f ca="1">IFERROR(__xludf.DUMMYFUNCTION("""COMPUTED_VALUE"""),"Wheatley High School")</f>
        <v>Wheatley High School</v>
      </c>
      <c r="G2851" s="8">
        <f ca="1">IFERROR(__xludf.DUMMYFUNCTION("""COMPUTED_VALUE"""),0)</f>
        <v>0</v>
      </c>
      <c r="H2851" s="8">
        <f ca="1">IFERROR(__xludf.DUMMYFUNCTION("""COMPUTED_VALUE"""),1)</f>
        <v>1</v>
      </c>
      <c r="I2851" s="8">
        <f ca="1">IFERROR(__xludf.DUMMYFUNCTION("""COMPUTED_VALUE"""),1)</f>
        <v>1</v>
      </c>
      <c r="J2851" s="8">
        <f ca="1">IFERROR(__xludf.DUMMYFUNCTION("""COMPUTED_VALUE"""),0)</f>
        <v>0</v>
      </c>
      <c r="K2851" s="10" t="str">
        <f ca="1">IFERROR(__xludf.DUMMYFUNCTION("""COMPUTED_VALUE"""),"https://www.newspapers.com/image/310187745/?terms=Wheatley%2BHigh%2BSchool%2Bshooting")</f>
        <v>https://www.newspapers.com/image/310187745/?terms=Wheatley%2BHigh%2BSchool%2Bshooting</v>
      </c>
      <c r="L2851" s="8"/>
      <c r="M2851" s="8"/>
      <c r="N2851" s="8">
        <f ca="1">IFERROR(__xludf.DUMMYFUNCTION("""COMPUTED_VALUE"""),2)</f>
        <v>2</v>
      </c>
      <c r="O2851" s="8" t="str">
        <f ca="1">IFERROR(__xludf.DUMMYFUNCTION("""COMPUTED_VALUE"""),"Fall")</f>
        <v>Fall</v>
      </c>
      <c r="P2851" s="8" t="str">
        <f ca="1">IFERROR(__xludf.DUMMYFUNCTION("""COMPUTED_VALUE"""),"Houston")</f>
        <v>Houston</v>
      </c>
      <c r="Q2851" s="8" t="str">
        <f ca="1">IFERROR(__xludf.DUMMYFUNCTION("""COMPUTED_VALUE"""),"TX")</f>
        <v>TX</v>
      </c>
      <c r="R2851" s="8" t="str">
        <f ca="1">IFERROR(__xludf.DUMMYFUNCTION("""COMPUTED_VALUE"""),"High")</f>
        <v>High</v>
      </c>
      <c r="S2851" s="8" t="str">
        <f ca="1">IFERROR(__xludf.DUMMYFUNCTION("""COMPUTED_VALUE"""),"Cafeteria")</f>
        <v>Cafeteria</v>
      </c>
      <c r="T2851" s="8" t="str">
        <f ca="1">IFERROR(__xludf.DUMMYFUNCTION("""COMPUTED_VALUE"""),"Inside School Building")</f>
        <v>Inside School Building</v>
      </c>
      <c r="U2851" s="8" t="str">
        <f ca="1">IFERROR(__xludf.DUMMYFUNCTION("""COMPUTED_VALUE"""),"Yes")</f>
        <v>Yes</v>
      </c>
      <c r="V2851" s="8" t="str">
        <f ca="1">IFERROR(__xludf.DUMMYFUNCTION("""COMPUTED_VALUE"""),"After School")</f>
        <v>After School</v>
      </c>
      <c r="W2851" s="8"/>
      <c r="X2851" s="8">
        <f ca="1">IFERROR(__xludf.DUMMYFUNCTION("""COMPUTED_VALUE"""),1)</f>
        <v>1</v>
      </c>
      <c r="Y2851" s="12" t="str">
        <f ca="1">IFERROR(__xludf.DUMMYFUNCTION("""COMPUTED_VALUE"""),"Teacher was shot during confrontation with 3 non-students in cafeteria")</f>
        <v>Teacher was shot during confrontation with 3 non-students in cafeteria</v>
      </c>
      <c r="Z2851" s="12" t="str">
        <f ca="1">IFERROR(__xludf.DUMMYFUNCTION("""COMPUTED_VALUE"""),"3 non-student teens shot a 34YOM teacher in the cafeteria after school during a confrontation in front of 10 other students during drill team practice. The three youths had prior conflicts with the teacher. Shooting occured 10 minutes after school ended.")</f>
        <v>3 non-student teens shot a 34YOM teacher in the cafeteria after school during a confrontation in front of 10 other students during drill team practice. The three youths had prior conflicts with the teacher. Shooting occured 10 minutes after school ended.</v>
      </c>
      <c r="AA2851" s="8" t="str">
        <f ca="1">IFERROR(__xludf.DUMMYFUNCTION("""COMPUTED_VALUE"""),"Escalation of Dispute")</f>
        <v>Escalation of Dispute</v>
      </c>
      <c r="AB2851" s="8"/>
      <c r="AC2851" s="8"/>
      <c r="AD2851" s="8" t="str">
        <f ca="1">IFERROR(__xludf.DUMMYFUNCTION("""COMPUTED_VALUE"""),"Victims Targeted")</f>
        <v>Victims Targeted</v>
      </c>
      <c r="AE2851" s="8" t="str">
        <f ca="1">IFERROR(__xludf.DUMMYFUNCTION("""COMPUTED_VALUE"""),"Yes")</f>
        <v>Yes</v>
      </c>
      <c r="AF2851" s="8" t="str">
        <f ca="1">IFERROR(__xludf.DUMMYFUNCTION("""COMPUTED_VALUE"""),"3 non-students")</f>
        <v>3 non-students</v>
      </c>
      <c r="AG2851" s="8" t="str">
        <f ca="1">IFERROR(__xludf.DUMMYFUNCTION("""COMPUTED_VALUE"""),"No")</f>
        <v>No</v>
      </c>
      <c r="AH2851" s="8" t="str">
        <f ca="1">IFERROR(__xludf.DUMMYFUNCTION("""COMPUTED_VALUE"""),"No")</f>
        <v>No</v>
      </c>
      <c r="AI2851" s="8" t="str">
        <f ca="1">IFERROR(__xludf.DUMMYFUNCTION("""COMPUTED_VALUE"""),"No")</f>
        <v>No</v>
      </c>
      <c r="AJ2851" s="8" t="str">
        <f ca="1">IFERROR(__xludf.DUMMYFUNCTION("""COMPUTED_VALUE"""),"No")</f>
        <v>No</v>
      </c>
      <c r="AK2851" s="8" t="str">
        <f ca="1">IFERROR(__xludf.DUMMYFUNCTION("""COMPUTED_VALUE"""),"No")</f>
        <v>No</v>
      </c>
      <c r="AL2851" s="8" t="str">
        <f ca="1">IFERROR(__xludf.DUMMYFUNCTION("""COMPUTED_VALUE"""),"No")</f>
        <v>No</v>
      </c>
      <c r="AM2851" s="8"/>
      <c r="AN2851" s="8"/>
      <c r="AO2851" s="8" t="str">
        <f ca="1">IFERROR(__xludf.DUMMYFUNCTION("""COMPUTED_VALUE"""),"No")</f>
        <v>No</v>
      </c>
      <c r="AP2851" s="8"/>
      <c r="AQ2851" s="8" t="str">
        <f ca="1">IFERROR(__xludf.DUMMYFUNCTION("""COMPUTED_VALUE"""),"Unknown")</f>
        <v>Unknown</v>
      </c>
      <c r="AR2851" s="8" t="str">
        <f ca="1">IFERROR(__xludf.DUMMYFUNCTION("""COMPUTED_VALUE"""),"NA")</f>
        <v>NA</v>
      </c>
      <c r="AS2851" s="8">
        <f ca="1">IFERROR(__xludf.DUMMYFUNCTION("""COMPUTED_VALUE"""),1)</f>
        <v>1</v>
      </c>
      <c r="AT2851" s="8"/>
      <c r="AU2851" s="8">
        <f ca="1">IFERROR(__xludf.DUMMYFUNCTION("""COMPUTED_VALUE"""),29.771599)</f>
        <v>29.771598999999998</v>
      </c>
      <c r="AV2851" s="8">
        <f ca="1">IFERROR(__xludf.DUMMYFUNCTION("""COMPUTED_VALUE"""),-95.319944)</f>
        <v>-95.319944000000007</v>
      </c>
      <c r="AW2851" s="8"/>
      <c r="AX2851" s="8">
        <f ca="1">IFERROR(__xludf.DUMMYFUNCTION("""COMPUTED_VALUE"""),77020)</f>
        <v>77020</v>
      </c>
    </row>
    <row r="2852" spans="1:50" ht="165" x14ac:dyDescent="0.2">
      <c r="A2852" s="8" t="str">
        <f ca="1">IFERROR(__xludf.DUMMYFUNCTION("""COMPUTED_VALUE"""),"19850904VAEAR")</f>
        <v>19850904VAEAR</v>
      </c>
      <c r="B2852" s="8">
        <f ca="1">IFERROR(__xludf.DUMMYFUNCTION("""COMPUTED_VALUE"""),9)</f>
        <v>9</v>
      </c>
      <c r="C2852" s="8">
        <f ca="1">IFERROR(__xludf.DUMMYFUNCTION("""COMPUTED_VALUE"""),4)</f>
        <v>4</v>
      </c>
      <c r="D2852" s="8">
        <f ca="1">IFERROR(__xludf.DUMMYFUNCTION("""COMPUTED_VALUE"""),1985)</f>
        <v>1985</v>
      </c>
      <c r="E2852" s="9">
        <f ca="1">IFERROR(__xludf.DUMMYFUNCTION("""COMPUTED_VALUE"""),31294)</f>
        <v>31294</v>
      </c>
      <c r="F2852" s="8" t="str">
        <f ca="1">IFERROR(__xludf.DUMMYFUNCTION("""COMPUTED_VALUE"""),"East End Middle School (bus)")</f>
        <v>East End Middle School (bus)</v>
      </c>
      <c r="G2852" s="8">
        <f ca="1">IFERROR(__xludf.DUMMYFUNCTION("""COMPUTED_VALUE"""),0)</f>
        <v>0</v>
      </c>
      <c r="H2852" s="8">
        <f ca="1">IFERROR(__xludf.DUMMYFUNCTION("""COMPUTED_VALUE"""),1)</f>
        <v>1</v>
      </c>
      <c r="I2852" s="8">
        <f ca="1">IFERROR(__xludf.DUMMYFUNCTION("""COMPUTED_VALUE"""),1)</f>
        <v>1</v>
      </c>
      <c r="J2852" s="8">
        <f ca="1">IFERROR(__xludf.DUMMYFUNCTION("""COMPUTED_VALUE"""),0)</f>
        <v>0</v>
      </c>
      <c r="K2852" s="10" t="str">
        <f ca="1">IFERROR(__xludf.DUMMYFUNCTION("""COMPUTED_VALUE"""),"https://www.apnews.com/2230ba54081db004aff5288eb8885c96")</f>
        <v>https://www.apnews.com/2230ba54081db004aff5288eb8885c96</v>
      </c>
      <c r="L2852" s="8">
        <f ca="1">IFERROR(__xludf.DUMMYFUNCTION("""COMPUTED_VALUE"""),2)</f>
        <v>2</v>
      </c>
      <c r="M2852" s="8" t="str">
        <f ca="1">IFERROR(__xludf.DUMMYFUNCTION("""COMPUTED_VALUE"""),"Local")</f>
        <v>Local</v>
      </c>
      <c r="N2852" s="8">
        <f ca="1">IFERROR(__xludf.DUMMYFUNCTION("""COMPUTED_VALUE"""),2)</f>
        <v>2</v>
      </c>
      <c r="O2852" s="8" t="str">
        <f ca="1">IFERROR(__xludf.DUMMYFUNCTION("""COMPUTED_VALUE"""),"Fall")</f>
        <v>Fall</v>
      </c>
      <c r="P2852" s="8" t="str">
        <f ca="1">IFERROR(__xludf.DUMMYFUNCTION("""COMPUTED_VALUE"""),"Richmond")</f>
        <v>Richmond</v>
      </c>
      <c r="Q2852" s="8" t="str">
        <f ca="1">IFERROR(__xludf.DUMMYFUNCTION("""COMPUTED_VALUE"""),"VA")</f>
        <v>VA</v>
      </c>
      <c r="R2852" s="8" t="str">
        <f ca="1">IFERROR(__xludf.DUMMYFUNCTION("""COMPUTED_VALUE"""),"Middle")</f>
        <v>Middle</v>
      </c>
      <c r="S2852" s="8" t="str">
        <f ca="1">IFERROR(__xludf.DUMMYFUNCTION("""COMPUTED_VALUE"""),"School Bus")</f>
        <v>School Bus</v>
      </c>
      <c r="T2852" s="8" t="str">
        <f ca="1">IFERROR(__xludf.DUMMYFUNCTION("""COMPUTED_VALUE"""),"School Bus")</f>
        <v>School Bus</v>
      </c>
      <c r="U2852" s="8" t="str">
        <f ca="1">IFERROR(__xludf.DUMMYFUNCTION("""COMPUTED_VALUE"""),"No")</f>
        <v>No</v>
      </c>
      <c r="V2852" s="8" t="str">
        <f ca="1">IFERROR(__xludf.DUMMYFUNCTION("""COMPUTED_VALUE"""),"After School")</f>
        <v>After School</v>
      </c>
      <c r="W2852" s="8"/>
      <c r="X2852" s="8">
        <f ca="1">IFERROR(__xludf.DUMMYFUNCTION("""COMPUTED_VALUE"""),1)</f>
        <v>1</v>
      </c>
      <c r="Y2852" s="12" t="str">
        <f ca="1">IFERROR(__xludf.DUMMYFUNCTION("""COMPUTED_VALUE"""),"Student pointed empty gun at multiple students on the bus; they taunted him and said he wouldn't shoot for real; shooter loaded the gun and fired one shot striking a female student")</f>
        <v>Student pointed empty gun at multiple students on the bus; they taunted him and said he wouldn't shoot for real; shooter loaded the gun and fired one shot striking a female student</v>
      </c>
      <c r="Z2852" s="12" t="str">
        <f ca="1">IFERROR(__xludf.DUMMYFUNCTION("""COMPUTED_VALUE"""),"14YOF shot on the school bus by a 12YOM student. Shooter was dry firing the gun on the bus. Female student said ""you won't shoot me"". Shoot pointed gun at her and fired. Shooter yelled ""I shot her 3/8"". Student then shot twice at bus driver and fled o"&amp;"ut of the back door of the bus. Shooter was seeing psychiatrist and mother took him to see the psychiatrist when she learned about the shooting that afternoon rather than telling police. Psychiatrist informed police. Gun was taken from family friend.")</f>
        <v>14YOF shot on the school bus by a 12YOM student. Shooter was dry firing the gun on the bus. Female student said "you won't shoot me". Shoot pointed gun at her and fired. Shooter yelled "I shot her 3/8". Student then shot twice at bus driver and fled out of the back door of the bus. Shooter was seeing psychiatrist and mother took him to see the psychiatrist when she learned about the shooting that afternoon rather than telling police. Psychiatrist informed police. Gun was taken from family friend.</v>
      </c>
      <c r="AA2852" s="8" t="str">
        <f ca="1">IFERROR(__xludf.DUMMYFUNCTION("""COMPUTED_VALUE"""),"Psychosis")</f>
        <v>Psychosis</v>
      </c>
      <c r="AB2852" s="8"/>
      <c r="AC2852" s="8"/>
      <c r="AD2852" s="8" t="str">
        <f ca="1">IFERROR(__xludf.DUMMYFUNCTION("""COMPUTED_VALUE"""),"Random Shooting")</f>
        <v>Random Shooting</v>
      </c>
      <c r="AE2852" s="8" t="str">
        <f ca="1">IFERROR(__xludf.DUMMYFUNCTION("""COMPUTED_VALUE"""),"No")</f>
        <v>No</v>
      </c>
      <c r="AF2852" s="8"/>
      <c r="AG2852" s="8" t="str">
        <f ca="1">IFERROR(__xludf.DUMMYFUNCTION("""COMPUTED_VALUE"""),"No")</f>
        <v>No</v>
      </c>
      <c r="AH2852" s="8" t="str">
        <f ca="1">IFERROR(__xludf.DUMMYFUNCTION("""COMPUTED_VALUE"""),"No")</f>
        <v>No</v>
      </c>
      <c r="AI2852" s="8" t="str">
        <f ca="1">IFERROR(__xludf.DUMMYFUNCTION("""COMPUTED_VALUE"""),"No")</f>
        <v>No</v>
      </c>
      <c r="AJ2852" s="8"/>
      <c r="AK2852" s="8" t="str">
        <f ca="1">IFERROR(__xludf.DUMMYFUNCTION("""COMPUTED_VALUE"""),"No")</f>
        <v>No</v>
      </c>
      <c r="AL2852" s="8" t="str">
        <f ca="1">IFERROR(__xludf.DUMMYFUNCTION("""COMPUTED_VALUE"""),"No")</f>
        <v>No</v>
      </c>
      <c r="AM2852" s="8"/>
      <c r="AN2852" s="8"/>
      <c r="AO2852" s="8" t="str">
        <f ca="1">IFERROR(__xludf.DUMMYFUNCTION("""COMPUTED_VALUE"""),"No")</f>
        <v>No</v>
      </c>
      <c r="AP2852" s="8"/>
      <c r="AQ2852" s="8" t="str">
        <f ca="1">IFERROR(__xludf.DUMMYFUNCTION("""COMPUTED_VALUE"""),"None")</f>
        <v>None</v>
      </c>
      <c r="AR2852" s="8" t="str">
        <f ca="1">IFERROR(__xludf.DUMMYFUNCTION("""COMPUTED_VALUE"""),"Outside/Off-Property")</f>
        <v>Outside/Off-Property</v>
      </c>
      <c r="AS2852" s="8">
        <f ca="1">IFERROR(__xludf.DUMMYFUNCTION("""COMPUTED_VALUE"""),3)</f>
        <v>3</v>
      </c>
      <c r="AT2852" s="8"/>
      <c r="AU2852" s="8">
        <f ca="1">IFERROR(__xludf.DUMMYFUNCTION("""COMPUTED_VALUE"""),37.528638)</f>
        <v>37.528638000000001</v>
      </c>
      <c r="AV2852" s="8">
        <f ca="1">IFERROR(__xludf.DUMMYFUNCTION("""COMPUTED_VALUE"""),-77.403712)</f>
        <v>-77.403711999999999</v>
      </c>
      <c r="AW2852" s="8"/>
      <c r="AX2852" s="8">
        <f ca="1">IFERROR(__xludf.DUMMYFUNCTION("""COMPUTED_VALUE"""),23223)</f>
        <v>23223</v>
      </c>
    </row>
    <row r="2853" spans="1:50" ht="75" x14ac:dyDescent="0.2">
      <c r="A2853" s="8" t="str">
        <f ca="1">IFERROR(__xludf.DUMMYFUNCTION("""COMPUTED_VALUE"""),"19850724TXHIH")</f>
        <v>19850724TXHIH</v>
      </c>
      <c r="B2853" s="8">
        <f ca="1">IFERROR(__xludf.DUMMYFUNCTION("""COMPUTED_VALUE"""),7)</f>
        <v>7</v>
      </c>
      <c r="C2853" s="8">
        <f ca="1">IFERROR(__xludf.DUMMYFUNCTION("""COMPUTED_VALUE"""),24)</f>
        <v>24</v>
      </c>
      <c r="D2853" s="8">
        <f ca="1">IFERROR(__xludf.DUMMYFUNCTION("""COMPUTED_VALUE"""),1985)</f>
        <v>1985</v>
      </c>
      <c r="E2853" s="9">
        <f ca="1">IFERROR(__xludf.DUMMYFUNCTION("""COMPUTED_VALUE"""),31252)</f>
        <v>31252</v>
      </c>
      <c r="F2853" s="8" t="str">
        <f ca="1">IFERROR(__xludf.DUMMYFUNCTION("""COMPUTED_VALUE"""),"Highland Park High School")</f>
        <v>Highland Park High School</v>
      </c>
      <c r="G2853" s="8">
        <f ca="1">IFERROR(__xludf.DUMMYFUNCTION("""COMPUTED_VALUE"""),0)</f>
        <v>0</v>
      </c>
      <c r="H2853" s="8">
        <f ca="1">IFERROR(__xludf.DUMMYFUNCTION("""COMPUTED_VALUE"""),1)</f>
        <v>1</v>
      </c>
      <c r="I2853" s="8">
        <f ca="1">IFERROR(__xludf.DUMMYFUNCTION("""COMPUTED_VALUE"""),1)</f>
        <v>1</v>
      </c>
      <c r="J2853" s="8">
        <f ca="1">IFERROR(__xludf.DUMMYFUNCTION("""COMPUTED_VALUE"""),0)</f>
        <v>0</v>
      </c>
      <c r="K2853" s="8" t="str">
        <f ca="1">IFERROR(__xludf.DUMMYFUNCTION("""COMPUTED_VALUE"""),"https://www.leagle.com/decision/19761091540sw2d55111042.xml   https://www.newspapers.com/image/378430786/?terms=highland%2Bpark%2Bhigh%2Bschool  https://www.newspapers.com/image/193667885/?terms=huey%2Bward%2BIII")</f>
        <v>https://www.leagle.com/decision/19761091540sw2d55111042.xml   https://www.newspapers.com/image/378430786/?terms=highland%2Bpark%2Bhigh%2Bschool  https://www.newspapers.com/image/193667885/?terms=huey%2Bward%2BIII</v>
      </c>
      <c r="L2853" s="8"/>
      <c r="M2853" s="8"/>
      <c r="N2853" s="8">
        <f ca="1">IFERROR(__xludf.DUMMYFUNCTION("""COMPUTED_VALUE"""),2)</f>
        <v>2</v>
      </c>
      <c r="O2853" s="8" t="str">
        <f ca="1">IFERROR(__xludf.DUMMYFUNCTION("""COMPUTED_VALUE"""),"Summer")</f>
        <v>Summer</v>
      </c>
      <c r="P2853" s="8" t="str">
        <f ca="1">IFERROR(__xludf.DUMMYFUNCTION("""COMPUTED_VALUE"""),"Highland Park")</f>
        <v>Highland Park</v>
      </c>
      <c r="Q2853" s="8" t="str">
        <f ca="1">IFERROR(__xludf.DUMMYFUNCTION("""COMPUTED_VALUE"""),"TX")</f>
        <v>TX</v>
      </c>
      <c r="R2853" s="8" t="str">
        <f ca="1">IFERROR(__xludf.DUMMYFUNCTION("""COMPUTED_VALUE"""),"High")</f>
        <v>High</v>
      </c>
      <c r="S2853" s="8" t="str">
        <f ca="1">IFERROR(__xludf.DUMMYFUNCTION("""COMPUTED_VALUE"""),"Parking Lot")</f>
        <v>Parking Lot</v>
      </c>
      <c r="T2853" s="8" t="str">
        <f ca="1">IFERROR(__xludf.DUMMYFUNCTION("""COMPUTED_VALUE"""),"Outside on School Property")</f>
        <v>Outside on School Property</v>
      </c>
      <c r="U2853" s="8" t="str">
        <f ca="1">IFERROR(__xludf.DUMMYFUNCTION("""COMPUTED_VALUE"""),"Yes")</f>
        <v>Yes</v>
      </c>
      <c r="V2853" s="8" t="str">
        <f ca="1">IFERROR(__xludf.DUMMYFUNCTION("""COMPUTED_VALUE"""),"Morning Classes")</f>
        <v>Morning Classes</v>
      </c>
      <c r="W2853" s="11">
        <f ca="1">IFERROR(__xludf.DUMMYFUNCTION("""COMPUTED_VALUE"""),0.395833333333333)</f>
        <v>0.39583333333333298</v>
      </c>
      <c r="X2853" s="8">
        <f ca="1">IFERROR(__xludf.DUMMYFUNCTION("""COMPUTED_VALUE"""),1)</f>
        <v>1</v>
      </c>
      <c r="Y2853" s="12" t="str">
        <f ca="1">IFERROR(__xludf.DUMMYFUNCTION("""COMPUTED_VALUE"""),"Neighbor was angry about students driving too fast by her house")</f>
        <v>Neighbor was angry about students driving too fast by her house</v>
      </c>
      <c r="Z2853" s="12" t="str">
        <f ca="1">IFERROR(__xludf.DUMMYFUNCTION("""COMPUTED_VALUE"""),"65YOF was angry about students driving too fast by her house. She called school to complain and went to school to yell at students. One day she confronted students in the parking lot and fired a shot striking on in the arm during the dispute. Arrested and"&amp;" charged with attempted murder.")</f>
        <v>65YOF was angry about students driving too fast by her house. She called school to complain and went to school to yell at students. One day she confronted students in the parking lot and fired a shot striking on in the arm during the dispute. Arrested and charged with attempted murder.</v>
      </c>
      <c r="AA2853" s="8" t="str">
        <f ca="1">IFERROR(__xludf.DUMMYFUNCTION("""COMPUTED_VALUE"""),"Escalation of Dispute")</f>
        <v>Escalation of Dispute</v>
      </c>
      <c r="AB2853" s="8"/>
      <c r="AC2853" s="8"/>
      <c r="AD2853" s="8" t="str">
        <f ca="1">IFERROR(__xludf.DUMMYFUNCTION("""COMPUTED_VALUE"""),"Victims Targeted")</f>
        <v>Victims Targeted</v>
      </c>
      <c r="AE2853" s="8"/>
      <c r="AF2853" s="8"/>
      <c r="AG2853" s="8" t="str">
        <f ca="1">IFERROR(__xludf.DUMMYFUNCTION("""COMPUTED_VALUE"""),"No")</f>
        <v>No</v>
      </c>
      <c r="AH2853" s="8" t="str">
        <f ca="1">IFERROR(__xludf.DUMMYFUNCTION("""COMPUTED_VALUE"""),"No")</f>
        <v>No</v>
      </c>
      <c r="AI2853" s="8" t="str">
        <f ca="1">IFERROR(__xludf.DUMMYFUNCTION("""COMPUTED_VALUE"""),"No")</f>
        <v>No</v>
      </c>
      <c r="AJ2853" s="8" t="str">
        <f ca="1">IFERROR(__xludf.DUMMYFUNCTION("""COMPUTED_VALUE"""),"No")</f>
        <v>No</v>
      </c>
      <c r="AK2853" s="8" t="str">
        <f ca="1">IFERROR(__xludf.DUMMYFUNCTION("""COMPUTED_VALUE"""),"No")</f>
        <v>No</v>
      </c>
      <c r="AL2853" s="8" t="str">
        <f ca="1">IFERROR(__xludf.DUMMYFUNCTION("""COMPUTED_VALUE"""),"No")</f>
        <v>No</v>
      </c>
      <c r="AM2853" s="8"/>
      <c r="AN2853" s="8"/>
      <c r="AO2853" s="8" t="str">
        <f ca="1">IFERROR(__xludf.DUMMYFUNCTION("""COMPUTED_VALUE"""),"No")</f>
        <v>No</v>
      </c>
      <c r="AP2853" s="8"/>
      <c r="AQ2853" s="8" t="str">
        <f ca="1">IFERROR(__xludf.DUMMYFUNCTION("""COMPUTED_VALUE"""),"Unknown")</f>
        <v>Unknown</v>
      </c>
      <c r="AR2853" s="8" t="str">
        <f ca="1">IFERROR(__xludf.DUMMYFUNCTION("""COMPUTED_VALUE"""),"NA")</f>
        <v>NA</v>
      </c>
      <c r="AS2853" s="8">
        <f ca="1">IFERROR(__xludf.DUMMYFUNCTION("""COMPUTED_VALUE"""),1)</f>
        <v>1</v>
      </c>
      <c r="AT2853" s="8"/>
      <c r="AU2853" s="8">
        <f ca="1">IFERROR(__xludf.DUMMYFUNCTION("""COMPUTED_VALUE"""),32.847363)</f>
        <v>32.847363000000001</v>
      </c>
      <c r="AV2853" s="8">
        <f ca="1">IFERROR(__xludf.DUMMYFUNCTION("""COMPUTED_VALUE"""),-96.80777)</f>
        <v>-96.807770000000005</v>
      </c>
      <c r="AW2853" s="8"/>
      <c r="AX2853" s="8">
        <f ca="1">IFERROR(__xludf.DUMMYFUNCTION("""COMPUTED_VALUE"""),75205)</f>
        <v>75205</v>
      </c>
    </row>
    <row r="2854" spans="1:50" ht="409.5" x14ac:dyDescent="0.2">
      <c r="A2854" s="8" t="str">
        <f ca="1">IFERROR(__xludf.DUMMYFUNCTION("""COMPUTED_VALUE"""),"19850521ALALS")</f>
        <v>19850521ALALS</v>
      </c>
      <c r="B2854" s="8">
        <f ca="1">IFERROR(__xludf.DUMMYFUNCTION("""COMPUTED_VALUE"""),5)</f>
        <v>5</v>
      </c>
      <c r="C2854" s="8">
        <f ca="1">IFERROR(__xludf.DUMMYFUNCTION("""COMPUTED_VALUE"""),21)</f>
        <v>21</v>
      </c>
      <c r="D2854" s="8">
        <f ca="1">IFERROR(__xludf.DUMMYFUNCTION("""COMPUTED_VALUE"""),1985)</f>
        <v>1985</v>
      </c>
      <c r="E2854" s="9">
        <f ca="1">IFERROR(__xludf.DUMMYFUNCTION("""COMPUTED_VALUE"""),31188)</f>
        <v>31188</v>
      </c>
      <c r="F2854" s="8" t="str">
        <f ca="1">IFERROR(__xludf.DUMMYFUNCTION("""COMPUTED_VALUE"""),"Albert P. Brewer High School")</f>
        <v>Albert P. Brewer High School</v>
      </c>
      <c r="G2854" s="8">
        <f ca="1">IFERROR(__xludf.DUMMYFUNCTION("""COMPUTED_VALUE"""),1)</f>
        <v>1</v>
      </c>
      <c r="H2854" s="8">
        <f ca="1">IFERROR(__xludf.DUMMYFUNCTION("""COMPUTED_VALUE"""),0)</f>
        <v>0</v>
      </c>
      <c r="I2854" s="8">
        <f ca="1">IFERROR(__xludf.DUMMYFUNCTION("""COMPUTED_VALUE"""),1)</f>
        <v>1</v>
      </c>
      <c r="J2854" s="8">
        <f ca="1">IFERROR(__xludf.DUMMYFUNCTION("""COMPUTED_VALUE"""),0)</f>
        <v>0</v>
      </c>
      <c r="K2854" s="10" t="str">
        <f ca="1">IFERROR(__xludf.DUMMYFUNCTION("""COMPUTED_VALUE"""),"https://whnt.com/news/decatur/morgan-county-sheriffs-deputy-remembered-for-giving-life-to-prevent-possible-1985-school-shooting/")</f>
        <v>https://whnt.com/news/decatur/morgan-county-sheriffs-deputy-remembered-for-giving-life-to-prevent-possible-1985-school-shooting/</v>
      </c>
      <c r="L2854" s="8">
        <f ca="1">IFERROR(__xludf.DUMMYFUNCTION("""COMPUTED_VALUE"""),1)</f>
        <v>1</v>
      </c>
      <c r="M2854" s="8" t="str">
        <f ca="1">IFERROR(__xludf.DUMMYFUNCTION("""COMPUTED_VALUE"""),"Local")</f>
        <v>Local</v>
      </c>
      <c r="N2854" s="8">
        <f ca="1">IFERROR(__xludf.DUMMYFUNCTION("""COMPUTED_VALUE"""),4)</f>
        <v>4</v>
      </c>
      <c r="O2854" s="8" t="str">
        <f ca="1">IFERROR(__xludf.DUMMYFUNCTION("""COMPUTED_VALUE"""),"Spring")</f>
        <v>Spring</v>
      </c>
      <c r="P2854" s="8" t="str">
        <f ca="1">IFERROR(__xludf.DUMMYFUNCTION("""COMPUTED_VALUE"""),"Somerville")</f>
        <v>Somerville</v>
      </c>
      <c r="Q2854" s="8" t="str">
        <f ca="1">IFERROR(__xludf.DUMMYFUNCTION("""COMPUTED_VALUE"""),"AL")</f>
        <v>AL</v>
      </c>
      <c r="R2854" s="8" t="str">
        <f ca="1">IFERROR(__xludf.DUMMYFUNCTION("""COMPUTED_VALUE"""),"High")</f>
        <v>High</v>
      </c>
      <c r="S2854" s="8" t="str">
        <f ca="1">IFERROR(__xludf.DUMMYFUNCTION("""COMPUTED_VALUE"""),"Front of School")</f>
        <v>Front of School</v>
      </c>
      <c r="T2854" s="8" t="str">
        <f ca="1">IFERROR(__xludf.DUMMYFUNCTION("""COMPUTED_VALUE"""),"Outside on School Property")</f>
        <v>Outside on School Property</v>
      </c>
      <c r="U2854" s="8" t="str">
        <f ca="1">IFERROR(__xludf.DUMMYFUNCTION("""COMPUTED_VALUE"""),"Yes")</f>
        <v>Yes</v>
      </c>
      <c r="V2854" s="8" t="str">
        <f ca="1">IFERROR(__xludf.DUMMYFUNCTION("""COMPUTED_VALUE"""),"Afternoon Classes")</f>
        <v>Afternoon Classes</v>
      </c>
      <c r="W2854" s="11">
        <f ca="1">IFERROR(__xludf.DUMMYFUNCTION("""COMPUTED_VALUE"""),0.552777777777777)</f>
        <v>0.55277777777777704</v>
      </c>
      <c r="X2854" s="8">
        <f ca="1">IFERROR(__xludf.DUMMYFUNCTION("""COMPUTED_VALUE"""),1)</f>
        <v>1</v>
      </c>
      <c r="Y2854" s="12" t="str">
        <f ca="1">IFERROR(__xludf.DUMMYFUNCTION("""COMPUTED_VALUE"""),"Former student planned attack, shot deputy who stopped his vehicle in front of the school and then fled")</f>
        <v>Former student planned attack, shot deputy who stopped his vehicle in front of the school and then fled</v>
      </c>
      <c r="Z2854" s="12" t="str">
        <f ca="1">IFERROR(__xludf.DUMMYFUNCTION("""COMPUTED_VALUE"""),"According to the MCSO, Deputy Biles interacted with a vehicle near A.P. Brewer High School at around 8:28 a.m. on May 21, 1985. That vehicle eventually left the area, but Biles noticed the vehicle again at around 1:16 p.m. Four minutes later, Deputy Biles"&amp;" radioed in, stating he had been shot and needed assistance. He had reportedly approached the driver’s side of the suspicious vehicle to ask for their ID when he saw the barrel of a semi-automatic rifle. While trying to push the barrel of the gun away fro"&amp;"m his head and toward the driver, authorities say Biles heard a click. “As he reached for the barrel, he heard a “click” but did not know if it was the safety or the hammer on the weapon. Just as he touched the barrel, he heard the weapon fire and felt hi"&amp;"s chest burn,” the MCSO said in their post remembering Biles. The vehicle was driving away, but not before it is said Deputy Biles got a few shots in and even hit the suspect’s gas tank, causing him to run out of gas in Cullman County. Cullman County auth"&amp;"orities were notified by a couple who had been listening to scanners that the out-of-gas vehicle was at Hebron Church. A Cullman County Deputy and a Blount County Deputy approached the car and the suspect, directing them to throw the weapon and exit the c"&amp;"ar. It was reported that the suspect was a minor and former Brewer High student armed with a semi-automatic rifle, two rifle clips, 372 rounds of ammunition and a knife and dealing with mental health issues. That subject was later convicted on capital mur"&amp;"der charges but committed suicide in prison in 1989.")</f>
        <v>According to the MCSO, Deputy Biles interacted with a vehicle near A.P. Brewer High School at around 8:28 a.m. on May 21, 1985. That vehicle eventually left the area, but Biles noticed the vehicle again at around 1:16 p.m. Four minutes later, Deputy Biles radioed in, stating he had been shot and needed assistance. He had reportedly approached the driver’s side of the suspicious vehicle to ask for their ID when he saw the barrel of a semi-automatic rifle. While trying to push the barrel of the gun away from his head and toward the driver, authorities say Biles heard a click. “As he reached for the barrel, he heard a “click” but did not know if it was the safety or the hammer on the weapon. Just as he touched the barrel, he heard the weapon fire and felt his chest burn,” the MCSO said in their post remembering Biles. The vehicle was driving away, but not before it is said Deputy Biles got a few shots in and even hit the suspect’s gas tank, causing him to run out of gas in Cullman County. Cullman County authorities were notified by a couple who had been listening to scanners that the out-of-gas vehicle was at Hebron Church. A Cullman County Deputy and a Blount County Deputy approached the car and the suspect, directing them to throw the weapon and exit the car. It was reported that the suspect was a minor and former Brewer High student armed with a semi-automatic rifle, two rifle clips, 372 rounds of ammunition and a knife and dealing with mental health issues. That subject was later convicted on capital murder charges but committed suicide in prison in 1989.</v>
      </c>
      <c r="AA2854" s="8" t="str">
        <f ca="1">IFERROR(__xludf.DUMMYFUNCTION("""COMPUTED_VALUE"""),"Indiscriminate Shooting")</f>
        <v>Indiscriminate Shooting</v>
      </c>
      <c r="AB2854" s="8"/>
      <c r="AC2854" s="8" t="str">
        <f ca="1">IFERROR(__xludf.DUMMYFUNCTION("""COMPUTED_VALUE"""),"Yes")</f>
        <v>Yes</v>
      </c>
      <c r="AD2854" s="8" t="str">
        <f ca="1">IFERROR(__xludf.DUMMYFUNCTION("""COMPUTED_VALUE"""),"Both")</f>
        <v>Both</v>
      </c>
      <c r="AE2854" s="8" t="str">
        <f ca="1">IFERROR(__xludf.DUMMYFUNCTION("""COMPUTED_VALUE"""),"No")</f>
        <v>No</v>
      </c>
      <c r="AF2854" s="8"/>
      <c r="AG2854" s="8" t="str">
        <f ca="1">IFERROR(__xludf.DUMMYFUNCTION("""COMPUTED_VALUE"""),"No")</f>
        <v>No</v>
      </c>
      <c r="AH2854" s="8" t="str">
        <f ca="1">IFERROR(__xludf.DUMMYFUNCTION("""COMPUTED_VALUE"""),"No")</f>
        <v>No</v>
      </c>
      <c r="AI2854" s="8" t="str">
        <f ca="1">IFERROR(__xludf.DUMMYFUNCTION("""COMPUTED_VALUE"""),"No")</f>
        <v>No</v>
      </c>
      <c r="AJ2854" s="8" t="str">
        <f ca="1">IFERROR(__xludf.DUMMYFUNCTION("""COMPUTED_VALUE"""),"No")</f>
        <v>No</v>
      </c>
      <c r="AK2854" s="8" t="str">
        <f ca="1">IFERROR(__xludf.DUMMYFUNCTION("""COMPUTED_VALUE"""),"No")</f>
        <v>No</v>
      </c>
      <c r="AL2854" s="8" t="str">
        <f ca="1">IFERROR(__xludf.DUMMYFUNCTION("""COMPUTED_VALUE"""),"No")</f>
        <v>No</v>
      </c>
      <c r="AM2854" s="8" t="str">
        <f ca="1">IFERROR(__xludf.DUMMYFUNCTION("""COMPUTED_VALUE"""),"Yes")</f>
        <v>Yes</v>
      </c>
      <c r="AN2854" s="8" t="str">
        <f ca="1">IFERROR(__xludf.DUMMYFUNCTION("""COMPUTED_VALUE"""),"Outside")</f>
        <v>Outside</v>
      </c>
      <c r="AO2854" s="8" t="str">
        <f ca="1">IFERROR(__xludf.DUMMYFUNCTION("""COMPUTED_VALUE"""),"Yes")</f>
        <v>Yes</v>
      </c>
      <c r="AP2854" s="8"/>
      <c r="AQ2854" s="8"/>
      <c r="AR2854" s="8" t="str">
        <f ca="1">IFERROR(__xludf.DUMMYFUNCTION("""COMPUTED_VALUE"""),"Outside/Off-Property")</f>
        <v>Outside/Off-Property</v>
      </c>
      <c r="AS2854" s="8">
        <f ca="1">IFERROR(__xludf.DUMMYFUNCTION("""COMPUTED_VALUE"""),1)</f>
        <v>1</v>
      </c>
      <c r="AT2854" s="8"/>
      <c r="AU2854" s="8">
        <f ca="1">IFERROR(__xludf.DUMMYFUNCTION("""COMPUTED_VALUE"""),34.413209)</f>
        <v>34.413209000000002</v>
      </c>
      <c r="AV2854" s="8">
        <f ca="1">IFERROR(__xludf.DUMMYFUNCTION("""COMPUTED_VALUE"""),-86.705568)</f>
        <v>-86.705568</v>
      </c>
      <c r="AW2854" s="8"/>
      <c r="AX2854" s="8">
        <f ca="1">IFERROR(__xludf.DUMMYFUNCTION("""COMPUTED_VALUE"""),35670)</f>
        <v>35670</v>
      </c>
    </row>
    <row r="2855" spans="1:50" ht="60" x14ac:dyDescent="0.2">
      <c r="A2855" s="8" t="str">
        <f ca="1">IFERROR(__xludf.DUMMYFUNCTION("""COMPUTED_VALUE"""),"19850516FLPAB")</f>
        <v>19850516FLPAB</v>
      </c>
      <c r="B2855" s="8">
        <f ca="1">IFERROR(__xludf.DUMMYFUNCTION("""COMPUTED_VALUE"""),5)</f>
        <v>5</v>
      </c>
      <c r="C2855" s="8">
        <f ca="1">IFERROR(__xludf.DUMMYFUNCTION("""COMPUTED_VALUE"""),16)</f>
        <v>16</v>
      </c>
      <c r="D2855" s="8">
        <f ca="1">IFERROR(__xludf.DUMMYFUNCTION("""COMPUTED_VALUE"""),1985)</f>
        <v>1985</v>
      </c>
      <c r="E2855" s="9">
        <f ca="1">IFERROR(__xludf.DUMMYFUNCTION("""COMPUTED_VALUE"""),31183)</f>
        <v>31183</v>
      </c>
      <c r="F2855" s="8" t="str">
        <f ca="1">IFERROR(__xludf.DUMMYFUNCTION("""COMPUTED_VALUE"""),"Parrott Junior High School")</f>
        <v>Parrott Junior High School</v>
      </c>
      <c r="G2855" s="8">
        <f ca="1">IFERROR(__xludf.DUMMYFUNCTION("""COMPUTED_VALUE"""),0)</f>
        <v>0</v>
      </c>
      <c r="H2855" s="8">
        <f ca="1">IFERROR(__xludf.DUMMYFUNCTION("""COMPUTED_VALUE"""),0)</f>
        <v>0</v>
      </c>
      <c r="I2855" s="8">
        <f ca="1">IFERROR(__xludf.DUMMYFUNCTION("""COMPUTED_VALUE"""),0)</f>
        <v>0</v>
      </c>
      <c r="J2855" s="8">
        <f ca="1">IFERROR(__xludf.DUMMYFUNCTION("""COMPUTED_VALUE"""),0)</f>
        <v>0</v>
      </c>
      <c r="K2855" s="10" t="str">
        <f ca="1">IFERROR(__xludf.DUMMYFUNCTION("""COMPUTED_VALUE"""),"https://www.newspapers.com/image/320585636/?terms=school%2Bshooting")</f>
        <v>https://www.newspapers.com/image/320585636/?terms=school%2Bshooting</v>
      </c>
      <c r="L2855" s="8"/>
      <c r="M2855" s="8"/>
      <c r="N2855" s="8">
        <f ca="1">IFERROR(__xludf.DUMMYFUNCTION("""COMPUTED_VALUE"""),2)</f>
        <v>2</v>
      </c>
      <c r="O2855" s="8" t="str">
        <f ca="1">IFERROR(__xludf.DUMMYFUNCTION("""COMPUTED_VALUE"""),"Spring")</f>
        <v>Spring</v>
      </c>
      <c r="P2855" s="8" t="str">
        <f ca="1">IFERROR(__xludf.DUMMYFUNCTION("""COMPUTED_VALUE"""),"Brookville")</f>
        <v>Brookville</v>
      </c>
      <c r="Q2855" s="8" t="str">
        <f ca="1">IFERROR(__xludf.DUMMYFUNCTION("""COMPUTED_VALUE"""),"FL")</f>
        <v>FL</v>
      </c>
      <c r="R2855" s="8" t="str">
        <f ca="1">IFERROR(__xludf.DUMMYFUNCTION("""COMPUTED_VALUE"""),"Junior High")</f>
        <v>Junior High</v>
      </c>
      <c r="S2855" s="8" t="str">
        <f ca="1">IFERROR(__xludf.DUMMYFUNCTION("""COMPUTED_VALUE"""),"Classroom")</f>
        <v>Classroom</v>
      </c>
      <c r="T2855" s="8" t="str">
        <f ca="1">IFERROR(__xludf.DUMMYFUNCTION("""COMPUTED_VALUE"""),"Inside School Building")</f>
        <v>Inside School Building</v>
      </c>
      <c r="U2855" s="8" t="str">
        <f ca="1">IFERROR(__xludf.DUMMYFUNCTION("""COMPUTED_VALUE"""),"Yes")</f>
        <v>Yes</v>
      </c>
      <c r="V2855" s="8" t="str">
        <f ca="1">IFERROR(__xludf.DUMMYFUNCTION("""COMPUTED_VALUE"""),"Morning Classes")</f>
        <v>Morning Classes</v>
      </c>
      <c r="W2855" s="11">
        <f ca="1">IFERROR(__xludf.DUMMYFUNCTION("""COMPUTED_VALUE"""),0.333333333333333)</f>
        <v>0.33333333333333298</v>
      </c>
      <c r="X2855" s="8">
        <f ca="1">IFERROR(__xludf.DUMMYFUNCTION("""COMPUTED_VALUE"""),1)</f>
        <v>1</v>
      </c>
      <c r="Y2855" s="12" t="str">
        <f ca="1">IFERROR(__xludf.DUMMYFUNCTION("""COMPUTED_VALUE"""),"Shooter shot herself in classroom, upset by breakup with boyfriend")</f>
        <v>Shooter shot herself in classroom, upset by breakup with boyfriend</v>
      </c>
      <c r="Z2855" s="12" t="str">
        <f ca="1">IFERROR(__xludf.DUMMYFUNCTION("""COMPUTED_VALUE"""),"Female shooter was upset about break up with boyfriend and shot herself in the abdomen during the 1st period class. 21 other students were in the classroom. Gun was taken from drawer in her parents bedroom.")</f>
        <v>Female shooter was upset about break up with boyfriend and shot herself in the abdomen during the 1st period class. 21 other students were in the classroom. Gun was taken from drawer in her parents bedroom.</v>
      </c>
      <c r="AA2855" s="8" t="str">
        <f ca="1">IFERROR(__xludf.DUMMYFUNCTION("""COMPUTED_VALUE"""),"Suicide/Attempted")</f>
        <v>Suicide/Attempted</v>
      </c>
      <c r="AB2855" s="8"/>
      <c r="AC2855" s="8"/>
      <c r="AD2855" s="8" t="str">
        <f ca="1">IFERROR(__xludf.DUMMYFUNCTION("""COMPUTED_VALUE"""),"Victims Targeted")</f>
        <v>Victims Targeted</v>
      </c>
      <c r="AE2855" s="8" t="str">
        <f ca="1">IFERROR(__xludf.DUMMYFUNCTION("""COMPUTED_VALUE"""),"No")</f>
        <v>No</v>
      </c>
      <c r="AF2855" s="8"/>
      <c r="AG2855" s="8" t="str">
        <f ca="1">IFERROR(__xludf.DUMMYFUNCTION("""COMPUTED_VALUE"""),"No")</f>
        <v>No</v>
      </c>
      <c r="AH2855" s="8" t="str">
        <f ca="1">IFERROR(__xludf.DUMMYFUNCTION("""COMPUTED_VALUE"""),"No")</f>
        <v>No</v>
      </c>
      <c r="AI2855" s="8" t="str">
        <f ca="1">IFERROR(__xludf.DUMMYFUNCTION("""COMPUTED_VALUE"""),"No")</f>
        <v>No</v>
      </c>
      <c r="AJ2855" s="8" t="str">
        <f ca="1">IFERROR(__xludf.DUMMYFUNCTION("""COMPUTED_VALUE"""),"No")</f>
        <v>No</v>
      </c>
      <c r="AK2855" s="8" t="str">
        <f ca="1">IFERROR(__xludf.DUMMYFUNCTION("""COMPUTED_VALUE"""),"No")</f>
        <v>No</v>
      </c>
      <c r="AL2855" s="8" t="str">
        <f ca="1">IFERROR(__xludf.DUMMYFUNCTION("""COMPUTED_VALUE"""),"No")</f>
        <v>No</v>
      </c>
      <c r="AM2855" s="8"/>
      <c r="AN2855" s="8"/>
      <c r="AO2855" s="8" t="str">
        <f ca="1">IFERROR(__xludf.DUMMYFUNCTION("""COMPUTED_VALUE"""),"No")</f>
        <v>No</v>
      </c>
      <c r="AP2855" s="8"/>
      <c r="AQ2855" s="8" t="str">
        <f ca="1">IFERROR(__xludf.DUMMYFUNCTION("""COMPUTED_VALUE"""),"Unknown")</f>
        <v>Unknown</v>
      </c>
      <c r="AR2855" s="8" t="str">
        <f ca="1">IFERROR(__xludf.DUMMYFUNCTION("""COMPUTED_VALUE"""),"NA")</f>
        <v>NA</v>
      </c>
      <c r="AS2855" s="8">
        <f ca="1">IFERROR(__xludf.DUMMYFUNCTION("""COMPUTED_VALUE"""),1)</f>
        <v>1</v>
      </c>
      <c r="AT2855" s="8"/>
      <c r="AU2855" s="8">
        <f ca="1">IFERROR(__xludf.DUMMYFUNCTION("""COMPUTED_VALUE"""),28.591167)</f>
        <v>28.591166999999999</v>
      </c>
      <c r="AV2855" s="8">
        <f ca="1">IFERROR(__xludf.DUMMYFUNCTION("""COMPUTED_VALUE"""),-82.414027)</f>
        <v>-82.414027000000004</v>
      </c>
      <c r="AW2855" s="8"/>
      <c r="AX2855" s="8">
        <f ca="1">IFERROR(__xludf.DUMMYFUNCTION("""COMPUTED_VALUE"""),34601)</f>
        <v>34601</v>
      </c>
    </row>
    <row r="2856" spans="1:50" ht="150" x14ac:dyDescent="0.2">
      <c r="A2856" s="8" t="str">
        <f ca="1">IFERROR(__xludf.DUMMYFUNCTION("""COMPUTED_VALUE"""),"19850418TNSOS")</f>
        <v>19850418TNSOS</v>
      </c>
      <c r="B2856" s="8">
        <f ca="1">IFERROR(__xludf.DUMMYFUNCTION("""COMPUTED_VALUE"""),4)</f>
        <v>4</v>
      </c>
      <c r="C2856" s="8">
        <f ca="1">IFERROR(__xludf.DUMMYFUNCTION("""COMPUTED_VALUE"""),18)</f>
        <v>18</v>
      </c>
      <c r="D2856" s="8">
        <f ca="1">IFERROR(__xludf.DUMMYFUNCTION("""COMPUTED_VALUE"""),1985)</f>
        <v>1985</v>
      </c>
      <c r="E2856" s="9">
        <f ca="1">IFERROR(__xludf.DUMMYFUNCTION("""COMPUTED_VALUE"""),31155)</f>
        <v>31155</v>
      </c>
      <c r="F2856" s="8" t="str">
        <f ca="1">IFERROR(__xludf.DUMMYFUNCTION("""COMPUTED_VALUE"""),"South Pittsburg High School")</f>
        <v>South Pittsburg High School</v>
      </c>
      <c r="G2856" s="8">
        <f ca="1">IFERROR(__xludf.DUMMYFUNCTION("""COMPUTED_VALUE"""),0)</f>
        <v>0</v>
      </c>
      <c r="H2856" s="8">
        <f ca="1">IFERROR(__xludf.DUMMYFUNCTION("""COMPUTED_VALUE"""),1)</f>
        <v>1</v>
      </c>
      <c r="I2856" s="8">
        <f ca="1">IFERROR(__xludf.DUMMYFUNCTION("""COMPUTED_VALUE"""),1)</f>
        <v>1</v>
      </c>
      <c r="J2856" s="8">
        <f ca="1">IFERROR(__xludf.DUMMYFUNCTION("""COMPUTED_VALUE"""),0)</f>
        <v>0</v>
      </c>
      <c r="K2856" s="10" t="str">
        <f ca="1">IFERROR(__xludf.DUMMYFUNCTION("""COMPUTED_VALUE"""),"https://www.upi.com/Archives/1985/04/19/A-high-school-senior-burst-into-a-school-office/9347482734800/")</f>
        <v>https://www.upi.com/Archives/1985/04/19/A-high-school-senior-burst-into-a-school-office/9347482734800/</v>
      </c>
      <c r="L2856" s="8">
        <f ca="1">IFERROR(__xludf.DUMMYFUNCTION("""COMPUTED_VALUE"""),2)</f>
        <v>2</v>
      </c>
      <c r="M2856" s="8" t="str">
        <f ca="1">IFERROR(__xludf.DUMMYFUNCTION("""COMPUTED_VALUE"""),"National")</f>
        <v>National</v>
      </c>
      <c r="N2856" s="8">
        <f ca="1">IFERROR(__xludf.DUMMYFUNCTION("""COMPUTED_VALUE"""),4)</f>
        <v>4</v>
      </c>
      <c r="O2856" s="8" t="str">
        <f ca="1">IFERROR(__xludf.DUMMYFUNCTION("""COMPUTED_VALUE"""),"Spring")</f>
        <v>Spring</v>
      </c>
      <c r="P2856" s="8" t="str">
        <f ca="1">IFERROR(__xludf.DUMMYFUNCTION("""COMPUTED_VALUE"""),"South Pittsburg")</f>
        <v>South Pittsburg</v>
      </c>
      <c r="Q2856" s="8" t="str">
        <f ca="1">IFERROR(__xludf.DUMMYFUNCTION("""COMPUTED_VALUE"""),"TN")</f>
        <v>TN</v>
      </c>
      <c r="R2856" s="8" t="str">
        <f ca="1">IFERROR(__xludf.DUMMYFUNCTION("""COMPUTED_VALUE"""),"High")</f>
        <v>High</v>
      </c>
      <c r="S2856" s="8" t="str">
        <f ca="1">IFERROR(__xludf.DUMMYFUNCTION("""COMPUTED_VALUE"""),"Office")</f>
        <v>Office</v>
      </c>
      <c r="T2856" s="8" t="str">
        <f ca="1">IFERROR(__xludf.DUMMYFUNCTION("""COMPUTED_VALUE"""),"Inside School Building")</f>
        <v>Inside School Building</v>
      </c>
      <c r="U2856" s="8" t="str">
        <f ca="1">IFERROR(__xludf.DUMMYFUNCTION("""COMPUTED_VALUE"""),"Yes")</f>
        <v>Yes</v>
      </c>
      <c r="V2856" s="8" t="str">
        <f ca="1">IFERROR(__xludf.DUMMYFUNCTION("""COMPUTED_VALUE"""),"Morning Classes")</f>
        <v>Morning Classes</v>
      </c>
      <c r="W2856" s="8"/>
      <c r="X2856" s="8">
        <f ca="1">IFERROR(__xludf.DUMMYFUNCTION("""COMPUTED_VALUE"""),1)</f>
        <v>1</v>
      </c>
      <c r="Y2856" s="12" t="str">
        <f ca="1">IFERROR(__xludf.DUMMYFUNCTION("""COMPUTED_VALUE"""),"Student shot teacher after relationship ended")</f>
        <v>Student shot teacher after relationship ended</v>
      </c>
      <c r="Z2856" s="12" t="str">
        <f ca="1">IFERROR(__xludf.DUMMYFUNCTION("""COMPUTED_VALUE"""),"A high school senior burst into a school office and shot at point-blank range a history teacher with whom a 'boyfriend-girlfriend relationship' had ended, investigators said today. Jan Henderson, 33, shot in the chest, abdomen and arms with a .45-caliber "&amp;"pistol, was listed in good condition today at South Pittsburg Municipal Hospital. Clifford Price, 18, the straight-A student accused of shooting her, faces an April 23 hearing on charges of felonious assault with intent to commit first degree murder and c"&amp;"arrying a dangerous weapon on school property.")</f>
        <v>A high school senior burst into a school office and shot at point-blank range a history teacher with whom a 'boyfriend-girlfriend relationship' had ended, investigators said today. Jan Henderson, 33, shot in the chest, abdomen and arms with a .45-caliber pistol, was listed in good condition today at South Pittsburg Municipal Hospital. Clifford Price, 18, the straight-A student accused of shooting her, faces an April 23 hearing on charges of felonious assault with intent to commit first degree murder and carrying a dangerous weapon on school property.</v>
      </c>
      <c r="AA2856" s="8" t="str">
        <f ca="1">IFERROR(__xludf.DUMMYFUNCTION("""COMPUTED_VALUE"""),"Domestic w/ Targeted Victim")</f>
        <v>Domestic w/ Targeted Victim</v>
      </c>
      <c r="AB2856" s="8"/>
      <c r="AC2856" s="8" t="str">
        <f ca="1">IFERROR(__xludf.DUMMYFUNCTION("""COMPUTED_VALUE"""),"Yes")</f>
        <v>Yes</v>
      </c>
      <c r="AD2856" s="8" t="str">
        <f ca="1">IFERROR(__xludf.DUMMYFUNCTION("""COMPUTED_VALUE"""),"Victims Targeted")</f>
        <v>Victims Targeted</v>
      </c>
      <c r="AE2856" s="8" t="str">
        <f ca="1">IFERROR(__xludf.DUMMYFUNCTION("""COMPUTED_VALUE"""),"No")</f>
        <v>No</v>
      </c>
      <c r="AF2856" s="8"/>
      <c r="AG2856" s="8" t="str">
        <f ca="1">IFERROR(__xludf.DUMMYFUNCTION("""COMPUTED_VALUE"""),"No")</f>
        <v>No</v>
      </c>
      <c r="AH2856" s="8" t="str">
        <f ca="1">IFERROR(__xludf.DUMMYFUNCTION("""COMPUTED_VALUE"""),"No")</f>
        <v>No</v>
      </c>
      <c r="AI2856" s="8" t="str">
        <f ca="1">IFERROR(__xludf.DUMMYFUNCTION("""COMPUTED_VALUE"""),"No")</f>
        <v>No</v>
      </c>
      <c r="AJ2856" s="8" t="str">
        <f ca="1">IFERROR(__xludf.DUMMYFUNCTION("""COMPUTED_VALUE"""),"No")</f>
        <v>No</v>
      </c>
      <c r="AK2856" s="8" t="str">
        <f ca="1">IFERROR(__xludf.DUMMYFUNCTION("""COMPUTED_VALUE"""),"Yes")</f>
        <v>Yes</v>
      </c>
      <c r="AL2856" s="8" t="str">
        <f ca="1">IFERROR(__xludf.DUMMYFUNCTION("""COMPUTED_VALUE"""),"No")</f>
        <v>No</v>
      </c>
      <c r="AM2856" s="8" t="str">
        <f ca="1">IFERROR(__xludf.DUMMYFUNCTION("""COMPUTED_VALUE"""),"No")</f>
        <v>No</v>
      </c>
      <c r="AN2856" s="8" t="str">
        <f ca="1">IFERROR(__xludf.DUMMYFUNCTION("""COMPUTED_VALUE"""),"Single Room")</f>
        <v>Single Room</v>
      </c>
      <c r="AO2856" s="8" t="str">
        <f ca="1">IFERROR(__xludf.DUMMYFUNCTION("""COMPUTED_VALUE"""),"No")</f>
        <v>No</v>
      </c>
      <c r="AP2856" s="8"/>
      <c r="AQ2856" s="8"/>
      <c r="AR2856" s="8"/>
      <c r="AS2856" s="8">
        <f ca="1">IFERROR(__xludf.DUMMYFUNCTION("""COMPUTED_VALUE"""),3)</f>
        <v>3</v>
      </c>
      <c r="AT2856" s="8"/>
      <c r="AU2856" s="8">
        <f ca="1">IFERROR(__xludf.DUMMYFUNCTION("""COMPUTED_VALUE"""),35.006135)</f>
        <v>35.006135</v>
      </c>
      <c r="AV2856" s="8">
        <f ca="1">IFERROR(__xludf.DUMMYFUNCTION("""COMPUTED_VALUE"""),-85.709948)</f>
        <v>-85.709947999999997</v>
      </c>
      <c r="AW2856" s="8"/>
      <c r="AX2856" s="8">
        <f ca="1">IFERROR(__xludf.DUMMYFUNCTION("""COMPUTED_VALUE"""),37380)</f>
        <v>37380</v>
      </c>
    </row>
    <row r="2857" spans="1:50" ht="120" x14ac:dyDescent="0.2">
      <c r="A2857" s="8" t="str">
        <f ca="1">IFERROR(__xludf.DUMMYFUNCTION("""COMPUTED_VALUE"""),"19850416TXMAA")</f>
        <v>19850416TXMAA</v>
      </c>
      <c r="B2857" s="8">
        <f ca="1">IFERROR(__xludf.DUMMYFUNCTION("""COMPUTED_VALUE"""),4)</f>
        <v>4</v>
      </c>
      <c r="C2857" s="8">
        <f ca="1">IFERROR(__xludf.DUMMYFUNCTION("""COMPUTED_VALUE"""),16)</f>
        <v>16</v>
      </c>
      <c r="D2857" s="8">
        <f ca="1">IFERROR(__xludf.DUMMYFUNCTION("""COMPUTED_VALUE"""),1985)</f>
        <v>1985</v>
      </c>
      <c r="E2857" s="9">
        <f ca="1">IFERROR(__xludf.DUMMYFUNCTION("""COMPUTED_VALUE"""),31153)</f>
        <v>31153</v>
      </c>
      <c r="F2857" s="8" t="str">
        <f ca="1">IFERROR(__xludf.DUMMYFUNCTION("""COMPUTED_VALUE"""),"MacArthur Senior High School")</f>
        <v>MacArthur Senior High School</v>
      </c>
      <c r="G2857" s="8">
        <f ca="1">IFERROR(__xludf.DUMMYFUNCTION("""COMPUTED_VALUE"""),0)</f>
        <v>0</v>
      </c>
      <c r="H2857" s="8">
        <f ca="1">IFERROR(__xludf.DUMMYFUNCTION("""COMPUTED_VALUE"""),0)</f>
        <v>0</v>
      </c>
      <c r="I2857" s="8">
        <f ca="1">IFERROR(__xludf.DUMMYFUNCTION("""COMPUTED_VALUE"""),0)</f>
        <v>0</v>
      </c>
      <c r="J2857" s="8">
        <f ca="1">IFERROR(__xludf.DUMMYFUNCTION("""COMPUTED_VALUE"""),0)</f>
        <v>0</v>
      </c>
      <c r="K2857" s="8" t="str">
        <f ca="1">IFERROR(__xludf.DUMMYFUNCTION("""COMPUTED_VALUE"""),"Houston Chronicle - Fired Deputy Charged For Shooting at Student; https://www.columbine-angels.com/School_Violence_1984-1985.htm")</f>
        <v>Houston Chronicle - Fired Deputy Charged For Shooting at Student; https://www.columbine-angels.com/School_Violence_1984-1985.htm</v>
      </c>
      <c r="L2857" s="8"/>
      <c r="M2857" s="8"/>
      <c r="N2857" s="8">
        <f ca="1">IFERROR(__xludf.DUMMYFUNCTION("""COMPUTED_VALUE"""),1)</f>
        <v>1</v>
      </c>
      <c r="O2857" s="8" t="str">
        <f ca="1">IFERROR(__xludf.DUMMYFUNCTION("""COMPUTED_VALUE"""),"Spring")</f>
        <v>Spring</v>
      </c>
      <c r="P2857" s="8" t="str">
        <f ca="1">IFERROR(__xludf.DUMMYFUNCTION("""COMPUTED_VALUE"""),"Aldine")</f>
        <v>Aldine</v>
      </c>
      <c r="Q2857" s="8" t="str">
        <f ca="1">IFERROR(__xludf.DUMMYFUNCTION("""COMPUTED_VALUE"""),"TX")</f>
        <v>TX</v>
      </c>
      <c r="R2857" s="8" t="str">
        <f ca="1">IFERROR(__xludf.DUMMYFUNCTION("""COMPUTED_VALUE"""),"High")</f>
        <v>High</v>
      </c>
      <c r="S2857" s="8" t="str">
        <f ca="1">IFERROR(__xludf.DUMMYFUNCTION("""COMPUTED_VALUE"""),"Parking Lot")</f>
        <v>Parking Lot</v>
      </c>
      <c r="T2857" s="8" t="str">
        <f ca="1">IFERROR(__xludf.DUMMYFUNCTION("""COMPUTED_VALUE"""),"Outside on School Property")</f>
        <v>Outside on School Property</v>
      </c>
      <c r="U2857" s="8" t="str">
        <f ca="1">IFERROR(__xludf.DUMMYFUNCTION("""COMPUTED_VALUE"""),"Yes")</f>
        <v>Yes</v>
      </c>
      <c r="V2857" s="8" t="str">
        <f ca="1">IFERROR(__xludf.DUMMYFUNCTION("""COMPUTED_VALUE"""),"Dismissal")</f>
        <v>Dismissal</v>
      </c>
      <c r="W2857" s="8"/>
      <c r="X2857" s="8"/>
      <c r="Y2857" s="12" t="str">
        <f ca="1">IFERROR(__xludf.DUMMYFUNCTION("""COMPUTED_VALUE"""),"Off duty officer fired at student in dispute over towed car")</f>
        <v>Off duty officer fired at student in dispute over towed car</v>
      </c>
      <c r="Z2857" s="12" t="str">
        <f ca="1">IFERROR(__xludf.DUMMYFUNCTION("""COMPUTED_VALUE"""),"Off duty deputy (did not identify himself as officer) got into argument with 17YOM student about a vehicle that was being towed. Officer pulled gun and student ran away. Officer chased student through group of 300 students and fired a shot striking the wi"&amp;"ndshield of an occupied car driven by a teacher. Uniformed deputy arrived and defused the situation. Officer was fired and charged with aggravated assault.")</f>
        <v>Off duty deputy (did not identify himself as officer) got into argument with 17YOM student about a vehicle that was being towed. Officer pulled gun and student ran away. Officer chased student through group of 300 students and fired a shot striking the windshield of an occupied car driven by a teacher. Uniformed deputy arrived and defused the situation. Officer was fired and charged with aggravated assault.</v>
      </c>
      <c r="AA2857" s="8" t="str">
        <f ca="1">IFERROR(__xludf.DUMMYFUNCTION("""COMPUTED_VALUE"""),"Officer-Involved Shooting")</f>
        <v>Officer-Involved Shooting</v>
      </c>
      <c r="AB2857" s="8"/>
      <c r="AC2857" s="8"/>
      <c r="AD2857" s="8" t="str">
        <f ca="1">IFERROR(__xludf.DUMMYFUNCTION("""COMPUTED_VALUE"""),"Victims Targeted")</f>
        <v>Victims Targeted</v>
      </c>
      <c r="AE2857" s="8" t="str">
        <f ca="1">IFERROR(__xludf.DUMMYFUNCTION("""COMPUTED_VALUE"""),"No")</f>
        <v>No</v>
      </c>
      <c r="AF2857" s="8"/>
      <c r="AG2857" s="8" t="str">
        <f ca="1">IFERROR(__xludf.DUMMYFUNCTION("""COMPUTED_VALUE"""),"No")</f>
        <v>No</v>
      </c>
      <c r="AH2857" s="8" t="str">
        <f ca="1">IFERROR(__xludf.DUMMYFUNCTION("""COMPUTED_VALUE"""),"No")</f>
        <v>No</v>
      </c>
      <c r="AI2857" s="8" t="str">
        <f ca="1">IFERROR(__xludf.DUMMYFUNCTION("""COMPUTED_VALUE"""),"Yes")</f>
        <v>Yes</v>
      </c>
      <c r="AJ2857" s="8" t="str">
        <f ca="1">IFERROR(__xludf.DUMMYFUNCTION("""COMPUTED_VALUE"""),"No")</f>
        <v>No</v>
      </c>
      <c r="AK2857" s="8" t="str">
        <f ca="1">IFERROR(__xludf.DUMMYFUNCTION("""COMPUTED_VALUE"""),"No")</f>
        <v>No</v>
      </c>
      <c r="AL2857" s="8" t="str">
        <f ca="1">IFERROR(__xludf.DUMMYFUNCTION("""COMPUTED_VALUE"""),"No")</f>
        <v>No</v>
      </c>
      <c r="AM2857" s="8"/>
      <c r="AN2857" s="8"/>
      <c r="AO2857" s="8" t="str">
        <f ca="1">IFERROR(__xludf.DUMMYFUNCTION("""COMPUTED_VALUE"""),"No")</f>
        <v>No</v>
      </c>
      <c r="AP2857" s="8"/>
      <c r="AQ2857" s="8" t="str">
        <f ca="1">IFERROR(__xludf.DUMMYFUNCTION("""COMPUTED_VALUE"""),"Unknown")</f>
        <v>Unknown</v>
      </c>
      <c r="AR2857" s="8" t="str">
        <f ca="1">IFERROR(__xludf.DUMMYFUNCTION("""COMPUTED_VALUE"""),"NA")</f>
        <v>NA</v>
      </c>
      <c r="AS2857" s="8">
        <f ca="1">IFERROR(__xludf.DUMMYFUNCTION("""COMPUTED_VALUE"""),1)</f>
        <v>1</v>
      </c>
      <c r="AT2857" s="8"/>
      <c r="AU2857" s="8">
        <f ca="1">IFERROR(__xludf.DUMMYFUNCTION("""COMPUTED_VALUE"""),29.900962)</f>
        <v>29.900962</v>
      </c>
      <c r="AV2857" s="8">
        <f ca="1">IFERROR(__xludf.DUMMYFUNCTION("""COMPUTED_VALUE"""),-95.328979)</f>
        <v>-95.328979000000004</v>
      </c>
      <c r="AW2857" s="8"/>
      <c r="AX2857" s="8">
        <f ca="1">IFERROR(__xludf.DUMMYFUNCTION("""COMPUTED_VALUE"""),77039)</f>
        <v>77039</v>
      </c>
    </row>
    <row r="2858" spans="1:50" ht="45" x14ac:dyDescent="0.2">
      <c r="A2858" s="8" t="str">
        <f ca="1">IFERROR(__xludf.DUMMYFUNCTION("""COMPUTED_VALUE"""),"19850205CTAIH")</f>
        <v>19850205CTAIH</v>
      </c>
      <c r="B2858" s="8">
        <f ca="1">IFERROR(__xludf.DUMMYFUNCTION("""COMPUTED_VALUE"""),2)</f>
        <v>2</v>
      </c>
      <c r="C2858" s="8">
        <f ca="1">IFERROR(__xludf.DUMMYFUNCTION("""COMPUTED_VALUE"""),5)</f>
        <v>5</v>
      </c>
      <c r="D2858" s="8">
        <f ca="1">IFERROR(__xludf.DUMMYFUNCTION("""COMPUTED_VALUE"""),1985)</f>
        <v>1985</v>
      </c>
      <c r="E2858" s="9">
        <f ca="1">IFERROR(__xludf.DUMMYFUNCTION("""COMPUTED_VALUE"""),31083)</f>
        <v>31083</v>
      </c>
      <c r="F2858" s="8" t="str">
        <f ca="1">IFERROR(__xludf.DUMMYFUNCTION("""COMPUTED_VALUE"""),"A I Prince Technical High School")</f>
        <v>A I Prince Technical High School</v>
      </c>
      <c r="G2858" s="8">
        <f ca="1">IFERROR(__xludf.DUMMYFUNCTION("""COMPUTED_VALUE"""),0)</f>
        <v>0</v>
      </c>
      <c r="H2858" s="8">
        <f ca="1">IFERROR(__xludf.DUMMYFUNCTION("""COMPUTED_VALUE"""),1)</f>
        <v>1</v>
      </c>
      <c r="I2858" s="8">
        <f ca="1">IFERROR(__xludf.DUMMYFUNCTION("""COMPUTED_VALUE"""),1)</f>
        <v>1</v>
      </c>
      <c r="J2858" s="8">
        <f ca="1">IFERROR(__xludf.DUMMYFUNCTION("""COMPUTED_VALUE"""),0)</f>
        <v>0</v>
      </c>
      <c r="K2858" s="10" t="str">
        <f ca="1">IFERROR(__xludf.DUMMYFUNCTION("""COMPUTED_VALUE"""),"https://www.newspapers.com/image/245510114/?terms=Prince%2BTechnical%2BHigh%2BSchool")</f>
        <v>https://www.newspapers.com/image/245510114/?terms=Prince%2BTechnical%2BHigh%2BSchool</v>
      </c>
      <c r="L2858" s="8"/>
      <c r="M2858" s="8"/>
      <c r="N2858" s="8">
        <f ca="1">IFERROR(__xludf.DUMMYFUNCTION("""COMPUTED_VALUE"""),2)</f>
        <v>2</v>
      </c>
      <c r="O2858" s="8" t="str">
        <f ca="1">IFERROR(__xludf.DUMMYFUNCTION("""COMPUTED_VALUE"""),"Winter")</f>
        <v>Winter</v>
      </c>
      <c r="P2858" s="8" t="str">
        <f ca="1">IFERROR(__xludf.DUMMYFUNCTION("""COMPUTED_VALUE"""),"Hartford")</f>
        <v>Hartford</v>
      </c>
      <c r="Q2858" s="8" t="str">
        <f ca="1">IFERROR(__xludf.DUMMYFUNCTION("""COMPUTED_VALUE"""),"CT")</f>
        <v>CT</v>
      </c>
      <c r="R2858" s="8" t="str">
        <f ca="1">IFERROR(__xludf.DUMMYFUNCTION("""COMPUTED_VALUE"""),"High")</f>
        <v>High</v>
      </c>
      <c r="S2858" s="8" t="str">
        <f ca="1">IFERROR(__xludf.DUMMYFUNCTION("""COMPUTED_VALUE"""),"Beside Building")</f>
        <v>Beside Building</v>
      </c>
      <c r="T2858" s="8" t="str">
        <f ca="1">IFERROR(__xludf.DUMMYFUNCTION("""COMPUTED_VALUE"""),"Outside on School Property")</f>
        <v>Outside on School Property</v>
      </c>
      <c r="U2858" s="8" t="str">
        <f ca="1">IFERROR(__xludf.DUMMYFUNCTION("""COMPUTED_VALUE"""),"Yes")</f>
        <v>Yes</v>
      </c>
      <c r="V2858" s="8" t="str">
        <f ca="1">IFERROR(__xludf.DUMMYFUNCTION("""COMPUTED_VALUE"""),"Afternoon Classes")</f>
        <v>Afternoon Classes</v>
      </c>
      <c r="W2858" s="11">
        <f ca="1">IFERROR(__xludf.DUMMYFUNCTION("""COMPUTED_VALUE"""),0.604166666666666)</f>
        <v>0.60416666666666596</v>
      </c>
      <c r="X2858" s="8">
        <f ca="1">IFERROR(__xludf.DUMMYFUNCTION("""COMPUTED_VALUE"""),1)</f>
        <v>1</v>
      </c>
      <c r="Y2858" s="12" t="str">
        <f ca="1">IFERROR(__xludf.DUMMYFUNCTION("""COMPUTED_VALUE"""),"Shooting stemmed from ongoing conflict over a girl")</f>
        <v>Shooting stemmed from ongoing conflict over a girl</v>
      </c>
      <c r="Z2858" s="12" t="str">
        <f ca="1">IFERROR(__xludf.DUMMYFUNCTION("""COMPUTED_VALUE"""),"Ongoing fight over a girl - shooter was non-student of the school. Occurred outside the school building")</f>
        <v>Ongoing fight over a girl - shooter was non-student of the school. Occurred outside the school building</v>
      </c>
      <c r="AA2858" s="8" t="str">
        <f ca="1">IFERROR(__xludf.DUMMYFUNCTION("""COMPUTED_VALUE"""),"Escalation of Dispute")</f>
        <v>Escalation of Dispute</v>
      </c>
      <c r="AB2858" s="8"/>
      <c r="AC2858" s="8"/>
      <c r="AD2858" s="8" t="str">
        <f ca="1">IFERROR(__xludf.DUMMYFUNCTION("""COMPUTED_VALUE"""),"Victims Targeted")</f>
        <v>Victims Targeted</v>
      </c>
      <c r="AE2858" s="8" t="str">
        <f ca="1">IFERROR(__xludf.DUMMYFUNCTION("""COMPUTED_VALUE"""),"No")</f>
        <v>No</v>
      </c>
      <c r="AF2858" s="8"/>
      <c r="AG2858" s="8" t="str">
        <f ca="1">IFERROR(__xludf.DUMMYFUNCTION("""COMPUTED_VALUE"""),"No")</f>
        <v>No</v>
      </c>
      <c r="AH2858" s="8" t="str">
        <f ca="1">IFERROR(__xludf.DUMMYFUNCTION("""COMPUTED_VALUE"""),"No")</f>
        <v>No</v>
      </c>
      <c r="AI2858" s="8" t="str">
        <f ca="1">IFERROR(__xludf.DUMMYFUNCTION("""COMPUTED_VALUE"""),"No")</f>
        <v>No</v>
      </c>
      <c r="AJ2858" s="8" t="str">
        <f ca="1">IFERROR(__xludf.DUMMYFUNCTION("""COMPUTED_VALUE"""),"No")</f>
        <v>No</v>
      </c>
      <c r="AK2858" s="8" t="str">
        <f ca="1">IFERROR(__xludf.DUMMYFUNCTION("""COMPUTED_VALUE"""),"No")</f>
        <v>No</v>
      </c>
      <c r="AL2858" s="8" t="str">
        <f ca="1">IFERROR(__xludf.DUMMYFUNCTION("""COMPUTED_VALUE"""),"No")</f>
        <v>No</v>
      </c>
      <c r="AM2858" s="8"/>
      <c r="AN2858" s="8"/>
      <c r="AO2858" s="8" t="str">
        <f ca="1">IFERROR(__xludf.DUMMYFUNCTION("""COMPUTED_VALUE"""),"No")</f>
        <v>No</v>
      </c>
      <c r="AP2858" s="8"/>
      <c r="AQ2858" s="8" t="str">
        <f ca="1">IFERROR(__xludf.DUMMYFUNCTION("""COMPUTED_VALUE"""),"Unknown")</f>
        <v>Unknown</v>
      </c>
      <c r="AR2858" s="8" t="str">
        <f ca="1">IFERROR(__xludf.DUMMYFUNCTION("""COMPUTED_VALUE"""),"NA")</f>
        <v>NA</v>
      </c>
      <c r="AS2858" s="8">
        <f ca="1">IFERROR(__xludf.DUMMYFUNCTION("""COMPUTED_VALUE"""),1)</f>
        <v>1</v>
      </c>
      <c r="AT2858" s="8"/>
      <c r="AU2858" s="8">
        <f ca="1">IFERROR(__xludf.DUMMYFUNCTION("""COMPUTED_VALUE"""),41.741714)</f>
        <v>41.741714000000002</v>
      </c>
      <c r="AV2858" s="8">
        <f ca="1">IFERROR(__xludf.DUMMYFUNCTION("""COMPUTED_VALUE"""),-72.706618)</f>
        <v>-72.706618000000006</v>
      </c>
      <c r="AW2858" s="8"/>
      <c r="AX2858" s="8">
        <f ca="1">IFERROR(__xludf.DUMMYFUNCTION("""COMPUTED_VALUE"""),6106)</f>
        <v>6106</v>
      </c>
    </row>
    <row r="2859" spans="1:50" ht="75" x14ac:dyDescent="0.2">
      <c r="A2859" s="8" t="str">
        <f ca="1">IFERROR(__xludf.DUMMYFUNCTION("""COMPUTED_VALUE"""),"19850126MASTB")</f>
        <v>19850126MASTB</v>
      </c>
      <c r="B2859" s="8">
        <f ca="1">IFERROR(__xludf.DUMMYFUNCTION("""COMPUTED_VALUE"""),1)</f>
        <v>1</v>
      </c>
      <c r="C2859" s="8">
        <f ca="1">IFERROR(__xludf.DUMMYFUNCTION("""COMPUTED_VALUE"""),26)</f>
        <v>26</v>
      </c>
      <c r="D2859" s="8">
        <f ca="1">IFERROR(__xludf.DUMMYFUNCTION("""COMPUTED_VALUE"""),1985)</f>
        <v>1985</v>
      </c>
      <c r="E2859" s="9">
        <f ca="1">IFERROR(__xludf.DUMMYFUNCTION("""COMPUTED_VALUE"""),31073)</f>
        <v>31073</v>
      </c>
      <c r="F2859" s="8" t="str">
        <f ca="1">IFERROR(__xludf.DUMMYFUNCTION("""COMPUTED_VALUE"""),"St. Gregory's High School")</f>
        <v>St. Gregory's High School</v>
      </c>
      <c r="G2859" s="8">
        <f ca="1">IFERROR(__xludf.DUMMYFUNCTION("""COMPUTED_VALUE"""),0)</f>
        <v>0</v>
      </c>
      <c r="H2859" s="8">
        <f ca="1">IFERROR(__xludf.DUMMYFUNCTION("""COMPUTED_VALUE"""),4)</f>
        <v>4</v>
      </c>
      <c r="I2859" s="8">
        <f ca="1">IFERROR(__xludf.DUMMYFUNCTION("""COMPUTED_VALUE"""),4)</f>
        <v>4</v>
      </c>
      <c r="J2859" s="8">
        <f ca="1">IFERROR(__xludf.DUMMYFUNCTION("""COMPUTED_VALUE"""),0)</f>
        <v>0</v>
      </c>
      <c r="K2859" s="10" t="str">
        <f ca="1">IFERROR(__xludf.DUMMYFUNCTION("""COMPUTED_VALUE"""),"https://www.newspapers.com/image/437414203/?terms=school%2Bshooting")</f>
        <v>https://www.newspapers.com/image/437414203/?terms=school%2Bshooting</v>
      </c>
      <c r="L2859" s="8"/>
      <c r="M2859" s="8"/>
      <c r="N2859" s="8">
        <f ca="1">IFERROR(__xludf.DUMMYFUNCTION("""COMPUTED_VALUE"""),2)</f>
        <v>2</v>
      </c>
      <c r="O2859" s="8" t="str">
        <f ca="1">IFERROR(__xludf.DUMMYFUNCTION("""COMPUTED_VALUE"""),"Winter")</f>
        <v>Winter</v>
      </c>
      <c r="P2859" s="8" t="str">
        <f ca="1">IFERROR(__xludf.DUMMYFUNCTION("""COMPUTED_VALUE"""),"Boston")</f>
        <v>Boston</v>
      </c>
      <c r="Q2859" s="8" t="str">
        <f ca="1">IFERROR(__xludf.DUMMYFUNCTION("""COMPUTED_VALUE"""),"MA")</f>
        <v>MA</v>
      </c>
      <c r="R2859" s="8" t="str">
        <f ca="1">IFERROR(__xludf.DUMMYFUNCTION("""COMPUTED_VALUE"""),"High")</f>
        <v>High</v>
      </c>
      <c r="S2859" s="8" t="str">
        <f ca="1">IFERROR(__xludf.DUMMYFUNCTION("""COMPUTED_VALUE"""),"Beside Building")</f>
        <v>Beside Building</v>
      </c>
      <c r="T2859" s="8" t="str">
        <f ca="1">IFERROR(__xludf.DUMMYFUNCTION("""COMPUTED_VALUE"""),"Outside on School Property")</f>
        <v>Outside on School Property</v>
      </c>
      <c r="U2859" s="8" t="str">
        <f ca="1">IFERROR(__xludf.DUMMYFUNCTION("""COMPUTED_VALUE"""),"No")</f>
        <v>No</v>
      </c>
      <c r="V2859" s="8" t="str">
        <f ca="1">IFERROR(__xludf.DUMMYFUNCTION("""COMPUTED_VALUE"""),"School Event")</f>
        <v>School Event</v>
      </c>
      <c r="W2859" s="11">
        <f ca="1">IFERROR(__xludf.DUMMYFUNCTION("""COMPUTED_VALUE"""),0.958333333333333)</f>
        <v>0.95833333333333304</v>
      </c>
      <c r="X2859" s="8">
        <f ca="1">IFERROR(__xludf.DUMMYFUNCTION("""COMPUTED_VALUE"""),1)</f>
        <v>1</v>
      </c>
      <c r="Y2859" s="12" t="str">
        <f ca="1">IFERROR(__xludf.DUMMYFUNCTION("""COMPUTED_VALUE"""),"Shots during fight between dozen black and white students outside dance")</f>
        <v>Shots during fight between dozen black and white students outside dance</v>
      </c>
      <c r="Z2859" s="12" t="str">
        <f ca="1">IFERROR(__xludf.DUMMYFUNCTION("""COMPUTED_VALUE"""),"Shot fired after a group of white students made racial remarks to a group of black students outside of the school dance. Large fight started and 4 students sustained injuries from gunshots.")</f>
        <v>Shot fired after a group of white students made racial remarks to a group of black students outside of the school dance. Large fight started and 4 students sustained injuries from gunshots.</v>
      </c>
      <c r="AA2859" s="8" t="str">
        <f ca="1">IFERROR(__xludf.DUMMYFUNCTION("""COMPUTED_VALUE"""),"Racial")</f>
        <v>Racial</v>
      </c>
      <c r="AB2859" s="8"/>
      <c r="AC2859" s="8"/>
      <c r="AD2859" s="8" t="str">
        <f ca="1">IFERROR(__xludf.DUMMYFUNCTION("""COMPUTED_VALUE"""),"Both")</f>
        <v>Both</v>
      </c>
      <c r="AE2859" s="8" t="str">
        <f ca="1">IFERROR(__xludf.DUMMYFUNCTION("""COMPUTED_VALUE"""),"No")</f>
        <v>No</v>
      </c>
      <c r="AF2859" s="8"/>
      <c r="AG2859" s="8" t="str">
        <f ca="1">IFERROR(__xludf.DUMMYFUNCTION("""COMPUTED_VALUE"""),"No")</f>
        <v>No</v>
      </c>
      <c r="AH2859" s="8" t="str">
        <f ca="1">IFERROR(__xludf.DUMMYFUNCTION("""COMPUTED_VALUE"""),"No")</f>
        <v>No</v>
      </c>
      <c r="AI2859" s="8" t="str">
        <f ca="1">IFERROR(__xludf.DUMMYFUNCTION("""COMPUTED_VALUE"""),"No")</f>
        <v>No</v>
      </c>
      <c r="AJ2859" s="8" t="str">
        <f ca="1">IFERROR(__xludf.DUMMYFUNCTION("""COMPUTED_VALUE"""),"No")</f>
        <v>No</v>
      </c>
      <c r="AK2859" s="8" t="str">
        <f ca="1">IFERROR(__xludf.DUMMYFUNCTION("""COMPUTED_VALUE"""),"No")</f>
        <v>No</v>
      </c>
      <c r="AL2859" s="8" t="str">
        <f ca="1">IFERROR(__xludf.DUMMYFUNCTION("""COMPUTED_VALUE"""),"No")</f>
        <v>No</v>
      </c>
      <c r="AM2859" s="8"/>
      <c r="AN2859" s="8"/>
      <c r="AO2859" s="8" t="str">
        <f ca="1">IFERROR(__xludf.DUMMYFUNCTION("""COMPUTED_VALUE"""),"No")</f>
        <v>No</v>
      </c>
      <c r="AP2859" s="8"/>
      <c r="AQ2859" s="8" t="str">
        <f ca="1">IFERROR(__xludf.DUMMYFUNCTION("""COMPUTED_VALUE"""),"Unknown")</f>
        <v>Unknown</v>
      </c>
      <c r="AR2859" s="8" t="str">
        <f ca="1">IFERROR(__xludf.DUMMYFUNCTION("""COMPUTED_VALUE"""),"NA")</f>
        <v>NA</v>
      </c>
      <c r="AS2859" s="8">
        <f ca="1">IFERROR(__xludf.DUMMYFUNCTION("""COMPUTED_VALUE"""),2)</f>
        <v>2</v>
      </c>
      <c r="AT2859" s="8"/>
      <c r="AU2859" s="8">
        <f ca="1">IFERROR(__xludf.DUMMYFUNCTION("""COMPUTED_VALUE"""),42.275095)</f>
        <v>42.275095</v>
      </c>
      <c r="AV2859" s="8">
        <f ca="1">IFERROR(__xludf.DUMMYFUNCTION("""COMPUTED_VALUE"""),-71.067989)</f>
        <v>-71.067988999999997</v>
      </c>
      <c r="AW2859" s="8"/>
      <c r="AX2859" s="8">
        <f ca="1">IFERROR(__xludf.DUMMYFUNCTION("""COMPUTED_VALUE"""),2124)</f>
        <v>2124</v>
      </c>
    </row>
    <row r="2860" spans="1:50" ht="120" x14ac:dyDescent="0.2">
      <c r="A2860" s="8" t="str">
        <f ca="1">IFERROR(__xludf.DUMMYFUNCTION("""COMPUTED_VALUE"""),"19850121KSGOG")</f>
        <v>19850121KSGOG</v>
      </c>
      <c r="B2860" s="8">
        <f ca="1">IFERROR(__xludf.DUMMYFUNCTION("""COMPUTED_VALUE"""),1)</f>
        <v>1</v>
      </c>
      <c r="C2860" s="8">
        <f ca="1">IFERROR(__xludf.DUMMYFUNCTION("""COMPUTED_VALUE"""),21)</f>
        <v>21</v>
      </c>
      <c r="D2860" s="8">
        <f ca="1">IFERROR(__xludf.DUMMYFUNCTION("""COMPUTED_VALUE"""),1985)</f>
        <v>1985</v>
      </c>
      <c r="E2860" s="9">
        <f ca="1">IFERROR(__xludf.DUMMYFUNCTION("""COMPUTED_VALUE"""),31068)</f>
        <v>31068</v>
      </c>
      <c r="F2860" s="8" t="str">
        <f ca="1">IFERROR(__xludf.DUMMYFUNCTION("""COMPUTED_VALUE"""),"Goddard Junior High School")</f>
        <v>Goddard Junior High School</v>
      </c>
      <c r="G2860" s="8">
        <f ca="1">IFERROR(__xludf.DUMMYFUNCTION("""COMPUTED_VALUE"""),1)</f>
        <v>1</v>
      </c>
      <c r="H2860" s="8">
        <f ca="1">IFERROR(__xludf.DUMMYFUNCTION("""COMPUTED_VALUE"""),3)</f>
        <v>3</v>
      </c>
      <c r="I2860" s="8">
        <f ca="1">IFERROR(__xludf.DUMMYFUNCTION("""COMPUTED_VALUE"""),4)</f>
        <v>4</v>
      </c>
      <c r="J2860" s="8">
        <f ca="1">IFERROR(__xludf.DUMMYFUNCTION("""COMPUTED_VALUE"""),0)</f>
        <v>0</v>
      </c>
      <c r="K2860" s="8" t="str">
        <f ca="1">IFERROR(__xludf.DUMMYFUNCTION("""COMPUTED_VALUE"""),"http://www.kansas.com/news/local/crime/article8073096.html https://www.newspapers.com/image/467980264/?terms=Goddard%2BJunior%2BHigh%2BSchool https://www.nytimes.com/1985/01/23/us/quiet-wichita-suburb-is-bewildered-by-killing-of-popular-principal.html")</f>
        <v>http://www.kansas.com/news/local/crime/article8073096.html https://www.newspapers.com/image/467980264/?terms=Goddard%2BJunior%2BHigh%2BSchool https://www.nytimes.com/1985/01/23/us/quiet-wichita-suburb-is-bewildered-by-killing-of-popular-principal.html</v>
      </c>
      <c r="L2860" s="8"/>
      <c r="M2860" s="8"/>
      <c r="N2860" s="8">
        <f ca="1">IFERROR(__xludf.DUMMYFUNCTION("""COMPUTED_VALUE"""),2)</f>
        <v>2</v>
      </c>
      <c r="O2860" s="8" t="str">
        <f ca="1">IFERROR(__xludf.DUMMYFUNCTION("""COMPUTED_VALUE"""),"Winter")</f>
        <v>Winter</v>
      </c>
      <c r="P2860" s="8" t="str">
        <f ca="1">IFERROR(__xludf.DUMMYFUNCTION("""COMPUTED_VALUE"""),"Goddard")</f>
        <v>Goddard</v>
      </c>
      <c r="Q2860" s="8" t="str">
        <f ca="1">IFERROR(__xludf.DUMMYFUNCTION("""COMPUTED_VALUE"""),"KS")</f>
        <v>KS</v>
      </c>
      <c r="R2860" s="8" t="str">
        <f ca="1">IFERROR(__xludf.DUMMYFUNCTION("""COMPUTED_VALUE"""),"Junior High")</f>
        <v>Junior High</v>
      </c>
      <c r="S2860" s="8" t="str">
        <f ca="1">IFERROR(__xludf.DUMMYFUNCTION("""COMPUTED_VALUE"""),"Hallway")</f>
        <v>Hallway</v>
      </c>
      <c r="T2860" s="8" t="str">
        <f ca="1">IFERROR(__xludf.DUMMYFUNCTION("""COMPUTED_VALUE"""),"Inside School Building")</f>
        <v>Inside School Building</v>
      </c>
      <c r="U2860" s="8" t="str">
        <f ca="1">IFERROR(__xludf.DUMMYFUNCTION("""COMPUTED_VALUE"""),"Yes")</f>
        <v>Yes</v>
      </c>
      <c r="V2860" s="8" t="str">
        <f ca="1">IFERROR(__xludf.DUMMYFUNCTION("""COMPUTED_VALUE"""),"Morning Classes")</f>
        <v>Morning Classes</v>
      </c>
      <c r="W2860" s="11">
        <f ca="1">IFERROR(__xludf.DUMMYFUNCTION("""COMPUTED_VALUE"""),0.461805555555555)</f>
        <v>0.46180555555555503</v>
      </c>
      <c r="X2860" s="8">
        <f ca="1">IFERROR(__xludf.DUMMYFUNCTION("""COMPUTED_VALUE"""),1)</f>
        <v>1</v>
      </c>
      <c r="Y2860" s="12" t="str">
        <f ca="1">IFERROR(__xludf.DUMMYFUNCTION("""COMPUTED_VALUE"""),"Ongoing conflicts with fellow students")</f>
        <v>Ongoing conflicts with fellow students</v>
      </c>
      <c r="Z2860" s="12" t="str">
        <f ca="1">IFERROR(__xludf.DUMMYFUNCTION("""COMPUTED_VALUE"""),"Had made prior threats to kill students - revealed to school counselor that in 1982 he had taken a gun to school to shoot students but backed out of the plan - counselor told principal - parents never informed. Shot targeted teachers and one student in ha"&amp;"llway then ran away from the school. Passed many other students in the hallway while exiting. Police officer found him a mile away and he surrendered. Pockets were full of ammo. Weapons: .308, .357")</f>
        <v>Had made prior threats to kill students - revealed to school counselor that in 1982 he had taken a gun to school to shoot students but backed out of the plan - counselor told principal - parents never informed. Shot targeted teachers and one student in hallway then ran away from the school. Passed many other students in the hallway while exiting. Police officer found him a mile away and he surrendered. Pockets were full of ammo. Weapons: .308, .357</v>
      </c>
      <c r="AA2860" s="8" t="str">
        <f ca="1">IFERROR(__xludf.DUMMYFUNCTION("""COMPUTED_VALUE"""),"Indiscriminate Shooting")</f>
        <v>Indiscriminate Shooting</v>
      </c>
      <c r="AB2860" s="8"/>
      <c r="AC2860" s="8" t="str">
        <f ca="1">IFERROR(__xludf.DUMMYFUNCTION("""COMPUTED_VALUE"""),"Yes")</f>
        <v>Yes</v>
      </c>
      <c r="AD2860" s="8" t="str">
        <f ca="1">IFERROR(__xludf.DUMMYFUNCTION("""COMPUTED_VALUE"""),"Both")</f>
        <v>Both</v>
      </c>
      <c r="AE2860" s="8" t="str">
        <f ca="1">IFERROR(__xludf.DUMMYFUNCTION("""COMPUTED_VALUE"""),"No")</f>
        <v>No</v>
      </c>
      <c r="AF2860" s="8"/>
      <c r="AG2860" s="8" t="str">
        <f ca="1">IFERROR(__xludf.DUMMYFUNCTION("""COMPUTED_VALUE"""),"No")</f>
        <v>No</v>
      </c>
      <c r="AH2860" s="8" t="str">
        <f ca="1">IFERROR(__xludf.DUMMYFUNCTION("""COMPUTED_VALUE"""),"No")</f>
        <v>No</v>
      </c>
      <c r="AI2860" s="8" t="str">
        <f ca="1">IFERROR(__xludf.DUMMYFUNCTION("""COMPUTED_VALUE"""),"No")</f>
        <v>No</v>
      </c>
      <c r="AJ2860" s="8" t="str">
        <f ca="1">IFERROR(__xludf.DUMMYFUNCTION("""COMPUTED_VALUE"""),"Yes")</f>
        <v>Yes</v>
      </c>
      <c r="AK2860" s="8" t="str">
        <f ca="1">IFERROR(__xludf.DUMMYFUNCTION("""COMPUTED_VALUE"""),"No")</f>
        <v>No</v>
      </c>
      <c r="AL2860" s="8" t="str">
        <f ca="1">IFERROR(__xludf.DUMMYFUNCTION("""COMPUTED_VALUE"""),"No")</f>
        <v>No</v>
      </c>
      <c r="AM2860" s="8" t="str">
        <f ca="1">IFERROR(__xludf.DUMMYFUNCTION("""COMPUTED_VALUE"""),"Yes")</f>
        <v>Yes</v>
      </c>
      <c r="AN2860" s="8" t="str">
        <f ca="1">IFERROR(__xludf.DUMMYFUNCTION("""COMPUTED_VALUE"""),"Hallway")</f>
        <v>Hallway</v>
      </c>
      <c r="AO2860" s="8" t="str">
        <f ca="1">IFERROR(__xludf.DUMMYFUNCTION("""COMPUTED_VALUE"""),"Yes")</f>
        <v>Yes</v>
      </c>
      <c r="AP2860" s="8"/>
      <c r="AQ2860" s="8" t="str">
        <f ca="1">IFERROR(__xludf.DUMMYFUNCTION("""COMPUTED_VALUE"""),"Unknown")</f>
        <v>Unknown</v>
      </c>
      <c r="AR2860" s="8" t="str">
        <f ca="1">IFERROR(__xludf.DUMMYFUNCTION("""COMPUTED_VALUE"""),"NA")</f>
        <v>NA</v>
      </c>
      <c r="AS2860" s="8"/>
      <c r="AT2860" s="8"/>
      <c r="AU2860" s="8">
        <f ca="1">IFERROR(__xludf.DUMMYFUNCTION("""COMPUTED_VALUE"""),37.64409)</f>
        <v>37.644089999999998</v>
      </c>
      <c r="AV2860" s="8">
        <f ca="1">IFERROR(__xludf.DUMMYFUNCTION("""COMPUTED_VALUE"""),-97.569951)</f>
        <v>-97.569951000000003</v>
      </c>
      <c r="AW2860" s="8"/>
      <c r="AX2860" s="8">
        <f ca="1">IFERROR(__xludf.DUMMYFUNCTION("""COMPUTED_VALUE"""),67052)</f>
        <v>67052</v>
      </c>
    </row>
    <row r="2861" spans="1:50" ht="75" x14ac:dyDescent="0.2">
      <c r="A2861" s="8" t="str">
        <f ca="1">IFERROR(__xludf.DUMMYFUNCTION("""COMPUTED_VALUE"""),"19850118TXARA")</f>
        <v>19850118TXARA</v>
      </c>
      <c r="B2861" s="8">
        <f ca="1">IFERROR(__xludf.DUMMYFUNCTION("""COMPUTED_VALUE"""),1)</f>
        <v>1</v>
      </c>
      <c r="C2861" s="8">
        <f ca="1">IFERROR(__xludf.DUMMYFUNCTION("""COMPUTED_VALUE"""),18)</f>
        <v>18</v>
      </c>
      <c r="D2861" s="8">
        <f ca="1">IFERROR(__xludf.DUMMYFUNCTION("""COMPUTED_VALUE"""),1985)</f>
        <v>1985</v>
      </c>
      <c r="E2861" s="9">
        <f ca="1">IFERROR(__xludf.DUMMYFUNCTION("""COMPUTED_VALUE"""),31065)</f>
        <v>31065</v>
      </c>
      <c r="F2861" s="8" t="str">
        <f ca="1">IFERROR(__xludf.DUMMYFUNCTION("""COMPUTED_VALUE"""),"Arlington High School")</f>
        <v>Arlington High School</v>
      </c>
      <c r="G2861" s="8">
        <f ca="1">IFERROR(__xludf.DUMMYFUNCTION("""COMPUTED_VALUE"""),0)</f>
        <v>0</v>
      </c>
      <c r="H2861" s="8">
        <f ca="1">IFERROR(__xludf.DUMMYFUNCTION("""COMPUTED_VALUE"""),0)</f>
        <v>0</v>
      </c>
      <c r="I2861" s="8">
        <f ca="1">IFERROR(__xludf.DUMMYFUNCTION("""COMPUTED_VALUE"""),0)</f>
        <v>0</v>
      </c>
      <c r="J2861" s="8">
        <f ca="1">IFERROR(__xludf.DUMMYFUNCTION("""COMPUTED_VALUE"""),1)</f>
        <v>1</v>
      </c>
      <c r="K2861" s="8" t="str">
        <f ca="1">IFERROR(__xludf.DUMMYFUNCTION("""COMPUTED_VALUE"""),"https://www.newspapers.com/image/131737540/?terms=James%2BAustin%2BStailey https://www.upi.com/Archives/1985/01/19/School-stunned-by-students-classroom-suicide/3430474958800/")</f>
        <v>https://www.newspapers.com/image/131737540/?terms=James%2BAustin%2BStailey https://www.upi.com/Archives/1985/01/19/School-stunned-by-students-classroom-suicide/3430474958800/</v>
      </c>
      <c r="L2861" s="8"/>
      <c r="M2861" s="8"/>
      <c r="N2861" s="8">
        <f ca="1">IFERROR(__xludf.DUMMYFUNCTION("""COMPUTED_VALUE"""),3)</f>
        <v>3</v>
      </c>
      <c r="O2861" s="8" t="str">
        <f ca="1">IFERROR(__xludf.DUMMYFUNCTION("""COMPUTED_VALUE"""),"Winter")</f>
        <v>Winter</v>
      </c>
      <c r="P2861" s="8" t="str">
        <f ca="1">IFERROR(__xludf.DUMMYFUNCTION("""COMPUTED_VALUE"""),"Arlington")</f>
        <v>Arlington</v>
      </c>
      <c r="Q2861" s="8" t="str">
        <f ca="1">IFERROR(__xludf.DUMMYFUNCTION("""COMPUTED_VALUE"""),"TX")</f>
        <v>TX</v>
      </c>
      <c r="R2861" s="8" t="str">
        <f ca="1">IFERROR(__xludf.DUMMYFUNCTION("""COMPUTED_VALUE"""),"High")</f>
        <v>High</v>
      </c>
      <c r="S2861" s="8" t="str">
        <f ca="1">IFERROR(__xludf.DUMMYFUNCTION("""COMPUTED_VALUE"""),"Auditorium")</f>
        <v>Auditorium</v>
      </c>
      <c r="T2861" s="8" t="str">
        <f ca="1">IFERROR(__xludf.DUMMYFUNCTION("""COMPUTED_VALUE"""),"Inside School Building")</f>
        <v>Inside School Building</v>
      </c>
      <c r="U2861" s="8" t="str">
        <f ca="1">IFERROR(__xludf.DUMMYFUNCTION("""COMPUTED_VALUE"""),"Yes")</f>
        <v>Yes</v>
      </c>
      <c r="V2861" s="8"/>
      <c r="W2861" s="8"/>
      <c r="X2861" s="8">
        <f ca="1">IFERROR(__xludf.DUMMYFUNCTION("""COMPUTED_VALUE"""),1)</f>
        <v>1</v>
      </c>
      <c r="Y2861" s="12" t="str">
        <f ca="1">IFERROR(__xludf.DUMMYFUNCTION("""COMPUTED_VALUE"""),"Shot self on stage in front of drama students and teacher")</f>
        <v>Shot self on stage in front of drama students and teacher</v>
      </c>
      <c r="Z2861" s="12" t="str">
        <f ca="1">IFERROR(__xludf.DUMMYFUNCTION("""COMPUTED_VALUE"""),"17YOM shot himself in the head with a sawed off shotgun on the stage in front of other drama students and the teacher. Asked class a question about the meaning of life before the shooting. Had discussed suicide with other students. Was scheduled to be the"&amp;" lead in the drama production that night.")</f>
        <v>17YOM shot himself in the head with a sawed off shotgun on the stage in front of other drama students and the teacher. Asked class a question about the meaning of life before the shooting. Had discussed suicide with other students. Was scheduled to be the lead in the drama production that night.</v>
      </c>
      <c r="AA2861" s="8" t="str">
        <f ca="1">IFERROR(__xludf.DUMMYFUNCTION("""COMPUTED_VALUE"""),"Suicide/Attempted")</f>
        <v>Suicide/Attempted</v>
      </c>
      <c r="AB2861" s="8"/>
      <c r="AC2861" s="8"/>
      <c r="AD2861" s="8" t="str">
        <f ca="1">IFERROR(__xludf.DUMMYFUNCTION("""COMPUTED_VALUE"""),"Victims Targeted")</f>
        <v>Victims Targeted</v>
      </c>
      <c r="AE2861" s="8" t="str">
        <f ca="1">IFERROR(__xludf.DUMMYFUNCTION("""COMPUTED_VALUE"""),"No")</f>
        <v>No</v>
      </c>
      <c r="AF2861" s="8"/>
      <c r="AG2861" s="8" t="str">
        <f ca="1">IFERROR(__xludf.DUMMYFUNCTION("""COMPUTED_VALUE"""),"No")</f>
        <v>No</v>
      </c>
      <c r="AH2861" s="8" t="str">
        <f ca="1">IFERROR(__xludf.DUMMYFUNCTION("""COMPUTED_VALUE"""),"No")</f>
        <v>No</v>
      </c>
      <c r="AI2861" s="8" t="str">
        <f ca="1">IFERROR(__xludf.DUMMYFUNCTION("""COMPUTED_VALUE"""),"No")</f>
        <v>No</v>
      </c>
      <c r="AJ2861" s="8" t="str">
        <f ca="1">IFERROR(__xludf.DUMMYFUNCTION("""COMPUTED_VALUE"""),"No")</f>
        <v>No</v>
      </c>
      <c r="AK2861" s="8" t="str">
        <f ca="1">IFERROR(__xludf.DUMMYFUNCTION("""COMPUTED_VALUE"""),"No")</f>
        <v>No</v>
      </c>
      <c r="AL2861" s="8" t="str">
        <f ca="1">IFERROR(__xludf.DUMMYFUNCTION("""COMPUTED_VALUE"""),"No")</f>
        <v>No</v>
      </c>
      <c r="AM2861" s="8"/>
      <c r="AN2861" s="8"/>
      <c r="AO2861" s="8" t="str">
        <f ca="1">IFERROR(__xludf.DUMMYFUNCTION("""COMPUTED_VALUE"""),"No")</f>
        <v>No</v>
      </c>
      <c r="AP2861" s="8"/>
      <c r="AQ2861" s="8" t="str">
        <f ca="1">IFERROR(__xludf.DUMMYFUNCTION("""COMPUTED_VALUE"""),"Unknown")</f>
        <v>Unknown</v>
      </c>
      <c r="AR2861" s="8" t="str">
        <f ca="1">IFERROR(__xludf.DUMMYFUNCTION("""COMPUTED_VALUE"""),"NA")</f>
        <v>NA</v>
      </c>
      <c r="AS2861" s="8">
        <f ca="1">IFERROR(__xludf.DUMMYFUNCTION("""COMPUTED_VALUE"""),1)</f>
        <v>1</v>
      </c>
      <c r="AT2861" s="8"/>
      <c r="AU2861" s="8">
        <f ca="1">IFERROR(__xludf.DUMMYFUNCTION("""COMPUTED_VALUE"""),32.720147)</f>
        <v>32.720146999999997</v>
      </c>
      <c r="AV2861" s="8">
        <f ca="1">IFERROR(__xludf.DUMMYFUNCTION("""COMPUTED_VALUE"""),-97.117005)</f>
        <v>-97.117005000000006</v>
      </c>
      <c r="AW2861" s="8"/>
      <c r="AX2861" s="8">
        <f ca="1">IFERROR(__xludf.DUMMYFUNCTION("""COMPUTED_VALUE"""),76013)</f>
        <v>76013</v>
      </c>
    </row>
    <row r="2862" spans="1:50" ht="75" x14ac:dyDescent="0.2">
      <c r="A2862" s="8" t="str">
        <f ca="1">IFERROR(__xludf.DUMMYFUNCTION("""COMPUTED_VALUE"""),"19841207MOEDS")</f>
        <v>19841207MOEDS</v>
      </c>
      <c r="B2862" s="8">
        <f ca="1">IFERROR(__xludf.DUMMYFUNCTION("""COMPUTED_VALUE"""),12)</f>
        <v>12</v>
      </c>
      <c r="C2862" s="8">
        <f ca="1">IFERROR(__xludf.DUMMYFUNCTION("""COMPUTED_VALUE"""),7)</f>
        <v>7</v>
      </c>
      <c r="D2862" s="8">
        <f ca="1">IFERROR(__xludf.DUMMYFUNCTION("""COMPUTED_VALUE"""),1984)</f>
        <v>1984</v>
      </c>
      <c r="E2862" s="9">
        <f ca="1">IFERROR(__xludf.DUMMYFUNCTION("""COMPUTED_VALUE"""),31023)</f>
        <v>31023</v>
      </c>
      <c r="F2862" s="8" t="str">
        <f ca="1">IFERROR(__xludf.DUMMYFUNCTION("""COMPUTED_VALUE"""),"Edwardsville High School")</f>
        <v>Edwardsville High School</v>
      </c>
      <c r="G2862" s="8">
        <f ca="1">IFERROR(__xludf.DUMMYFUNCTION("""COMPUTED_VALUE"""),0)</f>
        <v>0</v>
      </c>
      <c r="H2862" s="8">
        <f ca="1">IFERROR(__xludf.DUMMYFUNCTION("""COMPUTED_VALUE"""),0)</f>
        <v>0</v>
      </c>
      <c r="I2862" s="8">
        <f ca="1">IFERROR(__xludf.DUMMYFUNCTION("""COMPUTED_VALUE"""),0)</f>
        <v>0</v>
      </c>
      <c r="J2862" s="8">
        <f ca="1">IFERROR(__xludf.DUMMYFUNCTION("""COMPUTED_VALUE"""),0)</f>
        <v>0</v>
      </c>
      <c r="K2862" s="10" t="str">
        <f ca="1">IFERROR(__xludf.DUMMYFUNCTION("""COMPUTED_VALUE"""),"https://www.newspapers.com/image/140853530")</f>
        <v>https://www.newspapers.com/image/140853530</v>
      </c>
      <c r="L2862" s="8"/>
      <c r="M2862" s="8"/>
      <c r="N2862" s="8">
        <f ca="1">IFERROR(__xludf.DUMMYFUNCTION("""COMPUTED_VALUE"""),2)</f>
        <v>2</v>
      </c>
      <c r="O2862" s="8" t="str">
        <f ca="1">IFERROR(__xludf.DUMMYFUNCTION("""COMPUTED_VALUE"""),"Winter")</f>
        <v>Winter</v>
      </c>
      <c r="P2862" s="8" t="str">
        <f ca="1">IFERROR(__xludf.DUMMYFUNCTION("""COMPUTED_VALUE"""),"Edwardsville")</f>
        <v>Edwardsville</v>
      </c>
      <c r="Q2862" s="8" t="str">
        <f ca="1">IFERROR(__xludf.DUMMYFUNCTION("""COMPUTED_VALUE"""),"IL")</f>
        <v>IL</v>
      </c>
      <c r="R2862" s="8" t="str">
        <f ca="1">IFERROR(__xludf.DUMMYFUNCTION("""COMPUTED_VALUE"""),"High")</f>
        <v>High</v>
      </c>
      <c r="S2862" s="8" t="str">
        <f ca="1">IFERROR(__xludf.DUMMYFUNCTION("""COMPUTED_VALUE"""),"Hallway")</f>
        <v>Hallway</v>
      </c>
      <c r="T2862" s="8" t="str">
        <f ca="1">IFERROR(__xludf.DUMMYFUNCTION("""COMPUTED_VALUE"""),"Inside School Building")</f>
        <v>Inside School Building</v>
      </c>
      <c r="U2862" s="8" t="str">
        <f ca="1">IFERROR(__xludf.DUMMYFUNCTION("""COMPUTED_VALUE"""),"Yes")</f>
        <v>Yes</v>
      </c>
      <c r="V2862" s="8" t="str">
        <f ca="1">IFERROR(__xludf.DUMMYFUNCTION("""COMPUTED_VALUE"""),"Before School")</f>
        <v>Before School</v>
      </c>
      <c r="W2862" s="11">
        <f ca="1">IFERROR(__xludf.DUMMYFUNCTION("""COMPUTED_VALUE"""),0.291666666666666)</f>
        <v>0.29166666666666602</v>
      </c>
      <c r="X2862" s="8">
        <f ca="1">IFERROR(__xludf.DUMMYFUNCTION("""COMPUTED_VALUE"""),420)</f>
        <v>420</v>
      </c>
      <c r="Y2862" s="12" t="str">
        <f ca="1">IFERROR(__xludf.DUMMYFUNCTION("""COMPUTED_VALUE"""),"Barricaded inside janitors closet for 7 hours")</f>
        <v>Barricaded inside janitors closet for 7 hours</v>
      </c>
      <c r="Z2862" s="12" t="str">
        <f ca="1">IFERROR(__xludf.DUMMYFUNCTION("""COMPUTED_VALUE"""),"Shooter broke into school before it was open and fired 4 shots in the hallway then barricaded himself inside a janitor's closet for 7 hours. Shooter had a .223 rifle and .44 pistol. Avid hunter and gun user. Surrendered peacefully to police and was taken "&amp;"to psych hospital for evaluation/")</f>
        <v>Shooter broke into school before it was open and fired 4 shots in the hallway then barricaded himself inside a janitor's closet for 7 hours. Shooter had a .223 rifle and .44 pistol. Avid hunter and gun user. Surrendered peacefully to police and was taken to psych hospital for evaluation/</v>
      </c>
      <c r="AA2862" s="8" t="str">
        <f ca="1">IFERROR(__xludf.DUMMYFUNCTION("""COMPUTED_VALUE"""),"Psychosis")</f>
        <v>Psychosis</v>
      </c>
      <c r="AB2862" s="8"/>
      <c r="AC2862" s="8"/>
      <c r="AD2862" s="8" t="str">
        <f ca="1">IFERROR(__xludf.DUMMYFUNCTION("""COMPUTED_VALUE"""),"Random Shooting")</f>
        <v>Random Shooting</v>
      </c>
      <c r="AE2862" s="8" t="str">
        <f ca="1">IFERROR(__xludf.DUMMYFUNCTION("""COMPUTED_VALUE"""),"No")</f>
        <v>No</v>
      </c>
      <c r="AF2862" s="8"/>
      <c r="AG2862" s="8" t="str">
        <f ca="1">IFERROR(__xludf.DUMMYFUNCTION("""COMPUTED_VALUE"""),"No")</f>
        <v>No</v>
      </c>
      <c r="AH2862" s="8" t="str">
        <f ca="1">IFERROR(__xludf.DUMMYFUNCTION("""COMPUTED_VALUE"""),"Yes")</f>
        <v>Yes</v>
      </c>
      <c r="AI2862" s="8" t="str">
        <f ca="1">IFERROR(__xludf.DUMMYFUNCTION("""COMPUTED_VALUE"""),"No")</f>
        <v>No</v>
      </c>
      <c r="AJ2862" s="8" t="str">
        <f ca="1">IFERROR(__xludf.DUMMYFUNCTION("""COMPUTED_VALUE"""),"No")</f>
        <v>No</v>
      </c>
      <c r="AK2862" s="8" t="str">
        <f ca="1">IFERROR(__xludf.DUMMYFUNCTION("""COMPUTED_VALUE"""),"No")</f>
        <v>No</v>
      </c>
      <c r="AL2862" s="8" t="str">
        <f ca="1">IFERROR(__xludf.DUMMYFUNCTION("""COMPUTED_VALUE"""),"No")</f>
        <v>No</v>
      </c>
      <c r="AM2862" s="8" t="str">
        <f ca="1">IFERROR(__xludf.DUMMYFUNCTION("""COMPUTED_VALUE"""),"Yes")</f>
        <v>Yes</v>
      </c>
      <c r="AN2862" s="8" t="str">
        <f ca="1">IFERROR(__xludf.DUMMYFUNCTION("""COMPUTED_VALUE"""),"Single Room")</f>
        <v>Single Room</v>
      </c>
      <c r="AO2862" s="8" t="str">
        <f ca="1">IFERROR(__xludf.DUMMYFUNCTION("""COMPUTED_VALUE"""),"No")</f>
        <v>No</v>
      </c>
      <c r="AP2862" s="8"/>
      <c r="AQ2862" s="8" t="str">
        <f ca="1">IFERROR(__xludf.DUMMYFUNCTION("""COMPUTED_VALUE"""),"Unknown")</f>
        <v>Unknown</v>
      </c>
      <c r="AR2862" s="8" t="str">
        <f ca="1">IFERROR(__xludf.DUMMYFUNCTION("""COMPUTED_VALUE"""),"NA")</f>
        <v>NA</v>
      </c>
      <c r="AS2862" s="8">
        <f ca="1">IFERROR(__xludf.DUMMYFUNCTION("""COMPUTED_VALUE"""),4)</f>
        <v>4</v>
      </c>
      <c r="AT2862" s="8"/>
      <c r="AU2862" s="8">
        <f ca="1">IFERROR(__xludf.DUMMYFUNCTION("""COMPUTED_VALUE"""),38.789024)</f>
        <v>38.789023999999998</v>
      </c>
      <c r="AV2862" s="8">
        <f ca="1">IFERROR(__xludf.DUMMYFUNCTION("""COMPUTED_VALUE"""),-89.976)</f>
        <v>-89.975999999999999</v>
      </c>
      <c r="AW2862" s="8"/>
      <c r="AX2862" s="8">
        <f ca="1">IFERROR(__xludf.DUMMYFUNCTION("""COMPUTED_VALUE"""),62025)</f>
        <v>62025</v>
      </c>
    </row>
    <row r="2863" spans="1:50" ht="45" x14ac:dyDescent="0.2">
      <c r="A2863" s="8" t="str">
        <f ca="1">IFERROR(__xludf.DUMMYFUNCTION("""COMPUTED_VALUE"""),"19841126MDMIR")</f>
        <v>19841126MDMIR</v>
      </c>
      <c r="B2863" s="8">
        <f ca="1">IFERROR(__xludf.DUMMYFUNCTION("""COMPUTED_VALUE"""),11)</f>
        <v>11</v>
      </c>
      <c r="C2863" s="8">
        <f ca="1">IFERROR(__xludf.DUMMYFUNCTION("""COMPUTED_VALUE"""),26)</f>
        <v>26</v>
      </c>
      <c r="D2863" s="8">
        <f ca="1">IFERROR(__xludf.DUMMYFUNCTION("""COMPUTED_VALUE"""),1984)</f>
        <v>1984</v>
      </c>
      <c r="E2863" s="9">
        <f ca="1">IFERROR(__xludf.DUMMYFUNCTION("""COMPUTED_VALUE"""),31012)</f>
        <v>31012</v>
      </c>
      <c r="F2863" s="8" t="str">
        <f ca="1">IFERROR(__xludf.DUMMYFUNCTION("""COMPUTED_VALUE"""),"Millford Mill High School")</f>
        <v>Millford Mill High School</v>
      </c>
      <c r="G2863" s="8">
        <f ca="1">IFERROR(__xludf.DUMMYFUNCTION("""COMPUTED_VALUE"""),0)</f>
        <v>0</v>
      </c>
      <c r="H2863" s="8">
        <f ca="1">IFERROR(__xludf.DUMMYFUNCTION("""COMPUTED_VALUE"""),1)</f>
        <v>1</v>
      </c>
      <c r="I2863" s="8">
        <f ca="1">IFERROR(__xludf.DUMMYFUNCTION("""COMPUTED_VALUE"""),1)</f>
        <v>1</v>
      </c>
      <c r="J2863" s="8">
        <f ca="1">IFERROR(__xludf.DUMMYFUNCTION("""COMPUTED_VALUE"""),0)</f>
        <v>0</v>
      </c>
      <c r="K2863" s="8" t="str">
        <f ca="1">IFERROR(__xludf.DUMMYFUNCTION("""COMPUTED_VALUE"""),"https://www.newspapers.com/image/91955736/?terms=sean%2Brichardson  https://www.newspapers.com/image/372920571/?terms=sean%2Brichardson https://www.newspapers.com/image/377654052/?terms=steven%2Bgabriel")</f>
        <v>https://www.newspapers.com/image/91955736/?terms=sean%2Brichardson  https://www.newspapers.com/image/372920571/?terms=sean%2Brichardson https://www.newspapers.com/image/377654052/?terms=steven%2Bgabriel</v>
      </c>
      <c r="L2863" s="8"/>
      <c r="M2863" s="8"/>
      <c r="N2863" s="8">
        <f ca="1">IFERROR(__xludf.DUMMYFUNCTION("""COMPUTED_VALUE"""),2)</f>
        <v>2</v>
      </c>
      <c r="O2863" s="8" t="str">
        <f ca="1">IFERROR(__xludf.DUMMYFUNCTION("""COMPUTED_VALUE"""),"Fall")</f>
        <v>Fall</v>
      </c>
      <c r="P2863" s="8" t="str">
        <f ca="1">IFERROR(__xludf.DUMMYFUNCTION("""COMPUTED_VALUE"""),"Rockdale")</f>
        <v>Rockdale</v>
      </c>
      <c r="Q2863" s="8" t="str">
        <f ca="1">IFERROR(__xludf.DUMMYFUNCTION("""COMPUTED_VALUE"""),"MD")</f>
        <v>MD</v>
      </c>
      <c r="R2863" s="8" t="str">
        <f ca="1">IFERROR(__xludf.DUMMYFUNCTION("""COMPUTED_VALUE"""),"High")</f>
        <v>High</v>
      </c>
      <c r="S2863" s="8" t="str">
        <f ca="1">IFERROR(__xludf.DUMMYFUNCTION("""COMPUTED_VALUE"""),"Outside on School Property")</f>
        <v>Outside on School Property</v>
      </c>
      <c r="T2863" s="8" t="str">
        <f ca="1">IFERROR(__xludf.DUMMYFUNCTION("""COMPUTED_VALUE"""),"Outside on School Property")</f>
        <v>Outside on School Property</v>
      </c>
      <c r="U2863" s="8" t="str">
        <f ca="1">IFERROR(__xludf.DUMMYFUNCTION("""COMPUTED_VALUE"""),"Yes")</f>
        <v>Yes</v>
      </c>
      <c r="V2863" s="8" t="str">
        <f ca="1">IFERROR(__xludf.DUMMYFUNCTION("""COMPUTED_VALUE"""),"Lunch")</f>
        <v>Lunch</v>
      </c>
      <c r="W2863" s="11">
        <f ca="1">IFERROR(__xludf.DUMMYFUNCTION("""COMPUTED_VALUE"""),0.53125)</f>
        <v>0.53125</v>
      </c>
      <c r="X2863" s="8">
        <f ca="1">IFERROR(__xludf.DUMMYFUNCTION("""COMPUTED_VALUE"""),1)</f>
        <v>1</v>
      </c>
      <c r="Y2863" s="12" t="str">
        <f ca="1">IFERROR(__xludf.DUMMYFUNCTION("""COMPUTED_VALUE"""),"Attempted robbery of victim during lunch break")</f>
        <v>Attempted robbery of victim during lunch break</v>
      </c>
      <c r="Z2863" s="12" t="str">
        <f ca="1">IFERROR(__xludf.DUMMYFUNCTION("""COMPUTED_VALUE"""),"Victim was on lunch break when two men approached and attempted to rob victim of his jacket - when victim fought back, he was shot.")</f>
        <v>Victim was on lunch break when two men approached and attempted to rob victim of his jacket - when victim fought back, he was shot.</v>
      </c>
      <c r="AA2863" s="8" t="str">
        <f ca="1">IFERROR(__xludf.DUMMYFUNCTION("""COMPUTED_VALUE"""),"Illegal Activity")</f>
        <v>Illegal Activity</v>
      </c>
      <c r="AB2863" s="8"/>
      <c r="AC2863" s="8"/>
      <c r="AD2863" s="8" t="str">
        <f ca="1">IFERROR(__xludf.DUMMYFUNCTION("""COMPUTED_VALUE"""),"Victims Targeted")</f>
        <v>Victims Targeted</v>
      </c>
      <c r="AE2863" s="8" t="str">
        <f ca="1">IFERROR(__xludf.DUMMYFUNCTION("""COMPUTED_VALUE"""),"No")</f>
        <v>No</v>
      </c>
      <c r="AF2863" s="8"/>
      <c r="AG2863" s="8" t="str">
        <f ca="1">IFERROR(__xludf.DUMMYFUNCTION("""COMPUTED_VALUE"""),"No")</f>
        <v>No</v>
      </c>
      <c r="AH2863" s="8" t="str">
        <f ca="1">IFERROR(__xludf.DUMMYFUNCTION("""COMPUTED_VALUE"""),"No")</f>
        <v>No</v>
      </c>
      <c r="AI2863" s="8" t="str">
        <f ca="1">IFERROR(__xludf.DUMMYFUNCTION("""COMPUTED_VALUE"""),"No")</f>
        <v>No</v>
      </c>
      <c r="AJ2863" s="8" t="str">
        <f ca="1">IFERROR(__xludf.DUMMYFUNCTION("""COMPUTED_VALUE"""),"No")</f>
        <v>No</v>
      </c>
      <c r="AK2863" s="8" t="str">
        <f ca="1">IFERROR(__xludf.DUMMYFUNCTION("""COMPUTED_VALUE"""),"No")</f>
        <v>No</v>
      </c>
      <c r="AL2863" s="8" t="str">
        <f ca="1">IFERROR(__xludf.DUMMYFUNCTION("""COMPUTED_VALUE"""),"No")</f>
        <v>No</v>
      </c>
      <c r="AM2863" s="8"/>
      <c r="AN2863" s="8"/>
      <c r="AO2863" s="8" t="str">
        <f ca="1">IFERROR(__xludf.DUMMYFUNCTION("""COMPUTED_VALUE"""),"No")</f>
        <v>No</v>
      </c>
      <c r="AP2863" s="8"/>
      <c r="AQ2863" s="8" t="str">
        <f ca="1">IFERROR(__xludf.DUMMYFUNCTION("""COMPUTED_VALUE"""),"Unknown")</f>
        <v>Unknown</v>
      </c>
      <c r="AR2863" s="8" t="str">
        <f ca="1">IFERROR(__xludf.DUMMYFUNCTION("""COMPUTED_VALUE"""),"NA")</f>
        <v>NA</v>
      </c>
      <c r="AS2863" s="8">
        <f ca="1">IFERROR(__xludf.DUMMYFUNCTION("""COMPUTED_VALUE"""),1)</f>
        <v>1</v>
      </c>
      <c r="AT2863" s="8"/>
      <c r="AU2863" s="8">
        <f ca="1">IFERROR(__xludf.DUMMYFUNCTION("""COMPUTED_VALUE"""),39.357167)</f>
        <v>39.357166999999997</v>
      </c>
      <c r="AV2863" s="8">
        <f ca="1">IFERROR(__xludf.DUMMYFUNCTION("""COMPUTED_VALUE"""),-76.75022)</f>
        <v>-76.750219999999999</v>
      </c>
      <c r="AW2863" s="8"/>
      <c r="AX2863" s="8">
        <f ca="1">IFERROR(__xludf.DUMMYFUNCTION("""COMPUTED_VALUE"""),21244)</f>
        <v>21244</v>
      </c>
    </row>
    <row r="2864" spans="1:50" ht="45" x14ac:dyDescent="0.2">
      <c r="A2864" s="8" t="str">
        <f ca="1">IFERROR(__xludf.DUMMYFUNCTION("""COMPUTED_VALUE"""),"19841109CTWIN")</f>
        <v>19841109CTWIN</v>
      </c>
      <c r="B2864" s="8">
        <f ca="1">IFERROR(__xludf.DUMMYFUNCTION("""COMPUTED_VALUE"""),11)</f>
        <v>11</v>
      </c>
      <c r="C2864" s="8">
        <f ca="1">IFERROR(__xludf.DUMMYFUNCTION("""COMPUTED_VALUE"""),9)</f>
        <v>9</v>
      </c>
      <c r="D2864" s="8">
        <f ca="1">IFERROR(__xludf.DUMMYFUNCTION("""COMPUTED_VALUE"""),1984)</f>
        <v>1984</v>
      </c>
      <c r="E2864" s="9">
        <f ca="1">IFERROR(__xludf.DUMMYFUNCTION("""COMPUTED_VALUE"""),30995)</f>
        <v>30995</v>
      </c>
      <c r="F2864" s="8" t="str">
        <f ca="1">IFERROR(__xludf.DUMMYFUNCTION("""COMPUTED_VALUE"""),"Wilbur Cross High School")</f>
        <v>Wilbur Cross High School</v>
      </c>
      <c r="G2864" s="8">
        <f ca="1">IFERROR(__xludf.DUMMYFUNCTION("""COMPUTED_VALUE"""),0)</f>
        <v>0</v>
      </c>
      <c r="H2864" s="8">
        <f ca="1">IFERROR(__xludf.DUMMYFUNCTION("""COMPUTED_VALUE"""),1)</f>
        <v>1</v>
      </c>
      <c r="I2864" s="8">
        <f ca="1">IFERROR(__xludf.DUMMYFUNCTION("""COMPUTED_VALUE"""),1)</f>
        <v>1</v>
      </c>
      <c r="J2864" s="8">
        <f ca="1">IFERROR(__xludf.DUMMYFUNCTION("""COMPUTED_VALUE"""),0)</f>
        <v>0</v>
      </c>
      <c r="K2864" s="10" t="str">
        <f ca="1">IFERROR(__xludf.DUMMYFUNCTION("""COMPUTED_VALUE"""),"https://www.nytimes.com/1994/11/10/nyregion/student-is-shot-at-a-high-school-in-new-haven.html")</f>
        <v>https://www.nytimes.com/1994/11/10/nyregion/student-is-shot-at-a-high-school-in-new-haven.html</v>
      </c>
      <c r="L2864" s="8"/>
      <c r="M2864" s="8"/>
      <c r="N2864" s="8">
        <f ca="1">IFERROR(__xludf.DUMMYFUNCTION("""COMPUTED_VALUE"""),2)</f>
        <v>2</v>
      </c>
      <c r="O2864" s="8" t="str">
        <f ca="1">IFERROR(__xludf.DUMMYFUNCTION("""COMPUTED_VALUE"""),"Fall")</f>
        <v>Fall</v>
      </c>
      <c r="P2864" s="8" t="str">
        <f ca="1">IFERROR(__xludf.DUMMYFUNCTION("""COMPUTED_VALUE"""),"New Haven")</f>
        <v>New Haven</v>
      </c>
      <c r="Q2864" s="8" t="str">
        <f ca="1">IFERROR(__xludf.DUMMYFUNCTION("""COMPUTED_VALUE"""),"CT")</f>
        <v>CT</v>
      </c>
      <c r="R2864" s="8" t="str">
        <f ca="1">IFERROR(__xludf.DUMMYFUNCTION("""COMPUTED_VALUE"""),"High")</f>
        <v>High</v>
      </c>
      <c r="S2864" s="8" t="str">
        <f ca="1">IFERROR(__xludf.DUMMYFUNCTION("""COMPUTED_VALUE"""),"Hallway")</f>
        <v>Hallway</v>
      </c>
      <c r="T2864" s="8" t="str">
        <f ca="1">IFERROR(__xludf.DUMMYFUNCTION("""COMPUTED_VALUE"""),"Inside School Building")</f>
        <v>Inside School Building</v>
      </c>
      <c r="U2864" s="8" t="str">
        <f ca="1">IFERROR(__xludf.DUMMYFUNCTION("""COMPUTED_VALUE"""),"Yes")</f>
        <v>Yes</v>
      </c>
      <c r="V2864" s="8" t="str">
        <f ca="1">IFERROR(__xludf.DUMMYFUNCTION("""COMPUTED_VALUE"""),"School Start")</f>
        <v>School Start</v>
      </c>
      <c r="W2864" s="11">
        <f ca="1">IFERROR(__xludf.DUMMYFUNCTION("""COMPUTED_VALUE"""),0.375)</f>
        <v>0.375</v>
      </c>
      <c r="X2864" s="8">
        <f ca="1">IFERROR(__xludf.DUMMYFUNCTION("""COMPUTED_VALUE"""),1)</f>
        <v>1</v>
      </c>
      <c r="Y2864" s="12" t="str">
        <f ca="1">IFERROR(__xludf.DUMMYFUNCTION("""COMPUTED_VALUE"""),"Student shot during argument with 4 students")</f>
        <v>Student shot during argument with 4 students</v>
      </c>
      <c r="Z2864" s="12" t="str">
        <f ca="1">IFERROR(__xludf.DUMMYFUNCTION("""COMPUTED_VALUE"""),"16YOM student shot during argument in hallway with 4 other students. Shooter was student with frequent disciplinary issues.")</f>
        <v>16YOM student shot during argument in hallway with 4 other students. Shooter was student with frequent disciplinary issues.</v>
      </c>
      <c r="AA2864" s="8" t="str">
        <f ca="1">IFERROR(__xludf.DUMMYFUNCTION("""COMPUTED_VALUE"""),"Escalation of Dispute")</f>
        <v>Escalation of Dispute</v>
      </c>
      <c r="AB2864" s="8"/>
      <c r="AC2864" s="8"/>
      <c r="AD2864" s="8" t="str">
        <f ca="1">IFERROR(__xludf.DUMMYFUNCTION("""COMPUTED_VALUE"""),"Victims Targeted")</f>
        <v>Victims Targeted</v>
      </c>
      <c r="AE2864" s="8" t="str">
        <f ca="1">IFERROR(__xludf.DUMMYFUNCTION("""COMPUTED_VALUE"""),"Yes")</f>
        <v>Yes</v>
      </c>
      <c r="AF2864" s="8" t="str">
        <f ca="1">IFERROR(__xludf.DUMMYFUNCTION("""COMPUTED_VALUE"""),"4 students confronted the victim")</f>
        <v>4 students confronted the victim</v>
      </c>
      <c r="AG2864" s="8" t="str">
        <f ca="1">IFERROR(__xludf.DUMMYFUNCTION("""COMPUTED_VALUE"""),"No")</f>
        <v>No</v>
      </c>
      <c r="AH2864" s="8" t="str">
        <f ca="1">IFERROR(__xludf.DUMMYFUNCTION("""COMPUTED_VALUE"""),"No")</f>
        <v>No</v>
      </c>
      <c r="AI2864" s="8" t="str">
        <f ca="1">IFERROR(__xludf.DUMMYFUNCTION("""COMPUTED_VALUE"""),"No")</f>
        <v>No</v>
      </c>
      <c r="AJ2864" s="8" t="str">
        <f ca="1">IFERROR(__xludf.DUMMYFUNCTION("""COMPUTED_VALUE"""),"No")</f>
        <v>No</v>
      </c>
      <c r="AK2864" s="8" t="str">
        <f ca="1">IFERROR(__xludf.DUMMYFUNCTION("""COMPUTED_VALUE"""),"No")</f>
        <v>No</v>
      </c>
      <c r="AL2864" s="8" t="str">
        <f ca="1">IFERROR(__xludf.DUMMYFUNCTION("""COMPUTED_VALUE"""),"No")</f>
        <v>No</v>
      </c>
      <c r="AM2864" s="8"/>
      <c r="AN2864" s="8"/>
      <c r="AO2864" s="8" t="str">
        <f ca="1">IFERROR(__xludf.DUMMYFUNCTION("""COMPUTED_VALUE"""),"No")</f>
        <v>No</v>
      </c>
      <c r="AP2864" s="8"/>
      <c r="AQ2864" s="8" t="str">
        <f ca="1">IFERROR(__xludf.DUMMYFUNCTION("""COMPUTED_VALUE"""),"Unknown")</f>
        <v>Unknown</v>
      </c>
      <c r="AR2864" s="8" t="str">
        <f ca="1">IFERROR(__xludf.DUMMYFUNCTION("""COMPUTED_VALUE"""),"NA")</f>
        <v>NA</v>
      </c>
      <c r="AS2864" s="8">
        <f ca="1">IFERROR(__xludf.DUMMYFUNCTION("""COMPUTED_VALUE"""),1)</f>
        <v>1</v>
      </c>
      <c r="AT2864" s="8"/>
      <c r="AU2864" s="8">
        <f ca="1">IFERROR(__xludf.DUMMYFUNCTION("""COMPUTED_VALUE"""),41.32411)</f>
        <v>41.324109999999997</v>
      </c>
      <c r="AV2864" s="8">
        <f ca="1">IFERROR(__xludf.DUMMYFUNCTION("""COMPUTED_VALUE"""),-72.907961)</f>
        <v>-72.907961</v>
      </c>
      <c r="AW2864" s="8"/>
      <c r="AX2864" s="8">
        <f ca="1">IFERROR(__xludf.DUMMYFUNCTION("""COMPUTED_VALUE"""),6511)</f>
        <v>6511</v>
      </c>
    </row>
    <row r="2865" spans="1:50" ht="30" x14ac:dyDescent="0.2">
      <c r="A2865" s="8" t="str">
        <f ca="1">IFERROR(__xludf.DUMMYFUNCTION("""COMPUTED_VALUE"""),"19841031LAEAG")</f>
        <v>19841031LAEAG</v>
      </c>
      <c r="B2865" s="8">
        <f ca="1">IFERROR(__xludf.DUMMYFUNCTION("""COMPUTED_VALUE"""),10)</f>
        <v>10</v>
      </c>
      <c r="C2865" s="8">
        <f ca="1">IFERROR(__xludf.DUMMYFUNCTION("""COMPUTED_VALUE"""),31)</f>
        <v>31</v>
      </c>
      <c r="D2865" s="8">
        <f ca="1">IFERROR(__xludf.DUMMYFUNCTION("""COMPUTED_VALUE"""),1984)</f>
        <v>1984</v>
      </c>
      <c r="E2865" s="9">
        <f ca="1">IFERROR(__xludf.DUMMYFUNCTION("""COMPUTED_VALUE"""),30986)</f>
        <v>30986</v>
      </c>
      <c r="F2865" s="8" t="str">
        <f ca="1">IFERROR(__xludf.DUMMYFUNCTION("""COMPUTED_VALUE"""),"East Ascension High School")</f>
        <v>East Ascension High School</v>
      </c>
      <c r="G2865" s="8">
        <f ca="1">IFERROR(__xludf.DUMMYFUNCTION("""COMPUTED_VALUE"""),1)</f>
        <v>1</v>
      </c>
      <c r="H2865" s="8">
        <f ca="1">IFERROR(__xludf.DUMMYFUNCTION("""COMPUTED_VALUE"""),0)</f>
        <v>0</v>
      </c>
      <c r="I2865" s="8">
        <f ca="1">IFERROR(__xludf.DUMMYFUNCTION("""COMPUTED_VALUE"""),1)</f>
        <v>1</v>
      </c>
      <c r="J2865" s="8">
        <f ca="1">IFERROR(__xludf.DUMMYFUNCTION("""COMPUTED_VALUE"""),0)</f>
        <v>0</v>
      </c>
      <c r="K2865" s="8" t="str">
        <f ca="1">IFERROR(__xludf.DUMMYFUNCTION("""COMPUTED_VALUE"""),"https://www.newspapers.com/image/217132871/?terms=student%2Bshot   https://www.newspapers.com/image/216328910/?terms=Ascension%2Bhigh%2Bschool  https://www.newspapers.com/image/228533969/?terms=JOSEPH%2BBUCHANAN")</f>
        <v>https://www.newspapers.com/image/217132871/?terms=student%2Bshot   https://www.newspapers.com/image/216328910/?terms=Ascension%2Bhigh%2Bschool  https://www.newspapers.com/image/228533969/?terms=JOSEPH%2BBUCHANAN</v>
      </c>
      <c r="L2865" s="8"/>
      <c r="M2865" s="8"/>
      <c r="N2865" s="8">
        <f ca="1">IFERROR(__xludf.DUMMYFUNCTION("""COMPUTED_VALUE"""),3)</f>
        <v>3</v>
      </c>
      <c r="O2865" s="8" t="str">
        <f ca="1">IFERROR(__xludf.DUMMYFUNCTION("""COMPUTED_VALUE"""),"Fall")</f>
        <v>Fall</v>
      </c>
      <c r="P2865" s="8" t="str">
        <f ca="1">IFERROR(__xludf.DUMMYFUNCTION("""COMPUTED_VALUE"""),"Gonzales")</f>
        <v>Gonzales</v>
      </c>
      <c r="Q2865" s="8" t="str">
        <f ca="1">IFERROR(__xludf.DUMMYFUNCTION("""COMPUTED_VALUE"""),"LA")</f>
        <v>LA</v>
      </c>
      <c r="R2865" s="8" t="str">
        <f ca="1">IFERROR(__xludf.DUMMYFUNCTION("""COMPUTED_VALUE"""),"High")</f>
        <v>High</v>
      </c>
      <c r="S2865" s="8" t="str">
        <f ca="1">IFERROR(__xludf.DUMMYFUNCTION("""COMPUTED_VALUE"""),"Outside on School Property")</f>
        <v>Outside on School Property</v>
      </c>
      <c r="T2865" s="8" t="str">
        <f ca="1">IFERROR(__xludf.DUMMYFUNCTION("""COMPUTED_VALUE"""),"Outside on School Property")</f>
        <v>Outside on School Property</v>
      </c>
      <c r="U2865" s="8" t="str">
        <f ca="1">IFERROR(__xludf.DUMMYFUNCTION("""COMPUTED_VALUE"""),"Yes")</f>
        <v>Yes</v>
      </c>
      <c r="V2865" s="8" t="str">
        <f ca="1">IFERROR(__xludf.DUMMYFUNCTION("""COMPUTED_VALUE"""),"Before School")</f>
        <v>Before School</v>
      </c>
      <c r="W2865" s="11">
        <f ca="1">IFERROR(__xludf.DUMMYFUNCTION("""COMPUTED_VALUE"""),0.354166666666666)</f>
        <v>0.35416666666666602</v>
      </c>
      <c r="X2865" s="8">
        <f ca="1">IFERROR(__xludf.DUMMYFUNCTION("""COMPUTED_VALUE"""),1)</f>
        <v>1</v>
      </c>
      <c r="Y2865" s="12" t="str">
        <f ca="1">IFERROR(__xludf.DUMMYFUNCTION("""COMPUTED_VALUE"""),"Ongoing conflicts with fellow students")</f>
        <v>Ongoing conflicts with fellow students</v>
      </c>
      <c r="Z2865" s="12" t="str">
        <f ca="1">IFERROR(__xludf.DUMMYFUNCTION("""COMPUTED_VALUE"""),"Two students, one white and the other black, didn't get along. White student shot and killed black student.")</f>
        <v>Two students, one white and the other black, didn't get along. White student shot and killed black student.</v>
      </c>
      <c r="AA2865" s="8" t="str">
        <f ca="1">IFERROR(__xludf.DUMMYFUNCTION("""COMPUTED_VALUE"""),"Escalation of Dispute")</f>
        <v>Escalation of Dispute</v>
      </c>
      <c r="AB2865" s="8"/>
      <c r="AC2865" s="8"/>
      <c r="AD2865" s="8" t="str">
        <f ca="1">IFERROR(__xludf.DUMMYFUNCTION("""COMPUTED_VALUE"""),"Victims Targeted")</f>
        <v>Victims Targeted</v>
      </c>
      <c r="AE2865" s="8" t="str">
        <f ca="1">IFERROR(__xludf.DUMMYFUNCTION("""COMPUTED_VALUE"""),"No")</f>
        <v>No</v>
      </c>
      <c r="AF2865" s="8"/>
      <c r="AG2865" s="8" t="str">
        <f ca="1">IFERROR(__xludf.DUMMYFUNCTION("""COMPUTED_VALUE"""),"No")</f>
        <v>No</v>
      </c>
      <c r="AH2865" s="8" t="str">
        <f ca="1">IFERROR(__xludf.DUMMYFUNCTION("""COMPUTED_VALUE"""),"No")</f>
        <v>No</v>
      </c>
      <c r="AI2865" s="8" t="str">
        <f ca="1">IFERROR(__xludf.DUMMYFUNCTION("""COMPUTED_VALUE"""),"No")</f>
        <v>No</v>
      </c>
      <c r="AJ2865" s="8" t="str">
        <f ca="1">IFERROR(__xludf.DUMMYFUNCTION("""COMPUTED_VALUE"""),"No")</f>
        <v>No</v>
      </c>
      <c r="AK2865" s="8" t="str">
        <f ca="1">IFERROR(__xludf.DUMMYFUNCTION("""COMPUTED_VALUE"""),"No")</f>
        <v>No</v>
      </c>
      <c r="AL2865" s="8" t="str">
        <f ca="1">IFERROR(__xludf.DUMMYFUNCTION("""COMPUTED_VALUE"""),"No")</f>
        <v>No</v>
      </c>
      <c r="AM2865" s="8"/>
      <c r="AN2865" s="8"/>
      <c r="AO2865" s="8" t="str">
        <f ca="1">IFERROR(__xludf.DUMMYFUNCTION("""COMPUTED_VALUE"""),"No")</f>
        <v>No</v>
      </c>
      <c r="AP2865" s="8"/>
      <c r="AQ2865" s="8" t="str">
        <f ca="1">IFERROR(__xludf.DUMMYFUNCTION("""COMPUTED_VALUE"""),"Unknown")</f>
        <v>Unknown</v>
      </c>
      <c r="AR2865" s="8" t="str">
        <f ca="1">IFERROR(__xludf.DUMMYFUNCTION("""COMPUTED_VALUE"""),"NA")</f>
        <v>NA</v>
      </c>
      <c r="AS2865" s="8">
        <f ca="1">IFERROR(__xludf.DUMMYFUNCTION("""COMPUTED_VALUE"""),1)</f>
        <v>1</v>
      </c>
      <c r="AT2865" s="8"/>
      <c r="AU2865" s="8">
        <f ca="1">IFERROR(__xludf.DUMMYFUNCTION("""COMPUTED_VALUE"""),30.227281)</f>
        <v>30.227281000000001</v>
      </c>
      <c r="AV2865" s="8">
        <f ca="1">IFERROR(__xludf.DUMMYFUNCTION("""COMPUTED_VALUE"""),-90.915556)</f>
        <v>-90.915555999999995</v>
      </c>
      <c r="AW2865" s="8"/>
      <c r="AX2865" s="8">
        <f ca="1">IFERROR(__xludf.DUMMYFUNCTION("""COMPUTED_VALUE"""),70737)</f>
        <v>70737</v>
      </c>
    </row>
    <row r="2866" spans="1:50" ht="105" x14ac:dyDescent="0.2">
      <c r="A2866" s="8" t="str">
        <f ca="1">IFERROR(__xludf.DUMMYFUNCTION("""COMPUTED_VALUE"""),"19841030SCPEP")</f>
        <v>19841030SCPEP</v>
      </c>
      <c r="B2866" s="8">
        <f ca="1">IFERROR(__xludf.DUMMYFUNCTION("""COMPUTED_VALUE"""),10)</f>
        <v>10</v>
      </c>
      <c r="C2866" s="8">
        <f ca="1">IFERROR(__xludf.DUMMYFUNCTION("""COMPUTED_VALUE"""),30)</f>
        <v>30</v>
      </c>
      <c r="D2866" s="8">
        <f ca="1">IFERROR(__xludf.DUMMYFUNCTION("""COMPUTED_VALUE"""),1984)</f>
        <v>1984</v>
      </c>
      <c r="E2866" s="9">
        <f ca="1">IFERROR(__xludf.DUMMYFUNCTION("""COMPUTED_VALUE"""),30985)</f>
        <v>30985</v>
      </c>
      <c r="F2866" s="8" t="str">
        <f ca="1">IFERROR(__xludf.DUMMYFUNCTION("""COMPUTED_VALUE"""),"Pendleton High School")</f>
        <v>Pendleton High School</v>
      </c>
      <c r="G2866" s="8">
        <f ca="1">IFERROR(__xludf.DUMMYFUNCTION("""COMPUTED_VALUE"""),0)</f>
        <v>0</v>
      </c>
      <c r="H2866" s="8">
        <f ca="1">IFERROR(__xludf.DUMMYFUNCTION("""COMPUTED_VALUE"""),2)</f>
        <v>2</v>
      </c>
      <c r="I2866" s="8">
        <f ca="1">IFERROR(__xludf.DUMMYFUNCTION("""COMPUTED_VALUE"""),2)</f>
        <v>2</v>
      </c>
      <c r="J2866" s="8">
        <f ca="1">IFERROR(__xludf.DUMMYFUNCTION("""COMPUTED_VALUE"""),0)</f>
        <v>0</v>
      </c>
      <c r="K2866" s="10" t="str">
        <f ca="1">IFERROR(__xludf.DUMMYFUNCTION("""COMPUTED_VALUE"""),"https://www.newspapers.com/image/190761964/?terms=teacher%2Bshot")</f>
        <v>https://www.newspapers.com/image/190761964/?terms=teacher%2Bshot</v>
      </c>
      <c r="L2866" s="8"/>
      <c r="M2866" s="8"/>
      <c r="N2866" s="8">
        <f ca="1">IFERROR(__xludf.DUMMYFUNCTION("""COMPUTED_VALUE"""),2)</f>
        <v>2</v>
      </c>
      <c r="O2866" s="8" t="str">
        <f ca="1">IFERROR(__xludf.DUMMYFUNCTION("""COMPUTED_VALUE"""),"Fall")</f>
        <v>Fall</v>
      </c>
      <c r="P2866" s="8" t="str">
        <f ca="1">IFERROR(__xludf.DUMMYFUNCTION("""COMPUTED_VALUE"""),"Pendleton")</f>
        <v>Pendleton</v>
      </c>
      <c r="Q2866" s="8" t="str">
        <f ca="1">IFERROR(__xludf.DUMMYFUNCTION("""COMPUTED_VALUE"""),"SC")</f>
        <v>SC</v>
      </c>
      <c r="R2866" s="8" t="str">
        <f ca="1">IFERROR(__xludf.DUMMYFUNCTION("""COMPUTED_VALUE"""),"High")</f>
        <v>High</v>
      </c>
      <c r="S2866" s="8" t="str">
        <f ca="1">IFERROR(__xludf.DUMMYFUNCTION("""COMPUTED_VALUE"""),"Hallway")</f>
        <v>Hallway</v>
      </c>
      <c r="T2866" s="8" t="str">
        <f ca="1">IFERROR(__xludf.DUMMYFUNCTION("""COMPUTED_VALUE"""),"Inside School Building")</f>
        <v>Inside School Building</v>
      </c>
      <c r="U2866" s="8" t="str">
        <f ca="1">IFERROR(__xludf.DUMMYFUNCTION("""COMPUTED_VALUE"""),"Yes")</f>
        <v>Yes</v>
      </c>
      <c r="V2866" s="8" t="str">
        <f ca="1">IFERROR(__xludf.DUMMYFUNCTION("""COMPUTED_VALUE"""),"Lunch")</f>
        <v>Lunch</v>
      </c>
      <c r="W2866" s="11">
        <f ca="1">IFERROR(__xludf.DUMMYFUNCTION("""COMPUTED_VALUE"""),0.53125)</f>
        <v>0.53125</v>
      </c>
      <c r="X2866" s="8"/>
      <c r="Y2866" s="12" t="str">
        <f ca="1">IFERROR(__xludf.DUMMYFUNCTION("""COMPUTED_VALUE"""),"Shooter at school to see girlfriend - was told to leave, detained, during fight with teachers he shot gun")</f>
        <v>Shooter at school to see girlfriend - was told to leave, detained, during fight with teachers he shot gun</v>
      </c>
      <c r="Z2866" s="12" t="str">
        <f ca="1">IFERROR(__xludf.DUMMYFUNCTION("""COMPUTED_VALUE"""),"Shooter (non student) was at the school to see his girlfriend (student) - School staff told him to leave as no visitors allowed. He ran down hallway and was detained by school staff who call police. While waiting for police, shooter began to fight with te"&amp;"achers, pulled gun from pants and shot three times, one bullet hit teacher in groin. Another teacher injured his hand when he put it in between hammer of gun.")</f>
        <v>Shooter (non student) was at the school to see his girlfriend (student) - School staff told him to leave as no visitors allowed. He ran down hallway and was detained by school staff who call police. While waiting for police, shooter began to fight with teachers, pulled gun from pants and shot three times, one bullet hit teacher in groin. Another teacher injured his hand when he put it in between hammer of gun.</v>
      </c>
      <c r="AA2866" s="8" t="str">
        <f ca="1">IFERROR(__xludf.DUMMYFUNCTION("""COMPUTED_VALUE"""),"Escalation of Dispute")</f>
        <v>Escalation of Dispute</v>
      </c>
      <c r="AB2866" s="8"/>
      <c r="AC2866" s="8"/>
      <c r="AD2866" s="8" t="str">
        <f ca="1">IFERROR(__xludf.DUMMYFUNCTION("""COMPUTED_VALUE"""),"Both")</f>
        <v>Both</v>
      </c>
      <c r="AE2866" s="8" t="str">
        <f ca="1">IFERROR(__xludf.DUMMYFUNCTION("""COMPUTED_VALUE"""),"No")</f>
        <v>No</v>
      </c>
      <c r="AF2866" s="8"/>
      <c r="AG2866" s="8" t="str">
        <f ca="1">IFERROR(__xludf.DUMMYFUNCTION("""COMPUTED_VALUE"""),"No")</f>
        <v>No</v>
      </c>
      <c r="AH2866" s="8" t="str">
        <f ca="1">IFERROR(__xludf.DUMMYFUNCTION("""COMPUTED_VALUE"""),"No")</f>
        <v>No</v>
      </c>
      <c r="AI2866" s="8" t="str">
        <f ca="1">IFERROR(__xludf.DUMMYFUNCTION("""COMPUTED_VALUE"""),"No")</f>
        <v>No</v>
      </c>
      <c r="AJ2866" s="8" t="str">
        <f ca="1">IFERROR(__xludf.DUMMYFUNCTION("""COMPUTED_VALUE"""),"No")</f>
        <v>No</v>
      </c>
      <c r="AK2866" s="8" t="str">
        <f ca="1">IFERROR(__xludf.DUMMYFUNCTION("""COMPUTED_VALUE"""),"No")</f>
        <v>No</v>
      </c>
      <c r="AL2866" s="8" t="str">
        <f ca="1">IFERROR(__xludf.DUMMYFUNCTION("""COMPUTED_VALUE"""),"No")</f>
        <v>No</v>
      </c>
      <c r="AM2866" s="8"/>
      <c r="AN2866" s="8"/>
      <c r="AO2866" s="8" t="str">
        <f ca="1">IFERROR(__xludf.DUMMYFUNCTION("""COMPUTED_VALUE"""),"No")</f>
        <v>No</v>
      </c>
      <c r="AP2866" s="8"/>
      <c r="AQ2866" s="8" t="str">
        <f ca="1">IFERROR(__xludf.DUMMYFUNCTION("""COMPUTED_VALUE"""),"Unknown")</f>
        <v>Unknown</v>
      </c>
      <c r="AR2866" s="8" t="str">
        <f ca="1">IFERROR(__xludf.DUMMYFUNCTION("""COMPUTED_VALUE"""),"NA")</f>
        <v>NA</v>
      </c>
      <c r="AS2866" s="8">
        <f ca="1">IFERROR(__xludf.DUMMYFUNCTION("""COMPUTED_VALUE"""),3)</f>
        <v>3</v>
      </c>
      <c r="AT2866" s="8"/>
      <c r="AU2866" s="8">
        <f ca="1">IFERROR(__xludf.DUMMYFUNCTION("""COMPUTED_VALUE"""),34.612756)</f>
        <v>34.612755999999997</v>
      </c>
      <c r="AV2866" s="8">
        <f ca="1">IFERROR(__xludf.DUMMYFUNCTION("""COMPUTED_VALUE"""),-82.784346)</f>
        <v>-82.784345999999999</v>
      </c>
      <c r="AW2866" s="8"/>
      <c r="AX2866" s="8">
        <f ca="1">IFERROR(__xludf.DUMMYFUNCTION("""COMPUTED_VALUE"""),29625)</f>
        <v>29625</v>
      </c>
    </row>
    <row r="2867" spans="1:50" ht="150" x14ac:dyDescent="0.2">
      <c r="A2867" s="8" t="str">
        <f ca="1">IFERROR(__xludf.DUMMYFUNCTION("""COMPUTED_VALUE"""),"19841024OHWEC")</f>
        <v>19841024OHWEC</v>
      </c>
      <c r="B2867" s="8">
        <f ca="1">IFERROR(__xludf.DUMMYFUNCTION("""COMPUTED_VALUE"""),10)</f>
        <v>10</v>
      </c>
      <c r="C2867" s="8">
        <f ca="1">IFERROR(__xludf.DUMMYFUNCTION("""COMPUTED_VALUE"""),24)</f>
        <v>24</v>
      </c>
      <c r="D2867" s="8">
        <f ca="1">IFERROR(__xludf.DUMMYFUNCTION("""COMPUTED_VALUE"""),1984)</f>
        <v>1984</v>
      </c>
      <c r="E2867" s="9">
        <f ca="1">IFERROR(__xludf.DUMMYFUNCTION("""COMPUTED_VALUE"""),30979)</f>
        <v>30979</v>
      </c>
      <c r="F2867" s="8" t="str">
        <f ca="1">IFERROR(__xludf.DUMMYFUNCTION("""COMPUTED_VALUE"""),"West Elementary School Bus")</f>
        <v>West Elementary School Bus</v>
      </c>
      <c r="G2867" s="8">
        <f ca="1">IFERROR(__xludf.DUMMYFUNCTION("""COMPUTED_VALUE"""),1)</f>
        <v>1</v>
      </c>
      <c r="H2867" s="8">
        <f ca="1">IFERROR(__xludf.DUMMYFUNCTION("""COMPUTED_VALUE"""),0)</f>
        <v>0</v>
      </c>
      <c r="I2867" s="8">
        <f ca="1">IFERROR(__xludf.DUMMYFUNCTION("""COMPUTED_VALUE"""),1)</f>
        <v>1</v>
      </c>
      <c r="J2867" s="8">
        <f ca="1">IFERROR(__xludf.DUMMYFUNCTION("""COMPUTED_VALUE"""),0)</f>
        <v>0</v>
      </c>
      <c r="K2867" s="8" t="str">
        <f ca="1">IFERROR(__xludf.DUMMYFUNCTION("""COMPUTED_VALUE"""),"https://www.newspapers.com/image/264063397/?terms=shirley%2Bshindeldecker   https://www.newspapers.com/image/406769644/?terms=shirley%2Bshindeldecker   https://www.newspapers.com/image/101738015/?terms=shirley%2Bshindeldecker   https://www.newspapers.com/"&amp;"image/406752680/")</f>
        <v>https://www.newspapers.com/image/264063397/?terms=shirley%2Bshindeldecker   https://www.newspapers.com/image/406769644/?terms=shirley%2Bshindeldecker   https://www.newspapers.com/image/101738015/?terms=shirley%2Bshindeldecker   https://www.newspapers.com/image/406752680/</v>
      </c>
      <c r="L2867" s="8">
        <f ca="1">IFERROR(__xludf.DUMMYFUNCTION("""COMPUTED_VALUE"""),2)</f>
        <v>2</v>
      </c>
      <c r="M2867" s="8" t="str">
        <f ca="1">IFERROR(__xludf.DUMMYFUNCTION("""COMPUTED_VALUE"""),"Local")</f>
        <v>Local</v>
      </c>
      <c r="N2867" s="8">
        <f ca="1">IFERROR(__xludf.DUMMYFUNCTION("""COMPUTED_VALUE"""),2)</f>
        <v>2</v>
      </c>
      <c r="O2867" s="8" t="str">
        <f ca="1">IFERROR(__xludf.DUMMYFUNCTION("""COMPUTED_VALUE"""),"Fall")</f>
        <v>Fall</v>
      </c>
      <c r="P2867" s="8" t="str">
        <f ca="1">IFERROR(__xludf.DUMMYFUNCTION("""COMPUTED_VALUE"""),"Celina")</f>
        <v>Celina</v>
      </c>
      <c r="Q2867" s="8" t="str">
        <f ca="1">IFERROR(__xludf.DUMMYFUNCTION("""COMPUTED_VALUE"""),"OH")</f>
        <v>OH</v>
      </c>
      <c r="R2867" s="8" t="str">
        <f ca="1">IFERROR(__xludf.DUMMYFUNCTION("""COMPUTED_VALUE"""),"Elementary")</f>
        <v>Elementary</v>
      </c>
      <c r="S2867" s="8" t="str">
        <f ca="1">IFERROR(__xludf.DUMMYFUNCTION("""COMPUTED_VALUE"""),"School Bus")</f>
        <v>School Bus</v>
      </c>
      <c r="T2867" s="8" t="str">
        <f ca="1">IFERROR(__xludf.DUMMYFUNCTION("""COMPUTED_VALUE"""),"School Bus")</f>
        <v>School Bus</v>
      </c>
      <c r="U2867" s="8" t="str">
        <f ca="1">IFERROR(__xludf.DUMMYFUNCTION("""COMPUTED_VALUE"""),"No")</f>
        <v>No</v>
      </c>
      <c r="V2867" s="8" t="str">
        <f ca="1">IFERROR(__xludf.DUMMYFUNCTION("""COMPUTED_VALUE"""),"Before School")</f>
        <v>Before School</v>
      </c>
      <c r="W2867" s="8"/>
      <c r="X2867" s="8"/>
      <c r="Y2867" s="12" t="str">
        <f ca="1">IFERROR(__xludf.DUMMYFUNCTION("""COMPUTED_VALUE"""),"Female shooter killed bus driver, fired multiple shots at the bus, and rammed the bus with her car multiple times as a result of a custody dispute")</f>
        <v>Female shooter killed bus driver, fired multiple shots at the bus, and rammed the bus with her car multiple times as a result of a custody dispute</v>
      </c>
      <c r="Z2867" s="12" t="str">
        <f ca="1">IFERROR(__xludf.DUMMYFUNCTION("""COMPUTED_VALUE"""),"Shooter (student's mother) had lost custody of child. While child was getting on the school bus, the mother attempted to get on the bus and take him. The bus driver tried to stop her and she shot the bus driver. The shooter's former brother-in-law jumped "&amp;"on the bus and started to drive it away. The shooter fired multiple shots breaking the windows. Father drove the bus to the police station. Shooter rammed the bus multiple times with her car but was unable to stop it. Shooter fled but later arrested after"&amp;" being stopped for drunk driving later. Shooter found not guilty due to insanity.")</f>
        <v>Shooter (student's mother) had lost custody of child. While child was getting on the school bus, the mother attempted to get on the bus and take him. The bus driver tried to stop her and she shot the bus driver. The shooter's former brother-in-law jumped on the bus and started to drive it away. The shooter fired multiple shots breaking the windows. Father drove the bus to the police station. Shooter rammed the bus multiple times with her car but was unable to stop it. Shooter fled but later arrested after being stopped for drunk driving later. Shooter found not guilty due to insanity.</v>
      </c>
      <c r="AA2867" s="8" t="str">
        <f ca="1">IFERROR(__xludf.DUMMYFUNCTION("""COMPUTED_VALUE"""),"Domestic w/ Targeted Victim")</f>
        <v>Domestic w/ Targeted Victim</v>
      </c>
      <c r="AB2867" s="8"/>
      <c r="AC2867" s="8"/>
      <c r="AD2867" s="8" t="str">
        <f ca="1">IFERROR(__xludf.DUMMYFUNCTION("""COMPUTED_VALUE"""),"Victims Targeted")</f>
        <v>Victims Targeted</v>
      </c>
      <c r="AE2867" s="8" t="str">
        <f ca="1">IFERROR(__xludf.DUMMYFUNCTION("""COMPUTED_VALUE"""),"No")</f>
        <v>No</v>
      </c>
      <c r="AF2867" s="8"/>
      <c r="AG2867" s="8" t="str">
        <f ca="1">IFERROR(__xludf.DUMMYFUNCTION("""COMPUTED_VALUE"""),"No")</f>
        <v>No</v>
      </c>
      <c r="AH2867" s="8" t="str">
        <f ca="1">IFERROR(__xludf.DUMMYFUNCTION("""COMPUTED_VALUE"""),"No")</f>
        <v>No</v>
      </c>
      <c r="AI2867" s="8" t="str">
        <f ca="1">IFERROR(__xludf.DUMMYFUNCTION("""COMPUTED_VALUE"""),"No")</f>
        <v>No</v>
      </c>
      <c r="AJ2867" s="8" t="str">
        <f ca="1">IFERROR(__xludf.DUMMYFUNCTION("""COMPUTED_VALUE"""),"No")</f>
        <v>No</v>
      </c>
      <c r="AK2867" s="8" t="str">
        <f ca="1">IFERROR(__xludf.DUMMYFUNCTION("""COMPUTED_VALUE"""),"Yes")</f>
        <v>Yes</v>
      </c>
      <c r="AL2867" s="8" t="str">
        <f ca="1">IFERROR(__xludf.DUMMYFUNCTION("""COMPUTED_VALUE"""),"No")</f>
        <v>No</v>
      </c>
      <c r="AM2867" s="8"/>
      <c r="AN2867" s="8"/>
      <c r="AO2867" s="8" t="str">
        <f ca="1">IFERROR(__xludf.DUMMYFUNCTION("""COMPUTED_VALUE"""),"No")</f>
        <v>No</v>
      </c>
      <c r="AP2867" s="8"/>
      <c r="AQ2867" s="8" t="str">
        <f ca="1">IFERROR(__xludf.DUMMYFUNCTION("""COMPUTED_VALUE"""),"Unknown")</f>
        <v>Unknown</v>
      </c>
      <c r="AR2867" s="8" t="str">
        <f ca="1">IFERROR(__xludf.DUMMYFUNCTION("""COMPUTED_VALUE"""),"NA")</f>
        <v>NA</v>
      </c>
      <c r="AS2867" s="8">
        <f ca="1">IFERROR(__xludf.DUMMYFUNCTION("""COMPUTED_VALUE"""),1)</f>
        <v>1</v>
      </c>
      <c r="AT2867" s="8"/>
      <c r="AU2867" s="8">
        <f ca="1">IFERROR(__xludf.DUMMYFUNCTION("""COMPUTED_VALUE"""),40.546456)</f>
        <v>40.546455999999999</v>
      </c>
      <c r="AV2867" s="8">
        <f ca="1">IFERROR(__xludf.DUMMYFUNCTION("""COMPUTED_VALUE"""),-84.588631)</f>
        <v>-84.588631000000007</v>
      </c>
      <c r="AW2867" s="8"/>
      <c r="AX2867" s="8">
        <f ca="1">IFERROR(__xludf.DUMMYFUNCTION("""COMPUTED_VALUE"""),45822)</f>
        <v>45822</v>
      </c>
    </row>
    <row r="2868" spans="1:50" ht="90" x14ac:dyDescent="0.2">
      <c r="A2868" s="8" t="str">
        <f ca="1">IFERROR(__xludf.DUMMYFUNCTION("""COMPUTED_VALUE"""),"19841024MISOD")</f>
        <v>19841024MISOD</v>
      </c>
      <c r="B2868" s="8">
        <f ca="1">IFERROR(__xludf.DUMMYFUNCTION("""COMPUTED_VALUE"""),10)</f>
        <v>10</v>
      </c>
      <c r="C2868" s="8">
        <f ca="1">IFERROR(__xludf.DUMMYFUNCTION("""COMPUTED_VALUE"""),24)</f>
        <v>24</v>
      </c>
      <c r="D2868" s="8">
        <f ca="1">IFERROR(__xludf.DUMMYFUNCTION("""COMPUTED_VALUE"""),1984)</f>
        <v>1984</v>
      </c>
      <c r="E2868" s="9">
        <f ca="1">IFERROR(__xludf.DUMMYFUNCTION("""COMPUTED_VALUE"""),30979)</f>
        <v>30979</v>
      </c>
      <c r="F2868" s="8" t="str">
        <f ca="1">IFERROR(__xludf.DUMMYFUNCTION("""COMPUTED_VALUE"""),"Southeastern High School")</f>
        <v>Southeastern High School</v>
      </c>
      <c r="G2868" s="8">
        <f ca="1">IFERROR(__xludf.DUMMYFUNCTION("""COMPUTED_VALUE"""),0)</f>
        <v>0</v>
      </c>
      <c r="H2868" s="8">
        <f ca="1">IFERROR(__xludf.DUMMYFUNCTION("""COMPUTED_VALUE"""),1)</f>
        <v>1</v>
      </c>
      <c r="I2868" s="8">
        <f ca="1">IFERROR(__xludf.DUMMYFUNCTION("""COMPUTED_VALUE"""),1)</f>
        <v>1</v>
      </c>
      <c r="J2868" s="8">
        <f ca="1">IFERROR(__xludf.DUMMYFUNCTION("""COMPUTED_VALUE"""),0)</f>
        <v>0</v>
      </c>
      <c r="K2868" s="8" t="str">
        <f ca="1">IFERROR(__xludf.DUMMYFUNCTION("""COMPUTED_VALUE"""),"https://www.newspapers.com/image/99118139/?terms=student%2Bshot    https://www.newspapers.com/image/99118337/?terms=franklin%2Bross")</f>
        <v>https://www.newspapers.com/image/99118139/?terms=student%2Bshot    https://www.newspapers.com/image/99118337/?terms=franklin%2Bross</v>
      </c>
      <c r="L2868" s="8"/>
      <c r="M2868" s="8"/>
      <c r="N2868" s="8">
        <f ca="1">IFERROR(__xludf.DUMMYFUNCTION("""COMPUTED_VALUE"""),3)</f>
        <v>3</v>
      </c>
      <c r="O2868" s="8" t="str">
        <f ca="1">IFERROR(__xludf.DUMMYFUNCTION("""COMPUTED_VALUE"""),"Fall")</f>
        <v>Fall</v>
      </c>
      <c r="P2868" s="8" t="str">
        <f ca="1">IFERROR(__xludf.DUMMYFUNCTION("""COMPUTED_VALUE"""),"Detroit")</f>
        <v>Detroit</v>
      </c>
      <c r="Q2868" s="8" t="str">
        <f ca="1">IFERROR(__xludf.DUMMYFUNCTION("""COMPUTED_VALUE"""),"MI")</f>
        <v>MI</v>
      </c>
      <c r="R2868" s="8" t="str">
        <f ca="1">IFERROR(__xludf.DUMMYFUNCTION("""COMPUTED_VALUE"""),"High")</f>
        <v>High</v>
      </c>
      <c r="S2868" s="8" t="str">
        <f ca="1">IFERROR(__xludf.DUMMYFUNCTION("""COMPUTED_VALUE"""),"Hallway")</f>
        <v>Hallway</v>
      </c>
      <c r="T2868" s="8" t="str">
        <f ca="1">IFERROR(__xludf.DUMMYFUNCTION("""COMPUTED_VALUE"""),"Inside School Building")</f>
        <v>Inside School Building</v>
      </c>
      <c r="U2868" s="8" t="str">
        <f ca="1">IFERROR(__xludf.DUMMYFUNCTION("""COMPUTED_VALUE"""),"Yes")</f>
        <v>Yes</v>
      </c>
      <c r="V2868" s="8" t="str">
        <f ca="1">IFERROR(__xludf.DUMMYFUNCTION("""COMPUTED_VALUE"""),"Morning Classes")</f>
        <v>Morning Classes</v>
      </c>
      <c r="W2868" s="11">
        <f ca="1">IFERROR(__xludf.DUMMYFUNCTION("""COMPUTED_VALUE"""),0.472222222222222)</f>
        <v>0.47222222222222199</v>
      </c>
      <c r="X2868" s="8">
        <f ca="1">IFERROR(__xludf.DUMMYFUNCTION("""COMPUTED_VALUE"""),1)</f>
        <v>1</v>
      </c>
      <c r="Y2868" s="12" t="str">
        <f ca="1">IFERROR(__xludf.DUMMYFUNCTION("""COMPUTED_VALUE"""),"Victim and shooter involved in fight  - gun falls from pants - accidental discharge - strikes victim in leg")</f>
        <v>Victim and shooter involved in fight  - gun falls from pants - accidental discharge - strikes victim in leg</v>
      </c>
      <c r="Z2868" s="12" t="str">
        <f ca="1">IFERROR(__xludf.DUMMYFUNCTION("""COMPUTED_VALUE"""),"Shooter and victim were involved in a fight, when security officer tried to break up, gun fell from pants of shooter, hit foot of security guard and discharged striking victim in thigh")</f>
        <v>Shooter and victim were involved in a fight, when security officer tried to break up, gun fell from pants of shooter, hit foot of security guard and discharged striking victim in thigh</v>
      </c>
      <c r="AA2868" s="8" t="str">
        <f ca="1">IFERROR(__xludf.DUMMYFUNCTION("""COMPUTED_VALUE"""),"Accidental")</f>
        <v>Accidental</v>
      </c>
      <c r="AB2868" s="8"/>
      <c r="AC2868" s="8"/>
      <c r="AD2868" s="8" t="str">
        <f ca="1">IFERROR(__xludf.DUMMYFUNCTION("""COMPUTED_VALUE"""),"Random Shooting")</f>
        <v>Random Shooting</v>
      </c>
      <c r="AE2868" s="8"/>
      <c r="AF2868" s="8"/>
      <c r="AG2868" s="8" t="str">
        <f ca="1">IFERROR(__xludf.DUMMYFUNCTION("""COMPUTED_VALUE"""),"No")</f>
        <v>No</v>
      </c>
      <c r="AH2868" s="8" t="str">
        <f ca="1">IFERROR(__xludf.DUMMYFUNCTION("""COMPUTED_VALUE"""),"No")</f>
        <v>No</v>
      </c>
      <c r="AI2868" s="8" t="str">
        <f ca="1">IFERROR(__xludf.DUMMYFUNCTION("""COMPUTED_VALUE"""),"No")</f>
        <v>No</v>
      </c>
      <c r="AJ2868" s="8" t="str">
        <f ca="1">IFERROR(__xludf.DUMMYFUNCTION("""COMPUTED_VALUE"""),"No")</f>
        <v>No</v>
      </c>
      <c r="AK2868" s="8" t="str">
        <f ca="1">IFERROR(__xludf.DUMMYFUNCTION("""COMPUTED_VALUE"""),"No")</f>
        <v>No</v>
      </c>
      <c r="AL2868" s="8" t="str">
        <f ca="1">IFERROR(__xludf.DUMMYFUNCTION("""COMPUTED_VALUE"""),"No")</f>
        <v>No</v>
      </c>
      <c r="AM2868" s="8"/>
      <c r="AN2868" s="8"/>
      <c r="AO2868" s="8"/>
      <c r="AP2868" s="8"/>
      <c r="AQ2868" s="8" t="str">
        <f ca="1">IFERROR(__xludf.DUMMYFUNCTION("""COMPUTED_VALUE"""),"Unknown")</f>
        <v>Unknown</v>
      </c>
      <c r="AR2868" s="8" t="str">
        <f ca="1">IFERROR(__xludf.DUMMYFUNCTION("""COMPUTED_VALUE"""),"NA")</f>
        <v>NA</v>
      </c>
      <c r="AS2868" s="8">
        <f ca="1">IFERROR(__xludf.DUMMYFUNCTION("""COMPUTED_VALUE"""),1)</f>
        <v>1</v>
      </c>
      <c r="AT2868" s="8"/>
      <c r="AU2868" s="8">
        <f ca="1">IFERROR(__xludf.DUMMYFUNCTION("""COMPUTED_VALUE"""),42.375119)</f>
        <v>42.375118999999998</v>
      </c>
      <c r="AV2868" s="8">
        <f ca="1">IFERROR(__xludf.DUMMYFUNCTION("""COMPUTED_VALUE"""),-82.97815)</f>
        <v>-82.978149999999999</v>
      </c>
      <c r="AW2868" s="8"/>
      <c r="AX2868" s="8">
        <f ca="1">IFERROR(__xludf.DUMMYFUNCTION("""COMPUTED_VALUE"""),48214)</f>
        <v>48214</v>
      </c>
    </row>
    <row r="2869" spans="1:50" ht="45" x14ac:dyDescent="0.2">
      <c r="A2869" s="8" t="str">
        <f ca="1">IFERROR(__xludf.DUMMYFUNCTION("""COMPUTED_VALUE"""),"19841022MICED")</f>
        <v>19841022MICED</v>
      </c>
      <c r="B2869" s="8">
        <f ca="1">IFERROR(__xludf.DUMMYFUNCTION("""COMPUTED_VALUE"""),10)</f>
        <v>10</v>
      </c>
      <c r="C2869" s="8">
        <f ca="1">IFERROR(__xludf.DUMMYFUNCTION("""COMPUTED_VALUE"""),22)</f>
        <v>22</v>
      </c>
      <c r="D2869" s="8">
        <f ca="1">IFERROR(__xludf.DUMMYFUNCTION("""COMPUTED_VALUE"""),1984)</f>
        <v>1984</v>
      </c>
      <c r="E2869" s="9">
        <f ca="1">IFERROR(__xludf.DUMMYFUNCTION("""COMPUTED_VALUE"""),30977)</f>
        <v>30977</v>
      </c>
      <c r="F2869" s="8" t="str">
        <f ca="1">IFERROR(__xludf.DUMMYFUNCTION("""COMPUTED_VALUE"""),"Central High School")</f>
        <v>Central High School</v>
      </c>
      <c r="G2869" s="8">
        <f ca="1">IFERROR(__xludf.DUMMYFUNCTION("""COMPUTED_VALUE"""),0)</f>
        <v>0</v>
      </c>
      <c r="H2869" s="8">
        <f ca="1">IFERROR(__xludf.DUMMYFUNCTION("""COMPUTED_VALUE"""),2)</f>
        <v>2</v>
      </c>
      <c r="I2869" s="8">
        <f ca="1">IFERROR(__xludf.DUMMYFUNCTION("""COMPUTED_VALUE"""),2)</f>
        <v>2</v>
      </c>
      <c r="J2869" s="8">
        <f ca="1">IFERROR(__xludf.DUMMYFUNCTION("""COMPUTED_VALUE"""),0)</f>
        <v>0</v>
      </c>
      <c r="K2869" s="8" t="str">
        <f ca="1">IFERROR(__xludf.DUMMYFUNCTION("""COMPUTED_VALUE"""),"https://www.newspapers.com/image/99117245/?terms=roscoe%2Bpenny  https://www.newspapers.com/image/99118337/?terms=roscoe%2Bpenny")</f>
        <v>https://www.newspapers.com/image/99117245/?terms=roscoe%2Bpenny  https://www.newspapers.com/image/99118337/?terms=roscoe%2Bpenny</v>
      </c>
      <c r="L2869" s="8"/>
      <c r="M2869" s="8"/>
      <c r="N2869" s="8">
        <f ca="1">IFERROR(__xludf.DUMMYFUNCTION("""COMPUTED_VALUE"""),3)</f>
        <v>3</v>
      </c>
      <c r="O2869" s="8" t="str">
        <f ca="1">IFERROR(__xludf.DUMMYFUNCTION("""COMPUTED_VALUE"""),"Fall")</f>
        <v>Fall</v>
      </c>
      <c r="P2869" s="8" t="str">
        <f ca="1">IFERROR(__xludf.DUMMYFUNCTION("""COMPUTED_VALUE"""),"Detroit")</f>
        <v>Detroit</v>
      </c>
      <c r="Q2869" s="8" t="str">
        <f ca="1">IFERROR(__xludf.DUMMYFUNCTION("""COMPUTED_VALUE"""),"MI")</f>
        <v>MI</v>
      </c>
      <c r="R2869" s="8" t="str">
        <f ca="1">IFERROR(__xludf.DUMMYFUNCTION("""COMPUTED_VALUE"""),"High")</f>
        <v>High</v>
      </c>
      <c r="S2869" s="8" t="str">
        <f ca="1">IFERROR(__xludf.DUMMYFUNCTION("""COMPUTED_VALUE"""),"Hallway")</f>
        <v>Hallway</v>
      </c>
      <c r="T2869" s="8" t="str">
        <f ca="1">IFERROR(__xludf.DUMMYFUNCTION("""COMPUTED_VALUE"""),"Inside School Building")</f>
        <v>Inside School Building</v>
      </c>
      <c r="U2869" s="8" t="str">
        <f ca="1">IFERROR(__xludf.DUMMYFUNCTION("""COMPUTED_VALUE"""),"Yes")</f>
        <v>Yes</v>
      </c>
      <c r="V2869" s="8" t="str">
        <f ca="1">IFERROR(__xludf.DUMMYFUNCTION("""COMPUTED_VALUE"""),"Afternoon Classes")</f>
        <v>Afternoon Classes</v>
      </c>
      <c r="W2869" s="11">
        <f ca="1">IFERROR(__xludf.DUMMYFUNCTION("""COMPUTED_VALUE"""),0.559027777777777)</f>
        <v>0.55902777777777701</v>
      </c>
      <c r="X2869" s="8">
        <f ca="1">IFERROR(__xludf.DUMMYFUNCTION("""COMPUTED_VALUE"""),1)</f>
        <v>1</v>
      </c>
      <c r="Y2869" s="12" t="str">
        <f ca="1">IFERROR(__xludf.DUMMYFUNCTION("""COMPUTED_VALUE"""),"Victims accidentally shot while watching fight at school")</f>
        <v>Victims accidentally shot while watching fight at school</v>
      </c>
      <c r="Z2869" s="12" t="str">
        <f ca="1">IFERROR(__xludf.DUMMYFUNCTION("""COMPUTED_VALUE"""),"Two victims were watching fight at school, when one of the fighters pulled a gun and began shooting striking both victims - suspect later caught.")</f>
        <v>Two victims were watching fight at school, when one of the fighters pulled a gun and began shooting striking both victims - suspect later caught.</v>
      </c>
      <c r="AA2869" s="8" t="str">
        <f ca="1">IFERROR(__xludf.DUMMYFUNCTION("""COMPUTED_VALUE"""),"Escalation of Dispute")</f>
        <v>Escalation of Dispute</v>
      </c>
      <c r="AB2869" s="8"/>
      <c r="AC2869" s="8"/>
      <c r="AD2869" s="8" t="str">
        <f ca="1">IFERROR(__xludf.DUMMYFUNCTION("""COMPUTED_VALUE"""),"Random Shooting")</f>
        <v>Random Shooting</v>
      </c>
      <c r="AE2869" s="8" t="str">
        <f ca="1">IFERROR(__xludf.DUMMYFUNCTION("""COMPUTED_VALUE"""),"No")</f>
        <v>No</v>
      </c>
      <c r="AF2869" s="8"/>
      <c r="AG2869" s="8" t="str">
        <f ca="1">IFERROR(__xludf.DUMMYFUNCTION("""COMPUTED_VALUE"""),"No")</f>
        <v>No</v>
      </c>
      <c r="AH2869" s="8" t="str">
        <f ca="1">IFERROR(__xludf.DUMMYFUNCTION("""COMPUTED_VALUE"""),"No")</f>
        <v>No</v>
      </c>
      <c r="AI2869" s="8" t="str">
        <f ca="1">IFERROR(__xludf.DUMMYFUNCTION("""COMPUTED_VALUE"""),"No")</f>
        <v>No</v>
      </c>
      <c r="AJ2869" s="8" t="str">
        <f ca="1">IFERROR(__xludf.DUMMYFUNCTION("""COMPUTED_VALUE"""),"No")</f>
        <v>No</v>
      </c>
      <c r="AK2869" s="8" t="str">
        <f ca="1">IFERROR(__xludf.DUMMYFUNCTION("""COMPUTED_VALUE"""),"No")</f>
        <v>No</v>
      </c>
      <c r="AL2869" s="8" t="str">
        <f ca="1">IFERROR(__xludf.DUMMYFUNCTION("""COMPUTED_VALUE"""),"No")</f>
        <v>No</v>
      </c>
      <c r="AM2869" s="8"/>
      <c r="AN2869" s="8"/>
      <c r="AO2869" s="8" t="str">
        <f ca="1">IFERROR(__xludf.DUMMYFUNCTION("""COMPUTED_VALUE"""),"No")</f>
        <v>No</v>
      </c>
      <c r="AP2869" s="8"/>
      <c r="AQ2869" s="8" t="str">
        <f ca="1">IFERROR(__xludf.DUMMYFUNCTION("""COMPUTED_VALUE"""),"Unknown")</f>
        <v>Unknown</v>
      </c>
      <c r="AR2869" s="8" t="str">
        <f ca="1">IFERROR(__xludf.DUMMYFUNCTION("""COMPUTED_VALUE"""),"NA")</f>
        <v>NA</v>
      </c>
      <c r="AS2869" s="8">
        <f ca="1">IFERROR(__xludf.DUMMYFUNCTION("""COMPUTED_VALUE"""),2)</f>
        <v>2</v>
      </c>
      <c r="AT2869" s="8"/>
      <c r="AU2869" s="8">
        <f ca="1">IFERROR(__xludf.DUMMYFUNCTION("""COMPUTED_VALUE"""),42.383534)</f>
        <v>42.383533999999997</v>
      </c>
      <c r="AV2869" s="8">
        <f ca="1">IFERROR(__xludf.DUMMYFUNCTION("""COMPUTED_VALUE"""),-83.111944)</f>
        <v>-83.111943999999994</v>
      </c>
      <c r="AW2869" s="8"/>
      <c r="AX2869" s="8">
        <f ca="1">IFERROR(__xludf.DUMMYFUNCTION("""COMPUTED_VALUE"""),48206)</f>
        <v>48206</v>
      </c>
    </row>
    <row r="2870" spans="1:50" ht="75" x14ac:dyDescent="0.2">
      <c r="A2870" s="8" t="str">
        <f ca="1">IFERROR(__xludf.DUMMYFUNCTION("""COMPUTED_VALUE"""),"19841021PAWYE")</f>
        <v>19841021PAWYE</v>
      </c>
      <c r="B2870" s="8">
        <f ca="1">IFERROR(__xludf.DUMMYFUNCTION("""COMPUTED_VALUE"""),10)</f>
        <v>10</v>
      </c>
      <c r="C2870" s="8">
        <f ca="1">IFERROR(__xludf.DUMMYFUNCTION("""COMPUTED_VALUE"""),21)</f>
        <v>21</v>
      </c>
      <c r="D2870" s="8">
        <f ca="1">IFERROR(__xludf.DUMMYFUNCTION("""COMPUTED_VALUE"""),1984)</f>
        <v>1984</v>
      </c>
      <c r="E2870" s="9">
        <f ca="1">IFERROR(__xludf.DUMMYFUNCTION("""COMPUTED_VALUE"""),30976)</f>
        <v>30976</v>
      </c>
      <c r="F2870" s="8" t="str">
        <f ca="1">IFERROR(__xludf.DUMMYFUNCTION("""COMPUTED_VALUE"""),"Wyoming Area High School")</f>
        <v>Wyoming Area High School</v>
      </c>
      <c r="G2870" s="8">
        <f ca="1">IFERROR(__xludf.DUMMYFUNCTION("""COMPUTED_VALUE"""),0)</f>
        <v>0</v>
      </c>
      <c r="H2870" s="8">
        <f ca="1">IFERROR(__xludf.DUMMYFUNCTION("""COMPUTED_VALUE"""),1)</f>
        <v>1</v>
      </c>
      <c r="I2870" s="8">
        <f ca="1">IFERROR(__xludf.DUMMYFUNCTION("""COMPUTED_VALUE"""),1)</f>
        <v>1</v>
      </c>
      <c r="J2870" s="8">
        <f ca="1">IFERROR(__xludf.DUMMYFUNCTION("""COMPUTED_VALUE"""),0)</f>
        <v>0</v>
      </c>
      <c r="K2870" s="10" t="str">
        <f ca="1">IFERROR(__xludf.DUMMYFUNCTION("""COMPUTED_VALUE"""),"https://www.newspapers.com/image/426484373/?terms=student%2Bshot")</f>
        <v>https://www.newspapers.com/image/426484373/?terms=student%2Bshot</v>
      </c>
      <c r="L2870" s="8"/>
      <c r="M2870" s="8"/>
      <c r="N2870" s="8">
        <f ca="1">IFERROR(__xludf.DUMMYFUNCTION("""COMPUTED_VALUE"""),2)</f>
        <v>2</v>
      </c>
      <c r="O2870" s="8" t="str">
        <f ca="1">IFERROR(__xludf.DUMMYFUNCTION("""COMPUTED_VALUE"""),"Fall")</f>
        <v>Fall</v>
      </c>
      <c r="P2870" s="8" t="str">
        <f ca="1">IFERROR(__xludf.DUMMYFUNCTION("""COMPUTED_VALUE"""),"Exeter")</f>
        <v>Exeter</v>
      </c>
      <c r="Q2870" s="8" t="str">
        <f ca="1">IFERROR(__xludf.DUMMYFUNCTION("""COMPUTED_VALUE"""),"PA")</f>
        <v>PA</v>
      </c>
      <c r="R2870" s="8" t="str">
        <f ca="1">IFERROR(__xludf.DUMMYFUNCTION("""COMPUTED_VALUE"""),"High")</f>
        <v>High</v>
      </c>
      <c r="S2870" s="8" t="str">
        <f ca="1">IFERROR(__xludf.DUMMYFUNCTION("""COMPUTED_VALUE"""),"Field (General)")</f>
        <v>Field (General)</v>
      </c>
      <c r="T2870" s="8" t="str">
        <f ca="1">IFERROR(__xludf.DUMMYFUNCTION("""COMPUTED_VALUE"""),"Outside on School Property")</f>
        <v>Outside on School Property</v>
      </c>
      <c r="U2870" s="8" t="str">
        <f ca="1">IFERROR(__xludf.DUMMYFUNCTION("""COMPUTED_VALUE"""),"No")</f>
        <v>No</v>
      </c>
      <c r="V2870" s="8" t="str">
        <f ca="1">IFERROR(__xludf.DUMMYFUNCTION("""COMPUTED_VALUE"""),"Sport Event")</f>
        <v>Sport Event</v>
      </c>
      <c r="W2870" s="8"/>
      <c r="X2870" s="8">
        <f ca="1">IFERROR(__xludf.DUMMYFUNCTION("""COMPUTED_VALUE"""),1)</f>
        <v>1</v>
      </c>
      <c r="Y2870" s="12" t="str">
        <f ca="1">IFERROR(__xludf.DUMMYFUNCTION("""COMPUTED_VALUE"""),"Victim shot with pellet gun while practicing with drill team on high school field")</f>
        <v>Victim shot with pellet gun while practicing with drill team on high school field</v>
      </c>
      <c r="Z2870" s="12" t="str">
        <f ca="1">IFERROR(__xludf.DUMMYFUNCTION("""COMPUTED_VALUE"""),"Victim was practicing with her drill team on the high school field when she was shot with a pellet gun by unknown shooter.")</f>
        <v>Victim was practicing with her drill team on the high school field when she was shot with a pellet gun by unknown shooter.</v>
      </c>
      <c r="AA2870" s="8" t="str">
        <f ca="1">IFERROR(__xludf.DUMMYFUNCTION("""COMPUTED_VALUE"""),"Unknown")</f>
        <v>Unknown</v>
      </c>
      <c r="AB2870" s="8"/>
      <c r="AC2870" s="8"/>
      <c r="AD2870" s="8"/>
      <c r="AE2870" s="8" t="str">
        <f ca="1">IFERROR(__xludf.DUMMYFUNCTION("""COMPUTED_VALUE"""),"No")</f>
        <v>No</v>
      </c>
      <c r="AF2870" s="8"/>
      <c r="AG2870" s="8" t="str">
        <f ca="1">IFERROR(__xludf.DUMMYFUNCTION("""COMPUTED_VALUE"""),"No")</f>
        <v>No</v>
      </c>
      <c r="AH2870" s="8" t="str">
        <f ca="1">IFERROR(__xludf.DUMMYFUNCTION("""COMPUTED_VALUE"""),"No")</f>
        <v>No</v>
      </c>
      <c r="AI2870" s="8" t="str">
        <f ca="1">IFERROR(__xludf.DUMMYFUNCTION("""COMPUTED_VALUE"""),"No")</f>
        <v>No</v>
      </c>
      <c r="AJ2870" s="8" t="str">
        <f ca="1">IFERROR(__xludf.DUMMYFUNCTION("""COMPUTED_VALUE"""),"No")</f>
        <v>No</v>
      </c>
      <c r="AK2870" s="8" t="str">
        <f ca="1">IFERROR(__xludf.DUMMYFUNCTION("""COMPUTED_VALUE"""),"No")</f>
        <v>No</v>
      </c>
      <c r="AL2870" s="8" t="str">
        <f ca="1">IFERROR(__xludf.DUMMYFUNCTION("""COMPUTED_VALUE"""),"No")</f>
        <v>No</v>
      </c>
      <c r="AM2870" s="8"/>
      <c r="AN2870" s="8"/>
      <c r="AO2870" s="8" t="str">
        <f ca="1">IFERROR(__xludf.DUMMYFUNCTION("""COMPUTED_VALUE"""),"No")</f>
        <v>No</v>
      </c>
      <c r="AP2870" s="8"/>
      <c r="AQ2870" s="8" t="str">
        <f ca="1">IFERROR(__xludf.DUMMYFUNCTION("""COMPUTED_VALUE"""),"Unknown")</f>
        <v>Unknown</v>
      </c>
      <c r="AR2870" s="8" t="str">
        <f ca="1">IFERROR(__xludf.DUMMYFUNCTION("""COMPUTED_VALUE"""),"NA")</f>
        <v>NA</v>
      </c>
      <c r="AS2870" s="8">
        <f ca="1">IFERROR(__xludf.DUMMYFUNCTION("""COMPUTED_VALUE"""),1)</f>
        <v>1</v>
      </c>
      <c r="AT2870" s="8"/>
      <c r="AU2870" s="8">
        <f ca="1">IFERROR(__xludf.DUMMYFUNCTION("""COMPUTED_VALUE"""),41.322178)</f>
        <v>41.322178000000001</v>
      </c>
      <c r="AV2870" s="8">
        <f ca="1">IFERROR(__xludf.DUMMYFUNCTION("""COMPUTED_VALUE"""),-75.810805)</f>
        <v>-75.810805000000002</v>
      </c>
      <c r="AW2870" s="8"/>
      <c r="AX2870" s="8">
        <f ca="1">IFERROR(__xludf.DUMMYFUNCTION("""COMPUTED_VALUE"""),18643)</f>
        <v>18643</v>
      </c>
    </row>
    <row r="2871" spans="1:50" ht="150" x14ac:dyDescent="0.2">
      <c r="A2871" s="8" t="str">
        <f ca="1">IFERROR(__xludf.DUMMYFUNCTION("""COMPUTED_VALUE"""),"19840928TXRIN")</f>
        <v>19840928TXRIN</v>
      </c>
      <c r="B2871" s="8">
        <f ca="1">IFERROR(__xludf.DUMMYFUNCTION("""COMPUTED_VALUE"""),9)</f>
        <v>9</v>
      </c>
      <c r="C2871" s="8">
        <f ca="1">IFERROR(__xludf.DUMMYFUNCTION("""COMPUTED_VALUE"""),28)</f>
        <v>28</v>
      </c>
      <c r="D2871" s="8">
        <f ca="1">IFERROR(__xludf.DUMMYFUNCTION("""COMPUTED_VALUE"""),1984)</f>
        <v>1984</v>
      </c>
      <c r="E2871" s="9">
        <f ca="1">IFERROR(__xludf.DUMMYFUNCTION("""COMPUTED_VALUE"""),30953)</f>
        <v>30953</v>
      </c>
      <c r="F2871" s="8" t="str">
        <f ca="1">IFERROR(__xludf.DUMMYFUNCTION("""COMPUTED_VALUE"""),"Richland High School")</f>
        <v>Richland High School</v>
      </c>
      <c r="G2871" s="8">
        <f ca="1">IFERROR(__xludf.DUMMYFUNCTION("""COMPUTED_VALUE"""),0)</f>
        <v>0</v>
      </c>
      <c r="H2871" s="8">
        <f ca="1">IFERROR(__xludf.DUMMYFUNCTION("""COMPUTED_VALUE"""),1)</f>
        <v>1</v>
      </c>
      <c r="I2871" s="8">
        <f ca="1">IFERROR(__xludf.DUMMYFUNCTION("""COMPUTED_VALUE"""),1)</f>
        <v>1</v>
      </c>
      <c r="J2871" s="8">
        <f ca="1">IFERROR(__xludf.DUMMYFUNCTION("""COMPUTED_VALUE"""),0)</f>
        <v>0</v>
      </c>
      <c r="K2871" s="10" t="str">
        <f ca="1">IFERROR(__xludf.DUMMYFUNCTION("""COMPUTED_VALUE"""),"https://www.newspapers.com/newspage/5937341/")</f>
        <v>https://www.newspapers.com/newspage/5937341/</v>
      </c>
      <c r="L2871" s="8"/>
      <c r="M2871" s="8" t="str">
        <f ca="1">IFERROR(__xludf.DUMMYFUNCTION("""COMPUTED_VALUE"""),"Local")</f>
        <v>Local</v>
      </c>
      <c r="N2871" s="8">
        <f ca="1">IFERROR(__xludf.DUMMYFUNCTION("""COMPUTED_VALUE"""),2)</f>
        <v>2</v>
      </c>
      <c r="O2871" s="8" t="str">
        <f ca="1">IFERROR(__xludf.DUMMYFUNCTION("""COMPUTED_VALUE"""),"Fall")</f>
        <v>Fall</v>
      </c>
      <c r="P2871" s="8" t="str">
        <f ca="1">IFERROR(__xludf.DUMMYFUNCTION("""COMPUTED_VALUE"""),"North Richland Hills")</f>
        <v>North Richland Hills</v>
      </c>
      <c r="Q2871" s="8" t="str">
        <f ca="1">IFERROR(__xludf.DUMMYFUNCTION("""COMPUTED_VALUE"""),"TX")</f>
        <v>TX</v>
      </c>
      <c r="R2871" s="8" t="str">
        <f ca="1">IFERROR(__xludf.DUMMYFUNCTION("""COMPUTED_VALUE"""),"High")</f>
        <v>High</v>
      </c>
      <c r="S2871" s="8" t="str">
        <f ca="1">IFERROR(__xludf.DUMMYFUNCTION("""COMPUTED_VALUE"""),"Classroom")</f>
        <v>Classroom</v>
      </c>
      <c r="T2871" s="8" t="str">
        <f ca="1">IFERROR(__xludf.DUMMYFUNCTION("""COMPUTED_VALUE"""),"Inside School Building")</f>
        <v>Inside School Building</v>
      </c>
      <c r="U2871" s="8" t="str">
        <f ca="1">IFERROR(__xludf.DUMMYFUNCTION("""COMPUTED_VALUE"""),"Yes")</f>
        <v>Yes</v>
      </c>
      <c r="V2871" s="8"/>
      <c r="W2871" s="8"/>
      <c r="X2871" s="8"/>
      <c r="Y2871" s="12" t="str">
        <f ca="1">IFERROR(__xludf.DUMMYFUNCTION("""COMPUTED_VALUE"""),"Heavily armed former student fired 30 shots in the school's foyer then surrendered to principal")</f>
        <v>Heavily armed former student fired 30 shots in the school's foyer then surrendered to principal</v>
      </c>
      <c r="Z2871" s="12" t="str">
        <f ca="1">IFERROR(__xludf.DUMMYFUNCTION("""COMPUTED_VALUE"""),"Shooter was former student who walked into school with Uzi, AR-15, and pistol looking for english teacher. The teacher's classroom had moved since he had attended. He walked around the school and was unable to find them. In the main foyer of the school, t"&amp;"he shooter fired 30 rounds breaking windows and damaging the building. There were 12 students in the area, one had minor injuries. Principal confronted the shooter. He threw his weapons down while yelling ""I did it"" and sat quietly until police arrested"&amp;" him. Firearms details: 9mm Uzi, AR-15, .45 pistol.")</f>
        <v>Shooter was former student who walked into school with Uzi, AR-15, and pistol looking for english teacher. The teacher's classroom had moved since he had attended. He walked around the school and was unable to find them. In the main foyer of the school, the shooter fired 30 rounds breaking windows and damaging the building. There were 12 students in the area, one had minor injuries. Principal confronted the shooter. He threw his weapons down while yelling "I did it" and sat quietly until police arrested him. Firearms details: 9mm Uzi, AR-15, .45 pistol.</v>
      </c>
      <c r="AA2871" s="8" t="str">
        <f ca="1">IFERROR(__xludf.DUMMYFUNCTION("""COMPUTED_VALUE"""),"Indiscriminate Shooting")</f>
        <v>Indiscriminate Shooting</v>
      </c>
      <c r="AB2871" s="8"/>
      <c r="AC2871" s="8" t="str">
        <f ca="1">IFERROR(__xludf.DUMMYFUNCTION("""COMPUTED_VALUE"""),"Yes")</f>
        <v>Yes</v>
      </c>
      <c r="AD2871" s="8" t="str">
        <f ca="1">IFERROR(__xludf.DUMMYFUNCTION("""COMPUTED_VALUE"""),"Both")</f>
        <v>Both</v>
      </c>
      <c r="AE2871" s="8"/>
      <c r="AF2871" s="8"/>
      <c r="AG2871" s="8" t="str">
        <f ca="1">IFERROR(__xludf.DUMMYFUNCTION("""COMPUTED_VALUE"""),"No")</f>
        <v>No</v>
      </c>
      <c r="AH2871" s="8" t="str">
        <f ca="1">IFERROR(__xludf.DUMMYFUNCTION("""COMPUTED_VALUE"""),"No")</f>
        <v>No</v>
      </c>
      <c r="AI2871" s="8" t="str">
        <f ca="1">IFERROR(__xludf.DUMMYFUNCTION("""COMPUTED_VALUE"""),"No")</f>
        <v>No</v>
      </c>
      <c r="AJ2871" s="8"/>
      <c r="AK2871" s="8" t="str">
        <f ca="1">IFERROR(__xludf.DUMMYFUNCTION("""COMPUTED_VALUE"""),"No")</f>
        <v>No</v>
      </c>
      <c r="AL2871" s="8" t="str">
        <f ca="1">IFERROR(__xludf.DUMMYFUNCTION("""COMPUTED_VALUE"""),"No")</f>
        <v>No</v>
      </c>
      <c r="AM2871" s="8" t="str">
        <f ca="1">IFERROR(__xludf.DUMMYFUNCTION("""COMPUTED_VALUE"""),"Yes")</f>
        <v>Yes</v>
      </c>
      <c r="AN2871" s="8" t="str">
        <f ca="1">IFERROR(__xludf.DUMMYFUNCTION("""COMPUTED_VALUE"""),"Multiple Rooms")</f>
        <v>Multiple Rooms</v>
      </c>
      <c r="AO2871" s="8" t="str">
        <f ca="1">IFERROR(__xludf.DUMMYFUNCTION("""COMPUTED_VALUE"""),"Yes")</f>
        <v>Yes</v>
      </c>
      <c r="AP2871" s="8"/>
      <c r="AQ2871" s="8" t="str">
        <f ca="1">IFERROR(__xludf.DUMMYFUNCTION("""COMPUTED_VALUE"""),"Unknown")</f>
        <v>Unknown</v>
      </c>
      <c r="AR2871" s="8" t="str">
        <f ca="1">IFERROR(__xludf.DUMMYFUNCTION("""COMPUTED_VALUE"""),"NA")</f>
        <v>NA</v>
      </c>
      <c r="AS2871" s="8">
        <f ca="1">IFERROR(__xludf.DUMMYFUNCTION("""COMPUTED_VALUE"""),30)</f>
        <v>30</v>
      </c>
      <c r="AT2871" s="8"/>
      <c r="AU2871" s="8">
        <f ca="1">IFERROR(__xludf.DUMMYFUNCTION("""COMPUTED_VALUE"""),32.842228)</f>
        <v>32.842227999999999</v>
      </c>
      <c r="AV2871" s="8">
        <f ca="1">IFERROR(__xludf.DUMMYFUNCTION("""COMPUTED_VALUE"""),-97.230356)</f>
        <v>-97.230356</v>
      </c>
      <c r="AW2871" s="8"/>
      <c r="AX2871" s="8">
        <f ca="1">IFERROR(__xludf.DUMMYFUNCTION("""COMPUTED_VALUE"""),76180)</f>
        <v>76180</v>
      </c>
    </row>
    <row r="2872" spans="1:50" ht="75" x14ac:dyDescent="0.2">
      <c r="A2872" s="8" t="str">
        <f ca="1">IFERROR(__xludf.DUMMYFUNCTION("""COMPUTED_VALUE"""),"19840928TXMIH")</f>
        <v>19840928TXMIH</v>
      </c>
      <c r="B2872" s="8">
        <f ca="1">IFERROR(__xludf.DUMMYFUNCTION("""COMPUTED_VALUE"""),9)</f>
        <v>9</v>
      </c>
      <c r="C2872" s="8">
        <f ca="1">IFERROR(__xludf.DUMMYFUNCTION("""COMPUTED_VALUE"""),28)</f>
        <v>28</v>
      </c>
      <c r="D2872" s="8">
        <f ca="1">IFERROR(__xludf.DUMMYFUNCTION("""COMPUTED_VALUE"""),1984)</f>
        <v>1984</v>
      </c>
      <c r="E2872" s="9">
        <f ca="1">IFERROR(__xludf.DUMMYFUNCTION("""COMPUTED_VALUE"""),30953)</f>
        <v>30953</v>
      </c>
      <c r="F2872" s="8" t="str">
        <f ca="1">IFERROR(__xludf.DUMMYFUNCTION("""COMPUTED_VALUE"""),"Millsap Elementary School")</f>
        <v>Millsap Elementary School</v>
      </c>
      <c r="G2872" s="8">
        <f ca="1">IFERROR(__xludf.DUMMYFUNCTION("""COMPUTED_VALUE"""),0)</f>
        <v>0</v>
      </c>
      <c r="H2872" s="8">
        <f ca="1">IFERROR(__xludf.DUMMYFUNCTION("""COMPUTED_VALUE"""),1)</f>
        <v>1</v>
      </c>
      <c r="I2872" s="8">
        <f ca="1">IFERROR(__xludf.DUMMYFUNCTION("""COMPUTED_VALUE"""),1)</f>
        <v>1</v>
      </c>
      <c r="J2872" s="8">
        <f ca="1">IFERROR(__xludf.DUMMYFUNCTION("""COMPUTED_VALUE"""),0)</f>
        <v>0</v>
      </c>
      <c r="K2872" s="10" t="str">
        <f ca="1">IFERROR(__xludf.DUMMYFUNCTION("""COMPUTED_VALUE"""),"https://www.newspapers.com/image/218042406/?terms=student%2Bshot")</f>
        <v>https://www.newspapers.com/image/218042406/?terms=student%2Bshot</v>
      </c>
      <c r="L2872" s="8"/>
      <c r="M2872" s="8"/>
      <c r="N2872" s="8">
        <f ca="1">IFERROR(__xludf.DUMMYFUNCTION("""COMPUTED_VALUE"""),2)</f>
        <v>2</v>
      </c>
      <c r="O2872" s="8" t="str">
        <f ca="1">IFERROR(__xludf.DUMMYFUNCTION("""COMPUTED_VALUE"""),"Fall")</f>
        <v>Fall</v>
      </c>
      <c r="P2872" s="8" t="str">
        <f ca="1">IFERROR(__xludf.DUMMYFUNCTION("""COMPUTED_VALUE"""),"Houston")</f>
        <v>Houston</v>
      </c>
      <c r="Q2872" s="8" t="str">
        <f ca="1">IFERROR(__xludf.DUMMYFUNCTION("""COMPUTED_VALUE"""),"TX")</f>
        <v>TX</v>
      </c>
      <c r="R2872" s="8" t="str">
        <f ca="1">IFERROR(__xludf.DUMMYFUNCTION("""COMPUTED_VALUE"""),"Elementary")</f>
        <v>Elementary</v>
      </c>
      <c r="S2872" s="8" t="str">
        <f ca="1">IFERROR(__xludf.DUMMYFUNCTION("""COMPUTED_VALUE"""),"Front of School")</f>
        <v>Front of School</v>
      </c>
      <c r="T2872" s="8" t="str">
        <f ca="1">IFERROR(__xludf.DUMMYFUNCTION("""COMPUTED_VALUE"""),"Outside on School Property")</f>
        <v>Outside on School Property</v>
      </c>
      <c r="U2872" s="8" t="str">
        <f ca="1">IFERROR(__xludf.DUMMYFUNCTION("""COMPUTED_VALUE"""),"Yes")</f>
        <v>Yes</v>
      </c>
      <c r="V2872" s="8" t="str">
        <f ca="1">IFERROR(__xludf.DUMMYFUNCTION("""COMPUTED_VALUE"""),"Before School")</f>
        <v>Before School</v>
      </c>
      <c r="W2872" s="11">
        <f ca="1">IFERROR(__xludf.DUMMYFUNCTION("""COMPUTED_VALUE"""),0.361111111111111)</f>
        <v>0.36111111111111099</v>
      </c>
      <c r="X2872" s="8">
        <f ca="1">IFERROR(__xludf.DUMMYFUNCTION("""COMPUTED_VALUE"""),1)</f>
        <v>1</v>
      </c>
      <c r="Y2872" s="12" t="str">
        <f ca="1">IFERROR(__xludf.DUMMYFUNCTION("""COMPUTED_VALUE"""),"Unknown shooter shot 5 grader raising flag at school")</f>
        <v>Unknown shooter shot 5 grader raising flag at school</v>
      </c>
      <c r="Z2872" s="12" t="str">
        <f ca="1">IFERROR(__xludf.DUMMYFUNCTION("""COMPUTED_VALUE"""),"5th grade student was shot by high powered rifle while raising flag outside schoolhouse by an unknown shooter. approximately. 15 minutes later a seventh grade boys was shot at while walking to his junior high school about 5 miles away from first shooting."&amp;" No suspect identified.")</f>
        <v>5th grade student was shot by high powered rifle while raising flag outside schoolhouse by an unknown shooter. approximately. 15 minutes later a seventh grade boys was shot at while walking to his junior high school about 5 miles away from first shooting. No suspect identified.</v>
      </c>
      <c r="AA2872" s="8" t="str">
        <f ca="1">IFERROR(__xludf.DUMMYFUNCTION("""COMPUTED_VALUE"""),"Indiscriminate Shooting")</f>
        <v>Indiscriminate Shooting</v>
      </c>
      <c r="AB2872" s="8"/>
      <c r="AC2872" s="8"/>
      <c r="AD2872" s="8" t="str">
        <f ca="1">IFERROR(__xludf.DUMMYFUNCTION("""COMPUTED_VALUE"""),"Random Shooting")</f>
        <v>Random Shooting</v>
      </c>
      <c r="AE2872" s="8" t="str">
        <f ca="1">IFERROR(__xludf.DUMMYFUNCTION("""COMPUTED_VALUE"""),"No")</f>
        <v>No</v>
      </c>
      <c r="AF2872" s="8"/>
      <c r="AG2872" s="8" t="str">
        <f ca="1">IFERROR(__xludf.DUMMYFUNCTION("""COMPUTED_VALUE"""),"No")</f>
        <v>No</v>
      </c>
      <c r="AH2872" s="8" t="str">
        <f ca="1">IFERROR(__xludf.DUMMYFUNCTION("""COMPUTED_VALUE"""),"No")</f>
        <v>No</v>
      </c>
      <c r="AI2872" s="8" t="str">
        <f ca="1">IFERROR(__xludf.DUMMYFUNCTION("""COMPUTED_VALUE"""),"No")</f>
        <v>No</v>
      </c>
      <c r="AJ2872" s="8" t="str">
        <f ca="1">IFERROR(__xludf.DUMMYFUNCTION("""COMPUTED_VALUE"""),"No")</f>
        <v>No</v>
      </c>
      <c r="AK2872" s="8" t="str">
        <f ca="1">IFERROR(__xludf.DUMMYFUNCTION("""COMPUTED_VALUE"""),"No")</f>
        <v>No</v>
      </c>
      <c r="AL2872" s="8" t="str">
        <f ca="1">IFERROR(__xludf.DUMMYFUNCTION("""COMPUTED_VALUE"""),"No")</f>
        <v>No</v>
      </c>
      <c r="AM2872" s="8" t="str">
        <f ca="1">IFERROR(__xludf.DUMMYFUNCTION("""COMPUTED_VALUE"""),"Yes")</f>
        <v>Yes</v>
      </c>
      <c r="AN2872" s="8" t="str">
        <f ca="1">IFERROR(__xludf.DUMMYFUNCTION("""COMPUTED_VALUE"""),"Outside")</f>
        <v>Outside</v>
      </c>
      <c r="AO2872" s="8" t="str">
        <f ca="1">IFERROR(__xludf.DUMMYFUNCTION("""COMPUTED_VALUE"""),"No")</f>
        <v>No</v>
      </c>
      <c r="AP2872" s="8"/>
      <c r="AQ2872" s="8" t="str">
        <f ca="1">IFERROR(__xludf.DUMMYFUNCTION("""COMPUTED_VALUE"""),"Unknown")</f>
        <v>Unknown</v>
      </c>
      <c r="AR2872" s="8" t="str">
        <f ca="1">IFERROR(__xludf.DUMMYFUNCTION("""COMPUTED_VALUE"""),"NA")</f>
        <v>NA</v>
      </c>
      <c r="AS2872" s="8">
        <f ca="1">IFERROR(__xludf.DUMMYFUNCTION("""COMPUTED_VALUE"""),1)</f>
        <v>1</v>
      </c>
      <c r="AT2872" s="8"/>
      <c r="AU2872" s="8">
        <f ca="1">IFERROR(__xludf.DUMMYFUNCTION("""COMPUTED_VALUE"""),29.954455)</f>
        <v>29.954454999999999</v>
      </c>
      <c r="AV2872" s="8">
        <f ca="1">IFERROR(__xludf.DUMMYFUNCTION("""COMPUTED_VALUE"""),-95.630006)</f>
        <v>-95.630005999999995</v>
      </c>
      <c r="AW2872" s="8"/>
      <c r="AX2872" s="8">
        <f ca="1">IFERROR(__xludf.DUMMYFUNCTION("""COMPUTED_VALUE"""),77429)</f>
        <v>77429</v>
      </c>
    </row>
    <row r="2873" spans="1:50" ht="75" x14ac:dyDescent="0.2">
      <c r="A2873" s="8" t="str">
        <f ca="1">IFERROR(__xludf.DUMMYFUNCTION("""COMPUTED_VALUE"""),"19840831LABOS")</f>
        <v>19840831LABOS</v>
      </c>
      <c r="B2873" s="8">
        <f ca="1">IFERROR(__xludf.DUMMYFUNCTION("""COMPUTED_VALUE"""),8)</f>
        <v>8</v>
      </c>
      <c r="C2873" s="8">
        <f ca="1">IFERROR(__xludf.DUMMYFUNCTION("""COMPUTED_VALUE"""),31)</f>
        <v>31</v>
      </c>
      <c r="D2873" s="8">
        <f ca="1">IFERROR(__xludf.DUMMYFUNCTION("""COMPUTED_VALUE"""),1984)</f>
        <v>1984</v>
      </c>
      <c r="E2873" s="9">
        <f ca="1">IFERROR(__xludf.DUMMYFUNCTION("""COMPUTED_VALUE"""),30925)</f>
        <v>30925</v>
      </c>
      <c r="F2873" s="8" t="str">
        <f ca="1">IFERROR(__xludf.DUMMYFUNCTION("""COMPUTED_VALUE"""),"Booker T. Washington High School")</f>
        <v>Booker T. Washington High School</v>
      </c>
      <c r="G2873" s="8">
        <f ca="1">IFERROR(__xludf.DUMMYFUNCTION("""COMPUTED_VALUE"""),0)</f>
        <v>0</v>
      </c>
      <c r="H2873" s="8">
        <f ca="1">IFERROR(__xludf.DUMMYFUNCTION("""COMPUTED_VALUE"""),1)</f>
        <v>1</v>
      </c>
      <c r="I2873" s="8">
        <f ca="1">IFERROR(__xludf.DUMMYFUNCTION("""COMPUTED_VALUE"""),1)</f>
        <v>1</v>
      </c>
      <c r="J2873" s="8">
        <f ca="1">IFERROR(__xludf.DUMMYFUNCTION("""COMPUTED_VALUE"""),0)</f>
        <v>0</v>
      </c>
      <c r="K2873" s="10" t="str">
        <f ca="1">IFERROR(__xludf.DUMMYFUNCTION("""COMPUTED_VALUE"""),"https://www.newspapers.com/image/217311653/?terms=student%2Bshot")</f>
        <v>https://www.newspapers.com/image/217311653/?terms=student%2Bshot</v>
      </c>
      <c r="L2873" s="8"/>
      <c r="M2873" s="8"/>
      <c r="N2873" s="8">
        <f ca="1">IFERROR(__xludf.DUMMYFUNCTION("""COMPUTED_VALUE"""),2)</f>
        <v>2</v>
      </c>
      <c r="O2873" s="8" t="str">
        <f ca="1">IFERROR(__xludf.DUMMYFUNCTION("""COMPUTED_VALUE"""),"Summer")</f>
        <v>Summer</v>
      </c>
      <c r="P2873" s="8" t="str">
        <f ca="1">IFERROR(__xludf.DUMMYFUNCTION("""COMPUTED_VALUE"""),"Shreveport")</f>
        <v>Shreveport</v>
      </c>
      <c r="Q2873" s="8" t="str">
        <f ca="1">IFERROR(__xludf.DUMMYFUNCTION("""COMPUTED_VALUE"""),"LA")</f>
        <v>LA</v>
      </c>
      <c r="R2873" s="8" t="str">
        <f ca="1">IFERROR(__xludf.DUMMYFUNCTION("""COMPUTED_VALUE"""),"High")</f>
        <v>High</v>
      </c>
      <c r="S2873" s="8" t="str">
        <f ca="1">IFERROR(__xludf.DUMMYFUNCTION("""COMPUTED_VALUE"""),"Football Field/Track")</f>
        <v>Football Field/Track</v>
      </c>
      <c r="T2873" s="8" t="str">
        <f ca="1">IFERROR(__xludf.DUMMYFUNCTION("""COMPUTED_VALUE"""),"Outside on School Property")</f>
        <v>Outside on School Property</v>
      </c>
      <c r="U2873" s="8" t="str">
        <f ca="1">IFERROR(__xludf.DUMMYFUNCTION("""COMPUTED_VALUE"""),"No")</f>
        <v>No</v>
      </c>
      <c r="V2873" s="8" t="str">
        <f ca="1">IFERROR(__xludf.DUMMYFUNCTION("""COMPUTED_VALUE"""),"Sport Event")</f>
        <v>Sport Event</v>
      </c>
      <c r="W2873" s="8"/>
      <c r="X2873" s="8">
        <f ca="1">IFERROR(__xludf.DUMMYFUNCTION("""COMPUTED_VALUE"""),1)</f>
        <v>1</v>
      </c>
      <c r="Y2873" s="12" t="str">
        <f ca="1">IFERROR(__xludf.DUMMYFUNCTION("""COMPUTED_VALUE"""),"Shooting occurred after football game between gang members and students")</f>
        <v>Shooting occurred after football game between gang members and students</v>
      </c>
      <c r="Z2873" s="12" t="str">
        <f ca="1">IFERROR(__xludf.DUMMYFUNCTION("""COMPUTED_VALUE"""),"Several students and gang members got into a fight after a high school football game. The victim was an innocent bystander who was shot with a .22 pistol in the stomach - no suspect information known")</f>
        <v>Several students and gang members got into a fight after a high school football game. The victim was an innocent bystander who was shot with a .22 pistol in the stomach - no suspect information known</v>
      </c>
      <c r="AA2873" s="8" t="str">
        <f ca="1">IFERROR(__xludf.DUMMYFUNCTION("""COMPUTED_VALUE"""),"Escalation of Dispute")</f>
        <v>Escalation of Dispute</v>
      </c>
      <c r="AB2873" s="8"/>
      <c r="AC2873" s="8"/>
      <c r="AD2873" s="8" t="str">
        <f ca="1">IFERROR(__xludf.DUMMYFUNCTION("""COMPUTED_VALUE"""),"Random Shooting")</f>
        <v>Random Shooting</v>
      </c>
      <c r="AE2873" s="8" t="str">
        <f ca="1">IFERROR(__xludf.DUMMYFUNCTION("""COMPUTED_VALUE"""),"No")</f>
        <v>No</v>
      </c>
      <c r="AF2873" s="8"/>
      <c r="AG2873" s="8" t="str">
        <f ca="1">IFERROR(__xludf.DUMMYFUNCTION("""COMPUTED_VALUE"""),"No")</f>
        <v>No</v>
      </c>
      <c r="AH2873" s="8" t="str">
        <f ca="1">IFERROR(__xludf.DUMMYFUNCTION("""COMPUTED_VALUE"""),"No")</f>
        <v>No</v>
      </c>
      <c r="AI2873" s="8" t="str">
        <f ca="1">IFERROR(__xludf.DUMMYFUNCTION("""COMPUTED_VALUE"""),"No")</f>
        <v>No</v>
      </c>
      <c r="AJ2873" s="8" t="str">
        <f ca="1">IFERROR(__xludf.DUMMYFUNCTION("""COMPUTED_VALUE"""),"No")</f>
        <v>No</v>
      </c>
      <c r="AK2873" s="8" t="str">
        <f ca="1">IFERROR(__xludf.DUMMYFUNCTION("""COMPUTED_VALUE"""),"No")</f>
        <v>No</v>
      </c>
      <c r="AL2873" s="8" t="str">
        <f ca="1">IFERROR(__xludf.DUMMYFUNCTION("""COMPUTED_VALUE"""),"Yes")</f>
        <v>Yes</v>
      </c>
      <c r="AM2873" s="8"/>
      <c r="AN2873" s="8"/>
      <c r="AO2873" s="8" t="str">
        <f ca="1">IFERROR(__xludf.DUMMYFUNCTION("""COMPUTED_VALUE"""),"No")</f>
        <v>No</v>
      </c>
      <c r="AP2873" s="8"/>
      <c r="AQ2873" s="8" t="str">
        <f ca="1">IFERROR(__xludf.DUMMYFUNCTION("""COMPUTED_VALUE"""),"Unknown")</f>
        <v>Unknown</v>
      </c>
      <c r="AR2873" s="8" t="str">
        <f ca="1">IFERROR(__xludf.DUMMYFUNCTION("""COMPUTED_VALUE"""),"NA")</f>
        <v>NA</v>
      </c>
      <c r="AS2873" s="8" t="str">
        <f ca="1">IFERROR(__xludf.DUMMYFUNCTION("""COMPUTED_VALUE"""),"&lt;10")</f>
        <v>&lt;10</v>
      </c>
      <c r="AT2873" s="8"/>
      <c r="AU2873" s="8">
        <f ca="1">IFERROR(__xludf.DUMMYFUNCTION("""COMPUTED_VALUE"""),32.504117)</f>
        <v>32.504117000000001</v>
      </c>
      <c r="AV2873" s="8">
        <f ca="1">IFERROR(__xludf.DUMMYFUNCTION("""COMPUTED_VALUE"""),-93.774486)</f>
        <v>-93.774485999999996</v>
      </c>
      <c r="AW2873" s="8"/>
      <c r="AX2873" s="8">
        <f ca="1">IFERROR(__xludf.DUMMYFUNCTION("""COMPUTED_VALUE"""),71103)</f>
        <v>71103</v>
      </c>
    </row>
    <row r="2874" spans="1:50" ht="60" x14ac:dyDescent="0.2">
      <c r="A2874" s="8" t="str">
        <f ca="1">IFERROR(__xludf.DUMMYFUNCTION("""COMPUTED_VALUE"""),"19840710MIMUD")</f>
        <v>19840710MIMUD</v>
      </c>
      <c r="B2874" s="8">
        <f ca="1">IFERROR(__xludf.DUMMYFUNCTION("""COMPUTED_VALUE"""),7)</f>
        <v>7</v>
      </c>
      <c r="C2874" s="8">
        <f ca="1">IFERROR(__xludf.DUMMYFUNCTION("""COMPUTED_VALUE"""),10)</f>
        <v>10</v>
      </c>
      <c r="D2874" s="8">
        <f ca="1">IFERROR(__xludf.DUMMYFUNCTION("""COMPUTED_VALUE"""),1984)</f>
        <v>1984</v>
      </c>
      <c r="E2874" s="9">
        <f ca="1">IFERROR(__xludf.DUMMYFUNCTION("""COMPUTED_VALUE"""),30873)</f>
        <v>30873</v>
      </c>
      <c r="F2874" s="8" t="str">
        <f ca="1">IFERROR(__xludf.DUMMYFUNCTION("""COMPUTED_VALUE"""),"Mumford High School")</f>
        <v>Mumford High School</v>
      </c>
      <c r="G2874" s="8">
        <f ca="1">IFERROR(__xludf.DUMMYFUNCTION("""COMPUTED_VALUE"""),0)</f>
        <v>0</v>
      </c>
      <c r="H2874" s="8">
        <f ca="1">IFERROR(__xludf.DUMMYFUNCTION("""COMPUTED_VALUE"""),1)</f>
        <v>1</v>
      </c>
      <c r="I2874" s="8">
        <f ca="1">IFERROR(__xludf.DUMMYFUNCTION("""COMPUTED_VALUE"""),1)</f>
        <v>1</v>
      </c>
      <c r="J2874" s="8">
        <f ca="1">IFERROR(__xludf.DUMMYFUNCTION("""COMPUTED_VALUE"""),0)</f>
        <v>0</v>
      </c>
      <c r="K2874" s="10" t="str">
        <f ca="1">IFERROR(__xludf.DUMMYFUNCTION("""COMPUTED_VALUE"""),"https://www.newspapers.com/image/99155324/?terms=student%2Bshot")</f>
        <v>https://www.newspapers.com/image/99155324/?terms=student%2Bshot</v>
      </c>
      <c r="L2874" s="8"/>
      <c r="M2874" s="8"/>
      <c r="N2874" s="8">
        <f ca="1">IFERROR(__xludf.DUMMYFUNCTION("""COMPUTED_VALUE"""),2)</f>
        <v>2</v>
      </c>
      <c r="O2874" s="8" t="str">
        <f ca="1">IFERROR(__xludf.DUMMYFUNCTION("""COMPUTED_VALUE"""),"Summer")</f>
        <v>Summer</v>
      </c>
      <c r="P2874" s="8" t="str">
        <f ca="1">IFERROR(__xludf.DUMMYFUNCTION("""COMPUTED_VALUE"""),"Detroit")</f>
        <v>Detroit</v>
      </c>
      <c r="Q2874" s="8" t="str">
        <f ca="1">IFERROR(__xludf.DUMMYFUNCTION("""COMPUTED_VALUE"""),"MI")</f>
        <v>MI</v>
      </c>
      <c r="R2874" s="8" t="str">
        <f ca="1">IFERROR(__xludf.DUMMYFUNCTION("""COMPUTED_VALUE"""),"High")</f>
        <v>High</v>
      </c>
      <c r="S2874" s="8" t="str">
        <f ca="1">IFERROR(__xludf.DUMMYFUNCTION("""COMPUTED_VALUE"""),"Beside Building")</f>
        <v>Beside Building</v>
      </c>
      <c r="T2874" s="8" t="str">
        <f ca="1">IFERROR(__xludf.DUMMYFUNCTION("""COMPUTED_VALUE"""),"Outside on School Property")</f>
        <v>Outside on School Property</v>
      </c>
      <c r="U2874" s="8" t="str">
        <f ca="1">IFERROR(__xludf.DUMMYFUNCTION("""COMPUTED_VALUE"""),"Yes")</f>
        <v>Yes</v>
      </c>
      <c r="V2874" s="8" t="str">
        <f ca="1">IFERROR(__xludf.DUMMYFUNCTION("""COMPUTED_VALUE"""),"Lunch")</f>
        <v>Lunch</v>
      </c>
      <c r="W2874" s="11">
        <f ca="1">IFERROR(__xludf.DUMMYFUNCTION("""COMPUTED_VALUE"""),0.46875)</f>
        <v>0.46875</v>
      </c>
      <c r="X2874" s="8">
        <f ca="1">IFERROR(__xludf.DUMMYFUNCTION("""COMPUTED_VALUE"""),1)</f>
        <v>1</v>
      </c>
      <c r="Y2874" s="12" t="str">
        <f ca="1">IFERROR(__xludf.DUMMYFUNCTION("""COMPUTED_VALUE"""),"Mistaken identity related to gang violence")</f>
        <v>Mistaken identity related to gang violence</v>
      </c>
      <c r="Z2874" s="12" t="str">
        <f ca="1">IFERROR(__xludf.DUMMYFUNCTION("""COMPUTED_VALUE"""),"Victim was walking outside on school grounds when he was shot in the arm by a male chasing a group of boys. Police suspect it was gang related and the victim was an innocent bystander.")</f>
        <v>Victim was walking outside on school grounds when he was shot in the arm by a male chasing a group of boys. Police suspect it was gang related and the victim was an innocent bystander.</v>
      </c>
      <c r="AA2874" s="8" t="str">
        <f ca="1">IFERROR(__xludf.DUMMYFUNCTION("""COMPUTED_VALUE"""),"Escalation of Dispute")</f>
        <v>Escalation of Dispute</v>
      </c>
      <c r="AB2874" s="8"/>
      <c r="AC2874" s="8"/>
      <c r="AD2874" s="8" t="str">
        <f ca="1">IFERROR(__xludf.DUMMYFUNCTION("""COMPUTED_VALUE"""),"Random Shooting")</f>
        <v>Random Shooting</v>
      </c>
      <c r="AE2874" s="8" t="str">
        <f ca="1">IFERROR(__xludf.DUMMYFUNCTION("""COMPUTED_VALUE"""),"No")</f>
        <v>No</v>
      </c>
      <c r="AF2874" s="8"/>
      <c r="AG2874" s="8" t="str">
        <f ca="1">IFERROR(__xludf.DUMMYFUNCTION("""COMPUTED_VALUE"""),"No")</f>
        <v>No</v>
      </c>
      <c r="AH2874" s="8" t="str">
        <f ca="1">IFERROR(__xludf.DUMMYFUNCTION("""COMPUTED_VALUE"""),"No")</f>
        <v>No</v>
      </c>
      <c r="AI2874" s="8" t="str">
        <f ca="1">IFERROR(__xludf.DUMMYFUNCTION("""COMPUTED_VALUE"""),"No")</f>
        <v>No</v>
      </c>
      <c r="AJ2874" s="8" t="str">
        <f ca="1">IFERROR(__xludf.DUMMYFUNCTION("""COMPUTED_VALUE"""),"No")</f>
        <v>No</v>
      </c>
      <c r="AK2874" s="8" t="str">
        <f ca="1">IFERROR(__xludf.DUMMYFUNCTION("""COMPUTED_VALUE"""),"No")</f>
        <v>No</v>
      </c>
      <c r="AL2874" s="8" t="str">
        <f ca="1">IFERROR(__xludf.DUMMYFUNCTION("""COMPUTED_VALUE"""),"Yes")</f>
        <v>Yes</v>
      </c>
      <c r="AM2874" s="8"/>
      <c r="AN2874" s="8"/>
      <c r="AO2874" s="8" t="str">
        <f ca="1">IFERROR(__xludf.DUMMYFUNCTION("""COMPUTED_VALUE"""),"No")</f>
        <v>No</v>
      </c>
      <c r="AP2874" s="8"/>
      <c r="AQ2874" s="8" t="str">
        <f ca="1">IFERROR(__xludf.DUMMYFUNCTION("""COMPUTED_VALUE"""),"Unknown")</f>
        <v>Unknown</v>
      </c>
      <c r="AR2874" s="8" t="str">
        <f ca="1">IFERROR(__xludf.DUMMYFUNCTION("""COMPUTED_VALUE"""),"NA")</f>
        <v>NA</v>
      </c>
      <c r="AS2874" s="8">
        <f ca="1">IFERROR(__xludf.DUMMYFUNCTION("""COMPUTED_VALUE"""),1)</f>
        <v>1</v>
      </c>
      <c r="AT2874" s="8"/>
      <c r="AU2874" s="8">
        <f ca="1">IFERROR(__xludf.DUMMYFUNCTION("""COMPUTED_VALUE"""),42.421295)</f>
        <v>42.421295000000001</v>
      </c>
      <c r="AV2874" s="8">
        <f ca="1">IFERROR(__xludf.DUMMYFUNCTION("""COMPUTED_VALUE"""),-83.163215)</f>
        <v>-83.163214999999994</v>
      </c>
      <c r="AW2874" s="8"/>
      <c r="AX2874" s="8">
        <f ca="1">IFERROR(__xludf.DUMMYFUNCTION("""COMPUTED_VALUE"""),48221)</f>
        <v>48221</v>
      </c>
    </row>
    <row r="2875" spans="1:50" ht="60" x14ac:dyDescent="0.2">
      <c r="A2875" s="8" t="str">
        <f ca="1">IFERROR(__xludf.DUMMYFUNCTION("""COMPUTED_VALUE"""),"19840522OHCLC")</f>
        <v>19840522OHCLC</v>
      </c>
      <c r="B2875" s="8">
        <f ca="1">IFERROR(__xludf.DUMMYFUNCTION("""COMPUTED_VALUE"""),5)</f>
        <v>5</v>
      </c>
      <c r="C2875" s="8">
        <f ca="1">IFERROR(__xludf.DUMMYFUNCTION("""COMPUTED_VALUE"""),22)</f>
        <v>22</v>
      </c>
      <c r="D2875" s="8">
        <f ca="1">IFERROR(__xludf.DUMMYFUNCTION("""COMPUTED_VALUE"""),1984)</f>
        <v>1984</v>
      </c>
      <c r="E2875" s="9">
        <f ca="1">IFERROR(__xludf.DUMMYFUNCTION("""COMPUTED_VALUE"""),30824)</f>
        <v>30824</v>
      </c>
      <c r="F2875" s="8" t="str">
        <f ca="1">IFERROR(__xludf.DUMMYFUNCTION("""COMPUTED_VALUE"""),"Cleveland Heights High School")</f>
        <v>Cleveland Heights High School</v>
      </c>
      <c r="G2875" s="8">
        <f ca="1">IFERROR(__xludf.DUMMYFUNCTION("""COMPUTED_VALUE"""),0)</f>
        <v>0</v>
      </c>
      <c r="H2875" s="8">
        <f ca="1">IFERROR(__xludf.DUMMYFUNCTION("""COMPUTED_VALUE"""),1)</f>
        <v>1</v>
      </c>
      <c r="I2875" s="8">
        <f ca="1">IFERROR(__xludf.DUMMYFUNCTION("""COMPUTED_VALUE"""),1)</f>
        <v>1</v>
      </c>
      <c r="J2875" s="8">
        <f ca="1">IFERROR(__xludf.DUMMYFUNCTION("""COMPUTED_VALUE"""),0)</f>
        <v>0</v>
      </c>
      <c r="K2875" s="10" t="str">
        <f ca="1">IFERROR(__xludf.DUMMYFUNCTION("""COMPUTED_VALUE"""),"https://www.newspapers.com/image/153645072/?terms=michael%2Bbrody")</f>
        <v>https://www.newspapers.com/image/153645072/?terms=michael%2Bbrody</v>
      </c>
      <c r="L2875" s="8"/>
      <c r="M2875" s="8"/>
      <c r="N2875" s="8">
        <f ca="1">IFERROR(__xludf.DUMMYFUNCTION("""COMPUTED_VALUE"""),2)</f>
        <v>2</v>
      </c>
      <c r="O2875" s="8" t="str">
        <f ca="1">IFERROR(__xludf.DUMMYFUNCTION("""COMPUTED_VALUE"""),"Spring")</f>
        <v>Spring</v>
      </c>
      <c r="P2875" s="8" t="str">
        <f ca="1">IFERROR(__xludf.DUMMYFUNCTION("""COMPUTED_VALUE"""),"Cleveland Heights")</f>
        <v>Cleveland Heights</v>
      </c>
      <c r="Q2875" s="8" t="str">
        <f ca="1">IFERROR(__xludf.DUMMYFUNCTION("""COMPUTED_VALUE"""),"OH")</f>
        <v>OH</v>
      </c>
      <c r="R2875" s="8" t="str">
        <f ca="1">IFERROR(__xludf.DUMMYFUNCTION("""COMPUTED_VALUE"""),"High")</f>
        <v>High</v>
      </c>
      <c r="S2875" s="8" t="str">
        <f ca="1">IFERROR(__xludf.DUMMYFUNCTION("""COMPUTED_VALUE"""),"Classroom")</f>
        <v>Classroom</v>
      </c>
      <c r="T2875" s="8" t="str">
        <f ca="1">IFERROR(__xludf.DUMMYFUNCTION("""COMPUTED_VALUE"""),"Inside School Building")</f>
        <v>Inside School Building</v>
      </c>
      <c r="U2875" s="8" t="str">
        <f ca="1">IFERROR(__xludf.DUMMYFUNCTION("""COMPUTED_VALUE"""),"Yes")</f>
        <v>Yes</v>
      </c>
      <c r="V2875" s="8"/>
      <c r="W2875" s="8"/>
      <c r="X2875" s="8">
        <f ca="1">IFERROR(__xludf.DUMMYFUNCTION("""COMPUTED_VALUE"""),1)</f>
        <v>1</v>
      </c>
      <c r="Y2875" s="12" t="str">
        <f ca="1">IFERROR(__xludf.DUMMYFUNCTION("""COMPUTED_VALUE"""),"Shooter dropped bag with gun inside. Gun went off striking victim")</f>
        <v>Shooter dropped bag with gun inside. Gun went off striking victim</v>
      </c>
      <c r="Z2875" s="12" t="str">
        <f ca="1">IFERROR(__xludf.DUMMYFUNCTION("""COMPUTED_VALUE"""),"Victim was accidentally shot in the chest by shooter who had gun in bag. Gun went off when shooter dropped his bag on his desk during Spanish class")</f>
        <v>Victim was accidentally shot in the chest by shooter who had gun in bag. Gun went off when shooter dropped his bag on his desk during Spanish class</v>
      </c>
      <c r="AA2875" s="8" t="str">
        <f ca="1">IFERROR(__xludf.DUMMYFUNCTION("""COMPUTED_VALUE"""),"Accidental")</f>
        <v>Accidental</v>
      </c>
      <c r="AB2875" s="8"/>
      <c r="AC2875" s="8"/>
      <c r="AD2875" s="8" t="str">
        <f ca="1">IFERROR(__xludf.DUMMYFUNCTION("""COMPUTED_VALUE"""),"Random Shooting")</f>
        <v>Random Shooting</v>
      </c>
      <c r="AE2875" s="8"/>
      <c r="AF2875" s="8"/>
      <c r="AG2875" s="8" t="str">
        <f ca="1">IFERROR(__xludf.DUMMYFUNCTION("""COMPUTED_VALUE"""),"No")</f>
        <v>No</v>
      </c>
      <c r="AH2875" s="8" t="str">
        <f ca="1">IFERROR(__xludf.DUMMYFUNCTION("""COMPUTED_VALUE"""),"No")</f>
        <v>No</v>
      </c>
      <c r="AI2875" s="8" t="str">
        <f ca="1">IFERROR(__xludf.DUMMYFUNCTION("""COMPUTED_VALUE"""),"No")</f>
        <v>No</v>
      </c>
      <c r="AJ2875" s="8" t="str">
        <f ca="1">IFERROR(__xludf.DUMMYFUNCTION("""COMPUTED_VALUE"""),"No")</f>
        <v>No</v>
      </c>
      <c r="AK2875" s="8" t="str">
        <f ca="1">IFERROR(__xludf.DUMMYFUNCTION("""COMPUTED_VALUE"""),"No")</f>
        <v>No</v>
      </c>
      <c r="AL2875" s="8" t="str">
        <f ca="1">IFERROR(__xludf.DUMMYFUNCTION("""COMPUTED_VALUE"""),"No")</f>
        <v>No</v>
      </c>
      <c r="AM2875" s="8"/>
      <c r="AN2875" s="8"/>
      <c r="AO2875" s="8" t="str">
        <f ca="1">IFERROR(__xludf.DUMMYFUNCTION("""COMPUTED_VALUE"""),"No")</f>
        <v>No</v>
      </c>
      <c r="AP2875" s="8"/>
      <c r="AQ2875" s="8" t="str">
        <f ca="1">IFERROR(__xludf.DUMMYFUNCTION("""COMPUTED_VALUE"""),"Unknown")</f>
        <v>Unknown</v>
      </c>
      <c r="AR2875" s="8" t="str">
        <f ca="1">IFERROR(__xludf.DUMMYFUNCTION("""COMPUTED_VALUE"""),"NA")</f>
        <v>NA</v>
      </c>
      <c r="AS2875" s="8">
        <f ca="1">IFERROR(__xludf.DUMMYFUNCTION("""COMPUTED_VALUE"""),1)</f>
        <v>1</v>
      </c>
      <c r="AT2875" s="8"/>
      <c r="AU2875" s="8">
        <f ca="1">IFERROR(__xludf.DUMMYFUNCTION("""COMPUTED_VALUE"""),41.502121)</f>
        <v>41.502121000000002</v>
      </c>
      <c r="AV2875" s="8">
        <f ca="1">IFERROR(__xludf.DUMMYFUNCTION("""COMPUTED_VALUE"""),-81.563055)</f>
        <v>-81.563055000000006</v>
      </c>
      <c r="AW2875" s="8"/>
      <c r="AX2875" s="8">
        <f ca="1">IFERROR(__xludf.DUMMYFUNCTION("""COMPUTED_VALUE"""),44118)</f>
        <v>44118</v>
      </c>
    </row>
    <row r="2876" spans="1:50" ht="60" x14ac:dyDescent="0.2">
      <c r="A2876" s="8" t="str">
        <f ca="1">IFERROR(__xludf.DUMMYFUNCTION("""COMPUTED_VALUE"""),"19840518CANON")</f>
        <v>19840518CANON</v>
      </c>
      <c r="B2876" s="8">
        <f ca="1">IFERROR(__xludf.DUMMYFUNCTION("""COMPUTED_VALUE"""),5)</f>
        <v>5</v>
      </c>
      <c r="C2876" s="8">
        <f ca="1">IFERROR(__xludf.DUMMYFUNCTION("""COMPUTED_VALUE"""),18)</f>
        <v>18</v>
      </c>
      <c r="D2876" s="8">
        <f ca="1">IFERROR(__xludf.DUMMYFUNCTION("""COMPUTED_VALUE"""),1984)</f>
        <v>1984</v>
      </c>
      <c r="E2876" s="9">
        <f ca="1">IFERROR(__xludf.DUMMYFUNCTION("""COMPUTED_VALUE"""),30820)</f>
        <v>30820</v>
      </c>
      <c r="F2876" s="8" t="str">
        <f ca="1">IFERROR(__xludf.DUMMYFUNCTION("""COMPUTED_VALUE"""),"Norco High School")</f>
        <v>Norco High School</v>
      </c>
      <c r="G2876" s="8">
        <f ca="1">IFERROR(__xludf.DUMMYFUNCTION("""COMPUTED_VALUE"""),0)</f>
        <v>0</v>
      </c>
      <c r="H2876" s="8">
        <f ca="1">IFERROR(__xludf.DUMMYFUNCTION("""COMPUTED_VALUE"""),12)</f>
        <v>12</v>
      </c>
      <c r="I2876" s="8">
        <f ca="1">IFERROR(__xludf.DUMMYFUNCTION("""COMPUTED_VALUE"""),12)</f>
        <v>12</v>
      </c>
      <c r="J2876" s="8">
        <f ca="1">IFERROR(__xludf.DUMMYFUNCTION("""COMPUTED_VALUE"""),0)</f>
        <v>0</v>
      </c>
      <c r="K2876" s="10" t="str">
        <f ca="1">IFERROR(__xludf.DUMMYFUNCTION("""COMPUTED_VALUE"""),"https://www.newspapers.com/image/368938109/?terms=Norco%2BHigh%2BSchool%2Bshooting")</f>
        <v>https://www.newspapers.com/image/368938109/?terms=Norco%2BHigh%2BSchool%2Bshooting</v>
      </c>
      <c r="L2876" s="8"/>
      <c r="M2876" s="8"/>
      <c r="N2876" s="8">
        <f ca="1">IFERROR(__xludf.DUMMYFUNCTION("""COMPUTED_VALUE"""),2)</f>
        <v>2</v>
      </c>
      <c r="O2876" s="8" t="str">
        <f ca="1">IFERROR(__xludf.DUMMYFUNCTION("""COMPUTED_VALUE"""),"Spring")</f>
        <v>Spring</v>
      </c>
      <c r="P2876" s="8" t="str">
        <f ca="1">IFERROR(__xludf.DUMMYFUNCTION("""COMPUTED_VALUE"""),"Norco")</f>
        <v>Norco</v>
      </c>
      <c r="Q2876" s="8" t="str">
        <f ca="1">IFERROR(__xludf.DUMMYFUNCTION("""COMPUTED_VALUE"""),"CA")</f>
        <v>CA</v>
      </c>
      <c r="R2876" s="8" t="str">
        <f ca="1">IFERROR(__xludf.DUMMYFUNCTION("""COMPUTED_VALUE"""),"High")</f>
        <v>High</v>
      </c>
      <c r="S2876" s="8" t="str">
        <f ca="1">IFERROR(__xludf.DUMMYFUNCTION("""COMPUTED_VALUE"""),"Hallway")</f>
        <v>Hallway</v>
      </c>
      <c r="T2876" s="8" t="str">
        <f ca="1">IFERROR(__xludf.DUMMYFUNCTION("""COMPUTED_VALUE"""),"Inside School Building")</f>
        <v>Inside School Building</v>
      </c>
      <c r="U2876" s="8" t="str">
        <f ca="1">IFERROR(__xludf.DUMMYFUNCTION("""COMPUTED_VALUE"""),"Yes")</f>
        <v>Yes</v>
      </c>
      <c r="V2876" s="8" t="str">
        <f ca="1">IFERROR(__xludf.DUMMYFUNCTION("""COMPUTED_VALUE"""),"Morning Classes")</f>
        <v>Morning Classes</v>
      </c>
      <c r="W2876" s="11">
        <f ca="1">IFERROR(__xludf.DUMMYFUNCTION("""COMPUTED_VALUE"""),0.416666666666666)</f>
        <v>0.41666666666666602</v>
      </c>
      <c r="X2876" s="8">
        <f ca="1">IFERROR(__xludf.DUMMYFUNCTION("""COMPUTED_VALUE"""),1)</f>
        <v>1</v>
      </c>
      <c r="Y2876" s="12" t="str">
        <f ca="1">IFERROR(__xludf.DUMMYFUNCTION("""COMPUTED_VALUE"""),"Shooter was trying to settle argument, tackled by students")</f>
        <v>Shooter was trying to settle argument, tackled by students</v>
      </c>
      <c r="Z2876" s="12" t="str">
        <f ca="1">IFERROR(__xludf.DUMMYFUNCTION("""COMPUTED_VALUE"""),"17YOM student had dispute with with a female and male student the day prior. Brought shotgun to settle the dispute. Other students saw him with the gun and tackled the shooter. Shotgun was loaded with light birdshot.")</f>
        <v>17YOM student had dispute with with a female and male student the day prior. Brought shotgun to settle the dispute. Other students saw him with the gun and tackled the shooter. Shotgun was loaded with light birdshot.</v>
      </c>
      <c r="AA2876" s="8" t="str">
        <f ca="1">IFERROR(__xludf.DUMMYFUNCTION("""COMPUTED_VALUE"""),"Escalation of Dispute")</f>
        <v>Escalation of Dispute</v>
      </c>
      <c r="AB2876" s="8"/>
      <c r="AC2876" s="8"/>
      <c r="AD2876" s="8" t="str">
        <f ca="1">IFERROR(__xludf.DUMMYFUNCTION("""COMPUTED_VALUE"""),"Both")</f>
        <v>Both</v>
      </c>
      <c r="AE2876" s="8" t="str">
        <f ca="1">IFERROR(__xludf.DUMMYFUNCTION("""COMPUTED_VALUE"""),"No")</f>
        <v>No</v>
      </c>
      <c r="AF2876" s="8"/>
      <c r="AG2876" s="8" t="str">
        <f ca="1">IFERROR(__xludf.DUMMYFUNCTION("""COMPUTED_VALUE"""),"No")</f>
        <v>No</v>
      </c>
      <c r="AH2876" s="8" t="str">
        <f ca="1">IFERROR(__xludf.DUMMYFUNCTION("""COMPUTED_VALUE"""),"No")</f>
        <v>No</v>
      </c>
      <c r="AI2876" s="8" t="str">
        <f ca="1">IFERROR(__xludf.DUMMYFUNCTION("""COMPUTED_VALUE"""),"No")</f>
        <v>No</v>
      </c>
      <c r="AJ2876" s="8" t="str">
        <f ca="1">IFERROR(__xludf.DUMMYFUNCTION("""COMPUTED_VALUE"""),"No")</f>
        <v>No</v>
      </c>
      <c r="AK2876" s="8" t="str">
        <f ca="1">IFERROR(__xludf.DUMMYFUNCTION("""COMPUTED_VALUE"""),"No")</f>
        <v>No</v>
      </c>
      <c r="AL2876" s="8" t="str">
        <f ca="1">IFERROR(__xludf.DUMMYFUNCTION("""COMPUTED_VALUE"""),"No")</f>
        <v>No</v>
      </c>
      <c r="AM2876" s="8"/>
      <c r="AN2876" s="8"/>
      <c r="AO2876" s="8" t="str">
        <f ca="1">IFERROR(__xludf.DUMMYFUNCTION("""COMPUTED_VALUE"""),"No")</f>
        <v>No</v>
      </c>
      <c r="AP2876" s="8"/>
      <c r="AQ2876" s="8" t="str">
        <f ca="1">IFERROR(__xludf.DUMMYFUNCTION("""COMPUTED_VALUE"""),"Unknown")</f>
        <v>Unknown</v>
      </c>
      <c r="AR2876" s="8" t="str">
        <f ca="1">IFERROR(__xludf.DUMMYFUNCTION("""COMPUTED_VALUE"""),"NA")</f>
        <v>NA</v>
      </c>
      <c r="AS2876" s="8">
        <f ca="1">IFERROR(__xludf.DUMMYFUNCTION("""COMPUTED_VALUE"""),2)</f>
        <v>2</v>
      </c>
      <c r="AT2876" s="8"/>
      <c r="AU2876" s="8">
        <f ca="1">IFERROR(__xludf.DUMMYFUNCTION("""COMPUTED_VALUE"""),33.91169)</f>
        <v>33.91169</v>
      </c>
      <c r="AV2876" s="8">
        <f ca="1">IFERROR(__xludf.DUMMYFUNCTION("""COMPUTED_VALUE"""),-117.546659)</f>
        <v>-117.54665900000001</v>
      </c>
      <c r="AW2876" s="8"/>
      <c r="AX2876" s="8">
        <f ca="1">IFERROR(__xludf.DUMMYFUNCTION("""COMPUTED_VALUE"""),92860)</f>
        <v>92860</v>
      </c>
    </row>
    <row r="2877" spans="1:50" ht="105" x14ac:dyDescent="0.2">
      <c r="A2877" s="8" t="str">
        <f ca="1">IFERROR(__xludf.DUMMYFUNCTION("""COMPUTED_VALUE"""),"19840517TXBOH")</f>
        <v>19840517TXBOH</v>
      </c>
      <c r="B2877" s="8">
        <f ca="1">IFERROR(__xludf.DUMMYFUNCTION("""COMPUTED_VALUE"""),5)</f>
        <v>5</v>
      </c>
      <c r="C2877" s="8">
        <f ca="1">IFERROR(__xludf.DUMMYFUNCTION("""COMPUTED_VALUE"""),17)</f>
        <v>17</v>
      </c>
      <c r="D2877" s="8">
        <f ca="1">IFERROR(__xludf.DUMMYFUNCTION("""COMPUTED_VALUE"""),1984)</f>
        <v>1984</v>
      </c>
      <c r="E2877" s="9">
        <f ca="1">IFERROR(__xludf.DUMMYFUNCTION("""COMPUTED_VALUE"""),30819)</f>
        <v>30819</v>
      </c>
      <c r="F2877" s="8" t="str">
        <f ca="1">IFERROR(__xludf.DUMMYFUNCTION("""COMPUTED_VALUE"""),"Booker T. Washington High School")</f>
        <v>Booker T. Washington High School</v>
      </c>
      <c r="G2877" s="8">
        <f ca="1">IFERROR(__xludf.DUMMYFUNCTION("""COMPUTED_VALUE"""),0)</f>
        <v>0</v>
      </c>
      <c r="H2877" s="8">
        <f ca="1">IFERROR(__xludf.DUMMYFUNCTION("""COMPUTED_VALUE"""),1)</f>
        <v>1</v>
      </c>
      <c r="I2877" s="8">
        <f ca="1">IFERROR(__xludf.DUMMYFUNCTION("""COMPUTED_VALUE"""),1)</f>
        <v>1</v>
      </c>
      <c r="J2877" s="8">
        <f ca="1">IFERROR(__xludf.DUMMYFUNCTION("""COMPUTED_VALUE"""),1)</f>
        <v>1</v>
      </c>
      <c r="K2877" s="8" t="str">
        <f ca="1">IFERROR(__xludf.DUMMYFUNCTION("""COMPUTED_VALUE"""),"https://www.newspapers.com/image/14568393/?terms=student%2Bshot%2Bhouston  https://www.newspapers.com/image/358299085/?terms=christopher%2Bross")</f>
        <v>https://www.newspapers.com/image/14568393/?terms=student%2Bshot%2Bhouston  https://www.newspapers.com/image/358299085/?terms=christopher%2Bross</v>
      </c>
      <c r="L2877" s="8"/>
      <c r="M2877" s="8"/>
      <c r="N2877" s="8">
        <f ca="1">IFERROR(__xludf.DUMMYFUNCTION("""COMPUTED_VALUE"""),2)</f>
        <v>2</v>
      </c>
      <c r="O2877" s="8" t="str">
        <f ca="1">IFERROR(__xludf.DUMMYFUNCTION("""COMPUTED_VALUE"""),"Spring")</f>
        <v>Spring</v>
      </c>
      <c r="P2877" s="8" t="str">
        <f ca="1">IFERROR(__xludf.DUMMYFUNCTION("""COMPUTED_VALUE"""),"Houston")</f>
        <v>Houston</v>
      </c>
      <c r="Q2877" s="8" t="str">
        <f ca="1">IFERROR(__xludf.DUMMYFUNCTION("""COMPUTED_VALUE"""),"TX")</f>
        <v>TX</v>
      </c>
      <c r="R2877" s="8" t="str">
        <f ca="1">IFERROR(__xludf.DUMMYFUNCTION("""COMPUTED_VALUE"""),"High")</f>
        <v>High</v>
      </c>
      <c r="S2877" s="8" t="str">
        <f ca="1">IFERROR(__xludf.DUMMYFUNCTION("""COMPUTED_VALUE"""),"Classroom")</f>
        <v>Classroom</v>
      </c>
      <c r="T2877" s="8" t="str">
        <f ca="1">IFERROR(__xludf.DUMMYFUNCTION("""COMPUTED_VALUE"""),"Inside School Building")</f>
        <v>Inside School Building</v>
      </c>
      <c r="U2877" s="8" t="str">
        <f ca="1">IFERROR(__xludf.DUMMYFUNCTION("""COMPUTED_VALUE"""),"Yes")</f>
        <v>Yes</v>
      </c>
      <c r="V2877" s="8" t="str">
        <f ca="1">IFERROR(__xludf.DUMMYFUNCTION("""COMPUTED_VALUE"""),"Morning Classes")</f>
        <v>Morning Classes</v>
      </c>
      <c r="W2877" s="11">
        <f ca="1">IFERROR(__xludf.DUMMYFUNCTION("""COMPUTED_VALUE"""),0.447916666666666)</f>
        <v>0.44791666666666602</v>
      </c>
      <c r="X2877" s="8">
        <f ca="1">IFERROR(__xludf.DUMMYFUNCTION("""COMPUTED_VALUE"""),1)</f>
        <v>1</v>
      </c>
      <c r="Y2877" s="12" t="str">
        <f ca="1">IFERROR(__xludf.DUMMYFUNCTION("""COMPUTED_VALUE"""),"Anger over suspension / fight with girlfriend")</f>
        <v>Anger over suspension / fight with girlfriend</v>
      </c>
      <c r="Z2877" s="12" t="str">
        <f ca="1">IFERROR(__xludf.DUMMYFUNCTION("""COMPUTED_VALUE"""),"Shooter walked into his girlfriend's typing class, shot at the teacher (no injury) shot his girlfriend (who survived) then shot/killed himself. Shooter was angry over his recent suspension for harassment / fighting with his girlfriend. Was allowed to come"&amp;" back to school after promising school staff he wouldn't fight with her anymore. Had suicide note in pocket.")</f>
        <v>Shooter walked into his girlfriend's typing class, shot at the teacher (no injury) shot his girlfriend (who survived) then shot/killed himself. Shooter was angry over his recent suspension for harassment / fighting with his girlfriend. Was allowed to come back to school after promising school staff he wouldn't fight with her anymore. Had suicide note in pocket.</v>
      </c>
      <c r="AA2877" s="8" t="str">
        <f ca="1">IFERROR(__xludf.DUMMYFUNCTION("""COMPUTED_VALUE"""),"Domestic w/ Targeted Victim")</f>
        <v>Domestic w/ Targeted Victim</v>
      </c>
      <c r="AB2877" s="8"/>
      <c r="AC2877" s="8"/>
      <c r="AD2877" s="8" t="str">
        <f ca="1">IFERROR(__xludf.DUMMYFUNCTION("""COMPUTED_VALUE"""),"Victims Targeted")</f>
        <v>Victims Targeted</v>
      </c>
      <c r="AE2877" s="8" t="str">
        <f ca="1">IFERROR(__xludf.DUMMYFUNCTION("""COMPUTED_VALUE"""),"No")</f>
        <v>No</v>
      </c>
      <c r="AF2877" s="8"/>
      <c r="AG2877" s="8" t="str">
        <f ca="1">IFERROR(__xludf.DUMMYFUNCTION("""COMPUTED_VALUE"""),"No")</f>
        <v>No</v>
      </c>
      <c r="AH2877" s="8" t="str">
        <f ca="1">IFERROR(__xludf.DUMMYFUNCTION("""COMPUTED_VALUE"""),"No")</f>
        <v>No</v>
      </c>
      <c r="AI2877" s="8" t="str">
        <f ca="1">IFERROR(__xludf.DUMMYFUNCTION("""COMPUTED_VALUE"""),"No")</f>
        <v>No</v>
      </c>
      <c r="AJ2877" s="8" t="str">
        <f ca="1">IFERROR(__xludf.DUMMYFUNCTION("""COMPUTED_VALUE"""),"No")</f>
        <v>No</v>
      </c>
      <c r="AK2877" s="8" t="str">
        <f ca="1">IFERROR(__xludf.DUMMYFUNCTION("""COMPUTED_VALUE"""),"Yes")</f>
        <v>Yes</v>
      </c>
      <c r="AL2877" s="8" t="str">
        <f ca="1">IFERROR(__xludf.DUMMYFUNCTION("""COMPUTED_VALUE"""),"No")</f>
        <v>No</v>
      </c>
      <c r="AM2877" s="8" t="str">
        <f ca="1">IFERROR(__xludf.DUMMYFUNCTION("""COMPUTED_VALUE"""),"Yes")</f>
        <v>Yes</v>
      </c>
      <c r="AN2877" s="8" t="str">
        <f ca="1">IFERROR(__xludf.DUMMYFUNCTION("""COMPUTED_VALUE"""),"Single Room")</f>
        <v>Single Room</v>
      </c>
      <c r="AO2877" s="8" t="str">
        <f ca="1">IFERROR(__xludf.DUMMYFUNCTION("""COMPUTED_VALUE"""),"No")</f>
        <v>No</v>
      </c>
      <c r="AP2877" s="8"/>
      <c r="AQ2877" s="8" t="str">
        <f ca="1">IFERROR(__xludf.DUMMYFUNCTION("""COMPUTED_VALUE"""),"Unknown")</f>
        <v>Unknown</v>
      </c>
      <c r="AR2877" s="8" t="str">
        <f ca="1">IFERROR(__xludf.DUMMYFUNCTION("""COMPUTED_VALUE"""),"NA")</f>
        <v>NA</v>
      </c>
      <c r="AS2877" s="8">
        <f ca="1">IFERROR(__xludf.DUMMYFUNCTION("""COMPUTED_VALUE"""),3)</f>
        <v>3</v>
      </c>
      <c r="AT2877" s="8"/>
      <c r="AU2877" s="8">
        <f ca="1">IFERROR(__xludf.DUMMYFUNCTION("""COMPUTED_VALUE"""),29.821763)</f>
        <v>29.821763000000001</v>
      </c>
      <c r="AV2877" s="8">
        <f ca="1">IFERROR(__xludf.DUMMYFUNCTION("""COMPUTED_VALUE"""),-95.398661)</f>
        <v>-95.398661000000004</v>
      </c>
      <c r="AW2877" s="8"/>
      <c r="AX2877" s="8">
        <f ca="1">IFERROR(__xludf.DUMMYFUNCTION("""COMPUTED_VALUE"""),77246)</f>
        <v>77246</v>
      </c>
    </row>
    <row r="2878" spans="1:50" ht="45" x14ac:dyDescent="0.2">
      <c r="A2878" s="8" t="str">
        <f ca="1">IFERROR(__xludf.DUMMYFUNCTION("""COMPUTED_VALUE"""),"19840517IASOP")</f>
        <v>19840517IASOP</v>
      </c>
      <c r="B2878" s="8">
        <f ca="1">IFERROR(__xludf.DUMMYFUNCTION("""COMPUTED_VALUE"""),5)</f>
        <v>5</v>
      </c>
      <c r="C2878" s="8">
        <f ca="1">IFERROR(__xludf.DUMMYFUNCTION("""COMPUTED_VALUE"""),17)</f>
        <v>17</v>
      </c>
      <c r="D2878" s="8">
        <f ca="1">IFERROR(__xludf.DUMMYFUNCTION("""COMPUTED_VALUE"""),1984)</f>
        <v>1984</v>
      </c>
      <c r="E2878" s="9">
        <f ca="1">IFERROR(__xludf.DUMMYFUNCTION("""COMPUTED_VALUE"""),30819)</f>
        <v>30819</v>
      </c>
      <c r="F2878" s="8" t="str">
        <f ca="1">IFERROR(__xludf.DUMMYFUNCTION("""COMPUTED_VALUE"""),"Southeast Polk High School")</f>
        <v>Southeast Polk High School</v>
      </c>
      <c r="G2878" s="8">
        <f ca="1">IFERROR(__xludf.DUMMYFUNCTION("""COMPUTED_VALUE"""),1)</f>
        <v>1</v>
      </c>
      <c r="H2878" s="8">
        <f ca="1">IFERROR(__xludf.DUMMYFUNCTION("""COMPUTED_VALUE"""),0)</f>
        <v>0</v>
      </c>
      <c r="I2878" s="8">
        <f ca="1">IFERROR(__xludf.DUMMYFUNCTION("""COMPUTED_VALUE"""),1)</f>
        <v>1</v>
      </c>
      <c r="J2878" s="8">
        <f ca="1">IFERROR(__xludf.DUMMYFUNCTION("""COMPUTED_VALUE"""),1)</f>
        <v>1</v>
      </c>
      <c r="K2878" s="8" t="str">
        <f ca="1">IFERROR(__xludf.DUMMYFUNCTION("""COMPUTED_VALUE"""),"https://www.upi.com/Archives/1984/06/15/Death-gun-seller-pleads-innocent/6645456120000/  https://www.newspapers.com/image/14568393/?terms=student%2Bshot%2Bhouston")</f>
        <v>https://www.upi.com/Archives/1984/06/15/Death-gun-seller-pleads-innocent/6645456120000/  https://www.newspapers.com/image/14568393/?terms=student%2Bshot%2Bhouston</v>
      </c>
      <c r="L2878" s="8"/>
      <c r="M2878" s="8"/>
      <c r="N2878" s="8">
        <f ca="1">IFERROR(__xludf.DUMMYFUNCTION("""COMPUTED_VALUE"""),2)</f>
        <v>2</v>
      </c>
      <c r="O2878" s="8" t="str">
        <f ca="1">IFERROR(__xludf.DUMMYFUNCTION("""COMPUTED_VALUE"""),"Spring")</f>
        <v>Spring</v>
      </c>
      <c r="P2878" s="8" t="str">
        <f ca="1">IFERROR(__xludf.DUMMYFUNCTION("""COMPUTED_VALUE"""),"Pleasant Hill")</f>
        <v>Pleasant Hill</v>
      </c>
      <c r="Q2878" s="8" t="str">
        <f ca="1">IFERROR(__xludf.DUMMYFUNCTION("""COMPUTED_VALUE"""),"IA")</f>
        <v>IA</v>
      </c>
      <c r="R2878" s="8" t="str">
        <f ca="1">IFERROR(__xludf.DUMMYFUNCTION("""COMPUTED_VALUE"""),"High")</f>
        <v>High</v>
      </c>
      <c r="S2878" s="8" t="str">
        <f ca="1">IFERROR(__xludf.DUMMYFUNCTION("""COMPUTED_VALUE"""),"Classroom")</f>
        <v>Classroom</v>
      </c>
      <c r="T2878" s="8" t="str">
        <f ca="1">IFERROR(__xludf.DUMMYFUNCTION("""COMPUTED_VALUE"""),"Inside School Building")</f>
        <v>Inside School Building</v>
      </c>
      <c r="U2878" s="8" t="str">
        <f ca="1">IFERROR(__xludf.DUMMYFUNCTION("""COMPUTED_VALUE"""),"Yes")</f>
        <v>Yes</v>
      </c>
      <c r="V2878" s="8" t="str">
        <f ca="1">IFERROR(__xludf.DUMMYFUNCTION("""COMPUTED_VALUE"""),"Morning Classes")</f>
        <v>Morning Classes</v>
      </c>
      <c r="W2878" s="11">
        <f ca="1">IFERROR(__xludf.DUMMYFUNCTION("""COMPUTED_VALUE"""),0.447916666666666)</f>
        <v>0.44791666666666602</v>
      </c>
      <c r="X2878" s="8">
        <f ca="1">IFERROR(__xludf.DUMMYFUNCTION("""COMPUTED_VALUE"""),1)</f>
        <v>1</v>
      </c>
      <c r="Y2878" s="12" t="str">
        <f ca="1">IFERROR(__xludf.DUMMYFUNCTION("""COMPUTED_VALUE"""),"Shot girlfriend and then self after break-up")</f>
        <v>Shot girlfriend and then self after break-up</v>
      </c>
      <c r="Z2878" s="12" t="str">
        <f ca="1">IFERROR(__xludf.DUMMYFUNCTION("""COMPUTED_VALUE"""),"Shooter had been stalking victim. Shot her multiple times in classroom and then shot himself. Bought gun from a friend - parents had no idea he had a weapon")</f>
        <v>Shooter had been stalking victim. Shot her multiple times in classroom and then shot himself. Bought gun from a friend - parents had no idea he had a weapon</v>
      </c>
      <c r="AA2878" s="8" t="str">
        <f ca="1">IFERROR(__xludf.DUMMYFUNCTION("""COMPUTED_VALUE"""),"Murder/Suicide")</f>
        <v>Murder/Suicide</v>
      </c>
      <c r="AB2878" s="8"/>
      <c r="AC2878" s="8"/>
      <c r="AD2878" s="8" t="str">
        <f ca="1">IFERROR(__xludf.DUMMYFUNCTION("""COMPUTED_VALUE"""),"Victims Targeted")</f>
        <v>Victims Targeted</v>
      </c>
      <c r="AE2878" s="8" t="str">
        <f ca="1">IFERROR(__xludf.DUMMYFUNCTION("""COMPUTED_VALUE"""),"No")</f>
        <v>No</v>
      </c>
      <c r="AF2878" s="8"/>
      <c r="AG2878" s="8" t="str">
        <f ca="1">IFERROR(__xludf.DUMMYFUNCTION("""COMPUTED_VALUE"""),"No")</f>
        <v>No</v>
      </c>
      <c r="AH2878" s="8" t="str">
        <f ca="1">IFERROR(__xludf.DUMMYFUNCTION("""COMPUTED_VALUE"""),"No")</f>
        <v>No</v>
      </c>
      <c r="AI2878" s="8" t="str">
        <f ca="1">IFERROR(__xludf.DUMMYFUNCTION("""COMPUTED_VALUE"""),"No")</f>
        <v>No</v>
      </c>
      <c r="AJ2878" s="8" t="str">
        <f ca="1">IFERROR(__xludf.DUMMYFUNCTION("""COMPUTED_VALUE"""),"No")</f>
        <v>No</v>
      </c>
      <c r="AK2878" s="8" t="str">
        <f ca="1">IFERROR(__xludf.DUMMYFUNCTION("""COMPUTED_VALUE"""),"No")</f>
        <v>No</v>
      </c>
      <c r="AL2878" s="8" t="str">
        <f ca="1">IFERROR(__xludf.DUMMYFUNCTION("""COMPUTED_VALUE"""),"No")</f>
        <v>No</v>
      </c>
      <c r="AM2878" s="8"/>
      <c r="AN2878" s="8"/>
      <c r="AO2878" s="8"/>
      <c r="AP2878" s="8"/>
      <c r="AQ2878" s="8" t="str">
        <f ca="1">IFERROR(__xludf.DUMMYFUNCTION("""COMPUTED_VALUE"""),"Unknown")</f>
        <v>Unknown</v>
      </c>
      <c r="AR2878" s="8" t="str">
        <f ca="1">IFERROR(__xludf.DUMMYFUNCTION("""COMPUTED_VALUE"""),"NA")</f>
        <v>NA</v>
      </c>
      <c r="AS2878" s="8">
        <f ca="1">IFERROR(__xludf.DUMMYFUNCTION("""COMPUTED_VALUE"""),4)</f>
        <v>4</v>
      </c>
      <c r="AT2878" s="8"/>
      <c r="AU2878" s="8">
        <f ca="1">IFERROR(__xludf.DUMMYFUNCTION("""COMPUTED_VALUE"""),41.598052)</f>
        <v>41.598052000000003</v>
      </c>
      <c r="AV2878" s="8">
        <f ca="1">IFERROR(__xludf.DUMMYFUNCTION("""COMPUTED_VALUE"""),-93.446032)</f>
        <v>-93.446032000000002</v>
      </c>
      <c r="AW2878" s="8"/>
      <c r="AX2878" s="8">
        <f ca="1">IFERROR(__xludf.DUMMYFUNCTION("""COMPUTED_VALUE"""),50327)</f>
        <v>50327</v>
      </c>
    </row>
    <row r="2879" spans="1:50" ht="45" x14ac:dyDescent="0.2">
      <c r="A2879" s="8" t="str">
        <f ca="1">IFERROR(__xludf.DUMMYFUNCTION("""COMPUTED_VALUE"""),"19840515MTCMG")</f>
        <v>19840515MTCMG</v>
      </c>
      <c r="B2879" s="8">
        <f ca="1">IFERROR(__xludf.DUMMYFUNCTION("""COMPUTED_VALUE"""),5)</f>
        <v>5</v>
      </c>
      <c r="C2879" s="8">
        <f ca="1">IFERROR(__xludf.DUMMYFUNCTION("""COMPUTED_VALUE"""),15)</f>
        <v>15</v>
      </c>
      <c r="D2879" s="8">
        <f ca="1">IFERROR(__xludf.DUMMYFUNCTION("""COMPUTED_VALUE"""),1984)</f>
        <v>1984</v>
      </c>
      <c r="E2879" s="9">
        <f ca="1">IFERROR(__xludf.DUMMYFUNCTION("""COMPUTED_VALUE"""),30817)</f>
        <v>30817</v>
      </c>
      <c r="F2879" s="8" t="str">
        <f ca="1">IFERROR(__xludf.DUMMYFUNCTION("""COMPUTED_VALUE"""),"C M Russell High School")</f>
        <v>C M Russell High School</v>
      </c>
      <c r="G2879" s="8">
        <f ca="1">IFERROR(__xludf.DUMMYFUNCTION("""COMPUTED_VALUE"""),0)</f>
        <v>0</v>
      </c>
      <c r="H2879" s="8">
        <f ca="1">IFERROR(__xludf.DUMMYFUNCTION("""COMPUTED_VALUE"""),0)</f>
        <v>0</v>
      </c>
      <c r="I2879" s="8">
        <f ca="1">IFERROR(__xludf.DUMMYFUNCTION("""COMPUTED_VALUE"""),0)</f>
        <v>0</v>
      </c>
      <c r="J2879" s="8">
        <f ca="1">IFERROR(__xludf.DUMMYFUNCTION("""COMPUTED_VALUE"""),0)</f>
        <v>0</v>
      </c>
      <c r="K2879" s="10" t="str">
        <f ca="1">IFERROR(__xludf.DUMMYFUNCTION("""COMPUTED_VALUE"""),"https://www.newspapers.com/image/240845256/?terms=STUDENT%2BSHOOTS")</f>
        <v>https://www.newspapers.com/image/240845256/?terms=STUDENT%2BSHOOTS</v>
      </c>
      <c r="L2879" s="8"/>
      <c r="M2879" s="8"/>
      <c r="N2879" s="8">
        <f ca="1">IFERROR(__xludf.DUMMYFUNCTION("""COMPUTED_VALUE"""),2)</f>
        <v>2</v>
      </c>
      <c r="O2879" s="8" t="str">
        <f ca="1">IFERROR(__xludf.DUMMYFUNCTION("""COMPUTED_VALUE"""),"Spring")</f>
        <v>Spring</v>
      </c>
      <c r="P2879" s="8" t="str">
        <f ca="1">IFERROR(__xludf.DUMMYFUNCTION("""COMPUTED_VALUE"""),"Great Falls")</f>
        <v>Great Falls</v>
      </c>
      <c r="Q2879" s="8" t="str">
        <f ca="1">IFERROR(__xludf.DUMMYFUNCTION("""COMPUTED_VALUE"""),"MT")</f>
        <v>MT</v>
      </c>
      <c r="R2879" s="8" t="str">
        <f ca="1">IFERROR(__xludf.DUMMYFUNCTION("""COMPUTED_VALUE"""),"High")</f>
        <v>High</v>
      </c>
      <c r="S2879" s="8" t="str">
        <f ca="1">IFERROR(__xludf.DUMMYFUNCTION("""COMPUTED_VALUE"""),"Parking Lot")</f>
        <v>Parking Lot</v>
      </c>
      <c r="T2879" s="8" t="str">
        <f ca="1">IFERROR(__xludf.DUMMYFUNCTION("""COMPUTED_VALUE"""),"Outside on School Property")</f>
        <v>Outside on School Property</v>
      </c>
      <c r="U2879" s="8" t="str">
        <f ca="1">IFERROR(__xludf.DUMMYFUNCTION("""COMPUTED_VALUE"""),"Yes")</f>
        <v>Yes</v>
      </c>
      <c r="V2879" s="8" t="str">
        <f ca="1">IFERROR(__xludf.DUMMYFUNCTION("""COMPUTED_VALUE"""),"After School")</f>
        <v>After School</v>
      </c>
      <c r="W2879" s="11">
        <f ca="1">IFERROR(__xludf.DUMMYFUNCTION("""COMPUTED_VALUE"""),0.604166666666666)</f>
        <v>0.60416666666666596</v>
      </c>
      <c r="X2879" s="8">
        <f ca="1">IFERROR(__xludf.DUMMYFUNCTION("""COMPUTED_VALUE"""),1)</f>
        <v>1</v>
      </c>
      <c r="Y2879" s="12" t="str">
        <f ca="1">IFERROR(__xludf.DUMMYFUNCTION("""COMPUTED_VALUE"""),"Student shot self in chest in school parking lot")</f>
        <v>Student shot self in chest in school parking lot</v>
      </c>
      <c r="Z2879" s="12" t="str">
        <f ca="1">IFERROR(__xludf.DUMMYFUNCTION("""COMPUTED_VALUE"""),"Senior shot himself in the chest with a .22 caliber rifle while sitting in his car in school parking lot -")</f>
        <v>Senior shot himself in the chest with a .22 caliber rifle while sitting in his car in school parking lot -</v>
      </c>
      <c r="AA2879" s="8" t="str">
        <f ca="1">IFERROR(__xludf.DUMMYFUNCTION("""COMPUTED_VALUE"""),"Suicide/Attempted")</f>
        <v>Suicide/Attempted</v>
      </c>
      <c r="AB2879" s="8"/>
      <c r="AC2879" s="8"/>
      <c r="AD2879" s="8" t="str">
        <f ca="1">IFERROR(__xludf.DUMMYFUNCTION("""COMPUTED_VALUE"""),"Victims Targeted")</f>
        <v>Victims Targeted</v>
      </c>
      <c r="AE2879" s="8" t="str">
        <f ca="1">IFERROR(__xludf.DUMMYFUNCTION("""COMPUTED_VALUE"""),"No")</f>
        <v>No</v>
      </c>
      <c r="AF2879" s="8"/>
      <c r="AG2879" s="8" t="str">
        <f ca="1">IFERROR(__xludf.DUMMYFUNCTION("""COMPUTED_VALUE"""),"No")</f>
        <v>No</v>
      </c>
      <c r="AH2879" s="8" t="str">
        <f ca="1">IFERROR(__xludf.DUMMYFUNCTION("""COMPUTED_VALUE"""),"No")</f>
        <v>No</v>
      </c>
      <c r="AI2879" s="8" t="str">
        <f ca="1">IFERROR(__xludf.DUMMYFUNCTION("""COMPUTED_VALUE"""),"No")</f>
        <v>No</v>
      </c>
      <c r="AJ2879" s="8" t="str">
        <f ca="1">IFERROR(__xludf.DUMMYFUNCTION("""COMPUTED_VALUE"""),"No")</f>
        <v>No</v>
      </c>
      <c r="AK2879" s="8" t="str">
        <f ca="1">IFERROR(__xludf.DUMMYFUNCTION("""COMPUTED_VALUE"""),"No")</f>
        <v>No</v>
      </c>
      <c r="AL2879" s="8" t="str">
        <f ca="1">IFERROR(__xludf.DUMMYFUNCTION("""COMPUTED_VALUE"""),"No")</f>
        <v>No</v>
      </c>
      <c r="AM2879" s="8"/>
      <c r="AN2879" s="8"/>
      <c r="AO2879" s="8" t="str">
        <f ca="1">IFERROR(__xludf.DUMMYFUNCTION("""COMPUTED_VALUE"""),"No")</f>
        <v>No</v>
      </c>
      <c r="AP2879" s="8"/>
      <c r="AQ2879" s="8" t="str">
        <f ca="1">IFERROR(__xludf.DUMMYFUNCTION("""COMPUTED_VALUE"""),"Unknown")</f>
        <v>Unknown</v>
      </c>
      <c r="AR2879" s="8" t="str">
        <f ca="1">IFERROR(__xludf.DUMMYFUNCTION("""COMPUTED_VALUE"""),"NA")</f>
        <v>NA</v>
      </c>
      <c r="AS2879" s="8">
        <f ca="1">IFERROR(__xludf.DUMMYFUNCTION("""COMPUTED_VALUE"""),1)</f>
        <v>1</v>
      </c>
      <c r="AT2879" s="8"/>
      <c r="AU2879" s="8">
        <f ca="1">IFERROR(__xludf.DUMMYFUNCTION("""COMPUTED_VALUE"""),47.520073)</f>
        <v>47.520072999999996</v>
      </c>
      <c r="AV2879" s="8">
        <f ca="1">IFERROR(__xludf.DUMMYFUNCTION("""COMPUTED_VALUE"""),-111.31888)</f>
        <v>-111.31887999999999</v>
      </c>
      <c r="AW2879" s="8"/>
      <c r="AX2879" s="8">
        <f ca="1">IFERROR(__xludf.DUMMYFUNCTION("""COMPUTED_VALUE"""),59404)</f>
        <v>59404</v>
      </c>
    </row>
    <row r="2880" spans="1:50" ht="30" x14ac:dyDescent="0.2">
      <c r="A2880" s="8" t="str">
        <f ca="1">IFERROR(__xludf.DUMMYFUNCTION("""COMPUTED_VALUE"""),"19840426NCROW")</f>
        <v>19840426NCROW</v>
      </c>
      <c r="B2880" s="8">
        <f ca="1">IFERROR(__xludf.DUMMYFUNCTION("""COMPUTED_VALUE"""),4)</f>
        <v>4</v>
      </c>
      <c r="C2880" s="8">
        <f ca="1">IFERROR(__xludf.DUMMYFUNCTION("""COMPUTED_VALUE"""),26)</f>
        <v>26</v>
      </c>
      <c r="D2880" s="8">
        <f ca="1">IFERROR(__xludf.DUMMYFUNCTION("""COMPUTED_VALUE"""),1984)</f>
        <v>1984</v>
      </c>
      <c r="E2880" s="9">
        <f ca="1">IFERROR(__xludf.DUMMYFUNCTION("""COMPUTED_VALUE"""),30798)</f>
        <v>30798</v>
      </c>
      <c r="F2880" s="8" t="str">
        <f ca="1">IFERROR(__xludf.DUMMYFUNCTION("""COMPUTED_VALUE"""),"Rose Hill Magnolia Elementary School")</f>
        <v>Rose Hill Magnolia Elementary School</v>
      </c>
      <c r="G2880" s="8">
        <f ca="1">IFERROR(__xludf.DUMMYFUNCTION("""COMPUTED_VALUE"""),0)</f>
        <v>0</v>
      </c>
      <c r="H2880" s="8">
        <f ca="1">IFERROR(__xludf.DUMMYFUNCTION("""COMPUTED_VALUE"""),0)</f>
        <v>0</v>
      </c>
      <c r="I2880" s="8">
        <f ca="1">IFERROR(__xludf.DUMMYFUNCTION("""COMPUTED_VALUE"""),0)</f>
        <v>0</v>
      </c>
      <c r="J2880" s="8">
        <f ca="1">IFERROR(__xludf.DUMMYFUNCTION("""COMPUTED_VALUE"""),0)</f>
        <v>0</v>
      </c>
      <c r="K2880" s="10" t="str">
        <f ca="1">IFERROR(__xludf.DUMMYFUNCTION("""COMPUTED_VALUE"""),"https://www.newspapers.com/image/337840295/?terms=STUDENT%2BSHOOTS")</f>
        <v>https://www.newspapers.com/image/337840295/?terms=STUDENT%2BSHOOTS</v>
      </c>
      <c r="L2880" s="8"/>
      <c r="M2880" s="8"/>
      <c r="N2880" s="8">
        <f ca="1">IFERROR(__xludf.DUMMYFUNCTION("""COMPUTED_VALUE"""),2)</f>
        <v>2</v>
      </c>
      <c r="O2880" s="8" t="str">
        <f ca="1">IFERROR(__xludf.DUMMYFUNCTION("""COMPUTED_VALUE"""),"Spring")</f>
        <v>Spring</v>
      </c>
      <c r="P2880" s="8" t="str">
        <f ca="1">IFERROR(__xludf.DUMMYFUNCTION("""COMPUTED_VALUE"""),"Wallace")</f>
        <v>Wallace</v>
      </c>
      <c r="Q2880" s="8" t="str">
        <f ca="1">IFERROR(__xludf.DUMMYFUNCTION("""COMPUTED_VALUE"""),"NC")</f>
        <v>NC</v>
      </c>
      <c r="R2880" s="8" t="str">
        <f ca="1">IFERROR(__xludf.DUMMYFUNCTION("""COMPUTED_VALUE"""),"Elementary")</f>
        <v>Elementary</v>
      </c>
      <c r="S2880" s="8" t="str">
        <f ca="1">IFERROR(__xludf.DUMMYFUNCTION("""COMPUTED_VALUE"""),"Classroom")</f>
        <v>Classroom</v>
      </c>
      <c r="T2880" s="8" t="str">
        <f ca="1">IFERROR(__xludf.DUMMYFUNCTION("""COMPUTED_VALUE"""),"Inside School Building")</f>
        <v>Inside School Building</v>
      </c>
      <c r="U2880" s="8" t="str">
        <f ca="1">IFERROR(__xludf.DUMMYFUNCTION("""COMPUTED_VALUE"""),"Yes")</f>
        <v>Yes</v>
      </c>
      <c r="V2880" s="8"/>
      <c r="W2880" s="8"/>
      <c r="X2880" s="8">
        <f ca="1">IFERROR(__xludf.DUMMYFUNCTION("""COMPUTED_VALUE"""),1)</f>
        <v>1</v>
      </c>
      <c r="Y2880" s="12" t="str">
        <f ca="1">IFERROR(__xludf.DUMMYFUNCTION("""COMPUTED_VALUE"""),"Suicide attempt in front of classroom")</f>
        <v>Suicide attempt in front of classroom</v>
      </c>
      <c r="Z2880" s="12" t="str">
        <f ca="1">IFERROR(__xludf.DUMMYFUNCTION("""COMPUTED_VALUE"""),"Student stood up in front of his fifth grade class, declared no one loved him then shot himself")</f>
        <v>Student stood up in front of his fifth grade class, declared no one loved him then shot himself</v>
      </c>
      <c r="AA2880" s="8" t="str">
        <f ca="1">IFERROR(__xludf.DUMMYFUNCTION("""COMPUTED_VALUE"""),"Suicide/Attempted")</f>
        <v>Suicide/Attempted</v>
      </c>
      <c r="AB2880" s="8"/>
      <c r="AC2880" s="8"/>
      <c r="AD2880" s="8" t="str">
        <f ca="1">IFERROR(__xludf.DUMMYFUNCTION("""COMPUTED_VALUE"""),"Victims Targeted")</f>
        <v>Victims Targeted</v>
      </c>
      <c r="AE2880" s="8" t="str">
        <f ca="1">IFERROR(__xludf.DUMMYFUNCTION("""COMPUTED_VALUE"""),"No")</f>
        <v>No</v>
      </c>
      <c r="AF2880" s="8"/>
      <c r="AG2880" s="8" t="str">
        <f ca="1">IFERROR(__xludf.DUMMYFUNCTION("""COMPUTED_VALUE"""),"No")</f>
        <v>No</v>
      </c>
      <c r="AH2880" s="8" t="str">
        <f ca="1">IFERROR(__xludf.DUMMYFUNCTION("""COMPUTED_VALUE"""),"No")</f>
        <v>No</v>
      </c>
      <c r="AI2880" s="8" t="str">
        <f ca="1">IFERROR(__xludf.DUMMYFUNCTION("""COMPUTED_VALUE"""),"No")</f>
        <v>No</v>
      </c>
      <c r="AJ2880" s="8" t="str">
        <f ca="1">IFERROR(__xludf.DUMMYFUNCTION("""COMPUTED_VALUE"""),"No")</f>
        <v>No</v>
      </c>
      <c r="AK2880" s="8" t="str">
        <f ca="1">IFERROR(__xludf.DUMMYFUNCTION("""COMPUTED_VALUE"""),"No")</f>
        <v>No</v>
      </c>
      <c r="AL2880" s="8" t="str">
        <f ca="1">IFERROR(__xludf.DUMMYFUNCTION("""COMPUTED_VALUE"""),"No")</f>
        <v>No</v>
      </c>
      <c r="AM2880" s="8"/>
      <c r="AN2880" s="8"/>
      <c r="AO2880" s="8" t="str">
        <f ca="1">IFERROR(__xludf.DUMMYFUNCTION("""COMPUTED_VALUE"""),"No")</f>
        <v>No</v>
      </c>
      <c r="AP2880" s="8"/>
      <c r="AQ2880" s="8" t="str">
        <f ca="1">IFERROR(__xludf.DUMMYFUNCTION("""COMPUTED_VALUE"""),"Unknown")</f>
        <v>Unknown</v>
      </c>
      <c r="AR2880" s="8" t="str">
        <f ca="1">IFERROR(__xludf.DUMMYFUNCTION("""COMPUTED_VALUE"""),"NA")</f>
        <v>NA</v>
      </c>
      <c r="AS2880" s="8">
        <f ca="1">IFERROR(__xludf.DUMMYFUNCTION("""COMPUTED_VALUE"""),1)</f>
        <v>1</v>
      </c>
      <c r="AT2880" s="8"/>
      <c r="AU2880" s="8">
        <f ca="1">IFERROR(__xludf.DUMMYFUNCTION("""COMPUTED_VALUE"""),34.849829)</f>
        <v>34.849829</v>
      </c>
      <c r="AV2880" s="8">
        <f ca="1">IFERROR(__xludf.DUMMYFUNCTION("""COMPUTED_VALUE"""),-78.023811)</f>
        <v>-78.023810999999995</v>
      </c>
      <c r="AW2880" s="8"/>
      <c r="AX2880" s="8">
        <f ca="1">IFERROR(__xludf.DUMMYFUNCTION("""COMPUTED_VALUE"""),28453)</f>
        <v>28453</v>
      </c>
    </row>
    <row r="2881" spans="1:50" ht="30" x14ac:dyDescent="0.2">
      <c r="A2881" s="8" t="str">
        <f ca="1">IFERROR(__xludf.DUMMYFUNCTION("""COMPUTED_VALUE"""),"19840420MIPRD")</f>
        <v>19840420MIPRD</v>
      </c>
      <c r="B2881" s="8">
        <f ca="1">IFERROR(__xludf.DUMMYFUNCTION("""COMPUTED_VALUE"""),4)</f>
        <v>4</v>
      </c>
      <c r="C2881" s="8">
        <f ca="1">IFERROR(__xludf.DUMMYFUNCTION("""COMPUTED_VALUE"""),20)</f>
        <v>20</v>
      </c>
      <c r="D2881" s="8">
        <f ca="1">IFERROR(__xludf.DUMMYFUNCTION("""COMPUTED_VALUE"""),1984)</f>
        <v>1984</v>
      </c>
      <c r="E2881" s="9">
        <f ca="1">IFERROR(__xludf.DUMMYFUNCTION("""COMPUTED_VALUE"""),30792)</f>
        <v>30792</v>
      </c>
      <c r="F2881" s="8" t="str">
        <f ca="1">IFERROR(__xludf.DUMMYFUNCTION("""COMPUTED_VALUE"""),"Precious Blood School")</f>
        <v>Precious Blood School</v>
      </c>
      <c r="G2881" s="8">
        <f ca="1">IFERROR(__xludf.DUMMYFUNCTION("""COMPUTED_VALUE"""),1)</f>
        <v>1</v>
      </c>
      <c r="H2881" s="8">
        <f ca="1">IFERROR(__xludf.DUMMYFUNCTION("""COMPUTED_VALUE"""),0)</f>
        <v>0</v>
      </c>
      <c r="I2881" s="8">
        <f ca="1">IFERROR(__xludf.DUMMYFUNCTION("""COMPUTED_VALUE"""),1)</f>
        <v>1</v>
      </c>
      <c r="J2881" s="8">
        <f ca="1">IFERROR(__xludf.DUMMYFUNCTION("""COMPUTED_VALUE"""),0)</f>
        <v>0</v>
      </c>
      <c r="K2881" s="10" t="str">
        <f ca="1">IFERROR(__xludf.DUMMYFUNCTION("""COMPUTED_VALUE"""),"https://www.newspapers.com/newspage/99072089/")</f>
        <v>https://www.newspapers.com/newspage/99072089/</v>
      </c>
      <c r="L2881" s="8"/>
      <c r="M2881" s="8"/>
      <c r="N2881" s="8">
        <f ca="1">IFERROR(__xludf.DUMMYFUNCTION("""COMPUTED_VALUE"""),2)</f>
        <v>2</v>
      </c>
      <c r="O2881" s="8" t="str">
        <f ca="1">IFERROR(__xludf.DUMMYFUNCTION("""COMPUTED_VALUE"""),"Spring")</f>
        <v>Spring</v>
      </c>
      <c r="P2881" s="8" t="str">
        <f ca="1">IFERROR(__xludf.DUMMYFUNCTION("""COMPUTED_VALUE"""),"Detroit")</f>
        <v>Detroit</v>
      </c>
      <c r="Q2881" s="8" t="str">
        <f ca="1">IFERROR(__xludf.DUMMYFUNCTION("""COMPUTED_VALUE"""),"MI")</f>
        <v>MI</v>
      </c>
      <c r="R2881" s="8" t="str">
        <f ca="1">IFERROR(__xludf.DUMMYFUNCTION("""COMPUTED_VALUE"""),"K-12")</f>
        <v>K-12</v>
      </c>
      <c r="S2881" s="8" t="str">
        <f ca="1">IFERROR(__xludf.DUMMYFUNCTION("""COMPUTED_VALUE"""),"Classroom")</f>
        <v>Classroom</v>
      </c>
      <c r="T2881" s="8" t="str">
        <f ca="1">IFERROR(__xludf.DUMMYFUNCTION("""COMPUTED_VALUE"""),"Inside School Building")</f>
        <v>Inside School Building</v>
      </c>
      <c r="U2881" s="8" t="str">
        <f ca="1">IFERROR(__xludf.DUMMYFUNCTION("""COMPUTED_VALUE"""),"Yes")</f>
        <v>Yes</v>
      </c>
      <c r="V2881" s="8"/>
      <c r="W2881" s="8"/>
      <c r="X2881" s="8">
        <f ca="1">IFERROR(__xludf.DUMMYFUNCTION("""COMPUTED_VALUE"""),1)</f>
        <v>1</v>
      </c>
      <c r="Y2881" s="12" t="str">
        <f ca="1">IFERROR(__xludf.DUMMYFUNCTION("""COMPUTED_VALUE"""),"Accidental while showing off gun")</f>
        <v>Accidental while showing off gun</v>
      </c>
      <c r="Z2881" s="12" t="str">
        <f ca="1">IFERROR(__xludf.DUMMYFUNCTION("""COMPUTED_VALUE"""),"8th grade student brought gun to school, friend was looking at it and accidentally fired striking victim in head.")</f>
        <v>8th grade student brought gun to school, friend was looking at it and accidentally fired striking victim in head.</v>
      </c>
      <c r="AA2881" s="8" t="str">
        <f ca="1">IFERROR(__xludf.DUMMYFUNCTION("""COMPUTED_VALUE"""),"Accidental")</f>
        <v>Accidental</v>
      </c>
      <c r="AB2881" s="8"/>
      <c r="AC2881" s="8"/>
      <c r="AD2881" s="8" t="str">
        <f ca="1">IFERROR(__xludf.DUMMYFUNCTION("""COMPUTED_VALUE"""),"Random Shooting")</f>
        <v>Random Shooting</v>
      </c>
      <c r="AE2881" s="8" t="str">
        <f ca="1">IFERROR(__xludf.DUMMYFUNCTION("""COMPUTED_VALUE"""),"No")</f>
        <v>No</v>
      </c>
      <c r="AF2881" s="8"/>
      <c r="AG2881" s="8" t="str">
        <f ca="1">IFERROR(__xludf.DUMMYFUNCTION("""COMPUTED_VALUE"""),"No")</f>
        <v>No</v>
      </c>
      <c r="AH2881" s="8" t="str">
        <f ca="1">IFERROR(__xludf.DUMMYFUNCTION("""COMPUTED_VALUE"""),"No")</f>
        <v>No</v>
      </c>
      <c r="AI2881" s="8" t="str">
        <f ca="1">IFERROR(__xludf.DUMMYFUNCTION("""COMPUTED_VALUE"""),"No")</f>
        <v>No</v>
      </c>
      <c r="AJ2881" s="8" t="str">
        <f ca="1">IFERROR(__xludf.DUMMYFUNCTION("""COMPUTED_VALUE"""),"No")</f>
        <v>No</v>
      </c>
      <c r="AK2881" s="8" t="str">
        <f ca="1">IFERROR(__xludf.DUMMYFUNCTION("""COMPUTED_VALUE"""),"No")</f>
        <v>No</v>
      </c>
      <c r="AL2881" s="8" t="str">
        <f ca="1">IFERROR(__xludf.DUMMYFUNCTION("""COMPUTED_VALUE"""),"No")</f>
        <v>No</v>
      </c>
      <c r="AM2881" s="8"/>
      <c r="AN2881" s="8"/>
      <c r="AO2881" s="8" t="str">
        <f ca="1">IFERROR(__xludf.DUMMYFUNCTION("""COMPUTED_VALUE"""),"No")</f>
        <v>No</v>
      </c>
      <c r="AP2881" s="8"/>
      <c r="AQ2881" s="8" t="str">
        <f ca="1">IFERROR(__xludf.DUMMYFUNCTION("""COMPUTED_VALUE"""),"Unknown")</f>
        <v>Unknown</v>
      </c>
      <c r="AR2881" s="8" t="str">
        <f ca="1">IFERROR(__xludf.DUMMYFUNCTION("""COMPUTED_VALUE"""),"NA")</f>
        <v>NA</v>
      </c>
      <c r="AS2881" s="8">
        <f ca="1">IFERROR(__xludf.DUMMYFUNCTION("""COMPUTED_VALUE"""),1)</f>
        <v>1</v>
      </c>
      <c r="AT2881" s="8"/>
      <c r="AU2881" s="8">
        <f ca="1">IFERROR(__xludf.DUMMYFUNCTION("""COMPUTED_VALUE"""),42.413504)</f>
        <v>42.413504000000003</v>
      </c>
      <c r="AV2881" s="8">
        <f ca="1">IFERROR(__xludf.DUMMYFUNCTION("""COMPUTED_VALUE"""),-83.177527)</f>
        <v>-83.177526999999998</v>
      </c>
      <c r="AW2881" s="8"/>
      <c r="AX2881" s="8">
        <f ca="1">IFERROR(__xludf.DUMMYFUNCTION("""COMPUTED_VALUE"""),48235)</f>
        <v>48235</v>
      </c>
    </row>
    <row r="2882" spans="1:50" ht="30" x14ac:dyDescent="0.2">
      <c r="A2882" s="8" t="str">
        <f ca="1">IFERROR(__xludf.DUMMYFUNCTION("""COMPUTED_VALUE"""),"19840405LACLC")</f>
        <v>19840405LACLC</v>
      </c>
      <c r="B2882" s="8">
        <f ca="1">IFERROR(__xludf.DUMMYFUNCTION("""COMPUTED_VALUE"""),4)</f>
        <v>4</v>
      </c>
      <c r="C2882" s="8">
        <f ca="1">IFERROR(__xludf.DUMMYFUNCTION("""COMPUTED_VALUE"""),5)</f>
        <v>5</v>
      </c>
      <c r="D2882" s="8">
        <f ca="1">IFERROR(__xludf.DUMMYFUNCTION("""COMPUTED_VALUE"""),1984)</f>
        <v>1984</v>
      </c>
      <c r="E2882" s="9">
        <f ca="1">IFERROR(__xludf.DUMMYFUNCTION("""COMPUTED_VALUE"""),30777)</f>
        <v>30777</v>
      </c>
      <c r="F2882" s="8" t="str">
        <f ca="1">IFERROR(__xludf.DUMMYFUNCTION("""COMPUTED_VALUE"""),"Clinton High School")</f>
        <v>Clinton High School</v>
      </c>
      <c r="G2882" s="8">
        <f ca="1">IFERROR(__xludf.DUMMYFUNCTION("""COMPUTED_VALUE"""),0)</f>
        <v>0</v>
      </c>
      <c r="H2882" s="8">
        <f ca="1">IFERROR(__xludf.DUMMYFUNCTION("""COMPUTED_VALUE"""),1)</f>
        <v>1</v>
      </c>
      <c r="I2882" s="8">
        <f ca="1">IFERROR(__xludf.DUMMYFUNCTION("""COMPUTED_VALUE"""),1)</f>
        <v>1</v>
      </c>
      <c r="J2882" s="8">
        <f ca="1">IFERROR(__xludf.DUMMYFUNCTION("""COMPUTED_VALUE"""),0)</f>
        <v>0</v>
      </c>
      <c r="K2882" s="10" t="str">
        <f ca="1">IFERROR(__xludf.DUMMYFUNCTION("""COMPUTED_VALUE"""),"https://www.newspapers.com/image/216585063/?terms=student%2Bshot")</f>
        <v>https://www.newspapers.com/image/216585063/?terms=student%2Bshot</v>
      </c>
      <c r="L2882" s="8"/>
      <c r="M2882" s="8"/>
      <c r="N2882" s="8">
        <f ca="1">IFERROR(__xludf.DUMMYFUNCTION("""COMPUTED_VALUE"""),2)</f>
        <v>2</v>
      </c>
      <c r="O2882" s="8" t="str">
        <f ca="1">IFERROR(__xludf.DUMMYFUNCTION("""COMPUTED_VALUE"""),"Spring")</f>
        <v>Spring</v>
      </c>
      <c r="P2882" s="8" t="str">
        <f ca="1">IFERROR(__xludf.DUMMYFUNCTION("""COMPUTED_VALUE"""),"Clinton")</f>
        <v>Clinton</v>
      </c>
      <c r="Q2882" s="8" t="str">
        <f ca="1">IFERROR(__xludf.DUMMYFUNCTION("""COMPUTED_VALUE"""),"LA")</f>
        <v>LA</v>
      </c>
      <c r="R2882" s="8" t="str">
        <f ca="1">IFERROR(__xludf.DUMMYFUNCTION("""COMPUTED_VALUE"""),"High")</f>
        <v>High</v>
      </c>
      <c r="S2882" s="8" t="str">
        <f ca="1">IFERROR(__xludf.DUMMYFUNCTION("""COMPUTED_VALUE"""),"Auditorium")</f>
        <v>Auditorium</v>
      </c>
      <c r="T2882" s="8" t="str">
        <f ca="1">IFERROR(__xludf.DUMMYFUNCTION("""COMPUTED_VALUE"""),"Inside School Building")</f>
        <v>Inside School Building</v>
      </c>
      <c r="U2882" s="8" t="str">
        <f ca="1">IFERROR(__xludf.DUMMYFUNCTION("""COMPUTED_VALUE"""),"Yes")</f>
        <v>Yes</v>
      </c>
      <c r="V2882" s="8"/>
      <c r="W2882" s="8"/>
      <c r="X2882" s="8">
        <f ca="1">IFERROR(__xludf.DUMMYFUNCTION("""COMPUTED_VALUE"""),1)</f>
        <v>1</v>
      </c>
      <c r="Y2882" s="12" t="str">
        <f ca="1">IFERROR(__xludf.DUMMYFUNCTION("""COMPUTED_VALUE"""),"Ongoing conflicts with fellow students")</f>
        <v>Ongoing conflicts with fellow students</v>
      </c>
      <c r="Z2882" s="12" t="str">
        <f ca="1">IFERROR(__xludf.DUMMYFUNCTION("""COMPUTED_VALUE"""),"Ongoing escalation of conflict between two students - shooting occurred in crowded auditorium")</f>
        <v>Ongoing escalation of conflict between two students - shooting occurred in crowded auditorium</v>
      </c>
      <c r="AA2882" s="8" t="str">
        <f ca="1">IFERROR(__xludf.DUMMYFUNCTION("""COMPUTED_VALUE"""),"Escalation of Dispute")</f>
        <v>Escalation of Dispute</v>
      </c>
      <c r="AB2882" s="8"/>
      <c r="AC2882" s="8"/>
      <c r="AD2882" s="8" t="str">
        <f ca="1">IFERROR(__xludf.DUMMYFUNCTION("""COMPUTED_VALUE"""),"Victims Targeted")</f>
        <v>Victims Targeted</v>
      </c>
      <c r="AE2882" s="8" t="str">
        <f ca="1">IFERROR(__xludf.DUMMYFUNCTION("""COMPUTED_VALUE"""),"No")</f>
        <v>No</v>
      </c>
      <c r="AF2882" s="8"/>
      <c r="AG2882" s="8" t="str">
        <f ca="1">IFERROR(__xludf.DUMMYFUNCTION("""COMPUTED_VALUE"""),"No")</f>
        <v>No</v>
      </c>
      <c r="AH2882" s="8" t="str">
        <f ca="1">IFERROR(__xludf.DUMMYFUNCTION("""COMPUTED_VALUE"""),"No")</f>
        <v>No</v>
      </c>
      <c r="AI2882" s="8" t="str">
        <f ca="1">IFERROR(__xludf.DUMMYFUNCTION("""COMPUTED_VALUE"""),"No")</f>
        <v>No</v>
      </c>
      <c r="AJ2882" s="8"/>
      <c r="AK2882" s="8" t="str">
        <f ca="1">IFERROR(__xludf.DUMMYFUNCTION("""COMPUTED_VALUE"""),"No")</f>
        <v>No</v>
      </c>
      <c r="AL2882" s="8" t="str">
        <f ca="1">IFERROR(__xludf.DUMMYFUNCTION("""COMPUTED_VALUE"""),"No")</f>
        <v>No</v>
      </c>
      <c r="AM2882" s="8"/>
      <c r="AN2882" s="8"/>
      <c r="AO2882" s="8" t="str">
        <f ca="1">IFERROR(__xludf.DUMMYFUNCTION("""COMPUTED_VALUE"""),"No")</f>
        <v>No</v>
      </c>
      <c r="AP2882" s="8"/>
      <c r="AQ2882" s="8" t="str">
        <f ca="1">IFERROR(__xludf.DUMMYFUNCTION("""COMPUTED_VALUE"""),"Unknown")</f>
        <v>Unknown</v>
      </c>
      <c r="AR2882" s="8" t="str">
        <f ca="1">IFERROR(__xludf.DUMMYFUNCTION("""COMPUTED_VALUE"""),"NA")</f>
        <v>NA</v>
      </c>
      <c r="AS2882" s="8" t="str">
        <f ca="1">IFERROR(__xludf.DUMMYFUNCTION("""COMPUTED_VALUE"""),"&lt;10")</f>
        <v>&lt;10</v>
      </c>
      <c r="AT2882" s="8"/>
      <c r="AU2882" s="8">
        <f ca="1">IFERROR(__xludf.DUMMYFUNCTION("""COMPUTED_VALUE"""),30.862601)</f>
        <v>30.862601000000002</v>
      </c>
      <c r="AV2882" s="8">
        <f ca="1">IFERROR(__xludf.DUMMYFUNCTION("""COMPUTED_VALUE"""),-91.013742)</f>
        <v>-91.013741999999993</v>
      </c>
      <c r="AW2882" s="8"/>
      <c r="AX2882" s="8">
        <f ca="1">IFERROR(__xludf.DUMMYFUNCTION("""COMPUTED_VALUE"""),70722)</f>
        <v>70722</v>
      </c>
    </row>
    <row r="2883" spans="1:50" ht="90" x14ac:dyDescent="0.2">
      <c r="A2883" s="8" t="str">
        <f ca="1">IFERROR(__xludf.DUMMYFUNCTION("""COMPUTED_VALUE"""),"19840224CA49L")</f>
        <v>19840224CA49L</v>
      </c>
      <c r="B2883" s="8">
        <f ca="1">IFERROR(__xludf.DUMMYFUNCTION("""COMPUTED_VALUE"""),2)</f>
        <v>2</v>
      </c>
      <c r="C2883" s="8">
        <f ca="1">IFERROR(__xludf.DUMMYFUNCTION("""COMPUTED_VALUE"""),24)</f>
        <v>24</v>
      </c>
      <c r="D2883" s="8">
        <f ca="1">IFERROR(__xludf.DUMMYFUNCTION("""COMPUTED_VALUE"""),1984)</f>
        <v>1984</v>
      </c>
      <c r="E2883" s="9">
        <f ca="1">IFERROR(__xludf.DUMMYFUNCTION("""COMPUTED_VALUE"""),30736)</f>
        <v>30736</v>
      </c>
      <c r="F2883" s="8" t="str">
        <f ca="1">IFERROR(__xludf.DUMMYFUNCTION("""COMPUTED_VALUE"""),"49th Street Elementary School")</f>
        <v>49th Street Elementary School</v>
      </c>
      <c r="G2883" s="8">
        <f ca="1">IFERROR(__xludf.DUMMYFUNCTION("""COMPUTED_VALUE"""),2)</f>
        <v>2</v>
      </c>
      <c r="H2883" s="8">
        <f ca="1">IFERROR(__xludf.DUMMYFUNCTION("""COMPUTED_VALUE"""),8)</f>
        <v>8</v>
      </c>
      <c r="I2883" s="8">
        <f ca="1">IFERROR(__xludf.DUMMYFUNCTION("""COMPUTED_VALUE"""),10)</f>
        <v>10</v>
      </c>
      <c r="J2883" s="8">
        <f ca="1">IFERROR(__xludf.DUMMYFUNCTION("""COMPUTED_VALUE"""),1)</f>
        <v>1</v>
      </c>
      <c r="K2883" s="8" t="str">
        <f ca="1">IFERROR(__xludf.DUMMYFUNCTION("""COMPUTED_VALUE"""),"https://www.nytimes.com/1984/02/25/us/girl-killed-11-shot-at-school-on-coast-suspect-found-dead.html, https://en.wikipedia.org/wiki/Tyrone_Mitchell,")</f>
        <v>https://www.nytimes.com/1984/02/25/us/girl-killed-11-shot-at-school-on-coast-suspect-found-dead.html, https://en.wikipedia.org/wiki/Tyrone_Mitchell,</v>
      </c>
      <c r="L2883" s="8"/>
      <c r="M2883" s="8"/>
      <c r="N2883" s="8">
        <f ca="1">IFERROR(__xludf.DUMMYFUNCTION("""COMPUTED_VALUE"""),3)</f>
        <v>3</v>
      </c>
      <c r="O2883" s="8" t="str">
        <f ca="1">IFERROR(__xludf.DUMMYFUNCTION("""COMPUTED_VALUE"""),"Winter")</f>
        <v>Winter</v>
      </c>
      <c r="P2883" s="8" t="str">
        <f ca="1">IFERROR(__xludf.DUMMYFUNCTION("""COMPUTED_VALUE"""),"Los Angeles")</f>
        <v>Los Angeles</v>
      </c>
      <c r="Q2883" s="8" t="str">
        <f ca="1">IFERROR(__xludf.DUMMYFUNCTION("""COMPUTED_VALUE"""),"CA")</f>
        <v>CA</v>
      </c>
      <c r="R2883" s="8" t="str">
        <f ca="1">IFERROR(__xludf.DUMMYFUNCTION("""COMPUTED_VALUE"""),"Elementary")</f>
        <v>Elementary</v>
      </c>
      <c r="S2883" s="8" t="str">
        <f ca="1">IFERROR(__xludf.DUMMYFUNCTION("""COMPUTED_VALUE"""),"Playground")</f>
        <v>Playground</v>
      </c>
      <c r="T2883" s="8" t="str">
        <f ca="1">IFERROR(__xludf.DUMMYFUNCTION("""COMPUTED_VALUE"""),"Off School Property")</f>
        <v>Off School Property</v>
      </c>
      <c r="U2883" s="8" t="str">
        <f ca="1">IFERROR(__xludf.DUMMYFUNCTION("""COMPUTED_VALUE"""),"Yes")</f>
        <v>Yes</v>
      </c>
      <c r="V2883" s="8" t="str">
        <f ca="1">IFERROR(__xludf.DUMMYFUNCTION("""COMPUTED_VALUE"""),"After School")</f>
        <v>After School</v>
      </c>
      <c r="W2883" s="11">
        <f ca="1">IFERROR(__xludf.DUMMYFUNCTION("""COMPUTED_VALUE"""),0.599305555555555)</f>
        <v>0.59930555555555498</v>
      </c>
      <c r="X2883" s="8"/>
      <c r="Y2883" s="12" t="str">
        <f ca="1">IFERROR(__xludf.DUMMYFUNCTION("""COMPUTED_VALUE"""),"Shot multiple students from house across the street during mental breakdown")</f>
        <v>Shot multiple students from house across the street during mental breakdown</v>
      </c>
      <c r="Z2883" s="12" t="str">
        <f ca="1">IFERROR(__xludf.DUMMYFUNCTION("""COMPUTED_VALUE"""),"Lived across the street from school - shot at kids on playground from the second story window of his house. He had previously lost 4 sisters, both parents and a brother in a mass murder/suicide in Jonestown Guyana in 1978. girlfriend said he suffered a me"&amp;"ntal breakdown after this loss.")</f>
        <v>Lived across the street from school - shot at kids on playground from the second story window of his house. He had previously lost 4 sisters, both parents and a brother in a mass murder/suicide in Jonestown Guyana in 1978. girlfriend said he suffered a mental breakdown after this loss.</v>
      </c>
      <c r="AA2883" s="8" t="str">
        <f ca="1">IFERROR(__xludf.DUMMYFUNCTION("""COMPUTED_VALUE"""),"Psychosis")</f>
        <v>Psychosis</v>
      </c>
      <c r="AB2883" s="8"/>
      <c r="AC2883" s="8"/>
      <c r="AD2883" s="8" t="str">
        <f ca="1">IFERROR(__xludf.DUMMYFUNCTION("""COMPUTED_VALUE"""),"Random Shooting")</f>
        <v>Random Shooting</v>
      </c>
      <c r="AE2883" s="8" t="str">
        <f ca="1">IFERROR(__xludf.DUMMYFUNCTION("""COMPUTED_VALUE"""),"No")</f>
        <v>No</v>
      </c>
      <c r="AF2883" s="8"/>
      <c r="AG2883" s="8" t="str">
        <f ca="1">IFERROR(__xludf.DUMMYFUNCTION("""COMPUTED_VALUE"""),"No")</f>
        <v>No</v>
      </c>
      <c r="AH2883" s="8" t="str">
        <f ca="1">IFERROR(__xludf.DUMMYFUNCTION("""COMPUTED_VALUE"""),"No")</f>
        <v>No</v>
      </c>
      <c r="AI2883" s="8" t="str">
        <f ca="1">IFERROR(__xludf.DUMMYFUNCTION("""COMPUTED_VALUE"""),"No")</f>
        <v>No</v>
      </c>
      <c r="AJ2883" s="8" t="str">
        <f ca="1">IFERROR(__xludf.DUMMYFUNCTION("""COMPUTED_VALUE"""),"No")</f>
        <v>No</v>
      </c>
      <c r="AK2883" s="8" t="str">
        <f ca="1">IFERROR(__xludf.DUMMYFUNCTION("""COMPUTED_VALUE"""),"No")</f>
        <v>No</v>
      </c>
      <c r="AL2883" s="8" t="str">
        <f ca="1">IFERROR(__xludf.DUMMYFUNCTION("""COMPUTED_VALUE"""),"No")</f>
        <v>No</v>
      </c>
      <c r="AM2883" s="8" t="str">
        <f ca="1">IFERROR(__xludf.DUMMYFUNCTION("""COMPUTED_VALUE"""),"Yes")</f>
        <v>Yes</v>
      </c>
      <c r="AN2883" s="8" t="str">
        <f ca="1">IFERROR(__xludf.DUMMYFUNCTION("""COMPUTED_VALUE"""),"Outside")</f>
        <v>Outside</v>
      </c>
      <c r="AO2883" s="8" t="str">
        <f ca="1">IFERROR(__xludf.DUMMYFUNCTION("""COMPUTED_VALUE"""),"Yes")</f>
        <v>Yes</v>
      </c>
      <c r="AP2883" s="8"/>
      <c r="AQ2883" s="8" t="str">
        <f ca="1">IFERROR(__xludf.DUMMYFUNCTION("""COMPUTED_VALUE"""),"Unknown")</f>
        <v>Unknown</v>
      </c>
      <c r="AR2883" s="8" t="str">
        <f ca="1">IFERROR(__xludf.DUMMYFUNCTION("""COMPUTED_VALUE"""),"NA")</f>
        <v>NA</v>
      </c>
      <c r="AS2883" s="8" t="str">
        <f ca="1">IFERROR(__xludf.DUMMYFUNCTION("""COMPUTED_VALUE"""),"&gt;50")</f>
        <v>&gt;50</v>
      </c>
      <c r="AT2883" s="8"/>
      <c r="AU2883" s="8">
        <f ca="1">IFERROR(__xludf.DUMMYFUNCTION("""COMPUTED_VALUE"""),33.998445)</f>
        <v>33.998444999999997</v>
      </c>
      <c r="AV2883" s="8">
        <f ca="1">IFERROR(__xludf.DUMMYFUNCTION("""COMPUTED_VALUE"""),-118.261742)</f>
        <v>-118.261742</v>
      </c>
      <c r="AW2883" s="8"/>
      <c r="AX2883" s="8">
        <f ca="1">IFERROR(__xludf.DUMMYFUNCTION("""COMPUTED_VALUE"""),90011)</f>
        <v>90011</v>
      </c>
    </row>
    <row r="2884" spans="1:50" ht="60" x14ac:dyDescent="0.2">
      <c r="A2884" s="8" t="str">
        <f ca="1">IFERROR(__xludf.DUMMYFUNCTION("""COMPUTED_VALUE"""),"19840221TXSHH")</f>
        <v>19840221TXSHH</v>
      </c>
      <c r="B2884" s="8">
        <f ca="1">IFERROR(__xludf.DUMMYFUNCTION("""COMPUTED_VALUE"""),2)</f>
        <v>2</v>
      </c>
      <c r="C2884" s="8">
        <f ca="1">IFERROR(__xludf.DUMMYFUNCTION("""COMPUTED_VALUE"""),21)</f>
        <v>21</v>
      </c>
      <c r="D2884" s="8">
        <f ca="1">IFERROR(__xludf.DUMMYFUNCTION("""COMPUTED_VALUE"""),1984)</f>
        <v>1984</v>
      </c>
      <c r="E2884" s="9">
        <f ca="1">IFERROR(__xludf.DUMMYFUNCTION("""COMPUTED_VALUE"""),30733)</f>
        <v>30733</v>
      </c>
      <c r="F2884" s="8" t="str">
        <f ca="1">IFERROR(__xludf.DUMMYFUNCTION("""COMPUTED_VALUE"""),"Sharpstown High School")</f>
        <v>Sharpstown High School</v>
      </c>
      <c r="G2884" s="8">
        <f ca="1">IFERROR(__xludf.DUMMYFUNCTION("""COMPUTED_VALUE"""),0)</f>
        <v>0</v>
      </c>
      <c r="H2884" s="8">
        <f ca="1">IFERROR(__xludf.DUMMYFUNCTION("""COMPUTED_VALUE"""),1)</f>
        <v>1</v>
      </c>
      <c r="I2884" s="8">
        <f ca="1">IFERROR(__xludf.DUMMYFUNCTION("""COMPUTED_VALUE"""),1)</f>
        <v>1</v>
      </c>
      <c r="J2884" s="8">
        <f ca="1">IFERROR(__xludf.DUMMYFUNCTION("""COMPUTED_VALUE"""),0)</f>
        <v>0</v>
      </c>
      <c r="K2884" s="10" t="str">
        <f ca="1">IFERROR(__xludf.DUMMYFUNCTION("""COMPUTED_VALUE"""),"https://www.newspapers.com/image/439511158/?terms=sharpstown%2Bhigh%2Bschool%2Bteacher")</f>
        <v>https://www.newspapers.com/image/439511158/?terms=sharpstown%2Bhigh%2Bschool%2Bteacher</v>
      </c>
      <c r="L2884" s="8"/>
      <c r="M2884" s="8"/>
      <c r="N2884" s="8">
        <f ca="1">IFERROR(__xludf.DUMMYFUNCTION("""COMPUTED_VALUE"""),2)</f>
        <v>2</v>
      </c>
      <c r="O2884" s="8" t="str">
        <f ca="1">IFERROR(__xludf.DUMMYFUNCTION("""COMPUTED_VALUE"""),"Winter")</f>
        <v>Winter</v>
      </c>
      <c r="P2884" s="8" t="str">
        <f ca="1">IFERROR(__xludf.DUMMYFUNCTION("""COMPUTED_VALUE"""),"Houston")</f>
        <v>Houston</v>
      </c>
      <c r="Q2884" s="8" t="str">
        <f ca="1">IFERROR(__xludf.DUMMYFUNCTION("""COMPUTED_VALUE"""),"TX")</f>
        <v>TX</v>
      </c>
      <c r="R2884" s="8" t="str">
        <f ca="1">IFERROR(__xludf.DUMMYFUNCTION("""COMPUTED_VALUE"""),"High")</f>
        <v>High</v>
      </c>
      <c r="S2884" s="8" t="str">
        <f ca="1">IFERROR(__xludf.DUMMYFUNCTION("""COMPUTED_VALUE"""),"Classroom")</f>
        <v>Classroom</v>
      </c>
      <c r="T2884" s="8" t="str">
        <f ca="1">IFERROR(__xludf.DUMMYFUNCTION("""COMPUTED_VALUE"""),"Inside School Building")</f>
        <v>Inside School Building</v>
      </c>
      <c r="U2884" s="8" t="str">
        <f ca="1">IFERROR(__xludf.DUMMYFUNCTION("""COMPUTED_VALUE"""),"Yes")</f>
        <v>Yes</v>
      </c>
      <c r="V2884" s="8" t="str">
        <f ca="1">IFERROR(__xludf.DUMMYFUNCTION("""COMPUTED_VALUE"""),"Lunch")</f>
        <v>Lunch</v>
      </c>
      <c r="W2884" s="8"/>
      <c r="X2884" s="8">
        <f ca="1">IFERROR(__xludf.DUMMYFUNCTION("""COMPUTED_VALUE"""),1)</f>
        <v>1</v>
      </c>
      <c r="Y2884" s="12" t="str">
        <f ca="1">IFERROR(__xludf.DUMMYFUNCTION("""COMPUTED_VALUE"""),"Shooter shot teacher twice during lunch")</f>
        <v>Shooter shot teacher twice during lunch</v>
      </c>
      <c r="Z2884" s="12" t="str">
        <f ca="1">IFERROR(__xludf.DUMMYFUNCTION("""COMPUTED_VALUE"""),"Shooter shot teacher in teacher's classroom during lunch  period - shooter had previously failed teacher's class and was angry. Defense council stated shooter was stressed over family's expectations he achieve higher.")</f>
        <v>Shooter shot teacher in teacher's classroom during lunch  period - shooter had previously failed teacher's class and was angry. Defense council stated shooter was stressed over family's expectations he achieve higher.</v>
      </c>
      <c r="AA2884" s="8" t="str">
        <f ca="1">IFERROR(__xludf.DUMMYFUNCTION("""COMPUTED_VALUE"""),"Anger Over Grade/Suspension/Discipline")</f>
        <v>Anger Over Grade/Suspension/Discipline</v>
      </c>
      <c r="AB2884" s="8"/>
      <c r="AC2884" s="8"/>
      <c r="AD2884" s="8" t="str">
        <f ca="1">IFERROR(__xludf.DUMMYFUNCTION("""COMPUTED_VALUE"""),"Victims Targeted")</f>
        <v>Victims Targeted</v>
      </c>
      <c r="AE2884" s="8"/>
      <c r="AF2884" s="8"/>
      <c r="AG2884" s="8" t="str">
        <f ca="1">IFERROR(__xludf.DUMMYFUNCTION("""COMPUTED_VALUE"""),"No")</f>
        <v>No</v>
      </c>
      <c r="AH2884" s="8" t="str">
        <f ca="1">IFERROR(__xludf.DUMMYFUNCTION("""COMPUTED_VALUE"""),"No")</f>
        <v>No</v>
      </c>
      <c r="AI2884" s="8" t="str">
        <f ca="1">IFERROR(__xludf.DUMMYFUNCTION("""COMPUTED_VALUE"""),"No")</f>
        <v>No</v>
      </c>
      <c r="AJ2884" s="8" t="str">
        <f ca="1">IFERROR(__xludf.DUMMYFUNCTION("""COMPUTED_VALUE"""),"No")</f>
        <v>No</v>
      </c>
      <c r="AK2884" s="8" t="str">
        <f ca="1">IFERROR(__xludf.DUMMYFUNCTION("""COMPUTED_VALUE"""),"No")</f>
        <v>No</v>
      </c>
      <c r="AL2884" s="8" t="str">
        <f ca="1">IFERROR(__xludf.DUMMYFUNCTION("""COMPUTED_VALUE"""),"No")</f>
        <v>No</v>
      </c>
      <c r="AM2884" s="8"/>
      <c r="AN2884" s="8"/>
      <c r="AO2884" s="8" t="str">
        <f ca="1">IFERROR(__xludf.DUMMYFUNCTION("""COMPUTED_VALUE"""),"No")</f>
        <v>No</v>
      </c>
      <c r="AP2884" s="8"/>
      <c r="AQ2884" s="8" t="str">
        <f ca="1">IFERROR(__xludf.DUMMYFUNCTION("""COMPUTED_VALUE"""),"Unknown")</f>
        <v>Unknown</v>
      </c>
      <c r="AR2884" s="8" t="str">
        <f ca="1">IFERROR(__xludf.DUMMYFUNCTION("""COMPUTED_VALUE"""),"NA")</f>
        <v>NA</v>
      </c>
      <c r="AS2884" s="8">
        <f ca="1">IFERROR(__xludf.DUMMYFUNCTION("""COMPUTED_VALUE"""),4)</f>
        <v>4</v>
      </c>
      <c r="AT2884" s="8"/>
      <c r="AU2884" s="8">
        <f ca="1">IFERROR(__xludf.DUMMYFUNCTION("""COMPUTED_VALUE"""),29.683247)</f>
        <v>29.683247000000001</v>
      </c>
      <c r="AV2884" s="8">
        <f ca="1">IFERROR(__xludf.DUMMYFUNCTION("""COMPUTED_VALUE"""),-95.516946)</f>
        <v>-95.516946000000004</v>
      </c>
      <c r="AW2884" s="8"/>
      <c r="AX2884" s="8">
        <f ca="1">IFERROR(__xludf.DUMMYFUNCTION("""COMPUTED_VALUE"""),77074)</f>
        <v>77074</v>
      </c>
    </row>
    <row r="2885" spans="1:50" ht="45" x14ac:dyDescent="0.2">
      <c r="A2885" s="8" t="str">
        <f ca="1">IFERROR(__xludf.DUMMYFUNCTION("""COMPUTED_VALUE"""),"19840206KYCEL")</f>
        <v>19840206KYCEL</v>
      </c>
      <c r="B2885" s="8">
        <f ca="1">IFERROR(__xludf.DUMMYFUNCTION("""COMPUTED_VALUE"""),2)</f>
        <v>2</v>
      </c>
      <c r="C2885" s="8">
        <f ca="1">IFERROR(__xludf.DUMMYFUNCTION("""COMPUTED_VALUE"""),6)</f>
        <v>6</v>
      </c>
      <c r="D2885" s="8">
        <f ca="1">IFERROR(__xludf.DUMMYFUNCTION("""COMPUTED_VALUE"""),1984)</f>
        <v>1984</v>
      </c>
      <c r="E2885" s="9">
        <f ca="1">IFERROR(__xludf.DUMMYFUNCTION("""COMPUTED_VALUE"""),30718)</f>
        <v>30718</v>
      </c>
      <c r="F2885" s="8" t="str">
        <f ca="1">IFERROR(__xludf.DUMMYFUNCTION("""COMPUTED_VALUE"""),"Central High School")</f>
        <v>Central High School</v>
      </c>
      <c r="G2885" s="8">
        <f ca="1">IFERROR(__xludf.DUMMYFUNCTION("""COMPUTED_VALUE"""),0)</f>
        <v>0</v>
      </c>
      <c r="H2885" s="8">
        <f ca="1">IFERROR(__xludf.DUMMYFUNCTION("""COMPUTED_VALUE"""),1)</f>
        <v>1</v>
      </c>
      <c r="I2885" s="8">
        <f ca="1">IFERROR(__xludf.DUMMYFUNCTION("""COMPUTED_VALUE"""),1)</f>
        <v>1</v>
      </c>
      <c r="J2885" s="8">
        <f ca="1">IFERROR(__xludf.DUMMYFUNCTION("""COMPUTED_VALUE"""),0)</f>
        <v>0</v>
      </c>
      <c r="K2885" s="10" t="str">
        <f ca="1">IFERROR(__xludf.DUMMYFUNCTION("""COMPUTED_VALUE"""),"https://www.newspapers.com/image/109675401/?terms=student%2Bshot")</f>
        <v>https://www.newspapers.com/image/109675401/?terms=student%2Bshot</v>
      </c>
      <c r="L2885" s="8"/>
      <c r="M2885" s="8"/>
      <c r="N2885" s="8">
        <f ca="1">IFERROR(__xludf.DUMMYFUNCTION("""COMPUTED_VALUE"""),2)</f>
        <v>2</v>
      </c>
      <c r="O2885" s="8" t="str">
        <f ca="1">IFERROR(__xludf.DUMMYFUNCTION("""COMPUTED_VALUE"""),"Winter")</f>
        <v>Winter</v>
      </c>
      <c r="P2885" s="8" t="str">
        <f ca="1">IFERROR(__xludf.DUMMYFUNCTION("""COMPUTED_VALUE"""),"Louisville")</f>
        <v>Louisville</v>
      </c>
      <c r="Q2885" s="8" t="str">
        <f ca="1">IFERROR(__xludf.DUMMYFUNCTION("""COMPUTED_VALUE"""),"KY")</f>
        <v>KY</v>
      </c>
      <c r="R2885" s="8" t="str">
        <f ca="1">IFERROR(__xludf.DUMMYFUNCTION("""COMPUTED_VALUE"""),"High")</f>
        <v>High</v>
      </c>
      <c r="S2885" s="8" t="str">
        <f ca="1">IFERROR(__xludf.DUMMYFUNCTION("""COMPUTED_VALUE"""),"Outside on School Property")</f>
        <v>Outside on School Property</v>
      </c>
      <c r="T2885" s="8" t="str">
        <f ca="1">IFERROR(__xludf.DUMMYFUNCTION("""COMPUTED_VALUE"""),"Outside on School Property")</f>
        <v>Outside on School Property</v>
      </c>
      <c r="U2885" s="8" t="str">
        <f ca="1">IFERROR(__xludf.DUMMYFUNCTION("""COMPUTED_VALUE"""),"Yes")</f>
        <v>Yes</v>
      </c>
      <c r="V2885" s="8" t="str">
        <f ca="1">IFERROR(__xludf.DUMMYFUNCTION("""COMPUTED_VALUE"""),"Lunch")</f>
        <v>Lunch</v>
      </c>
      <c r="W2885" s="8"/>
      <c r="X2885" s="8">
        <f ca="1">IFERROR(__xludf.DUMMYFUNCTION("""COMPUTED_VALUE"""),1)</f>
        <v>1</v>
      </c>
      <c r="Y2885" s="12" t="str">
        <f ca="1">IFERROR(__xludf.DUMMYFUNCTION("""COMPUTED_VALUE"""),"Argument in school hallway led to victim being shot")</f>
        <v>Argument in school hallway led to victim being shot</v>
      </c>
      <c r="Z2885" s="12" t="str">
        <f ca="1">IFERROR(__xludf.DUMMYFUNCTION("""COMPUTED_VALUE"""),"Ongoing conflict between students")</f>
        <v>Ongoing conflict between students</v>
      </c>
      <c r="AA2885" s="8" t="str">
        <f ca="1">IFERROR(__xludf.DUMMYFUNCTION("""COMPUTED_VALUE"""),"Escalation of Dispute")</f>
        <v>Escalation of Dispute</v>
      </c>
      <c r="AB2885" s="8"/>
      <c r="AC2885" s="8"/>
      <c r="AD2885" s="8" t="str">
        <f ca="1">IFERROR(__xludf.DUMMYFUNCTION("""COMPUTED_VALUE"""),"Victims Targeted")</f>
        <v>Victims Targeted</v>
      </c>
      <c r="AE2885" s="8" t="str">
        <f ca="1">IFERROR(__xludf.DUMMYFUNCTION("""COMPUTED_VALUE"""),"Yes")</f>
        <v>Yes</v>
      </c>
      <c r="AF2885" s="8" t="str">
        <f ca="1">IFERROR(__xludf.DUMMYFUNCTION("""COMPUTED_VALUE"""),"3 students involved")</f>
        <v>3 students involved</v>
      </c>
      <c r="AG2885" s="8" t="str">
        <f ca="1">IFERROR(__xludf.DUMMYFUNCTION("""COMPUTED_VALUE"""),"No")</f>
        <v>No</v>
      </c>
      <c r="AH2885" s="8" t="str">
        <f ca="1">IFERROR(__xludf.DUMMYFUNCTION("""COMPUTED_VALUE"""),"No")</f>
        <v>No</v>
      </c>
      <c r="AI2885" s="8" t="str">
        <f ca="1">IFERROR(__xludf.DUMMYFUNCTION("""COMPUTED_VALUE"""),"No")</f>
        <v>No</v>
      </c>
      <c r="AJ2885" s="8" t="str">
        <f ca="1">IFERROR(__xludf.DUMMYFUNCTION("""COMPUTED_VALUE"""),"No")</f>
        <v>No</v>
      </c>
      <c r="AK2885" s="8" t="str">
        <f ca="1">IFERROR(__xludf.DUMMYFUNCTION("""COMPUTED_VALUE"""),"No")</f>
        <v>No</v>
      </c>
      <c r="AL2885" s="8" t="str">
        <f ca="1">IFERROR(__xludf.DUMMYFUNCTION("""COMPUTED_VALUE"""),"No")</f>
        <v>No</v>
      </c>
      <c r="AM2885" s="8"/>
      <c r="AN2885" s="8"/>
      <c r="AO2885" s="8" t="str">
        <f ca="1">IFERROR(__xludf.DUMMYFUNCTION("""COMPUTED_VALUE"""),"No")</f>
        <v>No</v>
      </c>
      <c r="AP2885" s="8"/>
      <c r="AQ2885" s="8" t="str">
        <f ca="1">IFERROR(__xludf.DUMMYFUNCTION("""COMPUTED_VALUE"""),"Unknown")</f>
        <v>Unknown</v>
      </c>
      <c r="AR2885" s="8" t="str">
        <f ca="1">IFERROR(__xludf.DUMMYFUNCTION("""COMPUTED_VALUE"""),"NA")</f>
        <v>NA</v>
      </c>
      <c r="AS2885" s="8">
        <f ca="1">IFERROR(__xludf.DUMMYFUNCTION("""COMPUTED_VALUE"""),2)</f>
        <v>2</v>
      </c>
      <c r="AT2885" s="8"/>
      <c r="AU2885" s="8">
        <f ca="1">IFERROR(__xludf.DUMMYFUNCTION("""COMPUTED_VALUE"""),38.24984)</f>
        <v>38.249839999999999</v>
      </c>
      <c r="AV2885" s="8">
        <f ca="1">IFERROR(__xludf.DUMMYFUNCTION("""COMPUTED_VALUE"""),-85.770556)</f>
        <v>-85.770555999999999</v>
      </c>
      <c r="AW2885" s="8"/>
      <c r="AX2885" s="8">
        <f ca="1">IFERROR(__xludf.DUMMYFUNCTION("""COMPUTED_VALUE"""),40203)</f>
        <v>40203</v>
      </c>
    </row>
    <row r="2886" spans="1:50" ht="60" x14ac:dyDescent="0.2">
      <c r="A2886" s="8" t="str">
        <f ca="1">IFERROR(__xludf.DUMMYFUNCTION("""COMPUTED_VALUE"""),"19840105MDLAB")</f>
        <v>19840105MDLAB</v>
      </c>
      <c r="B2886" s="8">
        <f ca="1">IFERROR(__xludf.DUMMYFUNCTION("""COMPUTED_VALUE"""),1)</f>
        <v>1</v>
      </c>
      <c r="C2886" s="8">
        <f ca="1">IFERROR(__xludf.DUMMYFUNCTION("""COMPUTED_VALUE"""),5)</f>
        <v>5</v>
      </c>
      <c r="D2886" s="8">
        <f ca="1">IFERROR(__xludf.DUMMYFUNCTION("""COMPUTED_VALUE"""),1984)</f>
        <v>1984</v>
      </c>
      <c r="E2886" s="9">
        <f ca="1">IFERROR(__xludf.DUMMYFUNCTION("""COMPUTED_VALUE"""),30686)</f>
        <v>30686</v>
      </c>
      <c r="F2886" s="8" t="str">
        <f ca="1">IFERROR(__xludf.DUMMYFUNCTION("""COMPUTED_VALUE"""),"Lake Clifton Senior HIgh School")</f>
        <v>Lake Clifton Senior HIgh School</v>
      </c>
      <c r="G2886" s="8">
        <f ca="1">IFERROR(__xludf.DUMMYFUNCTION("""COMPUTED_VALUE"""),0)</f>
        <v>0</v>
      </c>
      <c r="H2886" s="8">
        <f ca="1">IFERROR(__xludf.DUMMYFUNCTION("""COMPUTED_VALUE"""),1)</f>
        <v>1</v>
      </c>
      <c r="I2886" s="8">
        <f ca="1">IFERROR(__xludf.DUMMYFUNCTION("""COMPUTED_VALUE"""),1)</f>
        <v>1</v>
      </c>
      <c r="J2886" s="8">
        <f ca="1">IFERROR(__xludf.DUMMYFUNCTION("""COMPUTED_VALUE"""),0)</f>
        <v>0</v>
      </c>
      <c r="K2886" s="8" t="str">
        <f ca="1">IFERROR(__xludf.DUMMYFUNCTION("""COMPUTED_VALUE"""),"https://www.newspapers.com/image/372453227/?terms=clayvon%2Bjones  https://www.newspapers.com/image/99118337/?terms=franklin%2Bross")</f>
        <v>https://www.newspapers.com/image/372453227/?terms=clayvon%2Bjones  https://www.newspapers.com/image/99118337/?terms=franklin%2Bross</v>
      </c>
      <c r="L2886" s="8"/>
      <c r="M2886" s="8"/>
      <c r="N2886" s="8">
        <f ca="1">IFERROR(__xludf.DUMMYFUNCTION("""COMPUTED_VALUE"""),2)</f>
        <v>2</v>
      </c>
      <c r="O2886" s="8" t="str">
        <f ca="1">IFERROR(__xludf.DUMMYFUNCTION("""COMPUTED_VALUE"""),"Winter")</f>
        <v>Winter</v>
      </c>
      <c r="P2886" s="8" t="str">
        <f ca="1">IFERROR(__xludf.DUMMYFUNCTION("""COMPUTED_VALUE"""),"Baltimore")</f>
        <v>Baltimore</v>
      </c>
      <c r="Q2886" s="8" t="str">
        <f ca="1">IFERROR(__xludf.DUMMYFUNCTION("""COMPUTED_VALUE"""),"MD")</f>
        <v>MD</v>
      </c>
      <c r="R2886" s="8" t="str">
        <f ca="1">IFERROR(__xludf.DUMMYFUNCTION("""COMPUTED_VALUE"""),"High")</f>
        <v>High</v>
      </c>
      <c r="S2886" s="8" t="str">
        <f ca="1">IFERROR(__xludf.DUMMYFUNCTION("""COMPUTED_VALUE"""),"Parking Lot")</f>
        <v>Parking Lot</v>
      </c>
      <c r="T2886" s="8" t="str">
        <f ca="1">IFERROR(__xludf.DUMMYFUNCTION("""COMPUTED_VALUE"""),"Outside on School Property")</f>
        <v>Outside on School Property</v>
      </c>
      <c r="U2886" s="8" t="str">
        <f ca="1">IFERROR(__xludf.DUMMYFUNCTION("""COMPUTED_VALUE"""),"No")</f>
        <v>No</v>
      </c>
      <c r="V2886" s="8" t="str">
        <f ca="1">IFERROR(__xludf.DUMMYFUNCTION("""COMPUTED_VALUE"""),"After School")</f>
        <v>After School</v>
      </c>
      <c r="W2886" s="11">
        <f ca="1">IFERROR(__xludf.DUMMYFUNCTION("""COMPUTED_VALUE"""),0.645833333333333)</f>
        <v>0.64583333333333304</v>
      </c>
      <c r="X2886" s="8">
        <f ca="1">IFERROR(__xludf.DUMMYFUNCTION("""COMPUTED_VALUE"""),1)</f>
        <v>1</v>
      </c>
      <c r="Y2886" s="12" t="str">
        <f ca="1">IFERROR(__xludf.DUMMYFUNCTION("""COMPUTED_VALUE"""),"Victim argued with 4 other youths on parking lot before being shot")</f>
        <v>Victim argued with 4 other youths on parking lot before being shot</v>
      </c>
      <c r="Z2886" s="12" t="str">
        <f ca="1">IFERROR(__xludf.DUMMYFUNCTION("""COMPUTED_VALUE"""),"Victim was arguing with four other subjects on school parking lot when one of the subjects pulled at gun and shot victim. Victim would not cooperate with police on identifying shooter.")</f>
        <v>Victim was arguing with four other subjects on school parking lot when one of the subjects pulled at gun and shot victim. Victim would not cooperate with police on identifying shooter.</v>
      </c>
      <c r="AA2886" s="8" t="str">
        <f ca="1">IFERROR(__xludf.DUMMYFUNCTION("""COMPUTED_VALUE"""),"Escalation of Dispute")</f>
        <v>Escalation of Dispute</v>
      </c>
      <c r="AB2886" s="8"/>
      <c r="AC2886" s="8"/>
      <c r="AD2886" s="8" t="str">
        <f ca="1">IFERROR(__xludf.DUMMYFUNCTION("""COMPUTED_VALUE"""),"Victims Targeted")</f>
        <v>Victims Targeted</v>
      </c>
      <c r="AE2886" s="8" t="str">
        <f ca="1">IFERROR(__xludf.DUMMYFUNCTION("""COMPUTED_VALUE"""),"No")</f>
        <v>No</v>
      </c>
      <c r="AF2886" s="8"/>
      <c r="AG2886" s="8" t="str">
        <f ca="1">IFERROR(__xludf.DUMMYFUNCTION("""COMPUTED_VALUE"""),"No")</f>
        <v>No</v>
      </c>
      <c r="AH2886" s="8" t="str">
        <f ca="1">IFERROR(__xludf.DUMMYFUNCTION("""COMPUTED_VALUE"""),"No")</f>
        <v>No</v>
      </c>
      <c r="AI2886" s="8" t="str">
        <f ca="1">IFERROR(__xludf.DUMMYFUNCTION("""COMPUTED_VALUE"""),"No")</f>
        <v>No</v>
      </c>
      <c r="AJ2886" s="8" t="str">
        <f ca="1">IFERROR(__xludf.DUMMYFUNCTION("""COMPUTED_VALUE"""),"No")</f>
        <v>No</v>
      </c>
      <c r="AK2886" s="8" t="str">
        <f ca="1">IFERROR(__xludf.DUMMYFUNCTION("""COMPUTED_VALUE"""),"No")</f>
        <v>No</v>
      </c>
      <c r="AL2886" s="8" t="str">
        <f ca="1">IFERROR(__xludf.DUMMYFUNCTION("""COMPUTED_VALUE"""),"No")</f>
        <v>No</v>
      </c>
      <c r="AM2886" s="8"/>
      <c r="AN2886" s="8"/>
      <c r="AO2886" s="8" t="str">
        <f ca="1">IFERROR(__xludf.DUMMYFUNCTION("""COMPUTED_VALUE"""),"No")</f>
        <v>No</v>
      </c>
      <c r="AP2886" s="8"/>
      <c r="AQ2886" s="8" t="str">
        <f ca="1">IFERROR(__xludf.DUMMYFUNCTION("""COMPUTED_VALUE"""),"Unknown")</f>
        <v>Unknown</v>
      </c>
      <c r="AR2886" s="8" t="str">
        <f ca="1">IFERROR(__xludf.DUMMYFUNCTION("""COMPUTED_VALUE"""),"NA")</f>
        <v>NA</v>
      </c>
      <c r="AS2886" s="8">
        <f ca="1">IFERROR(__xludf.DUMMYFUNCTION("""COMPUTED_VALUE"""),1)</f>
        <v>1</v>
      </c>
      <c r="AT2886" s="8"/>
      <c r="AU2886" s="8">
        <f ca="1">IFERROR(__xludf.DUMMYFUNCTION("""COMPUTED_VALUE"""),39.316625)</f>
        <v>39.316625000000002</v>
      </c>
      <c r="AV2886" s="8">
        <f ca="1">IFERROR(__xludf.DUMMYFUNCTION("""COMPUTED_VALUE"""),-76.590267)</f>
        <v>-76.590266999999997</v>
      </c>
      <c r="AW2886" s="8"/>
      <c r="AX2886" s="8">
        <f ca="1">IFERROR(__xludf.DUMMYFUNCTION("""COMPUTED_VALUE"""),21213)</f>
        <v>21213</v>
      </c>
    </row>
    <row r="2887" spans="1:50" ht="90" x14ac:dyDescent="0.2">
      <c r="A2887" s="8" t="str">
        <f ca="1">IFERROR(__xludf.DUMMYFUNCTION("""COMPUTED_VALUE"""),"19831216ILBOR")</f>
        <v>19831216ILBOR</v>
      </c>
      <c r="B2887" s="8">
        <f ca="1">IFERROR(__xludf.DUMMYFUNCTION("""COMPUTED_VALUE"""),12)</f>
        <v>12</v>
      </c>
      <c r="C2887" s="8">
        <f ca="1">IFERROR(__xludf.DUMMYFUNCTION("""COMPUTED_VALUE"""),16)</f>
        <v>16</v>
      </c>
      <c r="D2887" s="8">
        <f ca="1">IFERROR(__xludf.DUMMYFUNCTION("""COMPUTED_VALUE"""),1983)</f>
        <v>1983</v>
      </c>
      <c r="E2887" s="9">
        <f ca="1">IFERROR(__xludf.DUMMYFUNCTION("""COMPUTED_VALUE"""),30666)</f>
        <v>30666</v>
      </c>
      <c r="F2887" s="8" t="str">
        <f ca="1">IFERROR(__xludf.DUMMYFUNCTION("""COMPUTED_VALUE"""),"Boylan Central Catholic High School")</f>
        <v>Boylan Central Catholic High School</v>
      </c>
      <c r="G2887" s="8">
        <f ca="1">IFERROR(__xludf.DUMMYFUNCTION("""COMPUTED_VALUE"""),0)</f>
        <v>0</v>
      </c>
      <c r="H2887" s="8">
        <f ca="1">IFERROR(__xludf.DUMMYFUNCTION("""COMPUTED_VALUE"""),1)</f>
        <v>1</v>
      </c>
      <c r="I2887" s="8">
        <f ca="1">IFERROR(__xludf.DUMMYFUNCTION("""COMPUTED_VALUE"""),1)</f>
        <v>1</v>
      </c>
      <c r="J2887" s="8">
        <f ca="1">IFERROR(__xludf.DUMMYFUNCTION("""COMPUTED_VALUE"""),0)</f>
        <v>0</v>
      </c>
      <c r="K2887" s="10" t="str">
        <f ca="1">IFERROR(__xludf.DUMMYFUNCTION("""COMPUTED_VALUE"""),"https://news.google.com/newspapers?id=uSEVAAAAIBAJ&amp;sjid=UwYEAAAAIBAJ&amp;pg=3636,1012288&amp;dq=")</f>
        <v>https://news.google.com/newspapers?id=uSEVAAAAIBAJ&amp;sjid=UwYEAAAAIBAJ&amp;pg=3636,1012288&amp;dq=</v>
      </c>
      <c r="L2887" s="8"/>
      <c r="M2887" s="8"/>
      <c r="N2887" s="8">
        <f ca="1">IFERROR(__xludf.DUMMYFUNCTION("""COMPUTED_VALUE"""),2)</f>
        <v>2</v>
      </c>
      <c r="O2887" s="8" t="str">
        <f ca="1">IFERROR(__xludf.DUMMYFUNCTION("""COMPUTED_VALUE"""),"Winter")</f>
        <v>Winter</v>
      </c>
      <c r="P2887" s="8" t="str">
        <f ca="1">IFERROR(__xludf.DUMMYFUNCTION("""COMPUTED_VALUE"""),"Rockford")</f>
        <v>Rockford</v>
      </c>
      <c r="Q2887" s="8" t="str">
        <f ca="1">IFERROR(__xludf.DUMMYFUNCTION("""COMPUTED_VALUE"""),"IL")</f>
        <v>IL</v>
      </c>
      <c r="R2887" s="8" t="str">
        <f ca="1">IFERROR(__xludf.DUMMYFUNCTION("""COMPUTED_VALUE"""),"High")</f>
        <v>High</v>
      </c>
      <c r="S2887" s="8" t="str">
        <f ca="1">IFERROR(__xludf.DUMMYFUNCTION("""COMPUTED_VALUE"""),"Classroom")</f>
        <v>Classroom</v>
      </c>
      <c r="T2887" s="8" t="str">
        <f ca="1">IFERROR(__xludf.DUMMYFUNCTION("""COMPUTED_VALUE"""),"Inside School Building")</f>
        <v>Inside School Building</v>
      </c>
      <c r="U2887" s="8" t="str">
        <f ca="1">IFERROR(__xludf.DUMMYFUNCTION("""COMPUTED_VALUE"""),"Yes")</f>
        <v>Yes</v>
      </c>
      <c r="V2887" s="8" t="str">
        <f ca="1">IFERROR(__xludf.DUMMYFUNCTION("""COMPUTED_VALUE"""),"Morning Classes")</f>
        <v>Morning Classes</v>
      </c>
      <c r="W2887" s="8"/>
      <c r="X2887" s="8">
        <f ca="1">IFERROR(__xludf.DUMMYFUNCTION("""COMPUTED_VALUE"""),1)</f>
        <v>1</v>
      </c>
      <c r="Y2887" s="12" t="str">
        <f ca="1">IFERROR(__xludf.DUMMYFUNCTION("""COMPUTED_VALUE"""),"Suspect shot German teacher due to previously being disciplined by her.")</f>
        <v>Suspect shot German teacher due to previously being disciplined by her.</v>
      </c>
      <c r="Z2887" s="12" t="str">
        <f ca="1">IFERROR(__xludf.DUMMYFUNCTION("""COMPUTED_VALUE"""),"Suspect shot German teacher in neck during class due to prior disciplinary incident. Suspect had previously bragged to other students about shooting but no one took him seriously. On day of shooting suspect came to school in ""gangsta hat"" trench coat an"&amp;"d undershirt - student was looking for attention.")</f>
        <v>Suspect shot German teacher in neck during class due to prior disciplinary incident. Suspect had previously bragged to other students about shooting but no one took him seriously. On day of shooting suspect came to school in "gangsta hat" trench coat and undershirt - student was looking for attention.</v>
      </c>
      <c r="AA2887" s="8" t="str">
        <f ca="1">IFERROR(__xludf.DUMMYFUNCTION("""COMPUTED_VALUE"""),"Anger Over Grade/Suspension/Discipline")</f>
        <v>Anger Over Grade/Suspension/Discipline</v>
      </c>
      <c r="AB2887" s="8"/>
      <c r="AC2887" s="8" t="str">
        <f ca="1">IFERROR(__xludf.DUMMYFUNCTION("""COMPUTED_VALUE"""),"Yes")</f>
        <v>Yes</v>
      </c>
      <c r="AD2887" s="8" t="str">
        <f ca="1">IFERROR(__xludf.DUMMYFUNCTION("""COMPUTED_VALUE"""),"Victims Targeted")</f>
        <v>Victims Targeted</v>
      </c>
      <c r="AE2887" s="8" t="str">
        <f ca="1">IFERROR(__xludf.DUMMYFUNCTION("""COMPUTED_VALUE"""),"No")</f>
        <v>No</v>
      </c>
      <c r="AF2887" s="8"/>
      <c r="AG2887" s="8" t="str">
        <f ca="1">IFERROR(__xludf.DUMMYFUNCTION("""COMPUTED_VALUE"""),"No")</f>
        <v>No</v>
      </c>
      <c r="AH2887" s="8" t="str">
        <f ca="1">IFERROR(__xludf.DUMMYFUNCTION("""COMPUTED_VALUE"""),"No")</f>
        <v>No</v>
      </c>
      <c r="AI2887" s="8" t="str">
        <f ca="1">IFERROR(__xludf.DUMMYFUNCTION("""COMPUTED_VALUE"""),"No")</f>
        <v>No</v>
      </c>
      <c r="AJ2887" s="8" t="str">
        <f ca="1">IFERROR(__xludf.DUMMYFUNCTION("""COMPUTED_VALUE"""),"No")</f>
        <v>No</v>
      </c>
      <c r="AK2887" s="8" t="str">
        <f ca="1">IFERROR(__xludf.DUMMYFUNCTION("""COMPUTED_VALUE"""),"No")</f>
        <v>No</v>
      </c>
      <c r="AL2887" s="8" t="str">
        <f ca="1">IFERROR(__xludf.DUMMYFUNCTION("""COMPUTED_VALUE"""),"No")</f>
        <v>No</v>
      </c>
      <c r="AM2887" s="8"/>
      <c r="AN2887" s="8" t="str">
        <f ca="1">IFERROR(__xludf.DUMMYFUNCTION("""COMPUTED_VALUE"""),"Single Room")</f>
        <v>Single Room</v>
      </c>
      <c r="AO2887" s="8" t="str">
        <f ca="1">IFERROR(__xludf.DUMMYFUNCTION("""COMPUTED_VALUE"""),"Yes")</f>
        <v>Yes</v>
      </c>
      <c r="AP2887" s="8"/>
      <c r="AQ2887" s="8" t="str">
        <f ca="1">IFERROR(__xludf.DUMMYFUNCTION("""COMPUTED_VALUE"""),"Unknown")</f>
        <v>Unknown</v>
      </c>
      <c r="AR2887" s="8" t="str">
        <f ca="1">IFERROR(__xludf.DUMMYFUNCTION("""COMPUTED_VALUE"""),"NA")</f>
        <v>NA</v>
      </c>
      <c r="AS2887" s="8">
        <f ca="1">IFERROR(__xludf.DUMMYFUNCTION("""COMPUTED_VALUE"""),1)</f>
        <v>1</v>
      </c>
      <c r="AT2887" s="8"/>
      <c r="AU2887" s="8">
        <f ca="1">IFERROR(__xludf.DUMMYFUNCTION("""COMPUTED_VALUE"""),42.320323)</f>
        <v>42.320323000000002</v>
      </c>
      <c r="AV2887" s="8">
        <f ca="1">IFERROR(__xludf.DUMMYFUNCTION("""COMPUTED_VALUE"""),-89.08193)</f>
        <v>-89.08193</v>
      </c>
      <c r="AW2887" s="8"/>
      <c r="AX2887" s="8">
        <f ca="1">IFERROR(__xludf.DUMMYFUNCTION("""COMPUTED_VALUE"""),61103)</f>
        <v>61103</v>
      </c>
    </row>
    <row r="2888" spans="1:50" ht="75" x14ac:dyDescent="0.2">
      <c r="A2888" s="8" t="str">
        <f ca="1">IFERROR(__xludf.DUMMYFUNCTION("""COMPUTED_VALUE"""),"19831202INCRC")</f>
        <v>19831202INCRC</v>
      </c>
      <c r="B2888" s="8">
        <f ca="1">IFERROR(__xludf.DUMMYFUNCTION("""COMPUTED_VALUE"""),12)</f>
        <v>12</v>
      </c>
      <c r="C2888" s="8">
        <f ca="1">IFERROR(__xludf.DUMMYFUNCTION("""COMPUTED_VALUE"""),2)</f>
        <v>2</v>
      </c>
      <c r="D2888" s="8">
        <f ca="1">IFERROR(__xludf.DUMMYFUNCTION("""COMPUTED_VALUE"""),1983)</f>
        <v>1983</v>
      </c>
      <c r="E2888" s="9">
        <f ca="1">IFERROR(__xludf.DUMMYFUNCTION("""COMPUTED_VALUE"""),30652)</f>
        <v>30652</v>
      </c>
      <c r="F2888" s="8" t="str">
        <f ca="1">IFERROR(__xludf.DUMMYFUNCTION("""COMPUTED_VALUE"""),"Crawfordsville High School")</f>
        <v>Crawfordsville High School</v>
      </c>
      <c r="G2888" s="8">
        <f ca="1">IFERROR(__xludf.DUMMYFUNCTION("""COMPUTED_VALUE"""),0)</f>
        <v>0</v>
      </c>
      <c r="H2888" s="8">
        <f ca="1">IFERROR(__xludf.DUMMYFUNCTION("""COMPUTED_VALUE"""),1)</f>
        <v>1</v>
      </c>
      <c r="I2888" s="8">
        <f ca="1">IFERROR(__xludf.DUMMYFUNCTION("""COMPUTED_VALUE"""),1)</f>
        <v>1</v>
      </c>
      <c r="J2888" s="8">
        <f ca="1">IFERROR(__xludf.DUMMYFUNCTION("""COMPUTED_VALUE"""),0)</f>
        <v>0</v>
      </c>
      <c r="K2888" s="10" t="str">
        <f ca="1">IFERROR(__xludf.DUMMYFUNCTION("""COMPUTED_VALUE"""),"https://www.newspapers.com/image/178928817/?terms=student%2Bshot")</f>
        <v>https://www.newspapers.com/image/178928817/?terms=student%2Bshot</v>
      </c>
      <c r="L2888" s="8"/>
      <c r="M2888" s="8"/>
      <c r="N2888" s="8">
        <f ca="1">IFERROR(__xludf.DUMMYFUNCTION("""COMPUTED_VALUE"""),2)</f>
        <v>2</v>
      </c>
      <c r="O2888" s="8" t="str">
        <f ca="1">IFERROR(__xludf.DUMMYFUNCTION("""COMPUTED_VALUE"""),"Winter")</f>
        <v>Winter</v>
      </c>
      <c r="P2888" s="8" t="str">
        <f ca="1">IFERROR(__xludf.DUMMYFUNCTION("""COMPUTED_VALUE"""),"Crawfordsville")</f>
        <v>Crawfordsville</v>
      </c>
      <c r="Q2888" s="8" t="str">
        <f ca="1">IFERROR(__xludf.DUMMYFUNCTION("""COMPUTED_VALUE"""),"IN")</f>
        <v>IN</v>
      </c>
      <c r="R2888" s="8" t="str">
        <f ca="1">IFERROR(__xludf.DUMMYFUNCTION("""COMPUTED_VALUE"""),"High")</f>
        <v>High</v>
      </c>
      <c r="S2888" s="8" t="str">
        <f ca="1">IFERROR(__xludf.DUMMYFUNCTION("""COMPUTED_VALUE"""),"Cafeteria")</f>
        <v>Cafeteria</v>
      </c>
      <c r="T2888" s="8" t="str">
        <f ca="1">IFERROR(__xludf.DUMMYFUNCTION("""COMPUTED_VALUE"""),"Inside School Building")</f>
        <v>Inside School Building</v>
      </c>
      <c r="U2888" s="8" t="str">
        <f ca="1">IFERROR(__xludf.DUMMYFUNCTION("""COMPUTED_VALUE"""),"Yes")</f>
        <v>Yes</v>
      </c>
      <c r="V2888" s="8" t="str">
        <f ca="1">IFERROR(__xludf.DUMMYFUNCTION("""COMPUTED_VALUE"""),"Lunch")</f>
        <v>Lunch</v>
      </c>
      <c r="W2888" s="11">
        <f ca="1">IFERROR(__xludf.DUMMYFUNCTION("""COMPUTED_VALUE"""),0.493055555555555)</f>
        <v>0.49305555555555503</v>
      </c>
      <c r="X2888" s="8">
        <f ca="1">IFERROR(__xludf.DUMMYFUNCTION("""COMPUTED_VALUE"""),1)</f>
        <v>1</v>
      </c>
      <c r="Y2888" s="12" t="str">
        <f ca="1">IFERROR(__xludf.DUMMYFUNCTION("""COMPUTED_VALUE"""),"Shooter shot victim while in cafeteria taking test.")</f>
        <v>Shooter shot victim while in cafeteria taking test.</v>
      </c>
      <c r="Z2888" s="12" t="str">
        <f ca="1">IFERROR(__xludf.DUMMYFUNCTION("""COMPUTED_VALUE"""),"Victim and shooter were arguing over a girl in school - teacher broke up the fight and students went their separate ways. Victim was taking test in cafeteria when suspect walked up and shot him 3 times - fled scene - found in corn field")</f>
        <v>Victim and shooter were arguing over a girl in school - teacher broke up the fight and students went their separate ways. Victim was taking test in cafeteria when suspect walked up and shot him 3 times - fled scene - found in corn field</v>
      </c>
      <c r="AA2888" s="8" t="str">
        <f ca="1">IFERROR(__xludf.DUMMYFUNCTION("""COMPUTED_VALUE"""),"Escalation of Dispute")</f>
        <v>Escalation of Dispute</v>
      </c>
      <c r="AB2888" s="8"/>
      <c r="AC2888" s="8"/>
      <c r="AD2888" s="8" t="str">
        <f ca="1">IFERROR(__xludf.DUMMYFUNCTION("""COMPUTED_VALUE"""),"Victims Targeted")</f>
        <v>Victims Targeted</v>
      </c>
      <c r="AE2888" s="8" t="str">
        <f ca="1">IFERROR(__xludf.DUMMYFUNCTION("""COMPUTED_VALUE"""),"No")</f>
        <v>No</v>
      </c>
      <c r="AF2888" s="8"/>
      <c r="AG2888" s="8" t="str">
        <f ca="1">IFERROR(__xludf.DUMMYFUNCTION("""COMPUTED_VALUE"""),"No")</f>
        <v>No</v>
      </c>
      <c r="AH2888" s="8" t="str">
        <f ca="1">IFERROR(__xludf.DUMMYFUNCTION("""COMPUTED_VALUE"""),"No")</f>
        <v>No</v>
      </c>
      <c r="AI2888" s="8" t="str">
        <f ca="1">IFERROR(__xludf.DUMMYFUNCTION("""COMPUTED_VALUE"""),"No")</f>
        <v>No</v>
      </c>
      <c r="AJ2888" s="8" t="str">
        <f ca="1">IFERROR(__xludf.DUMMYFUNCTION("""COMPUTED_VALUE"""),"No")</f>
        <v>No</v>
      </c>
      <c r="AK2888" s="8" t="str">
        <f ca="1">IFERROR(__xludf.DUMMYFUNCTION("""COMPUTED_VALUE"""),"No")</f>
        <v>No</v>
      </c>
      <c r="AL2888" s="8" t="str">
        <f ca="1">IFERROR(__xludf.DUMMYFUNCTION("""COMPUTED_VALUE"""),"No")</f>
        <v>No</v>
      </c>
      <c r="AM2888" s="8"/>
      <c r="AN2888" s="8"/>
      <c r="AO2888" s="8" t="str">
        <f ca="1">IFERROR(__xludf.DUMMYFUNCTION("""COMPUTED_VALUE"""),"No")</f>
        <v>No</v>
      </c>
      <c r="AP2888" s="8"/>
      <c r="AQ2888" s="8" t="str">
        <f ca="1">IFERROR(__xludf.DUMMYFUNCTION("""COMPUTED_VALUE"""),"Unknown")</f>
        <v>Unknown</v>
      </c>
      <c r="AR2888" s="8" t="str">
        <f ca="1">IFERROR(__xludf.DUMMYFUNCTION("""COMPUTED_VALUE"""),"NA")</f>
        <v>NA</v>
      </c>
      <c r="AS2888" s="8">
        <f ca="1">IFERROR(__xludf.DUMMYFUNCTION("""COMPUTED_VALUE"""),3)</f>
        <v>3</v>
      </c>
      <c r="AT2888" s="8"/>
      <c r="AU2888" s="8">
        <f ca="1">IFERROR(__xludf.DUMMYFUNCTION("""COMPUTED_VALUE"""),40.020763)</f>
        <v>40.020763000000002</v>
      </c>
      <c r="AV2888" s="8">
        <f ca="1">IFERROR(__xludf.DUMMYFUNCTION("""COMPUTED_VALUE"""),-86.907208)</f>
        <v>-86.907207999999997</v>
      </c>
      <c r="AW2888" s="8"/>
      <c r="AX2888" s="8">
        <f ca="1">IFERROR(__xludf.DUMMYFUNCTION("""COMPUTED_VALUE"""),47933)</f>
        <v>47933</v>
      </c>
    </row>
    <row r="2889" spans="1:50" ht="60" x14ac:dyDescent="0.2">
      <c r="A2889" s="8" t="str">
        <f ca="1">IFERROR(__xludf.DUMMYFUNCTION("""COMPUTED_VALUE"""),"19831118MDHAB")</f>
        <v>19831118MDHAB</v>
      </c>
      <c r="B2889" s="8">
        <f ca="1">IFERROR(__xludf.DUMMYFUNCTION("""COMPUTED_VALUE"""),11)</f>
        <v>11</v>
      </c>
      <c r="C2889" s="8">
        <f ca="1">IFERROR(__xludf.DUMMYFUNCTION("""COMPUTED_VALUE"""),18)</f>
        <v>18</v>
      </c>
      <c r="D2889" s="8">
        <f ca="1">IFERROR(__xludf.DUMMYFUNCTION("""COMPUTED_VALUE"""),1983)</f>
        <v>1983</v>
      </c>
      <c r="E2889" s="9">
        <f ca="1">IFERROR(__xludf.DUMMYFUNCTION("""COMPUTED_VALUE"""),30638)</f>
        <v>30638</v>
      </c>
      <c r="F2889" s="8" t="str">
        <f ca="1">IFERROR(__xludf.DUMMYFUNCTION("""COMPUTED_VALUE"""),"Harlem Park Junior High School")</f>
        <v>Harlem Park Junior High School</v>
      </c>
      <c r="G2889" s="8">
        <f ca="1">IFERROR(__xludf.DUMMYFUNCTION("""COMPUTED_VALUE"""),1)</f>
        <v>1</v>
      </c>
      <c r="H2889" s="8">
        <f ca="1">IFERROR(__xludf.DUMMYFUNCTION("""COMPUTED_VALUE"""),0)</f>
        <v>0</v>
      </c>
      <c r="I2889" s="8">
        <f ca="1">IFERROR(__xludf.DUMMYFUNCTION("""COMPUTED_VALUE"""),1)</f>
        <v>1</v>
      </c>
      <c r="J2889" s="8">
        <f ca="1">IFERROR(__xludf.DUMMYFUNCTION("""COMPUTED_VALUE"""),0)</f>
        <v>0</v>
      </c>
      <c r="K2889" s="8" t="str">
        <f ca="1">IFERROR(__xludf.DUMMYFUNCTION("""COMPUTED_VALUE"""),"https://www.newspapers.com/image/370707489/?terms=student%2Bshot https://www.newspapers.com/image/377568116/?terms=student%2Bshot%2Bhouston")</f>
        <v>https://www.newspapers.com/image/370707489/?terms=student%2Bshot https://www.newspapers.com/image/377568116/?terms=student%2Bshot%2Bhouston</v>
      </c>
      <c r="L2889" s="8"/>
      <c r="M2889" s="8"/>
      <c r="N2889" s="8">
        <f ca="1">IFERROR(__xludf.DUMMYFUNCTION("""COMPUTED_VALUE"""),2)</f>
        <v>2</v>
      </c>
      <c r="O2889" s="8" t="str">
        <f ca="1">IFERROR(__xludf.DUMMYFUNCTION("""COMPUTED_VALUE"""),"Fall")</f>
        <v>Fall</v>
      </c>
      <c r="P2889" s="8" t="str">
        <f ca="1">IFERROR(__xludf.DUMMYFUNCTION("""COMPUTED_VALUE"""),"Baltimore")</f>
        <v>Baltimore</v>
      </c>
      <c r="Q2889" s="8" t="str">
        <f ca="1">IFERROR(__xludf.DUMMYFUNCTION("""COMPUTED_VALUE"""),"MD")</f>
        <v>MD</v>
      </c>
      <c r="R2889" s="8" t="str">
        <f ca="1">IFERROR(__xludf.DUMMYFUNCTION("""COMPUTED_VALUE"""),"Junior High")</f>
        <v>Junior High</v>
      </c>
      <c r="S2889" s="8" t="str">
        <f ca="1">IFERROR(__xludf.DUMMYFUNCTION("""COMPUTED_VALUE"""),"Hallway")</f>
        <v>Hallway</v>
      </c>
      <c r="T2889" s="8" t="str">
        <f ca="1">IFERROR(__xludf.DUMMYFUNCTION("""COMPUTED_VALUE"""),"Inside School Building")</f>
        <v>Inside School Building</v>
      </c>
      <c r="U2889" s="8" t="str">
        <f ca="1">IFERROR(__xludf.DUMMYFUNCTION("""COMPUTED_VALUE"""),"Yes")</f>
        <v>Yes</v>
      </c>
      <c r="V2889" s="8" t="str">
        <f ca="1">IFERROR(__xludf.DUMMYFUNCTION("""COMPUTED_VALUE"""),"Afternoon Classes")</f>
        <v>Afternoon Classes</v>
      </c>
      <c r="W2889" s="11">
        <f ca="1">IFERROR(__xludf.DUMMYFUNCTION("""COMPUTED_VALUE"""),0.559027777777777)</f>
        <v>0.55902777777777701</v>
      </c>
      <c r="X2889" s="8">
        <f ca="1">IFERROR(__xludf.DUMMYFUNCTION("""COMPUTED_VALUE"""),1)</f>
        <v>1</v>
      </c>
      <c r="Y2889" s="12" t="str">
        <f ca="1">IFERROR(__xludf.DUMMYFUNCTION("""COMPUTED_VALUE"""),"Robbery of Georgetown jacket in school hallway")</f>
        <v>Robbery of Georgetown jacket in school hallway</v>
      </c>
      <c r="Z2889" s="12" t="str">
        <f ca="1">IFERROR(__xludf.DUMMYFUNCTION("""COMPUTED_VALUE"""),"Victim was walking with friends in second floor hallway when shooter came up behind him and demanded his jacket - as victim was taking jacket off suspect shot him in neck.")</f>
        <v>Victim was walking with friends in second floor hallway when shooter came up behind him and demanded his jacket - as victim was taking jacket off suspect shot him in neck.</v>
      </c>
      <c r="AA2889" s="8" t="str">
        <f ca="1">IFERROR(__xludf.DUMMYFUNCTION("""COMPUTED_VALUE"""),"Illegal Activity")</f>
        <v>Illegal Activity</v>
      </c>
      <c r="AB2889" s="8"/>
      <c r="AC2889" s="8"/>
      <c r="AD2889" s="8" t="str">
        <f ca="1">IFERROR(__xludf.DUMMYFUNCTION("""COMPUTED_VALUE"""),"Victims Targeted")</f>
        <v>Victims Targeted</v>
      </c>
      <c r="AE2889" s="8" t="str">
        <f ca="1">IFERROR(__xludf.DUMMYFUNCTION("""COMPUTED_VALUE"""),"No")</f>
        <v>No</v>
      </c>
      <c r="AF2889" s="8"/>
      <c r="AG2889" s="8" t="str">
        <f ca="1">IFERROR(__xludf.DUMMYFUNCTION("""COMPUTED_VALUE"""),"No")</f>
        <v>No</v>
      </c>
      <c r="AH2889" s="8" t="str">
        <f ca="1">IFERROR(__xludf.DUMMYFUNCTION("""COMPUTED_VALUE"""),"No")</f>
        <v>No</v>
      </c>
      <c r="AI2889" s="8" t="str">
        <f ca="1">IFERROR(__xludf.DUMMYFUNCTION("""COMPUTED_VALUE"""),"No")</f>
        <v>No</v>
      </c>
      <c r="AJ2889" s="8" t="str">
        <f ca="1">IFERROR(__xludf.DUMMYFUNCTION("""COMPUTED_VALUE"""),"No")</f>
        <v>No</v>
      </c>
      <c r="AK2889" s="8" t="str">
        <f ca="1">IFERROR(__xludf.DUMMYFUNCTION("""COMPUTED_VALUE"""),"No")</f>
        <v>No</v>
      </c>
      <c r="AL2889" s="8" t="str">
        <f ca="1">IFERROR(__xludf.DUMMYFUNCTION("""COMPUTED_VALUE"""),"No")</f>
        <v>No</v>
      </c>
      <c r="AM2889" s="8"/>
      <c r="AN2889" s="8"/>
      <c r="AO2889" s="8" t="str">
        <f ca="1">IFERROR(__xludf.DUMMYFUNCTION("""COMPUTED_VALUE"""),"No")</f>
        <v>No</v>
      </c>
      <c r="AP2889" s="8"/>
      <c r="AQ2889" s="8" t="str">
        <f ca="1">IFERROR(__xludf.DUMMYFUNCTION("""COMPUTED_VALUE"""),"None")</f>
        <v>None</v>
      </c>
      <c r="AR2889" s="8" t="str">
        <f ca="1">IFERROR(__xludf.DUMMYFUNCTION("""COMPUTED_VALUE"""),"NA")</f>
        <v>NA</v>
      </c>
      <c r="AS2889" s="8">
        <f ca="1">IFERROR(__xludf.DUMMYFUNCTION("""COMPUTED_VALUE"""),1)</f>
        <v>1</v>
      </c>
      <c r="AT2889" s="8"/>
      <c r="AU2889" s="8">
        <f ca="1">IFERROR(__xludf.DUMMYFUNCTION("""COMPUTED_VALUE"""),39.298576)</f>
        <v>39.298575999999997</v>
      </c>
      <c r="AV2889" s="8">
        <f ca="1">IFERROR(__xludf.DUMMYFUNCTION("""COMPUTED_VALUE"""),-76.640927)</f>
        <v>-76.640927000000005</v>
      </c>
      <c r="AW2889" s="8"/>
      <c r="AX2889" s="8">
        <f ca="1">IFERROR(__xludf.DUMMYFUNCTION("""COMPUTED_VALUE"""),21217)</f>
        <v>21217</v>
      </c>
    </row>
    <row r="2890" spans="1:50" ht="60" x14ac:dyDescent="0.2">
      <c r="A2890" s="8" t="str">
        <f ca="1">IFERROR(__xludf.DUMMYFUNCTION("""COMPUTED_VALUE"""),"19831117ILJAC")</f>
        <v>19831117ILJAC</v>
      </c>
      <c r="B2890" s="8">
        <f ca="1">IFERROR(__xludf.DUMMYFUNCTION("""COMPUTED_VALUE"""),11)</f>
        <v>11</v>
      </c>
      <c r="C2890" s="8">
        <f ca="1">IFERROR(__xludf.DUMMYFUNCTION("""COMPUTED_VALUE"""),17)</f>
        <v>17</v>
      </c>
      <c r="D2890" s="8">
        <f ca="1">IFERROR(__xludf.DUMMYFUNCTION("""COMPUTED_VALUE"""),1983)</f>
        <v>1983</v>
      </c>
      <c r="E2890" s="9">
        <f ca="1">IFERROR(__xludf.DUMMYFUNCTION("""COMPUTED_VALUE"""),30637)</f>
        <v>30637</v>
      </c>
      <c r="F2890" s="8" t="str">
        <f ca="1">IFERROR(__xludf.DUMMYFUNCTION("""COMPUTED_VALUE"""),"James G. Blaine Elementary School")</f>
        <v>James G. Blaine Elementary School</v>
      </c>
      <c r="G2890" s="8">
        <f ca="1">IFERROR(__xludf.DUMMYFUNCTION("""COMPUTED_VALUE"""),1)</f>
        <v>1</v>
      </c>
      <c r="H2890" s="8">
        <f ca="1">IFERROR(__xludf.DUMMYFUNCTION("""COMPUTED_VALUE"""),1)</f>
        <v>1</v>
      </c>
      <c r="I2890" s="8">
        <f ca="1">IFERROR(__xludf.DUMMYFUNCTION("""COMPUTED_VALUE"""),2)</f>
        <v>2</v>
      </c>
      <c r="J2890" s="8">
        <f ca="1">IFERROR(__xludf.DUMMYFUNCTION("""COMPUTED_VALUE"""),0)</f>
        <v>0</v>
      </c>
      <c r="K2890" s="10" t="str">
        <f ca="1">IFERROR(__xludf.DUMMYFUNCTION("""COMPUTED_VALUE"""),"https://www.newspapers.com/image/388094016/?terms=school%2Bshooting")</f>
        <v>https://www.newspapers.com/image/388094016/?terms=school%2Bshooting</v>
      </c>
      <c r="L2890" s="8"/>
      <c r="M2890" s="8"/>
      <c r="N2890" s="8">
        <f ca="1">IFERROR(__xludf.DUMMYFUNCTION("""COMPUTED_VALUE"""),2)</f>
        <v>2</v>
      </c>
      <c r="O2890" s="8" t="str">
        <f ca="1">IFERROR(__xludf.DUMMYFUNCTION("""COMPUTED_VALUE"""),"Fall")</f>
        <v>Fall</v>
      </c>
      <c r="P2890" s="8" t="str">
        <f ca="1">IFERROR(__xludf.DUMMYFUNCTION("""COMPUTED_VALUE"""),"Chicago")</f>
        <v>Chicago</v>
      </c>
      <c r="Q2890" s="8" t="str">
        <f ca="1">IFERROR(__xludf.DUMMYFUNCTION("""COMPUTED_VALUE"""),"IL")</f>
        <v>IL</v>
      </c>
      <c r="R2890" s="8" t="str">
        <f ca="1">IFERROR(__xludf.DUMMYFUNCTION("""COMPUTED_VALUE"""),"Elementary")</f>
        <v>Elementary</v>
      </c>
      <c r="S2890" s="8" t="str">
        <f ca="1">IFERROR(__xludf.DUMMYFUNCTION("""COMPUTED_VALUE"""),"Outside on School Property")</f>
        <v>Outside on School Property</v>
      </c>
      <c r="T2890" s="8" t="str">
        <f ca="1">IFERROR(__xludf.DUMMYFUNCTION("""COMPUTED_VALUE"""),"Outside on School Property")</f>
        <v>Outside on School Property</v>
      </c>
      <c r="U2890" s="8" t="str">
        <f ca="1">IFERROR(__xludf.DUMMYFUNCTION("""COMPUTED_VALUE"""),"Yes")</f>
        <v>Yes</v>
      </c>
      <c r="V2890" s="8" t="str">
        <f ca="1">IFERROR(__xludf.DUMMYFUNCTION("""COMPUTED_VALUE"""),"After School")</f>
        <v>After School</v>
      </c>
      <c r="W2890" s="8"/>
      <c r="X2890" s="8">
        <f ca="1">IFERROR(__xludf.DUMMYFUNCTION("""COMPUTED_VALUE"""),1)</f>
        <v>1</v>
      </c>
      <c r="Y2890" s="12" t="str">
        <f ca="1">IFERROR(__xludf.DUMMYFUNCTION("""COMPUTED_VALUE"""),"Shooter shot rival gang members during argument over a girl's sweater")</f>
        <v>Shooter shot rival gang members during argument over a girl's sweater</v>
      </c>
      <c r="Z2890" s="12" t="str">
        <f ca="1">IFERROR(__xludf.DUMMYFUNCTION("""COMPUTED_VALUE"""),"Argument of sweater girl was wearing - rival gangs involved. Older boys began picking on shooter (from rival gang) - shooter stepped back, pulled out revolver and shot several times. Later arrested at friend's home.")</f>
        <v>Argument of sweater girl was wearing - rival gangs involved. Older boys began picking on shooter (from rival gang) - shooter stepped back, pulled out revolver and shot several times. Later arrested at friend's home.</v>
      </c>
      <c r="AA2890" s="8" t="str">
        <f ca="1">IFERROR(__xludf.DUMMYFUNCTION("""COMPUTED_VALUE"""),"Escalation of Dispute")</f>
        <v>Escalation of Dispute</v>
      </c>
      <c r="AB2890" s="8"/>
      <c r="AC2890" s="8"/>
      <c r="AD2890" s="8" t="str">
        <f ca="1">IFERROR(__xludf.DUMMYFUNCTION("""COMPUTED_VALUE"""),"Victims Targeted")</f>
        <v>Victims Targeted</v>
      </c>
      <c r="AE2890" s="8" t="str">
        <f ca="1">IFERROR(__xludf.DUMMYFUNCTION("""COMPUTED_VALUE"""),"No")</f>
        <v>No</v>
      </c>
      <c r="AF2890" s="8"/>
      <c r="AG2890" s="8" t="str">
        <f ca="1">IFERROR(__xludf.DUMMYFUNCTION("""COMPUTED_VALUE"""),"No")</f>
        <v>No</v>
      </c>
      <c r="AH2890" s="8" t="str">
        <f ca="1">IFERROR(__xludf.DUMMYFUNCTION("""COMPUTED_VALUE"""),"No")</f>
        <v>No</v>
      </c>
      <c r="AI2890" s="8" t="str">
        <f ca="1">IFERROR(__xludf.DUMMYFUNCTION("""COMPUTED_VALUE"""),"No")</f>
        <v>No</v>
      </c>
      <c r="AJ2890" s="8" t="str">
        <f ca="1">IFERROR(__xludf.DUMMYFUNCTION("""COMPUTED_VALUE"""),"No")</f>
        <v>No</v>
      </c>
      <c r="AK2890" s="8" t="str">
        <f ca="1">IFERROR(__xludf.DUMMYFUNCTION("""COMPUTED_VALUE"""),"No")</f>
        <v>No</v>
      </c>
      <c r="AL2890" s="8" t="str">
        <f ca="1">IFERROR(__xludf.DUMMYFUNCTION("""COMPUTED_VALUE"""),"Yes")</f>
        <v>Yes</v>
      </c>
      <c r="AM2890" s="8"/>
      <c r="AN2890" s="8"/>
      <c r="AO2890" s="8" t="str">
        <f ca="1">IFERROR(__xludf.DUMMYFUNCTION("""COMPUTED_VALUE"""),"No")</f>
        <v>No</v>
      </c>
      <c r="AP2890" s="8"/>
      <c r="AQ2890" s="8" t="str">
        <f ca="1">IFERROR(__xludf.DUMMYFUNCTION("""COMPUTED_VALUE"""),"Unknown")</f>
        <v>Unknown</v>
      </c>
      <c r="AR2890" s="8" t="str">
        <f ca="1">IFERROR(__xludf.DUMMYFUNCTION("""COMPUTED_VALUE"""),"NA")</f>
        <v>NA</v>
      </c>
      <c r="AS2890" s="8" t="str">
        <f ca="1">IFERROR(__xludf.DUMMYFUNCTION("""COMPUTED_VALUE"""),"&lt;10")</f>
        <v>&lt;10</v>
      </c>
      <c r="AT2890" s="8"/>
      <c r="AU2890" s="8">
        <f ca="1">IFERROR(__xludf.DUMMYFUNCTION("""COMPUTED_VALUE"""),41.95097)</f>
        <v>41.950969999999998</v>
      </c>
      <c r="AV2890" s="8">
        <f ca="1">IFERROR(__xludf.DUMMYFUNCTION("""COMPUTED_VALUE"""),-87.665113)</f>
        <v>-87.665113000000005</v>
      </c>
      <c r="AW2890" s="8"/>
      <c r="AX2890" s="8">
        <f ca="1">IFERROR(__xludf.DUMMYFUNCTION("""COMPUTED_VALUE"""),60613)</f>
        <v>60613</v>
      </c>
    </row>
    <row r="2891" spans="1:50" ht="45" x14ac:dyDescent="0.2">
      <c r="A2891" s="8" t="str">
        <f ca="1">IFERROR(__xludf.DUMMYFUNCTION("""COMPUTED_VALUE"""),"19831108MIHIH")</f>
        <v>19831108MIHIH</v>
      </c>
      <c r="B2891" s="8">
        <f ca="1">IFERROR(__xludf.DUMMYFUNCTION("""COMPUTED_VALUE"""),11)</f>
        <v>11</v>
      </c>
      <c r="C2891" s="8">
        <f ca="1">IFERROR(__xludf.DUMMYFUNCTION("""COMPUTED_VALUE"""),8)</f>
        <v>8</v>
      </c>
      <c r="D2891" s="8">
        <f ca="1">IFERROR(__xludf.DUMMYFUNCTION("""COMPUTED_VALUE"""),1983)</f>
        <v>1983</v>
      </c>
      <c r="E2891" s="9">
        <f ca="1">IFERROR(__xludf.DUMMYFUNCTION("""COMPUTED_VALUE"""),30628)</f>
        <v>30628</v>
      </c>
      <c r="F2891" s="8" t="str">
        <f ca="1">IFERROR(__xludf.DUMMYFUNCTION("""COMPUTED_VALUE"""),"Highland Park High School")</f>
        <v>Highland Park High School</v>
      </c>
      <c r="G2891" s="8">
        <f ca="1">IFERROR(__xludf.DUMMYFUNCTION("""COMPUTED_VALUE"""),1)</f>
        <v>1</v>
      </c>
      <c r="H2891" s="8">
        <f ca="1">IFERROR(__xludf.DUMMYFUNCTION("""COMPUTED_VALUE"""),0)</f>
        <v>0</v>
      </c>
      <c r="I2891" s="8">
        <f ca="1">IFERROR(__xludf.DUMMYFUNCTION("""COMPUTED_VALUE"""),1)</f>
        <v>1</v>
      </c>
      <c r="J2891" s="8">
        <f ca="1">IFERROR(__xludf.DUMMYFUNCTION("""COMPUTED_VALUE"""),0)</f>
        <v>0</v>
      </c>
      <c r="K2891" s="8" t="str">
        <f ca="1">IFERROR(__xludf.DUMMYFUNCTION("""COMPUTED_VALUE"""),"https://www.newspapers.com/image/310953825/?terms=student%2Bshoots, https://www.newspapers.com/image/97622527/?terms=teen%2Bshot%2Bdead%2Bin%2Bfight%2Bat%2Bschool")</f>
        <v>https://www.newspapers.com/image/310953825/?terms=student%2Bshoots, https://www.newspapers.com/image/97622527/?terms=teen%2Bshot%2Bdead%2Bin%2Bfight%2Bat%2Bschool</v>
      </c>
      <c r="L2891" s="8"/>
      <c r="M2891" s="8"/>
      <c r="N2891" s="8">
        <f ca="1">IFERROR(__xludf.DUMMYFUNCTION("""COMPUTED_VALUE"""),2)</f>
        <v>2</v>
      </c>
      <c r="O2891" s="8" t="str">
        <f ca="1">IFERROR(__xludf.DUMMYFUNCTION("""COMPUTED_VALUE"""),"Fall")</f>
        <v>Fall</v>
      </c>
      <c r="P2891" s="8" t="str">
        <f ca="1">IFERROR(__xludf.DUMMYFUNCTION("""COMPUTED_VALUE"""),"Highland Park")</f>
        <v>Highland Park</v>
      </c>
      <c r="Q2891" s="8" t="str">
        <f ca="1">IFERROR(__xludf.DUMMYFUNCTION("""COMPUTED_VALUE"""),"MI")</f>
        <v>MI</v>
      </c>
      <c r="R2891" s="8" t="str">
        <f ca="1">IFERROR(__xludf.DUMMYFUNCTION("""COMPUTED_VALUE"""),"High")</f>
        <v>High</v>
      </c>
      <c r="S2891" s="8" t="str">
        <f ca="1">IFERROR(__xludf.DUMMYFUNCTION("""COMPUTED_VALUE"""),"Inside School Building")</f>
        <v>Inside School Building</v>
      </c>
      <c r="T2891" s="8" t="str">
        <f ca="1">IFERROR(__xludf.DUMMYFUNCTION("""COMPUTED_VALUE"""),"Inside School Building")</f>
        <v>Inside School Building</v>
      </c>
      <c r="U2891" s="8" t="str">
        <f ca="1">IFERROR(__xludf.DUMMYFUNCTION("""COMPUTED_VALUE"""),"Yes")</f>
        <v>Yes</v>
      </c>
      <c r="V2891" s="8" t="str">
        <f ca="1">IFERROR(__xludf.DUMMYFUNCTION("""COMPUTED_VALUE"""),"Before School")</f>
        <v>Before School</v>
      </c>
      <c r="W2891" s="11">
        <f ca="1">IFERROR(__xludf.DUMMYFUNCTION("""COMPUTED_VALUE"""),0.326388888888888)</f>
        <v>0.32638888888888801</v>
      </c>
      <c r="X2891" s="8">
        <f ca="1">IFERROR(__xludf.DUMMYFUNCTION("""COMPUTED_VALUE"""),1)</f>
        <v>1</v>
      </c>
      <c r="Y2891" s="12" t="str">
        <f ca="1">IFERROR(__xludf.DUMMYFUNCTION("""COMPUTED_VALUE"""),"Shooter killed victim with gun after being punched")</f>
        <v>Shooter killed victim with gun after being punched</v>
      </c>
      <c r="Z2891" s="12" t="str">
        <f ca="1">IFERROR(__xludf.DUMMYFUNCTION("""COMPUTED_VALUE"""),"17 year old student sneaked a.38 caliber gun belonging to father passed school guards and shot/killed victim after being punched.")</f>
        <v>17 year old student sneaked a.38 caliber gun belonging to father passed school guards and shot/killed victim after being punched.</v>
      </c>
      <c r="AA2891" s="8" t="str">
        <f ca="1">IFERROR(__xludf.DUMMYFUNCTION("""COMPUTED_VALUE"""),"Escalation of Dispute")</f>
        <v>Escalation of Dispute</v>
      </c>
      <c r="AB2891" s="8"/>
      <c r="AC2891" s="8"/>
      <c r="AD2891" s="8" t="str">
        <f ca="1">IFERROR(__xludf.DUMMYFUNCTION("""COMPUTED_VALUE"""),"Victims Targeted")</f>
        <v>Victims Targeted</v>
      </c>
      <c r="AE2891" s="8"/>
      <c r="AF2891" s="8"/>
      <c r="AG2891" s="8" t="str">
        <f ca="1">IFERROR(__xludf.DUMMYFUNCTION("""COMPUTED_VALUE"""),"No")</f>
        <v>No</v>
      </c>
      <c r="AH2891" s="8" t="str">
        <f ca="1">IFERROR(__xludf.DUMMYFUNCTION("""COMPUTED_VALUE"""),"No")</f>
        <v>No</v>
      </c>
      <c r="AI2891" s="8" t="str">
        <f ca="1">IFERROR(__xludf.DUMMYFUNCTION("""COMPUTED_VALUE"""),"No")</f>
        <v>No</v>
      </c>
      <c r="AJ2891" s="8"/>
      <c r="AK2891" s="8" t="str">
        <f ca="1">IFERROR(__xludf.DUMMYFUNCTION("""COMPUTED_VALUE"""),"No")</f>
        <v>No</v>
      </c>
      <c r="AL2891" s="8" t="str">
        <f ca="1">IFERROR(__xludf.DUMMYFUNCTION("""COMPUTED_VALUE"""),"No")</f>
        <v>No</v>
      </c>
      <c r="AM2891" s="8"/>
      <c r="AN2891" s="8"/>
      <c r="AO2891" s="8" t="str">
        <f ca="1">IFERROR(__xludf.DUMMYFUNCTION("""COMPUTED_VALUE"""),"No")</f>
        <v>No</v>
      </c>
      <c r="AP2891" s="8" t="str">
        <f ca="1">IFERROR(__xludf.DUMMYFUNCTION("""COMPUTED_VALUE"""),"Yes")</f>
        <v>Yes</v>
      </c>
      <c r="AQ2891" s="8" t="str">
        <f ca="1">IFERROR(__xludf.DUMMYFUNCTION("""COMPUTED_VALUE"""),"None")</f>
        <v>None</v>
      </c>
      <c r="AR2891" s="8" t="str">
        <f ca="1">IFERROR(__xludf.DUMMYFUNCTION("""COMPUTED_VALUE"""),"NA")</f>
        <v>NA</v>
      </c>
      <c r="AS2891" s="8"/>
      <c r="AT2891" s="8"/>
      <c r="AU2891" s="8">
        <f ca="1">IFERROR(__xludf.DUMMYFUNCTION("""COMPUTED_VALUE"""),42.406486)</f>
        <v>42.406486000000001</v>
      </c>
      <c r="AV2891" s="8">
        <f ca="1">IFERROR(__xludf.DUMMYFUNCTION("""COMPUTED_VALUE"""),-83.095457)</f>
        <v>-83.095456999999996</v>
      </c>
      <c r="AW2891" s="8"/>
      <c r="AX2891" s="8">
        <f ca="1">IFERROR(__xludf.DUMMYFUNCTION("""COMPUTED_VALUE"""),48203)</f>
        <v>48203</v>
      </c>
    </row>
    <row r="2892" spans="1:50" ht="75" x14ac:dyDescent="0.2">
      <c r="A2892" s="8" t="str">
        <f ca="1">IFERROR(__xludf.DUMMYFUNCTION("""COMPUTED_VALUE"""),"19831022MDCAB")</f>
        <v>19831022MDCAB</v>
      </c>
      <c r="B2892" s="8">
        <f ca="1">IFERROR(__xludf.DUMMYFUNCTION("""COMPUTED_VALUE"""),10)</f>
        <v>10</v>
      </c>
      <c r="C2892" s="8">
        <f ca="1">IFERROR(__xludf.DUMMYFUNCTION("""COMPUTED_VALUE"""),22)</f>
        <v>22</v>
      </c>
      <c r="D2892" s="8">
        <f ca="1">IFERROR(__xludf.DUMMYFUNCTION("""COMPUTED_VALUE"""),1983)</f>
        <v>1983</v>
      </c>
      <c r="E2892" s="9">
        <f ca="1">IFERROR(__xludf.DUMMYFUNCTION("""COMPUTED_VALUE"""),30611)</f>
        <v>30611</v>
      </c>
      <c r="F2892" s="8" t="str">
        <f ca="1">IFERROR(__xludf.DUMMYFUNCTION("""COMPUTED_VALUE"""),"Carver Vocational-Technical Senior High")</f>
        <v>Carver Vocational-Technical Senior High</v>
      </c>
      <c r="G2892" s="8">
        <f ca="1">IFERROR(__xludf.DUMMYFUNCTION("""COMPUTED_VALUE"""),1)</f>
        <v>1</v>
      </c>
      <c r="H2892" s="8">
        <f ca="1">IFERROR(__xludf.DUMMYFUNCTION("""COMPUTED_VALUE"""),0)</f>
        <v>0</v>
      </c>
      <c r="I2892" s="8">
        <f ca="1">IFERROR(__xludf.DUMMYFUNCTION("""COMPUTED_VALUE"""),1)</f>
        <v>1</v>
      </c>
      <c r="J2892" s="8">
        <f ca="1">IFERROR(__xludf.DUMMYFUNCTION("""COMPUTED_VALUE"""),0)</f>
        <v>0</v>
      </c>
      <c r="K2892" s="10" t="str">
        <f ca="1">IFERROR(__xludf.DUMMYFUNCTION("""COMPUTED_VALUE"""),"https://www.newspapers.com/image/371003589/?terms=student%2Bshot&amp;match=10")</f>
        <v>https://www.newspapers.com/image/371003589/?terms=student%2Bshot&amp;match=10</v>
      </c>
      <c r="L2892" s="8"/>
      <c r="M2892" s="8"/>
      <c r="N2892" s="8">
        <f ca="1">IFERROR(__xludf.DUMMYFUNCTION("""COMPUTED_VALUE"""),2)</f>
        <v>2</v>
      </c>
      <c r="O2892" s="8" t="str">
        <f ca="1">IFERROR(__xludf.DUMMYFUNCTION("""COMPUTED_VALUE"""),"Fall")</f>
        <v>Fall</v>
      </c>
      <c r="P2892" s="8" t="str">
        <f ca="1">IFERROR(__xludf.DUMMYFUNCTION("""COMPUTED_VALUE"""),"Baltimore")</f>
        <v>Baltimore</v>
      </c>
      <c r="Q2892" s="8" t="str">
        <f ca="1">IFERROR(__xludf.DUMMYFUNCTION("""COMPUTED_VALUE"""),"MD")</f>
        <v>MD</v>
      </c>
      <c r="R2892" s="8" t="str">
        <f ca="1">IFERROR(__xludf.DUMMYFUNCTION("""COMPUTED_VALUE"""),"High")</f>
        <v>High</v>
      </c>
      <c r="S2892" s="8" t="str">
        <f ca="1">IFERROR(__xludf.DUMMYFUNCTION("""COMPUTED_VALUE"""),"Beside Building")</f>
        <v>Beside Building</v>
      </c>
      <c r="T2892" s="8" t="str">
        <f ca="1">IFERROR(__xludf.DUMMYFUNCTION("""COMPUTED_VALUE"""),"Outside on School Property")</f>
        <v>Outside on School Property</v>
      </c>
      <c r="U2892" s="8" t="str">
        <f ca="1">IFERROR(__xludf.DUMMYFUNCTION("""COMPUTED_VALUE"""),"No")</f>
        <v>No</v>
      </c>
      <c r="V2892" s="8" t="str">
        <f ca="1">IFERROR(__xludf.DUMMYFUNCTION("""COMPUTED_VALUE"""),"School Event")</f>
        <v>School Event</v>
      </c>
      <c r="W2892" s="11">
        <f ca="1">IFERROR(__xludf.DUMMYFUNCTION("""COMPUTED_VALUE"""),0.958333333333333)</f>
        <v>0.95833333333333304</v>
      </c>
      <c r="X2892" s="8">
        <f ca="1">IFERROR(__xludf.DUMMYFUNCTION("""COMPUTED_VALUE"""),1)</f>
        <v>1</v>
      </c>
      <c r="Y2892" s="12" t="str">
        <f ca="1">IFERROR(__xludf.DUMMYFUNCTION("""COMPUTED_VALUE"""),"Victim purposely shot with starter pistol outside school dance.")</f>
        <v>Victim purposely shot with starter pistol outside school dance.</v>
      </c>
      <c r="Z2892" s="12" t="str">
        <f ca="1">IFERROR(__xludf.DUMMYFUNCTION("""COMPUTED_VALUE"""),"Shooter was with a group of men who had shown up late to a dance and were not allowed in. Victim was in that group. Victim pulled out a starter pistol and fired several shots into the air. Shooter then shot victim in back of head. Shooter fled and was lat"&amp;"er caught.")</f>
        <v>Shooter was with a group of men who had shown up late to a dance and were not allowed in. Victim was in that group. Victim pulled out a starter pistol and fired several shots into the air. Shooter then shot victim in back of head. Shooter fled and was later caught.</v>
      </c>
      <c r="AA2892" s="8" t="str">
        <f ca="1">IFERROR(__xludf.DUMMYFUNCTION("""COMPUTED_VALUE"""),"Illegal Activity")</f>
        <v>Illegal Activity</v>
      </c>
      <c r="AB2892" s="8"/>
      <c r="AC2892" s="8"/>
      <c r="AD2892" s="8" t="str">
        <f ca="1">IFERROR(__xludf.DUMMYFUNCTION("""COMPUTED_VALUE"""),"Victims Targeted")</f>
        <v>Victims Targeted</v>
      </c>
      <c r="AE2892" s="8" t="str">
        <f ca="1">IFERROR(__xludf.DUMMYFUNCTION("""COMPUTED_VALUE"""),"No")</f>
        <v>No</v>
      </c>
      <c r="AF2892" s="8"/>
      <c r="AG2892" s="8" t="str">
        <f ca="1">IFERROR(__xludf.DUMMYFUNCTION("""COMPUTED_VALUE"""),"No")</f>
        <v>No</v>
      </c>
      <c r="AH2892" s="8" t="str">
        <f ca="1">IFERROR(__xludf.DUMMYFUNCTION("""COMPUTED_VALUE"""),"No")</f>
        <v>No</v>
      </c>
      <c r="AI2892" s="8" t="str">
        <f ca="1">IFERROR(__xludf.DUMMYFUNCTION("""COMPUTED_VALUE"""),"No")</f>
        <v>No</v>
      </c>
      <c r="AJ2892" s="8" t="str">
        <f ca="1">IFERROR(__xludf.DUMMYFUNCTION("""COMPUTED_VALUE"""),"No")</f>
        <v>No</v>
      </c>
      <c r="AK2892" s="8" t="str">
        <f ca="1">IFERROR(__xludf.DUMMYFUNCTION("""COMPUTED_VALUE"""),"No")</f>
        <v>No</v>
      </c>
      <c r="AL2892" s="8" t="str">
        <f ca="1">IFERROR(__xludf.DUMMYFUNCTION("""COMPUTED_VALUE"""),"No")</f>
        <v>No</v>
      </c>
      <c r="AM2892" s="8"/>
      <c r="AN2892" s="8"/>
      <c r="AO2892" s="8" t="str">
        <f ca="1">IFERROR(__xludf.DUMMYFUNCTION("""COMPUTED_VALUE"""),"No")</f>
        <v>No</v>
      </c>
      <c r="AP2892" s="8"/>
      <c r="AQ2892" s="8" t="str">
        <f ca="1">IFERROR(__xludf.DUMMYFUNCTION("""COMPUTED_VALUE"""),"Unknown")</f>
        <v>Unknown</v>
      </c>
      <c r="AR2892" s="8" t="str">
        <f ca="1">IFERROR(__xludf.DUMMYFUNCTION("""COMPUTED_VALUE"""),"NA")</f>
        <v>NA</v>
      </c>
      <c r="AS2892" s="8">
        <f ca="1">IFERROR(__xludf.DUMMYFUNCTION("""COMPUTED_VALUE"""),1)</f>
        <v>1</v>
      </c>
      <c r="AT2892" s="8"/>
      <c r="AU2892" s="8">
        <f ca="1">IFERROR(__xludf.DUMMYFUNCTION("""COMPUTED_VALUE"""),39.304741)</f>
        <v>39.304741</v>
      </c>
      <c r="AV2892" s="8">
        <f ca="1">IFERROR(__xludf.DUMMYFUNCTION("""COMPUTED_VALUE"""),-76.653053)</f>
        <v>-76.653053</v>
      </c>
      <c r="AW2892" s="8"/>
      <c r="AX2892" s="8">
        <f ca="1">IFERROR(__xludf.DUMMYFUNCTION("""COMPUTED_VALUE"""),21217)</f>
        <v>21217</v>
      </c>
    </row>
    <row r="2893" spans="1:50" ht="60" x14ac:dyDescent="0.2">
      <c r="A2893" s="8" t="str">
        <f ca="1">IFERROR(__xludf.DUMMYFUNCTION("""COMPUTED_VALUE"""),"19831007CACOL")</f>
        <v>19831007CACOL</v>
      </c>
      <c r="B2893" s="8">
        <f ca="1">IFERROR(__xludf.DUMMYFUNCTION("""COMPUTED_VALUE"""),10)</f>
        <v>10</v>
      </c>
      <c r="C2893" s="8">
        <f ca="1">IFERROR(__xludf.DUMMYFUNCTION("""COMPUTED_VALUE"""),7)</f>
        <v>7</v>
      </c>
      <c r="D2893" s="8">
        <f ca="1">IFERROR(__xludf.DUMMYFUNCTION("""COMPUTED_VALUE"""),1983)</f>
        <v>1983</v>
      </c>
      <c r="E2893" s="9">
        <f ca="1">IFERROR(__xludf.DUMMYFUNCTION("""COMPUTED_VALUE"""),30596)</f>
        <v>30596</v>
      </c>
      <c r="F2893" s="8" t="str">
        <f ca="1">IFERROR(__xludf.DUMMYFUNCTION("""COMPUTED_VALUE"""),"Compton High School")</f>
        <v>Compton High School</v>
      </c>
      <c r="G2893" s="8">
        <f ca="1">IFERROR(__xludf.DUMMYFUNCTION("""COMPUTED_VALUE"""),0)</f>
        <v>0</v>
      </c>
      <c r="H2893" s="8">
        <f ca="1">IFERROR(__xludf.DUMMYFUNCTION("""COMPUTED_VALUE"""),2)</f>
        <v>2</v>
      </c>
      <c r="I2893" s="8">
        <f ca="1">IFERROR(__xludf.DUMMYFUNCTION("""COMPUTED_VALUE"""),2)</f>
        <v>2</v>
      </c>
      <c r="J2893" s="8">
        <f ca="1">IFERROR(__xludf.DUMMYFUNCTION("""COMPUTED_VALUE"""),0)</f>
        <v>0</v>
      </c>
      <c r="K2893" s="8" t="str">
        <f ca="1">IFERROR(__xludf.DUMMYFUNCTION("""COMPUTED_VALUE"""),"https://www.newspapers.com/image/390896596/?terms=Compton%2BHigh%2BSchool%2Bshooting
https://www.newspapers.com/image/691899923/?terms=compton%20high%20school%20shooting&amp;match=1")</f>
        <v>https://www.newspapers.com/image/390896596/?terms=Compton%2BHigh%2BSchool%2Bshooting
https://www.newspapers.com/image/691899923/?terms=compton%20high%20school%20shooting&amp;match=1</v>
      </c>
      <c r="L2893" s="8"/>
      <c r="M2893" s="8" t="str">
        <f ca="1">IFERROR(__xludf.DUMMYFUNCTION("""COMPUTED_VALUE"""),"Regional")</f>
        <v>Regional</v>
      </c>
      <c r="N2893" s="8">
        <f ca="1">IFERROR(__xludf.DUMMYFUNCTION("""COMPUTED_VALUE"""),4)</f>
        <v>4</v>
      </c>
      <c r="O2893" s="8" t="str">
        <f ca="1">IFERROR(__xludf.DUMMYFUNCTION("""COMPUTED_VALUE"""),"Fall")</f>
        <v>Fall</v>
      </c>
      <c r="P2893" s="8" t="str">
        <f ca="1">IFERROR(__xludf.DUMMYFUNCTION("""COMPUTED_VALUE"""),"Los Angeles")</f>
        <v>Los Angeles</v>
      </c>
      <c r="Q2893" s="8" t="str">
        <f ca="1">IFERROR(__xludf.DUMMYFUNCTION("""COMPUTED_VALUE"""),"CA")</f>
        <v>CA</v>
      </c>
      <c r="R2893" s="8" t="str">
        <f ca="1">IFERROR(__xludf.DUMMYFUNCTION("""COMPUTED_VALUE"""),"High")</f>
        <v>High</v>
      </c>
      <c r="S2893" s="8" t="str">
        <f ca="1">IFERROR(__xludf.DUMMYFUNCTION("""COMPUTED_VALUE"""),"Hallway")</f>
        <v>Hallway</v>
      </c>
      <c r="T2893" s="8" t="str">
        <f ca="1">IFERROR(__xludf.DUMMYFUNCTION("""COMPUTED_VALUE"""),"Inside School Building")</f>
        <v>Inside School Building</v>
      </c>
      <c r="U2893" s="8" t="str">
        <f ca="1">IFERROR(__xludf.DUMMYFUNCTION("""COMPUTED_VALUE"""),"Yes")</f>
        <v>Yes</v>
      </c>
      <c r="V2893" s="8" t="str">
        <f ca="1">IFERROR(__xludf.DUMMYFUNCTION("""COMPUTED_VALUE"""),"School Start")</f>
        <v>School Start</v>
      </c>
      <c r="W2893" s="11">
        <f ca="1">IFERROR(__xludf.DUMMYFUNCTION("""COMPUTED_VALUE"""),0.333333333333333)</f>
        <v>0.33333333333333298</v>
      </c>
      <c r="X2893" s="8">
        <f ca="1">IFERROR(__xludf.DUMMYFUNCTION("""COMPUTED_VALUE"""),1)</f>
        <v>1</v>
      </c>
      <c r="Y2893" s="12" t="str">
        <f ca="1">IFERROR(__xludf.DUMMYFUNCTION("""COMPUTED_VALUE"""),"Two students were wounded during dispute before classes")</f>
        <v>Two students were wounded during dispute before classes</v>
      </c>
      <c r="Z2893" s="12" t="str">
        <f ca="1">IFERROR(__xludf.DUMMYFUNCTION("""COMPUTED_VALUE"""),"Two students were wounded during dispute before classes. A 16-year-old female student hit in crossfire.")</f>
        <v>Two students were wounded during dispute before classes. A 16-year-old female student hit in crossfire.</v>
      </c>
      <c r="AA2893" s="8" t="str">
        <f ca="1">IFERROR(__xludf.DUMMYFUNCTION("""COMPUTED_VALUE"""),"Escalation of Dispute")</f>
        <v>Escalation of Dispute</v>
      </c>
      <c r="AB2893" s="8"/>
      <c r="AC2893" s="8"/>
      <c r="AD2893" s="8" t="str">
        <f ca="1">IFERROR(__xludf.DUMMYFUNCTION("""COMPUTED_VALUE"""),"Random Shooting")</f>
        <v>Random Shooting</v>
      </c>
      <c r="AE2893" s="8" t="str">
        <f ca="1">IFERROR(__xludf.DUMMYFUNCTION("""COMPUTED_VALUE"""),"No")</f>
        <v>No</v>
      </c>
      <c r="AF2893" s="8"/>
      <c r="AG2893" s="8" t="str">
        <f ca="1">IFERROR(__xludf.DUMMYFUNCTION("""COMPUTED_VALUE"""),"No")</f>
        <v>No</v>
      </c>
      <c r="AH2893" s="8" t="str">
        <f ca="1">IFERROR(__xludf.DUMMYFUNCTION("""COMPUTED_VALUE"""),"No")</f>
        <v>No</v>
      </c>
      <c r="AI2893" s="8" t="str">
        <f ca="1">IFERROR(__xludf.DUMMYFUNCTION("""COMPUTED_VALUE"""),"No")</f>
        <v>No</v>
      </c>
      <c r="AJ2893" s="8" t="str">
        <f ca="1">IFERROR(__xludf.DUMMYFUNCTION("""COMPUTED_VALUE"""),"No")</f>
        <v>No</v>
      </c>
      <c r="AK2893" s="8" t="str">
        <f ca="1">IFERROR(__xludf.DUMMYFUNCTION("""COMPUTED_VALUE"""),"No")</f>
        <v>No</v>
      </c>
      <c r="AL2893" s="8" t="str">
        <f ca="1">IFERROR(__xludf.DUMMYFUNCTION("""COMPUTED_VALUE"""),"Yes")</f>
        <v>Yes</v>
      </c>
      <c r="AM2893" s="8"/>
      <c r="AN2893" s="8"/>
      <c r="AO2893" s="8" t="str">
        <f ca="1">IFERROR(__xludf.DUMMYFUNCTION("""COMPUTED_VALUE"""),"No")</f>
        <v>No</v>
      </c>
      <c r="AP2893" s="8"/>
      <c r="AQ2893" s="8" t="str">
        <f ca="1">IFERROR(__xludf.DUMMYFUNCTION("""COMPUTED_VALUE"""),"Unknown")</f>
        <v>Unknown</v>
      </c>
      <c r="AR2893" s="8" t="str">
        <f ca="1">IFERROR(__xludf.DUMMYFUNCTION("""COMPUTED_VALUE"""),"NA")</f>
        <v>NA</v>
      </c>
      <c r="AS2893" s="8" t="str">
        <f ca="1">IFERROR(__xludf.DUMMYFUNCTION("""COMPUTED_VALUE"""),"&lt;10")</f>
        <v>&lt;10</v>
      </c>
      <c r="AT2893" s="8"/>
      <c r="AU2893" s="8">
        <f ca="1">IFERROR(__xludf.DUMMYFUNCTION("""COMPUTED_VALUE"""),33.890192)</f>
        <v>33.890191999999999</v>
      </c>
      <c r="AV2893" s="8">
        <f ca="1">IFERROR(__xludf.DUMMYFUNCTION("""COMPUTED_VALUE"""),-118.226929)</f>
        <v>-118.226929</v>
      </c>
      <c r="AW2893" s="8"/>
      <c r="AX2893" s="8">
        <f ca="1">IFERROR(__xludf.DUMMYFUNCTION("""COMPUTED_VALUE"""),90220)</f>
        <v>90220</v>
      </c>
    </row>
    <row r="2894" spans="1:50" ht="60" x14ac:dyDescent="0.2">
      <c r="A2894" s="8" t="str">
        <f ca="1">IFERROR(__xludf.DUMMYFUNCTION("""COMPUTED_VALUE"""),"19830930TXTET")</f>
        <v>19830930TXTET</v>
      </c>
      <c r="B2894" s="8">
        <f ca="1">IFERROR(__xludf.DUMMYFUNCTION("""COMPUTED_VALUE"""),9)</f>
        <v>9</v>
      </c>
      <c r="C2894" s="8">
        <f ca="1">IFERROR(__xludf.DUMMYFUNCTION("""COMPUTED_VALUE"""),30)</f>
        <v>30</v>
      </c>
      <c r="D2894" s="8">
        <f ca="1">IFERROR(__xludf.DUMMYFUNCTION("""COMPUTED_VALUE"""),1983)</f>
        <v>1983</v>
      </c>
      <c r="E2894" s="9">
        <f ca="1">IFERROR(__xludf.DUMMYFUNCTION("""COMPUTED_VALUE"""),30589)</f>
        <v>30589</v>
      </c>
      <c r="F2894" s="8" t="str">
        <f ca="1">IFERROR(__xludf.DUMMYFUNCTION("""COMPUTED_VALUE"""),"Temple High School")</f>
        <v>Temple High School</v>
      </c>
      <c r="G2894" s="8">
        <f ca="1">IFERROR(__xludf.DUMMYFUNCTION("""COMPUTED_VALUE"""),0)</f>
        <v>0</v>
      </c>
      <c r="H2894" s="8">
        <f ca="1">IFERROR(__xludf.DUMMYFUNCTION("""COMPUTED_VALUE"""),3)</f>
        <v>3</v>
      </c>
      <c r="I2894" s="8">
        <f ca="1">IFERROR(__xludf.DUMMYFUNCTION("""COMPUTED_VALUE"""),3)</f>
        <v>3</v>
      </c>
      <c r="J2894" s="8">
        <f ca="1">IFERROR(__xludf.DUMMYFUNCTION("""COMPUTED_VALUE"""),0)</f>
        <v>0</v>
      </c>
      <c r="K2894" s="10" t="str">
        <f ca="1">IFERROR(__xludf.DUMMYFUNCTION("""COMPUTED_VALUE"""),"https://www.newspapers.com/image/379323248/?terms=temple%2Bhigh%2Bschool%2Bshooting")</f>
        <v>https://www.newspapers.com/image/379323248/?terms=temple%2Bhigh%2Bschool%2Bshooting</v>
      </c>
      <c r="L2894" s="8"/>
      <c r="M2894" s="8"/>
      <c r="N2894" s="8">
        <f ca="1">IFERROR(__xludf.DUMMYFUNCTION("""COMPUTED_VALUE"""),2)</f>
        <v>2</v>
      </c>
      <c r="O2894" s="8" t="str">
        <f ca="1">IFERROR(__xludf.DUMMYFUNCTION("""COMPUTED_VALUE"""),"Fall")</f>
        <v>Fall</v>
      </c>
      <c r="P2894" s="8" t="str">
        <f ca="1">IFERROR(__xludf.DUMMYFUNCTION("""COMPUTED_VALUE"""),"Temple")</f>
        <v>Temple</v>
      </c>
      <c r="Q2894" s="8" t="str">
        <f ca="1">IFERROR(__xludf.DUMMYFUNCTION("""COMPUTED_VALUE"""),"TX")</f>
        <v>TX</v>
      </c>
      <c r="R2894" s="8" t="str">
        <f ca="1">IFERROR(__xludf.DUMMYFUNCTION("""COMPUTED_VALUE"""),"High")</f>
        <v>High</v>
      </c>
      <c r="S2894" s="8" t="str">
        <f ca="1">IFERROR(__xludf.DUMMYFUNCTION("""COMPUTED_VALUE"""),"Football Field/Track")</f>
        <v>Football Field/Track</v>
      </c>
      <c r="T2894" s="8" t="str">
        <f ca="1">IFERROR(__xludf.DUMMYFUNCTION("""COMPUTED_VALUE"""),"Outside on School Property")</f>
        <v>Outside on School Property</v>
      </c>
      <c r="U2894" s="8" t="str">
        <f ca="1">IFERROR(__xludf.DUMMYFUNCTION("""COMPUTED_VALUE"""),"No")</f>
        <v>No</v>
      </c>
      <c r="V2894" s="8" t="str">
        <f ca="1">IFERROR(__xludf.DUMMYFUNCTION("""COMPUTED_VALUE"""),"Sport Event")</f>
        <v>Sport Event</v>
      </c>
      <c r="W2894" s="8"/>
      <c r="X2894" s="8">
        <f ca="1">IFERROR(__xludf.DUMMYFUNCTION("""COMPUTED_VALUE"""),1)</f>
        <v>1</v>
      </c>
      <c r="Y2894" s="12" t="str">
        <f ca="1">IFERROR(__xludf.DUMMYFUNCTION("""COMPUTED_VALUE"""),"Ongoing conflict for multiple days with victims")</f>
        <v>Ongoing conflict for multiple days with victims</v>
      </c>
      <c r="Z2894" s="12" t="str">
        <f ca="1">IFERROR(__xludf.DUMMYFUNCTION("""COMPUTED_VALUE"""),"20YOM former student shot 3 other students during a football game. Shooter and victim had been in Ongoing conflict for multiple days prior to the shooting. 10000 people were at the game during the time of the shooting.")</f>
        <v>20YOM former student shot 3 other students during a football game. Shooter and victim had been in Ongoing conflict for multiple days prior to the shooting. 10000 people were at the game during the time of the shooting.</v>
      </c>
      <c r="AA2894" s="8" t="str">
        <f ca="1">IFERROR(__xludf.DUMMYFUNCTION("""COMPUTED_VALUE"""),"Escalation of Dispute")</f>
        <v>Escalation of Dispute</v>
      </c>
      <c r="AB2894" s="8"/>
      <c r="AC2894" s="8"/>
      <c r="AD2894" s="8" t="str">
        <f ca="1">IFERROR(__xludf.DUMMYFUNCTION("""COMPUTED_VALUE"""),"Victims Targeted")</f>
        <v>Victims Targeted</v>
      </c>
      <c r="AE2894" s="8" t="str">
        <f ca="1">IFERROR(__xludf.DUMMYFUNCTION("""COMPUTED_VALUE"""),"No")</f>
        <v>No</v>
      </c>
      <c r="AF2894" s="8"/>
      <c r="AG2894" s="8" t="str">
        <f ca="1">IFERROR(__xludf.DUMMYFUNCTION("""COMPUTED_VALUE"""),"No")</f>
        <v>No</v>
      </c>
      <c r="AH2894" s="8" t="str">
        <f ca="1">IFERROR(__xludf.DUMMYFUNCTION("""COMPUTED_VALUE"""),"No")</f>
        <v>No</v>
      </c>
      <c r="AI2894" s="8" t="str">
        <f ca="1">IFERROR(__xludf.DUMMYFUNCTION("""COMPUTED_VALUE"""),"No")</f>
        <v>No</v>
      </c>
      <c r="AJ2894" s="8" t="str">
        <f ca="1">IFERROR(__xludf.DUMMYFUNCTION("""COMPUTED_VALUE"""),"No")</f>
        <v>No</v>
      </c>
      <c r="AK2894" s="8" t="str">
        <f ca="1">IFERROR(__xludf.DUMMYFUNCTION("""COMPUTED_VALUE"""),"No")</f>
        <v>No</v>
      </c>
      <c r="AL2894" s="8" t="str">
        <f ca="1">IFERROR(__xludf.DUMMYFUNCTION("""COMPUTED_VALUE"""),"No")</f>
        <v>No</v>
      </c>
      <c r="AM2894" s="8"/>
      <c r="AN2894" s="8"/>
      <c r="AO2894" s="8" t="str">
        <f ca="1">IFERROR(__xludf.DUMMYFUNCTION("""COMPUTED_VALUE"""),"No")</f>
        <v>No</v>
      </c>
      <c r="AP2894" s="8"/>
      <c r="AQ2894" s="8" t="str">
        <f ca="1">IFERROR(__xludf.DUMMYFUNCTION("""COMPUTED_VALUE"""),"Unknown")</f>
        <v>Unknown</v>
      </c>
      <c r="AR2894" s="8" t="str">
        <f ca="1">IFERROR(__xludf.DUMMYFUNCTION("""COMPUTED_VALUE"""),"NA")</f>
        <v>NA</v>
      </c>
      <c r="AS2894" s="8"/>
      <c r="AT2894" s="8"/>
      <c r="AU2894" s="8">
        <f ca="1">IFERROR(__xludf.DUMMYFUNCTION("""COMPUTED_VALUE"""),31.106842)</f>
        <v>31.106842</v>
      </c>
      <c r="AV2894" s="8">
        <f ca="1">IFERROR(__xludf.DUMMYFUNCTION("""COMPUTED_VALUE"""),-97.35394)</f>
        <v>-97.353939999999994</v>
      </c>
      <c r="AW2894" s="8"/>
      <c r="AX2894" s="8">
        <f ca="1">IFERROR(__xludf.DUMMYFUNCTION("""COMPUTED_VALUE"""),76504)</f>
        <v>76504</v>
      </c>
    </row>
    <row r="2895" spans="1:50" ht="75" x14ac:dyDescent="0.2">
      <c r="A2895" s="8" t="str">
        <f ca="1">IFERROR(__xludf.DUMMYFUNCTION("""COMPUTED_VALUE"""),"19830921MDWAB")</f>
        <v>19830921MDWAB</v>
      </c>
      <c r="B2895" s="8">
        <f ca="1">IFERROR(__xludf.DUMMYFUNCTION("""COMPUTED_VALUE"""),9)</f>
        <v>9</v>
      </c>
      <c r="C2895" s="8">
        <f ca="1">IFERROR(__xludf.DUMMYFUNCTION("""COMPUTED_VALUE"""),21)</f>
        <v>21</v>
      </c>
      <c r="D2895" s="8">
        <f ca="1">IFERROR(__xludf.DUMMYFUNCTION("""COMPUTED_VALUE"""),1983)</f>
        <v>1983</v>
      </c>
      <c r="E2895" s="9">
        <f ca="1">IFERROR(__xludf.DUMMYFUNCTION("""COMPUTED_VALUE"""),30580)</f>
        <v>30580</v>
      </c>
      <c r="F2895" s="8" t="str">
        <f ca="1">IFERROR(__xludf.DUMMYFUNCTION("""COMPUTED_VALUE"""),"Walbrook High School")</f>
        <v>Walbrook High School</v>
      </c>
      <c r="G2895" s="8">
        <f ca="1">IFERROR(__xludf.DUMMYFUNCTION("""COMPUTED_VALUE"""),0)</f>
        <v>0</v>
      </c>
      <c r="H2895" s="8">
        <f ca="1">IFERROR(__xludf.DUMMYFUNCTION("""COMPUTED_VALUE"""),0)</f>
        <v>0</v>
      </c>
      <c r="I2895" s="8">
        <f ca="1">IFERROR(__xludf.DUMMYFUNCTION("""COMPUTED_VALUE"""),0)</f>
        <v>0</v>
      </c>
      <c r="J2895" s="8">
        <f ca="1">IFERROR(__xludf.DUMMYFUNCTION("""COMPUTED_VALUE"""),0)</f>
        <v>0</v>
      </c>
      <c r="K2895" s="10" t="str">
        <f ca="1">IFERROR(__xludf.DUMMYFUNCTION("""COMPUTED_VALUE"""),"https://www.newspapers.com/image/369822289")</f>
        <v>https://www.newspapers.com/image/369822289</v>
      </c>
      <c r="L2895" s="8"/>
      <c r="M2895" s="8"/>
      <c r="N2895" s="8">
        <f ca="1">IFERROR(__xludf.DUMMYFUNCTION("""COMPUTED_VALUE"""),2)</f>
        <v>2</v>
      </c>
      <c r="O2895" s="8" t="str">
        <f ca="1">IFERROR(__xludf.DUMMYFUNCTION("""COMPUTED_VALUE"""),"Fall")</f>
        <v>Fall</v>
      </c>
      <c r="P2895" s="8" t="str">
        <f ca="1">IFERROR(__xludf.DUMMYFUNCTION("""COMPUTED_VALUE"""),"Baltimore")</f>
        <v>Baltimore</v>
      </c>
      <c r="Q2895" s="8" t="str">
        <f ca="1">IFERROR(__xludf.DUMMYFUNCTION("""COMPUTED_VALUE"""),"MD")</f>
        <v>MD</v>
      </c>
      <c r="R2895" s="8" t="str">
        <f ca="1">IFERROR(__xludf.DUMMYFUNCTION("""COMPUTED_VALUE"""),"High")</f>
        <v>High</v>
      </c>
      <c r="S2895" s="8" t="str">
        <f ca="1">IFERROR(__xludf.DUMMYFUNCTION("""COMPUTED_VALUE"""),"Classroom")</f>
        <v>Classroom</v>
      </c>
      <c r="T2895" s="8" t="str">
        <f ca="1">IFERROR(__xludf.DUMMYFUNCTION("""COMPUTED_VALUE"""),"Inside School Building")</f>
        <v>Inside School Building</v>
      </c>
      <c r="U2895" s="8" t="str">
        <f ca="1">IFERROR(__xludf.DUMMYFUNCTION("""COMPUTED_VALUE"""),"Yes")</f>
        <v>Yes</v>
      </c>
      <c r="V2895" s="8" t="str">
        <f ca="1">IFERROR(__xludf.DUMMYFUNCTION("""COMPUTED_VALUE"""),"Morning Classes")</f>
        <v>Morning Classes</v>
      </c>
      <c r="W2895" s="11">
        <f ca="1">IFERROR(__xludf.DUMMYFUNCTION("""COMPUTED_VALUE"""),0.458333333333333)</f>
        <v>0.45833333333333298</v>
      </c>
      <c r="X2895" s="8">
        <f ca="1">IFERROR(__xludf.DUMMYFUNCTION("""COMPUTED_VALUE"""),1)</f>
        <v>1</v>
      </c>
      <c r="Y2895" s="12" t="str">
        <f ca="1">IFERROR(__xludf.DUMMYFUNCTION("""COMPUTED_VALUE"""),"Student accidentally shot self in leg while in class")</f>
        <v>Student accidentally shot self in leg while in class</v>
      </c>
      <c r="Z2895" s="12" t="str">
        <f ca="1">IFERROR(__xludf.DUMMYFUNCTION("""COMPUTED_VALUE"""),"Shooter had small caliber pistol in backpack - accidentally shot himself in leg during class - yelled out ""I shot myself"" then yelled out ""someone shot me - student ran to bathroom then came back to class - school admin treated his wound in class - was"&amp;" later charged")</f>
        <v>Shooter had small caliber pistol in backpack - accidentally shot himself in leg during class - yelled out "I shot myself" then yelled out "someone shot me - student ran to bathroom then came back to class - school admin treated his wound in class - was later charged</v>
      </c>
      <c r="AA2895" s="8" t="str">
        <f ca="1">IFERROR(__xludf.DUMMYFUNCTION("""COMPUTED_VALUE"""),"Accidental")</f>
        <v>Accidental</v>
      </c>
      <c r="AB2895" s="8"/>
      <c r="AC2895" s="8"/>
      <c r="AD2895" s="8" t="str">
        <f ca="1">IFERROR(__xludf.DUMMYFUNCTION("""COMPUTED_VALUE"""),"Random Shooting")</f>
        <v>Random Shooting</v>
      </c>
      <c r="AE2895" s="8"/>
      <c r="AF2895" s="8"/>
      <c r="AG2895" s="8" t="str">
        <f ca="1">IFERROR(__xludf.DUMMYFUNCTION("""COMPUTED_VALUE"""),"No")</f>
        <v>No</v>
      </c>
      <c r="AH2895" s="8" t="str">
        <f ca="1">IFERROR(__xludf.DUMMYFUNCTION("""COMPUTED_VALUE"""),"No")</f>
        <v>No</v>
      </c>
      <c r="AI2895" s="8" t="str">
        <f ca="1">IFERROR(__xludf.DUMMYFUNCTION("""COMPUTED_VALUE"""),"No")</f>
        <v>No</v>
      </c>
      <c r="AJ2895" s="8" t="str">
        <f ca="1">IFERROR(__xludf.DUMMYFUNCTION("""COMPUTED_VALUE"""),"No")</f>
        <v>No</v>
      </c>
      <c r="AK2895" s="8" t="str">
        <f ca="1">IFERROR(__xludf.DUMMYFUNCTION("""COMPUTED_VALUE"""),"No")</f>
        <v>No</v>
      </c>
      <c r="AL2895" s="8" t="str">
        <f ca="1">IFERROR(__xludf.DUMMYFUNCTION("""COMPUTED_VALUE"""),"No")</f>
        <v>No</v>
      </c>
      <c r="AM2895" s="8"/>
      <c r="AN2895" s="8"/>
      <c r="AO2895" s="8" t="str">
        <f ca="1">IFERROR(__xludf.DUMMYFUNCTION("""COMPUTED_VALUE"""),"No")</f>
        <v>No</v>
      </c>
      <c r="AP2895" s="8"/>
      <c r="AQ2895" s="8" t="str">
        <f ca="1">IFERROR(__xludf.DUMMYFUNCTION("""COMPUTED_VALUE"""),"Unknown")</f>
        <v>Unknown</v>
      </c>
      <c r="AR2895" s="8" t="str">
        <f ca="1">IFERROR(__xludf.DUMMYFUNCTION("""COMPUTED_VALUE"""),"NA")</f>
        <v>NA</v>
      </c>
      <c r="AS2895" s="8">
        <f ca="1">IFERROR(__xludf.DUMMYFUNCTION("""COMPUTED_VALUE"""),1)</f>
        <v>1</v>
      </c>
      <c r="AT2895" s="8"/>
      <c r="AU2895" s="8">
        <f ca="1">IFERROR(__xludf.DUMMYFUNCTION("""COMPUTED_VALUE"""),39.310344)</f>
        <v>39.310344000000001</v>
      </c>
      <c r="AV2895" s="8">
        <f ca="1">IFERROR(__xludf.DUMMYFUNCTION("""COMPUTED_VALUE"""),-76.677228)</f>
        <v>-76.677227999999999</v>
      </c>
      <c r="AW2895" s="8"/>
      <c r="AX2895" s="8">
        <f ca="1">IFERROR(__xludf.DUMMYFUNCTION("""COMPUTED_VALUE"""),21216)</f>
        <v>21216</v>
      </c>
    </row>
    <row r="2896" spans="1:50" ht="60" x14ac:dyDescent="0.2">
      <c r="A2896" s="8" t="str">
        <f ca="1">IFERROR(__xludf.DUMMYFUNCTION("""COMPUTED_VALUE"""),"19830912MIHED")</f>
        <v>19830912MIHED</v>
      </c>
      <c r="B2896" s="8">
        <f ca="1">IFERROR(__xludf.DUMMYFUNCTION("""COMPUTED_VALUE"""),9)</f>
        <v>9</v>
      </c>
      <c r="C2896" s="8">
        <f ca="1">IFERROR(__xludf.DUMMYFUNCTION("""COMPUTED_VALUE"""),12)</f>
        <v>12</v>
      </c>
      <c r="D2896" s="8">
        <f ca="1">IFERROR(__xludf.DUMMYFUNCTION("""COMPUTED_VALUE"""),1983)</f>
        <v>1983</v>
      </c>
      <c r="E2896" s="9">
        <f ca="1">IFERROR(__xludf.DUMMYFUNCTION("""COMPUTED_VALUE"""),30571)</f>
        <v>30571</v>
      </c>
      <c r="F2896" s="8" t="str">
        <f ca="1">IFERROR(__xludf.DUMMYFUNCTION("""COMPUTED_VALUE"""),"Henry Ford High School")</f>
        <v>Henry Ford High School</v>
      </c>
      <c r="G2896" s="8">
        <f ca="1">IFERROR(__xludf.DUMMYFUNCTION("""COMPUTED_VALUE"""),1)</f>
        <v>1</v>
      </c>
      <c r="H2896" s="8">
        <f ca="1">IFERROR(__xludf.DUMMYFUNCTION("""COMPUTED_VALUE"""),0)</f>
        <v>0</v>
      </c>
      <c r="I2896" s="8">
        <f ca="1">IFERROR(__xludf.DUMMYFUNCTION("""COMPUTED_VALUE"""),1)</f>
        <v>1</v>
      </c>
      <c r="J2896" s="8">
        <f ca="1">IFERROR(__xludf.DUMMYFUNCTION("""COMPUTED_VALUE"""),0)</f>
        <v>0</v>
      </c>
      <c r="K2896" s="10" t="str">
        <f ca="1">IFERROR(__xludf.DUMMYFUNCTION("""COMPUTED_VALUE"""),"https://www.newspapers.com/image/97839646")</f>
        <v>https://www.newspapers.com/image/97839646</v>
      </c>
      <c r="L2896" s="8"/>
      <c r="M2896" s="8"/>
      <c r="N2896" s="8">
        <f ca="1">IFERROR(__xludf.DUMMYFUNCTION("""COMPUTED_VALUE"""),2)</f>
        <v>2</v>
      </c>
      <c r="O2896" s="8" t="str">
        <f ca="1">IFERROR(__xludf.DUMMYFUNCTION("""COMPUTED_VALUE"""),"Fall")</f>
        <v>Fall</v>
      </c>
      <c r="P2896" s="8" t="str">
        <f ca="1">IFERROR(__xludf.DUMMYFUNCTION("""COMPUTED_VALUE"""),"Detroit")</f>
        <v>Detroit</v>
      </c>
      <c r="Q2896" s="8" t="str">
        <f ca="1">IFERROR(__xludf.DUMMYFUNCTION("""COMPUTED_VALUE"""),"MI")</f>
        <v>MI</v>
      </c>
      <c r="R2896" s="8" t="str">
        <f ca="1">IFERROR(__xludf.DUMMYFUNCTION("""COMPUTED_VALUE"""),"High")</f>
        <v>High</v>
      </c>
      <c r="S2896" s="8" t="str">
        <f ca="1">IFERROR(__xludf.DUMMYFUNCTION("""COMPUTED_VALUE"""),"Beside Building")</f>
        <v>Beside Building</v>
      </c>
      <c r="T2896" s="8" t="str">
        <f ca="1">IFERROR(__xludf.DUMMYFUNCTION("""COMPUTED_VALUE"""),"Outside on School Property")</f>
        <v>Outside on School Property</v>
      </c>
      <c r="U2896" s="8" t="str">
        <f ca="1">IFERROR(__xludf.DUMMYFUNCTION("""COMPUTED_VALUE"""),"Yes")</f>
        <v>Yes</v>
      </c>
      <c r="V2896" s="8" t="str">
        <f ca="1">IFERROR(__xludf.DUMMYFUNCTION("""COMPUTED_VALUE"""),"School Start")</f>
        <v>School Start</v>
      </c>
      <c r="W2896" s="11">
        <f ca="1">IFERROR(__xludf.DUMMYFUNCTION("""COMPUTED_VALUE"""),0.364583333333333)</f>
        <v>0.36458333333333298</v>
      </c>
      <c r="X2896" s="8">
        <f ca="1">IFERROR(__xludf.DUMMYFUNCTION("""COMPUTED_VALUE"""),1)</f>
        <v>1</v>
      </c>
      <c r="Y2896" s="12" t="str">
        <f ca="1">IFERROR(__xludf.DUMMYFUNCTION("""COMPUTED_VALUE"""),"Fight outside on school grounds turned into shooting.")</f>
        <v>Fight outside on school grounds turned into shooting.</v>
      </c>
      <c r="Z2896" s="12" t="str">
        <f ca="1">IFERROR(__xludf.DUMMYFUNCTION("""COMPUTED_VALUE"""),"Suspect and victim involved in fight outside school. When the victim grabbed the suspect in a bearhug, the suspect took out a pistol and shot the victim. The victim ran into school and died in hallway.")</f>
        <v>Suspect and victim involved in fight outside school. When the victim grabbed the suspect in a bearhug, the suspect took out a pistol and shot the victim. The victim ran into school and died in hallway.</v>
      </c>
      <c r="AA2896" s="8" t="str">
        <f ca="1">IFERROR(__xludf.DUMMYFUNCTION("""COMPUTED_VALUE"""),"Escalation of Dispute")</f>
        <v>Escalation of Dispute</v>
      </c>
      <c r="AB2896" s="8"/>
      <c r="AC2896" s="8"/>
      <c r="AD2896" s="8" t="str">
        <f ca="1">IFERROR(__xludf.DUMMYFUNCTION("""COMPUTED_VALUE"""),"Victims Targeted")</f>
        <v>Victims Targeted</v>
      </c>
      <c r="AE2896" s="8" t="str">
        <f ca="1">IFERROR(__xludf.DUMMYFUNCTION("""COMPUTED_VALUE"""),"No")</f>
        <v>No</v>
      </c>
      <c r="AF2896" s="8"/>
      <c r="AG2896" s="8" t="str">
        <f ca="1">IFERROR(__xludf.DUMMYFUNCTION("""COMPUTED_VALUE"""),"No")</f>
        <v>No</v>
      </c>
      <c r="AH2896" s="8" t="str">
        <f ca="1">IFERROR(__xludf.DUMMYFUNCTION("""COMPUTED_VALUE"""),"No")</f>
        <v>No</v>
      </c>
      <c r="AI2896" s="8" t="str">
        <f ca="1">IFERROR(__xludf.DUMMYFUNCTION("""COMPUTED_VALUE"""),"No")</f>
        <v>No</v>
      </c>
      <c r="AJ2896" s="8" t="str">
        <f ca="1">IFERROR(__xludf.DUMMYFUNCTION("""COMPUTED_VALUE"""),"No")</f>
        <v>No</v>
      </c>
      <c r="AK2896" s="8" t="str">
        <f ca="1">IFERROR(__xludf.DUMMYFUNCTION("""COMPUTED_VALUE"""),"No")</f>
        <v>No</v>
      </c>
      <c r="AL2896" s="8" t="str">
        <f ca="1">IFERROR(__xludf.DUMMYFUNCTION("""COMPUTED_VALUE"""),"No")</f>
        <v>No</v>
      </c>
      <c r="AM2896" s="8"/>
      <c r="AN2896" s="8"/>
      <c r="AO2896" s="8" t="str">
        <f ca="1">IFERROR(__xludf.DUMMYFUNCTION("""COMPUTED_VALUE"""),"No")</f>
        <v>No</v>
      </c>
      <c r="AP2896" s="8" t="str">
        <f ca="1">IFERROR(__xludf.DUMMYFUNCTION("""COMPUTED_VALUE"""),"Yes")</f>
        <v>Yes</v>
      </c>
      <c r="AQ2896" s="8" t="str">
        <f ca="1">IFERROR(__xludf.DUMMYFUNCTION("""COMPUTED_VALUE"""),"Unknown")</f>
        <v>Unknown</v>
      </c>
      <c r="AR2896" s="8" t="str">
        <f ca="1">IFERROR(__xludf.DUMMYFUNCTION("""COMPUTED_VALUE"""),"NA")</f>
        <v>NA</v>
      </c>
      <c r="AS2896" s="8">
        <f ca="1">IFERROR(__xludf.DUMMYFUNCTION("""COMPUTED_VALUE"""),1)</f>
        <v>1</v>
      </c>
      <c r="AT2896" s="8"/>
      <c r="AU2896" s="8">
        <f ca="1">IFERROR(__xludf.DUMMYFUNCTION("""COMPUTED_VALUE"""),42.439629)</f>
        <v>42.439628999999996</v>
      </c>
      <c r="AV2896" s="8">
        <f ca="1">IFERROR(__xludf.DUMMYFUNCTION("""COMPUTED_VALUE"""),-83.237882)</f>
        <v>-83.237881999999999</v>
      </c>
      <c r="AW2896" s="8"/>
      <c r="AX2896" s="8">
        <f ca="1">IFERROR(__xludf.DUMMYFUNCTION("""COMPUTED_VALUE"""),48219)</f>
        <v>48219</v>
      </c>
    </row>
    <row r="2897" spans="1:50" ht="60" x14ac:dyDescent="0.2">
      <c r="A2897" s="8" t="str">
        <f ca="1">IFERROR(__xludf.DUMMYFUNCTION("""COMPUTED_VALUE"""),"19830912CAMAC")</f>
        <v>19830912CAMAC</v>
      </c>
      <c r="B2897" s="8">
        <f ca="1">IFERROR(__xludf.DUMMYFUNCTION("""COMPUTED_VALUE"""),9)</f>
        <v>9</v>
      </c>
      <c r="C2897" s="8">
        <f ca="1">IFERROR(__xludf.DUMMYFUNCTION("""COMPUTED_VALUE"""),12)</f>
        <v>12</v>
      </c>
      <c r="D2897" s="8">
        <f ca="1">IFERROR(__xludf.DUMMYFUNCTION("""COMPUTED_VALUE"""),1983)</f>
        <v>1983</v>
      </c>
      <c r="E2897" s="9">
        <f ca="1">IFERROR(__xludf.DUMMYFUNCTION("""COMPUTED_VALUE"""),30571)</f>
        <v>30571</v>
      </c>
      <c r="F2897" s="8" t="str">
        <f ca="1">IFERROR(__xludf.DUMMYFUNCTION("""COMPUTED_VALUE"""),"Manuel Dominguez High School")</f>
        <v>Manuel Dominguez High School</v>
      </c>
      <c r="G2897" s="8">
        <f ca="1">IFERROR(__xludf.DUMMYFUNCTION("""COMPUTED_VALUE"""),0)</f>
        <v>0</v>
      </c>
      <c r="H2897" s="8">
        <f ca="1">IFERROR(__xludf.DUMMYFUNCTION("""COMPUTED_VALUE"""),5)</f>
        <v>5</v>
      </c>
      <c r="I2897" s="8">
        <f ca="1">IFERROR(__xludf.DUMMYFUNCTION("""COMPUTED_VALUE"""),5)</f>
        <v>5</v>
      </c>
      <c r="J2897" s="8">
        <f ca="1">IFERROR(__xludf.DUMMYFUNCTION("""COMPUTED_VALUE"""),0)</f>
        <v>0</v>
      </c>
      <c r="K2897" s="8" t="str">
        <f ca="1">IFERROR(__xludf.DUMMYFUNCTION("""COMPUTED_VALUE"""),"https://www.newspapers.com/image/381958766/?terms=student%2Bshot
https://www.newspapers.com/image/704966314/?terms=compton%20high%20school%20shooting&amp;match=1")</f>
        <v>https://www.newspapers.com/image/381958766/?terms=student%2Bshot
https://www.newspapers.com/image/704966314/?terms=compton%20high%20school%20shooting&amp;match=1</v>
      </c>
      <c r="L2897" s="8"/>
      <c r="M2897" s="8"/>
      <c r="N2897" s="8">
        <f ca="1">IFERROR(__xludf.DUMMYFUNCTION("""COMPUTED_VALUE"""),4)</f>
        <v>4</v>
      </c>
      <c r="O2897" s="8" t="str">
        <f ca="1">IFERROR(__xludf.DUMMYFUNCTION("""COMPUTED_VALUE"""),"Fall")</f>
        <v>Fall</v>
      </c>
      <c r="P2897" s="8" t="str">
        <f ca="1">IFERROR(__xludf.DUMMYFUNCTION("""COMPUTED_VALUE"""),"Compton")</f>
        <v>Compton</v>
      </c>
      <c r="Q2897" s="8" t="str">
        <f ca="1">IFERROR(__xludf.DUMMYFUNCTION("""COMPUTED_VALUE"""),"CA")</f>
        <v>CA</v>
      </c>
      <c r="R2897" s="8" t="str">
        <f ca="1">IFERROR(__xludf.DUMMYFUNCTION("""COMPUTED_VALUE"""),"High")</f>
        <v>High</v>
      </c>
      <c r="S2897" s="8" t="str">
        <f ca="1">IFERROR(__xludf.DUMMYFUNCTION("""COMPUTED_VALUE"""),"Hallway")</f>
        <v>Hallway</v>
      </c>
      <c r="T2897" s="8" t="str">
        <f ca="1">IFERROR(__xludf.DUMMYFUNCTION("""COMPUTED_VALUE"""),"Inside School Building")</f>
        <v>Inside School Building</v>
      </c>
      <c r="U2897" s="8" t="str">
        <f ca="1">IFERROR(__xludf.DUMMYFUNCTION("""COMPUTED_VALUE"""),"Yes")</f>
        <v>Yes</v>
      </c>
      <c r="V2897" s="8" t="str">
        <f ca="1">IFERROR(__xludf.DUMMYFUNCTION("""COMPUTED_VALUE"""),"Morning Classes")</f>
        <v>Morning Classes</v>
      </c>
      <c r="W2897" s="8"/>
      <c r="X2897" s="8">
        <f ca="1">IFERROR(__xludf.DUMMYFUNCTION("""COMPUTED_VALUE"""),1)</f>
        <v>1</v>
      </c>
      <c r="Y2897" s="12" t="str">
        <f ca="1">IFERROR(__xludf.DUMMYFUNCTION("""COMPUTED_VALUE"""),"Gang fight stemming from weekend fight")</f>
        <v>Gang fight stemming from weekend fight</v>
      </c>
      <c r="Z2897" s="12" t="str">
        <f ca="1">IFERROR(__xludf.DUMMYFUNCTION("""COMPUTED_VALUE"""),"Rival gang fight first day of school - escalated from weekend fight - all victims were innocent bystanders. At least 6 gang members were involved. 2 guns were recovered.")</f>
        <v>Rival gang fight first day of school - escalated from weekend fight - all victims were innocent bystanders. At least 6 gang members were involved. 2 guns were recovered.</v>
      </c>
      <c r="AA2897" s="8" t="str">
        <f ca="1">IFERROR(__xludf.DUMMYFUNCTION("""COMPUTED_VALUE"""),"Escalation of Dispute")</f>
        <v>Escalation of Dispute</v>
      </c>
      <c r="AB2897" s="8"/>
      <c r="AC2897" s="8"/>
      <c r="AD2897" s="8" t="str">
        <f ca="1">IFERROR(__xludf.DUMMYFUNCTION("""COMPUTED_VALUE"""),"Both")</f>
        <v>Both</v>
      </c>
      <c r="AE2897" s="8" t="str">
        <f ca="1">IFERROR(__xludf.DUMMYFUNCTION("""COMPUTED_VALUE"""),"Yes")</f>
        <v>Yes</v>
      </c>
      <c r="AF2897" s="8" t="str">
        <f ca="1">IFERROR(__xludf.DUMMYFUNCTION("""COMPUTED_VALUE"""),"6 gang members arrested")</f>
        <v>6 gang members arrested</v>
      </c>
      <c r="AG2897" s="8" t="str">
        <f ca="1">IFERROR(__xludf.DUMMYFUNCTION("""COMPUTED_VALUE"""),"No")</f>
        <v>No</v>
      </c>
      <c r="AH2897" s="8" t="str">
        <f ca="1">IFERROR(__xludf.DUMMYFUNCTION("""COMPUTED_VALUE"""),"No")</f>
        <v>No</v>
      </c>
      <c r="AI2897" s="8" t="str">
        <f ca="1">IFERROR(__xludf.DUMMYFUNCTION("""COMPUTED_VALUE"""),"No")</f>
        <v>No</v>
      </c>
      <c r="AJ2897" s="8" t="str">
        <f ca="1">IFERROR(__xludf.DUMMYFUNCTION("""COMPUTED_VALUE"""),"No")</f>
        <v>No</v>
      </c>
      <c r="AK2897" s="8" t="str">
        <f ca="1">IFERROR(__xludf.DUMMYFUNCTION("""COMPUTED_VALUE"""),"No")</f>
        <v>No</v>
      </c>
      <c r="AL2897" s="8" t="str">
        <f ca="1">IFERROR(__xludf.DUMMYFUNCTION("""COMPUTED_VALUE"""),"Yes")</f>
        <v>Yes</v>
      </c>
      <c r="AM2897" s="8"/>
      <c r="AN2897" s="8"/>
      <c r="AO2897" s="8" t="str">
        <f ca="1">IFERROR(__xludf.DUMMYFUNCTION("""COMPUTED_VALUE"""),"No")</f>
        <v>No</v>
      </c>
      <c r="AP2897" s="8"/>
      <c r="AQ2897" s="8" t="str">
        <f ca="1">IFERROR(__xludf.DUMMYFUNCTION("""COMPUTED_VALUE"""),"Unknown")</f>
        <v>Unknown</v>
      </c>
      <c r="AR2897" s="8" t="str">
        <f ca="1">IFERROR(__xludf.DUMMYFUNCTION("""COMPUTED_VALUE"""),"NA")</f>
        <v>NA</v>
      </c>
      <c r="AS2897" s="8" t="str">
        <f ca="1">IFERROR(__xludf.DUMMYFUNCTION("""COMPUTED_VALUE"""),"&gt;10")</f>
        <v>&gt;10</v>
      </c>
      <c r="AT2897" s="8"/>
      <c r="AU2897" s="8">
        <f ca="1">IFERROR(__xludf.DUMMYFUNCTION("""COMPUTED_VALUE"""),33.892366)</f>
        <v>33.892366000000003</v>
      </c>
      <c r="AV2897" s="8">
        <f ca="1">IFERROR(__xludf.DUMMYFUNCTION("""COMPUTED_VALUE"""),-118.182076)</f>
        <v>-118.182076</v>
      </c>
      <c r="AW2897" s="8"/>
      <c r="AX2897" s="8">
        <f ca="1">IFERROR(__xludf.DUMMYFUNCTION("""COMPUTED_VALUE"""),90221)</f>
        <v>90221</v>
      </c>
    </row>
    <row r="2898" spans="1:50" ht="90" x14ac:dyDescent="0.2">
      <c r="A2898" s="8" t="str">
        <f ca="1">IFERROR(__xludf.DUMMYFUNCTION("""COMPUTED_VALUE"""),"19830526PAGRJ")</f>
        <v>19830526PAGRJ</v>
      </c>
      <c r="B2898" s="8">
        <f ca="1">IFERROR(__xludf.DUMMYFUNCTION("""COMPUTED_VALUE"""),5)</f>
        <v>5</v>
      </c>
      <c r="C2898" s="8">
        <f ca="1">IFERROR(__xludf.DUMMYFUNCTION("""COMPUTED_VALUE"""),26)</f>
        <v>26</v>
      </c>
      <c r="D2898" s="8">
        <f ca="1">IFERROR(__xludf.DUMMYFUNCTION("""COMPUTED_VALUE"""),1983)</f>
        <v>1983</v>
      </c>
      <c r="E2898" s="9">
        <f ca="1">IFERROR(__xludf.DUMMYFUNCTION("""COMPUTED_VALUE"""),30462)</f>
        <v>30462</v>
      </c>
      <c r="F2898" s="8" t="str">
        <f ca="1">IFERROR(__xludf.DUMMYFUNCTION("""COMPUTED_VALUE"""),"Greater Johnstown High School")</f>
        <v>Greater Johnstown High School</v>
      </c>
      <c r="G2898" s="8">
        <f ca="1">IFERROR(__xludf.DUMMYFUNCTION("""COMPUTED_VALUE"""),0)</f>
        <v>0</v>
      </c>
      <c r="H2898" s="8">
        <f ca="1">IFERROR(__xludf.DUMMYFUNCTION("""COMPUTED_VALUE"""),0)</f>
        <v>0</v>
      </c>
      <c r="I2898" s="8">
        <f ca="1">IFERROR(__xludf.DUMMYFUNCTION("""COMPUTED_VALUE"""),0)</f>
        <v>0</v>
      </c>
      <c r="J2898" s="8">
        <f ca="1">IFERROR(__xludf.DUMMYFUNCTION("""COMPUTED_VALUE"""),1)</f>
        <v>1</v>
      </c>
      <c r="K2898" s="10" t="str">
        <f ca="1">IFERROR(__xludf.DUMMYFUNCTION("""COMPUTED_VALUE"""),"https://www.newspapers.com/image/89740743/?terms=student%2Bshot")</f>
        <v>https://www.newspapers.com/image/89740743/?terms=student%2Bshot</v>
      </c>
      <c r="L2898" s="8"/>
      <c r="M2898" s="8"/>
      <c r="N2898" s="8">
        <f ca="1">IFERROR(__xludf.DUMMYFUNCTION("""COMPUTED_VALUE"""),2)</f>
        <v>2</v>
      </c>
      <c r="O2898" s="8" t="str">
        <f ca="1">IFERROR(__xludf.DUMMYFUNCTION("""COMPUTED_VALUE"""),"Spring")</f>
        <v>Spring</v>
      </c>
      <c r="P2898" s="8" t="str">
        <f ca="1">IFERROR(__xludf.DUMMYFUNCTION("""COMPUTED_VALUE"""),"Johnstown")</f>
        <v>Johnstown</v>
      </c>
      <c r="Q2898" s="8" t="str">
        <f ca="1">IFERROR(__xludf.DUMMYFUNCTION("""COMPUTED_VALUE"""),"PA")</f>
        <v>PA</v>
      </c>
      <c r="R2898" s="8" t="str">
        <f ca="1">IFERROR(__xludf.DUMMYFUNCTION("""COMPUTED_VALUE"""),"High")</f>
        <v>High</v>
      </c>
      <c r="S2898" s="8" t="str">
        <f ca="1">IFERROR(__xludf.DUMMYFUNCTION("""COMPUTED_VALUE"""),"Other")</f>
        <v>Other</v>
      </c>
      <c r="T2898" s="8" t="str">
        <f ca="1">IFERROR(__xludf.DUMMYFUNCTION("""COMPUTED_VALUE"""),"Inside School Building")</f>
        <v>Inside School Building</v>
      </c>
      <c r="U2898" s="8" t="str">
        <f ca="1">IFERROR(__xludf.DUMMYFUNCTION("""COMPUTED_VALUE"""),"Yes")</f>
        <v>Yes</v>
      </c>
      <c r="V2898" s="8"/>
      <c r="W2898" s="8"/>
      <c r="X2898" s="8">
        <f ca="1">IFERROR(__xludf.DUMMYFUNCTION("""COMPUTED_VALUE"""),1)</f>
        <v>1</v>
      </c>
      <c r="Y2898" s="12" t="str">
        <f ca="1">IFERROR(__xludf.DUMMYFUNCTION("""COMPUTED_VALUE"""),"Accidentally shot self during game of Russian Roulette")</f>
        <v>Accidentally shot self during game of Russian Roulette</v>
      </c>
      <c r="Z2898" s="12" t="str">
        <f ca="1">IFERROR(__xludf.DUMMYFUNCTION("""COMPUTED_VALUE"""),"Playing russian roulette. Shooter brough family car into auto body class to work on. Pulled out .22 revolver from underneath seat and put to head pulled trigger. Gun didn't fire - gave to friend to do, who declined. Shooter took gun back, put to head and "&amp;"pulled trigger again - gun fired killing him")</f>
        <v>Playing russian roulette. Shooter brough family car into auto body class to work on. Pulled out .22 revolver from underneath seat and put to head pulled trigger. Gun didn't fire - gave to friend to do, who declined. Shooter took gun back, put to head and pulled trigger again - gun fired killing him</v>
      </c>
      <c r="AA2898" s="8" t="str">
        <f ca="1">IFERROR(__xludf.DUMMYFUNCTION("""COMPUTED_VALUE"""),"Accidental")</f>
        <v>Accidental</v>
      </c>
      <c r="AB2898" s="8"/>
      <c r="AC2898" s="8"/>
      <c r="AD2898" s="8" t="str">
        <f ca="1">IFERROR(__xludf.DUMMYFUNCTION("""COMPUTED_VALUE"""),"Neither")</f>
        <v>Neither</v>
      </c>
      <c r="AE2898" s="8" t="str">
        <f ca="1">IFERROR(__xludf.DUMMYFUNCTION("""COMPUTED_VALUE"""),"No")</f>
        <v>No</v>
      </c>
      <c r="AF2898" s="8"/>
      <c r="AG2898" s="8" t="str">
        <f ca="1">IFERROR(__xludf.DUMMYFUNCTION("""COMPUTED_VALUE"""),"No")</f>
        <v>No</v>
      </c>
      <c r="AH2898" s="8" t="str">
        <f ca="1">IFERROR(__xludf.DUMMYFUNCTION("""COMPUTED_VALUE"""),"No")</f>
        <v>No</v>
      </c>
      <c r="AI2898" s="8" t="str">
        <f ca="1">IFERROR(__xludf.DUMMYFUNCTION("""COMPUTED_VALUE"""),"No")</f>
        <v>No</v>
      </c>
      <c r="AJ2898" s="8" t="str">
        <f ca="1">IFERROR(__xludf.DUMMYFUNCTION("""COMPUTED_VALUE"""),"No")</f>
        <v>No</v>
      </c>
      <c r="AK2898" s="8" t="str">
        <f ca="1">IFERROR(__xludf.DUMMYFUNCTION("""COMPUTED_VALUE"""),"No")</f>
        <v>No</v>
      </c>
      <c r="AL2898" s="8" t="str">
        <f ca="1">IFERROR(__xludf.DUMMYFUNCTION("""COMPUTED_VALUE"""),"No")</f>
        <v>No</v>
      </c>
      <c r="AM2898" s="8"/>
      <c r="AN2898" s="8"/>
      <c r="AO2898" s="8" t="str">
        <f ca="1">IFERROR(__xludf.DUMMYFUNCTION("""COMPUTED_VALUE"""),"No")</f>
        <v>No</v>
      </c>
      <c r="AP2898" s="8"/>
      <c r="AQ2898" s="8" t="str">
        <f ca="1">IFERROR(__xludf.DUMMYFUNCTION("""COMPUTED_VALUE"""),"Unknown")</f>
        <v>Unknown</v>
      </c>
      <c r="AR2898" s="8" t="str">
        <f ca="1">IFERROR(__xludf.DUMMYFUNCTION("""COMPUTED_VALUE"""),"NA")</f>
        <v>NA</v>
      </c>
      <c r="AS2898" s="8">
        <f ca="1">IFERROR(__xludf.DUMMYFUNCTION("""COMPUTED_VALUE"""),1)</f>
        <v>1</v>
      </c>
      <c r="AT2898" s="8"/>
      <c r="AU2898" s="8">
        <f ca="1">IFERROR(__xludf.DUMMYFUNCTION("""COMPUTED_VALUE"""),40.303351)</f>
        <v>40.303350999999999</v>
      </c>
      <c r="AV2898" s="8">
        <f ca="1">IFERROR(__xludf.DUMMYFUNCTION("""COMPUTED_VALUE"""),-78.910178)</f>
        <v>-78.910178000000002</v>
      </c>
      <c r="AW2898" s="8"/>
      <c r="AX2898" s="8">
        <f ca="1">IFERROR(__xludf.DUMMYFUNCTION("""COMPUTED_VALUE"""),15905)</f>
        <v>15905</v>
      </c>
    </row>
    <row r="2899" spans="1:50" ht="45" x14ac:dyDescent="0.2">
      <c r="A2899" s="8" t="str">
        <f ca="1">IFERROR(__xludf.DUMMYFUNCTION("""COMPUTED_VALUE"""),"19830523OHMAM")</f>
        <v>19830523OHMAM</v>
      </c>
      <c r="B2899" s="8">
        <f ca="1">IFERROR(__xludf.DUMMYFUNCTION("""COMPUTED_VALUE"""),5)</f>
        <v>5</v>
      </c>
      <c r="C2899" s="8">
        <f ca="1">IFERROR(__xludf.DUMMYFUNCTION("""COMPUTED_VALUE"""),23)</f>
        <v>23</v>
      </c>
      <c r="D2899" s="8">
        <f ca="1">IFERROR(__xludf.DUMMYFUNCTION("""COMPUTED_VALUE"""),1983)</f>
        <v>1983</v>
      </c>
      <c r="E2899" s="9">
        <f ca="1">IFERROR(__xludf.DUMMYFUNCTION("""COMPUTED_VALUE"""),30459)</f>
        <v>30459</v>
      </c>
      <c r="F2899" s="8" t="str">
        <f ca="1">IFERROR(__xludf.DUMMYFUNCTION("""COMPUTED_VALUE"""),"Mansfield Senior High School")</f>
        <v>Mansfield Senior High School</v>
      </c>
      <c r="G2899" s="8">
        <f ca="1">IFERROR(__xludf.DUMMYFUNCTION("""COMPUTED_VALUE"""),0)</f>
        <v>0</v>
      </c>
      <c r="H2899" s="8">
        <f ca="1">IFERROR(__xludf.DUMMYFUNCTION("""COMPUTED_VALUE"""),1)</f>
        <v>1</v>
      </c>
      <c r="I2899" s="8">
        <f ca="1">IFERROR(__xludf.DUMMYFUNCTION("""COMPUTED_VALUE"""),1)</f>
        <v>1</v>
      </c>
      <c r="J2899" s="8">
        <f ca="1">IFERROR(__xludf.DUMMYFUNCTION("""COMPUTED_VALUE"""),0)</f>
        <v>0</v>
      </c>
      <c r="K2899" s="10" t="str">
        <f ca="1">IFERROR(__xludf.DUMMYFUNCTION("""COMPUTED_VALUE"""),"https://www.newspapers.com/image/296835492/?terms=mansfield%2Bsenior%2Bhigh%2Bschool")</f>
        <v>https://www.newspapers.com/image/296835492/?terms=mansfield%2Bsenior%2Bhigh%2Bschool</v>
      </c>
      <c r="L2899" s="8"/>
      <c r="M2899" s="8"/>
      <c r="N2899" s="8">
        <f ca="1">IFERROR(__xludf.DUMMYFUNCTION("""COMPUTED_VALUE"""),2)</f>
        <v>2</v>
      </c>
      <c r="O2899" s="8" t="str">
        <f ca="1">IFERROR(__xludf.DUMMYFUNCTION("""COMPUTED_VALUE"""),"Spring")</f>
        <v>Spring</v>
      </c>
      <c r="P2899" s="8" t="str">
        <f ca="1">IFERROR(__xludf.DUMMYFUNCTION("""COMPUTED_VALUE"""),"Mansfield")</f>
        <v>Mansfield</v>
      </c>
      <c r="Q2899" s="8" t="str">
        <f ca="1">IFERROR(__xludf.DUMMYFUNCTION("""COMPUTED_VALUE"""),"OH")</f>
        <v>OH</v>
      </c>
      <c r="R2899" s="8" t="str">
        <f ca="1">IFERROR(__xludf.DUMMYFUNCTION("""COMPUTED_VALUE"""),"High")</f>
        <v>High</v>
      </c>
      <c r="S2899" s="8" t="str">
        <f ca="1">IFERROR(__xludf.DUMMYFUNCTION("""COMPUTED_VALUE"""),"Beside Building")</f>
        <v>Beside Building</v>
      </c>
      <c r="T2899" s="8" t="str">
        <f ca="1">IFERROR(__xludf.DUMMYFUNCTION("""COMPUTED_VALUE"""),"Outside on School Property")</f>
        <v>Outside on School Property</v>
      </c>
      <c r="U2899" s="8" t="str">
        <f ca="1">IFERROR(__xludf.DUMMYFUNCTION("""COMPUTED_VALUE"""),"Yes")</f>
        <v>Yes</v>
      </c>
      <c r="V2899" s="8" t="str">
        <f ca="1">IFERROR(__xludf.DUMMYFUNCTION("""COMPUTED_VALUE"""),"Before School")</f>
        <v>Before School</v>
      </c>
      <c r="W2899" s="11">
        <f ca="1">IFERROR(__xludf.DUMMYFUNCTION("""COMPUTED_VALUE"""),0.336805555555555)</f>
        <v>0.33680555555555503</v>
      </c>
      <c r="X2899" s="8">
        <f ca="1">IFERROR(__xludf.DUMMYFUNCTION("""COMPUTED_VALUE"""),1)</f>
        <v>1</v>
      </c>
      <c r="Y2899" s="12" t="str">
        <f ca="1">IFERROR(__xludf.DUMMYFUNCTION("""COMPUTED_VALUE"""),"Ongoing conflict over a girl ended with victim shot")</f>
        <v>Ongoing conflict over a girl ended with victim shot</v>
      </c>
      <c r="Z2899" s="12" t="str">
        <f ca="1">IFERROR(__xludf.DUMMYFUNCTION("""COMPUTED_VALUE"""),"Shooting escalated from weekend fight - occurred outside of school - shot three times in alley north side of school. After shooting victim went inside school and collapsed")</f>
        <v>Shooting escalated from weekend fight - occurred outside of school - shot three times in alley north side of school. After shooting victim went inside school and collapsed</v>
      </c>
      <c r="AA2899" s="8" t="str">
        <f ca="1">IFERROR(__xludf.DUMMYFUNCTION("""COMPUTED_VALUE"""),"Escalation of Dispute")</f>
        <v>Escalation of Dispute</v>
      </c>
      <c r="AB2899" s="8"/>
      <c r="AC2899" s="8"/>
      <c r="AD2899" s="8" t="str">
        <f ca="1">IFERROR(__xludf.DUMMYFUNCTION("""COMPUTED_VALUE"""),"Victims Targeted")</f>
        <v>Victims Targeted</v>
      </c>
      <c r="AE2899" s="8" t="str">
        <f ca="1">IFERROR(__xludf.DUMMYFUNCTION("""COMPUTED_VALUE"""),"No")</f>
        <v>No</v>
      </c>
      <c r="AF2899" s="8"/>
      <c r="AG2899" s="8" t="str">
        <f ca="1">IFERROR(__xludf.DUMMYFUNCTION("""COMPUTED_VALUE"""),"No")</f>
        <v>No</v>
      </c>
      <c r="AH2899" s="8" t="str">
        <f ca="1">IFERROR(__xludf.DUMMYFUNCTION("""COMPUTED_VALUE"""),"No")</f>
        <v>No</v>
      </c>
      <c r="AI2899" s="8" t="str">
        <f ca="1">IFERROR(__xludf.DUMMYFUNCTION("""COMPUTED_VALUE"""),"No")</f>
        <v>No</v>
      </c>
      <c r="AJ2899" s="8" t="str">
        <f ca="1">IFERROR(__xludf.DUMMYFUNCTION("""COMPUTED_VALUE"""),"No")</f>
        <v>No</v>
      </c>
      <c r="AK2899" s="8" t="str">
        <f ca="1">IFERROR(__xludf.DUMMYFUNCTION("""COMPUTED_VALUE"""),"No")</f>
        <v>No</v>
      </c>
      <c r="AL2899" s="8" t="str">
        <f ca="1">IFERROR(__xludf.DUMMYFUNCTION("""COMPUTED_VALUE"""),"No")</f>
        <v>No</v>
      </c>
      <c r="AM2899" s="8"/>
      <c r="AN2899" s="8"/>
      <c r="AO2899" s="8" t="str">
        <f ca="1">IFERROR(__xludf.DUMMYFUNCTION("""COMPUTED_VALUE"""),"No")</f>
        <v>No</v>
      </c>
      <c r="AP2899" s="8"/>
      <c r="AQ2899" s="8" t="str">
        <f ca="1">IFERROR(__xludf.DUMMYFUNCTION("""COMPUTED_VALUE"""),"Unknown")</f>
        <v>Unknown</v>
      </c>
      <c r="AR2899" s="8" t="str">
        <f ca="1">IFERROR(__xludf.DUMMYFUNCTION("""COMPUTED_VALUE"""),"NA")</f>
        <v>NA</v>
      </c>
      <c r="AS2899" s="8">
        <f ca="1">IFERROR(__xludf.DUMMYFUNCTION("""COMPUTED_VALUE"""),3)</f>
        <v>3</v>
      </c>
      <c r="AT2899" s="8"/>
      <c r="AU2899" s="8">
        <f ca="1">IFERROR(__xludf.DUMMYFUNCTION("""COMPUTED_VALUE"""),40.762242)</f>
        <v>40.762242000000001</v>
      </c>
      <c r="AV2899" s="8">
        <f ca="1">IFERROR(__xludf.DUMMYFUNCTION("""COMPUTED_VALUE"""),-82.5435)</f>
        <v>-82.543499999999995</v>
      </c>
      <c r="AW2899" s="8"/>
      <c r="AX2899" s="8">
        <f ca="1">IFERROR(__xludf.DUMMYFUNCTION("""COMPUTED_VALUE"""),44906)</f>
        <v>44906</v>
      </c>
    </row>
    <row r="2900" spans="1:50" ht="90" x14ac:dyDescent="0.2">
      <c r="A2900" s="8" t="str">
        <f ca="1">IFERROR(__xludf.DUMMYFUNCTION("""COMPUTED_VALUE"""),"19830518FLNOM")</f>
        <v>19830518FLNOM</v>
      </c>
      <c r="B2900" s="8">
        <f ca="1">IFERROR(__xludf.DUMMYFUNCTION("""COMPUTED_VALUE"""),5)</f>
        <v>5</v>
      </c>
      <c r="C2900" s="8">
        <f ca="1">IFERROR(__xludf.DUMMYFUNCTION("""COMPUTED_VALUE"""),18)</f>
        <v>18</v>
      </c>
      <c r="D2900" s="8">
        <f ca="1">IFERROR(__xludf.DUMMYFUNCTION("""COMPUTED_VALUE"""),1983)</f>
        <v>1983</v>
      </c>
      <c r="E2900" s="9">
        <f ca="1">IFERROR(__xludf.DUMMYFUNCTION("""COMPUTED_VALUE"""),30454)</f>
        <v>30454</v>
      </c>
      <c r="F2900" s="8" t="str">
        <f ca="1">IFERROR(__xludf.DUMMYFUNCTION("""COMPUTED_VALUE"""),"North Miami Senior High School")</f>
        <v>North Miami Senior High School</v>
      </c>
      <c r="G2900" s="8">
        <f ca="1">IFERROR(__xludf.DUMMYFUNCTION("""COMPUTED_VALUE"""),0)</f>
        <v>0</v>
      </c>
      <c r="H2900" s="8">
        <f ca="1">IFERROR(__xludf.DUMMYFUNCTION("""COMPUTED_VALUE"""),1)</f>
        <v>1</v>
      </c>
      <c r="I2900" s="8">
        <f ca="1">IFERROR(__xludf.DUMMYFUNCTION("""COMPUTED_VALUE"""),1)</f>
        <v>1</v>
      </c>
      <c r="J2900" s="8">
        <f ca="1">IFERROR(__xludf.DUMMYFUNCTION("""COMPUTED_VALUE"""),0)</f>
        <v>0</v>
      </c>
      <c r="K2900" s="8" t="str">
        <f ca="1">IFERROR(__xludf.DUMMYFUNCTION("""COMPUTED_VALUE"""),"https://www.newspapers.com/image/302228162/?terms=student%2Bshot; https://www.newspapers.com/image/302218252/?terms=george%2Bhernandez")</f>
        <v>https://www.newspapers.com/image/302228162/?terms=student%2Bshot; https://www.newspapers.com/image/302218252/?terms=george%2Bhernandez</v>
      </c>
      <c r="L2900" s="8"/>
      <c r="M2900" s="8"/>
      <c r="N2900" s="8">
        <f ca="1">IFERROR(__xludf.DUMMYFUNCTION("""COMPUTED_VALUE"""),2)</f>
        <v>2</v>
      </c>
      <c r="O2900" s="8" t="str">
        <f ca="1">IFERROR(__xludf.DUMMYFUNCTION("""COMPUTED_VALUE"""),"Spring")</f>
        <v>Spring</v>
      </c>
      <c r="P2900" s="8" t="str">
        <f ca="1">IFERROR(__xludf.DUMMYFUNCTION("""COMPUTED_VALUE"""),"Miami")</f>
        <v>Miami</v>
      </c>
      <c r="Q2900" s="8" t="str">
        <f ca="1">IFERROR(__xludf.DUMMYFUNCTION("""COMPUTED_VALUE"""),"FL")</f>
        <v>FL</v>
      </c>
      <c r="R2900" s="8" t="str">
        <f ca="1">IFERROR(__xludf.DUMMYFUNCTION("""COMPUTED_VALUE"""),"High")</f>
        <v>High</v>
      </c>
      <c r="S2900" s="8" t="str">
        <f ca="1">IFERROR(__xludf.DUMMYFUNCTION("""COMPUTED_VALUE"""),"Hallway")</f>
        <v>Hallway</v>
      </c>
      <c r="T2900" s="8" t="str">
        <f ca="1">IFERROR(__xludf.DUMMYFUNCTION("""COMPUTED_VALUE"""),"Inside School Building")</f>
        <v>Inside School Building</v>
      </c>
      <c r="U2900" s="8" t="str">
        <f ca="1">IFERROR(__xludf.DUMMYFUNCTION("""COMPUTED_VALUE"""),"Yes")</f>
        <v>Yes</v>
      </c>
      <c r="V2900" s="8" t="str">
        <f ca="1">IFERROR(__xludf.DUMMYFUNCTION("""COMPUTED_VALUE"""),"Afternoon Classes")</f>
        <v>Afternoon Classes</v>
      </c>
      <c r="W2900" s="11">
        <f ca="1">IFERROR(__xludf.DUMMYFUNCTION("""COMPUTED_VALUE"""),0.604166666666666)</f>
        <v>0.60416666666666596</v>
      </c>
      <c r="X2900" s="8">
        <f ca="1">IFERROR(__xludf.DUMMYFUNCTION("""COMPUTED_VALUE"""),1)</f>
        <v>1</v>
      </c>
      <c r="Y2900" s="12" t="str">
        <f ca="1">IFERROR(__xludf.DUMMYFUNCTION("""COMPUTED_VALUE"""),"Shooter confronted victim about a girl, fight ensued, victim shot.")</f>
        <v>Shooter confronted victim about a girl, fight ensued, victim shot.</v>
      </c>
      <c r="Z2900" s="12" t="str">
        <f ca="1">IFERROR(__xludf.DUMMYFUNCTION("""COMPUTED_VALUE"""),"Two non-students entered school and confronted victim - possibly over a girl - two men began fighting with victim. Victim, who was school wrestler was winning fight - coaches saw fight and broke up. One shooter then pulled pistol and shot victim - shooter"&amp;" and other man fled scene - later caught.")</f>
        <v>Two non-students entered school and confronted victim - possibly over a girl - two men began fighting with victim. Victim, who was school wrestler was winning fight - coaches saw fight and broke up. One shooter then pulled pistol and shot victim - shooter and other man fled scene - later caught.</v>
      </c>
      <c r="AA2900" s="8" t="str">
        <f ca="1">IFERROR(__xludf.DUMMYFUNCTION("""COMPUTED_VALUE"""),"Escalation of Dispute")</f>
        <v>Escalation of Dispute</v>
      </c>
      <c r="AB2900" s="8"/>
      <c r="AC2900" s="8"/>
      <c r="AD2900" s="8" t="str">
        <f ca="1">IFERROR(__xludf.DUMMYFUNCTION("""COMPUTED_VALUE"""),"Victims Targeted")</f>
        <v>Victims Targeted</v>
      </c>
      <c r="AE2900" s="8" t="str">
        <f ca="1">IFERROR(__xludf.DUMMYFUNCTION("""COMPUTED_VALUE"""),"No")</f>
        <v>No</v>
      </c>
      <c r="AF2900" s="8"/>
      <c r="AG2900" s="8" t="str">
        <f ca="1">IFERROR(__xludf.DUMMYFUNCTION("""COMPUTED_VALUE"""),"No")</f>
        <v>No</v>
      </c>
      <c r="AH2900" s="8" t="str">
        <f ca="1">IFERROR(__xludf.DUMMYFUNCTION("""COMPUTED_VALUE"""),"No")</f>
        <v>No</v>
      </c>
      <c r="AI2900" s="8" t="str">
        <f ca="1">IFERROR(__xludf.DUMMYFUNCTION("""COMPUTED_VALUE"""),"No")</f>
        <v>No</v>
      </c>
      <c r="AJ2900" s="8" t="str">
        <f ca="1">IFERROR(__xludf.DUMMYFUNCTION("""COMPUTED_VALUE"""),"No")</f>
        <v>No</v>
      </c>
      <c r="AK2900" s="8" t="str">
        <f ca="1">IFERROR(__xludf.DUMMYFUNCTION("""COMPUTED_VALUE"""),"No")</f>
        <v>No</v>
      </c>
      <c r="AL2900" s="8" t="str">
        <f ca="1">IFERROR(__xludf.DUMMYFUNCTION("""COMPUTED_VALUE"""),"No")</f>
        <v>No</v>
      </c>
      <c r="AM2900" s="8"/>
      <c r="AN2900" s="8"/>
      <c r="AO2900" s="8" t="str">
        <f ca="1">IFERROR(__xludf.DUMMYFUNCTION("""COMPUTED_VALUE"""),"No")</f>
        <v>No</v>
      </c>
      <c r="AP2900" s="8"/>
      <c r="AQ2900" s="8" t="str">
        <f ca="1">IFERROR(__xludf.DUMMYFUNCTION("""COMPUTED_VALUE"""),"Unknown")</f>
        <v>Unknown</v>
      </c>
      <c r="AR2900" s="8" t="str">
        <f ca="1">IFERROR(__xludf.DUMMYFUNCTION("""COMPUTED_VALUE"""),"NA")</f>
        <v>NA</v>
      </c>
      <c r="AS2900" s="8">
        <f ca="1">IFERROR(__xludf.DUMMYFUNCTION("""COMPUTED_VALUE"""),1)</f>
        <v>1</v>
      </c>
      <c r="AT2900" s="8"/>
      <c r="AU2900" s="8">
        <f ca="1">IFERROR(__xludf.DUMMYFUNCTION("""COMPUTED_VALUE"""),25.896694)</f>
        <v>25.896694</v>
      </c>
      <c r="AV2900" s="8">
        <f ca="1">IFERROR(__xludf.DUMMYFUNCTION("""COMPUTED_VALUE"""),-80.184287)</f>
        <v>-80.184286999999998</v>
      </c>
      <c r="AW2900" s="8"/>
      <c r="AX2900" s="8">
        <f ca="1">IFERROR(__xludf.DUMMYFUNCTION("""COMPUTED_VALUE"""),33161)</f>
        <v>33161</v>
      </c>
    </row>
    <row r="2901" spans="1:50" ht="60" x14ac:dyDescent="0.2">
      <c r="A2901" s="8" t="str">
        <f ca="1">IFERROR(__xludf.DUMMYFUNCTION("""COMPUTED_VALUE"""),"19830516TXLAD")</f>
        <v>19830516TXLAD</v>
      </c>
      <c r="B2901" s="8">
        <f ca="1">IFERROR(__xludf.DUMMYFUNCTION("""COMPUTED_VALUE"""),5)</f>
        <v>5</v>
      </c>
      <c r="C2901" s="8">
        <f ca="1">IFERROR(__xludf.DUMMYFUNCTION("""COMPUTED_VALUE"""),16)</f>
        <v>16</v>
      </c>
      <c r="D2901" s="8">
        <f ca="1">IFERROR(__xludf.DUMMYFUNCTION("""COMPUTED_VALUE"""),1983)</f>
        <v>1983</v>
      </c>
      <c r="E2901" s="9">
        <f ca="1">IFERROR(__xludf.DUMMYFUNCTION("""COMPUTED_VALUE"""),30452)</f>
        <v>30452</v>
      </c>
      <c r="F2901" s="8" t="str">
        <f ca="1">IFERROR(__xludf.DUMMYFUNCTION("""COMPUTED_VALUE"""),"Lake Highland High School")</f>
        <v>Lake Highland High School</v>
      </c>
      <c r="G2901" s="8">
        <f ca="1">IFERROR(__xludf.DUMMYFUNCTION("""COMPUTED_VALUE"""),1)</f>
        <v>1</v>
      </c>
      <c r="H2901" s="8">
        <f ca="1">IFERROR(__xludf.DUMMYFUNCTION("""COMPUTED_VALUE"""),0)</f>
        <v>0</v>
      </c>
      <c r="I2901" s="8">
        <f ca="1">IFERROR(__xludf.DUMMYFUNCTION("""COMPUTED_VALUE"""),1)</f>
        <v>1</v>
      </c>
      <c r="J2901" s="8">
        <f ca="1">IFERROR(__xludf.DUMMYFUNCTION("""COMPUTED_VALUE"""),0)</f>
        <v>0</v>
      </c>
      <c r="K2901" s="10" t="str">
        <f ca="1">IFERROR(__xludf.DUMMYFUNCTION("""COMPUTED_VALUE"""),"https://lakehighlands.advocatemag.com/2014/03/history-shooting-lake-highlands-cafeteria-worker-remembered/")</f>
        <v>https://lakehighlands.advocatemag.com/2014/03/history-shooting-lake-highlands-cafeteria-worker-remembered/</v>
      </c>
      <c r="L2901" s="8"/>
      <c r="M2901" s="8" t="str">
        <f ca="1">IFERROR(__xludf.DUMMYFUNCTION("""COMPUTED_VALUE"""),"Local")</f>
        <v>Local</v>
      </c>
      <c r="N2901" s="8">
        <f ca="1">IFERROR(__xludf.DUMMYFUNCTION("""COMPUTED_VALUE"""),2)</f>
        <v>2</v>
      </c>
      <c r="O2901" s="8" t="str">
        <f ca="1">IFERROR(__xludf.DUMMYFUNCTION("""COMPUTED_VALUE"""),"Spring")</f>
        <v>Spring</v>
      </c>
      <c r="P2901" s="8" t="str">
        <f ca="1">IFERROR(__xludf.DUMMYFUNCTION("""COMPUTED_VALUE"""),"Dallas")</f>
        <v>Dallas</v>
      </c>
      <c r="Q2901" s="8" t="str">
        <f ca="1">IFERROR(__xludf.DUMMYFUNCTION("""COMPUTED_VALUE"""),"TX")</f>
        <v>TX</v>
      </c>
      <c r="R2901" s="8" t="str">
        <f ca="1">IFERROR(__xludf.DUMMYFUNCTION("""COMPUTED_VALUE"""),"High")</f>
        <v>High</v>
      </c>
      <c r="S2901" s="8" t="str">
        <f ca="1">IFERROR(__xludf.DUMMYFUNCTION("""COMPUTED_VALUE"""),"Cafeteria")</f>
        <v>Cafeteria</v>
      </c>
      <c r="T2901" s="8" t="str">
        <f ca="1">IFERROR(__xludf.DUMMYFUNCTION("""COMPUTED_VALUE"""),"Inside School Building")</f>
        <v>Inside School Building</v>
      </c>
      <c r="U2901" s="8" t="str">
        <f ca="1">IFERROR(__xludf.DUMMYFUNCTION("""COMPUTED_VALUE"""),"No")</f>
        <v>No</v>
      </c>
      <c r="V2901" s="8" t="str">
        <f ca="1">IFERROR(__xludf.DUMMYFUNCTION("""COMPUTED_VALUE"""),"After School")</f>
        <v>After School</v>
      </c>
      <c r="W2901" s="8"/>
      <c r="X2901" s="8">
        <f ca="1">IFERROR(__xludf.DUMMYFUNCTION("""COMPUTED_VALUE"""),1)</f>
        <v>1</v>
      </c>
      <c r="Y2901" s="12" t="str">
        <f ca="1">IFERROR(__xludf.DUMMYFUNCTION("""COMPUTED_VALUE"""),"Shot and killed cafeteria worker during robbery")</f>
        <v>Shot and killed cafeteria worker during robbery</v>
      </c>
      <c r="Z2901" s="12" t="str">
        <f ca="1">IFERROR(__xludf.DUMMYFUNCTION("""COMPUTED_VALUE"""),"Shooter robbed school cafeteria while staff member was counting the money. Shot and killed 61 year old female cafeteria worker during robbery. Fled the scene and was later arrested.")</f>
        <v>Shooter robbed school cafeteria while staff member was counting the money. Shot and killed 61 year old female cafeteria worker during robbery. Fled the scene and was later arrested.</v>
      </c>
      <c r="AA2901" s="8" t="str">
        <f ca="1">IFERROR(__xludf.DUMMYFUNCTION("""COMPUTED_VALUE"""),"Illegal Activity")</f>
        <v>Illegal Activity</v>
      </c>
      <c r="AB2901" s="8"/>
      <c r="AC2901" s="8"/>
      <c r="AD2901" s="8" t="str">
        <f ca="1">IFERROR(__xludf.DUMMYFUNCTION("""COMPUTED_VALUE"""),"Neither")</f>
        <v>Neither</v>
      </c>
      <c r="AE2901" s="8" t="str">
        <f ca="1">IFERROR(__xludf.DUMMYFUNCTION("""COMPUTED_VALUE"""),"No")</f>
        <v>No</v>
      </c>
      <c r="AF2901" s="8"/>
      <c r="AG2901" s="8" t="str">
        <f ca="1">IFERROR(__xludf.DUMMYFUNCTION("""COMPUTED_VALUE"""),"No")</f>
        <v>No</v>
      </c>
      <c r="AH2901" s="8" t="str">
        <f ca="1">IFERROR(__xludf.DUMMYFUNCTION("""COMPUTED_VALUE"""),"No")</f>
        <v>No</v>
      </c>
      <c r="AI2901" s="8" t="str">
        <f ca="1">IFERROR(__xludf.DUMMYFUNCTION("""COMPUTED_VALUE"""),"No")</f>
        <v>No</v>
      </c>
      <c r="AJ2901" s="8" t="str">
        <f ca="1">IFERROR(__xludf.DUMMYFUNCTION("""COMPUTED_VALUE"""),"No")</f>
        <v>No</v>
      </c>
      <c r="AK2901" s="8" t="str">
        <f ca="1">IFERROR(__xludf.DUMMYFUNCTION("""COMPUTED_VALUE"""),"No")</f>
        <v>No</v>
      </c>
      <c r="AL2901" s="8" t="str">
        <f ca="1">IFERROR(__xludf.DUMMYFUNCTION("""COMPUTED_VALUE"""),"No")</f>
        <v>No</v>
      </c>
      <c r="AM2901" s="8"/>
      <c r="AN2901" s="8"/>
      <c r="AO2901" s="8" t="str">
        <f ca="1">IFERROR(__xludf.DUMMYFUNCTION("""COMPUTED_VALUE"""),"No")</f>
        <v>No</v>
      </c>
      <c r="AP2901" s="8"/>
      <c r="AQ2901" s="8" t="str">
        <f ca="1">IFERROR(__xludf.DUMMYFUNCTION("""COMPUTED_VALUE"""),"Unknown")</f>
        <v>Unknown</v>
      </c>
      <c r="AR2901" s="8" t="str">
        <f ca="1">IFERROR(__xludf.DUMMYFUNCTION("""COMPUTED_VALUE"""),"NA")</f>
        <v>NA</v>
      </c>
      <c r="AS2901" s="8">
        <f ca="1">IFERROR(__xludf.DUMMYFUNCTION("""COMPUTED_VALUE"""),1)</f>
        <v>1</v>
      </c>
      <c r="AT2901" s="8"/>
      <c r="AU2901" s="8">
        <f ca="1">IFERROR(__xludf.DUMMYFUNCTION("""COMPUTED_VALUE"""),32.887621)</f>
        <v>32.887621000000003</v>
      </c>
      <c r="AV2901" s="8">
        <f ca="1">IFERROR(__xludf.DUMMYFUNCTION("""COMPUTED_VALUE"""),-96.726843)</f>
        <v>-96.726843000000002</v>
      </c>
      <c r="AW2901" s="8"/>
      <c r="AX2901" s="8">
        <f ca="1">IFERROR(__xludf.DUMMYFUNCTION("""COMPUTED_VALUE"""),75238)</f>
        <v>75238</v>
      </c>
    </row>
    <row r="2902" spans="1:50" ht="105" x14ac:dyDescent="0.2">
      <c r="A2902" s="8" t="str">
        <f ca="1">IFERROR(__xludf.DUMMYFUNCTION("""COMPUTED_VALUE"""),"19830516NYBRN")</f>
        <v>19830516NYBRN</v>
      </c>
      <c r="B2902" s="8">
        <f ca="1">IFERROR(__xludf.DUMMYFUNCTION("""COMPUTED_VALUE"""),5)</f>
        <v>5</v>
      </c>
      <c r="C2902" s="8">
        <f ca="1">IFERROR(__xludf.DUMMYFUNCTION("""COMPUTED_VALUE"""),16)</f>
        <v>16</v>
      </c>
      <c r="D2902" s="8">
        <f ca="1">IFERROR(__xludf.DUMMYFUNCTION("""COMPUTED_VALUE"""),1983)</f>
        <v>1983</v>
      </c>
      <c r="E2902" s="9">
        <f ca="1">IFERROR(__xludf.DUMMYFUNCTION("""COMPUTED_VALUE"""),30452)</f>
        <v>30452</v>
      </c>
      <c r="F2902" s="8" t="str">
        <f ca="1">IFERROR(__xludf.DUMMYFUNCTION("""COMPUTED_VALUE"""),"Brentwood High School")</f>
        <v>Brentwood High School</v>
      </c>
      <c r="G2902" s="8">
        <f ca="1">IFERROR(__xludf.DUMMYFUNCTION("""COMPUTED_VALUE"""),0)</f>
        <v>0</v>
      </c>
      <c r="H2902" s="8">
        <f ca="1">IFERROR(__xludf.DUMMYFUNCTION("""COMPUTED_VALUE"""),2)</f>
        <v>2</v>
      </c>
      <c r="I2902" s="8">
        <f ca="1">IFERROR(__xludf.DUMMYFUNCTION("""COMPUTED_VALUE"""),2)</f>
        <v>2</v>
      </c>
      <c r="J2902" s="8">
        <f ca="1">IFERROR(__xludf.DUMMYFUNCTION("""COMPUTED_VALUE"""),1)</f>
        <v>1</v>
      </c>
      <c r="K2902" s="10" t="str">
        <f ca="1">IFERROR(__xludf.DUMMYFUNCTION("""COMPUTED_VALUE"""),"https://www.nytimes.com/1983/05/17/nyregion/hostages-at-li-school-are-freed-and-gunman-then-kills-himself.html")</f>
        <v>https://www.nytimes.com/1983/05/17/nyregion/hostages-at-li-school-are-freed-and-gunman-then-kills-himself.html</v>
      </c>
      <c r="L2902" s="8"/>
      <c r="M2902" s="8"/>
      <c r="N2902" s="8">
        <f ca="1">IFERROR(__xludf.DUMMYFUNCTION("""COMPUTED_VALUE"""),2)</f>
        <v>2</v>
      </c>
      <c r="O2902" s="8" t="str">
        <f ca="1">IFERROR(__xludf.DUMMYFUNCTION("""COMPUTED_VALUE"""),"Spring")</f>
        <v>Spring</v>
      </c>
      <c r="P2902" s="8" t="str">
        <f ca="1">IFERROR(__xludf.DUMMYFUNCTION("""COMPUTED_VALUE"""),"New York")</f>
        <v>New York</v>
      </c>
      <c r="Q2902" s="8" t="str">
        <f ca="1">IFERROR(__xludf.DUMMYFUNCTION("""COMPUTED_VALUE"""),"NY")</f>
        <v>NY</v>
      </c>
      <c r="R2902" s="8" t="str">
        <f ca="1">IFERROR(__xludf.DUMMYFUNCTION("""COMPUTED_VALUE"""),"High")</f>
        <v>High</v>
      </c>
      <c r="S2902" s="8" t="str">
        <f ca="1">IFERROR(__xludf.DUMMYFUNCTION("""COMPUTED_VALUE"""),"Classroom")</f>
        <v>Classroom</v>
      </c>
      <c r="T2902" s="8" t="str">
        <f ca="1">IFERROR(__xludf.DUMMYFUNCTION("""COMPUTED_VALUE"""),"Inside School Building")</f>
        <v>Inside School Building</v>
      </c>
      <c r="U2902" s="8" t="str">
        <f ca="1">IFERROR(__xludf.DUMMYFUNCTION("""COMPUTED_VALUE"""),"Yes")</f>
        <v>Yes</v>
      </c>
      <c r="V2902" s="8" t="str">
        <f ca="1">IFERROR(__xludf.DUMMYFUNCTION("""COMPUTED_VALUE"""),"Lunch")</f>
        <v>Lunch</v>
      </c>
      <c r="W2902" s="11">
        <f ca="1">IFERROR(__xludf.DUMMYFUNCTION("""COMPUTED_VALUE"""),0.53125)</f>
        <v>0.53125</v>
      </c>
      <c r="X2902" s="8"/>
      <c r="Y2902" s="12" t="str">
        <f ca="1">IFERROR(__xludf.DUMMYFUNCTION("""COMPUTED_VALUE"""),"Shooter was former teacher, came back to school, took class hostage, shot victim then self.")</f>
        <v>Shooter was former teacher, came back to school, took class hostage, shot victim then self.</v>
      </c>
      <c r="Z2902" s="12" t="str">
        <f ca="1">IFERROR(__xludf.DUMMYFUNCTION("""COMPUTED_VALUE"""),"Suspect was a substitute teacher who got in physical altercation with one of victims. Suspect was released from his job - sought revenge and came back to school - took a classroom full of hostages and shot victim who was in class. All hostages were later "&amp;"released and suspect killed himself - he was known to make threats to officials including Reagan Cabinet members.")</f>
        <v>Suspect was a substitute teacher who got in physical altercation with one of victims. Suspect was released from his job - sought revenge and came back to school - took a classroom full of hostages and shot victim who was in class. All hostages were later released and suspect killed himself - he was known to make threats to officials including Reagan Cabinet members.</v>
      </c>
      <c r="AA2902" s="8" t="str">
        <f ca="1">IFERROR(__xludf.DUMMYFUNCTION("""COMPUTED_VALUE"""),"Hostage/Standoff")</f>
        <v>Hostage/Standoff</v>
      </c>
      <c r="AB2902" s="8"/>
      <c r="AC2902" s="8" t="str">
        <f ca="1">IFERROR(__xludf.DUMMYFUNCTION("""COMPUTED_VALUE"""),"Yes")</f>
        <v>Yes</v>
      </c>
      <c r="AD2902" s="8" t="str">
        <f ca="1">IFERROR(__xludf.DUMMYFUNCTION("""COMPUTED_VALUE"""),"Both")</f>
        <v>Both</v>
      </c>
      <c r="AE2902" s="8" t="str">
        <f ca="1">IFERROR(__xludf.DUMMYFUNCTION("""COMPUTED_VALUE"""),"No")</f>
        <v>No</v>
      </c>
      <c r="AF2902" s="8"/>
      <c r="AG2902" s="8" t="str">
        <f ca="1">IFERROR(__xludf.DUMMYFUNCTION("""COMPUTED_VALUE"""),"Yes")</f>
        <v>Yes</v>
      </c>
      <c r="AH2902" s="8" t="str">
        <f ca="1">IFERROR(__xludf.DUMMYFUNCTION("""COMPUTED_VALUE"""),"Yes")</f>
        <v>Yes</v>
      </c>
      <c r="AI2902" s="8" t="str">
        <f ca="1">IFERROR(__xludf.DUMMYFUNCTION("""COMPUTED_VALUE"""),"No")</f>
        <v>No</v>
      </c>
      <c r="AJ2902" s="8" t="str">
        <f ca="1">IFERROR(__xludf.DUMMYFUNCTION("""COMPUTED_VALUE"""),"No")</f>
        <v>No</v>
      </c>
      <c r="AK2902" s="8" t="str">
        <f ca="1">IFERROR(__xludf.DUMMYFUNCTION("""COMPUTED_VALUE"""),"No")</f>
        <v>No</v>
      </c>
      <c r="AL2902" s="8" t="str">
        <f ca="1">IFERROR(__xludf.DUMMYFUNCTION("""COMPUTED_VALUE"""),"No")</f>
        <v>No</v>
      </c>
      <c r="AM2902" s="8" t="str">
        <f ca="1">IFERROR(__xludf.DUMMYFUNCTION("""COMPUTED_VALUE"""),"Yes")</f>
        <v>Yes</v>
      </c>
      <c r="AN2902" s="8" t="str">
        <f ca="1">IFERROR(__xludf.DUMMYFUNCTION("""COMPUTED_VALUE"""),"Single Room")</f>
        <v>Single Room</v>
      </c>
      <c r="AO2902" s="8" t="str">
        <f ca="1">IFERROR(__xludf.DUMMYFUNCTION("""COMPUTED_VALUE"""),"Yes")</f>
        <v>Yes</v>
      </c>
      <c r="AP2902" s="8"/>
      <c r="AQ2902" s="8" t="str">
        <f ca="1">IFERROR(__xludf.DUMMYFUNCTION("""COMPUTED_VALUE"""),"Unknown")</f>
        <v>Unknown</v>
      </c>
      <c r="AR2902" s="8" t="str">
        <f ca="1">IFERROR(__xludf.DUMMYFUNCTION("""COMPUTED_VALUE"""),"NA")</f>
        <v>NA</v>
      </c>
      <c r="AS2902" s="8"/>
      <c r="AT2902" s="8"/>
      <c r="AU2902" s="8">
        <f ca="1">IFERROR(__xludf.DUMMYFUNCTION("""COMPUTED_VALUE"""),40.774465)</f>
        <v>40.774464999999999</v>
      </c>
      <c r="AV2902" s="8">
        <f ca="1">IFERROR(__xludf.DUMMYFUNCTION("""COMPUTED_VALUE"""),-73.254487)</f>
        <v>-73.254486999999997</v>
      </c>
      <c r="AW2902" s="8"/>
      <c r="AX2902" s="8">
        <f ca="1">IFERROR(__xludf.DUMMYFUNCTION("""COMPUTED_VALUE"""),11717)</f>
        <v>11717</v>
      </c>
    </row>
    <row r="2903" spans="1:50" ht="90" x14ac:dyDescent="0.2">
      <c r="A2903" s="8" t="str">
        <f ca="1">IFERROR(__xludf.DUMMYFUNCTION("""COMPUTED_VALUE"""),"19830421MOBES")</f>
        <v>19830421MOBES</v>
      </c>
      <c r="B2903" s="8">
        <f ca="1">IFERROR(__xludf.DUMMYFUNCTION("""COMPUTED_VALUE"""),4)</f>
        <v>4</v>
      </c>
      <c r="C2903" s="8">
        <f ca="1">IFERROR(__xludf.DUMMYFUNCTION("""COMPUTED_VALUE"""),21)</f>
        <v>21</v>
      </c>
      <c r="D2903" s="8">
        <f ca="1">IFERROR(__xludf.DUMMYFUNCTION("""COMPUTED_VALUE"""),1983)</f>
        <v>1983</v>
      </c>
      <c r="E2903" s="9">
        <f ca="1">IFERROR(__xludf.DUMMYFUNCTION("""COMPUTED_VALUE"""),30427)</f>
        <v>30427</v>
      </c>
      <c r="F2903" s="8" t="str">
        <f ca="1">IFERROR(__xludf.DUMMYFUNCTION("""COMPUTED_VALUE"""),"Beaumont High School")</f>
        <v>Beaumont High School</v>
      </c>
      <c r="G2903" s="8">
        <f ca="1">IFERROR(__xludf.DUMMYFUNCTION("""COMPUTED_VALUE"""),0)</f>
        <v>0</v>
      </c>
      <c r="H2903" s="8">
        <f ca="1">IFERROR(__xludf.DUMMYFUNCTION("""COMPUTED_VALUE"""),1)</f>
        <v>1</v>
      </c>
      <c r="I2903" s="8">
        <f ca="1">IFERROR(__xludf.DUMMYFUNCTION("""COMPUTED_VALUE"""),1)</f>
        <v>1</v>
      </c>
      <c r="J2903" s="8">
        <f ca="1">IFERROR(__xludf.DUMMYFUNCTION("""COMPUTED_VALUE"""),0)</f>
        <v>0</v>
      </c>
      <c r="K2903" s="10" t="str">
        <f ca="1">IFERROR(__xludf.DUMMYFUNCTION("""COMPUTED_VALUE"""),"https://www.newspapers.com/image/139911306/?terms=student%2Bshot")</f>
        <v>https://www.newspapers.com/image/139911306/?terms=student%2Bshot</v>
      </c>
      <c r="L2903" s="8"/>
      <c r="M2903" s="8"/>
      <c r="N2903" s="8">
        <f ca="1">IFERROR(__xludf.DUMMYFUNCTION("""COMPUTED_VALUE"""),2)</f>
        <v>2</v>
      </c>
      <c r="O2903" s="8" t="str">
        <f ca="1">IFERROR(__xludf.DUMMYFUNCTION("""COMPUTED_VALUE"""),"Spring")</f>
        <v>Spring</v>
      </c>
      <c r="P2903" s="8" t="str">
        <f ca="1">IFERROR(__xludf.DUMMYFUNCTION("""COMPUTED_VALUE"""),"St. Louis")</f>
        <v>St. Louis</v>
      </c>
      <c r="Q2903" s="8" t="str">
        <f ca="1">IFERROR(__xludf.DUMMYFUNCTION("""COMPUTED_VALUE"""),"MO")</f>
        <v>MO</v>
      </c>
      <c r="R2903" s="8" t="str">
        <f ca="1">IFERROR(__xludf.DUMMYFUNCTION("""COMPUTED_VALUE"""),"High")</f>
        <v>High</v>
      </c>
      <c r="S2903" s="8" t="str">
        <f ca="1">IFERROR(__xludf.DUMMYFUNCTION("""COMPUTED_VALUE"""),"Hallway")</f>
        <v>Hallway</v>
      </c>
      <c r="T2903" s="8" t="str">
        <f ca="1">IFERROR(__xludf.DUMMYFUNCTION("""COMPUTED_VALUE"""),"Inside School Building")</f>
        <v>Inside School Building</v>
      </c>
      <c r="U2903" s="8" t="str">
        <f ca="1">IFERROR(__xludf.DUMMYFUNCTION("""COMPUTED_VALUE"""),"Yes")</f>
        <v>Yes</v>
      </c>
      <c r="V2903" s="8" t="str">
        <f ca="1">IFERROR(__xludf.DUMMYFUNCTION("""COMPUTED_VALUE"""),"Morning Classes")</f>
        <v>Morning Classes</v>
      </c>
      <c r="W2903" s="11">
        <f ca="1">IFERROR(__xludf.DUMMYFUNCTION("""COMPUTED_VALUE"""),0.458333333333333)</f>
        <v>0.45833333333333298</v>
      </c>
      <c r="X2903" s="8">
        <f ca="1">IFERROR(__xludf.DUMMYFUNCTION("""COMPUTED_VALUE"""),1)</f>
        <v>1</v>
      </c>
      <c r="Y2903" s="12" t="str">
        <f ca="1">IFERROR(__xludf.DUMMYFUNCTION("""COMPUTED_VALUE"""),"Victim accidentally shot after stepping between two quarreling teens in school basement restroom")</f>
        <v>Victim accidentally shot after stepping between two quarreling teens in school basement restroom</v>
      </c>
      <c r="Z2903" s="12" t="str">
        <f ca="1">IFERROR(__xludf.DUMMYFUNCTION("""COMPUTED_VALUE"""),"Victim observed to men arguing in school basement - went to break them up and was accidentally shot in stomach - suspect fled the scene. Police said the shooter was not a student.")</f>
        <v>Victim observed to men arguing in school basement - went to break them up and was accidentally shot in stomach - suspect fled the scene. Police said the shooter was not a student.</v>
      </c>
      <c r="AA2903" s="8" t="str">
        <f ca="1">IFERROR(__xludf.DUMMYFUNCTION("""COMPUTED_VALUE"""),"Escalation of Dispute")</f>
        <v>Escalation of Dispute</v>
      </c>
      <c r="AB2903" s="8"/>
      <c r="AC2903" s="8"/>
      <c r="AD2903" s="8" t="str">
        <f ca="1">IFERROR(__xludf.DUMMYFUNCTION("""COMPUTED_VALUE"""),"Random Shooting")</f>
        <v>Random Shooting</v>
      </c>
      <c r="AE2903" s="8" t="str">
        <f ca="1">IFERROR(__xludf.DUMMYFUNCTION("""COMPUTED_VALUE"""),"No")</f>
        <v>No</v>
      </c>
      <c r="AF2903" s="8"/>
      <c r="AG2903" s="8" t="str">
        <f ca="1">IFERROR(__xludf.DUMMYFUNCTION("""COMPUTED_VALUE"""),"No")</f>
        <v>No</v>
      </c>
      <c r="AH2903" s="8" t="str">
        <f ca="1">IFERROR(__xludf.DUMMYFUNCTION("""COMPUTED_VALUE"""),"No")</f>
        <v>No</v>
      </c>
      <c r="AI2903" s="8" t="str">
        <f ca="1">IFERROR(__xludf.DUMMYFUNCTION("""COMPUTED_VALUE"""),"No")</f>
        <v>No</v>
      </c>
      <c r="AJ2903" s="8" t="str">
        <f ca="1">IFERROR(__xludf.DUMMYFUNCTION("""COMPUTED_VALUE"""),"No")</f>
        <v>No</v>
      </c>
      <c r="AK2903" s="8" t="str">
        <f ca="1">IFERROR(__xludf.DUMMYFUNCTION("""COMPUTED_VALUE"""),"No")</f>
        <v>No</v>
      </c>
      <c r="AL2903" s="8" t="str">
        <f ca="1">IFERROR(__xludf.DUMMYFUNCTION("""COMPUTED_VALUE"""),"No")</f>
        <v>No</v>
      </c>
      <c r="AM2903" s="8"/>
      <c r="AN2903" s="8"/>
      <c r="AO2903" s="8" t="str">
        <f ca="1">IFERROR(__xludf.DUMMYFUNCTION("""COMPUTED_VALUE"""),"No")</f>
        <v>No</v>
      </c>
      <c r="AP2903" s="8"/>
      <c r="AQ2903" s="8" t="str">
        <f ca="1">IFERROR(__xludf.DUMMYFUNCTION("""COMPUTED_VALUE"""),"Unknown")</f>
        <v>Unknown</v>
      </c>
      <c r="AR2903" s="8" t="str">
        <f ca="1">IFERROR(__xludf.DUMMYFUNCTION("""COMPUTED_VALUE"""),"NA")</f>
        <v>NA</v>
      </c>
      <c r="AS2903" s="8">
        <f ca="1">IFERROR(__xludf.DUMMYFUNCTION("""COMPUTED_VALUE"""),1)</f>
        <v>1</v>
      </c>
      <c r="AT2903" s="8"/>
      <c r="AU2903" s="8">
        <f ca="1">IFERROR(__xludf.DUMMYFUNCTION("""COMPUTED_VALUE"""),38.662507)</f>
        <v>38.662506999999998</v>
      </c>
      <c r="AV2903" s="8">
        <f ca="1">IFERROR(__xludf.DUMMYFUNCTION("""COMPUTED_VALUE"""),-90.222175)</f>
        <v>-90.222174999999993</v>
      </c>
      <c r="AW2903" s="8"/>
      <c r="AX2903" s="8">
        <f ca="1">IFERROR(__xludf.DUMMYFUNCTION("""COMPUTED_VALUE"""),63107)</f>
        <v>63107</v>
      </c>
    </row>
    <row r="2904" spans="1:50" ht="75" x14ac:dyDescent="0.2">
      <c r="A2904" s="8" t="str">
        <f ca="1">IFERROR(__xludf.DUMMYFUNCTION("""COMPUTED_VALUE"""),"19830331ILSAC")</f>
        <v>19830331ILSAC</v>
      </c>
      <c r="B2904" s="8">
        <f ca="1">IFERROR(__xludf.DUMMYFUNCTION("""COMPUTED_VALUE"""),3)</f>
        <v>3</v>
      </c>
      <c r="C2904" s="8">
        <f ca="1">IFERROR(__xludf.DUMMYFUNCTION("""COMPUTED_VALUE"""),31)</f>
        <v>31</v>
      </c>
      <c r="D2904" s="8">
        <f ca="1">IFERROR(__xludf.DUMMYFUNCTION("""COMPUTED_VALUE"""),1983)</f>
        <v>1983</v>
      </c>
      <c r="E2904" s="9">
        <f ca="1">IFERROR(__xludf.DUMMYFUNCTION("""COMPUTED_VALUE"""),30406)</f>
        <v>30406</v>
      </c>
      <c r="F2904" s="8" t="str">
        <f ca="1">IFERROR(__xludf.DUMMYFUNCTION("""COMPUTED_VALUE"""),"Santa Maria InCornata-Santa Lucia School")</f>
        <v>Santa Maria InCornata-Santa Lucia School</v>
      </c>
      <c r="G2904" s="8">
        <f ca="1">IFERROR(__xludf.DUMMYFUNCTION("""COMPUTED_VALUE"""),0)</f>
        <v>0</v>
      </c>
      <c r="H2904" s="8">
        <f ca="1">IFERROR(__xludf.DUMMYFUNCTION("""COMPUTED_VALUE"""),0)</f>
        <v>0</v>
      </c>
      <c r="I2904" s="8">
        <f ca="1">IFERROR(__xludf.DUMMYFUNCTION("""COMPUTED_VALUE"""),0)</f>
        <v>0</v>
      </c>
      <c r="J2904" s="8">
        <f ca="1">IFERROR(__xludf.DUMMYFUNCTION("""COMPUTED_VALUE"""),0)</f>
        <v>0</v>
      </c>
      <c r="K2904" s="10" t="str">
        <f ca="1">IFERROR(__xludf.DUMMYFUNCTION("""COMPUTED_VALUE"""),"https://www.newspapers.com/image/277257866/?terms=Santa%2BMaria%2BInCornata-Santa%2BLucia%2BSchool%2Bshooting")</f>
        <v>https://www.newspapers.com/image/277257866/?terms=Santa%2BMaria%2BInCornata-Santa%2BLucia%2BSchool%2Bshooting</v>
      </c>
      <c r="L2904" s="8"/>
      <c r="M2904" s="8"/>
      <c r="N2904" s="8">
        <f ca="1">IFERROR(__xludf.DUMMYFUNCTION("""COMPUTED_VALUE"""),2)</f>
        <v>2</v>
      </c>
      <c r="O2904" s="8" t="str">
        <f ca="1">IFERROR(__xludf.DUMMYFUNCTION("""COMPUTED_VALUE"""),"Spring")</f>
        <v>Spring</v>
      </c>
      <c r="P2904" s="8" t="str">
        <f ca="1">IFERROR(__xludf.DUMMYFUNCTION("""COMPUTED_VALUE"""),"Chicago")</f>
        <v>Chicago</v>
      </c>
      <c r="Q2904" s="8" t="str">
        <f ca="1">IFERROR(__xludf.DUMMYFUNCTION("""COMPUTED_VALUE"""),"IL")</f>
        <v>IL</v>
      </c>
      <c r="R2904" s="8" t="str">
        <f ca="1">IFERROR(__xludf.DUMMYFUNCTION("""COMPUTED_VALUE"""),"Other")</f>
        <v>Other</v>
      </c>
      <c r="S2904" s="8" t="str">
        <f ca="1">IFERROR(__xludf.DUMMYFUNCTION("""COMPUTED_VALUE"""),"Classroom")</f>
        <v>Classroom</v>
      </c>
      <c r="T2904" s="8" t="str">
        <f ca="1">IFERROR(__xludf.DUMMYFUNCTION("""COMPUTED_VALUE"""),"Inside School Building")</f>
        <v>Inside School Building</v>
      </c>
      <c r="U2904" s="8" t="str">
        <f ca="1">IFERROR(__xludf.DUMMYFUNCTION("""COMPUTED_VALUE"""),"Yes")</f>
        <v>Yes</v>
      </c>
      <c r="V2904" s="8" t="str">
        <f ca="1">IFERROR(__xludf.DUMMYFUNCTION("""COMPUTED_VALUE"""),"Morning Classes")</f>
        <v>Morning Classes</v>
      </c>
      <c r="W2904" s="8"/>
      <c r="X2904" s="8">
        <f ca="1">IFERROR(__xludf.DUMMYFUNCTION("""COMPUTED_VALUE"""),1)</f>
        <v>1</v>
      </c>
      <c r="Y2904" s="12" t="str">
        <f ca="1">IFERROR(__xludf.DUMMYFUNCTION("""COMPUTED_VALUE"""),"Shot at teacher in class and missed, angry about discipline")</f>
        <v>Shot at teacher in class and missed, angry about discipline</v>
      </c>
      <c r="Z2904" s="12" t="str">
        <f ca="1">IFERROR(__xludf.DUMMYFUNCTION("""COMPUTED_VALUE"""),"11YOM student was angry with teacher about discipline. While she was taking attendance, he fired a .38 revolver at her and missed. Ran out of classroom and fired a second shot that also missed. Surrendered to janitor and principal. Pistol was taken from t"&amp;"he closet at home.")</f>
        <v>11YOM student was angry with teacher about discipline. While she was taking attendance, he fired a .38 revolver at her and missed. Ran out of classroom and fired a second shot that also missed. Surrendered to janitor and principal. Pistol was taken from the closet at home.</v>
      </c>
      <c r="AA2904" s="8" t="str">
        <f ca="1">IFERROR(__xludf.DUMMYFUNCTION("""COMPUTED_VALUE"""),"Anger Over Grade/Suspension/Discipline")</f>
        <v>Anger Over Grade/Suspension/Discipline</v>
      </c>
      <c r="AB2904" s="8"/>
      <c r="AC2904" s="8"/>
      <c r="AD2904" s="8" t="str">
        <f ca="1">IFERROR(__xludf.DUMMYFUNCTION("""COMPUTED_VALUE"""),"Victims Targeted")</f>
        <v>Victims Targeted</v>
      </c>
      <c r="AE2904" s="8"/>
      <c r="AF2904" s="8"/>
      <c r="AG2904" s="8" t="str">
        <f ca="1">IFERROR(__xludf.DUMMYFUNCTION("""COMPUTED_VALUE"""),"No")</f>
        <v>No</v>
      </c>
      <c r="AH2904" s="8" t="str">
        <f ca="1">IFERROR(__xludf.DUMMYFUNCTION("""COMPUTED_VALUE"""),"No")</f>
        <v>No</v>
      </c>
      <c r="AI2904" s="8" t="str">
        <f ca="1">IFERROR(__xludf.DUMMYFUNCTION("""COMPUTED_VALUE"""),"No")</f>
        <v>No</v>
      </c>
      <c r="AJ2904" s="8" t="str">
        <f ca="1">IFERROR(__xludf.DUMMYFUNCTION("""COMPUTED_VALUE"""),"No")</f>
        <v>No</v>
      </c>
      <c r="AK2904" s="8" t="str">
        <f ca="1">IFERROR(__xludf.DUMMYFUNCTION("""COMPUTED_VALUE"""),"No")</f>
        <v>No</v>
      </c>
      <c r="AL2904" s="8" t="str">
        <f ca="1">IFERROR(__xludf.DUMMYFUNCTION("""COMPUTED_VALUE"""),"No")</f>
        <v>No</v>
      </c>
      <c r="AM2904" s="8"/>
      <c r="AN2904" s="8"/>
      <c r="AO2904" s="8" t="str">
        <f ca="1">IFERROR(__xludf.DUMMYFUNCTION("""COMPUTED_VALUE"""),"No")</f>
        <v>No</v>
      </c>
      <c r="AP2904" s="8"/>
      <c r="AQ2904" s="8" t="str">
        <f ca="1">IFERROR(__xludf.DUMMYFUNCTION("""COMPUTED_VALUE"""),"Unknown")</f>
        <v>Unknown</v>
      </c>
      <c r="AR2904" s="8" t="str">
        <f ca="1">IFERROR(__xludf.DUMMYFUNCTION("""COMPUTED_VALUE"""),"NA")</f>
        <v>NA</v>
      </c>
      <c r="AS2904" s="8">
        <f ca="1">IFERROR(__xludf.DUMMYFUNCTION("""COMPUTED_VALUE"""),2)</f>
        <v>2</v>
      </c>
      <c r="AT2904" s="8"/>
      <c r="AU2904" s="8">
        <f ca="1">IFERROR(__xludf.DUMMYFUNCTION("""COMPUTED_VALUE"""),41.839079)</f>
        <v>41.839078999999998</v>
      </c>
      <c r="AV2904" s="8">
        <f ca="1">IFERROR(__xludf.DUMMYFUNCTION("""COMPUTED_VALUE"""),-87.633396)</f>
        <v>-87.633396000000005</v>
      </c>
      <c r="AW2904" s="8"/>
      <c r="AX2904" s="8">
        <f ca="1">IFERROR(__xludf.DUMMYFUNCTION("""COMPUTED_VALUE"""),60616)</f>
        <v>60616</v>
      </c>
    </row>
    <row r="2905" spans="1:50" ht="60" x14ac:dyDescent="0.2">
      <c r="A2905" s="8" t="str">
        <f ca="1">IFERROR(__xludf.DUMMYFUNCTION("""COMPUTED_VALUE"""),"19830202NMALA")</f>
        <v>19830202NMALA</v>
      </c>
      <c r="B2905" s="8">
        <f ca="1">IFERROR(__xludf.DUMMYFUNCTION("""COMPUTED_VALUE"""),2)</f>
        <v>2</v>
      </c>
      <c r="C2905" s="8">
        <f ca="1">IFERROR(__xludf.DUMMYFUNCTION("""COMPUTED_VALUE"""),2)</f>
        <v>2</v>
      </c>
      <c r="D2905" s="8">
        <f ca="1">IFERROR(__xludf.DUMMYFUNCTION("""COMPUTED_VALUE"""),1983)</f>
        <v>1983</v>
      </c>
      <c r="E2905" s="9">
        <f ca="1">IFERROR(__xludf.DUMMYFUNCTION("""COMPUTED_VALUE"""),30349)</f>
        <v>30349</v>
      </c>
      <c r="F2905" s="8" t="str">
        <f ca="1">IFERROR(__xludf.DUMMYFUNCTION("""COMPUTED_VALUE"""),"Albuquerque High School")</f>
        <v>Albuquerque High School</v>
      </c>
      <c r="G2905" s="8">
        <f ca="1">IFERROR(__xludf.DUMMYFUNCTION("""COMPUTED_VALUE"""),0)</f>
        <v>0</v>
      </c>
      <c r="H2905" s="8">
        <f ca="1">IFERROR(__xludf.DUMMYFUNCTION("""COMPUTED_VALUE"""),1)</f>
        <v>1</v>
      </c>
      <c r="I2905" s="8">
        <f ca="1">IFERROR(__xludf.DUMMYFUNCTION("""COMPUTED_VALUE"""),1)</f>
        <v>1</v>
      </c>
      <c r="J2905" s="8">
        <f ca="1">IFERROR(__xludf.DUMMYFUNCTION("""COMPUTED_VALUE"""),0)</f>
        <v>0</v>
      </c>
      <c r="K2905" s="10" t="str">
        <f ca="1">IFERROR(__xludf.DUMMYFUNCTION("""COMPUTED_VALUE"""),"https://www.newspapers.com/image/157419087/?terms=student%2Bshot")</f>
        <v>https://www.newspapers.com/image/157419087/?terms=student%2Bshot</v>
      </c>
      <c r="L2905" s="8"/>
      <c r="M2905" s="8"/>
      <c r="N2905" s="8">
        <f ca="1">IFERROR(__xludf.DUMMYFUNCTION("""COMPUTED_VALUE"""),2)</f>
        <v>2</v>
      </c>
      <c r="O2905" s="8" t="str">
        <f ca="1">IFERROR(__xludf.DUMMYFUNCTION("""COMPUTED_VALUE"""),"Winter")</f>
        <v>Winter</v>
      </c>
      <c r="P2905" s="8" t="str">
        <f ca="1">IFERROR(__xludf.DUMMYFUNCTION("""COMPUTED_VALUE"""),"Alburquerque")</f>
        <v>Alburquerque</v>
      </c>
      <c r="Q2905" s="8" t="str">
        <f ca="1">IFERROR(__xludf.DUMMYFUNCTION("""COMPUTED_VALUE"""),"NM")</f>
        <v>NM</v>
      </c>
      <c r="R2905" s="8" t="str">
        <f ca="1">IFERROR(__xludf.DUMMYFUNCTION("""COMPUTED_VALUE"""),"High")</f>
        <v>High</v>
      </c>
      <c r="S2905" s="8" t="str">
        <f ca="1">IFERROR(__xludf.DUMMYFUNCTION("""COMPUTED_VALUE"""),"Field (General)")</f>
        <v>Field (General)</v>
      </c>
      <c r="T2905" s="8" t="str">
        <f ca="1">IFERROR(__xludf.DUMMYFUNCTION("""COMPUTED_VALUE"""),"Outside on School Property")</f>
        <v>Outside on School Property</v>
      </c>
      <c r="U2905" s="8" t="str">
        <f ca="1">IFERROR(__xludf.DUMMYFUNCTION("""COMPUTED_VALUE"""),"Yes")</f>
        <v>Yes</v>
      </c>
      <c r="V2905" s="8" t="str">
        <f ca="1">IFERROR(__xludf.DUMMYFUNCTION("""COMPUTED_VALUE"""),"Dismissal")</f>
        <v>Dismissal</v>
      </c>
      <c r="W2905" s="8"/>
      <c r="X2905" s="8">
        <f ca="1">IFERROR(__xludf.DUMMYFUNCTION("""COMPUTED_VALUE"""),1)</f>
        <v>1</v>
      </c>
      <c r="Y2905" s="12" t="str">
        <f ca="1">IFERROR(__xludf.DUMMYFUNCTION("""COMPUTED_VALUE"""),"Victim shot by unknown assailant while on football field")</f>
        <v>Victim shot by unknown assailant while on football field</v>
      </c>
      <c r="Z2905" s="12" t="str">
        <f ca="1">IFERROR(__xludf.DUMMYFUNCTION("""COMPUTED_VALUE"""),"Victim shot in buttocks while walking on football field with friend when an unknown suspect shot girl through fence. No suspect was found or identified.")</f>
        <v>Victim shot in buttocks while walking on football field with friend when an unknown suspect shot girl through fence. No suspect was found or identified.</v>
      </c>
      <c r="AA2905" s="8" t="str">
        <f ca="1">IFERROR(__xludf.DUMMYFUNCTION("""COMPUTED_VALUE"""),"Unknown")</f>
        <v>Unknown</v>
      </c>
      <c r="AB2905" s="8"/>
      <c r="AC2905" s="8"/>
      <c r="AD2905" s="8"/>
      <c r="AE2905" s="8" t="str">
        <f ca="1">IFERROR(__xludf.DUMMYFUNCTION("""COMPUTED_VALUE"""),"No")</f>
        <v>No</v>
      </c>
      <c r="AF2905" s="8"/>
      <c r="AG2905" s="8" t="str">
        <f ca="1">IFERROR(__xludf.DUMMYFUNCTION("""COMPUTED_VALUE"""),"No")</f>
        <v>No</v>
      </c>
      <c r="AH2905" s="8" t="str">
        <f ca="1">IFERROR(__xludf.DUMMYFUNCTION("""COMPUTED_VALUE"""),"No")</f>
        <v>No</v>
      </c>
      <c r="AI2905" s="8" t="str">
        <f ca="1">IFERROR(__xludf.DUMMYFUNCTION("""COMPUTED_VALUE"""),"No")</f>
        <v>No</v>
      </c>
      <c r="AJ2905" s="8" t="str">
        <f ca="1">IFERROR(__xludf.DUMMYFUNCTION("""COMPUTED_VALUE"""),"No")</f>
        <v>No</v>
      </c>
      <c r="AK2905" s="8" t="str">
        <f ca="1">IFERROR(__xludf.DUMMYFUNCTION("""COMPUTED_VALUE"""),"No")</f>
        <v>No</v>
      </c>
      <c r="AL2905" s="8"/>
      <c r="AM2905" s="8"/>
      <c r="AN2905" s="8"/>
      <c r="AO2905" s="8"/>
      <c r="AP2905" s="8"/>
      <c r="AQ2905" s="8" t="str">
        <f ca="1">IFERROR(__xludf.DUMMYFUNCTION("""COMPUTED_VALUE"""),"Unknown")</f>
        <v>Unknown</v>
      </c>
      <c r="AR2905" s="8" t="str">
        <f ca="1">IFERROR(__xludf.DUMMYFUNCTION("""COMPUTED_VALUE"""),"NA")</f>
        <v>NA</v>
      </c>
      <c r="AS2905" s="8">
        <f ca="1">IFERROR(__xludf.DUMMYFUNCTION("""COMPUTED_VALUE"""),1)</f>
        <v>1</v>
      </c>
      <c r="AT2905" s="8"/>
      <c r="AU2905" s="8">
        <f ca="1">IFERROR(__xludf.DUMMYFUNCTION("""COMPUTED_VALUE"""),35.096432)</f>
        <v>35.096432</v>
      </c>
      <c r="AV2905" s="8">
        <f ca="1">IFERROR(__xludf.DUMMYFUNCTION("""COMPUTED_VALUE"""),-106.635627)</f>
        <v>-106.635627</v>
      </c>
      <c r="AW2905" s="8"/>
      <c r="AX2905" s="8">
        <f ca="1">IFERROR(__xludf.DUMMYFUNCTION("""COMPUTED_VALUE"""),87102)</f>
        <v>87102</v>
      </c>
    </row>
    <row r="2906" spans="1:50" ht="75" x14ac:dyDescent="0.2">
      <c r="A2906" s="8" t="str">
        <f ca="1">IFERROR(__xludf.DUMMYFUNCTION("""COMPUTED_VALUE"""),"19830201TNRIM")</f>
        <v>19830201TNRIM</v>
      </c>
      <c r="B2906" s="8">
        <f ca="1">IFERROR(__xludf.DUMMYFUNCTION("""COMPUTED_VALUE"""),2)</f>
        <v>2</v>
      </c>
      <c r="C2906" s="8">
        <f ca="1">IFERROR(__xludf.DUMMYFUNCTION("""COMPUTED_VALUE"""),1)</f>
        <v>1</v>
      </c>
      <c r="D2906" s="8">
        <f ca="1">IFERROR(__xludf.DUMMYFUNCTION("""COMPUTED_VALUE"""),1983)</f>
        <v>1983</v>
      </c>
      <c r="E2906" s="9">
        <f ca="1">IFERROR(__xludf.DUMMYFUNCTION("""COMPUTED_VALUE"""),30348)</f>
        <v>30348</v>
      </c>
      <c r="F2906" s="8" t="str">
        <f ca="1">IFERROR(__xludf.DUMMYFUNCTION("""COMPUTED_VALUE"""),"Riverdale High School")</f>
        <v>Riverdale High School</v>
      </c>
      <c r="G2906" s="8">
        <f ca="1">IFERROR(__xludf.DUMMYFUNCTION("""COMPUTED_VALUE"""),0)</f>
        <v>0</v>
      </c>
      <c r="H2906" s="8">
        <f ca="1">IFERROR(__xludf.DUMMYFUNCTION("""COMPUTED_VALUE"""),0)</f>
        <v>0</v>
      </c>
      <c r="I2906" s="8">
        <f ca="1">IFERROR(__xludf.DUMMYFUNCTION("""COMPUTED_VALUE"""),0)</f>
        <v>0</v>
      </c>
      <c r="J2906" s="8">
        <f ca="1">IFERROR(__xludf.DUMMYFUNCTION("""COMPUTED_VALUE"""),0)</f>
        <v>0</v>
      </c>
      <c r="K2906" s="10" t="str">
        <f ca="1">IFERROR(__xludf.DUMMYFUNCTION("""COMPUTED_VALUE"""),"https://www.newspapers.com/image/112306526/?terms=troy%2Bhale")</f>
        <v>https://www.newspapers.com/image/112306526/?terms=troy%2Bhale</v>
      </c>
      <c r="L2906" s="8"/>
      <c r="M2906" s="8"/>
      <c r="N2906" s="8">
        <f ca="1">IFERROR(__xludf.DUMMYFUNCTION("""COMPUTED_VALUE"""),2)</f>
        <v>2</v>
      </c>
      <c r="O2906" s="8" t="str">
        <f ca="1">IFERROR(__xludf.DUMMYFUNCTION("""COMPUTED_VALUE"""),"Winter")</f>
        <v>Winter</v>
      </c>
      <c r="P2906" s="8" t="str">
        <f ca="1">IFERROR(__xludf.DUMMYFUNCTION("""COMPUTED_VALUE"""),"Murfreesboro")</f>
        <v>Murfreesboro</v>
      </c>
      <c r="Q2906" s="8" t="str">
        <f ca="1">IFERROR(__xludf.DUMMYFUNCTION("""COMPUTED_VALUE"""),"TN")</f>
        <v>TN</v>
      </c>
      <c r="R2906" s="8" t="str">
        <f ca="1">IFERROR(__xludf.DUMMYFUNCTION("""COMPUTED_VALUE"""),"High")</f>
        <v>High</v>
      </c>
      <c r="S2906" s="8" t="str">
        <f ca="1">IFERROR(__xludf.DUMMYFUNCTION("""COMPUTED_VALUE"""),"School Bus")</f>
        <v>School Bus</v>
      </c>
      <c r="T2906" s="8" t="str">
        <f ca="1">IFERROR(__xludf.DUMMYFUNCTION("""COMPUTED_VALUE"""),"School Bus")</f>
        <v>School Bus</v>
      </c>
      <c r="U2906" s="8" t="str">
        <f ca="1">IFERROR(__xludf.DUMMYFUNCTION("""COMPUTED_VALUE"""),"No")</f>
        <v>No</v>
      </c>
      <c r="V2906" s="8" t="str">
        <f ca="1">IFERROR(__xludf.DUMMYFUNCTION("""COMPUTED_VALUE"""),"After School")</f>
        <v>After School</v>
      </c>
      <c r="W2906" s="8"/>
      <c r="X2906" s="8">
        <f ca="1">IFERROR(__xludf.DUMMYFUNCTION("""COMPUTED_VALUE"""),1)</f>
        <v>1</v>
      </c>
      <c r="Y2906" s="12" t="str">
        <f ca="1">IFERROR(__xludf.DUMMYFUNCTION("""COMPUTED_VALUE"""),"Shooter on school bus showing off gun when he accidentally shot self")</f>
        <v>Shooter on school bus showing off gun when he accidentally shot self</v>
      </c>
      <c r="Z2906" s="12" t="str">
        <f ca="1">IFERROR(__xludf.DUMMYFUNCTION("""COMPUTED_VALUE"""),"Shooter was on bus when he accidentally shot himself in the leg and hand while showing off gun. Had taken the gun to school to try and sell for a friend.")</f>
        <v>Shooter was on bus when he accidentally shot himself in the leg and hand while showing off gun. Had taken the gun to school to try and sell for a friend.</v>
      </c>
      <c r="AA2906" s="8" t="str">
        <f ca="1">IFERROR(__xludf.DUMMYFUNCTION("""COMPUTED_VALUE"""),"Accidental")</f>
        <v>Accidental</v>
      </c>
      <c r="AB2906" s="8"/>
      <c r="AC2906" s="8"/>
      <c r="AD2906" s="8" t="str">
        <f ca="1">IFERROR(__xludf.DUMMYFUNCTION("""COMPUTED_VALUE"""),"Random Shooting")</f>
        <v>Random Shooting</v>
      </c>
      <c r="AE2906" s="8"/>
      <c r="AF2906" s="8"/>
      <c r="AG2906" s="8" t="str">
        <f ca="1">IFERROR(__xludf.DUMMYFUNCTION("""COMPUTED_VALUE"""),"No")</f>
        <v>No</v>
      </c>
      <c r="AH2906" s="8" t="str">
        <f ca="1">IFERROR(__xludf.DUMMYFUNCTION("""COMPUTED_VALUE"""),"No")</f>
        <v>No</v>
      </c>
      <c r="AI2906" s="8" t="str">
        <f ca="1">IFERROR(__xludf.DUMMYFUNCTION("""COMPUTED_VALUE"""),"No")</f>
        <v>No</v>
      </c>
      <c r="AJ2906" s="8" t="str">
        <f ca="1">IFERROR(__xludf.DUMMYFUNCTION("""COMPUTED_VALUE"""),"No")</f>
        <v>No</v>
      </c>
      <c r="AK2906" s="8" t="str">
        <f ca="1">IFERROR(__xludf.DUMMYFUNCTION("""COMPUTED_VALUE"""),"No")</f>
        <v>No</v>
      </c>
      <c r="AL2906" s="8" t="str">
        <f ca="1">IFERROR(__xludf.DUMMYFUNCTION("""COMPUTED_VALUE"""),"No")</f>
        <v>No</v>
      </c>
      <c r="AM2906" s="8"/>
      <c r="AN2906" s="8"/>
      <c r="AO2906" s="8" t="str">
        <f ca="1">IFERROR(__xludf.DUMMYFUNCTION("""COMPUTED_VALUE"""),"No")</f>
        <v>No</v>
      </c>
      <c r="AP2906" s="8" t="str">
        <f ca="1">IFERROR(__xludf.DUMMYFUNCTION("""COMPUTED_VALUE"""),"No")</f>
        <v>No</v>
      </c>
      <c r="AQ2906" s="8" t="str">
        <f ca="1">IFERROR(__xludf.DUMMYFUNCTION("""COMPUTED_VALUE"""),"Unknown")</f>
        <v>Unknown</v>
      </c>
      <c r="AR2906" s="8" t="str">
        <f ca="1">IFERROR(__xludf.DUMMYFUNCTION("""COMPUTED_VALUE"""),"NA")</f>
        <v>NA</v>
      </c>
      <c r="AS2906" s="8">
        <f ca="1">IFERROR(__xludf.DUMMYFUNCTION("""COMPUTED_VALUE"""),1)</f>
        <v>1</v>
      </c>
      <c r="AT2906" s="8"/>
      <c r="AU2906" s="8">
        <f ca="1">IFERROR(__xludf.DUMMYFUNCTION("""COMPUTED_VALUE"""),35.816118)</f>
        <v>35.816118000000003</v>
      </c>
      <c r="AV2906" s="8">
        <f ca="1">IFERROR(__xludf.DUMMYFUNCTION("""COMPUTED_VALUE"""),-86.410026)</f>
        <v>-86.410026000000002</v>
      </c>
      <c r="AW2906" s="8"/>
      <c r="AX2906" s="8">
        <f ca="1">IFERROR(__xludf.DUMMYFUNCTION("""COMPUTED_VALUE"""),37128)</f>
        <v>37128</v>
      </c>
    </row>
    <row r="2907" spans="1:50" ht="45" x14ac:dyDescent="0.2">
      <c r="A2907" s="8" t="str">
        <f ca="1">IFERROR(__xludf.DUMMYFUNCTION("""COMPUTED_VALUE"""),"19830131FLDED")</f>
        <v>19830131FLDED</v>
      </c>
      <c r="B2907" s="8">
        <f ca="1">IFERROR(__xludf.DUMMYFUNCTION("""COMPUTED_VALUE"""),1)</f>
        <v>1</v>
      </c>
      <c r="C2907" s="8">
        <f ca="1">IFERROR(__xludf.DUMMYFUNCTION("""COMPUTED_VALUE"""),31)</f>
        <v>31</v>
      </c>
      <c r="D2907" s="8">
        <f ca="1">IFERROR(__xludf.DUMMYFUNCTION("""COMPUTED_VALUE"""),1983)</f>
        <v>1983</v>
      </c>
      <c r="E2907" s="9">
        <f ca="1">IFERROR(__xludf.DUMMYFUNCTION("""COMPUTED_VALUE"""),30347)</f>
        <v>30347</v>
      </c>
      <c r="F2907" s="8" t="str">
        <f ca="1">IFERROR(__xludf.DUMMYFUNCTION("""COMPUTED_VALUE"""),"DeLand High School")</f>
        <v>DeLand High School</v>
      </c>
      <c r="G2907" s="8">
        <f ca="1">IFERROR(__xludf.DUMMYFUNCTION("""COMPUTED_VALUE"""),0)</f>
        <v>0</v>
      </c>
      <c r="H2907" s="8">
        <f ca="1">IFERROR(__xludf.DUMMYFUNCTION("""COMPUTED_VALUE"""),0)</f>
        <v>0</v>
      </c>
      <c r="I2907" s="8">
        <f ca="1">IFERROR(__xludf.DUMMYFUNCTION("""COMPUTED_VALUE"""),0)</f>
        <v>0</v>
      </c>
      <c r="J2907" s="8">
        <f ca="1">IFERROR(__xludf.DUMMYFUNCTION("""COMPUTED_VALUE"""),0)</f>
        <v>0</v>
      </c>
      <c r="K2907" s="10" t="str">
        <f ca="1">IFERROR(__xludf.DUMMYFUNCTION("""COMPUTED_VALUE"""),"https://www.newspapers.com/image/227592168/?terms=student%2Bshoots")</f>
        <v>https://www.newspapers.com/image/227592168/?terms=student%2Bshoots</v>
      </c>
      <c r="L2907" s="8"/>
      <c r="M2907" s="8"/>
      <c r="N2907" s="8">
        <f ca="1">IFERROR(__xludf.DUMMYFUNCTION("""COMPUTED_VALUE"""),2)</f>
        <v>2</v>
      </c>
      <c r="O2907" s="8" t="str">
        <f ca="1">IFERROR(__xludf.DUMMYFUNCTION("""COMPUTED_VALUE"""),"Winter")</f>
        <v>Winter</v>
      </c>
      <c r="P2907" s="8" t="str">
        <f ca="1">IFERROR(__xludf.DUMMYFUNCTION("""COMPUTED_VALUE"""),"DeLand")</f>
        <v>DeLand</v>
      </c>
      <c r="Q2907" s="8" t="str">
        <f ca="1">IFERROR(__xludf.DUMMYFUNCTION("""COMPUTED_VALUE"""),"FL")</f>
        <v>FL</v>
      </c>
      <c r="R2907" s="8" t="str">
        <f ca="1">IFERROR(__xludf.DUMMYFUNCTION("""COMPUTED_VALUE"""),"High")</f>
        <v>High</v>
      </c>
      <c r="S2907" s="8" t="str">
        <f ca="1">IFERROR(__xludf.DUMMYFUNCTION("""COMPUTED_VALUE"""),"Bathroom")</f>
        <v>Bathroom</v>
      </c>
      <c r="T2907" s="8" t="str">
        <f ca="1">IFERROR(__xludf.DUMMYFUNCTION("""COMPUTED_VALUE"""),"Inside School Building")</f>
        <v>Inside School Building</v>
      </c>
      <c r="U2907" s="8" t="str">
        <f ca="1">IFERROR(__xludf.DUMMYFUNCTION("""COMPUTED_VALUE"""),"Yes")</f>
        <v>Yes</v>
      </c>
      <c r="V2907" s="8"/>
      <c r="W2907" s="8"/>
      <c r="X2907" s="8">
        <f ca="1">IFERROR(__xludf.DUMMYFUNCTION("""COMPUTED_VALUE"""),1)</f>
        <v>1</v>
      </c>
      <c r="Y2907" s="12" t="str">
        <f ca="1">IFERROR(__xludf.DUMMYFUNCTION("""COMPUTED_VALUE"""),"Suicidal due to known drug problem")</f>
        <v>Suicidal due to known drug problem</v>
      </c>
      <c r="Z2907" s="12" t="str">
        <f ca="1">IFERROR(__xludf.DUMMYFUNCTION("""COMPUTED_VALUE"""),"Apparent suicide attempt - student was known to have drug problems and school was providing her counseling. Student shot self in bathroom and then collapsed in hallway.")</f>
        <v>Apparent suicide attempt - student was known to have drug problems and school was providing her counseling. Student shot self in bathroom and then collapsed in hallway.</v>
      </c>
      <c r="AA2907" s="8" t="str">
        <f ca="1">IFERROR(__xludf.DUMMYFUNCTION("""COMPUTED_VALUE"""),"Suicide/Attempted")</f>
        <v>Suicide/Attempted</v>
      </c>
      <c r="AB2907" s="8"/>
      <c r="AC2907" s="8"/>
      <c r="AD2907" s="8" t="str">
        <f ca="1">IFERROR(__xludf.DUMMYFUNCTION("""COMPUTED_VALUE"""),"Victims Targeted")</f>
        <v>Victims Targeted</v>
      </c>
      <c r="AE2907" s="8" t="str">
        <f ca="1">IFERROR(__xludf.DUMMYFUNCTION("""COMPUTED_VALUE"""),"No")</f>
        <v>No</v>
      </c>
      <c r="AF2907" s="8"/>
      <c r="AG2907" s="8" t="str">
        <f ca="1">IFERROR(__xludf.DUMMYFUNCTION("""COMPUTED_VALUE"""),"No")</f>
        <v>No</v>
      </c>
      <c r="AH2907" s="8" t="str">
        <f ca="1">IFERROR(__xludf.DUMMYFUNCTION("""COMPUTED_VALUE"""),"No")</f>
        <v>No</v>
      </c>
      <c r="AI2907" s="8" t="str">
        <f ca="1">IFERROR(__xludf.DUMMYFUNCTION("""COMPUTED_VALUE"""),"No")</f>
        <v>No</v>
      </c>
      <c r="AJ2907" s="8" t="str">
        <f ca="1">IFERROR(__xludf.DUMMYFUNCTION("""COMPUTED_VALUE"""),"No")</f>
        <v>No</v>
      </c>
      <c r="AK2907" s="8" t="str">
        <f ca="1">IFERROR(__xludf.DUMMYFUNCTION("""COMPUTED_VALUE"""),"No")</f>
        <v>No</v>
      </c>
      <c r="AL2907" s="8" t="str">
        <f ca="1">IFERROR(__xludf.DUMMYFUNCTION("""COMPUTED_VALUE"""),"No")</f>
        <v>No</v>
      </c>
      <c r="AM2907" s="8"/>
      <c r="AN2907" s="8"/>
      <c r="AO2907" s="8" t="str">
        <f ca="1">IFERROR(__xludf.DUMMYFUNCTION("""COMPUTED_VALUE"""),"No")</f>
        <v>No</v>
      </c>
      <c r="AP2907" s="8"/>
      <c r="AQ2907" s="8" t="str">
        <f ca="1">IFERROR(__xludf.DUMMYFUNCTION("""COMPUTED_VALUE"""),"Unknown")</f>
        <v>Unknown</v>
      </c>
      <c r="AR2907" s="8" t="str">
        <f ca="1">IFERROR(__xludf.DUMMYFUNCTION("""COMPUTED_VALUE"""),"NA")</f>
        <v>NA</v>
      </c>
      <c r="AS2907" s="8">
        <f ca="1">IFERROR(__xludf.DUMMYFUNCTION("""COMPUTED_VALUE"""),1)</f>
        <v>1</v>
      </c>
      <c r="AT2907" s="8"/>
      <c r="AU2907" s="8">
        <f ca="1">IFERROR(__xludf.DUMMYFUNCTION("""COMPUTED_VALUE"""),29.041224)</f>
        <v>29.041224</v>
      </c>
      <c r="AV2907" s="8">
        <f ca="1">IFERROR(__xludf.DUMMYFUNCTION("""COMPUTED_VALUE"""),-81.284281)</f>
        <v>-81.284280999999993</v>
      </c>
      <c r="AW2907" s="8"/>
      <c r="AX2907" s="8">
        <f ca="1">IFERROR(__xludf.DUMMYFUNCTION("""COMPUTED_VALUE"""),32724)</f>
        <v>32724</v>
      </c>
    </row>
    <row r="2908" spans="1:50" ht="90" x14ac:dyDescent="0.2">
      <c r="A2908" s="8" t="str">
        <f ca="1">IFERROR(__xludf.DUMMYFUNCTION("""COMPUTED_VALUE"""),"19830130TXWEC")</f>
        <v>19830130TXWEC</v>
      </c>
      <c r="B2908" s="8">
        <f ca="1">IFERROR(__xludf.DUMMYFUNCTION("""COMPUTED_VALUE"""),1)</f>
        <v>1</v>
      </c>
      <c r="C2908" s="8">
        <f ca="1">IFERROR(__xludf.DUMMYFUNCTION("""COMPUTED_VALUE"""),30)</f>
        <v>30</v>
      </c>
      <c r="D2908" s="8">
        <f ca="1">IFERROR(__xludf.DUMMYFUNCTION("""COMPUTED_VALUE"""),1983)</f>
        <v>1983</v>
      </c>
      <c r="E2908" s="9">
        <f ca="1">IFERROR(__xludf.DUMMYFUNCTION("""COMPUTED_VALUE"""),30346)</f>
        <v>30346</v>
      </c>
      <c r="F2908" s="8" t="str">
        <f ca="1">IFERROR(__xludf.DUMMYFUNCTION("""COMPUTED_VALUE"""),"West Ward School")</f>
        <v>West Ward School</v>
      </c>
      <c r="G2908" s="8">
        <f ca="1">IFERROR(__xludf.DUMMYFUNCTION("""COMPUTED_VALUE"""),1)</f>
        <v>1</v>
      </c>
      <c r="H2908" s="8">
        <f ca="1">IFERROR(__xludf.DUMMYFUNCTION("""COMPUTED_VALUE"""),0)</f>
        <v>0</v>
      </c>
      <c r="I2908" s="8">
        <f ca="1">IFERROR(__xludf.DUMMYFUNCTION("""COMPUTED_VALUE"""),1)</f>
        <v>1</v>
      </c>
      <c r="J2908" s="8">
        <f ca="1">IFERROR(__xludf.DUMMYFUNCTION("""COMPUTED_VALUE"""),0)</f>
        <v>0</v>
      </c>
      <c r="K2908" s="8" t="str">
        <f ca="1">IFERROR(__xludf.DUMMYFUNCTION("""COMPUTED_VALUE"""),"https://www.newspapers.com/image/109519986/?terms=student%2Bshot   https://www.newspapers.com/image/208411067/?terms=david%2Bray%2Bharrel")</f>
        <v>https://www.newspapers.com/image/109519986/?terms=student%2Bshot   https://www.newspapers.com/image/208411067/?terms=david%2Bray%2Bharrel</v>
      </c>
      <c r="L2908" s="8"/>
      <c r="M2908" s="8"/>
      <c r="N2908" s="8">
        <f ca="1">IFERROR(__xludf.DUMMYFUNCTION("""COMPUTED_VALUE"""),2)</f>
        <v>2</v>
      </c>
      <c r="O2908" s="8" t="str">
        <f ca="1">IFERROR(__xludf.DUMMYFUNCTION("""COMPUTED_VALUE"""),"Winter")</f>
        <v>Winter</v>
      </c>
      <c r="P2908" s="8" t="str">
        <f ca="1">IFERROR(__xludf.DUMMYFUNCTION("""COMPUTED_VALUE"""),"Coleman")</f>
        <v>Coleman</v>
      </c>
      <c r="Q2908" s="8" t="str">
        <f ca="1">IFERROR(__xludf.DUMMYFUNCTION("""COMPUTED_VALUE"""),"TX")</f>
        <v>TX</v>
      </c>
      <c r="R2908" s="8" t="str">
        <f ca="1">IFERROR(__xludf.DUMMYFUNCTION("""COMPUTED_VALUE"""),"High")</f>
        <v>High</v>
      </c>
      <c r="S2908" s="8" t="str">
        <f ca="1">IFERROR(__xludf.DUMMYFUNCTION("""COMPUTED_VALUE"""),"Basketball Court")</f>
        <v>Basketball Court</v>
      </c>
      <c r="T2908" s="8"/>
      <c r="U2908" s="8" t="str">
        <f ca="1">IFERROR(__xludf.DUMMYFUNCTION("""COMPUTED_VALUE"""),"No")</f>
        <v>No</v>
      </c>
      <c r="V2908" s="8" t="str">
        <f ca="1">IFERROR(__xludf.DUMMYFUNCTION("""COMPUTED_VALUE"""),"Not a School Day")</f>
        <v>Not a School Day</v>
      </c>
      <c r="W2908" s="11">
        <f ca="1">IFERROR(__xludf.DUMMYFUNCTION("""COMPUTED_VALUE"""),0.486111111111111)</f>
        <v>0.48611111111111099</v>
      </c>
      <c r="X2908" s="8">
        <f ca="1">IFERROR(__xludf.DUMMYFUNCTION("""COMPUTED_VALUE"""),1)</f>
        <v>1</v>
      </c>
      <c r="Y2908" s="12" t="str">
        <f ca="1">IFERROR(__xludf.DUMMYFUNCTION("""COMPUTED_VALUE"""),"Two students were playing basketball at school on Sunday - get in argument - shooter kills victim")</f>
        <v>Two students were playing basketball at school on Sunday - get in argument - shooter kills victim</v>
      </c>
      <c r="Z2908" s="12" t="str">
        <f ca="1">IFERROR(__xludf.DUMMYFUNCTION("""COMPUTED_VALUE"""),"Argument ensued during Sunday pickup game of basketball. The shooter went home, retrieved a gun, and came back to the school then killed the 16 year-old male victim.")</f>
        <v>Argument ensued during Sunday pickup game of basketball. The shooter went home, retrieved a gun, and came back to the school then killed the 16 year-old male victim.</v>
      </c>
      <c r="AA2908" s="8" t="str">
        <f ca="1">IFERROR(__xludf.DUMMYFUNCTION("""COMPUTED_VALUE"""),"Escalation of Dispute")</f>
        <v>Escalation of Dispute</v>
      </c>
      <c r="AB2908" s="8"/>
      <c r="AC2908" s="8"/>
      <c r="AD2908" s="8" t="str">
        <f ca="1">IFERROR(__xludf.DUMMYFUNCTION("""COMPUTED_VALUE"""),"Victims Targeted")</f>
        <v>Victims Targeted</v>
      </c>
      <c r="AE2908" s="8" t="str">
        <f ca="1">IFERROR(__xludf.DUMMYFUNCTION("""COMPUTED_VALUE"""),"No")</f>
        <v>No</v>
      </c>
      <c r="AF2908" s="8"/>
      <c r="AG2908" s="8" t="str">
        <f ca="1">IFERROR(__xludf.DUMMYFUNCTION("""COMPUTED_VALUE"""),"No")</f>
        <v>No</v>
      </c>
      <c r="AH2908" s="8" t="str">
        <f ca="1">IFERROR(__xludf.DUMMYFUNCTION("""COMPUTED_VALUE"""),"No")</f>
        <v>No</v>
      </c>
      <c r="AI2908" s="8" t="str">
        <f ca="1">IFERROR(__xludf.DUMMYFUNCTION("""COMPUTED_VALUE"""),"No")</f>
        <v>No</v>
      </c>
      <c r="AJ2908" s="8" t="str">
        <f ca="1">IFERROR(__xludf.DUMMYFUNCTION("""COMPUTED_VALUE"""),"No")</f>
        <v>No</v>
      </c>
      <c r="AK2908" s="8" t="str">
        <f ca="1">IFERROR(__xludf.DUMMYFUNCTION("""COMPUTED_VALUE"""),"No")</f>
        <v>No</v>
      </c>
      <c r="AL2908" s="8" t="str">
        <f ca="1">IFERROR(__xludf.DUMMYFUNCTION("""COMPUTED_VALUE"""),"No")</f>
        <v>No</v>
      </c>
      <c r="AM2908" s="8"/>
      <c r="AN2908" s="8"/>
      <c r="AO2908" s="8"/>
      <c r="AP2908" s="8"/>
      <c r="AQ2908" s="8" t="str">
        <f ca="1">IFERROR(__xludf.DUMMYFUNCTION("""COMPUTED_VALUE"""),"Unknown")</f>
        <v>Unknown</v>
      </c>
      <c r="AR2908" s="8" t="str">
        <f ca="1">IFERROR(__xludf.DUMMYFUNCTION("""COMPUTED_VALUE"""),"NA")</f>
        <v>NA</v>
      </c>
      <c r="AS2908" s="8" t="str">
        <f ca="1">IFERROR(__xludf.DUMMYFUNCTION("""COMPUTED_VALUE"""),"&lt;10")</f>
        <v>&lt;10</v>
      </c>
      <c r="AT2908" s="8"/>
      <c r="AU2908" s="8">
        <f ca="1">IFERROR(__xludf.DUMMYFUNCTION("""COMPUTED_VALUE"""),31.809934)</f>
        <v>31.809933999999998</v>
      </c>
      <c r="AV2908" s="8">
        <f ca="1">IFERROR(__xludf.DUMMYFUNCTION("""COMPUTED_VALUE"""),-99.426101)</f>
        <v>-99.426101000000003</v>
      </c>
      <c r="AW2908" s="8"/>
      <c r="AX2908" s="8">
        <f ca="1">IFERROR(__xludf.DUMMYFUNCTION("""COMPUTED_VALUE"""),76834)</f>
        <v>76834</v>
      </c>
    </row>
    <row r="2909" spans="1:50" ht="75" x14ac:dyDescent="0.2">
      <c r="A2909" s="8" t="str">
        <f ca="1">IFERROR(__xludf.DUMMYFUNCTION("""COMPUTED_VALUE"""),"19830128MDWIB")</f>
        <v>19830128MDWIB</v>
      </c>
      <c r="B2909" s="8">
        <f ca="1">IFERROR(__xludf.DUMMYFUNCTION("""COMPUTED_VALUE"""),1)</f>
        <v>1</v>
      </c>
      <c r="C2909" s="8">
        <f ca="1">IFERROR(__xludf.DUMMYFUNCTION("""COMPUTED_VALUE"""),28)</f>
        <v>28</v>
      </c>
      <c r="D2909" s="8">
        <f ca="1">IFERROR(__xludf.DUMMYFUNCTION("""COMPUTED_VALUE"""),1983)</f>
        <v>1983</v>
      </c>
      <c r="E2909" s="9">
        <f ca="1">IFERROR(__xludf.DUMMYFUNCTION("""COMPUTED_VALUE"""),30344)</f>
        <v>30344</v>
      </c>
      <c r="F2909" s="8" t="str">
        <f ca="1">IFERROR(__xludf.DUMMYFUNCTION("""COMPUTED_VALUE"""),"William H. Lemmel Middle School")</f>
        <v>William H. Lemmel Middle School</v>
      </c>
      <c r="G2909" s="8">
        <f ca="1">IFERROR(__xludf.DUMMYFUNCTION("""COMPUTED_VALUE"""),0)</f>
        <v>0</v>
      </c>
      <c r="H2909" s="8">
        <f ca="1">IFERROR(__xludf.DUMMYFUNCTION("""COMPUTED_VALUE"""),0)</f>
        <v>0</v>
      </c>
      <c r="I2909" s="8">
        <f ca="1">IFERROR(__xludf.DUMMYFUNCTION("""COMPUTED_VALUE"""),0)</f>
        <v>0</v>
      </c>
      <c r="J2909" s="8">
        <f ca="1">IFERROR(__xludf.DUMMYFUNCTION("""COMPUTED_VALUE"""),0)</f>
        <v>0</v>
      </c>
      <c r="K2909" s="10" t="str">
        <f ca="1">IFERROR(__xludf.DUMMYFUNCTION("""COMPUTED_VALUE"""),"https://www.newspapers.com/image/372294245/?terms=lemmel%2Bmiddle%2Bschool")</f>
        <v>https://www.newspapers.com/image/372294245/?terms=lemmel%2Bmiddle%2Bschool</v>
      </c>
      <c r="L2909" s="8"/>
      <c r="M2909" s="8"/>
      <c r="N2909" s="8">
        <f ca="1">IFERROR(__xludf.DUMMYFUNCTION("""COMPUTED_VALUE"""),2)</f>
        <v>2</v>
      </c>
      <c r="O2909" s="8" t="str">
        <f ca="1">IFERROR(__xludf.DUMMYFUNCTION("""COMPUTED_VALUE"""),"Winter")</f>
        <v>Winter</v>
      </c>
      <c r="P2909" s="8" t="str">
        <f ca="1">IFERROR(__xludf.DUMMYFUNCTION("""COMPUTED_VALUE"""),"Baltimore")</f>
        <v>Baltimore</v>
      </c>
      <c r="Q2909" s="8" t="str">
        <f ca="1">IFERROR(__xludf.DUMMYFUNCTION("""COMPUTED_VALUE"""),"MD")</f>
        <v>MD</v>
      </c>
      <c r="R2909" s="8" t="str">
        <f ca="1">IFERROR(__xludf.DUMMYFUNCTION("""COMPUTED_VALUE"""),"Middle")</f>
        <v>Middle</v>
      </c>
      <c r="S2909" s="8" t="str">
        <f ca="1">IFERROR(__xludf.DUMMYFUNCTION("""COMPUTED_VALUE"""),"Classroom")</f>
        <v>Classroom</v>
      </c>
      <c r="T2909" s="8" t="str">
        <f ca="1">IFERROR(__xludf.DUMMYFUNCTION("""COMPUTED_VALUE"""),"Inside School Building")</f>
        <v>Inside School Building</v>
      </c>
      <c r="U2909" s="8" t="str">
        <f ca="1">IFERROR(__xludf.DUMMYFUNCTION("""COMPUTED_VALUE"""),"Yes")</f>
        <v>Yes</v>
      </c>
      <c r="V2909" s="8" t="str">
        <f ca="1">IFERROR(__xludf.DUMMYFUNCTION("""COMPUTED_VALUE"""),"Morning Classes")</f>
        <v>Morning Classes</v>
      </c>
      <c r="W2909" s="8"/>
      <c r="X2909" s="8">
        <f ca="1">IFERROR(__xludf.DUMMYFUNCTION("""COMPUTED_VALUE"""),1)</f>
        <v>1</v>
      </c>
      <c r="Y2909" s="12" t="str">
        <f ca="1">IFERROR(__xludf.DUMMYFUNCTION("""COMPUTED_VALUE"""),"Shooter checked safety on gun in class and accidentally shot self")</f>
        <v>Shooter checked safety on gun in class and accidentally shot self</v>
      </c>
      <c r="Z2909" s="12" t="str">
        <f ca="1">IFERROR(__xludf.DUMMYFUNCTION("""COMPUTED_VALUE"""),"14 year old checked safety on gun while in class and shot himself in the thigh. Shooter had previously received the gun from another student.")</f>
        <v>14 year old checked safety on gun while in class and shot himself in the thigh. Shooter had previously received the gun from another student.</v>
      </c>
      <c r="AA2909" s="8" t="str">
        <f ca="1">IFERROR(__xludf.DUMMYFUNCTION("""COMPUTED_VALUE"""),"Accidental")</f>
        <v>Accidental</v>
      </c>
      <c r="AB2909" s="8"/>
      <c r="AC2909" s="8"/>
      <c r="AD2909" s="8" t="str">
        <f ca="1">IFERROR(__xludf.DUMMYFUNCTION("""COMPUTED_VALUE"""),"Random Shooting")</f>
        <v>Random Shooting</v>
      </c>
      <c r="AE2909" s="8"/>
      <c r="AF2909" s="8"/>
      <c r="AG2909" s="8" t="str">
        <f ca="1">IFERROR(__xludf.DUMMYFUNCTION("""COMPUTED_VALUE"""),"No")</f>
        <v>No</v>
      </c>
      <c r="AH2909" s="8" t="str">
        <f ca="1">IFERROR(__xludf.DUMMYFUNCTION("""COMPUTED_VALUE"""),"No")</f>
        <v>No</v>
      </c>
      <c r="AI2909" s="8" t="str">
        <f ca="1">IFERROR(__xludf.DUMMYFUNCTION("""COMPUTED_VALUE"""),"No")</f>
        <v>No</v>
      </c>
      <c r="AJ2909" s="8" t="str">
        <f ca="1">IFERROR(__xludf.DUMMYFUNCTION("""COMPUTED_VALUE"""),"No")</f>
        <v>No</v>
      </c>
      <c r="AK2909" s="8" t="str">
        <f ca="1">IFERROR(__xludf.DUMMYFUNCTION("""COMPUTED_VALUE"""),"No")</f>
        <v>No</v>
      </c>
      <c r="AL2909" s="8" t="str">
        <f ca="1">IFERROR(__xludf.DUMMYFUNCTION("""COMPUTED_VALUE"""),"No")</f>
        <v>No</v>
      </c>
      <c r="AM2909" s="8"/>
      <c r="AN2909" s="8"/>
      <c r="AO2909" s="8" t="str">
        <f ca="1">IFERROR(__xludf.DUMMYFUNCTION("""COMPUTED_VALUE"""),"No")</f>
        <v>No</v>
      </c>
      <c r="AP2909" s="8"/>
      <c r="AQ2909" s="8" t="str">
        <f ca="1">IFERROR(__xludf.DUMMYFUNCTION("""COMPUTED_VALUE"""),"Unknown")</f>
        <v>Unknown</v>
      </c>
      <c r="AR2909" s="8" t="str">
        <f ca="1">IFERROR(__xludf.DUMMYFUNCTION("""COMPUTED_VALUE"""),"NA")</f>
        <v>NA</v>
      </c>
      <c r="AS2909" s="8">
        <f ca="1">IFERROR(__xludf.DUMMYFUNCTION("""COMPUTED_VALUE"""),1)</f>
        <v>1</v>
      </c>
      <c r="AT2909" s="8"/>
      <c r="AU2909" s="8">
        <f ca="1">IFERROR(__xludf.DUMMYFUNCTION("""COMPUTED_VALUE"""),39.318717)</f>
        <v>39.318716999999999</v>
      </c>
      <c r="AV2909" s="8">
        <f ca="1">IFERROR(__xludf.DUMMYFUNCTION("""COMPUTED_VALUE"""),-76.664427)</f>
        <v>-76.664427000000003</v>
      </c>
      <c r="AW2909" s="8"/>
      <c r="AX2909" s="8">
        <f ca="1">IFERROR(__xludf.DUMMYFUNCTION("""COMPUTED_VALUE"""),21216)</f>
        <v>21216</v>
      </c>
    </row>
    <row r="2910" spans="1:50" ht="195" x14ac:dyDescent="0.2">
      <c r="A2910" s="8" t="str">
        <f ca="1">IFERROR(__xludf.DUMMYFUNCTION("""COMPUTED_VALUE"""),"19830120MOPAB")</f>
        <v>19830120MOPAB</v>
      </c>
      <c r="B2910" s="8">
        <f ca="1">IFERROR(__xludf.DUMMYFUNCTION("""COMPUTED_VALUE"""),1)</f>
        <v>1</v>
      </c>
      <c r="C2910" s="8">
        <f ca="1">IFERROR(__xludf.DUMMYFUNCTION("""COMPUTED_VALUE"""),20)</f>
        <v>20</v>
      </c>
      <c r="D2910" s="8">
        <f ca="1">IFERROR(__xludf.DUMMYFUNCTION("""COMPUTED_VALUE"""),1983)</f>
        <v>1983</v>
      </c>
      <c r="E2910" s="9">
        <f ca="1">IFERROR(__xludf.DUMMYFUNCTION("""COMPUTED_VALUE"""),30336)</f>
        <v>30336</v>
      </c>
      <c r="F2910" s="8" t="str">
        <f ca="1">IFERROR(__xludf.DUMMYFUNCTION("""COMPUTED_VALUE"""),"Parkway South Middle School")</f>
        <v>Parkway South Middle School</v>
      </c>
      <c r="G2910" s="8">
        <f ca="1">IFERROR(__xludf.DUMMYFUNCTION("""COMPUTED_VALUE"""),1)</f>
        <v>1</v>
      </c>
      <c r="H2910" s="8">
        <f ca="1">IFERROR(__xludf.DUMMYFUNCTION("""COMPUTED_VALUE"""),1)</f>
        <v>1</v>
      </c>
      <c r="I2910" s="8">
        <f ca="1">IFERROR(__xludf.DUMMYFUNCTION("""COMPUTED_VALUE"""),2)</f>
        <v>2</v>
      </c>
      <c r="J2910" s="8">
        <f ca="1">IFERROR(__xludf.DUMMYFUNCTION("""COMPUTED_VALUE"""),1)</f>
        <v>1</v>
      </c>
      <c r="K2910" s="8" t="str">
        <f ca="1">IFERROR(__xludf.DUMMYFUNCTION("""COMPUTED_VALUE"""),"https://www.newspapers.com/image/140561774/?terms=school%20gym%20shooting%20wounded&amp;match=1
http://articles.baltimoresun.com/1999-05-02/topic/9905040373_1_senti-firecracker-beneath")</f>
        <v>https://www.newspapers.com/image/140561774/?terms=school%20gym%20shooting%20wounded&amp;match=1
http://articles.baltimoresun.com/1999-05-02/topic/9905040373_1_senti-firecracker-beneath</v>
      </c>
      <c r="L2910" s="8"/>
      <c r="M2910" s="8"/>
      <c r="N2910" s="8">
        <f ca="1">IFERROR(__xludf.DUMMYFUNCTION("""COMPUTED_VALUE"""),4)</f>
        <v>4</v>
      </c>
      <c r="O2910" s="8" t="str">
        <f ca="1">IFERROR(__xludf.DUMMYFUNCTION("""COMPUTED_VALUE"""),"Winter")</f>
        <v>Winter</v>
      </c>
      <c r="P2910" s="8" t="str">
        <f ca="1">IFERROR(__xludf.DUMMYFUNCTION("""COMPUTED_VALUE"""),"Baldwin")</f>
        <v>Baldwin</v>
      </c>
      <c r="Q2910" s="8" t="str">
        <f ca="1">IFERROR(__xludf.DUMMYFUNCTION("""COMPUTED_VALUE"""),"MO")</f>
        <v>MO</v>
      </c>
      <c r="R2910" s="8" t="str">
        <f ca="1">IFERROR(__xludf.DUMMYFUNCTION("""COMPUTED_VALUE"""),"Middle")</f>
        <v>Middle</v>
      </c>
      <c r="S2910" s="8" t="str">
        <f ca="1">IFERROR(__xludf.DUMMYFUNCTION("""COMPUTED_VALUE"""),"Classroom")</f>
        <v>Classroom</v>
      </c>
      <c r="T2910" s="8" t="str">
        <f ca="1">IFERROR(__xludf.DUMMYFUNCTION("""COMPUTED_VALUE"""),"Inside School Building")</f>
        <v>Inside School Building</v>
      </c>
      <c r="U2910" s="8" t="str">
        <f ca="1">IFERROR(__xludf.DUMMYFUNCTION("""COMPUTED_VALUE"""),"Yes")</f>
        <v>Yes</v>
      </c>
      <c r="V2910" s="8" t="str">
        <f ca="1">IFERROR(__xludf.DUMMYFUNCTION("""COMPUTED_VALUE"""),"Morning Classes")</f>
        <v>Morning Classes</v>
      </c>
      <c r="W2910" s="11">
        <f ca="1">IFERROR(__xludf.DUMMYFUNCTION("""COMPUTED_VALUE"""),0.493055555555555)</f>
        <v>0.49305555555555503</v>
      </c>
      <c r="X2910" s="8">
        <f ca="1">IFERROR(__xludf.DUMMYFUNCTION("""COMPUTED_VALUE"""),1)</f>
        <v>1</v>
      </c>
      <c r="Y2910" s="12" t="str">
        <f ca="1">IFERROR(__xludf.DUMMYFUNCTION("""COMPUTED_VALUE"""),"Student walked into study hall with two pistol and fired into a group of students then killed himself")</f>
        <v>Student walked into study hall with two pistol and fired into a group of students then killed himself</v>
      </c>
      <c r="Z2910" s="12" t="str">
        <f ca="1">IFERROR(__xludf.DUMMYFUNCTION("""COMPUTED_VALUE"""),"Shooter was a 14-year-old boy scout with good grades. Described by neighbors as quiet kid. Frequently shot a BB gun in his backyard and was given a gun for Christmas. Police found suicide note, knife, and 100 rounds of ammo inside duffle bag suspect broug"&amp;"ht guns into school with. Statement made that suspect was angry at two victims for disparaging remarks made about brother. His father was hospitalized with a serious illness at the time of the shooting. School did not have any security or bag checks. Shoo"&amp;"ter brought the guns to school in a blue gym bag. Days prior to the shooting, he carried the bag around the entire school day. Before he started shooting, he shouted ""they won't call my brother a (expletive) any more!"".")</f>
        <v>Shooter was a 14-year-old boy scout with good grades. Described by neighbors as quiet kid. Frequently shot a BB gun in his backyard and was given a gun for Christmas. Police found suicide note, knife, and 100 rounds of ammo inside duffle bag suspect brought guns into school with. Statement made that suspect was angry at two victims for disparaging remarks made about brother. His father was hospitalized with a serious illness at the time of the shooting. School did not have any security or bag checks. Shooter brought the guns to school in a blue gym bag. Days prior to the shooting, he carried the bag around the entire school day. Before he started shooting, he shouted "they won't call my brother a (expletive) any more!".</v>
      </c>
      <c r="AA2910" s="8" t="str">
        <f ca="1">IFERROR(__xludf.DUMMYFUNCTION("""COMPUTED_VALUE"""),"Indiscriminate Shooting")</f>
        <v>Indiscriminate Shooting</v>
      </c>
      <c r="AB2910" s="8"/>
      <c r="AC2910" s="8" t="str">
        <f ca="1">IFERROR(__xludf.DUMMYFUNCTION("""COMPUTED_VALUE"""),"Yes")</f>
        <v>Yes</v>
      </c>
      <c r="AD2910" s="8" t="str">
        <f ca="1">IFERROR(__xludf.DUMMYFUNCTION("""COMPUTED_VALUE"""),"Victims Targeted")</f>
        <v>Victims Targeted</v>
      </c>
      <c r="AE2910" s="8" t="str">
        <f ca="1">IFERROR(__xludf.DUMMYFUNCTION("""COMPUTED_VALUE"""),"No")</f>
        <v>No</v>
      </c>
      <c r="AF2910" s="8"/>
      <c r="AG2910" s="8" t="str">
        <f ca="1">IFERROR(__xludf.DUMMYFUNCTION("""COMPUTED_VALUE"""),"No")</f>
        <v>No</v>
      </c>
      <c r="AH2910" s="8" t="str">
        <f ca="1">IFERROR(__xludf.DUMMYFUNCTION("""COMPUTED_VALUE"""),"No")</f>
        <v>No</v>
      </c>
      <c r="AI2910" s="8" t="str">
        <f ca="1">IFERROR(__xludf.DUMMYFUNCTION("""COMPUTED_VALUE"""),"No")</f>
        <v>No</v>
      </c>
      <c r="AJ2910" s="8" t="str">
        <f ca="1">IFERROR(__xludf.DUMMYFUNCTION("""COMPUTED_VALUE"""),"Yes")</f>
        <v>Yes</v>
      </c>
      <c r="AK2910" s="8" t="str">
        <f ca="1">IFERROR(__xludf.DUMMYFUNCTION("""COMPUTED_VALUE"""),"No")</f>
        <v>No</v>
      </c>
      <c r="AL2910" s="8" t="str">
        <f ca="1">IFERROR(__xludf.DUMMYFUNCTION("""COMPUTED_VALUE"""),"No")</f>
        <v>No</v>
      </c>
      <c r="AM2910" s="8" t="str">
        <f ca="1">IFERROR(__xludf.DUMMYFUNCTION("""COMPUTED_VALUE"""),"Yes")</f>
        <v>Yes</v>
      </c>
      <c r="AN2910" s="8" t="str">
        <f ca="1">IFERROR(__xludf.DUMMYFUNCTION("""COMPUTED_VALUE"""),"Single Room")</f>
        <v>Single Room</v>
      </c>
      <c r="AO2910" s="8" t="str">
        <f ca="1">IFERROR(__xludf.DUMMYFUNCTION("""COMPUTED_VALUE"""),"Yes")</f>
        <v>Yes</v>
      </c>
      <c r="AP2910" s="8" t="str">
        <f ca="1">IFERROR(__xludf.DUMMYFUNCTION("""COMPUTED_VALUE"""),"No")</f>
        <v>No</v>
      </c>
      <c r="AQ2910" s="8" t="str">
        <f ca="1">IFERROR(__xludf.DUMMYFUNCTION("""COMPUTED_VALUE"""),"None")</f>
        <v>None</v>
      </c>
      <c r="AR2910" s="8" t="str">
        <f ca="1">IFERROR(__xludf.DUMMYFUNCTION("""COMPUTED_VALUE"""),"NA")</f>
        <v>NA</v>
      </c>
      <c r="AS2910" s="8">
        <f ca="1">IFERROR(__xludf.DUMMYFUNCTION("""COMPUTED_VALUE"""),7)</f>
        <v>7</v>
      </c>
      <c r="AT2910" s="8"/>
      <c r="AU2910" s="8">
        <f ca="1">IFERROR(__xludf.DUMMYFUNCTION("""COMPUTED_VALUE"""),38.61003)</f>
        <v>38.610030000000002</v>
      </c>
      <c r="AV2910" s="8">
        <f ca="1">IFERROR(__xludf.DUMMYFUNCTION("""COMPUTED_VALUE"""),-90.507445)</f>
        <v>-90.507445000000004</v>
      </c>
      <c r="AW2910" s="8"/>
      <c r="AX2910" s="8">
        <f ca="1">IFERROR(__xludf.DUMMYFUNCTION("""COMPUTED_VALUE"""),63011)</f>
        <v>63011</v>
      </c>
    </row>
    <row r="2911" spans="1:50" ht="75" x14ac:dyDescent="0.2">
      <c r="A2911" s="8" t="str">
        <f ca="1">IFERROR(__xludf.DUMMYFUNCTION("""COMPUTED_VALUE"""),"19830118TXJOH")</f>
        <v>19830118TXJOH</v>
      </c>
      <c r="B2911" s="8">
        <f ca="1">IFERROR(__xludf.DUMMYFUNCTION("""COMPUTED_VALUE"""),1)</f>
        <v>1</v>
      </c>
      <c r="C2911" s="8">
        <f ca="1">IFERROR(__xludf.DUMMYFUNCTION("""COMPUTED_VALUE"""),18)</f>
        <v>18</v>
      </c>
      <c r="D2911" s="8">
        <f ca="1">IFERROR(__xludf.DUMMYFUNCTION("""COMPUTED_VALUE"""),1983)</f>
        <v>1983</v>
      </c>
      <c r="E2911" s="9">
        <f ca="1">IFERROR(__xludf.DUMMYFUNCTION("""COMPUTED_VALUE"""),30334)</f>
        <v>30334</v>
      </c>
      <c r="F2911" s="8" t="str">
        <f ca="1">IFERROR(__xludf.DUMMYFUNCTION("""COMPUTED_VALUE"""),"John H. Reagan High School")</f>
        <v>John H. Reagan High School</v>
      </c>
      <c r="G2911" s="8">
        <f ca="1">IFERROR(__xludf.DUMMYFUNCTION("""COMPUTED_VALUE"""),1)</f>
        <v>1</v>
      </c>
      <c r="H2911" s="8">
        <f ca="1">IFERROR(__xludf.DUMMYFUNCTION("""COMPUTED_VALUE"""),0)</f>
        <v>0</v>
      </c>
      <c r="I2911" s="8">
        <f ca="1">IFERROR(__xludf.DUMMYFUNCTION("""COMPUTED_VALUE"""),1)</f>
        <v>1</v>
      </c>
      <c r="J2911" s="8">
        <f ca="1">IFERROR(__xludf.DUMMYFUNCTION("""COMPUTED_VALUE"""),1)</f>
        <v>1</v>
      </c>
      <c r="K2911" s="8" t="str">
        <f ca="1">IFERROR(__xludf.DUMMYFUNCTION("""COMPUTED_VALUE"""),"https://www.newspapers.com/image/149416885/?terms=student%2Bshot; https://www.newspapers.com/image/18080004/?terms=student%2Bshot")</f>
        <v>https://www.newspapers.com/image/149416885/?terms=student%2Bshot; https://www.newspapers.com/image/18080004/?terms=student%2Bshot</v>
      </c>
      <c r="L2911" s="8"/>
      <c r="M2911" s="8"/>
      <c r="N2911" s="8">
        <f ca="1">IFERROR(__xludf.DUMMYFUNCTION("""COMPUTED_VALUE"""),3)</f>
        <v>3</v>
      </c>
      <c r="O2911" s="8" t="str">
        <f ca="1">IFERROR(__xludf.DUMMYFUNCTION("""COMPUTED_VALUE"""),"Winter")</f>
        <v>Winter</v>
      </c>
      <c r="P2911" s="8" t="str">
        <f ca="1">IFERROR(__xludf.DUMMYFUNCTION("""COMPUTED_VALUE"""),"Houston")</f>
        <v>Houston</v>
      </c>
      <c r="Q2911" s="8" t="str">
        <f ca="1">IFERROR(__xludf.DUMMYFUNCTION("""COMPUTED_VALUE"""),"TX")</f>
        <v>TX</v>
      </c>
      <c r="R2911" s="8" t="str">
        <f ca="1">IFERROR(__xludf.DUMMYFUNCTION("""COMPUTED_VALUE"""),"High")</f>
        <v>High</v>
      </c>
      <c r="S2911" s="8" t="str">
        <f ca="1">IFERROR(__xludf.DUMMYFUNCTION("""COMPUTED_VALUE"""),"Office")</f>
        <v>Office</v>
      </c>
      <c r="T2911" s="8" t="str">
        <f ca="1">IFERROR(__xludf.DUMMYFUNCTION("""COMPUTED_VALUE"""),"Inside School Building")</f>
        <v>Inside School Building</v>
      </c>
      <c r="U2911" s="8" t="str">
        <f ca="1">IFERROR(__xludf.DUMMYFUNCTION("""COMPUTED_VALUE"""),"Yes")</f>
        <v>Yes</v>
      </c>
      <c r="V2911" s="8" t="str">
        <f ca="1">IFERROR(__xludf.DUMMYFUNCTION("""COMPUTED_VALUE"""),"Morning Classes")</f>
        <v>Morning Classes</v>
      </c>
      <c r="W2911" s="11">
        <f ca="1">IFERROR(__xludf.DUMMYFUNCTION("""COMPUTED_VALUE"""),0.434027777777777)</f>
        <v>0.43402777777777701</v>
      </c>
      <c r="X2911" s="8">
        <f ca="1">IFERROR(__xludf.DUMMYFUNCTION("""COMPUTED_VALUE"""),1)</f>
        <v>1</v>
      </c>
      <c r="Y2911" s="12" t="str">
        <f ca="1">IFERROR(__xludf.DUMMYFUNCTION("""COMPUTED_VALUE"""),"Shooter killed wife and shot self in counselor's office")</f>
        <v>Shooter killed wife and shot self in counselor's office</v>
      </c>
      <c r="Z2911" s="12" t="str">
        <f ca="1">IFERROR(__xludf.DUMMYFUNCTION("""COMPUTED_VALUE"""),"Shooter shoots wife three times then shoots self while in counselor's office. Wife dies - shooter lives but in critical condition - later dies - father confirmed they were having marital problems and asked school officials to keep them apart.")</f>
        <v>Shooter shoots wife three times then shoots self while in counselor's office. Wife dies - shooter lives but in critical condition - later dies - father confirmed they were having marital problems and asked school officials to keep them apart.</v>
      </c>
      <c r="AA2911" s="8" t="str">
        <f ca="1">IFERROR(__xludf.DUMMYFUNCTION("""COMPUTED_VALUE"""),"Murder/Suicide")</f>
        <v>Murder/Suicide</v>
      </c>
      <c r="AB2911" s="8"/>
      <c r="AC2911" s="8"/>
      <c r="AD2911" s="8" t="str">
        <f ca="1">IFERROR(__xludf.DUMMYFUNCTION("""COMPUTED_VALUE"""),"Victims Targeted")</f>
        <v>Victims Targeted</v>
      </c>
      <c r="AE2911" s="8" t="str">
        <f ca="1">IFERROR(__xludf.DUMMYFUNCTION("""COMPUTED_VALUE"""),"No")</f>
        <v>No</v>
      </c>
      <c r="AF2911" s="8"/>
      <c r="AG2911" s="8" t="str">
        <f ca="1">IFERROR(__xludf.DUMMYFUNCTION("""COMPUTED_VALUE"""),"No")</f>
        <v>No</v>
      </c>
      <c r="AH2911" s="8" t="str">
        <f ca="1">IFERROR(__xludf.DUMMYFUNCTION("""COMPUTED_VALUE"""),"No")</f>
        <v>No</v>
      </c>
      <c r="AI2911" s="8" t="str">
        <f ca="1">IFERROR(__xludf.DUMMYFUNCTION("""COMPUTED_VALUE"""),"No")</f>
        <v>No</v>
      </c>
      <c r="AJ2911" s="8" t="str">
        <f ca="1">IFERROR(__xludf.DUMMYFUNCTION("""COMPUTED_VALUE"""),"No")</f>
        <v>No</v>
      </c>
      <c r="AK2911" s="8" t="str">
        <f ca="1">IFERROR(__xludf.DUMMYFUNCTION("""COMPUTED_VALUE"""),"Yes")</f>
        <v>Yes</v>
      </c>
      <c r="AL2911" s="8" t="str">
        <f ca="1">IFERROR(__xludf.DUMMYFUNCTION("""COMPUTED_VALUE"""),"No")</f>
        <v>No</v>
      </c>
      <c r="AM2911" s="8"/>
      <c r="AN2911" s="8"/>
      <c r="AO2911" s="8" t="str">
        <f ca="1">IFERROR(__xludf.DUMMYFUNCTION("""COMPUTED_VALUE"""),"No")</f>
        <v>No</v>
      </c>
      <c r="AP2911" s="8"/>
      <c r="AQ2911" s="8" t="str">
        <f ca="1">IFERROR(__xludf.DUMMYFUNCTION("""COMPUTED_VALUE"""),"Unknown")</f>
        <v>Unknown</v>
      </c>
      <c r="AR2911" s="8" t="str">
        <f ca="1">IFERROR(__xludf.DUMMYFUNCTION("""COMPUTED_VALUE"""),"NA")</f>
        <v>NA</v>
      </c>
      <c r="AS2911" s="8">
        <f ca="1">IFERROR(__xludf.DUMMYFUNCTION("""COMPUTED_VALUE"""),4)</f>
        <v>4</v>
      </c>
      <c r="AT2911" s="8"/>
      <c r="AU2911" s="8">
        <f ca="1">IFERROR(__xludf.DUMMYFUNCTION("""COMPUTED_VALUE"""),29.795407)</f>
        <v>29.795407000000001</v>
      </c>
      <c r="AV2911" s="8">
        <f ca="1">IFERROR(__xludf.DUMMYFUNCTION("""COMPUTED_VALUE"""),-95.39328)</f>
        <v>-95.393280000000004</v>
      </c>
      <c r="AW2911" s="8"/>
      <c r="AX2911" s="8">
        <f ca="1">IFERROR(__xludf.DUMMYFUNCTION("""COMPUTED_VALUE"""),77008)</f>
        <v>77008</v>
      </c>
    </row>
    <row r="2912" spans="1:50" ht="45" x14ac:dyDescent="0.2">
      <c r="A2912" s="8" t="str">
        <f ca="1">IFERROR(__xludf.DUMMYFUNCTION("""COMPUTED_VALUE"""),"19821220MIFID")</f>
        <v>19821220MIFID</v>
      </c>
      <c r="B2912" s="8">
        <f ca="1">IFERROR(__xludf.DUMMYFUNCTION("""COMPUTED_VALUE"""),12)</f>
        <v>12</v>
      </c>
      <c r="C2912" s="8">
        <f ca="1">IFERROR(__xludf.DUMMYFUNCTION("""COMPUTED_VALUE"""),20)</f>
        <v>20</v>
      </c>
      <c r="D2912" s="8">
        <f ca="1">IFERROR(__xludf.DUMMYFUNCTION("""COMPUTED_VALUE"""),1982)</f>
        <v>1982</v>
      </c>
      <c r="E2912" s="9">
        <f ca="1">IFERROR(__xludf.DUMMYFUNCTION("""COMPUTED_VALUE"""),30305)</f>
        <v>30305</v>
      </c>
      <c r="F2912" s="8" t="str">
        <f ca="1">IFERROR(__xludf.DUMMYFUNCTION("""COMPUTED_VALUE"""),"Finney High School")</f>
        <v>Finney High School</v>
      </c>
      <c r="G2912" s="8">
        <f ca="1">IFERROR(__xludf.DUMMYFUNCTION("""COMPUTED_VALUE"""),0)</f>
        <v>0</v>
      </c>
      <c r="H2912" s="8">
        <f ca="1">IFERROR(__xludf.DUMMYFUNCTION("""COMPUTED_VALUE"""),1)</f>
        <v>1</v>
      </c>
      <c r="I2912" s="8">
        <f ca="1">IFERROR(__xludf.DUMMYFUNCTION("""COMPUTED_VALUE"""),1)</f>
        <v>1</v>
      </c>
      <c r="J2912" s="8">
        <f ca="1">IFERROR(__xludf.DUMMYFUNCTION("""COMPUTED_VALUE"""),0)</f>
        <v>0</v>
      </c>
      <c r="K2912" s="8" t="str">
        <f ca="1">IFERROR(__xludf.DUMMYFUNCTION("""COMPUTED_VALUE"""),"https://www.newspapers.com/image/197202441/?terms=student%2Bshot  https://www.newspapers.com/image/97944028/?terms=kevin%2Bdaniel%2Bdavis")</f>
        <v>https://www.newspapers.com/image/197202441/?terms=student%2Bshot  https://www.newspapers.com/image/97944028/?terms=kevin%2Bdaniel%2Bdavis</v>
      </c>
      <c r="L2912" s="8"/>
      <c r="M2912" s="8"/>
      <c r="N2912" s="8">
        <f ca="1">IFERROR(__xludf.DUMMYFUNCTION("""COMPUTED_VALUE"""),3)</f>
        <v>3</v>
      </c>
      <c r="O2912" s="8" t="str">
        <f ca="1">IFERROR(__xludf.DUMMYFUNCTION("""COMPUTED_VALUE"""),"Winter")</f>
        <v>Winter</v>
      </c>
      <c r="P2912" s="8" t="str">
        <f ca="1">IFERROR(__xludf.DUMMYFUNCTION("""COMPUTED_VALUE"""),"Detroit")</f>
        <v>Detroit</v>
      </c>
      <c r="Q2912" s="8" t="str">
        <f ca="1">IFERROR(__xludf.DUMMYFUNCTION("""COMPUTED_VALUE"""),"MI")</f>
        <v>MI</v>
      </c>
      <c r="R2912" s="8" t="str">
        <f ca="1">IFERROR(__xludf.DUMMYFUNCTION("""COMPUTED_VALUE"""),"High")</f>
        <v>High</v>
      </c>
      <c r="S2912" s="8" t="str">
        <f ca="1">IFERROR(__xludf.DUMMYFUNCTION("""COMPUTED_VALUE"""),"Hallway")</f>
        <v>Hallway</v>
      </c>
      <c r="T2912" s="8" t="str">
        <f ca="1">IFERROR(__xludf.DUMMYFUNCTION("""COMPUTED_VALUE"""),"Inside School Building")</f>
        <v>Inside School Building</v>
      </c>
      <c r="U2912" s="8" t="str">
        <f ca="1">IFERROR(__xludf.DUMMYFUNCTION("""COMPUTED_VALUE"""),"Yes")</f>
        <v>Yes</v>
      </c>
      <c r="V2912" s="8" t="str">
        <f ca="1">IFERROR(__xludf.DUMMYFUNCTION("""COMPUTED_VALUE"""),"School Start")</f>
        <v>School Start</v>
      </c>
      <c r="W2912" s="11">
        <f ca="1">IFERROR(__xludf.DUMMYFUNCTION("""COMPUTED_VALUE"""),0.371527777777777)</f>
        <v>0.37152777777777701</v>
      </c>
      <c r="X2912" s="8">
        <f ca="1">IFERROR(__xludf.DUMMYFUNCTION("""COMPUTED_VALUE"""),1)</f>
        <v>1</v>
      </c>
      <c r="Y2912" s="12" t="str">
        <f ca="1">IFERROR(__xludf.DUMMYFUNCTION("""COMPUTED_VALUE"""),"Robbery for a jacket")</f>
        <v>Robbery for a jacket</v>
      </c>
      <c r="Z2912" s="12" t="str">
        <f ca="1">IFERROR(__xludf.DUMMYFUNCTION("""COMPUTED_VALUE"""),"Victim was robbed of his fur trimmed jacket in hallway of school - Victim was approached by three men all carrying guns - suspects fled school after shooting")</f>
        <v>Victim was robbed of his fur trimmed jacket in hallway of school - Victim was approached by three men all carrying guns - suspects fled school after shooting</v>
      </c>
      <c r="AA2912" s="8" t="str">
        <f ca="1">IFERROR(__xludf.DUMMYFUNCTION("""COMPUTED_VALUE"""),"Illegal Activity")</f>
        <v>Illegal Activity</v>
      </c>
      <c r="AB2912" s="8"/>
      <c r="AC2912" s="8"/>
      <c r="AD2912" s="8" t="str">
        <f ca="1">IFERROR(__xludf.DUMMYFUNCTION("""COMPUTED_VALUE"""),"Victims Targeted")</f>
        <v>Victims Targeted</v>
      </c>
      <c r="AE2912" s="8" t="str">
        <f ca="1">IFERROR(__xludf.DUMMYFUNCTION("""COMPUTED_VALUE"""),"Yes")</f>
        <v>Yes</v>
      </c>
      <c r="AF2912" s="8" t="str">
        <f ca="1">IFERROR(__xludf.DUMMYFUNCTION("""COMPUTED_VALUE"""),"2 others")</f>
        <v>2 others</v>
      </c>
      <c r="AG2912" s="8" t="str">
        <f ca="1">IFERROR(__xludf.DUMMYFUNCTION("""COMPUTED_VALUE"""),"No")</f>
        <v>No</v>
      </c>
      <c r="AH2912" s="8" t="str">
        <f ca="1">IFERROR(__xludf.DUMMYFUNCTION("""COMPUTED_VALUE"""),"No")</f>
        <v>No</v>
      </c>
      <c r="AI2912" s="8" t="str">
        <f ca="1">IFERROR(__xludf.DUMMYFUNCTION("""COMPUTED_VALUE"""),"No")</f>
        <v>No</v>
      </c>
      <c r="AJ2912" s="8" t="str">
        <f ca="1">IFERROR(__xludf.DUMMYFUNCTION("""COMPUTED_VALUE"""),"No")</f>
        <v>No</v>
      </c>
      <c r="AK2912" s="8" t="str">
        <f ca="1">IFERROR(__xludf.DUMMYFUNCTION("""COMPUTED_VALUE"""),"No")</f>
        <v>No</v>
      </c>
      <c r="AL2912" s="8" t="str">
        <f ca="1">IFERROR(__xludf.DUMMYFUNCTION("""COMPUTED_VALUE"""),"No")</f>
        <v>No</v>
      </c>
      <c r="AM2912" s="8"/>
      <c r="AN2912" s="8"/>
      <c r="AO2912" s="8" t="str">
        <f ca="1">IFERROR(__xludf.DUMMYFUNCTION("""COMPUTED_VALUE"""),"No")</f>
        <v>No</v>
      </c>
      <c r="AP2912" s="8"/>
      <c r="AQ2912" s="8" t="str">
        <f ca="1">IFERROR(__xludf.DUMMYFUNCTION("""COMPUTED_VALUE"""),"Unknown")</f>
        <v>Unknown</v>
      </c>
      <c r="AR2912" s="8" t="str">
        <f ca="1">IFERROR(__xludf.DUMMYFUNCTION("""COMPUTED_VALUE"""),"NA")</f>
        <v>NA</v>
      </c>
      <c r="AS2912" s="8">
        <f ca="1">IFERROR(__xludf.DUMMYFUNCTION("""COMPUTED_VALUE"""),1)</f>
        <v>1</v>
      </c>
      <c r="AT2912" s="8"/>
      <c r="AU2912" s="8">
        <f ca="1">IFERROR(__xludf.DUMMYFUNCTION("""COMPUTED_VALUE"""),42.390134)</f>
        <v>42.390134000000003</v>
      </c>
      <c r="AV2912" s="8">
        <f ca="1">IFERROR(__xludf.DUMMYFUNCTION("""COMPUTED_VALUE"""),-82.953572)</f>
        <v>-82.953571999999994</v>
      </c>
      <c r="AW2912" s="8"/>
      <c r="AX2912" s="8">
        <f ca="1">IFERROR(__xludf.DUMMYFUNCTION("""COMPUTED_VALUE"""),48215)</f>
        <v>48215</v>
      </c>
    </row>
    <row r="2913" spans="1:50" ht="105" x14ac:dyDescent="0.2">
      <c r="A2913" s="8" t="str">
        <f ca="1">IFERROR(__xludf.DUMMYFUNCTION("""COMPUTED_VALUE"""),"19821206ALHUH")</f>
        <v>19821206ALHUH</v>
      </c>
      <c r="B2913" s="8">
        <f ca="1">IFERROR(__xludf.DUMMYFUNCTION("""COMPUTED_VALUE"""),12)</f>
        <v>12</v>
      </c>
      <c r="C2913" s="8">
        <f ca="1">IFERROR(__xludf.DUMMYFUNCTION("""COMPUTED_VALUE"""),6)</f>
        <v>6</v>
      </c>
      <c r="D2913" s="8">
        <f ca="1">IFERROR(__xludf.DUMMYFUNCTION("""COMPUTED_VALUE"""),1982)</f>
        <v>1982</v>
      </c>
      <c r="E2913" s="9">
        <f ca="1">IFERROR(__xludf.DUMMYFUNCTION("""COMPUTED_VALUE"""),30291)</f>
        <v>30291</v>
      </c>
      <c r="F2913" s="8" t="str">
        <f ca="1">IFERROR(__xludf.DUMMYFUNCTION("""COMPUTED_VALUE"""),"Huntsville High School")</f>
        <v>Huntsville High School</v>
      </c>
      <c r="G2913" s="8">
        <f ca="1">IFERROR(__xludf.DUMMYFUNCTION("""COMPUTED_VALUE"""),0)</f>
        <v>0</v>
      </c>
      <c r="H2913" s="8">
        <f ca="1">IFERROR(__xludf.DUMMYFUNCTION("""COMPUTED_VALUE"""),0)</f>
        <v>0</v>
      </c>
      <c r="I2913" s="8">
        <f ca="1">IFERROR(__xludf.DUMMYFUNCTION("""COMPUTED_VALUE"""),0)</f>
        <v>0</v>
      </c>
      <c r="J2913" s="8">
        <f ca="1">IFERROR(__xludf.DUMMYFUNCTION("""COMPUTED_VALUE"""),1)</f>
        <v>1</v>
      </c>
      <c r="K2913" s="8" t="str">
        <f ca="1">IFERROR(__xludf.DUMMYFUNCTION("""COMPUTED_VALUE"""),"https://www.newspapers.com/image/183567523/?terms=STUDENT%2BSHOOTS  https://www.newspapers.com/image/257723192/?terms=AARON%2BTHOMAS%2Bhuntsville")</f>
        <v>https://www.newspapers.com/image/183567523/?terms=STUDENT%2BSHOOTS  https://www.newspapers.com/image/257723192/?terms=AARON%2BTHOMAS%2Bhuntsville</v>
      </c>
      <c r="L2913" s="8"/>
      <c r="M2913" s="8"/>
      <c r="N2913" s="8">
        <f ca="1">IFERROR(__xludf.DUMMYFUNCTION("""COMPUTED_VALUE"""),3)</f>
        <v>3</v>
      </c>
      <c r="O2913" s="8" t="str">
        <f ca="1">IFERROR(__xludf.DUMMYFUNCTION("""COMPUTED_VALUE"""),"Winter")</f>
        <v>Winter</v>
      </c>
      <c r="P2913" s="8" t="str">
        <f ca="1">IFERROR(__xludf.DUMMYFUNCTION("""COMPUTED_VALUE"""),"Huntsville")</f>
        <v>Huntsville</v>
      </c>
      <c r="Q2913" s="8" t="str">
        <f ca="1">IFERROR(__xludf.DUMMYFUNCTION("""COMPUTED_VALUE"""),"AL")</f>
        <v>AL</v>
      </c>
      <c r="R2913" s="8" t="str">
        <f ca="1">IFERROR(__xludf.DUMMYFUNCTION("""COMPUTED_VALUE"""),"High")</f>
        <v>High</v>
      </c>
      <c r="S2913" s="8" t="str">
        <f ca="1">IFERROR(__xludf.DUMMYFUNCTION("""COMPUTED_VALUE"""),"Classroom")</f>
        <v>Classroom</v>
      </c>
      <c r="T2913" s="8" t="str">
        <f ca="1">IFERROR(__xludf.DUMMYFUNCTION("""COMPUTED_VALUE"""),"Inside School Building")</f>
        <v>Inside School Building</v>
      </c>
      <c r="U2913" s="8" t="str">
        <f ca="1">IFERROR(__xludf.DUMMYFUNCTION("""COMPUTED_VALUE"""),"Yes")</f>
        <v>Yes</v>
      </c>
      <c r="V2913" s="8" t="str">
        <f ca="1">IFERROR(__xludf.DUMMYFUNCTION("""COMPUTED_VALUE"""),"Morning Classes")</f>
        <v>Morning Classes</v>
      </c>
      <c r="W2913" s="11">
        <f ca="1">IFERROR(__xludf.DUMMYFUNCTION("""COMPUTED_VALUE"""),0.489583333333333)</f>
        <v>0.48958333333333298</v>
      </c>
      <c r="X2913" s="8"/>
      <c r="Y2913" s="12" t="str">
        <f ca="1">IFERROR(__xludf.DUMMYFUNCTION("""COMPUTED_VALUE"""),"Shooter took teacher hostage then shot self in head")</f>
        <v>Shooter took teacher hostage then shot self in head</v>
      </c>
      <c r="Z2913" s="12" t="str">
        <f ca="1">IFERROR(__xludf.DUMMYFUNCTION("""COMPUTED_VALUE"""),"Student with known disturbance problems entered teacher's class demanding to talk with her - when she refused because she was teaching, he pulled small caliber gun from umbrella and pointed it at her. All students fled class. Teacher was held hostage unti"&amp;"l student shot self in head. Statements made that he was at risk for failing semester.  Pronounced dead later that evening")</f>
        <v>Student with known disturbance problems entered teacher's class demanding to talk with her - when she refused because she was teaching, he pulled small caliber gun from umbrella and pointed it at her. All students fled class. Teacher was held hostage until student shot self in head. Statements made that he was at risk for failing semester.  Pronounced dead later that evening</v>
      </c>
      <c r="AA2913" s="8" t="str">
        <f ca="1">IFERROR(__xludf.DUMMYFUNCTION("""COMPUTED_VALUE"""),"Suicide/Attempted")</f>
        <v>Suicide/Attempted</v>
      </c>
      <c r="AB2913" s="8"/>
      <c r="AC2913" s="8"/>
      <c r="AD2913" s="8" t="str">
        <f ca="1">IFERROR(__xludf.DUMMYFUNCTION("""COMPUTED_VALUE"""),"Victims Targeted")</f>
        <v>Victims Targeted</v>
      </c>
      <c r="AE2913" s="8" t="str">
        <f ca="1">IFERROR(__xludf.DUMMYFUNCTION("""COMPUTED_VALUE"""),"No")</f>
        <v>No</v>
      </c>
      <c r="AF2913" s="8"/>
      <c r="AG2913" s="8" t="str">
        <f ca="1">IFERROR(__xludf.DUMMYFUNCTION("""COMPUTED_VALUE"""),"Yes")</f>
        <v>Yes</v>
      </c>
      <c r="AH2913" s="8" t="str">
        <f ca="1">IFERROR(__xludf.DUMMYFUNCTION("""COMPUTED_VALUE"""),"Yes")</f>
        <v>Yes</v>
      </c>
      <c r="AI2913" s="8" t="str">
        <f ca="1">IFERROR(__xludf.DUMMYFUNCTION("""COMPUTED_VALUE"""),"No")</f>
        <v>No</v>
      </c>
      <c r="AJ2913" s="8" t="str">
        <f ca="1">IFERROR(__xludf.DUMMYFUNCTION("""COMPUTED_VALUE"""),"No")</f>
        <v>No</v>
      </c>
      <c r="AK2913" s="8" t="str">
        <f ca="1">IFERROR(__xludf.DUMMYFUNCTION("""COMPUTED_VALUE"""),"No")</f>
        <v>No</v>
      </c>
      <c r="AL2913" s="8" t="str">
        <f ca="1">IFERROR(__xludf.DUMMYFUNCTION("""COMPUTED_VALUE"""),"No")</f>
        <v>No</v>
      </c>
      <c r="AM2913" s="8"/>
      <c r="AN2913" s="8"/>
      <c r="AO2913" s="8" t="str">
        <f ca="1">IFERROR(__xludf.DUMMYFUNCTION("""COMPUTED_VALUE"""),"No")</f>
        <v>No</v>
      </c>
      <c r="AP2913" s="8"/>
      <c r="AQ2913" s="8" t="str">
        <f ca="1">IFERROR(__xludf.DUMMYFUNCTION("""COMPUTED_VALUE"""),"Unknown")</f>
        <v>Unknown</v>
      </c>
      <c r="AR2913" s="8" t="str">
        <f ca="1">IFERROR(__xludf.DUMMYFUNCTION("""COMPUTED_VALUE"""),"NA")</f>
        <v>NA</v>
      </c>
      <c r="AS2913" s="8">
        <f ca="1">IFERROR(__xludf.DUMMYFUNCTION("""COMPUTED_VALUE"""),1)</f>
        <v>1</v>
      </c>
      <c r="AT2913" s="8"/>
      <c r="AU2913" s="8">
        <f ca="1">IFERROR(__xludf.DUMMYFUNCTION("""COMPUTED_VALUE"""),34.713232)</f>
        <v>34.713231999999998</v>
      </c>
      <c r="AV2913" s="8">
        <f ca="1">IFERROR(__xludf.DUMMYFUNCTION("""COMPUTED_VALUE"""),-86.583871)</f>
        <v>-86.583871000000002</v>
      </c>
      <c r="AW2913" s="8"/>
      <c r="AX2913" s="8">
        <f ca="1">IFERROR(__xludf.DUMMYFUNCTION("""COMPUTED_VALUE"""),35801)</f>
        <v>35801</v>
      </c>
    </row>
    <row r="2914" spans="1:50" ht="75" x14ac:dyDescent="0.2">
      <c r="A2914" s="8" t="str">
        <f ca="1">IFERROR(__xludf.DUMMYFUNCTION("""COMPUTED_VALUE"""),"19821112MSWIJ")</f>
        <v>19821112MSWIJ</v>
      </c>
      <c r="B2914" s="8">
        <f ca="1">IFERROR(__xludf.DUMMYFUNCTION("""COMPUTED_VALUE"""),11)</f>
        <v>11</v>
      </c>
      <c r="C2914" s="8">
        <f ca="1">IFERROR(__xludf.DUMMYFUNCTION("""COMPUTED_VALUE"""),12)</f>
        <v>12</v>
      </c>
      <c r="D2914" s="8">
        <f ca="1">IFERROR(__xludf.DUMMYFUNCTION("""COMPUTED_VALUE"""),1982)</f>
        <v>1982</v>
      </c>
      <c r="E2914" s="9">
        <f ca="1">IFERROR(__xludf.DUMMYFUNCTION("""COMPUTED_VALUE"""),30267)</f>
        <v>30267</v>
      </c>
      <c r="F2914" s="8" t="str">
        <f ca="1">IFERROR(__xludf.DUMMYFUNCTION("""COMPUTED_VALUE"""),"Wingfield High School")</f>
        <v>Wingfield High School</v>
      </c>
      <c r="G2914" s="8">
        <f ca="1">IFERROR(__xludf.DUMMYFUNCTION("""COMPUTED_VALUE"""),1)</f>
        <v>1</v>
      </c>
      <c r="H2914" s="8">
        <f ca="1">IFERROR(__xludf.DUMMYFUNCTION("""COMPUTED_VALUE"""),0)</f>
        <v>0</v>
      </c>
      <c r="I2914" s="8">
        <f ca="1">IFERROR(__xludf.DUMMYFUNCTION("""COMPUTED_VALUE"""),1)</f>
        <v>1</v>
      </c>
      <c r="J2914" s="8">
        <f ca="1">IFERROR(__xludf.DUMMYFUNCTION("""COMPUTED_VALUE"""),1)</f>
        <v>1</v>
      </c>
      <c r="K2914" s="8" t="str">
        <f ca="1">IFERROR(__xludf.DUMMYFUNCTION("""COMPUTED_VALUE"""),"https://newspaperarchive.com/yuma-sun-nov-14-1982-p-6/   https://www.newspapers.com/image/314230215/?terms=james%2Bhartzog")</f>
        <v>https://newspaperarchive.com/yuma-sun-nov-14-1982-p-6/   https://www.newspapers.com/image/314230215/?terms=james%2Bhartzog</v>
      </c>
      <c r="L2914" s="8"/>
      <c r="M2914" s="8"/>
      <c r="N2914" s="8">
        <f ca="1">IFERROR(__xludf.DUMMYFUNCTION("""COMPUTED_VALUE"""),2)</f>
        <v>2</v>
      </c>
      <c r="O2914" s="8" t="str">
        <f ca="1">IFERROR(__xludf.DUMMYFUNCTION("""COMPUTED_VALUE"""),"Fall")</f>
        <v>Fall</v>
      </c>
      <c r="P2914" s="8" t="str">
        <f ca="1">IFERROR(__xludf.DUMMYFUNCTION("""COMPUTED_VALUE"""),"Jackson")</f>
        <v>Jackson</v>
      </c>
      <c r="Q2914" s="8" t="str">
        <f ca="1">IFERROR(__xludf.DUMMYFUNCTION("""COMPUTED_VALUE"""),"MS")</f>
        <v>MS</v>
      </c>
      <c r="R2914" s="8" t="str">
        <f ca="1">IFERROR(__xludf.DUMMYFUNCTION("""COMPUTED_VALUE"""),"High")</f>
        <v>High</v>
      </c>
      <c r="S2914" s="8" t="str">
        <f ca="1">IFERROR(__xludf.DUMMYFUNCTION("""COMPUTED_VALUE"""),"Classroom")</f>
        <v>Classroom</v>
      </c>
      <c r="T2914" s="8" t="str">
        <f ca="1">IFERROR(__xludf.DUMMYFUNCTION("""COMPUTED_VALUE"""),"Inside School Building")</f>
        <v>Inside School Building</v>
      </c>
      <c r="U2914" s="8" t="str">
        <f ca="1">IFERROR(__xludf.DUMMYFUNCTION("""COMPUTED_VALUE"""),"Yes")</f>
        <v>Yes</v>
      </c>
      <c r="V2914" s="8" t="str">
        <f ca="1">IFERROR(__xludf.DUMMYFUNCTION("""COMPUTED_VALUE"""),"Afternoon Classes")</f>
        <v>Afternoon Classes</v>
      </c>
      <c r="W2914" s="8"/>
      <c r="X2914" s="8">
        <f ca="1">IFERROR(__xludf.DUMMYFUNCTION("""COMPUTED_VALUE"""),1)</f>
        <v>1</v>
      </c>
      <c r="Y2914" s="12" t="str">
        <f ca="1">IFERROR(__xludf.DUMMYFUNCTION("""COMPUTED_VALUE"""),"Boyfriend came into girlfriend's algebra class, shot her with shotgun and killed self")</f>
        <v>Boyfriend came into girlfriend's algebra class, shot her with shotgun and killed self</v>
      </c>
      <c r="Z2914" s="12" t="str">
        <f ca="1">IFERROR(__xludf.DUMMYFUNCTION("""COMPUTED_VALUE"""),"Teacher in classroom tried to talk suspect down, but he waved shotgun and told teacher and everyone else to leave that ""this is between me and her,"" is ex-girlfriend. His mom knew he was upset about the breakup but didn't suspect he would kill anyone.")</f>
        <v>Teacher in classroom tried to talk suspect down, but he waved shotgun and told teacher and everyone else to leave that "this is between me and her," is ex-girlfriend. His mom knew he was upset about the breakup but didn't suspect he would kill anyone.</v>
      </c>
      <c r="AA2914" s="8" t="str">
        <f ca="1">IFERROR(__xludf.DUMMYFUNCTION("""COMPUTED_VALUE"""),"Murder/Suicide")</f>
        <v>Murder/Suicide</v>
      </c>
      <c r="AB2914" s="8"/>
      <c r="AC2914" s="8"/>
      <c r="AD2914" s="8" t="str">
        <f ca="1">IFERROR(__xludf.DUMMYFUNCTION("""COMPUTED_VALUE"""),"Victims Targeted")</f>
        <v>Victims Targeted</v>
      </c>
      <c r="AE2914" s="8" t="str">
        <f ca="1">IFERROR(__xludf.DUMMYFUNCTION("""COMPUTED_VALUE"""),"No")</f>
        <v>No</v>
      </c>
      <c r="AF2914" s="8"/>
      <c r="AG2914" s="8" t="str">
        <f ca="1">IFERROR(__xludf.DUMMYFUNCTION("""COMPUTED_VALUE"""),"No")</f>
        <v>No</v>
      </c>
      <c r="AH2914" s="8" t="str">
        <f ca="1">IFERROR(__xludf.DUMMYFUNCTION("""COMPUTED_VALUE"""),"No")</f>
        <v>No</v>
      </c>
      <c r="AI2914" s="8" t="str">
        <f ca="1">IFERROR(__xludf.DUMMYFUNCTION("""COMPUTED_VALUE"""),"No")</f>
        <v>No</v>
      </c>
      <c r="AJ2914" s="8" t="str">
        <f ca="1">IFERROR(__xludf.DUMMYFUNCTION("""COMPUTED_VALUE"""),"No")</f>
        <v>No</v>
      </c>
      <c r="AK2914" s="8" t="str">
        <f ca="1">IFERROR(__xludf.DUMMYFUNCTION("""COMPUTED_VALUE"""),"Yes")</f>
        <v>Yes</v>
      </c>
      <c r="AL2914" s="8" t="str">
        <f ca="1">IFERROR(__xludf.DUMMYFUNCTION("""COMPUTED_VALUE"""),"No")</f>
        <v>No</v>
      </c>
      <c r="AM2914" s="8"/>
      <c r="AN2914" s="8"/>
      <c r="AO2914" s="8" t="str">
        <f ca="1">IFERROR(__xludf.DUMMYFUNCTION("""COMPUTED_VALUE"""),"No")</f>
        <v>No</v>
      </c>
      <c r="AP2914" s="8"/>
      <c r="AQ2914" s="8" t="str">
        <f ca="1">IFERROR(__xludf.DUMMYFUNCTION("""COMPUTED_VALUE"""),"Unknown")</f>
        <v>Unknown</v>
      </c>
      <c r="AR2914" s="8" t="str">
        <f ca="1">IFERROR(__xludf.DUMMYFUNCTION("""COMPUTED_VALUE"""),"NA")</f>
        <v>NA</v>
      </c>
      <c r="AS2914" s="8">
        <f ca="1">IFERROR(__xludf.DUMMYFUNCTION("""COMPUTED_VALUE"""),3)</f>
        <v>3</v>
      </c>
      <c r="AT2914" s="8"/>
      <c r="AU2914" s="8">
        <f ca="1">IFERROR(__xludf.DUMMYFUNCTION("""COMPUTED_VALUE"""),32.280363)</f>
        <v>32.280363000000001</v>
      </c>
      <c r="AV2914" s="8">
        <f ca="1">IFERROR(__xludf.DUMMYFUNCTION("""COMPUTED_VALUE"""),-90.242065)</f>
        <v>-90.242064999999997</v>
      </c>
      <c r="AW2914" s="8"/>
      <c r="AX2914" s="8">
        <f ca="1">IFERROR(__xludf.DUMMYFUNCTION("""COMPUTED_VALUE"""),39204)</f>
        <v>39204</v>
      </c>
    </row>
    <row r="2915" spans="1:50" ht="75" x14ac:dyDescent="0.2">
      <c r="A2915" s="8" t="str">
        <f ca="1">IFERROR(__xludf.DUMMYFUNCTION("""COMPUTED_VALUE"""),"19821108MICOD")</f>
        <v>19821108MICOD</v>
      </c>
      <c r="B2915" s="8">
        <f ca="1">IFERROR(__xludf.DUMMYFUNCTION("""COMPUTED_VALUE"""),11)</f>
        <v>11</v>
      </c>
      <c r="C2915" s="8">
        <f ca="1">IFERROR(__xludf.DUMMYFUNCTION("""COMPUTED_VALUE"""),8)</f>
        <v>8</v>
      </c>
      <c r="D2915" s="8">
        <f ca="1">IFERROR(__xludf.DUMMYFUNCTION("""COMPUTED_VALUE"""),1982)</f>
        <v>1982</v>
      </c>
      <c r="E2915" s="9">
        <f ca="1">IFERROR(__xludf.DUMMYFUNCTION("""COMPUTED_VALUE"""),30263)</f>
        <v>30263</v>
      </c>
      <c r="F2915" s="8" t="str">
        <f ca="1">IFERROR(__xludf.DUMMYFUNCTION("""COMPUTED_VALUE"""),"Cooley High School")</f>
        <v>Cooley High School</v>
      </c>
      <c r="G2915" s="8">
        <f ca="1">IFERROR(__xludf.DUMMYFUNCTION("""COMPUTED_VALUE"""),0)</f>
        <v>0</v>
      </c>
      <c r="H2915" s="8">
        <f ca="1">IFERROR(__xludf.DUMMYFUNCTION("""COMPUTED_VALUE"""),2)</f>
        <v>2</v>
      </c>
      <c r="I2915" s="8">
        <f ca="1">IFERROR(__xludf.DUMMYFUNCTION("""COMPUTED_VALUE"""),2)</f>
        <v>2</v>
      </c>
      <c r="J2915" s="8">
        <f ca="1">IFERROR(__xludf.DUMMYFUNCTION("""COMPUTED_VALUE"""),0)</f>
        <v>0</v>
      </c>
      <c r="K2915" s="8" t="str">
        <f ca="1">IFERROR(__xludf.DUMMYFUNCTION("""COMPUTED_VALUE"""),"https://www.newspapers.com/image/216218915/?terms=student%2Bshot   https://www.newspapers.com/image/97507481/?terms=cooley%2Bhigh%2Bschool")</f>
        <v>https://www.newspapers.com/image/216218915/?terms=student%2Bshot   https://www.newspapers.com/image/97507481/?terms=cooley%2Bhigh%2Bschool</v>
      </c>
      <c r="L2915" s="8"/>
      <c r="M2915" s="8"/>
      <c r="N2915" s="8">
        <f ca="1">IFERROR(__xludf.DUMMYFUNCTION("""COMPUTED_VALUE"""),2)</f>
        <v>2</v>
      </c>
      <c r="O2915" s="8" t="str">
        <f ca="1">IFERROR(__xludf.DUMMYFUNCTION("""COMPUTED_VALUE"""),"Fall")</f>
        <v>Fall</v>
      </c>
      <c r="P2915" s="8" t="str">
        <f ca="1">IFERROR(__xludf.DUMMYFUNCTION("""COMPUTED_VALUE"""),"Detroit")</f>
        <v>Detroit</v>
      </c>
      <c r="Q2915" s="8" t="str">
        <f ca="1">IFERROR(__xludf.DUMMYFUNCTION("""COMPUTED_VALUE"""),"MI")</f>
        <v>MI</v>
      </c>
      <c r="R2915" s="8" t="str">
        <f ca="1">IFERROR(__xludf.DUMMYFUNCTION("""COMPUTED_VALUE"""),"High")</f>
        <v>High</v>
      </c>
      <c r="S2915" s="8" t="str">
        <f ca="1">IFERROR(__xludf.DUMMYFUNCTION("""COMPUTED_VALUE"""),"Inside School Building")</f>
        <v>Inside School Building</v>
      </c>
      <c r="T2915" s="8" t="str">
        <f ca="1">IFERROR(__xludf.DUMMYFUNCTION("""COMPUTED_VALUE"""),"Inside School Building")</f>
        <v>Inside School Building</v>
      </c>
      <c r="U2915" s="8" t="str">
        <f ca="1">IFERROR(__xludf.DUMMYFUNCTION("""COMPUTED_VALUE"""),"Yes")</f>
        <v>Yes</v>
      </c>
      <c r="V2915" s="8" t="str">
        <f ca="1">IFERROR(__xludf.DUMMYFUNCTION("""COMPUTED_VALUE"""),"Morning Classes")</f>
        <v>Morning Classes</v>
      </c>
      <c r="W2915" s="11">
        <f ca="1">IFERROR(__xludf.DUMMYFUNCTION("""COMPUTED_VALUE"""),0.340277777777777)</f>
        <v>0.34027777777777701</v>
      </c>
      <c r="X2915" s="8">
        <f ca="1">IFERROR(__xludf.DUMMYFUNCTION("""COMPUTED_VALUE"""),1)</f>
        <v>1</v>
      </c>
      <c r="Y2915" s="12" t="str">
        <f ca="1">IFERROR(__xludf.DUMMYFUNCTION("""COMPUTED_VALUE"""),"Shooter showing gun to friends accidentally goes off striking two students")</f>
        <v>Shooter showing gun to friends accidentally goes off striking two students</v>
      </c>
      <c r="Z2915" s="12" t="str">
        <f ca="1">IFERROR(__xludf.DUMMYFUNCTION("""COMPUTED_VALUE"""),"Student showing off .22 pistol to friends - gun accidentally goes off, ricocheted off the wall and struck two students.")</f>
        <v>Student showing off .22 pistol to friends - gun accidentally goes off, ricocheted off the wall and struck two students.</v>
      </c>
      <c r="AA2915" s="8" t="str">
        <f ca="1">IFERROR(__xludf.DUMMYFUNCTION("""COMPUTED_VALUE"""),"Accidental")</f>
        <v>Accidental</v>
      </c>
      <c r="AB2915" s="8"/>
      <c r="AC2915" s="8"/>
      <c r="AD2915" s="8" t="str">
        <f ca="1">IFERROR(__xludf.DUMMYFUNCTION("""COMPUTED_VALUE"""),"Random Shooting")</f>
        <v>Random Shooting</v>
      </c>
      <c r="AE2915" s="8"/>
      <c r="AF2915" s="8"/>
      <c r="AG2915" s="8" t="str">
        <f ca="1">IFERROR(__xludf.DUMMYFUNCTION("""COMPUTED_VALUE"""),"No")</f>
        <v>No</v>
      </c>
      <c r="AH2915" s="8" t="str">
        <f ca="1">IFERROR(__xludf.DUMMYFUNCTION("""COMPUTED_VALUE"""),"No")</f>
        <v>No</v>
      </c>
      <c r="AI2915" s="8" t="str">
        <f ca="1">IFERROR(__xludf.DUMMYFUNCTION("""COMPUTED_VALUE"""),"No")</f>
        <v>No</v>
      </c>
      <c r="AJ2915" s="8" t="str">
        <f ca="1">IFERROR(__xludf.DUMMYFUNCTION("""COMPUTED_VALUE"""),"No")</f>
        <v>No</v>
      </c>
      <c r="AK2915" s="8" t="str">
        <f ca="1">IFERROR(__xludf.DUMMYFUNCTION("""COMPUTED_VALUE"""),"No")</f>
        <v>No</v>
      </c>
      <c r="AL2915" s="8" t="str">
        <f ca="1">IFERROR(__xludf.DUMMYFUNCTION("""COMPUTED_VALUE"""),"No")</f>
        <v>No</v>
      </c>
      <c r="AM2915" s="8"/>
      <c r="AN2915" s="8"/>
      <c r="AO2915" s="8" t="str">
        <f ca="1">IFERROR(__xludf.DUMMYFUNCTION("""COMPUTED_VALUE"""),"No")</f>
        <v>No</v>
      </c>
      <c r="AP2915" s="8"/>
      <c r="AQ2915" s="8" t="str">
        <f ca="1">IFERROR(__xludf.DUMMYFUNCTION("""COMPUTED_VALUE"""),"Unknown")</f>
        <v>Unknown</v>
      </c>
      <c r="AR2915" s="8" t="str">
        <f ca="1">IFERROR(__xludf.DUMMYFUNCTION("""COMPUTED_VALUE"""),"NA")</f>
        <v>NA</v>
      </c>
      <c r="AS2915" s="8">
        <f ca="1">IFERROR(__xludf.DUMMYFUNCTION("""COMPUTED_VALUE"""),1)</f>
        <v>1</v>
      </c>
      <c r="AT2915" s="8"/>
      <c r="AU2915" s="8">
        <f ca="1">IFERROR(__xludf.DUMMYFUNCTION("""COMPUTED_VALUE"""),42.400359)</f>
        <v>42.400359000000002</v>
      </c>
      <c r="AV2915" s="8">
        <f ca="1">IFERROR(__xludf.DUMMYFUNCTION("""COMPUTED_VALUE"""),-83.189951)</f>
        <v>-83.189950999999994</v>
      </c>
      <c r="AW2915" s="8"/>
      <c r="AX2915" s="8">
        <f ca="1">IFERROR(__xludf.DUMMYFUNCTION("""COMPUTED_VALUE"""),48227)</f>
        <v>48227</v>
      </c>
    </row>
    <row r="2916" spans="1:50" ht="30" x14ac:dyDescent="0.2">
      <c r="A2916" s="8" t="str">
        <f ca="1">IFERROR(__xludf.DUMMYFUNCTION("""COMPUTED_VALUE"""),"19821101NYELE")</f>
        <v>19821101NYELE</v>
      </c>
      <c r="B2916" s="8">
        <f ca="1">IFERROR(__xludf.DUMMYFUNCTION("""COMPUTED_VALUE"""),11)</f>
        <v>11</v>
      </c>
      <c r="C2916" s="8">
        <f ca="1">IFERROR(__xludf.DUMMYFUNCTION("""COMPUTED_VALUE"""),1)</f>
        <v>1</v>
      </c>
      <c r="D2916" s="8">
        <f ca="1">IFERROR(__xludf.DUMMYFUNCTION("""COMPUTED_VALUE"""),1982)</f>
        <v>1982</v>
      </c>
      <c r="E2916" s="9">
        <f ca="1">IFERROR(__xludf.DUMMYFUNCTION("""COMPUTED_VALUE"""),30256)</f>
        <v>30256</v>
      </c>
      <c r="F2916" s="8" t="str">
        <f ca="1">IFERROR(__xludf.DUMMYFUNCTION("""COMPUTED_VALUE"""),"Elmont Memorial High School")</f>
        <v>Elmont Memorial High School</v>
      </c>
      <c r="G2916" s="8">
        <f ca="1">IFERROR(__xludf.DUMMYFUNCTION("""COMPUTED_VALUE"""),0)</f>
        <v>0</v>
      </c>
      <c r="H2916" s="8">
        <f ca="1">IFERROR(__xludf.DUMMYFUNCTION("""COMPUTED_VALUE"""),1)</f>
        <v>1</v>
      </c>
      <c r="I2916" s="8">
        <f ca="1">IFERROR(__xludf.DUMMYFUNCTION("""COMPUTED_VALUE"""),1)</f>
        <v>1</v>
      </c>
      <c r="J2916" s="8">
        <f ca="1">IFERROR(__xludf.DUMMYFUNCTION("""COMPUTED_VALUE"""),0)</f>
        <v>0</v>
      </c>
      <c r="K2916" s="10" t="str">
        <f ca="1">IFERROR(__xludf.DUMMYFUNCTION("""COMPUTED_VALUE"""),"https://www.newspapers.com/image/397000389/?terms=student%2Bshot")</f>
        <v>https://www.newspapers.com/image/397000389/?terms=student%2Bshot</v>
      </c>
      <c r="L2916" s="8"/>
      <c r="M2916" s="8"/>
      <c r="N2916" s="8">
        <f ca="1">IFERROR(__xludf.DUMMYFUNCTION("""COMPUTED_VALUE"""),2)</f>
        <v>2</v>
      </c>
      <c r="O2916" s="8" t="str">
        <f ca="1">IFERROR(__xludf.DUMMYFUNCTION("""COMPUTED_VALUE"""),"Fall")</f>
        <v>Fall</v>
      </c>
      <c r="P2916" s="8" t="str">
        <f ca="1">IFERROR(__xludf.DUMMYFUNCTION("""COMPUTED_VALUE"""),"Elmont")</f>
        <v>Elmont</v>
      </c>
      <c r="Q2916" s="8" t="str">
        <f ca="1">IFERROR(__xludf.DUMMYFUNCTION("""COMPUTED_VALUE"""),"NY")</f>
        <v>NY</v>
      </c>
      <c r="R2916" s="8" t="str">
        <f ca="1">IFERROR(__xludf.DUMMYFUNCTION("""COMPUTED_VALUE"""),"High")</f>
        <v>High</v>
      </c>
      <c r="S2916" s="8" t="str">
        <f ca="1">IFERROR(__xludf.DUMMYFUNCTION("""COMPUTED_VALUE"""),"Inside School Building")</f>
        <v>Inside School Building</v>
      </c>
      <c r="T2916" s="8" t="str">
        <f ca="1">IFERROR(__xludf.DUMMYFUNCTION("""COMPUTED_VALUE"""),"Inside School Building")</f>
        <v>Inside School Building</v>
      </c>
      <c r="U2916" s="8" t="str">
        <f ca="1">IFERROR(__xludf.DUMMYFUNCTION("""COMPUTED_VALUE"""),"Yes")</f>
        <v>Yes</v>
      </c>
      <c r="V2916" s="8" t="str">
        <f ca="1">IFERROR(__xludf.DUMMYFUNCTION("""COMPUTED_VALUE"""),"Afternoon Classes")</f>
        <v>Afternoon Classes</v>
      </c>
      <c r="W2916" s="11">
        <f ca="1">IFERROR(__xludf.DUMMYFUNCTION("""COMPUTED_VALUE"""),0.548611111111111)</f>
        <v>0.54861111111111105</v>
      </c>
      <c r="X2916" s="8">
        <f ca="1">IFERROR(__xludf.DUMMYFUNCTION("""COMPUTED_VALUE"""),1)</f>
        <v>1</v>
      </c>
      <c r="Y2916" s="12" t="str">
        <f ca="1">IFERROR(__xludf.DUMMYFUNCTION("""COMPUTED_VALUE"""),"Ongoing conflicts with fellow students")</f>
        <v>Ongoing conflicts with fellow students</v>
      </c>
      <c r="Z2916" s="12" t="str">
        <f ca="1">IFERROR(__xludf.DUMMYFUNCTION("""COMPUTED_VALUE"""),"Ongoing fight led to shooting")</f>
        <v>Ongoing fight led to shooting</v>
      </c>
      <c r="AA2916" s="8" t="str">
        <f ca="1">IFERROR(__xludf.DUMMYFUNCTION("""COMPUTED_VALUE"""),"Escalation of Dispute")</f>
        <v>Escalation of Dispute</v>
      </c>
      <c r="AB2916" s="8"/>
      <c r="AC2916" s="8"/>
      <c r="AD2916" s="8" t="str">
        <f ca="1">IFERROR(__xludf.DUMMYFUNCTION("""COMPUTED_VALUE"""),"Victims Targeted")</f>
        <v>Victims Targeted</v>
      </c>
      <c r="AE2916" s="8" t="str">
        <f ca="1">IFERROR(__xludf.DUMMYFUNCTION("""COMPUTED_VALUE"""),"No")</f>
        <v>No</v>
      </c>
      <c r="AF2916" s="8"/>
      <c r="AG2916" s="8" t="str">
        <f ca="1">IFERROR(__xludf.DUMMYFUNCTION("""COMPUTED_VALUE"""),"No")</f>
        <v>No</v>
      </c>
      <c r="AH2916" s="8" t="str">
        <f ca="1">IFERROR(__xludf.DUMMYFUNCTION("""COMPUTED_VALUE"""),"No")</f>
        <v>No</v>
      </c>
      <c r="AI2916" s="8" t="str">
        <f ca="1">IFERROR(__xludf.DUMMYFUNCTION("""COMPUTED_VALUE"""),"No")</f>
        <v>No</v>
      </c>
      <c r="AJ2916" s="8" t="str">
        <f ca="1">IFERROR(__xludf.DUMMYFUNCTION("""COMPUTED_VALUE"""),"No")</f>
        <v>No</v>
      </c>
      <c r="AK2916" s="8" t="str">
        <f ca="1">IFERROR(__xludf.DUMMYFUNCTION("""COMPUTED_VALUE"""),"No")</f>
        <v>No</v>
      </c>
      <c r="AL2916" s="8" t="str">
        <f ca="1">IFERROR(__xludf.DUMMYFUNCTION("""COMPUTED_VALUE"""),"No")</f>
        <v>No</v>
      </c>
      <c r="AM2916" s="8"/>
      <c r="AN2916" s="8"/>
      <c r="AO2916" s="8" t="str">
        <f ca="1">IFERROR(__xludf.DUMMYFUNCTION("""COMPUTED_VALUE"""),"No")</f>
        <v>No</v>
      </c>
      <c r="AP2916" s="8"/>
      <c r="AQ2916" s="8" t="str">
        <f ca="1">IFERROR(__xludf.DUMMYFUNCTION("""COMPUTED_VALUE"""),"Unknown")</f>
        <v>Unknown</v>
      </c>
      <c r="AR2916" s="8" t="str">
        <f ca="1">IFERROR(__xludf.DUMMYFUNCTION("""COMPUTED_VALUE"""),"NA")</f>
        <v>NA</v>
      </c>
      <c r="AS2916" s="8">
        <f ca="1">IFERROR(__xludf.DUMMYFUNCTION("""COMPUTED_VALUE"""),1)</f>
        <v>1</v>
      </c>
      <c r="AT2916" s="8"/>
      <c r="AU2916" s="8">
        <f ca="1">IFERROR(__xludf.DUMMYFUNCTION("""COMPUTED_VALUE"""),40.6971)</f>
        <v>40.697099999999999</v>
      </c>
      <c r="AV2916" s="8">
        <f ca="1">IFERROR(__xludf.DUMMYFUNCTION("""COMPUTED_VALUE"""),-73.71814)</f>
        <v>-73.718140000000005</v>
      </c>
      <c r="AW2916" s="8"/>
      <c r="AX2916" s="8">
        <f ca="1">IFERROR(__xludf.DUMMYFUNCTION("""COMPUTED_VALUE"""),11003)</f>
        <v>11003</v>
      </c>
    </row>
    <row r="2917" spans="1:50" ht="45" x14ac:dyDescent="0.2">
      <c r="A2917" s="8" t="str">
        <f ca="1">IFERROR(__xludf.DUMMYFUNCTION("""COMPUTED_VALUE"""),"19820915ARSOP")</f>
        <v>19820915ARSOP</v>
      </c>
      <c r="B2917" s="8">
        <f ca="1">IFERROR(__xludf.DUMMYFUNCTION("""COMPUTED_VALUE"""),9)</f>
        <v>9</v>
      </c>
      <c r="C2917" s="8">
        <f ca="1">IFERROR(__xludf.DUMMYFUNCTION("""COMPUTED_VALUE"""),15)</f>
        <v>15</v>
      </c>
      <c r="D2917" s="8">
        <f ca="1">IFERROR(__xludf.DUMMYFUNCTION("""COMPUTED_VALUE"""),1982)</f>
        <v>1982</v>
      </c>
      <c r="E2917" s="9">
        <f ca="1">IFERROR(__xludf.DUMMYFUNCTION("""COMPUTED_VALUE"""),30209)</f>
        <v>30209</v>
      </c>
      <c r="F2917" s="8" t="str">
        <f ca="1">IFERROR(__xludf.DUMMYFUNCTION("""COMPUTED_VALUE"""),"South West Middle School")</f>
        <v>South West Middle School</v>
      </c>
      <c r="G2917" s="8">
        <f ca="1">IFERROR(__xludf.DUMMYFUNCTION("""COMPUTED_VALUE"""),0)</f>
        <v>0</v>
      </c>
      <c r="H2917" s="8">
        <f ca="1">IFERROR(__xludf.DUMMYFUNCTION("""COMPUTED_VALUE"""),0)</f>
        <v>0</v>
      </c>
      <c r="I2917" s="8">
        <f ca="1">IFERROR(__xludf.DUMMYFUNCTION("""COMPUTED_VALUE"""),0)</f>
        <v>0</v>
      </c>
      <c r="J2917" s="8">
        <f ca="1">IFERROR(__xludf.DUMMYFUNCTION("""COMPUTED_VALUE"""),0)</f>
        <v>0</v>
      </c>
      <c r="K2917" s="10" t="str">
        <f ca="1">IFERROR(__xludf.DUMMYFUNCTION("""COMPUTED_VALUE"""),"https://www.newspapers.com/image/356116122/?terms=STUDENT%2BSHOOTS")</f>
        <v>https://www.newspapers.com/image/356116122/?terms=STUDENT%2BSHOOTS</v>
      </c>
      <c r="L2917" s="8"/>
      <c r="M2917" s="8"/>
      <c r="N2917" s="8">
        <f ca="1">IFERROR(__xludf.DUMMYFUNCTION("""COMPUTED_VALUE"""),2)</f>
        <v>2</v>
      </c>
      <c r="O2917" s="8" t="str">
        <f ca="1">IFERROR(__xludf.DUMMYFUNCTION("""COMPUTED_VALUE"""),"Fall")</f>
        <v>Fall</v>
      </c>
      <c r="P2917" s="8" t="str">
        <f ca="1">IFERROR(__xludf.DUMMYFUNCTION("""COMPUTED_VALUE"""),"Pine Bluff")</f>
        <v>Pine Bluff</v>
      </c>
      <c r="Q2917" s="8" t="str">
        <f ca="1">IFERROR(__xludf.DUMMYFUNCTION("""COMPUTED_VALUE"""),"AR")</f>
        <v>AR</v>
      </c>
      <c r="R2917" s="8" t="str">
        <f ca="1">IFERROR(__xludf.DUMMYFUNCTION("""COMPUTED_VALUE"""),"Middle")</f>
        <v>Middle</v>
      </c>
      <c r="S2917" s="8" t="str">
        <f ca="1">IFERROR(__xludf.DUMMYFUNCTION("""COMPUTED_VALUE"""),"Cafeteria")</f>
        <v>Cafeteria</v>
      </c>
      <c r="T2917" s="8" t="str">
        <f ca="1">IFERROR(__xludf.DUMMYFUNCTION("""COMPUTED_VALUE"""),"Inside School Building")</f>
        <v>Inside School Building</v>
      </c>
      <c r="U2917" s="8" t="str">
        <f ca="1">IFERROR(__xludf.DUMMYFUNCTION("""COMPUTED_VALUE"""),"Yes")</f>
        <v>Yes</v>
      </c>
      <c r="V2917" s="8" t="str">
        <f ca="1">IFERROR(__xludf.DUMMYFUNCTION("""COMPUTED_VALUE"""),"Lunch")</f>
        <v>Lunch</v>
      </c>
      <c r="W2917" s="8"/>
      <c r="X2917" s="8">
        <f ca="1">IFERROR(__xludf.DUMMYFUNCTION("""COMPUTED_VALUE"""),1)</f>
        <v>1</v>
      </c>
      <c r="Y2917" s="12" t="str">
        <f ca="1">IFERROR(__xludf.DUMMYFUNCTION("""COMPUTED_VALUE"""),"Student intentionally shot self in head during lunch")</f>
        <v>Student intentionally shot self in head during lunch</v>
      </c>
      <c r="Z2917" s="12" t="str">
        <f ca="1">IFERROR(__xludf.DUMMYFUNCTION("""COMPUTED_VALUE"""),"12 year old student shot self in head during lunch with .22 pistol while classmates watched")</f>
        <v>12 year old student shot self in head during lunch with .22 pistol while classmates watched</v>
      </c>
      <c r="AA2917" s="8" t="str">
        <f ca="1">IFERROR(__xludf.DUMMYFUNCTION("""COMPUTED_VALUE"""),"Suicide/Attempted")</f>
        <v>Suicide/Attempted</v>
      </c>
      <c r="AB2917" s="8"/>
      <c r="AC2917" s="8"/>
      <c r="AD2917" s="8" t="str">
        <f ca="1">IFERROR(__xludf.DUMMYFUNCTION("""COMPUTED_VALUE"""),"Victims Targeted")</f>
        <v>Victims Targeted</v>
      </c>
      <c r="AE2917" s="8" t="str">
        <f ca="1">IFERROR(__xludf.DUMMYFUNCTION("""COMPUTED_VALUE"""),"No")</f>
        <v>No</v>
      </c>
      <c r="AF2917" s="8"/>
      <c r="AG2917" s="8" t="str">
        <f ca="1">IFERROR(__xludf.DUMMYFUNCTION("""COMPUTED_VALUE"""),"No")</f>
        <v>No</v>
      </c>
      <c r="AH2917" s="8" t="str">
        <f ca="1">IFERROR(__xludf.DUMMYFUNCTION("""COMPUTED_VALUE"""),"No")</f>
        <v>No</v>
      </c>
      <c r="AI2917" s="8" t="str">
        <f ca="1">IFERROR(__xludf.DUMMYFUNCTION("""COMPUTED_VALUE"""),"No")</f>
        <v>No</v>
      </c>
      <c r="AJ2917" s="8"/>
      <c r="AK2917" s="8"/>
      <c r="AL2917" s="8" t="str">
        <f ca="1">IFERROR(__xludf.DUMMYFUNCTION("""COMPUTED_VALUE"""),"No")</f>
        <v>No</v>
      </c>
      <c r="AM2917" s="8"/>
      <c r="AN2917" s="8"/>
      <c r="AO2917" s="8" t="str">
        <f ca="1">IFERROR(__xludf.DUMMYFUNCTION("""COMPUTED_VALUE"""),"No")</f>
        <v>No</v>
      </c>
      <c r="AP2917" s="8"/>
      <c r="AQ2917" s="8" t="str">
        <f ca="1">IFERROR(__xludf.DUMMYFUNCTION("""COMPUTED_VALUE"""),"Unknown")</f>
        <v>Unknown</v>
      </c>
      <c r="AR2917" s="8" t="str">
        <f ca="1">IFERROR(__xludf.DUMMYFUNCTION("""COMPUTED_VALUE"""),"NA")</f>
        <v>NA</v>
      </c>
      <c r="AS2917" s="8">
        <f ca="1">IFERROR(__xludf.DUMMYFUNCTION("""COMPUTED_VALUE"""),1)</f>
        <v>1</v>
      </c>
      <c r="AT2917" s="8"/>
      <c r="AU2917" s="8">
        <f ca="1">IFERROR(__xludf.DUMMYFUNCTION("""COMPUTED_VALUE"""),34.209864)</f>
        <v>34.209864000000003</v>
      </c>
      <c r="AV2917" s="8">
        <f ca="1">IFERROR(__xludf.DUMMYFUNCTION("""COMPUTED_VALUE"""),-91.98838)</f>
        <v>-91.988380000000006</v>
      </c>
      <c r="AW2917" s="8"/>
      <c r="AX2917" s="8"/>
    </row>
    <row r="2918" spans="1:50" ht="75" x14ac:dyDescent="0.2">
      <c r="A2918" s="8" t="str">
        <f ca="1">IFERROR(__xludf.DUMMYFUNCTION("""COMPUTED_VALUE"""),"19820910VALAB")</f>
        <v>19820910VALAB</v>
      </c>
      <c r="B2918" s="8">
        <f ca="1">IFERROR(__xludf.DUMMYFUNCTION("""COMPUTED_VALUE"""),9)</f>
        <v>9</v>
      </c>
      <c r="C2918" s="8">
        <f ca="1">IFERROR(__xludf.DUMMYFUNCTION("""COMPUTED_VALUE"""),10)</f>
        <v>10</v>
      </c>
      <c r="D2918" s="8">
        <f ca="1">IFERROR(__xludf.DUMMYFUNCTION("""COMPUTED_VALUE"""),1982)</f>
        <v>1982</v>
      </c>
      <c r="E2918" s="9">
        <f ca="1">IFERROR(__xludf.DUMMYFUNCTION("""COMPUTED_VALUE"""),30204)</f>
        <v>30204</v>
      </c>
      <c r="F2918" s="8" t="str">
        <f ca="1">IFERROR(__xludf.DUMMYFUNCTION("""COMPUTED_VALUE"""),"Lake Braddock Secondary School")</f>
        <v>Lake Braddock Secondary School</v>
      </c>
      <c r="G2918" s="8">
        <f ca="1">IFERROR(__xludf.DUMMYFUNCTION("""COMPUTED_VALUE"""),0)</f>
        <v>0</v>
      </c>
      <c r="H2918" s="8">
        <f ca="1">IFERROR(__xludf.DUMMYFUNCTION("""COMPUTED_VALUE"""),0)</f>
        <v>0</v>
      </c>
      <c r="I2918" s="8">
        <f ca="1">IFERROR(__xludf.DUMMYFUNCTION("""COMPUTED_VALUE"""),0)</f>
        <v>0</v>
      </c>
      <c r="J2918" s="8">
        <f ca="1">IFERROR(__xludf.DUMMYFUNCTION("""COMPUTED_VALUE"""),0)</f>
        <v>0</v>
      </c>
      <c r="K2918" s="10" t="str">
        <f ca="1">IFERROR(__xludf.DUMMYFUNCTION("""COMPUTED_VALUE"""),"https://www.newspapers.com/image/365939621/?terms=Lake%2BBraddock%2BSecondary%2BSchool%2Bshooting")</f>
        <v>https://www.newspapers.com/image/365939621/?terms=Lake%2BBraddock%2BSecondary%2BSchool%2Bshooting</v>
      </c>
      <c r="L2918" s="8"/>
      <c r="M2918" s="8"/>
      <c r="N2918" s="8">
        <f ca="1">IFERROR(__xludf.DUMMYFUNCTION("""COMPUTED_VALUE"""),2)</f>
        <v>2</v>
      </c>
      <c r="O2918" s="8" t="str">
        <f ca="1">IFERROR(__xludf.DUMMYFUNCTION("""COMPUTED_VALUE"""),"Fall")</f>
        <v>Fall</v>
      </c>
      <c r="P2918" s="8" t="str">
        <f ca="1">IFERROR(__xludf.DUMMYFUNCTION("""COMPUTED_VALUE"""),"Burke")</f>
        <v>Burke</v>
      </c>
      <c r="Q2918" s="8" t="str">
        <f ca="1">IFERROR(__xludf.DUMMYFUNCTION("""COMPUTED_VALUE"""),"VA")</f>
        <v>VA</v>
      </c>
      <c r="R2918" s="8" t="str">
        <f ca="1">IFERROR(__xludf.DUMMYFUNCTION("""COMPUTED_VALUE"""),"Other")</f>
        <v>Other</v>
      </c>
      <c r="S2918" s="8" t="str">
        <f ca="1">IFERROR(__xludf.DUMMYFUNCTION("""COMPUTED_VALUE"""),"Inside School Building")</f>
        <v>Inside School Building</v>
      </c>
      <c r="T2918" s="8" t="str">
        <f ca="1">IFERROR(__xludf.DUMMYFUNCTION("""COMPUTED_VALUE"""),"Inside School Building")</f>
        <v>Inside School Building</v>
      </c>
      <c r="U2918" s="8" t="str">
        <f ca="1">IFERROR(__xludf.DUMMYFUNCTION("""COMPUTED_VALUE"""),"Yes")</f>
        <v>Yes</v>
      </c>
      <c r="V2918" s="8" t="str">
        <f ca="1">IFERROR(__xludf.DUMMYFUNCTION("""COMPUTED_VALUE"""),"Afternoon Classes")</f>
        <v>Afternoon Classes</v>
      </c>
      <c r="W2918" s="11">
        <f ca="1">IFERROR(__xludf.DUMMYFUNCTION("""COMPUTED_VALUE"""),0.572916666666666)</f>
        <v>0.57291666666666596</v>
      </c>
      <c r="X2918" s="8">
        <f ca="1">IFERROR(__xludf.DUMMYFUNCTION("""COMPUTED_VALUE"""),1260)</f>
        <v>1260</v>
      </c>
      <c r="Y2918" s="12" t="str">
        <f ca="1">IFERROR(__xludf.DUMMYFUNCTION("""COMPUTED_VALUE"""),"Held 9 students hostage for 21 hours")</f>
        <v>Held 9 students hostage for 21 hours</v>
      </c>
      <c r="Z2918" s="12" t="str">
        <f ca="1">IFERROR(__xludf.DUMMYFUNCTION("""COMPUTED_VALUE"""),"Distraught dropout held 9 hostages for 21 hours while looking for ex-girlfriend. Fired while entering school and fired at police during standoff but there were no injuries. Fired shots at ex-girlfriend when she was brought by police to talk with shooter. "&amp;"Eventually surrendered peacefully.")</f>
        <v>Distraught dropout held 9 hostages for 21 hours while looking for ex-girlfriend. Fired while entering school and fired at police during standoff but there were no injuries. Fired shots at ex-girlfriend when she was brought by police to talk with shooter. Eventually surrendered peacefully.</v>
      </c>
      <c r="AA2918" s="8" t="str">
        <f ca="1">IFERROR(__xludf.DUMMYFUNCTION("""COMPUTED_VALUE"""),"Hostage/Standoff")</f>
        <v>Hostage/Standoff</v>
      </c>
      <c r="AB2918" s="8"/>
      <c r="AC2918" s="8" t="str">
        <f ca="1">IFERROR(__xludf.DUMMYFUNCTION("""COMPUTED_VALUE"""),"Yes")</f>
        <v>Yes</v>
      </c>
      <c r="AD2918" s="8" t="str">
        <f ca="1">IFERROR(__xludf.DUMMYFUNCTION("""COMPUTED_VALUE"""),"Random Shooting")</f>
        <v>Random Shooting</v>
      </c>
      <c r="AE2918" s="8" t="str">
        <f ca="1">IFERROR(__xludf.DUMMYFUNCTION("""COMPUTED_VALUE"""),"No")</f>
        <v>No</v>
      </c>
      <c r="AF2918" s="8"/>
      <c r="AG2918" s="8" t="str">
        <f ca="1">IFERROR(__xludf.DUMMYFUNCTION("""COMPUTED_VALUE"""),"Yes")</f>
        <v>Yes</v>
      </c>
      <c r="AH2918" s="8" t="str">
        <f ca="1">IFERROR(__xludf.DUMMYFUNCTION("""COMPUTED_VALUE"""),"Yes")</f>
        <v>Yes</v>
      </c>
      <c r="AI2918" s="8" t="str">
        <f ca="1">IFERROR(__xludf.DUMMYFUNCTION("""COMPUTED_VALUE"""),"No")</f>
        <v>No</v>
      </c>
      <c r="AJ2918" s="8" t="str">
        <f ca="1">IFERROR(__xludf.DUMMYFUNCTION("""COMPUTED_VALUE"""),"No")</f>
        <v>No</v>
      </c>
      <c r="AK2918" s="8" t="str">
        <f ca="1">IFERROR(__xludf.DUMMYFUNCTION("""COMPUTED_VALUE"""),"No")</f>
        <v>No</v>
      </c>
      <c r="AL2918" s="8" t="str">
        <f ca="1">IFERROR(__xludf.DUMMYFUNCTION("""COMPUTED_VALUE"""),"No")</f>
        <v>No</v>
      </c>
      <c r="AM2918" s="8" t="str">
        <f ca="1">IFERROR(__xludf.DUMMYFUNCTION("""COMPUTED_VALUE"""),"Yes")</f>
        <v>Yes</v>
      </c>
      <c r="AN2918" s="8" t="str">
        <f ca="1">IFERROR(__xludf.DUMMYFUNCTION("""COMPUTED_VALUE"""),"Single Room")</f>
        <v>Single Room</v>
      </c>
      <c r="AO2918" s="8" t="str">
        <f ca="1">IFERROR(__xludf.DUMMYFUNCTION("""COMPUTED_VALUE"""),"Yes")</f>
        <v>Yes</v>
      </c>
      <c r="AP2918" s="8"/>
      <c r="AQ2918" s="8" t="str">
        <f ca="1">IFERROR(__xludf.DUMMYFUNCTION("""COMPUTED_VALUE"""),"Unknown")</f>
        <v>Unknown</v>
      </c>
      <c r="AR2918" s="8" t="str">
        <f ca="1">IFERROR(__xludf.DUMMYFUNCTION("""COMPUTED_VALUE"""),"NA")</f>
        <v>NA</v>
      </c>
      <c r="AS2918" s="8"/>
      <c r="AT2918" s="8"/>
      <c r="AU2918" s="8">
        <f ca="1">IFERROR(__xludf.DUMMYFUNCTION("""COMPUTED_VALUE"""),38.803481)</f>
        <v>38.803480999999998</v>
      </c>
      <c r="AV2918" s="8">
        <f ca="1">IFERROR(__xludf.DUMMYFUNCTION("""COMPUTED_VALUE"""),-77.265612)</f>
        <v>-77.265612000000004</v>
      </c>
      <c r="AW2918" s="8"/>
      <c r="AX2918" s="8">
        <f ca="1">IFERROR(__xludf.DUMMYFUNCTION("""COMPUTED_VALUE"""),22015)</f>
        <v>22015</v>
      </c>
    </row>
    <row r="2919" spans="1:50" ht="75" x14ac:dyDescent="0.2">
      <c r="A2919" s="8" t="str">
        <f ca="1">IFERROR(__xludf.DUMMYFUNCTION("""COMPUTED_VALUE"""),"19820527NVGAL")</f>
        <v>19820527NVGAL</v>
      </c>
      <c r="B2919" s="8">
        <f ca="1">IFERROR(__xludf.DUMMYFUNCTION("""COMPUTED_VALUE"""),5)</f>
        <v>5</v>
      </c>
      <c r="C2919" s="8">
        <f ca="1">IFERROR(__xludf.DUMMYFUNCTION("""COMPUTED_VALUE"""),27)</f>
        <v>27</v>
      </c>
      <c r="D2919" s="8">
        <f ca="1">IFERROR(__xludf.DUMMYFUNCTION("""COMPUTED_VALUE"""),1982)</f>
        <v>1982</v>
      </c>
      <c r="E2919" s="9">
        <f ca="1">IFERROR(__xludf.DUMMYFUNCTION("""COMPUTED_VALUE"""),30098)</f>
        <v>30098</v>
      </c>
      <c r="F2919" s="8" t="str">
        <f ca="1">IFERROR(__xludf.DUMMYFUNCTION("""COMPUTED_VALUE"""),"Garside Junior High School")</f>
        <v>Garside Junior High School</v>
      </c>
      <c r="G2919" s="8">
        <f ca="1">IFERROR(__xludf.DUMMYFUNCTION("""COMPUTED_VALUE"""),0)</f>
        <v>0</v>
      </c>
      <c r="H2919" s="8">
        <f ca="1">IFERROR(__xludf.DUMMYFUNCTION("""COMPUTED_VALUE"""),2)</f>
        <v>2</v>
      </c>
      <c r="I2919" s="8">
        <f ca="1">IFERROR(__xludf.DUMMYFUNCTION("""COMPUTED_VALUE"""),2)</f>
        <v>2</v>
      </c>
      <c r="J2919" s="8">
        <f ca="1">IFERROR(__xludf.DUMMYFUNCTION("""COMPUTED_VALUE"""),0)</f>
        <v>0</v>
      </c>
      <c r="K2919" s="10" t="str">
        <f ca="1">IFERROR(__xludf.DUMMYFUNCTION("""COMPUTED_VALUE"""),"https://www.newspapers.com/image/283184637/?terms=student%2Bshot")</f>
        <v>https://www.newspapers.com/image/283184637/?terms=student%2Bshot</v>
      </c>
      <c r="L2919" s="8"/>
      <c r="M2919" s="8"/>
      <c r="N2919" s="8">
        <f ca="1">IFERROR(__xludf.DUMMYFUNCTION("""COMPUTED_VALUE"""),2)</f>
        <v>2</v>
      </c>
      <c r="O2919" s="8" t="str">
        <f ca="1">IFERROR(__xludf.DUMMYFUNCTION("""COMPUTED_VALUE"""),"Spring")</f>
        <v>Spring</v>
      </c>
      <c r="P2919" s="8" t="str">
        <f ca="1">IFERROR(__xludf.DUMMYFUNCTION("""COMPUTED_VALUE"""),"Las Vegas")</f>
        <v>Las Vegas</v>
      </c>
      <c r="Q2919" s="8" t="str">
        <f ca="1">IFERROR(__xludf.DUMMYFUNCTION("""COMPUTED_VALUE"""),"NV")</f>
        <v>NV</v>
      </c>
      <c r="R2919" s="8" t="str">
        <f ca="1">IFERROR(__xludf.DUMMYFUNCTION("""COMPUTED_VALUE"""),"Junior High")</f>
        <v>Junior High</v>
      </c>
      <c r="S2919" s="8" t="str">
        <f ca="1">IFERROR(__xludf.DUMMYFUNCTION("""COMPUTED_VALUE"""),"Beside Building")</f>
        <v>Beside Building</v>
      </c>
      <c r="T2919" s="8" t="str">
        <f ca="1">IFERROR(__xludf.DUMMYFUNCTION("""COMPUTED_VALUE"""),"Outside on School Property")</f>
        <v>Outside on School Property</v>
      </c>
      <c r="U2919" s="8" t="str">
        <f ca="1">IFERROR(__xludf.DUMMYFUNCTION("""COMPUTED_VALUE"""),"Yes")</f>
        <v>Yes</v>
      </c>
      <c r="V2919" s="8" t="str">
        <f ca="1">IFERROR(__xludf.DUMMYFUNCTION("""COMPUTED_VALUE"""),"Dismissal")</f>
        <v>Dismissal</v>
      </c>
      <c r="W2919" s="8"/>
      <c r="X2919" s="8">
        <f ca="1">IFERROR(__xludf.DUMMYFUNCTION("""COMPUTED_VALUE"""),1)</f>
        <v>1</v>
      </c>
      <c r="Y2919" s="12" t="str">
        <f ca="1">IFERROR(__xludf.DUMMYFUNCTION("""COMPUTED_VALUE"""),"Two students shot by three males with high powered bb or pellet guns")</f>
        <v>Two students shot by three males with high powered bb or pellet guns</v>
      </c>
      <c r="Z2919" s="12" t="str">
        <f ca="1">IFERROR(__xludf.DUMMYFUNCTION("""COMPUTED_VALUE"""),"Two female students were standing outside school building when three males pulled up in a yellow truck and shot them using high powered Bb or pellet guns. Both girls were struck in the legs - treated at hospital and released. Suspects fled the scene - not"&amp;"hing further")</f>
        <v>Two female students were standing outside school building when three males pulled up in a yellow truck and shot them using high powered Bb or pellet guns. Both girls were struck in the legs - treated at hospital and released. Suspects fled the scene - nothing further</v>
      </c>
      <c r="AA2919" s="8" t="str">
        <f ca="1">IFERROR(__xludf.DUMMYFUNCTION("""COMPUTED_VALUE"""),"Drive-by Shooting")</f>
        <v>Drive-by Shooting</v>
      </c>
      <c r="AB2919" s="8"/>
      <c r="AC2919" s="8"/>
      <c r="AD2919" s="8"/>
      <c r="AE2919" s="8" t="str">
        <f ca="1">IFERROR(__xludf.DUMMYFUNCTION("""COMPUTED_VALUE"""),"Yes")</f>
        <v>Yes</v>
      </c>
      <c r="AF2919" s="8" t="str">
        <f ca="1">IFERROR(__xludf.DUMMYFUNCTION("""COMPUTED_VALUE"""),"Three males in car")</f>
        <v>Three males in car</v>
      </c>
      <c r="AG2919" s="8" t="str">
        <f ca="1">IFERROR(__xludf.DUMMYFUNCTION("""COMPUTED_VALUE"""),"No")</f>
        <v>No</v>
      </c>
      <c r="AH2919" s="8" t="str">
        <f ca="1">IFERROR(__xludf.DUMMYFUNCTION("""COMPUTED_VALUE"""),"No")</f>
        <v>No</v>
      </c>
      <c r="AI2919" s="8" t="str">
        <f ca="1">IFERROR(__xludf.DUMMYFUNCTION("""COMPUTED_VALUE"""),"No")</f>
        <v>No</v>
      </c>
      <c r="AJ2919" s="8"/>
      <c r="AK2919" s="8"/>
      <c r="AL2919" s="8" t="str">
        <f ca="1">IFERROR(__xludf.DUMMYFUNCTION("""COMPUTED_VALUE"""),"No")</f>
        <v>No</v>
      </c>
      <c r="AM2919" s="8"/>
      <c r="AN2919" s="8"/>
      <c r="AO2919" s="8"/>
      <c r="AP2919" s="8"/>
      <c r="AQ2919" s="8" t="str">
        <f ca="1">IFERROR(__xludf.DUMMYFUNCTION("""COMPUTED_VALUE"""),"Unknown")</f>
        <v>Unknown</v>
      </c>
      <c r="AR2919" s="8" t="str">
        <f ca="1">IFERROR(__xludf.DUMMYFUNCTION("""COMPUTED_VALUE"""),"NA")</f>
        <v>NA</v>
      </c>
      <c r="AS2919" s="8">
        <f ca="1">IFERROR(__xludf.DUMMYFUNCTION("""COMPUTED_VALUE"""),3)</f>
        <v>3</v>
      </c>
      <c r="AT2919" s="8"/>
      <c r="AU2919" s="8">
        <f ca="1">IFERROR(__xludf.DUMMYFUNCTION("""COMPUTED_VALUE"""),36.169591)</f>
        <v>36.169590999999997</v>
      </c>
      <c r="AV2919" s="8">
        <f ca="1">IFERROR(__xludf.DUMMYFUNCTION("""COMPUTED_VALUE"""),-115.234172)</f>
        <v>-115.234172</v>
      </c>
      <c r="AW2919" s="8"/>
      <c r="AX2919" s="8">
        <f ca="1">IFERROR(__xludf.DUMMYFUNCTION("""COMPUTED_VALUE"""),89107)</f>
        <v>89107</v>
      </c>
    </row>
    <row r="2920" spans="1:50" ht="60" x14ac:dyDescent="0.2">
      <c r="A2920" s="8" t="str">
        <f ca="1">IFERROR(__xludf.DUMMYFUNCTION("""COMPUTED_VALUE"""),"19820430FLANA")</f>
        <v>19820430FLANA</v>
      </c>
      <c r="B2920" s="8">
        <f ca="1">IFERROR(__xludf.DUMMYFUNCTION("""COMPUTED_VALUE"""),4)</f>
        <v>4</v>
      </c>
      <c r="C2920" s="8">
        <f ca="1">IFERROR(__xludf.DUMMYFUNCTION("""COMPUTED_VALUE"""),30)</f>
        <v>30</v>
      </c>
      <c r="D2920" s="8">
        <f ca="1">IFERROR(__xludf.DUMMYFUNCTION("""COMPUTED_VALUE"""),1982)</f>
        <v>1982</v>
      </c>
      <c r="E2920" s="9">
        <f ca="1">IFERROR(__xludf.DUMMYFUNCTION("""COMPUTED_VALUE"""),30071)</f>
        <v>30071</v>
      </c>
      <c r="F2920" s="8" t="str">
        <f ca="1">IFERROR(__xludf.DUMMYFUNCTION("""COMPUTED_VALUE"""),"Anniston High School")</f>
        <v>Anniston High School</v>
      </c>
      <c r="G2920" s="8">
        <f ca="1">IFERROR(__xludf.DUMMYFUNCTION("""COMPUTED_VALUE"""),0)</f>
        <v>0</v>
      </c>
      <c r="H2920" s="8">
        <f ca="1">IFERROR(__xludf.DUMMYFUNCTION("""COMPUTED_VALUE"""),1)</f>
        <v>1</v>
      </c>
      <c r="I2920" s="8">
        <f ca="1">IFERROR(__xludf.DUMMYFUNCTION("""COMPUTED_VALUE"""),1)</f>
        <v>1</v>
      </c>
      <c r="J2920" s="8">
        <f ca="1">IFERROR(__xludf.DUMMYFUNCTION("""COMPUTED_VALUE"""),0)</f>
        <v>0</v>
      </c>
      <c r="K2920" s="8" t="str">
        <f ca="1">IFERROR(__xludf.DUMMYFUNCTION("""COMPUTED_VALUE"""),"https://www.newspapers.com/image/266105025/?terms=student%2Bshot; https://www.newspapers.com/image/106680805/?terms=student%2Bshot")</f>
        <v>https://www.newspapers.com/image/266105025/?terms=student%2Bshot; https://www.newspapers.com/image/106680805/?terms=student%2Bshot</v>
      </c>
      <c r="L2920" s="8"/>
      <c r="M2920" s="8"/>
      <c r="N2920" s="8">
        <f ca="1">IFERROR(__xludf.DUMMYFUNCTION("""COMPUTED_VALUE"""),2)</f>
        <v>2</v>
      </c>
      <c r="O2920" s="8" t="str">
        <f ca="1">IFERROR(__xludf.DUMMYFUNCTION("""COMPUTED_VALUE"""),"Spring")</f>
        <v>Spring</v>
      </c>
      <c r="P2920" s="8" t="str">
        <f ca="1">IFERROR(__xludf.DUMMYFUNCTION("""COMPUTED_VALUE"""),"Anniston")</f>
        <v>Anniston</v>
      </c>
      <c r="Q2920" s="8" t="str">
        <f ca="1">IFERROR(__xludf.DUMMYFUNCTION("""COMPUTED_VALUE"""),"AL")</f>
        <v>AL</v>
      </c>
      <c r="R2920" s="8" t="str">
        <f ca="1">IFERROR(__xludf.DUMMYFUNCTION("""COMPUTED_VALUE"""),"High")</f>
        <v>High</v>
      </c>
      <c r="S2920" s="8" t="str">
        <f ca="1">IFERROR(__xludf.DUMMYFUNCTION("""COMPUTED_VALUE"""),"Parking Lot")</f>
        <v>Parking Lot</v>
      </c>
      <c r="T2920" s="8" t="str">
        <f ca="1">IFERROR(__xludf.DUMMYFUNCTION("""COMPUTED_VALUE"""),"Outside on School Property")</f>
        <v>Outside on School Property</v>
      </c>
      <c r="U2920" s="8" t="str">
        <f ca="1">IFERROR(__xludf.DUMMYFUNCTION("""COMPUTED_VALUE"""),"Yes")</f>
        <v>Yes</v>
      </c>
      <c r="V2920" s="8" t="str">
        <f ca="1">IFERROR(__xludf.DUMMYFUNCTION("""COMPUTED_VALUE"""),"Before School")</f>
        <v>Before School</v>
      </c>
      <c r="W2920" s="11">
        <f ca="1">IFERROR(__xludf.DUMMYFUNCTION("""COMPUTED_VALUE"""),0.309027777777777)</f>
        <v>0.30902777777777701</v>
      </c>
      <c r="X2920" s="8">
        <f ca="1">IFERROR(__xludf.DUMMYFUNCTION("""COMPUTED_VALUE"""),1)</f>
        <v>1</v>
      </c>
      <c r="Y2920" s="12" t="str">
        <f ca="1">IFERROR(__xludf.DUMMYFUNCTION("""COMPUTED_VALUE"""),"Shooting resulted from escalation of ongoing conflict in school parking lot")</f>
        <v>Shooting resulted from escalation of ongoing conflict in school parking lot</v>
      </c>
      <c r="Z2920" s="12" t="str">
        <f ca="1">IFERROR(__xludf.DUMMYFUNCTION("""COMPUTED_VALUE"""),"Escalation of ongoing conflict - occurred in parking lot of school")</f>
        <v>Escalation of ongoing conflict - occurred in parking lot of school</v>
      </c>
      <c r="AA2920" s="8" t="str">
        <f ca="1">IFERROR(__xludf.DUMMYFUNCTION("""COMPUTED_VALUE"""),"Escalation of Dispute")</f>
        <v>Escalation of Dispute</v>
      </c>
      <c r="AB2920" s="8"/>
      <c r="AC2920" s="8"/>
      <c r="AD2920" s="8" t="str">
        <f ca="1">IFERROR(__xludf.DUMMYFUNCTION("""COMPUTED_VALUE"""),"Victims Targeted")</f>
        <v>Victims Targeted</v>
      </c>
      <c r="AE2920" s="8" t="str">
        <f ca="1">IFERROR(__xludf.DUMMYFUNCTION("""COMPUTED_VALUE"""),"No")</f>
        <v>No</v>
      </c>
      <c r="AF2920" s="8"/>
      <c r="AG2920" s="8" t="str">
        <f ca="1">IFERROR(__xludf.DUMMYFUNCTION("""COMPUTED_VALUE"""),"No")</f>
        <v>No</v>
      </c>
      <c r="AH2920" s="8" t="str">
        <f ca="1">IFERROR(__xludf.DUMMYFUNCTION("""COMPUTED_VALUE"""),"No")</f>
        <v>No</v>
      </c>
      <c r="AI2920" s="8" t="str">
        <f ca="1">IFERROR(__xludf.DUMMYFUNCTION("""COMPUTED_VALUE"""),"No")</f>
        <v>No</v>
      </c>
      <c r="AJ2920" s="8" t="str">
        <f ca="1">IFERROR(__xludf.DUMMYFUNCTION("""COMPUTED_VALUE"""),"No")</f>
        <v>No</v>
      </c>
      <c r="AK2920" s="8" t="str">
        <f ca="1">IFERROR(__xludf.DUMMYFUNCTION("""COMPUTED_VALUE"""),"No")</f>
        <v>No</v>
      </c>
      <c r="AL2920" s="8" t="str">
        <f ca="1">IFERROR(__xludf.DUMMYFUNCTION("""COMPUTED_VALUE"""),"No")</f>
        <v>No</v>
      </c>
      <c r="AM2920" s="8"/>
      <c r="AN2920" s="8"/>
      <c r="AO2920" s="8" t="str">
        <f ca="1">IFERROR(__xludf.DUMMYFUNCTION("""COMPUTED_VALUE"""),"No")</f>
        <v>No</v>
      </c>
      <c r="AP2920" s="8"/>
      <c r="AQ2920" s="8" t="str">
        <f ca="1">IFERROR(__xludf.DUMMYFUNCTION("""COMPUTED_VALUE"""),"Unknown")</f>
        <v>Unknown</v>
      </c>
      <c r="AR2920" s="8" t="str">
        <f ca="1">IFERROR(__xludf.DUMMYFUNCTION("""COMPUTED_VALUE"""),"NA")</f>
        <v>NA</v>
      </c>
      <c r="AS2920" s="8">
        <f ca="1">IFERROR(__xludf.DUMMYFUNCTION("""COMPUTED_VALUE"""),1)</f>
        <v>1</v>
      </c>
      <c r="AT2920" s="8"/>
      <c r="AU2920" s="8">
        <f ca="1">IFERROR(__xludf.DUMMYFUNCTION("""COMPUTED_VALUE"""),33.660614)</f>
        <v>33.660614000000002</v>
      </c>
      <c r="AV2920" s="8">
        <f ca="1">IFERROR(__xludf.DUMMYFUNCTION("""COMPUTED_VALUE"""),-85.820031)</f>
        <v>-85.820031</v>
      </c>
      <c r="AW2920" s="8"/>
      <c r="AX2920" s="8">
        <f ca="1">IFERROR(__xludf.DUMMYFUNCTION("""COMPUTED_VALUE"""),36207)</f>
        <v>36207</v>
      </c>
    </row>
    <row r="2921" spans="1:50" ht="75" x14ac:dyDescent="0.2">
      <c r="A2921" s="8" t="str">
        <f ca="1">IFERROR(__xludf.DUMMYFUNCTION("""COMPUTED_VALUE"""),"19820429GARUE")</f>
        <v>19820429GARUE</v>
      </c>
      <c r="B2921" s="8">
        <f ca="1">IFERROR(__xludf.DUMMYFUNCTION("""COMPUTED_VALUE"""),4)</f>
        <v>4</v>
      </c>
      <c r="C2921" s="8">
        <f ca="1">IFERROR(__xludf.DUMMYFUNCTION("""COMPUTED_VALUE"""),29)</f>
        <v>29</v>
      </c>
      <c r="D2921" s="8">
        <f ca="1">IFERROR(__xludf.DUMMYFUNCTION("""COMPUTED_VALUE"""),1982)</f>
        <v>1982</v>
      </c>
      <c r="E2921" s="9">
        <f ca="1">IFERROR(__xludf.DUMMYFUNCTION("""COMPUTED_VALUE"""),30070)</f>
        <v>30070</v>
      </c>
      <c r="F2921" s="8" t="str">
        <f ca="1">IFERROR(__xludf.DUMMYFUNCTION("""COMPUTED_VALUE"""),"Russell High School")</f>
        <v>Russell High School</v>
      </c>
      <c r="G2921" s="8">
        <f ca="1">IFERROR(__xludf.DUMMYFUNCTION("""COMPUTED_VALUE"""),0)</f>
        <v>0</v>
      </c>
      <c r="H2921" s="8">
        <f ca="1">IFERROR(__xludf.DUMMYFUNCTION("""COMPUTED_VALUE"""),0)</f>
        <v>0</v>
      </c>
      <c r="I2921" s="8">
        <f ca="1">IFERROR(__xludf.DUMMYFUNCTION("""COMPUTED_VALUE"""),0)</f>
        <v>0</v>
      </c>
      <c r="J2921" s="8">
        <f ca="1">IFERROR(__xludf.DUMMYFUNCTION("""COMPUTED_VALUE"""),0)</f>
        <v>0</v>
      </c>
      <c r="K2921" s="10" t="str">
        <f ca="1">IFERROR(__xludf.DUMMYFUNCTION("""COMPUTED_VALUE"""),"https://www.newspapers.com/image/399546733/?terms=student%2Bshot&amp;match=3")</f>
        <v>https://www.newspapers.com/image/399546733/?terms=student%2Bshot&amp;match=3</v>
      </c>
      <c r="L2921" s="8"/>
      <c r="M2921" s="8"/>
      <c r="N2921" s="8">
        <f ca="1">IFERROR(__xludf.DUMMYFUNCTION("""COMPUTED_VALUE"""),2)</f>
        <v>2</v>
      </c>
      <c r="O2921" s="8" t="str">
        <f ca="1">IFERROR(__xludf.DUMMYFUNCTION("""COMPUTED_VALUE"""),"Spring")</f>
        <v>Spring</v>
      </c>
      <c r="P2921" s="8" t="str">
        <f ca="1">IFERROR(__xludf.DUMMYFUNCTION("""COMPUTED_VALUE"""),"East Point")</f>
        <v>East Point</v>
      </c>
      <c r="Q2921" s="8" t="str">
        <f ca="1">IFERROR(__xludf.DUMMYFUNCTION("""COMPUTED_VALUE"""),"GA")</f>
        <v>GA</v>
      </c>
      <c r="R2921" s="8" t="str">
        <f ca="1">IFERROR(__xludf.DUMMYFUNCTION("""COMPUTED_VALUE"""),"High")</f>
        <v>High</v>
      </c>
      <c r="S2921" s="8" t="str">
        <f ca="1">IFERROR(__xludf.DUMMYFUNCTION("""COMPUTED_VALUE"""),"Inside School Building")</f>
        <v>Inside School Building</v>
      </c>
      <c r="T2921" s="8" t="str">
        <f ca="1">IFERROR(__xludf.DUMMYFUNCTION("""COMPUTED_VALUE"""),"Inside School Building")</f>
        <v>Inside School Building</v>
      </c>
      <c r="U2921" s="8" t="str">
        <f ca="1">IFERROR(__xludf.DUMMYFUNCTION("""COMPUTED_VALUE"""),"Yes")</f>
        <v>Yes</v>
      </c>
      <c r="V2921" s="8" t="str">
        <f ca="1">IFERROR(__xludf.DUMMYFUNCTION("""COMPUTED_VALUE"""),"Morning Classes")</f>
        <v>Morning Classes</v>
      </c>
      <c r="W2921" s="11">
        <f ca="1">IFERROR(__xludf.DUMMYFUNCTION("""COMPUTED_VALUE"""),0.4375)</f>
        <v>0.4375</v>
      </c>
      <c r="X2921" s="8">
        <f ca="1">IFERROR(__xludf.DUMMYFUNCTION("""COMPUTED_VALUE"""),1)</f>
        <v>1</v>
      </c>
      <c r="Y2921" s="12" t="str">
        <f ca="1">IFERROR(__xludf.DUMMYFUNCTION("""COMPUTED_VALUE"""),"ROTC Student cleaning rifle presumed unloaded - accidental shooting of self")</f>
        <v>ROTC Student cleaning rifle presumed unloaded - accidental shooting of self</v>
      </c>
      <c r="Z2921" s="12" t="str">
        <f ca="1">IFERROR(__xludf.DUMMYFUNCTION("""COMPUTED_VALUE"""),"ROTC Student cleaning rifle presumed unloaded - accidental shooting of self")</f>
        <v>ROTC Student cleaning rifle presumed unloaded - accidental shooting of self</v>
      </c>
      <c r="AA2921" s="8" t="str">
        <f ca="1">IFERROR(__xludf.DUMMYFUNCTION("""COMPUTED_VALUE"""),"Accidental")</f>
        <v>Accidental</v>
      </c>
      <c r="AB2921" s="8"/>
      <c r="AC2921" s="8"/>
      <c r="AD2921" s="8" t="str">
        <f ca="1">IFERROR(__xludf.DUMMYFUNCTION("""COMPUTED_VALUE"""),"Random Shooting")</f>
        <v>Random Shooting</v>
      </c>
      <c r="AE2921" s="8"/>
      <c r="AF2921" s="8"/>
      <c r="AG2921" s="8" t="str">
        <f ca="1">IFERROR(__xludf.DUMMYFUNCTION("""COMPUTED_VALUE"""),"No")</f>
        <v>No</v>
      </c>
      <c r="AH2921" s="8" t="str">
        <f ca="1">IFERROR(__xludf.DUMMYFUNCTION("""COMPUTED_VALUE"""),"No")</f>
        <v>No</v>
      </c>
      <c r="AI2921" s="8" t="str">
        <f ca="1">IFERROR(__xludf.DUMMYFUNCTION("""COMPUTED_VALUE"""),"No")</f>
        <v>No</v>
      </c>
      <c r="AJ2921" s="8" t="str">
        <f ca="1">IFERROR(__xludf.DUMMYFUNCTION("""COMPUTED_VALUE"""),"No")</f>
        <v>No</v>
      </c>
      <c r="AK2921" s="8" t="str">
        <f ca="1">IFERROR(__xludf.DUMMYFUNCTION("""COMPUTED_VALUE"""),"No")</f>
        <v>No</v>
      </c>
      <c r="AL2921" s="8" t="str">
        <f ca="1">IFERROR(__xludf.DUMMYFUNCTION("""COMPUTED_VALUE"""),"No")</f>
        <v>No</v>
      </c>
      <c r="AM2921" s="8"/>
      <c r="AN2921" s="8"/>
      <c r="AO2921" s="8" t="str">
        <f ca="1">IFERROR(__xludf.DUMMYFUNCTION("""COMPUTED_VALUE"""),"No")</f>
        <v>No</v>
      </c>
      <c r="AP2921" s="8"/>
      <c r="AQ2921" s="8" t="str">
        <f ca="1">IFERROR(__xludf.DUMMYFUNCTION("""COMPUTED_VALUE"""),"Unknown")</f>
        <v>Unknown</v>
      </c>
      <c r="AR2921" s="8" t="str">
        <f ca="1">IFERROR(__xludf.DUMMYFUNCTION("""COMPUTED_VALUE"""),"NA")</f>
        <v>NA</v>
      </c>
      <c r="AS2921" s="8">
        <f ca="1">IFERROR(__xludf.DUMMYFUNCTION("""COMPUTED_VALUE"""),1)</f>
        <v>1</v>
      </c>
      <c r="AT2921" s="8"/>
      <c r="AU2921" s="8">
        <f ca="1">IFERROR(__xludf.DUMMYFUNCTION("""COMPUTED_VALUE"""),33.699054)</f>
        <v>33.699053999999997</v>
      </c>
      <c r="AV2921" s="8">
        <f ca="1">IFERROR(__xludf.DUMMYFUNCTION("""COMPUTED_VALUE"""),-84.491038)</f>
        <v>-84.491038000000003</v>
      </c>
      <c r="AW2921" s="8"/>
      <c r="AX2921" s="8">
        <f ca="1">IFERROR(__xludf.DUMMYFUNCTION("""COMPUTED_VALUE"""),30311)</f>
        <v>30311</v>
      </c>
    </row>
    <row r="2922" spans="1:50" ht="75" x14ac:dyDescent="0.2">
      <c r="A2922" s="8" t="str">
        <f ca="1">IFERROR(__xludf.DUMMYFUNCTION("""COMPUTED_VALUE"""),"19820415MDFOB")</f>
        <v>19820415MDFOB</v>
      </c>
      <c r="B2922" s="8">
        <f ca="1">IFERROR(__xludf.DUMMYFUNCTION("""COMPUTED_VALUE"""),4)</f>
        <v>4</v>
      </c>
      <c r="C2922" s="8">
        <f ca="1">IFERROR(__xludf.DUMMYFUNCTION("""COMPUTED_VALUE"""),15)</f>
        <v>15</v>
      </c>
      <c r="D2922" s="8">
        <f ca="1">IFERROR(__xludf.DUMMYFUNCTION("""COMPUTED_VALUE"""),1982)</f>
        <v>1982</v>
      </c>
      <c r="E2922" s="9">
        <f ca="1">IFERROR(__xludf.DUMMYFUNCTION("""COMPUTED_VALUE"""),30056)</f>
        <v>30056</v>
      </c>
      <c r="F2922" s="8" t="str">
        <f ca="1">IFERROR(__xludf.DUMMYFUNCTION("""COMPUTED_VALUE"""),"Forest Park Senior High School")</f>
        <v>Forest Park Senior High School</v>
      </c>
      <c r="G2922" s="8">
        <f ca="1">IFERROR(__xludf.DUMMYFUNCTION("""COMPUTED_VALUE"""),0)</f>
        <v>0</v>
      </c>
      <c r="H2922" s="8">
        <f ca="1">IFERROR(__xludf.DUMMYFUNCTION("""COMPUTED_VALUE"""),1)</f>
        <v>1</v>
      </c>
      <c r="I2922" s="8">
        <f ca="1">IFERROR(__xludf.DUMMYFUNCTION("""COMPUTED_VALUE"""),1)</f>
        <v>1</v>
      </c>
      <c r="J2922" s="8">
        <f ca="1">IFERROR(__xludf.DUMMYFUNCTION("""COMPUTED_VALUE"""),0)</f>
        <v>0</v>
      </c>
      <c r="K2922" s="10" t="str">
        <f ca="1">IFERROR(__xludf.DUMMYFUNCTION("""COMPUTED_VALUE"""),"https://www.newspapers.com/image/377444331/?terms=TEACHER%2BSHOT")</f>
        <v>https://www.newspapers.com/image/377444331/?terms=TEACHER%2BSHOT</v>
      </c>
      <c r="L2922" s="8"/>
      <c r="M2922" s="8"/>
      <c r="N2922" s="8">
        <f ca="1">IFERROR(__xludf.DUMMYFUNCTION("""COMPUTED_VALUE"""),2)</f>
        <v>2</v>
      </c>
      <c r="O2922" s="8" t="str">
        <f ca="1">IFERROR(__xludf.DUMMYFUNCTION("""COMPUTED_VALUE"""),"Spring")</f>
        <v>Spring</v>
      </c>
      <c r="P2922" s="8" t="str">
        <f ca="1">IFERROR(__xludf.DUMMYFUNCTION("""COMPUTED_VALUE"""),"Baltimore")</f>
        <v>Baltimore</v>
      </c>
      <c r="Q2922" s="8" t="str">
        <f ca="1">IFERROR(__xludf.DUMMYFUNCTION("""COMPUTED_VALUE"""),"MD")</f>
        <v>MD</v>
      </c>
      <c r="R2922" s="8" t="str">
        <f ca="1">IFERROR(__xludf.DUMMYFUNCTION("""COMPUTED_VALUE"""),"High")</f>
        <v>High</v>
      </c>
      <c r="S2922" s="8" t="str">
        <f ca="1">IFERROR(__xludf.DUMMYFUNCTION("""COMPUTED_VALUE"""),"Hallway")</f>
        <v>Hallway</v>
      </c>
      <c r="T2922" s="8" t="str">
        <f ca="1">IFERROR(__xludf.DUMMYFUNCTION("""COMPUTED_VALUE"""),"Inside School Building")</f>
        <v>Inside School Building</v>
      </c>
      <c r="U2922" s="8" t="str">
        <f ca="1">IFERROR(__xludf.DUMMYFUNCTION("""COMPUTED_VALUE"""),"Yes")</f>
        <v>Yes</v>
      </c>
      <c r="V2922" s="8" t="str">
        <f ca="1">IFERROR(__xludf.DUMMYFUNCTION("""COMPUTED_VALUE"""),"After School")</f>
        <v>After School</v>
      </c>
      <c r="W2922" s="11">
        <f ca="1">IFERROR(__xludf.DUMMYFUNCTION("""COMPUTED_VALUE"""),0.59375)</f>
        <v>0.59375</v>
      </c>
      <c r="X2922" s="8">
        <f ca="1">IFERROR(__xludf.DUMMYFUNCTION("""COMPUTED_VALUE"""),1)</f>
        <v>1</v>
      </c>
      <c r="Y2922" s="12" t="str">
        <f ca="1">IFERROR(__xludf.DUMMYFUNCTION("""COMPUTED_VALUE"""),"Youth intruder chased through school shoots teacher before escaping")</f>
        <v>Youth intruder chased through school shoots teacher before escaping</v>
      </c>
      <c r="Z2922" s="12" t="str">
        <f ca="1">IFERROR(__xludf.DUMMYFUNCTION("""COMPUTED_VALUE"""),"Teacher observed two youths enter school after it had recessed for the day - teacher gave chase - cornered youths in shop class. One youth escape, other youth shot teacher in foot before escaping - no suspects")</f>
        <v>Teacher observed two youths enter school after it had recessed for the day - teacher gave chase - cornered youths in shop class. One youth escape, other youth shot teacher in foot before escaping - no suspects</v>
      </c>
      <c r="AA2922" s="8" t="str">
        <f ca="1">IFERROR(__xludf.DUMMYFUNCTION("""COMPUTED_VALUE"""),"Illegal Activity")</f>
        <v>Illegal Activity</v>
      </c>
      <c r="AB2922" s="8"/>
      <c r="AC2922" s="8"/>
      <c r="AD2922" s="8" t="str">
        <f ca="1">IFERROR(__xludf.DUMMYFUNCTION("""COMPUTED_VALUE"""),"Random Shooting")</f>
        <v>Random Shooting</v>
      </c>
      <c r="AE2922" s="8" t="str">
        <f ca="1">IFERROR(__xludf.DUMMYFUNCTION("""COMPUTED_VALUE"""),"No")</f>
        <v>No</v>
      </c>
      <c r="AF2922" s="8"/>
      <c r="AG2922" s="8" t="str">
        <f ca="1">IFERROR(__xludf.DUMMYFUNCTION("""COMPUTED_VALUE"""),"No")</f>
        <v>No</v>
      </c>
      <c r="AH2922" s="8" t="str">
        <f ca="1">IFERROR(__xludf.DUMMYFUNCTION("""COMPUTED_VALUE"""),"No")</f>
        <v>No</v>
      </c>
      <c r="AI2922" s="8" t="str">
        <f ca="1">IFERROR(__xludf.DUMMYFUNCTION("""COMPUTED_VALUE"""),"No")</f>
        <v>No</v>
      </c>
      <c r="AJ2922" s="8" t="str">
        <f ca="1">IFERROR(__xludf.DUMMYFUNCTION("""COMPUTED_VALUE"""),"No")</f>
        <v>No</v>
      </c>
      <c r="AK2922" s="8" t="str">
        <f ca="1">IFERROR(__xludf.DUMMYFUNCTION("""COMPUTED_VALUE"""),"No")</f>
        <v>No</v>
      </c>
      <c r="AL2922" s="8" t="str">
        <f ca="1">IFERROR(__xludf.DUMMYFUNCTION("""COMPUTED_VALUE"""),"No")</f>
        <v>No</v>
      </c>
      <c r="AM2922" s="8"/>
      <c r="AN2922" s="8"/>
      <c r="AO2922" s="8" t="str">
        <f ca="1">IFERROR(__xludf.DUMMYFUNCTION("""COMPUTED_VALUE"""),"No")</f>
        <v>No</v>
      </c>
      <c r="AP2922" s="8"/>
      <c r="AQ2922" s="8" t="str">
        <f ca="1">IFERROR(__xludf.DUMMYFUNCTION("""COMPUTED_VALUE"""),"Unknown")</f>
        <v>Unknown</v>
      </c>
      <c r="AR2922" s="8" t="str">
        <f ca="1">IFERROR(__xludf.DUMMYFUNCTION("""COMPUTED_VALUE"""),"NA")</f>
        <v>NA</v>
      </c>
      <c r="AS2922" s="8">
        <f ca="1">IFERROR(__xludf.DUMMYFUNCTION("""COMPUTED_VALUE"""),1)</f>
        <v>1</v>
      </c>
      <c r="AT2922" s="8"/>
      <c r="AU2922" s="8">
        <f ca="1">IFERROR(__xludf.DUMMYFUNCTION("""COMPUTED_VALUE"""),39.332441)</f>
        <v>39.332441000000003</v>
      </c>
      <c r="AV2922" s="8">
        <f ca="1">IFERROR(__xludf.DUMMYFUNCTION("""COMPUTED_VALUE"""),-76.689414)</f>
        <v>-76.689413999999999</v>
      </c>
      <c r="AW2922" s="8"/>
      <c r="AX2922" s="8">
        <f ca="1">IFERROR(__xludf.DUMMYFUNCTION("""COMPUTED_VALUE"""),21207)</f>
        <v>21207</v>
      </c>
    </row>
    <row r="2923" spans="1:50" ht="75" x14ac:dyDescent="0.2">
      <c r="A2923" s="8" t="str">
        <f ca="1">IFERROR(__xludf.DUMMYFUNCTION("""COMPUTED_VALUE"""),"19820407CODEL")</f>
        <v>19820407CODEL</v>
      </c>
      <c r="B2923" s="8">
        <f ca="1">IFERROR(__xludf.DUMMYFUNCTION("""COMPUTED_VALUE"""),4)</f>
        <v>4</v>
      </c>
      <c r="C2923" s="8">
        <f ca="1">IFERROR(__xludf.DUMMYFUNCTION("""COMPUTED_VALUE"""),7)</f>
        <v>7</v>
      </c>
      <c r="D2923" s="8">
        <f ca="1">IFERROR(__xludf.DUMMYFUNCTION("""COMPUTED_VALUE"""),1982)</f>
        <v>1982</v>
      </c>
      <c r="E2923" s="9">
        <f ca="1">IFERROR(__xludf.DUMMYFUNCTION("""COMPUTED_VALUE"""),30048)</f>
        <v>30048</v>
      </c>
      <c r="F2923" s="8" t="str">
        <f ca="1">IFERROR(__xludf.DUMMYFUNCTION("""COMPUTED_VALUE"""),"Deer Creek Junior High School")</f>
        <v>Deer Creek Junior High School</v>
      </c>
      <c r="G2923" s="8">
        <f ca="1">IFERROR(__xludf.DUMMYFUNCTION("""COMPUTED_VALUE"""),1)</f>
        <v>1</v>
      </c>
      <c r="H2923" s="8">
        <f ca="1">IFERROR(__xludf.DUMMYFUNCTION("""COMPUTED_VALUE"""),0)</f>
        <v>0</v>
      </c>
      <c r="I2923" s="8">
        <f ca="1">IFERROR(__xludf.DUMMYFUNCTION("""COMPUTED_VALUE"""),1)</f>
        <v>1</v>
      </c>
      <c r="J2923" s="8">
        <f ca="1">IFERROR(__xludf.DUMMYFUNCTION("""COMPUTED_VALUE"""),0)</f>
        <v>0</v>
      </c>
      <c r="K2923" s="8" t="str">
        <f ca="1">IFERROR(__xludf.DUMMYFUNCTION("""COMPUTED_VALUE"""),"http://www.pomc.com/mw_stories_1-19/scott_michael.html   https://www.newspapers.com/image/322014861   https://www.newspapers.com/image/189809830/?terms=jason%2Brocha   https://www.newspapers.com/image/257553451/?terms=jason%2Brocha   https://www.newspaper"&amp;"s.com/image/346936273/?terms=jason%2Brocha")</f>
        <v>http://www.pomc.com/mw_stories_1-19/scott_michael.html   https://www.newspapers.com/image/322014861   https://www.newspapers.com/image/189809830/?terms=jason%2Brocha   https://www.newspapers.com/image/257553451/?terms=jason%2Brocha   https://www.newspapers.com/image/346936273/?terms=jason%2Brocha</v>
      </c>
      <c r="L2923" s="8"/>
      <c r="M2923" s="8" t="str">
        <f ca="1">IFERROR(__xludf.DUMMYFUNCTION("""COMPUTED_VALUE"""),"Local")</f>
        <v>Local</v>
      </c>
      <c r="N2923" s="8">
        <f ca="1">IFERROR(__xludf.DUMMYFUNCTION("""COMPUTED_VALUE"""),3)</f>
        <v>3</v>
      </c>
      <c r="O2923" s="8" t="str">
        <f ca="1">IFERROR(__xludf.DUMMYFUNCTION("""COMPUTED_VALUE"""),"Spring")</f>
        <v>Spring</v>
      </c>
      <c r="P2923" s="8" t="str">
        <f ca="1">IFERROR(__xludf.DUMMYFUNCTION("""COMPUTED_VALUE"""),"Littleton")</f>
        <v>Littleton</v>
      </c>
      <c r="Q2923" s="8" t="str">
        <f ca="1">IFERROR(__xludf.DUMMYFUNCTION("""COMPUTED_VALUE"""),"CO")</f>
        <v>CO</v>
      </c>
      <c r="R2923" s="8" t="str">
        <f ca="1">IFERROR(__xludf.DUMMYFUNCTION("""COMPUTED_VALUE"""),"High")</f>
        <v>High</v>
      </c>
      <c r="S2923" s="8" t="str">
        <f ca="1">IFERROR(__xludf.DUMMYFUNCTION("""COMPUTED_VALUE"""),"Field (General)")</f>
        <v>Field (General)</v>
      </c>
      <c r="T2923" s="8" t="str">
        <f ca="1">IFERROR(__xludf.DUMMYFUNCTION("""COMPUTED_VALUE"""),"Outside on School Property")</f>
        <v>Outside on School Property</v>
      </c>
      <c r="U2923" s="8" t="str">
        <f ca="1">IFERROR(__xludf.DUMMYFUNCTION("""COMPUTED_VALUE"""),"No")</f>
        <v>No</v>
      </c>
      <c r="V2923" s="8" t="str">
        <f ca="1">IFERROR(__xludf.DUMMYFUNCTION("""COMPUTED_VALUE"""),"Lunch")</f>
        <v>Lunch</v>
      </c>
      <c r="W2923" s="8"/>
      <c r="X2923" s="8"/>
      <c r="Y2923" s="12" t="str">
        <f ca="1">IFERROR(__xludf.DUMMYFUNCTION("""COMPUTED_VALUE"""),"Two students were shooting prairie dogs, one suddenly turned the gun and fatally shot the other")</f>
        <v>Two students were shooting prairie dogs, one suddenly turned the gun and fatally shot the other</v>
      </c>
      <c r="Z2923" s="12" t="str">
        <f ca="1">IFERROR(__xludf.DUMMYFUNCTION("""COMPUTED_VALUE"""),"Shooter was with other students shooting prairie dogs during lunch. Without explanation, the shooter put the gun to friends chest and pulled trigger.")</f>
        <v>Shooter was with other students shooting prairie dogs during lunch. Without explanation, the shooter put the gun to friends chest and pulled trigger.</v>
      </c>
      <c r="AA2923" s="8" t="str">
        <f ca="1">IFERROR(__xludf.DUMMYFUNCTION("""COMPUTED_VALUE"""),"Psychosis")</f>
        <v>Psychosis</v>
      </c>
      <c r="AB2923" s="8"/>
      <c r="AC2923" s="8"/>
      <c r="AD2923" s="8" t="str">
        <f ca="1">IFERROR(__xludf.DUMMYFUNCTION("""COMPUTED_VALUE"""),"Victims Targeted")</f>
        <v>Victims Targeted</v>
      </c>
      <c r="AE2923" s="8" t="str">
        <f ca="1">IFERROR(__xludf.DUMMYFUNCTION("""COMPUTED_VALUE"""),"No")</f>
        <v>No</v>
      </c>
      <c r="AF2923" s="8"/>
      <c r="AG2923" s="8" t="str">
        <f ca="1">IFERROR(__xludf.DUMMYFUNCTION("""COMPUTED_VALUE"""),"No")</f>
        <v>No</v>
      </c>
      <c r="AH2923" s="8" t="str">
        <f ca="1">IFERROR(__xludf.DUMMYFUNCTION("""COMPUTED_VALUE"""),"No")</f>
        <v>No</v>
      </c>
      <c r="AI2923" s="8" t="str">
        <f ca="1">IFERROR(__xludf.DUMMYFUNCTION("""COMPUTED_VALUE"""),"No")</f>
        <v>No</v>
      </c>
      <c r="AJ2923" s="8" t="str">
        <f ca="1">IFERROR(__xludf.DUMMYFUNCTION("""COMPUTED_VALUE"""),"No")</f>
        <v>No</v>
      </c>
      <c r="AK2923" s="8" t="str">
        <f ca="1">IFERROR(__xludf.DUMMYFUNCTION("""COMPUTED_VALUE"""),"No")</f>
        <v>No</v>
      </c>
      <c r="AL2923" s="8" t="str">
        <f ca="1">IFERROR(__xludf.DUMMYFUNCTION("""COMPUTED_VALUE"""),"No")</f>
        <v>No</v>
      </c>
      <c r="AM2923" s="8"/>
      <c r="AN2923" s="8"/>
      <c r="AO2923" s="8" t="str">
        <f ca="1">IFERROR(__xludf.DUMMYFUNCTION("""COMPUTED_VALUE"""),"No")</f>
        <v>No</v>
      </c>
      <c r="AP2923" s="8"/>
      <c r="AQ2923" s="8" t="str">
        <f ca="1">IFERROR(__xludf.DUMMYFUNCTION("""COMPUTED_VALUE"""),"Unknown")</f>
        <v>Unknown</v>
      </c>
      <c r="AR2923" s="8" t="str">
        <f ca="1">IFERROR(__xludf.DUMMYFUNCTION("""COMPUTED_VALUE"""),"NA")</f>
        <v>NA</v>
      </c>
      <c r="AS2923" s="8">
        <f ca="1">IFERROR(__xludf.DUMMYFUNCTION("""COMPUTED_VALUE"""),1)</f>
        <v>1</v>
      </c>
      <c r="AT2923" s="8"/>
      <c r="AU2923" s="8">
        <f ca="1">IFERROR(__xludf.DUMMYFUNCTION("""COMPUTED_VALUE"""),39.586605)</f>
        <v>39.586604999999999</v>
      </c>
      <c r="AV2923" s="8">
        <f ca="1">IFERROR(__xludf.DUMMYFUNCTION("""COMPUTED_VALUE"""),-105.101983)</f>
        <v>-105.101983</v>
      </c>
      <c r="AW2923" s="8"/>
      <c r="AX2923" s="8">
        <f ca="1">IFERROR(__xludf.DUMMYFUNCTION("""COMPUTED_VALUE"""),80127)</f>
        <v>80127</v>
      </c>
    </row>
    <row r="2924" spans="1:50" ht="60" x14ac:dyDescent="0.2">
      <c r="A2924" s="8" t="str">
        <f ca="1">IFERROR(__xludf.DUMMYFUNCTION("""COMPUTED_VALUE"""),"19820319NVVAL")</f>
        <v>19820319NVVAL</v>
      </c>
      <c r="B2924" s="8">
        <f ca="1">IFERROR(__xludf.DUMMYFUNCTION("""COMPUTED_VALUE"""),3)</f>
        <v>3</v>
      </c>
      <c r="C2924" s="8">
        <f ca="1">IFERROR(__xludf.DUMMYFUNCTION("""COMPUTED_VALUE"""),19)</f>
        <v>19</v>
      </c>
      <c r="D2924" s="8">
        <f ca="1">IFERROR(__xludf.DUMMYFUNCTION("""COMPUTED_VALUE"""),1982)</f>
        <v>1982</v>
      </c>
      <c r="E2924" s="9">
        <f ca="1">IFERROR(__xludf.DUMMYFUNCTION("""COMPUTED_VALUE"""),30029)</f>
        <v>30029</v>
      </c>
      <c r="F2924" s="8" t="str">
        <f ca="1">IFERROR(__xludf.DUMMYFUNCTION("""COMPUTED_VALUE"""),"Valley High School")</f>
        <v>Valley High School</v>
      </c>
      <c r="G2924" s="8">
        <f ca="1">IFERROR(__xludf.DUMMYFUNCTION("""COMPUTED_VALUE"""),1)</f>
        <v>1</v>
      </c>
      <c r="H2924" s="8">
        <f ca="1">IFERROR(__xludf.DUMMYFUNCTION("""COMPUTED_VALUE"""),2)</f>
        <v>2</v>
      </c>
      <c r="I2924" s="8">
        <f ca="1">IFERROR(__xludf.DUMMYFUNCTION("""COMPUTED_VALUE"""),3)</f>
        <v>3</v>
      </c>
      <c r="J2924" s="8">
        <f ca="1">IFERROR(__xludf.DUMMYFUNCTION("""COMPUTED_VALUE"""),0)</f>
        <v>0</v>
      </c>
      <c r="K2924" s="8" t="str">
        <f ca="1">IFERROR(__xludf.DUMMYFUNCTION("""COMPUTED_VALUE"""),"https://www.nytimes.com/1982/03/20/us/student-a-suspect-in-teacher-slaying.html https://www.upi.com/Archives/1982/03/22/A-high-school-student-arraigned-Monday-in-the-shooting/4904385621200/")</f>
        <v>https://www.nytimes.com/1982/03/20/us/student-a-suspect-in-teacher-slaying.html https://www.upi.com/Archives/1982/03/22/A-high-school-student-arraigned-Monday-in-the-shooting/4904385621200/</v>
      </c>
      <c r="L2924" s="8"/>
      <c r="M2924" s="8"/>
      <c r="N2924" s="8">
        <f ca="1">IFERROR(__xludf.DUMMYFUNCTION("""COMPUTED_VALUE"""),4)</f>
        <v>4</v>
      </c>
      <c r="O2924" s="8" t="str">
        <f ca="1">IFERROR(__xludf.DUMMYFUNCTION("""COMPUTED_VALUE"""),"Spring")</f>
        <v>Spring</v>
      </c>
      <c r="P2924" s="8" t="str">
        <f ca="1">IFERROR(__xludf.DUMMYFUNCTION("""COMPUTED_VALUE"""),"Las Vegas")</f>
        <v>Las Vegas</v>
      </c>
      <c r="Q2924" s="8" t="str">
        <f ca="1">IFERROR(__xludf.DUMMYFUNCTION("""COMPUTED_VALUE"""),"NV")</f>
        <v>NV</v>
      </c>
      <c r="R2924" s="8" t="str">
        <f ca="1">IFERROR(__xludf.DUMMYFUNCTION("""COMPUTED_VALUE"""),"High")</f>
        <v>High</v>
      </c>
      <c r="S2924" s="8" t="str">
        <f ca="1">IFERROR(__xludf.DUMMYFUNCTION("""COMPUTED_VALUE"""),"Classroom")</f>
        <v>Classroom</v>
      </c>
      <c r="T2924" s="8" t="str">
        <f ca="1">IFERROR(__xludf.DUMMYFUNCTION("""COMPUTED_VALUE"""),"Inside School Building")</f>
        <v>Inside School Building</v>
      </c>
      <c r="U2924" s="8" t="str">
        <f ca="1">IFERROR(__xludf.DUMMYFUNCTION("""COMPUTED_VALUE"""),"Yes")</f>
        <v>Yes</v>
      </c>
      <c r="V2924" s="8" t="str">
        <f ca="1">IFERROR(__xludf.DUMMYFUNCTION("""COMPUTED_VALUE"""),"Morning Classes")</f>
        <v>Morning Classes</v>
      </c>
      <c r="W2924" s="11">
        <f ca="1">IFERROR(__xludf.DUMMYFUNCTION("""COMPUTED_VALUE"""),0.326388888888888)</f>
        <v>0.32638888888888801</v>
      </c>
      <c r="X2924" s="8">
        <f ca="1">IFERROR(__xludf.DUMMYFUNCTION("""COMPUTED_VALUE"""),1)</f>
        <v>1</v>
      </c>
      <c r="Y2924" s="12" t="str">
        <f ca="1">IFERROR(__xludf.DUMMYFUNCTION("""COMPUTED_VALUE"""),"Thought teacher - victim - wanted him committed to mental hospital")</f>
        <v>Thought teacher - victim - wanted him committed to mental hospital</v>
      </c>
      <c r="Z2924" s="12" t="str">
        <f ca="1">IFERROR(__xludf.DUMMYFUNCTION("""COMPUTED_VALUE"""),"Told police he thought victim - his psychology teacher - wanted him committed to mental hospital. Shot teacher in the head, shot two other students, and the fled the scene.")</f>
        <v>Told police he thought victim - his psychology teacher - wanted him committed to mental hospital. Shot teacher in the head, shot two other students, and the fled the scene.</v>
      </c>
      <c r="AA2924" s="8" t="str">
        <f ca="1">IFERROR(__xludf.DUMMYFUNCTION("""COMPUTED_VALUE"""),"Psychosis")</f>
        <v>Psychosis</v>
      </c>
      <c r="AB2924" s="8"/>
      <c r="AC2924" s="8"/>
      <c r="AD2924" s="8" t="str">
        <f ca="1">IFERROR(__xludf.DUMMYFUNCTION("""COMPUTED_VALUE"""),"Both")</f>
        <v>Both</v>
      </c>
      <c r="AE2924" s="8" t="str">
        <f ca="1">IFERROR(__xludf.DUMMYFUNCTION("""COMPUTED_VALUE"""),"No")</f>
        <v>No</v>
      </c>
      <c r="AF2924" s="8"/>
      <c r="AG2924" s="8" t="str">
        <f ca="1">IFERROR(__xludf.DUMMYFUNCTION("""COMPUTED_VALUE"""),"No")</f>
        <v>No</v>
      </c>
      <c r="AH2924" s="8" t="str">
        <f ca="1">IFERROR(__xludf.DUMMYFUNCTION("""COMPUTED_VALUE"""),"No")</f>
        <v>No</v>
      </c>
      <c r="AI2924" s="8" t="str">
        <f ca="1">IFERROR(__xludf.DUMMYFUNCTION("""COMPUTED_VALUE"""),"No")</f>
        <v>No</v>
      </c>
      <c r="AJ2924" s="8" t="str">
        <f ca="1">IFERROR(__xludf.DUMMYFUNCTION("""COMPUTED_VALUE"""),"No")</f>
        <v>No</v>
      </c>
      <c r="AK2924" s="8" t="str">
        <f ca="1">IFERROR(__xludf.DUMMYFUNCTION("""COMPUTED_VALUE"""),"No")</f>
        <v>No</v>
      </c>
      <c r="AL2924" s="8" t="str">
        <f ca="1">IFERROR(__xludf.DUMMYFUNCTION("""COMPUTED_VALUE"""),"No")</f>
        <v>No</v>
      </c>
      <c r="AM2924" s="8" t="str">
        <f ca="1">IFERROR(__xludf.DUMMYFUNCTION("""COMPUTED_VALUE"""),"Yes")</f>
        <v>Yes</v>
      </c>
      <c r="AN2924" s="8" t="str">
        <f ca="1">IFERROR(__xludf.DUMMYFUNCTION("""COMPUTED_VALUE"""),"Single Room")</f>
        <v>Single Room</v>
      </c>
      <c r="AO2924" s="8" t="str">
        <f ca="1">IFERROR(__xludf.DUMMYFUNCTION("""COMPUTED_VALUE"""),"No")</f>
        <v>No</v>
      </c>
      <c r="AP2924" s="8"/>
      <c r="AQ2924" s="8" t="str">
        <f ca="1">IFERROR(__xludf.DUMMYFUNCTION("""COMPUTED_VALUE"""),"Unknown")</f>
        <v>Unknown</v>
      </c>
      <c r="AR2924" s="8" t="str">
        <f ca="1">IFERROR(__xludf.DUMMYFUNCTION("""COMPUTED_VALUE"""),"NA")</f>
        <v>NA</v>
      </c>
      <c r="AS2924" s="8">
        <f ca="1">IFERROR(__xludf.DUMMYFUNCTION("""COMPUTED_VALUE"""),3)</f>
        <v>3</v>
      </c>
      <c r="AT2924" s="8"/>
      <c r="AU2924" s="8">
        <f ca="1">IFERROR(__xludf.DUMMYFUNCTION("""COMPUTED_VALUE"""),36.138073)</f>
        <v>36.138072999999999</v>
      </c>
      <c r="AV2924" s="8">
        <f ca="1">IFERROR(__xludf.DUMMYFUNCTION("""COMPUTED_VALUE"""),-115.121373)</f>
        <v>-115.12137300000001</v>
      </c>
      <c r="AW2924" s="8"/>
      <c r="AX2924" s="8">
        <f ca="1">IFERROR(__xludf.DUMMYFUNCTION("""COMPUTED_VALUE"""),89169)</f>
        <v>89169</v>
      </c>
    </row>
    <row r="2925" spans="1:50" ht="60" x14ac:dyDescent="0.2">
      <c r="A2925" s="8" t="str">
        <f ca="1">IFERROR(__xludf.DUMMYFUNCTION("""COMPUTED_VALUE"""),"19820317OHLOL")</f>
        <v>19820317OHLOL</v>
      </c>
      <c r="B2925" s="8">
        <f ca="1">IFERROR(__xludf.DUMMYFUNCTION("""COMPUTED_VALUE"""),3)</f>
        <v>3</v>
      </c>
      <c r="C2925" s="8">
        <f ca="1">IFERROR(__xludf.DUMMYFUNCTION("""COMPUTED_VALUE"""),17)</f>
        <v>17</v>
      </c>
      <c r="D2925" s="8">
        <f ca="1">IFERROR(__xludf.DUMMYFUNCTION("""COMPUTED_VALUE"""),1982)</f>
        <v>1982</v>
      </c>
      <c r="E2925" s="9">
        <f ca="1">IFERROR(__xludf.DUMMYFUNCTION("""COMPUTED_VALUE"""),30027)</f>
        <v>30027</v>
      </c>
      <c r="F2925" s="8" t="str">
        <f ca="1">IFERROR(__xludf.DUMMYFUNCTION("""COMPUTED_VALUE"""),"Lorain High School")</f>
        <v>Lorain High School</v>
      </c>
      <c r="G2925" s="8">
        <f ca="1">IFERROR(__xludf.DUMMYFUNCTION("""COMPUTED_VALUE"""),0)</f>
        <v>0</v>
      </c>
      <c r="H2925" s="8">
        <f ca="1">IFERROR(__xludf.DUMMYFUNCTION("""COMPUTED_VALUE"""),0)</f>
        <v>0</v>
      </c>
      <c r="I2925" s="8">
        <f ca="1">IFERROR(__xludf.DUMMYFUNCTION("""COMPUTED_VALUE"""),0)</f>
        <v>0</v>
      </c>
      <c r="J2925" s="8">
        <f ca="1">IFERROR(__xludf.DUMMYFUNCTION("""COMPUTED_VALUE"""),0)</f>
        <v>0</v>
      </c>
      <c r="K2925" s="10" t="str">
        <f ca="1">IFERROR(__xludf.DUMMYFUNCTION("""COMPUTED_VALUE"""),"https://www.newspapers.com/image/155231508/?terms=STUDENT%2BSHOOTS")</f>
        <v>https://www.newspapers.com/image/155231508/?terms=STUDENT%2BSHOOTS</v>
      </c>
      <c r="L2925" s="8"/>
      <c r="M2925" s="8"/>
      <c r="N2925" s="8">
        <f ca="1">IFERROR(__xludf.DUMMYFUNCTION("""COMPUTED_VALUE"""),2)</f>
        <v>2</v>
      </c>
      <c r="O2925" s="8" t="str">
        <f ca="1">IFERROR(__xludf.DUMMYFUNCTION("""COMPUTED_VALUE"""),"Spring")</f>
        <v>Spring</v>
      </c>
      <c r="P2925" s="8" t="str">
        <f ca="1">IFERROR(__xludf.DUMMYFUNCTION("""COMPUTED_VALUE"""),"Lorain")</f>
        <v>Lorain</v>
      </c>
      <c r="Q2925" s="8" t="str">
        <f ca="1">IFERROR(__xludf.DUMMYFUNCTION("""COMPUTED_VALUE"""),"OH")</f>
        <v>OH</v>
      </c>
      <c r="R2925" s="8" t="str">
        <f ca="1">IFERROR(__xludf.DUMMYFUNCTION("""COMPUTED_VALUE"""),"High")</f>
        <v>High</v>
      </c>
      <c r="S2925" s="8" t="str">
        <f ca="1">IFERROR(__xludf.DUMMYFUNCTION("""COMPUTED_VALUE"""),"Cafeteria")</f>
        <v>Cafeteria</v>
      </c>
      <c r="T2925" s="8" t="str">
        <f ca="1">IFERROR(__xludf.DUMMYFUNCTION("""COMPUTED_VALUE"""),"Inside School Building")</f>
        <v>Inside School Building</v>
      </c>
      <c r="U2925" s="8" t="str">
        <f ca="1">IFERROR(__xludf.DUMMYFUNCTION("""COMPUTED_VALUE"""),"Yes")</f>
        <v>Yes</v>
      </c>
      <c r="V2925" s="8" t="str">
        <f ca="1">IFERROR(__xludf.DUMMYFUNCTION("""COMPUTED_VALUE"""),"Lunch")</f>
        <v>Lunch</v>
      </c>
      <c r="W2925" s="8"/>
      <c r="X2925" s="8">
        <f ca="1">IFERROR(__xludf.DUMMYFUNCTION("""COMPUTED_VALUE"""),1)</f>
        <v>1</v>
      </c>
      <c r="Y2925" s="12" t="str">
        <f ca="1">IFERROR(__xludf.DUMMYFUNCTION("""COMPUTED_VALUE"""),"Student carrying bible, pulled out gun during lunch and shot self in stomach")</f>
        <v>Student carrying bible, pulled out gun during lunch and shot self in stomach</v>
      </c>
      <c r="Z2925" s="12" t="str">
        <f ca="1">IFERROR(__xludf.DUMMYFUNCTION("""COMPUTED_VALUE"""),"Student carrying bible pulled small caliber gun from bag during lunch and shot self in stomach - believed to be intentional as shooter gave away his meal tickets prior to shooting.")</f>
        <v>Student carrying bible pulled small caliber gun from bag during lunch and shot self in stomach - believed to be intentional as shooter gave away his meal tickets prior to shooting.</v>
      </c>
      <c r="AA2925" s="8" t="str">
        <f ca="1">IFERROR(__xludf.DUMMYFUNCTION("""COMPUTED_VALUE"""),"Suicide/Attempted")</f>
        <v>Suicide/Attempted</v>
      </c>
      <c r="AB2925" s="8"/>
      <c r="AC2925" s="8"/>
      <c r="AD2925" s="8" t="str">
        <f ca="1">IFERROR(__xludf.DUMMYFUNCTION("""COMPUTED_VALUE"""),"Victims Targeted")</f>
        <v>Victims Targeted</v>
      </c>
      <c r="AE2925" s="8" t="str">
        <f ca="1">IFERROR(__xludf.DUMMYFUNCTION("""COMPUTED_VALUE"""),"No")</f>
        <v>No</v>
      </c>
      <c r="AF2925" s="8"/>
      <c r="AG2925" s="8" t="str">
        <f ca="1">IFERROR(__xludf.DUMMYFUNCTION("""COMPUTED_VALUE"""),"No")</f>
        <v>No</v>
      </c>
      <c r="AH2925" s="8" t="str">
        <f ca="1">IFERROR(__xludf.DUMMYFUNCTION("""COMPUTED_VALUE"""),"No")</f>
        <v>No</v>
      </c>
      <c r="AI2925" s="8" t="str">
        <f ca="1">IFERROR(__xludf.DUMMYFUNCTION("""COMPUTED_VALUE"""),"No")</f>
        <v>No</v>
      </c>
      <c r="AJ2925" s="8"/>
      <c r="AK2925" s="8"/>
      <c r="AL2925" s="8" t="str">
        <f ca="1">IFERROR(__xludf.DUMMYFUNCTION("""COMPUTED_VALUE"""),"No")</f>
        <v>No</v>
      </c>
      <c r="AM2925" s="8"/>
      <c r="AN2925" s="8"/>
      <c r="AO2925" s="8" t="str">
        <f ca="1">IFERROR(__xludf.DUMMYFUNCTION("""COMPUTED_VALUE"""),"No")</f>
        <v>No</v>
      </c>
      <c r="AP2925" s="8"/>
      <c r="AQ2925" s="8" t="str">
        <f ca="1">IFERROR(__xludf.DUMMYFUNCTION("""COMPUTED_VALUE"""),"Unknown")</f>
        <v>Unknown</v>
      </c>
      <c r="AR2925" s="8" t="str">
        <f ca="1">IFERROR(__xludf.DUMMYFUNCTION("""COMPUTED_VALUE"""),"NA")</f>
        <v>NA</v>
      </c>
      <c r="AS2925" s="8">
        <f ca="1">IFERROR(__xludf.DUMMYFUNCTION("""COMPUTED_VALUE"""),1)</f>
        <v>1</v>
      </c>
      <c r="AT2925" s="8"/>
      <c r="AU2925" s="8">
        <f ca="1">IFERROR(__xludf.DUMMYFUNCTION("""COMPUTED_VALUE"""),41.446788)</f>
        <v>41.446787999999998</v>
      </c>
      <c r="AV2925" s="8">
        <f ca="1">IFERROR(__xludf.DUMMYFUNCTION("""COMPUTED_VALUE"""),-82.190105)</f>
        <v>-82.190105000000003</v>
      </c>
      <c r="AW2925" s="8"/>
      <c r="AX2925" s="8">
        <f ca="1">IFERROR(__xludf.DUMMYFUNCTION("""COMPUTED_VALUE"""),44052)</f>
        <v>44052</v>
      </c>
    </row>
    <row r="2926" spans="1:50" ht="90" x14ac:dyDescent="0.2">
      <c r="A2926" s="8" t="str">
        <f ca="1">IFERROR(__xludf.DUMMYFUNCTION("""COMPUTED_VALUE"""),"19820315ORSPS")</f>
        <v>19820315ORSPS</v>
      </c>
      <c r="B2926" s="8">
        <f ca="1">IFERROR(__xludf.DUMMYFUNCTION("""COMPUTED_VALUE"""),3)</f>
        <v>3</v>
      </c>
      <c r="C2926" s="8">
        <f ca="1">IFERROR(__xludf.DUMMYFUNCTION("""COMPUTED_VALUE"""),15)</f>
        <v>15</v>
      </c>
      <c r="D2926" s="8">
        <f ca="1">IFERROR(__xludf.DUMMYFUNCTION("""COMPUTED_VALUE"""),1982)</f>
        <v>1982</v>
      </c>
      <c r="E2926" s="9">
        <f ca="1">IFERROR(__xludf.DUMMYFUNCTION("""COMPUTED_VALUE"""),30025)</f>
        <v>30025</v>
      </c>
      <c r="F2926" s="8" t="str">
        <f ca="1">IFERROR(__xludf.DUMMYFUNCTION("""COMPUTED_VALUE"""),"Springfield High School")</f>
        <v>Springfield High School</v>
      </c>
      <c r="G2926" s="8">
        <f ca="1">IFERROR(__xludf.DUMMYFUNCTION("""COMPUTED_VALUE"""),0)</f>
        <v>0</v>
      </c>
      <c r="H2926" s="8">
        <f ca="1">IFERROR(__xludf.DUMMYFUNCTION("""COMPUTED_VALUE"""),0)</f>
        <v>0</v>
      </c>
      <c r="I2926" s="8">
        <f ca="1">IFERROR(__xludf.DUMMYFUNCTION("""COMPUTED_VALUE"""),0)</f>
        <v>0</v>
      </c>
      <c r="J2926" s="8">
        <f ca="1">IFERROR(__xludf.DUMMYFUNCTION("""COMPUTED_VALUE"""),1)</f>
        <v>1</v>
      </c>
      <c r="K2926" s="10" t="str">
        <f ca="1">IFERROR(__xludf.DUMMYFUNCTION("""COMPUTED_VALUE"""),"https://www.newspapers.com/image/199055882/?terms=STUDENT%2BSHOOTS")</f>
        <v>https://www.newspapers.com/image/199055882/?terms=STUDENT%2BSHOOTS</v>
      </c>
      <c r="L2926" s="8"/>
      <c r="M2926" s="8"/>
      <c r="N2926" s="8">
        <f ca="1">IFERROR(__xludf.DUMMYFUNCTION("""COMPUTED_VALUE"""),2)</f>
        <v>2</v>
      </c>
      <c r="O2926" s="8" t="str">
        <f ca="1">IFERROR(__xludf.DUMMYFUNCTION("""COMPUTED_VALUE"""),"Spring")</f>
        <v>Spring</v>
      </c>
      <c r="P2926" s="8" t="str">
        <f ca="1">IFERROR(__xludf.DUMMYFUNCTION("""COMPUTED_VALUE"""),"Springfield")</f>
        <v>Springfield</v>
      </c>
      <c r="Q2926" s="8" t="str">
        <f ca="1">IFERROR(__xludf.DUMMYFUNCTION("""COMPUTED_VALUE"""),"OR")</f>
        <v>OR</v>
      </c>
      <c r="R2926" s="8" t="str">
        <f ca="1">IFERROR(__xludf.DUMMYFUNCTION("""COMPUTED_VALUE"""),"High")</f>
        <v>High</v>
      </c>
      <c r="S2926" s="8" t="str">
        <f ca="1">IFERROR(__xludf.DUMMYFUNCTION("""COMPUTED_VALUE"""),"Classroom")</f>
        <v>Classroom</v>
      </c>
      <c r="T2926" s="8" t="str">
        <f ca="1">IFERROR(__xludf.DUMMYFUNCTION("""COMPUTED_VALUE"""),"Inside School Building")</f>
        <v>Inside School Building</v>
      </c>
      <c r="U2926" s="8" t="str">
        <f ca="1">IFERROR(__xludf.DUMMYFUNCTION("""COMPUTED_VALUE"""),"Yes")</f>
        <v>Yes</v>
      </c>
      <c r="V2926" s="8" t="str">
        <f ca="1">IFERROR(__xludf.DUMMYFUNCTION("""COMPUTED_VALUE"""),"Morning Classes")</f>
        <v>Morning Classes</v>
      </c>
      <c r="W2926" s="11">
        <f ca="1">IFERROR(__xludf.DUMMYFUNCTION("""COMPUTED_VALUE"""),0.354166666666666)</f>
        <v>0.35416666666666602</v>
      </c>
      <c r="X2926" s="8">
        <f ca="1">IFERROR(__xludf.DUMMYFUNCTION("""COMPUTED_VALUE"""),80)</f>
        <v>80</v>
      </c>
      <c r="Y2926" s="12" t="str">
        <f ca="1">IFERROR(__xludf.DUMMYFUNCTION("""COMPUTED_VALUE"""),"Shooter pulled gun in English class - teachers police tried to talk him out of it - later shot self in bathroom")</f>
        <v>Shooter pulled gun in English class - teachers police tried to talk him out of it - later shot self in bathroom</v>
      </c>
      <c r="Z2926" s="12" t="str">
        <f ca="1">IFERROR(__xludf.DUMMYFUNCTION("""COMPUTED_VALUE"""),"14 year old shooter pulled out .38 caliber pistol around 8:30 am during English class - teachers were able to evacuate students and get shooter into a conference room where they and police tried to get him to surrender. Shooter later went into bathroom wh"&amp;"ere he eventually shot/killed himself - reason for suicide was not known")</f>
        <v>14 year old shooter pulled out .38 caliber pistol around 8:30 am during English class - teachers were able to evacuate students and get shooter into a conference room where they and police tried to get him to surrender. Shooter later went into bathroom where he eventually shot/killed himself - reason for suicide was not known</v>
      </c>
      <c r="AA2926" s="8" t="str">
        <f ca="1">IFERROR(__xludf.DUMMYFUNCTION("""COMPUTED_VALUE"""),"Suicide/Attempted")</f>
        <v>Suicide/Attempted</v>
      </c>
      <c r="AB2926" s="8"/>
      <c r="AC2926" s="8"/>
      <c r="AD2926" s="8" t="str">
        <f ca="1">IFERROR(__xludf.DUMMYFUNCTION("""COMPUTED_VALUE"""),"Victims Targeted")</f>
        <v>Victims Targeted</v>
      </c>
      <c r="AE2926" s="8" t="str">
        <f ca="1">IFERROR(__xludf.DUMMYFUNCTION("""COMPUTED_VALUE"""),"No")</f>
        <v>No</v>
      </c>
      <c r="AF2926" s="8"/>
      <c r="AG2926" s="8" t="str">
        <f ca="1">IFERROR(__xludf.DUMMYFUNCTION("""COMPUTED_VALUE"""),"No")</f>
        <v>No</v>
      </c>
      <c r="AH2926" s="8" t="str">
        <f ca="1">IFERROR(__xludf.DUMMYFUNCTION("""COMPUTED_VALUE"""),"No")</f>
        <v>No</v>
      </c>
      <c r="AI2926" s="8" t="str">
        <f ca="1">IFERROR(__xludf.DUMMYFUNCTION("""COMPUTED_VALUE"""),"No")</f>
        <v>No</v>
      </c>
      <c r="AJ2926" s="8"/>
      <c r="AK2926" s="8"/>
      <c r="AL2926" s="8" t="str">
        <f ca="1">IFERROR(__xludf.DUMMYFUNCTION("""COMPUTED_VALUE"""),"No")</f>
        <v>No</v>
      </c>
      <c r="AM2926" s="8"/>
      <c r="AN2926" s="8"/>
      <c r="AO2926" s="8"/>
      <c r="AP2926" s="8"/>
      <c r="AQ2926" s="8" t="str">
        <f ca="1">IFERROR(__xludf.DUMMYFUNCTION("""COMPUTED_VALUE"""),"Unknown")</f>
        <v>Unknown</v>
      </c>
      <c r="AR2926" s="8" t="str">
        <f ca="1">IFERROR(__xludf.DUMMYFUNCTION("""COMPUTED_VALUE"""),"NA")</f>
        <v>NA</v>
      </c>
      <c r="AS2926" s="8">
        <f ca="1">IFERROR(__xludf.DUMMYFUNCTION("""COMPUTED_VALUE"""),1)</f>
        <v>1</v>
      </c>
      <c r="AT2926" s="8"/>
      <c r="AU2926" s="8">
        <f ca="1">IFERROR(__xludf.DUMMYFUNCTION("""COMPUTED_VALUE"""),44.053348)</f>
        <v>44.053348</v>
      </c>
      <c r="AV2926" s="8">
        <f ca="1">IFERROR(__xludf.DUMMYFUNCTION("""COMPUTED_VALUE"""),-123.015701)</f>
        <v>-123.01570100000001</v>
      </c>
      <c r="AW2926" s="8"/>
      <c r="AX2926" s="8">
        <f ca="1">IFERROR(__xludf.DUMMYFUNCTION("""COMPUTED_VALUE"""),97477)</f>
        <v>97477</v>
      </c>
    </row>
    <row r="2927" spans="1:50" ht="60" x14ac:dyDescent="0.2">
      <c r="A2927" s="8" t="str">
        <f ca="1">IFERROR(__xludf.DUMMYFUNCTION("""COMPUTED_VALUE"""),"19820209LAJON")</f>
        <v>19820209LAJON</v>
      </c>
      <c r="B2927" s="8">
        <f ca="1">IFERROR(__xludf.DUMMYFUNCTION("""COMPUTED_VALUE"""),2)</f>
        <v>2</v>
      </c>
      <c r="C2927" s="8">
        <f ca="1">IFERROR(__xludf.DUMMYFUNCTION("""COMPUTED_VALUE"""),9)</f>
        <v>9</v>
      </c>
      <c r="D2927" s="8">
        <f ca="1">IFERROR(__xludf.DUMMYFUNCTION("""COMPUTED_VALUE"""),1982)</f>
        <v>1982</v>
      </c>
      <c r="E2927" s="9">
        <f ca="1">IFERROR(__xludf.DUMMYFUNCTION("""COMPUTED_VALUE"""),29991)</f>
        <v>29991</v>
      </c>
      <c r="F2927" s="8" t="str">
        <f ca="1">IFERROR(__xludf.DUMMYFUNCTION("""COMPUTED_VALUE"""),"John McDonough Senior High")</f>
        <v>John McDonough Senior High</v>
      </c>
      <c r="G2927" s="8">
        <f ca="1">IFERROR(__xludf.DUMMYFUNCTION("""COMPUTED_VALUE"""),1)</f>
        <v>1</v>
      </c>
      <c r="H2927" s="8">
        <f ca="1">IFERROR(__xludf.DUMMYFUNCTION("""COMPUTED_VALUE"""),0)</f>
        <v>0</v>
      </c>
      <c r="I2927" s="8">
        <f ca="1">IFERROR(__xludf.DUMMYFUNCTION("""COMPUTED_VALUE"""),1)</f>
        <v>1</v>
      </c>
      <c r="J2927" s="8">
        <f ca="1">IFERROR(__xludf.DUMMYFUNCTION("""COMPUTED_VALUE"""),0)</f>
        <v>0</v>
      </c>
      <c r="K2927" s="10" t="str">
        <f ca="1">IFERROR(__xludf.DUMMYFUNCTION("""COMPUTED_VALUE"""),"https://www.newspapers.com/image/305864381/?terms=student%2Bshot")</f>
        <v>https://www.newspapers.com/image/305864381/?terms=student%2Bshot</v>
      </c>
      <c r="L2927" s="8"/>
      <c r="M2927" s="8"/>
      <c r="N2927" s="8">
        <f ca="1">IFERROR(__xludf.DUMMYFUNCTION("""COMPUTED_VALUE"""),2)</f>
        <v>2</v>
      </c>
      <c r="O2927" s="8" t="str">
        <f ca="1">IFERROR(__xludf.DUMMYFUNCTION("""COMPUTED_VALUE"""),"Winter")</f>
        <v>Winter</v>
      </c>
      <c r="P2927" s="8" t="str">
        <f ca="1">IFERROR(__xludf.DUMMYFUNCTION("""COMPUTED_VALUE"""),"New Orleans")</f>
        <v>New Orleans</v>
      </c>
      <c r="Q2927" s="8" t="str">
        <f ca="1">IFERROR(__xludf.DUMMYFUNCTION("""COMPUTED_VALUE"""),"LA")</f>
        <v>LA</v>
      </c>
      <c r="R2927" s="8" t="str">
        <f ca="1">IFERROR(__xludf.DUMMYFUNCTION("""COMPUTED_VALUE"""),"High")</f>
        <v>High</v>
      </c>
      <c r="S2927" s="8" t="str">
        <f ca="1">IFERROR(__xludf.DUMMYFUNCTION("""COMPUTED_VALUE"""),"Hallway")</f>
        <v>Hallway</v>
      </c>
      <c r="T2927" s="8" t="str">
        <f ca="1">IFERROR(__xludf.DUMMYFUNCTION("""COMPUTED_VALUE"""),"Inside School Building")</f>
        <v>Inside School Building</v>
      </c>
      <c r="U2927" s="8" t="str">
        <f ca="1">IFERROR(__xludf.DUMMYFUNCTION("""COMPUTED_VALUE"""),"Yes")</f>
        <v>Yes</v>
      </c>
      <c r="V2927" s="8" t="str">
        <f ca="1">IFERROR(__xludf.DUMMYFUNCTION("""COMPUTED_VALUE"""),"Lunch")</f>
        <v>Lunch</v>
      </c>
      <c r="W2927" s="11">
        <f ca="1">IFERROR(__xludf.DUMMYFUNCTION("""COMPUTED_VALUE"""),0.548611111111111)</f>
        <v>0.54861111111111105</v>
      </c>
      <c r="X2927" s="8">
        <f ca="1">IFERROR(__xludf.DUMMYFUNCTION("""COMPUTED_VALUE"""),1)</f>
        <v>1</v>
      </c>
      <c r="Y2927" s="12" t="str">
        <f ca="1">IFERROR(__xludf.DUMMYFUNCTION("""COMPUTED_VALUE"""),"Escalating argument between students - they shot each other")</f>
        <v>Escalating argument between students - they shot each other</v>
      </c>
      <c r="Z2927" s="12" t="str">
        <f ca="1">IFERROR(__xludf.DUMMYFUNCTION("""COMPUTED_VALUE"""),"Two students got into an argument in the hallway - apparently they both had guns and shot each other at the same time. One student died, the other was shot in the arm")</f>
        <v>Two students got into an argument in the hallway - apparently they both had guns and shot each other at the same time. One student died, the other was shot in the arm</v>
      </c>
      <c r="AA2927" s="8" t="str">
        <f ca="1">IFERROR(__xludf.DUMMYFUNCTION("""COMPUTED_VALUE"""),"Escalation of Dispute")</f>
        <v>Escalation of Dispute</v>
      </c>
      <c r="AB2927" s="8"/>
      <c r="AC2927" s="8"/>
      <c r="AD2927" s="8" t="str">
        <f ca="1">IFERROR(__xludf.DUMMYFUNCTION("""COMPUTED_VALUE"""),"Victims Targeted")</f>
        <v>Victims Targeted</v>
      </c>
      <c r="AE2927" s="8" t="str">
        <f ca="1">IFERROR(__xludf.DUMMYFUNCTION("""COMPUTED_VALUE"""),"No")</f>
        <v>No</v>
      </c>
      <c r="AF2927" s="8"/>
      <c r="AG2927" s="8" t="str">
        <f ca="1">IFERROR(__xludf.DUMMYFUNCTION("""COMPUTED_VALUE"""),"No")</f>
        <v>No</v>
      </c>
      <c r="AH2927" s="8" t="str">
        <f ca="1">IFERROR(__xludf.DUMMYFUNCTION("""COMPUTED_VALUE"""),"No")</f>
        <v>No</v>
      </c>
      <c r="AI2927" s="8" t="str">
        <f ca="1">IFERROR(__xludf.DUMMYFUNCTION("""COMPUTED_VALUE"""),"No")</f>
        <v>No</v>
      </c>
      <c r="AJ2927" s="8"/>
      <c r="AK2927" s="8"/>
      <c r="AL2927" s="8" t="str">
        <f ca="1">IFERROR(__xludf.DUMMYFUNCTION("""COMPUTED_VALUE"""),"No")</f>
        <v>No</v>
      </c>
      <c r="AM2927" s="8"/>
      <c r="AN2927" s="8"/>
      <c r="AO2927" s="8" t="str">
        <f ca="1">IFERROR(__xludf.DUMMYFUNCTION("""COMPUTED_VALUE"""),"No")</f>
        <v>No</v>
      </c>
      <c r="AP2927" s="8"/>
      <c r="AQ2927" s="8" t="str">
        <f ca="1">IFERROR(__xludf.DUMMYFUNCTION("""COMPUTED_VALUE"""),"Unknown")</f>
        <v>Unknown</v>
      </c>
      <c r="AR2927" s="8" t="str">
        <f ca="1">IFERROR(__xludf.DUMMYFUNCTION("""COMPUTED_VALUE"""),"NA")</f>
        <v>NA</v>
      </c>
      <c r="AS2927" s="8">
        <f ca="1">IFERROR(__xludf.DUMMYFUNCTION("""COMPUTED_VALUE"""),2)</f>
        <v>2</v>
      </c>
      <c r="AT2927" s="8"/>
      <c r="AU2927" s="8">
        <f ca="1">IFERROR(__xludf.DUMMYFUNCTION("""COMPUTED_VALUE"""),29.974235)</f>
        <v>29.974235</v>
      </c>
      <c r="AV2927" s="8">
        <f ca="1">IFERROR(__xludf.DUMMYFUNCTION("""COMPUTED_VALUE"""),-90.076566)</f>
        <v>-90.076566</v>
      </c>
      <c r="AW2927" s="8"/>
      <c r="AX2927" s="8">
        <f ca="1">IFERROR(__xludf.DUMMYFUNCTION("""COMPUTED_VALUE"""),70116)</f>
        <v>70116</v>
      </c>
    </row>
    <row r="2928" spans="1:50" ht="75" x14ac:dyDescent="0.2">
      <c r="A2928" s="8" t="str">
        <f ca="1">IFERROR(__xludf.DUMMYFUNCTION("""COMPUTED_VALUE"""),"19820208MADOD")</f>
        <v>19820208MADOD</v>
      </c>
      <c r="B2928" s="8">
        <f ca="1">IFERROR(__xludf.DUMMYFUNCTION("""COMPUTED_VALUE"""),2)</f>
        <v>2</v>
      </c>
      <c r="C2928" s="8">
        <f ca="1">IFERROR(__xludf.DUMMYFUNCTION("""COMPUTED_VALUE"""),8)</f>
        <v>8</v>
      </c>
      <c r="D2928" s="8">
        <f ca="1">IFERROR(__xludf.DUMMYFUNCTION("""COMPUTED_VALUE"""),1982)</f>
        <v>1982</v>
      </c>
      <c r="E2928" s="9">
        <f ca="1">IFERROR(__xludf.DUMMYFUNCTION("""COMPUTED_VALUE"""),29990)</f>
        <v>29990</v>
      </c>
      <c r="F2928" s="8" t="str">
        <f ca="1">IFERROR(__xludf.DUMMYFUNCTION("""COMPUTED_VALUE"""),"Dorchester High School")</f>
        <v>Dorchester High School</v>
      </c>
      <c r="G2928" s="8">
        <f ca="1">IFERROR(__xludf.DUMMYFUNCTION("""COMPUTED_VALUE"""),0)</f>
        <v>0</v>
      </c>
      <c r="H2928" s="8">
        <f ca="1">IFERROR(__xludf.DUMMYFUNCTION("""COMPUTED_VALUE"""),1)</f>
        <v>1</v>
      </c>
      <c r="I2928" s="8">
        <f ca="1">IFERROR(__xludf.DUMMYFUNCTION("""COMPUTED_VALUE"""),1)</f>
        <v>1</v>
      </c>
      <c r="J2928" s="8">
        <f ca="1">IFERROR(__xludf.DUMMYFUNCTION("""COMPUTED_VALUE"""),0)</f>
        <v>0</v>
      </c>
      <c r="K2928" s="8" t="str">
        <f ca="1">IFERROR(__xludf.DUMMYFUNCTION("""COMPUTED_VALUE"""),"https://www.newspapers.com/image/436948536/?terms=student%2Bshot   https://www.newspapers.com/image/436948717/?terms=devon%2Blawrence")</f>
        <v>https://www.newspapers.com/image/436948536/?terms=student%2Bshot   https://www.newspapers.com/image/436948717/?terms=devon%2Blawrence</v>
      </c>
      <c r="L2928" s="8"/>
      <c r="M2928" s="8"/>
      <c r="N2928" s="8">
        <f ca="1">IFERROR(__xludf.DUMMYFUNCTION("""COMPUTED_VALUE"""),3)</f>
        <v>3</v>
      </c>
      <c r="O2928" s="8" t="str">
        <f ca="1">IFERROR(__xludf.DUMMYFUNCTION("""COMPUTED_VALUE"""),"Winter")</f>
        <v>Winter</v>
      </c>
      <c r="P2928" s="8" t="str">
        <f ca="1">IFERROR(__xludf.DUMMYFUNCTION("""COMPUTED_VALUE"""),"Dorchester")</f>
        <v>Dorchester</v>
      </c>
      <c r="Q2928" s="8" t="str">
        <f ca="1">IFERROR(__xludf.DUMMYFUNCTION("""COMPUTED_VALUE"""),"MA")</f>
        <v>MA</v>
      </c>
      <c r="R2928" s="8" t="str">
        <f ca="1">IFERROR(__xludf.DUMMYFUNCTION("""COMPUTED_VALUE"""),"High")</f>
        <v>High</v>
      </c>
      <c r="S2928" s="8" t="str">
        <f ca="1">IFERROR(__xludf.DUMMYFUNCTION("""COMPUTED_VALUE"""),"Inside School Building")</f>
        <v>Inside School Building</v>
      </c>
      <c r="T2928" s="8" t="str">
        <f ca="1">IFERROR(__xludf.DUMMYFUNCTION("""COMPUTED_VALUE"""),"Inside School Building")</f>
        <v>Inside School Building</v>
      </c>
      <c r="U2928" s="8" t="str">
        <f ca="1">IFERROR(__xludf.DUMMYFUNCTION("""COMPUTED_VALUE"""),"Yes")</f>
        <v>Yes</v>
      </c>
      <c r="V2928" s="8" t="str">
        <f ca="1">IFERROR(__xludf.DUMMYFUNCTION("""COMPUTED_VALUE"""),"Dismissal")</f>
        <v>Dismissal</v>
      </c>
      <c r="W2928" s="11">
        <f ca="1">IFERROR(__xludf.DUMMYFUNCTION("""COMPUTED_VALUE"""),0.572916666666666)</f>
        <v>0.57291666666666596</v>
      </c>
      <c r="X2928" s="8">
        <f ca="1">IFERROR(__xludf.DUMMYFUNCTION("""COMPUTED_VALUE"""),1)</f>
        <v>1</v>
      </c>
      <c r="Y2928" s="12" t="str">
        <f ca="1">IFERROR(__xludf.DUMMYFUNCTION("""COMPUTED_VALUE"""),"Shooter was showing off gun in class and accidentally shot victim")</f>
        <v>Shooter was showing off gun in class and accidentally shot victim</v>
      </c>
      <c r="Z2928" s="12" t="str">
        <f ca="1">IFERROR(__xludf.DUMMYFUNCTION("""COMPUTED_VALUE"""),"Shooter was showing off gun and accidentally shot victim -")</f>
        <v>Shooter was showing off gun and accidentally shot victim -</v>
      </c>
      <c r="AA2928" s="8" t="str">
        <f ca="1">IFERROR(__xludf.DUMMYFUNCTION("""COMPUTED_VALUE"""),"Accidental")</f>
        <v>Accidental</v>
      </c>
      <c r="AB2928" s="8"/>
      <c r="AC2928" s="8"/>
      <c r="AD2928" s="8" t="str">
        <f ca="1">IFERROR(__xludf.DUMMYFUNCTION("""COMPUTED_VALUE"""),"Random Shooting")</f>
        <v>Random Shooting</v>
      </c>
      <c r="AE2928" s="8" t="str">
        <f ca="1">IFERROR(__xludf.DUMMYFUNCTION("""COMPUTED_VALUE"""),"No")</f>
        <v>No</v>
      </c>
      <c r="AF2928" s="8"/>
      <c r="AG2928" s="8" t="str">
        <f ca="1">IFERROR(__xludf.DUMMYFUNCTION("""COMPUTED_VALUE"""),"No")</f>
        <v>No</v>
      </c>
      <c r="AH2928" s="8" t="str">
        <f ca="1">IFERROR(__xludf.DUMMYFUNCTION("""COMPUTED_VALUE"""),"No")</f>
        <v>No</v>
      </c>
      <c r="AI2928" s="8" t="str">
        <f ca="1">IFERROR(__xludf.DUMMYFUNCTION("""COMPUTED_VALUE"""),"No")</f>
        <v>No</v>
      </c>
      <c r="AJ2928" s="8" t="str">
        <f ca="1">IFERROR(__xludf.DUMMYFUNCTION("""COMPUTED_VALUE"""),"No")</f>
        <v>No</v>
      </c>
      <c r="AK2928" s="8" t="str">
        <f ca="1">IFERROR(__xludf.DUMMYFUNCTION("""COMPUTED_VALUE"""),"No")</f>
        <v>No</v>
      </c>
      <c r="AL2928" s="8" t="str">
        <f ca="1">IFERROR(__xludf.DUMMYFUNCTION("""COMPUTED_VALUE"""),"No")</f>
        <v>No</v>
      </c>
      <c r="AM2928" s="8"/>
      <c r="AN2928" s="8"/>
      <c r="AO2928" s="8" t="str">
        <f ca="1">IFERROR(__xludf.DUMMYFUNCTION("""COMPUTED_VALUE"""),"No")</f>
        <v>No</v>
      </c>
      <c r="AP2928" s="8"/>
      <c r="AQ2928" s="8" t="str">
        <f ca="1">IFERROR(__xludf.DUMMYFUNCTION("""COMPUTED_VALUE"""),"Unknown")</f>
        <v>Unknown</v>
      </c>
      <c r="AR2928" s="8" t="str">
        <f ca="1">IFERROR(__xludf.DUMMYFUNCTION("""COMPUTED_VALUE"""),"NA")</f>
        <v>NA</v>
      </c>
      <c r="AS2928" s="8">
        <f ca="1">IFERROR(__xludf.DUMMYFUNCTION("""COMPUTED_VALUE"""),1)</f>
        <v>1</v>
      </c>
      <c r="AT2928" s="8"/>
      <c r="AU2928" s="8">
        <f ca="1">IFERROR(__xludf.DUMMYFUNCTION("""COMPUTED_VALUE"""),42.285214)</f>
        <v>42.285214000000003</v>
      </c>
      <c r="AV2928" s="8">
        <f ca="1">IFERROR(__xludf.DUMMYFUNCTION("""COMPUTED_VALUE"""),-71.07583)</f>
        <v>-71.075829999999996</v>
      </c>
      <c r="AW2928" s="8"/>
      <c r="AX2928" s="8">
        <f ca="1">IFERROR(__xludf.DUMMYFUNCTION("""COMPUTED_VALUE"""),2124)</f>
        <v>2124</v>
      </c>
    </row>
    <row r="2929" spans="1:50" ht="75" x14ac:dyDescent="0.2">
      <c r="A2929" s="8" t="str">
        <f ca="1">IFERROR(__xludf.DUMMYFUNCTION("""COMPUTED_VALUE"""),"19820205TNHAM")</f>
        <v>19820205TNHAM</v>
      </c>
      <c r="B2929" s="8">
        <f ca="1">IFERROR(__xludf.DUMMYFUNCTION("""COMPUTED_VALUE"""),2)</f>
        <v>2</v>
      </c>
      <c r="C2929" s="8">
        <f ca="1">IFERROR(__xludf.DUMMYFUNCTION("""COMPUTED_VALUE"""),5)</f>
        <v>5</v>
      </c>
      <c r="D2929" s="8">
        <f ca="1">IFERROR(__xludf.DUMMYFUNCTION("""COMPUTED_VALUE"""),1982)</f>
        <v>1982</v>
      </c>
      <c r="E2929" s="9">
        <f ca="1">IFERROR(__xludf.DUMMYFUNCTION("""COMPUTED_VALUE"""),29987)</f>
        <v>29987</v>
      </c>
      <c r="F2929" s="8" t="str">
        <f ca="1">IFERROR(__xludf.DUMMYFUNCTION("""COMPUTED_VALUE"""),"Hamilton High School")</f>
        <v>Hamilton High School</v>
      </c>
      <c r="G2929" s="8">
        <f ca="1">IFERROR(__xludf.DUMMYFUNCTION("""COMPUTED_VALUE"""),1)</f>
        <v>1</v>
      </c>
      <c r="H2929" s="8">
        <f ca="1">IFERROR(__xludf.DUMMYFUNCTION("""COMPUTED_VALUE"""),0)</f>
        <v>0</v>
      </c>
      <c r="I2929" s="8">
        <f ca="1">IFERROR(__xludf.DUMMYFUNCTION("""COMPUTED_VALUE"""),1)</f>
        <v>1</v>
      </c>
      <c r="J2929" s="8">
        <f ca="1">IFERROR(__xludf.DUMMYFUNCTION("""COMPUTED_VALUE"""),0)</f>
        <v>0</v>
      </c>
      <c r="K2929" s="10" t="str">
        <f ca="1">IFERROR(__xludf.DUMMYFUNCTION("""COMPUTED_VALUE"""),"https://www.newspapers.com/image/279068651/?terms=teacher%2Bshot")</f>
        <v>https://www.newspapers.com/image/279068651/?terms=teacher%2Bshot</v>
      </c>
      <c r="L2929" s="8"/>
      <c r="M2929" s="8"/>
      <c r="N2929" s="8">
        <f ca="1">IFERROR(__xludf.DUMMYFUNCTION("""COMPUTED_VALUE"""),2)</f>
        <v>2</v>
      </c>
      <c r="O2929" s="8" t="str">
        <f ca="1">IFERROR(__xludf.DUMMYFUNCTION("""COMPUTED_VALUE"""),"Winter")</f>
        <v>Winter</v>
      </c>
      <c r="P2929" s="8" t="str">
        <f ca="1">IFERROR(__xludf.DUMMYFUNCTION("""COMPUTED_VALUE"""),"Memphis")</f>
        <v>Memphis</v>
      </c>
      <c r="Q2929" s="8" t="str">
        <f ca="1">IFERROR(__xludf.DUMMYFUNCTION("""COMPUTED_VALUE"""),"TN")</f>
        <v>TN</v>
      </c>
      <c r="R2929" s="8" t="str">
        <f ca="1">IFERROR(__xludf.DUMMYFUNCTION("""COMPUTED_VALUE"""),"High")</f>
        <v>High</v>
      </c>
      <c r="S2929" s="8" t="str">
        <f ca="1">IFERROR(__xludf.DUMMYFUNCTION("""COMPUTED_VALUE"""),"Gym")</f>
        <v>Gym</v>
      </c>
      <c r="T2929" s="8" t="str">
        <f ca="1">IFERROR(__xludf.DUMMYFUNCTION("""COMPUTED_VALUE"""),"Inside School Building")</f>
        <v>Inside School Building</v>
      </c>
      <c r="U2929" s="8" t="str">
        <f ca="1">IFERROR(__xludf.DUMMYFUNCTION("""COMPUTED_VALUE"""),"No")</f>
        <v>No</v>
      </c>
      <c r="V2929" s="8" t="str">
        <f ca="1">IFERROR(__xludf.DUMMYFUNCTION("""COMPUTED_VALUE"""),"Sport Event")</f>
        <v>Sport Event</v>
      </c>
      <c r="W2929" s="8"/>
      <c r="X2929" s="8">
        <f ca="1">IFERROR(__xludf.DUMMYFUNCTION("""COMPUTED_VALUE"""),1)</f>
        <v>1</v>
      </c>
      <c r="Y2929" s="12" t="str">
        <f ca="1">IFERROR(__xludf.DUMMYFUNCTION("""COMPUTED_VALUE"""),"Robbery of teacher who was collecting money outside HS basketball game")</f>
        <v>Robbery of teacher who was collecting money outside HS basketball game</v>
      </c>
      <c r="Z2929" s="12" t="str">
        <f ca="1">IFERROR(__xludf.DUMMYFUNCTION("""COMPUTED_VALUE"""),"Teacher was collecting ticket money outside HS basketball game when shooter came in to do robbery. Victim flipped table he was sitting at over and was then shot - man sitting next to victim gave shooter money - shooter then fled - victim later died")</f>
        <v>Teacher was collecting ticket money outside HS basketball game when shooter came in to do robbery. Victim flipped table he was sitting at over and was then shot - man sitting next to victim gave shooter money - shooter then fled - victim later died</v>
      </c>
      <c r="AA2929" s="8" t="str">
        <f ca="1">IFERROR(__xludf.DUMMYFUNCTION("""COMPUTED_VALUE"""),"Illegal Activity")</f>
        <v>Illegal Activity</v>
      </c>
      <c r="AB2929" s="8"/>
      <c r="AC2929" s="8"/>
      <c r="AD2929" s="8" t="str">
        <f ca="1">IFERROR(__xludf.DUMMYFUNCTION("""COMPUTED_VALUE"""),"Victims Targeted")</f>
        <v>Victims Targeted</v>
      </c>
      <c r="AE2929" s="8" t="str">
        <f ca="1">IFERROR(__xludf.DUMMYFUNCTION("""COMPUTED_VALUE"""),"No")</f>
        <v>No</v>
      </c>
      <c r="AF2929" s="8"/>
      <c r="AG2929" s="8" t="str">
        <f ca="1">IFERROR(__xludf.DUMMYFUNCTION("""COMPUTED_VALUE"""),"No")</f>
        <v>No</v>
      </c>
      <c r="AH2929" s="8" t="str">
        <f ca="1">IFERROR(__xludf.DUMMYFUNCTION("""COMPUTED_VALUE"""),"No")</f>
        <v>No</v>
      </c>
      <c r="AI2929" s="8" t="str">
        <f ca="1">IFERROR(__xludf.DUMMYFUNCTION("""COMPUTED_VALUE"""),"No")</f>
        <v>No</v>
      </c>
      <c r="AJ2929" s="8" t="str">
        <f ca="1">IFERROR(__xludf.DUMMYFUNCTION("""COMPUTED_VALUE"""),"No")</f>
        <v>No</v>
      </c>
      <c r="AK2929" s="8" t="str">
        <f ca="1">IFERROR(__xludf.DUMMYFUNCTION("""COMPUTED_VALUE"""),"No")</f>
        <v>No</v>
      </c>
      <c r="AL2929" s="8" t="str">
        <f ca="1">IFERROR(__xludf.DUMMYFUNCTION("""COMPUTED_VALUE"""),"No")</f>
        <v>No</v>
      </c>
      <c r="AM2929" s="8"/>
      <c r="AN2929" s="8"/>
      <c r="AO2929" s="8" t="str">
        <f ca="1">IFERROR(__xludf.DUMMYFUNCTION("""COMPUTED_VALUE"""),"No")</f>
        <v>No</v>
      </c>
      <c r="AP2929" s="8"/>
      <c r="AQ2929" s="8" t="str">
        <f ca="1">IFERROR(__xludf.DUMMYFUNCTION("""COMPUTED_VALUE"""),"Unknown")</f>
        <v>Unknown</v>
      </c>
      <c r="AR2929" s="8" t="str">
        <f ca="1">IFERROR(__xludf.DUMMYFUNCTION("""COMPUTED_VALUE"""),"NA")</f>
        <v>NA</v>
      </c>
      <c r="AS2929" s="8">
        <f ca="1">IFERROR(__xludf.DUMMYFUNCTION("""COMPUTED_VALUE"""),1)</f>
        <v>1</v>
      </c>
      <c r="AT2929" s="8"/>
      <c r="AU2929" s="8">
        <f ca="1">IFERROR(__xludf.DUMMYFUNCTION("""COMPUTED_VALUE"""),35.099903)</f>
        <v>35.099902999999998</v>
      </c>
      <c r="AV2929" s="8">
        <f ca="1">IFERROR(__xludf.DUMMYFUNCTION("""COMPUTED_VALUE"""),-90.016667)</f>
        <v>-90.016666999999998</v>
      </c>
      <c r="AW2929" s="8"/>
      <c r="AX2929" s="8">
        <f ca="1">IFERROR(__xludf.DUMMYFUNCTION("""COMPUTED_VALUE"""),38106)</f>
        <v>38106</v>
      </c>
    </row>
    <row r="2930" spans="1:50" ht="60" x14ac:dyDescent="0.2">
      <c r="A2930" s="8" t="str">
        <f ca="1">IFERROR(__xludf.DUMMYFUNCTION("""COMPUTED_VALUE"""),"19811223NYJAB")</f>
        <v>19811223NYJAB</v>
      </c>
      <c r="B2930" s="8">
        <f ca="1">IFERROR(__xludf.DUMMYFUNCTION("""COMPUTED_VALUE"""),12)</f>
        <v>12</v>
      </c>
      <c r="C2930" s="8">
        <f ca="1">IFERROR(__xludf.DUMMYFUNCTION("""COMPUTED_VALUE"""),23)</f>
        <v>23</v>
      </c>
      <c r="D2930" s="8">
        <f ca="1">IFERROR(__xludf.DUMMYFUNCTION("""COMPUTED_VALUE"""),1981)</f>
        <v>1981</v>
      </c>
      <c r="E2930" s="9">
        <f ca="1">IFERROR(__xludf.DUMMYFUNCTION("""COMPUTED_VALUE"""),29943)</f>
        <v>29943</v>
      </c>
      <c r="F2930" s="8" t="str">
        <f ca="1">IFERROR(__xludf.DUMMYFUNCTION("""COMPUTED_VALUE"""),"James Madison High School")</f>
        <v>James Madison High School</v>
      </c>
      <c r="G2930" s="8">
        <f ca="1">IFERROR(__xludf.DUMMYFUNCTION("""COMPUTED_VALUE"""),1)</f>
        <v>1</v>
      </c>
      <c r="H2930" s="8">
        <f ca="1">IFERROR(__xludf.DUMMYFUNCTION("""COMPUTED_VALUE"""),0)</f>
        <v>0</v>
      </c>
      <c r="I2930" s="8">
        <f ca="1">IFERROR(__xludf.DUMMYFUNCTION("""COMPUTED_VALUE"""),1)</f>
        <v>1</v>
      </c>
      <c r="J2930" s="8">
        <f ca="1">IFERROR(__xludf.DUMMYFUNCTION("""COMPUTED_VALUE"""),0)</f>
        <v>0</v>
      </c>
      <c r="K2930" s="10" t="str">
        <f ca="1">IFERROR(__xludf.DUMMYFUNCTION("""COMPUTED_VALUE"""),"https://www.nytimes.com/1981/12/24/nyregion/wrong-kid-is-fatally-shot-in-fight-at-brooklyn-school.html")</f>
        <v>https://www.nytimes.com/1981/12/24/nyregion/wrong-kid-is-fatally-shot-in-fight-at-brooklyn-school.html</v>
      </c>
      <c r="L2930" s="8"/>
      <c r="M2930" s="8"/>
      <c r="N2930" s="8">
        <f ca="1">IFERROR(__xludf.DUMMYFUNCTION("""COMPUTED_VALUE"""),2)</f>
        <v>2</v>
      </c>
      <c r="O2930" s="8" t="str">
        <f ca="1">IFERROR(__xludf.DUMMYFUNCTION("""COMPUTED_VALUE"""),"Winter")</f>
        <v>Winter</v>
      </c>
      <c r="P2930" s="8" t="str">
        <f ca="1">IFERROR(__xludf.DUMMYFUNCTION("""COMPUTED_VALUE"""),"Brooklyn")</f>
        <v>Brooklyn</v>
      </c>
      <c r="Q2930" s="8" t="str">
        <f ca="1">IFERROR(__xludf.DUMMYFUNCTION("""COMPUTED_VALUE"""),"NY")</f>
        <v>NY</v>
      </c>
      <c r="R2930" s="8" t="str">
        <f ca="1">IFERROR(__xludf.DUMMYFUNCTION("""COMPUTED_VALUE"""),"High")</f>
        <v>High</v>
      </c>
      <c r="S2930" s="8" t="str">
        <f ca="1">IFERROR(__xludf.DUMMYFUNCTION("""COMPUTED_VALUE"""),"Hallway")</f>
        <v>Hallway</v>
      </c>
      <c r="T2930" s="8" t="str">
        <f ca="1">IFERROR(__xludf.DUMMYFUNCTION("""COMPUTED_VALUE"""),"Inside School Building")</f>
        <v>Inside School Building</v>
      </c>
      <c r="U2930" s="8" t="str">
        <f ca="1">IFERROR(__xludf.DUMMYFUNCTION("""COMPUTED_VALUE"""),"Yes")</f>
        <v>Yes</v>
      </c>
      <c r="V2930" s="8" t="str">
        <f ca="1">IFERROR(__xludf.DUMMYFUNCTION("""COMPUTED_VALUE"""),"Morning Classes")</f>
        <v>Morning Classes</v>
      </c>
      <c r="W2930" s="11">
        <f ca="1">IFERROR(__xludf.DUMMYFUNCTION("""COMPUTED_VALUE"""),0.416666666666666)</f>
        <v>0.41666666666666602</v>
      </c>
      <c r="X2930" s="8">
        <f ca="1">IFERROR(__xludf.DUMMYFUNCTION("""COMPUTED_VALUE"""),1)</f>
        <v>1</v>
      </c>
      <c r="Y2930" s="12" t="str">
        <f ca="1">IFERROR(__xludf.DUMMYFUNCTION("""COMPUTED_VALUE"""),"Fight between a group of students - victim was bystander")</f>
        <v>Fight between a group of students - victim was bystander</v>
      </c>
      <c r="Z2930" s="12" t="str">
        <f ca="1">IFERROR(__xludf.DUMMYFUNCTION("""COMPUTED_VALUE"""),"Bystander student was shot during an attempted robbery of a coat outside of the school.")</f>
        <v>Bystander student was shot during an attempted robbery of a coat outside of the school.</v>
      </c>
      <c r="AA2930" s="8" t="str">
        <f ca="1">IFERROR(__xludf.DUMMYFUNCTION("""COMPUTED_VALUE"""),"Illegal Activity")</f>
        <v>Illegal Activity</v>
      </c>
      <c r="AB2930" s="8"/>
      <c r="AC2930" s="8"/>
      <c r="AD2930" s="8" t="str">
        <f ca="1">IFERROR(__xludf.DUMMYFUNCTION("""COMPUTED_VALUE"""),"Random Shooting")</f>
        <v>Random Shooting</v>
      </c>
      <c r="AE2930" s="8" t="str">
        <f ca="1">IFERROR(__xludf.DUMMYFUNCTION("""COMPUTED_VALUE"""),"No")</f>
        <v>No</v>
      </c>
      <c r="AF2930" s="8"/>
      <c r="AG2930" s="8" t="str">
        <f ca="1">IFERROR(__xludf.DUMMYFUNCTION("""COMPUTED_VALUE"""),"No")</f>
        <v>No</v>
      </c>
      <c r="AH2930" s="8" t="str">
        <f ca="1">IFERROR(__xludf.DUMMYFUNCTION("""COMPUTED_VALUE"""),"No")</f>
        <v>No</v>
      </c>
      <c r="AI2930" s="8" t="str">
        <f ca="1">IFERROR(__xludf.DUMMYFUNCTION("""COMPUTED_VALUE"""),"No")</f>
        <v>No</v>
      </c>
      <c r="AJ2930" s="8" t="str">
        <f ca="1">IFERROR(__xludf.DUMMYFUNCTION("""COMPUTED_VALUE"""),"No")</f>
        <v>No</v>
      </c>
      <c r="AK2930" s="8" t="str">
        <f ca="1">IFERROR(__xludf.DUMMYFUNCTION("""COMPUTED_VALUE"""),"No")</f>
        <v>No</v>
      </c>
      <c r="AL2930" s="8" t="str">
        <f ca="1">IFERROR(__xludf.DUMMYFUNCTION("""COMPUTED_VALUE"""),"No")</f>
        <v>No</v>
      </c>
      <c r="AM2930" s="8"/>
      <c r="AN2930" s="8"/>
      <c r="AO2930" s="8" t="str">
        <f ca="1">IFERROR(__xludf.DUMMYFUNCTION("""COMPUTED_VALUE"""),"No")</f>
        <v>No</v>
      </c>
      <c r="AP2930" s="8"/>
      <c r="AQ2930" s="8" t="str">
        <f ca="1">IFERROR(__xludf.DUMMYFUNCTION("""COMPUTED_VALUE"""),"Unknown")</f>
        <v>Unknown</v>
      </c>
      <c r="AR2930" s="8" t="str">
        <f ca="1">IFERROR(__xludf.DUMMYFUNCTION("""COMPUTED_VALUE"""),"NA")</f>
        <v>NA</v>
      </c>
      <c r="AS2930" s="8">
        <f ca="1">IFERROR(__xludf.DUMMYFUNCTION("""COMPUTED_VALUE"""),6)</f>
        <v>6</v>
      </c>
      <c r="AT2930" s="8"/>
      <c r="AU2930" s="8">
        <f ca="1">IFERROR(__xludf.DUMMYFUNCTION("""COMPUTED_VALUE"""),40.610447)</f>
        <v>40.610447000000001</v>
      </c>
      <c r="AV2930" s="8">
        <f ca="1">IFERROR(__xludf.DUMMYFUNCTION("""COMPUTED_VALUE"""),-73.948008)</f>
        <v>-73.948008000000002</v>
      </c>
      <c r="AW2930" s="8"/>
      <c r="AX2930" s="8">
        <f ca="1">IFERROR(__xludf.DUMMYFUNCTION("""COMPUTED_VALUE"""),11229)</f>
        <v>11229</v>
      </c>
    </row>
    <row r="2931" spans="1:50" ht="75" x14ac:dyDescent="0.2">
      <c r="A2931" s="8" t="str">
        <f ca="1">IFERROR(__xludf.DUMMYFUNCTION("""COMPUTED_VALUE"""),"19811216TXUNH")</f>
        <v>19811216TXUNH</v>
      </c>
      <c r="B2931" s="8">
        <f ca="1">IFERROR(__xludf.DUMMYFUNCTION("""COMPUTED_VALUE"""),12)</f>
        <v>12</v>
      </c>
      <c r="C2931" s="8">
        <f ca="1">IFERROR(__xludf.DUMMYFUNCTION("""COMPUTED_VALUE"""),16)</f>
        <v>16</v>
      </c>
      <c r="D2931" s="8">
        <f ca="1">IFERROR(__xludf.DUMMYFUNCTION("""COMPUTED_VALUE"""),1981)</f>
        <v>1981</v>
      </c>
      <c r="E2931" s="9">
        <f ca="1">IFERROR(__xludf.DUMMYFUNCTION("""COMPUTED_VALUE"""),29936)</f>
        <v>29936</v>
      </c>
      <c r="F2931" s="8" t="str">
        <f ca="1">IFERROR(__xludf.DUMMYFUNCTION("""COMPUTED_VALUE"""),"Unnamed school")</f>
        <v>Unnamed school</v>
      </c>
      <c r="G2931" s="8">
        <f ca="1">IFERROR(__xludf.DUMMYFUNCTION("""COMPUTED_VALUE"""),0)</f>
        <v>0</v>
      </c>
      <c r="H2931" s="8">
        <f ca="1">IFERROR(__xludf.DUMMYFUNCTION("""COMPUTED_VALUE"""),1)</f>
        <v>1</v>
      </c>
      <c r="I2931" s="8">
        <f ca="1">IFERROR(__xludf.DUMMYFUNCTION("""COMPUTED_VALUE"""),1)</f>
        <v>1</v>
      </c>
      <c r="J2931" s="8">
        <f ca="1">IFERROR(__xludf.DUMMYFUNCTION("""COMPUTED_VALUE"""),0)</f>
        <v>0</v>
      </c>
      <c r="K2931" s="10" t="str">
        <f ca="1">IFERROR(__xludf.DUMMYFUNCTION("""COMPUTED_VALUE"""),"https://www.newspapers.com/image/209382299/?terms=student%2BshoT")</f>
        <v>https://www.newspapers.com/image/209382299/?terms=student%2BshoT</v>
      </c>
      <c r="L2931" s="8"/>
      <c r="M2931" s="8"/>
      <c r="N2931" s="8">
        <f ca="1">IFERROR(__xludf.DUMMYFUNCTION("""COMPUTED_VALUE"""),2)</f>
        <v>2</v>
      </c>
      <c r="O2931" s="8" t="str">
        <f ca="1">IFERROR(__xludf.DUMMYFUNCTION("""COMPUTED_VALUE"""),"Winter")</f>
        <v>Winter</v>
      </c>
      <c r="P2931" s="8" t="str">
        <f ca="1">IFERROR(__xludf.DUMMYFUNCTION("""COMPUTED_VALUE"""),"Houston")</f>
        <v>Houston</v>
      </c>
      <c r="Q2931" s="8" t="str">
        <f ca="1">IFERROR(__xludf.DUMMYFUNCTION("""COMPUTED_VALUE"""),"TX")</f>
        <v>TX</v>
      </c>
      <c r="R2931" s="8" t="str">
        <f ca="1">IFERROR(__xludf.DUMMYFUNCTION("""COMPUTED_VALUE"""),"High")</f>
        <v>High</v>
      </c>
      <c r="S2931" s="8" t="str">
        <f ca="1">IFERROR(__xludf.DUMMYFUNCTION("""COMPUTED_VALUE"""),"Hallway")</f>
        <v>Hallway</v>
      </c>
      <c r="T2931" s="8" t="str">
        <f ca="1">IFERROR(__xludf.DUMMYFUNCTION("""COMPUTED_VALUE"""),"Inside School Building")</f>
        <v>Inside School Building</v>
      </c>
      <c r="U2931" s="8" t="str">
        <f ca="1">IFERROR(__xludf.DUMMYFUNCTION("""COMPUTED_VALUE"""),"Yes")</f>
        <v>Yes</v>
      </c>
      <c r="V2931" s="8" t="str">
        <f ca="1">IFERROR(__xludf.DUMMYFUNCTION("""COMPUTED_VALUE"""),"Morning Classes")</f>
        <v>Morning Classes</v>
      </c>
      <c r="W2931" s="11">
        <f ca="1">IFERROR(__xludf.DUMMYFUNCTION("""COMPUTED_VALUE"""),0.322916666666666)</f>
        <v>0.32291666666666602</v>
      </c>
      <c r="X2931" s="8">
        <f ca="1">IFERROR(__xludf.DUMMYFUNCTION("""COMPUTED_VALUE"""),1)</f>
        <v>1</v>
      </c>
      <c r="Y2931" s="12" t="str">
        <f ca="1">IFERROR(__xludf.DUMMYFUNCTION("""COMPUTED_VALUE"""),"Shooting followed two day argument over a girl")</f>
        <v>Shooting followed two day argument over a girl</v>
      </c>
      <c r="Z2931" s="12" t="str">
        <f ca="1">IFERROR(__xludf.DUMMYFUNCTION("""COMPUTED_VALUE"""),"Shooter shot victim during early morning hours in school hallway - claimed shooting stemmed from ongoing argument over a girl who began dating victim. Shooter stated he shot at victim 5-6 times after victim approached him with knife - no knife found on vi"&amp;"ctim")</f>
        <v>Shooter shot victim during early morning hours in school hallway - claimed shooting stemmed from ongoing argument over a girl who began dating victim. Shooter stated he shot at victim 5-6 times after victim approached him with knife - no knife found on victim</v>
      </c>
      <c r="AA2931" s="8" t="str">
        <f ca="1">IFERROR(__xludf.DUMMYFUNCTION("""COMPUTED_VALUE"""),"Escalation of Dispute")</f>
        <v>Escalation of Dispute</v>
      </c>
      <c r="AB2931" s="8"/>
      <c r="AC2931" s="8"/>
      <c r="AD2931" s="8" t="str">
        <f ca="1">IFERROR(__xludf.DUMMYFUNCTION("""COMPUTED_VALUE"""),"Victims Targeted")</f>
        <v>Victims Targeted</v>
      </c>
      <c r="AE2931" s="8" t="str">
        <f ca="1">IFERROR(__xludf.DUMMYFUNCTION("""COMPUTED_VALUE"""),"No")</f>
        <v>No</v>
      </c>
      <c r="AF2931" s="8"/>
      <c r="AG2931" s="8" t="str">
        <f ca="1">IFERROR(__xludf.DUMMYFUNCTION("""COMPUTED_VALUE"""),"No")</f>
        <v>No</v>
      </c>
      <c r="AH2931" s="8" t="str">
        <f ca="1">IFERROR(__xludf.DUMMYFUNCTION("""COMPUTED_VALUE"""),"No")</f>
        <v>No</v>
      </c>
      <c r="AI2931" s="8" t="str">
        <f ca="1">IFERROR(__xludf.DUMMYFUNCTION("""COMPUTED_VALUE"""),"No")</f>
        <v>No</v>
      </c>
      <c r="AJ2931" s="8" t="str">
        <f ca="1">IFERROR(__xludf.DUMMYFUNCTION("""COMPUTED_VALUE"""),"No")</f>
        <v>No</v>
      </c>
      <c r="AK2931" s="8" t="str">
        <f ca="1">IFERROR(__xludf.DUMMYFUNCTION("""COMPUTED_VALUE"""),"No")</f>
        <v>No</v>
      </c>
      <c r="AL2931" s="8" t="str">
        <f ca="1">IFERROR(__xludf.DUMMYFUNCTION("""COMPUTED_VALUE"""),"No")</f>
        <v>No</v>
      </c>
      <c r="AM2931" s="8"/>
      <c r="AN2931" s="8"/>
      <c r="AO2931" s="8" t="str">
        <f ca="1">IFERROR(__xludf.DUMMYFUNCTION("""COMPUTED_VALUE"""),"No")</f>
        <v>No</v>
      </c>
      <c r="AP2931" s="8"/>
      <c r="AQ2931" s="8" t="str">
        <f ca="1">IFERROR(__xludf.DUMMYFUNCTION("""COMPUTED_VALUE"""),"Unknown")</f>
        <v>Unknown</v>
      </c>
      <c r="AR2931" s="8" t="str">
        <f ca="1">IFERROR(__xludf.DUMMYFUNCTION("""COMPUTED_VALUE"""),"NA")</f>
        <v>NA</v>
      </c>
      <c r="AS2931" s="8">
        <f ca="1">IFERROR(__xludf.DUMMYFUNCTION("""COMPUTED_VALUE"""),6)</f>
        <v>6</v>
      </c>
      <c r="AT2931" s="8"/>
      <c r="AU2931" s="8">
        <f ca="1">IFERROR(__xludf.DUMMYFUNCTION("""COMPUTED_VALUE"""),29.7604267)</f>
        <v>29.7604267</v>
      </c>
      <c r="AV2931" s="8">
        <f ca="1">IFERROR(__xludf.DUMMYFUNCTION("""COMPUTED_VALUE"""),-95.3698028)</f>
        <v>-95.369802800000002</v>
      </c>
      <c r="AW2931" s="8"/>
      <c r="AX2931" s="8">
        <f ca="1">IFERROR(__xludf.DUMMYFUNCTION("""COMPUTED_VALUE"""),77002)</f>
        <v>77002</v>
      </c>
    </row>
    <row r="2932" spans="1:50" ht="30" x14ac:dyDescent="0.2">
      <c r="A2932" s="8" t="str">
        <f ca="1">IFERROR(__xludf.DUMMYFUNCTION("""COMPUTED_VALUE"""),"19811209NYGEB")</f>
        <v>19811209NYGEB</v>
      </c>
      <c r="B2932" s="8">
        <f ca="1">IFERROR(__xludf.DUMMYFUNCTION("""COMPUTED_VALUE"""),12)</f>
        <v>12</v>
      </c>
      <c r="C2932" s="8">
        <f ca="1">IFERROR(__xludf.DUMMYFUNCTION("""COMPUTED_VALUE"""),9)</f>
        <v>9</v>
      </c>
      <c r="D2932" s="8">
        <f ca="1">IFERROR(__xludf.DUMMYFUNCTION("""COMPUTED_VALUE"""),1981)</f>
        <v>1981</v>
      </c>
      <c r="E2932" s="9">
        <f ca="1">IFERROR(__xludf.DUMMYFUNCTION("""COMPUTED_VALUE"""),29929)</f>
        <v>29929</v>
      </c>
      <c r="F2932" s="8" t="str">
        <f ca="1">IFERROR(__xludf.DUMMYFUNCTION("""COMPUTED_VALUE"""),"George W. Wingate High School")</f>
        <v>George W. Wingate High School</v>
      </c>
      <c r="G2932" s="8">
        <f ca="1">IFERROR(__xludf.DUMMYFUNCTION("""COMPUTED_VALUE"""),1)</f>
        <v>1</v>
      </c>
      <c r="H2932" s="8">
        <f ca="1">IFERROR(__xludf.DUMMYFUNCTION("""COMPUTED_VALUE"""),0)</f>
        <v>0</v>
      </c>
      <c r="I2932" s="8">
        <f ca="1">IFERROR(__xludf.DUMMYFUNCTION("""COMPUTED_VALUE"""),1)</f>
        <v>1</v>
      </c>
      <c r="J2932" s="8">
        <f ca="1">IFERROR(__xludf.DUMMYFUNCTION("""COMPUTED_VALUE"""),0)</f>
        <v>0</v>
      </c>
      <c r="K2932" s="10" t="str">
        <f ca="1">IFERROR(__xludf.DUMMYFUNCTION("""COMPUTED_VALUE"""),"https://www.nytimes.com/1981/12/24/nyregion/wrong-kid-is-fatally-shot-in-fight-at-brooklyn-school.html")</f>
        <v>https://www.nytimes.com/1981/12/24/nyregion/wrong-kid-is-fatally-shot-in-fight-at-brooklyn-school.html</v>
      </c>
      <c r="L2932" s="8"/>
      <c r="M2932" s="8"/>
      <c r="N2932" s="8">
        <f ca="1">IFERROR(__xludf.DUMMYFUNCTION("""COMPUTED_VALUE"""),2)</f>
        <v>2</v>
      </c>
      <c r="O2932" s="8" t="str">
        <f ca="1">IFERROR(__xludf.DUMMYFUNCTION("""COMPUTED_VALUE"""),"Winter")</f>
        <v>Winter</v>
      </c>
      <c r="P2932" s="8" t="str">
        <f ca="1">IFERROR(__xludf.DUMMYFUNCTION("""COMPUTED_VALUE"""),"Brooklyn")</f>
        <v>Brooklyn</v>
      </c>
      <c r="Q2932" s="8" t="str">
        <f ca="1">IFERROR(__xludf.DUMMYFUNCTION("""COMPUTED_VALUE"""),"NY")</f>
        <v>NY</v>
      </c>
      <c r="R2932" s="8" t="str">
        <f ca="1">IFERROR(__xludf.DUMMYFUNCTION("""COMPUTED_VALUE"""),"High")</f>
        <v>High</v>
      </c>
      <c r="S2932" s="8" t="str">
        <f ca="1">IFERROR(__xludf.DUMMYFUNCTION("""COMPUTED_VALUE"""),"Outside on School Property")</f>
        <v>Outside on School Property</v>
      </c>
      <c r="T2932" s="8" t="str">
        <f ca="1">IFERROR(__xludf.DUMMYFUNCTION("""COMPUTED_VALUE"""),"Outside on School Property")</f>
        <v>Outside on School Property</v>
      </c>
      <c r="U2932" s="8"/>
      <c r="V2932" s="8"/>
      <c r="W2932" s="8"/>
      <c r="X2932" s="8">
        <f ca="1">IFERROR(__xludf.DUMMYFUNCTION("""COMPUTED_VALUE"""),1)</f>
        <v>1</v>
      </c>
      <c r="Y2932" s="12" t="str">
        <f ca="1">IFERROR(__xludf.DUMMYFUNCTION("""COMPUTED_VALUE"""),"Attempted robbery - shot for gold ring")</f>
        <v>Attempted robbery - shot for gold ring</v>
      </c>
      <c r="Z2932" s="12" t="str">
        <f ca="1">IFERROR(__xludf.DUMMYFUNCTION("""COMPUTED_VALUE"""),"18YOM student shot outside of school during robbery. No other details.")</f>
        <v>18YOM student shot outside of school during robbery. No other details.</v>
      </c>
      <c r="AA2932" s="8" t="str">
        <f ca="1">IFERROR(__xludf.DUMMYFUNCTION("""COMPUTED_VALUE"""),"Illegal Activity")</f>
        <v>Illegal Activity</v>
      </c>
      <c r="AB2932" s="8"/>
      <c r="AC2932" s="8"/>
      <c r="AD2932" s="8" t="str">
        <f ca="1">IFERROR(__xludf.DUMMYFUNCTION("""COMPUTED_VALUE"""),"Victims Targeted")</f>
        <v>Victims Targeted</v>
      </c>
      <c r="AE2932" s="8" t="str">
        <f ca="1">IFERROR(__xludf.DUMMYFUNCTION("""COMPUTED_VALUE"""),"No")</f>
        <v>No</v>
      </c>
      <c r="AF2932" s="8"/>
      <c r="AG2932" s="8" t="str">
        <f ca="1">IFERROR(__xludf.DUMMYFUNCTION("""COMPUTED_VALUE"""),"No")</f>
        <v>No</v>
      </c>
      <c r="AH2932" s="8" t="str">
        <f ca="1">IFERROR(__xludf.DUMMYFUNCTION("""COMPUTED_VALUE"""),"No")</f>
        <v>No</v>
      </c>
      <c r="AI2932" s="8" t="str">
        <f ca="1">IFERROR(__xludf.DUMMYFUNCTION("""COMPUTED_VALUE"""),"No")</f>
        <v>No</v>
      </c>
      <c r="AJ2932" s="8" t="str">
        <f ca="1">IFERROR(__xludf.DUMMYFUNCTION("""COMPUTED_VALUE"""),"No")</f>
        <v>No</v>
      </c>
      <c r="AK2932" s="8" t="str">
        <f ca="1">IFERROR(__xludf.DUMMYFUNCTION("""COMPUTED_VALUE"""),"No")</f>
        <v>No</v>
      </c>
      <c r="AL2932" s="8" t="str">
        <f ca="1">IFERROR(__xludf.DUMMYFUNCTION("""COMPUTED_VALUE"""),"No")</f>
        <v>No</v>
      </c>
      <c r="AM2932" s="8"/>
      <c r="AN2932" s="8"/>
      <c r="AO2932" s="8" t="str">
        <f ca="1">IFERROR(__xludf.DUMMYFUNCTION("""COMPUTED_VALUE"""),"No")</f>
        <v>No</v>
      </c>
      <c r="AP2932" s="8"/>
      <c r="AQ2932" s="8" t="str">
        <f ca="1">IFERROR(__xludf.DUMMYFUNCTION("""COMPUTED_VALUE"""),"Unknown")</f>
        <v>Unknown</v>
      </c>
      <c r="AR2932" s="8" t="str">
        <f ca="1">IFERROR(__xludf.DUMMYFUNCTION("""COMPUTED_VALUE"""),"NA")</f>
        <v>NA</v>
      </c>
      <c r="AS2932" s="8" t="str">
        <f ca="1">IFERROR(__xludf.DUMMYFUNCTION("""COMPUTED_VALUE"""),"&lt;10")</f>
        <v>&lt;10</v>
      </c>
      <c r="AT2932" s="8"/>
      <c r="AU2932" s="8">
        <f ca="1">IFERROR(__xludf.DUMMYFUNCTION("""COMPUTED_VALUE"""),40.659166)</f>
        <v>40.659165999999999</v>
      </c>
      <c r="AV2932" s="8">
        <f ca="1">IFERROR(__xludf.DUMMYFUNCTION("""COMPUTED_VALUE"""),-73.943323)</f>
        <v>-73.943323000000007</v>
      </c>
      <c r="AW2932" s="8"/>
      <c r="AX2932" s="8">
        <f ca="1">IFERROR(__xludf.DUMMYFUNCTION("""COMPUTED_VALUE"""),11203)</f>
        <v>11203</v>
      </c>
    </row>
    <row r="2933" spans="1:50" ht="45" x14ac:dyDescent="0.2">
      <c r="A2933" s="8" t="str">
        <f ca="1">IFERROR(__xludf.DUMMYFUNCTION("""COMPUTED_VALUE"""),"19811013CTHAH")</f>
        <v>19811013CTHAH</v>
      </c>
      <c r="B2933" s="8">
        <f ca="1">IFERROR(__xludf.DUMMYFUNCTION("""COMPUTED_VALUE"""),10)</f>
        <v>10</v>
      </c>
      <c r="C2933" s="8">
        <f ca="1">IFERROR(__xludf.DUMMYFUNCTION("""COMPUTED_VALUE"""),13)</f>
        <v>13</v>
      </c>
      <c r="D2933" s="8">
        <f ca="1">IFERROR(__xludf.DUMMYFUNCTION("""COMPUTED_VALUE"""),1981)</f>
        <v>1981</v>
      </c>
      <c r="E2933" s="9">
        <f ca="1">IFERROR(__xludf.DUMMYFUNCTION("""COMPUTED_VALUE"""),29872)</f>
        <v>29872</v>
      </c>
      <c r="F2933" s="8" t="str">
        <f ca="1">IFERROR(__xludf.DUMMYFUNCTION("""COMPUTED_VALUE"""),"Hartford Public High School")</f>
        <v>Hartford Public High School</v>
      </c>
      <c r="G2933" s="8">
        <f ca="1">IFERROR(__xludf.DUMMYFUNCTION("""COMPUTED_VALUE"""),0)</f>
        <v>0</v>
      </c>
      <c r="H2933" s="8">
        <f ca="1">IFERROR(__xludf.DUMMYFUNCTION("""COMPUTED_VALUE"""),1)</f>
        <v>1</v>
      </c>
      <c r="I2933" s="8">
        <f ca="1">IFERROR(__xludf.DUMMYFUNCTION("""COMPUTED_VALUE"""),1)</f>
        <v>1</v>
      </c>
      <c r="J2933" s="8">
        <f ca="1">IFERROR(__xludf.DUMMYFUNCTION("""COMPUTED_VALUE"""),0)</f>
        <v>0</v>
      </c>
      <c r="K2933" s="8" t="str">
        <f ca="1">IFERROR(__xludf.DUMMYFUNCTION("""COMPUTED_VALUE"""),"https://www.newspapers.com/image/368523424/?terms=assailant%2Bof%2Bschool%2Bshooting%2Bstill%2Bat%2Blarge; https://www.newspapers.com/image/368514355/?terms=student%2Bshot")</f>
        <v>https://www.newspapers.com/image/368523424/?terms=assailant%2Bof%2Bschool%2Bshooting%2Bstill%2Bat%2Blarge; https://www.newspapers.com/image/368514355/?terms=student%2Bshot</v>
      </c>
      <c r="L2933" s="8"/>
      <c r="M2933" s="8"/>
      <c r="N2933" s="8">
        <f ca="1">IFERROR(__xludf.DUMMYFUNCTION("""COMPUTED_VALUE"""),3)</f>
        <v>3</v>
      </c>
      <c r="O2933" s="8" t="str">
        <f ca="1">IFERROR(__xludf.DUMMYFUNCTION("""COMPUTED_VALUE"""),"Fall")</f>
        <v>Fall</v>
      </c>
      <c r="P2933" s="8" t="str">
        <f ca="1">IFERROR(__xludf.DUMMYFUNCTION("""COMPUTED_VALUE"""),"Hartford")</f>
        <v>Hartford</v>
      </c>
      <c r="Q2933" s="8" t="str">
        <f ca="1">IFERROR(__xludf.DUMMYFUNCTION("""COMPUTED_VALUE"""),"CT")</f>
        <v>CT</v>
      </c>
      <c r="R2933" s="8" t="str">
        <f ca="1">IFERROR(__xludf.DUMMYFUNCTION("""COMPUTED_VALUE"""),"High")</f>
        <v>High</v>
      </c>
      <c r="S2933" s="8" t="str">
        <f ca="1">IFERROR(__xludf.DUMMYFUNCTION("""COMPUTED_VALUE"""),"Inside School Building")</f>
        <v>Inside School Building</v>
      </c>
      <c r="T2933" s="8" t="str">
        <f ca="1">IFERROR(__xludf.DUMMYFUNCTION("""COMPUTED_VALUE"""),"Inside School Building")</f>
        <v>Inside School Building</v>
      </c>
      <c r="U2933" s="8" t="str">
        <f ca="1">IFERROR(__xludf.DUMMYFUNCTION("""COMPUTED_VALUE"""),"Yes")</f>
        <v>Yes</v>
      </c>
      <c r="V2933" s="8" t="str">
        <f ca="1">IFERROR(__xludf.DUMMYFUNCTION("""COMPUTED_VALUE"""),"Morning Classes")</f>
        <v>Morning Classes</v>
      </c>
      <c r="W2933" s="11">
        <f ca="1">IFERROR(__xludf.DUMMYFUNCTION("""COMPUTED_VALUE"""),0.4375)</f>
        <v>0.4375</v>
      </c>
      <c r="X2933" s="8">
        <f ca="1">IFERROR(__xludf.DUMMYFUNCTION("""COMPUTED_VALUE"""),1)</f>
        <v>1</v>
      </c>
      <c r="Y2933" s="12" t="str">
        <f ca="1">IFERROR(__xludf.DUMMYFUNCTION("""COMPUTED_VALUE"""),"Students arguing over $1 gambling debt")</f>
        <v>Students arguing over $1 gambling debt</v>
      </c>
      <c r="Z2933" s="12" t="str">
        <f ca="1">IFERROR(__xludf.DUMMYFUNCTION("""COMPUTED_VALUE"""),"Student shot by other student over gambling debt. Shooter fled the scene and was later arrested.")</f>
        <v>Student shot by other student over gambling debt. Shooter fled the scene and was later arrested.</v>
      </c>
      <c r="AA2933" s="8" t="str">
        <f ca="1">IFERROR(__xludf.DUMMYFUNCTION("""COMPUTED_VALUE"""),"Escalation of Dispute")</f>
        <v>Escalation of Dispute</v>
      </c>
      <c r="AB2933" s="8"/>
      <c r="AC2933" s="8"/>
      <c r="AD2933" s="8" t="str">
        <f ca="1">IFERROR(__xludf.DUMMYFUNCTION("""COMPUTED_VALUE"""),"Victims Targeted")</f>
        <v>Victims Targeted</v>
      </c>
      <c r="AE2933" s="8" t="str">
        <f ca="1">IFERROR(__xludf.DUMMYFUNCTION("""COMPUTED_VALUE"""),"No")</f>
        <v>No</v>
      </c>
      <c r="AF2933" s="8"/>
      <c r="AG2933" s="8" t="str">
        <f ca="1">IFERROR(__xludf.DUMMYFUNCTION("""COMPUTED_VALUE"""),"No")</f>
        <v>No</v>
      </c>
      <c r="AH2933" s="8" t="str">
        <f ca="1">IFERROR(__xludf.DUMMYFUNCTION("""COMPUTED_VALUE"""),"No")</f>
        <v>No</v>
      </c>
      <c r="AI2933" s="8" t="str">
        <f ca="1">IFERROR(__xludf.DUMMYFUNCTION("""COMPUTED_VALUE"""),"No")</f>
        <v>No</v>
      </c>
      <c r="AJ2933" s="8"/>
      <c r="AK2933" s="8"/>
      <c r="AL2933" s="8" t="str">
        <f ca="1">IFERROR(__xludf.DUMMYFUNCTION("""COMPUTED_VALUE"""),"No")</f>
        <v>No</v>
      </c>
      <c r="AM2933" s="8"/>
      <c r="AN2933" s="8"/>
      <c r="AO2933" s="8" t="str">
        <f ca="1">IFERROR(__xludf.DUMMYFUNCTION("""COMPUTED_VALUE"""),"No")</f>
        <v>No</v>
      </c>
      <c r="AP2933" s="8"/>
      <c r="AQ2933" s="8" t="str">
        <f ca="1">IFERROR(__xludf.DUMMYFUNCTION("""COMPUTED_VALUE"""),"Unknown")</f>
        <v>Unknown</v>
      </c>
      <c r="AR2933" s="8" t="str">
        <f ca="1">IFERROR(__xludf.DUMMYFUNCTION("""COMPUTED_VALUE"""),"NA")</f>
        <v>NA</v>
      </c>
      <c r="AS2933" s="8" t="str">
        <f ca="1">IFERROR(__xludf.DUMMYFUNCTION("""COMPUTED_VALUE"""),"&lt;10")</f>
        <v>&lt;10</v>
      </c>
      <c r="AT2933" s="8"/>
      <c r="AU2933" s="8">
        <f ca="1">IFERROR(__xludf.DUMMYFUNCTION("""COMPUTED_VALUE"""),41.764922)</f>
        <v>41.764921999999999</v>
      </c>
      <c r="AV2933" s="8">
        <f ca="1">IFERROR(__xludf.DUMMYFUNCTION("""COMPUTED_VALUE"""),-72.701171)</f>
        <v>-72.701171000000002</v>
      </c>
      <c r="AW2933" s="8"/>
      <c r="AX2933" s="8">
        <f ca="1">IFERROR(__xludf.DUMMYFUNCTION("""COMPUTED_VALUE"""),6105)</f>
        <v>6105</v>
      </c>
    </row>
    <row r="2934" spans="1:50" ht="60" x14ac:dyDescent="0.2">
      <c r="A2934" s="8" t="str">
        <f ca="1">IFERROR(__xludf.DUMMYFUNCTION("""COMPUTED_VALUE"""),"19810913MDABA")</f>
        <v>19810913MDABA</v>
      </c>
      <c r="B2934" s="8">
        <f ca="1">IFERROR(__xludf.DUMMYFUNCTION("""COMPUTED_VALUE"""),9)</f>
        <v>9</v>
      </c>
      <c r="C2934" s="8">
        <f ca="1">IFERROR(__xludf.DUMMYFUNCTION("""COMPUTED_VALUE"""),13)</f>
        <v>13</v>
      </c>
      <c r="D2934" s="8">
        <f ca="1">IFERROR(__xludf.DUMMYFUNCTION("""COMPUTED_VALUE"""),1981)</f>
        <v>1981</v>
      </c>
      <c r="E2934" s="9">
        <f ca="1">IFERROR(__xludf.DUMMYFUNCTION("""COMPUTED_VALUE"""),29842)</f>
        <v>29842</v>
      </c>
      <c r="F2934" s="8" t="str">
        <f ca="1">IFERROR(__xludf.DUMMYFUNCTION("""COMPUTED_VALUE"""),"Aberdeen High School")</f>
        <v>Aberdeen High School</v>
      </c>
      <c r="G2934" s="8">
        <f ca="1">IFERROR(__xludf.DUMMYFUNCTION("""COMPUTED_VALUE"""),1)</f>
        <v>1</v>
      </c>
      <c r="H2934" s="8">
        <f ca="1">IFERROR(__xludf.DUMMYFUNCTION("""COMPUTED_VALUE"""),0)</f>
        <v>0</v>
      </c>
      <c r="I2934" s="8">
        <f ca="1">IFERROR(__xludf.DUMMYFUNCTION("""COMPUTED_VALUE"""),1)</f>
        <v>1</v>
      </c>
      <c r="J2934" s="8">
        <f ca="1">IFERROR(__xludf.DUMMYFUNCTION("""COMPUTED_VALUE"""),0)</f>
        <v>0</v>
      </c>
      <c r="K2934" s="10" t="str">
        <f ca="1">IFERROR(__xludf.DUMMYFUNCTION("""COMPUTED_VALUE"""),"https://www.newspapers.com/image/371656005")</f>
        <v>https://www.newspapers.com/image/371656005</v>
      </c>
      <c r="L2934" s="8"/>
      <c r="M2934" s="8"/>
      <c r="N2934" s="8">
        <f ca="1">IFERROR(__xludf.DUMMYFUNCTION("""COMPUTED_VALUE"""),2)</f>
        <v>2</v>
      </c>
      <c r="O2934" s="8" t="str">
        <f ca="1">IFERROR(__xludf.DUMMYFUNCTION("""COMPUTED_VALUE"""),"Fall")</f>
        <v>Fall</v>
      </c>
      <c r="P2934" s="8" t="str">
        <f ca="1">IFERROR(__xludf.DUMMYFUNCTION("""COMPUTED_VALUE"""),"Aberdeen")</f>
        <v>Aberdeen</v>
      </c>
      <c r="Q2934" s="8" t="str">
        <f ca="1">IFERROR(__xludf.DUMMYFUNCTION("""COMPUTED_VALUE"""),"MD")</f>
        <v>MD</v>
      </c>
      <c r="R2934" s="8" t="str">
        <f ca="1">IFERROR(__xludf.DUMMYFUNCTION("""COMPUTED_VALUE"""),"High")</f>
        <v>High</v>
      </c>
      <c r="S2934" s="8"/>
      <c r="T2934" s="8"/>
      <c r="U2934" s="8" t="str">
        <f ca="1">IFERROR(__xludf.DUMMYFUNCTION("""COMPUTED_VALUE"""),"No")</f>
        <v>No</v>
      </c>
      <c r="V2934" s="8" t="str">
        <f ca="1">IFERROR(__xludf.DUMMYFUNCTION("""COMPUTED_VALUE"""),"Not a School Day")</f>
        <v>Not a School Day</v>
      </c>
      <c r="W2934" s="8"/>
      <c r="X2934" s="8">
        <f ca="1">IFERROR(__xludf.DUMMYFUNCTION("""COMPUTED_VALUE"""),1)</f>
        <v>1</v>
      </c>
      <c r="Y2934" s="12" t="str">
        <f ca="1">IFERROR(__xludf.DUMMYFUNCTION("""COMPUTED_VALUE"""),"Shot by officer, situation unclear, may have been vandalizing school")</f>
        <v>Shot by officer, situation unclear, may have been vandalizing school</v>
      </c>
      <c r="Z2934" s="12" t="str">
        <f ca="1">IFERROR(__xludf.DUMMYFUNCTION("""COMPUTED_VALUE"""),"Shot by officer outside the school. Situation unclear. May have been involved with breaking school windows with 2 other unknown males.")</f>
        <v>Shot by officer outside the school. Situation unclear. May have been involved with breaking school windows with 2 other unknown males.</v>
      </c>
      <c r="AA2934" s="8" t="str">
        <f ca="1">IFERROR(__xludf.DUMMYFUNCTION("""COMPUTED_VALUE"""),"Illegal Activity")</f>
        <v>Illegal Activity</v>
      </c>
      <c r="AB2934" s="8"/>
      <c r="AC2934" s="8"/>
      <c r="AD2934" s="8" t="str">
        <f ca="1">IFERROR(__xludf.DUMMYFUNCTION("""COMPUTED_VALUE"""),"Victims Targeted")</f>
        <v>Victims Targeted</v>
      </c>
      <c r="AE2934" s="8" t="str">
        <f ca="1">IFERROR(__xludf.DUMMYFUNCTION("""COMPUTED_VALUE"""),"No")</f>
        <v>No</v>
      </c>
      <c r="AF2934" s="8"/>
      <c r="AG2934" s="8" t="str">
        <f ca="1">IFERROR(__xludf.DUMMYFUNCTION("""COMPUTED_VALUE"""),"No")</f>
        <v>No</v>
      </c>
      <c r="AH2934" s="8" t="str">
        <f ca="1">IFERROR(__xludf.DUMMYFUNCTION("""COMPUTED_VALUE"""),"No")</f>
        <v>No</v>
      </c>
      <c r="AI2934" s="8" t="str">
        <f ca="1">IFERROR(__xludf.DUMMYFUNCTION("""COMPUTED_VALUE"""),"Yes")</f>
        <v>Yes</v>
      </c>
      <c r="AJ2934" s="8" t="str">
        <f ca="1">IFERROR(__xludf.DUMMYFUNCTION("""COMPUTED_VALUE"""),"N/A")</f>
        <v>N/A</v>
      </c>
      <c r="AK2934" s="8" t="str">
        <f ca="1">IFERROR(__xludf.DUMMYFUNCTION("""COMPUTED_VALUE"""),"N/A")</f>
        <v>N/A</v>
      </c>
      <c r="AL2934" s="8" t="str">
        <f ca="1">IFERROR(__xludf.DUMMYFUNCTION("""COMPUTED_VALUE"""),"N/A")</f>
        <v>N/A</v>
      </c>
      <c r="AM2934" s="8" t="str">
        <f ca="1">IFERROR(__xludf.DUMMYFUNCTION("""COMPUTED_VALUE"""),"N/A")</f>
        <v>N/A</v>
      </c>
      <c r="AN2934" s="8"/>
      <c r="AO2934" s="8" t="str">
        <f ca="1">IFERROR(__xludf.DUMMYFUNCTION("""COMPUTED_VALUE"""),"N/A")</f>
        <v>N/A</v>
      </c>
      <c r="AP2934" s="8"/>
      <c r="AQ2934" s="8" t="str">
        <f ca="1">IFERROR(__xludf.DUMMYFUNCTION("""COMPUTED_VALUE"""),"Unknown")</f>
        <v>Unknown</v>
      </c>
      <c r="AR2934" s="8" t="str">
        <f ca="1">IFERROR(__xludf.DUMMYFUNCTION("""COMPUTED_VALUE"""),"NA")</f>
        <v>NA</v>
      </c>
      <c r="AS2934" s="8" t="str">
        <f ca="1">IFERROR(__xludf.DUMMYFUNCTION("""COMPUTED_VALUE"""),"&lt;10")</f>
        <v>&lt;10</v>
      </c>
      <c r="AT2934" s="8"/>
      <c r="AU2934" s="8">
        <f ca="1">IFERROR(__xludf.DUMMYFUNCTION("""COMPUTED_VALUE"""),39.516182)</f>
        <v>39.516182000000001</v>
      </c>
      <c r="AV2934" s="8">
        <f ca="1">IFERROR(__xludf.DUMMYFUNCTION("""COMPUTED_VALUE"""),-76.1713)</f>
        <v>-76.171300000000002</v>
      </c>
      <c r="AW2934" s="8"/>
      <c r="AX2934" s="8">
        <f ca="1">IFERROR(__xludf.DUMMYFUNCTION("""COMPUTED_VALUE"""),21001)</f>
        <v>21001</v>
      </c>
    </row>
    <row r="2935" spans="1:50" ht="105" x14ac:dyDescent="0.2">
      <c r="A2935" s="8" t="str">
        <f ca="1">IFERROR(__xludf.DUMMYFUNCTION("""COMPUTED_VALUE"""),"19810908FLSTW")</f>
        <v>19810908FLSTW</v>
      </c>
      <c r="B2935" s="8">
        <f ca="1">IFERROR(__xludf.DUMMYFUNCTION("""COMPUTED_VALUE"""),9)</f>
        <v>9</v>
      </c>
      <c r="C2935" s="8">
        <f ca="1">IFERROR(__xludf.DUMMYFUNCTION("""COMPUTED_VALUE"""),8)</f>
        <v>8</v>
      </c>
      <c r="D2935" s="8">
        <f ca="1">IFERROR(__xludf.DUMMYFUNCTION("""COMPUTED_VALUE"""),1981)</f>
        <v>1981</v>
      </c>
      <c r="E2935" s="9">
        <f ca="1">IFERROR(__xludf.DUMMYFUNCTION("""COMPUTED_VALUE"""),29837)</f>
        <v>29837</v>
      </c>
      <c r="F2935" s="8" t="str">
        <f ca="1">IFERROR(__xludf.DUMMYFUNCTION("""COMPUTED_VALUE"""),"Stuart Middle School")</f>
        <v>Stuart Middle School</v>
      </c>
      <c r="G2935" s="8">
        <f ca="1">IFERROR(__xludf.DUMMYFUNCTION("""COMPUTED_VALUE"""),0)</f>
        <v>0</v>
      </c>
      <c r="H2935" s="8">
        <f ca="1">IFERROR(__xludf.DUMMYFUNCTION("""COMPUTED_VALUE"""),0)</f>
        <v>0</v>
      </c>
      <c r="I2935" s="8">
        <f ca="1">IFERROR(__xludf.DUMMYFUNCTION("""COMPUTED_VALUE"""),0)</f>
        <v>0</v>
      </c>
      <c r="J2935" s="8">
        <f ca="1">IFERROR(__xludf.DUMMYFUNCTION("""COMPUTED_VALUE"""),0)</f>
        <v>0</v>
      </c>
      <c r="K2935" s="10" t="str">
        <f ca="1">IFERROR(__xludf.DUMMYFUNCTION("""COMPUTED_VALUE"""),"https://www.newspapers.com/image/130082201/?terms=student%2Bshoots")</f>
        <v>https://www.newspapers.com/image/130082201/?terms=student%2Bshoots</v>
      </c>
      <c r="L2935" s="8"/>
      <c r="M2935" s="8"/>
      <c r="N2935" s="8">
        <f ca="1">IFERROR(__xludf.DUMMYFUNCTION("""COMPUTED_VALUE"""),2)</f>
        <v>2</v>
      </c>
      <c r="O2935" s="8" t="str">
        <f ca="1">IFERROR(__xludf.DUMMYFUNCTION("""COMPUTED_VALUE"""),"Fall")</f>
        <v>Fall</v>
      </c>
      <c r="P2935" s="8" t="str">
        <f ca="1">IFERROR(__xludf.DUMMYFUNCTION("""COMPUTED_VALUE"""),"West Palm Beach")</f>
        <v>West Palm Beach</v>
      </c>
      <c r="Q2935" s="8" t="str">
        <f ca="1">IFERROR(__xludf.DUMMYFUNCTION("""COMPUTED_VALUE"""),"FL")</f>
        <v>FL</v>
      </c>
      <c r="R2935" s="8" t="str">
        <f ca="1">IFERROR(__xludf.DUMMYFUNCTION("""COMPUTED_VALUE"""),"Middle")</f>
        <v>Middle</v>
      </c>
      <c r="S2935" s="8" t="str">
        <f ca="1">IFERROR(__xludf.DUMMYFUNCTION("""COMPUTED_VALUE"""),"Classroom")</f>
        <v>Classroom</v>
      </c>
      <c r="T2935" s="8" t="str">
        <f ca="1">IFERROR(__xludf.DUMMYFUNCTION("""COMPUTED_VALUE"""),"Inside School Building")</f>
        <v>Inside School Building</v>
      </c>
      <c r="U2935" s="8" t="str">
        <f ca="1">IFERROR(__xludf.DUMMYFUNCTION("""COMPUTED_VALUE"""),"Yes")</f>
        <v>Yes</v>
      </c>
      <c r="V2935" s="8"/>
      <c r="W2935" s="8"/>
      <c r="X2935" s="8">
        <f ca="1">IFERROR(__xludf.DUMMYFUNCTION("""COMPUTED_VALUE"""),1)</f>
        <v>1</v>
      </c>
      <c r="Y2935" s="12" t="str">
        <f ca="1">IFERROR(__xludf.DUMMYFUNCTION("""COMPUTED_VALUE"""),"12 year old boy shot .22 caliber handgun into classroom wall then went outside and shot himself in stomach")</f>
        <v>12 year old boy shot .22 caliber handgun into classroom wall then went outside and shot himself in stomach</v>
      </c>
      <c r="Z2935" s="12" t="str">
        <f ca="1">IFERROR(__xludf.DUMMYFUNCTION("""COMPUTED_VALUE"""),"12 year old boy accidentally shot classroom wall while playing with .22 caliber handgun. After the accidental discharge, student went outside school building followed by teacher. When teacher told him to drop gun, student shot himself in stomach. He then "&amp;"told teacher it was an accident. Fellow students saw shooter with gun earlier in day but thought it was fake.")</f>
        <v>12 year old boy accidentally shot classroom wall while playing with .22 caliber handgun. After the accidental discharge, student went outside school building followed by teacher. When teacher told him to drop gun, student shot himself in stomach. He then told teacher it was an accident. Fellow students saw shooter with gun earlier in day but thought it was fake.</v>
      </c>
      <c r="AA2935" s="8" t="str">
        <f ca="1">IFERROR(__xludf.DUMMYFUNCTION("""COMPUTED_VALUE"""),"Accidental")</f>
        <v>Accidental</v>
      </c>
      <c r="AB2935" s="8"/>
      <c r="AC2935" s="8"/>
      <c r="AD2935" s="8" t="str">
        <f ca="1">IFERROR(__xludf.DUMMYFUNCTION("""COMPUTED_VALUE"""),"Victims Targeted")</f>
        <v>Victims Targeted</v>
      </c>
      <c r="AE2935" s="8" t="str">
        <f ca="1">IFERROR(__xludf.DUMMYFUNCTION("""COMPUTED_VALUE"""),"No")</f>
        <v>No</v>
      </c>
      <c r="AF2935" s="8"/>
      <c r="AG2935" s="8" t="str">
        <f ca="1">IFERROR(__xludf.DUMMYFUNCTION("""COMPUTED_VALUE"""),"No")</f>
        <v>No</v>
      </c>
      <c r="AH2935" s="8" t="str">
        <f ca="1">IFERROR(__xludf.DUMMYFUNCTION("""COMPUTED_VALUE"""),"No")</f>
        <v>No</v>
      </c>
      <c r="AI2935" s="8" t="str">
        <f ca="1">IFERROR(__xludf.DUMMYFUNCTION("""COMPUTED_VALUE"""),"No")</f>
        <v>No</v>
      </c>
      <c r="AJ2935" s="8"/>
      <c r="AK2935" s="8"/>
      <c r="AL2935" s="8" t="str">
        <f ca="1">IFERROR(__xludf.DUMMYFUNCTION("""COMPUTED_VALUE"""),"No")</f>
        <v>No</v>
      </c>
      <c r="AM2935" s="8"/>
      <c r="AN2935" s="8"/>
      <c r="AO2935" s="8" t="str">
        <f ca="1">IFERROR(__xludf.DUMMYFUNCTION("""COMPUTED_VALUE"""),"No")</f>
        <v>No</v>
      </c>
      <c r="AP2935" s="8"/>
      <c r="AQ2935" s="8" t="str">
        <f ca="1">IFERROR(__xludf.DUMMYFUNCTION("""COMPUTED_VALUE"""),"Unknown")</f>
        <v>Unknown</v>
      </c>
      <c r="AR2935" s="8" t="str">
        <f ca="1">IFERROR(__xludf.DUMMYFUNCTION("""COMPUTED_VALUE"""),"NA")</f>
        <v>NA</v>
      </c>
      <c r="AS2935" s="8">
        <f ca="1">IFERROR(__xludf.DUMMYFUNCTION("""COMPUTED_VALUE"""),2)</f>
        <v>2</v>
      </c>
      <c r="AT2935" s="8"/>
      <c r="AU2935" s="8">
        <f ca="1">IFERROR(__xludf.DUMMYFUNCTION("""COMPUTED_VALUE"""),27.196074)</f>
        <v>27.196073999999999</v>
      </c>
      <c r="AV2935" s="8">
        <f ca="1">IFERROR(__xludf.DUMMYFUNCTION("""COMPUTED_VALUE"""),-80.246045)</f>
        <v>-80.246044999999995</v>
      </c>
      <c r="AW2935" s="8"/>
      <c r="AX2935" s="8">
        <f ca="1">IFERROR(__xludf.DUMMYFUNCTION("""COMPUTED_VALUE"""),34994)</f>
        <v>34994</v>
      </c>
    </row>
    <row r="2936" spans="1:50" ht="45" x14ac:dyDescent="0.2">
      <c r="A2936" s="8" t="str">
        <f ca="1">IFERROR(__xludf.DUMMYFUNCTION("""COMPUTED_VALUE"""),"19810904NMHOS")</f>
        <v>19810904NMHOS</v>
      </c>
      <c r="B2936" s="8">
        <f ca="1">IFERROR(__xludf.DUMMYFUNCTION("""COMPUTED_VALUE"""),9)</f>
        <v>9</v>
      </c>
      <c r="C2936" s="8">
        <f ca="1">IFERROR(__xludf.DUMMYFUNCTION("""COMPUTED_VALUE"""),4)</f>
        <v>4</v>
      </c>
      <c r="D2936" s="8">
        <f ca="1">IFERROR(__xludf.DUMMYFUNCTION("""COMPUTED_VALUE"""),1981)</f>
        <v>1981</v>
      </c>
      <c r="E2936" s="9">
        <f ca="1">IFERROR(__xludf.DUMMYFUNCTION("""COMPUTED_VALUE"""),29833)</f>
        <v>29833</v>
      </c>
      <c r="F2936" s="8" t="str">
        <f ca="1">IFERROR(__xludf.DUMMYFUNCTION("""COMPUTED_VALUE"""),"Hobbs High School")</f>
        <v>Hobbs High School</v>
      </c>
      <c r="G2936" s="8">
        <f ca="1">IFERROR(__xludf.DUMMYFUNCTION("""COMPUTED_VALUE"""),0)</f>
        <v>0</v>
      </c>
      <c r="H2936" s="8">
        <f ca="1">IFERROR(__xludf.DUMMYFUNCTION("""COMPUTED_VALUE"""),2)</f>
        <v>2</v>
      </c>
      <c r="I2936" s="8">
        <f ca="1">IFERROR(__xludf.DUMMYFUNCTION("""COMPUTED_VALUE"""),2)</f>
        <v>2</v>
      </c>
      <c r="J2936" s="8">
        <f ca="1">IFERROR(__xludf.DUMMYFUNCTION("""COMPUTED_VALUE"""),0)</f>
        <v>0</v>
      </c>
      <c r="K2936" s="8" t="str">
        <f ca="1">IFERROR(__xludf.DUMMYFUNCTION("""COMPUTED_VALUE"""),"https://www.newspapers.com/image/435450171/?terms=HOBBS%2BSTUDENT%2BSHOT ; https://www.newspapers.com/image/435973918/?terms=OROSCO%2BHOBBS; https://www.newspapers.com/image/157728911/?terms=RAFAEL%2BHEREDIA")</f>
        <v>https://www.newspapers.com/image/435450171/?terms=HOBBS%2BSTUDENT%2BSHOT ; https://www.newspapers.com/image/435973918/?terms=OROSCO%2BHOBBS; https://www.newspapers.com/image/157728911/?terms=RAFAEL%2BHEREDIA</v>
      </c>
      <c r="L2936" s="8"/>
      <c r="M2936" s="8"/>
      <c r="N2936" s="8">
        <f ca="1">IFERROR(__xludf.DUMMYFUNCTION("""COMPUTED_VALUE"""),3)</f>
        <v>3</v>
      </c>
      <c r="O2936" s="8" t="str">
        <f ca="1">IFERROR(__xludf.DUMMYFUNCTION("""COMPUTED_VALUE"""),"Fall")</f>
        <v>Fall</v>
      </c>
      <c r="P2936" s="8" t="str">
        <f ca="1">IFERROR(__xludf.DUMMYFUNCTION("""COMPUTED_VALUE"""),"Santa Fe")</f>
        <v>Santa Fe</v>
      </c>
      <c r="Q2936" s="8" t="str">
        <f ca="1">IFERROR(__xludf.DUMMYFUNCTION("""COMPUTED_VALUE"""),"NM")</f>
        <v>NM</v>
      </c>
      <c r="R2936" s="8" t="str">
        <f ca="1">IFERROR(__xludf.DUMMYFUNCTION("""COMPUTED_VALUE"""),"High")</f>
        <v>High</v>
      </c>
      <c r="S2936" s="8" t="str">
        <f ca="1">IFERROR(__xludf.DUMMYFUNCTION("""COMPUTED_VALUE"""),"Beside Building")</f>
        <v>Beside Building</v>
      </c>
      <c r="T2936" s="8" t="str">
        <f ca="1">IFERROR(__xludf.DUMMYFUNCTION("""COMPUTED_VALUE"""),"Outside on School Property")</f>
        <v>Outside on School Property</v>
      </c>
      <c r="U2936" s="8" t="str">
        <f ca="1">IFERROR(__xludf.DUMMYFUNCTION("""COMPUTED_VALUE"""),"Yes")</f>
        <v>Yes</v>
      </c>
      <c r="V2936" s="8" t="str">
        <f ca="1">IFERROR(__xludf.DUMMYFUNCTION("""COMPUTED_VALUE"""),"Morning Classes")</f>
        <v>Morning Classes</v>
      </c>
      <c r="W2936" s="11">
        <f ca="1">IFERROR(__xludf.DUMMYFUNCTION("""COMPUTED_VALUE"""),0.427083333333333)</f>
        <v>0.42708333333333298</v>
      </c>
      <c r="X2936" s="8">
        <f ca="1">IFERROR(__xludf.DUMMYFUNCTION("""COMPUTED_VALUE"""),1)</f>
        <v>1</v>
      </c>
      <c r="Y2936" s="12" t="str">
        <f ca="1">IFERROR(__xludf.DUMMYFUNCTION("""COMPUTED_VALUE"""),"2 student shot outside of school, shooter fled")</f>
        <v>2 student shot outside of school, shooter fled</v>
      </c>
      <c r="Z2936" s="12" t="str">
        <f ca="1">IFERROR(__xludf.DUMMYFUNCTION("""COMPUTED_VALUE"""),"Victims shot outside school - shooter fled and was arrested off campus at a body shop - no reason for shooting given.")</f>
        <v>Victims shot outside school - shooter fled and was arrested off campus at a body shop - no reason for shooting given.</v>
      </c>
      <c r="AA2936" s="8" t="str">
        <f ca="1">IFERROR(__xludf.DUMMYFUNCTION("""COMPUTED_VALUE"""),"Unknown")</f>
        <v>Unknown</v>
      </c>
      <c r="AB2936" s="8"/>
      <c r="AC2936" s="8"/>
      <c r="AD2936" s="8" t="str">
        <f ca="1">IFERROR(__xludf.DUMMYFUNCTION("""COMPUTED_VALUE"""),"Victims Targeted")</f>
        <v>Victims Targeted</v>
      </c>
      <c r="AE2936" s="8" t="str">
        <f ca="1">IFERROR(__xludf.DUMMYFUNCTION("""COMPUTED_VALUE"""),"No")</f>
        <v>No</v>
      </c>
      <c r="AF2936" s="8"/>
      <c r="AG2936" s="8" t="str">
        <f ca="1">IFERROR(__xludf.DUMMYFUNCTION("""COMPUTED_VALUE"""),"No")</f>
        <v>No</v>
      </c>
      <c r="AH2936" s="8" t="str">
        <f ca="1">IFERROR(__xludf.DUMMYFUNCTION("""COMPUTED_VALUE"""),"No")</f>
        <v>No</v>
      </c>
      <c r="AI2936" s="8" t="str">
        <f ca="1">IFERROR(__xludf.DUMMYFUNCTION("""COMPUTED_VALUE"""),"No")</f>
        <v>No</v>
      </c>
      <c r="AJ2936" s="8"/>
      <c r="AK2936" s="8" t="str">
        <f ca="1">IFERROR(__xludf.DUMMYFUNCTION("""COMPUTED_VALUE"""),"No")</f>
        <v>No</v>
      </c>
      <c r="AL2936" s="8"/>
      <c r="AM2936" s="8"/>
      <c r="AN2936" s="8"/>
      <c r="AO2936" s="8" t="str">
        <f ca="1">IFERROR(__xludf.DUMMYFUNCTION("""COMPUTED_VALUE"""),"No")</f>
        <v>No</v>
      </c>
      <c r="AP2936" s="8"/>
      <c r="AQ2936" s="8" t="str">
        <f ca="1">IFERROR(__xludf.DUMMYFUNCTION("""COMPUTED_VALUE"""),"Unknown")</f>
        <v>Unknown</v>
      </c>
      <c r="AR2936" s="8" t="str">
        <f ca="1">IFERROR(__xludf.DUMMYFUNCTION("""COMPUTED_VALUE"""),"NA")</f>
        <v>NA</v>
      </c>
      <c r="AS2936" s="8" t="str">
        <f ca="1">IFERROR(__xludf.DUMMYFUNCTION("""COMPUTED_VALUE"""),"&lt;10")</f>
        <v>&lt;10</v>
      </c>
      <c r="AT2936" s="8"/>
      <c r="AU2936" s="8">
        <f ca="1">IFERROR(__xludf.DUMMYFUNCTION("""COMPUTED_VALUE"""),35.650762)</f>
        <v>35.650762</v>
      </c>
      <c r="AV2936" s="8">
        <f ca="1">IFERROR(__xludf.DUMMYFUNCTION("""COMPUTED_VALUE"""),-105.971699)</f>
        <v>-105.971699</v>
      </c>
      <c r="AW2936" s="8"/>
      <c r="AX2936" s="8">
        <f ca="1">IFERROR(__xludf.DUMMYFUNCTION("""COMPUTED_VALUE"""),87505)</f>
        <v>87505</v>
      </c>
    </row>
    <row r="2937" spans="1:50" ht="60" x14ac:dyDescent="0.2">
      <c r="A2937" s="8" t="str">
        <f ca="1">IFERROR(__xludf.DUMMYFUNCTION("""COMPUTED_VALUE"""),"19810901PAWIP")</f>
        <v>19810901PAWIP</v>
      </c>
      <c r="B2937" s="8">
        <f ca="1">IFERROR(__xludf.DUMMYFUNCTION("""COMPUTED_VALUE"""),9)</f>
        <v>9</v>
      </c>
      <c r="C2937" s="8">
        <f ca="1">IFERROR(__xludf.DUMMYFUNCTION("""COMPUTED_VALUE"""),1)</f>
        <v>1</v>
      </c>
      <c r="D2937" s="8">
        <f ca="1">IFERROR(__xludf.DUMMYFUNCTION("""COMPUTED_VALUE"""),1981)</f>
        <v>1981</v>
      </c>
      <c r="E2937" s="9">
        <f ca="1">IFERROR(__xludf.DUMMYFUNCTION("""COMPUTED_VALUE"""),29830)</f>
        <v>29830</v>
      </c>
      <c r="F2937" s="8" t="str">
        <f ca="1">IFERROR(__xludf.DUMMYFUNCTION("""COMPUTED_VALUE"""),"William Longstreth Elementary School")</f>
        <v>William Longstreth Elementary School</v>
      </c>
      <c r="G2937" s="8">
        <f ca="1">IFERROR(__xludf.DUMMYFUNCTION("""COMPUTED_VALUE"""),0)</f>
        <v>0</v>
      </c>
      <c r="H2937" s="8">
        <f ca="1">IFERROR(__xludf.DUMMYFUNCTION("""COMPUTED_VALUE"""),3)</f>
        <v>3</v>
      </c>
      <c r="I2937" s="8">
        <f ca="1">IFERROR(__xludf.DUMMYFUNCTION("""COMPUTED_VALUE"""),3)</f>
        <v>3</v>
      </c>
      <c r="J2937" s="8">
        <f ca="1">IFERROR(__xludf.DUMMYFUNCTION("""COMPUTED_VALUE"""),0)</f>
        <v>0</v>
      </c>
      <c r="K2937" s="10" t="str">
        <f ca="1">IFERROR(__xludf.DUMMYFUNCTION("""COMPUTED_VALUE"""),"https://www.newspapers.com/image/174012189/?terms=William%2BLongstreth%2BElementary%2BSchool%2Bshooting")</f>
        <v>https://www.newspapers.com/image/174012189/?terms=William%2BLongstreth%2BElementary%2BSchool%2Bshooting</v>
      </c>
      <c r="L2937" s="8"/>
      <c r="M2937" s="8"/>
      <c r="N2937" s="8">
        <f ca="1">IFERROR(__xludf.DUMMYFUNCTION("""COMPUTED_VALUE"""),2)</f>
        <v>2</v>
      </c>
      <c r="O2937" s="8" t="str">
        <f ca="1">IFERROR(__xludf.DUMMYFUNCTION("""COMPUTED_VALUE"""),"Fall")</f>
        <v>Fall</v>
      </c>
      <c r="P2937" s="8" t="str">
        <f ca="1">IFERROR(__xludf.DUMMYFUNCTION("""COMPUTED_VALUE"""),"Philadelphia")</f>
        <v>Philadelphia</v>
      </c>
      <c r="Q2937" s="8" t="str">
        <f ca="1">IFERROR(__xludf.DUMMYFUNCTION("""COMPUTED_VALUE"""),"PA")</f>
        <v>PA</v>
      </c>
      <c r="R2937" s="8" t="str">
        <f ca="1">IFERROR(__xludf.DUMMYFUNCTION("""COMPUTED_VALUE"""),"Elementary")</f>
        <v>Elementary</v>
      </c>
      <c r="S2937" s="8" t="str">
        <f ca="1">IFERROR(__xludf.DUMMYFUNCTION("""COMPUTED_VALUE"""),"Basketball Court")</f>
        <v>Basketball Court</v>
      </c>
      <c r="T2937" s="8" t="str">
        <f ca="1">IFERROR(__xludf.DUMMYFUNCTION("""COMPUTED_VALUE"""),"Outside on School Property")</f>
        <v>Outside on School Property</v>
      </c>
      <c r="U2937" s="8" t="str">
        <f ca="1">IFERROR(__xludf.DUMMYFUNCTION("""COMPUTED_VALUE"""),"No")</f>
        <v>No</v>
      </c>
      <c r="V2937" s="8" t="str">
        <f ca="1">IFERROR(__xludf.DUMMYFUNCTION("""COMPUTED_VALUE"""),"Evening")</f>
        <v>Evening</v>
      </c>
      <c r="W2937" s="11">
        <f ca="1">IFERROR(__xludf.DUMMYFUNCTION("""COMPUTED_VALUE"""),0.854166666666666)</f>
        <v>0.85416666666666596</v>
      </c>
      <c r="X2937" s="8">
        <f ca="1">IFERROR(__xludf.DUMMYFUNCTION("""COMPUTED_VALUE"""),1)</f>
        <v>1</v>
      </c>
      <c r="Y2937" s="12" t="str">
        <f ca="1">IFERROR(__xludf.DUMMYFUNCTION("""COMPUTED_VALUE"""),"Fight between rival gang members on basketball court, 2 bystanders stuck")</f>
        <v>Fight between rival gang members on basketball court, 2 bystanders stuck</v>
      </c>
      <c r="Z2937" s="12" t="str">
        <f ca="1">IFERROR(__xludf.DUMMYFUNCTION("""COMPUTED_VALUE"""),"Fight between two groups of rival gang members at the school. 3 youths injured, one was gang member, 2 were bystanders playing basketball.")</f>
        <v>Fight between two groups of rival gang members at the school. 3 youths injured, one was gang member, 2 were bystanders playing basketball.</v>
      </c>
      <c r="AA2937" s="8" t="str">
        <f ca="1">IFERROR(__xludf.DUMMYFUNCTION("""COMPUTED_VALUE"""),"Escalation of Dispute")</f>
        <v>Escalation of Dispute</v>
      </c>
      <c r="AB2937" s="8"/>
      <c r="AC2937" s="8"/>
      <c r="AD2937" s="8" t="str">
        <f ca="1">IFERROR(__xludf.DUMMYFUNCTION("""COMPUTED_VALUE"""),"Both")</f>
        <v>Both</v>
      </c>
      <c r="AE2937" s="8" t="str">
        <f ca="1">IFERROR(__xludf.DUMMYFUNCTION("""COMPUTED_VALUE"""),"Yes")</f>
        <v>Yes</v>
      </c>
      <c r="AF2937" s="8" t="str">
        <f ca="1">IFERROR(__xludf.DUMMYFUNCTION("""COMPUTED_VALUE"""),"Group of gang members")</f>
        <v>Group of gang members</v>
      </c>
      <c r="AG2937" s="8" t="str">
        <f ca="1">IFERROR(__xludf.DUMMYFUNCTION("""COMPUTED_VALUE"""),"No")</f>
        <v>No</v>
      </c>
      <c r="AH2937" s="8" t="str">
        <f ca="1">IFERROR(__xludf.DUMMYFUNCTION("""COMPUTED_VALUE"""),"No")</f>
        <v>No</v>
      </c>
      <c r="AI2937" s="8" t="str">
        <f ca="1">IFERROR(__xludf.DUMMYFUNCTION("""COMPUTED_VALUE"""),"No")</f>
        <v>No</v>
      </c>
      <c r="AJ2937" s="8" t="str">
        <f ca="1">IFERROR(__xludf.DUMMYFUNCTION("""COMPUTED_VALUE"""),"No")</f>
        <v>No</v>
      </c>
      <c r="AK2937" s="8" t="str">
        <f ca="1">IFERROR(__xludf.DUMMYFUNCTION("""COMPUTED_VALUE"""),"No")</f>
        <v>No</v>
      </c>
      <c r="AL2937" s="8" t="str">
        <f ca="1">IFERROR(__xludf.DUMMYFUNCTION("""COMPUTED_VALUE"""),"Yes")</f>
        <v>Yes</v>
      </c>
      <c r="AM2937" s="8"/>
      <c r="AN2937" s="8"/>
      <c r="AO2937" s="8" t="str">
        <f ca="1">IFERROR(__xludf.DUMMYFUNCTION("""COMPUTED_VALUE"""),"No")</f>
        <v>No</v>
      </c>
      <c r="AP2937" s="8"/>
      <c r="AQ2937" s="8" t="str">
        <f ca="1">IFERROR(__xludf.DUMMYFUNCTION("""COMPUTED_VALUE"""),"Unknown")</f>
        <v>Unknown</v>
      </c>
      <c r="AR2937" s="8" t="str">
        <f ca="1">IFERROR(__xludf.DUMMYFUNCTION("""COMPUTED_VALUE"""),"NA")</f>
        <v>NA</v>
      </c>
      <c r="AS2937" s="8" t="str">
        <f ca="1">IFERROR(__xludf.DUMMYFUNCTION("""COMPUTED_VALUE"""),"&lt;10")</f>
        <v>&lt;10</v>
      </c>
      <c r="AT2937" s="8"/>
      <c r="AU2937" s="8">
        <f ca="1">IFERROR(__xludf.DUMMYFUNCTION("""COMPUTED_VALUE"""),39.940552)</f>
        <v>39.940551999999997</v>
      </c>
      <c r="AV2937" s="8">
        <f ca="1">IFERROR(__xludf.DUMMYFUNCTION("""COMPUTED_VALUE"""),-75.232634)</f>
        <v>-75.232634000000004</v>
      </c>
      <c r="AW2937" s="8"/>
      <c r="AX2937" s="8">
        <f ca="1">IFERROR(__xludf.DUMMYFUNCTION("""COMPUTED_VALUE"""),19143)</f>
        <v>19143</v>
      </c>
    </row>
    <row r="2938" spans="1:50" ht="60" x14ac:dyDescent="0.2">
      <c r="A2938" s="8" t="str">
        <f ca="1">IFERROR(__xludf.DUMMYFUNCTION("""COMPUTED_VALUE"""),"19810515LANEN")</f>
        <v>19810515LANEN</v>
      </c>
      <c r="B2938" s="8">
        <f ca="1">IFERROR(__xludf.DUMMYFUNCTION("""COMPUTED_VALUE"""),5)</f>
        <v>5</v>
      </c>
      <c r="C2938" s="8">
        <f ca="1">IFERROR(__xludf.DUMMYFUNCTION("""COMPUTED_VALUE"""),15)</f>
        <v>15</v>
      </c>
      <c r="D2938" s="8">
        <f ca="1">IFERROR(__xludf.DUMMYFUNCTION("""COMPUTED_VALUE"""),1981)</f>
        <v>1981</v>
      </c>
      <c r="E2938" s="9">
        <f ca="1">IFERROR(__xludf.DUMMYFUNCTION("""COMPUTED_VALUE"""),29721)</f>
        <v>29721</v>
      </c>
      <c r="F2938" s="8" t="str">
        <f ca="1">IFERROR(__xludf.DUMMYFUNCTION("""COMPUTED_VALUE"""),"New Iberia Junior HIgh School")</f>
        <v>New Iberia Junior HIgh School</v>
      </c>
      <c r="G2938" s="8">
        <f ca="1">IFERROR(__xludf.DUMMYFUNCTION("""COMPUTED_VALUE"""),0)</f>
        <v>0</v>
      </c>
      <c r="H2938" s="8">
        <f ca="1">IFERROR(__xludf.DUMMYFUNCTION("""COMPUTED_VALUE"""),1)</f>
        <v>1</v>
      </c>
      <c r="I2938" s="8">
        <f ca="1">IFERROR(__xludf.DUMMYFUNCTION("""COMPUTED_VALUE"""),1)</f>
        <v>1</v>
      </c>
      <c r="J2938" s="8">
        <f ca="1">IFERROR(__xludf.DUMMYFUNCTION("""COMPUTED_VALUE"""),0)</f>
        <v>0</v>
      </c>
      <c r="K2938" s="10" t="str">
        <f ca="1">IFERROR(__xludf.DUMMYFUNCTION("""COMPUTED_VALUE"""),"https://www.newspapers.com/image/216284765/?terms=new%2BIberia%2Bteacher%2Bshot")</f>
        <v>https://www.newspapers.com/image/216284765/?terms=new%2BIberia%2Bteacher%2Bshot</v>
      </c>
      <c r="L2938" s="8"/>
      <c r="M2938" s="8"/>
      <c r="N2938" s="8">
        <f ca="1">IFERROR(__xludf.DUMMYFUNCTION("""COMPUTED_VALUE"""),2)</f>
        <v>2</v>
      </c>
      <c r="O2938" s="8" t="str">
        <f ca="1">IFERROR(__xludf.DUMMYFUNCTION("""COMPUTED_VALUE"""),"Spring")</f>
        <v>Spring</v>
      </c>
      <c r="P2938" s="8" t="str">
        <f ca="1">IFERROR(__xludf.DUMMYFUNCTION("""COMPUTED_VALUE"""),"New Iberia")</f>
        <v>New Iberia</v>
      </c>
      <c r="Q2938" s="8" t="str">
        <f ca="1">IFERROR(__xludf.DUMMYFUNCTION("""COMPUTED_VALUE"""),"LA")</f>
        <v>LA</v>
      </c>
      <c r="R2938" s="8" t="str">
        <f ca="1">IFERROR(__xludf.DUMMYFUNCTION("""COMPUTED_VALUE"""),"Junior High")</f>
        <v>Junior High</v>
      </c>
      <c r="S2938" s="8" t="str">
        <f ca="1">IFERROR(__xludf.DUMMYFUNCTION("""COMPUTED_VALUE"""),"Inside School Building")</f>
        <v>Inside School Building</v>
      </c>
      <c r="T2938" s="8" t="str">
        <f ca="1">IFERROR(__xludf.DUMMYFUNCTION("""COMPUTED_VALUE"""),"Inside School Building")</f>
        <v>Inside School Building</v>
      </c>
      <c r="U2938" s="8" t="str">
        <f ca="1">IFERROR(__xludf.DUMMYFUNCTION("""COMPUTED_VALUE"""),"Yes")</f>
        <v>Yes</v>
      </c>
      <c r="V2938" s="8" t="str">
        <f ca="1">IFERROR(__xludf.DUMMYFUNCTION("""COMPUTED_VALUE"""),"Before School")</f>
        <v>Before School</v>
      </c>
      <c r="W2938" s="11">
        <f ca="1">IFERROR(__xludf.DUMMYFUNCTION("""COMPUTED_VALUE"""),0.333333333333333)</f>
        <v>0.33333333333333298</v>
      </c>
      <c r="X2938" s="8">
        <f ca="1">IFERROR(__xludf.DUMMYFUNCTION("""COMPUTED_VALUE"""),1)</f>
        <v>1</v>
      </c>
      <c r="Y2938" s="12" t="str">
        <f ca="1">IFERROR(__xludf.DUMMYFUNCTION("""COMPUTED_VALUE"""),"Vice Principal shoots teacher in language arts class before school")</f>
        <v>Vice Principal shoots teacher in language arts class before school</v>
      </c>
      <c r="Z2938" s="12" t="str">
        <f ca="1">IFERROR(__xludf.DUMMYFUNCTION("""COMPUTED_VALUE"""),"42 year old vice principal shoots language arts teacher (28 year-old female) - his girlfriend 6 times, hits her three. Later turns himself in and pleads not guilty by reason of insanity.")</f>
        <v>42 year old vice principal shoots language arts teacher (28 year-old female) - his girlfriend 6 times, hits her three. Later turns himself in and pleads not guilty by reason of insanity.</v>
      </c>
      <c r="AA2938" s="8" t="str">
        <f ca="1">IFERROR(__xludf.DUMMYFUNCTION("""COMPUTED_VALUE"""),"Domestic w/ Targeted Victim")</f>
        <v>Domestic w/ Targeted Victim</v>
      </c>
      <c r="AB2938" s="8"/>
      <c r="AC2938" s="8"/>
      <c r="AD2938" s="8" t="str">
        <f ca="1">IFERROR(__xludf.DUMMYFUNCTION("""COMPUTED_VALUE"""),"Victims Targeted")</f>
        <v>Victims Targeted</v>
      </c>
      <c r="AE2938" s="8" t="str">
        <f ca="1">IFERROR(__xludf.DUMMYFUNCTION("""COMPUTED_VALUE"""),"No")</f>
        <v>No</v>
      </c>
      <c r="AF2938" s="8"/>
      <c r="AG2938" s="8" t="str">
        <f ca="1">IFERROR(__xludf.DUMMYFUNCTION("""COMPUTED_VALUE"""),"No")</f>
        <v>No</v>
      </c>
      <c r="AH2938" s="8" t="str">
        <f ca="1">IFERROR(__xludf.DUMMYFUNCTION("""COMPUTED_VALUE"""),"No")</f>
        <v>No</v>
      </c>
      <c r="AI2938" s="8" t="str">
        <f ca="1">IFERROR(__xludf.DUMMYFUNCTION("""COMPUTED_VALUE"""),"No")</f>
        <v>No</v>
      </c>
      <c r="AJ2938" s="8" t="str">
        <f ca="1">IFERROR(__xludf.DUMMYFUNCTION("""COMPUTED_VALUE"""),"No")</f>
        <v>No</v>
      </c>
      <c r="AK2938" s="8" t="str">
        <f ca="1">IFERROR(__xludf.DUMMYFUNCTION("""COMPUTED_VALUE"""),"Yes")</f>
        <v>Yes</v>
      </c>
      <c r="AL2938" s="8" t="str">
        <f ca="1">IFERROR(__xludf.DUMMYFUNCTION("""COMPUTED_VALUE"""),"No")</f>
        <v>No</v>
      </c>
      <c r="AM2938" s="8"/>
      <c r="AN2938" s="8"/>
      <c r="AO2938" s="8" t="str">
        <f ca="1">IFERROR(__xludf.DUMMYFUNCTION("""COMPUTED_VALUE"""),"No")</f>
        <v>No</v>
      </c>
      <c r="AP2938" s="8"/>
      <c r="AQ2938" s="8" t="str">
        <f ca="1">IFERROR(__xludf.DUMMYFUNCTION("""COMPUTED_VALUE"""),"Unknown")</f>
        <v>Unknown</v>
      </c>
      <c r="AR2938" s="8" t="str">
        <f ca="1">IFERROR(__xludf.DUMMYFUNCTION("""COMPUTED_VALUE"""),"NA")</f>
        <v>NA</v>
      </c>
      <c r="AS2938" s="8">
        <f ca="1">IFERROR(__xludf.DUMMYFUNCTION("""COMPUTED_VALUE"""),6)</f>
        <v>6</v>
      </c>
      <c r="AT2938" s="8"/>
      <c r="AU2938" s="8">
        <f ca="1">IFERROR(__xludf.DUMMYFUNCTION("""COMPUTED_VALUE"""),29.983002)</f>
        <v>29.983001999999999</v>
      </c>
      <c r="AV2938" s="8">
        <f ca="1">IFERROR(__xludf.DUMMYFUNCTION("""COMPUTED_VALUE"""),-91.812045)</f>
        <v>-91.812044999999998</v>
      </c>
      <c r="AW2938" s="8"/>
      <c r="AX2938" s="8">
        <f ca="1">IFERROR(__xludf.DUMMYFUNCTION("""COMPUTED_VALUE"""),70560)</f>
        <v>70560</v>
      </c>
    </row>
    <row r="2939" spans="1:50" ht="60" x14ac:dyDescent="0.2">
      <c r="A2939" s="8" t="str">
        <f ca="1">IFERROR(__xludf.DUMMYFUNCTION("""COMPUTED_VALUE"""),"19810407MSPOP")</f>
        <v>19810407MSPOP</v>
      </c>
      <c r="B2939" s="8">
        <f ca="1">IFERROR(__xludf.DUMMYFUNCTION("""COMPUTED_VALUE"""),4)</f>
        <v>4</v>
      </c>
      <c r="C2939" s="8">
        <f ca="1">IFERROR(__xludf.DUMMYFUNCTION("""COMPUTED_VALUE"""),7)</f>
        <v>7</v>
      </c>
      <c r="D2939" s="8">
        <f ca="1">IFERROR(__xludf.DUMMYFUNCTION("""COMPUTED_VALUE"""),1981)</f>
        <v>1981</v>
      </c>
      <c r="E2939" s="9">
        <f ca="1">IFERROR(__xludf.DUMMYFUNCTION("""COMPUTED_VALUE"""),29683)</f>
        <v>29683</v>
      </c>
      <c r="F2939" s="8" t="str">
        <f ca="1">IFERROR(__xludf.DUMMYFUNCTION("""COMPUTED_VALUE"""),"Poplarville High School")</f>
        <v>Poplarville High School</v>
      </c>
      <c r="G2939" s="8">
        <f ca="1">IFERROR(__xludf.DUMMYFUNCTION("""COMPUTED_VALUE"""),0)</f>
        <v>0</v>
      </c>
      <c r="H2939" s="8">
        <f ca="1">IFERROR(__xludf.DUMMYFUNCTION("""COMPUTED_VALUE"""),1)</f>
        <v>1</v>
      </c>
      <c r="I2939" s="8">
        <f ca="1">IFERROR(__xludf.DUMMYFUNCTION("""COMPUTED_VALUE"""),1)</f>
        <v>1</v>
      </c>
      <c r="J2939" s="8">
        <f ca="1">IFERROR(__xludf.DUMMYFUNCTION("""COMPUTED_VALUE"""),0)</f>
        <v>0</v>
      </c>
      <c r="K2939" s="10" t="str">
        <f ca="1">IFERROR(__xludf.DUMMYFUNCTION("""COMPUTED_VALUE"""),"https://www.newspapers.com/image/278826646/?terms=student%2Bshot")</f>
        <v>https://www.newspapers.com/image/278826646/?terms=student%2Bshot</v>
      </c>
      <c r="L2939" s="8"/>
      <c r="M2939" s="8"/>
      <c r="N2939" s="8">
        <f ca="1">IFERROR(__xludf.DUMMYFUNCTION("""COMPUTED_VALUE"""),2)</f>
        <v>2</v>
      </c>
      <c r="O2939" s="8" t="str">
        <f ca="1">IFERROR(__xludf.DUMMYFUNCTION("""COMPUTED_VALUE"""),"Spring")</f>
        <v>Spring</v>
      </c>
      <c r="P2939" s="8" t="str">
        <f ca="1">IFERROR(__xludf.DUMMYFUNCTION("""COMPUTED_VALUE"""),"Poplarville")</f>
        <v>Poplarville</v>
      </c>
      <c r="Q2939" s="8" t="str">
        <f ca="1">IFERROR(__xludf.DUMMYFUNCTION("""COMPUTED_VALUE"""),"MS")</f>
        <v>MS</v>
      </c>
      <c r="R2939" s="8" t="str">
        <f ca="1">IFERROR(__xludf.DUMMYFUNCTION("""COMPUTED_VALUE"""),"High")</f>
        <v>High</v>
      </c>
      <c r="S2939" s="8" t="str">
        <f ca="1">IFERROR(__xludf.DUMMYFUNCTION("""COMPUTED_VALUE"""),"Beside Building")</f>
        <v>Beside Building</v>
      </c>
      <c r="T2939" s="8" t="str">
        <f ca="1">IFERROR(__xludf.DUMMYFUNCTION("""COMPUTED_VALUE"""),"Outside on School Property")</f>
        <v>Outside on School Property</v>
      </c>
      <c r="U2939" s="8" t="str">
        <f ca="1">IFERROR(__xludf.DUMMYFUNCTION("""COMPUTED_VALUE"""),"Yes")</f>
        <v>Yes</v>
      </c>
      <c r="V2939" s="8" t="str">
        <f ca="1">IFERROR(__xludf.DUMMYFUNCTION("""COMPUTED_VALUE"""),"Sport Event")</f>
        <v>Sport Event</v>
      </c>
      <c r="W2939" s="8"/>
      <c r="X2939" s="8">
        <f ca="1">IFERROR(__xludf.DUMMYFUNCTION("""COMPUTED_VALUE"""),1)</f>
        <v>1</v>
      </c>
      <c r="Y2939" s="12" t="str">
        <f ca="1">IFERROR(__xludf.DUMMYFUNCTION("""COMPUTED_VALUE"""),"Victim shot by unknown assailant while standing next to school building")</f>
        <v>Victim shot by unknown assailant while standing next to school building</v>
      </c>
      <c r="Z2939" s="12" t="str">
        <f ca="1">IFERROR(__xludf.DUMMYFUNCTION("""COMPUTED_VALUE"""),"Victim was shot in the leg while standing next to school building after softball game - unknown shooter - no information on whether shooter was caught.")</f>
        <v>Victim was shot in the leg while standing next to school building after softball game - unknown shooter - no information on whether shooter was caught.</v>
      </c>
      <c r="AA2939" s="8" t="str">
        <f ca="1">IFERROR(__xludf.DUMMYFUNCTION("""COMPUTED_VALUE"""),"Unknown")</f>
        <v>Unknown</v>
      </c>
      <c r="AB2939" s="8"/>
      <c r="AC2939" s="8"/>
      <c r="AD2939" s="8"/>
      <c r="AE2939" s="8" t="str">
        <f ca="1">IFERROR(__xludf.DUMMYFUNCTION("""COMPUTED_VALUE"""),"No")</f>
        <v>No</v>
      </c>
      <c r="AF2939" s="8"/>
      <c r="AG2939" s="8" t="str">
        <f ca="1">IFERROR(__xludf.DUMMYFUNCTION("""COMPUTED_VALUE"""),"No")</f>
        <v>No</v>
      </c>
      <c r="AH2939" s="8" t="str">
        <f ca="1">IFERROR(__xludf.DUMMYFUNCTION("""COMPUTED_VALUE"""),"No")</f>
        <v>No</v>
      </c>
      <c r="AI2939" s="8" t="str">
        <f ca="1">IFERROR(__xludf.DUMMYFUNCTION("""COMPUTED_VALUE"""),"No")</f>
        <v>No</v>
      </c>
      <c r="AJ2939" s="8" t="str">
        <f ca="1">IFERROR(__xludf.DUMMYFUNCTION("""COMPUTED_VALUE"""),"No")</f>
        <v>No</v>
      </c>
      <c r="AK2939" s="8" t="str">
        <f ca="1">IFERROR(__xludf.DUMMYFUNCTION("""COMPUTED_VALUE"""),"No")</f>
        <v>No</v>
      </c>
      <c r="AL2939" s="8"/>
      <c r="AM2939" s="8"/>
      <c r="AN2939" s="8"/>
      <c r="AO2939" s="8" t="str">
        <f ca="1">IFERROR(__xludf.DUMMYFUNCTION("""COMPUTED_VALUE"""),"No")</f>
        <v>No</v>
      </c>
      <c r="AP2939" s="8"/>
      <c r="AQ2939" s="8" t="str">
        <f ca="1">IFERROR(__xludf.DUMMYFUNCTION("""COMPUTED_VALUE"""),"Unknown")</f>
        <v>Unknown</v>
      </c>
      <c r="AR2939" s="8" t="str">
        <f ca="1">IFERROR(__xludf.DUMMYFUNCTION("""COMPUTED_VALUE"""),"NA")</f>
        <v>NA</v>
      </c>
      <c r="AS2939" s="8">
        <f ca="1">IFERROR(__xludf.DUMMYFUNCTION("""COMPUTED_VALUE"""),1)</f>
        <v>1</v>
      </c>
      <c r="AT2939" s="8"/>
      <c r="AU2939" s="8">
        <f ca="1">IFERROR(__xludf.DUMMYFUNCTION("""COMPUTED_VALUE"""),30.831935)</f>
        <v>30.831935000000001</v>
      </c>
      <c r="AV2939" s="8">
        <f ca="1">IFERROR(__xludf.DUMMYFUNCTION("""COMPUTED_VALUE"""),-89.5252)</f>
        <v>-89.525199999999998</v>
      </c>
      <c r="AW2939" s="8"/>
      <c r="AX2939" s="8">
        <f ca="1">IFERROR(__xludf.DUMMYFUNCTION("""COMPUTED_VALUE"""),39470)</f>
        <v>39470</v>
      </c>
    </row>
    <row r="2940" spans="1:50" ht="45" x14ac:dyDescent="0.2">
      <c r="A2940" s="8" t="str">
        <f ca="1">IFERROR(__xludf.DUMMYFUNCTION("""COMPUTED_VALUE"""),"19810402OHALC")</f>
        <v>19810402OHALC</v>
      </c>
      <c r="B2940" s="8">
        <f ca="1">IFERROR(__xludf.DUMMYFUNCTION("""COMPUTED_VALUE"""),4)</f>
        <v>4</v>
      </c>
      <c r="C2940" s="8">
        <f ca="1">IFERROR(__xludf.DUMMYFUNCTION("""COMPUTED_VALUE"""),2)</f>
        <v>2</v>
      </c>
      <c r="D2940" s="8">
        <f ca="1">IFERROR(__xludf.DUMMYFUNCTION("""COMPUTED_VALUE"""),1981)</f>
        <v>1981</v>
      </c>
      <c r="E2940" s="9">
        <f ca="1">IFERROR(__xludf.DUMMYFUNCTION("""COMPUTED_VALUE"""),29678)</f>
        <v>29678</v>
      </c>
      <c r="F2940" s="8" t="str">
        <f ca="1">IFERROR(__xludf.DUMMYFUNCTION("""COMPUTED_VALUE"""),"Alexander Hamilton Junior High School")</f>
        <v>Alexander Hamilton Junior High School</v>
      </c>
      <c r="G2940" s="8">
        <f ca="1">IFERROR(__xludf.DUMMYFUNCTION("""COMPUTED_VALUE"""),0)</f>
        <v>0</v>
      </c>
      <c r="H2940" s="8">
        <f ca="1">IFERROR(__xludf.DUMMYFUNCTION("""COMPUTED_VALUE"""),1)</f>
        <v>1</v>
      </c>
      <c r="I2940" s="8">
        <f ca="1">IFERROR(__xludf.DUMMYFUNCTION("""COMPUTED_VALUE"""),1)</f>
        <v>1</v>
      </c>
      <c r="J2940" s="8">
        <f ca="1">IFERROR(__xludf.DUMMYFUNCTION("""COMPUTED_VALUE"""),0)</f>
        <v>0</v>
      </c>
      <c r="K2940" s="8" t="str">
        <f ca="1">IFERROR(__xludf.DUMMYFUNCTION("""COMPUTED_VALUE"""),"https://www.newspapers.com/image/288125878/?terms=student%2Bshot; https://www.newspapers.com/image/254738560/?terms=student%2Bshot; https://www.newspapers.com/image/181193833/?terms=student%2Bshot")</f>
        <v>https://www.newspapers.com/image/288125878/?terms=student%2Bshot; https://www.newspapers.com/image/254738560/?terms=student%2Bshot; https://www.newspapers.com/image/181193833/?terms=student%2Bshot</v>
      </c>
      <c r="L2940" s="8"/>
      <c r="M2940" s="8"/>
      <c r="N2940" s="8">
        <f ca="1">IFERROR(__xludf.DUMMYFUNCTION("""COMPUTED_VALUE"""),3)</f>
        <v>3</v>
      </c>
      <c r="O2940" s="8" t="str">
        <f ca="1">IFERROR(__xludf.DUMMYFUNCTION("""COMPUTED_VALUE"""),"Spring")</f>
        <v>Spring</v>
      </c>
      <c r="P2940" s="8" t="str">
        <f ca="1">IFERROR(__xludf.DUMMYFUNCTION("""COMPUTED_VALUE"""),"Cleveland")</f>
        <v>Cleveland</v>
      </c>
      <c r="Q2940" s="8" t="str">
        <f ca="1">IFERROR(__xludf.DUMMYFUNCTION("""COMPUTED_VALUE"""),"OH")</f>
        <v>OH</v>
      </c>
      <c r="R2940" s="8" t="str">
        <f ca="1">IFERROR(__xludf.DUMMYFUNCTION("""COMPUTED_VALUE"""),"Junior High")</f>
        <v>Junior High</v>
      </c>
      <c r="S2940" s="8" t="str">
        <f ca="1">IFERROR(__xludf.DUMMYFUNCTION("""COMPUTED_VALUE"""),"Bathroom")</f>
        <v>Bathroom</v>
      </c>
      <c r="T2940" s="8" t="str">
        <f ca="1">IFERROR(__xludf.DUMMYFUNCTION("""COMPUTED_VALUE"""),"Inside School Building")</f>
        <v>Inside School Building</v>
      </c>
      <c r="U2940" s="8" t="str">
        <f ca="1">IFERROR(__xludf.DUMMYFUNCTION("""COMPUTED_VALUE"""),"Yes")</f>
        <v>Yes</v>
      </c>
      <c r="V2940" s="8" t="str">
        <f ca="1">IFERROR(__xludf.DUMMYFUNCTION("""COMPUTED_VALUE"""),"Before School")</f>
        <v>Before School</v>
      </c>
      <c r="W2940" s="11">
        <f ca="1">IFERROR(__xludf.DUMMYFUNCTION("""COMPUTED_VALUE"""),0.322916666666666)</f>
        <v>0.32291666666666602</v>
      </c>
      <c r="X2940" s="8">
        <f ca="1">IFERROR(__xludf.DUMMYFUNCTION("""COMPUTED_VALUE"""),1)</f>
        <v>1</v>
      </c>
      <c r="Y2940" s="12" t="str">
        <f ca="1">IFERROR(__xludf.DUMMYFUNCTION("""COMPUTED_VALUE"""),"Shooter tried to talk victim out of testifying")</f>
        <v>Shooter tried to talk victim out of testifying</v>
      </c>
      <c r="Z2940" s="12" t="str">
        <f ca="1">IFERROR(__xludf.DUMMYFUNCTION("""COMPUTED_VALUE"""),"Shooter confronts victim in school bathroom in an effort to get him to not testify - victim shot - suspect fled and later caught.")</f>
        <v>Shooter confronts victim in school bathroom in an effort to get him to not testify - victim shot - suspect fled and later caught.</v>
      </c>
      <c r="AA2940" s="8" t="str">
        <f ca="1">IFERROR(__xludf.DUMMYFUNCTION("""COMPUTED_VALUE"""),"Escalation of Dispute")</f>
        <v>Escalation of Dispute</v>
      </c>
      <c r="AB2940" s="8"/>
      <c r="AC2940" s="8"/>
      <c r="AD2940" s="8" t="str">
        <f ca="1">IFERROR(__xludf.DUMMYFUNCTION("""COMPUTED_VALUE"""),"Victims Targeted")</f>
        <v>Victims Targeted</v>
      </c>
      <c r="AE2940" s="8" t="str">
        <f ca="1">IFERROR(__xludf.DUMMYFUNCTION("""COMPUTED_VALUE"""),"No")</f>
        <v>No</v>
      </c>
      <c r="AF2940" s="8"/>
      <c r="AG2940" s="8" t="str">
        <f ca="1">IFERROR(__xludf.DUMMYFUNCTION("""COMPUTED_VALUE"""),"No")</f>
        <v>No</v>
      </c>
      <c r="AH2940" s="8" t="str">
        <f ca="1">IFERROR(__xludf.DUMMYFUNCTION("""COMPUTED_VALUE"""),"No")</f>
        <v>No</v>
      </c>
      <c r="AI2940" s="8" t="str">
        <f ca="1">IFERROR(__xludf.DUMMYFUNCTION("""COMPUTED_VALUE"""),"No")</f>
        <v>No</v>
      </c>
      <c r="AJ2940" s="8" t="str">
        <f ca="1">IFERROR(__xludf.DUMMYFUNCTION("""COMPUTED_VALUE"""),"No")</f>
        <v>No</v>
      </c>
      <c r="AK2940" s="8" t="str">
        <f ca="1">IFERROR(__xludf.DUMMYFUNCTION("""COMPUTED_VALUE"""),"No")</f>
        <v>No</v>
      </c>
      <c r="AL2940" s="8" t="str">
        <f ca="1">IFERROR(__xludf.DUMMYFUNCTION("""COMPUTED_VALUE"""),"No")</f>
        <v>No</v>
      </c>
      <c r="AM2940" s="8"/>
      <c r="AN2940" s="8"/>
      <c r="AO2940" s="8" t="str">
        <f ca="1">IFERROR(__xludf.DUMMYFUNCTION("""COMPUTED_VALUE"""),"No")</f>
        <v>No</v>
      </c>
      <c r="AP2940" s="8"/>
      <c r="AQ2940" s="8" t="str">
        <f ca="1">IFERROR(__xludf.DUMMYFUNCTION("""COMPUTED_VALUE"""),"Unknown")</f>
        <v>Unknown</v>
      </c>
      <c r="AR2940" s="8" t="str">
        <f ca="1">IFERROR(__xludf.DUMMYFUNCTION("""COMPUTED_VALUE"""),"NA")</f>
        <v>NA</v>
      </c>
      <c r="AS2940" s="8"/>
      <c r="AT2940" s="8"/>
      <c r="AU2940" s="8">
        <f ca="1">IFERROR(__xludf.DUMMYFUNCTION("""COMPUTED_VALUE"""),41.46443)</f>
        <v>41.46443</v>
      </c>
      <c r="AV2940" s="8">
        <f ca="1">IFERROR(__xludf.DUMMYFUNCTION("""COMPUTED_VALUE"""),-81.591408)</f>
        <v>-81.591408000000001</v>
      </c>
      <c r="AW2940" s="8"/>
      <c r="AX2940" s="8">
        <f ca="1">IFERROR(__xludf.DUMMYFUNCTION("""COMPUTED_VALUE"""),44120)</f>
        <v>44120</v>
      </c>
    </row>
    <row r="2941" spans="1:50" ht="75" x14ac:dyDescent="0.2">
      <c r="A2941" s="8" t="str">
        <f ca="1">IFERROR(__xludf.DUMMYFUNCTION("""COMPUTED_VALUE"""),"19810328FLDIF")</f>
        <v>19810328FLDIF</v>
      </c>
      <c r="B2941" s="8">
        <f ca="1">IFERROR(__xludf.DUMMYFUNCTION("""COMPUTED_VALUE"""),3)</f>
        <v>3</v>
      </c>
      <c r="C2941" s="8">
        <f ca="1">IFERROR(__xludf.DUMMYFUNCTION("""COMPUTED_VALUE"""),28)</f>
        <v>28</v>
      </c>
      <c r="D2941" s="8">
        <f ca="1">IFERROR(__xludf.DUMMYFUNCTION("""COMPUTED_VALUE"""),1981)</f>
        <v>1981</v>
      </c>
      <c r="E2941" s="9">
        <f ca="1">IFERROR(__xludf.DUMMYFUNCTION("""COMPUTED_VALUE"""),29673)</f>
        <v>29673</v>
      </c>
      <c r="F2941" s="8" t="str">
        <f ca="1">IFERROR(__xludf.DUMMYFUNCTION("""COMPUTED_VALUE"""),"Dillard High School")</f>
        <v>Dillard High School</v>
      </c>
      <c r="G2941" s="8">
        <f ca="1">IFERROR(__xludf.DUMMYFUNCTION("""COMPUTED_VALUE"""),1)</f>
        <v>1</v>
      </c>
      <c r="H2941" s="8">
        <f ca="1">IFERROR(__xludf.DUMMYFUNCTION("""COMPUTED_VALUE"""),0)</f>
        <v>0</v>
      </c>
      <c r="I2941" s="8">
        <f ca="1">IFERROR(__xludf.DUMMYFUNCTION("""COMPUTED_VALUE"""),1)</f>
        <v>1</v>
      </c>
      <c r="J2941" s="8">
        <f ca="1">IFERROR(__xludf.DUMMYFUNCTION("""COMPUTED_VALUE"""),0)</f>
        <v>0</v>
      </c>
      <c r="K2941" s="10" t="str">
        <f ca="1">IFERROR(__xludf.DUMMYFUNCTION("""COMPUTED_VALUE"""),"https://www.newspapers.com/image/235456423/?terms=dillard%2Bhigh%2Bschool%2Bshooting")</f>
        <v>https://www.newspapers.com/image/235456423/?terms=dillard%2Bhigh%2Bschool%2Bshooting</v>
      </c>
      <c r="L2941" s="8"/>
      <c r="M2941" s="8"/>
      <c r="N2941" s="8">
        <f ca="1">IFERROR(__xludf.DUMMYFUNCTION("""COMPUTED_VALUE"""),2)</f>
        <v>2</v>
      </c>
      <c r="O2941" s="8" t="str">
        <f ca="1">IFERROR(__xludf.DUMMYFUNCTION("""COMPUTED_VALUE"""),"Spring")</f>
        <v>Spring</v>
      </c>
      <c r="P2941" s="8" t="str">
        <f ca="1">IFERROR(__xludf.DUMMYFUNCTION("""COMPUTED_VALUE"""),"Fort Lauderdale")</f>
        <v>Fort Lauderdale</v>
      </c>
      <c r="Q2941" s="8" t="str">
        <f ca="1">IFERROR(__xludf.DUMMYFUNCTION("""COMPUTED_VALUE"""),"FL")</f>
        <v>FL</v>
      </c>
      <c r="R2941" s="8" t="str">
        <f ca="1">IFERROR(__xludf.DUMMYFUNCTION("""COMPUTED_VALUE"""),"High")</f>
        <v>High</v>
      </c>
      <c r="S2941" s="8" t="str">
        <f ca="1">IFERROR(__xludf.DUMMYFUNCTION("""COMPUTED_VALUE"""),"Beside Building")</f>
        <v>Beside Building</v>
      </c>
      <c r="T2941" s="8" t="str">
        <f ca="1">IFERROR(__xludf.DUMMYFUNCTION("""COMPUTED_VALUE"""),"Outside on School Property")</f>
        <v>Outside on School Property</v>
      </c>
      <c r="U2941" s="8" t="str">
        <f ca="1">IFERROR(__xludf.DUMMYFUNCTION("""COMPUTED_VALUE"""),"No")</f>
        <v>No</v>
      </c>
      <c r="V2941" s="8" t="str">
        <f ca="1">IFERROR(__xludf.DUMMYFUNCTION("""COMPUTED_VALUE"""),"School Event")</f>
        <v>School Event</v>
      </c>
      <c r="W2941" s="11">
        <f ca="1">IFERROR(__xludf.DUMMYFUNCTION("""COMPUTED_VALUE"""),0.875)</f>
        <v>0.875</v>
      </c>
      <c r="X2941" s="8">
        <f ca="1">IFERROR(__xludf.DUMMYFUNCTION("""COMPUTED_VALUE"""),1)</f>
        <v>1</v>
      </c>
      <c r="Y2941" s="12" t="str">
        <f ca="1">IFERROR(__xludf.DUMMYFUNCTION("""COMPUTED_VALUE"""),"Shot outside the school dance following an argument with suspects")</f>
        <v>Shot outside the school dance following an argument with suspects</v>
      </c>
      <c r="Z2941" s="12" t="str">
        <f ca="1">IFERROR(__xludf.DUMMYFUNCTION("""COMPUTED_VALUE"""),"19YOM was shot and killed outside of the school dance by two 18YOMs. Victim had a prior argument with the shooter.")</f>
        <v>19YOM was shot and killed outside of the school dance by two 18YOMs. Victim had a prior argument with the shooter.</v>
      </c>
      <c r="AA2941" s="8" t="str">
        <f ca="1">IFERROR(__xludf.DUMMYFUNCTION("""COMPUTED_VALUE"""),"Escalation of Dispute")</f>
        <v>Escalation of Dispute</v>
      </c>
      <c r="AB2941" s="8"/>
      <c r="AC2941" s="8"/>
      <c r="AD2941" s="8" t="str">
        <f ca="1">IFERROR(__xludf.DUMMYFUNCTION("""COMPUTED_VALUE"""),"Victims Targeted")</f>
        <v>Victims Targeted</v>
      </c>
      <c r="AE2941" s="8" t="str">
        <f ca="1">IFERROR(__xludf.DUMMYFUNCTION("""COMPUTED_VALUE"""),"Yes")</f>
        <v>Yes</v>
      </c>
      <c r="AF2941" s="8" t="str">
        <f ca="1">IFERROR(__xludf.DUMMYFUNCTION("""COMPUTED_VALUE"""),"Two 18YOMs arrested")</f>
        <v>Two 18YOMs arrested</v>
      </c>
      <c r="AG2941" s="8" t="str">
        <f ca="1">IFERROR(__xludf.DUMMYFUNCTION("""COMPUTED_VALUE"""),"No")</f>
        <v>No</v>
      </c>
      <c r="AH2941" s="8" t="str">
        <f ca="1">IFERROR(__xludf.DUMMYFUNCTION("""COMPUTED_VALUE"""),"No")</f>
        <v>No</v>
      </c>
      <c r="AI2941" s="8" t="str">
        <f ca="1">IFERROR(__xludf.DUMMYFUNCTION("""COMPUTED_VALUE"""),"No")</f>
        <v>No</v>
      </c>
      <c r="AJ2941" s="8" t="str">
        <f ca="1">IFERROR(__xludf.DUMMYFUNCTION("""COMPUTED_VALUE"""),"No")</f>
        <v>No</v>
      </c>
      <c r="AK2941" s="8" t="str">
        <f ca="1">IFERROR(__xludf.DUMMYFUNCTION("""COMPUTED_VALUE"""),"No")</f>
        <v>No</v>
      </c>
      <c r="AL2941" s="8" t="str">
        <f ca="1">IFERROR(__xludf.DUMMYFUNCTION("""COMPUTED_VALUE"""),"No")</f>
        <v>No</v>
      </c>
      <c r="AM2941" s="8"/>
      <c r="AN2941" s="8"/>
      <c r="AO2941" s="8" t="str">
        <f ca="1">IFERROR(__xludf.DUMMYFUNCTION("""COMPUTED_VALUE"""),"No")</f>
        <v>No</v>
      </c>
      <c r="AP2941" s="8"/>
      <c r="AQ2941" s="8" t="str">
        <f ca="1">IFERROR(__xludf.DUMMYFUNCTION("""COMPUTED_VALUE"""),"Unknown")</f>
        <v>Unknown</v>
      </c>
      <c r="AR2941" s="8" t="str">
        <f ca="1">IFERROR(__xludf.DUMMYFUNCTION("""COMPUTED_VALUE"""),"NA")</f>
        <v>NA</v>
      </c>
      <c r="AS2941" s="8" t="str">
        <f ca="1">IFERROR(__xludf.DUMMYFUNCTION("""COMPUTED_VALUE"""),"&lt;10")</f>
        <v>&lt;10</v>
      </c>
      <c r="AT2941" s="8"/>
      <c r="AU2941" s="8">
        <f ca="1">IFERROR(__xludf.DUMMYFUNCTION("""COMPUTED_VALUE"""),26.139621)</f>
        <v>26.139621000000002</v>
      </c>
      <c r="AV2941" s="8">
        <f ca="1">IFERROR(__xludf.DUMMYFUNCTION("""COMPUTED_VALUE"""),-80.175739)</f>
        <v>-80.175738999999993</v>
      </c>
      <c r="AW2941" s="8"/>
      <c r="AX2941" s="8">
        <f ca="1">IFERROR(__xludf.DUMMYFUNCTION("""COMPUTED_VALUE"""),33311)</f>
        <v>33311</v>
      </c>
    </row>
    <row r="2942" spans="1:50" ht="30" x14ac:dyDescent="0.2">
      <c r="A2942" s="8" t="str">
        <f ca="1">IFERROR(__xludf.DUMMYFUNCTION("""COMPUTED_VALUE"""),"19810303INMAI")</f>
        <v>19810303INMAI</v>
      </c>
      <c r="B2942" s="8">
        <f ca="1">IFERROR(__xludf.DUMMYFUNCTION("""COMPUTED_VALUE"""),3)</f>
        <v>3</v>
      </c>
      <c r="C2942" s="8">
        <f ca="1">IFERROR(__xludf.DUMMYFUNCTION("""COMPUTED_VALUE"""),3)</f>
        <v>3</v>
      </c>
      <c r="D2942" s="8">
        <f ca="1">IFERROR(__xludf.DUMMYFUNCTION("""COMPUTED_VALUE"""),1981)</f>
        <v>1981</v>
      </c>
      <c r="E2942" s="9">
        <f ca="1">IFERROR(__xludf.DUMMYFUNCTION("""COMPUTED_VALUE"""),29648)</f>
        <v>29648</v>
      </c>
      <c r="F2942" s="8" t="str">
        <f ca="1">IFERROR(__xludf.DUMMYFUNCTION("""COMPUTED_VALUE"""),"Marshall High School")</f>
        <v>Marshall High School</v>
      </c>
      <c r="G2942" s="8">
        <f ca="1">IFERROR(__xludf.DUMMYFUNCTION("""COMPUTED_VALUE"""),0)</f>
        <v>0</v>
      </c>
      <c r="H2942" s="8">
        <f ca="1">IFERROR(__xludf.DUMMYFUNCTION("""COMPUTED_VALUE"""),1)</f>
        <v>1</v>
      </c>
      <c r="I2942" s="8">
        <f ca="1">IFERROR(__xludf.DUMMYFUNCTION("""COMPUTED_VALUE"""),1)</f>
        <v>1</v>
      </c>
      <c r="J2942" s="8">
        <f ca="1">IFERROR(__xludf.DUMMYFUNCTION("""COMPUTED_VALUE"""),0)</f>
        <v>0</v>
      </c>
      <c r="K2942" s="10" t="str">
        <f ca="1">IFERROR(__xludf.DUMMYFUNCTION("""COMPUTED_VALUE"""),"https://www.newspapers.com/image/312662676/?terms=student%2Bshot")</f>
        <v>https://www.newspapers.com/image/312662676/?terms=student%2Bshot</v>
      </c>
      <c r="L2942" s="8"/>
      <c r="M2942" s="8"/>
      <c r="N2942" s="8">
        <f ca="1">IFERROR(__xludf.DUMMYFUNCTION("""COMPUTED_VALUE"""),2)</f>
        <v>2</v>
      </c>
      <c r="O2942" s="8" t="str">
        <f ca="1">IFERROR(__xludf.DUMMYFUNCTION("""COMPUTED_VALUE"""),"Spring")</f>
        <v>Spring</v>
      </c>
      <c r="P2942" s="8" t="str">
        <f ca="1">IFERROR(__xludf.DUMMYFUNCTION("""COMPUTED_VALUE"""),"Indianapolis")</f>
        <v>Indianapolis</v>
      </c>
      <c r="Q2942" s="8" t="str">
        <f ca="1">IFERROR(__xludf.DUMMYFUNCTION("""COMPUTED_VALUE"""),"IN")</f>
        <v>IN</v>
      </c>
      <c r="R2942" s="8" t="str">
        <f ca="1">IFERROR(__xludf.DUMMYFUNCTION("""COMPUTED_VALUE"""),"High")</f>
        <v>High</v>
      </c>
      <c r="S2942" s="8" t="str">
        <f ca="1">IFERROR(__xludf.DUMMYFUNCTION("""COMPUTED_VALUE"""),"Hallway")</f>
        <v>Hallway</v>
      </c>
      <c r="T2942" s="8" t="str">
        <f ca="1">IFERROR(__xludf.DUMMYFUNCTION("""COMPUTED_VALUE"""),"Inside School Building")</f>
        <v>Inside School Building</v>
      </c>
      <c r="U2942" s="8" t="str">
        <f ca="1">IFERROR(__xludf.DUMMYFUNCTION("""COMPUTED_VALUE"""),"Yes")</f>
        <v>Yes</v>
      </c>
      <c r="V2942" s="8" t="str">
        <f ca="1">IFERROR(__xludf.DUMMYFUNCTION("""COMPUTED_VALUE"""),"Morning Classes")</f>
        <v>Morning Classes</v>
      </c>
      <c r="W2942" s="11">
        <f ca="1">IFERROR(__xludf.DUMMYFUNCTION("""COMPUTED_VALUE"""),0.361111111111111)</f>
        <v>0.36111111111111099</v>
      </c>
      <c r="X2942" s="8">
        <f ca="1">IFERROR(__xludf.DUMMYFUNCTION("""COMPUTED_VALUE"""),1)</f>
        <v>1</v>
      </c>
      <c r="Y2942" s="12" t="str">
        <f ca="1">IFERROR(__xludf.DUMMYFUNCTION("""COMPUTED_VALUE"""),"Ongoing conflicts with fellow students")</f>
        <v>Ongoing conflicts with fellow students</v>
      </c>
      <c r="Z2942" s="12" t="str">
        <f ca="1">IFERROR(__xludf.DUMMYFUNCTION("""COMPUTED_VALUE"""),"15YOM shot 16YOM student during an argument in the hallway.")</f>
        <v>15YOM shot 16YOM student during an argument in the hallway.</v>
      </c>
      <c r="AA2942" s="8" t="str">
        <f ca="1">IFERROR(__xludf.DUMMYFUNCTION("""COMPUTED_VALUE"""),"Escalation of Dispute")</f>
        <v>Escalation of Dispute</v>
      </c>
      <c r="AB2942" s="8"/>
      <c r="AC2942" s="8"/>
      <c r="AD2942" s="8" t="str">
        <f ca="1">IFERROR(__xludf.DUMMYFUNCTION("""COMPUTED_VALUE"""),"Victims Targeted")</f>
        <v>Victims Targeted</v>
      </c>
      <c r="AE2942" s="8" t="str">
        <f ca="1">IFERROR(__xludf.DUMMYFUNCTION("""COMPUTED_VALUE"""),"No")</f>
        <v>No</v>
      </c>
      <c r="AF2942" s="8"/>
      <c r="AG2942" s="8" t="str">
        <f ca="1">IFERROR(__xludf.DUMMYFUNCTION("""COMPUTED_VALUE"""),"No")</f>
        <v>No</v>
      </c>
      <c r="AH2942" s="8" t="str">
        <f ca="1">IFERROR(__xludf.DUMMYFUNCTION("""COMPUTED_VALUE"""),"No")</f>
        <v>No</v>
      </c>
      <c r="AI2942" s="8" t="str">
        <f ca="1">IFERROR(__xludf.DUMMYFUNCTION("""COMPUTED_VALUE"""),"No")</f>
        <v>No</v>
      </c>
      <c r="AJ2942" s="8"/>
      <c r="AK2942" s="8" t="str">
        <f ca="1">IFERROR(__xludf.DUMMYFUNCTION("""COMPUTED_VALUE"""),"No")</f>
        <v>No</v>
      </c>
      <c r="AL2942" s="8" t="str">
        <f ca="1">IFERROR(__xludf.DUMMYFUNCTION("""COMPUTED_VALUE"""),"No")</f>
        <v>No</v>
      </c>
      <c r="AM2942" s="8"/>
      <c r="AN2942" s="8"/>
      <c r="AO2942" s="8" t="str">
        <f ca="1">IFERROR(__xludf.DUMMYFUNCTION("""COMPUTED_VALUE"""),"No")</f>
        <v>No</v>
      </c>
      <c r="AP2942" s="8"/>
      <c r="AQ2942" s="8" t="str">
        <f ca="1">IFERROR(__xludf.DUMMYFUNCTION("""COMPUTED_VALUE"""),"Unknown")</f>
        <v>Unknown</v>
      </c>
      <c r="AR2942" s="8" t="str">
        <f ca="1">IFERROR(__xludf.DUMMYFUNCTION("""COMPUTED_VALUE"""),"NA")</f>
        <v>NA</v>
      </c>
      <c r="AS2942" s="8">
        <f ca="1">IFERROR(__xludf.DUMMYFUNCTION("""COMPUTED_VALUE"""),2)</f>
        <v>2</v>
      </c>
      <c r="AT2942" s="8"/>
      <c r="AU2942" s="8">
        <f ca="1">IFERROR(__xludf.DUMMYFUNCTION("""COMPUTED_VALUE"""),39.824954)</f>
        <v>39.824953999999998</v>
      </c>
      <c r="AV2942" s="8">
        <f ca="1">IFERROR(__xludf.DUMMYFUNCTION("""COMPUTED_VALUE"""),-85.989468)</f>
        <v>-85.989468000000002</v>
      </c>
      <c r="AW2942" s="8"/>
      <c r="AX2942" s="8">
        <f ca="1">IFERROR(__xludf.DUMMYFUNCTION("""COMPUTED_VALUE"""),46235)</f>
        <v>46235</v>
      </c>
    </row>
    <row r="2943" spans="1:50" ht="30" x14ac:dyDescent="0.2">
      <c r="A2943" s="8" t="str">
        <f ca="1">IFERROR(__xludf.DUMMYFUNCTION("""COMPUTED_VALUE"""),"19810210CAMAL")</f>
        <v>19810210CAMAL</v>
      </c>
      <c r="B2943" s="8">
        <f ca="1">IFERROR(__xludf.DUMMYFUNCTION("""COMPUTED_VALUE"""),2)</f>
        <v>2</v>
      </c>
      <c r="C2943" s="8">
        <f ca="1">IFERROR(__xludf.DUMMYFUNCTION("""COMPUTED_VALUE"""),10)</f>
        <v>10</v>
      </c>
      <c r="D2943" s="8">
        <f ca="1">IFERROR(__xludf.DUMMYFUNCTION("""COMPUTED_VALUE"""),1981)</f>
        <v>1981</v>
      </c>
      <c r="E2943" s="9">
        <f ca="1">IFERROR(__xludf.DUMMYFUNCTION("""COMPUTED_VALUE"""),29627)</f>
        <v>29627</v>
      </c>
      <c r="F2943" s="8" t="str">
        <f ca="1">IFERROR(__xludf.DUMMYFUNCTION("""COMPUTED_VALUE"""),"Manuel Arts High School")</f>
        <v>Manuel Arts High School</v>
      </c>
      <c r="G2943" s="8">
        <f ca="1">IFERROR(__xludf.DUMMYFUNCTION("""COMPUTED_VALUE"""),1)</f>
        <v>1</v>
      </c>
      <c r="H2943" s="8">
        <f ca="1">IFERROR(__xludf.DUMMYFUNCTION("""COMPUTED_VALUE"""),0)</f>
        <v>0</v>
      </c>
      <c r="I2943" s="8">
        <f ca="1">IFERROR(__xludf.DUMMYFUNCTION("""COMPUTED_VALUE"""),1)</f>
        <v>1</v>
      </c>
      <c r="J2943" s="8">
        <f ca="1">IFERROR(__xludf.DUMMYFUNCTION("""COMPUTED_VALUE"""),0)</f>
        <v>0</v>
      </c>
      <c r="K2943" s="10" t="str">
        <f ca="1">IFERROR(__xludf.DUMMYFUNCTION("""COMPUTED_VALUE"""),"https://www.newspapers.com/image/378838711/?terms=Manuel%2BArts%2BHigh%2BSchool%2Bshooting")</f>
        <v>https://www.newspapers.com/image/378838711/?terms=Manuel%2BArts%2BHigh%2BSchool%2Bshooting</v>
      </c>
      <c r="L2943" s="8"/>
      <c r="M2943" s="8"/>
      <c r="N2943" s="8">
        <f ca="1">IFERROR(__xludf.DUMMYFUNCTION("""COMPUTED_VALUE"""),2)</f>
        <v>2</v>
      </c>
      <c r="O2943" s="8" t="str">
        <f ca="1">IFERROR(__xludf.DUMMYFUNCTION("""COMPUTED_VALUE"""),"Winter")</f>
        <v>Winter</v>
      </c>
      <c r="P2943" s="8" t="str">
        <f ca="1">IFERROR(__xludf.DUMMYFUNCTION("""COMPUTED_VALUE"""),"Los Angeles")</f>
        <v>Los Angeles</v>
      </c>
      <c r="Q2943" s="8" t="str">
        <f ca="1">IFERROR(__xludf.DUMMYFUNCTION("""COMPUTED_VALUE"""),"CA")</f>
        <v>CA</v>
      </c>
      <c r="R2943" s="8" t="str">
        <f ca="1">IFERROR(__xludf.DUMMYFUNCTION("""COMPUTED_VALUE"""),"High")</f>
        <v>High</v>
      </c>
      <c r="S2943" s="8" t="str">
        <f ca="1">IFERROR(__xludf.DUMMYFUNCTION("""COMPUTED_VALUE"""),"Courtyard")</f>
        <v>Courtyard</v>
      </c>
      <c r="T2943" s="8" t="str">
        <f ca="1">IFERROR(__xludf.DUMMYFUNCTION("""COMPUTED_VALUE"""),"Outside on School Property")</f>
        <v>Outside on School Property</v>
      </c>
      <c r="U2943" s="8" t="str">
        <f ca="1">IFERROR(__xludf.DUMMYFUNCTION("""COMPUTED_VALUE"""),"Yes")</f>
        <v>Yes</v>
      </c>
      <c r="V2943" s="8" t="str">
        <f ca="1">IFERROR(__xludf.DUMMYFUNCTION("""COMPUTED_VALUE"""),"Lunch")</f>
        <v>Lunch</v>
      </c>
      <c r="W2943" s="11">
        <f ca="1">IFERROR(__xludf.DUMMYFUNCTION("""COMPUTED_VALUE"""),0.493055555555555)</f>
        <v>0.49305555555555503</v>
      </c>
      <c r="X2943" s="8">
        <f ca="1">IFERROR(__xludf.DUMMYFUNCTION("""COMPUTED_VALUE"""),1)</f>
        <v>1</v>
      </c>
      <c r="Y2943" s="12" t="str">
        <f ca="1">IFERROR(__xludf.DUMMYFUNCTION("""COMPUTED_VALUE"""),"Gang shooting in outdoor courtyard")</f>
        <v>Gang shooting in outdoor courtyard</v>
      </c>
      <c r="Z2943" s="12" t="str">
        <f ca="1">IFERROR(__xludf.DUMMYFUNCTION("""COMPUTED_VALUE"""),"Four suspects approached a 16YOM student and shot him in the courtyard of the school during lunch. Gang related.")</f>
        <v>Four suspects approached a 16YOM student and shot him in the courtyard of the school during lunch. Gang related.</v>
      </c>
      <c r="AA2943" s="8" t="str">
        <f ca="1">IFERROR(__xludf.DUMMYFUNCTION("""COMPUTED_VALUE"""),"Escalation of Dispute")</f>
        <v>Escalation of Dispute</v>
      </c>
      <c r="AB2943" s="8"/>
      <c r="AC2943" s="8"/>
      <c r="AD2943" s="8" t="str">
        <f ca="1">IFERROR(__xludf.DUMMYFUNCTION("""COMPUTED_VALUE"""),"Victims Targeted")</f>
        <v>Victims Targeted</v>
      </c>
      <c r="AE2943" s="8" t="str">
        <f ca="1">IFERROR(__xludf.DUMMYFUNCTION("""COMPUTED_VALUE"""),"Yes")</f>
        <v>Yes</v>
      </c>
      <c r="AF2943" s="8" t="str">
        <f ca="1">IFERROR(__xludf.DUMMYFUNCTION("""COMPUTED_VALUE"""),"Group of 4 suspects involved")</f>
        <v>Group of 4 suspects involved</v>
      </c>
      <c r="AG2943" s="8" t="str">
        <f ca="1">IFERROR(__xludf.DUMMYFUNCTION("""COMPUTED_VALUE"""),"No")</f>
        <v>No</v>
      </c>
      <c r="AH2943" s="8" t="str">
        <f ca="1">IFERROR(__xludf.DUMMYFUNCTION("""COMPUTED_VALUE"""),"No")</f>
        <v>No</v>
      </c>
      <c r="AI2943" s="8" t="str">
        <f ca="1">IFERROR(__xludf.DUMMYFUNCTION("""COMPUTED_VALUE"""),"No")</f>
        <v>No</v>
      </c>
      <c r="AJ2943" s="8" t="str">
        <f ca="1">IFERROR(__xludf.DUMMYFUNCTION("""COMPUTED_VALUE"""),"No")</f>
        <v>No</v>
      </c>
      <c r="AK2943" s="8" t="str">
        <f ca="1">IFERROR(__xludf.DUMMYFUNCTION("""COMPUTED_VALUE"""),"No")</f>
        <v>No</v>
      </c>
      <c r="AL2943" s="8" t="str">
        <f ca="1">IFERROR(__xludf.DUMMYFUNCTION("""COMPUTED_VALUE"""),"Yes")</f>
        <v>Yes</v>
      </c>
      <c r="AM2943" s="8"/>
      <c r="AN2943" s="8"/>
      <c r="AO2943" s="8" t="str">
        <f ca="1">IFERROR(__xludf.DUMMYFUNCTION("""COMPUTED_VALUE"""),"No")</f>
        <v>No</v>
      </c>
      <c r="AP2943" s="8"/>
      <c r="AQ2943" s="8" t="str">
        <f ca="1">IFERROR(__xludf.DUMMYFUNCTION("""COMPUTED_VALUE"""),"Unknown")</f>
        <v>Unknown</v>
      </c>
      <c r="AR2943" s="8" t="str">
        <f ca="1">IFERROR(__xludf.DUMMYFUNCTION("""COMPUTED_VALUE"""),"NA")</f>
        <v>NA</v>
      </c>
      <c r="AS2943" s="8">
        <f ca="1">IFERROR(__xludf.DUMMYFUNCTION("""COMPUTED_VALUE"""),1)</f>
        <v>1</v>
      </c>
      <c r="AT2943" s="8"/>
      <c r="AU2943" s="8">
        <f ca="1">IFERROR(__xludf.DUMMYFUNCTION("""COMPUTED_VALUE"""),34.008182)</f>
        <v>34.008181999999998</v>
      </c>
      <c r="AV2943" s="8">
        <f ca="1">IFERROR(__xludf.DUMMYFUNCTION("""COMPUTED_VALUE"""),-118.292173)</f>
        <v>-118.29217300000001</v>
      </c>
      <c r="AW2943" s="8"/>
      <c r="AX2943" s="8">
        <f ca="1">IFERROR(__xludf.DUMMYFUNCTION("""COMPUTED_VALUE"""),90037)</f>
        <v>90037</v>
      </c>
    </row>
    <row r="2944" spans="1:50" ht="75" x14ac:dyDescent="0.2">
      <c r="A2944" s="8" t="str">
        <f ca="1">IFERROR(__xludf.DUMMYFUNCTION("""COMPUTED_VALUE"""),"19810210ARLIL")</f>
        <v>19810210ARLIL</v>
      </c>
      <c r="B2944" s="8">
        <f ca="1">IFERROR(__xludf.DUMMYFUNCTION("""COMPUTED_VALUE"""),2)</f>
        <v>2</v>
      </c>
      <c r="C2944" s="8">
        <f ca="1">IFERROR(__xludf.DUMMYFUNCTION("""COMPUTED_VALUE"""),10)</f>
        <v>10</v>
      </c>
      <c r="D2944" s="8">
        <f ca="1">IFERROR(__xludf.DUMMYFUNCTION("""COMPUTED_VALUE"""),1981)</f>
        <v>1981</v>
      </c>
      <c r="E2944" s="9">
        <f ca="1">IFERROR(__xludf.DUMMYFUNCTION("""COMPUTED_VALUE"""),29627)</f>
        <v>29627</v>
      </c>
      <c r="F2944" s="8" t="str">
        <f ca="1">IFERROR(__xludf.DUMMYFUNCTION("""COMPUTED_VALUE"""),"Little Rock Hall High School")</f>
        <v>Little Rock Hall High School</v>
      </c>
      <c r="G2944" s="8">
        <f ca="1">IFERROR(__xludf.DUMMYFUNCTION("""COMPUTED_VALUE"""),0)</f>
        <v>0</v>
      </c>
      <c r="H2944" s="8">
        <f ca="1">IFERROR(__xludf.DUMMYFUNCTION("""COMPUTED_VALUE"""),1)</f>
        <v>1</v>
      </c>
      <c r="I2944" s="8">
        <f ca="1">IFERROR(__xludf.DUMMYFUNCTION("""COMPUTED_VALUE"""),1)</f>
        <v>1</v>
      </c>
      <c r="J2944" s="8">
        <f ca="1">IFERROR(__xludf.DUMMYFUNCTION("""COMPUTED_VALUE"""),0)</f>
        <v>0</v>
      </c>
      <c r="K2944" s="8" t="str">
        <f ca="1">IFERROR(__xludf.DUMMYFUNCTION("""COMPUTED_VALUE"""),"https://www.newspapers.com/image/310189175/?terms=student%2Bshot  https://www.newspapers.com/image/307770309/?terms=student%2BshoT")</f>
        <v>https://www.newspapers.com/image/310189175/?terms=student%2Bshot  https://www.newspapers.com/image/307770309/?terms=student%2BshoT</v>
      </c>
      <c r="L2944" s="8"/>
      <c r="M2944" s="8"/>
      <c r="N2944" s="8">
        <f ca="1">IFERROR(__xludf.DUMMYFUNCTION("""COMPUTED_VALUE"""),3)</f>
        <v>3</v>
      </c>
      <c r="O2944" s="8" t="str">
        <f ca="1">IFERROR(__xludf.DUMMYFUNCTION("""COMPUTED_VALUE"""),"Winter")</f>
        <v>Winter</v>
      </c>
      <c r="P2944" s="8" t="str">
        <f ca="1">IFERROR(__xludf.DUMMYFUNCTION("""COMPUTED_VALUE"""),"Little Rock")</f>
        <v>Little Rock</v>
      </c>
      <c r="Q2944" s="8" t="str">
        <f ca="1">IFERROR(__xludf.DUMMYFUNCTION("""COMPUTED_VALUE"""),"AR")</f>
        <v>AR</v>
      </c>
      <c r="R2944" s="8" t="str">
        <f ca="1">IFERROR(__xludf.DUMMYFUNCTION("""COMPUTED_VALUE"""),"High")</f>
        <v>High</v>
      </c>
      <c r="S2944" s="8" t="str">
        <f ca="1">IFERROR(__xludf.DUMMYFUNCTION("""COMPUTED_VALUE"""),"Parking Lot")</f>
        <v>Parking Lot</v>
      </c>
      <c r="T2944" s="8" t="str">
        <f ca="1">IFERROR(__xludf.DUMMYFUNCTION("""COMPUTED_VALUE"""),"Outside on School Property")</f>
        <v>Outside on School Property</v>
      </c>
      <c r="U2944" s="8" t="str">
        <f ca="1">IFERROR(__xludf.DUMMYFUNCTION("""COMPUTED_VALUE"""),"Yes")</f>
        <v>Yes</v>
      </c>
      <c r="V2944" s="8" t="str">
        <f ca="1">IFERROR(__xludf.DUMMYFUNCTION("""COMPUTED_VALUE"""),"Before School")</f>
        <v>Before School</v>
      </c>
      <c r="W2944" s="8"/>
      <c r="X2944" s="8">
        <f ca="1">IFERROR(__xludf.DUMMYFUNCTION("""COMPUTED_VALUE"""),1)</f>
        <v>1</v>
      </c>
      <c r="Y2944" s="12" t="str">
        <f ca="1">IFERROR(__xludf.DUMMYFUNCTION("""COMPUTED_VALUE"""),"Shooter and victim get into argument on bus - shooter shoots victim once they arrive to school")</f>
        <v>Shooter and victim get into argument on bus - shooter shoots victim once they arrive to school</v>
      </c>
      <c r="Z2944" s="12" t="str">
        <f ca="1">IFERROR(__xludf.DUMMYFUNCTION("""COMPUTED_VALUE"""),"Shooter gets into argument with victim on school bus ride to school. Once at school , shooter shoots victim in back with .22 caliber pistol and flees scene - shooter later returns to school and gets ride home from parents.")</f>
        <v>Shooter gets into argument with victim on school bus ride to school. Once at school , shooter shoots victim in back with .22 caliber pistol and flees scene - shooter later returns to school and gets ride home from parents.</v>
      </c>
      <c r="AA2944" s="8" t="str">
        <f ca="1">IFERROR(__xludf.DUMMYFUNCTION("""COMPUTED_VALUE"""),"Escalation of Dispute")</f>
        <v>Escalation of Dispute</v>
      </c>
      <c r="AB2944" s="8"/>
      <c r="AC2944" s="8"/>
      <c r="AD2944" s="8" t="str">
        <f ca="1">IFERROR(__xludf.DUMMYFUNCTION("""COMPUTED_VALUE"""),"Victims Targeted")</f>
        <v>Victims Targeted</v>
      </c>
      <c r="AE2944" s="8" t="str">
        <f ca="1">IFERROR(__xludf.DUMMYFUNCTION("""COMPUTED_VALUE"""),"No")</f>
        <v>No</v>
      </c>
      <c r="AF2944" s="8"/>
      <c r="AG2944" s="8" t="str">
        <f ca="1">IFERROR(__xludf.DUMMYFUNCTION("""COMPUTED_VALUE"""),"No")</f>
        <v>No</v>
      </c>
      <c r="AH2944" s="8" t="str">
        <f ca="1">IFERROR(__xludf.DUMMYFUNCTION("""COMPUTED_VALUE"""),"No")</f>
        <v>No</v>
      </c>
      <c r="AI2944" s="8" t="str">
        <f ca="1">IFERROR(__xludf.DUMMYFUNCTION("""COMPUTED_VALUE"""),"No")</f>
        <v>No</v>
      </c>
      <c r="AJ2944" s="8" t="str">
        <f ca="1">IFERROR(__xludf.DUMMYFUNCTION("""COMPUTED_VALUE"""),"No")</f>
        <v>No</v>
      </c>
      <c r="AK2944" s="8"/>
      <c r="AL2944" s="8" t="str">
        <f ca="1">IFERROR(__xludf.DUMMYFUNCTION("""COMPUTED_VALUE"""),"No")</f>
        <v>No</v>
      </c>
      <c r="AM2944" s="8"/>
      <c r="AN2944" s="8"/>
      <c r="AO2944" s="8" t="str">
        <f ca="1">IFERROR(__xludf.DUMMYFUNCTION("""COMPUTED_VALUE"""),"No")</f>
        <v>No</v>
      </c>
      <c r="AP2944" s="8"/>
      <c r="AQ2944" s="8" t="str">
        <f ca="1">IFERROR(__xludf.DUMMYFUNCTION("""COMPUTED_VALUE"""),"Unknown")</f>
        <v>Unknown</v>
      </c>
      <c r="AR2944" s="8" t="str">
        <f ca="1">IFERROR(__xludf.DUMMYFUNCTION("""COMPUTED_VALUE"""),"NA")</f>
        <v>NA</v>
      </c>
      <c r="AS2944" s="8"/>
      <c r="AT2944" s="8"/>
      <c r="AU2944" s="8">
        <f ca="1">IFERROR(__xludf.DUMMYFUNCTION("""COMPUTED_VALUE"""),34.760345)</f>
        <v>34.760345000000001</v>
      </c>
      <c r="AV2944" s="8">
        <f ca="1">IFERROR(__xludf.DUMMYFUNCTION("""COMPUTED_VALUE"""),-92.347254)</f>
        <v>-92.347254000000007</v>
      </c>
      <c r="AW2944" s="8"/>
      <c r="AX2944" s="8">
        <f ca="1">IFERROR(__xludf.DUMMYFUNCTION("""COMPUTED_VALUE"""),72205)</f>
        <v>72205</v>
      </c>
    </row>
    <row r="2945" spans="1:50" ht="75" x14ac:dyDescent="0.2">
      <c r="A2945" s="8" t="str">
        <f ca="1">IFERROR(__xludf.DUMMYFUNCTION("""COMPUTED_VALUE"""),"19810122MDFRB")</f>
        <v>19810122MDFRB</v>
      </c>
      <c r="B2945" s="8">
        <f ca="1">IFERROR(__xludf.DUMMYFUNCTION("""COMPUTED_VALUE"""),1)</f>
        <v>1</v>
      </c>
      <c r="C2945" s="8">
        <f ca="1">IFERROR(__xludf.DUMMYFUNCTION("""COMPUTED_VALUE"""),22)</f>
        <v>22</v>
      </c>
      <c r="D2945" s="8">
        <f ca="1">IFERROR(__xludf.DUMMYFUNCTION("""COMPUTED_VALUE"""),1981)</f>
        <v>1981</v>
      </c>
      <c r="E2945" s="9">
        <f ca="1">IFERROR(__xludf.DUMMYFUNCTION("""COMPUTED_VALUE"""),29608)</f>
        <v>29608</v>
      </c>
      <c r="F2945" s="8" t="str">
        <f ca="1">IFERROR(__xludf.DUMMYFUNCTION("""COMPUTED_VALUE"""),"Francis M. Wood Senior High School")</f>
        <v>Francis M. Wood Senior High School</v>
      </c>
      <c r="G2945" s="8">
        <f ca="1">IFERROR(__xludf.DUMMYFUNCTION("""COMPUTED_VALUE"""),0)</f>
        <v>0</v>
      </c>
      <c r="H2945" s="8">
        <f ca="1">IFERROR(__xludf.DUMMYFUNCTION("""COMPUTED_VALUE"""),0)</f>
        <v>0</v>
      </c>
      <c r="I2945" s="8">
        <f ca="1">IFERROR(__xludf.DUMMYFUNCTION("""COMPUTED_VALUE"""),0)</f>
        <v>0</v>
      </c>
      <c r="J2945" s="8">
        <f ca="1">IFERROR(__xludf.DUMMYFUNCTION("""COMPUTED_VALUE"""),0)</f>
        <v>0</v>
      </c>
      <c r="K2945" s="10" t="str">
        <f ca="1">IFERROR(__xludf.DUMMYFUNCTION("""COMPUTED_VALUE"""),"https://www.newspapers.com/image/377747566/?terms=student%2Bshot")</f>
        <v>https://www.newspapers.com/image/377747566/?terms=student%2Bshot</v>
      </c>
      <c r="L2945" s="8"/>
      <c r="M2945" s="8"/>
      <c r="N2945" s="8">
        <f ca="1">IFERROR(__xludf.DUMMYFUNCTION("""COMPUTED_VALUE"""),2)</f>
        <v>2</v>
      </c>
      <c r="O2945" s="8" t="str">
        <f ca="1">IFERROR(__xludf.DUMMYFUNCTION("""COMPUTED_VALUE"""),"Winter")</f>
        <v>Winter</v>
      </c>
      <c r="P2945" s="8" t="str">
        <f ca="1">IFERROR(__xludf.DUMMYFUNCTION("""COMPUTED_VALUE"""),"Baltimore")</f>
        <v>Baltimore</v>
      </c>
      <c r="Q2945" s="8" t="str">
        <f ca="1">IFERROR(__xludf.DUMMYFUNCTION("""COMPUTED_VALUE"""),"MD")</f>
        <v>MD</v>
      </c>
      <c r="R2945" s="8" t="str">
        <f ca="1">IFERROR(__xludf.DUMMYFUNCTION("""COMPUTED_VALUE"""),"High")</f>
        <v>High</v>
      </c>
      <c r="S2945" s="8" t="str">
        <f ca="1">IFERROR(__xludf.DUMMYFUNCTION("""COMPUTED_VALUE"""),"Inside School Building")</f>
        <v>Inside School Building</v>
      </c>
      <c r="T2945" s="8" t="str">
        <f ca="1">IFERROR(__xludf.DUMMYFUNCTION("""COMPUTED_VALUE"""),"Inside School Building")</f>
        <v>Inside School Building</v>
      </c>
      <c r="U2945" s="8" t="str">
        <f ca="1">IFERROR(__xludf.DUMMYFUNCTION("""COMPUTED_VALUE"""),"Yes")</f>
        <v>Yes</v>
      </c>
      <c r="V2945" s="8" t="str">
        <f ca="1">IFERROR(__xludf.DUMMYFUNCTION("""COMPUTED_VALUE"""),"Afternoon Classes")</f>
        <v>Afternoon Classes</v>
      </c>
      <c r="W2945" s="11">
        <f ca="1">IFERROR(__xludf.DUMMYFUNCTION("""COMPUTED_VALUE"""),0.583333333333333)</f>
        <v>0.58333333333333304</v>
      </c>
      <c r="X2945" s="8">
        <f ca="1">IFERROR(__xludf.DUMMYFUNCTION("""COMPUTED_VALUE"""),1)</f>
        <v>1</v>
      </c>
      <c r="Y2945" s="12" t="str">
        <f ca="1">IFERROR(__xludf.DUMMYFUNCTION("""COMPUTED_VALUE"""),"Shooter and victim fought earlier, when challenged again, shooter pull gun and shot victim")</f>
        <v>Shooter and victim fought earlier, when challenged again, shooter pull gun and shot victim</v>
      </c>
      <c r="Z2945" s="12" t="str">
        <f ca="1">IFERROR(__xludf.DUMMYFUNCTION("""COMPUTED_VALUE"""),"17 year old shooter approached 20 year old victim and challenged him to a fight. Prior fight allegedly occurred last summer between victim and shooter's friend. During the fight, shooter pulled out handgun and shot at victim, but missed. Shooter fled the "&amp;"scene.")</f>
        <v>17 year old shooter approached 20 year old victim and challenged him to a fight. Prior fight allegedly occurred last summer between victim and shooter's friend. During the fight, shooter pulled out handgun and shot at victim, but missed. Shooter fled the scene.</v>
      </c>
      <c r="AA2945" s="8" t="str">
        <f ca="1">IFERROR(__xludf.DUMMYFUNCTION("""COMPUTED_VALUE"""),"Escalation of Dispute")</f>
        <v>Escalation of Dispute</v>
      </c>
      <c r="AB2945" s="8"/>
      <c r="AC2945" s="8"/>
      <c r="AD2945" s="8" t="str">
        <f ca="1">IFERROR(__xludf.DUMMYFUNCTION("""COMPUTED_VALUE"""),"Victims Targeted")</f>
        <v>Victims Targeted</v>
      </c>
      <c r="AE2945" s="8" t="str">
        <f ca="1">IFERROR(__xludf.DUMMYFUNCTION("""COMPUTED_VALUE"""),"No")</f>
        <v>No</v>
      </c>
      <c r="AF2945" s="8"/>
      <c r="AG2945" s="8" t="str">
        <f ca="1">IFERROR(__xludf.DUMMYFUNCTION("""COMPUTED_VALUE"""),"No")</f>
        <v>No</v>
      </c>
      <c r="AH2945" s="8" t="str">
        <f ca="1">IFERROR(__xludf.DUMMYFUNCTION("""COMPUTED_VALUE"""),"No")</f>
        <v>No</v>
      </c>
      <c r="AI2945" s="8" t="str">
        <f ca="1">IFERROR(__xludf.DUMMYFUNCTION("""COMPUTED_VALUE"""),"No")</f>
        <v>No</v>
      </c>
      <c r="AJ2945" s="8" t="str">
        <f ca="1">IFERROR(__xludf.DUMMYFUNCTION("""COMPUTED_VALUE"""),"No")</f>
        <v>No</v>
      </c>
      <c r="AK2945" s="8" t="str">
        <f ca="1">IFERROR(__xludf.DUMMYFUNCTION("""COMPUTED_VALUE"""),"No")</f>
        <v>No</v>
      </c>
      <c r="AL2945" s="8" t="str">
        <f ca="1">IFERROR(__xludf.DUMMYFUNCTION("""COMPUTED_VALUE"""),"No")</f>
        <v>No</v>
      </c>
      <c r="AM2945" s="8"/>
      <c r="AN2945" s="8"/>
      <c r="AO2945" s="8" t="str">
        <f ca="1">IFERROR(__xludf.DUMMYFUNCTION("""COMPUTED_VALUE"""),"No")</f>
        <v>No</v>
      </c>
      <c r="AP2945" s="8"/>
      <c r="AQ2945" s="8" t="str">
        <f ca="1">IFERROR(__xludf.DUMMYFUNCTION("""COMPUTED_VALUE"""),"Unknown")</f>
        <v>Unknown</v>
      </c>
      <c r="AR2945" s="8" t="str">
        <f ca="1">IFERROR(__xludf.DUMMYFUNCTION("""COMPUTED_VALUE"""),"NA")</f>
        <v>NA</v>
      </c>
      <c r="AS2945" s="8">
        <f ca="1">IFERROR(__xludf.DUMMYFUNCTION("""COMPUTED_VALUE"""),1)</f>
        <v>1</v>
      </c>
      <c r="AT2945" s="8"/>
      <c r="AU2945" s="8">
        <f ca="1">IFERROR(__xludf.DUMMYFUNCTION("""COMPUTED_VALUE"""),39.291819)</f>
        <v>39.291818999999997</v>
      </c>
      <c r="AV2945" s="8">
        <f ca="1">IFERROR(__xludf.DUMMYFUNCTION("""COMPUTED_VALUE"""),-76.634383)</f>
        <v>-76.634383</v>
      </c>
      <c r="AW2945" s="8"/>
      <c r="AX2945" s="8">
        <f ca="1">IFERROR(__xludf.DUMMYFUNCTION("""COMPUTED_VALUE"""),21223)</f>
        <v>21223</v>
      </c>
    </row>
    <row r="2946" spans="1:50" ht="75" x14ac:dyDescent="0.2">
      <c r="A2946" s="8" t="str">
        <f ca="1">IFERROR(__xludf.DUMMYFUNCTION("""COMPUTED_VALUE"""),"19810121OHWIB")</f>
        <v>19810121OHWIB</v>
      </c>
      <c r="B2946" s="8">
        <f ca="1">IFERROR(__xludf.DUMMYFUNCTION("""COMPUTED_VALUE"""),1)</f>
        <v>1</v>
      </c>
      <c r="C2946" s="8">
        <f ca="1">IFERROR(__xludf.DUMMYFUNCTION("""COMPUTED_VALUE"""),21)</f>
        <v>21</v>
      </c>
      <c r="D2946" s="8">
        <f ca="1">IFERROR(__xludf.DUMMYFUNCTION("""COMPUTED_VALUE"""),1981)</f>
        <v>1981</v>
      </c>
      <c r="E2946" s="9">
        <f ca="1">IFERROR(__xludf.DUMMYFUNCTION("""COMPUTED_VALUE"""),29607)</f>
        <v>29607</v>
      </c>
      <c r="F2946" s="8" t="str">
        <f ca="1">IFERROR(__xludf.DUMMYFUNCTION("""COMPUTED_VALUE"""),"Willetts Middle School")</f>
        <v>Willetts Middle School</v>
      </c>
      <c r="G2946" s="8">
        <f ca="1">IFERROR(__xludf.DUMMYFUNCTION("""COMPUTED_VALUE"""),0)</f>
        <v>0</v>
      </c>
      <c r="H2946" s="8">
        <f ca="1">IFERROR(__xludf.DUMMYFUNCTION("""COMPUTED_VALUE"""),1)</f>
        <v>1</v>
      </c>
      <c r="I2946" s="8">
        <f ca="1">IFERROR(__xludf.DUMMYFUNCTION("""COMPUTED_VALUE"""),1)</f>
        <v>1</v>
      </c>
      <c r="J2946" s="8">
        <f ca="1">IFERROR(__xludf.DUMMYFUNCTION("""COMPUTED_VALUE"""),0)</f>
        <v>0</v>
      </c>
      <c r="K2946" s="10" t="str">
        <f ca="1">IFERROR(__xludf.DUMMYFUNCTION("""COMPUTED_VALUE"""),"https://www.upi.com/Archives/1981/01/21/A-science-teacher-was-shot-and-wounded-Wednesday-by/6947348901200/")</f>
        <v>https://www.upi.com/Archives/1981/01/21/A-science-teacher-was-shot-and-wounded-Wednesday-by/6947348901200/</v>
      </c>
      <c r="L2946" s="8"/>
      <c r="M2946" s="8"/>
      <c r="N2946" s="8">
        <f ca="1">IFERROR(__xludf.DUMMYFUNCTION("""COMPUTED_VALUE"""),2)</f>
        <v>2</v>
      </c>
      <c r="O2946" s="8" t="str">
        <f ca="1">IFERROR(__xludf.DUMMYFUNCTION("""COMPUTED_VALUE"""),"Winter")</f>
        <v>Winter</v>
      </c>
      <c r="P2946" s="8" t="str">
        <f ca="1">IFERROR(__xludf.DUMMYFUNCTION("""COMPUTED_VALUE"""),"Brunswick")</f>
        <v>Brunswick</v>
      </c>
      <c r="Q2946" s="8" t="str">
        <f ca="1">IFERROR(__xludf.DUMMYFUNCTION("""COMPUTED_VALUE"""),"OH")</f>
        <v>OH</v>
      </c>
      <c r="R2946" s="8" t="str">
        <f ca="1">IFERROR(__xludf.DUMMYFUNCTION("""COMPUTED_VALUE"""),"Junior High")</f>
        <v>Junior High</v>
      </c>
      <c r="S2946" s="8" t="str">
        <f ca="1">IFERROR(__xludf.DUMMYFUNCTION("""COMPUTED_VALUE"""),"Classroom")</f>
        <v>Classroom</v>
      </c>
      <c r="T2946" s="8" t="str">
        <f ca="1">IFERROR(__xludf.DUMMYFUNCTION("""COMPUTED_VALUE"""),"Inside School Building")</f>
        <v>Inside School Building</v>
      </c>
      <c r="U2946" s="8" t="str">
        <f ca="1">IFERROR(__xludf.DUMMYFUNCTION("""COMPUTED_VALUE"""),"Yes")</f>
        <v>Yes</v>
      </c>
      <c r="V2946" s="8" t="str">
        <f ca="1">IFERROR(__xludf.DUMMYFUNCTION("""COMPUTED_VALUE"""),"Before School")</f>
        <v>Before School</v>
      </c>
      <c r="W2946" s="11">
        <f ca="1">IFERROR(__xludf.DUMMYFUNCTION("""COMPUTED_VALUE"""),0.395833333333333)</f>
        <v>0.39583333333333298</v>
      </c>
      <c r="X2946" s="8">
        <f ca="1">IFERROR(__xludf.DUMMYFUNCTION("""COMPUTED_VALUE"""),1)</f>
        <v>1</v>
      </c>
      <c r="Y2946" s="12" t="str">
        <f ca="1">IFERROR(__xludf.DUMMYFUNCTION("""COMPUTED_VALUE"""),"14-year old student walks into class before school and shoots teacher in hip")</f>
        <v>14-year old student walks into class before school and shoots teacher in hip</v>
      </c>
      <c r="Z2946" s="12" t="str">
        <f ca="1">IFERROR(__xludf.DUMMYFUNCTION("""COMPUTED_VALUE"""),"13 year old eighth grader shot science teacher in hip. Stated in police interview he didn't like teacher. No prior disciplinary problems. Other students present during shooting. No one else injured. Shooter had previously told other students he was going "&amp;"to shoot teacher.")</f>
        <v>13 year old eighth grader shot science teacher in hip. Stated in police interview he didn't like teacher. No prior disciplinary problems. Other students present during shooting. No one else injured. Shooter had previously told other students he was going to shoot teacher.</v>
      </c>
      <c r="AA2946" s="8" t="str">
        <f ca="1">IFERROR(__xludf.DUMMYFUNCTION("""COMPUTED_VALUE"""),"Anger Over Grade/Suspension/Discipline")</f>
        <v>Anger Over Grade/Suspension/Discipline</v>
      </c>
      <c r="AB2946" s="8"/>
      <c r="AC2946" s="8"/>
      <c r="AD2946" s="8" t="str">
        <f ca="1">IFERROR(__xludf.DUMMYFUNCTION("""COMPUTED_VALUE"""),"Victims Targeted")</f>
        <v>Victims Targeted</v>
      </c>
      <c r="AE2946" s="8" t="str">
        <f ca="1">IFERROR(__xludf.DUMMYFUNCTION("""COMPUTED_VALUE"""),"No")</f>
        <v>No</v>
      </c>
      <c r="AF2946" s="8"/>
      <c r="AG2946" s="8" t="str">
        <f ca="1">IFERROR(__xludf.DUMMYFUNCTION("""COMPUTED_VALUE"""),"No")</f>
        <v>No</v>
      </c>
      <c r="AH2946" s="8" t="str">
        <f ca="1">IFERROR(__xludf.DUMMYFUNCTION("""COMPUTED_VALUE"""),"No")</f>
        <v>No</v>
      </c>
      <c r="AI2946" s="8" t="str">
        <f ca="1">IFERROR(__xludf.DUMMYFUNCTION("""COMPUTED_VALUE"""),"No")</f>
        <v>No</v>
      </c>
      <c r="AJ2946" s="8"/>
      <c r="AK2946" s="8" t="str">
        <f ca="1">IFERROR(__xludf.DUMMYFUNCTION("""COMPUTED_VALUE"""),"No")</f>
        <v>No</v>
      </c>
      <c r="AL2946" s="8" t="str">
        <f ca="1">IFERROR(__xludf.DUMMYFUNCTION("""COMPUTED_VALUE"""),"No")</f>
        <v>No</v>
      </c>
      <c r="AM2946" s="8"/>
      <c r="AN2946" s="8"/>
      <c r="AO2946" s="8" t="str">
        <f ca="1">IFERROR(__xludf.DUMMYFUNCTION("""COMPUTED_VALUE"""),"No")</f>
        <v>No</v>
      </c>
      <c r="AP2946" s="8"/>
      <c r="AQ2946" s="8" t="str">
        <f ca="1">IFERROR(__xludf.DUMMYFUNCTION("""COMPUTED_VALUE"""),"Unknown")</f>
        <v>Unknown</v>
      </c>
      <c r="AR2946" s="8" t="str">
        <f ca="1">IFERROR(__xludf.DUMMYFUNCTION("""COMPUTED_VALUE"""),"NA")</f>
        <v>NA</v>
      </c>
      <c r="AS2946" s="8">
        <f ca="1">IFERROR(__xludf.DUMMYFUNCTION("""COMPUTED_VALUE"""),2)</f>
        <v>2</v>
      </c>
      <c r="AT2946" s="8"/>
      <c r="AU2946" s="8">
        <f ca="1">IFERROR(__xludf.DUMMYFUNCTION("""COMPUTED_VALUE"""),41.246879)</f>
        <v>41.246879</v>
      </c>
      <c r="AV2946" s="8">
        <f ca="1">IFERROR(__xludf.DUMMYFUNCTION("""COMPUTED_VALUE"""),-81.820708)</f>
        <v>-81.820707999999996</v>
      </c>
      <c r="AW2946" s="8"/>
      <c r="AX2946" s="8">
        <f ca="1">IFERROR(__xludf.DUMMYFUNCTION("""COMPUTED_VALUE"""),44212)</f>
        <v>44212</v>
      </c>
    </row>
    <row r="2947" spans="1:50" ht="75" x14ac:dyDescent="0.2">
      <c r="A2947" s="8" t="str">
        <f ca="1">IFERROR(__xludf.DUMMYFUNCTION("""COMPUTED_VALUE"""),"19801212OHLOL")</f>
        <v>19801212OHLOL</v>
      </c>
      <c r="B2947" s="8">
        <f ca="1">IFERROR(__xludf.DUMMYFUNCTION("""COMPUTED_VALUE"""),12)</f>
        <v>12</v>
      </c>
      <c r="C2947" s="8">
        <f ca="1">IFERROR(__xludf.DUMMYFUNCTION("""COMPUTED_VALUE"""),12)</f>
        <v>12</v>
      </c>
      <c r="D2947" s="8">
        <f ca="1">IFERROR(__xludf.DUMMYFUNCTION("""COMPUTED_VALUE"""),1980)</f>
        <v>1980</v>
      </c>
      <c r="E2947" s="9">
        <f ca="1">IFERROR(__xludf.DUMMYFUNCTION("""COMPUTED_VALUE"""),29567)</f>
        <v>29567</v>
      </c>
      <c r="F2947" s="8" t="str">
        <f ca="1">IFERROR(__xludf.DUMMYFUNCTION("""COMPUTED_VALUE"""),"Longfellow Junior HIgh School")</f>
        <v>Longfellow Junior HIgh School</v>
      </c>
      <c r="G2947" s="8">
        <f ca="1">IFERROR(__xludf.DUMMYFUNCTION("""COMPUTED_VALUE"""),0)</f>
        <v>0</v>
      </c>
      <c r="H2947" s="8">
        <f ca="1">IFERROR(__xludf.DUMMYFUNCTION("""COMPUTED_VALUE"""),1)</f>
        <v>1</v>
      </c>
      <c r="I2947" s="8">
        <f ca="1">IFERROR(__xludf.DUMMYFUNCTION("""COMPUTED_VALUE"""),1)</f>
        <v>1</v>
      </c>
      <c r="J2947" s="8">
        <f ca="1">IFERROR(__xludf.DUMMYFUNCTION("""COMPUTED_VALUE"""),0)</f>
        <v>0</v>
      </c>
      <c r="K2947" s="8" t="str">
        <f ca="1">IFERROR(__xludf.DUMMYFUNCTION("""COMPUTED_VALUE"""),"https://www.newspapers.com/image/437478830/?terms=FRANK%2BDARMFALL; https://www.newspapers.com/image/294254519/?terms=LONGFELLOW%2BJUNIOR%2BHIGH; https://www.newspapers.com/image/121062945/?terms=LONGFELLOW%2BJUNIOR%2BHIGH")</f>
        <v>https://www.newspapers.com/image/437478830/?terms=FRANK%2BDARMFALL; https://www.newspapers.com/image/294254519/?terms=LONGFELLOW%2BJUNIOR%2BHIGH; https://www.newspapers.com/image/121062945/?terms=LONGFELLOW%2BJUNIOR%2BHIGH</v>
      </c>
      <c r="L2947" s="8"/>
      <c r="M2947" s="8"/>
      <c r="N2947" s="8">
        <f ca="1">IFERROR(__xludf.DUMMYFUNCTION("""COMPUTED_VALUE"""),2)</f>
        <v>2</v>
      </c>
      <c r="O2947" s="8" t="str">
        <f ca="1">IFERROR(__xludf.DUMMYFUNCTION("""COMPUTED_VALUE"""),"Winter")</f>
        <v>Winter</v>
      </c>
      <c r="P2947" s="8" t="str">
        <f ca="1">IFERROR(__xludf.DUMMYFUNCTION("""COMPUTED_VALUE"""),"Lorain")</f>
        <v>Lorain</v>
      </c>
      <c r="Q2947" s="8" t="str">
        <f ca="1">IFERROR(__xludf.DUMMYFUNCTION("""COMPUTED_VALUE"""),"OH")</f>
        <v>OH</v>
      </c>
      <c r="R2947" s="8" t="str">
        <f ca="1">IFERROR(__xludf.DUMMYFUNCTION("""COMPUTED_VALUE"""),"Junior High")</f>
        <v>Junior High</v>
      </c>
      <c r="S2947" s="8" t="str">
        <f ca="1">IFERROR(__xludf.DUMMYFUNCTION("""COMPUTED_VALUE"""),"Classroom")</f>
        <v>Classroom</v>
      </c>
      <c r="T2947" s="8" t="str">
        <f ca="1">IFERROR(__xludf.DUMMYFUNCTION("""COMPUTED_VALUE"""),"Inside School Building")</f>
        <v>Inside School Building</v>
      </c>
      <c r="U2947" s="8" t="str">
        <f ca="1">IFERROR(__xludf.DUMMYFUNCTION("""COMPUTED_VALUE"""),"Yes")</f>
        <v>Yes</v>
      </c>
      <c r="V2947" s="8" t="str">
        <f ca="1">IFERROR(__xludf.DUMMYFUNCTION("""COMPUTED_VALUE"""),"School Start")</f>
        <v>School Start</v>
      </c>
      <c r="W2947" s="11">
        <f ca="1">IFERROR(__xludf.DUMMYFUNCTION("""COMPUTED_VALUE"""),0.375)</f>
        <v>0.375</v>
      </c>
      <c r="X2947" s="8">
        <f ca="1">IFERROR(__xludf.DUMMYFUNCTION("""COMPUTED_VALUE"""),30)</f>
        <v>30</v>
      </c>
      <c r="Y2947" s="12" t="str">
        <f ca="1">IFERROR(__xludf.DUMMYFUNCTION("""COMPUTED_VALUE"""),"Shot school counselor - held 30 hostages until surrendered to police")</f>
        <v>Shot school counselor - held 30 hostages until surrendered to police</v>
      </c>
      <c r="Z2947" s="12" t="str">
        <f ca="1">IFERROR(__xludf.DUMMYFUNCTION("""COMPUTED_VALUE"""),"Distraught boy brandished gun in study hall as school was beginning - shot counselor in stomach - shot into ceiling. held 30 students hostage for 30 minutes before surrendering to police.")</f>
        <v>Distraught boy brandished gun in study hall as school was beginning - shot counselor in stomach - shot into ceiling. held 30 students hostage for 30 minutes before surrendering to police.</v>
      </c>
      <c r="AA2947" s="8" t="str">
        <f ca="1">IFERROR(__xludf.DUMMYFUNCTION("""COMPUTED_VALUE"""),"Hostage/Standoff")</f>
        <v>Hostage/Standoff</v>
      </c>
      <c r="AB2947" s="8"/>
      <c r="AC2947" s="8"/>
      <c r="AD2947" s="8" t="str">
        <f ca="1">IFERROR(__xludf.DUMMYFUNCTION("""COMPUTED_VALUE"""),"Random Shooting")</f>
        <v>Random Shooting</v>
      </c>
      <c r="AE2947" s="8" t="str">
        <f ca="1">IFERROR(__xludf.DUMMYFUNCTION("""COMPUTED_VALUE"""),"No")</f>
        <v>No</v>
      </c>
      <c r="AF2947" s="8"/>
      <c r="AG2947" s="8" t="str">
        <f ca="1">IFERROR(__xludf.DUMMYFUNCTION("""COMPUTED_VALUE"""),"Yes")</f>
        <v>Yes</v>
      </c>
      <c r="AH2947" s="8" t="str">
        <f ca="1">IFERROR(__xludf.DUMMYFUNCTION("""COMPUTED_VALUE"""),"Yes")</f>
        <v>Yes</v>
      </c>
      <c r="AI2947" s="8" t="str">
        <f ca="1">IFERROR(__xludf.DUMMYFUNCTION("""COMPUTED_VALUE"""),"No")</f>
        <v>No</v>
      </c>
      <c r="AJ2947" s="8"/>
      <c r="AK2947" s="8" t="str">
        <f ca="1">IFERROR(__xludf.DUMMYFUNCTION("""COMPUTED_VALUE"""),"No")</f>
        <v>No</v>
      </c>
      <c r="AL2947" s="8" t="str">
        <f ca="1">IFERROR(__xludf.DUMMYFUNCTION("""COMPUTED_VALUE"""),"No")</f>
        <v>No</v>
      </c>
      <c r="AM2947" s="8" t="str">
        <f ca="1">IFERROR(__xludf.DUMMYFUNCTION("""COMPUTED_VALUE"""),"Yes")</f>
        <v>Yes</v>
      </c>
      <c r="AN2947" s="8" t="str">
        <f ca="1">IFERROR(__xludf.DUMMYFUNCTION("""COMPUTED_VALUE"""),"Single Room")</f>
        <v>Single Room</v>
      </c>
      <c r="AO2947" s="8"/>
      <c r="AP2947" s="8"/>
      <c r="AQ2947" s="8" t="str">
        <f ca="1">IFERROR(__xludf.DUMMYFUNCTION("""COMPUTED_VALUE"""),"Unknown")</f>
        <v>Unknown</v>
      </c>
      <c r="AR2947" s="8" t="str">
        <f ca="1">IFERROR(__xludf.DUMMYFUNCTION("""COMPUTED_VALUE"""),"NA")</f>
        <v>NA</v>
      </c>
      <c r="AS2947" s="8">
        <f ca="1">IFERROR(__xludf.DUMMYFUNCTION("""COMPUTED_VALUE"""),2)</f>
        <v>2</v>
      </c>
      <c r="AT2947" s="8"/>
      <c r="AU2947" s="8">
        <f ca="1">IFERROR(__xludf.DUMMYFUNCTION("""COMPUTED_VALUE"""),41.474024)</f>
        <v>41.474024</v>
      </c>
      <c r="AV2947" s="8">
        <f ca="1">IFERROR(__xludf.DUMMYFUNCTION("""COMPUTED_VALUE"""),-82.154812)</f>
        <v>-82.154812000000007</v>
      </c>
      <c r="AW2947" s="8"/>
      <c r="AX2947" s="8">
        <f ca="1">IFERROR(__xludf.DUMMYFUNCTION("""COMPUTED_VALUE"""),44052)</f>
        <v>44052</v>
      </c>
    </row>
    <row r="2948" spans="1:50" ht="120" x14ac:dyDescent="0.2">
      <c r="A2948" s="8" t="str">
        <f ca="1">IFERROR(__xludf.DUMMYFUNCTION("""COMPUTED_VALUE"""),"19801212ALPAB")</f>
        <v>19801212ALPAB</v>
      </c>
      <c r="B2948" s="8">
        <f ca="1">IFERROR(__xludf.DUMMYFUNCTION("""COMPUTED_VALUE"""),12)</f>
        <v>12</v>
      </c>
      <c r="C2948" s="8">
        <f ca="1">IFERROR(__xludf.DUMMYFUNCTION("""COMPUTED_VALUE"""),12)</f>
        <v>12</v>
      </c>
      <c r="D2948" s="8">
        <f ca="1">IFERROR(__xludf.DUMMYFUNCTION("""COMPUTED_VALUE"""),1980)</f>
        <v>1980</v>
      </c>
      <c r="E2948" s="9">
        <f ca="1">IFERROR(__xludf.DUMMYFUNCTION("""COMPUTED_VALUE"""),29567)</f>
        <v>29567</v>
      </c>
      <c r="F2948" s="8" t="str">
        <f ca="1">IFERROR(__xludf.DUMMYFUNCTION("""COMPUTED_VALUE"""),"Parker High School")</f>
        <v>Parker High School</v>
      </c>
      <c r="G2948" s="8">
        <f ca="1">IFERROR(__xludf.DUMMYFUNCTION("""COMPUTED_VALUE"""),0)</f>
        <v>0</v>
      </c>
      <c r="H2948" s="8">
        <f ca="1">IFERROR(__xludf.DUMMYFUNCTION("""COMPUTED_VALUE"""),1)</f>
        <v>1</v>
      </c>
      <c r="I2948" s="8">
        <f ca="1">IFERROR(__xludf.DUMMYFUNCTION("""COMPUTED_VALUE"""),1)</f>
        <v>1</v>
      </c>
      <c r="J2948" s="8">
        <f ca="1">IFERROR(__xludf.DUMMYFUNCTION("""COMPUTED_VALUE"""),0)</f>
        <v>0</v>
      </c>
      <c r="K2948" s="10" t="str">
        <f ca="1">IFERROR(__xludf.DUMMYFUNCTION("""COMPUTED_VALUE"""),"https://www.newspapers.com/image/262419526/?terms=Parker%2BHigh%2BSchool%2Bshooting%2Bbirmingham")</f>
        <v>https://www.newspapers.com/image/262419526/?terms=Parker%2BHigh%2BSchool%2Bshooting%2Bbirmingham</v>
      </c>
      <c r="L2948" s="8"/>
      <c r="M2948" s="8"/>
      <c r="N2948" s="8">
        <f ca="1">IFERROR(__xludf.DUMMYFUNCTION("""COMPUTED_VALUE"""),2)</f>
        <v>2</v>
      </c>
      <c r="O2948" s="8" t="str">
        <f ca="1">IFERROR(__xludf.DUMMYFUNCTION("""COMPUTED_VALUE"""),"Winter")</f>
        <v>Winter</v>
      </c>
      <c r="P2948" s="8" t="str">
        <f ca="1">IFERROR(__xludf.DUMMYFUNCTION("""COMPUTED_VALUE"""),"Birmingham")</f>
        <v>Birmingham</v>
      </c>
      <c r="Q2948" s="8" t="str">
        <f ca="1">IFERROR(__xludf.DUMMYFUNCTION("""COMPUTED_VALUE"""),"AL")</f>
        <v>AL</v>
      </c>
      <c r="R2948" s="8" t="str">
        <f ca="1">IFERROR(__xludf.DUMMYFUNCTION("""COMPUTED_VALUE"""),"High")</f>
        <v>High</v>
      </c>
      <c r="S2948" s="8" t="str">
        <f ca="1">IFERROR(__xludf.DUMMYFUNCTION("""COMPUTED_VALUE"""),"Hallway")</f>
        <v>Hallway</v>
      </c>
      <c r="T2948" s="8" t="str">
        <f ca="1">IFERROR(__xludf.DUMMYFUNCTION("""COMPUTED_VALUE"""),"Inside School Building")</f>
        <v>Inside School Building</v>
      </c>
      <c r="U2948" s="8" t="str">
        <f ca="1">IFERROR(__xludf.DUMMYFUNCTION("""COMPUTED_VALUE"""),"Yes")</f>
        <v>Yes</v>
      </c>
      <c r="V2948" s="8" t="str">
        <f ca="1">IFERROR(__xludf.DUMMYFUNCTION("""COMPUTED_VALUE"""),"Dismissal")</f>
        <v>Dismissal</v>
      </c>
      <c r="W2948" s="11">
        <f ca="1">IFERROR(__xludf.DUMMYFUNCTION("""COMPUTED_VALUE"""),0.625)</f>
        <v>0.625</v>
      </c>
      <c r="X2948" s="8">
        <f ca="1">IFERROR(__xludf.DUMMYFUNCTION("""COMPUTED_VALUE"""),1)</f>
        <v>1</v>
      </c>
      <c r="Y2948" s="12" t="str">
        <f ca="1">IFERROR(__xludf.DUMMYFUNCTION("""COMPUTED_VALUE"""),"Coach was escorting 4 non-students out of school, one pulled a gun and fired striking a female student then the group fled")</f>
        <v>Coach was escorting 4 non-students out of school, one pulled a gun and fired striking a female student then the group fled</v>
      </c>
      <c r="Z2948" s="12" t="str">
        <f ca="1">IFERROR(__xludf.DUMMYFUNCTION("""COMPUTED_VALUE"""),"Coach was escorting a group of non-students out of the school. One pulled a gun and fired at him but missed striking a female student. Group fled and shooter was arrested 7 hours later.")</f>
        <v>Coach was escorting a group of non-students out of the school. One pulled a gun and fired at him but missed striking a female student. Group fled and shooter was arrested 7 hours later.</v>
      </c>
      <c r="AA2948" s="8" t="str">
        <f ca="1">IFERROR(__xludf.DUMMYFUNCTION("""COMPUTED_VALUE"""),"Illegal Activity")</f>
        <v>Illegal Activity</v>
      </c>
      <c r="AB2948" s="8"/>
      <c r="AC2948" s="8"/>
      <c r="AD2948" s="8" t="str">
        <f ca="1">IFERROR(__xludf.DUMMYFUNCTION("""COMPUTED_VALUE"""),"Both")</f>
        <v>Both</v>
      </c>
      <c r="AE2948" s="8" t="str">
        <f ca="1">IFERROR(__xludf.DUMMYFUNCTION("""COMPUTED_VALUE"""),"Yes")</f>
        <v>Yes</v>
      </c>
      <c r="AF2948" s="8" t="str">
        <f ca="1">IFERROR(__xludf.DUMMYFUNCTION("""COMPUTED_VALUE"""),"Group of 4 non-students")</f>
        <v>Group of 4 non-students</v>
      </c>
      <c r="AG2948" s="8" t="str">
        <f ca="1">IFERROR(__xludf.DUMMYFUNCTION("""COMPUTED_VALUE"""),"No")</f>
        <v>No</v>
      </c>
      <c r="AH2948" s="8" t="str">
        <f ca="1">IFERROR(__xludf.DUMMYFUNCTION("""COMPUTED_VALUE"""),"No")</f>
        <v>No</v>
      </c>
      <c r="AI2948" s="8" t="str">
        <f ca="1">IFERROR(__xludf.DUMMYFUNCTION("""COMPUTED_VALUE"""),"No")</f>
        <v>No</v>
      </c>
      <c r="AJ2948" s="8" t="str">
        <f ca="1">IFERROR(__xludf.DUMMYFUNCTION("""COMPUTED_VALUE"""),"No")</f>
        <v>No</v>
      </c>
      <c r="AK2948" s="8" t="str">
        <f ca="1">IFERROR(__xludf.DUMMYFUNCTION("""COMPUTED_VALUE"""),"No")</f>
        <v>No</v>
      </c>
      <c r="AL2948" s="8"/>
      <c r="AM2948" s="8"/>
      <c r="AN2948" s="8"/>
      <c r="AO2948" s="8" t="str">
        <f ca="1">IFERROR(__xludf.DUMMYFUNCTION("""COMPUTED_VALUE"""),"No")</f>
        <v>No</v>
      </c>
      <c r="AP2948" s="8"/>
      <c r="AQ2948" s="8" t="str">
        <f ca="1">IFERROR(__xludf.DUMMYFUNCTION("""COMPUTED_VALUE"""),"Unknown")</f>
        <v>Unknown</v>
      </c>
      <c r="AR2948" s="8" t="str">
        <f ca="1">IFERROR(__xludf.DUMMYFUNCTION("""COMPUTED_VALUE"""),"NA")</f>
        <v>NA</v>
      </c>
      <c r="AS2948" s="8">
        <f ca="1">IFERROR(__xludf.DUMMYFUNCTION("""COMPUTED_VALUE"""),1)</f>
        <v>1</v>
      </c>
      <c r="AT2948" s="8"/>
      <c r="AU2948" s="8">
        <f ca="1">IFERROR(__xludf.DUMMYFUNCTION("""COMPUTED_VALUE"""),33.515086)</f>
        <v>33.515085999999997</v>
      </c>
      <c r="AV2948" s="8">
        <f ca="1">IFERROR(__xludf.DUMMYFUNCTION("""COMPUTED_VALUE"""),-86.829445)</f>
        <v>-86.829445000000007</v>
      </c>
      <c r="AW2948" s="8"/>
      <c r="AX2948" s="8">
        <f ca="1">IFERROR(__xludf.DUMMYFUNCTION("""COMPUTED_VALUE"""),35204)</f>
        <v>35204</v>
      </c>
    </row>
    <row r="2949" spans="1:50" ht="45" x14ac:dyDescent="0.2">
      <c r="A2949" s="8" t="str">
        <f ca="1">IFERROR(__xludf.DUMMYFUNCTION("""COMPUTED_VALUE"""),"19801117TXEAF")</f>
        <v>19801117TXEAF</v>
      </c>
      <c r="B2949" s="8">
        <f ca="1">IFERROR(__xludf.DUMMYFUNCTION("""COMPUTED_VALUE"""),11)</f>
        <v>11</v>
      </c>
      <c r="C2949" s="8">
        <f ca="1">IFERROR(__xludf.DUMMYFUNCTION("""COMPUTED_VALUE"""),17)</f>
        <v>17</v>
      </c>
      <c r="D2949" s="8">
        <f ca="1">IFERROR(__xludf.DUMMYFUNCTION("""COMPUTED_VALUE"""),1980)</f>
        <v>1980</v>
      </c>
      <c r="E2949" s="9">
        <f ca="1">IFERROR(__xludf.DUMMYFUNCTION("""COMPUTED_VALUE"""),29542)</f>
        <v>29542</v>
      </c>
      <c r="F2949" s="8" t="str">
        <f ca="1">IFERROR(__xludf.DUMMYFUNCTION("""COMPUTED_VALUE"""),"Eastern Hills High School")</f>
        <v>Eastern Hills High School</v>
      </c>
      <c r="G2949" s="8">
        <f ca="1">IFERROR(__xludf.DUMMYFUNCTION("""COMPUTED_VALUE"""),0)</f>
        <v>0</v>
      </c>
      <c r="H2949" s="8">
        <f ca="1">IFERROR(__xludf.DUMMYFUNCTION("""COMPUTED_VALUE"""),1)</f>
        <v>1</v>
      </c>
      <c r="I2949" s="8">
        <f ca="1">IFERROR(__xludf.DUMMYFUNCTION("""COMPUTED_VALUE"""),1)</f>
        <v>1</v>
      </c>
      <c r="J2949" s="8">
        <f ca="1">IFERROR(__xludf.DUMMYFUNCTION("""COMPUTED_VALUE"""),0)</f>
        <v>0</v>
      </c>
      <c r="K2949" s="8" t="str">
        <f ca="1">IFERROR(__xludf.DUMMYFUNCTION("""COMPUTED_VALUE"""),"https://www.newspapers.com/image/223005640/?terms=STUDENT%2BSHOT; https://www.newspapers.com/image/216344029/?terms=LEONARD%2BHUNTER")</f>
        <v>https://www.newspapers.com/image/223005640/?terms=STUDENT%2BSHOT; https://www.newspapers.com/image/216344029/?terms=LEONARD%2BHUNTER</v>
      </c>
      <c r="L2949" s="8"/>
      <c r="M2949" s="8"/>
      <c r="N2949" s="8">
        <f ca="1">IFERROR(__xludf.DUMMYFUNCTION("""COMPUTED_VALUE"""),2)</f>
        <v>2</v>
      </c>
      <c r="O2949" s="8" t="str">
        <f ca="1">IFERROR(__xludf.DUMMYFUNCTION("""COMPUTED_VALUE"""),"Fall")</f>
        <v>Fall</v>
      </c>
      <c r="P2949" s="8" t="str">
        <f ca="1">IFERROR(__xludf.DUMMYFUNCTION("""COMPUTED_VALUE"""),"Fort Worth")</f>
        <v>Fort Worth</v>
      </c>
      <c r="Q2949" s="8" t="str">
        <f ca="1">IFERROR(__xludf.DUMMYFUNCTION("""COMPUTED_VALUE"""),"TX")</f>
        <v>TX</v>
      </c>
      <c r="R2949" s="8" t="str">
        <f ca="1">IFERROR(__xludf.DUMMYFUNCTION("""COMPUTED_VALUE"""),"High")</f>
        <v>High</v>
      </c>
      <c r="S2949" s="8" t="str">
        <f ca="1">IFERROR(__xludf.DUMMYFUNCTION("""COMPUTED_VALUE"""),"Parking Lot")</f>
        <v>Parking Lot</v>
      </c>
      <c r="T2949" s="8" t="str">
        <f ca="1">IFERROR(__xludf.DUMMYFUNCTION("""COMPUTED_VALUE"""),"Outside on School Property")</f>
        <v>Outside on School Property</v>
      </c>
      <c r="U2949" s="8" t="str">
        <f ca="1">IFERROR(__xludf.DUMMYFUNCTION("""COMPUTED_VALUE"""),"Yes")</f>
        <v>Yes</v>
      </c>
      <c r="V2949" s="8" t="str">
        <f ca="1">IFERROR(__xludf.DUMMYFUNCTION("""COMPUTED_VALUE"""),"Lunch")</f>
        <v>Lunch</v>
      </c>
      <c r="W2949" s="11">
        <f ca="1">IFERROR(__xludf.DUMMYFUNCTION("""COMPUTED_VALUE"""),0.5)</f>
        <v>0.5</v>
      </c>
      <c r="X2949" s="8">
        <f ca="1">IFERROR(__xludf.DUMMYFUNCTION("""COMPUTED_VALUE"""),1)</f>
        <v>1</v>
      </c>
      <c r="Y2949" s="12" t="str">
        <f ca="1">IFERROR(__xludf.DUMMYFUNCTION("""COMPUTED_VALUE"""),"Occurred in school parking lot - on going argument")</f>
        <v>Occurred in school parking lot - on going argument</v>
      </c>
      <c r="Z2949" s="12" t="str">
        <f ca="1">IFERROR(__xludf.DUMMYFUNCTION("""COMPUTED_VALUE"""),"17YOM student was shot in the parking lot by a 16YOM student during an argument. The two students had multiple conflicts in the past.")</f>
        <v>17YOM student was shot in the parking lot by a 16YOM student during an argument. The two students had multiple conflicts in the past.</v>
      </c>
      <c r="AA2949" s="8" t="str">
        <f ca="1">IFERROR(__xludf.DUMMYFUNCTION("""COMPUTED_VALUE"""),"Escalation of Dispute")</f>
        <v>Escalation of Dispute</v>
      </c>
      <c r="AB2949" s="8"/>
      <c r="AC2949" s="8"/>
      <c r="AD2949" s="8" t="str">
        <f ca="1">IFERROR(__xludf.DUMMYFUNCTION("""COMPUTED_VALUE"""),"Victims Targeted")</f>
        <v>Victims Targeted</v>
      </c>
      <c r="AE2949" s="8" t="str">
        <f ca="1">IFERROR(__xludf.DUMMYFUNCTION("""COMPUTED_VALUE"""),"No")</f>
        <v>No</v>
      </c>
      <c r="AF2949" s="8"/>
      <c r="AG2949" s="8" t="str">
        <f ca="1">IFERROR(__xludf.DUMMYFUNCTION("""COMPUTED_VALUE"""),"No")</f>
        <v>No</v>
      </c>
      <c r="AH2949" s="8" t="str">
        <f ca="1">IFERROR(__xludf.DUMMYFUNCTION("""COMPUTED_VALUE"""),"No")</f>
        <v>No</v>
      </c>
      <c r="AI2949" s="8" t="str">
        <f ca="1">IFERROR(__xludf.DUMMYFUNCTION("""COMPUTED_VALUE"""),"No")</f>
        <v>No</v>
      </c>
      <c r="AJ2949" s="8"/>
      <c r="AK2949" s="8" t="str">
        <f ca="1">IFERROR(__xludf.DUMMYFUNCTION("""COMPUTED_VALUE"""),"No")</f>
        <v>No</v>
      </c>
      <c r="AL2949" s="8" t="str">
        <f ca="1">IFERROR(__xludf.DUMMYFUNCTION("""COMPUTED_VALUE"""),"No")</f>
        <v>No</v>
      </c>
      <c r="AM2949" s="8"/>
      <c r="AN2949" s="8"/>
      <c r="AO2949" s="8" t="str">
        <f ca="1">IFERROR(__xludf.DUMMYFUNCTION("""COMPUTED_VALUE"""),"No")</f>
        <v>No</v>
      </c>
      <c r="AP2949" s="8"/>
      <c r="AQ2949" s="8" t="str">
        <f ca="1">IFERROR(__xludf.DUMMYFUNCTION("""COMPUTED_VALUE"""),"Unknown")</f>
        <v>Unknown</v>
      </c>
      <c r="AR2949" s="8" t="str">
        <f ca="1">IFERROR(__xludf.DUMMYFUNCTION("""COMPUTED_VALUE"""),"NA")</f>
        <v>NA</v>
      </c>
      <c r="AS2949" s="8">
        <f ca="1">IFERROR(__xludf.DUMMYFUNCTION("""COMPUTED_VALUE"""),1)</f>
        <v>1</v>
      </c>
      <c r="AT2949" s="8"/>
      <c r="AU2949" s="8">
        <f ca="1">IFERROR(__xludf.DUMMYFUNCTION("""COMPUTED_VALUE"""),32.747942)</f>
        <v>32.747942000000002</v>
      </c>
      <c r="AV2949" s="8">
        <f ca="1">IFERROR(__xludf.DUMMYFUNCTION("""COMPUTED_VALUE"""),-97.232843)</f>
        <v>-97.232843000000003</v>
      </c>
      <c r="AW2949" s="8"/>
      <c r="AX2949" s="8">
        <f ca="1">IFERROR(__xludf.DUMMYFUNCTION("""COMPUTED_VALUE"""),76112)</f>
        <v>76112</v>
      </c>
    </row>
    <row r="2950" spans="1:50" ht="90" x14ac:dyDescent="0.2">
      <c r="A2950" s="8" t="str">
        <f ca="1">IFERROR(__xludf.DUMMYFUNCTION("""COMPUTED_VALUE"""),"19801031ALHUH")</f>
        <v>19801031ALHUH</v>
      </c>
      <c r="B2950" s="8">
        <f ca="1">IFERROR(__xludf.DUMMYFUNCTION("""COMPUTED_VALUE"""),10)</f>
        <v>10</v>
      </c>
      <c r="C2950" s="8">
        <f ca="1">IFERROR(__xludf.DUMMYFUNCTION("""COMPUTED_VALUE"""),31)</f>
        <v>31</v>
      </c>
      <c r="D2950" s="8">
        <f ca="1">IFERROR(__xludf.DUMMYFUNCTION("""COMPUTED_VALUE"""),1980)</f>
        <v>1980</v>
      </c>
      <c r="E2950" s="9">
        <f ca="1">IFERROR(__xludf.DUMMYFUNCTION("""COMPUTED_VALUE"""),29525)</f>
        <v>29525</v>
      </c>
      <c r="F2950" s="8" t="str">
        <f ca="1">IFERROR(__xludf.DUMMYFUNCTION("""COMPUTED_VALUE"""),"Hueytown High School")</f>
        <v>Hueytown High School</v>
      </c>
      <c r="G2950" s="8">
        <f ca="1">IFERROR(__xludf.DUMMYFUNCTION("""COMPUTED_VALUE"""),0)</f>
        <v>0</v>
      </c>
      <c r="H2950" s="8">
        <f ca="1">IFERROR(__xludf.DUMMYFUNCTION("""COMPUTED_VALUE"""),1)</f>
        <v>1</v>
      </c>
      <c r="I2950" s="8">
        <f ca="1">IFERROR(__xludf.DUMMYFUNCTION("""COMPUTED_VALUE"""),1)</f>
        <v>1</v>
      </c>
      <c r="J2950" s="8">
        <f ca="1">IFERROR(__xludf.DUMMYFUNCTION("""COMPUTED_VALUE"""),1)</f>
        <v>1</v>
      </c>
      <c r="K2950" s="10" t="str">
        <f ca="1">IFERROR(__xludf.DUMMYFUNCTION("""COMPUTED_VALUE"""),"https://www.newspapers.com/newspage/106527312/")</f>
        <v>https://www.newspapers.com/newspage/106527312/</v>
      </c>
      <c r="L2950" s="8"/>
      <c r="M2950" s="8"/>
      <c r="N2950" s="8">
        <f ca="1">IFERROR(__xludf.DUMMYFUNCTION("""COMPUTED_VALUE"""),2)</f>
        <v>2</v>
      </c>
      <c r="O2950" s="8" t="str">
        <f ca="1">IFERROR(__xludf.DUMMYFUNCTION("""COMPUTED_VALUE"""),"Fall")</f>
        <v>Fall</v>
      </c>
      <c r="P2950" s="8" t="str">
        <f ca="1">IFERROR(__xludf.DUMMYFUNCTION("""COMPUTED_VALUE"""),"Hueytown")</f>
        <v>Hueytown</v>
      </c>
      <c r="Q2950" s="8" t="str">
        <f ca="1">IFERROR(__xludf.DUMMYFUNCTION("""COMPUTED_VALUE"""),"AL")</f>
        <v>AL</v>
      </c>
      <c r="R2950" s="8" t="str">
        <f ca="1">IFERROR(__xludf.DUMMYFUNCTION("""COMPUTED_VALUE"""),"High")</f>
        <v>High</v>
      </c>
      <c r="S2950" s="8" t="str">
        <f ca="1">IFERROR(__xludf.DUMMYFUNCTION("""COMPUTED_VALUE"""),"Classroom")</f>
        <v>Classroom</v>
      </c>
      <c r="T2950" s="8" t="str">
        <f ca="1">IFERROR(__xludf.DUMMYFUNCTION("""COMPUTED_VALUE"""),"Inside School Building")</f>
        <v>Inside School Building</v>
      </c>
      <c r="U2950" s="8" t="str">
        <f ca="1">IFERROR(__xludf.DUMMYFUNCTION("""COMPUTED_VALUE"""),"Yes")</f>
        <v>Yes</v>
      </c>
      <c r="V2950" s="8"/>
      <c r="W2950" s="8"/>
      <c r="X2950" s="8">
        <f ca="1">IFERROR(__xludf.DUMMYFUNCTION("""COMPUTED_VALUE"""),1)</f>
        <v>1</v>
      </c>
      <c r="Y2950" s="12" t="str">
        <f ca="1">IFERROR(__xludf.DUMMYFUNCTION("""COMPUTED_VALUE"""),"Shooter pulled out a .22 caliber pistol and wounded a fellow student in the art room then shot himself")</f>
        <v>Shooter pulled out a .22 caliber pistol and wounded a fellow student in the art room then shot himself</v>
      </c>
      <c r="Z2950" s="12" t="str">
        <f ca="1">IFERROR(__xludf.DUMMYFUNCTION("""COMPUTED_VALUE"""),"Argument over self portrait in art class. Shooter shot victim in face then ran out to hallway and shot himself.")</f>
        <v>Argument over self portrait in art class. Shooter shot victim in face then ran out to hallway and shot himself.</v>
      </c>
      <c r="AA2950" s="8" t="str">
        <f ca="1">IFERROR(__xludf.DUMMYFUNCTION("""COMPUTED_VALUE"""),"Escalation of Dispute")</f>
        <v>Escalation of Dispute</v>
      </c>
      <c r="AB2950" s="8"/>
      <c r="AC2950" s="8"/>
      <c r="AD2950" s="8" t="str">
        <f ca="1">IFERROR(__xludf.DUMMYFUNCTION("""COMPUTED_VALUE"""),"Victims Targeted")</f>
        <v>Victims Targeted</v>
      </c>
      <c r="AE2950" s="8" t="str">
        <f ca="1">IFERROR(__xludf.DUMMYFUNCTION("""COMPUTED_VALUE"""),"No")</f>
        <v>No</v>
      </c>
      <c r="AF2950" s="8"/>
      <c r="AG2950" s="8" t="str">
        <f ca="1">IFERROR(__xludf.DUMMYFUNCTION("""COMPUTED_VALUE"""),"No")</f>
        <v>No</v>
      </c>
      <c r="AH2950" s="8" t="str">
        <f ca="1">IFERROR(__xludf.DUMMYFUNCTION("""COMPUTED_VALUE"""),"No")</f>
        <v>No</v>
      </c>
      <c r="AI2950" s="8" t="str">
        <f ca="1">IFERROR(__xludf.DUMMYFUNCTION("""COMPUTED_VALUE"""),"No")</f>
        <v>No</v>
      </c>
      <c r="AJ2950" s="8"/>
      <c r="AK2950" s="8" t="str">
        <f ca="1">IFERROR(__xludf.DUMMYFUNCTION("""COMPUTED_VALUE"""),"No")</f>
        <v>No</v>
      </c>
      <c r="AL2950" s="8" t="str">
        <f ca="1">IFERROR(__xludf.DUMMYFUNCTION("""COMPUTED_VALUE"""),"No")</f>
        <v>No</v>
      </c>
      <c r="AM2950" s="8"/>
      <c r="AN2950" s="8"/>
      <c r="AO2950" s="8" t="str">
        <f ca="1">IFERROR(__xludf.DUMMYFUNCTION("""COMPUTED_VALUE"""),"No")</f>
        <v>No</v>
      </c>
      <c r="AP2950" s="8"/>
      <c r="AQ2950" s="8" t="str">
        <f ca="1">IFERROR(__xludf.DUMMYFUNCTION("""COMPUTED_VALUE"""),"Unknown")</f>
        <v>Unknown</v>
      </c>
      <c r="AR2950" s="8" t="str">
        <f ca="1">IFERROR(__xludf.DUMMYFUNCTION("""COMPUTED_VALUE"""),"NA")</f>
        <v>NA</v>
      </c>
      <c r="AS2950" s="8">
        <f ca="1">IFERROR(__xludf.DUMMYFUNCTION("""COMPUTED_VALUE"""),2)</f>
        <v>2</v>
      </c>
      <c r="AT2950" s="8"/>
      <c r="AU2950" s="8">
        <f ca="1">IFERROR(__xludf.DUMMYFUNCTION("""COMPUTED_VALUE"""),33.430439)</f>
        <v>33.430439</v>
      </c>
      <c r="AV2950" s="8">
        <f ca="1">IFERROR(__xludf.DUMMYFUNCTION("""COMPUTED_VALUE"""),-87.033414)</f>
        <v>-87.033413999999993</v>
      </c>
      <c r="AW2950" s="8"/>
      <c r="AX2950" s="8">
        <f ca="1">IFERROR(__xludf.DUMMYFUNCTION("""COMPUTED_VALUE"""),35023)</f>
        <v>35023</v>
      </c>
    </row>
    <row r="2951" spans="1:50" ht="75" x14ac:dyDescent="0.2">
      <c r="A2951" s="8" t="str">
        <f ca="1">IFERROR(__xludf.DUMMYFUNCTION("""COMPUTED_VALUE"""),"19801013ALCET")</f>
        <v>19801013ALCET</v>
      </c>
      <c r="B2951" s="8">
        <f ca="1">IFERROR(__xludf.DUMMYFUNCTION("""COMPUTED_VALUE"""),10)</f>
        <v>10</v>
      </c>
      <c r="C2951" s="8">
        <f ca="1">IFERROR(__xludf.DUMMYFUNCTION("""COMPUTED_VALUE"""),13)</f>
        <v>13</v>
      </c>
      <c r="D2951" s="8">
        <f ca="1">IFERROR(__xludf.DUMMYFUNCTION("""COMPUTED_VALUE"""),1980)</f>
        <v>1980</v>
      </c>
      <c r="E2951" s="9">
        <f ca="1">IFERROR(__xludf.DUMMYFUNCTION("""COMPUTED_VALUE"""),29507)</f>
        <v>29507</v>
      </c>
      <c r="F2951" s="8" t="str">
        <f ca="1">IFERROR(__xludf.DUMMYFUNCTION("""COMPUTED_VALUE"""),"Central High School")</f>
        <v>Central High School</v>
      </c>
      <c r="G2951" s="8">
        <f ca="1">IFERROR(__xludf.DUMMYFUNCTION("""COMPUTED_VALUE"""),0)</f>
        <v>0</v>
      </c>
      <c r="H2951" s="8">
        <f ca="1">IFERROR(__xludf.DUMMYFUNCTION("""COMPUTED_VALUE"""),1)</f>
        <v>1</v>
      </c>
      <c r="I2951" s="8">
        <f ca="1">IFERROR(__xludf.DUMMYFUNCTION("""COMPUTED_VALUE"""),1)</f>
        <v>1</v>
      </c>
      <c r="J2951" s="8">
        <f ca="1">IFERROR(__xludf.DUMMYFUNCTION("""COMPUTED_VALUE"""),0)</f>
        <v>0</v>
      </c>
      <c r="K2951" s="10" t="str">
        <f ca="1">IFERROR(__xludf.DUMMYFUNCTION("""COMPUTED_VALUE"""),"https://www.newspapers.com/image/266962735/?terms=Central%2BHigh%2BSchool%2Btuscaloosa%2Bshooting")</f>
        <v>https://www.newspapers.com/image/266962735/?terms=Central%2BHigh%2BSchool%2Btuscaloosa%2Bshooting</v>
      </c>
      <c r="L2951" s="8"/>
      <c r="M2951" s="8"/>
      <c r="N2951" s="8">
        <f ca="1">IFERROR(__xludf.DUMMYFUNCTION("""COMPUTED_VALUE"""),2)</f>
        <v>2</v>
      </c>
      <c r="O2951" s="8" t="str">
        <f ca="1">IFERROR(__xludf.DUMMYFUNCTION("""COMPUTED_VALUE"""),"Fall")</f>
        <v>Fall</v>
      </c>
      <c r="P2951" s="8" t="str">
        <f ca="1">IFERROR(__xludf.DUMMYFUNCTION("""COMPUTED_VALUE"""),"Tuscaloosa")</f>
        <v>Tuscaloosa</v>
      </c>
      <c r="Q2951" s="8" t="str">
        <f ca="1">IFERROR(__xludf.DUMMYFUNCTION("""COMPUTED_VALUE"""),"AL")</f>
        <v>AL</v>
      </c>
      <c r="R2951" s="8" t="str">
        <f ca="1">IFERROR(__xludf.DUMMYFUNCTION("""COMPUTED_VALUE"""),"High")</f>
        <v>High</v>
      </c>
      <c r="S2951" s="8" t="str">
        <f ca="1">IFERROR(__xludf.DUMMYFUNCTION("""COMPUTED_VALUE"""),"ND")</f>
        <v>ND</v>
      </c>
      <c r="T2951" s="8" t="str">
        <f ca="1">IFERROR(__xludf.DUMMYFUNCTION("""COMPUTED_VALUE"""),"ND")</f>
        <v>ND</v>
      </c>
      <c r="U2951" s="8" t="str">
        <f ca="1">IFERROR(__xludf.DUMMYFUNCTION("""COMPUTED_VALUE"""),"No")</f>
        <v>No</v>
      </c>
      <c r="V2951" s="8" t="str">
        <f ca="1">IFERROR(__xludf.DUMMYFUNCTION("""COMPUTED_VALUE"""),"After School")</f>
        <v>After School</v>
      </c>
      <c r="W2951" s="8"/>
      <c r="X2951" s="8">
        <f ca="1">IFERROR(__xludf.DUMMYFUNCTION("""COMPUTED_VALUE"""),1)</f>
        <v>1</v>
      </c>
      <c r="Y2951" s="12" t="str">
        <f ca="1">IFERROR(__xludf.DUMMYFUNCTION("""COMPUTED_VALUE"""),"Student shot another student in the back after school, motive unknown")</f>
        <v>Student shot another student in the back after school, motive unknown</v>
      </c>
      <c r="Z2951" s="12" t="str">
        <f ca="1">IFERROR(__xludf.DUMMYFUNCTION("""COMPUTED_VALUE"""),"17YOM shot a 15YOM student in the back after school.")</f>
        <v>17YOM shot a 15YOM student in the back after school.</v>
      </c>
      <c r="AA2951" s="8" t="str">
        <f ca="1">IFERROR(__xludf.DUMMYFUNCTION("""COMPUTED_VALUE"""),"Escalation of Dispute")</f>
        <v>Escalation of Dispute</v>
      </c>
      <c r="AB2951" s="8"/>
      <c r="AC2951" s="8"/>
      <c r="AD2951" s="8" t="str">
        <f ca="1">IFERROR(__xludf.DUMMYFUNCTION("""COMPUTED_VALUE"""),"Victims Targeted")</f>
        <v>Victims Targeted</v>
      </c>
      <c r="AE2951" s="8" t="str">
        <f ca="1">IFERROR(__xludf.DUMMYFUNCTION("""COMPUTED_VALUE"""),"No")</f>
        <v>No</v>
      </c>
      <c r="AF2951" s="8"/>
      <c r="AG2951" s="8" t="str">
        <f ca="1">IFERROR(__xludf.DUMMYFUNCTION("""COMPUTED_VALUE"""),"No")</f>
        <v>No</v>
      </c>
      <c r="AH2951" s="8" t="str">
        <f ca="1">IFERROR(__xludf.DUMMYFUNCTION("""COMPUTED_VALUE"""),"No")</f>
        <v>No</v>
      </c>
      <c r="AI2951" s="8" t="str">
        <f ca="1">IFERROR(__xludf.DUMMYFUNCTION("""COMPUTED_VALUE"""),"No")</f>
        <v>No</v>
      </c>
      <c r="AJ2951" s="8"/>
      <c r="AK2951" s="8" t="str">
        <f ca="1">IFERROR(__xludf.DUMMYFUNCTION("""COMPUTED_VALUE"""),"No")</f>
        <v>No</v>
      </c>
      <c r="AL2951" s="8" t="str">
        <f ca="1">IFERROR(__xludf.DUMMYFUNCTION("""COMPUTED_VALUE"""),"No")</f>
        <v>No</v>
      </c>
      <c r="AM2951" s="8"/>
      <c r="AN2951" s="8"/>
      <c r="AO2951" s="8" t="str">
        <f ca="1">IFERROR(__xludf.DUMMYFUNCTION("""COMPUTED_VALUE"""),"No")</f>
        <v>No</v>
      </c>
      <c r="AP2951" s="8"/>
      <c r="AQ2951" s="8" t="str">
        <f ca="1">IFERROR(__xludf.DUMMYFUNCTION("""COMPUTED_VALUE"""),"Unknown")</f>
        <v>Unknown</v>
      </c>
      <c r="AR2951" s="8" t="str">
        <f ca="1">IFERROR(__xludf.DUMMYFUNCTION("""COMPUTED_VALUE"""),"NA")</f>
        <v>NA</v>
      </c>
      <c r="AS2951" s="8">
        <f ca="1">IFERROR(__xludf.DUMMYFUNCTION("""COMPUTED_VALUE"""),1)</f>
        <v>1</v>
      </c>
      <c r="AT2951" s="8"/>
      <c r="AU2951" s="8">
        <f ca="1">IFERROR(__xludf.DUMMYFUNCTION("""COMPUTED_VALUE"""),33.198119)</f>
        <v>33.198118999999998</v>
      </c>
      <c r="AV2951" s="8">
        <f ca="1">IFERROR(__xludf.DUMMYFUNCTION("""COMPUTED_VALUE"""),-87.549003)</f>
        <v>-87.549002999999999</v>
      </c>
      <c r="AW2951" s="8"/>
      <c r="AX2951" s="8">
        <f ca="1">IFERROR(__xludf.DUMMYFUNCTION("""COMPUTED_VALUE"""),35401)</f>
        <v>35401</v>
      </c>
    </row>
    <row r="2952" spans="1:50" ht="75" x14ac:dyDescent="0.2">
      <c r="A2952" s="8" t="str">
        <f ca="1">IFERROR(__xludf.DUMMYFUNCTION("""COMPUTED_VALUE"""),"19800926CTBRB")</f>
        <v>19800926CTBRB</v>
      </c>
      <c r="B2952" s="8">
        <f ca="1">IFERROR(__xludf.DUMMYFUNCTION("""COMPUTED_VALUE"""),9)</f>
        <v>9</v>
      </c>
      <c r="C2952" s="8">
        <f ca="1">IFERROR(__xludf.DUMMYFUNCTION("""COMPUTED_VALUE"""),26)</f>
        <v>26</v>
      </c>
      <c r="D2952" s="8">
        <f ca="1">IFERROR(__xludf.DUMMYFUNCTION("""COMPUTED_VALUE"""),1980)</f>
        <v>1980</v>
      </c>
      <c r="E2952" s="9">
        <f ca="1">IFERROR(__xludf.DUMMYFUNCTION("""COMPUTED_VALUE"""),29490)</f>
        <v>29490</v>
      </c>
      <c r="F2952" s="8" t="str">
        <f ca="1">IFERROR(__xludf.DUMMYFUNCTION("""COMPUTED_VALUE"""),"Bridgeport Central High School")</f>
        <v>Bridgeport Central High School</v>
      </c>
      <c r="G2952" s="8">
        <f ca="1">IFERROR(__xludf.DUMMYFUNCTION("""COMPUTED_VALUE"""),0)</f>
        <v>0</v>
      </c>
      <c r="H2952" s="8">
        <f ca="1">IFERROR(__xludf.DUMMYFUNCTION("""COMPUTED_VALUE"""),2)</f>
        <v>2</v>
      </c>
      <c r="I2952" s="8">
        <f ca="1">IFERROR(__xludf.DUMMYFUNCTION("""COMPUTED_VALUE"""),2)</f>
        <v>2</v>
      </c>
      <c r="J2952" s="8">
        <f ca="1">IFERROR(__xludf.DUMMYFUNCTION("""COMPUTED_VALUE"""),0)</f>
        <v>0</v>
      </c>
      <c r="K2952" s="10" t="str">
        <f ca="1">IFERROR(__xludf.DUMMYFUNCTION("""COMPUTED_VALUE"""),"https://www.newspapers.com/image/242933436/?terms=student%2Bshot")</f>
        <v>https://www.newspapers.com/image/242933436/?terms=student%2Bshot</v>
      </c>
      <c r="L2952" s="8"/>
      <c r="M2952" s="8"/>
      <c r="N2952" s="8">
        <f ca="1">IFERROR(__xludf.DUMMYFUNCTION("""COMPUTED_VALUE"""),2)</f>
        <v>2</v>
      </c>
      <c r="O2952" s="8" t="str">
        <f ca="1">IFERROR(__xludf.DUMMYFUNCTION("""COMPUTED_VALUE"""),"Fall")</f>
        <v>Fall</v>
      </c>
      <c r="P2952" s="8" t="str">
        <f ca="1">IFERROR(__xludf.DUMMYFUNCTION("""COMPUTED_VALUE"""),"Bridgeport")</f>
        <v>Bridgeport</v>
      </c>
      <c r="Q2952" s="8" t="str">
        <f ca="1">IFERROR(__xludf.DUMMYFUNCTION("""COMPUTED_VALUE"""),"CT")</f>
        <v>CT</v>
      </c>
      <c r="R2952" s="8" t="str">
        <f ca="1">IFERROR(__xludf.DUMMYFUNCTION("""COMPUTED_VALUE"""),"High")</f>
        <v>High</v>
      </c>
      <c r="S2952" s="8" t="str">
        <f ca="1">IFERROR(__xludf.DUMMYFUNCTION("""COMPUTED_VALUE"""),"Beside Building")</f>
        <v>Beside Building</v>
      </c>
      <c r="T2952" s="8" t="str">
        <f ca="1">IFERROR(__xludf.DUMMYFUNCTION("""COMPUTED_VALUE"""),"Outside on School Property")</f>
        <v>Outside on School Property</v>
      </c>
      <c r="U2952" s="8" t="str">
        <f ca="1">IFERROR(__xludf.DUMMYFUNCTION("""COMPUTED_VALUE"""),"Yes")</f>
        <v>Yes</v>
      </c>
      <c r="V2952" s="8" t="str">
        <f ca="1">IFERROR(__xludf.DUMMYFUNCTION("""COMPUTED_VALUE"""),"School Start")</f>
        <v>School Start</v>
      </c>
      <c r="W2952" s="11">
        <f ca="1">IFERROR(__xludf.DUMMYFUNCTION("""COMPUTED_VALUE"""),0.371527777777777)</f>
        <v>0.37152777777777701</v>
      </c>
      <c r="X2952" s="8"/>
      <c r="Y2952" s="12" t="str">
        <f ca="1">IFERROR(__xludf.DUMMYFUNCTION("""COMPUTED_VALUE"""),"Looking for ex-girlfriend, fired indiscriminately when he could not find her")</f>
        <v>Looking for ex-girlfriend, fired indiscriminately when he could not find her</v>
      </c>
      <c r="Z2952" s="12" t="str">
        <f ca="1">IFERROR(__xludf.DUMMYFUNCTION("""COMPUTED_VALUE"""),"19YOM non-student was looking for ex-girlfriend at the school. Fired a one student, then at a group of other students, and threatened a third group of students before fleeing and hiding in the woods nearby. Shooter had stolen a .22 rifle the night before.")</f>
        <v>19YOM non-student was looking for ex-girlfriend at the school. Fired a one student, then at a group of other students, and threatened a third group of students before fleeing and hiding in the woods nearby. Shooter had stolen a .22 rifle the night before.</v>
      </c>
      <c r="AA2952" s="8" t="str">
        <f ca="1">IFERROR(__xludf.DUMMYFUNCTION("""COMPUTED_VALUE"""),"Indiscriminate Shooting")</f>
        <v>Indiscriminate Shooting</v>
      </c>
      <c r="AB2952" s="8"/>
      <c r="AC2952" s="8"/>
      <c r="AD2952" s="8" t="str">
        <f ca="1">IFERROR(__xludf.DUMMYFUNCTION("""COMPUTED_VALUE"""),"Both")</f>
        <v>Both</v>
      </c>
      <c r="AE2952" s="8" t="str">
        <f ca="1">IFERROR(__xludf.DUMMYFUNCTION("""COMPUTED_VALUE"""),"No")</f>
        <v>No</v>
      </c>
      <c r="AF2952" s="8"/>
      <c r="AG2952" s="8" t="str">
        <f ca="1">IFERROR(__xludf.DUMMYFUNCTION("""COMPUTED_VALUE"""),"No")</f>
        <v>No</v>
      </c>
      <c r="AH2952" s="8" t="str">
        <f ca="1">IFERROR(__xludf.DUMMYFUNCTION("""COMPUTED_VALUE"""),"No")</f>
        <v>No</v>
      </c>
      <c r="AI2952" s="8" t="str">
        <f ca="1">IFERROR(__xludf.DUMMYFUNCTION("""COMPUTED_VALUE"""),"No")</f>
        <v>No</v>
      </c>
      <c r="AJ2952" s="8" t="str">
        <f ca="1">IFERROR(__xludf.DUMMYFUNCTION("""COMPUTED_VALUE"""),"No")</f>
        <v>No</v>
      </c>
      <c r="AK2952" s="8" t="str">
        <f ca="1">IFERROR(__xludf.DUMMYFUNCTION("""COMPUTED_VALUE"""),"Yes")</f>
        <v>Yes</v>
      </c>
      <c r="AL2952" s="8" t="str">
        <f ca="1">IFERROR(__xludf.DUMMYFUNCTION("""COMPUTED_VALUE"""),"No")</f>
        <v>No</v>
      </c>
      <c r="AM2952" s="8" t="str">
        <f ca="1">IFERROR(__xludf.DUMMYFUNCTION("""COMPUTED_VALUE"""),"Yes")</f>
        <v>Yes</v>
      </c>
      <c r="AN2952" s="8" t="str">
        <f ca="1">IFERROR(__xludf.DUMMYFUNCTION("""COMPUTED_VALUE"""),"Multiple Rooms")</f>
        <v>Multiple Rooms</v>
      </c>
      <c r="AO2952" s="8" t="str">
        <f ca="1">IFERROR(__xludf.DUMMYFUNCTION("""COMPUTED_VALUE"""),"No")</f>
        <v>No</v>
      </c>
      <c r="AP2952" s="8"/>
      <c r="AQ2952" s="8" t="str">
        <f ca="1">IFERROR(__xludf.DUMMYFUNCTION("""COMPUTED_VALUE"""),"Unknown")</f>
        <v>Unknown</v>
      </c>
      <c r="AR2952" s="8" t="str">
        <f ca="1">IFERROR(__xludf.DUMMYFUNCTION("""COMPUTED_VALUE"""),"NA")</f>
        <v>NA</v>
      </c>
      <c r="AS2952" s="8" t="str">
        <f ca="1">IFERROR(__xludf.DUMMYFUNCTION("""COMPUTED_VALUE"""),"&lt;10")</f>
        <v>&lt;10</v>
      </c>
      <c r="AT2952" s="8"/>
      <c r="AU2952" s="8">
        <f ca="1">IFERROR(__xludf.DUMMYFUNCTION("""COMPUTED_VALUE"""),41.188823)</f>
        <v>41.188822999999999</v>
      </c>
      <c r="AV2952" s="8">
        <f ca="1">IFERROR(__xludf.DUMMYFUNCTION("""COMPUTED_VALUE"""),-73.205455)</f>
        <v>-73.205455000000001</v>
      </c>
      <c r="AW2952" s="8"/>
      <c r="AX2952" s="8">
        <f ca="1">IFERROR(__xludf.DUMMYFUNCTION("""COMPUTED_VALUE"""),6606)</f>
        <v>6606</v>
      </c>
    </row>
    <row r="2953" spans="1:50" ht="60" x14ac:dyDescent="0.2">
      <c r="A2953" s="8" t="str">
        <f ca="1">IFERROR(__xludf.DUMMYFUNCTION("""COMPUTED_VALUE"""),"19800911ALJOM")</f>
        <v>19800911ALJOM</v>
      </c>
      <c r="B2953" s="8">
        <f ca="1">IFERROR(__xludf.DUMMYFUNCTION("""COMPUTED_VALUE"""),9)</f>
        <v>9</v>
      </c>
      <c r="C2953" s="8">
        <f ca="1">IFERROR(__xludf.DUMMYFUNCTION("""COMPUTED_VALUE"""),11)</f>
        <v>11</v>
      </c>
      <c r="D2953" s="8">
        <f ca="1">IFERROR(__xludf.DUMMYFUNCTION("""COMPUTED_VALUE"""),1980)</f>
        <v>1980</v>
      </c>
      <c r="E2953" s="9">
        <f ca="1">IFERROR(__xludf.DUMMYFUNCTION("""COMPUTED_VALUE"""),29475)</f>
        <v>29475</v>
      </c>
      <c r="F2953" s="8" t="str">
        <f ca="1">IFERROR(__xludf.DUMMYFUNCTION("""COMPUTED_VALUE"""),"John S. Shaw High School")</f>
        <v>John S. Shaw High School</v>
      </c>
      <c r="G2953" s="8">
        <f ca="1">IFERROR(__xludf.DUMMYFUNCTION("""COMPUTED_VALUE"""),1)</f>
        <v>1</v>
      </c>
      <c r="H2953" s="8">
        <f ca="1">IFERROR(__xludf.DUMMYFUNCTION("""COMPUTED_VALUE"""),0)</f>
        <v>0</v>
      </c>
      <c r="I2953" s="8">
        <f ca="1">IFERROR(__xludf.DUMMYFUNCTION("""COMPUTED_VALUE"""),1)</f>
        <v>1</v>
      </c>
      <c r="J2953" s="8">
        <f ca="1">IFERROR(__xludf.DUMMYFUNCTION("""COMPUTED_VALUE"""),0)</f>
        <v>0</v>
      </c>
      <c r="K2953" s="10" t="str">
        <f ca="1">IFERROR(__xludf.DUMMYFUNCTION("""COMPUTED_VALUE"""),"https://www.newspapers.com/image/265350967/?terms=marian%2Bgreen")</f>
        <v>https://www.newspapers.com/image/265350967/?terms=marian%2Bgreen</v>
      </c>
      <c r="L2953" s="8"/>
      <c r="M2953" s="8"/>
      <c r="N2953" s="8">
        <f ca="1">IFERROR(__xludf.DUMMYFUNCTION("""COMPUTED_VALUE"""),2)</f>
        <v>2</v>
      </c>
      <c r="O2953" s="8" t="str">
        <f ca="1">IFERROR(__xludf.DUMMYFUNCTION("""COMPUTED_VALUE"""),"Fall")</f>
        <v>Fall</v>
      </c>
      <c r="P2953" s="8" t="str">
        <f ca="1">IFERROR(__xludf.DUMMYFUNCTION("""COMPUTED_VALUE"""),"Mobile")</f>
        <v>Mobile</v>
      </c>
      <c r="Q2953" s="8" t="str">
        <f ca="1">IFERROR(__xludf.DUMMYFUNCTION("""COMPUTED_VALUE"""),"AL")</f>
        <v>AL</v>
      </c>
      <c r="R2953" s="8" t="str">
        <f ca="1">IFERROR(__xludf.DUMMYFUNCTION("""COMPUTED_VALUE"""),"High")</f>
        <v>High</v>
      </c>
      <c r="S2953" s="8" t="str">
        <f ca="1">IFERROR(__xludf.DUMMYFUNCTION("""COMPUTED_VALUE"""),"Office")</f>
        <v>Office</v>
      </c>
      <c r="T2953" s="8" t="str">
        <f ca="1">IFERROR(__xludf.DUMMYFUNCTION("""COMPUTED_VALUE"""),"Inside School Building")</f>
        <v>Inside School Building</v>
      </c>
      <c r="U2953" s="8" t="str">
        <f ca="1">IFERROR(__xludf.DUMMYFUNCTION("""COMPUTED_VALUE"""),"Yes")</f>
        <v>Yes</v>
      </c>
      <c r="V2953" s="8"/>
      <c r="W2953" s="8"/>
      <c r="X2953" s="8">
        <f ca="1">IFERROR(__xludf.DUMMYFUNCTION("""COMPUTED_VALUE"""),1)</f>
        <v>1</v>
      </c>
      <c r="Y2953" s="12" t="str">
        <f ca="1">IFERROR(__xludf.DUMMYFUNCTION("""COMPUTED_VALUE"""),"Ongoing fight between teachers")</f>
        <v>Ongoing fight between teachers</v>
      </c>
      <c r="Z2953" s="12" t="str">
        <f ca="1">IFERROR(__xludf.DUMMYFUNCTION("""COMPUTED_VALUE"""),"A PE teacher and art got into an argument - they locked themselves in the gym office to talk - one teacher was shot/killed. the other teacher was taken to hospital for shock and later charged w/ murder")</f>
        <v>A PE teacher and art got into an argument - they locked themselves in the gym office to talk - one teacher was shot/killed. the other teacher was taken to hospital for shock and later charged w/ murder</v>
      </c>
      <c r="AA2953" s="8" t="str">
        <f ca="1">IFERROR(__xludf.DUMMYFUNCTION("""COMPUTED_VALUE"""),"Escalation of Dispute")</f>
        <v>Escalation of Dispute</v>
      </c>
      <c r="AB2953" s="8"/>
      <c r="AC2953" s="8"/>
      <c r="AD2953" s="8" t="str">
        <f ca="1">IFERROR(__xludf.DUMMYFUNCTION("""COMPUTED_VALUE"""),"Victims Targeted")</f>
        <v>Victims Targeted</v>
      </c>
      <c r="AE2953" s="8"/>
      <c r="AF2953" s="8"/>
      <c r="AG2953" s="8" t="str">
        <f ca="1">IFERROR(__xludf.DUMMYFUNCTION("""COMPUTED_VALUE"""),"No")</f>
        <v>No</v>
      </c>
      <c r="AH2953" s="8" t="str">
        <f ca="1">IFERROR(__xludf.DUMMYFUNCTION("""COMPUTED_VALUE"""),"No")</f>
        <v>No</v>
      </c>
      <c r="AI2953" s="8" t="str">
        <f ca="1">IFERROR(__xludf.DUMMYFUNCTION("""COMPUTED_VALUE"""),"No")</f>
        <v>No</v>
      </c>
      <c r="AJ2953" s="8" t="str">
        <f ca="1">IFERROR(__xludf.DUMMYFUNCTION("""COMPUTED_VALUE"""),"No")</f>
        <v>No</v>
      </c>
      <c r="AK2953" s="8" t="str">
        <f ca="1">IFERROR(__xludf.DUMMYFUNCTION("""COMPUTED_VALUE"""),"No")</f>
        <v>No</v>
      </c>
      <c r="AL2953" s="8" t="str">
        <f ca="1">IFERROR(__xludf.DUMMYFUNCTION("""COMPUTED_VALUE"""),"No")</f>
        <v>No</v>
      </c>
      <c r="AM2953" s="8"/>
      <c r="AN2953" s="8"/>
      <c r="AO2953" s="8" t="str">
        <f ca="1">IFERROR(__xludf.DUMMYFUNCTION("""COMPUTED_VALUE"""),"No")</f>
        <v>No</v>
      </c>
      <c r="AP2953" s="8"/>
      <c r="AQ2953" s="8" t="str">
        <f ca="1">IFERROR(__xludf.DUMMYFUNCTION("""COMPUTED_VALUE"""),"Unknown")</f>
        <v>Unknown</v>
      </c>
      <c r="AR2953" s="8" t="str">
        <f ca="1">IFERROR(__xludf.DUMMYFUNCTION("""COMPUTED_VALUE"""),"NA")</f>
        <v>NA</v>
      </c>
      <c r="AS2953" s="8" t="str">
        <f ca="1">IFERROR(__xludf.DUMMYFUNCTION("""COMPUTED_VALUE"""),"&lt;5")</f>
        <v>&lt;5</v>
      </c>
      <c r="AT2953" s="8"/>
      <c r="AU2953" s="8">
        <f ca="1">IFERROR(__xludf.DUMMYFUNCTION("""COMPUTED_VALUE"""),30.717217)</f>
        <v>30.717217000000002</v>
      </c>
      <c r="AV2953" s="8">
        <f ca="1">IFERROR(__xludf.DUMMYFUNCTION("""COMPUTED_VALUE"""),-88.183783)</f>
        <v>-88.183783000000005</v>
      </c>
      <c r="AW2953" s="8"/>
      <c r="AX2953" s="8">
        <f ca="1">IFERROR(__xludf.DUMMYFUNCTION("""COMPUTED_VALUE"""),36608)</f>
        <v>36608</v>
      </c>
    </row>
    <row r="2954" spans="1:50" ht="75" x14ac:dyDescent="0.2">
      <c r="A2954" s="8" t="str">
        <f ca="1">IFERROR(__xludf.DUMMYFUNCTION("""COMPUTED_VALUE"""),"19800910DCSPW")</f>
        <v>19800910DCSPW</v>
      </c>
      <c r="B2954" s="8">
        <f ca="1">IFERROR(__xludf.DUMMYFUNCTION("""COMPUTED_VALUE"""),9)</f>
        <v>9</v>
      </c>
      <c r="C2954" s="8">
        <f ca="1">IFERROR(__xludf.DUMMYFUNCTION("""COMPUTED_VALUE"""),10)</f>
        <v>10</v>
      </c>
      <c r="D2954" s="8">
        <f ca="1">IFERROR(__xludf.DUMMYFUNCTION("""COMPUTED_VALUE"""),1980)</f>
        <v>1980</v>
      </c>
      <c r="E2954" s="9">
        <f ca="1">IFERROR(__xludf.DUMMYFUNCTION("""COMPUTED_VALUE"""),29474)</f>
        <v>29474</v>
      </c>
      <c r="F2954" s="8" t="str">
        <f ca="1">IFERROR(__xludf.DUMMYFUNCTION("""COMPUTED_VALUE"""),"Springarn High School")</f>
        <v>Springarn High School</v>
      </c>
      <c r="G2954" s="8">
        <f ca="1">IFERROR(__xludf.DUMMYFUNCTION("""COMPUTED_VALUE"""),1)</f>
        <v>1</v>
      </c>
      <c r="H2954" s="8">
        <f ca="1">IFERROR(__xludf.DUMMYFUNCTION("""COMPUTED_VALUE"""),0)</f>
        <v>0</v>
      </c>
      <c r="I2954" s="8">
        <f ca="1">IFERROR(__xludf.DUMMYFUNCTION("""COMPUTED_VALUE"""),1)</f>
        <v>1</v>
      </c>
      <c r="J2954" s="8">
        <f ca="1">IFERROR(__xludf.DUMMYFUNCTION("""COMPUTED_VALUE"""),0)</f>
        <v>0</v>
      </c>
      <c r="K2954" s="10" t="str">
        <f ca="1">IFERROR(__xludf.DUMMYFUNCTION("""COMPUTED_VALUE"""),"https://www.washingtonpost.com/archive/local/1980/09/11/spingarn-high-student-fatally-shot-at-school-assembly/92b6d5ba-12ec-406d-9b40-92cbc30665c0/?utm_term=.a461da45a849")</f>
        <v>https://www.washingtonpost.com/archive/local/1980/09/11/spingarn-high-student-fatally-shot-at-school-assembly/92b6d5ba-12ec-406d-9b40-92cbc30665c0/?utm_term=.a461da45a849</v>
      </c>
      <c r="L2954" s="8"/>
      <c r="M2954" s="8"/>
      <c r="N2954" s="8">
        <f ca="1">IFERROR(__xludf.DUMMYFUNCTION("""COMPUTED_VALUE"""),2)</f>
        <v>2</v>
      </c>
      <c r="O2954" s="8" t="str">
        <f ca="1">IFERROR(__xludf.DUMMYFUNCTION("""COMPUTED_VALUE"""),"Fall")</f>
        <v>Fall</v>
      </c>
      <c r="P2954" s="8" t="str">
        <f ca="1">IFERROR(__xludf.DUMMYFUNCTION("""COMPUTED_VALUE"""),"Washington")</f>
        <v>Washington</v>
      </c>
      <c r="Q2954" s="8" t="str">
        <f ca="1">IFERROR(__xludf.DUMMYFUNCTION("""COMPUTED_VALUE"""),"DC")</f>
        <v>DC</v>
      </c>
      <c r="R2954" s="8" t="str">
        <f ca="1">IFERROR(__xludf.DUMMYFUNCTION("""COMPUTED_VALUE"""),"High")</f>
        <v>High</v>
      </c>
      <c r="S2954" s="8" t="str">
        <f ca="1">IFERROR(__xludf.DUMMYFUNCTION("""COMPUTED_VALUE"""),"Auditorium")</f>
        <v>Auditorium</v>
      </c>
      <c r="T2954" s="8" t="str">
        <f ca="1">IFERROR(__xludf.DUMMYFUNCTION("""COMPUTED_VALUE"""),"Inside School Building")</f>
        <v>Inside School Building</v>
      </c>
      <c r="U2954" s="8" t="str">
        <f ca="1">IFERROR(__xludf.DUMMYFUNCTION("""COMPUTED_VALUE"""),"Yes")</f>
        <v>Yes</v>
      </c>
      <c r="V2954" s="8" t="str">
        <f ca="1">IFERROR(__xludf.DUMMYFUNCTION("""COMPUTED_VALUE"""),"Morning Classes")</f>
        <v>Morning Classes</v>
      </c>
      <c r="W2954" s="11">
        <f ca="1">IFERROR(__xludf.DUMMYFUNCTION("""COMPUTED_VALUE"""),0.4375)</f>
        <v>0.4375</v>
      </c>
      <c r="X2954" s="8">
        <f ca="1">IFERROR(__xludf.DUMMYFUNCTION("""COMPUTED_VALUE"""),1)</f>
        <v>1</v>
      </c>
      <c r="Y2954" s="12" t="str">
        <f ca="1">IFERROR(__xludf.DUMMYFUNCTION("""COMPUTED_VALUE"""),"Playing with gun during assembly, shot friend")</f>
        <v>Playing with gun during assembly, shot friend</v>
      </c>
      <c r="Z2954" s="12" t="str">
        <f ca="1">IFERROR(__xludf.DUMMYFUNCTION("""COMPUTED_VALUE"""),"Students were passing around gun and playing with it during assembly. Student dared 18YOM to pull the trigger. He did unintentionally striking friend in head. Shooter was arrested and student who brought the gun turned himself in to police later.")</f>
        <v>Students were passing around gun and playing with it during assembly. Student dared 18YOM to pull the trigger. He did unintentionally striking friend in head. Shooter was arrested and student who brought the gun turned himself in to police later.</v>
      </c>
      <c r="AA2954" s="8" t="str">
        <f ca="1">IFERROR(__xludf.DUMMYFUNCTION("""COMPUTED_VALUE"""),"Accidental")</f>
        <v>Accidental</v>
      </c>
      <c r="AB2954" s="8"/>
      <c r="AC2954" s="8"/>
      <c r="AD2954" s="8" t="str">
        <f ca="1">IFERROR(__xludf.DUMMYFUNCTION("""COMPUTED_VALUE"""),"Random Shooting")</f>
        <v>Random Shooting</v>
      </c>
      <c r="AE2954" s="8" t="str">
        <f ca="1">IFERROR(__xludf.DUMMYFUNCTION("""COMPUTED_VALUE"""),"Yes")</f>
        <v>Yes</v>
      </c>
      <c r="AF2954" s="8" t="str">
        <f ca="1">IFERROR(__xludf.DUMMYFUNCTION("""COMPUTED_VALUE"""),"17YOM brought the gun to school")</f>
        <v>17YOM brought the gun to school</v>
      </c>
      <c r="AG2954" s="8" t="str">
        <f ca="1">IFERROR(__xludf.DUMMYFUNCTION("""COMPUTED_VALUE"""),"No")</f>
        <v>No</v>
      </c>
      <c r="AH2954" s="8" t="str">
        <f ca="1">IFERROR(__xludf.DUMMYFUNCTION("""COMPUTED_VALUE"""),"No")</f>
        <v>No</v>
      </c>
      <c r="AI2954" s="8" t="str">
        <f ca="1">IFERROR(__xludf.DUMMYFUNCTION("""COMPUTED_VALUE"""),"No")</f>
        <v>No</v>
      </c>
      <c r="AJ2954" s="8" t="str">
        <f ca="1">IFERROR(__xludf.DUMMYFUNCTION("""COMPUTED_VALUE"""),"No")</f>
        <v>No</v>
      </c>
      <c r="AK2954" s="8" t="str">
        <f ca="1">IFERROR(__xludf.DUMMYFUNCTION("""COMPUTED_VALUE"""),"No")</f>
        <v>No</v>
      </c>
      <c r="AL2954" s="8" t="str">
        <f ca="1">IFERROR(__xludf.DUMMYFUNCTION("""COMPUTED_VALUE"""),"No")</f>
        <v>No</v>
      </c>
      <c r="AM2954" s="8"/>
      <c r="AN2954" s="8"/>
      <c r="AO2954" s="8" t="str">
        <f ca="1">IFERROR(__xludf.DUMMYFUNCTION("""COMPUTED_VALUE"""),"No")</f>
        <v>No</v>
      </c>
      <c r="AP2954" s="8"/>
      <c r="AQ2954" s="8" t="str">
        <f ca="1">IFERROR(__xludf.DUMMYFUNCTION("""COMPUTED_VALUE"""),"Unknown")</f>
        <v>Unknown</v>
      </c>
      <c r="AR2954" s="8" t="str">
        <f ca="1">IFERROR(__xludf.DUMMYFUNCTION("""COMPUTED_VALUE"""),"NA")</f>
        <v>NA</v>
      </c>
      <c r="AS2954" s="8"/>
      <c r="AT2954" s="8"/>
      <c r="AU2954" s="8">
        <f ca="1">IFERROR(__xludf.DUMMYFUNCTION("""COMPUTED_VALUE"""),38.899317)</f>
        <v>38.899317000000003</v>
      </c>
      <c r="AV2954" s="8">
        <f ca="1">IFERROR(__xludf.DUMMYFUNCTION("""COMPUTED_VALUE"""),-76.9707)</f>
        <v>-76.970699999999994</v>
      </c>
      <c r="AW2954" s="8"/>
      <c r="AX2954" s="8">
        <f ca="1">IFERROR(__xludf.DUMMYFUNCTION("""COMPUTED_VALUE"""),20002)</f>
        <v>20002</v>
      </c>
    </row>
    <row r="2955" spans="1:50" ht="45" x14ac:dyDescent="0.2">
      <c r="A2955" s="8" t="str">
        <f ca="1">IFERROR(__xludf.DUMMYFUNCTION("""COMPUTED_VALUE"""),"19800908FLFOJ")</f>
        <v>19800908FLFOJ</v>
      </c>
      <c r="B2955" s="8">
        <f ca="1">IFERROR(__xludf.DUMMYFUNCTION("""COMPUTED_VALUE"""),9)</f>
        <v>9</v>
      </c>
      <c r="C2955" s="8">
        <f ca="1">IFERROR(__xludf.DUMMYFUNCTION("""COMPUTED_VALUE"""),8)</f>
        <v>8</v>
      </c>
      <c r="D2955" s="8">
        <f ca="1">IFERROR(__xludf.DUMMYFUNCTION("""COMPUTED_VALUE"""),1980)</f>
        <v>1980</v>
      </c>
      <c r="E2955" s="9">
        <f ca="1">IFERROR(__xludf.DUMMYFUNCTION("""COMPUTED_VALUE"""),29472)</f>
        <v>29472</v>
      </c>
      <c r="F2955" s="8" t="str">
        <f ca="1">IFERROR(__xludf.DUMMYFUNCTION("""COMPUTED_VALUE"""),"Forrest High School")</f>
        <v>Forrest High School</v>
      </c>
      <c r="G2955" s="8">
        <f ca="1">IFERROR(__xludf.DUMMYFUNCTION("""COMPUTED_VALUE"""),0)</f>
        <v>0</v>
      </c>
      <c r="H2955" s="8">
        <f ca="1">IFERROR(__xludf.DUMMYFUNCTION("""COMPUTED_VALUE"""),1)</f>
        <v>1</v>
      </c>
      <c r="I2955" s="8">
        <f ca="1">IFERROR(__xludf.DUMMYFUNCTION("""COMPUTED_VALUE"""),1)</f>
        <v>1</v>
      </c>
      <c r="J2955" s="8">
        <f ca="1">IFERROR(__xludf.DUMMYFUNCTION("""COMPUTED_VALUE"""),0)</f>
        <v>0</v>
      </c>
      <c r="K2955" s="10" t="str">
        <f ca="1">IFERROR(__xludf.DUMMYFUNCTION("""COMPUTED_VALUE"""),"https://www.newspapers.com/image/437154147/?terms=jim%2BScherny")</f>
        <v>https://www.newspapers.com/image/437154147/?terms=jim%2BScherny</v>
      </c>
      <c r="L2955" s="8"/>
      <c r="M2955" s="8"/>
      <c r="N2955" s="8">
        <f ca="1">IFERROR(__xludf.DUMMYFUNCTION("""COMPUTED_VALUE"""),2)</f>
        <v>2</v>
      </c>
      <c r="O2955" s="8" t="str">
        <f ca="1">IFERROR(__xludf.DUMMYFUNCTION("""COMPUTED_VALUE"""),"Fall")</f>
        <v>Fall</v>
      </c>
      <c r="P2955" s="8" t="str">
        <f ca="1">IFERROR(__xludf.DUMMYFUNCTION("""COMPUTED_VALUE"""),"Jacksonville")</f>
        <v>Jacksonville</v>
      </c>
      <c r="Q2955" s="8" t="str">
        <f ca="1">IFERROR(__xludf.DUMMYFUNCTION("""COMPUTED_VALUE"""),"FL")</f>
        <v>FL</v>
      </c>
      <c r="R2955" s="8" t="str">
        <f ca="1">IFERROR(__xludf.DUMMYFUNCTION("""COMPUTED_VALUE"""),"High")</f>
        <v>High</v>
      </c>
      <c r="S2955" s="8" t="str">
        <f ca="1">IFERROR(__xludf.DUMMYFUNCTION("""COMPUTED_VALUE"""),"Parking Lot")</f>
        <v>Parking Lot</v>
      </c>
      <c r="T2955" s="8" t="str">
        <f ca="1">IFERROR(__xludf.DUMMYFUNCTION("""COMPUTED_VALUE"""),"Outside on School Property")</f>
        <v>Outside on School Property</v>
      </c>
      <c r="U2955" s="8" t="str">
        <f ca="1">IFERROR(__xludf.DUMMYFUNCTION("""COMPUTED_VALUE"""),"Yes")</f>
        <v>Yes</v>
      </c>
      <c r="V2955" s="8"/>
      <c r="W2955" s="8"/>
      <c r="X2955" s="8">
        <f ca="1">IFERROR(__xludf.DUMMYFUNCTION("""COMPUTED_VALUE"""),1)</f>
        <v>1</v>
      </c>
      <c r="Y2955" s="12" t="str">
        <f ca="1">IFERROR(__xludf.DUMMYFUNCTION("""COMPUTED_VALUE"""),"Shots fired during fight in parking lot")</f>
        <v>Shots fired during fight in parking lot</v>
      </c>
      <c r="Z2955" s="12" t="str">
        <f ca="1">IFERROR(__xludf.DUMMYFUNCTION("""COMPUTED_VALUE"""),"Teacher in argument with three boys after school - shot in wrist - one juvenile apprehended - direct cause of argument not published")</f>
        <v>Teacher in argument with three boys after school - shot in wrist - one juvenile apprehended - direct cause of argument not published</v>
      </c>
      <c r="AA2955" s="8" t="str">
        <f ca="1">IFERROR(__xludf.DUMMYFUNCTION("""COMPUTED_VALUE"""),"Escalation of Dispute")</f>
        <v>Escalation of Dispute</v>
      </c>
      <c r="AB2955" s="8"/>
      <c r="AC2955" s="8"/>
      <c r="AD2955" s="8" t="str">
        <f ca="1">IFERROR(__xludf.DUMMYFUNCTION("""COMPUTED_VALUE"""),"Victims Targeted")</f>
        <v>Victims Targeted</v>
      </c>
      <c r="AE2955" s="8" t="str">
        <f ca="1">IFERROR(__xludf.DUMMYFUNCTION("""COMPUTED_VALUE"""),"No")</f>
        <v>No</v>
      </c>
      <c r="AF2955" s="8"/>
      <c r="AG2955" s="8" t="str">
        <f ca="1">IFERROR(__xludf.DUMMYFUNCTION("""COMPUTED_VALUE"""),"No")</f>
        <v>No</v>
      </c>
      <c r="AH2955" s="8" t="str">
        <f ca="1">IFERROR(__xludf.DUMMYFUNCTION("""COMPUTED_VALUE"""),"No")</f>
        <v>No</v>
      </c>
      <c r="AI2955" s="8" t="str">
        <f ca="1">IFERROR(__xludf.DUMMYFUNCTION("""COMPUTED_VALUE"""),"No")</f>
        <v>No</v>
      </c>
      <c r="AJ2955" s="8" t="str">
        <f ca="1">IFERROR(__xludf.DUMMYFUNCTION("""COMPUTED_VALUE"""),"No")</f>
        <v>No</v>
      </c>
      <c r="AK2955" s="8" t="str">
        <f ca="1">IFERROR(__xludf.DUMMYFUNCTION("""COMPUTED_VALUE"""),"No")</f>
        <v>No</v>
      </c>
      <c r="AL2955" s="8" t="str">
        <f ca="1">IFERROR(__xludf.DUMMYFUNCTION("""COMPUTED_VALUE"""),"No")</f>
        <v>No</v>
      </c>
      <c r="AM2955" s="8"/>
      <c r="AN2955" s="8"/>
      <c r="AO2955" s="8" t="str">
        <f ca="1">IFERROR(__xludf.DUMMYFUNCTION("""COMPUTED_VALUE"""),"No")</f>
        <v>No</v>
      </c>
      <c r="AP2955" s="8"/>
      <c r="AQ2955" s="8" t="str">
        <f ca="1">IFERROR(__xludf.DUMMYFUNCTION("""COMPUTED_VALUE"""),"Unknown")</f>
        <v>Unknown</v>
      </c>
      <c r="AR2955" s="8" t="str">
        <f ca="1">IFERROR(__xludf.DUMMYFUNCTION("""COMPUTED_VALUE"""),"NA")</f>
        <v>NA</v>
      </c>
      <c r="AS2955" s="8" t="str">
        <f ca="1">IFERROR(__xludf.DUMMYFUNCTION("""COMPUTED_VALUE"""),"&lt;10")</f>
        <v>&lt;10</v>
      </c>
      <c r="AT2955" s="8"/>
      <c r="AU2955" s="8">
        <f ca="1">IFERROR(__xludf.DUMMYFUNCTION("""COMPUTED_VALUE"""),30.246218)</f>
        <v>30.246217999999999</v>
      </c>
      <c r="AV2955" s="8">
        <f ca="1">IFERROR(__xludf.DUMMYFUNCTION("""COMPUTED_VALUE"""),-81.765403)</f>
        <v>-81.765403000000006</v>
      </c>
      <c r="AW2955" s="8"/>
      <c r="AX2955" s="8">
        <f ca="1">IFERROR(__xludf.DUMMYFUNCTION("""COMPUTED_VALUE"""),32244)</f>
        <v>32244</v>
      </c>
    </row>
    <row r="2956" spans="1:50" ht="60" x14ac:dyDescent="0.2">
      <c r="A2956" s="8" t="str">
        <f ca="1">IFERROR(__xludf.DUMMYFUNCTION("""COMPUTED_VALUE"""),"19800902CAWHL")</f>
        <v>19800902CAWHL</v>
      </c>
      <c r="B2956" s="8">
        <f ca="1">IFERROR(__xludf.DUMMYFUNCTION("""COMPUTED_VALUE"""),9)</f>
        <v>9</v>
      </c>
      <c r="C2956" s="8">
        <f ca="1">IFERROR(__xludf.DUMMYFUNCTION("""COMPUTED_VALUE"""),2)</f>
        <v>2</v>
      </c>
      <c r="D2956" s="8">
        <f ca="1">IFERROR(__xludf.DUMMYFUNCTION("""COMPUTED_VALUE"""),1980)</f>
        <v>1980</v>
      </c>
      <c r="E2956" s="9">
        <f ca="1">IFERROR(__xludf.DUMMYFUNCTION("""COMPUTED_VALUE"""),29466)</f>
        <v>29466</v>
      </c>
      <c r="F2956" s="8" t="str">
        <f ca="1">IFERROR(__xludf.DUMMYFUNCTION("""COMPUTED_VALUE"""),"Whittier High School")</f>
        <v>Whittier High School</v>
      </c>
      <c r="G2956" s="8">
        <f ca="1">IFERROR(__xludf.DUMMYFUNCTION("""COMPUTED_VALUE"""),0)</f>
        <v>0</v>
      </c>
      <c r="H2956" s="8">
        <f ca="1">IFERROR(__xludf.DUMMYFUNCTION("""COMPUTED_VALUE"""),10)</f>
        <v>10</v>
      </c>
      <c r="I2956" s="8">
        <f ca="1">IFERROR(__xludf.DUMMYFUNCTION("""COMPUTED_VALUE"""),10)</f>
        <v>10</v>
      </c>
      <c r="J2956" s="8">
        <f ca="1">IFERROR(__xludf.DUMMYFUNCTION("""COMPUTED_VALUE"""),0)</f>
        <v>0</v>
      </c>
      <c r="K2956" s="10" t="str">
        <f ca="1">IFERROR(__xludf.DUMMYFUNCTION("""COMPUTED_VALUE"""),"https://www.newspapers.com/image/63246339/?terms=Whittier%2BHigh%2BSchool%2Bshooting")</f>
        <v>https://www.newspapers.com/image/63246339/?terms=Whittier%2BHigh%2BSchool%2Bshooting</v>
      </c>
      <c r="L2956" s="8"/>
      <c r="M2956" s="8"/>
      <c r="N2956" s="8">
        <f ca="1">IFERROR(__xludf.DUMMYFUNCTION("""COMPUTED_VALUE"""),2)</f>
        <v>2</v>
      </c>
      <c r="O2956" s="8" t="str">
        <f ca="1">IFERROR(__xludf.DUMMYFUNCTION("""COMPUTED_VALUE"""),"Fall")</f>
        <v>Fall</v>
      </c>
      <c r="P2956" s="8" t="str">
        <f ca="1">IFERROR(__xludf.DUMMYFUNCTION("""COMPUTED_VALUE"""),"Los Angeles")</f>
        <v>Los Angeles</v>
      </c>
      <c r="Q2956" s="8" t="str">
        <f ca="1">IFERROR(__xludf.DUMMYFUNCTION("""COMPUTED_VALUE"""),"CA")</f>
        <v>CA</v>
      </c>
      <c r="R2956" s="8" t="str">
        <f ca="1">IFERROR(__xludf.DUMMYFUNCTION("""COMPUTED_VALUE"""),"High")</f>
        <v>High</v>
      </c>
      <c r="S2956" s="8" t="str">
        <f ca="1">IFERROR(__xludf.DUMMYFUNCTION("""COMPUTED_VALUE"""),"Football Field/Track")</f>
        <v>Football Field/Track</v>
      </c>
      <c r="T2956" s="8" t="str">
        <f ca="1">IFERROR(__xludf.DUMMYFUNCTION("""COMPUTED_VALUE"""),"Outside on School Property")</f>
        <v>Outside on School Property</v>
      </c>
      <c r="U2956" s="8" t="str">
        <f ca="1">IFERROR(__xludf.DUMMYFUNCTION("""COMPUTED_VALUE"""),"No")</f>
        <v>No</v>
      </c>
      <c r="V2956" s="8" t="str">
        <f ca="1">IFERROR(__xludf.DUMMYFUNCTION("""COMPUTED_VALUE"""),"After School")</f>
        <v>After School</v>
      </c>
      <c r="W2956" s="8"/>
      <c r="X2956" s="8">
        <f ca="1">IFERROR(__xludf.DUMMYFUNCTION("""COMPUTED_VALUE"""),1)</f>
        <v>1</v>
      </c>
      <c r="Y2956" s="12" t="str">
        <f ca="1">IFERROR(__xludf.DUMMYFUNCTION("""COMPUTED_VALUE"""),"Fired shotgun at football team during practice")</f>
        <v>Fired shotgun at football team during practice</v>
      </c>
      <c r="Z2956" s="12" t="str">
        <f ca="1">IFERROR(__xludf.DUMMYFUNCTION("""COMPUTED_VALUE"""),"Shooter got out of car, fired shotgun at football team during practice. Drove short distance and fired another shot at the players on the field then drove away. Police said the shooting was related to gang activity.")</f>
        <v>Shooter got out of car, fired shotgun at football team during practice. Drove short distance and fired another shot at the players on the field then drove away. Police said the shooting was related to gang activity.</v>
      </c>
      <c r="AA2956" s="8" t="str">
        <f ca="1">IFERROR(__xludf.DUMMYFUNCTION("""COMPUTED_VALUE"""),"Indiscriminate Shooting")</f>
        <v>Indiscriminate Shooting</v>
      </c>
      <c r="AB2956" s="8"/>
      <c r="AC2956" s="8"/>
      <c r="AD2956" s="8" t="str">
        <f ca="1">IFERROR(__xludf.DUMMYFUNCTION("""COMPUTED_VALUE"""),"Both")</f>
        <v>Both</v>
      </c>
      <c r="AE2956" s="8" t="str">
        <f ca="1">IFERROR(__xludf.DUMMYFUNCTION("""COMPUTED_VALUE"""),"Yes")</f>
        <v>Yes</v>
      </c>
      <c r="AF2956" s="8" t="str">
        <f ca="1">IFERROR(__xludf.DUMMYFUNCTION("""COMPUTED_VALUE"""),"Left in car")</f>
        <v>Left in car</v>
      </c>
      <c r="AG2956" s="8" t="str">
        <f ca="1">IFERROR(__xludf.DUMMYFUNCTION("""COMPUTED_VALUE"""),"No")</f>
        <v>No</v>
      </c>
      <c r="AH2956" s="8" t="str">
        <f ca="1">IFERROR(__xludf.DUMMYFUNCTION("""COMPUTED_VALUE"""),"No")</f>
        <v>No</v>
      </c>
      <c r="AI2956" s="8" t="str">
        <f ca="1">IFERROR(__xludf.DUMMYFUNCTION("""COMPUTED_VALUE"""),"No")</f>
        <v>No</v>
      </c>
      <c r="AJ2956" s="8"/>
      <c r="AK2956" s="8" t="str">
        <f ca="1">IFERROR(__xludf.DUMMYFUNCTION("""COMPUTED_VALUE"""),"No")</f>
        <v>No</v>
      </c>
      <c r="AL2956" s="8" t="str">
        <f ca="1">IFERROR(__xludf.DUMMYFUNCTION("""COMPUTED_VALUE"""),"Yes")</f>
        <v>Yes</v>
      </c>
      <c r="AM2956" s="8" t="str">
        <f ca="1">IFERROR(__xludf.DUMMYFUNCTION("""COMPUTED_VALUE"""),"Yes")</f>
        <v>Yes</v>
      </c>
      <c r="AN2956" s="8" t="str">
        <f ca="1">IFERROR(__xludf.DUMMYFUNCTION("""COMPUTED_VALUE"""),"Outside")</f>
        <v>Outside</v>
      </c>
      <c r="AO2956" s="8" t="str">
        <f ca="1">IFERROR(__xludf.DUMMYFUNCTION("""COMPUTED_VALUE"""),"No")</f>
        <v>No</v>
      </c>
      <c r="AP2956" s="8"/>
      <c r="AQ2956" s="8" t="str">
        <f ca="1">IFERROR(__xludf.DUMMYFUNCTION("""COMPUTED_VALUE"""),"Unknown")</f>
        <v>Unknown</v>
      </c>
      <c r="AR2956" s="8" t="str">
        <f ca="1">IFERROR(__xludf.DUMMYFUNCTION("""COMPUTED_VALUE"""),"NA")</f>
        <v>NA</v>
      </c>
      <c r="AS2956" s="8">
        <f ca="1">IFERROR(__xludf.DUMMYFUNCTION("""COMPUTED_VALUE"""),2)</f>
        <v>2</v>
      </c>
      <c r="AT2956" s="8"/>
      <c r="AU2956" s="8">
        <f ca="1">IFERROR(__xludf.DUMMYFUNCTION("""COMPUTED_VALUE"""),33.980012)</f>
        <v>33.980012000000002</v>
      </c>
      <c r="AV2956" s="8">
        <f ca="1">IFERROR(__xludf.DUMMYFUNCTION("""COMPUTED_VALUE"""),-118.044085)</f>
        <v>-118.044085</v>
      </c>
      <c r="AW2956" s="8"/>
      <c r="AX2956" s="8">
        <f ca="1">IFERROR(__xludf.DUMMYFUNCTION("""COMPUTED_VALUE"""),90601)</f>
        <v>90601</v>
      </c>
    </row>
    <row r="2957" spans="1:50" ht="60" x14ac:dyDescent="0.2">
      <c r="A2957" s="8" t="str">
        <f ca="1">IFERROR(__xludf.DUMMYFUNCTION("""COMPUTED_VALUE"""),"19800530NYCLB")</f>
        <v>19800530NYCLB</v>
      </c>
      <c r="B2957" s="8">
        <f ca="1">IFERROR(__xludf.DUMMYFUNCTION("""COMPUTED_VALUE"""),5)</f>
        <v>5</v>
      </c>
      <c r="C2957" s="8">
        <f ca="1">IFERROR(__xludf.DUMMYFUNCTION("""COMPUTED_VALUE"""),30)</f>
        <v>30</v>
      </c>
      <c r="D2957" s="8">
        <f ca="1">IFERROR(__xludf.DUMMYFUNCTION("""COMPUTED_VALUE"""),1980)</f>
        <v>1980</v>
      </c>
      <c r="E2957" s="9">
        <f ca="1">IFERROR(__xludf.DUMMYFUNCTION("""COMPUTED_VALUE"""),29371)</f>
        <v>29371</v>
      </c>
      <c r="F2957" s="8" t="str">
        <f ca="1">IFERROR(__xludf.DUMMYFUNCTION("""COMPUTED_VALUE"""),"Clara Barton High School")</f>
        <v>Clara Barton High School</v>
      </c>
      <c r="G2957" s="8">
        <f ca="1">IFERROR(__xludf.DUMMYFUNCTION("""COMPUTED_VALUE"""),0)</f>
        <v>0</v>
      </c>
      <c r="H2957" s="8">
        <f ca="1">IFERROR(__xludf.DUMMYFUNCTION("""COMPUTED_VALUE"""),0)</f>
        <v>0</v>
      </c>
      <c r="I2957" s="8">
        <f ca="1">IFERROR(__xludf.DUMMYFUNCTION("""COMPUTED_VALUE"""),0)</f>
        <v>0</v>
      </c>
      <c r="J2957" s="8">
        <f ca="1">IFERROR(__xludf.DUMMYFUNCTION("""COMPUTED_VALUE"""),0)</f>
        <v>0</v>
      </c>
      <c r="K2957" s="10" t="str">
        <f ca="1">IFERROR(__xludf.DUMMYFUNCTION("""COMPUTED_VALUE"""),"https://www.newspapers.com/image/335123478/?terms=student%2Bshoots%2Bself")</f>
        <v>https://www.newspapers.com/image/335123478/?terms=student%2Bshoots%2Bself</v>
      </c>
      <c r="L2957" s="8"/>
      <c r="M2957" s="8"/>
      <c r="N2957" s="8">
        <f ca="1">IFERROR(__xludf.DUMMYFUNCTION("""COMPUTED_VALUE"""),2)</f>
        <v>2</v>
      </c>
      <c r="O2957" s="8" t="str">
        <f ca="1">IFERROR(__xludf.DUMMYFUNCTION("""COMPUTED_VALUE"""),"Spring")</f>
        <v>Spring</v>
      </c>
      <c r="P2957" s="8" t="str">
        <f ca="1">IFERROR(__xludf.DUMMYFUNCTION("""COMPUTED_VALUE"""),"Brooklyn")</f>
        <v>Brooklyn</v>
      </c>
      <c r="Q2957" s="8" t="str">
        <f ca="1">IFERROR(__xludf.DUMMYFUNCTION("""COMPUTED_VALUE"""),"NY")</f>
        <v>NY</v>
      </c>
      <c r="R2957" s="8" t="str">
        <f ca="1">IFERROR(__xludf.DUMMYFUNCTION("""COMPUTED_VALUE"""),"High")</f>
        <v>High</v>
      </c>
      <c r="S2957" s="8" t="str">
        <f ca="1">IFERROR(__xludf.DUMMYFUNCTION("""COMPUTED_VALUE"""),"Classroom")</f>
        <v>Classroom</v>
      </c>
      <c r="T2957" s="8" t="str">
        <f ca="1">IFERROR(__xludf.DUMMYFUNCTION("""COMPUTED_VALUE"""),"Inside School Building")</f>
        <v>Inside School Building</v>
      </c>
      <c r="U2957" s="8" t="str">
        <f ca="1">IFERROR(__xludf.DUMMYFUNCTION("""COMPUTED_VALUE"""),"Yes")</f>
        <v>Yes</v>
      </c>
      <c r="V2957" s="8" t="str">
        <f ca="1">IFERROR(__xludf.DUMMYFUNCTION("""COMPUTED_VALUE"""),"Morning Classes")</f>
        <v>Morning Classes</v>
      </c>
      <c r="W2957" s="11">
        <f ca="1">IFERROR(__xludf.DUMMYFUNCTION("""COMPUTED_VALUE"""),0.395833333333333)</f>
        <v>0.39583333333333298</v>
      </c>
      <c r="X2957" s="8">
        <f ca="1">IFERROR(__xludf.DUMMYFUNCTION("""COMPUTED_VALUE"""),1)</f>
        <v>1</v>
      </c>
      <c r="Y2957" s="12" t="str">
        <f ca="1">IFERROR(__xludf.DUMMYFUNCTION("""COMPUTED_VALUE"""),"Student playing with gun in class accidentally shot self")</f>
        <v>Student playing with gun in class accidentally shot self</v>
      </c>
      <c r="Z2957" s="12" t="str">
        <f ca="1">IFERROR(__xludf.DUMMYFUNCTION("""COMPUTED_VALUE"""),"Accidental - student playing with gun in class - shot self in left arm")</f>
        <v>Accidental - student playing with gun in class - shot self in left arm</v>
      </c>
      <c r="AA2957" s="8" t="str">
        <f ca="1">IFERROR(__xludf.DUMMYFUNCTION("""COMPUTED_VALUE"""),"Accidental")</f>
        <v>Accidental</v>
      </c>
      <c r="AB2957" s="8"/>
      <c r="AC2957" s="8"/>
      <c r="AD2957" s="8" t="str">
        <f ca="1">IFERROR(__xludf.DUMMYFUNCTION("""COMPUTED_VALUE"""),"Random Shooting")</f>
        <v>Random Shooting</v>
      </c>
      <c r="AE2957" s="8" t="str">
        <f ca="1">IFERROR(__xludf.DUMMYFUNCTION("""COMPUTED_VALUE"""),"No")</f>
        <v>No</v>
      </c>
      <c r="AF2957" s="8"/>
      <c r="AG2957" s="8" t="str">
        <f ca="1">IFERROR(__xludf.DUMMYFUNCTION("""COMPUTED_VALUE"""),"No")</f>
        <v>No</v>
      </c>
      <c r="AH2957" s="8" t="str">
        <f ca="1">IFERROR(__xludf.DUMMYFUNCTION("""COMPUTED_VALUE"""),"No")</f>
        <v>No</v>
      </c>
      <c r="AI2957" s="8" t="str">
        <f ca="1">IFERROR(__xludf.DUMMYFUNCTION("""COMPUTED_VALUE"""),"No")</f>
        <v>No</v>
      </c>
      <c r="AJ2957" s="8" t="str">
        <f ca="1">IFERROR(__xludf.DUMMYFUNCTION("""COMPUTED_VALUE"""),"No")</f>
        <v>No</v>
      </c>
      <c r="AK2957" s="8" t="str">
        <f ca="1">IFERROR(__xludf.DUMMYFUNCTION("""COMPUTED_VALUE"""),"No")</f>
        <v>No</v>
      </c>
      <c r="AL2957" s="8" t="str">
        <f ca="1">IFERROR(__xludf.DUMMYFUNCTION("""COMPUTED_VALUE"""),"No")</f>
        <v>No</v>
      </c>
      <c r="AM2957" s="8"/>
      <c r="AN2957" s="8"/>
      <c r="AO2957" s="8" t="str">
        <f ca="1">IFERROR(__xludf.DUMMYFUNCTION("""COMPUTED_VALUE"""),"No")</f>
        <v>No</v>
      </c>
      <c r="AP2957" s="8"/>
      <c r="AQ2957" s="8" t="str">
        <f ca="1">IFERROR(__xludf.DUMMYFUNCTION("""COMPUTED_VALUE"""),"Unknown")</f>
        <v>Unknown</v>
      </c>
      <c r="AR2957" s="8" t="str">
        <f ca="1">IFERROR(__xludf.DUMMYFUNCTION("""COMPUTED_VALUE"""),"NA")</f>
        <v>NA</v>
      </c>
      <c r="AS2957" s="8">
        <f ca="1">IFERROR(__xludf.DUMMYFUNCTION("""COMPUTED_VALUE"""),1)</f>
        <v>1</v>
      </c>
      <c r="AT2957" s="8"/>
      <c r="AU2957" s="8">
        <f ca="1">IFERROR(__xludf.DUMMYFUNCTION("""COMPUTED_VALUE"""),40.669051)</f>
        <v>40.669051000000003</v>
      </c>
      <c r="AV2957" s="8">
        <f ca="1">IFERROR(__xludf.DUMMYFUNCTION("""COMPUTED_VALUE"""),-73.961116)</f>
        <v>-73.961116000000004</v>
      </c>
      <c r="AW2957" s="8"/>
      <c r="AX2957" s="8">
        <f ca="1">IFERROR(__xludf.DUMMYFUNCTION("""COMPUTED_VALUE"""),11225)</f>
        <v>11225</v>
      </c>
    </row>
    <row r="2958" spans="1:50" ht="30" x14ac:dyDescent="0.2">
      <c r="A2958" s="8" t="str">
        <f ca="1">IFERROR(__xludf.DUMMYFUNCTION("""COMPUTED_VALUE"""),"19800502MINOD")</f>
        <v>19800502MINOD</v>
      </c>
      <c r="B2958" s="8">
        <f ca="1">IFERROR(__xludf.DUMMYFUNCTION("""COMPUTED_VALUE"""),5)</f>
        <v>5</v>
      </c>
      <c r="C2958" s="8">
        <f ca="1">IFERROR(__xludf.DUMMYFUNCTION("""COMPUTED_VALUE"""),2)</f>
        <v>2</v>
      </c>
      <c r="D2958" s="8">
        <f ca="1">IFERROR(__xludf.DUMMYFUNCTION("""COMPUTED_VALUE"""),1980)</f>
        <v>1980</v>
      </c>
      <c r="E2958" s="9">
        <f ca="1">IFERROR(__xludf.DUMMYFUNCTION("""COMPUTED_VALUE"""),29343)</f>
        <v>29343</v>
      </c>
      <c r="F2958" s="8" t="str">
        <f ca="1">IFERROR(__xludf.DUMMYFUNCTION("""COMPUTED_VALUE"""),"Northwestern High School")</f>
        <v>Northwestern High School</v>
      </c>
      <c r="G2958" s="8">
        <f ca="1">IFERROR(__xludf.DUMMYFUNCTION("""COMPUTED_VALUE"""),0)</f>
        <v>0</v>
      </c>
      <c r="H2958" s="8">
        <f ca="1">IFERROR(__xludf.DUMMYFUNCTION("""COMPUTED_VALUE"""),1)</f>
        <v>1</v>
      </c>
      <c r="I2958" s="8">
        <f ca="1">IFERROR(__xludf.DUMMYFUNCTION("""COMPUTED_VALUE"""),1)</f>
        <v>1</v>
      </c>
      <c r="J2958" s="8">
        <f ca="1">IFERROR(__xludf.DUMMYFUNCTION("""COMPUTED_VALUE"""),0)</f>
        <v>0</v>
      </c>
      <c r="K2958" s="8" t="str">
        <f ca="1">IFERROR(__xludf.DUMMYFUNCTION("""COMPUTED_VALUE"""),"Detroit Free Press")</f>
        <v>Detroit Free Press</v>
      </c>
      <c r="L2958" s="8"/>
      <c r="M2958" s="8" t="str">
        <f ca="1">IFERROR(__xludf.DUMMYFUNCTION("""COMPUTED_VALUE"""),"Local")</f>
        <v>Local</v>
      </c>
      <c r="N2958" s="8">
        <f ca="1">IFERROR(__xludf.DUMMYFUNCTION("""COMPUTED_VALUE"""),2)</f>
        <v>2</v>
      </c>
      <c r="O2958" s="8" t="str">
        <f ca="1">IFERROR(__xludf.DUMMYFUNCTION("""COMPUTED_VALUE"""),"Spring")</f>
        <v>Spring</v>
      </c>
      <c r="P2958" s="8" t="str">
        <f ca="1">IFERROR(__xludf.DUMMYFUNCTION("""COMPUTED_VALUE"""),"Detroit")</f>
        <v>Detroit</v>
      </c>
      <c r="Q2958" s="8" t="str">
        <f ca="1">IFERROR(__xludf.DUMMYFUNCTION("""COMPUTED_VALUE"""),"MI")</f>
        <v>MI</v>
      </c>
      <c r="R2958" s="8" t="str">
        <f ca="1">IFERROR(__xludf.DUMMYFUNCTION("""COMPUTED_VALUE"""),"High")</f>
        <v>High</v>
      </c>
      <c r="S2958" s="8" t="str">
        <f ca="1">IFERROR(__xludf.DUMMYFUNCTION("""COMPUTED_VALUE"""),"Outside on School Property")</f>
        <v>Outside on School Property</v>
      </c>
      <c r="T2958" s="8" t="str">
        <f ca="1">IFERROR(__xludf.DUMMYFUNCTION("""COMPUTED_VALUE"""),"Outside on School Property")</f>
        <v>Outside on School Property</v>
      </c>
      <c r="U2958" s="8" t="str">
        <f ca="1">IFERROR(__xludf.DUMMYFUNCTION("""COMPUTED_VALUE"""),"Yes")</f>
        <v>Yes</v>
      </c>
      <c r="V2958" s="8" t="str">
        <f ca="1">IFERROR(__xludf.DUMMYFUNCTION("""COMPUTED_VALUE"""),"Afternoon Classes")</f>
        <v>Afternoon Classes</v>
      </c>
      <c r="W2958" s="11">
        <f ca="1">IFERROR(__xludf.DUMMYFUNCTION("""COMPUTED_VALUE"""),0.572916666666666)</f>
        <v>0.57291666666666596</v>
      </c>
      <c r="X2958" s="8">
        <f ca="1">IFERROR(__xludf.DUMMYFUNCTION("""COMPUTED_VALUE"""),1)</f>
        <v>1</v>
      </c>
      <c r="Y2958" s="12" t="str">
        <f ca="1">IFERROR(__xludf.DUMMYFUNCTION("""COMPUTED_VALUE"""),"Student shot leaving school")</f>
        <v>Student shot leaving school</v>
      </c>
      <c r="Z2958" s="12" t="str">
        <f ca="1">IFERROR(__xludf.DUMMYFUNCTION("""COMPUTED_VALUE"""),"17-year-old student was shot leaving the school")</f>
        <v>17-year-old student was shot leaving the school</v>
      </c>
      <c r="AA2958" s="8"/>
      <c r="AB2958" s="8"/>
      <c r="AC2958" s="8"/>
      <c r="AD2958" s="8"/>
      <c r="AE2958" s="8"/>
      <c r="AF2958" s="8"/>
      <c r="AG2958" s="8"/>
      <c r="AH2958" s="8"/>
      <c r="AI2958" s="8"/>
      <c r="AJ2958" s="8"/>
      <c r="AK2958" s="8"/>
      <c r="AL2958" s="8"/>
      <c r="AM2958" s="8" t="str">
        <f ca="1">IFERROR(__xludf.DUMMYFUNCTION("""COMPUTED_VALUE"""),"No")</f>
        <v>No</v>
      </c>
      <c r="AN2958" s="8" t="str">
        <f ca="1">IFERROR(__xludf.DUMMYFUNCTION("""COMPUTED_VALUE"""),"Outside")</f>
        <v>Outside</v>
      </c>
      <c r="AO2958" s="8"/>
      <c r="AP2958" s="8"/>
      <c r="AQ2958" s="8"/>
      <c r="AR2958" s="8"/>
      <c r="AS2958" s="8"/>
      <c r="AT2958" s="8"/>
      <c r="AU2958" s="8">
        <f ca="1">IFERROR(__xludf.DUMMYFUNCTION("""COMPUTED_VALUE"""),42.357966)</f>
        <v>42.357965999999998</v>
      </c>
      <c r="AV2958" s="8">
        <f ca="1">IFERROR(__xludf.DUMMYFUNCTION("""COMPUTED_VALUE"""),-83.102983)</f>
        <v>-83.102982999999995</v>
      </c>
      <c r="AW2958" s="8"/>
      <c r="AX2958" s="8">
        <f ca="1">IFERROR(__xludf.DUMMYFUNCTION("""COMPUTED_VALUE"""),48208)</f>
        <v>48208</v>
      </c>
    </row>
    <row r="2959" spans="1:50" ht="75" x14ac:dyDescent="0.2">
      <c r="A2959" s="8" t="str">
        <f ca="1">IFERROR(__xludf.DUMMYFUNCTION("""COMPUTED_VALUE"""),"19800417VACAC")</f>
        <v>19800417VACAC</v>
      </c>
      <c r="B2959" s="8">
        <f ca="1">IFERROR(__xludf.DUMMYFUNCTION("""COMPUTED_VALUE"""),4)</f>
        <v>4</v>
      </c>
      <c r="C2959" s="8">
        <f ca="1">IFERROR(__xludf.DUMMYFUNCTION("""COMPUTED_VALUE"""),17)</f>
        <v>17</v>
      </c>
      <c r="D2959" s="8">
        <f ca="1">IFERROR(__xludf.DUMMYFUNCTION("""COMPUTED_VALUE"""),1980)</f>
        <v>1980</v>
      </c>
      <c r="E2959" s="9">
        <f ca="1">IFERROR(__xludf.DUMMYFUNCTION("""COMPUTED_VALUE"""),29328)</f>
        <v>29328</v>
      </c>
      <c r="F2959" s="8" t="str">
        <f ca="1">IFERROR(__xludf.DUMMYFUNCTION("""COMPUTED_VALUE"""),"Capeville Elementary School")</f>
        <v>Capeville Elementary School</v>
      </c>
      <c r="G2959" s="8">
        <f ca="1">IFERROR(__xludf.DUMMYFUNCTION("""COMPUTED_VALUE"""),2)</f>
        <v>2</v>
      </c>
      <c r="H2959" s="8">
        <f ca="1">IFERROR(__xludf.DUMMYFUNCTION("""COMPUTED_VALUE"""),0)</f>
        <v>0</v>
      </c>
      <c r="I2959" s="8">
        <f ca="1">IFERROR(__xludf.DUMMYFUNCTION("""COMPUTED_VALUE"""),2)</f>
        <v>2</v>
      </c>
      <c r="J2959" s="8">
        <f ca="1">IFERROR(__xludf.DUMMYFUNCTION("""COMPUTED_VALUE"""),0)</f>
        <v>0</v>
      </c>
      <c r="K2959" s="10" t="str">
        <f ca="1">IFERROR(__xludf.DUMMYFUNCTION("""COMPUTED_VALUE"""),"https://www.newspapers.com/image/281071758/?terms=Capeville%2BElementary%2BSchool%2Bshooting")</f>
        <v>https://www.newspapers.com/image/281071758/?terms=Capeville%2BElementary%2BSchool%2Bshooting</v>
      </c>
      <c r="L2959" s="8"/>
      <c r="M2959" s="8"/>
      <c r="N2959" s="8">
        <f ca="1">IFERROR(__xludf.DUMMYFUNCTION("""COMPUTED_VALUE"""),2)</f>
        <v>2</v>
      </c>
      <c r="O2959" s="8" t="str">
        <f ca="1">IFERROR(__xludf.DUMMYFUNCTION("""COMPUTED_VALUE"""),"Spring")</f>
        <v>Spring</v>
      </c>
      <c r="P2959" s="8" t="str">
        <f ca="1">IFERROR(__xludf.DUMMYFUNCTION("""COMPUTED_VALUE"""),"Capeville")</f>
        <v>Capeville</v>
      </c>
      <c r="Q2959" s="8" t="str">
        <f ca="1">IFERROR(__xludf.DUMMYFUNCTION("""COMPUTED_VALUE"""),"VA")</f>
        <v>VA</v>
      </c>
      <c r="R2959" s="8" t="str">
        <f ca="1">IFERROR(__xludf.DUMMYFUNCTION("""COMPUTED_VALUE"""),"Elementary")</f>
        <v>Elementary</v>
      </c>
      <c r="S2959" s="8" t="str">
        <f ca="1">IFERROR(__xludf.DUMMYFUNCTION("""COMPUTED_VALUE"""),"Office")</f>
        <v>Office</v>
      </c>
      <c r="T2959" s="8" t="str">
        <f ca="1">IFERROR(__xludf.DUMMYFUNCTION("""COMPUTED_VALUE"""),"Inside School Building")</f>
        <v>Inside School Building</v>
      </c>
      <c r="U2959" s="8" t="str">
        <f ca="1">IFERROR(__xludf.DUMMYFUNCTION("""COMPUTED_VALUE"""),"Yes")</f>
        <v>Yes</v>
      </c>
      <c r="V2959" s="8" t="str">
        <f ca="1">IFERROR(__xludf.DUMMYFUNCTION("""COMPUTED_VALUE"""),"Morning Classes")</f>
        <v>Morning Classes</v>
      </c>
      <c r="W2959" s="11">
        <f ca="1">IFERROR(__xludf.DUMMYFUNCTION("""COMPUTED_VALUE"""),0.427083333333333)</f>
        <v>0.42708333333333298</v>
      </c>
      <c r="X2959" s="8">
        <f ca="1">IFERROR(__xludf.DUMMYFUNCTION("""COMPUTED_VALUE"""),1)</f>
        <v>1</v>
      </c>
      <c r="Y2959" s="12" t="str">
        <f ca="1">IFERROR(__xludf.DUMMYFUNCTION("""COMPUTED_VALUE"""),"Killed estranged wife (school employee) and school principal in their office")</f>
        <v>Killed estranged wife (school employee) and school principal in their office</v>
      </c>
      <c r="Z2959" s="12" t="str">
        <f ca="1">IFERROR(__xludf.DUMMYFUNCTION("""COMPUTED_VALUE"""),"53YOM killed estranged wife (school employee) and principal in their office. Walked out of the school and surrendered to police.")</f>
        <v>53YOM killed estranged wife (school employee) and principal in their office. Walked out of the school and surrendered to police.</v>
      </c>
      <c r="AA2959" s="8" t="str">
        <f ca="1">IFERROR(__xludf.DUMMYFUNCTION("""COMPUTED_VALUE"""),"Domestic w/ Targeted Victim")</f>
        <v>Domestic w/ Targeted Victim</v>
      </c>
      <c r="AB2959" s="8"/>
      <c r="AC2959" s="8"/>
      <c r="AD2959" s="8" t="str">
        <f ca="1">IFERROR(__xludf.DUMMYFUNCTION("""COMPUTED_VALUE"""),"Victims Targeted")</f>
        <v>Victims Targeted</v>
      </c>
      <c r="AE2959" s="8" t="str">
        <f ca="1">IFERROR(__xludf.DUMMYFUNCTION("""COMPUTED_VALUE"""),"No")</f>
        <v>No</v>
      </c>
      <c r="AF2959" s="8"/>
      <c r="AG2959" s="8" t="str">
        <f ca="1">IFERROR(__xludf.DUMMYFUNCTION("""COMPUTED_VALUE"""),"No")</f>
        <v>No</v>
      </c>
      <c r="AH2959" s="8" t="str">
        <f ca="1">IFERROR(__xludf.DUMMYFUNCTION("""COMPUTED_VALUE"""),"No")</f>
        <v>No</v>
      </c>
      <c r="AI2959" s="8" t="str">
        <f ca="1">IFERROR(__xludf.DUMMYFUNCTION("""COMPUTED_VALUE"""),"No")</f>
        <v>No</v>
      </c>
      <c r="AJ2959" s="8" t="str">
        <f ca="1">IFERROR(__xludf.DUMMYFUNCTION("""COMPUTED_VALUE"""),"No")</f>
        <v>No</v>
      </c>
      <c r="AK2959" s="8" t="str">
        <f ca="1">IFERROR(__xludf.DUMMYFUNCTION("""COMPUTED_VALUE"""),"Yes")</f>
        <v>Yes</v>
      </c>
      <c r="AL2959" s="8" t="str">
        <f ca="1">IFERROR(__xludf.DUMMYFUNCTION("""COMPUTED_VALUE"""),"No")</f>
        <v>No</v>
      </c>
      <c r="AM2959" s="8"/>
      <c r="AN2959" s="8"/>
      <c r="AO2959" s="8" t="str">
        <f ca="1">IFERROR(__xludf.DUMMYFUNCTION("""COMPUTED_VALUE"""),"No")</f>
        <v>No</v>
      </c>
      <c r="AP2959" s="8"/>
      <c r="AQ2959" s="8" t="str">
        <f ca="1">IFERROR(__xludf.DUMMYFUNCTION("""COMPUTED_VALUE"""),"Unknown")</f>
        <v>Unknown</v>
      </c>
      <c r="AR2959" s="8" t="str">
        <f ca="1">IFERROR(__xludf.DUMMYFUNCTION("""COMPUTED_VALUE"""),"NA")</f>
        <v>NA</v>
      </c>
      <c r="AS2959" s="8">
        <f ca="1">IFERROR(__xludf.DUMMYFUNCTION("""COMPUTED_VALUE"""),8)</f>
        <v>8</v>
      </c>
      <c r="AT2959" s="8"/>
      <c r="AU2959" s="8">
        <f ca="1">IFERROR(__xludf.DUMMYFUNCTION("""COMPUTED_VALUE"""),37.199457)</f>
        <v>37.199457000000002</v>
      </c>
      <c r="AV2959" s="8">
        <f ca="1">IFERROR(__xludf.DUMMYFUNCTION("""COMPUTED_VALUE"""),-75.958499)</f>
        <v>-75.958499000000003</v>
      </c>
      <c r="AW2959" s="8"/>
      <c r="AX2959" s="8">
        <f ca="1">IFERROR(__xludf.DUMMYFUNCTION("""COMPUTED_VALUE"""),23313)</f>
        <v>23313</v>
      </c>
    </row>
    <row r="2960" spans="1:50" ht="75" x14ac:dyDescent="0.2">
      <c r="A2960" s="8" t="str">
        <f ca="1">IFERROR(__xludf.DUMMYFUNCTION("""COMPUTED_VALUE"""),"19800331MDFRB")</f>
        <v>19800331MDFRB</v>
      </c>
      <c r="B2960" s="8">
        <f ca="1">IFERROR(__xludf.DUMMYFUNCTION("""COMPUTED_VALUE"""),3)</f>
        <v>3</v>
      </c>
      <c r="C2960" s="8">
        <f ca="1">IFERROR(__xludf.DUMMYFUNCTION("""COMPUTED_VALUE"""),31)</f>
        <v>31</v>
      </c>
      <c r="D2960" s="8">
        <f ca="1">IFERROR(__xludf.DUMMYFUNCTION("""COMPUTED_VALUE"""),1980)</f>
        <v>1980</v>
      </c>
      <c r="E2960" s="9">
        <f ca="1">IFERROR(__xludf.DUMMYFUNCTION("""COMPUTED_VALUE"""),29311)</f>
        <v>29311</v>
      </c>
      <c r="F2960" s="8" t="str">
        <f ca="1">IFERROR(__xludf.DUMMYFUNCTION("""COMPUTED_VALUE"""),"Frederick Douglass Senior High School")</f>
        <v>Frederick Douglass Senior High School</v>
      </c>
      <c r="G2960" s="8">
        <f ca="1">IFERROR(__xludf.DUMMYFUNCTION("""COMPUTED_VALUE"""),0)</f>
        <v>0</v>
      </c>
      <c r="H2960" s="8">
        <f ca="1">IFERROR(__xludf.DUMMYFUNCTION("""COMPUTED_VALUE"""),1)</f>
        <v>1</v>
      </c>
      <c r="I2960" s="8">
        <f ca="1">IFERROR(__xludf.DUMMYFUNCTION("""COMPUTED_VALUE"""),1)</f>
        <v>1</v>
      </c>
      <c r="J2960" s="8">
        <f ca="1">IFERROR(__xludf.DUMMYFUNCTION("""COMPUTED_VALUE"""),0)</f>
        <v>0</v>
      </c>
      <c r="K2960" s="10" t="str">
        <f ca="1">IFERROR(__xludf.DUMMYFUNCTION("""COMPUTED_VALUE"""),"https://www.newspapers.com/image/377692610/?terms=Frederick%2BDouglass%2BSenior%2BHigh%2BSchool%2Bshooting")</f>
        <v>https://www.newspapers.com/image/377692610/?terms=Frederick%2BDouglass%2BSenior%2BHigh%2BSchool%2Bshooting</v>
      </c>
      <c r="L2960" s="8"/>
      <c r="M2960" s="8"/>
      <c r="N2960" s="8">
        <f ca="1">IFERROR(__xludf.DUMMYFUNCTION("""COMPUTED_VALUE"""),2)</f>
        <v>2</v>
      </c>
      <c r="O2960" s="8" t="str">
        <f ca="1">IFERROR(__xludf.DUMMYFUNCTION("""COMPUTED_VALUE"""),"Spring")</f>
        <v>Spring</v>
      </c>
      <c r="P2960" s="8" t="str">
        <f ca="1">IFERROR(__xludf.DUMMYFUNCTION("""COMPUTED_VALUE"""),"Baltimore")</f>
        <v>Baltimore</v>
      </c>
      <c r="Q2960" s="8" t="str">
        <f ca="1">IFERROR(__xludf.DUMMYFUNCTION("""COMPUTED_VALUE"""),"MD")</f>
        <v>MD</v>
      </c>
      <c r="R2960" s="8" t="str">
        <f ca="1">IFERROR(__xludf.DUMMYFUNCTION("""COMPUTED_VALUE"""),"High")</f>
        <v>High</v>
      </c>
      <c r="S2960" s="8" t="str">
        <f ca="1">IFERROR(__xludf.DUMMYFUNCTION("""COMPUTED_VALUE"""),"Hallway")</f>
        <v>Hallway</v>
      </c>
      <c r="T2960" s="8" t="str">
        <f ca="1">IFERROR(__xludf.DUMMYFUNCTION("""COMPUTED_VALUE"""),"Inside School Building")</f>
        <v>Inside School Building</v>
      </c>
      <c r="U2960" s="8" t="str">
        <f ca="1">IFERROR(__xludf.DUMMYFUNCTION("""COMPUTED_VALUE"""),"Yes")</f>
        <v>Yes</v>
      </c>
      <c r="V2960" s="8" t="str">
        <f ca="1">IFERROR(__xludf.DUMMYFUNCTION("""COMPUTED_VALUE"""),"School Start")</f>
        <v>School Start</v>
      </c>
      <c r="W2960" s="11">
        <f ca="1">IFERROR(__xludf.DUMMYFUNCTION("""COMPUTED_VALUE"""),0.375)</f>
        <v>0.375</v>
      </c>
      <c r="X2960" s="8">
        <f ca="1">IFERROR(__xludf.DUMMYFUNCTION("""COMPUTED_VALUE"""),1)</f>
        <v>1</v>
      </c>
      <c r="Y2960" s="12" t="str">
        <f ca="1">IFERROR(__xludf.DUMMYFUNCTION("""COMPUTED_VALUE"""),"Shot fired during fight in hallway between students with Ongoing dispute")</f>
        <v>Shot fired during fight in hallway between students with Ongoing dispute</v>
      </c>
      <c r="Z2960" s="12" t="str">
        <f ca="1">IFERROR(__xludf.DUMMYFUNCTION("""COMPUTED_VALUE"""),"Fight in the hallway between 2 students escalated into a 16YOM shooting another 16YOM student in the chest. Shooter fled and was later arrested.")</f>
        <v>Fight in the hallway between 2 students escalated into a 16YOM shooting another 16YOM student in the chest. Shooter fled and was later arrested.</v>
      </c>
      <c r="AA2960" s="8" t="str">
        <f ca="1">IFERROR(__xludf.DUMMYFUNCTION("""COMPUTED_VALUE"""),"Escalation of Dispute")</f>
        <v>Escalation of Dispute</v>
      </c>
      <c r="AB2960" s="8"/>
      <c r="AC2960" s="8"/>
      <c r="AD2960" s="8" t="str">
        <f ca="1">IFERROR(__xludf.DUMMYFUNCTION("""COMPUTED_VALUE"""),"Victims Targeted")</f>
        <v>Victims Targeted</v>
      </c>
      <c r="AE2960" s="8" t="str">
        <f ca="1">IFERROR(__xludf.DUMMYFUNCTION("""COMPUTED_VALUE"""),"Yes")</f>
        <v>Yes</v>
      </c>
      <c r="AF2960" s="8" t="str">
        <f ca="1">IFERROR(__xludf.DUMMYFUNCTION("""COMPUTED_VALUE"""),"Handed gun in a paper bag by another student")</f>
        <v>Handed gun in a paper bag by another student</v>
      </c>
      <c r="AG2960" s="8" t="str">
        <f ca="1">IFERROR(__xludf.DUMMYFUNCTION("""COMPUTED_VALUE"""),"No")</f>
        <v>No</v>
      </c>
      <c r="AH2960" s="8" t="str">
        <f ca="1">IFERROR(__xludf.DUMMYFUNCTION("""COMPUTED_VALUE"""),"No")</f>
        <v>No</v>
      </c>
      <c r="AI2960" s="8" t="str">
        <f ca="1">IFERROR(__xludf.DUMMYFUNCTION("""COMPUTED_VALUE"""),"No")</f>
        <v>No</v>
      </c>
      <c r="AJ2960" s="8" t="str">
        <f ca="1">IFERROR(__xludf.DUMMYFUNCTION("""COMPUTED_VALUE"""),"No")</f>
        <v>No</v>
      </c>
      <c r="AK2960" s="8" t="str">
        <f ca="1">IFERROR(__xludf.DUMMYFUNCTION("""COMPUTED_VALUE"""),"No")</f>
        <v>No</v>
      </c>
      <c r="AL2960" s="8" t="str">
        <f ca="1">IFERROR(__xludf.DUMMYFUNCTION("""COMPUTED_VALUE"""),"No")</f>
        <v>No</v>
      </c>
      <c r="AM2960" s="8"/>
      <c r="AN2960" s="8"/>
      <c r="AO2960" s="8" t="str">
        <f ca="1">IFERROR(__xludf.DUMMYFUNCTION("""COMPUTED_VALUE"""),"No")</f>
        <v>No</v>
      </c>
      <c r="AP2960" s="8"/>
      <c r="AQ2960" s="8" t="str">
        <f ca="1">IFERROR(__xludf.DUMMYFUNCTION("""COMPUTED_VALUE"""),"Unknown")</f>
        <v>Unknown</v>
      </c>
      <c r="AR2960" s="8" t="str">
        <f ca="1">IFERROR(__xludf.DUMMYFUNCTION("""COMPUTED_VALUE"""),"NA")</f>
        <v>NA</v>
      </c>
      <c r="AS2960" s="8">
        <f ca="1">IFERROR(__xludf.DUMMYFUNCTION("""COMPUTED_VALUE"""),1)</f>
        <v>1</v>
      </c>
      <c r="AT2960" s="8"/>
      <c r="AU2960" s="8">
        <f ca="1">IFERROR(__xludf.DUMMYFUNCTION("""COMPUTED_VALUE"""),39.314978)</f>
        <v>39.314978000000004</v>
      </c>
      <c r="AV2960" s="8">
        <f ca="1">IFERROR(__xludf.DUMMYFUNCTION("""COMPUTED_VALUE"""),-76.654319)</f>
        <v>-76.654319000000001</v>
      </c>
      <c r="AW2960" s="8"/>
      <c r="AX2960" s="8">
        <f ca="1">IFERROR(__xludf.DUMMYFUNCTION("""COMPUTED_VALUE"""),21217)</f>
        <v>21217</v>
      </c>
    </row>
    <row r="2961" spans="1:50" ht="210" x14ac:dyDescent="0.2">
      <c r="A2961" s="8" t="str">
        <f ca="1">IFERROR(__xludf.DUMMYFUNCTION("""COMPUTED_VALUE"""),"19800320TXJLD")</f>
        <v>19800320TXJLD</v>
      </c>
      <c r="B2961" s="8">
        <f ca="1">IFERROR(__xludf.DUMMYFUNCTION("""COMPUTED_VALUE"""),3)</f>
        <v>3</v>
      </c>
      <c r="C2961" s="8">
        <f ca="1">IFERROR(__xludf.DUMMYFUNCTION("""COMPUTED_VALUE"""),20)</f>
        <v>20</v>
      </c>
      <c r="D2961" s="8">
        <f ca="1">IFERROR(__xludf.DUMMYFUNCTION("""COMPUTED_VALUE"""),1980)</f>
        <v>1980</v>
      </c>
      <c r="E2961" s="9">
        <f ca="1">IFERROR(__xludf.DUMMYFUNCTION("""COMPUTED_VALUE"""),29300)</f>
        <v>29300</v>
      </c>
      <c r="F2961" s="8" t="str">
        <f ca="1">IFERROR(__xludf.DUMMYFUNCTION("""COMPUTED_VALUE"""),"J Leslie Patton School")</f>
        <v>J Leslie Patton School</v>
      </c>
      <c r="G2961" s="8">
        <f ca="1">IFERROR(__xludf.DUMMYFUNCTION("""COMPUTED_VALUE"""),1)</f>
        <v>1</v>
      </c>
      <c r="H2961" s="8">
        <f ca="1">IFERROR(__xludf.DUMMYFUNCTION("""COMPUTED_VALUE"""),0)</f>
        <v>0</v>
      </c>
      <c r="I2961" s="8">
        <f ca="1">IFERROR(__xludf.DUMMYFUNCTION("""COMPUTED_VALUE"""),1)</f>
        <v>1</v>
      </c>
      <c r="J2961" s="8">
        <f ca="1">IFERROR(__xludf.DUMMYFUNCTION("""COMPUTED_VALUE"""),0)</f>
        <v>0</v>
      </c>
      <c r="K2961" s="8" t="str">
        <f ca="1">IFERROR(__xludf.DUMMYFUNCTION("""COMPUTED_VALUE"""),"https://www.newspapers.com/newspage/9077625/; https://www.newspapers.com/image/436830529/?terms=ROSIE%2BPEARSON%2BSHOT")</f>
        <v>https://www.newspapers.com/newspage/9077625/; https://www.newspapers.com/image/436830529/?terms=ROSIE%2BPEARSON%2BSHOT</v>
      </c>
      <c r="L2961" s="8"/>
      <c r="M2961" s="8"/>
      <c r="N2961" s="8">
        <f ca="1">IFERROR(__xludf.DUMMYFUNCTION("""COMPUTED_VALUE"""),2)</f>
        <v>2</v>
      </c>
      <c r="O2961" s="8" t="str">
        <f ca="1">IFERROR(__xludf.DUMMYFUNCTION("""COMPUTED_VALUE"""),"Spring")</f>
        <v>Spring</v>
      </c>
      <c r="P2961" s="8" t="str">
        <f ca="1">IFERROR(__xludf.DUMMYFUNCTION("""COMPUTED_VALUE"""),"Dallas")</f>
        <v>Dallas</v>
      </c>
      <c r="Q2961" s="8" t="str">
        <f ca="1">IFERROR(__xludf.DUMMYFUNCTION("""COMPUTED_VALUE"""),"TX")</f>
        <v>TX</v>
      </c>
      <c r="R2961" s="8" t="str">
        <f ca="1">IFERROR(__xludf.DUMMYFUNCTION("""COMPUTED_VALUE"""),"High")</f>
        <v>High</v>
      </c>
      <c r="S2961" s="8" t="str">
        <f ca="1">IFERROR(__xludf.DUMMYFUNCTION("""COMPUTED_VALUE"""),"Entryway")</f>
        <v>Entryway</v>
      </c>
      <c r="T2961" s="8" t="str">
        <f ca="1">IFERROR(__xludf.DUMMYFUNCTION("""COMPUTED_VALUE"""),"Inside School Building")</f>
        <v>Inside School Building</v>
      </c>
      <c r="U2961" s="8" t="str">
        <f ca="1">IFERROR(__xludf.DUMMYFUNCTION("""COMPUTED_VALUE"""),"No")</f>
        <v>No</v>
      </c>
      <c r="V2961" s="8" t="str">
        <f ca="1">IFERROR(__xludf.DUMMYFUNCTION("""COMPUTED_VALUE"""),"After School")</f>
        <v>After School</v>
      </c>
      <c r="W2961" s="11">
        <f ca="1">IFERROR(__xludf.DUMMYFUNCTION("""COMPUTED_VALUE"""),0.647916666666666)</f>
        <v>0.64791666666666603</v>
      </c>
      <c r="X2961" s="8">
        <f ca="1">IFERROR(__xludf.DUMMYFUNCTION("""COMPUTED_VALUE"""),1)</f>
        <v>1</v>
      </c>
      <c r="Y2961" s="12" t="str">
        <f ca="1">IFERROR(__xludf.DUMMYFUNCTION("""COMPUTED_VALUE"""),"Unknown suspect targeted teacher shot after school")</f>
        <v>Unknown suspect targeted teacher shot after school</v>
      </c>
      <c r="Z2961" s="12" t="str">
        <f ca="1">IFERROR(__xludf.DUMMYFUNCTION("""COMPUTED_VALUE"""),"An unknown bearded gunman with a ""big gun"" who shot and killed a Dallas schoolteacher as she stood with fellow teachers in a school lobby. A source close to the investigation said officers were seeking a man acquainted with Mrs. Pearson in the shooting."&amp;" She said teachers told her the gunman came into the lobby and shot Mrs. Pearson, then fled. No one else was injured, Mrs. Toles said, and apparently the gunman said nothing before the shots were fired. The shooting occurred about ""50-150 feet"" from Mrs"&amp;". Pearson's classroom. The bearded gunman walked into the school carrying ""a big gun"" and shot four times, striking the teacher in the leg, shoulder and abdomen. The man was described as about 30, 5-foot-10, 140 pounds, wearing a blue jacket and dark pa"&amp;"nts.")</f>
        <v>An unknown bearded gunman with a "big gun" who shot and killed a Dallas schoolteacher as she stood with fellow teachers in a school lobby. A source close to the investigation said officers were seeking a man acquainted with Mrs. Pearson in the shooting. She said teachers told her the gunman came into the lobby and shot Mrs. Pearson, then fled. No one else was injured, Mrs. Toles said, and apparently the gunman said nothing before the shots were fired. The shooting occurred about "50-150 feet" from Mrs. Pearson's classroom. The bearded gunman walked into the school carrying "a big gun" and shot four times, striking the teacher in the leg, shoulder and abdomen. The man was described as about 30, 5-foot-10, 140 pounds, wearing a blue jacket and dark pants.</v>
      </c>
      <c r="AA2961" s="8" t="str">
        <f ca="1">IFERROR(__xludf.DUMMYFUNCTION("""COMPUTED_VALUE"""),"Domestic w/ Targeted Victim")</f>
        <v>Domestic w/ Targeted Victim</v>
      </c>
      <c r="AB2961" s="8"/>
      <c r="AC2961" s="8"/>
      <c r="AD2961" s="8" t="str">
        <f ca="1">IFERROR(__xludf.DUMMYFUNCTION("""COMPUTED_VALUE"""),"Victims Targeted")</f>
        <v>Victims Targeted</v>
      </c>
      <c r="AE2961" s="8" t="str">
        <f ca="1">IFERROR(__xludf.DUMMYFUNCTION("""COMPUTED_VALUE"""),"No")</f>
        <v>No</v>
      </c>
      <c r="AF2961" s="8"/>
      <c r="AG2961" s="8" t="str">
        <f ca="1">IFERROR(__xludf.DUMMYFUNCTION("""COMPUTED_VALUE"""),"No")</f>
        <v>No</v>
      </c>
      <c r="AH2961" s="8" t="str">
        <f ca="1">IFERROR(__xludf.DUMMYFUNCTION("""COMPUTED_VALUE"""),"No")</f>
        <v>No</v>
      </c>
      <c r="AI2961" s="8" t="str">
        <f ca="1">IFERROR(__xludf.DUMMYFUNCTION("""COMPUTED_VALUE"""),"No")</f>
        <v>No</v>
      </c>
      <c r="AJ2961" s="8"/>
      <c r="AK2961" s="8" t="str">
        <f ca="1">IFERROR(__xludf.DUMMYFUNCTION("""COMPUTED_VALUE"""),"Yes")</f>
        <v>Yes</v>
      </c>
      <c r="AL2961" s="8" t="str">
        <f ca="1">IFERROR(__xludf.DUMMYFUNCTION("""COMPUTED_VALUE"""),"No")</f>
        <v>No</v>
      </c>
      <c r="AM2961" s="8"/>
      <c r="AN2961" s="8"/>
      <c r="AO2961" s="8" t="str">
        <f ca="1">IFERROR(__xludf.DUMMYFUNCTION("""COMPUTED_VALUE"""),"No")</f>
        <v>No</v>
      </c>
      <c r="AP2961" s="8" t="str">
        <f ca="1">IFERROR(__xludf.DUMMYFUNCTION("""COMPUTED_VALUE"""),"No")</f>
        <v>No</v>
      </c>
      <c r="AQ2961" s="8" t="str">
        <f ca="1">IFERROR(__xludf.DUMMYFUNCTION("""COMPUTED_VALUE"""),"None")</f>
        <v>None</v>
      </c>
      <c r="AR2961" s="8" t="str">
        <f ca="1">IFERROR(__xludf.DUMMYFUNCTION("""COMPUTED_VALUE"""),"NA")</f>
        <v>NA</v>
      </c>
      <c r="AS2961" s="8" t="str">
        <f ca="1">IFERROR(__xludf.DUMMYFUNCTION("""COMPUTED_VALUE"""),"&lt;5")</f>
        <v>&lt;5</v>
      </c>
      <c r="AT2961" s="8"/>
      <c r="AU2961" s="8">
        <f ca="1">IFERROR(__xludf.DUMMYFUNCTION("""COMPUTED_VALUE"""),32.704418)</f>
        <v>32.704417999999997</v>
      </c>
      <c r="AV2961" s="8">
        <f ca="1">IFERROR(__xludf.DUMMYFUNCTION("""COMPUTED_VALUE"""),-96.824146)</f>
        <v>-96.824145999999999</v>
      </c>
      <c r="AW2961" s="8"/>
      <c r="AX2961" s="8">
        <f ca="1">IFERROR(__xludf.DUMMYFUNCTION("""COMPUTED_VALUE"""),75224)</f>
        <v>75224</v>
      </c>
    </row>
    <row r="2962" spans="1:50" ht="60" x14ac:dyDescent="0.2">
      <c r="A2962" s="8" t="str">
        <f ca="1">IFERROR(__xludf.DUMMYFUNCTION("""COMPUTED_VALUE"""),"19800215MSHUM")</f>
        <v>19800215MSHUM</v>
      </c>
      <c r="B2962" s="8">
        <f ca="1">IFERROR(__xludf.DUMMYFUNCTION("""COMPUTED_VALUE"""),2)</f>
        <v>2</v>
      </c>
      <c r="C2962" s="8">
        <f ca="1">IFERROR(__xludf.DUMMYFUNCTION("""COMPUTED_VALUE"""),15)</f>
        <v>15</v>
      </c>
      <c r="D2962" s="8">
        <f ca="1">IFERROR(__xludf.DUMMYFUNCTION("""COMPUTED_VALUE"""),1980)</f>
        <v>1980</v>
      </c>
      <c r="E2962" s="9">
        <f ca="1">IFERROR(__xludf.DUMMYFUNCTION("""COMPUTED_VALUE"""),29266)</f>
        <v>29266</v>
      </c>
      <c r="F2962" s="8" t="str">
        <f ca="1">IFERROR(__xludf.DUMMYFUNCTION("""COMPUTED_VALUE"""),"Hughes School")</f>
        <v>Hughes School</v>
      </c>
      <c r="G2962" s="8">
        <f ca="1">IFERROR(__xludf.DUMMYFUNCTION("""COMPUTED_VALUE"""),1)</f>
        <v>1</v>
      </c>
      <c r="H2962" s="8">
        <f ca="1">IFERROR(__xludf.DUMMYFUNCTION("""COMPUTED_VALUE"""),0)</f>
        <v>0</v>
      </c>
      <c r="I2962" s="8">
        <f ca="1">IFERROR(__xludf.DUMMYFUNCTION("""COMPUTED_VALUE"""),1)</f>
        <v>1</v>
      </c>
      <c r="J2962" s="8">
        <f ca="1">IFERROR(__xludf.DUMMYFUNCTION("""COMPUTED_VALUE"""),0)</f>
        <v>0</v>
      </c>
      <c r="K2962" s="10" t="str">
        <f ca="1">IFERROR(__xludf.DUMMYFUNCTION("""COMPUTED_VALUE"""),"https://www.newspapers.com/image/318405620/?terms=sandra%2Bviser%2Bmccomb")</f>
        <v>https://www.newspapers.com/image/318405620/?terms=sandra%2Bviser%2Bmccomb</v>
      </c>
      <c r="L2962" s="8"/>
      <c r="M2962" s="8"/>
      <c r="N2962" s="8">
        <f ca="1">IFERROR(__xludf.DUMMYFUNCTION("""COMPUTED_VALUE"""),2)</f>
        <v>2</v>
      </c>
      <c r="O2962" s="8" t="str">
        <f ca="1">IFERROR(__xludf.DUMMYFUNCTION("""COMPUTED_VALUE"""),"Winter")</f>
        <v>Winter</v>
      </c>
      <c r="P2962" s="8" t="str">
        <f ca="1">IFERROR(__xludf.DUMMYFUNCTION("""COMPUTED_VALUE"""),"McComb")</f>
        <v>McComb</v>
      </c>
      <c r="Q2962" s="8" t="str">
        <f ca="1">IFERROR(__xludf.DUMMYFUNCTION("""COMPUTED_VALUE"""),"MS")</f>
        <v>MS</v>
      </c>
      <c r="R2962" s="8" t="str">
        <f ca="1">IFERROR(__xludf.DUMMYFUNCTION("""COMPUTED_VALUE"""),"Other")</f>
        <v>Other</v>
      </c>
      <c r="S2962" s="8" t="str">
        <f ca="1">IFERROR(__xludf.DUMMYFUNCTION("""COMPUTED_VALUE"""),"Outside on School Property")</f>
        <v>Outside on School Property</v>
      </c>
      <c r="T2962" s="8" t="str">
        <f ca="1">IFERROR(__xludf.DUMMYFUNCTION("""COMPUTED_VALUE"""),"Outside on School Property")</f>
        <v>Outside on School Property</v>
      </c>
      <c r="U2962" s="8" t="str">
        <f ca="1">IFERROR(__xludf.DUMMYFUNCTION("""COMPUTED_VALUE"""),"Yes")</f>
        <v>Yes</v>
      </c>
      <c r="V2962" s="8" t="str">
        <f ca="1">IFERROR(__xludf.DUMMYFUNCTION("""COMPUTED_VALUE"""),"Afternoon Classes")</f>
        <v>Afternoon Classes</v>
      </c>
      <c r="W2962" s="11">
        <f ca="1">IFERROR(__xludf.DUMMYFUNCTION("""COMPUTED_VALUE"""),0.569444444444444)</f>
        <v>0.56944444444444398</v>
      </c>
      <c r="X2962" s="8">
        <f ca="1">IFERROR(__xludf.DUMMYFUNCTION("""COMPUTED_VALUE"""),1)</f>
        <v>1</v>
      </c>
      <c r="Y2962" s="12" t="str">
        <f ca="1">IFERROR(__xludf.DUMMYFUNCTION("""COMPUTED_VALUE"""),"School teacher was shot be her husband outside school building")</f>
        <v>School teacher was shot be her husband outside school building</v>
      </c>
      <c r="Z2962" s="12" t="str">
        <f ca="1">IFERROR(__xludf.DUMMYFUNCTION("""COMPUTED_VALUE"""),"Victim was shot by her husband after a domestic")</f>
        <v>Victim was shot by her husband after a domestic</v>
      </c>
      <c r="AA2962" s="8" t="str">
        <f ca="1">IFERROR(__xludf.DUMMYFUNCTION("""COMPUTED_VALUE"""),"Domestic w/ Targeted Victim")</f>
        <v>Domestic w/ Targeted Victim</v>
      </c>
      <c r="AB2962" s="8"/>
      <c r="AC2962" s="8"/>
      <c r="AD2962" s="8" t="str">
        <f ca="1">IFERROR(__xludf.DUMMYFUNCTION("""COMPUTED_VALUE"""),"Victims Targeted")</f>
        <v>Victims Targeted</v>
      </c>
      <c r="AE2962" s="8" t="str">
        <f ca="1">IFERROR(__xludf.DUMMYFUNCTION("""COMPUTED_VALUE"""),"No")</f>
        <v>No</v>
      </c>
      <c r="AF2962" s="8"/>
      <c r="AG2962" s="8" t="str">
        <f ca="1">IFERROR(__xludf.DUMMYFUNCTION("""COMPUTED_VALUE"""),"No")</f>
        <v>No</v>
      </c>
      <c r="AH2962" s="8" t="str">
        <f ca="1">IFERROR(__xludf.DUMMYFUNCTION("""COMPUTED_VALUE"""),"No")</f>
        <v>No</v>
      </c>
      <c r="AI2962" s="8" t="str">
        <f ca="1">IFERROR(__xludf.DUMMYFUNCTION("""COMPUTED_VALUE"""),"No")</f>
        <v>No</v>
      </c>
      <c r="AJ2962" s="8" t="str">
        <f ca="1">IFERROR(__xludf.DUMMYFUNCTION("""COMPUTED_VALUE"""),"No")</f>
        <v>No</v>
      </c>
      <c r="AK2962" s="8" t="str">
        <f ca="1">IFERROR(__xludf.DUMMYFUNCTION("""COMPUTED_VALUE"""),"Yes")</f>
        <v>Yes</v>
      </c>
      <c r="AL2962" s="8" t="str">
        <f ca="1">IFERROR(__xludf.DUMMYFUNCTION("""COMPUTED_VALUE"""),"No")</f>
        <v>No</v>
      </c>
      <c r="AM2962" s="8"/>
      <c r="AN2962" s="8"/>
      <c r="AO2962" s="8" t="str">
        <f ca="1">IFERROR(__xludf.DUMMYFUNCTION("""COMPUTED_VALUE"""),"No")</f>
        <v>No</v>
      </c>
      <c r="AP2962" s="8"/>
      <c r="AQ2962" s="8" t="str">
        <f ca="1">IFERROR(__xludf.DUMMYFUNCTION("""COMPUTED_VALUE"""),"Unknown")</f>
        <v>Unknown</v>
      </c>
      <c r="AR2962" s="8" t="str">
        <f ca="1">IFERROR(__xludf.DUMMYFUNCTION("""COMPUTED_VALUE"""),"NA")</f>
        <v>NA</v>
      </c>
      <c r="AS2962" s="8">
        <f ca="1">IFERROR(__xludf.DUMMYFUNCTION("""COMPUTED_VALUE"""),3)</f>
        <v>3</v>
      </c>
      <c r="AT2962" s="8"/>
      <c r="AU2962" s="8">
        <f ca="1">IFERROR(__xludf.DUMMYFUNCTION("""COMPUTED_VALUE"""),31.250412)</f>
        <v>31.250412000000001</v>
      </c>
      <c r="AV2962" s="8">
        <f ca="1">IFERROR(__xludf.DUMMYFUNCTION("""COMPUTED_VALUE"""),-90.463045)</f>
        <v>-90.463044999999994</v>
      </c>
      <c r="AW2962" s="8"/>
      <c r="AX2962" s="8">
        <f ca="1">IFERROR(__xludf.DUMMYFUNCTION("""COMPUTED_VALUE"""),39660)</f>
        <v>39660</v>
      </c>
    </row>
    <row r="2963" spans="1:50" ht="45" x14ac:dyDescent="0.2">
      <c r="A2963" s="8" t="str">
        <f ca="1">IFERROR(__xludf.DUMMYFUNCTION("""COMPUTED_VALUE"""),"19800211INARI")</f>
        <v>19800211INARI</v>
      </c>
      <c r="B2963" s="8">
        <f ca="1">IFERROR(__xludf.DUMMYFUNCTION("""COMPUTED_VALUE"""),2)</f>
        <v>2</v>
      </c>
      <c r="C2963" s="8">
        <f ca="1">IFERROR(__xludf.DUMMYFUNCTION("""COMPUTED_VALUE"""),11)</f>
        <v>11</v>
      </c>
      <c r="D2963" s="8">
        <f ca="1">IFERROR(__xludf.DUMMYFUNCTION("""COMPUTED_VALUE"""),1980)</f>
        <v>1980</v>
      </c>
      <c r="E2963" s="9">
        <f ca="1">IFERROR(__xludf.DUMMYFUNCTION("""COMPUTED_VALUE"""),29262)</f>
        <v>29262</v>
      </c>
      <c r="F2963" s="8" t="str">
        <f ca="1">IFERROR(__xludf.DUMMYFUNCTION("""COMPUTED_VALUE"""),"Arsenal Technical High School")</f>
        <v>Arsenal Technical High School</v>
      </c>
      <c r="G2963" s="8">
        <f ca="1">IFERROR(__xludf.DUMMYFUNCTION("""COMPUTED_VALUE"""),0)</f>
        <v>0</v>
      </c>
      <c r="H2963" s="8">
        <f ca="1">IFERROR(__xludf.DUMMYFUNCTION("""COMPUTED_VALUE"""),1)</f>
        <v>1</v>
      </c>
      <c r="I2963" s="8">
        <f ca="1">IFERROR(__xludf.DUMMYFUNCTION("""COMPUTED_VALUE"""),1)</f>
        <v>1</v>
      </c>
      <c r="J2963" s="8">
        <f ca="1">IFERROR(__xludf.DUMMYFUNCTION("""COMPUTED_VALUE"""),0)</f>
        <v>0</v>
      </c>
      <c r="K2963" s="10" t="str">
        <f ca="1">IFERROR(__xludf.DUMMYFUNCTION("""COMPUTED_VALUE"""),"https://www.newspapers.com/image/107593168/?terms=DANIEL%2BPEREZ%2BARSENAL%2BTECHNICAL%2BHIGH%2BSCHOOL")</f>
        <v>https://www.newspapers.com/image/107593168/?terms=DANIEL%2BPEREZ%2BARSENAL%2BTECHNICAL%2BHIGH%2BSCHOOL</v>
      </c>
      <c r="L2963" s="8"/>
      <c r="M2963" s="8"/>
      <c r="N2963" s="8">
        <f ca="1">IFERROR(__xludf.DUMMYFUNCTION("""COMPUTED_VALUE"""),2)</f>
        <v>2</v>
      </c>
      <c r="O2963" s="8" t="str">
        <f ca="1">IFERROR(__xludf.DUMMYFUNCTION("""COMPUTED_VALUE"""),"Winter")</f>
        <v>Winter</v>
      </c>
      <c r="P2963" s="8" t="str">
        <f ca="1">IFERROR(__xludf.DUMMYFUNCTION("""COMPUTED_VALUE"""),"Indianapolis")</f>
        <v>Indianapolis</v>
      </c>
      <c r="Q2963" s="8" t="str">
        <f ca="1">IFERROR(__xludf.DUMMYFUNCTION("""COMPUTED_VALUE"""),"IN")</f>
        <v>IN</v>
      </c>
      <c r="R2963" s="8" t="str">
        <f ca="1">IFERROR(__xludf.DUMMYFUNCTION("""COMPUTED_VALUE"""),"High")</f>
        <v>High</v>
      </c>
      <c r="S2963" s="8" t="str">
        <f ca="1">IFERROR(__xludf.DUMMYFUNCTION("""COMPUTED_VALUE"""),"Outside on School Property")</f>
        <v>Outside on School Property</v>
      </c>
      <c r="T2963" s="8" t="str">
        <f ca="1">IFERROR(__xludf.DUMMYFUNCTION("""COMPUTED_VALUE"""),"Outside on School Property")</f>
        <v>Outside on School Property</v>
      </c>
      <c r="U2963" s="8" t="str">
        <f ca="1">IFERROR(__xludf.DUMMYFUNCTION("""COMPUTED_VALUE"""),"Yes")</f>
        <v>Yes</v>
      </c>
      <c r="V2963" s="8" t="str">
        <f ca="1">IFERROR(__xludf.DUMMYFUNCTION("""COMPUTED_VALUE"""),"Lunch")</f>
        <v>Lunch</v>
      </c>
      <c r="W2963" s="11">
        <f ca="1">IFERROR(__xludf.DUMMYFUNCTION("""COMPUTED_VALUE"""),0.534722222222222)</f>
        <v>0.53472222222222199</v>
      </c>
      <c r="X2963" s="8">
        <f ca="1">IFERROR(__xludf.DUMMYFUNCTION("""COMPUTED_VALUE"""),1)</f>
        <v>1</v>
      </c>
      <c r="Y2963" s="12" t="str">
        <f ca="1">IFERROR(__xludf.DUMMYFUNCTION("""COMPUTED_VALUE"""),"Robbery or a drug deal gone bad")</f>
        <v>Robbery or a drug deal gone bad</v>
      </c>
      <c r="Z2963" s="12" t="str">
        <f ca="1">IFERROR(__xludf.DUMMYFUNCTION("""COMPUTED_VALUE"""),"Victim was seen talking to suspects prior to shooting - Victim shot in stomach at close range - suspect fled - later caught.")</f>
        <v>Victim was seen talking to suspects prior to shooting - Victim shot in stomach at close range - suspect fled - later caught.</v>
      </c>
      <c r="AA2963" s="8" t="str">
        <f ca="1">IFERROR(__xludf.DUMMYFUNCTION("""COMPUTED_VALUE"""),"Illegal Activity")</f>
        <v>Illegal Activity</v>
      </c>
      <c r="AB2963" s="8"/>
      <c r="AC2963" s="8"/>
      <c r="AD2963" s="8" t="str">
        <f ca="1">IFERROR(__xludf.DUMMYFUNCTION("""COMPUTED_VALUE"""),"Victims Targeted")</f>
        <v>Victims Targeted</v>
      </c>
      <c r="AE2963" s="8" t="str">
        <f ca="1">IFERROR(__xludf.DUMMYFUNCTION("""COMPUTED_VALUE"""),"No")</f>
        <v>No</v>
      </c>
      <c r="AF2963" s="8"/>
      <c r="AG2963" s="8" t="str">
        <f ca="1">IFERROR(__xludf.DUMMYFUNCTION("""COMPUTED_VALUE"""),"No")</f>
        <v>No</v>
      </c>
      <c r="AH2963" s="8" t="str">
        <f ca="1">IFERROR(__xludf.DUMMYFUNCTION("""COMPUTED_VALUE"""),"No")</f>
        <v>No</v>
      </c>
      <c r="AI2963" s="8" t="str">
        <f ca="1">IFERROR(__xludf.DUMMYFUNCTION("""COMPUTED_VALUE"""),"No")</f>
        <v>No</v>
      </c>
      <c r="AJ2963" s="8" t="str">
        <f ca="1">IFERROR(__xludf.DUMMYFUNCTION("""COMPUTED_VALUE"""),"No")</f>
        <v>No</v>
      </c>
      <c r="AK2963" s="8" t="str">
        <f ca="1">IFERROR(__xludf.DUMMYFUNCTION("""COMPUTED_VALUE"""),"No")</f>
        <v>No</v>
      </c>
      <c r="AL2963" s="8" t="str">
        <f ca="1">IFERROR(__xludf.DUMMYFUNCTION("""COMPUTED_VALUE"""),"No")</f>
        <v>No</v>
      </c>
      <c r="AM2963" s="8"/>
      <c r="AN2963" s="8"/>
      <c r="AO2963" s="8" t="str">
        <f ca="1">IFERROR(__xludf.DUMMYFUNCTION("""COMPUTED_VALUE"""),"No")</f>
        <v>No</v>
      </c>
      <c r="AP2963" s="8"/>
      <c r="AQ2963" s="8" t="str">
        <f ca="1">IFERROR(__xludf.DUMMYFUNCTION("""COMPUTED_VALUE"""),"Unknown")</f>
        <v>Unknown</v>
      </c>
      <c r="AR2963" s="8" t="str">
        <f ca="1">IFERROR(__xludf.DUMMYFUNCTION("""COMPUTED_VALUE"""),"NA")</f>
        <v>NA</v>
      </c>
      <c r="AS2963" s="8"/>
      <c r="AT2963" s="8"/>
      <c r="AU2963" s="8">
        <f ca="1">IFERROR(__xludf.DUMMYFUNCTION("""COMPUTED_VALUE"""),39.776972)</f>
        <v>39.776972000000001</v>
      </c>
      <c r="AV2963" s="8">
        <f ca="1">IFERROR(__xludf.DUMMYFUNCTION("""COMPUTED_VALUE"""),-86.13273)</f>
        <v>-86.132729999999995</v>
      </c>
      <c r="AW2963" s="8"/>
      <c r="AX2963" s="8">
        <f ca="1">IFERROR(__xludf.DUMMYFUNCTION("""COMPUTED_VALUE"""),46204)</f>
        <v>46204</v>
      </c>
    </row>
    <row r="2964" spans="1:50" ht="60" x14ac:dyDescent="0.2">
      <c r="A2964" s="8" t="str">
        <f ca="1">IFERROR(__xludf.DUMMYFUNCTION("""COMPUTED_VALUE"""),"19800207TXVAL")</f>
        <v>19800207TXVAL</v>
      </c>
      <c r="B2964" s="8">
        <f ca="1">IFERROR(__xludf.DUMMYFUNCTION("""COMPUTED_VALUE"""),2)</f>
        <v>2</v>
      </c>
      <c r="C2964" s="8">
        <f ca="1">IFERROR(__xludf.DUMMYFUNCTION("""COMPUTED_VALUE"""),7)</f>
        <v>7</v>
      </c>
      <c r="D2964" s="8">
        <f ca="1">IFERROR(__xludf.DUMMYFUNCTION("""COMPUTED_VALUE"""),1980)</f>
        <v>1980</v>
      </c>
      <c r="E2964" s="9">
        <f ca="1">IFERROR(__xludf.DUMMYFUNCTION("""COMPUTED_VALUE"""),29258)</f>
        <v>29258</v>
      </c>
      <c r="F2964" s="8" t="str">
        <f ca="1">IFERROR(__xludf.DUMMYFUNCTION("""COMPUTED_VALUE"""),"Valley View Elementary School")</f>
        <v>Valley View Elementary School</v>
      </c>
      <c r="G2964" s="8">
        <f ca="1">IFERROR(__xludf.DUMMYFUNCTION("""COMPUTED_VALUE"""),0)</f>
        <v>0</v>
      </c>
      <c r="H2964" s="8">
        <f ca="1">IFERROR(__xludf.DUMMYFUNCTION("""COMPUTED_VALUE"""),1)</f>
        <v>1</v>
      </c>
      <c r="I2964" s="8">
        <f ca="1">IFERROR(__xludf.DUMMYFUNCTION("""COMPUTED_VALUE"""),1)</f>
        <v>1</v>
      </c>
      <c r="J2964" s="8">
        <f ca="1">IFERROR(__xludf.DUMMYFUNCTION("""COMPUTED_VALUE"""),0)</f>
        <v>0</v>
      </c>
      <c r="K2964" s="10" t="str">
        <f ca="1">IFERROR(__xludf.DUMMYFUNCTION("""COMPUTED_VALUE"""),"https://www.newspapers.com/image/217265072/?terms=10-year%2Bold%2Bboy%2Baccidentally%2Bshot")</f>
        <v>https://www.newspapers.com/image/217265072/?terms=10-year%2Bold%2Bboy%2Baccidentally%2Bshot</v>
      </c>
      <c r="L2964" s="8"/>
      <c r="M2964" s="8"/>
      <c r="N2964" s="8">
        <f ca="1">IFERROR(__xludf.DUMMYFUNCTION("""COMPUTED_VALUE"""),2)</f>
        <v>2</v>
      </c>
      <c r="O2964" s="8" t="str">
        <f ca="1">IFERROR(__xludf.DUMMYFUNCTION("""COMPUTED_VALUE"""),"Winter")</f>
        <v>Winter</v>
      </c>
      <c r="P2964" s="8" t="str">
        <f ca="1">IFERROR(__xludf.DUMMYFUNCTION("""COMPUTED_VALUE"""),"Longview")</f>
        <v>Longview</v>
      </c>
      <c r="Q2964" s="8" t="str">
        <f ca="1">IFERROR(__xludf.DUMMYFUNCTION("""COMPUTED_VALUE"""),"TX")</f>
        <v>TX</v>
      </c>
      <c r="R2964" s="8" t="str">
        <f ca="1">IFERROR(__xludf.DUMMYFUNCTION("""COMPUTED_VALUE"""),"Elementary")</f>
        <v>Elementary</v>
      </c>
      <c r="S2964" s="8" t="str">
        <f ca="1">IFERROR(__xludf.DUMMYFUNCTION("""COMPUTED_VALUE"""),"Inside School Building")</f>
        <v>Inside School Building</v>
      </c>
      <c r="T2964" s="8" t="str">
        <f ca="1">IFERROR(__xludf.DUMMYFUNCTION("""COMPUTED_VALUE"""),"Inside School Building")</f>
        <v>Inside School Building</v>
      </c>
      <c r="U2964" s="8" t="str">
        <f ca="1">IFERROR(__xludf.DUMMYFUNCTION("""COMPUTED_VALUE"""),"Yes")</f>
        <v>Yes</v>
      </c>
      <c r="V2964" s="8" t="str">
        <f ca="1">IFERROR(__xludf.DUMMYFUNCTION("""COMPUTED_VALUE"""),"Morning Classes")</f>
        <v>Morning Classes</v>
      </c>
      <c r="W2964" s="11">
        <f ca="1">IFERROR(__xludf.DUMMYFUNCTION("""COMPUTED_VALUE"""),0.4375)</f>
        <v>0.4375</v>
      </c>
      <c r="X2964" s="8">
        <f ca="1">IFERROR(__xludf.DUMMYFUNCTION("""COMPUTED_VALUE"""),1)</f>
        <v>1</v>
      </c>
      <c r="Y2964" s="12" t="str">
        <f ca="1">IFERROR(__xludf.DUMMYFUNCTION("""COMPUTED_VALUE"""),"Youth showing gun off at school - accidentally went off striking student")</f>
        <v>Youth showing gun off at school - accidentally went off striking student</v>
      </c>
      <c r="Z2964" s="12" t="str">
        <f ca="1">IFERROR(__xludf.DUMMYFUNCTION("""COMPUTED_VALUE"""),"9 year old boy took gun to school and showed it off - other kids thought it was a toy gun - one pulled trigger and shot victim in cheek")</f>
        <v>9 year old boy took gun to school and showed it off - other kids thought it was a toy gun - one pulled trigger and shot victim in cheek</v>
      </c>
      <c r="AA2964" s="8" t="str">
        <f ca="1">IFERROR(__xludf.DUMMYFUNCTION("""COMPUTED_VALUE"""),"Accidental")</f>
        <v>Accidental</v>
      </c>
      <c r="AB2964" s="8"/>
      <c r="AC2964" s="8"/>
      <c r="AD2964" s="8" t="str">
        <f ca="1">IFERROR(__xludf.DUMMYFUNCTION("""COMPUTED_VALUE"""),"Random Shooting")</f>
        <v>Random Shooting</v>
      </c>
      <c r="AE2964" s="8"/>
      <c r="AF2964" s="8"/>
      <c r="AG2964" s="8" t="str">
        <f ca="1">IFERROR(__xludf.DUMMYFUNCTION("""COMPUTED_VALUE"""),"No")</f>
        <v>No</v>
      </c>
      <c r="AH2964" s="8" t="str">
        <f ca="1">IFERROR(__xludf.DUMMYFUNCTION("""COMPUTED_VALUE"""),"No")</f>
        <v>No</v>
      </c>
      <c r="AI2964" s="8" t="str">
        <f ca="1">IFERROR(__xludf.DUMMYFUNCTION("""COMPUTED_VALUE"""),"No")</f>
        <v>No</v>
      </c>
      <c r="AJ2964" s="8" t="str">
        <f ca="1">IFERROR(__xludf.DUMMYFUNCTION("""COMPUTED_VALUE"""),"No")</f>
        <v>No</v>
      </c>
      <c r="AK2964" s="8" t="str">
        <f ca="1">IFERROR(__xludf.DUMMYFUNCTION("""COMPUTED_VALUE"""),"No")</f>
        <v>No</v>
      </c>
      <c r="AL2964" s="8" t="str">
        <f ca="1">IFERROR(__xludf.DUMMYFUNCTION("""COMPUTED_VALUE"""),"No")</f>
        <v>No</v>
      </c>
      <c r="AM2964" s="8"/>
      <c r="AN2964" s="8"/>
      <c r="AO2964" s="8" t="str">
        <f ca="1">IFERROR(__xludf.DUMMYFUNCTION("""COMPUTED_VALUE"""),"No")</f>
        <v>No</v>
      </c>
      <c r="AP2964" s="8"/>
      <c r="AQ2964" s="8" t="str">
        <f ca="1">IFERROR(__xludf.DUMMYFUNCTION("""COMPUTED_VALUE"""),"Unknown")</f>
        <v>Unknown</v>
      </c>
      <c r="AR2964" s="8" t="str">
        <f ca="1">IFERROR(__xludf.DUMMYFUNCTION("""COMPUTED_VALUE"""),"NA")</f>
        <v>NA</v>
      </c>
      <c r="AS2964" s="8">
        <f ca="1">IFERROR(__xludf.DUMMYFUNCTION("""COMPUTED_VALUE"""),1)</f>
        <v>1</v>
      </c>
      <c r="AT2964" s="8"/>
      <c r="AU2964" s="8">
        <f ca="1">IFERROR(__xludf.DUMMYFUNCTION("""COMPUTED_VALUE"""),32.509506)</f>
        <v>32.509506000000002</v>
      </c>
      <c r="AV2964" s="8">
        <f ca="1">IFERROR(__xludf.DUMMYFUNCTION("""COMPUTED_VALUE"""),-94.717061)</f>
        <v>-94.717061000000001</v>
      </c>
      <c r="AW2964" s="8"/>
      <c r="AX2964" s="8">
        <f ca="1">IFERROR(__xludf.DUMMYFUNCTION("""COMPUTED_VALUE"""),75601)</f>
        <v>75601</v>
      </c>
    </row>
    <row r="2965" spans="1:50" ht="75" x14ac:dyDescent="0.2">
      <c r="A2965" s="8" t="str">
        <f ca="1">IFERROR(__xludf.DUMMYFUNCTION("""COMPUTED_VALUE"""),"19800201DCLAW")</f>
        <v>19800201DCLAW</v>
      </c>
      <c r="B2965" s="8">
        <f ca="1">IFERROR(__xludf.DUMMYFUNCTION("""COMPUTED_VALUE"""),2)</f>
        <v>2</v>
      </c>
      <c r="C2965" s="8">
        <f ca="1">IFERROR(__xludf.DUMMYFUNCTION("""COMPUTED_VALUE"""),1)</f>
        <v>1</v>
      </c>
      <c r="D2965" s="8">
        <f ca="1">IFERROR(__xludf.DUMMYFUNCTION("""COMPUTED_VALUE"""),1980)</f>
        <v>1980</v>
      </c>
      <c r="E2965" s="9">
        <f ca="1">IFERROR(__xludf.DUMMYFUNCTION("""COMPUTED_VALUE"""),29252)</f>
        <v>29252</v>
      </c>
      <c r="F2965" s="8" t="str">
        <f ca="1">IFERROR(__xludf.DUMMYFUNCTION("""COMPUTED_VALUE"""),"Langdon Elementary School")</f>
        <v>Langdon Elementary School</v>
      </c>
      <c r="G2965" s="8">
        <f ca="1">IFERROR(__xludf.DUMMYFUNCTION("""COMPUTED_VALUE"""),0)</f>
        <v>0</v>
      </c>
      <c r="H2965" s="8">
        <f ca="1">IFERROR(__xludf.DUMMYFUNCTION("""COMPUTED_VALUE"""),1)</f>
        <v>1</v>
      </c>
      <c r="I2965" s="8">
        <f ca="1">IFERROR(__xludf.DUMMYFUNCTION("""COMPUTED_VALUE"""),1)</f>
        <v>1</v>
      </c>
      <c r="J2965" s="8">
        <f ca="1">IFERROR(__xludf.DUMMYFUNCTION("""COMPUTED_VALUE"""),0)</f>
        <v>0</v>
      </c>
      <c r="K2965" s="10" t="str">
        <f ca="1">IFERROR(__xludf.DUMMYFUNCTION("""COMPUTED_VALUE"""),"https://www.washingtonpost.com/archive/local/1980/02/02/proving-gun-is-real-2nd-grader-at-langdon-school-is-shot/f83c3b73-ed9d-4a79-a529-984a01675142/?noredirect=on&amp;utm_term=.d238a08a83ec")</f>
        <v>https://www.washingtonpost.com/archive/local/1980/02/02/proving-gun-is-real-2nd-grader-at-langdon-school-is-shot/f83c3b73-ed9d-4a79-a529-984a01675142/?noredirect=on&amp;utm_term=.d238a08a83ec</v>
      </c>
      <c r="L2965" s="8"/>
      <c r="M2965" s="8"/>
      <c r="N2965" s="8">
        <f ca="1">IFERROR(__xludf.DUMMYFUNCTION("""COMPUTED_VALUE"""),2)</f>
        <v>2</v>
      </c>
      <c r="O2965" s="8" t="str">
        <f ca="1">IFERROR(__xludf.DUMMYFUNCTION("""COMPUTED_VALUE"""),"Winter")</f>
        <v>Winter</v>
      </c>
      <c r="P2965" s="8" t="str">
        <f ca="1">IFERROR(__xludf.DUMMYFUNCTION("""COMPUTED_VALUE"""),"Washington, DC")</f>
        <v>Washington, DC</v>
      </c>
      <c r="Q2965" s="8" t="str">
        <f ca="1">IFERROR(__xludf.DUMMYFUNCTION("""COMPUTED_VALUE"""),"DC")</f>
        <v>DC</v>
      </c>
      <c r="R2965" s="8" t="str">
        <f ca="1">IFERROR(__xludf.DUMMYFUNCTION("""COMPUTED_VALUE"""),"Elementary")</f>
        <v>Elementary</v>
      </c>
      <c r="S2965" s="8" t="str">
        <f ca="1">IFERROR(__xludf.DUMMYFUNCTION("""COMPUTED_VALUE"""),"Bathroom")</f>
        <v>Bathroom</v>
      </c>
      <c r="T2965" s="8" t="str">
        <f ca="1">IFERROR(__xludf.DUMMYFUNCTION("""COMPUTED_VALUE"""),"Inside School Building")</f>
        <v>Inside School Building</v>
      </c>
      <c r="U2965" s="8" t="str">
        <f ca="1">IFERROR(__xludf.DUMMYFUNCTION("""COMPUTED_VALUE"""),"Yes")</f>
        <v>Yes</v>
      </c>
      <c r="V2965" s="8" t="str">
        <f ca="1">IFERROR(__xludf.DUMMYFUNCTION("""COMPUTED_VALUE"""),"Morning Classes")</f>
        <v>Morning Classes</v>
      </c>
      <c r="W2965" s="11">
        <f ca="1">IFERROR(__xludf.DUMMYFUNCTION("""COMPUTED_VALUE"""),0.375)</f>
        <v>0.375</v>
      </c>
      <c r="X2965" s="8">
        <f ca="1">IFERROR(__xludf.DUMMYFUNCTION("""COMPUTED_VALUE"""),1)</f>
        <v>1</v>
      </c>
      <c r="Y2965" s="12" t="str">
        <f ca="1">IFERROR(__xludf.DUMMYFUNCTION("""COMPUTED_VALUE"""),"Showing off gun in bathroom, pulled trigger to prove it was real")</f>
        <v>Showing off gun in bathroom, pulled trigger to prove it was real</v>
      </c>
      <c r="Z2965" s="12" t="str">
        <f ca="1">IFERROR(__xludf.DUMMYFUNCTION("""COMPUTED_VALUE"""),"9YOM was showing off gun to 3 other students in the bathroom. Pointed at ceiling and pulled the trigger but it didn't fire. Pointed the gun at another student and pulled the trigger again. Second time it fired striking 9 YOM student in chest.")</f>
        <v>9YOM was showing off gun to 3 other students in the bathroom. Pointed at ceiling and pulled the trigger but it didn't fire. Pointed the gun at another student and pulled the trigger again. Second time it fired striking 9 YOM student in chest.</v>
      </c>
      <c r="AA2965" s="8" t="str">
        <f ca="1">IFERROR(__xludf.DUMMYFUNCTION("""COMPUTED_VALUE"""),"Accidental")</f>
        <v>Accidental</v>
      </c>
      <c r="AB2965" s="8"/>
      <c r="AC2965" s="8"/>
      <c r="AD2965" s="8" t="str">
        <f ca="1">IFERROR(__xludf.DUMMYFUNCTION("""COMPUTED_VALUE"""),"Neither")</f>
        <v>Neither</v>
      </c>
      <c r="AE2965" s="8" t="str">
        <f ca="1">IFERROR(__xludf.DUMMYFUNCTION("""COMPUTED_VALUE"""),"No")</f>
        <v>No</v>
      </c>
      <c r="AF2965" s="8"/>
      <c r="AG2965" s="8" t="str">
        <f ca="1">IFERROR(__xludf.DUMMYFUNCTION("""COMPUTED_VALUE"""),"No")</f>
        <v>No</v>
      </c>
      <c r="AH2965" s="8" t="str">
        <f ca="1">IFERROR(__xludf.DUMMYFUNCTION("""COMPUTED_VALUE"""),"No")</f>
        <v>No</v>
      </c>
      <c r="AI2965" s="8" t="str">
        <f ca="1">IFERROR(__xludf.DUMMYFUNCTION("""COMPUTED_VALUE"""),"No")</f>
        <v>No</v>
      </c>
      <c r="AJ2965" s="8" t="str">
        <f ca="1">IFERROR(__xludf.DUMMYFUNCTION("""COMPUTED_VALUE"""),"No")</f>
        <v>No</v>
      </c>
      <c r="AK2965" s="8" t="str">
        <f ca="1">IFERROR(__xludf.DUMMYFUNCTION("""COMPUTED_VALUE"""),"No")</f>
        <v>No</v>
      </c>
      <c r="AL2965" s="8" t="str">
        <f ca="1">IFERROR(__xludf.DUMMYFUNCTION("""COMPUTED_VALUE"""),"No")</f>
        <v>No</v>
      </c>
      <c r="AM2965" s="8"/>
      <c r="AN2965" s="8"/>
      <c r="AO2965" s="8" t="str">
        <f ca="1">IFERROR(__xludf.DUMMYFUNCTION("""COMPUTED_VALUE"""),"No")</f>
        <v>No</v>
      </c>
      <c r="AP2965" s="8"/>
      <c r="AQ2965" s="8" t="str">
        <f ca="1">IFERROR(__xludf.DUMMYFUNCTION("""COMPUTED_VALUE"""),"Unknown")</f>
        <v>Unknown</v>
      </c>
      <c r="AR2965" s="8" t="str">
        <f ca="1">IFERROR(__xludf.DUMMYFUNCTION("""COMPUTED_VALUE"""),"NA")</f>
        <v>NA</v>
      </c>
      <c r="AS2965" s="8">
        <f ca="1">IFERROR(__xludf.DUMMYFUNCTION("""COMPUTED_VALUE"""),1)</f>
        <v>1</v>
      </c>
      <c r="AT2965" s="8"/>
      <c r="AU2965" s="8">
        <f ca="1">IFERROR(__xludf.DUMMYFUNCTION("""COMPUTED_VALUE"""),38.924922)</f>
        <v>38.924922000000002</v>
      </c>
      <c r="AV2965" s="8">
        <f ca="1">IFERROR(__xludf.DUMMYFUNCTION("""COMPUTED_VALUE"""),-76.977116)</f>
        <v>-76.977115999999995</v>
      </c>
      <c r="AW2965" s="8"/>
      <c r="AX2965" s="8">
        <f ca="1">IFERROR(__xludf.DUMMYFUNCTION("""COMPUTED_VALUE"""),20018)</f>
        <v>20018</v>
      </c>
    </row>
    <row r="2966" spans="1:50" ht="45" x14ac:dyDescent="0.2">
      <c r="A2966" s="8" t="str">
        <f ca="1">IFERROR(__xludf.DUMMYFUNCTION("""COMPUTED_VALUE"""),"19800129VALAW")</f>
        <v>19800129VALAW</v>
      </c>
      <c r="B2966" s="8">
        <f ca="1">IFERROR(__xludf.DUMMYFUNCTION("""COMPUTED_VALUE"""),1)</f>
        <v>1</v>
      </c>
      <c r="C2966" s="8">
        <f ca="1">IFERROR(__xludf.DUMMYFUNCTION("""COMPUTED_VALUE"""),29)</f>
        <v>29</v>
      </c>
      <c r="D2966" s="8">
        <f ca="1">IFERROR(__xludf.DUMMYFUNCTION("""COMPUTED_VALUE"""),1980)</f>
        <v>1980</v>
      </c>
      <c r="E2966" s="9">
        <f ca="1">IFERROR(__xludf.DUMMYFUNCTION("""COMPUTED_VALUE"""),29249)</f>
        <v>29249</v>
      </c>
      <c r="F2966" s="8" t="str">
        <f ca="1">IFERROR(__xludf.DUMMYFUNCTION("""COMPUTED_VALUE"""),"Lafayette High School")</f>
        <v>Lafayette High School</v>
      </c>
      <c r="G2966" s="8">
        <f ca="1">IFERROR(__xludf.DUMMYFUNCTION("""COMPUTED_VALUE"""),0)</f>
        <v>0</v>
      </c>
      <c r="H2966" s="8">
        <f ca="1">IFERROR(__xludf.DUMMYFUNCTION("""COMPUTED_VALUE"""),0)</f>
        <v>0</v>
      </c>
      <c r="I2966" s="8">
        <f ca="1">IFERROR(__xludf.DUMMYFUNCTION("""COMPUTED_VALUE"""),0)</f>
        <v>0</v>
      </c>
      <c r="J2966" s="8">
        <f ca="1">IFERROR(__xludf.DUMMYFUNCTION("""COMPUTED_VALUE"""),0)</f>
        <v>0</v>
      </c>
      <c r="K2966" s="10" t="str">
        <f ca="1">IFERROR(__xludf.DUMMYFUNCTION("""COMPUTED_VALUE"""),"https://www.newspapers.com/image/234200567/?terms=student%2Bwho%2Bshot%2Bself")</f>
        <v>https://www.newspapers.com/image/234200567/?terms=student%2Bwho%2Bshot%2Bself</v>
      </c>
      <c r="L2966" s="8"/>
      <c r="M2966" s="8"/>
      <c r="N2966" s="8">
        <f ca="1">IFERROR(__xludf.DUMMYFUNCTION("""COMPUTED_VALUE"""),2)</f>
        <v>2</v>
      </c>
      <c r="O2966" s="8" t="str">
        <f ca="1">IFERROR(__xludf.DUMMYFUNCTION("""COMPUTED_VALUE"""),"Winter")</f>
        <v>Winter</v>
      </c>
      <c r="P2966" s="8" t="str">
        <f ca="1">IFERROR(__xludf.DUMMYFUNCTION("""COMPUTED_VALUE"""),"Williamsburg")</f>
        <v>Williamsburg</v>
      </c>
      <c r="Q2966" s="8" t="str">
        <f ca="1">IFERROR(__xludf.DUMMYFUNCTION("""COMPUTED_VALUE"""),"VA")</f>
        <v>VA</v>
      </c>
      <c r="R2966" s="8" t="str">
        <f ca="1">IFERROR(__xludf.DUMMYFUNCTION("""COMPUTED_VALUE"""),"High")</f>
        <v>High</v>
      </c>
      <c r="S2966" s="8" t="str">
        <f ca="1">IFERROR(__xludf.DUMMYFUNCTION("""COMPUTED_VALUE"""),"Other")</f>
        <v>Other</v>
      </c>
      <c r="T2966" s="8" t="str">
        <f ca="1">IFERROR(__xludf.DUMMYFUNCTION("""COMPUTED_VALUE"""),"Inside School Building")</f>
        <v>Inside School Building</v>
      </c>
      <c r="U2966" s="8" t="str">
        <f ca="1">IFERROR(__xludf.DUMMYFUNCTION("""COMPUTED_VALUE"""),"Yes")</f>
        <v>Yes</v>
      </c>
      <c r="V2966" s="8" t="str">
        <f ca="1">IFERROR(__xludf.DUMMYFUNCTION("""COMPUTED_VALUE"""),"Morning Classes")</f>
        <v>Morning Classes</v>
      </c>
      <c r="W2966" s="11">
        <f ca="1">IFERROR(__xludf.DUMMYFUNCTION("""COMPUTED_VALUE"""),0.336805555555555)</f>
        <v>0.33680555555555503</v>
      </c>
      <c r="X2966" s="8">
        <f ca="1">IFERROR(__xludf.DUMMYFUNCTION("""COMPUTED_VALUE"""),1)</f>
        <v>1</v>
      </c>
      <c r="Y2966" s="12" t="str">
        <f ca="1">IFERROR(__xludf.DUMMYFUNCTION("""COMPUTED_VALUE"""),"Shooter shot self in chest in school library")</f>
        <v>Shooter shot self in chest in school library</v>
      </c>
      <c r="Z2966" s="12" t="str">
        <f ca="1">IFERROR(__xludf.DUMMYFUNCTION("""COMPUTED_VALUE"""),"Student shot himself in chest after most students left library on the way to their morning class - reason of shooting not stated.")</f>
        <v>Student shot himself in chest after most students left library on the way to their morning class - reason of shooting not stated.</v>
      </c>
      <c r="AA2966" s="8" t="str">
        <f ca="1">IFERROR(__xludf.DUMMYFUNCTION("""COMPUTED_VALUE"""),"Suicide/Attempted")</f>
        <v>Suicide/Attempted</v>
      </c>
      <c r="AB2966" s="8"/>
      <c r="AC2966" s="8"/>
      <c r="AD2966" s="8" t="str">
        <f ca="1">IFERROR(__xludf.DUMMYFUNCTION("""COMPUTED_VALUE"""),"Victims Targeted")</f>
        <v>Victims Targeted</v>
      </c>
      <c r="AE2966" s="8" t="str">
        <f ca="1">IFERROR(__xludf.DUMMYFUNCTION("""COMPUTED_VALUE"""),"No")</f>
        <v>No</v>
      </c>
      <c r="AF2966" s="8"/>
      <c r="AG2966" s="8" t="str">
        <f ca="1">IFERROR(__xludf.DUMMYFUNCTION("""COMPUTED_VALUE"""),"No")</f>
        <v>No</v>
      </c>
      <c r="AH2966" s="8" t="str">
        <f ca="1">IFERROR(__xludf.DUMMYFUNCTION("""COMPUTED_VALUE"""),"No")</f>
        <v>No</v>
      </c>
      <c r="AI2966" s="8" t="str">
        <f ca="1">IFERROR(__xludf.DUMMYFUNCTION("""COMPUTED_VALUE"""),"No")</f>
        <v>No</v>
      </c>
      <c r="AJ2966" s="8"/>
      <c r="AK2966" s="8" t="str">
        <f ca="1">IFERROR(__xludf.DUMMYFUNCTION("""COMPUTED_VALUE"""),"No")</f>
        <v>No</v>
      </c>
      <c r="AL2966" s="8" t="str">
        <f ca="1">IFERROR(__xludf.DUMMYFUNCTION("""COMPUTED_VALUE"""),"No")</f>
        <v>No</v>
      </c>
      <c r="AM2966" s="8"/>
      <c r="AN2966" s="8"/>
      <c r="AO2966" s="8" t="str">
        <f ca="1">IFERROR(__xludf.DUMMYFUNCTION("""COMPUTED_VALUE"""),"No")</f>
        <v>No</v>
      </c>
      <c r="AP2966" s="8"/>
      <c r="AQ2966" s="8" t="str">
        <f ca="1">IFERROR(__xludf.DUMMYFUNCTION("""COMPUTED_VALUE"""),"Unknown")</f>
        <v>Unknown</v>
      </c>
      <c r="AR2966" s="8" t="str">
        <f ca="1">IFERROR(__xludf.DUMMYFUNCTION("""COMPUTED_VALUE"""),"NA")</f>
        <v>NA</v>
      </c>
      <c r="AS2966" s="8">
        <f ca="1">IFERROR(__xludf.DUMMYFUNCTION("""COMPUTED_VALUE"""),1)</f>
        <v>1</v>
      </c>
      <c r="AT2966" s="8"/>
      <c r="AU2966" s="8">
        <f ca="1">IFERROR(__xludf.DUMMYFUNCTION("""COMPUTED_VALUE"""),37.316061)</f>
        <v>37.316060999999998</v>
      </c>
      <c r="AV2966" s="8">
        <f ca="1">IFERROR(__xludf.DUMMYFUNCTION("""COMPUTED_VALUE"""),-76.764119)</f>
        <v>-76.764118999999994</v>
      </c>
      <c r="AW2966" s="8"/>
      <c r="AX2966" s="8">
        <f ca="1">IFERROR(__xludf.DUMMYFUNCTION("""COMPUTED_VALUE"""),23188)</f>
        <v>23188</v>
      </c>
    </row>
    <row r="2967" spans="1:50" ht="150" x14ac:dyDescent="0.2">
      <c r="A2967" s="8" t="str">
        <f ca="1">IFERROR(__xludf.DUMMYFUNCTION("""COMPUTED_VALUE"""),"19800107ARSTS")</f>
        <v>19800107ARSTS</v>
      </c>
      <c r="B2967" s="8">
        <f ca="1">IFERROR(__xludf.DUMMYFUNCTION("""COMPUTED_VALUE"""),1)</f>
        <v>1</v>
      </c>
      <c r="C2967" s="8">
        <f ca="1">IFERROR(__xludf.DUMMYFUNCTION("""COMPUTED_VALUE"""),7)</f>
        <v>7</v>
      </c>
      <c r="D2967" s="8">
        <f ca="1">IFERROR(__xludf.DUMMYFUNCTION("""COMPUTED_VALUE"""),1980)</f>
        <v>1980</v>
      </c>
      <c r="E2967" s="9">
        <f ca="1">IFERROR(__xludf.DUMMYFUNCTION("""COMPUTED_VALUE"""),29227)</f>
        <v>29227</v>
      </c>
      <c r="F2967" s="8" t="str">
        <f ca="1">IFERROR(__xludf.DUMMYFUNCTION("""COMPUTED_VALUE"""),"Stamps High School")</f>
        <v>Stamps High School</v>
      </c>
      <c r="G2967" s="8">
        <f ca="1">IFERROR(__xludf.DUMMYFUNCTION("""COMPUTED_VALUE"""),1)</f>
        <v>1</v>
      </c>
      <c r="H2967" s="8">
        <f ca="1">IFERROR(__xludf.DUMMYFUNCTION("""COMPUTED_VALUE"""),0)</f>
        <v>0</v>
      </c>
      <c r="I2967" s="8">
        <f ca="1">IFERROR(__xludf.DUMMYFUNCTION("""COMPUTED_VALUE"""),1)</f>
        <v>1</v>
      </c>
      <c r="J2967" s="8">
        <f ca="1">IFERROR(__xludf.DUMMYFUNCTION("""COMPUTED_VALUE"""),0)</f>
        <v>0</v>
      </c>
      <c r="K2967" s="8" t="str">
        <f ca="1">IFERROR(__xludf.DUMMYFUNCTION("""COMPUTED_VALUE"""),"https://www.newspapers.com/image/413206156/?terms=stamps%20shooting&amp;match=1
https://www.newspapers.com/image/312609368/?terms=stamps%2Bhigh%2Bschool%2Bshooting https://www.pressreader.com/usa/arkansas-democrat-gazette/20180318/284447099346596")</f>
        <v>https://www.newspapers.com/image/413206156/?terms=stamps%20shooting&amp;match=1
https://www.newspapers.com/image/312609368/?terms=stamps%2Bhigh%2Bschool%2Bshooting https://www.pressreader.com/usa/arkansas-democrat-gazette/20180318/284447099346596</v>
      </c>
      <c r="L2967" s="8"/>
      <c r="M2967" s="8" t="str">
        <f ca="1">IFERROR(__xludf.DUMMYFUNCTION("""COMPUTED_VALUE"""),"Regional")</f>
        <v>Regional</v>
      </c>
      <c r="N2967" s="8">
        <f ca="1">IFERROR(__xludf.DUMMYFUNCTION("""COMPUTED_VALUE"""),4)</f>
        <v>4</v>
      </c>
      <c r="O2967" s="8" t="str">
        <f ca="1">IFERROR(__xludf.DUMMYFUNCTION("""COMPUTED_VALUE"""),"Winter")</f>
        <v>Winter</v>
      </c>
      <c r="P2967" s="8" t="str">
        <f ca="1">IFERROR(__xludf.DUMMYFUNCTION("""COMPUTED_VALUE"""),"Stamps")</f>
        <v>Stamps</v>
      </c>
      <c r="Q2967" s="8" t="str">
        <f ca="1">IFERROR(__xludf.DUMMYFUNCTION("""COMPUTED_VALUE"""),"AR")</f>
        <v>AR</v>
      </c>
      <c r="R2967" s="8" t="str">
        <f ca="1">IFERROR(__xludf.DUMMYFUNCTION("""COMPUTED_VALUE"""),"High")</f>
        <v>High</v>
      </c>
      <c r="S2967" s="8" t="str">
        <f ca="1">IFERROR(__xludf.DUMMYFUNCTION("""COMPUTED_VALUE"""),"Classroom")</f>
        <v>Classroom</v>
      </c>
      <c r="T2967" s="8" t="str">
        <f ca="1">IFERROR(__xludf.DUMMYFUNCTION("""COMPUTED_VALUE"""),"Inside School Building")</f>
        <v>Inside School Building</v>
      </c>
      <c r="U2967" s="8" t="str">
        <f ca="1">IFERROR(__xludf.DUMMYFUNCTION("""COMPUTED_VALUE"""),"Yes")</f>
        <v>Yes</v>
      </c>
      <c r="V2967" s="8" t="str">
        <f ca="1">IFERROR(__xludf.DUMMYFUNCTION("""COMPUTED_VALUE"""),"Morning Classes")</f>
        <v>Morning Classes</v>
      </c>
      <c r="W2967" s="11">
        <f ca="1">IFERROR(__xludf.DUMMYFUNCTION("""COMPUTED_VALUE"""),0.376388888888888)</f>
        <v>0.376388888888888</v>
      </c>
      <c r="X2967" s="8">
        <f ca="1">IFERROR(__xludf.DUMMYFUNCTION("""COMPUTED_VALUE"""),1)</f>
        <v>1</v>
      </c>
      <c r="Y2967" s="12" t="str">
        <f ca="1">IFERROR(__xludf.DUMMYFUNCTION("""COMPUTED_VALUE"""),"Student shot other student 3 times in class then walked to principals office and handed over gun")</f>
        <v>Student shot other student 3 times in class then walked to principals office and handed over gun</v>
      </c>
      <c r="Z2967" s="12" t="str">
        <f ca="1">IFERROR(__xludf.DUMMYFUNCTION("""COMPUTED_VALUE"""),"16YOM walked into class he was not enrolled for. Waiting in the back, then pulled out pistol and fired three times at 19 YOM student. Shooter put on a pair of sunglass and walked out of classroom. Showed no emotion during shooting. Walked to principals of"&amp;"fice and handed gun over to principal then started reading a magazine. Shooter was convicted of murder and was released after 4 years for good behavior. Claimed the victim was constantly bullying him by pushing and knocking him over, knocking books out of"&amp;" his hands, and messing with him. Shooter said ""anyone can snap"".")</f>
        <v>16YOM walked into class he was not enrolled for. Waiting in the back, then pulled out pistol and fired three times at 19 YOM student. Shooter put on a pair of sunglass and walked out of classroom. Showed no emotion during shooting. Walked to principals office and handed gun over to principal then started reading a magazine. Shooter was convicted of murder and was released after 4 years for good behavior. Claimed the victim was constantly bullying him by pushing and knocking him over, knocking books out of his hands, and messing with him. Shooter said "anyone can snap".</v>
      </c>
      <c r="AA2967" s="8" t="str">
        <f ca="1">IFERROR(__xludf.DUMMYFUNCTION("""COMPUTED_VALUE"""),"Bullying")</f>
        <v>Bullying</v>
      </c>
      <c r="AB2967" s="8"/>
      <c r="AC2967" s="8" t="str">
        <f ca="1">IFERROR(__xludf.DUMMYFUNCTION("""COMPUTED_VALUE"""),"Yes")</f>
        <v>Yes</v>
      </c>
      <c r="AD2967" s="8" t="str">
        <f ca="1">IFERROR(__xludf.DUMMYFUNCTION("""COMPUTED_VALUE"""),"Victims Targeted")</f>
        <v>Victims Targeted</v>
      </c>
      <c r="AE2967" s="8" t="str">
        <f ca="1">IFERROR(__xludf.DUMMYFUNCTION("""COMPUTED_VALUE"""),"No")</f>
        <v>No</v>
      </c>
      <c r="AF2967" s="8"/>
      <c r="AG2967" s="8" t="str">
        <f ca="1">IFERROR(__xludf.DUMMYFUNCTION("""COMPUTED_VALUE"""),"No")</f>
        <v>No</v>
      </c>
      <c r="AH2967" s="8" t="str">
        <f ca="1">IFERROR(__xludf.DUMMYFUNCTION("""COMPUTED_VALUE"""),"No")</f>
        <v>No</v>
      </c>
      <c r="AI2967" s="8" t="str">
        <f ca="1">IFERROR(__xludf.DUMMYFUNCTION("""COMPUTED_VALUE"""),"No")</f>
        <v>No</v>
      </c>
      <c r="AJ2967" s="8" t="str">
        <f ca="1">IFERROR(__xludf.DUMMYFUNCTION("""COMPUTED_VALUE"""),"Yes")</f>
        <v>Yes</v>
      </c>
      <c r="AK2967" s="8" t="str">
        <f ca="1">IFERROR(__xludf.DUMMYFUNCTION("""COMPUTED_VALUE"""),"No")</f>
        <v>No</v>
      </c>
      <c r="AL2967" s="8" t="str">
        <f ca="1">IFERROR(__xludf.DUMMYFUNCTION("""COMPUTED_VALUE"""),"No")</f>
        <v>No</v>
      </c>
      <c r="AM2967" s="8" t="str">
        <f ca="1">IFERROR(__xludf.DUMMYFUNCTION("""COMPUTED_VALUE"""),"Yes")</f>
        <v>Yes</v>
      </c>
      <c r="AN2967" s="8" t="str">
        <f ca="1">IFERROR(__xludf.DUMMYFUNCTION("""COMPUTED_VALUE"""),"Single Room")</f>
        <v>Single Room</v>
      </c>
      <c r="AO2967" s="8" t="str">
        <f ca="1">IFERROR(__xludf.DUMMYFUNCTION("""COMPUTED_VALUE"""),"Yes")</f>
        <v>Yes</v>
      </c>
      <c r="AP2967" s="8"/>
      <c r="AQ2967" s="8" t="str">
        <f ca="1">IFERROR(__xludf.DUMMYFUNCTION("""COMPUTED_VALUE"""),"Unknown")</f>
        <v>Unknown</v>
      </c>
      <c r="AR2967" s="8" t="str">
        <f ca="1">IFERROR(__xludf.DUMMYFUNCTION("""COMPUTED_VALUE"""),"NA")</f>
        <v>NA</v>
      </c>
      <c r="AS2967" s="8">
        <f ca="1">IFERROR(__xludf.DUMMYFUNCTION("""COMPUTED_VALUE"""),3)</f>
        <v>3</v>
      </c>
      <c r="AT2967" s="8"/>
      <c r="AU2967" s="8">
        <f ca="1">IFERROR(__xludf.DUMMYFUNCTION("""COMPUTED_VALUE"""),33.3654024)</f>
        <v>33.365402400000001</v>
      </c>
      <c r="AV2967" s="8">
        <f ca="1">IFERROR(__xludf.DUMMYFUNCTION("""COMPUTED_VALUE"""),-93.4951758)</f>
        <v>-93.495175799999998</v>
      </c>
      <c r="AW2967" s="8"/>
      <c r="AX2967" s="8">
        <f ca="1">IFERROR(__xludf.DUMMYFUNCTION("""COMPUTED_VALUE"""),71860)</f>
        <v>71860</v>
      </c>
    </row>
    <row r="2968" spans="1:50" ht="45" x14ac:dyDescent="0.2">
      <c r="A2968" s="8" t="str">
        <f ca="1">IFERROR(__xludf.DUMMYFUNCTION("""COMPUTED_VALUE"""),"19791221MOBLS")</f>
        <v>19791221MOBLS</v>
      </c>
      <c r="B2968" s="8">
        <f ca="1">IFERROR(__xludf.DUMMYFUNCTION("""COMPUTED_VALUE"""),12)</f>
        <v>12</v>
      </c>
      <c r="C2968" s="8">
        <f ca="1">IFERROR(__xludf.DUMMYFUNCTION("""COMPUTED_VALUE"""),21)</f>
        <v>21</v>
      </c>
      <c r="D2968" s="8">
        <f ca="1">IFERROR(__xludf.DUMMYFUNCTION("""COMPUTED_VALUE"""),1979)</f>
        <v>1979</v>
      </c>
      <c r="E2968" s="9">
        <f ca="1">IFERROR(__xludf.DUMMYFUNCTION("""COMPUTED_VALUE"""),29210)</f>
        <v>29210</v>
      </c>
      <c r="F2968" s="8" t="str">
        <f ca="1">IFERROR(__xludf.DUMMYFUNCTION("""COMPUTED_VALUE"""),"Blewett Middle School")</f>
        <v>Blewett Middle School</v>
      </c>
      <c r="G2968" s="8">
        <f ca="1">IFERROR(__xludf.DUMMYFUNCTION("""COMPUTED_VALUE"""),0)</f>
        <v>0</v>
      </c>
      <c r="H2968" s="8">
        <f ca="1">IFERROR(__xludf.DUMMYFUNCTION("""COMPUTED_VALUE"""),1)</f>
        <v>1</v>
      </c>
      <c r="I2968" s="8">
        <f ca="1">IFERROR(__xludf.DUMMYFUNCTION("""COMPUTED_VALUE"""),1)</f>
        <v>1</v>
      </c>
      <c r="J2968" s="8">
        <f ca="1">IFERROR(__xludf.DUMMYFUNCTION("""COMPUTED_VALUE"""),0)</f>
        <v>0</v>
      </c>
      <c r="K2968" s="10" t="str">
        <f ca="1">IFERROR(__xludf.DUMMYFUNCTION("""COMPUTED_VALUE"""),"https://www.newspapers.com/image/139639371/?terms=school%2Bshooting")</f>
        <v>https://www.newspapers.com/image/139639371/?terms=school%2Bshooting</v>
      </c>
      <c r="L2968" s="8"/>
      <c r="M2968" s="8"/>
      <c r="N2968" s="8">
        <f ca="1">IFERROR(__xludf.DUMMYFUNCTION("""COMPUTED_VALUE"""),2)</f>
        <v>2</v>
      </c>
      <c r="O2968" s="8" t="str">
        <f ca="1">IFERROR(__xludf.DUMMYFUNCTION("""COMPUTED_VALUE"""),"Winter")</f>
        <v>Winter</v>
      </c>
      <c r="P2968" s="8" t="str">
        <f ca="1">IFERROR(__xludf.DUMMYFUNCTION("""COMPUTED_VALUE"""),"St. Louis")</f>
        <v>St. Louis</v>
      </c>
      <c r="Q2968" s="8" t="str">
        <f ca="1">IFERROR(__xludf.DUMMYFUNCTION("""COMPUTED_VALUE"""),"MO")</f>
        <v>MO</v>
      </c>
      <c r="R2968" s="8" t="str">
        <f ca="1">IFERROR(__xludf.DUMMYFUNCTION("""COMPUTED_VALUE"""),"Middle")</f>
        <v>Middle</v>
      </c>
      <c r="S2968" s="8" t="str">
        <f ca="1">IFERROR(__xludf.DUMMYFUNCTION("""COMPUTED_VALUE"""),"Hallway")</f>
        <v>Hallway</v>
      </c>
      <c r="T2968" s="8" t="str">
        <f ca="1">IFERROR(__xludf.DUMMYFUNCTION("""COMPUTED_VALUE"""),"Inside School Building")</f>
        <v>Inside School Building</v>
      </c>
      <c r="U2968" s="8" t="str">
        <f ca="1">IFERROR(__xludf.DUMMYFUNCTION("""COMPUTED_VALUE"""),"Yes")</f>
        <v>Yes</v>
      </c>
      <c r="V2968" s="8" t="str">
        <f ca="1">IFERROR(__xludf.DUMMYFUNCTION("""COMPUTED_VALUE"""),"Morning Classes")</f>
        <v>Morning Classes</v>
      </c>
      <c r="W2968" s="8"/>
      <c r="X2968" s="8">
        <f ca="1">IFERROR(__xludf.DUMMYFUNCTION("""COMPUTED_VALUE"""),1)</f>
        <v>1</v>
      </c>
      <c r="Y2968" s="12" t="str">
        <f ca="1">IFERROR(__xludf.DUMMYFUNCTION("""COMPUTED_VALUE"""),"Fight during dispute over money resulted in shooting")</f>
        <v>Fight during dispute over money resulted in shooting</v>
      </c>
      <c r="Z2968" s="12" t="str">
        <f ca="1">IFERROR(__xludf.DUMMYFUNCTION("""COMPUTED_VALUE"""),"16YOM shot by 14YOM in the stairwell of the school during a dispute over money.")</f>
        <v>16YOM shot by 14YOM in the stairwell of the school during a dispute over money.</v>
      </c>
      <c r="AA2968" s="8" t="str">
        <f ca="1">IFERROR(__xludf.DUMMYFUNCTION("""COMPUTED_VALUE"""),"Escalation of Dispute")</f>
        <v>Escalation of Dispute</v>
      </c>
      <c r="AB2968" s="8"/>
      <c r="AC2968" s="8"/>
      <c r="AD2968" s="8" t="str">
        <f ca="1">IFERROR(__xludf.DUMMYFUNCTION("""COMPUTED_VALUE"""),"Victims Targeted")</f>
        <v>Victims Targeted</v>
      </c>
      <c r="AE2968" s="8" t="str">
        <f ca="1">IFERROR(__xludf.DUMMYFUNCTION("""COMPUTED_VALUE"""),"No")</f>
        <v>No</v>
      </c>
      <c r="AF2968" s="8"/>
      <c r="AG2968" s="8" t="str">
        <f ca="1">IFERROR(__xludf.DUMMYFUNCTION("""COMPUTED_VALUE"""),"No")</f>
        <v>No</v>
      </c>
      <c r="AH2968" s="8" t="str">
        <f ca="1">IFERROR(__xludf.DUMMYFUNCTION("""COMPUTED_VALUE"""),"No")</f>
        <v>No</v>
      </c>
      <c r="AI2968" s="8" t="str">
        <f ca="1">IFERROR(__xludf.DUMMYFUNCTION("""COMPUTED_VALUE"""),"No")</f>
        <v>No</v>
      </c>
      <c r="AJ2968" s="8" t="str">
        <f ca="1">IFERROR(__xludf.DUMMYFUNCTION("""COMPUTED_VALUE"""),"No")</f>
        <v>No</v>
      </c>
      <c r="AK2968" s="8" t="str">
        <f ca="1">IFERROR(__xludf.DUMMYFUNCTION("""COMPUTED_VALUE"""),"No")</f>
        <v>No</v>
      </c>
      <c r="AL2968" s="8" t="str">
        <f ca="1">IFERROR(__xludf.DUMMYFUNCTION("""COMPUTED_VALUE"""),"No")</f>
        <v>No</v>
      </c>
      <c r="AM2968" s="8"/>
      <c r="AN2968" s="8"/>
      <c r="AO2968" s="8" t="str">
        <f ca="1">IFERROR(__xludf.DUMMYFUNCTION("""COMPUTED_VALUE"""),"No")</f>
        <v>No</v>
      </c>
      <c r="AP2968" s="8"/>
      <c r="AQ2968" s="8" t="str">
        <f ca="1">IFERROR(__xludf.DUMMYFUNCTION("""COMPUTED_VALUE"""),"Unknown")</f>
        <v>Unknown</v>
      </c>
      <c r="AR2968" s="8" t="str">
        <f ca="1">IFERROR(__xludf.DUMMYFUNCTION("""COMPUTED_VALUE"""),"NA")</f>
        <v>NA</v>
      </c>
      <c r="AS2968" s="8" t="str">
        <f ca="1">IFERROR(__xludf.DUMMYFUNCTION("""COMPUTED_VALUE"""),"&lt;10")</f>
        <v>&lt;10</v>
      </c>
      <c r="AT2968" s="8"/>
      <c r="AU2968" s="8">
        <f ca="1">IFERROR(__xludf.DUMMYFUNCTION("""COMPUTED_VALUE"""),38.643574)</f>
        <v>38.643574000000001</v>
      </c>
      <c r="AV2968" s="8">
        <f ca="1">IFERROR(__xludf.DUMMYFUNCTION("""COMPUTED_VALUE"""),-90.204033)</f>
        <v>-90.204032999999995</v>
      </c>
      <c r="AW2968" s="8"/>
      <c r="AX2968" s="8">
        <f ca="1">IFERROR(__xludf.DUMMYFUNCTION("""COMPUTED_VALUE"""),63106)</f>
        <v>63106</v>
      </c>
    </row>
    <row r="2969" spans="1:50" ht="90" x14ac:dyDescent="0.2">
      <c r="A2969" s="8" t="str">
        <f ca="1">IFERROR(__xludf.DUMMYFUNCTION("""COMPUTED_VALUE"""),"19791203MDEAB")</f>
        <v>19791203MDEAB</v>
      </c>
      <c r="B2969" s="8">
        <f ca="1">IFERROR(__xludf.DUMMYFUNCTION("""COMPUTED_VALUE"""),12)</f>
        <v>12</v>
      </c>
      <c r="C2969" s="8">
        <f ca="1">IFERROR(__xludf.DUMMYFUNCTION("""COMPUTED_VALUE"""),3)</f>
        <v>3</v>
      </c>
      <c r="D2969" s="8">
        <f ca="1">IFERROR(__xludf.DUMMYFUNCTION("""COMPUTED_VALUE"""),1979)</f>
        <v>1979</v>
      </c>
      <c r="E2969" s="9">
        <f ca="1">IFERROR(__xludf.DUMMYFUNCTION("""COMPUTED_VALUE"""),29192)</f>
        <v>29192</v>
      </c>
      <c r="F2969" s="8" t="str">
        <f ca="1">IFERROR(__xludf.DUMMYFUNCTION("""COMPUTED_VALUE"""),"Eastern High School")</f>
        <v>Eastern High School</v>
      </c>
      <c r="G2969" s="8">
        <f ca="1">IFERROR(__xludf.DUMMYFUNCTION("""COMPUTED_VALUE"""),0)</f>
        <v>0</v>
      </c>
      <c r="H2969" s="8">
        <f ca="1">IFERROR(__xludf.DUMMYFUNCTION("""COMPUTED_VALUE"""),3)</f>
        <v>3</v>
      </c>
      <c r="I2969" s="8">
        <f ca="1">IFERROR(__xludf.DUMMYFUNCTION("""COMPUTED_VALUE"""),3)</f>
        <v>3</v>
      </c>
      <c r="J2969" s="8">
        <f ca="1">IFERROR(__xludf.DUMMYFUNCTION("""COMPUTED_VALUE"""),0)</f>
        <v>0</v>
      </c>
      <c r="K2969" s="10" t="str">
        <f ca="1">IFERROR(__xludf.DUMMYFUNCTION("""COMPUTED_VALUE"""),"https://www.newspapers.com/image/281107557/?terms=eastern%2Bhigh%2Bschool%2Bshooting%2Bbaltimore")</f>
        <v>https://www.newspapers.com/image/281107557/?terms=eastern%2Bhigh%2Bschool%2Bshooting%2Bbaltimore</v>
      </c>
      <c r="L2969" s="8"/>
      <c r="M2969" s="8"/>
      <c r="N2969" s="8">
        <f ca="1">IFERROR(__xludf.DUMMYFUNCTION("""COMPUTED_VALUE"""),2)</f>
        <v>2</v>
      </c>
      <c r="O2969" s="8" t="str">
        <f ca="1">IFERROR(__xludf.DUMMYFUNCTION("""COMPUTED_VALUE"""),"Winter")</f>
        <v>Winter</v>
      </c>
      <c r="P2969" s="8" t="str">
        <f ca="1">IFERROR(__xludf.DUMMYFUNCTION("""COMPUTED_VALUE"""),"Baltimore")</f>
        <v>Baltimore</v>
      </c>
      <c r="Q2969" s="8" t="str">
        <f ca="1">IFERROR(__xludf.DUMMYFUNCTION("""COMPUTED_VALUE"""),"MD")</f>
        <v>MD</v>
      </c>
      <c r="R2969" s="8" t="str">
        <f ca="1">IFERROR(__xludf.DUMMYFUNCTION("""COMPUTED_VALUE"""),"High")</f>
        <v>High</v>
      </c>
      <c r="S2969" s="8" t="str">
        <f ca="1">IFERROR(__xludf.DUMMYFUNCTION("""COMPUTED_VALUE"""),"Cafeteria")</f>
        <v>Cafeteria</v>
      </c>
      <c r="T2969" s="8" t="str">
        <f ca="1">IFERROR(__xludf.DUMMYFUNCTION("""COMPUTED_VALUE"""),"Inside School Building")</f>
        <v>Inside School Building</v>
      </c>
      <c r="U2969" s="8" t="str">
        <f ca="1">IFERROR(__xludf.DUMMYFUNCTION("""COMPUTED_VALUE"""),"Yes")</f>
        <v>Yes</v>
      </c>
      <c r="V2969" s="8" t="str">
        <f ca="1">IFERROR(__xludf.DUMMYFUNCTION("""COMPUTED_VALUE"""),"Lunch")</f>
        <v>Lunch</v>
      </c>
      <c r="W2969" s="8"/>
      <c r="X2969" s="8">
        <f ca="1">IFERROR(__xludf.DUMMYFUNCTION("""COMPUTED_VALUE"""),1)</f>
        <v>1</v>
      </c>
      <c r="Y2969" s="12" t="str">
        <f ca="1">IFERROR(__xludf.DUMMYFUNCTION("""COMPUTED_VALUE"""),"Three student gang members fired at rival gang members who fired back in cafeteria")</f>
        <v>Three student gang members fired at rival gang members who fired back in cafeteria</v>
      </c>
      <c r="Z2969" s="12" t="str">
        <f ca="1">IFERROR(__xludf.DUMMYFUNCTION("""COMPUTED_VALUE"""),"Two student gang members went into school cafeteria to shot rival student gang member. Targeted victim was armed and fired back at them. Bystander was struck. Other students reported the shooters were rival gang members. Shooters and victim/shooter all fl"&amp;"ed scene. 500 students were in the cafeteria at the time of the shooting.")</f>
        <v>Two student gang members went into school cafeteria to shot rival student gang member. Targeted victim was armed and fired back at them. Bystander was struck. Other students reported the shooters were rival gang members. Shooters and victim/shooter all fled scene. 500 students were in the cafeteria at the time of the shooting.</v>
      </c>
      <c r="AA2969" s="8" t="str">
        <f ca="1">IFERROR(__xludf.DUMMYFUNCTION("""COMPUTED_VALUE"""),"Escalation of Dispute")</f>
        <v>Escalation of Dispute</v>
      </c>
      <c r="AB2969" s="8"/>
      <c r="AC2969" s="8"/>
      <c r="AD2969" s="8" t="str">
        <f ca="1">IFERROR(__xludf.DUMMYFUNCTION("""COMPUTED_VALUE"""),"Both")</f>
        <v>Both</v>
      </c>
      <c r="AE2969" s="8" t="str">
        <f ca="1">IFERROR(__xludf.DUMMYFUNCTION("""COMPUTED_VALUE"""),"Yes")</f>
        <v>Yes</v>
      </c>
      <c r="AF2969" s="8" t="str">
        <f ca="1">IFERROR(__xludf.DUMMYFUNCTION("""COMPUTED_VALUE"""),"Three armed teens attacked one armed tean")</f>
        <v>Three armed teens attacked one armed tean</v>
      </c>
      <c r="AG2969" s="8" t="str">
        <f ca="1">IFERROR(__xludf.DUMMYFUNCTION("""COMPUTED_VALUE"""),"No")</f>
        <v>No</v>
      </c>
      <c r="AH2969" s="8" t="str">
        <f ca="1">IFERROR(__xludf.DUMMYFUNCTION("""COMPUTED_VALUE"""),"No")</f>
        <v>No</v>
      </c>
      <c r="AI2969" s="8" t="str">
        <f ca="1">IFERROR(__xludf.DUMMYFUNCTION("""COMPUTED_VALUE"""),"No")</f>
        <v>No</v>
      </c>
      <c r="AJ2969" s="8" t="str">
        <f ca="1">IFERROR(__xludf.DUMMYFUNCTION("""COMPUTED_VALUE"""),"No")</f>
        <v>No</v>
      </c>
      <c r="AK2969" s="8" t="str">
        <f ca="1">IFERROR(__xludf.DUMMYFUNCTION("""COMPUTED_VALUE"""),"No")</f>
        <v>No</v>
      </c>
      <c r="AL2969" s="8" t="str">
        <f ca="1">IFERROR(__xludf.DUMMYFUNCTION("""COMPUTED_VALUE"""),"Yes")</f>
        <v>Yes</v>
      </c>
      <c r="AM2969" s="8"/>
      <c r="AN2969" s="8"/>
      <c r="AO2969" s="8" t="str">
        <f ca="1">IFERROR(__xludf.DUMMYFUNCTION("""COMPUTED_VALUE"""),"No")</f>
        <v>No</v>
      </c>
      <c r="AP2969" s="8"/>
      <c r="AQ2969" s="8" t="str">
        <f ca="1">IFERROR(__xludf.DUMMYFUNCTION("""COMPUTED_VALUE"""),"Unknown")</f>
        <v>Unknown</v>
      </c>
      <c r="AR2969" s="8" t="str">
        <f ca="1">IFERROR(__xludf.DUMMYFUNCTION("""COMPUTED_VALUE"""),"NA")</f>
        <v>NA</v>
      </c>
      <c r="AS2969" s="8" t="str">
        <f ca="1">IFERROR(__xludf.DUMMYFUNCTION("""COMPUTED_VALUE"""),"&gt;10")</f>
        <v>&gt;10</v>
      </c>
      <c r="AT2969" s="8"/>
      <c r="AU2969" s="8">
        <f ca="1">IFERROR(__xludf.DUMMYFUNCTION("""COMPUTED_VALUE"""),39.324869)</f>
        <v>39.324869</v>
      </c>
      <c r="AV2969" s="8">
        <f ca="1">IFERROR(__xludf.DUMMYFUNCTION("""COMPUTED_VALUE"""),-76.473075)</f>
        <v>-76.473074999999994</v>
      </c>
      <c r="AW2969" s="8"/>
      <c r="AX2969" s="8">
        <f ca="1">IFERROR(__xludf.DUMMYFUNCTION("""COMPUTED_VALUE"""),21221)</f>
        <v>21221</v>
      </c>
    </row>
    <row r="2970" spans="1:50" ht="75" x14ac:dyDescent="0.2">
      <c r="A2970" s="8" t="str">
        <f ca="1">IFERROR(__xludf.DUMMYFUNCTION("""COMPUTED_VALUE"""),"19791130TXUNL")</f>
        <v>19791130TXUNL</v>
      </c>
      <c r="B2970" s="8">
        <f ca="1">IFERROR(__xludf.DUMMYFUNCTION("""COMPUTED_VALUE"""),11)</f>
        <v>11</v>
      </c>
      <c r="C2970" s="8">
        <f ca="1">IFERROR(__xludf.DUMMYFUNCTION("""COMPUTED_VALUE"""),30)</f>
        <v>30</v>
      </c>
      <c r="D2970" s="8">
        <f ca="1">IFERROR(__xludf.DUMMYFUNCTION("""COMPUTED_VALUE"""),1979)</f>
        <v>1979</v>
      </c>
      <c r="E2970" s="9">
        <f ca="1">IFERROR(__xludf.DUMMYFUNCTION("""COMPUTED_VALUE"""),29189)</f>
        <v>29189</v>
      </c>
      <c r="F2970" s="8" t="str">
        <f ca="1">IFERROR(__xludf.DUMMYFUNCTION("""COMPUTED_VALUE"""),"Unknown School")</f>
        <v>Unknown School</v>
      </c>
      <c r="G2970" s="8">
        <f ca="1">IFERROR(__xludf.DUMMYFUNCTION("""COMPUTED_VALUE"""),0)</f>
        <v>0</v>
      </c>
      <c r="H2970" s="8">
        <f ca="1">IFERROR(__xludf.DUMMYFUNCTION("""COMPUTED_VALUE"""),1)</f>
        <v>1</v>
      </c>
      <c r="I2970" s="8">
        <f ca="1">IFERROR(__xludf.DUMMYFUNCTION("""COMPUTED_VALUE"""),1)</f>
        <v>1</v>
      </c>
      <c r="J2970" s="8">
        <f ca="1">IFERROR(__xludf.DUMMYFUNCTION("""COMPUTED_VALUE"""),0)</f>
        <v>0</v>
      </c>
      <c r="K2970" s="8" t="str">
        <f ca="1">IFERROR(__xludf.DUMMYFUNCTION("""COMPUTED_VALUE"""),"https://www.newspapers.com/image/331098560/?terms=student%2Bshot 
  https://www.newspapers.com/image/436921590/?terms=lewisville%2Bschool%2Bshooting   https://www.newspapers.com/image/359197635/?terms=lewisville%2Bschool%2Bshooting")</f>
        <v>https://www.newspapers.com/image/331098560/?terms=student%2Bshot 
  https://www.newspapers.com/image/436921590/?terms=lewisville%2Bschool%2Bshooting   https://www.newspapers.com/image/359197635/?terms=lewisville%2Bschool%2Bshooting</v>
      </c>
      <c r="L2970" s="8"/>
      <c r="M2970" s="8"/>
      <c r="N2970" s="8">
        <f ca="1">IFERROR(__xludf.DUMMYFUNCTION("""COMPUTED_VALUE"""),3)</f>
        <v>3</v>
      </c>
      <c r="O2970" s="8" t="str">
        <f ca="1">IFERROR(__xludf.DUMMYFUNCTION("""COMPUTED_VALUE"""),"Fall")</f>
        <v>Fall</v>
      </c>
      <c r="P2970" s="8" t="str">
        <f ca="1">IFERROR(__xludf.DUMMYFUNCTION("""COMPUTED_VALUE"""),"Lewisville")</f>
        <v>Lewisville</v>
      </c>
      <c r="Q2970" s="8" t="str">
        <f ca="1">IFERROR(__xludf.DUMMYFUNCTION("""COMPUTED_VALUE"""),"TX")</f>
        <v>TX</v>
      </c>
      <c r="R2970" s="8"/>
      <c r="S2970" s="8" t="str">
        <f ca="1">IFERROR(__xludf.DUMMYFUNCTION("""COMPUTED_VALUE"""),"Inside School Building")</f>
        <v>Inside School Building</v>
      </c>
      <c r="T2970" s="8" t="str">
        <f ca="1">IFERROR(__xludf.DUMMYFUNCTION("""COMPUTED_VALUE"""),"Inside School Building")</f>
        <v>Inside School Building</v>
      </c>
      <c r="U2970" s="8" t="str">
        <f ca="1">IFERROR(__xludf.DUMMYFUNCTION("""COMPUTED_VALUE"""),"Yes")</f>
        <v>Yes</v>
      </c>
      <c r="V2970" s="8"/>
      <c r="W2970" s="8"/>
      <c r="X2970" s="8">
        <f ca="1">IFERROR(__xludf.DUMMYFUNCTION("""COMPUTED_VALUE"""),1)</f>
        <v>1</v>
      </c>
      <c r="Y2970" s="12" t="str">
        <f ca="1">IFERROR(__xludf.DUMMYFUNCTION("""COMPUTED_VALUE"""),"14 year old student shot 11 year old girl in school hallway - unknown motive")</f>
        <v>14 year old student shot 11 year old girl in school hallway - unknown motive</v>
      </c>
      <c r="Z2970" s="12" t="str">
        <f ca="1">IFERROR(__xludf.DUMMYFUNCTION("""COMPUTED_VALUE"""),"11 year-old victim was shot in the back by a stray bullet from a .22 caliber handgun. The shooter, a 14 year-old boy who was later stopped by police, was carrying a gun in a western style holster and accidentally fired a round. Taken into custody without "&amp;"incident.")</f>
        <v>11 year-old victim was shot in the back by a stray bullet from a .22 caliber handgun. The shooter, a 14 year-old boy who was later stopped by police, was carrying a gun in a western style holster and accidentally fired a round. Taken into custody without incident.</v>
      </c>
      <c r="AA2970" s="8" t="str">
        <f ca="1">IFERROR(__xludf.DUMMYFUNCTION("""COMPUTED_VALUE"""),"Accidental")</f>
        <v>Accidental</v>
      </c>
      <c r="AB2970" s="8"/>
      <c r="AC2970" s="8"/>
      <c r="AD2970" s="8" t="str">
        <f ca="1">IFERROR(__xludf.DUMMYFUNCTION("""COMPUTED_VALUE"""),"Random Shooting")</f>
        <v>Random Shooting</v>
      </c>
      <c r="AE2970" s="8" t="str">
        <f ca="1">IFERROR(__xludf.DUMMYFUNCTION("""COMPUTED_VALUE"""),"No")</f>
        <v>No</v>
      </c>
      <c r="AF2970" s="8"/>
      <c r="AG2970" s="8" t="str">
        <f ca="1">IFERROR(__xludf.DUMMYFUNCTION("""COMPUTED_VALUE"""),"No")</f>
        <v>No</v>
      </c>
      <c r="AH2970" s="8" t="str">
        <f ca="1">IFERROR(__xludf.DUMMYFUNCTION("""COMPUTED_VALUE"""),"No")</f>
        <v>No</v>
      </c>
      <c r="AI2970" s="8" t="str">
        <f ca="1">IFERROR(__xludf.DUMMYFUNCTION("""COMPUTED_VALUE"""),"No")</f>
        <v>No</v>
      </c>
      <c r="AJ2970" s="8"/>
      <c r="AK2970" s="8"/>
      <c r="AL2970" s="8"/>
      <c r="AM2970" s="8"/>
      <c r="AN2970" s="8"/>
      <c r="AO2970" s="8"/>
      <c r="AP2970" s="8"/>
      <c r="AQ2970" s="8" t="str">
        <f ca="1">IFERROR(__xludf.DUMMYFUNCTION("""COMPUTED_VALUE"""),"Unknown")</f>
        <v>Unknown</v>
      </c>
      <c r="AR2970" s="8" t="str">
        <f ca="1">IFERROR(__xludf.DUMMYFUNCTION("""COMPUTED_VALUE"""),"NA")</f>
        <v>NA</v>
      </c>
      <c r="AS2970" s="8">
        <f ca="1">IFERROR(__xludf.DUMMYFUNCTION("""COMPUTED_VALUE"""),1)</f>
        <v>1</v>
      </c>
      <c r="AT2970" s="8"/>
      <c r="AU2970" s="8">
        <f ca="1">IFERROR(__xludf.DUMMYFUNCTION("""COMPUTED_VALUE"""),33.046233)</f>
        <v>33.046233000000001</v>
      </c>
      <c r="AV2970" s="8">
        <f ca="1">IFERROR(__xludf.DUMMYFUNCTION("""COMPUTED_VALUE"""),-96.994174)</f>
        <v>-96.994174000000001</v>
      </c>
      <c r="AW2970" s="8"/>
      <c r="AX2970" s="8">
        <f ca="1">IFERROR(__xludf.DUMMYFUNCTION("""COMPUTED_VALUE"""),75057)</f>
        <v>75057</v>
      </c>
    </row>
    <row r="2971" spans="1:50" ht="45" x14ac:dyDescent="0.2">
      <c r="A2971" s="8" t="str">
        <f ca="1">IFERROR(__xludf.DUMMYFUNCTION("""COMPUTED_VALUE"""),"19791105INWAI")</f>
        <v>19791105INWAI</v>
      </c>
      <c r="B2971" s="8">
        <f ca="1">IFERROR(__xludf.DUMMYFUNCTION("""COMPUTED_VALUE"""),11)</f>
        <v>11</v>
      </c>
      <c r="C2971" s="8">
        <f ca="1">IFERROR(__xludf.DUMMYFUNCTION("""COMPUTED_VALUE"""),5)</f>
        <v>5</v>
      </c>
      <c r="D2971" s="8">
        <f ca="1">IFERROR(__xludf.DUMMYFUNCTION("""COMPUTED_VALUE"""),1979)</f>
        <v>1979</v>
      </c>
      <c r="E2971" s="9">
        <f ca="1">IFERROR(__xludf.DUMMYFUNCTION("""COMPUTED_VALUE"""),29164)</f>
        <v>29164</v>
      </c>
      <c r="F2971" s="8" t="str">
        <f ca="1">IFERROR(__xludf.DUMMYFUNCTION("""COMPUTED_VALUE"""),"Washington High School")</f>
        <v>Washington High School</v>
      </c>
      <c r="G2971" s="8">
        <f ca="1">IFERROR(__xludf.DUMMYFUNCTION("""COMPUTED_VALUE"""),0)</f>
        <v>0</v>
      </c>
      <c r="H2971" s="8">
        <f ca="1">IFERROR(__xludf.DUMMYFUNCTION("""COMPUTED_VALUE"""),1)</f>
        <v>1</v>
      </c>
      <c r="I2971" s="8">
        <f ca="1">IFERROR(__xludf.DUMMYFUNCTION("""COMPUTED_VALUE"""),1)</f>
        <v>1</v>
      </c>
      <c r="J2971" s="8">
        <f ca="1">IFERROR(__xludf.DUMMYFUNCTION("""COMPUTED_VALUE"""),0)</f>
        <v>0</v>
      </c>
      <c r="K2971" s="10" t="str">
        <f ca="1">IFERROR(__xludf.DUMMYFUNCTION("""COMPUTED_VALUE"""),"https://www.newspapers.com/image/107586036/?terms=school%2Bshooting")</f>
        <v>https://www.newspapers.com/image/107586036/?terms=school%2Bshooting</v>
      </c>
      <c r="L2971" s="8"/>
      <c r="M2971" s="8"/>
      <c r="N2971" s="8">
        <f ca="1">IFERROR(__xludf.DUMMYFUNCTION("""COMPUTED_VALUE"""),2)</f>
        <v>2</v>
      </c>
      <c r="O2971" s="8" t="str">
        <f ca="1">IFERROR(__xludf.DUMMYFUNCTION("""COMPUTED_VALUE"""),"Fall")</f>
        <v>Fall</v>
      </c>
      <c r="P2971" s="8" t="str">
        <f ca="1">IFERROR(__xludf.DUMMYFUNCTION("""COMPUTED_VALUE"""),"Indianapolis")</f>
        <v>Indianapolis</v>
      </c>
      <c r="Q2971" s="8" t="str">
        <f ca="1">IFERROR(__xludf.DUMMYFUNCTION("""COMPUTED_VALUE"""),"IN")</f>
        <v>IN</v>
      </c>
      <c r="R2971" s="8" t="str">
        <f ca="1">IFERROR(__xludf.DUMMYFUNCTION("""COMPUTED_VALUE"""),"High")</f>
        <v>High</v>
      </c>
      <c r="S2971" s="8" t="str">
        <f ca="1">IFERROR(__xludf.DUMMYFUNCTION("""COMPUTED_VALUE"""),"Beside Building")</f>
        <v>Beside Building</v>
      </c>
      <c r="T2971" s="8" t="str">
        <f ca="1">IFERROR(__xludf.DUMMYFUNCTION("""COMPUTED_VALUE"""),"Outside on School Property")</f>
        <v>Outside on School Property</v>
      </c>
      <c r="U2971" s="8" t="str">
        <f ca="1">IFERROR(__xludf.DUMMYFUNCTION("""COMPUTED_VALUE"""),"Yes")</f>
        <v>Yes</v>
      </c>
      <c r="V2971" s="8" t="str">
        <f ca="1">IFERROR(__xludf.DUMMYFUNCTION("""COMPUTED_VALUE"""),"Dismissal")</f>
        <v>Dismissal</v>
      </c>
      <c r="W2971" s="8"/>
      <c r="X2971" s="8">
        <f ca="1">IFERROR(__xludf.DUMMYFUNCTION("""COMPUTED_VALUE"""),1)</f>
        <v>1</v>
      </c>
      <c r="Y2971" s="12" t="str">
        <f ca="1">IFERROR(__xludf.DUMMYFUNCTION("""COMPUTED_VALUE"""),"Student shot other student exiting school")</f>
        <v>Student shot other student exiting school</v>
      </c>
      <c r="Z2971" s="12" t="str">
        <f ca="1">IFERROR(__xludf.DUMMYFUNCTION("""COMPUTED_VALUE"""),"18 year-old male student shot a 14 year-old male student leaving the school.")</f>
        <v>18 year-old male student shot a 14 year-old male student leaving the school.</v>
      </c>
      <c r="AA2971" s="8" t="str">
        <f ca="1">IFERROR(__xludf.DUMMYFUNCTION("""COMPUTED_VALUE"""),"Escalation of Dispute")</f>
        <v>Escalation of Dispute</v>
      </c>
      <c r="AB2971" s="8"/>
      <c r="AC2971" s="8"/>
      <c r="AD2971" s="8" t="str">
        <f ca="1">IFERROR(__xludf.DUMMYFUNCTION("""COMPUTED_VALUE"""),"Victims Targeted")</f>
        <v>Victims Targeted</v>
      </c>
      <c r="AE2971" s="8" t="str">
        <f ca="1">IFERROR(__xludf.DUMMYFUNCTION("""COMPUTED_VALUE"""),"No")</f>
        <v>No</v>
      </c>
      <c r="AF2971" s="8"/>
      <c r="AG2971" s="8" t="str">
        <f ca="1">IFERROR(__xludf.DUMMYFUNCTION("""COMPUTED_VALUE"""),"No")</f>
        <v>No</v>
      </c>
      <c r="AH2971" s="8" t="str">
        <f ca="1">IFERROR(__xludf.DUMMYFUNCTION("""COMPUTED_VALUE"""),"No")</f>
        <v>No</v>
      </c>
      <c r="AI2971" s="8" t="str">
        <f ca="1">IFERROR(__xludf.DUMMYFUNCTION("""COMPUTED_VALUE"""),"No")</f>
        <v>No</v>
      </c>
      <c r="AJ2971" s="8"/>
      <c r="AK2971" s="8" t="str">
        <f ca="1">IFERROR(__xludf.DUMMYFUNCTION("""COMPUTED_VALUE"""),"No")</f>
        <v>No</v>
      </c>
      <c r="AL2971" s="8"/>
      <c r="AM2971" s="8"/>
      <c r="AN2971" s="8"/>
      <c r="AO2971" s="8" t="str">
        <f ca="1">IFERROR(__xludf.DUMMYFUNCTION("""COMPUTED_VALUE"""),"No")</f>
        <v>No</v>
      </c>
      <c r="AP2971" s="8"/>
      <c r="AQ2971" s="8" t="str">
        <f ca="1">IFERROR(__xludf.DUMMYFUNCTION("""COMPUTED_VALUE"""),"Unknown")</f>
        <v>Unknown</v>
      </c>
      <c r="AR2971" s="8" t="str">
        <f ca="1">IFERROR(__xludf.DUMMYFUNCTION("""COMPUTED_VALUE"""),"NA")</f>
        <v>NA</v>
      </c>
      <c r="AS2971" s="8"/>
      <c r="AT2971" s="8"/>
      <c r="AU2971" s="8">
        <f ca="1">IFERROR(__xludf.DUMMYFUNCTION("""COMPUTED_VALUE"""),39.765548)</f>
        <v>39.765548000000003</v>
      </c>
      <c r="AV2971" s="8">
        <f ca="1">IFERROR(__xludf.DUMMYFUNCTION("""COMPUTED_VALUE"""),-86.199468)</f>
        <v>-86.199467999999996</v>
      </c>
      <c r="AW2971" s="8"/>
      <c r="AX2971" s="8">
        <f ca="1">IFERROR(__xludf.DUMMYFUNCTION("""COMPUTED_VALUE"""),46222)</f>
        <v>46222</v>
      </c>
    </row>
    <row r="2972" spans="1:50" ht="30" x14ac:dyDescent="0.2">
      <c r="A2972" s="8" t="str">
        <f ca="1">IFERROR(__xludf.DUMMYFUNCTION("""COMPUTED_VALUE"""),"19791023MOOFS")</f>
        <v>19791023MOOFS</v>
      </c>
      <c r="B2972" s="8">
        <f ca="1">IFERROR(__xludf.DUMMYFUNCTION("""COMPUTED_VALUE"""),10)</f>
        <v>10</v>
      </c>
      <c r="C2972" s="8">
        <f ca="1">IFERROR(__xludf.DUMMYFUNCTION("""COMPUTED_VALUE"""),23)</f>
        <v>23</v>
      </c>
      <c r="D2972" s="8">
        <f ca="1">IFERROR(__xludf.DUMMYFUNCTION("""COMPUTED_VALUE"""),1979)</f>
        <v>1979</v>
      </c>
      <c r="E2972" s="9">
        <f ca="1">IFERROR(__xludf.DUMMYFUNCTION("""COMPUTED_VALUE"""),29151)</f>
        <v>29151</v>
      </c>
      <c r="F2972" s="8" t="str">
        <f ca="1">IFERROR(__xludf.DUMMYFUNCTION("""COMPUTED_VALUE"""),"O Fallen Technical High School")</f>
        <v>O Fallen Technical High School</v>
      </c>
      <c r="G2972" s="8">
        <f ca="1">IFERROR(__xludf.DUMMYFUNCTION("""COMPUTED_VALUE"""),0)</f>
        <v>0</v>
      </c>
      <c r="H2972" s="8">
        <f ca="1">IFERROR(__xludf.DUMMYFUNCTION("""COMPUTED_VALUE"""),2)</f>
        <v>2</v>
      </c>
      <c r="I2972" s="8">
        <f ca="1">IFERROR(__xludf.DUMMYFUNCTION("""COMPUTED_VALUE"""),2)</f>
        <v>2</v>
      </c>
      <c r="J2972" s="8">
        <f ca="1">IFERROR(__xludf.DUMMYFUNCTION("""COMPUTED_VALUE"""),0)</f>
        <v>0</v>
      </c>
      <c r="K2972" s="10" t="str">
        <f ca="1">IFERROR(__xludf.DUMMYFUNCTION("""COMPUTED_VALUE"""),"https://www.newspapers.com/image/307812073/?terms=school%2Bshooting")</f>
        <v>https://www.newspapers.com/image/307812073/?terms=school%2Bshooting</v>
      </c>
      <c r="L2972" s="8"/>
      <c r="M2972" s="8"/>
      <c r="N2972" s="8">
        <f ca="1">IFERROR(__xludf.DUMMYFUNCTION("""COMPUTED_VALUE"""),2)</f>
        <v>2</v>
      </c>
      <c r="O2972" s="8" t="str">
        <f ca="1">IFERROR(__xludf.DUMMYFUNCTION("""COMPUTED_VALUE"""),"Fall")</f>
        <v>Fall</v>
      </c>
      <c r="P2972" s="8" t="str">
        <f ca="1">IFERROR(__xludf.DUMMYFUNCTION("""COMPUTED_VALUE"""),"St. Louis")</f>
        <v>St. Louis</v>
      </c>
      <c r="Q2972" s="8" t="str">
        <f ca="1">IFERROR(__xludf.DUMMYFUNCTION("""COMPUTED_VALUE"""),"MO")</f>
        <v>MO</v>
      </c>
      <c r="R2972" s="8" t="str">
        <f ca="1">IFERROR(__xludf.DUMMYFUNCTION("""COMPUTED_VALUE"""),"High")</f>
        <v>High</v>
      </c>
      <c r="S2972" s="8" t="str">
        <f ca="1">IFERROR(__xludf.DUMMYFUNCTION("""COMPUTED_VALUE"""),"Inside School Building")</f>
        <v>Inside School Building</v>
      </c>
      <c r="T2972" s="8" t="str">
        <f ca="1">IFERROR(__xludf.DUMMYFUNCTION("""COMPUTED_VALUE"""),"Inside School Building")</f>
        <v>Inside School Building</v>
      </c>
      <c r="U2972" s="8" t="str">
        <f ca="1">IFERROR(__xludf.DUMMYFUNCTION("""COMPUTED_VALUE"""),"Yes")</f>
        <v>Yes</v>
      </c>
      <c r="V2972" s="8" t="str">
        <f ca="1">IFERROR(__xludf.DUMMYFUNCTION("""COMPUTED_VALUE"""),"Morning Classes")</f>
        <v>Morning Classes</v>
      </c>
      <c r="W2972" s="8"/>
      <c r="X2972" s="8">
        <f ca="1">IFERROR(__xludf.DUMMYFUNCTION("""COMPUTED_VALUE"""),1)</f>
        <v>1</v>
      </c>
      <c r="Y2972" s="12" t="str">
        <f ca="1">IFERROR(__xludf.DUMMYFUNCTION("""COMPUTED_VALUE"""),"Argument over stolen watch")</f>
        <v>Argument over stolen watch</v>
      </c>
      <c r="Z2972" s="12" t="str">
        <f ca="1">IFERROR(__xludf.DUMMYFUNCTION("""COMPUTED_VALUE"""),"16 year-old male shooter fired at two other students during an argument over a stolen watch.")</f>
        <v>16 year-old male shooter fired at two other students during an argument over a stolen watch.</v>
      </c>
      <c r="AA2972" s="8" t="str">
        <f ca="1">IFERROR(__xludf.DUMMYFUNCTION("""COMPUTED_VALUE"""),"Illegal Activity")</f>
        <v>Illegal Activity</v>
      </c>
      <c r="AB2972" s="8"/>
      <c r="AC2972" s="8"/>
      <c r="AD2972" s="8" t="str">
        <f ca="1">IFERROR(__xludf.DUMMYFUNCTION("""COMPUTED_VALUE"""),"Victims Targeted")</f>
        <v>Victims Targeted</v>
      </c>
      <c r="AE2972" s="8" t="str">
        <f ca="1">IFERROR(__xludf.DUMMYFUNCTION("""COMPUTED_VALUE"""),"No")</f>
        <v>No</v>
      </c>
      <c r="AF2972" s="8"/>
      <c r="AG2972" s="8" t="str">
        <f ca="1">IFERROR(__xludf.DUMMYFUNCTION("""COMPUTED_VALUE"""),"No")</f>
        <v>No</v>
      </c>
      <c r="AH2972" s="8" t="str">
        <f ca="1">IFERROR(__xludf.DUMMYFUNCTION("""COMPUTED_VALUE"""),"No")</f>
        <v>No</v>
      </c>
      <c r="AI2972" s="8" t="str">
        <f ca="1">IFERROR(__xludf.DUMMYFUNCTION("""COMPUTED_VALUE"""),"No")</f>
        <v>No</v>
      </c>
      <c r="AJ2972" s="8" t="str">
        <f ca="1">IFERROR(__xludf.DUMMYFUNCTION("""COMPUTED_VALUE"""),"No")</f>
        <v>No</v>
      </c>
      <c r="AK2972" s="8" t="str">
        <f ca="1">IFERROR(__xludf.DUMMYFUNCTION("""COMPUTED_VALUE"""),"No")</f>
        <v>No</v>
      </c>
      <c r="AL2972" s="8" t="str">
        <f ca="1">IFERROR(__xludf.DUMMYFUNCTION("""COMPUTED_VALUE"""),"No")</f>
        <v>No</v>
      </c>
      <c r="AM2972" s="8"/>
      <c r="AN2972" s="8"/>
      <c r="AO2972" s="8" t="str">
        <f ca="1">IFERROR(__xludf.DUMMYFUNCTION("""COMPUTED_VALUE"""),"No")</f>
        <v>No</v>
      </c>
      <c r="AP2972" s="8"/>
      <c r="AQ2972" s="8" t="str">
        <f ca="1">IFERROR(__xludf.DUMMYFUNCTION("""COMPUTED_VALUE"""),"Unknown")</f>
        <v>Unknown</v>
      </c>
      <c r="AR2972" s="8" t="str">
        <f ca="1">IFERROR(__xludf.DUMMYFUNCTION("""COMPUTED_VALUE"""),"NA")</f>
        <v>NA</v>
      </c>
      <c r="AS2972" s="8"/>
      <c r="AT2972" s="8"/>
      <c r="AU2972" s="8">
        <f ca="1">IFERROR(__xludf.DUMMYFUNCTION("""COMPUTED_VALUE"""),38.621416)</f>
        <v>38.621416000000004</v>
      </c>
      <c r="AV2972" s="8">
        <f ca="1">IFERROR(__xludf.DUMMYFUNCTION("""COMPUTED_VALUE"""),-90.269947)</f>
        <v>-90.269947000000002</v>
      </c>
      <c r="AW2972" s="8"/>
      <c r="AX2972" s="8">
        <f ca="1">IFERROR(__xludf.DUMMYFUNCTION("""COMPUTED_VALUE"""),63110)</f>
        <v>63110</v>
      </c>
    </row>
    <row r="2973" spans="1:50" ht="75" x14ac:dyDescent="0.2">
      <c r="A2973" s="8" t="str">
        <f ca="1">IFERROR(__xludf.DUMMYFUNCTION("""COMPUTED_VALUE"""),"19790928MACHC")</f>
        <v>19790928MACHC</v>
      </c>
      <c r="B2973" s="8">
        <f ca="1">IFERROR(__xludf.DUMMYFUNCTION("""COMPUTED_VALUE"""),9)</f>
        <v>9</v>
      </c>
      <c r="C2973" s="8">
        <f ca="1">IFERROR(__xludf.DUMMYFUNCTION("""COMPUTED_VALUE"""),28)</f>
        <v>28</v>
      </c>
      <c r="D2973" s="8">
        <f ca="1">IFERROR(__xludf.DUMMYFUNCTION("""COMPUTED_VALUE"""),1979)</f>
        <v>1979</v>
      </c>
      <c r="E2973" s="9">
        <f ca="1">IFERROR(__xludf.DUMMYFUNCTION("""COMPUTED_VALUE"""),29126)</f>
        <v>29126</v>
      </c>
      <c r="F2973" s="8" t="str">
        <f ca="1">IFERROR(__xludf.DUMMYFUNCTION("""COMPUTED_VALUE"""),"Charlestown High School")</f>
        <v>Charlestown High School</v>
      </c>
      <c r="G2973" s="8">
        <f ca="1">IFERROR(__xludf.DUMMYFUNCTION("""COMPUTED_VALUE"""),0)</f>
        <v>0</v>
      </c>
      <c r="H2973" s="8">
        <f ca="1">IFERROR(__xludf.DUMMYFUNCTION("""COMPUTED_VALUE"""),1)</f>
        <v>1</v>
      </c>
      <c r="I2973" s="8">
        <f ca="1">IFERROR(__xludf.DUMMYFUNCTION("""COMPUTED_VALUE"""),1)</f>
        <v>1</v>
      </c>
      <c r="J2973" s="8">
        <f ca="1">IFERROR(__xludf.DUMMYFUNCTION("""COMPUTED_VALUE"""),0)</f>
        <v>0</v>
      </c>
      <c r="K2973" s="8" t="str">
        <f ca="1">IFERROR(__xludf.DUMMYFUNCTION("""COMPUTED_VALUE"""),"https://www.nytimes.com/1979/10/19/archives/racial-strife-disrupts-boston-high-schools-for-3d-day-race-violence.html https://www.newspapers.com/image/148876462/?terms=school%2Bshooting")</f>
        <v>https://www.nytimes.com/1979/10/19/archives/racial-strife-disrupts-boston-high-schools-for-3d-day-race-violence.html https://www.newspapers.com/image/148876462/?terms=school%2Bshooting</v>
      </c>
      <c r="L2973" s="8"/>
      <c r="M2973" s="8"/>
      <c r="N2973" s="8">
        <f ca="1">IFERROR(__xludf.DUMMYFUNCTION("""COMPUTED_VALUE"""),3)</f>
        <v>3</v>
      </c>
      <c r="O2973" s="8" t="str">
        <f ca="1">IFERROR(__xludf.DUMMYFUNCTION("""COMPUTED_VALUE"""),"Fall")</f>
        <v>Fall</v>
      </c>
      <c r="P2973" s="8" t="str">
        <f ca="1">IFERROR(__xludf.DUMMYFUNCTION("""COMPUTED_VALUE"""),"Charlestown")</f>
        <v>Charlestown</v>
      </c>
      <c r="Q2973" s="8" t="str">
        <f ca="1">IFERROR(__xludf.DUMMYFUNCTION("""COMPUTED_VALUE"""),"MA")</f>
        <v>MA</v>
      </c>
      <c r="R2973" s="8" t="str">
        <f ca="1">IFERROR(__xludf.DUMMYFUNCTION("""COMPUTED_VALUE"""),"High")</f>
        <v>High</v>
      </c>
      <c r="S2973" s="8" t="str">
        <f ca="1">IFERROR(__xludf.DUMMYFUNCTION("""COMPUTED_VALUE"""),"Football Field/Track")</f>
        <v>Football Field/Track</v>
      </c>
      <c r="T2973" s="8" t="str">
        <f ca="1">IFERROR(__xludf.DUMMYFUNCTION("""COMPUTED_VALUE"""),"Outside on School Property")</f>
        <v>Outside on School Property</v>
      </c>
      <c r="U2973" s="8" t="str">
        <f ca="1">IFERROR(__xludf.DUMMYFUNCTION("""COMPUTED_VALUE"""),"No")</f>
        <v>No</v>
      </c>
      <c r="V2973" s="8" t="str">
        <f ca="1">IFERROR(__xludf.DUMMYFUNCTION("""COMPUTED_VALUE"""),"Sport Event")</f>
        <v>Sport Event</v>
      </c>
      <c r="W2973" s="8"/>
      <c r="X2973" s="8">
        <f ca="1">IFERROR(__xludf.DUMMYFUNCTION("""COMPUTED_VALUE"""),1)</f>
        <v>1</v>
      </c>
      <c r="Y2973" s="12" t="str">
        <f ca="1">IFERROR(__xludf.DUMMYFUNCTION("""COMPUTED_VALUE"""),"Racial Tension in Neighborhood")</f>
        <v>Racial Tension in Neighborhood</v>
      </c>
      <c r="Z2973" s="12" t="str">
        <f ca="1">IFERROR(__xludf.DUMMYFUNCTION("""COMPUTED_VALUE"""),"Two white teens fired a rifle shot from a nearby rooftop striking a black football player during a football game. The shooting occurred during a period of racial tension within the neighborhood. Teens claimed the shooting was accidental and they were shoo"&amp;"ting at pigeons.")</f>
        <v>Two white teens fired a rifle shot from a nearby rooftop striking a black football player during a football game. The shooting occurred during a period of racial tension within the neighborhood. Teens claimed the shooting was accidental and they were shooting at pigeons.</v>
      </c>
      <c r="AA2973" s="8" t="str">
        <f ca="1">IFERROR(__xludf.DUMMYFUNCTION("""COMPUTED_VALUE"""),"Racial")</f>
        <v>Racial</v>
      </c>
      <c r="AB2973" s="8"/>
      <c r="AC2973" s="8"/>
      <c r="AD2973" s="8" t="str">
        <f ca="1">IFERROR(__xludf.DUMMYFUNCTION("""COMPUTED_VALUE"""),"Victims Targeted")</f>
        <v>Victims Targeted</v>
      </c>
      <c r="AE2973" s="8" t="str">
        <f ca="1">IFERROR(__xludf.DUMMYFUNCTION("""COMPUTED_VALUE"""),"Yes")</f>
        <v>Yes</v>
      </c>
      <c r="AF2973" s="8" t="str">
        <f ca="1">IFERROR(__xludf.DUMMYFUNCTION("""COMPUTED_VALUE"""),"2 teens involved")</f>
        <v>2 teens involved</v>
      </c>
      <c r="AG2973" s="8" t="str">
        <f ca="1">IFERROR(__xludf.DUMMYFUNCTION("""COMPUTED_VALUE"""),"No")</f>
        <v>No</v>
      </c>
      <c r="AH2973" s="8" t="str">
        <f ca="1">IFERROR(__xludf.DUMMYFUNCTION("""COMPUTED_VALUE"""),"No")</f>
        <v>No</v>
      </c>
      <c r="AI2973" s="8" t="str">
        <f ca="1">IFERROR(__xludf.DUMMYFUNCTION("""COMPUTED_VALUE"""),"No")</f>
        <v>No</v>
      </c>
      <c r="AJ2973" s="8" t="str">
        <f ca="1">IFERROR(__xludf.DUMMYFUNCTION("""COMPUTED_VALUE"""),"No")</f>
        <v>No</v>
      </c>
      <c r="AK2973" s="8" t="str">
        <f ca="1">IFERROR(__xludf.DUMMYFUNCTION("""COMPUTED_VALUE"""),"No")</f>
        <v>No</v>
      </c>
      <c r="AL2973" s="8" t="str">
        <f ca="1">IFERROR(__xludf.DUMMYFUNCTION("""COMPUTED_VALUE"""),"No")</f>
        <v>No</v>
      </c>
      <c r="AM2973" s="8"/>
      <c r="AN2973" s="8"/>
      <c r="AO2973" s="8" t="str">
        <f ca="1">IFERROR(__xludf.DUMMYFUNCTION("""COMPUTED_VALUE"""),"No")</f>
        <v>No</v>
      </c>
      <c r="AP2973" s="8" t="str">
        <f ca="1">IFERROR(__xludf.DUMMYFUNCTION("""COMPUTED_VALUE"""),"No")</f>
        <v>No</v>
      </c>
      <c r="AQ2973" s="8" t="str">
        <f ca="1">IFERROR(__xludf.DUMMYFUNCTION("""COMPUTED_VALUE"""),"None")</f>
        <v>None</v>
      </c>
      <c r="AR2973" s="8" t="str">
        <f ca="1">IFERROR(__xludf.DUMMYFUNCTION("""COMPUTED_VALUE"""),"NA")</f>
        <v>NA</v>
      </c>
      <c r="AS2973" s="8">
        <f ca="1">IFERROR(__xludf.DUMMYFUNCTION("""COMPUTED_VALUE"""),1)</f>
        <v>1</v>
      </c>
      <c r="AT2973" s="8"/>
      <c r="AU2973" s="8">
        <f ca="1">IFERROR(__xludf.DUMMYFUNCTION("""COMPUTED_VALUE"""),42.380364)</f>
        <v>42.380364</v>
      </c>
      <c r="AV2973" s="8">
        <f ca="1">IFERROR(__xludf.DUMMYFUNCTION("""COMPUTED_VALUE"""),-71.06102)</f>
        <v>-71.061019999999999</v>
      </c>
      <c r="AW2973" s="8"/>
      <c r="AX2973" s="8">
        <f ca="1">IFERROR(__xludf.DUMMYFUNCTION("""COMPUTED_VALUE"""),2129)</f>
        <v>2129</v>
      </c>
    </row>
    <row r="2974" spans="1:50" ht="60" x14ac:dyDescent="0.2">
      <c r="A2974" s="8" t="str">
        <f ca="1">IFERROR(__xludf.DUMMYFUNCTION("""COMPUTED_VALUE"""),"19790614OHNEN")</f>
        <v>19790614OHNEN</v>
      </c>
      <c r="B2974" s="8">
        <f ca="1">IFERROR(__xludf.DUMMYFUNCTION("""COMPUTED_VALUE"""),6)</f>
        <v>6</v>
      </c>
      <c r="C2974" s="8">
        <f ca="1">IFERROR(__xludf.DUMMYFUNCTION("""COMPUTED_VALUE"""),14)</f>
        <v>14</v>
      </c>
      <c r="D2974" s="8">
        <f ca="1">IFERROR(__xludf.DUMMYFUNCTION("""COMPUTED_VALUE"""),1979)</f>
        <v>1979</v>
      </c>
      <c r="E2974" s="9">
        <f ca="1">IFERROR(__xludf.DUMMYFUNCTION("""COMPUTED_VALUE"""),29020)</f>
        <v>29020</v>
      </c>
      <c r="F2974" s="8" t="str">
        <f ca="1">IFERROR(__xludf.DUMMYFUNCTION("""COMPUTED_VALUE"""),"New Carlisle Elementary School")</f>
        <v>New Carlisle Elementary School</v>
      </c>
      <c r="G2974" s="8">
        <f ca="1">IFERROR(__xludf.DUMMYFUNCTION("""COMPUTED_VALUE"""),1)</f>
        <v>1</v>
      </c>
      <c r="H2974" s="8">
        <f ca="1">IFERROR(__xludf.DUMMYFUNCTION("""COMPUTED_VALUE"""),0)</f>
        <v>0</v>
      </c>
      <c r="I2974" s="8">
        <f ca="1">IFERROR(__xludf.DUMMYFUNCTION("""COMPUTED_VALUE"""),1)</f>
        <v>1</v>
      </c>
      <c r="J2974" s="8">
        <f ca="1">IFERROR(__xludf.DUMMYFUNCTION("""COMPUTED_VALUE"""),0)</f>
        <v>0</v>
      </c>
      <c r="K2974" s="8" t="str">
        <f ca="1">IFERROR(__xludf.DUMMYFUNCTION("""COMPUTED_VALUE"""),"https://www.newspapers.com/image/405735370/?terms=Adams%2BElementary%2BSchool%2Bshooting   https://www.newspapers.com/image/391858323/?terms=CLINTON%2BKING")</f>
        <v>https://www.newspapers.com/image/405735370/?terms=Adams%2BElementary%2BSchool%2Bshooting   https://www.newspapers.com/image/391858323/?terms=CLINTON%2BKING</v>
      </c>
      <c r="L2974" s="8"/>
      <c r="M2974" s="8"/>
      <c r="N2974" s="8">
        <f ca="1">IFERROR(__xludf.DUMMYFUNCTION("""COMPUTED_VALUE"""),2)</f>
        <v>2</v>
      </c>
      <c r="O2974" s="8" t="str">
        <f ca="1">IFERROR(__xludf.DUMMYFUNCTION("""COMPUTED_VALUE"""),"Summer")</f>
        <v>Summer</v>
      </c>
      <c r="P2974" s="8" t="str">
        <f ca="1">IFERROR(__xludf.DUMMYFUNCTION("""COMPUTED_VALUE"""),"New Carlisle")</f>
        <v>New Carlisle</v>
      </c>
      <c r="Q2974" s="8" t="str">
        <f ca="1">IFERROR(__xludf.DUMMYFUNCTION("""COMPUTED_VALUE"""),"OH")</f>
        <v>OH</v>
      </c>
      <c r="R2974" s="8" t="str">
        <f ca="1">IFERROR(__xludf.DUMMYFUNCTION("""COMPUTED_VALUE"""),"Elementary")</f>
        <v>Elementary</v>
      </c>
      <c r="S2974" s="8" t="str">
        <f ca="1">IFERROR(__xludf.DUMMYFUNCTION("""COMPUTED_VALUE"""),"Outside on School Property")</f>
        <v>Outside on School Property</v>
      </c>
      <c r="T2974" s="8" t="str">
        <f ca="1">IFERROR(__xludf.DUMMYFUNCTION("""COMPUTED_VALUE"""),"Outside on School Property")</f>
        <v>Outside on School Property</v>
      </c>
      <c r="U2974" s="8" t="str">
        <f ca="1">IFERROR(__xludf.DUMMYFUNCTION("""COMPUTED_VALUE"""),"No")</f>
        <v>No</v>
      </c>
      <c r="V2974" s="8" t="str">
        <f ca="1">IFERROR(__xludf.DUMMYFUNCTION("""COMPUTED_VALUE"""),"After School")</f>
        <v>After School</v>
      </c>
      <c r="W2974" s="8"/>
      <c r="X2974" s="8">
        <f ca="1">IFERROR(__xludf.DUMMYFUNCTION("""COMPUTED_VALUE"""),1)</f>
        <v>1</v>
      </c>
      <c r="Y2974" s="12" t="str">
        <f ca="1">IFERROR(__xludf.DUMMYFUNCTION("""COMPUTED_VALUE"""),"Youths playing with gun when accidentally went off killing student")</f>
        <v>Youths playing with gun when accidentally went off killing student</v>
      </c>
      <c r="Z2974" s="12" t="str">
        <f ca="1">IFERROR(__xludf.DUMMYFUNCTION("""COMPUTED_VALUE"""),"Two boys were playing with a gun when it accidentally went off striking one of the boys in the head killing him. The shooter left the scene was was later found and questioned by police.")</f>
        <v>Two boys were playing with a gun when it accidentally went off striking one of the boys in the head killing him. The shooter left the scene was was later found and questioned by police.</v>
      </c>
      <c r="AA2974" s="8" t="str">
        <f ca="1">IFERROR(__xludf.DUMMYFUNCTION("""COMPUTED_VALUE"""),"Accidental")</f>
        <v>Accidental</v>
      </c>
      <c r="AB2974" s="8"/>
      <c r="AC2974" s="8"/>
      <c r="AD2974" s="8" t="str">
        <f ca="1">IFERROR(__xludf.DUMMYFUNCTION("""COMPUTED_VALUE"""),"Neither")</f>
        <v>Neither</v>
      </c>
      <c r="AE2974" s="8" t="str">
        <f ca="1">IFERROR(__xludf.DUMMYFUNCTION("""COMPUTED_VALUE"""),"No")</f>
        <v>No</v>
      </c>
      <c r="AF2974" s="8"/>
      <c r="AG2974" s="8" t="str">
        <f ca="1">IFERROR(__xludf.DUMMYFUNCTION("""COMPUTED_VALUE"""),"No")</f>
        <v>No</v>
      </c>
      <c r="AH2974" s="8" t="str">
        <f ca="1">IFERROR(__xludf.DUMMYFUNCTION("""COMPUTED_VALUE"""),"No")</f>
        <v>No</v>
      </c>
      <c r="AI2974" s="8" t="str">
        <f ca="1">IFERROR(__xludf.DUMMYFUNCTION("""COMPUTED_VALUE"""),"No")</f>
        <v>No</v>
      </c>
      <c r="AJ2974" s="8" t="str">
        <f ca="1">IFERROR(__xludf.DUMMYFUNCTION("""COMPUTED_VALUE"""),"No")</f>
        <v>No</v>
      </c>
      <c r="AK2974" s="8" t="str">
        <f ca="1">IFERROR(__xludf.DUMMYFUNCTION("""COMPUTED_VALUE"""),"No")</f>
        <v>No</v>
      </c>
      <c r="AL2974" s="8" t="str">
        <f ca="1">IFERROR(__xludf.DUMMYFUNCTION("""COMPUTED_VALUE"""),"No")</f>
        <v>No</v>
      </c>
      <c r="AM2974" s="8"/>
      <c r="AN2974" s="8"/>
      <c r="AO2974" s="8" t="str">
        <f ca="1">IFERROR(__xludf.DUMMYFUNCTION("""COMPUTED_VALUE"""),"No")</f>
        <v>No</v>
      </c>
      <c r="AP2974" s="8"/>
      <c r="AQ2974" s="8" t="str">
        <f ca="1">IFERROR(__xludf.DUMMYFUNCTION("""COMPUTED_VALUE"""),"Unknown")</f>
        <v>Unknown</v>
      </c>
      <c r="AR2974" s="8" t="str">
        <f ca="1">IFERROR(__xludf.DUMMYFUNCTION("""COMPUTED_VALUE"""),"NA")</f>
        <v>NA</v>
      </c>
      <c r="AS2974" s="8">
        <f ca="1">IFERROR(__xludf.DUMMYFUNCTION("""COMPUTED_VALUE"""),1)</f>
        <v>1</v>
      </c>
      <c r="AT2974" s="8"/>
      <c r="AU2974" s="8">
        <f ca="1">IFERROR(__xludf.DUMMYFUNCTION("""COMPUTED_VALUE"""),39.949467)</f>
        <v>39.949466999999999</v>
      </c>
      <c r="AV2974" s="8">
        <f ca="1">IFERROR(__xludf.DUMMYFUNCTION("""COMPUTED_VALUE"""),-84.033585)</f>
        <v>-84.033585000000002</v>
      </c>
      <c r="AW2974" s="8"/>
      <c r="AX2974" s="8">
        <f ca="1">IFERROR(__xludf.DUMMYFUNCTION("""COMPUTED_VALUE"""),45344)</f>
        <v>45344</v>
      </c>
    </row>
    <row r="2975" spans="1:50" ht="105" x14ac:dyDescent="0.2">
      <c r="A2975" s="8" t="str">
        <f ca="1">IFERROR(__xludf.DUMMYFUNCTION("""COMPUTED_VALUE"""),"19790426TXAZA")</f>
        <v>19790426TXAZA</v>
      </c>
      <c r="B2975" s="8">
        <f ca="1">IFERROR(__xludf.DUMMYFUNCTION("""COMPUTED_VALUE"""),4)</f>
        <v>4</v>
      </c>
      <c r="C2975" s="8">
        <f ca="1">IFERROR(__xludf.DUMMYFUNCTION("""COMPUTED_VALUE"""),26)</f>
        <v>26</v>
      </c>
      <c r="D2975" s="8">
        <f ca="1">IFERROR(__xludf.DUMMYFUNCTION("""COMPUTED_VALUE"""),1979)</f>
        <v>1979</v>
      </c>
      <c r="E2975" s="9">
        <f ca="1">IFERROR(__xludf.DUMMYFUNCTION("""COMPUTED_VALUE"""),28971)</f>
        <v>28971</v>
      </c>
      <c r="F2975" s="8" t="str">
        <f ca="1">IFERROR(__xludf.DUMMYFUNCTION("""COMPUTED_VALUE"""),"Azle Junior High School")</f>
        <v>Azle Junior High School</v>
      </c>
      <c r="G2975" s="8">
        <f ca="1">IFERROR(__xludf.DUMMYFUNCTION("""COMPUTED_VALUE"""),1)</f>
        <v>1</v>
      </c>
      <c r="H2975" s="8">
        <f ca="1">IFERROR(__xludf.DUMMYFUNCTION("""COMPUTED_VALUE"""),0)</f>
        <v>0</v>
      </c>
      <c r="I2975" s="8">
        <f ca="1">IFERROR(__xludf.DUMMYFUNCTION("""COMPUTED_VALUE"""),1)</f>
        <v>1</v>
      </c>
      <c r="J2975" s="8">
        <f ca="1">IFERROR(__xludf.DUMMYFUNCTION("""COMPUTED_VALUE"""),0)</f>
        <v>0</v>
      </c>
      <c r="K2975" s="10" t="str">
        <f ca="1">IFERROR(__xludf.DUMMYFUNCTION("""COMPUTED_VALUE"""),"https://www.newspapers.com/image/362214425/?terms=school%2Bshooting")</f>
        <v>https://www.newspapers.com/image/362214425/?terms=school%2Bshooting</v>
      </c>
      <c r="L2975" s="8"/>
      <c r="M2975" s="8"/>
      <c r="N2975" s="8">
        <f ca="1">IFERROR(__xludf.DUMMYFUNCTION("""COMPUTED_VALUE"""),2)</f>
        <v>2</v>
      </c>
      <c r="O2975" s="8" t="str">
        <f ca="1">IFERROR(__xludf.DUMMYFUNCTION("""COMPUTED_VALUE"""),"Spring")</f>
        <v>Spring</v>
      </c>
      <c r="P2975" s="8" t="str">
        <f ca="1">IFERROR(__xludf.DUMMYFUNCTION("""COMPUTED_VALUE"""),"Azle")</f>
        <v>Azle</v>
      </c>
      <c r="Q2975" s="8" t="str">
        <f ca="1">IFERROR(__xludf.DUMMYFUNCTION("""COMPUTED_VALUE"""),"TX")</f>
        <v>TX</v>
      </c>
      <c r="R2975" s="8" t="str">
        <f ca="1">IFERROR(__xludf.DUMMYFUNCTION("""COMPUTED_VALUE"""),"High")</f>
        <v>High</v>
      </c>
      <c r="S2975" s="8" t="str">
        <f ca="1">IFERROR(__xludf.DUMMYFUNCTION("""COMPUTED_VALUE"""),"Beside Building")</f>
        <v>Beside Building</v>
      </c>
      <c r="T2975" s="8" t="str">
        <f ca="1">IFERROR(__xludf.DUMMYFUNCTION("""COMPUTED_VALUE"""),"Outside on School Property")</f>
        <v>Outside on School Property</v>
      </c>
      <c r="U2975" s="8" t="str">
        <f ca="1">IFERROR(__xludf.DUMMYFUNCTION("""COMPUTED_VALUE"""),"Yes")</f>
        <v>Yes</v>
      </c>
      <c r="V2975" s="8" t="str">
        <f ca="1">IFERROR(__xludf.DUMMYFUNCTION("""COMPUTED_VALUE"""),"After School")</f>
        <v>After School</v>
      </c>
      <c r="W2975" s="11">
        <f ca="1">IFERROR(__xludf.DUMMYFUNCTION("""COMPUTED_VALUE"""),0.645833333333333)</f>
        <v>0.64583333333333304</v>
      </c>
      <c r="X2975" s="8">
        <f ca="1">IFERROR(__xludf.DUMMYFUNCTION("""COMPUTED_VALUE"""),1)</f>
        <v>1</v>
      </c>
      <c r="Y2975" s="12" t="str">
        <f ca="1">IFERROR(__xludf.DUMMYFUNCTION("""COMPUTED_VALUE"""),"Ongoing dispute for months escalated into shooting")</f>
        <v>Ongoing dispute for months escalated into shooting</v>
      </c>
      <c r="Z2975" s="12" t="str">
        <f ca="1">IFERROR(__xludf.DUMMYFUNCTION("""COMPUTED_VALUE"""),"14 year-old male shot a 13 year-old male in the back of the head outside of the school building. Two students had ongoing dispute back to the prior football season. Both were on the football team. Shooter was found by police about 500 yards from the scene"&amp;". Shooter and victim had showered together following sports practice moments before the shooting.")</f>
        <v>14 year-old male shot a 13 year-old male in the back of the head outside of the school building. Two students had ongoing dispute back to the prior football season. Both were on the football team. Shooter was found by police about 500 yards from the scene. Shooter and victim had showered together following sports practice moments before the shooting.</v>
      </c>
      <c r="AA2975" s="8" t="str">
        <f ca="1">IFERROR(__xludf.DUMMYFUNCTION("""COMPUTED_VALUE"""),"Escalation of Dispute")</f>
        <v>Escalation of Dispute</v>
      </c>
      <c r="AB2975" s="8"/>
      <c r="AC2975" s="8"/>
      <c r="AD2975" s="8" t="str">
        <f ca="1">IFERROR(__xludf.DUMMYFUNCTION("""COMPUTED_VALUE"""),"Victims Targeted")</f>
        <v>Victims Targeted</v>
      </c>
      <c r="AE2975" s="8" t="str">
        <f ca="1">IFERROR(__xludf.DUMMYFUNCTION("""COMPUTED_VALUE"""),"No")</f>
        <v>No</v>
      </c>
      <c r="AF2975" s="8"/>
      <c r="AG2975" s="8" t="str">
        <f ca="1">IFERROR(__xludf.DUMMYFUNCTION("""COMPUTED_VALUE"""),"No")</f>
        <v>No</v>
      </c>
      <c r="AH2975" s="8" t="str">
        <f ca="1">IFERROR(__xludf.DUMMYFUNCTION("""COMPUTED_VALUE"""),"No")</f>
        <v>No</v>
      </c>
      <c r="AI2975" s="8" t="str">
        <f ca="1">IFERROR(__xludf.DUMMYFUNCTION("""COMPUTED_VALUE"""),"No")</f>
        <v>No</v>
      </c>
      <c r="AJ2975" s="8" t="str">
        <f ca="1">IFERROR(__xludf.DUMMYFUNCTION("""COMPUTED_VALUE"""),"No")</f>
        <v>No</v>
      </c>
      <c r="AK2975" s="8" t="str">
        <f ca="1">IFERROR(__xludf.DUMMYFUNCTION("""COMPUTED_VALUE"""),"No")</f>
        <v>No</v>
      </c>
      <c r="AL2975" s="8" t="str">
        <f ca="1">IFERROR(__xludf.DUMMYFUNCTION("""COMPUTED_VALUE"""),"No")</f>
        <v>No</v>
      </c>
      <c r="AM2975" s="8"/>
      <c r="AN2975" s="8"/>
      <c r="AO2975" s="8" t="str">
        <f ca="1">IFERROR(__xludf.DUMMYFUNCTION("""COMPUTED_VALUE"""),"No")</f>
        <v>No</v>
      </c>
      <c r="AP2975" s="8"/>
      <c r="AQ2975" s="8" t="str">
        <f ca="1">IFERROR(__xludf.DUMMYFUNCTION("""COMPUTED_VALUE"""),"Unknown")</f>
        <v>Unknown</v>
      </c>
      <c r="AR2975" s="8" t="str">
        <f ca="1">IFERROR(__xludf.DUMMYFUNCTION("""COMPUTED_VALUE"""),"NA")</f>
        <v>NA</v>
      </c>
      <c r="AS2975" s="8">
        <f ca="1">IFERROR(__xludf.DUMMYFUNCTION("""COMPUTED_VALUE"""),1)</f>
        <v>1</v>
      </c>
      <c r="AT2975" s="8"/>
      <c r="AU2975" s="8">
        <f ca="1">IFERROR(__xludf.DUMMYFUNCTION("""COMPUTED_VALUE"""),32.892409)</f>
        <v>32.892409000000001</v>
      </c>
      <c r="AV2975" s="8">
        <f ca="1">IFERROR(__xludf.DUMMYFUNCTION("""COMPUTED_VALUE"""),-97.529999)</f>
        <v>-97.529999000000004</v>
      </c>
      <c r="AW2975" s="8"/>
      <c r="AX2975" s="8">
        <f ca="1">IFERROR(__xludf.DUMMYFUNCTION("""COMPUTED_VALUE"""),76020)</f>
        <v>76020</v>
      </c>
    </row>
    <row r="2976" spans="1:50" ht="60" x14ac:dyDescent="0.2">
      <c r="A2976" s="8" t="str">
        <f ca="1">IFERROR(__xludf.DUMMYFUNCTION("""COMPUTED_VALUE"""),"19790425PAMAH")</f>
        <v>19790425PAMAH</v>
      </c>
      <c r="B2976" s="8">
        <f ca="1">IFERROR(__xludf.DUMMYFUNCTION("""COMPUTED_VALUE"""),4)</f>
        <v>4</v>
      </c>
      <c r="C2976" s="8">
        <f ca="1">IFERROR(__xludf.DUMMYFUNCTION("""COMPUTED_VALUE"""),25)</f>
        <v>25</v>
      </c>
      <c r="D2976" s="8">
        <f ca="1">IFERROR(__xludf.DUMMYFUNCTION("""COMPUTED_VALUE"""),1979)</f>
        <v>1979</v>
      </c>
      <c r="E2976" s="9">
        <f ca="1">IFERROR(__xludf.DUMMYFUNCTION("""COMPUTED_VALUE"""),28970)</f>
        <v>28970</v>
      </c>
      <c r="F2976" s="8" t="str">
        <f ca="1">IFERROR(__xludf.DUMMYFUNCTION("""COMPUTED_VALUE"""),"Martin L. Mattei Junior High School")</f>
        <v>Martin L. Mattei Junior High School</v>
      </c>
      <c r="G2976" s="8">
        <f ca="1">IFERROR(__xludf.DUMMYFUNCTION("""COMPUTED_VALUE"""),0)</f>
        <v>0</v>
      </c>
      <c r="H2976" s="8">
        <f ca="1">IFERROR(__xludf.DUMMYFUNCTION("""COMPUTED_VALUE"""),1)</f>
        <v>1</v>
      </c>
      <c r="I2976" s="8">
        <f ca="1">IFERROR(__xludf.DUMMYFUNCTION("""COMPUTED_VALUE"""),1)</f>
        <v>1</v>
      </c>
      <c r="J2976" s="8">
        <f ca="1">IFERROR(__xludf.DUMMYFUNCTION("""COMPUTED_VALUE"""),0)</f>
        <v>0</v>
      </c>
      <c r="K2976" s="10" t="str">
        <f ca="1">IFERROR(__xludf.DUMMYFUNCTION("""COMPUTED_VALUE"""),"https://www.newspapers.com/image/407944749/?terms=school%2Bshooting")</f>
        <v>https://www.newspapers.com/image/407944749/?terms=school%2Bshooting</v>
      </c>
      <c r="L2976" s="8"/>
      <c r="M2976" s="8"/>
      <c r="N2976" s="8">
        <f ca="1">IFERROR(__xludf.DUMMYFUNCTION("""COMPUTED_VALUE"""),2)</f>
        <v>2</v>
      </c>
      <c r="O2976" s="8" t="str">
        <f ca="1">IFERROR(__xludf.DUMMYFUNCTION("""COMPUTED_VALUE"""),"Spring")</f>
        <v>Spring</v>
      </c>
      <c r="P2976" s="8" t="str">
        <f ca="1">IFERROR(__xludf.DUMMYFUNCTION("""COMPUTED_VALUE"""),"Hughestown")</f>
        <v>Hughestown</v>
      </c>
      <c r="Q2976" s="8" t="str">
        <f ca="1">IFERROR(__xludf.DUMMYFUNCTION("""COMPUTED_VALUE"""),"PA")</f>
        <v>PA</v>
      </c>
      <c r="R2976" s="8" t="str">
        <f ca="1">IFERROR(__xludf.DUMMYFUNCTION("""COMPUTED_VALUE"""),"Junior High")</f>
        <v>Junior High</v>
      </c>
      <c r="S2976" s="8" t="str">
        <f ca="1">IFERROR(__xludf.DUMMYFUNCTION("""COMPUTED_VALUE"""),"Field (General)")</f>
        <v>Field (General)</v>
      </c>
      <c r="T2976" s="8" t="str">
        <f ca="1">IFERROR(__xludf.DUMMYFUNCTION("""COMPUTED_VALUE"""),"Outside on School Property")</f>
        <v>Outside on School Property</v>
      </c>
      <c r="U2976" s="8" t="str">
        <f ca="1">IFERROR(__xludf.DUMMYFUNCTION("""COMPUTED_VALUE"""),"Yes")</f>
        <v>Yes</v>
      </c>
      <c r="V2976" s="8" t="str">
        <f ca="1">IFERROR(__xludf.DUMMYFUNCTION("""COMPUTED_VALUE"""),"Afternoon Classes")</f>
        <v>Afternoon Classes</v>
      </c>
      <c r="W2976" s="8"/>
      <c r="X2976" s="8">
        <f ca="1">IFERROR(__xludf.DUMMYFUNCTION("""COMPUTED_VALUE"""),1)</f>
        <v>1</v>
      </c>
      <c r="Y2976" s="12" t="str">
        <f ca="1">IFERROR(__xludf.DUMMYFUNCTION("""COMPUTED_VALUE"""),"Teacher shot in head by stray bullet fired from 3/4 mile away")</f>
        <v>Teacher shot in head by stray bullet fired from 3/4 mile away</v>
      </c>
      <c r="Z2976" s="12" t="str">
        <f ca="1">IFERROR(__xludf.DUMMYFUNCTION("""COMPUTED_VALUE"""),"Gym teacher was shot in head while standing outside of the school with a group of students. Police believed the bullet may have been fired from 3/4 of a mile away. A youth was seen on a motorcycle with a shotgun.")</f>
        <v>Gym teacher was shot in head while standing outside of the school with a group of students. Police believed the bullet may have been fired from 3/4 of a mile away. A youth was seen on a motorcycle with a shotgun.</v>
      </c>
      <c r="AA2976" s="8" t="str">
        <f ca="1">IFERROR(__xludf.DUMMYFUNCTION("""COMPUTED_VALUE"""),"Accidental")</f>
        <v>Accidental</v>
      </c>
      <c r="AB2976" s="8"/>
      <c r="AC2976" s="8"/>
      <c r="AD2976" s="8" t="str">
        <f ca="1">IFERROR(__xludf.DUMMYFUNCTION("""COMPUTED_VALUE"""),"Random Shooting")</f>
        <v>Random Shooting</v>
      </c>
      <c r="AE2976" s="8" t="str">
        <f ca="1">IFERROR(__xludf.DUMMYFUNCTION("""COMPUTED_VALUE"""),"No")</f>
        <v>No</v>
      </c>
      <c r="AF2976" s="8"/>
      <c r="AG2976" s="8" t="str">
        <f ca="1">IFERROR(__xludf.DUMMYFUNCTION("""COMPUTED_VALUE"""),"No")</f>
        <v>No</v>
      </c>
      <c r="AH2976" s="8" t="str">
        <f ca="1">IFERROR(__xludf.DUMMYFUNCTION("""COMPUTED_VALUE"""),"No")</f>
        <v>No</v>
      </c>
      <c r="AI2976" s="8" t="str">
        <f ca="1">IFERROR(__xludf.DUMMYFUNCTION("""COMPUTED_VALUE"""),"No")</f>
        <v>No</v>
      </c>
      <c r="AJ2976" s="8" t="str">
        <f ca="1">IFERROR(__xludf.DUMMYFUNCTION("""COMPUTED_VALUE"""),"No")</f>
        <v>No</v>
      </c>
      <c r="AK2976" s="8" t="str">
        <f ca="1">IFERROR(__xludf.DUMMYFUNCTION("""COMPUTED_VALUE"""),"No")</f>
        <v>No</v>
      </c>
      <c r="AL2976" s="8" t="str">
        <f ca="1">IFERROR(__xludf.DUMMYFUNCTION("""COMPUTED_VALUE"""),"No")</f>
        <v>No</v>
      </c>
      <c r="AM2976" s="8"/>
      <c r="AN2976" s="8"/>
      <c r="AO2976" s="8" t="str">
        <f ca="1">IFERROR(__xludf.DUMMYFUNCTION("""COMPUTED_VALUE"""),"No")</f>
        <v>No</v>
      </c>
      <c r="AP2976" s="8"/>
      <c r="AQ2976" s="8" t="str">
        <f ca="1">IFERROR(__xludf.DUMMYFUNCTION("""COMPUTED_VALUE"""),"Unknown")</f>
        <v>Unknown</v>
      </c>
      <c r="AR2976" s="8" t="str">
        <f ca="1">IFERROR(__xludf.DUMMYFUNCTION("""COMPUTED_VALUE"""),"NA")</f>
        <v>NA</v>
      </c>
      <c r="AS2976" s="8">
        <f ca="1">IFERROR(__xludf.DUMMYFUNCTION("""COMPUTED_VALUE"""),1)</f>
        <v>1</v>
      </c>
      <c r="AT2976" s="8"/>
      <c r="AU2976" s="8">
        <f ca="1">IFERROR(__xludf.DUMMYFUNCTION("""COMPUTED_VALUE"""),41.332848)</f>
        <v>41.332847999999998</v>
      </c>
      <c r="AV2976" s="8">
        <f ca="1">IFERROR(__xludf.DUMMYFUNCTION("""COMPUTED_VALUE"""),-75.779338)</f>
        <v>-75.779337999999996</v>
      </c>
      <c r="AW2976" s="8"/>
      <c r="AX2976" s="8">
        <f ca="1">IFERROR(__xludf.DUMMYFUNCTION("""COMPUTED_VALUE"""),18640)</f>
        <v>18640</v>
      </c>
    </row>
    <row r="2977" spans="1:50" ht="105" x14ac:dyDescent="0.2">
      <c r="A2977" s="8" t="str">
        <f ca="1">IFERROR(__xludf.DUMMYFUNCTION("""COMPUTED_VALUE"""),"19790416WIWIM")</f>
        <v>19790416WIWIM</v>
      </c>
      <c r="B2977" s="8">
        <f ca="1">IFERROR(__xludf.DUMMYFUNCTION("""COMPUTED_VALUE"""),4)</f>
        <v>4</v>
      </c>
      <c r="C2977" s="8">
        <f ca="1">IFERROR(__xludf.DUMMYFUNCTION("""COMPUTED_VALUE"""),16)</f>
        <v>16</v>
      </c>
      <c r="D2977" s="8">
        <f ca="1">IFERROR(__xludf.DUMMYFUNCTION("""COMPUTED_VALUE"""),1979)</f>
        <v>1979</v>
      </c>
      <c r="E2977" s="9">
        <f ca="1">IFERROR(__xludf.DUMMYFUNCTION("""COMPUTED_VALUE"""),28961)</f>
        <v>28961</v>
      </c>
      <c r="F2977" s="8" t="str">
        <f ca="1">IFERROR(__xludf.DUMMYFUNCTION("""COMPUTED_VALUE"""),"Wisconsin Lutheran High School")</f>
        <v>Wisconsin Lutheran High School</v>
      </c>
      <c r="G2977" s="8">
        <f ca="1">IFERROR(__xludf.DUMMYFUNCTION("""COMPUTED_VALUE"""),0)</f>
        <v>0</v>
      </c>
      <c r="H2977" s="8">
        <f ca="1">IFERROR(__xludf.DUMMYFUNCTION("""COMPUTED_VALUE"""),1)</f>
        <v>1</v>
      </c>
      <c r="I2977" s="8">
        <f ca="1">IFERROR(__xludf.DUMMYFUNCTION("""COMPUTED_VALUE"""),1)</f>
        <v>1</v>
      </c>
      <c r="J2977" s="8">
        <f ca="1">IFERROR(__xludf.DUMMYFUNCTION("""COMPUTED_VALUE"""),0)</f>
        <v>0</v>
      </c>
      <c r="K2977" s="10" t="str">
        <f ca="1">IFERROR(__xludf.DUMMYFUNCTION("""COMPUTED_VALUE"""),"https://www.newspapers.com/image/273435847/?terms=Wisconsin%2BLutheran%2BHigh%2BSchool%2Bjanitor%2Bshot%2Brocks")</f>
        <v>https://www.newspapers.com/image/273435847/?terms=Wisconsin%2BLutheran%2BHigh%2BSchool%2Bjanitor%2Bshot%2Brocks</v>
      </c>
      <c r="L2977" s="8"/>
      <c r="M2977" s="8"/>
      <c r="N2977" s="8">
        <f ca="1">IFERROR(__xludf.DUMMYFUNCTION("""COMPUTED_VALUE"""),2)</f>
        <v>2</v>
      </c>
      <c r="O2977" s="8" t="str">
        <f ca="1">IFERROR(__xludf.DUMMYFUNCTION("""COMPUTED_VALUE"""),"Spring")</f>
        <v>Spring</v>
      </c>
      <c r="P2977" s="8" t="str">
        <f ca="1">IFERROR(__xludf.DUMMYFUNCTION("""COMPUTED_VALUE"""),"Milwaukee")</f>
        <v>Milwaukee</v>
      </c>
      <c r="Q2977" s="8" t="str">
        <f ca="1">IFERROR(__xludf.DUMMYFUNCTION("""COMPUTED_VALUE"""),"WI")</f>
        <v>WI</v>
      </c>
      <c r="R2977" s="8" t="str">
        <f ca="1">IFERROR(__xludf.DUMMYFUNCTION("""COMPUTED_VALUE"""),"High")</f>
        <v>High</v>
      </c>
      <c r="S2977" s="8" t="str">
        <f ca="1">IFERROR(__xludf.DUMMYFUNCTION("""COMPUTED_VALUE"""),"Beside Building")</f>
        <v>Beside Building</v>
      </c>
      <c r="T2977" s="8" t="str">
        <f ca="1">IFERROR(__xludf.DUMMYFUNCTION("""COMPUTED_VALUE"""),"Outside on School Property")</f>
        <v>Outside on School Property</v>
      </c>
      <c r="U2977" s="8" t="str">
        <f ca="1">IFERROR(__xludf.DUMMYFUNCTION("""COMPUTED_VALUE"""),"No")</f>
        <v>No</v>
      </c>
      <c r="V2977" s="8" t="str">
        <f ca="1">IFERROR(__xludf.DUMMYFUNCTION("""COMPUTED_VALUE"""),"Night")</f>
        <v>Night</v>
      </c>
      <c r="W2977" s="8"/>
      <c r="X2977" s="8">
        <f ca="1">IFERROR(__xludf.DUMMYFUNCTION("""COMPUTED_VALUE"""),1)</f>
        <v>1</v>
      </c>
      <c r="Y2977" s="12" t="str">
        <f ca="1">IFERROR(__xludf.DUMMYFUNCTION("""COMPUTED_VALUE"""),"Janitor shot student for throwing rocks at the school")</f>
        <v>Janitor shot student for throwing rocks at the school</v>
      </c>
      <c r="Z2977" s="12" t="str">
        <f ca="1">IFERROR(__xludf.DUMMYFUNCTION("""COMPUTED_VALUE"""),"Three expelled students were throwing rocks at the school and broke multiple windows. The janitor confronted the students and fired 2 warning shots into the air. The students continued to approach him and he fired one shot into the ground near them. Some "&amp;"pellets struck one of the former students in the leg. Janitor was taken into custody.  Two other teens were arrested for damaging the school.")</f>
        <v>Three expelled students were throwing rocks at the school and broke multiple windows. The janitor confronted the students and fired 2 warning shots into the air. The students continued to approach him and he fired one shot into the ground near them. Some pellets struck one of the former students in the leg. Janitor was taken into custody.  Two other teens were arrested for damaging the school.</v>
      </c>
      <c r="AA2977" s="8" t="str">
        <f ca="1">IFERROR(__xludf.DUMMYFUNCTION("""COMPUTED_VALUE"""),"Self-defense")</f>
        <v>Self-defense</v>
      </c>
      <c r="AB2977" s="8"/>
      <c r="AC2977" s="8"/>
      <c r="AD2977" s="8" t="str">
        <f ca="1">IFERROR(__xludf.DUMMYFUNCTION("""COMPUTED_VALUE"""),"Victims Targeted")</f>
        <v>Victims Targeted</v>
      </c>
      <c r="AE2977" s="8"/>
      <c r="AF2977" s="8"/>
      <c r="AG2977" s="8" t="str">
        <f ca="1">IFERROR(__xludf.DUMMYFUNCTION("""COMPUTED_VALUE"""),"No")</f>
        <v>No</v>
      </c>
      <c r="AH2977" s="8" t="str">
        <f ca="1">IFERROR(__xludf.DUMMYFUNCTION("""COMPUTED_VALUE"""),"No")</f>
        <v>No</v>
      </c>
      <c r="AI2977" s="8" t="str">
        <f ca="1">IFERROR(__xludf.DUMMYFUNCTION("""COMPUTED_VALUE"""),"No")</f>
        <v>No</v>
      </c>
      <c r="AJ2977" s="8" t="str">
        <f ca="1">IFERROR(__xludf.DUMMYFUNCTION("""COMPUTED_VALUE"""),"No")</f>
        <v>No</v>
      </c>
      <c r="AK2977" s="8" t="str">
        <f ca="1">IFERROR(__xludf.DUMMYFUNCTION("""COMPUTED_VALUE"""),"No")</f>
        <v>No</v>
      </c>
      <c r="AL2977" s="8" t="str">
        <f ca="1">IFERROR(__xludf.DUMMYFUNCTION("""COMPUTED_VALUE"""),"No")</f>
        <v>No</v>
      </c>
      <c r="AM2977" s="8"/>
      <c r="AN2977" s="8"/>
      <c r="AO2977" s="8" t="str">
        <f ca="1">IFERROR(__xludf.DUMMYFUNCTION("""COMPUTED_VALUE"""),"No")</f>
        <v>No</v>
      </c>
      <c r="AP2977" s="8"/>
      <c r="AQ2977" s="8" t="str">
        <f ca="1">IFERROR(__xludf.DUMMYFUNCTION("""COMPUTED_VALUE"""),"Unknown")</f>
        <v>Unknown</v>
      </c>
      <c r="AR2977" s="8" t="str">
        <f ca="1">IFERROR(__xludf.DUMMYFUNCTION("""COMPUTED_VALUE"""),"NA")</f>
        <v>NA</v>
      </c>
      <c r="AS2977" s="8">
        <f ca="1">IFERROR(__xludf.DUMMYFUNCTION("""COMPUTED_VALUE"""),3)</f>
        <v>3</v>
      </c>
      <c r="AT2977" s="8"/>
      <c r="AU2977" s="8">
        <f ca="1">IFERROR(__xludf.DUMMYFUNCTION("""COMPUTED_VALUE"""),43.034349)</f>
        <v>43.034348999999999</v>
      </c>
      <c r="AV2977" s="8">
        <f ca="1">IFERROR(__xludf.DUMMYFUNCTION("""COMPUTED_VALUE"""),-88.015815)</f>
        <v>-88.015815000000003</v>
      </c>
      <c r="AW2977" s="8"/>
      <c r="AX2977" s="8">
        <f ca="1">IFERROR(__xludf.DUMMYFUNCTION("""COMPUTED_VALUE"""),53213)</f>
        <v>53213</v>
      </c>
    </row>
    <row r="2978" spans="1:50" ht="45" x14ac:dyDescent="0.2">
      <c r="A2978" s="8" t="str">
        <f ca="1">IFERROR(__xludf.DUMMYFUNCTION("""COMPUTED_VALUE"""),"19790328CALOL")</f>
        <v>19790328CALOL</v>
      </c>
      <c r="B2978" s="8">
        <f ca="1">IFERROR(__xludf.DUMMYFUNCTION("""COMPUTED_VALUE"""),3)</f>
        <v>3</v>
      </c>
      <c r="C2978" s="8">
        <f ca="1">IFERROR(__xludf.DUMMYFUNCTION("""COMPUTED_VALUE"""),28)</f>
        <v>28</v>
      </c>
      <c r="D2978" s="8">
        <f ca="1">IFERROR(__xludf.DUMMYFUNCTION("""COMPUTED_VALUE"""),1979)</f>
        <v>1979</v>
      </c>
      <c r="E2978" s="9">
        <f ca="1">IFERROR(__xludf.DUMMYFUNCTION("""COMPUTED_VALUE"""),28942)</f>
        <v>28942</v>
      </c>
      <c r="F2978" s="8" t="str">
        <f ca="1">IFERROR(__xludf.DUMMYFUNCTION("""COMPUTED_VALUE"""),"Los Angeles High School")</f>
        <v>Los Angeles High School</v>
      </c>
      <c r="G2978" s="8">
        <f ca="1">IFERROR(__xludf.DUMMYFUNCTION("""COMPUTED_VALUE"""),0)</f>
        <v>0</v>
      </c>
      <c r="H2978" s="8">
        <f ca="1">IFERROR(__xludf.DUMMYFUNCTION("""COMPUTED_VALUE"""),1)</f>
        <v>1</v>
      </c>
      <c r="I2978" s="8">
        <f ca="1">IFERROR(__xludf.DUMMYFUNCTION("""COMPUTED_VALUE"""),1)</f>
        <v>1</v>
      </c>
      <c r="J2978" s="8">
        <f ca="1">IFERROR(__xludf.DUMMYFUNCTION("""COMPUTED_VALUE"""),0)</f>
        <v>0</v>
      </c>
      <c r="K2978" s="8" t="str">
        <f ca="1">IFERROR(__xludf.DUMMYFUNCTION("""COMPUTED_VALUE"""),"https://www.newspapers.com/image/62445744/?terms=teacher%2Bshot  https://www.newspapers.com/image/384563042/?terms=miriam%2Bschneider  https://www.newspapers.com/image/388315106/?terms=miriam%2Bschneider")</f>
        <v>https://www.newspapers.com/image/62445744/?terms=teacher%2Bshot  https://www.newspapers.com/image/384563042/?terms=miriam%2Bschneider  https://www.newspapers.com/image/388315106/?terms=miriam%2Bschneider</v>
      </c>
      <c r="L2978" s="8"/>
      <c r="M2978" s="8"/>
      <c r="N2978" s="8">
        <f ca="1">IFERROR(__xludf.DUMMYFUNCTION("""COMPUTED_VALUE"""),2)</f>
        <v>2</v>
      </c>
      <c r="O2978" s="8" t="str">
        <f ca="1">IFERROR(__xludf.DUMMYFUNCTION("""COMPUTED_VALUE"""),"Spring")</f>
        <v>Spring</v>
      </c>
      <c r="P2978" s="8" t="str">
        <f ca="1">IFERROR(__xludf.DUMMYFUNCTION("""COMPUTED_VALUE"""),"Los Angeles")</f>
        <v>Los Angeles</v>
      </c>
      <c r="Q2978" s="8" t="str">
        <f ca="1">IFERROR(__xludf.DUMMYFUNCTION("""COMPUTED_VALUE"""),"CA")</f>
        <v>CA</v>
      </c>
      <c r="R2978" s="8" t="str">
        <f ca="1">IFERROR(__xludf.DUMMYFUNCTION("""COMPUTED_VALUE"""),"High")</f>
        <v>High</v>
      </c>
      <c r="S2978" s="8" t="str">
        <f ca="1">IFERROR(__xludf.DUMMYFUNCTION("""COMPUTED_VALUE"""),"Classroom")</f>
        <v>Classroom</v>
      </c>
      <c r="T2978" s="8" t="str">
        <f ca="1">IFERROR(__xludf.DUMMYFUNCTION("""COMPUTED_VALUE"""),"Inside School Building")</f>
        <v>Inside School Building</v>
      </c>
      <c r="U2978" s="8" t="str">
        <f ca="1">IFERROR(__xludf.DUMMYFUNCTION("""COMPUTED_VALUE"""),"Yes")</f>
        <v>Yes</v>
      </c>
      <c r="V2978" s="8" t="str">
        <f ca="1">IFERROR(__xludf.DUMMYFUNCTION("""COMPUTED_VALUE"""),"Dismissal")</f>
        <v>Dismissal</v>
      </c>
      <c r="W2978" s="11">
        <f ca="1">IFERROR(__xludf.DUMMYFUNCTION("""COMPUTED_VALUE"""),0.597222222222222)</f>
        <v>0.59722222222222199</v>
      </c>
      <c r="X2978" s="8">
        <f ca="1">IFERROR(__xludf.DUMMYFUNCTION("""COMPUTED_VALUE"""),1)</f>
        <v>1</v>
      </c>
      <c r="Y2978" s="12" t="str">
        <f ca="1">IFERROR(__xludf.DUMMYFUNCTION("""COMPUTED_VALUE"""),"Attempted robbery and rape of teacher in classroom")</f>
        <v>Attempted robbery and rape of teacher in classroom</v>
      </c>
      <c r="Z2978" s="12" t="str">
        <f ca="1">IFERROR(__xludf.DUMMYFUNCTION("""COMPUTED_VALUE"""),"39 year-old female teacher (victim) was shot in the stomach during an attempted robbery and rape in her classroom. Suspect fled was and later apprehended.")</f>
        <v>39 year-old female teacher (victim) was shot in the stomach during an attempted robbery and rape in her classroom. Suspect fled was and later apprehended.</v>
      </c>
      <c r="AA2978" s="8" t="str">
        <f ca="1">IFERROR(__xludf.DUMMYFUNCTION("""COMPUTED_VALUE"""),"Illegal Activity")</f>
        <v>Illegal Activity</v>
      </c>
      <c r="AB2978" s="8"/>
      <c r="AC2978" s="8"/>
      <c r="AD2978" s="8" t="str">
        <f ca="1">IFERROR(__xludf.DUMMYFUNCTION("""COMPUTED_VALUE"""),"Victims Targeted")</f>
        <v>Victims Targeted</v>
      </c>
      <c r="AE2978" s="8" t="str">
        <f ca="1">IFERROR(__xludf.DUMMYFUNCTION("""COMPUTED_VALUE"""),"No")</f>
        <v>No</v>
      </c>
      <c r="AF2978" s="8"/>
      <c r="AG2978" s="8" t="str">
        <f ca="1">IFERROR(__xludf.DUMMYFUNCTION("""COMPUTED_VALUE"""),"No")</f>
        <v>No</v>
      </c>
      <c r="AH2978" s="8" t="str">
        <f ca="1">IFERROR(__xludf.DUMMYFUNCTION("""COMPUTED_VALUE"""),"No")</f>
        <v>No</v>
      </c>
      <c r="AI2978" s="8" t="str">
        <f ca="1">IFERROR(__xludf.DUMMYFUNCTION("""COMPUTED_VALUE"""),"No")</f>
        <v>No</v>
      </c>
      <c r="AJ2978" s="8" t="str">
        <f ca="1">IFERROR(__xludf.DUMMYFUNCTION("""COMPUTED_VALUE"""),"No")</f>
        <v>No</v>
      </c>
      <c r="AK2978" s="8" t="str">
        <f ca="1">IFERROR(__xludf.DUMMYFUNCTION("""COMPUTED_VALUE"""),"No")</f>
        <v>No</v>
      </c>
      <c r="AL2978" s="8" t="str">
        <f ca="1">IFERROR(__xludf.DUMMYFUNCTION("""COMPUTED_VALUE"""),"No")</f>
        <v>No</v>
      </c>
      <c r="AM2978" s="8"/>
      <c r="AN2978" s="8"/>
      <c r="AO2978" s="8" t="str">
        <f ca="1">IFERROR(__xludf.DUMMYFUNCTION("""COMPUTED_VALUE"""),"No")</f>
        <v>No</v>
      </c>
      <c r="AP2978" s="8"/>
      <c r="AQ2978" s="8" t="str">
        <f ca="1">IFERROR(__xludf.DUMMYFUNCTION("""COMPUTED_VALUE"""),"Unknown")</f>
        <v>Unknown</v>
      </c>
      <c r="AR2978" s="8" t="str">
        <f ca="1">IFERROR(__xludf.DUMMYFUNCTION("""COMPUTED_VALUE"""),"NA")</f>
        <v>NA</v>
      </c>
      <c r="AS2978" s="8">
        <f ca="1">IFERROR(__xludf.DUMMYFUNCTION("""COMPUTED_VALUE"""),1)</f>
        <v>1</v>
      </c>
      <c r="AT2978" s="8"/>
      <c r="AU2978" s="8">
        <f ca="1">IFERROR(__xludf.DUMMYFUNCTION("""COMPUTED_VALUE"""),34.055273)</f>
        <v>34.055273</v>
      </c>
      <c r="AV2978" s="8">
        <f ca="1">IFERROR(__xludf.DUMMYFUNCTION("""COMPUTED_VALUE"""),-118.332623)</f>
        <v>-118.332623</v>
      </c>
      <c r="AW2978" s="8"/>
      <c r="AX2978" s="8">
        <f ca="1">IFERROR(__xludf.DUMMYFUNCTION("""COMPUTED_VALUE"""),90019)</f>
        <v>90019</v>
      </c>
    </row>
    <row r="2979" spans="1:50" ht="90" x14ac:dyDescent="0.2">
      <c r="A2979" s="8" t="str">
        <f ca="1">IFERROR(__xludf.DUMMYFUNCTION("""COMPUTED_VALUE"""),"19790314FLMCM")</f>
        <v>19790314FLMCM</v>
      </c>
      <c r="B2979" s="8">
        <f ca="1">IFERROR(__xludf.DUMMYFUNCTION("""COMPUTED_VALUE"""),3)</f>
        <v>3</v>
      </c>
      <c r="C2979" s="8">
        <f ca="1">IFERROR(__xludf.DUMMYFUNCTION("""COMPUTED_VALUE"""),14)</f>
        <v>14</v>
      </c>
      <c r="D2979" s="8">
        <f ca="1">IFERROR(__xludf.DUMMYFUNCTION("""COMPUTED_VALUE"""),1979)</f>
        <v>1979</v>
      </c>
      <c r="E2979" s="9">
        <f ca="1">IFERROR(__xludf.DUMMYFUNCTION("""COMPUTED_VALUE"""),28928)</f>
        <v>28928</v>
      </c>
      <c r="F2979" s="8" t="str">
        <f ca="1">IFERROR(__xludf.DUMMYFUNCTION("""COMPUTED_VALUE"""),"McArthur High School North")</f>
        <v>McArthur High School North</v>
      </c>
      <c r="G2979" s="8">
        <f ca="1">IFERROR(__xludf.DUMMYFUNCTION("""COMPUTED_VALUE"""),0)</f>
        <v>0</v>
      </c>
      <c r="H2979" s="8">
        <f ca="1">IFERROR(__xludf.DUMMYFUNCTION("""COMPUTED_VALUE"""),1)</f>
        <v>1</v>
      </c>
      <c r="I2979" s="8">
        <f ca="1">IFERROR(__xludf.DUMMYFUNCTION("""COMPUTED_VALUE"""),1)</f>
        <v>1</v>
      </c>
      <c r="J2979" s="8">
        <f ca="1">IFERROR(__xludf.DUMMYFUNCTION("""COMPUTED_VALUE"""),0)</f>
        <v>0</v>
      </c>
      <c r="K2979" s="8" t="str">
        <f ca="1">IFERROR(__xludf.DUMMYFUNCTION("""COMPUTED_VALUE"""),"https://www.newspapers.com/image/300966907/?terms=teacher%2Bshot  https://www.newspapers.com/image/234343881")</f>
        <v>https://www.newspapers.com/image/300966907/?terms=teacher%2Bshot  https://www.newspapers.com/image/234343881</v>
      </c>
      <c r="L2979" s="8"/>
      <c r="M2979" s="8"/>
      <c r="N2979" s="8">
        <f ca="1">IFERROR(__xludf.DUMMYFUNCTION("""COMPUTED_VALUE"""),2)</f>
        <v>2</v>
      </c>
      <c r="O2979" s="8" t="str">
        <f ca="1">IFERROR(__xludf.DUMMYFUNCTION("""COMPUTED_VALUE"""),"Spring")</f>
        <v>Spring</v>
      </c>
      <c r="P2979" s="8" t="str">
        <f ca="1">IFERROR(__xludf.DUMMYFUNCTION("""COMPUTED_VALUE"""),"Miami")</f>
        <v>Miami</v>
      </c>
      <c r="Q2979" s="8" t="str">
        <f ca="1">IFERROR(__xludf.DUMMYFUNCTION("""COMPUTED_VALUE"""),"FL")</f>
        <v>FL</v>
      </c>
      <c r="R2979" s="8" t="str">
        <f ca="1">IFERROR(__xludf.DUMMYFUNCTION("""COMPUTED_VALUE"""),"High")</f>
        <v>High</v>
      </c>
      <c r="S2979" s="8" t="str">
        <f ca="1">IFERROR(__xludf.DUMMYFUNCTION("""COMPUTED_VALUE"""),"Parking Lot")</f>
        <v>Parking Lot</v>
      </c>
      <c r="T2979" s="8" t="str">
        <f ca="1">IFERROR(__xludf.DUMMYFUNCTION("""COMPUTED_VALUE"""),"Outside on School Property")</f>
        <v>Outside on School Property</v>
      </c>
      <c r="U2979" s="8" t="str">
        <f ca="1">IFERROR(__xludf.DUMMYFUNCTION("""COMPUTED_VALUE"""),"Yes")</f>
        <v>Yes</v>
      </c>
      <c r="V2979" s="8" t="str">
        <f ca="1">IFERROR(__xludf.DUMMYFUNCTION("""COMPUTED_VALUE"""),"Dismissal")</f>
        <v>Dismissal</v>
      </c>
      <c r="W2979" s="11">
        <f ca="1">IFERROR(__xludf.DUMMYFUNCTION("""COMPUTED_VALUE"""),0.597222222222222)</f>
        <v>0.59722222222222199</v>
      </c>
      <c r="X2979" s="8">
        <f ca="1">IFERROR(__xludf.DUMMYFUNCTION("""COMPUTED_VALUE"""),1)</f>
        <v>1</v>
      </c>
      <c r="Y2979" s="12" t="str">
        <f ca="1">IFERROR(__xludf.DUMMYFUNCTION("""COMPUTED_VALUE"""),"Teacher came to aid of another teacher who was being robbed. Teacher was shot")</f>
        <v>Teacher came to aid of another teacher who was being robbed. Teacher was shot</v>
      </c>
      <c r="Z2979" s="12" t="str">
        <f ca="1">IFERROR(__xludf.DUMMYFUNCTION("""COMPUTED_VALUE"""),"4 youths robbed a teacher in the school parking lot at the end of the day. The teacher yelled for help. Another teacher, the victim came to the robbed teachers aid and began to struggle with one of the robbers when he was shot in the stomach. All suspects"&amp;" fled and were later arrested. Shooter charged as an adult.")</f>
        <v>4 youths robbed a teacher in the school parking lot at the end of the day. The teacher yelled for help. Another teacher, the victim came to the robbed teachers aid and began to struggle with one of the robbers when he was shot in the stomach. All suspects fled and were later arrested. Shooter charged as an adult.</v>
      </c>
      <c r="AA2979" s="8" t="str">
        <f ca="1">IFERROR(__xludf.DUMMYFUNCTION("""COMPUTED_VALUE"""),"Illegal Activity")</f>
        <v>Illegal Activity</v>
      </c>
      <c r="AB2979" s="8"/>
      <c r="AC2979" s="8"/>
      <c r="AD2979" s="8" t="str">
        <f ca="1">IFERROR(__xludf.DUMMYFUNCTION("""COMPUTED_VALUE"""),"Victims Targeted")</f>
        <v>Victims Targeted</v>
      </c>
      <c r="AE2979" s="8" t="str">
        <f ca="1">IFERROR(__xludf.DUMMYFUNCTION("""COMPUTED_VALUE"""),"No")</f>
        <v>No</v>
      </c>
      <c r="AF2979" s="8"/>
      <c r="AG2979" s="8" t="str">
        <f ca="1">IFERROR(__xludf.DUMMYFUNCTION("""COMPUTED_VALUE"""),"No")</f>
        <v>No</v>
      </c>
      <c r="AH2979" s="8" t="str">
        <f ca="1">IFERROR(__xludf.DUMMYFUNCTION("""COMPUTED_VALUE"""),"No")</f>
        <v>No</v>
      </c>
      <c r="AI2979" s="8" t="str">
        <f ca="1">IFERROR(__xludf.DUMMYFUNCTION("""COMPUTED_VALUE"""),"No")</f>
        <v>No</v>
      </c>
      <c r="AJ2979" s="8" t="str">
        <f ca="1">IFERROR(__xludf.DUMMYFUNCTION("""COMPUTED_VALUE"""),"No")</f>
        <v>No</v>
      </c>
      <c r="AK2979" s="8" t="str">
        <f ca="1">IFERROR(__xludf.DUMMYFUNCTION("""COMPUTED_VALUE"""),"No")</f>
        <v>No</v>
      </c>
      <c r="AL2979" s="8" t="str">
        <f ca="1">IFERROR(__xludf.DUMMYFUNCTION("""COMPUTED_VALUE"""),"No")</f>
        <v>No</v>
      </c>
      <c r="AM2979" s="8"/>
      <c r="AN2979" s="8"/>
      <c r="AO2979" s="8" t="str">
        <f ca="1">IFERROR(__xludf.DUMMYFUNCTION("""COMPUTED_VALUE"""),"No")</f>
        <v>No</v>
      </c>
      <c r="AP2979" s="8"/>
      <c r="AQ2979" s="8" t="str">
        <f ca="1">IFERROR(__xludf.DUMMYFUNCTION("""COMPUTED_VALUE"""),"Unknown")</f>
        <v>Unknown</v>
      </c>
      <c r="AR2979" s="8" t="str">
        <f ca="1">IFERROR(__xludf.DUMMYFUNCTION("""COMPUTED_VALUE"""),"NA")</f>
        <v>NA</v>
      </c>
      <c r="AS2979" s="8">
        <f ca="1">IFERROR(__xludf.DUMMYFUNCTION("""COMPUTED_VALUE"""),1)</f>
        <v>1</v>
      </c>
      <c r="AT2979" s="8"/>
      <c r="AU2979" s="8">
        <f ca="1">IFERROR(__xludf.DUMMYFUNCTION("""COMPUTED_VALUE"""),26.010667)</f>
        <v>26.010667000000002</v>
      </c>
      <c r="AV2979" s="8">
        <f ca="1">IFERROR(__xludf.DUMMYFUNCTION("""COMPUTED_VALUE"""),-80.217071)</f>
        <v>-80.217071000000004</v>
      </c>
      <c r="AW2979" s="8"/>
      <c r="AX2979" s="8">
        <f ca="1">IFERROR(__xludf.DUMMYFUNCTION("""COMPUTED_VALUE"""),33024)</f>
        <v>33024</v>
      </c>
    </row>
    <row r="2980" spans="1:50" ht="120" x14ac:dyDescent="0.2">
      <c r="A2980" s="8" t="str">
        <f ca="1">IFERROR(__xludf.DUMMYFUNCTION("""COMPUTED_VALUE"""),"19790226CABAB")</f>
        <v>19790226CABAB</v>
      </c>
      <c r="B2980" s="8">
        <f ca="1">IFERROR(__xludf.DUMMYFUNCTION("""COMPUTED_VALUE"""),2)</f>
        <v>2</v>
      </c>
      <c r="C2980" s="8">
        <f ca="1">IFERROR(__xludf.DUMMYFUNCTION("""COMPUTED_VALUE"""),26)</f>
        <v>26</v>
      </c>
      <c r="D2980" s="8">
        <f ca="1">IFERROR(__xludf.DUMMYFUNCTION("""COMPUTED_VALUE"""),1979)</f>
        <v>1979</v>
      </c>
      <c r="E2980" s="9">
        <f ca="1">IFERROR(__xludf.DUMMYFUNCTION("""COMPUTED_VALUE"""),28912)</f>
        <v>28912</v>
      </c>
      <c r="F2980" s="8" t="str">
        <f ca="1">IFERROR(__xludf.DUMMYFUNCTION("""COMPUTED_VALUE"""),"Barstow High School")</f>
        <v>Barstow High School</v>
      </c>
      <c r="G2980" s="8">
        <f ca="1">IFERROR(__xludf.DUMMYFUNCTION("""COMPUTED_VALUE"""),0)</f>
        <v>0</v>
      </c>
      <c r="H2980" s="8">
        <f ca="1">IFERROR(__xludf.DUMMYFUNCTION("""COMPUTED_VALUE"""),3)</f>
        <v>3</v>
      </c>
      <c r="I2980" s="8">
        <f ca="1">IFERROR(__xludf.DUMMYFUNCTION("""COMPUTED_VALUE"""),3)</f>
        <v>3</v>
      </c>
      <c r="J2980" s="8">
        <f ca="1">IFERROR(__xludf.DUMMYFUNCTION("""COMPUTED_VALUE"""),0)</f>
        <v>0</v>
      </c>
      <c r="K2980" s="8" t="str">
        <f ca="1">IFERROR(__xludf.DUMMYFUNCTION("""COMPUTED_VALUE"""),"https://cdnc.ucr.edu/?a=d&amp;d=SBS19790328.1.15&amp;e=-------en--20--1--txt-txIN--------1 https://www.vvdailypress.com/story/news/crime/2021/04/03/man-killed-police-perpetrated-1979-barstow-high-school-shooting-wounded-3-students/7078487002/ https://www.vvdailyp"&amp;"ress.com/story/news/crime/2021/04/03/man-killed-police-perpetrated-1979-barstow-high-school-shooting-wounded-3-students/7078487002/")</f>
        <v>https://cdnc.ucr.edu/?a=d&amp;d=SBS19790328.1.15&amp;e=-------en--20--1--txt-txIN--------1 https://www.vvdailypress.com/story/news/crime/2021/04/03/man-killed-police-perpetrated-1979-barstow-high-school-shooting-wounded-3-students/7078487002/ https://www.vvdailypress.com/story/news/crime/2021/04/03/man-killed-police-perpetrated-1979-barstow-high-school-shooting-wounded-3-students/7078487002/</v>
      </c>
      <c r="L2980" s="8">
        <f ca="1">IFERROR(__xludf.DUMMYFUNCTION("""COMPUTED_VALUE"""),2)</f>
        <v>2</v>
      </c>
      <c r="M2980" s="8" t="str">
        <f ca="1">IFERROR(__xludf.DUMMYFUNCTION("""COMPUTED_VALUE"""),"Local")</f>
        <v>Local</v>
      </c>
      <c r="N2980" s="8">
        <f ca="1">IFERROR(__xludf.DUMMYFUNCTION("""COMPUTED_VALUE"""),4)</f>
        <v>4</v>
      </c>
      <c r="O2980" s="8" t="str">
        <f ca="1">IFERROR(__xludf.DUMMYFUNCTION("""COMPUTED_VALUE"""),"Winter")</f>
        <v>Winter</v>
      </c>
      <c r="P2980" s="8" t="str">
        <f ca="1">IFERROR(__xludf.DUMMYFUNCTION("""COMPUTED_VALUE"""),"Barstow")</f>
        <v>Barstow</v>
      </c>
      <c r="Q2980" s="8" t="str">
        <f ca="1">IFERROR(__xludf.DUMMYFUNCTION("""COMPUTED_VALUE"""),"CA")</f>
        <v>CA</v>
      </c>
      <c r="R2980" s="8" t="str">
        <f ca="1">IFERROR(__xludf.DUMMYFUNCTION("""COMPUTED_VALUE"""),"High")</f>
        <v>High</v>
      </c>
      <c r="S2980" s="8" t="str">
        <f ca="1">IFERROR(__xludf.DUMMYFUNCTION("""COMPUTED_VALUE"""),"Courtyard")</f>
        <v>Courtyard</v>
      </c>
      <c r="T2980" s="8" t="str">
        <f ca="1">IFERROR(__xludf.DUMMYFUNCTION("""COMPUTED_VALUE"""),"Outside on School Property")</f>
        <v>Outside on School Property</v>
      </c>
      <c r="U2980" s="8" t="str">
        <f ca="1">IFERROR(__xludf.DUMMYFUNCTION("""COMPUTED_VALUE"""),"Yes")</f>
        <v>Yes</v>
      </c>
      <c r="V2980" s="8" t="str">
        <f ca="1">IFERROR(__xludf.DUMMYFUNCTION("""COMPUTED_VALUE"""),"Morning Classes")</f>
        <v>Morning Classes</v>
      </c>
      <c r="W2980" s="8"/>
      <c r="X2980" s="8">
        <f ca="1">IFERROR(__xludf.DUMMYFUNCTION("""COMPUTED_VALUE"""),1)</f>
        <v>1</v>
      </c>
      <c r="Y2980" s="12" t="str">
        <f ca="1">IFERROR(__xludf.DUMMYFUNCTION("""COMPUTED_VALUE"""),"Student shot three other students when classes changed")</f>
        <v>Student shot three other students when classes changed</v>
      </c>
      <c r="Z2980" s="12" t="str">
        <f ca="1">IFERROR(__xludf.DUMMYFUNCTION("""COMPUTED_VALUE"""),"An 18-year-old student told other students that he planned to shot a student to get even with him and showed them a pistol 3 days prior to the shooting. On the day of the shooting, the student waiting outside by the cafeteria and shot the student he targe"&amp;"ted 2 and struck 2 other bystander students. Shooter fled the area and was arrested by police 8 blocks away. Shooter was killed by police in 2021 after pointing a gun at an officer.")</f>
        <v>An 18-year-old student told other students that he planned to shot a student to get even with him and showed them a pistol 3 days prior to the shooting. On the day of the shooting, the student waiting outside by the cafeteria and shot the student he targeted 2 and struck 2 other bystander students. Shooter fled the area and was arrested by police 8 blocks away. Shooter was killed by police in 2021 after pointing a gun at an officer.</v>
      </c>
      <c r="AA2980" s="8" t="str">
        <f ca="1">IFERROR(__xludf.DUMMYFUNCTION("""COMPUTED_VALUE"""),"Escalation of Dispute")</f>
        <v>Escalation of Dispute</v>
      </c>
      <c r="AB2980" s="8"/>
      <c r="AC2980" s="8" t="str">
        <f ca="1">IFERROR(__xludf.DUMMYFUNCTION("""COMPUTED_VALUE"""),"Yes")</f>
        <v>Yes</v>
      </c>
      <c r="AD2980" s="8" t="str">
        <f ca="1">IFERROR(__xludf.DUMMYFUNCTION("""COMPUTED_VALUE"""),"Both")</f>
        <v>Both</v>
      </c>
      <c r="AE2980" s="8" t="str">
        <f ca="1">IFERROR(__xludf.DUMMYFUNCTION("""COMPUTED_VALUE"""),"No")</f>
        <v>No</v>
      </c>
      <c r="AF2980" s="8"/>
      <c r="AG2980" s="8" t="str">
        <f ca="1">IFERROR(__xludf.DUMMYFUNCTION("""COMPUTED_VALUE"""),"No")</f>
        <v>No</v>
      </c>
      <c r="AH2980" s="8" t="str">
        <f ca="1">IFERROR(__xludf.DUMMYFUNCTION("""COMPUTED_VALUE"""),"No")</f>
        <v>No</v>
      </c>
      <c r="AI2980" s="8" t="str">
        <f ca="1">IFERROR(__xludf.DUMMYFUNCTION("""COMPUTED_VALUE"""),"No")</f>
        <v>No</v>
      </c>
      <c r="AJ2980" s="8" t="str">
        <f ca="1">IFERROR(__xludf.DUMMYFUNCTION("""COMPUTED_VALUE"""),"Yes")</f>
        <v>Yes</v>
      </c>
      <c r="AK2980" s="8" t="str">
        <f ca="1">IFERROR(__xludf.DUMMYFUNCTION("""COMPUTED_VALUE"""),"No")</f>
        <v>No</v>
      </c>
      <c r="AL2980" s="8" t="str">
        <f ca="1">IFERROR(__xludf.DUMMYFUNCTION("""COMPUTED_VALUE"""),"No")</f>
        <v>No</v>
      </c>
      <c r="AM2980" s="8" t="str">
        <f ca="1">IFERROR(__xludf.DUMMYFUNCTION("""COMPUTED_VALUE"""),"No")</f>
        <v>No</v>
      </c>
      <c r="AN2980" s="8" t="str">
        <f ca="1">IFERROR(__xludf.DUMMYFUNCTION("""COMPUTED_VALUE"""),"Single Room")</f>
        <v>Single Room</v>
      </c>
      <c r="AO2980" s="8" t="str">
        <f ca="1">IFERROR(__xludf.DUMMYFUNCTION("""COMPUTED_VALUE"""),"Yes")</f>
        <v>Yes</v>
      </c>
      <c r="AP2980" s="8" t="str">
        <f ca="1">IFERROR(__xludf.DUMMYFUNCTION("""COMPUTED_VALUE"""),"No")</f>
        <v>No</v>
      </c>
      <c r="AQ2980" s="8"/>
      <c r="AR2980" s="8" t="str">
        <f ca="1">IFERROR(__xludf.DUMMYFUNCTION("""COMPUTED_VALUE"""),"Outside/Off-Property")</f>
        <v>Outside/Off-Property</v>
      </c>
      <c r="AS2980" s="8">
        <f ca="1">IFERROR(__xludf.DUMMYFUNCTION("""COMPUTED_VALUE"""),6)</f>
        <v>6</v>
      </c>
      <c r="AT2980" s="8"/>
      <c r="AU2980" s="8">
        <f ca="1">IFERROR(__xludf.DUMMYFUNCTION("""COMPUTED_VALUE"""),34.894154)</f>
        <v>34.894154</v>
      </c>
      <c r="AV2980" s="8">
        <f ca="1">IFERROR(__xludf.DUMMYFUNCTION("""COMPUTED_VALUE"""),-117.029164)</f>
        <v>-117.02916399999999</v>
      </c>
      <c r="AW2980" s="8"/>
      <c r="AX2980" s="8">
        <f ca="1">IFERROR(__xludf.DUMMYFUNCTION("""COMPUTED_VALUE"""),92311)</f>
        <v>92311</v>
      </c>
    </row>
    <row r="2981" spans="1:50" ht="180" x14ac:dyDescent="0.2">
      <c r="A2981" s="8" t="str">
        <f ca="1">IFERROR(__xludf.DUMMYFUNCTION("""COMPUTED_VALUE"""),"19790129CAGRS")</f>
        <v>19790129CAGRS</v>
      </c>
      <c r="B2981" s="8">
        <f ca="1">IFERROR(__xludf.DUMMYFUNCTION("""COMPUTED_VALUE"""),1)</f>
        <v>1</v>
      </c>
      <c r="C2981" s="8">
        <f ca="1">IFERROR(__xludf.DUMMYFUNCTION("""COMPUTED_VALUE"""),29)</f>
        <v>29</v>
      </c>
      <c r="D2981" s="8">
        <f ca="1">IFERROR(__xludf.DUMMYFUNCTION("""COMPUTED_VALUE"""),1979)</f>
        <v>1979</v>
      </c>
      <c r="E2981" s="9">
        <f ca="1">IFERROR(__xludf.DUMMYFUNCTION("""COMPUTED_VALUE"""),28884)</f>
        <v>28884</v>
      </c>
      <c r="F2981" s="8" t="str">
        <f ca="1">IFERROR(__xludf.DUMMYFUNCTION("""COMPUTED_VALUE"""),"Grover Cleveland Elementary School")</f>
        <v>Grover Cleveland Elementary School</v>
      </c>
      <c r="G2981" s="8">
        <f ca="1">IFERROR(__xludf.DUMMYFUNCTION("""COMPUTED_VALUE"""),2)</f>
        <v>2</v>
      </c>
      <c r="H2981" s="8">
        <f ca="1">IFERROR(__xludf.DUMMYFUNCTION("""COMPUTED_VALUE"""),9)</f>
        <v>9</v>
      </c>
      <c r="I2981" s="8">
        <f ca="1">IFERROR(__xludf.DUMMYFUNCTION("""COMPUTED_VALUE"""),11)</f>
        <v>11</v>
      </c>
      <c r="J2981" s="8">
        <f ca="1">IFERROR(__xludf.DUMMYFUNCTION("""COMPUTED_VALUE"""),0)</f>
        <v>0</v>
      </c>
      <c r="K2981" s="8" t="str">
        <f ca="1">IFERROR(__xludf.DUMMYFUNCTION("""COMPUTED_VALUE"""),"http://beta.nydailynews.com/news/justice-story/justice-story-don-mondays-article-1.1504277 https://www.newspapers.com/image/570130513")</f>
        <v>http://beta.nydailynews.com/news/justice-story/justice-story-don-mondays-article-1.1504277 https://www.newspapers.com/image/570130513</v>
      </c>
      <c r="L2981" s="8"/>
      <c r="M2981" s="8"/>
      <c r="N2981" s="8">
        <f ca="1">IFERROR(__xludf.DUMMYFUNCTION("""COMPUTED_VALUE"""),2)</f>
        <v>2</v>
      </c>
      <c r="O2981" s="8" t="str">
        <f ca="1">IFERROR(__xludf.DUMMYFUNCTION("""COMPUTED_VALUE"""),"Winter")</f>
        <v>Winter</v>
      </c>
      <c r="P2981" s="8" t="str">
        <f ca="1">IFERROR(__xludf.DUMMYFUNCTION("""COMPUTED_VALUE"""),"San Diego")</f>
        <v>San Diego</v>
      </c>
      <c r="Q2981" s="8" t="str">
        <f ca="1">IFERROR(__xludf.DUMMYFUNCTION("""COMPUTED_VALUE"""),"CA")</f>
        <v>CA</v>
      </c>
      <c r="R2981" s="8" t="str">
        <f ca="1">IFERROR(__xludf.DUMMYFUNCTION("""COMPUTED_VALUE"""),"Elementary")</f>
        <v>Elementary</v>
      </c>
      <c r="S2981" s="8" t="str">
        <f ca="1">IFERROR(__xludf.DUMMYFUNCTION("""COMPUTED_VALUE"""),"Off School Property")</f>
        <v>Off School Property</v>
      </c>
      <c r="T2981" s="8" t="str">
        <f ca="1">IFERROR(__xludf.DUMMYFUNCTION("""COMPUTED_VALUE"""),"Off School Property")</f>
        <v>Off School Property</v>
      </c>
      <c r="U2981" s="8" t="str">
        <f ca="1">IFERROR(__xludf.DUMMYFUNCTION("""COMPUTED_VALUE"""),"Yes")</f>
        <v>Yes</v>
      </c>
      <c r="V2981" s="8" t="str">
        <f ca="1">IFERROR(__xludf.DUMMYFUNCTION("""COMPUTED_VALUE"""),"School Start")</f>
        <v>School Start</v>
      </c>
      <c r="W2981" s="11">
        <f ca="1">IFERROR(__xludf.DUMMYFUNCTION("""COMPUTED_VALUE"""),0.354166666666666)</f>
        <v>0.35416666666666602</v>
      </c>
      <c r="X2981" s="8">
        <f ca="1">IFERROR(__xludf.DUMMYFUNCTION("""COMPUTED_VALUE"""),15)</f>
        <v>15</v>
      </c>
      <c r="Y2981" s="12" t="str">
        <f ca="1">IFERROR(__xludf.DUMMYFUNCTION("""COMPUTED_VALUE"""),"Shooter barricaded herself in house across the street and shot at random students")</f>
        <v>Shooter barricaded herself in house across the street and shot at random students</v>
      </c>
      <c r="Z2981" s="12" t="str">
        <f ca="1">IFERROR(__xludf.DUMMYFUNCTION("""COMPUTED_VALUE"""),"Shooter lived across the street from the school and fired at random students and school staff waiting outside for the school to open. When police arrived, she shot an officer in the neck. Shooter than barricaded herself inside her house from multiple hour"&amp;"s. Shooter said her motive was ""she didn't like Mondays and wanted to liven things up"". Shooter had previously been arrested for firing BB gun at the school building breaking windows. Shooter lived in poverty with father in a single bed house. Father wa"&amp;"s abusive alcoholic. Shooter had previous brain trauma and depression. Shooter was given the rifle for christmas (said she thought her father gave it to her so she could kill herself).")</f>
        <v>Shooter lived across the street from the school and fired at random students and school staff waiting outside for the school to open. When police arrived, she shot an officer in the neck. Shooter than barricaded herself inside her house from multiple hours. Shooter said her motive was "she didn't like Mondays and wanted to liven things up". Shooter had previously been arrested for firing BB gun at the school building breaking windows. Shooter lived in poverty with father in a single bed house. Father was abusive alcoholic. Shooter had previous brain trauma and depression. Shooter was given the rifle for christmas (said she thought her father gave it to her so she could kill herself).</v>
      </c>
      <c r="AA2981" s="8" t="str">
        <f ca="1">IFERROR(__xludf.DUMMYFUNCTION("""COMPUTED_VALUE"""),"Psychosis")</f>
        <v>Psychosis</v>
      </c>
      <c r="AB2981" s="8"/>
      <c r="AC2981" s="8"/>
      <c r="AD2981" s="8" t="str">
        <f ca="1">IFERROR(__xludf.DUMMYFUNCTION("""COMPUTED_VALUE"""),"Random Shooting")</f>
        <v>Random Shooting</v>
      </c>
      <c r="AE2981" s="8" t="str">
        <f ca="1">IFERROR(__xludf.DUMMYFUNCTION("""COMPUTED_VALUE"""),"No")</f>
        <v>No</v>
      </c>
      <c r="AF2981" s="8"/>
      <c r="AG2981" s="8" t="str">
        <f ca="1">IFERROR(__xludf.DUMMYFUNCTION("""COMPUTED_VALUE"""),"No")</f>
        <v>No</v>
      </c>
      <c r="AH2981" s="8" t="str">
        <f ca="1">IFERROR(__xludf.DUMMYFUNCTION("""COMPUTED_VALUE"""),"Yes")</f>
        <v>Yes</v>
      </c>
      <c r="AI2981" s="8" t="str">
        <f ca="1">IFERROR(__xludf.DUMMYFUNCTION("""COMPUTED_VALUE"""),"No")</f>
        <v>No</v>
      </c>
      <c r="AJ2981" s="8" t="str">
        <f ca="1">IFERROR(__xludf.DUMMYFUNCTION("""COMPUTED_VALUE"""),"No")</f>
        <v>No</v>
      </c>
      <c r="AK2981" s="8" t="str">
        <f ca="1">IFERROR(__xludf.DUMMYFUNCTION("""COMPUTED_VALUE"""),"No")</f>
        <v>No</v>
      </c>
      <c r="AL2981" s="8" t="str">
        <f ca="1">IFERROR(__xludf.DUMMYFUNCTION("""COMPUTED_VALUE"""),"No")</f>
        <v>No</v>
      </c>
      <c r="AM2981" s="8" t="str">
        <f ca="1">IFERROR(__xludf.DUMMYFUNCTION("""COMPUTED_VALUE"""),"Yes")</f>
        <v>Yes</v>
      </c>
      <c r="AN2981" s="8"/>
      <c r="AO2981" s="8" t="str">
        <f ca="1">IFERROR(__xludf.DUMMYFUNCTION("""COMPUTED_VALUE"""),"Yes")</f>
        <v>Yes</v>
      </c>
      <c r="AP2981" s="8" t="str">
        <f ca="1">IFERROR(__xludf.DUMMYFUNCTION("""COMPUTED_VALUE"""),"No")</f>
        <v>No</v>
      </c>
      <c r="AQ2981" s="8" t="str">
        <f ca="1">IFERROR(__xludf.DUMMYFUNCTION("""COMPUTED_VALUE"""),"None")</f>
        <v>None</v>
      </c>
      <c r="AR2981" s="8" t="str">
        <f ca="1">IFERROR(__xludf.DUMMYFUNCTION("""COMPUTED_VALUE"""),"NA")</f>
        <v>NA</v>
      </c>
      <c r="AS2981" s="8"/>
      <c r="AT2981" s="8"/>
      <c r="AU2981" s="8">
        <f ca="1">IFERROR(__xludf.DUMMYFUNCTION("""COMPUTED_VALUE"""),32.797006)</f>
        <v>32.797006000000003</v>
      </c>
      <c r="AV2981" s="8">
        <f ca="1">IFERROR(__xludf.DUMMYFUNCTION("""COMPUTED_VALUE"""),-117.011324)</f>
        <v>-117.011324</v>
      </c>
      <c r="AW2981" s="8"/>
      <c r="AX2981" s="8">
        <f ca="1">IFERROR(__xludf.DUMMYFUNCTION("""COMPUTED_VALUE"""),91942)</f>
        <v>91942</v>
      </c>
    </row>
    <row r="2982" spans="1:50" ht="30" x14ac:dyDescent="0.2">
      <c r="A2982" s="8" t="str">
        <f ca="1">IFERROR(__xludf.DUMMYFUNCTION("""COMPUTED_VALUE"""),"19781214CTWIN")</f>
        <v>19781214CTWIN</v>
      </c>
      <c r="B2982" s="8">
        <f ca="1">IFERROR(__xludf.DUMMYFUNCTION("""COMPUTED_VALUE"""),12)</f>
        <v>12</v>
      </c>
      <c r="C2982" s="8">
        <f ca="1">IFERROR(__xludf.DUMMYFUNCTION("""COMPUTED_VALUE"""),14)</f>
        <v>14</v>
      </c>
      <c r="D2982" s="8">
        <f ca="1">IFERROR(__xludf.DUMMYFUNCTION("""COMPUTED_VALUE"""),1978)</f>
        <v>1978</v>
      </c>
      <c r="E2982" s="9">
        <f ca="1">IFERROR(__xludf.DUMMYFUNCTION("""COMPUTED_VALUE"""),28838)</f>
        <v>28838</v>
      </c>
      <c r="F2982" s="8" t="str">
        <f ca="1">IFERROR(__xludf.DUMMYFUNCTION("""COMPUTED_VALUE"""),"Wilbur Cross High School")</f>
        <v>Wilbur Cross High School</v>
      </c>
      <c r="G2982" s="8">
        <f ca="1">IFERROR(__xludf.DUMMYFUNCTION("""COMPUTED_VALUE"""),1)</f>
        <v>1</v>
      </c>
      <c r="H2982" s="8">
        <f ca="1">IFERROR(__xludf.DUMMYFUNCTION("""COMPUTED_VALUE"""),0)</f>
        <v>0</v>
      </c>
      <c r="I2982" s="8">
        <f ca="1">IFERROR(__xludf.DUMMYFUNCTION("""COMPUTED_VALUE"""),1)</f>
        <v>1</v>
      </c>
      <c r="J2982" s="8">
        <f ca="1">IFERROR(__xludf.DUMMYFUNCTION("""COMPUTED_VALUE"""),0)</f>
        <v>0</v>
      </c>
      <c r="K2982" s="8" t="str">
        <f ca="1">IFERROR(__xludf.DUMMYFUNCTION("""COMPUTED_VALUE"""),"https://www.nytimes.com/1978/12/16/archives/youth-is-held-in-murder-of-teacher.html https://www.leagle.com/decision/1984263193conn701256")</f>
        <v>https://www.nytimes.com/1978/12/16/archives/youth-is-held-in-murder-of-teacher.html https://www.leagle.com/decision/1984263193conn701256</v>
      </c>
      <c r="L2982" s="8"/>
      <c r="M2982" s="8"/>
      <c r="N2982" s="8">
        <f ca="1">IFERROR(__xludf.DUMMYFUNCTION("""COMPUTED_VALUE"""),2)</f>
        <v>2</v>
      </c>
      <c r="O2982" s="8" t="str">
        <f ca="1">IFERROR(__xludf.DUMMYFUNCTION("""COMPUTED_VALUE"""),"Winter")</f>
        <v>Winter</v>
      </c>
      <c r="P2982" s="8" t="str">
        <f ca="1">IFERROR(__xludf.DUMMYFUNCTION("""COMPUTED_VALUE"""),"New Haven")</f>
        <v>New Haven</v>
      </c>
      <c r="Q2982" s="8" t="str">
        <f ca="1">IFERROR(__xludf.DUMMYFUNCTION("""COMPUTED_VALUE"""),"CT")</f>
        <v>CT</v>
      </c>
      <c r="R2982" s="8" t="str">
        <f ca="1">IFERROR(__xludf.DUMMYFUNCTION("""COMPUTED_VALUE"""),"High")</f>
        <v>High</v>
      </c>
      <c r="S2982" s="8" t="str">
        <f ca="1">IFERROR(__xludf.DUMMYFUNCTION("""COMPUTED_VALUE"""),"Office")</f>
        <v>Office</v>
      </c>
      <c r="T2982" s="8" t="str">
        <f ca="1">IFERROR(__xludf.DUMMYFUNCTION("""COMPUTED_VALUE"""),"Inside School Building")</f>
        <v>Inside School Building</v>
      </c>
      <c r="U2982" s="8" t="str">
        <f ca="1">IFERROR(__xludf.DUMMYFUNCTION("""COMPUTED_VALUE"""),"Yes")</f>
        <v>Yes</v>
      </c>
      <c r="V2982" s="8"/>
      <c r="W2982" s="8"/>
      <c r="X2982" s="8">
        <f ca="1">IFERROR(__xludf.DUMMYFUNCTION("""COMPUTED_VALUE"""),1)</f>
        <v>1</v>
      </c>
      <c r="Y2982" s="12" t="str">
        <f ca="1">IFERROR(__xludf.DUMMYFUNCTION("""COMPUTED_VALUE"""),"Armed robbery of school store")</f>
        <v>Armed robbery of school store</v>
      </c>
      <c r="Z2982" s="12" t="str">
        <f ca="1">IFERROR(__xludf.DUMMYFUNCTION("""COMPUTED_VALUE"""),"Teacher shot and killed during attempted robbery at school store.")</f>
        <v>Teacher shot and killed during attempted robbery at school store.</v>
      </c>
      <c r="AA2982" s="8" t="str">
        <f ca="1">IFERROR(__xludf.DUMMYFUNCTION("""COMPUTED_VALUE"""),"Illegal Activity")</f>
        <v>Illegal Activity</v>
      </c>
      <c r="AB2982" s="8"/>
      <c r="AC2982" s="8"/>
      <c r="AD2982" s="8" t="str">
        <f ca="1">IFERROR(__xludf.DUMMYFUNCTION("""COMPUTED_VALUE"""),"Victims Targeted")</f>
        <v>Victims Targeted</v>
      </c>
      <c r="AE2982" s="8" t="str">
        <f ca="1">IFERROR(__xludf.DUMMYFUNCTION("""COMPUTED_VALUE"""),"No")</f>
        <v>No</v>
      </c>
      <c r="AF2982" s="8"/>
      <c r="AG2982" s="8" t="str">
        <f ca="1">IFERROR(__xludf.DUMMYFUNCTION("""COMPUTED_VALUE"""),"No")</f>
        <v>No</v>
      </c>
      <c r="AH2982" s="8" t="str">
        <f ca="1">IFERROR(__xludf.DUMMYFUNCTION("""COMPUTED_VALUE"""),"No")</f>
        <v>No</v>
      </c>
      <c r="AI2982" s="8" t="str">
        <f ca="1">IFERROR(__xludf.DUMMYFUNCTION("""COMPUTED_VALUE"""),"No")</f>
        <v>No</v>
      </c>
      <c r="AJ2982" s="8" t="str">
        <f ca="1">IFERROR(__xludf.DUMMYFUNCTION("""COMPUTED_VALUE"""),"No")</f>
        <v>No</v>
      </c>
      <c r="AK2982" s="8" t="str">
        <f ca="1">IFERROR(__xludf.DUMMYFUNCTION("""COMPUTED_VALUE"""),"No")</f>
        <v>No</v>
      </c>
      <c r="AL2982" s="8" t="str">
        <f ca="1">IFERROR(__xludf.DUMMYFUNCTION("""COMPUTED_VALUE"""),"No")</f>
        <v>No</v>
      </c>
      <c r="AM2982" s="8"/>
      <c r="AN2982" s="8"/>
      <c r="AO2982" s="8" t="str">
        <f ca="1">IFERROR(__xludf.DUMMYFUNCTION("""COMPUTED_VALUE"""),"No")</f>
        <v>No</v>
      </c>
      <c r="AP2982" s="8"/>
      <c r="AQ2982" s="8" t="str">
        <f ca="1">IFERROR(__xludf.DUMMYFUNCTION("""COMPUTED_VALUE"""),"Unknown")</f>
        <v>Unknown</v>
      </c>
      <c r="AR2982" s="8" t="str">
        <f ca="1">IFERROR(__xludf.DUMMYFUNCTION("""COMPUTED_VALUE"""),"NA")</f>
        <v>NA</v>
      </c>
      <c r="AS2982" s="8">
        <f ca="1">IFERROR(__xludf.DUMMYFUNCTION("""COMPUTED_VALUE"""),1)</f>
        <v>1</v>
      </c>
      <c r="AT2982" s="8"/>
      <c r="AU2982" s="8">
        <f ca="1">IFERROR(__xludf.DUMMYFUNCTION("""COMPUTED_VALUE"""),41.324062)</f>
        <v>41.324061999999998</v>
      </c>
      <c r="AV2982" s="8">
        <f ca="1">IFERROR(__xludf.DUMMYFUNCTION("""COMPUTED_VALUE"""),-72.907918)</f>
        <v>-72.907917999999995</v>
      </c>
      <c r="AW2982" s="8"/>
      <c r="AX2982" s="8">
        <f ca="1">IFERROR(__xludf.DUMMYFUNCTION("""COMPUTED_VALUE"""),6511)</f>
        <v>6511</v>
      </c>
    </row>
    <row r="2983" spans="1:50" ht="60" x14ac:dyDescent="0.2">
      <c r="A2983" s="8" t="str">
        <f ca="1">IFERROR(__xludf.DUMMYFUNCTION("""COMPUTED_VALUE"""),"19781129NYPAN")</f>
        <v>19781129NYPAN</v>
      </c>
      <c r="B2983" s="8">
        <f ca="1">IFERROR(__xludf.DUMMYFUNCTION("""COMPUTED_VALUE"""),11)</f>
        <v>11</v>
      </c>
      <c r="C2983" s="8">
        <f ca="1">IFERROR(__xludf.DUMMYFUNCTION("""COMPUTED_VALUE"""),29)</f>
        <v>29</v>
      </c>
      <c r="D2983" s="8">
        <f ca="1">IFERROR(__xludf.DUMMYFUNCTION("""COMPUTED_VALUE"""),1978)</f>
        <v>1978</v>
      </c>
      <c r="E2983" s="9">
        <f ca="1">IFERROR(__xludf.DUMMYFUNCTION("""COMPUTED_VALUE"""),28823)</f>
        <v>28823</v>
      </c>
      <c r="F2983" s="8" t="str">
        <f ca="1">IFERROR(__xludf.DUMMYFUNCTION("""COMPUTED_VALUE"""),"Park West High School")</f>
        <v>Park West High School</v>
      </c>
      <c r="G2983" s="8">
        <f ca="1">IFERROR(__xludf.DUMMYFUNCTION("""COMPUTED_VALUE"""),0)</f>
        <v>0</v>
      </c>
      <c r="H2983" s="8">
        <f ca="1">IFERROR(__xludf.DUMMYFUNCTION("""COMPUTED_VALUE"""),1)</f>
        <v>1</v>
      </c>
      <c r="I2983" s="8">
        <f ca="1">IFERROR(__xludf.DUMMYFUNCTION("""COMPUTED_VALUE"""),1)</f>
        <v>1</v>
      </c>
      <c r="J2983" s="8">
        <f ca="1">IFERROR(__xludf.DUMMYFUNCTION("""COMPUTED_VALUE"""),0)</f>
        <v>0</v>
      </c>
      <c r="K2983" s="10" t="str">
        <f ca="1">IFERROR(__xludf.DUMMYFUNCTION("""COMPUTED_VALUE"""),"https://www.newspapers.com/image/396100647/?terms=school%2Bshooting")</f>
        <v>https://www.newspapers.com/image/396100647/?terms=school%2Bshooting</v>
      </c>
      <c r="L2983" s="8"/>
      <c r="M2983" s="8"/>
      <c r="N2983" s="8">
        <f ca="1">IFERROR(__xludf.DUMMYFUNCTION("""COMPUTED_VALUE"""),2)</f>
        <v>2</v>
      </c>
      <c r="O2983" s="8" t="str">
        <f ca="1">IFERROR(__xludf.DUMMYFUNCTION("""COMPUTED_VALUE"""),"Fall")</f>
        <v>Fall</v>
      </c>
      <c r="P2983" s="8" t="str">
        <f ca="1">IFERROR(__xludf.DUMMYFUNCTION("""COMPUTED_VALUE"""),"New York")</f>
        <v>New York</v>
      </c>
      <c r="Q2983" s="8" t="str">
        <f ca="1">IFERROR(__xludf.DUMMYFUNCTION("""COMPUTED_VALUE"""),"NY")</f>
        <v>NY</v>
      </c>
      <c r="R2983" s="8" t="str">
        <f ca="1">IFERROR(__xludf.DUMMYFUNCTION("""COMPUTED_VALUE"""),"High")</f>
        <v>High</v>
      </c>
      <c r="S2983" s="8" t="str">
        <f ca="1">IFERROR(__xludf.DUMMYFUNCTION("""COMPUTED_VALUE"""),"Classroom")</f>
        <v>Classroom</v>
      </c>
      <c r="T2983" s="8" t="str">
        <f ca="1">IFERROR(__xludf.DUMMYFUNCTION("""COMPUTED_VALUE"""),"Inside School Building")</f>
        <v>Inside School Building</v>
      </c>
      <c r="U2983" s="8" t="str">
        <f ca="1">IFERROR(__xludf.DUMMYFUNCTION("""COMPUTED_VALUE"""),"Yes")</f>
        <v>Yes</v>
      </c>
      <c r="V2983" s="8" t="str">
        <f ca="1">IFERROR(__xludf.DUMMYFUNCTION("""COMPUTED_VALUE"""),"Afternoon Classes")</f>
        <v>Afternoon Classes</v>
      </c>
      <c r="W2983" s="11">
        <f ca="1">IFERROR(__xludf.DUMMYFUNCTION("""COMPUTED_VALUE"""),0.520833333333333)</f>
        <v>0.52083333333333304</v>
      </c>
      <c r="X2983" s="8">
        <f ca="1">IFERROR(__xludf.DUMMYFUNCTION("""COMPUTED_VALUE"""),1)</f>
        <v>1</v>
      </c>
      <c r="Y2983" s="12" t="str">
        <f ca="1">IFERROR(__xludf.DUMMYFUNCTION("""COMPUTED_VALUE"""),"Showing off gun in class when gun accidentally went off striking student")</f>
        <v>Showing off gun in class when gun accidentally went off striking student</v>
      </c>
      <c r="Z2983" s="12" t="str">
        <f ca="1">IFERROR(__xludf.DUMMYFUNCTION("""COMPUTED_VALUE"""),"15 year-old male was showing off new .22 target pistol. Gun discharged in classroom striking a 16 year-old female victim.")</f>
        <v>15 year-old male was showing off new .22 target pistol. Gun discharged in classroom striking a 16 year-old female victim.</v>
      </c>
      <c r="AA2983" s="8" t="str">
        <f ca="1">IFERROR(__xludf.DUMMYFUNCTION("""COMPUTED_VALUE"""),"Accidental")</f>
        <v>Accidental</v>
      </c>
      <c r="AB2983" s="8"/>
      <c r="AC2983" s="8"/>
      <c r="AD2983" s="8" t="str">
        <f ca="1">IFERROR(__xludf.DUMMYFUNCTION("""COMPUTED_VALUE"""),"Random Shooting")</f>
        <v>Random Shooting</v>
      </c>
      <c r="AE2983" s="8" t="str">
        <f ca="1">IFERROR(__xludf.DUMMYFUNCTION("""COMPUTED_VALUE"""),"No")</f>
        <v>No</v>
      </c>
      <c r="AF2983" s="8"/>
      <c r="AG2983" s="8" t="str">
        <f ca="1">IFERROR(__xludf.DUMMYFUNCTION("""COMPUTED_VALUE"""),"No")</f>
        <v>No</v>
      </c>
      <c r="AH2983" s="8" t="str">
        <f ca="1">IFERROR(__xludf.DUMMYFUNCTION("""COMPUTED_VALUE"""),"No")</f>
        <v>No</v>
      </c>
      <c r="AI2983" s="8" t="str">
        <f ca="1">IFERROR(__xludf.DUMMYFUNCTION("""COMPUTED_VALUE"""),"No")</f>
        <v>No</v>
      </c>
      <c r="AJ2983" s="8" t="str">
        <f ca="1">IFERROR(__xludf.DUMMYFUNCTION("""COMPUTED_VALUE"""),"No")</f>
        <v>No</v>
      </c>
      <c r="AK2983" s="8" t="str">
        <f ca="1">IFERROR(__xludf.DUMMYFUNCTION("""COMPUTED_VALUE"""),"No")</f>
        <v>No</v>
      </c>
      <c r="AL2983" s="8" t="str">
        <f ca="1">IFERROR(__xludf.DUMMYFUNCTION("""COMPUTED_VALUE"""),"No")</f>
        <v>No</v>
      </c>
      <c r="AM2983" s="8"/>
      <c r="AN2983" s="8"/>
      <c r="AO2983" s="8" t="str">
        <f ca="1">IFERROR(__xludf.DUMMYFUNCTION("""COMPUTED_VALUE"""),"No")</f>
        <v>No</v>
      </c>
      <c r="AP2983" s="8"/>
      <c r="AQ2983" s="8" t="str">
        <f ca="1">IFERROR(__xludf.DUMMYFUNCTION("""COMPUTED_VALUE"""),"Unknown")</f>
        <v>Unknown</v>
      </c>
      <c r="AR2983" s="8" t="str">
        <f ca="1">IFERROR(__xludf.DUMMYFUNCTION("""COMPUTED_VALUE"""),"NA")</f>
        <v>NA</v>
      </c>
      <c r="AS2983" s="8">
        <f ca="1">IFERROR(__xludf.DUMMYFUNCTION("""COMPUTED_VALUE"""),1)</f>
        <v>1</v>
      </c>
      <c r="AT2983" s="8"/>
      <c r="AU2983" s="8">
        <f ca="1">IFERROR(__xludf.DUMMYFUNCTION("""COMPUTED_VALUE"""),40.76553)</f>
        <v>40.765529999999998</v>
      </c>
      <c r="AV2983" s="8">
        <f ca="1">IFERROR(__xludf.DUMMYFUNCTION("""COMPUTED_VALUE"""),-73.993319)</f>
        <v>-73.993319</v>
      </c>
      <c r="AW2983" s="8"/>
      <c r="AX2983" s="8">
        <f ca="1">IFERROR(__xludf.DUMMYFUNCTION("""COMPUTED_VALUE"""),10019)</f>
        <v>10019</v>
      </c>
    </row>
    <row r="2984" spans="1:50" ht="105" x14ac:dyDescent="0.2">
      <c r="A2984" s="8" t="str">
        <f ca="1">IFERROR(__xludf.DUMMYFUNCTION("""COMPUTED_VALUE"""),"19781017MOUNU")</f>
        <v>19781017MOUNU</v>
      </c>
      <c r="B2984" s="8">
        <f ca="1">IFERROR(__xludf.DUMMYFUNCTION("""COMPUTED_VALUE"""),10)</f>
        <v>10</v>
      </c>
      <c r="C2984" s="8">
        <f ca="1">IFERROR(__xludf.DUMMYFUNCTION("""COMPUTED_VALUE"""),17)</f>
        <v>17</v>
      </c>
      <c r="D2984" s="8">
        <f ca="1">IFERROR(__xludf.DUMMYFUNCTION("""COMPUTED_VALUE"""),1978)</f>
        <v>1978</v>
      </c>
      <c r="E2984" s="9">
        <f ca="1">IFERROR(__xludf.DUMMYFUNCTION("""COMPUTED_VALUE"""),28780)</f>
        <v>28780</v>
      </c>
      <c r="F2984" s="8" t="str">
        <f ca="1">IFERROR(__xludf.DUMMYFUNCTION("""COMPUTED_VALUE"""),"University City High School")</f>
        <v>University City High School</v>
      </c>
      <c r="G2984" s="8">
        <f ca="1">IFERROR(__xludf.DUMMYFUNCTION("""COMPUTED_VALUE"""),0)</f>
        <v>0</v>
      </c>
      <c r="H2984" s="8">
        <f ca="1">IFERROR(__xludf.DUMMYFUNCTION("""COMPUTED_VALUE"""),3)</f>
        <v>3</v>
      </c>
      <c r="I2984" s="8">
        <f ca="1">IFERROR(__xludf.DUMMYFUNCTION("""COMPUTED_VALUE"""),3)</f>
        <v>3</v>
      </c>
      <c r="J2984" s="8">
        <f ca="1">IFERROR(__xludf.DUMMYFUNCTION("""COMPUTED_VALUE"""),0)</f>
        <v>0</v>
      </c>
      <c r="K2984" s="10" t="str">
        <f ca="1">IFERROR(__xludf.DUMMYFUNCTION("""COMPUTED_VALUE"""),"https://stltoday.newspapers.com/clip/7051030/3_wounded_in_university_city_high/")</f>
        <v>https://stltoday.newspapers.com/clip/7051030/3_wounded_in_university_city_high/</v>
      </c>
      <c r="L2984" s="8"/>
      <c r="M2984" s="8"/>
      <c r="N2984" s="8">
        <f ca="1">IFERROR(__xludf.DUMMYFUNCTION("""COMPUTED_VALUE"""),2)</f>
        <v>2</v>
      </c>
      <c r="O2984" s="8" t="str">
        <f ca="1">IFERROR(__xludf.DUMMYFUNCTION("""COMPUTED_VALUE"""),"Fall")</f>
        <v>Fall</v>
      </c>
      <c r="P2984" s="8" t="str">
        <f ca="1">IFERROR(__xludf.DUMMYFUNCTION("""COMPUTED_VALUE"""),"University City")</f>
        <v>University City</v>
      </c>
      <c r="Q2984" s="8" t="str">
        <f ca="1">IFERROR(__xludf.DUMMYFUNCTION("""COMPUTED_VALUE"""),"MO")</f>
        <v>MO</v>
      </c>
      <c r="R2984" s="8" t="str">
        <f ca="1">IFERROR(__xludf.DUMMYFUNCTION("""COMPUTED_VALUE"""),"High")</f>
        <v>High</v>
      </c>
      <c r="S2984" s="8" t="str">
        <f ca="1">IFERROR(__xludf.DUMMYFUNCTION("""COMPUTED_VALUE"""),"Beside Building")</f>
        <v>Beside Building</v>
      </c>
      <c r="T2984" s="8" t="str">
        <f ca="1">IFERROR(__xludf.DUMMYFUNCTION("""COMPUTED_VALUE"""),"Outside on School Property")</f>
        <v>Outside on School Property</v>
      </c>
      <c r="U2984" s="8" t="str">
        <f ca="1">IFERROR(__xludf.DUMMYFUNCTION("""COMPUTED_VALUE"""),"Yes")</f>
        <v>Yes</v>
      </c>
      <c r="V2984" s="8" t="str">
        <f ca="1">IFERROR(__xludf.DUMMYFUNCTION("""COMPUTED_VALUE"""),"Morning Classes")</f>
        <v>Morning Classes</v>
      </c>
      <c r="W2984" s="11">
        <f ca="1">IFERROR(__xludf.DUMMYFUNCTION("""COMPUTED_VALUE"""),0.427083333333333)</f>
        <v>0.42708333333333298</v>
      </c>
      <c r="X2984" s="8">
        <f ca="1">IFERROR(__xludf.DUMMYFUNCTION("""COMPUTED_VALUE"""),1)</f>
        <v>1</v>
      </c>
      <c r="Y2984" s="12" t="str">
        <f ca="1">IFERROR(__xludf.DUMMYFUNCTION("""COMPUTED_VALUE"""),"Shooter argued with victims in parking lot before getting gun from car and shooting them")</f>
        <v>Shooter argued with victims in parking lot before getting gun from car and shooting them</v>
      </c>
      <c r="Z2984" s="12" t="str">
        <f ca="1">IFERROR(__xludf.DUMMYFUNCTION("""COMPUTED_VALUE"""),"The shooter was a former student who had dropped out. The shooter got into a verbal dispute with the victims outside of the school building. The initial dispute ended and the shooter walked away from the victims. The shooter walked to his car, got a pisto"&amp;"l, and returned to fire at the victims. The shooting may have stemmed from an ongoing dispute between the shooter and victims.")</f>
        <v>The shooter was a former student who had dropped out. The shooter got into a verbal dispute with the victims outside of the school building. The initial dispute ended and the shooter walked away from the victims. The shooter walked to his car, got a pistol, and returned to fire at the victims. The shooting may have stemmed from an ongoing dispute between the shooter and victims.</v>
      </c>
      <c r="AA2984" s="8" t="str">
        <f ca="1">IFERROR(__xludf.DUMMYFUNCTION("""COMPUTED_VALUE"""),"Escalation of Dispute")</f>
        <v>Escalation of Dispute</v>
      </c>
      <c r="AB2984" s="8"/>
      <c r="AC2984" s="8"/>
      <c r="AD2984" s="8" t="str">
        <f ca="1">IFERROR(__xludf.DUMMYFUNCTION("""COMPUTED_VALUE"""),"Victims Targeted")</f>
        <v>Victims Targeted</v>
      </c>
      <c r="AE2984" s="8" t="str">
        <f ca="1">IFERROR(__xludf.DUMMYFUNCTION("""COMPUTED_VALUE"""),"No")</f>
        <v>No</v>
      </c>
      <c r="AF2984" s="8"/>
      <c r="AG2984" s="8" t="str">
        <f ca="1">IFERROR(__xludf.DUMMYFUNCTION("""COMPUTED_VALUE"""),"No")</f>
        <v>No</v>
      </c>
      <c r="AH2984" s="8" t="str">
        <f ca="1">IFERROR(__xludf.DUMMYFUNCTION("""COMPUTED_VALUE"""),"No")</f>
        <v>No</v>
      </c>
      <c r="AI2984" s="8" t="str">
        <f ca="1">IFERROR(__xludf.DUMMYFUNCTION("""COMPUTED_VALUE"""),"No")</f>
        <v>No</v>
      </c>
      <c r="AJ2984" s="8" t="str">
        <f ca="1">IFERROR(__xludf.DUMMYFUNCTION("""COMPUTED_VALUE"""),"No")</f>
        <v>No</v>
      </c>
      <c r="AK2984" s="8" t="str">
        <f ca="1">IFERROR(__xludf.DUMMYFUNCTION("""COMPUTED_VALUE"""),"No")</f>
        <v>No</v>
      </c>
      <c r="AL2984" s="8" t="str">
        <f ca="1">IFERROR(__xludf.DUMMYFUNCTION("""COMPUTED_VALUE"""),"No")</f>
        <v>No</v>
      </c>
      <c r="AM2984" s="8"/>
      <c r="AN2984" s="8"/>
      <c r="AO2984" s="8" t="str">
        <f ca="1">IFERROR(__xludf.DUMMYFUNCTION("""COMPUTED_VALUE"""),"No")</f>
        <v>No</v>
      </c>
      <c r="AP2984" s="8" t="str">
        <f ca="1">IFERROR(__xludf.DUMMYFUNCTION("""COMPUTED_VALUE"""),"No")</f>
        <v>No</v>
      </c>
      <c r="AQ2984" s="8" t="str">
        <f ca="1">IFERROR(__xludf.DUMMYFUNCTION("""COMPUTED_VALUE"""),"None")</f>
        <v>None</v>
      </c>
      <c r="AR2984" s="8" t="str">
        <f ca="1">IFERROR(__xludf.DUMMYFUNCTION("""COMPUTED_VALUE"""),"NA")</f>
        <v>NA</v>
      </c>
      <c r="AS2984" s="8" t="str">
        <f ca="1">IFERROR(__xludf.DUMMYFUNCTION("""COMPUTED_VALUE"""),"&lt;5")</f>
        <v>&lt;5</v>
      </c>
      <c r="AT2984" s="8"/>
      <c r="AU2984" s="8">
        <f ca="1">IFERROR(__xludf.DUMMYFUNCTION("""COMPUTED_VALUE"""),38.664664)</f>
        <v>38.664664000000002</v>
      </c>
      <c r="AV2984" s="8">
        <f ca="1">IFERROR(__xludf.DUMMYFUNCTION("""COMPUTED_VALUE"""),-90.329539)</f>
        <v>-90.329538999999997</v>
      </c>
      <c r="AW2984" s="8"/>
      <c r="AX2984" s="8">
        <f ca="1">IFERROR(__xludf.DUMMYFUNCTION("""COMPUTED_VALUE"""),63130)</f>
        <v>63130</v>
      </c>
    </row>
    <row r="2985" spans="1:50" ht="90" x14ac:dyDescent="0.2">
      <c r="A2985" s="8" t="str">
        <f ca="1">IFERROR(__xludf.DUMMYFUNCTION("""COMPUTED_VALUE"""),"19781017ALLAL")</f>
        <v>19781017ALLAL</v>
      </c>
      <c r="B2985" s="8">
        <f ca="1">IFERROR(__xludf.DUMMYFUNCTION("""COMPUTED_VALUE"""),10)</f>
        <v>10</v>
      </c>
      <c r="C2985" s="8">
        <f ca="1">IFERROR(__xludf.DUMMYFUNCTION("""COMPUTED_VALUE"""),17)</f>
        <v>17</v>
      </c>
      <c r="D2985" s="8">
        <f ca="1">IFERROR(__xludf.DUMMYFUNCTION("""COMPUTED_VALUE"""),1978)</f>
        <v>1978</v>
      </c>
      <c r="E2985" s="9">
        <f ca="1">IFERROR(__xludf.DUMMYFUNCTION("""COMPUTED_VALUE"""),28780)</f>
        <v>28780</v>
      </c>
      <c r="F2985" s="8" t="str">
        <f ca="1">IFERROR(__xludf.DUMMYFUNCTION("""COMPUTED_VALUE"""),"Lanett Junior High School")</f>
        <v>Lanett Junior High School</v>
      </c>
      <c r="G2985" s="8">
        <f ca="1">IFERROR(__xludf.DUMMYFUNCTION("""COMPUTED_VALUE"""),0)</f>
        <v>0</v>
      </c>
      <c r="H2985" s="8">
        <f ca="1">IFERROR(__xludf.DUMMYFUNCTION("""COMPUTED_VALUE"""),1)</f>
        <v>1</v>
      </c>
      <c r="I2985" s="8">
        <f ca="1">IFERROR(__xludf.DUMMYFUNCTION("""COMPUTED_VALUE"""),1)</f>
        <v>1</v>
      </c>
      <c r="J2985" s="8">
        <f ca="1">IFERROR(__xludf.DUMMYFUNCTION("""COMPUTED_VALUE"""),0)</f>
        <v>0</v>
      </c>
      <c r="K2985" s="10" t="str">
        <f ca="1">IFERROR(__xludf.DUMMYFUNCTION("""COMPUTED_VALUE"""),"https://www.newspapers.com/newspage/107532734/")</f>
        <v>https://www.newspapers.com/newspage/107532734/</v>
      </c>
      <c r="L2985" s="8"/>
      <c r="M2985" s="8"/>
      <c r="N2985" s="8">
        <f ca="1">IFERROR(__xludf.DUMMYFUNCTION("""COMPUTED_VALUE"""),2)</f>
        <v>2</v>
      </c>
      <c r="O2985" s="8" t="str">
        <f ca="1">IFERROR(__xludf.DUMMYFUNCTION("""COMPUTED_VALUE"""),"Fall")</f>
        <v>Fall</v>
      </c>
      <c r="P2985" s="8" t="str">
        <f ca="1">IFERROR(__xludf.DUMMYFUNCTION("""COMPUTED_VALUE"""),"Lanett")</f>
        <v>Lanett</v>
      </c>
      <c r="Q2985" s="8" t="str">
        <f ca="1">IFERROR(__xludf.DUMMYFUNCTION("""COMPUTED_VALUE"""),"AL")</f>
        <v>AL</v>
      </c>
      <c r="R2985" s="8" t="str">
        <f ca="1">IFERROR(__xludf.DUMMYFUNCTION("""COMPUTED_VALUE"""),"Junior High")</f>
        <v>Junior High</v>
      </c>
      <c r="S2985" s="8" t="str">
        <f ca="1">IFERROR(__xludf.DUMMYFUNCTION("""COMPUTED_VALUE"""),"Office")</f>
        <v>Office</v>
      </c>
      <c r="T2985" s="8" t="str">
        <f ca="1">IFERROR(__xludf.DUMMYFUNCTION("""COMPUTED_VALUE"""),"Inside School Building")</f>
        <v>Inside School Building</v>
      </c>
      <c r="U2985" s="8" t="str">
        <f ca="1">IFERROR(__xludf.DUMMYFUNCTION("""COMPUTED_VALUE"""),"Yes")</f>
        <v>Yes</v>
      </c>
      <c r="V2985" s="8" t="str">
        <f ca="1">IFERROR(__xludf.DUMMYFUNCTION("""COMPUTED_VALUE"""),"Afternoon Classes")</f>
        <v>Afternoon Classes</v>
      </c>
      <c r="W2985" s="8"/>
      <c r="X2985" s="8">
        <f ca="1">IFERROR(__xludf.DUMMYFUNCTION("""COMPUTED_VALUE"""),1)</f>
        <v>1</v>
      </c>
      <c r="Y2985" s="12" t="str">
        <f ca="1">IFERROR(__xludf.DUMMYFUNCTION("""COMPUTED_VALUE"""),"Shot principal after being paddled for truancy")</f>
        <v>Shot principal after being paddled for truancy</v>
      </c>
      <c r="Z2985" s="12" t="str">
        <f ca="1">IFERROR(__xludf.DUMMYFUNCTION("""COMPUTED_VALUE"""),"Shooter was paddled by the principal for disciplinary issues. Shooter went home, got a pistol, and returned to the school where he confronted the principal and fired 2 shots at him. Shooter fled the area and was later apprehended. Shooter had no previous "&amp;"criminal or disciplinary issues. No charges were filed.")</f>
        <v>Shooter was paddled by the principal for disciplinary issues. Shooter went home, got a pistol, and returned to the school where he confronted the principal and fired 2 shots at him. Shooter fled the area and was later apprehended. Shooter had no previous criminal or disciplinary issues. No charges were filed.</v>
      </c>
      <c r="AA2985" s="8" t="str">
        <f ca="1">IFERROR(__xludf.DUMMYFUNCTION("""COMPUTED_VALUE"""),"Anger Over Grade/Suspension/Discipline")</f>
        <v>Anger Over Grade/Suspension/Discipline</v>
      </c>
      <c r="AB2985" s="8"/>
      <c r="AC2985" s="8"/>
      <c r="AD2985" s="8" t="str">
        <f ca="1">IFERROR(__xludf.DUMMYFUNCTION("""COMPUTED_VALUE"""),"Victims Targeted")</f>
        <v>Victims Targeted</v>
      </c>
      <c r="AE2985" s="8" t="str">
        <f ca="1">IFERROR(__xludf.DUMMYFUNCTION("""COMPUTED_VALUE"""),"No")</f>
        <v>No</v>
      </c>
      <c r="AF2985" s="8"/>
      <c r="AG2985" s="8" t="str">
        <f ca="1">IFERROR(__xludf.DUMMYFUNCTION("""COMPUTED_VALUE"""),"No")</f>
        <v>No</v>
      </c>
      <c r="AH2985" s="8" t="str">
        <f ca="1">IFERROR(__xludf.DUMMYFUNCTION("""COMPUTED_VALUE"""),"No")</f>
        <v>No</v>
      </c>
      <c r="AI2985" s="8" t="str">
        <f ca="1">IFERROR(__xludf.DUMMYFUNCTION("""COMPUTED_VALUE"""),"No")</f>
        <v>No</v>
      </c>
      <c r="AJ2985" s="8" t="str">
        <f ca="1">IFERROR(__xludf.DUMMYFUNCTION("""COMPUTED_VALUE"""),"No")</f>
        <v>No</v>
      </c>
      <c r="AK2985" s="8" t="str">
        <f ca="1">IFERROR(__xludf.DUMMYFUNCTION("""COMPUTED_VALUE"""),"No")</f>
        <v>No</v>
      </c>
      <c r="AL2985" s="8" t="str">
        <f ca="1">IFERROR(__xludf.DUMMYFUNCTION("""COMPUTED_VALUE"""),"No")</f>
        <v>No</v>
      </c>
      <c r="AM2985" s="8"/>
      <c r="AN2985" s="8"/>
      <c r="AO2985" s="8" t="str">
        <f ca="1">IFERROR(__xludf.DUMMYFUNCTION("""COMPUTED_VALUE"""),"No")</f>
        <v>No</v>
      </c>
      <c r="AP2985" s="8" t="str">
        <f ca="1">IFERROR(__xludf.DUMMYFUNCTION("""COMPUTED_VALUE"""),"No")</f>
        <v>No</v>
      </c>
      <c r="AQ2985" s="8" t="str">
        <f ca="1">IFERROR(__xludf.DUMMYFUNCTION("""COMPUTED_VALUE"""),"None")</f>
        <v>None</v>
      </c>
      <c r="AR2985" s="8" t="str">
        <f ca="1">IFERROR(__xludf.DUMMYFUNCTION("""COMPUTED_VALUE"""),"NA")</f>
        <v>NA</v>
      </c>
      <c r="AS2985" s="8">
        <f ca="1">IFERROR(__xludf.DUMMYFUNCTION("""COMPUTED_VALUE"""),2)</f>
        <v>2</v>
      </c>
      <c r="AT2985" s="8"/>
      <c r="AU2985" s="8">
        <f ca="1">IFERROR(__xludf.DUMMYFUNCTION("""COMPUTED_VALUE"""),32.85634)</f>
        <v>32.856340000000003</v>
      </c>
      <c r="AV2985" s="8">
        <f ca="1">IFERROR(__xludf.DUMMYFUNCTION("""COMPUTED_VALUE"""),-85.196967)</f>
        <v>-85.196967000000001</v>
      </c>
      <c r="AW2985" s="8"/>
      <c r="AX2985" s="8">
        <f ca="1">IFERROR(__xludf.DUMMYFUNCTION("""COMPUTED_VALUE"""),36863)</f>
        <v>36863</v>
      </c>
    </row>
    <row r="2986" spans="1:50" ht="60" x14ac:dyDescent="0.2">
      <c r="A2986" s="8" t="str">
        <f ca="1">IFERROR(__xludf.DUMMYFUNCTION("""COMPUTED_VALUE"""),"19780610MAWEW")</f>
        <v>19780610MAWEW</v>
      </c>
      <c r="B2986" s="8">
        <f ca="1">IFERROR(__xludf.DUMMYFUNCTION("""COMPUTED_VALUE"""),6)</f>
        <v>6</v>
      </c>
      <c r="C2986" s="8">
        <f ca="1">IFERROR(__xludf.DUMMYFUNCTION("""COMPUTED_VALUE"""),10)</f>
        <v>10</v>
      </c>
      <c r="D2986" s="8">
        <f ca="1">IFERROR(__xludf.DUMMYFUNCTION("""COMPUTED_VALUE"""),1978)</f>
        <v>1978</v>
      </c>
      <c r="E2986" s="9">
        <f ca="1">IFERROR(__xludf.DUMMYFUNCTION("""COMPUTED_VALUE"""),28651)</f>
        <v>28651</v>
      </c>
      <c r="F2986" s="8" t="str">
        <f ca="1">IFERROR(__xludf.DUMMYFUNCTION("""COMPUTED_VALUE"""),"Weymouth South High School")</f>
        <v>Weymouth South High School</v>
      </c>
      <c r="G2986" s="8">
        <f ca="1">IFERROR(__xludf.DUMMYFUNCTION("""COMPUTED_VALUE"""),0)</f>
        <v>0</v>
      </c>
      <c r="H2986" s="8">
        <f ca="1">IFERROR(__xludf.DUMMYFUNCTION("""COMPUTED_VALUE"""),0)</f>
        <v>0</v>
      </c>
      <c r="I2986" s="8">
        <f ca="1">IFERROR(__xludf.DUMMYFUNCTION("""COMPUTED_VALUE"""),0)</f>
        <v>0</v>
      </c>
      <c r="J2986" s="8">
        <f ca="1">IFERROR(__xludf.DUMMYFUNCTION("""COMPUTED_VALUE"""),0)</f>
        <v>0</v>
      </c>
      <c r="K2986" s="10" t="str">
        <f ca="1">IFERROR(__xludf.DUMMYFUNCTION("""COMPUTED_VALUE"""),"https://www.newspapers.com/image/72988843/?terms=Weymouth%2BSouth%2BHigh%2BSchool%2Bshooting")</f>
        <v>https://www.newspapers.com/image/72988843/?terms=Weymouth%2BSouth%2BHigh%2BSchool%2Bshooting</v>
      </c>
      <c r="L2986" s="8"/>
      <c r="M2986" s="8"/>
      <c r="N2986" s="8">
        <f ca="1">IFERROR(__xludf.DUMMYFUNCTION("""COMPUTED_VALUE"""),2)</f>
        <v>2</v>
      </c>
      <c r="O2986" s="8" t="str">
        <f ca="1">IFERROR(__xludf.DUMMYFUNCTION("""COMPUTED_VALUE"""),"Summer")</f>
        <v>Summer</v>
      </c>
      <c r="P2986" s="8" t="str">
        <f ca="1">IFERROR(__xludf.DUMMYFUNCTION("""COMPUTED_VALUE"""),"Weymouth")</f>
        <v>Weymouth</v>
      </c>
      <c r="Q2986" s="8" t="str">
        <f ca="1">IFERROR(__xludf.DUMMYFUNCTION("""COMPUTED_VALUE"""),"MA")</f>
        <v>MA</v>
      </c>
      <c r="R2986" s="8" t="str">
        <f ca="1">IFERROR(__xludf.DUMMYFUNCTION("""COMPUTED_VALUE"""),"High")</f>
        <v>High</v>
      </c>
      <c r="S2986" s="8" t="str">
        <f ca="1">IFERROR(__xludf.DUMMYFUNCTION("""COMPUTED_VALUE"""),"Auditorium")</f>
        <v>Auditorium</v>
      </c>
      <c r="T2986" s="8" t="str">
        <f ca="1">IFERROR(__xludf.DUMMYFUNCTION("""COMPUTED_VALUE"""),"Inside School Building")</f>
        <v>Inside School Building</v>
      </c>
      <c r="U2986" s="8" t="str">
        <f ca="1">IFERROR(__xludf.DUMMYFUNCTION("""COMPUTED_VALUE"""),"No")</f>
        <v>No</v>
      </c>
      <c r="V2986" s="8" t="str">
        <f ca="1">IFERROR(__xludf.DUMMYFUNCTION("""COMPUTED_VALUE"""),"School Event")</f>
        <v>School Event</v>
      </c>
      <c r="W2986" s="8"/>
      <c r="X2986" s="8">
        <f ca="1">IFERROR(__xludf.DUMMYFUNCTION("""COMPUTED_VALUE"""),1)</f>
        <v>1</v>
      </c>
      <c r="Y2986" s="12" t="str">
        <f ca="1">IFERROR(__xludf.DUMMYFUNCTION("""COMPUTED_VALUE"""),"Student shot self on stage at commencement")</f>
        <v>Student shot self on stage at commencement</v>
      </c>
      <c r="Z2986" s="12" t="str">
        <f ca="1">IFERROR(__xludf.DUMMYFUNCTION("""COMPUTED_VALUE"""),"Student walked onto stage during school commencement and shot himself with a .22 pistol. Graduation continued 20 minutes later. Student had no history of issues and was said to be ""happy go lucky"" by school officials.")</f>
        <v>Student walked onto stage during school commencement and shot himself with a .22 pistol. Graduation continued 20 minutes later. Student had no history of issues and was said to be "happy go lucky" by school officials.</v>
      </c>
      <c r="AA2986" s="8" t="str">
        <f ca="1">IFERROR(__xludf.DUMMYFUNCTION("""COMPUTED_VALUE"""),"Suicide/Attempted")</f>
        <v>Suicide/Attempted</v>
      </c>
      <c r="AB2986" s="8"/>
      <c r="AC2986" s="8"/>
      <c r="AD2986" s="8" t="str">
        <f ca="1">IFERROR(__xludf.DUMMYFUNCTION("""COMPUTED_VALUE"""),"Victims Targeted")</f>
        <v>Victims Targeted</v>
      </c>
      <c r="AE2986" s="8" t="str">
        <f ca="1">IFERROR(__xludf.DUMMYFUNCTION("""COMPUTED_VALUE"""),"No")</f>
        <v>No</v>
      </c>
      <c r="AF2986" s="8"/>
      <c r="AG2986" s="8" t="str">
        <f ca="1">IFERROR(__xludf.DUMMYFUNCTION("""COMPUTED_VALUE"""),"No")</f>
        <v>No</v>
      </c>
      <c r="AH2986" s="8" t="str">
        <f ca="1">IFERROR(__xludf.DUMMYFUNCTION("""COMPUTED_VALUE"""),"No")</f>
        <v>No</v>
      </c>
      <c r="AI2986" s="8" t="str">
        <f ca="1">IFERROR(__xludf.DUMMYFUNCTION("""COMPUTED_VALUE"""),"No")</f>
        <v>No</v>
      </c>
      <c r="AJ2986" s="8" t="str">
        <f ca="1">IFERROR(__xludf.DUMMYFUNCTION("""COMPUTED_VALUE"""),"No")</f>
        <v>No</v>
      </c>
      <c r="AK2986" s="8" t="str">
        <f ca="1">IFERROR(__xludf.DUMMYFUNCTION("""COMPUTED_VALUE"""),"No")</f>
        <v>No</v>
      </c>
      <c r="AL2986" s="8" t="str">
        <f ca="1">IFERROR(__xludf.DUMMYFUNCTION("""COMPUTED_VALUE"""),"No")</f>
        <v>No</v>
      </c>
      <c r="AM2986" s="8"/>
      <c r="AN2986" s="8"/>
      <c r="AO2986" s="8" t="str">
        <f ca="1">IFERROR(__xludf.DUMMYFUNCTION("""COMPUTED_VALUE"""),"No")</f>
        <v>No</v>
      </c>
      <c r="AP2986" s="8"/>
      <c r="AQ2986" s="8" t="str">
        <f ca="1">IFERROR(__xludf.DUMMYFUNCTION("""COMPUTED_VALUE"""),"Unknown")</f>
        <v>Unknown</v>
      </c>
      <c r="AR2986" s="8" t="str">
        <f ca="1">IFERROR(__xludf.DUMMYFUNCTION("""COMPUTED_VALUE"""),"NA")</f>
        <v>NA</v>
      </c>
      <c r="AS2986" s="8">
        <f ca="1">IFERROR(__xludf.DUMMYFUNCTION("""COMPUTED_VALUE"""),1)</f>
        <v>1</v>
      </c>
      <c r="AT2986" s="8"/>
      <c r="AU2986" s="8">
        <f ca="1">IFERROR(__xludf.DUMMYFUNCTION("""COMPUTED_VALUE"""),42.182322)</f>
        <v>42.182321999999999</v>
      </c>
      <c r="AV2986" s="8">
        <f ca="1">IFERROR(__xludf.DUMMYFUNCTION("""COMPUTED_VALUE"""),-70.943572)</f>
        <v>-70.943572000000003</v>
      </c>
      <c r="AW2986" s="8"/>
      <c r="AX2986" s="8">
        <f ca="1">IFERROR(__xludf.DUMMYFUNCTION("""COMPUTED_VALUE"""),2190)</f>
        <v>2190</v>
      </c>
    </row>
    <row r="2987" spans="1:50" ht="30" x14ac:dyDescent="0.2">
      <c r="A2987" s="8" t="str">
        <f ca="1">IFERROR(__xludf.DUMMYFUNCTION("""COMPUTED_VALUE"""),"19780607DEDOD")</f>
        <v>19780607DEDOD</v>
      </c>
      <c r="B2987" s="8">
        <f ca="1">IFERROR(__xludf.DUMMYFUNCTION("""COMPUTED_VALUE"""),6)</f>
        <v>6</v>
      </c>
      <c r="C2987" s="8">
        <f ca="1">IFERROR(__xludf.DUMMYFUNCTION("""COMPUTED_VALUE"""),7)</f>
        <v>7</v>
      </c>
      <c r="D2987" s="8">
        <f ca="1">IFERROR(__xludf.DUMMYFUNCTION("""COMPUTED_VALUE"""),1978)</f>
        <v>1978</v>
      </c>
      <c r="E2987" s="9">
        <f ca="1">IFERROR(__xludf.DUMMYFUNCTION("""COMPUTED_VALUE"""),28648)</f>
        <v>28648</v>
      </c>
      <c r="F2987" s="8" t="str">
        <f ca="1">IFERROR(__xludf.DUMMYFUNCTION("""COMPUTED_VALUE"""),"Dover Air High")</f>
        <v>Dover Air High</v>
      </c>
      <c r="G2987" s="8">
        <f ca="1">IFERROR(__xludf.DUMMYFUNCTION("""COMPUTED_VALUE"""),1)</f>
        <v>1</v>
      </c>
      <c r="H2987" s="8">
        <f ca="1">IFERROR(__xludf.DUMMYFUNCTION("""COMPUTED_VALUE"""),0)</f>
        <v>0</v>
      </c>
      <c r="I2987" s="8">
        <f ca="1">IFERROR(__xludf.DUMMYFUNCTION("""COMPUTED_VALUE"""),1)</f>
        <v>1</v>
      </c>
      <c r="J2987" s="8">
        <f ca="1">IFERROR(__xludf.DUMMYFUNCTION("""COMPUTED_VALUE"""),0)</f>
        <v>0</v>
      </c>
      <c r="K2987" s="10" t="str">
        <f ca="1">IFERROR(__xludf.DUMMYFUNCTION("""COMPUTED_VALUE"""),"https://www.newspapers.com/image/160873897/?terms=Adams%2BElementary%2BSchool%2Bshooting")</f>
        <v>https://www.newspapers.com/image/160873897/?terms=Adams%2BElementary%2BSchool%2Bshooting</v>
      </c>
      <c r="L2987" s="8"/>
      <c r="M2987" s="8"/>
      <c r="N2987" s="8">
        <f ca="1">IFERROR(__xludf.DUMMYFUNCTION("""COMPUTED_VALUE"""),2)</f>
        <v>2</v>
      </c>
      <c r="O2987" s="8" t="str">
        <f ca="1">IFERROR(__xludf.DUMMYFUNCTION("""COMPUTED_VALUE"""),"Summer")</f>
        <v>Summer</v>
      </c>
      <c r="P2987" s="8" t="str">
        <f ca="1">IFERROR(__xludf.DUMMYFUNCTION("""COMPUTED_VALUE"""),"Dover")</f>
        <v>Dover</v>
      </c>
      <c r="Q2987" s="8" t="str">
        <f ca="1">IFERROR(__xludf.DUMMYFUNCTION("""COMPUTED_VALUE"""),"DE")</f>
        <v>DE</v>
      </c>
      <c r="R2987" s="8" t="str">
        <f ca="1">IFERROR(__xludf.DUMMYFUNCTION("""COMPUTED_VALUE"""),"High")</f>
        <v>High</v>
      </c>
      <c r="S2987" s="8" t="str">
        <f ca="1">IFERROR(__xludf.DUMMYFUNCTION("""COMPUTED_VALUE"""),"Off School Property")</f>
        <v>Off School Property</v>
      </c>
      <c r="T2987" s="8" t="str">
        <f ca="1">IFERROR(__xludf.DUMMYFUNCTION("""COMPUTED_VALUE"""),"Off School Property")</f>
        <v>Off School Property</v>
      </c>
      <c r="U2987" s="8" t="str">
        <f ca="1">IFERROR(__xludf.DUMMYFUNCTION("""COMPUTED_VALUE"""),"No")</f>
        <v>No</v>
      </c>
      <c r="V2987" s="8" t="str">
        <f ca="1">IFERROR(__xludf.DUMMYFUNCTION("""COMPUTED_VALUE"""),"School Event")</f>
        <v>School Event</v>
      </c>
      <c r="W2987" s="8"/>
      <c r="X2987" s="8">
        <f ca="1">IFERROR(__xludf.DUMMYFUNCTION("""COMPUTED_VALUE"""),1)</f>
        <v>1</v>
      </c>
      <c r="Y2987" s="12" t="str">
        <f ca="1">IFERROR(__xludf.DUMMYFUNCTION("""COMPUTED_VALUE"""),"Accidental shooting at school picnic")</f>
        <v>Accidental shooting at school picnic</v>
      </c>
      <c r="Z2987" s="12" t="str">
        <f ca="1">IFERROR(__xludf.DUMMYFUNCTION("""COMPUTED_VALUE"""),"17 year-old male student fatally shot a 18 year-old male friend at school picnic. Determined to be an accident.")</f>
        <v>17 year-old male student fatally shot a 18 year-old male friend at school picnic. Determined to be an accident.</v>
      </c>
      <c r="AA2987" s="8" t="str">
        <f ca="1">IFERROR(__xludf.DUMMYFUNCTION("""COMPUTED_VALUE"""),"Accidental")</f>
        <v>Accidental</v>
      </c>
      <c r="AB2987" s="8"/>
      <c r="AC2987" s="8"/>
      <c r="AD2987" s="8" t="str">
        <f ca="1">IFERROR(__xludf.DUMMYFUNCTION("""COMPUTED_VALUE"""),"Neither")</f>
        <v>Neither</v>
      </c>
      <c r="AE2987" s="8" t="str">
        <f ca="1">IFERROR(__xludf.DUMMYFUNCTION("""COMPUTED_VALUE"""),"No")</f>
        <v>No</v>
      </c>
      <c r="AF2987" s="8"/>
      <c r="AG2987" s="8" t="str">
        <f ca="1">IFERROR(__xludf.DUMMYFUNCTION("""COMPUTED_VALUE"""),"No")</f>
        <v>No</v>
      </c>
      <c r="AH2987" s="8" t="str">
        <f ca="1">IFERROR(__xludf.DUMMYFUNCTION("""COMPUTED_VALUE"""),"No")</f>
        <v>No</v>
      </c>
      <c r="AI2987" s="8" t="str">
        <f ca="1">IFERROR(__xludf.DUMMYFUNCTION("""COMPUTED_VALUE"""),"No")</f>
        <v>No</v>
      </c>
      <c r="AJ2987" s="8" t="str">
        <f ca="1">IFERROR(__xludf.DUMMYFUNCTION("""COMPUTED_VALUE"""),"No")</f>
        <v>No</v>
      </c>
      <c r="AK2987" s="8" t="str">
        <f ca="1">IFERROR(__xludf.DUMMYFUNCTION("""COMPUTED_VALUE"""),"No")</f>
        <v>No</v>
      </c>
      <c r="AL2987" s="8" t="str">
        <f ca="1">IFERROR(__xludf.DUMMYFUNCTION("""COMPUTED_VALUE"""),"No")</f>
        <v>No</v>
      </c>
      <c r="AM2987" s="8"/>
      <c r="AN2987" s="8"/>
      <c r="AO2987" s="8" t="str">
        <f ca="1">IFERROR(__xludf.DUMMYFUNCTION("""COMPUTED_VALUE"""),"No")</f>
        <v>No</v>
      </c>
      <c r="AP2987" s="8"/>
      <c r="AQ2987" s="8" t="str">
        <f ca="1">IFERROR(__xludf.DUMMYFUNCTION("""COMPUTED_VALUE"""),"Unknown")</f>
        <v>Unknown</v>
      </c>
      <c r="AR2987" s="8" t="str">
        <f ca="1">IFERROR(__xludf.DUMMYFUNCTION("""COMPUTED_VALUE"""),"NA")</f>
        <v>NA</v>
      </c>
      <c r="AS2987" s="8">
        <f ca="1">IFERROR(__xludf.DUMMYFUNCTION("""COMPUTED_VALUE"""),1)</f>
        <v>1</v>
      </c>
      <c r="AT2987" s="8"/>
      <c r="AU2987" s="8">
        <f ca="1">IFERROR(__xludf.DUMMYFUNCTION("""COMPUTED_VALUE"""),39.157103)</f>
        <v>39.157102999999999</v>
      </c>
      <c r="AV2987" s="8">
        <f ca="1">IFERROR(__xludf.DUMMYFUNCTION("""COMPUTED_VALUE"""),-75.570896)</f>
        <v>-75.570896000000005</v>
      </c>
      <c r="AW2987" s="8"/>
      <c r="AX2987" s="8">
        <f ca="1">IFERROR(__xludf.DUMMYFUNCTION("""COMPUTED_VALUE"""),19904)</f>
        <v>19904</v>
      </c>
    </row>
    <row r="2988" spans="1:50" ht="60" x14ac:dyDescent="0.2">
      <c r="A2988" s="8" t="str">
        <f ca="1">IFERROR(__xludf.DUMMYFUNCTION("""COMPUTED_VALUE"""),"19780519PADOP")</f>
        <v>19780519PADOP</v>
      </c>
      <c r="B2988" s="8">
        <f ca="1">IFERROR(__xludf.DUMMYFUNCTION("""COMPUTED_VALUE"""),5)</f>
        <v>5</v>
      </c>
      <c r="C2988" s="8">
        <f ca="1">IFERROR(__xludf.DUMMYFUNCTION("""COMPUTED_VALUE"""),19)</f>
        <v>19</v>
      </c>
      <c r="D2988" s="8">
        <f ca="1">IFERROR(__xludf.DUMMYFUNCTION("""COMPUTED_VALUE"""),1978)</f>
        <v>1978</v>
      </c>
      <c r="E2988" s="9">
        <f ca="1">IFERROR(__xludf.DUMMYFUNCTION("""COMPUTED_VALUE"""),28629)</f>
        <v>28629</v>
      </c>
      <c r="F2988" s="8" t="str">
        <f ca="1">IFERROR(__xludf.DUMMYFUNCTION("""COMPUTED_VALUE"""),"Downtown Junior High School")</f>
        <v>Downtown Junior High School</v>
      </c>
      <c r="G2988" s="8">
        <f ca="1">IFERROR(__xludf.DUMMYFUNCTION("""COMPUTED_VALUE"""),0)</f>
        <v>0</v>
      </c>
      <c r="H2988" s="8">
        <f ca="1">IFERROR(__xludf.DUMMYFUNCTION("""COMPUTED_VALUE"""),8)</f>
        <v>8</v>
      </c>
      <c r="I2988" s="8">
        <f ca="1">IFERROR(__xludf.DUMMYFUNCTION("""COMPUTED_VALUE"""),8)</f>
        <v>8</v>
      </c>
      <c r="J2988" s="8">
        <f ca="1">IFERROR(__xludf.DUMMYFUNCTION("""COMPUTED_VALUE"""),0)</f>
        <v>0</v>
      </c>
      <c r="K2988" s="10" t="str">
        <f ca="1">IFERROR(__xludf.DUMMYFUNCTION("""COMPUTED_VALUE"""),"https://www.newspapers.com/image/178054448/?terms=school%2Bshooting")</f>
        <v>https://www.newspapers.com/image/178054448/?terms=school%2Bshooting</v>
      </c>
      <c r="L2988" s="8"/>
      <c r="M2988" s="8"/>
      <c r="N2988" s="8">
        <f ca="1">IFERROR(__xludf.DUMMYFUNCTION("""COMPUTED_VALUE"""),2)</f>
        <v>2</v>
      </c>
      <c r="O2988" s="8" t="str">
        <f ca="1">IFERROR(__xludf.DUMMYFUNCTION("""COMPUTED_VALUE"""),"Spring")</f>
        <v>Spring</v>
      </c>
      <c r="P2988" s="8" t="str">
        <f ca="1">IFERROR(__xludf.DUMMYFUNCTION("""COMPUTED_VALUE"""),"Philadelphia")</f>
        <v>Philadelphia</v>
      </c>
      <c r="Q2988" s="8" t="str">
        <f ca="1">IFERROR(__xludf.DUMMYFUNCTION("""COMPUTED_VALUE"""),"PA")</f>
        <v>PA</v>
      </c>
      <c r="R2988" s="8" t="str">
        <f ca="1">IFERROR(__xludf.DUMMYFUNCTION("""COMPUTED_VALUE"""),"Junior High")</f>
        <v>Junior High</v>
      </c>
      <c r="S2988" s="8" t="str">
        <f ca="1">IFERROR(__xludf.DUMMYFUNCTION("""COMPUTED_VALUE"""),"School Bus")</f>
        <v>School Bus</v>
      </c>
      <c r="T2988" s="8" t="str">
        <f ca="1">IFERROR(__xludf.DUMMYFUNCTION("""COMPUTED_VALUE"""),"School Bus")</f>
        <v>School Bus</v>
      </c>
      <c r="U2988" s="8" t="str">
        <f ca="1">IFERROR(__xludf.DUMMYFUNCTION("""COMPUTED_VALUE"""),"Yes")</f>
        <v>Yes</v>
      </c>
      <c r="V2988" s="8" t="str">
        <f ca="1">IFERROR(__xludf.DUMMYFUNCTION("""COMPUTED_VALUE"""),"Afternoon Classes")</f>
        <v>Afternoon Classes</v>
      </c>
      <c r="W2988" s="8"/>
      <c r="X2988" s="8">
        <f ca="1">IFERROR(__xludf.DUMMYFUNCTION("""COMPUTED_VALUE"""),1)</f>
        <v>1</v>
      </c>
      <c r="Y2988" s="12" t="str">
        <f ca="1">IFERROR(__xludf.DUMMYFUNCTION("""COMPUTED_VALUE"""),"Shots deliberately fired a school bus")</f>
        <v>Shots deliberately fired a school bus</v>
      </c>
      <c r="Z2988" s="12" t="str">
        <f ca="1">IFERROR(__xludf.DUMMYFUNCTION("""COMPUTED_VALUE"""),"School bus was deliberately shot while students were returning from trip to the zoo. 8 students were injured. No suspect was identified. No motive known. Multiple .22 and .30 caliber rounds struck the bus.")</f>
        <v>School bus was deliberately shot while students were returning from trip to the zoo. 8 students were injured. No suspect was identified. No motive known. Multiple .22 and .30 caliber rounds struck the bus.</v>
      </c>
      <c r="AA2988" s="8" t="str">
        <f ca="1">IFERROR(__xludf.DUMMYFUNCTION("""COMPUTED_VALUE"""),"Indiscriminate Shooting")</f>
        <v>Indiscriminate Shooting</v>
      </c>
      <c r="AB2988" s="8"/>
      <c r="AC2988" s="8"/>
      <c r="AD2988" s="8"/>
      <c r="AE2988" s="8" t="str">
        <f ca="1">IFERROR(__xludf.DUMMYFUNCTION("""COMPUTED_VALUE"""),"No")</f>
        <v>No</v>
      </c>
      <c r="AF2988" s="8"/>
      <c r="AG2988" s="8" t="str">
        <f ca="1">IFERROR(__xludf.DUMMYFUNCTION("""COMPUTED_VALUE"""),"No")</f>
        <v>No</v>
      </c>
      <c r="AH2988" s="8" t="str">
        <f ca="1">IFERROR(__xludf.DUMMYFUNCTION("""COMPUTED_VALUE"""),"No")</f>
        <v>No</v>
      </c>
      <c r="AI2988" s="8" t="str">
        <f ca="1">IFERROR(__xludf.DUMMYFUNCTION("""COMPUTED_VALUE"""),"No")</f>
        <v>No</v>
      </c>
      <c r="AJ2988" s="8"/>
      <c r="AK2988" s="8"/>
      <c r="AL2988" s="8"/>
      <c r="AM2988" s="8" t="str">
        <f ca="1">IFERROR(__xludf.DUMMYFUNCTION("""COMPUTED_VALUE"""),"Yes")</f>
        <v>Yes</v>
      </c>
      <c r="AN2988" s="8" t="str">
        <f ca="1">IFERROR(__xludf.DUMMYFUNCTION("""COMPUTED_VALUE"""),"Outside")</f>
        <v>Outside</v>
      </c>
      <c r="AO2988" s="8" t="str">
        <f ca="1">IFERROR(__xludf.DUMMYFUNCTION("""COMPUTED_VALUE"""),"Yes")</f>
        <v>Yes</v>
      </c>
      <c r="AP2988" s="8"/>
      <c r="AQ2988" s="8" t="str">
        <f ca="1">IFERROR(__xludf.DUMMYFUNCTION("""COMPUTED_VALUE"""),"Unknown")</f>
        <v>Unknown</v>
      </c>
      <c r="AR2988" s="8" t="str">
        <f ca="1">IFERROR(__xludf.DUMMYFUNCTION("""COMPUTED_VALUE"""),"NA")</f>
        <v>NA</v>
      </c>
      <c r="AS2988" s="8"/>
      <c r="AT2988" s="8"/>
      <c r="AU2988" s="8">
        <f ca="1">IFERROR(__xludf.DUMMYFUNCTION("""COMPUTED_VALUE"""),39.9525839)</f>
        <v>39.9525839</v>
      </c>
      <c r="AV2988" s="8">
        <f ca="1">IFERROR(__xludf.DUMMYFUNCTION("""COMPUTED_VALUE"""),-75.1652215)</f>
        <v>-75.165221500000001</v>
      </c>
      <c r="AW2988" s="8"/>
      <c r="AX2988" s="8">
        <f ca="1">IFERROR(__xludf.DUMMYFUNCTION("""COMPUTED_VALUE"""),19102)</f>
        <v>19102</v>
      </c>
    </row>
    <row r="2989" spans="1:50" ht="270" x14ac:dyDescent="0.2">
      <c r="A2989" s="8" t="str">
        <f ca="1">IFERROR(__xludf.DUMMYFUNCTION("""COMPUTED_VALUE"""),"19780518TXMUA")</f>
        <v>19780518TXMUA</v>
      </c>
      <c r="B2989" s="8">
        <f ca="1">IFERROR(__xludf.DUMMYFUNCTION("""COMPUTED_VALUE"""),5)</f>
        <v>5</v>
      </c>
      <c r="C2989" s="8">
        <f ca="1">IFERROR(__xludf.DUMMYFUNCTION("""COMPUTED_VALUE"""),18)</f>
        <v>18</v>
      </c>
      <c r="D2989" s="8">
        <f ca="1">IFERROR(__xludf.DUMMYFUNCTION("""COMPUTED_VALUE"""),1978)</f>
        <v>1978</v>
      </c>
      <c r="E2989" s="9">
        <f ca="1">IFERROR(__xludf.DUMMYFUNCTION("""COMPUTED_VALUE"""),28628)</f>
        <v>28628</v>
      </c>
      <c r="F2989" s="8" t="str">
        <f ca="1">IFERROR(__xludf.DUMMYFUNCTION("""COMPUTED_VALUE"""),"Murchison Junior High School")</f>
        <v>Murchison Junior High School</v>
      </c>
      <c r="G2989" s="8">
        <f ca="1">IFERROR(__xludf.DUMMYFUNCTION("""COMPUTED_VALUE"""),1)</f>
        <v>1</v>
      </c>
      <c r="H2989" s="8">
        <f ca="1">IFERROR(__xludf.DUMMYFUNCTION("""COMPUTED_VALUE"""),0)</f>
        <v>0</v>
      </c>
      <c r="I2989" s="8">
        <f ca="1">IFERROR(__xludf.DUMMYFUNCTION("""COMPUTED_VALUE"""),1)</f>
        <v>1</v>
      </c>
      <c r="J2989" s="8">
        <f ca="1">IFERROR(__xludf.DUMMYFUNCTION("""COMPUTED_VALUE"""),0)</f>
        <v>0</v>
      </c>
      <c r="K2989" s="8" t="str">
        <f ca="1">IFERROR(__xludf.DUMMYFUNCTION("""COMPUTED_VALUE"""),"https://www.texasmonthly.com/true-crime/the-school-shooting-that-austin-forgot/
https://www.nytimes.com/1978/05/19/archives/boy-arrested-in-teachers-killing.html https://www.newspapers.com/image/341795245/?terms=school%2Bshooting https://www.texasmonthly."&amp;"com/articles/the-school-shooting-that-austin-forgot/")</f>
        <v>https://www.texasmonthly.com/true-crime/the-school-shooting-that-austin-forgot/
https://www.nytimes.com/1978/05/19/archives/boy-arrested-in-teachers-killing.html https://www.newspapers.com/image/341795245/?terms=school%2Bshooting https://www.texasmonthly.com/articles/the-school-shooting-that-austin-forgot/</v>
      </c>
      <c r="L2989" s="8"/>
      <c r="M2989" s="8" t="str">
        <f ca="1">IFERROR(__xludf.DUMMYFUNCTION("""COMPUTED_VALUE"""),"National")</f>
        <v>National</v>
      </c>
      <c r="N2989" s="8">
        <f ca="1">IFERROR(__xludf.DUMMYFUNCTION("""COMPUTED_VALUE"""),4)</f>
        <v>4</v>
      </c>
      <c r="O2989" s="8" t="str">
        <f ca="1">IFERROR(__xludf.DUMMYFUNCTION("""COMPUTED_VALUE"""),"Spring")</f>
        <v>Spring</v>
      </c>
      <c r="P2989" s="8" t="str">
        <f ca="1">IFERROR(__xludf.DUMMYFUNCTION("""COMPUTED_VALUE"""),"Austin")</f>
        <v>Austin</v>
      </c>
      <c r="Q2989" s="8" t="str">
        <f ca="1">IFERROR(__xludf.DUMMYFUNCTION("""COMPUTED_VALUE"""),"TX")</f>
        <v>TX</v>
      </c>
      <c r="R2989" s="8" t="str">
        <f ca="1">IFERROR(__xludf.DUMMYFUNCTION("""COMPUTED_VALUE"""),"Junior High")</f>
        <v>Junior High</v>
      </c>
      <c r="S2989" s="8" t="str">
        <f ca="1">IFERROR(__xludf.DUMMYFUNCTION("""COMPUTED_VALUE"""),"Classroom")</f>
        <v>Classroom</v>
      </c>
      <c r="T2989" s="8" t="str">
        <f ca="1">IFERROR(__xludf.DUMMYFUNCTION("""COMPUTED_VALUE"""),"Inside School Building")</f>
        <v>Inside School Building</v>
      </c>
      <c r="U2989" s="8" t="str">
        <f ca="1">IFERROR(__xludf.DUMMYFUNCTION("""COMPUTED_VALUE"""),"Yes")</f>
        <v>Yes</v>
      </c>
      <c r="V2989" s="8" t="str">
        <f ca="1">IFERROR(__xludf.DUMMYFUNCTION("""COMPUTED_VALUE"""),"Morning Classes")</f>
        <v>Morning Classes</v>
      </c>
      <c r="W2989" s="11">
        <f ca="1">IFERROR(__xludf.DUMMYFUNCTION("""COMPUTED_VALUE"""),0.375)</f>
        <v>0.375</v>
      </c>
      <c r="X2989" s="8">
        <f ca="1">IFERROR(__xludf.DUMMYFUNCTION("""COMPUTED_VALUE"""),1)</f>
        <v>1</v>
      </c>
      <c r="Y2989" s="12" t="str">
        <f ca="1">IFERROR(__xludf.DUMMYFUNCTION("""COMPUTED_VALUE"""),"Shot teacher multiple times in classroom")</f>
        <v>Shot teacher multiple times in classroom</v>
      </c>
      <c r="Z2989" s="12" t="str">
        <f ca="1">IFERROR(__xludf.DUMMYFUNCTION("""COMPUTED_VALUE"""),"Shooter walked into teacher's classroom with a rifle, fired multiple shots killing the teacher, fled the school, and was detained by the gym teacher. Shooter was a straight A student and had got a failing grade on the assignment by the teacher. Shooter wa"&amp;"s the son of President Johnson's press secretary. The origins/extentent of shooter's mental illness are unknowable (low emotional range, violent outbursts, suicidal ideation - considered killing himself prior to the shooting, manic, delusions). Two years "&amp;"before the shooting, a sixth grade classmate noticed that John had sketched a scene of a mass shooting, with red flames leaping out of the gun. Had a detailed map he drew of the school that he destroyed after the shooting. Hid in a closet while other stud"&amp;"ents went into the classroom and then entered later after class started. Rifle used was a christmas gift from parents. Two psychiatrists testified that shooter was “acutely depressed” and suffered from “latent schizophrenia”.")</f>
        <v>Shooter walked into teacher's classroom with a rifle, fired multiple shots killing the teacher, fled the school, and was detained by the gym teacher. Shooter was a straight A student and had got a failing grade on the assignment by the teacher. Shooter was the son of President Johnson's press secretary. The origins/extentent of shooter's mental illness are unknowable (low emotional range, violent outbursts, suicidal ideation - considered killing himself prior to the shooting, manic, delusions). Two years before the shooting, a sixth grade classmate noticed that John had sketched a scene of a mass shooting, with red flames leaping out of the gun. Had a detailed map he drew of the school that he destroyed after the shooting. Hid in a closet while other students went into the classroom and then entered later after class started. Rifle used was a christmas gift from parents. Two psychiatrists testified that shooter was “acutely depressed” and suffered from “latent schizophrenia”.</v>
      </c>
      <c r="AA2989" s="8" t="str">
        <f ca="1">IFERROR(__xludf.DUMMYFUNCTION("""COMPUTED_VALUE"""),"Indiscriminate Shooting")</f>
        <v>Indiscriminate Shooting</v>
      </c>
      <c r="AB2989" s="8"/>
      <c r="AC2989" s="8"/>
      <c r="AD2989" s="8" t="str">
        <f ca="1">IFERROR(__xludf.DUMMYFUNCTION("""COMPUTED_VALUE"""),"Victims Targeted")</f>
        <v>Victims Targeted</v>
      </c>
      <c r="AE2989" s="8" t="str">
        <f ca="1">IFERROR(__xludf.DUMMYFUNCTION("""COMPUTED_VALUE"""),"No")</f>
        <v>No</v>
      </c>
      <c r="AF2989" s="8"/>
      <c r="AG2989" s="8" t="str">
        <f ca="1">IFERROR(__xludf.DUMMYFUNCTION("""COMPUTED_VALUE"""),"No")</f>
        <v>No</v>
      </c>
      <c r="AH2989" s="8" t="str">
        <f ca="1">IFERROR(__xludf.DUMMYFUNCTION("""COMPUTED_VALUE"""),"No")</f>
        <v>No</v>
      </c>
      <c r="AI2989" s="8" t="str">
        <f ca="1">IFERROR(__xludf.DUMMYFUNCTION("""COMPUTED_VALUE"""),"No")</f>
        <v>No</v>
      </c>
      <c r="AJ2989" s="8" t="str">
        <f ca="1">IFERROR(__xludf.DUMMYFUNCTION("""COMPUTED_VALUE"""),"No")</f>
        <v>No</v>
      </c>
      <c r="AK2989" s="8" t="str">
        <f ca="1">IFERROR(__xludf.DUMMYFUNCTION("""COMPUTED_VALUE"""),"No")</f>
        <v>No</v>
      </c>
      <c r="AL2989" s="8" t="str">
        <f ca="1">IFERROR(__xludf.DUMMYFUNCTION("""COMPUTED_VALUE"""),"No")</f>
        <v>No</v>
      </c>
      <c r="AM2989" s="8" t="str">
        <f ca="1">IFERROR(__xludf.DUMMYFUNCTION("""COMPUTED_VALUE"""),"No")</f>
        <v>No</v>
      </c>
      <c r="AN2989" s="8" t="str">
        <f ca="1">IFERROR(__xludf.DUMMYFUNCTION("""COMPUTED_VALUE"""),"Single Room")</f>
        <v>Single Room</v>
      </c>
      <c r="AO2989" s="8" t="str">
        <f ca="1">IFERROR(__xludf.DUMMYFUNCTION("""COMPUTED_VALUE"""),"Yes")</f>
        <v>Yes</v>
      </c>
      <c r="AP2989" s="8" t="str">
        <f ca="1">IFERROR(__xludf.DUMMYFUNCTION("""COMPUTED_VALUE"""),"No")</f>
        <v>No</v>
      </c>
      <c r="AQ2989" s="8" t="str">
        <f ca="1">IFERROR(__xludf.DUMMYFUNCTION("""COMPUTED_VALUE"""),"None")</f>
        <v>None</v>
      </c>
      <c r="AR2989" s="8" t="str">
        <f ca="1">IFERROR(__xludf.DUMMYFUNCTION("""COMPUTED_VALUE"""),"NA")</f>
        <v>NA</v>
      </c>
      <c r="AS2989" s="8">
        <f ca="1">IFERROR(__xludf.DUMMYFUNCTION("""COMPUTED_VALUE"""),3)</f>
        <v>3</v>
      </c>
      <c r="AT2989" s="8"/>
      <c r="AU2989" s="8">
        <f ca="1">IFERROR(__xludf.DUMMYFUNCTION("""COMPUTED_VALUE"""),30.353972)</f>
        <v>30.353971999999999</v>
      </c>
      <c r="AV2989" s="8">
        <f ca="1">IFERROR(__xludf.DUMMYFUNCTION("""COMPUTED_VALUE"""),-97.758778)</f>
        <v>-97.758778000000007</v>
      </c>
      <c r="AW2989" s="8"/>
      <c r="AX2989" s="8">
        <f ca="1">IFERROR(__xludf.DUMMYFUNCTION("""COMPUTED_VALUE"""),78731)</f>
        <v>78731</v>
      </c>
    </row>
    <row r="2990" spans="1:50" ht="45" x14ac:dyDescent="0.2">
      <c r="A2990" s="8" t="str">
        <f ca="1">IFERROR(__xludf.DUMMYFUNCTION("""COMPUTED_VALUE"""),"19780428ILRIN")</f>
        <v>19780428ILRIN</v>
      </c>
      <c r="B2990" s="8">
        <f ca="1">IFERROR(__xludf.DUMMYFUNCTION("""COMPUTED_VALUE"""),4)</f>
        <v>4</v>
      </c>
      <c r="C2990" s="8">
        <f ca="1">IFERROR(__xludf.DUMMYFUNCTION("""COMPUTED_VALUE"""),28)</f>
        <v>28</v>
      </c>
      <c r="D2990" s="8">
        <f ca="1">IFERROR(__xludf.DUMMYFUNCTION("""COMPUTED_VALUE"""),1978)</f>
        <v>1978</v>
      </c>
      <c r="E2990" s="9">
        <f ca="1">IFERROR(__xludf.DUMMYFUNCTION("""COMPUTED_VALUE"""),28608)</f>
        <v>28608</v>
      </c>
      <c r="F2990" s="8" t="str">
        <f ca="1">IFERROR(__xludf.DUMMYFUNCTION("""COMPUTED_VALUE"""),"Ridgewood High School")</f>
        <v>Ridgewood High School</v>
      </c>
      <c r="G2990" s="8">
        <f ca="1">IFERROR(__xludf.DUMMYFUNCTION("""COMPUTED_VALUE"""),2)</f>
        <v>2</v>
      </c>
      <c r="H2990" s="8">
        <f ca="1">IFERROR(__xludf.DUMMYFUNCTION("""COMPUTED_VALUE"""),2)</f>
        <v>2</v>
      </c>
      <c r="I2990" s="8">
        <f ca="1">IFERROR(__xludf.DUMMYFUNCTION("""COMPUTED_VALUE"""),4)</f>
        <v>4</v>
      </c>
      <c r="J2990" s="8">
        <f ca="1">IFERROR(__xludf.DUMMYFUNCTION("""COMPUTED_VALUE"""),0)</f>
        <v>0</v>
      </c>
      <c r="K2990" s="10" t="str">
        <f ca="1">IFERROR(__xludf.DUMMYFUNCTION("""COMPUTED_VALUE"""),"https://www.newspapers.com/image/385395737/?terms=Ridgewood%2BHigh%2BSchool%2Bdance")</f>
        <v>https://www.newspapers.com/image/385395737/?terms=Ridgewood%2BHigh%2BSchool%2Bdance</v>
      </c>
      <c r="L2990" s="8"/>
      <c r="M2990" s="8"/>
      <c r="N2990" s="8">
        <f ca="1">IFERROR(__xludf.DUMMYFUNCTION("""COMPUTED_VALUE"""),2)</f>
        <v>2</v>
      </c>
      <c r="O2990" s="8" t="str">
        <f ca="1">IFERROR(__xludf.DUMMYFUNCTION("""COMPUTED_VALUE"""),"Spring")</f>
        <v>Spring</v>
      </c>
      <c r="P2990" s="8" t="str">
        <f ca="1">IFERROR(__xludf.DUMMYFUNCTION("""COMPUTED_VALUE"""),"Norridge")</f>
        <v>Norridge</v>
      </c>
      <c r="Q2990" s="8" t="str">
        <f ca="1">IFERROR(__xludf.DUMMYFUNCTION("""COMPUTED_VALUE"""),"IL")</f>
        <v>IL</v>
      </c>
      <c r="R2990" s="8" t="str">
        <f ca="1">IFERROR(__xludf.DUMMYFUNCTION("""COMPUTED_VALUE"""),"High")</f>
        <v>High</v>
      </c>
      <c r="S2990" s="8" t="str">
        <f ca="1">IFERROR(__xludf.DUMMYFUNCTION("""COMPUTED_VALUE"""),"Beside Building")</f>
        <v>Beside Building</v>
      </c>
      <c r="T2990" s="8" t="str">
        <f ca="1">IFERROR(__xludf.DUMMYFUNCTION("""COMPUTED_VALUE"""),"Outside on School Property")</f>
        <v>Outside on School Property</v>
      </c>
      <c r="U2990" s="8" t="str">
        <f ca="1">IFERROR(__xludf.DUMMYFUNCTION("""COMPUTED_VALUE"""),"No")</f>
        <v>No</v>
      </c>
      <c r="V2990" s="8" t="str">
        <f ca="1">IFERROR(__xludf.DUMMYFUNCTION("""COMPUTED_VALUE"""),"School Event")</f>
        <v>School Event</v>
      </c>
      <c r="W2990" s="11">
        <f ca="1">IFERROR(__xludf.DUMMYFUNCTION("""COMPUTED_VALUE"""),0.9375)</f>
        <v>0.9375</v>
      </c>
      <c r="X2990" s="8">
        <f ca="1">IFERROR(__xludf.DUMMYFUNCTION("""COMPUTED_VALUE"""),1)</f>
        <v>1</v>
      </c>
      <c r="Y2990" s="12" t="str">
        <f ca="1">IFERROR(__xludf.DUMMYFUNCTION("""COMPUTED_VALUE"""),"Shooting outside school dance")</f>
        <v>Shooting outside school dance</v>
      </c>
      <c r="Z2990" s="12" t="str">
        <f ca="1">IFERROR(__xludf.DUMMYFUNCTION("""COMPUTED_VALUE"""),"Unidentified juvenile student shot 4 other students outside of the school dance. Teachers were unaware of any conflict between the students. Police did not release a motive.")</f>
        <v>Unidentified juvenile student shot 4 other students outside of the school dance. Teachers were unaware of any conflict between the students. Police did not release a motive.</v>
      </c>
      <c r="AA2990" s="8" t="str">
        <f ca="1">IFERROR(__xludf.DUMMYFUNCTION("""COMPUTED_VALUE"""),"Indiscriminate Shooting")</f>
        <v>Indiscriminate Shooting</v>
      </c>
      <c r="AB2990" s="8"/>
      <c r="AC2990" s="8"/>
      <c r="AD2990" s="8"/>
      <c r="AE2990" s="8" t="str">
        <f ca="1">IFERROR(__xludf.DUMMYFUNCTION("""COMPUTED_VALUE"""),"No")</f>
        <v>No</v>
      </c>
      <c r="AF2990" s="8"/>
      <c r="AG2990" s="8" t="str">
        <f ca="1">IFERROR(__xludf.DUMMYFUNCTION("""COMPUTED_VALUE"""),"No")</f>
        <v>No</v>
      </c>
      <c r="AH2990" s="8" t="str">
        <f ca="1">IFERROR(__xludf.DUMMYFUNCTION("""COMPUTED_VALUE"""),"No")</f>
        <v>No</v>
      </c>
      <c r="AI2990" s="8" t="str">
        <f ca="1">IFERROR(__xludf.DUMMYFUNCTION("""COMPUTED_VALUE"""),"No")</f>
        <v>No</v>
      </c>
      <c r="AJ2990" s="8"/>
      <c r="AK2990" s="8" t="str">
        <f ca="1">IFERROR(__xludf.DUMMYFUNCTION("""COMPUTED_VALUE"""),"No")</f>
        <v>No</v>
      </c>
      <c r="AL2990" s="8" t="str">
        <f ca="1">IFERROR(__xludf.DUMMYFUNCTION("""COMPUTED_VALUE"""),"No")</f>
        <v>No</v>
      </c>
      <c r="AM2990" s="8" t="str">
        <f ca="1">IFERROR(__xludf.DUMMYFUNCTION("""COMPUTED_VALUE"""),"Yes")</f>
        <v>Yes</v>
      </c>
      <c r="AN2990" s="8"/>
      <c r="AO2990" s="8" t="str">
        <f ca="1">IFERROR(__xludf.DUMMYFUNCTION("""COMPUTED_VALUE"""),"No")</f>
        <v>No</v>
      </c>
      <c r="AP2990" s="8"/>
      <c r="AQ2990" s="8" t="str">
        <f ca="1">IFERROR(__xludf.DUMMYFUNCTION("""COMPUTED_VALUE"""),"Unknown")</f>
        <v>Unknown</v>
      </c>
      <c r="AR2990" s="8" t="str">
        <f ca="1">IFERROR(__xludf.DUMMYFUNCTION("""COMPUTED_VALUE"""),"NA")</f>
        <v>NA</v>
      </c>
      <c r="AS2990" s="8" t="str">
        <f ca="1">IFERROR(__xludf.DUMMYFUNCTION("""COMPUTED_VALUE"""),"&lt;10")</f>
        <v>&lt;10</v>
      </c>
      <c r="AT2990" s="8"/>
      <c r="AU2990" s="8">
        <f ca="1">IFERROR(__xludf.DUMMYFUNCTION("""COMPUTED_VALUE"""),41.961354)</f>
        <v>41.961354</v>
      </c>
      <c r="AV2990" s="8">
        <f ca="1">IFERROR(__xludf.DUMMYFUNCTION("""COMPUTED_VALUE"""),-87.815314)</f>
        <v>-87.815314000000001</v>
      </c>
      <c r="AW2990" s="8"/>
      <c r="AX2990" s="8">
        <f ca="1">IFERROR(__xludf.DUMMYFUNCTION("""COMPUTED_VALUE"""),60706)</f>
        <v>60706</v>
      </c>
    </row>
    <row r="2991" spans="1:50" ht="45" x14ac:dyDescent="0.2">
      <c r="A2991" s="8" t="str">
        <f ca="1">IFERROR(__xludf.DUMMYFUNCTION("""COMPUTED_VALUE"""),"19780426TXPAD")</f>
        <v>19780426TXPAD</v>
      </c>
      <c r="B2991" s="8">
        <f ca="1">IFERROR(__xludf.DUMMYFUNCTION("""COMPUTED_VALUE"""),4)</f>
        <v>4</v>
      </c>
      <c r="C2991" s="8">
        <f ca="1">IFERROR(__xludf.DUMMYFUNCTION("""COMPUTED_VALUE"""),26)</f>
        <v>26</v>
      </c>
      <c r="D2991" s="8">
        <f ca="1">IFERROR(__xludf.DUMMYFUNCTION("""COMPUTED_VALUE"""),1978)</f>
        <v>1978</v>
      </c>
      <c r="E2991" s="9">
        <f ca="1">IFERROR(__xludf.DUMMYFUNCTION("""COMPUTED_VALUE"""),28606)</f>
        <v>28606</v>
      </c>
      <c r="F2991" s="8" t="str">
        <f ca="1">IFERROR(__xludf.DUMMYFUNCTION("""COMPUTED_VALUE"""),"Paul Dunbar Elementary School")</f>
        <v>Paul Dunbar Elementary School</v>
      </c>
      <c r="G2991" s="8">
        <f ca="1">IFERROR(__xludf.DUMMYFUNCTION("""COMPUTED_VALUE"""),1)</f>
        <v>1</v>
      </c>
      <c r="H2991" s="8">
        <f ca="1">IFERROR(__xludf.DUMMYFUNCTION("""COMPUTED_VALUE"""),0)</f>
        <v>0</v>
      </c>
      <c r="I2991" s="8">
        <f ca="1">IFERROR(__xludf.DUMMYFUNCTION("""COMPUTED_VALUE"""),1)</f>
        <v>1</v>
      </c>
      <c r="J2991" s="8">
        <f ca="1">IFERROR(__xludf.DUMMYFUNCTION("""COMPUTED_VALUE"""),0)</f>
        <v>0</v>
      </c>
      <c r="K2991" s="8" t="str">
        <f ca="1">IFERROR(__xludf.DUMMYFUNCTION("""COMPUTED_VALUE"""),"https://www.newspapers.com/image/85049072/?terms=woodrow%2Bporter%2Bjr. https://www.newspapers.com/image/192923844/?terms=school%2Bshooting   https://www.newspapers.com/image/336236544/?terms=woodrow%2Bporter%2Bjr.")</f>
        <v>https://www.newspapers.com/image/85049072/?terms=woodrow%2Bporter%2Bjr. https://www.newspapers.com/image/192923844/?terms=school%2Bshooting   https://www.newspapers.com/image/336236544/?terms=woodrow%2Bporter%2Bjr.</v>
      </c>
      <c r="L2991" s="8"/>
      <c r="M2991" s="8"/>
      <c r="N2991" s="8">
        <f ca="1">IFERROR(__xludf.DUMMYFUNCTION("""COMPUTED_VALUE"""),3)</f>
        <v>3</v>
      </c>
      <c r="O2991" s="8" t="str">
        <f ca="1">IFERROR(__xludf.DUMMYFUNCTION("""COMPUTED_VALUE"""),"Spring")</f>
        <v>Spring</v>
      </c>
      <c r="P2991" s="8" t="str">
        <f ca="1">IFERROR(__xludf.DUMMYFUNCTION("""COMPUTED_VALUE"""),"Dallas")</f>
        <v>Dallas</v>
      </c>
      <c r="Q2991" s="8" t="str">
        <f ca="1">IFERROR(__xludf.DUMMYFUNCTION("""COMPUTED_VALUE"""),"TX")</f>
        <v>TX</v>
      </c>
      <c r="R2991" s="8" t="str">
        <f ca="1">IFERROR(__xludf.DUMMYFUNCTION("""COMPUTED_VALUE"""),"Elementary")</f>
        <v>Elementary</v>
      </c>
      <c r="S2991" s="8" t="str">
        <f ca="1">IFERROR(__xludf.DUMMYFUNCTION("""COMPUTED_VALUE"""),"Office")</f>
        <v>Office</v>
      </c>
      <c r="T2991" s="8" t="str">
        <f ca="1">IFERROR(__xludf.DUMMYFUNCTION("""COMPUTED_VALUE"""),"Inside School Building")</f>
        <v>Inside School Building</v>
      </c>
      <c r="U2991" s="8" t="str">
        <f ca="1">IFERROR(__xludf.DUMMYFUNCTION("""COMPUTED_VALUE"""),"Yes")</f>
        <v>Yes</v>
      </c>
      <c r="V2991" s="8" t="str">
        <f ca="1">IFERROR(__xludf.DUMMYFUNCTION("""COMPUTED_VALUE"""),"Afternoon Classes")</f>
        <v>Afternoon Classes</v>
      </c>
      <c r="W2991" s="8"/>
      <c r="X2991" s="8">
        <f ca="1">IFERROR(__xludf.DUMMYFUNCTION("""COMPUTED_VALUE"""),1)</f>
        <v>1</v>
      </c>
      <c r="Y2991" s="12" t="str">
        <f ca="1">IFERROR(__xludf.DUMMYFUNCTION("""COMPUTED_VALUE"""),"Victim had spanked shooter's granddaughter")</f>
        <v>Victim had spanked shooter's granddaughter</v>
      </c>
      <c r="Z2991" s="12" t="str">
        <f ca="1">IFERROR(__xludf.DUMMYFUNCTION("""COMPUTED_VALUE"""),"Janitor at the school (victim) had spanked the shooter's 8 year old granddaughter so she shot and killed him.")</f>
        <v>Janitor at the school (victim) had spanked the shooter's 8 year old granddaughter so she shot and killed him.</v>
      </c>
      <c r="AA2991" s="8" t="str">
        <f ca="1">IFERROR(__xludf.DUMMYFUNCTION("""COMPUTED_VALUE"""),"Anger Over Grade/Suspension/Discipline")</f>
        <v>Anger Over Grade/Suspension/Discipline</v>
      </c>
      <c r="AB2991" s="8"/>
      <c r="AC2991" s="8"/>
      <c r="AD2991" s="8" t="str">
        <f ca="1">IFERROR(__xludf.DUMMYFUNCTION("""COMPUTED_VALUE"""),"Victims Targeted")</f>
        <v>Victims Targeted</v>
      </c>
      <c r="AE2991" s="8" t="str">
        <f ca="1">IFERROR(__xludf.DUMMYFUNCTION("""COMPUTED_VALUE"""),"No")</f>
        <v>No</v>
      </c>
      <c r="AF2991" s="8"/>
      <c r="AG2991" s="8" t="str">
        <f ca="1">IFERROR(__xludf.DUMMYFUNCTION("""COMPUTED_VALUE"""),"No")</f>
        <v>No</v>
      </c>
      <c r="AH2991" s="8" t="str">
        <f ca="1">IFERROR(__xludf.DUMMYFUNCTION("""COMPUTED_VALUE"""),"No")</f>
        <v>No</v>
      </c>
      <c r="AI2991" s="8" t="str">
        <f ca="1">IFERROR(__xludf.DUMMYFUNCTION("""COMPUTED_VALUE"""),"No")</f>
        <v>No</v>
      </c>
      <c r="AJ2991" s="8" t="str">
        <f ca="1">IFERROR(__xludf.DUMMYFUNCTION("""COMPUTED_VALUE"""),"No")</f>
        <v>No</v>
      </c>
      <c r="AK2991" s="8" t="str">
        <f ca="1">IFERROR(__xludf.DUMMYFUNCTION("""COMPUTED_VALUE"""),"No")</f>
        <v>No</v>
      </c>
      <c r="AL2991" s="8" t="str">
        <f ca="1">IFERROR(__xludf.DUMMYFUNCTION("""COMPUTED_VALUE"""),"No")</f>
        <v>No</v>
      </c>
      <c r="AM2991" s="8"/>
      <c r="AN2991" s="8"/>
      <c r="AO2991" s="8" t="str">
        <f ca="1">IFERROR(__xludf.DUMMYFUNCTION("""COMPUTED_VALUE"""),"No")</f>
        <v>No</v>
      </c>
      <c r="AP2991" s="8" t="str">
        <f ca="1">IFERROR(__xludf.DUMMYFUNCTION("""COMPUTED_VALUE"""),"No")</f>
        <v>No</v>
      </c>
      <c r="AQ2991" s="8" t="str">
        <f ca="1">IFERROR(__xludf.DUMMYFUNCTION("""COMPUTED_VALUE"""),"None")</f>
        <v>None</v>
      </c>
      <c r="AR2991" s="8" t="str">
        <f ca="1">IFERROR(__xludf.DUMMYFUNCTION("""COMPUTED_VALUE"""),"NA")</f>
        <v>NA</v>
      </c>
      <c r="AS2991" s="8">
        <f ca="1">IFERROR(__xludf.DUMMYFUNCTION("""COMPUTED_VALUE"""),3)</f>
        <v>3</v>
      </c>
      <c r="AT2991" s="8"/>
      <c r="AU2991" s="8">
        <f ca="1">IFERROR(__xludf.DUMMYFUNCTION("""COMPUTED_VALUE"""),32.774802)</f>
        <v>32.774802000000001</v>
      </c>
      <c r="AV2991" s="8">
        <f ca="1">IFERROR(__xludf.DUMMYFUNCTION("""COMPUTED_VALUE"""),-96.749339)</f>
        <v>-96.749339000000006</v>
      </c>
      <c r="AW2991" s="8"/>
      <c r="AX2991" s="8">
        <f ca="1">IFERROR(__xludf.DUMMYFUNCTION("""COMPUTED_VALUE"""),75210)</f>
        <v>75210</v>
      </c>
    </row>
    <row r="2992" spans="1:50" ht="30" x14ac:dyDescent="0.2">
      <c r="A2992" s="8" t="str">
        <f ca="1">IFERROR(__xludf.DUMMYFUNCTION("""COMPUTED_VALUE"""),"19780414MIFOD")</f>
        <v>19780414MIFOD</v>
      </c>
      <c r="B2992" s="8">
        <f ca="1">IFERROR(__xludf.DUMMYFUNCTION("""COMPUTED_VALUE"""),4)</f>
        <v>4</v>
      </c>
      <c r="C2992" s="8">
        <f ca="1">IFERROR(__xludf.DUMMYFUNCTION("""COMPUTED_VALUE"""),14)</f>
        <v>14</v>
      </c>
      <c r="D2992" s="8">
        <f ca="1">IFERROR(__xludf.DUMMYFUNCTION("""COMPUTED_VALUE"""),1978)</f>
        <v>1978</v>
      </c>
      <c r="E2992" s="9">
        <f ca="1">IFERROR(__xludf.DUMMYFUNCTION("""COMPUTED_VALUE"""),28594)</f>
        <v>28594</v>
      </c>
      <c r="F2992" s="8" t="str">
        <f ca="1">IFERROR(__xludf.DUMMYFUNCTION("""COMPUTED_VALUE"""),"Fordson High School")</f>
        <v>Fordson High School</v>
      </c>
      <c r="G2992" s="8">
        <f ca="1">IFERROR(__xludf.DUMMYFUNCTION("""COMPUTED_VALUE"""),0)</f>
        <v>0</v>
      </c>
      <c r="H2992" s="8">
        <f ca="1">IFERROR(__xludf.DUMMYFUNCTION("""COMPUTED_VALUE"""),1)</f>
        <v>1</v>
      </c>
      <c r="I2992" s="8">
        <f ca="1">IFERROR(__xludf.DUMMYFUNCTION("""COMPUTED_VALUE"""),1)</f>
        <v>1</v>
      </c>
      <c r="J2992" s="8">
        <f ca="1">IFERROR(__xludf.DUMMYFUNCTION("""COMPUTED_VALUE"""),0)</f>
        <v>0</v>
      </c>
      <c r="K2992" s="10" t="str">
        <f ca="1">IFERROR(__xludf.DUMMYFUNCTION("""COMPUTED_VALUE"""),"https://www.newspapers.com/image/98660556/?terms=school%2Bshooting")</f>
        <v>https://www.newspapers.com/image/98660556/?terms=school%2Bshooting</v>
      </c>
      <c r="L2992" s="8"/>
      <c r="M2992" s="8"/>
      <c r="N2992" s="8">
        <f ca="1">IFERROR(__xludf.DUMMYFUNCTION("""COMPUTED_VALUE"""),2)</f>
        <v>2</v>
      </c>
      <c r="O2992" s="8" t="str">
        <f ca="1">IFERROR(__xludf.DUMMYFUNCTION("""COMPUTED_VALUE"""),"Spring")</f>
        <v>Spring</v>
      </c>
      <c r="P2992" s="8" t="str">
        <f ca="1">IFERROR(__xludf.DUMMYFUNCTION("""COMPUTED_VALUE"""),"Detroit")</f>
        <v>Detroit</v>
      </c>
      <c r="Q2992" s="8" t="str">
        <f ca="1">IFERROR(__xludf.DUMMYFUNCTION("""COMPUTED_VALUE"""),"MI")</f>
        <v>MI</v>
      </c>
      <c r="R2992" s="8" t="str">
        <f ca="1">IFERROR(__xludf.DUMMYFUNCTION("""COMPUTED_VALUE"""),"High")</f>
        <v>High</v>
      </c>
      <c r="S2992" s="8" t="str">
        <f ca="1">IFERROR(__xludf.DUMMYFUNCTION("""COMPUTED_VALUE"""),"Gym")</f>
        <v>Gym</v>
      </c>
      <c r="T2992" s="8" t="str">
        <f ca="1">IFERROR(__xludf.DUMMYFUNCTION("""COMPUTED_VALUE"""),"Inside School Building")</f>
        <v>Inside School Building</v>
      </c>
      <c r="U2992" s="8" t="str">
        <f ca="1">IFERROR(__xludf.DUMMYFUNCTION("""COMPUTED_VALUE"""),"Yes")</f>
        <v>Yes</v>
      </c>
      <c r="V2992" s="8" t="str">
        <f ca="1">IFERROR(__xludf.DUMMYFUNCTION("""COMPUTED_VALUE"""),"Afternoon Classes")</f>
        <v>Afternoon Classes</v>
      </c>
      <c r="W2992" s="11">
        <f ca="1">IFERROR(__xludf.DUMMYFUNCTION("""COMPUTED_VALUE"""),0.5625)</f>
        <v>0.5625</v>
      </c>
      <c r="X2992" s="8">
        <f ca="1">IFERROR(__xludf.DUMMYFUNCTION("""COMPUTED_VALUE"""),1)</f>
        <v>1</v>
      </c>
      <c r="Y2992" s="12" t="str">
        <f ca="1">IFERROR(__xludf.DUMMYFUNCTION("""COMPUTED_VALUE"""),"Shot in head in locker room")</f>
        <v>Shot in head in locker room</v>
      </c>
      <c r="Z2992" s="12" t="str">
        <f ca="1">IFERROR(__xludf.DUMMYFUNCTION("""COMPUTED_VALUE"""),"16 year-old male student shot a 18 year-old male student in the head in the locker room. Motive unknown.")</f>
        <v>16 year-old male student shot a 18 year-old male student in the head in the locker room. Motive unknown.</v>
      </c>
      <c r="AA2992" s="8" t="str">
        <f ca="1">IFERROR(__xludf.DUMMYFUNCTION("""COMPUTED_VALUE"""),"Escalation of Dispute")</f>
        <v>Escalation of Dispute</v>
      </c>
      <c r="AB2992" s="8"/>
      <c r="AC2992" s="8"/>
      <c r="AD2992" s="8" t="str">
        <f ca="1">IFERROR(__xludf.DUMMYFUNCTION("""COMPUTED_VALUE"""),"Victims Targeted")</f>
        <v>Victims Targeted</v>
      </c>
      <c r="AE2992" s="8" t="str">
        <f ca="1">IFERROR(__xludf.DUMMYFUNCTION("""COMPUTED_VALUE"""),"No")</f>
        <v>No</v>
      </c>
      <c r="AF2992" s="8"/>
      <c r="AG2992" s="8" t="str">
        <f ca="1">IFERROR(__xludf.DUMMYFUNCTION("""COMPUTED_VALUE"""),"No")</f>
        <v>No</v>
      </c>
      <c r="AH2992" s="8" t="str">
        <f ca="1">IFERROR(__xludf.DUMMYFUNCTION("""COMPUTED_VALUE"""),"No")</f>
        <v>No</v>
      </c>
      <c r="AI2992" s="8" t="str">
        <f ca="1">IFERROR(__xludf.DUMMYFUNCTION("""COMPUTED_VALUE"""),"No")</f>
        <v>No</v>
      </c>
      <c r="AJ2992" s="8"/>
      <c r="AK2992" s="8"/>
      <c r="AL2992" s="8"/>
      <c r="AM2992" s="8"/>
      <c r="AN2992" s="8"/>
      <c r="AO2992" s="8" t="str">
        <f ca="1">IFERROR(__xludf.DUMMYFUNCTION("""COMPUTED_VALUE"""),"No")</f>
        <v>No</v>
      </c>
      <c r="AP2992" s="8"/>
      <c r="AQ2992" s="8" t="str">
        <f ca="1">IFERROR(__xludf.DUMMYFUNCTION("""COMPUTED_VALUE"""),"Unknown")</f>
        <v>Unknown</v>
      </c>
      <c r="AR2992" s="8" t="str">
        <f ca="1">IFERROR(__xludf.DUMMYFUNCTION("""COMPUTED_VALUE"""),"NA")</f>
        <v>NA</v>
      </c>
      <c r="AS2992" s="8"/>
      <c r="AT2992" s="8"/>
      <c r="AU2992" s="8">
        <f ca="1">IFERROR(__xludf.DUMMYFUNCTION("""COMPUTED_VALUE"""),42.330603)</f>
        <v>42.330603000000004</v>
      </c>
      <c r="AV2992" s="8">
        <f ca="1">IFERROR(__xludf.DUMMYFUNCTION("""COMPUTED_VALUE"""),-83.178169)</f>
        <v>-83.178168999999997</v>
      </c>
      <c r="AW2992" s="8"/>
      <c r="AX2992" s="8">
        <f ca="1">IFERROR(__xludf.DUMMYFUNCTION("""COMPUTED_VALUE"""),48126)</f>
        <v>48126</v>
      </c>
    </row>
    <row r="2993" spans="1:50" ht="75" x14ac:dyDescent="0.2">
      <c r="A2993" s="8" t="str">
        <f ca="1">IFERROR(__xludf.DUMMYFUNCTION("""COMPUTED_VALUE"""),"19780329TNGAN")</f>
        <v>19780329TNGAN</v>
      </c>
      <c r="B2993" s="8">
        <f ca="1">IFERROR(__xludf.DUMMYFUNCTION("""COMPUTED_VALUE"""),3)</f>
        <v>3</v>
      </c>
      <c r="C2993" s="8">
        <f ca="1">IFERROR(__xludf.DUMMYFUNCTION("""COMPUTED_VALUE"""),29)</f>
        <v>29</v>
      </c>
      <c r="D2993" s="8">
        <f ca="1">IFERROR(__xludf.DUMMYFUNCTION("""COMPUTED_VALUE"""),1978)</f>
        <v>1978</v>
      </c>
      <c r="E2993" s="9">
        <f ca="1">IFERROR(__xludf.DUMMYFUNCTION("""COMPUTED_VALUE"""),28578)</f>
        <v>28578</v>
      </c>
      <c r="F2993" s="8" t="str">
        <f ca="1">IFERROR(__xludf.DUMMYFUNCTION("""COMPUTED_VALUE"""),"Gallatin Junior High School")</f>
        <v>Gallatin Junior High School</v>
      </c>
      <c r="G2993" s="8">
        <f ca="1">IFERROR(__xludf.DUMMYFUNCTION("""COMPUTED_VALUE"""),0)</f>
        <v>0</v>
      </c>
      <c r="H2993" s="8">
        <f ca="1">IFERROR(__xludf.DUMMYFUNCTION("""COMPUTED_VALUE"""),1)</f>
        <v>1</v>
      </c>
      <c r="I2993" s="8">
        <f ca="1">IFERROR(__xludf.DUMMYFUNCTION("""COMPUTED_VALUE"""),1)</f>
        <v>1</v>
      </c>
      <c r="J2993" s="8">
        <f ca="1">IFERROR(__xludf.DUMMYFUNCTION("""COMPUTED_VALUE"""),0)</f>
        <v>0</v>
      </c>
      <c r="K2993" s="10" t="str">
        <f ca="1">IFERROR(__xludf.DUMMYFUNCTION("""COMPUTED_VALUE"""),"https://www.newspapers.com/image/111103679/?terms=school%2Bshooting")</f>
        <v>https://www.newspapers.com/image/111103679/?terms=school%2Bshooting</v>
      </c>
      <c r="L2993" s="8"/>
      <c r="M2993" s="8"/>
      <c r="N2993" s="8">
        <f ca="1">IFERROR(__xludf.DUMMYFUNCTION("""COMPUTED_VALUE"""),2)</f>
        <v>2</v>
      </c>
      <c r="O2993" s="8" t="str">
        <f ca="1">IFERROR(__xludf.DUMMYFUNCTION("""COMPUTED_VALUE"""),"Spring")</f>
        <v>Spring</v>
      </c>
      <c r="P2993" s="8" t="str">
        <f ca="1">IFERROR(__xludf.DUMMYFUNCTION("""COMPUTED_VALUE"""),"Nashville")</f>
        <v>Nashville</v>
      </c>
      <c r="Q2993" s="8" t="str">
        <f ca="1">IFERROR(__xludf.DUMMYFUNCTION("""COMPUTED_VALUE"""),"TN")</f>
        <v>TN</v>
      </c>
      <c r="R2993" s="8" t="str">
        <f ca="1">IFERROR(__xludf.DUMMYFUNCTION("""COMPUTED_VALUE"""),"Junior High")</f>
        <v>Junior High</v>
      </c>
      <c r="S2993" s="8" t="str">
        <f ca="1">IFERROR(__xludf.DUMMYFUNCTION("""COMPUTED_VALUE"""),"Office")</f>
        <v>Office</v>
      </c>
      <c r="T2993" s="8" t="str">
        <f ca="1">IFERROR(__xludf.DUMMYFUNCTION("""COMPUTED_VALUE"""),"Inside School Building")</f>
        <v>Inside School Building</v>
      </c>
      <c r="U2993" s="8" t="str">
        <f ca="1">IFERROR(__xludf.DUMMYFUNCTION("""COMPUTED_VALUE"""),"No")</f>
        <v>No</v>
      </c>
      <c r="V2993" s="8" t="str">
        <f ca="1">IFERROR(__xludf.DUMMYFUNCTION("""COMPUTED_VALUE"""),"After School")</f>
        <v>After School</v>
      </c>
      <c r="W2993" s="8"/>
      <c r="X2993" s="8">
        <f ca="1">IFERROR(__xludf.DUMMYFUNCTION("""COMPUTED_VALUE"""),1)</f>
        <v>1</v>
      </c>
      <c r="Y2993" s="12" t="str">
        <f ca="1">IFERROR(__xludf.DUMMYFUNCTION("""COMPUTED_VALUE"""),"Principal shot at parent after he was called racial slur and fear they would attack him")</f>
        <v>Principal shot at parent after he was called racial slur and fear they would attack him</v>
      </c>
      <c r="Z2993" s="12" t="str">
        <f ca="1">IFERROR(__xludf.DUMMYFUNCTION("""COMPUTED_VALUE"""),"Parent was upset over discipline of child. During meeting with assistant principal, the parent allegedly called the assistant principal a N----r. Assistant principal feared he would be attacked by father, student, and student's brother so he fired at them"&amp;".")</f>
        <v>Parent was upset over discipline of child. During meeting with assistant principal, the parent allegedly called the assistant principal a N----r. Assistant principal feared he would be attacked by father, student, and student's brother so he fired at them.</v>
      </c>
      <c r="AA2993" s="8" t="str">
        <f ca="1">IFERROR(__xludf.DUMMYFUNCTION("""COMPUTED_VALUE"""),"Racial")</f>
        <v>Racial</v>
      </c>
      <c r="AB2993" s="8"/>
      <c r="AC2993" s="8"/>
      <c r="AD2993" s="8" t="str">
        <f ca="1">IFERROR(__xludf.DUMMYFUNCTION("""COMPUTED_VALUE"""),"Victims Targeted")</f>
        <v>Victims Targeted</v>
      </c>
      <c r="AE2993" s="8"/>
      <c r="AF2993" s="8"/>
      <c r="AG2993" s="8" t="str">
        <f ca="1">IFERROR(__xludf.DUMMYFUNCTION("""COMPUTED_VALUE"""),"No")</f>
        <v>No</v>
      </c>
      <c r="AH2993" s="8" t="str">
        <f ca="1">IFERROR(__xludf.DUMMYFUNCTION("""COMPUTED_VALUE"""),"No")</f>
        <v>No</v>
      </c>
      <c r="AI2993" s="8" t="str">
        <f ca="1">IFERROR(__xludf.DUMMYFUNCTION("""COMPUTED_VALUE"""),"No")</f>
        <v>No</v>
      </c>
      <c r="AJ2993" s="8" t="str">
        <f ca="1">IFERROR(__xludf.DUMMYFUNCTION("""COMPUTED_VALUE"""),"No")</f>
        <v>No</v>
      </c>
      <c r="AK2993" s="8" t="str">
        <f ca="1">IFERROR(__xludf.DUMMYFUNCTION("""COMPUTED_VALUE"""),"No")</f>
        <v>No</v>
      </c>
      <c r="AL2993" s="8" t="str">
        <f ca="1">IFERROR(__xludf.DUMMYFUNCTION("""COMPUTED_VALUE"""),"No")</f>
        <v>No</v>
      </c>
      <c r="AM2993" s="8"/>
      <c r="AN2993" s="8"/>
      <c r="AO2993" s="8" t="str">
        <f ca="1">IFERROR(__xludf.DUMMYFUNCTION("""COMPUTED_VALUE"""),"No")</f>
        <v>No</v>
      </c>
      <c r="AP2993" s="8"/>
      <c r="AQ2993" s="8" t="str">
        <f ca="1">IFERROR(__xludf.DUMMYFUNCTION("""COMPUTED_VALUE"""),"Unknown")</f>
        <v>Unknown</v>
      </c>
      <c r="AR2993" s="8" t="str">
        <f ca="1">IFERROR(__xludf.DUMMYFUNCTION("""COMPUTED_VALUE"""),"NA")</f>
        <v>NA</v>
      </c>
      <c r="AS2993" s="8"/>
      <c r="AT2993" s="8"/>
      <c r="AU2993" s="8">
        <f ca="1">IFERROR(__xludf.DUMMYFUNCTION("""COMPUTED_VALUE"""),36.1626638)</f>
        <v>36.162663799999997</v>
      </c>
      <c r="AV2993" s="8">
        <f ca="1">IFERROR(__xludf.DUMMYFUNCTION("""COMPUTED_VALUE"""),-86.7816016)</f>
        <v>-86.781601600000002</v>
      </c>
      <c r="AW2993" s="8"/>
      <c r="AX2993" s="8">
        <f ca="1">IFERROR(__xludf.DUMMYFUNCTION("""COMPUTED_VALUE"""),37219)</f>
        <v>37219</v>
      </c>
    </row>
    <row r="2994" spans="1:50" ht="120" x14ac:dyDescent="0.2">
      <c r="A2994" s="8" t="str">
        <f ca="1">IFERROR(__xludf.DUMMYFUNCTION("""COMPUTED_VALUE"""),"19780309CAMOS")</f>
        <v>19780309CAMOS</v>
      </c>
      <c r="B2994" s="8">
        <f ca="1">IFERROR(__xludf.DUMMYFUNCTION("""COMPUTED_VALUE"""),3)</f>
        <v>3</v>
      </c>
      <c r="C2994" s="8">
        <f ca="1">IFERROR(__xludf.DUMMYFUNCTION("""COMPUTED_VALUE"""),9)</f>
        <v>9</v>
      </c>
      <c r="D2994" s="8">
        <f ca="1">IFERROR(__xludf.DUMMYFUNCTION("""COMPUTED_VALUE"""),1978)</f>
        <v>1978</v>
      </c>
      <c r="E2994" s="9">
        <f ca="1">IFERROR(__xludf.DUMMYFUNCTION("""COMPUTED_VALUE"""),28558)</f>
        <v>28558</v>
      </c>
      <c r="F2994" s="8" t="str">
        <f ca="1">IFERROR(__xludf.DUMMYFUNCTION("""COMPUTED_VALUE"""),"Monroe Elementary School")</f>
        <v>Monroe Elementary School</v>
      </c>
      <c r="G2994" s="8">
        <f ca="1">IFERROR(__xludf.DUMMYFUNCTION("""COMPUTED_VALUE"""),0)</f>
        <v>0</v>
      </c>
      <c r="H2994" s="8">
        <f ca="1">IFERROR(__xludf.DUMMYFUNCTION("""COMPUTED_VALUE"""),1)</f>
        <v>1</v>
      </c>
      <c r="I2994" s="8">
        <f ca="1">IFERROR(__xludf.DUMMYFUNCTION("""COMPUTED_VALUE"""),1)</f>
        <v>1</v>
      </c>
      <c r="J2994" s="8">
        <f ca="1">IFERROR(__xludf.DUMMYFUNCTION("""COMPUTED_VALUE"""),0)</f>
        <v>0</v>
      </c>
      <c r="K2994" s="10" t="str">
        <f ca="1">IFERROR(__xludf.DUMMYFUNCTION("""COMPUTED_VALUE"""),"https://www.newspapers.com/image/295196725/")</f>
        <v>https://www.newspapers.com/image/295196725/</v>
      </c>
      <c r="L2994" s="8"/>
      <c r="M2994" s="8"/>
      <c r="N2994" s="8">
        <f ca="1">IFERROR(__xludf.DUMMYFUNCTION("""COMPUTED_VALUE"""),2)</f>
        <v>2</v>
      </c>
      <c r="O2994" s="8" t="str">
        <f ca="1">IFERROR(__xludf.DUMMYFUNCTION("""COMPUTED_VALUE"""),"Spring")</f>
        <v>Spring</v>
      </c>
      <c r="P2994" s="8" t="str">
        <f ca="1">IFERROR(__xludf.DUMMYFUNCTION("""COMPUTED_VALUE"""),"Santa Rosa")</f>
        <v>Santa Rosa</v>
      </c>
      <c r="Q2994" s="8" t="str">
        <f ca="1">IFERROR(__xludf.DUMMYFUNCTION("""COMPUTED_VALUE"""),"CA")</f>
        <v>CA</v>
      </c>
      <c r="R2994" s="8" t="str">
        <f ca="1">IFERROR(__xludf.DUMMYFUNCTION("""COMPUTED_VALUE"""),"Elementary")</f>
        <v>Elementary</v>
      </c>
      <c r="S2994" s="8" t="str">
        <f ca="1">IFERROR(__xludf.DUMMYFUNCTION("""COMPUTED_VALUE"""),"Classroom")</f>
        <v>Classroom</v>
      </c>
      <c r="T2994" s="8" t="str">
        <f ca="1">IFERROR(__xludf.DUMMYFUNCTION("""COMPUTED_VALUE"""),"Inside School Building")</f>
        <v>Inside School Building</v>
      </c>
      <c r="U2994" s="8" t="str">
        <f ca="1">IFERROR(__xludf.DUMMYFUNCTION("""COMPUTED_VALUE"""),"Yes")</f>
        <v>Yes</v>
      </c>
      <c r="V2994" s="8" t="str">
        <f ca="1">IFERROR(__xludf.DUMMYFUNCTION("""COMPUTED_VALUE"""),"Morning Classes")</f>
        <v>Morning Classes</v>
      </c>
      <c r="W2994" s="8"/>
      <c r="X2994" s="8">
        <f ca="1">IFERROR(__xludf.DUMMYFUNCTION("""COMPUTED_VALUE"""),1)</f>
        <v>1</v>
      </c>
      <c r="Y2994" s="12" t="str">
        <f ca="1">IFERROR(__xludf.DUMMYFUNCTION("""COMPUTED_VALUE"""),"Student struck in classroom, teen was shooting at cans hundreds of yards away")</f>
        <v>Student struck in classroom, teen was shooting at cans hundreds of yards away</v>
      </c>
      <c r="Z2994" s="12" t="str">
        <f ca="1">IFERROR(__xludf.DUMMYFUNCTION("""COMPUTED_VALUE"""),"Victim was sitting in elementary school classroom and felt pain. Student went to teacher for help and the teacher realized the student had been struck by a bullet. Police found a hole in the wall. Police questioned nearby residents and discovered a 14 yea"&amp;"r-old male was shooting at cans in a creek bed hundreds of yards away. Round likely deflected, went through classroom wall, and struck student. No charges were filed.")</f>
        <v>Victim was sitting in elementary school classroom and felt pain. Student went to teacher for help and the teacher realized the student had been struck by a bullet. Police found a hole in the wall. Police questioned nearby residents and discovered a 14 year-old male was shooting at cans in a creek bed hundreds of yards away. Round likely deflected, went through classroom wall, and struck student. No charges were filed.</v>
      </c>
      <c r="AA2994" s="8" t="str">
        <f ca="1">IFERROR(__xludf.DUMMYFUNCTION("""COMPUTED_VALUE"""),"Accidental")</f>
        <v>Accidental</v>
      </c>
      <c r="AB2994" s="8"/>
      <c r="AC2994" s="8"/>
      <c r="AD2994" s="8" t="str">
        <f ca="1">IFERROR(__xludf.DUMMYFUNCTION("""COMPUTED_VALUE"""),"Random Shooting")</f>
        <v>Random Shooting</v>
      </c>
      <c r="AE2994" s="8"/>
      <c r="AF2994" s="8"/>
      <c r="AG2994" s="8" t="str">
        <f ca="1">IFERROR(__xludf.DUMMYFUNCTION("""COMPUTED_VALUE"""),"No")</f>
        <v>No</v>
      </c>
      <c r="AH2994" s="8" t="str">
        <f ca="1">IFERROR(__xludf.DUMMYFUNCTION("""COMPUTED_VALUE"""),"No")</f>
        <v>No</v>
      </c>
      <c r="AI2994" s="8" t="str">
        <f ca="1">IFERROR(__xludf.DUMMYFUNCTION("""COMPUTED_VALUE"""),"No")</f>
        <v>No</v>
      </c>
      <c r="AJ2994" s="8" t="str">
        <f ca="1">IFERROR(__xludf.DUMMYFUNCTION("""COMPUTED_VALUE"""),"No")</f>
        <v>No</v>
      </c>
      <c r="AK2994" s="8" t="str">
        <f ca="1">IFERROR(__xludf.DUMMYFUNCTION("""COMPUTED_VALUE"""),"No")</f>
        <v>No</v>
      </c>
      <c r="AL2994" s="8" t="str">
        <f ca="1">IFERROR(__xludf.DUMMYFUNCTION("""COMPUTED_VALUE"""),"No")</f>
        <v>No</v>
      </c>
      <c r="AM2994" s="8"/>
      <c r="AN2994" s="8"/>
      <c r="AO2994" s="8" t="str">
        <f ca="1">IFERROR(__xludf.DUMMYFUNCTION("""COMPUTED_VALUE"""),"No")</f>
        <v>No</v>
      </c>
      <c r="AP2994" s="8" t="str">
        <f ca="1">IFERROR(__xludf.DUMMYFUNCTION("""COMPUTED_VALUE"""),"No")</f>
        <v>No</v>
      </c>
      <c r="AQ2994" s="8" t="str">
        <f ca="1">IFERROR(__xludf.DUMMYFUNCTION("""COMPUTED_VALUE"""),"None")</f>
        <v>None</v>
      </c>
      <c r="AR2994" s="8" t="str">
        <f ca="1">IFERROR(__xludf.DUMMYFUNCTION("""COMPUTED_VALUE"""),"NA")</f>
        <v>NA</v>
      </c>
      <c r="AS2994" s="8">
        <f ca="1">IFERROR(__xludf.DUMMYFUNCTION("""COMPUTED_VALUE"""),1)</f>
        <v>1</v>
      </c>
      <c r="AT2994" s="8" t="str">
        <f ca="1">IFERROR(__xludf.DUMMYFUNCTION("""COMPUTED_VALUE"""),"No")</f>
        <v>No</v>
      </c>
      <c r="AU2994" s="8">
        <f ca="1">IFERROR(__xludf.DUMMYFUNCTION("""COMPUTED_VALUE"""),38.45612)</f>
        <v>38.456119999999999</v>
      </c>
      <c r="AV2994" s="8">
        <f ca="1">IFERROR(__xludf.DUMMYFUNCTION("""COMPUTED_VALUE"""),-122.752621)</f>
        <v>-122.752621</v>
      </c>
      <c r="AW2994" s="8"/>
      <c r="AX2994" s="8">
        <f ca="1">IFERROR(__xludf.DUMMYFUNCTION("""COMPUTED_VALUE"""),95403)</f>
        <v>95403</v>
      </c>
    </row>
    <row r="2995" spans="1:50" ht="60" x14ac:dyDescent="0.2">
      <c r="A2995" s="8" t="str">
        <f ca="1">IFERROR(__xludf.DUMMYFUNCTION("""COMPUTED_VALUE"""),"19780222MIEVL")</f>
        <v>19780222MIEVL</v>
      </c>
      <c r="B2995" s="8">
        <f ca="1">IFERROR(__xludf.DUMMYFUNCTION("""COMPUTED_VALUE"""),2)</f>
        <v>2</v>
      </c>
      <c r="C2995" s="8">
        <f ca="1">IFERROR(__xludf.DUMMYFUNCTION("""COMPUTED_VALUE"""),22)</f>
        <v>22</v>
      </c>
      <c r="D2995" s="8">
        <f ca="1">IFERROR(__xludf.DUMMYFUNCTION("""COMPUTED_VALUE"""),1978)</f>
        <v>1978</v>
      </c>
      <c r="E2995" s="9">
        <f ca="1">IFERROR(__xludf.DUMMYFUNCTION("""COMPUTED_VALUE"""),28543)</f>
        <v>28543</v>
      </c>
      <c r="F2995" s="8" t="str">
        <f ca="1">IFERROR(__xludf.DUMMYFUNCTION("""COMPUTED_VALUE"""),"Everett High School")</f>
        <v>Everett High School</v>
      </c>
      <c r="G2995" s="8">
        <f ca="1">IFERROR(__xludf.DUMMYFUNCTION("""COMPUTED_VALUE"""),1)</f>
        <v>1</v>
      </c>
      <c r="H2995" s="8">
        <f ca="1">IFERROR(__xludf.DUMMYFUNCTION("""COMPUTED_VALUE"""),1)</f>
        <v>1</v>
      </c>
      <c r="I2995" s="8">
        <f ca="1">IFERROR(__xludf.DUMMYFUNCTION("""COMPUTED_VALUE"""),2)</f>
        <v>2</v>
      </c>
      <c r="J2995" s="8">
        <f ca="1">IFERROR(__xludf.DUMMYFUNCTION("""COMPUTED_VALUE"""),0)</f>
        <v>0</v>
      </c>
      <c r="K2995" s="10" t="str">
        <f ca="1">IFERROR(__xludf.DUMMYFUNCTION("""COMPUTED_VALUE"""),"https://www.newspapers.com/newspage/207607604/")</f>
        <v>https://www.newspapers.com/newspage/207607604/</v>
      </c>
      <c r="L2995" s="8"/>
      <c r="M2995" s="8"/>
      <c r="N2995" s="8">
        <f ca="1">IFERROR(__xludf.DUMMYFUNCTION("""COMPUTED_VALUE"""),2)</f>
        <v>2</v>
      </c>
      <c r="O2995" s="8" t="str">
        <f ca="1">IFERROR(__xludf.DUMMYFUNCTION("""COMPUTED_VALUE"""),"Winter")</f>
        <v>Winter</v>
      </c>
      <c r="P2995" s="8" t="str">
        <f ca="1">IFERROR(__xludf.DUMMYFUNCTION("""COMPUTED_VALUE"""),"Lansing")</f>
        <v>Lansing</v>
      </c>
      <c r="Q2995" s="8" t="str">
        <f ca="1">IFERROR(__xludf.DUMMYFUNCTION("""COMPUTED_VALUE"""),"MI")</f>
        <v>MI</v>
      </c>
      <c r="R2995" s="8" t="str">
        <f ca="1">IFERROR(__xludf.DUMMYFUNCTION("""COMPUTED_VALUE"""),"High")</f>
        <v>High</v>
      </c>
      <c r="S2995" s="8" t="str">
        <f ca="1">IFERROR(__xludf.DUMMYFUNCTION("""COMPUTED_VALUE"""),"Hallway")</f>
        <v>Hallway</v>
      </c>
      <c r="T2995" s="8" t="str">
        <f ca="1">IFERROR(__xludf.DUMMYFUNCTION("""COMPUTED_VALUE"""),"Inside School Building")</f>
        <v>Inside School Building</v>
      </c>
      <c r="U2995" s="8" t="str">
        <f ca="1">IFERROR(__xludf.DUMMYFUNCTION("""COMPUTED_VALUE"""),"Yes")</f>
        <v>Yes</v>
      </c>
      <c r="V2995" s="8" t="str">
        <f ca="1">IFERROR(__xludf.DUMMYFUNCTION("""COMPUTED_VALUE"""),"Afternoon Classes")</f>
        <v>Afternoon Classes</v>
      </c>
      <c r="W2995" s="11">
        <f ca="1">IFERROR(__xludf.DUMMYFUNCTION("""COMPUTED_VALUE"""),0.625)</f>
        <v>0.625</v>
      </c>
      <c r="X2995" s="8">
        <f ca="1">IFERROR(__xludf.DUMMYFUNCTION("""COMPUTED_VALUE"""),1)</f>
        <v>1</v>
      </c>
      <c r="Y2995" s="12" t="str">
        <f ca="1">IFERROR(__xludf.DUMMYFUNCTION("""COMPUTED_VALUE"""),"Bullying, shooter was self-proclaimed Nazi, taunted for beliefs")</f>
        <v>Bullying, shooter was self-proclaimed Nazi, taunted for beliefs</v>
      </c>
      <c r="Z2995" s="12" t="str">
        <f ca="1">IFERROR(__xludf.DUMMYFUNCTION("""COMPUTED_VALUE"""),"Shooter shot two students in the hallway of the school then handed the gun to a teacher. Shooter said he was tired of being bullied by the two students he shot.")</f>
        <v>Shooter shot two students in the hallway of the school then handed the gun to a teacher. Shooter said he was tired of being bullied by the two students he shot.</v>
      </c>
      <c r="AA2995" s="8" t="str">
        <f ca="1">IFERROR(__xludf.DUMMYFUNCTION("""COMPUTED_VALUE"""),"Bullying")</f>
        <v>Bullying</v>
      </c>
      <c r="AB2995" s="8"/>
      <c r="AC2995" s="8"/>
      <c r="AD2995" s="8" t="str">
        <f ca="1">IFERROR(__xludf.DUMMYFUNCTION("""COMPUTED_VALUE"""),"Victims Targeted")</f>
        <v>Victims Targeted</v>
      </c>
      <c r="AE2995" s="8" t="str">
        <f ca="1">IFERROR(__xludf.DUMMYFUNCTION("""COMPUTED_VALUE"""),"No")</f>
        <v>No</v>
      </c>
      <c r="AF2995" s="8"/>
      <c r="AG2995" s="8" t="str">
        <f ca="1">IFERROR(__xludf.DUMMYFUNCTION("""COMPUTED_VALUE"""),"No")</f>
        <v>No</v>
      </c>
      <c r="AH2995" s="8" t="str">
        <f ca="1">IFERROR(__xludf.DUMMYFUNCTION("""COMPUTED_VALUE"""),"No")</f>
        <v>No</v>
      </c>
      <c r="AI2995" s="8" t="str">
        <f ca="1">IFERROR(__xludf.DUMMYFUNCTION("""COMPUTED_VALUE"""),"No")</f>
        <v>No</v>
      </c>
      <c r="AJ2995" s="8" t="str">
        <f ca="1">IFERROR(__xludf.DUMMYFUNCTION("""COMPUTED_VALUE"""),"Yes")</f>
        <v>Yes</v>
      </c>
      <c r="AK2995" s="8" t="str">
        <f ca="1">IFERROR(__xludf.DUMMYFUNCTION("""COMPUTED_VALUE"""),"No")</f>
        <v>No</v>
      </c>
      <c r="AL2995" s="8" t="str">
        <f ca="1">IFERROR(__xludf.DUMMYFUNCTION("""COMPUTED_VALUE"""),"No")</f>
        <v>No</v>
      </c>
      <c r="AM2995" s="8" t="str">
        <f ca="1">IFERROR(__xludf.DUMMYFUNCTION("""COMPUTED_VALUE"""),"Yes")</f>
        <v>Yes</v>
      </c>
      <c r="AN2995" s="8" t="str">
        <f ca="1">IFERROR(__xludf.DUMMYFUNCTION("""COMPUTED_VALUE"""),"Hallway")</f>
        <v>Hallway</v>
      </c>
      <c r="AO2995" s="8" t="str">
        <f ca="1">IFERROR(__xludf.DUMMYFUNCTION("""COMPUTED_VALUE"""),"No")</f>
        <v>No</v>
      </c>
      <c r="AP2995" s="8" t="str">
        <f ca="1">IFERROR(__xludf.DUMMYFUNCTION("""COMPUTED_VALUE"""),"No")</f>
        <v>No</v>
      </c>
      <c r="AQ2995" s="8" t="str">
        <f ca="1">IFERROR(__xludf.DUMMYFUNCTION("""COMPUTED_VALUE"""),"None")</f>
        <v>None</v>
      </c>
      <c r="AR2995" s="8" t="str">
        <f ca="1">IFERROR(__xludf.DUMMYFUNCTION("""COMPUTED_VALUE"""),"NA")</f>
        <v>NA</v>
      </c>
      <c r="AS2995" s="8" t="str">
        <f ca="1">IFERROR(__xludf.DUMMYFUNCTION("""COMPUTED_VALUE"""),"&lt;5")</f>
        <v>&lt;5</v>
      </c>
      <c r="AT2995" s="8"/>
      <c r="AU2995" s="8">
        <f ca="1">IFERROR(__xludf.DUMMYFUNCTION("""COMPUTED_VALUE"""),42.69293)</f>
        <v>42.692929999999997</v>
      </c>
      <c r="AV2995" s="8">
        <f ca="1">IFERROR(__xludf.DUMMYFUNCTION("""COMPUTED_VALUE"""),-84.556661)</f>
        <v>-84.556661000000005</v>
      </c>
      <c r="AW2995" s="8"/>
      <c r="AX2995" s="8">
        <f ca="1">IFERROR(__xludf.DUMMYFUNCTION("""COMPUTED_VALUE"""),48910)</f>
        <v>48910</v>
      </c>
    </row>
    <row r="2996" spans="1:50" ht="105" x14ac:dyDescent="0.2">
      <c r="A2996" s="8" t="str">
        <f ca="1">IFERROR(__xludf.DUMMYFUNCTION("""COMPUTED_VALUE"""),"19780209WVHAS")</f>
        <v>19780209WVHAS</v>
      </c>
      <c r="B2996" s="8">
        <f ca="1">IFERROR(__xludf.DUMMYFUNCTION("""COMPUTED_VALUE"""),2)</f>
        <v>2</v>
      </c>
      <c r="C2996" s="8">
        <f ca="1">IFERROR(__xludf.DUMMYFUNCTION("""COMPUTED_VALUE"""),9)</f>
        <v>9</v>
      </c>
      <c r="D2996" s="8">
        <f ca="1">IFERROR(__xludf.DUMMYFUNCTION("""COMPUTED_VALUE"""),1978)</f>
        <v>1978</v>
      </c>
      <c r="E2996" s="9">
        <f ca="1">IFERROR(__xludf.DUMMYFUNCTION("""COMPUTED_VALUE"""),28530)</f>
        <v>28530</v>
      </c>
      <c r="F2996" s="8" t="str">
        <f ca="1">IFERROR(__xludf.DUMMYFUNCTION("""COMPUTED_VALUE"""),"Hayes Junior High School")</f>
        <v>Hayes Junior High School</v>
      </c>
      <c r="G2996" s="8">
        <f ca="1">IFERROR(__xludf.DUMMYFUNCTION("""COMPUTED_VALUE"""),1)</f>
        <v>1</v>
      </c>
      <c r="H2996" s="8">
        <f ca="1">IFERROR(__xludf.DUMMYFUNCTION("""COMPUTED_VALUE"""),0)</f>
        <v>0</v>
      </c>
      <c r="I2996" s="8">
        <f ca="1">IFERROR(__xludf.DUMMYFUNCTION("""COMPUTED_VALUE"""),1)</f>
        <v>1</v>
      </c>
      <c r="J2996" s="8">
        <f ca="1">IFERROR(__xludf.DUMMYFUNCTION("""COMPUTED_VALUE"""),0)</f>
        <v>0</v>
      </c>
      <c r="K2996" s="10" t="str">
        <f ca="1">IFERROR(__xludf.DUMMYFUNCTION("""COMPUTED_VALUE"""),"https://www.wvgazettemail.com/news/cops_and_courts/before-school-shooting-became-a-common-term-junior-high-killing/article_6db5ead9-22c2-5c2c-8b56-32a110e4df26.html")</f>
        <v>https://www.wvgazettemail.com/news/cops_and_courts/before-school-shooting-became-a-common-term-junior-high-killing/article_6db5ead9-22c2-5c2c-8b56-32a110e4df26.html</v>
      </c>
      <c r="L2996" s="8"/>
      <c r="M2996" s="8"/>
      <c r="N2996" s="8">
        <f ca="1">IFERROR(__xludf.DUMMYFUNCTION("""COMPUTED_VALUE"""),2)</f>
        <v>2</v>
      </c>
      <c r="O2996" s="8" t="str">
        <f ca="1">IFERROR(__xludf.DUMMYFUNCTION("""COMPUTED_VALUE"""),"Winter")</f>
        <v>Winter</v>
      </c>
      <c r="P2996" s="8" t="str">
        <f ca="1">IFERROR(__xludf.DUMMYFUNCTION("""COMPUTED_VALUE"""),"St. Albans")</f>
        <v>St. Albans</v>
      </c>
      <c r="Q2996" s="8" t="str">
        <f ca="1">IFERROR(__xludf.DUMMYFUNCTION("""COMPUTED_VALUE"""),"WV")</f>
        <v>WV</v>
      </c>
      <c r="R2996" s="8" t="str">
        <f ca="1">IFERROR(__xludf.DUMMYFUNCTION("""COMPUTED_VALUE"""),"Junior High")</f>
        <v>Junior High</v>
      </c>
      <c r="S2996" s="8" t="str">
        <f ca="1">IFERROR(__xludf.DUMMYFUNCTION("""COMPUTED_VALUE"""),"Hallway")</f>
        <v>Hallway</v>
      </c>
      <c r="T2996" s="8" t="str">
        <f ca="1">IFERROR(__xludf.DUMMYFUNCTION("""COMPUTED_VALUE"""),"Inside School Building")</f>
        <v>Inside School Building</v>
      </c>
      <c r="U2996" s="8" t="str">
        <f ca="1">IFERROR(__xludf.DUMMYFUNCTION("""COMPUTED_VALUE"""),"Yes")</f>
        <v>Yes</v>
      </c>
      <c r="V2996" s="8" t="str">
        <f ca="1">IFERROR(__xludf.DUMMYFUNCTION("""COMPUTED_VALUE"""),"Morning Classes")</f>
        <v>Morning Classes</v>
      </c>
      <c r="W2996" s="11">
        <f ca="1">IFERROR(__xludf.DUMMYFUNCTION("""COMPUTED_VALUE"""),0.333333333333333)</f>
        <v>0.33333333333333298</v>
      </c>
      <c r="X2996" s="8">
        <f ca="1">IFERROR(__xludf.DUMMYFUNCTION("""COMPUTED_VALUE"""),1)</f>
        <v>1</v>
      </c>
      <c r="Y2996" s="12" t="str">
        <f ca="1">IFERROR(__xludf.DUMMYFUNCTION("""COMPUTED_VALUE"""),"Ongoing fights and bullying between shooter and victim")</f>
        <v>Ongoing fights and bullying between shooter and victim</v>
      </c>
      <c r="Z2996" s="12" t="str">
        <f ca="1">IFERROR(__xludf.DUMMYFUNCTION("""COMPUTED_VALUE"""),"A 14 year-old male student (victim: Arthur Clinton Smith) pushed the shooter into a locker. It was the catalyst that led the shooter to pull out a handgun and fire three shots at the victim. The victim had bullied the shooter and the shooter had threateni"&amp;"ng to kill them if the harassment continued. Shooter fired 3 rounds at the victim near the school gym and then fled the scene.")</f>
        <v>A 14 year-old male student (victim: Arthur Clinton Smith) pushed the shooter into a locker. It was the catalyst that led the shooter to pull out a handgun and fire three shots at the victim. The victim had bullied the shooter and the shooter had threatening to kill them if the harassment continued. Shooter fired 3 rounds at the victim near the school gym and then fled the scene.</v>
      </c>
      <c r="AA2996" s="8" t="str">
        <f ca="1">IFERROR(__xludf.DUMMYFUNCTION("""COMPUTED_VALUE"""),"Bullying")</f>
        <v>Bullying</v>
      </c>
      <c r="AB2996" s="8"/>
      <c r="AC2996" s="8"/>
      <c r="AD2996" s="8" t="str">
        <f ca="1">IFERROR(__xludf.DUMMYFUNCTION("""COMPUTED_VALUE"""),"Victims Targeted")</f>
        <v>Victims Targeted</v>
      </c>
      <c r="AE2996" s="8" t="str">
        <f ca="1">IFERROR(__xludf.DUMMYFUNCTION("""COMPUTED_VALUE"""),"No")</f>
        <v>No</v>
      </c>
      <c r="AF2996" s="8"/>
      <c r="AG2996" s="8" t="str">
        <f ca="1">IFERROR(__xludf.DUMMYFUNCTION("""COMPUTED_VALUE"""),"No")</f>
        <v>No</v>
      </c>
      <c r="AH2996" s="8" t="str">
        <f ca="1">IFERROR(__xludf.DUMMYFUNCTION("""COMPUTED_VALUE"""),"No")</f>
        <v>No</v>
      </c>
      <c r="AI2996" s="8" t="str">
        <f ca="1">IFERROR(__xludf.DUMMYFUNCTION("""COMPUTED_VALUE"""),"No")</f>
        <v>No</v>
      </c>
      <c r="AJ2996" s="8" t="str">
        <f ca="1">IFERROR(__xludf.DUMMYFUNCTION("""COMPUTED_VALUE"""),"Yes")</f>
        <v>Yes</v>
      </c>
      <c r="AK2996" s="8" t="str">
        <f ca="1">IFERROR(__xludf.DUMMYFUNCTION("""COMPUTED_VALUE"""),"No")</f>
        <v>No</v>
      </c>
      <c r="AL2996" s="8" t="str">
        <f ca="1">IFERROR(__xludf.DUMMYFUNCTION("""COMPUTED_VALUE"""),"No")</f>
        <v>No</v>
      </c>
      <c r="AM2996" s="8"/>
      <c r="AN2996" s="8"/>
      <c r="AO2996" s="8" t="str">
        <f ca="1">IFERROR(__xludf.DUMMYFUNCTION("""COMPUTED_VALUE"""),"No")</f>
        <v>No</v>
      </c>
      <c r="AP2996" s="8" t="str">
        <f ca="1">IFERROR(__xludf.DUMMYFUNCTION("""COMPUTED_VALUE"""),"No")</f>
        <v>No</v>
      </c>
      <c r="AQ2996" s="8" t="str">
        <f ca="1">IFERROR(__xludf.DUMMYFUNCTION("""COMPUTED_VALUE"""),"None")</f>
        <v>None</v>
      </c>
      <c r="AR2996" s="8" t="str">
        <f ca="1">IFERROR(__xludf.DUMMYFUNCTION("""COMPUTED_VALUE"""),"NA")</f>
        <v>NA</v>
      </c>
      <c r="AS2996" s="8">
        <f ca="1">IFERROR(__xludf.DUMMYFUNCTION("""COMPUTED_VALUE"""),3)</f>
        <v>3</v>
      </c>
      <c r="AT2996" s="8"/>
      <c r="AU2996" s="8">
        <f ca="1">IFERROR(__xludf.DUMMYFUNCTION("""COMPUTED_VALUE"""),38.373133)</f>
        <v>38.373133000000003</v>
      </c>
      <c r="AV2996" s="8">
        <f ca="1">IFERROR(__xludf.DUMMYFUNCTION("""COMPUTED_VALUE"""),-81.841999)</f>
        <v>-81.841999000000001</v>
      </c>
      <c r="AW2996" s="8"/>
      <c r="AX2996" s="8">
        <f ca="1">IFERROR(__xludf.DUMMYFUNCTION("""COMPUTED_VALUE"""),25177)</f>
        <v>25177</v>
      </c>
    </row>
    <row r="2997" spans="1:50" ht="75" x14ac:dyDescent="0.2">
      <c r="A2997" s="8" t="str">
        <f ca="1">IFERROR(__xludf.DUMMYFUNCTION("""COMPUTED_VALUE"""),"19780111KYCHH")</f>
        <v>19780111KYCHH</v>
      </c>
      <c r="B2997" s="8">
        <f ca="1">IFERROR(__xludf.DUMMYFUNCTION("""COMPUTED_VALUE"""),1)</f>
        <v>1</v>
      </c>
      <c r="C2997" s="8">
        <f ca="1">IFERROR(__xludf.DUMMYFUNCTION("""COMPUTED_VALUE"""),11)</f>
        <v>11</v>
      </c>
      <c r="D2997" s="8">
        <f ca="1">IFERROR(__xludf.DUMMYFUNCTION("""COMPUTED_VALUE"""),1978)</f>
        <v>1978</v>
      </c>
      <c r="E2997" s="9">
        <f ca="1">IFERROR(__xludf.DUMMYFUNCTION("""COMPUTED_VALUE"""),28501)</f>
        <v>28501</v>
      </c>
      <c r="F2997" s="8" t="str">
        <f ca="1">IFERROR(__xludf.DUMMYFUNCTION("""COMPUTED_VALUE"""),"Christian County Middle School")</f>
        <v>Christian County Middle School</v>
      </c>
      <c r="G2997" s="8">
        <f ca="1">IFERROR(__xludf.DUMMYFUNCTION("""COMPUTED_VALUE"""),0)</f>
        <v>0</v>
      </c>
      <c r="H2997" s="8">
        <f ca="1">IFERROR(__xludf.DUMMYFUNCTION("""COMPUTED_VALUE"""),1)</f>
        <v>1</v>
      </c>
      <c r="I2997" s="8">
        <f ca="1">IFERROR(__xludf.DUMMYFUNCTION("""COMPUTED_VALUE"""),1)</f>
        <v>1</v>
      </c>
      <c r="J2997" s="8">
        <f ca="1">IFERROR(__xludf.DUMMYFUNCTION("""COMPUTED_VALUE"""),0)</f>
        <v>0</v>
      </c>
      <c r="K2997" s="10" t="str">
        <f ca="1">IFERROR(__xludf.DUMMYFUNCTION("""COMPUTED_VALUE"""),"https://news.google.com/newspapers?id=xeUrAAAAIBAJ&amp;pg=1382,878132")</f>
        <v>https://news.google.com/newspapers?id=xeUrAAAAIBAJ&amp;pg=1382,878132</v>
      </c>
      <c r="L2997" s="8"/>
      <c r="M2997" s="8"/>
      <c r="N2997" s="8">
        <f ca="1">IFERROR(__xludf.DUMMYFUNCTION("""COMPUTED_VALUE"""),2)</f>
        <v>2</v>
      </c>
      <c r="O2997" s="8" t="str">
        <f ca="1">IFERROR(__xludf.DUMMYFUNCTION("""COMPUTED_VALUE"""),"Winter")</f>
        <v>Winter</v>
      </c>
      <c r="P2997" s="8" t="str">
        <f ca="1">IFERROR(__xludf.DUMMYFUNCTION("""COMPUTED_VALUE"""),"Hopkinsville")</f>
        <v>Hopkinsville</v>
      </c>
      <c r="Q2997" s="8" t="str">
        <f ca="1">IFERROR(__xludf.DUMMYFUNCTION("""COMPUTED_VALUE"""),"KY")</f>
        <v>KY</v>
      </c>
      <c r="R2997" s="8" t="str">
        <f ca="1">IFERROR(__xludf.DUMMYFUNCTION("""COMPUTED_VALUE"""),"Middle")</f>
        <v>Middle</v>
      </c>
      <c r="S2997" s="8" t="str">
        <f ca="1">IFERROR(__xludf.DUMMYFUNCTION("""COMPUTED_VALUE"""),"Hallway")</f>
        <v>Hallway</v>
      </c>
      <c r="T2997" s="8" t="str">
        <f ca="1">IFERROR(__xludf.DUMMYFUNCTION("""COMPUTED_VALUE"""),"Inside School Building")</f>
        <v>Inside School Building</v>
      </c>
      <c r="U2997" s="8" t="str">
        <f ca="1">IFERROR(__xludf.DUMMYFUNCTION("""COMPUTED_VALUE"""),"Yes")</f>
        <v>Yes</v>
      </c>
      <c r="V2997" s="8" t="str">
        <f ca="1">IFERROR(__xludf.DUMMYFUNCTION("""COMPUTED_VALUE"""),"Morning Classes")</f>
        <v>Morning Classes</v>
      </c>
      <c r="W2997" s="11">
        <f ca="1">IFERROR(__xludf.DUMMYFUNCTION("""COMPUTED_VALUE"""),0.340277777777777)</f>
        <v>0.34027777777777701</v>
      </c>
      <c r="X2997" s="8">
        <f ca="1">IFERROR(__xludf.DUMMYFUNCTION("""COMPUTED_VALUE"""),1)</f>
        <v>1</v>
      </c>
      <c r="Y2997" s="12" t="str">
        <f ca="1">IFERROR(__xludf.DUMMYFUNCTION("""COMPUTED_VALUE"""),"Shooting following an argument between students the night before")</f>
        <v>Shooting following an argument between students the night before</v>
      </c>
      <c r="Z2997" s="12" t="str">
        <f ca="1">IFERROR(__xludf.DUMMYFUNCTION("""COMPUTED_VALUE"""),"Two 16 year-old male students were fighting following an argument the night before. A 13 year-old male student (Andre Davis) watching the fight was caught in the crossfire when a gun was fired. As school officials tried to end the fight, the gun went off "&amp;"and wounded the victim")</f>
        <v>Two 16 year-old male students were fighting following an argument the night before. A 13 year-old male student (Andre Davis) watching the fight was caught in the crossfire when a gun was fired. As school officials tried to end the fight, the gun went off and wounded the victim</v>
      </c>
      <c r="AA2997" s="8" t="str">
        <f ca="1">IFERROR(__xludf.DUMMYFUNCTION("""COMPUTED_VALUE"""),"Escalation of Dispute")</f>
        <v>Escalation of Dispute</v>
      </c>
      <c r="AB2997" s="8"/>
      <c r="AC2997" s="8"/>
      <c r="AD2997" s="8" t="str">
        <f ca="1">IFERROR(__xludf.DUMMYFUNCTION("""COMPUTED_VALUE"""),"Victims Targeted")</f>
        <v>Victims Targeted</v>
      </c>
      <c r="AE2997" s="8" t="str">
        <f ca="1">IFERROR(__xludf.DUMMYFUNCTION("""COMPUTED_VALUE"""),"No")</f>
        <v>No</v>
      </c>
      <c r="AF2997" s="8"/>
      <c r="AG2997" s="8" t="str">
        <f ca="1">IFERROR(__xludf.DUMMYFUNCTION("""COMPUTED_VALUE"""),"No")</f>
        <v>No</v>
      </c>
      <c r="AH2997" s="8" t="str">
        <f ca="1">IFERROR(__xludf.DUMMYFUNCTION("""COMPUTED_VALUE"""),"No")</f>
        <v>No</v>
      </c>
      <c r="AI2997" s="8" t="str">
        <f ca="1">IFERROR(__xludf.DUMMYFUNCTION("""COMPUTED_VALUE"""),"No")</f>
        <v>No</v>
      </c>
      <c r="AJ2997" s="8"/>
      <c r="AK2997" s="8" t="str">
        <f ca="1">IFERROR(__xludf.DUMMYFUNCTION("""COMPUTED_VALUE"""),"No")</f>
        <v>No</v>
      </c>
      <c r="AL2997" s="8" t="str">
        <f ca="1">IFERROR(__xludf.DUMMYFUNCTION("""COMPUTED_VALUE"""),"No")</f>
        <v>No</v>
      </c>
      <c r="AM2997" s="8"/>
      <c r="AN2997" s="8"/>
      <c r="AO2997" s="8" t="str">
        <f ca="1">IFERROR(__xludf.DUMMYFUNCTION("""COMPUTED_VALUE"""),"No")</f>
        <v>No</v>
      </c>
      <c r="AP2997" s="8"/>
      <c r="AQ2997" s="8" t="str">
        <f ca="1">IFERROR(__xludf.DUMMYFUNCTION("""COMPUTED_VALUE"""),"Unknown")</f>
        <v>Unknown</v>
      </c>
      <c r="AR2997" s="8" t="str">
        <f ca="1">IFERROR(__xludf.DUMMYFUNCTION("""COMPUTED_VALUE"""),"NA")</f>
        <v>NA</v>
      </c>
      <c r="AS2997" s="8">
        <f ca="1">IFERROR(__xludf.DUMMYFUNCTION("""COMPUTED_VALUE"""),1)</f>
        <v>1</v>
      </c>
      <c r="AT2997" s="8"/>
      <c r="AU2997" s="8">
        <f ca="1">IFERROR(__xludf.DUMMYFUNCTION("""COMPUTED_VALUE"""),36.876586)</f>
        <v>36.876586000000003</v>
      </c>
      <c r="AV2997" s="8">
        <f ca="1">IFERROR(__xludf.DUMMYFUNCTION("""COMPUTED_VALUE"""),-87.491832)</f>
        <v>-87.491832000000002</v>
      </c>
      <c r="AW2997" s="8"/>
      <c r="AX2997" s="8">
        <f ca="1">IFERROR(__xludf.DUMMYFUNCTION("""COMPUTED_VALUE"""),42240)</f>
        <v>42240</v>
      </c>
    </row>
    <row r="2998" spans="1:50" ht="90" x14ac:dyDescent="0.2">
      <c r="A2998" s="8" t="str">
        <f ca="1">IFERROR(__xludf.DUMMYFUNCTION("""COMPUTED_VALUE"""),"19771215MABLC")</f>
        <v>19771215MABLC</v>
      </c>
      <c r="B2998" s="8">
        <f ca="1">IFERROR(__xludf.DUMMYFUNCTION("""COMPUTED_VALUE"""),12)</f>
        <v>12</v>
      </c>
      <c r="C2998" s="8">
        <f ca="1">IFERROR(__xludf.DUMMYFUNCTION("""COMPUTED_VALUE"""),15)</f>
        <v>15</v>
      </c>
      <c r="D2998" s="8">
        <f ca="1">IFERROR(__xludf.DUMMYFUNCTION("""COMPUTED_VALUE"""),1977)</f>
        <v>1977</v>
      </c>
      <c r="E2998" s="9">
        <f ca="1">IFERROR(__xludf.DUMMYFUNCTION("""COMPUTED_VALUE"""),28474)</f>
        <v>28474</v>
      </c>
      <c r="F2998" s="8" t="str">
        <f ca="1">IFERROR(__xludf.DUMMYFUNCTION("""COMPUTED_VALUE"""),"Blue Hills Vocational High School")</f>
        <v>Blue Hills Vocational High School</v>
      </c>
      <c r="G2998" s="8">
        <f ca="1">IFERROR(__xludf.DUMMYFUNCTION("""COMPUTED_VALUE"""),0)</f>
        <v>0</v>
      </c>
      <c r="H2998" s="8">
        <f ca="1">IFERROR(__xludf.DUMMYFUNCTION("""COMPUTED_VALUE"""),2)</f>
        <v>2</v>
      </c>
      <c r="I2998" s="8">
        <f ca="1">IFERROR(__xludf.DUMMYFUNCTION("""COMPUTED_VALUE"""),2)</f>
        <v>2</v>
      </c>
      <c r="J2998" s="8">
        <f ca="1">IFERROR(__xludf.DUMMYFUNCTION("""COMPUTED_VALUE"""),0)</f>
        <v>0</v>
      </c>
      <c r="K2998" s="10" t="str">
        <f ca="1">IFERROR(__xludf.DUMMYFUNCTION("""COMPUTED_VALUE"""),"https://www.newspapers.com/image/342698296/?terms=school%2Bshooting")</f>
        <v>https://www.newspapers.com/image/342698296/?terms=school%2Bshooting</v>
      </c>
      <c r="L2998" s="8"/>
      <c r="M2998" s="8"/>
      <c r="N2998" s="8">
        <f ca="1">IFERROR(__xludf.DUMMYFUNCTION("""COMPUTED_VALUE"""),2)</f>
        <v>2</v>
      </c>
      <c r="O2998" s="8" t="str">
        <f ca="1">IFERROR(__xludf.DUMMYFUNCTION("""COMPUTED_VALUE"""),"Winter")</f>
        <v>Winter</v>
      </c>
      <c r="P2998" s="8" t="str">
        <f ca="1">IFERROR(__xludf.DUMMYFUNCTION("""COMPUTED_VALUE"""),"Canton")</f>
        <v>Canton</v>
      </c>
      <c r="Q2998" s="8" t="str">
        <f ca="1">IFERROR(__xludf.DUMMYFUNCTION("""COMPUTED_VALUE"""),"MA")</f>
        <v>MA</v>
      </c>
      <c r="R2998" s="8" t="str">
        <f ca="1">IFERROR(__xludf.DUMMYFUNCTION("""COMPUTED_VALUE"""),"High")</f>
        <v>High</v>
      </c>
      <c r="S2998" s="8" t="str">
        <f ca="1">IFERROR(__xludf.DUMMYFUNCTION("""COMPUTED_VALUE"""),"Classroom")</f>
        <v>Classroom</v>
      </c>
      <c r="T2998" s="8" t="str">
        <f ca="1">IFERROR(__xludf.DUMMYFUNCTION("""COMPUTED_VALUE"""),"Inside School Building")</f>
        <v>Inside School Building</v>
      </c>
      <c r="U2998" s="8" t="str">
        <f ca="1">IFERROR(__xludf.DUMMYFUNCTION("""COMPUTED_VALUE"""),"Yes")</f>
        <v>Yes</v>
      </c>
      <c r="V2998" s="8"/>
      <c r="W2998" s="8"/>
      <c r="X2998" s="8">
        <f ca="1">IFERROR(__xludf.DUMMYFUNCTION("""COMPUTED_VALUE"""),1)</f>
        <v>1</v>
      </c>
      <c r="Y2998" s="12" t="str">
        <f ca="1">IFERROR(__xludf.DUMMYFUNCTION("""COMPUTED_VALUE"""),"Shooter wore bag over head and went into classroom shooting, pulled fire alarm to hide escape")</f>
        <v>Shooter wore bag over head and went into classroom shooting, pulled fire alarm to hide escape</v>
      </c>
      <c r="Z2998" s="12" t="str">
        <f ca="1">IFERROR(__xludf.DUMMYFUNCTION("""COMPUTED_VALUE"""),"Unknown suspect wore paper bag over head and went into classroom firing striking 18 year-old male and 16 year-old male students. Shooter pulled fire alarm and escaped as students flooded the hallway.")</f>
        <v>Unknown suspect wore paper bag over head and went into classroom firing striking 18 year-old male and 16 year-old male students. Shooter pulled fire alarm and escaped as students flooded the hallway.</v>
      </c>
      <c r="AA2998" s="8" t="str">
        <f ca="1">IFERROR(__xludf.DUMMYFUNCTION("""COMPUTED_VALUE"""),"Escalation of Dispute")</f>
        <v>Escalation of Dispute</v>
      </c>
      <c r="AB2998" s="8"/>
      <c r="AC2998" s="8" t="str">
        <f ca="1">IFERROR(__xludf.DUMMYFUNCTION("""COMPUTED_VALUE"""),"Yes")</f>
        <v>Yes</v>
      </c>
      <c r="AD2998" s="8"/>
      <c r="AE2998" s="8" t="str">
        <f ca="1">IFERROR(__xludf.DUMMYFUNCTION("""COMPUTED_VALUE"""),"No")</f>
        <v>No</v>
      </c>
      <c r="AF2998" s="8"/>
      <c r="AG2998" s="8" t="str">
        <f ca="1">IFERROR(__xludf.DUMMYFUNCTION("""COMPUTED_VALUE"""),"No")</f>
        <v>No</v>
      </c>
      <c r="AH2998" s="8" t="str">
        <f ca="1">IFERROR(__xludf.DUMMYFUNCTION("""COMPUTED_VALUE"""),"No")</f>
        <v>No</v>
      </c>
      <c r="AI2998" s="8" t="str">
        <f ca="1">IFERROR(__xludf.DUMMYFUNCTION("""COMPUTED_VALUE"""),"No")</f>
        <v>No</v>
      </c>
      <c r="AJ2998" s="8"/>
      <c r="AK2998" s="8" t="str">
        <f ca="1">IFERROR(__xludf.DUMMYFUNCTION("""COMPUTED_VALUE"""),"No")</f>
        <v>No</v>
      </c>
      <c r="AL2998" s="8" t="str">
        <f ca="1">IFERROR(__xludf.DUMMYFUNCTION("""COMPUTED_VALUE"""),"No")</f>
        <v>No</v>
      </c>
      <c r="AM2998" s="8" t="str">
        <f ca="1">IFERROR(__xludf.DUMMYFUNCTION("""COMPUTED_VALUE"""),"Yes")</f>
        <v>Yes</v>
      </c>
      <c r="AN2998" s="8" t="str">
        <f ca="1">IFERROR(__xludf.DUMMYFUNCTION("""COMPUTED_VALUE"""),"Single Room")</f>
        <v>Single Room</v>
      </c>
      <c r="AO2998" s="8" t="str">
        <f ca="1">IFERROR(__xludf.DUMMYFUNCTION("""COMPUTED_VALUE"""),"Yes")</f>
        <v>Yes</v>
      </c>
      <c r="AP2998" s="8"/>
      <c r="AQ2998" s="8" t="str">
        <f ca="1">IFERROR(__xludf.DUMMYFUNCTION("""COMPUTED_VALUE"""),"Unknown")</f>
        <v>Unknown</v>
      </c>
      <c r="AR2998" s="8" t="str">
        <f ca="1">IFERROR(__xludf.DUMMYFUNCTION("""COMPUTED_VALUE"""),"NA")</f>
        <v>NA</v>
      </c>
      <c r="AS2998" s="8"/>
      <c r="AT2998" s="8"/>
      <c r="AU2998" s="8">
        <f ca="1">IFERROR(__xludf.DUMMYFUNCTION("""COMPUTED_VALUE"""),42.183414)</f>
        <v>42.183413999999999</v>
      </c>
      <c r="AV2998" s="8">
        <f ca="1">IFERROR(__xludf.DUMMYFUNCTION("""COMPUTED_VALUE"""),-71.103534)</f>
        <v>-71.103533999999996</v>
      </c>
      <c r="AW2998" s="8"/>
      <c r="AX2998" s="8">
        <f ca="1">IFERROR(__xludf.DUMMYFUNCTION("""COMPUTED_VALUE"""),2021)</f>
        <v>2021</v>
      </c>
    </row>
    <row r="2999" spans="1:50" ht="150" x14ac:dyDescent="0.2">
      <c r="A2999" s="8" t="str">
        <f ca="1">IFERROR(__xludf.DUMMYFUNCTION("""COMPUTED_VALUE"""),"19771212FLWEW")</f>
        <v>19771212FLWEW</v>
      </c>
      <c r="B2999" s="8">
        <f ca="1">IFERROR(__xludf.DUMMYFUNCTION("""COMPUTED_VALUE"""),12)</f>
        <v>12</v>
      </c>
      <c r="C2999" s="8">
        <f ca="1">IFERROR(__xludf.DUMMYFUNCTION("""COMPUTED_VALUE"""),12)</f>
        <v>12</v>
      </c>
      <c r="D2999" s="8">
        <f ca="1">IFERROR(__xludf.DUMMYFUNCTION("""COMPUTED_VALUE"""),1977)</f>
        <v>1977</v>
      </c>
      <c r="E2999" s="9">
        <f ca="1">IFERROR(__xludf.DUMMYFUNCTION("""COMPUTED_VALUE"""),28471)</f>
        <v>28471</v>
      </c>
      <c r="F2999" s="8" t="str">
        <f ca="1">IFERROR(__xludf.DUMMYFUNCTION("""COMPUTED_VALUE"""),"West Orange High School")</f>
        <v>West Orange High School</v>
      </c>
      <c r="G2999" s="8">
        <f ca="1">IFERROR(__xludf.DUMMYFUNCTION("""COMPUTED_VALUE"""),1)</f>
        <v>1</v>
      </c>
      <c r="H2999" s="8">
        <f ca="1">IFERROR(__xludf.DUMMYFUNCTION("""COMPUTED_VALUE"""),0)</f>
        <v>0</v>
      </c>
      <c r="I2999" s="8">
        <f ca="1">IFERROR(__xludf.DUMMYFUNCTION("""COMPUTED_VALUE"""),1)</f>
        <v>1</v>
      </c>
      <c r="J2999" s="8">
        <f ca="1">IFERROR(__xludf.DUMMYFUNCTION("""COMPUTED_VALUE"""),0)</f>
        <v>0</v>
      </c>
      <c r="K2999" s="10" t="str">
        <f ca="1">IFERROR(__xludf.DUMMYFUNCTION("""COMPUTED_VALUE"""),"https://www.newspapers.com/image/303108537/?terms=school%2Bshooting")</f>
        <v>https://www.newspapers.com/image/303108537/?terms=school%2Bshooting</v>
      </c>
      <c r="L2999" s="8"/>
      <c r="M2999" s="8"/>
      <c r="N2999" s="8">
        <f ca="1">IFERROR(__xludf.DUMMYFUNCTION("""COMPUTED_VALUE"""),2)</f>
        <v>2</v>
      </c>
      <c r="O2999" s="8" t="str">
        <f ca="1">IFERROR(__xludf.DUMMYFUNCTION("""COMPUTED_VALUE"""),"Winter")</f>
        <v>Winter</v>
      </c>
      <c r="P2999" s="8" t="str">
        <f ca="1">IFERROR(__xludf.DUMMYFUNCTION("""COMPUTED_VALUE"""),"Winter Garden")</f>
        <v>Winter Garden</v>
      </c>
      <c r="Q2999" s="8" t="str">
        <f ca="1">IFERROR(__xludf.DUMMYFUNCTION("""COMPUTED_VALUE"""),"FL")</f>
        <v>FL</v>
      </c>
      <c r="R2999" s="8" t="str">
        <f ca="1">IFERROR(__xludf.DUMMYFUNCTION("""COMPUTED_VALUE"""),"High")</f>
        <v>High</v>
      </c>
      <c r="S2999" s="8" t="str">
        <f ca="1">IFERROR(__xludf.DUMMYFUNCTION("""COMPUTED_VALUE"""),"Office")</f>
        <v>Office</v>
      </c>
      <c r="T2999" s="8" t="str">
        <f ca="1">IFERROR(__xludf.DUMMYFUNCTION("""COMPUTED_VALUE"""),"Inside School Building")</f>
        <v>Inside School Building</v>
      </c>
      <c r="U2999" s="8" t="str">
        <f ca="1">IFERROR(__xludf.DUMMYFUNCTION("""COMPUTED_VALUE"""),"No")</f>
        <v>No</v>
      </c>
      <c r="V2999" s="8" t="str">
        <f ca="1">IFERROR(__xludf.DUMMYFUNCTION("""COMPUTED_VALUE"""),"After School")</f>
        <v>After School</v>
      </c>
      <c r="W2999" s="11">
        <f ca="1">IFERROR(__xludf.DUMMYFUNCTION("""COMPUTED_VALUE"""),0.666666666666666)</f>
        <v>0.66666666666666596</v>
      </c>
      <c r="X2999" s="8">
        <f ca="1">IFERROR(__xludf.DUMMYFUNCTION("""COMPUTED_VALUE"""),1)</f>
        <v>1</v>
      </c>
      <c r="Y2999" s="12" t="str">
        <f ca="1">IFERROR(__xludf.DUMMYFUNCTION("""COMPUTED_VALUE"""),"Suspect, assistant principal, shot and killed principle during after school meeting where he was being reprimanded for advances on 16 year old student.")</f>
        <v>Suspect, assistant principal, shot and killed principle during after school meeting where he was being reprimanded for advances on 16 year old student.</v>
      </c>
      <c r="Z2999" s="12" t="str">
        <f ca="1">IFERROR(__xludf.DUMMYFUNCTION("""COMPUTED_VALUE"""),"A 41 year-old male assistant principal was being reprimanded by school principal regarding his inappropriate advances on a 16 year-old student. Shooter (assistant principal) pulled out gun and killed principle then shot at two other school officials, but "&amp;"missed. Suspect surrendered gun to janitor and waiting for police to respond. In courtroom confession, suspect admitted to conspiring to kill three school officials whom he thought were plotting against him to get him fired for hugging and kissing student"&amp;" in his office.")</f>
        <v>A 41 year-old male assistant principal was being reprimanded by school principal regarding his inappropriate advances on a 16 year-old student. Shooter (assistant principal) pulled out gun and killed principle then shot at two other school officials, but missed. Suspect surrendered gun to janitor and waiting for police to respond. In courtroom confession, suspect admitted to conspiring to kill three school officials whom he thought were plotting against him to get him fired for hugging and kissing student in his office.</v>
      </c>
      <c r="AA2999" s="8" t="str">
        <f ca="1">IFERROR(__xludf.DUMMYFUNCTION("""COMPUTED_VALUE"""),"Anger Over Grade/Suspension/Discipline")</f>
        <v>Anger Over Grade/Suspension/Discipline</v>
      </c>
      <c r="AB2999" s="8"/>
      <c r="AC2999" s="8"/>
      <c r="AD2999" s="8" t="str">
        <f ca="1">IFERROR(__xludf.DUMMYFUNCTION("""COMPUTED_VALUE"""),"Victims Targeted")</f>
        <v>Victims Targeted</v>
      </c>
      <c r="AE2999" s="8" t="str">
        <f ca="1">IFERROR(__xludf.DUMMYFUNCTION("""COMPUTED_VALUE"""),"No")</f>
        <v>No</v>
      </c>
      <c r="AF2999" s="8"/>
      <c r="AG2999" s="8" t="str">
        <f ca="1">IFERROR(__xludf.DUMMYFUNCTION("""COMPUTED_VALUE"""),"No")</f>
        <v>No</v>
      </c>
      <c r="AH2999" s="8" t="str">
        <f ca="1">IFERROR(__xludf.DUMMYFUNCTION("""COMPUTED_VALUE"""),"No")</f>
        <v>No</v>
      </c>
      <c r="AI2999" s="8" t="str">
        <f ca="1">IFERROR(__xludf.DUMMYFUNCTION("""COMPUTED_VALUE"""),"No")</f>
        <v>No</v>
      </c>
      <c r="AJ2999" s="8" t="str">
        <f ca="1">IFERROR(__xludf.DUMMYFUNCTION("""COMPUTED_VALUE"""),"No")</f>
        <v>No</v>
      </c>
      <c r="AK2999" s="8" t="str">
        <f ca="1">IFERROR(__xludf.DUMMYFUNCTION("""COMPUTED_VALUE"""),"No")</f>
        <v>No</v>
      </c>
      <c r="AL2999" s="8" t="str">
        <f ca="1">IFERROR(__xludf.DUMMYFUNCTION("""COMPUTED_VALUE"""),"No")</f>
        <v>No</v>
      </c>
      <c r="AM2999" s="8"/>
      <c r="AN2999" s="8"/>
      <c r="AO2999" s="8" t="str">
        <f ca="1">IFERROR(__xludf.DUMMYFUNCTION("""COMPUTED_VALUE"""),"No")</f>
        <v>No</v>
      </c>
      <c r="AP2999" s="8"/>
      <c r="AQ2999" s="8" t="str">
        <f ca="1">IFERROR(__xludf.DUMMYFUNCTION("""COMPUTED_VALUE"""),"Unknown")</f>
        <v>Unknown</v>
      </c>
      <c r="AR2999" s="8" t="str">
        <f ca="1">IFERROR(__xludf.DUMMYFUNCTION("""COMPUTED_VALUE"""),"NA")</f>
        <v>NA</v>
      </c>
      <c r="AS2999" s="8" t="str">
        <f ca="1">IFERROR(__xludf.DUMMYFUNCTION("""COMPUTED_VALUE"""),"&lt;10")</f>
        <v>&lt;10</v>
      </c>
      <c r="AT2999" s="8"/>
      <c r="AU2999" s="8">
        <f ca="1">IFERROR(__xludf.DUMMYFUNCTION("""COMPUTED_VALUE"""),28.540502)</f>
        <v>28.540502</v>
      </c>
      <c r="AV2999" s="8">
        <f ca="1">IFERROR(__xludf.DUMMYFUNCTION("""COMPUTED_VALUE"""),-81.568438)</f>
        <v>-81.568438</v>
      </c>
      <c r="AW2999" s="8"/>
      <c r="AX2999" s="8">
        <f ca="1">IFERROR(__xludf.DUMMYFUNCTION("""COMPUTED_VALUE"""),34787)</f>
        <v>34787</v>
      </c>
    </row>
    <row r="3000" spans="1:50" ht="60" x14ac:dyDescent="0.2">
      <c r="A3000" s="8" t="str">
        <f ca="1">IFERROR(__xludf.DUMMYFUNCTION("""COMPUTED_VALUE"""),"19771209CAPES")</f>
        <v>19771209CAPES</v>
      </c>
      <c r="B3000" s="8">
        <f ca="1">IFERROR(__xludf.DUMMYFUNCTION("""COMPUTED_VALUE"""),12)</f>
        <v>12</v>
      </c>
      <c r="C3000" s="8">
        <f ca="1">IFERROR(__xludf.DUMMYFUNCTION("""COMPUTED_VALUE"""),9)</f>
        <v>9</v>
      </c>
      <c r="D3000" s="8">
        <f ca="1">IFERROR(__xludf.DUMMYFUNCTION("""COMPUTED_VALUE"""),1977)</f>
        <v>1977</v>
      </c>
      <c r="E3000" s="9">
        <f ca="1">IFERROR(__xludf.DUMMYFUNCTION("""COMPUTED_VALUE"""),28468)</f>
        <v>28468</v>
      </c>
      <c r="F3000" s="8" t="str">
        <f ca="1">IFERROR(__xludf.DUMMYFUNCTION("""COMPUTED_VALUE"""),"Petaluma McNear Elementary")</f>
        <v>Petaluma McNear Elementary</v>
      </c>
      <c r="G3000" s="8">
        <f ca="1">IFERROR(__xludf.DUMMYFUNCTION("""COMPUTED_VALUE"""),0)</f>
        <v>0</v>
      </c>
      <c r="H3000" s="8">
        <f ca="1">IFERROR(__xludf.DUMMYFUNCTION("""COMPUTED_VALUE"""),0)</f>
        <v>0</v>
      </c>
      <c r="I3000" s="8">
        <f ca="1">IFERROR(__xludf.DUMMYFUNCTION("""COMPUTED_VALUE"""),0)</f>
        <v>0</v>
      </c>
      <c r="J3000" s="8">
        <f ca="1">IFERROR(__xludf.DUMMYFUNCTION("""COMPUTED_VALUE"""),0)</f>
        <v>0</v>
      </c>
      <c r="K3000" s="10" t="str">
        <f ca="1">IFERROR(__xludf.DUMMYFUNCTION("""COMPUTED_VALUE"""),"https://www.newspapers.com/image/295122036/?terms=school%2Bshooting")</f>
        <v>https://www.newspapers.com/image/295122036/?terms=school%2Bshooting</v>
      </c>
      <c r="L3000" s="8"/>
      <c r="M3000" s="8"/>
      <c r="N3000" s="8">
        <f ca="1">IFERROR(__xludf.DUMMYFUNCTION("""COMPUTED_VALUE"""),2)</f>
        <v>2</v>
      </c>
      <c r="O3000" s="8" t="str">
        <f ca="1">IFERROR(__xludf.DUMMYFUNCTION("""COMPUTED_VALUE"""),"Winter")</f>
        <v>Winter</v>
      </c>
      <c r="P3000" s="8" t="str">
        <f ca="1">IFERROR(__xludf.DUMMYFUNCTION("""COMPUTED_VALUE"""),"Santa Rosa")</f>
        <v>Santa Rosa</v>
      </c>
      <c r="Q3000" s="8" t="str">
        <f ca="1">IFERROR(__xludf.DUMMYFUNCTION("""COMPUTED_VALUE"""),"CA")</f>
        <v>CA</v>
      </c>
      <c r="R3000" s="8" t="str">
        <f ca="1">IFERROR(__xludf.DUMMYFUNCTION("""COMPUTED_VALUE"""),"Elementary")</f>
        <v>Elementary</v>
      </c>
      <c r="S3000" s="8" t="str">
        <f ca="1">IFERROR(__xludf.DUMMYFUNCTION("""COMPUTED_VALUE"""),"Office")</f>
        <v>Office</v>
      </c>
      <c r="T3000" s="8" t="str">
        <f ca="1">IFERROR(__xludf.DUMMYFUNCTION("""COMPUTED_VALUE"""),"Inside School Building")</f>
        <v>Inside School Building</v>
      </c>
      <c r="U3000" s="8" t="str">
        <f ca="1">IFERROR(__xludf.DUMMYFUNCTION("""COMPUTED_VALUE"""),"Yes")</f>
        <v>Yes</v>
      </c>
      <c r="V3000" s="8"/>
      <c r="W3000" s="8"/>
      <c r="X3000" s="8">
        <f ca="1">IFERROR(__xludf.DUMMYFUNCTION("""COMPUTED_VALUE"""),1)</f>
        <v>1</v>
      </c>
      <c r="Y3000" s="12" t="str">
        <f ca="1">IFERROR(__xludf.DUMMYFUNCTION("""COMPUTED_VALUE"""),"Shot 3 shots at estranged wife, tackled by principal and 3 other staff")</f>
        <v>Shot 3 shots at estranged wife, tackled by principal and 3 other staff</v>
      </c>
      <c r="Z3000" s="12" t="str">
        <f ca="1">IFERROR(__xludf.DUMMYFUNCTION("""COMPUTED_VALUE"""),"A 40 year-old male shooter fired 3 shots at estranged wife in teacher's lounge. Shots missed and shooter was tackled by principal and 3 other adults.")</f>
        <v>A 40 year-old male shooter fired 3 shots at estranged wife in teacher's lounge. Shots missed and shooter was tackled by principal and 3 other adults.</v>
      </c>
      <c r="AA3000" s="8" t="str">
        <f ca="1">IFERROR(__xludf.DUMMYFUNCTION("""COMPUTED_VALUE"""),"Domestic w/ Targeted Victim")</f>
        <v>Domestic w/ Targeted Victim</v>
      </c>
      <c r="AB3000" s="8"/>
      <c r="AC3000" s="8"/>
      <c r="AD3000" s="8" t="str">
        <f ca="1">IFERROR(__xludf.DUMMYFUNCTION("""COMPUTED_VALUE"""),"Victims Targeted")</f>
        <v>Victims Targeted</v>
      </c>
      <c r="AE3000" s="8" t="str">
        <f ca="1">IFERROR(__xludf.DUMMYFUNCTION("""COMPUTED_VALUE"""),"No")</f>
        <v>No</v>
      </c>
      <c r="AF3000" s="8"/>
      <c r="AG3000" s="8" t="str">
        <f ca="1">IFERROR(__xludf.DUMMYFUNCTION("""COMPUTED_VALUE"""),"No")</f>
        <v>No</v>
      </c>
      <c r="AH3000" s="8" t="str">
        <f ca="1">IFERROR(__xludf.DUMMYFUNCTION("""COMPUTED_VALUE"""),"No")</f>
        <v>No</v>
      </c>
      <c r="AI3000" s="8" t="str">
        <f ca="1">IFERROR(__xludf.DUMMYFUNCTION("""COMPUTED_VALUE"""),"No")</f>
        <v>No</v>
      </c>
      <c r="AJ3000" s="8" t="str">
        <f ca="1">IFERROR(__xludf.DUMMYFUNCTION("""COMPUTED_VALUE"""),"No")</f>
        <v>No</v>
      </c>
      <c r="AK3000" s="8" t="str">
        <f ca="1">IFERROR(__xludf.DUMMYFUNCTION("""COMPUTED_VALUE"""),"Yes")</f>
        <v>Yes</v>
      </c>
      <c r="AL3000" s="8" t="str">
        <f ca="1">IFERROR(__xludf.DUMMYFUNCTION("""COMPUTED_VALUE"""),"No")</f>
        <v>No</v>
      </c>
      <c r="AM3000" s="8"/>
      <c r="AN3000" s="8"/>
      <c r="AO3000" s="8" t="str">
        <f ca="1">IFERROR(__xludf.DUMMYFUNCTION("""COMPUTED_VALUE"""),"No")</f>
        <v>No</v>
      </c>
      <c r="AP3000" s="8"/>
      <c r="AQ3000" s="8" t="str">
        <f ca="1">IFERROR(__xludf.DUMMYFUNCTION("""COMPUTED_VALUE"""),"Unknown")</f>
        <v>Unknown</v>
      </c>
      <c r="AR3000" s="8" t="str">
        <f ca="1">IFERROR(__xludf.DUMMYFUNCTION("""COMPUTED_VALUE"""),"NA")</f>
        <v>NA</v>
      </c>
      <c r="AS3000" s="8">
        <f ca="1">IFERROR(__xludf.DUMMYFUNCTION("""COMPUTED_VALUE"""),3)</f>
        <v>3</v>
      </c>
      <c r="AT3000" s="8"/>
      <c r="AU3000" s="8">
        <f ca="1">IFERROR(__xludf.DUMMYFUNCTION("""COMPUTED_VALUE"""),38.223095)</f>
        <v>38.223095000000001</v>
      </c>
      <c r="AV3000" s="8">
        <f ca="1">IFERROR(__xludf.DUMMYFUNCTION("""COMPUTED_VALUE"""),-122.636759)</f>
        <v>-122.636759</v>
      </c>
      <c r="AW3000" s="8"/>
      <c r="AX3000" s="8">
        <f ca="1">IFERROR(__xludf.DUMMYFUNCTION("""COMPUTED_VALUE"""),94952)</f>
        <v>94952</v>
      </c>
    </row>
    <row r="3001" spans="1:50" ht="45" x14ac:dyDescent="0.2">
      <c r="A3001" s="8" t="str">
        <f ca="1">IFERROR(__xludf.DUMMYFUNCTION("""COMPUTED_VALUE"""),"19771129MOVAS")</f>
        <v>19771129MOVAS</v>
      </c>
      <c r="B3001" s="8">
        <f ca="1">IFERROR(__xludf.DUMMYFUNCTION("""COMPUTED_VALUE"""),11)</f>
        <v>11</v>
      </c>
      <c r="C3001" s="8">
        <f ca="1">IFERROR(__xludf.DUMMYFUNCTION("""COMPUTED_VALUE"""),29)</f>
        <v>29</v>
      </c>
      <c r="D3001" s="8">
        <f ca="1">IFERROR(__xludf.DUMMYFUNCTION("""COMPUTED_VALUE"""),1977)</f>
        <v>1977</v>
      </c>
      <c r="E3001" s="9">
        <f ca="1">IFERROR(__xludf.DUMMYFUNCTION("""COMPUTED_VALUE"""),28458)</f>
        <v>28458</v>
      </c>
      <c r="F3001" s="8" t="str">
        <f ca="1">IFERROR(__xludf.DUMMYFUNCTION("""COMPUTED_VALUE"""),"Vashon High School")</f>
        <v>Vashon High School</v>
      </c>
      <c r="G3001" s="8">
        <f ca="1">IFERROR(__xludf.DUMMYFUNCTION("""COMPUTED_VALUE"""),0)</f>
        <v>0</v>
      </c>
      <c r="H3001" s="8">
        <f ca="1">IFERROR(__xludf.DUMMYFUNCTION("""COMPUTED_VALUE"""),1)</f>
        <v>1</v>
      </c>
      <c r="I3001" s="8">
        <f ca="1">IFERROR(__xludf.DUMMYFUNCTION("""COMPUTED_VALUE"""),1)</f>
        <v>1</v>
      </c>
      <c r="J3001" s="8">
        <f ca="1">IFERROR(__xludf.DUMMYFUNCTION("""COMPUTED_VALUE"""),0)</f>
        <v>0</v>
      </c>
      <c r="K3001" s="10" t="str">
        <f ca="1">IFERROR(__xludf.DUMMYFUNCTION("""COMPUTED_VALUE"""),"https://www.newspapers.com/image/139488488/?terms=school%2Bshooting")</f>
        <v>https://www.newspapers.com/image/139488488/?terms=school%2Bshooting</v>
      </c>
      <c r="L3001" s="8"/>
      <c r="M3001" s="8"/>
      <c r="N3001" s="8">
        <f ca="1">IFERROR(__xludf.DUMMYFUNCTION("""COMPUTED_VALUE"""),2)</f>
        <v>2</v>
      </c>
      <c r="O3001" s="8" t="str">
        <f ca="1">IFERROR(__xludf.DUMMYFUNCTION("""COMPUTED_VALUE"""),"Fall")</f>
        <v>Fall</v>
      </c>
      <c r="P3001" s="8" t="str">
        <f ca="1">IFERROR(__xludf.DUMMYFUNCTION("""COMPUTED_VALUE"""),"St. Louis")</f>
        <v>St. Louis</v>
      </c>
      <c r="Q3001" s="8" t="str">
        <f ca="1">IFERROR(__xludf.DUMMYFUNCTION("""COMPUTED_VALUE"""),"MO")</f>
        <v>MO</v>
      </c>
      <c r="R3001" s="8" t="str">
        <f ca="1">IFERROR(__xludf.DUMMYFUNCTION("""COMPUTED_VALUE"""),"High")</f>
        <v>High</v>
      </c>
      <c r="S3001" s="8" t="str">
        <f ca="1">IFERROR(__xludf.DUMMYFUNCTION("""COMPUTED_VALUE"""),"Hallway")</f>
        <v>Hallway</v>
      </c>
      <c r="T3001" s="8" t="str">
        <f ca="1">IFERROR(__xludf.DUMMYFUNCTION("""COMPUTED_VALUE"""),"Inside School Building")</f>
        <v>Inside School Building</v>
      </c>
      <c r="U3001" s="8" t="str">
        <f ca="1">IFERROR(__xludf.DUMMYFUNCTION("""COMPUTED_VALUE"""),"Yes")</f>
        <v>Yes</v>
      </c>
      <c r="V3001" s="8"/>
      <c r="W3001" s="8"/>
      <c r="X3001" s="8"/>
      <c r="Y3001" s="12" t="str">
        <f ca="1">IFERROR(__xludf.DUMMYFUNCTION("""COMPUTED_VALUE"""),"Shot another student in 2nd floor hallway")</f>
        <v>Shot another student in 2nd floor hallway</v>
      </c>
      <c r="Z3001" s="12" t="str">
        <f ca="1">IFERROR(__xludf.DUMMYFUNCTION("""COMPUTED_VALUE"""),"A 16 year-old male student shot a 15 year-old male student in 2nd floor hallway.")</f>
        <v>A 16 year-old male student shot a 15 year-old male student in 2nd floor hallway.</v>
      </c>
      <c r="AA3001" s="8" t="str">
        <f ca="1">IFERROR(__xludf.DUMMYFUNCTION("""COMPUTED_VALUE"""),"Escalation of Dispute")</f>
        <v>Escalation of Dispute</v>
      </c>
      <c r="AB3001" s="8"/>
      <c r="AC3001" s="8"/>
      <c r="AD3001" s="8" t="str">
        <f ca="1">IFERROR(__xludf.DUMMYFUNCTION("""COMPUTED_VALUE"""),"Victims Targeted")</f>
        <v>Victims Targeted</v>
      </c>
      <c r="AE3001" s="8" t="str">
        <f ca="1">IFERROR(__xludf.DUMMYFUNCTION("""COMPUTED_VALUE"""),"No")</f>
        <v>No</v>
      </c>
      <c r="AF3001" s="8"/>
      <c r="AG3001" s="8" t="str">
        <f ca="1">IFERROR(__xludf.DUMMYFUNCTION("""COMPUTED_VALUE"""),"No")</f>
        <v>No</v>
      </c>
      <c r="AH3001" s="8" t="str">
        <f ca="1">IFERROR(__xludf.DUMMYFUNCTION("""COMPUTED_VALUE"""),"No")</f>
        <v>No</v>
      </c>
      <c r="AI3001" s="8" t="str">
        <f ca="1">IFERROR(__xludf.DUMMYFUNCTION("""COMPUTED_VALUE"""),"No")</f>
        <v>No</v>
      </c>
      <c r="AJ3001" s="8"/>
      <c r="AK3001" s="8"/>
      <c r="AL3001" s="8" t="str">
        <f ca="1">IFERROR(__xludf.DUMMYFUNCTION("""COMPUTED_VALUE"""),"No")</f>
        <v>No</v>
      </c>
      <c r="AM3001" s="8"/>
      <c r="AN3001" s="8"/>
      <c r="AO3001" s="8" t="str">
        <f ca="1">IFERROR(__xludf.DUMMYFUNCTION("""COMPUTED_VALUE"""),"No")</f>
        <v>No</v>
      </c>
      <c r="AP3001" s="8"/>
      <c r="AQ3001" s="8" t="str">
        <f ca="1">IFERROR(__xludf.DUMMYFUNCTION("""COMPUTED_VALUE"""),"Unknown")</f>
        <v>Unknown</v>
      </c>
      <c r="AR3001" s="8" t="str">
        <f ca="1">IFERROR(__xludf.DUMMYFUNCTION("""COMPUTED_VALUE"""),"NA")</f>
        <v>NA</v>
      </c>
      <c r="AS3001" s="8"/>
      <c r="AT3001" s="8"/>
      <c r="AU3001" s="8">
        <f ca="1">IFERROR(__xludf.DUMMYFUNCTION("""COMPUTED_VALUE"""),38.647283)</f>
        <v>38.647283000000002</v>
      </c>
      <c r="AV3001" s="8">
        <f ca="1">IFERROR(__xludf.DUMMYFUNCTION("""COMPUTED_VALUE"""),-90.220787)</f>
        <v>-90.220787000000001</v>
      </c>
      <c r="AW3001" s="8"/>
      <c r="AX3001" s="8">
        <f ca="1">IFERROR(__xludf.DUMMYFUNCTION("""COMPUTED_VALUE"""),63106)</f>
        <v>63106</v>
      </c>
    </row>
    <row r="3002" spans="1:50" ht="90" x14ac:dyDescent="0.2">
      <c r="A3002" s="8" t="str">
        <f ca="1">IFERROR(__xludf.DUMMYFUNCTION("""COMPUTED_VALUE"""),"19771129MOHAS")</f>
        <v>19771129MOHAS</v>
      </c>
      <c r="B3002" s="8">
        <f ca="1">IFERROR(__xludf.DUMMYFUNCTION("""COMPUTED_VALUE"""),11)</f>
        <v>11</v>
      </c>
      <c r="C3002" s="8">
        <f ca="1">IFERROR(__xludf.DUMMYFUNCTION("""COMPUTED_VALUE"""),29)</f>
        <v>29</v>
      </c>
      <c r="D3002" s="8">
        <f ca="1">IFERROR(__xludf.DUMMYFUNCTION("""COMPUTED_VALUE"""),1977)</f>
        <v>1977</v>
      </c>
      <c r="E3002" s="9">
        <f ca="1">IFERROR(__xludf.DUMMYFUNCTION("""COMPUTED_VALUE"""),28458)</f>
        <v>28458</v>
      </c>
      <c r="F3002" s="8" t="str">
        <f ca="1">IFERROR(__xludf.DUMMYFUNCTION("""COMPUTED_VALUE"""),"Hazelwood Central Senior High School")</f>
        <v>Hazelwood Central Senior High School</v>
      </c>
      <c r="G3002" s="8">
        <f ca="1">IFERROR(__xludf.DUMMYFUNCTION("""COMPUTED_VALUE"""),0)</f>
        <v>0</v>
      </c>
      <c r="H3002" s="8">
        <f ca="1">IFERROR(__xludf.DUMMYFUNCTION("""COMPUTED_VALUE"""),0)</f>
        <v>0</v>
      </c>
      <c r="I3002" s="8">
        <f ca="1">IFERROR(__xludf.DUMMYFUNCTION("""COMPUTED_VALUE"""),0)</f>
        <v>0</v>
      </c>
      <c r="J3002" s="8">
        <f ca="1">IFERROR(__xludf.DUMMYFUNCTION("""COMPUTED_VALUE"""),0)</f>
        <v>0</v>
      </c>
      <c r="K3002" s="10" t="str">
        <f ca="1">IFERROR(__xludf.DUMMYFUNCTION("""COMPUTED_VALUE"""),"https://www.newspapers.com/image/139128319/?terms=school%2Bshooting")</f>
        <v>https://www.newspapers.com/image/139128319/?terms=school%2Bshooting</v>
      </c>
      <c r="L3002" s="8"/>
      <c r="M3002" s="8"/>
      <c r="N3002" s="8">
        <f ca="1">IFERROR(__xludf.DUMMYFUNCTION("""COMPUTED_VALUE"""),2)</f>
        <v>2</v>
      </c>
      <c r="O3002" s="8" t="str">
        <f ca="1">IFERROR(__xludf.DUMMYFUNCTION("""COMPUTED_VALUE"""),"Fall")</f>
        <v>Fall</v>
      </c>
      <c r="P3002" s="8" t="str">
        <f ca="1">IFERROR(__xludf.DUMMYFUNCTION("""COMPUTED_VALUE"""),"St. Louis")</f>
        <v>St. Louis</v>
      </c>
      <c r="Q3002" s="8" t="str">
        <f ca="1">IFERROR(__xludf.DUMMYFUNCTION("""COMPUTED_VALUE"""),"MO")</f>
        <v>MO</v>
      </c>
      <c r="R3002" s="8" t="str">
        <f ca="1">IFERROR(__xludf.DUMMYFUNCTION("""COMPUTED_VALUE"""),"High")</f>
        <v>High</v>
      </c>
      <c r="S3002" s="8" t="str">
        <f ca="1">IFERROR(__xludf.DUMMYFUNCTION("""COMPUTED_VALUE"""),"Outside on School Property")</f>
        <v>Outside on School Property</v>
      </c>
      <c r="T3002" s="8" t="str">
        <f ca="1">IFERROR(__xludf.DUMMYFUNCTION("""COMPUTED_VALUE"""),"Outside on School Property")</f>
        <v>Outside on School Property</v>
      </c>
      <c r="U3002" s="8" t="str">
        <f ca="1">IFERROR(__xludf.DUMMYFUNCTION("""COMPUTED_VALUE"""),"No")</f>
        <v>No</v>
      </c>
      <c r="V3002" s="8" t="str">
        <f ca="1">IFERROR(__xludf.DUMMYFUNCTION("""COMPUTED_VALUE"""),"School Event")</f>
        <v>School Event</v>
      </c>
      <c r="W3002" s="11">
        <f ca="1">IFERROR(__xludf.DUMMYFUNCTION("""COMPUTED_VALUE"""),0.795138888888888)</f>
        <v>0.79513888888888795</v>
      </c>
      <c r="X3002" s="8">
        <f ca="1">IFERROR(__xludf.DUMMYFUNCTION("""COMPUTED_VALUE"""),10)</f>
        <v>10</v>
      </c>
      <c r="Y3002" s="12" t="str">
        <f ca="1">IFERROR(__xludf.DUMMYFUNCTION("""COMPUTED_VALUE"""),"Fired shots into school windows during awards ceremony")</f>
        <v>Fired shots into school windows during awards ceremony</v>
      </c>
      <c r="Z3002" s="12" t="str">
        <f ca="1">IFERROR(__xludf.DUMMYFUNCTION("""COMPUTED_VALUE"""),"A 19 year-old male shooter fired 7 shots into windows of school during an awards ceremony. 10 minutes later, the shooter moved to a different location firing shots at the glass gym doors (shots just missed students standing inside the doors). Shooter had "&amp;"mud on clothing and was noticed by police officer investigating the gunshots.")</f>
        <v>A 19 year-old male shooter fired 7 shots into windows of school during an awards ceremony. 10 minutes later, the shooter moved to a different location firing shots at the glass gym doors (shots just missed students standing inside the doors). Shooter had mud on clothing and was noticed by police officer investigating the gunshots.</v>
      </c>
      <c r="AA3002" s="8" t="str">
        <f ca="1">IFERROR(__xludf.DUMMYFUNCTION("""COMPUTED_VALUE"""),"Indiscriminate Shooting")</f>
        <v>Indiscriminate Shooting</v>
      </c>
      <c r="AB3002" s="8"/>
      <c r="AC3002" s="8"/>
      <c r="AD3002" s="8" t="str">
        <f ca="1">IFERROR(__xludf.DUMMYFUNCTION("""COMPUTED_VALUE"""),"Neither")</f>
        <v>Neither</v>
      </c>
      <c r="AE3002" s="8" t="str">
        <f ca="1">IFERROR(__xludf.DUMMYFUNCTION("""COMPUTED_VALUE"""),"No")</f>
        <v>No</v>
      </c>
      <c r="AF3002" s="8"/>
      <c r="AG3002" s="8" t="str">
        <f ca="1">IFERROR(__xludf.DUMMYFUNCTION("""COMPUTED_VALUE"""),"No")</f>
        <v>No</v>
      </c>
      <c r="AH3002" s="8" t="str">
        <f ca="1">IFERROR(__xludf.DUMMYFUNCTION("""COMPUTED_VALUE"""),"No")</f>
        <v>No</v>
      </c>
      <c r="AI3002" s="8" t="str">
        <f ca="1">IFERROR(__xludf.DUMMYFUNCTION("""COMPUTED_VALUE"""),"No")</f>
        <v>No</v>
      </c>
      <c r="AJ3002" s="8"/>
      <c r="AK3002" s="8"/>
      <c r="AL3002" s="8" t="str">
        <f ca="1">IFERROR(__xludf.DUMMYFUNCTION("""COMPUTED_VALUE"""),"No")</f>
        <v>No</v>
      </c>
      <c r="AM3002" s="8" t="str">
        <f ca="1">IFERROR(__xludf.DUMMYFUNCTION("""COMPUTED_VALUE"""),"Yes")</f>
        <v>Yes</v>
      </c>
      <c r="AN3002" s="8" t="str">
        <f ca="1">IFERROR(__xludf.DUMMYFUNCTION("""COMPUTED_VALUE"""),"Outside")</f>
        <v>Outside</v>
      </c>
      <c r="AO3002" s="8"/>
      <c r="AP3002" s="8"/>
      <c r="AQ3002" s="8" t="str">
        <f ca="1">IFERROR(__xludf.DUMMYFUNCTION("""COMPUTED_VALUE"""),"Unknown")</f>
        <v>Unknown</v>
      </c>
      <c r="AR3002" s="8" t="str">
        <f ca="1">IFERROR(__xludf.DUMMYFUNCTION("""COMPUTED_VALUE"""),"NA")</f>
        <v>NA</v>
      </c>
      <c r="AS3002" s="8">
        <f ca="1">IFERROR(__xludf.DUMMYFUNCTION("""COMPUTED_VALUE"""),10)</f>
        <v>10</v>
      </c>
      <c r="AT3002" s="8"/>
      <c r="AU3002" s="8">
        <f ca="1">IFERROR(__xludf.DUMMYFUNCTION("""COMPUTED_VALUE"""),38.829889)</f>
        <v>38.829889000000001</v>
      </c>
      <c r="AV3002" s="8">
        <f ca="1">IFERROR(__xludf.DUMMYFUNCTION("""COMPUTED_VALUE"""),-90.316218)</f>
        <v>-90.316218000000006</v>
      </c>
      <c r="AW3002" s="8"/>
      <c r="AX3002" s="8">
        <f ca="1">IFERROR(__xludf.DUMMYFUNCTION("""COMPUTED_VALUE"""),63031)</f>
        <v>63031</v>
      </c>
    </row>
    <row r="3003" spans="1:50" ht="45" x14ac:dyDescent="0.2">
      <c r="A3003" s="8" t="str">
        <f ca="1">IFERROR(__xludf.DUMMYFUNCTION("""COMPUTED_VALUE"""),"19770711COSOC")</f>
        <v>19770711COSOC</v>
      </c>
      <c r="B3003" s="8">
        <f ca="1">IFERROR(__xludf.DUMMYFUNCTION("""COMPUTED_VALUE"""),7)</f>
        <v>7</v>
      </c>
      <c r="C3003" s="8">
        <f ca="1">IFERROR(__xludf.DUMMYFUNCTION("""COMPUTED_VALUE"""),11)</f>
        <v>11</v>
      </c>
      <c r="D3003" s="8">
        <f ca="1">IFERROR(__xludf.DUMMYFUNCTION("""COMPUTED_VALUE"""),1977)</f>
        <v>1977</v>
      </c>
      <c r="E3003" s="9">
        <f ca="1">IFERROR(__xludf.DUMMYFUNCTION("""COMPUTED_VALUE"""),28317)</f>
        <v>28317</v>
      </c>
      <c r="F3003" s="8" t="str">
        <f ca="1">IFERROR(__xludf.DUMMYFUNCTION("""COMPUTED_VALUE"""),"South Junior High School")</f>
        <v>South Junior High School</v>
      </c>
      <c r="G3003" s="8">
        <f ca="1">IFERROR(__xludf.DUMMYFUNCTION("""COMPUTED_VALUE"""),0)</f>
        <v>0</v>
      </c>
      <c r="H3003" s="8">
        <f ca="1">IFERROR(__xludf.DUMMYFUNCTION("""COMPUTED_VALUE"""),1)</f>
        <v>1</v>
      </c>
      <c r="I3003" s="8">
        <f ca="1">IFERROR(__xludf.DUMMYFUNCTION("""COMPUTED_VALUE"""),1)</f>
        <v>1</v>
      </c>
      <c r="J3003" s="8">
        <f ca="1">IFERROR(__xludf.DUMMYFUNCTION("""COMPUTED_VALUE"""),0)</f>
        <v>0</v>
      </c>
      <c r="K3003" s="10" t="str">
        <f ca="1">IFERROR(__xludf.DUMMYFUNCTION("""COMPUTED_VALUE"""),"https://www.newspapers.com/image/86275915/?terms=school%2Bshooting")</f>
        <v>https://www.newspapers.com/image/86275915/?terms=school%2Bshooting</v>
      </c>
      <c r="L3003" s="8"/>
      <c r="M3003" s="8"/>
      <c r="N3003" s="8">
        <f ca="1">IFERROR(__xludf.DUMMYFUNCTION("""COMPUTED_VALUE"""),2)</f>
        <v>2</v>
      </c>
      <c r="O3003" s="8" t="str">
        <f ca="1">IFERROR(__xludf.DUMMYFUNCTION("""COMPUTED_VALUE"""),"Summer")</f>
        <v>Summer</v>
      </c>
      <c r="P3003" s="8" t="str">
        <f ca="1">IFERROR(__xludf.DUMMYFUNCTION("""COMPUTED_VALUE"""),"Colorado Springs")</f>
        <v>Colorado Springs</v>
      </c>
      <c r="Q3003" s="8" t="str">
        <f ca="1">IFERROR(__xludf.DUMMYFUNCTION("""COMPUTED_VALUE"""),"CO")</f>
        <v>CO</v>
      </c>
      <c r="R3003" s="8" t="str">
        <f ca="1">IFERROR(__xludf.DUMMYFUNCTION("""COMPUTED_VALUE"""),"Junior High")</f>
        <v>Junior High</v>
      </c>
      <c r="S3003" s="8" t="str">
        <f ca="1">IFERROR(__xludf.DUMMYFUNCTION("""COMPUTED_VALUE"""),"Beside Building")</f>
        <v>Beside Building</v>
      </c>
      <c r="T3003" s="8" t="str">
        <f ca="1">IFERROR(__xludf.DUMMYFUNCTION("""COMPUTED_VALUE"""),"Outside on School Property")</f>
        <v>Outside on School Property</v>
      </c>
      <c r="U3003" s="8" t="str">
        <f ca="1">IFERROR(__xludf.DUMMYFUNCTION("""COMPUTED_VALUE"""),"No")</f>
        <v>No</v>
      </c>
      <c r="V3003" s="8" t="str">
        <f ca="1">IFERROR(__xludf.DUMMYFUNCTION("""COMPUTED_VALUE"""),"Not a School Day")</f>
        <v>Not a School Day</v>
      </c>
      <c r="W3003" s="8"/>
      <c r="X3003" s="8"/>
      <c r="Y3003" s="12" t="str">
        <f ca="1">IFERROR(__xludf.DUMMYFUNCTION("""COMPUTED_VALUE"""),"Student shot outside gym during basketball game")</f>
        <v>Student shot outside gym during basketball game</v>
      </c>
      <c r="Z3003" s="12" t="str">
        <f ca="1">IFERROR(__xludf.DUMMYFUNCTION("""COMPUTED_VALUE"""),"15 year-old male student was shot outside of the gym during a youth summer league basketball game. Two 15 year-old male students questioned.")</f>
        <v>15 year-old male student was shot outside of the gym during a youth summer league basketball game. Two 15 year-old male students questioned.</v>
      </c>
      <c r="AA3003" s="8" t="str">
        <f ca="1">IFERROR(__xludf.DUMMYFUNCTION("""COMPUTED_VALUE"""),"Escalation of Dispute")</f>
        <v>Escalation of Dispute</v>
      </c>
      <c r="AB3003" s="8"/>
      <c r="AC3003" s="8"/>
      <c r="AD3003" s="8"/>
      <c r="AE3003" s="8" t="str">
        <f ca="1">IFERROR(__xludf.DUMMYFUNCTION("""COMPUTED_VALUE"""),"No")</f>
        <v>No</v>
      </c>
      <c r="AF3003" s="8"/>
      <c r="AG3003" s="8" t="str">
        <f ca="1">IFERROR(__xludf.DUMMYFUNCTION("""COMPUTED_VALUE"""),"No")</f>
        <v>No</v>
      </c>
      <c r="AH3003" s="8" t="str">
        <f ca="1">IFERROR(__xludf.DUMMYFUNCTION("""COMPUTED_VALUE"""),"No")</f>
        <v>No</v>
      </c>
      <c r="AI3003" s="8" t="str">
        <f ca="1">IFERROR(__xludf.DUMMYFUNCTION("""COMPUTED_VALUE"""),"No")</f>
        <v>No</v>
      </c>
      <c r="AJ3003" s="8" t="str">
        <f ca="1">IFERROR(__xludf.DUMMYFUNCTION("""COMPUTED_VALUE"""),"No")</f>
        <v>No</v>
      </c>
      <c r="AK3003" s="8" t="str">
        <f ca="1">IFERROR(__xludf.DUMMYFUNCTION("""COMPUTED_VALUE"""),"No")</f>
        <v>No</v>
      </c>
      <c r="AL3003" s="8" t="str">
        <f ca="1">IFERROR(__xludf.DUMMYFUNCTION("""COMPUTED_VALUE"""),"No")</f>
        <v>No</v>
      </c>
      <c r="AM3003" s="8"/>
      <c r="AN3003" s="8"/>
      <c r="AO3003" s="8" t="str">
        <f ca="1">IFERROR(__xludf.DUMMYFUNCTION("""COMPUTED_VALUE"""),"No")</f>
        <v>No</v>
      </c>
      <c r="AP3003" s="8"/>
      <c r="AQ3003" s="8" t="str">
        <f ca="1">IFERROR(__xludf.DUMMYFUNCTION("""COMPUTED_VALUE"""),"Unknown")</f>
        <v>Unknown</v>
      </c>
      <c r="AR3003" s="8" t="str">
        <f ca="1">IFERROR(__xludf.DUMMYFUNCTION("""COMPUTED_VALUE"""),"NA")</f>
        <v>NA</v>
      </c>
      <c r="AS3003" s="8">
        <f ca="1">IFERROR(__xludf.DUMMYFUNCTION("""COMPUTED_VALUE"""),1)</f>
        <v>1</v>
      </c>
      <c r="AT3003" s="8"/>
      <c r="AU3003" s="8">
        <f ca="1">IFERROR(__xludf.DUMMYFUNCTION("""COMPUTED_VALUE"""),38.8333852)</f>
        <v>38.833385200000002</v>
      </c>
      <c r="AV3003" s="8">
        <f ca="1">IFERROR(__xludf.DUMMYFUNCTION("""COMPUTED_VALUE"""),-104.8233623)</f>
        <v>-104.8233623</v>
      </c>
      <c r="AW3003" s="8"/>
      <c r="AX3003" s="8">
        <f ca="1">IFERROR(__xludf.DUMMYFUNCTION("""COMPUTED_VALUE"""),80903)</f>
        <v>80903</v>
      </c>
    </row>
    <row r="3004" spans="1:50" ht="60" x14ac:dyDescent="0.2">
      <c r="A3004" s="8" t="str">
        <f ca="1">IFERROR(__xludf.DUMMYFUNCTION("""COMPUTED_VALUE"""),"19770622ILHOC")</f>
        <v>19770622ILHOC</v>
      </c>
      <c r="B3004" s="8">
        <f ca="1">IFERROR(__xludf.DUMMYFUNCTION("""COMPUTED_VALUE"""),6)</f>
        <v>6</v>
      </c>
      <c r="C3004" s="8">
        <f ca="1">IFERROR(__xludf.DUMMYFUNCTION("""COMPUTED_VALUE"""),22)</f>
        <v>22</v>
      </c>
      <c r="D3004" s="8">
        <f ca="1">IFERROR(__xludf.DUMMYFUNCTION("""COMPUTED_VALUE"""),1977)</f>
        <v>1977</v>
      </c>
      <c r="E3004" s="9">
        <f ca="1">IFERROR(__xludf.DUMMYFUNCTION("""COMPUTED_VALUE"""),28298)</f>
        <v>28298</v>
      </c>
      <c r="F3004" s="8" t="str">
        <f ca="1">IFERROR(__xludf.DUMMYFUNCTION("""COMPUTED_VALUE"""),"Holy Trinity High School")</f>
        <v>Holy Trinity High School</v>
      </c>
      <c r="G3004" s="8">
        <f ca="1">IFERROR(__xludf.DUMMYFUNCTION("""COMPUTED_VALUE"""),0)</f>
        <v>0</v>
      </c>
      <c r="H3004" s="8">
        <f ca="1">IFERROR(__xludf.DUMMYFUNCTION("""COMPUTED_VALUE"""),2)</f>
        <v>2</v>
      </c>
      <c r="I3004" s="8">
        <f ca="1">IFERROR(__xludf.DUMMYFUNCTION("""COMPUTED_VALUE"""),2)</f>
        <v>2</v>
      </c>
      <c r="J3004" s="8">
        <f ca="1">IFERROR(__xludf.DUMMYFUNCTION("""COMPUTED_VALUE"""),0)</f>
        <v>0</v>
      </c>
      <c r="K3004" s="10" t="str">
        <f ca="1">IFERROR(__xludf.DUMMYFUNCTION("""COMPUTED_VALUE"""),"https://www.newspapers.com/image/131852835/?terms=school%2Bshooting")</f>
        <v>https://www.newspapers.com/image/131852835/?terms=school%2Bshooting</v>
      </c>
      <c r="L3004" s="8"/>
      <c r="M3004" s="8"/>
      <c r="N3004" s="8">
        <f ca="1">IFERROR(__xludf.DUMMYFUNCTION("""COMPUTED_VALUE"""),2)</f>
        <v>2</v>
      </c>
      <c r="O3004" s="8" t="str">
        <f ca="1">IFERROR(__xludf.DUMMYFUNCTION("""COMPUTED_VALUE"""),"Summer")</f>
        <v>Summer</v>
      </c>
      <c r="P3004" s="8" t="str">
        <f ca="1">IFERROR(__xludf.DUMMYFUNCTION("""COMPUTED_VALUE"""),"Chicago")</f>
        <v>Chicago</v>
      </c>
      <c r="Q3004" s="8" t="str">
        <f ca="1">IFERROR(__xludf.DUMMYFUNCTION("""COMPUTED_VALUE"""),"IL")</f>
        <v>IL</v>
      </c>
      <c r="R3004" s="8" t="str">
        <f ca="1">IFERROR(__xludf.DUMMYFUNCTION("""COMPUTED_VALUE"""),"High")</f>
        <v>High</v>
      </c>
      <c r="S3004" s="8" t="str">
        <f ca="1">IFERROR(__xludf.DUMMYFUNCTION("""COMPUTED_VALUE"""),"Beside Building")</f>
        <v>Beside Building</v>
      </c>
      <c r="T3004" s="8" t="str">
        <f ca="1">IFERROR(__xludf.DUMMYFUNCTION("""COMPUTED_VALUE"""),"Outside on School Property")</f>
        <v>Outside on School Property</v>
      </c>
      <c r="U3004" s="8" t="str">
        <f ca="1">IFERROR(__xludf.DUMMYFUNCTION("""COMPUTED_VALUE"""),"Yes")</f>
        <v>Yes</v>
      </c>
      <c r="V3004" s="8"/>
      <c r="W3004" s="8"/>
      <c r="X3004" s="8"/>
      <c r="Y3004" s="12" t="str">
        <f ca="1">IFERROR(__xludf.DUMMYFUNCTION("""COMPUTED_VALUE"""),"Two students shot during dispute outside of school building")</f>
        <v>Two students shot during dispute outside of school building</v>
      </c>
      <c r="Z3004" s="12" t="str">
        <f ca="1">IFERROR(__xludf.DUMMYFUNCTION("""COMPUTED_VALUE"""),"Two 18 year-old male victims were shot during a fight outside of the school. Shooter fled the scene and was not identified.")</f>
        <v>Two 18 year-old male victims were shot during a fight outside of the school. Shooter fled the scene and was not identified.</v>
      </c>
      <c r="AA3004" s="8" t="str">
        <f ca="1">IFERROR(__xludf.DUMMYFUNCTION("""COMPUTED_VALUE"""),"Escalation of Dispute")</f>
        <v>Escalation of Dispute</v>
      </c>
      <c r="AB3004" s="8"/>
      <c r="AC3004" s="8"/>
      <c r="AD3004" s="8" t="str">
        <f ca="1">IFERROR(__xludf.DUMMYFUNCTION("""COMPUTED_VALUE"""),"Victims Targeted")</f>
        <v>Victims Targeted</v>
      </c>
      <c r="AE3004" s="8" t="str">
        <f ca="1">IFERROR(__xludf.DUMMYFUNCTION("""COMPUTED_VALUE"""),"No")</f>
        <v>No</v>
      </c>
      <c r="AF3004" s="8"/>
      <c r="AG3004" s="8" t="str">
        <f ca="1">IFERROR(__xludf.DUMMYFUNCTION("""COMPUTED_VALUE"""),"No")</f>
        <v>No</v>
      </c>
      <c r="AH3004" s="8" t="str">
        <f ca="1">IFERROR(__xludf.DUMMYFUNCTION("""COMPUTED_VALUE"""),"No")</f>
        <v>No</v>
      </c>
      <c r="AI3004" s="8" t="str">
        <f ca="1">IFERROR(__xludf.DUMMYFUNCTION("""COMPUTED_VALUE"""),"No")</f>
        <v>No</v>
      </c>
      <c r="AJ3004" s="8" t="str">
        <f ca="1">IFERROR(__xludf.DUMMYFUNCTION("""COMPUTED_VALUE"""),"No")</f>
        <v>No</v>
      </c>
      <c r="AK3004" s="8" t="str">
        <f ca="1">IFERROR(__xludf.DUMMYFUNCTION("""COMPUTED_VALUE"""),"No")</f>
        <v>No</v>
      </c>
      <c r="AL3004" s="8" t="str">
        <f ca="1">IFERROR(__xludf.DUMMYFUNCTION("""COMPUTED_VALUE"""),"No")</f>
        <v>No</v>
      </c>
      <c r="AM3004" s="8"/>
      <c r="AN3004" s="8"/>
      <c r="AO3004" s="8" t="str">
        <f ca="1">IFERROR(__xludf.DUMMYFUNCTION("""COMPUTED_VALUE"""),"No")</f>
        <v>No</v>
      </c>
      <c r="AP3004" s="8"/>
      <c r="AQ3004" s="8" t="str">
        <f ca="1">IFERROR(__xludf.DUMMYFUNCTION("""COMPUTED_VALUE"""),"Unknown")</f>
        <v>Unknown</v>
      </c>
      <c r="AR3004" s="8" t="str">
        <f ca="1">IFERROR(__xludf.DUMMYFUNCTION("""COMPUTED_VALUE"""),"NA")</f>
        <v>NA</v>
      </c>
      <c r="AS3004" s="8"/>
      <c r="AT3004" s="8"/>
      <c r="AU3004" s="8">
        <f ca="1">IFERROR(__xludf.DUMMYFUNCTION("""COMPUTED_VALUE"""),41.903159)</f>
        <v>41.903159000000002</v>
      </c>
      <c r="AV3004" s="8">
        <f ca="1">IFERROR(__xludf.DUMMYFUNCTION("""COMPUTED_VALUE"""),-87.664014)</f>
        <v>-87.664013999999995</v>
      </c>
      <c r="AW3004" s="8"/>
      <c r="AX3004" s="8">
        <f ca="1">IFERROR(__xludf.DUMMYFUNCTION("""COMPUTED_VALUE"""),60642)</f>
        <v>60642</v>
      </c>
    </row>
    <row r="3005" spans="1:50" ht="60" x14ac:dyDescent="0.2">
      <c r="A3005" s="8" t="str">
        <f ca="1">IFERROR(__xludf.DUMMYFUNCTION("""COMPUTED_VALUE"""),"19770517FLSTC")</f>
        <v>19770517FLSTC</v>
      </c>
      <c r="B3005" s="8">
        <f ca="1">IFERROR(__xludf.DUMMYFUNCTION("""COMPUTED_VALUE"""),5)</f>
        <v>5</v>
      </c>
      <c r="C3005" s="8">
        <f ca="1">IFERROR(__xludf.DUMMYFUNCTION("""COMPUTED_VALUE"""),17)</f>
        <v>17</v>
      </c>
      <c r="D3005" s="8">
        <f ca="1">IFERROR(__xludf.DUMMYFUNCTION("""COMPUTED_VALUE"""),1977)</f>
        <v>1977</v>
      </c>
      <c r="E3005" s="9">
        <f ca="1">IFERROR(__xludf.DUMMYFUNCTION("""COMPUTED_VALUE"""),28262)</f>
        <v>28262</v>
      </c>
      <c r="F3005" s="8" t="str">
        <f ca="1">IFERROR(__xludf.DUMMYFUNCTION("""COMPUTED_VALUE"""),"Stone Middle School")</f>
        <v>Stone Middle School</v>
      </c>
      <c r="G3005" s="8">
        <f ca="1">IFERROR(__xludf.DUMMYFUNCTION("""COMPUTED_VALUE"""),0)</f>
        <v>0</v>
      </c>
      <c r="H3005" s="8">
        <f ca="1">IFERROR(__xludf.DUMMYFUNCTION("""COMPUTED_VALUE"""),0)</f>
        <v>0</v>
      </c>
      <c r="I3005" s="8">
        <f ca="1">IFERROR(__xludf.DUMMYFUNCTION("""COMPUTED_VALUE"""),0)</f>
        <v>0</v>
      </c>
      <c r="J3005" s="8">
        <f ca="1">IFERROR(__xludf.DUMMYFUNCTION("""COMPUTED_VALUE"""),0)</f>
        <v>0</v>
      </c>
      <c r="K3005" s="10" t="str">
        <f ca="1">IFERROR(__xludf.DUMMYFUNCTION("""COMPUTED_VALUE"""),"https://www.newspapers.com/image/124954684/?terms=school%2Bshooting")</f>
        <v>https://www.newspapers.com/image/124954684/?terms=school%2Bshooting</v>
      </c>
      <c r="L3005" s="8"/>
      <c r="M3005" s="8"/>
      <c r="N3005" s="8">
        <f ca="1">IFERROR(__xludf.DUMMYFUNCTION("""COMPUTED_VALUE"""),2)</f>
        <v>2</v>
      </c>
      <c r="O3005" s="8" t="str">
        <f ca="1">IFERROR(__xludf.DUMMYFUNCTION("""COMPUTED_VALUE"""),"Spring")</f>
        <v>Spring</v>
      </c>
      <c r="P3005" s="8" t="str">
        <f ca="1">IFERROR(__xludf.DUMMYFUNCTION("""COMPUTED_VALUE"""),"Cocoa")</f>
        <v>Cocoa</v>
      </c>
      <c r="Q3005" s="8" t="str">
        <f ca="1">IFERROR(__xludf.DUMMYFUNCTION("""COMPUTED_VALUE"""),"FL")</f>
        <v>FL</v>
      </c>
      <c r="R3005" s="8" t="str">
        <f ca="1">IFERROR(__xludf.DUMMYFUNCTION("""COMPUTED_VALUE"""),"Middle")</f>
        <v>Middle</v>
      </c>
      <c r="S3005" s="8" t="str">
        <f ca="1">IFERROR(__xludf.DUMMYFUNCTION("""COMPUTED_VALUE"""),"Playground")</f>
        <v>Playground</v>
      </c>
      <c r="T3005" s="8" t="str">
        <f ca="1">IFERROR(__xludf.DUMMYFUNCTION("""COMPUTED_VALUE"""),"Outside on School Property")</f>
        <v>Outside on School Property</v>
      </c>
      <c r="U3005" s="8" t="str">
        <f ca="1">IFERROR(__xludf.DUMMYFUNCTION("""COMPUTED_VALUE"""),"No")</f>
        <v>No</v>
      </c>
      <c r="V3005" s="8" t="str">
        <f ca="1">IFERROR(__xludf.DUMMYFUNCTION("""COMPUTED_VALUE"""),"Sport Event")</f>
        <v>Sport Event</v>
      </c>
      <c r="W3005" s="11">
        <f ca="1">IFERROR(__xludf.DUMMYFUNCTION("""COMPUTED_VALUE"""),0.84375)</f>
        <v>0.84375</v>
      </c>
      <c r="X3005" s="8"/>
      <c r="Y3005" s="12" t="str">
        <f ca="1">IFERROR(__xludf.DUMMYFUNCTION("""COMPUTED_VALUE"""),"Fired multiple shots into the school building during basketball game")</f>
        <v>Fired multiple shots into the school building during basketball game</v>
      </c>
      <c r="Z3005" s="12" t="str">
        <f ca="1">IFERROR(__xludf.DUMMYFUNCTION("""COMPUTED_VALUE"""),"22 year-old male fired multiple shots from vehicle into the school building during a basketball game. Drove to a shopping center and fired multiple shots. No injuries at either location.")</f>
        <v>22 year-old male fired multiple shots from vehicle into the school building during a basketball game. Drove to a shopping center and fired multiple shots. No injuries at either location.</v>
      </c>
      <c r="AA3005" s="8" t="str">
        <f ca="1">IFERROR(__xludf.DUMMYFUNCTION("""COMPUTED_VALUE"""),"Drive-by Shooting")</f>
        <v>Drive-by Shooting</v>
      </c>
      <c r="AB3005" s="8"/>
      <c r="AC3005" s="8"/>
      <c r="AD3005" s="8"/>
      <c r="AE3005" s="8" t="str">
        <f ca="1">IFERROR(__xludf.DUMMYFUNCTION("""COMPUTED_VALUE"""),"No")</f>
        <v>No</v>
      </c>
      <c r="AF3005" s="8"/>
      <c r="AG3005" s="8" t="str">
        <f ca="1">IFERROR(__xludf.DUMMYFUNCTION("""COMPUTED_VALUE"""),"No")</f>
        <v>No</v>
      </c>
      <c r="AH3005" s="8" t="str">
        <f ca="1">IFERROR(__xludf.DUMMYFUNCTION("""COMPUTED_VALUE"""),"No")</f>
        <v>No</v>
      </c>
      <c r="AI3005" s="8" t="str">
        <f ca="1">IFERROR(__xludf.DUMMYFUNCTION("""COMPUTED_VALUE"""),"No")</f>
        <v>No</v>
      </c>
      <c r="AJ3005" s="8"/>
      <c r="AK3005" s="8"/>
      <c r="AL3005" s="8" t="str">
        <f ca="1">IFERROR(__xludf.DUMMYFUNCTION("""COMPUTED_VALUE"""),"No")</f>
        <v>No</v>
      </c>
      <c r="AM3005" s="8"/>
      <c r="AN3005" s="8"/>
      <c r="AO3005" s="8" t="str">
        <f ca="1">IFERROR(__xludf.DUMMYFUNCTION("""COMPUTED_VALUE"""),"No")</f>
        <v>No</v>
      </c>
      <c r="AP3005" s="8"/>
      <c r="AQ3005" s="8" t="str">
        <f ca="1">IFERROR(__xludf.DUMMYFUNCTION("""COMPUTED_VALUE"""),"Unknown")</f>
        <v>Unknown</v>
      </c>
      <c r="AR3005" s="8" t="str">
        <f ca="1">IFERROR(__xludf.DUMMYFUNCTION("""COMPUTED_VALUE"""),"NA")</f>
        <v>NA</v>
      </c>
      <c r="AS3005" s="8"/>
      <c r="AT3005" s="8"/>
      <c r="AU3005" s="8">
        <f ca="1">IFERROR(__xludf.DUMMYFUNCTION("""COMPUTED_VALUE"""),28.06315)</f>
        <v>28.06315</v>
      </c>
      <c r="AV3005" s="8">
        <f ca="1">IFERROR(__xludf.DUMMYFUNCTION("""COMPUTED_VALUE"""),-80.603103)</f>
        <v>-80.603103000000004</v>
      </c>
      <c r="AW3005" s="8"/>
      <c r="AX3005" s="8">
        <f ca="1">IFERROR(__xludf.DUMMYFUNCTION("""COMPUTED_VALUE"""),32905)</f>
        <v>32905</v>
      </c>
    </row>
    <row r="3006" spans="1:50" ht="75" x14ac:dyDescent="0.2">
      <c r="A3006" s="8" t="str">
        <f ca="1">IFERROR(__xludf.DUMMYFUNCTION("""COMPUTED_VALUE"""),"19770418TNPIN")</f>
        <v>19770418TNPIN</v>
      </c>
      <c r="B3006" s="8">
        <f ca="1">IFERROR(__xludf.DUMMYFUNCTION("""COMPUTED_VALUE"""),4)</f>
        <v>4</v>
      </c>
      <c r="C3006" s="8">
        <f ca="1">IFERROR(__xludf.DUMMYFUNCTION("""COMPUTED_VALUE"""),18)</f>
        <v>18</v>
      </c>
      <c r="D3006" s="8">
        <f ca="1">IFERROR(__xludf.DUMMYFUNCTION("""COMPUTED_VALUE"""),1977)</f>
        <v>1977</v>
      </c>
      <c r="E3006" s="9">
        <f ca="1">IFERROR(__xludf.DUMMYFUNCTION("""COMPUTED_VALUE"""),28233)</f>
        <v>28233</v>
      </c>
      <c r="F3006" s="8" t="str">
        <f ca="1">IFERROR(__xludf.DUMMYFUNCTION("""COMPUTED_VALUE"""),"Pioneer Christian Academy")</f>
        <v>Pioneer Christian Academy</v>
      </c>
      <c r="G3006" s="8">
        <f ca="1">IFERROR(__xludf.DUMMYFUNCTION("""COMPUTED_VALUE"""),1)</f>
        <v>1</v>
      </c>
      <c r="H3006" s="8">
        <f ca="1">IFERROR(__xludf.DUMMYFUNCTION("""COMPUTED_VALUE"""),0)</f>
        <v>0</v>
      </c>
      <c r="I3006" s="8">
        <f ca="1">IFERROR(__xludf.DUMMYFUNCTION("""COMPUTED_VALUE"""),1)</f>
        <v>1</v>
      </c>
      <c r="J3006" s="8">
        <f ca="1">IFERROR(__xludf.DUMMYFUNCTION("""COMPUTED_VALUE"""),0)</f>
        <v>0</v>
      </c>
      <c r="K3006" s="10" t="str">
        <f ca="1">IFERROR(__xludf.DUMMYFUNCTION("""COMPUTED_VALUE"""),"https://www.newspapers.com/image/112439487/?terms=school%2Bshooting")</f>
        <v>https://www.newspapers.com/image/112439487/?terms=school%2Bshooting</v>
      </c>
      <c r="L3006" s="8"/>
      <c r="M3006" s="8"/>
      <c r="N3006" s="8">
        <f ca="1">IFERROR(__xludf.DUMMYFUNCTION("""COMPUTED_VALUE"""),2)</f>
        <v>2</v>
      </c>
      <c r="O3006" s="8" t="str">
        <f ca="1">IFERROR(__xludf.DUMMYFUNCTION("""COMPUTED_VALUE"""),"Spring")</f>
        <v>Spring</v>
      </c>
      <c r="P3006" s="8" t="str">
        <f ca="1">IFERROR(__xludf.DUMMYFUNCTION("""COMPUTED_VALUE"""),"Nashville")</f>
        <v>Nashville</v>
      </c>
      <c r="Q3006" s="8" t="str">
        <f ca="1">IFERROR(__xludf.DUMMYFUNCTION("""COMPUTED_VALUE"""),"TN")</f>
        <v>TN</v>
      </c>
      <c r="R3006" s="8" t="str">
        <f ca="1">IFERROR(__xludf.DUMMYFUNCTION("""COMPUTED_VALUE"""),"Other")</f>
        <v>Other</v>
      </c>
      <c r="S3006" s="8" t="str">
        <f ca="1">IFERROR(__xludf.DUMMYFUNCTION("""COMPUTED_VALUE"""),"Parking Lot")</f>
        <v>Parking Lot</v>
      </c>
      <c r="T3006" s="8" t="str">
        <f ca="1">IFERROR(__xludf.DUMMYFUNCTION("""COMPUTED_VALUE"""),"Outside on School Property")</f>
        <v>Outside on School Property</v>
      </c>
      <c r="U3006" s="8" t="str">
        <f ca="1">IFERROR(__xludf.DUMMYFUNCTION("""COMPUTED_VALUE"""),"Yes")</f>
        <v>Yes</v>
      </c>
      <c r="V3006" s="8" t="str">
        <f ca="1">IFERROR(__xludf.DUMMYFUNCTION("""COMPUTED_VALUE"""),"School Start")</f>
        <v>School Start</v>
      </c>
      <c r="W3006" s="11">
        <f ca="1">IFERROR(__xludf.DUMMYFUNCTION("""COMPUTED_VALUE"""),0.375)</f>
        <v>0.375</v>
      </c>
      <c r="X3006" s="8">
        <f ca="1">IFERROR(__xludf.DUMMYFUNCTION("""COMPUTED_VALUE"""),1)</f>
        <v>1</v>
      </c>
      <c r="Y3006" s="12" t="str">
        <f ca="1">IFERROR(__xludf.DUMMYFUNCTION("""COMPUTED_VALUE"""),"Domestic quarrel between 2 men in school parking lot while parents were dropping kids off")</f>
        <v>Domestic quarrel between 2 men in school parking lot while parents were dropping kids off</v>
      </c>
      <c r="Z3006" s="12" t="str">
        <f ca="1">IFERROR(__xludf.DUMMYFUNCTION("""COMPUTED_VALUE"""),"41 year-old male shot and killed a 46 year-old male in parking lot as school was starting. Police said it was a domestic quarrel. No witnesses but children were in the area.")</f>
        <v>41 year-old male shot and killed a 46 year-old male in parking lot as school was starting. Police said it was a domestic quarrel. No witnesses but children were in the area.</v>
      </c>
      <c r="AA3006" s="8" t="str">
        <f ca="1">IFERROR(__xludf.DUMMYFUNCTION("""COMPUTED_VALUE"""),"Domestic w/ Targeted Victim")</f>
        <v>Domestic w/ Targeted Victim</v>
      </c>
      <c r="AB3006" s="8"/>
      <c r="AC3006" s="8"/>
      <c r="AD3006" s="8" t="str">
        <f ca="1">IFERROR(__xludf.DUMMYFUNCTION("""COMPUTED_VALUE"""),"Victims Targeted")</f>
        <v>Victims Targeted</v>
      </c>
      <c r="AE3006" s="8" t="str">
        <f ca="1">IFERROR(__xludf.DUMMYFUNCTION("""COMPUTED_VALUE"""),"No")</f>
        <v>No</v>
      </c>
      <c r="AF3006" s="8"/>
      <c r="AG3006" s="8" t="str">
        <f ca="1">IFERROR(__xludf.DUMMYFUNCTION("""COMPUTED_VALUE"""),"No")</f>
        <v>No</v>
      </c>
      <c r="AH3006" s="8" t="str">
        <f ca="1">IFERROR(__xludf.DUMMYFUNCTION("""COMPUTED_VALUE"""),"No")</f>
        <v>No</v>
      </c>
      <c r="AI3006" s="8" t="str">
        <f ca="1">IFERROR(__xludf.DUMMYFUNCTION("""COMPUTED_VALUE"""),"No")</f>
        <v>No</v>
      </c>
      <c r="AJ3006" s="8" t="str">
        <f ca="1">IFERROR(__xludf.DUMMYFUNCTION("""COMPUTED_VALUE"""),"No")</f>
        <v>No</v>
      </c>
      <c r="AK3006" s="8" t="str">
        <f ca="1">IFERROR(__xludf.DUMMYFUNCTION("""COMPUTED_VALUE"""),"Yes")</f>
        <v>Yes</v>
      </c>
      <c r="AL3006" s="8" t="str">
        <f ca="1">IFERROR(__xludf.DUMMYFUNCTION("""COMPUTED_VALUE"""),"No")</f>
        <v>No</v>
      </c>
      <c r="AM3006" s="8"/>
      <c r="AN3006" s="8"/>
      <c r="AO3006" s="8" t="str">
        <f ca="1">IFERROR(__xludf.DUMMYFUNCTION("""COMPUTED_VALUE"""),"No")</f>
        <v>No</v>
      </c>
      <c r="AP3006" s="8"/>
      <c r="AQ3006" s="8" t="str">
        <f ca="1">IFERROR(__xludf.DUMMYFUNCTION("""COMPUTED_VALUE"""),"Unknown")</f>
        <v>Unknown</v>
      </c>
      <c r="AR3006" s="8" t="str">
        <f ca="1">IFERROR(__xludf.DUMMYFUNCTION("""COMPUTED_VALUE"""),"NA")</f>
        <v>NA</v>
      </c>
      <c r="AS3006" s="8"/>
      <c r="AT3006" s="8"/>
      <c r="AU3006" s="8">
        <f ca="1">IFERROR(__xludf.DUMMYFUNCTION("""COMPUTED_VALUE"""),36.1626638)</f>
        <v>36.162663799999997</v>
      </c>
      <c r="AV3006" s="8">
        <f ca="1">IFERROR(__xludf.DUMMYFUNCTION("""COMPUTED_VALUE"""),-86.7816016)</f>
        <v>-86.781601600000002</v>
      </c>
      <c r="AW3006" s="8"/>
      <c r="AX3006" s="8">
        <f ca="1">IFERROR(__xludf.DUMMYFUNCTION("""COMPUTED_VALUE"""),37219)</f>
        <v>37219</v>
      </c>
    </row>
    <row r="3007" spans="1:50" ht="135" x14ac:dyDescent="0.2">
      <c r="A3007" s="8" t="str">
        <f ca="1">IFERROR(__xludf.DUMMYFUNCTION("""COMPUTED_VALUE"""),"19770407TXWHW")</f>
        <v>19770407TXWHW</v>
      </c>
      <c r="B3007" s="8">
        <f ca="1">IFERROR(__xludf.DUMMYFUNCTION("""COMPUTED_VALUE"""),4)</f>
        <v>4</v>
      </c>
      <c r="C3007" s="8">
        <f ca="1">IFERROR(__xludf.DUMMYFUNCTION("""COMPUTED_VALUE"""),7)</f>
        <v>7</v>
      </c>
      <c r="D3007" s="8">
        <f ca="1">IFERROR(__xludf.DUMMYFUNCTION("""COMPUTED_VALUE"""),1977)</f>
        <v>1977</v>
      </c>
      <c r="E3007" s="9">
        <f ca="1">IFERROR(__xludf.DUMMYFUNCTION("""COMPUTED_VALUE"""),28222)</f>
        <v>28222</v>
      </c>
      <c r="F3007" s="8" t="str">
        <f ca="1">IFERROR(__xludf.DUMMYFUNCTION("""COMPUTED_VALUE"""),"Whitharral High School")</f>
        <v>Whitharral High School</v>
      </c>
      <c r="G3007" s="8">
        <f ca="1">IFERROR(__xludf.DUMMYFUNCTION("""COMPUTED_VALUE"""),1)</f>
        <v>1</v>
      </c>
      <c r="H3007" s="8">
        <f ca="1">IFERROR(__xludf.DUMMYFUNCTION("""COMPUTED_VALUE"""),0)</f>
        <v>0</v>
      </c>
      <c r="I3007" s="8">
        <f ca="1">IFERROR(__xludf.DUMMYFUNCTION("""COMPUTED_VALUE"""),1)</f>
        <v>1</v>
      </c>
      <c r="J3007" s="8">
        <f ca="1">IFERROR(__xludf.DUMMYFUNCTION("""COMPUTED_VALUE"""),0)</f>
        <v>0</v>
      </c>
      <c r="K3007" s="8" t="str">
        <f ca="1">IFERROR(__xludf.DUMMYFUNCTION("""COMPUTED_VALUE"""),"https://www.newspapers.com/newspage/17130627/        https://www.newspapers.com/newspage/31002514/   https://www.findagrave.com/memorial/44261880/malcom-omar-tripp   https://news.google.com/newspapers?id=REAhAAAAIBAJ&amp;pg=5618,677358 https://www.newspapers."&amp;"com/image/6532602/?terms=school%2Bshooting")</f>
        <v>https://www.newspapers.com/newspage/17130627/        https://www.newspapers.com/newspage/31002514/   https://www.findagrave.com/memorial/44261880/malcom-omar-tripp   https://news.google.com/newspapers?id=REAhAAAAIBAJ&amp;pg=5618,677358 https://www.newspapers.com/image/6532602/?terms=school%2Bshooting</v>
      </c>
      <c r="L3007" s="8"/>
      <c r="M3007" s="8"/>
      <c r="N3007" s="8">
        <f ca="1">IFERROR(__xludf.DUMMYFUNCTION("""COMPUTED_VALUE"""),3)</f>
        <v>3</v>
      </c>
      <c r="O3007" s="8" t="str">
        <f ca="1">IFERROR(__xludf.DUMMYFUNCTION("""COMPUTED_VALUE"""),"Spring")</f>
        <v>Spring</v>
      </c>
      <c r="P3007" s="8" t="str">
        <f ca="1">IFERROR(__xludf.DUMMYFUNCTION("""COMPUTED_VALUE"""),"Whitharral")</f>
        <v>Whitharral</v>
      </c>
      <c r="Q3007" s="8" t="str">
        <f ca="1">IFERROR(__xludf.DUMMYFUNCTION("""COMPUTED_VALUE"""),"TX")</f>
        <v>TX</v>
      </c>
      <c r="R3007" s="8" t="str">
        <f ca="1">IFERROR(__xludf.DUMMYFUNCTION("""COMPUTED_VALUE"""),"High")</f>
        <v>High</v>
      </c>
      <c r="S3007" s="8" t="str">
        <f ca="1">IFERROR(__xludf.DUMMYFUNCTION("""COMPUTED_VALUE"""),"Beside Building")</f>
        <v>Beside Building</v>
      </c>
      <c r="T3007" s="8" t="str">
        <f ca="1">IFERROR(__xludf.DUMMYFUNCTION("""COMPUTED_VALUE"""),"Outside on School Property")</f>
        <v>Outside on School Property</v>
      </c>
      <c r="U3007" s="8" t="str">
        <f ca="1">IFERROR(__xludf.DUMMYFUNCTION("""COMPUTED_VALUE"""),"Yes")</f>
        <v>Yes</v>
      </c>
      <c r="V3007" s="8" t="str">
        <f ca="1">IFERROR(__xludf.DUMMYFUNCTION("""COMPUTED_VALUE"""),"Morning Classes")</f>
        <v>Morning Classes</v>
      </c>
      <c r="W3007" s="11">
        <f ca="1">IFERROR(__xludf.DUMMYFUNCTION("""COMPUTED_VALUE"""),0.375)</f>
        <v>0.375</v>
      </c>
      <c r="X3007" s="8">
        <f ca="1">IFERROR(__xludf.DUMMYFUNCTION("""COMPUTED_VALUE"""),1)</f>
        <v>1</v>
      </c>
      <c r="Y3007" s="12" t="str">
        <f ca="1">IFERROR(__xludf.DUMMYFUNCTION("""COMPUTED_VALUE"""),"Killed his principal outside of school")</f>
        <v>Killed his principal outside of school</v>
      </c>
      <c r="Z3007" s="12" t="str">
        <f ca="1">IFERROR(__xludf.DUMMYFUNCTION("""COMPUTED_VALUE"""),"Shooter shot principal (Malcolm Omar Tripp, 31 year-old male) two times in the back on the steps of the school after asking the shooter why he wasn't in class since classes had just started. Lopez told him why was sick and Tripp offered him a ride home bu"&amp;"t Lopez refused. As Tripp turned to go back inside, Lopez shot three times, with two shots hitting Tripp him in the back. Shooter was described as ""someone who had never given anyone any problems”. Reported to be paranoid schizophrenic.")</f>
        <v>Shooter shot principal (Malcolm Omar Tripp, 31 year-old male) two times in the back on the steps of the school after asking the shooter why he wasn't in class since classes had just started. Lopez told him why was sick and Tripp offered him a ride home but Lopez refused. As Tripp turned to go back inside, Lopez shot three times, with two shots hitting Tripp him in the back. Shooter was described as "someone who had never given anyone any problems”. Reported to be paranoid schizophrenic.</v>
      </c>
      <c r="AA3007" s="8" t="str">
        <f ca="1">IFERROR(__xludf.DUMMYFUNCTION("""COMPUTED_VALUE"""),"Psychosis")</f>
        <v>Psychosis</v>
      </c>
      <c r="AB3007" s="8"/>
      <c r="AC3007" s="8" t="str">
        <f ca="1">IFERROR(__xludf.DUMMYFUNCTION("""COMPUTED_VALUE"""),"Yes")</f>
        <v>Yes</v>
      </c>
      <c r="AD3007" s="8" t="str">
        <f ca="1">IFERROR(__xludf.DUMMYFUNCTION("""COMPUTED_VALUE"""),"Victims Targeted")</f>
        <v>Victims Targeted</v>
      </c>
      <c r="AE3007" s="8" t="str">
        <f ca="1">IFERROR(__xludf.DUMMYFUNCTION("""COMPUTED_VALUE"""),"No")</f>
        <v>No</v>
      </c>
      <c r="AF3007" s="8"/>
      <c r="AG3007" s="8" t="str">
        <f ca="1">IFERROR(__xludf.DUMMYFUNCTION("""COMPUTED_VALUE"""),"No")</f>
        <v>No</v>
      </c>
      <c r="AH3007" s="8" t="str">
        <f ca="1">IFERROR(__xludf.DUMMYFUNCTION("""COMPUTED_VALUE"""),"No")</f>
        <v>No</v>
      </c>
      <c r="AI3007" s="8" t="str">
        <f ca="1">IFERROR(__xludf.DUMMYFUNCTION("""COMPUTED_VALUE"""),"No")</f>
        <v>No</v>
      </c>
      <c r="AJ3007" s="8" t="str">
        <f ca="1">IFERROR(__xludf.DUMMYFUNCTION("""COMPUTED_VALUE"""),"No")</f>
        <v>No</v>
      </c>
      <c r="AK3007" s="8" t="str">
        <f ca="1">IFERROR(__xludf.DUMMYFUNCTION("""COMPUTED_VALUE"""),"No")</f>
        <v>No</v>
      </c>
      <c r="AL3007" s="8" t="str">
        <f ca="1">IFERROR(__xludf.DUMMYFUNCTION("""COMPUTED_VALUE"""),"No")</f>
        <v>No</v>
      </c>
      <c r="AM3007" s="8"/>
      <c r="AN3007" s="8" t="str">
        <f ca="1">IFERROR(__xludf.DUMMYFUNCTION("""COMPUTED_VALUE"""),"Outside")</f>
        <v>Outside</v>
      </c>
      <c r="AO3007" s="8" t="str">
        <f ca="1">IFERROR(__xludf.DUMMYFUNCTION("""COMPUTED_VALUE"""),"Yes")</f>
        <v>Yes</v>
      </c>
      <c r="AP3007" s="8"/>
      <c r="AQ3007" s="8" t="str">
        <f ca="1">IFERROR(__xludf.DUMMYFUNCTION("""COMPUTED_VALUE"""),"Unknown")</f>
        <v>Unknown</v>
      </c>
      <c r="AR3007" s="8" t="str">
        <f ca="1">IFERROR(__xludf.DUMMYFUNCTION("""COMPUTED_VALUE"""),"NA")</f>
        <v>NA</v>
      </c>
      <c r="AS3007" s="8">
        <f ca="1">IFERROR(__xludf.DUMMYFUNCTION("""COMPUTED_VALUE"""),3)</f>
        <v>3</v>
      </c>
      <c r="AT3007" s="8"/>
      <c r="AU3007" s="8">
        <f ca="1">IFERROR(__xludf.DUMMYFUNCTION("""COMPUTED_VALUE"""),33.738052)</f>
        <v>33.738052000000003</v>
      </c>
      <c r="AV3007" s="8">
        <f ca="1">IFERROR(__xludf.DUMMYFUNCTION("""COMPUTED_VALUE"""),-102.326882)</f>
        <v>-102.326882</v>
      </c>
      <c r="AW3007" s="8"/>
      <c r="AX3007" s="8">
        <f ca="1">IFERROR(__xludf.DUMMYFUNCTION("""COMPUTED_VALUE"""),79380)</f>
        <v>79380</v>
      </c>
    </row>
    <row r="3008" spans="1:50" ht="75" x14ac:dyDescent="0.2">
      <c r="A3008" s="8" t="str">
        <f ca="1">IFERROR(__xludf.DUMMYFUNCTION("""COMPUTED_VALUE"""),"19770321NYPAH")</f>
        <v>19770321NYPAH</v>
      </c>
      <c r="B3008" s="8">
        <f ca="1">IFERROR(__xludf.DUMMYFUNCTION("""COMPUTED_VALUE"""),3)</f>
        <v>3</v>
      </c>
      <c r="C3008" s="8">
        <f ca="1">IFERROR(__xludf.DUMMYFUNCTION("""COMPUTED_VALUE"""),21)</f>
        <v>21</v>
      </c>
      <c r="D3008" s="8">
        <f ca="1">IFERROR(__xludf.DUMMYFUNCTION("""COMPUTED_VALUE"""),1977)</f>
        <v>1977</v>
      </c>
      <c r="E3008" s="9">
        <f ca="1">IFERROR(__xludf.DUMMYFUNCTION("""COMPUTED_VALUE"""),28205)</f>
        <v>28205</v>
      </c>
      <c r="F3008" s="8" t="str">
        <f ca="1">IFERROR(__xludf.DUMMYFUNCTION("""COMPUTED_VALUE"""),"Parochial School")</f>
        <v>Parochial School</v>
      </c>
      <c r="G3008" s="8">
        <f ca="1">IFERROR(__xludf.DUMMYFUNCTION("""COMPUTED_VALUE"""),0)</f>
        <v>0</v>
      </c>
      <c r="H3008" s="8">
        <f ca="1">IFERROR(__xludf.DUMMYFUNCTION("""COMPUTED_VALUE"""),0)</f>
        <v>0</v>
      </c>
      <c r="I3008" s="8">
        <f ca="1">IFERROR(__xludf.DUMMYFUNCTION("""COMPUTED_VALUE"""),0)</f>
        <v>0</v>
      </c>
      <c r="J3008" s="8">
        <f ca="1">IFERROR(__xludf.DUMMYFUNCTION("""COMPUTED_VALUE"""),0)</f>
        <v>0</v>
      </c>
      <c r="K3008" s="10" t="str">
        <f ca="1">IFERROR(__xludf.DUMMYFUNCTION("""COMPUTED_VALUE"""),"https://www.newspapers.com/image/347216054/?terms=school%2Bshooting")</f>
        <v>https://www.newspapers.com/image/347216054/?terms=school%2Bshooting</v>
      </c>
      <c r="L3008" s="8"/>
      <c r="M3008" s="8"/>
      <c r="N3008" s="8">
        <f ca="1">IFERROR(__xludf.DUMMYFUNCTION("""COMPUTED_VALUE"""),2)</f>
        <v>2</v>
      </c>
      <c r="O3008" s="8" t="str">
        <f ca="1">IFERROR(__xludf.DUMMYFUNCTION("""COMPUTED_VALUE"""),"Spring")</f>
        <v>Spring</v>
      </c>
      <c r="P3008" s="8" t="str">
        <f ca="1">IFERROR(__xludf.DUMMYFUNCTION("""COMPUTED_VALUE"""),"Hamburg")</f>
        <v>Hamburg</v>
      </c>
      <c r="Q3008" s="8" t="str">
        <f ca="1">IFERROR(__xludf.DUMMYFUNCTION("""COMPUTED_VALUE"""),"NY")</f>
        <v>NY</v>
      </c>
      <c r="R3008" s="8" t="str">
        <f ca="1">IFERROR(__xludf.DUMMYFUNCTION("""COMPUTED_VALUE"""),"Other")</f>
        <v>Other</v>
      </c>
      <c r="S3008" s="8" t="str">
        <f ca="1">IFERROR(__xludf.DUMMYFUNCTION("""COMPUTED_VALUE"""),"Field (General)")</f>
        <v>Field (General)</v>
      </c>
      <c r="T3008" s="8" t="str">
        <f ca="1">IFERROR(__xludf.DUMMYFUNCTION("""COMPUTED_VALUE"""),"Outside on School Property")</f>
        <v>Outside on School Property</v>
      </c>
      <c r="U3008" s="8" t="str">
        <f ca="1">IFERROR(__xludf.DUMMYFUNCTION("""COMPUTED_VALUE"""),"Yes")</f>
        <v>Yes</v>
      </c>
      <c r="V3008" s="8"/>
      <c r="W3008" s="8"/>
      <c r="X3008" s="8"/>
      <c r="Y3008" s="12" t="str">
        <f ca="1">IFERROR(__xludf.DUMMYFUNCTION("""COMPUTED_VALUE"""),"Shooting at cans, shots broke occupied school windows")</f>
        <v>Shooting at cans, shots broke occupied school windows</v>
      </c>
      <c r="Z3008" s="12" t="str">
        <f ca="1">IFERROR(__xludf.DUMMYFUNCTION("""COMPUTED_VALUE"""),"School dishwasher was firing .22 rifle at cans 200 yards behind school. Missed rounds struck school building and broke classroom windows of occupied classrooms. Police were called. When police officer approached shooter, he fired 3-4 shots at the officer.")</f>
        <v>School dishwasher was firing .22 rifle at cans 200 yards behind school. Missed rounds struck school building and broke classroom windows of occupied classrooms. Police were called. When police officer approached shooter, he fired 3-4 shots at the officer.</v>
      </c>
      <c r="AA3008" s="8" t="str">
        <f ca="1">IFERROR(__xludf.DUMMYFUNCTION("""COMPUTED_VALUE"""),"Accidental")</f>
        <v>Accidental</v>
      </c>
      <c r="AB3008" s="8"/>
      <c r="AC3008" s="8"/>
      <c r="AD3008" s="8" t="str">
        <f ca="1">IFERROR(__xludf.DUMMYFUNCTION("""COMPUTED_VALUE"""),"Neither")</f>
        <v>Neither</v>
      </c>
      <c r="AE3008" s="8" t="str">
        <f ca="1">IFERROR(__xludf.DUMMYFUNCTION("""COMPUTED_VALUE"""),"No")</f>
        <v>No</v>
      </c>
      <c r="AF3008" s="8"/>
      <c r="AG3008" s="8" t="str">
        <f ca="1">IFERROR(__xludf.DUMMYFUNCTION("""COMPUTED_VALUE"""),"No")</f>
        <v>No</v>
      </c>
      <c r="AH3008" s="8" t="str">
        <f ca="1">IFERROR(__xludf.DUMMYFUNCTION("""COMPUTED_VALUE"""),"No")</f>
        <v>No</v>
      </c>
      <c r="AI3008" s="8" t="str">
        <f ca="1">IFERROR(__xludf.DUMMYFUNCTION("""COMPUTED_VALUE"""),"No")</f>
        <v>No</v>
      </c>
      <c r="AJ3008" s="8" t="str">
        <f ca="1">IFERROR(__xludf.DUMMYFUNCTION("""COMPUTED_VALUE"""),"No")</f>
        <v>No</v>
      </c>
      <c r="AK3008" s="8" t="str">
        <f ca="1">IFERROR(__xludf.DUMMYFUNCTION("""COMPUTED_VALUE"""),"No")</f>
        <v>No</v>
      </c>
      <c r="AL3008" s="8" t="str">
        <f ca="1">IFERROR(__xludf.DUMMYFUNCTION("""COMPUTED_VALUE"""),"No")</f>
        <v>No</v>
      </c>
      <c r="AM3008" s="8"/>
      <c r="AN3008" s="8"/>
      <c r="AO3008" s="8" t="str">
        <f ca="1">IFERROR(__xludf.DUMMYFUNCTION("""COMPUTED_VALUE"""),"No")</f>
        <v>No</v>
      </c>
      <c r="AP3008" s="8"/>
      <c r="AQ3008" s="8" t="str">
        <f ca="1">IFERROR(__xludf.DUMMYFUNCTION("""COMPUTED_VALUE"""),"Unknown")</f>
        <v>Unknown</v>
      </c>
      <c r="AR3008" s="8" t="str">
        <f ca="1">IFERROR(__xludf.DUMMYFUNCTION("""COMPUTED_VALUE"""),"NA")</f>
        <v>NA</v>
      </c>
      <c r="AS3008" s="8" t="str">
        <f ca="1">IFERROR(__xludf.DUMMYFUNCTION("""COMPUTED_VALUE"""),"&gt;10")</f>
        <v>&gt;10</v>
      </c>
      <c r="AT3008" s="8"/>
      <c r="AU3008" s="8">
        <f ca="1">IFERROR(__xludf.DUMMYFUNCTION("""COMPUTED_VALUE"""),42.7158927)</f>
        <v>42.715892699999998</v>
      </c>
      <c r="AV3008" s="8">
        <f ca="1">IFERROR(__xludf.DUMMYFUNCTION("""COMPUTED_VALUE"""),-78.8294768)</f>
        <v>-78.829476799999995</v>
      </c>
      <c r="AW3008" s="8"/>
      <c r="AX3008" s="8">
        <f ca="1">IFERROR(__xludf.DUMMYFUNCTION("""COMPUTED_VALUE"""),14075)</f>
        <v>14075</v>
      </c>
    </row>
    <row r="3009" spans="1:50" ht="75" x14ac:dyDescent="0.2">
      <c r="A3009" s="8" t="str">
        <f ca="1">IFERROR(__xludf.DUMMYFUNCTION("""COMPUTED_VALUE"""),"19770308ILCOE")</f>
        <v>19770308ILCOE</v>
      </c>
      <c r="B3009" s="8">
        <f ca="1">IFERROR(__xludf.DUMMYFUNCTION("""COMPUTED_VALUE"""),3)</f>
        <v>3</v>
      </c>
      <c r="C3009" s="8">
        <f ca="1">IFERROR(__xludf.DUMMYFUNCTION("""COMPUTED_VALUE"""),8)</f>
        <v>8</v>
      </c>
      <c r="D3009" s="8">
        <f ca="1">IFERROR(__xludf.DUMMYFUNCTION("""COMPUTED_VALUE"""),1977)</f>
        <v>1977</v>
      </c>
      <c r="E3009" s="9">
        <f ca="1">IFERROR(__xludf.DUMMYFUNCTION("""COMPUTED_VALUE"""),28192)</f>
        <v>28192</v>
      </c>
      <c r="F3009" s="8" t="str">
        <f ca="1">IFERROR(__xludf.DUMMYFUNCTION("""COMPUTED_VALUE"""),"Collinsville High School")</f>
        <v>Collinsville High School</v>
      </c>
      <c r="G3009" s="8">
        <f ca="1">IFERROR(__xludf.DUMMYFUNCTION("""COMPUTED_VALUE"""),0)</f>
        <v>0</v>
      </c>
      <c r="H3009" s="8">
        <f ca="1">IFERROR(__xludf.DUMMYFUNCTION("""COMPUTED_VALUE"""),2)</f>
        <v>2</v>
      </c>
      <c r="I3009" s="8">
        <f ca="1">IFERROR(__xludf.DUMMYFUNCTION("""COMPUTED_VALUE"""),2)</f>
        <v>2</v>
      </c>
      <c r="J3009" s="8">
        <f ca="1">IFERROR(__xludf.DUMMYFUNCTION("""COMPUTED_VALUE"""),0)</f>
        <v>0</v>
      </c>
      <c r="K3009" s="10" t="str">
        <f ca="1">IFERROR(__xludf.DUMMYFUNCTION("""COMPUTED_VALUE"""),"https://www.newspapers.com/image/26422860/?terms=school%2Bshooting")</f>
        <v>https://www.newspapers.com/image/26422860/?terms=school%2Bshooting</v>
      </c>
      <c r="L3009" s="8"/>
      <c r="M3009" s="8"/>
      <c r="N3009" s="8">
        <f ca="1">IFERROR(__xludf.DUMMYFUNCTION("""COMPUTED_VALUE"""),2)</f>
        <v>2</v>
      </c>
      <c r="O3009" s="8" t="str">
        <f ca="1">IFERROR(__xludf.DUMMYFUNCTION("""COMPUTED_VALUE"""),"Spring")</f>
        <v>Spring</v>
      </c>
      <c r="P3009" s="8" t="str">
        <f ca="1">IFERROR(__xludf.DUMMYFUNCTION("""COMPUTED_VALUE"""),"Edwardsville")</f>
        <v>Edwardsville</v>
      </c>
      <c r="Q3009" s="8" t="str">
        <f ca="1">IFERROR(__xludf.DUMMYFUNCTION("""COMPUTED_VALUE"""),"IL")</f>
        <v>IL</v>
      </c>
      <c r="R3009" s="8" t="str">
        <f ca="1">IFERROR(__xludf.DUMMYFUNCTION("""COMPUTED_VALUE"""),"High")</f>
        <v>High</v>
      </c>
      <c r="S3009" s="8" t="str">
        <f ca="1">IFERROR(__xludf.DUMMYFUNCTION("""COMPUTED_VALUE"""),"Hallway")</f>
        <v>Hallway</v>
      </c>
      <c r="T3009" s="8" t="str">
        <f ca="1">IFERROR(__xludf.DUMMYFUNCTION("""COMPUTED_VALUE"""),"Inside School Building")</f>
        <v>Inside School Building</v>
      </c>
      <c r="U3009" s="8" t="str">
        <f ca="1">IFERROR(__xludf.DUMMYFUNCTION("""COMPUTED_VALUE"""),"Yes")</f>
        <v>Yes</v>
      </c>
      <c r="V3009" s="8" t="str">
        <f ca="1">IFERROR(__xludf.DUMMYFUNCTION("""COMPUTED_VALUE"""),"Lunch")</f>
        <v>Lunch</v>
      </c>
      <c r="W3009" s="11">
        <f ca="1">IFERROR(__xludf.DUMMYFUNCTION("""COMPUTED_VALUE"""),0.524305555555555)</f>
        <v>0.52430555555555503</v>
      </c>
      <c r="X3009" s="8">
        <f ca="1">IFERROR(__xludf.DUMMYFUNCTION("""COMPUTED_VALUE"""),1)</f>
        <v>1</v>
      </c>
      <c r="Y3009" s="12" t="str">
        <f ca="1">IFERROR(__xludf.DUMMYFUNCTION("""COMPUTED_VALUE"""),"Shot asst. principal after being suspended that day")</f>
        <v>Shot asst. principal after being suspended that day</v>
      </c>
      <c r="Z3009" s="12" t="str">
        <f ca="1">IFERROR(__xludf.DUMMYFUNCTION("""COMPUTED_VALUE"""),"16 year-old male student was suspended by assistant principal in the morning. Student went home, got pistol, and returned to school to shoot principal. A female student standing 30 feet behind the principal was struck by a stray bullet. Shooter fled on a "&amp;"motorcycle.")</f>
        <v>16 year-old male student was suspended by assistant principal in the morning. Student went home, got pistol, and returned to school to shoot principal. A female student standing 30 feet behind the principal was struck by a stray bullet. Shooter fled on a motorcycle.</v>
      </c>
      <c r="AA3009" s="8" t="str">
        <f ca="1">IFERROR(__xludf.DUMMYFUNCTION("""COMPUTED_VALUE"""),"Anger Over Grade/Suspension/Discipline")</f>
        <v>Anger Over Grade/Suspension/Discipline</v>
      </c>
      <c r="AB3009" s="8"/>
      <c r="AC3009" s="8"/>
      <c r="AD3009" s="8" t="str">
        <f ca="1">IFERROR(__xludf.DUMMYFUNCTION("""COMPUTED_VALUE"""),"Both")</f>
        <v>Both</v>
      </c>
      <c r="AE3009" s="8" t="str">
        <f ca="1">IFERROR(__xludf.DUMMYFUNCTION("""COMPUTED_VALUE"""),"No")</f>
        <v>No</v>
      </c>
      <c r="AF3009" s="8"/>
      <c r="AG3009" s="8" t="str">
        <f ca="1">IFERROR(__xludf.DUMMYFUNCTION("""COMPUTED_VALUE"""),"No")</f>
        <v>No</v>
      </c>
      <c r="AH3009" s="8" t="str">
        <f ca="1">IFERROR(__xludf.DUMMYFUNCTION("""COMPUTED_VALUE"""),"No")</f>
        <v>No</v>
      </c>
      <c r="AI3009" s="8" t="str">
        <f ca="1">IFERROR(__xludf.DUMMYFUNCTION("""COMPUTED_VALUE"""),"No")</f>
        <v>No</v>
      </c>
      <c r="AJ3009" s="8" t="str">
        <f ca="1">IFERROR(__xludf.DUMMYFUNCTION("""COMPUTED_VALUE"""),"No")</f>
        <v>No</v>
      </c>
      <c r="AK3009" s="8" t="str">
        <f ca="1">IFERROR(__xludf.DUMMYFUNCTION("""COMPUTED_VALUE"""),"No")</f>
        <v>No</v>
      </c>
      <c r="AL3009" s="8" t="str">
        <f ca="1">IFERROR(__xludf.DUMMYFUNCTION("""COMPUTED_VALUE"""),"No")</f>
        <v>No</v>
      </c>
      <c r="AM3009" s="8"/>
      <c r="AN3009" s="8"/>
      <c r="AO3009" s="8" t="str">
        <f ca="1">IFERROR(__xludf.DUMMYFUNCTION("""COMPUTED_VALUE"""),"No")</f>
        <v>No</v>
      </c>
      <c r="AP3009" s="8"/>
      <c r="AQ3009" s="8" t="str">
        <f ca="1">IFERROR(__xludf.DUMMYFUNCTION("""COMPUTED_VALUE"""),"Unknown")</f>
        <v>Unknown</v>
      </c>
      <c r="AR3009" s="8" t="str">
        <f ca="1">IFERROR(__xludf.DUMMYFUNCTION("""COMPUTED_VALUE"""),"NA")</f>
        <v>NA</v>
      </c>
      <c r="AS3009" s="8">
        <f ca="1">IFERROR(__xludf.DUMMYFUNCTION("""COMPUTED_VALUE"""),2)</f>
        <v>2</v>
      </c>
      <c r="AT3009" s="8"/>
      <c r="AU3009" s="8">
        <f ca="1">IFERROR(__xludf.DUMMYFUNCTION("""COMPUTED_VALUE"""),38.646578)</f>
        <v>38.646577999999998</v>
      </c>
      <c r="AV3009" s="8">
        <f ca="1">IFERROR(__xludf.DUMMYFUNCTION("""COMPUTED_VALUE"""),-90.011375)</f>
        <v>-90.011375000000001</v>
      </c>
      <c r="AW3009" s="8"/>
      <c r="AX3009" s="8">
        <f ca="1">IFERROR(__xludf.DUMMYFUNCTION("""COMPUTED_VALUE"""),62234)</f>
        <v>62234</v>
      </c>
    </row>
    <row r="3010" spans="1:50" ht="30" x14ac:dyDescent="0.2">
      <c r="A3010" s="8" t="str">
        <f ca="1">IFERROR(__xludf.DUMMYFUNCTION("""COMPUTED_VALUE"""),"19770228TXHOA")</f>
        <v>19770228TXHOA</v>
      </c>
      <c r="B3010" s="8">
        <f ca="1">IFERROR(__xludf.DUMMYFUNCTION("""COMPUTED_VALUE"""),2)</f>
        <v>2</v>
      </c>
      <c r="C3010" s="8">
        <f ca="1">IFERROR(__xludf.DUMMYFUNCTION("""COMPUTED_VALUE"""),28)</f>
        <v>28</v>
      </c>
      <c r="D3010" s="8">
        <f ca="1">IFERROR(__xludf.DUMMYFUNCTION("""COMPUTED_VALUE"""),1977)</f>
        <v>1977</v>
      </c>
      <c r="E3010" s="9">
        <f ca="1">IFERROR(__xludf.DUMMYFUNCTION("""COMPUTED_VALUE"""),28184)</f>
        <v>28184</v>
      </c>
      <c r="F3010" s="8" t="str">
        <f ca="1">IFERROR(__xludf.DUMMYFUNCTION("""COMPUTED_VALUE"""),"Horace Mann Junior High School")</f>
        <v>Horace Mann Junior High School</v>
      </c>
      <c r="G3010" s="8">
        <f ca="1">IFERROR(__xludf.DUMMYFUNCTION("""COMPUTED_VALUE"""),0)</f>
        <v>0</v>
      </c>
      <c r="H3010" s="8">
        <f ca="1">IFERROR(__xludf.DUMMYFUNCTION("""COMPUTED_VALUE"""),1)</f>
        <v>1</v>
      </c>
      <c r="I3010" s="8">
        <f ca="1">IFERROR(__xludf.DUMMYFUNCTION("""COMPUTED_VALUE"""),1)</f>
        <v>1</v>
      </c>
      <c r="J3010" s="8">
        <f ca="1">IFERROR(__xludf.DUMMYFUNCTION("""COMPUTED_VALUE"""),0)</f>
        <v>0</v>
      </c>
      <c r="K3010" s="10" t="str">
        <f ca="1">IFERROR(__xludf.DUMMYFUNCTION("""COMPUTED_VALUE"""),"https://www.newspapers.com/image/29839915/?terms=school%2Bshooting")</f>
        <v>https://www.newspapers.com/image/29839915/?terms=school%2Bshooting</v>
      </c>
      <c r="L3010" s="8"/>
      <c r="M3010" s="8"/>
      <c r="N3010" s="8">
        <f ca="1">IFERROR(__xludf.DUMMYFUNCTION("""COMPUTED_VALUE"""),2)</f>
        <v>2</v>
      </c>
      <c r="O3010" s="8" t="str">
        <f ca="1">IFERROR(__xludf.DUMMYFUNCTION("""COMPUTED_VALUE"""),"Winter")</f>
        <v>Winter</v>
      </c>
      <c r="P3010" s="8" t="str">
        <f ca="1">IFERROR(__xludf.DUMMYFUNCTION("""COMPUTED_VALUE"""),"Amarillo")</f>
        <v>Amarillo</v>
      </c>
      <c r="Q3010" s="8" t="str">
        <f ca="1">IFERROR(__xludf.DUMMYFUNCTION("""COMPUTED_VALUE"""),"TX")</f>
        <v>TX</v>
      </c>
      <c r="R3010" s="8" t="str">
        <f ca="1">IFERROR(__xludf.DUMMYFUNCTION("""COMPUTED_VALUE"""),"Junior High")</f>
        <v>Junior High</v>
      </c>
      <c r="S3010" s="8" t="str">
        <f ca="1">IFERROR(__xludf.DUMMYFUNCTION("""COMPUTED_VALUE"""),"Inside School Building")</f>
        <v>Inside School Building</v>
      </c>
      <c r="T3010" s="8" t="str">
        <f ca="1">IFERROR(__xludf.DUMMYFUNCTION("""COMPUTED_VALUE"""),"Inside School Building")</f>
        <v>Inside School Building</v>
      </c>
      <c r="U3010" s="8" t="str">
        <f ca="1">IFERROR(__xludf.DUMMYFUNCTION("""COMPUTED_VALUE"""),"Yes")</f>
        <v>Yes</v>
      </c>
      <c r="V3010" s="8"/>
      <c r="W3010" s="8"/>
      <c r="X3010" s="8"/>
      <c r="Y3010" s="12" t="str">
        <f ca="1">IFERROR(__xludf.DUMMYFUNCTION("""COMPUTED_VALUE"""),"Student shot in leg during dispute")</f>
        <v>Student shot in leg during dispute</v>
      </c>
      <c r="Z3010" s="12" t="str">
        <f ca="1">IFERROR(__xludf.DUMMYFUNCTION("""COMPUTED_VALUE"""),"15 year-old male student shot another student in the leg during a dispute.")</f>
        <v>15 year-old male student shot another student in the leg during a dispute.</v>
      </c>
      <c r="AA3010" s="8" t="str">
        <f ca="1">IFERROR(__xludf.DUMMYFUNCTION("""COMPUTED_VALUE"""),"Escalation of Dispute")</f>
        <v>Escalation of Dispute</v>
      </c>
      <c r="AB3010" s="8"/>
      <c r="AC3010" s="8"/>
      <c r="AD3010" s="8" t="str">
        <f ca="1">IFERROR(__xludf.DUMMYFUNCTION("""COMPUTED_VALUE"""),"Victims Targeted")</f>
        <v>Victims Targeted</v>
      </c>
      <c r="AE3010" s="8" t="str">
        <f ca="1">IFERROR(__xludf.DUMMYFUNCTION("""COMPUTED_VALUE"""),"No")</f>
        <v>No</v>
      </c>
      <c r="AF3010" s="8"/>
      <c r="AG3010" s="8" t="str">
        <f ca="1">IFERROR(__xludf.DUMMYFUNCTION("""COMPUTED_VALUE"""),"No")</f>
        <v>No</v>
      </c>
      <c r="AH3010" s="8" t="str">
        <f ca="1">IFERROR(__xludf.DUMMYFUNCTION("""COMPUTED_VALUE"""),"No")</f>
        <v>No</v>
      </c>
      <c r="AI3010" s="8" t="str">
        <f ca="1">IFERROR(__xludf.DUMMYFUNCTION("""COMPUTED_VALUE"""),"No")</f>
        <v>No</v>
      </c>
      <c r="AJ3010" s="8" t="str">
        <f ca="1">IFERROR(__xludf.DUMMYFUNCTION("""COMPUTED_VALUE"""),"No")</f>
        <v>No</v>
      </c>
      <c r="AK3010" s="8" t="str">
        <f ca="1">IFERROR(__xludf.DUMMYFUNCTION("""COMPUTED_VALUE"""),"No")</f>
        <v>No</v>
      </c>
      <c r="AL3010" s="8" t="str">
        <f ca="1">IFERROR(__xludf.DUMMYFUNCTION("""COMPUTED_VALUE"""),"No")</f>
        <v>No</v>
      </c>
      <c r="AM3010" s="8"/>
      <c r="AN3010" s="8"/>
      <c r="AO3010" s="8" t="str">
        <f ca="1">IFERROR(__xludf.DUMMYFUNCTION("""COMPUTED_VALUE"""),"No")</f>
        <v>No</v>
      </c>
      <c r="AP3010" s="8"/>
      <c r="AQ3010" s="8" t="str">
        <f ca="1">IFERROR(__xludf.DUMMYFUNCTION("""COMPUTED_VALUE"""),"Unknown")</f>
        <v>Unknown</v>
      </c>
      <c r="AR3010" s="8" t="str">
        <f ca="1">IFERROR(__xludf.DUMMYFUNCTION("""COMPUTED_VALUE"""),"NA")</f>
        <v>NA</v>
      </c>
      <c r="AS3010" s="8">
        <f ca="1">IFERROR(__xludf.DUMMYFUNCTION("""COMPUTED_VALUE"""),1)</f>
        <v>1</v>
      </c>
      <c r="AT3010" s="8"/>
      <c r="AU3010" s="8">
        <f ca="1">IFERROR(__xludf.DUMMYFUNCTION("""COMPUTED_VALUE"""),35.218369)</f>
        <v>35.218369000000003</v>
      </c>
      <c r="AV3010" s="8">
        <f ca="1">IFERROR(__xludf.DUMMYFUNCTION("""COMPUTED_VALUE"""),-101.829183)</f>
        <v>-101.829183</v>
      </c>
      <c r="AW3010" s="8"/>
      <c r="AX3010" s="8">
        <f ca="1">IFERROR(__xludf.DUMMYFUNCTION("""COMPUTED_VALUE"""),79107)</f>
        <v>79107</v>
      </c>
    </row>
    <row r="3011" spans="1:50" ht="30" x14ac:dyDescent="0.2">
      <c r="A3011" s="8" t="str">
        <f ca="1">IFERROR(__xludf.DUMMYFUNCTION("""COMPUTED_VALUE"""),"19770228MOROS")</f>
        <v>19770228MOROS</v>
      </c>
      <c r="B3011" s="8">
        <f ca="1">IFERROR(__xludf.DUMMYFUNCTION("""COMPUTED_VALUE"""),2)</f>
        <v>2</v>
      </c>
      <c r="C3011" s="8">
        <f ca="1">IFERROR(__xludf.DUMMYFUNCTION("""COMPUTED_VALUE"""),28)</f>
        <v>28</v>
      </c>
      <c r="D3011" s="8">
        <f ca="1">IFERROR(__xludf.DUMMYFUNCTION("""COMPUTED_VALUE"""),1977)</f>
        <v>1977</v>
      </c>
      <c r="E3011" s="9">
        <f ca="1">IFERROR(__xludf.DUMMYFUNCTION("""COMPUTED_VALUE"""),28184)</f>
        <v>28184</v>
      </c>
      <c r="F3011" s="8" t="str">
        <f ca="1">IFERROR(__xludf.DUMMYFUNCTION("""COMPUTED_VALUE"""),"Roosevelt High School")</f>
        <v>Roosevelt High School</v>
      </c>
      <c r="G3011" s="8">
        <f ca="1">IFERROR(__xludf.DUMMYFUNCTION("""COMPUTED_VALUE"""),0)</f>
        <v>0</v>
      </c>
      <c r="H3011" s="8">
        <f ca="1">IFERROR(__xludf.DUMMYFUNCTION("""COMPUTED_VALUE"""),2)</f>
        <v>2</v>
      </c>
      <c r="I3011" s="8">
        <f ca="1">IFERROR(__xludf.DUMMYFUNCTION("""COMPUTED_VALUE"""),2)</f>
        <v>2</v>
      </c>
      <c r="J3011" s="8">
        <f ca="1">IFERROR(__xludf.DUMMYFUNCTION("""COMPUTED_VALUE"""),0)</f>
        <v>0</v>
      </c>
      <c r="K3011" s="10" t="str">
        <f ca="1">IFERROR(__xludf.DUMMYFUNCTION("""COMPUTED_VALUE"""),"https://www.newspapers.com/image/139488488/?terms=school%2Bshooting")</f>
        <v>https://www.newspapers.com/image/139488488/?terms=school%2Bshooting</v>
      </c>
      <c r="L3011" s="8"/>
      <c r="M3011" s="8"/>
      <c r="N3011" s="8">
        <f ca="1">IFERROR(__xludf.DUMMYFUNCTION("""COMPUTED_VALUE"""),4)</f>
        <v>4</v>
      </c>
      <c r="O3011" s="8" t="str">
        <f ca="1">IFERROR(__xludf.DUMMYFUNCTION("""COMPUTED_VALUE"""),"Winter")</f>
        <v>Winter</v>
      </c>
      <c r="P3011" s="8" t="str">
        <f ca="1">IFERROR(__xludf.DUMMYFUNCTION("""COMPUTED_VALUE"""),"St. Louis")</f>
        <v>St. Louis</v>
      </c>
      <c r="Q3011" s="8" t="str">
        <f ca="1">IFERROR(__xludf.DUMMYFUNCTION("""COMPUTED_VALUE"""),"MO")</f>
        <v>MO</v>
      </c>
      <c r="R3011" s="8" t="str">
        <f ca="1">IFERROR(__xludf.DUMMYFUNCTION("""COMPUTED_VALUE"""),"High")</f>
        <v>High</v>
      </c>
      <c r="S3011" s="8" t="str">
        <f ca="1">IFERROR(__xludf.DUMMYFUNCTION("""COMPUTED_VALUE"""),"ND")</f>
        <v>ND</v>
      </c>
      <c r="T3011" s="8" t="str">
        <f ca="1">IFERROR(__xludf.DUMMYFUNCTION("""COMPUTED_VALUE"""),"ND")</f>
        <v>ND</v>
      </c>
      <c r="U3011" s="8" t="str">
        <f ca="1">IFERROR(__xludf.DUMMYFUNCTION("""COMPUTED_VALUE"""),"Yes")</f>
        <v>Yes</v>
      </c>
      <c r="V3011" s="8" t="str">
        <f ca="1">IFERROR(__xludf.DUMMYFUNCTION("""COMPUTED_VALUE"""),"Unknown")</f>
        <v>Unknown</v>
      </c>
      <c r="W3011" s="8"/>
      <c r="X3011" s="8"/>
      <c r="Y3011" s="12" t="str">
        <f ca="1">IFERROR(__xludf.DUMMYFUNCTION("""COMPUTED_VALUE"""),"Shot 2 students during dispute")</f>
        <v>Shot 2 students during dispute</v>
      </c>
      <c r="Z3011" s="12" t="str">
        <f ca="1">IFERROR(__xludf.DUMMYFUNCTION("""COMPUTED_VALUE"""),"19 year-old male shot two 16 year-old males during fight at school.")</f>
        <v>19 year-old male shot two 16 year-old males during fight at school.</v>
      </c>
      <c r="AA3011" s="8" t="str">
        <f ca="1">IFERROR(__xludf.DUMMYFUNCTION("""COMPUTED_VALUE"""),"Escalation of Dispute")</f>
        <v>Escalation of Dispute</v>
      </c>
      <c r="AB3011" s="8"/>
      <c r="AC3011" s="8"/>
      <c r="AD3011" s="8" t="str">
        <f ca="1">IFERROR(__xludf.DUMMYFUNCTION("""COMPUTED_VALUE"""),"Victims Targeted")</f>
        <v>Victims Targeted</v>
      </c>
      <c r="AE3011" s="8" t="str">
        <f ca="1">IFERROR(__xludf.DUMMYFUNCTION("""COMPUTED_VALUE"""),"No")</f>
        <v>No</v>
      </c>
      <c r="AF3011" s="8"/>
      <c r="AG3011" s="8" t="str">
        <f ca="1">IFERROR(__xludf.DUMMYFUNCTION("""COMPUTED_VALUE"""),"No")</f>
        <v>No</v>
      </c>
      <c r="AH3011" s="8" t="str">
        <f ca="1">IFERROR(__xludf.DUMMYFUNCTION("""COMPUTED_VALUE"""),"No")</f>
        <v>No</v>
      </c>
      <c r="AI3011" s="8" t="str">
        <f ca="1">IFERROR(__xludf.DUMMYFUNCTION("""COMPUTED_VALUE"""),"No")</f>
        <v>No</v>
      </c>
      <c r="AJ3011" s="8" t="str">
        <f ca="1">IFERROR(__xludf.DUMMYFUNCTION("""COMPUTED_VALUE"""),"No")</f>
        <v>No</v>
      </c>
      <c r="AK3011" s="8" t="str">
        <f ca="1">IFERROR(__xludf.DUMMYFUNCTION("""COMPUTED_VALUE"""),"No")</f>
        <v>No</v>
      </c>
      <c r="AL3011" s="8" t="str">
        <f ca="1">IFERROR(__xludf.DUMMYFUNCTION("""COMPUTED_VALUE"""),"No")</f>
        <v>No</v>
      </c>
      <c r="AM3011" s="8"/>
      <c r="AN3011" s="8"/>
      <c r="AO3011" s="8" t="str">
        <f ca="1">IFERROR(__xludf.DUMMYFUNCTION("""COMPUTED_VALUE"""),"No")</f>
        <v>No</v>
      </c>
      <c r="AP3011" s="8"/>
      <c r="AQ3011" s="8" t="str">
        <f ca="1">IFERROR(__xludf.DUMMYFUNCTION("""COMPUTED_VALUE"""),"Unknown")</f>
        <v>Unknown</v>
      </c>
      <c r="AR3011" s="8" t="str">
        <f ca="1">IFERROR(__xludf.DUMMYFUNCTION("""COMPUTED_VALUE"""),"NA")</f>
        <v>NA</v>
      </c>
      <c r="AS3011" s="8"/>
      <c r="AT3011" s="8"/>
      <c r="AU3011" s="8">
        <f ca="1">IFERROR(__xludf.DUMMYFUNCTION("""COMPUTED_VALUE"""),38.600137)</f>
        <v>38.600136999999997</v>
      </c>
      <c r="AV3011" s="8">
        <f ca="1">IFERROR(__xludf.DUMMYFUNCTION("""COMPUTED_VALUE"""),-90.237153)</f>
        <v>-90.237153000000006</v>
      </c>
      <c r="AW3011" s="8"/>
      <c r="AX3011" s="8">
        <f ca="1">IFERROR(__xludf.DUMMYFUNCTION("""COMPUTED_VALUE"""),63116)</f>
        <v>63116</v>
      </c>
    </row>
    <row r="3012" spans="1:50" ht="60" x14ac:dyDescent="0.2">
      <c r="A3012" s="8" t="str">
        <f ca="1">IFERROR(__xludf.DUMMYFUNCTION("""COMPUTED_VALUE"""),"19770209ILFEC")</f>
        <v>19770209ILFEC</v>
      </c>
      <c r="B3012" s="8">
        <f ca="1">IFERROR(__xludf.DUMMYFUNCTION("""COMPUTED_VALUE"""),2)</f>
        <v>2</v>
      </c>
      <c r="C3012" s="8">
        <f ca="1">IFERROR(__xludf.DUMMYFUNCTION("""COMPUTED_VALUE"""),9)</f>
        <v>9</v>
      </c>
      <c r="D3012" s="8">
        <f ca="1">IFERROR(__xludf.DUMMYFUNCTION("""COMPUTED_VALUE"""),1977)</f>
        <v>1977</v>
      </c>
      <c r="E3012" s="9">
        <f ca="1">IFERROR(__xludf.DUMMYFUNCTION("""COMPUTED_VALUE"""),28165)</f>
        <v>28165</v>
      </c>
      <c r="F3012" s="8" t="str">
        <f ca="1">IFERROR(__xludf.DUMMYFUNCTION("""COMPUTED_VALUE"""),"Fenger High School")</f>
        <v>Fenger High School</v>
      </c>
      <c r="G3012" s="8">
        <f ca="1">IFERROR(__xludf.DUMMYFUNCTION("""COMPUTED_VALUE"""),1)</f>
        <v>1</v>
      </c>
      <c r="H3012" s="8">
        <f ca="1">IFERROR(__xludf.DUMMYFUNCTION("""COMPUTED_VALUE"""),3)</f>
        <v>3</v>
      </c>
      <c r="I3012" s="8">
        <f ca="1">IFERROR(__xludf.DUMMYFUNCTION("""COMPUTED_VALUE"""),4)</f>
        <v>4</v>
      </c>
      <c r="J3012" s="8">
        <f ca="1">IFERROR(__xludf.DUMMYFUNCTION("""COMPUTED_VALUE"""),0)</f>
        <v>0</v>
      </c>
      <c r="K3012" s="10" t="str">
        <f ca="1">IFERROR(__xludf.DUMMYFUNCTION("""COMPUTED_VALUE"""),"https://www.newspapers.com/image/127972205/?terms=school%2Bshooting")</f>
        <v>https://www.newspapers.com/image/127972205/?terms=school%2Bshooting</v>
      </c>
      <c r="L3012" s="8"/>
      <c r="M3012" s="8"/>
      <c r="N3012" s="8">
        <f ca="1">IFERROR(__xludf.DUMMYFUNCTION("""COMPUTED_VALUE"""),2)</f>
        <v>2</v>
      </c>
      <c r="O3012" s="8" t="str">
        <f ca="1">IFERROR(__xludf.DUMMYFUNCTION("""COMPUTED_VALUE"""),"Winter")</f>
        <v>Winter</v>
      </c>
      <c r="P3012" s="8" t="str">
        <f ca="1">IFERROR(__xludf.DUMMYFUNCTION("""COMPUTED_VALUE"""),"Chicago")</f>
        <v>Chicago</v>
      </c>
      <c r="Q3012" s="8" t="str">
        <f ca="1">IFERROR(__xludf.DUMMYFUNCTION("""COMPUTED_VALUE"""),"IL")</f>
        <v>IL</v>
      </c>
      <c r="R3012" s="8" t="str">
        <f ca="1">IFERROR(__xludf.DUMMYFUNCTION("""COMPUTED_VALUE"""),"High")</f>
        <v>High</v>
      </c>
      <c r="S3012" s="8" t="str">
        <f ca="1">IFERROR(__xludf.DUMMYFUNCTION("""COMPUTED_VALUE"""),"Hallway")</f>
        <v>Hallway</v>
      </c>
      <c r="T3012" s="8" t="str">
        <f ca="1">IFERROR(__xludf.DUMMYFUNCTION("""COMPUTED_VALUE"""),"Inside School Building")</f>
        <v>Inside School Building</v>
      </c>
      <c r="U3012" s="8" t="str">
        <f ca="1">IFERROR(__xludf.DUMMYFUNCTION("""COMPUTED_VALUE"""),"Yes")</f>
        <v>Yes</v>
      </c>
      <c r="V3012" s="8" t="str">
        <f ca="1">IFERROR(__xludf.DUMMYFUNCTION("""COMPUTED_VALUE"""),"Afternoon Classes")</f>
        <v>Afternoon Classes</v>
      </c>
      <c r="W3012" s="8"/>
      <c r="X3012" s="8">
        <f ca="1">IFERROR(__xludf.DUMMYFUNCTION("""COMPUTED_VALUE"""),1)</f>
        <v>1</v>
      </c>
      <c r="Y3012" s="12" t="str">
        <f ca="1">IFERROR(__xludf.DUMMYFUNCTION("""COMPUTED_VALUE"""),"4 students shot during fight in stairwell between two students")</f>
        <v>4 students shot during fight in stairwell between two students</v>
      </c>
      <c r="Z3012" s="12" t="str">
        <f ca="1">IFERROR(__xludf.DUMMYFUNCTION("""COMPUTED_VALUE"""),"Two 14 year-old male students were fighting in the hallway and stairwell. Fight escalated into shooting. 4 students were hit, one fatally in the head. The female student killed was a bystander.")</f>
        <v>Two 14 year-old male students were fighting in the hallway and stairwell. Fight escalated into shooting. 4 students were hit, one fatally in the head. The female student killed was a bystander.</v>
      </c>
      <c r="AA3012" s="8" t="str">
        <f ca="1">IFERROR(__xludf.DUMMYFUNCTION("""COMPUTED_VALUE"""),"Escalation of Dispute")</f>
        <v>Escalation of Dispute</v>
      </c>
      <c r="AB3012" s="8"/>
      <c r="AC3012" s="8"/>
      <c r="AD3012" s="8" t="str">
        <f ca="1">IFERROR(__xludf.DUMMYFUNCTION("""COMPUTED_VALUE"""),"Both")</f>
        <v>Both</v>
      </c>
      <c r="AE3012" s="8" t="str">
        <f ca="1">IFERROR(__xludf.DUMMYFUNCTION("""COMPUTED_VALUE"""),"No")</f>
        <v>No</v>
      </c>
      <c r="AF3012" s="8"/>
      <c r="AG3012" s="8" t="str">
        <f ca="1">IFERROR(__xludf.DUMMYFUNCTION("""COMPUTED_VALUE"""),"No")</f>
        <v>No</v>
      </c>
      <c r="AH3012" s="8" t="str">
        <f ca="1">IFERROR(__xludf.DUMMYFUNCTION("""COMPUTED_VALUE"""),"No")</f>
        <v>No</v>
      </c>
      <c r="AI3012" s="8" t="str">
        <f ca="1">IFERROR(__xludf.DUMMYFUNCTION("""COMPUTED_VALUE"""),"No")</f>
        <v>No</v>
      </c>
      <c r="AJ3012" s="8" t="str">
        <f ca="1">IFERROR(__xludf.DUMMYFUNCTION("""COMPUTED_VALUE"""),"No")</f>
        <v>No</v>
      </c>
      <c r="AK3012" s="8" t="str">
        <f ca="1">IFERROR(__xludf.DUMMYFUNCTION("""COMPUTED_VALUE"""),"No")</f>
        <v>No</v>
      </c>
      <c r="AL3012" s="8" t="str">
        <f ca="1">IFERROR(__xludf.DUMMYFUNCTION("""COMPUTED_VALUE"""),"No")</f>
        <v>No</v>
      </c>
      <c r="AM3012" s="8"/>
      <c r="AN3012" s="8"/>
      <c r="AO3012" s="8" t="str">
        <f ca="1">IFERROR(__xludf.DUMMYFUNCTION("""COMPUTED_VALUE"""),"No")</f>
        <v>No</v>
      </c>
      <c r="AP3012" s="8"/>
      <c r="AQ3012" s="8" t="str">
        <f ca="1">IFERROR(__xludf.DUMMYFUNCTION("""COMPUTED_VALUE"""),"Unknown")</f>
        <v>Unknown</v>
      </c>
      <c r="AR3012" s="8" t="str">
        <f ca="1">IFERROR(__xludf.DUMMYFUNCTION("""COMPUTED_VALUE"""),"NA")</f>
        <v>NA</v>
      </c>
      <c r="AS3012" s="8" t="str">
        <f ca="1">IFERROR(__xludf.DUMMYFUNCTION("""COMPUTED_VALUE"""),"&lt;10")</f>
        <v>&lt;10</v>
      </c>
      <c r="AT3012" s="8"/>
      <c r="AU3012" s="8">
        <f ca="1">IFERROR(__xludf.DUMMYFUNCTION("""COMPUTED_VALUE"""),41.689555)</f>
        <v>41.689554999999999</v>
      </c>
      <c r="AV3012" s="8">
        <f ca="1">IFERROR(__xludf.DUMMYFUNCTION("""COMPUTED_VALUE"""),-87.63784)</f>
        <v>-87.637839999999997</v>
      </c>
      <c r="AW3012" s="8"/>
      <c r="AX3012" s="8">
        <f ca="1">IFERROR(__xludf.DUMMYFUNCTION("""COMPUTED_VALUE"""),60628)</f>
        <v>60628</v>
      </c>
    </row>
    <row r="3013" spans="1:50" ht="60" x14ac:dyDescent="0.2">
      <c r="A3013" s="8" t="str">
        <f ca="1">IFERROR(__xludf.DUMMYFUNCTION("""COMPUTED_VALUE"""),"19770113ILOLB")</f>
        <v>19770113ILOLB</v>
      </c>
      <c r="B3013" s="8">
        <f ca="1">IFERROR(__xludf.DUMMYFUNCTION("""COMPUTED_VALUE"""),1)</f>
        <v>1</v>
      </c>
      <c r="C3013" s="8">
        <f ca="1">IFERROR(__xludf.DUMMYFUNCTION("""COMPUTED_VALUE"""),13)</f>
        <v>13</v>
      </c>
      <c r="D3013" s="8">
        <f ca="1">IFERROR(__xludf.DUMMYFUNCTION("""COMPUTED_VALUE"""),1977)</f>
        <v>1977</v>
      </c>
      <c r="E3013" s="9">
        <f ca="1">IFERROR(__xludf.DUMMYFUNCTION("""COMPUTED_VALUE"""),28138)</f>
        <v>28138</v>
      </c>
      <c r="F3013" s="8" t="str">
        <f ca="1">IFERROR(__xludf.DUMMYFUNCTION("""COMPUTED_VALUE"""),"Old Main Eisenhower High School")</f>
        <v>Old Main Eisenhower High School</v>
      </c>
      <c r="G3013" s="8">
        <f ca="1">IFERROR(__xludf.DUMMYFUNCTION("""COMPUTED_VALUE"""),0)</f>
        <v>0</v>
      </c>
      <c r="H3013" s="8">
        <f ca="1">IFERROR(__xludf.DUMMYFUNCTION("""COMPUTED_VALUE"""),1)</f>
        <v>1</v>
      </c>
      <c r="I3013" s="8">
        <f ca="1">IFERROR(__xludf.DUMMYFUNCTION("""COMPUTED_VALUE"""),1)</f>
        <v>1</v>
      </c>
      <c r="J3013" s="8">
        <f ca="1">IFERROR(__xludf.DUMMYFUNCTION("""COMPUTED_VALUE"""),0)</f>
        <v>0</v>
      </c>
      <c r="K3013" s="10" t="str">
        <f ca="1">IFERROR(__xludf.DUMMYFUNCTION("""COMPUTED_VALUE"""),"https://www.newspapers.com/image/18233056/?terms=Old%2BMain%2BEisenhower%2BHigh%2BSchool%2Bshooting")</f>
        <v>https://www.newspapers.com/image/18233056/?terms=Old%2BMain%2BEisenhower%2BHigh%2BSchool%2Bshooting</v>
      </c>
      <c r="L3013" s="8"/>
      <c r="M3013" s="8"/>
      <c r="N3013" s="8">
        <f ca="1">IFERROR(__xludf.DUMMYFUNCTION("""COMPUTED_VALUE"""),2)</f>
        <v>2</v>
      </c>
      <c r="O3013" s="8" t="str">
        <f ca="1">IFERROR(__xludf.DUMMYFUNCTION("""COMPUTED_VALUE"""),"Winter")</f>
        <v>Winter</v>
      </c>
      <c r="P3013" s="8" t="str">
        <f ca="1">IFERROR(__xludf.DUMMYFUNCTION("""COMPUTED_VALUE"""),"Blue Island")</f>
        <v>Blue Island</v>
      </c>
      <c r="Q3013" s="8" t="str">
        <f ca="1">IFERROR(__xludf.DUMMYFUNCTION("""COMPUTED_VALUE"""),"IL")</f>
        <v>IL</v>
      </c>
      <c r="R3013" s="8" t="str">
        <f ca="1">IFERROR(__xludf.DUMMYFUNCTION("""COMPUTED_VALUE"""),"High")</f>
        <v>High</v>
      </c>
      <c r="S3013" s="8" t="str">
        <f ca="1">IFERROR(__xludf.DUMMYFUNCTION("""COMPUTED_VALUE"""),"Gym")</f>
        <v>Gym</v>
      </c>
      <c r="T3013" s="8" t="str">
        <f ca="1">IFERROR(__xludf.DUMMYFUNCTION("""COMPUTED_VALUE"""),"Inside School Building")</f>
        <v>Inside School Building</v>
      </c>
      <c r="U3013" s="8" t="str">
        <f ca="1">IFERROR(__xludf.DUMMYFUNCTION("""COMPUTED_VALUE"""),"Yes")</f>
        <v>Yes</v>
      </c>
      <c r="V3013" s="8" t="str">
        <f ca="1">IFERROR(__xludf.DUMMYFUNCTION("""COMPUTED_VALUE"""),"Morning Classes")</f>
        <v>Morning Classes</v>
      </c>
      <c r="W3013" s="11">
        <f ca="1">IFERROR(__xludf.DUMMYFUNCTION("""COMPUTED_VALUE"""),0.3125)</f>
        <v>0.3125</v>
      </c>
      <c r="X3013" s="8">
        <f ca="1">IFERROR(__xludf.DUMMYFUNCTION("""COMPUTED_VALUE"""),1)</f>
        <v>1</v>
      </c>
      <c r="Y3013" s="12" t="str">
        <f ca="1">IFERROR(__xludf.DUMMYFUNCTION("""COMPUTED_VALUE"""),"Victim wouldn't fight and shooter shot him, gym teacher tackled shooter")</f>
        <v>Victim wouldn't fight and shooter shot him, gym teacher tackled shooter</v>
      </c>
      <c r="Z3013" s="12" t="str">
        <f ca="1">IFERROR(__xludf.DUMMYFUNCTION("""COMPUTED_VALUE"""),"Shooter and victim had fight the day prior. In the gym locker room, the shooter demanded that the victim fight him. The victim refused and the shooter fired at him. A gym teacher tackled the student.")</f>
        <v>Shooter and victim had fight the day prior. In the gym locker room, the shooter demanded that the victim fight him. The victim refused and the shooter fired at him. A gym teacher tackled the student.</v>
      </c>
      <c r="AA3013" s="8" t="str">
        <f ca="1">IFERROR(__xludf.DUMMYFUNCTION("""COMPUTED_VALUE"""),"Escalation of Dispute")</f>
        <v>Escalation of Dispute</v>
      </c>
      <c r="AB3013" s="8"/>
      <c r="AC3013" s="8"/>
      <c r="AD3013" s="8" t="str">
        <f ca="1">IFERROR(__xludf.DUMMYFUNCTION("""COMPUTED_VALUE"""),"Victims Targeted")</f>
        <v>Victims Targeted</v>
      </c>
      <c r="AE3013" s="8" t="str">
        <f ca="1">IFERROR(__xludf.DUMMYFUNCTION("""COMPUTED_VALUE"""),"No")</f>
        <v>No</v>
      </c>
      <c r="AF3013" s="8"/>
      <c r="AG3013" s="8" t="str">
        <f ca="1">IFERROR(__xludf.DUMMYFUNCTION("""COMPUTED_VALUE"""),"No")</f>
        <v>No</v>
      </c>
      <c r="AH3013" s="8" t="str">
        <f ca="1">IFERROR(__xludf.DUMMYFUNCTION("""COMPUTED_VALUE"""),"No")</f>
        <v>No</v>
      </c>
      <c r="AI3013" s="8" t="str">
        <f ca="1">IFERROR(__xludf.DUMMYFUNCTION("""COMPUTED_VALUE"""),"No")</f>
        <v>No</v>
      </c>
      <c r="AJ3013" s="8" t="str">
        <f ca="1">IFERROR(__xludf.DUMMYFUNCTION("""COMPUTED_VALUE"""),"No")</f>
        <v>No</v>
      </c>
      <c r="AK3013" s="8" t="str">
        <f ca="1">IFERROR(__xludf.DUMMYFUNCTION("""COMPUTED_VALUE"""),"No")</f>
        <v>No</v>
      </c>
      <c r="AL3013" s="8" t="str">
        <f ca="1">IFERROR(__xludf.DUMMYFUNCTION("""COMPUTED_VALUE"""),"No")</f>
        <v>No</v>
      </c>
      <c r="AM3013" s="8"/>
      <c r="AN3013" s="8"/>
      <c r="AO3013" s="8" t="str">
        <f ca="1">IFERROR(__xludf.DUMMYFUNCTION("""COMPUTED_VALUE"""),"No")</f>
        <v>No</v>
      </c>
      <c r="AP3013" s="8"/>
      <c r="AQ3013" s="8" t="str">
        <f ca="1">IFERROR(__xludf.DUMMYFUNCTION("""COMPUTED_VALUE"""),"Unknown")</f>
        <v>Unknown</v>
      </c>
      <c r="AR3013" s="8" t="str">
        <f ca="1">IFERROR(__xludf.DUMMYFUNCTION("""COMPUTED_VALUE"""),"NA")</f>
        <v>NA</v>
      </c>
      <c r="AS3013" s="8">
        <f ca="1">IFERROR(__xludf.DUMMYFUNCTION("""COMPUTED_VALUE"""),1)</f>
        <v>1</v>
      </c>
      <c r="AT3013" s="8"/>
      <c r="AU3013" s="8">
        <f ca="1">IFERROR(__xludf.DUMMYFUNCTION("""COMPUTED_VALUE"""),41.661862)</f>
        <v>41.661861999999999</v>
      </c>
      <c r="AV3013" s="8">
        <f ca="1">IFERROR(__xludf.DUMMYFUNCTION("""COMPUTED_VALUE"""),-87.696297)</f>
        <v>-87.696297000000001</v>
      </c>
      <c r="AW3013" s="8"/>
      <c r="AX3013" s="8">
        <f ca="1">IFERROR(__xludf.DUMMYFUNCTION("""COMPUTED_VALUE"""),60406)</f>
        <v>60406</v>
      </c>
    </row>
    <row r="3014" spans="1:50" ht="75" x14ac:dyDescent="0.2">
      <c r="A3014" s="8" t="str">
        <f ca="1">IFERROR(__xludf.DUMMYFUNCTION("""COMPUTED_VALUE"""),"19761210MOFRS")</f>
        <v>19761210MOFRS</v>
      </c>
      <c r="B3014" s="8">
        <f ca="1">IFERROR(__xludf.DUMMYFUNCTION("""COMPUTED_VALUE"""),12)</f>
        <v>12</v>
      </c>
      <c r="C3014" s="8">
        <f ca="1">IFERROR(__xludf.DUMMYFUNCTION("""COMPUTED_VALUE"""),10)</f>
        <v>10</v>
      </c>
      <c r="D3014" s="8">
        <f ca="1">IFERROR(__xludf.DUMMYFUNCTION("""COMPUTED_VALUE"""),1976)</f>
        <v>1976</v>
      </c>
      <c r="E3014" s="9">
        <f ca="1">IFERROR(__xludf.DUMMYFUNCTION("""COMPUTED_VALUE"""),28104)</f>
        <v>28104</v>
      </c>
      <c r="F3014" s="8" t="str">
        <f ca="1">IFERROR(__xludf.DUMMYFUNCTION("""COMPUTED_VALUE"""),"Fremont School")</f>
        <v>Fremont School</v>
      </c>
      <c r="G3014" s="8">
        <f ca="1">IFERROR(__xludf.DUMMYFUNCTION("""COMPUTED_VALUE"""),0)</f>
        <v>0</v>
      </c>
      <c r="H3014" s="8">
        <f ca="1">IFERROR(__xludf.DUMMYFUNCTION("""COMPUTED_VALUE"""),2)</f>
        <v>2</v>
      </c>
      <c r="I3014" s="8">
        <f ca="1">IFERROR(__xludf.DUMMYFUNCTION("""COMPUTED_VALUE"""),2)</f>
        <v>2</v>
      </c>
      <c r="J3014" s="8">
        <f ca="1">IFERROR(__xludf.DUMMYFUNCTION("""COMPUTED_VALUE"""),0)</f>
        <v>0</v>
      </c>
      <c r="K3014" s="10" t="str">
        <f ca="1">IFERROR(__xludf.DUMMYFUNCTION("""COMPUTED_VALUE"""),"https://www.newspapers.com/image/165856618/?terms=school%2Bshooting")</f>
        <v>https://www.newspapers.com/image/165856618/?terms=school%2Bshooting</v>
      </c>
      <c r="L3014" s="8"/>
      <c r="M3014" s="8"/>
      <c r="N3014" s="8">
        <f ca="1">IFERROR(__xludf.DUMMYFUNCTION("""COMPUTED_VALUE"""),2)</f>
        <v>2</v>
      </c>
      <c r="O3014" s="8" t="str">
        <f ca="1">IFERROR(__xludf.DUMMYFUNCTION("""COMPUTED_VALUE"""),"Winter")</f>
        <v>Winter</v>
      </c>
      <c r="P3014" s="8" t="str">
        <f ca="1">IFERROR(__xludf.DUMMYFUNCTION("""COMPUTED_VALUE"""),"St. Louis")</f>
        <v>St. Louis</v>
      </c>
      <c r="Q3014" s="8" t="str">
        <f ca="1">IFERROR(__xludf.DUMMYFUNCTION("""COMPUTED_VALUE"""),"MO")</f>
        <v>MO</v>
      </c>
      <c r="R3014" s="8" t="str">
        <f ca="1">IFERROR(__xludf.DUMMYFUNCTION("""COMPUTED_VALUE"""),"Elementary")</f>
        <v>Elementary</v>
      </c>
      <c r="S3014" s="8" t="str">
        <f ca="1">IFERROR(__xludf.DUMMYFUNCTION("""COMPUTED_VALUE"""),"Inside School Building")</f>
        <v>Inside School Building</v>
      </c>
      <c r="T3014" s="8" t="str">
        <f ca="1">IFERROR(__xludf.DUMMYFUNCTION("""COMPUTED_VALUE"""),"Inside School Building")</f>
        <v>Inside School Building</v>
      </c>
      <c r="U3014" s="8" t="str">
        <f ca="1">IFERROR(__xludf.DUMMYFUNCTION("""COMPUTED_VALUE"""),"Yes")</f>
        <v>Yes</v>
      </c>
      <c r="V3014" s="8" t="str">
        <f ca="1">IFERROR(__xludf.DUMMYFUNCTION("""COMPUTED_VALUE"""),"Morning Classes")</f>
        <v>Morning Classes</v>
      </c>
      <c r="W3014" s="8"/>
      <c r="X3014" s="8">
        <f ca="1">IFERROR(__xludf.DUMMYFUNCTION("""COMPUTED_VALUE"""),1)</f>
        <v>1</v>
      </c>
      <c r="Y3014" s="12" t="str">
        <f ca="1">IFERROR(__xludf.DUMMYFUNCTION("""COMPUTED_VALUE"""),"Fired shots at teacher, surrendered to police")</f>
        <v>Fired shots at teacher, surrendered to police</v>
      </c>
      <c r="Z3014" s="12" t="str">
        <f ca="1">IFERROR(__xludf.DUMMYFUNCTION("""COMPUTED_VALUE"""),"An 11 year-old male student fired 2 shots at a teacher and the principal who tried to talk him down. Shooter fled the school and was confronted by two police officers. The shooter pointed the gun at officers before surrendering. Student was reported to be"&amp;" having troubles at home.")</f>
        <v>An 11 year-old male student fired 2 shots at a teacher and the principal who tried to talk him down. Shooter fled the school and was confronted by two police officers. The shooter pointed the gun at officers before surrendering. Student was reported to be having troubles at home.</v>
      </c>
      <c r="AA3014" s="8" t="str">
        <f ca="1">IFERROR(__xludf.DUMMYFUNCTION("""COMPUTED_VALUE"""),"Anger Over Grade/Suspension/Discipline")</f>
        <v>Anger Over Grade/Suspension/Discipline</v>
      </c>
      <c r="AB3014" s="8"/>
      <c r="AC3014" s="8"/>
      <c r="AD3014" s="8" t="str">
        <f ca="1">IFERROR(__xludf.DUMMYFUNCTION("""COMPUTED_VALUE"""),"Victims Targeted")</f>
        <v>Victims Targeted</v>
      </c>
      <c r="AE3014" s="8"/>
      <c r="AF3014" s="8"/>
      <c r="AG3014" s="8" t="str">
        <f ca="1">IFERROR(__xludf.DUMMYFUNCTION("""COMPUTED_VALUE"""),"No")</f>
        <v>No</v>
      </c>
      <c r="AH3014" s="8" t="str">
        <f ca="1">IFERROR(__xludf.DUMMYFUNCTION("""COMPUTED_VALUE"""),"No")</f>
        <v>No</v>
      </c>
      <c r="AI3014" s="8" t="str">
        <f ca="1">IFERROR(__xludf.DUMMYFUNCTION("""COMPUTED_VALUE"""),"No")</f>
        <v>No</v>
      </c>
      <c r="AJ3014" s="8" t="str">
        <f ca="1">IFERROR(__xludf.DUMMYFUNCTION("""COMPUTED_VALUE"""),"No")</f>
        <v>No</v>
      </c>
      <c r="AK3014" s="8" t="str">
        <f ca="1">IFERROR(__xludf.DUMMYFUNCTION("""COMPUTED_VALUE"""),"No")</f>
        <v>No</v>
      </c>
      <c r="AL3014" s="8" t="str">
        <f ca="1">IFERROR(__xludf.DUMMYFUNCTION("""COMPUTED_VALUE"""),"No")</f>
        <v>No</v>
      </c>
      <c r="AM3014" s="8" t="str">
        <f ca="1">IFERROR(__xludf.DUMMYFUNCTION("""COMPUTED_VALUE"""),"Yes")</f>
        <v>Yes</v>
      </c>
      <c r="AN3014" s="8"/>
      <c r="AO3014" s="8" t="str">
        <f ca="1">IFERROR(__xludf.DUMMYFUNCTION("""COMPUTED_VALUE"""),"No")</f>
        <v>No</v>
      </c>
      <c r="AP3014" s="8" t="str">
        <f ca="1">IFERROR(__xludf.DUMMYFUNCTION("""COMPUTED_VALUE"""),"No")</f>
        <v>No</v>
      </c>
      <c r="AQ3014" s="8" t="str">
        <f ca="1">IFERROR(__xludf.DUMMYFUNCTION("""COMPUTED_VALUE"""),"Unknown")</f>
        <v>Unknown</v>
      </c>
      <c r="AR3014" s="8" t="str">
        <f ca="1">IFERROR(__xludf.DUMMYFUNCTION("""COMPUTED_VALUE"""),"NA")</f>
        <v>NA</v>
      </c>
      <c r="AS3014" s="8">
        <f ca="1">IFERROR(__xludf.DUMMYFUNCTION("""COMPUTED_VALUE"""),4)</f>
        <v>4</v>
      </c>
      <c r="AT3014" s="8"/>
      <c r="AU3014" s="8">
        <f ca="1">IFERROR(__xludf.DUMMYFUNCTION("""COMPUTED_VALUE"""),38.60054)</f>
        <v>38.600540000000002</v>
      </c>
      <c r="AV3014" s="8">
        <f ca="1">IFERROR(__xludf.DUMMYFUNCTION("""COMPUTED_VALUE"""),-90.218808)</f>
        <v>-90.218807999999996</v>
      </c>
      <c r="AW3014" s="8"/>
      <c r="AX3014" s="8">
        <f ca="1">IFERROR(__xludf.DUMMYFUNCTION("""COMPUTED_VALUE"""),63118)</f>
        <v>63118</v>
      </c>
    </row>
    <row r="3015" spans="1:50" ht="150" x14ac:dyDescent="0.2">
      <c r="A3015" s="8" t="str">
        <f ca="1">IFERROR(__xludf.DUMMYFUNCTION("""COMPUTED_VALUE"""),"19761110MIBUD")</f>
        <v>19761110MIBUD</v>
      </c>
      <c r="B3015" s="8">
        <f ca="1">IFERROR(__xludf.DUMMYFUNCTION("""COMPUTED_VALUE"""),11)</f>
        <v>11</v>
      </c>
      <c r="C3015" s="8">
        <f ca="1">IFERROR(__xludf.DUMMYFUNCTION("""COMPUTED_VALUE"""),10)</f>
        <v>10</v>
      </c>
      <c r="D3015" s="8">
        <f ca="1">IFERROR(__xludf.DUMMYFUNCTION("""COMPUTED_VALUE"""),1976)</f>
        <v>1976</v>
      </c>
      <c r="E3015" s="9">
        <f ca="1">IFERROR(__xludf.DUMMYFUNCTION("""COMPUTED_VALUE"""),28074)</f>
        <v>28074</v>
      </c>
      <c r="F3015" s="8" t="str">
        <f ca="1">IFERROR(__xludf.DUMMYFUNCTION("""COMPUTED_VALUE"""),"Burt Elementary School")</f>
        <v>Burt Elementary School</v>
      </c>
      <c r="G3015" s="8">
        <f ca="1">IFERROR(__xludf.DUMMYFUNCTION("""COMPUTED_VALUE"""),1)</f>
        <v>1</v>
      </c>
      <c r="H3015" s="8">
        <f ca="1">IFERROR(__xludf.DUMMYFUNCTION("""COMPUTED_VALUE"""),0)</f>
        <v>0</v>
      </c>
      <c r="I3015" s="8">
        <f ca="1">IFERROR(__xludf.DUMMYFUNCTION("""COMPUTED_VALUE"""),1)</f>
        <v>1</v>
      </c>
      <c r="J3015" s="8">
        <f ca="1">IFERROR(__xludf.DUMMYFUNCTION("""COMPUTED_VALUE"""),0)</f>
        <v>0</v>
      </c>
      <c r="K3015" s="10" t="str">
        <f ca="1">IFERROR(__xludf.DUMMYFUNCTION("""COMPUTED_VALUE"""),"https://news.google.com/newspapers?id=gblHAAAAIBAJ&amp;pg=3465,1557281")</f>
        <v>https://news.google.com/newspapers?id=gblHAAAAIBAJ&amp;pg=3465,1557281</v>
      </c>
      <c r="L3015" s="8"/>
      <c r="M3015" s="8"/>
      <c r="N3015" s="8">
        <f ca="1">IFERROR(__xludf.DUMMYFUNCTION("""COMPUTED_VALUE"""),2)</f>
        <v>2</v>
      </c>
      <c r="O3015" s="8" t="str">
        <f ca="1">IFERROR(__xludf.DUMMYFUNCTION("""COMPUTED_VALUE"""),"Fall")</f>
        <v>Fall</v>
      </c>
      <c r="P3015" s="8" t="str">
        <f ca="1">IFERROR(__xludf.DUMMYFUNCTION("""COMPUTED_VALUE"""),"Detroit")</f>
        <v>Detroit</v>
      </c>
      <c r="Q3015" s="8" t="str">
        <f ca="1">IFERROR(__xludf.DUMMYFUNCTION("""COMPUTED_VALUE"""),"MI")</f>
        <v>MI</v>
      </c>
      <c r="R3015" s="8" t="str">
        <f ca="1">IFERROR(__xludf.DUMMYFUNCTION("""COMPUTED_VALUE"""),"Elementary")</f>
        <v>Elementary</v>
      </c>
      <c r="S3015" s="8" t="str">
        <f ca="1">IFERROR(__xludf.DUMMYFUNCTION("""COMPUTED_VALUE"""),"Classroom")</f>
        <v>Classroom</v>
      </c>
      <c r="T3015" s="8" t="str">
        <f ca="1">IFERROR(__xludf.DUMMYFUNCTION("""COMPUTED_VALUE"""),"Inside School Building")</f>
        <v>Inside School Building</v>
      </c>
      <c r="U3015" s="8" t="str">
        <f ca="1">IFERROR(__xludf.DUMMYFUNCTION("""COMPUTED_VALUE"""),"Yes")</f>
        <v>Yes</v>
      </c>
      <c r="V3015" s="8" t="str">
        <f ca="1">IFERROR(__xludf.DUMMYFUNCTION("""COMPUTED_VALUE"""),"Morning Classes")</f>
        <v>Morning Classes</v>
      </c>
      <c r="W3015" s="8"/>
      <c r="X3015" s="8">
        <f ca="1">IFERROR(__xludf.DUMMYFUNCTION("""COMPUTED_VALUE"""),1)</f>
        <v>1</v>
      </c>
      <c r="Y3015" s="12" t="str">
        <f ca="1">IFERROR(__xludf.DUMMYFUNCTION("""COMPUTED_VALUE"""),"Estranged husband emotionally distraught")</f>
        <v>Estranged husband emotionally distraught</v>
      </c>
      <c r="Z3015" s="12" t="str">
        <f ca="1">IFERROR(__xludf.DUMMYFUNCTION("""COMPUTED_VALUE"""),"Shooter (estranged husband) shot and killed 46 year-old female teacher (Betty McCaster) her in front of 36 six and seven-year olds. He entered the school and asked where her classroom was. He stormed in and the two exchanged some words. The teacher told t"&amp;"he children to run to the principal’s office to get help and that is when the gunman shot her 3 or 4 times. She had taught at the school for only a month. The shooter had been to the school a few days earlier and asked the principal to see her, but the pr"&amp;"incipal declined the request.")</f>
        <v>Shooter (estranged husband) shot and killed 46 year-old female teacher (Betty McCaster) her in front of 36 six and seven-year olds. He entered the school and asked where her classroom was. He stormed in and the two exchanged some words. The teacher told the children to run to the principal’s office to get help and that is when the gunman shot her 3 or 4 times. She had taught at the school for only a month. The shooter had been to the school a few days earlier and asked the principal to see her, but the principal declined the request.</v>
      </c>
      <c r="AA3015" s="8" t="str">
        <f ca="1">IFERROR(__xludf.DUMMYFUNCTION("""COMPUTED_VALUE"""),"Domestic w/ Targeted Victim")</f>
        <v>Domestic w/ Targeted Victim</v>
      </c>
      <c r="AB3015" s="8"/>
      <c r="AC3015" s="8"/>
      <c r="AD3015" s="8" t="str">
        <f ca="1">IFERROR(__xludf.DUMMYFUNCTION("""COMPUTED_VALUE"""),"Victims Targeted")</f>
        <v>Victims Targeted</v>
      </c>
      <c r="AE3015" s="8" t="str">
        <f ca="1">IFERROR(__xludf.DUMMYFUNCTION("""COMPUTED_VALUE"""),"No")</f>
        <v>No</v>
      </c>
      <c r="AF3015" s="8"/>
      <c r="AG3015" s="8" t="str">
        <f ca="1">IFERROR(__xludf.DUMMYFUNCTION("""COMPUTED_VALUE"""),"No")</f>
        <v>No</v>
      </c>
      <c r="AH3015" s="8" t="str">
        <f ca="1">IFERROR(__xludf.DUMMYFUNCTION("""COMPUTED_VALUE"""),"No")</f>
        <v>No</v>
      </c>
      <c r="AI3015" s="8" t="str">
        <f ca="1">IFERROR(__xludf.DUMMYFUNCTION("""COMPUTED_VALUE"""),"No")</f>
        <v>No</v>
      </c>
      <c r="AJ3015" s="8" t="str">
        <f ca="1">IFERROR(__xludf.DUMMYFUNCTION("""COMPUTED_VALUE"""),"No")</f>
        <v>No</v>
      </c>
      <c r="AK3015" s="8" t="str">
        <f ca="1">IFERROR(__xludf.DUMMYFUNCTION("""COMPUTED_VALUE"""),"Yes")</f>
        <v>Yes</v>
      </c>
      <c r="AL3015" s="8" t="str">
        <f ca="1">IFERROR(__xludf.DUMMYFUNCTION("""COMPUTED_VALUE"""),"No")</f>
        <v>No</v>
      </c>
      <c r="AM3015" s="8"/>
      <c r="AN3015" s="8"/>
      <c r="AO3015" s="8" t="str">
        <f ca="1">IFERROR(__xludf.DUMMYFUNCTION("""COMPUTED_VALUE"""),"No")</f>
        <v>No</v>
      </c>
      <c r="AP3015" s="8" t="str">
        <f ca="1">IFERROR(__xludf.DUMMYFUNCTION("""COMPUTED_VALUE"""),"Yes")</f>
        <v>Yes</v>
      </c>
      <c r="AQ3015" s="8" t="str">
        <f ca="1">IFERROR(__xludf.DUMMYFUNCTION("""COMPUTED_VALUE"""),"Unknown")</f>
        <v>Unknown</v>
      </c>
      <c r="AR3015" s="8" t="str">
        <f ca="1">IFERROR(__xludf.DUMMYFUNCTION("""COMPUTED_VALUE"""),"NA")</f>
        <v>NA</v>
      </c>
      <c r="AS3015" s="8">
        <f ca="1">IFERROR(__xludf.DUMMYFUNCTION("""COMPUTED_VALUE"""),4)</f>
        <v>4</v>
      </c>
      <c r="AT3015" s="8"/>
      <c r="AU3015" s="8">
        <f ca="1">IFERROR(__xludf.DUMMYFUNCTION("""COMPUTED_VALUE"""),42.406313)</f>
        <v>42.406312999999997</v>
      </c>
      <c r="AV3015" s="8">
        <f ca="1">IFERROR(__xludf.DUMMYFUNCTION("""COMPUTED_VALUE"""),-83.244482)</f>
        <v>-83.244482000000005</v>
      </c>
      <c r="AW3015" s="8"/>
      <c r="AX3015" s="8">
        <f ca="1">IFERROR(__xludf.DUMMYFUNCTION("""COMPUTED_VALUE"""),48223)</f>
        <v>48223</v>
      </c>
    </row>
    <row r="3016" spans="1:50" ht="75" x14ac:dyDescent="0.2">
      <c r="A3016" s="8" t="str">
        <f ca="1">IFERROR(__xludf.DUMMYFUNCTION("""COMPUTED_VALUE"""),"19760920NCGUG")</f>
        <v>19760920NCGUG</v>
      </c>
      <c r="B3016" s="8">
        <f ca="1">IFERROR(__xludf.DUMMYFUNCTION("""COMPUTED_VALUE"""),9)</f>
        <v>9</v>
      </c>
      <c r="C3016" s="8">
        <f ca="1">IFERROR(__xludf.DUMMYFUNCTION("""COMPUTED_VALUE"""),20)</f>
        <v>20</v>
      </c>
      <c r="D3016" s="8">
        <f ca="1">IFERROR(__xludf.DUMMYFUNCTION("""COMPUTED_VALUE"""),1976)</f>
        <v>1976</v>
      </c>
      <c r="E3016" s="9">
        <f ca="1">IFERROR(__xludf.DUMMYFUNCTION("""COMPUTED_VALUE"""),28023)</f>
        <v>28023</v>
      </c>
      <c r="F3016" s="8" t="str">
        <f ca="1">IFERROR(__xludf.DUMMYFUNCTION("""COMPUTED_VALUE"""),"Guildord County School Bus")</f>
        <v>Guildord County School Bus</v>
      </c>
      <c r="G3016" s="8">
        <f ca="1">IFERROR(__xludf.DUMMYFUNCTION("""COMPUTED_VALUE"""),0)</f>
        <v>0</v>
      </c>
      <c r="H3016" s="8">
        <f ca="1">IFERROR(__xludf.DUMMYFUNCTION("""COMPUTED_VALUE"""),1)</f>
        <v>1</v>
      </c>
      <c r="I3016" s="8">
        <f ca="1">IFERROR(__xludf.DUMMYFUNCTION("""COMPUTED_VALUE"""),1)</f>
        <v>1</v>
      </c>
      <c r="J3016" s="8">
        <f ca="1">IFERROR(__xludf.DUMMYFUNCTION("""COMPUTED_VALUE"""),1)</f>
        <v>1</v>
      </c>
      <c r="K3016" s="10" t="str">
        <f ca="1">IFERROR(__xludf.DUMMYFUNCTION("""COMPUTED_VALUE"""),"https://www.newspapers.com/image/43183929/?terms=school%2Bshooting")</f>
        <v>https://www.newspapers.com/image/43183929/?terms=school%2Bshooting</v>
      </c>
      <c r="L3016" s="8"/>
      <c r="M3016" s="8"/>
      <c r="N3016" s="8">
        <f ca="1">IFERROR(__xludf.DUMMYFUNCTION("""COMPUTED_VALUE"""),2)</f>
        <v>2</v>
      </c>
      <c r="O3016" s="8" t="str">
        <f ca="1">IFERROR(__xludf.DUMMYFUNCTION("""COMPUTED_VALUE"""),"Fall")</f>
        <v>Fall</v>
      </c>
      <c r="P3016" s="8" t="str">
        <f ca="1">IFERROR(__xludf.DUMMYFUNCTION("""COMPUTED_VALUE"""),"Greensboro")</f>
        <v>Greensboro</v>
      </c>
      <c r="Q3016" s="8" t="str">
        <f ca="1">IFERROR(__xludf.DUMMYFUNCTION("""COMPUTED_VALUE"""),"NC")</f>
        <v>NC</v>
      </c>
      <c r="R3016" s="8"/>
      <c r="S3016" s="8" t="str">
        <f ca="1">IFERROR(__xludf.DUMMYFUNCTION("""COMPUTED_VALUE"""),"School Bus")</f>
        <v>School Bus</v>
      </c>
      <c r="T3016" s="8" t="str">
        <f ca="1">IFERROR(__xludf.DUMMYFUNCTION("""COMPUTED_VALUE"""),"School Bus")</f>
        <v>School Bus</v>
      </c>
      <c r="U3016" s="8" t="str">
        <f ca="1">IFERROR(__xludf.DUMMYFUNCTION("""COMPUTED_VALUE"""),"Yes")</f>
        <v>Yes</v>
      </c>
      <c r="V3016" s="8"/>
      <c r="W3016" s="8"/>
      <c r="X3016" s="8"/>
      <c r="Y3016" s="12" t="str">
        <f ca="1">IFERROR(__xludf.DUMMYFUNCTION("""COMPUTED_VALUE"""),"Fired at school bus and then shot himself")</f>
        <v>Fired at school bus and then shot himself</v>
      </c>
      <c r="Z3016" s="12" t="str">
        <f ca="1">IFERROR(__xludf.DUMMYFUNCTION("""COMPUTED_VALUE"""),"38 year-old male fired shotgun at bus with 49 students onboard. Injured bus driver. Shot self. Shooter was making a cassette recording during the shooting but police did not release what was on it. Shooter was a carnival worker with no relation to the sch"&amp;"ool.")</f>
        <v>38 year-old male fired shotgun at bus with 49 students onboard. Injured bus driver. Shot self. Shooter was making a cassette recording during the shooting but police did not release what was on it. Shooter was a carnival worker with no relation to the school.</v>
      </c>
      <c r="AA3016" s="8" t="str">
        <f ca="1">IFERROR(__xludf.DUMMYFUNCTION("""COMPUTED_VALUE"""),"Indiscriminate Shooting")</f>
        <v>Indiscriminate Shooting</v>
      </c>
      <c r="AB3016" s="8"/>
      <c r="AC3016" s="8"/>
      <c r="AD3016" s="8" t="str">
        <f ca="1">IFERROR(__xludf.DUMMYFUNCTION("""COMPUTED_VALUE"""),"Random Shooting")</f>
        <v>Random Shooting</v>
      </c>
      <c r="AE3016" s="8" t="str">
        <f ca="1">IFERROR(__xludf.DUMMYFUNCTION("""COMPUTED_VALUE"""),"No")</f>
        <v>No</v>
      </c>
      <c r="AF3016" s="8"/>
      <c r="AG3016" s="8" t="str">
        <f ca="1">IFERROR(__xludf.DUMMYFUNCTION("""COMPUTED_VALUE"""),"No")</f>
        <v>No</v>
      </c>
      <c r="AH3016" s="8" t="str">
        <f ca="1">IFERROR(__xludf.DUMMYFUNCTION("""COMPUTED_VALUE"""),"No")</f>
        <v>No</v>
      </c>
      <c r="AI3016" s="8" t="str">
        <f ca="1">IFERROR(__xludf.DUMMYFUNCTION("""COMPUTED_VALUE"""),"No")</f>
        <v>No</v>
      </c>
      <c r="AJ3016" s="8" t="str">
        <f ca="1">IFERROR(__xludf.DUMMYFUNCTION("""COMPUTED_VALUE"""),"No")</f>
        <v>No</v>
      </c>
      <c r="AK3016" s="8" t="str">
        <f ca="1">IFERROR(__xludf.DUMMYFUNCTION("""COMPUTED_VALUE"""),"No")</f>
        <v>No</v>
      </c>
      <c r="AL3016" s="8" t="str">
        <f ca="1">IFERROR(__xludf.DUMMYFUNCTION("""COMPUTED_VALUE"""),"No")</f>
        <v>No</v>
      </c>
      <c r="AM3016" s="8"/>
      <c r="AN3016" s="8"/>
      <c r="AO3016" s="8" t="str">
        <f ca="1">IFERROR(__xludf.DUMMYFUNCTION("""COMPUTED_VALUE"""),"No")</f>
        <v>No</v>
      </c>
      <c r="AP3016" s="8"/>
      <c r="AQ3016" s="8" t="str">
        <f ca="1">IFERROR(__xludf.DUMMYFUNCTION("""COMPUTED_VALUE"""),"Unknown")</f>
        <v>Unknown</v>
      </c>
      <c r="AR3016" s="8" t="str">
        <f ca="1">IFERROR(__xludf.DUMMYFUNCTION("""COMPUTED_VALUE"""),"NA")</f>
        <v>NA</v>
      </c>
      <c r="AS3016" s="8">
        <f ca="1">IFERROR(__xludf.DUMMYFUNCTION("""COMPUTED_VALUE"""),2)</f>
        <v>2</v>
      </c>
      <c r="AT3016" s="8"/>
      <c r="AU3016" s="8">
        <f ca="1">IFERROR(__xludf.DUMMYFUNCTION("""COMPUTED_VALUE"""),36.0726354)</f>
        <v>36.072635400000003</v>
      </c>
      <c r="AV3016" s="8">
        <f ca="1">IFERROR(__xludf.DUMMYFUNCTION("""COMPUTED_VALUE"""),-79.7919754)</f>
        <v>-79.791975399999998</v>
      </c>
      <c r="AW3016" s="8"/>
      <c r="AX3016" s="8">
        <f ca="1">IFERROR(__xludf.DUMMYFUNCTION("""COMPUTED_VALUE"""),27401)</f>
        <v>27401</v>
      </c>
    </row>
    <row r="3017" spans="1:50" ht="75" x14ac:dyDescent="0.2">
      <c r="A3017" s="8" t="str">
        <f ca="1">IFERROR(__xludf.DUMMYFUNCTION("""COMPUTED_VALUE"""),"19760602MDMTC")</f>
        <v>19760602MDMTC</v>
      </c>
      <c r="B3017" s="8">
        <f ca="1">IFERROR(__xludf.DUMMYFUNCTION("""COMPUTED_VALUE"""),6)</f>
        <v>6</v>
      </c>
      <c r="C3017" s="8">
        <f ca="1">IFERROR(__xludf.DUMMYFUNCTION("""COMPUTED_VALUE"""),2)</f>
        <v>2</v>
      </c>
      <c r="D3017" s="8">
        <f ca="1">IFERROR(__xludf.DUMMYFUNCTION("""COMPUTED_VALUE"""),1976)</f>
        <v>1976</v>
      </c>
      <c r="E3017" s="9">
        <f ca="1">IFERROR(__xludf.DUMMYFUNCTION("""COMPUTED_VALUE"""),27913)</f>
        <v>27913</v>
      </c>
      <c r="F3017" s="8" t="str">
        <f ca="1">IFERROR(__xludf.DUMMYFUNCTION("""COMPUTED_VALUE"""),"Mt. Savage High School")</f>
        <v>Mt. Savage High School</v>
      </c>
      <c r="G3017" s="8">
        <f ca="1">IFERROR(__xludf.DUMMYFUNCTION("""COMPUTED_VALUE"""),0)</f>
        <v>0</v>
      </c>
      <c r="H3017" s="8">
        <f ca="1">IFERROR(__xludf.DUMMYFUNCTION("""COMPUTED_VALUE"""),0)</f>
        <v>0</v>
      </c>
      <c r="I3017" s="8">
        <f ca="1">IFERROR(__xludf.DUMMYFUNCTION("""COMPUTED_VALUE"""),0)</f>
        <v>0</v>
      </c>
      <c r="J3017" s="8">
        <f ca="1">IFERROR(__xludf.DUMMYFUNCTION("""COMPUTED_VALUE"""),0)</f>
        <v>0</v>
      </c>
      <c r="K3017" s="10" t="str">
        <f ca="1">IFERROR(__xludf.DUMMYFUNCTION("""COMPUTED_VALUE"""),"https://www.newspapers.com/image/12568764/?terms=school%2Bshooting")</f>
        <v>https://www.newspapers.com/image/12568764/?terms=school%2Bshooting</v>
      </c>
      <c r="L3017" s="8"/>
      <c r="M3017" s="8"/>
      <c r="N3017" s="8">
        <f ca="1">IFERROR(__xludf.DUMMYFUNCTION("""COMPUTED_VALUE"""),2)</f>
        <v>2</v>
      </c>
      <c r="O3017" s="8" t="str">
        <f ca="1">IFERROR(__xludf.DUMMYFUNCTION("""COMPUTED_VALUE"""),"Summer")</f>
        <v>Summer</v>
      </c>
      <c r="P3017" s="8" t="str">
        <f ca="1">IFERROR(__xludf.DUMMYFUNCTION("""COMPUTED_VALUE"""),"Cumberland")</f>
        <v>Cumberland</v>
      </c>
      <c r="Q3017" s="8" t="str">
        <f ca="1">IFERROR(__xludf.DUMMYFUNCTION("""COMPUTED_VALUE"""),"MD")</f>
        <v>MD</v>
      </c>
      <c r="R3017" s="8" t="str">
        <f ca="1">IFERROR(__xludf.DUMMYFUNCTION("""COMPUTED_VALUE"""),"High")</f>
        <v>High</v>
      </c>
      <c r="S3017" s="8" t="str">
        <f ca="1">IFERROR(__xludf.DUMMYFUNCTION("""COMPUTED_VALUE"""),"Classroom")</f>
        <v>Classroom</v>
      </c>
      <c r="T3017" s="8" t="str">
        <f ca="1">IFERROR(__xludf.DUMMYFUNCTION("""COMPUTED_VALUE"""),"Off School Property")</f>
        <v>Off School Property</v>
      </c>
      <c r="U3017" s="8" t="str">
        <f ca="1">IFERROR(__xludf.DUMMYFUNCTION("""COMPUTED_VALUE"""),"Yes")</f>
        <v>Yes</v>
      </c>
      <c r="V3017" s="8" t="str">
        <f ca="1">IFERROR(__xludf.DUMMYFUNCTION("""COMPUTED_VALUE"""),"Morning Classes")</f>
        <v>Morning Classes</v>
      </c>
      <c r="W3017" s="11">
        <f ca="1">IFERROR(__xludf.DUMMYFUNCTION("""COMPUTED_VALUE"""),0.489583333333333)</f>
        <v>0.48958333333333298</v>
      </c>
      <c r="X3017" s="8"/>
      <c r="Y3017" s="12" t="str">
        <f ca="1">IFERROR(__xludf.DUMMYFUNCTION("""COMPUTED_VALUE"""),"Shot windows of four classroom from outside while school was in session")</f>
        <v>Shot windows of four classroom from outside while school was in session</v>
      </c>
      <c r="Z3017" s="12" t="str">
        <f ca="1">IFERROR(__xludf.DUMMYFUNCTION("""COMPUTED_VALUE"""),"Unknown shooter shot the windows of 4 different classrooms while the school was in session. Classrooms shot at were occupied at the time and students were evacuated. Shots were fired from the wooded area near the school.")</f>
        <v>Unknown shooter shot the windows of 4 different classrooms while the school was in session. Classrooms shot at were occupied at the time and students were evacuated. Shots were fired from the wooded area near the school.</v>
      </c>
      <c r="AA3017" s="8" t="str">
        <f ca="1">IFERROR(__xludf.DUMMYFUNCTION("""COMPUTED_VALUE"""),"Intentional Property Damage")</f>
        <v>Intentional Property Damage</v>
      </c>
      <c r="AB3017" s="8"/>
      <c r="AC3017" s="8"/>
      <c r="AD3017" s="8"/>
      <c r="AE3017" s="8" t="str">
        <f ca="1">IFERROR(__xludf.DUMMYFUNCTION("""COMPUTED_VALUE"""),"No")</f>
        <v>No</v>
      </c>
      <c r="AF3017" s="8"/>
      <c r="AG3017" s="8" t="str">
        <f ca="1">IFERROR(__xludf.DUMMYFUNCTION("""COMPUTED_VALUE"""),"No")</f>
        <v>No</v>
      </c>
      <c r="AH3017" s="8" t="str">
        <f ca="1">IFERROR(__xludf.DUMMYFUNCTION("""COMPUTED_VALUE"""),"No")</f>
        <v>No</v>
      </c>
      <c r="AI3017" s="8" t="str">
        <f ca="1">IFERROR(__xludf.DUMMYFUNCTION("""COMPUTED_VALUE"""),"No")</f>
        <v>No</v>
      </c>
      <c r="AJ3017" s="8"/>
      <c r="AK3017" s="8" t="str">
        <f ca="1">IFERROR(__xludf.DUMMYFUNCTION("""COMPUTED_VALUE"""),"No")</f>
        <v>No</v>
      </c>
      <c r="AL3017" s="8" t="str">
        <f ca="1">IFERROR(__xludf.DUMMYFUNCTION("""COMPUTED_VALUE"""),"No")</f>
        <v>No</v>
      </c>
      <c r="AM3017" s="8"/>
      <c r="AN3017" s="8"/>
      <c r="AO3017" s="8" t="str">
        <f ca="1">IFERROR(__xludf.DUMMYFUNCTION("""COMPUTED_VALUE"""),"No")</f>
        <v>No</v>
      </c>
      <c r="AP3017" s="8"/>
      <c r="AQ3017" s="8" t="str">
        <f ca="1">IFERROR(__xludf.DUMMYFUNCTION("""COMPUTED_VALUE"""),"Unknown")</f>
        <v>Unknown</v>
      </c>
      <c r="AR3017" s="8" t="str">
        <f ca="1">IFERROR(__xludf.DUMMYFUNCTION("""COMPUTED_VALUE"""),"NA")</f>
        <v>NA</v>
      </c>
      <c r="AS3017" s="8">
        <f ca="1">IFERROR(__xludf.DUMMYFUNCTION("""COMPUTED_VALUE"""),4)</f>
        <v>4</v>
      </c>
      <c r="AT3017" s="8"/>
      <c r="AU3017" s="8">
        <f ca="1">IFERROR(__xludf.DUMMYFUNCTION("""COMPUTED_VALUE"""),39.700078)</f>
        <v>39.700077999999998</v>
      </c>
      <c r="AV3017" s="8">
        <f ca="1">IFERROR(__xludf.DUMMYFUNCTION("""COMPUTED_VALUE"""),-78.878745)</f>
        <v>-78.878744999999995</v>
      </c>
      <c r="AW3017" s="8"/>
      <c r="AX3017" s="8">
        <f ca="1">IFERROR(__xludf.DUMMYFUNCTION("""COMPUTED_VALUE"""),21545)</f>
        <v>21545</v>
      </c>
    </row>
    <row r="3018" spans="1:50" ht="45" x14ac:dyDescent="0.2">
      <c r="A3018" s="8" t="str">
        <f ca="1">IFERROR(__xludf.DUMMYFUNCTION("""COMPUTED_VALUE"""),"19760514FLPAW")</f>
        <v>19760514FLPAW</v>
      </c>
      <c r="B3018" s="8">
        <f ca="1">IFERROR(__xludf.DUMMYFUNCTION("""COMPUTED_VALUE"""),5)</f>
        <v>5</v>
      </c>
      <c r="C3018" s="8">
        <f ca="1">IFERROR(__xludf.DUMMYFUNCTION("""COMPUTED_VALUE"""),14)</f>
        <v>14</v>
      </c>
      <c r="D3018" s="8">
        <f ca="1">IFERROR(__xludf.DUMMYFUNCTION("""COMPUTED_VALUE"""),1976)</f>
        <v>1976</v>
      </c>
      <c r="E3018" s="9">
        <f ca="1">IFERROR(__xludf.DUMMYFUNCTION("""COMPUTED_VALUE"""),27894)</f>
        <v>27894</v>
      </c>
      <c r="F3018" s="8" t="str">
        <f ca="1">IFERROR(__xludf.DUMMYFUNCTION("""COMPUTED_VALUE"""),"Palm Beach Gardens High School")</f>
        <v>Palm Beach Gardens High School</v>
      </c>
      <c r="G3018" s="8">
        <f ca="1">IFERROR(__xludf.DUMMYFUNCTION("""COMPUTED_VALUE"""),0)</f>
        <v>0</v>
      </c>
      <c r="H3018" s="8">
        <f ca="1">IFERROR(__xludf.DUMMYFUNCTION("""COMPUTED_VALUE"""),1)</f>
        <v>1</v>
      </c>
      <c r="I3018" s="8">
        <f ca="1">IFERROR(__xludf.DUMMYFUNCTION("""COMPUTED_VALUE"""),1)</f>
        <v>1</v>
      </c>
      <c r="J3018" s="8">
        <f ca="1">IFERROR(__xludf.DUMMYFUNCTION("""COMPUTED_VALUE"""),0)</f>
        <v>0</v>
      </c>
      <c r="K3018" s="10" t="str">
        <f ca="1">IFERROR(__xludf.DUMMYFUNCTION("""COMPUTED_VALUE"""),"https://www.newspapers.com/image/133980815/?terms=palm%2Bbeach%2Bgarden%2Bschool%2Bshooting")</f>
        <v>https://www.newspapers.com/image/133980815/?terms=palm%2Bbeach%2Bgarden%2Bschool%2Bshooting</v>
      </c>
      <c r="L3018" s="8"/>
      <c r="M3018" s="8"/>
      <c r="N3018" s="8">
        <f ca="1">IFERROR(__xludf.DUMMYFUNCTION("""COMPUTED_VALUE"""),2)</f>
        <v>2</v>
      </c>
      <c r="O3018" s="8" t="str">
        <f ca="1">IFERROR(__xludf.DUMMYFUNCTION("""COMPUTED_VALUE"""),"Spring")</f>
        <v>Spring</v>
      </c>
      <c r="P3018" s="8" t="str">
        <f ca="1">IFERROR(__xludf.DUMMYFUNCTION("""COMPUTED_VALUE"""),"West Palm Beach")</f>
        <v>West Palm Beach</v>
      </c>
      <c r="Q3018" s="8" t="str">
        <f ca="1">IFERROR(__xludf.DUMMYFUNCTION("""COMPUTED_VALUE"""),"FL")</f>
        <v>FL</v>
      </c>
      <c r="R3018" s="8" t="str">
        <f ca="1">IFERROR(__xludf.DUMMYFUNCTION("""COMPUTED_VALUE"""),"High")</f>
        <v>High</v>
      </c>
      <c r="S3018" s="8" t="str">
        <f ca="1">IFERROR(__xludf.DUMMYFUNCTION("""COMPUTED_VALUE"""),"Outside on School Property")</f>
        <v>Outside on School Property</v>
      </c>
      <c r="T3018" s="8" t="str">
        <f ca="1">IFERROR(__xludf.DUMMYFUNCTION("""COMPUTED_VALUE"""),"Outside on School Property")</f>
        <v>Outside on School Property</v>
      </c>
      <c r="U3018" s="8" t="str">
        <f ca="1">IFERROR(__xludf.DUMMYFUNCTION("""COMPUTED_VALUE"""),"Yes")</f>
        <v>Yes</v>
      </c>
      <c r="V3018" s="8" t="str">
        <f ca="1">IFERROR(__xludf.DUMMYFUNCTION("""COMPUTED_VALUE"""),"Lunch")</f>
        <v>Lunch</v>
      </c>
      <c r="W3018" s="11">
        <f ca="1">IFERROR(__xludf.DUMMYFUNCTION("""COMPUTED_VALUE"""),0.5)</f>
        <v>0.5</v>
      </c>
      <c r="X3018" s="8">
        <f ca="1">IFERROR(__xludf.DUMMYFUNCTION("""COMPUTED_VALUE"""),1)</f>
        <v>1</v>
      </c>
      <c r="Y3018" s="12" t="str">
        <f ca="1">IFERROR(__xludf.DUMMYFUNCTION("""COMPUTED_VALUE"""),"Fight over spitting in parking lot")</f>
        <v>Fight over spitting in parking lot</v>
      </c>
      <c r="Z3018" s="12" t="str">
        <f ca="1">IFERROR(__xludf.DUMMYFUNCTION("""COMPUTED_VALUE"""),"Argument between two students over spitting. Shooter warned victim by firing two shots in the air and then shot him in the head. Shooter was subdued by nearby police officer.")</f>
        <v>Argument between two students over spitting. Shooter warned victim by firing two shots in the air and then shot him in the head. Shooter was subdued by nearby police officer.</v>
      </c>
      <c r="AA3018" s="8" t="str">
        <f ca="1">IFERROR(__xludf.DUMMYFUNCTION("""COMPUTED_VALUE"""),"Escalation of Dispute")</f>
        <v>Escalation of Dispute</v>
      </c>
      <c r="AB3018" s="8"/>
      <c r="AC3018" s="8"/>
      <c r="AD3018" s="8" t="str">
        <f ca="1">IFERROR(__xludf.DUMMYFUNCTION("""COMPUTED_VALUE"""),"Victims Targeted")</f>
        <v>Victims Targeted</v>
      </c>
      <c r="AE3018" s="8" t="str">
        <f ca="1">IFERROR(__xludf.DUMMYFUNCTION("""COMPUTED_VALUE"""),"No")</f>
        <v>No</v>
      </c>
      <c r="AF3018" s="8"/>
      <c r="AG3018" s="8" t="str">
        <f ca="1">IFERROR(__xludf.DUMMYFUNCTION("""COMPUTED_VALUE"""),"No")</f>
        <v>No</v>
      </c>
      <c r="AH3018" s="8" t="str">
        <f ca="1">IFERROR(__xludf.DUMMYFUNCTION("""COMPUTED_VALUE"""),"No")</f>
        <v>No</v>
      </c>
      <c r="AI3018" s="8" t="str">
        <f ca="1">IFERROR(__xludf.DUMMYFUNCTION("""COMPUTED_VALUE"""),"No")</f>
        <v>No</v>
      </c>
      <c r="AJ3018" s="8" t="str">
        <f ca="1">IFERROR(__xludf.DUMMYFUNCTION("""COMPUTED_VALUE"""),"No")</f>
        <v>No</v>
      </c>
      <c r="AK3018" s="8" t="str">
        <f ca="1">IFERROR(__xludf.DUMMYFUNCTION("""COMPUTED_VALUE"""),"No")</f>
        <v>No</v>
      </c>
      <c r="AL3018" s="8" t="str">
        <f ca="1">IFERROR(__xludf.DUMMYFUNCTION("""COMPUTED_VALUE"""),"No")</f>
        <v>No</v>
      </c>
      <c r="AM3018" s="8"/>
      <c r="AN3018" s="8"/>
      <c r="AO3018" s="8" t="str">
        <f ca="1">IFERROR(__xludf.DUMMYFUNCTION("""COMPUTED_VALUE"""),"No")</f>
        <v>No</v>
      </c>
      <c r="AP3018" s="8"/>
      <c r="AQ3018" s="8" t="str">
        <f ca="1">IFERROR(__xludf.DUMMYFUNCTION("""COMPUTED_VALUE"""),"Unknown")</f>
        <v>Unknown</v>
      </c>
      <c r="AR3018" s="8" t="str">
        <f ca="1">IFERROR(__xludf.DUMMYFUNCTION("""COMPUTED_VALUE"""),"NA")</f>
        <v>NA</v>
      </c>
      <c r="AS3018" s="8">
        <f ca="1">IFERROR(__xludf.DUMMYFUNCTION("""COMPUTED_VALUE"""),3)</f>
        <v>3</v>
      </c>
      <c r="AT3018" s="8"/>
      <c r="AU3018" s="8">
        <f ca="1">IFERROR(__xludf.DUMMYFUNCTION("""COMPUTED_VALUE"""),26.825717)</f>
        <v>26.825717000000001</v>
      </c>
      <c r="AV3018" s="8">
        <f ca="1">IFERROR(__xludf.DUMMYFUNCTION("""COMPUTED_VALUE"""),-80.101326)</f>
        <v>-80.101326</v>
      </c>
      <c r="AW3018" s="8"/>
      <c r="AX3018" s="8">
        <f ca="1">IFERROR(__xludf.DUMMYFUNCTION("""COMPUTED_VALUE"""),33410)</f>
        <v>33410</v>
      </c>
    </row>
    <row r="3019" spans="1:50" ht="60" x14ac:dyDescent="0.2">
      <c r="A3019" s="8" t="str">
        <f ca="1">IFERROR(__xludf.DUMMYFUNCTION("""COMPUTED_VALUE"""),"19760513MOMAS")</f>
        <v>19760513MOMAS</v>
      </c>
      <c r="B3019" s="8">
        <f ca="1">IFERROR(__xludf.DUMMYFUNCTION("""COMPUTED_VALUE"""),5)</f>
        <v>5</v>
      </c>
      <c r="C3019" s="8">
        <f ca="1">IFERROR(__xludf.DUMMYFUNCTION("""COMPUTED_VALUE"""),13)</f>
        <v>13</v>
      </c>
      <c r="D3019" s="8">
        <f ca="1">IFERROR(__xludf.DUMMYFUNCTION("""COMPUTED_VALUE"""),1976)</f>
        <v>1976</v>
      </c>
      <c r="E3019" s="9">
        <f ca="1">IFERROR(__xludf.DUMMYFUNCTION("""COMPUTED_VALUE"""),27893)</f>
        <v>27893</v>
      </c>
      <c r="F3019" s="8" t="str">
        <f ca="1">IFERROR(__xludf.DUMMYFUNCTION("""COMPUTED_VALUE"""),"Mark Twain School")</f>
        <v>Mark Twain School</v>
      </c>
      <c r="G3019" s="8">
        <f ca="1">IFERROR(__xludf.DUMMYFUNCTION("""COMPUTED_VALUE"""),0)</f>
        <v>0</v>
      </c>
      <c r="H3019" s="8">
        <f ca="1">IFERROR(__xludf.DUMMYFUNCTION("""COMPUTED_VALUE"""),1)</f>
        <v>1</v>
      </c>
      <c r="I3019" s="8">
        <f ca="1">IFERROR(__xludf.DUMMYFUNCTION("""COMPUTED_VALUE"""),1)</f>
        <v>1</v>
      </c>
      <c r="J3019" s="8">
        <f ca="1">IFERROR(__xludf.DUMMYFUNCTION("""COMPUTED_VALUE"""),0)</f>
        <v>0</v>
      </c>
      <c r="K3019" s="8" t="str">
        <f ca="1">IFERROR(__xludf.DUMMYFUNCTION("""COMPUTED_VALUE"""),"https://www.newspapers.com/image/18588223/?terms=STUDENT%2BSHOT; https://www.newspapers.com/image/139466550/?terms=MELVIN%2BGRAY")</f>
        <v>https://www.newspapers.com/image/18588223/?terms=STUDENT%2BSHOT; https://www.newspapers.com/image/139466550/?terms=MELVIN%2BGRAY</v>
      </c>
      <c r="L3019" s="8"/>
      <c r="M3019" s="8"/>
      <c r="N3019" s="8">
        <f ca="1">IFERROR(__xludf.DUMMYFUNCTION("""COMPUTED_VALUE"""),2)</f>
        <v>2</v>
      </c>
      <c r="O3019" s="8" t="str">
        <f ca="1">IFERROR(__xludf.DUMMYFUNCTION("""COMPUTED_VALUE"""),"Spring")</f>
        <v>Spring</v>
      </c>
      <c r="P3019" s="8" t="str">
        <f ca="1">IFERROR(__xludf.DUMMYFUNCTION("""COMPUTED_VALUE"""),"St. Louis")</f>
        <v>St. Louis</v>
      </c>
      <c r="Q3019" s="8" t="str">
        <f ca="1">IFERROR(__xludf.DUMMYFUNCTION("""COMPUTED_VALUE"""),"MO")</f>
        <v>MO</v>
      </c>
      <c r="R3019" s="8" t="str">
        <f ca="1">IFERROR(__xludf.DUMMYFUNCTION("""COMPUTED_VALUE"""),"Elementary")</f>
        <v>Elementary</v>
      </c>
      <c r="S3019" s="8" t="str">
        <f ca="1">IFERROR(__xludf.DUMMYFUNCTION("""COMPUTED_VALUE"""),"Cafeteria")</f>
        <v>Cafeteria</v>
      </c>
      <c r="T3019" s="8" t="str">
        <f ca="1">IFERROR(__xludf.DUMMYFUNCTION("""COMPUTED_VALUE"""),"Inside School Building")</f>
        <v>Inside School Building</v>
      </c>
      <c r="U3019" s="8" t="str">
        <f ca="1">IFERROR(__xludf.DUMMYFUNCTION("""COMPUTED_VALUE"""),"Yes")</f>
        <v>Yes</v>
      </c>
      <c r="V3019" s="8" t="str">
        <f ca="1">IFERROR(__xludf.DUMMYFUNCTION("""COMPUTED_VALUE"""),"Lunch")</f>
        <v>Lunch</v>
      </c>
      <c r="W3019" s="8"/>
      <c r="X3019" s="8">
        <f ca="1">IFERROR(__xludf.DUMMYFUNCTION("""COMPUTED_VALUE"""),1)</f>
        <v>1</v>
      </c>
      <c r="Y3019" s="12" t="str">
        <f ca="1">IFERROR(__xludf.DUMMYFUNCTION("""COMPUTED_VALUE"""),"Victim accidentally shot by shooter aiming at two other boys")</f>
        <v>Victim accidentally shot by shooter aiming at two other boys</v>
      </c>
      <c r="Z3019" s="12" t="str">
        <f ca="1">IFERROR(__xludf.DUMMYFUNCTION("""COMPUTED_VALUE"""),"Victim (not target) was shot by shooter who was attempting to fire at two boys who cut in lunch line.")</f>
        <v>Victim (not target) was shot by shooter who was attempting to fire at two boys who cut in lunch line.</v>
      </c>
      <c r="AA3019" s="8" t="str">
        <f ca="1">IFERROR(__xludf.DUMMYFUNCTION("""COMPUTED_VALUE"""),"Escalation of Dispute")</f>
        <v>Escalation of Dispute</v>
      </c>
      <c r="AB3019" s="8"/>
      <c r="AC3019" s="8"/>
      <c r="AD3019" s="8" t="str">
        <f ca="1">IFERROR(__xludf.DUMMYFUNCTION("""COMPUTED_VALUE"""),"Random Shooting")</f>
        <v>Random Shooting</v>
      </c>
      <c r="AE3019" s="8" t="str">
        <f ca="1">IFERROR(__xludf.DUMMYFUNCTION("""COMPUTED_VALUE"""),"No")</f>
        <v>No</v>
      </c>
      <c r="AF3019" s="8"/>
      <c r="AG3019" s="8" t="str">
        <f ca="1">IFERROR(__xludf.DUMMYFUNCTION("""COMPUTED_VALUE"""),"No")</f>
        <v>No</v>
      </c>
      <c r="AH3019" s="8" t="str">
        <f ca="1">IFERROR(__xludf.DUMMYFUNCTION("""COMPUTED_VALUE"""),"No")</f>
        <v>No</v>
      </c>
      <c r="AI3019" s="8" t="str">
        <f ca="1">IFERROR(__xludf.DUMMYFUNCTION("""COMPUTED_VALUE"""),"No")</f>
        <v>No</v>
      </c>
      <c r="AJ3019" s="8" t="str">
        <f ca="1">IFERROR(__xludf.DUMMYFUNCTION("""COMPUTED_VALUE"""),"No")</f>
        <v>No</v>
      </c>
      <c r="AK3019" s="8" t="str">
        <f ca="1">IFERROR(__xludf.DUMMYFUNCTION("""COMPUTED_VALUE"""),"No")</f>
        <v>No</v>
      </c>
      <c r="AL3019" s="8" t="str">
        <f ca="1">IFERROR(__xludf.DUMMYFUNCTION("""COMPUTED_VALUE"""),"No")</f>
        <v>No</v>
      </c>
      <c r="AM3019" s="8"/>
      <c r="AN3019" s="8"/>
      <c r="AO3019" s="8" t="str">
        <f ca="1">IFERROR(__xludf.DUMMYFUNCTION("""COMPUTED_VALUE"""),"No")</f>
        <v>No</v>
      </c>
      <c r="AP3019" s="8"/>
      <c r="AQ3019" s="8" t="str">
        <f ca="1">IFERROR(__xludf.DUMMYFUNCTION("""COMPUTED_VALUE"""),"Unknown")</f>
        <v>Unknown</v>
      </c>
      <c r="AR3019" s="8" t="str">
        <f ca="1">IFERROR(__xludf.DUMMYFUNCTION("""COMPUTED_VALUE"""),"NA")</f>
        <v>NA</v>
      </c>
      <c r="AS3019" s="8"/>
      <c r="AT3019" s="8"/>
      <c r="AU3019" s="8">
        <f ca="1">IFERROR(__xludf.DUMMYFUNCTION("""COMPUTED_VALUE"""),38.690381)</f>
        <v>38.690381000000002</v>
      </c>
      <c r="AV3019" s="8">
        <f ca="1">IFERROR(__xludf.DUMMYFUNCTION("""COMPUTED_VALUE"""),-90.242473)</f>
        <v>-90.242473000000004</v>
      </c>
      <c r="AW3019" s="8"/>
      <c r="AX3019" s="8">
        <f ca="1">IFERROR(__xludf.DUMMYFUNCTION("""COMPUTED_VALUE"""),63115)</f>
        <v>63115</v>
      </c>
    </row>
    <row r="3020" spans="1:50" ht="75" x14ac:dyDescent="0.2">
      <c r="A3020" s="8" t="str">
        <f ca="1">IFERROR(__xludf.DUMMYFUNCTION("""COMPUTED_VALUE"""),"19760412TXODF")</f>
        <v>19760412TXODF</v>
      </c>
      <c r="B3020" s="8">
        <f ca="1">IFERROR(__xludf.DUMMYFUNCTION("""COMPUTED_VALUE"""),4)</f>
        <v>4</v>
      </c>
      <c r="C3020" s="8">
        <f ca="1">IFERROR(__xludf.DUMMYFUNCTION("""COMPUTED_VALUE"""),12)</f>
        <v>12</v>
      </c>
      <c r="D3020" s="8">
        <f ca="1">IFERROR(__xludf.DUMMYFUNCTION("""COMPUTED_VALUE"""),1976)</f>
        <v>1976</v>
      </c>
      <c r="E3020" s="9">
        <f ca="1">IFERROR(__xludf.DUMMYFUNCTION("""COMPUTED_VALUE"""),27862)</f>
        <v>27862</v>
      </c>
      <c r="F3020" s="8" t="str">
        <f ca="1">IFERROR(__xludf.DUMMYFUNCTION("""COMPUTED_VALUE"""),"O D Wyatt High School")</f>
        <v>O D Wyatt High School</v>
      </c>
      <c r="G3020" s="8">
        <f ca="1">IFERROR(__xludf.DUMMYFUNCTION("""COMPUTED_VALUE"""),1)</f>
        <v>1</v>
      </c>
      <c r="H3020" s="8">
        <f ca="1">IFERROR(__xludf.DUMMYFUNCTION("""COMPUTED_VALUE"""),1)</f>
        <v>1</v>
      </c>
      <c r="I3020" s="8">
        <f ca="1">IFERROR(__xludf.DUMMYFUNCTION("""COMPUTED_VALUE"""),2)</f>
        <v>2</v>
      </c>
      <c r="J3020" s="8">
        <f ca="1">IFERROR(__xludf.DUMMYFUNCTION("""COMPUTED_VALUE"""),0)</f>
        <v>0</v>
      </c>
      <c r="K3020" s="10" t="str">
        <f ca="1">IFERROR(__xludf.DUMMYFUNCTION("""COMPUTED_VALUE"""),"https://www.newspapers.com/image/29580657/?terms=school%2Bshooting")</f>
        <v>https://www.newspapers.com/image/29580657/?terms=school%2Bshooting</v>
      </c>
      <c r="L3020" s="8"/>
      <c r="M3020" s="8"/>
      <c r="N3020" s="8">
        <f ca="1">IFERROR(__xludf.DUMMYFUNCTION("""COMPUTED_VALUE"""),2)</f>
        <v>2</v>
      </c>
      <c r="O3020" s="8" t="str">
        <f ca="1">IFERROR(__xludf.DUMMYFUNCTION("""COMPUTED_VALUE"""),"Spring")</f>
        <v>Spring</v>
      </c>
      <c r="P3020" s="8" t="str">
        <f ca="1">IFERROR(__xludf.DUMMYFUNCTION("""COMPUTED_VALUE"""),"Fort Worth")</f>
        <v>Fort Worth</v>
      </c>
      <c r="Q3020" s="8" t="str">
        <f ca="1">IFERROR(__xludf.DUMMYFUNCTION("""COMPUTED_VALUE"""),"TX")</f>
        <v>TX</v>
      </c>
      <c r="R3020" s="8" t="str">
        <f ca="1">IFERROR(__xludf.DUMMYFUNCTION("""COMPUTED_VALUE"""),"High")</f>
        <v>High</v>
      </c>
      <c r="S3020" s="8" t="str">
        <f ca="1">IFERROR(__xludf.DUMMYFUNCTION("""COMPUTED_VALUE"""),"Hallway")</f>
        <v>Hallway</v>
      </c>
      <c r="T3020" s="8" t="str">
        <f ca="1">IFERROR(__xludf.DUMMYFUNCTION("""COMPUTED_VALUE"""),"Inside School Building")</f>
        <v>Inside School Building</v>
      </c>
      <c r="U3020" s="8" t="str">
        <f ca="1">IFERROR(__xludf.DUMMYFUNCTION("""COMPUTED_VALUE"""),"Yes")</f>
        <v>Yes</v>
      </c>
      <c r="V3020" s="8" t="str">
        <f ca="1">IFERROR(__xludf.DUMMYFUNCTION("""COMPUTED_VALUE"""),"Afternoon Classes")</f>
        <v>Afternoon Classes</v>
      </c>
      <c r="W3020" s="8"/>
      <c r="X3020" s="8">
        <f ca="1">IFERROR(__xludf.DUMMYFUNCTION("""COMPUTED_VALUE"""),1)</f>
        <v>1</v>
      </c>
      <c r="Y3020" s="12" t="str">
        <f ca="1">IFERROR(__xludf.DUMMYFUNCTION("""COMPUTED_VALUE"""),"Dispute turned into shooting, another student hit in crossfire")</f>
        <v>Dispute turned into shooting, another student hit in crossfire</v>
      </c>
      <c r="Z3020" s="12" t="str">
        <f ca="1">IFERROR(__xludf.DUMMYFUNCTION("""COMPUTED_VALUE"""),"Fight in hallway between two students escalated into shooting in the school hallway when targeted victim was leaving bathroom. Targeted victim was fatally shot. Bystander student wounded in cross fire. Shooter fled and was arrested away from school.")</f>
        <v>Fight in hallway between two students escalated into shooting in the school hallway when targeted victim was leaving bathroom. Targeted victim was fatally shot. Bystander student wounded in cross fire. Shooter fled and was arrested away from school.</v>
      </c>
      <c r="AA3020" s="8" t="str">
        <f ca="1">IFERROR(__xludf.DUMMYFUNCTION("""COMPUTED_VALUE"""),"Escalation of Dispute")</f>
        <v>Escalation of Dispute</v>
      </c>
      <c r="AB3020" s="8"/>
      <c r="AC3020" s="8"/>
      <c r="AD3020" s="8" t="str">
        <f ca="1">IFERROR(__xludf.DUMMYFUNCTION("""COMPUTED_VALUE"""),"Both")</f>
        <v>Both</v>
      </c>
      <c r="AE3020" s="8" t="str">
        <f ca="1">IFERROR(__xludf.DUMMYFUNCTION("""COMPUTED_VALUE"""),"No")</f>
        <v>No</v>
      </c>
      <c r="AF3020" s="8"/>
      <c r="AG3020" s="8" t="str">
        <f ca="1">IFERROR(__xludf.DUMMYFUNCTION("""COMPUTED_VALUE"""),"No")</f>
        <v>No</v>
      </c>
      <c r="AH3020" s="8" t="str">
        <f ca="1">IFERROR(__xludf.DUMMYFUNCTION("""COMPUTED_VALUE"""),"No")</f>
        <v>No</v>
      </c>
      <c r="AI3020" s="8" t="str">
        <f ca="1">IFERROR(__xludf.DUMMYFUNCTION("""COMPUTED_VALUE"""),"No")</f>
        <v>No</v>
      </c>
      <c r="AJ3020" s="8"/>
      <c r="AK3020" s="8" t="str">
        <f ca="1">IFERROR(__xludf.DUMMYFUNCTION("""COMPUTED_VALUE"""),"No")</f>
        <v>No</v>
      </c>
      <c r="AL3020" s="8" t="str">
        <f ca="1">IFERROR(__xludf.DUMMYFUNCTION("""COMPUTED_VALUE"""),"No")</f>
        <v>No</v>
      </c>
      <c r="AM3020" s="8"/>
      <c r="AN3020" s="8"/>
      <c r="AO3020" s="8" t="str">
        <f ca="1">IFERROR(__xludf.DUMMYFUNCTION("""COMPUTED_VALUE"""),"No")</f>
        <v>No</v>
      </c>
      <c r="AP3020" s="8"/>
      <c r="AQ3020" s="8" t="str">
        <f ca="1">IFERROR(__xludf.DUMMYFUNCTION("""COMPUTED_VALUE"""),"Unknown")</f>
        <v>Unknown</v>
      </c>
      <c r="AR3020" s="8" t="str">
        <f ca="1">IFERROR(__xludf.DUMMYFUNCTION("""COMPUTED_VALUE"""),"NA")</f>
        <v>NA</v>
      </c>
      <c r="AS3020" s="8" t="str">
        <f ca="1">IFERROR(__xludf.DUMMYFUNCTION("""COMPUTED_VALUE"""),"&lt;10")</f>
        <v>&lt;10</v>
      </c>
      <c r="AT3020" s="8"/>
      <c r="AU3020" s="8">
        <f ca="1">IFERROR(__xludf.DUMMYFUNCTION("""COMPUTED_VALUE"""),32.683521)</f>
        <v>32.683520999999999</v>
      </c>
      <c r="AV3020" s="8">
        <f ca="1">IFERROR(__xludf.DUMMYFUNCTION("""COMPUTED_VALUE"""),-97.294285)</f>
        <v>-97.294285000000002</v>
      </c>
      <c r="AW3020" s="8"/>
      <c r="AX3020" s="8">
        <f ca="1">IFERROR(__xludf.DUMMYFUNCTION("""COMPUTED_VALUE"""),76119)</f>
        <v>76119</v>
      </c>
    </row>
    <row r="3021" spans="1:50" ht="150" x14ac:dyDescent="0.2">
      <c r="A3021" s="8" t="str">
        <f ca="1">IFERROR(__xludf.DUMMYFUNCTION("""COMPUTED_VALUE"""),"19760212MIMUD")</f>
        <v>19760212MIMUD</v>
      </c>
      <c r="B3021" s="8">
        <f ca="1">IFERROR(__xludf.DUMMYFUNCTION("""COMPUTED_VALUE"""),2)</f>
        <v>2</v>
      </c>
      <c r="C3021" s="8">
        <f ca="1">IFERROR(__xludf.DUMMYFUNCTION("""COMPUTED_VALUE"""),12)</f>
        <v>12</v>
      </c>
      <c r="D3021" s="8">
        <f ca="1">IFERROR(__xludf.DUMMYFUNCTION("""COMPUTED_VALUE"""),1976)</f>
        <v>1976</v>
      </c>
      <c r="E3021" s="9">
        <f ca="1">IFERROR(__xludf.DUMMYFUNCTION("""COMPUTED_VALUE"""),27802)</f>
        <v>27802</v>
      </c>
      <c r="F3021" s="8" t="str">
        <f ca="1">IFERROR(__xludf.DUMMYFUNCTION("""COMPUTED_VALUE"""),"Murray-Wright High School")</f>
        <v>Murray-Wright High School</v>
      </c>
      <c r="G3021" s="8">
        <f ca="1">IFERROR(__xludf.DUMMYFUNCTION("""COMPUTED_VALUE"""),0)</f>
        <v>0</v>
      </c>
      <c r="H3021" s="8">
        <f ca="1">IFERROR(__xludf.DUMMYFUNCTION("""COMPUTED_VALUE"""),5)</f>
        <v>5</v>
      </c>
      <c r="I3021" s="8">
        <f ca="1">IFERROR(__xludf.DUMMYFUNCTION("""COMPUTED_VALUE"""),5)</f>
        <v>5</v>
      </c>
      <c r="J3021" s="8">
        <f ca="1">IFERROR(__xludf.DUMMYFUNCTION("""COMPUTED_VALUE"""),0)</f>
        <v>0</v>
      </c>
      <c r="K3021" s="10" t="str">
        <f ca="1">IFERROR(__xludf.DUMMYFUNCTION("""COMPUTED_VALUE"""),"https://news.google.com/newspapers?id=LQ9PAAAAIBAJ&amp;pg=3947,2156747")</f>
        <v>https://news.google.com/newspapers?id=LQ9PAAAAIBAJ&amp;pg=3947,2156747</v>
      </c>
      <c r="L3021" s="8"/>
      <c r="M3021" s="8"/>
      <c r="N3021" s="8">
        <f ca="1">IFERROR(__xludf.DUMMYFUNCTION("""COMPUTED_VALUE"""),2)</f>
        <v>2</v>
      </c>
      <c r="O3021" s="8" t="str">
        <f ca="1">IFERROR(__xludf.DUMMYFUNCTION("""COMPUTED_VALUE"""),"Winter")</f>
        <v>Winter</v>
      </c>
      <c r="P3021" s="8" t="str">
        <f ca="1">IFERROR(__xludf.DUMMYFUNCTION("""COMPUTED_VALUE"""),"Detroit")</f>
        <v>Detroit</v>
      </c>
      <c r="Q3021" s="8" t="str">
        <f ca="1">IFERROR(__xludf.DUMMYFUNCTION("""COMPUTED_VALUE"""),"MI")</f>
        <v>MI</v>
      </c>
      <c r="R3021" s="8" t="str">
        <f ca="1">IFERROR(__xludf.DUMMYFUNCTION("""COMPUTED_VALUE"""),"High")</f>
        <v>High</v>
      </c>
      <c r="S3021" s="8" t="str">
        <f ca="1">IFERROR(__xludf.DUMMYFUNCTION("""COMPUTED_VALUE"""),"Hallway")</f>
        <v>Hallway</v>
      </c>
      <c r="T3021" s="8" t="str">
        <f ca="1">IFERROR(__xludf.DUMMYFUNCTION("""COMPUTED_VALUE"""),"Inside School Building")</f>
        <v>Inside School Building</v>
      </c>
      <c r="U3021" s="8" t="str">
        <f ca="1">IFERROR(__xludf.DUMMYFUNCTION("""COMPUTED_VALUE"""),"Yes")</f>
        <v>Yes</v>
      </c>
      <c r="V3021" s="8"/>
      <c r="W3021" s="8"/>
      <c r="X3021" s="8">
        <f ca="1">IFERROR(__xludf.DUMMYFUNCTION("""COMPUTED_VALUE"""),1)</f>
        <v>1</v>
      </c>
      <c r="Y3021" s="12" t="str">
        <f ca="1">IFERROR(__xludf.DUMMYFUNCTION("""COMPUTED_VALUE"""),"Dispute over a girlfriend")</f>
        <v>Dispute over a girlfriend</v>
      </c>
      <c r="Z3021" s="12" t="str">
        <f ca="1">IFERROR(__xludf.DUMMYFUNCTION("""COMPUTED_VALUE"""),"Group of intruders entered the school looking for student who had stolen one of the intruders girlfriend. Two teachers saw them and asked them to leave. Half dozen student followed and jeered intruders as security guard escorted them out down main hallway"&amp;". Two intruders turned just outside the door and fired on the group of high school students, wounding five students (Victims: 17 year-old male James Maddox; 15 year-old male Russell Johnson; 18 year-old male Darryl White; 17 year-old male Eddie Key; 17 ye"&amp;"ar-old female Wayne Lindsay)")</f>
        <v>Group of intruders entered the school looking for student who had stolen one of the intruders girlfriend. Two teachers saw them and asked them to leave. Half dozen student followed and jeered intruders as security guard escorted them out down main hallway. Two intruders turned just outside the door and fired on the group of high school students, wounding five students (Victims: 17 year-old male James Maddox; 15 year-old male Russell Johnson; 18 year-old male Darryl White; 17 year-old male Eddie Key; 17 year-old female Wayne Lindsay)</v>
      </c>
      <c r="AA3021" s="8" t="str">
        <f ca="1">IFERROR(__xludf.DUMMYFUNCTION("""COMPUTED_VALUE"""),"Escalation of Dispute")</f>
        <v>Escalation of Dispute</v>
      </c>
      <c r="AB3021" s="8"/>
      <c r="AC3021" s="8"/>
      <c r="AD3021" s="8" t="str">
        <f ca="1">IFERROR(__xludf.DUMMYFUNCTION("""COMPUTED_VALUE"""),"Random Shooting")</f>
        <v>Random Shooting</v>
      </c>
      <c r="AE3021" s="8" t="str">
        <f ca="1">IFERROR(__xludf.DUMMYFUNCTION("""COMPUTED_VALUE"""),"Yes")</f>
        <v>Yes</v>
      </c>
      <c r="AF3021" s="8" t="str">
        <f ca="1">IFERROR(__xludf.DUMMYFUNCTION("""COMPUTED_VALUE"""),"6 teens involved")</f>
        <v>6 teens involved</v>
      </c>
      <c r="AG3021" s="8" t="str">
        <f ca="1">IFERROR(__xludf.DUMMYFUNCTION("""COMPUTED_VALUE"""),"No")</f>
        <v>No</v>
      </c>
      <c r="AH3021" s="8" t="str">
        <f ca="1">IFERROR(__xludf.DUMMYFUNCTION("""COMPUTED_VALUE"""),"No")</f>
        <v>No</v>
      </c>
      <c r="AI3021" s="8" t="str">
        <f ca="1">IFERROR(__xludf.DUMMYFUNCTION("""COMPUTED_VALUE"""),"No")</f>
        <v>No</v>
      </c>
      <c r="AJ3021" s="8" t="str">
        <f ca="1">IFERROR(__xludf.DUMMYFUNCTION("""COMPUTED_VALUE"""),"No")</f>
        <v>No</v>
      </c>
      <c r="AK3021" s="8" t="str">
        <f ca="1">IFERROR(__xludf.DUMMYFUNCTION("""COMPUTED_VALUE"""),"Yes")</f>
        <v>Yes</v>
      </c>
      <c r="AL3021" s="8" t="str">
        <f ca="1">IFERROR(__xludf.DUMMYFUNCTION("""COMPUTED_VALUE"""),"No")</f>
        <v>No</v>
      </c>
      <c r="AM3021" s="8"/>
      <c r="AN3021" s="8"/>
      <c r="AO3021" s="8" t="str">
        <f ca="1">IFERROR(__xludf.DUMMYFUNCTION("""COMPUTED_VALUE"""),"No")</f>
        <v>No</v>
      </c>
      <c r="AP3021" s="8" t="str">
        <f ca="1">IFERROR(__xludf.DUMMYFUNCTION("""COMPUTED_VALUE"""),"Yes")</f>
        <v>Yes</v>
      </c>
      <c r="AQ3021" s="8" t="str">
        <f ca="1">IFERROR(__xludf.DUMMYFUNCTION("""COMPUTED_VALUE"""),"Unknown")</f>
        <v>Unknown</v>
      </c>
      <c r="AR3021" s="8" t="str">
        <f ca="1">IFERROR(__xludf.DUMMYFUNCTION("""COMPUTED_VALUE"""),"NA")</f>
        <v>NA</v>
      </c>
      <c r="AS3021" s="8" t="str">
        <f ca="1">IFERROR(__xludf.DUMMYFUNCTION("""COMPUTED_VALUE"""),"&lt;10")</f>
        <v>&lt;10</v>
      </c>
      <c r="AT3021" s="8"/>
      <c r="AU3021" s="8">
        <f ca="1">IFERROR(__xludf.DUMMYFUNCTION("""COMPUTED_VALUE"""),42.349343)</f>
        <v>42.349342999999998</v>
      </c>
      <c r="AV3021" s="8">
        <f ca="1">IFERROR(__xludf.DUMMYFUNCTION("""COMPUTED_VALUE"""),-83.083492)</f>
        <v>-83.083492000000007</v>
      </c>
      <c r="AW3021" s="8"/>
      <c r="AX3021" s="8">
        <f ca="1">IFERROR(__xludf.DUMMYFUNCTION("""COMPUTED_VALUE"""),48208)</f>
        <v>48208</v>
      </c>
    </row>
    <row r="3022" spans="1:50" ht="60" x14ac:dyDescent="0.2">
      <c r="A3022" s="8" t="str">
        <f ca="1">IFERROR(__xludf.DUMMYFUNCTION("""COMPUTED_VALUE"""),"19760206FLESP")</f>
        <v>19760206FLESP</v>
      </c>
      <c r="B3022" s="8">
        <f ca="1">IFERROR(__xludf.DUMMYFUNCTION("""COMPUTED_VALUE"""),2)</f>
        <v>2</v>
      </c>
      <c r="C3022" s="8">
        <f ca="1">IFERROR(__xludf.DUMMYFUNCTION("""COMPUTED_VALUE"""),6)</f>
        <v>6</v>
      </c>
      <c r="D3022" s="8">
        <f ca="1">IFERROR(__xludf.DUMMYFUNCTION("""COMPUTED_VALUE"""),1976)</f>
        <v>1976</v>
      </c>
      <c r="E3022" s="9">
        <f ca="1">IFERROR(__xludf.DUMMYFUNCTION("""COMPUTED_VALUE"""),27796)</f>
        <v>27796</v>
      </c>
      <c r="F3022" s="8" t="str">
        <f ca="1">IFERROR(__xludf.DUMMYFUNCTION("""COMPUTED_VALUE"""),"Escambia High School")</f>
        <v>Escambia High School</v>
      </c>
      <c r="G3022" s="8">
        <f ca="1">IFERROR(__xludf.DUMMYFUNCTION("""COMPUTED_VALUE"""),0)</f>
        <v>0</v>
      </c>
      <c r="H3022" s="8">
        <f ca="1">IFERROR(__xludf.DUMMYFUNCTION("""COMPUTED_VALUE"""),4)</f>
        <v>4</v>
      </c>
      <c r="I3022" s="8">
        <f ca="1">IFERROR(__xludf.DUMMYFUNCTION("""COMPUTED_VALUE"""),4)</f>
        <v>4</v>
      </c>
      <c r="J3022" s="8">
        <f ca="1">IFERROR(__xludf.DUMMYFUNCTION("""COMPUTED_VALUE"""),0)</f>
        <v>0</v>
      </c>
      <c r="K3022" s="8" t="str">
        <f ca="1">IFERROR(__xludf.DUMMYFUNCTION("""COMPUTED_VALUE"""),"https://www.newspapers.com/image/70110722/?terms=pensacola%2Bschool%2Bshooting; https://www.newspapers.com/image/245767641/?terms=STUDENT%2BSHOT")</f>
        <v>https://www.newspapers.com/image/70110722/?terms=pensacola%2Bschool%2Bshooting; https://www.newspapers.com/image/245767641/?terms=STUDENT%2BSHOT</v>
      </c>
      <c r="L3022" s="8"/>
      <c r="M3022" s="8"/>
      <c r="N3022" s="8">
        <f ca="1">IFERROR(__xludf.DUMMYFUNCTION("""COMPUTED_VALUE"""),3)</f>
        <v>3</v>
      </c>
      <c r="O3022" s="8" t="str">
        <f ca="1">IFERROR(__xludf.DUMMYFUNCTION("""COMPUTED_VALUE"""),"Winter")</f>
        <v>Winter</v>
      </c>
      <c r="P3022" s="8" t="str">
        <f ca="1">IFERROR(__xludf.DUMMYFUNCTION("""COMPUTED_VALUE"""),"Pensacola")</f>
        <v>Pensacola</v>
      </c>
      <c r="Q3022" s="8" t="str">
        <f ca="1">IFERROR(__xludf.DUMMYFUNCTION("""COMPUTED_VALUE"""),"FL")</f>
        <v>FL</v>
      </c>
      <c r="R3022" s="8" t="str">
        <f ca="1">IFERROR(__xludf.DUMMYFUNCTION("""COMPUTED_VALUE"""),"High")</f>
        <v>High</v>
      </c>
      <c r="S3022" s="8" t="str">
        <f ca="1">IFERROR(__xludf.DUMMYFUNCTION("""COMPUTED_VALUE"""),"Outside on School Property")</f>
        <v>Outside on School Property</v>
      </c>
      <c r="T3022" s="8" t="str">
        <f ca="1">IFERROR(__xludf.DUMMYFUNCTION("""COMPUTED_VALUE"""),"Outside on School Property")</f>
        <v>Outside on School Property</v>
      </c>
      <c r="U3022" s="8" t="str">
        <f ca="1">IFERROR(__xludf.DUMMYFUNCTION("""COMPUTED_VALUE"""),"Yes")</f>
        <v>Yes</v>
      </c>
      <c r="V3022" s="8" t="str">
        <f ca="1">IFERROR(__xludf.DUMMYFUNCTION("""COMPUTED_VALUE"""),"Afternoon Classes")</f>
        <v>Afternoon Classes</v>
      </c>
      <c r="W3022" s="8"/>
      <c r="X3022" s="8">
        <f ca="1">IFERROR(__xludf.DUMMYFUNCTION("""COMPUTED_VALUE"""),180)</f>
        <v>180</v>
      </c>
      <c r="Y3022" s="12" t="str">
        <f ca="1">IFERROR(__xludf.DUMMYFUNCTION("""COMPUTED_VALUE"""),"3 hour riot due to racial tension")</f>
        <v>3 hour riot due to racial tension</v>
      </c>
      <c r="Z3022" s="12" t="str">
        <f ca="1">IFERROR(__xludf.DUMMYFUNCTION("""COMPUTED_VALUE"""),"4 students were shot and 27 others injured during a riot between black and white students and non-students following a confederate parade/demonstration at the school. Riot lasted for 3 hours.")</f>
        <v>4 students were shot and 27 others injured during a riot between black and white students and non-students following a confederate parade/demonstration at the school. Riot lasted for 3 hours.</v>
      </c>
      <c r="AA3022" s="8" t="str">
        <f ca="1">IFERROR(__xludf.DUMMYFUNCTION("""COMPUTED_VALUE"""),"Racial")</f>
        <v>Racial</v>
      </c>
      <c r="AB3022" s="8"/>
      <c r="AC3022" s="8"/>
      <c r="AD3022" s="8" t="str">
        <f ca="1">IFERROR(__xludf.DUMMYFUNCTION("""COMPUTED_VALUE"""),"Neither")</f>
        <v>Neither</v>
      </c>
      <c r="AE3022" s="8" t="str">
        <f ca="1">IFERROR(__xludf.DUMMYFUNCTION("""COMPUTED_VALUE"""),"No")</f>
        <v>No</v>
      </c>
      <c r="AF3022" s="8"/>
      <c r="AG3022" s="8" t="str">
        <f ca="1">IFERROR(__xludf.DUMMYFUNCTION("""COMPUTED_VALUE"""),"No")</f>
        <v>No</v>
      </c>
      <c r="AH3022" s="8" t="str">
        <f ca="1">IFERROR(__xludf.DUMMYFUNCTION("""COMPUTED_VALUE"""),"No")</f>
        <v>No</v>
      </c>
      <c r="AI3022" s="8" t="str">
        <f ca="1">IFERROR(__xludf.DUMMYFUNCTION("""COMPUTED_VALUE"""),"No")</f>
        <v>No</v>
      </c>
      <c r="AJ3022" s="8" t="str">
        <f ca="1">IFERROR(__xludf.DUMMYFUNCTION("""COMPUTED_VALUE"""),"No")</f>
        <v>No</v>
      </c>
      <c r="AK3022" s="8" t="str">
        <f ca="1">IFERROR(__xludf.DUMMYFUNCTION("""COMPUTED_VALUE"""),"No")</f>
        <v>No</v>
      </c>
      <c r="AL3022" s="8" t="str">
        <f ca="1">IFERROR(__xludf.DUMMYFUNCTION("""COMPUTED_VALUE"""),"No")</f>
        <v>No</v>
      </c>
      <c r="AM3022" s="8"/>
      <c r="AN3022" s="8"/>
      <c r="AO3022" s="8" t="str">
        <f ca="1">IFERROR(__xludf.DUMMYFUNCTION("""COMPUTED_VALUE"""),"No")</f>
        <v>No</v>
      </c>
      <c r="AP3022" s="8"/>
      <c r="AQ3022" s="8" t="str">
        <f ca="1">IFERROR(__xludf.DUMMYFUNCTION("""COMPUTED_VALUE"""),"Unknown")</f>
        <v>Unknown</v>
      </c>
      <c r="AR3022" s="8" t="str">
        <f ca="1">IFERROR(__xludf.DUMMYFUNCTION("""COMPUTED_VALUE"""),"NA")</f>
        <v>NA</v>
      </c>
      <c r="AS3022" s="8"/>
      <c r="AT3022" s="8"/>
      <c r="AU3022" s="8">
        <f ca="1">IFERROR(__xludf.DUMMYFUNCTION("""COMPUTED_VALUE"""),30.427483)</f>
        <v>30.427482999999999</v>
      </c>
      <c r="AV3022" s="8">
        <f ca="1">IFERROR(__xludf.DUMMYFUNCTION("""COMPUTED_VALUE"""),-87.299649)</f>
        <v>-87.299649000000002</v>
      </c>
      <c r="AW3022" s="8"/>
      <c r="AX3022" s="8">
        <f ca="1">IFERROR(__xludf.DUMMYFUNCTION("""COMPUTED_VALUE"""),32506)</f>
        <v>32506</v>
      </c>
    </row>
    <row r="3023" spans="1:50" ht="45" x14ac:dyDescent="0.2">
      <c r="A3023" s="8" t="str">
        <f ca="1">IFERROR(__xludf.DUMMYFUNCTION("""COMPUTED_VALUE"""),"19760123OHCOC")</f>
        <v>19760123OHCOC</v>
      </c>
      <c r="B3023" s="8">
        <f ca="1">IFERROR(__xludf.DUMMYFUNCTION("""COMPUTED_VALUE"""),1)</f>
        <v>1</v>
      </c>
      <c r="C3023" s="8">
        <f ca="1">IFERROR(__xludf.DUMMYFUNCTION("""COMPUTED_VALUE"""),23)</f>
        <v>23</v>
      </c>
      <c r="D3023" s="8">
        <f ca="1">IFERROR(__xludf.DUMMYFUNCTION("""COMPUTED_VALUE"""),1976)</f>
        <v>1976</v>
      </c>
      <c r="E3023" s="9">
        <f ca="1">IFERROR(__xludf.DUMMYFUNCTION("""COMPUTED_VALUE"""),27782)</f>
        <v>27782</v>
      </c>
      <c r="F3023" s="8" t="str">
        <f ca="1">IFERROR(__xludf.DUMMYFUNCTION("""COMPUTED_VALUE"""),"Columbus Central High School")</f>
        <v>Columbus Central High School</v>
      </c>
      <c r="G3023" s="8">
        <f ca="1">IFERROR(__xludf.DUMMYFUNCTION("""COMPUTED_VALUE"""),1)</f>
        <v>1</v>
      </c>
      <c r="H3023" s="8">
        <f ca="1">IFERROR(__xludf.DUMMYFUNCTION("""COMPUTED_VALUE"""),1)</f>
        <v>1</v>
      </c>
      <c r="I3023" s="8">
        <f ca="1">IFERROR(__xludf.DUMMYFUNCTION("""COMPUTED_VALUE"""),2)</f>
        <v>2</v>
      </c>
      <c r="J3023" s="8">
        <f ca="1">IFERROR(__xludf.DUMMYFUNCTION("""COMPUTED_VALUE"""),0)</f>
        <v>0</v>
      </c>
      <c r="K3023" s="10" t="str">
        <f ca="1">IFERROR(__xludf.DUMMYFUNCTION("""COMPUTED_VALUE"""),"https://www.newspapers.com/image/293916124/?terms=school%2Bshooting")</f>
        <v>https://www.newspapers.com/image/293916124/?terms=school%2Bshooting</v>
      </c>
      <c r="L3023" s="8"/>
      <c r="M3023" s="8"/>
      <c r="N3023" s="8">
        <f ca="1">IFERROR(__xludf.DUMMYFUNCTION("""COMPUTED_VALUE"""),2)</f>
        <v>2</v>
      </c>
      <c r="O3023" s="8" t="str">
        <f ca="1">IFERROR(__xludf.DUMMYFUNCTION("""COMPUTED_VALUE"""),"Winter")</f>
        <v>Winter</v>
      </c>
      <c r="P3023" s="8" t="str">
        <f ca="1">IFERROR(__xludf.DUMMYFUNCTION("""COMPUTED_VALUE"""),"Columbus")</f>
        <v>Columbus</v>
      </c>
      <c r="Q3023" s="8" t="str">
        <f ca="1">IFERROR(__xludf.DUMMYFUNCTION("""COMPUTED_VALUE"""),"OH")</f>
        <v>OH</v>
      </c>
      <c r="R3023" s="8" t="str">
        <f ca="1">IFERROR(__xludf.DUMMYFUNCTION("""COMPUTED_VALUE"""),"High")</f>
        <v>High</v>
      </c>
      <c r="S3023" s="8" t="str">
        <f ca="1">IFERROR(__xludf.DUMMYFUNCTION("""COMPUTED_VALUE"""),"Office")</f>
        <v>Office</v>
      </c>
      <c r="T3023" s="8" t="str">
        <f ca="1">IFERROR(__xludf.DUMMYFUNCTION("""COMPUTED_VALUE"""),"Inside School Building")</f>
        <v>Inside School Building</v>
      </c>
      <c r="U3023" s="8" t="str">
        <f ca="1">IFERROR(__xludf.DUMMYFUNCTION("""COMPUTED_VALUE"""),"Yes")</f>
        <v>Yes</v>
      </c>
      <c r="V3023" s="8" t="str">
        <f ca="1">IFERROR(__xludf.DUMMYFUNCTION("""COMPUTED_VALUE"""),"Afternoon Classes")</f>
        <v>Afternoon Classes</v>
      </c>
      <c r="W3023" s="11">
        <f ca="1">IFERROR(__xludf.DUMMYFUNCTION("""COMPUTED_VALUE"""),0.597222222222222)</f>
        <v>0.59722222222222199</v>
      </c>
      <c r="X3023" s="8"/>
      <c r="Y3023" s="12" t="str">
        <f ca="1">IFERROR(__xludf.DUMMYFUNCTION("""COMPUTED_VALUE"""),"Student shot teacher and cafeteria manager")</f>
        <v>Student shot teacher and cafeteria manager</v>
      </c>
      <c r="Z3023" s="12" t="str">
        <f ca="1">IFERROR(__xludf.DUMMYFUNCTION("""COMPUTED_VALUE"""),"17 year-old male student shot cafeteria manager and killed auto shop teacher with .25 pistol.")</f>
        <v>17 year-old male student shot cafeteria manager and killed auto shop teacher with .25 pistol.</v>
      </c>
      <c r="AA3023" s="8" t="str">
        <f ca="1">IFERROR(__xludf.DUMMYFUNCTION("""COMPUTED_VALUE"""),"Unknown")</f>
        <v>Unknown</v>
      </c>
      <c r="AB3023" s="8"/>
      <c r="AC3023" s="8"/>
      <c r="AD3023" s="8" t="str">
        <f ca="1">IFERROR(__xludf.DUMMYFUNCTION("""COMPUTED_VALUE"""),"Victims Targeted")</f>
        <v>Victims Targeted</v>
      </c>
      <c r="AE3023" s="8" t="str">
        <f ca="1">IFERROR(__xludf.DUMMYFUNCTION("""COMPUTED_VALUE"""),"No")</f>
        <v>No</v>
      </c>
      <c r="AF3023" s="8"/>
      <c r="AG3023" s="8" t="str">
        <f ca="1">IFERROR(__xludf.DUMMYFUNCTION("""COMPUTED_VALUE"""),"No")</f>
        <v>No</v>
      </c>
      <c r="AH3023" s="8" t="str">
        <f ca="1">IFERROR(__xludf.DUMMYFUNCTION("""COMPUTED_VALUE"""),"No")</f>
        <v>No</v>
      </c>
      <c r="AI3023" s="8" t="str">
        <f ca="1">IFERROR(__xludf.DUMMYFUNCTION("""COMPUTED_VALUE"""),"No")</f>
        <v>No</v>
      </c>
      <c r="AJ3023" s="8"/>
      <c r="AK3023" s="8"/>
      <c r="AL3023" s="8" t="str">
        <f ca="1">IFERROR(__xludf.DUMMYFUNCTION("""COMPUTED_VALUE"""),"No")</f>
        <v>No</v>
      </c>
      <c r="AM3023" s="8"/>
      <c r="AN3023" s="8"/>
      <c r="AO3023" s="8" t="str">
        <f ca="1">IFERROR(__xludf.DUMMYFUNCTION("""COMPUTED_VALUE"""),"No")</f>
        <v>No</v>
      </c>
      <c r="AP3023" s="8"/>
      <c r="AQ3023" s="8" t="str">
        <f ca="1">IFERROR(__xludf.DUMMYFUNCTION("""COMPUTED_VALUE"""),"Unknown")</f>
        <v>Unknown</v>
      </c>
      <c r="AR3023" s="8" t="str">
        <f ca="1">IFERROR(__xludf.DUMMYFUNCTION("""COMPUTED_VALUE"""),"NA")</f>
        <v>NA</v>
      </c>
      <c r="AS3023" s="8">
        <f ca="1">IFERROR(__xludf.DUMMYFUNCTION("""COMPUTED_VALUE"""),2)</f>
        <v>2</v>
      </c>
      <c r="AT3023" s="8"/>
      <c r="AU3023" s="8">
        <f ca="1">IFERROR(__xludf.DUMMYFUNCTION("""COMPUTED_VALUE"""),39.957727)</f>
        <v>39.957726999999998</v>
      </c>
      <c r="AV3023" s="8">
        <f ca="1">IFERROR(__xludf.DUMMYFUNCTION("""COMPUTED_VALUE"""),-83.022911)</f>
        <v>-83.022910999999993</v>
      </c>
      <c r="AW3023" s="8"/>
      <c r="AX3023" s="8">
        <f ca="1">IFERROR(__xludf.DUMMYFUNCTION("""COMPUTED_VALUE"""),43222)</f>
        <v>43222</v>
      </c>
    </row>
    <row r="3024" spans="1:50" ht="60" x14ac:dyDescent="0.2">
      <c r="A3024" s="8" t="str">
        <f ca="1">IFERROR(__xludf.DUMMYFUNCTION("""COMPUTED_VALUE"""),"19760101AZCAP")</f>
        <v>19760101AZCAP</v>
      </c>
      <c r="B3024" s="8">
        <f ca="1">IFERROR(__xludf.DUMMYFUNCTION("""COMPUTED_VALUE"""),1)</f>
        <v>1</v>
      </c>
      <c r="C3024" s="8">
        <f ca="1">IFERROR(__xludf.DUMMYFUNCTION("""COMPUTED_VALUE"""),1)</f>
        <v>1</v>
      </c>
      <c r="D3024" s="8">
        <f ca="1">IFERROR(__xludf.DUMMYFUNCTION("""COMPUTED_VALUE"""),1976)</f>
        <v>1976</v>
      </c>
      <c r="E3024" s="9">
        <f ca="1">IFERROR(__xludf.DUMMYFUNCTION("""COMPUTED_VALUE"""),27760)</f>
        <v>27760</v>
      </c>
      <c r="F3024" s="8" t="str">
        <f ca="1">IFERROR(__xludf.DUMMYFUNCTION("""COMPUTED_VALUE"""),"Camelback High School")</f>
        <v>Camelback High School</v>
      </c>
      <c r="G3024" s="8">
        <f ca="1">IFERROR(__xludf.DUMMYFUNCTION("""COMPUTED_VALUE"""),0)</f>
        <v>0</v>
      </c>
      <c r="H3024" s="8">
        <f ca="1">IFERROR(__xludf.DUMMYFUNCTION("""COMPUTED_VALUE"""),1)</f>
        <v>1</v>
      </c>
      <c r="I3024" s="8">
        <f ca="1">IFERROR(__xludf.DUMMYFUNCTION("""COMPUTED_VALUE"""),1)</f>
        <v>1</v>
      </c>
      <c r="J3024" s="8">
        <f ca="1">IFERROR(__xludf.DUMMYFUNCTION("""COMPUTED_VALUE"""),0)</f>
        <v>0</v>
      </c>
      <c r="K3024" s="10" t="str">
        <f ca="1">IFERROR(__xludf.DUMMYFUNCTION("""COMPUTED_VALUE"""),"https://www.newspapers.com/image/117994783/?terms=school%2Bshooting")</f>
        <v>https://www.newspapers.com/image/117994783/?terms=school%2Bshooting</v>
      </c>
      <c r="L3024" s="8"/>
      <c r="M3024" s="8"/>
      <c r="N3024" s="8">
        <f ca="1">IFERROR(__xludf.DUMMYFUNCTION("""COMPUTED_VALUE"""),2)</f>
        <v>2</v>
      </c>
      <c r="O3024" s="8" t="str">
        <f ca="1">IFERROR(__xludf.DUMMYFUNCTION("""COMPUTED_VALUE"""),"Winter")</f>
        <v>Winter</v>
      </c>
      <c r="P3024" s="8" t="str">
        <f ca="1">IFERROR(__xludf.DUMMYFUNCTION("""COMPUTED_VALUE"""),"Phoenix")</f>
        <v>Phoenix</v>
      </c>
      <c r="Q3024" s="8" t="str">
        <f ca="1">IFERROR(__xludf.DUMMYFUNCTION("""COMPUTED_VALUE"""),"AZ")</f>
        <v>AZ</v>
      </c>
      <c r="R3024" s="8" t="str">
        <f ca="1">IFERROR(__xludf.DUMMYFUNCTION("""COMPUTED_VALUE"""),"High")</f>
        <v>High</v>
      </c>
      <c r="S3024" s="8" t="str">
        <f ca="1">IFERROR(__xludf.DUMMYFUNCTION("""COMPUTED_VALUE"""),"Outside on School Property")</f>
        <v>Outside on School Property</v>
      </c>
      <c r="T3024" s="8" t="str">
        <f ca="1">IFERROR(__xludf.DUMMYFUNCTION("""COMPUTED_VALUE"""),"Outside on School Property")</f>
        <v>Outside on School Property</v>
      </c>
      <c r="U3024" s="8" t="str">
        <f ca="1">IFERROR(__xludf.DUMMYFUNCTION("""COMPUTED_VALUE"""),"No")</f>
        <v>No</v>
      </c>
      <c r="V3024" s="8" t="str">
        <f ca="1">IFERROR(__xludf.DUMMYFUNCTION("""COMPUTED_VALUE"""),"Before School")</f>
        <v>Before School</v>
      </c>
      <c r="W3024" s="8"/>
      <c r="X3024" s="8">
        <f ca="1">IFERROR(__xludf.DUMMYFUNCTION("""COMPUTED_VALUE"""),1)</f>
        <v>1</v>
      </c>
      <c r="Y3024" s="12" t="str">
        <f ca="1">IFERROR(__xludf.DUMMYFUNCTION("""COMPUTED_VALUE"""),"Multiple shots fired striking school, vehicle, and security guard")</f>
        <v>Multiple shots fired striking school, vehicle, and security guard</v>
      </c>
      <c r="Z3024" s="12" t="str">
        <f ca="1">IFERROR(__xludf.DUMMYFUNCTION("""COMPUTED_VALUE"""),"Shots were fired by unknown person striking school building, security guards car, and security guard in the head.")</f>
        <v>Shots were fired by unknown person striking school building, security guards car, and security guard in the head.</v>
      </c>
      <c r="AA3024" s="8" t="str">
        <f ca="1">IFERROR(__xludf.DUMMYFUNCTION("""COMPUTED_VALUE"""),"Indiscriminate Shooting")</f>
        <v>Indiscriminate Shooting</v>
      </c>
      <c r="AB3024" s="8"/>
      <c r="AC3024" s="8"/>
      <c r="AD3024" s="8"/>
      <c r="AE3024" s="8" t="str">
        <f ca="1">IFERROR(__xludf.DUMMYFUNCTION("""COMPUTED_VALUE"""),"No")</f>
        <v>No</v>
      </c>
      <c r="AF3024" s="8"/>
      <c r="AG3024" s="8" t="str">
        <f ca="1">IFERROR(__xludf.DUMMYFUNCTION("""COMPUTED_VALUE"""),"No")</f>
        <v>No</v>
      </c>
      <c r="AH3024" s="8" t="str">
        <f ca="1">IFERROR(__xludf.DUMMYFUNCTION("""COMPUTED_VALUE"""),"No")</f>
        <v>No</v>
      </c>
      <c r="AI3024" s="8" t="str">
        <f ca="1">IFERROR(__xludf.DUMMYFUNCTION("""COMPUTED_VALUE"""),"No")</f>
        <v>No</v>
      </c>
      <c r="AJ3024" s="8" t="str">
        <f ca="1">IFERROR(__xludf.DUMMYFUNCTION("""COMPUTED_VALUE"""),"No")</f>
        <v>No</v>
      </c>
      <c r="AK3024" s="8" t="str">
        <f ca="1">IFERROR(__xludf.DUMMYFUNCTION("""COMPUTED_VALUE"""),"No")</f>
        <v>No</v>
      </c>
      <c r="AL3024" s="8" t="str">
        <f ca="1">IFERROR(__xludf.DUMMYFUNCTION("""COMPUTED_VALUE"""),"No")</f>
        <v>No</v>
      </c>
      <c r="AM3024" s="8"/>
      <c r="AN3024" s="8"/>
      <c r="AO3024" s="8" t="str">
        <f ca="1">IFERROR(__xludf.DUMMYFUNCTION("""COMPUTED_VALUE"""),"No")</f>
        <v>No</v>
      </c>
      <c r="AP3024" s="8"/>
      <c r="AQ3024" s="8" t="str">
        <f ca="1">IFERROR(__xludf.DUMMYFUNCTION("""COMPUTED_VALUE"""),"Unknown")</f>
        <v>Unknown</v>
      </c>
      <c r="AR3024" s="8" t="str">
        <f ca="1">IFERROR(__xludf.DUMMYFUNCTION("""COMPUTED_VALUE"""),"NA")</f>
        <v>NA</v>
      </c>
      <c r="AS3024" s="8">
        <f ca="1">IFERROR(__xludf.DUMMYFUNCTION("""COMPUTED_VALUE"""),10)</f>
        <v>10</v>
      </c>
      <c r="AT3024" s="8"/>
      <c r="AU3024" s="8">
        <f ca="1">IFERROR(__xludf.DUMMYFUNCTION("""COMPUTED_VALUE"""),33.505457)</f>
        <v>33.505457</v>
      </c>
      <c r="AV3024" s="8">
        <f ca="1">IFERROR(__xludf.DUMMYFUNCTION("""COMPUTED_VALUE"""),-112.023518)</f>
        <v>-112.023518</v>
      </c>
      <c r="AW3024" s="8"/>
      <c r="AX3024" s="8">
        <f ca="1">IFERROR(__xludf.DUMMYFUNCTION("""COMPUTED_VALUE"""),85016)</f>
        <v>85016</v>
      </c>
    </row>
    <row r="3025" spans="1:50" ht="45" x14ac:dyDescent="0.2">
      <c r="A3025" s="8" t="str">
        <f ca="1">IFERROR(__xludf.DUMMYFUNCTION("""COMPUTED_VALUE"""),"19751218CAORS")</f>
        <v>19751218CAORS</v>
      </c>
      <c r="B3025" s="8">
        <f ca="1">IFERROR(__xludf.DUMMYFUNCTION("""COMPUTED_VALUE"""),12)</f>
        <v>12</v>
      </c>
      <c r="C3025" s="8">
        <f ca="1">IFERROR(__xludf.DUMMYFUNCTION("""COMPUTED_VALUE"""),18)</f>
        <v>18</v>
      </c>
      <c r="D3025" s="8">
        <f ca="1">IFERROR(__xludf.DUMMYFUNCTION("""COMPUTED_VALUE"""),1975)</f>
        <v>1975</v>
      </c>
      <c r="E3025" s="9">
        <f ca="1">IFERROR(__xludf.DUMMYFUNCTION("""COMPUTED_VALUE"""),27746)</f>
        <v>27746</v>
      </c>
      <c r="F3025" s="8" t="str">
        <f ca="1">IFERROR(__xludf.DUMMYFUNCTION("""COMPUTED_VALUE"""),"Orange High School")</f>
        <v>Orange High School</v>
      </c>
      <c r="G3025" s="8">
        <f ca="1">IFERROR(__xludf.DUMMYFUNCTION("""COMPUTED_VALUE"""),0)</f>
        <v>0</v>
      </c>
      <c r="H3025" s="8">
        <f ca="1">IFERROR(__xludf.DUMMYFUNCTION("""COMPUTED_VALUE"""),1)</f>
        <v>1</v>
      </c>
      <c r="I3025" s="8">
        <f ca="1">IFERROR(__xludf.DUMMYFUNCTION("""COMPUTED_VALUE"""),1)</f>
        <v>1</v>
      </c>
      <c r="J3025" s="8">
        <f ca="1">IFERROR(__xludf.DUMMYFUNCTION("""COMPUTED_VALUE"""),0)</f>
        <v>0</v>
      </c>
      <c r="K3025" s="10" t="str">
        <f ca="1">IFERROR(__xludf.DUMMYFUNCTION("""COMPUTED_VALUE"""),"https://www.newspapers.com/image/86248524/?terms=school%2Bshooting")</f>
        <v>https://www.newspapers.com/image/86248524/?terms=school%2Bshooting</v>
      </c>
      <c r="L3025" s="8"/>
      <c r="M3025" s="8"/>
      <c r="N3025" s="8">
        <f ca="1">IFERROR(__xludf.DUMMYFUNCTION("""COMPUTED_VALUE"""),2)</f>
        <v>2</v>
      </c>
      <c r="O3025" s="8" t="str">
        <f ca="1">IFERROR(__xludf.DUMMYFUNCTION("""COMPUTED_VALUE"""),"Winter")</f>
        <v>Winter</v>
      </c>
      <c r="P3025" s="8" t="str">
        <f ca="1">IFERROR(__xludf.DUMMYFUNCTION("""COMPUTED_VALUE"""),"Santa Ana")</f>
        <v>Santa Ana</v>
      </c>
      <c r="Q3025" s="8" t="str">
        <f ca="1">IFERROR(__xludf.DUMMYFUNCTION("""COMPUTED_VALUE"""),"CA")</f>
        <v>CA</v>
      </c>
      <c r="R3025" s="8" t="str">
        <f ca="1">IFERROR(__xludf.DUMMYFUNCTION("""COMPUTED_VALUE"""),"High")</f>
        <v>High</v>
      </c>
      <c r="S3025" s="8" t="str">
        <f ca="1">IFERROR(__xludf.DUMMYFUNCTION("""COMPUTED_VALUE"""),"Beside Building")</f>
        <v>Beside Building</v>
      </c>
      <c r="T3025" s="8" t="str">
        <f ca="1">IFERROR(__xludf.DUMMYFUNCTION("""COMPUTED_VALUE"""),"Outside on School Property")</f>
        <v>Outside on School Property</v>
      </c>
      <c r="U3025" s="8" t="str">
        <f ca="1">IFERROR(__xludf.DUMMYFUNCTION("""COMPUTED_VALUE"""),"Yes")</f>
        <v>Yes</v>
      </c>
      <c r="V3025" s="8" t="str">
        <f ca="1">IFERROR(__xludf.DUMMYFUNCTION("""COMPUTED_VALUE"""),"Lunch")</f>
        <v>Lunch</v>
      </c>
      <c r="W3025" s="11">
        <f ca="1">IFERROR(__xludf.DUMMYFUNCTION("""COMPUTED_VALUE"""),0.5)</f>
        <v>0.5</v>
      </c>
      <c r="X3025" s="8">
        <f ca="1">IFERROR(__xludf.DUMMYFUNCTION("""COMPUTED_VALUE"""),1)</f>
        <v>1</v>
      </c>
      <c r="Y3025" s="12" t="str">
        <f ca="1">IFERROR(__xludf.DUMMYFUNCTION("""COMPUTED_VALUE"""),"Argument over the gun used in the shooting")</f>
        <v>Argument over the gun used in the shooting</v>
      </c>
      <c r="Z3025" s="12" t="str">
        <f ca="1">IFERROR(__xludf.DUMMYFUNCTION("""COMPUTED_VALUE"""),"16 year-old student (shooter) and 18 year-old male victim argued over a gun outside of the school. Shooter fired one striking victim in the hand.")</f>
        <v>16 year-old student (shooter) and 18 year-old male victim argued over a gun outside of the school. Shooter fired one striking victim in the hand.</v>
      </c>
      <c r="AA3025" s="8" t="str">
        <f ca="1">IFERROR(__xludf.DUMMYFUNCTION("""COMPUTED_VALUE"""),"Escalation of Dispute")</f>
        <v>Escalation of Dispute</v>
      </c>
      <c r="AB3025" s="8"/>
      <c r="AC3025" s="8"/>
      <c r="AD3025" s="8" t="str">
        <f ca="1">IFERROR(__xludf.DUMMYFUNCTION("""COMPUTED_VALUE"""),"Victims Targeted")</f>
        <v>Victims Targeted</v>
      </c>
      <c r="AE3025" s="8" t="str">
        <f ca="1">IFERROR(__xludf.DUMMYFUNCTION("""COMPUTED_VALUE"""),"No")</f>
        <v>No</v>
      </c>
      <c r="AF3025" s="8"/>
      <c r="AG3025" s="8" t="str">
        <f ca="1">IFERROR(__xludf.DUMMYFUNCTION("""COMPUTED_VALUE"""),"No")</f>
        <v>No</v>
      </c>
      <c r="AH3025" s="8" t="str">
        <f ca="1">IFERROR(__xludf.DUMMYFUNCTION("""COMPUTED_VALUE"""),"No")</f>
        <v>No</v>
      </c>
      <c r="AI3025" s="8" t="str">
        <f ca="1">IFERROR(__xludf.DUMMYFUNCTION("""COMPUTED_VALUE"""),"No")</f>
        <v>No</v>
      </c>
      <c r="AJ3025" s="8" t="str">
        <f ca="1">IFERROR(__xludf.DUMMYFUNCTION("""COMPUTED_VALUE"""),"No")</f>
        <v>No</v>
      </c>
      <c r="AK3025" s="8" t="str">
        <f ca="1">IFERROR(__xludf.DUMMYFUNCTION("""COMPUTED_VALUE"""),"No")</f>
        <v>No</v>
      </c>
      <c r="AL3025" s="8" t="str">
        <f ca="1">IFERROR(__xludf.DUMMYFUNCTION("""COMPUTED_VALUE"""),"No")</f>
        <v>No</v>
      </c>
      <c r="AM3025" s="8"/>
      <c r="AN3025" s="8"/>
      <c r="AO3025" s="8" t="str">
        <f ca="1">IFERROR(__xludf.DUMMYFUNCTION("""COMPUTED_VALUE"""),"No")</f>
        <v>No</v>
      </c>
      <c r="AP3025" s="8"/>
      <c r="AQ3025" s="8" t="str">
        <f ca="1">IFERROR(__xludf.DUMMYFUNCTION("""COMPUTED_VALUE"""),"Unknown")</f>
        <v>Unknown</v>
      </c>
      <c r="AR3025" s="8" t="str">
        <f ca="1">IFERROR(__xludf.DUMMYFUNCTION("""COMPUTED_VALUE"""),"NA")</f>
        <v>NA</v>
      </c>
      <c r="AS3025" s="8">
        <f ca="1">IFERROR(__xludf.DUMMYFUNCTION("""COMPUTED_VALUE"""),1)</f>
        <v>1</v>
      </c>
      <c r="AT3025" s="8"/>
      <c r="AU3025" s="8">
        <f ca="1">IFERROR(__xludf.DUMMYFUNCTION("""COMPUTED_VALUE"""),33.795998)</f>
        <v>33.795997999999997</v>
      </c>
      <c r="AV3025" s="8">
        <f ca="1">IFERROR(__xludf.DUMMYFUNCTION("""COMPUTED_VALUE"""),-117.847958)</f>
        <v>-117.84795800000001</v>
      </c>
      <c r="AW3025" s="8"/>
      <c r="AX3025" s="8">
        <f ca="1">IFERROR(__xludf.DUMMYFUNCTION("""COMPUTED_VALUE"""),92867)</f>
        <v>92867</v>
      </c>
    </row>
    <row r="3026" spans="1:50" ht="60" x14ac:dyDescent="0.2">
      <c r="A3026" s="8" t="str">
        <f ca="1">IFERROR(__xludf.DUMMYFUNCTION("""COMPUTED_VALUE"""),"19751024GAMUA")</f>
        <v>19751024GAMUA</v>
      </c>
      <c r="B3026" s="8">
        <f ca="1">IFERROR(__xludf.DUMMYFUNCTION("""COMPUTED_VALUE"""),10)</f>
        <v>10</v>
      </c>
      <c r="C3026" s="8">
        <f ca="1">IFERROR(__xludf.DUMMYFUNCTION("""COMPUTED_VALUE"""),24)</f>
        <v>24</v>
      </c>
      <c r="D3026" s="8">
        <f ca="1">IFERROR(__xludf.DUMMYFUNCTION("""COMPUTED_VALUE"""),1975)</f>
        <v>1975</v>
      </c>
      <c r="E3026" s="9">
        <f ca="1">IFERROR(__xludf.DUMMYFUNCTION("""COMPUTED_VALUE"""),27691)</f>
        <v>27691</v>
      </c>
      <c r="F3026" s="8" t="str">
        <f ca="1">IFERROR(__xludf.DUMMYFUNCTION("""COMPUTED_VALUE"""),"Murphy High School")</f>
        <v>Murphy High School</v>
      </c>
      <c r="G3026" s="8">
        <f ca="1">IFERROR(__xludf.DUMMYFUNCTION("""COMPUTED_VALUE"""),0)</f>
        <v>0</v>
      </c>
      <c r="H3026" s="8">
        <f ca="1">IFERROR(__xludf.DUMMYFUNCTION("""COMPUTED_VALUE"""),1)</f>
        <v>1</v>
      </c>
      <c r="I3026" s="8">
        <f ca="1">IFERROR(__xludf.DUMMYFUNCTION("""COMPUTED_VALUE"""),1)</f>
        <v>1</v>
      </c>
      <c r="J3026" s="8">
        <f ca="1">IFERROR(__xludf.DUMMYFUNCTION("""COMPUTED_VALUE"""),0)</f>
        <v>0</v>
      </c>
      <c r="K3026" s="10" t="str">
        <f ca="1">IFERROR(__xludf.DUMMYFUNCTION("""COMPUTED_VALUE"""),"https://www.newspapers.com/image/398982633/")</f>
        <v>https://www.newspapers.com/image/398982633/</v>
      </c>
      <c r="L3026" s="8"/>
      <c r="M3026" s="8"/>
      <c r="N3026" s="8">
        <f ca="1">IFERROR(__xludf.DUMMYFUNCTION("""COMPUTED_VALUE"""),2)</f>
        <v>2</v>
      </c>
      <c r="O3026" s="8" t="str">
        <f ca="1">IFERROR(__xludf.DUMMYFUNCTION("""COMPUTED_VALUE"""),"Fall")</f>
        <v>Fall</v>
      </c>
      <c r="P3026" s="8" t="str">
        <f ca="1">IFERROR(__xludf.DUMMYFUNCTION("""COMPUTED_VALUE"""),"Atlanta")</f>
        <v>Atlanta</v>
      </c>
      <c r="Q3026" s="8" t="str">
        <f ca="1">IFERROR(__xludf.DUMMYFUNCTION("""COMPUTED_VALUE"""),"GA")</f>
        <v>GA</v>
      </c>
      <c r="R3026" s="8" t="str">
        <f ca="1">IFERROR(__xludf.DUMMYFUNCTION("""COMPUTED_VALUE"""),"High")</f>
        <v>High</v>
      </c>
      <c r="S3026" s="8" t="str">
        <f ca="1">IFERROR(__xludf.DUMMYFUNCTION("""COMPUTED_VALUE"""),"Office")</f>
        <v>Office</v>
      </c>
      <c r="T3026" s="8" t="str">
        <f ca="1">IFERROR(__xludf.DUMMYFUNCTION("""COMPUTED_VALUE"""),"Inside School Building")</f>
        <v>Inside School Building</v>
      </c>
      <c r="U3026" s="8" t="str">
        <f ca="1">IFERROR(__xludf.DUMMYFUNCTION("""COMPUTED_VALUE"""),"Yes")</f>
        <v>Yes</v>
      </c>
      <c r="V3026" s="8" t="str">
        <f ca="1">IFERROR(__xludf.DUMMYFUNCTION("""COMPUTED_VALUE"""),"Morning Classes")</f>
        <v>Morning Classes</v>
      </c>
      <c r="W3026" s="8"/>
      <c r="X3026" s="8">
        <f ca="1">IFERROR(__xludf.DUMMYFUNCTION("""COMPUTED_VALUE"""),1)</f>
        <v>1</v>
      </c>
      <c r="Y3026" s="12" t="str">
        <f ca="1">IFERROR(__xludf.DUMMYFUNCTION("""COMPUTED_VALUE"""),"Suspect shot assistant principal after being paddled")</f>
        <v>Suspect shot assistant principal after being paddled</v>
      </c>
      <c r="Z3026" s="12" t="str">
        <f ca="1">IFERROR(__xludf.DUMMYFUNCTION("""COMPUTED_VALUE"""),"15 year-old male student shot assistant principal after being paddled. Told principal ""you aren't going to whip me again"" and then ran from the school. Gun used was stolen during burglary in 10/1973.")</f>
        <v>15 year-old male student shot assistant principal after being paddled. Told principal "you aren't going to whip me again" and then ran from the school. Gun used was stolen during burglary in 10/1973.</v>
      </c>
      <c r="AA3026" s="8" t="str">
        <f ca="1">IFERROR(__xludf.DUMMYFUNCTION("""COMPUTED_VALUE"""),"Anger Over Grade/Suspension/Discipline")</f>
        <v>Anger Over Grade/Suspension/Discipline</v>
      </c>
      <c r="AB3026" s="8"/>
      <c r="AC3026" s="8"/>
      <c r="AD3026" s="8" t="str">
        <f ca="1">IFERROR(__xludf.DUMMYFUNCTION("""COMPUTED_VALUE"""),"Victims Targeted")</f>
        <v>Victims Targeted</v>
      </c>
      <c r="AE3026" s="8" t="str">
        <f ca="1">IFERROR(__xludf.DUMMYFUNCTION("""COMPUTED_VALUE"""),"No")</f>
        <v>No</v>
      </c>
      <c r="AF3026" s="8"/>
      <c r="AG3026" s="8" t="str">
        <f ca="1">IFERROR(__xludf.DUMMYFUNCTION("""COMPUTED_VALUE"""),"No")</f>
        <v>No</v>
      </c>
      <c r="AH3026" s="8" t="str">
        <f ca="1">IFERROR(__xludf.DUMMYFUNCTION("""COMPUTED_VALUE"""),"No")</f>
        <v>No</v>
      </c>
      <c r="AI3026" s="8" t="str">
        <f ca="1">IFERROR(__xludf.DUMMYFUNCTION("""COMPUTED_VALUE"""),"No")</f>
        <v>No</v>
      </c>
      <c r="AJ3026" s="8" t="str">
        <f ca="1">IFERROR(__xludf.DUMMYFUNCTION("""COMPUTED_VALUE"""),"No")</f>
        <v>No</v>
      </c>
      <c r="AK3026" s="8" t="str">
        <f ca="1">IFERROR(__xludf.DUMMYFUNCTION("""COMPUTED_VALUE"""),"No")</f>
        <v>No</v>
      </c>
      <c r="AL3026" s="8" t="str">
        <f ca="1">IFERROR(__xludf.DUMMYFUNCTION("""COMPUTED_VALUE"""),"No")</f>
        <v>No</v>
      </c>
      <c r="AM3026" s="8"/>
      <c r="AN3026" s="8"/>
      <c r="AO3026" s="8" t="str">
        <f ca="1">IFERROR(__xludf.DUMMYFUNCTION("""COMPUTED_VALUE"""),"No")</f>
        <v>No</v>
      </c>
      <c r="AP3026" s="8"/>
      <c r="AQ3026" s="8" t="str">
        <f ca="1">IFERROR(__xludf.DUMMYFUNCTION("""COMPUTED_VALUE"""),"Unknown")</f>
        <v>Unknown</v>
      </c>
      <c r="AR3026" s="8" t="str">
        <f ca="1">IFERROR(__xludf.DUMMYFUNCTION("""COMPUTED_VALUE"""),"NA")</f>
        <v>NA</v>
      </c>
      <c r="AS3026" s="8">
        <f ca="1">IFERROR(__xludf.DUMMYFUNCTION("""COMPUTED_VALUE"""),1)</f>
        <v>1</v>
      </c>
      <c r="AT3026" s="8"/>
      <c r="AU3026" s="8">
        <f ca="1">IFERROR(__xludf.DUMMYFUNCTION("""COMPUTED_VALUE"""),33.746396)</f>
        <v>33.746395999999997</v>
      </c>
      <c r="AV3026" s="8">
        <f ca="1">IFERROR(__xludf.DUMMYFUNCTION("""COMPUTED_VALUE"""),-84.331128)</f>
        <v>-84.331128000000007</v>
      </c>
      <c r="AW3026" s="8"/>
      <c r="AX3026" s="8">
        <f ca="1">IFERROR(__xludf.DUMMYFUNCTION("""COMPUTED_VALUE"""),30317)</f>
        <v>30317</v>
      </c>
    </row>
    <row r="3027" spans="1:50" ht="60" x14ac:dyDescent="0.2">
      <c r="A3027" s="8" t="str">
        <f ca="1">IFERROR(__xludf.DUMMYFUNCTION("""COMPUTED_VALUE"""),"19751001NMHEA")</f>
        <v>19751001NMHEA</v>
      </c>
      <c r="B3027" s="8">
        <f ca="1">IFERROR(__xludf.DUMMYFUNCTION("""COMPUTED_VALUE"""),10)</f>
        <v>10</v>
      </c>
      <c r="C3027" s="8">
        <f ca="1">IFERROR(__xludf.DUMMYFUNCTION("""COMPUTED_VALUE"""),1)</f>
        <v>1</v>
      </c>
      <c r="D3027" s="8">
        <f ca="1">IFERROR(__xludf.DUMMYFUNCTION("""COMPUTED_VALUE"""),1975)</f>
        <v>1975</v>
      </c>
      <c r="E3027" s="9">
        <f ca="1">IFERROR(__xludf.DUMMYFUNCTION("""COMPUTED_VALUE"""),27668)</f>
        <v>27668</v>
      </c>
      <c r="F3027" s="8" t="str">
        <f ca="1">IFERROR(__xludf.DUMMYFUNCTION("""COMPUTED_VALUE"""),"Hermosa Elementary School")</f>
        <v>Hermosa Elementary School</v>
      </c>
      <c r="G3027" s="8">
        <f ca="1">IFERROR(__xludf.DUMMYFUNCTION("""COMPUTED_VALUE"""),1)</f>
        <v>1</v>
      </c>
      <c r="H3027" s="8">
        <f ca="1">IFERROR(__xludf.DUMMYFUNCTION("""COMPUTED_VALUE"""),0)</f>
        <v>0</v>
      </c>
      <c r="I3027" s="8">
        <f ca="1">IFERROR(__xludf.DUMMYFUNCTION("""COMPUTED_VALUE"""),1)</f>
        <v>1</v>
      </c>
      <c r="J3027" s="8">
        <f ca="1">IFERROR(__xludf.DUMMYFUNCTION("""COMPUTED_VALUE"""),0)</f>
        <v>0</v>
      </c>
      <c r="K3027" s="8" t="str">
        <f ca="1">IFERROR(__xludf.DUMMYFUNCTION("""COMPUTED_VALUE"""),"https://www.newspapers.com/image/157423501/?terms=TEACHER%2BSHOT;  https://www.newspapers.com/image/84275175/?terms=HERMOSA%2BELEMENTARY%2BSHOOTING")</f>
        <v>https://www.newspapers.com/image/157423501/?terms=TEACHER%2BSHOT;  https://www.newspapers.com/image/84275175/?terms=HERMOSA%2BELEMENTARY%2BSHOOTING</v>
      </c>
      <c r="L3027" s="8"/>
      <c r="M3027" s="8"/>
      <c r="N3027" s="8">
        <f ca="1">IFERROR(__xludf.DUMMYFUNCTION("""COMPUTED_VALUE"""),3)</f>
        <v>3</v>
      </c>
      <c r="O3027" s="8" t="str">
        <f ca="1">IFERROR(__xludf.DUMMYFUNCTION("""COMPUTED_VALUE"""),"Fall")</f>
        <v>Fall</v>
      </c>
      <c r="P3027" s="8" t="str">
        <f ca="1">IFERROR(__xludf.DUMMYFUNCTION("""COMPUTED_VALUE"""),"Artesia")</f>
        <v>Artesia</v>
      </c>
      <c r="Q3027" s="8" t="str">
        <f ca="1">IFERROR(__xludf.DUMMYFUNCTION("""COMPUTED_VALUE"""),"NM")</f>
        <v>NM</v>
      </c>
      <c r="R3027" s="8" t="str">
        <f ca="1">IFERROR(__xludf.DUMMYFUNCTION("""COMPUTED_VALUE"""),"Elementary")</f>
        <v>Elementary</v>
      </c>
      <c r="S3027" s="8" t="str">
        <f ca="1">IFERROR(__xludf.DUMMYFUNCTION("""COMPUTED_VALUE"""),"Classroom")</f>
        <v>Classroom</v>
      </c>
      <c r="T3027" s="8" t="str">
        <f ca="1">IFERROR(__xludf.DUMMYFUNCTION("""COMPUTED_VALUE"""),"Inside School Building")</f>
        <v>Inside School Building</v>
      </c>
      <c r="U3027" s="8" t="str">
        <f ca="1">IFERROR(__xludf.DUMMYFUNCTION("""COMPUTED_VALUE"""),"Yes")</f>
        <v>Yes</v>
      </c>
      <c r="V3027" s="8" t="str">
        <f ca="1">IFERROR(__xludf.DUMMYFUNCTION("""COMPUTED_VALUE"""),"Before School")</f>
        <v>Before School</v>
      </c>
      <c r="W3027" s="11">
        <f ca="1">IFERROR(__xludf.DUMMYFUNCTION("""COMPUTED_VALUE"""),0.333333333333333)</f>
        <v>0.33333333333333298</v>
      </c>
      <c r="X3027" s="8"/>
      <c r="Y3027" s="12" t="str">
        <f ca="1">IFERROR(__xludf.DUMMYFUNCTION("""COMPUTED_VALUE"""),"Adult shooter arrived at school and shot teacher to death")</f>
        <v>Adult shooter arrived at school and shot teacher to death</v>
      </c>
      <c r="Z3027" s="12" t="str">
        <f ca="1">IFERROR(__xludf.DUMMYFUNCTION("""COMPUTED_VALUE"""),"33 year-old shooter killed teacher in classroom then turned himself into police. Pleaded not guilty to shooting. Limited information available.")</f>
        <v>33 year-old shooter killed teacher in classroom then turned himself into police. Pleaded not guilty to shooting. Limited information available.</v>
      </c>
      <c r="AA3027" s="8" t="str">
        <f ca="1">IFERROR(__xludf.DUMMYFUNCTION("""COMPUTED_VALUE"""),"Anger Over Grade/Suspension/Discipline")</f>
        <v>Anger Over Grade/Suspension/Discipline</v>
      </c>
      <c r="AB3027" s="8"/>
      <c r="AC3027" s="8"/>
      <c r="AD3027" s="8" t="str">
        <f ca="1">IFERROR(__xludf.DUMMYFUNCTION("""COMPUTED_VALUE"""),"Victims Targeted")</f>
        <v>Victims Targeted</v>
      </c>
      <c r="AE3027" s="8"/>
      <c r="AF3027" s="8"/>
      <c r="AG3027" s="8" t="str">
        <f ca="1">IFERROR(__xludf.DUMMYFUNCTION("""COMPUTED_VALUE"""),"No")</f>
        <v>No</v>
      </c>
      <c r="AH3027" s="8" t="str">
        <f ca="1">IFERROR(__xludf.DUMMYFUNCTION("""COMPUTED_VALUE"""),"No")</f>
        <v>No</v>
      </c>
      <c r="AI3027" s="8" t="str">
        <f ca="1">IFERROR(__xludf.DUMMYFUNCTION("""COMPUTED_VALUE"""),"No")</f>
        <v>No</v>
      </c>
      <c r="AJ3027" s="8" t="str">
        <f ca="1">IFERROR(__xludf.DUMMYFUNCTION("""COMPUTED_VALUE"""),"No")</f>
        <v>No</v>
      </c>
      <c r="AK3027" s="8" t="str">
        <f ca="1">IFERROR(__xludf.DUMMYFUNCTION("""COMPUTED_VALUE"""),"No")</f>
        <v>No</v>
      </c>
      <c r="AL3027" s="8" t="str">
        <f ca="1">IFERROR(__xludf.DUMMYFUNCTION("""COMPUTED_VALUE"""),"No")</f>
        <v>No</v>
      </c>
      <c r="AM3027" s="8"/>
      <c r="AN3027" s="8"/>
      <c r="AO3027" s="8" t="str">
        <f ca="1">IFERROR(__xludf.DUMMYFUNCTION("""COMPUTED_VALUE"""),"No")</f>
        <v>No</v>
      </c>
      <c r="AP3027" s="8"/>
      <c r="AQ3027" s="8" t="str">
        <f ca="1">IFERROR(__xludf.DUMMYFUNCTION("""COMPUTED_VALUE"""),"Unknown")</f>
        <v>Unknown</v>
      </c>
      <c r="AR3027" s="8" t="str">
        <f ca="1">IFERROR(__xludf.DUMMYFUNCTION("""COMPUTED_VALUE"""),"NA")</f>
        <v>NA</v>
      </c>
      <c r="AS3027" s="8">
        <f ca="1">IFERROR(__xludf.DUMMYFUNCTION("""COMPUTED_VALUE"""),6)</f>
        <v>6</v>
      </c>
      <c r="AT3027" s="8"/>
      <c r="AU3027" s="8">
        <f ca="1">IFERROR(__xludf.DUMMYFUNCTION("""COMPUTED_VALUE"""),32.827695)</f>
        <v>32.827694999999999</v>
      </c>
      <c r="AV3027" s="8">
        <f ca="1">IFERROR(__xludf.DUMMYFUNCTION("""COMPUTED_VALUE"""),-104.403336)</f>
        <v>-104.403336</v>
      </c>
      <c r="AW3027" s="8"/>
      <c r="AX3027" s="8">
        <f ca="1">IFERROR(__xludf.DUMMYFUNCTION("""COMPUTED_VALUE"""),88210)</f>
        <v>88210</v>
      </c>
    </row>
    <row r="3028" spans="1:50" ht="90" x14ac:dyDescent="0.2">
      <c r="A3028" s="8" t="str">
        <f ca="1">IFERROR(__xludf.DUMMYFUNCTION("""COMPUTED_VALUE"""),"19750911OKGRO")</f>
        <v>19750911OKGRO</v>
      </c>
      <c r="B3028" s="8">
        <f ca="1">IFERROR(__xludf.DUMMYFUNCTION("""COMPUTED_VALUE"""),9)</f>
        <v>9</v>
      </c>
      <c r="C3028" s="8">
        <f ca="1">IFERROR(__xludf.DUMMYFUNCTION("""COMPUTED_VALUE"""),11)</f>
        <v>11</v>
      </c>
      <c r="D3028" s="8">
        <f ca="1">IFERROR(__xludf.DUMMYFUNCTION("""COMPUTED_VALUE"""),1975)</f>
        <v>1975</v>
      </c>
      <c r="E3028" s="9">
        <f ca="1">IFERROR(__xludf.DUMMYFUNCTION("""COMPUTED_VALUE"""),27648)</f>
        <v>27648</v>
      </c>
      <c r="F3028" s="8" t="str">
        <f ca="1">IFERROR(__xludf.DUMMYFUNCTION("""COMPUTED_VALUE"""),"Grant High School")</f>
        <v>Grant High School</v>
      </c>
      <c r="G3028" s="8">
        <f ca="1">IFERROR(__xludf.DUMMYFUNCTION("""COMPUTED_VALUE"""),1)</f>
        <v>1</v>
      </c>
      <c r="H3028" s="8">
        <f ca="1">IFERROR(__xludf.DUMMYFUNCTION("""COMPUTED_VALUE"""),2)</f>
        <v>2</v>
      </c>
      <c r="I3028" s="8">
        <f ca="1">IFERROR(__xludf.DUMMYFUNCTION("""COMPUTED_VALUE"""),3)</f>
        <v>3</v>
      </c>
      <c r="J3028" s="8">
        <f ca="1">IFERROR(__xludf.DUMMYFUNCTION("""COMPUTED_VALUE"""),0)</f>
        <v>0</v>
      </c>
      <c r="K3028" s="8" t="str">
        <f ca="1">IFERROR(__xludf.DUMMYFUNCTION("""COMPUTED_VALUE"""),"https://law.justia.com/cases/oklahoma/supreme-court/1980/4746-1.html; https://news.google.com/newspapers?id=pFVOAAAAIBAJ&amp;pg=3249,2241230 https://www.nytimes.com/1975/09/20/archives/first-federal-arrest-is-made-in-school-busing-strife-in-boston.html")</f>
        <v>https://law.justia.com/cases/oklahoma/supreme-court/1980/4746-1.html; https://news.google.com/newspapers?id=pFVOAAAAIBAJ&amp;pg=3249,2241230 https://www.nytimes.com/1975/09/20/archives/first-federal-arrest-is-made-in-school-busing-strife-in-boston.html</v>
      </c>
      <c r="L3028" s="8"/>
      <c r="M3028" s="8"/>
      <c r="N3028" s="8">
        <f ca="1">IFERROR(__xludf.DUMMYFUNCTION("""COMPUTED_VALUE"""),5)</f>
        <v>5</v>
      </c>
      <c r="O3028" s="8" t="str">
        <f ca="1">IFERROR(__xludf.DUMMYFUNCTION("""COMPUTED_VALUE"""),"Fall")</f>
        <v>Fall</v>
      </c>
      <c r="P3028" s="8" t="str">
        <f ca="1">IFERROR(__xludf.DUMMYFUNCTION("""COMPUTED_VALUE"""),"Oklahoma City")</f>
        <v>Oklahoma City</v>
      </c>
      <c r="Q3028" s="8" t="str">
        <f ca="1">IFERROR(__xludf.DUMMYFUNCTION("""COMPUTED_VALUE"""),"OK")</f>
        <v>OK</v>
      </c>
      <c r="R3028" s="8" t="str">
        <f ca="1">IFERROR(__xludf.DUMMYFUNCTION("""COMPUTED_VALUE"""),"High")</f>
        <v>High</v>
      </c>
      <c r="S3028" s="8" t="str">
        <f ca="1">IFERROR(__xludf.DUMMYFUNCTION("""COMPUTED_VALUE"""),"Inside School Building")</f>
        <v>Inside School Building</v>
      </c>
      <c r="T3028" s="8" t="str">
        <f ca="1">IFERROR(__xludf.DUMMYFUNCTION("""COMPUTED_VALUE"""),"Inside School Building")</f>
        <v>Inside School Building</v>
      </c>
      <c r="U3028" s="8" t="str">
        <f ca="1">IFERROR(__xludf.DUMMYFUNCTION("""COMPUTED_VALUE"""),"Yes")</f>
        <v>Yes</v>
      </c>
      <c r="V3028" s="8"/>
      <c r="W3028" s="8"/>
      <c r="X3028" s="8"/>
      <c r="Y3028" s="12" t="str">
        <f ca="1">IFERROR(__xludf.DUMMYFUNCTION("""COMPUTED_VALUE"""),"Alleged result of growing tension between a group of black students and a group of white students.")</f>
        <v>Alleged result of growing tension between a group of black students and a group of white students.</v>
      </c>
      <c r="Z3028" s="12" t="str">
        <f ca="1">IFERROR(__xludf.DUMMYFUNCTION("""COMPUTED_VALUE"""),"Alleged result of growing tension between a group of black students and a group of white students. Victims were a 15 year-old male (Randy Trinity, shot in the head, died later) and 4 other victims wounded.")</f>
        <v>Alleged result of growing tension between a group of black students and a group of white students. Victims were a 15 year-old male (Randy Trinity, shot in the head, died later) and 4 other victims wounded.</v>
      </c>
      <c r="AA3028" s="8" t="str">
        <f ca="1">IFERROR(__xludf.DUMMYFUNCTION("""COMPUTED_VALUE"""),"Racial")</f>
        <v>Racial</v>
      </c>
      <c r="AB3028" s="8"/>
      <c r="AC3028" s="8"/>
      <c r="AD3028" s="8" t="str">
        <f ca="1">IFERROR(__xludf.DUMMYFUNCTION("""COMPUTED_VALUE"""),"Both")</f>
        <v>Both</v>
      </c>
      <c r="AE3028" s="8" t="str">
        <f ca="1">IFERROR(__xludf.DUMMYFUNCTION("""COMPUTED_VALUE"""),"No")</f>
        <v>No</v>
      </c>
      <c r="AF3028" s="8"/>
      <c r="AG3028" s="8" t="str">
        <f ca="1">IFERROR(__xludf.DUMMYFUNCTION("""COMPUTED_VALUE"""),"No")</f>
        <v>No</v>
      </c>
      <c r="AH3028" s="8" t="str">
        <f ca="1">IFERROR(__xludf.DUMMYFUNCTION("""COMPUTED_VALUE"""),"No")</f>
        <v>No</v>
      </c>
      <c r="AI3028" s="8" t="str">
        <f ca="1">IFERROR(__xludf.DUMMYFUNCTION("""COMPUTED_VALUE"""),"No")</f>
        <v>No</v>
      </c>
      <c r="AJ3028" s="8" t="str">
        <f ca="1">IFERROR(__xludf.DUMMYFUNCTION("""COMPUTED_VALUE"""),"No")</f>
        <v>No</v>
      </c>
      <c r="AK3028" s="8" t="str">
        <f ca="1">IFERROR(__xludf.DUMMYFUNCTION("""COMPUTED_VALUE"""),"No")</f>
        <v>No</v>
      </c>
      <c r="AL3028" s="8" t="str">
        <f ca="1">IFERROR(__xludf.DUMMYFUNCTION("""COMPUTED_VALUE"""),"No")</f>
        <v>No</v>
      </c>
      <c r="AM3028" s="8"/>
      <c r="AN3028" s="8"/>
      <c r="AO3028" s="8" t="str">
        <f ca="1">IFERROR(__xludf.DUMMYFUNCTION("""COMPUTED_VALUE"""),"No")</f>
        <v>No</v>
      </c>
      <c r="AP3028" s="8" t="str">
        <f ca="1">IFERROR(__xludf.DUMMYFUNCTION("""COMPUTED_VALUE"""),"No")</f>
        <v>No</v>
      </c>
      <c r="AQ3028" s="8" t="str">
        <f ca="1">IFERROR(__xludf.DUMMYFUNCTION("""COMPUTED_VALUE"""),"None")</f>
        <v>None</v>
      </c>
      <c r="AR3028" s="8" t="str">
        <f ca="1">IFERROR(__xludf.DUMMYFUNCTION("""COMPUTED_VALUE"""),"NA")</f>
        <v>NA</v>
      </c>
      <c r="AS3028" s="8"/>
      <c r="AT3028" s="8"/>
      <c r="AU3028" s="8">
        <f ca="1">IFERROR(__xludf.DUMMYFUNCTION("""COMPUTED_VALUE"""),35.415484)</f>
        <v>35.415483999999999</v>
      </c>
      <c r="AV3028" s="8">
        <f ca="1">IFERROR(__xludf.DUMMYFUNCTION("""COMPUTED_VALUE"""),-97.545031)</f>
        <v>-97.545030999999994</v>
      </c>
      <c r="AW3028" s="8"/>
      <c r="AX3028" s="8">
        <f ca="1">IFERROR(__xludf.DUMMYFUNCTION("""COMPUTED_VALUE"""),73119)</f>
        <v>73119</v>
      </c>
    </row>
    <row r="3029" spans="1:50" ht="75" x14ac:dyDescent="0.2">
      <c r="A3029" s="8" t="str">
        <f ca="1">IFERROR(__xludf.DUMMYFUNCTION("""COMPUTED_VALUE"""),"19750711MOCES")</f>
        <v>19750711MOCES</v>
      </c>
      <c r="B3029" s="8">
        <f ca="1">IFERROR(__xludf.DUMMYFUNCTION("""COMPUTED_VALUE"""),7)</f>
        <v>7</v>
      </c>
      <c r="C3029" s="8">
        <f ca="1">IFERROR(__xludf.DUMMYFUNCTION("""COMPUTED_VALUE"""),11)</f>
        <v>11</v>
      </c>
      <c r="D3029" s="8">
        <f ca="1">IFERROR(__xludf.DUMMYFUNCTION("""COMPUTED_VALUE"""),1975)</f>
        <v>1975</v>
      </c>
      <c r="E3029" s="9">
        <f ca="1">IFERROR(__xludf.DUMMYFUNCTION("""COMPUTED_VALUE"""),27586)</f>
        <v>27586</v>
      </c>
      <c r="F3029" s="8" t="str">
        <f ca="1">IFERROR(__xludf.DUMMYFUNCTION("""COMPUTED_VALUE"""),"Central High School")</f>
        <v>Central High School</v>
      </c>
      <c r="G3029" s="8">
        <f ca="1">IFERROR(__xludf.DUMMYFUNCTION("""COMPUTED_VALUE"""),0)</f>
        <v>0</v>
      </c>
      <c r="H3029" s="8">
        <f ca="1">IFERROR(__xludf.DUMMYFUNCTION("""COMPUTED_VALUE"""),2)</f>
        <v>2</v>
      </c>
      <c r="I3029" s="8">
        <f ca="1">IFERROR(__xludf.DUMMYFUNCTION("""COMPUTED_VALUE"""),2)</f>
        <v>2</v>
      </c>
      <c r="J3029" s="8">
        <f ca="1">IFERROR(__xludf.DUMMYFUNCTION("""COMPUTED_VALUE"""),0)</f>
        <v>0</v>
      </c>
      <c r="K3029" s="10" t="str">
        <f ca="1">IFERROR(__xludf.DUMMYFUNCTION("""COMPUTED_VALUE"""),"https://www.newspapers.com/image/140719112/?terms=school%2Bshooting")</f>
        <v>https://www.newspapers.com/image/140719112/?terms=school%2Bshooting</v>
      </c>
      <c r="L3029" s="8"/>
      <c r="M3029" s="8"/>
      <c r="N3029" s="8">
        <f ca="1">IFERROR(__xludf.DUMMYFUNCTION("""COMPUTED_VALUE"""),2)</f>
        <v>2</v>
      </c>
      <c r="O3029" s="8" t="str">
        <f ca="1">IFERROR(__xludf.DUMMYFUNCTION("""COMPUTED_VALUE"""),"Summer")</f>
        <v>Summer</v>
      </c>
      <c r="P3029" s="8" t="str">
        <f ca="1">IFERROR(__xludf.DUMMYFUNCTION("""COMPUTED_VALUE"""),"St. Louis")</f>
        <v>St. Louis</v>
      </c>
      <c r="Q3029" s="8" t="str">
        <f ca="1">IFERROR(__xludf.DUMMYFUNCTION("""COMPUTED_VALUE"""),"MO")</f>
        <v>MO</v>
      </c>
      <c r="R3029" s="8" t="str">
        <f ca="1">IFERROR(__xludf.DUMMYFUNCTION("""COMPUTED_VALUE"""),"High")</f>
        <v>High</v>
      </c>
      <c r="S3029" s="8" t="str">
        <f ca="1">IFERROR(__xludf.DUMMYFUNCTION("""COMPUTED_VALUE"""),"School Bus")</f>
        <v>School Bus</v>
      </c>
      <c r="T3029" s="8" t="str">
        <f ca="1">IFERROR(__xludf.DUMMYFUNCTION("""COMPUTED_VALUE"""),"School Bus")</f>
        <v>School Bus</v>
      </c>
      <c r="U3029" s="8" t="str">
        <f ca="1">IFERROR(__xludf.DUMMYFUNCTION("""COMPUTED_VALUE"""),"Yes")</f>
        <v>Yes</v>
      </c>
      <c r="V3029" s="8" t="str">
        <f ca="1">IFERROR(__xludf.DUMMYFUNCTION("""COMPUTED_VALUE"""),"School Start")</f>
        <v>School Start</v>
      </c>
      <c r="W3029" s="11">
        <f ca="1">IFERROR(__xludf.DUMMYFUNCTION("""COMPUTED_VALUE"""),0.315972222222222)</f>
        <v>0.31597222222222199</v>
      </c>
      <c r="X3029" s="8">
        <f ca="1">IFERROR(__xludf.DUMMYFUNCTION("""COMPUTED_VALUE"""),1)</f>
        <v>1</v>
      </c>
      <c r="Y3029" s="12" t="str">
        <f ca="1">IFERROR(__xludf.DUMMYFUNCTION("""COMPUTED_VALUE"""),"Ongoing dispute over bus seats")</f>
        <v>Ongoing dispute over bus seats</v>
      </c>
      <c r="Z3029" s="12" t="str">
        <f ca="1">IFERROR(__xludf.DUMMYFUNCTION("""COMPUTED_VALUE"""),"Two brothers (one was shooter) had ongoing dispute with 2 girls over bus seats. During a dispute, one of the victims struck the shooter with a karate stick and knocked him down. The shooter pulled a gun and fired at both female victims.")</f>
        <v>Two brothers (one was shooter) had ongoing dispute with 2 girls over bus seats. During a dispute, one of the victims struck the shooter with a karate stick and knocked him down. The shooter pulled a gun and fired at both female victims.</v>
      </c>
      <c r="AA3029" s="8" t="str">
        <f ca="1">IFERROR(__xludf.DUMMYFUNCTION("""COMPUTED_VALUE"""),"Escalation of Dispute")</f>
        <v>Escalation of Dispute</v>
      </c>
      <c r="AB3029" s="8"/>
      <c r="AC3029" s="8"/>
      <c r="AD3029" s="8" t="str">
        <f ca="1">IFERROR(__xludf.DUMMYFUNCTION("""COMPUTED_VALUE"""),"Victims Targeted")</f>
        <v>Victims Targeted</v>
      </c>
      <c r="AE3029" s="8" t="str">
        <f ca="1">IFERROR(__xludf.DUMMYFUNCTION("""COMPUTED_VALUE"""),"Yes")</f>
        <v>Yes</v>
      </c>
      <c r="AF3029" s="8" t="str">
        <f ca="1">IFERROR(__xludf.DUMMYFUNCTION("""COMPUTED_VALUE"""),"Brother also arrested")</f>
        <v>Brother also arrested</v>
      </c>
      <c r="AG3029" s="8" t="str">
        <f ca="1">IFERROR(__xludf.DUMMYFUNCTION("""COMPUTED_VALUE"""),"No")</f>
        <v>No</v>
      </c>
      <c r="AH3029" s="8" t="str">
        <f ca="1">IFERROR(__xludf.DUMMYFUNCTION("""COMPUTED_VALUE"""),"No")</f>
        <v>No</v>
      </c>
      <c r="AI3029" s="8" t="str">
        <f ca="1">IFERROR(__xludf.DUMMYFUNCTION("""COMPUTED_VALUE"""),"No")</f>
        <v>No</v>
      </c>
      <c r="AJ3029" s="8" t="str">
        <f ca="1">IFERROR(__xludf.DUMMYFUNCTION("""COMPUTED_VALUE"""),"No")</f>
        <v>No</v>
      </c>
      <c r="AK3029" s="8" t="str">
        <f ca="1">IFERROR(__xludf.DUMMYFUNCTION("""COMPUTED_VALUE"""),"No")</f>
        <v>No</v>
      </c>
      <c r="AL3029" s="8" t="str">
        <f ca="1">IFERROR(__xludf.DUMMYFUNCTION("""COMPUTED_VALUE"""),"No")</f>
        <v>No</v>
      </c>
      <c r="AM3029" s="8"/>
      <c r="AN3029" s="8"/>
      <c r="AO3029" s="8" t="str">
        <f ca="1">IFERROR(__xludf.DUMMYFUNCTION("""COMPUTED_VALUE"""),"No")</f>
        <v>No</v>
      </c>
      <c r="AP3029" s="8"/>
      <c r="AQ3029" s="8" t="str">
        <f ca="1">IFERROR(__xludf.DUMMYFUNCTION("""COMPUTED_VALUE"""),"Unknown")</f>
        <v>Unknown</v>
      </c>
      <c r="AR3029" s="8" t="str">
        <f ca="1">IFERROR(__xludf.DUMMYFUNCTION("""COMPUTED_VALUE"""),"NA")</f>
        <v>NA</v>
      </c>
      <c r="AS3029" s="8"/>
      <c r="AT3029" s="8"/>
      <c r="AU3029" s="8">
        <f ca="1">IFERROR(__xludf.DUMMYFUNCTION("""COMPUTED_VALUE"""),38.60423)</f>
        <v>38.604230000000001</v>
      </c>
      <c r="AV3029" s="8">
        <f ca="1">IFERROR(__xludf.DUMMYFUNCTION("""COMPUTED_VALUE"""),-90.271036)</f>
        <v>-90.271035999999995</v>
      </c>
      <c r="AW3029" s="8"/>
      <c r="AX3029" s="8">
        <f ca="1">IFERROR(__xludf.DUMMYFUNCTION("""COMPUTED_VALUE"""),63139)</f>
        <v>63139</v>
      </c>
    </row>
    <row r="3030" spans="1:50" ht="30" x14ac:dyDescent="0.2">
      <c r="A3030" s="8" t="str">
        <f ca="1">IFERROR(__xludf.DUMMYFUNCTION("""COMPUTED_VALUE"""),"19750709ILDEC")</f>
        <v>19750709ILDEC</v>
      </c>
      <c r="B3030" s="8">
        <f ca="1">IFERROR(__xludf.DUMMYFUNCTION("""COMPUTED_VALUE"""),7)</f>
        <v>7</v>
      </c>
      <c r="C3030" s="8">
        <f ca="1">IFERROR(__xludf.DUMMYFUNCTION("""COMPUTED_VALUE"""),9)</f>
        <v>9</v>
      </c>
      <c r="D3030" s="8">
        <f ca="1">IFERROR(__xludf.DUMMYFUNCTION("""COMPUTED_VALUE"""),1975)</f>
        <v>1975</v>
      </c>
      <c r="E3030" s="9">
        <f ca="1">IFERROR(__xludf.DUMMYFUNCTION("""COMPUTED_VALUE"""),27584)</f>
        <v>27584</v>
      </c>
      <c r="F3030" s="8" t="str">
        <f ca="1">IFERROR(__xludf.DUMMYFUNCTION("""COMPUTED_VALUE"""),"Dett Elementary School")</f>
        <v>Dett Elementary School</v>
      </c>
      <c r="G3030" s="8">
        <f ca="1">IFERROR(__xludf.DUMMYFUNCTION("""COMPUTED_VALUE"""),0)</f>
        <v>0</v>
      </c>
      <c r="H3030" s="8">
        <f ca="1">IFERROR(__xludf.DUMMYFUNCTION("""COMPUTED_VALUE"""),1)</f>
        <v>1</v>
      </c>
      <c r="I3030" s="8">
        <f ca="1">IFERROR(__xludf.DUMMYFUNCTION("""COMPUTED_VALUE"""),1)</f>
        <v>1</v>
      </c>
      <c r="J3030" s="8">
        <f ca="1">IFERROR(__xludf.DUMMYFUNCTION("""COMPUTED_VALUE"""),0)</f>
        <v>0</v>
      </c>
      <c r="K3030" s="10" t="str">
        <f ca="1">IFERROR(__xludf.DUMMYFUNCTION("""COMPUTED_VALUE"""),"https://www.newspapers.com/image/382147136/?terms=teacher%2Bshot")</f>
        <v>https://www.newspapers.com/image/382147136/?terms=teacher%2Bshot</v>
      </c>
      <c r="L3030" s="8"/>
      <c r="M3030" s="8"/>
      <c r="N3030" s="8">
        <f ca="1">IFERROR(__xludf.DUMMYFUNCTION("""COMPUTED_VALUE"""),2)</f>
        <v>2</v>
      </c>
      <c r="O3030" s="8" t="str">
        <f ca="1">IFERROR(__xludf.DUMMYFUNCTION("""COMPUTED_VALUE"""),"Summer")</f>
        <v>Summer</v>
      </c>
      <c r="P3030" s="8" t="str">
        <f ca="1">IFERROR(__xludf.DUMMYFUNCTION("""COMPUTED_VALUE"""),"Chicago")</f>
        <v>Chicago</v>
      </c>
      <c r="Q3030" s="8" t="str">
        <f ca="1">IFERROR(__xludf.DUMMYFUNCTION("""COMPUTED_VALUE"""),"IL")</f>
        <v>IL</v>
      </c>
      <c r="R3030" s="8" t="str">
        <f ca="1">IFERROR(__xludf.DUMMYFUNCTION("""COMPUTED_VALUE"""),"Elementary")</f>
        <v>Elementary</v>
      </c>
      <c r="S3030" s="8" t="str">
        <f ca="1">IFERROR(__xludf.DUMMYFUNCTION("""COMPUTED_VALUE"""),"Beside Building")</f>
        <v>Beside Building</v>
      </c>
      <c r="T3030" s="8" t="str">
        <f ca="1">IFERROR(__xludf.DUMMYFUNCTION("""COMPUTED_VALUE"""),"Outside on School Property")</f>
        <v>Outside on School Property</v>
      </c>
      <c r="U3030" s="8" t="str">
        <f ca="1">IFERROR(__xludf.DUMMYFUNCTION("""COMPUTED_VALUE"""),"Yes")</f>
        <v>Yes</v>
      </c>
      <c r="V3030" s="8" t="str">
        <f ca="1">IFERROR(__xludf.DUMMYFUNCTION("""COMPUTED_VALUE"""),"Before School")</f>
        <v>Before School</v>
      </c>
      <c r="W3030" s="11">
        <f ca="1">IFERROR(__xludf.DUMMYFUNCTION("""COMPUTED_VALUE"""),0.34375)</f>
        <v>0.34375</v>
      </c>
      <c r="X3030" s="8">
        <f ca="1">IFERROR(__xludf.DUMMYFUNCTION("""COMPUTED_VALUE"""),1)</f>
        <v>1</v>
      </c>
      <c r="Y3030" s="12" t="str">
        <f ca="1">IFERROR(__xludf.DUMMYFUNCTION("""COMPUTED_VALUE"""),"Teacher shot by estranged husband")</f>
        <v>Teacher shot by estranged husband</v>
      </c>
      <c r="Z3030" s="12" t="str">
        <f ca="1">IFERROR(__xludf.DUMMYFUNCTION("""COMPUTED_VALUE"""),"Teacher shot outside of school. She had pressed charges against her husband for threatening her.")</f>
        <v>Teacher shot outside of school. She had pressed charges against her husband for threatening her.</v>
      </c>
      <c r="AA3030" s="8" t="str">
        <f ca="1">IFERROR(__xludf.DUMMYFUNCTION("""COMPUTED_VALUE"""),"Domestic w/ Targeted Victim")</f>
        <v>Domestic w/ Targeted Victim</v>
      </c>
      <c r="AB3030" s="8"/>
      <c r="AC3030" s="8"/>
      <c r="AD3030" s="8" t="str">
        <f ca="1">IFERROR(__xludf.DUMMYFUNCTION("""COMPUTED_VALUE"""),"Victims Targeted")</f>
        <v>Victims Targeted</v>
      </c>
      <c r="AE3030" s="8" t="str">
        <f ca="1">IFERROR(__xludf.DUMMYFUNCTION("""COMPUTED_VALUE"""),"No")</f>
        <v>No</v>
      </c>
      <c r="AF3030" s="8"/>
      <c r="AG3030" s="8" t="str">
        <f ca="1">IFERROR(__xludf.DUMMYFUNCTION("""COMPUTED_VALUE"""),"No")</f>
        <v>No</v>
      </c>
      <c r="AH3030" s="8" t="str">
        <f ca="1">IFERROR(__xludf.DUMMYFUNCTION("""COMPUTED_VALUE"""),"No")</f>
        <v>No</v>
      </c>
      <c r="AI3030" s="8" t="str">
        <f ca="1">IFERROR(__xludf.DUMMYFUNCTION("""COMPUTED_VALUE"""),"No")</f>
        <v>No</v>
      </c>
      <c r="AJ3030" s="8" t="str">
        <f ca="1">IFERROR(__xludf.DUMMYFUNCTION("""COMPUTED_VALUE"""),"No")</f>
        <v>No</v>
      </c>
      <c r="AK3030" s="8" t="str">
        <f ca="1">IFERROR(__xludf.DUMMYFUNCTION("""COMPUTED_VALUE"""),"Yes")</f>
        <v>Yes</v>
      </c>
      <c r="AL3030" s="8" t="str">
        <f ca="1">IFERROR(__xludf.DUMMYFUNCTION("""COMPUTED_VALUE"""),"No")</f>
        <v>No</v>
      </c>
      <c r="AM3030" s="8"/>
      <c r="AN3030" s="8"/>
      <c r="AO3030" s="8" t="str">
        <f ca="1">IFERROR(__xludf.DUMMYFUNCTION("""COMPUTED_VALUE"""),"No")</f>
        <v>No</v>
      </c>
      <c r="AP3030" s="8"/>
      <c r="AQ3030" s="8" t="str">
        <f ca="1">IFERROR(__xludf.DUMMYFUNCTION("""COMPUTED_VALUE"""),"Unknown")</f>
        <v>Unknown</v>
      </c>
      <c r="AR3030" s="8" t="str">
        <f ca="1">IFERROR(__xludf.DUMMYFUNCTION("""COMPUTED_VALUE"""),"NA")</f>
        <v>NA</v>
      </c>
      <c r="AS3030" s="8">
        <f ca="1">IFERROR(__xludf.DUMMYFUNCTION("""COMPUTED_VALUE"""),2)</f>
        <v>2</v>
      </c>
      <c r="AT3030" s="8"/>
      <c r="AU3030" s="8">
        <f ca="1">IFERROR(__xludf.DUMMYFUNCTION("""COMPUTED_VALUE"""),41.879646)</f>
        <v>41.879646000000001</v>
      </c>
      <c r="AV3030" s="8">
        <f ca="1">IFERROR(__xludf.DUMMYFUNCTION("""COMPUTED_VALUE"""),-87.680661)</f>
        <v>-87.680661000000001</v>
      </c>
      <c r="AW3030" s="8"/>
      <c r="AX3030" s="8">
        <f ca="1">IFERROR(__xludf.DUMMYFUNCTION("""COMPUTED_VALUE"""),60612)</f>
        <v>60612</v>
      </c>
    </row>
    <row r="3031" spans="1:50" ht="45" x14ac:dyDescent="0.2">
      <c r="A3031" s="8" t="str">
        <f ca="1">IFERROR(__xludf.DUMMYFUNCTION("""COMPUTED_VALUE"""),"19750527MIPID")</f>
        <v>19750527MIPID</v>
      </c>
      <c r="B3031" s="8">
        <f ca="1">IFERROR(__xludf.DUMMYFUNCTION("""COMPUTED_VALUE"""),5)</f>
        <v>5</v>
      </c>
      <c r="C3031" s="8">
        <f ca="1">IFERROR(__xludf.DUMMYFUNCTION("""COMPUTED_VALUE"""),27)</f>
        <v>27</v>
      </c>
      <c r="D3031" s="8">
        <f ca="1">IFERROR(__xludf.DUMMYFUNCTION("""COMPUTED_VALUE"""),1975)</f>
        <v>1975</v>
      </c>
      <c r="E3031" s="9">
        <f ca="1">IFERROR(__xludf.DUMMYFUNCTION("""COMPUTED_VALUE"""),27541)</f>
        <v>27541</v>
      </c>
      <c r="F3031" s="8" t="str">
        <f ca="1">IFERROR(__xludf.DUMMYFUNCTION("""COMPUTED_VALUE"""),"Pitcher School")</f>
        <v>Pitcher School</v>
      </c>
      <c r="G3031" s="8">
        <f ca="1">IFERROR(__xludf.DUMMYFUNCTION("""COMPUTED_VALUE"""),1)</f>
        <v>1</v>
      </c>
      <c r="H3031" s="8">
        <f ca="1">IFERROR(__xludf.DUMMYFUNCTION("""COMPUTED_VALUE"""),0)</f>
        <v>0</v>
      </c>
      <c r="I3031" s="8">
        <f ca="1">IFERROR(__xludf.DUMMYFUNCTION("""COMPUTED_VALUE"""),1)</f>
        <v>1</v>
      </c>
      <c r="J3031" s="8">
        <f ca="1">IFERROR(__xludf.DUMMYFUNCTION("""COMPUTED_VALUE"""),0)</f>
        <v>0</v>
      </c>
      <c r="K3031" s="10" t="str">
        <f ca="1">IFERROR(__xludf.DUMMYFUNCTION("""COMPUTED_VALUE"""),"https://www.newspapers.com/image/98347062/?terms=school%2Bshooting")</f>
        <v>https://www.newspapers.com/image/98347062/?terms=school%2Bshooting</v>
      </c>
      <c r="L3031" s="8"/>
      <c r="M3031" s="8"/>
      <c r="N3031" s="8">
        <f ca="1">IFERROR(__xludf.DUMMYFUNCTION("""COMPUTED_VALUE"""),2)</f>
        <v>2</v>
      </c>
      <c r="O3031" s="8" t="str">
        <f ca="1">IFERROR(__xludf.DUMMYFUNCTION("""COMPUTED_VALUE"""),"Spring")</f>
        <v>Spring</v>
      </c>
      <c r="P3031" s="8" t="str">
        <f ca="1">IFERROR(__xludf.DUMMYFUNCTION("""COMPUTED_VALUE"""),"Detroit")</f>
        <v>Detroit</v>
      </c>
      <c r="Q3031" s="8" t="str">
        <f ca="1">IFERROR(__xludf.DUMMYFUNCTION("""COMPUTED_VALUE"""),"MI")</f>
        <v>MI</v>
      </c>
      <c r="R3031" s="8" t="str">
        <f ca="1">IFERROR(__xludf.DUMMYFUNCTION("""COMPUTED_VALUE"""),"Elementary")</f>
        <v>Elementary</v>
      </c>
      <c r="S3031" s="8" t="str">
        <f ca="1">IFERROR(__xludf.DUMMYFUNCTION("""COMPUTED_VALUE"""),"Outside on School Property")</f>
        <v>Outside on School Property</v>
      </c>
      <c r="T3031" s="8" t="str">
        <f ca="1">IFERROR(__xludf.DUMMYFUNCTION("""COMPUTED_VALUE"""),"Outside on School Property")</f>
        <v>Outside on School Property</v>
      </c>
      <c r="U3031" s="8" t="str">
        <f ca="1">IFERROR(__xludf.DUMMYFUNCTION("""COMPUTED_VALUE"""),"No")</f>
        <v>No</v>
      </c>
      <c r="V3031" s="8" t="str">
        <f ca="1">IFERROR(__xludf.DUMMYFUNCTION("""COMPUTED_VALUE"""),"After School")</f>
        <v>After School</v>
      </c>
      <c r="W3031" s="8"/>
      <c r="X3031" s="8">
        <f ca="1">IFERROR(__xludf.DUMMYFUNCTION("""COMPUTED_VALUE"""),1)</f>
        <v>1</v>
      </c>
      <c r="Y3031" s="12" t="str">
        <f ca="1">IFERROR(__xludf.DUMMYFUNCTION("""COMPUTED_VALUE"""),"Shooter and victim in multiple previous fights at school")</f>
        <v>Shooter and victim in multiple previous fights at school</v>
      </c>
      <c r="Z3031" s="12" t="str">
        <f ca="1">IFERROR(__xludf.DUMMYFUNCTION("""COMPUTED_VALUE"""),"9 year-old male (shooter) and 13 year-old male (victim) had multiple fights at school broken up by staff. 9 year-old male went home, got rifle, and shot victim in the head.")</f>
        <v>9 year-old male (shooter) and 13 year-old male (victim) had multiple fights at school broken up by staff. 9 year-old male went home, got rifle, and shot victim in the head.</v>
      </c>
      <c r="AA3031" s="8" t="str">
        <f ca="1">IFERROR(__xludf.DUMMYFUNCTION("""COMPUTED_VALUE"""),"Escalation of Dispute")</f>
        <v>Escalation of Dispute</v>
      </c>
      <c r="AB3031" s="8"/>
      <c r="AC3031" s="8"/>
      <c r="AD3031" s="8" t="str">
        <f ca="1">IFERROR(__xludf.DUMMYFUNCTION("""COMPUTED_VALUE"""),"Victims Targeted")</f>
        <v>Victims Targeted</v>
      </c>
      <c r="AE3031" s="8" t="str">
        <f ca="1">IFERROR(__xludf.DUMMYFUNCTION("""COMPUTED_VALUE"""),"No")</f>
        <v>No</v>
      </c>
      <c r="AF3031" s="8"/>
      <c r="AG3031" s="8" t="str">
        <f ca="1">IFERROR(__xludf.DUMMYFUNCTION("""COMPUTED_VALUE"""),"No")</f>
        <v>No</v>
      </c>
      <c r="AH3031" s="8" t="str">
        <f ca="1">IFERROR(__xludf.DUMMYFUNCTION("""COMPUTED_VALUE"""),"No")</f>
        <v>No</v>
      </c>
      <c r="AI3031" s="8" t="str">
        <f ca="1">IFERROR(__xludf.DUMMYFUNCTION("""COMPUTED_VALUE"""),"No")</f>
        <v>No</v>
      </c>
      <c r="AJ3031" s="8" t="str">
        <f ca="1">IFERROR(__xludf.DUMMYFUNCTION("""COMPUTED_VALUE"""),"No")</f>
        <v>No</v>
      </c>
      <c r="AK3031" s="8" t="str">
        <f ca="1">IFERROR(__xludf.DUMMYFUNCTION("""COMPUTED_VALUE"""),"No")</f>
        <v>No</v>
      </c>
      <c r="AL3031" s="8" t="str">
        <f ca="1">IFERROR(__xludf.DUMMYFUNCTION("""COMPUTED_VALUE"""),"No")</f>
        <v>No</v>
      </c>
      <c r="AM3031" s="8"/>
      <c r="AN3031" s="8"/>
      <c r="AO3031" s="8" t="str">
        <f ca="1">IFERROR(__xludf.DUMMYFUNCTION("""COMPUTED_VALUE"""),"No")</f>
        <v>No</v>
      </c>
      <c r="AP3031" s="8"/>
      <c r="AQ3031" s="8" t="str">
        <f ca="1">IFERROR(__xludf.DUMMYFUNCTION("""COMPUTED_VALUE"""),"Unknown")</f>
        <v>Unknown</v>
      </c>
      <c r="AR3031" s="8" t="str">
        <f ca="1">IFERROR(__xludf.DUMMYFUNCTION("""COMPUTED_VALUE"""),"NA")</f>
        <v>NA</v>
      </c>
      <c r="AS3031" s="8">
        <f ca="1">IFERROR(__xludf.DUMMYFUNCTION("""COMPUTED_VALUE"""),1)</f>
        <v>1</v>
      </c>
      <c r="AT3031" s="8"/>
      <c r="AU3031" s="8">
        <f ca="1">IFERROR(__xludf.DUMMYFUNCTION("""COMPUTED_VALUE"""),42.436526)</f>
        <v>42.436526000000001</v>
      </c>
      <c r="AV3031" s="8">
        <f ca="1">IFERROR(__xludf.DUMMYFUNCTION("""COMPUTED_VALUE"""),-83.228631)</f>
        <v>-83.228630999999993</v>
      </c>
      <c r="AW3031" s="8"/>
      <c r="AX3031" s="8">
        <f ca="1">IFERROR(__xludf.DUMMYFUNCTION("""COMPUTED_VALUE"""),48219)</f>
        <v>48219</v>
      </c>
    </row>
    <row r="3032" spans="1:50" ht="60" x14ac:dyDescent="0.2">
      <c r="A3032" s="8" t="str">
        <f ca="1">IFERROR(__xludf.DUMMYFUNCTION("""COMPUTED_VALUE"""),"19750515MDLAU")</f>
        <v>19750515MDLAU</v>
      </c>
      <c r="B3032" s="8">
        <f ca="1">IFERROR(__xludf.DUMMYFUNCTION("""COMPUTED_VALUE"""),5)</f>
        <v>5</v>
      </c>
      <c r="C3032" s="8">
        <f ca="1">IFERROR(__xludf.DUMMYFUNCTION("""COMPUTED_VALUE"""),15)</f>
        <v>15</v>
      </c>
      <c r="D3032" s="8">
        <f ca="1">IFERROR(__xludf.DUMMYFUNCTION("""COMPUTED_VALUE"""),1975)</f>
        <v>1975</v>
      </c>
      <c r="E3032" s="9">
        <f ca="1">IFERROR(__xludf.DUMMYFUNCTION("""COMPUTED_VALUE"""),27529)</f>
        <v>27529</v>
      </c>
      <c r="F3032" s="8" t="str">
        <f ca="1">IFERROR(__xludf.DUMMYFUNCTION("""COMPUTED_VALUE"""),"Largo High School")</f>
        <v>Largo High School</v>
      </c>
      <c r="G3032" s="8">
        <f ca="1">IFERROR(__xludf.DUMMYFUNCTION("""COMPUTED_VALUE"""),1)</f>
        <v>1</v>
      </c>
      <c r="H3032" s="8">
        <f ca="1">IFERROR(__xludf.DUMMYFUNCTION("""COMPUTED_VALUE"""),0)</f>
        <v>0</v>
      </c>
      <c r="I3032" s="8">
        <f ca="1">IFERROR(__xludf.DUMMYFUNCTION("""COMPUTED_VALUE"""),1)</f>
        <v>1</v>
      </c>
      <c r="J3032" s="8">
        <f ca="1">IFERROR(__xludf.DUMMYFUNCTION("""COMPUTED_VALUE"""),0)</f>
        <v>0</v>
      </c>
      <c r="K3032" s="10" t="str">
        <f ca="1">IFERROR(__xludf.DUMMYFUNCTION("""COMPUTED_VALUE"""),"https://www.newspapers.com/image/377431143/?terms=largo%20high%20parking%20lot%20shooting&amp;match=1")</f>
        <v>https://www.newspapers.com/image/377431143/?terms=largo%20high%20parking%20lot%20shooting&amp;match=1</v>
      </c>
      <c r="L3032" s="8"/>
      <c r="M3032" s="8" t="str">
        <f ca="1">IFERROR(__xludf.DUMMYFUNCTION("""COMPUTED_VALUE"""),"Regional")</f>
        <v>Regional</v>
      </c>
      <c r="N3032" s="8">
        <f ca="1">IFERROR(__xludf.DUMMYFUNCTION("""COMPUTED_VALUE"""),4)</f>
        <v>4</v>
      </c>
      <c r="O3032" s="8" t="str">
        <f ca="1">IFERROR(__xludf.DUMMYFUNCTION("""COMPUTED_VALUE"""),"Spring")</f>
        <v>Spring</v>
      </c>
      <c r="P3032" s="8" t="str">
        <f ca="1">IFERROR(__xludf.DUMMYFUNCTION("""COMPUTED_VALUE"""),"Upper Marlboro")</f>
        <v>Upper Marlboro</v>
      </c>
      <c r="Q3032" s="8" t="str">
        <f ca="1">IFERROR(__xludf.DUMMYFUNCTION("""COMPUTED_VALUE"""),"MD")</f>
        <v>MD</v>
      </c>
      <c r="R3032" s="8" t="str">
        <f ca="1">IFERROR(__xludf.DUMMYFUNCTION("""COMPUTED_VALUE"""),"High")</f>
        <v>High</v>
      </c>
      <c r="S3032" s="8" t="str">
        <f ca="1">IFERROR(__xludf.DUMMYFUNCTION("""COMPUTED_VALUE"""),"Parking Lot")</f>
        <v>Parking Lot</v>
      </c>
      <c r="T3032" s="8" t="str">
        <f ca="1">IFERROR(__xludf.DUMMYFUNCTION("""COMPUTED_VALUE"""),"Outside on School Property")</f>
        <v>Outside on School Property</v>
      </c>
      <c r="U3032" s="8" t="str">
        <f ca="1">IFERROR(__xludf.DUMMYFUNCTION("""COMPUTED_VALUE"""),"Yes")</f>
        <v>Yes</v>
      </c>
      <c r="V3032" s="8"/>
      <c r="W3032" s="8"/>
      <c r="X3032" s="8">
        <f ca="1">IFERROR(__xludf.DUMMYFUNCTION("""COMPUTED_VALUE"""),1)</f>
        <v>1</v>
      </c>
      <c r="Y3032" s="12" t="str">
        <f ca="1">IFERROR(__xludf.DUMMYFUNCTION("""COMPUTED_VALUE"""),"Student fatally shot during dispute in the school parking lot")</f>
        <v>Student fatally shot during dispute in the school parking lot</v>
      </c>
      <c r="Z3032" s="12" t="str">
        <f ca="1">IFERROR(__xludf.DUMMYFUNCTION("""COMPUTED_VALUE"""),"Student fatally shot during dispute in the school parking lot")</f>
        <v>Student fatally shot during dispute in the school parking lot</v>
      </c>
      <c r="AA3032" s="8" t="str">
        <f ca="1">IFERROR(__xludf.DUMMYFUNCTION("""COMPUTED_VALUE"""),"Escalation of Dispute")</f>
        <v>Escalation of Dispute</v>
      </c>
      <c r="AB3032" s="8" t="str">
        <f ca="1">IFERROR(__xludf.DUMMYFUNCTION("""COMPUTED_VALUE"""),"Spontaneous")</f>
        <v>Spontaneous</v>
      </c>
      <c r="AC3032" s="8"/>
      <c r="AD3032" s="8" t="str">
        <f ca="1">IFERROR(__xludf.DUMMYFUNCTION("""COMPUTED_VALUE"""),"Victims Targeted")</f>
        <v>Victims Targeted</v>
      </c>
      <c r="AE3032" s="8" t="str">
        <f ca="1">IFERROR(__xludf.DUMMYFUNCTION("""COMPUTED_VALUE"""),"Yes")</f>
        <v>Yes</v>
      </c>
      <c r="AF3032" s="8" t="str">
        <f ca="1">IFERROR(__xludf.DUMMYFUNCTION("""COMPUTED_VALUE"""),"4 students involved in dispute")</f>
        <v>4 students involved in dispute</v>
      </c>
      <c r="AG3032" s="8" t="str">
        <f ca="1">IFERROR(__xludf.DUMMYFUNCTION("""COMPUTED_VALUE"""),"No")</f>
        <v>No</v>
      </c>
      <c r="AH3032" s="8" t="str">
        <f ca="1">IFERROR(__xludf.DUMMYFUNCTION("""COMPUTED_VALUE"""),"No")</f>
        <v>No</v>
      </c>
      <c r="AI3032" s="8" t="str">
        <f ca="1">IFERROR(__xludf.DUMMYFUNCTION("""COMPUTED_VALUE"""),"No")</f>
        <v>No</v>
      </c>
      <c r="AJ3032" s="8" t="str">
        <f ca="1">IFERROR(__xludf.DUMMYFUNCTION("""COMPUTED_VALUE"""),"No")</f>
        <v>No</v>
      </c>
      <c r="AK3032" s="8" t="str">
        <f ca="1">IFERROR(__xludf.DUMMYFUNCTION("""COMPUTED_VALUE"""),"No")</f>
        <v>No</v>
      </c>
      <c r="AL3032" s="8" t="str">
        <f ca="1">IFERROR(__xludf.DUMMYFUNCTION("""COMPUTED_VALUE"""),"No")</f>
        <v>No</v>
      </c>
      <c r="AM3032" s="8" t="str">
        <f ca="1">IFERROR(__xludf.DUMMYFUNCTION("""COMPUTED_VALUE"""),"No")</f>
        <v>No</v>
      </c>
      <c r="AN3032" s="8" t="str">
        <f ca="1">IFERROR(__xludf.DUMMYFUNCTION("""COMPUTED_VALUE"""),"Outside")</f>
        <v>Outside</v>
      </c>
      <c r="AO3032" s="8" t="str">
        <f ca="1">IFERROR(__xludf.DUMMYFUNCTION("""COMPUTED_VALUE"""),"No")</f>
        <v>No</v>
      </c>
      <c r="AP3032" s="8"/>
      <c r="AQ3032" s="8"/>
      <c r="AR3032" s="8"/>
      <c r="AS3032" s="8">
        <f ca="1">IFERROR(__xludf.DUMMYFUNCTION("""COMPUTED_VALUE"""),1)</f>
        <v>1</v>
      </c>
      <c r="AT3032" s="8"/>
      <c r="AU3032" s="8">
        <f ca="1">IFERROR(__xludf.DUMMYFUNCTION("""COMPUTED_VALUE"""),38.88612)</f>
        <v>38.886119999999998</v>
      </c>
      <c r="AV3032" s="8">
        <f ca="1">IFERROR(__xludf.DUMMYFUNCTION("""COMPUTED_VALUE"""),-76.821092)</f>
        <v>-76.821091999999993</v>
      </c>
      <c r="AW3032" s="8"/>
      <c r="AX3032" s="8">
        <f ca="1">IFERROR(__xludf.DUMMYFUNCTION("""COMPUTED_VALUE"""),20774)</f>
        <v>20774</v>
      </c>
    </row>
    <row r="3033" spans="1:50" ht="60" x14ac:dyDescent="0.2">
      <c r="A3033" s="8" t="str">
        <f ca="1">IFERROR(__xludf.DUMMYFUNCTION("""COMPUTED_VALUE"""),"19750515MOROS")</f>
        <v>19750515MOROS</v>
      </c>
      <c r="B3033" s="8">
        <f ca="1">IFERROR(__xludf.DUMMYFUNCTION("""COMPUTED_VALUE"""),5)</f>
        <v>5</v>
      </c>
      <c r="C3033" s="8">
        <f ca="1">IFERROR(__xludf.DUMMYFUNCTION("""COMPUTED_VALUE"""),15)</f>
        <v>15</v>
      </c>
      <c r="D3033" s="8">
        <f ca="1">IFERROR(__xludf.DUMMYFUNCTION("""COMPUTED_VALUE"""),1975)</f>
        <v>1975</v>
      </c>
      <c r="E3033" s="9">
        <f ca="1">IFERROR(__xludf.DUMMYFUNCTION("""COMPUTED_VALUE"""),27529)</f>
        <v>27529</v>
      </c>
      <c r="F3033" s="8" t="str">
        <f ca="1">IFERROR(__xludf.DUMMYFUNCTION("""COMPUTED_VALUE"""),"Rock Junior High School")</f>
        <v>Rock Junior High School</v>
      </c>
      <c r="G3033" s="8">
        <f ca="1">IFERROR(__xludf.DUMMYFUNCTION("""COMPUTED_VALUE"""),0)</f>
        <v>0</v>
      </c>
      <c r="H3033" s="8">
        <f ca="1">IFERROR(__xludf.DUMMYFUNCTION("""COMPUTED_VALUE"""),1)</f>
        <v>1</v>
      </c>
      <c r="I3033" s="8">
        <f ca="1">IFERROR(__xludf.DUMMYFUNCTION("""COMPUTED_VALUE"""),1)</f>
        <v>1</v>
      </c>
      <c r="J3033" s="8">
        <f ca="1">IFERROR(__xludf.DUMMYFUNCTION("""COMPUTED_VALUE"""),0)</f>
        <v>0</v>
      </c>
      <c r="K3033" s="10" t="str">
        <f ca="1">IFERROR(__xludf.DUMMYFUNCTION("""COMPUTED_VALUE"""),"https://www.newspapers.com/image/140698558/?terms=school%2Bshooting")</f>
        <v>https://www.newspapers.com/image/140698558/?terms=school%2Bshooting</v>
      </c>
      <c r="L3033" s="8"/>
      <c r="M3033" s="8"/>
      <c r="N3033" s="8">
        <f ca="1">IFERROR(__xludf.DUMMYFUNCTION("""COMPUTED_VALUE"""),2)</f>
        <v>2</v>
      </c>
      <c r="O3033" s="8" t="str">
        <f ca="1">IFERROR(__xludf.DUMMYFUNCTION("""COMPUTED_VALUE"""),"Spring")</f>
        <v>Spring</v>
      </c>
      <c r="P3033" s="8" t="str">
        <f ca="1">IFERROR(__xludf.DUMMYFUNCTION("""COMPUTED_VALUE"""),"East St. Louis")</f>
        <v>East St. Louis</v>
      </c>
      <c r="Q3033" s="8" t="str">
        <f ca="1">IFERROR(__xludf.DUMMYFUNCTION("""COMPUTED_VALUE"""),"IL")</f>
        <v>IL</v>
      </c>
      <c r="R3033" s="8" t="str">
        <f ca="1">IFERROR(__xludf.DUMMYFUNCTION("""COMPUTED_VALUE"""),"Junior High")</f>
        <v>Junior High</v>
      </c>
      <c r="S3033" s="8" t="str">
        <f ca="1">IFERROR(__xludf.DUMMYFUNCTION("""COMPUTED_VALUE"""),"Office")</f>
        <v>Office</v>
      </c>
      <c r="T3033" s="8" t="str">
        <f ca="1">IFERROR(__xludf.DUMMYFUNCTION("""COMPUTED_VALUE"""),"Inside School Building")</f>
        <v>Inside School Building</v>
      </c>
      <c r="U3033" s="8" t="str">
        <f ca="1">IFERROR(__xludf.DUMMYFUNCTION("""COMPUTED_VALUE"""),"Yes")</f>
        <v>Yes</v>
      </c>
      <c r="V3033" s="8" t="str">
        <f ca="1">IFERROR(__xludf.DUMMYFUNCTION("""COMPUTED_VALUE"""),"Afternoon Classes")</f>
        <v>Afternoon Classes</v>
      </c>
      <c r="W3033" s="11">
        <f ca="1">IFERROR(__xludf.DUMMYFUNCTION("""COMPUTED_VALUE"""),0.520833333333333)</f>
        <v>0.52083333333333304</v>
      </c>
      <c r="X3033" s="8">
        <f ca="1">IFERROR(__xludf.DUMMYFUNCTION("""COMPUTED_VALUE"""),1)</f>
        <v>1</v>
      </c>
      <c r="Y3033" s="12" t="str">
        <f ca="1">IFERROR(__xludf.DUMMYFUNCTION("""COMPUTED_VALUE"""),"Administrator spanked student, student got gun and shot him")</f>
        <v>Administrator spanked student, student got gun and shot him</v>
      </c>
      <c r="Z3033" s="12" t="str">
        <f ca="1">IFERROR(__xludf.DUMMYFUNCTION("""COMPUTED_VALUE"""),"13 year-old male student (good student) was spanked with rubber paddle by school administrator for cutting gym class. Student went home, got gun, and returned to school to shot school administrator in the face then fled.")</f>
        <v>13 year-old male student (good student) was spanked with rubber paddle by school administrator for cutting gym class. Student went home, got gun, and returned to school to shot school administrator in the face then fled.</v>
      </c>
      <c r="AA3033" s="8" t="str">
        <f ca="1">IFERROR(__xludf.DUMMYFUNCTION("""COMPUTED_VALUE"""),"Anger Over Grade/Suspension/Discipline")</f>
        <v>Anger Over Grade/Suspension/Discipline</v>
      </c>
      <c r="AB3033" s="8"/>
      <c r="AC3033" s="8"/>
      <c r="AD3033" s="8" t="str">
        <f ca="1">IFERROR(__xludf.DUMMYFUNCTION("""COMPUTED_VALUE"""),"Victims Targeted")</f>
        <v>Victims Targeted</v>
      </c>
      <c r="AE3033" s="8" t="str">
        <f ca="1">IFERROR(__xludf.DUMMYFUNCTION("""COMPUTED_VALUE"""),"No")</f>
        <v>No</v>
      </c>
      <c r="AF3033" s="8"/>
      <c r="AG3033" s="8" t="str">
        <f ca="1">IFERROR(__xludf.DUMMYFUNCTION("""COMPUTED_VALUE"""),"No")</f>
        <v>No</v>
      </c>
      <c r="AH3033" s="8" t="str">
        <f ca="1">IFERROR(__xludf.DUMMYFUNCTION("""COMPUTED_VALUE"""),"No")</f>
        <v>No</v>
      </c>
      <c r="AI3033" s="8" t="str">
        <f ca="1">IFERROR(__xludf.DUMMYFUNCTION("""COMPUTED_VALUE"""),"No")</f>
        <v>No</v>
      </c>
      <c r="AJ3033" s="8" t="str">
        <f ca="1">IFERROR(__xludf.DUMMYFUNCTION("""COMPUTED_VALUE"""),"No")</f>
        <v>No</v>
      </c>
      <c r="AK3033" s="8" t="str">
        <f ca="1">IFERROR(__xludf.DUMMYFUNCTION("""COMPUTED_VALUE"""),"No")</f>
        <v>No</v>
      </c>
      <c r="AL3033" s="8" t="str">
        <f ca="1">IFERROR(__xludf.DUMMYFUNCTION("""COMPUTED_VALUE"""),"No")</f>
        <v>No</v>
      </c>
      <c r="AM3033" s="8"/>
      <c r="AN3033" s="8"/>
      <c r="AO3033" s="8" t="str">
        <f ca="1">IFERROR(__xludf.DUMMYFUNCTION("""COMPUTED_VALUE"""),"No")</f>
        <v>No</v>
      </c>
      <c r="AP3033" s="8"/>
      <c r="AQ3033" s="8" t="str">
        <f ca="1">IFERROR(__xludf.DUMMYFUNCTION("""COMPUTED_VALUE"""),"Unknown")</f>
        <v>Unknown</v>
      </c>
      <c r="AR3033" s="8" t="str">
        <f ca="1">IFERROR(__xludf.DUMMYFUNCTION("""COMPUTED_VALUE"""),"NA")</f>
        <v>NA</v>
      </c>
      <c r="AS3033" s="8">
        <f ca="1">IFERROR(__xludf.DUMMYFUNCTION("""COMPUTED_VALUE"""),1)</f>
        <v>1</v>
      </c>
      <c r="AT3033" s="8"/>
      <c r="AU3033" s="8">
        <f ca="1">IFERROR(__xludf.DUMMYFUNCTION("""COMPUTED_VALUE"""),38.6270025)</f>
        <v>38.627002500000003</v>
      </c>
      <c r="AV3033" s="8">
        <f ca="1">IFERROR(__xludf.DUMMYFUNCTION("""COMPUTED_VALUE"""),-90.1994042)</f>
        <v>-90.199404200000004</v>
      </c>
      <c r="AW3033" s="8"/>
      <c r="AX3033" s="8">
        <f ca="1">IFERROR(__xludf.DUMMYFUNCTION("""COMPUTED_VALUE"""),63103)</f>
        <v>63103</v>
      </c>
    </row>
    <row r="3034" spans="1:50" ht="90" x14ac:dyDescent="0.2">
      <c r="A3034" s="8" t="str">
        <f ca="1">IFERROR(__xludf.DUMMYFUNCTION("""COMPUTED_VALUE"""),"19750321VAFAR")</f>
        <v>19750321VAFAR</v>
      </c>
      <c r="B3034" s="8">
        <f ca="1">IFERROR(__xludf.DUMMYFUNCTION("""COMPUTED_VALUE"""),3)</f>
        <v>3</v>
      </c>
      <c r="C3034" s="8">
        <f ca="1">IFERROR(__xludf.DUMMYFUNCTION("""COMPUTED_VALUE"""),21)</f>
        <v>21</v>
      </c>
      <c r="D3034" s="8">
        <f ca="1">IFERROR(__xludf.DUMMYFUNCTION("""COMPUTED_VALUE"""),1975)</f>
        <v>1975</v>
      </c>
      <c r="E3034" s="9">
        <f ca="1">IFERROR(__xludf.DUMMYFUNCTION("""COMPUTED_VALUE"""),27474)</f>
        <v>27474</v>
      </c>
      <c r="F3034" s="8" t="str">
        <f ca="1">IFERROR(__xludf.DUMMYFUNCTION("""COMPUTED_VALUE"""),"Fairmount Elementary School")</f>
        <v>Fairmount Elementary School</v>
      </c>
      <c r="G3034" s="8">
        <f ca="1">IFERROR(__xludf.DUMMYFUNCTION("""COMPUTED_VALUE"""),0)</f>
        <v>0</v>
      </c>
      <c r="H3034" s="8">
        <f ca="1">IFERROR(__xludf.DUMMYFUNCTION("""COMPUTED_VALUE"""),1)</f>
        <v>1</v>
      </c>
      <c r="I3034" s="8">
        <f ca="1">IFERROR(__xludf.DUMMYFUNCTION("""COMPUTED_VALUE"""),1)</f>
        <v>1</v>
      </c>
      <c r="J3034" s="8">
        <f ca="1">IFERROR(__xludf.DUMMYFUNCTION("""COMPUTED_VALUE"""),0)</f>
        <v>0</v>
      </c>
      <c r="K3034" s="10" t="str">
        <f ca="1">IFERROR(__xludf.DUMMYFUNCTION("""COMPUTED_VALUE"""),"https://www.newspapers.com/image/29775822/?terms=pupil%2Bshot")</f>
        <v>https://www.newspapers.com/image/29775822/?terms=pupil%2Bshot</v>
      </c>
      <c r="L3034" s="8"/>
      <c r="M3034" s="8"/>
      <c r="N3034" s="8">
        <f ca="1">IFERROR(__xludf.DUMMYFUNCTION("""COMPUTED_VALUE"""),2)</f>
        <v>2</v>
      </c>
      <c r="O3034" s="8" t="str">
        <f ca="1">IFERROR(__xludf.DUMMYFUNCTION("""COMPUTED_VALUE"""),"Spring")</f>
        <v>Spring</v>
      </c>
      <c r="P3034" s="8" t="str">
        <f ca="1">IFERROR(__xludf.DUMMYFUNCTION("""COMPUTED_VALUE"""),"Richmond")</f>
        <v>Richmond</v>
      </c>
      <c r="Q3034" s="8" t="str">
        <f ca="1">IFERROR(__xludf.DUMMYFUNCTION("""COMPUTED_VALUE"""),"VA")</f>
        <v>VA</v>
      </c>
      <c r="R3034" s="8" t="str">
        <f ca="1">IFERROR(__xludf.DUMMYFUNCTION("""COMPUTED_VALUE"""),"Elementary")</f>
        <v>Elementary</v>
      </c>
      <c r="S3034" s="8" t="str">
        <f ca="1">IFERROR(__xludf.DUMMYFUNCTION("""COMPUTED_VALUE"""),"Playground")</f>
        <v>Playground</v>
      </c>
      <c r="T3034" s="8" t="str">
        <f ca="1">IFERROR(__xludf.DUMMYFUNCTION("""COMPUTED_VALUE"""),"Outside on School Property")</f>
        <v>Outside on School Property</v>
      </c>
      <c r="U3034" s="8" t="str">
        <f ca="1">IFERROR(__xludf.DUMMYFUNCTION("""COMPUTED_VALUE"""),"Yes")</f>
        <v>Yes</v>
      </c>
      <c r="V3034" s="8" t="str">
        <f ca="1">IFERROR(__xludf.DUMMYFUNCTION("""COMPUTED_VALUE"""),"Lunch")</f>
        <v>Lunch</v>
      </c>
      <c r="W3034" s="11">
        <f ca="1">IFERROR(__xludf.DUMMYFUNCTION("""COMPUTED_VALUE"""),0.5)</f>
        <v>0.5</v>
      </c>
      <c r="X3034" s="8">
        <f ca="1">IFERROR(__xludf.DUMMYFUNCTION("""COMPUTED_VALUE"""),1)</f>
        <v>1</v>
      </c>
      <c r="Y3034" s="12" t="str">
        <f ca="1">IFERROR(__xludf.DUMMYFUNCTION("""COMPUTED_VALUE"""),"Shooter was shooting at pigeons off school property when stray bullet hit victim")</f>
        <v>Shooter was shooting at pigeons off school property when stray bullet hit victim</v>
      </c>
      <c r="Z3034" s="12" t="str">
        <f ca="1">IFERROR(__xludf.DUMMYFUNCTION("""COMPUTED_VALUE"""),"Victim was on school playground when she was shot in the head by a .22 caliber rifle round. Shooter, age 18 was later caught. Shooting was unintentional. Shooter was shooting at pigeons in has back yard. According to doctors who removed bullet from victim"&amp;"'s brain, the bullet had traveled its maximum distance prior to striking child.")</f>
        <v>Victim was on school playground when she was shot in the head by a .22 caliber rifle round. Shooter, age 18 was later caught. Shooting was unintentional. Shooter was shooting at pigeons in has back yard. According to doctors who removed bullet from victim's brain, the bullet had traveled its maximum distance prior to striking child.</v>
      </c>
      <c r="AA3034" s="8" t="str">
        <f ca="1">IFERROR(__xludf.DUMMYFUNCTION("""COMPUTED_VALUE"""),"Accidental")</f>
        <v>Accidental</v>
      </c>
      <c r="AB3034" s="8"/>
      <c r="AC3034" s="8"/>
      <c r="AD3034" s="8" t="str">
        <f ca="1">IFERROR(__xludf.DUMMYFUNCTION("""COMPUTED_VALUE"""),"Random Shooting")</f>
        <v>Random Shooting</v>
      </c>
      <c r="AE3034" s="8" t="str">
        <f ca="1">IFERROR(__xludf.DUMMYFUNCTION("""COMPUTED_VALUE"""),"No")</f>
        <v>No</v>
      </c>
      <c r="AF3034" s="8"/>
      <c r="AG3034" s="8" t="str">
        <f ca="1">IFERROR(__xludf.DUMMYFUNCTION("""COMPUTED_VALUE"""),"No")</f>
        <v>No</v>
      </c>
      <c r="AH3034" s="8" t="str">
        <f ca="1">IFERROR(__xludf.DUMMYFUNCTION("""COMPUTED_VALUE"""),"No")</f>
        <v>No</v>
      </c>
      <c r="AI3034" s="8" t="str">
        <f ca="1">IFERROR(__xludf.DUMMYFUNCTION("""COMPUTED_VALUE"""),"No")</f>
        <v>No</v>
      </c>
      <c r="AJ3034" s="8" t="str">
        <f ca="1">IFERROR(__xludf.DUMMYFUNCTION("""COMPUTED_VALUE"""),"No")</f>
        <v>No</v>
      </c>
      <c r="AK3034" s="8" t="str">
        <f ca="1">IFERROR(__xludf.DUMMYFUNCTION("""COMPUTED_VALUE"""),"No")</f>
        <v>No</v>
      </c>
      <c r="AL3034" s="8" t="str">
        <f ca="1">IFERROR(__xludf.DUMMYFUNCTION("""COMPUTED_VALUE"""),"No")</f>
        <v>No</v>
      </c>
      <c r="AM3034" s="8"/>
      <c r="AN3034" s="8"/>
      <c r="AO3034" s="8" t="str">
        <f ca="1">IFERROR(__xludf.DUMMYFUNCTION("""COMPUTED_VALUE"""),"No")</f>
        <v>No</v>
      </c>
      <c r="AP3034" s="8"/>
      <c r="AQ3034" s="8" t="str">
        <f ca="1">IFERROR(__xludf.DUMMYFUNCTION("""COMPUTED_VALUE"""),"Unknown")</f>
        <v>Unknown</v>
      </c>
      <c r="AR3034" s="8" t="str">
        <f ca="1">IFERROR(__xludf.DUMMYFUNCTION("""COMPUTED_VALUE"""),"NA")</f>
        <v>NA</v>
      </c>
      <c r="AS3034" s="8">
        <f ca="1">IFERROR(__xludf.DUMMYFUNCTION("""COMPUTED_VALUE"""),1)</f>
        <v>1</v>
      </c>
      <c r="AT3034" s="8"/>
      <c r="AU3034" s="8">
        <f ca="1">IFERROR(__xludf.DUMMYFUNCTION("""COMPUTED_VALUE"""),37.544014)</f>
        <v>37.544013999999997</v>
      </c>
      <c r="AV3034" s="8">
        <f ca="1">IFERROR(__xludf.DUMMYFUNCTION("""COMPUTED_VALUE"""),-77.412356)</f>
        <v>-77.412356000000003</v>
      </c>
      <c r="AW3034" s="8"/>
      <c r="AX3034" s="8">
        <f ca="1">IFERROR(__xludf.DUMMYFUNCTION("""COMPUTED_VALUE"""),23223)</f>
        <v>23223</v>
      </c>
    </row>
    <row r="3035" spans="1:50" ht="75" x14ac:dyDescent="0.2">
      <c r="A3035" s="8" t="str">
        <f ca="1">IFERROR(__xludf.DUMMYFUNCTION("""COMPUTED_VALUE"""),"19750321OHPAD")</f>
        <v>19750321OHPAD</v>
      </c>
      <c r="B3035" s="8">
        <f ca="1">IFERROR(__xludf.DUMMYFUNCTION("""COMPUTED_VALUE"""),3)</f>
        <v>3</v>
      </c>
      <c r="C3035" s="8">
        <f ca="1">IFERROR(__xludf.DUMMYFUNCTION("""COMPUTED_VALUE"""),21)</f>
        <v>21</v>
      </c>
      <c r="D3035" s="8">
        <f ca="1">IFERROR(__xludf.DUMMYFUNCTION("""COMPUTED_VALUE"""),1975)</f>
        <v>1975</v>
      </c>
      <c r="E3035" s="9">
        <f ca="1">IFERROR(__xludf.DUMMYFUNCTION("""COMPUTED_VALUE"""),27474)</f>
        <v>27474</v>
      </c>
      <c r="F3035" s="8" t="str">
        <f ca="1">IFERROR(__xludf.DUMMYFUNCTION("""COMPUTED_VALUE"""),"Patterson Cooperative High School")</f>
        <v>Patterson Cooperative High School</v>
      </c>
      <c r="G3035" s="8">
        <f ca="1">IFERROR(__xludf.DUMMYFUNCTION("""COMPUTED_VALUE"""),0)</f>
        <v>0</v>
      </c>
      <c r="H3035" s="8">
        <f ca="1">IFERROR(__xludf.DUMMYFUNCTION("""COMPUTED_VALUE"""),1)</f>
        <v>1</v>
      </c>
      <c r="I3035" s="8">
        <f ca="1">IFERROR(__xludf.DUMMYFUNCTION("""COMPUTED_VALUE"""),1)</f>
        <v>1</v>
      </c>
      <c r="J3035" s="8">
        <f ca="1">IFERROR(__xludf.DUMMYFUNCTION("""COMPUTED_VALUE"""),0)</f>
        <v>0</v>
      </c>
      <c r="K3035" s="10" t="str">
        <f ca="1">IFERROR(__xludf.DUMMYFUNCTION("""COMPUTED_VALUE"""),"https://www.newspapers.com/image/405249949/?terms=NICHOLAS%2BSUTTLES%2BTEACHER")</f>
        <v>https://www.newspapers.com/image/405249949/?terms=NICHOLAS%2BSUTTLES%2BTEACHER</v>
      </c>
      <c r="L3035" s="8"/>
      <c r="M3035" s="8"/>
      <c r="N3035" s="8">
        <f ca="1">IFERROR(__xludf.DUMMYFUNCTION("""COMPUTED_VALUE"""),2)</f>
        <v>2</v>
      </c>
      <c r="O3035" s="8" t="str">
        <f ca="1">IFERROR(__xludf.DUMMYFUNCTION("""COMPUTED_VALUE"""),"Spring")</f>
        <v>Spring</v>
      </c>
      <c r="P3035" s="8" t="str">
        <f ca="1">IFERROR(__xludf.DUMMYFUNCTION("""COMPUTED_VALUE"""),"Dayton")</f>
        <v>Dayton</v>
      </c>
      <c r="Q3035" s="8" t="str">
        <f ca="1">IFERROR(__xludf.DUMMYFUNCTION("""COMPUTED_VALUE"""),"OH")</f>
        <v>OH</v>
      </c>
      <c r="R3035" s="8" t="str">
        <f ca="1">IFERROR(__xludf.DUMMYFUNCTION("""COMPUTED_VALUE"""),"High")</f>
        <v>High</v>
      </c>
      <c r="S3035" s="8" t="str">
        <f ca="1">IFERROR(__xludf.DUMMYFUNCTION("""COMPUTED_VALUE"""),"Classroom")</f>
        <v>Classroom</v>
      </c>
      <c r="T3035" s="8" t="str">
        <f ca="1">IFERROR(__xludf.DUMMYFUNCTION("""COMPUTED_VALUE"""),"Inside School Building")</f>
        <v>Inside School Building</v>
      </c>
      <c r="U3035" s="8" t="str">
        <f ca="1">IFERROR(__xludf.DUMMYFUNCTION("""COMPUTED_VALUE"""),"Yes")</f>
        <v>Yes</v>
      </c>
      <c r="V3035" s="8" t="str">
        <f ca="1">IFERROR(__xludf.DUMMYFUNCTION("""COMPUTED_VALUE"""),"Before School")</f>
        <v>Before School</v>
      </c>
      <c r="W3035" s="8"/>
      <c r="X3035" s="8">
        <f ca="1">IFERROR(__xludf.DUMMYFUNCTION("""COMPUTED_VALUE"""),1)</f>
        <v>1</v>
      </c>
      <c r="Y3035" s="12" t="str">
        <f ca="1">IFERROR(__xludf.DUMMYFUNCTION("""COMPUTED_VALUE"""),"Unknown shooter shot teacher during class")</f>
        <v>Unknown shooter shot teacher during class</v>
      </c>
      <c r="Z3035" s="12" t="str">
        <f ca="1">IFERROR(__xludf.DUMMYFUNCTION("""COMPUTED_VALUE"""),"Unknown assailant had possibly robbed teacher earlier in the year. Shooter was seen hanging around school. Shooter entered teacher's class with .22 caliber and shot teacher. Teacher tried to wrestle gun away from shooter when he threatened class. Shooter "&amp;"fled.")</f>
        <v>Unknown assailant had possibly robbed teacher earlier in the year. Shooter was seen hanging around school. Shooter entered teacher's class with .22 caliber and shot teacher. Teacher tried to wrestle gun away from shooter when he threatened class. Shooter fled.</v>
      </c>
      <c r="AA3035" s="8" t="str">
        <f ca="1">IFERROR(__xludf.DUMMYFUNCTION("""COMPUTED_VALUE"""),"Illegal Activity")</f>
        <v>Illegal Activity</v>
      </c>
      <c r="AB3035" s="8"/>
      <c r="AC3035" s="8" t="str">
        <f ca="1">IFERROR(__xludf.DUMMYFUNCTION("""COMPUTED_VALUE"""),"Yes")</f>
        <v>Yes</v>
      </c>
      <c r="AD3035" s="8" t="str">
        <f ca="1">IFERROR(__xludf.DUMMYFUNCTION("""COMPUTED_VALUE"""),"Victims Targeted")</f>
        <v>Victims Targeted</v>
      </c>
      <c r="AE3035" s="8" t="str">
        <f ca="1">IFERROR(__xludf.DUMMYFUNCTION("""COMPUTED_VALUE"""),"No")</f>
        <v>No</v>
      </c>
      <c r="AF3035" s="8"/>
      <c r="AG3035" s="8" t="str">
        <f ca="1">IFERROR(__xludf.DUMMYFUNCTION("""COMPUTED_VALUE"""),"No")</f>
        <v>No</v>
      </c>
      <c r="AH3035" s="8" t="str">
        <f ca="1">IFERROR(__xludf.DUMMYFUNCTION("""COMPUTED_VALUE"""),"Yes")</f>
        <v>Yes</v>
      </c>
      <c r="AI3035" s="8" t="str">
        <f ca="1">IFERROR(__xludf.DUMMYFUNCTION("""COMPUTED_VALUE"""),"No")</f>
        <v>No</v>
      </c>
      <c r="AJ3035" s="8" t="str">
        <f ca="1">IFERROR(__xludf.DUMMYFUNCTION("""COMPUTED_VALUE"""),"No")</f>
        <v>No</v>
      </c>
      <c r="AK3035" s="8" t="str">
        <f ca="1">IFERROR(__xludf.DUMMYFUNCTION("""COMPUTED_VALUE"""),"No")</f>
        <v>No</v>
      </c>
      <c r="AL3035" s="8" t="str">
        <f ca="1">IFERROR(__xludf.DUMMYFUNCTION("""COMPUTED_VALUE"""),"No")</f>
        <v>No</v>
      </c>
      <c r="AM3035" s="8" t="str">
        <f ca="1">IFERROR(__xludf.DUMMYFUNCTION("""COMPUTED_VALUE"""),"Yes")</f>
        <v>Yes</v>
      </c>
      <c r="AN3035" s="8" t="str">
        <f ca="1">IFERROR(__xludf.DUMMYFUNCTION("""COMPUTED_VALUE"""),"Single Room")</f>
        <v>Single Room</v>
      </c>
      <c r="AO3035" s="8" t="str">
        <f ca="1">IFERROR(__xludf.DUMMYFUNCTION("""COMPUTED_VALUE"""),"Yes")</f>
        <v>Yes</v>
      </c>
      <c r="AP3035" s="8"/>
      <c r="AQ3035" s="8" t="str">
        <f ca="1">IFERROR(__xludf.DUMMYFUNCTION("""COMPUTED_VALUE"""),"Unknown")</f>
        <v>Unknown</v>
      </c>
      <c r="AR3035" s="8" t="str">
        <f ca="1">IFERROR(__xludf.DUMMYFUNCTION("""COMPUTED_VALUE"""),"NA")</f>
        <v>NA</v>
      </c>
      <c r="AS3035" s="8">
        <f ca="1">IFERROR(__xludf.DUMMYFUNCTION("""COMPUTED_VALUE"""),1)</f>
        <v>1</v>
      </c>
      <c r="AT3035" s="8"/>
      <c r="AU3035" s="8">
        <f ca="1">IFERROR(__xludf.DUMMYFUNCTION("""COMPUTED_VALUE"""),39.7589478)</f>
        <v>39.758947800000001</v>
      </c>
      <c r="AV3035" s="8">
        <f ca="1">IFERROR(__xludf.DUMMYFUNCTION("""COMPUTED_VALUE"""),-84.1916069)</f>
        <v>-84.191606899999996</v>
      </c>
      <c r="AW3035" s="8"/>
      <c r="AX3035" s="8">
        <f ca="1">IFERROR(__xludf.DUMMYFUNCTION("""COMPUTED_VALUE"""),45402)</f>
        <v>45402</v>
      </c>
    </row>
    <row r="3036" spans="1:50" ht="105" x14ac:dyDescent="0.2">
      <c r="A3036" s="8" t="str">
        <f ca="1">IFERROR(__xludf.DUMMYFUNCTION("""COMPUTED_VALUE"""),"19750318MOSUS")</f>
        <v>19750318MOSUS</v>
      </c>
      <c r="B3036" s="8">
        <f ca="1">IFERROR(__xludf.DUMMYFUNCTION("""COMPUTED_VALUE"""),3)</f>
        <v>3</v>
      </c>
      <c r="C3036" s="8">
        <f ca="1">IFERROR(__xludf.DUMMYFUNCTION("""COMPUTED_VALUE"""),18)</f>
        <v>18</v>
      </c>
      <c r="D3036" s="8">
        <f ca="1">IFERROR(__xludf.DUMMYFUNCTION("""COMPUTED_VALUE"""),1975)</f>
        <v>1975</v>
      </c>
      <c r="E3036" s="9">
        <f ca="1">IFERROR(__xludf.DUMMYFUNCTION("""COMPUTED_VALUE"""),27471)</f>
        <v>27471</v>
      </c>
      <c r="F3036" s="8" t="str">
        <f ca="1">IFERROR(__xludf.DUMMYFUNCTION("""COMPUTED_VALUE"""),"Sumner High School")</f>
        <v>Sumner High School</v>
      </c>
      <c r="G3036" s="8">
        <f ca="1">IFERROR(__xludf.DUMMYFUNCTION("""COMPUTED_VALUE"""),1)</f>
        <v>1</v>
      </c>
      <c r="H3036" s="8">
        <f ca="1">IFERROR(__xludf.DUMMYFUNCTION("""COMPUTED_VALUE"""),0)</f>
        <v>0</v>
      </c>
      <c r="I3036" s="8">
        <f ca="1">IFERROR(__xludf.DUMMYFUNCTION("""COMPUTED_VALUE"""),1)</f>
        <v>1</v>
      </c>
      <c r="J3036" s="8">
        <f ca="1">IFERROR(__xludf.DUMMYFUNCTION("""COMPUTED_VALUE"""),0)</f>
        <v>0</v>
      </c>
      <c r="K3036" s="10" t="str">
        <f ca="1">IFERROR(__xludf.DUMMYFUNCTION("""COMPUTED_VALUE"""),"https://www.newspapers.com/newspage/139614437/")</f>
        <v>https://www.newspapers.com/newspage/139614437/</v>
      </c>
      <c r="L3036" s="8"/>
      <c r="M3036" s="8"/>
      <c r="N3036" s="8">
        <f ca="1">IFERROR(__xludf.DUMMYFUNCTION("""COMPUTED_VALUE"""),2)</f>
        <v>2</v>
      </c>
      <c r="O3036" s="8" t="str">
        <f ca="1">IFERROR(__xludf.DUMMYFUNCTION("""COMPUTED_VALUE"""),"Spring")</f>
        <v>Spring</v>
      </c>
      <c r="P3036" s="8" t="str">
        <f ca="1">IFERROR(__xludf.DUMMYFUNCTION("""COMPUTED_VALUE"""),"St. Louis")</f>
        <v>St. Louis</v>
      </c>
      <c r="Q3036" s="8" t="str">
        <f ca="1">IFERROR(__xludf.DUMMYFUNCTION("""COMPUTED_VALUE"""),"MO")</f>
        <v>MO</v>
      </c>
      <c r="R3036" s="8" t="str">
        <f ca="1">IFERROR(__xludf.DUMMYFUNCTION("""COMPUTED_VALUE"""),"High")</f>
        <v>High</v>
      </c>
      <c r="S3036" s="8" t="str">
        <f ca="1">IFERROR(__xludf.DUMMYFUNCTION("""COMPUTED_VALUE"""),"Inside School Building")</f>
        <v>Inside School Building</v>
      </c>
      <c r="T3036" s="8" t="str">
        <f ca="1">IFERROR(__xludf.DUMMYFUNCTION("""COMPUTED_VALUE"""),"Inside School Building")</f>
        <v>Inside School Building</v>
      </c>
      <c r="U3036" s="8" t="str">
        <f ca="1">IFERROR(__xludf.DUMMYFUNCTION("""COMPUTED_VALUE"""),"Yes")</f>
        <v>Yes</v>
      </c>
      <c r="V3036" s="8" t="str">
        <f ca="1">IFERROR(__xludf.DUMMYFUNCTION("""COMPUTED_VALUE"""),"Lunch")</f>
        <v>Lunch</v>
      </c>
      <c r="W3036" s="8"/>
      <c r="X3036" s="8">
        <f ca="1">IFERROR(__xludf.DUMMYFUNCTION("""COMPUTED_VALUE"""),1)</f>
        <v>1</v>
      </c>
      <c r="Y3036" s="12" t="str">
        <f ca="1">IFERROR(__xludf.DUMMYFUNCTION("""COMPUTED_VALUE"""),"Gun fight between four youths believed to have arisen from a dispute at a party several weeks prior at which Goods was also present")</f>
        <v>Gun fight between four youths believed to have arisen from a dispute at a party several weeks prior at which Goods was also present</v>
      </c>
      <c r="Z3036" s="12" t="str">
        <f ca="1">IFERROR(__xludf.DUMMYFUNCTION("""COMPUTED_VALUE"""),"18 year-old male victim (Stephen Goods) was a bystander caught in crossfire of gun fight between four youths. Victim was shot in the head and buttocks then died later at hospital")</f>
        <v>18 year-old male victim (Stephen Goods) was a bystander caught in crossfire of gun fight between four youths. Victim was shot in the head and buttocks then died later at hospital</v>
      </c>
      <c r="AA3036" s="8" t="str">
        <f ca="1">IFERROR(__xludf.DUMMYFUNCTION("""COMPUTED_VALUE"""),"Escalation of Dispute")</f>
        <v>Escalation of Dispute</v>
      </c>
      <c r="AB3036" s="8"/>
      <c r="AC3036" s="8"/>
      <c r="AD3036" s="8" t="str">
        <f ca="1">IFERROR(__xludf.DUMMYFUNCTION("""COMPUTED_VALUE"""),"Victims Targeted")</f>
        <v>Victims Targeted</v>
      </c>
      <c r="AE3036" s="8" t="str">
        <f ca="1">IFERROR(__xludf.DUMMYFUNCTION("""COMPUTED_VALUE"""),"Yes")</f>
        <v>Yes</v>
      </c>
      <c r="AF3036" s="8" t="str">
        <f ca="1">IFERROR(__xludf.DUMMYFUNCTION("""COMPUTED_VALUE"""),"Three other youths involved")</f>
        <v>Three other youths involved</v>
      </c>
      <c r="AG3036" s="8" t="str">
        <f ca="1">IFERROR(__xludf.DUMMYFUNCTION("""COMPUTED_VALUE"""),"No")</f>
        <v>No</v>
      </c>
      <c r="AH3036" s="8" t="str">
        <f ca="1">IFERROR(__xludf.DUMMYFUNCTION("""COMPUTED_VALUE"""),"No")</f>
        <v>No</v>
      </c>
      <c r="AI3036" s="8" t="str">
        <f ca="1">IFERROR(__xludf.DUMMYFUNCTION("""COMPUTED_VALUE"""),"No")</f>
        <v>No</v>
      </c>
      <c r="AJ3036" s="8" t="str">
        <f ca="1">IFERROR(__xludf.DUMMYFUNCTION("""COMPUTED_VALUE"""),"No")</f>
        <v>No</v>
      </c>
      <c r="AK3036" s="8" t="str">
        <f ca="1">IFERROR(__xludf.DUMMYFUNCTION("""COMPUTED_VALUE"""),"No")</f>
        <v>No</v>
      </c>
      <c r="AL3036" s="8" t="str">
        <f ca="1">IFERROR(__xludf.DUMMYFUNCTION("""COMPUTED_VALUE"""),"No")</f>
        <v>No</v>
      </c>
      <c r="AM3036" s="8"/>
      <c r="AN3036" s="8"/>
      <c r="AO3036" s="8" t="str">
        <f ca="1">IFERROR(__xludf.DUMMYFUNCTION("""COMPUTED_VALUE"""),"No")</f>
        <v>No</v>
      </c>
      <c r="AP3036" s="8" t="str">
        <f ca="1">IFERROR(__xludf.DUMMYFUNCTION("""COMPUTED_VALUE"""),"Yes")</f>
        <v>Yes</v>
      </c>
      <c r="AQ3036" s="8" t="str">
        <f ca="1">IFERROR(__xludf.DUMMYFUNCTION("""COMPUTED_VALUE"""),"None")</f>
        <v>None</v>
      </c>
      <c r="AR3036" s="8" t="str">
        <f ca="1">IFERROR(__xludf.DUMMYFUNCTION("""COMPUTED_VALUE"""),"NA")</f>
        <v>NA</v>
      </c>
      <c r="AS3036" s="8" t="str">
        <f ca="1">IFERROR(__xludf.DUMMYFUNCTION("""COMPUTED_VALUE"""),"&lt;10")</f>
        <v>&lt;10</v>
      </c>
      <c r="AT3036" s="8"/>
      <c r="AU3036" s="8">
        <f ca="1">IFERROR(__xludf.DUMMYFUNCTION("""COMPUTED_VALUE"""),38.659795)</f>
        <v>38.659795000000003</v>
      </c>
      <c r="AV3036" s="8">
        <f ca="1">IFERROR(__xludf.DUMMYFUNCTION("""COMPUTED_VALUE"""),-90.23917)</f>
        <v>-90.239170000000001</v>
      </c>
      <c r="AW3036" s="8"/>
      <c r="AX3036" s="8">
        <f ca="1">IFERROR(__xludf.DUMMYFUNCTION("""COMPUTED_VALUE"""),63113)</f>
        <v>63113</v>
      </c>
    </row>
    <row r="3037" spans="1:50" ht="45" x14ac:dyDescent="0.2">
      <c r="A3037" s="8" t="str">
        <f ca="1">IFERROR(__xludf.DUMMYFUNCTION("""COMPUTED_VALUE"""),"19750312TXJOH")</f>
        <v>19750312TXJOH</v>
      </c>
      <c r="B3037" s="8">
        <f ca="1">IFERROR(__xludf.DUMMYFUNCTION("""COMPUTED_VALUE"""),3)</f>
        <v>3</v>
      </c>
      <c r="C3037" s="8">
        <f ca="1">IFERROR(__xludf.DUMMYFUNCTION("""COMPUTED_VALUE"""),12)</f>
        <v>12</v>
      </c>
      <c r="D3037" s="8">
        <f ca="1">IFERROR(__xludf.DUMMYFUNCTION("""COMPUTED_VALUE"""),1975)</f>
        <v>1975</v>
      </c>
      <c r="E3037" s="9">
        <f ca="1">IFERROR(__xludf.DUMMYFUNCTION("""COMPUTED_VALUE"""),27465)</f>
        <v>27465</v>
      </c>
      <c r="F3037" s="8" t="str">
        <f ca="1">IFERROR(__xludf.DUMMYFUNCTION("""COMPUTED_VALUE"""),"Jones High School")</f>
        <v>Jones High School</v>
      </c>
      <c r="G3037" s="8">
        <f ca="1">IFERROR(__xludf.DUMMYFUNCTION("""COMPUTED_VALUE"""),0)</f>
        <v>0</v>
      </c>
      <c r="H3037" s="8">
        <f ca="1">IFERROR(__xludf.DUMMYFUNCTION("""COMPUTED_VALUE"""),2)</f>
        <v>2</v>
      </c>
      <c r="I3037" s="8">
        <f ca="1">IFERROR(__xludf.DUMMYFUNCTION("""COMPUTED_VALUE"""),2)</f>
        <v>2</v>
      </c>
      <c r="J3037" s="8">
        <f ca="1">IFERROR(__xludf.DUMMYFUNCTION("""COMPUTED_VALUE"""),0)</f>
        <v>0</v>
      </c>
      <c r="K3037" s="8" t="str">
        <f ca="1">IFERROR(__xludf.DUMMYFUNCTION("""COMPUTED_VALUE"""),"https://www.newspapers.com/image/437102055/?terms=school%2Bshooting     https://www.newspapers.com/image/218519274/?terms=pupil%2Bshot")</f>
        <v>https://www.newspapers.com/image/437102055/?terms=school%2Bshooting     https://www.newspapers.com/image/218519274/?terms=pupil%2Bshot</v>
      </c>
      <c r="L3037" s="8"/>
      <c r="M3037" s="8"/>
      <c r="N3037" s="8">
        <f ca="1">IFERROR(__xludf.DUMMYFUNCTION("""COMPUTED_VALUE"""),3)</f>
        <v>3</v>
      </c>
      <c r="O3037" s="8" t="str">
        <f ca="1">IFERROR(__xludf.DUMMYFUNCTION("""COMPUTED_VALUE"""),"Spring")</f>
        <v>Spring</v>
      </c>
      <c r="P3037" s="8" t="str">
        <f ca="1">IFERROR(__xludf.DUMMYFUNCTION("""COMPUTED_VALUE"""),"Houston")</f>
        <v>Houston</v>
      </c>
      <c r="Q3037" s="8" t="str">
        <f ca="1">IFERROR(__xludf.DUMMYFUNCTION("""COMPUTED_VALUE"""),"TX")</f>
        <v>TX</v>
      </c>
      <c r="R3037" s="8" t="str">
        <f ca="1">IFERROR(__xludf.DUMMYFUNCTION("""COMPUTED_VALUE"""),"High")</f>
        <v>High</v>
      </c>
      <c r="S3037" s="8" t="str">
        <f ca="1">IFERROR(__xludf.DUMMYFUNCTION("""COMPUTED_VALUE"""),"Courtyard")</f>
        <v>Courtyard</v>
      </c>
      <c r="T3037" s="8" t="str">
        <f ca="1">IFERROR(__xludf.DUMMYFUNCTION("""COMPUTED_VALUE"""),"Outside on School Property")</f>
        <v>Outside on School Property</v>
      </c>
      <c r="U3037" s="8" t="str">
        <f ca="1">IFERROR(__xludf.DUMMYFUNCTION("""COMPUTED_VALUE"""),"Yes")</f>
        <v>Yes</v>
      </c>
      <c r="V3037" s="8" t="str">
        <f ca="1">IFERROR(__xludf.DUMMYFUNCTION("""COMPUTED_VALUE"""),"Afternoon Classes")</f>
        <v>Afternoon Classes</v>
      </c>
      <c r="W3037" s="8"/>
      <c r="X3037" s="8">
        <f ca="1">IFERROR(__xludf.DUMMYFUNCTION("""COMPUTED_VALUE"""),1)</f>
        <v>1</v>
      </c>
      <c r="Y3037" s="12" t="str">
        <f ca="1">IFERROR(__xludf.DUMMYFUNCTION("""COMPUTED_VALUE"""),"Argument escalated into shooting")</f>
        <v>Argument escalated into shooting</v>
      </c>
      <c r="Z3037" s="12" t="str">
        <f ca="1">IFERROR(__xludf.DUMMYFUNCTION("""COMPUTED_VALUE"""),"Shots fired during fight in school patio area with approximately 100 other students in the area. 2 students injured.")</f>
        <v>Shots fired during fight in school patio area with approximately 100 other students in the area. 2 students injured.</v>
      </c>
      <c r="AA3037" s="8" t="str">
        <f ca="1">IFERROR(__xludf.DUMMYFUNCTION("""COMPUTED_VALUE"""),"Escalation of Dispute")</f>
        <v>Escalation of Dispute</v>
      </c>
      <c r="AB3037" s="8"/>
      <c r="AC3037" s="8"/>
      <c r="AD3037" s="8"/>
      <c r="AE3037" s="8" t="str">
        <f ca="1">IFERROR(__xludf.DUMMYFUNCTION("""COMPUTED_VALUE"""),"No")</f>
        <v>No</v>
      </c>
      <c r="AF3037" s="8"/>
      <c r="AG3037" s="8" t="str">
        <f ca="1">IFERROR(__xludf.DUMMYFUNCTION("""COMPUTED_VALUE"""),"No")</f>
        <v>No</v>
      </c>
      <c r="AH3037" s="8" t="str">
        <f ca="1">IFERROR(__xludf.DUMMYFUNCTION("""COMPUTED_VALUE"""),"No")</f>
        <v>No</v>
      </c>
      <c r="AI3037" s="8" t="str">
        <f ca="1">IFERROR(__xludf.DUMMYFUNCTION("""COMPUTED_VALUE"""),"No")</f>
        <v>No</v>
      </c>
      <c r="AJ3037" s="8" t="str">
        <f ca="1">IFERROR(__xludf.DUMMYFUNCTION("""COMPUTED_VALUE"""),"No")</f>
        <v>No</v>
      </c>
      <c r="AK3037" s="8" t="str">
        <f ca="1">IFERROR(__xludf.DUMMYFUNCTION("""COMPUTED_VALUE"""),"No")</f>
        <v>No</v>
      </c>
      <c r="AL3037" s="8" t="str">
        <f ca="1">IFERROR(__xludf.DUMMYFUNCTION("""COMPUTED_VALUE"""),"No")</f>
        <v>No</v>
      </c>
      <c r="AM3037" s="8"/>
      <c r="AN3037" s="8"/>
      <c r="AO3037" s="8" t="str">
        <f ca="1">IFERROR(__xludf.DUMMYFUNCTION("""COMPUTED_VALUE"""),"No")</f>
        <v>No</v>
      </c>
      <c r="AP3037" s="8"/>
      <c r="AQ3037" s="8" t="str">
        <f ca="1">IFERROR(__xludf.DUMMYFUNCTION("""COMPUTED_VALUE"""),"Unknown")</f>
        <v>Unknown</v>
      </c>
      <c r="AR3037" s="8" t="str">
        <f ca="1">IFERROR(__xludf.DUMMYFUNCTION("""COMPUTED_VALUE"""),"NA")</f>
        <v>NA</v>
      </c>
      <c r="AS3037" s="8"/>
      <c r="AT3037" s="8"/>
      <c r="AU3037" s="8">
        <f ca="1">IFERROR(__xludf.DUMMYFUNCTION("""COMPUTED_VALUE"""),29.674294)</f>
        <v>29.674294</v>
      </c>
      <c r="AV3037" s="8">
        <f ca="1">IFERROR(__xludf.DUMMYFUNCTION("""COMPUTED_VALUE"""),-95.340297)</f>
        <v>-95.340297000000007</v>
      </c>
      <c r="AW3037" s="8"/>
      <c r="AX3037" s="8">
        <f ca="1">IFERROR(__xludf.DUMMYFUNCTION("""COMPUTED_VALUE"""),77033)</f>
        <v>77033</v>
      </c>
    </row>
    <row r="3038" spans="1:50" ht="90" x14ac:dyDescent="0.2">
      <c r="A3038" s="8" t="str">
        <f ca="1">IFERROR(__xludf.DUMMYFUNCTION("""COMPUTED_VALUE"""),"19750224NJSTP")</f>
        <v>19750224NJSTP</v>
      </c>
      <c r="B3038" s="8">
        <f ca="1">IFERROR(__xludf.DUMMYFUNCTION("""COMPUTED_VALUE"""),2)</f>
        <v>2</v>
      </c>
      <c r="C3038" s="8">
        <f ca="1">IFERROR(__xludf.DUMMYFUNCTION("""COMPUTED_VALUE"""),24)</f>
        <v>24</v>
      </c>
      <c r="D3038" s="8">
        <f ca="1">IFERROR(__xludf.DUMMYFUNCTION("""COMPUTED_VALUE"""),1975)</f>
        <v>1975</v>
      </c>
      <c r="E3038" s="9">
        <f ca="1">IFERROR(__xludf.DUMMYFUNCTION("""COMPUTED_VALUE"""),27449)</f>
        <v>27449</v>
      </c>
      <c r="F3038" s="8" t="str">
        <f ca="1">IFERROR(__xludf.DUMMYFUNCTION("""COMPUTED_VALUE"""),"St. James School")</f>
        <v>St. James School</v>
      </c>
      <c r="G3038" s="8">
        <f ca="1">IFERROR(__xludf.DUMMYFUNCTION("""COMPUTED_VALUE"""),1)</f>
        <v>1</v>
      </c>
      <c r="H3038" s="8">
        <f ca="1">IFERROR(__xludf.DUMMYFUNCTION("""COMPUTED_VALUE"""),1)</f>
        <v>1</v>
      </c>
      <c r="I3038" s="8">
        <f ca="1">IFERROR(__xludf.DUMMYFUNCTION("""COMPUTED_VALUE"""),2)</f>
        <v>2</v>
      </c>
      <c r="J3038" s="8">
        <f ca="1">IFERROR(__xludf.DUMMYFUNCTION("""COMPUTED_VALUE"""),0)</f>
        <v>0</v>
      </c>
      <c r="K3038" s="8" t="str">
        <f ca="1">IFERROR(__xludf.DUMMYFUNCTION("""COMPUTED_VALUE"""),"https://www.newspapers.com/image/184959976/?terms=school%2Bshooting https://www.nytimes.com/1975/02/26/archives/motive-is-a-mystery-in-shooting-of-teacher-and-priest.html")</f>
        <v>https://www.newspapers.com/image/184959976/?terms=school%2Bshooting https://www.nytimes.com/1975/02/26/archives/motive-is-a-mystery-in-shooting-of-teacher-and-priest.html</v>
      </c>
      <c r="L3038" s="8"/>
      <c r="M3038" s="8"/>
      <c r="N3038" s="8">
        <f ca="1">IFERROR(__xludf.DUMMYFUNCTION("""COMPUTED_VALUE"""),3)</f>
        <v>3</v>
      </c>
      <c r="O3038" s="8" t="str">
        <f ca="1">IFERROR(__xludf.DUMMYFUNCTION("""COMPUTED_VALUE"""),"Winter")</f>
        <v>Winter</v>
      </c>
      <c r="P3038" s="8" t="str">
        <f ca="1">IFERROR(__xludf.DUMMYFUNCTION("""COMPUTED_VALUE"""),"Penns Grove")</f>
        <v>Penns Grove</v>
      </c>
      <c r="Q3038" s="8" t="str">
        <f ca="1">IFERROR(__xludf.DUMMYFUNCTION("""COMPUTED_VALUE"""),"NJ")</f>
        <v>NJ</v>
      </c>
      <c r="R3038" s="8" t="str">
        <f ca="1">IFERROR(__xludf.DUMMYFUNCTION("""COMPUTED_VALUE"""),"K-8")</f>
        <v>K-8</v>
      </c>
      <c r="S3038" s="8" t="str">
        <f ca="1">IFERROR(__xludf.DUMMYFUNCTION("""COMPUTED_VALUE"""),"Classroom")</f>
        <v>Classroom</v>
      </c>
      <c r="T3038" s="8" t="str">
        <f ca="1">IFERROR(__xludf.DUMMYFUNCTION("""COMPUTED_VALUE"""),"Inside School Building")</f>
        <v>Inside School Building</v>
      </c>
      <c r="U3038" s="8" t="str">
        <f ca="1">IFERROR(__xludf.DUMMYFUNCTION("""COMPUTED_VALUE"""),"Yes")</f>
        <v>Yes</v>
      </c>
      <c r="V3038" s="8" t="str">
        <f ca="1">IFERROR(__xludf.DUMMYFUNCTION("""COMPUTED_VALUE"""),"Morning Classes")</f>
        <v>Morning Classes</v>
      </c>
      <c r="W3038" s="8"/>
      <c r="X3038" s="8">
        <f ca="1">IFERROR(__xludf.DUMMYFUNCTION("""COMPUTED_VALUE"""),1)</f>
        <v>1</v>
      </c>
      <c r="Y3038" s="12" t="str">
        <f ca="1">IFERROR(__xludf.DUMMYFUNCTION("""COMPUTED_VALUE"""),"Voices told him to kill her, thought priest was controlling him")</f>
        <v>Voices told him to kill her, thought priest was controlling him</v>
      </c>
      <c r="Z3038" s="12" t="str">
        <f ca="1">IFERROR(__xludf.DUMMYFUNCTION("""COMPUTED_VALUE"""),"A 38 year-old male (Rev. Thomas Quinlan, killed) and 25 year-old female teacher (Kathleen Quinlan, injured) when the shooter fired at both of them in front of class of 2nd graders. Shooter was hearing voices and thought he was under mind control. Two psyc"&amp;"hiatrists evaluated him and said he was severely mentally ill and dangerous.")</f>
        <v>A 38 year-old male (Rev. Thomas Quinlan, killed) and 25 year-old female teacher (Kathleen Quinlan, injured) when the shooter fired at both of them in front of class of 2nd graders. Shooter was hearing voices and thought he was under mind control. Two psychiatrists evaluated him and said he was severely mentally ill and dangerous.</v>
      </c>
      <c r="AA3038" s="8" t="str">
        <f ca="1">IFERROR(__xludf.DUMMYFUNCTION("""COMPUTED_VALUE"""),"Psychosis")</f>
        <v>Psychosis</v>
      </c>
      <c r="AB3038" s="8"/>
      <c r="AC3038" s="8" t="str">
        <f ca="1">IFERROR(__xludf.DUMMYFUNCTION("""COMPUTED_VALUE"""),"Yes")</f>
        <v>Yes</v>
      </c>
      <c r="AD3038" s="8" t="str">
        <f ca="1">IFERROR(__xludf.DUMMYFUNCTION("""COMPUTED_VALUE"""),"Both")</f>
        <v>Both</v>
      </c>
      <c r="AE3038" s="8" t="str">
        <f ca="1">IFERROR(__xludf.DUMMYFUNCTION("""COMPUTED_VALUE"""),"No")</f>
        <v>No</v>
      </c>
      <c r="AF3038" s="8"/>
      <c r="AG3038" s="8" t="str">
        <f ca="1">IFERROR(__xludf.DUMMYFUNCTION("""COMPUTED_VALUE"""),"No")</f>
        <v>No</v>
      </c>
      <c r="AH3038" s="8" t="str">
        <f ca="1">IFERROR(__xludf.DUMMYFUNCTION("""COMPUTED_VALUE"""),"No")</f>
        <v>No</v>
      </c>
      <c r="AI3038" s="8" t="str">
        <f ca="1">IFERROR(__xludf.DUMMYFUNCTION("""COMPUTED_VALUE"""),"No")</f>
        <v>No</v>
      </c>
      <c r="AJ3038" s="8" t="str">
        <f ca="1">IFERROR(__xludf.DUMMYFUNCTION("""COMPUTED_VALUE"""),"No")</f>
        <v>No</v>
      </c>
      <c r="AK3038" s="8" t="str">
        <f ca="1">IFERROR(__xludf.DUMMYFUNCTION("""COMPUTED_VALUE"""),"No")</f>
        <v>No</v>
      </c>
      <c r="AL3038" s="8" t="str">
        <f ca="1">IFERROR(__xludf.DUMMYFUNCTION("""COMPUTED_VALUE"""),"No")</f>
        <v>No</v>
      </c>
      <c r="AM3038" s="8" t="str">
        <f ca="1">IFERROR(__xludf.DUMMYFUNCTION("""COMPUTED_VALUE"""),"Yes")</f>
        <v>Yes</v>
      </c>
      <c r="AN3038" s="8" t="str">
        <f ca="1">IFERROR(__xludf.DUMMYFUNCTION("""COMPUTED_VALUE"""),"Single Room")</f>
        <v>Single Room</v>
      </c>
      <c r="AO3038" s="8" t="str">
        <f ca="1">IFERROR(__xludf.DUMMYFUNCTION("""COMPUTED_VALUE"""),"Yes")</f>
        <v>Yes</v>
      </c>
      <c r="AP3038" s="8" t="str">
        <f ca="1">IFERROR(__xludf.DUMMYFUNCTION("""COMPUTED_VALUE"""),"No")</f>
        <v>No</v>
      </c>
      <c r="AQ3038" s="8" t="str">
        <f ca="1">IFERROR(__xludf.DUMMYFUNCTION("""COMPUTED_VALUE"""),"None")</f>
        <v>None</v>
      </c>
      <c r="AR3038" s="8" t="str">
        <f ca="1">IFERROR(__xludf.DUMMYFUNCTION("""COMPUTED_VALUE"""),"NA")</f>
        <v>NA</v>
      </c>
      <c r="AS3038" s="8">
        <f ca="1">IFERROR(__xludf.DUMMYFUNCTION("""COMPUTED_VALUE"""),1)</f>
        <v>1</v>
      </c>
      <c r="AT3038" s="8"/>
      <c r="AU3038" s="8">
        <f ca="1">IFERROR(__xludf.DUMMYFUNCTION("""COMPUTED_VALUE"""),39.710438)</f>
        <v>39.710438000000003</v>
      </c>
      <c r="AV3038" s="8">
        <f ca="1">IFERROR(__xludf.DUMMYFUNCTION("""COMPUTED_VALUE"""),-75.464274)</f>
        <v>-75.464274000000003</v>
      </c>
      <c r="AW3038" s="8"/>
      <c r="AX3038" s="8">
        <f ca="1">IFERROR(__xludf.DUMMYFUNCTION("""COMPUTED_VALUE"""),8069)</f>
        <v>8069</v>
      </c>
    </row>
    <row r="3039" spans="1:50" ht="90" x14ac:dyDescent="0.2">
      <c r="A3039" s="8" t="str">
        <f ca="1">IFERROR(__xludf.DUMMYFUNCTION("""COMPUTED_VALUE"""),"19750207NYBOM")</f>
        <v>19750207NYBOM</v>
      </c>
      <c r="B3039" s="8">
        <f ca="1">IFERROR(__xludf.DUMMYFUNCTION("""COMPUTED_VALUE"""),2)</f>
        <v>2</v>
      </c>
      <c r="C3039" s="8">
        <f ca="1">IFERROR(__xludf.DUMMYFUNCTION("""COMPUTED_VALUE"""),7)</f>
        <v>7</v>
      </c>
      <c r="D3039" s="8">
        <f ca="1">IFERROR(__xludf.DUMMYFUNCTION("""COMPUTED_VALUE"""),1975)</f>
        <v>1975</v>
      </c>
      <c r="E3039" s="9">
        <f ca="1">IFERROR(__xludf.DUMMYFUNCTION("""COMPUTED_VALUE"""),27432)</f>
        <v>27432</v>
      </c>
      <c r="F3039" s="8" t="str">
        <f ca="1">IFERROR(__xludf.DUMMYFUNCTION("""COMPUTED_VALUE"""),"Board of Cooperative Educational Services")</f>
        <v>Board of Cooperative Educational Services</v>
      </c>
      <c r="G3039" s="8">
        <f ca="1">IFERROR(__xludf.DUMMYFUNCTION("""COMPUTED_VALUE"""),0)</f>
        <v>0</v>
      </c>
      <c r="H3039" s="8">
        <f ca="1">IFERROR(__xludf.DUMMYFUNCTION("""COMPUTED_VALUE"""),0)</f>
        <v>0</v>
      </c>
      <c r="I3039" s="8">
        <f ca="1">IFERROR(__xludf.DUMMYFUNCTION("""COMPUTED_VALUE"""),0)</f>
        <v>0</v>
      </c>
      <c r="J3039" s="8">
        <f ca="1">IFERROR(__xludf.DUMMYFUNCTION("""COMPUTED_VALUE"""),0)</f>
        <v>0</v>
      </c>
      <c r="K3039" s="10" t="str">
        <f ca="1">IFERROR(__xludf.DUMMYFUNCTION("""COMPUTED_VALUE"""),"https://www.newspapers.com/image/431914265/?terms=william%2Bgund")</f>
        <v>https://www.newspapers.com/image/431914265/?terms=william%2Bgund</v>
      </c>
      <c r="L3039" s="8"/>
      <c r="M3039" s="8"/>
      <c r="N3039" s="8">
        <f ca="1">IFERROR(__xludf.DUMMYFUNCTION("""COMPUTED_VALUE"""),2)</f>
        <v>2</v>
      </c>
      <c r="O3039" s="8" t="str">
        <f ca="1">IFERROR(__xludf.DUMMYFUNCTION("""COMPUTED_VALUE"""),"Winter")</f>
        <v>Winter</v>
      </c>
      <c r="P3039" s="8" t="str">
        <f ca="1">IFERROR(__xludf.DUMMYFUNCTION("""COMPUTED_VALUE"""),"Mineola")</f>
        <v>Mineola</v>
      </c>
      <c r="Q3039" s="8" t="str">
        <f ca="1">IFERROR(__xludf.DUMMYFUNCTION("""COMPUTED_VALUE"""),"NY")</f>
        <v>NY</v>
      </c>
      <c r="R3039" s="8" t="str">
        <f ca="1">IFERROR(__xludf.DUMMYFUNCTION("""COMPUTED_VALUE"""),"Other")</f>
        <v>Other</v>
      </c>
      <c r="S3039" s="8" t="str">
        <f ca="1">IFERROR(__xludf.DUMMYFUNCTION("""COMPUTED_VALUE"""),"Inside School Building")</f>
        <v>Inside School Building</v>
      </c>
      <c r="T3039" s="8" t="str">
        <f ca="1">IFERROR(__xludf.DUMMYFUNCTION("""COMPUTED_VALUE"""),"Inside School Building")</f>
        <v>Inside School Building</v>
      </c>
      <c r="U3039" s="8" t="str">
        <f ca="1">IFERROR(__xludf.DUMMYFUNCTION("""COMPUTED_VALUE"""),"Yes")</f>
        <v>Yes</v>
      </c>
      <c r="V3039" s="8" t="str">
        <f ca="1">IFERROR(__xludf.DUMMYFUNCTION("""COMPUTED_VALUE"""),"Afternoon Classes")</f>
        <v>Afternoon Classes</v>
      </c>
      <c r="W3039" s="8"/>
      <c r="X3039" s="8">
        <f ca="1">IFERROR(__xludf.DUMMYFUNCTION("""COMPUTED_VALUE"""),1)</f>
        <v>1</v>
      </c>
      <c r="Y3039" s="12" t="str">
        <f ca="1">IFERROR(__xludf.DUMMYFUNCTION("""COMPUTED_VALUE"""),"Shooter shot himself after being confronted by counselor regarding his latenesses/ absentees")</f>
        <v>Shooter shot himself after being confronted by counselor regarding his latenesses/ absentees</v>
      </c>
      <c r="Z3039" s="12" t="str">
        <f ca="1">IFERROR(__xludf.DUMMYFUNCTION("""COMPUTED_VALUE"""),"Shooter shoots self in head at school after being told by counselor about his absentees and latenesses.")</f>
        <v>Shooter shoots self in head at school after being told by counselor about his absentees and latenesses.</v>
      </c>
      <c r="AA3039" s="8" t="str">
        <f ca="1">IFERROR(__xludf.DUMMYFUNCTION("""COMPUTED_VALUE"""),"Suicide/Attempted")</f>
        <v>Suicide/Attempted</v>
      </c>
      <c r="AB3039" s="8"/>
      <c r="AC3039" s="8"/>
      <c r="AD3039" s="8" t="str">
        <f ca="1">IFERROR(__xludf.DUMMYFUNCTION("""COMPUTED_VALUE"""),"Victims Targeted")</f>
        <v>Victims Targeted</v>
      </c>
      <c r="AE3039" s="8" t="str">
        <f ca="1">IFERROR(__xludf.DUMMYFUNCTION("""COMPUTED_VALUE"""),"No")</f>
        <v>No</v>
      </c>
      <c r="AF3039" s="8"/>
      <c r="AG3039" s="8" t="str">
        <f ca="1">IFERROR(__xludf.DUMMYFUNCTION("""COMPUTED_VALUE"""),"No")</f>
        <v>No</v>
      </c>
      <c r="AH3039" s="8" t="str">
        <f ca="1">IFERROR(__xludf.DUMMYFUNCTION("""COMPUTED_VALUE"""),"No")</f>
        <v>No</v>
      </c>
      <c r="AI3039" s="8" t="str">
        <f ca="1">IFERROR(__xludf.DUMMYFUNCTION("""COMPUTED_VALUE"""),"No")</f>
        <v>No</v>
      </c>
      <c r="AJ3039" s="8" t="str">
        <f ca="1">IFERROR(__xludf.DUMMYFUNCTION("""COMPUTED_VALUE"""),"No")</f>
        <v>No</v>
      </c>
      <c r="AK3039" s="8" t="str">
        <f ca="1">IFERROR(__xludf.DUMMYFUNCTION("""COMPUTED_VALUE"""),"No")</f>
        <v>No</v>
      </c>
      <c r="AL3039" s="8" t="str">
        <f ca="1">IFERROR(__xludf.DUMMYFUNCTION("""COMPUTED_VALUE"""),"No")</f>
        <v>No</v>
      </c>
      <c r="AM3039" s="8"/>
      <c r="AN3039" s="8"/>
      <c r="AO3039" s="8" t="str">
        <f ca="1">IFERROR(__xludf.DUMMYFUNCTION("""COMPUTED_VALUE"""),"No")</f>
        <v>No</v>
      </c>
      <c r="AP3039" s="8"/>
      <c r="AQ3039" s="8" t="str">
        <f ca="1">IFERROR(__xludf.DUMMYFUNCTION("""COMPUTED_VALUE"""),"Unknown")</f>
        <v>Unknown</v>
      </c>
      <c r="AR3039" s="8" t="str">
        <f ca="1">IFERROR(__xludf.DUMMYFUNCTION("""COMPUTED_VALUE"""),"NA")</f>
        <v>NA</v>
      </c>
      <c r="AS3039" s="8">
        <f ca="1">IFERROR(__xludf.DUMMYFUNCTION("""COMPUTED_VALUE"""),1)</f>
        <v>1</v>
      </c>
      <c r="AT3039" s="8"/>
      <c r="AU3039" s="8">
        <f ca="1">IFERROR(__xludf.DUMMYFUNCTION("""COMPUTED_VALUE"""),40.747189)</f>
        <v>40.747188999999999</v>
      </c>
      <c r="AV3039" s="8">
        <f ca="1">IFERROR(__xludf.DUMMYFUNCTION("""COMPUTED_VALUE"""),-73.638741)</f>
        <v>-73.638740999999996</v>
      </c>
      <c r="AW3039" s="8"/>
      <c r="AX3039" s="8">
        <f ca="1">IFERROR(__xludf.DUMMYFUNCTION("""COMPUTED_VALUE"""),11501)</f>
        <v>11501</v>
      </c>
    </row>
    <row r="3040" spans="1:50" ht="135" x14ac:dyDescent="0.2">
      <c r="A3040" s="8" t="str">
        <f ca="1">IFERROR(__xludf.DUMMYFUNCTION("""COMPUTED_VALUE"""),"19741230NYOLO")</f>
        <v>19741230NYOLO</v>
      </c>
      <c r="B3040" s="8">
        <f ca="1">IFERROR(__xludf.DUMMYFUNCTION("""COMPUTED_VALUE"""),12)</f>
        <v>12</v>
      </c>
      <c r="C3040" s="8">
        <f ca="1">IFERROR(__xludf.DUMMYFUNCTION("""COMPUTED_VALUE"""),30)</f>
        <v>30</v>
      </c>
      <c r="D3040" s="8">
        <f ca="1">IFERROR(__xludf.DUMMYFUNCTION("""COMPUTED_VALUE"""),1974)</f>
        <v>1974</v>
      </c>
      <c r="E3040" s="9">
        <f ca="1">IFERROR(__xludf.DUMMYFUNCTION("""COMPUTED_VALUE"""),27393)</f>
        <v>27393</v>
      </c>
      <c r="F3040" s="8" t="str">
        <f ca="1">IFERROR(__xludf.DUMMYFUNCTION("""COMPUTED_VALUE"""),"Olean High School")</f>
        <v>Olean High School</v>
      </c>
      <c r="G3040" s="8">
        <f ca="1">IFERROR(__xludf.DUMMYFUNCTION("""COMPUTED_VALUE"""),3)</f>
        <v>3</v>
      </c>
      <c r="H3040" s="8">
        <f ca="1">IFERROR(__xludf.DUMMYFUNCTION("""COMPUTED_VALUE"""),7)</f>
        <v>7</v>
      </c>
      <c r="I3040" s="8">
        <f ca="1">IFERROR(__xludf.DUMMYFUNCTION("""COMPUTED_VALUE"""),10)</f>
        <v>10</v>
      </c>
      <c r="J3040" s="8">
        <f ca="1">IFERROR(__xludf.DUMMYFUNCTION("""COMPUTED_VALUE"""),0)</f>
        <v>0</v>
      </c>
      <c r="K3040" s="8" t="str">
        <f ca="1">IFERROR(__xludf.DUMMYFUNCTION("""COMPUTED_VALUE"""),"https://www.nytimes.com/1974/12/31/archives/3-killed-and-9-wounded-by-an-upstate-sniper-18-3-killed-and-9.html https://www.newspapers.com/image/255169003/?terms=school%2Bshooting")</f>
        <v>https://www.nytimes.com/1974/12/31/archives/3-killed-and-9-wounded-by-an-upstate-sniper-18-3-killed-and-9.html https://www.newspapers.com/image/255169003/?terms=school%2Bshooting</v>
      </c>
      <c r="L3040" s="8"/>
      <c r="M3040" s="8"/>
      <c r="N3040" s="8">
        <f ca="1">IFERROR(__xludf.DUMMYFUNCTION("""COMPUTED_VALUE"""),3)</f>
        <v>3</v>
      </c>
      <c r="O3040" s="8" t="str">
        <f ca="1">IFERROR(__xludf.DUMMYFUNCTION("""COMPUTED_VALUE"""),"Winter")</f>
        <v>Winter</v>
      </c>
      <c r="P3040" s="8" t="str">
        <f ca="1">IFERROR(__xludf.DUMMYFUNCTION("""COMPUTED_VALUE"""),"Olean")</f>
        <v>Olean</v>
      </c>
      <c r="Q3040" s="8" t="str">
        <f ca="1">IFERROR(__xludf.DUMMYFUNCTION("""COMPUTED_VALUE"""),"NY")</f>
        <v>NY</v>
      </c>
      <c r="R3040" s="8" t="str">
        <f ca="1">IFERROR(__xludf.DUMMYFUNCTION("""COMPUTED_VALUE"""),"High")</f>
        <v>High</v>
      </c>
      <c r="S3040" s="8" t="str">
        <f ca="1">IFERROR(__xludf.DUMMYFUNCTION("""COMPUTED_VALUE"""),"Classroom")</f>
        <v>Classroom</v>
      </c>
      <c r="T3040" s="8" t="str">
        <f ca="1">IFERROR(__xludf.DUMMYFUNCTION("""COMPUTED_VALUE"""),"Inside School Building")</f>
        <v>Inside School Building</v>
      </c>
      <c r="U3040" s="8" t="str">
        <f ca="1">IFERROR(__xludf.DUMMYFUNCTION("""COMPUTED_VALUE"""),"No")</f>
        <v>No</v>
      </c>
      <c r="V3040" s="8" t="str">
        <f ca="1">IFERROR(__xludf.DUMMYFUNCTION("""COMPUTED_VALUE"""),"After School")</f>
        <v>After School</v>
      </c>
      <c r="W3040" s="11">
        <f ca="1">IFERROR(__xludf.DUMMYFUNCTION("""COMPUTED_VALUE"""),0.625)</f>
        <v>0.625</v>
      </c>
      <c r="X3040" s="8">
        <f ca="1">IFERROR(__xludf.DUMMYFUNCTION("""COMPUTED_VALUE"""),150)</f>
        <v>150</v>
      </c>
      <c r="Y3040" s="12" t="str">
        <f ca="1">IFERROR(__xludf.DUMMYFUNCTION("""COMPUTED_VALUE"""),"Sniper attack from school building by trophy rifle team member/Regent's scholar")</f>
        <v>Sniper attack from school building by trophy rifle team member/Regent's scholar</v>
      </c>
      <c r="Z3040" s="12" t="str">
        <f ca="1">IFERROR(__xludf.DUMMYFUNCTION("""COMPUTED_VALUE"""),"Champion rifle team member and honor student began firing at random targets in the street outside the school from the 3rd and 4th floor windows. Killed a janitor in the school during the shooting. 2.5 hour standoff and National Guard was called to respond"&amp;". Filled the school with tear gas. Shooter threw the guns out of the window before being detained. No prior warning. Shooter had a detailed plan found in a diary. Had multiple weapons: .30-60 rifle;12g shotgun.")</f>
        <v>Champion rifle team member and honor student began firing at random targets in the street outside the school from the 3rd and 4th floor windows. Killed a janitor in the school during the shooting. 2.5 hour standoff and National Guard was called to respond. Filled the school with tear gas. Shooter threw the guns out of the window before being detained. No prior warning. Shooter had a detailed plan found in a diary. Had multiple weapons: .30-60 rifle;12g shotgun.</v>
      </c>
      <c r="AA3040" s="8" t="str">
        <f ca="1">IFERROR(__xludf.DUMMYFUNCTION("""COMPUTED_VALUE"""),"Indiscriminate Shooting")</f>
        <v>Indiscriminate Shooting</v>
      </c>
      <c r="AB3040" s="8"/>
      <c r="AC3040" s="8"/>
      <c r="AD3040" s="8" t="str">
        <f ca="1">IFERROR(__xludf.DUMMYFUNCTION("""COMPUTED_VALUE"""),"Random Shooting")</f>
        <v>Random Shooting</v>
      </c>
      <c r="AE3040" s="8" t="str">
        <f ca="1">IFERROR(__xludf.DUMMYFUNCTION("""COMPUTED_VALUE"""),"No")</f>
        <v>No</v>
      </c>
      <c r="AF3040" s="8"/>
      <c r="AG3040" s="8" t="str">
        <f ca="1">IFERROR(__xludf.DUMMYFUNCTION("""COMPUTED_VALUE"""),"No")</f>
        <v>No</v>
      </c>
      <c r="AH3040" s="8" t="str">
        <f ca="1">IFERROR(__xludf.DUMMYFUNCTION("""COMPUTED_VALUE"""),"Yes")</f>
        <v>Yes</v>
      </c>
      <c r="AI3040" s="8" t="str">
        <f ca="1">IFERROR(__xludf.DUMMYFUNCTION("""COMPUTED_VALUE"""),"No")</f>
        <v>No</v>
      </c>
      <c r="AJ3040" s="8" t="str">
        <f ca="1">IFERROR(__xludf.DUMMYFUNCTION("""COMPUTED_VALUE"""),"No")</f>
        <v>No</v>
      </c>
      <c r="AK3040" s="8" t="str">
        <f ca="1">IFERROR(__xludf.DUMMYFUNCTION("""COMPUTED_VALUE"""),"No")</f>
        <v>No</v>
      </c>
      <c r="AL3040" s="8" t="str">
        <f ca="1">IFERROR(__xludf.DUMMYFUNCTION("""COMPUTED_VALUE"""),"No")</f>
        <v>No</v>
      </c>
      <c r="AM3040" s="8" t="str">
        <f ca="1">IFERROR(__xludf.DUMMYFUNCTION("""COMPUTED_VALUE"""),"Yes")</f>
        <v>Yes</v>
      </c>
      <c r="AN3040" s="8" t="str">
        <f ca="1">IFERROR(__xludf.DUMMYFUNCTION("""COMPUTED_VALUE"""),"Single Room")</f>
        <v>Single Room</v>
      </c>
      <c r="AO3040" s="8" t="str">
        <f ca="1">IFERROR(__xludf.DUMMYFUNCTION("""COMPUTED_VALUE"""),"Yes")</f>
        <v>Yes</v>
      </c>
      <c r="AP3040" s="8" t="str">
        <f ca="1">IFERROR(__xludf.DUMMYFUNCTION("""COMPUTED_VALUE"""),"No")</f>
        <v>No</v>
      </c>
      <c r="AQ3040" s="8" t="str">
        <f ca="1">IFERROR(__xludf.DUMMYFUNCTION("""COMPUTED_VALUE"""),"Unknown")</f>
        <v>Unknown</v>
      </c>
      <c r="AR3040" s="8" t="str">
        <f ca="1">IFERROR(__xludf.DUMMYFUNCTION("""COMPUTED_VALUE"""),"NA")</f>
        <v>NA</v>
      </c>
      <c r="AS3040" s="8">
        <f ca="1">IFERROR(__xludf.DUMMYFUNCTION("""COMPUTED_VALUE"""),50)</f>
        <v>50</v>
      </c>
      <c r="AT3040" s="8"/>
      <c r="AU3040" s="8">
        <f ca="1">IFERROR(__xludf.DUMMYFUNCTION("""COMPUTED_VALUE"""),42.082642)</f>
        <v>42.082642</v>
      </c>
      <c r="AV3040" s="8">
        <f ca="1">IFERROR(__xludf.DUMMYFUNCTION("""COMPUTED_VALUE"""),-78.434876)</f>
        <v>-78.434876000000003</v>
      </c>
      <c r="AW3040" s="8"/>
      <c r="AX3040" s="8">
        <f ca="1">IFERROR(__xludf.DUMMYFUNCTION("""COMPUTED_VALUE"""),14760)</f>
        <v>14760</v>
      </c>
    </row>
    <row r="3041" spans="1:50" ht="30" x14ac:dyDescent="0.2">
      <c r="A3041" s="8" t="str">
        <f ca="1">IFERROR(__xludf.DUMMYFUNCTION("""COMPUTED_VALUE"""),"19741218CAMAL")</f>
        <v>19741218CAMAL</v>
      </c>
      <c r="B3041" s="8">
        <f ca="1">IFERROR(__xludf.DUMMYFUNCTION("""COMPUTED_VALUE"""),12)</f>
        <v>12</v>
      </c>
      <c r="C3041" s="8">
        <f ca="1">IFERROR(__xludf.DUMMYFUNCTION("""COMPUTED_VALUE"""),18)</f>
        <v>18</v>
      </c>
      <c r="D3041" s="8">
        <f ca="1">IFERROR(__xludf.DUMMYFUNCTION("""COMPUTED_VALUE"""),1974)</f>
        <v>1974</v>
      </c>
      <c r="E3041" s="9">
        <f ca="1">IFERROR(__xludf.DUMMYFUNCTION("""COMPUTED_VALUE"""),27381)</f>
        <v>27381</v>
      </c>
      <c r="F3041" s="8" t="str">
        <f ca="1">IFERROR(__xludf.DUMMYFUNCTION("""COMPUTED_VALUE"""),"Manual Arts High School")</f>
        <v>Manual Arts High School</v>
      </c>
      <c r="G3041" s="8">
        <f ca="1">IFERROR(__xludf.DUMMYFUNCTION("""COMPUTED_VALUE"""),1)</f>
        <v>1</v>
      </c>
      <c r="H3041" s="8">
        <f ca="1">IFERROR(__xludf.DUMMYFUNCTION("""COMPUTED_VALUE"""),1)</f>
        <v>1</v>
      </c>
      <c r="I3041" s="8">
        <f ca="1">IFERROR(__xludf.DUMMYFUNCTION("""COMPUTED_VALUE"""),2)</f>
        <v>2</v>
      </c>
      <c r="J3041" s="8">
        <f ca="1">IFERROR(__xludf.DUMMYFUNCTION("""COMPUTED_VALUE"""),0)</f>
        <v>0</v>
      </c>
      <c r="K3041" s="10" t="str">
        <f ca="1">IFERROR(__xludf.DUMMYFUNCTION("""COMPUTED_VALUE"""),"https://www.newspapers.com/image/246204936/?terms=school%2Bshooting")</f>
        <v>https://www.newspapers.com/image/246204936/?terms=school%2Bshooting</v>
      </c>
      <c r="L3041" s="8"/>
      <c r="M3041" s="8"/>
      <c r="N3041" s="8">
        <f ca="1">IFERROR(__xludf.DUMMYFUNCTION("""COMPUTED_VALUE"""),2)</f>
        <v>2</v>
      </c>
      <c r="O3041" s="8" t="str">
        <f ca="1">IFERROR(__xludf.DUMMYFUNCTION("""COMPUTED_VALUE"""),"Winter")</f>
        <v>Winter</v>
      </c>
      <c r="P3041" s="8" t="str">
        <f ca="1">IFERROR(__xludf.DUMMYFUNCTION("""COMPUTED_VALUE"""),"Los Angeles")</f>
        <v>Los Angeles</v>
      </c>
      <c r="Q3041" s="8" t="str">
        <f ca="1">IFERROR(__xludf.DUMMYFUNCTION("""COMPUTED_VALUE"""),"CA")</f>
        <v>CA</v>
      </c>
      <c r="R3041" s="8" t="str">
        <f ca="1">IFERROR(__xludf.DUMMYFUNCTION("""COMPUTED_VALUE"""),"High")</f>
        <v>High</v>
      </c>
      <c r="S3041" s="8" t="str">
        <f ca="1">IFERROR(__xludf.DUMMYFUNCTION("""COMPUTED_VALUE"""),"ND")</f>
        <v>ND</v>
      </c>
      <c r="T3041" s="8" t="str">
        <f ca="1">IFERROR(__xludf.DUMMYFUNCTION("""COMPUTED_VALUE"""),"ND")</f>
        <v>ND</v>
      </c>
      <c r="U3041" s="8" t="str">
        <f ca="1">IFERROR(__xludf.DUMMYFUNCTION("""COMPUTED_VALUE"""),"Yes")</f>
        <v>Yes</v>
      </c>
      <c r="V3041" s="8" t="str">
        <f ca="1">IFERROR(__xludf.DUMMYFUNCTION("""COMPUTED_VALUE"""),"Lunch")</f>
        <v>Lunch</v>
      </c>
      <c r="W3041" s="11">
        <f ca="1">IFERROR(__xludf.DUMMYFUNCTION("""COMPUTED_VALUE"""),0.5)</f>
        <v>0.5</v>
      </c>
      <c r="X3041" s="8">
        <f ca="1">IFERROR(__xludf.DUMMYFUNCTION("""COMPUTED_VALUE"""),1)</f>
        <v>1</v>
      </c>
      <c r="Y3041" s="12" t="str">
        <f ca="1">IFERROR(__xludf.DUMMYFUNCTION("""COMPUTED_VALUE"""),"Retaliation for prior gang shootings")</f>
        <v>Retaliation for prior gang shootings</v>
      </c>
      <c r="Z3041" s="12" t="str">
        <f ca="1">IFERROR(__xludf.DUMMYFUNCTION("""COMPUTED_VALUE"""),"Two gang affiliated teenage students were shot by a rival gang member who had just escaped juvenile hall.")</f>
        <v>Two gang affiliated teenage students were shot by a rival gang member who had just escaped juvenile hall.</v>
      </c>
      <c r="AA3041" s="8" t="str">
        <f ca="1">IFERROR(__xludf.DUMMYFUNCTION("""COMPUTED_VALUE"""),"Escalation of Dispute")</f>
        <v>Escalation of Dispute</v>
      </c>
      <c r="AB3041" s="8"/>
      <c r="AC3041" s="8"/>
      <c r="AD3041" s="8" t="str">
        <f ca="1">IFERROR(__xludf.DUMMYFUNCTION("""COMPUTED_VALUE"""),"Victims Targeted")</f>
        <v>Victims Targeted</v>
      </c>
      <c r="AE3041" s="8" t="str">
        <f ca="1">IFERROR(__xludf.DUMMYFUNCTION("""COMPUTED_VALUE"""),"No")</f>
        <v>No</v>
      </c>
      <c r="AF3041" s="8"/>
      <c r="AG3041" s="8" t="str">
        <f ca="1">IFERROR(__xludf.DUMMYFUNCTION("""COMPUTED_VALUE"""),"No")</f>
        <v>No</v>
      </c>
      <c r="AH3041" s="8" t="str">
        <f ca="1">IFERROR(__xludf.DUMMYFUNCTION("""COMPUTED_VALUE"""),"No")</f>
        <v>No</v>
      </c>
      <c r="AI3041" s="8" t="str">
        <f ca="1">IFERROR(__xludf.DUMMYFUNCTION("""COMPUTED_VALUE"""),"No")</f>
        <v>No</v>
      </c>
      <c r="AJ3041" s="8" t="str">
        <f ca="1">IFERROR(__xludf.DUMMYFUNCTION("""COMPUTED_VALUE"""),"No")</f>
        <v>No</v>
      </c>
      <c r="AK3041" s="8" t="str">
        <f ca="1">IFERROR(__xludf.DUMMYFUNCTION("""COMPUTED_VALUE"""),"No")</f>
        <v>No</v>
      </c>
      <c r="AL3041" s="8" t="str">
        <f ca="1">IFERROR(__xludf.DUMMYFUNCTION("""COMPUTED_VALUE"""),"Yes")</f>
        <v>Yes</v>
      </c>
      <c r="AM3041" s="8"/>
      <c r="AN3041" s="8"/>
      <c r="AO3041" s="8" t="str">
        <f ca="1">IFERROR(__xludf.DUMMYFUNCTION("""COMPUTED_VALUE"""),"No")</f>
        <v>No</v>
      </c>
      <c r="AP3041" s="8"/>
      <c r="AQ3041" s="8" t="str">
        <f ca="1">IFERROR(__xludf.DUMMYFUNCTION("""COMPUTED_VALUE"""),"Unknown")</f>
        <v>Unknown</v>
      </c>
      <c r="AR3041" s="8" t="str">
        <f ca="1">IFERROR(__xludf.DUMMYFUNCTION("""COMPUTED_VALUE"""),"NA")</f>
        <v>NA</v>
      </c>
      <c r="AS3041" s="8"/>
      <c r="AT3041" s="8"/>
      <c r="AU3041" s="8">
        <f ca="1">IFERROR(__xludf.DUMMYFUNCTION("""COMPUTED_VALUE"""),34.007977)</f>
        <v>34.007976999999997</v>
      </c>
      <c r="AV3041" s="8">
        <f ca="1">IFERROR(__xludf.DUMMYFUNCTION("""COMPUTED_VALUE"""),-118.292152)</f>
        <v>-118.292152</v>
      </c>
      <c r="AW3041" s="8"/>
      <c r="AX3041" s="8">
        <f ca="1">IFERROR(__xludf.DUMMYFUNCTION("""COMPUTED_VALUE"""),90037)</f>
        <v>90037</v>
      </c>
    </row>
    <row r="3042" spans="1:50" ht="90" x14ac:dyDescent="0.2">
      <c r="A3042" s="8" t="str">
        <f ca="1">IFERROR(__xludf.DUMMYFUNCTION("""COMPUTED_VALUE"""),"19741125SCCAC")</f>
        <v>19741125SCCAC</v>
      </c>
      <c r="B3042" s="8">
        <f ca="1">IFERROR(__xludf.DUMMYFUNCTION("""COMPUTED_VALUE"""),11)</f>
        <v>11</v>
      </c>
      <c r="C3042" s="8">
        <f ca="1">IFERROR(__xludf.DUMMYFUNCTION("""COMPUTED_VALUE"""),25)</f>
        <v>25</v>
      </c>
      <c r="D3042" s="8">
        <f ca="1">IFERROR(__xludf.DUMMYFUNCTION("""COMPUTED_VALUE"""),1974)</f>
        <v>1974</v>
      </c>
      <c r="E3042" s="9">
        <f ca="1">IFERROR(__xludf.DUMMYFUNCTION("""COMPUTED_VALUE"""),27358)</f>
        <v>27358</v>
      </c>
      <c r="F3042" s="8" t="str">
        <f ca="1">IFERROR(__xludf.DUMMYFUNCTION("""COMPUTED_VALUE"""),"C A Brown High School")</f>
        <v>C A Brown High School</v>
      </c>
      <c r="G3042" s="8">
        <f ca="1">IFERROR(__xludf.DUMMYFUNCTION("""COMPUTED_VALUE"""),0)</f>
        <v>0</v>
      </c>
      <c r="H3042" s="8">
        <f ca="1">IFERROR(__xludf.DUMMYFUNCTION("""COMPUTED_VALUE"""),0)</f>
        <v>0</v>
      </c>
      <c r="I3042" s="8">
        <f ca="1">IFERROR(__xludf.DUMMYFUNCTION("""COMPUTED_VALUE"""),0)</f>
        <v>0</v>
      </c>
      <c r="J3042" s="8">
        <f ca="1">IFERROR(__xludf.DUMMYFUNCTION("""COMPUTED_VALUE"""),0)</f>
        <v>0</v>
      </c>
      <c r="K3042" s="10" t="str">
        <f ca="1">IFERROR(__xludf.DUMMYFUNCTION("""COMPUTED_VALUE"""),"https://www.newspapers.com/image/68536508/?terms=school%2Bshooting")</f>
        <v>https://www.newspapers.com/image/68536508/?terms=school%2Bshooting</v>
      </c>
      <c r="L3042" s="8"/>
      <c r="M3042" s="8"/>
      <c r="N3042" s="8">
        <f ca="1">IFERROR(__xludf.DUMMYFUNCTION("""COMPUTED_VALUE"""),2)</f>
        <v>2</v>
      </c>
      <c r="O3042" s="8" t="str">
        <f ca="1">IFERROR(__xludf.DUMMYFUNCTION("""COMPUTED_VALUE"""),"Fall")</f>
        <v>Fall</v>
      </c>
      <c r="P3042" s="8" t="str">
        <f ca="1">IFERROR(__xludf.DUMMYFUNCTION("""COMPUTED_VALUE"""),"Charleston")</f>
        <v>Charleston</v>
      </c>
      <c r="Q3042" s="8" t="str">
        <f ca="1">IFERROR(__xludf.DUMMYFUNCTION("""COMPUTED_VALUE"""),"SC")</f>
        <v>SC</v>
      </c>
      <c r="R3042" s="8" t="str">
        <f ca="1">IFERROR(__xludf.DUMMYFUNCTION("""COMPUTED_VALUE"""),"High")</f>
        <v>High</v>
      </c>
      <c r="S3042" s="8" t="str">
        <f ca="1">IFERROR(__xludf.DUMMYFUNCTION("""COMPUTED_VALUE"""),"Outside on School Property")</f>
        <v>Outside on School Property</v>
      </c>
      <c r="T3042" s="8" t="str">
        <f ca="1">IFERROR(__xludf.DUMMYFUNCTION("""COMPUTED_VALUE"""),"Outside on School Property")</f>
        <v>Outside on School Property</v>
      </c>
      <c r="U3042" s="8" t="str">
        <f ca="1">IFERROR(__xludf.DUMMYFUNCTION("""COMPUTED_VALUE"""),"No")</f>
        <v>No</v>
      </c>
      <c r="V3042" s="8" t="str">
        <f ca="1">IFERROR(__xludf.DUMMYFUNCTION("""COMPUTED_VALUE"""),"After School")</f>
        <v>After School</v>
      </c>
      <c r="W3042" s="11">
        <f ca="1">IFERROR(__xludf.DUMMYFUNCTION("""COMPUTED_VALUE"""),0.625)</f>
        <v>0.625</v>
      </c>
      <c r="X3042" s="8">
        <f ca="1">IFERROR(__xludf.DUMMYFUNCTION("""COMPUTED_VALUE"""),1)</f>
        <v>1</v>
      </c>
      <c r="Y3042" s="12" t="str">
        <f ca="1">IFERROR(__xludf.DUMMYFUNCTION("""COMPUTED_VALUE"""),"Shots fired at group of student/gang members in retaliation for previous week shooting")</f>
        <v>Shots fired at group of student/gang members in retaliation for previous week shooting</v>
      </c>
      <c r="Z3042" s="12" t="str">
        <f ca="1">IFERROR(__xludf.DUMMYFUNCTION("""COMPUTED_VALUE"""),"2 shooters (students) fired shots fired at group of students in retaliation for shooting the prior week. No injuries.")</f>
        <v>2 shooters (students) fired shots fired at group of students in retaliation for shooting the prior week. No injuries.</v>
      </c>
      <c r="AA3042" s="8" t="str">
        <f ca="1">IFERROR(__xludf.DUMMYFUNCTION("""COMPUTED_VALUE"""),"Escalation of Dispute")</f>
        <v>Escalation of Dispute</v>
      </c>
      <c r="AB3042" s="8"/>
      <c r="AC3042" s="8"/>
      <c r="AD3042" s="8" t="str">
        <f ca="1">IFERROR(__xludf.DUMMYFUNCTION("""COMPUTED_VALUE"""),"Victims Targeted")</f>
        <v>Victims Targeted</v>
      </c>
      <c r="AE3042" s="8" t="str">
        <f ca="1">IFERROR(__xludf.DUMMYFUNCTION("""COMPUTED_VALUE"""),"Yes")</f>
        <v>Yes</v>
      </c>
      <c r="AF3042" s="8" t="str">
        <f ca="1">IFERROR(__xludf.DUMMYFUNCTION("""COMPUTED_VALUE"""),"Two shooters")</f>
        <v>Two shooters</v>
      </c>
      <c r="AG3042" s="8" t="str">
        <f ca="1">IFERROR(__xludf.DUMMYFUNCTION("""COMPUTED_VALUE"""),"No")</f>
        <v>No</v>
      </c>
      <c r="AH3042" s="8" t="str">
        <f ca="1">IFERROR(__xludf.DUMMYFUNCTION("""COMPUTED_VALUE"""),"No")</f>
        <v>No</v>
      </c>
      <c r="AI3042" s="8" t="str">
        <f ca="1">IFERROR(__xludf.DUMMYFUNCTION("""COMPUTED_VALUE"""),"No")</f>
        <v>No</v>
      </c>
      <c r="AJ3042" s="8" t="str">
        <f ca="1">IFERROR(__xludf.DUMMYFUNCTION("""COMPUTED_VALUE"""),"No")</f>
        <v>No</v>
      </c>
      <c r="AK3042" s="8" t="str">
        <f ca="1">IFERROR(__xludf.DUMMYFUNCTION("""COMPUTED_VALUE"""),"No")</f>
        <v>No</v>
      </c>
      <c r="AL3042" s="8" t="str">
        <f ca="1">IFERROR(__xludf.DUMMYFUNCTION("""COMPUTED_VALUE"""),"Yes")</f>
        <v>Yes</v>
      </c>
      <c r="AM3042" s="8"/>
      <c r="AN3042" s="8"/>
      <c r="AO3042" s="8" t="str">
        <f ca="1">IFERROR(__xludf.DUMMYFUNCTION("""COMPUTED_VALUE"""),"No")</f>
        <v>No</v>
      </c>
      <c r="AP3042" s="8"/>
      <c r="AQ3042" s="8" t="str">
        <f ca="1">IFERROR(__xludf.DUMMYFUNCTION("""COMPUTED_VALUE"""),"Unknown")</f>
        <v>Unknown</v>
      </c>
      <c r="AR3042" s="8" t="str">
        <f ca="1">IFERROR(__xludf.DUMMYFUNCTION("""COMPUTED_VALUE"""),"NA")</f>
        <v>NA</v>
      </c>
      <c r="AS3042" s="8">
        <f ca="1">IFERROR(__xludf.DUMMYFUNCTION("""COMPUTED_VALUE"""),6)</f>
        <v>6</v>
      </c>
      <c r="AT3042" s="8"/>
      <c r="AU3042" s="8">
        <f ca="1">IFERROR(__xludf.DUMMYFUNCTION("""COMPUTED_VALUE"""),32.797882)</f>
        <v>32.797882000000001</v>
      </c>
      <c r="AV3042" s="8">
        <f ca="1">IFERROR(__xludf.DUMMYFUNCTION("""COMPUTED_VALUE"""),-79.936328)</f>
        <v>-79.936328000000003</v>
      </c>
      <c r="AW3042" s="8"/>
      <c r="AX3042" s="8">
        <f ca="1">IFERROR(__xludf.DUMMYFUNCTION("""COMPUTED_VALUE"""),29424)</f>
        <v>29424</v>
      </c>
    </row>
    <row r="3043" spans="1:50" ht="60" x14ac:dyDescent="0.2">
      <c r="A3043" s="8" t="str">
        <f ca="1">IFERROR(__xludf.DUMMYFUNCTION("""COMPUTED_VALUE"""),"19741121ARBOL")</f>
        <v>19741121ARBOL</v>
      </c>
      <c r="B3043" s="8">
        <f ca="1">IFERROR(__xludf.DUMMYFUNCTION("""COMPUTED_VALUE"""),11)</f>
        <v>11</v>
      </c>
      <c r="C3043" s="8">
        <f ca="1">IFERROR(__xludf.DUMMYFUNCTION("""COMPUTED_VALUE"""),21)</f>
        <v>21</v>
      </c>
      <c r="D3043" s="8">
        <f ca="1">IFERROR(__xludf.DUMMYFUNCTION("""COMPUTED_VALUE"""),1974)</f>
        <v>1974</v>
      </c>
      <c r="E3043" s="9">
        <f ca="1">IFERROR(__xludf.DUMMYFUNCTION("""COMPUTED_VALUE"""),27354)</f>
        <v>27354</v>
      </c>
      <c r="F3043" s="8" t="str">
        <f ca="1">IFERROR(__xludf.DUMMYFUNCTION("""COMPUTED_VALUE"""),"Booker Junior High School")</f>
        <v>Booker Junior High School</v>
      </c>
      <c r="G3043" s="8">
        <f ca="1">IFERROR(__xludf.DUMMYFUNCTION("""COMPUTED_VALUE"""),1)</f>
        <v>1</v>
      </c>
      <c r="H3043" s="8">
        <f ca="1">IFERROR(__xludf.DUMMYFUNCTION("""COMPUTED_VALUE"""),1)</f>
        <v>1</v>
      </c>
      <c r="I3043" s="8">
        <f ca="1">IFERROR(__xludf.DUMMYFUNCTION("""COMPUTED_VALUE"""),2)</f>
        <v>2</v>
      </c>
      <c r="J3043" s="8">
        <f ca="1">IFERROR(__xludf.DUMMYFUNCTION("""COMPUTED_VALUE"""),0)</f>
        <v>0</v>
      </c>
      <c r="K3043" s="10" t="str">
        <f ca="1">IFERROR(__xludf.DUMMYFUNCTION("""COMPUTED_VALUE"""),"https://www.newspapers.com/image/31485570/?terms=school%2Bshooting")</f>
        <v>https://www.newspapers.com/image/31485570/?terms=school%2Bshooting</v>
      </c>
      <c r="L3043" s="8"/>
      <c r="M3043" s="8"/>
      <c r="N3043" s="8">
        <f ca="1">IFERROR(__xludf.DUMMYFUNCTION("""COMPUTED_VALUE"""),2)</f>
        <v>2</v>
      </c>
      <c r="O3043" s="8" t="str">
        <f ca="1">IFERROR(__xludf.DUMMYFUNCTION("""COMPUTED_VALUE"""),"Fall")</f>
        <v>Fall</v>
      </c>
      <c r="P3043" s="8" t="str">
        <f ca="1">IFERROR(__xludf.DUMMYFUNCTION("""COMPUTED_VALUE"""),"Little Rock")</f>
        <v>Little Rock</v>
      </c>
      <c r="Q3043" s="8" t="str">
        <f ca="1">IFERROR(__xludf.DUMMYFUNCTION("""COMPUTED_VALUE"""),"AR")</f>
        <v>AR</v>
      </c>
      <c r="R3043" s="8" t="str">
        <f ca="1">IFERROR(__xludf.DUMMYFUNCTION("""COMPUTED_VALUE"""),"Junior High")</f>
        <v>Junior High</v>
      </c>
      <c r="S3043" s="8" t="str">
        <f ca="1">IFERROR(__xludf.DUMMYFUNCTION("""COMPUTED_VALUE"""),"Cafeteria")</f>
        <v>Cafeteria</v>
      </c>
      <c r="T3043" s="8" t="str">
        <f ca="1">IFERROR(__xludf.DUMMYFUNCTION("""COMPUTED_VALUE"""),"Inside School Building")</f>
        <v>Inside School Building</v>
      </c>
      <c r="U3043" s="8" t="str">
        <f ca="1">IFERROR(__xludf.DUMMYFUNCTION("""COMPUTED_VALUE"""),"Yes")</f>
        <v>Yes</v>
      </c>
      <c r="V3043" s="8" t="str">
        <f ca="1">IFERROR(__xludf.DUMMYFUNCTION("""COMPUTED_VALUE"""),"Lunch")</f>
        <v>Lunch</v>
      </c>
      <c r="W3043" s="11">
        <f ca="1">IFERROR(__xludf.DUMMYFUNCTION("""COMPUTED_VALUE"""),0.5625)</f>
        <v>0.5625</v>
      </c>
      <c r="X3043" s="8">
        <f ca="1">IFERROR(__xludf.DUMMYFUNCTION("""COMPUTED_VALUE"""),1)</f>
        <v>1</v>
      </c>
      <c r="Y3043" s="12" t="str">
        <f ca="1">IFERROR(__xludf.DUMMYFUNCTION("""COMPUTED_VALUE"""),"Ongoing fight between student, bystander hit")</f>
        <v>Ongoing fight between student, bystander hit</v>
      </c>
      <c r="Z3043" s="12" t="str">
        <f ca="1">IFERROR(__xludf.DUMMYFUNCTION("""COMPUTED_VALUE"""),"Shooter and victim had ongoing fight for multiple days. Fight escalated into shooting in cafeteria. Bystander student was struck. Shooter fled to home and called police to turn himself in.")</f>
        <v>Shooter and victim had ongoing fight for multiple days. Fight escalated into shooting in cafeteria. Bystander student was struck. Shooter fled to home and called police to turn himself in.</v>
      </c>
      <c r="AA3043" s="8" t="str">
        <f ca="1">IFERROR(__xludf.DUMMYFUNCTION("""COMPUTED_VALUE"""),"Escalation of Dispute")</f>
        <v>Escalation of Dispute</v>
      </c>
      <c r="AB3043" s="8"/>
      <c r="AC3043" s="8"/>
      <c r="AD3043" s="8" t="str">
        <f ca="1">IFERROR(__xludf.DUMMYFUNCTION("""COMPUTED_VALUE"""),"Both")</f>
        <v>Both</v>
      </c>
      <c r="AE3043" s="8" t="str">
        <f ca="1">IFERROR(__xludf.DUMMYFUNCTION("""COMPUTED_VALUE"""),"No")</f>
        <v>No</v>
      </c>
      <c r="AF3043" s="8"/>
      <c r="AG3043" s="8" t="str">
        <f ca="1">IFERROR(__xludf.DUMMYFUNCTION("""COMPUTED_VALUE"""),"No")</f>
        <v>No</v>
      </c>
      <c r="AH3043" s="8" t="str">
        <f ca="1">IFERROR(__xludf.DUMMYFUNCTION("""COMPUTED_VALUE"""),"No")</f>
        <v>No</v>
      </c>
      <c r="AI3043" s="8" t="str">
        <f ca="1">IFERROR(__xludf.DUMMYFUNCTION("""COMPUTED_VALUE"""),"No")</f>
        <v>No</v>
      </c>
      <c r="AJ3043" s="8" t="str">
        <f ca="1">IFERROR(__xludf.DUMMYFUNCTION("""COMPUTED_VALUE"""),"No")</f>
        <v>No</v>
      </c>
      <c r="AK3043" s="8" t="str">
        <f ca="1">IFERROR(__xludf.DUMMYFUNCTION("""COMPUTED_VALUE"""),"No")</f>
        <v>No</v>
      </c>
      <c r="AL3043" s="8" t="str">
        <f ca="1">IFERROR(__xludf.DUMMYFUNCTION("""COMPUTED_VALUE"""),"No")</f>
        <v>No</v>
      </c>
      <c r="AM3043" s="8"/>
      <c r="AN3043" s="8"/>
      <c r="AO3043" s="8" t="str">
        <f ca="1">IFERROR(__xludf.DUMMYFUNCTION("""COMPUTED_VALUE"""),"No")</f>
        <v>No</v>
      </c>
      <c r="AP3043" s="8"/>
      <c r="AQ3043" s="8" t="str">
        <f ca="1">IFERROR(__xludf.DUMMYFUNCTION("""COMPUTED_VALUE"""),"Unknown")</f>
        <v>Unknown</v>
      </c>
      <c r="AR3043" s="8" t="str">
        <f ca="1">IFERROR(__xludf.DUMMYFUNCTION("""COMPUTED_VALUE"""),"NA")</f>
        <v>NA</v>
      </c>
      <c r="AS3043" s="8"/>
      <c r="AT3043" s="8"/>
      <c r="AU3043" s="8">
        <f ca="1">IFERROR(__xludf.DUMMYFUNCTION("""COMPUTED_VALUE"""),34.728783)</f>
        <v>34.728783</v>
      </c>
      <c r="AV3043" s="8">
        <f ca="1">IFERROR(__xludf.DUMMYFUNCTION("""COMPUTED_VALUE"""),-92.261805)</f>
        <v>-92.261804999999995</v>
      </c>
      <c r="AW3043" s="8"/>
      <c r="AX3043" s="8">
        <f ca="1">IFERROR(__xludf.DUMMYFUNCTION("""COMPUTED_VALUE"""),72206)</f>
        <v>72206</v>
      </c>
    </row>
    <row r="3044" spans="1:50" ht="30" x14ac:dyDescent="0.2">
      <c r="A3044" s="8" t="str">
        <f ca="1">IFERROR(__xludf.DUMMYFUNCTION("""COMPUTED_VALUE"""),"19741118SCCAC")</f>
        <v>19741118SCCAC</v>
      </c>
      <c r="B3044" s="8">
        <f ca="1">IFERROR(__xludf.DUMMYFUNCTION("""COMPUTED_VALUE"""),11)</f>
        <v>11</v>
      </c>
      <c r="C3044" s="8">
        <f ca="1">IFERROR(__xludf.DUMMYFUNCTION("""COMPUTED_VALUE"""),18)</f>
        <v>18</v>
      </c>
      <c r="D3044" s="8">
        <f ca="1">IFERROR(__xludf.DUMMYFUNCTION("""COMPUTED_VALUE"""),1974)</f>
        <v>1974</v>
      </c>
      <c r="E3044" s="9">
        <f ca="1">IFERROR(__xludf.DUMMYFUNCTION("""COMPUTED_VALUE"""),27351)</f>
        <v>27351</v>
      </c>
      <c r="F3044" s="8" t="str">
        <f ca="1">IFERROR(__xludf.DUMMYFUNCTION("""COMPUTED_VALUE"""),"C A Brown High School")</f>
        <v>C A Brown High School</v>
      </c>
      <c r="G3044" s="8">
        <f ca="1">IFERROR(__xludf.DUMMYFUNCTION("""COMPUTED_VALUE"""),0)</f>
        <v>0</v>
      </c>
      <c r="H3044" s="8">
        <f ca="1">IFERROR(__xludf.DUMMYFUNCTION("""COMPUTED_VALUE"""),1)</f>
        <v>1</v>
      </c>
      <c r="I3044" s="8">
        <f ca="1">IFERROR(__xludf.DUMMYFUNCTION("""COMPUTED_VALUE"""),1)</f>
        <v>1</v>
      </c>
      <c r="J3044" s="8">
        <f ca="1">IFERROR(__xludf.DUMMYFUNCTION("""COMPUTED_VALUE"""),0)</f>
        <v>0</v>
      </c>
      <c r="K3044" s="10" t="str">
        <f ca="1">IFERROR(__xludf.DUMMYFUNCTION("""COMPUTED_VALUE"""),"https://www.newspapers.com/image/68536508/?terms=school%2Bshooting")</f>
        <v>https://www.newspapers.com/image/68536508/?terms=school%2Bshooting</v>
      </c>
      <c r="L3044" s="8"/>
      <c r="M3044" s="8"/>
      <c r="N3044" s="8">
        <f ca="1">IFERROR(__xludf.DUMMYFUNCTION("""COMPUTED_VALUE"""),2)</f>
        <v>2</v>
      </c>
      <c r="O3044" s="8" t="str">
        <f ca="1">IFERROR(__xludf.DUMMYFUNCTION("""COMPUTED_VALUE"""),"Fall")</f>
        <v>Fall</v>
      </c>
      <c r="P3044" s="8" t="str">
        <f ca="1">IFERROR(__xludf.DUMMYFUNCTION("""COMPUTED_VALUE"""),"Charleston")</f>
        <v>Charleston</v>
      </c>
      <c r="Q3044" s="8" t="str">
        <f ca="1">IFERROR(__xludf.DUMMYFUNCTION("""COMPUTED_VALUE"""),"SC")</f>
        <v>SC</v>
      </c>
      <c r="R3044" s="8" t="str">
        <f ca="1">IFERROR(__xludf.DUMMYFUNCTION("""COMPUTED_VALUE"""),"High")</f>
        <v>High</v>
      </c>
      <c r="S3044" s="8" t="str">
        <f ca="1">IFERROR(__xludf.DUMMYFUNCTION("""COMPUTED_VALUE"""),"Outside on School Property")</f>
        <v>Outside on School Property</v>
      </c>
      <c r="T3044" s="8" t="str">
        <f ca="1">IFERROR(__xludf.DUMMYFUNCTION("""COMPUTED_VALUE"""),"Outside on School Property")</f>
        <v>Outside on School Property</v>
      </c>
      <c r="U3044" s="8" t="str">
        <f ca="1">IFERROR(__xludf.DUMMYFUNCTION("""COMPUTED_VALUE"""),"Yes")</f>
        <v>Yes</v>
      </c>
      <c r="V3044" s="8" t="str">
        <f ca="1">IFERROR(__xludf.DUMMYFUNCTION("""COMPUTED_VALUE"""),"Dismissal")</f>
        <v>Dismissal</v>
      </c>
      <c r="W3044" s="11">
        <f ca="1">IFERROR(__xludf.DUMMYFUNCTION("""COMPUTED_VALUE"""),0.625)</f>
        <v>0.625</v>
      </c>
      <c r="X3044" s="8">
        <f ca="1">IFERROR(__xludf.DUMMYFUNCTION("""COMPUTED_VALUE"""),1)</f>
        <v>1</v>
      </c>
      <c r="Y3044" s="12" t="str">
        <f ca="1">IFERROR(__xludf.DUMMYFUNCTION("""COMPUTED_VALUE"""),"Non-student shot by rival gang members")</f>
        <v>Non-student shot by rival gang members</v>
      </c>
      <c r="Z3044" s="12" t="str">
        <f ca="1">IFERROR(__xludf.DUMMYFUNCTION("""COMPUTED_VALUE"""),"Non-student gang member shot at school by rival gang members.")</f>
        <v>Non-student gang member shot at school by rival gang members.</v>
      </c>
      <c r="AA3044" s="8" t="str">
        <f ca="1">IFERROR(__xludf.DUMMYFUNCTION("""COMPUTED_VALUE"""),"Escalation of Dispute")</f>
        <v>Escalation of Dispute</v>
      </c>
      <c r="AB3044" s="8"/>
      <c r="AC3044" s="8"/>
      <c r="AD3044" s="8" t="str">
        <f ca="1">IFERROR(__xludf.DUMMYFUNCTION("""COMPUTED_VALUE"""),"Victims Targeted")</f>
        <v>Victims Targeted</v>
      </c>
      <c r="AE3044" s="8" t="str">
        <f ca="1">IFERROR(__xludf.DUMMYFUNCTION("""COMPUTED_VALUE"""),"No")</f>
        <v>No</v>
      </c>
      <c r="AF3044" s="8"/>
      <c r="AG3044" s="8" t="str">
        <f ca="1">IFERROR(__xludf.DUMMYFUNCTION("""COMPUTED_VALUE"""),"No")</f>
        <v>No</v>
      </c>
      <c r="AH3044" s="8" t="str">
        <f ca="1">IFERROR(__xludf.DUMMYFUNCTION("""COMPUTED_VALUE"""),"No")</f>
        <v>No</v>
      </c>
      <c r="AI3044" s="8" t="str">
        <f ca="1">IFERROR(__xludf.DUMMYFUNCTION("""COMPUTED_VALUE"""),"No")</f>
        <v>No</v>
      </c>
      <c r="AJ3044" s="8" t="str">
        <f ca="1">IFERROR(__xludf.DUMMYFUNCTION("""COMPUTED_VALUE"""),"No")</f>
        <v>No</v>
      </c>
      <c r="AK3044" s="8" t="str">
        <f ca="1">IFERROR(__xludf.DUMMYFUNCTION("""COMPUTED_VALUE"""),"No")</f>
        <v>No</v>
      </c>
      <c r="AL3044" s="8" t="str">
        <f ca="1">IFERROR(__xludf.DUMMYFUNCTION("""COMPUTED_VALUE"""),"Yes")</f>
        <v>Yes</v>
      </c>
      <c r="AM3044" s="8"/>
      <c r="AN3044" s="8"/>
      <c r="AO3044" s="8" t="str">
        <f ca="1">IFERROR(__xludf.DUMMYFUNCTION("""COMPUTED_VALUE"""),"No")</f>
        <v>No</v>
      </c>
      <c r="AP3044" s="8"/>
      <c r="AQ3044" s="8" t="str">
        <f ca="1">IFERROR(__xludf.DUMMYFUNCTION("""COMPUTED_VALUE"""),"Unknown")</f>
        <v>Unknown</v>
      </c>
      <c r="AR3044" s="8" t="str">
        <f ca="1">IFERROR(__xludf.DUMMYFUNCTION("""COMPUTED_VALUE"""),"NA")</f>
        <v>NA</v>
      </c>
      <c r="AS3044" s="8" t="str">
        <f ca="1">IFERROR(__xludf.DUMMYFUNCTION("""COMPUTED_VALUE"""),"&lt;10")</f>
        <v>&lt;10</v>
      </c>
      <c r="AT3044" s="8"/>
      <c r="AU3044" s="8">
        <f ca="1">IFERROR(__xludf.DUMMYFUNCTION("""COMPUTED_VALUE"""),32.797882)</f>
        <v>32.797882000000001</v>
      </c>
      <c r="AV3044" s="8">
        <f ca="1">IFERROR(__xludf.DUMMYFUNCTION("""COMPUTED_VALUE"""),-79.936328)</f>
        <v>-79.936328000000003</v>
      </c>
      <c r="AW3044" s="8"/>
      <c r="AX3044" s="8">
        <f ca="1">IFERROR(__xludf.DUMMYFUNCTION("""COMPUTED_VALUE"""),29424)</f>
        <v>29424</v>
      </c>
    </row>
    <row r="3045" spans="1:50" ht="60" x14ac:dyDescent="0.2">
      <c r="A3045" s="8" t="str">
        <f ca="1">IFERROR(__xludf.DUMMYFUNCTION("""COMPUTED_VALUE"""),"19741021MDDOB")</f>
        <v>19741021MDDOB</v>
      </c>
      <c r="B3045" s="8">
        <f ca="1">IFERROR(__xludf.DUMMYFUNCTION("""COMPUTED_VALUE"""),10)</f>
        <v>10</v>
      </c>
      <c r="C3045" s="8">
        <f ca="1">IFERROR(__xludf.DUMMYFUNCTION("""COMPUTED_VALUE"""),21)</f>
        <v>21</v>
      </c>
      <c r="D3045" s="8">
        <f ca="1">IFERROR(__xludf.DUMMYFUNCTION("""COMPUTED_VALUE"""),1974)</f>
        <v>1974</v>
      </c>
      <c r="E3045" s="9">
        <f ca="1">IFERROR(__xludf.DUMMYFUNCTION("""COMPUTED_VALUE"""),27323)</f>
        <v>27323</v>
      </c>
      <c r="F3045" s="8" t="str">
        <f ca="1">IFERROR(__xludf.DUMMYFUNCTION("""COMPUTED_VALUE"""),"Douglass High School")</f>
        <v>Douglass High School</v>
      </c>
      <c r="G3045" s="8">
        <f ca="1">IFERROR(__xludf.DUMMYFUNCTION("""COMPUTED_VALUE"""),0)</f>
        <v>0</v>
      </c>
      <c r="H3045" s="8">
        <f ca="1">IFERROR(__xludf.DUMMYFUNCTION("""COMPUTED_VALUE"""),1)</f>
        <v>1</v>
      </c>
      <c r="I3045" s="8">
        <f ca="1">IFERROR(__xludf.DUMMYFUNCTION("""COMPUTED_VALUE"""),1)</f>
        <v>1</v>
      </c>
      <c r="J3045" s="8">
        <f ca="1">IFERROR(__xludf.DUMMYFUNCTION("""COMPUTED_VALUE"""),0)</f>
        <v>0</v>
      </c>
      <c r="K3045" s="10" t="str">
        <f ca="1">IFERROR(__xludf.DUMMYFUNCTION("""COMPUTED_VALUE"""),"https://www.newspapers.com/image/377591998/?terms=school%2Bshooting")</f>
        <v>https://www.newspapers.com/image/377591998/?terms=school%2Bshooting</v>
      </c>
      <c r="L3045" s="8"/>
      <c r="M3045" s="8"/>
      <c r="N3045" s="8">
        <f ca="1">IFERROR(__xludf.DUMMYFUNCTION("""COMPUTED_VALUE"""),2)</f>
        <v>2</v>
      </c>
      <c r="O3045" s="8" t="str">
        <f ca="1">IFERROR(__xludf.DUMMYFUNCTION("""COMPUTED_VALUE"""),"Fall")</f>
        <v>Fall</v>
      </c>
      <c r="P3045" s="8" t="str">
        <f ca="1">IFERROR(__xludf.DUMMYFUNCTION("""COMPUTED_VALUE"""),"Baltimore")</f>
        <v>Baltimore</v>
      </c>
      <c r="Q3045" s="8" t="str">
        <f ca="1">IFERROR(__xludf.DUMMYFUNCTION("""COMPUTED_VALUE"""),"MD")</f>
        <v>MD</v>
      </c>
      <c r="R3045" s="8" t="str">
        <f ca="1">IFERROR(__xludf.DUMMYFUNCTION("""COMPUTED_VALUE"""),"High")</f>
        <v>High</v>
      </c>
      <c r="S3045" s="8" t="str">
        <f ca="1">IFERROR(__xludf.DUMMYFUNCTION("""COMPUTED_VALUE"""),"Inside School Building")</f>
        <v>Inside School Building</v>
      </c>
      <c r="T3045" s="8" t="str">
        <f ca="1">IFERROR(__xludf.DUMMYFUNCTION("""COMPUTED_VALUE"""),"Inside School Building")</f>
        <v>Inside School Building</v>
      </c>
      <c r="U3045" s="8" t="str">
        <f ca="1">IFERROR(__xludf.DUMMYFUNCTION("""COMPUTED_VALUE"""),"Yes")</f>
        <v>Yes</v>
      </c>
      <c r="V3045" s="8" t="str">
        <f ca="1">IFERROR(__xludf.DUMMYFUNCTION("""COMPUTED_VALUE"""),"Lunch")</f>
        <v>Lunch</v>
      </c>
      <c r="W3045" s="8"/>
      <c r="X3045" s="8">
        <f ca="1">IFERROR(__xludf.DUMMYFUNCTION("""COMPUTED_VALUE"""),1)</f>
        <v>1</v>
      </c>
      <c r="Y3045" s="12" t="str">
        <f ca="1">IFERROR(__xludf.DUMMYFUNCTION("""COMPUTED_VALUE"""),"Shot security guard while trespassing in school")</f>
        <v>Shot security guard while trespassing in school</v>
      </c>
      <c r="Z3045" s="12" t="str">
        <f ca="1">IFERROR(__xludf.DUMMYFUNCTION("""COMPUTED_VALUE"""),"Shooter and friend were trespassing in high school. Security guard tried to stop them. Shooter fired at security guard 3 times (twice while he was on the ground) and fled the area.")</f>
        <v>Shooter and friend were trespassing in high school. Security guard tried to stop them. Shooter fired at security guard 3 times (twice while he was on the ground) and fled the area.</v>
      </c>
      <c r="AA3045" s="8" t="str">
        <f ca="1">IFERROR(__xludf.DUMMYFUNCTION("""COMPUTED_VALUE"""),"Illegal Activity")</f>
        <v>Illegal Activity</v>
      </c>
      <c r="AB3045" s="8"/>
      <c r="AC3045" s="8"/>
      <c r="AD3045" s="8" t="str">
        <f ca="1">IFERROR(__xludf.DUMMYFUNCTION("""COMPUTED_VALUE"""),"Neither")</f>
        <v>Neither</v>
      </c>
      <c r="AE3045" s="8" t="str">
        <f ca="1">IFERROR(__xludf.DUMMYFUNCTION("""COMPUTED_VALUE"""),"Yes")</f>
        <v>Yes</v>
      </c>
      <c r="AF3045" s="8" t="str">
        <f ca="1">IFERROR(__xludf.DUMMYFUNCTION("""COMPUTED_VALUE"""),"2 teens involved")</f>
        <v>2 teens involved</v>
      </c>
      <c r="AG3045" s="8" t="str">
        <f ca="1">IFERROR(__xludf.DUMMYFUNCTION("""COMPUTED_VALUE"""),"No")</f>
        <v>No</v>
      </c>
      <c r="AH3045" s="8" t="str">
        <f ca="1">IFERROR(__xludf.DUMMYFUNCTION("""COMPUTED_VALUE"""),"No")</f>
        <v>No</v>
      </c>
      <c r="AI3045" s="8" t="str">
        <f ca="1">IFERROR(__xludf.DUMMYFUNCTION("""COMPUTED_VALUE"""),"No")</f>
        <v>No</v>
      </c>
      <c r="AJ3045" s="8" t="str">
        <f ca="1">IFERROR(__xludf.DUMMYFUNCTION("""COMPUTED_VALUE"""),"No")</f>
        <v>No</v>
      </c>
      <c r="AK3045" s="8" t="str">
        <f ca="1">IFERROR(__xludf.DUMMYFUNCTION("""COMPUTED_VALUE"""),"No")</f>
        <v>No</v>
      </c>
      <c r="AL3045" s="8" t="str">
        <f ca="1">IFERROR(__xludf.DUMMYFUNCTION("""COMPUTED_VALUE"""),"No")</f>
        <v>No</v>
      </c>
      <c r="AM3045" s="8"/>
      <c r="AN3045" s="8"/>
      <c r="AO3045" s="8" t="str">
        <f ca="1">IFERROR(__xludf.DUMMYFUNCTION("""COMPUTED_VALUE"""),"No")</f>
        <v>No</v>
      </c>
      <c r="AP3045" s="8"/>
      <c r="AQ3045" s="8" t="str">
        <f ca="1">IFERROR(__xludf.DUMMYFUNCTION("""COMPUTED_VALUE"""),"Unknown")</f>
        <v>Unknown</v>
      </c>
      <c r="AR3045" s="8" t="str">
        <f ca="1">IFERROR(__xludf.DUMMYFUNCTION("""COMPUTED_VALUE"""),"NA")</f>
        <v>NA</v>
      </c>
      <c r="AS3045" s="8">
        <f ca="1">IFERROR(__xludf.DUMMYFUNCTION("""COMPUTED_VALUE"""),3)</f>
        <v>3</v>
      </c>
      <c r="AT3045" s="8"/>
      <c r="AU3045" s="8">
        <f ca="1">IFERROR(__xludf.DUMMYFUNCTION("""COMPUTED_VALUE"""),39.314911)</f>
        <v>39.314911000000002</v>
      </c>
      <c r="AV3045" s="8">
        <f ca="1">IFERROR(__xludf.DUMMYFUNCTION("""COMPUTED_VALUE"""),-76.654426)</f>
        <v>-76.654426000000001</v>
      </c>
      <c r="AW3045" s="8"/>
      <c r="AX3045" s="8">
        <f ca="1">IFERROR(__xludf.DUMMYFUNCTION("""COMPUTED_VALUE"""),21217)</f>
        <v>21217</v>
      </c>
    </row>
    <row r="3046" spans="1:50" ht="75" x14ac:dyDescent="0.2">
      <c r="A3046" s="8" t="str">
        <f ca="1">IFERROR(__xludf.DUMMYFUNCTION("""COMPUTED_VALUE"""),"19741007LADEH")</f>
        <v>19741007LADEH</v>
      </c>
      <c r="B3046" s="8">
        <f ca="1">IFERROR(__xludf.DUMMYFUNCTION("""COMPUTED_VALUE"""),10)</f>
        <v>10</v>
      </c>
      <c r="C3046" s="8">
        <f ca="1">IFERROR(__xludf.DUMMYFUNCTION("""COMPUTED_VALUE"""),7)</f>
        <v>7</v>
      </c>
      <c r="D3046" s="8">
        <f ca="1">IFERROR(__xludf.DUMMYFUNCTION("""COMPUTED_VALUE"""),1974)</f>
        <v>1974</v>
      </c>
      <c r="E3046" s="9">
        <f ca="1">IFERROR(__xludf.DUMMYFUNCTION("""COMPUTED_VALUE"""),27309)</f>
        <v>27309</v>
      </c>
      <c r="F3046" s="8" t="str">
        <f ca="1">IFERROR(__xludf.DUMMYFUNCTION("""COMPUTED_VALUE"""),"Destrehan High School")</f>
        <v>Destrehan High School</v>
      </c>
      <c r="G3046" s="8">
        <f ca="1">IFERROR(__xludf.DUMMYFUNCTION("""COMPUTED_VALUE"""),1)</f>
        <v>1</v>
      </c>
      <c r="H3046" s="8">
        <f ca="1">IFERROR(__xludf.DUMMYFUNCTION("""COMPUTED_VALUE"""),1)</f>
        <v>1</v>
      </c>
      <c r="I3046" s="8">
        <f ca="1">IFERROR(__xludf.DUMMYFUNCTION("""COMPUTED_VALUE"""),2)</f>
        <v>2</v>
      </c>
      <c r="J3046" s="8">
        <f ca="1">IFERROR(__xludf.DUMMYFUNCTION("""COMPUTED_VALUE"""),0)</f>
        <v>0</v>
      </c>
      <c r="K3046" s="8" t="str">
        <f ca="1">IFERROR(__xludf.DUMMYFUNCTION("""COMPUTED_VALUE"""),"https://www.newspapers.com/image/292475092/?terms=timothy%2Bweber; https://www.newspapers.com/image/227833916/?terms=student%2Bshoots")</f>
        <v>https://www.newspapers.com/image/292475092/?terms=timothy%2Bweber; https://www.newspapers.com/image/227833916/?terms=student%2Bshoots</v>
      </c>
      <c r="L3046" s="8"/>
      <c r="M3046" s="8"/>
      <c r="N3046" s="8">
        <f ca="1">IFERROR(__xludf.DUMMYFUNCTION("""COMPUTED_VALUE"""),3)</f>
        <v>3</v>
      </c>
      <c r="O3046" s="8" t="str">
        <f ca="1">IFERROR(__xludf.DUMMYFUNCTION("""COMPUTED_VALUE"""),"Fall")</f>
        <v>Fall</v>
      </c>
      <c r="P3046" s="8" t="str">
        <f ca="1">IFERROR(__xludf.DUMMYFUNCTION("""COMPUTED_VALUE"""),"Hahnville")</f>
        <v>Hahnville</v>
      </c>
      <c r="Q3046" s="8" t="str">
        <f ca="1">IFERROR(__xludf.DUMMYFUNCTION("""COMPUTED_VALUE"""),"LA")</f>
        <v>LA</v>
      </c>
      <c r="R3046" s="8" t="str">
        <f ca="1">IFERROR(__xludf.DUMMYFUNCTION("""COMPUTED_VALUE"""),"High")</f>
        <v>High</v>
      </c>
      <c r="S3046" s="8" t="str">
        <f ca="1">IFERROR(__xludf.DUMMYFUNCTION("""COMPUTED_VALUE"""),"Parking Lot (Bus)")</f>
        <v>Parking Lot (Bus)</v>
      </c>
      <c r="T3046" s="8" t="str">
        <f ca="1">IFERROR(__xludf.DUMMYFUNCTION("""COMPUTED_VALUE"""),"Outside on School Property")</f>
        <v>Outside on School Property</v>
      </c>
      <c r="U3046" s="8" t="str">
        <f ca="1">IFERROR(__xludf.DUMMYFUNCTION("""COMPUTED_VALUE"""),"Yes")</f>
        <v>Yes</v>
      </c>
      <c r="V3046" s="8" t="str">
        <f ca="1">IFERROR(__xludf.DUMMYFUNCTION("""COMPUTED_VALUE"""),"After School")</f>
        <v>After School</v>
      </c>
      <c r="W3046" s="8"/>
      <c r="X3046" s="8">
        <f ca="1">IFERROR(__xludf.DUMMYFUNCTION("""COMPUTED_VALUE"""),1)</f>
        <v>1</v>
      </c>
      <c r="Y3046" s="12" t="str">
        <f ca="1">IFERROR(__xludf.DUMMYFUNCTION("""COMPUTED_VALUE"""),"Shooter shot victim after rocks were thrown at school bus shooter was on")</f>
        <v>Shooter shot victim after rocks were thrown at school bus shooter was on</v>
      </c>
      <c r="Z3046" s="12" t="str">
        <f ca="1">IFERROR(__xludf.DUMMYFUNCTION("""COMPUTED_VALUE"""),"Racial tension between whites and blacks at school. After school, a group of white students threw rocks at a school bus leaving school. Shooter stuck his hand out the bus window and shot victim in head. Bullet also wounded another student.")</f>
        <v>Racial tension between whites and blacks at school. After school, a group of white students threw rocks at a school bus leaving school. Shooter stuck his hand out the bus window and shot victim in head. Bullet also wounded another student.</v>
      </c>
      <c r="AA3046" s="8" t="str">
        <f ca="1">IFERROR(__xludf.DUMMYFUNCTION("""COMPUTED_VALUE"""),"Racial")</f>
        <v>Racial</v>
      </c>
      <c r="AB3046" s="8"/>
      <c r="AC3046" s="8"/>
      <c r="AD3046" s="8" t="str">
        <f ca="1">IFERROR(__xludf.DUMMYFUNCTION("""COMPUTED_VALUE"""),"Random Shooting")</f>
        <v>Random Shooting</v>
      </c>
      <c r="AE3046" s="8" t="str">
        <f ca="1">IFERROR(__xludf.DUMMYFUNCTION("""COMPUTED_VALUE"""),"No")</f>
        <v>No</v>
      </c>
      <c r="AF3046" s="8"/>
      <c r="AG3046" s="8" t="str">
        <f ca="1">IFERROR(__xludf.DUMMYFUNCTION("""COMPUTED_VALUE"""),"No")</f>
        <v>No</v>
      </c>
      <c r="AH3046" s="8" t="str">
        <f ca="1">IFERROR(__xludf.DUMMYFUNCTION("""COMPUTED_VALUE"""),"No")</f>
        <v>No</v>
      </c>
      <c r="AI3046" s="8" t="str">
        <f ca="1">IFERROR(__xludf.DUMMYFUNCTION("""COMPUTED_VALUE"""),"No")</f>
        <v>No</v>
      </c>
      <c r="AJ3046" s="8" t="str">
        <f ca="1">IFERROR(__xludf.DUMMYFUNCTION("""COMPUTED_VALUE"""),"No")</f>
        <v>No</v>
      </c>
      <c r="AK3046" s="8" t="str">
        <f ca="1">IFERROR(__xludf.DUMMYFUNCTION("""COMPUTED_VALUE"""),"No")</f>
        <v>No</v>
      </c>
      <c r="AL3046" s="8" t="str">
        <f ca="1">IFERROR(__xludf.DUMMYFUNCTION("""COMPUTED_VALUE"""),"No")</f>
        <v>No</v>
      </c>
      <c r="AM3046" s="8"/>
      <c r="AN3046" s="8"/>
      <c r="AO3046" s="8" t="str">
        <f ca="1">IFERROR(__xludf.DUMMYFUNCTION("""COMPUTED_VALUE"""),"No")</f>
        <v>No</v>
      </c>
      <c r="AP3046" s="8"/>
      <c r="AQ3046" s="8" t="str">
        <f ca="1">IFERROR(__xludf.DUMMYFUNCTION("""COMPUTED_VALUE"""),"Unknown")</f>
        <v>Unknown</v>
      </c>
      <c r="AR3046" s="8" t="str">
        <f ca="1">IFERROR(__xludf.DUMMYFUNCTION("""COMPUTED_VALUE"""),"NA")</f>
        <v>NA</v>
      </c>
      <c r="AS3046" s="8"/>
      <c r="AT3046" s="8"/>
      <c r="AU3046" s="8">
        <f ca="1">IFERROR(__xludf.DUMMYFUNCTION("""COMPUTED_VALUE"""),29.964886)</f>
        <v>29.964886</v>
      </c>
      <c r="AV3046" s="8">
        <f ca="1">IFERROR(__xludf.DUMMYFUNCTION("""COMPUTED_VALUE"""),-90.383139)</f>
        <v>-90.383139</v>
      </c>
      <c r="AW3046" s="8"/>
      <c r="AX3046" s="8">
        <f ca="1">IFERROR(__xludf.DUMMYFUNCTION("""COMPUTED_VALUE"""),70047)</f>
        <v>70047</v>
      </c>
    </row>
    <row r="3047" spans="1:50" ht="60" x14ac:dyDescent="0.2">
      <c r="A3047" s="8" t="str">
        <f ca="1">IFERROR(__xludf.DUMMYFUNCTION("""COMPUTED_VALUE"""),"19740925CASAL")</f>
        <v>19740925CASAL</v>
      </c>
      <c r="B3047" s="8">
        <f ca="1">IFERROR(__xludf.DUMMYFUNCTION("""COMPUTED_VALUE"""),9)</f>
        <v>9</v>
      </c>
      <c r="C3047" s="8">
        <f ca="1">IFERROR(__xludf.DUMMYFUNCTION("""COMPUTED_VALUE"""),25)</f>
        <v>25</v>
      </c>
      <c r="D3047" s="8">
        <f ca="1">IFERROR(__xludf.DUMMYFUNCTION("""COMPUTED_VALUE"""),1974)</f>
        <v>1974</v>
      </c>
      <c r="E3047" s="9">
        <f ca="1">IFERROR(__xludf.DUMMYFUNCTION("""COMPUTED_VALUE"""),27297)</f>
        <v>27297</v>
      </c>
      <c r="F3047" s="8" t="str">
        <f ca="1">IFERROR(__xludf.DUMMYFUNCTION("""COMPUTED_VALUE"""),"San Fernando High School")</f>
        <v>San Fernando High School</v>
      </c>
      <c r="G3047" s="8">
        <f ca="1">IFERROR(__xludf.DUMMYFUNCTION("""COMPUTED_VALUE"""),0)</f>
        <v>0</v>
      </c>
      <c r="H3047" s="8">
        <f ca="1">IFERROR(__xludf.DUMMYFUNCTION("""COMPUTED_VALUE"""),1)</f>
        <v>1</v>
      </c>
      <c r="I3047" s="8">
        <f ca="1">IFERROR(__xludf.DUMMYFUNCTION("""COMPUTED_VALUE"""),1)</f>
        <v>1</v>
      </c>
      <c r="J3047" s="8">
        <f ca="1">IFERROR(__xludf.DUMMYFUNCTION("""COMPUTED_VALUE"""),0)</f>
        <v>0</v>
      </c>
      <c r="K3047" s="10" t="str">
        <f ca="1">IFERROR(__xludf.DUMMYFUNCTION("""COMPUTED_VALUE"""),"https://www.newspapers.com/image/30473026/?terms=school%2Bshooting")</f>
        <v>https://www.newspapers.com/image/30473026/?terms=school%2Bshooting</v>
      </c>
      <c r="L3047" s="8"/>
      <c r="M3047" s="8"/>
      <c r="N3047" s="8">
        <f ca="1">IFERROR(__xludf.DUMMYFUNCTION("""COMPUTED_VALUE"""),2)</f>
        <v>2</v>
      </c>
      <c r="O3047" s="8" t="str">
        <f ca="1">IFERROR(__xludf.DUMMYFUNCTION("""COMPUTED_VALUE"""),"Fall")</f>
        <v>Fall</v>
      </c>
      <c r="P3047" s="8" t="str">
        <f ca="1">IFERROR(__xludf.DUMMYFUNCTION("""COMPUTED_VALUE"""),"Los Angeles")</f>
        <v>Los Angeles</v>
      </c>
      <c r="Q3047" s="8" t="str">
        <f ca="1">IFERROR(__xludf.DUMMYFUNCTION("""COMPUTED_VALUE"""),"CA")</f>
        <v>CA</v>
      </c>
      <c r="R3047" s="8" t="str">
        <f ca="1">IFERROR(__xludf.DUMMYFUNCTION("""COMPUTED_VALUE"""),"High")</f>
        <v>High</v>
      </c>
      <c r="S3047" s="8" t="str">
        <f ca="1">IFERROR(__xludf.DUMMYFUNCTION("""COMPUTED_VALUE"""),"ND")</f>
        <v>ND</v>
      </c>
      <c r="T3047" s="8" t="str">
        <f ca="1">IFERROR(__xludf.DUMMYFUNCTION("""COMPUTED_VALUE"""),"ND")</f>
        <v>ND</v>
      </c>
      <c r="U3047" s="8" t="str">
        <f ca="1">IFERROR(__xludf.DUMMYFUNCTION("""COMPUTED_VALUE"""),"Yes")</f>
        <v>Yes</v>
      </c>
      <c r="V3047" s="8"/>
      <c r="W3047" s="8"/>
      <c r="X3047" s="8">
        <f ca="1">IFERROR(__xludf.DUMMYFUNCTION("""COMPUTED_VALUE"""),1)</f>
        <v>1</v>
      </c>
      <c r="Y3047" s="12" t="str">
        <f ca="1">IFERROR(__xludf.DUMMYFUNCTION("""COMPUTED_VALUE"""),"Victim confronted by 2 students, one fired shot striking him")</f>
        <v>Victim confronted by 2 students, one fired shot striking him</v>
      </c>
      <c r="Z3047" s="12" t="str">
        <f ca="1">IFERROR(__xludf.DUMMYFUNCTION("""COMPUTED_VALUE"""),"17 year-old male wounded by 17 year-old male during argument. Two suspects involved.")</f>
        <v>17 year-old male wounded by 17 year-old male during argument. Two suspects involved.</v>
      </c>
      <c r="AA3047" s="8" t="str">
        <f ca="1">IFERROR(__xludf.DUMMYFUNCTION("""COMPUTED_VALUE"""),"Escalation of Dispute")</f>
        <v>Escalation of Dispute</v>
      </c>
      <c r="AB3047" s="8"/>
      <c r="AC3047" s="8"/>
      <c r="AD3047" s="8"/>
      <c r="AE3047" s="8" t="str">
        <f ca="1">IFERROR(__xludf.DUMMYFUNCTION("""COMPUTED_VALUE"""),"No")</f>
        <v>No</v>
      </c>
      <c r="AF3047" s="8"/>
      <c r="AG3047" s="8" t="str">
        <f ca="1">IFERROR(__xludf.DUMMYFUNCTION("""COMPUTED_VALUE"""),"No")</f>
        <v>No</v>
      </c>
      <c r="AH3047" s="8" t="str">
        <f ca="1">IFERROR(__xludf.DUMMYFUNCTION("""COMPUTED_VALUE"""),"No")</f>
        <v>No</v>
      </c>
      <c r="AI3047" s="8" t="str">
        <f ca="1">IFERROR(__xludf.DUMMYFUNCTION("""COMPUTED_VALUE"""),"No")</f>
        <v>No</v>
      </c>
      <c r="AJ3047" s="8"/>
      <c r="AK3047" s="8"/>
      <c r="AL3047" s="8" t="str">
        <f ca="1">IFERROR(__xludf.DUMMYFUNCTION("""COMPUTED_VALUE"""),"No")</f>
        <v>No</v>
      </c>
      <c r="AM3047" s="8"/>
      <c r="AN3047" s="8"/>
      <c r="AO3047" s="8" t="str">
        <f ca="1">IFERROR(__xludf.DUMMYFUNCTION("""COMPUTED_VALUE"""),"No")</f>
        <v>No</v>
      </c>
      <c r="AP3047" s="8"/>
      <c r="AQ3047" s="8" t="str">
        <f ca="1">IFERROR(__xludf.DUMMYFUNCTION("""COMPUTED_VALUE"""),"Unknown")</f>
        <v>Unknown</v>
      </c>
      <c r="AR3047" s="8" t="str">
        <f ca="1">IFERROR(__xludf.DUMMYFUNCTION("""COMPUTED_VALUE"""),"NA")</f>
        <v>NA</v>
      </c>
      <c r="AS3047" s="8" t="str">
        <f ca="1">IFERROR(__xludf.DUMMYFUNCTION("""COMPUTED_VALUE"""),"&lt;10")</f>
        <v>&lt;10</v>
      </c>
      <c r="AT3047" s="8"/>
      <c r="AU3047" s="8">
        <f ca="1">IFERROR(__xludf.DUMMYFUNCTION("""COMPUTED_VALUE"""),34.27261)</f>
        <v>34.27261</v>
      </c>
      <c r="AV3047" s="8">
        <f ca="1">IFERROR(__xludf.DUMMYFUNCTION("""COMPUTED_VALUE"""),-118.442958)</f>
        <v>-118.442958</v>
      </c>
      <c r="AW3047" s="8"/>
      <c r="AX3047" s="8">
        <f ca="1">IFERROR(__xludf.DUMMYFUNCTION("""COMPUTED_VALUE"""),91340)</f>
        <v>91340</v>
      </c>
    </row>
    <row r="3048" spans="1:50" ht="45" x14ac:dyDescent="0.2">
      <c r="A3048" s="8" t="str">
        <f ca="1">IFERROR(__xludf.DUMMYFUNCTION("""COMPUTED_VALUE"""),"19740923CAJED")</f>
        <v>19740923CAJED</v>
      </c>
      <c r="B3048" s="8">
        <f ca="1">IFERROR(__xludf.DUMMYFUNCTION("""COMPUTED_VALUE"""),9)</f>
        <v>9</v>
      </c>
      <c r="C3048" s="8">
        <f ca="1">IFERROR(__xludf.DUMMYFUNCTION("""COMPUTED_VALUE"""),23)</f>
        <v>23</v>
      </c>
      <c r="D3048" s="8">
        <f ca="1">IFERROR(__xludf.DUMMYFUNCTION("""COMPUTED_VALUE"""),1974)</f>
        <v>1974</v>
      </c>
      <c r="E3048" s="9">
        <f ca="1">IFERROR(__xludf.DUMMYFUNCTION("""COMPUTED_VALUE"""),27295)</f>
        <v>27295</v>
      </c>
      <c r="F3048" s="8" t="str">
        <f ca="1">IFERROR(__xludf.DUMMYFUNCTION("""COMPUTED_VALUE"""),"Jefferson High School")</f>
        <v>Jefferson High School</v>
      </c>
      <c r="G3048" s="8">
        <f ca="1">IFERROR(__xludf.DUMMYFUNCTION("""COMPUTED_VALUE"""),0)</f>
        <v>0</v>
      </c>
      <c r="H3048" s="8">
        <f ca="1">IFERROR(__xludf.DUMMYFUNCTION("""COMPUTED_VALUE"""),1)</f>
        <v>1</v>
      </c>
      <c r="I3048" s="8">
        <f ca="1">IFERROR(__xludf.DUMMYFUNCTION("""COMPUTED_VALUE"""),1)</f>
        <v>1</v>
      </c>
      <c r="J3048" s="8">
        <f ca="1">IFERROR(__xludf.DUMMYFUNCTION("""COMPUTED_VALUE"""),0)</f>
        <v>0</v>
      </c>
      <c r="K3048" s="10" t="str">
        <f ca="1">IFERROR(__xludf.DUMMYFUNCTION("""COMPUTED_VALUE"""),"https://www.newspapers.com/image/252161775/?terms=school%2Bshooting")</f>
        <v>https://www.newspapers.com/image/252161775/?terms=school%2Bshooting</v>
      </c>
      <c r="L3048" s="8"/>
      <c r="M3048" s="8"/>
      <c r="N3048" s="8">
        <f ca="1">IFERROR(__xludf.DUMMYFUNCTION("""COMPUTED_VALUE"""),2)</f>
        <v>2</v>
      </c>
      <c r="O3048" s="8" t="str">
        <f ca="1">IFERROR(__xludf.DUMMYFUNCTION("""COMPUTED_VALUE"""),"Fall")</f>
        <v>Fall</v>
      </c>
      <c r="P3048" s="8" t="str">
        <f ca="1">IFERROR(__xludf.DUMMYFUNCTION("""COMPUTED_VALUE"""),"Daly City")</f>
        <v>Daly City</v>
      </c>
      <c r="Q3048" s="8" t="str">
        <f ca="1">IFERROR(__xludf.DUMMYFUNCTION("""COMPUTED_VALUE"""),"CA")</f>
        <v>CA</v>
      </c>
      <c r="R3048" s="8" t="str">
        <f ca="1">IFERROR(__xludf.DUMMYFUNCTION("""COMPUTED_VALUE"""),"High")</f>
        <v>High</v>
      </c>
      <c r="S3048" s="8" t="str">
        <f ca="1">IFERROR(__xludf.DUMMYFUNCTION("""COMPUTED_VALUE"""),"Bathroom")</f>
        <v>Bathroom</v>
      </c>
      <c r="T3048" s="8" t="str">
        <f ca="1">IFERROR(__xludf.DUMMYFUNCTION("""COMPUTED_VALUE"""),"Inside School Building")</f>
        <v>Inside School Building</v>
      </c>
      <c r="U3048" s="8" t="str">
        <f ca="1">IFERROR(__xludf.DUMMYFUNCTION("""COMPUTED_VALUE"""),"Yes")</f>
        <v>Yes</v>
      </c>
      <c r="V3048" s="8"/>
      <c r="W3048" s="8"/>
      <c r="X3048" s="8"/>
      <c r="Y3048" s="12" t="str">
        <f ca="1">IFERROR(__xludf.DUMMYFUNCTION("""COMPUTED_VALUE"""),"Victim shot 5 times in bathroom following argument")</f>
        <v>Victim shot 5 times in bathroom following argument</v>
      </c>
      <c r="Z3048" s="12" t="str">
        <f ca="1">IFERROR(__xludf.DUMMYFUNCTION("""COMPUTED_VALUE"""),"Student shot 5 times in the school bathroom following an argument with a group of 3 other students. 3 teenage students arrested for attempted murder.")</f>
        <v>Student shot 5 times in the school bathroom following an argument with a group of 3 other students. 3 teenage students arrested for attempted murder.</v>
      </c>
      <c r="AA3048" s="8" t="str">
        <f ca="1">IFERROR(__xludf.DUMMYFUNCTION("""COMPUTED_VALUE"""),"Escalation of Dispute")</f>
        <v>Escalation of Dispute</v>
      </c>
      <c r="AB3048" s="8"/>
      <c r="AC3048" s="8"/>
      <c r="AD3048" s="8" t="str">
        <f ca="1">IFERROR(__xludf.DUMMYFUNCTION("""COMPUTED_VALUE"""),"Victims Targeted")</f>
        <v>Victims Targeted</v>
      </c>
      <c r="AE3048" s="8" t="str">
        <f ca="1">IFERROR(__xludf.DUMMYFUNCTION("""COMPUTED_VALUE"""),"No")</f>
        <v>No</v>
      </c>
      <c r="AF3048" s="8"/>
      <c r="AG3048" s="8" t="str">
        <f ca="1">IFERROR(__xludf.DUMMYFUNCTION("""COMPUTED_VALUE"""),"No")</f>
        <v>No</v>
      </c>
      <c r="AH3048" s="8" t="str">
        <f ca="1">IFERROR(__xludf.DUMMYFUNCTION("""COMPUTED_VALUE"""),"No")</f>
        <v>No</v>
      </c>
      <c r="AI3048" s="8" t="str">
        <f ca="1">IFERROR(__xludf.DUMMYFUNCTION("""COMPUTED_VALUE"""),"No")</f>
        <v>No</v>
      </c>
      <c r="AJ3048" s="8"/>
      <c r="AK3048" s="8" t="str">
        <f ca="1">IFERROR(__xludf.DUMMYFUNCTION("""COMPUTED_VALUE"""),"No")</f>
        <v>No</v>
      </c>
      <c r="AL3048" s="8" t="str">
        <f ca="1">IFERROR(__xludf.DUMMYFUNCTION("""COMPUTED_VALUE"""),"No")</f>
        <v>No</v>
      </c>
      <c r="AM3048" s="8"/>
      <c r="AN3048" s="8"/>
      <c r="AO3048" s="8" t="str">
        <f ca="1">IFERROR(__xludf.DUMMYFUNCTION("""COMPUTED_VALUE"""),"No")</f>
        <v>No</v>
      </c>
      <c r="AP3048" s="8"/>
      <c r="AQ3048" s="8" t="str">
        <f ca="1">IFERROR(__xludf.DUMMYFUNCTION("""COMPUTED_VALUE"""),"Unknown")</f>
        <v>Unknown</v>
      </c>
      <c r="AR3048" s="8" t="str">
        <f ca="1">IFERROR(__xludf.DUMMYFUNCTION("""COMPUTED_VALUE"""),"NA")</f>
        <v>NA</v>
      </c>
      <c r="AS3048" s="8">
        <f ca="1">IFERROR(__xludf.DUMMYFUNCTION("""COMPUTED_VALUE"""),5)</f>
        <v>5</v>
      </c>
      <c r="AT3048" s="8"/>
      <c r="AU3048" s="8">
        <f ca="1">IFERROR(__xludf.DUMMYFUNCTION("""COMPUTED_VALUE"""),37.695982)</f>
        <v>37.695982000000001</v>
      </c>
      <c r="AV3048" s="8">
        <f ca="1">IFERROR(__xludf.DUMMYFUNCTION("""COMPUTED_VALUE"""),-122.466119)</f>
        <v>-122.46611900000001</v>
      </c>
      <c r="AW3048" s="8"/>
      <c r="AX3048" s="8">
        <f ca="1">IFERROR(__xludf.DUMMYFUNCTION("""COMPUTED_VALUE"""),94014)</f>
        <v>94014</v>
      </c>
    </row>
    <row r="3049" spans="1:50" ht="45" x14ac:dyDescent="0.2">
      <c r="A3049" s="8" t="str">
        <f ca="1">IFERROR(__xludf.DUMMYFUNCTION("""COMPUTED_VALUE"""),"19740519FLHIO")</f>
        <v>19740519FLHIO</v>
      </c>
      <c r="B3049" s="8">
        <f ca="1">IFERROR(__xludf.DUMMYFUNCTION("""COMPUTED_VALUE"""),5)</f>
        <v>5</v>
      </c>
      <c r="C3049" s="8">
        <f ca="1">IFERROR(__xludf.DUMMYFUNCTION("""COMPUTED_VALUE"""),19)</f>
        <v>19</v>
      </c>
      <c r="D3049" s="8">
        <f ca="1">IFERROR(__xludf.DUMMYFUNCTION("""COMPUTED_VALUE"""),1974)</f>
        <v>1974</v>
      </c>
      <c r="E3049" s="9">
        <f ca="1">IFERROR(__xludf.DUMMYFUNCTION("""COMPUTED_VALUE"""),27168)</f>
        <v>27168</v>
      </c>
      <c r="F3049" s="8" t="str">
        <f ca="1">IFERROR(__xludf.DUMMYFUNCTION("""COMPUTED_VALUE"""),"Highlands Elementary School")</f>
        <v>Highlands Elementary School</v>
      </c>
      <c r="G3049" s="8">
        <f ca="1">IFERROR(__xludf.DUMMYFUNCTION("""COMPUTED_VALUE"""),0)</f>
        <v>0</v>
      </c>
      <c r="H3049" s="8">
        <f ca="1">IFERROR(__xludf.DUMMYFUNCTION("""COMPUTED_VALUE"""),0)</f>
        <v>0</v>
      </c>
      <c r="I3049" s="8">
        <f ca="1">IFERROR(__xludf.DUMMYFUNCTION("""COMPUTED_VALUE"""),0)</f>
        <v>0</v>
      </c>
      <c r="J3049" s="8">
        <f ca="1">IFERROR(__xludf.DUMMYFUNCTION("""COMPUTED_VALUE"""),0)</f>
        <v>0</v>
      </c>
      <c r="K3049" s="10" t="str">
        <f ca="1">IFERROR(__xludf.DUMMYFUNCTION("""COMPUTED_VALUE"""),"https://www.newspapers.com/image/236492101/?terms=school%2Bshooting")</f>
        <v>https://www.newspapers.com/image/236492101/?terms=school%2Bshooting</v>
      </c>
      <c r="L3049" s="8"/>
      <c r="M3049" s="8"/>
      <c r="N3049" s="8">
        <f ca="1">IFERROR(__xludf.DUMMYFUNCTION("""COMPUTED_VALUE"""),2)</f>
        <v>2</v>
      </c>
      <c r="O3049" s="8" t="str">
        <f ca="1">IFERROR(__xludf.DUMMYFUNCTION("""COMPUTED_VALUE"""),"Spring")</f>
        <v>Spring</v>
      </c>
      <c r="P3049" s="8" t="str">
        <f ca="1">IFERROR(__xludf.DUMMYFUNCTION("""COMPUTED_VALUE"""),"Orlando")</f>
        <v>Orlando</v>
      </c>
      <c r="Q3049" s="8" t="str">
        <f ca="1">IFERROR(__xludf.DUMMYFUNCTION("""COMPUTED_VALUE"""),"FL")</f>
        <v>FL</v>
      </c>
      <c r="R3049" s="8" t="str">
        <f ca="1">IFERROR(__xludf.DUMMYFUNCTION("""COMPUTED_VALUE"""),"Elementary")</f>
        <v>Elementary</v>
      </c>
      <c r="S3049" s="8" t="str">
        <f ca="1">IFERROR(__xludf.DUMMYFUNCTION("""COMPUTED_VALUE"""),"Outside on School Property")</f>
        <v>Outside on School Property</v>
      </c>
      <c r="T3049" s="8" t="str">
        <f ca="1">IFERROR(__xludf.DUMMYFUNCTION("""COMPUTED_VALUE"""),"Outside on School Property")</f>
        <v>Outside on School Property</v>
      </c>
      <c r="U3049" s="8" t="str">
        <f ca="1">IFERROR(__xludf.DUMMYFUNCTION("""COMPUTED_VALUE"""),"No")</f>
        <v>No</v>
      </c>
      <c r="V3049" s="8" t="str">
        <f ca="1">IFERROR(__xludf.DUMMYFUNCTION("""COMPUTED_VALUE"""),"Not a School Day")</f>
        <v>Not a School Day</v>
      </c>
      <c r="W3049" s="8"/>
      <c r="X3049" s="8">
        <f ca="1">IFERROR(__xludf.DUMMYFUNCTION("""COMPUTED_VALUE"""),1)</f>
        <v>1</v>
      </c>
      <c r="Y3049" s="12" t="str">
        <f ca="1">IFERROR(__xludf.DUMMYFUNCTION("""COMPUTED_VALUE"""),"Fired shots at school where wife works as teacher")</f>
        <v>Fired shots at school where wife works as teacher</v>
      </c>
      <c r="Z3049" s="12" t="str">
        <f ca="1">IFERROR(__xludf.DUMMYFUNCTION("""COMPUTED_VALUE"""),"Husband fired shots at the school building where his wife works as a teacher.")</f>
        <v>Husband fired shots at the school building where his wife works as a teacher.</v>
      </c>
      <c r="AA3049" s="8" t="str">
        <f ca="1">IFERROR(__xludf.DUMMYFUNCTION("""COMPUTED_VALUE"""),"Domestic w/ Targeted Victim")</f>
        <v>Domestic w/ Targeted Victim</v>
      </c>
      <c r="AB3049" s="8"/>
      <c r="AC3049" s="8"/>
      <c r="AD3049" s="8" t="str">
        <f ca="1">IFERROR(__xludf.DUMMYFUNCTION("""COMPUTED_VALUE"""),"Victims Targeted")</f>
        <v>Victims Targeted</v>
      </c>
      <c r="AE3049" s="8" t="str">
        <f ca="1">IFERROR(__xludf.DUMMYFUNCTION("""COMPUTED_VALUE"""),"No")</f>
        <v>No</v>
      </c>
      <c r="AF3049" s="8"/>
      <c r="AG3049" s="8" t="str">
        <f ca="1">IFERROR(__xludf.DUMMYFUNCTION("""COMPUTED_VALUE"""),"No")</f>
        <v>No</v>
      </c>
      <c r="AH3049" s="8" t="str">
        <f ca="1">IFERROR(__xludf.DUMMYFUNCTION("""COMPUTED_VALUE"""),"No")</f>
        <v>No</v>
      </c>
      <c r="AI3049" s="8" t="str">
        <f ca="1">IFERROR(__xludf.DUMMYFUNCTION("""COMPUTED_VALUE"""),"No")</f>
        <v>No</v>
      </c>
      <c r="AJ3049" s="8" t="str">
        <f ca="1">IFERROR(__xludf.DUMMYFUNCTION("""COMPUTED_VALUE"""),"No")</f>
        <v>No</v>
      </c>
      <c r="AK3049" s="8" t="str">
        <f ca="1">IFERROR(__xludf.DUMMYFUNCTION("""COMPUTED_VALUE"""),"Yes")</f>
        <v>Yes</v>
      </c>
      <c r="AL3049" s="8" t="str">
        <f ca="1">IFERROR(__xludf.DUMMYFUNCTION("""COMPUTED_VALUE"""),"No")</f>
        <v>No</v>
      </c>
      <c r="AM3049" s="8"/>
      <c r="AN3049" s="8"/>
      <c r="AO3049" s="8" t="str">
        <f ca="1">IFERROR(__xludf.DUMMYFUNCTION("""COMPUTED_VALUE"""),"No")</f>
        <v>No</v>
      </c>
      <c r="AP3049" s="8"/>
      <c r="AQ3049" s="8" t="str">
        <f ca="1">IFERROR(__xludf.DUMMYFUNCTION("""COMPUTED_VALUE"""),"Unknown")</f>
        <v>Unknown</v>
      </c>
      <c r="AR3049" s="8" t="str">
        <f ca="1">IFERROR(__xludf.DUMMYFUNCTION("""COMPUTED_VALUE"""),"NA")</f>
        <v>NA</v>
      </c>
      <c r="AS3049" s="8" t="str">
        <f ca="1">IFERROR(__xludf.DUMMYFUNCTION("""COMPUTED_VALUE"""),"&lt;10")</f>
        <v>&lt;10</v>
      </c>
      <c r="AT3049" s="8"/>
      <c r="AU3049" s="8">
        <f ca="1">IFERROR(__xludf.DUMMYFUNCTION("""COMPUTED_VALUE"""),28.31759)</f>
        <v>28.317589999999999</v>
      </c>
      <c r="AV3049" s="8">
        <f ca="1">IFERROR(__xludf.DUMMYFUNCTION("""COMPUTED_VALUE"""),-81.411868)</f>
        <v>-81.411867999999998</v>
      </c>
      <c r="AW3049" s="8"/>
      <c r="AX3049" s="8">
        <f ca="1">IFERROR(__xludf.DUMMYFUNCTION("""COMPUTED_VALUE"""),34741)</f>
        <v>34741</v>
      </c>
    </row>
    <row r="3050" spans="1:50" ht="75" x14ac:dyDescent="0.2">
      <c r="A3050" s="8" t="str">
        <f ca="1">IFERROR(__xludf.DUMMYFUNCTION("""COMPUTED_VALUE"""),"19740510TNCHR")</f>
        <v>19740510TNCHR</v>
      </c>
      <c r="B3050" s="8">
        <f ca="1">IFERROR(__xludf.DUMMYFUNCTION("""COMPUTED_VALUE"""),5)</f>
        <v>5</v>
      </c>
      <c r="C3050" s="8">
        <f ca="1">IFERROR(__xludf.DUMMYFUNCTION("""COMPUTED_VALUE"""),10)</f>
        <v>10</v>
      </c>
      <c r="D3050" s="8">
        <f ca="1">IFERROR(__xludf.DUMMYFUNCTION("""COMPUTED_VALUE"""),1974)</f>
        <v>1974</v>
      </c>
      <c r="E3050" s="9">
        <f ca="1">IFERROR(__xludf.DUMMYFUNCTION("""COMPUTED_VALUE"""),27159)</f>
        <v>27159</v>
      </c>
      <c r="F3050" s="8" t="str">
        <f ca="1">IFERROR(__xludf.DUMMYFUNCTION("""COMPUTED_VALUE"""),"Church Hill High School")</f>
        <v>Church Hill High School</v>
      </c>
      <c r="G3050" s="8">
        <f ca="1">IFERROR(__xludf.DUMMYFUNCTION("""COMPUTED_VALUE"""),1)</f>
        <v>1</v>
      </c>
      <c r="H3050" s="8">
        <f ca="1">IFERROR(__xludf.DUMMYFUNCTION("""COMPUTED_VALUE"""),0)</f>
        <v>0</v>
      </c>
      <c r="I3050" s="8">
        <f ca="1">IFERROR(__xludf.DUMMYFUNCTION("""COMPUTED_VALUE"""),1)</f>
        <v>1</v>
      </c>
      <c r="J3050" s="8">
        <f ca="1">IFERROR(__xludf.DUMMYFUNCTION("""COMPUTED_VALUE"""),0)</f>
        <v>0</v>
      </c>
      <c r="K3050" s="8" t="str">
        <f ca="1">IFERROR(__xludf.DUMMYFUNCTION("""COMPUTED_VALUE"""),"https://www.newspapers.com/image/68924341/?terms=school%2Bshooting;  https://www.newspapers.com/image/69641003/?terms=paul%2Bconrad%2Bsmith")</f>
        <v>https://www.newspapers.com/image/68924341/?terms=school%2Bshooting;  https://www.newspapers.com/image/69641003/?terms=paul%2Bconrad%2Bsmith</v>
      </c>
      <c r="L3050" s="8"/>
      <c r="M3050" s="8"/>
      <c r="N3050" s="8">
        <f ca="1">IFERROR(__xludf.DUMMYFUNCTION("""COMPUTED_VALUE"""),3)</f>
        <v>3</v>
      </c>
      <c r="O3050" s="8" t="str">
        <f ca="1">IFERROR(__xludf.DUMMYFUNCTION("""COMPUTED_VALUE"""),"Spring")</f>
        <v>Spring</v>
      </c>
      <c r="P3050" s="8" t="str">
        <f ca="1">IFERROR(__xludf.DUMMYFUNCTION("""COMPUTED_VALUE"""),"Rogersville")</f>
        <v>Rogersville</v>
      </c>
      <c r="Q3050" s="8" t="str">
        <f ca="1">IFERROR(__xludf.DUMMYFUNCTION("""COMPUTED_VALUE"""),"TN")</f>
        <v>TN</v>
      </c>
      <c r="R3050" s="8" t="str">
        <f ca="1">IFERROR(__xludf.DUMMYFUNCTION("""COMPUTED_VALUE"""),"High")</f>
        <v>High</v>
      </c>
      <c r="S3050" s="8" t="str">
        <f ca="1">IFERROR(__xludf.DUMMYFUNCTION("""COMPUTED_VALUE"""),"Parking Lot")</f>
        <v>Parking Lot</v>
      </c>
      <c r="T3050" s="8" t="str">
        <f ca="1">IFERROR(__xludf.DUMMYFUNCTION("""COMPUTED_VALUE"""),"Outside on School Property")</f>
        <v>Outside on School Property</v>
      </c>
      <c r="U3050" s="8" t="str">
        <f ca="1">IFERROR(__xludf.DUMMYFUNCTION("""COMPUTED_VALUE"""),"No")</f>
        <v>No</v>
      </c>
      <c r="V3050" s="8" t="str">
        <f ca="1">IFERROR(__xludf.DUMMYFUNCTION("""COMPUTED_VALUE"""),"Evening")</f>
        <v>Evening</v>
      </c>
      <c r="W3050" s="8"/>
      <c r="X3050" s="8">
        <f ca="1">IFERROR(__xludf.DUMMYFUNCTION("""COMPUTED_VALUE"""),1)</f>
        <v>1</v>
      </c>
      <c r="Y3050" s="12" t="str">
        <f ca="1">IFERROR(__xludf.DUMMYFUNCTION("""COMPUTED_VALUE"""),"Fight between two males in school parking lot escalated to shooting")</f>
        <v>Fight between two males in school parking lot escalated to shooting</v>
      </c>
      <c r="Z3050" s="12" t="str">
        <f ca="1">IFERROR(__xludf.DUMMYFUNCTION("""COMPUTED_VALUE"""),"Escalation of Ongoing feud between two students occurred in school parking lot.")</f>
        <v>Escalation of Ongoing feud between two students occurred in school parking lot.</v>
      </c>
      <c r="AA3050" s="8" t="str">
        <f ca="1">IFERROR(__xludf.DUMMYFUNCTION("""COMPUTED_VALUE"""),"Escalation of Dispute")</f>
        <v>Escalation of Dispute</v>
      </c>
      <c r="AB3050" s="8"/>
      <c r="AC3050" s="8"/>
      <c r="AD3050" s="8" t="str">
        <f ca="1">IFERROR(__xludf.DUMMYFUNCTION("""COMPUTED_VALUE"""),"Victims Targeted")</f>
        <v>Victims Targeted</v>
      </c>
      <c r="AE3050" s="8"/>
      <c r="AF3050" s="8"/>
      <c r="AG3050" s="8" t="str">
        <f ca="1">IFERROR(__xludf.DUMMYFUNCTION("""COMPUTED_VALUE"""),"No")</f>
        <v>No</v>
      </c>
      <c r="AH3050" s="8" t="str">
        <f ca="1">IFERROR(__xludf.DUMMYFUNCTION("""COMPUTED_VALUE"""),"No")</f>
        <v>No</v>
      </c>
      <c r="AI3050" s="8" t="str">
        <f ca="1">IFERROR(__xludf.DUMMYFUNCTION("""COMPUTED_VALUE"""),"No")</f>
        <v>No</v>
      </c>
      <c r="AJ3050" s="8" t="str">
        <f ca="1">IFERROR(__xludf.DUMMYFUNCTION("""COMPUTED_VALUE"""),"No")</f>
        <v>No</v>
      </c>
      <c r="AK3050" s="8" t="str">
        <f ca="1">IFERROR(__xludf.DUMMYFUNCTION("""COMPUTED_VALUE"""),"No")</f>
        <v>No</v>
      </c>
      <c r="AL3050" s="8" t="str">
        <f ca="1">IFERROR(__xludf.DUMMYFUNCTION("""COMPUTED_VALUE"""),"No")</f>
        <v>No</v>
      </c>
      <c r="AM3050" s="8"/>
      <c r="AN3050" s="8"/>
      <c r="AO3050" s="8" t="str">
        <f ca="1">IFERROR(__xludf.DUMMYFUNCTION("""COMPUTED_VALUE"""),"No")</f>
        <v>No</v>
      </c>
      <c r="AP3050" s="8"/>
      <c r="AQ3050" s="8" t="str">
        <f ca="1">IFERROR(__xludf.DUMMYFUNCTION("""COMPUTED_VALUE"""),"Unknown")</f>
        <v>Unknown</v>
      </c>
      <c r="AR3050" s="8" t="str">
        <f ca="1">IFERROR(__xludf.DUMMYFUNCTION("""COMPUTED_VALUE"""),"NA")</f>
        <v>NA</v>
      </c>
      <c r="AS3050" s="8">
        <f ca="1">IFERROR(__xludf.DUMMYFUNCTION("""COMPUTED_VALUE"""),2)</f>
        <v>2</v>
      </c>
      <c r="AT3050" s="8"/>
      <c r="AU3050" s="8">
        <f ca="1">IFERROR(__xludf.DUMMYFUNCTION("""COMPUTED_VALUE"""),36.525874)</f>
        <v>36.525874000000002</v>
      </c>
      <c r="AV3050" s="8">
        <f ca="1">IFERROR(__xludf.DUMMYFUNCTION("""COMPUTED_VALUE"""),-82.709244)</f>
        <v>-82.709243999999998</v>
      </c>
      <c r="AW3050" s="8"/>
      <c r="AX3050" s="8">
        <f ca="1">IFERROR(__xludf.DUMMYFUNCTION("""COMPUTED_VALUE"""),37642)</f>
        <v>37642</v>
      </c>
    </row>
    <row r="3051" spans="1:50" ht="45" x14ac:dyDescent="0.2">
      <c r="A3051" s="8" t="str">
        <f ca="1">IFERROR(__xludf.DUMMYFUNCTION("""COMPUTED_VALUE"""),"19740402CTSTB")</f>
        <v>19740402CTSTB</v>
      </c>
      <c r="B3051" s="8">
        <f ca="1">IFERROR(__xludf.DUMMYFUNCTION("""COMPUTED_VALUE"""),4)</f>
        <v>4</v>
      </c>
      <c r="C3051" s="8">
        <f ca="1">IFERROR(__xludf.DUMMYFUNCTION("""COMPUTED_VALUE"""),2)</f>
        <v>2</v>
      </c>
      <c r="D3051" s="8">
        <f ca="1">IFERROR(__xludf.DUMMYFUNCTION("""COMPUTED_VALUE"""),1974)</f>
        <v>1974</v>
      </c>
      <c r="E3051" s="9">
        <f ca="1">IFERROR(__xludf.DUMMYFUNCTION("""COMPUTED_VALUE"""),27121)</f>
        <v>27121</v>
      </c>
      <c r="F3051" s="8" t="str">
        <f ca="1">IFERROR(__xludf.DUMMYFUNCTION("""COMPUTED_VALUE"""),"St. Stephen's Parochial School")</f>
        <v>St. Stephen's Parochial School</v>
      </c>
      <c r="G3051" s="8">
        <f ca="1">IFERROR(__xludf.DUMMYFUNCTION("""COMPUTED_VALUE"""),0)</f>
        <v>0</v>
      </c>
      <c r="H3051" s="8">
        <f ca="1">IFERROR(__xludf.DUMMYFUNCTION("""COMPUTED_VALUE"""),2)</f>
        <v>2</v>
      </c>
      <c r="I3051" s="8">
        <f ca="1">IFERROR(__xludf.DUMMYFUNCTION("""COMPUTED_VALUE"""),2)</f>
        <v>2</v>
      </c>
      <c r="J3051" s="8">
        <f ca="1">IFERROR(__xludf.DUMMYFUNCTION("""COMPUTED_VALUE"""),0)</f>
        <v>0</v>
      </c>
      <c r="K3051" s="10" t="str">
        <f ca="1">IFERROR(__xludf.DUMMYFUNCTION("""COMPUTED_VALUE"""),"https://www.newspapers.com/image/60655345/?terms=school%2Bshooting")</f>
        <v>https://www.newspapers.com/image/60655345/?terms=school%2Bshooting</v>
      </c>
      <c r="L3051" s="8"/>
      <c r="M3051" s="8"/>
      <c r="N3051" s="8">
        <f ca="1">IFERROR(__xludf.DUMMYFUNCTION("""COMPUTED_VALUE"""),2)</f>
        <v>2</v>
      </c>
      <c r="O3051" s="8" t="str">
        <f ca="1">IFERROR(__xludf.DUMMYFUNCTION("""COMPUTED_VALUE"""),"Spring")</f>
        <v>Spring</v>
      </c>
      <c r="P3051" s="8" t="str">
        <f ca="1">IFERROR(__xludf.DUMMYFUNCTION("""COMPUTED_VALUE"""),"Bridgeport")</f>
        <v>Bridgeport</v>
      </c>
      <c r="Q3051" s="8" t="str">
        <f ca="1">IFERROR(__xludf.DUMMYFUNCTION("""COMPUTED_VALUE"""),"CT")</f>
        <v>CT</v>
      </c>
      <c r="R3051" s="8" t="str">
        <f ca="1">IFERROR(__xludf.DUMMYFUNCTION("""COMPUTED_VALUE"""),"Other")</f>
        <v>Other</v>
      </c>
      <c r="S3051" s="8" t="str">
        <f ca="1">IFERROR(__xludf.DUMMYFUNCTION("""COMPUTED_VALUE"""),"Classroom")</f>
        <v>Classroom</v>
      </c>
      <c r="T3051" s="8" t="str">
        <f ca="1">IFERROR(__xludf.DUMMYFUNCTION("""COMPUTED_VALUE"""),"Inside School Building")</f>
        <v>Inside School Building</v>
      </c>
      <c r="U3051" s="8" t="str">
        <f ca="1">IFERROR(__xludf.DUMMYFUNCTION("""COMPUTED_VALUE"""),"Yes")</f>
        <v>Yes</v>
      </c>
      <c r="V3051" s="8" t="str">
        <f ca="1">IFERROR(__xludf.DUMMYFUNCTION("""COMPUTED_VALUE"""),"Afternoon Classes")</f>
        <v>Afternoon Classes</v>
      </c>
      <c r="W3051" s="11">
        <f ca="1">IFERROR(__xludf.DUMMYFUNCTION("""COMPUTED_VALUE"""),0.552083333333333)</f>
        <v>0.55208333333333304</v>
      </c>
      <c r="X3051" s="8">
        <f ca="1">IFERROR(__xludf.DUMMYFUNCTION("""COMPUTED_VALUE"""),1)</f>
        <v>1</v>
      </c>
      <c r="Y3051" s="12" t="str">
        <f ca="1">IFERROR(__xludf.DUMMYFUNCTION("""COMPUTED_VALUE"""),"Shots fired through classroom window")</f>
        <v>Shots fired through classroom window</v>
      </c>
      <c r="Z3051" s="12" t="str">
        <f ca="1">IFERROR(__xludf.DUMMYFUNCTION("""COMPUTED_VALUE"""),"Shots fired through window of the school striking a teacher and 5 year-old male student. No witnesses or information about the shooter.")</f>
        <v>Shots fired through window of the school striking a teacher and 5 year-old male student. No witnesses or information about the shooter.</v>
      </c>
      <c r="AA3051" s="8" t="str">
        <f ca="1">IFERROR(__xludf.DUMMYFUNCTION("""COMPUTED_VALUE"""),"Intentional Property Damage")</f>
        <v>Intentional Property Damage</v>
      </c>
      <c r="AB3051" s="8"/>
      <c r="AC3051" s="8"/>
      <c r="AD3051" s="8"/>
      <c r="AE3051" s="8" t="str">
        <f ca="1">IFERROR(__xludf.DUMMYFUNCTION("""COMPUTED_VALUE"""),"No")</f>
        <v>No</v>
      </c>
      <c r="AF3051" s="8"/>
      <c r="AG3051" s="8" t="str">
        <f ca="1">IFERROR(__xludf.DUMMYFUNCTION("""COMPUTED_VALUE"""),"No")</f>
        <v>No</v>
      </c>
      <c r="AH3051" s="8" t="str">
        <f ca="1">IFERROR(__xludf.DUMMYFUNCTION("""COMPUTED_VALUE"""),"No")</f>
        <v>No</v>
      </c>
      <c r="AI3051" s="8" t="str">
        <f ca="1">IFERROR(__xludf.DUMMYFUNCTION("""COMPUTED_VALUE"""),"No")</f>
        <v>No</v>
      </c>
      <c r="AJ3051" s="8" t="str">
        <f ca="1">IFERROR(__xludf.DUMMYFUNCTION("""COMPUTED_VALUE"""),"No")</f>
        <v>No</v>
      </c>
      <c r="AK3051" s="8"/>
      <c r="AL3051" s="8" t="str">
        <f ca="1">IFERROR(__xludf.DUMMYFUNCTION("""COMPUTED_VALUE"""),"No")</f>
        <v>No</v>
      </c>
      <c r="AM3051" s="8"/>
      <c r="AN3051" s="8"/>
      <c r="AO3051" s="8" t="str">
        <f ca="1">IFERROR(__xludf.DUMMYFUNCTION("""COMPUTED_VALUE"""),"No")</f>
        <v>No</v>
      </c>
      <c r="AP3051" s="8"/>
      <c r="AQ3051" s="8" t="str">
        <f ca="1">IFERROR(__xludf.DUMMYFUNCTION("""COMPUTED_VALUE"""),"Unknown")</f>
        <v>Unknown</v>
      </c>
      <c r="AR3051" s="8" t="str">
        <f ca="1">IFERROR(__xludf.DUMMYFUNCTION("""COMPUTED_VALUE"""),"NA")</f>
        <v>NA</v>
      </c>
      <c r="AS3051" s="8"/>
      <c r="AT3051" s="8"/>
      <c r="AU3051" s="8">
        <f ca="1">IFERROR(__xludf.DUMMYFUNCTION("""COMPUTED_VALUE"""),41.198692)</f>
        <v>41.198692000000001</v>
      </c>
      <c r="AV3051" s="8">
        <f ca="1">IFERROR(__xludf.DUMMYFUNCTION("""COMPUTED_VALUE"""),-73.190596)</f>
        <v>-73.190595999999999</v>
      </c>
      <c r="AW3051" s="8"/>
      <c r="AX3051" s="8">
        <f ca="1">IFERROR(__xludf.DUMMYFUNCTION("""COMPUTED_VALUE"""),6606)</f>
        <v>6606</v>
      </c>
    </row>
    <row r="3052" spans="1:50" ht="60" x14ac:dyDescent="0.2">
      <c r="A3052" s="8" t="str">
        <f ca="1">IFERROR(__xludf.DUMMYFUNCTION("""COMPUTED_VALUE"""),"19740322INBRB")</f>
        <v>19740322INBRB</v>
      </c>
      <c r="B3052" s="8">
        <f ca="1">IFERROR(__xludf.DUMMYFUNCTION("""COMPUTED_VALUE"""),3)</f>
        <v>3</v>
      </c>
      <c r="C3052" s="8">
        <f ca="1">IFERROR(__xludf.DUMMYFUNCTION("""COMPUTED_VALUE"""),22)</f>
        <v>22</v>
      </c>
      <c r="D3052" s="8">
        <f ca="1">IFERROR(__xludf.DUMMYFUNCTION("""COMPUTED_VALUE"""),1974)</f>
        <v>1974</v>
      </c>
      <c r="E3052" s="9">
        <f ca="1">IFERROR(__xludf.DUMMYFUNCTION("""COMPUTED_VALUE"""),27110)</f>
        <v>27110</v>
      </c>
      <c r="F3052" s="8" t="str">
        <f ca="1">IFERROR(__xludf.DUMMYFUNCTION("""COMPUTED_VALUE"""),"Brownstown Central High School")</f>
        <v>Brownstown Central High School</v>
      </c>
      <c r="G3052" s="8">
        <f ca="1">IFERROR(__xludf.DUMMYFUNCTION("""COMPUTED_VALUE"""),1)</f>
        <v>1</v>
      </c>
      <c r="H3052" s="8">
        <f ca="1">IFERROR(__xludf.DUMMYFUNCTION("""COMPUTED_VALUE"""),0)</f>
        <v>0</v>
      </c>
      <c r="I3052" s="8">
        <f ca="1">IFERROR(__xludf.DUMMYFUNCTION("""COMPUTED_VALUE"""),1)</f>
        <v>1</v>
      </c>
      <c r="J3052" s="8">
        <f ca="1">IFERROR(__xludf.DUMMYFUNCTION("""COMPUTED_VALUE"""),0)</f>
        <v>0</v>
      </c>
      <c r="K3052" s="8" t="str">
        <f ca="1">IFERROR(__xludf.DUMMYFUNCTION("""COMPUTED_VALUE"""),"https://www.newspapers.com/image/138665845/?terms=Brownstown%2BCentral%2BHigh%2BSchool%2Bshooting   https://www.newspapers.com/image/138700024/?terms=david%2Bfleetwood")</f>
        <v>https://www.newspapers.com/image/138665845/?terms=Brownstown%2BCentral%2BHigh%2BSchool%2Bshooting   https://www.newspapers.com/image/138700024/?terms=david%2Bfleetwood</v>
      </c>
      <c r="L3052" s="8"/>
      <c r="M3052" s="8"/>
      <c r="N3052" s="8">
        <f ca="1">IFERROR(__xludf.DUMMYFUNCTION("""COMPUTED_VALUE"""),2)</f>
        <v>2</v>
      </c>
      <c r="O3052" s="8" t="str">
        <f ca="1">IFERROR(__xludf.DUMMYFUNCTION("""COMPUTED_VALUE"""),"Spring")</f>
        <v>Spring</v>
      </c>
      <c r="P3052" s="8" t="str">
        <f ca="1">IFERROR(__xludf.DUMMYFUNCTION("""COMPUTED_VALUE"""),"Brownstown")</f>
        <v>Brownstown</v>
      </c>
      <c r="Q3052" s="8" t="str">
        <f ca="1">IFERROR(__xludf.DUMMYFUNCTION("""COMPUTED_VALUE"""),"IN")</f>
        <v>IN</v>
      </c>
      <c r="R3052" s="8" t="str">
        <f ca="1">IFERROR(__xludf.DUMMYFUNCTION("""COMPUTED_VALUE"""),"High")</f>
        <v>High</v>
      </c>
      <c r="S3052" s="8" t="str">
        <f ca="1">IFERROR(__xludf.DUMMYFUNCTION("""COMPUTED_VALUE"""),"Parking Lot")</f>
        <v>Parking Lot</v>
      </c>
      <c r="T3052" s="8" t="str">
        <f ca="1">IFERROR(__xludf.DUMMYFUNCTION("""COMPUTED_VALUE"""),"Outside on School Property")</f>
        <v>Outside on School Property</v>
      </c>
      <c r="U3052" s="8" t="str">
        <f ca="1">IFERROR(__xludf.DUMMYFUNCTION("""COMPUTED_VALUE"""),"Yes")</f>
        <v>Yes</v>
      </c>
      <c r="V3052" s="8" t="str">
        <f ca="1">IFERROR(__xludf.DUMMYFUNCTION("""COMPUTED_VALUE"""),"School Start")</f>
        <v>School Start</v>
      </c>
      <c r="W3052" s="11">
        <f ca="1">IFERROR(__xludf.DUMMYFUNCTION("""COMPUTED_VALUE"""),0.333333333333333)</f>
        <v>0.33333333333333298</v>
      </c>
      <c r="X3052" s="8">
        <f ca="1">IFERROR(__xludf.DUMMYFUNCTION("""COMPUTED_VALUE"""),1)</f>
        <v>1</v>
      </c>
      <c r="Y3052" s="12" t="str">
        <f ca="1">IFERROR(__xludf.DUMMYFUNCTION("""COMPUTED_VALUE"""),"Student shot assistant principal in school parking lot")</f>
        <v>Student shot assistant principal in school parking lot</v>
      </c>
      <c r="Z3052" s="12" t="str">
        <f ca="1">IFERROR(__xludf.DUMMYFUNCTION("""COMPUTED_VALUE"""),"48 year-old male (James T. Blevins, school athletic director) was shot and killed in the parking lot just before class. Shooter walked to principal, told him to call 911, and that he just shot Mr. Blevins. Unknown motive.")</f>
        <v>48 year-old male (James T. Blevins, school athletic director) was shot and killed in the parking lot just before class. Shooter walked to principal, told him to call 911, and that he just shot Mr. Blevins. Unknown motive.</v>
      </c>
      <c r="AA3052" s="8" t="str">
        <f ca="1">IFERROR(__xludf.DUMMYFUNCTION("""COMPUTED_VALUE"""),"Anger Over Grade/Suspension/Discipline")</f>
        <v>Anger Over Grade/Suspension/Discipline</v>
      </c>
      <c r="AB3052" s="8"/>
      <c r="AC3052" s="8" t="str">
        <f ca="1">IFERROR(__xludf.DUMMYFUNCTION("""COMPUTED_VALUE"""),"Yes")</f>
        <v>Yes</v>
      </c>
      <c r="AD3052" s="8" t="str">
        <f ca="1">IFERROR(__xludf.DUMMYFUNCTION("""COMPUTED_VALUE"""),"Victims Targeted")</f>
        <v>Victims Targeted</v>
      </c>
      <c r="AE3052" s="8" t="str">
        <f ca="1">IFERROR(__xludf.DUMMYFUNCTION("""COMPUTED_VALUE"""),"No")</f>
        <v>No</v>
      </c>
      <c r="AF3052" s="8"/>
      <c r="AG3052" s="8" t="str">
        <f ca="1">IFERROR(__xludf.DUMMYFUNCTION("""COMPUTED_VALUE"""),"No")</f>
        <v>No</v>
      </c>
      <c r="AH3052" s="8" t="str">
        <f ca="1">IFERROR(__xludf.DUMMYFUNCTION("""COMPUTED_VALUE"""),"No")</f>
        <v>No</v>
      </c>
      <c r="AI3052" s="8" t="str">
        <f ca="1">IFERROR(__xludf.DUMMYFUNCTION("""COMPUTED_VALUE"""),"No")</f>
        <v>No</v>
      </c>
      <c r="AJ3052" s="8" t="str">
        <f ca="1">IFERROR(__xludf.DUMMYFUNCTION("""COMPUTED_VALUE"""),"No")</f>
        <v>No</v>
      </c>
      <c r="AK3052" s="8" t="str">
        <f ca="1">IFERROR(__xludf.DUMMYFUNCTION("""COMPUTED_VALUE"""),"No")</f>
        <v>No</v>
      </c>
      <c r="AL3052" s="8" t="str">
        <f ca="1">IFERROR(__xludf.DUMMYFUNCTION("""COMPUTED_VALUE"""),"No")</f>
        <v>No</v>
      </c>
      <c r="AM3052" s="8"/>
      <c r="AN3052" s="8" t="str">
        <f ca="1">IFERROR(__xludf.DUMMYFUNCTION("""COMPUTED_VALUE"""),"Outside")</f>
        <v>Outside</v>
      </c>
      <c r="AO3052" s="8" t="str">
        <f ca="1">IFERROR(__xludf.DUMMYFUNCTION("""COMPUTED_VALUE"""),"Yes")</f>
        <v>Yes</v>
      </c>
      <c r="AP3052" s="8" t="str">
        <f ca="1">IFERROR(__xludf.DUMMYFUNCTION("""COMPUTED_VALUE"""),"No")</f>
        <v>No</v>
      </c>
      <c r="AQ3052" s="8" t="str">
        <f ca="1">IFERROR(__xludf.DUMMYFUNCTION("""COMPUTED_VALUE"""),"None")</f>
        <v>None</v>
      </c>
      <c r="AR3052" s="8" t="str">
        <f ca="1">IFERROR(__xludf.DUMMYFUNCTION("""COMPUTED_VALUE"""),"NA")</f>
        <v>NA</v>
      </c>
      <c r="AS3052" s="8">
        <f ca="1">IFERROR(__xludf.DUMMYFUNCTION("""COMPUTED_VALUE"""),2)</f>
        <v>2</v>
      </c>
      <c r="AT3052" s="8"/>
      <c r="AU3052" s="8">
        <f ca="1">IFERROR(__xludf.DUMMYFUNCTION("""COMPUTED_VALUE"""),38.885803)</f>
        <v>38.885803000000003</v>
      </c>
      <c r="AV3052" s="8">
        <f ca="1">IFERROR(__xludf.DUMMYFUNCTION("""COMPUTED_VALUE"""),-86.045809)</f>
        <v>-86.045809000000006</v>
      </c>
      <c r="AW3052" s="8"/>
      <c r="AX3052" s="8">
        <f ca="1">IFERROR(__xludf.DUMMYFUNCTION("""COMPUTED_VALUE"""),47220)</f>
        <v>47220</v>
      </c>
    </row>
    <row r="3053" spans="1:50" ht="75" x14ac:dyDescent="0.2">
      <c r="A3053" s="8" t="str">
        <f ca="1">IFERROR(__xludf.DUMMYFUNCTION("""COMPUTED_VALUE"""),"19740207CAJAO")</f>
        <v>19740207CAJAO</v>
      </c>
      <c r="B3053" s="8">
        <f ca="1">IFERROR(__xludf.DUMMYFUNCTION("""COMPUTED_VALUE"""),2)</f>
        <v>2</v>
      </c>
      <c r="C3053" s="8">
        <f ca="1">IFERROR(__xludf.DUMMYFUNCTION("""COMPUTED_VALUE"""),7)</f>
        <v>7</v>
      </c>
      <c r="D3053" s="8">
        <f ca="1">IFERROR(__xludf.DUMMYFUNCTION("""COMPUTED_VALUE"""),1974)</f>
        <v>1974</v>
      </c>
      <c r="E3053" s="9">
        <f ca="1">IFERROR(__xludf.DUMMYFUNCTION("""COMPUTED_VALUE"""),27067)</f>
        <v>27067</v>
      </c>
      <c r="F3053" s="8" t="str">
        <f ca="1">IFERROR(__xludf.DUMMYFUNCTION("""COMPUTED_VALUE"""),"James Madison Junior High School")</f>
        <v>James Madison Junior High School</v>
      </c>
      <c r="G3053" s="8">
        <f ca="1">IFERROR(__xludf.DUMMYFUNCTION("""COMPUTED_VALUE"""),2)</f>
        <v>2</v>
      </c>
      <c r="H3053" s="8">
        <f ca="1">IFERROR(__xludf.DUMMYFUNCTION("""COMPUTED_VALUE"""),0)</f>
        <v>0</v>
      </c>
      <c r="I3053" s="8">
        <f ca="1">IFERROR(__xludf.DUMMYFUNCTION("""COMPUTED_VALUE"""),2)</f>
        <v>2</v>
      </c>
      <c r="J3053" s="8">
        <f ca="1">IFERROR(__xludf.DUMMYFUNCTION("""COMPUTED_VALUE"""),0)</f>
        <v>0</v>
      </c>
      <c r="K3053" s="10" t="str">
        <f ca="1">IFERROR(__xludf.DUMMYFUNCTION("""COMPUTED_VALUE"""),"https://www.newspapers.com/image/63455706/?terms=school%2Bshooting")</f>
        <v>https://www.newspapers.com/image/63455706/?terms=school%2Bshooting</v>
      </c>
      <c r="L3053" s="8"/>
      <c r="M3053" s="8"/>
      <c r="N3053" s="8">
        <f ca="1">IFERROR(__xludf.DUMMYFUNCTION("""COMPUTED_VALUE"""),2)</f>
        <v>2</v>
      </c>
      <c r="O3053" s="8" t="str">
        <f ca="1">IFERROR(__xludf.DUMMYFUNCTION("""COMPUTED_VALUE"""),"Winter")</f>
        <v>Winter</v>
      </c>
      <c r="P3053" s="8" t="str">
        <f ca="1">IFERROR(__xludf.DUMMYFUNCTION("""COMPUTED_VALUE"""),"Oakland")</f>
        <v>Oakland</v>
      </c>
      <c r="Q3053" s="8" t="str">
        <f ca="1">IFERROR(__xludf.DUMMYFUNCTION("""COMPUTED_VALUE"""),"CA")</f>
        <v>CA</v>
      </c>
      <c r="R3053" s="8" t="str">
        <f ca="1">IFERROR(__xludf.DUMMYFUNCTION("""COMPUTED_VALUE"""),"Junior High")</f>
        <v>Junior High</v>
      </c>
      <c r="S3053" s="8" t="str">
        <f ca="1">IFERROR(__xludf.DUMMYFUNCTION("""COMPUTED_VALUE"""),"Hallway")</f>
        <v>Hallway</v>
      </c>
      <c r="T3053" s="8" t="str">
        <f ca="1">IFERROR(__xludf.DUMMYFUNCTION("""COMPUTED_VALUE"""),"Inside School Building")</f>
        <v>Inside School Building</v>
      </c>
      <c r="U3053" s="8" t="str">
        <f ca="1">IFERROR(__xludf.DUMMYFUNCTION("""COMPUTED_VALUE"""),"Yes")</f>
        <v>Yes</v>
      </c>
      <c r="V3053" s="8" t="str">
        <f ca="1">IFERROR(__xludf.DUMMYFUNCTION("""COMPUTED_VALUE"""),"Lunch")</f>
        <v>Lunch</v>
      </c>
      <c r="W3053" s="8"/>
      <c r="X3053" s="8"/>
      <c r="Y3053" s="12" t="str">
        <f ca="1">IFERROR(__xludf.DUMMYFUNCTION("""COMPUTED_VALUE"""),"Created disturbance at school, shot 2 officers who responded")</f>
        <v>Created disturbance at school, shot 2 officers who responded</v>
      </c>
      <c r="Z3053" s="12" t="str">
        <f ca="1">IFERROR(__xludf.DUMMYFUNCTION("""COMPUTED_VALUE"""),"24 year-old male created disturbance in Junior High School hallway. When police responded, he took one of the officer's gun and killed both of them. Fled to nearby apartment building and held hostages before being shot by police.")</f>
        <v>24 year-old male created disturbance in Junior High School hallway. When police responded, he took one of the officer's gun and killed both of them. Fled to nearby apartment building and held hostages before being shot by police.</v>
      </c>
      <c r="AA3053" s="8" t="str">
        <f ca="1">IFERROR(__xludf.DUMMYFUNCTION("""COMPUTED_VALUE"""),"Hostage/Standoff")</f>
        <v>Hostage/Standoff</v>
      </c>
      <c r="AB3053" s="8"/>
      <c r="AC3053" s="8"/>
      <c r="AD3053" s="8" t="str">
        <f ca="1">IFERROR(__xludf.DUMMYFUNCTION("""COMPUTED_VALUE"""),"Neither")</f>
        <v>Neither</v>
      </c>
      <c r="AE3053" s="8" t="str">
        <f ca="1">IFERROR(__xludf.DUMMYFUNCTION("""COMPUTED_VALUE"""),"No")</f>
        <v>No</v>
      </c>
      <c r="AF3053" s="8"/>
      <c r="AG3053" s="8" t="str">
        <f ca="1">IFERROR(__xludf.DUMMYFUNCTION("""COMPUTED_VALUE"""),"No")</f>
        <v>No</v>
      </c>
      <c r="AH3053" s="8" t="str">
        <f ca="1">IFERROR(__xludf.DUMMYFUNCTION("""COMPUTED_VALUE"""),"No")</f>
        <v>No</v>
      </c>
      <c r="AI3053" s="8" t="str">
        <f ca="1">IFERROR(__xludf.DUMMYFUNCTION("""COMPUTED_VALUE"""),"No")</f>
        <v>No</v>
      </c>
      <c r="AJ3053" s="8" t="str">
        <f ca="1">IFERROR(__xludf.DUMMYFUNCTION("""COMPUTED_VALUE"""),"No")</f>
        <v>No</v>
      </c>
      <c r="AK3053" s="8" t="str">
        <f ca="1">IFERROR(__xludf.DUMMYFUNCTION("""COMPUTED_VALUE"""),"No")</f>
        <v>No</v>
      </c>
      <c r="AL3053" s="8" t="str">
        <f ca="1">IFERROR(__xludf.DUMMYFUNCTION("""COMPUTED_VALUE"""),"No")</f>
        <v>No</v>
      </c>
      <c r="AM3053" s="8" t="str">
        <f ca="1">IFERROR(__xludf.DUMMYFUNCTION("""COMPUTED_VALUE"""),"Yes")</f>
        <v>Yes</v>
      </c>
      <c r="AN3053" s="8"/>
      <c r="AO3053" s="8" t="str">
        <f ca="1">IFERROR(__xludf.DUMMYFUNCTION("""COMPUTED_VALUE"""),"No")</f>
        <v>No</v>
      </c>
      <c r="AP3053" s="8"/>
      <c r="AQ3053" s="8" t="str">
        <f ca="1">IFERROR(__xludf.DUMMYFUNCTION("""COMPUTED_VALUE"""),"Unknown")</f>
        <v>Unknown</v>
      </c>
      <c r="AR3053" s="8" t="str">
        <f ca="1">IFERROR(__xludf.DUMMYFUNCTION("""COMPUTED_VALUE"""),"NA")</f>
        <v>NA</v>
      </c>
      <c r="AS3053" s="8"/>
      <c r="AT3053" s="8"/>
      <c r="AU3053" s="8">
        <f ca="1">IFERROR(__xludf.DUMMYFUNCTION("""COMPUTED_VALUE"""),37.726694)</f>
        <v>37.726694000000002</v>
      </c>
      <c r="AV3053" s="8">
        <f ca="1">IFERROR(__xludf.DUMMYFUNCTION("""COMPUTED_VALUE"""),-122.179539)</f>
        <v>-122.17953900000001</v>
      </c>
      <c r="AW3053" s="8"/>
      <c r="AX3053" s="8">
        <f ca="1">IFERROR(__xludf.DUMMYFUNCTION("""COMPUTED_VALUE"""),94603)</f>
        <v>94603</v>
      </c>
    </row>
    <row r="3054" spans="1:50" ht="45" x14ac:dyDescent="0.2">
      <c r="A3054" s="8" t="str">
        <f ca="1">IFERROR(__xludf.DUMMYFUNCTION("""COMPUTED_VALUE"""),"19740122CALOL")</f>
        <v>19740122CALOL</v>
      </c>
      <c r="B3054" s="8">
        <f ca="1">IFERROR(__xludf.DUMMYFUNCTION("""COMPUTED_VALUE"""),1)</f>
        <v>1</v>
      </c>
      <c r="C3054" s="8">
        <f ca="1">IFERROR(__xludf.DUMMYFUNCTION("""COMPUTED_VALUE"""),22)</f>
        <v>22</v>
      </c>
      <c r="D3054" s="8">
        <f ca="1">IFERROR(__xludf.DUMMYFUNCTION("""COMPUTED_VALUE"""),1974)</f>
        <v>1974</v>
      </c>
      <c r="E3054" s="9">
        <f ca="1">IFERROR(__xludf.DUMMYFUNCTION("""COMPUTED_VALUE"""),27051)</f>
        <v>27051</v>
      </c>
      <c r="F3054" s="8" t="str">
        <f ca="1">IFERROR(__xludf.DUMMYFUNCTION("""COMPUTED_VALUE"""),"Locke High School")</f>
        <v>Locke High School</v>
      </c>
      <c r="G3054" s="8">
        <f ca="1">IFERROR(__xludf.DUMMYFUNCTION("""COMPUTED_VALUE"""),1)</f>
        <v>1</v>
      </c>
      <c r="H3054" s="8">
        <f ca="1">IFERROR(__xludf.DUMMYFUNCTION("""COMPUTED_VALUE"""),0)</f>
        <v>0</v>
      </c>
      <c r="I3054" s="8">
        <f ca="1">IFERROR(__xludf.DUMMYFUNCTION("""COMPUTED_VALUE"""),1)</f>
        <v>1</v>
      </c>
      <c r="J3054" s="8">
        <f ca="1">IFERROR(__xludf.DUMMYFUNCTION("""COMPUTED_VALUE"""),0)</f>
        <v>0</v>
      </c>
      <c r="K3054" s="10" t="str">
        <f ca="1">IFERROR(__xludf.DUMMYFUNCTION("""COMPUTED_VALUE"""),"https://www.newspapers.com/image/382020739/?terms=school%2Bshooting")</f>
        <v>https://www.newspapers.com/image/382020739/?terms=school%2Bshooting</v>
      </c>
      <c r="L3054" s="8"/>
      <c r="M3054" s="8"/>
      <c r="N3054" s="8">
        <f ca="1">IFERROR(__xludf.DUMMYFUNCTION("""COMPUTED_VALUE"""),2)</f>
        <v>2</v>
      </c>
      <c r="O3054" s="8" t="str">
        <f ca="1">IFERROR(__xludf.DUMMYFUNCTION("""COMPUTED_VALUE"""),"Winter")</f>
        <v>Winter</v>
      </c>
      <c r="P3054" s="8" t="str">
        <f ca="1">IFERROR(__xludf.DUMMYFUNCTION("""COMPUTED_VALUE"""),"Los Angeles")</f>
        <v>Los Angeles</v>
      </c>
      <c r="Q3054" s="8" t="str">
        <f ca="1">IFERROR(__xludf.DUMMYFUNCTION("""COMPUTED_VALUE"""),"CA")</f>
        <v>CA</v>
      </c>
      <c r="R3054" s="8" t="str">
        <f ca="1">IFERROR(__xludf.DUMMYFUNCTION("""COMPUTED_VALUE"""),"High")</f>
        <v>High</v>
      </c>
      <c r="S3054" s="8" t="str">
        <f ca="1">IFERROR(__xludf.DUMMYFUNCTION("""COMPUTED_VALUE"""),"Football Field/Track")</f>
        <v>Football Field/Track</v>
      </c>
      <c r="T3054" s="8" t="str">
        <f ca="1">IFERROR(__xludf.DUMMYFUNCTION("""COMPUTED_VALUE"""),"Outside on School Property")</f>
        <v>Outside on School Property</v>
      </c>
      <c r="U3054" s="8" t="str">
        <f ca="1">IFERROR(__xludf.DUMMYFUNCTION("""COMPUTED_VALUE"""),"Yes")</f>
        <v>Yes</v>
      </c>
      <c r="V3054" s="8"/>
      <c r="W3054" s="8"/>
      <c r="X3054" s="8">
        <f ca="1">IFERROR(__xludf.DUMMYFUNCTION("""COMPUTED_VALUE"""),1)</f>
        <v>1</v>
      </c>
      <c r="Y3054" s="12" t="str">
        <f ca="1">IFERROR(__xludf.DUMMYFUNCTION("""COMPUTED_VALUE"""),"Bystander hit by shots in gang shootings")</f>
        <v>Bystander hit by shots in gang shootings</v>
      </c>
      <c r="Z3054" s="12" t="str">
        <f ca="1">IFERROR(__xludf.DUMMYFUNCTION("""COMPUTED_VALUE"""),"5 shots were fired in nearby gang related shooting. Victim was jogging around the school track and fatally hit by a stray shot.")</f>
        <v>5 shots were fired in nearby gang related shooting. Victim was jogging around the school track and fatally hit by a stray shot.</v>
      </c>
      <c r="AA3054" s="8" t="str">
        <f ca="1">IFERROR(__xludf.DUMMYFUNCTION("""COMPUTED_VALUE"""),"Unknown")</f>
        <v>Unknown</v>
      </c>
      <c r="AB3054" s="8"/>
      <c r="AC3054" s="8"/>
      <c r="AD3054" s="8" t="str">
        <f ca="1">IFERROR(__xludf.DUMMYFUNCTION("""COMPUTED_VALUE"""),"Random Shooting")</f>
        <v>Random Shooting</v>
      </c>
      <c r="AE3054" s="8" t="str">
        <f ca="1">IFERROR(__xludf.DUMMYFUNCTION("""COMPUTED_VALUE"""),"No")</f>
        <v>No</v>
      </c>
      <c r="AF3054" s="8"/>
      <c r="AG3054" s="8" t="str">
        <f ca="1">IFERROR(__xludf.DUMMYFUNCTION("""COMPUTED_VALUE"""),"No")</f>
        <v>No</v>
      </c>
      <c r="AH3054" s="8" t="str">
        <f ca="1">IFERROR(__xludf.DUMMYFUNCTION("""COMPUTED_VALUE"""),"No")</f>
        <v>No</v>
      </c>
      <c r="AI3054" s="8" t="str">
        <f ca="1">IFERROR(__xludf.DUMMYFUNCTION("""COMPUTED_VALUE"""),"No")</f>
        <v>No</v>
      </c>
      <c r="AJ3054" s="8" t="str">
        <f ca="1">IFERROR(__xludf.DUMMYFUNCTION("""COMPUTED_VALUE"""),"No")</f>
        <v>No</v>
      </c>
      <c r="AK3054" s="8" t="str">
        <f ca="1">IFERROR(__xludf.DUMMYFUNCTION("""COMPUTED_VALUE"""),"No")</f>
        <v>No</v>
      </c>
      <c r="AL3054" s="8" t="str">
        <f ca="1">IFERROR(__xludf.DUMMYFUNCTION("""COMPUTED_VALUE"""),"Yes")</f>
        <v>Yes</v>
      </c>
      <c r="AM3054" s="8"/>
      <c r="AN3054" s="8"/>
      <c r="AO3054" s="8" t="str">
        <f ca="1">IFERROR(__xludf.DUMMYFUNCTION("""COMPUTED_VALUE"""),"No")</f>
        <v>No</v>
      </c>
      <c r="AP3054" s="8"/>
      <c r="AQ3054" s="8" t="str">
        <f ca="1">IFERROR(__xludf.DUMMYFUNCTION("""COMPUTED_VALUE"""),"Unknown")</f>
        <v>Unknown</v>
      </c>
      <c r="AR3054" s="8" t="str">
        <f ca="1">IFERROR(__xludf.DUMMYFUNCTION("""COMPUTED_VALUE"""),"NA")</f>
        <v>NA</v>
      </c>
      <c r="AS3054" s="8">
        <f ca="1">IFERROR(__xludf.DUMMYFUNCTION("""COMPUTED_VALUE"""),5)</f>
        <v>5</v>
      </c>
      <c r="AT3054" s="8"/>
      <c r="AU3054" s="8">
        <f ca="1">IFERROR(__xludf.DUMMYFUNCTION("""COMPUTED_VALUE"""),33.935042)</f>
        <v>33.935042000000003</v>
      </c>
      <c r="AV3054" s="8">
        <f ca="1">IFERROR(__xludf.DUMMYFUNCTION("""COMPUTED_VALUE"""),-118.2689)</f>
        <v>-118.2689</v>
      </c>
      <c r="AW3054" s="8"/>
      <c r="AX3054" s="8">
        <f ca="1">IFERROR(__xludf.DUMMYFUNCTION("""COMPUTED_VALUE"""),90061)</f>
        <v>90061</v>
      </c>
    </row>
    <row r="3055" spans="1:50" ht="105" x14ac:dyDescent="0.2">
      <c r="A3055" s="8" t="str">
        <f ca="1">IFERROR(__xludf.DUMMYFUNCTION("""COMPUTED_VALUE"""),"19740117ILBAC")</f>
        <v>19740117ILBAC</v>
      </c>
      <c r="B3055" s="8">
        <f ca="1">IFERROR(__xludf.DUMMYFUNCTION("""COMPUTED_VALUE"""),1)</f>
        <v>1</v>
      </c>
      <c r="C3055" s="8">
        <f ca="1">IFERROR(__xludf.DUMMYFUNCTION("""COMPUTED_VALUE"""),17)</f>
        <v>17</v>
      </c>
      <c r="D3055" s="8">
        <f ca="1">IFERROR(__xludf.DUMMYFUNCTION("""COMPUTED_VALUE"""),1974)</f>
        <v>1974</v>
      </c>
      <c r="E3055" s="9">
        <f ca="1">IFERROR(__xludf.DUMMYFUNCTION("""COMPUTED_VALUE"""),27046)</f>
        <v>27046</v>
      </c>
      <c r="F3055" s="8" t="str">
        <f ca="1">IFERROR(__xludf.DUMMYFUNCTION("""COMPUTED_VALUE"""),"Barton Elementary School")</f>
        <v>Barton Elementary School</v>
      </c>
      <c r="G3055" s="8">
        <f ca="1">IFERROR(__xludf.DUMMYFUNCTION("""COMPUTED_VALUE"""),1)</f>
        <v>1</v>
      </c>
      <c r="H3055" s="8">
        <f ca="1">IFERROR(__xludf.DUMMYFUNCTION("""COMPUTED_VALUE"""),2)</f>
        <v>2</v>
      </c>
      <c r="I3055" s="8">
        <f ca="1">IFERROR(__xludf.DUMMYFUNCTION("""COMPUTED_VALUE"""),3)</f>
        <v>3</v>
      </c>
      <c r="J3055" s="8">
        <f ca="1">IFERROR(__xludf.DUMMYFUNCTION("""COMPUTED_VALUE"""),0)</f>
        <v>0</v>
      </c>
      <c r="K3055" s="10" t="str">
        <f ca="1">IFERROR(__xludf.DUMMYFUNCTION("""COMPUTED_VALUE"""),"https://www.newspapers.com/image/287719212/?terms=school%2Bshooting")</f>
        <v>https://www.newspapers.com/image/287719212/?terms=school%2Bshooting</v>
      </c>
      <c r="L3055" s="8"/>
      <c r="M3055" s="8"/>
      <c r="N3055" s="8">
        <f ca="1">IFERROR(__xludf.DUMMYFUNCTION("""COMPUTED_VALUE"""),2)</f>
        <v>2</v>
      </c>
      <c r="O3055" s="8" t="str">
        <f ca="1">IFERROR(__xludf.DUMMYFUNCTION("""COMPUTED_VALUE"""),"Winter")</f>
        <v>Winter</v>
      </c>
      <c r="P3055" s="8" t="str">
        <f ca="1">IFERROR(__xludf.DUMMYFUNCTION("""COMPUTED_VALUE"""),"Chicago")</f>
        <v>Chicago</v>
      </c>
      <c r="Q3055" s="8" t="str">
        <f ca="1">IFERROR(__xludf.DUMMYFUNCTION("""COMPUTED_VALUE"""),"IL")</f>
        <v>IL</v>
      </c>
      <c r="R3055" s="8" t="str">
        <f ca="1">IFERROR(__xludf.DUMMYFUNCTION("""COMPUTED_VALUE"""),"Elementary")</f>
        <v>Elementary</v>
      </c>
      <c r="S3055" s="8" t="str">
        <f ca="1">IFERROR(__xludf.DUMMYFUNCTION("""COMPUTED_VALUE"""),"Office")</f>
        <v>Office</v>
      </c>
      <c r="T3055" s="8" t="str">
        <f ca="1">IFERROR(__xludf.DUMMYFUNCTION("""COMPUTED_VALUE"""),"Inside School Building")</f>
        <v>Inside School Building</v>
      </c>
      <c r="U3055" s="8" t="str">
        <f ca="1">IFERROR(__xludf.DUMMYFUNCTION("""COMPUTED_VALUE"""),"Yes")</f>
        <v>Yes</v>
      </c>
      <c r="V3055" s="8"/>
      <c r="W3055" s="8"/>
      <c r="X3055" s="8"/>
      <c r="Y3055" s="12" t="str">
        <f ca="1">IFERROR(__xludf.DUMMYFUNCTION("""COMPUTED_VALUE"""),"Expelled student angry at principal for expelling him")</f>
        <v>Expelled student angry at principal for expelling him</v>
      </c>
      <c r="Z3055" s="12" t="str">
        <f ca="1">IFERROR(__xludf.DUMMYFUNCTION("""COMPUTED_VALUE"""),"Expelled student angry at principal for expelling him. Victim-Principal Rudolph Jezek, killed; Assistant Principal Gordan Sharp, wounded; Security Guard Ezekiel Thomas, wounded. Shooter’s father was a policeman and took firearms from father. Anger of bein"&amp;"g transferred to another school. Tackled by a teacher when the gun jammed. Had two handguns 45 caliber pistol, .38 caliber revolver.")</f>
        <v>Expelled student angry at principal for expelling him. Victim-Principal Rudolph Jezek, killed; Assistant Principal Gordan Sharp, wounded; Security Guard Ezekiel Thomas, wounded. Shooter’s father was a policeman and took firearms from father. Anger of being transferred to another school. Tackled by a teacher when the gun jammed. Had two handguns 45 caliber pistol, .38 caliber revolver.</v>
      </c>
      <c r="AA3055" s="8" t="str">
        <f ca="1">IFERROR(__xludf.DUMMYFUNCTION("""COMPUTED_VALUE"""),"Anger Over Grade/Suspension/Discipline")</f>
        <v>Anger Over Grade/Suspension/Discipline</v>
      </c>
      <c r="AB3055" s="8"/>
      <c r="AC3055" s="8" t="str">
        <f ca="1">IFERROR(__xludf.DUMMYFUNCTION("""COMPUTED_VALUE"""),"Yes")</f>
        <v>Yes</v>
      </c>
      <c r="AD3055" s="8" t="str">
        <f ca="1">IFERROR(__xludf.DUMMYFUNCTION("""COMPUTED_VALUE"""),"Victims Targeted")</f>
        <v>Victims Targeted</v>
      </c>
      <c r="AE3055" s="8" t="str">
        <f ca="1">IFERROR(__xludf.DUMMYFUNCTION("""COMPUTED_VALUE"""),"No")</f>
        <v>No</v>
      </c>
      <c r="AF3055" s="8"/>
      <c r="AG3055" s="8" t="str">
        <f ca="1">IFERROR(__xludf.DUMMYFUNCTION("""COMPUTED_VALUE"""),"No")</f>
        <v>No</v>
      </c>
      <c r="AH3055" s="8" t="str">
        <f ca="1">IFERROR(__xludf.DUMMYFUNCTION("""COMPUTED_VALUE"""),"No")</f>
        <v>No</v>
      </c>
      <c r="AI3055" s="8" t="str">
        <f ca="1">IFERROR(__xludf.DUMMYFUNCTION("""COMPUTED_VALUE"""),"No")</f>
        <v>No</v>
      </c>
      <c r="AJ3055" s="8"/>
      <c r="AK3055" s="8" t="str">
        <f ca="1">IFERROR(__xludf.DUMMYFUNCTION("""COMPUTED_VALUE"""),"No")</f>
        <v>No</v>
      </c>
      <c r="AL3055" s="8" t="str">
        <f ca="1">IFERROR(__xludf.DUMMYFUNCTION("""COMPUTED_VALUE"""),"No")</f>
        <v>No</v>
      </c>
      <c r="AM3055" s="8" t="str">
        <f ca="1">IFERROR(__xludf.DUMMYFUNCTION("""COMPUTED_VALUE"""),"Yes")</f>
        <v>Yes</v>
      </c>
      <c r="AN3055" s="8" t="str">
        <f ca="1">IFERROR(__xludf.DUMMYFUNCTION("""COMPUTED_VALUE"""),"Hallway")</f>
        <v>Hallway</v>
      </c>
      <c r="AO3055" s="8" t="str">
        <f ca="1">IFERROR(__xludf.DUMMYFUNCTION("""COMPUTED_VALUE"""),"Yes")</f>
        <v>Yes</v>
      </c>
      <c r="AP3055" s="8" t="str">
        <f ca="1">IFERROR(__xludf.DUMMYFUNCTION("""COMPUTED_VALUE"""),"No")</f>
        <v>No</v>
      </c>
      <c r="AQ3055" s="8" t="str">
        <f ca="1">IFERROR(__xludf.DUMMYFUNCTION("""COMPUTED_VALUE"""),"None")</f>
        <v>None</v>
      </c>
      <c r="AR3055" s="8" t="str">
        <f ca="1">IFERROR(__xludf.DUMMYFUNCTION("""COMPUTED_VALUE"""),"NA")</f>
        <v>NA</v>
      </c>
      <c r="AS3055" s="8" t="str">
        <f ca="1">IFERROR(__xludf.DUMMYFUNCTION("""COMPUTED_VALUE"""),"&lt;10")</f>
        <v>&lt;10</v>
      </c>
      <c r="AT3055" s="8"/>
      <c r="AU3055" s="8">
        <f ca="1">IFERROR(__xludf.DUMMYFUNCTION("""COMPUTED_VALUE"""),41.754473)</f>
        <v>41.754472999999997</v>
      </c>
      <c r="AV3055" s="8">
        <f ca="1">IFERROR(__xludf.DUMMYFUNCTION("""COMPUTED_VALUE"""),-87.671468)</f>
        <v>-87.671468000000004</v>
      </c>
      <c r="AW3055" s="8"/>
      <c r="AX3055" s="8">
        <f ca="1">IFERROR(__xludf.DUMMYFUNCTION("""COMPUTED_VALUE"""),60620)</f>
        <v>60620</v>
      </c>
    </row>
    <row r="3056" spans="1:50" ht="75" x14ac:dyDescent="0.2">
      <c r="A3056" s="8" t="str">
        <f ca="1">IFERROR(__xludf.DUMMYFUNCTION("""COMPUTED_VALUE"""),"19731213OHHUC")</f>
        <v>19731213OHHUC</v>
      </c>
      <c r="B3056" s="8">
        <f ca="1">IFERROR(__xludf.DUMMYFUNCTION("""COMPUTED_VALUE"""),12)</f>
        <v>12</v>
      </c>
      <c r="C3056" s="8">
        <f ca="1">IFERROR(__xludf.DUMMYFUNCTION("""COMPUTED_VALUE"""),13)</f>
        <v>13</v>
      </c>
      <c r="D3056" s="8">
        <f ca="1">IFERROR(__xludf.DUMMYFUNCTION("""COMPUTED_VALUE"""),1973)</f>
        <v>1973</v>
      </c>
      <c r="E3056" s="9">
        <f ca="1">IFERROR(__xludf.DUMMYFUNCTION("""COMPUTED_VALUE"""),27011)</f>
        <v>27011</v>
      </c>
      <c r="F3056" s="8" t="str">
        <f ca="1">IFERROR(__xludf.DUMMYFUNCTION("""COMPUTED_VALUE"""),"Hughes High School")</f>
        <v>Hughes High School</v>
      </c>
      <c r="G3056" s="8">
        <f ca="1">IFERROR(__xludf.DUMMYFUNCTION("""COMPUTED_VALUE"""),0)</f>
        <v>0</v>
      </c>
      <c r="H3056" s="8">
        <f ca="1">IFERROR(__xludf.DUMMYFUNCTION("""COMPUTED_VALUE"""),1)</f>
        <v>1</v>
      </c>
      <c r="I3056" s="8">
        <f ca="1">IFERROR(__xludf.DUMMYFUNCTION("""COMPUTED_VALUE"""),1)</f>
        <v>1</v>
      </c>
      <c r="J3056" s="8">
        <f ca="1">IFERROR(__xludf.DUMMYFUNCTION("""COMPUTED_VALUE"""),0)</f>
        <v>0</v>
      </c>
      <c r="K3056" s="10" t="str">
        <f ca="1">IFERROR(__xludf.DUMMYFUNCTION("""COMPUTED_VALUE"""),"https://www.newspapers.com/image/104353084/?terms=school%2Bshooting")</f>
        <v>https://www.newspapers.com/image/104353084/?terms=school%2Bshooting</v>
      </c>
      <c r="L3056" s="8"/>
      <c r="M3056" s="8"/>
      <c r="N3056" s="8">
        <f ca="1">IFERROR(__xludf.DUMMYFUNCTION("""COMPUTED_VALUE"""),2)</f>
        <v>2</v>
      </c>
      <c r="O3056" s="8" t="str">
        <f ca="1">IFERROR(__xludf.DUMMYFUNCTION("""COMPUTED_VALUE"""),"Winter")</f>
        <v>Winter</v>
      </c>
      <c r="P3056" s="8" t="str">
        <f ca="1">IFERROR(__xludf.DUMMYFUNCTION("""COMPUTED_VALUE"""),"Cincinnati")</f>
        <v>Cincinnati</v>
      </c>
      <c r="Q3056" s="8" t="str">
        <f ca="1">IFERROR(__xludf.DUMMYFUNCTION("""COMPUTED_VALUE"""),"OH")</f>
        <v>OH</v>
      </c>
      <c r="R3056" s="8" t="str">
        <f ca="1">IFERROR(__xludf.DUMMYFUNCTION("""COMPUTED_VALUE"""),"High")</f>
        <v>High</v>
      </c>
      <c r="S3056" s="8" t="str">
        <f ca="1">IFERROR(__xludf.DUMMYFUNCTION("""COMPUTED_VALUE"""),"Hallway")</f>
        <v>Hallway</v>
      </c>
      <c r="T3056" s="8" t="str">
        <f ca="1">IFERROR(__xludf.DUMMYFUNCTION("""COMPUTED_VALUE"""),"Inside School Building")</f>
        <v>Inside School Building</v>
      </c>
      <c r="U3056" s="8" t="str">
        <f ca="1">IFERROR(__xludf.DUMMYFUNCTION("""COMPUTED_VALUE"""),"Yes")</f>
        <v>Yes</v>
      </c>
      <c r="V3056" s="8" t="str">
        <f ca="1">IFERROR(__xludf.DUMMYFUNCTION("""COMPUTED_VALUE"""),"Afternoon Classes")</f>
        <v>Afternoon Classes</v>
      </c>
      <c r="W3056" s="11">
        <f ca="1">IFERROR(__xludf.DUMMYFUNCTION("""COMPUTED_VALUE"""),0.548611111111111)</f>
        <v>0.54861111111111105</v>
      </c>
      <c r="X3056" s="8">
        <f ca="1">IFERROR(__xludf.DUMMYFUNCTION("""COMPUTED_VALUE"""),1)</f>
        <v>1</v>
      </c>
      <c r="Y3056" s="12" t="str">
        <f ca="1">IFERROR(__xludf.DUMMYFUNCTION("""COMPUTED_VALUE"""),"Witness intimidation after robbery")</f>
        <v>Witness intimidation after robbery</v>
      </c>
      <c r="Z3056" s="12" t="str">
        <f ca="1">IFERROR(__xludf.DUMMYFUNCTION("""COMPUTED_VALUE"""),"2 students had reported another student for theft and were testifying against him. The shooter fired at both students in the hallway striking another student in the leg. The principal did not report the shooting until that night and was charged with cover"&amp;"ing it up.")</f>
        <v>2 students had reported another student for theft and were testifying against him. The shooter fired at both students in the hallway striking another student in the leg. The principal did not report the shooting until that night and was charged with covering it up.</v>
      </c>
      <c r="AA3056" s="8" t="str">
        <f ca="1">IFERROR(__xludf.DUMMYFUNCTION("""COMPUTED_VALUE"""),"Illegal Activity")</f>
        <v>Illegal Activity</v>
      </c>
      <c r="AB3056" s="8"/>
      <c r="AC3056" s="8"/>
      <c r="AD3056" s="8" t="str">
        <f ca="1">IFERROR(__xludf.DUMMYFUNCTION("""COMPUTED_VALUE"""),"Both")</f>
        <v>Both</v>
      </c>
      <c r="AE3056" s="8" t="str">
        <f ca="1">IFERROR(__xludf.DUMMYFUNCTION("""COMPUTED_VALUE"""),"Yes")</f>
        <v>Yes</v>
      </c>
      <c r="AF3056" s="8" t="str">
        <f ca="1">IFERROR(__xludf.DUMMYFUNCTION("""COMPUTED_VALUE"""),"Principal did not report and charged for covering up incident")</f>
        <v>Principal did not report and charged for covering up incident</v>
      </c>
      <c r="AG3056" s="8" t="str">
        <f ca="1">IFERROR(__xludf.DUMMYFUNCTION("""COMPUTED_VALUE"""),"No")</f>
        <v>No</v>
      </c>
      <c r="AH3056" s="8" t="str">
        <f ca="1">IFERROR(__xludf.DUMMYFUNCTION("""COMPUTED_VALUE"""),"No")</f>
        <v>No</v>
      </c>
      <c r="AI3056" s="8" t="str">
        <f ca="1">IFERROR(__xludf.DUMMYFUNCTION("""COMPUTED_VALUE"""),"No")</f>
        <v>No</v>
      </c>
      <c r="AJ3056" s="8" t="str">
        <f ca="1">IFERROR(__xludf.DUMMYFUNCTION("""COMPUTED_VALUE"""),"No")</f>
        <v>No</v>
      </c>
      <c r="AK3056" s="8" t="str">
        <f ca="1">IFERROR(__xludf.DUMMYFUNCTION("""COMPUTED_VALUE"""),"No")</f>
        <v>No</v>
      </c>
      <c r="AL3056" s="8" t="str">
        <f ca="1">IFERROR(__xludf.DUMMYFUNCTION("""COMPUTED_VALUE"""),"No")</f>
        <v>No</v>
      </c>
      <c r="AM3056" s="8"/>
      <c r="AN3056" s="8"/>
      <c r="AO3056" s="8" t="str">
        <f ca="1">IFERROR(__xludf.DUMMYFUNCTION("""COMPUTED_VALUE"""),"No")</f>
        <v>No</v>
      </c>
      <c r="AP3056" s="8" t="str">
        <f ca="1">IFERROR(__xludf.DUMMYFUNCTION("""COMPUTED_VALUE"""),"No")</f>
        <v>No</v>
      </c>
      <c r="AQ3056" s="8" t="str">
        <f ca="1">IFERROR(__xludf.DUMMYFUNCTION("""COMPUTED_VALUE"""),"Unknown")</f>
        <v>Unknown</v>
      </c>
      <c r="AR3056" s="8" t="str">
        <f ca="1">IFERROR(__xludf.DUMMYFUNCTION("""COMPUTED_VALUE"""),"NA")</f>
        <v>NA</v>
      </c>
      <c r="AS3056" s="8">
        <f ca="1">IFERROR(__xludf.DUMMYFUNCTION("""COMPUTED_VALUE"""),3)</f>
        <v>3</v>
      </c>
      <c r="AT3056" s="8"/>
      <c r="AU3056" s="8">
        <f ca="1">IFERROR(__xludf.DUMMYFUNCTION("""COMPUTED_VALUE"""),39.128496)</f>
        <v>39.128495999999998</v>
      </c>
      <c r="AV3056" s="8">
        <f ca="1">IFERROR(__xludf.DUMMYFUNCTION("""COMPUTED_VALUE"""),-84.521632)</f>
        <v>-84.521631999999997</v>
      </c>
      <c r="AW3056" s="8"/>
      <c r="AX3056" s="8">
        <f ca="1">IFERROR(__xludf.DUMMYFUNCTION("""COMPUTED_VALUE"""),45221)</f>
        <v>45221</v>
      </c>
    </row>
    <row r="3057" spans="1:50" ht="45" x14ac:dyDescent="0.2">
      <c r="A3057" s="8" t="str">
        <f ca="1">IFERROR(__xludf.DUMMYFUNCTION("""COMPUTED_VALUE"""),"19731206CAFRL")</f>
        <v>19731206CAFRL</v>
      </c>
      <c r="B3057" s="8">
        <f ca="1">IFERROR(__xludf.DUMMYFUNCTION("""COMPUTED_VALUE"""),12)</f>
        <v>12</v>
      </c>
      <c r="C3057" s="8">
        <f ca="1">IFERROR(__xludf.DUMMYFUNCTION("""COMPUTED_VALUE"""),6)</f>
        <v>6</v>
      </c>
      <c r="D3057" s="8">
        <f ca="1">IFERROR(__xludf.DUMMYFUNCTION("""COMPUTED_VALUE"""),1973)</f>
        <v>1973</v>
      </c>
      <c r="E3057" s="9">
        <f ca="1">IFERROR(__xludf.DUMMYFUNCTION("""COMPUTED_VALUE"""),27004)</f>
        <v>27004</v>
      </c>
      <c r="F3057" s="8" t="str">
        <f ca="1">IFERROR(__xludf.DUMMYFUNCTION("""COMPUTED_VALUE"""),"Fremont High School")</f>
        <v>Fremont High School</v>
      </c>
      <c r="G3057" s="8">
        <f ca="1">IFERROR(__xludf.DUMMYFUNCTION("""COMPUTED_VALUE"""),0)</f>
        <v>0</v>
      </c>
      <c r="H3057" s="8">
        <f ca="1">IFERROR(__xludf.DUMMYFUNCTION("""COMPUTED_VALUE"""),1)</f>
        <v>1</v>
      </c>
      <c r="I3057" s="8">
        <f ca="1">IFERROR(__xludf.DUMMYFUNCTION("""COMPUTED_VALUE"""),1)</f>
        <v>1</v>
      </c>
      <c r="J3057" s="8">
        <f ca="1">IFERROR(__xludf.DUMMYFUNCTION("""COMPUTED_VALUE"""),0)</f>
        <v>0</v>
      </c>
      <c r="K3057" s="10" t="str">
        <f ca="1">IFERROR(__xludf.DUMMYFUNCTION("""COMPUTED_VALUE"""),"https://www.newspapers.com/image/81731406/?terms=Student%2Bshot")</f>
        <v>https://www.newspapers.com/image/81731406/?terms=Student%2Bshot</v>
      </c>
      <c r="L3057" s="8"/>
      <c r="M3057" s="8"/>
      <c r="N3057" s="8">
        <f ca="1">IFERROR(__xludf.DUMMYFUNCTION("""COMPUTED_VALUE"""),2)</f>
        <v>2</v>
      </c>
      <c r="O3057" s="8" t="str">
        <f ca="1">IFERROR(__xludf.DUMMYFUNCTION("""COMPUTED_VALUE"""),"Winter")</f>
        <v>Winter</v>
      </c>
      <c r="P3057" s="8" t="str">
        <f ca="1">IFERROR(__xludf.DUMMYFUNCTION("""COMPUTED_VALUE"""),"Los Angeles")</f>
        <v>Los Angeles</v>
      </c>
      <c r="Q3057" s="8" t="str">
        <f ca="1">IFERROR(__xludf.DUMMYFUNCTION("""COMPUTED_VALUE"""),"CA")</f>
        <v>CA</v>
      </c>
      <c r="R3057" s="8" t="str">
        <f ca="1">IFERROR(__xludf.DUMMYFUNCTION("""COMPUTED_VALUE"""),"High")</f>
        <v>High</v>
      </c>
      <c r="S3057" s="8" t="str">
        <f ca="1">IFERROR(__xludf.DUMMYFUNCTION("""COMPUTED_VALUE"""),"Hallway")</f>
        <v>Hallway</v>
      </c>
      <c r="T3057" s="8" t="str">
        <f ca="1">IFERROR(__xludf.DUMMYFUNCTION("""COMPUTED_VALUE"""),"Inside School Building")</f>
        <v>Inside School Building</v>
      </c>
      <c r="U3057" s="8" t="str">
        <f ca="1">IFERROR(__xludf.DUMMYFUNCTION("""COMPUTED_VALUE"""),"Yes")</f>
        <v>Yes</v>
      </c>
      <c r="V3057" s="8"/>
      <c r="W3057" s="8"/>
      <c r="X3057" s="8">
        <f ca="1">IFERROR(__xludf.DUMMYFUNCTION("""COMPUTED_VALUE"""),1)</f>
        <v>1</v>
      </c>
      <c r="Y3057" s="12" t="str">
        <f ca="1">IFERROR(__xludf.DUMMYFUNCTION("""COMPUTED_VALUE"""),"Shooter shot victim after being cornered")</f>
        <v>Shooter shot victim after being cornered</v>
      </c>
      <c r="Z3057" s="12" t="str">
        <f ca="1">IFERROR(__xludf.DUMMYFUNCTION("""COMPUTED_VALUE"""),"Argument between victim and another youth occurred when friends of the other youth cornered victim and shot him once in the liver.")</f>
        <v>Argument between victim and another youth occurred when friends of the other youth cornered victim and shot him once in the liver.</v>
      </c>
      <c r="AA3057" s="8" t="str">
        <f ca="1">IFERROR(__xludf.DUMMYFUNCTION("""COMPUTED_VALUE"""),"Escalation of Dispute")</f>
        <v>Escalation of Dispute</v>
      </c>
      <c r="AB3057" s="8"/>
      <c r="AC3057" s="8"/>
      <c r="AD3057" s="8" t="str">
        <f ca="1">IFERROR(__xludf.DUMMYFUNCTION("""COMPUTED_VALUE"""),"Victims Targeted")</f>
        <v>Victims Targeted</v>
      </c>
      <c r="AE3057" s="8" t="str">
        <f ca="1">IFERROR(__xludf.DUMMYFUNCTION("""COMPUTED_VALUE"""),"Yes")</f>
        <v>Yes</v>
      </c>
      <c r="AF3057" s="8" t="str">
        <f ca="1">IFERROR(__xludf.DUMMYFUNCTION("""COMPUTED_VALUE"""),"Multiple gang members involved")</f>
        <v>Multiple gang members involved</v>
      </c>
      <c r="AG3057" s="8" t="str">
        <f ca="1">IFERROR(__xludf.DUMMYFUNCTION("""COMPUTED_VALUE"""),"No")</f>
        <v>No</v>
      </c>
      <c r="AH3057" s="8" t="str">
        <f ca="1">IFERROR(__xludf.DUMMYFUNCTION("""COMPUTED_VALUE"""),"No")</f>
        <v>No</v>
      </c>
      <c r="AI3057" s="8" t="str">
        <f ca="1">IFERROR(__xludf.DUMMYFUNCTION("""COMPUTED_VALUE"""),"No")</f>
        <v>No</v>
      </c>
      <c r="AJ3057" s="8" t="str">
        <f ca="1">IFERROR(__xludf.DUMMYFUNCTION("""COMPUTED_VALUE"""),"No")</f>
        <v>No</v>
      </c>
      <c r="AK3057" s="8" t="str">
        <f ca="1">IFERROR(__xludf.DUMMYFUNCTION("""COMPUTED_VALUE"""),"No")</f>
        <v>No</v>
      </c>
      <c r="AL3057" s="8" t="str">
        <f ca="1">IFERROR(__xludf.DUMMYFUNCTION("""COMPUTED_VALUE"""),"Yes")</f>
        <v>Yes</v>
      </c>
      <c r="AM3057" s="8"/>
      <c r="AN3057" s="8"/>
      <c r="AO3057" s="8" t="str">
        <f ca="1">IFERROR(__xludf.DUMMYFUNCTION("""COMPUTED_VALUE"""),"No")</f>
        <v>No</v>
      </c>
      <c r="AP3057" s="8"/>
      <c r="AQ3057" s="8" t="str">
        <f ca="1">IFERROR(__xludf.DUMMYFUNCTION("""COMPUTED_VALUE"""),"Unknown")</f>
        <v>Unknown</v>
      </c>
      <c r="AR3057" s="8" t="str">
        <f ca="1">IFERROR(__xludf.DUMMYFUNCTION("""COMPUTED_VALUE"""),"NA")</f>
        <v>NA</v>
      </c>
      <c r="AS3057" s="8">
        <f ca="1">IFERROR(__xludf.DUMMYFUNCTION("""COMPUTED_VALUE"""),1)</f>
        <v>1</v>
      </c>
      <c r="AT3057" s="8"/>
      <c r="AU3057" s="8">
        <f ca="1">IFERROR(__xludf.DUMMYFUNCTION("""COMPUTED_VALUE"""),33.969711)</f>
        <v>33.969710999999997</v>
      </c>
      <c r="AV3057" s="8">
        <f ca="1">IFERROR(__xludf.DUMMYFUNCTION("""COMPUTED_VALUE"""),-118.269181)</f>
        <v>-118.269181</v>
      </c>
      <c r="AW3057" s="8"/>
      <c r="AX3057" s="8">
        <f ca="1">IFERROR(__xludf.DUMMYFUNCTION("""COMPUTED_VALUE"""),90003)</f>
        <v>90003</v>
      </c>
    </row>
    <row r="3058" spans="1:50" ht="45" x14ac:dyDescent="0.2">
      <c r="A3058" s="8" t="str">
        <f ca="1">IFERROR(__xludf.DUMMYFUNCTION("""COMPUTED_VALUE"""),"19731109CALOL")</f>
        <v>19731109CALOL</v>
      </c>
      <c r="B3058" s="8">
        <f ca="1">IFERROR(__xludf.DUMMYFUNCTION("""COMPUTED_VALUE"""),11)</f>
        <v>11</v>
      </c>
      <c r="C3058" s="8">
        <f ca="1">IFERROR(__xludf.DUMMYFUNCTION("""COMPUTED_VALUE"""),9)</f>
        <v>9</v>
      </c>
      <c r="D3058" s="8">
        <f ca="1">IFERROR(__xludf.DUMMYFUNCTION("""COMPUTED_VALUE"""),1973)</f>
        <v>1973</v>
      </c>
      <c r="E3058" s="9">
        <f ca="1">IFERROR(__xludf.DUMMYFUNCTION("""COMPUTED_VALUE"""),26977)</f>
        <v>26977</v>
      </c>
      <c r="F3058" s="8" t="str">
        <f ca="1">IFERROR(__xludf.DUMMYFUNCTION("""COMPUTED_VALUE"""),"Long Beach Polytechnic High School")</f>
        <v>Long Beach Polytechnic High School</v>
      </c>
      <c r="G3058" s="8">
        <f ca="1">IFERROR(__xludf.DUMMYFUNCTION("""COMPUTED_VALUE"""),1)</f>
        <v>1</v>
      </c>
      <c r="H3058" s="8">
        <f ca="1">IFERROR(__xludf.DUMMYFUNCTION("""COMPUTED_VALUE"""),1)</f>
        <v>1</v>
      </c>
      <c r="I3058" s="8">
        <f ca="1">IFERROR(__xludf.DUMMYFUNCTION("""COMPUTED_VALUE"""),2)</f>
        <v>2</v>
      </c>
      <c r="J3058" s="8">
        <f ca="1">IFERROR(__xludf.DUMMYFUNCTION("""COMPUTED_VALUE"""),0)</f>
        <v>0</v>
      </c>
      <c r="K3058" s="10" t="str">
        <f ca="1">IFERROR(__xludf.DUMMYFUNCTION("""COMPUTED_VALUE"""),"https://www.newspapers.com/image/25814105/?terms=school%2Bshooting")</f>
        <v>https://www.newspapers.com/image/25814105/?terms=school%2Bshooting</v>
      </c>
      <c r="L3058" s="8"/>
      <c r="M3058" s="8"/>
      <c r="N3058" s="8">
        <f ca="1">IFERROR(__xludf.DUMMYFUNCTION("""COMPUTED_VALUE"""),2)</f>
        <v>2</v>
      </c>
      <c r="O3058" s="8" t="str">
        <f ca="1">IFERROR(__xludf.DUMMYFUNCTION("""COMPUTED_VALUE"""),"Fall")</f>
        <v>Fall</v>
      </c>
      <c r="P3058" s="8" t="str">
        <f ca="1">IFERROR(__xludf.DUMMYFUNCTION("""COMPUTED_VALUE"""),"Los Angeles")</f>
        <v>Los Angeles</v>
      </c>
      <c r="Q3058" s="8" t="str">
        <f ca="1">IFERROR(__xludf.DUMMYFUNCTION("""COMPUTED_VALUE"""),"CA")</f>
        <v>CA</v>
      </c>
      <c r="R3058" s="8" t="str">
        <f ca="1">IFERROR(__xludf.DUMMYFUNCTION("""COMPUTED_VALUE"""),"High")</f>
        <v>High</v>
      </c>
      <c r="S3058" s="8" t="str">
        <f ca="1">IFERROR(__xludf.DUMMYFUNCTION("""COMPUTED_VALUE"""),"Front of School")</f>
        <v>Front of School</v>
      </c>
      <c r="T3058" s="8" t="str">
        <f ca="1">IFERROR(__xludf.DUMMYFUNCTION("""COMPUTED_VALUE"""),"Outside on School Property")</f>
        <v>Outside on School Property</v>
      </c>
      <c r="U3058" s="8"/>
      <c r="V3058" s="8"/>
      <c r="W3058" s="8"/>
      <c r="X3058" s="8">
        <f ca="1">IFERROR(__xludf.DUMMYFUNCTION("""COMPUTED_VALUE"""),1)</f>
        <v>1</v>
      </c>
      <c r="Y3058" s="12" t="str">
        <f ca="1">IFERROR(__xludf.DUMMYFUNCTION("""COMPUTED_VALUE"""),"Victims shot outside of school during drive by")</f>
        <v>Victims shot outside of school during drive by</v>
      </c>
      <c r="Z3058" s="12" t="str">
        <f ca="1">IFERROR(__xludf.DUMMYFUNCTION("""COMPUTED_VALUE"""),"16 year-old female victim was with 7-month-old daughter outside of high school. Shooter fired from a vehicle striking both of them, killing the infant. Two teens were arrested.")</f>
        <v>16 year-old female victim was with 7-month-old daughter outside of high school. Shooter fired from a vehicle striking both of them, killing the infant. Two teens were arrested.</v>
      </c>
      <c r="AA3058" s="8" t="str">
        <f ca="1">IFERROR(__xludf.DUMMYFUNCTION("""COMPUTED_VALUE"""),"Drive-by Shooting")</f>
        <v>Drive-by Shooting</v>
      </c>
      <c r="AB3058" s="8"/>
      <c r="AC3058" s="8"/>
      <c r="AD3058" s="8"/>
      <c r="AE3058" s="8" t="str">
        <f ca="1">IFERROR(__xludf.DUMMYFUNCTION("""COMPUTED_VALUE"""),"Yes")</f>
        <v>Yes</v>
      </c>
      <c r="AF3058" s="8" t="str">
        <f ca="1">IFERROR(__xludf.DUMMYFUNCTION("""COMPUTED_VALUE"""),"Two teens arrested")</f>
        <v>Two teens arrested</v>
      </c>
      <c r="AG3058" s="8" t="str">
        <f ca="1">IFERROR(__xludf.DUMMYFUNCTION("""COMPUTED_VALUE"""),"No")</f>
        <v>No</v>
      </c>
      <c r="AH3058" s="8" t="str">
        <f ca="1">IFERROR(__xludf.DUMMYFUNCTION("""COMPUTED_VALUE"""),"No")</f>
        <v>No</v>
      </c>
      <c r="AI3058" s="8" t="str">
        <f ca="1">IFERROR(__xludf.DUMMYFUNCTION("""COMPUTED_VALUE"""),"No")</f>
        <v>No</v>
      </c>
      <c r="AJ3058" s="8" t="str">
        <f ca="1">IFERROR(__xludf.DUMMYFUNCTION("""COMPUTED_VALUE"""),"No")</f>
        <v>No</v>
      </c>
      <c r="AK3058" s="8"/>
      <c r="AL3058" s="8" t="str">
        <f ca="1">IFERROR(__xludf.DUMMYFUNCTION("""COMPUTED_VALUE"""),"Yes")</f>
        <v>Yes</v>
      </c>
      <c r="AM3058" s="8"/>
      <c r="AN3058" s="8"/>
      <c r="AO3058" s="8" t="str">
        <f ca="1">IFERROR(__xludf.DUMMYFUNCTION("""COMPUTED_VALUE"""),"No")</f>
        <v>No</v>
      </c>
      <c r="AP3058" s="8"/>
      <c r="AQ3058" s="8" t="str">
        <f ca="1">IFERROR(__xludf.DUMMYFUNCTION("""COMPUTED_VALUE"""),"Unknown")</f>
        <v>Unknown</v>
      </c>
      <c r="AR3058" s="8" t="str">
        <f ca="1">IFERROR(__xludf.DUMMYFUNCTION("""COMPUTED_VALUE"""),"NA")</f>
        <v>NA</v>
      </c>
      <c r="AS3058" s="8">
        <f ca="1">IFERROR(__xludf.DUMMYFUNCTION("""COMPUTED_VALUE"""),3)</f>
        <v>3</v>
      </c>
      <c r="AT3058" s="8"/>
      <c r="AU3058" s="8">
        <f ca="1">IFERROR(__xludf.DUMMYFUNCTION("""COMPUTED_VALUE"""),33.786671)</f>
        <v>33.786670999999998</v>
      </c>
      <c r="AV3058" s="8">
        <f ca="1">IFERROR(__xludf.DUMMYFUNCTION("""COMPUTED_VALUE"""),-118.182947)</f>
        <v>-118.182947</v>
      </c>
      <c r="AW3058" s="8"/>
      <c r="AX3058" s="8">
        <f ca="1">IFERROR(__xludf.DUMMYFUNCTION("""COMPUTED_VALUE"""),90806)</f>
        <v>90806</v>
      </c>
    </row>
    <row r="3059" spans="1:50" ht="90" x14ac:dyDescent="0.2">
      <c r="A3059" s="8" t="str">
        <f ca="1">IFERROR(__xludf.DUMMYFUNCTION("""COMPUTED_VALUE"""),"19731108ILWOC")</f>
        <v>19731108ILWOC</v>
      </c>
      <c r="B3059" s="8">
        <f ca="1">IFERROR(__xludf.DUMMYFUNCTION("""COMPUTED_VALUE"""),11)</f>
        <v>11</v>
      </c>
      <c r="C3059" s="8">
        <f ca="1">IFERROR(__xludf.DUMMYFUNCTION("""COMPUTED_VALUE"""),8)</f>
        <v>8</v>
      </c>
      <c r="D3059" s="8">
        <f ca="1">IFERROR(__xludf.DUMMYFUNCTION("""COMPUTED_VALUE"""),1973)</f>
        <v>1973</v>
      </c>
      <c r="E3059" s="9">
        <f ca="1">IFERROR(__xludf.DUMMYFUNCTION("""COMPUTED_VALUE"""),26976)</f>
        <v>26976</v>
      </c>
      <c r="F3059" s="8" t="str">
        <f ca="1">IFERROR(__xludf.DUMMYFUNCTION("""COMPUTED_VALUE"""),"Woodell Phillips High School")</f>
        <v>Woodell Phillips High School</v>
      </c>
      <c r="G3059" s="8">
        <f ca="1">IFERROR(__xludf.DUMMYFUNCTION("""COMPUTED_VALUE"""),1)</f>
        <v>1</v>
      </c>
      <c r="H3059" s="8">
        <f ca="1">IFERROR(__xludf.DUMMYFUNCTION("""COMPUTED_VALUE"""),0)</f>
        <v>0</v>
      </c>
      <c r="I3059" s="8">
        <f ca="1">IFERROR(__xludf.DUMMYFUNCTION("""COMPUTED_VALUE"""),1)</f>
        <v>1</v>
      </c>
      <c r="J3059" s="8">
        <f ca="1">IFERROR(__xludf.DUMMYFUNCTION("""COMPUTED_VALUE"""),0)</f>
        <v>0</v>
      </c>
      <c r="K3059" s="8" t="str">
        <f ca="1">IFERROR(__xludf.DUMMYFUNCTION("""COMPUTED_VALUE"""),"https://www.newspapers.com/image/45862633/?terms=STUDENT%2BSHOT  https://www.newspapers.com/image/383907902/?terms=mack%2Bjones")</f>
        <v>https://www.newspapers.com/image/45862633/?terms=STUDENT%2BSHOT  https://www.newspapers.com/image/383907902/?terms=mack%2Bjones</v>
      </c>
      <c r="L3059" s="8"/>
      <c r="M3059" s="8"/>
      <c r="N3059" s="8">
        <f ca="1">IFERROR(__xludf.DUMMYFUNCTION("""COMPUTED_VALUE"""),2)</f>
        <v>2</v>
      </c>
      <c r="O3059" s="8" t="str">
        <f ca="1">IFERROR(__xludf.DUMMYFUNCTION("""COMPUTED_VALUE"""),"Fall")</f>
        <v>Fall</v>
      </c>
      <c r="P3059" s="8" t="str">
        <f ca="1">IFERROR(__xludf.DUMMYFUNCTION("""COMPUTED_VALUE"""),"Chicago")</f>
        <v>Chicago</v>
      </c>
      <c r="Q3059" s="8" t="str">
        <f ca="1">IFERROR(__xludf.DUMMYFUNCTION("""COMPUTED_VALUE"""),"IL")</f>
        <v>IL</v>
      </c>
      <c r="R3059" s="8" t="str">
        <f ca="1">IFERROR(__xludf.DUMMYFUNCTION("""COMPUTED_VALUE"""),"High")</f>
        <v>High</v>
      </c>
      <c r="S3059" s="8" t="str">
        <f ca="1">IFERROR(__xludf.DUMMYFUNCTION("""COMPUTED_VALUE"""),"Entryway")</f>
        <v>Entryway</v>
      </c>
      <c r="T3059" s="8" t="str">
        <f ca="1">IFERROR(__xludf.DUMMYFUNCTION("""COMPUTED_VALUE"""),"Inside School Building")</f>
        <v>Inside School Building</v>
      </c>
      <c r="U3059" s="8" t="str">
        <f ca="1">IFERROR(__xludf.DUMMYFUNCTION("""COMPUTED_VALUE"""),"Yes")</f>
        <v>Yes</v>
      </c>
      <c r="V3059" s="8" t="str">
        <f ca="1">IFERROR(__xludf.DUMMYFUNCTION("""COMPUTED_VALUE"""),"Morning Classes")</f>
        <v>Morning Classes</v>
      </c>
      <c r="W3059" s="11">
        <f ca="1">IFERROR(__xludf.DUMMYFUNCTION("""COMPUTED_VALUE"""),0.416666666666666)</f>
        <v>0.41666666666666602</v>
      </c>
      <c r="X3059" s="8">
        <f ca="1">IFERROR(__xludf.DUMMYFUNCTION("""COMPUTED_VALUE"""),1)</f>
        <v>1</v>
      </c>
      <c r="Y3059" s="12" t="str">
        <f ca="1">IFERROR(__xludf.DUMMYFUNCTION("""COMPUTED_VALUE"""),"Shooter and victim fought a few days prior. Shooter brought gun to school and shot victim")</f>
        <v>Shooter and victim fought a few days prior. Shooter brought gun to school and shot victim</v>
      </c>
      <c r="Z3059" s="12" t="str">
        <f ca="1">IFERROR(__xludf.DUMMYFUNCTION("""COMPUTED_VALUE"""),"Victim was shot by suspect in first floor school lobby. Shooting stemmed from earlier conflict. Shooter said he brought gun to school for protection and when he saw victim in hallway he shot him after victim pushed him.")</f>
        <v>Victim was shot by suspect in first floor school lobby. Shooting stemmed from earlier conflict. Shooter said he brought gun to school for protection and when he saw victim in hallway he shot him after victim pushed him.</v>
      </c>
      <c r="AA3059" s="8" t="str">
        <f ca="1">IFERROR(__xludf.DUMMYFUNCTION("""COMPUTED_VALUE"""),"Escalation of Dispute")</f>
        <v>Escalation of Dispute</v>
      </c>
      <c r="AB3059" s="8"/>
      <c r="AC3059" s="8"/>
      <c r="AD3059" s="8" t="str">
        <f ca="1">IFERROR(__xludf.DUMMYFUNCTION("""COMPUTED_VALUE"""),"Victims Targeted")</f>
        <v>Victims Targeted</v>
      </c>
      <c r="AE3059" s="8" t="str">
        <f ca="1">IFERROR(__xludf.DUMMYFUNCTION("""COMPUTED_VALUE"""),"No")</f>
        <v>No</v>
      </c>
      <c r="AF3059" s="8"/>
      <c r="AG3059" s="8" t="str">
        <f ca="1">IFERROR(__xludf.DUMMYFUNCTION("""COMPUTED_VALUE"""),"No")</f>
        <v>No</v>
      </c>
      <c r="AH3059" s="8" t="str">
        <f ca="1">IFERROR(__xludf.DUMMYFUNCTION("""COMPUTED_VALUE"""),"No")</f>
        <v>No</v>
      </c>
      <c r="AI3059" s="8" t="str">
        <f ca="1">IFERROR(__xludf.DUMMYFUNCTION("""COMPUTED_VALUE"""),"No")</f>
        <v>No</v>
      </c>
      <c r="AJ3059" s="8" t="str">
        <f ca="1">IFERROR(__xludf.DUMMYFUNCTION("""COMPUTED_VALUE"""),"No")</f>
        <v>No</v>
      </c>
      <c r="AK3059" s="8" t="str">
        <f ca="1">IFERROR(__xludf.DUMMYFUNCTION("""COMPUTED_VALUE"""),"No")</f>
        <v>No</v>
      </c>
      <c r="AL3059" s="8" t="str">
        <f ca="1">IFERROR(__xludf.DUMMYFUNCTION("""COMPUTED_VALUE"""),"No")</f>
        <v>No</v>
      </c>
      <c r="AM3059" s="8"/>
      <c r="AN3059" s="8"/>
      <c r="AO3059" s="8" t="str">
        <f ca="1">IFERROR(__xludf.DUMMYFUNCTION("""COMPUTED_VALUE"""),"No")</f>
        <v>No</v>
      </c>
      <c r="AP3059" s="8"/>
      <c r="AQ3059" s="8" t="str">
        <f ca="1">IFERROR(__xludf.DUMMYFUNCTION("""COMPUTED_VALUE"""),"Unknown")</f>
        <v>Unknown</v>
      </c>
      <c r="AR3059" s="8" t="str">
        <f ca="1">IFERROR(__xludf.DUMMYFUNCTION("""COMPUTED_VALUE"""),"NA")</f>
        <v>NA</v>
      </c>
      <c r="AS3059" s="8">
        <f ca="1">IFERROR(__xludf.DUMMYFUNCTION("""COMPUTED_VALUE"""),1)</f>
        <v>1</v>
      </c>
      <c r="AT3059" s="8"/>
      <c r="AU3059" s="8">
        <f ca="1">IFERROR(__xludf.DUMMYFUNCTION("""COMPUTED_VALUE"""),41.824024)</f>
        <v>41.824024000000001</v>
      </c>
      <c r="AV3059" s="8">
        <f ca="1">IFERROR(__xludf.DUMMYFUNCTION("""COMPUTED_VALUE"""),-87.620029)</f>
        <v>-87.620029000000002</v>
      </c>
      <c r="AW3059" s="8"/>
      <c r="AX3059" s="8">
        <f ca="1">IFERROR(__xludf.DUMMYFUNCTION("""COMPUTED_VALUE"""),60653)</f>
        <v>60653</v>
      </c>
    </row>
    <row r="3060" spans="1:50" ht="75" x14ac:dyDescent="0.2">
      <c r="A3060" s="8" t="str">
        <f ca="1">IFERROR(__xludf.DUMMYFUNCTION("""COMPUTED_VALUE"""),"19731031MONOS")</f>
        <v>19731031MONOS</v>
      </c>
      <c r="B3060" s="8">
        <f ca="1">IFERROR(__xludf.DUMMYFUNCTION("""COMPUTED_VALUE"""),10)</f>
        <v>10</v>
      </c>
      <c r="C3060" s="8">
        <f ca="1">IFERROR(__xludf.DUMMYFUNCTION("""COMPUTED_VALUE"""),31)</f>
        <v>31</v>
      </c>
      <c r="D3060" s="8">
        <f ca="1">IFERROR(__xludf.DUMMYFUNCTION("""COMPUTED_VALUE"""),1973)</f>
        <v>1973</v>
      </c>
      <c r="E3060" s="9">
        <f ca="1">IFERROR(__xludf.DUMMYFUNCTION("""COMPUTED_VALUE"""),26968)</f>
        <v>26968</v>
      </c>
      <c r="F3060" s="8" t="str">
        <f ca="1">IFERROR(__xludf.DUMMYFUNCTION("""COMPUTED_VALUE"""),"Northwestern High School")</f>
        <v>Northwestern High School</v>
      </c>
      <c r="G3060" s="8">
        <f ca="1">IFERROR(__xludf.DUMMYFUNCTION("""COMPUTED_VALUE"""),0)</f>
        <v>0</v>
      </c>
      <c r="H3060" s="8">
        <f ca="1">IFERROR(__xludf.DUMMYFUNCTION("""COMPUTED_VALUE"""),1)</f>
        <v>1</v>
      </c>
      <c r="I3060" s="8">
        <f ca="1">IFERROR(__xludf.DUMMYFUNCTION("""COMPUTED_VALUE"""),1)</f>
        <v>1</v>
      </c>
      <c r="J3060" s="8">
        <f ca="1">IFERROR(__xludf.DUMMYFUNCTION("""COMPUTED_VALUE"""),0)</f>
        <v>0</v>
      </c>
      <c r="K3060" s="10" t="str">
        <f ca="1">IFERROR(__xludf.DUMMYFUNCTION("""COMPUTED_VALUE"""),"https://www.newspapers.com/image/305635210/?terms=school%2Bshooting")</f>
        <v>https://www.newspapers.com/image/305635210/?terms=school%2Bshooting</v>
      </c>
      <c r="L3060" s="8"/>
      <c r="M3060" s="8"/>
      <c r="N3060" s="8">
        <f ca="1">IFERROR(__xludf.DUMMYFUNCTION("""COMPUTED_VALUE"""),2)</f>
        <v>2</v>
      </c>
      <c r="O3060" s="8" t="str">
        <f ca="1">IFERROR(__xludf.DUMMYFUNCTION("""COMPUTED_VALUE"""),"Fall")</f>
        <v>Fall</v>
      </c>
      <c r="P3060" s="8" t="str">
        <f ca="1">IFERROR(__xludf.DUMMYFUNCTION("""COMPUTED_VALUE"""),"St. Louis")</f>
        <v>St. Louis</v>
      </c>
      <c r="Q3060" s="8" t="str">
        <f ca="1">IFERROR(__xludf.DUMMYFUNCTION("""COMPUTED_VALUE"""),"MO")</f>
        <v>MO</v>
      </c>
      <c r="R3060" s="8" t="str">
        <f ca="1">IFERROR(__xludf.DUMMYFUNCTION("""COMPUTED_VALUE"""),"High")</f>
        <v>High</v>
      </c>
      <c r="S3060" s="8" t="str">
        <f ca="1">IFERROR(__xludf.DUMMYFUNCTION("""COMPUTED_VALUE"""),"Beside Building")</f>
        <v>Beside Building</v>
      </c>
      <c r="T3060" s="8" t="str">
        <f ca="1">IFERROR(__xludf.DUMMYFUNCTION("""COMPUTED_VALUE"""),"Outside on School Property")</f>
        <v>Outside on School Property</v>
      </c>
      <c r="U3060" s="8" t="str">
        <f ca="1">IFERROR(__xludf.DUMMYFUNCTION("""COMPUTED_VALUE"""),"Yes")</f>
        <v>Yes</v>
      </c>
      <c r="V3060" s="8"/>
      <c r="W3060" s="8"/>
      <c r="X3060" s="8">
        <f ca="1">IFERROR(__xludf.DUMMYFUNCTION("""COMPUTED_VALUE"""),1)</f>
        <v>1</v>
      </c>
      <c r="Y3060" s="12" t="str">
        <f ca="1">IFERROR(__xludf.DUMMYFUNCTION("""COMPUTED_VALUE"""),"Non-student shot by another non-student in the smoking area outside of the school")</f>
        <v>Non-student shot by another non-student in the smoking area outside of the school</v>
      </c>
      <c r="Z3060" s="12" t="str">
        <f ca="1">IFERROR(__xludf.DUMMYFUNCTION("""COMPUTED_VALUE"""),"Non-student 18 year-old male shooter with a sawed-off shotgun shot a 17 year-old male non-student in the smoking area outside of the school. Armed security guards fired at the shooter who fled the area. Both were charged with trespassing.")</f>
        <v>Non-student 18 year-old male shooter with a sawed-off shotgun shot a 17 year-old male non-student in the smoking area outside of the school. Armed security guards fired at the shooter who fled the area. Both were charged with trespassing.</v>
      </c>
      <c r="AA3060" s="8" t="str">
        <f ca="1">IFERROR(__xludf.DUMMYFUNCTION("""COMPUTED_VALUE"""),"Illegal Activity")</f>
        <v>Illegal Activity</v>
      </c>
      <c r="AB3060" s="8"/>
      <c r="AC3060" s="8"/>
      <c r="AD3060" s="8" t="str">
        <f ca="1">IFERROR(__xludf.DUMMYFUNCTION("""COMPUTED_VALUE"""),"Victims Targeted")</f>
        <v>Victims Targeted</v>
      </c>
      <c r="AE3060" s="8" t="str">
        <f ca="1">IFERROR(__xludf.DUMMYFUNCTION("""COMPUTED_VALUE"""),"No")</f>
        <v>No</v>
      </c>
      <c r="AF3060" s="8"/>
      <c r="AG3060" s="8" t="str">
        <f ca="1">IFERROR(__xludf.DUMMYFUNCTION("""COMPUTED_VALUE"""),"No")</f>
        <v>No</v>
      </c>
      <c r="AH3060" s="8" t="str">
        <f ca="1">IFERROR(__xludf.DUMMYFUNCTION("""COMPUTED_VALUE"""),"No")</f>
        <v>No</v>
      </c>
      <c r="AI3060" s="8" t="str">
        <f ca="1">IFERROR(__xludf.DUMMYFUNCTION("""COMPUTED_VALUE"""),"No")</f>
        <v>No</v>
      </c>
      <c r="AJ3060" s="8" t="str">
        <f ca="1">IFERROR(__xludf.DUMMYFUNCTION("""COMPUTED_VALUE"""),"No")</f>
        <v>No</v>
      </c>
      <c r="AK3060" s="8" t="str">
        <f ca="1">IFERROR(__xludf.DUMMYFUNCTION("""COMPUTED_VALUE"""),"No")</f>
        <v>No</v>
      </c>
      <c r="AL3060" s="8"/>
      <c r="AM3060" s="8"/>
      <c r="AN3060" s="8"/>
      <c r="AO3060" s="8" t="str">
        <f ca="1">IFERROR(__xludf.DUMMYFUNCTION("""COMPUTED_VALUE"""),"No")</f>
        <v>No</v>
      </c>
      <c r="AP3060" s="8"/>
      <c r="AQ3060" s="8" t="str">
        <f ca="1">IFERROR(__xludf.DUMMYFUNCTION("""COMPUTED_VALUE"""),"Unknown")</f>
        <v>Unknown</v>
      </c>
      <c r="AR3060" s="8" t="str">
        <f ca="1">IFERROR(__xludf.DUMMYFUNCTION("""COMPUTED_VALUE"""),"NA")</f>
        <v>NA</v>
      </c>
      <c r="AS3060" s="8">
        <f ca="1">IFERROR(__xludf.DUMMYFUNCTION("""COMPUTED_VALUE"""),1)</f>
        <v>1</v>
      </c>
      <c r="AT3060" s="8"/>
      <c r="AU3060" s="8">
        <f ca="1">IFERROR(__xludf.DUMMYFUNCTION("""COMPUTED_VALUE"""),38.700876)</f>
        <v>38.700876000000001</v>
      </c>
      <c r="AV3060" s="8">
        <f ca="1">IFERROR(__xludf.DUMMYFUNCTION("""COMPUTED_VALUE"""),-90.255601)</f>
        <v>-90.255600999999999</v>
      </c>
      <c r="AW3060" s="8"/>
      <c r="AX3060" s="8">
        <f ca="1">IFERROR(__xludf.DUMMYFUNCTION("""COMPUTED_VALUE"""),63120)</f>
        <v>63120</v>
      </c>
    </row>
    <row r="3061" spans="1:50" ht="60" x14ac:dyDescent="0.2">
      <c r="A3061" s="8" t="str">
        <f ca="1">IFERROR(__xludf.DUMMYFUNCTION("""COMPUTED_VALUE"""),"19731024MNCEM")</f>
        <v>19731024MNCEM</v>
      </c>
      <c r="B3061" s="8">
        <f ca="1">IFERROR(__xludf.DUMMYFUNCTION("""COMPUTED_VALUE"""),10)</f>
        <v>10</v>
      </c>
      <c r="C3061" s="8">
        <f ca="1">IFERROR(__xludf.DUMMYFUNCTION("""COMPUTED_VALUE"""),24)</f>
        <v>24</v>
      </c>
      <c r="D3061" s="8">
        <f ca="1">IFERROR(__xludf.DUMMYFUNCTION("""COMPUTED_VALUE"""),1973)</f>
        <v>1973</v>
      </c>
      <c r="E3061" s="9">
        <f ca="1">IFERROR(__xludf.DUMMYFUNCTION("""COMPUTED_VALUE"""),26961)</f>
        <v>26961</v>
      </c>
      <c r="F3061" s="8" t="str">
        <f ca="1">IFERROR(__xludf.DUMMYFUNCTION("""COMPUTED_VALUE"""),"Central High School")</f>
        <v>Central High School</v>
      </c>
      <c r="G3061" s="8">
        <f ca="1">IFERROR(__xludf.DUMMYFUNCTION("""COMPUTED_VALUE"""),0)</f>
        <v>0</v>
      </c>
      <c r="H3061" s="8">
        <f ca="1">IFERROR(__xludf.DUMMYFUNCTION("""COMPUTED_VALUE"""),1)</f>
        <v>1</v>
      </c>
      <c r="I3061" s="8">
        <f ca="1">IFERROR(__xludf.DUMMYFUNCTION("""COMPUTED_VALUE"""),1)</f>
        <v>1</v>
      </c>
      <c r="J3061" s="8">
        <f ca="1">IFERROR(__xludf.DUMMYFUNCTION("""COMPUTED_VALUE"""),0)</f>
        <v>0</v>
      </c>
      <c r="K3061" s="10" t="str">
        <f ca="1">IFERROR(__xludf.DUMMYFUNCTION("""COMPUTED_VALUE"""),"https://www.newspapers.com/image/186814707/?terms=school%2Bshooting")</f>
        <v>https://www.newspapers.com/image/186814707/?terms=school%2Bshooting</v>
      </c>
      <c r="L3061" s="8"/>
      <c r="M3061" s="8"/>
      <c r="N3061" s="8">
        <f ca="1">IFERROR(__xludf.DUMMYFUNCTION("""COMPUTED_VALUE"""),2)</f>
        <v>2</v>
      </c>
      <c r="O3061" s="8" t="str">
        <f ca="1">IFERROR(__xludf.DUMMYFUNCTION("""COMPUTED_VALUE"""),"Fall")</f>
        <v>Fall</v>
      </c>
      <c r="P3061" s="8" t="str">
        <f ca="1">IFERROR(__xludf.DUMMYFUNCTION("""COMPUTED_VALUE"""),"Minneapolis")</f>
        <v>Minneapolis</v>
      </c>
      <c r="Q3061" s="8" t="str">
        <f ca="1">IFERROR(__xludf.DUMMYFUNCTION("""COMPUTED_VALUE"""),"MN")</f>
        <v>MN</v>
      </c>
      <c r="R3061" s="8" t="str">
        <f ca="1">IFERROR(__xludf.DUMMYFUNCTION("""COMPUTED_VALUE"""),"High")</f>
        <v>High</v>
      </c>
      <c r="S3061" s="8" t="str">
        <f ca="1">IFERROR(__xludf.DUMMYFUNCTION("""COMPUTED_VALUE"""),"Outside on School Property")</f>
        <v>Outside on School Property</v>
      </c>
      <c r="T3061" s="8" t="str">
        <f ca="1">IFERROR(__xludf.DUMMYFUNCTION("""COMPUTED_VALUE"""),"Outside on School Property")</f>
        <v>Outside on School Property</v>
      </c>
      <c r="U3061" s="8" t="str">
        <f ca="1">IFERROR(__xludf.DUMMYFUNCTION("""COMPUTED_VALUE"""),"Yes")</f>
        <v>Yes</v>
      </c>
      <c r="V3061" s="8"/>
      <c r="W3061" s="8"/>
      <c r="X3061" s="8">
        <f ca="1">IFERROR(__xludf.DUMMYFUNCTION("""COMPUTED_VALUE"""),1)</f>
        <v>1</v>
      </c>
      <c r="Y3061" s="12" t="str">
        <f ca="1">IFERROR(__xludf.DUMMYFUNCTION("""COMPUTED_VALUE"""),"Shotgun fired during fight over debt, hit bystander/student")</f>
        <v>Shotgun fired during fight over debt, hit bystander/student</v>
      </c>
      <c r="Z3061" s="12" t="str">
        <f ca="1">IFERROR(__xludf.DUMMYFUNCTION("""COMPUTED_VALUE"""),"Group of students were fighting over a $50 debt. 17 year-old male shooter pulled a sawed-off shotgun and fired striking an uninvolved bystander.")</f>
        <v>Group of students were fighting over a $50 debt. 17 year-old male shooter pulled a sawed-off shotgun and fired striking an uninvolved bystander.</v>
      </c>
      <c r="AA3061" s="8" t="str">
        <f ca="1">IFERROR(__xludf.DUMMYFUNCTION("""COMPUTED_VALUE"""),"Escalation of Dispute")</f>
        <v>Escalation of Dispute</v>
      </c>
      <c r="AB3061" s="8"/>
      <c r="AC3061" s="8"/>
      <c r="AD3061" s="8" t="str">
        <f ca="1">IFERROR(__xludf.DUMMYFUNCTION("""COMPUTED_VALUE"""),"Both")</f>
        <v>Both</v>
      </c>
      <c r="AE3061" s="8" t="str">
        <f ca="1">IFERROR(__xludf.DUMMYFUNCTION("""COMPUTED_VALUE"""),"Yes")</f>
        <v>Yes</v>
      </c>
      <c r="AF3061" s="8" t="str">
        <f ca="1">IFERROR(__xludf.DUMMYFUNCTION("""COMPUTED_VALUE"""),"Group went to collect debt")</f>
        <v>Group went to collect debt</v>
      </c>
      <c r="AG3061" s="8" t="str">
        <f ca="1">IFERROR(__xludf.DUMMYFUNCTION("""COMPUTED_VALUE"""),"No")</f>
        <v>No</v>
      </c>
      <c r="AH3061" s="8" t="str">
        <f ca="1">IFERROR(__xludf.DUMMYFUNCTION("""COMPUTED_VALUE"""),"No")</f>
        <v>No</v>
      </c>
      <c r="AI3061" s="8" t="str">
        <f ca="1">IFERROR(__xludf.DUMMYFUNCTION("""COMPUTED_VALUE"""),"No")</f>
        <v>No</v>
      </c>
      <c r="AJ3061" s="8" t="str">
        <f ca="1">IFERROR(__xludf.DUMMYFUNCTION("""COMPUTED_VALUE"""),"No")</f>
        <v>No</v>
      </c>
      <c r="AK3061" s="8" t="str">
        <f ca="1">IFERROR(__xludf.DUMMYFUNCTION("""COMPUTED_VALUE"""),"No")</f>
        <v>No</v>
      </c>
      <c r="AL3061" s="8" t="str">
        <f ca="1">IFERROR(__xludf.DUMMYFUNCTION("""COMPUTED_VALUE"""),"No")</f>
        <v>No</v>
      </c>
      <c r="AM3061" s="8"/>
      <c r="AN3061" s="8"/>
      <c r="AO3061" s="8" t="str">
        <f ca="1">IFERROR(__xludf.DUMMYFUNCTION("""COMPUTED_VALUE"""),"No")</f>
        <v>No</v>
      </c>
      <c r="AP3061" s="8"/>
      <c r="AQ3061" s="8" t="str">
        <f ca="1">IFERROR(__xludf.DUMMYFUNCTION("""COMPUTED_VALUE"""),"Unknown")</f>
        <v>Unknown</v>
      </c>
      <c r="AR3061" s="8" t="str">
        <f ca="1">IFERROR(__xludf.DUMMYFUNCTION("""COMPUTED_VALUE"""),"NA")</f>
        <v>NA</v>
      </c>
      <c r="AS3061" s="8">
        <f ca="1">IFERROR(__xludf.DUMMYFUNCTION("""COMPUTED_VALUE"""),1)</f>
        <v>1</v>
      </c>
      <c r="AT3061" s="8"/>
      <c r="AU3061" s="8">
        <f ca="1">IFERROR(__xludf.DUMMYFUNCTION("""COMPUTED_VALUE"""),44.948823)</f>
        <v>44.948822999999997</v>
      </c>
      <c r="AV3061" s="8">
        <f ca="1">IFERROR(__xludf.DUMMYFUNCTION("""COMPUTED_VALUE"""),-93.148176)</f>
        <v>-93.148176000000007</v>
      </c>
      <c r="AW3061" s="8"/>
      <c r="AX3061" s="8">
        <f ca="1">IFERROR(__xludf.DUMMYFUNCTION("""COMPUTED_VALUE"""),55104)</f>
        <v>55104</v>
      </c>
    </row>
    <row r="3062" spans="1:50" ht="45" x14ac:dyDescent="0.2">
      <c r="A3062" s="8" t="str">
        <f ca="1">IFERROR(__xludf.DUMMYFUNCTION("""COMPUTED_VALUE"""),"19731023OHBAB")</f>
        <v>19731023OHBAB</v>
      </c>
      <c r="B3062" s="8">
        <f ca="1">IFERROR(__xludf.DUMMYFUNCTION("""COMPUTED_VALUE"""),10)</f>
        <v>10</v>
      </c>
      <c r="C3062" s="8">
        <f ca="1">IFERROR(__xludf.DUMMYFUNCTION("""COMPUTED_VALUE"""),23)</f>
        <v>23</v>
      </c>
      <c r="D3062" s="8">
        <f ca="1">IFERROR(__xludf.DUMMYFUNCTION("""COMPUTED_VALUE"""),1973)</f>
        <v>1973</v>
      </c>
      <c r="E3062" s="9">
        <f ca="1">IFERROR(__xludf.DUMMYFUNCTION("""COMPUTED_VALUE"""),26960)</f>
        <v>26960</v>
      </c>
      <c r="F3062" s="8" t="str">
        <f ca="1">IFERROR(__xludf.DUMMYFUNCTION("""COMPUTED_VALUE"""),"Barberton High School")</f>
        <v>Barberton High School</v>
      </c>
      <c r="G3062" s="8">
        <f ca="1">IFERROR(__xludf.DUMMYFUNCTION("""COMPUTED_VALUE"""),0)</f>
        <v>0</v>
      </c>
      <c r="H3062" s="8">
        <f ca="1">IFERROR(__xludf.DUMMYFUNCTION("""COMPUTED_VALUE"""),1)</f>
        <v>1</v>
      </c>
      <c r="I3062" s="8">
        <f ca="1">IFERROR(__xludf.DUMMYFUNCTION("""COMPUTED_VALUE"""),1)</f>
        <v>1</v>
      </c>
      <c r="J3062" s="8">
        <f ca="1">IFERROR(__xludf.DUMMYFUNCTION("""COMPUTED_VALUE"""),0)</f>
        <v>0</v>
      </c>
      <c r="K3062" s="10" t="str">
        <f ca="1">IFERROR(__xludf.DUMMYFUNCTION("""COMPUTED_VALUE"""),"https://www.newspapers.com/image/152290612/?terms=a%2Bsingle%2Btragic%2Bincident")</f>
        <v>https://www.newspapers.com/image/152290612/?terms=a%2Bsingle%2Btragic%2Bincident</v>
      </c>
      <c r="L3062" s="8"/>
      <c r="M3062" s="8"/>
      <c r="N3062" s="8">
        <f ca="1">IFERROR(__xludf.DUMMYFUNCTION("""COMPUTED_VALUE"""),2)</f>
        <v>2</v>
      </c>
      <c r="O3062" s="8" t="str">
        <f ca="1">IFERROR(__xludf.DUMMYFUNCTION("""COMPUTED_VALUE"""),"Fall")</f>
        <v>Fall</v>
      </c>
      <c r="P3062" s="8" t="str">
        <f ca="1">IFERROR(__xludf.DUMMYFUNCTION("""COMPUTED_VALUE"""),"Barberton")</f>
        <v>Barberton</v>
      </c>
      <c r="Q3062" s="8" t="str">
        <f ca="1">IFERROR(__xludf.DUMMYFUNCTION("""COMPUTED_VALUE"""),"OH")</f>
        <v>OH</v>
      </c>
      <c r="R3062" s="8" t="str">
        <f ca="1">IFERROR(__xludf.DUMMYFUNCTION("""COMPUTED_VALUE"""),"High")</f>
        <v>High</v>
      </c>
      <c r="S3062" s="8" t="str">
        <f ca="1">IFERROR(__xludf.DUMMYFUNCTION("""COMPUTED_VALUE"""),"Office")</f>
        <v>Office</v>
      </c>
      <c r="T3062" s="8" t="str">
        <f ca="1">IFERROR(__xludf.DUMMYFUNCTION("""COMPUTED_VALUE"""),"Inside School Building")</f>
        <v>Inside School Building</v>
      </c>
      <c r="U3062" s="8" t="str">
        <f ca="1">IFERROR(__xludf.DUMMYFUNCTION("""COMPUTED_VALUE"""),"Yes")</f>
        <v>Yes</v>
      </c>
      <c r="V3062" s="8" t="str">
        <f ca="1">IFERROR(__xludf.DUMMYFUNCTION("""COMPUTED_VALUE"""),"Lunch")</f>
        <v>Lunch</v>
      </c>
      <c r="W3062" s="11">
        <f ca="1">IFERROR(__xludf.DUMMYFUNCTION("""COMPUTED_VALUE"""),0.5)</f>
        <v>0.5</v>
      </c>
      <c r="X3062" s="8">
        <f ca="1">IFERROR(__xludf.DUMMYFUNCTION("""COMPUTED_VALUE"""),1)</f>
        <v>1</v>
      </c>
      <c r="Y3062" s="12" t="str">
        <f ca="1">IFERROR(__xludf.DUMMYFUNCTION("""COMPUTED_VALUE"""),"Argument over absentee marks at school")</f>
        <v>Argument over absentee marks at school</v>
      </c>
      <c r="Z3062" s="12" t="str">
        <f ca="1">IFERROR(__xludf.DUMMYFUNCTION("""COMPUTED_VALUE"""),"Shooter walked into counselor's office after being summoned to discuss his absences. Student shot counselor then fled. Arrested later away from school.")</f>
        <v>Shooter walked into counselor's office after being summoned to discuss his absences. Student shot counselor then fled. Arrested later away from school.</v>
      </c>
      <c r="AA3062" s="8" t="str">
        <f ca="1">IFERROR(__xludf.DUMMYFUNCTION("""COMPUTED_VALUE"""),"Anger Over Grade/Suspension/Discipline")</f>
        <v>Anger Over Grade/Suspension/Discipline</v>
      </c>
      <c r="AB3062" s="8"/>
      <c r="AC3062" s="8"/>
      <c r="AD3062" s="8" t="str">
        <f ca="1">IFERROR(__xludf.DUMMYFUNCTION("""COMPUTED_VALUE"""),"Victims Targeted")</f>
        <v>Victims Targeted</v>
      </c>
      <c r="AE3062" s="8" t="str">
        <f ca="1">IFERROR(__xludf.DUMMYFUNCTION("""COMPUTED_VALUE"""),"No")</f>
        <v>No</v>
      </c>
      <c r="AF3062" s="8"/>
      <c r="AG3062" s="8" t="str">
        <f ca="1">IFERROR(__xludf.DUMMYFUNCTION("""COMPUTED_VALUE"""),"No")</f>
        <v>No</v>
      </c>
      <c r="AH3062" s="8" t="str">
        <f ca="1">IFERROR(__xludf.DUMMYFUNCTION("""COMPUTED_VALUE"""),"No")</f>
        <v>No</v>
      </c>
      <c r="AI3062" s="8" t="str">
        <f ca="1">IFERROR(__xludf.DUMMYFUNCTION("""COMPUTED_VALUE"""),"No")</f>
        <v>No</v>
      </c>
      <c r="AJ3062" s="8" t="str">
        <f ca="1">IFERROR(__xludf.DUMMYFUNCTION("""COMPUTED_VALUE"""),"No")</f>
        <v>No</v>
      </c>
      <c r="AK3062" s="8" t="str">
        <f ca="1">IFERROR(__xludf.DUMMYFUNCTION("""COMPUTED_VALUE"""),"No")</f>
        <v>No</v>
      </c>
      <c r="AL3062" s="8" t="str">
        <f ca="1">IFERROR(__xludf.DUMMYFUNCTION("""COMPUTED_VALUE"""),"No")</f>
        <v>No</v>
      </c>
      <c r="AM3062" s="8" t="str">
        <f ca="1">IFERROR(__xludf.DUMMYFUNCTION("""COMPUTED_VALUE"""),"Yes")</f>
        <v>Yes</v>
      </c>
      <c r="AN3062" s="8" t="str">
        <f ca="1">IFERROR(__xludf.DUMMYFUNCTION("""COMPUTED_VALUE"""),"Single Room")</f>
        <v>Single Room</v>
      </c>
      <c r="AO3062" s="8" t="str">
        <f ca="1">IFERROR(__xludf.DUMMYFUNCTION("""COMPUTED_VALUE"""),"No")</f>
        <v>No</v>
      </c>
      <c r="AP3062" s="8"/>
      <c r="AQ3062" s="8" t="str">
        <f ca="1">IFERROR(__xludf.DUMMYFUNCTION("""COMPUTED_VALUE"""),"Unknown")</f>
        <v>Unknown</v>
      </c>
      <c r="AR3062" s="8" t="str">
        <f ca="1">IFERROR(__xludf.DUMMYFUNCTION("""COMPUTED_VALUE"""),"NA")</f>
        <v>NA</v>
      </c>
      <c r="AS3062" s="8">
        <f ca="1">IFERROR(__xludf.DUMMYFUNCTION("""COMPUTED_VALUE"""),3)</f>
        <v>3</v>
      </c>
      <c r="AT3062" s="8"/>
      <c r="AU3062" s="8">
        <f ca="1">IFERROR(__xludf.DUMMYFUNCTION("""COMPUTED_VALUE"""),41.025804)</f>
        <v>41.025804000000001</v>
      </c>
      <c r="AV3062" s="8">
        <f ca="1">IFERROR(__xludf.DUMMYFUNCTION("""COMPUTED_VALUE"""),-81.608221)</f>
        <v>-81.608221</v>
      </c>
      <c r="AW3062" s="8"/>
      <c r="AX3062" s="8">
        <f ca="1">IFERROR(__xludf.DUMMYFUNCTION("""COMPUTED_VALUE"""),44203)</f>
        <v>44203</v>
      </c>
    </row>
    <row r="3063" spans="1:50" ht="75" x14ac:dyDescent="0.2">
      <c r="A3063" s="8" t="str">
        <f ca="1">IFERROR(__xludf.DUMMYFUNCTION("""COMPUTED_VALUE"""),"19731023MOSUS")</f>
        <v>19731023MOSUS</v>
      </c>
      <c r="B3063" s="8">
        <f ca="1">IFERROR(__xludf.DUMMYFUNCTION("""COMPUTED_VALUE"""),10)</f>
        <v>10</v>
      </c>
      <c r="C3063" s="8">
        <f ca="1">IFERROR(__xludf.DUMMYFUNCTION("""COMPUTED_VALUE"""),23)</f>
        <v>23</v>
      </c>
      <c r="D3063" s="8">
        <f ca="1">IFERROR(__xludf.DUMMYFUNCTION("""COMPUTED_VALUE"""),1973)</f>
        <v>1973</v>
      </c>
      <c r="E3063" s="9">
        <f ca="1">IFERROR(__xludf.DUMMYFUNCTION("""COMPUTED_VALUE"""),26960)</f>
        <v>26960</v>
      </c>
      <c r="F3063" s="8" t="str">
        <f ca="1">IFERROR(__xludf.DUMMYFUNCTION("""COMPUTED_VALUE"""),"Sumner High School")</f>
        <v>Sumner High School</v>
      </c>
      <c r="G3063" s="8">
        <f ca="1">IFERROR(__xludf.DUMMYFUNCTION("""COMPUTED_VALUE"""),0)</f>
        <v>0</v>
      </c>
      <c r="H3063" s="8">
        <f ca="1">IFERROR(__xludf.DUMMYFUNCTION("""COMPUTED_VALUE"""),1)</f>
        <v>1</v>
      </c>
      <c r="I3063" s="8">
        <f ca="1">IFERROR(__xludf.DUMMYFUNCTION("""COMPUTED_VALUE"""),1)</f>
        <v>1</v>
      </c>
      <c r="J3063" s="8">
        <f ca="1">IFERROR(__xludf.DUMMYFUNCTION("""COMPUTED_VALUE"""),0)</f>
        <v>0</v>
      </c>
      <c r="K3063" s="8" t="str">
        <f ca="1">IFERROR(__xludf.DUMMYFUNCTION("""COMPUTED_VALUE"""),"https://www.newspapers.com/image/69935068/?terms=beaumont%2Bhigh%2Bschool   https://www.newspapers.com/image/139434965/?terms=george%2Bjones")</f>
        <v>https://www.newspapers.com/image/69935068/?terms=beaumont%2Bhigh%2Bschool   https://www.newspapers.com/image/139434965/?terms=george%2Bjones</v>
      </c>
      <c r="L3063" s="8"/>
      <c r="M3063" s="8"/>
      <c r="N3063" s="8">
        <f ca="1">IFERROR(__xludf.DUMMYFUNCTION("""COMPUTED_VALUE"""),2)</f>
        <v>2</v>
      </c>
      <c r="O3063" s="8" t="str">
        <f ca="1">IFERROR(__xludf.DUMMYFUNCTION("""COMPUTED_VALUE"""),"Fall")</f>
        <v>Fall</v>
      </c>
      <c r="P3063" s="8" t="str">
        <f ca="1">IFERROR(__xludf.DUMMYFUNCTION("""COMPUTED_VALUE"""),"St. Louis")</f>
        <v>St. Louis</v>
      </c>
      <c r="Q3063" s="8" t="str">
        <f ca="1">IFERROR(__xludf.DUMMYFUNCTION("""COMPUTED_VALUE"""),"MO")</f>
        <v>MO</v>
      </c>
      <c r="R3063" s="8" t="str">
        <f ca="1">IFERROR(__xludf.DUMMYFUNCTION("""COMPUTED_VALUE"""),"High")</f>
        <v>High</v>
      </c>
      <c r="S3063" s="8" t="str">
        <f ca="1">IFERROR(__xludf.DUMMYFUNCTION("""COMPUTED_VALUE"""),"Parking Lot")</f>
        <v>Parking Lot</v>
      </c>
      <c r="T3063" s="8" t="str">
        <f ca="1">IFERROR(__xludf.DUMMYFUNCTION("""COMPUTED_VALUE"""),"Outside on School Property")</f>
        <v>Outside on School Property</v>
      </c>
      <c r="U3063" s="8" t="str">
        <f ca="1">IFERROR(__xludf.DUMMYFUNCTION("""COMPUTED_VALUE"""),"Yes")</f>
        <v>Yes</v>
      </c>
      <c r="V3063" s="8" t="str">
        <f ca="1">IFERROR(__xludf.DUMMYFUNCTION("""COMPUTED_VALUE"""),"Afternoon Classes")</f>
        <v>Afternoon Classes</v>
      </c>
      <c r="W3063" s="11">
        <f ca="1">IFERROR(__xludf.DUMMYFUNCTION("""COMPUTED_VALUE"""),0.541666666666666)</f>
        <v>0.54166666666666596</v>
      </c>
      <c r="X3063" s="8">
        <f ca="1">IFERROR(__xludf.DUMMYFUNCTION("""COMPUTED_VALUE"""),1)</f>
        <v>1</v>
      </c>
      <c r="Y3063" s="12" t="str">
        <f ca="1">IFERROR(__xludf.DUMMYFUNCTION("""COMPUTED_VALUE"""),"Escalation of gang violence between two groups")</f>
        <v>Escalation of gang violence between two groups</v>
      </c>
      <c r="Z3063" s="12" t="str">
        <f ca="1">IFERROR(__xludf.DUMMYFUNCTION("""COMPUTED_VALUE"""),"Car pulled up to a group of students standing outside car. One of the occupants in the car aimed a shotgun out the window and pulled the trigger striking a bystander. One of the boys in the group pulled out a .38 revolver and shot at the car three times. "&amp;"Several arrests were later made.")</f>
        <v>Car pulled up to a group of students standing outside car. One of the occupants in the car aimed a shotgun out the window and pulled the trigger striking a bystander. One of the boys in the group pulled out a .38 revolver and shot at the car three times. Several arrests were later made.</v>
      </c>
      <c r="AA3063" s="8" t="str">
        <f ca="1">IFERROR(__xludf.DUMMYFUNCTION("""COMPUTED_VALUE"""),"Escalation of Dispute")</f>
        <v>Escalation of Dispute</v>
      </c>
      <c r="AB3063" s="8"/>
      <c r="AC3063" s="8"/>
      <c r="AD3063" s="8" t="str">
        <f ca="1">IFERROR(__xludf.DUMMYFUNCTION("""COMPUTED_VALUE"""),"Random Shooting")</f>
        <v>Random Shooting</v>
      </c>
      <c r="AE3063" s="8" t="str">
        <f ca="1">IFERROR(__xludf.DUMMYFUNCTION("""COMPUTED_VALUE"""),"Yes")</f>
        <v>Yes</v>
      </c>
      <c r="AF3063" s="8" t="str">
        <f ca="1">IFERROR(__xludf.DUMMYFUNCTION("""COMPUTED_VALUE"""),"Darrell Rice (17) driver of vehicle shotgun was shot from.")</f>
        <v>Darrell Rice (17) driver of vehicle shotgun was shot from.</v>
      </c>
      <c r="AG3063" s="8" t="str">
        <f ca="1">IFERROR(__xludf.DUMMYFUNCTION("""COMPUTED_VALUE"""),"No")</f>
        <v>No</v>
      </c>
      <c r="AH3063" s="8" t="str">
        <f ca="1">IFERROR(__xludf.DUMMYFUNCTION("""COMPUTED_VALUE"""),"No")</f>
        <v>No</v>
      </c>
      <c r="AI3063" s="8" t="str">
        <f ca="1">IFERROR(__xludf.DUMMYFUNCTION("""COMPUTED_VALUE"""),"No")</f>
        <v>No</v>
      </c>
      <c r="AJ3063" s="8" t="str">
        <f ca="1">IFERROR(__xludf.DUMMYFUNCTION("""COMPUTED_VALUE"""),"No")</f>
        <v>No</v>
      </c>
      <c r="AK3063" s="8" t="str">
        <f ca="1">IFERROR(__xludf.DUMMYFUNCTION("""COMPUTED_VALUE"""),"No")</f>
        <v>No</v>
      </c>
      <c r="AL3063" s="8" t="str">
        <f ca="1">IFERROR(__xludf.DUMMYFUNCTION("""COMPUTED_VALUE"""),"Yes")</f>
        <v>Yes</v>
      </c>
      <c r="AM3063" s="8"/>
      <c r="AN3063" s="8"/>
      <c r="AO3063" s="8" t="str">
        <f ca="1">IFERROR(__xludf.DUMMYFUNCTION("""COMPUTED_VALUE"""),"No")</f>
        <v>No</v>
      </c>
      <c r="AP3063" s="8"/>
      <c r="AQ3063" s="8" t="str">
        <f ca="1">IFERROR(__xludf.DUMMYFUNCTION("""COMPUTED_VALUE"""),"Unknown")</f>
        <v>Unknown</v>
      </c>
      <c r="AR3063" s="8" t="str">
        <f ca="1">IFERROR(__xludf.DUMMYFUNCTION("""COMPUTED_VALUE"""),"NA")</f>
        <v>NA</v>
      </c>
      <c r="AS3063" s="8">
        <f ca="1">IFERROR(__xludf.DUMMYFUNCTION("""COMPUTED_VALUE"""),4)</f>
        <v>4</v>
      </c>
      <c r="AT3063" s="8"/>
      <c r="AU3063" s="8">
        <f ca="1">IFERROR(__xludf.DUMMYFUNCTION("""COMPUTED_VALUE"""),38.659778)</f>
        <v>38.659778000000003</v>
      </c>
      <c r="AV3063" s="8">
        <f ca="1">IFERROR(__xludf.DUMMYFUNCTION("""COMPUTED_VALUE"""),-90.239245)</f>
        <v>-90.239244999999997</v>
      </c>
      <c r="AW3063" s="8"/>
      <c r="AX3063" s="8">
        <f ca="1">IFERROR(__xludf.DUMMYFUNCTION("""COMPUTED_VALUE"""),63113)</f>
        <v>63113</v>
      </c>
    </row>
    <row r="3064" spans="1:50" ht="60" x14ac:dyDescent="0.2">
      <c r="A3064" s="8" t="str">
        <f ca="1">IFERROR(__xludf.DUMMYFUNCTION("""COMPUTED_VALUE"""),"19731019MOBES")</f>
        <v>19731019MOBES</v>
      </c>
      <c r="B3064" s="8">
        <f ca="1">IFERROR(__xludf.DUMMYFUNCTION("""COMPUTED_VALUE"""),10)</f>
        <v>10</v>
      </c>
      <c r="C3064" s="8">
        <f ca="1">IFERROR(__xludf.DUMMYFUNCTION("""COMPUTED_VALUE"""),19)</f>
        <v>19</v>
      </c>
      <c r="D3064" s="8">
        <f ca="1">IFERROR(__xludf.DUMMYFUNCTION("""COMPUTED_VALUE"""),1973)</f>
        <v>1973</v>
      </c>
      <c r="E3064" s="9">
        <f ca="1">IFERROR(__xludf.DUMMYFUNCTION("""COMPUTED_VALUE"""),26956)</f>
        <v>26956</v>
      </c>
      <c r="F3064" s="8" t="str">
        <f ca="1">IFERROR(__xludf.DUMMYFUNCTION("""COMPUTED_VALUE"""),"Beaumont High School")</f>
        <v>Beaumont High School</v>
      </c>
      <c r="G3064" s="8">
        <f ca="1">IFERROR(__xludf.DUMMYFUNCTION("""COMPUTED_VALUE"""),1)</f>
        <v>1</v>
      </c>
      <c r="H3064" s="8">
        <f ca="1">IFERROR(__xludf.DUMMYFUNCTION("""COMPUTED_VALUE"""),0)</f>
        <v>0</v>
      </c>
      <c r="I3064" s="8">
        <f ca="1">IFERROR(__xludf.DUMMYFUNCTION("""COMPUTED_VALUE"""),1)</f>
        <v>1</v>
      </c>
      <c r="J3064" s="8">
        <f ca="1">IFERROR(__xludf.DUMMYFUNCTION("""COMPUTED_VALUE"""),0)</f>
        <v>0</v>
      </c>
      <c r="K3064" s="8" t="str">
        <f ca="1">IFERROR(__xludf.DUMMYFUNCTION("""COMPUTED_VALUE"""),"https://www.newspapers.com/image/139434714/?terms=WILLIAM%2BWIGGINS   https://www.newspapers.com/image/139433696/?terms=beaumont%2Bhigh%2Bschool")</f>
        <v>https://www.newspapers.com/image/139434714/?terms=WILLIAM%2BWIGGINS   https://www.newspapers.com/image/139433696/?terms=beaumont%2Bhigh%2Bschool</v>
      </c>
      <c r="L3064" s="8"/>
      <c r="M3064" s="8"/>
      <c r="N3064" s="8">
        <f ca="1">IFERROR(__xludf.DUMMYFUNCTION("""COMPUTED_VALUE"""),2)</f>
        <v>2</v>
      </c>
      <c r="O3064" s="8" t="str">
        <f ca="1">IFERROR(__xludf.DUMMYFUNCTION("""COMPUTED_VALUE"""),"Fall")</f>
        <v>Fall</v>
      </c>
      <c r="P3064" s="8" t="str">
        <f ca="1">IFERROR(__xludf.DUMMYFUNCTION("""COMPUTED_VALUE"""),"St. Louis")</f>
        <v>St. Louis</v>
      </c>
      <c r="Q3064" s="8" t="str">
        <f ca="1">IFERROR(__xludf.DUMMYFUNCTION("""COMPUTED_VALUE"""),"MO")</f>
        <v>MO</v>
      </c>
      <c r="R3064" s="8" t="str">
        <f ca="1">IFERROR(__xludf.DUMMYFUNCTION("""COMPUTED_VALUE"""),"High")</f>
        <v>High</v>
      </c>
      <c r="S3064" s="8" t="str">
        <f ca="1">IFERROR(__xludf.DUMMYFUNCTION("""COMPUTED_VALUE"""),"Inside School Building")</f>
        <v>Inside School Building</v>
      </c>
      <c r="T3064" s="8" t="str">
        <f ca="1">IFERROR(__xludf.DUMMYFUNCTION("""COMPUTED_VALUE"""),"Inside School Building")</f>
        <v>Inside School Building</v>
      </c>
      <c r="U3064" s="8" t="str">
        <f ca="1">IFERROR(__xludf.DUMMYFUNCTION("""COMPUTED_VALUE"""),"Yes")</f>
        <v>Yes</v>
      </c>
      <c r="V3064" s="8" t="str">
        <f ca="1">IFERROR(__xludf.DUMMYFUNCTION("""COMPUTED_VALUE"""),"Dismissal")</f>
        <v>Dismissal</v>
      </c>
      <c r="W3064" s="8"/>
      <c r="X3064" s="8"/>
      <c r="Y3064" s="12" t="str">
        <f ca="1">IFERROR(__xludf.DUMMYFUNCTION("""COMPUTED_VALUE"""),"Shooting occurred after an earlier fight between two groups of students")</f>
        <v>Shooting occurred after an earlier fight between two groups of students</v>
      </c>
      <c r="Z3064" s="12" t="str">
        <f ca="1">IFERROR(__xludf.DUMMYFUNCTION("""COMPUTED_VALUE"""),"Gang violence. Unclear if victim was intended target")</f>
        <v>Gang violence. Unclear if victim was intended target</v>
      </c>
      <c r="AA3064" s="8" t="str">
        <f ca="1">IFERROR(__xludf.DUMMYFUNCTION("""COMPUTED_VALUE"""),"Escalation of Dispute")</f>
        <v>Escalation of Dispute</v>
      </c>
      <c r="AB3064" s="8"/>
      <c r="AC3064" s="8"/>
      <c r="AD3064" s="8"/>
      <c r="AE3064" s="8" t="str">
        <f ca="1">IFERROR(__xludf.DUMMYFUNCTION("""COMPUTED_VALUE"""),"No")</f>
        <v>No</v>
      </c>
      <c r="AF3064" s="8"/>
      <c r="AG3064" s="8" t="str">
        <f ca="1">IFERROR(__xludf.DUMMYFUNCTION("""COMPUTED_VALUE"""),"No")</f>
        <v>No</v>
      </c>
      <c r="AH3064" s="8" t="str">
        <f ca="1">IFERROR(__xludf.DUMMYFUNCTION("""COMPUTED_VALUE"""),"No")</f>
        <v>No</v>
      </c>
      <c r="AI3064" s="8" t="str">
        <f ca="1">IFERROR(__xludf.DUMMYFUNCTION("""COMPUTED_VALUE"""),"No")</f>
        <v>No</v>
      </c>
      <c r="AJ3064" s="8" t="str">
        <f ca="1">IFERROR(__xludf.DUMMYFUNCTION("""COMPUTED_VALUE"""),"No")</f>
        <v>No</v>
      </c>
      <c r="AK3064" s="8" t="str">
        <f ca="1">IFERROR(__xludf.DUMMYFUNCTION("""COMPUTED_VALUE"""),"No")</f>
        <v>No</v>
      </c>
      <c r="AL3064" s="8" t="str">
        <f ca="1">IFERROR(__xludf.DUMMYFUNCTION("""COMPUTED_VALUE"""),"Yes")</f>
        <v>Yes</v>
      </c>
      <c r="AM3064" s="8"/>
      <c r="AN3064" s="8"/>
      <c r="AO3064" s="8" t="str">
        <f ca="1">IFERROR(__xludf.DUMMYFUNCTION("""COMPUTED_VALUE"""),"No")</f>
        <v>No</v>
      </c>
      <c r="AP3064" s="8"/>
      <c r="AQ3064" s="8" t="str">
        <f ca="1">IFERROR(__xludf.DUMMYFUNCTION("""COMPUTED_VALUE"""),"Unknown")</f>
        <v>Unknown</v>
      </c>
      <c r="AR3064" s="8" t="str">
        <f ca="1">IFERROR(__xludf.DUMMYFUNCTION("""COMPUTED_VALUE"""),"NA")</f>
        <v>NA</v>
      </c>
      <c r="AS3064" s="8"/>
      <c r="AT3064" s="8"/>
      <c r="AU3064" s="8">
        <f ca="1">IFERROR(__xludf.DUMMYFUNCTION("""COMPUTED_VALUE"""),38.662599)</f>
        <v>38.662599</v>
      </c>
      <c r="AV3064" s="8">
        <f ca="1">IFERROR(__xludf.DUMMYFUNCTION("""COMPUTED_VALUE"""),-90.222239)</f>
        <v>-90.222239000000002</v>
      </c>
      <c r="AW3064" s="8"/>
      <c r="AX3064" s="8">
        <f ca="1">IFERROR(__xludf.DUMMYFUNCTION("""COMPUTED_VALUE"""),63107)</f>
        <v>63107</v>
      </c>
    </row>
    <row r="3065" spans="1:50" ht="75" x14ac:dyDescent="0.2">
      <c r="A3065" s="8" t="str">
        <f ca="1">IFERROR(__xludf.DUMMYFUNCTION("""COMPUTED_VALUE"""),"19731002ILELA")</f>
        <v>19731002ILELA</v>
      </c>
      <c r="B3065" s="8">
        <f ca="1">IFERROR(__xludf.DUMMYFUNCTION("""COMPUTED_VALUE"""),10)</f>
        <v>10</v>
      </c>
      <c r="C3065" s="8">
        <f ca="1">IFERROR(__xludf.DUMMYFUNCTION("""COMPUTED_VALUE"""),2)</f>
        <v>2</v>
      </c>
      <c r="D3065" s="8">
        <f ca="1">IFERROR(__xludf.DUMMYFUNCTION("""COMPUTED_VALUE"""),1973)</f>
        <v>1973</v>
      </c>
      <c r="E3065" s="9">
        <f ca="1">IFERROR(__xludf.DUMMYFUNCTION("""COMPUTED_VALUE"""),26939)</f>
        <v>26939</v>
      </c>
      <c r="F3065" s="8" t="str">
        <f ca="1">IFERROR(__xludf.DUMMYFUNCTION("""COMPUTED_VALUE"""),"Elmhurst Wood Park Community High School")</f>
        <v>Elmhurst Wood Park Community High School</v>
      </c>
      <c r="G3065" s="8">
        <f ca="1">IFERROR(__xludf.DUMMYFUNCTION("""COMPUTED_VALUE"""),1)</f>
        <v>1</v>
      </c>
      <c r="H3065" s="8">
        <f ca="1">IFERROR(__xludf.DUMMYFUNCTION("""COMPUTED_VALUE"""),0)</f>
        <v>0</v>
      </c>
      <c r="I3065" s="8">
        <f ca="1">IFERROR(__xludf.DUMMYFUNCTION("""COMPUTED_VALUE"""),1)</f>
        <v>1</v>
      </c>
      <c r="J3065" s="8">
        <f ca="1">IFERROR(__xludf.DUMMYFUNCTION("""COMPUTED_VALUE"""),1)</f>
        <v>1</v>
      </c>
      <c r="K3065" s="10" t="str">
        <f ca="1">IFERROR(__xludf.DUMMYFUNCTION("""COMPUTED_VALUE"""),"https://www.newspapers.com/image/94426366/?terms=school%2Bshooting")</f>
        <v>https://www.newspapers.com/image/94426366/?terms=school%2Bshooting</v>
      </c>
      <c r="L3065" s="8"/>
      <c r="M3065" s="8"/>
      <c r="N3065" s="8">
        <f ca="1">IFERROR(__xludf.DUMMYFUNCTION("""COMPUTED_VALUE"""),2)</f>
        <v>2</v>
      </c>
      <c r="O3065" s="8" t="str">
        <f ca="1">IFERROR(__xludf.DUMMYFUNCTION("""COMPUTED_VALUE"""),"Fall")</f>
        <v>Fall</v>
      </c>
      <c r="P3065" s="8" t="str">
        <f ca="1">IFERROR(__xludf.DUMMYFUNCTION("""COMPUTED_VALUE"""),"Almwood Park")</f>
        <v>Almwood Park</v>
      </c>
      <c r="Q3065" s="8" t="str">
        <f ca="1">IFERROR(__xludf.DUMMYFUNCTION("""COMPUTED_VALUE"""),"IL")</f>
        <v>IL</v>
      </c>
      <c r="R3065" s="8" t="str">
        <f ca="1">IFERROR(__xludf.DUMMYFUNCTION("""COMPUTED_VALUE"""),"High")</f>
        <v>High</v>
      </c>
      <c r="S3065" s="8" t="str">
        <f ca="1">IFERROR(__xludf.DUMMYFUNCTION("""COMPUTED_VALUE"""),"Hallway; Beside Building")</f>
        <v>Hallway; Beside Building</v>
      </c>
      <c r="T3065" s="8" t="str">
        <f ca="1">IFERROR(__xludf.DUMMYFUNCTION("""COMPUTED_VALUE"""),"Both Inside/Outside")</f>
        <v>Both Inside/Outside</v>
      </c>
      <c r="U3065" s="8" t="str">
        <f ca="1">IFERROR(__xludf.DUMMYFUNCTION("""COMPUTED_VALUE"""),"Yes")</f>
        <v>Yes</v>
      </c>
      <c r="V3065" s="8" t="str">
        <f ca="1">IFERROR(__xludf.DUMMYFUNCTION("""COMPUTED_VALUE"""),"Afternoon Classes")</f>
        <v>Afternoon Classes</v>
      </c>
      <c r="W3065" s="8"/>
      <c r="X3065" s="8">
        <f ca="1">IFERROR(__xludf.DUMMYFUNCTION("""COMPUTED_VALUE"""),1)</f>
        <v>1</v>
      </c>
      <c r="Y3065" s="12" t="str">
        <f ca="1">IFERROR(__xludf.DUMMYFUNCTION("""COMPUTED_VALUE"""),"Shot victim 4 times in hallway, fled the area, and shot himself outside school")</f>
        <v>Shot victim 4 times in hallway, fled the area, and shot himself outside school</v>
      </c>
      <c r="Z3065" s="12" t="str">
        <f ca="1">IFERROR(__xludf.DUMMYFUNCTION("""COMPUTED_VALUE"""),"17 year-old shooter fired 4 shots in school hallway at 16 year-old female victim, cursed at her body, fled the scene, and fatally shot himself outside of the school. Victim was a cheerleader and candidate for homecoming queen. Victim's friends said victim"&amp;" had no relationship with the shooter.")</f>
        <v>17 year-old shooter fired 4 shots in school hallway at 16 year-old female victim, cursed at her body, fled the scene, and fatally shot himself outside of the school. Victim was a cheerleader and candidate for homecoming queen. Victim's friends said victim had no relationship with the shooter.</v>
      </c>
      <c r="AA3065" s="8" t="str">
        <f ca="1">IFERROR(__xludf.DUMMYFUNCTION("""COMPUTED_VALUE"""),"Murder/Suicide")</f>
        <v>Murder/Suicide</v>
      </c>
      <c r="AB3065" s="8"/>
      <c r="AC3065" s="8"/>
      <c r="AD3065" s="8" t="str">
        <f ca="1">IFERROR(__xludf.DUMMYFUNCTION("""COMPUTED_VALUE"""),"Victims Targeted")</f>
        <v>Victims Targeted</v>
      </c>
      <c r="AE3065" s="8" t="str">
        <f ca="1">IFERROR(__xludf.DUMMYFUNCTION("""COMPUTED_VALUE"""),"No")</f>
        <v>No</v>
      </c>
      <c r="AF3065" s="8"/>
      <c r="AG3065" s="8" t="str">
        <f ca="1">IFERROR(__xludf.DUMMYFUNCTION("""COMPUTED_VALUE"""),"No")</f>
        <v>No</v>
      </c>
      <c r="AH3065" s="8" t="str">
        <f ca="1">IFERROR(__xludf.DUMMYFUNCTION("""COMPUTED_VALUE"""),"No")</f>
        <v>No</v>
      </c>
      <c r="AI3065" s="8" t="str">
        <f ca="1">IFERROR(__xludf.DUMMYFUNCTION("""COMPUTED_VALUE"""),"No")</f>
        <v>No</v>
      </c>
      <c r="AJ3065" s="8" t="str">
        <f ca="1">IFERROR(__xludf.DUMMYFUNCTION("""COMPUTED_VALUE"""),"No")</f>
        <v>No</v>
      </c>
      <c r="AK3065" s="8" t="str">
        <f ca="1">IFERROR(__xludf.DUMMYFUNCTION("""COMPUTED_VALUE"""),"Yes")</f>
        <v>Yes</v>
      </c>
      <c r="AL3065" s="8" t="str">
        <f ca="1">IFERROR(__xludf.DUMMYFUNCTION("""COMPUTED_VALUE"""),"No")</f>
        <v>No</v>
      </c>
      <c r="AM3065" s="8" t="str">
        <f ca="1">IFERROR(__xludf.DUMMYFUNCTION("""COMPUTED_VALUE"""),"Yes")</f>
        <v>Yes</v>
      </c>
      <c r="AN3065" s="8" t="str">
        <f ca="1">IFERROR(__xludf.DUMMYFUNCTION("""COMPUTED_VALUE"""),"Hallway")</f>
        <v>Hallway</v>
      </c>
      <c r="AO3065" s="8" t="str">
        <f ca="1">IFERROR(__xludf.DUMMYFUNCTION("""COMPUTED_VALUE"""),"No")</f>
        <v>No</v>
      </c>
      <c r="AP3065" s="8"/>
      <c r="AQ3065" s="8" t="str">
        <f ca="1">IFERROR(__xludf.DUMMYFUNCTION("""COMPUTED_VALUE"""),"Unknown")</f>
        <v>Unknown</v>
      </c>
      <c r="AR3065" s="8" t="str">
        <f ca="1">IFERROR(__xludf.DUMMYFUNCTION("""COMPUTED_VALUE"""),"NA")</f>
        <v>NA</v>
      </c>
      <c r="AS3065" s="8">
        <f ca="1">IFERROR(__xludf.DUMMYFUNCTION("""COMPUTED_VALUE"""),5)</f>
        <v>5</v>
      </c>
      <c r="AT3065" s="8"/>
      <c r="AU3065" s="8">
        <f ca="1">IFERROR(__xludf.DUMMYFUNCTION("""COMPUTED_VALUE"""),41.921904)</f>
        <v>41.921903999999998</v>
      </c>
      <c r="AV3065" s="8">
        <f ca="1">IFERROR(__xludf.DUMMYFUNCTION("""COMPUTED_VALUE"""),-87.829672)</f>
        <v>-87.829672000000002</v>
      </c>
      <c r="AW3065" s="8"/>
      <c r="AX3065" s="8">
        <f ca="1">IFERROR(__xludf.DUMMYFUNCTION("""COMPUTED_VALUE"""),60707)</f>
        <v>60707</v>
      </c>
    </row>
    <row r="3066" spans="1:50" ht="90" x14ac:dyDescent="0.2">
      <c r="A3066" s="8" t="str">
        <f ca="1">IFERROR(__xludf.DUMMYFUNCTION("""COMPUTED_VALUE"""),"19730928CAWIL")</f>
        <v>19730928CAWIL</v>
      </c>
      <c r="B3066" s="8">
        <f ca="1">IFERROR(__xludf.DUMMYFUNCTION("""COMPUTED_VALUE"""),9)</f>
        <v>9</v>
      </c>
      <c r="C3066" s="8">
        <f ca="1">IFERROR(__xludf.DUMMYFUNCTION("""COMPUTED_VALUE"""),28)</f>
        <v>28</v>
      </c>
      <c r="D3066" s="8">
        <f ca="1">IFERROR(__xludf.DUMMYFUNCTION("""COMPUTED_VALUE"""),1973)</f>
        <v>1973</v>
      </c>
      <c r="E3066" s="9">
        <f ca="1">IFERROR(__xludf.DUMMYFUNCTION("""COMPUTED_VALUE"""),26935)</f>
        <v>26935</v>
      </c>
      <c r="F3066" s="8" t="str">
        <f ca="1">IFERROR(__xludf.DUMMYFUNCTION("""COMPUTED_VALUE"""),"Wilson High School")</f>
        <v>Wilson High School</v>
      </c>
      <c r="G3066" s="8">
        <f ca="1">IFERROR(__xludf.DUMMYFUNCTION("""COMPUTED_VALUE"""),0)</f>
        <v>0</v>
      </c>
      <c r="H3066" s="8">
        <f ca="1">IFERROR(__xludf.DUMMYFUNCTION("""COMPUTED_VALUE"""),3)</f>
        <v>3</v>
      </c>
      <c r="I3066" s="8">
        <f ca="1">IFERROR(__xludf.DUMMYFUNCTION("""COMPUTED_VALUE"""),3)</f>
        <v>3</v>
      </c>
      <c r="J3066" s="8">
        <f ca="1">IFERROR(__xludf.DUMMYFUNCTION("""COMPUTED_VALUE"""),0)</f>
        <v>0</v>
      </c>
      <c r="K3066" s="10" t="str">
        <f ca="1">IFERROR(__xludf.DUMMYFUNCTION("""COMPUTED_VALUE"""),"https://www.newspapers.com/image/381696060/?terms=school%2Bshooting")</f>
        <v>https://www.newspapers.com/image/381696060/?terms=school%2Bshooting</v>
      </c>
      <c r="L3066" s="8"/>
      <c r="M3066" s="8"/>
      <c r="N3066" s="8">
        <f ca="1">IFERROR(__xludf.DUMMYFUNCTION("""COMPUTED_VALUE"""),2)</f>
        <v>2</v>
      </c>
      <c r="O3066" s="8" t="str">
        <f ca="1">IFERROR(__xludf.DUMMYFUNCTION("""COMPUTED_VALUE"""),"Fall")</f>
        <v>Fall</v>
      </c>
      <c r="P3066" s="8" t="str">
        <f ca="1">IFERROR(__xludf.DUMMYFUNCTION("""COMPUTED_VALUE"""),"Los Angeles")</f>
        <v>Los Angeles</v>
      </c>
      <c r="Q3066" s="8" t="str">
        <f ca="1">IFERROR(__xludf.DUMMYFUNCTION("""COMPUTED_VALUE"""),"CA")</f>
        <v>CA</v>
      </c>
      <c r="R3066" s="8" t="str">
        <f ca="1">IFERROR(__xludf.DUMMYFUNCTION("""COMPUTED_VALUE"""),"High")</f>
        <v>High</v>
      </c>
      <c r="S3066" s="8" t="str">
        <f ca="1">IFERROR(__xludf.DUMMYFUNCTION("""COMPUTED_VALUE"""),"Beside Building")</f>
        <v>Beside Building</v>
      </c>
      <c r="T3066" s="8" t="str">
        <f ca="1">IFERROR(__xludf.DUMMYFUNCTION("""COMPUTED_VALUE"""),"Outside on School Property")</f>
        <v>Outside on School Property</v>
      </c>
      <c r="U3066" s="8" t="str">
        <f ca="1">IFERROR(__xludf.DUMMYFUNCTION("""COMPUTED_VALUE"""),"Yes")</f>
        <v>Yes</v>
      </c>
      <c r="V3066" s="8" t="str">
        <f ca="1">IFERROR(__xludf.DUMMYFUNCTION("""COMPUTED_VALUE"""),"Morning Classes")</f>
        <v>Morning Classes</v>
      </c>
      <c r="W3066" s="11">
        <f ca="1">IFERROR(__xludf.DUMMYFUNCTION("""COMPUTED_VALUE"""),0.4375)</f>
        <v>0.4375</v>
      </c>
      <c r="X3066" s="8">
        <f ca="1">IFERROR(__xludf.DUMMYFUNCTION("""COMPUTED_VALUE"""),1)</f>
        <v>1</v>
      </c>
      <c r="Y3066" s="12" t="str">
        <f ca="1">IFERROR(__xludf.DUMMYFUNCTION("""COMPUTED_VALUE"""),"Shooter beaten by victims the previous day, pulled gun during fight")</f>
        <v>Shooter beaten by victims the previous day, pulled gun during fight</v>
      </c>
      <c r="Z3066" s="12" t="str">
        <f ca="1">IFERROR(__xludf.DUMMYFUNCTION("""COMPUTED_VALUE"""),"Shooter had been transferred from previous school for fight and suspended from current school. Shooter was beaten by a group of students the day prior. Shooter was in a fight outside with other students that was broken up by teacher. Shooter pulled gun an"&amp;"d fired at other students he was fighting with, then was shot by the SRO.")</f>
        <v>Shooter had been transferred from previous school for fight and suspended from current school. Shooter was beaten by a group of students the day prior. Shooter was in a fight outside with other students that was broken up by teacher. Shooter pulled gun and fired at other students he was fighting with, then was shot by the SRO.</v>
      </c>
      <c r="AA3066" s="8" t="str">
        <f ca="1">IFERROR(__xludf.DUMMYFUNCTION("""COMPUTED_VALUE"""),"Escalation of Dispute")</f>
        <v>Escalation of Dispute</v>
      </c>
      <c r="AB3066" s="8"/>
      <c r="AC3066" s="8"/>
      <c r="AD3066" s="8" t="str">
        <f ca="1">IFERROR(__xludf.DUMMYFUNCTION("""COMPUTED_VALUE"""),"Victims Targeted")</f>
        <v>Victims Targeted</v>
      </c>
      <c r="AE3066" s="8" t="str">
        <f ca="1">IFERROR(__xludf.DUMMYFUNCTION("""COMPUTED_VALUE"""),"No")</f>
        <v>No</v>
      </c>
      <c r="AF3066" s="8"/>
      <c r="AG3066" s="8" t="str">
        <f ca="1">IFERROR(__xludf.DUMMYFUNCTION("""COMPUTED_VALUE"""),"No")</f>
        <v>No</v>
      </c>
      <c r="AH3066" s="8" t="str">
        <f ca="1">IFERROR(__xludf.DUMMYFUNCTION("""COMPUTED_VALUE"""),"No")</f>
        <v>No</v>
      </c>
      <c r="AI3066" s="8" t="str">
        <f ca="1">IFERROR(__xludf.DUMMYFUNCTION("""COMPUTED_VALUE"""),"No")</f>
        <v>No</v>
      </c>
      <c r="AJ3066" s="8" t="str">
        <f ca="1">IFERROR(__xludf.DUMMYFUNCTION("""COMPUTED_VALUE"""),"No")</f>
        <v>No</v>
      </c>
      <c r="AK3066" s="8" t="str">
        <f ca="1">IFERROR(__xludf.DUMMYFUNCTION("""COMPUTED_VALUE"""),"No")</f>
        <v>No</v>
      </c>
      <c r="AL3066" s="8" t="str">
        <f ca="1">IFERROR(__xludf.DUMMYFUNCTION("""COMPUTED_VALUE"""),"No")</f>
        <v>No</v>
      </c>
      <c r="AM3066" s="8"/>
      <c r="AN3066" s="8"/>
      <c r="AO3066" s="8" t="str">
        <f ca="1">IFERROR(__xludf.DUMMYFUNCTION("""COMPUTED_VALUE"""),"No")</f>
        <v>No</v>
      </c>
      <c r="AP3066" s="8" t="str">
        <f ca="1">IFERROR(__xludf.DUMMYFUNCTION("""COMPUTED_VALUE"""),"Yes")</f>
        <v>Yes</v>
      </c>
      <c r="AQ3066" s="8" t="str">
        <f ca="1">IFERROR(__xludf.DUMMYFUNCTION("""COMPUTED_VALUE"""),"None")</f>
        <v>None</v>
      </c>
      <c r="AR3066" s="8" t="str">
        <f ca="1">IFERROR(__xludf.DUMMYFUNCTION("""COMPUTED_VALUE"""),"NA")</f>
        <v>NA</v>
      </c>
      <c r="AS3066" s="8">
        <f ca="1">IFERROR(__xludf.DUMMYFUNCTION("""COMPUTED_VALUE"""),3)</f>
        <v>3</v>
      </c>
      <c r="AT3066" s="8"/>
      <c r="AU3066" s="8">
        <f ca="1">IFERROR(__xludf.DUMMYFUNCTION("""COMPUTED_VALUE"""),34.069914)</f>
        <v>34.069913999999997</v>
      </c>
      <c r="AV3066" s="8">
        <f ca="1">IFERROR(__xludf.DUMMYFUNCTION("""COMPUTED_VALUE"""),-118.186316)</f>
        <v>-118.18631600000001</v>
      </c>
      <c r="AW3066" s="8"/>
      <c r="AX3066" s="8">
        <f ca="1">IFERROR(__xludf.DUMMYFUNCTION("""COMPUTED_VALUE"""),90032)</f>
        <v>90032</v>
      </c>
    </row>
    <row r="3067" spans="1:50" ht="30" x14ac:dyDescent="0.2">
      <c r="A3067" s="8" t="str">
        <f ca="1">IFERROR(__xludf.DUMMYFUNCTION("""COMPUTED_VALUE"""),"19730501OHRAY")</f>
        <v>19730501OHRAY</v>
      </c>
      <c r="B3067" s="8">
        <f ca="1">IFERROR(__xludf.DUMMYFUNCTION("""COMPUTED_VALUE"""),5)</f>
        <v>5</v>
      </c>
      <c r="C3067" s="8">
        <f ca="1">IFERROR(__xludf.DUMMYFUNCTION("""COMPUTED_VALUE"""),1)</f>
        <v>1</v>
      </c>
      <c r="D3067" s="8">
        <f ca="1">IFERROR(__xludf.DUMMYFUNCTION("""COMPUTED_VALUE"""),1973)</f>
        <v>1973</v>
      </c>
      <c r="E3067" s="9">
        <f ca="1">IFERROR(__xludf.DUMMYFUNCTION("""COMPUTED_VALUE"""),26785)</f>
        <v>26785</v>
      </c>
      <c r="F3067" s="8" t="str">
        <f ca="1">IFERROR(__xludf.DUMMYFUNCTION("""COMPUTED_VALUE"""),"Rayen High School")</f>
        <v>Rayen High School</v>
      </c>
      <c r="G3067" s="8">
        <f ca="1">IFERROR(__xludf.DUMMYFUNCTION("""COMPUTED_VALUE"""),0)</f>
        <v>0</v>
      </c>
      <c r="H3067" s="8">
        <f ca="1">IFERROR(__xludf.DUMMYFUNCTION("""COMPUTED_VALUE"""),3)</f>
        <v>3</v>
      </c>
      <c r="I3067" s="8">
        <f ca="1">IFERROR(__xludf.DUMMYFUNCTION("""COMPUTED_VALUE"""),3)</f>
        <v>3</v>
      </c>
      <c r="J3067" s="8">
        <f ca="1">IFERROR(__xludf.DUMMYFUNCTION("""COMPUTED_VALUE"""),0)</f>
        <v>0</v>
      </c>
      <c r="K3067" s="10" t="str">
        <f ca="1">IFERROR(__xludf.DUMMYFUNCTION("""COMPUTED_VALUE"""),"https://www.newspapers.com/image/43038797/?terms=student%2Bshot")</f>
        <v>https://www.newspapers.com/image/43038797/?terms=student%2Bshot</v>
      </c>
      <c r="L3067" s="8"/>
      <c r="M3067" s="8"/>
      <c r="N3067" s="8">
        <f ca="1">IFERROR(__xludf.DUMMYFUNCTION("""COMPUTED_VALUE"""),2)</f>
        <v>2</v>
      </c>
      <c r="O3067" s="8" t="str">
        <f ca="1">IFERROR(__xludf.DUMMYFUNCTION("""COMPUTED_VALUE"""),"Spring")</f>
        <v>Spring</v>
      </c>
      <c r="P3067" s="8" t="str">
        <f ca="1">IFERROR(__xludf.DUMMYFUNCTION("""COMPUTED_VALUE"""),"Youngtown")</f>
        <v>Youngtown</v>
      </c>
      <c r="Q3067" s="8" t="str">
        <f ca="1">IFERROR(__xludf.DUMMYFUNCTION("""COMPUTED_VALUE"""),"OH")</f>
        <v>OH</v>
      </c>
      <c r="R3067" s="8" t="str">
        <f ca="1">IFERROR(__xludf.DUMMYFUNCTION("""COMPUTED_VALUE"""),"High")</f>
        <v>High</v>
      </c>
      <c r="S3067" s="8" t="str">
        <f ca="1">IFERROR(__xludf.DUMMYFUNCTION("""COMPUTED_VALUE"""),"Parking Lot")</f>
        <v>Parking Lot</v>
      </c>
      <c r="T3067" s="8" t="str">
        <f ca="1">IFERROR(__xludf.DUMMYFUNCTION("""COMPUTED_VALUE"""),"Outside on School Property")</f>
        <v>Outside on School Property</v>
      </c>
      <c r="U3067" s="8" t="str">
        <f ca="1">IFERROR(__xludf.DUMMYFUNCTION("""COMPUTED_VALUE"""),"Yes")</f>
        <v>Yes</v>
      </c>
      <c r="V3067" s="8"/>
      <c r="W3067" s="8"/>
      <c r="X3067" s="8">
        <f ca="1">IFERROR(__xludf.DUMMYFUNCTION("""COMPUTED_VALUE"""),1)</f>
        <v>1</v>
      </c>
      <c r="Y3067" s="12" t="str">
        <f ca="1">IFERROR(__xludf.DUMMYFUNCTION("""COMPUTED_VALUE"""),"Argument over a girl")</f>
        <v>Argument over a girl</v>
      </c>
      <c r="Z3067" s="12" t="str">
        <f ca="1">IFERROR(__xludf.DUMMYFUNCTION("""COMPUTED_VALUE"""),"Shooter shot two boys and a girl stemming from argument about a girl. Took place in school parking lot")</f>
        <v>Shooter shot two boys and a girl stemming from argument about a girl. Took place in school parking lot</v>
      </c>
      <c r="AA3067" s="8" t="str">
        <f ca="1">IFERROR(__xludf.DUMMYFUNCTION("""COMPUTED_VALUE"""),"Escalation of Dispute")</f>
        <v>Escalation of Dispute</v>
      </c>
      <c r="AB3067" s="8"/>
      <c r="AC3067" s="8"/>
      <c r="AD3067" s="8" t="str">
        <f ca="1">IFERROR(__xludf.DUMMYFUNCTION("""COMPUTED_VALUE"""),"Victims Targeted")</f>
        <v>Victims Targeted</v>
      </c>
      <c r="AE3067" s="8" t="str">
        <f ca="1">IFERROR(__xludf.DUMMYFUNCTION("""COMPUTED_VALUE"""),"No")</f>
        <v>No</v>
      </c>
      <c r="AF3067" s="8"/>
      <c r="AG3067" s="8" t="str">
        <f ca="1">IFERROR(__xludf.DUMMYFUNCTION("""COMPUTED_VALUE"""),"No")</f>
        <v>No</v>
      </c>
      <c r="AH3067" s="8" t="str">
        <f ca="1">IFERROR(__xludf.DUMMYFUNCTION("""COMPUTED_VALUE"""),"No")</f>
        <v>No</v>
      </c>
      <c r="AI3067" s="8" t="str">
        <f ca="1">IFERROR(__xludf.DUMMYFUNCTION("""COMPUTED_VALUE"""),"No")</f>
        <v>No</v>
      </c>
      <c r="AJ3067" s="8" t="str">
        <f ca="1">IFERROR(__xludf.DUMMYFUNCTION("""COMPUTED_VALUE"""),"No")</f>
        <v>No</v>
      </c>
      <c r="AK3067" s="8" t="str">
        <f ca="1">IFERROR(__xludf.DUMMYFUNCTION("""COMPUTED_VALUE"""),"No")</f>
        <v>No</v>
      </c>
      <c r="AL3067" s="8" t="str">
        <f ca="1">IFERROR(__xludf.DUMMYFUNCTION("""COMPUTED_VALUE"""),"No")</f>
        <v>No</v>
      </c>
      <c r="AM3067" s="8"/>
      <c r="AN3067" s="8"/>
      <c r="AO3067" s="8" t="str">
        <f ca="1">IFERROR(__xludf.DUMMYFUNCTION("""COMPUTED_VALUE"""),"No")</f>
        <v>No</v>
      </c>
      <c r="AP3067" s="8"/>
      <c r="AQ3067" s="8" t="str">
        <f ca="1">IFERROR(__xludf.DUMMYFUNCTION("""COMPUTED_VALUE"""),"Unknown")</f>
        <v>Unknown</v>
      </c>
      <c r="AR3067" s="8" t="str">
        <f ca="1">IFERROR(__xludf.DUMMYFUNCTION("""COMPUTED_VALUE"""),"NA")</f>
        <v>NA</v>
      </c>
      <c r="AS3067" s="8">
        <f ca="1">IFERROR(__xludf.DUMMYFUNCTION("""COMPUTED_VALUE"""),5)</f>
        <v>5</v>
      </c>
      <c r="AT3067" s="8"/>
      <c r="AU3067" s="8">
        <f ca="1">IFERROR(__xludf.DUMMYFUNCTION("""COMPUTED_VALUE"""),41.102126)</f>
        <v>41.102125999999998</v>
      </c>
      <c r="AV3067" s="8">
        <f ca="1">IFERROR(__xludf.DUMMYFUNCTION("""COMPUTED_VALUE"""),-80.64801)</f>
        <v>-80.648009999999999</v>
      </c>
      <c r="AW3067" s="8"/>
      <c r="AX3067" s="8">
        <f ca="1">IFERROR(__xludf.DUMMYFUNCTION("""COMPUTED_VALUE"""),44503)</f>
        <v>44503</v>
      </c>
    </row>
    <row r="3068" spans="1:50" ht="90" x14ac:dyDescent="0.2">
      <c r="A3068" s="8" t="str">
        <f ca="1">IFERROR(__xludf.DUMMYFUNCTION("""COMPUTED_VALUE"""),"19730423KYJAH")</f>
        <v>19730423KYJAH</v>
      </c>
      <c r="B3068" s="8">
        <f ca="1">IFERROR(__xludf.DUMMYFUNCTION("""COMPUTED_VALUE"""),4)</f>
        <v>4</v>
      </c>
      <c r="C3068" s="8">
        <f ca="1">IFERROR(__xludf.DUMMYFUNCTION("""COMPUTED_VALUE"""),23)</f>
        <v>23</v>
      </c>
      <c r="D3068" s="8">
        <f ca="1">IFERROR(__xludf.DUMMYFUNCTION("""COMPUTED_VALUE"""),1973)</f>
        <v>1973</v>
      </c>
      <c r="E3068" s="9">
        <f ca="1">IFERROR(__xludf.DUMMYFUNCTION("""COMPUTED_VALUE"""),26777)</f>
        <v>26777</v>
      </c>
      <c r="F3068" s="8" t="str">
        <f ca="1">IFERROR(__xludf.DUMMYFUNCTION("""COMPUTED_VALUE"""),"James A Cawood High School")</f>
        <v>James A Cawood High School</v>
      </c>
      <c r="G3068" s="8">
        <f ca="1">IFERROR(__xludf.DUMMYFUNCTION("""COMPUTED_VALUE"""),1)</f>
        <v>1</v>
      </c>
      <c r="H3068" s="8">
        <f ca="1">IFERROR(__xludf.DUMMYFUNCTION("""COMPUTED_VALUE"""),0)</f>
        <v>0</v>
      </c>
      <c r="I3068" s="8">
        <f ca="1">IFERROR(__xludf.DUMMYFUNCTION("""COMPUTED_VALUE"""),1)</f>
        <v>1</v>
      </c>
      <c r="J3068" s="8">
        <f ca="1">IFERROR(__xludf.DUMMYFUNCTION("""COMPUTED_VALUE"""),0)</f>
        <v>0</v>
      </c>
      <c r="K3068" s="8" t="str">
        <f ca="1">IFERROR(__xludf.DUMMYFUNCTION("""COMPUTED_VALUE"""),"PDF articles")</f>
        <v>PDF articles</v>
      </c>
      <c r="L3068" s="8">
        <f ca="1">IFERROR(__xludf.DUMMYFUNCTION("""COMPUTED_VALUE"""),2)</f>
        <v>2</v>
      </c>
      <c r="M3068" s="8" t="str">
        <f ca="1">IFERROR(__xludf.DUMMYFUNCTION("""COMPUTED_VALUE"""),"Local")</f>
        <v>Local</v>
      </c>
      <c r="N3068" s="8">
        <f ca="1">IFERROR(__xludf.DUMMYFUNCTION("""COMPUTED_VALUE"""),4)</f>
        <v>4</v>
      </c>
      <c r="O3068" s="8" t="str">
        <f ca="1">IFERROR(__xludf.DUMMYFUNCTION("""COMPUTED_VALUE"""),"Spring")</f>
        <v>Spring</v>
      </c>
      <c r="P3068" s="8" t="str">
        <f ca="1">IFERROR(__xludf.DUMMYFUNCTION("""COMPUTED_VALUE"""),"Harlan")</f>
        <v>Harlan</v>
      </c>
      <c r="Q3068" s="8" t="str">
        <f ca="1">IFERROR(__xludf.DUMMYFUNCTION("""COMPUTED_VALUE"""),"KY")</f>
        <v>KY</v>
      </c>
      <c r="R3068" s="8" t="str">
        <f ca="1">IFERROR(__xludf.DUMMYFUNCTION("""COMPUTED_VALUE"""),"High")</f>
        <v>High</v>
      </c>
      <c r="S3068" s="8" t="str">
        <f ca="1">IFERROR(__xludf.DUMMYFUNCTION("""COMPUTED_VALUE"""),"Beside Building")</f>
        <v>Beside Building</v>
      </c>
      <c r="T3068" s="8" t="str">
        <f ca="1">IFERROR(__xludf.DUMMYFUNCTION("""COMPUTED_VALUE"""),"Outside on School Property")</f>
        <v>Outside on School Property</v>
      </c>
      <c r="U3068" s="8" t="str">
        <f ca="1">IFERROR(__xludf.DUMMYFUNCTION("""COMPUTED_VALUE"""),"Yes")</f>
        <v>Yes</v>
      </c>
      <c r="V3068" s="8" t="str">
        <f ca="1">IFERROR(__xludf.DUMMYFUNCTION("""COMPUTED_VALUE"""),"Afternoon Classes")</f>
        <v>Afternoon Classes</v>
      </c>
      <c r="W3068" s="11">
        <f ca="1">IFERROR(__xludf.DUMMYFUNCTION("""COMPUTED_VALUE"""),0.604166666666666)</f>
        <v>0.60416666666666596</v>
      </c>
      <c r="X3068" s="8">
        <f ca="1">IFERROR(__xludf.DUMMYFUNCTION("""COMPUTED_VALUE"""),1)</f>
        <v>1</v>
      </c>
      <c r="Y3068" s="12" t="str">
        <f ca="1">IFERROR(__xludf.DUMMYFUNCTION("""COMPUTED_VALUE"""),"Student killed by stray bullet")</f>
        <v>Student killed by stray bullet</v>
      </c>
      <c r="Z3068" s="12" t="str">
        <f ca="1">IFERROR(__xludf.DUMMYFUNCTION("""COMPUTED_VALUE"""),"On April 23, 1973 two people were targeting shooting at a drive-in theater during the afternoon. One of their shots strayed and hit a student who was standing outside the side door to the school. The student, Homer R Smith, of Smith was the victim. He die"&amp;"d instantly with a shot to the base of the head. ")</f>
        <v xml:space="preserve">On April 23, 1973 two people were targeting shooting at a drive-in theater during the afternoon. One of their shots strayed and hit a student who was standing outside the side door to the school. The student, Homer R Smith, of Smith was the victim. He died instantly with a shot to the base of the head. </v>
      </c>
      <c r="AA3068" s="8" t="str">
        <f ca="1">IFERROR(__xludf.DUMMYFUNCTION("""COMPUTED_VALUE"""),"Accidental")</f>
        <v>Accidental</v>
      </c>
      <c r="AB3068" s="8"/>
      <c r="AC3068" s="8" t="str">
        <f ca="1">IFERROR(__xludf.DUMMYFUNCTION("""COMPUTED_VALUE"""),"Yes")</f>
        <v>Yes</v>
      </c>
      <c r="AD3068" s="8" t="str">
        <f ca="1">IFERROR(__xludf.DUMMYFUNCTION("""COMPUTED_VALUE"""),"Random Shooting")</f>
        <v>Random Shooting</v>
      </c>
      <c r="AE3068" s="8" t="str">
        <f ca="1">IFERROR(__xludf.DUMMYFUNCTION("""COMPUTED_VALUE"""),"No")</f>
        <v>No</v>
      </c>
      <c r="AF3068" s="8"/>
      <c r="AG3068" s="8" t="str">
        <f ca="1">IFERROR(__xludf.DUMMYFUNCTION("""COMPUTED_VALUE"""),"No")</f>
        <v>No</v>
      </c>
      <c r="AH3068" s="8" t="str">
        <f ca="1">IFERROR(__xludf.DUMMYFUNCTION("""COMPUTED_VALUE"""),"No")</f>
        <v>No</v>
      </c>
      <c r="AI3068" s="8" t="str">
        <f ca="1">IFERROR(__xludf.DUMMYFUNCTION("""COMPUTED_VALUE"""),"No")</f>
        <v>No</v>
      </c>
      <c r="AJ3068" s="8" t="str">
        <f ca="1">IFERROR(__xludf.DUMMYFUNCTION("""COMPUTED_VALUE"""),"No")</f>
        <v>No</v>
      </c>
      <c r="AK3068" s="8" t="str">
        <f ca="1">IFERROR(__xludf.DUMMYFUNCTION("""COMPUTED_VALUE"""),"No")</f>
        <v>No</v>
      </c>
      <c r="AL3068" s="8" t="str">
        <f ca="1">IFERROR(__xludf.DUMMYFUNCTION("""COMPUTED_VALUE"""),"No")</f>
        <v>No</v>
      </c>
      <c r="AM3068" s="8" t="str">
        <f ca="1">IFERROR(__xludf.DUMMYFUNCTION("""COMPUTED_VALUE"""),"No")</f>
        <v>No</v>
      </c>
      <c r="AN3068" s="8" t="str">
        <f ca="1">IFERROR(__xludf.DUMMYFUNCTION("""COMPUTED_VALUE"""),"Outside")</f>
        <v>Outside</v>
      </c>
      <c r="AO3068" s="8" t="str">
        <f ca="1">IFERROR(__xludf.DUMMYFUNCTION("""COMPUTED_VALUE"""),"No")</f>
        <v>No</v>
      </c>
      <c r="AP3068" s="8"/>
      <c r="AQ3068" s="8"/>
      <c r="AR3068" s="8"/>
      <c r="AS3068" s="8">
        <f ca="1">IFERROR(__xludf.DUMMYFUNCTION("""COMPUTED_VALUE"""),1)</f>
        <v>1</v>
      </c>
      <c r="AT3068" s="8"/>
      <c r="AU3068" s="8">
        <f ca="1">IFERROR(__xludf.DUMMYFUNCTION("""COMPUTED_VALUE"""),36.809954)</f>
        <v>36.809953999999998</v>
      </c>
      <c r="AV3068" s="8">
        <f ca="1">IFERROR(__xludf.DUMMYFUNCTION("""COMPUTED_VALUE"""),-83.317505)</f>
        <v>-83.317504999999997</v>
      </c>
      <c r="AW3068" s="8"/>
      <c r="AX3068" s="8">
        <f ca="1">IFERROR(__xludf.DUMMYFUNCTION("""COMPUTED_VALUE"""),40831)</f>
        <v>40831</v>
      </c>
    </row>
    <row r="3069" spans="1:50" ht="30" x14ac:dyDescent="0.2">
      <c r="A3069" s="8" t="str">
        <f ca="1">IFERROR(__xludf.DUMMYFUNCTION("""COMPUTED_VALUE"""),"19730405CALOL")</f>
        <v>19730405CALOL</v>
      </c>
      <c r="B3069" s="8">
        <f ca="1">IFERROR(__xludf.DUMMYFUNCTION("""COMPUTED_VALUE"""),4)</f>
        <v>4</v>
      </c>
      <c r="C3069" s="8">
        <f ca="1">IFERROR(__xludf.DUMMYFUNCTION("""COMPUTED_VALUE"""),5)</f>
        <v>5</v>
      </c>
      <c r="D3069" s="8">
        <f ca="1">IFERROR(__xludf.DUMMYFUNCTION("""COMPUTED_VALUE"""),1973)</f>
        <v>1973</v>
      </c>
      <c r="E3069" s="9">
        <f ca="1">IFERROR(__xludf.DUMMYFUNCTION("""COMPUTED_VALUE"""),26759)</f>
        <v>26759</v>
      </c>
      <c r="F3069" s="8" t="str">
        <f ca="1">IFERROR(__xludf.DUMMYFUNCTION("""COMPUTED_VALUE"""),"Locke High School")</f>
        <v>Locke High School</v>
      </c>
      <c r="G3069" s="8">
        <f ca="1">IFERROR(__xludf.DUMMYFUNCTION("""COMPUTED_VALUE"""),0)</f>
        <v>0</v>
      </c>
      <c r="H3069" s="8">
        <f ca="1">IFERROR(__xludf.DUMMYFUNCTION("""COMPUTED_VALUE"""),2)</f>
        <v>2</v>
      </c>
      <c r="I3069" s="8">
        <f ca="1">IFERROR(__xludf.DUMMYFUNCTION("""COMPUTED_VALUE"""),2)</f>
        <v>2</v>
      </c>
      <c r="J3069" s="8">
        <f ca="1">IFERROR(__xludf.DUMMYFUNCTION("""COMPUTED_VALUE"""),0)</f>
        <v>0</v>
      </c>
      <c r="K3069" s="10" t="str">
        <f ca="1">IFERROR(__xludf.DUMMYFUNCTION("""COMPUTED_VALUE"""),"https://www.newspapers.com/image/37911464/?terms=school%2Bshooting")</f>
        <v>https://www.newspapers.com/image/37911464/?terms=school%2Bshooting</v>
      </c>
      <c r="L3069" s="8"/>
      <c r="M3069" s="8"/>
      <c r="N3069" s="8">
        <f ca="1">IFERROR(__xludf.DUMMYFUNCTION("""COMPUTED_VALUE"""),2)</f>
        <v>2</v>
      </c>
      <c r="O3069" s="8" t="str">
        <f ca="1">IFERROR(__xludf.DUMMYFUNCTION("""COMPUTED_VALUE"""),"Spring")</f>
        <v>Spring</v>
      </c>
      <c r="P3069" s="8" t="str">
        <f ca="1">IFERROR(__xludf.DUMMYFUNCTION("""COMPUTED_VALUE"""),"Los Angeles")</f>
        <v>Los Angeles</v>
      </c>
      <c r="Q3069" s="8" t="str">
        <f ca="1">IFERROR(__xludf.DUMMYFUNCTION("""COMPUTED_VALUE"""),"CA")</f>
        <v>CA</v>
      </c>
      <c r="R3069" s="8" t="str">
        <f ca="1">IFERROR(__xludf.DUMMYFUNCTION("""COMPUTED_VALUE"""),"High")</f>
        <v>High</v>
      </c>
      <c r="S3069" s="8" t="str">
        <f ca="1">IFERROR(__xludf.DUMMYFUNCTION("""COMPUTED_VALUE"""),"ND")</f>
        <v>ND</v>
      </c>
      <c r="T3069" s="8" t="str">
        <f ca="1">IFERROR(__xludf.DUMMYFUNCTION("""COMPUTED_VALUE"""),"ND")</f>
        <v>ND</v>
      </c>
      <c r="U3069" s="8" t="str">
        <f ca="1">IFERROR(__xludf.DUMMYFUNCTION("""COMPUTED_VALUE"""),"Yes")</f>
        <v>Yes</v>
      </c>
      <c r="V3069" s="8"/>
      <c r="W3069" s="8"/>
      <c r="X3069" s="8"/>
      <c r="Y3069" s="12" t="str">
        <f ca="1">IFERROR(__xludf.DUMMYFUNCTION("""COMPUTED_VALUE"""),"Gang shooting with targeted victims")</f>
        <v>Gang shooting with targeted victims</v>
      </c>
      <c r="Z3069" s="12" t="str">
        <f ca="1">IFERROR(__xludf.DUMMYFUNCTION("""COMPUTED_VALUE"""),"Three gang members fired 5 shots at victims.")</f>
        <v>Three gang members fired 5 shots at victims.</v>
      </c>
      <c r="AA3069" s="8" t="str">
        <f ca="1">IFERROR(__xludf.DUMMYFUNCTION("""COMPUTED_VALUE"""),"Escalation of Dispute")</f>
        <v>Escalation of Dispute</v>
      </c>
      <c r="AB3069" s="8"/>
      <c r="AC3069" s="8"/>
      <c r="AD3069" s="8" t="str">
        <f ca="1">IFERROR(__xludf.DUMMYFUNCTION("""COMPUTED_VALUE"""),"Victims Targeted")</f>
        <v>Victims Targeted</v>
      </c>
      <c r="AE3069" s="8" t="str">
        <f ca="1">IFERROR(__xludf.DUMMYFUNCTION("""COMPUTED_VALUE"""),"Yes")</f>
        <v>Yes</v>
      </c>
      <c r="AF3069" s="8" t="str">
        <f ca="1">IFERROR(__xludf.DUMMYFUNCTION("""COMPUTED_VALUE"""),"Three gang members involved (students)")</f>
        <v>Three gang members involved (students)</v>
      </c>
      <c r="AG3069" s="8" t="str">
        <f ca="1">IFERROR(__xludf.DUMMYFUNCTION("""COMPUTED_VALUE"""),"No")</f>
        <v>No</v>
      </c>
      <c r="AH3069" s="8" t="str">
        <f ca="1">IFERROR(__xludf.DUMMYFUNCTION("""COMPUTED_VALUE"""),"No")</f>
        <v>No</v>
      </c>
      <c r="AI3069" s="8" t="str">
        <f ca="1">IFERROR(__xludf.DUMMYFUNCTION("""COMPUTED_VALUE"""),"No")</f>
        <v>No</v>
      </c>
      <c r="AJ3069" s="8" t="str">
        <f ca="1">IFERROR(__xludf.DUMMYFUNCTION("""COMPUTED_VALUE"""),"No")</f>
        <v>No</v>
      </c>
      <c r="AK3069" s="8" t="str">
        <f ca="1">IFERROR(__xludf.DUMMYFUNCTION("""COMPUTED_VALUE"""),"No")</f>
        <v>No</v>
      </c>
      <c r="AL3069" s="8" t="str">
        <f ca="1">IFERROR(__xludf.DUMMYFUNCTION("""COMPUTED_VALUE"""),"Yes")</f>
        <v>Yes</v>
      </c>
      <c r="AM3069" s="8"/>
      <c r="AN3069" s="8"/>
      <c r="AO3069" s="8" t="str">
        <f ca="1">IFERROR(__xludf.DUMMYFUNCTION("""COMPUTED_VALUE"""),"No")</f>
        <v>No</v>
      </c>
      <c r="AP3069" s="8"/>
      <c r="AQ3069" s="8" t="str">
        <f ca="1">IFERROR(__xludf.DUMMYFUNCTION("""COMPUTED_VALUE"""),"Unknown")</f>
        <v>Unknown</v>
      </c>
      <c r="AR3069" s="8" t="str">
        <f ca="1">IFERROR(__xludf.DUMMYFUNCTION("""COMPUTED_VALUE"""),"NA")</f>
        <v>NA</v>
      </c>
      <c r="AS3069" s="8">
        <f ca="1">IFERROR(__xludf.DUMMYFUNCTION("""COMPUTED_VALUE"""),5)</f>
        <v>5</v>
      </c>
      <c r="AT3069" s="8"/>
      <c r="AU3069" s="8">
        <f ca="1">IFERROR(__xludf.DUMMYFUNCTION("""COMPUTED_VALUE"""),33.935042)</f>
        <v>33.935042000000003</v>
      </c>
      <c r="AV3069" s="8">
        <f ca="1">IFERROR(__xludf.DUMMYFUNCTION("""COMPUTED_VALUE"""),-118.2689)</f>
        <v>-118.2689</v>
      </c>
      <c r="AW3069" s="8"/>
      <c r="AX3069" s="8">
        <f ca="1">IFERROR(__xludf.DUMMYFUNCTION("""COMPUTED_VALUE"""),90061)</f>
        <v>90061</v>
      </c>
    </row>
    <row r="3070" spans="1:50" ht="75" x14ac:dyDescent="0.2">
      <c r="A3070" s="8" t="str">
        <f ca="1">IFERROR(__xludf.DUMMYFUNCTION("""COMPUTED_VALUE"""),"19730226VAARR")</f>
        <v>19730226VAARR</v>
      </c>
      <c r="B3070" s="8">
        <f ca="1">IFERROR(__xludf.DUMMYFUNCTION("""COMPUTED_VALUE"""),2)</f>
        <v>2</v>
      </c>
      <c r="C3070" s="8">
        <f ca="1">IFERROR(__xludf.DUMMYFUNCTION("""COMPUTED_VALUE"""),26)</f>
        <v>26</v>
      </c>
      <c r="D3070" s="8">
        <f ca="1">IFERROR(__xludf.DUMMYFUNCTION("""COMPUTED_VALUE"""),1973)</f>
        <v>1973</v>
      </c>
      <c r="E3070" s="9">
        <f ca="1">IFERROR(__xludf.DUMMYFUNCTION("""COMPUTED_VALUE"""),26721)</f>
        <v>26721</v>
      </c>
      <c r="F3070" s="8" t="str">
        <f ca="1">IFERROR(__xludf.DUMMYFUNCTION("""COMPUTED_VALUE"""),"Armstrong High School")</f>
        <v>Armstrong High School</v>
      </c>
      <c r="G3070" s="8">
        <f ca="1">IFERROR(__xludf.DUMMYFUNCTION("""COMPUTED_VALUE"""),1)</f>
        <v>1</v>
      </c>
      <c r="H3070" s="8">
        <f ca="1">IFERROR(__xludf.DUMMYFUNCTION("""COMPUTED_VALUE"""),1)</f>
        <v>1</v>
      </c>
      <c r="I3070" s="8">
        <f ca="1">IFERROR(__xludf.DUMMYFUNCTION("""COMPUTED_VALUE"""),2)</f>
        <v>2</v>
      </c>
      <c r="J3070" s="8">
        <f ca="1">IFERROR(__xludf.DUMMYFUNCTION("""COMPUTED_VALUE"""),0)</f>
        <v>0</v>
      </c>
      <c r="K3070" s="8" t="str">
        <f ca="1">IFERROR(__xludf.DUMMYFUNCTION("""COMPUTED_VALUE"""),"https://news.google.com/newspapers?id=CTJgAAAAIBAJ&amp;pg=4009,6506820  https://www.newspapers.com/image/332296175/?terms=wayne%2Bphillips    https://www.newspapers.com/image/287908591/?terms=wayne%2Bphillips  https://www.newspapers.com/image/288143821/?terms"&amp;"=michael%2Bw.%2Bdance")</f>
        <v>https://news.google.com/newspapers?id=CTJgAAAAIBAJ&amp;pg=4009,6506820  https://www.newspapers.com/image/332296175/?terms=wayne%2Bphillips    https://www.newspapers.com/image/287908591/?terms=wayne%2Bphillips  https://www.newspapers.com/image/288143821/?terms=michael%2Bw.%2Bdance</v>
      </c>
      <c r="L3070" s="8"/>
      <c r="M3070" s="8"/>
      <c r="N3070" s="8">
        <f ca="1">IFERROR(__xludf.DUMMYFUNCTION("""COMPUTED_VALUE"""),2)</f>
        <v>2</v>
      </c>
      <c r="O3070" s="8" t="str">
        <f ca="1">IFERROR(__xludf.DUMMYFUNCTION("""COMPUTED_VALUE"""),"Winter")</f>
        <v>Winter</v>
      </c>
      <c r="P3070" s="8" t="str">
        <f ca="1">IFERROR(__xludf.DUMMYFUNCTION("""COMPUTED_VALUE"""),"Richmond")</f>
        <v>Richmond</v>
      </c>
      <c r="Q3070" s="8" t="str">
        <f ca="1">IFERROR(__xludf.DUMMYFUNCTION("""COMPUTED_VALUE"""),"VA")</f>
        <v>VA</v>
      </c>
      <c r="R3070" s="8" t="str">
        <f ca="1">IFERROR(__xludf.DUMMYFUNCTION("""COMPUTED_VALUE"""),"High")</f>
        <v>High</v>
      </c>
      <c r="S3070" s="8" t="str">
        <f ca="1">IFERROR(__xludf.DUMMYFUNCTION("""COMPUTED_VALUE"""),"Inside School Building")</f>
        <v>Inside School Building</v>
      </c>
      <c r="T3070" s="8" t="str">
        <f ca="1">IFERROR(__xludf.DUMMYFUNCTION("""COMPUTED_VALUE"""),"Inside School Building")</f>
        <v>Inside School Building</v>
      </c>
      <c r="U3070" s="8" t="str">
        <f ca="1">IFERROR(__xludf.DUMMYFUNCTION("""COMPUTED_VALUE"""),"Yes")</f>
        <v>Yes</v>
      </c>
      <c r="V3070" s="8" t="str">
        <f ca="1">IFERROR(__xludf.DUMMYFUNCTION("""COMPUTED_VALUE"""),"School Start")</f>
        <v>School Start</v>
      </c>
      <c r="W3070" s="11">
        <f ca="1">IFERROR(__xludf.DUMMYFUNCTION("""COMPUTED_VALUE"""),0.333333333333333)</f>
        <v>0.33333333333333298</v>
      </c>
      <c r="X3070" s="8">
        <f ca="1">IFERROR(__xludf.DUMMYFUNCTION("""COMPUTED_VALUE"""),1)</f>
        <v>1</v>
      </c>
      <c r="Y3070" s="12" t="str">
        <f ca="1">IFERROR(__xludf.DUMMYFUNCTION("""COMPUTED_VALUE"""),"2 students caught between two youths in gun battle over a girl")</f>
        <v>2 students caught between two youths in gun battle over a girl</v>
      </c>
      <c r="Z3070" s="12" t="str">
        <f ca="1">IFERROR(__xludf.DUMMYFUNCTION("""COMPUTED_VALUE"""),"2 students caught between two youths in gun battle over a girl. Victims were a 17 year-old male (Wayne Phillips killed) and a 14 year-old female (Julia Gardner, injured in leg). One suspect later arrested and charged with murder. Second shooter was also b"&amp;"eing sought.")</f>
        <v>2 students caught between two youths in gun battle over a girl. Victims were a 17 year-old male (Wayne Phillips killed) and a 14 year-old female (Julia Gardner, injured in leg). One suspect later arrested and charged with murder. Second shooter was also being sought.</v>
      </c>
      <c r="AA3070" s="8" t="str">
        <f ca="1">IFERROR(__xludf.DUMMYFUNCTION("""COMPUTED_VALUE"""),"Escalation of Dispute")</f>
        <v>Escalation of Dispute</v>
      </c>
      <c r="AB3070" s="8"/>
      <c r="AC3070" s="8"/>
      <c r="AD3070" s="8" t="str">
        <f ca="1">IFERROR(__xludf.DUMMYFUNCTION("""COMPUTED_VALUE"""),"Random Shooting")</f>
        <v>Random Shooting</v>
      </c>
      <c r="AE3070" s="8" t="str">
        <f ca="1">IFERROR(__xludf.DUMMYFUNCTION("""COMPUTED_VALUE"""),"Yes")</f>
        <v>Yes</v>
      </c>
      <c r="AF3070" s="8" t="str">
        <f ca="1">IFERROR(__xludf.DUMMYFUNCTION("""COMPUTED_VALUE"""),"Two students involved")</f>
        <v>Two students involved</v>
      </c>
      <c r="AG3070" s="8" t="str">
        <f ca="1">IFERROR(__xludf.DUMMYFUNCTION("""COMPUTED_VALUE"""),"No")</f>
        <v>No</v>
      </c>
      <c r="AH3070" s="8" t="str">
        <f ca="1">IFERROR(__xludf.DUMMYFUNCTION("""COMPUTED_VALUE"""),"No")</f>
        <v>No</v>
      </c>
      <c r="AI3070" s="8" t="str">
        <f ca="1">IFERROR(__xludf.DUMMYFUNCTION("""COMPUTED_VALUE"""),"No")</f>
        <v>No</v>
      </c>
      <c r="AJ3070" s="8" t="str">
        <f ca="1">IFERROR(__xludf.DUMMYFUNCTION("""COMPUTED_VALUE"""),"No")</f>
        <v>No</v>
      </c>
      <c r="AK3070" s="8" t="str">
        <f ca="1">IFERROR(__xludf.DUMMYFUNCTION("""COMPUTED_VALUE"""),"No")</f>
        <v>No</v>
      </c>
      <c r="AL3070" s="8" t="str">
        <f ca="1">IFERROR(__xludf.DUMMYFUNCTION("""COMPUTED_VALUE"""),"No")</f>
        <v>No</v>
      </c>
      <c r="AM3070" s="8"/>
      <c r="AN3070" s="8"/>
      <c r="AO3070" s="8" t="str">
        <f ca="1">IFERROR(__xludf.DUMMYFUNCTION("""COMPUTED_VALUE"""),"No")</f>
        <v>No</v>
      </c>
      <c r="AP3070" s="8" t="str">
        <f ca="1">IFERROR(__xludf.DUMMYFUNCTION("""COMPUTED_VALUE"""),"No")</f>
        <v>No</v>
      </c>
      <c r="AQ3070" s="8" t="str">
        <f ca="1">IFERROR(__xludf.DUMMYFUNCTION("""COMPUTED_VALUE"""),"None")</f>
        <v>None</v>
      </c>
      <c r="AR3070" s="8" t="str">
        <f ca="1">IFERROR(__xludf.DUMMYFUNCTION("""COMPUTED_VALUE"""),"NA")</f>
        <v>NA</v>
      </c>
      <c r="AS3070" s="8">
        <f ca="1">IFERROR(__xludf.DUMMYFUNCTION("""COMPUTED_VALUE"""),5)</f>
        <v>5</v>
      </c>
      <c r="AT3070" s="8"/>
      <c r="AU3070" s="8">
        <f ca="1">IFERROR(__xludf.DUMMYFUNCTION("""COMPUTED_VALUE"""),37.552227)</f>
        <v>37.552227000000002</v>
      </c>
      <c r="AV3070" s="8">
        <f ca="1">IFERROR(__xludf.DUMMYFUNCTION("""COMPUTED_VALUE"""),-77.403481)</f>
        <v>-77.403480999999999</v>
      </c>
      <c r="AW3070" s="8"/>
      <c r="AX3070" s="8">
        <f ca="1">IFERROR(__xludf.DUMMYFUNCTION("""COMPUTED_VALUE"""),23223)</f>
        <v>23223</v>
      </c>
    </row>
    <row r="3071" spans="1:50" ht="30" x14ac:dyDescent="0.2">
      <c r="A3071" s="8" t="str">
        <f ca="1">IFERROR(__xludf.DUMMYFUNCTION("""COMPUTED_VALUE"""),"19730212ALBOM")</f>
        <v>19730212ALBOM</v>
      </c>
      <c r="B3071" s="8">
        <f ca="1">IFERROR(__xludf.DUMMYFUNCTION("""COMPUTED_VALUE"""),2)</f>
        <v>2</v>
      </c>
      <c r="C3071" s="8">
        <f ca="1">IFERROR(__xludf.DUMMYFUNCTION("""COMPUTED_VALUE"""),12)</f>
        <v>12</v>
      </c>
      <c r="D3071" s="8">
        <f ca="1">IFERROR(__xludf.DUMMYFUNCTION("""COMPUTED_VALUE"""),1973)</f>
        <v>1973</v>
      </c>
      <c r="E3071" s="9">
        <f ca="1">IFERROR(__xludf.DUMMYFUNCTION("""COMPUTED_VALUE"""),26707)</f>
        <v>26707</v>
      </c>
      <c r="F3071" s="8" t="str">
        <f ca="1">IFERROR(__xludf.DUMMYFUNCTION("""COMPUTED_VALUE"""),"Booker T. Washington High School")</f>
        <v>Booker T. Washington High School</v>
      </c>
      <c r="G3071" s="8">
        <f ca="1">IFERROR(__xludf.DUMMYFUNCTION("""COMPUTED_VALUE"""),0)</f>
        <v>0</v>
      </c>
      <c r="H3071" s="8">
        <f ca="1">IFERROR(__xludf.DUMMYFUNCTION("""COMPUTED_VALUE"""),1)</f>
        <v>1</v>
      </c>
      <c r="I3071" s="8">
        <f ca="1">IFERROR(__xludf.DUMMYFUNCTION("""COMPUTED_VALUE"""),1)</f>
        <v>1</v>
      </c>
      <c r="J3071" s="8">
        <f ca="1">IFERROR(__xludf.DUMMYFUNCTION("""COMPUTED_VALUE"""),0)</f>
        <v>0</v>
      </c>
      <c r="K3071" s="10" t="str">
        <f ca="1">IFERROR(__xludf.DUMMYFUNCTION("""COMPUTED_VALUE"""),"https://www.newspapers.com/image/256798541/?terms=school%2Bshooting")</f>
        <v>https://www.newspapers.com/image/256798541/?terms=school%2Bshooting</v>
      </c>
      <c r="L3071" s="8"/>
      <c r="M3071" s="8"/>
      <c r="N3071" s="8">
        <f ca="1">IFERROR(__xludf.DUMMYFUNCTION("""COMPUTED_VALUE"""),2)</f>
        <v>2</v>
      </c>
      <c r="O3071" s="8" t="str">
        <f ca="1">IFERROR(__xludf.DUMMYFUNCTION("""COMPUTED_VALUE"""),"Winter")</f>
        <v>Winter</v>
      </c>
      <c r="P3071" s="8" t="str">
        <f ca="1">IFERROR(__xludf.DUMMYFUNCTION("""COMPUTED_VALUE"""),"Montgomery")</f>
        <v>Montgomery</v>
      </c>
      <c r="Q3071" s="8" t="str">
        <f ca="1">IFERROR(__xludf.DUMMYFUNCTION("""COMPUTED_VALUE"""),"AL")</f>
        <v>AL</v>
      </c>
      <c r="R3071" s="8" t="str">
        <f ca="1">IFERROR(__xludf.DUMMYFUNCTION("""COMPUTED_VALUE"""),"High")</f>
        <v>High</v>
      </c>
      <c r="S3071" s="8" t="str">
        <f ca="1">IFERROR(__xludf.DUMMYFUNCTION("""COMPUTED_VALUE"""),"Gym")</f>
        <v>Gym</v>
      </c>
      <c r="T3071" s="8" t="str">
        <f ca="1">IFERROR(__xludf.DUMMYFUNCTION("""COMPUTED_VALUE"""),"Inside School Building")</f>
        <v>Inside School Building</v>
      </c>
      <c r="U3071" s="8" t="str">
        <f ca="1">IFERROR(__xludf.DUMMYFUNCTION("""COMPUTED_VALUE"""),"No")</f>
        <v>No</v>
      </c>
      <c r="V3071" s="8" t="str">
        <f ca="1">IFERROR(__xludf.DUMMYFUNCTION("""COMPUTED_VALUE"""),"Evening")</f>
        <v>Evening</v>
      </c>
      <c r="W3071" s="11">
        <f ca="1">IFERROR(__xludf.DUMMYFUNCTION("""COMPUTED_VALUE"""),0.71875)</f>
        <v>0.71875</v>
      </c>
      <c r="X3071" s="8">
        <f ca="1">IFERROR(__xludf.DUMMYFUNCTION("""COMPUTED_VALUE"""),1)</f>
        <v>1</v>
      </c>
      <c r="Y3071" s="12" t="str">
        <f ca="1">IFERROR(__xludf.DUMMYFUNCTION("""COMPUTED_VALUE"""),"Shooting in gym after school")</f>
        <v>Shooting in gym after school</v>
      </c>
      <c r="Z3071" s="12" t="str">
        <f ca="1">IFERROR(__xludf.DUMMYFUNCTION("""COMPUTED_VALUE"""),"19 year-old male ex-felon shot 15 year-old male student in the gym. No other details available.")</f>
        <v>19 year-old male ex-felon shot 15 year-old male student in the gym. No other details available.</v>
      </c>
      <c r="AA3071" s="8" t="str">
        <f ca="1">IFERROR(__xludf.DUMMYFUNCTION("""COMPUTED_VALUE"""),"Escalation of Dispute")</f>
        <v>Escalation of Dispute</v>
      </c>
      <c r="AB3071" s="8"/>
      <c r="AC3071" s="8"/>
      <c r="AD3071" s="8"/>
      <c r="AE3071" s="8" t="str">
        <f ca="1">IFERROR(__xludf.DUMMYFUNCTION("""COMPUTED_VALUE"""),"No")</f>
        <v>No</v>
      </c>
      <c r="AF3071" s="8"/>
      <c r="AG3071" s="8" t="str">
        <f ca="1">IFERROR(__xludf.DUMMYFUNCTION("""COMPUTED_VALUE"""),"No")</f>
        <v>No</v>
      </c>
      <c r="AH3071" s="8" t="str">
        <f ca="1">IFERROR(__xludf.DUMMYFUNCTION("""COMPUTED_VALUE"""),"No")</f>
        <v>No</v>
      </c>
      <c r="AI3071" s="8" t="str">
        <f ca="1">IFERROR(__xludf.DUMMYFUNCTION("""COMPUTED_VALUE"""),"No")</f>
        <v>No</v>
      </c>
      <c r="AJ3071" s="8" t="str">
        <f ca="1">IFERROR(__xludf.DUMMYFUNCTION("""COMPUTED_VALUE"""),"No")</f>
        <v>No</v>
      </c>
      <c r="AK3071" s="8" t="str">
        <f ca="1">IFERROR(__xludf.DUMMYFUNCTION("""COMPUTED_VALUE"""),"No")</f>
        <v>No</v>
      </c>
      <c r="AL3071" s="8"/>
      <c r="AM3071" s="8"/>
      <c r="AN3071" s="8"/>
      <c r="AO3071" s="8" t="str">
        <f ca="1">IFERROR(__xludf.DUMMYFUNCTION("""COMPUTED_VALUE"""),"No")</f>
        <v>No</v>
      </c>
      <c r="AP3071" s="8"/>
      <c r="AQ3071" s="8" t="str">
        <f ca="1">IFERROR(__xludf.DUMMYFUNCTION("""COMPUTED_VALUE"""),"Unknown")</f>
        <v>Unknown</v>
      </c>
      <c r="AR3071" s="8" t="str">
        <f ca="1">IFERROR(__xludf.DUMMYFUNCTION("""COMPUTED_VALUE"""),"NA")</f>
        <v>NA</v>
      </c>
      <c r="AS3071" s="8">
        <f ca="1">IFERROR(__xludf.DUMMYFUNCTION("""COMPUTED_VALUE"""),1)</f>
        <v>1</v>
      </c>
      <c r="AT3071" s="8"/>
      <c r="AU3071" s="8">
        <f ca="1">IFERROR(__xludf.DUMMYFUNCTION("""COMPUTED_VALUE"""),32.348388)</f>
        <v>32.348388</v>
      </c>
      <c r="AV3071" s="8">
        <f ca="1">IFERROR(__xludf.DUMMYFUNCTION("""COMPUTED_VALUE"""),-86.356116)</f>
        <v>-86.356116</v>
      </c>
      <c r="AW3071" s="8"/>
      <c r="AX3071" s="8">
        <f ca="1">IFERROR(__xludf.DUMMYFUNCTION("""COMPUTED_VALUE"""),36108)</f>
        <v>36108</v>
      </c>
    </row>
    <row r="3072" spans="1:50" ht="75" x14ac:dyDescent="0.2">
      <c r="A3072" s="8" t="str">
        <f ca="1">IFERROR(__xludf.DUMMYFUNCTION("""COMPUTED_VALUE"""),"19730131NCCUB")</f>
        <v>19730131NCCUB</v>
      </c>
      <c r="B3072" s="8">
        <f ca="1">IFERROR(__xludf.DUMMYFUNCTION("""COMPUTED_VALUE"""),1)</f>
        <v>1</v>
      </c>
      <c r="C3072" s="8">
        <f ca="1">IFERROR(__xludf.DUMMYFUNCTION("""COMPUTED_VALUE"""),31)</f>
        <v>31</v>
      </c>
      <c r="D3072" s="8">
        <f ca="1">IFERROR(__xludf.DUMMYFUNCTION("""COMPUTED_VALUE"""),1973)</f>
        <v>1973</v>
      </c>
      <c r="E3072" s="9">
        <f ca="1">IFERROR(__xludf.DUMMYFUNCTION("""COMPUTED_VALUE"""),26695)</f>
        <v>26695</v>
      </c>
      <c r="F3072" s="8" t="str">
        <f ca="1">IFERROR(__xludf.DUMMYFUNCTION("""COMPUTED_VALUE"""),"Cumming High School")</f>
        <v>Cumming High School</v>
      </c>
      <c r="G3072" s="8">
        <f ca="1">IFERROR(__xludf.DUMMYFUNCTION("""COMPUTED_VALUE"""),0)</f>
        <v>0</v>
      </c>
      <c r="H3072" s="8">
        <f ca="1">IFERROR(__xludf.DUMMYFUNCTION("""COMPUTED_VALUE"""),1)</f>
        <v>1</v>
      </c>
      <c r="I3072" s="8">
        <f ca="1">IFERROR(__xludf.DUMMYFUNCTION("""COMPUTED_VALUE"""),1)</f>
        <v>1</v>
      </c>
      <c r="J3072" s="8">
        <f ca="1">IFERROR(__xludf.DUMMYFUNCTION("""COMPUTED_VALUE"""),0)</f>
        <v>0</v>
      </c>
      <c r="K3072" s="10" t="str">
        <f ca="1">IFERROR(__xludf.DUMMYFUNCTION("""COMPUTED_VALUE"""),"https://www.newspapers.com/image/53558183/?terms=school%2Bshooting")</f>
        <v>https://www.newspapers.com/image/53558183/?terms=school%2Bshooting</v>
      </c>
      <c r="L3072" s="8"/>
      <c r="M3072" s="8"/>
      <c r="N3072" s="8">
        <f ca="1">IFERROR(__xludf.DUMMYFUNCTION("""COMPUTED_VALUE"""),2)</f>
        <v>2</v>
      </c>
      <c r="O3072" s="8" t="str">
        <f ca="1">IFERROR(__xludf.DUMMYFUNCTION("""COMPUTED_VALUE"""),"Winter")</f>
        <v>Winter</v>
      </c>
      <c r="P3072" s="8" t="str">
        <f ca="1">IFERROR(__xludf.DUMMYFUNCTION("""COMPUTED_VALUE"""),"Burlington")</f>
        <v>Burlington</v>
      </c>
      <c r="Q3072" s="8" t="str">
        <f ca="1">IFERROR(__xludf.DUMMYFUNCTION("""COMPUTED_VALUE"""),"NC")</f>
        <v>NC</v>
      </c>
      <c r="R3072" s="8" t="str">
        <f ca="1">IFERROR(__xludf.DUMMYFUNCTION("""COMPUTED_VALUE"""),"High")</f>
        <v>High</v>
      </c>
      <c r="S3072" s="8" t="str">
        <f ca="1">IFERROR(__xludf.DUMMYFUNCTION("""COMPUTED_VALUE"""),"Inside School Building")</f>
        <v>Inside School Building</v>
      </c>
      <c r="T3072" s="8" t="str">
        <f ca="1">IFERROR(__xludf.DUMMYFUNCTION("""COMPUTED_VALUE"""),"Inside School Building")</f>
        <v>Inside School Building</v>
      </c>
      <c r="U3072" s="8" t="str">
        <f ca="1">IFERROR(__xludf.DUMMYFUNCTION("""COMPUTED_VALUE"""),"Yes")</f>
        <v>Yes</v>
      </c>
      <c r="V3072" s="8" t="str">
        <f ca="1">IFERROR(__xludf.DUMMYFUNCTION("""COMPUTED_VALUE"""),"Lunch")</f>
        <v>Lunch</v>
      </c>
      <c r="W3072" s="11">
        <f ca="1">IFERROR(__xludf.DUMMYFUNCTION("""COMPUTED_VALUE"""),0.5)</f>
        <v>0.5</v>
      </c>
      <c r="X3072" s="8">
        <f ca="1">IFERROR(__xludf.DUMMYFUNCTION("""COMPUTED_VALUE"""),1)</f>
        <v>1</v>
      </c>
      <c r="Y3072" s="12" t="str">
        <f ca="1">IFERROR(__xludf.DUMMYFUNCTION("""COMPUTED_VALUE"""),"Shot student who was police informant on drug deal involving brother")</f>
        <v>Shot student who was police informant on drug deal involving brother</v>
      </c>
      <c r="Z3072" s="12" t="str">
        <f ca="1">IFERROR(__xludf.DUMMYFUNCTION("""COMPUTED_VALUE"""),"Victim was police informant about drug deals at the school. Shooter's brother had been implicated by the victim. Shooter targeted the victim, shot him once in the back, and fled the scene. Shooter turned himself in the next day.")</f>
        <v>Victim was police informant about drug deals at the school. Shooter's brother had been implicated by the victim. Shooter targeted the victim, shot him once in the back, and fled the scene. Shooter turned himself in the next day.</v>
      </c>
      <c r="AA3072" s="8" t="str">
        <f ca="1">IFERROR(__xludf.DUMMYFUNCTION("""COMPUTED_VALUE"""),"Illegal Activity")</f>
        <v>Illegal Activity</v>
      </c>
      <c r="AB3072" s="8"/>
      <c r="AC3072" s="8"/>
      <c r="AD3072" s="8" t="str">
        <f ca="1">IFERROR(__xludf.DUMMYFUNCTION("""COMPUTED_VALUE"""),"Victims Targeted")</f>
        <v>Victims Targeted</v>
      </c>
      <c r="AE3072" s="8" t="str">
        <f ca="1">IFERROR(__xludf.DUMMYFUNCTION("""COMPUTED_VALUE"""),"No")</f>
        <v>No</v>
      </c>
      <c r="AF3072" s="8"/>
      <c r="AG3072" s="8" t="str">
        <f ca="1">IFERROR(__xludf.DUMMYFUNCTION("""COMPUTED_VALUE"""),"No")</f>
        <v>No</v>
      </c>
      <c r="AH3072" s="8" t="str">
        <f ca="1">IFERROR(__xludf.DUMMYFUNCTION("""COMPUTED_VALUE"""),"No")</f>
        <v>No</v>
      </c>
      <c r="AI3072" s="8" t="str">
        <f ca="1">IFERROR(__xludf.DUMMYFUNCTION("""COMPUTED_VALUE"""),"No")</f>
        <v>No</v>
      </c>
      <c r="AJ3072" s="8" t="str">
        <f ca="1">IFERROR(__xludf.DUMMYFUNCTION("""COMPUTED_VALUE"""),"No")</f>
        <v>No</v>
      </c>
      <c r="AK3072" s="8" t="str">
        <f ca="1">IFERROR(__xludf.DUMMYFUNCTION("""COMPUTED_VALUE"""),"No")</f>
        <v>No</v>
      </c>
      <c r="AL3072" s="8" t="str">
        <f ca="1">IFERROR(__xludf.DUMMYFUNCTION("""COMPUTED_VALUE"""),"No")</f>
        <v>No</v>
      </c>
      <c r="AM3072" s="8"/>
      <c r="AN3072" s="8"/>
      <c r="AO3072" s="8" t="str">
        <f ca="1">IFERROR(__xludf.DUMMYFUNCTION("""COMPUTED_VALUE"""),"No")</f>
        <v>No</v>
      </c>
      <c r="AP3072" s="8"/>
      <c r="AQ3072" s="8" t="str">
        <f ca="1">IFERROR(__xludf.DUMMYFUNCTION("""COMPUTED_VALUE"""),"Unknown")</f>
        <v>Unknown</v>
      </c>
      <c r="AR3072" s="8" t="str">
        <f ca="1">IFERROR(__xludf.DUMMYFUNCTION("""COMPUTED_VALUE"""),"NA")</f>
        <v>NA</v>
      </c>
      <c r="AS3072" s="8">
        <f ca="1">IFERROR(__xludf.DUMMYFUNCTION("""COMPUTED_VALUE"""),1)</f>
        <v>1</v>
      </c>
      <c r="AT3072" s="8"/>
      <c r="AU3072" s="8">
        <f ca="1">IFERROR(__xludf.DUMMYFUNCTION("""COMPUTED_VALUE"""),36.08848)</f>
        <v>36.088479999999997</v>
      </c>
      <c r="AV3072" s="8">
        <f ca="1">IFERROR(__xludf.DUMMYFUNCTION("""COMPUTED_VALUE"""),-79.396702)</f>
        <v>-79.396702000000005</v>
      </c>
      <c r="AW3072" s="8"/>
      <c r="AX3072" s="8">
        <f ca="1">IFERROR(__xludf.DUMMYFUNCTION("""COMPUTED_VALUE"""),27217)</f>
        <v>27217</v>
      </c>
    </row>
    <row r="3073" spans="1:50" ht="75" x14ac:dyDescent="0.2">
      <c r="A3073" s="8" t="str">
        <f ca="1">IFERROR(__xludf.DUMMYFUNCTION("""COMPUTED_VALUE"""),"19730118CAJOL")</f>
        <v>19730118CAJOL</v>
      </c>
      <c r="B3073" s="8">
        <f ca="1">IFERROR(__xludf.DUMMYFUNCTION("""COMPUTED_VALUE"""),1)</f>
        <v>1</v>
      </c>
      <c r="C3073" s="8">
        <f ca="1">IFERROR(__xludf.DUMMYFUNCTION("""COMPUTED_VALUE"""),18)</f>
        <v>18</v>
      </c>
      <c r="D3073" s="8">
        <f ca="1">IFERROR(__xludf.DUMMYFUNCTION("""COMPUTED_VALUE"""),1973)</f>
        <v>1973</v>
      </c>
      <c r="E3073" s="9">
        <f ca="1">IFERROR(__xludf.DUMMYFUNCTION("""COMPUTED_VALUE"""),26682)</f>
        <v>26682</v>
      </c>
      <c r="F3073" s="8" t="str">
        <f ca="1">IFERROR(__xludf.DUMMYFUNCTION("""COMPUTED_VALUE"""),"John Marshall High School")</f>
        <v>John Marshall High School</v>
      </c>
      <c r="G3073" s="8">
        <f ca="1">IFERROR(__xludf.DUMMYFUNCTION("""COMPUTED_VALUE"""),0)</f>
        <v>0</v>
      </c>
      <c r="H3073" s="8">
        <f ca="1">IFERROR(__xludf.DUMMYFUNCTION("""COMPUTED_VALUE"""),2)</f>
        <v>2</v>
      </c>
      <c r="I3073" s="8">
        <f ca="1">IFERROR(__xludf.DUMMYFUNCTION("""COMPUTED_VALUE"""),2)</f>
        <v>2</v>
      </c>
      <c r="J3073" s="8">
        <f ca="1">IFERROR(__xludf.DUMMYFUNCTION("""COMPUTED_VALUE"""),0)</f>
        <v>0</v>
      </c>
      <c r="K3073" s="10" t="str">
        <f ca="1">IFERROR(__xludf.DUMMYFUNCTION("""COMPUTED_VALUE"""),"https://www.newspapers.com/image/18141346/?terms=school%2Bshooting")</f>
        <v>https://www.newspapers.com/image/18141346/?terms=school%2Bshooting</v>
      </c>
      <c r="L3073" s="8"/>
      <c r="M3073" s="8"/>
      <c r="N3073" s="8">
        <f ca="1">IFERROR(__xludf.DUMMYFUNCTION("""COMPUTED_VALUE"""),2)</f>
        <v>2</v>
      </c>
      <c r="O3073" s="8" t="str">
        <f ca="1">IFERROR(__xludf.DUMMYFUNCTION("""COMPUTED_VALUE"""),"Winter")</f>
        <v>Winter</v>
      </c>
      <c r="P3073" s="8" t="str">
        <f ca="1">IFERROR(__xludf.DUMMYFUNCTION("""COMPUTED_VALUE"""),"Los Angeles")</f>
        <v>Los Angeles</v>
      </c>
      <c r="Q3073" s="8" t="str">
        <f ca="1">IFERROR(__xludf.DUMMYFUNCTION("""COMPUTED_VALUE"""),"CA")</f>
        <v>CA</v>
      </c>
      <c r="R3073" s="8" t="str">
        <f ca="1">IFERROR(__xludf.DUMMYFUNCTION("""COMPUTED_VALUE"""),"High")</f>
        <v>High</v>
      </c>
      <c r="S3073" s="8" t="str">
        <f ca="1">IFERROR(__xludf.DUMMYFUNCTION("""COMPUTED_VALUE"""),"Parking Lot")</f>
        <v>Parking Lot</v>
      </c>
      <c r="T3073" s="8" t="str">
        <f ca="1">IFERROR(__xludf.DUMMYFUNCTION("""COMPUTED_VALUE"""),"Outside on School Property")</f>
        <v>Outside on School Property</v>
      </c>
      <c r="U3073" s="8" t="str">
        <f ca="1">IFERROR(__xludf.DUMMYFUNCTION("""COMPUTED_VALUE"""),"No")</f>
        <v>No</v>
      </c>
      <c r="V3073" s="8" t="str">
        <f ca="1">IFERROR(__xludf.DUMMYFUNCTION("""COMPUTED_VALUE"""),"Sport Event")</f>
        <v>Sport Event</v>
      </c>
      <c r="W3073" s="8"/>
      <c r="X3073" s="8">
        <f ca="1">IFERROR(__xludf.DUMMYFUNCTION("""COMPUTED_VALUE"""),1)</f>
        <v>1</v>
      </c>
      <c r="Y3073" s="12" t="str">
        <f ca="1">IFERROR(__xludf.DUMMYFUNCTION("""COMPUTED_VALUE"""),"2 school guards shot investigating possible thefts from cars")</f>
        <v>2 school guards shot investigating possible thefts from cars</v>
      </c>
      <c r="Z3073" s="12" t="str">
        <f ca="1">IFERROR(__xludf.DUMMYFUNCTION("""COMPUTED_VALUE"""),"Two recent graduates hired as ""noon aides"" to keep order during school functions were shot in the parking lot during a basketball game while they were investigating reports of people breaking into cars. Two unnamed teens were booked for the shootings.")</f>
        <v>Two recent graduates hired as "noon aides" to keep order during school functions were shot in the parking lot during a basketball game while they were investigating reports of people breaking into cars. Two unnamed teens were booked for the shootings.</v>
      </c>
      <c r="AA3073" s="8" t="str">
        <f ca="1">IFERROR(__xludf.DUMMYFUNCTION("""COMPUTED_VALUE"""),"Illegal Activity")</f>
        <v>Illegal Activity</v>
      </c>
      <c r="AB3073" s="8"/>
      <c r="AC3073" s="8"/>
      <c r="AD3073" s="8" t="str">
        <f ca="1">IFERROR(__xludf.DUMMYFUNCTION("""COMPUTED_VALUE"""),"Victims Targeted")</f>
        <v>Victims Targeted</v>
      </c>
      <c r="AE3073" s="8" t="str">
        <f ca="1">IFERROR(__xludf.DUMMYFUNCTION("""COMPUTED_VALUE"""),"Yes")</f>
        <v>Yes</v>
      </c>
      <c r="AF3073" s="8" t="str">
        <f ca="1">IFERROR(__xludf.DUMMYFUNCTION("""COMPUTED_VALUE"""),"Two teens involved")</f>
        <v>Two teens involved</v>
      </c>
      <c r="AG3073" s="8" t="str">
        <f ca="1">IFERROR(__xludf.DUMMYFUNCTION("""COMPUTED_VALUE"""),"No")</f>
        <v>No</v>
      </c>
      <c r="AH3073" s="8" t="str">
        <f ca="1">IFERROR(__xludf.DUMMYFUNCTION("""COMPUTED_VALUE"""),"No")</f>
        <v>No</v>
      </c>
      <c r="AI3073" s="8" t="str">
        <f ca="1">IFERROR(__xludf.DUMMYFUNCTION("""COMPUTED_VALUE"""),"No")</f>
        <v>No</v>
      </c>
      <c r="AJ3073" s="8" t="str">
        <f ca="1">IFERROR(__xludf.DUMMYFUNCTION("""COMPUTED_VALUE"""),"No")</f>
        <v>No</v>
      </c>
      <c r="AK3073" s="8" t="str">
        <f ca="1">IFERROR(__xludf.DUMMYFUNCTION("""COMPUTED_VALUE"""),"No")</f>
        <v>No</v>
      </c>
      <c r="AL3073" s="8" t="str">
        <f ca="1">IFERROR(__xludf.DUMMYFUNCTION("""COMPUTED_VALUE"""),"No")</f>
        <v>No</v>
      </c>
      <c r="AM3073" s="8"/>
      <c r="AN3073" s="8"/>
      <c r="AO3073" s="8" t="str">
        <f ca="1">IFERROR(__xludf.DUMMYFUNCTION("""COMPUTED_VALUE"""),"No")</f>
        <v>No</v>
      </c>
      <c r="AP3073" s="8"/>
      <c r="AQ3073" s="8" t="str">
        <f ca="1">IFERROR(__xludf.DUMMYFUNCTION("""COMPUTED_VALUE"""),"Unknown")</f>
        <v>Unknown</v>
      </c>
      <c r="AR3073" s="8" t="str">
        <f ca="1">IFERROR(__xludf.DUMMYFUNCTION("""COMPUTED_VALUE"""),"NA")</f>
        <v>NA</v>
      </c>
      <c r="AS3073" s="8" t="str">
        <f ca="1">IFERROR(__xludf.DUMMYFUNCTION("""COMPUTED_VALUE"""),"&lt;10")</f>
        <v>&lt;10</v>
      </c>
      <c r="AT3073" s="8"/>
      <c r="AU3073" s="8">
        <f ca="1">IFERROR(__xludf.DUMMYFUNCTION("""COMPUTED_VALUE"""),34.107851)</f>
        <v>34.107850999999997</v>
      </c>
      <c r="AV3073" s="8">
        <f ca="1">IFERROR(__xludf.DUMMYFUNCTION("""COMPUTED_VALUE"""),-118.277442)</f>
        <v>-118.27744199999999</v>
      </c>
      <c r="AW3073" s="8"/>
      <c r="AX3073" s="8">
        <f ca="1">IFERROR(__xludf.DUMMYFUNCTION("""COMPUTED_VALUE"""),90027)</f>
        <v>90027</v>
      </c>
    </row>
    <row r="3074" spans="1:50" ht="75" x14ac:dyDescent="0.2">
      <c r="A3074" s="8" t="str">
        <f ca="1">IFERROR(__xludf.DUMMYFUNCTION("""COMPUTED_VALUE"""),"19730105NCSOS")</f>
        <v>19730105NCSOS</v>
      </c>
      <c r="B3074" s="8">
        <f ca="1">IFERROR(__xludf.DUMMYFUNCTION("""COMPUTED_VALUE"""),1)</f>
        <v>1</v>
      </c>
      <c r="C3074" s="8">
        <f ca="1">IFERROR(__xludf.DUMMYFUNCTION("""COMPUTED_VALUE"""),5)</f>
        <v>5</v>
      </c>
      <c r="D3074" s="8">
        <f ca="1">IFERROR(__xludf.DUMMYFUNCTION("""COMPUTED_VALUE"""),1973)</f>
        <v>1973</v>
      </c>
      <c r="E3074" s="9">
        <f ca="1">IFERROR(__xludf.DUMMYFUNCTION("""COMPUTED_VALUE"""),26669)</f>
        <v>26669</v>
      </c>
      <c r="F3074" s="8" t="str">
        <f ca="1">IFERROR(__xludf.DUMMYFUNCTION("""COMPUTED_VALUE"""),"South Iredell High School")</f>
        <v>South Iredell High School</v>
      </c>
      <c r="G3074" s="8">
        <f ca="1">IFERROR(__xludf.DUMMYFUNCTION("""COMPUTED_VALUE"""),0)</f>
        <v>0</v>
      </c>
      <c r="H3074" s="8">
        <f ca="1">IFERROR(__xludf.DUMMYFUNCTION("""COMPUTED_VALUE"""),4)</f>
        <v>4</v>
      </c>
      <c r="I3074" s="8">
        <f ca="1">IFERROR(__xludf.DUMMYFUNCTION("""COMPUTED_VALUE"""),4)</f>
        <v>4</v>
      </c>
      <c r="J3074" s="8">
        <f ca="1">IFERROR(__xludf.DUMMYFUNCTION("""COMPUTED_VALUE"""),0)</f>
        <v>0</v>
      </c>
      <c r="K3074" s="10" t="str">
        <f ca="1">IFERROR(__xludf.DUMMYFUNCTION("""COMPUTED_VALUE"""),"https://www.newspapers.com/image/133686805/?terms=STUDENT%2BSHOT")</f>
        <v>https://www.newspapers.com/image/133686805/?terms=STUDENT%2BSHOT</v>
      </c>
      <c r="L3074" s="8"/>
      <c r="M3074" s="8"/>
      <c r="N3074" s="8">
        <f ca="1">IFERROR(__xludf.DUMMYFUNCTION("""COMPUTED_VALUE"""),2)</f>
        <v>2</v>
      </c>
      <c r="O3074" s="8" t="str">
        <f ca="1">IFERROR(__xludf.DUMMYFUNCTION("""COMPUTED_VALUE"""),"Winter")</f>
        <v>Winter</v>
      </c>
      <c r="P3074" s="8" t="str">
        <f ca="1">IFERROR(__xludf.DUMMYFUNCTION("""COMPUTED_VALUE"""),"Statesville")</f>
        <v>Statesville</v>
      </c>
      <c r="Q3074" s="8" t="str">
        <f ca="1">IFERROR(__xludf.DUMMYFUNCTION("""COMPUTED_VALUE"""),"NC")</f>
        <v>NC</v>
      </c>
      <c r="R3074" s="8" t="str">
        <f ca="1">IFERROR(__xludf.DUMMYFUNCTION("""COMPUTED_VALUE"""),"High")</f>
        <v>High</v>
      </c>
      <c r="S3074" s="8" t="str">
        <f ca="1">IFERROR(__xludf.DUMMYFUNCTION("""COMPUTED_VALUE"""),"Basketball Court")</f>
        <v>Basketball Court</v>
      </c>
      <c r="T3074" s="8" t="str">
        <f ca="1">IFERROR(__xludf.DUMMYFUNCTION("""COMPUTED_VALUE"""),"Outside on School Property")</f>
        <v>Outside on School Property</v>
      </c>
      <c r="U3074" s="8" t="str">
        <f ca="1">IFERROR(__xludf.DUMMYFUNCTION("""COMPUTED_VALUE"""),"No")</f>
        <v>No</v>
      </c>
      <c r="V3074" s="8" t="str">
        <f ca="1">IFERROR(__xludf.DUMMYFUNCTION("""COMPUTED_VALUE"""),"Sport Event")</f>
        <v>Sport Event</v>
      </c>
      <c r="W3074" s="8"/>
      <c r="X3074" s="8"/>
      <c r="Y3074" s="12" t="str">
        <f ca="1">IFERROR(__xludf.DUMMYFUNCTION("""COMPUTED_VALUE"""),"Racial tension between black and white students escalated into shooting.")</f>
        <v>Racial tension between black and white students escalated into shooting.</v>
      </c>
      <c r="Z3074" s="12" t="str">
        <f ca="1">IFERROR(__xludf.DUMMYFUNCTION("""COMPUTED_VALUE"""),"Black student walked up to 4 white students after basketball game and shot them at close range. Unknown suspect")</f>
        <v>Black student walked up to 4 white students after basketball game and shot them at close range. Unknown suspect</v>
      </c>
      <c r="AA3074" s="8" t="str">
        <f ca="1">IFERROR(__xludf.DUMMYFUNCTION("""COMPUTED_VALUE"""),"Racial")</f>
        <v>Racial</v>
      </c>
      <c r="AB3074" s="8"/>
      <c r="AC3074" s="8"/>
      <c r="AD3074" s="8" t="str">
        <f ca="1">IFERROR(__xludf.DUMMYFUNCTION("""COMPUTED_VALUE"""),"Victims Targeted")</f>
        <v>Victims Targeted</v>
      </c>
      <c r="AE3074" s="8" t="str">
        <f ca="1">IFERROR(__xludf.DUMMYFUNCTION("""COMPUTED_VALUE"""),"No")</f>
        <v>No</v>
      </c>
      <c r="AF3074" s="8"/>
      <c r="AG3074" s="8" t="str">
        <f ca="1">IFERROR(__xludf.DUMMYFUNCTION("""COMPUTED_VALUE"""),"No")</f>
        <v>No</v>
      </c>
      <c r="AH3074" s="8" t="str">
        <f ca="1">IFERROR(__xludf.DUMMYFUNCTION("""COMPUTED_VALUE"""),"No")</f>
        <v>No</v>
      </c>
      <c r="AI3074" s="8" t="str">
        <f ca="1">IFERROR(__xludf.DUMMYFUNCTION("""COMPUTED_VALUE"""),"No")</f>
        <v>No</v>
      </c>
      <c r="AJ3074" s="8" t="str">
        <f ca="1">IFERROR(__xludf.DUMMYFUNCTION("""COMPUTED_VALUE"""),"No")</f>
        <v>No</v>
      </c>
      <c r="AK3074" s="8" t="str">
        <f ca="1">IFERROR(__xludf.DUMMYFUNCTION("""COMPUTED_VALUE"""),"No")</f>
        <v>No</v>
      </c>
      <c r="AL3074" s="8" t="str">
        <f ca="1">IFERROR(__xludf.DUMMYFUNCTION("""COMPUTED_VALUE"""),"No")</f>
        <v>No</v>
      </c>
      <c r="AM3074" s="8"/>
      <c r="AN3074" s="8"/>
      <c r="AO3074" s="8" t="str">
        <f ca="1">IFERROR(__xludf.DUMMYFUNCTION("""COMPUTED_VALUE"""),"No")</f>
        <v>No</v>
      </c>
      <c r="AP3074" s="8"/>
      <c r="AQ3074" s="8" t="str">
        <f ca="1">IFERROR(__xludf.DUMMYFUNCTION("""COMPUTED_VALUE"""),"Unknown")</f>
        <v>Unknown</v>
      </c>
      <c r="AR3074" s="8" t="str">
        <f ca="1">IFERROR(__xludf.DUMMYFUNCTION("""COMPUTED_VALUE"""),"NA")</f>
        <v>NA</v>
      </c>
      <c r="AS3074" s="8">
        <f ca="1">IFERROR(__xludf.DUMMYFUNCTION("""COMPUTED_VALUE"""),5)</f>
        <v>5</v>
      </c>
      <c r="AT3074" s="8"/>
      <c r="AU3074" s="8">
        <f ca="1">IFERROR(__xludf.DUMMYFUNCTION("""COMPUTED_VALUE"""),35.717199)</f>
        <v>35.717199000000001</v>
      </c>
      <c r="AV3074" s="8">
        <f ca="1">IFERROR(__xludf.DUMMYFUNCTION("""COMPUTED_VALUE"""),-80.909923)</f>
        <v>-80.909923000000006</v>
      </c>
      <c r="AW3074" s="8"/>
      <c r="AX3074" s="8">
        <f ca="1">IFERROR(__xludf.DUMMYFUNCTION("""COMPUTED_VALUE"""),28677)</f>
        <v>28677</v>
      </c>
    </row>
    <row r="3075" spans="1:50" ht="45" x14ac:dyDescent="0.2">
      <c r="A3075" s="8" t="str">
        <f ca="1">IFERROR(__xludf.DUMMYFUNCTION("""COMPUTED_VALUE"""),"19721129FLMIM")</f>
        <v>19721129FLMIM</v>
      </c>
      <c r="B3075" s="8">
        <f ca="1">IFERROR(__xludf.DUMMYFUNCTION("""COMPUTED_VALUE"""),11)</f>
        <v>11</v>
      </c>
      <c r="C3075" s="8">
        <f ca="1">IFERROR(__xludf.DUMMYFUNCTION("""COMPUTED_VALUE"""),29)</f>
        <v>29</v>
      </c>
      <c r="D3075" s="8">
        <f ca="1">IFERROR(__xludf.DUMMYFUNCTION("""COMPUTED_VALUE"""),1972)</f>
        <v>1972</v>
      </c>
      <c r="E3075" s="9">
        <f ca="1">IFERROR(__xludf.DUMMYFUNCTION("""COMPUTED_VALUE"""),26632)</f>
        <v>26632</v>
      </c>
      <c r="F3075" s="8" t="str">
        <f ca="1">IFERROR(__xludf.DUMMYFUNCTION("""COMPUTED_VALUE"""),"Miami Northwest High School")</f>
        <v>Miami Northwest High School</v>
      </c>
      <c r="G3075" s="8">
        <f ca="1">IFERROR(__xludf.DUMMYFUNCTION("""COMPUTED_VALUE"""),0)</f>
        <v>0</v>
      </c>
      <c r="H3075" s="8">
        <f ca="1">IFERROR(__xludf.DUMMYFUNCTION("""COMPUTED_VALUE"""),1)</f>
        <v>1</v>
      </c>
      <c r="I3075" s="8">
        <f ca="1">IFERROR(__xludf.DUMMYFUNCTION("""COMPUTED_VALUE"""),1)</f>
        <v>1</v>
      </c>
      <c r="J3075" s="8">
        <f ca="1">IFERROR(__xludf.DUMMYFUNCTION("""COMPUTED_VALUE"""),0)</f>
        <v>0</v>
      </c>
      <c r="K3075" s="10" t="str">
        <f ca="1">IFERROR(__xludf.DUMMYFUNCTION("""COMPUTED_VALUE"""),"https://www.newspapers.com/image/125303713/?terms=school%2Bshooting")</f>
        <v>https://www.newspapers.com/image/125303713/?terms=school%2Bshooting</v>
      </c>
      <c r="L3075" s="8"/>
      <c r="M3075" s="8"/>
      <c r="N3075" s="8">
        <f ca="1">IFERROR(__xludf.DUMMYFUNCTION("""COMPUTED_VALUE"""),2)</f>
        <v>2</v>
      </c>
      <c r="O3075" s="8" t="str">
        <f ca="1">IFERROR(__xludf.DUMMYFUNCTION("""COMPUTED_VALUE"""),"Fall")</f>
        <v>Fall</v>
      </c>
      <c r="P3075" s="8" t="str">
        <f ca="1">IFERROR(__xludf.DUMMYFUNCTION("""COMPUTED_VALUE"""),"Miami")</f>
        <v>Miami</v>
      </c>
      <c r="Q3075" s="8" t="str">
        <f ca="1">IFERROR(__xludf.DUMMYFUNCTION("""COMPUTED_VALUE"""),"FL")</f>
        <v>FL</v>
      </c>
      <c r="R3075" s="8" t="str">
        <f ca="1">IFERROR(__xludf.DUMMYFUNCTION("""COMPUTED_VALUE"""),"High")</f>
        <v>High</v>
      </c>
      <c r="S3075" s="8" t="str">
        <f ca="1">IFERROR(__xludf.DUMMYFUNCTION("""COMPUTED_VALUE"""),"Off School Property")</f>
        <v>Off School Property</v>
      </c>
      <c r="T3075" s="8" t="str">
        <f ca="1">IFERROR(__xludf.DUMMYFUNCTION("""COMPUTED_VALUE"""),"Off School Property")</f>
        <v>Off School Property</v>
      </c>
      <c r="U3075" s="8" t="str">
        <f ca="1">IFERROR(__xludf.DUMMYFUNCTION("""COMPUTED_VALUE"""),"Yes")</f>
        <v>Yes</v>
      </c>
      <c r="V3075" s="8"/>
      <c r="W3075" s="8"/>
      <c r="X3075" s="8">
        <f ca="1">IFERROR(__xludf.DUMMYFUNCTION("""COMPUTED_VALUE"""),1)</f>
        <v>1</v>
      </c>
      <c r="Y3075" s="12" t="str">
        <f ca="1">IFERROR(__xludf.DUMMYFUNCTION("""COMPUTED_VALUE"""),"Dispute over hair comb escalated into shooting")</f>
        <v>Dispute over hair comb escalated into shooting</v>
      </c>
      <c r="Z3075" s="12" t="str">
        <f ca="1">IFERROR(__xludf.DUMMYFUNCTION("""COMPUTED_VALUE"""),"Dispute over hair comb escalated into shooting of 17 year-old male student outside of school.")</f>
        <v>Dispute over hair comb escalated into shooting of 17 year-old male student outside of school.</v>
      </c>
      <c r="AA3075" s="8" t="str">
        <f ca="1">IFERROR(__xludf.DUMMYFUNCTION("""COMPUTED_VALUE"""),"Escalation of Dispute")</f>
        <v>Escalation of Dispute</v>
      </c>
      <c r="AB3075" s="8"/>
      <c r="AC3075" s="8"/>
      <c r="AD3075" s="8"/>
      <c r="AE3075" s="8" t="str">
        <f ca="1">IFERROR(__xludf.DUMMYFUNCTION("""COMPUTED_VALUE"""),"No")</f>
        <v>No</v>
      </c>
      <c r="AF3075" s="8"/>
      <c r="AG3075" s="8" t="str">
        <f ca="1">IFERROR(__xludf.DUMMYFUNCTION("""COMPUTED_VALUE"""),"No")</f>
        <v>No</v>
      </c>
      <c r="AH3075" s="8" t="str">
        <f ca="1">IFERROR(__xludf.DUMMYFUNCTION("""COMPUTED_VALUE"""),"No")</f>
        <v>No</v>
      </c>
      <c r="AI3075" s="8" t="str">
        <f ca="1">IFERROR(__xludf.DUMMYFUNCTION("""COMPUTED_VALUE"""),"No")</f>
        <v>No</v>
      </c>
      <c r="AJ3075" s="8" t="str">
        <f ca="1">IFERROR(__xludf.DUMMYFUNCTION("""COMPUTED_VALUE"""),"No")</f>
        <v>No</v>
      </c>
      <c r="AK3075" s="8" t="str">
        <f ca="1">IFERROR(__xludf.DUMMYFUNCTION("""COMPUTED_VALUE"""),"No")</f>
        <v>No</v>
      </c>
      <c r="AL3075" s="8" t="str">
        <f ca="1">IFERROR(__xludf.DUMMYFUNCTION("""COMPUTED_VALUE"""),"No")</f>
        <v>No</v>
      </c>
      <c r="AM3075" s="8"/>
      <c r="AN3075" s="8"/>
      <c r="AO3075" s="8" t="str">
        <f ca="1">IFERROR(__xludf.DUMMYFUNCTION("""COMPUTED_VALUE"""),"No")</f>
        <v>No</v>
      </c>
      <c r="AP3075" s="8"/>
      <c r="AQ3075" s="8" t="str">
        <f ca="1">IFERROR(__xludf.DUMMYFUNCTION("""COMPUTED_VALUE"""),"Unknown")</f>
        <v>Unknown</v>
      </c>
      <c r="AR3075" s="8" t="str">
        <f ca="1">IFERROR(__xludf.DUMMYFUNCTION("""COMPUTED_VALUE"""),"NA")</f>
        <v>NA</v>
      </c>
      <c r="AS3075" s="8" t="str">
        <f ca="1">IFERROR(__xludf.DUMMYFUNCTION("""COMPUTED_VALUE"""),"&lt;5")</f>
        <v>&lt;5</v>
      </c>
      <c r="AT3075" s="8"/>
      <c r="AU3075" s="8">
        <f ca="1">IFERROR(__xludf.DUMMYFUNCTION("""COMPUTED_VALUE"""),25.838219)</f>
        <v>25.838218999999999</v>
      </c>
      <c r="AV3075" s="8">
        <f ca="1">IFERROR(__xludf.DUMMYFUNCTION("""COMPUTED_VALUE"""),-80.213413)</f>
        <v>-80.213413000000003</v>
      </c>
      <c r="AW3075" s="8"/>
      <c r="AX3075" s="8">
        <f ca="1">IFERROR(__xludf.DUMMYFUNCTION("""COMPUTED_VALUE"""),33150)</f>
        <v>33150</v>
      </c>
    </row>
    <row r="3076" spans="1:50" ht="45" x14ac:dyDescent="0.2">
      <c r="A3076" s="8" t="str">
        <f ca="1">IFERROR(__xludf.DUMMYFUNCTION("""COMPUTED_VALUE"""),"19721127MIPOP")</f>
        <v>19721127MIPOP</v>
      </c>
      <c r="B3076" s="8">
        <f ca="1">IFERROR(__xludf.DUMMYFUNCTION("""COMPUTED_VALUE"""),11)</f>
        <v>11</v>
      </c>
      <c r="C3076" s="8">
        <f ca="1">IFERROR(__xludf.DUMMYFUNCTION("""COMPUTED_VALUE"""),27)</f>
        <v>27</v>
      </c>
      <c r="D3076" s="8">
        <f ca="1">IFERROR(__xludf.DUMMYFUNCTION("""COMPUTED_VALUE"""),1972)</f>
        <v>1972</v>
      </c>
      <c r="E3076" s="9">
        <f ca="1">IFERROR(__xludf.DUMMYFUNCTION("""COMPUTED_VALUE"""),26630)</f>
        <v>26630</v>
      </c>
      <c r="F3076" s="8" t="str">
        <f ca="1">IFERROR(__xludf.DUMMYFUNCTION("""COMPUTED_VALUE"""),"Pontiac Central High School")</f>
        <v>Pontiac Central High School</v>
      </c>
      <c r="G3076" s="8">
        <f ca="1">IFERROR(__xludf.DUMMYFUNCTION("""COMPUTED_VALUE"""),0)</f>
        <v>0</v>
      </c>
      <c r="H3076" s="8">
        <f ca="1">IFERROR(__xludf.DUMMYFUNCTION("""COMPUTED_VALUE"""),5)</f>
        <v>5</v>
      </c>
      <c r="I3076" s="8">
        <f ca="1">IFERROR(__xludf.DUMMYFUNCTION("""COMPUTED_VALUE"""),5)</f>
        <v>5</v>
      </c>
      <c r="J3076" s="8">
        <f ca="1">IFERROR(__xludf.DUMMYFUNCTION("""COMPUTED_VALUE"""),0)</f>
        <v>0</v>
      </c>
      <c r="K3076" s="10" t="str">
        <f ca="1">IFERROR(__xludf.DUMMYFUNCTION("""COMPUTED_VALUE"""),"https://www.newspapers.com/image/208385082/?terms=boy+who+shot+students+may+have+stopped+riots")</f>
        <v>https://www.newspapers.com/image/208385082/?terms=boy+who+shot+students+may+have+stopped+riots</v>
      </c>
      <c r="L3076" s="8"/>
      <c r="M3076" s="8"/>
      <c r="N3076" s="8">
        <f ca="1">IFERROR(__xludf.DUMMYFUNCTION("""COMPUTED_VALUE"""),2)</f>
        <v>2</v>
      </c>
      <c r="O3076" s="8" t="str">
        <f ca="1">IFERROR(__xludf.DUMMYFUNCTION("""COMPUTED_VALUE"""),"Fall")</f>
        <v>Fall</v>
      </c>
      <c r="P3076" s="8" t="str">
        <f ca="1">IFERROR(__xludf.DUMMYFUNCTION("""COMPUTED_VALUE"""),"Pontiac")</f>
        <v>Pontiac</v>
      </c>
      <c r="Q3076" s="8" t="str">
        <f ca="1">IFERROR(__xludf.DUMMYFUNCTION("""COMPUTED_VALUE"""),"MI")</f>
        <v>MI</v>
      </c>
      <c r="R3076" s="8" t="str">
        <f ca="1">IFERROR(__xludf.DUMMYFUNCTION("""COMPUTED_VALUE"""),"High")</f>
        <v>High</v>
      </c>
      <c r="S3076" s="8" t="str">
        <f ca="1">IFERROR(__xludf.DUMMYFUNCTION("""COMPUTED_VALUE"""),"Outside on School Property")</f>
        <v>Outside on School Property</v>
      </c>
      <c r="T3076" s="8" t="str">
        <f ca="1">IFERROR(__xludf.DUMMYFUNCTION("""COMPUTED_VALUE"""),"Outside on School Property")</f>
        <v>Outside on School Property</v>
      </c>
      <c r="U3076" s="8" t="str">
        <f ca="1">IFERROR(__xludf.DUMMYFUNCTION("""COMPUTED_VALUE"""),"Yes")</f>
        <v>Yes</v>
      </c>
      <c r="V3076" s="8"/>
      <c r="W3076" s="8"/>
      <c r="X3076" s="8"/>
      <c r="Y3076" s="12" t="str">
        <f ca="1">IFERROR(__xludf.DUMMYFUNCTION("""COMPUTED_VALUE"""),"Shooting was a possible lead up to starting a race riot.")</f>
        <v>Shooting was a possible lead up to starting a race riot.</v>
      </c>
      <c r="Z3076" s="12" t="str">
        <f ca="1">IFERROR(__xludf.DUMMYFUNCTION("""COMPUTED_VALUE"""),"Possible attempt to start a race riot, however, after shooting, no riot started. Several boys were questioned and one remained in custody as the shooter.")</f>
        <v>Possible attempt to start a race riot, however, after shooting, no riot started. Several boys were questioned and one remained in custody as the shooter.</v>
      </c>
      <c r="AA3076" s="8" t="str">
        <f ca="1">IFERROR(__xludf.DUMMYFUNCTION("""COMPUTED_VALUE"""),"Racial")</f>
        <v>Racial</v>
      </c>
      <c r="AB3076" s="8"/>
      <c r="AC3076" s="8"/>
      <c r="AD3076" s="8" t="str">
        <f ca="1">IFERROR(__xludf.DUMMYFUNCTION("""COMPUTED_VALUE"""),"Victims Targeted")</f>
        <v>Victims Targeted</v>
      </c>
      <c r="AE3076" s="8" t="str">
        <f ca="1">IFERROR(__xludf.DUMMYFUNCTION("""COMPUTED_VALUE"""),"No")</f>
        <v>No</v>
      </c>
      <c r="AF3076" s="8"/>
      <c r="AG3076" s="8" t="str">
        <f ca="1">IFERROR(__xludf.DUMMYFUNCTION("""COMPUTED_VALUE"""),"No")</f>
        <v>No</v>
      </c>
      <c r="AH3076" s="8" t="str">
        <f ca="1">IFERROR(__xludf.DUMMYFUNCTION("""COMPUTED_VALUE"""),"No")</f>
        <v>No</v>
      </c>
      <c r="AI3076" s="8" t="str">
        <f ca="1">IFERROR(__xludf.DUMMYFUNCTION("""COMPUTED_VALUE"""),"No")</f>
        <v>No</v>
      </c>
      <c r="AJ3076" s="8" t="str">
        <f ca="1">IFERROR(__xludf.DUMMYFUNCTION("""COMPUTED_VALUE"""),"No")</f>
        <v>No</v>
      </c>
      <c r="AK3076" s="8" t="str">
        <f ca="1">IFERROR(__xludf.DUMMYFUNCTION("""COMPUTED_VALUE"""),"No")</f>
        <v>No</v>
      </c>
      <c r="AL3076" s="8" t="str">
        <f ca="1">IFERROR(__xludf.DUMMYFUNCTION("""COMPUTED_VALUE"""),"No")</f>
        <v>No</v>
      </c>
      <c r="AM3076" s="8"/>
      <c r="AN3076" s="8"/>
      <c r="AO3076" s="8" t="str">
        <f ca="1">IFERROR(__xludf.DUMMYFUNCTION("""COMPUTED_VALUE"""),"No")</f>
        <v>No</v>
      </c>
      <c r="AP3076" s="8"/>
      <c r="AQ3076" s="8" t="str">
        <f ca="1">IFERROR(__xludf.DUMMYFUNCTION("""COMPUTED_VALUE"""),"Unknown")</f>
        <v>Unknown</v>
      </c>
      <c r="AR3076" s="8" t="str">
        <f ca="1">IFERROR(__xludf.DUMMYFUNCTION("""COMPUTED_VALUE"""),"NA")</f>
        <v>NA</v>
      </c>
      <c r="AS3076" s="8" t="str">
        <f ca="1">IFERROR(__xludf.DUMMYFUNCTION("""COMPUTED_VALUE"""),"Multiple")</f>
        <v>Multiple</v>
      </c>
      <c r="AT3076" s="8"/>
      <c r="AU3076" s="8">
        <f ca="1">IFERROR(__xludf.DUMMYFUNCTION("""COMPUTED_VALUE"""),42.637722)</f>
        <v>42.637721999999997</v>
      </c>
      <c r="AV3076" s="8">
        <f ca="1">IFERROR(__xludf.DUMMYFUNCTION("""COMPUTED_VALUE"""),-83.303006)</f>
        <v>-83.303005999999996</v>
      </c>
      <c r="AW3076" s="8"/>
      <c r="AX3076" s="8">
        <f ca="1">IFERROR(__xludf.DUMMYFUNCTION("""COMPUTED_VALUE"""),48341)</f>
        <v>48341</v>
      </c>
    </row>
    <row r="3077" spans="1:50" ht="60" x14ac:dyDescent="0.2">
      <c r="A3077" s="8" t="str">
        <f ca="1">IFERROR(__xludf.DUMMYFUNCTION("""COMPUTED_VALUE"""),"19721111CAJEL")</f>
        <v>19721111CAJEL</v>
      </c>
      <c r="B3077" s="8">
        <f ca="1">IFERROR(__xludf.DUMMYFUNCTION("""COMPUTED_VALUE"""),11)</f>
        <v>11</v>
      </c>
      <c r="C3077" s="8">
        <f ca="1">IFERROR(__xludf.DUMMYFUNCTION("""COMPUTED_VALUE"""),11)</f>
        <v>11</v>
      </c>
      <c r="D3077" s="8">
        <f ca="1">IFERROR(__xludf.DUMMYFUNCTION("""COMPUTED_VALUE"""),1972)</f>
        <v>1972</v>
      </c>
      <c r="E3077" s="9">
        <f ca="1">IFERROR(__xludf.DUMMYFUNCTION("""COMPUTED_VALUE"""),26614)</f>
        <v>26614</v>
      </c>
      <c r="F3077" s="8" t="str">
        <f ca="1">IFERROR(__xludf.DUMMYFUNCTION("""COMPUTED_VALUE"""),"Jefferson High School")</f>
        <v>Jefferson High School</v>
      </c>
      <c r="G3077" s="8">
        <f ca="1">IFERROR(__xludf.DUMMYFUNCTION("""COMPUTED_VALUE"""),0)</f>
        <v>0</v>
      </c>
      <c r="H3077" s="8">
        <f ca="1">IFERROR(__xludf.DUMMYFUNCTION("""COMPUTED_VALUE"""),5)</f>
        <v>5</v>
      </c>
      <c r="I3077" s="8">
        <f ca="1">IFERROR(__xludf.DUMMYFUNCTION("""COMPUTED_VALUE"""),5)</f>
        <v>5</v>
      </c>
      <c r="J3077" s="8">
        <f ca="1">IFERROR(__xludf.DUMMYFUNCTION("""COMPUTED_VALUE"""),0)</f>
        <v>0</v>
      </c>
      <c r="K3077" s="10" t="str">
        <f ca="1">IFERROR(__xludf.DUMMYFUNCTION("""COMPUTED_VALUE"""),"https://www.newspapers.com/image/271348834/?terms=school%2Bshooting")</f>
        <v>https://www.newspapers.com/image/271348834/?terms=school%2Bshooting</v>
      </c>
      <c r="L3077" s="8"/>
      <c r="M3077" s="8"/>
      <c r="N3077" s="8">
        <f ca="1">IFERROR(__xludf.DUMMYFUNCTION("""COMPUTED_VALUE"""),2)</f>
        <v>2</v>
      </c>
      <c r="O3077" s="8" t="str">
        <f ca="1">IFERROR(__xludf.DUMMYFUNCTION("""COMPUTED_VALUE"""),"Fall")</f>
        <v>Fall</v>
      </c>
      <c r="P3077" s="8" t="str">
        <f ca="1">IFERROR(__xludf.DUMMYFUNCTION("""COMPUTED_VALUE"""),"Los Angeles")</f>
        <v>Los Angeles</v>
      </c>
      <c r="Q3077" s="8" t="str">
        <f ca="1">IFERROR(__xludf.DUMMYFUNCTION("""COMPUTED_VALUE"""),"CA")</f>
        <v>CA</v>
      </c>
      <c r="R3077" s="8" t="str">
        <f ca="1">IFERROR(__xludf.DUMMYFUNCTION("""COMPUTED_VALUE"""),"High")</f>
        <v>High</v>
      </c>
      <c r="S3077" s="8" t="str">
        <f ca="1">IFERROR(__xludf.DUMMYFUNCTION("""COMPUTED_VALUE"""),"Football Field/Track")</f>
        <v>Football Field/Track</v>
      </c>
      <c r="T3077" s="8" t="str">
        <f ca="1">IFERROR(__xludf.DUMMYFUNCTION("""COMPUTED_VALUE"""),"Outside on School Property")</f>
        <v>Outside on School Property</v>
      </c>
      <c r="U3077" s="8" t="str">
        <f ca="1">IFERROR(__xludf.DUMMYFUNCTION("""COMPUTED_VALUE"""),"No")</f>
        <v>No</v>
      </c>
      <c r="V3077" s="8" t="str">
        <f ca="1">IFERROR(__xludf.DUMMYFUNCTION("""COMPUTED_VALUE"""),"School Event")</f>
        <v>School Event</v>
      </c>
      <c r="W3077" s="8"/>
      <c r="X3077" s="8"/>
      <c r="Y3077" s="12" t="str">
        <f ca="1">IFERROR(__xludf.DUMMYFUNCTION("""COMPUTED_VALUE"""),"Gang related shooting at homecoming parade")</f>
        <v>Gang related shooting at homecoming parade</v>
      </c>
      <c r="Z3077" s="12" t="str">
        <f ca="1">IFERROR(__xludf.DUMMYFUNCTION("""COMPUTED_VALUE"""),"Gang members fired at other gang members aboard a homecoming float during homecoming parade injuring 5 students. The homecoming football game was cancelled as a result. Shooting was a retaliation for a previous attack.")</f>
        <v>Gang members fired at other gang members aboard a homecoming float during homecoming parade injuring 5 students. The homecoming football game was cancelled as a result. Shooting was a retaliation for a previous attack.</v>
      </c>
      <c r="AA3077" s="8" t="str">
        <f ca="1">IFERROR(__xludf.DUMMYFUNCTION("""COMPUTED_VALUE"""),"Escalation of Dispute")</f>
        <v>Escalation of Dispute</v>
      </c>
      <c r="AB3077" s="8"/>
      <c r="AC3077" s="8"/>
      <c r="AD3077" s="8" t="str">
        <f ca="1">IFERROR(__xludf.DUMMYFUNCTION("""COMPUTED_VALUE"""),"Both")</f>
        <v>Both</v>
      </c>
      <c r="AE3077" s="8" t="str">
        <f ca="1">IFERROR(__xludf.DUMMYFUNCTION("""COMPUTED_VALUE"""),"Yes")</f>
        <v>Yes</v>
      </c>
      <c r="AF3077" s="8" t="str">
        <f ca="1">IFERROR(__xludf.DUMMYFUNCTION("""COMPUTED_VALUE"""),"Multiple gang members involved")</f>
        <v>Multiple gang members involved</v>
      </c>
      <c r="AG3077" s="8" t="str">
        <f ca="1">IFERROR(__xludf.DUMMYFUNCTION("""COMPUTED_VALUE"""),"No")</f>
        <v>No</v>
      </c>
      <c r="AH3077" s="8" t="str">
        <f ca="1">IFERROR(__xludf.DUMMYFUNCTION("""COMPUTED_VALUE"""),"No")</f>
        <v>No</v>
      </c>
      <c r="AI3077" s="8" t="str">
        <f ca="1">IFERROR(__xludf.DUMMYFUNCTION("""COMPUTED_VALUE"""),"No")</f>
        <v>No</v>
      </c>
      <c r="AJ3077" s="8" t="str">
        <f ca="1">IFERROR(__xludf.DUMMYFUNCTION("""COMPUTED_VALUE"""),"No")</f>
        <v>No</v>
      </c>
      <c r="AK3077" s="8" t="str">
        <f ca="1">IFERROR(__xludf.DUMMYFUNCTION("""COMPUTED_VALUE"""),"No")</f>
        <v>No</v>
      </c>
      <c r="AL3077" s="8" t="str">
        <f ca="1">IFERROR(__xludf.DUMMYFUNCTION("""COMPUTED_VALUE"""),"Yes")</f>
        <v>Yes</v>
      </c>
      <c r="AM3077" s="8"/>
      <c r="AN3077" s="8"/>
      <c r="AO3077" s="8" t="str">
        <f ca="1">IFERROR(__xludf.DUMMYFUNCTION("""COMPUTED_VALUE"""),"No")</f>
        <v>No</v>
      </c>
      <c r="AP3077" s="8"/>
      <c r="AQ3077" s="8" t="str">
        <f ca="1">IFERROR(__xludf.DUMMYFUNCTION("""COMPUTED_VALUE"""),"Unknown")</f>
        <v>Unknown</v>
      </c>
      <c r="AR3077" s="8" t="str">
        <f ca="1">IFERROR(__xludf.DUMMYFUNCTION("""COMPUTED_VALUE"""),"NA")</f>
        <v>NA</v>
      </c>
      <c r="AS3077" s="8">
        <f ca="1">IFERROR(__xludf.DUMMYFUNCTION("""COMPUTED_VALUE"""),5)</f>
        <v>5</v>
      </c>
      <c r="AT3077" s="8"/>
      <c r="AU3077" s="8">
        <f ca="1">IFERROR(__xludf.DUMMYFUNCTION("""COMPUTED_VALUE"""),34.009802)</f>
        <v>34.009802000000001</v>
      </c>
      <c r="AV3077" s="8">
        <f ca="1">IFERROR(__xludf.DUMMYFUNCTION("""COMPUTED_VALUE"""),-118.25148)</f>
        <v>-118.25148</v>
      </c>
      <c r="AW3077" s="8"/>
      <c r="AX3077" s="8">
        <f ca="1">IFERROR(__xludf.DUMMYFUNCTION("""COMPUTED_VALUE"""),90011)</f>
        <v>90011</v>
      </c>
    </row>
    <row r="3078" spans="1:50" ht="75" x14ac:dyDescent="0.2">
      <c r="A3078" s="8" t="str">
        <f ca="1">IFERROR(__xludf.DUMMYFUNCTION("""COMPUTED_VALUE"""),"19720921OHTHA")</f>
        <v>19720921OHTHA</v>
      </c>
      <c r="B3078" s="8">
        <f ca="1">IFERROR(__xludf.DUMMYFUNCTION("""COMPUTED_VALUE"""),9)</f>
        <v>9</v>
      </c>
      <c r="C3078" s="8">
        <f ca="1">IFERROR(__xludf.DUMMYFUNCTION("""COMPUTED_VALUE"""),21)</f>
        <v>21</v>
      </c>
      <c r="D3078" s="8">
        <f ca="1">IFERROR(__xludf.DUMMYFUNCTION("""COMPUTED_VALUE"""),1972)</f>
        <v>1972</v>
      </c>
      <c r="E3078" s="9">
        <f ca="1">IFERROR(__xludf.DUMMYFUNCTION("""COMPUTED_VALUE"""),26563)</f>
        <v>26563</v>
      </c>
      <c r="F3078" s="8" t="str">
        <f ca="1">IFERROR(__xludf.DUMMYFUNCTION("""COMPUTED_VALUE"""),"Thorton Junior High")</f>
        <v>Thorton Junior High</v>
      </c>
      <c r="G3078" s="8">
        <f ca="1">IFERROR(__xludf.DUMMYFUNCTION("""COMPUTED_VALUE"""),0)</f>
        <v>0</v>
      </c>
      <c r="H3078" s="8">
        <f ca="1">IFERROR(__xludf.DUMMYFUNCTION("""COMPUTED_VALUE"""),1)</f>
        <v>1</v>
      </c>
      <c r="I3078" s="8">
        <f ca="1">IFERROR(__xludf.DUMMYFUNCTION("""COMPUTED_VALUE"""),1)</f>
        <v>1</v>
      </c>
      <c r="J3078" s="8">
        <f ca="1">IFERROR(__xludf.DUMMYFUNCTION("""COMPUTED_VALUE"""),0)</f>
        <v>0</v>
      </c>
      <c r="K3078" s="10" t="str">
        <f ca="1">IFERROR(__xludf.DUMMYFUNCTION("""COMPUTED_VALUE"""),"https://www.newspapers.com/image/294173364/?terms=teacher%2Bshot%2Band%2Bbeaten")</f>
        <v>https://www.newspapers.com/image/294173364/?terms=teacher%2Bshot%2Band%2Bbeaten</v>
      </c>
      <c r="L3078" s="8"/>
      <c r="M3078" s="8"/>
      <c r="N3078" s="8">
        <f ca="1">IFERROR(__xludf.DUMMYFUNCTION("""COMPUTED_VALUE"""),2)</f>
        <v>2</v>
      </c>
      <c r="O3078" s="8" t="str">
        <f ca="1">IFERROR(__xludf.DUMMYFUNCTION("""COMPUTED_VALUE"""),"Fall")</f>
        <v>Fall</v>
      </c>
      <c r="P3078" s="8" t="str">
        <f ca="1">IFERROR(__xludf.DUMMYFUNCTION("""COMPUTED_VALUE"""),"Akron")</f>
        <v>Akron</v>
      </c>
      <c r="Q3078" s="8" t="str">
        <f ca="1">IFERROR(__xludf.DUMMYFUNCTION("""COMPUTED_VALUE"""),"OH")</f>
        <v>OH</v>
      </c>
      <c r="R3078" s="8" t="str">
        <f ca="1">IFERROR(__xludf.DUMMYFUNCTION("""COMPUTED_VALUE"""),"Junior High")</f>
        <v>Junior High</v>
      </c>
      <c r="S3078" s="8" t="str">
        <f ca="1">IFERROR(__xludf.DUMMYFUNCTION("""COMPUTED_VALUE"""),"Classroom")</f>
        <v>Classroom</v>
      </c>
      <c r="T3078" s="8" t="str">
        <f ca="1">IFERROR(__xludf.DUMMYFUNCTION("""COMPUTED_VALUE"""),"Inside School Building")</f>
        <v>Inside School Building</v>
      </c>
      <c r="U3078" s="8" t="str">
        <f ca="1">IFERROR(__xludf.DUMMYFUNCTION("""COMPUTED_VALUE"""),"Yes")</f>
        <v>Yes</v>
      </c>
      <c r="V3078" s="8" t="str">
        <f ca="1">IFERROR(__xludf.DUMMYFUNCTION("""COMPUTED_VALUE"""),"Dismissal")</f>
        <v>Dismissal</v>
      </c>
      <c r="W3078" s="8"/>
      <c r="X3078" s="8">
        <f ca="1">IFERROR(__xludf.DUMMYFUNCTION("""COMPUTED_VALUE"""),1)</f>
        <v>1</v>
      </c>
      <c r="Y3078" s="12" t="str">
        <f ca="1">IFERROR(__xludf.DUMMYFUNCTION("""COMPUTED_VALUE"""),"Shooter attempted to rob teacher in classroom. Teacher fought back and was shot.")</f>
        <v>Shooter attempted to rob teacher in classroom. Teacher fought back and was shot.</v>
      </c>
      <c r="Z3078" s="12" t="str">
        <f ca="1">IFERROR(__xludf.DUMMYFUNCTION("""COMPUTED_VALUE"""),"Suspect entered victim's classroom shortly after class ended and demanded money - shooter hit victim in head with revolver - victim struggled with shooter and gun went off striking victim in arm - suspect fled and later caught")</f>
        <v>Suspect entered victim's classroom shortly after class ended and demanded money - shooter hit victim in head with revolver - victim struggled with shooter and gun went off striking victim in arm - suspect fled and later caught</v>
      </c>
      <c r="AA3078" s="8" t="str">
        <f ca="1">IFERROR(__xludf.DUMMYFUNCTION("""COMPUTED_VALUE"""),"Illegal Activity")</f>
        <v>Illegal Activity</v>
      </c>
      <c r="AB3078" s="8"/>
      <c r="AC3078" s="8"/>
      <c r="AD3078" s="8" t="str">
        <f ca="1">IFERROR(__xludf.DUMMYFUNCTION("""COMPUTED_VALUE"""),"Victims Targeted")</f>
        <v>Victims Targeted</v>
      </c>
      <c r="AE3078" s="8" t="str">
        <f ca="1">IFERROR(__xludf.DUMMYFUNCTION("""COMPUTED_VALUE"""),"No")</f>
        <v>No</v>
      </c>
      <c r="AF3078" s="8"/>
      <c r="AG3078" s="8" t="str">
        <f ca="1">IFERROR(__xludf.DUMMYFUNCTION("""COMPUTED_VALUE"""),"No")</f>
        <v>No</v>
      </c>
      <c r="AH3078" s="8" t="str">
        <f ca="1">IFERROR(__xludf.DUMMYFUNCTION("""COMPUTED_VALUE"""),"No")</f>
        <v>No</v>
      </c>
      <c r="AI3078" s="8" t="str">
        <f ca="1">IFERROR(__xludf.DUMMYFUNCTION("""COMPUTED_VALUE"""),"No")</f>
        <v>No</v>
      </c>
      <c r="AJ3078" s="8" t="str">
        <f ca="1">IFERROR(__xludf.DUMMYFUNCTION("""COMPUTED_VALUE"""),"No")</f>
        <v>No</v>
      </c>
      <c r="AK3078" s="8" t="str">
        <f ca="1">IFERROR(__xludf.DUMMYFUNCTION("""COMPUTED_VALUE"""),"No")</f>
        <v>No</v>
      </c>
      <c r="AL3078" s="8" t="str">
        <f ca="1">IFERROR(__xludf.DUMMYFUNCTION("""COMPUTED_VALUE"""),"No")</f>
        <v>No</v>
      </c>
      <c r="AM3078" s="8"/>
      <c r="AN3078" s="8"/>
      <c r="AO3078" s="8" t="str">
        <f ca="1">IFERROR(__xludf.DUMMYFUNCTION("""COMPUTED_VALUE"""),"No")</f>
        <v>No</v>
      </c>
      <c r="AP3078" s="8"/>
      <c r="AQ3078" s="8" t="str">
        <f ca="1">IFERROR(__xludf.DUMMYFUNCTION("""COMPUTED_VALUE"""),"Unknown")</f>
        <v>Unknown</v>
      </c>
      <c r="AR3078" s="8" t="str">
        <f ca="1">IFERROR(__xludf.DUMMYFUNCTION("""COMPUTED_VALUE"""),"NA")</f>
        <v>NA</v>
      </c>
      <c r="AS3078" s="8">
        <f ca="1">IFERROR(__xludf.DUMMYFUNCTION("""COMPUTED_VALUE"""),1)</f>
        <v>1</v>
      </c>
      <c r="AT3078" s="8"/>
      <c r="AU3078" s="8">
        <f ca="1">IFERROR(__xludf.DUMMYFUNCTION("""COMPUTED_VALUE"""),41.08326)</f>
        <v>41.083260000000003</v>
      </c>
      <c r="AV3078" s="8">
        <f ca="1">IFERROR(__xludf.DUMMYFUNCTION("""COMPUTED_VALUE"""),-81.50772)</f>
        <v>-81.507720000000006</v>
      </c>
      <c r="AW3078" s="8"/>
      <c r="AX3078" s="8">
        <f ca="1">IFERROR(__xludf.DUMMYFUNCTION("""COMPUTED_VALUE"""),44304)</f>
        <v>44304</v>
      </c>
    </row>
    <row r="3079" spans="1:50" ht="60" x14ac:dyDescent="0.2">
      <c r="A3079" s="8" t="str">
        <f ca="1">IFERROR(__xludf.DUMMYFUNCTION("""COMPUTED_VALUE"""),"19720919TXCUH")</f>
        <v>19720919TXCUH</v>
      </c>
      <c r="B3079" s="8">
        <f ca="1">IFERROR(__xludf.DUMMYFUNCTION("""COMPUTED_VALUE"""),9)</f>
        <v>9</v>
      </c>
      <c r="C3079" s="8">
        <f ca="1">IFERROR(__xludf.DUMMYFUNCTION("""COMPUTED_VALUE"""),19)</f>
        <v>19</v>
      </c>
      <c r="D3079" s="8">
        <f ca="1">IFERROR(__xludf.DUMMYFUNCTION("""COMPUTED_VALUE"""),1972)</f>
        <v>1972</v>
      </c>
      <c r="E3079" s="9">
        <f ca="1">IFERROR(__xludf.DUMMYFUNCTION("""COMPUTED_VALUE"""),26561)</f>
        <v>26561</v>
      </c>
      <c r="F3079" s="8" t="str">
        <f ca="1">IFERROR(__xludf.DUMMYFUNCTION("""COMPUTED_VALUE"""),"Cullen Junior High")</f>
        <v>Cullen Junior High</v>
      </c>
      <c r="G3079" s="8">
        <f ca="1">IFERROR(__xludf.DUMMYFUNCTION("""COMPUTED_VALUE"""),0)</f>
        <v>0</v>
      </c>
      <c r="H3079" s="8">
        <f ca="1">IFERROR(__xludf.DUMMYFUNCTION("""COMPUTED_VALUE"""),1)</f>
        <v>1</v>
      </c>
      <c r="I3079" s="8">
        <f ca="1">IFERROR(__xludf.DUMMYFUNCTION("""COMPUTED_VALUE"""),1)</f>
        <v>1</v>
      </c>
      <c r="J3079" s="8">
        <f ca="1">IFERROR(__xludf.DUMMYFUNCTION("""COMPUTED_VALUE"""),0)</f>
        <v>0</v>
      </c>
      <c r="K3079" s="8" t="str">
        <f ca="1">IFERROR(__xludf.DUMMYFUNCTION("""COMPUTED_VALUE"""),"https://www.newspapers.com/image/298280991/?terms=teacher%2Bshot%2Bhouston; https://www.newspapers.com/image/434524390/?terms=seguin%2Bman%2Bfaces%2Bcharges%2Bin%2Bshooting")</f>
        <v>https://www.newspapers.com/image/298280991/?terms=teacher%2Bshot%2Bhouston; https://www.newspapers.com/image/434524390/?terms=seguin%2Bman%2Bfaces%2Bcharges%2Bin%2Bshooting</v>
      </c>
      <c r="L3079" s="8"/>
      <c r="M3079" s="8"/>
      <c r="N3079" s="8">
        <f ca="1">IFERROR(__xludf.DUMMYFUNCTION("""COMPUTED_VALUE"""),3)</f>
        <v>3</v>
      </c>
      <c r="O3079" s="8" t="str">
        <f ca="1">IFERROR(__xludf.DUMMYFUNCTION("""COMPUTED_VALUE"""),"Fall")</f>
        <v>Fall</v>
      </c>
      <c r="P3079" s="8" t="str">
        <f ca="1">IFERROR(__xludf.DUMMYFUNCTION("""COMPUTED_VALUE"""),"Houston")</f>
        <v>Houston</v>
      </c>
      <c r="Q3079" s="8" t="str">
        <f ca="1">IFERROR(__xludf.DUMMYFUNCTION("""COMPUTED_VALUE"""),"TX")</f>
        <v>TX</v>
      </c>
      <c r="R3079" s="8" t="str">
        <f ca="1">IFERROR(__xludf.DUMMYFUNCTION("""COMPUTED_VALUE"""),"Junior High")</f>
        <v>Junior High</v>
      </c>
      <c r="S3079" s="8" t="str">
        <f ca="1">IFERROR(__xludf.DUMMYFUNCTION("""COMPUTED_VALUE"""),"Inside School Building")</f>
        <v>Inside School Building</v>
      </c>
      <c r="T3079" s="8" t="str">
        <f ca="1">IFERROR(__xludf.DUMMYFUNCTION("""COMPUTED_VALUE"""),"Inside School Building")</f>
        <v>Inside School Building</v>
      </c>
      <c r="U3079" s="8" t="str">
        <f ca="1">IFERROR(__xludf.DUMMYFUNCTION("""COMPUTED_VALUE"""),"No")</f>
        <v>No</v>
      </c>
      <c r="V3079" s="8" t="str">
        <f ca="1">IFERROR(__xludf.DUMMYFUNCTION("""COMPUTED_VALUE"""),"School Start")</f>
        <v>School Start</v>
      </c>
      <c r="W3079" s="8"/>
      <c r="X3079" s="8">
        <f ca="1">IFERROR(__xludf.DUMMYFUNCTION("""COMPUTED_VALUE"""),1)</f>
        <v>1</v>
      </c>
      <c r="Y3079" s="12" t="str">
        <f ca="1">IFERROR(__xludf.DUMMYFUNCTION("""COMPUTED_VALUE"""),"Husband shot wife after his attempts to reconcile marriage failed.")</f>
        <v>Husband shot wife after his attempts to reconcile marriage failed.</v>
      </c>
      <c r="Z3079" s="12" t="str">
        <f ca="1">IFERROR(__xludf.DUMMYFUNCTION("""COMPUTED_VALUE"""),"Husband went to school to try and reconcile with wife. They got into an argument and he shot her 9 times w/.22 caliber.")</f>
        <v>Husband went to school to try and reconcile with wife. They got into an argument and he shot her 9 times w/.22 caliber.</v>
      </c>
      <c r="AA3079" s="8" t="str">
        <f ca="1">IFERROR(__xludf.DUMMYFUNCTION("""COMPUTED_VALUE"""),"Domestic w/ Targeted Victim")</f>
        <v>Domestic w/ Targeted Victim</v>
      </c>
      <c r="AB3079" s="8"/>
      <c r="AC3079" s="8"/>
      <c r="AD3079" s="8" t="str">
        <f ca="1">IFERROR(__xludf.DUMMYFUNCTION("""COMPUTED_VALUE"""),"Victims Targeted")</f>
        <v>Victims Targeted</v>
      </c>
      <c r="AE3079" s="8" t="str">
        <f ca="1">IFERROR(__xludf.DUMMYFUNCTION("""COMPUTED_VALUE"""),"No")</f>
        <v>No</v>
      </c>
      <c r="AF3079" s="8"/>
      <c r="AG3079" s="8" t="str">
        <f ca="1">IFERROR(__xludf.DUMMYFUNCTION("""COMPUTED_VALUE"""),"No")</f>
        <v>No</v>
      </c>
      <c r="AH3079" s="8" t="str">
        <f ca="1">IFERROR(__xludf.DUMMYFUNCTION("""COMPUTED_VALUE"""),"No")</f>
        <v>No</v>
      </c>
      <c r="AI3079" s="8" t="str">
        <f ca="1">IFERROR(__xludf.DUMMYFUNCTION("""COMPUTED_VALUE"""),"No")</f>
        <v>No</v>
      </c>
      <c r="AJ3079" s="8" t="str">
        <f ca="1">IFERROR(__xludf.DUMMYFUNCTION("""COMPUTED_VALUE"""),"No")</f>
        <v>No</v>
      </c>
      <c r="AK3079" s="8" t="str">
        <f ca="1">IFERROR(__xludf.DUMMYFUNCTION("""COMPUTED_VALUE"""),"Yes")</f>
        <v>Yes</v>
      </c>
      <c r="AL3079" s="8" t="str">
        <f ca="1">IFERROR(__xludf.DUMMYFUNCTION("""COMPUTED_VALUE"""),"No")</f>
        <v>No</v>
      </c>
      <c r="AM3079" s="8"/>
      <c r="AN3079" s="8"/>
      <c r="AO3079" s="8" t="str">
        <f ca="1">IFERROR(__xludf.DUMMYFUNCTION("""COMPUTED_VALUE"""),"No")</f>
        <v>No</v>
      </c>
      <c r="AP3079" s="8"/>
      <c r="AQ3079" s="8" t="str">
        <f ca="1">IFERROR(__xludf.DUMMYFUNCTION("""COMPUTED_VALUE"""),"Unknown")</f>
        <v>Unknown</v>
      </c>
      <c r="AR3079" s="8" t="str">
        <f ca="1">IFERROR(__xludf.DUMMYFUNCTION("""COMPUTED_VALUE"""),"NA")</f>
        <v>NA</v>
      </c>
      <c r="AS3079" s="8">
        <f ca="1">IFERROR(__xludf.DUMMYFUNCTION("""COMPUTED_VALUE"""),9)</f>
        <v>9</v>
      </c>
      <c r="AT3079" s="8"/>
      <c r="AU3079" s="8">
        <f ca="1">IFERROR(__xludf.DUMMYFUNCTION("""COMPUTED_VALUE"""),29.691239)</f>
        <v>29.691238999999999</v>
      </c>
      <c r="AV3079" s="8">
        <f ca="1">IFERROR(__xludf.DUMMYFUNCTION("""COMPUTED_VALUE"""),-95.36387)</f>
        <v>-95.363870000000006</v>
      </c>
      <c r="AW3079" s="8"/>
      <c r="AX3079" s="8">
        <f ca="1">IFERROR(__xludf.DUMMYFUNCTION("""COMPUTED_VALUE"""),77021)</f>
        <v>77021</v>
      </c>
    </row>
    <row r="3080" spans="1:50" ht="45" x14ac:dyDescent="0.2">
      <c r="A3080" s="8" t="str">
        <f ca="1">IFERROR(__xludf.DUMMYFUNCTION("""COMPUTED_VALUE"""),"19720915MISAS")</f>
        <v>19720915MISAS</v>
      </c>
      <c r="B3080" s="8">
        <f ca="1">IFERROR(__xludf.DUMMYFUNCTION("""COMPUTED_VALUE"""),9)</f>
        <v>9</v>
      </c>
      <c r="C3080" s="8">
        <f ca="1">IFERROR(__xludf.DUMMYFUNCTION("""COMPUTED_VALUE"""),15)</f>
        <v>15</v>
      </c>
      <c r="D3080" s="8">
        <f ca="1">IFERROR(__xludf.DUMMYFUNCTION("""COMPUTED_VALUE"""),1972)</f>
        <v>1972</v>
      </c>
      <c r="E3080" s="9">
        <f ca="1">IFERROR(__xludf.DUMMYFUNCTION("""COMPUTED_VALUE"""),26557)</f>
        <v>26557</v>
      </c>
      <c r="F3080" s="8" t="str">
        <f ca="1">IFERROR(__xludf.DUMMYFUNCTION("""COMPUTED_VALUE"""),"Saginaw High School")</f>
        <v>Saginaw High School</v>
      </c>
      <c r="G3080" s="8">
        <f ca="1">IFERROR(__xludf.DUMMYFUNCTION("""COMPUTED_VALUE"""),0)</f>
        <v>0</v>
      </c>
      <c r="H3080" s="8">
        <f ca="1">IFERROR(__xludf.DUMMYFUNCTION("""COMPUTED_VALUE"""),2)</f>
        <v>2</v>
      </c>
      <c r="I3080" s="8">
        <f ca="1">IFERROR(__xludf.DUMMYFUNCTION("""COMPUTED_VALUE"""),2)</f>
        <v>2</v>
      </c>
      <c r="J3080" s="8">
        <f ca="1">IFERROR(__xludf.DUMMYFUNCTION("""COMPUTED_VALUE"""),0)</f>
        <v>0</v>
      </c>
      <c r="K3080" s="10" t="str">
        <f ca="1">IFERROR(__xludf.DUMMYFUNCTION("""COMPUTED_VALUE"""),"https://www.newspapers.com/image/205331514/?terms=school%2Bshooting")</f>
        <v>https://www.newspapers.com/image/205331514/?terms=school%2Bshooting</v>
      </c>
      <c r="L3080" s="8"/>
      <c r="M3080" s="8"/>
      <c r="N3080" s="8">
        <f ca="1">IFERROR(__xludf.DUMMYFUNCTION("""COMPUTED_VALUE"""),2)</f>
        <v>2</v>
      </c>
      <c r="O3080" s="8" t="str">
        <f ca="1">IFERROR(__xludf.DUMMYFUNCTION("""COMPUTED_VALUE"""),"Fall")</f>
        <v>Fall</v>
      </c>
      <c r="P3080" s="8" t="str">
        <f ca="1">IFERROR(__xludf.DUMMYFUNCTION("""COMPUTED_VALUE"""),"Saginaw")</f>
        <v>Saginaw</v>
      </c>
      <c r="Q3080" s="8" t="str">
        <f ca="1">IFERROR(__xludf.DUMMYFUNCTION("""COMPUTED_VALUE"""),"MI")</f>
        <v>MI</v>
      </c>
      <c r="R3080" s="8" t="str">
        <f ca="1">IFERROR(__xludf.DUMMYFUNCTION("""COMPUTED_VALUE"""),"High")</f>
        <v>High</v>
      </c>
      <c r="S3080" s="8" t="str">
        <f ca="1">IFERROR(__xludf.DUMMYFUNCTION("""COMPUTED_VALUE"""),"Hallway")</f>
        <v>Hallway</v>
      </c>
      <c r="T3080" s="8" t="str">
        <f ca="1">IFERROR(__xludf.DUMMYFUNCTION("""COMPUTED_VALUE"""),"Inside School Building")</f>
        <v>Inside School Building</v>
      </c>
      <c r="U3080" s="8" t="str">
        <f ca="1">IFERROR(__xludf.DUMMYFUNCTION("""COMPUTED_VALUE"""),"Yes")</f>
        <v>Yes</v>
      </c>
      <c r="V3080" s="8" t="str">
        <f ca="1">IFERROR(__xludf.DUMMYFUNCTION("""COMPUTED_VALUE"""),"Afternoon Classes")</f>
        <v>Afternoon Classes</v>
      </c>
      <c r="W3080" s="8"/>
      <c r="X3080" s="8">
        <f ca="1">IFERROR(__xludf.DUMMYFUNCTION("""COMPUTED_VALUE"""),1)</f>
        <v>1</v>
      </c>
      <c r="Y3080" s="12" t="str">
        <f ca="1">IFERROR(__xludf.DUMMYFUNCTION("""COMPUTED_VALUE"""),"Shot two students in hallway between classes")</f>
        <v>Shot two students in hallway between classes</v>
      </c>
      <c r="Z3080" s="12" t="str">
        <f ca="1">IFERROR(__xludf.DUMMYFUNCTION("""COMPUTED_VALUE"""),"17 year-old male (Charles Bell) shot two students in the hallway between classes. Shooter fled the scene and turned himself into to police that night.")</f>
        <v>17 year-old male (Charles Bell) shot two students in the hallway between classes. Shooter fled the scene and turned himself into to police that night.</v>
      </c>
      <c r="AA3080" s="8" t="str">
        <f ca="1">IFERROR(__xludf.DUMMYFUNCTION("""COMPUTED_VALUE"""),"Escalation of Dispute")</f>
        <v>Escalation of Dispute</v>
      </c>
      <c r="AB3080" s="8"/>
      <c r="AC3080" s="8"/>
      <c r="AD3080" s="8"/>
      <c r="AE3080" s="8" t="str">
        <f ca="1">IFERROR(__xludf.DUMMYFUNCTION("""COMPUTED_VALUE"""),"No")</f>
        <v>No</v>
      </c>
      <c r="AF3080" s="8"/>
      <c r="AG3080" s="8" t="str">
        <f ca="1">IFERROR(__xludf.DUMMYFUNCTION("""COMPUTED_VALUE"""),"No")</f>
        <v>No</v>
      </c>
      <c r="AH3080" s="8" t="str">
        <f ca="1">IFERROR(__xludf.DUMMYFUNCTION("""COMPUTED_VALUE"""),"No")</f>
        <v>No</v>
      </c>
      <c r="AI3080" s="8" t="str">
        <f ca="1">IFERROR(__xludf.DUMMYFUNCTION("""COMPUTED_VALUE"""),"No")</f>
        <v>No</v>
      </c>
      <c r="AJ3080" s="8"/>
      <c r="AK3080" s="8"/>
      <c r="AL3080" s="8"/>
      <c r="AM3080" s="8"/>
      <c r="AN3080" s="8"/>
      <c r="AO3080" s="8" t="str">
        <f ca="1">IFERROR(__xludf.DUMMYFUNCTION("""COMPUTED_VALUE"""),"No")</f>
        <v>No</v>
      </c>
      <c r="AP3080" s="8"/>
      <c r="AQ3080" s="8" t="str">
        <f ca="1">IFERROR(__xludf.DUMMYFUNCTION("""COMPUTED_VALUE"""),"Unknown")</f>
        <v>Unknown</v>
      </c>
      <c r="AR3080" s="8" t="str">
        <f ca="1">IFERROR(__xludf.DUMMYFUNCTION("""COMPUTED_VALUE"""),"NA")</f>
        <v>NA</v>
      </c>
      <c r="AS3080" s="8"/>
      <c r="AT3080" s="8"/>
      <c r="AU3080" s="8">
        <f ca="1">IFERROR(__xludf.DUMMYFUNCTION("""COMPUTED_VALUE"""),43.406198)</f>
        <v>43.406198000000003</v>
      </c>
      <c r="AV3080" s="8">
        <f ca="1">IFERROR(__xludf.DUMMYFUNCTION("""COMPUTED_VALUE"""),-83.92586)</f>
        <v>-83.92586</v>
      </c>
      <c r="AW3080" s="8"/>
      <c r="AX3080" s="8">
        <f ca="1">IFERROR(__xludf.DUMMYFUNCTION("""COMPUTED_VALUE"""),48601)</f>
        <v>48601</v>
      </c>
    </row>
    <row r="3081" spans="1:50" ht="75" x14ac:dyDescent="0.2">
      <c r="A3081" s="8" t="str">
        <f ca="1">IFERROR(__xludf.DUMMYFUNCTION("""COMPUTED_VALUE"""),"19720914TXFRH")</f>
        <v>19720914TXFRH</v>
      </c>
      <c r="B3081" s="8">
        <f ca="1">IFERROR(__xludf.DUMMYFUNCTION("""COMPUTED_VALUE"""),9)</f>
        <v>9</v>
      </c>
      <c r="C3081" s="8">
        <f ca="1">IFERROR(__xludf.DUMMYFUNCTION("""COMPUTED_VALUE"""),14)</f>
        <v>14</v>
      </c>
      <c r="D3081" s="8">
        <f ca="1">IFERROR(__xludf.DUMMYFUNCTION("""COMPUTED_VALUE"""),1972)</f>
        <v>1972</v>
      </c>
      <c r="E3081" s="9">
        <f ca="1">IFERROR(__xludf.DUMMYFUNCTION("""COMPUTED_VALUE"""),26556)</f>
        <v>26556</v>
      </c>
      <c r="F3081" s="8" t="str">
        <f ca="1">IFERROR(__xludf.DUMMYFUNCTION("""COMPUTED_VALUE"""),"Francis Scott Key Junior High")</f>
        <v>Francis Scott Key Junior High</v>
      </c>
      <c r="G3081" s="8">
        <f ca="1">IFERROR(__xludf.DUMMYFUNCTION("""COMPUTED_VALUE"""),0)</f>
        <v>0</v>
      </c>
      <c r="H3081" s="8">
        <f ca="1">IFERROR(__xludf.DUMMYFUNCTION("""COMPUTED_VALUE"""),1)</f>
        <v>1</v>
      </c>
      <c r="I3081" s="8">
        <f ca="1">IFERROR(__xludf.DUMMYFUNCTION("""COMPUTED_VALUE"""),1)</f>
        <v>1</v>
      </c>
      <c r="J3081" s="8">
        <f ca="1">IFERROR(__xludf.DUMMYFUNCTION("""COMPUTED_VALUE"""),0)</f>
        <v>0</v>
      </c>
      <c r="K3081" s="8" t="str">
        <f ca="1">IFERROR(__xludf.DUMMYFUNCTION("""COMPUTED_VALUE"""),"https://www.newspapers.com/image/30006556/?terms=teacher%2Bshot%2Bhouston; https://www.newspapers.com/image/156720742/?terms=TEACHER%2BSHOT%2BBY%2BIRATE%2BSTUDENT")</f>
        <v>https://www.newspapers.com/image/30006556/?terms=teacher%2Bshot%2Bhouston; https://www.newspapers.com/image/156720742/?terms=TEACHER%2BSHOT%2BBY%2BIRATE%2BSTUDENT</v>
      </c>
      <c r="L3081" s="8"/>
      <c r="M3081" s="8"/>
      <c r="N3081" s="8">
        <f ca="1">IFERROR(__xludf.DUMMYFUNCTION("""COMPUTED_VALUE"""),3)</f>
        <v>3</v>
      </c>
      <c r="O3081" s="8" t="str">
        <f ca="1">IFERROR(__xludf.DUMMYFUNCTION("""COMPUTED_VALUE"""),"Fall")</f>
        <v>Fall</v>
      </c>
      <c r="P3081" s="8" t="str">
        <f ca="1">IFERROR(__xludf.DUMMYFUNCTION("""COMPUTED_VALUE"""),"Houston")</f>
        <v>Houston</v>
      </c>
      <c r="Q3081" s="8" t="str">
        <f ca="1">IFERROR(__xludf.DUMMYFUNCTION("""COMPUTED_VALUE"""),"TX")</f>
        <v>TX</v>
      </c>
      <c r="R3081" s="8" t="str">
        <f ca="1">IFERROR(__xludf.DUMMYFUNCTION("""COMPUTED_VALUE"""),"Junior High")</f>
        <v>Junior High</v>
      </c>
      <c r="S3081" s="8" t="str">
        <f ca="1">IFERROR(__xludf.DUMMYFUNCTION("""COMPUTED_VALUE"""),"Hallway")</f>
        <v>Hallway</v>
      </c>
      <c r="T3081" s="8" t="str">
        <f ca="1">IFERROR(__xludf.DUMMYFUNCTION("""COMPUTED_VALUE"""),"Inside School Building")</f>
        <v>Inside School Building</v>
      </c>
      <c r="U3081" s="8" t="str">
        <f ca="1">IFERROR(__xludf.DUMMYFUNCTION("""COMPUTED_VALUE"""),"Yes")</f>
        <v>Yes</v>
      </c>
      <c r="V3081" s="8" t="str">
        <f ca="1">IFERROR(__xludf.DUMMYFUNCTION("""COMPUTED_VALUE"""),"Morning Classes")</f>
        <v>Morning Classes</v>
      </c>
      <c r="W3081" s="11">
        <f ca="1">IFERROR(__xludf.DUMMYFUNCTION("""COMPUTED_VALUE"""),0.5)</f>
        <v>0.5</v>
      </c>
      <c r="X3081" s="8">
        <f ca="1">IFERROR(__xludf.DUMMYFUNCTION("""COMPUTED_VALUE"""),1)</f>
        <v>1</v>
      </c>
      <c r="Y3081" s="12" t="str">
        <f ca="1">IFERROR(__xludf.DUMMYFUNCTION("""COMPUTED_VALUE"""),"Student shot teacher after being disciplined for slamming door.")</f>
        <v>Student shot teacher after being disciplined for slamming door.</v>
      </c>
      <c r="Z3081" s="12" t="str">
        <f ca="1">IFERROR(__xludf.DUMMYFUNCTION("""COMPUTED_VALUE"""),"Student shot teacher in stomach after teacher disciplined student for slamming door. Student then went home, got gun and came back to school where he confronted teacher outside classroom and shot him. Student stated reason he shot teacher, ""he grabbed me"&amp;" and threw me on ground.""")</f>
        <v>Student shot teacher in stomach after teacher disciplined student for slamming door. Student then went home, got gun and came back to school where he confronted teacher outside classroom and shot him. Student stated reason he shot teacher, "he grabbed me and threw me on ground."</v>
      </c>
      <c r="AA3081" s="8" t="str">
        <f ca="1">IFERROR(__xludf.DUMMYFUNCTION("""COMPUTED_VALUE"""),"Anger Over Grade/Suspension/Discipline")</f>
        <v>Anger Over Grade/Suspension/Discipline</v>
      </c>
      <c r="AB3081" s="8"/>
      <c r="AC3081" s="8"/>
      <c r="AD3081" s="8" t="str">
        <f ca="1">IFERROR(__xludf.DUMMYFUNCTION("""COMPUTED_VALUE"""),"Victims Targeted")</f>
        <v>Victims Targeted</v>
      </c>
      <c r="AE3081" s="8" t="str">
        <f ca="1">IFERROR(__xludf.DUMMYFUNCTION("""COMPUTED_VALUE"""),"No")</f>
        <v>No</v>
      </c>
      <c r="AF3081" s="8"/>
      <c r="AG3081" s="8" t="str">
        <f ca="1">IFERROR(__xludf.DUMMYFUNCTION("""COMPUTED_VALUE"""),"No")</f>
        <v>No</v>
      </c>
      <c r="AH3081" s="8" t="str">
        <f ca="1">IFERROR(__xludf.DUMMYFUNCTION("""COMPUTED_VALUE"""),"No")</f>
        <v>No</v>
      </c>
      <c r="AI3081" s="8" t="str">
        <f ca="1">IFERROR(__xludf.DUMMYFUNCTION("""COMPUTED_VALUE"""),"No")</f>
        <v>No</v>
      </c>
      <c r="AJ3081" s="8" t="str">
        <f ca="1">IFERROR(__xludf.DUMMYFUNCTION("""COMPUTED_VALUE"""),"No")</f>
        <v>No</v>
      </c>
      <c r="AK3081" s="8" t="str">
        <f ca="1">IFERROR(__xludf.DUMMYFUNCTION("""COMPUTED_VALUE"""),"No")</f>
        <v>No</v>
      </c>
      <c r="AL3081" s="8" t="str">
        <f ca="1">IFERROR(__xludf.DUMMYFUNCTION("""COMPUTED_VALUE"""),"No")</f>
        <v>No</v>
      </c>
      <c r="AM3081" s="8"/>
      <c r="AN3081" s="8"/>
      <c r="AO3081" s="8" t="str">
        <f ca="1">IFERROR(__xludf.DUMMYFUNCTION("""COMPUTED_VALUE"""),"No")</f>
        <v>No</v>
      </c>
      <c r="AP3081" s="8"/>
      <c r="AQ3081" s="8" t="str">
        <f ca="1">IFERROR(__xludf.DUMMYFUNCTION("""COMPUTED_VALUE"""),"Unknown")</f>
        <v>Unknown</v>
      </c>
      <c r="AR3081" s="8" t="str">
        <f ca="1">IFERROR(__xludf.DUMMYFUNCTION("""COMPUTED_VALUE"""),"NA")</f>
        <v>NA</v>
      </c>
      <c r="AS3081" s="8" t="str">
        <f ca="1">IFERROR(__xludf.DUMMYFUNCTION("""COMPUTED_VALUE"""),"&lt;10")</f>
        <v>&lt;10</v>
      </c>
      <c r="AT3081" s="8"/>
      <c r="AU3081" s="8">
        <f ca="1">IFERROR(__xludf.DUMMYFUNCTION("""COMPUTED_VALUE"""),29.812189)</f>
        <v>29.812189</v>
      </c>
      <c r="AV3081" s="8">
        <f ca="1">IFERROR(__xludf.DUMMYFUNCTION("""COMPUTED_VALUE"""),-95.330081)</f>
        <v>-95.330081000000007</v>
      </c>
      <c r="AW3081" s="8"/>
      <c r="AX3081" s="8">
        <f ca="1">IFERROR(__xludf.DUMMYFUNCTION("""COMPUTED_VALUE"""),77026)</f>
        <v>77026</v>
      </c>
    </row>
    <row r="3082" spans="1:50" ht="45" x14ac:dyDescent="0.2">
      <c r="A3082" s="8" t="str">
        <f ca="1">IFERROR(__xludf.DUMMYFUNCTION("""COMPUTED_VALUE"""),"19720505INDEI")</f>
        <v>19720505INDEI</v>
      </c>
      <c r="B3082" s="8">
        <f ca="1">IFERROR(__xludf.DUMMYFUNCTION("""COMPUTED_VALUE"""),5)</f>
        <v>5</v>
      </c>
      <c r="C3082" s="8">
        <f ca="1">IFERROR(__xludf.DUMMYFUNCTION("""COMPUTED_VALUE"""),5)</f>
        <v>5</v>
      </c>
      <c r="D3082" s="8">
        <f ca="1">IFERROR(__xludf.DUMMYFUNCTION("""COMPUTED_VALUE"""),1972)</f>
        <v>1972</v>
      </c>
      <c r="E3082" s="9">
        <f ca="1">IFERROR(__xludf.DUMMYFUNCTION("""COMPUTED_VALUE"""),26424)</f>
        <v>26424</v>
      </c>
      <c r="F3082" s="8" t="str">
        <f ca="1">IFERROR(__xludf.DUMMYFUNCTION("""COMPUTED_VALUE"""),"Decatur Central High School")</f>
        <v>Decatur Central High School</v>
      </c>
      <c r="G3082" s="8">
        <f ca="1">IFERROR(__xludf.DUMMYFUNCTION("""COMPUTED_VALUE"""),1)</f>
        <v>1</v>
      </c>
      <c r="H3082" s="8">
        <f ca="1">IFERROR(__xludf.DUMMYFUNCTION("""COMPUTED_VALUE"""),0)</f>
        <v>0</v>
      </c>
      <c r="I3082" s="8">
        <f ca="1">IFERROR(__xludf.DUMMYFUNCTION("""COMPUTED_VALUE"""),1)</f>
        <v>1</v>
      </c>
      <c r="J3082" s="8">
        <f ca="1">IFERROR(__xludf.DUMMYFUNCTION("""COMPUTED_VALUE"""),0)</f>
        <v>0</v>
      </c>
      <c r="K3082" s="10" t="str">
        <f ca="1">IFERROR(__xludf.DUMMYFUNCTION("""COMPUTED_VALUE"""),"https://www.newspapers.com/image/105768941/")</f>
        <v>https://www.newspapers.com/image/105768941/</v>
      </c>
      <c r="L3082" s="8"/>
      <c r="M3082" s="8"/>
      <c r="N3082" s="8">
        <f ca="1">IFERROR(__xludf.DUMMYFUNCTION("""COMPUTED_VALUE"""),2)</f>
        <v>2</v>
      </c>
      <c r="O3082" s="8" t="str">
        <f ca="1">IFERROR(__xludf.DUMMYFUNCTION("""COMPUTED_VALUE"""),"Spring")</f>
        <v>Spring</v>
      </c>
      <c r="P3082" s="8" t="str">
        <f ca="1">IFERROR(__xludf.DUMMYFUNCTION("""COMPUTED_VALUE"""),"Indianapolis")</f>
        <v>Indianapolis</v>
      </c>
      <c r="Q3082" s="8" t="str">
        <f ca="1">IFERROR(__xludf.DUMMYFUNCTION("""COMPUTED_VALUE"""),"IN")</f>
        <v>IN</v>
      </c>
      <c r="R3082" s="8" t="str">
        <f ca="1">IFERROR(__xludf.DUMMYFUNCTION("""COMPUTED_VALUE"""),"High")</f>
        <v>High</v>
      </c>
      <c r="S3082" s="8" t="str">
        <f ca="1">IFERROR(__xludf.DUMMYFUNCTION("""COMPUTED_VALUE"""),"Field (General)")</f>
        <v>Field (General)</v>
      </c>
      <c r="T3082" s="8" t="str">
        <f ca="1">IFERROR(__xludf.DUMMYFUNCTION("""COMPUTED_VALUE"""),"Outside on School Property")</f>
        <v>Outside on School Property</v>
      </c>
      <c r="U3082" s="8" t="str">
        <f ca="1">IFERROR(__xludf.DUMMYFUNCTION("""COMPUTED_VALUE"""),"Yes")</f>
        <v>Yes</v>
      </c>
      <c r="V3082" s="8" t="str">
        <f ca="1">IFERROR(__xludf.DUMMYFUNCTION("""COMPUTED_VALUE"""),"Afternoon Classes")</f>
        <v>Afternoon Classes</v>
      </c>
      <c r="W3082" s="11">
        <f ca="1">IFERROR(__xludf.DUMMYFUNCTION("""COMPUTED_VALUE"""),0.5625)</f>
        <v>0.5625</v>
      </c>
      <c r="X3082" s="8">
        <f ca="1">IFERROR(__xludf.DUMMYFUNCTION("""COMPUTED_VALUE"""),1)</f>
        <v>1</v>
      </c>
      <c r="Y3082" s="12" t="str">
        <f ca="1">IFERROR(__xludf.DUMMYFUNCTION("""COMPUTED_VALUE"""),"Sister shot brother, declared to be insane")</f>
        <v>Sister shot brother, declared to be insane</v>
      </c>
      <c r="Z3082" s="12" t="str">
        <f ca="1">IFERROR(__xludf.DUMMYFUNCTION("""COMPUTED_VALUE"""),"Sister shot brother outside of school in front of 28 other students. Shot him once in the chest then put down the gun and laid in the grass. Declared insane during trial.")</f>
        <v>Sister shot brother outside of school in front of 28 other students. Shot him once in the chest then put down the gun and laid in the grass. Declared insane during trial.</v>
      </c>
      <c r="AA3082" s="8" t="str">
        <f ca="1">IFERROR(__xludf.DUMMYFUNCTION("""COMPUTED_VALUE"""),"Psychosis")</f>
        <v>Psychosis</v>
      </c>
      <c r="AB3082" s="8"/>
      <c r="AC3082" s="8"/>
      <c r="AD3082" s="8" t="str">
        <f ca="1">IFERROR(__xludf.DUMMYFUNCTION("""COMPUTED_VALUE"""),"Victims Targeted")</f>
        <v>Victims Targeted</v>
      </c>
      <c r="AE3082" s="8"/>
      <c r="AF3082" s="8"/>
      <c r="AG3082" s="8" t="str">
        <f ca="1">IFERROR(__xludf.DUMMYFUNCTION("""COMPUTED_VALUE"""),"No")</f>
        <v>No</v>
      </c>
      <c r="AH3082" s="8" t="str">
        <f ca="1">IFERROR(__xludf.DUMMYFUNCTION("""COMPUTED_VALUE"""),"No")</f>
        <v>No</v>
      </c>
      <c r="AI3082" s="8" t="str">
        <f ca="1">IFERROR(__xludf.DUMMYFUNCTION("""COMPUTED_VALUE"""),"No")</f>
        <v>No</v>
      </c>
      <c r="AJ3082" s="8" t="str">
        <f ca="1">IFERROR(__xludf.DUMMYFUNCTION("""COMPUTED_VALUE"""),"No")</f>
        <v>No</v>
      </c>
      <c r="AK3082" s="8" t="str">
        <f ca="1">IFERROR(__xludf.DUMMYFUNCTION("""COMPUTED_VALUE"""),"No")</f>
        <v>No</v>
      </c>
      <c r="AL3082" s="8" t="str">
        <f ca="1">IFERROR(__xludf.DUMMYFUNCTION("""COMPUTED_VALUE"""),"No")</f>
        <v>No</v>
      </c>
      <c r="AM3082" s="8"/>
      <c r="AN3082" s="8"/>
      <c r="AO3082" s="8" t="str">
        <f ca="1">IFERROR(__xludf.DUMMYFUNCTION("""COMPUTED_VALUE"""),"No")</f>
        <v>No</v>
      </c>
      <c r="AP3082" s="8"/>
      <c r="AQ3082" s="8" t="str">
        <f ca="1">IFERROR(__xludf.DUMMYFUNCTION("""COMPUTED_VALUE"""),"Unknown")</f>
        <v>Unknown</v>
      </c>
      <c r="AR3082" s="8" t="str">
        <f ca="1">IFERROR(__xludf.DUMMYFUNCTION("""COMPUTED_VALUE"""),"NA")</f>
        <v>NA</v>
      </c>
      <c r="AS3082" s="8">
        <f ca="1">IFERROR(__xludf.DUMMYFUNCTION("""COMPUTED_VALUE"""),1)</f>
        <v>1</v>
      </c>
      <c r="AT3082" s="8"/>
      <c r="AU3082" s="8">
        <f ca="1">IFERROR(__xludf.DUMMYFUNCTION("""COMPUTED_VALUE"""),39.687658)</f>
        <v>39.687657999999999</v>
      </c>
      <c r="AV3082" s="8">
        <f ca="1">IFERROR(__xludf.DUMMYFUNCTION("""COMPUTED_VALUE"""),-86.276871)</f>
        <v>-86.276871</v>
      </c>
      <c r="AW3082" s="8"/>
      <c r="AX3082" s="8">
        <f ca="1">IFERROR(__xludf.DUMMYFUNCTION("""COMPUTED_VALUE"""),46221)</f>
        <v>46221</v>
      </c>
    </row>
    <row r="3083" spans="1:50" ht="30" x14ac:dyDescent="0.2">
      <c r="A3083" s="8" t="str">
        <f ca="1">IFERROR(__xludf.DUMMYFUNCTION("""COMPUTED_VALUE"""),"19720504NVLIR")</f>
        <v>19720504NVLIR</v>
      </c>
      <c r="B3083" s="8">
        <f ca="1">IFERROR(__xludf.DUMMYFUNCTION("""COMPUTED_VALUE"""),5)</f>
        <v>5</v>
      </c>
      <c r="C3083" s="8">
        <f ca="1">IFERROR(__xludf.DUMMYFUNCTION("""COMPUTED_VALUE"""),4)</f>
        <v>4</v>
      </c>
      <c r="D3083" s="8">
        <f ca="1">IFERROR(__xludf.DUMMYFUNCTION("""COMPUTED_VALUE"""),1972)</f>
        <v>1972</v>
      </c>
      <c r="E3083" s="9">
        <f ca="1">IFERROR(__xludf.DUMMYFUNCTION("""COMPUTED_VALUE"""),26423)</f>
        <v>26423</v>
      </c>
      <c r="F3083" s="8" t="str">
        <f ca="1">IFERROR(__xludf.DUMMYFUNCTION("""COMPUTED_VALUE"""),"Libby Booth Elementary School")</f>
        <v>Libby Booth Elementary School</v>
      </c>
      <c r="G3083" s="8">
        <f ca="1">IFERROR(__xludf.DUMMYFUNCTION("""COMPUTED_VALUE"""),1)</f>
        <v>1</v>
      </c>
      <c r="H3083" s="8">
        <f ca="1">IFERROR(__xludf.DUMMYFUNCTION("""COMPUTED_VALUE"""),0)</f>
        <v>0</v>
      </c>
      <c r="I3083" s="8">
        <f ca="1">IFERROR(__xludf.DUMMYFUNCTION("""COMPUTED_VALUE"""),1)</f>
        <v>1</v>
      </c>
      <c r="J3083" s="8">
        <f ca="1">IFERROR(__xludf.DUMMYFUNCTION("""COMPUTED_VALUE"""),0)</f>
        <v>0</v>
      </c>
      <c r="K3083" s="10" t="str">
        <f ca="1">IFERROR(__xludf.DUMMYFUNCTION("""COMPUTED_VALUE"""),"https://www.newspapers.com/image/151050501/?terms=principal%2Bof%2BLibby%2BC.%2BBooth%2BElementary%2BSchool%2Bwho%2Bwas%2Bshot%2Bto%2Bdeath")</f>
        <v>https://www.newspapers.com/image/151050501/?terms=principal%2Bof%2BLibby%2BC.%2BBooth%2BElementary%2BSchool%2Bwho%2Bwas%2Bshot%2Bto%2Bdeath</v>
      </c>
      <c r="L3083" s="8"/>
      <c r="M3083" s="8"/>
      <c r="N3083" s="8">
        <f ca="1">IFERROR(__xludf.DUMMYFUNCTION("""COMPUTED_VALUE"""),2)</f>
        <v>2</v>
      </c>
      <c r="O3083" s="8" t="str">
        <f ca="1">IFERROR(__xludf.DUMMYFUNCTION("""COMPUTED_VALUE"""),"Spring")</f>
        <v>Spring</v>
      </c>
      <c r="P3083" s="8" t="str">
        <f ca="1">IFERROR(__xludf.DUMMYFUNCTION("""COMPUTED_VALUE"""),"Reno")</f>
        <v>Reno</v>
      </c>
      <c r="Q3083" s="8" t="str">
        <f ca="1">IFERROR(__xludf.DUMMYFUNCTION("""COMPUTED_VALUE"""),"NV")</f>
        <v>NV</v>
      </c>
      <c r="R3083" s="8" t="str">
        <f ca="1">IFERROR(__xludf.DUMMYFUNCTION("""COMPUTED_VALUE"""),"Elementary")</f>
        <v>Elementary</v>
      </c>
      <c r="S3083" s="8" t="str">
        <f ca="1">IFERROR(__xludf.DUMMYFUNCTION("""COMPUTED_VALUE"""),"Office")</f>
        <v>Office</v>
      </c>
      <c r="T3083" s="8" t="str">
        <f ca="1">IFERROR(__xludf.DUMMYFUNCTION("""COMPUTED_VALUE"""),"Inside School Building")</f>
        <v>Inside School Building</v>
      </c>
      <c r="U3083" s="8" t="str">
        <f ca="1">IFERROR(__xludf.DUMMYFUNCTION("""COMPUTED_VALUE"""),"Yes")</f>
        <v>Yes</v>
      </c>
      <c r="V3083" s="8" t="str">
        <f ca="1">IFERROR(__xludf.DUMMYFUNCTION("""COMPUTED_VALUE"""),"Lunch")</f>
        <v>Lunch</v>
      </c>
      <c r="W3083" s="11">
        <f ca="1">IFERROR(__xludf.DUMMYFUNCTION("""COMPUTED_VALUE"""),0.5)</f>
        <v>0.5</v>
      </c>
      <c r="X3083" s="8">
        <f ca="1">IFERROR(__xludf.DUMMYFUNCTION("""COMPUTED_VALUE"""),1)</f>
        <v>1</v>
      </c>
      <c r="Y3083" s="12" t="str">
        <f ca="1">IFERROR(__xludf.DUMMYFUNCTION("""COMPUTED_VALUE"""),"Principal killed by teacher")</f>
        <v>Principal killed by teacher</v>
      </c>
      <c r="Z3083" s="12" t="str">
        <f ca="1">IFERROR(__xludf.DUMMYFUNCTION("""COMPUTED_VALUE"""),"Principal killed by teacher in his office during discussion of personnel issues.")</f>
        <v>Principal killed by teacher in his office during discussion of personnel issues.</v>
      </c>
      <c r="AA3083" s="8" t="str">
        <f ca="1">IFERROR(__xludf.DUMMYFUNCTION("""COMPUTED_VALUE"""),"Anger Over Grade/Suspension/Discipline")</f>
        <v>Anger Over Grade/Suspension/Discipline</v>
      </c>
      <c r="AB3083" s="8"/>
      <c r="AC3083" s="8"/>
      <c r="AD3083" s="8" t="str">
        <f ca="1">IFERROR(__xludf.DUMMYFUNCTION("""COMPUTED_VALUE"""),"Victims Targeted")</f>
        <v>Victims Targeted</v>
      </c>
      <c r="AE3083" s="8" t="str">
        <f ca="1">IFERROR(__xludf.DUMMYFUNCTION("""COMPUTED_VALUE"""),"No")</f>
        <v>No</v>
      </c>
      <c r="AF3083" s="8"/>
      <c r="AG3083" s="8" t="str">
        <f ca="1">IFERROR(__xludf.DUMMYFUNCTION("""COMPUTED_VALUE"""),"No")</f>
        <v>No</v>
      </c>
      <c r="AH3083" s="8" t="str">
        <f ca="1">IFERROR(__xludf.DUMMYFUNCTION("""COMPUTED_VALUE"""),"No")</f>
        <v>No</v>
      </c>
      <c r="AI3083" s="8" t="str">
        <f ca="1">IFERROR(__xludf.DUMMYFUNCTION("""COMPUTED_VALUE"""),"No")</f>
        <v>No</v>
      </c>
      <c r="AJ3083" s="8" t="str">
        <f ca="1">IFERROR(__xludf.DUMMYFUNCTION("""COMPUTED_VALUE"""),"No")</f>
        <v>No</v>
      </c>
      <c r="AK3083" s="8" t="str">
        <f ca="1">IFERROR(__xludf.DUMMYFUNCTION("""COMPUTED_VALUE"""),"No")</f>
        <v>No</v>
      </c>
      <c r="AL3083" s="8" t="str">
        <f ca="1">IFERROR(__xludf.DUMMYFUNCTION("""COMPUTED_VALUE"""),"No")</f>
        <v>No</v>
      </c>
      <c r="AM3083" s="8"/>
      <c r="AN3083" s="8"/>
      <c r="AO3083" s="8" t="str">
        <f ca="1">IFERROR(__xludf.DUMMYFUNCTION("""COMPUTED_VALUE"""),"No")</f>
        <v>No</v>
      </c>
      <c r="AP3083" s="8"/>
      <c r="AQ3083" s="8" t="str">
        <f ca="1">IFERROR(__xludf.DUMMYFUNCTION("""COMPUTED_VALUE"""),"Unknown")</f>
        <v>Unknown</v>
      </c>
      <c r="AR3083" s="8" t="str">
        <f ca="1">IFERROR(__xludf.DUMMYFUNCTION("""COMPUTED_VALUE"""),"NA")</f>
        <v>NA</v>
      </c>
      <c r="AS3083" s="8">
        <f ca="1">IFERROR(__xludf.DUMMYFUNCTION("""COMPUTED_VALUE"""),3)</f>
        <v>3</v>
      </c>
      <c r="AT3083" s="8"/>
      <c r="AU3083" s="8">
        <f ca="1">IFERROR(__xludf.DUMMYFUNCTION("""COMPUTED_VALUE"""),39.520624)</f>
        <v>39.520623999999998</v>
      </c>
      <c r="AV3083" s="8">
        <f ca="1">IFERROR(__xludf.DUMMYFUNCTION("""COMPUTED_VALUE"""),-119.79454)</f>
        <v>-119.79454</v>
      </c>
      <c r="AW3083" s="8"/>
      <c r="AX3083" s="8">
        <f ca="1">IFERROR(__xludf.DUMMYFUNCTION("""COMPUTED_VALUE"""),89505)</f>
        <v>89505</v>
      </c>
    </row>
    <row r="3084" spans="1:50" ht="60" x14ac:dyDescent="0.2">
      <c r="A3084" s="8" t="str">
        <f ca="1">IFERROR(__xludf.DUMMYFUNCTION("""COMPUTED_VALUE"""),"19720412LAEAG")</f>
        <v>19720412LAEAG</v>
      </c>
      <c r="B3084" s="8">
        <f ca="1">IFERROR(__xludf.DUMMYFUNCTION("""COMPUTED_VALUE"""),4)</f>
        <v>4</v>
      </c>
      <c r="C3084" s="8">
        <f ca="1">IFERROR(__xludf.DUMMYFUNCTION("""COMPUTED_VALUE"""),12)</f>
        <v>12</v>
      </c>
      <c r="D3084" s="8">
        <f ca="1">IFERROR(__xludf.DUMMYFUNCTION("""COMPUTED_VALUE"""),1972)</f>
        <v>1972</v>
      </c>
      <c r="E3084" s="9">
        <f ca="1">IFERROR(__xludf.DUMMYFUNCTION("""COMPUTED_VALUE"""),26401)</f>
        <v>26401</v>
      </c>
      <c r="F3084" s="8" t="str">
        <f ca="1">IFERROR(__xludf.DUMMYFUNCTION("""COMPUTED_VALUE"""),"East Ascension Junior High")</f>
        <v>East Ascension Junior High</v>
      </c>
      <c r="G3084" s="8">
        <f ca="1">IFERROR(__xludf.DUMMYFUNCTION("""COMPUTED_VALUE"""),0)</f>
        <v>0</v>
      </c>
      <c r="H3084" s="8">
        <f ca="1">IFERROR(__xludf.DUMMYFUNCTION("""COMPUTED_VALUE"""),1)</f>
        <v>1</v>
      </c>
      <c r="I3084" s="8">
        <f ca="1">IFERROR(__xludf.DUMMYFUNCTION("""COMPUTED_VALUE"""),1)</f>
        <v>1</v>
      </c>
      <c r="J3084" s="8">
        <f ca="1">IFERROR(__xludf.DUMMYFUNCTION("""COMPUTED_VALUE"""),1)</f>
        <v>1</v>
      </c>
      <c r="K3084" s="10" t="str">
        <f ca="1">IFERROR(__xludf.DUMMYFUNCTION("""COMPUTED_VALUE"""),"https://www.newspapers.com/image/227849615/?terms=husband%2Bkills%2Bteacher")</f>
        <v>https://www.newspapers.com/image/227849615/?terms=husband%2Bkills%2Bteacher</v>
      </c>
      <c r="L3084" s="8"/>
      <c r="M3084" s="8"/>
      <c r="N3084" s="8">
        <f ca="1">IFERROR(__xludf.DUMMYFUNCTION("""COMPUTED_VALUE"""),2)</f>
        <v>2</v>
      </c>
      <c r="O3084" s="8" t="str">
        <f ca="1">IFERROR(__xludf.DUMMYFUNCTION("""COMPUTED_VALUE"""),"Spring")</f>
        <v>Spring</v>
      </c>
      <c r="P3084" s="8" t="str">
        <f ca="1">IFERROR(__xludf.DUMMYFUNCTION("""COMPUTED_VALUE"""),"Gonzales")</f>
        <v>Gonzales</v>
      </c>
      <c r="Q3084" s="8" t="str">
        <f ca="1">IFERROR(__xludf.DUMMYFUNCTION("""COMPUTED_VALUE"""),"LA")</f>
        <v>LA</v>
      </c>
      <c r="R3084" s="8" t="str">
        <f ca="1">IFERROR(__xludf.DUMMYFUNCTION("""COMPUTED_VALUE"""),"Junior High")</f>
        <v>Junior High</v>
      </c>
      <c r="S3084" s="8" t="str">
        <f ca="1">IFERROR(__xludf.DUMMYFUNCTION("""COMPUTED_VALUE"""),"Inside School Building")</f>
        <v>Inside School Building</v>
      </c>
      <c r="T3084" s="8" t="str">
        <f ca="1">IFERROR(__xludf.DUMMYFUNCTION("""COMPUTED_VALUE"""),"Inside School Building")</f>
        <v>Inside School Building</v>
      </c>
      <c r="U3084" s="8" t="str">
        <f ca="1">IFERROR(__xludf.DUMMYFUNCTION("""COMPUTED_VALUE"""),"Yes")</f>
        <v>Yes</v>
      </c>
      <c r="V3084" s="8" t="str">
        <f ca="1">IFERROR(__xludf.DUMMYFUNCTION("""COMPUTED_VALUE"""),"After School")</f>
        <v>After School</v>
      </c>
      <c r="W3084" s="8"/>
      <c r="X3084" s="8">
        <f ca="1">IFERROR(__xludf.DUMMYFUNCTION("""COMPUTED_VALUE"""),1)</f>
        <v>1</v>
      </c>
      <c r="Y3084" s="12" t="str">
        <f ca="1">IFERROR(__xludf.DUMMYFUNCTION("""COMPUTED_VALUE"""),"Domestic, shot wife who was teacher then shoots, kills himself")</f>
        <v>Domestic, shot wife who was teacher then shoots, kills himself</v>
      </c>
      <c r="Z3084" s="12" t="str">
        <f ca="1">IFERROR(__xludf.DUMMYFUNCTION("""COMPUTED_VALUE"""),"Husband entered school and shot wife. Shooter then turned the gun on himself and commit suicide. Wife survived.")</f>
        <v>Husband entered school and shot wife. Shooter then turned the gun on himself and commit suicide. Wife survived.</v>
      </c>
      <c r="AA3084" s="8" t="str">
        <f ca="1">IFERROR(__xludf.DUMMYFUNCTION("""COMPUTED_VALUE"""),"Domestic w/ Targeted Victim")</f>
        <v>Domestic w/ Targeted Victim</v>
      </c>
      <c r="AB3084" s="8"/>
      <c r="AC3084" s="8"/>
      <c r="AD3084" s="8" t="str">
        <f ca="1">IFERROR(__xludf.DUMMYFUNCTION("""COMPUTED_VALUE"""),"Victims Targeted")</f>
        <v>Victims Targeted</v>
      </c>
      <c r="AE3084" s="8" t="str">
        <f ca="1">IFERROR(__xludf.DUMMYFUNCTION("""COMPUTED_VALUE"""),"No")</f>
        <v>No</v>
      </c>
      <c r="AF3084" s="8"/>
      <c r="AG3084" s="8" t="str">
        <f ca="1">IFERROR(__xludf.DUMMYFUNCTION("""COMPUTED_VALUE"""),"No")</f>
        <v>No</v>
      </c>
      <c r="AH3084" s="8" t="str">
        <f ca="1">IFERROR(__xludf.DUMMYFUNCTION("""COMPUTED_VALUE"""),"No")</f>
        <v>No</v>
      </c>
      <c r="AI3084" s="8" t="str">
        <f ca="1">IFERROR(__xludf.DUMMYFUNCTION("""COMPUTED_VALUE"""),"No")</f>
        <v>No</v>
      </c>
      <c r="AJ3084" s="8" t="str">
        <f ca="1">IFERROR(__xludf.DUMMYFUNCTION("""COMPUTED_VALUE"""),"No")</f>
        <v>No</v>
      </c>
      <c r="AK3084" s="8" t="str">
        <f ca="1">IFERROR(__xludf.DUMMYFUNCTION("""COMPUTED_VALUE"""),"Yes")</f>
        <v>Yes</v>
      </c>
      <c r="AL3084" s="8" t="str">
        <f ca="1">IFERROR(__xludf.DUMMYFUNCTION("""COMPUTED_VALUE"""),"No")</f>
        <v>No</v>
      </c>
      <c r="AM3084" s="8"/>
      <c r="AN3084" s="8"/>
      <c r="AO3084" s="8" t="str">
        <f ca="1">IFERROR(__xludf.DUMMYFUNCTION("""COMPUTED_VALUE"""),"No")</f>
        <v>No</v>
      </c>
      <c r="AP3084" s="8"/>
      <c r="AQ3084" s="8" t="str">
        <f ca="1">IFERROR(__xludf.DUMMYFUNCTION("""COMPUTED_VALUE"""),"Unknown")</f>
        <v>Unknown</v>
      </c>
      <c r="AR3084" s="8" t="str">
        <f ca="1">IFERROR(__xludf.DUMMYFUNCTION("""COMPUTED_VALUE"""),"NA")</f>
        <v>NA</v>
      </c>
      <c r="AS3084" s="8">
        <f ca="1">IFERROR(__xludf.DUMMYFUNCTION("""COMPUTED_VALUE"""),2)</f>
        <v>2</v>
      </c>
      <c r="AT3084" s="8"/>
      <c r="AU3084" s="8">
        <f ca="1">IFERROR(__xludf.DUMMYFUNCTION("""COMPUTED_VALUE"""),30.227855)</f>
        <v>30.227855000000002</v>
      </c>
      <c r="AV3084" s="8">
        <f ca="1">IFERROR(__xludf.DUMMYFUNCTION("""COMPUTED_VALUE"""),-90.915309)</f>
        <v>-90.915308999999993</v>
      </c>
      <c r="AW3084" s="8"/>
      <c r="AX3084" s="8">
        <f ca="1">IFERROR(__xludf.DUMMYFUNCTION("""COMPUTED_VALUE"""),70737)</f>
        <v>70737</v>
      </c>
    </row>
    <row r="3085" spans="1:50" ht="45" x14ac:dyDescent="0.2">
      <c r="A3085" s="8" t="str">
        <f ca="1">IFERROR(__xludf.DUMMYFUNCTION("""COMPUTED_VALUE"""),"19720313TXUNH")</f>
        <v>19720313TXUNH</v>
      </c>
      <c r="B3085" s="8">
        <f ca="1">IFERROR(__xludf.DUMMYFUNCTION("""COMPUTED_VALUE"""),3)</f>
        <v>3</v>
      </c>
      <c r="C3085" s="8">
        <f ca="1">IFERROR(__xludf.DUMMYFUNCTION("""COMPUTED_VALUE"""),13)</f>
        <v>13</v>
      </c>
      <c r="D3085" s="8">
        <f ca="1">IFERROR(__xludf.DUMMYFUNCTION("""COMPUTED_VALUE"""),1972)</f>
        <v>1972</v>
      </c>
      <c r="E3085" s="9">
        <f ca="1">IFERROR(__xludf.DUMMYFUNCTION("""COMPUTED_VALUE"""),26371)</f>
        <v>26371</v>
      </c>
      <c r="F3085" s="8" t="str">
        <f ca="1">IFERROR(__xludf.DUMMYFUNCTION("""COMPUTED_VALUE"""),"Unnamed Junior High School")</f>
        <v>Unnamed Junior High School</v>
      </c>
      <c r="G3085" s="8">
        <f ca="1">IFERROR(__xludf.DUMMYFUNCTION("""COMPUTED_VALUE"""),0)</f>
        <v>0</v>
      </c>
      <c r="H3085" s="8">
        <f ca="1">IFERROR(__xludf.DUMMYFUNCTION("""COMPUTED_VALUE"""),1)</f>
        <v>1</v>
      </c>
      <c r="I3085" s="8">
        <f ca="1">IFERROR(__xludf.DUMMYFUNCTION("""COMPUTED_VALUE"""),1)</f>
        <v>1</v>
      </c>
      <c r="J3085" s="8">
        <f ca="1">IFERROR(__xludf.DUMMYFUNCTION("""COMPUTED_VALUE"""),0)</f>
        <v>0</v>
      </c>
      <c r="K3085" s="10" t="str">
        <f ca="1">IFERROR(__xludf.DUMMYFUNCTION("""COMPUTED_VALUE"""),"https://www.newspapers.com/image/6263611/?terms=school%2Bshooting")</f>
        <v>https://www.newspapers.com/image/6263611/?terms=school%2Bshooting</v>
      </c>
      <c r="L3085" s="8"/>
      <c r="M3085" s="8"/>
      <c r="N3085" s="8">
        <f ca="1">IFERROR(__xludf.DUMMYFUNCTION("""COMPUTED_VALUE"""),2)</f>
        <v>2</v>
      </c>
      <c r="O3085" s="8" t="str">
        <f ca="1">IFERROR(__xludf.DUMMYFUNCTION("""COMPUTED_VALUE"""),"Spring")</f>
        <v>Spring</v>
      </c>
      <c r="P3085" s="8" t="str">
        <f ca="1">IFERROR(__xludf.DUMMYFUNCTION("""COMPUTED_VALUE"""),"Houston")</f>
        <v>Houston</v>
      </c>
      <c r="Q3085" s="8" t="str">
        <f ca="1">IFERROR(__xludf.DUMMYFUNCTION("""COMPUTED_VALUE"""),"TX")</f>
        <v>TX</v>
      </c>
      <c r="R3085" s="8" t="str">
        <f ca="1">IFERROR(__xludf.DUMMYFUNCTION("""COMPUTED_VALUE"""),"Junior High")</f>
        <v>Junior High</v>
      </c>
      <c r="S3085" s="8" t="str">
        <f ca="1">IFERROR(__xludf.DUMMYFUNCTION("""COMPUTED_VALUE"""),"Classroom")</f>
        <v>Classroom</v>
      </c>
      <c r="T3085" s="8" t="str">
        <f ca="1">IFERROR(__xludf.DUMMYFUNCTION("""COMPUTED_VALUE"""),"Inside School Building")</f>
        <v>Inside School Building</v>
      </c>
      <c r="U3085" s="8" t="str">
        <f ca="1">IFERROR(__xludf.DUMMYFUNCTION("""COMPUTED_VALUE"""),"Yes")</f>
        <v>Yes</v>
      </c>
      <c r="V3085" s="8"/>
      <c r="W3085" s="8"/>
      <c r="X3085" s="8">
        <f ca="1">IFERROR(__xludf.DUMMYFUNCTION("""COMPUTED_VALUE"""),1)</f>
        <v>1</v>
      </c>
      <c r="Y3085" s="12" t="str">
        <f ca="1">IFERROR(__xludf.DUMMYFUNCTION("""COMPUTED_VALUE"""),"Pistol discharged while showing it off in classroom")</f>
        <v>Pistol discharged while showing it off in classroom</v>
      </c>
      <c r="Z3085" s="12" t="str">
        <f ca="1">IFERROR(__xludf.DUMMYFUNCTION("""COMPUTED_VALUE"""),"15 year-old male was showing off pistol to group of 25 students in crowded classroom. Gun accidentally discharged injuring another student.")</f>
        <v>15 year-old male was showing off pistol to group of 25 students in crowded classroom. Gun accidentally discharged injuring another student.</v>
      </c>
      <c r="AA3085" s="8" t="str">
        <f ca="1">IFERROR(__xludf.DUMMYFUNCTION("""COMPUTED_VALUE"""),"Accidental")</f>
        <v>Accidental</v>
      </c>
      <c r="AB3085" s="8"/>
      <c r="AC3085" s="8"/>
      <c r="AD3085" s="8" t="str">
        <f ca="1">IFERROR(__xludf.DUMMYFUNCTION("""COMPUTED_VALUE"""),"Neither")</f>
        <v>Neither</v>
      </c>
      <c r="AE3085" s="8" t="str">
        <f ca="1">IFERROR(__xludf.DUMMYFUNCTION("""COMPUTED_VALUE"""),"No")</f>
        <v>No</v>
      </c>
      <c r="AF3085" s="8"/>
      <c r="AG3085" s="8" t="str">
        <f ca="1">IFERROR(__xludf.DUMMYFUNCTION("""COMPUTED_VALUE"""),"No")</f>
        <v>No</v>
      </c>
      <c r="AH3085" s="8" t="str">
        <f ca="1">IFERROR(__xludf.DUMMYFUNCTION("""COMPUTED_VALUE"""),"No")</f>
        <v>No</v>
      </c>
      <c r="AI3085" s="8" t="str">
        <f ca="1">IFERROR(__xludf.DUMMYFUNCTION("""COMPUTED_VALUE"""),"No")</f>
        <v>No</v>
      </c>
      <c r="AJ3085" s="8" t="str">
        <f ca="1">IFERROR(__xludf.DUMMYFUNCTION("""COMPUTED_VALUE"""),"No")</f>
        <v>No</v>
      </c>
      <c r="AK3085" s="8" t="str">
        <f ca="1">IFERROR(__xludf.DUMMYFUNCTION("""COMPUTED_VALUE"""),"No")</f>
        <v>No</v>
      </c>
      <c r="AL3085" s="8" t="str">
        <f ca="1">IFERROR(__xludf.DUMMYFUNCTION("""COMPUTED_VALUE"""),"No")</f>
        <v>No</v>
      </c>
      <c r="AM3085" s="8"/>
      <c r="AN3085" s="8"/>
      <c r="AO3085" s="8" t="str">
        <f ca="1">IFERROR(__xludf.DUMMYFUNCTION("""COMPUTED_VALUE"""),"No")</f>
        <v>No</v>
      </c>
      <c r="AP3085" s="8"/>
      <c r="AQ3085" s="8" t="str">
        <f ca="1">IFERROR(__xludf.DUMMYFUNCTION("""COMPUTED_VALUE"""),"Unknown")</f>
        <v>Unknown</v>
      </c>
      <c r="AR3085" s="8" t="str">
        <f ca="1">IFERROR(__xludf.DUMMYFUNCTION("""COMPUTED_VALUE"""),"NA")</f>
        <v>NA</v>
      </c>
      <c r="AS3085" s="8">
        <f ca="1">IFERROR(__xludf.DUMMYFUNCTION("""COMPUTED_VALUE"""),1)</f>
        <v>1</v>
      </c>
      <c r="AT3085" s="8"/>
      <c r="AU3085" s="8">
        <f ca="1">IFERROR(__xludf.DUMMYFUNCTION("""COMPUTED_VALUE"""),29.7604267)</f>
        <v>29.7604267</v>
      </c>
      <c r="AV3085" s="8">
        <f ca="1">IFERROR(__xludf.DUMMYFUNCTION("""COMPUTED_VALUE"""),-95.3698028)</f>
        <v>-95.369802800000002</v>
      </c>
      <c r="AW3085" s="8"/>
      <c r="AX3085" s="8">
        <f ca="1">IFERROR(__xludf.DUMMYFUNCTION("""COMPUTED_VALUE"""),77002)</f>
        <v>77002</v>
      </c>
    </row>
    <row r="3086" spans="1:50" ht="60" x14ac:dyDescent="0.2">
      <c r="A3086" s="8" t="str">
        <f ca="1">IFERROR(__xludf.DUMMYFUNCTION("""COMPUTED_VALUE"""),"19720228CAMAL")</f>
        <v>19720228CAMAL</v>
      </c>
      <c r="B3086" s="8">
        <f ca="1">IFERROR(__xludf.DUMMYFUNCTION("""COMPUTED_VALUE"""),2)</f>
        <v>2</v>
      </c>
      <c r="C3086" s="8">
        <f ca="1">IFERROR(__xludf.DUMMYFUNCTION("""COMPUTED_VALUE"""),28)</f>
        <v>28</v>
      </c>
      <c r="D3086" s="8">
        <f ca="1">IFERROR(__xludf.DUMMYFUNCTION("""COMPUTED_VALUE"""),1972)</f>
        <v>1972</v>
      </c>
      <c r="E3086" s="9">
        <f ca="1">IFERROR(__xludf.DUMMYFUNCTION("""COMPUTED_VALUE"""),26357)</f>
        <v>26357</v>
      </c>
      <c r="F3086" s="8" t="str">
        <f ca="1">IFERROR(__xludf.DUMMYFUNCTION("""COMPUTED_VALUE"""),"Markham Junior High School")</f>
        <v>Markham Junior High School</v>
      </c>
      <c r="G3086" s="8">
        <f ca="1">IFERROR(__xludf.DUMMYFUNCTION("""COMPUTED_VALUE"""),0)</f>
        <v>0</v>
      </c>
      <c r="H3086" s="8">
        <f ca="1">IFERROR(__xludf.DUMMYFUNCTION("""COMPUTED_VALUE"""),1)</f>
        <v>1</v>
      </c>
      <c r="I3086" s="8">
        <f ca="1">IFERROR(__xludf.DUMMYFUNCTION("""COMPUTED_VALUE"""),1)</f>
        <v>1</v>
      </c>
      <c r="J3086" s="8">
        <f ca="1">IFERROR(__xludf.DUMMYFUNCTION("""COMPUTED_VALUE"""),0)</f>
        <v>0</v>
      </c>
      <c r="K3086" s="10" t="str">
        <f ca="1">IFERROR(__xludf.DUMMYFUNCTION("""COMPUTED_VALUE"""),"https://www.newspapers.com/image/238598927/?terms=school%2Bshooting")</f>
        <v>https://www.newspapers.com/image/238598927/?terms=school%2Bshooting</v>
      </c>
      <c r="L3086" s="8"/>
      <c r="M3086" s="8"/>
      <c r="N3086" s="8">
        <f ca="1">IFERROR(__xludf.DUMMYFUNCTION("""COMPUTED_VALUE"""),2)</f>
        <v>2</v>
      </c>
      <c r="O3086" s="8" t="str">
        <f ca="1">IFERROR(__xludf.DUMMYFUNCTION("""COMPUTED_VALUE"""),"Winter")</f>
        <v>Winter</v>
      </c>
      <c r="P3086" s="8" t="str">
        <f ca="1">IFERROR(__xludf.DUMMYFUNCTION("""COMPUTED_VALUE"""),"Los Angeles")</f>
        <v>Los Angeles</v>
      </c>
      <c r="Q3086" s="8" t="str">
        <f ca="1">IFERROR(__xludf.DUMMYFUNCTION("""COMPUTED_VALUE"""),"CA")</f>
        <v>CA</v>
      </c>
      <c r="R3086" s="8" t="str">
        <f ca="1">IFERROR(__xludf.DUMMYFUNCTION("""COMPUTED_VALUE"""),"Junior High")</f>
        <v>Junior High</v>
      </c>
      <c r="S3086" s="8" t="str">
        <f ca="1">IFERROR(__xludf.DUMMYFUNCTION("""COMPUTED_VALUE"""),"Inside School Building")</f>
        <v>Inside School Building</v>
      </c>
      <c r="T3086" s="8" t="str">
        <f ca="1">IFERROR(__xludf.DUMMYFUNCTION("""COMPUTED_VALUE"""),"Inside School Building")</f>
        <v>Inside School Building</v>
      </c>
      <c r="U3086" s="8" t="str">
        <f ca="1">IFERROR(__xludf.DUMMYFUNCTION("""COMPUTED_VALUE"""),"Yes")</f>
        <v>Yes</v>
      </c>
      <c r="V3086" s="8"/>
      <c r="W3086" s="8"/>
      <c r="X3086" s="8">
        <f ca="1">IFERROR(__xludf.DUMMYFUNCTION("""COMPUTED_VALUE"""),1)</f>
        <v>1</v>
      </c>
      <c r="Y3086" s="12" t="str">
        <f ca="1">IFERROR(__xludf.DUMMYFUNCTION("""COMPUTED_VALUE"""),"Showing off gun and it accidental discharged striking other student")</f>
        <v>Showing off gun and it accidental discharged striking other student</v>
      </c>
      <c r="Z3086" s="12" t="str">
        <f ca="1">IFERROR(__xludf.DUMMYFUNCTION("""COMPUTED_VALUE"""),"14 year-old male was showing off pistol when it accidentally discharged striking another student.")</f>
        <v>14 year-old male was showing off pistol when it accidentally discharged striking another student.</v>
      </c>
      <c r="AA3086" s="8" t="str">
        <f ca="1">IFERROR(__xludf.DUMMYFUNCTION("""COMPUTED_VALUE"""),"Accidental")</f>
        <v>Accidental</v>
      </c>
      <c r="AB3086" s="8"/>
      <c r="AC3086" s="8"/>
      <c r="AD3086" s="8" t="str">
        <f ca="1">IFERROR(__xludf.DUMMYFUNCTION("""COMPUTED_VALUE"""),"Random Shooting")</f>
        <v>Random Shooting</v>
      </c>
      <c r="AE3086" s="8" t="str">
        <f ca="1">IFERROR(__xludf.DUMMYFUNCTION("""COMPUTED_VALUE"""),"No")</f>
        <v>No</v>
      </c>
      <c r="AF3086" s="8"/>
      <c r="AG3086" s="8" t="str">
        <f ca="1">IFERROR(__xludf.DUMMYFUNCTION("""COMPUTED_VALUE"""),"No")</f>
        <v>No</v>
      </c>
      <c r="AH3086" s="8" t="str">
        <f ca="1">IFERROR(__xludf.DUMMYFUNCTION("""COMPUTED_VALUE"""),"No")</f>
        <v>No</v>
      </c>
      <c r="AI3086" s="8" t="str">
        <f ca="1">IFERROR(__xludf.DUMMYFUNCTION("""COMPUTED_VALUE"""),"No")</f>
        <v>No</v>
      </c>
      <c r="AJ3086" s="8" t="str">
        <f ca="1">IFERROR(__xludf.DUMMYFUNCTION("""COMPUTED_VALUE"""),"No")</f>
        <v>No</v>
      </c>
      <c r="AK3086" s="8" t="str">
        <f ca="1">IFERROR(__xludf.DUMMYFUNCTION("""COMPUTED_VALUE"""),"No")</f>
        <v>No</v>
      </c>
      <c r="AL3086" s="8" t="str">
        <f ca="1">IFERROR(__xludf.DUMMYFUNCTION("""COMPUTED_VALUE"""),"No")</f>
        <v>No</v>
      </c>
      <c r="AM3086" s="8"/>
      <c r="AN3086" s="8"/>
      <c r="AO3086" s="8" t="str">
        <f ca="1">IFERROR(__xludf.DUMMYFUNCTION("""COMPUTED_VALUE"""),"No")</f>
        <v>No</v>
      </c>
      <c r="AP3086" s="8"/>
      <c r="AQ3086" s="8" t="str">
        <f ca="1">IFERROR(__xludf.DUMMYFUNCTION("""COMPUTED_VALUE"""),"Unknown")</f>
        <v>Unknown</v>
      </c>
      <c r="AR3086" s="8" t="str">
        <f ca="1">IFERROR(__xludf.DUMMYFUNCTION("""COMPUTED_VALUE"""),"NA")</f>
        <v>NA</v>
      </c>
      <c r="AS3086" s="8">
        <f ca="1">IFERROR(__xludf.DUMMYFUNCTION("""COMPUTED_VALUE"""),1)</f>
        <v>1</v>
      </c>
      <c r="AT3086" s="8"/>
      <c r="AU3086" s="8">
        <f ca="1">IFERROR(__xludf.DUMMYFUNCTION("""COMPUTED_VALUE"""),33.940967)</f>
        <v>33.940967000000001</v>
      </c>
      <c r="AV3086" s="8">
        <f ca="1">IFERROR(__xludf.DUMMYFUNCTION("""COMPUTED_VALUE"""),-118.245668)</f>
        <v>-118.24566799999999</v>
      </c>
      <c r="AW3086" s="8"/>
      <c r="AX3086" s="8">
        <f ca="1">IFERROR(__xludf.DUMMYFUNCTION("""COMPUTED_VALUE"""),90059)</f>
        <v>90059</v>
      </c>
    </row>
    <row r="3087" spans="1:50" ht="45" x14ac:dyDescent="0.2">
      <c r="A3087" s="8" t="str">
        <f ca="1">IFERROR(__xludf.DUMMYFUNCTION("""COMPUTED_VALUE"""),"19720215ILKEC")</f>
        <v>19720215ILKEC</v>
      </c>
      <c r="B3087" s="8">
        <f ca="1">IFERROR(__xludf.DUMMYFUNCTION("""COMPUTED_VALUE"""),2)</f>
        <v>2</v>
      </c>
      <c r="C3087" s="8">
        <f ca="1">IFERROR(__xludf.DUMMYFUNCTION("""COMPUTED_VALUE"""),15)</f>
        <v>15</v>
      </c>
      <c r="D3087" s="8">
        <f ca="1">IFERROR(__xludf.DUMMYFUNCTION("""COMPUTED_VALUE"""),1972)</f>
        <v>1972</v>
      </c>
      <c r="E3087" s="9">
        <f ca="1">IFERROR(__xludf.DUMMYFUNCTION("""COMPUTED_VALUE"""),26344)</f>
        <v>26344</v>
      </c>
      <c r="F3087" s="8" t="str">
        <f ca="1">IFERROR(__xludf.DUMMYFUNCTION("""COMPUTED_VALUE"""),"Kenwood High School")</f>
        <v>Kenwood High School</v>
      </c>
      <c r="G3087" s="8">
        <f ca="1">IFERROR(__xludf.DUMMYFUNCTION("""COMPUTED_VALUE"""),0)</f>
        <v>0</v>
      </c>
      <c r="H3087" s="8">
        <f ca="1">IFERROR(__xludf.DUMMYFUNCTION("""COMPUTED_VALUE"""),0)</f>
        <v>0</v>
      </c>
      <c r="I3087" s="8">
        <f ca="1">IFERROR(__xludf.DUMMYFUNCTION("""COMPUTED_VALUE"""),0)</f>
        <v>0</v>
      </c>
      <c r="J3087" s="8">
        <f ca="1">IFERROR(__xludf.DUMMYFUNCTION("""COMPUTED_VALUE"""),1)</f>
        <v>1</v>
      </c>
      <c r="K3087" s="10" t="str">
        <f ca="1">IFERROR(__xludf.DUMMYFUNCTION("""COMPUTED_VALUE"""),"https://www.newspapers.com/image/340859194/?terms=school%2Bshooting")</f>
        <v>https://www.newspapers.com/image/340859194/?terms=school%2Bshooting</v>
      </c>
      <c r="L3087" s="8"/>
      <c r="M3087" s="8"/>
      <c r="N3087" s="8">
        <f ca="1">IFERROR(__xludf.DUMMYFUNCTION("""COMPUTED_VALUE"""),2)</f>
        <v>2</v>
      </c>
      <c r="O3087" s="8" t="str">
        <f ca="1">IFERROR(__xludf.DUMMYFUNCTION("""COMPUTED_VALUE"""),"Winter")</f>
        <v>Winter</v>
      </c>
      <c r="P3087" s="8" t="str">
        <f ca="1">IFERROR(__xludf.DUMMYFUNCTION("""COMPUTED_VALUE"""),"Chicago")</f>
        <v>Chicago</v>
      </c>
      <c r="Q3087" s="8" t="str">
        <f ca="1">IFERROR(__xludf.DUMMYFUNCTION("""COMPUTED_VALUE"""),"IL")</f>
        <v>IL</v>
      </c>
      <c r="R3087" s="8" t="str">
        <f ca="1">IFERROR(__xludf.DUMMYFUNCTION("""COMPUTED_VALUE"""),"High")</f>
        <v>High</v>
      </c>
      <c r="S3087" s="8" t="str">
        <f ca="1">IFERROR(__xludf.DUMMYFUNCTION("""COMPUTED_VALUE"""),"Inside School Building")</f>
        <v>Inside School Building</v>
      </c>
      <c r="T3087" s="8" t="str">
        <f ca="1">IFERROR(__xludf.DUMMYFUNCTION("""COMPUTED_VALUE"""),"Inside School Building")</f>
        <v>Inside School Building</v>
      </c>
      <c r="U3087" s="8" t="str">
        <f ca="1">IFERROR(__xludf.DUMMYFUNCTION("""COMPUTED_VALUE"""),"No")</f>
        <v>No</v>
      </c>
      <c r="V3087" s="8" t="str">
        <f ca="1">IFERROR(__xludf.DUMMYFUNCTION("""COMPUTED_VALUE"""),"Night")</f>
        <v>Night</v>
      </c>
      <c r="W3087" s="8"/>
      <c r="X3087" s="8">
        <f ca="1">IFERROR(__xludf.DUMMYFUNCTION("""COMPUTED_VALUE"""),1)</f>
        <v>1</v>
      </c>
      <c r="Y3087" s="12" t="str">
        <f ca="1">IFERROR(__xludf.DUMMYFUNCTION("""COMPUTED_VALUE"""),"Security guard shot trespasser")</f>
        <v>Security guard shot trespasser</v>
      </c>
      <c r="Z3087" s="12" t="str">
        <f ca="1">IFERROR(__xludf.DUMMYFUNCTION("""COMPUTED_VALUE"""),"21 year-old male trespassing at school was shot by an off-duty police officer working as a security guard. Victim displayed a pistol before being shot by the officer.")</f>
        <v>21 year-old male trespassing at school was shot by an off-duty police officer working as a security guard. Victim displayed a pistol before being shot by the officer.</v>
      </c>
      <c r="AA3087" s="8" t="str">
        <f ca="1">IFERROR(__xludf.DUMMYFUNCTION("""COMPUTED_VALUE"""),"Illegal Activity")</f>
        <v>Illegal Activity</v>
      </c>
      <c r="AB3087" s="8"/>
      <c r="AC3087" s="8"/>
      <c r="AD3087" s="8" t="str">
        <f ca="1">IFERROR(__xludf.DUMMYFUNCTION("""COMPUTED_VALUE"""),"Victims Targeted")</f>
        <v>Victims Targeted</v>
      </c>
      <c r="AE3087" s="8" t="str">
        <f ca="1">IFERROR(__xludf.DUMMYFUNCTION("""COMPUTED_VALUE"""),"No")</f>
        <v>No</v>
      </c>
      <c r="AF3087" s="8"/>
      <c r="AG3087" s="8" t="str">
        <f ca="1">IFERROR(__xludf.DUMMYFUNCTION("""COMPUTED_VALUE"""),"No")</f>
        <v>No</v>
      </c>
      <c r="AH3087" s="8" t="str">
        <f ca="1">IFERROR(__xludf.DUMMYFUNCTION("""COMPUTED_VALUE"""),"No")</f>
        <v>No</v>
      </c>
      <c r="AI3087" s="8" t="str">
        <f ca="1">IFERROR(__xludf.DUMMYFUNCTION("""COMPUTED_VALUE"""),"Yes")</f>
        <v>Yes</v>
      </c>
      <c r="AJ3087" s="8" t="str">
        <f ca="1">IFERROR(__xludf.DUMMYFUNCTION("""COMPUTED_VALUE"""),"N/A")</f>
        <v>N/A</v>
      </c>
      <c r="AK3087" s="8" t="str">
        <f ca="1">IFERROR(__xludf.DUMMYFUNCTION("""COMPUTED_VALUE"""),"N/A")</f>
        <v>N/A</v>
      </c>
      <c r="AL3087" s="8" t="str">
        <f ca="1">IFERROR(__xludf.DUMMYFUNCTION("""COMPUTED_VALUE"""),"N/A")</f>
        <v>N/A</v>
      </c>
      <c r="AM3087" s="8" t="str">
        <f ca="1">IFERROR(__xludf.DUMMYFUNCTION("""COMPUTED_VALUE"""),"N/A")</f>
        <v>N/A</v>
      </c>
      <c r="AN3087" s="8"/>
      <c r="AO3087" s="8" t="str">
        <f ca="1">IFERROR(__xludf.DUMMYFUNCTION("""COMPUTED_VALUE"""),"N/A")</f>
        <v>N/A</v>
      </c>
      <c r="AP3087" s="8"/>
      <c r="AQ3087" s="8" t="str">
        <f ca="1">IFERROR(__xludf.DUMMYFUNCTION("""COMPUTED_VALUE"""),"Unknown")</f>
        <v>Unknown</v>
      </c>
      <c r="AR3087" s="8" t="str">
        <f ca="1">IFERROR(__xludf.DUMMYFUNCTION("""COMPUTED_VALUE"""),"NA")</f>
        <v>NA</v>
      </c>
      <c r="AS3087" s="8"/>
      <c r="AT3087" s="8"/>
      <c r="AU3087" s="8">
        <f ca="1">IFERROR(__xludf.DUMMYFUNCTION("""COMPUTED_VALUE"""),41.803227)</f>
        <v>41.803227</v>
      </c>
      <c r="AV3087" s="8">
        <f ca="1">IFERROR(__xludf.DUMMYFUNCTION("""COMPUTED_VALUE"""),-87.589093)</f>
        <v>-87.589093000000005</v>
      </c>
      <c r="AW3087" s="8"/>
      <c r="AX3087" s="8">
        <f ca="1">IFERROR(__xludf.DUMMYFUNCTION("""COMPUTED_VALUE"""),60615)</f>
        <v>60615</v>
      </c>
    </row>
    <row r="3088" spans="1:50" ht="30" x14ac:dyDescent="0.2">
      <c r="A3088" s="8" t="str">
        <f ca="1">IFERROR(__xludf.DUMMYFUNCTION("""COMPUTED_VALUE"""),"19720214ILCAC")</f>
        <v>19720214ILCAC</v>
      </c>
      <c r="B3088" s="8">
        <f ca="1">IFERROR(__xludf.DUMMYFUNCTION("""COMPUTED_VALUE"""),2)</f>
        <v>2</v>
      </c>
      <c r="C3088" s="8">
        <f ca="1">IFERROR(__xludf.DUMMYFUNCTION("""COMPUTED_VALUE"""),14)</f>
        <v>14</v>
      </c>
      <c r="D3088" s="8">
        <f ca="1">IFERROR(__xludf.DUMMYFUNCTION("""COMPUTED_VALUE"""),1972)</f>
        <v>1972</v>
      </c>
      <c r="E3088" s="9">
        <f ca="1">IFERROR(__xludf.DUMMYFUNCTION("""COMPUTED_VALUE"""),26343)</f>
        <v>26343</v>
      </c>
      <c r="F3088" s="8" t="str">
        <f ca="1">IFERROR(__xludf.DUMMYFUNCTION("""COMPUTED_VALUE"""),"Camlumet High School")</f>
        <v>Camlumet High School</v>
      </c>
      <c r="G3088" s="8">
        <f ca="1">IFERROR(__xludf.DUMMYFUNCTION("""COMPUTED_VALUE"""),1)</f>
        <v>1</v>
      </c>
      <c r="H3088" s="8">
        <f ca="1">IFERROR(__xludf.DUMMYFUNCTION("""COMPUTED_VALUE"""),0)</f>
        <v>0</v>
      </c>
      <c r="I3088" s="8">
        <f ca="1">IFERROR(__xludf.DUMMYFUNCTION("""COMPUTED_VALUE"""),1)</f>
        <v>1</v>
      </c>
      <c r="J3088" s="8">
        <f ca="1">IFERROR(__xludf.DUMMYFUNCTION("""COMPUTED_VALUE"""),0)</f>
        <v>0</v>
      </c>
      <c r="K3088" s="10" t="str">
        <f ca="1">IFERROR(__xludf.DUMMYFUNCTION("""COMPUTED_VALUE"""),"https://www.newspapers.com/image/340859194/?terms=school%2Bshooting")</f>
        <v>https://www.newspapers.com/image/340859194/?terms=school%2Bshooting</v>
      </c>
      <c r="L3088" s="8"/>
      <c r="M3088" s="8"/>
      <c r="N3088" s="8">
        <f ca="1">IFERROR(__xludf.DUMMYFUNCTION("""COMPUTED_VALUE"""),2)</f>
        <v>2</v>
      </c>
      <c r="O3088" s="8" t="str">
        <f ca="1">IFERROR(__xludf.DUMMYFUNCTION("""COMPUTED_VALUE"""),"Winter")</f>
        <v>Winter</v>
      </c>
      <c r="P3088" s="8" t="str">
        <f ca="1">IFERROR(__xludf.DUMMYFUNCTION("""COMPUTED_VALUE"""),"Chicago")</f>
        <v>Chicago</v>
      </c>
      <c r="Q3088" s="8" t="str">
        <f ca="1">IFERROR(__xludf.DUMMYFUNCTION("""COMPUTED_VALUE"""),"IL")</f>
        <v>IL</v>
      </c>
      <c r="R3088" s="8" t="str">
        <f ca="1">IFERROR(__xludf.DUMMYFUNCTION("""COMPUTED_VALUE"""),"High")</f>
        <v>High</v>
      </c>
      <c r="S3088" s="8" t="str">
        <f ca="1">IFERROR(__xludf.DUMMYFUNCTION("""COMPUTED_VALUE"""),"Outside on School Property")</f>
        <v>Outside on School Property</v>
      </c>
      <c r="T3088" s="8" t="str">
        <f ca="1">IFERROR(__xludf.DUMMYFUNCTION("""COMPUTED_VALUE"""),"Outside on School Property")</f>
        <v>Outside on School Property</v>
      </c>
      <c r="U3088" s="8" t="str">
        <f ca="1">IFERROR(__xludf.DUMMYFUNCTION("""COMPUTED_VALUE"""),"Yes")</f>
        <v>Yes</v>
      </c>
      <c r="V3088" s="8" t="str">
        <f ca="1">IFERROR(__xludf.DUMMYFUNCTION("""COMPUTED_VALUE"""),"Dismissal")</f>
        <v>Dismissal</v>
      </c>
      <c r="W3088" s="8"/>
      <c r="X3088" s="8">
        <f ca="1">IFERROR(__xludf.DUMMYFUNCTION("""COMPUTED_VALUE"""),1)</f>
        <v>1</v>
      </c>
      <c r="Y3088" s="12" t="str">
        <f ca="1">IFERROR(__xludf.DUMMYFUNCTION("""COMPUTED_VALUE"""),"Gang related fight outside of school")</f>
        <v>Gang related fight outside of school</v>
      </c>
      <c r="Z3088" s="12" t="str">
        <f ca="1">IFERROR(__xludf.DUMMYFUNCTION("""COMPUTED_VALUE"""),"Student shot during street gang fight outside of school.")</f>
        <v>Student shot during street gang fight outside of school.</v>
      </c>
      <c r="AA3088" s="8" t="str">
        <f ca="1">IFERROR(__xludf.DUMMYFUNCTION("""COMPUTED_VALUE"""),"Escalation of Dispute")</f>
        <v>Escalation of Dispute</v>
      </c>
      <c r="AB3088" s="8"/>
      <c r="AC3088" s="8"/>
      <c r="AD3088" s="8" t="str">
        <f ca="1">IFERROR(__xludf.DUMMYFUNCTION("""COMPUTED_VALUE"""),"Victims Targeted")</f>
        <v>Victims Targeted</v>
      </c>
      <c r="AE3088" s="8" t="str">
        <f ca="1">IFERROR(__xludf.DUMMYFUNCTION("""COMPUTED_VALUE"""),"Yes")</f>
        <v>Yes</v>
      </c>
      <c r="AF3088" s="8" t="str">
        <f ca="1">IFERROR(__xludf.DUMMYFUNCTION("""COMPUTED_VALUE"""),"Multiple gang members involved")</f>
        <v>Multiple gang members involved</v>
      </c>
      <c r="AG3088" s="8" t="str">
        <f ca="1">IFERROR(__xludf.DUMMYFUNCTION("""COMPUTED_VALUE"""),"No")</f>
        <v>No</v>
      </c>
      <c r="AH3088" s="8" t="str">
        <f ca="1">IFERROR(__xludf.DUMMYFUNCTION("""COMPUTED_VALUE"""),"No")</f>
        <v>No</v>
      </c>
      <c r="AI3088" s="8" t="str">
        <f ca="1">IFERROR(__xludf.DUMMYFUNCTION("""COMPUTED_VALUE"""),"No")</f>
        <v>No</v>
      </c>
      <c r="AJ3088" s="8" t="str">
        <f ca="1">IFERROR(__xludf.DUMMYFUNCTION("""COMPUTED_VALUE"""),"No")</f>
        <v>No</v>
      </c>
      <c r="AK3088" s="8" t="str">
        <f ca="1">IFERROR(__xludf.DUMMYFUNCTION("""COMPUTED_VALUE"""),"No")</f>
        <v>No</v>
      </c>
      <c r="AL3088" s="8" t="str">
        <f ca="1">IFERROR(__xludf.DUMMYFUNCTION("""COMPUTED_VALUE"""),"Yes")</f>
        <v>Yes</v>
      </c>
      <c r="AM3088" s="8"/>
      <c r="AN3088" s="8"/>
      <c r="AO3088" s="8" t="str">
        <f ca="1">IFERROR(__xludf.DUMMYFUNCTION("""COMPUTED_VALUE"""),"No")</f>
        <v>No</v>
      </c>
      <c r="AP3088" s="8"/>
      <c r="AQ3088" s="8" t="str">
        <f ca="1">IFERROR(__xludf.DUMMYFUNCTION("""COMPUTED_VALUE"""),"Unknown")</f>
        <v>Unknown</v>
      </c>
      <c r="AR3088" s="8" t="str">
        <f ca="1">IFERROR(__xludf.DUMMYFUNCTION("""COMPUTED_VALUE"""),"NA")</f>
        <v>NA</v>
      </c>
      <c r="AS3088" s="8"/>
      <c r="AT3088" s="8"/>
      <c r="AU3088" s="8">
        <f ca="1">IFERROR(__xludf.DUMMYFUNCTION("""COMPUTED_VALUE"""),41.745272)</f>
        <v>41.745272</v>
      </c>
      <c r="AV3088" s="8">
        <f ca="1">IFERROR(__xludf.DUMMYFUNCTION("""COMPUTED_VALUE"""),-87.652002)</f>
        <v>-87.652001999999996</v>
      </c>
      <c r="AW3088" s="8"/>
      <c r="AX3088" s="8">
        <f ca="1">IFERROR(__xludf.DUMMYFUNCTION("""COMPUTED_VALUE"""),60620)</f>
        <v>60620</v>
      </c>
    </row>
    <row r="3089" spans="1:50" ht="75" x14ac:dyDescent="0.2">
      <c r="A3089" s="8" t="str">
        <f ca="1">IFERROR(__xludf.DUMMYFUNCTION("""COMPUTED_VALUE"""),"19720126MDHAB")</f>
        <v>19720126MDHAB</v>
      </c>
      <c r="B3089" s="8">
        <f ca="1">IFERROR(__xludf.DUMMYFUNCTION("""COMPUTED_VALUE"""),1)</f>
        <v>1</v>
      </c>
      <c r="C3089" s="8">
        <f ca="1">IFERROR(__xludf.DUMMYFUNCTION("""COMPUTED_VALUE"""),26)</f>
        <v>26</v>
      </c>
      <c r="D3089" s="8">
        <f ca="1">IFERROR(__xludf.DUMMYFUNCTION("""COMPUTED_VALUE"""),1972)</f>
        <v>1972</v>
      </c>
      <c r="E3089" s="9">
        <f ca="1">IFERROR(__xludf.DUMMYFUNCTION("""COMPUTED_VALUE"""),26324)</f>
        <v>26324</v>
      </c>
      <c r="F3089" s="8" t="str">
        <f ca="1">IFERROR(__xludf.DUMMYFUNCTION("""COMPUTED_VALUE"""),"Harlem Park Junior High School")</f>
        <v>Harlem Park Junior High School</v>
      </c>
      <c r="G3089" s="8">
        <f ca="1">IFERROR(__xludf.DUMMYFUNCTION("""COMPUTED_VALUE"""),0)</f>
        <v>0</v>
      </c>
      <c r="H3089" s="8">
        <f ca="1">IFERROR(__xludf.DUMMYFUNCTION("""COMPUTED_VALUE"""),1)</f>
        <v>1</v>
      </c>
      <c r="I3089" s="8">
        <f ca="1">IFERROR(__xludf.DUMMYFUNCTION("""COMPUTED_VALUE"""),1)</f>
        <v>1</v>
      </c>
      <c r="J3089" s="8">
        <f ca="1">IFERROR(__xludf.DUMMYFUNCTION("""COMPUTED_VALUE"""),0)</f>
        <v>0</v>
      </c>
      <c r="K3089" s="10" t="str">
        <f ca="1">IFERROR(__xludf.DUMMYFUNCTION("""COMPUTED_VALUE"""),"https://www.newspapers.com/image/377397441/?terms=school%2Bshooting")</f>
        <v>https://www.newspapers.com/image/377397441/?terms=school%2Bshooting</v>
      </c>
      <c r="L3089" s="8"/>
      <c r="M3089" s="8"/>
      <c r="N3089" s="8">
        <f ca="1">IFERROR(__xludf.DUMMYFUNCTION("""COMPUTED_VALUE"""),2)</f>
        <v>2</v>
      </c>
      <c r="O3089" s="8" t="str">
        <f ca="1">IFERROR(__xludf.DUMMYFUNCTION("""COMPUTED_VALUE"""),"Winter")</f>
        <v>Winter</v>
      </c>
      <c r="P3089" s="8" t="str">
        <f ca="1">IFERROR(__xludf.DUMMYFUNCTION("""COMPUTED_VALUE"""),"Baltimore")</f>
        <v>Baltimore</v>
      </c>
      <c r="Q3089" s="8" t="str">
        <f ca="1">IFERROR(__xludf.DUMMYFUNCTION("""COMPUTED_VALUE"""),"MD")</f>
        <v>MD</v>
      </c>
      <c r="R3089" s="8" t="str">
        <f ca="1">IFERROR(__xludf.DUMMYFUNCTION("""COMPUTED_VALUE"""),"Junior High")</f>
        <v>Junior High</v>
      </c>
      <c r="S3089" s="8" t="str">
        <f ca="1">IFERROR(__xludf.DUMMYFUNCTION("""COMPUTED_VALUE"""),"Beside Building")</f>
        <v>Beside Building</v>
      </c>
      <c r="T3089" s="8" t="str">
        <f ca="1">IFERROR(__xludf.DUMMYFUNCTION("""COMPUTED_VALUE"""),"Outside on School Property")</f>
        <v>Outside on School Property</v>
      </c>
      <c r="U3089" s="8" t="str">
        <f ca="1">IFERROR(__xludf.DUMMYFUNCTION("""COMPUTED_VALUE"""),"No")</f>
        <v>No</v>
      </c>
      <c r="V3089" s="8" t="str">
        <f ca="1">IFERROR(__xludf.DUMMYFUNCTION("""COMPUTED_VALUE"""),"Dismissal")</f>
        <v>Dismissal</v>
      </c>
      <c r="W3089" s="11">
        <f ca="1">IFERROR(__xludf.DUMMYFUNCTION("""COMPUTED_VALUE"""),0.614583333333333)</f>
        <v>0.61458333333333304</v>
      </c>
      <c r="X3089" s="8">
        <f ca="1">IFERROR(__xludf.DUMMYFUNCTION("""COMPUTED_VALUE"""),1)</f>
        <v>1</v>
      </c>
      <c r="Y3089" s="12" t="str">
        <f ca="1">IFERROR(__xludf.DUMMYFUNCTION("""COMPUTED_VALUE"""),"Argument outside school at dismissal")</f>
        <v>Argument outside school at dismissal</v>
      </c>
      <c r="Z3089" s="12" t="str">
        <f ca="1">IFERROR(__xludf.DUMMYFUNCTION("""COMPUTED_VALUE"""),"Student shot by classmate during argument outside of school during dismissal while trying to break up fight between two other students. Sustained severe spine and lung injuries. Second student hospitalized from being hit in the head with a brick.")</f>
        <v>Student shot by classmate during argument outside of school during dismissal while trying to break up fight between two other students. Sustained severe spine and lung injuries. Second student hospitalized from being hit in the head with a brick.</v>
      </c>
      <c r="AA3089" s="8" t="str">
        <f ca="1">IFERROR(__xludf.DUMMYFUNCTION("""COMPUTED_VALUE"""),"Escalation of Dispute")</f>
        <v>Escalation of Dispute</v>
      </c>
      <c r="AB3089" s="8"/>
      <c r="AC3089" s="8"/>
      <c r="AD3089" s="8" t="str">
        <f ca="1">IFERROR(__xludf.DUMMYFUNCTION("""COMPUTED_VALUE"""),"Victims Targeted")</f>
        <v>Victims Targeted</v>
      </c>
      <c r="AE3089" s="8" t="str">
        <f ca="1">IFERROR(__xludf.DUMMYFUNCTION("""COMPUTED_VALUE"""),"Unknown")</f>
        <v>Unknown</v>
      </c>
      <c r="AF3089" s="8"/>
      <c r="AG3089" s="8" t="str">
        <f ca="1">IFERROR(__xludf.DUMMYFUNCTION("""COMPUTED_VALUE"""),"No")</f>
        <v>No</v>
      </c>
      <c r="AH3089" s="8" t="str">
        <f ca="1">IFERROR(__xludf.DUMMYFUNCTION("""COMPUTED_VALUE"""),"No")</f>
        <v>No</v>
      </c>
      <c r="AI3089" s="8" t="str">
        <f ca="1">IFERROR(__xludf.DUMMYFUNCTION("""COMPUTED_VALUE"""),"No")</f>
        <v>No</v>
      </c>
      <c r="AJ3089" s="8"/>
      <c r="AK3089" s="8" t="str">
        <f ca="1">IFERROR(__xludf.DUMMYFUNCTION("""COMPUTED_VALUE"""),"No")</f>
        <v>No</v>
      </c>
      <c r="AL3089" s="8" t="str">
        <f ca="1">IFERROR(__xludf.DUMMYFUNCTION("""COMPUTED_VALUE"""),"No")</f>
        <v>No</v>
      </c>
      <c r="AM3089" s="8"/>
      <c r="AN3089" s="8"/>
      <c r="AO3089" s="8" t="str">
        <f ca="1">IFERROR(__xludf.DUMMYFUNCTION("""COMPUTED_VALUE"""),"No")</f>
        <v>No</v>
      </c>
      <c r="AP3089" s="8"/>
      <c r="AQ3089" s="8" t="str">
        <f ca="1">IFERROR(__xludf.DUMMYFUNCTION("""COMPUTED_VALUE"""),"Unknown")</f>
        <v>Unknown</v>
      </c>
      <c r="AR3089" s="8" t="str">
        <f ca="1">IFERROR(__xludf.DUMMYFUNCTION("""COMPUTED_VALUE"""),"NA")</f>
        <v>NA</v>
      </c>
      <c r="AS3089" s="8">
        <f ca="1">IFERROR(__xludf.DUMMYFUNCTION("""COMPUTED_VALUE"""),1)</f>
        <v>1</v>
      </c>
      <c r="AT3089" s="8"/>
      <c r="AU3089" s="8">
        <f ca="1">IFERROR(__xludf.DUMMYFUNCTION("""COMPUTED_VALUE"""),39.298517)</f>
        <v>39.298516999999997</v>
      </c>
      <c r="AV3089" s="8">
        <f ca="1">IFERROR(__xludf.DUMMYFUNCTION("""COMPUTED_VALUE"""),-76.64095)</f>
        <v>-76.640950000000004</v>
      </c>
      <c r="AW3089" s="8"/>
      <c r="AX3089" s="8">
        <f ca="1">IFERROR(__xludf.DUMMYFUNCTION("""COMPUTED_VALUE"""),21217)</f>
        <v>21217</v>
      </c>
    </row>
    <row r="3090" spans="1:50" ht="30" x14ac:dyDescent="0.2">
      <c r="A3090" s="8" t="str">
        <f ca="1">IFERROR(__xludf.DUMMYFUNCTION("""COMPUTED_VALUE"""),"19720126MDGWB")</f>
        <v>19720126MDGWB</v>
      </c>
      <c r="B3090" s="8">
        <f ca="1">IFERROR(__xludf.DUMMYFUNCTION("""COMPUTED_VALUE"""),1)</f>
        <v>1</v>
      </c>
      <c r="C3090" s="8">
        <f ca="1">IFERROR(__xludf.DUMMYFUNCTION("""COMPUTED_VALUE"""),26)</f>
        <v>26</v>
      </c>
      <c r="D3090" s="8">
        <f ca="1">IFERROR(__xludf.DUMMYFUNCTION("""COMPUTED_VALUE"""),1972)</f>
        <v>1972</v>
      </c>
      <c r="E3090" s="9">
        <f ca="1">IFERROR(__xludf.DUMMYFUNCTION("""COMPUTED_VALUE"""),26324)</f>
        <v>26324</v>
      </c>
      <c r="F3090" s="8" t="str">
        <f ca="1">IFERROR(__xludf.DUMMYFUNCTION("""COMPUTED_VALUE"""),"Gwynn Falls Junior High School")</f>
        <v>Gwynn Falls Junior High School</v>
      </c>
      <c r="G3090" s="8">
        <f ca="1">IFERROR(__xludf.DUMMYFUNCTION("""COMPUTED_VALUE"""),0)</f>
        <v>0</v>
      </c>
      <c r="H3090" s="8">
        <f ca="1">IFERROR(__xludf.DUMMYFUNCTION("""COMPUTED_VALUE"""),1)</f>
        <v>1</v>
      </c>
      <c r="I3090" s="8">
        <f ca="1">IFERROR(__xludf.DUMMYFUNCTION("""COMPUTED_VALUE"""),1)</f>
        <v>1</v>
      </c>
      <c r="J3090" s="8">
        <f ca="1">IFERROR(__xludf.DUMMYFUNCTION("""COMPUTED_VALUE"""),0)</f>
        <v>0</v>
      </c>
      <c r="K3090" s="10" t="str">
        <f ca="1">IFERROR(__xludf.DUMMYFUNCTION("""COMPUTED_VALUE"""),"https://www.newspapers.com/image/377397441/?terms=school%2Bshooting")</f>
        <v>https://www.newspapers.com/image/377397441/?terms=school%2Bshooting</v>
      </c>
      <c r="L3090" s="8"/>
      <c r="M3090" s="8"/>
      <c r="N3090" s="8">
        <f ca="1">IFERROR(__xludf.DUMMYFUNCTION("""COMPUTED_VALUE"""),2)</f>
        <v>2</v>
      </c>
      <c r="O3090" s="8" t="str">
        <f ca="1">IFERROR(__xludf.DUMMYFUNCTION("""COMPUTED_VALUE"""),"Winter")</f>
        <v>Winter</v>
      </c>
      <c r="P3090" s="8" t="str">
        <f ca="1">IFERROR(__xludf.DUMMYFUNCTION("""COMPUTED_VALUE"""),"Baltimore")</f>
        <v>Baltimore</v>
      </c>
      <c r="Q3090" s="8" t="str">
        <f ca="1">IFERROR(__xludf.DUMMYFUNCTION("""COMPUTED_VALUE"""),"MD")</f>
        <v>MD</v>
      </c>
      <c r="R3090" s="8" t="str">
        <f ca="1">IFERROR(__xludf.DUMMYFUNCTION("""COMPUTED_VALUE"""),"Junior High")</f>
        <v>Junior High</v>
      </c>
      <c r="S3090" s="8" t="str">
        <f ca="1">IFERROR(__xludf.DUMMYFUNCTION("""COMPUTED_VALUE"""),"Cafeteria")</f>
        <v>Cafeteria</v>
      </c>
      <c r="T3090" s="8" t="str">
        <f ca="1">IFERROR(__xludf.DUMMYFUNCTION("""COMPUTED_VALUE"""),"Inside School Building")</f>
        <v>Inside School Building</v>
      </c>
      <c r="U3090" s="8" t="str">
        <f ca="1">IFERROR(__xludf.DUMMYFUNCTION("""COMPUTED_VALUE"""),"Yes")</f>
        <v>Yes</v>
      </c>
      <c r="V3090" s="8" t="str">
        <f ca="1">IFERROR(__xludf.DUMMYFUNCTION("""COMPUTED_VALUE"""),"Afternoon Classes")</f>
        <v>Afternoon Classes</v>
      </c>
      <c r="W3090" s="11">
        <f ca="1">IFERROR(__xludf.DUMMYFUNCTION("""COMPUTED_VALUE"""),0.579861111111111)</f>
        <v>0.57986111111111105</v>
      </c>
      <c r="X3090" s="8">
        <f ca="1">IFERROR(__xludf.DUMMYFUNCTION("""COMPUTED_VALUE"""),1)</f>
        <v>1</v>
      </c>
      <c r="Y3090" s="12" t="str">
        <f ca="1">IFERROR(__xludf.DUMMYFUNCTION("""COMPUTED_VALUE"""),"Student playing with gun in cafeteria")</f>
        <v>Student playing with gun in cafeteria</v>
      </c>
      <c r="Z3090" s="12" t="str">
        <f ca="1">IFERROR(__xludf.DUMMYFUNCTION("""COMPUTED_VALUE"""),"Students playing with gun in the cafeteria. Accidental discharge injuring one student.")</f>
        <v>Students playing with gun in the cafeteria. Accidental discharge injuring one student.</v>
      </c>
      <c r="AA3090" s="8" t="str">
        <f ca="1">IFERROR(__xludf.DUMMYFUNCTION("""COMPUTED_VALUE"""),"Accidental")</f>
        <v>Accidental</v>
      </c>
      <c r="AB3090" s="8"/>
      <c r="AC3090" s="8"/>
      <c r="AD3090" s="8" t="str">
        <f ca="1">IFERROR(__xludf.DUMMYFUNCTION("""COMPUTED_VALUE"""),"Random Shooting")</f>
        <v>Random Shooting</v>
      </c>
      <c r="AE3090" s="8" t="str">
        <f ca="1">IFERROR(__xludf.DUMMYFUNCTION("""COMPUTED_VALUE"""),"No")</f>
        <v>No</v>
      </c>
      <c r="AF3090" s="8"/>
      <c r="AG3090" s="8" t="str">
        <f ca="1">IFERROR(__xludf.DUMMYFUNCTION("""COMPUTED_VALUE"""),"No")</f>
        <v>No</v>
      </c>
      <c r="AH3090" s="8" t="str">
        <f ca="1">IFERROR(__xludf.DUMMYFUNCTION("""COMPUTED_VALUE"""),"No")</f>
        <v>No</v>
      </c>
      <c r="AI3090" s="8" t="str">
        <f ca="1">IFERROR(__xludf.DUMMYFUNCTION("""COMPUTED_VALUE"""),"No")</f>
        <v>No</v>
      </c>
      <c r="AJ3090" s="8" t="str">
        <f ca="1">IFERROR(__xludf.DUMMYFUNCTION("""COMPUTED_VALUE"""),"No")</f>
        <v>No</v>
      </c>
      <c r="AK3090" s="8" t="str">
        <f ca="1">IFERROR(__xludf.DUMMYFUNCTION("""COMPUTED_VALUE"""),"No")</f>
        <v>No</v>
      </c>
      <c r="AL3090" s="8" t="str">
        <f ca="1">IFERROR(__xludf.DUMMYFUNCTION("""COMPUTED_VALUE"""),"No")</f>
        <v>No</v>
      </c>
      <c r="AM3090" s="8"/>
      <c r="AN3090" s="8"/>
      <c r="AO3090" s="8" t="str">
        <f ca="1">IFERROR(__xludf.DUMMYFUNCTION("""COMPUTED_VALUE"""),"No")</f>
        <v>No</v>
      </c>
      <c r="AP3090" s="8"/>
      <c r="AQ3090" s="8" t="str">
        <f ca="1">IFERROR(__xludf.DUMMYFUNCTION("""COMPUTED_VALUE"""),"Unknown")</f>
        <v>Unknown</v>
      </c>
      <c r="AR3090" s="8" t="str">
        <f ca="1">IFERROR(__xludf.DUMMYFUNCTION("""COMPUTED_VALUE"""),"NA")</f>
        <v>NA</v>
      </c>
      <c r="AS3090" s="8">
        <f ca="1">IFERROR(__xludf.DUMMYFUNCTION("""COMPUTED_VALUE"""),1)</f>
        <v>1</v>
      </c>
      <c r="AT3090" s="8"/>
      <c r="AU3090" s="8">
        <f ca="1">IFERROR(__xludf.DUMMYFUNCTION("""COMPUTED_VALUE"""),39.314982)</f>
        <v>39.314982000000001</v>
      </c>
      <c r="AV3090" s="8">
        <f ca="1">IFERROR(__xludf.DUMMYFUNCTION("""COMPUTED_VALUE"""),-76.663622)</f>
        <v>-76.663622000000004</v>
      </c>
      <c r="AW3090" s="8"/>
      <c r="AX3090" s="8">
        <f ca="1">IFERROR(__xludf.DUMMYFUNCTION("""COMPUTED_VALUE"""),21216)</f>
        <v>21216</v>
      </c>
    </row>
    <row r="3091" spans="1:50" ht="60" x14ac:dyDescent="0.2">
      <c r="A3091" s="8" t="str">
        <f ca="1">IFERROR(__xludf.DUMMYFUNCTION("""COMPUTED_VALUE"""),"19720124OHSTS")</f>
        <v>19720124OHSTS</v>
      </c>
      <c r="B3091" s="8">
        <f ca="1">IFERROR(__xludf.DUMMYFUNCTION("""COMPUTED_VALUE"""),1)</f>
        <v>1</v>
      </c>
      <c r="C3091" s="8">
        <f ca="1">IFERROR(__xludf.DUMMYFUNCTION("""COMPUTED_VALUE"""),24)</f>
        <v>24</v>
      </c>
      <c r="D3091" s="8">
        <f ca="1">IFERROR(__xludf.DUMMYFUNCTION("""COMPUTED_VALUE"""),1972)</f>
        <v>1972</v>
      </c>
      <c r="E3091" s="9">
        <f ca="1">IFERROR(__xludf.DUMMYFUNCTION("""COMPUTED_VALUE"""),26322)</f>
        <v>26322</v>
      </c>
      <c r="F3091" s="8" t="str">
        <f ca="1">IFERROR(__xludf.DUMMYFUNCTION("""COMPUTED_VALUE"""),"Stow High School")</f>
        <v>Stow High School</v>
      </c>
      <c r="G3091" s="8">
        <f ca="1">IFERROR(__xludf.DUMMYFUNCTION("""COMPUTED_VALUE"""),0)</f>
        <v>0</v>
      </c>
      <c r="H3091" s="8">
        <f ca="1">IFERROR(__xludf.DUMMYFUNCTION("""COMPUTED_VALUE"""),1)</f>
        <v>1</v>
      </c>
      <c r="I3091" s="8">
        <f ca="1">IFERROR(__xludf.DUMMYFUNCTION("""COMPUTED_VALUE"""),1)</f>
        <v>1</v>
      </c>
      <c r="J3091" s="8">
        <f ca="1">IFERROR(__xludf.DUMMYFUNCTION("""COMPUTED_VALUE"""),0)</f>
        <v>0</v>
      </c>
      <c r="K3091" s="8" t="str">
        <f ca="1">IFERROR(__xludf.DUMMYFUNCTION("""COMPUTED_VALUE"""),"http://stow-shooting.blogspot.com/    https://www.newspapers.com/image/153242106/?terms=stow%2Bhigh%2Bschool    https://www.newspapers.com/image/295807500/?terms=stow%2Bhigh%2Bschool   https://www.newspapers.com/image/152493137/?terms=james%2Bpurk   https"&amp;"://www.newspapers.com/image/153245112/?terms=james%2Bpurk")</f>
        <v>http://stow-shooting.blogspot.com/    https://www.newspapers.com/image/153242106/?terms=stow%2Bhigh%2Bschool    https://www.newspapers.com/image/295807500/?terms=stow%2Bhigh%2Bschool   https://www.newspapers.com/image/152493137/?terms=james%2Bpurk   https://www.newspapers.com/image/153245112/?terms=james%2Bpurk</v>
      </c>
      <c r="L3091" s="8"/>
      <c r="M3091" s="8"/>
      <c r="N3091" s="8">
        <f ca="1">IFERROR(__xludf.DUMMYFUNCTION("""COMPUTED_VALUE"""),4)</f>
        <v>4</v>
      </c>
      <c r="O3091" s="8" t="str">
        <f ca="1">IFERROR(__xludf.DUMMYFUNCTION("""COMPUTED_VALUE"""),"Winter")</f>
        <v>Winter</v>
      </c>
      <c r="P3091" s="8" t="str">
        <f ca="1">IFERROR(__xludf.DUMMYFUNCTION("""COMPUTED_VALUE"""),"Stow")</f>
        <v>Stow</v>
      </c>
      <c r="Q3091" s="8" t="str">
        <f ca="1">IFERROR(__xludf.DUMMYFUNCTION("""COMPUTED_VALUE"""),"OH")</f>
        <v>OH</v>
      </c>
      <c r="R3091" s="8" t="str">
        <f ca="1">IFERROR(__xludf.DUMMYFUNCTION("""COMPUTED_VALUE"""),"High")</f>
        <v>High</v>
      </c>
      <c r="S3091" s="8" t="str">
        <f ca="1">IFERROR(__xludf.DUMMYFUNCTION("""COMPUTED_VALUE"""),"Classroom")</f>
        <v>Classroom</v>
      </c>
      <c r="T3091" s="8" t="str">
        <f ca="1">IFERROR(__xludf.DUMMYFUNCTION("""COMPUTED_VALUE"""),"Inside School Building")</f>
        <v>Inside School Building</v>
      </c>
      <c r="U3091" s="8" t="str">
        <f ca="1">IFERROR(__xludf.DUMMYFUNCTION("""COMPUTED_VALUE"""),"Yes")</f>
        <v>Yes</v>
      </c>
      <c r="V3091" s="8" t="str">
        <f ca="1">IFERROR(__xludf.DUMMYFUNCTION("""COMPUTED_VALUE"""),"Morning Classes")</f>
        <v>Morning Classes</v>
      </c>
      <c r="W3091" s="11">
        <f ca="1">IFERROR(__xludf.DUMMYFUNCTION("""COMPUTED_VALUE"""),0.416666666666666)</f>
        <v>0.41666666666666602</v>
      </c>
      <c r="X3091" s="8">
        <f ca="1">IFERROR(__xludf.DUMMYFUNCTION("""COMPUTED_VALUE"""),1)</f>
        <v>1</v>
      </c>
      <c r="Y3091" s="12" t="str">
        <f ca="1">IFERROR(__xludf.DUMMYFUNCTION("""COMPUTED_VALUE"""),"Student shot teacher, put down gun, walked outside")</f>
        <v>Student shot teacher, put down gun, walked outside</v>
      </c>
      <c r="Z3091" s="12" t="str">
        <f ca="1">IFERROR(__xludf.DUMMYFUNCTION("""COMPUTED_VALUE"""),"During chemistry quiz, student shot teacher, put down gun, walked outside, and sat under a tree before being detained. Teacher recovered from injuries. Possible motive given was teacher constantly giving low grade for quizzes.")</f>
        <v>During chemistry quiz, student shot teacher, put down gun, walked outside, and sat under a tree before being detained. Teacher recovered from injuries. Possible motive given was teacher constantly giving low grade for quizzes.</v>
      </c>
      <c r="AA3091" s="8" t="str">
        <f ca="1">IFERROR(__xludf.DUMMYFUNCTION("""COMPUTED_VALUE"""),"Anger Over Grade/Suspension/Discipline")</f>
        <v>Anger Over Grade/Suspension/Discipline</v>
      </c>
      <c r="AB3091" s="8"/>
      <c r="AC3091" s="8"/>
      <c r="AD3091" s="8" t="str">
        <f ca="1">IFERROR(__xludf.DUMMYFUNCTION("""COMPUTED_VALUE"""),"Victims Targeted")</f>
        <v>Victims Targeted</v>
      </c>
      <c r="AE3091" s="8" t="str">
        <f ca="1">IFERROR(__xludf.DUMMYFUNCTION("""COMPUTED_VALUE"""),"No")</f>
        <v>No</v>
      </c>
      <c r="AF3091" s="8"/>
      <c r="AG3091" s="8" t="str">
        <f ca="1">IFERROR(__xludf.DUMMYFUNCTION("""COMPUTED_VALUE"""),"No")</f>
        <v>No</v>
      </c>
      <c r="AH3091" s="8" t="str">
        <f ca="1">IFERROR(__xludf.DUMMYFUNCTION("""COMPUTED_VALUE"""),"No")</f>
        <v>No</v>
      </c>
      <c r="AI3091" s="8" t="str">
        <f ca="1">IFERROR(__xludf.DUMMYFUNCTION("""COMPUTED_VALUE"""),"No")</f>
        <v>No</v>
      </c>
      <c r="AJ3091" s="8" t="str">
        <f ca="1">IFERROR(__xludf.DUMMYFUNCTION("""COMPUTED_VALUE"""),"No")</f>
        <v>No</v>
      </c>
      <c r="AK3091" s="8" t="str">
        <f ca="1">IFERROR(__xludf.DUMMYFUNCTION("""COMPUTED_VALUE"""),"No")</f>
        <v>No</v>
      </c>
      <c r="AL3091" s="8" t="str">
        <f ca="1">IFERROR(__xludf.DUMMYFUNCTION("""COMPUTED_VALUE"""),"No")</f>
        <v>No</v>
      </c>
      <c r="AM3091" s="8"/>
      <c r="AN3091" s="8"/>
      <c r="AO3091" s="8" t="str">
        <f ca="1">IFERROR(__xludf.DUMMYFUNCTION("""COMPUTED_VALUE"""),"No")</f>
        <v>No</v>
      </c>
      <c r="AP3091" s="8"/>
      <c r="AQ3091" s="8" t="str">
        <f ca="1">IFERROR(__xludf.DUMMYFUNCTION("""COMPUTED_VALUE"""),"Unknown")</f>
        <v>Unknown</v>
      </c>
      <c r="AR3091" s="8" t="str">
        <f ca="1">IFERROR(__xludf.DUMMYFUNCTION("""COMPUTED_VALUE"""),"NA")</f>
        <v>NA</v>
      </c>
      <c r="AS3091" s="8">
        <f ca="1">IFERROR(__xludf.DUMMYFUNCTION("""COMPUTED_VALUE"""),1)</f>
        <v>1</v>
      </c>
      <c r="AT3091" s="8"/>
      <c r="AU3091" s="8">
        <f ca="1">IFERROR(__xludf.DUMMYFUNCTION("""COMPUTED_VALUE"""),41.16795)</f>
        <v>41.167949999999998</v>
      </c>
      <c r="AV3091" s="8">
        <f ca="1">IFERROR(__xludf.DUMMYFUNCTION("""COMPUTED_VALUE"""),-81.397109)</f>
        <v>-81.397109</v>
      </c>
      <c r="AW3091" s="8"/>
      <c r="AX3091" s="8">
        <f ca="1">IFERROR(__xludf.DUMMYFUNCTION("""COMPUTED_VALUE"""),44224)</f>
        <v>44224</v>
      </c>
    </row>
    <row r="3092" spans="1:50" ht="90" x14ac:dyDescent="0.2">
      <c r="A3092" s="8" t="str">
        <f ca="1">IFERROR(__xludf.DUMMYFUNCTION("""COMPUTED_VALUE"""),"19720105DCPAW")</f>
        <v>19720105DCPAW</v>
      </c>
      <c r="B3092" s="8">
        <f ca="1">IFERROR(__xludf.DUMMYFUNCTION("""COMPUTED_VALUE"""),1)</f>
        <v>1</v>
      </c>
      <c r="C3092" s="8">
        <f ca="1">IFERROR(__xludf.DUMMYFUNCTION("""COMPUTED_VALUE"""),5)</f>
        <v>5</v>
      </c>
      <c r="D3092" s="8">
        <f ca="1">IFERROR(__xludf.DUMMYFUNCTION("""COMPUTED_VALUE"""),1972)</f>
        <v>1972</v>
      </c>
      <c r="E3092" s="9">
        <f ca="1">IFERROR(__xludf.DUMMYFUNCTION("""COMPUTED_VALUE"""),26303)</f>
        <v>26303</v>
      </c>
      <c r="F3092" s="8" t="str">
        <f ca="1">IFERROR(__xludf.DUMMYFUNCTION("""COMPUTED_VALUE"""),"Parkview Elementary School")</f>
        <v>Parkview Elementary School</v>
      </c>
      <c r="G3092" s="8">
        <f ca="1">IFERROR(__xludf.DUMMYFUNCTION("""COMPUTED_VALUE"""),1)</f>
        <v>1</v>
      </c>
      <c r="H3092" s="8">
        <f ca="1">IFERROR(__xludf.DUMMYFUNCTION("""COMPUTED_VALUE"""),0)</f>
        <v>0</v>
      </c>
      <c r="I3092" s="8">
        <f ca="1">IFERROR(__xludf.DUMMYFUNCTION("""COMPUTED_VALUE"""),1)</f>
        <v>1</v>
      </c>
      <c r="J3092" s="8">
        <f ca="1">IFERROR(__xludf.DUMMYFUNCTION("""COMPUTED_VALUE"""),0)</f>
        <v>0</v>
      </c>
      <c r="K3092" s="10" t="str">
        <f ca="1">IFERROR(__xludf.DUMMYFUNCTION("""COMPUTED_VALUE"""),"https://www.newspapers.com/image/377430624/?terms=husband%2Bkills%2Bteacher")</f>
        <v>https://www.newspapers.com/image/377430624/?terms=husband%2Bkills%2Bteacher</v>
      </c>
      <c r="L3092" s="8"/>
      <c r="M3092" s="8"/>
      <c r="N3092" s="8">
        <f ca="1">IFERROR(__xludf.DUMMYFUNCTION("""COMPUTED_VALUE"""),2)</f>
        <v>2</v>
      </c>
      <c r="O3092" s="8" t="str">
        <f ca="1">IFERROR(__xludf.DUMMYFUNCTION("""COMPUTED_VALUE"""),"Winter")</f>
        <v>Winter</v>
      </c>
      <c r="P3092" s="8" t="str">
        <f ca="1">IFERROR(__xludf.DUMMYFUNCTION("""COMPUTED_VALUE"""),"Washington")</f>
        <v>Washington</v>
      </c>
      <c r="Q3092" s="8" t="str">
        <f ca="1">IFERROR(__xludf.DUMMYFUNCTION("""COMPUTED_VALUE"""),"DC")</f>
        <v>DC</v>
      </c>
      <c r="R3092" s="8" t="str">
        <f ca="1">IFERROR(__xludf.DUMMYFUNCTION("""COMPUTED_VALUE"""),"Elementary")</f>
        <v>Elementary</v>
      </c>
      <c r="S3092" s="8" t="str">
        <f ca="1">IFERROR(__xludf.DUMMYFUNCTION("""COMPUTED_VALUE"""),"Classroom")</f>
        <v>Classroom</v>
      </c>
      <c r="T3092" s="8" t="str">
        <f ca="1">IFERROR(__xludf.DUMMYFUNCTION("""COMPUTED_VALUE"""),"Inside School Building")</f>
        <v>Inside School Building</v>
      </c>
      <c r="U3092" s="8" t="str">
        <f ca="1">IFERROR(__xludf.DUMMYFUNCTION("""COMPUTED_VALUE"""),"Yes")</f>
        <v>Yes</v>
      </c>
      <c r="V3092" s="8" t="str">
        <f ca="1">IFERROR(__xludf.DUMMYFUNCTION("""COMPUTED_VALUE"""),"Morning Classes")</f>
        <v>Morning Classes</v>
      </c>
      <c r="W3092" s="11">
        <f ca="1">IFERROR(__xludf.DUMMYFUNCTION("""COMPUTED_VALUE"""),0.395833333333333)</f>
        <v>0.39583333333333298</v>
      </c>
      <c r="X3092" s="8"/>
      <c r="Y3092" s="12" t="str">
        <f ca="1">IFERROR(__xludf.DUMMYFUNCTION("""COMPUTED_VALUE"""),"Husband came to school where his wife worked as teacher. Chased her through school, shot, and killed her.")</f>
        <v>Husband came to school where his wife worked as teacher. Chased her through school, shot, and killed her.</v>
      </c>
      <c r="Z3092" s="12" t="str">
        <f ca="1">IFERROR(__xludf.DUMMYFUNCTION("""COMPUTED_VALUE"""),"Entered classroom and pulled out long .22 caliber pistol - teacher - his wife, ran. he caught up to her but she broke away and entered another teacher's classroom. That teacher was able to get most of the students out before he shot and killed her. Was ta"&amp;"ckled by other male teachers and held for police.")</f>
        <v>Entered classroom and pulled out long .22 caliber pistol - teacher - his wife, ran. he caught up to her but she broke away and entered another teacher's classroom. That teacher was able to get most of the students out before he shot and killed her. Was tackled by other male teachers and held for police.</v>
      </c>
      <c r="AA3092" s="8" t="str">
        <f ca="1">IFERROR(__xludf.DUMMYFUNCTION("""COMPUTED_VALUE"""),"Domestic w/ Targeted Victim")</f>
        <v>Domestic w/ Targeted Victim</v>
      </c>
      <c r="AB3092" s="8"/>
      <c r="AC3092" s="8"/>
      <c r="AD3092" s="8" t="str">
        <f ca="1">IFERROR(__xludf.DUMMYFUNCTION("""COMPUTED_VALUE"""),"Victims Targeted")</f>
        <v>Victims Targeted</v>
      </c>
      <c r="AE3092" s="8" t="str">
        <f ca="1">IFERROR(__xludf.DUMMYFUNCTION("""COMPUTED_VALUE"""),"No")</f>
        <v>No</v>
      </c>
      <c r="AF3092" s="8"/>
      <c r="AG3092" s="8" t="str">
        <f ca="1">IFERROR(__xludf.DUMMYFUNCTION("""COMPUTED_VALUE"""),"No")</f>
        <v>No</v>
      </c>
      <c r="AH3092" s="8" t="str">
        <f ca="1">IFERROR(__xludf.DUMMYFUNCTION("""COMPUTED_VALUE"""),"No")</f>
        <v>No</v>
      </c>
      <c r="AI3092" s="8" t="str">
        <f ca="1">IFERROR(__xludf.DUMMYFUNCTION("""COMPUTED_VALUE"""),"No")</f>
        <v>No</v>
      </c>
      <c r="AJ3092" s="8" t="str">
        <f ca="1">IFERROR(__xludf.DUMMYFUNCTION("""COMPUTED_VALUE"""),"No")</f>
        <v>No</v>
      </c>
      <c r="AK3092" s="8" t="str">
        <f ca="1">IFERROR(__xludf.DUMMYFUNCTION("""COMPUTED_VALUE"""),"Yes")</f>
        <v>Yes</v>
      </c>
      <c r="AL3092" s="8" t="str">
        <f ca="1">IFERROR(__xludf.DUMMYFUNCTION("""COMPUTED_VALUE"""),"No")</f>
        <v>No</v>
      </c>
      <c r="AM3092" s="8"/>
      <c r="AN3092" s="8"/>
      <c r="AO3092" s="8" t="str">
        <f ca="1">IFERROR(__xludf.DUMMYFUNCTION("""COMPUTED_VALUE"""),"No")</f>
        <v>No</v>
      </c>
      <c r="AP3092" s="8"/>
      <c r="AQ3092" s="8" t="str">
        <f ca="1">IFERROR(__xludf.DUMMYFUNCTION("""COMPUTED_VALUE"""),"Unknown")</f>
        <v>Unknown</v>
      </c>
      <c r="AR3092" s="8" t="str">
        <f ca="1">IFERROR(__xludf.DUMMYFUNCTION("""COMPUTED_VALUE"""),"NA")</f>
        <v>NA</v>
      </c>
      <c r="AS3092" s="8">
        <f ca="1">IFERROR(__xludf.DUMMYFUNCTION("""COMPUTED_VALUE"""),2)</f>
        <v>2</v>
      </c>
      <c r="AT3092" s="8"/>
      <c r="AU3092" s="8">
        <f ca="1">IFERROR(__xludf.DUMMYFUNCTION("""COMPUTED_VALUE"""),38.934518)</f>
        <v>38.934517999999997</v>
      </c>
      <c r="AV3092" s="8">
        <f ca="1">IFERROR(__xludf.DUMMYFUNCTION("""COMPUTED_VALUE"""),-77.021391)</f>
        <v>-77.021390999999994</v>
      </c>
      <c r="AW3092" s="8"/>
      <c r="AX3092" s="8">
        <f ca="1">IFERROR(__xludf.DUMMYFUNCTION("""COMPUTED_VALUE"""),20010)</f>
        <v>20010</v>
      </c>
    </row>
    <row r="3093" spans="1:50" ht="60" x14ac:dyDescent="0.2">
      <c r="A3093" s="8" t="str">
        <f ca="1">IFERROR(__xludf.DUMMYFUNCTION("""COMPUTED_VALUE"""),"19711213MDCAB")</f>
        <v>19711213MDCAB</v>
      </c>
      <c r="B3093" s="8">
        <f ca="1">IFERROR(__xludf.DUMMYFUNCTION("""COMPUTED_VALUE"""),12)</f>
        <v>12</v>
      </c>
      <c r="C3093" s="8">
        <f ca="1">IFERROR(__xludf.DUMMYFUNCTION("""COMPUTED_VALUE"""),13)</f>
        <v>13</v>
      </c>
      <c r="D3093" s="8">
        <f ca="1">IFERROR(__xludf.DUMMYFUNCTION("""COMPUTED_VALUE"""),1971)</f>
        <v>1971</v>
      </c>
      <c r="E3093" s="9">
        <f ca="1">IFERROR(__xludf.DUMMYFUNCTION("""COMPUTED_VALUE"""),26280)</f>
        <v>26280</v>
      </c>
      <c r="F3093" s="8" t="str">
        <f ca="1">IFERROR(__xludf.DUMMYFUNCTION("""COMPUTED_VALUE"""),"Carver Vocational High School")</f>
        <v>Carver Vocational High School</v>
      </c>
      <c r="G3093" s="8">
        <f ca="1">IFERROR(__xludf.DUMMYFUNCTION("""COMPUTED_VALUE"""),0)</f>
        <v>0</v>
      </c>
      <c r="H3093" s="8">
        <f ca="1">IFERROR(__xludf.DUMMYFUNCTION("""COMPUTED_VALUE"""),1)</f>
        <v>1</v>
      </c>
      <c r="I3093" s="8">
        <f ca="1">IFERROR(__xludf.DUMMYFUNCTION("""COMPUTED_VALUE"""),1)</f>
        <v>1</v>
      </c>
      <c r="J3093" s="8">
        <f ca="1">IFERROR(__xludf.DUMMYFUNCTION("""COMPUTED_VALUE"""),0)</f>
        <v>0</v>
      </c>
      <c r="K3093" s="10" t="str">
        <f ca="1">IFERROR(__xludf.DUMMYFUNCTION("""COMPUTED_VALUE"""),"https://www.newspapers.com/image/372317689/?terms=school%2Bshooting")</f>
        <v>https://www.newspapers.com/image/372317689/?terms=school%2Bshooting</v>
      </c>
      <c r="L3093" s="8"/>
      <c r="M3093" s="8"/>
      <c r="N3093" s="8">
        <f ca="1">IFERROR(__xludf.DUMMYFUNCTION("""COMPUTED_VALUE"""),2)</f>
        <v>2</v>
      </c>
      <c r="O3093" s="8" t="str">
        <f ca="1">IFERROR(__xludf.DUMMYFUNCTION("""COMPUTED_VALUE"""),"Winter")</f>
        <v>Winter</v>
      </c>
      <c r="P3093" s="8" t="str">
        <f ca="1">IFERROR(__xludf.DUMMYFUNCTION("""COMPUTED_VALUE"""),"Baltimore")</f>
        <v>Baltimore</v>
      </c>
      <c r="Q3093" s="8" t="str">
        <f ca="1">IFERROR(__xludf.DUMMYFUNCTION("""COMPUTED_VALUE"""),"MD")</f>
        <v>MD</v>
      </c>
      <c r="R3093" s="8" t="str">
        <f ca="1">IFERROR(__xludf.DUMMYFUNCTION("""COMPUTED_VALUE"""),"High")</f>
        <v>High</v>
      </c>
      <c r="S3093" s="8" t="str">
        <f ca="1">IFERROR(__xludf.DUMMYFUNCTION("""COMPUTED_VALUE"""),"Classroom")</f>
        <v>Classroom</v>
      </c>
      <c r="T3093" s="8" t="str">
        <f ca="1">IFERROR(__xludf.DUMMYFUNCTION("""COMPUTED_VALUE"""),"Inside School Building")</f>
        <v>Inside School Building</v>
      </c>
      <c r="U3093" s="8" t="str">
        <f ca="1">IFERROR(__xludf.DUMMYFUNCTION("""COMPUTED_VALUE"""),"Yes")</f>
        <v>Yes</v>
      </c>
      <c r="V3093" s="8" t="str">
        <f ca="1">IFERROR(__xludf.DUMMYFUNCTION("""COMPUTED_VALUE"""),"Morning Classes")</f>
        <v>Morning Classes</v>
      </c>
      <c r="W3093" s="11">
        <f ca="1">IFERROR(__xludf.DUMMYFUNCTION("""COMPUTED_VALUE"""),0.345833333333333)</f>
        <v>0.34583333333333299</v>
      </c>
      <c r="X3093" s="8">
        <f ca="1">IFERROR(__xludf.DUMMYFUNCTION("""COMPUTED_VALUE"""),1)</f>
        <v>1</v>
      </c>
      <c r="Y3093" s="12" t="str">
        <f ca="1">IFERROR(__xludf.DUMMYFUNCTION("""COMPUTED_VALUE"""),"Argument over payment for craps game")</f>
        <v>Argument over payment for craps game</v>
      </c>
      <c r="Z3093" s="12" t="str">
        <f ca="1">IFERROR(__xludf.DUMMYFUNCTION("""COMPUTED_VALUE"""),"Shooter demanded that victim pay him for debt from craps game. Victim refused and shooter fired at him in classroom then chased him into hallway shooting him 2 more times. Shooter fled the scene.")</f>
        <v>Shooter demanded that victim pay him for debt from craps game. Victim refused and shooter fired at him in classroom then chased him into hallway shooting him 2 more times. Shooter fled the scene.</v>
      </c>
      <c r="AA3093" s="8" t="str">
        <f ca="1">IFERROR(__xludf.DUMMYFUNCTION("""COMPUTED_VALUE"""),"Escalation of Dispute")</f>
        <v>Escalation of Dispute</v>
      </c>
      <c r="AB3093" s="8"/>
      <c r="AC3093" s="8"/>
      <c r="AD3093" s="8" t="str">
        <f ca="1">IFERROR(__xludf.DUMMYFUNCTION("""COMPUTED_VALUE"""),"Victims Targeted")</f>
        <v>Victims Targeted</v>
      </c>
      <c r="AE3093" s="8" t="str">
        <f ca="1">IFERROR(__xludf.DUMMYFUNCTION("""COMPUTED_VALUE"""),"No")</f>
        <v>No</v>
      </c>
      <c r="AF3093" s="8"/>
      <c r="AG3093" s="8" t="str">
        <f ca="1">IFERROR(__xludf.DUMMYFUNCTION("""COMPUTED_VALUE"""),"No")</f>
        <v>No</v>
      </c>
      <c r="AH3093" s="8" t="str">
        <f ca="1">IFERROR(__xludf.DUMMYFUNCTION("""COMPUTED_VALUE"""),"No")</f>
        <v>No</v>
      </c>
      <c r="AI3093" s="8" t="str">
        <f ca="1">IFERROR(__xludf.DUMMYFUNCTION("""COMPUTED_VALUE"""),"No")</f>
        <v>No</v>
      </c>
      <c r="AJ3093" s="8" t="str">
        <f ca="1">IFERROR(__xludf.DUMMYFUNCTION("""COMPUTED_VALUE"""),"No")</f>
        <v>No</v>
      </c>
      <c r="AK3093" s="8" t="str">
        <f ca="1">IFERROR(__xludf.DUMMYFUNCTION("""COMPUTED_VALUE"""),"No")</f>
        <v>No</v>
      </c>
      <c r="AL3093" s="8" t="str">
        <f ca="1">IFERROR(__xludf.DUMMYFUNCTION("""COMPUTED_VALUE"""),"No")</f>
        <v>No</v>
      </c>
      <c r="AM3093" s="8"/>
      <c r="AN3093" s="8"/>
      <c r="AO3093" s="8" t="str">
        <f ca="1">IFERROR(__xludf.DUMMYFUNCTION("""COMPUTED_VALUE"""),"No")</f>
        <v>No</v>
      </c>
      <c r="AP3093" s="8"/>
      <c r="AQ3093" s="8" t="str">
        <f ca="1">IFERROR(__xludf.DUMMYFUNCTION("""COMPUTED_VALUE"""),"Unknown")</f>
        <v>Unknown</v>
      </c>
      <c r="AR3093" s="8" t="str">
        <f ca="1">IFERROR(__xludf.DUMMYFUNCTION("""COMPUTED_VALUE"""),"NA")</f>
        <v>NA</v>
      </c>
      <c r="AS3093" s="8">
        <f ca="1">IFERROR(__xludf.DUMMYFUNCTION("""COMPUTED_VALUE"""),3)</f>
        <v>3</v>
      </c>
      <c r="AT3093" s="8"/>
      <c r="AU3093" s="8">
        <f ca="1">IFERROR(__xludf.DUMMYFUNCTION("""COMPUTED_VALUE"""),39.304426)</f>
        <v>39.304425999999999</v>
      </c>
      <c r="AV3093" s="8">
        <f ca="1">IFERROR(__xludf.DUMMYFUNCTION("""COMPUTED_VALUE"""),-76.652935)</f>
        <v>-76.652934999999999</v>
      </c>
      <c r="AW3093" s="8"/>
      <c r="AX3093" s="8">
        <f ca="1">IFERROR(__xludf.DUMMYFUNCTION("""COMPUTED_VALUE"""),21217)</f>
        <v>21217</v>
      </c>
    </row>
    <row r="3094" spans="1:50" ht="75" x14ac:dyDescent="0.2">
      <c r="A3094" s="8" t="str">
        <f ca="1">IFERROR(__xludf.DUMMYFUNCTION("""COMPUTED_VALUE"""),"19711206CALOL")</f>
        <v>19711206CALOL</v>
      </c>
      <c r="B3094" s="8">
        <f ca="1">IFERROR(__xludf.DUMMYFUNCTION("""COMPUTED_VALUE"""),12)</f>
        <v>12</v>
      </c>
      <c r="C3094" s="8">
        <f ca="1">IFERROR(__xludf.DUMMYFUNCTION("""COMPUTED_VALUE"""),6)</f>
        <v>6</v>
      </c>
      <c r="D3094" s="8">
        <f ca="1">IFERROR(__xludf.DUMMYFUNCTION("""COMPUTED_VALUE"""),1971)</f>
        <v>1971</v>
      </c>
      <c r="E3094" s="9">
        <f ca="1">IFERROR(__xludf.DUMMYFUNCTION("""COMPUTED_VALUE"""),26273)</f>
        <v>26273</v>
      </c>
      <c r="F3094" s="8" t="str">
        <f ca="1">IFERROR(__xludf.DUMMYFUNCTION("""COMPUTED_VALUE"""),"Louis Stevenson Junior High School")</f>
        <v>Louis Stevenson Junior High School</v>
      </c>
      <c r="G3094" s="8">
        <f ca="1">IFERROR(__xludf.DUMMYFUNCTION("""COMPUTED_VALUE"""),0)</f>
        <v>0</v>
      </c>
      <c r="H3094" s="8">
        <f ca="1">IFERROR(__xludf.DUMMYFUNCTION("""COMPUTED_VALUE"""),4)</f>
        <v>4</v>
      </c>
      <c r="I3094" s="8">
        <f ca="1">IFERROR(__xludf.DUMMYFUNCTION("""COMPUTED_VALUE"""),4)</f>
        <v>4</v>
      </c>
      <c r="J3094" s="8">
        <f ca="1">IFERROR(__xludf.DUMMYFUNCTION("""COMPUTED_VALUE"""),0)</f>
        <v>0</v>
      </c>
      <c r="K3094" s="8" t="str">
        <f ca="1">IFERROR(__xludf.DUMMYFUNCTION("""COMPUTED_VALUE"""),"https://www.newspapers.com/image/385580480/?terms=school%2Bshooting .")</f>
        <v>https://www.newspapers.com/image/385580480/?terms=school%2Bshooting .</v>
      </c>
      <c r="L3094" s="8"/>
      <c r="M3094" s="8"/>
      <c r="N3094" s="8">
        <f ca="1">IFERROR(__xludf.DUMMYFUNCTION("""COMPUTED_VALUE"""),2)</f>
        <v>2</v>
      </c>
      <c r="O3094" s="8" t="str">
        <f ca="1">IFERROR(__xludf.DUMMYFUNCTION("""COMPUTED_VALUE"""),"Winter")</f>
        <v>Winter</v>
      </c>
      <c r="P3094" s="8" t="str">
        <f ca="1">IFERROR(__xludf.DUMMYFUNCTION("""COMPUTED_VALUE"""),"Los Angeles")</f>
        <v>Los Angeles</v>
      </c>
      <c r="Q3094" s="8" t="str">
        <f ca="1">IFERROR(__xludf.DUMMYFUNCTION("""COMPUTED_VALUE"""),"CA")</f>
        <v>CA</v>
      </c>
      <c r="R3094" s="8" t="str">
        <f ca="1">IFERROR(__xludf.DUMMYFUNCTION("""COMPUTED_VALUE"""),"Junior High")</f>
        <v>Junior High</v>
      </c>
      <c r="S3094" s="8" t="str">
        <f ca="1">IFERROR(__xludf.DUMMYFUNCTION("""COMPUTED_VALUE"""),"Gym")</f>
        <v>Gym</v>
      </c>
      <c r="T3094" s="8" t="str">
        <f ca="1">IFERROR(__xludf.DUMMYFUNCTION("""COMPUTED_VALUE"""),"Inside School Building")</f>
        <v>Inside School Building</v>
      </c>
      <c r="U3094" s="8" t="str">
        <f ca="1">IFERROR(__xludf.DUMMYFUNCTION("""COMPUTED_VALUE"""),"Yes")</f>
        <v>Yes</v>
      </c>
      <c r="V3094" s="8"/>
      <c r="W3094" s="8"/>
      <c r="X3094" s="8"/>
      <c r="Y3094" s="12" t="str">
        <f ca="1">IFERROR(__xludf.DUMMYFUNCTION("""COMPUTED_VALUE"""),"Shooting between rival gang members, 2 bystander/students hit")</f>
        <v>Shooting between rival gang members, 2 bystander/students hit</v>
      </c>
      <c r="Z3094" s="12" t="str">
        <f ca="1">IFERROR(__xludf.DUMMYFUNCTION("""COMPUTED_VALUE"""),"2 gang members shot at 2 other gang members outside of gym (all students). Two girls were struck in the crossfire.")</f>
        <v>2 gang members shot at 2 other gang members outside of gym (all students). Two girls were struck in the crossfire.</v>
      </c>
      <c r="AA3094" s="8" t="str">
        <f ca="1">IFERROR(__xludf.DUMMYFUNCTION("""COMPUTED_VALUE"""),"Escalation of Dispute")</f>
        <v>Escalation of Dispute</v>
      </c>
      <c r="AB3094" s="8"/>
      <c r="AC3094" s="8"/>
      <c r="AD3094" s="8" t="str">
        <f ca="1">IFERROR(__xludf.DUMMYFUNCTION("""COMPUTED_VALUE"""),"Both")</f>
        <v>Both</v>
      </c>
      <c r="AE3094" s="8" t="str">
        <f ca="1">IFERROR(__xludf.DUMMYFUNCTION("""COMPUTED_VALUE"""),"Unknown")</f>
        <v>Unknown</v>
      </c>
      <c r="AF3094" s="8"/>
      <c r="AG3094" s="8" t="str">
        <f ca="1">IFERROR(__xludf.DUMMYFUNCTION("""COMPUTED_VALUE"""),"No")</f>
        <v>No</v>
      </c>
      <c r="AH3094" s="8" t="str">
        <f ca="1">IFERROR(__xludf.DUMMYFUNCTION("""COMPUTED_VALUE"""),"No")</f>
        <v>No</v>
      </c>
      <c r="AI3094" s="8" t="str">
        <f ca="1">IFERROR(__xludf.DUMMYFUNCTION("""COMPUTED_VALUE"""),"No")</f>
        <v>No</v>
      </c>
      <c r="AJ3094" s="8" t="str">
        <f ca="1">IFERROR(__xludf.DUMMYFUNCTION("""COMPUTED_VALUE"""),"No")</f>
        <v>No</v>
      </c>
      <c r="AK3094" s="8" t="str">
        <f ca="1">IFERROR(__xludf.DUMMYFUNCTION("""COMPUTED_VALUE"""),"No")</f>
        <v>No</v>
      </c>
      <c r="AL3094" s="8" t="str">
        <f ca="1">IFERROR(__xludf.DUMMYFUNCTION("""COMPUTED_VALUE"""),"Yes")</f>
        <v>Yes</v>
      </c>
      <c r="AM3094" s="8"/>
      <c r="AN3094" s="8"/>
      <c r="AO3094" s="8" t="str">
        <f ca="1">IFERROR(__xludf.DUMMYFUNCTION("""COMPUTED_VALUE"""),"No")</f>
        <v>No</v>
      </c>
      <c r="AP3094" s="8"/>
      <c r="AQ3094" s="8" t="str">
        <f ca="1">IFERROR(__xludf.DUMMYFUNCTION("""COMPUTED_VALUE"""),"Unknown")</f>
        <v>Unknown</v>
      </c>
      <c r="AR3094" s="8" t="str">
        <f ca="1">IFERROR(__xludf.DUMMYFUNCTION("""COMPUTED_VALUE"""),"NA")</f>
        <v>NA</v>
      </c>
      <c r="AS3094" s="8"/>
      <c r="AT3094" s="8"/>
      <c r="AU3094" s="8">
        <f ca="1">IFERROR(__xludf.DUMMYFUNCTION("""COMPUTED_VALUE"""),34.02614)</f>
        <v>34.026139999999998</v>
      </c>
      <c r="AV3094" s="8">
        <f ca="1">IFERROR(__xludf.DUMMYFUNCTION("""COMPUTED_VALUE"""),-118.193601)</f>
        <v>-118.193601</v>
      </c>
      <c r="AW3094" s="8"/>
      <c r="AX3094" s="8">
        <f ca="1">IFERROR(__xludf.DUMMYFUNCTION("""COMPUTED_VALUE"""),90023)</f>
        <v>90023</v>
      </c>
    </row>
    <row r="3095" spans="1:50" ht="90" x14ac:dyDescent="0.2">
      <c r="A3095" s="8" t="str">
        <f ca="1">IFERROR(__xludf.DUMMYFUNCTION("""COMPUTED_VALUE"""),"19711124MDEDB")</f>
        <v>19711124MDEDB</v>
      </c>
      <c r="B3095" s="8">
        <f ca="1">IFERROR(__xludf.DUMMYFUNCTION("""COMPUTED_VALUE"""),11)</f>
        <v>11</v>
      </c>
      <c r="C3095" s="8">
        <f ca="1">IFERROR(__xludf.DUMMYFUNCTION("""COMPUTED_VALUE"""),24)</f>
        <v>24</v>
      </c>
      <c r="D3095" s="8">
        <f ca="1">IFERROR(__xludf.DUMMYFUNCTION("""COMPUTED_VALUE"""),1971)</f>
        <v>1971</v>
      </c>
      <c r="E3095" s="9">
        <f ca="1">IFERROR(__xludf.DUMMYFUNCTION("""COMPUTED_VALUE"""),26261)</f>
        <v>26261</v>
      </c>
      <c r="F3095" s="8" t="str">
        <f ca="1">IFERROR(__xludf.DUMMYFUNCTION("""COMPUTED_VALUE"""),"Edmondson Senior High School")</f>
        <v>Edmondson Senior High School</v>
      </c>
      <c r="G3095" s="8">
        <f ca="1">IFERROR(__xludf.DUMMYFUNCTION("""COMPUTED_VALUE"""),1)</f>
        <v>1</v>
      </c>
      <c r="H3095" s="8">
        <f ca="1">IFERROR(__xludf.DUMMYFUNCTION("""COMPUTED_VALUE"""),0)</f>
        <v>0</v>
      </c>
      <c r="I3095" s="8">
        <f ca="1">IFERROR(__xludf.DUMMYFUNCTION("""COMPUTED_VALUE"""),1)</f>
        <v>1</v>
      </c>
      <c r="J3095" s="8">
        <f ca="1">IFERROR(__xludf.DUMMYFUNCTION("""COMPUTED_VALUE"""),0)</f>
        <v>0</v>
      </c>
      <c r="K3095" s="8" t="str">
        <f ca="1">IFERROR(__xludf.DUMMYFUNCTION("""COMPUTED_VALUE"""),"https://www.newspapers.com/image/371197186/?terms=school%2Bshooting .  https://www.newspapers.com/image/371192433/?terms=Edmondson%2Bhigh%2Bschool .   https://www.newspapers.com/image/377068202/?terms=elliott%2Bwest .   https://www.newspapers.com/image/37"&amp;"1819898/?terms=dexter%2Bj.%2Bjohnson")</f>
        <v>https://www.newspapers.com/image/371197186/?terms=school%2Bshooting .  https://www.newspapers.com/image/371192433/?terms=Edmondson%2Bhigh%2Bschool .   https://www.newspapers.com/image/377068202/?terms=elliott%2Bwest .   https://www.newspapers.com/image/371819898/?terms=dexter%2Bj.%2Bjohnson</v>
      </c>
      <c r="L3095" s="8"/>
      <c r="M3095" s="8"/>
      <c r="N3095" s="8">
        <f ca="1">IFERROR(__xludf.DUMMYFUNCTION("""COMPUTED_VALUE"""),4)</f>
        <v>4</v>
      </c>
      <c r="O3095" s="8" t="str">
        <f ca="1">IFERROR(__xludf.DUMMYFUNCTION("""COMPUTED_VALUE"""),"Fall")</f>
        <v>Fall</v>
      </c>
      <c r="P3095" s="8" t="str">
        <f ca="1">IFERROR(__xludf.DUMMYFUNCTION("""COMPUTED_VALUE"""),"Baltimore")</f>
        <v>Baltimore</v>
      </c>
      <c r="Q3095" s="8" t="str">
        <f ca="1">IFERROR(__xludf.DUMMYFUNCTION("""COMPUTED_VALUE"""),"MD")</f>
        <v>MD</v>
      </c>
      <c r="R3095" s="8" t="str">
        <f ca="1">IFERROR(__xludf.DUMMYFUNCTION("""COMPUTED_VALUE"""),"High")</f>
        <v>High</v>
      </c>
      <c r="S3095" s="8" t="str">
        <f ca="1">IFERROR(__xludf.DUMMYFUNCTION("""COMPUTED_VALUE"""),"Parking Lot")</f>
        <v>Parking Lot</v>
      </c>
      <c r="T3095" s="8" t="str">
        <f ca="1">IFERROR(__xludf.DUMMYFUNCTION("""COMPUTED_VALUE"""),"Outside on School Property")</f>
        <v>Outside on School Property</v>
      </c>
      <c r="U3095" s="8" t="str">
        <f ca="1">IFERROR(__xludf.DUMMYFUNCTION("""COMPUTED_VALUE"""),"Yes")</f>
        <v>Yes</v>
      </c>
      <c r="V3095" s="8" t="str">
        <f ca="1">IFERROR(__xludf.DUMMYFUNCTION("""COMPUTED_VALUE"""),"Afternoon Classes")</f>
        <v>Afternoon Classes</v>
      </c>
      <c r="W3095" s="11">
        <f ca="1">IFERROR(__xludf.DUMMYFUNCTION("""COMPUTED_VALUE"""),0.602083333333333)</f>
        <v>0.60208333333333297</v>
      </c>
      <c r="X3095" s="8">
        <f ca="1">IFERROR(__xludf.DUMMYFUNCTION("""COMPUTED_VALUE"""),1)</f>
        <v>1</v>
      </c>
      <c r="Y3095" s="12" t="str">
        <f ca="1">IFERROR(__xludf.DUMMYFUNCTION("""COMPUTED_VALUE"""),"Shooter shot victim after ongoing argument")</f>
        <v>Shooter shot victim after ongoing argument</v>
      </c>
      <c r="Z3095" s="12" t="str">
        <f ca="1">IFERROR(__xludf.DUMMYFUNCTION("""COMPUTED_VALUE"""),"Shooter and suspect had gotten into argument earlier at school. Shooter later went home and retrieved a handgun. Shooter later saw victim in school parking lot. Shooter claimed after victim swung his fists at him, shooter shot victim three times. Victim l"&amp;"ater died. Suspect caught and charged.")</f>
        <v>Shooter and suspect had gotten into argument earlier at school. Shooter later went home and retrieved a handgun. Shooter later saw victim in school parking lot. Shooter claimed after victim swung his fists at him, shooter shot victim three times. Victim later died. Suspect caught and charged.</v>
      </c>
      <c r="AA3095" s="8" t="str">
        <f ca="1">IFERROR(__xludf.DUMMYFUNCTION("""COMPUTED_VALUE"""),"Escalation of Dispute")</f>
        <v>Escalation of Dispute</v>
      </c>
      <c r="AB3095" s="8"/>
      <c r="AC3095" s="8"/>
      <c r="AD3095" s="8" t="str">
        <f ca="1">IFERROR(__xludf.DUMMYFUNCTION("""COMPUTED_VALUE"""),"Victims Targeted")</f>
        <v>Victims Targeted</v>
      </c>
      <c r="AE3095" s="8" t="str">
        <f ca="1">IFERROR(__xludf.DUMMYFUNCTION("""COMPUTED_VALUE"""),"No")</f>
        <v>No</v>
      </c>
      <c r="AF3095" s="8"/>
      <c r="AG3095" s="8" t="str">
        <f ca="1">IFERROR(__xludf.DUMMYFUNCTION("""COMPUTED_VALUE"""),"No")</f>
        <v>No</v>
      </c>
      <c r="AH3095" s="8" t="str">
        <f ca="1">IFERROR(__xludf.DUMMYFUNCTION("""COMPUTED_VALUE"""),"No")</f>
        <v>No</v>
      </c>
      <c r="AI3095" s="8" t="str">
        <f ca="1">IFERROR(__xludf.DUMMYFUNCTION("""COMPUTED_VALUE"""),"No")</f>
        <v>No</v>
      </c>
      <c r="AJ3095" s="8" t="str">
        <f ca="1">IFERROR(__xludf.DUMMYFUNCTION("""COMPUTED_VALUE"""),"No")</f>
        <v>No</v>
      </c>
      <c r="AK3095" s="8" t="str">
        <f ca="1">IFERROR(__xludf.DUMMYFUNCTION("""COMPUTED_VALUE"""),"No")</f>
        <v>No</v>
      </c>
      <c r="AL3095" s="8" t="str">
        <f ca="1">IFERROR(__xludf.DUMMYFUNCTION("""COMPUTED_VALUE"""),"No")</f>
        <v>No</v>
      </c>
      <c r="AM3095" s="8"/>
      <c r="AN3095" s="8"/>
      <c r="AO3095" s="8" t="str">
        <f ca="1">IFERROR(__xludf.DUMMYFUNCTION("""COMPUTED_VALUE"""),"No")</f>
        <v>No</v>
      </c>
      <c r="AP3095" s="8"/>
      <c r="AQ3095" s="8" t="str">
        <f ca="1">IFERROR(__xludf.DUMMYFUNCTION("""COMPUTED_VALUE"""),"Unknown")</f>
        <v>Unknown</v>
      </c>
      <c r="AR3095" s="8" t="str">
        <f ca="1">IFERROR(__xludf.DUMMYFUNCTION("""COMPUTED_VALUE"""),"NA")</f>
        <v>NA</v>
      </c>
      <c r="AS3095" s="8">
        <f ca="1">IFERROR(__xludf.DUMMYFUNCTION("""COMPUTED_VALUE"""),5)</f>
        <v>5</v>
      </c>
      <c r="AT3095" s="8"/>
      <c r="AU3095" s="8">
        <f ca="1">IFERROR(__xludf.DUMMYFUNCTION("""COMPUTED_VALUE"""),39.291584)</f>
        <v>39.291584</v>
      </c>
      <c r="AV3095" s="8">
        <f ca="1">IFERROR(__xludf.DUMMYFUNCTION("""COMPUTED_VALUE"""),-76.68796)</f>
        <v>-76.687960000000004</v>
      </c>
      <c r="AW3095" s="8"/>
      <c r="AX3095" s="8">
        <f ca="1">IFERROR(__xludf.DUMMYFUNCTION("""COMPUTED_VALUE"""),21229)</f>
        <v>21229</v>
      </c>
    </row>
    <row r="3096" spans="1:50" ht="45" x14ac:dyDescent="0.2">
      <c r="A3096" s="8" t="str">
        <f ca="1">IFERROR(__xludf.DUMMYFUNCTION("""COMPUTED_VALUE"""),"19711108OKGRT")</f>
        <v>19711108OKGRT</v>
      </c>
      <c r="B3096" s="8">
        <f ca="1">IFERROR(__xludf.DUMMYFUNCTION("""COMPUTED_VALUE"""),11)</f>
        <v>11</v>
      </c>
      <c r="C3096" s="8">
        <f ca="1">IFERROR(__xludf.DUMMYFUNCTION("""COMPUTED_VALUE"""),8)</f>
        <v>8</v>
      </c>
      <c r="D3096" s="8">
        <f ca="1">IFERROR(__xludf.DUMMYFUNCTION("""COMPUTED_VALUE"""),1971)</f>
        <v>1971</v>
      </c>
      <c r="E3096" s="9">
        <f ca="1">IFERROR(__xludf.DUMMYFUNCTION("""COMPUTED_VALUE"""),26245)</f>
        <v>26245</v>
      </c>
      <c r="F3096" s="8" t="str">
        <f ca="1">IFERROR(__xludf.DUMMYFUNCTION("""COMPUTED_VALUE"""),"Grove Elementary School")</f>
        <v>Grove Elementary School</v>
      </c>
      <c r="G3096" s="8">
        <f ca="1">IFERROR(__xludf.DUMMYFUNCTION("""COMPUTED_VALUE"""),1)</f>
        <v>1</v>
      </c>
      <c r="H3096" s="8">
        <f ca="1">IFERROR(__xludf.DUMMYFUNCTION("""COMPUTED_VALUE"""),0)</f>
        <v>0</v>
      </c>
      <c r="I3096" s="8">
        <f ca="1">IFERROR(__xludf.DUMMYFUNCTION("""COMPUTED_VALUE"""),1)</f>
        <v>1</v>
      </c>
      <c r="J3096" s="8">
        <f ca="1">IFERROR(__xludf.DUMMYFUNCTION("""COMPUTED_VALUE"""),0)</f>
        <v>0</v>
      </c>
      <c r="K3096" s="10" t="str">
        <f ca="1">IFERROR(__xludf.DUMMYFUNCTION("""COMPUTED_VALUE"""),"https://www.newspapers.com/image/310892698/?terms=Grove%2BElementary%2BSchool%2Bshooting")</f>
        <v>https://www.newspapers.com/image/310892698/?terms=Grove%2BElementary%2BSchool%2Bshooting</v>
      </c>
      <c r="L3096" s="8"/>
      <c r="M3096" s="8"/>
      <c r="N3096" s="8">
        <f ca="1">IFERROR(__xludf.DUMMYFUNCTION("""COMPUTED_VALUE"""),2)</f>
        <v>2</v>
      </c>
      <c r="O3096" s="8" t="str">
        <f ca="1">IFERROR(__xludf.DUMMYFUNCTION("""COMPUTED_VALUE"""),"Fall")</f>
        <v>Fall</v>
      </c>
      <c r="P3096" s="8" t="str">
        <f ca="1">IFERROR(__xludf.DUMMYFUNCTION("""COMPUTED_VALUE"""),"Tulsa")</f>
        <v>Tulsa</v>
      </c>
      <c r="Q3096" s="8" t="str">
        <f ca="1">IFERROR(__xludf.DUMMYFUNCTION("""COMPUTED_VALUE"""),"OK")</f>
        <v>OK</v>
      </c>
      <c r="R3096" s="8" t="str">
        <f ca="1">IFERROR(__xludf.DUMMYFUNCTION("""COMPUTED_VALUE"""),"Elementary")</f>
        <v>Elementary</v>
      </c>
      <c r="S3096" s="8" t="str">
        <f ca="1">IFERROR(__xludf.DUMMYFUNCTION("""COMPUTED_VALUE"""),"Other")</f>
        <v>Other</v>
      </c>
      <c r="T3096" s="8" t="str">
        <f ca="1">IFERROR(__xludf.DUMMYFUNCTION("""COMPUTED_VALUE"""),"Inside School Building")</f>
        <v>Inside School Building</v>
      </c>
      <c r="U3096" s="8" t="str">
        <f ca="1">IFERROR(__xludf.DUMMYFUNCTION("""COMPUTED_VALUE"""),"Yes")</f>
        <v>Yes</v>
      </c>
      <c r="V3096" s="8" t="str">
        <f ca="1">IFERROR(__xludf.DUMMYFUNCTION("""COMPUTED_VALUE"""),"Morning Classes")</f>
        <v>Morning Classes</v>
      </c>
      <c r="W3096" s="11">
        <f ca="1">IFERROR(__xludf.DUMMYFUNCTION("""COMPUTED_VALUE"""),0.375)</f>
        <v>0.375</v>
      </c>
      <c r="X3096" s="8">
        <f ca="1">IFERROR(__xludf.DUMMYFUNCTION("""COMPUTED_VALUE"""),1)</f>
        <v>1</v>
      </c>
      <c r="Y3096" s="12" t="str">
        <f ca="1">IFERROR(__xludf.DUMMYFUNCTION("""COMPUTED_VALUE"""),"Shooting in janitor's closet, long standing feud")</f>
        <v>Shooting in janitor's closet, long standing feud</v>
      </c>
      <c r="Z3096" s="12" t="str">
        <f ca="1">IFERROR(__xludf.DUMMYFUNCTION("""COMPUTED_VALUE"""),"Principal killed in janitor's closet by custodian. Long standing feud between the two men.")</f>
        <v>Principal killed in janitor's closet by custodian. Long standing feud between the two men.</v>
      </c>
      <c r="AA3096" s="8" t="str">
        <f ca="1">IFERROR(__xludf.DUMMYFUNCTION("""COMPUTED_VALUE"""),"Escalation of Dispute")</f>
        <v>Escalation of Dispute</v>
      </c>
      <c r="AB3096" s="8"/>
      <c r="AC3096" s="8"/>
      <c r="AD3096" s="8" t="str">
        <f ca="1">IFERROR(__xludf.DUMMYFUNCTION("""COMPUTED_VALUE"""),"Victims Targeted")</f>
        <v>Victims Targeted</v>
      </c>
      <c r="AE3096" s="8" t="str">
        <f ca="1">IFERROR(__xludf.DUMMYFUNCTION("""COMPUTED_VALUE"""),"No")</f>
        <v>No</v>
      </c>
      <c r="AF3096" s="8"/>
      <c r="AG3096" s="8" t="str">
        <f ca="1">IFERROR(__xludf.DUMMYFUNCTION("""COMPUTED_VALUE"""),"No")</f>
        <v>No</v>
      </c>
      <c r="AH3096" s="8" t="str">
        <f ca="1">IFERROR(__xludf.DUMMYFUNCTION("""COMPUTED_VALUE"""),"No")</f>
        <v>No</v>
      </c>
      <c r="AI3096" s="8" t="str">
        <f ca="1">IFERROR(__xludf.DUMMYFUNCTION("""COMPUTED_VALUE"""),"No")</f>
        <v>No</v>
      </c>
      <c r="AJ3096" s="8" t="str">
        <f ca="1">IFERROR(__xludf.DUMMYFUNCTION("""COMPUTED_VALUE"""),"No")</f>
        <v>No</v>
      </c>
      <c r="AK3096" s="8" t="str">
        <f ca="1">IFERROR(__xludf.DUMMYFUNCTION("""COMPUTED_VALUE"""),"No")</f>
        <v>No</v>
      </c>
      <c r="AL3096" s="8" t="str">
        <f ca="1">IFERROR(__xludf.DUMMYFUNCTION("""COMPUTED_VALUE"""),"No")</f>
        <v>No</v>
      </c>
      <c r="AM3096" s="8"/>
      <c r="AN3096" s="8"/>
      <c r="AO3096" s="8" t="str">
        <f ca="1">IFERROR(__xludf.DUMMYFUNCTION("""COMPUTED_VALUE"""),"No")</f>
        <v>No</v>
      </c>
      <c r="AP3096" s="8"/>
      <c r="AQ3096" s="8" t="str">
        <f ca="1">IFERROR(__xludf.DUMMYFUNCTION("""COMPUTED_VALUE"""),"Unknown")</f>
        <v>Unknown</v>
      </c>
      <c r="AR3096" s="8" t="str">
        <f ca="1">IFERROR(__xludf.DUMMYFUNCTION("""COMPUTED_VALUE"""),"NA")</f>
        <v>NA</v>
      </c>
      <c r="AS3096" s="8">
        <f ca="1">IFERROR(__xludf.DUMMYFUNCTION("""COMPUTED_VALUE"""),3)</f>
        <v>3</v>
      </c>
      <c r="AT3096" s="8"/>
      <c r="AU3096" s="8">
        <f ca="1">IFERROR(__xludf.DUMMYFUNCTION("""COMPUTED_VALUE"""),36.072867)</f>
        <v>36.072867000000002</v>
      </c>
      <c r="AV3096" s="8">
        <f ca="1">IFERROR(__xludf.DUMMYFUNCTION("""COMPUTED_VALUE"""),-95.861315)</f>
        <v>-95.861315000000005</v>
      </c>
      <c r="AW3096" s="8"/>
      <c r="AX3096" s="8">
        <f ca="1">IFERROR(__xludf.DUMMYFUNCTION("""COMPUTED_VALUE"""),74133)</f>
        <v>74133</v>
      </c>
    </row>
    <row r="3097" spans="1:50" ht="60" x14ac:dyDescent="0.2">
      <c r="A3097" s="8" t="str">
        <f ca="1">IFERROR(__xludf.DUMMYFUNCTION("""COMPUTED_VALUE"""),"19711103NMCAC")</f>
        <v>19711103NMCAC</v>
      </c>
      <c r="B3097" s="8">
        <f ca="1">IFERROR(__xludf.DUMMYFUNCTION("""COMPUTED_VALUE"""),11)</f>
        <v>11</v>
      </c>
      <c r="C3097" s="8">
        <f ca="1">IFERROR(__xludf.DUMMYFUNCTION("""COMPUTED_VALUE"""),3)</f>
        <v>3</v>
      </c>
      <c r="D3097" s="8">
        <f ca="1">IFERROR(__xludf.DUMMYFUNCTION("""COMPUTED_VALUE"""),1971)</f>
        <v>1971</v>
      </c>
      <c r="E3097" s="9">
        <f ca="1">IFERROR(__xludf.DUMMYFUNCTION("""COMPUTED_VALUE"""),26240)</f>
        <v>26240</v>
      </c>
      <c r="F3097" s="8" t="str">
        <f ca="1">IFERROR(__xludf.DUMMYFUNCTION("""COMPUTED_VALUE"""),"Carlsbad Mid-High School")</f>
        <v>Carlsbad Mid-High School</v>
      </c>
      <c r="G3097" s="8">
        <f ca="1">IFERROR(__xludf.DUMMYFUNCTION("""COMPUTED_VALUE"""),0)</f>
        <v>0</v>
      </c>
      <c r="H3097" s="8">
        <f ca="1">IFERROR(__xludf.DUMMYFUNCTION("""COMPUTED_VALUE"""),1)</f>
        <v>1</v>
      </c>
      <c r="I3097" s="8">
        <f ca="1">IFERROR(__xludf.DUMMYFUNCTION("""COMPUTED_VALUE"""),1)</f>
        <v>1</v>
      </c>
      <c r="J3097" s="8">
        <f ca="1">IFERROR(__xludf.DUMMYFUNCTION("""COMPUTED_VALUE"""),1)</f>
        <v>1</v>
      </c>
      <c r="K3097" s="8" t="str">
        <f ca="1">IFERROR(__xludf.DUMMYFUNCTION("""COMPUTED_VALUE"""),"https://newspaperarchive.com/hutchinson-news-nov-04-1971-p-1/ https://www.newspapers.com/image/53647877/?terms=school%2Bshooting")</f>
        <v>https://newspaperarchive.com/hutchinson-news-nov-04-1971-p-1/ https://www.newspapers.com/image/53647877/?terms=school%2Bshooting</v>
      </c>
      <c r="L3097" s="8"/>
      <c r="M3097" s="8"/>
      <c r="N3097" s="8">
        <f ca="1">IFERROR(__xludf.DUMMYFUNCTION("""COMPUTED_VALUE"""),3)</f>
        <v>3</v>
      </c>
      <c r="O3097" s="8" t="str">
        <f ca="1">IFERROR(__xludf.DUMMYFUNCTION("""COMPUTED_VALUE"""),"Fall")</f>
        <v>Fall</v>
      </c>
      <c r="P3097" s="8" t="str">
        <f ca="1">IFERROR(__xludf.DUMMYFUNCTION("""COMPUTED_VALUE"""),"Carlsbad")</f>
        <v>Carlsbad</v>
      </c>
      <c r="Q3097" s="8" t="str">
        <f ca="1">IFERROR(__xludf.DUMMYFUNCTION("""COMPUTED_VALUE"""),"NM")</f>
        <v>NM</v>
      </c>
      <c r="R3097" s="13">
        <f ca="1">IFERROR(__xludf.DUMMYFUNCTION("""COMPUTED_VALUE"""),44724)</f>
        <v>44724</v>
      </c>
      <c r="S3097" s="8" t="str">
        <f ca="1">IFERROR(__xludf.DUMMYFUNCTION("""COMPUTED_VALUE"""),"Other")</f>
        <v>Other</v>
      </c>
      <c r="T3097" s="8" t="str">
        <f ca="1">IFERROR(__xludf.DUMMYFUNCTION("""COMPUTED_VALUE"""),"Inside School Building")</f>
        <v>Inside School Building</v>
      </c>
      <c r="U3097" s="8" t="str">
        <f ca="1">IFERROR(__xludf.DUMMYFUNCTION("""COMPUTED_VALUE"""),"Yes")</f>
        <v>Yes</v>
      </c>
      <c r="V3097" s="8" t="str">
        <f ca="1">IFERROR(__xludf.DUMMYFUNCTION("""COMPUTED_VALUE"""),"Morning Classes")</f>
        <v>Morning Classes</v>
      </c>
      <c r="W3097" s="11">
        <f ca="1">IFERROR(__xludf.DUMMYFUNCTION("""COMPUTED_VALUE"""),0.429861111111111)</f>
        <v>0.42986111111111103</v>
      </c>
      <c r="X3097" s="8">
        <f ca="1">IFERROR(__xludf.DUMMYFUNCTION("""COMPUTED_VALUE"""),121)</f>
        <v>121</v>
      </c>
      <c r="Y3097" s="12" t="str">
        <f ca="1">IFERROR(__xludf.DUMMYFUNCTION("""COMPUTED_VALUE"""),"Shooter fired from 3rd floor tower at random victims")</f>
        <v>Shooter fired from 3rd floor tower at random victims</v>
      </c>
      <c r="Z3097" s="12" t="str">
        <f ca="1">IFERROR(__xludf.DUMMYFUNCTION("""COMPUTED_VALUE"""),"Shooter (mental patient/former student) climbed into 3rd floor tower, barricaded himself inside and shot randomly for two hours. No known reason for rampage. Shooter had previously been committed to a mental institution.")</f>
        <v>Shooter (mental patient/former student) climbed into 3rd floor tower, barricaded himself inside and shot randomly for two hours. No known reason for rampage. Shooter had previously been committed to a mental institution.</v>
      </c>
      <c r="AA3097" s="8" t="str">
        <f ca="1">IFERROR(__xludf.DUMMYFUNCTION("""COMPUTED_VALUE"""),"Psychosis")</f>
        <v>Psychosis</v>
      </c>
      <c r="AB3097" s="8"/>
      <c r="AC3097" s="8"/>
      <c r="AD3097" s="8" t="str">
        <f ca="1">IFERROR(__xludf.DUMMYFUNCTION("""COMPUTED_VALUE"""),"Random Shooting")</f>
        <v>Random Shooting</v>
      </c>
      <c r="AE3097" s="8" t="str">
        <f ca="1">IFERROR(__xludf.DUMMYFUNCTION("""COMPUTED_VALUE"""),"No")</f>
        <v>No</v>
      </c>
      <c r="AF3097" s="8"/>
      <c r="AG3097" s="8" t="str">
        <f ca="1">IFERROR(__xludf.DUMMYFUNCTION("""COMPUTED_VALUE"""),"No")</f>
        <v>No</v>
      </c>
      <c r="AH3097" s="8" t="str">
        <f ca="1">IFERROR(__xludf.DUMMYFUNCTION("""COMPUTED_VALUE"""),"Yes")</f>
        <v>Yes</v>
      </c>
      <c r="AI3097" s="8" t="str">
        <f ca="1">IFERROR(__xludf.DUMMYFUNCTION("""COMPUTED_VALUE"""),"No")</f>
        <v>No</v>
      </c>
      <c r="AJ3097" s="8" t="str">
        <f ca="1">IFERROR(__xludf.DUMMYFUNCTION("""COMPUTED_VALUE"""),"No")</f>
        <v>No</v>
      </c>
      <c r="AK3097" s="8" t="str">
        <f ca="1">IFERROR(__xludf.DUMMYFUNCTION("""COMPUTED_VALUE"""),"No")</f>
        <v>No</v>
      </c>
      <c r="AL3097" s="8" t="str">
        <f ca="1">IFERROR(__xludf.DUMMYFUNCTION("""COMPUTED_VALUE"""),"No")</f>
        <v>No</v>
      </c>
      <c r="AM3097" s="8" t="str">
        <f ca="1">IFERROR(__xludf.DUMMYFUNCTION("""COMPUTED_VALUE"""),"Yes")</f>
        <v>Yes</v>
      </c>
      <c r="AN3097" s="8" t="str">
        <f ca="1">IFERROR(__xludf.DUMMYFUNCTION("""COMPUTED_VALUE"""),"Single Room")</f>
        <v>Single Room</v>
      </c>
      <c r="AO3097" s="8" t="str">
        <f ca="1">IFERROR(__xludf.DUMMYFUNCTION("""COMPUTED_VALUE"""),"No")</f>
        <v>No</v>
      </c>
      <c r="AP3097" s="8"/>
      <c r="AQ3097" s="8" t="str">
        <f ca="1">IFERROR(__xludf.DUMMYFUNCTION("""COMPUTED_VALUE"""),"Unknown")</f>
        <v>Unknown</v>
      </c>
      <c r="AR3097" s="8" t="str">
        <f ca="1">IFERROR(__xludf.DUMMYFUNCTION("""COMPUTED_VALUE"""),"NA")</f>
        <v>NA</v>
      </c>
      <c r="AS3097" s="8">
        <f ca="1">IFERROR(__xludf.DUMMYFUNCTION("""COMPUTED_VALUE"""),20)</f>
        <v>20</v>
      </c>
      <c r="AT3097" s="8"/>
      <c r="AU3097" s="8">
        <f ca="1">IFERROR(__xludf.DUMMYFUNCTION("""COMPUTED_VALUE"""),32.429151)</f>
        <v>32.429150999999997</v>
      </c>
      <c r="AV3097" s="8">
        <f ca="1">IFERROR(__xludf.DUMMYFUNCTION("""COMPUTED_VALUE"""),-104.235647)</f>
        <v>-104.235647</v>
      </c>
      <c r="AW3097" s="8"/>
      <c r="AX3097" s="8">
        <f ca="1">IFERROR(__xludf.DUMMYFUNCTION("""COMPUTED_VALUE"""),88220)</f>
        <v>88220</v>
      </c>
    </row>
    <row r="3098" spans="1:50" ht="75" x14ac:dyDescent="0.2">
      <c r="A3098" s="8" t="str">
        <f ca="1">IFERROR(__xludf.DUMMYFUNCTION("""COMPUTED_VALUE"""),"19711029MDFRB")</f>
        <v>19711029MDFRB</v>
      </c>
      <c r="B3098" s="8">
        <f ca="1">IFERROR(__xludf.DUMMYFUNCTION("""COMPUTED_VALUE"""),10)</f>
        <v>10</v>
      </c>
      <c r="C3098" s="8">
        <f ca="1">IFERROR(__xludf.DUMMYFUNCTION("""COMPUTED_VALUE"""),29)</f>
        <v>29</v>
      </c>
      <c r="D3098" s="8">
        <f ca="1">IFERROR(__xludf.DUMMYFUNCTION("""COMPUTED_VALUE"""),1971)</f>
        <v>1971</v>
      </c>
      <c r="E3098" s="9">
        <f ca="1">IFERROR(__xludf.DUMMYFUNCTION("""COMPUTED_VALUE"""),26235)</f>
        <v>26235</v>
      </c>
      <c r="F3098" s="8" t="str">
        <f ca="1">IFERROR(__xludf.DUMMYFUNCTION("""COMPUTED_VALUE"""),"Frederick Douglass High School")</f>
        <v>Frederick Douglass High School</v>
      </c>
      <c r="G3098" s="8">
        <f ca="1">IFERROR(__xludf.DUMMYFUNCTION("""COMPUTED_VALUE"""),0)</f>
        <v>0</v>
      </c>
      <c r="H3098" s="8">
        <f ca="1">IFERROR(__xludf.DUMMYFUNCTION("""COMPUTED_VALUE"""),2)</f>
        <v>2</v>
      </c>
      <c r="I3098" s="8">
        <f ca="1">IFERROR(__xludf.DUMMYFUNCTION("""COMPUTED_VALUE"""),2)</f>
        <v>2</v>
      </c>
      <c r="J3098" s="8">
        <f ca="1">IFERROR(__xludf.DUMMYFUNCTION("""COMPUTED_VALUE"""),0)</f>
        <v>0</v>
      </c>
      <c r="K3098" s="10" t="str">
        <f ca="1">IFERROR(__xludf.DUMMYFUNCTION("""COMPUTED_VALUE"""),"https://www.newspapers.com/image/377096935/")</f>
        <v>https://www.newspapers.com/image/377096935/</v>
      </c>
      <c r="L3098" s="8"/>
      <c r="M3098" s="8"/>
      <c r="N3098" s="8">
        <f ca="1">IFERROR(__xludf.DUMMYFUNCTION("""COMPUTED_VALUE"""),2)</f>
        <v>2</v>
      </c>
      <c r="O3098" s="8" t="str">
        <f ca="1">IFERROR(__xludf.DUMMYFUNCTION("""COMPUTED_VALUE"""),"Fall")</f>
        <v>Fall</v>
      </c>
      <c r="P3098" s="8" t="str">
        <f ca="1">IFERROR(__xludf.DUMMYFUNCTION("""COMPUTED_VALUE"""),"Baltimore")</f>
        <v>Baltimore</v>
      </c>
      <c r="Q3098" s="8" t="str">
        <f ca="1">IFERROR(__xludf.DUMMYFUNCTION("""COMPUTED_VALUE"""),"MD")</f>
        <v>MD</v>
      </c>
      <c r="R3098" s="8" t="str">
        <f ca="1">IFERROR(__xludf.DUMMYFUNCTION("""COMPUTED_VALUE"""),"High")</f>
        <v>High</v>
      </c>
      <c r="S3098" s="8" t="str">
        <f ca="1">IFERROR(__xludf.DUMMYFUNCTION("""COMPUTED_VALUE"""),"Parking Lot")</f>
        <v>Parking Lot</v>
      </c>
      <c r="T3098" s="8" t="str">
        <f ca="1">IFERROR(__xludf.DUMMYFUNCTION("""COMPUTED_VALUE"""),"Outside on School Property")</f>
        <v>Outside on School Property</v>
      </c>
      <c r="U3098" s="8" t="str">
        <f ca="1">IFERROR(__xludf.DUMMYFUNCTION("""COMPUTED_VALUE"""),"No")</f>
        <v>No</v>
      </c>
      <c r="V3098" s="8" t="str">
        <f ca="1">IFERROR(__xludf.DUMMYFUNCTION("""COMPUTED_VALUE"""),"Dismissal")</f>
        <v>Dismissal</v>
      </c>
      <c r="W3098" s="11">
        <f ca="1">IFERROR(__xludf.DUMMYFUNCTION("""COMPUTED_VALUE"""),0.625)</f>
        <v>0.625</v>
      </c>
      <c r="X3098" s="8">
        <f ca="1">IFERROR(__xludf.DUMMYFUNCTION("""COMPUTED_VALUE"""),1)</f>
        <v>1</v>
      </c>
      <c r="Y3098" s="12" t="str">
        <f ca="1">IFERROR(__xludf.DUMMYFUNCTION("""COMPUTED_VALUE"""),"2 student hit in crossfire of fight that escalated into shooting in the parking lot")</f>
        <v>2 student hit in crossfire of fight that escalated into shooting in the parking lot</v>
      </c>
      <c r="Z3098" s="12" t="str">
        <f ca="1">IFERROR(__xludf.DUMMYFUNCTION("""COMPUTED_VALUE"""),"Students hit in the crossfire during fight between other students in the parking lot.")</f>
        <v>Students hit in the crossfire during fight between other students in the parking lot.</v>
      </c>
      <c r="AA3098" s="8" t="str">
        <f ca="1">IFERROR(__xludf.DUMMYFUNCTION("""COMPUTED_VALUE"""),"Escalation of Dispute")</f>
        <v>Escalation of Dispute</v>
      </c>
      <c r="AB3098" s="8"/>
      <c r="AC3098" s="8"/>
      <c r="AD3098" s="8" t="str">
        <f ca="1">IFERROR(__xludf.DUMMYFUNCTION("""COMPUTED_VALUE"""),"Random Shooting")</f>
        <v>Random Shooting</v>
      </c>
      <c r="AE3098" s="8" t="str">
        <f ca="1">IFERROR(__xludf.DUMMYFUNCTION("""COMPUTED_VALUE"""),"Yes")</f>
        <v>Yes</v>
      </c>
      <c r="AF3098" s="8" t="str">
        <f ca="1">IFERROR(__xludf.DUMMYFUNCTION("""COMPUTED_VALUE"""),"Two teens involved")</f>
        <v>Two teens involved</v>
      </c>
      <c r="AG3098" s="8" t="str">
        <f ca="1">IFERROR(__xludf.DUMMYFUNCTION("""COMPUTED_VALUE"""),"No")</f>
        <v>No</v>
      </c>
      <c r="AH3098" s="8" t="str">
        <f ca="1">IFERROR(__xludf.DUMMYFUNCTION("""COMPUTED_VALUE"""),"No")</f>
        <v>No</v>
      </c>
      <c r="AI3098" s="8" t="str">
        <f ca="1">IFERROR(__xludf.DUMMYFUNCTION("""COMPUTED_VALUE"""),"No")</f>
        <v>No</v>
      </c>
      <c r="AJ3098" s="8" t="str">
        <f ca="1">IFERROR(__xludf.DUMMYFUNCTION("""COMPUTED_VALUE"""),"No")</f>
        <v>No</v>
      </c>
      <c r="AK3098" s="8" t="str">
        <f ca="1">IFERROR(__xludf.DUMMYFUNCTION("""COMPUTED_VALUE"""),"No")</f>
        <v>No</v>
      </c>
      <c r="AL3098" s="8" t="str">
        <f ca="1">IFERROR(__xludf.DUMMYFUNCTION("""COMPUTED_VALUE"""),"No")</f>
        <v>No</v>
      </c>
      <c r="AM3098" s="8"/>
      <c r="AN3098" s="8"/>
      <c r="AO3098" s="8" t="str">
        <f ca="1">IFERROR(__xludf.DUMMYFUNCTION("""COMPUTED_VALUE"""),"No")</f>
        <v>No</v>
      </c>
      <c r="AP3098" s="8"/>
      <c r="AQ3098" s="8" t="str">
        <f ca="1">IFERROR(__xludf.DUMMYFUNCTION("""COMPUTED_VALUE"""),"Unknown")</f>
        <v>Unknown</v>
      </c>
      <c r="AR3098" s="8" t="str">
        <f ca="1">IFERROR(__xludf.DUMMYFUNCTION("""COMPUTED_VALUE"""),"NA")</f>
        <v>NA</v>
      </c>
      <c r="AS3098" s="8" t="str">
        <f ca="1">IFERROR(__xludf.DUMMYFUNCTION("""COMPUTED_VALUE"""),"&lt;10")</f>
        <v>&lt;10</v>
      </c>
      <c r="AT3098" s="8"/>
      <c r="AU3098" s="8">
        <f ca="1">IFERROR(__xludf.DUMMYFUNCTION("""COMPUTED_VALUE"""),39.314627)</f>
        <v>39.314627000000002</v>
      </c>
      <c r="AV3098" s="8">
        <f ca="1">IFERROR(__xludf.DUMMYFUNCTION("""COMPUTED_VALUE"""),-76.655011)</f>
        <v>-76.655011000000002</v>
      </c>
      <c r="AW3098" s="8"/>
      <c r="AX3098" s="8">
        <f ca="1">IFERROR(__xludf.DUMMYFUNCTION("""COMPUTED_VALUE"""),21217)</f>
        <v>21217</v>
      </c>
    </row>
    <row r="3099" spans="1:50" ht="60" x14ac:dyDescent="0.2">
      <c r="A3099" s="8" t="str">
        <f ca="1">IFERROR(__xludf.DUMMYFUNCTION("""COMPUTED_VALUE"""),"19711029MDFOB")</f>
        <v>19711029MDFOB</v>
      </c>
      <c r="B3099" s="8">
        <f ca="1">IFERROR(__xludf.DUMMYFUNCTION("""COMPUTED_VALUE"""),10)</f>
        <v>10</v>
      </c>
      <c r="C3099" s="8">
        <f ca="1">IFERROR(__xludf.DUMMYFUNCTION("""COMPUTED_VALUE"""),29)</f>
        <v>29</v>
      </c>
      <c r="D3099" s="8">
        <f ca="1">IFERROR(__xludf.DUMMYFUNCTION("""COMPUTED_VALUE"""),1971)</f>
        <v>1971</v>
      </c>
      <c r="E3099" s="9">
        <f ca="1">IFERROR(__xludf.DUMMYFUNCTION("""COMPUTED_VALUE"""),26235)</f>
        <v>26235</v>
      </c>
      <c r="F3099" s="8" t="str">
        <f ca="1">IFERROR(__xludf.DUMMYFUNCTION("""COMPUTED_VALUE"""),"Forest Park High School")</f>
        <v>Forest Park High School</v>
      </c>
      <c r="G3099" s="8">
        <f ca="1">IFERROR(__xludf.DUMMYFUNCTION("""COMPUTED_VALUE"""),0)</f>
        <v>0</v>
      </c>
      <c r="H3099" s="8">
        <f ca="1">IFERROR(__xludf.DUMMYFUNCTION("""COMPUTED_VALUE"""),1)</f>
        <v>1</v>
      </c>
      <c r="I3099" s="8">
        <f ca="1">IFERROR(__xludf.DUMMYFUNCTION("""COMPUTED_VALUE"""),1)</f>
        <v>1</v>
      </c>
      <c r="J3099" s="8">
        <f ca="1">IFERROR(__xludf.DUMMYFUNCTION("""COMPUTED_VALUE"""),0)</f>
        <v>0</v>
      </c>
      <c r="K3099" s="10" t="str">
        <f ca="1">IFERROR(__xludf.DUMMYFUNCTION("""COMPUTED_VALUE"""),"https://www.newspapers.com/image/377096935/")</f>
        <v>https://www.newspapers.com/image/377096935/</v>
      </c>
      <c r="L3099" s="8"/>
      <c r="M3099" s="8"/>
      <c r="N3099" s="8">
        <f ca="1">IFERROR(__xludf.DUMMYFUNCTION("""COMPUTED_VALUE"""),2)</f>
        <v>2</v>
      </c>
      <c r="O3099" s="8" t="str">
        <f ca="1">IFERROR(__xludf.DUMMYFUNCTION("""COMPUTED_VALUE"""),"Fall")</f>
        <v>Fall</v>
      </c>
      <c r="P3099" s="8" t="str">
        <f ca="1">IFERROR(__xludf.DUMMYFUNCTION("""COMPUTED_VALUE"""),"Baltimore")</f>
        <v>Baltimore</v>
      </c>
      <c r="Q3099" s="8" t="str">
        <f ca="1">IFERROR(__xludf.DUMMYFUNCTION("""COMPUTED_VALUE"""),"MD")</f>
        <v>MD</v>
      </c>
      <c r="R3099" s="8" t="str">
        <f ca="1">IFERROR(__xludf.DUMMYFUNCTION("""COMPUTED_VALUE"""),"High")</f>
        <v>High</v>
      </c>
      <c r="S3099" s="8" t="str">
        <f ca="1">IFERROR(__xludf.DUMMYFUNCTION("""COMPUTED_VALUE"""),"Beside Building")</f>
        <v>Beside Building</v>
      </c>
      <c r="T3099" s="8" t="str">
        <f ca="1">IFERROR(__xludf.DUMMYFUNCTION("""COMPUTED_VALUE"""),"Outside on School Property")</f>
        <v>Outside on School Property</v>
      </c>
      <c r="U3099" s="8" t="str">
        <f ca="1">IFERROR(__xludf.DUMMYFUNCTION("""COMPUTED_VALUE"""),"Yes")</f>
        <v>Yes</v>
      </c>
      <c r="V3099" s="8" t="str">
        <f ca="1">IFERROR(__xludf.DUMMYFUNCTION("""COMPUTED_VALUE"""),"Lunch")</f>
        <v>Lunch</v>
      </c>
      <c r="W3099" s="11">
        <f ca="1">IFERROR(__xludf.DUMMYFUNCTION("""COMPUTED_VALUE"""),0.496527777777777)</f>
        <v>0.49652777777777701</v>
      </c>
      <c r="X3099" s="8">
        <f ca="1">IFERROR(__xludf.DUMMYFUNCTION("""COMPUTED_VALUE"""),1)</f>
        <v>1</v>
      </c>
      <c r="Y3099" s="12" t="str">
        <f ca="1">IFERROR(__xludf.DUMMYFUNCTION("""COMPUTED_VALUE"""),"Rifle fired during fight over craps game, struck uninvolved student")</f>
        <v>Rifle fired during fight over craps game, struck uninvolved student</v>
      </c>
      <c r="Z3099" s="12" t="str">
        <f ca="1">IFERROR(__xludf.DUMMYFUNCTION("""COMPUTED_VALUE"""),"Dispute over craps game behind school during lunch. Rifle was fired and bullet struck uninvolved student.")</f>
        <v>Dispute over craps game behind school during lunch. Rifle was fired and bullet struck uninvolved student.</v>
      </c>
      <c r="AA3099" s="8" t="str">
        <f ca="1">IFERROR(__xludf.DUMMYFUNCTION("""COMPUTED_VALUE"""),"Escalation of Dispute")</f>
        <v>Escalation of Dispute</v>
      </c>
      <c r="AB3099" s="8"/>
      <c r="AC3099" s="8"/>
      <c r="AD3099" s="8" t="str">
        <f ca="1">IFERROR(__xludf.DUMMYFUNCTION("""COMPUTED_VALUE"""),"Neither")</f>
        <v>Neither</v>
      </c>
      <c r="AE3099" s="8" t="str">
        <f ca="1">IFERROR(__xludf.DUMMYFUNCTION("""COMPUTED_VALUE"""),"No")</f>
        <v>No</v>
      </c>
      <c r="AF3099" s="8"/>
      <c r="AG3099" s="8" t="str">
        <f ca="1">IFERROR(__xludf.DUMMYFUNCTION("""COMPUTED_VALUE"""),"No")</f>
        <v>No</v>
      </c>
      <c r="AH3099" s="8" t="str">
        <f ca="1">IFERROR(__xludf.DUMMYFUNCTION("""COMPUTED_VALUE"""),"No")</f>
        <v>No</v>
      </c>
      <c r="AI3099" s="8" t="str">
        <f ca="1">IFERROR(__xludf.DUMMYFUNCTION("""COMPUTED_VALUE"""),"No")</f>
        <v>No</v>
      </c>
      <c r="AJ3099" s="8" t="str">
        <f ca="1">IFERROR(__xludf.DUMMYFUNCTION("""COMPUTED_VALUE"""),"No")</f>
        <v>No</v>
      </c>
      <c r="AK3099" s="8" t="str">
        <f ca="1">IFERROR(__xludf.DUMMYFUNCTION("""COMPUTED_VALUE"""),"No")</f>
        <v>No</v>
      </c>
      <c r="AL3099" s="8" t="str">
        <f ca="1">IFERROR(__xludf.DUMMYFUNCTION("""COMPUTED_VALUE"""),"No")</f>
        <v>No</v>
      </c>
      <c r="AM3099" s="8"/>
      <c r="AN3099" s="8"/>
      <c r="AO3099" s="8" t="str">
        <f ca="1">IFERROR(__xludf.DUMMYFUNCTION("""COMPUTED_VALUE"""),"No")</f>
        <v>No</v>
      </c>
      <c r="AP3099" s="8"/>
      <c r="AQ3099" s="8" t="str">
        <f ca="1">IFERROR(__xludf.DUMMYFUNCTION("""COMPUTED_VALUE"""),"Unknown")</f>
        <v>Unknown</v>
      </c>
      <c r="AR3099" s="8" t="str">
        <f ca="1">IFERROR(__xludf.DUMMYFUNCTION("""COMPUTED_VALUE"""),"NA")</f>
        <v>NA</v>
      </c>
      <c r="AS3099" s="8">
        <f ca="1">IFERROR(__xludf.DUMMYFUNCTION("""COMPUTED_VALUE"""),1)</f>
        <v>1</v>
      </c>
      <c r="AT3099" s="8"/>
      <c r="AU3099" s="8">
        <f ca="1">IFERROR(__xludf.DUMMYFUNCTION("""COMPUTED_VALUE"""),39.332466)</f>
        <v>39.332465999999997</v>
      </c>
      <c r="AV3099" s="8">
        <f ca="1">IFERROR(__xludf.DUMMYFUNCTION("""COMPUTED_VALUE"""),-76.6895)</f>
        <v>-76.689499999999995</v>
      </c>
      <c r="AW3099" s="8"/>
      <c r="AX3099" s="8">
        <f ca="1">IFERROR(__xludf.DUMMYFUNCTION("""COMPUTED_VALUE"""),21207)</f>
        <v>21207</v>
      </c>
    </row>
    <row r="3100" spans="1:50" ht="45" x14ac:dyDescent="0.2">
      <c r="A3100" s="8" t="str">
        <f ca="1">IFERROR(__xludf.DUMMYFUNCTION("""COMPUTED_VALUE"""),"19711028MDCIB")</f>
        <v>19711028MDCIB</v>
      </c>
      <c r="B3100" s="8">
        <f ca="1">IFERROR(__xludf.DUMMYFUNCTION("""COMPUTED_VALUE"""),10)</f>
        <v>10</v>
      </c>
      <c r="C3100" s="8">
        <f ca="1">IFERROR(__xludf.DUMMYFUNCTION("""COMPUTED_VALUE"""),28)</f>
        <v>28</v>
      </c>
      <c r="D3100" s="8">
        <f ca="1">IFERROR(__xludf.DUMMYFUNCTION("""COMPUTED_VALUE"""),1971)</f>
        <v>1971</v>
      </c>
      <c r="E3100" s="9">
        <f ca="1">IFERROR(__xludf.DUMMYFUNCTION("""COMPUTED_VALUE"""),26234)</f>
        <v>26234</v>
      </c>
      <c r="F3100" s="8" t="str">
        <f ca="1">IFERROR(__xludf.DUMMYFUNCTION("""COMPUTED_VALUE"""),"City College High School")</f>
        <v>City College High School</v>
      </c>
      <c r="G3100" s="8">
        <f ca="1">IFERROR(__xludf.DUMMYFUNCTION("""COMPUTED_VALUE"""),0)</f>
        <v>0</v>
      </c>
      <c r="H3100" s="8">
        <f ca="1">IFERROR(__xludf.DUMMYFUNCTION("""COMPUTED_VALUE"""),1)</f>
        <v>1</v>
      </c>
      <c r="I3100" s="8">
        <f ca="1">IFERROR(__xludf.DUMMYFUNCTION("""COMPUTED_VALUE"""),1)</f>
        <v>1</v>
      </c>
      <c r="J3100" s="8">
        <f ca="1">IFERROR(__xludf.DUMMYFUNCTION("""COMPUTED_VALUE"""),0)</f>
        <v>0</v>
      </c>
      <c r="K3100" s="10" t="str">
        <f ca="1">IFERROR(__xludf.DUMMYFUNCTION("""COMPUTED_VALUE"""),"https://www.newspapers.com/image/377094051/?terms=school%2Bshooting")</f>
        <v>https://www.newspapers.com/image/377094051/?terms=school%2Bshooting</v>
      </c>
      <c r="L3100" s="8"/>
      <c r="M3100" s="8"/>
      <c r="N3100" s="8">
        <f ca="1">IFERROR(__xludf.DUMMYFUNCTION("""COMPUTED_VALUE"""),2)</f>
        <v>2</v>
      </c>
      <c r="O3100" s="8" t="str">
        <f ca="1">IFERROR(__xludf.DUMMYFUNCTION("""COMPUTED_VALUE"""),"Fall")</f>
        <v>Fall</v>
      </c>
      <c r="P3100" s="8" t="str">
        <f ca="1">IFERROR(__xludf.DUMMYFUNCTION("""COMPUTED_VALUE"""),"Baltimore")</f>
        <v>Baltimore</v>
      </c>
      <c r="Q3100" s="8" t="str">
        <f ca="1">IFERROR(__xludf.DUMMYFUNCTION("""COMPUTED_VALUE"""),"MD")</f>
        <v>MD</v>
      </c>
      <c r="R3100" s="8" t="str">
        <f ca="1">IFERROR(__xludf.DUMMYFUNCTION("""COMPUTED_VALUE"""),"High")</f>
        <v>High</v>
      </c>
      <c r="S3100" s="8" t="str">
        <f ca="1">IFERROR(__xludf.DUMMYFUNCTION("""COMPUTED_VALUE"""),"Hallway")</f>
        <v>Hallway</v>
      </c>
      <c r="T3100" s="8" t="str">
        <f ca="1">IFERROR(__xludf.DUMMYFUNCTION("""COMPUTED_VALUE"""),"Inside School Building")</f>
        <v>Inside School Building</v>
      </c>
      <c r="U3100" s="8" t="str">
        <f ca="1">IFERROR(__xludf.DUMMYFUNCTION("""COMPUTED_VALUE"""),"Yes")</f>
        <v>Yes</v>
      </c>
      <c r="V3100" s="8" t="str">
        <f ca="1">IFERROR(__xludf.DUMMYFUNCTION("""COMPUTED_VALUE"""),"Lunch")</f>
        <v>Lunch</v>
      </c>
      <c r="W3100" s="11">
        <f ca="1">IFERROR(__xludf.DUMMYFUNCTION("""COMPUTED_VALUE"""),0.493055555555555)</f>
        <v>0.49305555555555503</v>
      </c>
      <c r="X3100" s="8">
        <f ca="1">IFERROR(__xludf.DUMMYFUNCTION("""COMPUTED_VALUE"""),1)</f>
        <v>1</v>
      </c>
      <c r="Y3100" s="12" t="str">
        <f ca="1">IFERROR(__xludf.DUMMYFUNCTION("""COMPUTED_VALUE"""),"Shot during argument in stairwell")</f>
        <v>Shot during argument in stairwell</v>
      </c>
      <c r="Z3100" s="12" t="str">
        <f ca="1">IFERROR(__xludf.DUMMYFUNCTION("""COMPUTED_VALUE"""),"19 year-old male student shot after bumping into shooter in the stairwell resulting in an argument that turned into a shooting.")</f>
        <v>19 year-old male student shot after bumping into shooter in the stairwell resulting in an argument that turned into a shooting.</v>
      </c>
      <c r="AA3100" s="8" t="str">
        <f ca="1">IFERROR(__xludf.DUMMYFUNCTION("""COMPUTED_VALUE"""),"Escalation of Dispute")</f>
        <v>Escalation of Dispute</v>
      </c>
      <c r="AB3100" s="8"/>
      <c r="AC3100" s="8"/>
      <c r="AD3100" s="8" t="str">
        <f ca="1">IFERROR(__xludf.DUMMYFUNCTION("""COMPUTED_VALUE"""),"Victims Targeted")</f>
        <v>Victims Targeted</v>
      </c>
      <c r="AE3100" s="8" t="str">
        <f ca="1">IFERROR(__xludf.DUMMYFUNCTION("""COMPUTED_VALUE"""),"No")</f>
        <v>No</v>
      </c>
      <c r="AF3100" s="8"/>
      <c r="AG3100" s="8" t="str">
        <f ca="1">IFERROR(__xludf.DUMMYFUNCTION("""COMPUTED_VALUE"""),"No")</f>
        <v>No</v>
      </c>
      <c r="AH3100" s="8" t="str">
        <f ca="1">IFERROR(__xludf.DUMMYFUNCTION("""COMPUTED_VALUE"""),"No")</f>
        <v>No</v>
      </c>
      <c r="AI3100" s="8" t="str">
        <f ca="1">IFERROR(__xludf.DUMMYFUNCTION("""COMPUTED_VALUE"""),"No")</f>
        <v>No</v>
      </c>
      <c r="AJ3100" s="8" t="str">
        <f ca="1">IFERROR(__xludf.DUMMYFUNCTION("""COMPUTED_VALUE"""),"No")</f>
        <v>No</v>
      </c>
      <c r="AK3100" s="8" t="str">
        <f ca="1">IFERROR(__xludf.DUMMYFUNCTION("""COMPUTED_VALUE"""),"No")</f>
        <v>No</v>
      </c>
      <c r="AL3100" s="8" t="str">
        <f ca="1">IFERROR(__xludf.DUMMYFUNCTION("""COMPUTED_VALUE"""),"No")</f>
        <v>No</v>
      </c>
      <c r="AM3100" s="8"/>
      <c r="AN3100" s="8"/>
      <c r="AO3100" s="8" t="str">
        <f ca="1">IFERROR(__xludf.DUMMYFUNCTION("""COMPUTED_VALUE"""),"No")</f>
        <v>No</v>
      </c>
      <c r="AP3100" s="8"/>
      <c r="AQ3100" s="8" t="str">
        <f ca="1">IFERROR(__xludf.DUMMYFUNCTION("""COMPUTED_VALUE"""),"Unknown")</f>
        <v>Unknown</v>
      </c>
      <c r="AR3100" s="8" t="str">
        <f ca="1">IFERROR(__xludf.DUMMYFUNCTION("""COMPUTED_VALUE"""),"NA")</f>
        <v>NA</v>
      </c>
      <c r="AS3100" s="8">
        <f ca="1">IFERROR(__xludf.DUMMYFUNCTION("""COMPUTED_VALUE"""),2)</f>
        <v>2</v>
      </c>
      <c r="AT3100" s="8"/>
      <c r="AU3100" s="8">
        <f ca="1">IFERROR(__xludf.DUMMYFUNCTION("""COMPUTED_VALUE"""),39.325511)</f>
        <v>39.325510999999999</v>
      </c>
      <c r="AV3100" s="8">
        <f ca="1">IFERROR(__xludf.DUMMYFUNCTION("""COMPUTED_VALUE"""),-76.597423)</f>
        <v>-76.597423000000006</v>
      </c>
      <c r="AW3100" s="8"/>
      <c r="AX3100" s="8">
        <f ca="1">IFERROR(__xludf.DUMMYFUNCTION("""COMPUTED_VALUE"""),21218)</f>
        <v>21218</v>
      </c>
    </row>
    <row r="3101" spans="1:50" ht="75" x14ac:dyDescent="0.2">
      <c r="A3101" s="8" t="str">
        <f ca="1">IFERROR(__xludf.DUMMYFUNCTION("""COMPUTED_VALUE"""),"19710929VAPEP")</f>
        <v>19710929VAPEP</v>
      </c>
      <c r="B3101" s="8">
        <f ca="1">IFERROR(__xludf.DUMMYFUNCTION("""COMPUTED_VALUE"""),9)</f>
        <v>9</v>
      </c>
      <c r="C3101" s="8">
        <f ca="1">IFERROR(__xludf.DUMMYFUNCTION("""COMPUTED_VALUE"""),29)</f>
        <v>29</v>
      </c>
      <c r="D3101" s="8">
        <f ca="1">IFERROR(__xludf.DUMMYFUNCTION("""COMPUTED_VALUE"""),1971)</f>
        <v>1971</v>
      </c>
      <c r="E3101" s="9">
        <f ca="1">IFERROR(__xludf.DUMMYFUNCTION("""COMPUTED_VALUE"""),26205)</f>
        <v>26205</v>
      </c>
      <c r="F3101" s="8" t="str">
        <f ca="1">IFERROR(__xludf.DUMMYFUNCTION("""COMPUTED_VALUE"""),"Peabody Junior High School")</f>
        <v>Peabody Junior High School</v>
      </c>
      <c r="G3101" s="8">
        <f ca="1">IFERROR(__xludf.DUMMYFUNCTION("""COMPUTED_VALUE"""),1)</f>
        <v>1</v>
      </c>
      <c r="H3101" s="8">
        <f ca="1">IFERROR(__xludf.DUMMYFUNCTION("""COMPUTED_VALUE"""),2)</f>
        <v>2</v>
      </c>
      <c r="I3101" s="8">
        <f ca="1">IFERROR(__xludf.DUMMYFUNCTION("""COMPUTED_VALUE"""),3)</f>
        <v>3</v>
      </c>
      <c r="J3101" s="8">
        <f ca="1">IFERROR(__xludf.DUMMYFUNCTION("""COMPUTED_VALUE"""),0)</f>
        <v>0</v>
      </c>
      <c r="K3101" s="10" t="str">
        <f ca="1">IFERROR(__xludf.DUMMYFUNCTION("""COMPUTED_VALUE"""),"https://www.newspapers.com/image/378657230/?terms=school%2Bshooting")</f>
        <v>https://www.newspapers.com/image/378657230/?terms=school%2Bshooting</v>
      </c>
      <c r="L3101" s="8"/>
      <c r="M3101" s="8"/>
      <c r="N3101" s="8">
        <f ca="1">IFERROR(__xludf.DUMMYFUNCTION("""COMPUTED_VALUE"""),2)</f>
        <v>2</v>
      </c>
      <c r="O3101" s="8" t="str">
        <f ca="1">IFERROR(__xludf.DUMMYFUNCTION("""COMPUTED_VALUE"""),"Fall")</f>
        <v>Fall</v>
      </c>
      <c r="P3101" s="8" t="str">
        <f ca="1">IFERROR(__xludf.DUMMYFUNCTION("""COMPUTED_VALUE"""),"Petersburg")</f>
        <v>Petersburg</v>
      </c>
      <c r="Q3101" s="8" t="str">
        <f ca="1">IFERROR(__xludf.DUMMYFUNCTION("""COMPUTED_VALUE"""),"VA")</f>
        <v>VA</v>
      </c>
      <c r="R3101" s="8" t="str">
        <f ca="1">IFERROR(__xludf.DUMMYFUNCTION("""COMPUTED_VALUE"""),"Junior High")</f>
        <v>Junior High</v>
      </c>
      <c r="S3101" s="8" t="str">
        <f ca="1">IFERROR(__xludf.DUMMYFUNCTION("""COMPUTED_VALUE"""),"Classroom")</f>
        <v>Classroom</v>
      </c>
      <c r="T3101" s="8" t="str">
        <f ca="1">IFERROR(__xludf.DUMMYFUNCTION("""COMPUTED_VALUE"""),"Inside School Building")</f>
        <v>Inside School Building</v>
      </c>
      <c r="U3101" s="8" t="str">
        <f ca="1">IFERROR(__xludf.DUMMYFUNCTION("""COMPUTED_VALUE"""),"Yes")</f>
        <v>Yes</v>
      </c>
      <c r="V3101" s="8"/>
      <c r="W3101" s="8"/>
      <c r="X3101" s="8">
        <f ca="1">IFERROR(__xludf.DUMMYFUNCTION("""COMPUTED_VALUE"""),1)</f>
        <v>1</v>
      </c>
      <c r="Y3101" s="12" t="str">
        <f ca="1">IFERROR(__xludf.DUMMYFUNCTION("""COMPUTED_VALUE"""),"Ran into math class and fired 4 shots before being subdued")</f>
        <v>Ran into math class and fired 4 shots before being subdued</v>
      </c>
      <c r="Z3101" s="12" t="str">
        <f ca="1">IFERROR(__xludf.DUMMYFUNCTION("""COMPUTED_VALUE"""),"14 year-old male student ran into math class with pistol firing 4 shots before being subdued by teacher and other students. Shots injured 2 students and killed one other. School was recently desegregated but that did not appear to be a factor.")</f>
        <v>14 year-old male student ran into math class with pistol firing 4 shots before being subdued by teacher and other students. Shots injured 2 students and killed one other. School was recently desegregated but that did not appear to be a factor.</v>
      </c>
      <c r="AA3101" s="8" t="str">
        <f ca="1">IFERROR(__xludf.DUMMYFUNCTION("""COMPUTED_VALUE"""),"Indiscriminate Shooting")</f>
        <v>Indiscriminate Shooting</v>
      </c>
      <c r="AB3101" s="8"/>
      <c r="AC3101" s="8"/>
      <c r="AD3101" s="8" t="str">
        <f ca="1">IFERROR(__xludf.DUMMYFUNCTION("""COMPUTED_VALUE"""),"Random Shooting")</f>
        <v>Random Shooting</v>
      </c>
      <c r="AE3101" s="8" t="str">
        <f ca="1">IFERROR(__xludf.DUMMYFUNCTION("""COMPUTED_VALUE"""),"No")</f>
        <v>No</v>
      </c>
      <c r="AF3101" s="8"/>
      <c r="AG3101" s="8" t="str">
        <f ca="1">IFERROR(__xludf.DUMMYFUNCTION("""COMPUTED_VALUE"""),"No")</f>
        <v>No</v>
      </c>
      <c r="AH3101" s="8" t="str">
        <f ca="1">IFERROR(__xludf.DUMMYFUNCTION("""COMPUTED_VALUE"""),"No")</f>
        <v>No</v>
      </c>
      <c r="AI3101" s="8" t="str">
        <f ca="1">IFERROR(__xludf.DUMMYFUNCTION("""COMPUTED_VALUE"""),"No")</f>
        <v>No</v>
      </c>
      <c r="AJ3101" s="8"/>
      <c r="AK3101" s="8" t="str">
        <f ca="1">IFERROR(__xludf.DUMMYFUNCTION("""COMPUTED_VALUE"""),"No")</f>
        <v>No</v>
      </c>
      <c r="AL3101" s="8" t="str">
        <f ca="1">IFERROR(__xludf.DUMMYFUNCTION("""COMPUTED_VALUE"""),"No")</f>
        <v>No</v>
      </c>
      <c r="AM3101" s="8" t="str">
        <f ca="1">IFERROR(__xludf.DUMMYFUNCTION("""COMPUTED_VALUE"""),"Yes")</f>
        <v>Yes</v>
      </c>
      <c r="AN3101" s="8" t="str">
        <f ca="1">IFERROR(__xludf.DUMMYFUNCTION("""COMPUTED_VALUE"""),"Single Room")</f>
        <v>Single Room</v>
      </c>
      <c r="AO3101" s="8" t="str">
        <f ca="1">IFERROR(__xludf.DUMMYFUNCTION("""COMPUTED_VALUE"""),"No")</f>
        <v>No</v>
      </c>
      <c r="AP3101" s="8"/>
      <c r="AQ3101" s="8" t="str">
        <f ca="1">IFERROR(__xludf.DUMMYFUNCTION("""COMPUTED_VALUE"""),"Unknown")</f>
        <v>Unknown</v>
      </c>
      <c r="AR3101" s="8" t="str">
        <f ca="1">IFERROR(__xludf.DUMMYFUNCTION("""COMPUTED_VALUE"""),"NA")</f>
        <v>NA</v>
      </c>
      <c r="AS3101" s="8">
        <f ca="1">IFERROR(__xludf.DUMMYFUNCTION("""COMPUTED_VALUE"""),4)</f>
        <v>4</v>
      </c>
      <c r="AT3101" s="8"/>
      <c r="AU3101" s="8">
        <f ca="1">IFERROR(__xludf.DUMMYFUNCTION("""COMPUTED_VALUE"""),37.217415)</f>
        <v>37.217415000000003</v>
      </c>
      <c r="AV3101" s="8">
        <f ca="1">IFERROR(__xludf.DUMMYFUNCTION("""COMPUTED_VALUE"""),-77.410191)</f>
        <v>-77.410190999999998</v>
      </c>
      <c r="AW3101" s="8"/>
      <c r="AX3101" s="8">
        <f ca="1">IFERROR(__xludf.DUMMYFUNCTION("""COMPUTED_VALUE"""),23803)</f>
        <v>23803</v>
      </c>
    </row>
    <row r="3102" spans="1:50" ht="75" x14ac:dyDescent="0.2">
      <c r="A3102" s="8" t="str">
        <f ca="1">IFERROR(__xludf.DUMMYFUNCTION("""COMPUTED_VALUE"""),"19710928MNCEM")</f>
        <v>19710928MNCEM</v>
      </c>
      <c r="B3102" s="8">
        <f ca="1">IFERROR(__xludf.DUMMYFUNCTION("""COMPUTED_VALUE"""),9)</f>
        <v>9</v>
      </c>
      <c r="C3102" s="8">
        <f ca="1">IFERROR(__xludf.DUMMYFUNCTION("""COMPUTED_VALUE"""),28)</f>
        <v>28</v>
      </c>
      <c r="D3102" s="8">
        <f ca="1">IFERROR(__xludf.DUMMYFUNCTION("""COMPUTED_VALUE"""),1971)</f>
        <v>1971</v>
      </c>
      <c r="E3102" s="9">
        <f ca="1">IFERROR(__xludf.DUMMYFUNCTION("""COMPUTED_VALUE"""),26204)</f>
        <v>26204</v>
      </c>
      <c r="F3102" s="8" t="str">
        <f ca="1">IFERROR(__xludf.DUMMYFUNCTION("""COMPUTED_VALUE"""),"Central High School")</f>
        <v>Central High School</v>
      </c>
      <c r="G3102" s="8">
        <f ca="1">IFERROR(__xludf.DUMMYFUNCTION("""COMPUTED_VALUE"""),0)</f>
        <v>0</v>
      </c>
      <c r="H3102" s="8">
        <f ca="1">IFERROR(__xludf.DUMMYFUNCTION("""COMPUTED_VALUE"""),0)</f>
        <v>0</v>
      </c>
      <c r="I3102" s="8">
        <f ca="1">IFERROR(__xludf.DUMMYFUNCTION("""COMPUTED_VALUE"""),0)</f>
        <v>0</v>
      </c>
      <c r="J3102" s="8">
        <f ca="1">IFERROR(__xludf.DUMMYFUNCTION("""COMPUTED_VALUE"""),0)</f>
        <v>0</v>
      </c>
      <c r="K3102" s="10" t="str">
        <f ca="1">IFERROR(__xludf.DUMMYFUNCTION("""COMPUTED_VALUE"""),"https://www.newspapers.com/image/190388672/?terms=school%2Bshooting")</f>
        <v>https://www.newspapers.com/image/190388672/?terms=school%2Bshooting</v>
      </c>
      <c r="L3102" s="8"/>
      <c r="M3102" s="8"/>
      <c r="N3102" s="8">
        <f ca="1">IFERROR(__xludf.DUMMYFUNCTION("""COMPUTED_VALUE"""),2)</f>
        <v>2</v>
      </c>
      <c r="O3102" s="8" t="str">
        <f ca="1">IFERROR(__xludf.DUMMYFUNCTION("""COMPUTED_VALUE"""),"Fall")</f>
        <v>Fall</v>
      </c>
      <c r="P3102" s="8" t="str">
        <f ca="1">IFERROR(__xludf.DUMMYFUNCTION("""COMPUTED_VALUE"""),"Minneapolis")</f>
        <v>Minneapolis</v>
      </c>
      <c r="Q3102" s="8" t="str">
        <f ca="1">IFERROR(__xludf.DUMMYFUNCTION("""COMPUTED_VALUE"""),"MN")</f>
        <v>MN</v>
      </c>
      <c r="R3102" s="8" t="str">
        <f ca="1">IFERROR(__xludf.DUMMYFUNCTION("""COMPUTED_VALUE"""),"High")</f>
        <v>High</v>
      </c>
      <c r="S3102" s="8" t="str">
        <f ca="1">IFERROR(__xludf.DUMMYFUNCTION("""COMPUTED_VALUE"""),"Inside School Building")</f>
        <v>Inside School Building</v>
      </c>
      <c r="T3102" s="8" t="str">
        <f ca="1">IFERROR(__xludf.DUMMYFUNCTION("""COMPUTED_VALUE"""),"Inside School Building")</f>
        <v>Inside School Building</v>
      </c>
      <c r="U3102" s="8" t="str">
        <f ca="1">IFERROR(__xludf.DUMMYFUNCTION("""COMPUTED_VALUE"""),"Yes")</f>
        <v>Yes</v>
      </c>
      <c r="V3102" s="8" t="str">
        <f ca="1">IFERROR(__xludf.DUMMYFUNCTION("""COMPUTED_VALUE"""),"Lunch")</f>
        <v>Lunch</v>
      </c>
      <c r="W3102" s="11">
        <f ca="1">IFERROR(__xludf.DUMMYFUNCTION("""COMPUTED_VALUE"""),0.5)</f>
        <v>0.5</v>
      </c>
      <c r="X3102" s="8">
        <f ca="1">IFERROR(__xludf.DUMMYFUNCTION("""COMPUTED_VALUE"""),1)</f>
        <v>1</v>
      </c>
      <c r="Y3102" s="12" t="str">
        <f ca="1">IFERROR(__xludf.DUMMYFUNCTION("""COMPUTED_VALUE"""),"Group of armed assailants chased student through cafeteria firing shots")</f>
        <v>Group of armed assailants chased student through cafeteria firing shots</v>
      </c>
      <c r="Z3102" s="12" t="str">
        <f ca="1">IFERROR(__xludf.DUMMYFUNCTION("""COMPUTED_VALUE"""),"Group of armed assailants chased a student through the cafeteria. Multiple shots were fired but no students were injured. Shooters and targeted victim had prior conflict.")</f>
        <v>Group of armed assailants chased a student through the cafeteria. Multiple shots were fired but no students were injured. Shooters and targeted victim had prior conflict.</v>
      </c>
      <c r="AA3102" s="8" t="str">
        <f ca="1">IFERROR(__xludf.DUMMYFUNCTION("""COMPUTED_VALUE"""),"Escalation of Dispute")</f>
        <v>Escalation of Dispute</v>
      </c>
      <c r="AB3102" s="8"/>
      <c r="AC3102" s="8"/>
      <c r="AD3102" s="8" t="str">
        <f ca="1">IFERROR(__xludf.DUMMYFUNCTION("""COMPUTED_VALUE"""),"Victims Targeted")</f>
        <v>Victims Targeted</v>
      </c>
      <c r="AE3102" s="8" t="str">
        <f ca="1">IFERROR(__xludf.DUMMYFUNCTION("""COMPUTED_VALUE"""),"No")</f>
        <v>No</v>
      </c>
      <c r="AF3102" s="8"/>
      <c r="AG3102" s="8" t="str">
        <f ca="1">IFERROR(__xludf.DUMMYFUNCTION("""COMPUTED_VALUE"""),"No")</f>
        <v>No</v>
      </c>
      <c r="AH3102" s="8" t="str">
        <f ca="1">IFERROR(__xludf.DUMMYFUNCTION("""COMPUTED_VALUE"""),"No")</f>
        <v>No</v>
      </c>
      <c r="AI3102" s="8" t="str">
        <f ca="1">IFERROR(__xludf.DUMMYFUNCTION("""COMPUTED_VALUE"""),"No")</f>
        <v>No</v>
      </c>
      <c r="AJ3102" s="8" t="str">
        <f ca="1">IFERROR(__xludf.DUMMYFUNCTION("""COMPUTED_VALUE"""),"No")</f>
        <v>No</v>
      </c>
      <c r="AK3102" s="8" t="str">
        <f ca="1">IFERROR(__xludf.DUMMYFUNCTION("""COMPUTED_VALUE"""),"No")</f>
        <v>No</v>
      </c>
      <c r="AL3102" s="8" t="str">
        <f ca="1">IFERROR(__xludf.DUMMYFUNCTION("""COMPUTED_VALUE"""),"No")</f>
        <v>No</v>
      </c>
      <c r="AM3102" s="8"/>
      <c r="AN3102" s="8"/>
      <c r="AO3102" s="8" t="str">
        <f ca="1">IFERROR(__xludf.DUMMYFUNCTION("""COMPUTED_VALUE"""),"No")</f>
        <v>No</v>
      </c>
      <c r="AP3102" s="8"/>
      <c r="AQ3102" s="8" t="str">
        <f ca="1">IFERROR(__xludf.DUMMYFUNCTION("""COMPUTED_VALUE"""),"Unknown")</f>
        <v>Unknown</v>
      </c>
      <c r="AR3102" s="8" t="str">
        <f ca="1">IFERROR(__xludf.DUMMYFUNCTION("""COMPUTED_VALUE"""),"NA")</f>
        <v>NA</v>
      </c>
      <c r="AS3102" s="8"/>
      <c r="AT3102" s="8"/>
      <c r="AU3102" s="8">
        <f ca="1">IFERROR(__xludf.DUMMYFUNCTION("""COMPUTED_VALUE"""),44.948917)</f>
        <v>44.948917000000002</v>
      </c>
      <c r="AV3102" s="8">
        <f ca="1">IFERROR(__xludf.DUMMYFUNCTION("""COMPUTED_VALUE"""),-93.147672)</f>
        <v>-93.147672</v>
      </c>
      <c r="AW3102" s="8"/>
      <c r="AX3102" s="8">
        <f ca="1">IFERROR(__xludf.DUMMYFUNCTION("""COMPUTED_VALUE"""),55104)</f>
        <v>55104</v>
      </c>
    </row>
    <row r="3103" spans="1:50" ht="60" x14ac:dyDescent="0.2">
      <c r="A3103" s="8" t="str">
        <f ca="1">IFERROR(__xludf.DUMMYFUNCTION("""COMPUTED_VALUE"""),"19710924NYMCB")</f>
        <v>19710924NYMCB</v>
      </c>
      <c r="B3103" s="8">
        <f ca="1">IFERROR(__xludf.DUMMYFUNCTION("""COMPUTED_VALUE"""),9)</f>
        <v>9</v>
      </c>
      <c r="C3103" s="8">
        <f ca="1">IFERROR(__xludf.DUMMYFUNCTION("""COMPUTED_VALUE"""),24)</f>
        <v>24</v>
      </c>
      <c r="D3103" s="8">
        <f ca="1">IFERROR(__xludf.DUMMYFUNCTION("""COMPUTED_VALUE"""),1971)</f>
        <v>1971</v>
      </c>
      <c r="E3103" s="9">
        <f ca="1">IFERROR(__xludf.DUMMYFUNCTION("""COMPUTED_VALUE"""),26200)</f>
        <v>26200</v>
      </c>
      <c r="F3103" s="8" t="str">
        <f ca="1">IFERROR(__xludf.DUMMYFUNCTION("""COMPUTED_VALUE"""),"McKinley Vocational High School")</f>
        <v>McKinley Vocational High School</v>
      </c>
      <c r="G3103" s="8">
        <f ca="1">IFERROR(__xludf.DUMMYFUNCTION("""COMPUTED_VALUE"""),1)</f>
        <v>1</v>
      </c>
      <c r="H3103" s="8">
        <f ca="1">IFERROR(__xludf.DUMMYFUNCTION("""COMPUTED_VALUE"""),0)</f>
        <v>0</v>
      </c>
      <c r="I3103" s="8">
        <f ca="1">IFERROR(__xludf.DUMMYFUNCTION("""COMPUTED_VALUE"""),1)</f>
        <v>1</v>
      </c>
      <c r="J3103" s="8">
        <f ca="1">IFERROR(__xludf.DUMMYFUNCTION("""COMPUTED_VALUE"""),0)</f>
        <v>0</v>
      </c>
      <c r="K3103" s="10" t="str">
        <f ca="1">IFERROR(__xludf.DUMMYFUNCTION("""COMPUTED_VALUE"""),"https://www.newspapers.com/image/346849918/?terms=school%2Bshooting")</f>
        <v>https://www.newspapers.com/image/346849918/?terms=school%2Bshooting</v>
      </c>
      <c r="L3103" s="8"/>
      <c r="M3103" s="8"/>
      <c r="N3103" s="8">
        <f ca="1">IFERROR(__xludf.DUMMYFUNCTION("""COMPUTED_VALUE"""),2)</f>
        <v>2</v>
      </c>
      <c r="O3103" s="8" t="str">
        <f ca="1">IFERROR(__xludf.DUMMYFUNCTION("""COMPUTED_VALUE"""),"Fall")</f>
        <v>Fall</v>
      </c>
      <c r="P3103" s="8" t="str">
        <f ca="1">IFERROR(__xludf.DUMMYFUNCTION("""COMPUTED_VALUE"""),"Buffalo")</f>
        <v>Buffalo</v>
      </c>
      <c r="Q3103" s="8" t="str">
        <f ca="1">IFERROR(__xludf.DUMMYFUNCTION("""COMPUTED_VALUE"""),"NY")</f>
        <v>NY</v>
      </c>
      <c r="R3103" s="8" t="str">
        <f ca="1">IFERROR(__xludf.DUMMYFUNCTION("""COMPUTED_VALUE"""),"High")</f>
        <v>High</v>
      </c>
      <c r="S3103" s="8" t="str">
        <f ca="1">IFERROR(__xludf.DUMMYFUNCTION("""COMPUTED_VALUE"""),"Classroom")</f>
        <v>Classroom</v>
      </c>
      <c r="T3103" s="8" t="str">
        <f ca="1">IFERROR(__xludf.DUMMYFUNCTION("""COMPUTED_VALUE"""),"Inside School Building")</f>
        <v>Inside School Building</v>
      </c>
      <c r="U3103" s="8" t="str">
        <f ca="1">IFERROR(__xludf.DUMMYFUNCTION("""COMPUTED_VALUE"""),"Yes")</f>
        <v>Yes</v>
      </c>
      <c r="V3103" s="8"/>
      <c r="W3103" s="8"/>
      <c r="X3103" s="8">
        <f ca="1">IFERROR(__xludf.DUMMYFUNCTION("""COMPUTED_VALUE"""),1)</f>
        <v>1</v>
      </c>
      <c r="Y3103" s="12" t="str">
        <f ca="1">IFERROR(__xludf.DUMMYFUNCTION("""COMPUTED_VALUE"""),"Argument escalated into shooting inside classroom")</f>
        <v>Argument escalated into shooting inside classroom</v>
      </c>
      <c r="Z3103" s="12" t="str">
        <f ca="1">IFERROR(__xludf.DUMMYFUNCTION("""COMPUTED_VALUE"""),"Argument between students in a classroom escalated into shooting.")</f>
        <v>Argument between students in a classroom escalated into shooting.</v>
      </c>
      <c r="AA3103" s="8" t="str">
        <f ca="1">IFERROR(__xludf.DUMMYFUNCTION("""COMPUTED_VALUE"""),"Escalation of Dispute")</f>
        <v>Escalation of Dispute</v>
      </c>
      <c r="AB3103" s="8"/>
      <c r="AC3103" s="8"/>
      <c r="AD3103" s="8" t="str">
        <f ca="1">IFERROR(__xludf.DUMMYFUNCTION("""COMPUTED_VALUE"""),"Victims Targeted")</f>
        <v>Victims Targeted</v>
      </c>
      <c r="AE3103" s="8" t="str">
        <f ca="1">IFERROR(__xludf.DUMMYFUNCTION("""COMPUTED_VALUE"""),"No")</f>
        <v>No</v>
      </c>
      <c r="AF3103" s="8"/>
      <c r="AG3103" s="8" t="str">
        <f ca="1">IFERROR(__xludf.DUMMYFUNCTION("""COMPUTED_VALUE"""),"No")</f>
        <v>No</v>
      </c>
      <c r="AH3103" s="8" t="str">
        <f ca="1">IFERROR(__xludf.DUMMYFUNCTION("""COMPUTED_VALUE"""),"No")</f>
        <v>No</v>
      </c>
      <c r="AI3103" s="8" t="str">
        <f ca="1">IFERROR(__xludf.DUMMYFUNCTION("""COMPUTED_VALUE"""),"No")</f>
        <v>No</v>
      </c>
      <c r="AJ3103" s="8" t="str">
        <f ca="1">IFERROR(__xludf.DUMMYFUNCTION("""COMPUTED_VALUE"""),"No")</f>
        <v>No</v>
      </c>
      <c r="AK3103" s="8" t="str">
        <f ca="1">IFERROR(__xludf.DUMMYFUNCTION("""COMPUTED_VALUE"""),"No")</f>
        <v>No</v>
      </c>
      <c r="AL3103" s="8" t="str">
        <f ca="1">IFERROR(__xludf.DUMMYFUNCTION("""COMPUTED_VALUE"""),"No")</f>
        <v>No</v>
      </c>
      <c r="AM3103" s="8"/>
      <c r="AN3103" s="8"/>
      <c r="AO3103" s="8" t="str">
        <f ca="1">IFERROR(__xludf.DUMMYFUNCTION("""COMPUTED_VALUE"""),"No")</f>
        <v>No</v>
      </c>
      <c r="AP3103" s="8"/>
      <c r="AQ3103" s="8" t="str">
        <f ca="1">IFERROR(__xludf.DUMMYFUNCTION("""COMPUTED_VALUE"""),"Unknown")</f>
        <v>Unknown</v>
      </c>
      <c r="AR3103" s="8" t="str">
        <f ca="1">IFERROR(__xludf.DUMMYFUNCTION("""COMPUTED_VALUE"""),"NA")</f>
        <v>NA</v>
      </c>
      <c r="AS3103" s="8" t="str">
        <f ca="1">IFERROR(__xludf.DUMMYFUNCTION("""COMPUTED_VALUE"""),"&lt;5")</f>
        <v>&lt;5</v>
      </c>
      <c r="AT3103" s="8"/>
      <c r="AU3103" s="8">
        <f ca="1">IFERROR(__xludf.DUMMYFUNCTION("""COMPUTED_VALUE"""),42.937036)</f>
        <v>42.937035999999999</v>
      </c>
      <c r="AV3103" s="8">
        <f ca="1">IFERROR(__xludf.DUMMYFUNCTION("""COMPUTED_VALUE"""),-78.879172)</f>
        <v>-78.879171999999997</v>
      </c>
      <c r="AW3103" s="8"/>
      <c r="AX3103" s="8">
        <f ca="1">IFERROR(__xludf.DUMMYFUNCTION("""COMPUTED_VALUE"""),14207)</f>
        <v>14207</v>
      </c>
    </row>
    <row r="3104" spans="1:50" ht="75" x14ac:dyDescent="0.2">
      <c r="A3104" s="8" t="str">
        <f ca="1">IFERROR(__xludf.DUMMYFUNCTION("""COMPUTED_VALUE"""),"19710909TXDUL")</f>
        <v>19710909TXDUL</v>
      </c>
      <c r="B3104" s="8">
        <f ca="1">IFERROR(__xludf.DUMMYFUNCTION("""COMPUTED_VALUE"""),9)</f>
        <v>9</v>
      </c>
      <c r="C3104" s="8">
        <f ca="1">IFERROR(__xludf.DUMMYFUNCTION("""COMPUTED_VALUE"""),9)</f>
        <v>9</v>
      </c>
      <c r="D3104" s="8">
        <f ca="1">IFERROR(__xludf.DUMMYFUNCTION("""COMPUTED_VALUE"""),1971)</f>
        <v>1971</v>
      </c>
      <c r="E3104" s="9">
        <f ca="1">IFERROR(__xludf.DUMMYFUNCTION("""COMPUTED_VALUE"""),26185)</f>
        <v>26185</v>
      </c>
      <c r="F3104" s="8" t="str">
        <f ca="1">IFERROR(__xludf.DUMMYFUNCTION("""COMPUTED_VALUE"""),"Dunbar High School")</f>
        <v>Dunbar High School</v>
      </c>
      <c r="G3104" s="8">
        <f ca="1">IFERROR(__xludf.DUMMYFUNCTION("""COMPUTED_VALUE"""),1)</f>
        <v>1</v>
      </c>
      <c r="H3104" s="8">
        <f ca="1">IFERROR(__xludf.DUMMYFUNCTION("""COMPUTED_VALUE"""),0)</f>
        <v>0</v>
      </c>
      <c r="I3104" s="8">
        <f ca="1">IFERROR(__xludf.DUMMYFUNCTION("""COMPUTED_VALUE"""),1)</f>
        <v>1</v>
      </c>
      <c r="J3104" s="8">
        <f ca="1">IFERROR(__xludf.DUMMYFUNCTION("""COMPUTED_VALUE"""),0)</f>
        <v>0</v>
      </c>
      <c r="K3104" s="10" t="str">
        <f ca="1">IFERROR(__xludf.DUMMYFUNCTION("""COMPUTED_VALUE"""),"https://www.newspapers.com/image/9122502/?terms=school%2Bshooting")</f>
        <v>https://www.newspapers.com/image/9122502/?terms=school%2Bshooting</v>
      </c>
      <c r="L3104" s="8"/>
      <c r="M3104" s="8"/>
      <c r="N3104" s="8">
        <f ca="1">IFERROR(__xludf.DUMMYFUNCTION("""COMPUTED_VALUE"""),3)</f>
        <v>3</v>
      </c>
      <c r="O3104" s="8" t="str">
        <f ca="1">IFERROR(__xludf.DUMMYFUNCTION("""COMPUTED_VALUE"""),"Fall")</f>
        <v>Fall</v>
      </c>
      <c r="P3104" s="8" t="str">
        <f ca="1">IFERROR(__xludf.DUMMYFUNCTION("""COMPUTED_VALUE"""),"Lubbock")</f>
        <v>Lubbock</v>
      </c>
      <c r="Q3104" s="8" t="str">
        <f ca="1">IFERROR(__xludf.DUMMYFUNCTION("""COMPUTED_VALUE"""),"TX")</f>
        <v>TX</v>
      </c>
      <c r="R3104" s="8" t="str">
        <f ca="1">IFERROR(__xludf.DUMMYFUNCTION("""COMPUTED_VALUE"""),"High")</f>
        <v>High</v>
      </c>
      <c r="S3104" s="8" t="str">
        <f ca="1">IFERROR(__xludf.DUMMYFUNCTION("""COMPUTED_VALUE"""),"Inside School Building")</f>
        <v>Inside School Building</v>
      </c>
      <c r="T3104" s="8" t="str">
        <f ca="1">IFERROR(__xludf.DUMMYFUNCTION("""COMPUTED_VALUE"""),"Inside School Building")</f>
        <v>Inside School Building</v>
      </c>
      <c r="U3104" s="8" t="str">
        <f ca="1">IFERROR(__xludf.DUMMYFUNCTION("""COMPUTED_VALUE"""),"Yes")</f>
        <v>Yes</v>
      </c>
      <c r="V3104" s="8" t="str">
        <f ca="1">IFERROR(__xludf.DUMMYFUNCTION("""COMPUTED_VALUE"""),"School Start")</f>
        <v>School Start</v>
      </c>
      <c r="W3104" s="8"/>
      <c r="X3104" s="8"/>
      <c r="Y3104" s="12" t="str">
        <f ca="1">IFERROR(__xludf.DUMMYFUNCTION("""COMPUTED_VALUE"""),"Following argument, shooter went home to get gun and returned to kill other student")</f>
        <v>Following argument, shooter went home to get gun and returned to kill other student</v>
      </c>
      <c r="Z3104" s="12" t="str">
        <f ca="1">IFERROR(__xludf.DUMMYFUNCTION("""COMPUTED_VALUE"""),"Shooter had argument with victim and left school to get handgun. Shooter returned to school and killed the victim. Shooter was white and victim was black, school had been recently integrated.")</f>
        <v>Shooter had argument with victim and left school to get handgun. Shooter returned to school and killed the victim. Shooter was white and victim was black, school had been recently integrated.</v>
      </c>
      <c r="AA3104" s="8" t="str">
        <f ca="1">IFERROR(__xludf.DUMMYFUNCTION("""COMPUTED_VALUE"""),"Escalation of Dispute")</f>
        <v>Escalation of Dispute</v>
      </c>
      <c r="AB3104" s="8"/>
      <c r="AC3104" s="8"/>
      <c r="AD3104" s="8" t="str">
        <f ca="1">IFERROR(__xludf.DUMMYFUNCTION("""COMPUTED_VALUE"""),"Victims Targeted")</f>
        <v>Victims Targeted</v>
      </c>
      <c r="AE3104" s="8" t="str">
        <f ca="1">IFERROR(__xludf.DUMMYFUNCTION("""COMPUTED_VALUE"""),"No")</f>
        <v>No</v>
      </c>
      <c r="AF3104" s="8"/>
      <c r="AG3104" s="8" t="str">
        <f ca="1">IFERROR(__xludf.DUMMYFUNCTION("""COMPUTED_VALUE"""),"No")</f>
        <v>No</v>
      </c>
      <c r="AH3104" s="8" t="str">
        <f ca="1">IFERROR(__xludf.DUMMYFUNCTION("""COMPUTED_VALUE"""),"No")</f>
        <v>No</v>
      </c>
      <c r="AI3104" s="8" t="str">
        <f ca="1">IFERROR(__xludf.DUMMYFUNCTION("""COMPUTED_VALUE"""),"No")</f>
        <v>No</v>
      </c>
      <c r="AJ3104" s="8" t="str">
        <f ca="1">IFERROR(__xludf.DUMMYFUNCTION("""COMPUTED_VALUE"""),"No")</f>
        <v>No</v>
      </c>
      <c r="AK3104" s="8" t="str">
        <f ca="1">IFERROR(__xludf.DUMMYFUNCTION("""COMPUTED_VALUE"""),"No")</f>
        <v>No</v>
      </c>
      <c r="AL3104" s="8" t="str">
        <f ca="1">IFERROR(__xludf.DUMMYFUNCTION("""COMPUTED_VALUE"""),"No")</f>
        <v>No</v>
      </c>
      <c r="AM3104" s="8"/>
      <c r="AN3104" s="8"/>
      <c r="AO3104" s="8" t="str">
        <f ca="1">IFERROR(__xludf.DUMMYFUNCTION("""COMPUTED_VALUE"""),"No")</f>
        <v>No</v>
      </c>
      <c r="AP3104" s="8"/>
      <c r="AQ3104" s="8" t="str">
        <f ca="1">IFERROR(__xludf.DUMMYFUNCTION("""COMPUTED_VALUE"""),"Unknown")</f>
        <v>Unknown</v>
      </c>
      <c r="AR3104" s="8" t="str">
        <f ca="1">IFERROR(__xludf.DUMMYFUNCTION("""COMPUTED_VALUE"""),"NA")</f>
        <v>NA</v>
      </c>
      <c r="AS3104" s="8">
        <f ca="1">IFERROR(__xludf.DUMMYFUNCTION("""COMPUTED_VALUE"""),10)</f>
        <v>10</v>
      </c>
      <c r="AT3104" s="8"/>
      <c r="AU3104" s="8">
        <f ca="1">IFERROR(__xludf.DUMMYFUNCTION("""COMPUTED_VALUE"""),33.570281)</f>
        <v>33.570281000000001</v>
      </c>
      <c r="AV3104" s="8">
        <f ca="1">IFERROR(__xludf.DUMMYFUNCTION("""COMPUTED_VALUE"""),-101.81518)</f>
        <v>-101.81518</v>
      </c>
      <c r="AW3104" s="8"/>
      <c r="AX3104" s="8">
        <f ca="1">IFERROR(__xludf.DUMMYFUNCTION("""COMPUTED_VALUE"""),79404)</f>
        <v>79404</v>
      </c>
    </row>
    <row r="3105" spans="1:50" ht="45" x14ac:dyDescent="0.2">
      <c r="A3105" s="8" t="str">
        <f ca="1">IFERROR(__xludf.DUMMYFUNCTION("""COMPUTED_VALUE"""),"19710820PAMOM")</f>
        <v>19710820PAMOM</v>
      </c>
      <c r="B3105" s="8">
        <f ca="1">IFERROR(__xludf.DUMMYFUNCTION("""COMPUTED_VALUE"""),8)</f>
        <v>8</v>
      </c>
      <c r="C3105" s="8">
        <f ca="1">IFERROR(__xludf.DUMMYFUNCTION("""COMPUTED_VALUE"""),20)</f>
        <v>20</v>
      </c>
      <c r="D3105" s="8">
        <f ca="1">IFERROR(__xludf.DUMMYFUNCTION("""COMPUTED_VALUE"""),1971)</f>
        <v>1971</v>
      </c>
      <c r="E3105" s="9">
        <f ca="1">IFERROR(__xludf.DUMMYFUNCTION("""COMPUTED_VALUE"""),26165)</f>
        <v>26165</v>
      </c>
      <c r="F3105" s="8" t="str">
        <f ca="1">IFERROR(__xludf.DUMMYFUNCTION("""COMPUTED_VALUE"""),"Monessen High School")</f>
        <v>Monessen High School</v>
      </c>
      <c r="G3105" s="8">
        <f ca="1">IFERROR(__xludf.DUMMYFUNCTION("""COMPUTED_VALUE"""),0)</f>
        <v>0</v>
      </c>
      <c r="H3105" s="8">
        <f ca="1">IFERROR(__xludf.DUMMYFUNCTION("""COMPUTED_VALUE"""),1)</f>
        <v>1</v>
      </c>
      <c r="I3105" s="8">
        <f ca="1">IFERROR(__xludf.DUMMYFUNCTION("""COMPUTED_VALUE"""),1)</f>
        <v>1</v>
      </c>
      <c r="J3105" s="8">
        <f ca="1">IFERROR(__xludf.DUMMYFUNCTION("""COMPUTED_VALUE"""),0)</f>
        <v>0</v>
      </c>
      <c r="K3105" s="10" t="str">
        <f ca="1">IFERROR(__xludf.DUMMYFUNCTION("""COMPUTED_VALUE"""),"https://www.newspapers.com/image/72973348/?terms=school%2Bshooting")</f>
        <v>https://www.newspapers.com/image/72973348/?terms=school%2Bshooting</v>
      </c>
      <c r="L3105" s="8"/>
      <c r="M3105" s="8"/>
      <c r="N3105" s="8">
        <f ca="1">IFERROR(__xludf.DUMMYFUNCTION("""COMPUTED_VALUE"""),3)</f>
        <v>3</v>
      </c>
      <c r="O3105" s="8" t="str">
        <f ca="1">IFERROR(__xludf.DUMMYFUNCTION("""COMPUTED_VALUE"""),"Summer")</f>
        <v>Summer</v>
      </c>
      <c r="P3105" s="8" t="str">
        <f ca="1">IFERROR(__xludf.DUMMYFUNCTION("""COMPUTED_VALUE"""),"Monessen")</f>
        <v>Monessen</v>
      </c>
      <c r="Q3105" s="8" t="str">
        <f ca="1">IFERROR(__xludf.DUMMYFUNCTION("""COMPUTED_VALUE"""),"PA")</f>
        <v>PA</v>
      </c>
      <c r="R3105" s="8" t="str">
        <f ca="1">IFERROR(__xludf.DUMMYFUNCTION("""COMPUTED_VALUE"""),"High")</f>
        <v>High</v>
      </c>
      <c r="S3105" s="8" t="str">
        <f ca="1">IFERROR(__xludf.DUMMYFUNCTION("""COMPUTED_VALUE"""),"Outside on School Property")</f>
        <v>Outside on School Property</v>
      </c>
      <c r="T3105" s="8" t="str">
        <f ca="1">IFERROR(__xludf.DUMMYFUNCTION("""COMPUTED_VALUE"""),"Outside on School Property")</f>
        <v>Outside on School Property</v>
      </c>
      <c r="U3105" s="8" t="str">
        <f ca="1">IFERROR(__xludf.DUMMYFUNCTION("""COMPUTED_VALUE"""),"No")</f>
        <v>No</v>
      </c>
      <c r="V3105" s="8" t="str">
        <f ca="1">IFERROR(__xludf.DUMMYFUNCTION("""COMPUTED_VALUE"""),"Night")</f>
        <v>Night</v>
      </c>
      <c r="W3105" s="8"/>
      <c r="X3105" s="8"/>
      <c r="Y3105" s="12" t="str">
        <f ca="1">IFERROR(__xludf.DUMMYFUNCTION("""COMPUTED_VALUE"""),"Night watchman (white) shot black student")</f>
        <v>Night watchman (white) shot black student</v>
      </c>
      <c r="Z3105" s="12" t="str">
        <f ca="1">IFERROR(__xludf.DUMMYFUNCTION("""COMPUTED_VALUE"""),"72 year-old male night watchman shot a 18 year-old male black student. Shooting spurred days of protests by black students and residents.")</f>
        <v>72 year-old male night watchman shot a 18 year-old male black student. Shooting spurred days of protests by black students and residents.</v>
      </c>
      <c r="AA3105" s="8" t="str">
        <f ca="1">IFERROR(__xludf.DUMMYFUNCTION("""COMPUTED_VALUE"""),"Racial")</f>
        <v>Racial</v>
      </c>
      <c r="AB3105" s="8"/>
      <c r="AC3105" s="8"/>
      <c r="AD3105" s="8" t="str">
        <f ca="1">IFERROR(__xludf.DUMMYFUNCTION("""COMPUTED_VALUE"""),"Victims Targeted")</f>
        <v>Victims Targeted</v>
      </c>
      <c r="AE3105" s="8" t="str">
        <f ca="1">IFERROR(__xludf.DUMMYFUNCTION("""COMPUTED_VALUE"""),"No")</f>
        <v>No</v>
      </c>
      <c r="AF3105" s="8"/>
      <c r="AG3105" s="8" t="str">
        <f ca="1">IFERROR(__xludf.DUMMYFUNCTION("""COMPUTED_VALUE"""),"No")</f>
        <v>No</v>
      </c>
      <c r="AH3105" s="8" t="str">
        <f ca="1">IFERROR(__xludf.DUMMYFUNCTION("""COMPUTED_VALUE"""),"No")</f>
        <v>No</v>
      </c>
      <c r="AI3105" s="8" t="str">
        <f ca="1">IFERROR(__xludf.DUMMYFUNCTION("""COMPUTED_VALUE"""),"Yes")</f>
        <v>Yes</v>
      </c>
      <c r="AJ3105" s="8" t="str">
        <f ca="1">IFERROR(__xludf.DUMMYFUNCTION("""COMPUTED_VALUE"""),"No")</f>
        <v>No</v>
      </c>
      <c r="AK3105" s="8" t="str">
        <f ca="1">IFERROR(__xludf.DUMMYFUNCTION("""COMPUTED_VALUE"""),"No")</f>
        <v>No</v>
      </c>
      <c r="AL3105" s="8" t="str">
        <f ca="1">IFERROR(__xludf.DUMMYFUNCTION("""COMPUTED_VALUE"""),"No")</f>
        <v>No</v>
      </c>
      <c r="AM3105" s="8"/>
      <c r="AN3105" s="8"/>
      <c r="AO3105" s="8" t="str">
        <f ca="1">IFERROR(__xludf.DUMMYFUNCTION("""COMPUTED_VALUE"""),"No")</f>
        <v>No</v>
      </c>
      <c r="AP3105" s="8"/>
      <c r="AQ3105" s="8" t="str">
        <f ca="1">IFERROR(__xludf.DUMMYFUNCTION("""COMPUTED_VALUE"""),"Unknown")</f>
        <v>Unknown</v>
      </c>
      <c r="AR3105" s="8" t="str">
        <f ca="1">IFERROR(__xludf.DUMMYFUNCTION("""COMPUTED_VALUE"""),"NA")</f>
        <v>NA</v>
      </c>
      <c r="AS3105" s="8" t="str">
        <f ca="1">IFERROR(__xludf.DUMMYFUNCTION("""COMPUTED_VALUE"""),"&lt;10")</f>
        <v>&lt;10</v>
      </c>
      <c r="AT3105" s="8"/>
      <c r="AU3105" s="8">
        <f ca="1">IFERROR(__xludf.DUMMYFUNCTION("""COMPUTED_VALUE"""),40.150568)</f>
        <v>40.150568</v>
      </c>
      <c r="AV3105" s="8">
        <f ca="1">IFERROR(__xludf.DUMMYFUNCTION("""COMPUTED_VALUE"""),-79.888017)</f>
        <v>-79.888017000000005</v>
      </c>
      <c r="AW3105" s="8"/>
      <c r="AX3105" s="8">
        <f ca="1">IFERROR(__xludf.DUMMYFUNCTION("""COMPUTED_VALUE"""),15062)</f>
        <v>15062</v>
      </c>
    </row>
    <row r="3106" spans="1:50" ht="45" x14ac:dyDescent="0.2">
      <c r="A3106" s="8" t="str">
        <f ca="1">IFERROR(__xludf.DUMMYFUNCTION("""COMPUTED_VALUE"""),"19710602NYEAE")</f>
        <v>19710602NYEAE</v>
      </c>
      <c r="B3106" s="8">
        <f ca="1">IFERROR(__xludf.DUMMYFUNCTION("""COMPUTED_VALUE"""),6)</f>
        <v>6</v>
      </c>
      <c r="C3106" s="8">
        <f ca="1">IFERROR(__xludf.DUMMYFUNCTION("""COMPUTED_VALUE"""),2)</f>
        <v>2</v>
      </c>
      <c r="D3106" s="8">
        <f ca="1">IFERROR(__xludf.DUMMYFUNCTION("""COMPUTED_VALUE"""),1971)</f>
        <v>1971</v>
      </c>
      <c r="E3106" s="9">
        <f ca="1">IFERROR(__xludf.DUMMYFUNCTION("""COMPUTED_VALUE"""),26086)</f>
        <v>26086</v>
      </c>
      <c r="F3106" s="8" t="str">
        <f ca="1">IFERROR(__xludf.DUMMYFUNCTION("""COMPUTED_VALUE"""),"East Aurora Middle School")</f>
        <v>East Aurora Middle School</v>
      </c>
      <c r="G3106" s="8">
        <f ca="1">IFERROR(__xludf.DUMMYFUNCTION("""COMPUTED_VALUE"""),0)</f>
        <v>0</v>
      </c>
      <c r="H3106" s="8">
        <f ca="1">IFERROR(__xludf.DUMMYFUNCTION("""COMPUTED_VALUE"""),0)</f>
        <v>0</v>
      </c>
      <c r="I3106" s="8">
        <f ca="1">IFERROR(__xludf.DUMMYFUNCTION("""COMPUTED_VALUE"""),0)</f>
        <v>0</v>
      </c>
      <c r="J3106" s="8">
        <f ca="1">IFERROR(__xludf.DUMMYFUNCTION("""COMPUTED_VALUE"""),1)</f>
        <v>1</v>
      </c>
      <c r="K3106" s="10" t="str">
        <f ca="1">IFERROR(__xludf.DUMMYFUNCTION("""COMPUTED_VALUE"""),"https://www.newspapers.com/image/255572230/?terms=school%2Bshooting")</f>
        <v>https://www.newspapers.com/image/255572230/?terms=school%2Bshooting</v>
      </c>
      <c r="L3106" s="8"/>
      <c r="M3106" s="8"/>
      <c r="N3106" s="8">
        <f ca="1">IFERROR(__xludf.DUMMYFUNCTION("""COMPUTED_VALUE"""),3)</f>
        <v>3</v>
      </c>
      <c r="O3106" s="8" t="str">
        <f ca="1">IFERROR(__xludf.DUMMYFUNCTION("""COMPUTED_VALUE"""),"Summer")</f>
        <v>Summer</v>
      </c>
      <c r="P3106" s="8" t="str">
        <f ca="1">IFERROR(__xludf.DUMMYFUNCTION("""COMPUTED_VALUE"""),"East Aurora")</f>
        <v>East Aurora</v>
      </c>
      <c r="Q3106" s="8" t="str">
        <f ca="1">IFERROR(__xludf.DUMMYFUNCTION("""COMPUTED_VALUE"""),"NY")</f>
        <v>NY</v>
      </c>
      <c r="R3106" s="8" t="str">
        <f ca="1">IFERROR(__xludf.DUMMYFUNCTION("""COMPUTED_VALUE"""),"Middle")</f>
        <v>Middle</v>
      </c>
      <c r="S3106" s="8" t="str">
        <f ca="1">IFERROR(__xludf.DUMMYFUNCTION("""COMPUTED_VALUE"""),"Classroom")</f>
        <v>Classroom</v>
      </c>
      <c r="T3106" s="8" t="str">
        <f ca="1">IFERROR(__xludf.DUMMYFUNCTION("""COMPUTED_VALUE"""),"Inside School Building")</f>
        <v>Inside School Building</v>
      </c>
      <c r="U3106" s="8" t="str">
        <f ca="1">IFERROR(__xludf.DUMMYFUNCTION("""COMPUTED_VALUE"""),"Yes")</f>
        <v>Yes</v>
      </c>
      <c r="V3106" s="8" t="str">
        <f ca="1">IFERROR(__xludf.DUMMYFUNCTION("""COMPUTED_VALUE"""),"Afternoon Classes")</f>
        <v>Afternoon Classes</v>
      </c>
      <c r="W3106" s="8"/>
      <c r="X3106" s="8">
        <f ca="1">IFERROR(__xludf.DUMMYFUNCTION("""COMPUTED_VALUE"""),1)</f>
        <v>1</v>
      </c>
      <c r="Y3106" s="12" t="str">
        <f ca="1">IFERROR(__xludf.DUMMYFUNCTION("""COMPUTED_VALUE"""),"Fatally wounded self from accidental discharge")</f>
        <v>Fatally wounded self from accidental discharge</v>
      </c>
      <c r="Z3106" s="12" t="str">
        <f ca="1">IFERROR(__xludf.DUMMYFUNCTION("""COMPUTED_VALUE"""),"13 year-old male fatally shot when gun he was handling in classroom at school accidentally discharged killing him.")</f>
        <v>13 year-old male fatally shot when gun he was handling in classroom at school accidentally discharged killing him.</v>
      </c>
      <c r="AA3106" s="8" t="str">
        <f ca="1">IFERROR(__xludf.DUMMYFUNCTION("""COMPUTED_VALUE"""),"Accidental")</f>
        <v>Accidental</v>
      </c>
      <c r="AB3106" s="8"/>
      <c r="AC3106" s="8"/>
      <c r="AD3106" s="8" t="str">
        <f ca="1">IFERROR(__xludf.DUMMYFUNCTION("""COMPUTED_VALUE"""),"Neither")</f>
        <v>Neither</v>
      </c>
      <c r="AE3106" s="8" t="str">
        <f ca="1">IFERROR(__xludf.DUMMYFUNCTION("""COMPUTED_VALUE"""),"No")</f>
        <v>No</v>
      </c>
      <c r="AF3106" s="8"/>
      <c r="AG3106" s="8" t="str">
        <f ca="1">IFERROR(__xludf.DUMMYFUNCTION("""COMPUTED_VALUE"""),"No")</f>
        <v>No</v>
      </c>
      <c r="AH3106" s="8" t="str">
        <f ca="1">IFERROR(__xludf.DUMMYFUNCTION("""COMPUTED_VALUE"""),"No")</f>
        <v>No</v>
      </c>
      <c r="AI3106" s="8" t="str">
        <f ca="1">IFERROR(__xludf.DUMMYFUNCTION("""COMPUTED_VALUE"""),"No")</f>
        <v>No</v>
      </c>
      <c r="AJ3106" s="8" t="str">
        <f ca="1">IFERROR(__xludf.DUMMYFUNCTION("""COMPUTED_VALUE"""),"No")</f>
        <v>No</v>
      </c>
      <c r="AK3106" s="8" t="str">
        <f ca="1">IFERROR(__xludf.DUMMYFUNCTION("""COMPUTED_VALUE"""),"No")</f>
        <v>No</v>
      </c>
      <c r="AL3106" s="8" t="str">
        <f ca="1">IFERROR(__xludf.DUMMYFUNCTION("""COMPUTED_VALUE"""),"No")</f>
        <v>No</v>
      </c>
      <c r="AM3106" s="8"/>
      <c r="AN3106" s="8"/>
      <c r="AO3106" s="8" t="str">
        <f ca="1">IFERROR(__xludf.DUMMYFUNCTION("""COMPUTED_VALUE"""),"No")</f>
        <v>No</v>
      </c>
      <c r="AP3106" s="8"/>
      <c r="AQ3106" s="8" t="str">
        <f ca="1">IFERROR(__xludf.DUMMYFUNCTION("""COMPUTED_VALUE"""),"Unknown")</f>
        <v>Unknown</v>
      </c>
      <c r="AR3106" s="8" t="str">
        <f ca="1">IFERROR(__xludf.DUMMYFUNCTION("""COMPUTED_VALUE"""),"NA")</f>
        <v>NA</v>
      </c>
      <c r="AS3106" s="8">
        <f ca="1">IFERROR(__xludf.DUMMYFUNCTION("""COMPUTED_VALUE"""),1)</f>
        <v>1</v>
      </c>
      <c r="AT3106" s="8"/>
      <c r="AU3106" s="8">
        <f ca="1">IFERROR(__xludf.DUMMYFUNCTION("""COMPUTED_VALUE"""),42.768708)</f>
        <v>42.768707999999997</v>
      </c>
      <c r="AV3106" s="8">
        <f ca="1">IFERROR(__xludf.DUMMYFUNCTION("""COMPUTED_VALUE"""),-78.618868)</f>
        <v>-78.618868000000006</v>
      </c>
      <c r="AW3106" s="8"/>
      <c r="AX3106" s="8">
        <f ca="1">IFERROR(__xludf.DUMMYFUNCTION("""COMPUTED_VALUE"""),14052)</f>
        <v>14052</v>
      </c>
    </row>
    <row r="3107" spans="1:50" ht="60" x14ac:dyDescent="0.2">
      <c r="A3107" s="8" t="str">
        <f ca="1">IFERROR(__xludf.DUMMYFUNCTION("""COMPUTED_VALUE"""),"19710527MIBES")</f>
        <v>19710527MIBES</v>
      </c>
      <c r="B3107" s="8">
        <f ca="1">IFERROR(__xludf.DUMMYFUNCTION("""COMPUTED_VALUE"""),5)</f>
        <v>5</v>
      </c>
      <c r="C3107" s="8">
        <f ca="1">IFERROR(__xludf.DUMMYFUNCTION("""COMPUTED_VALUE"""),27)</f>
        <v>27</v>
      </c>
      <c r="D3107" s="8">
        <f ca="1">IFERROR(__xludf.DUMMYFUNCTION("""COMPUTED_VALUE"""),1971)</f>
        <v>1971</v>
      </c>
      <c r="E3107" s="9">
        <f ca="1">IFERROR(__xludf.DUMMYFUNCTION("""COMPUTED_VALUE"""),26080)</f>
        <v>26080</v>
      </c>
      <c r="F3107" s="8" t="str">
        <f ca="1">IFERROR(__xludf.DUMMYFUNCTION("""COMPUTED_VALUE"""),"Benton Harbor High School")</f>
        <v>Benton Harbor High School</v>
      </c>
      <c r="G3107" s="8">
        <f ca="1">IFERROR(__xludf.DUMMYFUNCTION("""COMPUTED_VALUE"""),0)</f>
        <v>0</v>
      </c>
      <c r="H3107" s="8">
        <f ca="1">IFERROR(__xludf.DUMMYFUNCTION("""COMPUTED_VALUE"""),1)</f>
        <v>1</v>
      </c>
      <c r="I3107" s="8">
        <f ca="1">IFERROR(__xludf.DUMMYFUNCTION("""COMPUTED_VALUE"""),1)</f>
        <v>1</v>
      </c>
      <c r="J3107" s="8">
        <f ca="1">IFERROR(__xludf.DUMMYFUNCTION("""COMPUTED_VALUE"""),0)</f>
        <v>0</v>
      </c>
      <c r="K3107" s="10" t="str">
        <f ca="1">IFERROR(__xludf.DUMMYFUNCTION("""COMPUTED_VALUE"""),"https://www.newspapers.com/image/365033298/?terms=school%2Bshooting")</f>
        <v>https://www.newspapers.com/image/365033298/?terms=school%2Bshooting</v>
      </c>
      <c r="L3107" s="8"/>
      <c r="M3107" s="8"/>
      <c r="N3107" s="8">
        <f ca="1">IFERROR(__xludf.DUMMYFUNCTION("""COMPUTED_VALUE"""),2)</f>
        <v>2</v>
      </c>
      <c r="O3107" s="8" t="str">
        <f ca="1">IFERROR(__xludf.DUMMYFUNCTION("""COMPUTED_VALUE"""),"Spring")</f>
        <v>Spring</v>
      </c>
      <c r="P3107" s="8" t="str">
        <f ca="1">IFERROR(__xludf.DUMMYFUNCTION("""COMPUTED_VALUE"""),"Saint Joseph")</f>
        <v>Saint Joseph</v>
      </c>
      <c r="Q3107" s="8" t="str">
        <f ca="1">IFERROR(__xludf.DUMMYFUNCTION("""COMPUTED_VALUE"""),"MI")</f>
        <v>MI</v>
      </c>
      <c r="R3107" s="8" t="str">
        <f ca="1">IFERROR(__xludf.DUMMYFUNCTION("""COMPUTED_VALUE"""),"High")</f>
        <v>High</v>
      </c>
      <c r="S3107" s="8" t="str">
        <f ca="1">IFERROR(__xludf.DUMMYFUNCTION("""COMPUTED_VALUE"""),"Inside School Building")</f>
        <v>Inside School Building</v>
      </c>
      <c r="T3107" s="8" t="str">
        <f ca="1">IFERROR(__xludf.DUMMYFUNCTION("""COMPUTED_VALUE"""),"Inside School Building")</f>
        <v>Inside School Building</v>
      </c>
      <c r="U3107" s="8" t="str">
        <f ca="1">IFERROR(__xludf.DUMMYFUNCTION("""COMPUTED_VALUE"""),"Yes")</f>
        <v>Yes</v>
      </c>
      <c r="V3107" s="8"/>
      <c r="W3107" s="8"/>
      <c r="X3107" s="8">
        <f ca="1">IFERROR(__xludf.DUMMYFUNCTION("""COMPUTED_VALUE"""),1)</f>
        <v>1</v>
      </c>
      <c r="Y3107" s="12" t="str">
        <f ca="1">IFERROR(__xludf.DUMMYFUNCTION("""COMPUTED_VALUE"""),"Shooter provoked into shooting")</f>
        <v>Shooter provoked into shooting</v>
      </c>
      <c r="Z3107" s="12" t="str">
        <f ca="1">IFERROR(__xludf.DUMMYFUNCTION("""COMPUTED_VALUE"""),"17 year-old male shot 16 year-old male at the school. Judge ruled that the victim had provoked the shooter into eventually attacking him. Shooter was sentenced to 7 days in jail. Shooter was excellent student.")</f>
        <v>17 year-old male shot 16 year-old male at the school. Judge ruled that the victim had provoked the shooter into eventually attacking him. Shooter was sentenced to 7 days in jail. Shooter was excellent student.</v>
      </c>
      <c r="AA3107" s="8" t="str">
        <f ca="1">IFERROR(__xludf.DUMMYFUNCTION("""COMPUTED_VALUE"""),"Bullying")</f>
        <v>Bullying</v>
      </c>
      <c r="AB3107" s="8"/>
      <c r="AC3107" s="8"/>
      <c r="AD3107" s="8" t="str">
        <f ca="1">IFERROR(__xludf.DUMMYFUNCTION("""COMPUTED_VALUE"""),"Victims Targeted")</f>
        <v>Victims Targeted</v>
      </c>
      <c r="AE3107" s="8" t="str">
        <f ca="1">IFERROR(__xludf.DUMMYFUNCTION("""COMPUTED_VALUE"""),"No")</f>
        <v>No</v>
      </c>
      <c r="AF3107" s="8"/>
      <c r="AG3107" s="8" t="str">
        <f ca="1">IFERROR(__xludf.DUMMYFUNCTION("""COMPUTED_VALUE"""),"No")</f>
        <v>No</v>
      </c>
      <c r="AH3107" s="8" t="str">
        <f ca="1">IFERROR(__xludf.DUMMYFUNCTION("""COMPUTED_VALUE"""),"No")</f>
        <v>No</v>
      </c>
      <c r="AI3107" s="8" t="str">
        <f ca="1">IFERROR(__xludf.DUMMYFUNCTION("""COMPUTED_VALUE"""),"No")</f>
        <v>No</v>
      </c>
      <c r="AJ3107" s="8" t="str">
        <f ca="1">IFERROR(__xludf.DUMMYFUNCTION("""COMPUTED_VALUE"""),"Yes")</f>
        <v>Yes</v>
      </c>
      <c r="AK3107" s="8" t="str">
        <f ca="1">IFERROR(__xludf.DUMMYFUNCTION("""COMPUTED_VALUE"""),"No")</f>
        <v>No</v>
      </c>
      <c r="AL3107" s="8" t="str">
        <f ca="1">IFERROR(__xludf.DUMMYFUNCTION("""COMPUTED_VALUE"""),"No")</f>
        <v>No</v>
      </c>
      <c r="AM3107" s="8"/>
      <c r="AN3107" s="8"/>
      <c r="AO3107" s="8" t="str">
        <f ca="1">IFERROR(__xludf.DUMMYFUNCTION("""COMPUTED_VALUE"""),"No")</f>
        <v>No</v>
      </c>
      <c r="AP3107" s="8"/>
      <c r="AQ3107" s="8" t="str">
        <f ca="1">IFERROR(__xludf.DUMMYFUNCTION("""COMPUTED_VALUE"""),"Unknown")</f>
        <v>Unknown</v>
      </c>
      <c r="AR3107" s="8" t="str">
        <f ca="1">IFERROR(__xludf.DUMMYFUNCTION("""COMPUTED_VALUE"""),"NA")</f>
        <v>NA</v>
      </c>
      <c r="AS3107" s="8">
        <f ca="1">IFERROR(__xludf.DUMMYFUNCTION("""COMPUTED_VALUE"""),1)</f>
        <v>1</v>
      </c>
      <c r="AT3107" s="8"/>
      <c r="AU3107" s="8">
        <f ca="1">IFERROR(__xludf.DUMMYFUNCTION("""COMPUTED_VALUE"""),42.10233)</f>
        <v>42.102330000000002</v>
      </c>
      <c r="AV3107" s="8">
        <f ca="1">IFERROR(__xludf.DUMMYFUNCTION("""COMPUTED_VALUE"""),-86.457124)</f>
        <v>-86.457123999999993</v>
      </c>
      <c r="AW3107" s="8"/>
      <c r="AX3107" s="8">
        <f ca="1">IFERROR(__xludf.DUMMYFUNCTION("""COMPUTED_VALUE"""),49022)</f>
        <v>49022</v>
      </c>
    </row>
    <row r="3108" spans="1:50" ht="45" x14ac:dyDescent="0.2">
      <c r="A3108" s="8" t="str">
        <f ca="1">IFERROR(__xludf.DUMMYFUNCTION("""COMPUTED_VALUE"""),"19710405PAWIH")</f>
        <v>19710405PAWIH</v>
      </c>
      <c r="B3108" s="8">
        <f ca="1">IFERROR(__xludf.DUMMYFUNCTION("""COMPUTED_VALUE"""),4)</f>
        <v>4</v>
      </c>
      <c r="C3108" s="8">
        <f ca="1">IFERROR(__xludf.DUMMYFUNCTION("""COMPUTED_VALUE"""),5)</f>
        <v>5</v>
      </c>
      <c r="D3108" s="8">
        <f ca="1">IFERROR(__xludf.DUMMYFUNCTION("""COMPUTED_VALUE"""),1971)</f>
        <v>1971</v>
      </c>
      <c r="E3108" s="9">
        <f ca="1">IFERROR(__xludf.DUMMYFUNCTION("""COMPUTED_VALUE"""),26028)</f>
        <v>26028</v>
      </c>
      <c r="F3108" s="8" t="str">
        <f ca="1">IFERROR(__xludf.DUMMYFUNCTION("""COMPUTED_VALUE"""),"William Penn High School")</f>
        <v>William Penn High School</v>
      </c>
      <c r="G3108" s="8">
        <f ca="1">IFERROR(__xludf.DUMMYFUNCTION("""COMPUTED_VALUE"""),0)</f>
        <v>0</v>
      </c>
      <c r="H3108" s="8">
        <f ca="1">IFERROR(__xludf.DUMMYFUNCTION("""COMPUTED_VALUE"""),0)</f>
        <v>0</v>
      </c>
      <c r="I3108" s="8">
        <f ca="1">IFERROR(__xludf.DUMMYFUNCTION("""COMPUTED_VALUE"""),0)</f>
        <v>0</v>
      </c>
      <c r="J3108" s="8">
        <f ca="1">IFERROR(__xludf.DUMMYFUNCTION("""COMPUTED_VALUE"""),0)</f>
        <v>0</v>
      </c>
      <c r="K3108" s="10" t="str">
        <f ca="1">IFERROR(__xludf.DUMMYFUNCTION("""COMPUTED_VALUE"""),"https://www.newspapers.com/image/48704588/")</f>
        <v>https://www.newspapers.com/image/48704588/</v>
      </c>
      <c r="L3108" s="8"/>
      <c r="M3108" s="8"/>
      <c r="N3108" s="8">
        <f ca="1">IFERROR(__xludf.DUMMYFUNCTION("""COMPUTED_VALUE"""),2)</f>
        <v>2</v>
      </c>
      <c r="O3108" s="8" t="str">
        <f ca="1">IFERROR(__xludf.DUMMYFUNCTION("""COMPUTED_VALUE"""),"Spring")</f>
        <v>Spring</v>
      </c>
      <c r="P3108" s="8" t="str">
        <f ca="1">IFERROR(__xludf.DUMMYFUNCTION("""COMPUTED_VALUE"""),"Harrisburg")</f>
        <v>Harrisburg</v>
      </c>
      <c r="Q3108" s="8" t="str">
        <f ca="1">IFERROR(__xludf.DUMMYFUNCTION("""COMPUTED_VALUE"""),"PA")</f>
        <v>PA</v>
      </c>
      <c r="R3108" s="8" t="str">
        <f ca="1">IFERROR(__xludf.DUMMYFUNCTION("""COMPUTED_VALUE"""),"High")</f>
        <v>High</v>
      </c>
      <c r="S3108" s="8" t="str">
        <f ca="1">IFERROR(__xludf.DUMMYFUNCTION("""COMPUTED_VALUE"""),"Cafeteria")</f>
        <v>Cafeteria</v>
      </c>
      <c r="T3108" s="8" t="str">
        <f ca="1">IFERROR(__xludf.DUMMYFUNCTION("""COMPUTED_VALUE"""),"Inside School Building")</f>
        <v>Inside School Building</v>
      </c>
      <c r="U3108" s="8" t="str">
        <f ca="1">IFERROR(__xludf.DUMMYFUNCTION("""COMPUTED_VALUE"""),"Yes")</f>
        <v>Yes</v>
      </c>
      <c r="V3108" s="8"/>
      <c r="W3108" s="8"/>
      <c r="X3108" s="8">
        <f ca="1">IFERROR(__xludf.DUMMYFUNCTION("""COMPUTED_VALUE"""),1)</f>
        <v>1</v>
      </c>
      <c r="Y3108" s="12" t="str">
        <f ca="1">IFERROR(__xludf.DUMMYFUNCTION("""COMPUTED_VALUE"""),"Fired 5 shots at ex-girlfriend in classroom")</f>
        <v>Fired 5 shots at ex-girlfriend in classroom</v>
      </c>
      <c r="Z3108" s="12" t="str">
        <f ca="1">IFERROR(__xludf.DUMMYFUNCTION("""COMPUTED_VALUE"""),"17 year-old male fired 5 shots at ex-girlfriend in classroom. She suffered minor wounds.")</f>
        <v>17 year-old male fired 5 shots at ex-girlfriend in classroom. She suffered minor wounds.</v>
      </c>
      <c r="AA3108" s="8" t="str">
        <f ca="1">IFERROR(__xludf.DUMMYFUNCTION("""COMPUTED_VALUE"""),"Domestic w/ Targeted Victim")</f>
        <v>Domestic w/ Targeted Victim</v>
      </c>
      <c r="AB3108" s="8"/>
      <c r="AC3108" s="8"/>
      <c r="AD3108" s="8" t="str">
        <f ca="1">IFERROR(__xludf.DUMMYFUNCTION("""COMPUTED_VALUE"""),"Victims Targeted")</f>
        <v>Victims Targeted</v>
      </c>
      <c r="AE3108" s="8" t="str">
        <f ca="1">IFERROR(__xludf.DUMMYFUNCTION("""COMPUTED_VALUE"""),"No")</f>
        <v>No</v>
      </c>
      <c r="AF3108" s="8"/>
      <c r="AG3108" s="8" t="str">
        <f ca="1">IFERROR(__xludf.DUMMYFUNCTION("""COMPUTED_VALUE"""),"No")</f>
        <v>No</v>
      </c>
      <c r="AH3108" s="8" t="str">
        <f ca="1">IFERROR(__xludf.DUMMYFUNCTION("""COMPUTED_VALUE"""),"No")</f>
        <v>No</v>
      </c>
      <c r="AI3108" s="8" t="str">
        <f ca="1">IFERROR(__xludf.DUMMYFUNCTION("""COMPUTED_VALUE"""),"No")</f>
        <v>No</v>
      </c>
      <c r="AJ3108" s="8" t="str">
        <f ca="1">IFERROR(__xludf.DUMMYFUNCTION("""COMPUTED_VALUE"""),"No")</f>
        <v>No</v>
      </c>
      <c r="AK3108" s="8" t="str">
        <f ca="1">IFERROR(__xludf.DUMMYFUNCTION("""COMPUTED_VALUE"""),"Yes")</f>
        <v>Yes</v>
      </c>
      <c r="AL3108" s="8" t="str">
        <f ca="1">IFERROR(__xludf.DUMMYFUNCTION("""COMPUTED_VALUE"""),"No")</f>
        <v>No</v>
      </c>
      <c r="AM3108" s="8"/>
      <c r="AN3108" s="8"/>
      <c r="AO3108" s="8" t="str">
        <f ca="1">IFERROR(__xludf.DUMMYFUNCTION("""COMPUTED_VALUE"""),"No")</f>
        <v>No</v>
      </c>
      <c r="AP3108" s="8"/>
      <c r="AQ3108" s="8" t="str">
        <f ca="1">IFERROR(__xludf.DUMMYFUNCTION("""COMPUTED_VALUE"""),"Unknown")</f>
        <v>Unknown</v>
      </c>
      <c r="AR3108" s="8" t="str">
        <f ca="1">IFERROR(__xludf.DUMMYFUNCTION("""COMPUTED_VALUE"""),"NA")</f>
        <v>NA</v>
      </c>
      <c r="AS3108" s="8">
        <f ca="1">IFERROR(__xludf.DUMMYFUNCTION("""COMPUTED_VALUE"""),5)</f>
        <v>5</v>
      </c>
      <c r="AT3108" s="8"/>
      <c r="AU3108" s="8">
        <f ca="1">IFERROR(__xludf.DUMMYFUNCTION("""COMPUTED_VALUE"""),40.29321)</f>
        <v>40.293210000000002</v>
      </c>
      <c r="AV3108" s="8">
        <f ca="1">IFERROR(__xludf.DUMMYFUNCTION("""COMPUTED_VALUE"""),-76.898432)</f>
        <v>-76.898432</v>
      </c>
      <c r="AW3108" s="8"/>
      <c r="AX3108" s="8">
        <f ca="1">IFERROR(__xludf.DUMMYFUNCTION("""COMPUTED_VALUE"""),17106)</f>
        <v>17106</v>
      </c>
    </row>
    <row r="3109" spans="1:50" ht="75" x14ac:dyDescent="0.2">
      <c r="A3109" s="8" t="str">
        <f ca="1">IFERROR(__xludf.DUMMYFUNCTION("""COMPUTED_VALUE"""),"19710309AZROT")</f>
        <v>19710309AZROT</v>
      </c>
      <c r="B3109" s="8">
        <f ca="1">IFERROR(__xludf.DUMMYFUNCTION("""COMPUTED_VALUE"""),3)</f>
        <v>3</v>
      </c>
      <c r="C3109" s="8">
        <f ca="1">IFERROR(__xludf.DUMMYFUNCTION("""COMPUTED_VALUE"""),9)</f>
        <v>9</v>
      </c>
      <c r="D3109" s="8">
        <f ca="1">IFERROR(__xludf.DUMMYFUNCTION("""COMPUTED_VALUE"""),1971)</f>
        <v>1971</v>
      </c>
      <c r="E3109" s="9">
        <f ca="1">IFERROR(__xludf.DUMMYFUNCTION("""COMPUTED_VALUE"""),26001)</f>
        <v>26001</v>
      </c>
      <c r="F3109" s="8" t="str">
        <f ca="1">IFERROR(__xludf.DUMMYFUNCTION("""COMPUTED_VALUE"""),"Roskruge Junior High School")</f>
        <v>Roskruge Junior High School</v>
      </c>
      <c r="G3109" s="8">
        <f ca="1">IFERROR(__xludf.DUMMYFUNCTION("""COMPUTED_VALUE"""),0)</f>
        <v>0</v>
      </c>
      <c r="H3109" s="8">
        <f ca="1">IFERROR(__xludf.DUMMYFUNCTION("""COMPUTED_VALUE"""),1)</f>
        <v>1</v>
      </c>
      <c r="I3109" s="8">
        <f ca="1">IFERROR(__xludf.DUMMYFUNCTION("""COMPUTED_VALUE"""),1)</f>
        <v>1</v>
      </c>
      <c r="J3109" s="8">
        <f ca="1">IFERROR(__xludf.DUMMYFUNCTION("""COMPUTED_VALUE"""),0)</f>
        <v>0</v>
      </c>
      <c r="K3109" s="10" t="str">
        <f ca="1">IFERROR(__xludf.DUMMYFUNCTION("""COMPUTED_VALUE"""),"https://www.newspapers.com/image/164611095/?terms=school%2Bshooting")</f>
        <v>https://www.newspapers.com/image/164611095/?terms=school%2Bshooting</v>
      </c>
      <c r="L3109" s="8"/>
      <c r="M3109" s="8"/>
      <c r="N3109" s="8">
        <f ca="1">IFERROR(__xludf.DUMMYFUNCTION("""COMPUTED_VALUE"""),3)</f>
        <v>3</v>
      </c>
      <c r="O3109" s="8" t="str">
        <f ca="1">IFERROR(__xludf.DUMMYFUNCTION("""COMPUTED_VALUE"""),"Spring")</f>
        <v>Spring</v>
      </c>
      <c r="P3109" s="8" t="str">
        <f ca="1">IFERROR(__xludf.DUMMYFUNCTION("""COMPUTED_VALUE"""),"Tucson")</f>
        <v>Tucson</v>
      </c>
      <c r="Q3109" s="8" t="str">
        <f ca="1">IFERROR(__xludf.DUMMYFUNCTION("""COMPUTED_VALUE"""),"AZ")</f>
        <v>AZ</v>
      </c>
      <c r="R3109" s="8" t="str">
        <f ca="1">IFERROR(__xludf.DUMMYFUNCTION("""COMPUTED_VALUE"""),"Junior High")</f>
        <v>Junior High</v>
      </c>
      <c r="S3109" s="8" t="str">
        <f ca="1">IFERROR(__xludf.DUMMYFUNCTION("""COMPUTED_VALUE"""),"Playground")</f>
        <v>Playground</v>
      </c>
      <c r="T3109" s="8" t="str">
        <f ca="1">IFERROR(__xludf.DUMMYFUNCTION("""COMPUTED_VALUE"""),"Outside on School Property")</f>
        <v>Outside on School Property</v>
      </c>
      <c r="U3109" s="8" t="str">
        <f ca="1">IFERROR(__xludf.DUMMYFUNCTION("""COMPUTED_VALUE"""),"Yes")</f>
        <v>Yes</v>
      </c>
      <c r="V3109" s="8"/>
      <c r="W3109" s="8"/>
      <c r="X3109" s="8">
        <f ca="1">IFERROR(__xludf.DUMMYFUNCTION("""COMPUTED_VALUE"""),1)</f>
        <v>1</v>
      </c>
      <c r="Y3109" s="12" t="str">
        <f ca="1">IFERROR(__xludf.DUMMYFUNCTION("""COMPUTED_VALUE"""),"Showing pistol on playground, accidental discharge struck other student")</f>
        <v>Showing pistol on playground, accidental discharge struck other student</v>
      </c>
      <c r="Z3109" s="12" t="str">
        <f ca="1">IFERROR(__xludf.DUMMYFUNCTION("""COMPUTED_VALUE"""),"Student was showing off a pistol on the playground (student was already on parole from youth corrections center). Gun discharged while handling it and struck another student in the arm.")</f>
        <v>Student was showing off a pistol on the playground (student was already on parole from youth corrections center). Gun discharged while handling it and struck another student in the arm.</v>
      </c>
      <c r="AA3109" s="8" t="str">
        <f ca="1">IFERROR(__xludf.DUMMYFUNCTION("""COMPUTED_VALUE"""),"Accidental")</f>
        <v>Accidental</v>
      </c>
      <c r="AB3109" s="8"/>
      <c r="AC3109" s="8"/>
      <c r="AD3109" s="8" t="str">
        <f ca="1">IFERROR(__xludf.DUMMYFUNCTION("""COMPUTED_VALUE"""),"Random Shooting")</f>
        <v>Random Shooting</v>
      </c>
      <c r="AE3109" s="8" t="str">
        <f ca="1">IFERROR(__xludf.DUMMYFUNCTION("""COMPUTED_VALUE"""),"No")</f>
        <v>No</v>
      </c>
      <c r="AF3109" s="8"/>
      <c r="AG3109" s="8" t="str">
        <f ca="1">IFERROR(__xludf.DUMMYFUNCTION("""COMPUTED_VALUE"""),"No")</f>
        <v>No</v>
      </c>
      <c r="AH3109" s="8" t="str">
        <f ca="1">IFERROR(__xludf.DUMMYFUNCTION("""COMPUTED_VALUE"""),"No")</f>
        <v>No</v>
      </c>
      <c r="AI3109" s="8" t="str">
        <f ca="1">IFERROR(__xludf.DUMMYFUNCTION("""COMPUTED_VALUE"""),"No")</f>
        <v>No</v>
      </c>
      <c r="AJ3109" s="8" t="str">
        <f ca="1">IFERROR(__xludf.DUMMYFUNCTION("""COMPUTED_VALUE"""),"No")</f>
        <v>No</v>
      </c>
      <c r="AK3109" s="8" t="str">
        <f ca="1">IFERROR(__xludf.DUMMYFUNCTION("""COMPUTED_VALUE"""),"No")</f>
        <v>No</v>
      </c>
      <c r="AL3109" s="8" t="str">
        <f ca="1">IFERROR(__xludf.DUMMYFUNCTION("""COMPUTED_VALUE"""),"No")</f>
        <v>No</v>
      </c>
      <c r="AM3109" s="8"/>
      <c r="AN3109" s="8"/>
      <c r="AO3109" s="8" t="str">
        <f ca="1">IFERROR(__xludf.DUMMYFUNCTION("""COMPUTED_VALUE"""),"No")</f>
        <v>No</v>
      </c>
      <c r="AP3109" s="8"/>
      <c r="AQ3109" s="8" t="str">
        <f ca="1">IFERROR(__xludf.DUMMYFUNCTION("""COMPUTED_VALUE"""),"Unknown")</f>
        <v>Unknown</v>
      </c>
      <c r="AR3109" s="8" t="str">
        <f ca="1">IFERROR(__xludf.DUMMYFUNCTION("""COMPUTED_VALUE"""),"NA")</f>
        <v>NA</v>
      </c>
      <c r="AS3109" s="8">
        <f ca="1">IFERROR(__xludf.DUMMYFUNCTION("""COMPUTED_VALUE"""),1)</f>
        <v>1</v>
      </c>
      <c r="AT3109" s="8"/>
      <c r="AU3109" s="8">
        <f ca="1">IFERROR(__xludf.DUMMYFUNCTION("""COMPUTED_VALUE"""),32.228413)</f>
        <v>32.228413000000003</v>
      </c>
      <c r="AV3109" s="8">
        <f ca="1">IFERROR(__xludf.DUMMYFUNCTION("""COMPUTED_VALUE"""),-110.963371)</f>
        <v>-110.963371</v>
      </c>
      <c r="AW3109" s="8"/>
      <c r="AX3109" s="8">
        <f ca="1">IFERROR(__xludf.DUMMYFUNCTION("""COMPUTED_VALUE"""),85721)</f>
        <v>85721</v>
      </c>
    </row>
    <row r="3110" spans="1:50" ht="45" x14ac:dyDescent="0.2">
      <c r="A3110" s="8" t="str">
        <f ca="1">IFERROR(__xludf.DUMMYFUNCTION("""COMPUTED_VALUE"""),"19710225OHFRC")</f>
        <v>19710225OHFRC</v>
      </c>
      <c r="B3110" s="8">
        <f ca="1">IFERROR(__xludf.DUMMYFUNCTION("""COMPUTED_VALUE"""),2)</f>
        <v>2</v>
      </c>
      <c r="C3110" s="8">
        <f ca="1">IFERROR(__xludf.DUMMYFUNCTION("""COMPUTED_VALUE"""),25)</f>
        <v>25</v>
      </c>
      <c r="D3110" s="8">
        <f ca="1">IFERROR(__xludf.DUMMYFUNCTION("""COMPUTED_VALUE"""),1971)</f>
        <v>1971</v>
      </c>
      <c r="E3110" s="9">
        <f ca="1">IFERROR(__xludf.DUMMYFUNCTION("""COMPUTED_VALUE"""),25989)</f>
        <v>25989</v>
      </c>
      <c r="F3110" s="8" t="str">
        <f ca="1">IFERROR(__xludf.DUMMYFUNCTION("""COMPUTED_VALUE"""),"Franklin D. Roosevelt Junior High School")</f>
        <v>Franklin D. Roosevelt Junior High School</v>
      </c>
      <c r="G3110" s="8">
        <f ca="1">IFERROR(__xludf.DUMMYFUNCTION("""COMPUTED_VALUE"""),1)</f>
        <v>1</v>
      </c>
      <c r="H3110" s="8">
        <f ca="1">IFERROR(__xludf.DUMMYFUNCTION("""COMPUTED_VALUE"""),0)</f>
        <v>0</v>
      </c>
      <c r="I3110" s="8">
        <f ca="1">IFERROR(__xludf.DUMMYFUNCTION("""COMPUTED_VALUE"""),1)</f>
        <v>1</v>
      </c>
      <c r="J3110" s="8">
        <f ca="1">IFERROR(__xludf.DUMMYFUNCTION("""COMPUTED_VALUE"""),0)</f>
        <v>0</v>
      </c>
      <c r="K3110" s="10" t="str">
        <f ca="1">IFERROR(__xludf.DUMMYFUNCTION("""COMPUTED_VALUE"""),"https://www.newspapers.com/image/296262312/?terms=school%2Bshooting")</f>
        <v>https://www.newspapers.com/image/296262312/?terms=school%2Bshooting</v>
      </c>
      <c r="L3110" s="8"/>
      <c r="M3110" s="8"/>
      <c r="N3110" s="8">
        <f ca="1">IFERROR(__xludf.DUMMYFUNCTION("""COMPUTED_VALUE"""),3)</f>
        <v>3</v>
      </c>
      <c r="O3110" s="8" t="str">
        <f ca="1">IFERROR(__xludf.DUMMYFUNCTION("""COMPUTED_VALUE"""),"Winter")</f>
        <v>Winter</v>
      </c>
      <c r="P3110" s="8" t="str">
        <f ca="1">IFERROR(__xludf.DUMMYFUNCTION("""COMPUTED_VALUE"""),"Cleveland")</f>
        <v>Cleveland</v>
      </c>
      <c r="Q3110" s="8" t="str">
        <f ca="1">IFERROR(__xludf.DUMMYFUNCTION("""COMPUTED_VALUE"""),"OH")</f>
        <v>OH</v>
      </c>
      <c r="R3110" s="8" t="str">
        <f ca="1">IFERROR(__xludf.DUMMYFUNCTION("""COMPUTED_VALUE"""),"Junior High")</f>
        <v>Junior High</v>
      </c>
      <c r="S3110" s="8" t="str">
        <f ca="1">IFERROR(__xludf.DUMMYFUNCTION("""COMPUTED_VALUE"""),"Bathroom")</f>
        <v>Bathroom</v>
      </c>
      <c r="T3110" s="8" t="str">
        <f ca="1">IFERROR(__xludf.DUMMYFUNCTION("""COMPUTED_VALUE"""),"Inside School Building")</f>
        <v>Inside School Building</v>
      </c>
      <c r="U3110" s="8" t="str">
        <f ca="1">IFERROR(__xludf.DUMMYFUNCTION("""COMPUTED_VALUE"""),"Yes")</f>
        <v>Yes</v>
      </c>
      <c r="V3110" s="8"/>
      <c r="W3110" s="8"/>
      <c r="X3110" s="8"/>
      <c r="Y3110" s="12" t="str">
        <f ca="1">IFERROR(__xludf.DUMMYFUNCTION("""COMPUTED_VALUE"""),"Victim shot 5 times in the head in the school bathroom")</f>
        <v>Victim shot 5 times in the head in the school bathroom</v>
      </c>
      <c r="Z3110" s="12" t="str">
        <f ca="1">IFERROR(__xludf.DUMMYFUNCTION("""COMPUTED_VALUE"""),"Student shot 5 times in the head in a school bathroom. Rifle was later found in a locker. 4 students were charged in connection with the shooting.")</f>
        <v>Student shot 5 times in the head in a school bathroom. Rifle was later found in a locker. 4 students were charged in connection with the shooting.</v>
      </c>
      <c r="AA3110" s="8" t="str">
        <f ca="1">IFERROR(__xludf.DUMMYFUNCTION("""COMPUTED_VALUE"""),"Escalation of Dispute")</f>
        <v>Escalation of Dispute</v>
      </c>
      <c r="AB3110" s="8"/>
      <c r="AC3110" s="8"/>
      <c r="AD3110" s="8" t="str">
        <f ca="1">IFERROR(__xludf.DUMMYFUNCTION("""COMPUTED_VALUE"""),"Victims Targeted")</f>
        <v>Victims Targeted</v>
      </c>
      <c r="AE3110" s="8" t="str">
        <f ca="1">IFERROR(__xludf.DUMMYFUNCTION("""COMPUTED_VALUE"""),"Yes")</f>
        <v>Yes</v>
      </c>
      <c r="AF3110" s="8" t="str">
        <f ca="1">IFERROR(__xludf.DUMMYFUNCTION("""COMPUTED_VALUE"""),"Four teens charged with delinquency")</f>
        <v>Four teens charged with delinquency</v>
      </c>
      <c r="AG3110" s="8" t="str">
        <f ca="1">IFERROR(__xludf.DUMMYFUNCTION("""COMPUTED_VALUE"""),"No")</f>
        <v>No</v>
      </c>
      <c r="AH3110" s="8" t="str">
        <f ca="1">IFERROR(__xludf.DUMMYFUNCTION("""COMPUTED_VALUE"""),"No")</f>
        <v>No</v>
      </c>
      <c r="AI3110" s="8" t="str">
        <f ca="1">IFERROR(__xludf.DUMMYFUNCTION("""COMPUTED_VALUE"""),"No")</f>
        <v>No</v>
      </c>
      <c r="AJ3110" s="8"/>
      <c r="AK3110" s="8" t="str">
        <f ca="1">IFERROR(__xludf.DUMMYFUNCTION("""COMPUTED_VALUE"""),"No")</f>
        <v>No</v>
      </c>
      <c r="AL3110" s="8" t="str">
        <f ca="1">IFERROR(__xludf.DUMMYFUNCTION("""COMPUTED_VALUE"""),"No")</f>
        <v>No</v>
      </c>
      <c r="AM3110" s="8"/>
      <c r="AN3110" s="8"/>
      <c r="AO3110" s="8" t="str">
        <f ca="1">IFERROR(__xludf.DUMMYFUNCTION("""COMPUTED_VALUE"""),"No")</f>
        <v>No</v>
      </c>
      <c r="AP3110" s="8"/>
      <c r="AQ3110" s="8" t="str">
        <f ca="1">IFERROR(__xludf.DUMMYFUNCTION("""COMPUTED_VALUE"""),"Unknown")</f>
        <v>Unknown</v>
      </c>
      <c r="AR3110" s="8" t="str">
        <f ca="1">IFERROR(__xludf.DUMMYFUNCTION("""COMPUTED_VALUE"""),"NA")</f>
        <v>NA</v>
      </c>
      <c r="AS3110" s="8">
        <f ca="1">IFERROR(__xludf.DUMMYFUNCTION("""COMPUTED_VALUE"""),5)</f>
        <v>5</v>
      </c>
      <c r="AT3110" s="8"/>
      <c r="AU3110" s="8">
        <f ca="1">IFERROR(__xludf.DUMMYFUNCTION("""COMPUTED_VALUE"""),41.49932)</f>
        <v>41.499319999999997</v>
      </c>
      <c r="AV3110" s="8">
        <f ca="1">IFERROR(__xludf.DUMMYFUNCTION("""COMPUTED_VALUE"""),-81.6943605)</f>
        <v>-81.694360500000002</v>
      </c>
      <c r="AW3110" s="8"/>
      <c r="AX3110" s="8">
        <f ca="1">IFERROR(__xludf.DUMMYFUNCTION("""COMPUTED_VALUE"""),44113)</f>
        <v>44113</v>
      </c>
    </row>
    <row r="3111" spans="1:50" ht="60" x14ac:dyDescent="0.2">
      <c r="A3111" s="8" t="str">
        <f ca="1">IFERROR(__xludf.DUMMYFUNCTION("""COMPUTED_VALUE"""),"19710210TXOAD")</f>
        <v>19710210TXOAD</v>
      </c>
      <c r="B3111" s="8">
        <f ca="1">IFERROR(__xludf.DUMMYFUNCTION("""COMPUTED_VALUE"""),2)</f>
        <v>2</v>
      </c>
      <c r="C3111" s="8">
        <f ca="1">IFERROR(__xludf.DUMMYFUNCTION("""COMPUTED_VALUE"""),10)</f>
        <v>10</v>
      </c>
      <c r="D3111" s="8">
        <f ca="1">IFERROR(__xludf.DUMMYFUNCTION("""COMPUTED_VALUE"""),1971)</f>
        <v>1971</v>
      </c>
      <c r="E3111" s="9">
        <f ca="1">IFERROR(__xludf.DUMMYFUNCTION("""COMPUTED_VALUE"""),25974)</f>
        <v>25974</v>
      </c>
      <c r="F3111" s="8" t="str">
        <f ca="1">IFERROR(__xludf.DUMMYFUNCTION("""COMPUTED_VALUE"""),"Oak Cliff High School")</f>
        <v>Oak Cliff High School</v>
      </c>
      <c r="G3111" s="8">
        <f ca="1">IFERROR(__xludf.DUMMYFUNCTION("""COMPUTED_VALUE"""),0)</f>
        <v>0</v>
      </c>
      <c r="H3111" s="8">
        <f ca="1">IFERROR(__xludf.DUMMYFUNCTION("""COMPUTED_VALUE"""),2)</f>
        <v>2</v>
      </c>
      <c r="I3111" s="8">
        <f ca="1">IFERROR(__xludf.DUMMYFUNCTION("""COMPUTED_VALUE"""),2)</f>
        <v>2</v>
      </c>
      <c r="J3111" s="8">
        <f ca="1">IFERROR(__xludf.DUMMYFUNCTION("""COMPUTED_VALUE"""),0)</f>
        <v>0</v>
      </c>
      <c r="K3111" s="10" t="str">
        <f ca="1">IFERROR(__xludf.DUMMYFUNCTION("""COMPUTED_VALUE"""),"https://www.newspapers.com/image/20769968/?terms=school%2Bshooting")</f>
        <v>https://www.newspapers.com/image/20769968/?terms=school%2Bshooting</v>
      </c>
      <c r="L3111" s="8"/>
      <c r="M3111" s="8"/>
      <c r="N3111" s="8">
        <f ca="1">IFERROR(__xludf.DUMMYFUNCTION("""COMPUTED_VALUE"""),3)</f>
        <v>3</v>
      </c>
      <c r="O3111" s="8" t="str">
        <f ca="1">IFERROR(__xludf.DUMMYFUNCTION("""COMPUTED_VALUE"""),"Winter")</f>
        <v>Winter</v>
      </c>
      <c r="P3111" s="8" t="str">
        <f ca="1">IFERROR(__xludf.DUMMYFUNCTION("""COMPUTED_VALUE"""),"Dallas")</f>
        <v>Dallas</v>
      </c>
      <c r="Q3111" s="8" t="str">
        <f ca="1">IFERROR(__xludf.DUMMYFUNCTION("""COMPUTED_VALUE"""),"TX")</f>
        <v>TX</v>
      </c>
      <c r="R3111" s="8" t="str">
        <f ca="1">IFERROR(__xludf.DUMMYFUNCTION("""COMPUTED_VALUE"""),"High")</f>
        <v>High</v>
      </c>
      <c r="S3111" s="8" t="str">
        <f ca="1">IFERROR(__xludf.DUMMYFUNCTION("""COMPUTED_VALUE"""),"Outside on School Property")</f>
        <v>Outside on School Property</v>
      </c>
      <c r="T3111" s="8" t="str">
        <f ca="1">IFERROR(__xludf.DUMMYFUNCTION("""COMPUTED_VALUE"""),"Outside on School Property")</f>
        <v>Outside on School Property</v>
      </c>
      <c r="U3111" s="8" t="str">
        <f ca="1">IFERROR(__xludf.DUMMYFUNCTION("""COMPUTED_VALUE"""),"Yes")</f>
        <v>Yes</v>
      </c>
      <c r="V3111" s="8"/>
      <c r="W3111" s="8"/>
      <c r="X3111" s="8"/>
      <c r="Y3111" s="12" t="str">
        <f ca="1">IFERROR(__xludf.DUMMYFUNCTION("""COMPUTED_VALUE"""),"Shooter fired shotgun at a student in a crowd of 200 students")</f>
        <v>Shooter fired shotgun at a student in a crowd of 200 students</v>
      </c>
      <c r="Z3111" s="12" t="str">
        <f ca="1">IFERROR(__xludf.DUMMYFUNCTION("""COMPUTED_VALUE"""),"Shooter and intended target had an argument prior to the shooting. Shooter fired a shot into the air and a second shot at the intended target in a group of students. Two other students sustained injuries from shotgun pellets.")</f>
        <v>Shooter and intended target had an argument prior to the shooting. Shooter fired a shot into the air and a second shot at the intended target in a group of students. Two other students sustained injuries from shotgun pellets.</v>
      </c>
      <c r="AA3111" s="8" t="str">
        <f ca="1">IFERROR(__xludf.DUMMYFUNCTION("""COMPUTED_VALUE"""),"Escalation of Dispute")</f>
        <v>Escalation of Dispute</v>
      </c>
      <c r="AB3111" s="8"/>
      <c r="AC3111" s="8"/>
      <c r="AD3111" s="8" t="str">
        <f ca="1">IFERROR(__xludf.DUMMYFUNCTION("""COMPUTED_VALUE"""),"Both")</f>
        <v>Both</v>
      </c>
      <c r="AE3111" s="8" t="str">
        <f ca="1">IFERROR(__xludf.DUMMYFUNCTION("""COMPUTED_VALUE"""),"Yes")</f>
        <v>Yes</v>
      </c>
      <c r="AF3111" s="8" t="str">
        <f ca="1">IFERROR(__xludf.DUMMYFUNCTION("""COMPUTED_VALUE"""),"Four teens charged")</f>
        <v>Four teens charged</v>
      </c>
      <c r="AG3111" s="8" t="str">
        <f ca="1">IFERROR(__xludf.DUMMYFUNCTION("""COMPUTED_VALUE"""),"No")</f>
        <v>No</v>
      </c>
      <c r="AH3111" s="8" t="str">
        <f ca="1">IFERROR(__xludf.DUMMYFUNCTION("""COMPUTED_VALUE"""),"No")</f>
        <v>No</v>
      </c>
      <c r="AI3111" s="8" t="str">
        <f ca="1">IFERROR(__xludf.DUMMYFUNCTION("""COMPUTED_VALUE"""),"No")</f>
        <v>No</v>
      </c>
      <c r="AJ3111" s="8" t="str">
        <f ca="1">IFERROR(__xludf.DUMMYFUNCTION("""COMPUTED_VALUE"""),"No")</f>
        <v>No</v>
      </c>
      <c r="AK3111" s="8" t="str">
        <f ca="1">IFERROR(__xludf.DUMMYFUNCTION("""COMPUTED_VALUE"""),"No")</f>
        <v>No</v>
      </c>
      <c r="AL3111" s="8" t="str">
        <f ca="1">IFERROR(__xludf.DUMMYFUNCTION("""COMPUTED_VALUE"""),"No")</f>
        <v>No</v>
      </c>
      <c r="AM3111" s="8"/>
      <c r="AN3111" s="8"/>
      <c r="AO3111" s="8" t="str">
        <f ca="1">IFERROR(__xludf.DUMMYFUNCTION("""COMPUTED_VALUE"""),"No")</f>
        <v>No</v>
      </c>
      <c r="AP3111" s="8"/>
      <c r="AQ3111" s="8" t="str">
        <f ca="1">IFERROR(__xludf.DUMMYFUNCTION("""COMPUTED_VALUE"""),"Unknown")</f>
        <v>Unknown</v>
      </c>
      <c r="AR3111" s="8" t="str">
        <f ca="1">IFERROR(__xludf.DUMMYFUNCTION("""COMPUTED_VALUE"""),"NA")</f>
        <v>NA</v>
      </c>
      <c r="AS3111" s="8">
        <f ca="1">IFERROR(__xludf.DUMMYFUNCTION("""COMPUTED_VALUE"""),2)</f>
        <v>2</v>
      </c>
      <c r="AT3111" s="8"/>
      <c r="AU3111" s="8">
        <f ca="1">IFERROR(__xludf.DUMMYFUNCTION("""COMPUTED_VALUE"""),32.699517)</f>
        <v>32.699517</v>
      </c>
      <c r="AV3111" s="8">
        <f ca="1">IFERROR(__xludf.DUMMYFUNCTION("""COMPUTED_VALUE"""),-96.815757)</f>
        <v>-96.815757000000005</v>
      </c>
      <c r="AW3111" s="8"/>
      <c r="AX3111" s="8">
        <f ca="1">IFERROR(__xludf.DUMMYFUNCTION("""COMPUTED_VALUE"""),75216)</f>
        <v>75216</v>
      </c>
    </row>
    <row r="3112" spans="1:50" ht="30" x14ac:dyDescent="0.2">
      <c r="A3112" s="8" t="str">
        <f ca="1">IFERROR(__xludf.DUMMYFUNCTION("""COMPUTED_VALUE"""),"19710205PAJOW")</f>
        <v>19710205PAJOW</v>
      </c>
      <c r="B3112" s="8">
        <f ca="1">IFERROR(__xludf.DUMMYFUNCTION("""COMPUTED_VALUE"""),2)</f>
        <v>2</v>
      </c>
      <c r="C3112" s="8">
        <f ca="1">IFERROR(__xludf.DUMMYFUNCTION("""COMPUTED_VALUE"""),5)</f>
        <v>5</v>
      </c>
      <c r="D3112" s="8">
        <f ca="1">IFERROR(__xludf.DUMMYFUNCTION("""COMPUTED_VALUE"""),1971)</f>
        <v>1971</v>
      </c>
      <c r="E3112" s="9">
        <f ca="1">IFERROR(__xludf.DUMMYFUNCTION("""COMPUTED_VALUE"""),25969)</f>
        <v>25969</v>
      </c>
      <c r="F3112" s="8" t="str">
        <f ca="1">IFERROR(__xludf.DUMMYFUNCTION("""COMPUTED_VALUE"""),"John F. Kennedy High School")</f>
        <v>John F. Kennedy High School</v>
      </c>
      <c r="G3112" s="8">
        <f ca="1">IFERROR(__xludf.DUMMYFUNCTION("""COMPUTED_VALUE"""),0)</f>
        <v>0</v>
      </c>
      <c r="H3112" s="8">
        <f ca="1">IFERROR(__xludf.DUMMYFUNCTION("""COMPUTED_VALUE"""),1)</f>
        <v>1</v>
      </c>
      <c r="I3112" s="8">
        <f ca="1">IFERROR(__xludf.DUMMYFUNCTION("""COMPUTED_VALUE"""),1)</f>
        <v>1</v>
      </c>
      <c r="J3112" s="8">
        <f ca="1">IFERROR(__xludf.DUMMYFUNCTION("""COMPUTED_VALUE"""),0)</f>
        <v>0</v>
      </c>
      <c r="K3112" s="10" t="str">
        <f ca="1">IFERROR(__xludf.DUMMYFUNCTION("""COMPUTED_VALUE"""),"https://www.newspapers.com/image/179956712")</f>
        <v>https://www.newspapers.com/image/179956712</v>
      </c>
      <c r="L3112" s="8"/>
      <c r="M3112" s="8"/>
      <c r="N3112" s="8">
        <f ca="1">IFERROR(__xludf.DUMMYFUNCTION("""COMPUTED_VALUE"""),2)</f>
        <v>2</v>
      </c>
      <c r="O3112" s="8" t="str">
        <f ca="1">IFERROR(__xludf.DUMMYFUNCTION("""COMPUTED_VALUE"""),"Winter")</f>
        <v>Winter</v>
      </c>
      <c r="P3112" s="8" t="str">
        <f ca="1">IFERROR(__xludf.DUMMYFUNCTION("""COMPUTED_VALUE"""),"Willingboro")</f>
        <v>Willingboro</v>
      </c>
      <c r="Q3112" s="8" t="str">
        <f ca="1">IFERROR(__xludf.DUMMYFUNCTION("""COMPUTED_VALUE"""),"NJ")</f>
        <v>NJ</v>
      </c>
      <c r="R3112" s="8" t="str">
        <f ca="1">IFERROR(__xludf.DUMMYFUNCTION("""COMPUTED_VALUE"""),"High")</f>
        <v>High</v>
      </c>
      <c r="S3112" s="8" t="str">
        <f ca="1">IFERROR(__xludf.DUMMYFUNCTION("""COMPUTED_VALUE"""),"ND")</f>
        <v>ND</v>
      </c>
      <c r="T3112" s="8" t="str">
        <f ca="1">IFERROR(__xludf.DUMMYFUNCTION("""COMPUTED_VALUE"""),"ND")</f>
        <v>ND</v>
      </c>
      <c r="U3112" s="8" t="str">
        <f ca="1">IFERROR(__xludf.DUMMYFUNCTION("""COMPUTED_VALUE"""),"Yes")</f>
        <v>Yes</v>
      </c>
      <c r="V3112" s="8" t="str">
        <f ca="1">IFERROR(__xludf.DUMMYFUNCTION("""COMPUTED_VALUE"""),"Unknown")</f>
        <v>Unknown</v>
      </c>
      <c r="W3112" s="8"/>
      <c r="X3112" s="8"/>
      <c r="Y3112" s="12" t="str">
        <f ca="1">IFERROR(__xludf.DUMMYFUNCTION("""COMPUTED_VALUE"""),"Shooter shot and stabbed victim")</f>
        <v>Shooter shot and stabbed victim</v>
      </c>
      <c r="Z3112" s="12" t="str">
        <f ca="1">IFERROR(__xludf.DUMMYFUNCTION("""COMPUTED_VALUE"""),"14 year-old male student shot and stabbed a 13 year-old male victim.")</f>
        <v>14 year-old male student shot and stabbed a 13 year-old male victim.</v>
      </c>
      <c r="AA3112" s="8" t="str">
        <f ca="1">IFERROR(__xludf.DUMMYFUNCTION("""COMPUTED_VALUE"""),"Escalation of Dispute")</f>
        <v>Escalation of Dispute</v>
      </c>
      <c r="AB3112" s="8"/>
      <c r="AC3112" s="8"/>
      <c r="AD3112" s="8" t="str">
        <f ca="1">IFERROR(__xludf.DUMMYFUNCTION("""COMPUTED_VALUE"""),"Victims Targeted")</f>
        <v>Victims Targeted</v>
      </c>
      <c r="AE3112" s="8" t="str">
        <f ca="1">IFERROR(__xludf.DUMMYFUNCTION("""COMPUTED_VALUE"""),"No")</f>
        <v>No</v>
      </c>
      <c r="AF3112" s="8"/>
      <c r="AG3112" s="8" t="str">
        <f ca="1">IFERROR(__xludf.DUMMYFUNCTION("""COMPUTED_VALUE"""),"No")</f>
        <v>No</v>
      </c>
      <c r="AH3112" s="8" t="str">
        <f ca="1">IFERROR(__xludf.DUMMYFUNCTION("""COMPUTED_VALUE"""),"No")</f>
        <v>No</v>
      </c>
      <c r="AI3112" s="8" t="str">
        <f ca="1">IFERROR(__xludf.DUMMYFUNCTION("""COMPUTED_VALUE"""),"No")</f>
        <v>No</v>
      </c>
      <c r="AJ3112" s="8"/>
      <c r="AK3112" s="8"/>
      <c r="AL3112" s="8" t="str">
        <f ca="1">IFERROR(__xludf.DUMMYFUNCTION("""COMPUTED_VALUE"""),"No")</f>
        <v>No</v>
      </c>
      <c r="AM3112" s="8"/>
      <c r="AN3112" s="8"/>
      <c r="AO3112" s="8" t="str">
        <f ca="1">IFERROR(__xludf.DUMMYFUNCTION("""COMPUTED_VALUE"""),"No")</f>
        <v>No</v>
      </c>
      <c r="AP3112" s="8"/>
      <c r="AQ3112" s="8" t="str">
        <f ca="1">IFERROR(__xludf.DUMMYFUNCTION("""COMPUTED_VALUE"""),"Unknown")</f>
        <v>Unknown</v>
      </c>
      <c r="AR3112" s="8" t="str">
        <f ca="1">IFERROR(__xludf.DUMMYFUNCTION("""COMPUTED_VALUE"""),"NA")</f>
        <v>NA</v>
      </c>
      <c r="AS3112" s="8"/>
      <c r="AT3112" s="8"/>
      <c r="AU3112" s="8">
        <f ca="1">IFERROR(__xludf.DUMMYFUNCTION("""COMPUTED_VALUE"""),40.031118)</f>
        <v>40.031117999999999</v>
      </c>
      <c r="AV3112" s="8">
        <f ca="1">IFERROR(__xludf.DUMMYFUNCTION("""COMPUTED_VALUE"""),-74.882569)</f>
        <v>-74.882569000000004</v>
      </c>
      <c r="AW3112" s="8"/>
      <c r="AX3112" s="8">
        <f ca="1">IFERROR(__xludf.DUMMYFUNCTION("""COMPUTED_VALUE"""),8046)</f>
        <v>8046</v>
      </c>
    </row>
    <row r="3113" spans="1:50" ht="90" x14ac:dyDescent="0.2">
      <c r="A3113" s="8" t="str">
        <f ca="1">IFERROR(__xludf.DUMMYFUNCTION("""COMPUTED_VALUE"""),"19710202PAMOP")</f>
        <v>19710202PAMOP</v>
      </c>
      <c r="B3113" s="8">
        <f ca="1">IFERROR(__xludf.DUMMYFUNCTION("""COMPUTED_VALUE"""),2)</f>
        <v>2</v>
      </c>
      <c r="C3113" s="8">
        <f ca="1">IFERROR(__xludf.DUMMYFUNCTION("""COMPUTED_VALUE"""),2)</f>
        <v>2</v>
      </c>
      <c r="D3113" s="8">
        <f ca="1">IFERROR(__xludf.DUMMYFUNCTION("""COMPUTED_VALUE"""),1971)</f>
        <v>1971</v>
      </c>
      <c r="E3113" s="9">
        <f ca="1">IFERROR(__xludf.DUMMYFUNCTION("""COMPUTED_VALUE"""),25966)</f>
        <v>25966</v>
      </c>
      <c r="F3113" s="8" t="str">
        <f ca="1">IFERROR(__xludf.DUMMYFUNCTION("""COMPUTED_VALUE"""),"Morris E. Leeds Middle School")</f>
        <v>Morris E. Leeds Middle School</v>
      </c>
      <c r="G3113" s="8">
        <f ca="1">IFERROR(__xludf.DUMMYFUNCTION("""COMPUTED_VALUE"""),1)</f>
        <v>1</v>
      </c>
      <c r="H3113" s="8">
        <f ca="1">IFERROR(__xludf.DUMMYFUNCTION("""COMPUTED_VALUE"""),0)</f>
        <v>0</v>
      </c>
      <c r="I3113" s="8">
        <f ca="1">IFERROR(__xludf.DUMMYFUNCTION("""COMPUTED_VALUE"""),1)</f>
        <v>1</v>
      </c>
      <c r="J3113" s="8">
        <f ca="1">IFERROR(__xludf.DUMMYFUNCTION("""COMPUTED_VALUE"""),0)</f>
        <v>0</v>
      </c>
      <c r="K3113" s="8" t="str">
        <f ca="1">IFERROR(__xludf.DUMMYFUNCTION("""COMPUTED_VALUE"""),"https://www.nytimes.com/1971/02/02/archives/art-teacher-slain-philadelphia-police-arrest-youth-14.html; https://www.newspapers.com/image/272654290/?terms=PUPIL%2BHELD%2BIN%2BTEACHER%2BSLAYING; https://www.newspapers.com/image/40446958/?terms=PUPIL%2BHELD%"&amp;"2BIN%2BTEACHER%2BSLAYING%2BSAMUEL%2BFREEDMAN")</f>
        <v>https://www.nytimes.com/1971/02/02/archives/art-teacher-slain-philadelphia-police-arrest-youth-14.html; https://www.newspapers.com/image/272654290/?terms=PUPIL%2BHELD%2BIN%2BTEACHER%2BSLAYING; https://www.newspapers.com/image/40446958/?terms=PUPIL%2BHELD%2BIN%2BTEACHER%2BSLAYING%2BSAMUEL%2BFREEDMAN</v>
      </c>
      <c r="L3113" s="8"/>
      <c r="M3113" s="8"/>
      <c r="N3113" s="8">
        <f ca="1">IFERROR(__xludf.DUMMYFUNCTION("""COMPUTED_VALUE"""),3)</f>
        <v>3</v>
      </c>
      <c r="O3113" s="8" t="str">
        <f ca="1">IFERROR(__xludf.DUMMYFUNCTION("""COMPUTED_VALUE"""),"Winter")</f>
        <v>Winter</v>
      </c>
      <c r="P3113" s="8" t="str">
        <f ca="1">IFERROR(__xludf.DUMMYFUNCTION("""COMPUTED_VALUE"""),"Philadelphia")</f>
        <v>Philadelphia</v>
      </c>
      <c r="Q3113" s="8" t="str">
        <f ca="1">IFERROR(__xludf.DUMMYFUNCTION("""COMPUTED_VALUE"""),"PA")</f>
        <v>PA</v>
      </c>
      <c r="R3113" s="8" t="str">
        <f ca="1">IFERROR(__xludf.DUMMYFUNCTION("""COMPUTED_VALUE"""),"Middle")</f>
        <v>Middle</v>
      </c>
      <c r="S3113" s="8" t="str">
        <f ca="1">IFERROR(__xludf.DUMMYFUNCTION("""COMPUTED_VALUE"""),"Outside on School Property")</f>
        <v>Outside on School Property</v>
      </c>
      <c r="T3113" s="8" t="str">
        <f ca="1">IFERROR(__xludf.DUMMYFUNCTION("""COMPUTED_VALUE"""),"Outside on School Property")</f>
        <v>Outside on School Property</v>
      </c>
      <c r="U3113" s="8" t="str">
        <f ca="1">IFERROR(__xludf.DUMMYFUNCTION("""COMPUTED_VALUE"""),"No")</f>
        <v>No</v>
      </c>
      <c r="V3113" s="8"/>
      <c r="W3113" s="8"/>
      <c r="X3113" s="8"/>
      <c r="Y3113" s="12" t="str">
        <f ca="1">IFERROR(__xludf.DUMMYFUNCTION("""COMPUTED_VALUE"""),"Student shot teacher who had suspended him earlier in the day for cursing in the hallway")</f>
        <v>Student shot teacher who had suspended him earlier in the day for cursing in the hallway</v>
      </c>
      <c r="Z3113" s="12" t="str">
        <f ca="1">IFERROR(__xludf.DUMMYFUNCTION("""COMPUTED_VALUE"""),"56 year-old male teacher was shot while leaving school by student he had suspended earlier in the day")</f>
        <v>56 year-old male teacher was shot while leaving school by student he had suspended earlier in the day</v>
      </c>
      <c r="AA3113" s="8" t="str">
        <f ca="1">IFERROR(__xludf.DUMMYFUNCTION("""COMPUTED_VALUE"""),"Anger Over Grade/Suspension/Discipline")</f>
        <v>Anger Over Grade/Suspension/Discipline</v>
      </c>
      <c r="AB3113" s="8"/>
      <c r="AC3113" s="8"/>
      <c r="AD3113" s="8" t="str">
        <f ca="1">IFERROR(__xludf.DUMMYFUNCTION("""COMPUTED_VALUE"""),"Victims Targeted")</f>
        <v>Victims Targeted</v>
      </c>
      <c r="AE3113" s="8" t="str">
        <f ca="1">IFERROR(__xludf.DUMMYFUNCTION("""COMPUTED_VALUE"""),"No")</f>
        <v>No</v>
      </c>
      <c r="AF3113" s="8"/>
      <c r="AG3113" s="8" t="str">
        <f ca="1">IFERROR(__xludf.DUMMYFUNCTION("""COMPUTED_VALUE"""),"No")</f>
        <v>No</v>
      </c>
      <c r="AH3113" s="8" t="str">
        <f ca="1">IFERROR(__xludf.DUMMYFUNCTION("""COMPUTED_VALUE"""),"No")</f>
        <v>No</v>
      </c>
      <c r="AI3113" s="8" t="str">
        <f ca="1">IFERROR(__xludf.DUMMYFUNCTION("""COMPUTED_VALUE"""),"No")</f>
        <v>No</v>
      </c>
      <c r="AJ3113" s="8" t="str">
        <f ca="1">IFERROR(__xludf.DUMMYFUNCTION("""COMPUTED_VALUE"""),"No")</f>
        <v>No</v>
      </c>
      <c r="AK3113" s="8" t="str">
        <f ca="1">IFERROR(__xludf.DUMMYFUNCTION("""COMPUTED_VALUE"""),"No")</f>
        <v>No</v>
      </c>
      <c r="AL3113" s="8" t="str">
        <f ca="1">IFERROR(__xludf.DUMMYFUNCTION("""COMPUTED_VALUE"""),"No")</f>
        <v>No</v>
      </c>
      <c r="AM3113" s="8"/>
      <c r="AN3113" s="8" t="str">
        <f ca="1">IFERROR(__xludf.DUMMYFUNCTION("""COMPUTED_VALUE"""),"Outside")</f>
        <v>Outside</v>
      </c>
      <c r="AO3113" s="8" t="str">
        <f ca="1">IFERROR(__xludf.DUMMYFUNCTION("""COMPUTED_VALUE"""),"Yes")</f>
        <v>Yes</v>
      </c>
      <c r="AP3113" s="8" t="str">
        <f ca="1">IFERROR(__xludf.DUMMYFUNCTION("""COMPUTED_VALUE"""),"No")</f>
        <v>No</v>
      </c>
      <c r="AQ3113" s="8" t="str">
        <f ca="1">IFERROR(__xludf.DUMMYFUNCTION("""COMPUTED_VALUE"""),"None")</f>
        <v>None</v>
      </c>
      <c r="AR3113" s="8" t="str">
        <f ca="1">IFERROR(__xludf.DUMMYFUNCTION("""COMPUTED_VALUE"""),"NA")</f>
        <v>NA</v>
      </c>
      <c r="AS3113" s="8">
        <f ca="1">IFERROR(__xludf.DUMMYFUNCTION("""COMPUTED_VALUE"""),1)</f>
        <v>1</v>
      </c>
      <c r="AT3113" s="8"/>
      <c r="AU3113" s="8">
        <f ca="1">IFERROR(__xludf.DUMMYFUNCTION("""COMPUTED_VALUE"""),39.960166)</f>
        <v>39.960166000000001</v>
      </c>
      <c r="AV3113" s="8">
        <f ca="1">IFERROR(__xludf.DUMMYFUNCTION("""COMPUTED_VALUE"""),-75.184051)</f>
        <v>-75.184050999999997</v>
      </c>
      <c r="AW3113" s="8"/>
      <c r="AX3113" s="8">
        <f ca="1">IFERROR(__xludf.DUMMYFUNCTION("""COMPUTED_VALUE"""),19104)</f>
        <v>19104</v>
      </c>
    </row>
    <row r="3114" spans="1:50" ht="60" x14ac:dyDescent="0.2">
      <c r="A3114" s="8" t="str">
        <f ca="1">IFERROR(__xludf.DUMMYFUNCTION("""COMPUTED_VALUE"""),"19701212WIXAA")</f>
        <v>19701212WIXAA</v>
      </c>
      <c r="B3114" s="8">
        <f ca="1">IFERROR(__xludf.DUMMYFUNCTION("""COMPUTED_VALUE"""),12)</f>
        <v>12</v>
      </c>
      <c r="C3114" s="8">
        <f ca="1">IFERROR(__xludf.DUMMYFUNCTION("""COMPUTED_VALUE"""),12)</f>
        <v>12</v>
      </c>
      <c r="D3114" s="8">
        <f ca="1">IFERROR(__xludf.DUMMYFUNCTION("""COMPUTED_VALUE"""),1970)</f>
        <v>1970</v>
      </c>
      <c r="E3114" s="9">
        <f ca="1">IFERROR(__xludf.DUMMYFUNCTION("""COMPUTED_VALUE"""),25914)</f>
        <v>25914</v>
      </c>
      <c r="F3114" s="8" t="str">
        <f ca="1">IFERROR(__xludf.DUMMYFUNCTION("""COMPUTED_VALUE"""),"Xavier High School")</f>
        <v>Xavier High School</v>
      </c>
      <c r="G3114" s="8">
        <f ca="1">IFERROR(__xludf.DUMMYFUNCTION("""COMPUTED_VALUE"""),1)</f>
        <v>1</v>
      </c>
      <c r="H3114" s="8">
        <f ca="1">IFERROR(__xludf.DUMMYFUNCTION("""COMPUTED_VALUE"""),0)</f>
        <v>0</v>
      </c>
      <c r="I3114" s="8">
        <f ca="1">IFERROR(__xludf.DUMMYFUNCTION("""COMPUTED_VALUE"""),1)</f>
        <v>1</v>
      </c>
      <c r="J3114" s="8">
        <f ca="1">IFERROR(__xludf.DUMMYFUNCTION("""COMPUTED_VALUE"""),0)</f>
        <v>0</v>
      </c>
      <c r="K3114" s="10" t="str">
        <f ca="1">IFERROR(__xludf.DUMMYFUNCTION("""COMPUTED_VALUE"""),"https://www.newspapers.com/image/246856502/?terms=xavier%2Bhigh%2Bschool%2Bshooting%2Bappleton")</f>
        <v>https://www.newspapers.com/image/246856502/?terms=xavier%2Bhigh%2Bschool%2Bshooting%2Bappleton</v>
      </c>
      <c r="L3114" s="8"/>
      <c r="M3114" s="8"/>
      <c r="N3114" s="8">
        <f ca="1">IFERROR(__xludf.DUMMYFUNCTION("""COMPUTED_VALUE"""),3)</f>
        <v>3</v>
      </c>
      <c r="O3114" s="8" t="str">
        <f ca="1">IFERROR(__xludf.DUMMYFUNCTION("""COMPUTED_VALUE"""),"Winter")</f>
        <v>Winter</v>
      </c>
      <c r="P3114" s="8" t="str">
        <f ca="1">IFERROR(__xludf.DUMMYFUNCTION("""COMPUTED_VALUE"""),"Appleton")</f>
        <v>Appleton</v>
      </c>
      <c r="Q3114" s="8" t="str">
        <f ca="1">IFERROR(__xludf.DUMMYFUNCTION("""COMPUTED_VALUE"""),"WI")</f>
        <v>WI</v>
      </c>
      <c r="R3114" s="8" t="str">
        <f ca="1">IFERROR(__xludf.DUMMYFUNCTION("""COMPUTED_VALUE"""),"High")</f>
        <v>High</v>
      </c>
      <c r="S3114" s="8" t="str">
        <f ca="1">IFERROR(__xludf.DUMMYFUNCTION("""COMPUTED_VALUE"""),"Inside School Building")</f>
        <v>Inside School Building</v>
      </c>
      <c r="T3114" s="8" t="str">
        <f ca="1">IFERROR(__xludf.DUMMYFUNCTION("""COMPUTED_VALUE"""),"Inside School Building")</f>
        <v>Inside School Building</v>
      </c>
      <c r="U3114" s="8" t="str">
        <f ca="1">IFERROR(__xludf.DUMMYFUNCTION("""COMPUTED_VALUE"""),"No")</f>
        <v>No</v>
      </c>
      <c r="V3114" s="8" t="str">
        <f ca="1">IFERROR(__xludf.DUMMYFUNCTION("""COMPUTED_VALUE"""),"Night")</f>
        <v>Night</v>
      </c>
      <c r="W3114" s="11">
        <f ca="1">IFERROR(__xludf.DUMMYFUNCTION("""COMPUTED_VALUE"""),0.996527777777777)</f>
        <v>0.99652777777777701</v>
      </c>
      <c r="X3114" s="8">
        <f ca="1">IFERROR(__xludf.DUMMYFUNCTION("""COMPUTED_VALUE"""),1)</f>
        <v>1</v>
      </c>
      <c r="Y3114" s="12" t="str">
        <f ca="1">IFERROR(__xludf.DUMMYFUNCTION("""COMPUTED_VALUE"""),"Police officer shot suspect during attempted burglary at school")</f>
        <v>Police officer shot suspect during attempted burglary at school</v>
      </c>
      <c r="Z3114" s="12" t="str">
        <f ca="1">IFERROR(__xludf.DUMMYFUNCTION("""COMPUTED_VALUE"""),"Police officer shot and killed a 42 year-old male during an attempted burglary at the school. Ruled justified homicide.")</f>
        <v>Police officer shot and killed a 42 year-old male during an attempted burglary at the school. Ruled justified homicide.</v>
      </c>
      <c r="AA3114" s="8" t="str">
        <f ca="1">IFERROR(__xludf.DUMMYFUNCTION("""COMPUTED_VALUE"""),"Illegal Activity")</f>
        <v>Illegal Activity</v>
      </c>
      <c r="AB3114" s="8"/>
      <c r="AC3114" s="8"/>
      <c r="AD3114" s="8" t="str">
        <f ca="1">IFERROR(__xludf.DUMMYFUNCTION("""COMPUTED_VALUE"""),"Neither")</f>
        <v>Neither</v>
      </c>
      <c r="AE3114" s="8" t="str">
        <f ca="1">IFERROR(__xludf.DUMMYFUNCTION("""COMPUTED_VALUE"""),"No")</f>
        <v>No</v>
      </c>
      <c r="AF3114" s="8"/>
      <c r="AG3114" s="8" t="str">
        <f ca="1">IFERROR(__xludf.DUMMYFUNCTION("""COMPUTED_VALUE"""),"No")</f>
        <v>No</v>
      </c>
      <c r="AH3114" s="8" t="str">
        <f ca="1">IFERROR(__xludf.DUMMYFUNCTION("""COMPUTED_VALUE"""),"No")</f>
        <v>No</v>
      </c>
      <c r="AI3114" s="8" t="str">
        <f ca="1">IFERROR(__xludf.DUMMYFUNCTION("""COMPUTED_VALUE"""),"Yes")</f>
        <v>Yes</v>
      </c>
      <c r="AJ3114" s="8" t="str">
        <f ca="1">IFERROR(__xludf.DUMMYFUNCTION("""COMPUTED_VALUE"""),"No")</f>
        <v>No</v>
      </c>
      <c r="AK3114" s="8" t="str">
        <f ca="1">IFERROR(__xludf.DUMMYFUNCTION("""COMPUTED_VALUE"""),"No")</f>
        <v>No</v>
      </c>
      <c r="AL3114" s="8" t="str">
        <f ca="1">IFERROR(__xludf.DUMMYFUNCTION("""COMPUTED_VALUE"""),"No")</f>
        <v>No</v>
      </c>
      <c r="AM3114" s="8" t="str">
        <f ca="1">IFERROR(__xludf.DUMMYFUNCTION("""COMPUTED_VALUE"""),"N/A")</f>
        <v>N/A</v>
      </c>
      <c r="AN3114" s="8"/>
      <c r="AO3114" s="8" t="str">
        <f ca="1">IFERROR(__xludf.DUMMYFUNCTION("""COMPUTED_VALUE"""),"N/A")</f>
        <v>N/A</v>
      </c>
      <c r="AP3114" s="8"/>
      <c r="AQ3114" s="8" t="str">
        <f ca="1">IFERROR(__xludf.DUMMYFUNCTION("""COMPUTED_VALUE"""),"Unknown")</f>
        <v>Unknown</v>
      </c>
      <c r="AR3114" s="8" t="str">
        <f ca="1">IFERROR(__xludf.DUMMYFUNCTION("""COMPUTED_VALUE"""),"NA")</f>
        <v>NA</v>
      </c>
      <c r="AS3114" s="8">
        <f ca="1">IFERROR(__xludf.DUMMYFUNCTION("""COMPUTED_VALUE"""),1)</f>
        <v>1</v>
      </c>
      <c r="AT3114" s="8"/>
      <c r="AU3114" s="8">
        <f ca="1">IFERROR(__xludf.DUMMYFUNCTION("""COMPUTED_VALUE"""),44.248949)</f>
        <v>44.248949000000003</v>
      </c>
      <c r="AV3114" s="8">
        <f ca="1">IFERROR(__xludf.DUMMYFUNCTION("""COMPUTED_VALUE"""),-88.433761)</f>
        <v>-88.433761000000004</v>
      </c>
      <c r="AW3114" s="8"/>
      <c r="AX3114" s="8">
        <f ca="1">IFERROR(__xludf.DUMMYFUNCTION("""COMPUTED_VALUE"""),54914)</f>
        <v>54914</v>
      </c>
    </row>
    <row r="3115" spans="1:50" ht="60" x14ac:dyDescent="0.2">
      <c r="A3115" s="8" t="str">
        <f ca="1">IFERROR(__xludf.DUMMYFUNCTION("""COMPUTED_VALUE"""),"19701120ILHAC")</f>
        <v>19701120ILHAC</v>
      </c>
      <c r="B3115" s="8">
        <f ca="1">IFERROR(__xludf.DUMMYFUNCTION("""COMPUTED_VALUE"""),11)</f>
        <v>11</v>
      </c>
      <c r="C3115" s="8">
        <f ca="1">IFERROR(__xludf.DUMMYFUNCTION("""COMPUTED_VALUE"""),20)</f>
        <v>20</v>
      </c>
      <c r="D3115" s="8">
        <f ca="1">IFERROR(__xludf.DUMMYFUNCTION("""COMPUTED_VALUE"""),1970)</f>
        <v>1970</v>
      </c>
      <c r="E3115" s="9">
        <f ca="1">IFERROR(__xludf.DUMMYFUNCTION("""COMPUTED_VALUE"""),25892)</f>
        <v>25892</v>
      </c>
      <c r="F3115" s="8" t="str">
        <f ca="1">IFERROR(__xludf.DUMMYFUNCTION("""COMPUTED_VALUE"""),"Harlan High School")</f>
        <v>Harlan High School</v>
      </c>
      <c r="G3115" s="8">
        <f ca="1">IFERROR(__xludf.DUMMYFUNCTION("""COMPUTED_VALUE"""),0)</f>
        <v>0</v>
      </c>
      <c r="H3115" s="8">
        <f ca="1">IFERROR(__xludf.DUMMYFUNCTION("""COMPUTED_VALUE"""),2)</f>
        <v>2</v>
      </c>
      <c r="I3115" s="8">
        <f ca="1">IFERROR(__xludf.DUMMYFUNCTION("""COMPUTED_VALUE"""),2)</f>
        <v>2</v>
      </c>
      <c r="J3115" s="8">
        <f ca="1">IFERROR(__xludf.DUMMYFUNCTION("""COMPUTED_VALUE"""),0)</f>
        <v>0</v>
      </c>
      <c r="K3115" s="8" t="str">
        <f ca="1">IFERROR(__xludf.DUMMYFUNCTION("""COMPUTED_VALUE"""),"https://en.wikipedia.org/wiki/List_of_school_shootings_in_the_United_States .  https://www.newspapers.com/image/376859688/?terms=kenneth%2Bhouse .  https://www.newspapers.com/image/376865657/?terms=kenneth%2Bhouse")</f>
        <v>https://en.wikipedia.org/wiki/List_of_school_shootings_in_the_United_States .  https://www.newspapers.com/image/376859688/?terms=kenneth%2Bhouse .  https://www.newspapers.com/image/376865657/?terms=kenneth%2Bhouse</v>
      </c>
      <c r="L3115" s="8"/>
      <c r="M3115" s="8"/>
      <c r="N3115" s="8">
        <f ca="1">IFERROR(__xludf.DUMMYFUNCTION("""COMPUTED_VALUE"""),2)</f>
        <v>2</v>
      </c>
      <c r="O3115" s="8" t="str">
        <f ca="1">IFERROR(__xludf.DUMMYFUNCTION("""COMPUTED_VALUE"""),"Fall")</f>
        <v>Fall</v>
      </c>
      <c r="P3115" s="8" t="str">
        <f ca="1">IFERROR(__xludf.DUMMYFUNCTION("""COMPUTED_VALUE"""),"Chicago")</f>
        <v>Chicago</v>
      </c>
      <c r="Q3115" s="8" t="str">
        <f ca="1">IFERROR(__xludf.DUMMYFUNCTION("""COMPUTED_VALUE"""),"IL")</f>
        <v>IL</v>
      </c>
      <c r="R3115" s="8" t="str">
        <f ca="1">IFERROR(__xludf.DUMMYFUNCTION("""COMPUTED_VALUE"""),"High")</f>
        <v>High</v>
      </c>
      <c r="S3115" s="8" t="str">
        <f ca="1">IFERROR(__xludf.DUMMYFUNCTION("""COMPUTED_VALUE"""),"Inside School Building")</f>
        <v>Inside School Building</v>
      </c>
      <c r="T3115" s="8" t="str">
        <f ca="1">IFERROR(__xludf.DUMMYFUNCTION("""COMPUTED_VALUE"""),"Inside School Building")</f>
        <v>Inside School Building</v>
      </c>
      <c r="U3115" s="8" t="str">
        <f ca="1">IFERROR(__xludf.DUMMYFUNCTION("""COMPUTED_VALUE"""),"Yes")</f>
        <v>Yes</v>
      </c>
      <c r="V3115" s="8"/>
      <c r="W3115" s="8"/>
      <c r="X3115" s="8">
        <f ca="1">IFERROR(__xludf.DUMMYFUNCTION("""COMPUTED_VALUE"""),1)</f>
        <v>1</v>
      </c>
      <c r="Y3115" s="12" t="str">
        <f ca="1">IFERROR(__xludf.DUMMYFUNCTION("""COMPUTED_VALUE"""),"Gang recruitment related")</f>
        <v>Gang recruitment related</v>
      </c>
      <c r="Z3115" s="12" t="str">
        <f ca="1">IFERROR(__xludf.DUMMYFUNCTION("""COMPUTED_VALUE"""),"15 year-old male shooter fired shots striking a 15 year-old male (Kenneth House) and 14 year-old female (Portia Walls) victim as part of gang recruitment. Shooter feld and was later arrested.")</f>
        <v>15 year-old male shooter fired shots striking a 15 year-old male (Kenneth House) and 14 year-old female (Portia Walls) victim as part of gang recruitment. Shooter feld and was later arrested.</v>
      </c>
      <c r="AA3115" s="8" t="str">
        <f ca="1">IFERROR(__xludf.DUMMYFUNCTION("""COMPUTED_VALUE"""),"Illegal Activity")</f>
        <v>Illegal Activity</v>
      </c>
      <c r="AB3115" s="8"/>
      <c r="AC3115" s="8"/>
      <c r="AD3115" s="8"/>
      <c r="AE3115" s="8" t="str">
        <f ca="1">IFERROR(__xludf.DUMMYFUNCTION("""COMPUTED_VALUE"""),"Unknown")</f>
        <v>Unknown</v>
      </c>
      <c r="AF3115" s="8"/>
      <c r="AG3115" s="8" t="str">
        <f ca="1">IFERROR(__xludf.DUMMYFUNCTION("""COMPUTED_VALUE"""),"No")</f>
        <v>No</v>
      </c>
      <c r="AH3115" s="8" t="str">
        <f ca="1">IFERROR(__xludf.DUMMYFUNCTION("""COMPUTED_VALUE"""),"No")</f>
        <v>No</v>
      </c>
      <c r="AI3115" s="8" t="str">
        <f ca="1">IFERROR(__xludf.DUMMYFUNCTION("""COMPUTED_VALUE"""),"No")</f>
        <v>No</v>
      </c>
      <c r="AJ3115" s="8" t="str">
        <f ca="1">IFERROR(__xludf.DUMMYFUNCTION("""COMPUTED_VALUE"""),"No")</f>
        <v>No</v>
      </c>
      <c r="AK3115" s="8" t="str">
        <f ca="1">IFERROR(__xludf.DUMMYFUNCTION("""COMPUTED_VALUE"""),"No")</f>
        <v>No</v>
      </c>
      <c r="AL3115" s="8" t="str">
        <f ca="1">IFERROR(__xludf.DUMMYFUNCTION("""COMPUTED_VALUE"""),"Yes")</f>
        <v>Yes</v>
      </c>
      <c r="AM3115" s="8"/>
      <c r="AN3115" s="8"/>
      <c r="AO3115" s="8" t="str">
        <f ca="1">IFERROR(__xludf.DUMMYFUNCTION("""COMPUTED_VALUE"""),"No")</f>
        <v>No</v>
      </c>
      <c r="AP3115" s="8" t="str">
        <f ca="1">IFERROR(__xludf.DUMMYFUNCTION("""COMPUTED_VALUE"""),"No")</f>
        <v>No</v>
      </c>
      <c r="AQ3115" s="8" t="str">
        <f ca="1">IFERROR(__xludf.DUMMYFUNCTION("""COMPUTED_VALUE"""),"None")</f>
        <v>None</v>
      </c>
      <c r="AR3115" s="8" t="str">
        <f ca="1">IFERROR(__xludf.DUMMYFUNCTION("""COMPUTED_VALUE"""),"NA")</f>
        <v>NA</v>
      </c>
      <c r="AS3115" s="8"/>
      <c r="AT3115" s="8"/>
      <c r="AU3115" s="8">
        <f ca="1">IFERROR(__xludf.DUMMYFUNCTION("""COMPUTED_VALUE"""),41.718183)</f>
        <v>41.718183000000003</v>
      </c>
      <c r="AV3115" s="8">
        <f ca="1">IFERROR(__xludf.DUMMYFUNCTION("""COMPUTED_VALUE"""),-87.620929)</f>
        <v>-87.620929000000004</v>
      </c>
      <c r="AW3115" s="8"/>
      <c r="AX3115" s="8">
        <f ca="1">IFERROR(__xludf.DUMMYFUNCTION("""COMPUTED_VALUE"""),60628)</f>
        <v>60628</v>
      </c>
    </row>
    <row r="3116" spans="1:50" ht="45" x14ac:dyDescent="0.2">
      <c r="A3116" s="8" t="str">
        <f ca="1">IFERROR(__xludf.DUMMYFUNCTION("""COMPUTED_VALUE"""),"19701027OHAPM")</f>
        <v>19701027OHAPM</v>
      </c>
      <c r="B3116" s="8">
        <f ca="1">IFERROR(__xludf.DUMMYFUNCTION("""COMPUTED_VALUE"""),10)</f>
        <v>10</v>
      </c>
      <c r="C3116" s="8">
        <f ca="1">IFERROR(__xludf.DUMMYFUNCTION("""COMPUTED_VALUE"""),27)</f>
        <v>27</v>
      </c>
      <c r="D3116" s="8">
        <f ca="1">IFERROR(__xludf.DUMMYFUNCTION("""COMPUTED_VALUE"""),1970)</f>
        <v>1970</v>
      </c>
      <c r="E3116" s="9">
        <f ca="1">IFERROR(__xludf.DUMMYFUNCTION("""COMPUTED_VALUE"""),25868)</f>
        <v>25868</v>
      </c>
      <c r="F3116" s="8" t="str">
        <f ca="1">IFERROR(__xludf.DUMMYFUNCTION("""COMPUTED_VALUE"""),"Appleseed Junior High School")</f>
        <v>Appleseed Junior High School</v>
      </c>
      <c r="G3116" s="8">
        <f ca="1">IFERROR(__xludf.DUMMYFUNCTION("""COMPUTED_VALUE"""),0)</f>
        <v>0</v>
      </c>
      <c r="H3116" s="8">
        <f ca="1">IFERROR(__xludf.DUMMYFUNCTION("""COMPUTED_VALUE"""),1)</f>
        <v>1</v>
      </c>
      <c r="I3116" s="8">
        <f ca="1">IFERROR(__xludf.DUMMYFUNCTION("""COMPUTED_VALUE"""),1)</f>
        <v>1</v>
      </c>
      <c r="J3116" s="8">
        <f ca="1">IFERROR(__xludf.DUMMYFUNCTION("""COMPUTED_VALUE"""),0)</f>
        <v>0</v>
      </c>
      <c r="K3116" s="10" t="str">
        <f ca="1">IFERROR(__xludf.DUMMYFUNCTION("""COMPUTED_VALUE"""),"https://www.newspapers.com/image/294129677/?terms=school%2Bshooting")</f>
        <v>https://www.newspapers.com/image/294129677/?terms=school%2Bshooting</v>
      </c>
      <c r="L3116" s="8"/>
      <c r="M3116" s="8"/>
      <c r="N3116" s="8">
        <f ca="1">IFERROR(__xludf.DUMMYFUNCTION("""COMPUTED_VALUE"""),2)</f>
        <v>2</v>
      </c>
      <c r="O3116" s="8" t="str">
        <f ca="1">IFERROR(__xludf.DUMMYFUNCTION("""COMPUTED_VALUE"""),"Fall")</f>
        <v>Fall</v>
      </c>
      <c r="P3116" s="8" t="str">
        <f ca="1">IFERROR(__xludf.DUMMYFUNCTION("""COMPUTED_VALUE"""),"Mansfield")</f>
        <v>Mansfield</v>
      </c>
      <c r="Q3116" s="8" t="str">
        <f ca="1">IFERROR(__xludf.DUMMYFUNCTION("""COMPUTED_VALUE"""),"OH")</f>
        <v>OH</v>
      </c>
      <c r="R3116" s="8" t="str">
        <f ca="1">IFERROR(__xludf.DUMMYFUNCTION("""COMPUTED_VALUE"""),"Junior High")</f>
        <v>Junior High</v>
      </c>
      <c r="S3116" s="8" t="str">
        <f ca="1">IFERROR(__xludf.DUMMYFUNCTION("""COMPUTED_VALUE"""),"Bathroom")</f>
        <v>Bathroom</v>
      </c>
      <c r="T3116" s="8" t="str">
        <f ca="1">IFERROR(__xludf.DUMMYFUNCTION("""COMPUTED_VALUE"""),"Inside School Building")</f>
        <v>Inside School Building</v>
      </c>
      <c r="U3116" s="8" t="str">
        <f ca="1">IFERROR(__xludf.DUMMYFUNCTION("""COMPUTED_VALUE"""),"Yes")</f>
        <v>Yes</v>
      </c>
      <c r="V3116" s="8" t="str">
        <f ca="1">IFERROR(__xludf.DUMMYFUNCTION("""COMPUTED_VALUE"""),"Morning Classes")</f>
        <v>Morning Classes</v>
      </c>
      <c r="W3116" s="11">
        <f ca="1">IFERROR(__xludf.DUMMYFUNCTION("""COMPUTED_VALUE"""),0.354166666666666)</f>
        <v>0.35416666666666602</v>
      </c>
      <c r="X3116" s="8">
        <f ca="1">IFERROR(__xludf.DUMMYFUNCTION("""COMPUTED_VALUE"""),1)</f>
        <v>1</v>
      </c>
      <c r="Y3116" s="12" t="str">
        <f ca="1">IFERROR(__xludf.DUMMYFUNCTION("""COMPUTED_VALUE"""),"Shot victim in the bathroom")</f>
        <v>Shot victim in the bathroom</v>
      </c>
      <c r="Z3116" s="12" t="str">
        <f ca="1">IFERROR(__xludf.DUMMYFUNCTION("""COMPUTED_VALUE"""),"13 year-old male student (Frank Bonham) shot a 15 year-old male student (Robert Goodman) in the school bathroom. Ongoing dispute between the students.")</f>
        <v>13 year-old male student (Frank Bonham) shot a 15 year-old male student (Robert Goodman) in the school bathroom. Ongoing dispute between the students.</v>
      </c>
      <c r="AA3116" s="8" t="str">
        <f ca="1">IFERROR(__xludf.DUMMYFUNCTION("""COMPUTED_VALUE"""),"Escalation of Dispute")</f>
        <v>Escalation of Dispute</v>
      </c>
      <c r="AB3116" s="8"/>
      <c r="AC3116" s="8"/>
      <c r="AD3116" s="8" t="str">
        <f ca="1">IFERROR(__xludf.DUMMYFUNCTION("""COMPUTED_VALUE"""),"Victims Targeted")</f>
        <v>Victims Targeted</v>
      </c>
      <c r="AE3116" s="8" t="str">
        <f ca="1">IFERROR(__xludf.DUMMYFUNCTION("""COMPUTED_VALUE"""),"No")</f>
        <v>No</v>
      </c>
      <c r="AF3116" s="8"/>
      <c r="AG3116" s="8" t="str">
        <f ca="1">IFERROR(__xludf.DUMMYFUNCTION("""COMPUTED_VALUE"""),"No")</f>
        <v>No</v>
      </c>
      <c r="AH3116" s="8" t="str">
        <f ca="1">IFERROR(__xludf.DUMMYFUNCTION("""COMPUTED_VALUE"""),"No")</f>
        <v>No</v>
      </c>
      <c r="AI3116" s="8" t="str">
        <f ca="1">IFERROR(__xludf.DUMMYFUNCTION("""COMPUTED_VALUE"""),"No")</f>
        <v>No</v>
      </c>
      <c r="AJ3116" s="8"/>
      <c r="AK3116" s="8" t="str">
        <f ca="1">IFERROR(__xludf.DUMMYFUNCTION("""COMPUTED_VALUE"""),"No")</f>
        <v>No</v>
      </c>
      <c r="AL3116" s="8" t="str">
        <f ca="1">IFERROR(__xludf.DUMMYFUNCTION("""COMPUTED_VALUE"""),"No")</f>
        <v>No</v>
      </c>
      <c r="AM3116" s="8"/>
      <c r="AN3116" s="8"/>
      <c r="AO3116" s="8" t="str">
        <f ca="1">IFERROR(__xludf.DUMMYFUNCTION("""COMPUTED_VALUE"""),"No")</f>
        <v>No</v>
      </c>
      <c r="AP3116" s="8"/>
      <c r="AQ3116" s="8" t="str">
        <f ca="1">IFERROR(__xludf.DUMMYFUNCTION("""COMPUTED_VALUE"""),"Unknown")</f>
        <v>Unknown</v>
      </c>
      <c r="AR3116" s="8" t="str">
        <f ca="1">IFERROR(__xludf.DUMMYFUNCTION("""COMPUTED_VALUE"""),"NA")</f>
        <v>NA</v>
      </c>
      <c r="AS3116" s="8">
        <f ca="1">IFERROR(__xludf.DUMMYFUNCTION("""COMPUTED_VALUE"""),1)</f>
        <v>1</v>
      </c>
      <c r="AT3116" s="8"/>
      <c r="AU3116" s="8">
        <f ca="1">IFERROR(__xludf.DUMMYFUNCTION("""COMPUTED_VALUE"""),40.762548)</f>
        <v>40.762548000000002</v>
      </c>
      <c r="AV3116" s="8">
        <f ca="1">IFERROR(__xludf.DUMMYFUNCTION("""COMPUTED_VALUE"""),-82.551022)</f>
        <v>-82.551022000000003</v>
      </c>
      <c r="AW3116" s="8"/>
      <c r="AX3116" s="8">
        <f ca="1">IFERROR(__xludf.DUMMYFUNCTION("""COMPUTED_VALUE"""),44906)</f>
        <v>44906</v>
      </c>
    </row>
    <row r="3117" spans="1:50" ht="45" x14ac:dyDescent="0.2">
      <c r="A3117" s="8" t="str">
        <f ca="1">IFERROR(__xludf.DUMMYFUNCTION("""COMPUTED_VALUE"""),"19701020TNWAN")</f>
        <v>19701020TNWAN</v>
      </c>
      <c r="B3117" s="8">
        <f ca="1">IFERROR(__xludf.DUMMYFUNCTION("""COMPUTED_VALUE"""),10)</f>
        <v>10</v>
      </c>
      <c r="C3117" s="8">
        <f ca="1">IFERROR(__xludf.DUMMYFUNCTION("""COMPUTED_VALUE"""),20)</f>
        <v>20</v>
      </c>
      <c r="D3117" s="8">
        <f ca="1">IFERROR(__xludf.DUMMYFUNCTION("""COMPUTED_VALUE"""),1970)</f>
        <v>1970</v>
      </c>
      <c r="E3117" s="9">
        <f ca="1">IFERROR(__xludf.DUMMYFUNCTION("""COMPUTED_VALUE"""),25861)</f>
        <v>25861</v>
      </c>
      <c r="F3117" s="8" t="str">
        <f ca="1">IFERROR(__xludf.DUMMYFUNCTION("""COMPUTED_VALUE"""),"Washington Junior High School")</f>
        <v>Washington Junior High School</v>
      </c>
      <c r="G3117" s="8">
        <f ca="1">IFERROR(__xludf.DUMMYFUNCTION("""COMPUTED_VALUE"""),0)</f>
        <v>0</v>
      </c>
      <c r="H3117" s="8">
        <f ca="1">IFERROR(__xludf.DUMMYFUNCTION("""COMPUTED_VALUE"""),1)</f>
        <v>1</v>
      </c>
      <c r="I3117" s="8">
        <f ca="1">IFERROR(__xludf.DUMMYFUNCTION("""COMPUTED_VALUE"""),1)</f>
        <v>1</v>
      </c>
      <c r="J3117" s="8">
        <f ca="1">IFERROR(__xludf.DUMMYFUNCTION("""COMPUTED_VALUE"""),0)</f>
        <v>0</v>
      </c>
      <c r="K3117" s="10" t="str">
        <f ca="1">IFERROR(__xludf.DUMMYFUNCTION("""COMPUTED_VALUE"""),"https://www.newspapers.com/image/284280856/?terms=school%2Bshooting")</f>
        <v>https://www.newspapers.com/image/284280856/?terms=school%2Bshooting</v>
      </c>
      <c r="L3117" s="8"/>
      <c r="M3117" s="8"/>
      <c r="N3117" s="8">
        <f ca="1">IFERROR(__xludf.DUMMYFUNCTION("""COMPUTED_VALUE"""),2)</f>
        <v>2</v>
      </c>
      <c r="O3117" s="8" t="str">
        <f ca="1">IFERROR(__xludf.DUMMYFUNCTION("""COMPUTED_VALUE"""),"Fall")</f>
        <v>Fall</v>
      </c>
      <c r="P3117" s="8" t="str">
        <f ca="1">IFERROR(__xludf.DUMMYFUNCTION("""COMPUTED_VALUE"""),"Nashville")</f>
        <v>Nashville</v>
      </c>
      <c r="Q3117" s="8" t="str">
        <f ca="1">IFERROR(__xludf.DUMMYFUNCTION("""COMPUTED_VALUE"""),"TN")</f>
        <v>TN</v>
      </c>
      <c r="R3117" s="8" t="str">
        <f ca="1">IFERROR(__xludf.DUMMYFUNCTION("""COMPUTED_VALUE"""),"Junior High")</f>
        <v>Junior High</v>
      </c>
      <c r="S3117" s="8" t="str">
        <f ca="1">IFERROR(__xludf.DUMMYFUNCTION("""COMPUTED_VALUE"""),"Hallway")</f>
        <v>Hallway</v>
      </c>
      <c r="T3117" s="8" t="str">
        <f ca="1">IFERROR(__xludf.DUMMYFUNCTION("""COMPUTED_VALUE"""),"Inside School Building")</f>
        <v>Inside School Building</v>
      </c>
      <c r="U3117" s="8" t="str">
        <f ca="1">IFERROR(__xludf.DUMMYFUNCTION("""COMPUTED_VALUE"""),"Yes")</f>
        <v>Yes</v>
      </c>
      <c r="V3117" s="8" t="str">
        <f ca="1">IFERROR(__xludf.DUMMYFUNCTION("""COMPUTED_VALUE"""),"Lunch")</f>
        <v>Lunch</v>
      </c>
      <c r="W3117" s="11">
        <f ca="1">IFERROR(__xludf.DUMMYFUNCTION("""COMPUTED_VALUE"""),0.5)</f>
        <v>0.5</v>
      </c>
      <c r="X3117" s="8">
        <f ca="1">IFERROR(__xludf.DUMMYFUNCTION("""COMPUTED_VALUE"""),1)</f>
        <v>1</v>
      </c>
      <c r="Y3117" s="12" t="str">
        <f ca="1">IFERROR(__xludf.DUMMYFUNCTION("""COMPUTED_VALUE"""),"Hallway monitor shot by another student")</f>
        <v>Hallway monitor shot by another student</v>
      </c>
      <c r="Z3117" s="12" t="str">
        <f ca="1">IFERROR(__xludf.DUMMYFUNCTION("""COMPUTED_VALUE"""),"Hallways monitor (student) was shot by another student in the hallway")</f>
        <v>Hallways monitor (student) was shot by another student in the hallway</v>
      </c>
      <c r="AA3117" s="8" t="str">
        <f ca="1">IFERROR(__xludf.DUMMYFUNCTION("""COMPUTED_VALUE"""),"Unknown")</f>
        <v>Unknown</v>
      </c>
      <c r="AB3117" s="8"/>
      <c r="AC3117" s="8"/>
      <c r="AD3117" s="8" t="str">
        <f ca="1">IFERROR(__xludf.DUMMYFUNCTION("""COMPUTED_VALUE"""),"Victims Targeted")</f>
        <v>Victims Targeted</v>
      </c>
      <c r="AE3117" s="8" t="str">
        <f ca="1">IFERROR(__xludf.DUMMYFUNCTION("""COMPUTED_VALUE"""),"No")</f>
        <v>No</v>
      </c>
      <c r="AF3117" s="8"/>
      <c r="AG3117" s="8" t="str">
        <f ca="1">IFERROR(__xludf.DUMMYFUNCTION("""COMPUTED_VALUE"""),"No")</f>
        <v>No</v>
      </c>
      <c r="AH3117" s="8" t="str">
        <f ca="1">IFERROR(__xludf.DUMMYFUNCTION("""COMPUTED_VALUE"""),"No")</f>
        <v>No</v>
      </c>
      <c r="AI3117" s="8" t="str">
        <f ca="1">IFERROR(__xludf.DUMMYFUNCTION("""COMPUTED_VALUE"""),"No")</f>
        <v>No</v>
      </c>
      <c r="AJ3117" s="8" t="str">
        <f ca="1">IFERROR(__xludf.DUMMYFUNCTION("""COMPUTED_VALUE"""),"No")</f>
        <v>No</v>
      </c>
      <c r="AK3117" s="8" t="str">
        <f ca="1">IFERROR(__xludf.DUMMYFUNCTION("""COMPUTED_VALUE"""),"No")</f>
        <v>No</v>
      </c>
      <c r="AL3117" s="8" t="str">
        <f ca="1">IFERROR(__xludf.DUMMYFUNCTION("""COMPUTED_VALUE"""),"No")</f>
        <v>No</v>
      </c>
      <c r="AM3117" s="8"/>
      <c r="AN3117" s="8"/>
      <c r="AO3117" s="8" t="str">
        <f ca="1">IFERROR(__xludf.DUMMYFUNCTION("""COMPUTED_VALUE"""),"No")</f>
        <v>No</v>
      </c>
      <c r="AP3117" s="8"/>
      <c r="AQ3117" s="8" t="str">
        <f ca="1">IFERROR(__xludf.DUMMYFUNCTION("""COMPUTED_VALUE"""),"Unknown")</f>
        <v>Unknown</v>
      </c>
      <c r="AR3117" s="8" t="str">
        <f ca="1">IFERROR(__xludf.DUMMYFUNCTION("""COMPUTED_VALUE"""),"NA")</f>
        <v>NA</v>
      </c>
      <c r="AS3117" s="8">
        <f ca="1">IFERROR(__xludf.DUMMYFUNCTION("""COMPUTED_VALUE"""),1)</f>
        <v>1</v>
      </c>
      <c r="AT3117" s="8"/>
      <c r="AU3117" s="8">
        <f ca="1">IFERROR(__xludf.DUMMYFUNCTION("""COMPUTED_VALUE"""),36.163614)</f>
        <v>36.163614000000003</v>
      </c>
      <c r="AV3117" s="8">
        <f ca="1">IFERROR(__xludf.DUMMYFUNCTION("""COMPUTED_VALUE"""),-86.811641)</f>
        <v>-86.811640999999995</v>
      </c>
      <c r="AW3117" s="8"/>
      <c r="AX3117" s="8">
        <f ca="1">IFERROR(__xludf.DUMMYFUNCTION("""COMPUTED_VALUE"""),37208)</f>
        <v>37208</v>
      </c>
    </row>
    <row r="3118" spans="1:50" ht="45" x14ac:dyDescent="0.2">
      <c r="A3118" s="8" t="str">
        <f ca="1">IFERROR(__xludf.DUMMYFUNCTION("""COMPUTED_VALUE"""),"19701019TNBOM")</f>
        <v>19701019TNBOM</v>
      </c>
      <c r="B3118" s="8">
        <f ca="1">IFERROR(__xludf.DUMMYFUNCTION("""COMPUTED_VALUE"""),10)</f>
        <v>10</v>
      </c>
      <c r="C3118" s="8">
        <f ca="1">IFERROR(__xludf.DUMMYFUNCTION("""COMPUTED_VALUE"""),19)</f>
        <v>19</v>
      </c>
      <c r="D3118" s="8">
        <f ca="1">IFERROR(__xludf.DUMMYFUNCTION("""COMPUTED_VALUE"""),1970)</f>
        <v>1970</v>
      </c>
      <c r="E3118" s="9">
        <f ca="1">IFERROR(__xludf.DUMMYFUNCTION("""COMPUTED_VALUE"""),25860)</f>
        <v>25860</v>
      </c>
      <c r="F3118" s="8" t="str">
        <f ca="1">IFERROR(__xludf.DUMMYFUNCTION("""COMPUTED_VALUE"""),"Booker T. Washington High School")</f>
        <v>Booker T. Washington High School</v>
      </c>
      <c r="G3118" s="8">
        <f ca="1">IFERROR(__xludf.DUMMYFUNCTION("""COMPUTED_VALUE"""),1)</f>
        <v>1</v>
      </c>
      <c r="H3118" s="8">
        <f ca="1">IFERROR(__xludf.DUMMYFUNCTION("""COMPUTED_VALUE"""),0)</f>
        <v>0</v>
      </c>
      <c r="I3118" s="8">
        <f ca="1">IFERROR(__xludf.DUMMYFUNCTION("""COMPUTED_VALUE"""),1)</f>
        <v>1</v>
      </c>
      <c r="J3118" s="8">
        <f ca="1">IFERROR(__xludf.DUMMYFUNCTION("""COMPUTED_VALUE"""),0)</f>
        <v>0</v>
      </c>
      <c r="K3118" s="10" t="str">
        <f ca="1">IFERROR(__xludf.DUMMYFUNCTION("""COMPUTED_VALUE"""),"https://www.newspapers.com/image/284280856/?terms=school%2Bshooting")</f>
        <v>https://www.newspapers.com/image/284280856/?terms=school%2Bshooting</v>
      </c>
      <c r="L3118" s="8"/>
      <c r="M3118" s="8"/>
      <c r="N3118" s="8">
        <f ca="1">IFERROR(__xludf.DUMMYFUNCTION("""COMPUTED_VALUE"""),2)</f>
        <v>2</v>
      </c>
      <c r="O3118" s="8" t="str">
        <f ca="1">IFERROR(__xludf.DUMMYFUNCTION("""COMPUTED_VALUE"""),"Fall")</f>
        <v>Fall</v>
      </c>
      <c r="P3118" s="8" t="str">
        <f ca="1">IFERROR(__xludf.DUMMYFUNCTION("""COMPUTED_VALUE"""),"Memphis")</f>
        <v>Memphis</v>
      </c>
      <c r="Q3118" s="8" t="str">
        <f ca="1">IFERROR(__xludf.DUMMYFUNCTION("""COMPUTED_VALUE"""),"TN")</f>
        <v>TN</v>
      </c>
      <c r="R3118" s="8" t="str">
        <f ca="1">IFERROR(__xludf.DUMMYFUNCTION("""COMPUTED_VALUE"""),"High")</f>
        <v>High</v>
      </c>
      <c r="S3118" s="8" t="str">
        <f ca="1">IFERROR(__xludf.DUMMYFUNCTION("""COMPUTED_VALUE"""),"Inside School Building")</f>
        <v>Inside School Building</v>
      </c>
      <c r="T3118" s="8" t="str">
        <f ca="1">IFERROR(__xludf.DUMMYFUNCTION("""COMPUTED_VALUE"""),"Inside School Building")</f>
        <v>Inside School Building</v>
      </c>
      <c r="U3118" s="8" t="str">
        <f ca="1">IFERROR(__xludf.DUMMYFUNCTION("""COMPUTED_VALUE"""),"Yes")</f>
        <v>Yes</v>
      </c>
      <c r="V3118" s="8"/>
      <c r="W3118" s="8"/>
      <c r="X3118" s="8"/>
      <c r="Y3118" s="12" t="str">
        <f ca="1">IFERROR(__xludf.DUMMYFUNCTION("""COMPUTED_VALUE"""),"Argument over girl that has escalated over 2 days")</f>
        <v>Argument over girl that has escalated over 2 days</v>
      </c>
      <c r="Z3118" s="12" t="str">
        <f ca="1">IFERROR(__xludf.DUMMYFUNCTION("""COMPUTED_VALUE"""),"Ongoing argument over girls escalated into a targeted shooting.")</f>
        <v>Ongoing argument over girls escalated into a targeted shooting.</v>
      </c>
      <c r="AA3118" s="8" t="str">
        <f ca="1">IFERROR(__xludf.DUMMYFUNCTION("""COMPUTED_VALUE"""),"Escalation of Dispute")</f>
        <v>Escalation of Dispute</v>
      </c>
      <c r="AB3118" s="8"/>
      <c r="AC3118" s="8"/>
      <c r="AD3118" s="8" t="str">
        <f ca="1">IFERROR(__xludf.DUMMYFUNCTION("""COMPUTED_VALUE"""),"Victims Targeted")</f>
        <v>Victims Targeted</v>
      </c>
      <c r="AE3118" s="8" t="str">
        <f ca="1">IFERROR(__xludf.DUMMYFUNCTION("""COMPUTED_VALUE"""),"No")</f>
        <v>No</v>
      </c>
      <c r="AF3118" s="8"/>
      <c r="AG3118" s="8" t="str">
        <f ca="1">IFERROR(__xludf.DUMMYFUNCTION("""COMPUTED_VALUE"""),"No")</f>
        <v>No</v>
      </c>
      <c r="AH3118" s="8" t="str">
        <f ca="1">IFERROR(__xludf.DUMMYFUNCTION("""COMPUTED_VALUE"""),"No")</f>
        <v>No</v>
      </c>
      <c r="AI3118" s="8" t="str">
        <f ca="1">IFERROR(__xludf.DUMMYFUNCTION("""COMPUTED_VALUE"""),"No")</f>
        <v>No</v>
      </c>
      <c r="AJ3118" s="8" t="str">
        <f ca="1">IFERROR(__xludf.DUMMYFUNCTION("""COMPUTED_VALUE"""),"No")</f>
        <v>No</v>
      </c>
      <c r="AK3118" s="8" t="str">
        <f ca="1">IFERROR(__xludf.DUMMYFUNCTION("""COMPUTED_VALUE"""),"No")</f>
        <v>No</v>
      </c>
      <c r="AL3118" s="8" t="str">
        <f ca="1">IFERROR(__xludf.DUMMYFUNCTION("""COMPUTED_VALUE"""),"No")</f>
        <v>No</v>
      </c>
      <c r="AM3118" s="8"/>
      <c r="AN3118" s="8"/>
      <c r="AO3118" s="8" t="str">
        <f ca="1">IFERROR(__xludf.DUMMYFUNCTION("""COMPUTED_VALUE"""),"No")</f>
        <v>No</v>
      </c>
      <c r="AP3118" s="8"/>
      <c r="AQ3118" s="8" t="str">
        <f ca="1">IFERROR(__xludf.DUMMYFUNCTION("""COMPUTED_VALUE"""),"Unknown")</f>
        <v>Unknown</v>
      </c>
      <c r="AR3118" s="8" t="str">
        <f ca="1">IFERROR(__xludf.DUMMYFUNCTION("""COMPUTED_VALUE"""),"NA")</f>
        <v>NA</v>
      </c>
      <c r="AS3118" s="8"/>
      <c r="AT3118" s="8"/>
      <c r="AU3118" s="8">
        <f ca="1">IFERROR(__xludf.DUMMYFUNCTION("""COMPUTED_VALUE"""),35.127176)</f>
        <v>35.127175999999999</v>
      </c>
      <c r="AV3118" s="8">
        <f ca="1">IFERROR(__xludf.DUMMYFUNCTION("""COMPUTED_VALUE"""),-90.04547)</f>
        <v>-90.045469999999995</v>
      </c>
      <c r="AW3118" s="8"/>
      <c r="AX3118" s="8">
        <f ca="1">IFERROR(__xludf.DUMMYFUNCTION("""COMPUTED_VALUE"""),38126)</f>
        <v>38126</v>
      </c>
    </row>
    <row r="3119" spans="1:50" ht="60" x14ac:dyDescent="0.2">
      <c r="A3119" s="8" t="str">
        <f ca="1">IFERROR(__xludf.DUMMYFUNCTION("""COMPUTED_VALUE"""),"19701005MIPOD")</f>
        <v>19701005MIPOD</v>
      </c>
      <c r="B3119" s="8">
        <f ca="1">IFERROR(__xludf.DUMMYFUNCTION("""COMPUTED_VALUE"""),10)</f>
        <v>10</v>
      </c>
      <c r="C3119" s="8">
        <f ca="1">IFERROR(__xludf.DUMMYFUNCTION("""COMPUTED_VALUE"""),5)</f>
        <v>5</v>
      </c>
      <c r="D3119" s="8">
        <f ca="1">IFERROR(__xludf.DUMMYFUNCTION("""COMPUTED_VALUE"""),1970)</f>
        <v>1970</v>
      </c>
      <c r="E3119" s="9">
        <f ca="1">IFERROR(__xludf.DUMMYFUNCTION("""COMPUTED_VALUE"""),25846)</f>
        <v>25846</v>
      </c>
      <c r="F3119" s="8" t="str">
        <f ca="1">IFERROR(__xludf.DUMMYFUNCTION("""COMPUTED_VALUE"""),"Pontiac Central High School")</f>
        <v>Pontiac Central High School</v>
      </c>
      <c r="G3119" s="8">
        <f ca="1">IFERROR(__xludf.DUMMYFUNCTION("""COMPUTED_VALUE"""),0)</f>
        <v>0</v>
      </c>
      <c r="H3119" s="8">
        <f ca="1">IFERROR(__xludf.DUMMYFUNCTION("""COMPUTED_VALUE"""),4)</f>
        <v>4</v>
      </c>
      <c r="I3119" s="8">
        <f ca="1">IFERROR(__xludf.DUMMYFUNCTION("""COMPUTED_VALUE"""),4)</f>
        <v>4</v>
      </c>
      <c r="J3119" s="8">
        <f ca="1">IFERROR(__xludf.DUMMYFUNCTION("""COMPUTED_VALUE"""),0)</f>
        <v>0</v>
      </c>
      <c r="K3119" s="8" t="str">
        <f ca="1">IFERROR(__xludf.DUMMYFUNCTION("""COMPUTED_VALUE"""),"https://www.newspapers.com/image/206104174/?terms=school%2Bshooting   https://www.newspapers.com/image/75055926/?terms=NORTH%2BDAKOTA%2Bschool%2Bshooting")</f>
        <v>https://www.newspapers.com/image/206104174/?terms=school%2Bshooting   https://www.newspapers.com/image/75055926/?terms=NORTH%2BDAKOTA%2Bschool%2Bshooting</v>
      </c>
      <c r="L3119" s="8"/>
      <c r="M3119" s="8"/>
      <c r="N3119" s="8">
        <f ca="1">IFERROR(__xludf.DUMMYFUNCTION("""COMPUTED_VALUE"""),2)</f>
        <v>2</v>
      </c>
      <c r="O3119" s="8" t="str">
        <f ca="1">IFERROR(__xludf.DUMMYFUNCTION("""COMPUTED_VALUE"""),"Fall")</f>
        <v>Fall</v>
      </c>
      <c r="P3119" s="8" t="str">
        <f ca="1">IFERROR(__xludf.DUMMYFUNCTION("""COMPUTED_VALUE"""),"Detroit")</f>
        <v>Detroit</v>
      </c>
      <c r="Q3119" s="8" t="str">
        <f ca="1">IFERROR(__xludf.DUMMYFUNCTION("""COMPUTED_VALUE"""),"MI")</f>
        <v>MI</v>
      </c>
      <c r="R3119" s="8" t="str">
        <f ca="1">IFERROR(__xludf.DUMMYFUNCTION("""COMPUTED_VALUE"""),"High")</f>
        <v>High</v>
      </c>
      <c r="S3119" s="8" t="str">
        <f ca="1">IFERROR(__xludf.DUMMYFUNCTION("""COMPUTED_VALUE"""),"Outside on School Property")</f>
        <v>Outside on School Property</v>
      </c>
      <c r="T3119" s="8" t="str">
        <f ca="1">IFERROR(__xludf.DUMMYFUNCTION("""COMPUTED_VALUE"""),"Outside on School Property")</f>
        <v>Outside on School Property</v>
      </c>
      <c r="U3119" s="8" t="str">
        <f ca="1">IFERROR(__xludf.DUMMYFUNCTION("""COMPUTED_VALUE"""),"Yes")</f>
        <v>Yes</v>
      </c>
      <c r="V3119" s="8"/>
      <c r="W3119" s="8"/>
      <c r="X3119" s="8"/>
      <c r="Y3119" s="12" t="str">
        <f ca="1">IFERROR(__xludf.DUMMYFUNCTION("""COMPUTED_VALUE"""),"Fight between 4 white and 4 black students escalated into shooting")</f>
        <v>Fight between 4 white and 4 black students escalated into shooting</v>
      </c>
      <c r="Z3119" s="12" t="str">
        <f ca="1">IFERROR(__xludf.DUMMYFUNCTION("""COMPUTED_VALUE"""),"Fight between 4 white and 4 black students escalated into a shooting. School officials would not comment but said that classes remained in normal session. All injured were juvenile students.")</f>
        <v>Fight between 4 white and 4 black students escalated into a shooting. School officials would not comment but said that classes remained in normal session. All injured were juvenile students.</v>
      </c>
      <c r="AA3119" s="8" t="str">
        <f ca="1">IFERROR(__xludf.DUMMYFUNCTION("""COMPUTED_VALUE"""),"Racial")</f>
        <v>Racial</v>
      </c>
      <c r="AB3119" s="8"/>
      <c r="AC3119" s="8"/>
      <c r="AD3119" s="8" t="str">
        <f ca="1">IFERROR(__xludf.DUMMYFUNCTION("""COMPUTED_VALUE"""),"Victims Targeted")</f>
        <v>Victims Targeted</v>
      </c>
      <c r="AE3119" s="8" t="str">
        <f ca="1">IFERROR(__xludf.DUMMYFUNCTION("""COMPUTED_VALUE"""),"Yes")</f>
        <v>Yes</v>
      </c>
      <c r="AF3119" s="8" t="str">
        <f ca="1">IFERROR(__xludf.DUMMYFUNCTION("""COMPUTED_VALUE"""),"Two groups of 4 students involved in fight")</f>
        <v>Two groups of 4 students involved in fight</v>
      </c>
      <c r="AG3119" s="8" t="str">
        <f ca="1">IFERROR(__xludf.DUMMYFUNCTION("""COMPUTED_VALUE"""),"No")</f>
        <v>No</v>
      </c>
      <c r="AH3119" s="8" t="str">
        <f ca="1">IFERROR(__xludf.DUMMYFUNCTION("""COMPUTED_VALUE"""),"No")</f>
        <v>No</v>
      </c>
      <c r="AI3119" s="8" t="str">
        <f ca="1">IFERROR(__xludf.DUMMYFUNCTION("""COMPUTED_VALUE"""),"No")</f>
        <v>No</v>
      </c>
      <c r="AJ3119" s="8" t="str">
        <f ca="1">IFERROR(__xludf.DUMMYFUNCTION("""COMPUTED_VALUE"""),"No")</f>
        <v>No</v>
      </c>
      <c r="AK3119" s="8" t="str">
        <f ca="1">IFERROR(__xludf.DUMMYFUNCTION("""COMPUTED_VALUE"""),"No")</f>
        <v>No</v>
      </c>
      <c r="AL3119" s="8" t="str">
        <f ca="1">IFERROR(__xludf.DUMMYFUNCTION("""COMPUTED_VALUE"""),"No")</f>
        <v>No</v>
      </c>
      <c r="AM3119" s="8"/>
      <c r="AN3119" s="8"/>
      <c r="AO3119" s="8" t="str">
        <f ca="1">IFERROR(__xludf.DUMMYFUNCTION("""COMPUTED_VALUE"""),"No")</f>
        <v>No</v>
      </c>
      <c r="AP3119" s="8"/>
      <c r="AQ3119" s="8" t="str">
        <f ca="1">IFERROR(__xludf.DUMMYFUNCTION("""COMPUTED_VALUE"""),"Unknown")</f>
        <v>Unknown</v>
      </c>
      <c r="AR3119" s="8" t="str">
        <f ca="1">IFERROR(__xludf.DUMMYFUNCTION("""COMPUTED_VALUE"""),"NA")</f>
        <v>NA</v>
      </c>
      <c r="AS3119" s="8"/>
      <c r="AT3119" s="8"/>
      <c r="AU3119" s="8">
        <f ca="1">IFERROR(__xludf.DUMMYFUNCTION("""COMPUTED_VALUE"""),42.637888)</f>
        <v>42.637887999999997</v>
      </c>
      <c r="AV3119" s="8">
        <f ca="1">IFERROR(__xludf.DUMMYFUNCTION("""COMPUTED_VALUE"""),-83.303285)</f>
        <v>-83.303285000000002</v>
      </c>
      <c r="AW3119" s="8"/>
      <c r="AX3119" s="8">
        <f ca="1">IFERROR(__xludf.DUMMYFUNCTION("""COMPUTED_VALUE"""),48341)</f>
        <v>48341</v>
      </c>
    </row>
    <row r="3120" spans="1:50" ht="45" x14ac:dyDescent="0.2">
      <c r="A3120" s="8" t="str">
        <f ca="1">IFERROR(__xludf.DUMMYFUNCTION("""COMPUTED_VALUE"""),"19700928IACED")</f>
        <v>19700928IACED</v>
      </c>
      <c r="B3120" s="8">
        <f ca="1">IFERROR(__xludf.DUMMYFUNCTION("""COMPUTED_VALUE"""),9)</f>
        <v>9</v>
      </c>
      <c r="C3120" s="8">
        <f ca="1">IFERROR(__xludf.DUMMYFUNCTION("""COMPUTED_VALUE"""),28)</f>
        <v>28</v>
      </c>
      <c r="D3120" s="8">
        <f ca="1">IFERROR(__xludf.DUMMYFUNCTION("""COMPUTED_VALUE"""),1970)</f>
        <v>1970</v>
      </c>
      <c r="E3120" s="9">
        <f ca="1">IFERROR(__xludf.DUMMYFUNCTION("""COMPUTED_VALUE"""),25839)</f>
        <v>25839</v>
      </c>
      <c r="F3120" s="8" t="str">
        <f ca="1">IFERROR(__xludf.DUMMYFUNCTION("""COMPUTED_VALUE"""),"Central High School")</f>
        <v>Central High School</v>
      </c>
      <c r="G3120" s="8">
        <f ca="1">IFERROR(__xludf.DUMMYFUNCTION("""COMPUTED_VALUE"""),0)</f>
        <v>0</v>
      </c>
      <c r="H3120" s="8">
        <f ca="1">IFERROR(__xludf.DUMMYFUNCTION("""COMPUTED_VALUE"""),1)</f>
        <v>1</v>
      </c>
      <c r="I3120" s="8">
        <f ca="1">IFERROR(__xludf.DUMMYFUNCTION("""COMPUTED_VALUE"""),1)</f>
        <v>1</v>
      </c>
      <c r="J3120" s="8">
        <f ca="1">IFERROR(__xludf.DUMMYFUNCTION("""COMPUTED_VALUE"""),0)</f>
        <v>0</v>
      </c>
      <c r="K3120" s="10" t="str">
        <f ca="1">IFERROR(__xludf.DUMMYFUNCTION("""COMPUTED_VALUE"""),"https://www.newspapers.com/image/338873635/?terms=school%2Bshooting")</f>
        <v>https://www.newspapers.com/image/338873635/?terms=school%2Bshooting</v>
      </c>
      <c r="L3120" s="8"/>
      <c r="M3120" s="8"/>
      <c r="N3120" s="8">
        <f ca="1">IFERROR(__xludf.DUMMYFUNCTION("""COMPUTED_VALUE"""),2)</f>
        <v>2</v>
      </c>
      <c r="O3120" s="8" t="str">
        <f ca="1">IFERROR(__xludf.DUMMYFUNCTION("""COMPUTED_VALUE"""),"Fall")</f>
        <v>Fall</v>
      </c>
      <c r="P3120" s="8" t="str">
        <f ca="1">IFERROR(__xludf.DUMMYFUNCTION("""COMPUTED_VALUE"""),"Davenport")</f>
        <v>Davenport</v>
      </c>
      <c r="Q3120" s="8" t="str">
        <f ca="1">IFERROR(__xludf.DUMMYFUNCTION("""COMPUTED_VALUE"""),"IA")</f>
        <v>IA</v>
      </c>
      <c r="R3120" s="8" t="str">
        <f ca="1">IFERROR(__xludf.DUMMYFUNCTION("""COMPUTED_VALUE"""),"High")</f>
        <v>High</v>
      </c>
      <c r="S3120" s="8" t="str">
        <f ca="1">IFERROR(__xludf.DUMMYFUNCTION("""COMPUTED_VALUE"""),"Bathroom")</f>
        <v>Bathroom</v>
      </c>
      <c r="T3120" s="8" t="str">
        <f ca="1">IFERROR(__xludf.DUMMYFUNCTION("""COMPUTED_VALUE"""),"Inside School Building")</f>
        <v>Inside School Building</v>
      </c>
      <c r="U3120" s="8" t="str">
        <f ca="1">IFERROR(__xludf.DUMMYFUNCTION("""COMPUTED_VALUE"""),"Yes")</f>
        <v>Yes</v>
      </c>
      <c r="V3120" s="8"/>
      <c r="W3120" s="8"/>
      <c r="X3120" s="8"/>
      <c r="Y3120" s="12" t="str">
        <f ca="1">IFERROR(__xludf.DUMMYFUNCTION("""COMPUTED_VALUE"""),"Fired shot at female student in restroom")</f>
        <v>Fired shot at female student in restroom</v>
      </c>
      <c r="Z3120" s="12" t="str">
        <f ca="1">IFERROR(__xludf.DUMMYFUNCTION("""COMPUTED_VALUE"""),"Shooter kicked in door of women's bathroom and fired shot at an unidentified female student. Shooter fled and turned himself in 4 days later.")</f>
        <v>Shooter kicked in door of women's bathroom and fired shot at an unidentified female student. Shooter fled and turned himself in 4 days later.</v>
      </c>
      <c r="AA3120" s="8" t="str">
        <f ca="1">IFERROR(__xludf.DUMMYFUNCTION("""COMPUTED_VALUE"""),"Domestic w/ Targeted Victim")</f>
        <v>Domestic w/ Targeted Victim</v>
      </c>
      <c r="AB3120" s="8"/>
      <c r="AC3120" s="8"/>
      <c r="AD3120" s="8" t="str">
        <f ca="1">IFERROR(__xludf.DUMMYFUNCTION("""COMPUTED_VALUE"""),"Victims Targeted")</f>
        <v>Victims Targeted</v>
      </c>
      <c r="AE3120" s="8" t="str">
        <f ca="1">IFERROR(__xludf.DUMMYFUNCTION("""COMPUTED_VALUE"""),"No")</f>
        <v>No</v>
      </c>
      <c r="AF3120" s="8"/>
      <c r="AG3120" s="8" t="str">
        <f ca="1">IFERROR(__xludf.DUMMYFUNCTION("""COMPUTED_VALUE"""),"No")</f>
        <v>No</v>
      </c>
      <c r="AH3120" s="8" t="str">
        <f ca="1">IFERROR(__xludf.DUMMYFUNCTION("""COMPUTED_VALUE"""),"No")</f>
        <v>No</v>
      </c>
      <c r="AI3120" s="8" t="str">
        <f ca="1">IFERROR(__xludf.DUMMYFUNCTION("""COMPUTED_VALUE"""),"No")</f>
        <v>No</v>
      </c>
      <c r="AJ3120" s="8" t="str">
        <f ca="1">IFERROR(__xludf.DUMMYFUNCTION("""COMPUTED_VALUE"""),"No")</f>
        <v>No</v>
      </c>
      <c r="AK3120" s="8" t="str">
        <f ca="1">IFERROR(__xludf.DUMMYFUNCTION("""COMPUTED_VALUE"""),"Yes")</f>
        <v>Yes</v>
      </c>
      <c r="AL3120" s="8" t="str">
        <f ca="1">IFERROR(__xludf.DUMMYFUNCTION("""COMPUTED_VALUE"""),"No")</f>
        <v>No</v>
      </c>
      <c r="AM3120" s="8"/>
      <c r="AN3120" s="8"/>
      <c r="AO3120" s="8" t="str">
        <f ca="1">IFERROR(__xludf.DUMMYFUNCTION("""COMPUTED_VALUE"""),"No")</f>
        <v>No</v>
      </c>
      <c r="AP3120" s="8"/>
      <c r="AQ3120" s="8" t="str">
        <f ca="1">IFERROR(__xludf.DUMMYFUNCTION("""COMPUTED_VALUE"""),"Unknown")</f>
        <v>Unknown</v>
      </c>
      <c r="AR3120" s="8" t="str">
        <f ca="1">IFERROR(__xludf.DUMMYFUNCTION("""COMPUTED_VALUE"""),"NA")</f>
        <v>NA</v>
      </c>
      <c r="AS3120" s="8">
        <f ca="1">IFERROR(__xludf.DUMMYFUNCTION("""COMPUTED_VALUE"""),1)</f>
        <v>1</v>
      </c>
      <c r="AT3120" s="8"/>
      <c r="AU3120" s="8">
        <f ca="1">IFERROR(__xludf.DUMMYFUNCTION("""COMPUTED_VALUE"""),41.531101)</f>
        <v>41.531101</v>
      </c>
      <c r="AV3120" s="8">
        <f ca="1">IFERROR(__xludf.DUMMYFUNCTION("""COMPUTED_VALUE"""),-90.576378)</f>
        <v>-90.576378000000005</v>
      </c>
      <c r="AW3120" s="8"/>
      <c r="AX3120" s="8">
        <f ca="1">IFERROR(__xludf.DUMMYFUNCTION("""COMPUTED_VALUE"""),52803)</f>
        <v>52803</v>
      </c>
    </row>
    <row r="3121" spans="1:50" ht="45" x14ac:dyDescent="0.2">
      <c r="A3121" s="8" t="str">
        <f ca="1">IFERROR(__xludf.DUMMYFUNCTION("""COMPUTED_VALUE"""),"19700924IDMEM")</f>
        <v>19700924IDMEM</v>
      </c>
      <c r="B3121" s="8">
        <f ca="1">IFERROR(__xludf.DUMMYFUNCTION("""COMPUTED_VALUE"""),9)</f>
        <v>9</v>
      </c>
      <c r="C3121" s="8">
        <f ca="1">IFERROR(__xludf.DUMMYFUNCTION("""COMPUTED_VALUE"""),24)</f>
        <v>24</v>
      </c>
      <c r="D3121" s="8">
        <f ca="1">IFERROR(__xludf.DUMMYFUNCTION("""COMPUTED_VALUE"""),1970)</f>
        <v>1970</v>
      </c>
      <c r="E3121" s="9">
        <f ca="1">IFERROR(__xludf.DUMMYFUNCTION("""COMPUTED_VALUE"""),25835)</f>
        <v>25835</v>
      </c>
      <c r="F3121" s="8" t="str">
        <f ca="1">IFERROR(__xludf.DUMMYFUNCTION("""COMPUTED_VALUE"""),"Meridian High School")</f>
        <v>Meridian High School</v>
      </c>
      <c r="G3121" s="8">
        <f ca="1">IFERROR(__xludf.DUMMYFUNCTION("""COMPUTED_VALUE"""),1)</f>
        <v>1</v>
      </c>
      <c r="H3121" s="8">
        <f ca="1">IFERROR(__xludf.DUMMYFUNCTION("""COMPUTED_VALUE"""),0)</f>
        <v>0</v>
      </c>
      <c r="I3121" s="8">
        <f ca="1">IFERROR(__xludf.DUMMYFUNCTION("""COMPUTED_VALUE"""),1)</f>
        <v>1</v>
      </c>
      <c r="J3121" s="8">
        <f ca="1">IFERROR(__xludf.DUMMYFUNCTION("""COMPUTED_VALUE"""),0)</f>
        <v>0</v>
      </c>
      <c r="K3121" s="10" t="str">
        <f ca="1">IFERROR(__xludf.DUMMYFUNCTION("""COMPUTED_VALUE"""),"https://www.newspapers.com/image/571585288/?terms=shot%2Bin%2Bschool%2Bparking%2Blot")</f>
        <v>https://www.newspapers.com/image/571585288/?terms=shot%2Bin%2Bschool%2Bparking%2Blot</v>
      </c>
      <c r="L3121" s="8"/>
      <c r="M3121" s="8"/>
      <c r="N3121" s="8">
        <f ca="1">IFERROR(__xludf.DUMMYFUNCTION("""COMPUTED_VALUE"""),2)</f>
        <v>2</v>
      </c>
      <c r="O3121" s="8" t="str">
        <f ca="1">IFERROR(__xludf.DUMMYFUNCTION("""COMPUTED_VALUE"""),"Fall")</f>
        <v>Fall</v>
      </c>
      <c r="P3121" s="8" t="str">
        <f ca="1">IFERROR(__xludf.DUMMYFUNCTION("""COMPUTED_VALUE"""),"Meridian")</f>
        <v>Meridian</v>
      </c>
      <c r="Q3121" s="8" t="str">
        <f ca="1">IFERROR(__xludf.DUMMYFUNCTION("""COMPUTED_VALUE"""),"ID")</f>
        <v>ID</v>
      </c>
      <c r="R3121" s="8" t="str">
        <f ca="1">IFERROR(__xludf.DUMMYFUNCTION("""COMPUTED_VALUE"""),"High")</f>
        <v>High</v>
      </c>
      <c r="S3121" s="8" t="str">
        <f ca="1">IFERROR(__xludf.DUMMYFUNCTION("""COMPUTED_VALUE"""),"Parking Lot")</f>
        <v>Parking Lot</v>
      </c>
      <c r="T3121" s="8" t="str">
        <f ca="1">IFERROR(__xludf.DUMMYFUNCTION("""COMPUTED_VALUE"""),"Outside on School Property")</f>
        <v>Outside on School Property</v>
      </c>
      <c r="U3121" s="8"/>
      <c r="V3121" s="8"/>
      <c r="W3121" s="8"/>
      <c r="X3121" s="8"/>
      <c r="Y3121" s="12" t="str">
        <f ca="1">IFERROR(__xludf.DUMMYFUNCTION("""COMPUTED_VALUE"""),"Accidentally fired gun inside car")</f>
        <v>Accidentally fired gun inside car</v>
      </c>
      <c r="Z3121" s="12" t="str">
        <f ca="1">IFERROR(__xludf.DUMMYFUNCTION("""COMPUTED_VALUE"""),"Victim was sitting in car with other occupant who was holding gun. Gun accidentally fired shooting and killing victim.")</f>
        <v>Victim was sitting in car with other occupant who was holding gun. Gun accidentally fired shooting and killing victim.</v>
      </c>
      <c r="AA3121" s="8" t="str">
        <f ca="1">IFERROR(__xludf.DUMMYFUNCTION("""COMPUTED_VALUE"""),"Accidental")</f>
        <v>Accidental</v>
      </c>
      <c r="AB3121" s="8"/>
      <c r="AC3121" s="8"/>
      <c r="AD3121" s="8" t="str">
        <f ca="1">IFERROR(__xludf.DUMMYFUNCTION("""COMPUTED_VALUE"""),"Random Shooting")</f>
        <v>Random Shooting</v>
      </c>
      <c r="AE3121" s="8" t="str">
        <f ca="1">IFERROR(__xludf.DUMMYFUNCTION("""COMPUTED_VALUE"""),"No")</f>
        <v>No</v>
      </c>
      <c r="AF3121" s="8"/>
      <c r="AG3121" s="8" t="str">
        <f ca="1">IFERROR(__xludf.DUMMYFUNCTION("""COMPUTED_VALUE"""),"No")</f>
        <v>No</v>
      </c>
      <c r="AH3121" s="8"/>
      <c r="AI3121" s="8" t="str">
        <f ca="1">IFERROR(__xludf.DUMMYFUNCTION("""COMPUTED_VALUE"""),"No")</f>
        <v>No</v>
      </c>
      <c r="AJ3121" s="8" t="str">
        <f ca="1">IFERROR(__xludf.DUMMYFUNCTION("""COMPUTED_VALUE"""),"No")</f>
        <v>No</v>
      </c>
      <c r="AK3121" s="8" t="str">
        <f ca="1">IFERROR(__xludf.DUMMYFUNCTION("""COMPUTED_VALUE"""),"No")</f>
        <v>No</v>
      </c>
      <c r="AL3121" s="8" t="str">
        <f ca="1">IFERROR(__xludf.DUMMYFUNCTION("""COMPUTED_VALUE"""),"No")</f>
        <v>No</v>
      </c>
      <c r="AM3121" s="8" t="str">
        <f ca="1">IFERROR(__xludf.DUMMYFUNCTION("""COMPUTED_VALUE"""),"No")</f>
        <v>No</v>
      </c>
      <c r="AN3121" s="8"/>
      <c r="AO3121" s="8" t="str">
        <f ca="1">IFERROR(__xludf.DUMMYFUNCTION("""COMPUTED_VALUE"""),"No")</f>
        <v>No</v>
      </c>
      <c r="AP3121" s="8"/>
      <c r="AQ3121" s="8" t="str">
        <f ca="1">IFERROR(__xludf.DUMMYFUNCTION("""COMPUTED_VALUE"""),"Unknown")</f>
        <v>Unknown</v>
      </c>
      <c r="AR3121" s="8" t="str">
        <f ca="1">IFERROR(__xludf.DUMMYFUNCTION("""COMPUTED_VALUE"""),"NA")</f>
        <v>NA</v>
      </c>
      <c r="AS3121" s="8">
        <f ca="1">IFERROR(__xludf.DUMMYFUNCTION("""COMPUTED_VALUE"""),1)</f>
        <v>1</v>
      </c>
      <c r="AT3121" s="8"/>
      <c r="AU3121" s="8">
        <f ca="1">IFERROR(__xludf.DUMMYFUNCTION("""COMPUTED_VALUE"""),43.613763)</f>
        <v>43.613762999999999</v>
      </c>
      <c r="AV3121" s="8">
        <f ca="1">IFERROR(__xludf.DUMMYFUNCTION("""COMPUTED_VALUE"""),-116.417221)</f>
        <v>-116.417221</v>
      </c>
      <c r="AW3121" s="8"/>
      <c r="AX3121" s="8">
        <f ca="1">IFERROR(__xludf.DUMMYFUNCTION("""COMPUTED_VALUE"""),83642)</f>
        <v>83642</v>
      </c>
    </row>
    <row r="3122" spans="1:50" ht="60" x14ac:dyDescent="0.2">
      <c r="A3122" s="8" t="str">
        <f ca="1">IFERROR(__xludf.DUMMYFUNCTION("""COMPUTED_VALUE"""),"19700914TNHAN")</f>
        <v>19700914TNHAN</v>
      </c>
      <c r="B3122" s="8">
        <f ca="1">IFERROR(__xludf.DUMMYFUNCTION("""COMPUTED_VALUE"""),9)</f>
        <v>9</v>
      </c>
      <c r="C3122" s="8">
        <f ca="1">IFERROR(__xludf.DUMMYFUNCTION("""COMPUTED_VALUE"""),14)</f>
        <v>14</v>
      </c>
      <c r="D3122" s="8">
        <f ca="1">IFERROR(__xludf.DUMMYFUNCTION("""COMPUTED_VALUE"""),1970)</f>
        <v>1970</v>
      </c>
      <c r="E3122" s="9">
        <f ca="1">IFERROR(__xludf.DUMMYFUNCTION("""COMPUTED_VALUE"""),25825)</f>
        <v>25825</v>
      </c>
      <c r="F3122" s="8" t="str">
        <f ca="1">IFERROR(__xludf.DUMMYFUNCTION("""COMPUTED_VALUE"""),"Hamilton High School")</f>
        <v>Hamilton High School</v>
      </c>
      <c r="G3122" s="8">
        <f ca="1">IFERROR(__xludf.DUMMYFUNCTION("""COMPUTED_VALUE"""),1)</f>
        <v>1</v>
      </c>
      <c r="H3122" s="8">
        <f ca="1">IFERROR(__xludf.DUMMYFUNCTION("""COMPUTED_VALUE"""),2)</f>
        <v>2</v>
      </c>
      <c r="I3122" s="8">
        <f ca="1">IFERROR(__xludf.DUMMYFUNCTION("""COMPUTED_VALUE"""),3)</f>
        <v>3</v>
      </c>
      <c r="J3122" s="8">
        <f ca="1">IFERROR(__xludf.DUMMYFUNCTION("""COMPUTED_VALUE"""),0)</f>
        <v>0</v>
      </c>
      <c r="K3122" s="10" t="str">
        <f ca="1">IFERROR(__xludf.DUMMYFUNCTION("""COMPUTED_VALUE"""),"https://www.newspapers.com/image/25156350/?terms=school%2Bshooting")</f>
        <v>https://www.newspapers.com/image/25156350/?terms=school%2Bshooting</v>
      </c>
      <c r="L3122" s="8"/>
      <c r="M3122" s="8"/>
      <c r="N3122" s="8">
        <f ca="1">IFERROR(__xludf.DUMMYFUNCTION("""COMPUTED_VALUE"""),2)</f>
        <v>2</v>
      </c>
      <c r="O3122" s="8" t="str">
        <f ca="1">IFERROR(__xludf.DUMMYFUNCTION("""COMPUTED_VALUE"""),"Fall")</f>
        <v>Fall</v>
      </c>
      <c r="P3122" s="8" t="str">
        <f ca="1">IFERROR(__xludf.DUMMYFUNCTION("""COMPUTED_VALUE"""),"Nashville")</f>
        <v>Nashville</v>
      </c>
      <c r="Q3122" s="8" t="str">
        <f ca="1">IFERROR(__xludf.DUMMYFUNCTION("""COMPUTED_VALUE"""),"TN")</f>
        <v>TN</v>
      </c>
      <c r="R3122" s="8" t="str">
        <f ca="1">IFERROR(__xludf.DUMMYFUNCTION("""COMPUTED_VALUE"""),"High")</f>
        <v>High</v>
      </c>
      <c r="S3122" s="8" t="str">
        <f ca="1">IFERROR(__xludf.DUMMYFUNCTION("""COMPUTED_VALUE"""),"Hallway")</f>
        <v>Hallway</v>
      </c>
      <c r="T3122" s="8" t="str">
        <f ca="1">IFERROR(__xludf.DUMMYFUNCTION("""COMPUTED_VALUE"""),"Inside School Building")</f>
        <v>Inside School Building</v>
      </c>
      <c r="U3122" s="8" t="str">
        <f ca="1">IFERROR(__xludf.DUMMYFUNCTION("""COMPUTED_VALUE"""),"Yes")</f>
        <v>Yes</v>
      </c>
      <c r="V3122" s="8"/>
      <c r="W3122" s="8"/>
      <c r="X3122" s="8"/>
      <c r="Y3122" s="12" t="str">
        <f ca="1">IFERROR(__xludf.DUMMYFUNCTION("""COMPUTED_VALUE"""),"Shooting followed fight the previous week at school dance")</f>
        <v>Shooting followed fight the previous week at school dance</v>
      </c>
      <c r="Z3122" s="12" t="str">
        <f ca="1">IFERROR(__xludf.DUMMYFUNCTION("""COMPUTED_VALUE"""),"Shooter fired rifle in school hallway at target (he had previous fight with victim) and injured two other students (bystanders).")</f>
        <v>Shooter fired rifle in school hallway at target (he had previous fight with victim) and injured two other students (bystanders).</v>
      </c>
      <c r="AA3122" s="8" t="str">
        <f ca="1">IFERROR(__xludf.DUMMYFUNCTION("""COMPUTED_VALUE"""),"Escalation of Dispute")</f>
        <v>Escalation of Dispute</v>
      </c>
      <c r="AB3122" s="8"/>
      <c r="AC3122" s="8"/>
      <c r="AD3122" s="8" t="str">
        <f ca="1">IFERROR(__xludf.DUMMYFUNCTION("""COMPUTED_VALUE"""),"Both")</f>
        <v>Both</v>
      </c>
      <c r="AE3122" s="8" t="str">
        <f ca="1">IFERROR(__xludf.DUMMYFUNCTION("""COMPUTED_VALUE"""),"No")</f>
        <v>No</v>
      </c>
      <c r="AF3122" s="8"/>
      <c r="AG3122" s="8" t="str">
        <f ca="1">IFERROR(__xludf.DUMMYFUNCTION("""COMPUTED_VALUE"""),"No")</f>
        <v>No</v>
      </c>
      <c r="AH3122" s="8" t="str">
        <f ca="1">IFERROR(__xludf.DUMMYFUNCTION("""COMPUTED_VALUE"""),"No")</f>
        <v>No</v>
      </c>
      <c r="AI3122" s="8" t="str">
        <f ca="1">IFERROR(__xludf.DUMMYFUNCTION("""COMPUTED_VALUE"""),"No")</f>
        <v>No</v>
      </c>
      <c r="AJ3122" s="8" t="str">
        <f ca="1">IFERROR(__xludf.DUMMYFUNCTION("""COMPUTED_VALUE"""),"No")</f>
        <v>No</v>
      </c>
      <c r="AK3122" s="8" t="str">
        <f ca="1">IFERROR(__xludf.DUMMYFUNCTION("""COMPUTED_VALUE"""),"No")</f>
        <v>No</v>
      </c>
      <c r="AL3122" s="8" t="str">
        <f ca="1">IFERROR(__xludf.DUMMYFUNCTION("""COMPUTED_VALUE"""),"No")</f>
        <v>No</v>
      </c>
      <c r="AM3122" s="8"/>
      <c r="AN3122" s="8"/>
      <c r="AO3122" s="8" t="str">
        <f ca="1">IFERROR(__xludf.DUMMYFUNCTION("""COMPUTED_VALUE"""),"No")</f>
        <v>No</v>
      </c>
      <c r="AP3122" s="8"/>
      <c r="AQ3122" s="8" t="str">
        <f ca="1">IFERROR(__xludf.DUMMYFUNCTION("""COMPUTED_VALUE"""),"Unknown")</f>
        <v>Unknown</v>
      </c>
      <c r="AR3122" s="8" t="str">
        <f ca="1">IFERROR(__xludf.DUMMYFUNCTION("""COMPUTED_VALUE"""),"NA")</f>
        <v>NA</v>
      </c>
      <c r="AS3122" s="8"/>
      <c r="AT3122" s="8"/>
      <c r="AU3122" s="8">
        <f ca="1">IFERROR(__xludf.DUMMYFUNCTION("""COMPUTED_VALUE"""),36.160777)</f>
        <v>36.160777000000003</v>
      </c>
      <c r="AV3122" s="8">
        <f ca="1">IFERROR(__xludf.DUMMYFUNCTION("""COMPUTED_VALUE"""),-86.787211)</f>
        <v>-86.787210999999999</v>
      </c>
      <c r="AW3122" s="8"/>
      <c r="AX3122" s="8">
        <f ca="1">IFERROR(__xludf.DUMMYFUNCTION("""COMPUTED_VALUE"""),37203)</f>
        <v>37203</v>
      </c>
    </row>
    <row r="3123" spans="1:50" ht="45" x14ac:dyDescent="0.2">
      <c r="A3123" s="8" t="str">
        <f ca="1">IFERROR(__xludf.DUMMYFUNCTION("""COMPUTED_VALUE"""),"19700831FLALM")</f>
        <v>19700831FLALM</v>
      </c>
      <c r="B3123" s="8">
        <f ca="1">IFERROR(__xludf.DUMMYFUNCTION("""COMPUTED_VALUE"""),8)</f>
        <v>8</v>
      </c>
      <c r="C3123" s="8">
        <f ca="1">IFERROR(__xludf.DUMMYFUNCTION("""COMPUTED_VALUE"""),31)</f>
        <v>31</v>
      </c>
      <c r="D3123" s="8">
        <f ca="1">IFERROR(__xludf.DUMMYFUNCTION("""COMPUTED_VALUE"""),1970)</f>
        <v>1970</v>
      </c>
      <c r="E3123" s="9">
        <f ca="1">IFERROR(__xludf.DUMMYFUNCTION("""COMPUTED_VALUE"""),25811)</f>
        <v>25811</v>
      </c>
      <c r="F3123" s="8" t="str">
        <f ca="1">IFERROR(__xludf.DUMMYFUNCTION("""COMPUTED_VALUE"""),"Allapatah Elementary School")</f>
        <v>Allapatah Elementary School</v>
      </c>
      <c r="G3123" s="8">
        <f ca="1">IFERROR(__xludf.DUMMYFUNCTION("""COMPUTED_VALUE"""),1)</f>
        <v>1</v>
      </c>
      <c r="H3123" s="8">
        <f ca="1">IFERROR(__xludf.DUMMYFUNCTION("""COMPUTED_VALUE"""),0)</f>
        <v>0</v>
      </c>
      <c r="I3123" s="8">
        <f ca="1">IFERROR(__xludf.DUMMYFUNCTION("""COMPUTED_VALUE"""),1)</f>
        <v>1</v>
      </c>
      <c r="J3123" s="8">
        <f ca="1">IFERROR(__xludf.DUMMYFUNCTION("""COMPUTED_VALUE"""),0)</f>
        <v>0</v>
      </c>
      <c r="K3123" s="10" t="str">
        <f ca="1">IFERROR(__xludf.DUMMYFUNCTION("""COMPUTED_VALUE"""),"https://www.newspapers.com/image/43039004/?terms=school%2Bshooting")</f>
        <v>https://www.newspapers.com/image/43039004/?terms=school%2Bshooting</v>
      </c>
      <c r="L3123" s="8"/>
      <c r="M3123" s="8"/>
      <c r="N3123" s="8">
        <f ca="1">IFERROR(__xludf.DUMMYFUNCTION("""COMPUTED_VALUE"""),2)</f>
        <v>2</v>
      </c>
      <c r="O3123" s="8" t="str">
        <f ca="1">IFERROR(__xludf.DUMMYFUNCTION("""COMPUTED_VALUE"""),"Summer")</f>
        <v>Summer</v>
      </c>
      <c r="P3123" s="8" t="str">
        <f ca="1">IFERROR(__xludf.DUMMYFUNCTION("""COMPUTED_VALUE"""),"Miami")</f>
        <v>Miami</v>
      </c>
      <c r="Q3123" s="8" t="str">
        <f ca="1">IFERROR(__xludf.DUMMYFUNCTION("""COMPUTED_VALUE"""),"FL")</f>
        <v>FL</v>
      </c>
      <c r="R3123" s="8" t="str">
        <f ca="1">IFERROR(__xludf.DUMMYFUNCTION("""COMPUTED_VALUE"""),"Elementary")</f>
        <v>Elementary</v>
      </c>
      <c r="S3123" s="8" t="str">
        <f ca="1">IFERROR(__xludf.DUMMYFUNCTION("""COMPUTED_VALUE"""),"Inside School Building")</f>
        <v>Inside School Building</v>
      </c>
      <c r="T3123" s="8" t="str">
        <f ca="1">IFERROR(__xludf.DUMMYFUNCTION("""COMPUTED_VALUE"""),"Inside School Building")</f>
        <v>Inside School Building</v>
      </c>
      <c r="U3123" s="8" t="str">
        <f ca="1">IFERROR(__xludf.DUMMYFUNCTION("""COMPUTED_VALUE"""),"Yes")</f>
        <v>Yes</v>
      </c>
      <c r="V3123" s="8" t="str">
        <f ca="1">IFERROR(__xludf.DUMMYFUNCTION("""COMPUTED_VALUE"""),"Dismissal")</f>
        <v>Dismissal</v>
      </c>
      <c r="W3123" s="8"/>
      <c r="X3123" s="8"/>
      <c r="Y3123" s="12" t="str">
        <f ca="1">IFERROR(__xludf.DUMMYFUNCTION("""COMPUTED_VALUE"""),"Father (Cuban exile) killed by gunman at school")</f>
        <v>Father (Cuban exile) killed by gunman at school</v>
      </c>
      <c r="Z3123" s="12" t="str">
        <f ca="1">IFERROR(__xludf.DUMMYFUNCTION("""COMPUTED_VALUE"""),"Father (Cuban exile) killed inside school while picking up child by a 27 year-old male gunman. The shooting occurred on the first day the school was integrated.")</f>
        <v>Father (Cuban exile) killed inside school while picking up child by a 27 year-old male gunman. The shooting occurred on the first day the school was integrated.</v>
      </c>
      <c r="AA3123" s="8" t="str">
        <f ca="1">IFERROR(__xludf.DUMMYFUNCTION("""COMPUTED_VALUE"""),"Racial")</f>
        <v>Racial</v>
      </c>
      <c r="AB3123" s="8"/>
      <c r="AC3123" s="8"/>
      <c r="AD3123" s="8" t="str">
        <f ca="1">IFERROR(__xludf.DUMMYFUNCTION("""COMPUTED_VALUE"""),"Victims Targeted")</f>
        <v>Victims Targeted</v>
      </c>
      <c r="AE3123" s="8" t="str">
        <f ca="1">IFERROR(__xludf.DUMMYFUNCTION("""COMPUTED_VALUE"""),"No")</f>
        <v>No</v>
      </c>
      <c r="AF3123" s="8"/>
      <c r="AG3123" s="8" t="str">
        <f ca="1">IFERROR(__xludf.DUMMYFUNCTION("""COMPUTED_VALUE"""),"No")</f>
        <v>No</v>
      </c>
      <c r="AH3123" s="8" t="str">
        <f ca="1">IFERROR(__xludf.DUMMYFUNCTION("""COMPUTED_VALUE"""),"No")</f>
        <v>No</v>
      </c>
      <c r="AI3123" s="8" t="str">
        <f ca="1">IFERROR(__xludf.DUMMYFUNCTION("""COMPUTED_VALUE"""),"No")</f>
        <v>No</v>
      </c>
      <c r="AJ3123" s="8" t="str">
        <f ca="1">IFERROR(__xludf.DUMMYFUNCTION("""COMPUTED_VALUE"""),"No")</f>
        <v>No</v>
      </c>
      <c r="AK3123" s="8" t="str">
        <f ca="1">IFERROR(__xludf.DUMMYFUNCTION("""COMPUTED_VALUE"""),"No")</f>
        <v>No</v>
      </c>
      <c r="AL3123" s="8" t="str">
        <f ca="1">IFERROR(__xludf.DUMMYFUNCTION("""COMPUTED_VALUE"""),"No")</f>
        <v>No</v>
      </c>
      <c r="AM3123" s="8"/>
      <c r="AN3123" s="8"/>
      <c r="AO3123" s="8" t="str">
        <f ca="1">IFERROR(__xludf.DUMMYFUNCTION("""COMPUTED_VALUE"""),"No")</f>
        <v>No</v>
      </c>
      <c r="AP3123" s="8"/>
      <c r="AQ3123" s="8" t="str">
        <f ca="1">IFERROR(__xludf.DUMMYFUNCTION("""COMPUTED_VALUE"""),"Unknown")</f>
        <v>Unknown</v>
      </c>
      <c r="AR3123" s="8" t="str">
        <f ca="1">IFERROR(__xludf.DUMMYFUNCTION("""COMPUTED_VALUE"""),"NA")</f>
        <v>NA</v>
      </c>
      <c r="AS3123" s="8"/>
      <c r="AT3123" s="8"/>
      <c r="AU3123" s="8">
        <f ca="1">IFERROR(__xludf.DUMMYFUNCTION("""COMPUTED_VALUE"""),25.800397)</f>
        <v>25.800397</v>
      </c>
      <c r="AV3123" s="8">
        <f ca="1">IFERROR(__xludf.DUMMYFUNCTION("""COMPUTED_VALUE"""),-80.244856)</f>
        <v>-80.244855999999999</v>
      </c>
      <c r="AW3123" s="8"/>
      <c r="AX3123" s="8">
        <f ca="1">IFERROR(__xludf.DUMMYFUNCTION("""COMPUTED_VALUE"""),33142)</f>
        <v>33142</v>
      </c>
    </row>
    <row r="3124" spans="1:50" ht="60" x14ac:dyDescent="0.2">
      <c r="A3124" s="8" t="str">
        <f ca="1">IFERROR(__xludf.DUMMYFUNCTION("""COMPUTED_VALUE"""),"19700828TXRIE")</f>
        <v>19700828TXRIE</v>
      </c>
      <c r="B3124" s="8">
        <f ca="1">IFERROR(__xludf.DUMMYFUNCTION("""COMPUTED_VALUE"""),8)</f>
        <v>8</v>
      </c>
      <c r="C3124" s="8">
        <f ca="1">IFERROR(__xludf.DUMMYFUNCTION("""COMPUTED_VALUE"""),28)</f>
        <v>28</v>
      </c>
      <c r="D3124" s="8">
        <f ca="1">IFERROR(__xludf.DUMMYFUNCTION("""COMPUTED_VALUE"""),1970)</f>
        <v>1970</v>
      </c>
      <c r="E3124" s="9">
        <f ca="1">IFERROR(__xludf.DUMMYFUNCTION("""COMPUTED_VALUE"""),25808)</f>
        <v>25808</v>
      </c>
      <c r="F3124" s="8" t="str">
        <f ca="1">IFERROR(__xludf.DUMMYFUNCTION("""COMPUTED_VALUE"""),"Riverside High School")</f>
        <v>Riverside High School</v>
      </c>
      <c r="G3124" s="8">
        <f ca="1">IFERROR(__xludf.DUMMYFUNCTION("""COMPUTED_VALUE"""),0)</f>
        <v>0</v>
      </c>
      <c r="H3124" s="8">
        <f ca="1">IFERROR(__xludf.DUMMYFUNCTION("""COMPUTED_VALUE"""),1)</f>
        <v>1</v>
      </c>
      <c r="I3124" s="8">
        <f ca="1">IFERROR(__xludf.DUMMYFUNCTION("""COMPUTED_VALUE"""),1)</f>
        <v>1</v>
      </c>
      <c r="J3124" s="8">
        <f ca="1">IFERROR(__xludf.DUMMYFUNCTION("""COMPUTED_VALUE"""),0)</f>
        <v>0</v>
      </c>
      <c r="K3124" s="10" t="str">
        <f ca="1">IFERROR(__xludf.DUMMYFUNCTION("""COMPUTED_VALUE"""),"https://www.newspapers.com/image/435429470/?terms=school%2Bshooting")</f>
        <v>https://www.newspapers.com/image/435429470/?terms=school%2Bshooting</v>
      </c>
      <c r="L3124" s="8"/>
      <c r="M3124" s="8"/>
      <c r="N3124" s="8">
        <f ca="1">IFERROR(__xludf.DUMMYFUNCTION("""COMPUTED_VALUE"""),2)</f>
        <v>2</v>
      </c>
      <c r="O3124" s="8" t="str">
        <f ca="1">IFERROR(__xludf.DUMMYFUNCTION("""COMPUTED_VALUE"""),"Summer")</f>
        <v>Summer</v>
      </c>
      <c r="P3124" s="8" t="str">
        <f ca="1">IFERROR(__xludf.DUMMYFUNCTION("""COMPUTED_VALUE"""),"El Paso")</f>
        <v>El Paso</v>
      </c>
      <c r="Q3124" s="8" t="str">
        <f ca="1">IFERROR(__xludf.DUMMYFUNCTION("""COMPUTED_VALUE"""),"TX")</f>
        <v>TX</v>
      </c>
      <c r="R3124" s="8" t="str">
        <f ca="1">IFERROR(__xludf.DUMMYFUNCTION("""COMPUTED_VALUE"""),"High")</f>
        <v>High</v>
      </c>
      <c r="S3124" s="8" t="str">
        <f ca="1">IFERROR(__xludf.DUMMYFUNCTION("""COMPUTED_VALUE"""),"Outside on School Property")</f>
        <v>Outside on School Property</v>
      </c>
      <c r="T3124" s="8" t="str">
        <f ca="1">IFERROR(__xludf.DUMMYFUNCTION("""COMPUTED_VALUE"""),"Outside on School Property")</f>
        <v>Outside on School Property</v>
      </c>
      <c r="U3124" s="8" t="str">
        <f ca="1">IFERROR(__xludf.DUMMYFUNCTION("""COMPUTED_VALUE"""),"Yes")</f>
        <v>Yes</v>
      </c>
      <c r="V3124" s="8" t="str">
        <f ca="1">IFERROR(__xludf.DUMMYFUNCTION("""COMPUTED_VALUE"""),"Lunch")</f>
        <v>Lunch</v>
      </c>
      <c r="W3124" s="11">
        <f ca="1">IFERROR(__xludf.DUMMYFUNCTION("""COMPUTED_VALUE"""),0)</f>
        <v>0</v>
      </c>
      <c r="X3124" s="8">
        <f ca="1">IFERROR(__xludf.DUMMYFUNCTION("""COMPUTED_VALUE"""),1)</f>
        <v>1</v>
      </c>
      <c r="Y3124" s="12" t="str">
        <f ca="1">IFERROR(__xludf.DUMMYFUNCTION("""COMPUTED_VALUE"""),"Fight between students in parking lot escalated into shooting")</f>
        <v>Fight between students in parking lot escalated into shooting</v>
      </c>
      <c r="Z3124" s="12" t="str">
        <f ca="1">IFERROR(__xludf.DUMMYFUNCTION("""COMPUTED_VALUE"""),"Fight between 4 students in the parking lot escalated into a shooting. Two students fired guns and one was injured.")</f>
        <v>Fight between 4 students in the parking lot escalated into a shooting. Two students fired guns and one was injured.</v>
      </c>
      <c r="AA3124" s="8" t="str">
        <f ca="1">IFERROR(__xludf.DUMMYFUNCTION("""COMPUTED_VALUE"""),"Escalation of Dispute")</f>
        <v>Escalation of Dispute</v>
      </c>
      <c r="AB3124" s="8"/>
      <c r="AC3124" s="8"/>
      <c r="AD3124" s="8" t="str">
        <f ca="1">IFERROR(__xludf.DUMMYFUNCTION("""COMPUTED_VALUE"""),"Victims Targeted")</f>
        <v>Victims Targeted</v>
      </c>
      <c r="AE3124" s="8" t="str">
        <f ca="1">IFERROR(__xludf.DUMMYFUNCTION("""COMPUTED_VALUE"""),"Yes")</f>
        <v>Yes</v>
      </c>
      <c r="AF3124" s="8" t="str">
        <f ca="1">IFERROR(__xludf.DUMMYFUNCTION("""COMPUTED_VALUE"""),"4 teens involved in fight")</f>
        <v>4 teens involved in fight</v>
      </c>
      <c r="AG3124" s="8" t="str">
        <f ca="1">IFERROR(__xludf.DUMMYFUNCTION("""COMPUTED_VALUE"""),"No")</f>
        <v>No</v>
      </c>
      <c r="AH3124" s="8" t="str">
        <f ca="1">IFERROR(__xludf.DUMMYFUNCTION("""COMPUTED_VALUE"""),"No")</f>
        <v>No</v>
      </c>
      <c r="AI3124" s="8" t="str">
        <f ca="1">IFERROR(__xludf.DUMMYFUNCTION("""COMPUTED_VALUE"""),"No")</f>
        <v>No</v>
      </c>
      <c r="AJ3124" s="8" t="str">
        <f ca="1">IFERROR(__xludf.DUMMYFUNCTION("""COMPUTED_VALUE"""),"No")</f>
        <v>No</v>
      </c>
      <c r="AK3124" s="8" t="str">
        <f ca="1">IFERROR(__xludf.DUMMYFUNCTION("""COMPUTED_VALUE"""),"No")</f>
        <v>No</v>
      </c>
      <c r="AL3124" s="8" t="str">
        <f ca="1">IFERROR(__xludf.DUMMYFUNCTION("""COMPUTED_VALUE"""),"No")</f>
        <v>No</v>
      </c>
      <c r="AM3124" s="8"/>
      <c r="AN3124" s="8"/>
      <c r="AO3124" s="8" t="str">
        <f ca="1">IFERROR(__xludf.DUMMYFUNCTION("""COMPUTED_VALUE"""),"No")</f>
        <v>No</v>
      </c>
      <c r="AP3124" s="8"/>
      <c r="AQ3124" s="8" t="str">
        <f ca="1">IFERROR(__xludf.DUMMYFUNCTION("""COMPUTED_VALUE"""),"Unknown")</f>
        <v>Unknown</v>
      </c>
      <c r="AR3124" s="8" t="str">
        <f ca="1">IFERROR(__xludf.DUMMYFUNCTION("""COMPUTED_VALUE"""),"NA")</f>
        <v>NA</v>
      </c>
      <c r="AS3124" s="8" t="str">
        <f ca="1">IFERROR(__xludf.DUMMYFUNCTION("""COMPUTED_VALUE"""),"&lt;10")</f>
        <v>&lt;10</v>
      </c>
      <c r="AT3124" s="8"/>
      <c r="AU3124" s="8">
        <f ca="1">IFERROR(__xludf.DUMMYFUNCTION("""COMPUTED_VALUE"""),31.73356)</f>
        <v>31.733560000000001</v>
      </c>
      <c r="AV3124" s="8">
        <f ca="1">IFERROR(__xludf.DUMMYFUNCTION("""COMPUTED_VALUE"""),-106.372246)</f>
        <v>-106.372246</v>
      </c>
      <c r="AW3124" s="8"/>
      <c r="AX3124" s="8">
        <f ca="1">IFERROR(__xludf.DUMMYFUNCTION("""COMPUTED_VALUE"""),79915)</f>
        <v>79915</v>
      </c>
    </row>
    <row r="3125" spans="1:50" ht="90" x14ac:dyDescent="0.2">
      <c r="A3125" s="8" t="str">
        <f ca="1">IFERROR(__xludf.DUMMYFUNCTION("""COMPUTED_VALUE"""),"19700515UTBEO")</f>
        <v>19700515UTBEO</v>
      </c>
      <c r="B3125" s="8">
        <f ca="1">IFERROR(__xludf.DUMMYFUNCTION("""COMPUTED_VALUE"""),5)</f>
        <v>5</v>
      </c>
      <c r="C3125" s="8">
        <f ca="1">IFERROR(__xludf.DUMMYFUNCTION("""COMPUTED_VALUE"""),15)</f>
        <v>15</v>
      </c>
      <c r="D3125" s="8">
        <f ca="1">IFERROR(__xludf.DUMMYFUNCTION("""COMPUTED_VALUE"""),1970)</f>
        <v>1970</v>
      </c>
      <c r="E3125" s="9">
        <f ca="1">IFERROR(__xludf.DUMMYFUNCTION("""COMPUTED_VALUE"""),25703)</f>
        <v>25703</v>
      </c>
      <c r="F3125" s="8" t="str">
        <f ca="1">IFERROR(__xludf.DUMMYFUNCTION("""COMPUTED_VALUE"""),"Ben Lomond High School")</f>
        <v>Ben Lomond High School</v>
      </c>
      <c r="G3125" s="8">
        <f ca="1">IFERROR(__xludf.DUMMYFUNCTION("""COMPUTED_VALUE"""),0)</f>
        <v>0</v>
      </c>
      <c r="H3125" s="8">
        <f ca="1">IFERROR(__xludf.DUMMYFUNCTION("""COMPUTED_VALUE"""),2)</f>
        <v>2</v>
      </c>
      <c r="I3125" s="8">
        <f ca="1">IFERROR(__xludf.DUMMYFUNCTION("""COMPUTED_VALUE"""),2)</f>
        <v>2</v>
      </c>
      <c r="J3125" s="8">
        <f ca="1">IFERROR(__xludf.DUMMYFUNCTION("""COMPUTED_VALUE"""),0)</f>
        <v>0</v>
      </c>
      <c r="K3125" s="10" t="str">
        <f ca="1">IFERROR(__xludf.DUMMYFUNCTION("""COMPUTED_VALUE"""),"https://www.newspapers.com/image/8204825/?terms=school%2Bshooting")</f>
        <v>https://www.newspapers.com/image/8204825/?terms=school%2Bshooting</v>
      </c>
      <c r="L3125" s="8"/>
      <c r="M3125" s="8"/>
      <c r="N3125" s="8">
        <f ca="1">IFERROR(__xludf.DUMMYFUNCTION("""COMPUTED_VALUE"""),2)</f>
        <v>2</v>
      </c>
      <c r="O3125" s="8" t="str">
        <f ca="1">IFERROR(__xludf.DUMMYFUNCTION("""COMPUTED_VALUE"""),"Spring")</f>
        <v>Spring</v>
      </c>
      <c r="P3125" s="8" t="str">
        <f ca="1">IFERROR(__xludf.DUMMYFUNCTION("""COMPUTED_VALUE"""),"Ogden")</f>
        <v>Ogden</v>
      </c>
      <c r="Q3125" s="8" t="str">
        <f ca="1">IFERROR(__xludf.DUMMYFUNCTION("""COMPUTED_VALUE"""),"UT")</f>
        <v>UT</v>
      </c>
      <c r="R3125" s="8" t="str">
        <f ca="1">IFERROR(__xludf.DUMMYFUNCTION("""COMPUTED_VALUE"""),"High")</f>
        <v>High</v>
      </c>
      <c r="S3125" s="8" t="str">
        <f ca="1">IFERROR(__xludf.DUMMYFUNCTION("""COMPUTED_VALUE"""),"Hallway")</f>
        <v>Hallway</v>
      </c>
      <c r="T3125" s="8" t="str">
        <f ca="1">IFERROR(__xludf.DUMMYFUNCTION("""COMPUTED_VALUE"""),"Inside School Building")</f>
        <v>Inside School Building</v>
      </c>
      <c r="U3125" s="8" t="str">
        <f ca="1">IFERROR(__xludf.DUMMYFUNCTION("""COMPUTED_VALUE"""),"Yes")</f>
        <v>Yes</v>
      </c>
      <c r="V3125" s="8"/>
      <c r="W3125" s="8"/>
      <c r="X3125" s="8"/>
      <c r="Y3125" s="12" t="str">
        <f ca="1">IFERROR(__xludf.DUMMYFUNCTION("""COMPUTED_VALUE"""),"Showing off gun in hallway, fired two shots striking teacher and student")</f>
        <v>Showing off gun in hallway, fired two shots striking teacher and student</v>
      </c>
      <c r="Z3125" s="12" t="str">
        <f ca="1">IFERROR(__xludf.DUMMYFUNCTION("""COMPUTED_VALUE"""),"Shooter was showing off gun to students in the hallway. Pointed the gun at multiple students and at his own head saying he was going to kill himself. Fired two shots striking a teacher and a student. Claimed the shooting was accidental. Committed for psyc"&amp;"hiatric examination and sentenced to youth facility until turning 21.")</f>
        <v>Shooter was showing off gun to students in the hallway. Pointed the gun at multiple students and at his own head saying he was going to kill himself. Fired two shots striking a teacher and a student. Claimed the shooting was accidental. Committed for psychiatric examination and sentenced to youth facility until turning 21.</v>
      </c>
      <c r="AA3125" s="8" t="str">
        <f ca="1">IFERROR(__xludf.DUMMYFUNCTION("""COMPUTED_VALUE"""),"Suicide/Attempted")</f>
        <v>Suicide/Attempted</v>
      </c>
      <c r="AB3125" s="8"/>
      <c r="AC3125" s="8"/>
      <c r="AD3125" s="8" t="str">
        <f ca="1">IFERROR(__xludf.DUMMYFUNCTION("""COMPUTED_VALUE"""),"Random Shooting")</f>
        <v>Random Shooting</v>
      </c>
      <c r="AE3125" s="8" t="str">
        <f ca="1">IFERROR(__xludf.DUMMYFUNCTION("""COMPUTED_VALUE"""),"No")</f>
        <v>No</v>
      </c>
      <c r="AF3125" s="8"/>
      <c r="AG3125" s="8" t="str">
        <f ca="1">IFERROR(__xludf.DUMMYFUNCTION("""COMPUTED_VALUE"""),"No")</f>
        <v>No</v>
      </c>
      <c r="AH3125" s="8" t="str">
        <f ca="1">IFERROR(__xludf.DUMMYFUNCTION("""COMPUTED_VALUE"""),"No")</f>
        <v>No</v>
      </c>
      <c r="AI3125" s="8" t="str">
        <f ca="1">IFERROR(__xludf.DUMMYFUNCTION("""COMPUTED_VALUE"""),"No")</f>
        <v>No</v>
      </c>
      <c r="AJ3125" s="8"/>
      <c r="AK3125" s="8" t="str">
        <f ca="1">IFERROR(__xludf.DUMMYFUNCTION("""COMPUTED_VALUE"""),"No")</f>
        <v>No</v>
      </c>
      <c r="AL3125" s="8" t="str">
        <f ca="1">IFERROR(__xludf.DUMMYFUNCTION("""COMPUTED_VALUE"""),"No")</f>
        <v>No</v>
      </c>
      <c r="AM3125" s="8"/>
      <c r="AN3125" s="8"/>
      <c r="AO3125" s="8" t="str">
        <f ca="1">IFERROR(__xludf.DUMMYFUNCTION("""COMPUTED_VALUE"""),"No")</f>
        <v>No</v>
      </c>
      <c r="AP3125" s="8"/>
      <c r="AQ3125" s="8" t="str">
        <f ca="1">IFERROR(__xludf.DUMMYFUNCTION("""COMPUTED_VALUE"""),"Unknown")</f>
        <v>Unknown</v>
      </c>
      <c r="AR3125" s="8" t="str">
        <f ca="1">IFERROR(__xludf.DUMMYFUNCTION("""COMPUTED_VALUE"""),"NA")</f>
        <v>NA</v>
      </c>
      <c r="AS3125" s="8">
        <f ca="1">IFERROR(__xludf.DUMMYFUNCTION("""COMPUTED_VALUE"""),2)</f>
        <v>2</v>
      </c>
      <c r="AT3125" s="8"/>
      <c r="AU3125" s="8">
        <f ca="1">IFERROR(__xludf.DUMMYFUNCTION("""COMPUTED_VALUE"""),41.249371)</f>
        <v>41.249370999999996</v>
      </c>
      <c r="AV3125" s="8">
        <f ca="1">IFERROR(__xludf.DUMMYFUNCTION("""COMPUTED_VALUE"""),-111.951254)</f>
        <v>-111.95125400000001</v>
      </c>
      <c r="AW3125" s="8"/>
      <c r="AX3125" s="8">
        <f ca="1">IFERROR(__xludf.DUMMYFUNCTION("""COMPUTED_VALUE"""),84404)</f>
        <v>84404</v>
      </c>
    </row>
    <row r="3126" spans="1:50" ht="45" x14ac:dyDescent="0.2">
      <c r="A3126" s="8" t="str">
        <f ca="1">IFERROR(__xludf.DUMMYFUNCTION("""COMPUTED_VALUE"""),"19700508FLCAD")</f>
        <v>19700508FLCAD</v>
      </c>
      <c r="B3126" s="8">
        <f ca="1">IFERROR(__xludf.DUMMYFUNCTION("""COMPUTED_VALUE"""),5)</f>
        <v>5</v>
      </c>
      <c r="C3126" s="8">
        <f ca="1">IFERROR(__xludf.DUMMYFUNCTION("""COMPUTED_VALUE"""),8)</f>
        <v>8</v>
      </c>
      <c r="D3126" s="8">
        <f ca="1">IFERROR(__xludf.DUMMYFUNCTION("""COMPUTED_VALUE"""),1970)</f>
        <v>1970</v>
      </c>
      <c r="E3126" s="9">
        <f ca="1">IFERROR(__xludf.DUMMYFUNCTION("""COMPUTED_VALUE"""),25696)</f>
        <v>25696</v>
      </c>
      <c r="F3126" s="8" t="str">
        <f ca="1">IFERROR(__xludf.DUMMYFUNCTION("""COMPUTED_VALUE"""),"Carver High School")</f>
        <v>Carver High School</v>
      </c>
      <c r="G3126" s="8">
        <f ca="1">IFERROR(__xludf.DUMMYFUNCTION("""COMPUTED_VALUE"""),0)</f>
        <v>0</v>
      </c>
      <c r="H3126" s="8">
        <f ca="1">IFERROR(__xludf.DUMMYFUNCTION("""COMPUTED_VALUE"""),1)</f>
        <v>1</v>
      </c>
      <c r="I3126" s="8">
        <f ca="1">IFERROR(__xludf.DUMMYFUNCTION("""COMPUTED_VALUE"""),1)</f>
        <v>1</v>
      </c>
      <c r="J3126" s="8">
        <f ca="1">IFERROR(__xludf.DUMMYFUNCTION("""COMPUTED_VALUE"""),0)</f>
        <v>0</v>
      </c>
      <c r="K3126" s="10" t="str">
        <f ca="1">IFERROR(__xludf.DUMMYFUNCTION("""COMPUTED_VALUE"""),"https://www.newspapers.com/image/129716948/?terms=school%2Bshooting")</f>
        <v>https://www.newspapers.com/image/129716948/?terms=school%2Bshooting</v>
      </c>
      <c r="L3126" s="8"/>
      <c r="M3126" s="8"/>
      <c r="N3126" s="8">
        <f ca="1">IFERROR(__xludf.DUMMYFUNCTION("""COMPUTED_VALUE"""),2)</f>
        <v>2</v>
      </c>
      <c r="O3126" s="8" t="str">
        <f ca="1">IFERROR(__xludf.DUMMYFUNCTION("""COMPUTED_VALUE"""),"Spring")</f>
        <v>Spring</v>
      </c>
      <c r="P3126" s="8" t="str">
        <f ca="1">IFERROR(__xludf.DUMMYFUNCTION("""COMPUTED_VALUE"""),"Delray Beach")</f>
        <v>Delray Beach</v>
      </c>
      <c r="Q3126" s="8" t="str">
        <f ca="1">IFERROR(__xludf.DUMMYFUNCTION("""COMPUTED_VALUE"""),"FL")</f>
        <v>FL</v>
      </c>
      <c r="R3126" s="8" t="str">
        <f ca="1">IFERROR(__xludf.DUMMYFUNCTION("""COMPUTED_VALUE"""),"High")</f>
        <v>High</v>
      </c>
      <c r="S3126" s="8" t="str">
        <f ca="1">IFERROR(__xludf.DUMMYFUNCTION("""COMPUTED_VALUE"""),"Inside School Building")</f>
        <v>Inside School Building</v>
      </c>
      <c r="T3126" s="8" t="str">
        <f ca="1">IFERROR(__xludf.DUMMYFUNCTION("""COMPUTED_VALUE"""),"Inside School Building")</f>
        <v>Inside School Building</v>
      </c>
      <c r="U3126" s="8" t="str">
        <f ca="1">IFERROR(__xludf.DUMMYFUNCTION("""COMPUTED_VALUE"""),"Yes")</f>
        <v>Yes</v>
      </c>
      <c r="V3126" s="8" t="str">
        <f ca="1">IFERROR(__xludf.DUMMYFUNCTION("""COMPUTED_VALUE"""),"Morning Classes")</f>
        <v>Morning Classes</v>
      </c>
      <c r="W3126" s="11">
        <f ca="1">IFERROR(__xludf.DUMMYFUNCTION("""COMPUTED_VALUE"""),0.416666666666666)</f>
        <v>0.41666666666666602</v>
      </c>
      <c r="X3126" s="8">
        <f ca="1">IFERROR(__xludf.DUMMYFUNCTION("""COMPUTED_VALUE"""),1)</f>
        <v>1</v>
      </c>
      <c r="Y3126" s="12" t="str">
        <f ca="1">IFERROR(__xludf.DUMMYFUNCTION("""COMPUTED_VALUE"""),"Shooting after previous fight at pool hall")</f>
        <v>Shooting after previous fight at pool hall</v>
      </c>
      <c r="Z3126" s="12" t="str">
        <f ca="1">IFERROR(__xludf.DUMMYFUNCTION("""COMPUTED_VALUE"""),"Shooter and victim had previous fight at pool hall. Shooter confronted victim in the school building and fired once injuring him.")</f>
        <v>Shooter and victim had previous fight at pool hall. Shooter confronted victim in the school building and fired once injuring him.</v>
      </c>
      <c r="AA3126" s="8" t="str">
        <f ca="1">IFERROR(__xludf.DUMMYFUNCTION("""COMPUTED_VALUE"""),"Escalation of Dispute")</f>
        <v>Escalation of Dispute</v>
      </c>
      <c r="AB3126" s="8"/>
      <c r="AC3126" s="8"/>
      <c r="AD3126" s="8" t="str">
        <f ca="1">IFERROR(__xludf.DUMMYFUNCTION("""COMPUTED_VALUE"""),"Victims Targeted")</f>
        <v>Victims Targeted</v>
      </c>
      <c r="AE3126" s="8" t="str">
        <f ca="1">IFERROR(__xludf.DUMMYFUNCTION("""COMPUTED_VALUE"""),"No")</f>
        <v>No</v>
      </c>
      <c r="AF3126" s="8"/>
      <c r="AG3126" s="8" t="str">
        <f ca="1">IFERROR(__xludf.DUMMYFUNCTION("""COMPUTED_VALUE"""),"No")</f>
        <v>No</v>
      </c>
      <c r="AH3126" s="8" t="str">
        <f ca="1">IFERROR(__xludf.DUMMYFUNCTION("""COMPUTED_VALUE"""),"No")</f>
        <v>No</v>
      </c>
      <c r="AI3126" s="8" t="str">
        <f ca="1">IFERROR(__xludf.DUMMYFUNCTION("""COMPUTED_VALUE"""),"No")</f>
        <v>No</v>
      </c>
      <c r="AJ3126" s="8" t="str">
        <f ca="1">IFERROR(__xludf.DUMMYFUNCTION("""COMPUTED_VALUE"""),"No")</f>
        <v>No</v>
      </c>
      <c r="AK3126" s="8" t="str">
        <f ca="1">IFERROR(__xludf.DUMMYFUNCTION("""COMPUTED_VALUE"""),"No")</f>
        <v>No</v>
      </c>
      <c r="AL3126" s="8" t="str">
        <f ca="1">IFERROR(__xludf.DUMMYFUNCTION("""COMPUTED_VALUE"""),"No")</f>
        <v>No</v>
      </c>
      <c r="AM3126" s="8"/>
      <c r="AN3126" s="8"/>
      <c r="AO3126" s="8" t="str">
        <f ca="1">IFERROR(__xludf.DUMMYFUNCTION("""COMPUTED_VALUE"""),"No")</f>
        <v>No</v>
      </c>
      <c r="AP3126" s="8"/>
      <c r="AQ3126" s="8" t="str">
        <f ca="1">IFERROR(__xludf.DUMMYFUNCTION("""COMPUTED_VALUE"""),"Unknown")</f>
        <v>Unknown</v>
      </c>
      <c r="AR3126" s="8" t="str">
        <f ca="1">IFERROR(__xludf.DUMMYFUNCTION("""COMPUTED_VALUE"""),"NA")</f>
        <v>NA</v>
      </c>
      <c r="AS3126" s="8">
        <f ca="1">IFERROR(__xludf.DUMMYFUNCTION("""COMPUTED_VALUE"""),1)</f>
        <v>1</v>
      </c>
      <c r="AT3126" s="8"/>
      <c r="AU3126" s="8">
        <f ca="1">IFERROR(__xludf.DUMMYFUNCTION("""COMPUTED_VALUE"""),26.459697)</f>
        <v>26.459696999999998</v>
      </c>
      <c r="AV3126" s="8">
        <f ca="1">IFERROR(__xludf.DUMMYFUNCTION("""COMPUTED_VALUE"""),-80.112674)</f>
        <v>-80.112673999999998</v>
      </c>
      <c r="AW3126" s="8"/>
      <c r="AX3126" s="8">
        <f ca="1">IFERROR(__xludf.DUMMYFUNCTION("""COMPUTED_VALUE"""),33404)</f>
        <v>33404</v>
      </c>
    </row>
    <row r="3127" spans="1:50" ht="75" x14ac:dyDescent="0.2">
      <c r="A3127" s="8" t="str">
        <f ca="1">IFERROR(__xludf.DUMMYFUNCTION("""COMPUTED_VALUE"""),"19700422DEPIW")</f>
        <v>19700422DEPIW</v>
      </c>
      <c r="B3127" s="8">
        <f ca="1">IFERROR(__xludf.DUMMYFUNCTION("""COMPUTED_VALUE"""),4)</f>
        <v>4</v>
      </c>
      <c r="C3127" s="8">
        <f ca="1">IFERROR(__xludf.DUMMYFUNCTION("""COMPUTED_VALUE"""),22)</f>
        <v>22</v>
      </c>
      <c r="D3127" s="8">
        <f ca="1">IFERROR(__xludf.DUMMYFUNCTION("""COMPUTED_VALUE"""),1970)</f>
        <v>1970</v>
      </c>
      <c r="E3127" s="9">
        <f ca="1">IFERROR(__xludf.DUMMYFUNCTION("""COMPUTED_VALUE"""),25680)</f>
        <v>25680</v>
      </c>
      <c r="F3127" s="8" t="str">
        <f ca="1">IFERROR(__xludf.DUMMYFUNCTION("""COMPUTED_VALUE"""),"Pierre S. Dupont High School")</f>
        <v>Pierre S. Dupont High School</v>
      </c>
      <c r="G3127" s="8">
        <f ca="1">IFERROR(__xludf.DUMMYFUNCTION("""COMPUTED_VALUE"""),1)</f>
        <v>1</v>
      </c>
      <c r="H3127" s="8">
        <f ca="1">IFERROR(__xludf.DUMMYFUNCTION("""COMPUTED_VALUE"""),0)</f>
        <v>0</v>
      </c>
      <c r="I3127" s="8">
        <f ca="1">IFERROR(__xludf.DUMMYFUNCTION("""COMPUTED_VALUE"""),1)</f>
        <v>1</v>
      </c>
      <c r="J3127" s="8">
        <f ca="1">IFERROR(__xludf.DUMMYFUNCTION("""COMPUTED_VALUE"""),0)</f>
        <v>0</v>
      </c>
      <c r="K3127" s="10" t="str">
        <f ca="1">IFERROR(__xludf.DUMMYFUNCTION("""COMPUTED_VALUE"""),"https://www.newspapers.com/image/154804412/?terms=school%2Bshooting")</f>
        <v>https://www.newspapers.com/image/154804412/?terms=school%2Bshooting</v>
      </c>
      <c r="L3127" s="8"/>
      <c r="M3127" s="8"/>
      <c r="N3127" s="8">
        <f ca="1">IFERROR(__xludf.DUMMYFUNCTION("""COMPUTED_VALUE"""),3)</f>
        <v>3</v>
      </c>
      <c r="O3127" s="8" t="str">
        <f ca="1">IFERROR(__xludf.DUMMYFUNCTION("""COMPUTED_VALUE"""),"Spring")</f>
        <v>Spring</v>
      </c>
      <c r="P3127" s="8" t="str">
        <f ca="1">IFERROR(__xludf.DUMMYFUNCTION("""COMPUTED_VALUE"""),"Wilmington")</f>
        <v>Wilmington</v>
      </c>
      <c r="Q3127" s="8" t="str">
        <f ca="1">IFERROR(__xludf.DUMMYFUNCTION("""COMPUTED_VALUE"""),"DE")</f>
        <v>DE</v>
      </c>
      <c r="R3127" s="8" t="str">
        <f ca="1">IFERROR(__xludf.DUMMYFUNCTION("""COMPUTED_VALUE"""),"High")</f>
        <v>High</v>
      </c>
      <c r="S3127" s="8" t="str">
        <f ca="1">IFERROR(__xludf.DUMMYFUNCTION("""COMPUTED_VALUE"""),"Hallway")</f>
        <v>Hallway</v>
      </c>
      <c r="T3127" s="8" t="str">
        <f ca="1">IFERROR(__xludf.DUMMYFUNCTION("""COMPUTED_VALUE"""),"Inside School Building")</f>
        <v>Inside School Building</v>
      </c>
      <c r="U3127" s="8" t="str">
        <f ca="1">IFERROR(__xludf.DUMMYFUNCTION("""COMPUTED_VALUE"""),"Yes")</f>
        <v>Yes</v>
      </c>
      <c r="V3127" s="8" t="str">
        <f ca="1">IFERROR(__xludf.DUMMYFUNCTION("""COMPUTED_VALUE"""),"Morning Classes")</f>
        <v>Morning Classes</v>
      </c>
      <c r="W3127" s="11">
        <f ca="1">IFERROR(__xludf.DUMMYFUNCTION("""COMPUTED_VALUE"""),0.375)</f>
        <v>0.375</v>
      </c>
      <c r="X3127" s="8">
        <f ca="1">IFERROR(__xludf.DUMMYFUNCTION("""COMPUTED_VALUE"""),1)</f>
        <v>1</v>
      </c>
      <c r="Y3127" s="12" t="str">
        <f ca="1">IFERROR(__xludf.DUMMYFUNCTION("""COMPUTED_VALUE"""),"Ongoing fight between the students escalated into shooting in school hallway")</f>
        <v>Ongoing fight between the students escalated into shooting in school hallway</v>
      </c>
      <c r="Z3127" s="12" t="str">
        <f ca="1">IFERROR(__xludf.DUMMYFUNCTION("""COMPUTED_VALUE"""),"Personal feud between the students escalated into a 16 year-old male student shooting a 18 year-old male student in the hallway of the school. Shooter fled the scene.")</f>
        <v>Personal feud between the students escalated into a 16 year-old male student shooting a 18 year-old male student in the hallway of the school. Shooter fled the scene.</v>
      </c>
      <c r="AA3127" s="8" t="str">
        <f ca="1">IFERROR(__xludf.DUMMYFUNCTION("""COMPUTED_VALUE"""),"Escalation of Dispute")</f>
        <v>Escalation of Dispute</v>
      </c>
      <c r="AB3127" s="8"/>
      <c r="AC3127" s="8"/>
      <c r="AD3127" s="8" t="str">
        <f ca="1">IFERROR(__xludf.DUMMYFUNCTION("""COMPUTED_VALUE"""),"Victims Targeted")</f>
        <v>Victims Targeted</v>
      </c>
      <c r="AE3127" s="8" t="str">
        <f ca="1">IFERROR(__xludf.DUMMYFUNCTION("""COMPUTED_VALUE"""),"No")</f>
        <v>No</v>
      </c>
      <c r="AF3127" s="8"/>
      <c r="AG3127" s="8" t="str">
        <f ca="1">IFERROR(__xludf.DUMMYFUNCTION("""COMPUTED_VALUE"""),"No")</f>
        <v>No</v>
      </c>
      <c r="AH3127" s="8" t="str">
        <f ca="1">IFERROR(__xludf.DUMMYFUNCTION("""COMPUTED_VALUE"""),"No")</f>
        <v>No</v>
      </c>
      <c r="AI3127" s="8" t="str">
        <f ca="1">IFERROR(__xludf.DUMMYFUNCTION("""COMPUTED_VALUE"""),"No")</f>
        <v>No</v>
      </c>
      <c r="AJ3127" s="8" t="str">
        <f ca="1">IFERROR(__xludf.DUMMYFUNCTION("""COMPUTED_VALUE"""),"No")</f>
        <v>No</v>
      </c>
      <c r="AK3127" s="8" t="str">
        <f ca="1">IFERROR(__xludf.DUMMYFUNCTION("""COMPUTED_VALUE"""),"No")</f>
        <v>No</v>
      </c>
      <c r="AL3127" s="8" t="str">
        <f ca="1">IFERROR(__xludf.DUMMYFUNCTION("""COMPUTED_VALUE"""),"No")</f>
        <v>No</v>
      </c>
      <c r="AM3127" s="8"/>
      <c r="AN3127" s="8"/>
      <c r="AO3127" s="8" t="str">
        <f ca="1">IFERROR(__xludf.DUMMYFUNCTION("""COMPUTED_VALUE"""),"No")</f>
        <v>No</v>
      </c>
      <c r="AP3127" s="8"/>
      <c r="AQ3127" s="8" t="str">
        <f ca="1">IFERROR(__xludf.DUMMYFUNCTION("""COMPUTED_VALUE"""),"Unknown")</f>
        <v>Unknown</v>
      </c>
      <c r="AR3127" s="8" t="str">
        <f ca="1">IFERROR(__xludf.DUMMYFUNCTION("""COMPUTED_VALUE"""),"NA")</f>
        <v>NA</v>
      </c>
      <c r="AS3127" s="8">
        <f ca="1">IFERROR(__xludf.DUMMYFUNCTION("""COMPUTED_VALUE"""),1)</f>
        <v>1</v>
      </c>
      <c r="AT3127" s="8"/>
      <c r="AU3127" s="8">
        <f ca="1">IFERROR(__xludf.DUMMYFUNCTION("""COMPUTED_VALUE"""),39.76423)</f>
        <v>39.764229999999998</v>
      </c>
      <c r="AV3127" s="8">
        <f ca="1">IFERROR(__xludf.DUMMYFUNCTION("""COMPUTED_VALUE"""),-75.533063)</f>
        <v>-75.533062999999999</v>
      </c>
      <c r="AW3127" s="8"/>
      <c r="AX3127" s="8">
        <f ca="1">IFERROR(__xludf.DUMMYFUNCTION("""COMPUTED_VALUE"""),19802)</f>
        <v>19802</v>
      </c>
    </row>
    <row r="3128" spans="1:50" ht="75" x14ac:dyDescent="0.2">
      <c r="A3128" s="8" t="str">
        <f ca="1">IFERROR(__xludf.DUMMYFUNCTION("""COMPUTED_VALUE"""),"19700415ARPIP")</f>
        <v>19700415ARPIP</v>
      </c>
      <c r="B3128" s="8">
        <f ca="1">IFERROR(__xludf.DUMMYFUNCTION("""COMPUTED_VALUE"""),4)</f>
        <v>4</v>
      </c>
      <c r="C3128" s="8">
        <f ca="1">IFERROR(__xludf.DUMMYFUNCTION("""COMPUTED_VALUE"""),15)</f>
        <v>15</v>
      </c>
      <c r="D3128" s="8">
        <f ca="1">IFERROR(__xludf.DUMMYFUNCTION("""COMPUTED_VALUE"""),1970)</f>
        <v>1970</v>
      </c>
      <c r="E3128" s="9">
        <f ca="1">IFERROR(__xludf.DUMMYFUNCTION("""COMPUTED_VALUE"""),25673)</f>
        <v>25673</v>
      </c>
      <c r="F3128" s="8" t="str">
        <f ca="1">IFERROR(__xludf.DUMMYFUNCTION("""COMPUTED_VALUE"""),"Pine Bluff Coleman High School")</f>
        <v>Pine Bluff Coleman High School</v>
      </c>
      <c r="G3128" s="8">
        <f ca="1">IFERROR(__xludf.DUMMYFUNCTION("""COMPUTED_VALUE"""),1)</f>
        <v>1</v>
      </c>
      <c r="H3128" s="8">
        <f ca="1">IFERROR(__xludf.DUMMYFUNCTION("""COMPUTED_VALUE"""),5)</f>
        <v>5</v>
      </c>
      <c r="I3128" s="8">
        <f ca="1">IFERROR(__xludf.DUMMYFUNCTION("""COMPUTED_VALUE"""),6)</f>
        <v>6</v>
      </c>
      <c r="J3128" s="8">
        <f ca="1">IFERROR(__xludf.DUMMYFUNCTION("""COMPUTED_VALUE"""),0)</f>
        <v>0</v>
      </c>
      <c r="K3128" s="8" t="str">
        <f ca="1">IFERROR(__xludf.DUMMYFUNCTION("""COMPUTED_VALUE"""),"https://www.newspapers.com/image/338842716/?terms=school%2Bshooting https://www.newspapers.com/image/412440683/?terms=school%2Bshooting")</f>
        <v>https://www.newspapers.com/image/338842716/?terms=school%2Bshooting https://www.newspapers.com/image/412440683/?terms=school%2Bshooting</v>
      </c>
      <c r="L3128" s="8"/>
      <c r="M3128" s="8"/>
      <c r="N3128" s="8">
        <f ca="1">IFERROR(__xludf.DUMMYFUNCTION("""COMPUTED_VALUE"""),3)</f>
        <v>3</v>
      </c>
      <c r="O3128" s="8" t="str">
        <f ca="1">IFERROR(__xludf.DUMMYFUNCTION("""COMPUTED_VALUE"""),"Spring")</f>
        <v>Spring</v>
      </c>
      <c r="P3128" s="8" t="str">
        <f ca="1">IFERROR(__xludf.DUMMYFUNCTION("""COMPUTED_VALUE"""),"Pine Bluff")</f>
        <v>Pine Bluff</v>
      </c>
      <c r="Q3128" s="8" t="str">
        <f ca="1">IFERROR(__xludf.DUMMYFUNCTION("""COMPUTED_VALUE"""),"AR")</f>
        <v>AR</v>
      </c>
      <c r="R3128" s="8" t="str">
        <f ca="1">IFERROR(__xludf.DUMMYFUNCTION("""COMPUTED_VALUE"""),"High")</f>
        <v>High</v>
      </c>
      <c r="S3128" s="8" t="str">
        <f ca="1">IFERROR(__xludf.DUMMYFUNCTION("""COMPUTED_VALUE"""),"Cafeteria")</f>
        <v>Cafeteria</v>
      </c>
      <c r="T3128" s="8" t="str">
        <f ca="1">IFERROR(__xludf.DUMMYFUNCTION("""COMPUTED_VALUE"""),"Inside School Building")</f>
        <v>Inside School Building</v>
      </c>
      <c r="U3128" s="8" t="str">
        <f ca="1">IFERROR(__xludf.DUMMYFUNCTION("""COMPUTED_VALUE"""),"Yes")</f>
        <v>Yes</v>
      </c>
      <c r="V3128" s="8" t="str">
        <f ca="1">IFERROR(__xludf.DUMMYFUNCTION("""COMPUTED_VALUE"""),"Lunch")</f>
        <v>Lunch</v>
      </c>
      <c r="W3128" s="11">
        <f ca="1">IFERROR(__xludf.DUMMYFUNCTION("""COMPUTED_VALUE"""),0.5)</f>
        <v>0.5</v>
      </c>
      <c r="X3128" s="8">
        <f ca="1">IFERROR(__xludf.DUMMYFUNCTION("""COMPUTED_VALUE"""),8)</f>
        <v>8</v>
      </c>
      <c r="Y3128" s="12" t="str">
        <f ca="1">IFERROR(__xludf.DUMMYFUNCTION("""COMPUTED_VALUE"""),"6 gunmen chased student into cafeteria firing weapons")</f>
        <v>6 gunmen chased student into cafeteria firing weapons</v>
      </c>
      <c r="Z3128" s="12" t="str">
        <f ca="1">IFERROR(__xludf.DUMMYFUNCTION("""COMPUTED_VALUE"""),"Six different armed gunmen chased a student into the cafeteria. Student had a gun and was firing back at the group of gunmen. Multiple shots were fired in the cafeteria striking 7 people. All of the shooters fled the scene and 8 were charged with shooting"&amp;" with the intent to kill.")</f>
        <v>Six different armed gunmen chased a student into the cafeteria. Student had a gun and was firing back at the group of gunmen. Multiple shots were fired in the cafeteria striking 7 people. All of the shooters fled the scene and 8 were charged with shooting with the intent to kill.</v>
      </c>
      <c r="AA3128" s="8" t="str">
        <f ca="1">IFERROR(__xludf.DUMMYFUNCTION("""COMPUTED_VALUE"""),"Escalation of Dispute")</f>
        <v>Escalation of Dispute</v>
      </c>
      <c r="AB3128" s="8"/>
      <c r="AC3128" s="8"/>
      <c r="AD3128" s="8" t="str">
        <f ca="1">IFERROR(__xludf.DUMMYFUNCTION("""COMPUTED_VALUE"""),"Both")</f>
        <v>Both</v>
      </c>
      <c r="AE3128" s="8" t="str">
        <f ca="1">IFERROR(__xludf.DUMMYFUNCTION("""COMPUTED_VALUE"""),"Yes")</f>
        <v>Yes</v>
      </c>
      <c r="AF3128" s="8" t="str">
        <f ca="1">IFERROR(__xludf.DUMMYFUNCTION("""COMPUTED_VALUE"""),"Group of armed men fired at student")</f>
        <v>Group of armed men fired at student</v>
      </c>
      <c r="AG3128" s="8" t="str">
        <f ca="1">IFERROR(__xludf.DUMMYFUNCTION("""COMPUTED_VALUE"""),"No")</f>
        <v>No</v>
      </c>
      <c r="AH3128" s="8" t="str">
        <f ca="1">IFERROR(__xludf.DUMMYFUNCTION("""COMPUTED_VALUE"""),"No")</f>
        <v>No</v>
      </c>
      <c r="AI3128" s="8" t="str">
        <f ca="1">IFERROR(__xludf.DUMMYFUNCTION("""COMPUTED_VALUE"""),"No")</f>
        <v>No</v>
      </c>
      <c r="AJ3128" s="8" t="str">
        <f ca="1">IFERROR(__xludf.DUMMYFUNCTION("""COMPUTED_VALUE"""),"No")</f>
        <v>No</v>
      </c>
      <c r="AK3128" s="8" t="str">
        <f ca="1">IFERROR(__xludf.DUMMYFUNCTION("""COMPUTED_VALUE"""),"No")</f>
        <v>No</v>
      </c>
      <c r="AL3128" s="8" t="str">
        <f ca="1">IFERROR(__xludf.DUMMYFUNCTION("""COMPUTED_VALUE"""),"Yes")</f>
        <v>Yes</v>
      </c>
      <c r="AM3128" s="8"/>
      <c r="AN3128" s="8"/>
      <c r="AO3128" s="8" t="str">
        <f ca="1">IFERROR(__xludf.DUMMYFUNCTION("""COMPUTED_VALUE"""),"No")</f>
        <v>No</v>
      </c>
      <c r="AP3128" s="8"/>
      <c r="AQ3128" s="8" t="str">
        <f ca="1">IFERROR(__xludf.DUMMYFUNCTION("""COMPUTED_VALUE"""),"Unknown")</f>
        <v>Unknown</v>
      </c>
      <c r="AR3128" s="8" t="str">
        <f ca="1">IFERROR(__xludf.DUMMYFUNCTION("""COMPUTED_VALUE"""),"NA")</f>
        <v>NA</v>
      </c>
      <c r="AS3128" s="8" t="str">
        <f ca="1">IFERROR(__xludf.DUMMYFUNCTION("""COMPUTED_VALUE"""),"&gt;20")</f>
        <v>&gt;20</v>
      </c>
      <c r="AT3128" s="8"/>
      <c r="AU3128" s="8">
        <f ca="1">IFERROR(__xludf.DUMMYFUNCTION("""COMPUTED_VALUE"""),34.216134)</f>
        <v>34.216133999999997</v>
      </c>
      <c r="AV3128" s="8">
        <f ca="1">IFERROR(__xludf.DUMMYFUNCTION("""COMPUTED_VALUE"""),-92.054327)</f>
        <v>-92.054327000000001</v>
      </c>
      <c r="AW3128" s="8"/>
      <c r="AX3128" s="8">
        <f ca="1">IFERROR(__xludf.DUMMYFUNCTION("""COMPUTED_VALUE"""),71603)</f>
        <v>71603</v>
      </c>
    </row>
    <row r="3129" spans="1:50" ht="60" x14ac:dyDescent="0.2">
      <c r="A3129" s="8" t="str">
        <f ca="1">IFERROR(__xludf.DUMMYFUNCTION("""COMPUTED_VALUE"""),"19700323CADAL")</f>
        <v>19700323CADAL</v>
      </c>
      <c r="B3129" s="8">
        <f ca="1">IFERROR(__xludf.DUMMYFUNCTION("""COMPUTED_VALUE"""),3)</f>
        <v>3</v>
      </c>
      <c r="C3129" s="8">
        <f ca="1">IFERROR(__xludf.DUMMYFUNCTION("""COMPUTED_VALUE"""),23)</f>
        <v>23</v>
      </c>
      <c r="D3129" s="8">
        <f ca="1">IFERROR(__xludf.DUMMYFUNCTION("""COMPUTED_VALUE"""),1970)</f>
        <v>1970</v>
      </c>
      <c r="E3129" s="9">
        <f ca="1">IFERROR(__xludf.DUMMYFUNCTION("""COMPUTED_VALUE"""),25650)</f>
        <v>25650</v>
      </c>
      <c r="F3129" s="8" t="str">
        <f ca="1">IFERROR(__xludf.DUMMYFUNCTION("""COMPUTED_VALUE"""),"David Starr Jordan High School")</f>
        <v>David Starr Jordan High School</v>
      </c>
      <c r="G3129" s="8">
        <f ca="1">IFERROR(__xludf.DUMMYFUNCTION("""COMPUTED_VALUE"""),0)</f>
        <v>0</v>
      </c>
      <c r="H3129" s="8">
        <f ca="1">IFERROR(__xludf.DUMMYFUNCTION("""COMPUTED_VALUE"""),2)</f>
        <v>2</v>
      </c>
      <c r="I3129" s="8">
        <f ca="1">IFERROR(__xludf.DUMMYFUNCTION("""COMPUTED_VALUE"""),2)</f>
        <v>2</v>
      </c>
      <c r="J3129" s="8">
        <f ca="1">IFERROR(__xludf.DUMMYFUNCTION("""COMPUTED_VALUE"""),0)</f>
        <v>0</v>
      </c>
      <c r="K3129" s="10" t="str">
        <f ca="1">IFERROR(__xludf.DUMMYFUNCTION("""COMPUTED_VALUE"""),"https://www.newspapers.com/image/23768017/?terms=school%2Bshooting")</f>
        <v>https://www.newspapers.com/image/23768017/?terms=school%2Bshooting</v>
      </c>
      <c r="L3129" s="8"/>
      <c r="M3129" s="8"/>
      <c r="N3129" s="8">
        <f ca="1">IFERROR(__xludf.DUMMYFUNCTION("""COMPUTED_VALUE"""),2)</f>
        <v>2</v>
      </c>
      <c r="O3129" s="8" t="str">
        <f ca="1">IFERROR(__xludf.DUMMYFUNCTION("""COMPUTED_VALUE"""),"Spring")</f>
        <v>Spring</v>
      </c>
      <c r="P3129" s="8" t="str">
        <f ca="1">IFERROR(__xludf.DUMMYFUNCTION("""COMPUTED_VALUE"""),"Long Beach")</f>
        <v>Long Beach</v>
      </c>
      <c r="Q3129" s="8" t="str">
        <f ca="1">IFERROR(__xludf.DUMMYFUNCTION("""COMPUTED_VALUE"""),"CA")</f>
        <v>CA</v>
      </c>
      <c r="R3129" s="8" t="str">
        <f ca="1">IFERROR(__xludf.DUMMYFUNCTION("""COMPUTED_VALUE"""),"High")</f>
        <v>High</v>
      </c>
      <c r="S3129" s="8" t="str">
        <f ca="1">IFERROR(__xludf.DUMMYFUNCTION("""COMPUTED_VALUE"""),"Beside Building")</f>
        <v>Beside Building</v>
      </c>
      <c r="T3129" s="8" t="str">
        <f ca="1">IFERROR(__xludf.DUMMYFUNCTION("""COMPUTED_VALUE"""),"Outside on School Property")</f>
        <v>Outside on School Property</v>
      </c>
      <c r="U3129" s="8" t="str">
        <f ca="1">IFERROR(__xludf.DUMMYFUNCTION("""COMPUTED_VALUE"""),"No")</f>
        <v>No</v>
      </c>
      <c r="V3129" s="8" t="str">
        <f ca="1">IFERROR(__xludf.DUMMYFUNCTION("""COMPUTED_VALUE"""),"Night")</f>
        <v>Night</v>
      </c>
      <c r="W3129" s="8"/>
      <c r="X3129" s="8"/>
      <c r="Y3129" s="12" t="str">
        <f ca="1">IFERROR(__xludf.DUMMYFUNCTION("""COMPUTED_VALUE"""),"Teens fired at security guard who returned fire injuring one")</f>
        <v>Teens fired at security guard who returned fire injuring one</v>
      </c>
      <c r="Z3129" s="12" t="str">
        <f ca="1">IFERROR(__xludf.DUMMYFUNCTION("""COMPUTED_VALUE"""),"Group of teens fired shots at the night time security guard who fired back injuring one of them. No motive known.")</f>
        <v>Group of teens fired shots at the night time security guard who fired back injuring one of them. No motive known.</v>
      </c>
      <c r="AA3129" s="8" t="str">
        <f ca="1">IFERROR(__xludf.DUMMYFUNCTION("""COMPUTED_VALUE"""),"Illegal Activity")</f>
        <v>Illegal Activity</v>
      </c>
      <c r="AB3129" s="8"/>
      <c r="AC3129" s="8"/>
      <c r="AD3129" s="8" t="str">
        <f ca="1">IFERROR(__xludf.DUMMYFUNCTION("""COMPUTED_VALUE"""),"Neither")</f>
        <v>Neither</v>
      </c>
      <c r="AE3129" s="8" t="str">
        <f ca="1">IFERROR(__xludf.DUMMYFUNCTION("""COMPUTED_VALUE"""),"Yes")</f>
        <v>Yes</v>
      </c>
      <c r="AF3129" s="8" t="str">
        <f ca="1">IFERROR(__xludf.DUMMYFUNCTION("""COMPUTED_VALUE"""),"Group of teens")</f>
        <v>Group of teens</v>
      </c>
      <c r="AG3129" s="8" t="str">
        <f ca="1">IFERROR(__xludf.DUMMYFUNCTION("""COMPUTED_VALUE"""),"No")</f>
        <v>No</v>
      </c>
      <c r="AH3129" s="8" t="str">
        <f ca="1">IFERROR(__xludf.DUMMYFUNCTION("""COMPUTED_VALUE"""),"No")</f>
        <v>No</v>
      </c>
      <c r="AI3129" s="8" t="str">
        <f ca="1">IFERROR(__xludf.DUMMYFUNCTION("""COMPUTED_VALUE"""),"No")</f>
        <v>No</v>
      </c>
      <c r="AJ3129" s="8" t="str">
        <f ca="1">IFERROR(__xludf.DUMMYFUNCTION("""COMPUTED_VALUE"""),"No")</f>
        <v>No</v>
      </c>
      <c r="AK3129" s="8" t="str">
        <f ca="1">IFERROR(__xludf.DUMMYFUNCTION("""COMPUTED_VALUE"""),"No")</f>
        <v>No</v>
      </c>
      <c r="AL3129" s="8" t="str">
        <f ca="1">IFERROR(__xludf.DUMMYFUNCTION("""COMPUTED_VALUE"""),"No")</f>
        <v>No</v>
      </c>
      <c r="AM3129" s="8"/>
      <c r="AN3129" s="8"/>
      <c r="AO3129" s="8" t="str">
        <f ca="1">IFERROR(__xludf.DUMMYFUNCTION("""COMPUTED_VALUE"""),"No")</f>
        <v>No</v>
      </c>
      <c r="AP3129" s="8"/>
      <c r="AQ3129" s="8" t="str">
        <f ca="1">IFERROR(__xludf.DUMMYFUNCTION("""COMPUTED_VALUE"""),"Unknown")</f>
        <v>Unknown</v>
      </c>
      <c r="AR3129" s="8" t="str">
        <f ca="1">IFERROR(__xludf.DUMMYFUNCTION("""COMPUTED_VALUE"""),"NA")</f>
        <v>NA</v>
      </c>
      <c r="AS3129" s="8" t="str">
        <f ca="1">IFERROR(__xludf.DUMMYFUNCTION("""COMPUTED_VALUE"""),"&lt;10")</f>
        <v>&lt;10</v>
      </c>
      <c r="AT3129" s="8"/>
      <c r="AU3129" s="8">
        <f ca="1">IFERROR(__xludf.DUMMYFUNCTION("""COMPUTED_VALUE"""),33.8712)</f>
        <v>33.871200000000002</v>
      </c>
      <c r="AV3129" s="8">
        <f ca="1">IFERROR(__xludf.DUMMYFUNCTION("""COMPUTED_VALUE"""),-118.184265)</f>
        <v>-118.184265</v>
      </c>
      <c r="AW3129" s="8"/>
      <c r="AX3129" s="8">
        <f ca="1">IFERROR(__xludf.DUMMYFUNCTION("""COMPUTED_VALUE"""),90805)</f>
        <v>90805</v>
      </c>
    </row>
    <row r="3130" spans="1:50" ht="45" x14ac:dyDescent="0.2">
      <c r="A3130" s="8" t="str">
        <f ca="1">IFERROR(__xludf.DUMMYFUNCTION("""COMPUTED_VALUE"""),"19700206OHJOC")</f>
        <v>19700206OHJOC</v>
      </c>
      <c r="B3130" s="8">
        <f ca="1">IFERROR(__xludf.DUMMYFUNCTION("""COMPUTED_VALUE"""),2)</f>
        <v>2</v>
      </c>
      <c r="C3130" s="8">
        <f ca="1">IFERROR(__xludf.DUMMYFUNCTION("""COMPUTED_VALUE"""),6)</f>
        <v>6</v>
      </c>
      <c r="D3130" s="8">
        <f ca="1">IFERROR(__xludf.DUMMYFUNCTION("""COMPUTED_VALUE"""),1970)</f>
        <v>1970</v>
      </c>
      <c r="E3130" s="9">
        <f ca="1">IFERROR(__xludf.DUMMYFUNCTION("""COMPUTED_VALUE"""),25605)</f>
        <v>25605</v>
      </c>
      <c r="F3130" s="8" t="str">
        <f ca="1">IFERROR(__xludf.DUMMYFUNCTION("""COMPUTED_VALUE"""),"John F. Kennedy High School")</f>
        <v>John F. Kennedy High School</v>
      </c>
      <c r="G3130" s="8">
        <f ca="1">IFERROR(__xludf.DUMMYFUNCTION("""COMPUTED_VALUE"""),0)</f>
        <v>0</v>
      </c>
      <c r="H3130" s="8">
        <f ca="1">IFERROR(__xludf.DUMMYFUNCTION("""COMPUTED_VALUE"""),1)</f>
        <v>1</v>
      </c>
      <c r="I3130" s="8">
        <f ca="1">IFERROR(__xludf.DUMMYFUNCTION("""COMPUTED_VALUE"""),1)</f>
        <v>1</v>
      </c>
      <c r="J3130" s="8">
        <f ca="1">IFERROR(__xludf.DUMMYFUNCTION("""COMPUTED_VALUE"""),0)</f>
        <v>0</v>
      </c>
      <c r="K3130" s="10" t="str">
        <f ca="1">IFERROR(__xludf.DUMMYFUNCTION("""COMPUTED_VALUE"""),"https://www.newspapers.com/image/18059538/?terms=school%2Bshooting")</f>
        <v>https://www.newspapers.com/image/18059538/?terms=school%2Bshooting</v>
      </c>
      <c r="L3130" s="8"/>
      <c r="M3130" s="8"/>
      <c r="N3130" s="8">
        <f ca="1">IFERROR(__xludf.DUMMYFUNCTION("""COMPUTED_VALUE"""),2)</f>
        <v>2</v>
      </c>
      <c r="O3130" s="8" t="str">
        <f ca="1">IFERROR(__xludf.DUMMYFUNCTION("""COMPUTED_VALUE"""),"Winter")</f>
        <v>Winter</v>
      </c>
      <c r="P3130" s="8" t="str">
        <f ca="1">IFERROR(__xludf.DUMMYFUNCTION("""COMPUTED_VALUE"""),"Cleveland")</f>
        <v>Cleveland</v>
      </c>
      <c r="Q3130" s="8" t="str">
        <f ca="1">IFERROR(__xludf.DUMMYFUNCTION("""COMPUTED_VALUE"""),"OH")</f>
        <v>OH</v>
      </c>
      <c r="R3130" s="8" t="str">
        <f ca="1">IFERROR(__xludf.DUMMYFUNCTION("""COMPUTED_VALUE"""),"High")</f>
        <v>High</v>
      </c>
      <c r="S3130" s="8" t="str">
        <f ca="1">IFERROR(__xludf.DUMMYFUNCTION("""COMPUTED_VALUE"""),"Hallway")</f>
        <v>Hallway</v>
      </c>
      <c r="T3130" s="8" t="str">
        <f ca="1">IFERROR(__xludf.DUMMYFUNCTION("""COMPUTED_VALUE"""),"Inside School Building")</f>
        <v>Inside School Building</v>
      </c>
      <c r="U3130" s="8" t="str">
        <f ca="1">IFERROR(__xludf.DUMMYFUNCTION("""COMPUTED_VALUE"""),"Yes")</f>
        <v>Yes</v>
      </c>
      <c r="V3130" s="8"/>
      <c r="W3130" s="8"/>
      <c r="X3130" s="8">
        <f ca="1">IFERROR(__xludf.DUMMYFUNCTION("""COMPUTED_VALUE"""),1)</f>
        <v>1</v>
      </c>
      <c r="Y3130" s="12" t="str">
        <f ca="1">IFERROR(__xludf.DUMMYFUNCTION("""COMPUTED_VALUE"""),"Argument in school hallway escalated into shooting")</f>
        <v>Argument in school hallway escalated into shooting</v>
      </c>
      <c r="Z3130" s="12" t="str">
        <f ca="1">IFERROR(__xludf.DUMMYFUNCTION("""COMPUTED_VALUE"""),"Argument between shooter and victim escalated into shooting in school hallway.")</f>
        <v>Argument between shooter and victim escalated into shooting in school hallway.</v>
      </c>
      <c r="AA3130" s="8" t="str">
        <f ca="1">IFERROR(__xludf.DUMMYFUNCTION("""COMPUTED_VALUE"""),"Escalation of Dispute")</f>
        <v>Escalation of Dispute</v>
      </c>
      <c r="AB3130" s="8"/>
      <c r="AC3130" s="8"/>
      <c r="AD3130" s="8" t="str">
        <f ca="1">IFERROR(__xludf.DUMMYFUNCTION("""COMPUTED_VALUE"""),"Victims Targeted")</f>
        <v>Victims Targeted</v>
      </c>
      <c r="AE3130" s="8" t="str">
        <f ca="1">IFERROR(__xludf.DUMMYFUNCTION("""COMPUTED_VALUE"""),"No")</f>
        <v>No</v>
      </c>
      <c r="AF3130" s="8"/>
      <c r="AG3130" s="8" t="str">
        <f ca="1">IFERROR(__xludf.DUMMYFUNCTION("""COMPUTED_VALUE"""),"No")</f>
        <v>No</v>
      </c>
      <c r="AH3130" s="8" t="str">
        <f ca="1">IFERROR(__xludf.DUMMYFUNCTION("""COMPUTED_VALUE"""),"No")</f>
        <v>No</v>
      </c>
      <c r="AI3130" s="8" t="str">
        <f ca="1">IFERROR(__xludf.DUMMYFUNCTION("""COMPUTED_VALUE"""),"No")</f>
        <v>No</v>
      </c>
      <c r="AJ3130" s="8" t="str">
        <f ca="1">IFERROR(__xludf.DUMMYFUNCTION("""COMPUTED_VALUE"""),"No")</f>
        <v>No</v>
      </c>
      <c r="AK3130" s="8" t="str">
        <f ca="1">IFERROR(__xludf.DUMMYFUNCTION("""COMPUTED_VALUE"""),"No")</f>
        <v>No</v>
      </c>
      <c r="AL3130" s="8" t="str">
        <f ca="1">IFERROR(__xludf.DUMMYFUNCTION("""COMPUTED_VALUE"""),"No")</f>
        <v>No</v>
      </c>
      <c r="AM3130" s="8"/>
      <c r="AN3130" s="8"/>
      <c r="AO3130" s="8" t="str">
        <f ca="1">IFERROR(__xludf.DUMMYFUNCTION("""COMPUTED_VALUE"""),"No")</f>
        <v>No</v>
      </c>
      <c r="AP3130" s="8"/>
      <c r="AQ3130" s="8" t="str">
        <f ca="1">IFERROR(__xludf.DUMMYFUNCTION("""COMPUTED_VALUE"""),"Unknown")</f>
        <v>Unknown</v>
      </c>
      <c r="AR3130" s="8" t="str">
        <f ca="1">IFERROR(__xludf.DUMMYFUNCTION("""COMPUTED_VALUE"""),"NA")</f>
        <v>NA</v>
      </c>
      <c r="AS3130" s="8">
        <f ca="1">IFERROR(__xludf.DUMMYFUNCTION("""COMPUTED_VALUE"""),4)</f>
        <v>4</v>
      </c>
      <c r="AT3130" s="8"/>
      <c r="AU3130" s="8">
        <f ca="1">IFERROR(__xludf.DUMMYFUNCTION("""COMPUTED_VALUE"""),39.065024)</f>
        <v>39.065024000000001</v>
      </c>
      <c r="AV3130" s="8">
        <f ca="1">IFERROR(__xludf.DUMMYFUNCTION("""COMPUTED_VALUE"""),-77.038242)</f>
        <v>-77.038241999999997</v>
      </c>
      <c r="AW3130" s="8"/>
      <c r="AX3130" s="8">
        <f ca="1">IFERROR(__xludf.DUMMYFUNCTION("""COMPUTED_VALUE"""),20902)</f>
        <v>20902</v>
      </c>
    </row>
    <row r="3131" spans="1:50" ht="60" x14ac:dyDescent="0.2">
      <c r="A3131" s="8" t="str">
        <f ca="1">IFERROR(__xludf.DUMMYFUNCTION("""COMPUTED_VALUE"""),"19700105DCUNW")</f>
        <v>19700105DCUNW</v>
      </c>
      <c r="B3131" s="8">
        <f ca="1">IFERROR(__xludf.DUMMYFUNCTION("""COMPUTED_VALUE"""),1)</f>
        <v>1</v>
      </c>
      <c r="C3131" s="8">
        <f ca="1">IFERROR(__xludf.DUMMYFUNCTION("""COMPUTED_VALUE"""),5)</f>
        <v>5</v>
      </c>
      <c r="D3131" s="8">
        <f ca="1">IFERROR(__xludf.DUMMYFUNCTION("""COMPUTED_VALUE"""),1970)</f>
        <v>1970</v>
      </c>
      <c r="E3131" s="9">
        <f ca="1">IFERROR(__xludf.DUMMYFUNCTION("""COMPUTED_VALUE"""),25573)</f>
        <v>25573</v>
      </c>
      <c r="F3131" s="8" t="str">
        <f ca="1">IFERROR(__xludf.DUMMYFUNCTION("""COMPUTED_VALUE"""),"Unnamed High School")</f>
        <v>Unnamed High School</v>
      </c>
      <c r="G3131" s="8">
        <f ca="1">IFERROR(__xludf.DUMMYFUNCTION("""COMPUTED_VALUE"""),0)</f>
        <v>0</v>
      </c>
      <c r="H3131" s="8">
        <f ca="1">IFERROR(__xludf.DUMMYFUNCTION("""COMPUTED_VALUE"""),0)</f>
        <v>0</v>
      </c>
      <c r="I3131" s="8">
        <f ca="1">IFERROR(__xludf.DUMMYFUNCTION("""COMPUTED_VALUE"""),0)</f>
        <v>0</v>
      </c>
      <c r="J3131" s="8">
        <f ca="1">IFERROR(__xludf.DUMMYFUNCTION("""COMPUTED_VALUE"""),0)</f>
        <v>0</v>
      </c>
      <c r="K3131" s="10" t="str">
        <f ca="1">IFERROR(__xludf.DUMMYFUNCTION("""COMPUTED_VALUE"""),"https://www.newspapers.com/image/156467116/?terms=school%2Bshooting")</f>
        <v>https://www.newspapers.com/image/156467116/?terms=school%2Bshooting</v>
      </c>
      <c r="L3131" s="8"/>
      <c r="M3131" s="8"/>
      <c r="N3131" s="8">
        <f ca="1">IFERROR(__xludf.DUMMYFUNCTION("""COMPUTED_VALUE"""),2)</f>
        <v>2</v>
      </c>
      <c r="O3131" s="8" t="str">
        <f ca="1">IFERROR(__xludf.DUMMYFUNCTION("""COMPUTED_VALUE"""),"Winter")</f>
        <v>Winter</v>
      </c>
      <c r="P3131" s="8" t="str">
        <f ca="1">IFERROR(__xludf.DUMMYFUNCTION("""COMPUTED_VALUE"""),"Washington")</f>
        <v>Washington</v>
      </c>
      <c r="Q3131" s="8" t="str">
        <f ca="1">IFERROR(__xludf.DUMMYFUNCTION("""COMPUTED_VALUE"""),"DC")</f>
        <v>DC</v>
      </c>
      <c r="R3131" s="8" t="str">
        <f ca="1">IFERROR(__xludf.DUMMYFUNCTION("""COMPUTED_VALUE"""),"High")</f>
        <v>High</v>
      </c>
      <c r="S3131" s="8" t="str">
        <f ca="1">IFERROR(__xludf.DUMMYFUNCTION("""COMPUTED_VALUE"""),"Playground")</f>
        <v>Playground</v>
      </c>
      <c r="T3131" s="8" t="str">
        <f ca="1">IFERROR(__xludf.DUMMYFUNCTION("""COMPUTED_VALUE"""),"Outside on School Property")</f>
        <v>Outside on School Property</v>
      </c>
      <c r="U3131" s="8" t="str">
        <f ca="1">IFERROR(__xludf.DUMMYFUNCTION("""COMPUTED_VALUE"""),"Yes")</f>
        <v>Yes</v>
      </c>
      <c r="V3131" s="8"/>
      <c r="W3131" s="8"/>
      <c r="X3131" s="8">
        <f ca="1">IFERROR(__xludf.DUMMYFUNCTION("""COMPUTED_VALUE"""),1)</f>
        <v>1</v>
      </c>
      <c r="Y3131" s="12" t="str">
        <f ca="1">IFERROR(__xludf.DUMMYFUNCTION("""COMPUTED_VALUE"""),"Student shot at twice during attempted robbery on playground")</f>
        <v>Student shot at twice during attempted robbery on playground</v>
      </c>
      <c r="Z3131" s="12" t="str">
        <f ca="1">IFERROR(__xludf.DUMMYFUNCTION("""COMPUTED_VALUE"""),"Group of 10 teens attempted to rob a 16 year-old male student on school playground. When victim ran, unknown teen suspect fired 2 shots that missed. Shooter fled the scene.")</f>
        <v>Group of 10 teens attempted to rob a 16 year-old male student on school playground. When victim ran, unknown teen suspect fired 2 shots that missed. Shooter fled the scene.</v>
      </c>
      <c r="AA3131" s="8" t="str">
        <f ca="1">IFERROR(__xludf.DUMMYFUNCTION("""COMPUTED_VALUE"""),"Illegal Activity")</f>
        <v>Illegal Activity</v>
      </c>
      <c r="AB3131" s="8"/>
      <c r="AC3131" s="8"/>
      <c r="AD3131" s="8" t="str">
        <f ca="1">IFERROR(__xludf.DUMMYFUNCTION("""COMPUTED_VALUE"""),"Victims Targeted")</f>
        <v>Victims Targeted</v>
      </c>
      <c r="AE3131" s="8" t="str">
        <f ca="1">IFERROR(__xludf.DUMMYFUNCTION("""COMPUTED_VALUE"""),"Yes")</f>
        <v>Yes</v>
      </c>
      <c r="AF3131" s="8" t="str">
        <f ca="1">IFERROR(__xludf.DUMMYFUNCTION("""COMPUTED_VALUE"""),"Group of 10 teens")</f>
        <v>Group of 10 teens</v>
      </c>
      <c r="AG3131" s="8" t="str">
        <f ca="1">IFERROR(__xludf.DUMMYFUNCTION("""COMPUTED_VALUE"""),"No")</f>
        <v>No</v>
      </c>
      <c r="AH3131" s="8" t="str">
        <f ca="1">IFERROR(__xludf.DUMMYFUNCTION("""COMPUTED_VALUE"""),"No")</f>
        <v>No</v>
      </c>
      <c r="AI3131" s="8" t="str">
        <f ca="1">IFERROR(__xludf.DUMMYFUNCTION("""COMPUTED_VALUE"""),"No")</f>
        <v>No</v>
      </c>
      <c r="AJ3131" s="8" t="str">
        <f ca="1">IFERROR(__xludf.DUMMYFUNCTION("""COMPUTED_VALUE"""),"No")</f>
        <v>No</v>
      </c>
      <c r="AK3131" s="8" t="str">
        <f ca="1">IFERROR(__xludf.DUMMYFUNCTION("""COMPUTED_VALUE"""),"No")</f>
        <v>No</v>
      </c>
      <c r="AL3131" s="8" t="str">
        <f ca="1">IFERROR(__xludf.DUMMYFUNCTION("""COMPUTED_VALUE"""),"No")</f>
        <v>No</v>
      </c>
      <c r="AM3131" s="8"/>
      <c r="AN3131" s="8"/>
      <c r="AO3131" s="8" t="str">
        <f ca="1">IFERROR(__xludf.DUMMYFUNCTION("""COMPUTED_VALUE"""),"No")</f>
        <v>No</v>
      </c>
      <c r="AP3131" s="8"/>
      <c r="AQ3131" s="8" t="str">
        <f ca="1">IFERROR(__xludf.DUMMYFUNCTION("""COMPUTED_VALUE"""),"Unknown")</f>
        <v>Unknown</v>
      </c>
      <c r="AR3131" s="8" t="str">
        <f ca="1">IFERROR(__xludf.DUMMYFUNCTION("""COMPUTED_VALUE"""),"NA")</f>
        <v>NA</v>
      </c>
      <c r="AS3131" s="8">
        <f ca="1">IFERROR(__xludf.DUMMYFUNCTION("""COMPUTED_VALUE"""),2)</f>
        <v>2</v>
      </c>
      <c r="AT3131" s="8"/>
      <c r="AU3131" s="8">
        <f ca="1">IFERROR(__xludf.DUMMYFUNCTION("""COMPUTED_VALUE"""),38.9071923)</f>
        <v>38.907192299999998</v>
      </c>
      <c r="AV3131" s="8">
        <f ca="1">IFERROR(__xludf.DUMMYFUNCTION("""COMPUTED_VALUE"""),-77.0368707)</f>
        <v>-77.036870699999994</v>
      </c>
      <c r="AW3131" s="8"/>
      <c r="AX3131" s="8">
        <f ca="1">IFERROR(__xludf.DUMMYFUNCTION("""COMPUTED_VALUE"""),20036)</f>
        <v>20036</v>
      </c>
    </row>
    <row r="3132" spans="1:50" ht="45" x14ac:dyDescent="0.2">
      <c r="A3132" s="8" t="str">
        <f ca="1">IFERROR(__xludf.DUMMYFUNCTION("""COMPUTED_VALUE"""),"19700105DCSOW")</f>
        <v>19700105DCSOW</v>
      </c>
      <c r="B3132" s="8">
        <f ca="1">IFERROR(__xludf.DUMMYFUNCTION("""COMPUTED_VALUE"""),1)</f>
        <v>1</v>
      </c>
      <c r="C3132" s="8">
        <f ca="1">IFERROR(__xludf.DUMMYFUNCTION("""COMPUTED_VALUE"""),5)</f>
        <v>5</v>
      </c>
      <c r="D3132" s="8">
        <f ca="1">IFERROR(__xludf.DUMMYFUNCTION("""COMPUTED_VALUE"""),1970)</f>
        <v>1970</v>
      </c>
      <c r="E3132" s="9">
        <f ca="1">IFERROR(__xludf.DUMMYFUNCTION("""COMPUTED_VALUE"""),25573)</f>
        <v>25573</v>
      </c>
      <c r="F3132" s="8" t="str">
        <f ca="1">IFERROR(__xludf.DUMMYFUNCTION("""COMPUTED_VALUE"""),"Sousa Junior High")</f>
        <v>Sousa Junior High</v>
      </c>
      <c r="G3132" s="8">
        <f ca="1">IFERROR(__xludf.DUMMYFUNCTION("""COMPUTED_VALUE"""),0)</f>
        <v>0</v>
      </c>
      <c r="H3132" s="8">
        <f ca="1">IFERROR(__xludf.DUMMYFUNCTION("""COMPUTED_VALUE"""),1)</f>
        <v>1</v>
      </c>
      <c r="I3132" s="8">
        <f ca="1">IFERROR(__xludf.DUMMYFUNCTION("""COMPUTED_VALUE"""),1)</f>
        <v>1</v>
      </c>
      <c r="J3132" s="8">
        <f ca="1">IFERROR(__xludf.DUMMYFUNCTION("""COMPUTED_VALUE"""),0)</f>
        <v>0</v>
      </c>
      <c r="K3132" s="8" t="str">
        <f ca="1">IFERROR(__xludf.DUMMYFUNCTION("""COMPUTED_VALUE"""),"https://news.google.com/newspapers?id=AfRYAAAAIBAJ&amp;pg=3025,1894998 https://www.newspapers.com/image/156467116/?terms=school%2Bshooting")</f>
        <v>https://news.google.com/newspapers?id=AfRYAAAAIBAJ&amp;pg=3025,1894998 https://www.newspapers.com/image/156467116/?terms=school%2Bshooting</v>
      </c>
      <c r="L3132" s="8"/>
      <c r="M3132" s="8"/>
      <c r="N3132" s="8">
        <f ca="1">IFERROR(__xludf.DUMMYFUNCTION("""COMPUTED_VALUE"""),3)</f>
        <v>3</v>
      </c>
      <c r="O3132" s="8" t="str">
        <f ca="1">IFERROR(__xludf.DUMMYFUNCTION("""COMPUTED_VALUE"""),"Winter")</f>
        <v>Winter</v>
      </c>
      <c r="P3132" s="8" t="str">
        <f ca="1">IFERROR(__xludf.DUMMYFUNCTION("""COMPUTED_VALUE"""),"Washington")</f>
        <v>Washington</v>
      </c>
      <c r="Q3132" s="8" t="str">
        <f ca="1">IFERROR(__xludf.DUMMYFUNCTION("""COMPUTED_VALUE"""),"DC")</f>
        <v>DC</v>
      </c>
      <c r="R3132" s="8" t="str">
        <f ca="1">IFERROR(__xludf.DUMMYFUNCTION("""COMPUTED_VALUE"""),"Junior High")</f>
        <v>Junior High</v>
      </c>
      <c r="S3132" s="8" t="str">
        <f ca="1">IFERROR(__xludf.DUMMYFUNCTION("""COMPUTED_VALUE"""),"Hallway")</f>
        <v>Hallway</v>
      </c>
      <c r="T3132" s="8" t="str">
        <f ca="1">IFERROR(__xludf.DUMMYFUNCTION("""COMPUTED_VALUE"""),"Inside School Building")</f>
        <v>Inside School Building</v>
      </c>
      <c r="U3132" s="8" t="str">
        <f ca="1">IFERROR(__xludf.DUMMYFUNCTION("""COMPUTED_VALUE"""),"Yes")</f>
        <v>Yes</v>
      </c>
      <c r="V3132" s="8"/>
      <c r="W3132" s="8"/>
      <c r="X3132" s="8">
        <f ca="1">IFERROR(__xludf.DUMMYFUNCTION("""COMPUTED_VALUE"""),1)</f>
        <v>1</v>
      </c>
      <c r="Y3132" s="12" t="str">
        <f ca="1">IFERROR(__xludf.DUMMYFUNCTION("""COMPUTED_VALUE"""),"Occurred during horseplay in the school")</f>
        <v>Occurred during horseplay in the school</v>
      </c>
      <c r="Z3132" s="12" t="str">
        <f ca="1">IFERROR(__xludf.DUMMYFUNCTION("""COMPUTED_VALUE"""),"14 year-old male student shot during ""horseplay"" in the school hallway. Friend of the victim who fired the gun surrendered to police.")</f>
        <v>14 year-old male student shot during "horseplay" in the school hallway. Friend of the victim who fired the gun surrendered to police.</v>
      </c>
      <c r="AA3132" s="8" t="str">
        <f ca="1">IFERROR(__xludf.DUMMYFUNCTION("""COMPUTED_VALUE"""),"Accidental")</f>
        <v>Accidental</v>
      </c>
      <c r="AB3132" s="8"/>
      <c r="AC3132" s="8"/>
      <c r="AD3132" s="8" t="str">
        <f ca="1">IFERROR(__xludf.DUMMYFUNCTION("""COMPUTED_VALUE"""),"Random Shooting")</f>
        <v>Random Shooting</v>
      </c>
      <c r="AE3132" s="8" t="str">
        <f ca="1">IFERROR(__xludf.DUMMYFUNCTION("""COMPUTED_VALUE"""),"No")</f>
        <v>No</v>
      </c>
      <c r="AF3132" s="8"/>
      <c r="AG3132" s="8" t="str">
        <f ca="1">IFERROR(__xludf.DUMMYFUNCTION("""COMPUTED_VALUE"""),"No")</f>
        <v>No</v>
      </c>
      <c r="AH3132" s="8" t="str">
        <f ca="1">IFERROR(__xludf.DUMMYFUNCTION("""COMPUTED_VALUE"""),"No")</f>
        <v>No</v>
      </c>
      <c r="AI3132" s="8" t="str">
        <f ca="1">IFERROR(__xludf.DUMMYFUNCTION("""COMPUTED_VALUE"""),"No")</f>
        <v>No</v>
      </c>
      <c r="AJ3132" s="8" t="str">
        <f ca="1">IFERROR(__xludf.DUMMYFUNCTION("""COMPUTED_VALUE"""),"No")</f>
        <v>No</v>
      </c>
      <c r="AK3132" s="8" t="str">
        <f ca="1">IFERROR(__xludf.DUMMYFUNCTION("""COMPUTED_VALUE"""),"No")</f>
        <v>No</v>
      </c>
      <c r="AL3132" s="8" t="str">
        <f ca="1">IFERROR(__xludf.DUMMYFUNCTION("""COMPUTED_VALUE"""),"No")</f>
        <v>No</v>
      </c>
      <c r="AM3132" s="8"/>
      <c r="AN3132" s="8"/>
      <c r="AO3132" s="8" t="str">
        <f ca="1">IFERROR(__xludf.DUMMYFUNCTION("""COMPUTED_VALUE"""),"No")</f>
        <v>No</v>
      </c>
      <c r="AP3132" s="8" t="str">
        <f ca="1">IFERROR(__xludf.DUMMYFUNCTION("""COMPUTED_VALUE"""),"No")</f>
        <v>No</v>
      </c>
      <c r="AQ3132" s="8" t="str">
        <f ca="1">IFERROR(__xludf.DUMMYFUNCTION("""COMPUTED_VALUE"""),"None")</f>
        <v>None</v>
      </c>
      <c r="AR3132" s="8" t="str">
        <f ca="1">IFERROR(__xludf.DUMMYFUNCTION("""COMPUTED_VALUE"""),"NA")</f>
        <v>NA</v>
      </c>
      <c r="AS3132" s="8">
        <f ca="1">IFERROR(__xludf.DUMMYFUNCTION("""COMPUTED_VALUE"""),1)</f>
        <v>1</v>
      </c>
      <c r="AT3132" s="8"/>
      <c r="AU3132" s="8">
        <f ca="1">IFERROR(__xludf.DUMMYFUNCTION("""COMPUTED_VALUE"""),38.883936)</f>
        <v>38.883935999999999</v>
      </c>
      <c r="AV3132" s="8">
        <f ca="1">IFERROR(__xludf.DUMMYFUNCTION("""COMPUTED_VALUE"""),-76.953036)</f>
        <v>-76.953035999999997</v>
      </c>
      <c r="AW3132" s="8"/>
      <c r="AX3132" s="8">
        <f ca="1">IFERROR(__xludf.DUMMYFUNCTION("""COMPUTED_VALUE"""),20019)</f>
        <v>20019</v>
      </c>
    </row>
    <row r="3133" spans="1:50" ht="105" x14ac:dyDescent="0.2">
      <c r="A3133" s="8" t="str">
        <f ca="1">IFERROR(__xludf.DUMMYFUNCTION("""COMPUTED_VALUE"""),"19700105DCHIW")</f>
        <v>19700105DCHIW</v>
      </c>
      <c r="B3133" s="8">
        <f ca="1">IFERROR(__xludf.DUMMYFUNCTION("""COMPUTED_VALUE"""),1)</f>
        <v>1</v>
      </c>
      <c r="C3133" s="8">
        <f ca="1">IFERROR(__xludf.DUMMYFUNCTION("""COMPUTED_VALUE"""),5)</f>
        <v>5</v>
      </c>
      <c r="D3133" s="8">
        <f ca="1">IFERROR(__xludf.DUMMYFUNCTION("""COMPUTED_VALUE"""),1970)</f>
        <v>1970</v>
      </c>
      <c r="E3133" s="9">
        <f ca="1">IFERROR(__xludf.DUMMYFUNCTION("""COMPUTED_VALUE"""),25573)</f>
        <v>25573</v>
      </c>
      <c r="F3133" s="8" t="str">
        <f ca="1">IFERROR(__xludf.DUMMYFUNCTION("""COMPUTED_VALUE"""),"Hine Junior High School")</f>
        <v>Hine Junior High School</v>
      </c>
      <c r="G3133" s="8">
        <f ca="1">IFERROR(__xludf.DUMMYFUNCTION("""COMPUTED_VALUE"""),1)</f>
        <v>1</v>
      </c>
      <c r="H3133" s="8">
        <f ca="1">IFERROR(__xludf.DUMMYFUNCTION("""COMPUTED_VALUE"""),0)</f>
        <v>0</v>
      </c>
      <c r="I3133" s="8">
        <f ca="1">IFERROR(__xludf.DUMMYFUNCTION("""COMPUTED_VALUE"""),1)</f>
        <v>1</v>
      </c>
      <c r="J3133" s="8">
        <f ca="1">IFERROR(__xludf.DUMMYFUNCTION("""COMPUTED_VALUE"""),0)</f>
        <v>0</v>
      </c>
      <c r="K3133" s="10" t="str">
        <f ca="1">IFERROR(__xludf.DUMMYFUNCTION("""COMPUTED_VALUE"""),"https://news.google.com/newspapers?id=AfRYAAAAIBAJ&amp;pg=3025,1894998")</f>
        <v>https://news.google.com/newspapers?id=AfRYAAAAIBAJ&amp;pg=3025,1894998</v>
      </c>
      <c r="L3133" s="8"/>
      <c r="M3133" s="8"/>
      <c r="N3133" s="8">
        <f ca="1">IFERROR(__xludf.DUMMYFUNCTION("""COMPUTED_VALUE"""),3)</f>
        <v>3</v>
      </c>
      <c r="O3133" s="8" t="str">
        <f ca="1">IFERROR(__xludf.DUMMYFUNCTION("""COMPUTED_VALUE"""),"Winter")</f>
        <v>Winter</v>
      </c>
      <c r="P3133" s="8" t="str">
        <f ca="1">IFERROR(__xludf.DUMMYFUNCTION("""COMPUTED_VALUE"""),"Washington")</f>
        <v>Washington</v>
      </c>
      <c r="Q3133" s="8" t="str">
        <f ca="1">IFERROR(__xludf.DUMMYFUNCTION("""COMPUTED_VALUE"""),"DC")</f>
        <v>DC</v>
      </c>
      <c r="R3133" s="8" t="str">
        <f ca="1">IFERROR(__xludf.DUMMYFUNCTION("""COMPUTED_VALUE"""),"High")</f>
        <v>High</v>
      </c>
      <c r="S3133" s="8" t="str">
        <f ca="1">IFERROR(__xludf.DUMMYFUNCTION("""COMPUTED_VALUE"""),"Inside School Building")</f>
        <v>Inside School Building</v>
      </c>
      <c r="T3133" s="8" t="str">
        <f ca="1">IFERROR(__xludf.DUMMYFUNCTION("""COMPUTED_VALUE"""),"Inside School Building")</f>
        <v>Inside School Building</v>
      </c>
      <c r="U3133" s="8" t="str">
        <f ca="1">IFERROR(__xludf.DUMMYFUNCTION("""COMPUTED_VALUE"""),"Yes")</f>
        <v>Yes</v>
      </c>
      <c r="V3133" s="8"/>
      <c r="W3133" s="8"/>
      <c r="X3133" s="8">
        <f ca="1">IFERROR(__xludf.DUMMYFUNCTION("""COMPUTED_VALUE"""),1)</f>
        <v>1</v>
      </c>
      <c r="Y3133" s="12" t="str">
        <f ca="1">IFERROR(__xludf.DUMMYFUNCTION("""COMPUTED_VALUE"""),"Didn't know how to operate pistol, cocked hammer and couldn't get it to safely release causing accidental discharge")</f>
        <v>Didn't know how to operate pistol, cocked hammer and couldn't get it to safely release causing accidental discharge</v>
      </c>
      <c r="Z3133" s="12" t="str">
        <f ca="1">IFERROR(__xludf.DUMMYFUNCTION("""COMPUTED_VALUE"""),"Student showing off gun cocked hammer and could not get it to release causing accidental discharge and killing 15 year-old male student. Gave gun to another student after the shooting and told police that he and the victim had been attacked by an unknown "&amp;"male.")</f>
        <v>Student showing off gun cocked hammer and could not get it to release causing accidental discharge and killing 15 year-old male student. Gave gun to another student after the shooting and told police that he and the victim had been attacked by an unknown male.</v>
      </c>
      <c r="AA3133" s="8" t="str">
        <f ca="1">IFERROR(__xludf.DUMMYFUNCTION("""COMPUTED_VALUE"""),"Accidental")</f>
        <v>Accidental</v>
      </c>
      <c r="AB3133" s="8"/>
      <c r="AC3133" s="8"/>
      <c r="AD3133" s="8" t="str">
        <f ca="1">IFERROR(__xludf.DUMMYFUNCTION("""COMPUTED_VALUE"""),"Random Shooting")</f>
        <v>Random Shooting</v>
      </c>
      <c r="AE3133" s="8" t="str">
        <f ca="1">IFERROR(__xludf.DUMMYFUNCTION("""COMPUTED_VALUE"""),"Yes")</f>
        <v>Yes</v>
      </c>
      <c r="AF3133" s="8" t="str">
        <f ca="1">IFERROR(__xludf.DUMMYFUNCTION("""COMPUTED_VALUE"""),"Gave gun to another student after shooting.")</f>
        <v>Gave gun to another student after shooting.</v>
      </c>
      <c r="AG3133" s="8" t="str">
        <f ca="1">IFERROR(__xludf.DUMMYFUNCTION("""COMPUTED_VALUE"""),"No")</f>
        <v>No</v>
      </c>
      <c r="AH3133" s="8" t="str">
        <f ca="1">IFERROR(__xludf.DUMMYFUNCTION("""COMPUTED_VALUE"""),"No")</f>
        <v>No</v>
      </c>
      <c r="AI3133" s="8" t="str">
        <f ca="1">IFERROR(__xludf.DUMMYFUNCTION("""COMPUTED_VALUE"""),"No")</f>
        <v>No</v>
      </c>
      <c r="AJ3133" s="8" t="str">
        <f ca="1">IFERROR(__xludf.DUMMYFUNCTION("""COMPUTED_VALUE"""),"No")</f>
        <v>No</v>
      </c>
      <c r="AK3133" s="8" t="str">
        <f ca="1">IFERROR(__xludf.DUMMYFUNCTION("""COMPUTED_VALUE"""),"No")</f>
        <v>No</v>
      </c>
      <c r="AL3133" s="8" t="str">
        <f ca="1">IFERROR(__xludf.DUMMYFUNCTION("""COMPUTED_VALUE"""),"No")</f>
        <v>No</v>
      </c>
      <c r="AM3133" s="8"/>
      <c r="AN3133" s="8"/>
      <c r="AO3133" s="8" t="str">
        <f ca="1">IFERROR(__xludf.DUMMYFUNCTION("""COMPUTED_VALUE"""),"No")</f>
        <v>No</v>
      </c>
      <c r="AP3133" s="8" t="str">
        <f ca="1">IFERROR(__xludf.DUMMYFUNCTION("""COMPUTED_VALUE"""),"No")</f>
        <v>No</v>
      </c>
      <c r="AQ3133" s="8" t="str">
        <f ca="1">IFERROR(__xludf.DUMMYFUNCTION("""COMPUTED_VALUE"""),"None")</f>
        <v>None</v>
      </c>
      <c r="AR3133" s="8" t="str">
        <f ca="1">IFERROR(__xludf.DUMMYFUNCTION("""COMPUTED_VALUE"""),"NA")</f>
        <v>NA</v>
      </c>
      <c r="AS3133" s="8">
        <f ca="1">IFERROR(__xludf.DUMMYFUNCTION("""COMPUTED_VALUE"""),1)</f>
        <v>1</v>
      </c>
      <c r="AT3133" s="8"/>
      <c r="AU3133" s="8">
        <f ca="1">IFERROR(__xludf.DUMMYFUNCTION("""COMPUTED_VALUE"""),38.892403)</f>
        <v>38.892403000000002</v>
      </c>
      <c r="AV3133" s="8">
        <f ca="1">IFERROR(__xludf.DUMMYFUNCTION("""COMPUTED_VALUE"""),-76.978558)</f>
        <v>-76.978558000000007</v>
      </c>
      <c r="AW3133" s="8"/>
      <c r="AX3133" s="8">
        <f ca="1">IFERROR(__xludf.DUMMYFUNCTION("""COMPUTED_VALUE"""),20003)</f>
        <v>20003</v>
      </c>
    </row>
    <row r="3134" spans="1:50" ht="75" x14ac:dyDescent="0.2">
      <c r="A3134" s="8" t="str">
        <f ca="1">IFERROR(__xludf.DUMMYFUNCTION("""COMPUTED_VALUE"""),"19691119WITOT")</f>
        <v>19691119WITOT</v>
      </c>
      <c r="B3134" s="8">
        <f ca="1">IFERROR(__xludf.DUMMYFUNCTION("""COMPUTED_VALUE"""),11)</f>
        <v>11</v>
      </c>
      <c r="C3134" s="8">
        <f ca="1">IFERROR(__xludf.DUMMYFUNCTION("""COMPUTED_VALUE"""),19)</f>
        <v>19</v>
      </c>
      <c r="D3134" s="8">
        <f ca="1">IFERROR(__xludf.DUMMYFUNCTION("""COMPUTED_VALUE"""),1969)</f>
        <v>1969</v>
      </c>
      <c r="E3134" s="9">
        <f ca="1">IFERROR(__xludf.DUMMYFUNCTION("""COMPUTED_VALUE"""),25526)</f>
        <v>25526</v>
      </c>
      <c r="F3134" s="8" t="str">
        <f ca="1">IFERROR(__xludf.DUMMYFUNCTION("""COMPUTED_VALUE"""),"Tomah Junior High School")</f>
        <v>Tomah Junior High School</v>
      </c>
      <c r="G3134" s="8">
        <f ca="1">IFERROR(__xludf.DUMMYFUNCTION("""COMPUTED_VALUE"""),1)</f>
        <v>1</v>
      </c>
      <c r="H3134" s="8">
        <f ca="1">IFERROR(__xludf.DUMMYFUNCTION("""COMPUTED_VALUE"""),0)</f>
        <v>0</v>
      </c>
      <c r="I3134" s="8">
        <f ca="1">IFERROR(__xludf.DUMMYFUNCTION("""COMPUTED_VALUE"""),1)</f>
        <v>1</v>
      </c>
      <c r="J3134" s="8">
        <f ca="1">IFERROR(__xludf.DUMMYFUNCTION("""COMPUTED_VALUE"""),0)</f>
        <v>0</v>
      </c>
      <c r="K3134" s="10" t="str">
        <f ca="1">IFERROR(__xludf.DUMMYFUNCTION("""COMPUTED_VALUE"""),"https://www.sfgate.com/opinion/openforum/article/Crime-and-Punishment-Why-an-execution-won-t-2557583.php
https://www.tomah.education/superintendent/blog/1614648/we-cant-say-it-wont-happen-here")</f>
        <v>https://www.sfgate.com/opinion/openforum/article/Crime-and-Punishment-Why-an-execution-won-t-2557583.php
https://www.tomah.education/superintendent/blog/1614648/we-cant-say-it-wont-happen-here</v>
      </c>
      <c r="L3134" s="8"/>
      <c r="M3134" s="8" t="str">
        <f ca="1">IFERROR(__xludf.DUMMYFUNCTION("""COMPUTED_VALUE"""),"Local")</f>
        <v>Local</v>
      </c>
      <c r="N3134" s="8">
        <f ca="1">IFERROR(__xludf.DUMMYFUNCTION("""COMPUTED_VALUE"""),4)</f>
        <v>4</v>
      </c>
      <c r="O3134" s="8" t="str">
        <f ca="1">IFERROR(__xludf.DUMMYFUNCTION("""COMPUTED_VALUE"""),"Fall")</f>
        <v>Fall</v>
      </c>
      <c r="P3134" s="8" t="str">
        <f ca="1">IFERROR(__xludf.DUMMYFUNCTION("""COMPUTED_VALUE"""),"Tomah")</f>
        <v>Tomah</v>
      </c>
      <c r="Q3134" s="8" t="str">
        <f ca="1">IFERROR(__xludf.DUMMYFUNCTION("""COMPUTED_VALUE"""),"WI")</f>
        <v>WI</v>
      </c>
      <c r="R3134" s="8" t="str">
        <f ca="1">IFERROR(__xludf.DUMMYFUNCTION("""COMPUTED_VALUE"""),"High")</f>
        <v>High</v>
      </c>
      <c r="S3134" s="8" t="str">
        <f ca="1">IFERROR(__xludf.DUMMYFUNCTION("""COMPUTED_VALUE"""),"Office")</f>
        <v>Office</v>
      </c>
      <c r="T3134" s="8" t="str">
        <f ca="1">IFERROR(__xludf.DUMMYFUNCTION("""COMPUTED_VALUE"""),"Inside School Building")</f>
        <v>Inside School Building</v>
      </c>
      <c r="U3134" s="8" t="str">
        <f ca="1">IFERROR(__xludf.DUMMYFUNCTION("""COMPUTED_VALUE"""),"Yes")</f>
        <v>Yes</v>
      </c>
      <c r="V3134" s="8" t="str">
        <f ca="1">IFERROR(__xludf.DUMMYFUNCTION("""COMPUTED_VALUE"""),"Afternoon Classes")</f>
        <v>Afternoon Classes</v>
      </c>
      <c r="W3134" s="11">
        <f ca="1">IFERROR(__xludf.DUMMYFUNCTION("""COMPUTED_VALUE"""),0.520833333333333)</f>
        <v>0.52083333333333304</v>
      </c>
      <c r="X3134" s="8">
        <f ca="1">IFERROR(__xludf.DUMMYFUNCTION("""COMPUTED_VALUE"""),1)</f>
        <v>1</v>
      </c>
      <c r="Y3134" s="12" t="str">
        <f ca="1">IFERROR(__xludf.DUMMYFUNCTION("""COMPUTED_VALUE"""),"14-year-old student walked into principal's office and fatally shot him with shotgun")</f>
        <v>14-year-old student walked into principal's office and fatally shot him with shotgun</v>
      </c>
      <c r="Z3134" s="12" t="str">
        <f ca="1">IFERROR(__xludf.DUMMYFUNCTION("""COMPUTED_VALUE"""),"46 year-old Martin Mogensen, Principal of Tomah Junior High, was shot to death in his office by a 14-year old boy armed with a 20-gauge shotgun. The student was determined to be in diminished capacity at the time of the shooting and was put into the Mendo"&amp;"ta State Hospital")</f>
        <v>46 year-old Martin Mogensen, Principal of Tomah Junior High, was shot to death in his office by a 14-year old boy armed with a 20-gauge shotgun. The student was determined to be in diminished capacity at the time of the shooting and was put into the Mendota State Hospital</v>
      </c>
      <c r="AA3134" s="8" t="str">
        <f ca="1">IFERROR(__xludf.DUMMYFUNCTION("""COMPUTED_VALUE"""),"Psychosis")</f>
        <v>Psychosis</v>
      </c>
      <c r="AB3134" s="8"/>
      <c r="AC3134" s="8" t="str">
        <f ca="1">IFERROR(__xludf.DUMMYFUNCTION("""COMPUTED_VALUE"""),"Yes")</f>
        <v>Yes</v>
      </c>
      <c r="AD3134" s="8" t="str">
        <f ca="1">IFERROR(__xludf.DUMMYFUNCTION("""COMPUTED_VALUE"""),"Victims Targeted")</f>
        <v>Victims Targeted</v>
      </c>
      <c r="AE3134" s="8" t="str">
        <f ca="1">IFERROR(__xludf.DUMMYFUNCTION("""COMPUTED_VALUE"""),"No")</f>
        <v>No</v>
      </c>
      <c r="AF3134" s="8"/>
      <c r="AG3134" s="8" t="str">
        <f ca="1">IFERROR(__xludf.DUMMYFUNCTION("""COMPUTED_VALUE"""),"No")</f>
        <v>No</v>
      </c>
      <c r="AH3134" s="8" t="str">
        <f ca="1">IFERROR(__xludf.DUMMYFUNCTION("""COMPUTED_VALUE"""),"No")</f>
        <v>No</v>
      </c>
      <c r="AI3134" s="8" t="str">
        <f ca="1">IFERROR(__xludf.DUMMYFUNCTION("""COMPUTED_VALUE"""),"No")</f>
        <v>No</v>
      </c>
      <c r="AJ3134" s="8" t="str">
        <f ca="1">IFERROR(__xludf.DUMMYFUNCTION("""COMPUTED_VALUE"""),"No")</f>
        <v>No</v>
      </c>
      <c r="AK3134" s="8" t="str">
        <f ca="1">IFERROR(__xludf.DUMMYFUNCTION("""COMPUTED_VALUE"""),"No")</f>
        <v>No</v>
      </c>
      <c r="AL3134" s="8" t="str">
        <f ca="1">IFERROR(__xludf.DUMMYFUNCTION("""COMPUTED_VALUE"""),"No")</f>
        <v>No</v>
      </c>
      <c r="AM3134" s="8" t="str">
        <f ca="1">IFERROR(__xludf.DUMMYFUNCTION("""COMPUTED_VALUE"""),"No")</f>
        <v>No</v>
      </c>
      <c r="AN3134" s="8" t="str">
        <f ca="1">IFERROR(__xludf.DUMMYFUNCTION("""COMPUTED_VALUE"""),"Single Room")</f>
        <v>Single Room</v>
      </c>
      <c r="AO3134" s="8" t="str">
        <f ca="1">IFERROR(__xludf.DUMMYFUNCTION("""COMPUTED_VALUE"""),"Yes")</f>
        <v>Yes</v>
      </c>
      <c r="AP3134" s="8"/>
      <c r="AQ3134" s="8"/>
      <c r="AR3134" s="8"/>
      <c r="AS3134" s="8">
        <f ca="1">IFERROR(__xludf.DUMMYFUNCTION("""COMPUTED_VALUE"""),1)</f>
        <v>1</v>
      </c>
      <c r="AT3134" s="8"/>
      <c r="AU3134" s="8">
        <f ca="1">IFERROR(__xludf.DUMMYFUNCTION("""COMPUTED_VALUE"""),43.980861)</f>
        <v>43.980860999999997</v>
      </c>
      <c r="AV3134" s="8">
        <f ca="1">IFERROR(__xludf.DUMMYFUNCTION("""COMPUTED_VALUE"""),-90.508815)</f>
        <v>-90.508814999999998</v>
      </c>
      <c r="AW3134" s="8"/>
      <c r="AX3134" s="8">
        <f ca="1">IFERROR(__xludf.DUMMYFUNCTION("""COMPUTED_VALUE"""),54660)</f>
        <v>54660</v>
      </c>
    </row>
    <row r="3135" spans="1:50" ht="45" x14ac:dyDescent="0.2">
      <c r="A3135" s="8" t="str">
        <f ca="1">IFERROR(__xludf.DUMMYFUNCTION("""COMPUTED_VALUE"""),"19690513NCHAW")</f>
        <v>19690513NCHAW</v>
      </c>
      <c r="B3135" s="8">
        <f ca="1">IFERROR(__xludf.DUMMYFUNCTION("""COMPUTED_VALUE"""),5)</f>
        <v>5</v>
      </c>
      <c r="C3135" s="8">
        <f ca="1">IFERROR(__xludf.DUMMYFUNCTION("""COMPUTED_VALUE"""),13)</f>
        <v>13</v>
      </c>
      <c r="D3135" s="8">
        <f ca="1">IFERROR(__xludf.DUMMYFUNCTION("""COMPUTED_VALUE"""),1969)</f>
        <v>1969</v>
      </c>
      <c r="E3135" s="9">
        <f ca="1">IFERROR(__xludf.DUMMYFUNCTION("""COMPUTED_VALUE"""),25336)</f>
        <v>25336</v>
      </c>
      <c r="F3135" s="8" t="str">
        <f ca="1">IFERROR(__xludf.DUMMYFUNCTION("""COMPUTED_VALUE"""),"Hanes Junior High School")</f>
        <v>Hanes Junior High School</v>
      </c>
      <c r="G3135" s="8">
        <f ca="1">IFERROR(__xludf.DUMMYFUNCTION("""COMPUTED_VALUE"""),1)</f>
        <v>1</v>
      </c>
      <c r="H3135" s="8">
        <f ca="1">IFERROR(__xludf.DUMMYFUNCTION("""COMPUTED_VALUE"""),0)</f>
        <v>0</v>
      </c>
      <c r="I3135" s="8">
        <f ca="1">IFERROR(__xludf.DUMMYFUNCTION("""COMPUTED_VALUE"""),1)</f>
        <v>1</v>
      </c>
      <c r="J3135" s="8">
        <f ca="1">IFERROR(__xludf.DUMMYFUNCTION("""COMPUTED_VALUE"""),0)</f>
        <v>0</v>
      </c>
      <c r="K3135" s="10" t="str">
        <f ca="1">IFERROR(__xludf.DUMMYFUNCTION("""COMPUTED_VALUE"""),"https://journalnow.com/news/local/13-year-old-boy-at-hanes-junior-high-school-accidently-shot-and-killed-in-1969/article_2b6f3f62-11e6-11e3-8b40-001a4bcf6878.html")</f>
        <v>https://journalnow.com/news/local/13-year-old-boy-at-hanes-junior-high-school-accidently-shot-and-killed-in-1969/article_2b6f3f62-11e6-11e3-8b40-001a4bcf6878.html</v>
      </c>
      <c r="L3135" s="8"/>
      <c r="M3135" s="8" t="str">
        <f ca="1">IFERROR(__xludf.DUMMYFUNCTION("""COMPUTED_VALUE"""),"Local")</f>
        <v>Local</v>
      </c>
      <c r="N3135" s="8">
        <f ca="1">IFERROR(__xludf.DUMMYFUNCTION("""COMPUTED_VALUE"""),3)</f>
        <v>3</v>
      </c>
      <c r="O3135" s="8" t="str">
        <f ca="1">IFERROR(__xludf.DUMMYFUNCTION("""COMPUTED_VALUE"""),"Spring")</f>
        <v>Spring</v>
      </c>
      <c r="P3135" s="8" t="str">
        <f ca="1">IFERROR(__xludf.DUMMYFUNCTION("""COMPUTED_VALUE"""),"Winston-Salem")</f>
        <v>Winston-Salem</v>
      </c>
      <c r="Q3135" s="8" t="str">
        <f ca="1">IFERROR(__xludf.DUMMYFUNCTION("""COMPUTED_VALUE"""),"NC")</f>
        <v>NC</v>
      </c>
      <c r="R3135" s="8" t="str">
        <f ca="1">IFERROR(__xludf.DUMMYFUNCTION("""COMPUTED_VALUE"""),"Middle")</f>
        <v>Middle</v>
      </c>
      <c r="S3135" s="8" t="str">
        <f ca="1">IFERROR(__xludf.DUMMYFUNCTION("""COMPUTED_VALUE"""),"Inside School Building")</f>
        <v>Inside School Building</v>
      </c>
      <c r="T3135" s="8" t="str">
        <f ca="1">IFERROR(__xludf.DUMMYFUNCTION("""COMPUTED_VALUE"""),"Inside School Building")</f>
        <v>Inside School Building</v>
      </c>
      <c r="U3135" s="8" t="str">
        <f ca="1">IFERROR(__xludf.DUMMYFUNCTION("""COMPUTED_VALUE"""),"Yes")</f>
        <v>Yes</v>
      </c>
      <c r="V3135" s="8"/>
      <c r="W3135" s="8"/>
      <c r="X3135" s="8">
        <f ca="1">IFERROR(__xludf.DUMMYFUNCTION("""COMPUTED_VALUE"""),1)</f>
        <v>1</v>
      </c>
      <c r="Y3135" s="12" t="str">
        <f ca="1">IFERROR(__xludf.DUMMYFUNCTION("""COMPUTED_VALUE"""),"Student accidentally shot and killed a classmate")</f>
        <v>Student accidentally shot and killed a classmate</v>
      </c>
      <c r="Z3135" s="12" t="str">
        <f ca="1">IFERROR(__xludf.DUMMYFUNCTION("""COMPUTED_VALUE"""),"13-year-old was accidentally killed with a pistol by a 13-year-old classmate at Hanes Junior High School. The shooter was charged with involuntary manslaughter.")</f>
        <v>13-year-old was accidentally killed with a pistol by a 13-year-old classmate at Hanes Junior High School. The shooter was charged with involuntary manslaughter.</v>
      </c>
      <c r="AA3135" s="8" t="str">
        <f ca="1">IFERROR(__xludf.DUMMYFUNCTION("""COMPUTED_VALUE"""),"Accidental")</f>
        <v>Accidental</v>
      </c>
      <c r="AB3135" s="8"/>
      <c r="AC3135" s="8" t="str">
        <f ca="1">IFERROR(__xludf.DUMMYFUNCTION("""COMPUTED_VALUE"""),"Yes")</f>
        <v>Yes</v>
      </c>
      <c r="AD3135" s="8" t="str">
        <f ca="1">IFERROR(__xludf.DUMMYFUNCTION("""COMPUTED_VALUE"""),"Neither")</f>
        <v>Neither</v>
      </c>
      <c r="AE3135" s="8" t="str">
        <f ca="1">IFERROR(__xludf.DUMMYFUNCTION("""COMPUTED_VALUE"""),"No")</f>
        <v>No</v>
      </c>
      <c r="AF3135" s="8"/>
      <c r="AG3135" s="8" t="str">
        <f ca="1">IFERROR(__xludf.DUMMYFUNCTION("""COMPUTED_VALUE"""),"No")</f>
        <v>No</v>
      </c>
      <c r="AH3135" s="8" t="str">
        <f ca="1">IFERROR(__xludf.DUMMYFUNCTION("""COMPUTED_VALUE"""),"No")</f>
        <v>No</v>
      </c>
      <c r="AI3135" s="8" t="str">
        <f ca="1">IFERROR(__xludf.DUMMYFUNCTION("""COMPUTED_VALUE"""),"No")</f>
        <v>No</v>
      </c>
      <c r="AJ3135" s="8" t="str">
        <f ca="1">IFERROR(__xludf.DUMMYFUNCTION("""COMPUTED_VALUE"""),"No")</f>
        <v>No</v>
      </c>
      <c r="AK3135" s="8" t="str">
        <f ca="1">IFERROR(__xludf.DUMMYFUNCTION("""COMPUTED_VALUE"""),"No")</f>
        <v>No</v>
      </c>
      <c r="AL3135" s="8" t="str">
        <f ca="1">IFERROR(__xludf.DUMMYFUNCTION("""COMPUTED_VALUE"""),"No")</f>
        <v>No</v>
      </c>
      <c r="AM3135" s="8" t="str">
        <f ca="1">IFERROR(__xludf.DUMMYFUNCTION("""COMPUTED_VALUE"""),"No")</f>
        <v>No</v>
      </c>
      <c r="AN3135" s="8"/>
      <c r="AO3135" s="8" t="str">
        <f ca="1">IFERROR(__xludf.DUMMYFUNCTION("""COMPUTED_VALUE"""),"No")</f>
        <v>No</v>
      </c>
      <c r="AP3135" s="8"/>
      <c r="AQ3135" s="8"/>
      <c r="AR3135" s="8"/>
      <c r="AS3135" s="8">
        <f ca="1">IFERROR(__xludf.DUMMYFUNCTION("""COMPUTED_VALUE"""),1)</f>
        <v>1</v>
      </c>
      <c r="AT3135" s="8"/>
      <c r="AU3135" s="8">
        <f ca="1">IFERROR(__xludf.DUMMYFUNCTION("""COMPUTED_VALUE"""),36.126296)</f>
        <v>36.126296000000004</v>
      </c>
      <c r="AV3135" s="8">
        <f ca="1">IFERROR(__xludf.DUMMYFUNCTION("""COMPUTED_VALUE"""),-80.237487)</f>
        <v>-80.237487000000002</v>
      </c>
      <c r="AW3135" s="8"/>
      <c r="AX3135" s="8">
        <f ca="1">IFERROR(__xludf.DUMMYFUNCTION("""COMPUTED_VALUE"""),27105)</f>
        <v>27105</v>
      </c>
    </row>
    <row r="3136" spans="1:50" ht="60" x14ac:dyDescent="0.2">
      <c r="A3136" s="8" t="str">
        <f ca="1">IFERROR(__xludf.DUMMYFUNCTION("""COMPUTED_VALUE"""),"19690425ILTIC")</f>
        <v>19690425ILTIC</v>
      </c>
      <c r="B3136" s="8">
        <f ca="1">IFERROR(__xludf.DUMMYFUNCTION("""COMPUTED_VALUE"""),4)</f>
        <v>4</v>
      </c>
      <c r="C3136" s="8">
        <f ca="1">IFERROR(__xludf.DUMMYFUNCTION("""COMPUTED_VALUE"""),25)</f>
        <v>25</v>
      </c>
      <c r="D3136" s="8">
        <f ca="1">IFERROR(__xludf.DUMMYFUNCTION("""COMPUTED_VALUE"""),1969)</f>
        <v>1969</v>
      </c>
      <c r="E3136" s="9">
        <f ca="1">IFERROR(__xludf.DUMMYFUNCTION("""COMPUTED_VALUE"""),25318)</f>
        <v>25318</v>
      </c>
      <c r="F3136" s="8" t="str">
        <f ca="1">IFERROR(__xludf.DUMMYFUNCTION("""COMPUTED_VALUE"""),"Tilden High School")</f>
        <v>Tilden High School</v>
      </c>
      <c r="G3136" s="8">
        <f ca="1">IFERROR(__xludf.DUMMYFUNCTION("""COMPUTED_VALUE"""),0)</f>
        <v>0</v>
      </c>
      <c r="H3136" s="8">
        <f ca="1">IFERROR(__xludf.DUMMYFUNCTION("""COMPUTED_VALUE"""),1)</f>
        <v>1</v>
      </c>
      <c r="I3136" s="8">
        <f ca="1">IFERROR(__xludf.DUMMYFUNCTION("""COMPUTED_VALUE"""),1)</f>
        <v>1</v>
      </c>
      <c r="J3136" s="8">
        <f ca="1">IFERROR(__xludf.DUMMYFUNCTION("""COMPUTED_VALUE"""),0)</f>
        <v>0</v>
      </c>
      <c r="K3136" s="10" t="str">
        <f ca="1">IFERROR(__xludf.DUMMYFUNCTION("""COMPUTED_VALUE"""),"http://archives.chicagotribune.com/1969/04/26/page/18/article/pupil-shot-as-teens-clash-at-tilden-high")</f>
        <v>http://archives.chicagotribune.com/1969/04/26/page/18/article/pupil-shot-as-teens-clash-at-tilden-high</v>
      </c>
      <c r="L3136" s="8"/>
      <c r="M3136" s="8" t="str">
        <f ca="1">IFERROR(__xludf.DUMMYFUNCTION("""COMPUTED_VALUE"""),"Local")</f>
        <v>Local</v>
      </c>
      <c r="N3136" s="8">
        <f ca="1">IFERROR(__xludf.DUMMYFUNCTION("""COMPUTED_VALUE"""),3)</f>
        <v>3</v>
      </c>
      <c r="O3136" s="8" t="str">
        <f ca="1">IFERROR(__xludf.DUMMYFUNCTION("""COMPUTED_VALUE"""),"Spring")</f>
        <v>Spring</v>
      </c>
      <c r="P3136" s="8" t="str">
        <f ca="1">IFERROR(__xludf.DUMMYFUNCTION("""COMPUTED_VALUE"""),"Chicago")</f>
        <v>Chicago</v>
      </c>
      <c r="Q3136" s="8" t="str">
        <f ca="1">IFERROR(__xludf.DUMMYFUNCTION("""COMPUTED_VALUE"""),"IL")</f>
        <v>IL</v>
      </c>
      <c r="R3136" s="8" t="str">
        <f ca="1">IFERROR(__xludf.DUMMYFUNCTION("""COMPUTED_VALUE"""),"High")</f>
        <v>High</v>
      </c>
      <c r="S3136" s="8" t="str">
        <f ca="1">IFERROR(__xludf.DUMMYFUNCTION("""COMPUTED_VALUE"""),"Auditorium")</f>
        <v>Auditorium</v>
      </c>
      <c r="T3136" s="8" t="str">
        <f ca="1">IFERROR(__xludf.DUMMYFUNCTION("""COMPUTED_VALUE"""),"Inside School Building")</f>
        <v>Inside School Building</v>
      </c>
      <c r="U3136" s="8" t="str">
        <f ca="1">IFERROR(__xludf.DUMMYFUNCTION("""COMPUTED_VALUE"""),"Yes")</f>
        <v>Yes</v>
      </c>
      <c r="V3136" s="8"/>
      <c r="W3136" s="8"/>
      <c r="X3136" s="8">
        <f ca="1">IFERROR(__xludf.DUMMYFUNCTION("""COMPUTED_VALUE"""),1)</f>
        <v>1</v>
      </c>
      <c r="Y3136" s="12" t="str">
        <f ca="1">IFERROR(__xludf.DUMMYFUNCTION("""COMPUTED_VALUE"""),"Student shot during racially motivated brawl inside auditorium")</f>
        <v>Student shot during racially motivated brawl inside auditorium</v>
      </c>
      <c r="Z3136" s="12" t="str">
        <f ca="1">IFERROR(__xludf.DUMMYFUNCTION("""COMPUTED_VALUE"""),"17-year-old student was shot between fight between white and black students at the school. Eight police officers were injured breaking up the fight.")</f>
        <v>17-year-old student was shot between fight between white and black students at the school. Eight police officers were injured breaking up the fight.</v>
      </c>
      <c r="AA3136" s="8" t="str">
        <f ca="1">IFERROR(__xludf.DUMMYFUNCTION("""COMPUTED_VALUE"""),"Racial")</f>
        <v>Racial</v>
      </c>
      <c r="AB3136" s="8"/>
      <c r="AC3136" s="8" t="str">
        <f ca="1">IFERROR(__xludf.DUMMYFUNCTION("""COMPUTED_VALUE"""),"Yes")</f>
        <v>Yes</v>
      </c>
      <c r="AD3136" s="8" t="str">
        <f ca="1">IFERROR(__xludf.DUMMYFUNCTION("""COMPUTED_VALUE"""),"Random Shooting")</f>
        <v>Random Shooting</v>
      </c>
      <c r="AE3136" s="8" t="str">
        <f ca="1">IFERROR(__xludf.DUMMYFUNCTION("""COMPUTED_VALUE"""),"Yes")</f>
        <v>Yes</v>
      </c>
      <c r="AF3136" s="8" t="str">
        <f ca="1">IFERROR(__xludf.DUMMYFUNCTION("""COMPUTED_VALUE"""),"Large fight")</f>
        <v>Large fight</v>
      </c>
      <c r="AG3136" s="8" t="str">
        <f ca="1">IFERROR(__xludf.DUMMYFUNCTION("""COMPUTED_VALUE"""),"No")</f>
        <v>No</v>
      </c>
      <c r="AH3136" s="8" t="str">
        <f ca="1">IFERROR(__xludf.DUMMYFUNCTION("""COMPUTED_VALUE"""),"No")</f>
        <v>No</v>
      </c>
      <c r="AI3136" s="8" t="str">
        <f ca="1">IFERROR(__xludf.DUMMYFUNCTION("""COMPUTED_VALUE"""),"No")</f>
        <v>No</v>
      </c>
      <c r="AJ3136" s="8" t="str">
        <f ca="1">IFERROR(__xludf.DUMMYFUNCTION("""COMPUTED_VALUE"""),"No")</f>
        <v>No</v>
      </c>
      <c r="AK3136" s="8" t="str">
        <f ca="1">IFERROR(__xludf.DUMMYFUNCTION("""COMPUTED_VALUE"""),"No")</f>
        <v>No</v>
      </c>
      <c r="AL3136" s="8" t="str">
        <f ca="1">IFERROR(__xludf.DUMMYFUNCTION("""COMPUTED_VALUE"""),"No")</f>
        <v>No</v>
      </c>
      <c r="AM3136" s="8" t="str">
        <f ca="1">IFERROR(__xludf.DUMMYFUNCTION("""COMPUTED_VALUE"""),"No")</f>
        <v>No</v>
      </c>
      <c r="AN3136" s="8"/>
      <c r="AO3136" s="8" t="str">
        <f ca="1">IFERROR(__xludf.DUMMYFUNCTION("""COMPUTED_VALUE"""),"No")</f>
        <v>No</v>
      </c>
      <c r="AP3136" s="8" t="str">
        <f ca="1">IFERROR(__xludf.DUMMYFUNCTION("""COMPUTED_VALUE"""),"No")</f>
        <v>No</v>
      </c>
      <c r="AQ3136" s="8"/>
      <c r="AR3136" s="8"/>
      <c r="AS3136" s="8">
        <f ca="1">IFERROR(__xludf.DUMMYFUNCTION("""COMPUTED_VALUE"""),99)</f>
        <v>99</v>
      </c>
      <c r="AT3136" s="8"/>
      <c r="AU3136" s="8">
        <f ca="1">IFERROR(__xludf.DUMMYFUNCTION("""COMPUTED_VALUE"""),41.807503)</f>
        <v>41.807502999999997</v>
      </c>
      <c r="AV3136" s="8">
        <f ca="1">IFERROR(__xludf.DUMMYFUNCTION("""COMPUTED_VALUE"""),-87.642754)</f>
        <v>-87.642753999999996</v>
      </c>
      <c r="AW3136" s="8"/>
      <c r="AX3136" s="8">
        <f ca="1">IFERROR(__xludf.DUMMYFUNCTION("""COMPUTED_VALUE"""),60609)</f>
        <v>60609</v>
      </c>
    </row>
    <row r="3137" spans="1:50" ht="60" x14ac:dyDescent="0.2">
      <c r="A3137" s="8" t="str">
        <f ca="1">IFERROR(__xludf.DUMMYFUNCTION("""COMPUTED_VALUE"""),"19690123DCCAW")</f>
        <v>19690123DCCAW</v>
      </c>
      <c r="B3137" s="8">
        <f ca="1">IFERROR(__xludf.DUMMYFUNCTION("""COMPUTED_VALUE"""),1)</f>
        <v>1</v>
      </c>
      <c r="C3137" s="8">
        <f ca="1">IFERROR(__xludf.DUMMYFUNCTION("""COMPUTED_VALUE"""),23)</f>
        <v>23</v>
      </c>
      <c r="D3137" s="8">
        <f ca="1">IFERROR(__xludf.DUMMYFUNCTION("""COMPUTED_VALUE"""),1969)</f>
        <v>1969</v>
      </c>
      <c r="E3137" s="9">
        <f ca="1">IFERROR(__xludf.DUMMYFUNCTION("""COMPUTED_VALUE"""),25226)</f>
        <v>25226</v>
      </c>
      <c r="F3137" s="8" t="str">
        <f ca="1">IFERROR(__xludf.DUMMYFUNCTION("""COMPUTED_VALUE"""),"Cardozo Senior High School")</f>
        <v>Cardozo Senior High School</v>
      </c>
      <c r="G3137" s="8">
        <f ca="1">IFERROR(__xludf.DUMMYFUNCTION("""COMPUTED_VALUE"""),1)</f>
        <v>1</v>
      </c>
      <c r="H3137" s="8">
        <f ca="1">IFERROR(__xludf.DUMMYFUNCTION("""COMPUTED_VALUE"""),0)</f>
        <v>0</v>
      </c>
      <c r="I3137" s="8">
        <f ca="1">IFERROR(__xludf.DUMMYFUNCTION("""COMPUTED_VALUE"""),1)</f>
        <v>1</v>
      </c>
      <c r="J3137" s="8">
        <f ca="1">IFERROR(__xludf.DUMMYFUNCTION("""COMPUTED_VALUE"""),0)</f>
        <v>0</v>
      </c>
      <c r="K3137" s="10" t="str">
        <f ca="1">IFERROR(__xludf.DUMMYFUNCTION("""COMPUTED_VALUE"""),"https://www.nytimes.com/1969/01/25/archives/principals-aide-in-capital-is-killed-chasing-thieves.html")</f>
        <v>https://www.nytimes.com/1969/01/25/archives/principals-aide-in-capital-is-killed-chasing-thieves.html</v>
      </c>
      <c r="L3137" s="8"/>
      <c r="M3137" s="8" t="str">
        <f ca="1">IFERROR(__xludf.DUMMYFUNCTION("""COMPUTED_VALUE"""),"National")</f>
        <v>National</v>
      </c>
      <c r="N3137" s="8">
        <f ca="1">IFERROR(__xludf.DUMMYFUNCTION("""COMPUTED_VALUE"""),4)</f>
        <v>4</v>
      </c>
      <c r="O3137" s="8" t="str">
        <f ca="1">IFERROR(__xludf.DUMMYFUNCTION("""COMPUTED_VALUE"""),"Winter")</f>
        <v>Winter</v>
      </c>
      <c r="P3137" s="8" t="str">
        <f ca="1">IFERROR(__xludf.DUMMYFUNCTION("""COMPUTED_VALUE"""),"Washington")</f>
        <v>Washington</v>
      </c>
      <c r="Q3137" s="8" t="str">
        <f ca="1">IFERROR(__xludf.DUMMYFUNCTION("""COMPUTED_VALUE"""),"DC")</f>
        <v>DC</v>
      </c>
      <c r="R3137" s="8" t="str">
        <f ca="1">IFERROR(__xludf.DUMMYFUNCTION("""COMPUTED_VALUE"""),"High")</f>
        <v>High</v>
      </c>
      <c r="S3137" s="8" t="str">
        <f ca="1">IFERROR(__xludf.DUMMYFUNCTION("""COMPUTED_VALUE"""),"Hallway")</f>
        <v>Hallway</v>
      </c>
      <c r="T3137" s="8" t="str">
        <f ca="1">IFERROR(__xludf.DUMMYFUNCTION("""COMPUTED_VALUE"""),"Inside School Building")</f>
        <v>Inside School Building</v>
      </c>
      <c r="U3137" s="8" t="str">
        <f ca="1">IFERROR(__xludf.DUMMYFUNCTION("""COMPUTED_VALUE"""),"Yes")</f>
        <v>Yes</v>
      </c>
      <c r="V3137" s="8"/>
      <c r="W3137" s="8"/>
      <c r="X3137" s="8">
        <f ca="1">IFERROR(__xludf.DUMMYFUNCTION("""COMPUTED_VALUE"""),1)</f>
        <v>1</v>
      </c>
      <c r="Y3137" s="12" t="str">
        <f ca="1">IFERROR(__xludf.DUMMYFUNCTION("""COMPUTED_VALUE"""),"Assistant principal shot trying to stop teen from robbing school bank")</f>
        <v>Assistant principal shot trying to stop teen from robbing school bank</v>
      </c>
      <c r="Z3137" s="12" t="str">
        <f ca="1">IFERROR(__xludf.DUMMYFUNCTION("""COMPUTED_VALUE"""),"Assistant principal shot trying to stop teen from robbing school bank")</f>
        <v>Assistant principal shot trying to stop teen from robbing school bank</v>
      </c>
      <c r="AA3137" s="8" t="str">
        <f ca="1">IFERROR(__xludf.DUMMYFUNCTION("""COMPUTED_VALUE"""),"Illegal Activity")</f>
        <v>Illegal Activity</v>
      </c>
      <c r="AB3137" s="8"/>
      <c r="AC3137" s="8" t="str">
        <f ca="1">IFERROR(__xludf.DUMMYFUNCTION("""COMPUTED_VALUE"""),"Yes")</f>
        <v>Yes</v>
      </c>
      <c r="AD3137" s="8" t="str">
        <f ca="1">IFERROR(__xludf.DUMMYFUNCTION("""COMPUTED_VALUE"""),"Victims Targeted")</f>
        <v>Victims Targeted</v>
      </c>
      <c r="AE3137" s="8" t="str">
        <f ca="1">IFERROR(__xludf.DUMMYFUNCTION("""COMPUTED_VALUE"""),"Yes")</f>
        <v>Yes</v>
      </c>
      <c r="AF3137" s="8" t="str">
        <f ca="1">IFERROR(__xludf.DUMMYFUNCTION("""COMPUTED_VALUE"""),"Three teens")</f>
        <v>Three teens</v>
      </c>
      <c r="AG3137" s="8" t="str">
        <f ca="1">IFERROR(__xludf.DUMMYFUNCTION("""COMPUTED_VALUE"""),"No")</f>
        <v>No</v>
      </c>
      <c r="AH3137" s="8" t="str">
        <f ca="1">IFERROR(__xludf.DUMMYFUNCTION("""COMPUTED_VALUE"""),"No")</f>
        <v>No</v>
      </c>
      <c r="AI3137" s="8" t="str">
        <f ca="1">IFERROR(__xludf.DUMMYFUNCTION("""COMPUTED_VALUE"""),"No")</f>
        <v>No</v>
      </c>
      <c r="AJ3137" s="8" t="str">
        <f ca="1">IFERROR(__xludf.DUMMYFUNCTION("""COMPUTED_VALUE"""),"No")</f>
        <v>No</v>
      </c>
      <c r="AK3137" s="8" t="str">
        <f ca="1">IFERROR(__xludf.DUMMYFUNCTION("""COMPUTED_VALUE"""),"No")</f>
        <v>No</v>
      </c>
      <c r="AL3137" s="8" t="str">
        <f ca="1">IFERROR(__xludf.DUMMYFUNCTION("""COMPUTED_VALUE"""),"No")</f>
        <v>No</v>
      </c>
      <c r="AM3137" s="8" t="str">
        <f ca="1">IFERROR(__xludf.DUMMYFUNCTION("""COMPUTED_VALUE"""),"No")</f>
        <v>No</v>
      </c>
      <c r="AN3137" s="8" t="str">
        <f ca="1">IFERROR(__xludf.DUMMYFUNCTION("""COMPUTED_VALUE"""),"Hallway")</f>
        <v>Hallway</v>
      </c>
      <c r="AO3137" s="8" t="str">
        <f ca="1">IFERROR(__xludf.DUMMYFUNCTION("""COMPUTED_VALUE"""),"No")</f>
        <v>No</v>
      </c>
      <c r="AP3137" s="8"/>
      <c r="AQ3137" s="8"/>
      <c r="AR3137" s="8"/>
      <c r="AS3137" s="8">
        <f ca="1">IFERROR(__xludf.DUMMYFUNCTION("""COMPUTED_VALUE"""),1)</f>
        <v>1</v>
      </c>
      <c r="AT3137" s="8"/>
      <c r="AU3137" s="8">
        <f ca="1">IFERROR(__xludf.DUMMYFUNCTION("""COMPUTED_VALUE"""),38.921413)</f>
        <v>38.921413000000001</v>
      </c>
      <c r="AV3137" s="8">
        <f ca="1">IFERROR(__xludf.DUMMYFUNCTION("""COMPUTED_VALUE"""),-77.028488)</f>
        <v>-77.028487999999996</v>
      </c>
      <c r="AW3137" s="8"/>
      <c r="AX3137" s="8">
        <f ca="1">IFERROR(__xludf.DUMMYFUNCTION("""COMPUTED_VALUE"""),20009)</f>
        <v>20009</v>
      </c>
    </row>
    <row r="3138" spans="1:50" ht="60" x14ac:dyDescent="0.2">
      <c r="A3138" s="8" t="str">
        <f ca="1">IFERROR(__xludf.DUMMYFUNCTION("""COMPUTED_VALUE"""),"19690121KYSHL")</f>
        <v>19690121KYSHL</v>
      </c>
      <c r="B3138" s="8">
        <f ca="1">IFERROR(__xludf.DUMMYFUNCTION("""COMPUTED_VALUE"""),1)</f>
        <v>1</v>
      </c>
      <c r="C3138" s="8">
        <f ca="1">IFERROR(__xludf.DUMMYFUNCTION("""COMPUTED_VALUE"""),21)</f>
        <v>21</v>
      </c>
      <c r="D3138" s="8">
        <f ca="1">IFERROR(__xludf.DUMMYFUNCTION("""COMPUTED_VALUE"""),1969)</f>
        <v>1969</v>
      </c>
      <c r="E3138" s="9">
        <f ca="1">IFERROR(__xludf.DUMMYFUNCTION("""COMPUTED_VALUE"""),25224)</f>
        <v>25224</v>
      </c>
      <c r="F3138" s="8" t="str">
        <f ca="1">IFERROR(__xludf.DUMMYFUNCTION("""COMPUTED_VALUE"""),"Shawnee Junior-Senior High School")</f>
        <v>Shawnee Junior-Senior High School</v>
      </c>
      <c r="G3138" s="8">
        <f ca="1">IFERROR(__xludf.DUMMYFUNCTION("""COMPUTED_VALUE"""),0)</f>
        <v>0</v>
      </c>
      <c r="H3138" s="8">
        <f ca="1">IFERROR(__xludf.DUMMYFUNCTION("""COMPUTED_VALUE"""),0)</f>
        <v>0</v>
      </c>
      <c r="I3138" s="8">
        <f ca="1">IFERROR(__xludf.DUMMYFUNCTION("""COMPUTED_VALUE"""),0)</f>
        <v>0</v>
      </c>
      <c r="J3138" s="8">
        <f ca="1">IFERROR(__xludf.DUMMYFUNCTION("""COMPUTED_VALUE"""),0)</f>
        <v>0</v>
      </c>
      <c r="K3138" s="10" t="str">
        <f ca="1">IFERROR(__xludf.DUMMYFUNCTION("""COMPUTED_VALUE"""),"https://www.newspapers.com/image/109484775/?terms=school%20shooting&amp;match=1")</f>
        <v>https://www.newspapers.com/image/109484775/?terms=school%20shooting&amp;match=1</v>
      </c>
      <c r="L3138" s="8"/>
      <c r="M3138" s="8" t="str">
        <f ca="1">IFERROR(__xludf.DUMMYFUNCTION("""COMPUTED_VALUE"""),"Regional")</f>
        <v>Regional</v>
      </c>
      <c r="N3138" s="8">
        <f ca="1">IFERROR(__xludf.DUMMYFUNCTION("""COMPUTED_VALUE"""),4)</f>
        <v>4</v>
      </c>
      <c r="O3138" s="8" t="str">
        <f ca="1">IFERROR(__xludf.DUMMYFUNCTION("""COMPUTED_VALUE"""),"Winter")</f>
        <v>Winter</v>
      </c>
      <c r="P3138" s="8" t="str">
        <f ca="1">IFERROR(__xludf.DUMMYFUNCTION("""COMPUTED_VALUE"""),"Louisville")</f>
        <v>Louisville</v>
      </c>
      <c r="Q3138" s="8" t="str">
        <f ca="1">IFERROR(__xludf.DUMMYFUNCTION("""COMPUTED_VALUE"""),"KY")</f>
        <v>KY</v>
      </c>
      <c r="R3138" s="8" t="str">
        <f ca="1">IFERROR(__xludf.DUMMYFUNCTION("""COMPUTED_VALUE"""),"High")</f>
        <v>High</v>
      </c>
      <c r="S3138" s="8" t="str">
        <f ca="1">IFERROR(__xludf.DUMMYFUNCTION("""COMPUTED_VALUE"""),"Auditorium")</f>
        <v>Auditorium</v>
      </c>
      <c r="T3138" s="8" t="str">
        <f ca="1">IFERROR(__xludf.DUMMYFUNCTION("""COMPUTED_VALUE"""),"Inside School Building")</f>
        <v>Inside School Building</v>
      </c>
      <c r="U3138" s="8" t="str">
        <f ca="1">IFERROR(__xludf.DUMMYFUNCTION("""COMPUTED_VALUE"""),"Yes")</f>
        <v>Yes</v>
      </c>
      <c r="V3138" s="8" t="str">
        <f ca="1">IFERROR(__xludf.DUMMYFUNCTION("""COMPUTED_VALUE"""),"Afternoon Classes")</f>
        <v>Afternoon Classes</v>
      </c>
      <c r="W3138" s="8"/>
      <c r="X3138" s="8">
        <f ca="1">IFERROR(__xludf.DUMMYFUNCTION("""COMPUTED_VALUE"""),1)</f>
        <v>1</v>
      </c>
      <c r="Y3138" s="12" t="str">
        <f ca="1">IFERROR(__xludf.DUMMYFUNCTION("""COMPUTED_VALUE"""),"Student fired shots in auditorium and gym during classes")</f>
        <v>Student fired shots in auditorium and gym during classes</v>
      </c>
      <c r="Z3138" s="12" t="str">
        <f ca="1">IFERROR(__xludf.DUMMYFUNCTION("""COMPUTED_VALUE"""),"16-year-old student fired shots in auditorium and gym during classes. Left campus and shot a 68-year-old man in the leg during a robbery. Arrested and charged with multiple crimes.")</f>
        <v>16-year-old student fired shots in auditorium and gym during classes. Left campus and shot a 68-year-old man in the leg during a robbery. Arrested and charged with multiple crimes.</v>
      </c>
      <c r="AA3138" s="8" t="str">
        <f ca="1">IFERROR(__xludf.DUMMYFUNCTION("""COMPUTED_VALUE"""),"Illegal Activity")</f>
        <v>Illegal Activity</v>
      </c>
      <c r="AB3138" s="8"/>
      <c r="AC3138" s="8" t="str">
        <f ca="1">IFERROR(__xludf.DUMMYFUNCTION("""COMPUTED_VALUE"""),"Yes")</f>
        <v>Yes</v>
      </c>
      <c r="AD3138" s="8" t="str">
        <f ca="1">IFERROR(__xludf.DUMMYFUNCTION("""COMPUTED_VALUE"""),"Random Shooting")</f>
        <v>Random Shooting</v>
      </c>
      <c r="AE3138" s="8" t="str">
        <f ca="1">IFERROR(__xludf.DUMMYFUNCTION("""COMPUTED_VALUE"""),"Yes")</f>
        <v>Yes</v>
      </c>
      <c r="AF3138" s="8" t="str">
        <f ca="1">IFERROR(__xludf.DUMMYFUNCTION("""COMPUTED_VALUE"""),"Group of 4 students")</f>
        <v>Group of 4 students</v>
      </c>
      <c r="AG3138" s="8" t="str">
        <f ca="1">IFERROR(__xludf.DUMMYFUNCTION("""COMPUTED_VALUE"""),"No")</f>
        <v>No</v>
      </c>
      <c r="AH3138" s="8" t="str">
        <f ca="1">IFERROR(__xludf.DUMMYFUNCTION("""COMPUTED_VALUE"""),"No")</f>
        <v>No</v>
      </c>
      <c r="AI3138" s="8" t="str">
        <f ca="1">IFERROR(__xludf.DUMMYFUNCTION("""COMPUTED_VALUE"""),"No")</f>
        <v>No</v>
      </c>
      <c r="AJ3138" s="8" t="str">
        <f ca="1">IFERROR(__xludf.DUMMYFUNCTION("""COMPUTED_VALUE"""),"No")</f>
        <v>No</v>
      </c>
      <c r="AK3138" s="8" t="str">
        <f ca="1">IFERROR(__xludf.DUMMYFUNCTION("""COMPUTED_VALUE"""),"No")</f>
        <v>No</v>
      </c>
      <c r="AL3138" s="8"/>
      <c r="AM3138" s="8" t="str">
        <f ca="1">IFERROR(__xludf.DUMMYFUNCTION("""COMPUTED_VALUE"""),"No")</f>
        <v>No</v>
      </c>
      <c r="AN3138" s="8" t="str">
        <f ca="1">IFERROR(__xludf.DUMMYFUNCTION("""COMPUTED_VALUE"""),"Multiple Rooms")</f>
        <v>Multiple Rooms</v>
      </c>
      <c r="AO3138" s="8" t="str">
        <f ca="1">IFERROR(__xludf.DUMMYFUNCTION("""COMPUTED_VALUE"""),"No")</f>
        <v>No</v>
      </c>
      <c r="AP3138" s="8"/>
      <c r="AQ3138" s="8"/>
      <c r="AR3138" s="8"/>
      <c r="AS3138" s="8">
        <f ca="1">IFERROR(__xludf.DUMMYFUNCTION("""COMPUTED_VALUE"""),6)</f>
        <v>6</v>
      </c>
      <c r="AT3138" s="8"/>
      <c r="AU3138" s="8">
        <f ca="1">IFERROR(__xludf.DUMMYFUNCTION("""COMPUTED_VALUE"""),38.260834)</f>
        <v>38.260834000000003</v>
      </c>
      <c r="AV3138" s="8">
        <f ca="1">IFERROR(__xludf.DUMMYFUNCTION("""COMPUTED_VALUE"""),-85.815832)</f>
        <v>-85.815832</v>
      </c>
      <c r="AW3138" s="8"/>
      <c r="AX3138" s="8">
        <f ca="1">IFERROR(__xludf.DUMMYFUNCTION("""COMPUTED_VALUE"""),40211)</f>
        <v>40211</v>
      </c>
    </row>
    <row r="3139" spans="1:50" ht="60" x14ac:dyDescent="0.2">
      <c r="A3139" s="8" t="str">
        <f ca="1">IFERROR(__xludf.DUMMYFUNCTION("""COMPUTED_VALUE"""),"19681010TNRIC")</f>
        <v>19681010TNRIC</v>
      </c>
      <c r="B3139" s="8">
        <f ca="1">IFERROR(__xludf.DUMMYFUNCTION("""COMPUTED_VALUE"""),10)</f>
        <v>10</v>
      </c>
      <c r="C3139" s="8">
        <f ca="1">IFERROR(__xludf.DUMMYFUNCTION("""COMPUTED_VALUE"""),10)</f>
        <v>10</v>
      </c>
      <c r="D3139" s="8">
        <f ca="1">IFERROR(__xludf.DUMMYFUNCTION("""COMPUTED_VALUE"""),1968)</f>
        <v>1968</v>
      </c>
      <c r="E3139" s="9">
        <f ca="1">IFERROR(__xludf.DUMMYFUNCTION("""COMPUTED_VALUE"""),25121)</f>
        <v>25121</v>
      </c>
      <c r="F3139" s="8" t="str">
        <f ca="1">IFERROR(__xludf.DUMMYFUNCTION("""COMPUTED_VALUE"""),"Riverside High School")</f>
        <v>Riverside High School</v>
      </c>
      <c r="G3139" s="8">
        <f ca="1">IFERROR(__xludf.DUMMYFUNCTION("""COMPUTED_VALUE"""),1)</f>
        <v>1</v>
      </c>
      <c r="H3139" s="8">
        <f ca="1">IFERROR(__xludf.DUMMYFUNCTION("""COMPUTED_VALUE"""),0)</f>
        <v>0</v>
      </c>
      <c r="I3139" s="8">
        <f ca="1">IFERROR(__xludf.DUMMYFUNCTION("""COMPUTED_VALUE"""),1)</f>
        <v>1</v>
      </c>
      <c r="J3139" s="8">
        <f ca="1">IFERROR(__xludf.DUMMYFUNCTION("""COMPUTED_VALUE"""),0)</f>
        <v>0</v>
      </c>
      <c r="K3139" s="10" t="str">
        <f ca="1">IFERROR(__xludf.DUMMYFUNCTION("""COMPUTED_VALUE"""),"https://www.newspapers.com/image/799719070/?terms=school%20shooting&amp;match=1")</f>
        <v>https://www.newspapers.com/image/799719070/?terms=school%20shooting&amp;match=1</v>
      </c>
      <c r="L3139" s="8"/>
      <c r="M3139" s="8" t="str">
        <f ca="1">IFERROR(__xludf.DUMMYFUNCTION("""COMPUTED_VALUE"""),"Regional")</f>
        <v>Regional</v>
      </c>
      <c r="N3139" s="8">
        <f ca="1">IFERROR(__xludf.DUMMYFUNCTION("""COMPUTED_VALUE"""),4)</f>
        <v>4</v>
      </c>
      <c r="O3139" s="8" t="str">
        <f ca="1">IFERROR(__xludf.DUMMYFUNCTION("""COMPUTED_VALUE"""),"Fall")</f>
        <v>Fall</v>
      </c>
      <c r="P3139" s="8" t="str">
        <f ca="1">IFERROR(__xludf.DUMMYFUNCTION("""COMPUTED_VALUE"""),"Chattanooga")</f>
        <v>Chattanooga</v>
      </c>
      <c r="Q3139" s="8" t="str">
        <f ca="1">IFERROR(__xludf.DUMMYFUNCTION("""COMPUTED_VALUE"""),"TN")</f>
        <v>TN</v>
      </c>
      <c r="R3139" s="8" t="str">
        <f ca="1">IFERROR(__xludf.DUMMYFUNCTION("""COMPUTED_VALUE"""),"High")</f>
        <v>High</v>
      </c>
      <c r="S3139" s="8" t="str">
        <f ca="1">IFERROR(__xludf.DUMMYFUNCTION("""COMPUTED_VALUE"""),"Cafeteria")</f>
        <v>Cafeteria</v>
      </c>
      <c r="T3139" s="8" t="str">
        <f ca="1">IFERROR(__xludf.DUMMYFUNCTION("""COMPUTED_VALUE"""),"Inside School Building")</f>
        <v>Inside School Building</v>
      </c>
      <c r="U3139" s="8" t="str">
        <f ca="1">IFERROR(__xludf.DUMMYFUNCTION("""COMPUTED_VALUE"""),"Yes")</f>
        <v>Yes</v>
      </c>
      <c r="V3139" s="8" t="str">
        <f ca="1">IFERROR(__xludf.DUMMYFUNCTION("""COMPUTED_VALUE"""),"Lunch")</f>
        <v>Lunch</v>
      </c>
      <c r="W3139" s="11">
        <f ca="1">IFERROR(__xludf.DUMMYFUNCTION("""COMPUTED_VALUE"""),0.5)</f>
        <v>0.5</v>
      </c>
      <c r="X3139" s="8">
        <f ca="1">IFERROR(__xludf.DUMMYFUNCTION("""COMPUTED_VALUE"""),1)</f>
        <v>1</v>
      </c>
      <c r="Y3139" s="12" t="str">
        <f ca="1">IFERROR(__xludf.DUMMYFUNCTION("""COMPUTED_VALUE"""),"Student fatally shot another student in the back inside the cafeteria at lunch")</f>
        <v>Student fatally shot another student in the back inside the cafeteria at lunch</v>
      </c>
      <c r="Z3139" s="12" t="str">
        <f ca="1">IFERROR(__xludf.DUMMYFUNCTION("""COMPUTED_VALUE"""),"A 19-year-old student fatally shot a 17-year-old student in the back in the cafeteria. Victim collapsed and died. Shooter was arrested. Many students fled from the school after the shooting.")</f>
        <v>A 19-year-old student fatally shot a 17-year-old student in the back in the cafeteria. Victim collapsed and died. Shooter was arrested. Many students fled from the school after the shooting.</v>
      </c>
      <c r="AA3139" s="8" t="str">
        <f ca="1">IFERROR(__xludf.DUMMYFUNCTION("""COMPUTED_VALUE"""),"Escalation of Dispute")</f>
        <v>Escalation of Dispute</v>
      </c>
      <c r="AB3139" s="8"/>
      <c r="AC3139" s="8" t="str">
        <f ca="1">IFERROR(__xludf.DUMMYFUNCTION("""COMPUTED_VALUE"""),"Yes")</f>
        <v>Yes</v>
      </c>
      <c r="AD3139" s="8" t="str">
        <f ca="1">IFERROR(__xludf.DUMMYFUNCTION("""COMPUTED_VALUE"""),"Victims Targeted")</f>
        <v>Victims Targeted</v>
      </c>
      <c r="AE3139" s="8" t="str">
        <f ca="1">IFERROR(__xludf.DUMMYFUNCTION("""COMPUTED_VALUE"""),"No")</f>
        <v>No</v>
      </c>
      <c r="AF3139" s="8"/>
      <c r="AG3139" s="8" t="str">
        <f ca="1">IFERROR(__xludf.DUMMYFUNCTION("""COMPUTED_VALUE"""),"No")</f>
        <v>No</v>
      </c>
      <c r="AH3139" s="8" t="str">
        <f ca="1">IFERROR(__xludf.DUMMYFUNCTION("""COMPUTED_VALUE"""),"No")</f>
        <v>No</v>
      </c>
      <c r="AI3139" s="8" t="str">
        <f ca="1">IFERROR(__xludf.DUMMYFUNCTION("""COMPUTED_VALUE"""),"No")</f>
        <v>No</v>
      </c>
      <c r="AJ3139" s="8" t="str">
        <f ca="1">IFERROR(__xludf.DUMMYFUNCTION("""COMPUTED_VALUE"""),"No")</f>
        <v>No</v>
      </c>
      <c r="AK3139" s="8" t="str">
        <f ca="1">IFERROR(__xludf.DUMMYFUNCTION("""COMPUTED_VALUE"""),"No")</f>
        <v>No</v>
      </c>
      <c r="AL3139" s="8" t="str">
        <f ca="1">IFERROR(__xludf.DUMMYFUNCTION("""COMPUTED_VALUE"""),"No")</f>
        <v>No</v>
      </c>
      <c r="AM3139" s="8" t="str">
        <f ca="1">IFERROR(__xludf.DUMMYFUNCTION("""COMPUTED_VALUE"""),"No")</f>
        <v>No</v>
      </c>
      <c r="AN3139" s="8" t="str">
        <f ca="1">IFERROR(__xludf.DUMMYFUNCTION("""COMPUTED_VALUE"""),"Single Room")</f>
        <v>Single Room</v>
      </c>
      <c r="AO3139" s="8" t="str">
        <f ca="1">IFERROR(__xludf.DUMMYFUNCTION("""COMPUTED_VALUE"""),"No")</f>
        <v>No</v>
      </c>
      <c r="AP3139" s="8"/>
      <c r="AQ3139" s="8"/>
      <c r="AR3139" s="8"/>
      <c r="AS3139" s="8">
        <f ca="1">IFERROR(__xludf.DUMMYFUNCTION("""COMPUTED_VALUE"""),1)</f>
        <v>1</v>
      </c>
      <c r="AT3139" s="8"/>
      <c r="AU3139" s="8">
        <f ca="1">IFERROR(__xludf.DUMMYFUNCTION("""COMPUTED_VALUE"""),35.050069)</f>
        <v>35.050069000000001</v>
      </c>
      <c r="AV3139" s="8">
        <f ca="1">IFERROR(__xludf.DUMMYFUNCTION("""COMPUTED_VALUE"""),-85.294549)</f>
        <v>-85.294549000000004</v>
      </c>
      <c r="AW3139" s="8"/>
      <c r="AX3139" s="8">
        <f ca="1">IFERROR(__xludf.DUMMYFUNCTION("""COMPUTED_VALUE"""),37403)</f>
        <v>37403</v>
      </c>
    </row>
    <row r="3140" spans="1:50" ht="45" x14ac:dyDescent="0.2">
      <c r="A3140" s="8" t="str">
        <f ca="1">IFERROR(__xludf.DUMMYFUNCTION("""COMPUTED_VALUE"""),"19680928ILTIC")</f>
        <v>19680928ILTIC</v>
      </c>
      <c r="B3140" s="8">
        <f ca="1">IFERROR(__xludf.DUMMYFUNCTION("""COMPUTED_VALUE"""),9)</f>
        <v>9</v>
      </c>
      <c r="C3140" s="8">
        <f ca="1">IFERROR(__xludf.DUMMYFUNCTION("""COMPUTED_VALUE"""),28)</f>
        <v>28</v>
      </c>
      <c r="D3140" s="8">
        <f ca="1">IFERROR(__xludf.DUMMYFUNCTION("""COMPUTED_VALUE"""),1968)</f>
        <v>1968</v>
      </c>
      <c r="E3140" s="9">
        <f ca="1">IFERROR(__xludf.DUMMYFUNCTION("""COMPUTED_VALUE"""),25109)</f>
        <v>25109</v>
      </c>
      <c r="F3140" s="8" t="str">
        <f ca="1">IFERROR(__xludf.DUMMYFUNCTION("""COMPUTED_VALUE"""),"Tilden High School")</f>
        <v>Tilden High School</v>
      </c>
      <c r="G3140" s="8">
        <f ca="1">IFERROR(__xludf.DUMMYFUNCTION("""COMPUTED_VALUE"""),0)</f>
        <v>0</v>
      </c>
      <c r="H3140" s="8">
        <f ca="1">IFERROR(__xludf.DUMMYFUNCTION("""COMPUTED_VALUE"""),1)</f>
        <v>1</v>
      </c>
      <c r="I3140" s="8">
        <f ca="1">IFERROR(__xludf.DUMMYFUNCTION("""COMPUTED_VALUE"""),1)</f>
        <v>1</v>
      </c>
      <c r="J3140" s="8">
        <f ca="1">IFERROR(__xludf.DUMMYFUNCTION("""COMPUTED_VALUE"""),0)</f>
        <v>0</v>
      </c>
      <c r="K3140" s="10" t="str">
        <f ca="1">IFERROR(__xludf.DUMMYFUNCTION("""COMPUTED_VALUE"""),"https://chicagotribune.newspapers.com/image/376558128/?terms=tilden%2Bhigh%2Bschool")</f>
        <v>https://chicagotribune.newspapers.com/image/376558128/?terms=tilden%2Bhigh%2Bschool</v>
      </c>
      <c r="L3140" s="8"/>
      <c r="M3140" s="8" t="str">
        <f ca="1">IFERROR(__xludf.DUMMYFUNCTION("""COMPUTED_VALUE"""),"Local")</f>
        <v>Local</v>
      </c>
      <c r="N3140" s="8">
        <f ca="1">IFERROR(__xludf.DUMMYFUNCTION("""COMPUTED_VALUE"""),4)</f>
        <v>4</v>
      </c>
      <c r="O3140" s="8" t="str">
        <f ca="1">IFERROR(__xludf.DUMMYFUNCTION("""COMPUTED_VALUE"""),"Fall")</f>
        <v>Fall</v>
      </c>
      <c r="P3140" s="8" t="str">
        <f ca="1">IFERROR(__xludf.DUMMYFUNCTION("""COMPUTED_VALUE"""),"Chicago")</f>
        <v>Chicago</v>
      </c>
      <c r="Q3140" s="8" t="str">
        <f ca="1">IFERROR(__xludf.DUMMYFUNCTION("""COMPUTED_VALUE"""),"IL")</f>
        <v>IL</v>
      </c>
      <c r="R3140" s="8" t="str">
        <f ca="1">IFERROR(__xludf.DUMMYFUNCTION("""COMPUTED_VALUE"""),"High")</f>
        <v>High</v>
      </c>
      <c r="S3140" s="8" t="str">
        <f ca="1">IFERROR(__xludf.DUMMYFUNCTION("""COMPUTED_VALUE"""),"Front of School")</f>
        <v>Front of School</v>
      </c>
      <c r="T3140" s="8" t="str">
        <f ca="1">IFERROR(__xludf.DUMMYFUNCTION("""COMPUTED_VALUE"""),"Outside on School Property")</f>
        <v>Outside on School Property</v>
      </c>
      <c r="U3140" s="8" t="str">
        <f ca="1">IFERROR(__xludf.DUMMYFUNCTION("""COMPUTED_VALUE"""),"Yes")</f>
        <v>Yes</v>
      </c>
      <c r="V3140" s="8"/>
      <c r="W3140" s="8"/>
      <c r="X3140" s="8">
        <f ca="1">IFERROR(__xludf.DUMMYFUNCTION("""COMPUTED_VALUE"""),1)</f>
        <v>1</v>
      </c>
      <c r="Y3140" s="12" t="str">
        <f ca="1">IFERROR(__xludf.DUMMYFUNCTION("""COMPUTED_VALUE"""),"Student shot during fight between black and white students")</f>
        <v>Student shot during fight between black and white students</v>
      </c>
      <c r="Z3140" s="12" t="str">
        <f ca="1">IFERROR(__xludf.DUMMYFUNCTION("""COMPUTED_VALUE"""),"Student shot during fight between black and white students")</f>
        <v>Student shot during fight between black and white students</v>
      </c>
      <c r="AA3140" s="8" t="str">
        <f ca="1">IFERROR(__xludf.DUMMYFUNCTION("""COMPUTED_VALUE"""),"Racial")</f>
        <v>Racial</v>
      </c>
      <c r="AB3140" s="8"/>
      <c r="AC3140" s="8" t="str">
        <f ca="1">IFERROR(__xludf.DUMMYFUNCTION("""COMPUTED_VALUE"""),"Yes")</f>
        <v>Yes</v>
      </c>
      <c r="AD3140" s="8" t="str">
        <f ca="1">IFERROR(__xludf.DUMMYFUNCTION("""COMPUTED_VALUE"""),"Random Shooting")</f>
        <v>Random Shooting</v>
      </c>
      <c r="AE3140" s="8" t="str">
        <f ca="1">IFERROR(__xludf.DUMMYFUNCTION("""COMPUTED_VALUE"""),"Yes")</f>
        <v>Yes</v>
      </c>
      <c r="AF3140" s="8" t="str">
        <f ca="1">IFERROR(__xludf.DUMMYFUNCTION("""COMPUTED_VALUE"""),"Large fight")</f>
        <v>Large fight</v>
      </c>
      <c r="AG3140" s="8" t="str">
        <f ca="1">IFERROR(__xludf.DUMMYFUNCTION("""COMPUTED_VALUE"""),"No")</f>
        <v>No</v>
      </c>
      <c r="AH3140" s="8" t="str">
        <f ca="1">IFERROR(__xludf.DUMMYFUNCTION("""COMPUTED_VALUE"""),"No")</f>
        <v>No</v>
      </c>
      <c r="AI3140" s="8" t="str">
        <f ca="1">IFERROR(__xludf.DUMMYFUNCTION("""COMPUTED_VALUE"""),"No")</f>
        <v>No</v>
      </c>
      <c r="AJ3140" s="8" t="str">
        <f ca="1">IFERROR(__xludf.DUMMYFUNCTION("""COMPUTED_VALUE"""),"No")</f>
        <v>No</v>
      </c>
      <c r="AK3140" s="8" t="str">
        <f ca="1">IFERROR(__xludf.DUMMYFUNCTION("""COMPUTED_VALUE"""),"No")</f>
        <v>No</v>
      </c>
      <c r="AL3140" s="8" t="str">
        <f ca="1">IFERROR(__xludf.DUMMYFUNCTION("""COMPUTED_VALUE"""),"Yes")</f>
        <v>Yes</v>
      </c>
      <c r="AM3140" s="8" t="str">
        <f ca="1">IFERROR(__xludf.DUMMYFUNCTION("""COMPUTED_VALUE"""),"No")</f>
        <v>No</v>
      </c>
      <c r="AN3140" s="8" t="str">
        <f ca="1">IFERROR(__xludf.DUMMYFUNCTION("""COMPUTED_VALUE"""),"Outside")</f>
        <v>Outside</v>
      </c>
      <c r="AO3140" s="8" t="str">
        <f ca="1">IFERROR(__xludf.DUMMYFUNCTION("""COMPUTED_VALUE"""),"No")</f>
        <v>No</v>
      </c>
      <c r="AP3140" s="8"/>
      <c r="AQ3140" s="8"/>
      <c r="AR3140" s="8" t="str">
        <f ca="1">IFERROR(__xludf.DUMMYFUNCTION("""COMPUTED_VALUE"""),"Outside/Off-Property")</f>
        <v>Outside/Off-Property</v>
      </c>
      <c r="AS3140" s="8">
        <f ca="1">IFERROR(__xludf.DUMMYFUNCTION("""COMPUTED_VALUE"""),99)</f>
        <v>99</v>
      </c>
      <c r="AT3140" s="8"/>
      <c r="AU3140" s="8">
        <f ca="1">IFERROR(__xludf.DUMMYFUNCTION("""COMPUTED_VALUE"""),41.807503)</f>
        <v>41.807502999999997</v>
      </c>
      <c r="AV3140" s="8">
        <f ca="1">IFERROR(__xludf.DUMMYFUNCTION("""COMPUTED_VALUE"""),-87.642754)</f>
        <v>-87.642753999999996</v>
      </c>
      <c r="AW3140" s="8"/>
      <c r="AX3140" s="8">
        <f ca="1">IFERROR(__xludf.DUMMYFUNCTION("""COMPUTED_VALUE"""),60609)</f>
        <v>60609</v>
      </c>
    </row>
    <row r="3141" spans="1:50" ht="45" x14ac:dyDescent="0.2">
      <c r="A3141" s="8" t="str">
        <f ca="1">IFERROR(__xludf.DUMMYFUNCTION("""COMPUTED_VALUE"""),"19680905ILPAC")</f>
        <v>19680905ILPAC</v>
      </c>
      <c r="B3141" s="8">
        <f ca="1">IFERROR(__xludf.DUMMYFUNCTION("""COMPUTED_VALUE"""),9)</f>
        <v>9</v>
      </c>
      <c r="C3141" s="8">
        <f ca="1">IFERROR(__xludf.DUMMYFUNCTION("""COMPUTED_VALUE"""),5)</f>
        <v>5</v>
      </c>
      <c r="D3141" s="8">
        <f ca="1">IFERROR(__xludf.DUMMYFUNCTION("""COMPUTED_VALUE"""),1968)</f>
        <v>1968</v>
      </c>
      <c r="E3141" s="9">
        <f ca="1">IFERROR(__xludf.DUMMYFUNCTION("""COMPUTED_VALUE"""),25086)</f>
        <v>25086</v>
      </c>
      <c r="F3141" s="8" t="str">
        <f ca="1">IFERROR(__xludf.DUMMYFUNCTION("""COMPUTED_VALUE"""),"Parker High School")</f>
        <v>Parker High School</v>
      </c>
      <c r="G3141" s="8">
        <f ca="1">IFERROR(__xludf.DUMMYFUNCTION("""COMPUTED_VALUE"""),0)</f>
        <v>0</v>
      </c>
      <c r="H3141" s="8">
        <f ca="1">IFERROR(__xludf.DUMMYFUNCTION("""COMPUTED_VALUE"""),3)</f>
        <v>3</v>
      </c>
      <c r="I3141" s="8">
        <f ca="1">IFERROR(__xludf.DUMMYFUNCTION("""COMPUTED_VALUE"""),3)</f>
        <v>3</v>
      </c>
      <c r="J3141" s="8">
        <f ca="1">IFERROR(__xludf.DUMMYFUNCTION("""COMPUTED_VALUE"""),0)</f>
        <v>0</v>
      </c>
      <c r="K3141" s="10" t="str">
        <f ca="1">IFERROR(__xludf.DUMMYFUNCTION("""COMPUTED_VALUE"""),"https://www.newspapers.com/image/376621972/?terms=school%20shooting&amp;match=1")</f>
        <v>https://www.newspapers.com/image/376621972/?terms=school%20shooting&amp;match=1</v>
      </c>
      <c r="L3141" s="8"/>
      <c r="M3141" s="8" t="str">
        <f ca="1">IFERROR(__xludf.DUMMYFUNCTION("""COMPUTED_VALUE"""),"Local")</f>
        <v>Local</v>
      </c>
      <c r="N3141" s="8">
        <f ca="1">IFERROR(__xludf.DUMMYFUNCTION("""COMPUTED_VALUE"""),4)</f>
        <v>4</v>
      </c>
      <c r="O3141" s="8" t="str">
        <f ca="1">IFERROR(__xludf.DUMMYFUNCTION("""COMPUTED_VALUE"""),"Fall")</f>
        <v>Fall</v>
      </c>
      <c r="P3141" s="8" t="str">
        <f ca="1">IFERROR(__xludf.DUMMYFUNCTION("""COMPUTED_VALUE"""),"Chicago")</f>
        <v>Chicago</v>
      </c>
      <c r="Q3141" s="8" t="str">
        <f ca="1">IFERROR(__xludf.DUMMYFUNCTION("""COMPUTED_VALUE"""),"IL")</f>
        <v>IL</v>
      </c>
      <c r="R3141" s="8" t="str">
        <f ca="1">IFERROR(__xludf.DUMMYFUNCTION("""COMPUTED_VALUE"""),"High")</f>
        <v>High</v>
      </c>
      <c r="S3141" s="8" t="str">
        <f ca="1">IFERROR(__xludf.DUMMYFUNCTION("""COMPUTED_VALUE"""),"Hallway")</f>
        <v>Hallway</v>
      </c>
      <c r="T3141" s="8" t="str">
        <f ca="1">IFERROR(__xludf.DUMMYFUNCTION("""COMPUTED_VALUE"""),"Inside School Building")</f>
        <v>Inside School Building</v>
      </c>
      <c r="U3141" s="8" t="str">
        <f ca="1">IFERROR(__xludf.DUMMYFUNCTION("""COMPUTED_VALUE"""),"Yes")</f>
        <v>Yes</v>
      </c>
      <c r="V3141" s="8"/>
      <c r="W3141" s="8"/>
      <c r="X3141" s="8">
        <f ca="1">IFERROR(__xludf.DUMMYFUNCTION("""COMPUTED_VALUE"""),1)</f>
        <v>1</v>
      </c>
      <c r="Y3141" s="12" t="str">
        <f ca="1">IFERROR(__xludf.DUMMYFUNCTION("""COMPUTED_VALUE"""),"Three students shot in hallway during gang related fight")</f>
        <v>Three students shot in hallway during gang related fight</v>
      </c>
      <c r="Z3141" s="12" t="str">
        <f ca="1">IFERROR(__xludf.DUMMYFUNCTION("""COMPUTED_VALUE"""),"Three students, one was a bystander girl, were shot in the hallway during a fight between rival gang members. Shooter fled and was arrested a short distance from the school.")</f>
        <v>Three students, one was a bystander girl, were shot in the hallway during a fight between rival gang members. Shooter fled and was arrested a short distance from the school.</v>
      </c>
      <c r="AA3141" s="8" t="str">
        <f ca="1">IFERROR(__xludf.DUMMYFUNCTION("""COMPUTED_VALUE"""),"Escalation of Dispute")</f>
        <v>Escalation of Dispute</v>
      </c>
      <c r="AB3141" s="8"/>
      <c r="AC3141" s="8" t="str">
        <f ca="1">IFERROR(__xludf.DUMMYFUNCTION("""COMPUTED_VALUE"""),"Yes")</f>
        <v>Yes</v>
      </c>
      <c r="AD3141" s="8" t="str">
        <f ca="1">IFERROR(__xludf.DUMMYFUNCTION("""COMPUTED_VALUE"""),"Both")</f>
        <v>Both</v>
      </c>
      <c r="AE3141" s="8" t="str">
        <f ca="1">IFERROR(__xludf.DUMMYFUNCTION("""COMPUTED_VALUE"""),"Yes")</f>
        <v>Yes</v>
      </c>
      <c r="AF3141" s="8" t="str">
        <f ca="1">IFERROR(__xludf.DUMMYFUNCTION("""COMPUTED_VALUE"""),"Two arrested")</f>
        <v>Two arrested</v>
      </c>
      <c r="AG3141" s="8" t="str">
        <f ca="1">IFERROR(__xludf.DUMMYFUNCTION("""COMPUTED_VALUE"""),"No")</f>
        <v>No</v>
      </c>
      <c r="AH3141" s="8" t="str">
        <f ca="1">IFERROR(__xludf.DUMMYFUNCTION("""COMPUTED_VALUE"""),"No")</f>
        <v>No</v>
      </c>
      <c r="AI3141" s="8" t="str">
        <f ca="1">IFERROR(__xludf.DUMMYFUNCTION("""COMPUTED_VALUE"""),"No")</f>
        <v>No</v>
      </c>
      <c r="AJ3141" s="8" t="str">
        <f ca="1">IFERROR(__xludf.DUMMYFUNCTION("""COMPUTED_VALUE"""),"No")</f>
        <v>No</v>
      </c>
      <c r="AK3141" s="8" t="str">
        <f ca="1">IFERROR(__xludf.DUMMYFUNCTION("""COMPUTED_VALUE"""),"No")</f>
        <v>No</v>
      </c>
      <c r="AL3141" s="8" t="str">
        <f ca="1">IFERROR(__xludf.DUMMYFUNCTION("""COMPUTED_VALUE"""),"Yes")</f>
        <v>Yes</v>
      </c>
      <c r="AM3141" s="8" t="str">
        <f ca="1">IFERROR(__xludf.DUMMYFUNCTION("""COMPUTED_VALUE"""),"No")</f>
        <v>No</v>
      </c>
      <c r="AN3141" s="8" t="str">
        <f ca="1">IFERROR(__xludf.DUMMYFUNCTION("""COMPUTED_VALUE"""),"Hallway")</f>
        <v>Hallway</v>
      </c>
      <c r="AO3141" s="8" t="str">
        <f ca="1">IFERROR(__xludf.DUMMYFUNCTION("""COMPUTED_VALUE"""),"No")</f>
        <v>No</v>
      </c>
      <c r="AP3141" s="8"/>
      <c r="AQ3141" s="8"/>
      <c r="AR3141" s="8"/>
      <c r="AS3141" s="8">
        <f ca="1">IFERROR(__xludf.DUMMYFUNCTION("""COMPUTED_VALUE"""),99)</f>
        <v>99</v>
      </c>
      <c r="AT3141" s="8"/>
      <c r="AU3141" s="8">
        <f ca="1">IFERROR(__xludf.DUMMYFUNCTION("""COMPUTED_VALUE"""),41.922709)</f>
        <v>41.922708999999998</v>
      </c>
      <c r="AV3141" s="8">
        <f ca="1">IFERROR(__xludf.DUMMYFUNCTION("""COMPUTED_VALUE"""),-87.638478)</f>
        <v>-87.638478000000006</v>
      </c>
      <c r="AW3141" s="8"/>
      <c r="AX3141" s="8">
        <f ca="1">IFERROR(__xludf.DUMMYFUNCTION("""COMPUTED_VALUE"""),60614)</f>
        <v>60614</v>
      </c>
    </row>
    <row r="3142" spans="1:50" ht="60" x14ac:dyDescent="0.2">
      <c r="A3142" s="8" t="str">
        <f ca="1">IFERROR(__xludf.DUMMYFUNCTION("""COMPUTED_VALUE"""),"19680610CASAR")</f>
        <v>19680610CASAR</v>
      </c>
      <c r="B3142" s="8">
        <f ca="1">IFERROR(__xludf.DUMMYFUNCTION("""COMPUTED_VALUE"""),6)</f>
        <v>6</v>
      </c>
      <c r="C3142" s="8">
        <f ca="1">IFERROR(__xludf.DUMMYFUNCTION("""COMPUTED_VALUE"""),10)</f>
        <v>10</v>
      </c>
      <c r="D3142" s="8">
        <f ca="1">IFERROR(__xludf.DUMMYFUNCTION("""COMPUTED_VALUE"""),1968)</f>
        <v>1968</v>
      </c>
      <c r="E3142" s="9">
        <f ca="1">IFERROR(__xludf.DUMMYFUNCTION("""COMPUTED_VALUE"""),24999)</f>
        <v>24999</v>
      </c>
      <c r="F3142" s="8" t="str">
        <f ca="1">IFERROR(__xludf.DUMMYFUNCTION("""COMPUTED_VALUE"""),"San Carlos High School")</f>
        <v>San Carlos High School</v>
      </c>
      <c r="G3142" s="8">
        <f ca="1">IFERROR(__xludf.DUMMYFUNCTION("""COMPUTED_VALUE"""),0)</f>
        <v>0</v>
      </c>
      <c r="H3142" s="8">
        <f ca="1">IFERROR(__xludf.DUMMYFUNCTION("""COMPUTED_VALUE"""),1)</f>
        <v>1</v>
      </c>
      <c r="I3142" s="8">
        <f ca="1">IFERROR(__xludf.DUMMYFUNCTION("""COMPUTED_VALUE"""),1)</f>
        <v>1</v>
      </c>
      <c r="J3142" s="8">
        <f ca="1">IFERROR(__xludf.DUMMYFUNCTION("""COMPUTED_VALUE"""),0)</f>
        <v>0</v>
      </c>
      <c r="K3142" s="10" t="str">
        <f ca="1">IFERROR(__xludf.DUMMYFUNCTION("""COMPUTED_VALUE"""),"https://www.newspapers.com/image/842766463/?terms=school%20shooting&amp;match=1")</f>
        <v>https://www.newspapers.com/image/842766463/?terms=school%20shooting&amp;match=1</v>
      </c>
      <c r="L3142" s="8"/>
      <c r="M3142" s="8" t="str">
        <f ca="1">IFERROR(__xludf.DUMMYFUNCTION("""COMPUTED_VALUE"""),"Local")</f>
        <v>Local</v>
      </c>
      <c r="N3142" s="8">
        <f ca="1">IFERROR(__xludf.DUMMYFUNCTION("""COMPUTED_VALUE"""),4)</f>
        <v>4</v>
      </c>
      <c r="O3142" s="8" t="str">
        <f ca="1">IFERROR(__xludf.DUMMYFUNCTION("""COMPUTED_VALUE"""),"Summer")</f>
        <v>Summer</v>
      </c>
      <c r="P3142" s="8" t="str">
        <f ca="1">IFERROR(__xludf.DUMMYFUNCTION("""COMPUTED_VALUE"""),"Redwood City")</f>
        <v>Redwood City</v>
      </c>
      <c r="Q3142" s="8" t="str">
        <f ca="1">IFERROR(__xludf.DUMMYFUNCTION("""COMPUTED_VALUE"""),"CA")</f>
        <v>CA</v>
      </c>
      <c r="R3142" s="8" t="str">
        <f ca="1">IFERROR(__xludf.DUMMYFUNCTION("""COMPUTED_VALUE"""),"High")</f>
        <v>High</v>
      </c>
      <c r="S3142" s="8" t="str">
        <f ca="1">IFERROR(__xludf.DUMMYFUNCTION("""COMPUTED_VALUE"""),"School Bus")</f>
        <v>School Bus</v>
      </c>
      <c r="T3142" s="8" t="str">
        <f ca="1">IFERROR(__xludf.DUMMYFUNCTION("""COMPUTED_VALUE"""),"School Bus")</f>
        <v>School Bus</v>
      </c>
      <c r="U3142" s="8" t="str">
        <f ca="1">IFERROR(__xludf.DUMMYFUNCTION("""COMPUTED_VALUE"""),"Yes")</f>
        <v>Yes</v>
      </c>
      <c r="V3142" s="8" t="str">
        <f ca="1">IFERROR(__xludf.DUMMYFUNCTION("""COMPUTED_VALUE"""),"Dismissal")</f>
        <v>Dismissal</v>
      </c>
      <c r="W3142" s="11">
        <f ca="1">IFERROR(__xludf.DUMMYFUNCTION("""COMPUTED_VALUE"""),0.527777777777777)</f>
        <v>0.52777777777777701</v>
      </c>
      <c r="X3142" s="8">
        <f ca="1">IFERROR(__xludf.DUMMYFUNCTION("""COMPUTED_VALUE"""),1)</f>
        <v>1</v>
      </c>
      <c r="Y3142" s="12" t="str">
        <f ca="1">IFERROR(__xludf.DUMMYFUNCTION("""COMPUTED_VALUE"""),"Student fired gun on bus striking student sitting in front of him")</f>
        <v>Student fired gun on bus striking student sitting in front of him</v>
      </c>
      <c r="Z3142" s="12" t="str">
        <f ca="1">IFERROR(__xludf.DUMMYFUNCTION("""COMPUTED_VALUE"""),"17-year-old student was shot in the back when a student behind him fired a gun and the bullet went through the seat. Student was showing off the pistol when it fired. Shooter threw the gun out the window. ")</f>
        <v xml:space="preserve">17-year-old student was shot in the back when a student behind him fired a gun and the bullet went through the seat. Student was showing off the pistol when it fired. Shooter threw the gun out the window. </v>
      </c>
      <c r="AA3142" s="8" t="str">
        <f ca="1">IFERROR(__xludf.DUMMYFUNCTION("""COMPUTED_VALUE"""),"Accidental")</f>
        <v>Accidental</v>
      </c>
      <c r="AB3142" s="8"/>
      <c r="AC3142" s="8" t="str">
        <f ca="1">IFERROR(__xludf.DUMMYFUNCTION("""COMPUTED_VALUE"""),"Yes")</f>
        <v>Yes</v>
      </c>
      <c r="AD3142" s="8" t="str">
        <f ca="1">IFERROR(__xludf.DUMMYFUNCTION("""COMPUTED_VALUE"""),"Neither")</f>
        <v>Neither</v>
      </c>
      <c r="AE3142" s="8" t="str">
        <f ca="1">IFERROR(__xludf.DUMMYFUNCTION("""COMPUTED_VALUE"""),"No")</f>
        <v>No</v>
      </c>
      <c r="AF3142" s="8"/>
      <c r="AG3142" s="8" t="str">
        <f ca="1">IFERROR(__xludf.DUMMYFUNCTION("""COMPUTED_VALUE"""),"No")</f>
        <v>No</v>
      </c>
      <c r="AH3142" s="8" t="str">
        <f ca="1">IFERROR(__xludf.DUMMYFUNCTION("""COMPUTED_VALUE"""),"No")</f>
        <v>No</v>
      </c>
      <c r="AI3142" s="8" t="str">
        <f ca="1">IFERROR(__xludf.DUMMYFUNCTION("""COMPUTED_VALUE"""),"No")</f>
        <v>No</v>
      </c>
      <c r="AJ3142" s="8" t="str">
        <f ca="1">IFERROR(__xludf.DUMMYFUNCTION("""COMPUTED_VALUE"""),"No")</f>
        <v>No</v>
      </c>
      <c r="AK3142" s="8" t="str">
        <f ca="1">IFERROR(__xludf.DUMMYFUNCTION("""COMPUTED_VALUE"""),"No")</f>
        <v>No</v>
      </c>
      <c r="AL3142" s="8" t="str">
        <f ca="1">IFERROR(__xludf.DUMMYFUNCTION("""COMPUTED_VALUE"""),"No")</f>
        <v>No</v>
      </c>
      <c r="AM3142" s="8" t="str">
        <f ca="1">IFERROR(__xludf.DUMMYFUNCTION("""COMPUTED_VALUE"""),"No")</f>
        <v>No</v>
      </c>
      <c r="AN3142" s="8" t="str">
        <f ca="1">IFERROR(__xludf.DUMMYFUNCTION("""COMPUTED_VALUE"""),"Outside")</f>
        <v>Outside</v>
      </c>
      <c r="AO3142" s="8" t="str">
        <f ca="1">IFERROR(__xludf.DUMMYFUNCTION("""COMPUTED_VALUE"""),"No")</f>
        <v>No</v>
      </c>
      <c r="AP3142" s="8"/>
      <c r="AQ3142" s="8"/>
      <c r="AR3142" s="8"/>
      <c r="AS3142" s="8">
        <f ca="1">IFERROR(__xludf.DUMMYFUNCTION("""COMPUTED_VALUE"""),1)</f>
        <v>1</v>
      </c>
      <c r="AT3142" s="8"/>
      <c r="AU3142" s="8">
        <f ca="1">IFERROR(__xludf.DUMMYFUNCTION("""COMPUTED_VALUE"""),37.486666)</f>
        <v>37.486666</v>
      </c>
      <c r="AV3142" s="8">
        <f ca="1">IFERROR(__xludf.DUMMYFUNCTION("""COMPUTED_VALUE"""),-122.210686)</f>
        <v>-122.210686</v>
      </c>
      <c r="AW3142" s="8"/>
      <c r="AX3142" s="8">
        <f ca="1">IFERROR(__xludf.DUMMYFUNCTION("""COMPUTED_VALUE"""),94063)</f>
        <v>94063</v>
      </c>
    </row>
    <row r="3143" spans="1:50" ht="60" x14ac:dyDescent="0.2">
      <c r="A3143" s="8" t="str">
        <f ca="1">IFERROR(__xludf.DUMMYFUNCTION("""COMPUTED_VALUE"""),"19680522FLCHM")</f>
        <v>19680522FLCHM</v>
      </c>
      <c r="B3143" s="8">
        <f ca="1">IFERROR(__xludf.DUMMYFUNCTION("""COMPUTED_VALUE"""),5)</f>
        <v>5</v>
      </c>
      <c r="C3143" s="8">
        <f ca="1">IFERROR(__xludf.DUMMYFUNCTION("""COMPUTED_VALUE"""),22)</f>
        <v>22</v>
      </c>
      <c r="D3143" s="8">
        <f ca="1">IFERROR(__xludf.DUMMYFUNCTION("""COMPUTED_VALUE"""),1968)</f>
        <v>1968</v>
      </c>
      <c r="E3143" s="9">
        <f ca="1">IFERROR(__xludf.DUMMYFUNCTION("""COMPUTED_VALUE"""),24980)</f>
        <v>24980</v>
      </c>
      <c r="F3143" s="8" t="str">
        <f ca="1">IFERROR(__xludf.DUMMYFUNCTION("""COMPUTED_VALUE"""),"Charles R Drew K-8 Center")</f>
        <v>Charles R Drew K-8 Center</v>
      </c>
      <c r="G3143" s="8">
        <f ca="1">IFERROR(__xludf.DUMMYFUNCTION("""COMPUTED_VALUE"""),0)</f>
        <v>0</v>
      </c>
      <c r="H3143" s="8">
        <f ca="1">IFERROR(__xludf.DUMMYFUNCTION("""COMPUTED_VALUE"""),2)</f>
        <v>2</v>
      </c>
      <c r="I3143" s="8">
        <f ca="1">IFERROR(__xludf.DUMMYFUNCTION("""COMPUTED_VALUE"""),2)</f>
        <v>2</v>
      </c>
      <c r="J3143" s="8">
        <f ca="1">IFERROR(__xludf.DUMMYFUNCTION("""COMPUTED_VALUE"""),0)</f>
        <v>0</v>
      </c>
      <c r="K3143" s="10" t="str">
        <f ca="1">IFERROR(__xludf.DUMMYFUNCTION("""COMPUTED_VALUE"""),"https://news.google.com/newspapers?id=bEpQAAAAIBAJ&amp;pg=4416,5249568")</f>
        <v>https://news.google.com/newspapers?id=bEpQAAAAIBAJ&amp;pg=4416,5249568</v>
      </c>
      <c r="L3143" s="8"/>
      <c r="M3143" s="8" t="str">
        <f ca="1">IFERROR(__xludf.DUMMYFUNCTION("""COMPUTED_VALUE"""),"Regional")</f>
        <v>Regional</v>
      </c>
      <c r="N3143" s="8">
        <f ca="1">IFERROR(__xludf.DUMMYFUNCTION("""COMPUTED_VALUE"""),4)</f>
        <v>4</v>
      </c>
      <c r="O3143" s="8" t="str">
        <f ca="1">IFERROR(__xludf.DUMMYFUNCTION("""COMPUTED_VALUE"""),"Spring")</f>
        <v>Spring</v>
      </c>
      <c r="P3143" s="8" t="str">
        <f ca="1">IFERROR(__xludf.DUMMYFUNCTION("""COMPUTED_VALUE"""),"Miami")</f>
        <v>Miami</v>
      </c>
      <c r="Q3143" s="8" t="str">
        <f ca="1">IFERROR(__xludf.DUMMYFUNCTION("""COMPUTED_VALUE"""),"FL")</f>
        <v>FL</v>
      </c>
      <c r="R3143" s="8" t="str">
        <f ca="1">IFERROR(__xludf.DUMMYFUNCTION("""COMPUTED_VALUE"""),"Middle")</f>
        <v>Middle</v>
      </c>
      <c r="S3143" s="8" t="str">
        <f ca="1">IFERROR(__xludf.DUMMYFUNCTION("""COMPUTED_VALUE"""),"Classroom")</f>
        <v>Classroom</v>
      </c>
      <c r="T3143" s="8" t="str">
        <f ca="1">IFERROR(__xludf.DUMMYFUNCTION("""COMPUTED_VALUE"""),"Inside School Building")</f>
        <v>Inside School Building</v>
      </c>
      <c r="U3143" s="8" t="str">
        <f ca="1">IFERROR(__xludf.DUMMYFUNCTION("""COMPUTED_VALUE"""),"Yes")</f>
        <v>Yes</v>
      </c>
      <c r="V3143" s="8"/>
      <c r="W3143" s="8"/>
      <c r="X3143" s="8">
        <f ca="1">IFERROR(__xludf.DUMMYFUNCTION("""COMPUTED_VALUE"""),1)</f>
        <v>1</v>
      </c>
      <c r="Y3143" s="12" t="str">
        <f ca="1">IFERROR(__xludf.DUMMYFUNCTION("""COMPUTED_VALUE"""),"Student shot classmate and teacher affter being disciplined")</f>
        <v>Student shot classmate and teacher affter being disciplined</v>
      </c>
      <c r="Z3143" s="12" t="str">
        <f ca="1">IFERROR(__xludf.DUMMYFUNCTION("""COMPUTED_VALUE"""),"Student shot classmate and teacher affter being disciplined")</f>
        <v>Student shot classmate and teacher affter being disciplined</v>
      </c>
      <c r="AA3143" s="8" t="str">
        <f ca="1">IFERROR(__xludf.DUMMYFUNCTION("""COMPUTED_VALUE"""),"Anger Over Grade/Suspension/Discipline")</f>
        <v>Anger Over Grade/Suspension/Discipline</v>
      </c>
      <c r="AB3143" s="8"/>
      <c r="AC3143" s="8" t="str">
        <f ca="1">IFERROR(__xludf.DUMMYFUNCTION("""COMPUTED_VALUE"""),"Yes")</f>
        <v>Yes</v>
      </c>
      <c r="AD3143" s="8" t="str">
        <f ca="1">IFERROR(__xludf.DUMMYFUNCTION("""COMPUTED_VALUE"""),"Both")</f>
        <v>Both</v>
      </c>
      <c r="AE3143" s="8" t="str">
        <f ca="1">IFERROR(__xludf.DUMMYFUNCTION("""COMPUTED_VALUE"""),"No")</f>
        <v>No</v>
      </c>
      <c r="AF3143" s="8"/>
      <c r="AG3143" s="8" t="str">
        <f ca="1">IFERROR(__xludf.DUMMYFUNCTION("""COMPUTED_VALUE"""),"No")</f>
        <v>No</v>
      </c>
      <c r="AH3143" s="8" t="str">
        <f ca="1">IFERROR(__xludf.DUMMYFUNCTION("""COMPUTED_VALUE"""),"No")</f>
        <v>No</v>
      </c>
      <c r="AI3143" s="8" t="str">
        <f ca="1">IFERROR(__xludf.DUMMYFUNCTION("""COMPUTED_VALUE"""),"No")</f>
        <v>No</v>
      </c>
      <c r="AJ3143" s="8" t="str">
        <f ca="1">IFERROR(__xludf.DUMMYFUNCTION("""COMPUTED_VALUE"""),"No")</f>
        <v>No</v>
      </c>
      <c r="AK3143" s="8" t="str">
        <f ca="1">IFERROR(__xludf.DUMMYFUNCTION("""COMPUTED_VALUE"""),"No")</f>
        <v>No</v>
      </c>
      <c r="AL3143" s="8" t="str">
        <f ca="1">IFERROR(__xludf.DUMMYFUNCTION("""COMPUTED_VALUE"""),"No")</f>
        <v>No</v>
      </c>
      <c r="AM3143" s="8" t="str">
        <f ca="1">IFERROR(__xludf.DUMMYFUNCTION("""COMPUTED_VALUE"""),"No")</f>
        <v>No</v>
      </c>
      <c r="AN3143" s="8" t="str">
        <f ca="1">IFERROR(__xludf.DUMMYFUNCTION("""COMPUTED_VALUE"""),"Single Room")</f>
        <v>Single Room</v>
      </c>
      <c r="AO3143" s="8" t="str">
        <f ca="1">IFERROR(__xludf.DUMMYFUNCTION("""COMPUTED_VALUE"""),"No")</f>
        <v>No</v>
      </c>
      <c r="AP3143" s="8"/>
      <c r="AQ3143" s="8"/>
      <c r="AR3143" s="8"/>
      <c r="AS3143" s="8">
        <f ca="1">IFERROR(__xludf.DUMMYFUNCTION("""COMPUTED_VALUE"""),99)</f>
        <v>99</v>
      </c>
      <c r="AT3143" s="8"/>
      <c r="AU3143" s="8">
        <f ca="1">IFERROR(__xludf.DUMMYFUNCTION("""COMPUTED_VALUE"""),25.830048)</f>
        <v>25.830048000000001</v>
      </c>
      <c r="AV3143" s="8">
        <f ca="1">IFERROR(__xludf.DUMMYFUNCTION("""COMPUTED_VALUE"""),-80.226066)</f>
        <v>-80.226066000000003</v>
      </c>
      <c r="AW3143" s="8"/>
      <c r="AX3143" s="8">
        <f ca="1">IFERROR(__xludf.DUMMYFUNCTION("""COMPUTED_VALUE"""),33142)</f>
        <v>33142</v>
      </c>
    </row>
    <row r="3144" spans="1:50" ht="90" x14ac:dyDescent="0.2">
      <c r="A3144" s="8" t="str">
        <f ca="1">IFERROR(__xludf.DUMMYFUNCTION("""COMPUTED_VALUE"""),"19680325NCHIH")</f>
        <v>19680325NCHIH</v>
      </c>
      <c r="B3144" s="8">
        <f ca="1">IFERROR(__xludf.DUMMYFUNCTION("""COMPUTED_VALUE"""),3)</f>
        <v>3</v>
      </c>
      <c r="C3144" s="8">
        <f ca="1">IFERROR(__xludf.DUMMYFUNCTION("""COMPUTED_VALUE"""),25)</f>
        <v>25</v>
      </c>
      <c r="D3144" s="8">
        <f ca="1">IFERROR(__xludf.DUMMYFUNCTION("""COMPUTED_VALUE"""),1968)</f>
        <v>1968</v>
      </c>
      <c r="E3144" s="9">
        <f ca="1">IFERROR(__xludf.DUMMYFUNCTION("""COMPUTED_VALUE"""),24922)</f>
        <v>24922</v>
      </c>
      <c r="F3144" s="8" t="str">
        <f ca="1">IFERROR(__xludf.DUMMYFUNCTION("""COMPUTED_VALUE"""),"High Point Central High School")</f>
        <v>High Point Central High School</v>
      </c>
      <c r="G3144" s="8">
        <f ca="1">IFERROR(__xludf.DUMMYFUNCTION("""COMPUTED_VALUE"""),1)</f>
        <v>1</v>
      </c>
      <c r="H3144" s="8">
        <f ca="1">IFERROR(__xludf.DUMMYFUNCTION("""COMPUTED_VALUE"""),0)</f>
        <v>0</v>
      </c>
      <c r="I3144" s="8">
        <f ca="1">IFERROR(__xludf.DUMMYFUNCTION("""COMPUTED_VALUE"""),1)</f>
        <v>1</v>
      </c>
      <c r="J3144" s="8">
        <f ca="1">IFERROR(__xludf.DUMMYFUNCTION("""COMPUTED_VALUE"""),0)</f>
        <v>0</v>
      </c>
      <c r="K3144" s="8" t="str">
        <f ca="1">IFERROR(__xludf.DUMMYFUNCTION("""COMPUTED_VALUE"""),"https://news.google.com/newspapers?id=j7VWAAAAIBAJ&amp;pg=5447,3659292
https://webapps.doc.state.nc.us/opi/viewoffender.do?method=view&amp;offenderID=0245393&amp;searchLastName=locklear&amp;searchFirstName=gerald&amp;listurl=pagelistoffendersearchresults&amp;listpage=1")</f>
        <v>https://news.google.com/newspapers?id=j7VWAAAAIBAJ&amp;pg=5447,3659292
https://webapps.doc.state.nc.us/opi/viewoffender.do?method=view&amp;offenderID=0245393&amp;searchLastName=locklear&amp;searchFirstName=gerald&amp;listurl=pagelistoffendersearchresults&amp;listpage=1</v>
      </c>
      <c r="L3144" s="8"/>
      <c r="M3144" s="8" t="str">
        <f ca="1">IFERROR(__xludf.DUMMYFUNCTION("""COMPUTED_VALUE"""),"Local")</f>
        <v>Local</v>
      </c>
      <c r="N3144" s="8">
        <f ca="1">IFERROR(__xludf.DUMMYFUNCTION("""COMPUTED_VALUE"""),5)</f>
        <v>5</v>
      </c>
      <c r="O3144" s="8" t="str">
        <f ca="1">IFERROR(__xludf.DUMMYFUNCTION("""COMPUTED_VALUE"""),"Spring")</f>
        <v>Spring</v>
      </c>
      <c r="P3144" s="8" t="str">
        <f ca="1">IFERROR(__xludf.DUMMYFUNCTION("""COMPUTED_VALUE"""),"High Point")</f>
        <v>High Point</v>
      </c>
      <c r="Q3144" s="8" t="str">
        <f ca="1">IFERROR(__xludf.DUMMYFUNCTION("""COMPUTED_VALUE"""),"NC")</f>
        <v>NC</v>
      </c>
      <c r="R3144" s="8" t="str">
        <f ca="1">IFERROR(__xludf.DUMMYFUNCTION("""COMPUTED_VALUE"""),"High")</f>
        <v>High</v>
      </c>
      <c r="S3144" s="8" t="str">
        <f ca="1">IFERROR(__xludf.DUMMYFUNCTION("""COMPUTED_VALUE"""),"Cafeteria")</f>
        <v>Cafeteria</v>
      </c>
      <c r="T3144" s="8" t="str">
        <f ca="1">IFERROR(__xludf.DUMMYFUNCTION("""COMPUTED_VALUE"""),"Inside School Building")</f>
        <v>Inside School Building</v>
      </c>
      <c r="U3144" s="8" t="str">
        <f ca="1">IFERROR(__xludf.DUMMYFUNCTION("""COMPUTED_VALUE"""),"Yes")</f>
        <v>Yes</v>
      </c>
      <c r="V3144" s="8" t="str">
        <f ca="1">IFERROR(__xludf.DUMMYFUNCTION("""COMPUTED_VALUE"""),"Lunch")</f>
        <v>Lunch</v>
      </c>
      <c r="W3144" s="11">
        <f ca="1">IFERROR(__xludf.DUMMYFUNCTION("""COMPUTED_VALUE"""),0.5)</f>
        <v>0.5</v>
      </c>
      <c r="X3144" s="8">
        <f ca="1">IFERROR(__xludf.DUMMYFUNCTION("""COMPUTED_VALUE"""),1)</f>
        <v>1</v>
      </c>
      <c r="Y3144" s="12" t="str">
        <f ca="1">IFERROR(__xludf.DUMMYFUNCTION("""COMPUTED_VALUE"""),"Student shot classmate 6 times during lunch then walked away from the school")</f>
        <v>Student shot classmate 6 times during lunch then walked away from the school</v>
      </c>
      <c r="Z3144" s="12" t="str">
        <f ca="1">IFERROR(__xludf.DUMMYFUNCTION("""COMPUTED_VALUE"""),"16-year-old student fired 6 shots at a 16-year-old classmate during lunch. 4 rounds struck the victim and killed him. Shooter walked away from the school and was arrested two blocks away. On-going dispute between shooter and victim. Shooter wrote a detail"&amp;"ed essay about his plan to kill his classmate.")</f>
        <v>16-year-old student fired 6 shots at a 16-year-old classmate during lunch. 4 rounds struck the victim and killed him. Shooter walked away from the school and was arrested two blocks away. On-going dispute between shooter and victim. Shooter wrote a detailed essay about his plan to kill his classmate.</v>
      </c>
      <c r="AA3144" s="8" t="str">
        <f ca="1">IFERROR(__xludf.DUMMYFUNCTION("""COMPUTED_VALUE"""),"Escalation of Dispute")</f>
        <v>Escalation of Dispute</v>
      </c>
      <c r="AB3144" s="8"/>
      <c r="AC3144" s="8" t="str">
        <f ca="1">IFERROR(__xludf.DUMMYFUNCTION("""COMPUTED_VALUE"""),"Yes")</f>
        <v>Yes</v>
      </c>
      <c r="AD3144" s="8" t="str">
        <f ca="1">IFERROR(__xludf.DUMMYFUNCTION("""COMPUTED_VALUE"""),"Victims Targeted")</f>
        <v>Victims Targeted</v>
      </c>
      <c r="AE3144" s="8" t="str">
        <f ca="1">IFERROR(__xludf.DUMMYFUNCTION("""COMPUTED_VALUE"""),"No")</f>
        <v>No</v>
      </c>
      <c r="AF3144" s="8"/>
      <c r="AG3144" s="8" t="str">
        <f ca="1">IFERROR(__xludf.DUMMYFUNCTION("""COMPUTED_VALUE"""),"No")</f>
        <v>No</v>
      </c>
      <c r="AH3144" s="8" t="str">
        <f ca="1">IFERROR(__xludf.DUMMYFUNCTION("""COMPUTED_VALUE"""),"No")</f>
        <v>No</v>
      </c>
      <c r="AI3144" s="8" t="str">
        <f ca="1">IFERROR(__xludf.DUMMYFUNCTION("""COMPUTED_VALUE"""),"No")</f>
        <v>No</v>
      </c>
      <c r="AJ3144" s="8" t="str">
        <f ca="1">IFERROR(__xludf.DUMMYFUNCTION("""COMPUTED_VALUE"""),"No")</f>
        <v>No</v>
      </c>
      <c r="AK3144" s="8" t="str">
        <f ca="1">IFERROR(__xludf.DUMMYFUNCTION("""COMPUTED_VALUE"""),"No")</f>
        <v>No</v>
      </c>
      <c r="AL3144" s="8" t="str">
        <f ca="1">IFERROR(__xludf.DUMMYFUNCTION("""COMPUTED_VALUE"""),"No")</f>
        <v>No</v>
      </c>
      <c r="AM3144" s="8" t="str">
        <f ca="1">IFERROR(__xludf.DUMMYFUNCTION("""COMPUTED_VALUE"""),"No")</f>
        <v>No</v>
      </c>
      <c r="AN3144" s="8" t="str">
        <f ca="1">IFERROR(__xludf.DUMMYFUNCTION("""COMPUTED_VALUE"""),"Single Room")</f>
        <v>Single Room</v>
      </c>
      <c r="AO3144" s="8" t="str">
        <f ca="1">IFERROR(__xludf.DUMMYFUNCTION("""COMPUTED_VALUE"""),"Yes")</f>
        <v>Yes</v>
      </c>
      <c r="AP3144" s="8"/>
      <c r="AQ3144" s="8"/>
      <c r="AR3144" s="8"/>
      <c r="AS3144" s="8">
        <f ca="1">IFERROR(__xludf.DUMMYFUNCTION("""COMPUTED_VALUE"""),6)</f>
        <v>6</v>
      </c>
      <c r="AT3144" s="8"/>
      <c r="AU3144" s="8">
        <f ca="1">IFERROR(__xludf.DUMMYFUNCTION("""COMPUTED_VALUE"""),35.956768)</f>
        <v>35.956767999999997</v>
      </c>
      <c r="AV3144" s="8">
        <f ca="1">IFERROR(__xludf.DUMMYFUNCTION("""COMPUTED_VALUE"""),-80.021181)</f>
        <v>-80.021180999999999</v>
      </c>
      <c r="AW3144" s="8"/>
      <c r="AX3144" s="8">
        <f ca="1">IFERROR(__xludf.DUMMYFUNCTION("""COMPUTED_VALUE"""),27262)</f>
        <v>27262</v>
      </c>
    </row>
    <row r="3145" spans="1:50" ht="45" x14ac:dyDescent="0.2">
      <c r="A3145" s="8" t="str">
        <f ca="1">IFERROR(__xludf.DUMMYFUNCTION("""COMPUTED_VALUE"""),"19680212OKHOH")</f>
        <v>19680212OKHOH</v>
      </c>
      <c r="B3145" s="8">
        <f ca="1">IFERROR(__xludf.DUMMYFUNCTION("""COMPUTED_VALUE"""),2)</f>
        <v>2</v>
      </c>
      <c r="C3145" s="8">
        <f ca="1">IFERROR(__xludf.DUMMYFUNCTION("""COMPUTED_VALUE"""),12)</f>
        <v>12</v>
      </c>
      <c r="D3145" s="8">
        <f ca="1">IFERROR(__xludf.DUMMYFUNCTION("""COMPUTED_VALUE"""),1968)</f>
        <v>1968</v>
      </c>
      <c r="E3145" s="9">
        <f ca="1">IFERROR(__xludf.DUMMYFUNCTION("""COMPUTED_VALUE"""),24880)</f>
        <v>24880</v>
      </c>
      <c r="F3145" s="8" t="str">
        <f ca="1">IFERROR(__xludf.DUMMYFUNCTION("""COMPUTED_VALUE"""),"Holdenville High School")</f>
        <v>Holdenville High School</v>
      </c>
      <c r="G3145" s="8">
        <f ca="1">IFERROR(__xludf.DUMMYFUNCTION("""COMPUTED_VALUE"""),0)</f>
        <v>0</v>
      </c>
      <c r="H3145" s="8">
        <f ca="1">IFERROR(__xludf.DUMMYFUNCTION("""COMPUTED_VALUE"""),1)</f>
        <v>1</v>
      </c>
      <c r="I3145" s="8">
        <f ca="1">IFERROR(__xludf.DUMMYFUNCTION("""COMPUTED_VALUE"""),1)</f>
        <v>1</v>
      </c>
      <c r="J3145" s="8">
        <f ca="1">IFERROR(__xludf.DUMMYFUNCTION("""COMPUTED_VALUE"""),0)</f>
        <v>0</v>
      </c>
      <c r="K3145" s="10" t="str">
        <f ca="1">IFERROR(__xludf.DUMMYFUNCTION("""COMPUTED_VALUE"""),"https://www.newspapers.com/image/452075386/?terms=school%20shooting&amp;match=1")</f>
        <v>https://www.newspapers.com/image/452075386/?terms=school%20shooting&amp;match=1</v>
      </c>
      <c r="L3145" s="8"/>
      <c r="M3145" s="8" t="str">
        <f ca="1">IFERROR(__xludf.DUMMYFUNCTION("""COMPUTED_VALUE"""),"Local")</f>
        <v>Local</v>
      </c>
      <c r="N3145" s="8">
        <f ca="1">IFERROR(__xludf.DUMMYFUNCTION("""COMPUTED_VALUE"""),4)</f>
        <v>4</v>
      </c>
      <c r="O3145" s="8" t="str">
        <f ca="1">IFERROR(__xludf.DUMMYFUNCTION("""COMPUTED_VALUE"""),"Winter")</f>
        <v>Winter</v>
      </c>
      <c r="P3145" s="8" t="str">
        <f ca="1">IFERROR(__xludf.DUMMYFUNCTION("""COMPUTED_VALUE"""),"Holdenville")</f>
        <v>Holdenville</v>
      </c>
      <c r="Q3145" s="8" t="str">
        <f ca="1">IFERROR(__xludf.DUMMYFUNCTION("""COMPUTED_VALUE"""),"OK")</f>
        <v>OK</v>
      </c>
      <c r="R3145" s="8" t="str">
        <f ca="1">IFERROR(__xludf.DUMMYFUNCTION("""COMPUTED_VALUE"""),"High")</f>
        <v>High</v>
      </c>
      <c r="S3145" s="8" t="str">
        <f ca="1">IFERROR(__xludf.DUMMYFUNCTION("""COMPUTED_VALUE"""),"Hallway")</f>
        <v>Hallway</v>
      </c>
      <c r="T3145" s="8" t="str">
        <f ca="1">IFERROR(__xludf.DUMMYFUNCTION("""COMPUTED_VALUE"""),"Inside School Building")</f>
        <v>Inside School Building</v>
      </c>
      <c r="U3145" s="8" t="str">
        <f ca="1">IFERROR(__xludf.DUMMYFUNCTION("""COMPUTED_VALUE"""),"Yes")</f>
        <v>Yes</v>
      </c>
      <c r="V3145" s="8" t="str">
        <f ca="1">IFERROR(__xludf.DUMMYFUNCTION("""COMPUTED_VALUE"""),"Morning Classes")</f>
        <v>Morning Classes</v>
      </c>
      <c r="W3145" s="8"/>
      <c r="X3145" s="8">
        <f ca="1">IFERROR(__xludf.DUMMYFUNCTION("""COMPUTED_VALUE"""),1)</f>
        <v>1</v>
      </c>
      <c r="Y3145" s="12" t="str">
        <f ca="1">IFERROR(__xludf.DUMMYFUNCTION("""COMPUTED_VALUE"""),"Student shot classmate in the hallway")</f>
        <v>Student shot classmate in the hallway</v>
      </c>
      <c r="Z3145" s="12" t="str">
        <f ca="1">IFERROR(__xludf.DUMMYFUNCTION("""COMPUTED_VALUE"""),"16-year-old white student shot (with intent to kill) an 18-year-old black student in the hallway. Shooter was an honor student.")</f>
        <v>16-year-old white student shot (with intent to kill) an 18-year-old black student in the hallway. Shooter was an honor student.</v>
      </c>
      <c r="AA3145" s="8"/>
      <c r="AB3145" s="8"/>
      <c r="AC3145" s="8" t="str">
        <f ca="1">IFERROR(__xludf.DUMMYFUNCTION("""COMPUTED_VALUE"""),"Yes")</f>
        <v>Yes</v>
      </c>
      <c r="AD3145" s="8" t="str">
        <f ca="1">IFERROR(__xludf.DUMMYFUNCTION("""COMPUTED_VALUE"""),"Victims Targeted")</f>
        <v>Victims Targeted</v>
      </c>
      <c r="AE3145" s="8" t="str">
        <f ca="1">IFERROR(__xludf.DUMMYFUNCTION("""COMPUTED_VALUE"""),"No")</f>
        <v>No</v>
      </c>
      <c r="AF3145" s="8"/>
      <c r="AG3145" s="8" t="str">
        <f ca="1">IFERROR(__xludf.DUMMYFUNCTION("""COMPUTED_VALUE"""),"No")</f>
        <v>No</v>
      </c>
      <c r="AH3145" s="8" t="str">
        <f ca="1">IFERROR(__xludf.DUMMYFUNCTION("""COMPUTED_VALUE"""),"No")</f>
        <v>No</v>
      </c>
      <c r="AI3145" s="8" t="str">
        <f ca="1">IFERROR(__xludf.DUMMYFUNCTION("""COMPUTED_VALUE"""),"No")</f>
        <v>No</v>
      </c>
      <c r="AJ3145" s="8"/>
      <c r="AK3145" s="8" t="str">
        <f ca="1">IFERROR(__xludf.DUMMYFUNCTION("""COMPUTED_VALUE"""),"No")</f>
        <v>No</v>
      </c>
      <c r="AL3145" s="8" t="str">
        <f ca="1">IFERROR(__xludf.DUMMYFUNCTION("""COMPUTED_VALUE"""),"No")</f>
        <v>No</v>
      </c>
      <c r="AM3145" s="8" t="str">
        <f ca="1">IFERROR(__xludf.DUMMYFUNCTION("""COMPUTED_VALUE"""),"No")</f>
        <v>No</v>
      </c>
      <c r="AN3145" s="8" t="str">
        <f ca="1">IFERROR(__xludf.DUMMYFUNCTION("""COMPUTED_VALUE"""),"Hallway")</f>
        <v>Hallway</v>
      </c>
      <c r="AO3145" s="8" t="str">
        <f ca="1">IFERROR(__xludf.DUMMYFUNCTION("""COMPUTED_VALUE"""),"No")</f>
        <v>No</v>
      </c>
      <c r="AP3145" s="8"/>
      <c r="AQ3145" s="8"/>
      <c r="AR3145" s="8"/>
      <c r="AS3145" s="8">
        <f ca="1">IFERROR(__xludf.DUMMYFUNCTION("""COMPUTED_VALUE"""),99)</f>
        <v>99</v>
      </c>
      <c r="AT3145" s="8"/>
      <c r="AU3145" s="8">
        <f ca="1">IFERROR(__xludf.DUMMYFUNCTION("""COMPUTED_VALUE"""),35.084415)</f>
        <v>35.084415</v>
      </c>
      <c r="AV3145" s="8">
        <f ca="1">IFERROR(__xludf.DUMMYFUNCTION("""COMPUTED_VALUE"""),-96.397873)</f>
        <v>-96.397873000000004</v>
      </c>
      <c r="AW3145" s="8"/>
      <c r="AX3145" s="8">
        <f ca="1">IFERROR(__xludf.DUMMYFUNCTION("""COMPUTED_VALUE"""),74848)</f>
        <v>74848</v>
      </c>
    </row>
    <row r="3146" spans="1:50" ht="75" x14ac:dyDescent="0.2">
      <c r="A3146" s="8" t="str">
        <f ca="1">IFERROR(__xludf.DUMMYFUNCTION("""COMPUTED_VALUE"""),"19680205ILBOC")</f>
        <v>19680205ILBOC</v>
      </c>
      <c r="B3146" s="8">
        <f ca="1">IFERROR(__xludf.DUMMYFUNCTION("""COMPUTED_VALUE"""),2)</f>
        <v>2</v>
      </c>
      <c r="C3146" s="8">
        <f ca="1">IFERROR(__xludf.DUMMYFUNCTION("""COMPUTED_VALUE"""),5)</f>
        <v>5</v>
      </c>
      <c r="D3146" s="8">
        <f ca="1">IFERROR(__xludf.DUMMYFUNCTION("""COMPUTED_VALUE"""),1968)</f>
        <v>1968</v>
      </c>
      <c r="E3146" s="9">
        <f ca="1">IFERROR(__xludf.DUMMYFUNCTION("""COMPUTED_VALUE"""),24873)</f>
        <v>24873</v>
      </c>
      <c r="F3146" s="8" t="str">
        <f ca="1">IFERROR(__xludf.DUMMYFUNCTION("""COMPUTED_VALUE"""),"Bowen High School")</f>
        <v>Bowen High School</v>
      </c>
      <c r="G3146" s="8">
        <f ca="1">IFERROR(__xludf.DUMMYFUNCTION("""COMPUTED_VALUE"""),0)</f>
        <v>0</v>
      </c>
      <c r="H3146" s="8">
        <f ca="1">IFERROR(__xludf.DUMMYFUNCTION("""COMPUTED_VALUE"""),2)</f>
        <v>2</v>
      </c>
      <c r="I3146" s="8">
        <f ca="1">IFERROR(__xludf.DUMMYFUNCTION("""COMPUTED_VALUE"""),2)</f>
        <v>2</v>
      </c>
      <c r="J3146" s="8">
        <f ca="1">IFERROR(__xludf.DUMMYFUNCTION("""COMPUTED_VALUE"""),0)</f>
        <v>0</v>
      </c>
      <c r="K3146" s="10" t="str">
        <f ca="1">IFERROR(__xludf.DUMMYFUNCTION("""COMPUTED_VALUE"""),"https://www.newspapers.com/image/163072591/?terms=school%20shooting&amp;match=1")</f>
        <v>https://www.newspapers.com/image/163072591/?terms=school%20shooting&amp;match=1</v>
      </c>
      <c r="L3146" s="8"/>
      <c r="M3146" s="8" t="str">
        <f ca="1">IFERROR(__xludf.DUMMYFUNCTION("""COMPUTED_VALUE"""),"Local")</f>
        <v>Local</v>
      </c>
      <c r="N3146" s="8">
        <f ca="1">IFERROR(__xludf.DUMMYFUNCTION("""COMPUTED_VALUE"""),4)</f>
        <v>4</v>
      </c>
      <c r="O3146" s="8" t="str">
        <f ca="1">IFERROR(__xludf.DUMMYFUNCTION("""COMPUTED_VALUE"""),"Winter")</f>
        <v>Winter</v>
      </c>
      <c r="P3146" s="8" t="str">
        <f ca="1">IFERROR(__xludf.DUMMYFUNCTION("""COMPUTED_VALUE"""),"Chicago")</f>
        <v>Chicago</v>
      </c>
      <c r="Q3146" s="8" t="str">
        <f ca="1">IFERROR(__xludf.DUMMYFUNCTION("""COMPUTED_VALUE"""),"IL")</f>
        <v>IL</v>
      </c>
      <c r="R3146" s="8" t="str">
        <f ca="1">IFERROR(__xludf.DUMMYFUNCTION("""COMPUTED_VALUE"""),"High")</f>
        <v>High</v>
      </c>
      <c r="S3146" s="8" t="str">
        <f ca="1">IFERROR(__xludf.DUMMYFUNCTION("""COMPUTED_VALUE"""),"Cafeteria")</f>
        <v>Cafeteria</v>
      </c>
      <c r="T3146" s="8" t="str">
        <f ca="1">IFERROR(__xludf.DUMMYFUNCTION("""COMPUTED_VALUE"""),"Inside School Building")</f>
        <v>Inside School Building</v>
      </c>
      <c r="U3146" s="8" t="str">
        <f ca="1">IFERROR(__xludf.DUMMYFUNCTION("""COMPUTED_VALUE"""),"Yes")</f>
        <v>Yes</v>
      </c>
      <c r="V3146" s="8" t="str">
        <f ca="1">IFERROR(__xludf.DUMMYFUNCTION("""COMPUTED_VALUE"""),"Lunch")</f>
        <v>Lunch</v>
      </c>
      <c r="W3146" s="11">
        <f ca="1">IFERROR(__xludf.DUMMYFUNCTION("""COMPUTED_VALUE"""),0.5)</f>
        <v>0.5</v>
      </c>
      <c r="X3146" s="8">
        <f ca="1">IFERROR(__xludf.DUMMYFUNCTION("""COMPUTED_VALUE"""),1)</f>
        <v>1</v>
      </c>
      <c r="Y3146" s="12" t="str">
        <f ca="1">IFERROR(__xludf.DUMMYFUNCTION("""COMPUTED_VALUE"""),"Student fired shotgun in cafeteria during fight with gang members at lunch")</f>
        <v>Student fired shotgun in cafeteria during fight with gang members at lunch</v>
      </c>
      <c r="Z3146" s="12" t="str">
        <f ca="1">IFERROR(__xludf.DUMMYFUNCTION("""COMPUTED_VALUE"""),"Student fired shotgun in cafeteria during fight with gang members at lunch. Targeted student and a bystander were wounded.")</f>
        <v>Student fired shotgun in cafeteria during fight with gang members at lunch. Targeted student and a bystander were wounded.</v>
      </c>
      <c r="AA3146" s="8" t="str">
        <f ca="1">IFERROR(__xludf.DUMMYFUNCTION("""COMPUTED_VALUE"""),"Escalation of Dispute")</f>
        <v>Escalation of Dispute</v>
      </c>
      <c r="AB3146" s="8"/>
      <c r="AC3146" s="8" t="str">
        <f ca="1">IFERROR(__xludf.DUMMYFUNCTION("""COMPUTED_VALUE"""),"Yes")</f>
        <v>Yes</v>
      </c>
      <c r="AD3146" s="8" t="str">
        <f ca="1">IFERROR(__xludf.DUMMYFUNCTION("""COMPUTED_VALUE"""),"Both")</f>
        <v>Both</v>
      </c>
      <c r="AE3146" s="8" t="str">
        <f ca="1">IFERROR(__xludf.DUMMYFUNCTION("""COMPUTED_VALUE"""),"Yes")</f>
        <v>Yes</v>
      </c>
      <c r="AF3146" s="8" t="str">
        <f ca="1">IFERROR(__xludf.DUMMYFUNCTION("""COMPUTED_VALUE"""),"3 arrested")</f>
        <v>3 arrested</v>
      </c>
      <c r="AG3146" s="8" t="str">
        <f ca="1">IFERROR(__xludf.DUMMYFUNCTION("""COMPUTED_VALUE"""),"No")</f>
        <v>No</v>
      </c>
      <c r="AH3146" s="8" t="str">
        <f ca="1">IFERROR(__xludf.DUMMYFUNCTION("""COMPUTED_VALUE"""),"No")</f>
        <v>No</v>
      </c>
      <c r="AI3146" s="8" t="str">
        <f ca="1">IFERROR(__xludf.DUMMYFUNCTION("""COMPUTED_VALUE"""),"No")</f>
        <v>No</v>
      </c>
      <c r="AJ3146" s="8" t="str">
        <f ca="1">IFERROR(__xludf.DUMMYFUNCTION("""COMPUTED_VALUE"""),"No")</f>
        <v>No</v>
      </c>
      <c r="AK3146" s="8" t="str">
        <f ca="1">IFERROR(__xludf.DUMMYFUNCTION("""COMPUTED_VALUE"""),"No")</f>
        <v>No</v>
      </c>
      <c r="AL3146" s="8" t="str">
        <f ca="1">IFERROR(__xludf.DUMMYFUNCTION("""COMPUTED_VALUE"""),"Yes")</f>
        <v>Yes</v>
      </c>
      <c r="AM3146" s="8" t="str">
        <f ca="1">IFERROR(__xludf.DUMMYFUNCTION("""COMPUTED_VALUE"""),"No")</f>
        <v>No</v>
      </c>
      <c r="AN3146" s="8" t="str">
        <f ca="1">IFERROR(__xludf.DUMMYFUNCTION("""COMPUTED_VALUE"""),"Single Room")</f>
        <v>Single Room</v>
      </c>
      <c r="AO3146" s="8" t="str">
        <f ca="1">IFERROR(__xludf.DUMMYFUNCTION("""COMPUTED_VALUE"""),"No")</f>
        <v>No</v>
      </c>
      <c r="AP3146" s="8"/>
      <c r="AQ3146" s="8"/>
      <c r="AR3146" s="8"/>
      <c r="AS3146" s="8">
        <f ca="1">IFERROR(__xludf.DUMMYFUNCTION("""COMPUTED_VALUE"""),1)</f>
        <v>1</v>
      </c>
      <c r="AT3146" s="8"/>
      <c r="AU3146" s="8">
        <f ca="1">IFERROR(__xludf.DUMMYFUNCTION("""COMPUTED_VALUE"""),41.733957)</f>
        <v>41.733956999999997</v>
      </c>
      <c r="AV3146" s="8">
        <f ca="1">IFERROR(__xludf.DUMMYFUNCTION("""COMPUTED_VALUE"""),-87.557529)</f>
        <v>-87.557529000000002</v>
      </c>
      <c r="AW3146" s="8"/>
      <c r="AX3146" s="8">
        <f ca="1">IFERROR(__xludf.DUMMYFUNCTION("""COMPUTED_VALUE"""),60617)</f>
        <v>60617</v>
      </c>
    </row>
    <row r="3147" spans="1:50" ht="60" x14ac:dyDescent="0.2">
      <c r="A3147" s="8" t="str">
        <f ca="1">IFERROR(__xludf.DUMMYFUNCTION("""COMPUTED_VALUE"""),"19680202TXUNC")</f>
        <v>19680202TXUNC</v>
      </c>
      <c r="B3147" s="8">
        <f ca="1">IFERROR(__xludf.DUMMYFUNCTION("""COMPUTED_VALUE"""),2)</f>
        <v>2</v>
      </c>
      <c r="C3147" s="8">
        <f ca="1">IFERROR(__xludf.DUMMYFUNCTION("""COMPUTED_VALUE"""),2)</f>
        <v>2</v>
      </c>
      <c r="D3147" s="8">
        <f ca="1">IFERROR(__xludf.DUMMYFUNCTION("""COMPUTED_VALUE"""),1968)</f>
        <v>1968</v>
      </c>
      <c r="E3147" s="9">
        <f ca="1">IFERROR(__xludf.DUMMYFUNCTION("""COMPUTED_VALUE"""),24870)</f>
        <v>24870</v>
      </c>
      <c r="F3147" s="8" t="str">
        <f ca="1">IFERROR(__xludf.DUMMYFUNCTION("""COMPUTED_VALUE"""),"Unknown School Name")</f>
        <v>Unknown School Name</v>
      </c>
      <c r="G3147" s="8">
        <f ca="1">IFERROR(__xludf.DUMMYFUNCTION("""COMPUTED_VALUE"""),0)</f>
        <v>0</v>
      </c>
      <c r="H3147" s="8">
        <f ca="1">IFERROR(__xludf.DUMMYFUNCTION("""COMPUTED_VALUE"""),0)</f>
        <v>0</v>
      </c>
      <c r="I3147" s="8">
        <f ca="1">IFERROR(__xludf.DUMMYFUNCTION("""COMPUTED_VALUE"""),0)</f>
        <v>0</v>
      </c>
      <c r="J3147" s="8">
        <f ca="1">IFERROR(__xludf.DUMMYFUNCTION("""COMPUTED_VALUE"""),0)</f>
        <v>0</v>
      </c>
      <c r="K3147" s="10" t="str">
        <f ca="1">IFERROR(__xludf.DUMMYFUNCTION("""COMPUTED_VALUE"""),"https://www.newspapers.com/image/180928555/?terms=school%20hostage&amp;match=1")</f>
        <v>https://www.newspapers.com/image/180928555/?terms=school%20hostage&amp;match=1</v>
      </c>
      <c r="L3147" s="8"/>
      <c r="M3147" s="8" t="str">
        <f ca="1">IFERROR(__xludf.DUMMYFUNCTION("""COMPUTED_VALUE"""),"Regional")</f>
        <v>Regional</v>
      </c>
      <c r="N3147" s="8">
        <f ca="1">IFERROR(__xludf.DUMMYFUNCTION("""COMPUTED_VALUE"""),4)</f>
        <v>4</v>
      </c>
      <c r="O3147" s="8" t="str">
        <f ca="1">IFERROR(__xludf.DUMMYFUNCTION("""COMPUTED_VALUE"""),"Winter")</f>
        <v>Winter</v>
      </c>
      <c r="P3147" s="8" t="str">
        <f ca="1">IFERROR(__xludf.DUMMYFUNCTION("""COMPUTED_VALUE"""),"Caldwell")</f>
        <v>Caldwell</v>
      </c>
      <c r="Q3147" s="8" t="str">
        <f ca="1">IFERROR(__xludf.DUMMYFUNCTION("""COMPUTED_VALUE"""),"TX")</f>
        <v>TX</v>
      </c>
      <c r="R3147" s="8" t="str">
        <f ca="1">IFERROR(__xludf.DUMMYFUNCTION("""COMPUTED_VALUE"""),"K-12")</f>
        <v>K-12</v>
      </c>
      <c r="S3147" s="8" t="str">
        <f ca="1">IFERROR(__xludf.DUMMYFUNCTION("""COMPUTED_VALUE"""),"Cafeteria")</f>
        <v>Cafeteria</v>
      </c>
      <c r="T3147" s="8" t="str">
        <f ca="1">IFERROR(__xludf.DUMMYFUNCTION("""COMPUTED_VALUE"""),"Inside School Building")</f>
        <v>Inside School Building</v>
      </c>
      <c r="U3147" s="8" t="str">
        <f ca="1">IFERROR(__xludf.DUMMYFUNCTION("""COMPUTED_VALUE"""),"Yes")</f>
        <v>Yes</v>
      </c>
      <c r="V3147" s="8"/>
      <c r="W3147" s="8"/>
      <c r="X3147" s="8">
        <f ca="1">IFERROR(__xludf.DUMMYFUNCTION("""COMPUTED_VALUE"""),180)</f>
        <v>180</v>
      </c>
      <c r="Y3147" s="12" t="str">
        <f ca="1">IFERROR(__xludf.DUMMYFUNCTION("""COMPUTED_VALUE"""),"Man took 150 students and teachers hostage in cafeteria")</f>
        <v>Man took 150 students and teachers hostage in cafeteria</v>
      </c>
      <c r="Z3147" s="12" t="str">
        <f ca="1">IFERROR(__xludf.DUMMYFUNCTION("""COMPUTED_VALUE"""),"25-year-old man killed his wife and drover 120 miles to a small rural school 15 miles north of Caldwell, TX. Took 150 students and teachers hostage in the cafeteria with a pistol for 3 hours. Surrendered to police without any injuries.")</f>
        <v>25-year-old man killed his wife and drover 120 miles to a small rural school 15 miles north of Caldwell, TX. Took 150 students and teachers hostage in the cafeteria with a pistol for 3 hours. Surrendered to police without any injuries.</v>
      </c>
      <c r="AA3147" s="8" t="str">
        <f ca="1">IFERROR(__xludf.DUMMYFUNCTION("""COMPUTED_VALUE"""),"Hostage/Standoff")</f>
        <v>Hostage/Standoff</v>
      </c>
      <c r="AB3147" s="8"/>
      <c r="AC3147" s="8" t="str">
        <f ca="1">IFERROR(__xludf.DUMMYFUNCTION("""COMPUTED_VALUE"""),"Yes")</f>
        <v>Yes</v>
      </c>
      <c r="AD3147" s="8" t="str">
        <f ca="1">IFERROR(__xludf.DUMMYFUNCTION("""COMPUTED_VALUE"""),"Random Shooting")</f>
        <v>Random Shooting</v>
      </c>
      <c r="AE3147" s="8" t="str">
        <f ca="1">IFERROR(__xludf.DUMMYFUNCTION("""COMPUTED_VALUE"""),"No")</f>
        <v>No</v>
      </c>
      <c r="AF3147" s="8"/>
      <c r="AG3147" s="8" t="str">
        <f ca="1">IFERROR(__xludf.DUMMYFUNCTION("""COMPUTED_VALUE"""),"Yes")</f>
        <v>Yes</v>
      </c>
      <c r="AH3147" s="8" t="str">
        <f ca="1">IFERROR(__xludf.DUMMYFUNCTION("""COMPUTED_VALUE"""),"Yes")</f>
        <v>Yes</v>
      </c>
      <c r="AI3147" s="8" t="str">
        <f ca="1">IFERROR(__xludf.DUMMYFUNCTION("""COMPUTED_VALUE"""),"No")</f>
        <v>No</v>
      </c>
      <c r="AJ3147" s="8" t="str">
        <f ca="1">IFERROR(__xludf.DUMMYFUNCTION("""COMPUTED_VALUE"""),"No")</f>
        <v>No</v>
      </c>
      <c r="AK3147" s="8" t="str">
        <f ca="1">IFERROR(__xludf.DUMMYFUNCTION("""COMPUTED_VALUE"""),"Yes")</f>
        <v>Yes</v>
      </c>
      <c r="AL3147" s="8" t="str">
        <f ca="1">IFERROR(__xludf.DUMMYFUNCTION("""COMPUTED_VALUE"""),"No")</f>
        <v>No</v>
      </c>
      <c r="AM3147" s="8" t="str">
        <f ca="1">IFERROR(__xludf.DUMMYFUNCTION("""COMPUTED_VALUE"""),"Yes")</f>
        <v>Yes</v>
      </c>
      <c r="AN3147" s="8" t="str">
        <f ca="1">IFERROR(__xludf.DUMMYFUNCTION("""COMPUTED_VALUE"""),"Single Room")</f>
        <v>Single Room</v>
      </c>
      <c r="AO3147" s="8" t="str">
        <f ca="1">IFERROR(__xludf.DUMMYFUNCTION("""COMPUTED_VALUE"""),"No")</f>
        <v>No</v>
      </c>
      <c r="AP3147" s="8"/>
      <c r="AQ3147" s="8"/>
      <c r="AR3147" s="8"/>
      <c r="AS3147" s="8">
        <f ca="1">IFERROR(__xludf.DUMMYFUNCTION("""COMPUTED_VALUE"""),0)</f>
        <v>0</v>
      </c>
      <c r="AT3147" s="8"/>
      <c r="AU3147" s="8">
        <f ca="1">IFERROR(__xludf.DUMMYFUNCTION("""COMPUTED_VALUE"""),30.537)</f>
        <v>30.536999999999999</v>
      </c>
      <c r="AV3147" s="8">
        <f ca="1">IFERROR(__xludf.DUMMYFUNCTION("""COMPUTED_VALUE"""),-96.693012)</f>
        <v>-96.693011999999996</v>
      </c>
      <c r="AW3147" s="8"/>
      <c r="AX3147" s="8">
        <f ca="1">IFERROR(__xludf.DUMMYFUNCTION("""COMPUTED_VALUE"""),77836)</f>
        <v>77836</v>
      </c>
    </row>
    <row r="3148" spans="1:50" ht="45" x14ac:dyDescent="0.2">
      <c r="A3148" s="8" t="str">
        <f ca="1">IFERROR(__xludf.DUMMYFUNCTION("""COMPUTED_VALUE"""),"19680130FLMIM")</f>
        <v>19680130FLMIM</v>
      </c>
      <c r="B3148" s="8">
        <f ca="1">IFERROR(__xludf.DUMMYFUNCTION("""COMPUTED_VALUE"""),1)</f>
        <v>1</v>
      </c>
      <c r="C3148" s="8">
        <f ca="1">IFERROR(__xludf.DUMMYFUNCTION("""COMPUTED_VALUE"""),30)</f>
        <v>30</v>
      </c>
      <c r="D3148" s="8">
        <f ca="1">IFERROR(__xludf.DUMMYFUNCTION("""COMPUTED_VALUE"""),1968)</f>
        <v>1968</v>
      </c>
      <c r="E3148" s="9">
        <f ca="1">IFERROR(__xludf.DUMMYFUNCTION("""COMPUTED_VALUE"""),24867)</f>
        <v>24867</v>
      </c>
      <c r="F3148" s="8" t="str">
        <f ca="1">IFERROR(__xludf.DUMMYFUNCTION("""COMPUTED_VALUE"""),"Miami Jackson High School")</f>
        <v>Miami Jackson High School</v>
      </c>
      <c r="G3148" s="8">
        <f ca="1">IFERROR(__xludf.DUMMYFUNCTION("""COMPUTED_VALUE"""),1)</f>
        <v>1</v>
      </c>
      <c r="H3148" s="8">
        <f ca="1">IFERROR(__xludf.DUMMYFUNCTION("""COMPUTED_VALUE"""),0)</f>
        <v>0</v>
      </c>
      <c r="I3148" s="8">
        <f ca="1">IFERROR(__xludf.DUMMYFUNCTION("""COMPUTED_VALUE"""),1)</f>
        <v>1</v>
      </c>
      <c r="J3148" s="8">
        <f ca="1">IFERROR(__xludf.DUMMYFUNCTION("""COMPUTED_VALUE"""),0)</f>
        <v>0</v>
      </c>
      <c r="K3148" s="8" t="str">
        <f ca="1">IFERROR(__xludf.DUMMYFUNCTION("""COMPUTED_VALUE"""),"https://news.google.com/newspapers?id=vBoMAAAAIBAJ&amp;pg=3895,165958
https://www.newspapers.com/image/317753666/?terms=school%20shooting&amp;match=1")</f>
        <v>https://news.google.com/newspapers?id=vBoMAAAAIBAJ&amp;pg=3895,165958
https://www.newspapers.com/image/317753666/?terms=school%20shooting&amp;match=1</v>
      </c>
      <c r="L3148" s="8"/>
      <c r="M3148" s="8" t="str">
        <f ca="1">IFERROR(__xludf.DUMMYFUNCTION("""COMPUTED_VALUE"""),"Local")</f>
        <v>Local</v>
      </c>
      <c r="N3148" s="8">
        <f ca="1">IFERROR(__xludf.DUMMYFUNCTION("""COMPUTED_VALUE"""),4)</f>
        <v>4</v>
      </c>
      <c r="O3148" s="8" t="str">
        <f ca="1">IFERROR(__xludf.DUMMYFUNCTION("""COMPUTED_VALUE"""),"Winter")</f>
        <v>Winter</v>
      </c>
      <c r="P3148" s="8" t="str">
        <f ca="1">IFERROR(__xludf.DUMMYFUNCTION("""COMPUTED_VALUE"""),"Miami")</f>
        <v>Miami</v>
      </c>
      <c r="Q3148" s="8" t="str">
        <f ca="1">IFERROR(__xludf.DUMMYFUNCTION("""COMPUTED_VALUE"""),"FL")</f>
        <v>FL</v>
      </c>
      <c r="R3148" s="8" t="str">
        <f ca="1">IFERROR(__xludf.DUMMYFUNCTION("""COMPUTED_VALUE"""),"High")</f>
        <v>High</v>
      </c>
      <c r="S3148" s="8" t="str">
        <f ca="1">IFERROR(__xludf.DUMMYFUNCTION("""COMPUTED_VALUE"""),"Hallway")</f>
        <v>Hallway</v>
      </c>
      <c r="T3148" s="8" t="str">
        <f ca="1">IFERROR(__xludf.DUMMYFUNCTION("""COMPUTED_VALUE"""),"Inside School Building")</f>
        <v>Inside School Building</v>
      </c>
      <c r="U3148" s="8" t="str">
        <f ca="1">IFERROR(__xludf.DUMMYFUNCTION("""COMPUTED_VALUE"""),"Yes")</f>
        <v>Yes</v>
      </c>
      <c r="V3148" s="8"/>
      <c r="W3148" s="8"/>
      <c r="X3148" s="8">
        <f ca="1">IFERROR(__xludf.DUMMYFUNCTION("""COMPUTED_VALUE"""),1)</f>
        <v>1</v>
      </c>
      <c r="Y3148" s="12" t="str">
        <f ca="1">IFERROR(__xludf.DUMMYFUNCTION("""COMPUTED_VALUE"""),"Female student fatally shot during dispute over pen")</f>
        <v>Female student fatally shot during dispute over pen</v>
      </c>
      <c r="Z3148" s="12" t="str">
        <f ca="1">IFERROR(__xludf.DUMMYFUNCTION("""COMPUTED_VALUE"""),"16-year-old female student was shot in the hallway by another 16-year-old female student during a dispute over a pen. Shooter was held for mental evaluation.")</f>
        <v>16-year-old female student was shot in the hallway by another 16-year-old female student during a dispute over a pen. Shooter was held for mental evaluation.</v>
      </c>
      <c r="AA3148" s="8" t="str">
        <f ca="1">IFERROR(__xludf.DUMMYFUNCTION("""COMPUTED_VALUE"""),"Escalation of Dispute")</f>
        <v>Escalation of Dispute</v>
      </c>
      <c r="AB3148" s="8"/>
      <c r="AC3148" s="8" t="str">
        <f ca="1">IFERROR(__xludf.DUMMYFUNCTION("""COMPUTED_VALUE"""),"Yes")</f>
        <v>Yes</v>
      </c>
      <c r="AD3148" s="8" t="str">
        <f ca="1">IFERROR(__xludf.DUMMYFUNCTION("""COMPUTED_VALUE"""),"Victims Targeted")</f>
        <v>Victims Targeted</v>
      </c>
      <c r="AE3148" s="8" t="str">
        <f ca="1">IFERROR(__xludf.DUMMYFUNCTION("""COMPUTED_VALUE"""),"No")</f>
        <v>No</v>
      </c>
      <c r="AF3148" s="8"/>
      <c r="AG3148" s="8" t="str">
        <f ca="1">IFERROR(__xludf.DUMMYFUNCTION("""COMPUTED_VALUE"""),"No")</f>
        <v>No</v>
      </c>
      <c r="AH3148" s="8" t="str">
        <f ca="1">IFERROR(__xludf.DUMMYFUNCTION("""COMPUTED_VALUE"""),"No")</f>
        <v>No</v>
      </c>
      <c r="AI3148" s="8" t="str">
        <f ca="1">IFERROR(__xludf.DUMMYFUNCTION("""COMPUTED_VALUE"""),"No")</f>
        <v>No</v>
      </c>
      <c r="AJ3148" s="8" t="str">
        <f ca="1">IFERROR(__xludf.DUMMYFUNCTION("""COMPUTED_VALUE"""),"No")</f>
        <v>No</v>
      </c>
      <c r="AK3148" s="8" t="str">
        <f ca="1">IFERROR(__xludf.DUMMYFUNCTION("""COMPUTED_VALUE"""),"No")</f>
        <v>No</v>
      </c>
      <c r="AL3148" s="8" t="str">
        <f ca="1">IFERROR(__xludf.DUMMYFUNCTION("""COMPUTED_VALUE"""),"No")</f>
        <v>No</v>
      </c>
      <c r="AM3148" s="8" t="str">
        <f ca="1">IFERROR(__xludf.DUMMYFUNCTION("""COMPUTED_VALUE"""),"No")</f>
        <v>No</v>
      </c>
      <c r="AN3148" s="8" t="str">
        <f ca="1">IFERROR(__xludf.DUMMYFUNCTION("""COMPUTED_VALUE"""),"Hallway")</f>
        <v>Hallway</v>
      </c>
      <c r="AO3148" s="8" t="str">
        <f ca="1">IFERROR(__xludf.DUMMYFUNCTION("""COMPUTED_VALUE"""),"No")</f>
        <v>No</v>
      </c>
      <c r="AP3148" s="8"/>
      <c r="AQ3148" s="8"/>
      <c r="AR3148" s="8"/>
      <c r="AS3148" s="8">
        <f ca="1">IFERROR(__xludf.DUMMYFUNCTION("""COMPUTED_VALUE"""),1)</f>
        <v>1</v>
      </c>
      <c r="AT3148" s="8"/>
      <c r="AU3148" s="8">
        <f ca="1">IFERROR(__xludf.DUMMYFUNCTION("""COMPUTED_VALUE"""),25.810984)</f>
        <v>25.810984000000001</v>
      </c>
      <c r="AV3148" s="8">
        <f ca="1">IFERROR(__xludf.DUMMYFUNCTION("""COMPUTED_VALUE"""),-80.224949)</f>
        <v>-80.224948999999995</v>
      </c>
      <c r="AW3148" s="8"/>
      <c r="AX3148" s="8">
        <f ca="1">IFERROR(__xludf.DUMMYFUNCTION("""COMPUTED_VALUE"""),331427010)</f>
        <v>331427010</v>
      </c>
    </row>
    <row r="3149" spans="1:50" ht="75" x14ac:dyDescent="0.2">
      <c r="A3149" s="8" t="str">
        <f ca="1">IFERROR(__xludf.DUMMYFUNCTION("""COMPUTED_VALUE"""),"19671023HIFAH")</f>
        <v>19671023HIFAH</v>
      </c>
      <c r="B3149" s="8">
        <f ca="1">IFERROR(__xludf.DUMMYFUNCTION("""COMPUTED_VALUE"""),10)</f>
        <v>10</v>
      </c>
      <c r="C3149" s="8">
        <f ca="1">IFERROR(__xludf.DUMMYFUNCTION("""COMPUTED_VALUE"""),23)</f>
        <v>23</v>
      </c>
      <c r="D3149" s="8">
        <f ca="1">IFERROR(__xludf.DUMMYFUNCTION("""COMPUTED_VALUE"""),1967)</f>
        <v>1967</v>
      </c>
      <c r="E3149" s="9">
        <f ca="1">IFERROR(__xludf.DUMMYFUNCTION("""COMPUTED_VALUE"""),24768)</f>
        <v>24768</v>
      </c>
      <c r="F3149" s="8" t="str">
        <f ca="1">IFERROR(__xludf.DUMMYFUNCTION("""COMPUTED_VALUE"""),"Farrington High School")</f>
        <v>Farrington High School</v>
      </c>
      <c r="G3149" s="8">
        <f ca="1">IFERROR(__xludf.DUMMYFUNCTION("""COMPUTED_VALUE"""),0)</f>
        <v>0</v>
      </c>
      <c r="H3149" s="8">
        <f ca="1">IFERROR(__xludf.DUMMYFUNCTION("""COMPUTED_VALUE"""),1)</f>
        <v>1</v>
      </c>
      <c r="I3149" s="8">
        <f ca="1">IFERROR(__xludf.DUMMYFUNCTION("""COMPUTED_VALUE"""),1)</f>
        <v>1</v>
      </c>
      <c r="J3149" s="8">
        <f ca="1">IFERROR(__xludf.DUMMYFUNCTION("""COMPUTED_VALUE"""),0)</f>
        <v>0</v>
      </c>
      <c r="K3149" s="10" t="str">
        <f ca="1">IFERROR(__xludf.DUMMYFUNCTION("""COMPUTED_VALUE"""),"https://www.newspapers.com/image/271128975/?terms=school%20shooting&amp;match=1")</f>
        <v>https://www.newspapers.com/image/271128975/?terms=school%20shooting&amp;match=1</v>
      </c>
      <c r="L3149" s="8"/>
      <c r="M3149" s="8" t="str">
        <f ca="1">IFERROR(__xludf.DUMMYFUNCTION("""COMPUTED_VALUE"""),"Local")</f>
        <v>Local</v>
      </c>
      <c r="N3149" s="8">
        <f ca="1">IFERROR(__xludf.DUMMYFUNCTION("""COMPUTED_VALUE"""),4)</f>
        <v>4</v>
      </c>
      <c r="O3149" s="8" t="str">
        <f ca="1">IFERROR(__xludf.DUMMYFUNCTION("""COMPUTED_VALUE"""),"Fall")</f>
        <v>Fall</v>
      </c>
      <c r="P3149" s="8" t="str">
        <f ca="1">IFERROR(__xludf.DUMMYFUNCTION("""COMPUTED_VALUE"""),"Honolulu")</f>
        <v>Honolulu</v>
      </c>
      <c r="Q3149" s="8" t="str">
        <f ca="1">IFERROR(__xludf.DUMMYFUNCTION("""COMPUTED_VALUE"""),"HI")</f>
        <v>HI</v>
      </c>
      <c r="R3149" s="8" t="str">
        <f ca="1">IFERROR(__xludf.DUMMYFUNCTION("""COMPUTED_VALUE"""),"High")</f>
        <v>High</v>
      </c>
      <c r="S3149" s="8" t="str">
        <f ca="1">IFERROR(__xludf.DUMMYFUNCTION("""COMPUTED_VALUE"""),"Classroom")</f>
        <v>Classroom</v>
      </c>
      <c r="T3149" s="8" t="str">
        <f ca="1">IFERROR(__xludf.DUMMYFUNCTION("""COMPUTED_VALUE"""),"Inside School Building")</f>
        <v>Inside School Building</v>
      </c>
      <c r="U3149" s="8" t="str">
        <f ca="1">IFERROR(__xludf.DUMMYFUNCTION("""COMPUTED_VALUE"""),"Yes")</f>
        <v>Yes</v>
      </c>
      <c r="V3149" s="8" t="str">
        <f ca="1">IFERROR(__xludf.DUMMYFUNCTION("""COMPUTED_VALUE"""),"Evening")</f>
        <v>Evening</v>
      </c>
      <c r="W3149" s="8"/>
      <c r="X3149" s="8">
        <f ca="1">IFERROR(__xludf.DUMMYFUNCTION("""COMPUTED_VALUE"""),1)</f>
        <v>1</v>
      </c>
      <c r="Y3149" s="12" t="str">
        <f ca="1">IFERROR(__xludf.DUMMYFUNCTION("""COMPUTED_VALUE"""),"Former student shot his boss inside classroom during night classes")</f>
        <v>Former student shot his boss inside classroom during night classes</v>
      </c>
      <c r="Z3149" s="12" t="str">
        <f ca="1">IFERROR(__xludf.DUMMYFUNCTION("""COMPUTED_VALUE"""),"Former employee (32-year-old man) walked into classroom and shot his boss (23-year-old man) 3 times in the chest during night classes. Employee had threatened to kill his boss after he was fired. Shooter was a former night student and dropped out 2 weeks "&amp;"prior to the attack.")</f>
        <v>Former employee (32-year-old man) walked into classroom and shot his boss (23-year-old man) 3 times in the chest during night classes. Employee had threatened to kill his boss after he was fired. Shooter was a former night student and dropped out 2 weeks prior to the attack.</v>
      </c>
      <c r="AA3149" s="8" t="str">
        <f ca="1">IFERROR(__xludf.DUMMYFUNCTION("""COMPUTED_VALUE"""),"Murder/Assassination")</f>
        <v>Murder/Assassination</v>
      </c>
      <c r="AB3149" s="8"/>
      <c r="AC3149" s="8" t="str">
        <f ca="1">IFERROR(__xludf.DUMMYFUNCTION("""COMPUTED_VALUE"""),"Yes")</f>
        <v>Yes</v>
      </c>
      <c r="AD3149" s="8" t="str">
        <f ca="1">IFERROR(__xludf.DUMMYFUNCTION("""COMPUTED_VALUE"""),"Victims Targeted")</f>
        <v>Victims Targeted</v>
      </c>
      <c r="AE3149" s="8" t="str">
        <f ca="1">IFERROR(__xludf.DUMMYFUNCTION("""COMPUTED_VALUE"""),"No")</f>
        <v>No</v>
      </c>
      <c r="AF3149" s="8"/>
      <c r="AG3149" s="8" t="str">
        <f ca="1">IFERROR(__xludf.DUMMYFUNCTION("""COMPUTED_VALUE"""),"No")</f>
        <v>No</v>
      </c>
      <c r="AH3149" s="8" t="str">
        <f ca="1">IFERROR(__xludf.DUMMYFUNCTION("""COMPUTED_VALUE"""),"No")</f>
        <v>No</v>
      </c>
      <c r="AI3149" s="8" t="str">
        <f ca="1">IFERROR(__xludf.DUMMYFUNCTION("""COMPUTED_VALUE"""),"No")</f>
        <v>No</v>
      </c>
      <c r="AJ3149" s="8" t="str">
        <f ca="1">IFERROR(__xludf.DUMMYFUNCTION("""COMPUTED_VALUE"""),"No")</f>
        <v>No</v>
      </c>
      <c r="AK3149" s="8" t="str">
        <f ca="1">IFERROR(__xludf.DUMMYFUNCTION("""COMPUTED_VALUE"""),"No")</f>
        <v>No</v>
      </c>
      <c r="AL3149" s="8" t="str">
        <f ca="1">IFERROR(__xludf.DUMMYFUNCTION("""COMPUTED_VALUE"""),"No")</f>
        <v>No</v>
      </c>
      <c r="AM3149" s="8" t="str">
        <f ca="1">IFERROR(__xludf.DUMMYFUNCTION("""COMPUTED_VALUE"""),"No")</f>
        <v>No</v>
      </c>
      <c r="AN3149" s="8" t="str">
        <f ca="1">IFERROR(__xludf.DUMMYFUNCTION("""COMPUTED_VALUE"""),"Single Room")</f>
        <v>Single Room</v>
      </c>
      <c r="AO3149" s="8" t="str">
        <f ca="1">IFERROR(__xludf.DUMMYFUNCTION("""COMPUTED_VALUE"""),"No")</f>
        <v>No</v>
      </c>
      <c r="AP3149" s="8"/>
      <c r="AQ3149" s="8"/>
      <c r="AR3149" s="8"/>
      <c r="AS3149" s="8">
        <f ca="1">IFERROR(__xludf.DUMMYFUNCTION("""COMPUTED_VALUE"""),3)</f>
        <v>3</v>
      </c>
      <c r="AT3149" s="8"/>
      <c r="AU3149" s="8">
        <f ca="1">IFERROR(__xludf.DUMMYFUNCTION("""COMPUTED_VALUE"""),21.33045)</f>
        <v>21.330449999999999</v>
      </c>
      <c r="AV3149" s="8">
        <f ca="1">IFERROR(__xludf.DUMMYFUNCTION("""COMPUTED_VALUE"""),-157.873745)</f>
        <v>-157.87374500000001</v>
      </c>
      <c r="AW3149" s="8"/>
      <c r="AX3149" s="8">
        <f ca="1">IFERROR(__xludf.DUMMYFUNCTION("""COMPUTED_VALUE"""),96858)</f>
        <v>96858</v>
      </c>
    </row>
    <row r="3150" spans="1:50" ht="60" x14ac:dyDescent="0.2">
      <c r="A3150" s="8" t="str">
        <f ca="1">IFERROR(__xludf.DUMMYFUNCTION("""COMPUTED_VALUE"""),"19671018PAGEP")</f>
        <v>19671018PAGEP</v>
      </c>
      <c r="B3150" s="8">
        <f ca="1">IFERROR(__xludf.DUMMYFUNCTION("""COMPUTED_VALUE"""),10)</f>
        <v>10</v>
      </c>
      <c r="C3150" s="8">
        <f ca="1">IFERROR(__xludf.DUMMYFUNCTION("""COMPUTED_VALUE"""),18)</f>
        <v>18</v>
      </c>
      <c r="D3150" s="8">
        <f ca="1">IFERROR(__xludf.DUMMYFUNCTION("""COMPUTED_VALUE"""),1967)</f>
        <v>1967</v>
      </c>
      <c r="E3150" s="9">
        <f ca="1">IFERROR(__xludf.DUMMYFUNCTION("""COMPUTED_VALUE"""),24763)</f>
        <v>24763</v>
      </c>
      <c r="F3150" s="8" t="str">
        <f ca="1">IFERROR(__xludf.DUMMYFUNCTION("""COMPUTED_VALUE"""),"Germantown High School")</f>
        <v>Germantown High School</v>
      </c>
      <c r="G3150" s="8">
        <f ca="1">IFERROR(__xludf.DUMMYFUNCTION("""COMPUTED_VALUE"""),0)</f>
        <v>0</v>
      </c>
      <c r="H3150" s="8">
        <f ca="1">IFERROR(__xludf.DUMMYFUNCTION("""COMPUTED_VALUE"""),2)</f>
        <v>2</v>
      </c>
      <c r="I3150" s="8">
        <f ca="1">IFERROR(__xludf.DUMMYFUNCTION("""COMPUTED_VALUE"""),2)</f>
        <v>2</v>
      </c>
      <c r="J3150" s="8">
        <f ca="1">IFERROR(__xludf.DUMMYFUNCTION("""COMPUTED_VALUE"""),0)</f>
        <v>0</v>
      </c>
      <c r="K3150" s="10" t="str">
        <f ca="1">IFERROR(__xludf.DUMMYFUNCTION("""COMPUTED_VALUE"""),"https://www.newspapers.com/image/68321731/?terms=school%20shooting&amp;match=1")</f>
        <v>https://www.newspapers.com/image/68321731/?terms=school%20shooting&amp;match=1</v>
      </c>
      <c r="L3150" s="8"/>
      <c r="M3150" s="8" t="str">
        <f ca="1">IFERROR(__xludf.DUMMYFUNCTION("""COMPUTED_VALUE"""),"Local")</f>
        <v>Local</v>
      </c>
      <c r="N3150" s="8">
        <f ca="1">IFERROR(__xludf.DUMMYFUNCTION("""COMPUTED_VALUE"""),4)</f>
        <v>4</v>
      </c>
      <c r="O3150" s="8" t="str">
        <f ca="1">IFERROR(__xludf.DUMMYFUNCTION("""COMPUTED_VALUE"""),"Fall")</f>
        <v>Fall</v>
      </c>
      <c r="P3150" s="8" t="str">
        <f ca="1">IFERROR(__xludf.DUMMYFUNCTION("""COMPUTED_VALUE"""),"Philadelphia")</f>
        <v>Philadelphia</v>
      </c>
      <c r="Q3150" s="8" t="str">
        <f ca="1">IFERROR(__xludf.DUMMYFUNCTION("""COMPUTED_VALUE"""),"PA")</f>
        <v>PA</v>
      </c>
      <c r="R3150" s="8" t="str">
        <f ca="1">IFERROR(__xludf.DUMMYFUNCTION("""COMPUTED_VALUE"""),"High")</f>
        <v>High</v>
      </c>
      <c r="S3150" s="8" t="str">
        <f ca="1">IFERROR(__xludf.DUMMYFUNCTION("""COMPUTED_VALUE"""),"Cafeteria")</f>
        <v>Cafeteria</v>
      </c>
      <c r="T3150" s="8" t="str">
        <f ca="1">IFERROR(__xludf.DUMMYFUNCTION("""COMPUTED_VALUE"""),"Inside School Building")</f>
        <v>Inside School Building</v>
      </c>
      <c r="U3150" s="8" t="str">
        <f ca="1">IFERROR(__xludf.DUMMYFUNCTION("""COMPUTED_VALUE"""),"Yes")</f>
        <v>Yes</v>
      </c>
      <c r="V3150" s="8" t="str">
        <f ca="1">IFERROR(__xludf.DUMMYFUNCTION("""COMPUTED_VALUE"""),"Lunch")</f>
        <v>Lunch</v>
      </c>
      <c r="W3150" s="11">
        <f ca="1">IFERROR(__xludf.DUMMYFUNCTION("""COMPUTED_VALUE"""),0.5)</f>
        <v>0.5</v>
      </c>
      <c r="X3150" s="8">
        <f ca="1">IFERROR(__xludf.DUMMYFUNCTION("""COMPUTED_VALUE"""),1)</f>
        <v>1</v>
      </c>
      <c r="Y3150" s="12" t="str">
        <f ca="1">IFERROR(__xludf.DUMMYFUNCTION("""COMPUTED_VALUE"""),"Teen fired 5 shots in cafeteria during fight between rival gangs, 2 wounded")</f>
        <v>Teen fired 5 shots in cafeteria during fight between rival gangs, 2 wounded</v>
      </c>
      <c r="Z3150" s="12" t="str">
        <f ca="1">IFERROR(__xludf.DUMMYFUNCTION("""COMPUTED_VALUE"""),"Teen fired 5 shots in cafeteria during fight between rival gangs. 2 students were wounded. One victim was targeted, the other was bystander.")</f>
        <v>Teen fired 5 shots in cafeteria during fight between rival gangs. 2 students were wounded. One victim was targeted, the other was bystander.</v>
      </c>
      <c r="AA3150" s="8" t="str">
        <f ca="1">IFERROR(__xludf.DUMMYFUNCTION("""COMPUTED_VALUE"""),"Escalation of Dispute")</f>
        <v>Escalation of Dispute</v>
      </c>
      <c r="AB3150" s="8"/>
      <c r="AC3150" s="8" t="str">
        <f ca="1">IFERROR(__xludf.DUMMYFUNCTION("""COMPUTED_VALUE"""),"Yes")</f>
        <v>Yes</v>
      </c>
      <c r="AD3150" s="8" t="str">
        <f ca="1">IFERROR(__xludf.DUMMYFUNCTION("""COMPUTED_VALUE"""),"Victims Targeted")</f>
        <v>Victims Targeted</v>
      </c>
      <c r="AE3150" s="8" t="str">
        <f ca="1">IFERROR(__xludf.DUMMYFUNCTION("""COMPUTED_VALUE"""),"Yes")</f>
        <v>Yes</v>
      </c>
      <c r="AF3150" s="8" t="str">
        <f ca="1">IFERROR(__xludf.DUMMYFUNCTION("""COMPUTED_VALUE"""),"Two students arrested")</f>
        <v>Two students arrested</v>
      </c>
      <c r="AG3150" s="8" t="str">
        <f ca="1">IFERROR(__xludf.DUMMYFUNCTION("""COMPUTED_VALUE"""),"No")</f>
        <v>No</v>
      </c>
      <c r="AH3150" s="8" t="str">
        <f ca="1">IFERROR(__xludf.DUMMYFUNCTION("""COMPUTED_VALUE"""),"No")</f>
        <v>No</v>
      </c>
      <c r="AI3150" s="8" t="str">
        <f ca="1">IFERROR(__xludf.DUMMYFUNCTION("""COMPUTED_VALUE"""),"No")</f>
        <v>No</v>
      </c>
      <c r="AJ3150" s="8" t="str">
        <f ca="1">IFERROR(__xludf.DUMMYFUNCTION("""COMPUTED_VALUE"""),"No")</f>
        <v>No</v>
      </c>
      <c r="AK3150" s="8" t="str">
        <f ca="1">IFERROR(__xludf.DUMMYFUNCTION("""COMPUTED_VALUE"""),"No")</f>
        <v>No</v>
      </c>
      <c r="AL3150" s="8" t="str">
        <f ca="1">IFERROR(__xludf.DUMMYFUNCTION("""COMPUTED_VALUE"""),"Yes")</f>
        <v>Yes</v>
      </c>
      <c r="AM3150" s="8" t="str">
        <f ca="1">IFERROR(__xludf.DUMMYFUNCTION("""COMPUTED_VALUE"""),"No")</f>
        <v>No</v>
      </c>
      <c r="AN3150" s="8" t="str">
        <f ca="1">IFERROR(__xludf.DUMMYFUNCTION("""COMPUTED_VALUE"""),"Single Room")</f>
        <v>Single Room</v>
      </c>
      <c r="AO3150" s="8" t="str">
        <f ca="1">IFERROR(__xludf.DUMMYFUNCTION("""COMPUTED_VALUE"""),"No")</f>
        <v>No</v>
      </c>
      <c r="AP3150" s="8"/>
      <c r="AQ3150" s="8"/>
      <c r="AR3150" s="8"/>
      <c r="AS3150" s="8">
        <f ca="1">IFERROR(__xludf.DUMMYFUNCTION("""COMPUTED_VALUE"""),5)</f>
        <v>5</v>
      </c>
      <c r="AT3150" s="8"/>
      <c r="AU3150" s="8">
        <f ca="1">IFERROR(__xludf.DUMMYFUNCTION("""COMPUTED_VALUE"""),40.039725)</f>
        <v>40.039724999999997</v>
      </c>
      <c r="AV3150" s="8">
        <f ca="1">IFERROR(__xludf.DUMMYFUNCTION("""COMPUTED_VALUE"""),-75.176793)</f>
        <v>-75.176793000000004</v>
      </c>
      <c r="AW3150" s="8"/>
      <c r="AX3150" s="8">
        <f ca="1">IFERROR(__xludf.DUMMYFUNCTION("""COMPUTED_VALUE"""),19144)</f>
        <v>19144</v>
      </c>
    </row>
    <row r="3151" spans="1:50" ht="75" x14ac:dyDescent="0.2">
      <c r="A3151" s="8" t="str">
        <f ca="1">IFERROR(__xludf.DUMMYFUNCTION("""COMPUTED_VALUE"""),"19670921VTTUT")</f>
        <v>19670921VTTUT</v>
      </c>
      <c r="B3151" s="8">
        <f ca="1">IFERROR(__xludf.DUMMYFUNCTION("""COMPUTED_VALUE"""),9)</f>
        <v>9</v>
      </c>
      <c r="C3151" s="8">
        <f ca="1">IFERROR(__xludf.DUMMYFUNCTION("""COMPUTED_VALUE"""),21)</f>
        <v>21</v>
      </c>
      <c r="D3151" s="8">
        <f ca="1">IFERROR(__xludf.DUMMYFUNCTION("""COMPUTED_VALUE"""),1967)</f>
        <v>1967</v>
      </c>
      <c r="E3151" s="9">
        <f ca="1">IFERROR(__xludf.DUMMYFUNCTION("""COMPUTED_VALUE"""),24736)</f>
        <v>24736</v>
      </c>
      <c r="F3151" s="8" t="str">
        <f ca="1">IFERROR(__xludf.DUMMYFUNCTION("""COMPUTED_VALUE"""),"Tunbridge Elementary School")</f>
        <v>Tunbridge Elementary School</v>
      </c>
      <c r="G3151" s="8">
        <f ca="1">IFERROR(__xludf.DUMMYFUNCTION("""COMPUTED_VALUE"""),0)</f>
        <v>0</v>
      </c>
      <c r="H3151" s="8">
        <f ca="1">IFERROR(__xludf.DUMMYFUNCTION("""COMPUTED_VALUE"""),0)</f>
        <v>0</v>
      </c>
      <c r="I3151" s="8">
        <f ca="1">IFERROR(__xludf.DUMMYFUNCTION("""COMPUTED_VALUE"""),0)</f>
        <v>0</v>
      </c>
      <c r="J3151" s="8">
        <f ca="1">IFERROR(__xludf.DUMMYFUNCTION("""COMPUTED_VALUE"""),0)</f>
        <v>0</v>
      </c>
      <c r="K3151" s="10" t="str">
        <f ca="1">IFERROR(__xludf.DUMMYFUNCTION("""COMPUTED_VALUE"""),"https://www.newspapers.com/image/199495958/?terms=school%20shooting&amp;match=1")</f>
        <v>https://www.newspapers.com/image/199495958/?terms=school%20shooting&amp;match=1</v>
      </c>
      <c r="L3151" s="8"/>
      <c r="M3151" s="8" t="str">
        <f ca="1">IFERROR(__xludf.DUMMYFUNCTION("""COMPUTED_VALUE"""),"Local")</f>
        <v>Local</v>
      </c>
      <c r="N3151" s="8">
        <f ca="1">IFERROR(__xludf.DUMMYFUNCTION("""COMPUTED_VALUE"""),4)</f>
        <v>4</v>
      </c>
      <c r="O3151" s="8" t="str">
        <f ca="1">IFERROR(__xludf.DUMMYFUNCTION("""COMPUTED_VALUE"""),"Fall")</f>
        <v>Fall</v>
      </c>
      <c r="P3151" s="8" t="str">
        <f ca="1">IFERROR(__xludf.DUMMYFUNCTION("""COMPUTED_VALUE"""),"Tunbridge")</f>
        <v>Tunbridge</v>
      </c>
      <c r="Q3151" s="8" t="str">
        <f ca="1">IFERROR(__xludf.DUMMYFUNCTION("""COMPUTED_VALUE"""),"VT")</f>
        <v>VT</v>
      </c>
      <c r="R3151" s="8" t="str">
        <f ca="1">IFERROR(__xludf.DUMMYFUNCTION("""COMPUTED_VALUE"""),"Elementary")</f>
        <v>Elementary</v>
      </c>
      <c r="S3151" s="8" t="str">
        <f ca="1">IFERROR(__xludf.DUMMYFUNCTION("""COMPUTED_VALUE"""),"Classroom")</f>
        <v>Classroom</v>
      </c>
      <c r="T3151" s="8" t="str">
        <f ca="1">IFERROR(__xludf.DUMMYFUNCTION("""COMPUTED_VALUE"""),"Inside School Building")</f>
        <v>Inside School Building</v>
      </c>
      <c r="U3151" s="8" t="str">
        <f ca="1">IFERROR(__xludf.DUMMYFUNCTION("""COMPUTED_VALUE"""),"Yes")</f>
        <v>Yes</v>
      </c>
      <c r="V3151" s="8"/>
      <c r="W3151" s="8"/>
      <c r="X3151" s="8">
        <f ca="1">IFERROR(__xludf.DUMMYFUNCTION("""COMPUTED_VALUE"""),1)</f>
        <v>1</v>
      </c>
      <c r="Y3151" s="12" t="str">
        <f ca="1">IFERROR(__xludf.DUMMYFUNCTION("""COMPUTED_VALUE"""),"Principal fired his gun inside classroom with students to assert his authority")</f>
        <v>Principal fired his gun inside classroom with students to assert his authority</v>
      </c>
      <c r="Z3151" s="12" t="str">
        <f ca="1">IFERROR(__xludf.DUMMYFUNCTION("""COMPUTED_VALUE"""),"Principal fired his gun inside classroom with students to assert his authority. He was not fired but his contract was not renewed the following year.")</f>
        <v>Principal fired his gun inside classroom with students to assert his authority. He was not fired but his contract was not renewed the following year.</v>
      </c>
      <c r="AA3151" s="8" t="str">
        <f ca="1">IFERROR(__xludf.DUMMYFUNCTION("""COMPUTED_VALUE"""),"Illegal Activity")</f>
        <v>Illegal Activity</v>
      </c>
      <c r="AB3151" s="8"/>
      <c r="AC3151" s="8" t="str">
        <f ca="1">IFERROR(__xludf.DUMMYFUNCTION("""COMPUTED_VALUE"""),"Yes")</f>
        <v>Yes</v>
      </c>
      <c r="AD3151" s="8" t="str">
        <f ca="1">IFERROR(__xludf.DUMMYFUNCTION("""COMPUTED_VALUE"""),"Neither")</f>
        <v>Neither</v>
      </c>
      <c r="AE3151" s="8" t="str">
        <f ca="1">IFERROR(__xludf.DUMMYFUNCTION("""COMPUTED_VALUE"""),"No")</f>
        <v>No</v>
      </c>
      <c r="AF3151" s="8"/>
      <c r="AG3151" s="8" t="str">
        <f ca="1">IFERROR(__xludf.DUMMYFUNCTION("""COMPUTED_VALUE"""),"No")</f>
        <v>No</v>
      </c>
      <c r="AH3151" s="8" t="str">
        <f ca="1">IFERROR(__xludf.DUMMYFUNCTION("""COMPUTED_VALUE"""),"No")</f>
        <v>No</v>
      </c>
      <c r="AI3151" s="8" t="str">
        <f ca="1">IFERROR(__xludf.DUMMYFUNCTION("""COMPUTED_VALUE"""),"No")</f>
        <v>No</v>
      </c>
      <c r="AJ3151" s="8" t="str">
        <f ca="1">IFERROR(__xludf.DUMMYFUNCTION("""COMPUTED_VALUE"""),"No")</f>
        <v>No</v>
      </c>
      <c r="AK3151" s="8" t="str">
        <f ca="1">IFERROR(__xludf.DUMMYFUNCTION("""COMPUTED_VALUE"""),"No")</f>
        <v>No</v>
      </c>
      <c r="AL3151" s="8" t="str">
        <f ca="1">IFERROR(__xludf.DUMMYFUNCTION("""COMPUTED_VALUE"""),"No")</f>
        <v>No</v>
      </c>
      <c r="AM3151" s="8" t="str">
        <f ca="1">IFERROR(__xludf.DUMMYFUNCTION("""COMPUTED_VALUE"""),"No")</f>
        <v>No</v>
      </c>
      <c r="AN3151" s="8" t="str">
        <f ca="1">IFERROR(__xludf.DUMMYFUNCTION("""COMPUTED_VALUE"""),"Single Room")</f>
        <v>Single Room</v>
      </c>
      <c r="AO3151" s="8" t="str">
        <f ca="1">IFERROR(__xludf.DUMMYFUNCTION("""COMPUTED_VALUE"""),"No")</f>
        <v>No</v>
      </c>
      <c r="AP3151" s="8"/>
      <c r="AQ3151" s="8"/>
      <c r="AR3151" s="8"/>
      <c r="AS3151" s="8">
        <f ca="1">IFERROR(__xludf.DUMMYFUNCTION("""COMPUTED_VALUE"""),1)</f>
        <v>1</v>
      </c>
      <c r="AT3151" s="8"/>
      <c r="AU3151" s="8">
        <f ca="1">IFERROR(__xludf.DUMMYFUNCTION("""COMPUTED_VALUE"""),43.916857)</f>
        <v>43.916857</v>
      </c>
      <c r="AV3151" s="8">
        <f ca="1">IFERROR(__xludf.DUMMYFUNCTION("""COMPUTED_VALUE"""),-72.475226)</f>
        <v>-72.475226000000006</v>
      </c>
      <c r="AW3151" s="8"/>
      <c r="AX3151" s="8">
        <f ca="1">IFERROR(__xludf.DUMMYFUNCTION("""COMPUTED_VALUE"""),5077)</f>
        <v>5077</v>
      </c>
    </row>
    <row r="3152" spans="1:50" ht="90" x14ac:dyDescent="0.2">
      <c r="A3152" s="8" t="str">
        <f ca="1">IFERROR(__xludf.DUMMYFUNCTION("""COMPUTED_VALUE"""),"19670503ILWEN")</f>
        <v>19670503ILWEN</v>
      </c>
      <c r="B3152" s="8">
        <f ca="1">IFERROR(__xludf.DUMMYFUNCTION("""COMPUTED_VALUE"""),5)</f>
        <v>5</v>
      </c>
      <c r="C3152" s="8">
        <f ca="1">IFERROR(__xludf.DUMMYFUNCTION("""COMPUTED_VALUE"""),3)</f>
        <v>3</v>
      </c>
      <c r="D3152" s="8">
        <f ca="1">IFERROR(__xludf.DUMMYFUNCTION("""COMPUTED_VALUE"""),1967)</f>
        <v>1967</v>
      </c>
      <c r="E3152" s="9">
        <f ca="1">IFERROR(__xludf.DUMMYFUNCTION("""COMPUTED_VALUE"""),24595)</f>
        <v>24595</v>
      </c>
      <c r="F3152" s="8" t="str">
        <f ca="1">IFERROR(__xludf.DUMMYFUNCTION("""COMPUTED_VALUE"""),"West Leyden High School")</f>
        <v>West Leyden High School</v>
      </c>
      <c r="G3152" s="8">
        <f ca="1">IFERROR(__xludf.DUMMYFUNCTION("""COMPUTED_VALUE"""),1)</f>
        <v>1</v>
      </c>
      <c r="H3152" s="8">
        <f ca="1">IFERROR(__xludf.DUMMYFUNCTION("""COMPUTED_VALUE"""),1)</f>
        <v>1</v>
      </c>
      <c r="I3152" s="8">
        <f ca="1">IFERROR(__xludf.DUMMYFUNCTION("""COMPUTED_VALUE"""),2)</f>
        <v>2</v>
      </c>
      <c r="J3152" s="8">
        <f ca="1">IFERROR(__xludf.DUMMYFUNCTION("""COMPUTED_VALUE"""),0)</f>
        <v>0</v>
      </c>
      <c r="K3152" s="8" t="str">
        <f ca="1">IFERROR(__xludf.DUMMYFUNCTION("""COMPUTED_VALUE"""),"https://www.leagle.com/decision/19722416illapp3d2351185
https://www.newspapers.com/clip/29613288/chicago_tribune/")</f>
        <v>https://www.leagle.com/decision/19722416illapp3d2351185
https://www.newspapers.com/clip/29613288/chicago_tribune/</v>
      </c>
      <c r="L3152" s="8"/>
      <c r="M3152" s="8" t="str">
        <f ca="1">IFERROR(__xludf.DUMMYFUNCTION("""COMPUTED_VALUE"""),"Regional")</f>
        <v>Regional</v>
      </c>
      <c r="N3152" s="8">
        <f ca="1">IFERROR(__xludf.DUMMYFUNCTION("""COMPUTED_VALUE"""),5)</f>
        <v>5</v>
      </c>
      <c r="O3152" s="8" t="str">
        <f ca="1">IFERROR(__xludf.DUMMYFUNCTION("""COMPUTED_VALUE"""),"Spring")</f>
        <v>Spring</v>
      </c>
      <c r="P3152" s="8" t="str">
        <f ca="1">IFERROR(__xludf.DUMMYFUNCTION("""COMPUTED_VALUE"""),"Northlake")</f>
        <v>Northlake</v>
      </c>
      <c r="Q3152" s="8" t="str">
        <f ca="1">IFERROR(__xludf.DUMMYFUNCTION("""COMPUTED_VALUE"""),"IL")</f>
        <v>IL</v>
      </c>
      <c r="R3152" s="8" t="str">
        <f ca="1">IFERROR(__xludf.DUMMYFUNCTION("""COMPUTED_VALUE"""),"High")</f>
        <v>High</v>
      </c>
      <c r="S3152" s="8" t="str">
        <f ca="1">IFERROR(__xludf.DUMMYFUNCTION("""COMPUTED_VALUE"""),"Hallway")</f>
        <v>Hallway</v>
      </c>
      <c r="T3152" s="8" t="str">
        <f ca="1">IFERROR(__xludf.DUMMYFUNCTION("""COMPUTED_VALUE"""),"Inside School Building")</f>
        <v>Inside School Building</v>
      </c>
      <c r="U3152" s="8" t="str">
        <f ca="1">IFERROR(__xludf.DUMMYFUNCTION("""COMPUTED_VALUE"""),"Yes")</f>
        <v>Yes</v>
      </c>
      <c r="V3152" s="8" t="str">
        <f ca="1">IFERROR(__xludf.DUMMYFUNCTION("""COMPUTED_VALUE"""),"School Start")</f>
        <v>School Start</v>
      </c>
      <c r="W3152" s="11">
        <f ca="1">IFERROR(__xludf.DUMMYFUNCTION("""COMPUTED_VALUE"""),0.34375)</f>
        <v>0.34375</v>
      </c>
      <c r="X3152" s="8">
        <f ca="1">IFERROR(__xludf.DUMMYFUNCTION("""COMPUTED_VALUE"""),1)</f>
        <v>1</v>
      </c>
      <c r="Y3152" s="12" t="str">
        <f ca="1">IFERROR(__xludf.DUMMYFUNCTION("""COMPUTED_VALUE"""),"Former student shot ex-girlfriend and gym coach in hallway before classes started")</f>
        <v>Former student shot ex-girlfriend and gym coach in hallway before classes started</v>
      </c>
      <c r="Z3152" s="12" t="str">
        <f ca="1">IFERROR(__xludf.DUMMYFUNCTION("""COMPUTED_VALUE"""),"18-year-old former student came back to the school before morning classes and fatally shot his ex-girlfriend in the hallway. Gym coach was also wounded attempting  to get shooter out of the building. Shooter collapsed and curled up in a ball after firing "&amp;"the shots. Gun was taken from brother-in-law.")</f>
        <v>18-year-old former student came back to the school before morning classes and fatally shot his ex-girlfriend in the hallway. Gym coach was also wounded attempting  to get shooter out of the building. Shooter collapsed and curled up in a ball after firing the shots. Gun was taken from brother-in-law.</v>
      </c>
      <c r="AA3152" s="8" t="str">
        <f ca="1">IFERROR(__xludf.DUMMYFUNCTION("""COMPUTED_VALUE"""),"Domestic w/ Targeted Victim")</f>
        <v>Domestic w/ Targeted Victim</v>
      </c>
      <c r="AB3152" s="8"/>
      <c r="AC3152" s="8" t="str">
        <f ca="1">IFERROR(__xludf.DUMMYFUNCTION("""COMPUTED_VALUE"""),"Yes")</f>
        <v>Yes</v>
      </c>
      <c r="AD3152" s="8" t="str">
        <f ca="1">IFERROR(__xludf.DUMMYFUNCTION("""COMPUTED_VALUE"""),"Both")</f>
        <v>Both</v>
      </c>
      <c r="AE3152" s="8" t="str">
        <f ca="1">IFERROR(__xludf.DUMMYFUNCTION("""COMPUTED_VALUE"""),"No")</f>
        <v>No</v>
      </c>
      <c r="AF3152" s="8"/>
      <c r="AG3152" s="8" t="str">
        <f ca="1">IFERROR(__xludf.DUMMYFUNCTION("""COMPUTED_VALUE"""),"No")</f>
        <v>No</v>
      </c>
      <c r="AH3152" s="8" t="str">
        <f ca="1">IFERROR(__xludf.DUMMYFUNCTION("""COMPUTED_VALUE"""),"No")</f>
        <v>No</v>
      </c>
      <c r="AI3152" s="8" t="str">
        <f ca="1">IFERROR(__xludf.DUMMYFUNCTION("""COMPUTED_VALUE"""),"No")</f>
        <v>No</v>
      </c>
      <c r="AJ3152" s="8" t="str">
        <f ca="1">IFERROR(__xludf.DUMMYFUNCTION("""COMPUTED_VALUE"""),"No")</f>
        <v>No</v>
      </c>
      <c r="AK3152" s="8" t="str">
        <f ca="1">IFERROR(__xludf.DUMMYFUNCTION("""COMPUTED_VALUE"""),"Yes")</f>
        <v>Yes</v>
      </c>
      <c r="AL3152" s="8" t="str">
        <f ca="1">IFERROR(__xludf.DUMMYFUNCTION("""COMPUTED_VALUE"""),"No")</f>
        <v>No</v>
      </c>
      <c r="AM3152" s="8" t="str">
        <f ca="1">IFERROR(__xludf.DUMMYFUNCTION("""COMPUTED_VALUE"""),"No")</f>
        <v>No</v>
      </c>
      <c r="AN3152" s="8" t="str">
        <f ca="1">IFERROR(__xludf.DUMMYFUNCTION("""COMPUTED_VALUE"""),"Hallway")</f>
        <v>Hallway</v>
      </c>
      <c r="AO3152" s="8" t="str">
        <f ca="1">IFERROR(__xludf.DUMMYFUNCTION("""COMPUTED_VALUE"""),"No")</f>
        <v>No</v>
      </c>
      <c r="AP3152" s="8"/>
      <c r="AQ3152" s="8"/>
      <c r="AR3152" s="8"/>
      <c r="AS3152" s="8">
        <f ca="1">IFERROR(__xludf.DUMMYFUNCTION("""COMPUTED_VALUE"""),2)</f>
        <v>2</v>
      </c>
      <c r="AT3152" s="8"/>
      <c r="AU3152" s="8">
        <f ca="1">IFERROR(__xludf.DUMMYFUNCTION("""COMPUTED_VALUE"""),41.926364)</f>
        <v>41.926364</v>
      </c>
      <c r="AV3152" s="8">
        <f ca="1">IFERROR(__xludf.DUMMYFUNCTION("""COMPUTED_VALUE"""),-87.90544)</f>
        <v>-87.905439999999999</v>
      </c>
      <c r="AW3152" s="8"/>
      <c r="AX3152" s="8">
        <f ca="1">IFERROR(__xludf.DUMMYFUNCTION("""COMPUTED_VALUE"""),60164)</f>
        <v>60164</v>
      </c>
    </row>
    <row r="3153" spans="1:50" ht="75" x14ac:dyDescent="0.2">
      <c r="A3153" s="8" t="str">
        <f ca="1">IFERROR(__xludf.DUMMYFUNCTION("""COMPUTED_VALUE"""),"19670419TXTRF")</f>
        <v>19670419TXTRF</v>
      </c>
      <c r="B3153" s="8">
        <f ca="1">IFERROR(__xludf.DUMMYFUNCTION("""COMPUTED_VALUE"""),4)</f>
        <v>4</v>
      </c>
      <c r="C3153" s="8">
        <f ca="1">IFERROR(__xludf.DUMMYFUNCTION("""COMPUTED_VALUE"""),19)</f>
        <v>19</v>
      </c>
      <c r="D3153" s="8">
        <f ca="1">IFERROR(__xludf.DUMMYFUNCTION("""COMPUTED_VALUE"""),1967)</f>
        <v>1967</v>
      </c>
      <c r="E3153" s="9">
        <f ca="1">IFERROR(__xludf.DUMMYFUNCTION("""COMPUTED_VALUE"""),24581)</f>
        <v>24581</v>
      </c>
      <c r="F3153" s="8" t="str">
        <f ca="1">IFERROR(__xludf.DUMMYFUNCTION("""COMPUTED_VALUE"""),"Trimble Technical High School")</f>
        <v>Trimble Technical High School</v>
      </c>
      <c r="G3153" s="8">
        <f ca="1">IFERROR(__xludf.DUMMYFUNCTION("""COMPUTED_VALUE"""),1)</f>
        <v>1</v>
      </c>
      <c r="H3153" s="8">
        <f ca="1">IFERROR(__xludf.DUMMYFUNCTION("""COMPUTED_VALUE"""),1)</f>
        <v>1</v>
      </c>
      <c r="I3153" s="8">
        <f ca="1">IFERROR(__xludf.DUMMYFUNCTION("""COMPUTED_VALUE"""),2)</f>
        <v>2</v>
      </c>
      <c r="J3153" s="8">
        <f ca="1">IFERROR(__xludf.DUMMYFUNCTION("""COMPUTED_VALUE"""),0)</f>
        <v>0</v>
      </c>
      <c r="K3153" s="10" t="str">
        <f ca="1">IFERROR(__xludf.DUMMYFUNCTION("""COMPUTED_VALUE"""),"https://www.newspapers.com/image/29901790/?terms=school%20shooting&amp;match=1")</f>
        <v>https://www.newspapers.com/image/29901790/?terms=school%20shooting&amp;match=1</v>
      </c>
      <c r="L3153" s="8"/>
      <c r="M3153" s="8" t="str">
        <f ca="1">IFERROR(__xludf.DUMMYFUNCTION("""COMPUTED_VALUE"""),"Regional")</f>
        <v>Regional</v>
      </c>
      <c r="N3153" s="8">
        <f ca="1">IFERROR(__xludf.DUMMYFUNCTION("""COMPUTED_VALUE"""),4)</f>
        <v>4</v>
      </c>
      <c r="O3153" s="8" t="str">
        <f ca="1">IFERROR(__xludf.DUMMYFUNCTION("""COMPUTED_VALUE"""),"Spring")</f>
        <v>Spring</v>
      </c>
      <c r="P3153" s="8" t="str">
        <f ca="1">IFERROR(__xludf.DUMMYFUNCTION("""COMPUTED_VALUE"""),"Fort Worth")</f>
        <v>Fort Worth</v>
      </c>
      <c r="Q3153" s="8" t="str">
        <f ca="1">IFERROR(__xludf.DUMMYFUNCTION("""COMPUTED_VALUE"""),"TX")</f>
        <v>TX</v>
      </c>
      <c r="R3153" s="8" t="str">
        <f ca="1">IFERROR(__xludf.DUMMYFUNCTION("""COMPUTED_VALUE"""),"High")</f>
        <v>High</v>
      </c>
      <c r="S3153" s="8" t="str">
        <f ca="1">IFERROR(__xludf.DUMMYFUNCTION("""COMPUTED_VALUE"""),"Hallway")</f>
        <v>Hallway</v>
      </c>
      <c r="T3153" s="8" t="str">
        <f ca="1">IFERROR(__xludf.DUMMYFUNCTION("""COMPUTED_VALUE"""),"Inside School Building")</f>
        <v>Inside School Building</v>
      </c>
      <c r="U3153" s="8" t="str">
        <f ca="1">IFERROR(__xludf.DUMMYFUNCTION("""COMPUTED_VALUE"""),"Yes")</f>
        <v>Yes</v>
      </c>
      <c r="V3153" s="8"/>
      <c r="W3153" s="8"/>
      <c r="X3153" s="8">
        <f ca="1">IFERROR(__xludf.DUMMYFUNCTION("""COMPUTED_VALUE"""),1)</f>
        <v>1</v>
      </c>
      <c r="Y3153" s="12" t="str">
        <f ca="1">IFERROR(__xludf.DUMMYFUNCTION("""COMPUTED_VALUE"""),"Student fatally shot one student and wounded another during a fight in the hallway.")</f>
        <v>Student fatally shot one student and wounded another during a fight in the hallway.</v>
      </c>
      <c r="Z3153" s="12" t="str">
        <f ca="1">IFERROR(__xludf.DUMMYFUNCTION("""COMPUTED_VALUE"""),"18-year-old student had prior arguments with the victim. When they were in the hallway, a fight started and the shooter pulled out a pistol. He fired multiple shots killing one student and wounding another.")</f>
        <v>18-year-old student had prior arguments with the victim. When they were in the hallway, a fight started and the shooter pulled out a pistol. He fired multiple shots killing one student and wounding another.</v>
      </c>
      <c r="AA3153" s="8" t="str">
        <f ca="1">IFERROR(__xludf.DUMMYFUNCTION("""COMPUTED_VALUE"""),"Escalation of Dispute")</f>
        <v>Escalation of Dispute</v>
      </c>
      <c r="AB3153" s="8"/>
      <c r="AC3153" s="8" t="str">
        <f ca="1">IFERROR(__xludf.DUMMYFUNCTION("""COMPUTED_VALUE"""),"Yes")</f>
        <v>Yes</v>
      </c>
      <c r="AD3153" s="8" t="str">
        <f ca="1">IFERROR(__xludf.DUMMYFUNCTION("""COMPUTED_VALUE"""),"Both")</f>
        <v>Both</v>
      </c>
      <c r="AE3153" s="8" t="str">
        <f ca="1">IFERROR(__xludf.DUMMYFUNCTION("""COMPUTED_VALUE"""),"No")</f>
        <v>No</v>
      </c>
      <c r="AF3153" s="8"/>
      <c r="AG3153" s="8" t="str">
        <f ca="1">IFERROR(__xludf.DUMMYFUNCTION("""COMPUTED_VALUE"""),"No")</f>
        <v>No</v>
      </c>
      <c r="AH3153" s="8" t="str">
        <f ca="1">IFERROR(__xludf.DUMMYFUNCTION("""COMPUTED_VALUE"""),"No")</f>
        <v>No</v>
      </c>
      <c r="AI3153" s="8" t="str">
        <f ca="1">IFERROR(__xludf.DUMMYFUNCTION("""COMPUTED_VALUE"""),"No")</f>
        <v>No</v>
      </c>
      <c r="AJ3153" s="8" t="str">
        <f ca="1">IFERROR(__xludf.DUMMYFUNCTION("""COMPUTED_VALUE"""),"No")</f>
        <v>No</v>
      </c>
      <c r="AK3153" s="8" t="str">
        <f ca="1">IFERROR(__xludf.DUMMYFUNCTION("""COMPUTED_VALUE"""),"No")</f>
        <v>No</v>
      </c>
      <c r="AL3153" s="8" t="str">
        <f ca="1">IFERROR(__xludf.DUMMYFUNCTION("""COMPUTED_VALUE"""),"No")</f>
        <v>No</v>
      </c>
      <c r="AM3153" s="8" t="str">
        <f ca="1">IFERROR(__xludf.DUMMYFUNCTION("""COMPUTED_VALUE"""),"No")</f>
        <v>No</v>
      </c>
      <c r="AN3153" s="8" t="str">
        <f ca="1">IFERROR(__xludf.DUMMYFUNCTION("""COMPUTED_VALUE"""),"Hallway")</f>
        <v>Hallway</v>
      </c>
      <c r="AO3153" s="8" t="str">
        <f ca="1">IFERROR(__xludf.DUMMYFUNCTION("""COMPUTED_VALUE"""),"No")</f>
        <v>No</v>
      </c>
      <c r="AP3153" s="8"/>
      <c r="AQ3153" s="8"/>
      <c r="AR3153" s="8"/>
      <c r="AS3153" s="8">
        <f ca="1">IFERROR(__xludf.DUMMYFUNCTION("""COMPUTED_VALUE"""),99)</f>
        <v>99</v>
      </c>
      <c r="AT3153" s="8"/>
      <c r="AU3153" s="8">
        <f ca="1">IFERROR(__xludf.DUMMYFUNCTION("""COMPUTED_VALUE"""),32.736574)</f>
        <v>32.736573999999997</v>
      </c>
      <c r="AV3153" s="8">
        <f ca="1">IFERROR(__xludf.DUMMYFUNCTION("""COMPUTED_VALUE"""),-97.336689)</f>
        <v>-97.336689000000007</v>
      </c>
      <c r="AW3153" s="8"/>
      <c r="AX3153" s="8">
        <f ca="1">IFERROR(__xludf.DUMMYFUNCTION("""COMPUTED_VALUE"""),76104)</f>
        <v>76104</v>
      </c>
    </row>
    <row r="3154" spans="1:50" ht="45" x14ac:dyDescent="0.2">
      <c r="A3154" s="8" t="str">
        <f ca="1">IFERROR(__xludf.DUMMYFUNCTION("""COMPUTED_VALUE"""),"19670324ILWAC")</f>
        <v>19670324ILWAC</v>
      </c>
      <c r="B3154" s="8">
        <f ca="1">IFERROR(__xludf.DUMMYFUNCTION("""COMPUTED_VALUE"""),3)</f>
        <v>3</v>
      </c>
      <c r="C3154" s="8">
        <f ca="1">IFERROR(__xludf.DUMMYFUNCTION("""COMPUTED_VALUE"""),24)</f>
        <v>24</v>
      </c>
      <c r="D3154" s="8">
        <f ca="1">IFERROR(__xludf.DUMMYFUNCTION("""COMPUTED_VALUE"""),1967)</f>
        <v>1967</v>
      </c>
      <c r="E3154" s="9">
        <f ca="1">IFERROR(__xludf.DUMMYFUNCTION("""COMPUTED_VALUE"""),24555)</f>
        <v>24555</v>
      </c>
      <c r="F3154" s="8" t="str">
        <f ca="1">IFERROR(__xludf.DUMMYFUNCTION("""COMPUTED_VALUE"""),"Waller High School")</f>
        <v>Waller High School</v>
      </c>
      <c r="G3154" s="8">
        <f ca="1">IFERROR(__xludf.DUMMYFUNCTION("""COMPUTED_VALUE"""),0)</f>
        <v>0</v>
      </c>
      <c r="H3154" s="8">
        <f ca="1">IFERROR(__xludf.DUMMYFUNCTION("""COMPUTED_VALUE"""),0)</f>
        <v>0</v>
      </c>
      <c r="I3154" s="8">
        <f ca="1">IFERROR(__xludf.DUMMYFUNCTION("""COMPUTED_VALUE"""),0)</f>
        <v>0</v>
      </c>
      <c r="J3154" s="8">
        <f ca="1">IFERROR(__xludf.DUMMYFUNCTION("""COMPUTED_VALUE"""),0)</f>
        <v>0</v>
      </c>
      <c r="K3154" s="10" t="str">
        <f ca="1">IFERROR(__xludf.DUMMYFUNCTION("""COMPUTED_VALUE"""),"https://www.newspapers.com/image/621329373/?terms=school%20shooting&amp;match=1")</f>
        <v>https://www.newspapers.com/image/621329373/?terms=school%20shooting&amp;match=1</v>
      </c>
      <c r="L3154" s="8"/>
      <c r="M3154" s="8" t="str">
        <f ca="1">IFERROR(__xludf.DUMMYFUNCTION("""COMPUTED_VALUE"""),"Local")</f>
        <v>Local</v>
      </c>
      <c r="N3154" s="8">
        <f ca="1">IFERROR(__xludf.DUMMYFUNCTION("""COMPUTED_VALUE"""),3)</f>
        <v>3</v>
      </c>
      <c r="O3154" s="8" t="str">
        <f ca="1">IFERROR(__xludf.DUMMYFUNCTION("""COMPUTED_VALUE"""),"Spring")</f>
        <v>Spring</v>
      </c>
      <c r="P3154" s="8" t="str">
        <f ca="1">IFERROR(__xludf.DUMMYFUNCTION("""COMPUTED_VALUE"""),"Chicago")</f>
        <v>Chicago</v>
      </c>
      <c r="Q3154" s="8" t="str">
        <f ca="1">IFERROR(__xludf.DUMMYFUNCTION("""COMPUTED_VALUE"""),"IL")</f>
        <v>IL</v>
      </c>
      <c r="R3154" s="8" t="str">
        <f ca="1">IFERROR(__xludf.DUMMYFUNCTION("""COMPUTED_VALUE"""),"High")</f>
        <v>High</v>
      </c>
      <c r="S3154" s="8" t="str">
        <f ca="1">IFERROR(__xludf.DUMMYFUNCTION("""COMPUTED_VALUE"""),"Auditorium")</f>
        <v>Auditorium</v>
      </c>
      <c r="T3154" s="8" t="str">
        <f ca="1">IFERROR(__xludf.DUMMYFUNCTION("""COMPUTED_VALUE"""),"Inside School Building")</f>
        <v>Inside School Building</v>
      </c>
      <c r="U3154" s="8" t="str">
        <f ca="1">IFERROR(__xludf.DUMMYFUNCTION("""COMPUTED_VALUE"""),"Yes")</f>
        <v>Yes</v>
      </c>
      <c r="V3154" s="8"/>
      <c r="W3154" s="8"/>
      <c r="X3154" s="8"/>
      <c r="Y3154" s="12" t="str">
        <f ca="1">IFERROR(__xludf.DUMMYFUNCTION("""COMPUTED_VALUE"""),"Student fired 14 shots in auditorium with automatic rifle")</f>
        <v>Student fired 14 shots in auditorium with automatic rifle</v>
      </c>
      <c r="Z3154" s="12" t="str">
        <f ca="1">IFERROR(__xludf.DUMMYFUNCTION("""COMPUTED_VALUE"""),"18-year-olds student fired 14 shots in crowded auditorium with an automatic rifle. Subdued by officers. No injuries.")</f>
        <v>18-year-olds student fired 14 shots in crowded auditorium with an automatic rifle. Subdued by officers. No injuries.</v>
      </c>
      <c r="AA3154" s="8" t="str">
        <f ca="1">IFERROR(__xludf.DUMMYFUNCTION("""COMPUTED_VALUE"""),"Indiscriminate Shooting")</f>
        <v>Indiscriminate Shooting</v>
      </c>
      <c r="AB3154" s="8"/>
      <c r="AC3154" s="8" t="str">
        <f ca="1">IFERROR(__xludf.DUMMYFUNCTION("""COMPUTED_VALUE"""),"Yes")</f>
        <v>Yes</v>
      </c>
      <c r="AD3154" s="8" t="str">
        <f ca="1">IFERROR(__xludf.DUMMYFUNCTION("""COMPUTED_VALUE"""),"Random Shooting")</f>
        <v>Random Shooting</v>
      </c>
      <c r="AE3154" s="8" t="str">
        <f ca="1">IFERROR(__xludf.DUMMYFUNCTION("""COMPUTED_VALUE"""),"No")</f>
        <v>No</v>
      </c>
      <c r="AF3154" s="8"/>
      <c r="AG3154" s="8" t="str">
        <f ca="1">IFERROR(__xludf.DUMMYFUNCTION("""COMPUTED_VALUE"""),"No")</f>
        <v>No</v>
      </c>
      <c r="AH3154" s="8" t="str">
        <f ca="1">IFERROR(__xludf.DUMMYFUNCTION("""COMPUTED_VALUE"""),"No")</f>
        <v>No</v>
      </c>
      <c r="AI3154" s="8" t="str">
        <f ca="1">IFERROR(__xludf.DUMMYFUNCTION("""COMPUTED_VALUE"""),"No")</f>
        <v>No</v>
      </c>
      <c r="AJ3154" s="8" t="str">
        <f ca="1">IFERROR(__xludf.DUMMYFUNCTION("""COMPUTED_VALUE"""),"Yes")</f>
        <v>Yes</v>
      </c>
      <c r="AK3154" s="8" t="str">
        <f ca="1">IFERROR(__xludf.DUMMYFUNCTION("""COMPUTED_VALUE"""),"No")</f>
        <v>No</v>
      </c>
      <c r="AL3154" s="8" t="str">
        <f ca="1">IFERROR(__xludf.DUMMYFUNCTION("""COMPUTED_VALUE"""),"No")</f>
        <v>No</v>
      </c>
      <c r="AM3154" s="8" t="str">
        <f ca="1">IFERROR(__xludf.DUMMYFUNCTION("""COMPUTED_VALUE"""),"Yes")</f>
        <v>Yes</v>
      </c>
      <c r="AN3154" s="8" t="str">
        <f ca="1">IFERROR(__xludf.DUMMYFUNCTION("""COMPUTED_VALUE"""),"Single Room")</f>
        <v>Single Room</v>
      </c>
      <c r="AO3154" s="8" t="str">
        <f ca="1">IFERROR(__xludf.DUMMYFUNCTION("""COMPUTED_VALUE"""),"Yes")</f>
        <v>Yes</v>
      </c>
      <c r="AP3154" s="8"/>
      <c r="AQ3154" s="8"/>
      <c r="AR3154" s="8"/>
      <c r="AS3154" s="8">
        <f ca="1">IFERROR(__xludf.DUMMYFUNCTION("""COMPUTED_VALUE"""),14)</f>
        <v>14</v>
      </c>
      <c r="AT3154" s="8"/>
      <c r="AU3154" s="8">
        <f ca="1">IFERROR(__xludf.DUMMYFUNCTION("""COMPUTED_VALUE"""),41.890155)</f>
        <v>41.890155</v>
      </c>
      <c r="AV3154" s="8">
        <f ca="1">IFERROR(__xludf.DUMMYFUNCTION("""COMPUTED_VALUE"""),-87.766514)</f>
        <v>-87.766514000000001</v>
      </c>
      <c r="AW3154" s="8"/>
      <c r="AX3154" s="8">
        <f ca="1">IFERROR(__xludf.DUMMYFUNCTION("""COMPUTED_VALUE"""),60644)</f>
        <v>60644</v>
      </c>
    </row>
    <row r="3155" spans="1:50" ht="60" x14ac:dyDescent="0.2">
      <c r="A3155" s="8" t="str">
        <f ca="1">IFERROR(__xludf.DUMMYFUNCTION("""COMPUTED_VALUE"""),"19670127NCSTS")</f>
        <v>19670127NCSTS</v>
      </c>
      <c r="B3155" s="8">
        <f ca="1">IFERROR(__xludf.DUMMYFUNCTION("""COMPUTED_VALUE"""),1)</f>
        <v>1</v>
      </c>
      <c r="C3155" s="8">
        <f ca="1">IFERROR(__xludf.DUMMYFUNCTION("""COMPUTED_VALUE"""),27)</f>
        <v>27</v>
      </c>
      <c r="D3155" s="8">
        <f ca="1">IFERROR(__xludf.DUMMYFUNCTION("""COMPUTED_VALUE"""),1967)</f>
        <v>1967</v>
      </c>
      <c r="E3155" s="9">
        <f ca="1">IFERROR(__xludf.DUMMYFUNCTION("""COMPUTED_VALUE"""),24499)</f>
        <v>24499</v>
      </c>
      <c r="F3155" s="8" t="str">
        <f ca="1">IFERROR(__xludf.DUMMYFUNCTION("""COMPUTED_VALUE"""),"Statesville Senior High School")</f>
        <v>Statesville Senior High School</v>
      </c>
      <c r="G3155" s="8">
        <f ca="1">IFERROR(__xludf.DUMMYFUNCTION("""COMPUTED_VALUE"""),1)</f>
        <v>1</v>
      </c>
      <c r="H3155" s="8">
        <f ca="1">IFERROR(__xludf.DUMMYFUNCTION("""COMPUTED_VALUE"""),0)</f>
        <v>0</v>
      </c>
      <c r="I3155" s="8">
        <f ca="1">IFERROR(__xludf.DUMMYFUNCTION("""COMPUTED_VALUE"""),1)</f>
        <v>1</v>
      </c>
      <c r="J3155" s="8">
        <f ca="1">IFERROR(__xludf.DUMMYFUNCTION("""COMPUTED_VALUE"""),0)</f>
        <v>0</v>
      </c>
      <c r="K3155" s="10" t="str">
        <f ca="1">IFERROR(__xludf.DUMMYFUNCTION("""COMPUTED_VALUE"""),"https://www.newspapers.com/image/24753806/?terms=school%20shooting&amp;match=1")</f>
        <v>https://www.newspapers.com/image/24753806/?terms=school%20shooting&amp;match=1</v>
      </c>
      <c r="L3155" s="8"/>
      <c r="M3155" s="8" t="str">
        <f ca="1">IFERROR(__xludf.DUMMYFUNCTION("""COMPUTED_VALUE"""),"Local")</f>
        <v>Local</v>
      </c>
      <c r="N3155" s="8">
        <f ca="1">IFERROR(__xludf.DUMMYFUNCTION("""COMPUTED_VALUE"""),4)</f>
        <v>4</v>
      </c>
      <c r="O3155" s="8" t="str">
        <f ca="1">IFERROR(__xludf.DUMMYFUNCTION("""COMPUTED_VALUE"""),"Winter")</f>
        <v>Winter</v>
      </c>
      <c r="P3155" s="8" t="str">
        <f ca="1">IFERROR(__xludf.DUMMYFUNCTION("""COMPUTED_VALUE"""),"Statesville")</f>
        <v>Statesville</v>
      </c>
      <c r="Q3155" s="8" t="str">
        <f ca="1">IFERROR(__xludf.DUMMYFUNCTION("""COMPUTED_VALUE"""),"NC")</f>
        <v>NC</v>
      </c>
      <c r="R3155" s="8" t="str">
        <f ca="1">IFERROR(__xludf.DUMMYFUNCTION("""COMPUTED_VALUE"""),"High")</f>
        <v>High</v>
      </c>
      <c r="S3155" s="8" t="str">
        <f ca="1">IFERROR(__xludf.DUMMYFUNCTION("""COMPUTED_VALUE"""),"Parking Lot")</f>
        <v>Parking Lot</v>
      </c>
      <c r="T3155" s="8" t="str">
        <f ca="1">IFERROR(__xludf.DUMMYFUNCTION("""COMPUTED_VALUE"""),"Outside on School Property")</f>
        <v>Outside on School Property</v>
      </c>
      <c r="U3155" s="8" t="str">
        <f ca="1">IFERROR(__xludf.DUMMYFUNCTION("""COMPUTED_VALUE"""),"Yes")</f>
        <v>Yes</v>
      </c>
      <c r="V3155" s="8" t="str">
        <f ca="1">IFERROR(__xludf.DUMMYFUNCTION("""COMPUTED_VALUE"""),"Lunch")</f>
        <v>Lunch</v>
      </c>
      <c r="W3155" s="11">
        <f ca="1">IFERROR(__xludf.DUMMYFUNCTION("""COMPUTED_VALUE"""),0.5)</f>
        <v>0.5</v>
      </c>
      <c r="X3155" s="8">
        <f ca="1">IFERROR(__xludf.DUMMYFUNCTION("""COMPUTED_VALUE"""),1)</f>
        <v>1</v>
      </c>
      <c r="Y3155" s="12" t="str">
        <f ca="1">IFERROR(__xludf.DUMMYFUNCTION("""COMPUTED_VALUE"""),"Student killed another student inside the school during lunch")</f>
        <v>Student killed another student inside the school during lunch</v>
      </c>
      <c r="Z3155" s="12" t="str">
        <f ca="1">IFERROR(__xludf.DUMMYFUNCTION("""COMPUTED_VALUE"""),"Student killed another student inside the school during lunch")</f>
        <v>Student killed another student inside the school during lunch</v>
      </c>
      <c r="AA3155" s="8"/>
      <c r="AB3155" s="8"/>
      <c r="AC3155" s="8" t="str">
        <f ca="1">IFERROR(__xludf.DUMMYFUNCTION("""COMPUTED_VALUE"""),"Yes")</f>
        <v>Yes</v>
      </c>
      <c r="AD3155" s="8" t="str">
        <f ca="1">IFERROR(__xludf.DUMMYFUNCTION("""COMPUTED_VALUE"""),"Victims Targeted")</f>
        <v>Victims Targeted</v>
      </c>
      <c r="AE3155" s="8" t="str">
        <f ca="1">IFERROR(__xludf.DUMMYFUNCTION("""COMPUTED_VALUE"""),"No")</f>
        <v>No</v>
      </c>
      <c r="AF3155" s="8"/>
      <c r="AG3155" s="8" t="str">
        <f ca="1">IFERROR(__xludf.DUMMYFUNCTION("""COMPUTED_VALUE"""),"No")</f>
        <v>No</v>
      </c>
      <c r="AH3155" s="8" t="str">
        <f ca="1">IFERROR(__xludf.DUMMYFUNCTION("""COMPUTED_VALUE"""),"No")</f>
        <v>No</v>
      </c>
      <c r="AI3155" s="8" t="str">
        <f ca="1">IFERROR(__xludf.DUMMYFUNCTION("""COMPUTED_VALUE"""),"No")</f>
        <v>No</v>
      </c>
      <c r="AJ3155" s="8"/>
      <c r="AK3155" s="8"/>
      <c r="AL3155" s="8"/>
      <c r="AM3155" s="8" t="str">
        <f ca="1">IFERROR(__xludf.DUMMYFUNCTION("""COMPUTED_VALUE"""),"No")</f>
        <v>No</v>
      </c>
      <c r="AN3155" s="8" t="str">
        <f ca="1">IFERROR(__xludf.DUMMYFUNCTION("""COMPUTED_VALUE"""),"Outside")</f>
        <v>Outside</v>
      </c>
      <c r="AO3155" s="8" t="str">
        <f ca="1">IFERROR(__xludf.DUMMYFUNCTION("""COMPUTED_VALUE"""),"No")</f>
        <v>No</v>
      </c>
      <c r="AP3155" s="8"/>
      <c r="AQ3155" s="8"/>
      <c r="AR3155" s="8"/>
      <c r="AS3155" s="8">
        <f ca="1">IFERROR(__xludf.DUMMYFUNCTION("""COMPUTED_VALUE"""),99)</f>
        <v>99</v>
      </c>
      <c r="AT3155" s="8"/>
      <c r="AU3155" s="8">
        <f ca="1">IFERROR(__xludf.DUMMYFUNCTION("""COMPUTED_VALUE"""),35.792392)</f>
        <v>35.792392</v>
      </c>
      <c r="AV3155" s="8">
        <f ca="1">IFERROR(__xludf.DUMMYFUNCTION("""COMPUTED_VALUE"""),-80.892321)</f>
        <v>-80.892320999999995</v>
      </c>
      <c r="AW3155" s="8"/>
      <c r="AX3155" s="8">
        <f ca="1">IFERROR(__xludf.DUMMYFUNCTION("""COMPUTED_VALUE"""),28677)</f>
        <v>28677</v>
      </c>
    </row>
    <row r="3156" spans="1:50" ht="60" x14ac:dyDescent="0.2">
      <c r="A3156" s="8" t="str">
        <f ca="1">IFERROR(__xludf.DUMMYFUNCTION("""COMPUTED_VALUE"""),"19661108TNLAM")</f>
        <v>19661108TNLAM</v>
      </c>
      <c r="B3156" s="8">
        <f ca="1">IFERROR(__xludf.DUMMYFUNCTION("""COMPUTED_VALUE"""),11)</f>
        <v>11</v>
      </c>
      <c r="C3156" s="8">
        <f ca="1">IFERROR(__xludf.DUMMYFUNCTION("""COMPUTED_VALUE"""),8)</f>
        <v>8</v>
      </c>
      <c r="D3156" s="8">
        <f ca="1">IFERROR(__xludf.DUMMYFUNCTION("""COMPUTED_VALUE"""),1966)</f>
        <v>1966</v>
      </c>
      <c r="E3156" s="9">
        <f ca="1">IFERROR(__xludf.DUMMYFUNCTION("""COMPUTED_VALUE"""),24419)</f>
        <v>24419</v>
      </c>
      <c r="F3156" s="8" t="str">
        <f ca="1">IFERROR(__xludf.DUMMYFUNCTION("""COMPUTED_VALUE"""),"LaRose Elementary School")</f>
        <v>LaRose Elementary School</v>
      </c>
      <c r="G3156" s="8">
        <f ca="1">IFERROR(__xludf.DUMMYFUNCTION("""COMPUTED_VALUE"""),0)</f>
        <v>0</v>
      </c>
      <c r="H3156" s="8">
        <f ca="1">IFERROR(__xludf.DUMMYFUNCTION("""COMPUTED_VALUE"""),2)</f>
        <v>2</v>
      </c>
      <c r="I3156" s="8">
        <f ca="1">IFERROR(__xludf.DUMMYFUNCTION("""COMPUTED_VALUE"""),2)</f>
        <v>2</v>
      </c>
      <c r="J3156" s="8">
        <f ca="1">IFERROR(__xludf.DUMMYFUNCTION("""COMPUTED_VALUE"""),0)</f>
        <v>0</v>
      </c>
      <c r="K3156" s="10" t="str">
        <f ca="1">IFERROR(__xludf.DUMMYFUNCTION("""COMPUTED_VALUE"""),"https://www.newspapers.com/image/799791050/?terms=school%20shooting&amp;match=1")</f>
        <v>https://www.newspapers.com/image/799791050/?terms=school%20shooting&amp;match=1</v>
      </c>
      <c r="L3156" s="8"/>
      <c r="M3156" s="8" t="str">
        <f ca="1">IFERROR(__xludf.DUMMYFUNCTION("""COMPUTED_VALUE"""),"Regional")</f>
        <v>Regional</v>
      </c>
      <c r="N3156" s="8">
        <f ca="1">IFERROR(__xludf.DUMMYFUNCTION("""COMPUTED_VALUE"""),4)</f>
        <v>4</v>
      </c>
      <c r="O3156" s="8" t="str">
        <f ca="1">IFERROR(__xludf.DUMMYFUNCTION("""COMPUTED_VALUE"""),"Fall")</f>
        <v>Fall</v>
      </c>
      <c r="P3156" s="8" t="str">
        <f ca="1">IFERROR(__xludf.DUMMYFUNCTION("""COMPUTED_VALUE"""),"Memphis")</f>
        <v>Memphis</v>
      </c>
      <c r="Q3156" s="8" t="str">
        <f ca="1">IFERROR(__xludf.DUMMYFUNCTION("""COMPUTED_VALUE"""),"TN")</f>
        <v>TN</v>
      </c>
      <c r="R3156" s="8" t="str">
        <f ca="1">IFERROR(__xludf.DUMMYFUNCTION("""COMPUTED_VALUE"""),"Elementary")</f>
        <v>Elementary</v>
      </c>
      <c r="S3156" s="8" t="str">
        <f ca="1">IFERROR(__xludf.DUMMYFUNCTION("""COMPUTED_VALUE"""),"Outside on School Property")</f>
        <v>Outside on School Property</v>
      </c>
      <c r="T3156" s="8" t="str">
        <f ca="1">IFERROR(__xludf.DUMMYFUNCTION("""COMPUTED_VALUE"""),"Outside on School Property")</f>
        <v>Outside on School Property</v>
      </c>
      <c r="U3156" s="8" t="str">
        <f ca="1">IFERROR(__xludf.DUMMYFUNCTION("""COMPUTED_VALUE"""),"Yes")</f>
        <v>Yes</v>
      </c>
      <c r="V3156" s="8" t="str">
        <f ca="1">IFERROR(__xludf.DUMMYFUNCTION("""COMPUTED_VALUE"""),"Afternoon Classes")</f>
        <v>Afternoon Classes</v>
      </c>
      <c r="W3156" s="8"/>
      <c r="X3156" s="8">
        <f ca="1">IFERROR(__xludf.DUMMYFUNCTION("""COMPUTED_VALUE"""),1)</f>
        <v>1</v>
      </c>
      <c r="Y3156" s="12" t="str">
        <f ca="1">IFERROR(__xludf.DUMMYFUNCTION("""COMPUTED_VALUE"""),"Student shot two students after dispute the night before")</f>
        <v>Student shot two students after dispute the night before</v>
      </c>
      <c r="Z3156" s="12" t="str">
        <f ca="1">IFERROR(__xludf.DUMMYFUNCTION("""COMPUTED_VALUE"""),"15-year-old student shot a 16-year-old female student and her 14-year-old brother at the school and then fled. Shooter stemmed from a dispute the night before.")</f>
        <v>15-year-old student shot a 16-year-old female student and her 14-year-old brother at the school and then fled. Shooter stemmed from a dispute the night before.</v>
      </c>
      <c r="AA3156" s="8" t="str">
        <f ca="1">IFERROR(__xludf.DUMMYFUNCTION("""COMPUTED_VALUE"""),"Escalation of Dispute")</f>
        <v>Escalation of Dispute</v>
      </c>
      <c r="AB3156" s="8"/>
      <c r="AC3156" s="8" t="str">
        <f ca="1">IFERROR(__xludf.DUMMYFUNCTION("""COMPUTED_VALUE"""),"Yes")</f>
        <v>Yes</v>
      </c>
      <c r="AD3156" s="8" t="str">
        <f ca="1">IFERROR(__xludf.DUMMYFUNCTION("""COMPUTED_VALUE"""),"Victims Targeted")</f>
        <v>Victims Targeted</v>
      </c>
      <c r="AE3156" s="8" t="str">
        <f ca="1">IFERROR(__xludf.DUMMYFUNCTION("""COMPUTED_VALUE"""),"No")</f>
        <v>No</v>
      </c>
      <c r="AF3156" s="8"/>
      <c r="AG3156" s="8" t="str">
        <f ca="1">IFERROR(__xludf.DUMMYFUNCTION("""COMPUTED_VALUE"""),"No")</f>
        <v>No</v>
      </c>
      <c r="AH3156" s="8" t="str">
        <f ca="1">IFERROR(__xludf.DUMMYFUNCTION("""COMPUTED_VALUE"""),"No")</f>
        <v>No</v>
      </c>
      <c r="AI3156" s="8" t="str">
        <f ca="1">IFERROR(__xludf.DUMMYFUNCTION("""COMPUTED_VALUE"""),"No")</f>
        <v>No</v>
      </c>
      <c r="AJ3156" s="8" t="str">
        <f ca="1">IFERROR(__xludf.DUMMYFUNCTION("""COMPUTED_VALUE"""),"No")</f>
        <v>No</v>
      </c>
      <c r="AK3156" s="8" t="str">
        <f ca="1">IFERROR(__xludf.DUMMYFUNCTION("""COMPUTED_VALUE"""),"No")</f>
        <v>No</v>
      </c>
      <c r="AL3156" s="8" t="str">
        <f ca="1">IFERROR(__xludf.DUMMYFUNCTION("""COMPUTED_VALUE"""),"No")</f>
        <v>No</v>
      </c>
      <c r="AM3156" s="8" t="str">
        <f ca="1">IFERROR(__xludf.DUMMYFUNCTION("""COMPUTED_VALUE"""),"No")</f>
        <v>No</v>
      </c>
      <c r="AN3156" s="8" t="str">
        <f ca="1">IFERROR(__xludf.DUMMYFUNCTION("""COMPUTED_VALUE"""),"Outside")</f>
        <v>Outside</v>
      </c>
      <c r="AO3156" s="8" t="str">
        <f ca="1">IFERROR(__xludf.DUMMYFUNCTION("""COMPUTED_VALUE"""),"No")</f>
        <v>No</v>
      </c>
      <c r="AP3156" s="8"/>
      <c r="AQ3156" s="8"/>
      <c r="AR3156" s="8"/>
      <c r="AS3156" s="8">
        <f ca="1">IFERROR(__xludf.DUMMYFUNCTION("""COMPUTED_VALUE"""),99)</f>
        <v>99</v>
      </c>
      <c r="AT3156" s="8"/>
      <c r="AU3156" s="8">
        <f ca="1">IFERROR(__xludf.DUMMYFUNCTION("""COMPUTED_VALUE"""),35.123262)</f>
        <v>35.123261999999997</v>
      </c>
      <c r="AV3156" s="8">
        <f ca="1">IFERROR(__xludf.DUMMYFUNCTION("""COMPUTED_VALUE"""),-90.048197)</f>
        <v>-90.048197000000002</v>
      </c>
      <c r="AW3156" s="8"/>
      <c r="AX3156" s="8">
        <f ca="1">IFERROR(__xludf.DUMMYFUNCTION("""COMPUTED_VALUE"""),38126)</f>
        <v>38126</v>
      </c>
    </row>
    <row r="3157" spans="1:50" ht="150" x14ac:dyDescent="0.2">
      <c r="A3157" s="8" t="str">
        <f ca="1">IFERROR(__xludf.DUMMYFUNCTION("""COMPUTED_VALUE"""),"19661005MNGRG")</f>
        <v>19661005MNGRG</v>
      </c>
      <c r="B3157" s="8">
        <f ca="1">IFERROR(__xludf.DUMMYFUNCTION("""COMPUTED_VALUE"""),10)</f>
        <v>10</v>
      </c>
      <c r="C3157" s="8">
        <f ca="1">IFERROR(__xludf.DUMMYFUNCTION("""COMPUTED_VALUE"""),5)</f>
        <v>5</v>
      </c>
      <c r="D3157" s="8">
        <f ca="1">IFERROR(__xludf.DUMMYFUNCTION("""COMPUTED_VALUE"""),1966)</f>
        <v>1966</v>
      </c>
      <c r="E3157" s="9">
        <f ca="1">IFERROR(__xludf.DUMMYFUNCTION("""COMPUTED_VALUE"""),24385)</f>
        <v>24385</v>
      </c>
      <c r="F3157" s="8" t="str">
        <f ca="1">IFERROR(__xludf.DUMMYFUNCTION("""COMPUTED_VALUE"""),"Grand Rapids High School")</f>
        <v>Grand Rapids High School</v>
      </c>
      <c r="G3157" s="8">
        <f ca="1">IFERROR(__xludf.DUMMYFUNCTION("""COMPUTED_VALUE"""),1)</f>
        <v>1</v>
      </c>
      <c r="H3157" s="8">
        <f ca="1">IFERROR(__xludf.DUMMYFUNCTION("""COMPUTED_VALUE"""),1)</f>
        <v>1</v>
      </c>
      <c r="I3157" s="8">
        <f ca="1">IFERROR(__xludf.DUMMYFUNCTION("""COMPUTED_VALUE"""),2)</f>
        <v>2</v>
      </c>
      <c r="J3157" s="8">
        <f ca="1">IFERROR(__xludf.DUMMYFUNCTION("""COMPUTED_VALUE"""),0)</f>
        <v>0</v>
      </c>
      <c r="K3157" s="10" t="str">
        <f ca="1">IFERROR(__xludf.DUMMYFUNCTION("""COMPUTED_VALUE"""),"http://digital.olivesoftware.com/olive/apa/winona/?href=TWN/1966/10/05#panel=document
https://www.youtube.com/watch?v=abKzii95YZI
https://www.newspapers.com/image/183505800/?terms=school%20shooting&amp;match=1")</f>
        <v>http://digital.olivesoftware.com/olive/apa/winona/?href=TWN/1966/10/05#panel=document
https://www.youtube.com/watch?v=abKzii95YZI
https://www.newspapers.com/image/183505800/?terms=school%20shooting&amp;match=1</v>
      </c>
      <c r="L3157" s="8"/>
      <c r="M3157" s="8" t="str">
        <f ca="1">IFERROR(__xludf.DUMMYFUNCTION("""COMPUTED_VALUE"""),"Regional")</f>
        <v>Regional</v>
      </c>
      <c r="N3157" s="8">
        <f ca="1">IFERROR(__xludf.DUMMYFUNCTION("""COMPUTED_VALUE"""),5)</f>
        <v>5</v>
      </c>
      <c r="O3157" s="8" t="str">
        <f ca="1">IFERROR(__xludf.DUMMYFUNCTION("""COMPUTED_VALUE"""),"Fall")</f>
        <v>Fall</v>
      </c>
      <c r="P3157" s="8" t="str">
        <f ca="1">IFERROR(__xludf.DUMMYFUNCTION("""COMPUTED_VALUE"""),"Grand Rapids")</f>
        <v>Grand Rapids</v>
      </c>
      <c r="Q3157" s="8" t="str">
        <f ca="1">IFERROR(__xludf.DUMMYFUNCTION("""COMPUTED_VALUE"""),"MN")</f>
        <v>MN</v>
      </c>
      <c r="R3157" s="8" t="str">
        <f ca="1">IFERROR(__xludf.DUMMYFUNCTION("""COMPUTED_VALUE"""),"High")</f>
        <v>High</v>
      </c>
      <c r="S3157" s="8" t="str">
        <f ca="1">IFERROR(__xludf.DUMMYFUNCTION("""COMPUTED_VALUE"""),"Front of School")</f>
        <v>Front of School</v>
      </c>
      <c r="T3157" s="8" t="str">
        <f ca="1">IFERROR(__xludf.DUMMYFUNCTION("""COMPUTED_VALUE"""),"Outside on School Property")</f>
        <v>Outside on School Property</v>
      </c>
      <c r="U3157" s="8" t="str">
        <f ca="1">IFERROR(__xludf.DUMMYFUNCTION("""COMPUTED_VALUE"""),"Yes")</f>
        <v>Yes</v>
      </c>
      <c r="V3157" s="8" t="str">
        <f ca="1">IFERROR(__xludf.DUMMYFUNCTION("""COMPUTED_VALUE"""),"School Start")</f>
        <v>School Start</v>
      </c>
      <c r="W3157" s="11">
        <f ca="1">IFERROR(__xludf.DUMMYFUNCTION("""COMPUTED_VALUE"""),0.333333333333333)</f>
        <v>0.33333333333333298</v>
      </c>
      <c r="X3157" s="8">
        <f ca="1">IFERROR(__xludf.DUMMYFUNCTION("""COMPUTED_VALUE"""),1)</f>
        <v>1</v>
      </c>
      <c r="Y3157" s="12" t="str">
        <f ca="1">IFERROR(__xludf.DUMMYFUNCTION("""COMPUTED_VALUE"""),"Student who was bullied started shooting as students entered school wounding one student and killing administrator, surrendered after running out of ammo")</f>
        <v>Student who was bullied started shooting as students entered school wounding one student and killing administrator, surrendered after running out of ammo</v>
      </c>
      <c r="Z3157" s="12" t="str">
        <f ca="1">IFERROR(__xludf.DUMMYFUNCTION("""COMPUTED_VALUE"""),"15-year-old student who was bullied started shooting with a .22 caliber rifle as students entered the school wounding a 15-year-old student and killing an administrator. When he ran out of ammo, he sat down behind a tree and surrendered. Charged as an adu"&amp;"lt and sentenced to 25 years in prison, released after 5.")</f>
        <v>15-year-old student who was bullied started shooting with a .22 caliber rifle as students entered the school wounding a 15-year-old student and killing an administrator. When he ran out of ammo, he sat down behind a tree and surrendered. Charged as an adult and sentenced to 25 years in prison, released after 5.</v>
      </c>
      <c r="AA3157" s="8" t="str">
        <f ca="1">IFERROR(__xludf.DUMMYFUNCTION("""COMPUTED_VALUE"""),"Bullying")</f>
        <v>Bullying</v>
      </c>
      <c r="AB3157" s="8"/>
      <c r="AC3157" s="8" t="str">
        <f ca="1">IFERROR(__xludf.DUMMYFUNCTION("""COMPUTED_VALUE"""),"Yes")</f>
        <v>Yes</v>
      </c>
      <c r="AD3157" s="8" t="str">
        <f ca="1">IFERROR(__xludf.DUMMYFUNCTION("""COMPUTED_VALUE"""),"Random Shooting")</f>
        <v>Random Shooting</v>
      </c>
      <c r="AE3157" s="8" t="str">
        <f ca="1">IFERROR(__xludf.DUMMYFUNCTION("""COMPUTED_VALUE"""),"No")</f>
        <v>No</v>
      </c>
      <c r="AF3157" s="8"/>
      <c r="AG3157" s="8" t="str">
        <f ca="1">IFERROR(__xludf.DUMMYFUNCTION("""COMPUTED_VALUE"""),"No")</f>
        <v>No</v>
      </c>
      <c r="AH3157" s="8" t="str">
        <f ca="1">IFERROR(__xludf.DUMMYFUNCTION("""COMPUTED_VALUE"""),"No")</f>
        <v>No</v>
      </c>
      <c r="AI3157" s="8" t="str">
        <f ca="1">IFERROR(__xludf.DUMMYFUNCTION("""COMPUTED_VALUE"""),"No")</f>
        <v>No</v>
      </c>
      <c r="AJ3157" s="8" t="str">
        <f ca="1">IFERROR(__xludf.DUMMYFUNCTION("""COMPUTED_VALUE"""),"Yes")</f>
        <v>Yes</v>
      </c>
      <c r="AK3157" s="8" t="str">
        <f ca="1">IFERROR(__xludf.DUMMYFUNCTION("""COMPUTED_VALUE"""),"No")</f>
        <v>No</v>
      </c>
      <c r="AL3157" s="8" t="str">
        <f ca="1">IFERROR(__xludf.DUMMYFUNCTION("""COMPUTED_VALUE"""),"No")</f>
        <v>No</v>
      </c>
      <c r="AM3157" s="8" t="str">
        <f ca="1">IFERROR(__xludf.DUMMYFUNCTION("""COMPUTED_VALUE"""),"Yes")</f>
        <v>Yes</v>
      </c>
      <c r="AN3157" s="8" t="str">
        <f ca="1">IFERROR(__xludf.DUMMYFUNCTION("""COMPUTED_VALUE"""),"Outside")</f>
        <v>Outside</v>
      </c>
      <c r="AO3157" s="8" t="str">
        <f ca="1">IFERROR(__xludf.DUMMYFUNCTION("""COMPUTED_VALUE"""),"Yes")</f>
        <v>Yes</v>
      </c>
      <c r="AP3157" s="8"/>
      <c r="AQ3157" s="8"/>
      <c r="AR3157" s="8"/>
      <c r="AS3157" s="8">
        <f ca="1">IFERROR(__xludf.DUMMYFUNCTION("""COMPUTED_VALUE"""),10)</f>
        <v>10</v>
      </c>
      <c r="AT3157" s="8"/>
      <c r="AU3157" s="8">
        <f ca="1">IFERROR(__xludf.DUMMYFUNCTION("""COMPUTED_VALUE"""),47.247714)</f>
        <v>47.247714000000002</v>
      </c>
      <c r="AV3157" s="8">
        <f ca="1">IFERROR(__xludf.DUMMYFUNCTION("""COMPUTED_VALUE"""),-93.542248)</f>
        <v>-93.542248000000001</v>
      </c>
      <c r="AW3157" s="8"/>
      <c r="AX3157" s="8">
        <f ca="1">IFERROR(__xludf.DUMMYFUNCTION("""COMPUTED_VALUE"""),55744)</f>
        <v>55744</v>
      </c>
    </row>
    <row r="3158" spans="1:50" ht="90" x14ac:dyDescent="0.2">
      <c r="A3158" s="8" t="str">
        <f ca="1">IFERROR(__xludf.DUMMYFUNCTION("""COMPUTED_VALUE"""),"19660922PAPHP")</f>
        <v>19660922PAPHP</v>
      </c>
      <c r="B3158" s="8">
        <f ca="1">IFERROR(__xludf.DUMMYFUNCTION("""COMPUTED_VALUE"""),9)</f>
        <v>9</v>
      </c>
      <c r="C3158" s="8">
        <f ca="1">IFERROR(__xludf.DUMMYFUNCTION("""COMPUTED_VALUE"""),22)</f>
        <v>22</v>
      </c>
      <c r="D3158" s="8">
        <f ca="1">IFERROR(__xludf.DUMMYFUNCTION("""COMPUTED_VALUE"""),1966)</f>
        <v>1966</v>
      </c>
      <c r="E3158" s="9">
        <f ca="1">IFERROR(__xludf.DUMMYFUNCTION("""COMPUTED_VALUE"""),24372)</f>
        <v>24372</v>
      </c>
      <c r="F3158" s="8" t="str">
        <f ca="1">IFERROR(__xludf.DUMMYFUNCTION("""COMPUTED_VALUE"""),"South Philadelphia High School")</f>
        <v>South Philadelphia High School</v>
      </c>
      <c r="G3158" s="8">
        <f ca="1">IFERROR(__xludf.DUMMYFUNCTION("""COMPUTED_VALUE"""),0)</f>
        <v>0</v>
      </c>
      <c r="H3158" s="8">
        <f ca="1">IFERROR(__xludf.DUMMYFUNCTION("""COMPUTED_VALUE"""),4)</f>
        <v>4</v>
      </c>
      <c r="I3158" s="8">
        <f ca="1">IFERROR(__xludf.DUMMYFUNCTION("""COMPUTED_VALUE"""),4)</f>
        <v>4</v>
      </c>
      <c r="J3158" s="8">
        <f ca="1">IFERROR(__xludf.DUMMYFUNCTION("""COMPUTED_VALUE"""),0)</f>
        <v>0</v>
      </c>
      <c r="K3158" s="10" t="str">
        <f ca="1">IFERROR(__xludf.DUMMYFUNCTION("""COMPUTED_VALUE"""),"https://www.newspapers.com/image/65984721/?terms=school%20shooting&amp;match=1")</f>
        <v>https://www.newspapers.com/image/65984721/?terms=school%20shooting&amp;match=1</v>
      </c>
      <c r="L3158" s="8"/>
      <c r="M3158" s="8" t="str">
        <f ca="1">IFERROR(__xludf.DUMMYFUNCTION("""COMPUTED_VALUE"""),"National")</f>
        <v>National</v>
      </c>
      <c r="N3158" s="8">
        <f ca="1">IFERROR(__xludf.DUMMYFUNCTION("""COMPUTED_VALUE"""),4)</f>
        <v>4</v>
      </c>
      <c r="O3158" s="8" t="str">
        <f ca="1">IFERROR(__xludf.DUMMYFUNCTION("""COMPUTED_VALUE"""),"Fall")</f>
        <v>Fall</v>
      </c>
      <c r="P3158" s="8" t="str">
        <f ca="1">IFERROR(__xludf.DUMMYFUNCTION("""COMPUTED_VALUE"""),"Philadelphia")</f>
        <v>Philadelphia</v>
      </c>
      <c r="Q3158" s="8" t="str">
        <f ca="1">IFERROR(__xludf.DUMMYFUNCTION("""COMPUTED_VALUE"""),"PA")</f>
        <v>PA</v>
      </c>
      <c r="R3158" s="8" t="str">
        <f ca="1">IFERROR(__xludf.DUMMYFUNCTION("""COMPUTED_VALUE"""),"High")</f>
        <v>High</v>
      </c>
      <c r="S3158" s="8" t="str">
        <f ca="1">IFERROR(__xludf.DUMMYFUNCTION("""COMPUTED_VALUE"""),"Gym")</f>
        <v>Gym</v>
      </c>
      <c r="T3158" s="8" t="str">
        <f ca="1">IFERROR(__xludf.DUMMYFUNCTION("""COMPUTED_VALUE"""),"Inside School Building")</f>
        <v>Inside School Building</v>
      </c>
      <c r="U3158" s="8" t="str">
        <f ca="1">IFERROR(__xludf.DUMMYFUNCTION("""COMPUTED_VALUE"""),"Yes")</f>
        <v>Yes</v>
      </c>
      <c r="V3158" s="8"/>
      <c r="W3158" s="8"/>
      <c r="X3158" s="8">
        <f ca="1">IFERROR(__xludf.DUMMYFUNCTION("""COMPUTED_VALUE"""),1)</f>
        <v>1</v>
      </c>
      <c r="Y3158" s="12" t="str">
        <f ca="1">IFERROR(__xludf.DUMMYFUNCTION("""COMPUTED_VALUE"""),"Four students shot during fight involving 10 students in gym, two different guns were fired")</f>
        <v>Four students shot during fight involving 10 students in gym, two different guns were fired</v>
      </c>
      <c r="Z3158" s="12" t="str">
        <f ca="1">IFERROR(__xludf.DUMMYFUNCTION("""COMPUTED_VALUE"""),"Four students were wounded and ten students were arrested following a fight in the gym. Principal cited overcrowding as the reason for the fight. Shooting started during an argument between 14-year-old student and one of the victims.")</f>
        <v>Four students were wounded and ten students were arrested following a fight in the gym. Principal cited overcrowding as the reason for the fight. Shooting started during an argument between 14-year-old student and one of the victims.</v>
      </c>
      <c r="AA3158" s="8" t="str">
        <f ca="1">IFERROR(__xludf.DUMMYFUNCTION("""COMPUTED_VALUE"""),"Escalation of Dispute")</f>
        <v>Escalation of Dispute</v>
      </c>
      <c r="AB3158" s="8"/>
      <c r="AC3158" s="8" t="str">
        <f ca="1">IFERROR(__xludf.DUMMYFUNCTION("""COMPUTED_VALUE"""),"Yes")</f>
        <v>Yes</v>
      </c>
      <c r="AD3158" s="8" t="str">
        <f ca="1">IFERROR(__xludf.DUMMYFUNCTION("""COMPUTED_VALUE"""),"Both")</f>
        <v>Both</v>
      </c>
      <c r="AE3158" s="8" t="str">
        <f ca="1">IFERROR(__xludf.DUMMYFUNCTION("""COMPUTED_VALUE"""),"Yes")</f>
        <v>Yes</v>
      </c>
      <c r="AF3158" s="8" t="str">
        <f ca="1">IFERROR(__xludf.DUMMYFUNCTION("""COMPUTED_VALUE"""),"10 arrested")</f>
        <v>10 arrested</v>
      </c>
      <c r="AG3158" s="8" t="str">
        <f ca="1">IFERROR(__xludf.DUMMYFUNCTION("""COMPUTED_VALUE"""),"No")</f>
        <v>No</v>
      </c>
      <c r="AH3158" s="8" t="str">
        <f ca="1">IFERROR(__xludf.DUMMYFUNCTION("""COMPUTED_VALUE"""),"No")</f>
        <v>No</v>
      </c>
      <c r="AI3158" s="8" t="str">
        <f ca="1">IFERROR(__xludf.DUMMYFUNCTION("""COMPUTED_VALUE"""),"No")</f>
        <v>No</v>
      </c>
      <c r="AJ3158" s="8" t="str">
        <f ca="1">IFERROR(__xludf.DUMMYFUNCTION("""COMPUTED_VALUE"""),"No")</f>
        <v>No</v>
      </c>
      <c r="AK3158" s="8" t="str">
        <f ca="1">IFERROR(__xludf.DUMMYFUNCTION("""COMPUTED_VALUE"""),"No")</f>
        <v>No</v>
      </c>
      <c r="AL3158" s="8" t="str">
        <f ca="1">IFERROR(__xludf.DUMMYFUNCTION("""COMPUTED_VALUE"""),"Yes")</f>
        <v>Yes</v>
      </c>
      <c r="AM3158" s="8" t="str">
        <f ca="1">IFERROR(__xludf.DUMMYFUNCTION("""COMPUTED_VALUE"""),"No")</f>
        <v>No</v>
      </c>
      <c r="AN3158" s="8" t="str">
        <f ca="1">IFERROR(__xludf.DUMMYFUNCTION("""COMPUTED_VALUE"""),"Single Room")</f>
        <v>Single Room</v>
      </c>
      <c r="AO3158" s="8" t="str">
        <f ca="1">IFERROR(__xludf.DUMMYFUNCTION("""COMPUTED_VALUE"""),"No")</f>
        <v>No</v>
      </c>
      <c r="AP3158" s="8"/>
      <c r="AQ3158" s="8"/>
      <c r="AR3158" s="8"/>
      <c r="AS3158" s="8">
        <f ca="1">IFERROR(__xludf.DUMMYFUNCTION("""COMPUTED_VALUE"""),99)</f>
        <v>99</v>
      </c>
      <c r="AT3158" s="8"/>
      <c r="AU3158" s="8">
        <f ca="1">IFERROR(__xludf.DUMMYFUNCTION("""COMPUTED_VALUE"""),39.92329)</f>
        <v>39.923290000000001</v>
      </c>
      <c r="AV3158" s="8">
        <f ca="1">IFERROR(__xludf.DUMMYFUNCTION("""COMPUTED_VALUE"""),-75.168878)</f>
        <v>-75.168878000000007</v>
      </c>
      <c r="AW3158" s="8"/>
      <c r="AX3158" s="8">
        <f ca="1">IFERROR(__xludf.DUMMYFUNCTION("""COMPUTED_VALUE"""),19148)</f>
        <v>19148</v>
      </c>
    </row>
    <row r="3159" spans="1:50" ht="60" x14ac:dyDescent="0.2">
      <c r="A3159" s="8" t="str">
        <f ca="1">IFERROR(__xludf.DUMMYFUNCTION("""COMPUTED_VALUE"""),"19660828FLSEC")</f>
        <v>19660828FLSEC</v>
      </c>
      <c r="B3159" s="8">
        <f ca="1">IFERROR(__xludf.DUMMYFUNCTION("""COMPUTED_VALUE"""),8)</f>
        <v>8</v>
      </c>
      <c r="C3159" s="8">
        <f ca="1">IFERROR(__xludf.DUMMYFUNCTION("""COMPUTED_VALUE"""),28)</f>
        <v>28</v>
      </c>
      <c r="D3159" s="8">
        <f ca="1">IFERROR(__xludf.DUMMYFUNCTION("""COMPUTED_VALUE"""),1966)</f>
        <v>1966</v>
      </c>
      <c r="E3159" s="9">
        <f ca="1">IFERROR(__xludf.DUMMYFUNCTION("""COMPUTED_VALUE"""),24347)</f>
        <v>24347</v>
      </c>
      <c r="F3159" s="8" t="str">
        <f ca="1">IFERROR(__xludf.DUMMYFUNCTION("""COMPUTED_VALUE"""),"Seminole High School")</f>
        <v>Seminole High School</v>
      </c>
      <c r="G3159" s="8">
        <f ca="1">IFERROR(__xludf.DUMMYFUNCTION("""COMPUTED_VALUE"""),0)</f>
        <v>0</v>
      </c>
      <c r="H3159" s="8">
        <f ca="1">IFERROR(__xludf.DUMMYFUNCTION("""COMPUTED_VALUE"""),0)</f>
        <v>0</v>
      </c>
      <c r="I3159" s="8">
        <f ca="1">IFERROR(__xludf.DUMMYFUNCTION("""COMPUTED_VALUE"""),0)</f>
        <v>0</v>
      </c>
      <c r="J3159" s="8">
        <f ca="1">IFERROR(__xludf.DUMMYFUNCTION("""COMPUTED_VALUE"""),0)</f>
        <v>0</v>
      </c>
      <c r="K3159" s="10" t="str">
        <f ca="1">IFERROR(__xludf.DUMMYFUNCTION("""COMPUTED_VALUE"""),"https://www.newspapers.com/image/320300867/?terms=school%20shooting&amp;match=1")</f>
        <v>https://www.newspapers.com/image/320300867/?terms=school%20shooting&amp;match=1</v>
      </c>
      <c r="L3159" s="8"/>
      <c r="M3159" s="8" t="str">
        <f ca="1">IFERROR(__xludf.DUMMYFUNCTION("""COMPUTED_VALUE"""),"Local")</f>
        <v>Local</v>
      </c>
      <c r="N3159" s="8">
        <f ca="1">IFERROR(__xludf.DUMMYFUNCTION("""COMPUTED_VALUE"""),4)</f>
        <v>4</v>
      </c>
      <c r="O3159" s="8" t="str">
        <f ca="1">IFERROR(__xludf.DUMMYFUNCTION("""COMPUTED_VALUE"""),"Summer")</f>
        <v>Summer</v>
      </c>
      <c r="P3159" s="8" t="str">
        <f ca="1">IFERROR(__xludf.DUMMYFUNCTION("""COMPUTED_VALUE"""),"Clearwater")</f>
        <v>Clearwater</v>
      </c>
      <c r="Q3159" s="8" t="str">
        <f ca="1">IFERROR(__xludf.DUMMYFUNCTION("""COMPUTED_VALUE"""),"FL")</f>
        <v>FL</v>
      </c>
      <c r="R3159" s="8" t="str">
        <f ca="1">IFERROR(__xludf.DUMMYFUNCTION("""COMPUTED_VALUE"""),"High")</f>
        <v>High</v>
      </c>
      <c r="S3159" s="8" t="str">
        <f ca="1">IFERROR(__xludf.DUMMYFUNCTION("""COMPUTED_VALUE"""),"Inside School Building")</f>
        <v>Inside School Building</v>
      </c>
      <c r="T3159" s="8" t="str">
        <f ca="1">IFERROR(__xludf.DUMMYFUNCTION("""COMPUTED_VALUE"""),"Inside School Building")</f>
        <v>Inside School Building</v>
      </c>
      <c r="U3159" s="8" t="str">
        <f ca="1">IFERROR(__xludf.DUMMYFUNCTION("""COMPUTED_VALUE"""),"No")</f>
        <v>No</v>
      </c>
      <c r="V3159" s="8" t="str">
        <f ca="1">IFERROR(__xludf.DUMMYFUNCTION("""COMPUTED_VALUE"""),"Not a School Day")</f>
        <v>Not a School Day</v>
      </c>
      <c r="W3159" s="8"/>
      <c r="X3159" s="8">
        <f ca="1">IFERROR(__xludf.DUMMYFUNCTION("""COMPUTED_VALUE"""),1)</f>
        <v>1</v>
      </c>
      <c r="Y3159" s="12" t="str">
        <f ca="1">IFERROR(__xludf.DUMMYFUNCTION("""COMPUTED_VALUE"""),"Teen fired shot during theft of musical instruments at school")</f>
        <v>Teen fired shot during theft of musical instruments at school</v>
      </c>
      <c r="Z3159" s="12" t="str">
        <f ca="1">IFERROR(__xludf.DUMMYFUNCTION("""COMPUTED_VALUE"""),"Teen fired shot during theft of musical instruments at school")</f>
        <v>Teen fired shot during theft of musical instruments at school</v>
      </c>
      <c r="AA3159" s="8" t="str">
        <f ca="1">IFERROR(__xludf.DUMMYFUNCTION("""COMPUTED_VALUE"""),"Illegal Activity")</f>
        <v>Illegal Activity</v>
      </c>
      <c r="AB3159" s="8"/>
      <c r="AC3159" s="8" t="str">
        <f ca="1">IFERROR(__xludf.DUMMYFUNCTION("""COMPUTED_VALUE"""),"No")</f>
        <v>No</v>
      </c>
      <c r="AD3159" s="8" t="str">
        <f ca="1">IFERROR(__xludf.DUMMYFUNCTION("""COMPUTED_VALUE"""),"Random Shooting")</f>
        <v>Random Shooting</v>
      </c>
      <c r="AE3159" s="8" t="str">
        <f ca="1">IFERROR(__xludf.DUMMYFUNCTION("""COMPUTED_VALUE"""),"Yes")</f>
        <v>Yes</v>
      </c>
      <c r="AF3159" s="8" t="str">
        <f ca="1">IFERROR(__xludf.DUMMYFUNCTION("""COMPUTED_VALUE"""),"Codefendant also charged")</f>
        <v>Codefendant also charged</v>
      </c>
      <c r="AG3159" s="8" t="str">
        <f ca="1">IFERROR(__xludf.DUMMYFUNCTION("""COMPUTED_VALUE"""),"No")</f>
        <v>No</v>
      </c>
      <c r="AH3159" s="8" t="str">
        <f ca="1">IFERROR(__xludf.DUMMYFUNCTION("""COMPUTED_VALUE"""),"No")</f>
        <v>No</v>
      </c>
      <c r="AI3159" s="8" t="str">
        <f ca="1">IFERROR(__xludf.DUMMYFUNCTION("""COMPUTED_VALUE"""),"No")</f>
        <v>No</v>
      </c>
      <c r="AJ3159" s="8" t="str">
        <f ca="1">IFERROR(__xludf.DUMMYFUNCTION("""COMPUTED_VALUE"""),"No")</f>
        <v>No</v>
      </c>
      <c r="AK3159" s="8" t="str">
        <f ca="1">IFERROR(__xludf.DUMMYFUNCTION("""COMPUTED_VALUE"""),"No")</f>
        <v>No</v>
      </c>
      <c r="AL3159" s="8" t="str">
        <f ca="1">IFERROR(__xludf.DUMMYFUNCTION("""COMPUTED_VALUE"""),"No")</f>
        <v>No</v>
      </c>
      <c r="AM3159" s="8" t="str">
        <f ca="1">IFERROR(__xludf.DUMMYFUNCTION("""COMPUTED_VALUE"""),"No")</f>
        <v>No</v>
      </c>
      <c r="AN3159" s="8" t="str">
        <f ca="1">IFERROR(__xludf.DUMMYFUNCTION("""COMPUTED_VALUE"""),"Single Room")</f>
        <v>Single Room</v>
      </c>
      <c r="AO3159" s="8" t="str">
        <f ca="1">IFERROR(__xludf.DUMMYFUNCTION("""COMPUTED_VALUE"""),"No")</f>
        <v>No</v>
      </c>
      <c r="AP3159" s="8"/>
      <c r="AQ3159" s="8"/>
      <c r="AR3159" s="8"/>
      <c r="AS3159" s="8">
        <f ca="1">IFERROR(__xludf.DUMMYFUNCTION("""COMPUTED_VALUE"""),99)</f>
        <v>99</v>
      </c>
      <c r="AT3159" s="8"/>
      <c r="AU3159" s="8">
        <f ca="1">IFERROR(__xludf.DUMMYFUNCTION("""COMPUTED_VALUE"""),27.848606)</f>
        <v>27.848606</v>
      </c>
      <c r="AV3159" s="8">
        <f ca="1">IFERROR(__xludf.DUMMYFUNCTION("""COMPUTED_VALUE"""),-82.819389)</f>
        <v>-82.819389000000001</v>
      </c>
      <c r="AW3159" s="8"/>
      <c r="AX3159" s="8">
        <f ca="1">IFERROR(__xludf.DUMMYFUNCTION("""COMPUTED_VALUE"""),33776)</f>
        <v>33776</v>
      </c>
    </row>
    <row r="3160" spans="1:50" ht="105" x14ac:dyDescent="0.2">
      <c r="A3160" s="8" t="str">
        <f ca="1">IFERROR(__xludf.DUMMYFUNCTION("""COMPUTED_VALUE"""),"19660427NYBAB")</f>
        <v>19660427NYBAB</v>
      </c>
      <c r="B3160" s="8">
        <f ca="1">IFERROR(__xludf.DUMMYFUNCTION("""COMPUTED_VALUE"""),4)</f>
        <v>4</v>
      </c>
      <c r="C3160" s="8">
        <f ca="1">IFERROR(__xludf.DUMMYFUNCTION("""COMPUTED_VALUE"""),27)</f>
        <v>27</v>
      </c>
      <c r="D3160" s="8">
        <f ca="1">IFERROR(__xludf.DUMMYFUNCTION("""COMPUTED_VALUE"""),1966)</f>
        <v>1966</v>
      </c>
      <c r="E3160" s="9">
        <f ca="1">IFERROR(__xludf.DUMMYFUNCTION("""COMPUTED_VALUE"""),24224)</f>
        <v>24224</v>
      </c>
      <c r="F3160" s="8" t="str">
        <f ca="1">IFERROR(__xludf.DUMMYFUNCTION("""COMPUTED_VALUE"""),"Bay Shore High School")</f>
        <v>Bay Shore High School</v>
      </c>
      <c r="G3160" s="8">
        <f ca="1">IFERROR(__xludf.DUMMYFUNCTION("""COMPUTED_VALUE"""),1)</f>
        <v>1</v>
      </c>
      <c r="H3160" s="8">
        <f ca="1">IFERROR(__xludf.DUMMYFUNCTION("""COMPUTED_VALUE"""),0)</f>
        <v>0</v>
      </c>
      <c r="I3160" s="8">
        <f ca="1">IFERROR(__xludf.DUMMYFUNCTION("""COMPUTED_VALUE"""),1)</f>
        <v>1</v>
      </c>
      <c r="J3160" s="8">
        <f ca="1">IFERROR(__xludf.DUMMYFUNCTION("""COMPUTED_VALUE"""),0)</f>
        <v>0</v>
      </c>
      <c r="K3160" s="8" t="str">
        <f ca="1">IFERROR(__xludf.DUMMYFUNCTION("""COMPUTED_VALUE"""),"https://www.nytimes.com/1966/04/28/archives/li-teacher-shot-by-boy-in-school-badly-wounded-trying-to-halt.html
http://www.santorellihistoricalmedia.org/suburban-tragedy/
https://www.newspapers.com/image/137163098/?terms=school%20shooting&amp;match=1
")</f>
        <v xml:space="preserve">https://www.nytimes.com/1966/04/28/archives/li-teacher-shot-by-boy-in-school-badly-wounded-trying-to-halt.html
http://www.santorellihistoricalmedia.org/suburban-tragedy/
https://www.newspapers.com/image/137163098/?terms=school%20shooting&amp;match=1
</v>
      </c>
      <c r="L3160" s="8"/>
      <c r="M3160" s="8" t="str">
        <f ca="1">IFERROR(__xludf.DUMMYFUNCTION("""COMPUTED_VALUE"""),"Regional")</f>
        <v>Regional</v>
      </c>
      <c r="N3160" s="8">
        <f ca="1">IFERROR(__xludf.DUMMYFUNCTION("""COMPUTED_VALUE"""),4)</f>
        <v>4</v>
      </c>
      <c r="O3160" s="8" t="str">
        <f ca="1">IFERROR(__xludf.DUMMYFUNCTION("""COMPUTED_VALUE"""),"Spring")</f>
        <v>Spring</v>
      </c>
      <c r="P3160" s="8" t="str">
        <f ca="1">IFERROR(__xludf.DUMMYFUNCTION("""COMPUTED_VALUE"""),"Bay Shore")</f>
        <v>Bay Shore</v>
      </c>
      <c r="Q3160" s="8" t="str">
        <f ca="1">IFERROR(__xludf.DUMMYFUNCTION("""COMPUTED_VALUE"""),"NY")</f>
        <v>NY</v>
      </c>
      <c r="R3160" s="8" t="str">
        <f ca="1">IFERROR(__xludf.DUMMYFUNCTION("""COMPUTED_VALUE"""),"High")</f>
        <v>High</v>
      </c>
      <c r="S3160" s="8" t="str">
        <f ca="1">IFERROR(__xludf.DUMMYFUNCTION("""COMPUTED_VALUE"""),"Hallway")</f>
        <v>Hallway</v>
      </c>
      <c r="T3160" s="8" t="str">
        <f ca="1">IFERROR(__xludf.DUMMYFUNCTION("""COMPUTED_VALUE"""),"Inside School Building")</f>
        <v>Inside School Building</v>
      </c>
      <c r="U3160" s="8" t="str">
        <f ca="1">IFERROR(__xludf.DUMMYFUNCTION("""COMPUTED_VALUE"""),"Yes")</f>
        <v>Yes</v>
      </c>
      <c r="V3160" s="8" t="str">
        <f ca="1">IFERROR(__xludf.DUMMYFUNCTION("""COMPUTED_VALUE"""),"Afternoon Classes")</f>
        <v>Afternoon Classes</v>
      </c>
      <c r="W3160" s="11">
        <f ca="1">IFERROR(__xludf.DUMMYFUNCTION("""COMPUTED_VALUE"""),0.625)</f>
        <v>0.625</v>
      </c>
      <c r="X3160" s="8">
        <f ca="1">IFERROR(__xludf.DUMMYFUNCTION("""COMPUTED_VALUE"""),1)</f>
        <v>1</v>
      </c>
      <c r="Y3160" s="12" t="str">
        <f ca="1">IFERROR(__xludf.DUMMYFUNCTION("""COMPUTED_VALUE"""),"Student had dispute with two other student, went home and got shotgun, shot teacher in the hallway who tried to stop him")</f>
        <v>Student had dispute with two other student, went home and got shotgun, shot teacher in the hallway who tried to stop him</v>
      </c>
      <c r="Z3160" s="12" t="str">
        <f ca="1">IFERROR(__xludf.DUMMYFUNCTION("""COMPUTED_VALUE"""),"16-year-old student had dispute with other students. Left school and came back just before dismissal with shotgun. He was spotted and school administrator attempted diversion by ordering students into classrooms over PA. Teacher was fatally shot attemptin"&amp;"g to stop him in the hallway.")</f>
        <v>16-year-old student had dispute with other students. Left school and came back just before dismissal with shotgun. He was spotted and school administrator attempted diversion by ordering students into classrooms over PA. Teacher was fatally shot attempting to stop him in the hallway.</v>
      </c>
      <c r="AA3160" s="8" t="str">
        <f ca="1">IFERROR(__xludf.DUMMYFUNCTION("""COMPUTED_VALUE"""),"Escalation of Dispute")</f>
        <v>Escalation of Dispute</v>
      </c>
      <c r="AB3160" s="8"/>
      <c r="AC3160" s="8" t="str">
        <f ca="1">IFERROR(__xludf.DUMMYFUNCTION("""COMPUTED_VALUE"""),"Yes")</f>
        <v>Yes</v>
      </c>
      <c r="AD3160" s="8" t="str">
        <f ca="1">IFERROR(__xludf.DUMMYFUNCTION("""COMPUTED_VALUE"""),"Both")</f>
        <v>Both</v>
      </c>
      <c r="AE3160" s="8" t="str">
        <f ca="1">IFERROR(__xludf.DUMMYFUNCTION("""COMPUTED_VALUE"""),"No")</f>
        <v>No</v>
      </c>
      <c r="AF3160" s="8"/>
      <c r="AG3160" s="8" t="str">
        <f ca="1">IFERROR(__xludf.DUMMYFUNCTION("""COMPUTED_VALUE"""),"No")</f>
        <v>No</v>
      </c>
      <c r="AH3160" s="8" t="str">
        <f ca="1">IFERROR(__xludf.DUMMYFUNCTION("""COMPUTED_VALUE"""),"No")</f>
        <v>No</v>
      </c>
      <c r="AI3160" s="8" t="str">
        <f ca="1">IFERROR(__xludf.DUMMYFUNCTION("""COMPUTED_VALUE"""),"No")</f>
        <v>No</v>
      </c>
      <c r="AJ3160" s="8" t="str">
        <f ca="1">IFERROR(__xludf.DUMMYFUNCTION("""COMPUTED_VALUE"""),"No")</f>
        <v>No</v>
      </c>
      <c r="AK3160" s="8" t="str">
        <f ca="1">IFERROR(__xludf.DUMMYFUNCTION("""COMPUTED_VALUE"""),"No")</f>
        <v>No</v>
      </c>
      <c r="AL3160" s="8" t="str">
        <f ca="1">IFERROR(__xludf.DUMMYFUNCTION("""COMPUTED_VALUE"""),"No")</f>
        <v>No</v>
      </c>
      <c r="AM3160" s="8" t="str">
        <f ca="1">IFERROR(__xludf.DUMMYFUNCTION("""COMPUTED_VALUE"""),"Yes")</f>
        <v>Yes</v>
      </c>
      <c r="AN3160" s="8" t="str">
        <f ca="1">IFERROR(__xludf.DUMMYFUNCTION("""COMPUTED_VALUE"""),"Hallway")</f>
        <v>Hallway</v>
      </c>
      <c r="AO3160" s="8" t="str">
        <f ca="1">IFERROR(__xludf.DUMMYFUNCTION("""COMPUTED_VALUE"""),"No")</f>
        <v>No</v>
      </c>
      <c r="AP3160" s="8"/>
      <c r="AQ3160" s="8"/>
      <c r="AR3160" s="8"/>
      <c r="AS3160" s="8">
        <f ca="1">IFERROR(__xludf.DUMMYFUNCTION("""COMPUTED_VALUE"""),1)</f>
        <v>1</v>
      </c>
      <c r="AT3160" s="8"/>
      <c r="AU3160" s="8">
        <f ca="1">IFERROR(__xludf.DUMMYFUNCTION("""COMPUTED_VALUE"""),40.731985)</f>
        <v>40.731985000000002</v>
      </c>
      <c r="AV3160" s="8">
        <f ca="1">IFERROR(__xludf.DUMMYFUNCTION("""COMPUTED_VALUE"""),-73.254938)</f>
        <v>-73.254937999999996</v>
      </c>
      <c r="AW3160" s="8"/>
      <c r="AX3160" s="8">
        <f ca="1">IFERROR(__xludf.DUMMYFUNCTION("""COMPUTED_VALUE"""),11706)</f>
        <v>11706</v>
      </c>
    </row>
    <row r="3161" spans="1:50" ht="75" x14ac:dyDescent="0.2">
      <c r="A3161" s="8" t="str">
        <f ca="1">IFERROR(__xludf.DUMMYFUNCTION("""COMPUTED_VALUE"""),"19660328CAJOL")</f>
        <v>19660328CAJOL</v>
      </c>
      <c r="B3161" s="8">
        <f ca="1">IFERROR(__xludf.DUMMYFUNCTION("""COMPUTED_VALUE"""),3)</f>
        <v>3</v>
      </c>
      <c r="C3161" s="8">
        <f ca="1">IFERROR(__xludf.DUMMYFUNCTION("""COMPUTED_VALUE"""),28)</f>
        <v>28</v>
      </c>
      <c r="D3161" s="8">
        <f ca="1">IFERROR(__xludf.DUMMYFUNCTION("""COMPUTED_VALUE"""),1966)</f>
        <v>1966</v>
      </c>
      <c r="E3161" s="9">
        <f ca="1">IFERROR(__xludf.DUMMYFUNCTION("""COMPUTED_VALUE"""),24194)</f>
        <v>24194</v>
      </c>
      <c r="F3161" s="8" t="str">
        <f ca="1">IFERROR(__xludf.DUMMYFUNCTION("""COMPUTED_VALUE"""),"Jordan High School")</f>
        <v>Jordan High School</v>
      </c>
      <c r="G3161" s="8">
        <f ca="1">IFERROR(__xludf.DUMMYFUNCTION("""COMPUTED_VALUE"""),0)</f>
        <v>0</v>
      </c>
      <c r="H3161" s="8">
        <f ca="1">IFERROR(__xludf.DUMMYFUNCTION("""COMPUTED_VALUE"""),1)</f>
        <v>1</v>
      </c>
      <c r="I3161" s="8">
        <f ca="1">IFERROR(__xludf.DUMMYFUNCTION("""COMPUTED_VALUE"""),1)</f>
        <v>1</v>
      </c>
      <c r="J3161" s="8">
        <f ca="1">IFERROR(__xludf.DUMMYFUNCTION("""COMPUTED_VALUE"""),0)</f>
        <v>0</v>
      </c>
      <c r="K3161" s="10" t="str">
        <f ca="1">IFERROR(__xludf.DUMMYFUNCTION("""COMPUTED_VALUE"""),"https://www.newspapers.com/image/564577824/?terms=school%20shooting&amp;match=1")</f>
        <v>https://www.newspapers.com/image/564577824/?terms=school%20shooting&amp;match=1</v>
      </c>
      <c r="L3161" s="8"/>
      <c r="M3161" s="8" t="str">
        <f ca="1">IFERROR(__xludf.DUMMYFUNCTION("""COMPUTED_VALUE"""),"National")</f>
        <v>National</v>
      </c>
      <c r="N3161" s="8">
        <f ca="1">IFERROR(__xludf.DUMMYFUNCTION("""COMPUTED_VALUE"""),4)</f>
        <v>4</v>
      </c>
      <c r="O3161" s="8" t="str">
        <f ca="1">IFERROR(__xludf.DUMMYFUNCTION("""COMPUTED_VALUE"""),"Spring")</f>
        <v>Spring</v>
      </c>
      <c r="P3161" s="8" t="str">
        <f ca="1">IFERROR(__xludf.DUMMYFUNCTION("""COMPUTED_VALUE"""),"Los Angeles")</f>
        <v>Los Angeles</v>
      </c>
      <c r="Q3161" s="8" t="str">
        <f ca="1">IFERROR(__xludf.DUMMYFUNCTION("""COMPUTED_VALUE"""),"CA")</f>
        <v>CA</v>
      </c>
      <c r="R3161" s="8" t="str">
        <f ca="1">IFERROR(__xludf.DUMMYFUNCTION("""COMPUTED_VALUE"""),"High")</f>
        <v>High</v>
      </c>
      <c r="S3161" s="8" t="str">
        <f ca="1">IFERROR(__xludf.DUMMYFUNCTION("""COMPUTED_VALUE"""),"Outside on School Property")</f>
        <v>Outside on School Property</v>
      </c>
      <c r="T3161" s="8" t="str">
        <f ca="1">IFERROR(__xludf.DUMMYFUNCTION("""COMPUTED_VALUE"""),"Outside on School Property")</f>
        <v>Outside on School Property</v>
      </c>
      <c r="U3161" s="8" t="str">
        <f ca="1">IFERROR(__xludf.DUMMYFUNCTION("""COMPUTED_VALUE"""),"No")</f>
        <v>No</v>
      </c>
      <c r="V3161" s="8" t="str">
        <f ca="1">IFERROR(__xludf.DUMMYFUNCTION("""COMPUTED_VALUE"""),"Night")</f>
        <v>Night</v>
      </c>
      <c r="W3161" s="8"/>
      <c r="X3161" s="8">
        <f ca="1">IFERROR(__xludf.DUMMYFUNCTION("""COMPUTED_VALUE"""),1)</f>
        <v>1</v>
      </c>
      <c r="Y3161" s="12" t="str">
        <f ca="1">IFERROR(__xludf.DUMMYFUNCTION("""COMPUTED_VALUE"""),"Security guard fired at teens stealing a tape recorder, wounding one of them")</f>
        <v>Security guard fired at teens stealing a tape recorder, wounding one of them</v>
      </c>
      <c r="Z3161" s="12" t="str">
        <f ca="1">IFERROR(__xludf.DUMMYFUNCTION("""COMPUTED_VALUE"""),"Security guard fired at teens stealing a tape recorder, wounding one of them as they ran from the campus.")</f>
        <v>Security guard fired at teens stealing a tape recorder, wounding one of them as they ran from the campus.</v>
      </c>
      <c r="AA3161" s="8" t="str">
        <f ca="1">IFERROR(__xludf.DUMMYFUNCTION("""COMPUTED_VALUE"""),"Illegal Activity")</f>
        <v>Illegal Activity</v>
      </c>
      <c r="AB3161" s="8"/>
      <c r="AC3161" s="8" t="str">
        <f ca="1">IFERROR(__xludf.DUMMYFUNCTION("""COMPUTED_VALUE"""),"No")</f>
        <v>No</v>
      </c>
      <c r="AD3161" s="8" t="str">
        <f ca="1">IFERROR(__xludf.DUMMYFUNCTION("""COMPUTED_VALUE"""),"Victims Targeted")</f>
        <v>Victims Targeted</v>
      </c>
      <c r="AE3161" s="8" t="str">
        <f ca="1">IFERROR(__xludf.DUMMYFUNCTION("""COMPUTED_VALUE"""),"No")</f>
        <v>No</v>
      </c>
      <c r="AF3161" s="8"/>
      <c r="AG3161" s="8" t="str">
        <f ca="1">IFERROR(__xludf.DUMMYFUNCTION("""COMPUTED_VALUE"""),"No")</f>
        <v>No</v>
      </c>
      <c r="AH3161" s="8" t="str">
        <f ca="1">IFERROR(__xludf.DUMMYFUNCTION("""COMPUTED_VALUE"""),"No")</f>
        <v>No</v>
      </c>
      <c r="AI3161" s="8" t="str">
        <f ca="1">IFERROR(__xludf.DUMMYFUNCTION("""COMPUTED_VALUE"""),"Yes")</f>
        <v>Yes</v>
      </c>
      <c r="AJ3161" s="8" t="str">
        <f ca="1">IFERROR(__xludf.DUMMYFUNCTION("""COMPUTED_VALUE"""),"No")</f>
        <v>No</v>
      </c>
      <c r="AK3161" s="8" t="str">
        <f ca="1">IFERROR(__xludf.DUMMYFUNCTION("""COMPUTED_VALUE"""),"No")</f>
        <v>No</v>
      </c>
      <c r="AL3161" s="8" t="str">
        <f ca="1">IFERROR(__xludf.DUMMYFUNCTION("""COMPUTED_VALUE"""),"No")</f>
        <v>No</v>
      </c>
      <c r="AM3161" s="8" t="str">
        <f ca="1">IFERROR(__xludf.DUMMYFUNCTION("""COMPUTED_VALUE"""),"No")</f>
        <v>No</v>
      </c>
      <c r="AN3161" s="8" t="str">
        <f ca="1">IFERROR(__xludf.DUMMYFUNCTION("""COMPUTED_VALUE"""),"Outside")</f>
        <v>Outside</v>
      </c>
      <c r="AO3161" s="8" t="str">
        <f ca="1">IFERROR(__xludf.DUMMYFUNCTION("""COMPUTED_VALUE"""),"No")</f>
        <v>No</v>
      </c>
      <c r="AP3161" s="8" t="str">
        <f ca="1">IFERROR(__xludf.DUMMYFUNCTION("""COMPUTED_VALUE"""),"Yes")</f>
        <v>Yes</v>
      </c>
      <c r="AQ3161" s="8" t="str">
        <f ca="1">IFERROR(__xludf.DUMMYFUNCTION("""COMPUTED_VALUE"""),"Armed Guards")</f>
        <v>Armed Guards</v>
      </c>
      <c r="AR3161" s="8" t="str">
        <f ca="1">IFERROR(__xludf.DUMMYFUNCTION("""COMPUTED_VALUE"""),"Outside/Off-Property")</f>
        <v>Outside/Off-Property</v>
      </c>
      <c r="AS3161" s="8">
        <f ca="1">IFERROR(__xludf.DUMMYFUNCTION("""COMPUTED_VALUE"""),99)</f>
        <v>99</v>
      </c>
      <c r="AT3161" s="8"/>
      <c r="AU3161" s="8">
        <f ca="1">IFERROR(__xludf.DUMMYFUNCTION("""COMPUTED_VALUE"""),33.944239)</f>
        <v>33.944239000000003</v>
      </c>
      <c r="AV3161" s="8">
        <f ca="1">IFERROR(__xludf.DUMMYFUNCTION("""COMPUTED_VALUE"""),-118.23056)</f>
        <v>-118.23056</v>
      </c>
      <c r="AW3161" s="8"/>
      <c r="AX3161" s="8">
        <f ca="1">IFERROR(__xludf.DUMMYFUNCTION("""COMPUTED_VALUE"""),90002)</f>
        <v>90002</v>
      </c>
    </row>
    <row r="3162" spans="1:50" ht="90" x14ac:dyDescent="0.2">
      <c r="A3162" s="8" t="str">
        <f ca="1">IFERROR(__xludf.DUMMYFUNCTION("""COMPUTED_VALUE"""),"19660324CACAM")</f>
        <v>19660324CACAM</v>
      </c>
      <c r="B3162" s="8">
        <f ca="1">IFERROR(__xludf.DUMMYFUNCTION("""COMPUTED_VALUE"""),3)</f>
        <v>3</v>
      </c>
      <c r="C3162" s="8">
        <f ca="1">IFERROR(__xludf.DUMMYFUNCTION("""COMPUTED_VALUE"""),24)</f>
        <v>24</v>
      </c>
      <c r="D3162" s="8">
        <f ca="1">IFERROR(__xludf.DUMMYFUNCTION("""COMPUTED_VALUE"""),1966)</f>
        <v>1966</v>
      </c>
      <c r="E3162" s="9">
        <f ca="1">IFERROR(__xludf.DUMMYFUNCTION("""COMPUTED_VALUE"""),24190)</f>
        <v>24190</v>
      </c>
      <c r="F3162" s="8" t="str">
        <f ca="1">IFERROR(__xludf.DUMMYFUNCTION("""COMPUTED_VALUE"""),"Camino Pablo Elementary School")</f>
        <v>Camino Pablo Elementary School</v>
      </c>
      <c r="G3162" s="8">
        <f ca="1">IFERROR(__xludf.DUMMYFUNCTION("""COMPUTED_VALUE"""),3)</f>
        <v>3</v>
      </c>
      <c r="H3162" s="8">
        <f ca="1">IFERROR(__xludf.DUMMYFUNCTION("""COMPUTED_VALUE"""),0)</f>
        <v>0</v>
      </c>
      <c r="I3162" s="8">
        <f ca="1">IFERROR(__xludf.DUMMYFUNCTION("""COMPUTED_VALUE"""),3)</f>
        <v>3</v>
      </c>
      <c r="J3162" s="8">
        <f ca="1">IFERROR(__xludf.DUMMYFUNCTION("""COMPUTED_VALUE"""),1)</f>
        <v>1</v>
      </c>
      <c r="K3162" s="10" t="str">
        <f ca="1">IFERROR(__xludf.DUMMYFUNCTION("""COMPUTED_VALUE"""),"https://www.newspapers.com/image/17958969/?terms=school%20shooting&amp;match=1")</f>
        <v>https://www.newspapers.com/image/17958969/?terms=school%20shooting&amp;match=1</v>
      </c>
      <c r="L3162" s="8"/>
      <c r="M3162" s="8" t="str">
        <f ca="1">IFERROR(__xludf.DUMMYFUNCTION("""COMPUTED_VALUE"""),"National")</f>
        <v>National</v>
      </c>
      <c r="N3162" s="8">
        <f ca="1">IFERROR(__xludf.DUMMYFUNCTION("""COMPUTED_VALUE"""),4)</f>
        <v>4</v>
      </c>
      <c r="O3162" s="8" t="str">
        <f ca="1">IFERROR(__xludf.DUMMYFUNCTION("""COMPUTED_VALUE"""),"Spring")</f>
        <v>Spring</v>
      </c>
      <c r="P3162" s="8" t="str">
        <f ca="1">IFERROR(__xludf.DUMMYFUNCTION("""COMPUTED_VALUE"""),"Moraga")</f>
        <v>Moraga</v>
      </c>
      <c r="Q3162" s="8" t="str">
        <f ca="1">IFERROR(__xludf.DUMMYFUNCTION("""COMPUTED_VALUE"""),"CA")</f>
        <v>CA</v>
      </c>
      <c r="R3162" s="8" t="str">
        <f ca="1">IFERROR(__xludf.DUMMYFUNCTION("""COMPUTED_VALUE"""),"Elementary")</f>
        <v>Elementary</v>
      </c>
      <c r="S3162" s="8" t="str">
        <f ca="1">IFERROR(__xludf.DUMMYFUNCTION("""COMPUTED_VALUE"""),"Basketball Court")</f>
        <v>Basketball Court</v>
      </c>
      <c r="T3162" s="8" t="str">
        <f ca="1">IFERROR(__xludf.DUMMYFUNCTION("""COMPUTED_VALUE"""),"Outside on School Property")</f>
        <v>Outside on School Property</v>
      </c>
      <c r="U3162" s="8" t="str">
        <f ca="1">IFERROR(__xludf.DUMMYFUNCTION("""COMPUTED_VALUE"""),"No")</f>
        <v>No</v>
      </c>
      <c r="V3162" s="8" t="str">
        <f ca="1">IFERROR(__xludf.DUMMYFUNCTION("""COMPUTED_VALUE"""),"School Event")</f>
        <v>School Event</v>
      </c>
      <c r="W3162" s="8"/>
      <c r="X3162" s="8">
        <f ca="1">IFERROR(__xludf.DUMMYFUNCTION("""COMPUTED_VALUE"""),1)</f>
        <v>1</v>
      </c>
      <c r="Y3162" s="12" t="str">
        <f ca="1">IFERROR(__xludf.DUMMYFUNCTION("""COMPUTED_VALUE"""),"Janitor had been sent home for being drunk, came back to school and shot two co-workers and teen")</f>
        <v>Janitor had been sent home for being drunk, came back to school and shot two co-workers and teen</v>
      </c>
      <c r="Z3162" s="12" t="str">
        <f ca="1">IFERROR(__xludf.DUMMYFUNCTION("""COMPUTED_VALUE"""),"Janitor had been sent home for being drunk. During PTA meeting, two other janitors and teen were playing basketball. Janitor came back to the school with a gun and fatally shot all three.")</f>
        <v>Janitor had been sent home for being drunk. During PTA meeting, two other janitors and teen were playing basketball. Janitor came back to the school with a gun and fatally shot all three.</v>
      </c>
      <c r="AA3162" s="8" t="str">
        <f ca="1">IFERROR(__xludf.DUMMYFUNCTION("""COMPUTED_VALUE"""),"Anger Over Grade/Suspension/Discipline")</f>
        <v>Anger Over Grade/Suspension/Discipline</v>
      </c>
      <c r="AB3162" s="8"/>
      <c r="AC3162" s="8" t="str">
        <f ca="1">IFERROR(__xludf.DUMMYFUNCTION("""COMPUTED_VALUE"""),"Yes")</f>
        <v>Yes</v>
      </c>
      <c r="AD3162" s="8" t="str">
        <f ca="1">IFERROR(__xludf.DUMMYFUNCTION("""COMPUTED_VALUE"""),"Both")</f>
        <v>Both</v>
      </c>
      <c r="AE3162" s="8" t="str">
        <f ca="1">IFERROR(__xludf.DUMMYFUNCTION("""COMPUTED_VALUE"""),"No")</f>
        <v>No</v>
      </c>
      <c r="AF3162" s="8"/>
      <c r="AG3162" s="8" t="str">
        <f ca="1">IFERROR(__xludf.DUMMYFUNCTION("""COMPUTED_VALUE"""),"No")</f>
        <v>No</v>
      </c>
      <c r="AH3162" s="8" t="str">
        <f ca="1">IFERROR(__xludf.DUMMYFUNCTION("""COMPUTED_VALUE"""),"No")</f>
        <v>No</v>
      </c>
      <c r="AI3162" s="8" t="str">
        <f ca="1">IFERROR(__xludf.DUMMYFUNCTION("""COMPUTED_VALUE"""),"No")</f>
        <v>No</v>
      </c>
      <c r="AJ3162" s="8" t="str">
        <f ca="1">IFERROR(__xludf.DUMMYFUNCTION("""COMPUTED_VALUE"""),"No")</f>
        <v>No</v>
      </c>
      <c r="AK3162" s="8" t="str">
        <f ca="1">IFERROR(__xludf.DUMMYFUNCTION("""COMPUTED_VALUE"""),"No")</f>
        <v>No</v>
      </c>
      <c r="AL3162" s="8" t="str">
        <f ca="1">IFERROR(__xludf.DUMMYFUNCTION("""COMPUTED_VALUE"""),"No")</f>
        <v>No</v>
      </c>
      <c r="AM3162" s="8" t="str">
        <f ca="1">IFERROR(__xludf.DUMMYFUNCTION("""COMPUTED_VALUE"""),"No")</f>
        <v>No</v>
      </c>
      <c r="AN3162" s="8" t="str">
        <f ca="1">IFERROR(__xludf.DUMMYFUNCTION("""COMPUTED_VALUE"""),"Outside")</f>
        <v>Outside</v>
      </c>
      <c r="AO3162" s="8" t="str">
        <f ca="1">IFERROR(__xludf.DUMMYFUNCTION("""COMPUTED_VALUE"""),"No")</f>
        <v>No</v>
      </c>
      <c r="AP3162" s="8"/>
      <c r="AQ3162" s="8"/>
      <c r="AR3162" s="8" t="str">
        <f ca="1">IFERROR(__xludf.DUMMYFUNCTION("""COMPUTED_VALUE"""),"Outside/Off-Property")</f>
        <v>Outside/Off-Property</v>
      </c>
      <c r="AS3162" s="8">
        <f ca="1">IFERROR(__xludf.DUMMYFUNCTION("""COMPUTED_VALUE"""),99)</f>
        <v>99</v>
      </c>
      <c r="AT3162" s="8"/>
      <c r="AU3162" s="8">
        <f ca="1">IFERROR(__xludf.DUMMYFUNCTION("""COMPUTED_VALUE"""),37.821031)</f>
        <v>37.821030999999998</v>
      </c>
      <c r="AV3162" s="8">
        <f ca="1">IFERROR(__xludf.DUMMYFUNCTION("""COMPUTED_VALUE"""),-122.121426)</f>
        <v>-122.121426</v>
      </c>
      <c r="AW3162" s="8"/>
      <c r="AX3162" s="8">
        <f ca="1">IFERROR(__xludf.DUMMYFUNCTION("""COMPUTED_VALUE"""),94575)</f>
        <v>94575</v>
      </c>
    </row>
    <row r="3163" spans="1:50" ht="90" x14ac:dyDescent="0.2">
      <c r="A3163" s="8" t="str">
        <f ca="1">IFERROR(__xludf.DUMMYFUNCTION("""COMPUTED_VALUE"""),"19660314TXCAW")</f>
        <v>19660314TXCAW</v>
      </c>
      <c r="B3163" s="8">
        <f ca="1">IFERROR(__xludf.DUMMYFUNCTION("""COMPUTED_VALUE"""),3)</f>
        <v>3</v>
      </c>
      <c r="C3163" s="8">
        <f ca="1">IFERROR(__xludf.DUMMYFUNCTION("""COMPUTED_VALUE"""),14)</f>
        <v>14</v>
      </c>
      <c r="D3163" s="8">
        <f ca="1">IFERROR(__xludf.DUMMYFUNCTION("""COMPUTED_VALUE"""),1966)</f>
        <v>1966</v>
      </c>
      <c r="E3163" s="9">
        <f ca="1">IFERROR(__xludf.DUMMYFUNCTION("""COMPUTED_VALUE"""),24180)</f>
        <v>24180</v>
      </c>
      <c r="F3163" s="8" t="str">
        <f ca="1">IFERROR(__xludf.DUMMYFUNCTION("""COMPUTED_VALUE"""),"Carver High School")</f>
        <v>Carver High School</v>
      </c>
      <c r="G3163" s="8">
        <f ca="1">IFERROR(__xludf.DUMMYFUNCTION("""COMPUTED_VALUE"""),1)</f>
        <v>1</v>
      </c>
      <c r="H3163" s="8">
        <f ca="1">IFERROR(__xludf.DUMMYFUNCTION("""COMPUTED_VALUE"""),0)</f>
        <v>0</v>
      </c>
      <c r="I3163" s="8">
        <f ca="1">IFERROR(__xludf.DUMMYFUNCTION("""COMPUTED_VALUE"""),1)</f>
        <v>1</v>
      </c>
      <c r="J3163" s="8">
        <f ca="1">IFERROR(__xludf.DUMMYFUNCTION("""COMPUTED_VALUE"""),0)</f>
        <v>0</v>
      </c>
      <c r="K3163" s="10" t="str">
        <f ca="1">IFERROR(__xludf.DUMMYFUNCTION("""COMPUTED_VALUE"""),"https://www.newspapers.com/image/43852213/?terms=school%20shooting&amp;match=1")</f>
        <v>https://www.newspapers.com/image/43852213/?terms=school%20shooting&amp;match=1</v>
      </c>
      <c r="L3163" s="8"/>
      <c r="M3163" s="8" t="str">
        <f ca="1">IFERROR(__xludf.DUMMYFUNCTION("""COMPUTED_VALUE"""),"Local")</f>
        <v>Local</v>
      </c>
      <c r="N3163" s="8">
        <f ca="1">IFERROR(__xludf.DUMMYFUNCTION("""COMPUTED_VALUE"""),4)</f>
        <v>4</v>
      </c>
      <c r="O3163" s="8" t="str">
        <f ca="1">IFERROR(__xludf.DUMMYFUNCTION("""COMPUTED_VALUE"""),"Spring")</f>
        <v>Spring</v>
      </c>
      <c r="P3163" s="8" t="str">
        <f ca="1">IFERROR(__xludf.DUMMYFUNCTION("""COMPUTED_VALUE"""),"Waco")</f>
        <v>Waco</v>
      </c>
      <c r="Q3163" s="8" t="str">
        <f ca="1">IFERROR(__xludf.DUMMYFUNCTION("""COMPUTED_VALUE"""),"TX")</f>
        <v>TX</v>
      </c>
      <c r="R3163" s="8" t="str">
        <f ca="1">IFERROR(__xludf.DUMMYFUNCTION("""COMPUTED_VALUE"""),"High")</f>
        <v>High</v>
      </c>
      <c r="S3163" s="8" t="str">
        <f ca="1">IFERROR(__xludf.DUMMYFUNCTION("""COMPUTED_VALUE"""),"Parking Lot")</f>
        <v>Parking Lot</v>
      </c>
      <c r="T3163" s="8" t="str">
        <f ca="1">IFERROR(__xludf.DUMMYFUNCTION("""COMPUTED_VALUE"""),"Outside on School Property")</f>
        <v>Outside on School Property</v>
      </c>
      <c r="U3163" s="8" t="str">
        <f ca="1">IFERROR(__xludf.DUMMYFUNCTION("""COMPUTED_VALUE"""),"No")</f>
        <v>No</v>
      </c>
      <c r="V3163" s="8" t="str">
        <f ca="1">IFERROR(__xludf.DUMMYFUNCTION("""COMPUTED_VALUE"""),"Night")</f>
        <v>Night</v>
      </c>
      <c r="W3163" s="11">
        <f ca="1">IFERROR(__xludf.DUMMYFUNCTION("""COMPUTED_VALUE"""),0.0625)</f>
        <v>6.25E-2</v>
      </c>
      <c r="X3163" s="8">
        <f ca="1">IFERROR(__xludf.DUMMYFUNCTION("""COMPUTED_VALUE"""),1)</f>
        <v>1</v>
      </c>
      <c r="Y3163" s="12" t="str">
        <f ca="1">IFERROR(__xludf.DUMMYFUNCTION("""COMPUTED_VALUE"""),"Security guard fatally shot black man who he believed was going to burglarize the school")</f>
        <v>Security guard fatally shot black man who he believed was going to burglarize the school</v>
      </c>
      <c r="Z3163" s="12" t="str">
        <f ca="1">IFERROR(__xludf.DUMMYFUNCTION("""COMPUTED_VALUE"""),"Security guard fatally shot a black man (shot 3 times) in the school parking lot. Guard believed the man was going to burglarize the school.")</f>
        <v>Security guard fatally shot a black man (shot 3 times) in the school parking lot. Guard believed the man was going to burglarize the school.</v>
      </c>
      <c r="AA3163" s="8" t="str">
        <f ca="1">IFERROR(__xludf.DUMMYFUNCTION("""COMPUTED_VALUE"""),"Illegal Activity")</f>
        <v>Illegal Activity</v>
      </c>
      <c r="AB3163" s="8"/>
      <c r="AC3163" s="8" t="str">
        <f ca="1">IFERROR(__xludf.DUMMYFUNCTION("""COMPUTED_VALUE"""),"No")</f>
        <v>No</v>
      </c>
      <c r="AD3163" s="8" t="str">
        <f ca="1">IFERROR(__xludf.DUMMYFUNCTION("""COMPUTED_VALUE"""),"Victims Targeted")</f>
        <v>Victims Targeted</v>
      </c>
      <c r="AE3163" s="8" t="str">
        <f ca="1">IFERROR(__xludf.DUMMYFUNCTION("""COMPUTED_VALUE"""),"No")</f>
        <v>No</v>
      </c>
      <c r="AF3163" s="8"/>
      <c r="AG3163" s="8" t="str">
        <f ca="1">IFERROR(__xludf.DUMMYFUNCTION("""COMPUTED_VALUE"""),"No")</f>
        <v>No</v>
      </c>
      <c r="AH3163" s="8" t="str">
        <f ca="1">IFERROR(__xludf.DUMMYFUNCTION("""COMPUTED_VALUE"""),"No")</f>
        <v>No</v>
      </c>
      <c r="AI3163" s="8" t="str">
        <f ca="1">IFERROR(__xludf.DUMMYFUNCTION("""COMPUTED_VALUE"""),"Yes")</f>
        <v>Yes</v>
      </c>
      <c r="AJ3163" s="8" t="str">
        <f ca="1">IFERROR(__xludf.DUMMYFUNCTION("""COMPUTED_VALUE"""),"No")</f>
        <v>No</v>
      </c>
      <c r="AK3163" s="8" t="str">
        <f ca="1">IFERROR(__xludf.DUMMYFUNCTION("""COMPUTED_VALUE"""),"No")</f>
        <v>No</v>
      </c>
      <c r="AL3163" s="8" t="str">
        <f ca="1">IFERROR(__xludf.DUMMYFUNCTION("""COMPUTED_VALUE"""),"No")</f>
        <v>No</v>
      </c>
      <c r="AM3163" s="8" t="str">
        <f ca="1">IFERROR(__xludf.DUMMYFUNCTION("""COMPUTED_VALUE"""),"No")</f>
        <v>No</v>
      </c>
      <c r="AN3163" s="8" t="str">
        <f ca="1">IFERROR(__xludf.DUMMYFUNCTION("""COMPUTED_VALUE"""),"Outside")</f>
        <v>Outside</v>
      </c>
      <c r="AO3163" s="8" t="str">
        <f ca="1">IFERROR(__xludf.DUMMYFUNCTION("""COMPUTED_VALUE"""),"No")</f>
        <v>No</v>
      </c>
      <c r="AP3163" s="8" t="str">
        <f ca="1">IFERROR(__xludf.DUMMYFUNCTION("""COMPUTED_VALUE"""),"Yes")</f>
        <v>Yes</v>
      </c>
      <c r="AQ3163" s="8" t="str">
        <f ca="1">IFERROR(__xludf.DUMMYFUNCTION("""COMPUTED_VALUE"""),"Armed Guards")</f>
        <v>Armed Guards</v>
      </c>
      <c r="AR3163" s="8" t="str">
        <f ca="1">IFERROR(__xludf.DUMMYFUNCTION("""COMPUTED_VALUE"""),"Outside/Off-Property")</f>
        <v>Outside/Off-Property</v>
      </c>
      <c r="AS3163" s="8">
        <f ca="1">IFERROR(__xludf.DUMMYFUNCTION("""COMPUTED_VALUE"""),3)</f>
        <v>3</v>
      </c>
      <c r="AT3163" s="8"/>
      <c r="AU3163" s="8">
        <f ca="1">IFERROR(__xludf.DUMMYFUNCTION("""COMPUTED_VALUE"""),31.57954)</f>
        <v>31.579540000000001</v>
      </c>
      <c r="AV3163" s="8">
        <f ca="1">IFERROR(__xludf.DUMMYFUNCTION("""COMPUTED_VALUE"""),-97.130303)</f>
        <v>-97.130302999999998</v>
      </c>
      <c r="AW3163" s="8"/>
      <c r="AX3163" s="8">
        <f ca="1">IFERROR(__xludf.DUMMYFUNCTION("""COMPUTED_VALUE"""),76704)</f>
        <v>76704</v>
      </c>
    </row>
    <row r="3164" spans="1:50" ht="75" x14ac:dyDescent="0.2">
      <c r="A3164" s="8" t="str">
        <f ca="1">IFERROR(__xludf.DUMMYFUNCTION("""COMPUTED_VALUE"""),"19660311NCIRC")</f>
        <v>19660311NCIRC</v>
      </c>
      <c r="B3164" s="8">
        <f ca="1">IFERROR(__xludf.DUMMYFUNCTION("""COMPUTED_VALUE"""),3)</f>
        <v>3</v>
      </c>
      <c r="C3164" s="8">
        <f ca="1">IFERROR(__xludf.DUMMYFUNCTION("""COMPUTED_VALUE"""),11)</f>
        <v>11</v>
      </c>
      <c r="D3164" s="8">
        <f ca="1">IFERROR(__xludf.DUMMYFUNCTION("""COMPUTED_VALUE"""),1966)</f>
        <v>1966</v>
      </c>
      <c r="E3164" s="9">
        <f ca="1">IFERROR(__xludf.DUMMYFUNCTION("""COMPUTED_VALUE"""),24177)</f>
        <v>24177</v>
      </c>
      <c r="F3164" s="8" t="str">
        <f ca="1">IFERROR(__xludf.DUMMYFUNCTION("""COMPUTED_VALUE"""),"Irwing Avenue Junior High School")</f>
        <v>Irwing Avenue Junior High School</v>
      </c>
      <c r="G3164" s="8">
        <f ca="1">IFERROR(__xludf.DUMMYFUNCTION("""COMPUTED_VALUE"""),0)</f>
        <v>0</v>
      </c>
      <c r="H3164" s="8">
        <f ca="1">IFERROR(__xludf.DUMMYFUNCTION("""COMPUTED_VALUE"""),1)</f>
        <v>1</v>
      </c>
      <c r="I3164" s="8">
        <f ca="1">IFERROR(__xludf.DUMMYFUNCTION("""COMPUTED_VALUE"""),1)</f>
        <v>1</v>
      </c>
      <c r="J3164" s="8">
        <f ca="1">IFERROR(__xludf.DUMMYFUNCTION("""COMPUTED_VALUE"""),0)</f>
        <v>0</v>
      </c>
      <c r="K3164" s="10" t="str">
        <f ca="1">IFERROR(__xludf.DUMMYFUNCTION("""COMPUTED_VALUE"""),"https://www.newspapers.com/image/621110015/?terms=school%20shooting&amp;match=1")</f>
        <v>https://www.newspapers.com/image/621110015/?terms=school%20shooting&amp;match=1</v>
      </c>
      <c r="L3164" s="8"/>
      <c r="M3164" s="8" t="str">
        <f ca="1">IFERROR(__xludf.DUMMYFUNCTION("""COMPUTED_VALUE"""),"Regional")</f>
        <v>Regional</v>
      </c>
      <c r="N3164" s="8">
        <f ca="1">IFERROR(__xludf.DUMMYFUNCTION("""COMPUTED_VALUE"""),4)</f>
        <v>4</v>
      </c>
      <c r="O3164" s="8" t="str">
        <f ca="1">IFERROR(__xludf.DUMMYFUNCTION("""COMPUTED_VALUE"""),"Spring")</f>
        <v>Spring</v>
      </c>
      <c r="P3164" s="8" t="str">
        <f ca="1">IFERROR(__xludf.DUMMYFUNCTION("""COMPUTED_VALUE"""),"Charlotte")</f>
        <v>Charlotte</v>
      </c>
      <c r="Q3164" s="8" t="str">
        <f ca="1">IFERROR(__xludf.DUMMYFUNCTION("""COMPUTED_VALUE"""),"NC")</f>
        <v>NC</v>
      </c>
      <c r="R3164" s="8" t="str">
        <f ca="1">IFERROR(__xludf.DUMMYFUNCTION("""COMPUTED_VALUE"""),"High")</f>
        <v>High</v>
      </c>
      <c r="S3164" s="8" t="str">
        <f ca="1">IFERROR(__xludf.DUMMYFUNCTION("""COMPUTED_VALUE"""),"Field (General)")</f>
        <v>Field (General)</v>
      </c>
      <c r="T3164" s="8" t="str">
        <f ca="1">IFERROR(__xludf.DUMMYFUNCTION("""COMPUTED_VALUE"""),"Off School Property")</f>
        <v>Off School Property</v>
      </c>
      <c r="U3164" s="8" t="str">
        <f ca="1">IFERROR(__xludf.DUMMYFUNCTION("""COMPUTED_VALUE"""),"No")</f>
        <v>No</v>
      </c>
      <c r="V3164" s="8" t="str">
        <f ca="1">IFERROR(__xludf.DUMMYFUNCTION("""COMPUTED_VALUE"""),"After School")</f>
        <v>After School</v>
      </c>
      <c r="W3164" s="11">
        <f ca="1">IFERROR(__xludf.DUMMYFUNCTION("""COMPUTED_VALUE"""),0.708333333333333)</f>
        <v>0.70833333333333304</v>
      </c>
      <c r="X3164" s="8">
        <f ca="1">IFERROR(__xludf.DUMMYFUNCTION("""COMPUTED_VALUE"""),1)</f>
        <v>1</v>
      </c>
      <c r="Y3164" s="12" t="str">
        <f ca="1">IFERROR(__xludf.DUMMYFUNCTION("""COMPUTED_VALUE"""),"Drunk man fired 7 shots at students on the school baseball field, one student wounded")</f>
        <v>Drunk man fired 7 shots at students on the school baseball field, one student wounded</v>
      </c>
      <c r="Z3164" s="12" t="str">
        <f ca="1">IFERROR(__xludf.DUMMYFUNCTION("""COMPUTED_VALUE"""),"50-year-old man described as sniper fired 7 shots from a distance at student playing on the school baseball field. A 13-year-old student was wounded. Man was drunk when he was arrested.")</f>
        <v>50-year-old man described as sniper fired 7 shots from a distance at student playing on the school baseball field. A 13-year-old student was wounded. Man was drunk when he was arrested.</v>
      </c>
      <c r="AA3164" s="8" t="str">
        <f ca="1">IFERROR(__xludf.DUMMYFUNCTION("""COMPUTED_VALUE"""),"Indiscriminate Shooting")</f>
        <v>Indiscriminate Shooting</v>
      </c>
      <c r="AB3164" s="8"/>
      <c r="AC3164" s="8" t="str">
        <f ca="1">IFERROR(__xludf.DUMMYFUNCTION("""COMPUTED_VALUE"""),"Yes")</f>
        <v>Yes</v>
      </c>
      <c r="AD3164" s="8" t="str">
        <f ca="1">IFERROR(__xludf.DUMMYFUNCTION("""COMPUTED_VALUE"""),"Random Shooting")</f>
        <v>Random Shooting</v>
      </c>
      <c r="AE3164" s="8" t="str">
        <f ca="1">IFERROR(__xludf.DUMMYFUNCTION("""COMPUTED_VALUE"""),"No")</f>
        <v>No</v>
      </c>
      <c r="AF3164" s="8"/>
      <c r="AG3164" s="8" t="str">
        <f ca="1">IFERROR(__xludf.DUMMYFUNCTION("""COMPUTED_VALUE"""),"No")</f>
        <v>No</v>
      </c>
      <c r="AH3164" s="8" t="str">
        <f ca="1">IFERROR(__xludf.DUMMYFUNCTION("""COMPUTED_VALUE"""),"No")</f>
        <v>No</v>
      </c>
      <c r="AI3164" s="8" t="str">
        <f ca="1">IFERROR(__xludf.DUMMYFUNCTION("""COMPUTED_VALUE"""),"No")</f>
        <v>No</v>
      </c>
      <c r="AJ3164" s="8" t="str">
        <f ca="1">IFERROR(__xludf.DUMMYFUNCTION("""COMPUTED_VALUE"""),"No")</f>
        <v>No</v>
      </c>
      <c r="AK3164" s="8" t="str">
        <f ca="1">IFERROR(__xludf.DUMMYFUNCTION("""COMPUTED_VALUE"""),"No")</f>
        <v>No</v>
      </c>
      <c r="AL3164" s="8" t="str">
        <f ca="1">IFERROR(__xludf.DUMMYFUNCTION("""COMPUTED_VALUE"""),"No")</f>
        <v>No</v>
      </c>
      <c r="AM3164" s="8" t="str">
        <f ca="1">IFERROR(__xludf.DUMMYFUNCTION("""COMPUTED_VALUE"""),"Yes")</f>
        <v>Yes</v>
      </c>
      <c r="AN3164" s="8" t="str">
        <f ca="1">IFERROR(__xludf.DUMMYFUNCTION("""COMPUTED_VALUE"""),"Outside")</f>
        <v>Outside</v>
      </c>
      <c r="AO3164" s="8" t="str">
        <f ca="1">IFERROR(__xludf.DUMMYFUNCTION("""COMPUTED_VALUE"""),"No")</f>
        <v>No</v>
      </c>
      <c r="AP3164" s="8"/>
      <c r="AQ3164" s="8"/>
      <c r="AR3164" s="8"/>
      <c r="AS3164" s="8">
        <f ca="1">IFERROR(__xludf.DUMMYFUNCTION("""COMPUTED_VALUE"""),7)</f>
        <v>7</v>
      </c>
      <c r="AT3164" s="8"/>
      <c r="AU3164" s="8">
        <f ca="1">IFERROR(__xludf.DUMMYFUNCTION("""COMPUTED_VALUE"""),35.237069)</f>
        <v>35.237068999999998</v>
      </c>
      <c r="AV3164" s="8">
        <f ca="1">IFERROR(__xludf.DUMMYFUNCTION("""COMPUTED_VALUE"""),-80.850227)</f>
        <v>-80.850227000000004</v>
      </c>
      <c r="AW3164" s="8"/>
      <c r="AX3164" s="8">
        <f ca="1">IFERROR(__xludf.DUMMYFUNCTION("""COMPUTED_VALUE"""),28202)</f>
        <v>28202</v>
      </c>
    </row>
    <row r="3165" spans="1:50" ht="12.75" x14ac:dyDescent="0.2">
      <c r="A3165" s="2"/>
      <c r="B3165" s="2"/>
      <c r="C3165" s="2"/>
      <c r="D3165" s="2"/>
      <c r="E3165" s="2"/>
      <c r="F3165" s="2"/>
      <c r="G3165" s="2"/>
      <c r="H3165" s="2"/>
      <c r="I3165" s="2"/>
      <c r="J3165" s="2"/>
      <c r="K3165" s="2"/>
      <c r="L3165" s="2"/>
      <c r="M3165" s="2"/>
      <c r="N3165" s="2"/>
      <c r="O3165" s="2"/>
      <c r="P3165" s="2"/>
      <c r="Q3165" s="2"/>
      <c r="R3165" s="2"/>
      <c r="S3165" s="2"/>
      <c r="T3165" s="2"/>
      <c r="U3165" s="2"/>
      <c r="V3165" s="2"/>
      <c r="W3165" s="2"/>
      <c r="X3165" s="2"/>
      <c r="Y3165" s="1"/>
      <c r="Z3165" s="1"/>
      <c r="AA3165" s="2"/>
      <c r="AB3165" s="2"/>
      <c r="AC3165" s="2"/>
      <c r="AD3165" s="2"/>
      <c r="AE3165" s="2"/>
      <c r="AF3165" s="2"/>
      <c r="AG3165" s="2"/>
      <c r="AH3165" s="2"/>
      <c r="AI3165" s="2"/>
      <c r="AJ3165" s="2"/>
      <c r="AK3165" s="2"/>
      <c r="AL3165" s="2"/>
      <c r="AM3165" s="2"/>
      <c r="AN3165" s="2"/>
      <c r="AO3165" s="2"/>
      <c r="AP3165" s="2"/>
      <c r="AQ3165" s="2"/>
      <c r="AR3165" s="2"/>
      <c r="AS3165" s="2"/>
      <c r="AT3165" s="2"/>
      <c r="AU3165" s="2"/>
      <c r="AV3165" s="2"/>
      <c r="AW3165" s="2"/>
      <c r="AX3165" s="2"/>
    </row>
    <row r="3166" spans="1:50" ht="12.75" x14ac:dyDescent="0.2">
      <c r="A3166" s="2"/>
      <c r="B3166" s="2"/>
      <c r="C3166" s="2"/>
      <c r="D3166" s="2"/>
      <c r="E3166" s="2"/>
      <c r="F3166" s="2"/>
      <c r="G3166" s="2"/>
      <c r="H3166" s="2"/>
      <c r="I3166" s="2"/>
      <c r="J3166" s="2"/>
      <c r="K3166" s="2"/>
      <c r="L3166" s="2"/>
      <c r="M3166" s="2"/>
      <c r="N3166" s="2"/>
      <c r="O3166" s="2"/>
      <c r="P3166" s="2"/>
      <c r="Q3166" s="2"/>
      <c r="R3166" s="2"/>
      <c r="S3166" s="2"/>
      <c r="T3166" s="2"/>
      <c r="U3166" s="2"/>
      <c r="V3166" s="2"/>
      <c r="W3166" s="2"/>
      <c r="X3166" s="2"/>
      <c r="Y3166" s="1"/>
      <c r="Z3166" s="1"/>
      <c r="AA3166" s="2"/>
      <c r="AB3166" s="2"/>
      <c r="AC3166" s="2"/>
      <c r="AD3166" s="2"/>
      <c r="AE3166" s="2"/>
      <c r="AF3166" s="2"/>
      <c r="AG3166" s="2"/>
      <c r="AH3166" s="2"/>
      <c r="AI3166" s="2"/>
      <c r="AJ3166" s="2"/>
      <c r="AK3166" s="2"/>
      <c r="AL3166" s="2"/>
      <c r="AM3166" s="2"/>
      <c r="AN3166" s="2"/>
      <c r="AO3166" s="2"/>
      <c r="AP3166" s="2"/>
      <c r="AQ3166" s="2"/>
      <c r="AR3166" s="2"/>
      <c r="AS3166" s="2"/>
      <c r="AT3166" s="2"/>
      <c r="AU3166" s="2"/>
      <c r="AV3166" s="2"/>
      <c r="AW3166" s="2"/>
      <c r="AX3166" s="2"/>
    </row>
    <row r="3167" spans="1:50" ht="12.75" x14ac:dyDescent="0.2">
      <c r="A3167" s="2"/>
      <c r="B3167" s="2"/>
      <c r="C3167" s="2"/>
      <c r="D3167" s="2"/>
      <c r="E3167" s="2"/>
      <c r="F3167" s="2"/>
      <c r="G3167" s="2"/>
      <c r="H3167" s="2"/>
      <c r="I3167" s="2"/>
      <c r="J3167" s="2"/>
      <c r="K3167" s="2"/>
      <c r="L3167" s="2"/>
      <c r="M3167" s="2"/>
      <c r="N3167" s="2"/>
      <c r="O3167" s="2"/>
      <c r="P3167" s="2"/>
      <c r="Q3167" s="2"/>
      <c r="R3167" s="2"/>
      <c r="S3167" s="2"/>
      <c r="T3167" s="2"/>
      <c r="U3167" s="2"/>
      <c r="V3167" s="2"/>
      <c r="W3167" s="2"/>
      <c r="X3167" s="2"/>
      <c r="Y3167" s="1"/>
      <c r="Z3167" s="1"/>
      <c r="AA3167" s="2"/>
      <c r="AB3167" s="2"/>
      <c r="AC3167" s="2"/>
      <c r="AD3167" s="2"/>
      <c r="AE3167" s="2"/>
      <c r="AF3167" s="2"/>
      <c r="AG3167" s="2"/>
      <c r="AH3167" s="2"/>
      <c r="AI3167" s="2"/>
      <c r="AJ3167" s="2"/>
      <c r="AK3167" s="2"/>
      <c r="AL3167" s="2"/>
      <c r="AM3167" s="2"/>
      <c r="AN3167" s="2"/>
      <c r="AO3167" s="2"/>
      <c r="AP3167" s="2"/>
      <c r="AQ3167" s="2"/>
      <c r="AR3167" s="2"/>
      <c r="AS3167" s="2"/>
      <c r="AT3167" s="2"/>
      <c r="AU3167" s="2"/>
      <c r="AV3167" s="2"/>
      <c r="AW3167" s="2"/>
      <c r="AX3167" s="2"/>
    </row>
    <row r="3168" spans="1:50" ht="12.75" x14ac:dyDescent="0.2">
      <c r="A3168" s="2"/>
      <c r="B3168" s="2"/>
      <c r="C3168" s="2"/>
      <c r="D3168" s="2"/>
      <c r="E3168" s="2"/>
      <c r="F3168" s="2"/>
      <c r="G3168" s="2"/>
      <c r="H3168" s="2"/>
      <c r="I3168" s="2"/>
      <c r="J3168" s="2"/>
      <c r="K3168" s="2"/>
      <c r="L3168" s="2"/>
      <c r="M3168" s="2"/>
      <c r="N3168" s="2"/>
      <c r="O3168" s="2"/>
      <c r="P3168" s="2"/>
      <c r="Q3168" s="2"/>
      <c r="R3168" s="2"/>
      <c r="S3168" s="2"/>
      <c r="T3168" s="2"/>
      <c r="U3168" s="2"/>
      <c r="V3168" s="2"/>
      <c r="W3168" s="2"/>
      <c r="X3168" s="2"/>
      <c r="Y3168" s="1"/>
      <c r="Z3168" s="1"/>
      <c r="AA3168" s="2"/>
      <c r="AB3168" s="2"/>
      <c r="AC3168" s="2"/>
      <c r="AD3168" s="2"/>
      <c r="AE3168" s="2"/>
      <c r="AF3168" s="2"/>
      <c r="AG3168" s="2"/>
      <c r="AH3168" s="2"/>
      <c r="AI3168" s="2"/>
      <c r="AJ3168" s="2"/>
      <c r="AK3168" s="2"/>
      <c r="AL3168" s="2"/>
      <c r="AM3168" s="2"/>
      <c r="AN3168" s="2"/>
      <c r="AO3168" s="2"/>
      <c r="AP3168" s="2"/>
      <c r="AQ3168" s="2"/>
      <c r="AR3168" s="2"/>
      <c r="AS3168" s="2"/>
      <c r="AT3168" s="2"/>
      <c r="AU3168" s="2"/>
      <c r="AV3168" s="2"/>
      <c r="AW3168" s="2"/>
      <c r="AX3168" s="2"/>
    </row>
    <row r="3169" spans="1:50" ht="12.75" x14ac:dyDescent="0.2">
      <c r="A3169" s="2"/>
      <c r="B3169" s="2"/>
      <c r="C3169" s="2"/>
      <c r="D3169" s="2"/>
      <c r="E3169" s="2"/>
      <c r="F3169" s="2"/>
      <c r="G3169" s="2"/>
      <c r="H3169" s="2"/>
      <c r="I3169" s="2"/>
      <c r="J3169" s="2"/>
      <c r="K3169" s="2"/>
      <c r="L3169" s="2"/>
      <c r="M3169" s="2"/>
      <c r="N3169" s="2"/>
      <c r="O3169" s="2"/>
      <c r="P3169" s="2"/>
      <c r="Q3169" s="2"/>
      <c r="R3169" s="2"/>
      <c r="S3169" s="2"/>
      <c r="T3169" s="2"/>
      <c r="U3169" s="2"/>
      <c r="V3169" s="2"/>
      <c r="W3169" s="2"/>
      <c r="X3169" s="2"/>
      <c r="Y3169" s="1"/>
      <c r="Z3169" s="1"/>
      <c r="AA3169" s="2"/>
      <c r="AB3169" s="2"/>
      <c r="AC3169" s="2"/>
      <c r="AD3169" s="2"/>
      <c r="AE3169" s="2"/>
      <c r="AF3169" s="2"/>
      <c r="AG3169" s="2"/>
      <c r="AH3169" s="2"/>
      <c r="AI3169" s="2"/>
      <c r="AJ3169" s="2"/>
      <c r="AK3169" s="2"/>
      <c r="AL3169" s="2"/>
      <c r="AM3169" s="2"/>
      <c r="AN3169" s="2"/>
      <c r="AO3169" s="2"/>
      <c r="AP3169" s="2"/>
      <c r="AQ3169" s="2"/>
      <c r="AR3169" s="2"/>
      <c r="AS3169" s="2"/>
      <c r="AT3169" s="2"/>
      <c r="AU3169" s="2"/>
      <c r="AV3169" s="2"/>
      <c r="AW3169" s="2"/>
      <c r="AX3169" s="2"/>
    </row>
    <row r="3170" spans="1:50" ht="12.75" x14ac:dyDescent="0.2">
      <c r="A3170" s="2"/>
      <c r="B3170" s="2"/>
      <c r="C3170" s="2"/>
      <c r="D3170" s="2"/>
      <c r="E3170" s="2"/>
      <c r="F3170" s="2"/>
      <c r="G3170" s="2"/>
      <c r="H3170" s="2"/>
      <c r="I3170" s="2"/>
      <c r="J3170" s="2"/>
      <c r="K3170" s="2"/>
      <c r="L3170" s="2"/>
      <c r="M3170" s="2"/>
      <c r="N3170" s="2"/>
      <c r="O3170" s="2"/>
      <c r="P3170" s="2"/>
      <c r="Q3170" s="2"/>
      <c r="R3170" s="2"/>
      <c r="S3170" s="2"/>
      <c r="T3170" s="2"/>
      <c r="U3170" s="2"/>
      <c r="V3170" s="2"/>
      <c r="W3170" s="2"/>
      <c r="X3170" s="2"/>
      <c r="Y3170" s="1"/>
      <c r="Z3170" s="1"/>
      <c r="AA3170" s="2"/>
      <c r="AB3170" s="2"/>
      <c r="AC3170" s="2"/>
      <c r="AD3170" s="2"/>
      <c r="AE3170" s="2"/>
      <c r="AF3170" s="2"/>
      <c r="AG3170" s="2"/>
      <c r="AH3170" s="2"/>
      <c r="AI3170" s="2"/>
      <c r="AJ3170" s="2"/>
      <c r="AK3170" s="2"/>
      <c r="AL3170" s="2"/>
      <c r="AM3170" s="2"/>
      <c r="AN3170" s="2"/>
      <c r="AO3170" s="2"/>
      <c r="AP3170" s="2"/>
      <c r="AQ3170" s="2"/>
      <c r="AR3170" s="2"/>
      <c r="AS3170" s="2"/>
      <c r="AT3170" s="2"/>
      <c r="AU3170" s="2"/>
      <c r="AV3170" s="2"/>
      <c r="AW3170" s="2"/>
      <c r="AX3170" s="2"/>
    </row>
    <row r="3171" spans="1:50" ht="12.75" x14ac:dyDescent="0.2">
      <c r="A3171" s="2"/>
      <c r="B3171" s="2"/>
      <c r="C3171" s="2"/>
      <c r="D3171" s="2"/>
      <c r="E3171" s="2"/>
      <c r="F3171" s="2"/>
      <c r="G3171" s="2"/>
      <c r="H3171" s="2"/>
      <c r="I3171" s="2"/>
      <c r="J3171" s="2"/>
      <c r="K3171" s="2"/>
      <c r="L3171" s="2"/>
      <c r="M3171" s="2"/>
      <c r="N3171" s="2"/>
      <c r="O3171" s="2"/>
      <c r="P3171" s="2"/>
      <c r="Q3171" s="2"/>
      <c r="R3171" s="2"/>
      <c r="S3171" s="2"/>
      <c r="T3171" s="2"/>
      <c r="U3171" s="2"/>
      <c r="V3171" s="2"/>
      <c r="W3171" s="2"/>
      <c r="X3171" s="2"/>
      <c r="Y3171" s="1"/>
      <c r="Z3171" s="1"/>
      <c r="AA3171" s="2"/>
      <c r="AB3171" s="2"/>
      <c r="AC3171" s="2"/>
      <c r="AD3171" s="2"/>
      <c r="AE3171" s="2"/>
      <c r="AF3171" s="2"/>
      <c r="AG3171" s="2"/>
      <c r="AH3171" s="2"/>
      <c r="AI3171" s="2"/>
      <c r="AJ3171" s="2"/>
      <c r="AK3171" s="2"/>
      <c r="AL3171" s="2"/>
      <c r="AM3171" s="2"/>
      <c r="AN3171" s="2"/>
      <c r="AO3171" s="2"/>
      <c r="AP3171" s="2"/>
      <c r="AQ3171" s="2"/>
      <c r="AR3171" s="2"/>
      <c r="AS3171" s="2"/>
      <c r="AT3171" s="2"/>
      <c r="AU3171" s="2"/>
      <c r="AV3171" s="2"/>
      <c r="AW3171" s="2"/>
      <c r="AX3171" s="2"/>
    </row>
    <row r="3172" spans="1:50" ht="12.75" x14ac:dyDescent="0.2">
      <c r="A3172" s="2"/>
      <c r="B3172" s="2"/>
      <c r="C3172" s="2"/>
      <c r="D3172" s="2"/>
      <c r="E3172" s="2"/>
      <c r="F3172" s="2"/>
      <c r="G3172" s="2"/>
      <c r="H3172" s="2"/>
      <c r="I3172" s="2"/>
      <c r="J3172" s="2"/>
      <c r="K3172" s="2"/>
      <c r="L3172" s="2"/>
      <c r="M3172" s="2"/>
      <c r="N3172" s="2"/>
      <c r="O3172" s="2"/>
      <c r="P3172" s="2"/>
      <c r="Q3172" s="2"/>
      <c r="R3172" s="2"/>
      <c r="S3172" s="2"/>
      <c r="T3172" s="2"/>
      <c r="U3172" s="2"/>
      <c r="V3172" s="2"/>
      <c r="W3172" s="2"/>
      <c r="X3172" s="2"/>
      <c r="Y3172" s="1"/>
      <c r="Z3172" s="1"/>
      <c r="AA3172" s="2"/>
      <c r="AB3172" s="2"/>
      <c r="AC3172" s="2"/>
      <c r="AD3172" s="2"/>
      <c r="AE3172" s="2"/>
      <c r="AF3172" s="2"/>
      <c r="AG3172" s="2"/>
      <c r="AH3172" s="2"/>
      <c r="AI3172" s="2"/>
      <c r="AJ3172" s="2"/>
      <c r="AK3172" s="2"/>
      <c r="AL3172" s="2"/>
      <c r="AM3172" s="2"/>
      <c r="AN3172" s="2"/>
      <c r="AO3172" s="2"/>
      <c r="AP3172" s="2"/>
      <c r="AQ3172" s="2"/>
      <c r="AR3172" s="2"/>
      <c r="AS3172" s="2"/>
      <c r="AT3172" s="2"/>
      <c r="AU3172" s="2"/>
      <c r="AV3172" s="2"/>
      <c r="AW3172" s="2"/>
      <c r="AX3172" s="2"/>
    </row>
    <row r="3173" spans="1:50" ht="12.75" x14ac:dyDescent="0.2">
      <c r="A3173" s="2"/>
      <c r="B3173" s="2"/>
      <c r="C3173" s="2"/>
      <c r="D3173" s="2"/>
      <c r="E3173" s="2"/>
      <c r="F3173" s="2"/>
      <c r="G3173" s="2"/>
      <c r="H3173" s="2"/>
      <c r="I3173" s="2"/>
      <c r="J3173" s="2"/>
      <c r="K3173" s="2"/>
      <c r="L3173" s="2"/>
      <c r="M3173" s="2"/>
      <c r="N3173" s="2"/>
      <c r="O3173" s="2"/>
      <c r="P3173" s="2"/>
      <c r="Q3173" s="2"/>
      <c r="R3173" s="2"/>
      <c r="S3173" s="2"/>
      <c r="T3173" s="2"/>
      <c r="U3173" s="2"/>
      <c r="V3173" s="2"/>
      <c r="W3173" s="2"/>
      <c r="X3173" s="2"/>
      <c r="Y3173" s="1"/>
      <c r="Z3173" s="1"/>
      <c r="AA3173" s="2"/>
      <c r="AB3173" s="2"/>
      <c r="AC3173" s="2"/>
      <c r="AD3173" s="2"/>
      <c r="AE3173" s="2"/>
      <c r="AF3173" s="2"/>
      <c r="AG3173" s="2"/>
      <c r="AH3173" s="2"/>
      <c r="AI3173" s="2"/>
      <c r="AJ3173" s="2"/>
      <c r="AK3173" s="2"/>
      <c r="AL3173" s="2"/>
      <c r="AM3173" s="2"/>
      <c r="AN3173" s="2"/>
      <c r="AO3173" s="2"/>
      <c r="AP3173" s="2"/>
      <c r="AQ3173" s="2"/>
      <c r="AR3173" s="2"/>
      <c r="AS3173" s="2"/>
      <c r="AT3173" s="2"/>
      <c r="AU3173" s="2"/>
      <c r="AV3173" s="2"/>
      <c r="AW3173" s="2"/>
      <c r="AX3173" s="2"/>
    </row>
    <row r="3174" spans="1:50" ht="12.75" x14ac:dyDescent="0.2">
      <c r="A3174" s="2"/>
      <c r="B3174" s="2"/>
      <c r="C3174" s="2"/>
      <c r="D3174" s="2"/>
      <c r="E3174" s="2"/>
      <c r="F3174" s="2"/>
      <c r="G3174" s="2"/>
      <c r="H3174" s="2"/>
      <c r="I3174" s="2"/>
      <c r="J3174" s="2"/>
      <c r="K3174" s="2"/>
      <c r="L3174" s="2"/>
      <c r="M3174" s="2"/>
      <c r="N3174" s="2"/>
      <c r="O3174" s="2"/>
      <c r="P3174" s="2"/>
      <c r="Q3174" s="2"/>
      <c r="R3174" s="2"/>
      <c r="S3174" s="2"/>
      <c r="T3174" s="2"/>
      <c r="U3174" s="2"/>
      <c r="V3174" s="2"/>
      <c r="W3174" s="2"/>
      <c r="X3174" s="2"/>
      <c r="Y3174" s="1"/>
      <c r="Z3174" s="1"/>
      <c r="AA3174" s="2"/>
      <c r="AB3174" s="2"/>
      <c r="AC3174" s="2"/>
      <c r="AD3174" s="2"/>
      <c r="AE3174" s="2"/>
      <c r="AF3174" s="2"/>
      <c r="AG3174" s="2"/>
      <c r="AH3174" s="2"/>
      <c r="AI3174" s="2"/>
      <c r="AJ3174" s="2"/>
      <c r="AK3174" s="2"/>
      <c r="AL3174" s="2"/>
      <c r="AM3174" s="2"/>
      <c r="AN3174" s="2"/>
      <c r="AO3174" s="2"/>
      <c r="AP3174" s="2"/>
      <c r="AQ3174" s="2"/>
      <c r="AR3174" s="2"/>
      <c r="AS3174" s="2"/>
      <c r="AT3174" s="2"/>
      <c r="AU3174" s="2"/>
      <c r="AV3174" s="2"/>
      <c r="AW3174" s="2"/>
      <c r="AX3174" s="2"/>
    </row>
    <row r="3175" spans="1:50" ht="12.75" x14ac:dyDescent="0.2">
      <c r="A3175" s="2"/>
      <c r="B3175" s="2"/>
      <c r="C3175" s="2"/>
      <c r="D3175" s="2"/>
      <c r="E3175" s="2"/>
      <c r="F3175" s="2"/>
      <c r="G3175" s="2"/>
      <c r="H3175" s="2"/>
      <c r="I3175" s="2"/>
      <c r="J3175" s="2"/>
      <c r="K3175" s="2"/>
      <c r="L3175" s="2"/>
      <c r="M3175" s="2"/>
      <c r="N3175" s="2"/>
      <c r="O3175" s="2"/>
      <c r="P3175" s="2"/>
      <c r="Q3175" s="2"/>
      <c r="R3175" s="2"/>
      <c r="S3175" s="2"/>
      <c r="T3175" s="2"/>
      <c r="U3175" s="2"/>
      <c r="V3175" s="2"/>
      <c r="W3175" s="2"/>
      <c r="X3175" s="2"/>
      <c r="Y3175" s="1"/>
      <c r="Z3175" s="1"/>
      <c r="AA3175" s="2"/>
      <c r="AB3175" s="2"/>
      <c r="AC3175" s="2"/>
      <c r="AD3175" s="2"/>
      <c r="AE3175" s="2"/>
      <c r="AF3175" s="2"/>
      <c r="AG3175" s="2"/>
      <c r="AH3175" s="2"/>
      <c r="AI3175" s="2"/>
      <c r="AJ3175" s="2"/>
      <c r="AK3175" s="2"/>
      <c r="AL3175" s="2"/>
      <c r="AM3175" s="2"/>
      <c r="AN3175" s="2"/>
      <c r="AO3175" s="2"/>
      <c r="AP3175" s="2"/>
      <c r="AQ3175" s="2"/>
      <c r="AR3175" s="2"/>
      <c r="AS3175" s="2"/>
      <c r="AT3175" s="2"/>
      <c r="AU3175" s="2"/>
      <c r="AV3175" s="2"/>
      <c r="AW3175" s="2"/>
      <c r="AX3175" s="2"/>
    </row>
    <row r="3176" spans="1:50" ht="12.75" x14ac:dyDescent="0.2">
      <c r="A3176" s="2"/>
      <c r="B3176" s="2"/>
      <c r="C3176" s="2"/>
      <c r="D3176" s="2"/>
      <c r="E3176" s="2"/>
      <c r="F3176" s="2"/>
      <c r="G3176" s="2"/>
      <c r="H3176" s="2"/>
      <c r="I3176" s="2"/>
      <c r="J3176" s="2"/>
      <c r="K3176" s="2"/>
      <c r="L3176" s="2"/>
      <c r="M3176" s="2"/>
      <c r="N3176" s="2"/>
      <c r="O3176" s="2"/>
      <c r="P3176" s="2"/>
      <c r="Q3176" s="2"/>
      <c r="R3176" s="2"/>
      <c r="S3176" s="2"/>
      <c r="T3176" s="2"/>
      <c r="U3176" s="2"/>
      <c r="V3176" s="2"/>
      <c r="W3176" s="2"/>
      <c r="X3176" s="2"/>
      <c r="Y3176" s="1"/>
      <c r="Z3176" s="1"/>
      <c r="AA3176" s="2"/>
      <c r="AB3176" s="2"/>
      <c r="AC3176" s="2"/>
      <c r="AD3176" s="2"/>
      <c r="AE3176" s="2"/>
      <c r="AF3176" s="2"/>
      <c r="AG3176" s="2"/>
      <c r="AH3176" s="2"/>
      <c r="AI3176" s="2"/>
      <c r="AJ3176" s="2"/>
      <c r="AK3176" s="2"/>
      <c r="AL3176" s="2"/>
      <c r="AM3176" s="2"/>
      <c r="AN3176" s="2"/>
      <c r="AO3176" s="2"/>
      <c r="AP3176" s="2"/>
      <c r="AQ3176" s="2"/>
      <c r="AR3176" s="2"/>
      <c r="AS3176" s="2"/>
      <c r="AT3176" s="2"/>
      <c r="AU3176" s="2"/>
      <c r="AV3176" s="2"/>
      <c r="AW3176" s="2"/>
      <c r="AX3176" s="2"/>
    </row>
    <row r="3177" spans="1:50" ht="12.75" x14ac:dyDescent="0.2">
      <c r="A3177" s="2"/>
      <c r="B3177" s="2"/>
      <c r="C3177" s="2"/>
      <c r="D3177" s="2"/>
      <c r="E3177" s="2"/>
      <c r="F3177" s="2"/>
      <c r="G3177" s="2"/>
      <c r="H3177" s="2"/>
      <c r="I3177" s="2"/>
      <c r="J3177" s="2"/>
      <c r="K3177" s="2"/>
      <c r="L3177" s="2"/>
      <c r="M3177" s="2"/>
      <c r="N3177" s="2"/>
      <c r="O3177" s="2"/>
      <c r="P3177" s="2"/>
      <c r="Q3177" s="2"/>
      <c r="R3177" s="2"/>
      <c r="S3177" s="2"/>
      <c r="T3177" s="2"/>
      <c r="U3177" s="2"/>
      <c r="V3177" s="2"/>
      <c r="W3177" s="2"/>
      <c r="X3177" s="2"/>
      <c r="Y3177" s="1"/>
      <c r="Z3177" s="1"/>
      <c r="AA3177" s="2"/>
      <c r="AB3177" s="2"/>
      <c r="AC3177" s="2"/>
      <c r="AD3177" s="2"/>
      <c r="AE3177" s="2"/>
      <c r="AF3177" s="2"/>
      <c r="AG3177" s="2"/>
      <c r="AH3177" s="2"/>
      <c r="AI3177" s="2"/>
      <c r="AJ3177" s="2"/>
      <c r="AK3177" s="2"/>
      <c r="AL3177" s="2"/>
      <c r="AM3177" s="2"/>
      <c r="AN3177" s="2"/>
      <c r="AO3177" s="2"/>
      <c r="AP3177" s="2"/>
      <c r="AQ3177" s="2"/>
      <c r="AR3177" s="2"/>
      <c r="AS3177" s="2"/>
      <c r="AT3177" s="2"/>
      <c r="AU3177" s="2"/>
      <c r="AV3177" s="2"/>
      <c r="AW3177" s="2"/>
      <c r="AX3177" s="2"/>
    </row>
    <row r="3178" spans="1:50" ht="12.75" x14ac:dyDescent="0.2">
      <c r="A3178" s="2"/>
      <c r="B3178" s="2"/>
      <c r="C3178" s="2"/>
      <c r="D3178" s="2"/>
      <c r="E3178" s="2"/>
      <c r="F3178" s="2"/>
      <c r="G3178" s="2"/>
      <c r="H3178" s="2"/>
      <c r="I3178" s="2"/>
      <c r="J3178" s="2"/>
      <c r="K3178" s="2"/>
      <c r="L3178" s="2"/>
      <c r="M3178" s="2"/>
      <c r="N3178" s="2"/>
      <c r="O3178" s="2"/>
      <c r="P3178" s="2"/>
      <c r="Q3178" s="2"/>
      <c r="R3178" s="2"/>
      <c r="S3178" s="2"/>
      <c r="T3178" s="2"/>
      <c r="U3178" s="2"/>
      <c r="V3178" s="2"/>
      <c r="W3178" s="2"/>
      <c r="X3178" s="2"/>
      <c r="Y3178" s="1"/>
      <c r="Z3178" s="1"/>
      <c r="AA3178" s="2"/>
      <c r="AB3178" s="2"/>
      <c r="AC3178" s="2"/>
      <c r="AD3178" s="2"/>
      <c r="AE3178" s="2"/>
      <c r="AF3178" s="2"/>
      <c r="AG3178" s="2"/>
      <c r="AH3178" s="2"/>
      <c r="AI3178" s="2"/>
      <c r="AJ3178" s="2"/>
      <c r="AK3178" s="2"/>
      <c r="AL3178" s="2"/>
      <c r="AM3178" s="2"/>
      <c r="AN3178" s="2"/>
      <c r="AO3178" s="2"/>
      <c r="AP3178" s="2"/>
      <c r="AQ3178" s="2"/>
      <c r="AR3178" s="2"/>
      <c r="AS3178" s="2"/>
      <c r="AT3178" s="2"/>
      <c r="AU3178" s="2"/>
      <c r="AV3178" s="2"/>
      <c r="AW3178" s="2"/>
      <c r="AX3178" s="2"/>
    </row>
    <row r="3179" spans="1:50" ht="12.75" x14ac:dyDescent="0.2">
      <c r="A3179" s="2"/>
      <c r="B3179" s="2"/>
      <c r="C3179" s="2"/>
      <c r="D3179" s="2"/>
      <c r="E3179" s="2"/>
      <c r="F3179" s="2"/>
      <c r="G3179" s="2"/>
      <c r="H3179" s="2"/>
      <c r="I3179" s="2"/>
      <c r="J3179" s="2"/>
      <c r="K3179" s="2"/>
      <c r="L3179" s="2"/>
      <c r="M3179" s="2"/>
      <c r="N3179" s="2"/>
      <c r="O3179" s="2"/>
      <c r="P3179" s="2"/>
      <c r="Q3179" s="2"/>
      <c r="R3179" s="2"/>
      <c r="S3179" s="2"/>
      <c r="T3179" s="2"/>
      <c r="U3179" s="2"/>
      <c r="V3179" s="2"/>
      <c r="W3179" s="2"/>
      <c r="X3179" s="2"/>
      <c r="Y3179" s="1"/>
      <c r="Z3179" s="1"/>
      <c r="AA3179" s="2"/>
      <c r="AB3179" s="2"/>
      <c r="AC3179" s="2"/>
      <c r="AD3179" s="2"/>
      <c r="AE3179" s="2"/>
      <c r="AF3179" s="2"/>
      <c r="AG3179" s="2"/>
      <c r="AH3179" s="2"/>
      <c r="AI3179" s="2"/>
      <c r="AJ3179" s="2"/>
      <c r="AK3179" s="2"/>
      <c r="AL3179" s="2"/>
      <c r="AM3179" s="2"/>
      <c r="AN3179" s="2"/>
      <c r="AO3179" s="2"/>
      <c r="AP3179" s="2"/>
      <c r="AQ3179" s="2"/>
      <c r="AR3179" s="2"/>
      <c r="AS3179" s="2"/>
      <c r="AT3179" s="2"/>
      <c r="AU3179" s="2"/>
      <c r="AV3179" s="2"/>
      <c r="AW3179" s="2"/>
      <c r="AX3179" s="2"/>
    </row>
    <row r="3180" spans="1:50" ht="12.75" x14ac:dyDescent="0.2">
      <c r="A3180" s="2"/>
      <c r="B3180" s="2"/>
      <c r="C3180" s="2"/>
      <c r="D3180" s="2"/>
      <c r="E3180" s="2"/>
      <c r="F3180" s="2"/>
      <c r="G3180" s="2"/>
      <c r="H3180" s="2"/>
      <c r="I3180" s="2"/>
      <c r="J3180" s="2"/>
      <c r="K3180" s="2"/>
      <c r="L3180" s="2"/>
      <c r="M3180" s="2"/>
      <c r="N3180" s="2"/>
      <c r="O3180" s="2"/>
      <c r="P3180" s="2"/>
      <c r="Q3180" s="2"/>
      <c r="R3180" s="2"/>
      <c r="S3180" s="2"/>
      <c r="T3180" s="2"/>
      <c r="U3180" s="2"/>
      <c r="V3180" s="2"/>
      <c r="W3180" s="2"/>
      <c r="X3180" s="2"/>
      <c r="Y3180" s="1"/>
      <c r="Z3180" s="1"/>
      <c r="AA3180" s="2"/>
      <c r="AB3180" s="2"/>
      <c r="AC3180" s="2"/>
      <c r="AD3180" s="2"/>
      <c r="AE3180" s="2"/>
      <c r="AF3180" s="2"/>
      <c r="AG3180" s="2"/>
      <c r="AH3180" s="2"/>
      <c r="AI3180" s="2"/>
      <c r="AJ3180" s="2"/>
      <c r="AK3180" s="2"/>
      <c r="AL3180" s="2"/>
      <c r="AM3180" s="2"/>
      <c r="AN3180" s="2"/>
      <c r="AO3180" s="2"/>
      <c r="AP3180" s="2"/>
      <c r="AQ3180" s="2"/>
      <c r="AR3180" s="2"/>
      <c r="AS3180" s="2"/>
      <c r="AT3180" s="2"/>
      <c r="AU3180" s="2"/>
      <c r="AV3180" s="2"/>
      <c r="AW3180" s="2"/>
      <c r="AX3180" s="2"/>
    </row>
    <row r="3181" spans="1:50" ht="12.75" x14ac:dyDescent="0.2">
      <c r="A3181" s="2"/>
      <c r="B3181" s="2"/>
      <c r="C3181" s="2"/>
      <c r="D3181" s="2"/>
      <c r="E3181" s="2"/>
      <c r="F3181" s="2"/>
      <c r="G3181" s="2"/>
      <c r="H3181" s="2"/>
      <c r="I3181" s="2"/>
      <c r="J3181" s="2"/>
      <c r="K3181" s="2"/>
      <c r="L3181" s="2"/>
      <c r="M3181" s="2"/>
      <c r="N3181" s="2"/>
      <c r="O3181" s="2"/>
      <c r="P3181" s="2"/>
      <c r="Q3181" s="2"/>
      <c r="R3181" s="2"/>
      <c r="S3181" s="2"/>
      <c r="T3181" s="2"/>
      <c r="U3181" s="2"/>
      <c r="V3181" s="2"/>
      <c r="W3181" s="2"/>
      <c r="X3181" s="2"/>
      <c r="Y3181" s="1"/>
      <c r="Z3181" s="1"/>
      <c r="AA3181" s="2"/>
      <c r="AB3181" s="2"/>
      <c r="AC3181" s="2"/>
      <c r="AD3181" s="2"/>
      <c r="AE3181" s="2"/>
      <c r="AF3181" s="2"/>
      <c r="AG3181" s="2"/>
      <c r="AH3181" s="2"/>
      <c r="AI3181" s="2"/>
      <c r="AJ3181" s="2"/>
      <c r="AK3181" s="2"/>
      <c r="AL3181" s="2"/>
      <c r="AM3181" s="2"/>
      <c r="AN3181" s="2"/>
      <c r="AO3181" s="2"/>
      <c r="AP3181" s="2"/>
      <c r="AQ3181" s="2"/>
      <c r="AR3181" s="2"/>
      <c r="AS3181" s="2"/>
      <c r="AT3181" s="2"/>
      <c r="AU3181" s="2"/>
      <c r="AV3181" s="2"/>
      <c r="AW3181" s="2"/>
      <c r="AX3181" s="2"/>
    </row>
    <row r="3182" spans="1:50" ht="12.75" x14ac:dyDescent="0.2">
      <c r="A3182" s="2"/>
      <c r="B3182" s="2"/>
      <c r="C3182" s="2"/>
      <c r="D3182" s="2"/>
      <c r="E3182" s="2"/>
      <c r="F3182" s="2"/>
      <c r="G3182" s="2"/>
      <c r="H3182" s="2"/>
      <c r="I3182" s="2"/>
      <c r="J3182" s="2"/>
      <c r="K3182" s="2"/>
      <c r="L3182" s="2"/>
      <c r="M3182" s="2"/>
      <c r="N3182" s="2"/>
      <c r="O3182" s="2"/>
      <c r="P3182" s="2"/>
      <c r="Q3182" s="2"/>
      <c r="R3182" s="2"/>
      <c r="S3182" s="2"/>
      <c r="T3182" s="2"/>
      <c r="U3182" s="2"/>
      <c r="V3182" s="2"/>
      <c r="W3182" s="2"/>
      <c r="X3182" s="2"/>
      <c r="Y3182" s="1"/>
      <c r="Z3182" s="1"/>
      <c r="AA3182" s="2"/>
      <c r="AB3182" s="2"/>
      <c r="AC3182" s="2"/>
      <c r="AD3182" s="2"/>
      <c r="AE3182" s="2"/>
      <c r="AF3182" s="2"/>
      <c r="AG3182" s="2"/>
      <c r="AH3182" s="2"/>
      <c r="AI3182" s="2"/>
      <c r="AJ3182" s="2"/>
      <c r="AK3182" s="2"/>
      <c r="AL3182" s="2"/>
      <c r="AM3182" s="2"/>
      <c r="AN3182" s="2"/>
      <c r="AO3182" s="2"/>
      <c r="AP3182" s="2"/>
      <c r="AQ3182" s="2"/>
      <c r="AR3182" s="2"/>
      <c r="AS3182" s="2"/>
      <c r="AT3182" s="2"/>
      <c r="AU3182" s="2"/>
      <c r="AV3182" s="2"/>
      <c r="AW3182" s="2"/>
      <c r="AX3182" s="2"/>
    </row>
    <row r="3183" spans="1:50" ht="12.75" x14ac:dyDescent="0.2">
      <c r="A3183" s="2"/>
      <c r="B3183" s="2"/>
      <c r="C3183" s="2"/>
      <c r="D3183" s="2"/>
      <c r="E3183" s="2"/>
      <c r="F3183" s="2"/>
      <c r="G3183" s="2"/>
      <c r="H3183" s="2"/>
      <c r="I3183" s="2"/>
      <c r="J3183" s="2"/>
      <c r="K3183" s="2"/>
      <c r="L3183" s="2"/>
      <c r="M3183" s="2"/>
      <c r="N3183" s="2"/>
      <c r="O3183" s="2"/>
      <c r="P3183" s="2"/>
      <c r="Q3183" s="2"/>
      <c r="R3183" s="2"/>
      <c r="S3183" s="2"/>
      <c r="T3183" s="2"/>
      <c r="U3183" s="2"/>
      <c r="V3183" s="2"/>
      <c r="W3183" s="2"/>
      <c r="X3183" s="2"/>
      <c r="Y3183" s="1"/>
      <c r="Z3183" s="1"/>
      <c r="AA3183" s="2"/>
      <c r="AB3183" s="2"/>
      <c r="AC3183" s="2"/>
      <c r="AD3183" s="2"/>
      <c r="AE3183" s="2"/>
      <c r="AF3183" s="2"/>
      <c r="AG3183" s="2"/>
      <c r="AH3183" s="2"/>
      <c r="AI3183" s="2"/>
      <c r="AJ3183" s="2"/>
      <c r="AK3183" s="2"/>
      <c r="AL3183" s="2"/>
      <c r="AM3183" s="2"/>
      <c r="AN3183" s="2"/>
      <c r="AO3183" s="2"/>
      <c r="AP3183" s="2"/>
      <c r="AQ3183" s="2"/>
      <c r="AR3183" s="2"/>
      <c r="AS3183" s="2"/>
      <c r="AT3183" s="2"/>
      <c r="AU3183" s="2"/>
      <c r="AV3183" s="2"/>
      <c r="AW3183" s="2"/>
      <c r="AX3183" s="2"/>
    </row>
    <row r="3184" spans="1:50" ht="12.75" x14ac:dyDescent="0.2">
      <c r="A3184" s="2"/>
      <c r="B3184" s="2"/>
      <c r="C3184" s="2"/>
      <c r="D3184" s="2"/>
      <c r="E3184" s="2"/>
      <c r="F3184" s="2"/>
      <c r="G3184" s="2"/>
      <c r="H3184" s="2"/>
      <c r="I3184" s="2"/>
      <c r="J3184" s="2"/>
      <c r="K3184" s="2"/>
      <c r="L3184" s="2"/>
      <c r="M3184" s="2"/>
      <c r="N3184" s="2"/>
      <c r="O3184" s="2"/>
      <c r="P3184" s="2"/>
      <c r="Q3184" s="2"/>
      <c r="R3184" s="2"/>
      <c r="S3184" s="2"/>
      <c r="T3184" s="2"/>
      <c r="U3184" s="2"/>
      <c r="V3184" s="2"/>
      <c r="W3184" s="2"/>
      <c r="X3184" s="2"/>
      <c r="Y3184" s="1"/>
      <c r="Z3184" s="1"/>
      <c r="AA3184" s="2"/>
      <c r="AB3184" s="2"/>
      <c r="AC3184" s="2"/>
      <c r="AD3184" s="2"/>
      <c r="AE3184" s="2"/>
      <c r="AF3184" s="2"/>
      <c r="AG3184" s="2"/>
      <c r="AH3184" s="2"/>
      <c r="AI3184" s="2"/>
      <c r="AJ3184" s="2"/>
      <c r="AK3184" s="2"/>
      <c r="AL3184" s="2"/>
      <c r="AM3184" s="2"/>
      <c r="AN3184" s="2"/>
      <c r="AO3184" s="2"/>
      <c r="AP3184" s="2"/>
      <c r="AQ3184" s="2"/>
      <c r="AR3184" s="2"/>
      <c r="AS3184" s="2"/>
      <c r="AT3184" s="2"/>
      <c r="AU3184" s="2"/>
      <c r="AV3184" s="2"/>
      <c r="AW3184" s="2"/>
      <c r="AX3184" s="2"/>
    </row>
    <row r="3185" spans="1:50" ht="12.75" x14ac:dyDescent="0.2">
      <c r="A3185" s="2"/>
      <c r="B3185" s="2"/>
      <c r="C3185" s="2"/>
      <c r="D3185" s="2"/>
      <c r="E3185" s="2"/>
      <c r="F3185" s="2"/>
      <c r="G3185" s="2"/>
      <c r="H3185" s="2"/>
      <c r="I3185" s="2"/>
      <c r="J3185" s="2"/>
      <c r="K3185" s="2"/>
      <c r="L3185" s="2"/>
      <c r="M3185" s="2"/>
      <c r="N3185" s="2"/>
      <c r="O3185" s="2"/>
      <c r="P3185" s="2"/>
      <c r="Q3185" s="2"/>
      <c r="R3185" s="2"/>
      <c r="S3185" s="2"/>
      <c r="T3185" s="2"/>
      <c r="U3185" s="2"/>
      <c r="V3185" s="2"/>
      <c r="W3185" s="2"/>
      <c r="X3185" s="2"/>
      <c r="Y3185" s="1"/>
      <c r="Z3185" s="1"/>
      <c r="AA3185" s="2"/>
      <c r="AB3185" s="2"/>
      <c r="AC3185" s="2"/>
      <c r="AD3185" s="2"/>
      <c r="AE3185" s="2"/>
      <c r="AF3185" s="2"/>
      <c r="AG3185" s="2"/>
      <c r="AH3185" s="2"/>
      <c r="AI3185" s="2"/>
      <c r="AJ3185" s="2"/>
      <c r="AK3185" s="2"/>
      <c r="AL3185" s="2"/>
      <c r="AM3185" s="2"/>
      <c r="AN3185" s="2"/>
      <c r="AO3185" s="2"/>
      <c r="AP3185" s="2"/>
      <c r="AQ3185" s="2"/>
      <c r="AR3185" s="2"/>
      <c r="AS3185" s="2"/>
      <c r="AT3185" s="2"/>
      <c r="AU3185" s="2"/>
      <c r="AV3185" s="2"/>
      <c r="AW3185" s="2"/>
      <c r="AX3185" s="2"/>
    </row>
    <row r="3186" spans="1:50" ht="12.75" x14ac:dyDescent="0.2">
      <c r="A3186" s="2"/>
      <c r="B3186" s="2"/>
      <c r="C3186" s="2"/>
      <c r="D3186" s="2"/>
      <c r="E3186" s="2"/>
      <c r="F3186" s="2"/>
      <c r="G3186" s="2"/>
      <c r="H3186" s="2"/>
      <c r="I3186" s="2"/>
      <c r="J3186" s="2"/>
      <c r="K3186" s="2"/>
      <c r="L3186" s="2"/>
      <c r="M3186" s="2"/>
      <c r="N3186" s="2"/>
      <c r="O3186" s="2"/>
      <c r="P3186" s="2"/>
      <c r="Q3186" s="2"/>
      <c r="R3186" s="2"/>
      <c r="S3186" s="2"/>
      <c r="T3186" s="2"/>
      <c r="U3186" s="2"/>
      <c r="V3186" s="2"/>
      <c r="W3186" s="2"/>
      <c r="X3186" s="2"/>
      <c r="Y3186" s="1"/>
      <c r="Z3186" s="1"/>
      <c r="AA3186" s="2"/>
      <c r="AB3186" s="2"/>
      <c r="AC3186" s="2"/>
      <c r="AD3186" s="2"/>
      <c r="AE3186" s="2"/>
      <c r="AF3186" s="2"/>
      <c r="AG3186" s="2"/>
      <c r="AH3186" s="2"/>
      <c r="AI3186" s="2"/>
      <c r="AJ3186" s="2"/>
      <c r="AK3186" s="2"/>
      <c r="AL3186" s="2"/>
      <c r="AM3186" s="2"/>
      <c r="AN3186" s="2"/>
      <c r="AO3186" s="2"/>
      <c r="AP3186" s="2"/>
      <c r="AQ3186" s="2"/>
      <c r="AR3186" s="2"/>
      <c r="AS3186" s="2"/>
      <c r="AT3186" s="2"/>
      <c r="AU3186" s="2"/>
      <c r="AV3186" s="2"/>
      <c r="AW3186" s="2"/>
      <c r="AX3186" s="2"/>
    </row>
    <row r="3187" spans="1:50" ht="12.75" x14ac:dyDescent="0.2">
      <c r="A3187" s="2"/>
      <c r="B3187" s="2"/>
      <c r="C3187" s="2"/>
      <c r="D3187" s="2"/>
      <c r="E3187" s="2"/>
      <c r="F3187" s="2"/>
      <c r="G3187" s="2"/>
      <c r="H3187" s="2"/>
      <c r="I3187" s="2"/>
      <c r="J3187" s="2"/>
      <c r="K3187" s="2"/>
      <c r="L3187" s="2"/>
      <c r="M3187" s="2"/>
      <c r="N3187" s="2"/>
      <c r="O3187" s="2"/>
      <c r="P3187" s="2"/>
      <c r="Q3187" s="2"/>
      <c r="R3187" s="2"/>
      <c r="S3187" s="2"/>
      <c r="T3187" s="2"/>
      <c r="U3187" s="2"/>
      <c r="V3187" s="2"/>
      <c r="W3187" s="2"/>
      <c r="X3187" s="2"/>
      <c r="Y3187" s="1"/>
      <c r="Z3187" s="1"/>
      <c r="AA3187" s="2"/>
      <c r="AB3187" s="2"/>
      <c r="AC3187" s="2"/>
      <c r="AD3187" s="2"/>
      <c r="AE3187" s="2"/>
      <c r="AF3187" s="2"/>
      <c r="AG3187" s="2"/>
      <c r="AH3187" s="2"/>
      <c r="AI3187" s="2"/>
      <c r="AJ3187" s="2"/>
      <c r="AK3187" s="2"/>
      <c r="AL3187" s="2"/>
      <c r="AM3187" s="2"/>
      <c r="AN3187" s="2"/>
      <c r="AO3187" s="2"/>
      <c r="AP3187" s="2"/>
      <c r="AQ3187" s="2"/>
      <c r="AR3187" s="2"/>
      <c r="AS3187" s="2"/>
      <c r="AT3187" s="2"/>
      <c r="AU3187" s="2"/>
      <c r="AV3187" s="2"/>
      <c r="AW3187" s="2"/>
      <c r="AX3187" s="2"/>
    </row>
    <row r="3188" spans="1:50" ht="12.75" x14ac:dyDescent="0.2">
      <c r="A3188" s="2"/>
      <c r="B3188" s="2"/>
      <c r="C3188" s="2"/>
      <c r="D3188" s="2"/>
      <c r="E3188" s="2"/>
      <c r="F3188" s="2"/>
      <c r="G3188" s="2"/>
      <c r="H3188" s="2"/>
      <c r="I3188" s="2"/>
      <c r="J3188" s="2"/>
      <c r="K3188" s="2"/>
      <c r="L3188" s="2"/>
      <c r="M3188" s="2"/>
      <c r="N3188" s="2"/>
      <c r="O3188" s="2"/>
      <c r="P3188" s="2"/>
      <c r="Q3188" s="2"/>
      <c r="R3188" s="2"/>
      <c r="S3188" s="2"/>
      <c r="T3188" s="2"/>
      <c r="U3188" s="2"/>
      <c r="V3188" s="2"/>
      <c r="W3188" s="2"/>
      <c r="X3188" s="2"/>
      <c r="Y3188" s="1"/>
      <c r="Z3188" s="1"/>
      <c r="AA3188" s="2"/>
      <c r="AB3188" s="2"/>
      <c r="AC3188" s="2"/>
      <c r="AD3188" s="2"/>
      <c r="AE3188" s="2"/>
      <c r="AF3188" s="2"/>
      <c r="AG3188" s="2"/>
      <c r="AH3188" s="2"/>
      <c r="AI3188" s="2"/>
      <c r="AJ3188" s="2"/>
      <c r="AK3188" s="2"/>
      <c r="AL3188" s="2"/>
      <c r="AM3188" s="2"/>
      <c r="AN3188" s="2"/>
      <c r="AO3188" s="2"/>
      <c r="AP3188" s="2"/>
      <c r="AQ3188" s="2"/>
      <c r="AR3188" s="2"/>
      <c r="AS3188" s="2"/>
      <c r="AT3188" s="2"/>
      <c r="AU3188" s="2"/>
      <c r="AV3188" s="2"/>
      <c r="AW3188" s="2"/>
      <c r="AX3188" s="2"/>
    </row>
    <row r="3189" spans="1:50" ht="12.75" x14ac:dyDescent="0.2">
      <c r="A3189" s="2"/>
      <c r="B3189" s="2"/>
      <c r="C3189" s="2"/>
      <c r="D3189" s="2"/>
      <c r="E3189" s="2"/>
      <c r="F3189" s="2"/>
      <c r="G3189" s="2"/>
      <c r="H3189" s="2"/>
      <c r="I3189" s="2"/>
      <c r="J3189" s="2"/>
      <c r="K3189" s="2"/>
      <c r="L3189" s="2"/>
      <c r="M3189" s="2"/>
      <c r="N3189" s="2"/>
      <c r="O3189" s="2"/>
      <c r="P3189" s="2"/>
      <c r="Q3189" s="2"/>
      <c r="R3189" s="2"/>
      <c r="S3189" s="2"/>
      <c r="T3189" s="2"/>
      <c r="U3189" s="2"/>
      <c r="V3189" s="2"/>
      <c r="W3189" s="2"/>
      <c r="X3189" s="2"/>
      <c r="Y3189" s="1"/>
      <c r="Z3189" s="1"/>
      <c r="AA3189" s="2"/>
      <c r="AB3189" s="2"/>
      <c r="AC3189" s="2"/>
      <c r="AD3189" s="2"/>
      <c r="AE3189" s="2"/>
      <c r="AF3189" s="2"/>
      <c r="AG3189" s="2"/>
      <c r="AH3189" s="2"/>
      <c r="AI3189" s="2"/>
      <c r="AJ3189" s="2"/>
      <c r="AK3189" s="2"/>
      <c r="AL3189" s="2"/>
      <c r="AM3189" s="2"/>
      <c r="AN3189" s="2"/>
      <c r="AO3189" s="2"/>
      <c r="AP3189" s="2"/>
      <c r="AQ3189" s="2"/>
      <c r="AR3189" s="2"/>
      <c r="AS3189" s="2"/>
      <c r="AT3189" s="2"/>
      <c r="AU3189" s="2"/>
      <c r="AV3189" s="2"/>
      <c r="AW3189" s="2"/>
      <c r="AX3189" s="2"/>
    </row>
    <row r="3190" spans="1:50" ht="12.75" x14ac:dyDescent="0.2">
      <c r="A3190" s="2"/>
      <c r="B3190" s="2"/>
      <c r="C3190" s="2"/>
      <c r="D3190" s="2"/>
      <c r="E3190" s="2"/>
      <c r="F3190" s="2"/>
      <c r="G3190" s="2"/>
      <c r="H3190" s="2"/>
      <c r="I3190" s="2"/>
      <c r="J3190" s="2"/>
      <c r="K3190" s="2"/>
      <c r="L3190" s="2"/>
      <c r="M3190" s="2"/>
      <c r="N3190" s="2"/>
      <c r="O3190" s="2"/>
      <c r="P3190" s="2"/>
      <c r="Q3190" s="2"/>
      <c r="R3190" s="2"/>
      <c r="S3190" s="2"/>
      <c r="T3190" s="2"/>
      <c r="U3190" s="2"/>
      <c r="V3190" s="2"/>
      <c r="W3190" s="2"/>
      <c r="X3190" s="2"/>
      <c r="Y3190" s="1"/>
      <c r="Z3190" s="1"/>
      <c r="AA3190" s="2"/>
      <c r="AB3190" s="2"/>
      <c r="AC3190" s="2"/>
      <c r="AD3190" s="2"/>
      <c r="AE3190" s="2"/>
      <c r="AF3190" s="2"/>
      <c r="AG3190" s="2"/>
      <c r="AH3190" s="2"/>
      <c r="AI3190" s="2"/>
      <c r="AJ3190" s="2"/>
      <c r="AK3190" s="2"/>
      <c r="AL3190" s="2"/>
      <c r="AM3190" s="2"/>
      <c r="AN3190" s="2"/>
      <c r="AO3190" s="2"/>
      <c r="AP3190" s="2"/>
      <c r="AQ3190" s="2"/>
      <c r="AR3190" s="2"/>
      <c r="AS3190" s="2"/>
      <c r="AT3190" s="2"/>
      <c r="AU3190" s="2"/>
      <c r="AV3190" s="2"/>
      <c r="AW3190" s="2"/>
      <c r="AX3190" s="2"/>
    </row>
    <row r="3191" spans="1:50" ht="12.75" x14ac:dyDescent="0.2">
      <c r="A3191" s="2"/>
      <c r="B3191" s="2"/>
      <c r="C3191" s="2"/>
      <c r="D3191" s="2"/>
      <c r="E3191" s="2"/>
      <c r="F3191" s="2"/>
      <c r="G3191" s="2"/>
      <c r="H3191" s="2"/>
      <c r="I3191" s="2"/>
      <c r="J3191" s="2"/>
      <c r="K3191" s="2"/>
      <c r="L3191" s="2"/>
      <c r="M3191" s="2"/>
      <c r="N3191" s="2"/>
      <c r="O3191" s="2"/>
      <c r="P3191" s="2"/>
      <c r="Q3191" s="2"/>
      <c r="R3191" s="2"/>
      <c r="S3191" s="2"/>
      <c r="T3191" s="2"/>
      <c r="U3191" s="2"/>
      <c r="V3191" s="2"/>
      <c r="W3191" s="2"/>
      <c r="X3191" s="2"/>
      <c r="Y3191" s="1"/>
      <c r="Z3191" s="1"/>
      <c r="AA3191" s="2"/>
      <c r="AB3191" s="2"/>
      <c r="AC3191" s="2"/>
      <c r="AD3191" s="2"/>
      <c r="AE3191" s="2"/>
      <c r="AF3191" s="2"/>
      <c r="AG3191" s="2"/>
      <c r="AH3191" s="2"/>
      <c r="AI3191" s="2"/>
      <c r="AJ3191" s="2"/>
      <c r="AK3191" s="2"/>
      <c r="AL3191" s="2"/>
      <c r="AM3191" s="2"/>
      <c r="AN3191" s="2"/>
      <c r="AO3191" s="2"/>
      <c r="AP3191" s="2"/>
      <c r="AQ3191" s="2"/>
      <c r="AR3191" s="2"/>
      <c r="AS3191" s="2"/>
      <c r="AT3191" s="2"/>
      <c r="AU3191" s="2"/>
      <c r="AV3191" s="2"/>
      <c r="AW3191" s="2"/>
      <c r="AX3191" s="2"/>
    </row>
    <row r="3192" spans="1:50" ht="12.75" x14ac:dyDescent="0.2">
      <c r="A3192" s="2"/>
      <c r="B3192" s="2"/>
      <c r="C3192" s="2"/>
      <c r="D3192" s="2"/>
      <c r="E3192" s="2"/>
      <c r="F3192" s="2"/>
      <c r="G3192" s="2"/>
      <c r="H3192" s="2"/>
      <c r="I3192" s="2"/>
      <c r="J3192" s="2"/>
      <c r="K3192" s="2"/>
      <c r="L3192" s="2"/>
      <c r="M3192" s="2"/>
      <c r="N3192" s="2"/>
      <c r="O3192" s="2"/>
      <c r="P3192" s="2"/>
      <c r="Q3192" s="2"/>
      <c r="R3192" s="2"/>
      <c r="S3192" s="2"/>
      <c r="T3192" s="2"/>
      <c r="U3192" s="2"/>
      <c r="V3192" s="2"/>
      <c r="W3192" s="2"/>
      <c r="X3192" s="2"/>
      <c r="Y3192" s="1"/>
      <c r="Z3192" s="1"/>
      <c r="AA3192" s="2"/>
      <c r="AB3192" s="2"/>
      <c r="AC3192" s="2"/>
      <c r="AD3192" s="2"/>
      <c r="AE3192" s="2"/>
      <c r="AF3192" s="2"/>
      <c r="AG3192" s="2"/>
      <c r="AH3192" s="2"/>
      <c r="AI3192" s="2"/>
      <c r="AJ3192" s="2"/>
      <c r="AK3192" s="2"/>
      <c r="AL3192" s="2"/>
      <c r="AM3192" s="2"/>
      <c r="AN3192" s="2"/>
      <c r="AO3192" s="2"/>
      <c r="AP3192" s="2"/>
      <c r="AQ3192" s="2"/>
      <c r="AR3192" s="2"/>
      <c r="AS3192" s="2"/>
      <c r="AT3192" s="2"/>
      <c r="AU3192" s="2"/>
      <c r="AV3192" s="2"/>
      <c r="AW3192" s="2"/>
      <c r="AX3192" s="2"/>
    </row>
    <row r="3193" spans="1:50" ht="12.75" x14ac:dyDescent="0.2">
      <c r="A3193" s="2"/>
      <c r="B3193" s="2"/>
      <c r="C3193" s="2"/>
      <c r="D3193" s="2"/>
      <c r="E3193" s="2"/>
      <c r="F3193" s="2"/>
      <c r="G3193" s="2"/>
      <c r="H3193" s="2"/>
      <c r="I3193" s="2"/>
      <c r="J3193" s="2"/>
      <c r="K3193" s="2"/>
      <c r="L3193" s="2"/>
      <c r="M3193" s="2"/>
      <c r="N3193" s="2"/>
      <c r="O3193" s="2"/>
      <c r="P3193" s="2"/>
      <c r="Q3193" s="2"/>
      <c r="R3193" s="2"/>
      <c r="S3193" s="2"/>
      <c r="T3193" s="2"/>
      <c r="U3193" s="2"/>
      <c r="V3193" s="2"/>
      <c r="W3193" s="2"/>
      <c r="X3193" s="2"/>
      <c r="Y3193" s="1"/>
      <c r="Z3193" s="1"/>
      <c r="AA3193" s="2"/>
      <c r="AB3193" s="2"/>
      <c r="AC3193" s="2"/>
      <c r="AD3193" s="2"/>
      <c r="AE3193" s="2"/>
      <c r="AF3193" s="2"/>
      <c r="AG3193" s="2"/>
      <c r="AH3193" s="2"/>
      <c r="AI3193" s="2"/>
      <c r="AJ3193" s="2"/>
      <c r="AK3193" s="2"/>
      <c r="AL3193" s="2"/>
      <c r="AM3193" s="2"/>
      <c r="AN3193" s="2"/>
      <c r="AO3193" s="2"/>
      <c r="AP3193" s="2"/>
      <c r="AQ3193" s="2"/>
      <c r="AR3193" s="2"/>
      <c r="AS3193" s="2"/>
      <c r="AT3193" s="2"/>
      <c r="AU3193" s="2"/>
      <c r="AV3193" s="2"/>
      <c r="AW3193" s="2"/>
      <c r="AX3193" s="2"/>
    </row>
    <row r="3194" spans="1:50" ht="12.75" x14ac:dyDescent="0.2">
      <c r="A3194" s="2"/>
      <c r="B3194" s="2"/>
      <c r="C3194" s="2"/>
      <c r="D3194" s="2"/>
      <c r="E3194" s="2"/>
      <c r="F3194" s="2"/>
      <c r="G3194" s="2"/>
      <c r="H3194" s="2"/>
      <c r="I3194" s="2"/>
      <c r="J3194" s="2"/>
      <c r="K3194" s="2"/>
      <c r="L3194" s="2"/>
      <c r="M3194" s="2"/>
      <c r="N3194" s="2"/>
      <c r="O3194" s="2"/>
      <c r="P3194" s="2"/>
      <c r="Q3194" s="2"/>
      <c r="R3194" s="2"/>
      <c r="S3194" s="2"/>
      <c r="T3194" s="2"/>
      <c r="U3194" s="2"/>
      <c r="V3194" s="2"/>
      <c r="W3194" s="2"/>
      <c r="X3194" s="2"/>
      <c r="Y3194" s="1"/>
      <c r="Z3194" s="1"/>
      <c r="AA3194" s="2"/>
      <c r="AB3194" s="2"/>
      <c r="AC3194" s="2"/>
      <c r="AD3194" s="2"/>
      <c r="AE3194" s="2"/>
      <c r="AF3194" s="2"/>
      <c r="AG3194" s="2"/>
      <c r="AH3194" s="2"/>
      <c r="AI3194" s="2"/>
      <c r="AJ3194" s="2"/>
      <c r="AK3194" s="2"/>
      <c r="AL3194" s="2"/>
      <c r="AM3194" s="2"/>
      <c r="AN3194" s="2"/>
      <c r="AO3194" s="2"/>
      <c r="AP3194" s="2"/>
      <c r="AQ3194" s="2"/>
      <c r="AR3194" s="2"/>
      <c r="AS3194" s="2"/>
      <c r="AT3194" s="2"/>
      <c r="AU3194" s="2"/>
      <c r="AV3194" s="2"/>
      <c r="AW3194" s="2"/>
      <c r="AX3194" s="2"/>
    </row>
    <row r="3195" spans="1:50" ht="12.75" x14ac:dyDescent="0.2">
      <c r="A3195" s="2"/>
      <c r="B3195" s="2"/>
      <c r="C3195" s="2"/>
      <c r="D3195" s="2"/>
      <c r="E3195" s="2"/>
      <c r="F3195" s="2"/>
      <c r="G3195" s="2"/>
      <c r="H3195" s="2"/>
      <c r="I3195" s="2"/>
      <c r="J3195" s="2"/>
      <c r="K3195" s="2"/>
      <c r="L3195" s="2"/>
      <c r="M3195" s="2"/>
      <c r="N3195" s="2"/>
      <c r="O3195" s="2"/>
      <c r="P3195" s="2"/>
      <c r="Q3195" s="2"/>
      <c r="R3195" s="2"/>
      <c r="S3195" s="2"/>
      <c r="T3195" s="2"/>
      <c r="U3195" s="2"/>
      <c r="V3195" s="2"/>
      <c r="W3195" s="2"/>
      <c r="X3195" s="2"/>
      <c r="Y3195" s="1"/>
      <c r="Z3195" s="1"/>
      <c r="AA3195" s="2"/>
      <c r="AB3195" s="2"/>
      <c r="AC3195" s="2"/>
      <c r="AD3195" s="2"/>
      <c r="AE3195" s="2"/>
      <c r="AF3195" s="2"/>
      <c r="AG3195" s="2"/>
      <c r="AH3195" s="2"/>
      <c r="AI3195" s="2"/>
      <c r="AJ3195" s="2"/>
      <c r="AK3195" s="2"/>
      <c r="AL3195" s="2"/>
      <c r="AM3195" s="2"/>
      <c r="AN3195" s="2"/>
      <c r="AO3195" s="2"/>
      <c r="AP3195" s="2"/>
      <c r="AQ3195" s="2"/>
      <c r="AR3195" s="2"/>
      <c r="AS3195" s="2"/>
      <c r="AT3195" s="2"/>
      <c r="AU3195" s="2"/>
      <c r="AV3195" s="2"/>
      <c r="AW3195" s="2"/>
      <c r="AX3195" s="2"/>
    </row>
    <row r="3196" spans="1:50" ht="12.75" x14ac:dyDescent="0.2">
      <c r="A3196" s="2"/>
      <c r="B3196" s="2"/>
      <c r="C3196" s="2"/>
      <c r="D3196" s="2"/>
      <c r="E3196" s="2"/>
      <c r="F3196" s="2"/>
      <c r="G3196" s="2"/>
      <c r="H3196" s="2"/>
      <c r="I3196" s="2"/>
      <c r="J3196" s="2"/>
      <c r="K3196" s="2"/>
      <c r="L3196" s="2"/>
      <c r="M3196" s="2"/>
      <c r="N3196" s="2"/>
      <c r="O3196" s="2"/>
      <c r="P3196" s="2"/>
      <c r="Q3196" s="2"/>
      <c r="R3196" s="2"/>
      <c r="S3196" s="2"/>
      <c r="T3196" s="2"/>
      <c r="U3196" s="2"/>
      <c r="V3196" s="2"/>
      <c r="W3196" s="2"/>
      <c r="X3196" s="2"/>
      <c r="Y3196" s="1"/>
      <c r="Z3196" s="1"/>
      <c r="AA3196" s="2"/>
      <c r="AB3196" s="2"/>
      <c r="AC3196" s="2"/>
      <c r="AD3196" s="2"/>
      <c r="AE3196" s="2"/>
      <c r="AF3196" s="2"/>
      <c r="AG3196" s="2"/>
      <c r="AH3196" s="2"/>
      <c r="AI3196" s="2"/>
      <c r="AJ3196" s="2"/>
      <c r="AK3196" s="2"/>
      <c r="AL3196" s="2"/>
      <c r="AM3196" s="2"/>
      <c r="AN3196" s="2"/>
      <c r="AO3196" s="2"/>
      <c r="AP3196" s="2"/>
      <c r="AQ3196" s="2"/>
      <c r="AR3196" s="2"/>
      <c r="AS3196" s="2"/>
      <c r="AT3196" s="2"/>
      <c r="AU3196" s="2"/>
      <c r="AV3196" s="2"/>
      <c r="AW3196" s="2"/>
      <c r="AX3196" s="2"/>
    </row>
    <row r="3197" spans="1:50" ht="12.75" x14ac:dyDescent="0.2">
      <c r="A3197" s="2"/>
      <c r="B3197" s="2"/>
      <c r="C3197" s="2"/>
      <c r="D3197" s="2"/>
      <c r="E3197" s="2"/>
      <c r="F3197" s="2"/>
      <c r="G3197" s="2"/>
      <c r="H3197" s="2"/>
      <c r="I3197" s="2"/>
      <c r="J3197" s="2"/>
      <c r="K3197" s="2"/>
      <c r="L3197" s="2"/>
      <c r="M3197" s="2"/>
      <c r="N3197" s="2"/>
      <c r="O3197" s="2"/>
      <c r="P3197" s="2"/>
      <c r="Q3197" s="2"/>
      <c r="R3197" s="2"/>
      <c r="S3197" s="2"/>
      <c r="T3197" s="2"/>
      <c r="U3197" s="2"/>
      <c r="V3197" s="2"/>
      <c r="W3197" s="2"/>
      <c r="X3197" s="2"/>
      <c r="Y3197" s="1"/>
      <c r="Z3197" s="1"/>
      <c r="AA3197" s="2"/>
      <c r="AB3197" s="2"/>
      <c r="AC3197" s="2"/>
      <c r="AD3197" s="2"/>
      <c r="AE3197" s="2"/>
      <c r="AF3197" s="2"/>
      <c r="AG3197" s="2"/>
      <c r="AH3197" s="2"/>
      <c r="AI3197" s="2"/>
      <c r="AJ3197" s="2"/>
      <c r="AK3197" s="2"/>
      <c r="AL3197" s="2"/>
      <c r="AM3197" s="2"/>
      <c r="AN3197" s="2"/>
      <c r="AO3197" s="2"/>
      <c r="AP3197" s="2"/>
      <c r="AQ3197" s="2"/>
      <c r="AR3197" s="2"/>
      <c r="AS3197" s="2"/>
      <c r="AT3197" s="2"/>
      <c r="AU3197" s="2"/>
      <c r="AV3197" s="2"/>
      <c r="AW3197" s="2"/>
      <c r="AX3197" s="2"/>
    </row>
    <row r="3198" spans="1:50" ht="12.75" x14ac:dyDescent="0.2">
      <c r="A3198" s="2"/>
      <c r="B3198" s="2"/>
      <c r="C3198" s="2"/>
      <c r="D3198" s="2"/>
      <c r="E3198" s="2"/>
      <c r="F3198" s="2"/>
      <c r="G3198" s="2"/>
      <c r="H3198" s="2"/>
      <c r="I3198" s="2"/>
      <c r="J3198" s="2"/>
      <c r="K3198" s="2"/>
      <c r="L3198" s="2"/>
      <c r="M3198" s="2"/>
      <c r="N3198" s="2"/>
      <c r="O3198" s="2"/>
      <c r="P3198" s="2"/>
      <c r="Q3198" s="2"/>
      <c r="R3198" s="2"/>
      <c r="S3198" s="2"/>
      <c r="T3198" s="2"/>
      <c r="U3198" s="2"/>
      <c r="V3198" s="2"/>
      <c r="W3198" s="2"/>
      <c r="X3198" s="2"/>
      <c r="Y3198" s="1"/>
      <c r="Z3198" s="1"/>
      <c r="AA3198" s="2"/>
      <c r="AB3198" s="2"/>
      <c r="AC3198" s="2"/>
      <c r="AD3198" s="2"/>
      <c r="AE3198" s="2"/>
      <c r="AF3198" s="2"/>
      <c r="AG3198" s="2"/>
      <c r="AH3198" s="2"/>
      <c r="AI3198" s="2"/>
      <c r="AJ3198" s="2"/>
      <c r="AK3198" s="2"/>
      <c r="AL3198" s="2"/>
      <c r="AM3198" s="2"/>
      <c r="AN3198" s="2"/>
      <c r="AO3198" s="2"/>
      <c r="AP3198" s="2"/>
      <c r="AQ3198" s="2"/>
      <c r="AR3198" s="2"/>
      <c r="AS3198" s="2"/>
      <c r="AT3198" s="2"/>
      <c r="AU3198" s="2"/>
      <c r="AV3198" s="2"/>
      <c r="AW3198" s="2"/>
      <c r="AX3198" s="2"/>
    </row>
    <row r="3199" spans="1:50" ht="12.75" x14ac:dyDescent="0.2">
      <c r="A3199" s="2"/>
      <c r="B3199" s="2"/>
      <c r="C3199" s="2"/>
      <c r="D3199" s="2"/>
      <c r="E3199" s="2"/>
      <c r="F3199" s="2"/>
      <c r="G3199" s="2"/>
      <c r="H3199" s="2"/>
      <c r="I3199" s="2"/>
      <c r="J3199" s="2"/>
      <c r="K3199" s="2"/>
      <c r="L3199" s="2"/>
      <c r="M3199" s="2"/>
      <c r="N3199" s="2"/>
      <c r="O3199" s="2"/>
      <c r="P3199" s="2"/>
      <c r="Q3199" s="2"/>
      <c r="R3199" s="2"/>
      <c r="S3199" s="2"/>
      <c r="T3199" s="2"/>
      <c r="U3199" s="2"/>
      <c r="V3199" s="2"/>
      <c r="W3199" s="2"/>
      <c r="X3199" s="2"/>
      <c r="Y3199" s="1"/>
      <c r="Z3199" s="1"/>
      <c r="AA3199" s="2"/>
      <c r="AB3199" s="2"/>
      <c r="AC3199" s="2"/>
      <c r="AD3199" s="2"/>
      <c r="AE3199" s="2"/>
      <c r="AF3199" s="2"/>
      <c r="AG3199" s="2"/>
      <c r="AH3199" s="2"/>
      <c r="AI3199" s="2"/>
      <c r="AJ3199" s="2"/>
      <c r="AK3199" s="2"/>
      <c r="AL3199" s="2"/>
      <c r="AM3199" s="2"/>
      <c r="AN3199" s="2"/>
      <c r="AO3199" s="2"/>
      <c r="AP3199" s="2"/>
      <c r="AQ3199" s="2"/>
      <c r="AR3199" s="2"/>
      <c r="AS3199" s="2"/>
      <c r="AT3199" s="2"/>
      <c r="AU3199" s="2"/>
      <c r="AV3199" s="2"/>
      <c r="AW3199" s="2"/>
      <c r="AX3199" s="2"/>
    </row>
    <row r="3200" spans="1:50" ht="12.75" x14ac:dyDescent="0.2">
      <c r="A3200" s="2"/>
      <c r="B3200" s="2"/>
      <c r="C3200" s="2"/>
      <c r="D3200" s="2"/>
      <c r="E3200" s="2"/>
      <c r="F3200" s="2"/>
      <c r="G3200" s="2"/>
      <c r="H3200" s="2"/>
      <c r="I3200" s="2"/>
      <c r="J3200" s="2"/>
      <c r="K3200" s="2"/>
      <c r="L3200" s="2"/>
      <c r="M3200" s="2"/>
      <c r="N3200" s="2"/>
      <c r="O3200" s="2"/>
      <c r="P3200" s="2"/>
      <c r="Q3200" s="2"/>
      <c r="R3200" s="2"/>
      <c r="S3200" s="2"/>
      <c r="T3200" s="2"/>
      <c r="U3200" s="2"/>
      <c r="V3200" s="2"/>
      <c r="W3200" s="2"/>
      <c r="X3200" s="2"/>
      <c r="Y3200" s="1"/>
      <c r="Z3200" s="1"/>
      <c r="AA3200" s="2"/>
      <c r="AB3200" s="2"/>
      <c r="AC3200" s="2"/>
      <c r="AD3200" s="2"/>
      <c r="AE3200" s="2"/>
      <c r="AF3200" s="2"/>
      <c r="AG3200" s="2"/>
      <c r="AH3200" s="2"/>
      <c r="AI3200" s="2"/>
      <c r="AJ3200" s="2"/>
      <c r="AK3200" s="2"/>
      <c r="AL3200" s="2"/>
      <c r="AM3200" s="2"/>
      <c r="AN3200" s="2"/>
      <c r="AO3200" s="2"/>
      <c r="AP3200" s="2"/>
      <c r="AQ3200" s="2"/>
      <c r="AR3200" s="2"/>
      <c r="AS3200" s="2"/>
      <c r="AT3200" s="2"/>
      <c r="AU3200" s="2"/>
      <c r="AV3200" s="2"/>
      <c r="AW3200" s="2"/>
      <c r="AX3200" s="2"/>
    </row>
    <row r="3201" spans="1:50" ht="12.75" x14ac:dyDescent="0.2">
      <c r="A3201" s="2"/>
      <c r="B3201" s="2"/>
      <c r="C3201" s="2"/>
      <c r="D3201" s="2"/>
      <c r="E3201" s="2"/>
      <c r="F3201" s="2"/>
      <c r="G3201" s="2"/>
      <c r="H3201" s="2"/>
      <c r="I3201" s="2"/>
      <c r="J3201" s="2"/>
      <c r="K3201" s="2"/>
      <c r="L3201" s="2"/>
      <c r="M3201" s="2"/>
      <c r="N3201" s="2"/>
      <c r="O3201" s="2"/>
      <c r="P3201" s="2"/>
      <c r="Q3201" s="2"/>
      <c r="R3201" s="2"/>
      <c r="S3201" s="2"/>
      <c r="T3201" s="2"/>
      <c r="U3201" s="2"/>
      <c r="V3201" s="2"/>
      <c r="W3201" s="2"/>
      <c r="X3201" s="2"/>
      <c r="Y3201" s="1"/>
      <c r="Z3201" s="1"/>
      <c r="AA3201" s="2"/>
      <c r="AB3201" s="2"/>
      <c r="AC3201" s="2"/>
      <c r="AD3201" s="2"/>
      <c r="AE3201" s="2"/>
      <c r="AF3201" s="2"/>
      <c r="AG3201" s="2"/>
      <c r="AH3201" s="2"/>
      <c r="AI3201" s="2"/>
      <c r="AJ3201" s="2"/>
      <c r="AK3201" s="2"/>
      <c r="AL3201" s="2"/>
      <c r="AM3201" s="2"/>
      <c r="AN3201" s="2"/>
      <c r="AO3201" s="2"/>
      <c r="AP3201" s="2"/>
      <c r="AQ3201" s="2"/>
      <c r="AR3201" s="2"/>
      <c r="AS3201" s="2"/>
      <c r="AT3201" s="2"/>
      <c r="AU3201" s="2"/>
      <c r="AV3201" s="2"/>
      <c r="AW3201" s="2"/>
      <c r="AX3201" s="2"/>
    </row>
    <row r="3202" spans="1:50" ht="12.75" x14ac:dyDescent="0.2">
      <c r="A3202" s="2"/>
      <c r="B3202" s="2"/>
      <c r="C3202" s="2"/>
      <c r="D3202" s="2"/>
      <c r="E3202" s="2"/>
      <c r="F3202" s="2"/>
      <c r="G3202" s="2"/>
      <c r="H3202" s="2"/>
      <c r="I3202" s="2"/>
      <c r="J3202" s="2"/>
      <c r="K3202" s="2"/>
      <c r="L3202" s="2"/>
      <c r="M3202" s="2"/>
      <c r="N3202" s="2"/>
      <c r="O3202" s="2"/>
      <c r="P3202" s="2"/>
      <c r="Q3202" s="2"/>
      <c r="R3202" s="2"/>
      <c r="S3202" s="2"/>
      <c r="T3202" s="2"/>
      <c r="U3202" s="2"/>
      <c r="V3202" s="2"/>
      <c r="W3202" s="2"/>
      <c r="X3202" s="2"/>
      <c r="Y3202" s="1"/>
      <c r="Z3202" s="1"/>
      <c r="AA3202" s="2"/>
      <c r="AB3202" s="2"/>
      <c r="AC3202" s="2"/>
      <c r="AD3202" s="2"/>
      <c r="AE3202" s="2"/>
      <c r="AF3202" s="2"/>
      <c r="AG3202" s="2"/>
      <c r="AH3202" s="2"/>
      <c r="AI3202" s="2"/>
      <c r="AJ3202" s="2"/>
      <c r="AK3202" s="2"/>
      <c r="AL3202" s="2"/>
      <c r="AM3202" s="2"/>
      <c r="AN3202" s="2"/>
      <c r="AO3202" s="2"/>
      <c r="AP3202" s="2"/>
      <c r="AQ3202" s="2"/>
      <c r="AR3202" s="2"/>
      <c r="AS3202" s="2"/>
      <c r="AT3202" s="2"/>
      <c r="AU3202" s="2"/>
      <c r="AV3202" s="2"/>
      <c r="AW3202" s="2"/>
      <c r="AX3202" s="2"/>
    </row>
    <row r="3203" spans="1:50" ht="12.75" x14ac:dyDescent="0.2">
      <c r="A3203" s="2"/>
      <c r="B3203" s="2"/>
      <c r="C3203" s="2"/>
      <c r="D3203" s="2"/>
      <c r="E3203" s="2"/>
      <c r="F3203" s="2"/>
      <c r="G3203" s="2"/>
      <c r="H3203" s="2"/>
      <c r="I3203" s="2"/>
      <c r="J3203" s="2"/>
      <c r="K3203" s="2"/>
      <c r="L3203" s="2"/>
      <c r="M3203" s="2"/>
      <c r="N3203" s="2"/>
      <c r="O3203" s="2"/>
      <c r="P3203" s="2"/>
      <c r="Q3203" s="2"/>
      <c r="R3203" s="2"/>
      <c r="S3203" s="2"/>
      <c r="T3203" s="2"/>
      <c r="U3203" s="2"/>
      <c r="V3203" s="2"/>
      <c r="W3203" s="2"/>
      <c r="X3203" s="2"/>
      <c r="Y3203" s="1"/>
      <c r="Z3203" s="1"/>
      <c r="AA3203" s="2"/>
      <c r="AB3203" s="2"/>
      <c r="AC3203" s="2"/>
      <c r="AD3203" s="2"/>
      <c r="AE3203" s="2"/>
      <c r="AF3203" s="2"/>
      <c r="AG3203" s="2"/>
      <c r="AH3203" s="2"/>
      <c r="AI3203" s="2"/>
      <c r="AJ3203" s="2"/>
      <c r="AK3203" s="2"/>
      <c r="AL3203" s="2"/>
      <c r="AM3203" s="2"/>
      <c r="AN3203" s="2"/>
      <c r="AO3203" s="2"/>
      <c r="AP3203" s="2"/>
      <c r="AQ3203" s="2"/>
      <c r="AR3203" s="2"/>
      <c r="AS3203" s="2"/>
      <c r="AT3203" s="2"/>
      <c r="AU3203" s="2"/>
      <c r="AV3203" s="2"/>
      <c r="AW3203" s="2"/>
      <c r="AX3203" s="2"/>
    </row>
    <row r="3204" spans="1:50" ht="12.75" x14ac:dyDescent="0.2">
      <c r="A3204" s="2"/>
      <c r="B3204" s="2"/>
      <c r="C3204" s="2"/>
      <c r="D3204" s="2"/>
      <c r="E3204" s="2"/>
      <c r="F3204" s="2"/>
      <c r="G3204" s="2"/>
      <c r="H3204" s="2"/>
      <c r="I3204" s="2"/>
      <c r="J3204" s="2"/>
      <c r="K3204" s="2"/>
      <c r="L3204" s="2"/>
      <c r="M3204" s="2"/>
      <c r="N3204" s="2"/>
      <c r="O3204" s="2"/>
      <c r="P3204" s="2"/>
      <c r="Q3204" s="2"/>
      <c r="R3204" s="2"/>
      <c r="S3204" s="2"/>
      <c r="T3204" s="2"/>
      <c r="U3204" s="2"/>
      <c r="V3204" s="2"/>
      <c r="W3204" s="2"/>
      <c r="X3204" s="2"/>
      <c r="Y3204" s="1"/>
      <c r="Z3204" s="1"/>
      <c r="AA3204" s="2"/>
      <c r="AB3204" s="2"/>
      <c r="AC3204" s="2"/>
      <c r="AD3204" s="2"/>
      <c r="AE3204" s="2"/>
      <c r="AF3204" s="2"/>
      <c r="AG3204" s="2"/>
      <c r="AH3204" s="2"/>
      <c r="AI3204" s="2"/>
      <c r="AJ3204" s="2"/>
      <c r="AK3204" s="2"/>
      <c r="AL3204" s="2"/>
      <c r="AM3204" s="2"/>
      <c r="AN3204" s="2"/>
      <c r="AO3204" s="2"/>
      <c r="AP3204" s="2"/>
      <c r="AQ3204" s="2"/>
      <c r="AR3204" s="2"/>
      <c r="AS3204" s="2"/>
      <c r="AT3204" s="2"/>
      <c r="AU3204" s="2"/>
      <c r="AV3204" s="2"/>
      <c r="AW3204" s="2"/>
      <c r="AX3204" s="2"/>
    </row>
    <row r="3205" spans="1:50" ht="12.75" x14ac:dyDescent="0.2">
      <c r="A3205" s="2"/>
      <c r="B3205" s="2"/>
      <c r="C3205" s="2"/>
      <c r="D3205" s="2"/>
      <c r="E3205" s="2"/>
      <c r="F3205" s="2"/>
      <c r="G3205" s="2"/>
      <c r="H3205" s="2"/>
      <c r="I3205" s="2"/>
      <c r="J3205" s="2"/>
      <c r="K3205" s="2"/>
      <c r="L3205" s="2"/>
      <c r="M3205" s="2"/>
      <c r="N3205" s="2"/>
      <c r="O3205" s="2"/>
      <c r="P3205" s="2"/>
      <c r="Q3205" s="2"/>
      <c r="R3205" s="2"/>
      <c r="S3205" s="2"/>
      <c r="T3205" s="2"/>
      <c r="U3205" s="2"/>
      <c r="V3205" s="2"/>
      <c r="W3205" s="2"/>
      <c r="X3205" s="2"/>
      <c r="Y3205" s="1"/>
      <c r="Z3205" s="1"/>
      <c r="AA3205" s="2"/>
      <c r="AB3205" s="2"/>
      <c r="AC3205" s="2"/>
      <c r="AD3205" s="2"/>
      <c r="AE3205" s="2"/>
      <c r="AF3205" s="2"/>
      <c r="AG3205" s="2"/>
      <c r="AH3205" s="2"/>
      <c r="AI3205" s="2"/>
      <c r="AJ3205" s="2"/>
      <c r="AK3205" s="2"/>
      <c r="AL3205" s="2"/>
      <c r="AM3205" s="2"/>
      <c r="AN3205" s="2"/>
      <c r="AO3205" s="2"/>
      <c r="AP3205" s="2"/>
      <c r="AQ3205" s="2"/>
      <c r="AR3205" s="2"/>
      <c r="AS3205" s="2"/>
      <c r="AT3205" s="2"/>
      <c r="AU3205" s="2"/>
      <c r="AV3205" s="2"/>
      <c r="AW3205" s="2"/>
      <c r="AX3205" s="2"/>
    </row>
    <row r="3206" spans="1:50" ht="12.75" x14ac:dyDescent="0.2">
      <c r="A3206" s="2"/>
      <c r="B3206" s="2"/>
      <c r="C3206" s="2"/>
      <c r="D3206" s="2"/>
      <c r="E3206" s="2"/>
      <c r="F3206" s="2"/>
      <c r="G3206" s="2"/>
      <c r="H3206" s="2"/>
      <c r="I3206" s="2"/>
      <c r="J3206" s="2"/>
      <c r="K3206" s="2"/>
      <c r="L3206" s="2"/>
      <c r="M3206" s="2"/>
      <c r="N3206" s="2"/>
      <c r="O3206" s="2"/>
      <c r="P3206" s="2"/>
      <c r="Q3206" s="2"/>
      <c r="R3206" s="2"/>
      <c r="S3206" s="2"/>
      <c r="T3206" s="2"/>
      <c r="U3206" s="2"/>
      <c r="V3206" s="2"/>
      <c r="W3206" s="2"/>
      <c r="X3206" s="2"/>
      <c r="Y3206" s="1"/>
      <c r="Z3206" s="1"/>
      <c r="AA3206" s="2"/>
      <c r="AB3206" s="2"/>
      <c r="AC3206" s="2"/>
      <c r="AD3206" s="2"/>
      <c r="AE3206" s="2"/>
      <c r="AF3206" s="2"/>
      <c r="AG3206" s="2"/>
      <c r="AH3206" s="2"/>
      <c r="AI3206" s="2"/>
      <c r="AJ3206" s="2"/>
      <c r="AK3206" s="2"/>
      <c r="AL3206" s="2"/>
      <c r="AM3206" s="2"/>
      <c r="AN3206" s="2"/>
      <c r="AO3206" s="2"/>
      <c r="AP3206" s="2"/>
      <c r="AQ3206" s="2"/>
      <c r="AR3206" s="2"/>
      <c r="AS3206" s="2"/>
      <c r="AT3206" s="2"/>
      <c r="AU3206" s="2"/>
      <c r="AV3206" s="2"/>
      <c r="AW3206" s="2"/>
      <c r="AX3206" s="2"/>
    </row>
    <row r="3207" spans="1:50" ht="12.75" x14ac:dyDescent="0.2">
      <c r="A3207" s="2"/>
      <c r="B3207" s="2"/>
      <c r="C3207" s="2"/>
      <c r="D3207" s="2"/>
      <c r="E3207" s="2"/>
      <c r="F3207" s="2"/>
      <c r="G3207" s="2"/>
      <c r="H3207" s="2"/>
      <c r="I3207" s="2"/>
      <c r="J3207" s="2"/>
      <c r="K3207" s="2"/>
      <c r="L3207" s="2"/>
      <c r="M3207" s="2"/>
      <c r="N3207" s="2"/>
      <c r="O3207" s="2"/>
      <c r="P3207" s="2"/>
      <c r="Q3207" s="2"/>
      <c r="R3207" s="2"/>
      <c r="S3207" s="2"/>
      <c r="T3207" s="2"/>
      <c r="U3207" s="2"/>
      <c r="V3207" s="2"/>
      <c r="W3207" s="2"/>
      <c r="X3207" s="2"/>
      <c r="Y3207" s="1"/>
      <c r="Z3207" s="1"/>
      <c r="AA3207" s="2"/>
      <c r="AB3207" s="2"/>
      <c r="AC3207" s="2"/>
      <c r="AD3207" s="2"/>
      <c r="AE3207" s="2"/>
      <c r="AF3207" s="2"/>
      <c r="AG3207" s="2"/>
      <c r="AH3207" s="2"/>
      <c r="AI3207" s="2"/>
      <c r="AJ3207" s="2"/>
      <c r="AK3207" s="2"/>
      <c r="AL3207" s="2"/>
      <c r="AM3207" s="2"/>
      <c r="AN3207" s="2"/>
      <c r="AO3207" s="2"/>
      <c r="AP3207" s="2"/>
      <c r="AQ3207" s="2"/>
      <c r="AR3207" s="2"/>
      <c r="AS3207" s="2"/>
      <c r="AT3207" s="2"/>
      <c r="AU3207" s="2"/>
      <c r="AV3207" s="2"/>
      <c r="AW3207" s="2"/>
      <c r="AX3207" s="2"/>
    </row>
    <row r="3208" spans="1:50" ht="12.75" x14ac:dyDescent="0.2">
      <c r="A3208" s="2"/>
      <c r="B3208" s="2"/>
      <c r="C3208" s="2"/>
      <c r="D3208" s="2"/>
      <c r="E3208" s="2"/>
      <c r="F3208" s="2"/>
      <c r="G3208" s="2"/>
      <c r="H3208" s="2"/>
      <c r="I3208" s="2"/>
      <c r="J3208" s="2"/>
      <c r="K3208" s="2"/>
      <c r="L3208" s="2"/>
      <c r="M3208" s="2"/>
      <c r="N3208" s="2"/>
      <c r="O3208" s="2"/>
      <c r="P3208" s="2"/>
      <c r="Q3208" s="2"/>
      <c r="R3208" s="2"/>
      <c r="S3208" s="2"/>
      <c r="T3208" s="2"/>
      <c r="U3208" s="2"/>
      <c r="V3208" s="2"/>
      <c r="W3208" s="2"/>
      <c r="X3208" s="2"/>
      <c r="Y3208" s="1"/>
      <c r="Z3208" s="1"/>
      <c r="AA3208" s="2"/>
      <c r="AB3208" s="2"/>
      <c r="AC3208" s="2"/>
      <c r="AD3208" s="2"/>
      <c r="AE3208" s="2"/>
      <c r="AF3208" s="2"/>
      <c r="AG3208" s="2"/>
      <c r="AH3208" s="2"/>
      <c r="AI3208" s="2"/>
      <c r="AJ3208" s="2"/>
      <c r="AK3208" s="2"/>
      <c r="AL3208" s="2"/>
      <c r="AM3208" s="2"/>
      <c r="AN3208" s="2"/>
      <c r="AO3208" s="2"/>
      <c r="AP3208" s="2"/>
      <c r="AQ3208" s="2"/>
      <c r="AR3208" s="2"/>
      <c r="AS3208" s="2"/>
      <c r="AT3208" s="2"/>
      <c r="AU3208" s="2"/>
      <c r="AV3208" s="2"/>
      <c r="AW3208" s="2"/>
      <c r="AX3208" s="2"/>
    </row>
    <row r="3209" spans="1:50" ht="12.75" x14ac:dyDescent="0.2">
      <c r="A3209" s="2"/>
      <c r="B3209" s="2"/>
      <c r="C3209" s="2"/>
      <c r="D3209" s="2"/>
      <c r="E3209" s="2"/>
      <c r="F3209" s="2"/>
      <c r="G3209" s="2"/>
      <c r="H3209" s="2"/>
      <c r="I3209" s="2"/>
      <c r="J3209" s="2"/>
      <c r="K3209" s="2"/>
      <c r="L3209" s="2"/>
      <c r="M3209" s="2"/>
      <c r="N3209" s="2"/>
      <c r="O3209" s="2"/>
      <c r="P3209" s="2"/>
      <c r="Q3209" s="2"/>
      <c r="R3209" s="2"/>
      <c r="S3209" s="2"/>
      <c r="T3209" s="2"/>
      <c r="U3209" s="2"/>
      <c r="V3209" s="2"/>
      <c r="W3209" s="2"/>
      <c r="X3209" s="2"/>
      <c r="Y3209" s="1"/>
      <c r="Z3209" s="1"/>
      <c r="AA3209" s="2"/>
      <c r="AB3209" s="2"/>
      <c r="AC3209" s="2"/>
      <c r="AD3209" s="2"/>
      <c r="AE3209" s="2"/>
      <c r="AF3209" s="2"/>
      <c r="AG3209" s="2"/>
      <c r="AH3209" s="2"/>
      <c r="AI3209" s="2"/>
      <c r="AJ3209" s="2"/>
      <c r="AK3209" s="2"/>
      <c r="AL3209" s="2"/>
      <c r="AM3209" s="2"/>
      <c r="AN3209" s="2"/>
      <c r="AO3209" s="2"/>
      <c r="AP3209" s="2"/>
      <c r="AQ3209" s="2"/>
      <c r="AR3209" s="2"/>
      <c r="AS3209" s="2"/>
      <c r="AT3209" s="2"/>
      <c r="AU3209" s="2"/>
      <c r="AV3209" s="2"/>
      <c r="AW3209" s="2"/>
      <c r="AX3209" s="2"/>
    </row>
    <row r="3210" spans="1:50" ht="12.75" x14ac:dyDescent="0.2">
      <c r="A3210" s="2"/>
      <c r="B3210" s="2"/>
      <c r="C3210" s="2"/>
      <c r="D3210" s="2"/>
      <c r="E3210" s="2"/>
      <c r="F3210" s="2"/>
      <c r="G3210" s="2"/>
      <c r="H3210" s="2"/>
      <c r="I3210" s="2"/>
      <c r="J3210" s="2"/>
      <c r="K3210" s="2"/>
      <c r="L3210" s="2"/>
      <c r="M3210" s="2"/>
      <c r="N3210" s="2"/>
      <c r="O3210" s="2"/>
      <c r="P3210" s="2"/>
      <c r="Q3210" s="2"/>
      <c r="R3210" s="2"/>
      <c r="S3210" s="2"/>
      <c r="T3210" s="2"/>
      <c r="U3210" s="2"/>
      <c r="V3210" s="2"/>
      <c r="W3210" s="2"/>
      <c r="X3210" s="2"/>
      <c r="Y3210" s="1"/>
      <c r="Z3210" s="1"/>
      <c r="AA3210" s="2"/>
      <c r="AB3210" s="2"/>
      <c r="AC3210" s="2"/>
      <c r="AD3210" s="2"/>
      <c r="AE3210" s="2"/>
      <c r="AF3210" s="2"/>
      <c r="AG3210" s="2"/>
      <c r="AH3210" s="2"/>
      <c r="AI3210" s="2"/>
      <c r="AJ3210" s="2"/>
      <c r="AK3210" s="2"/>
      <c r="AL3210" s="2"/>
      <c r="AM3210" s="2"/>
      <c r="AN3210" s="2"/>
      <c r="AO3210" s="2"/>
      <c r="AP3210" s="2"/>
      <c r="AQ3210" s="2"/>
      <c r="AR3210" s="2"/>
      <c r="AS3210" s="2"/>
      <c r="AT3210" s="2"/>
      <c r="AU3210" s="2"/>
      <c r="AV3210" s="2"/>
      <c r="AW3210" s="2"/>
      <c r="AX3210" s="2"/>
    </row>
    <row r="3211" spans="1:50" ht="12.75" x14ac:dyDescent="0.2">
      <c r="A3211" s="2"/>
      <c r="B3211" s="2"/>
      <c r="C3211" s="2"/>
      <c r="D3211" s="2"/>
      <c r="E3211" s="2"/>
      <c r="F3211" s="2"/>
      <c r="G3211" s="2"/>
      <c r="H3211" s="2"/>
      <c r="I3211" s="2"/>
      <c r="J3211" s="2"/>
      <c r="K3211" s="2"/>
      <c r="L3211" s="2"/>
      <c r="M3211" s="2"/>
      <c r="N3211" s="2"/>
      <c r="O3211" s="2"/>
      <c r="P3211" s="2"/>
      <c r="Q3211" s="2"/>
      <c r="R3211" s="2"/>
      <c r="S3211" s="2"/>
      <c r="T3211" s="2"/>
      <c r="U3211" s="2"/>
      <c r="V3211" s="2"/>
      <c r="W3211" s="2"/>
      <c r="X3211" s="2"/>
      <c r="Y3211" s="1"/>
      <c r="Z3211" s="1"/>
      <c r="AA3211" s="2"/>
      <c r="AB3211" s="2"/>
      <c r="AC3211" s="2"/>
      <c r="AD3211" s="2"/>
      <c r="AE3211" s="2"/>
      <c r="AF3211" s="2"/>
      <c r="AG3211" s="2"/>
      <c r="AH3211" s="2"/>
      <c r="AI3211" s="2"/>
      <c r="AJ3211" s="2"/>
      <c r="AK3211" s="2"/>
      <c r="AL3211" s="2"/>
      <c r="AM3211" s="2"/>
      <c r="AN3211" s="2"/>
      <c r="AO3211" s="2"/>
      <c r="AP3211" s="2"/>
      <c r="AQ3211" s="2"/>
      <c r="AR3211" s="2"/>
      <c r="AS3211" s="2"/>
      <c r="AT3211" s="2"/>
      <c r="AU3211" s="2"/>
      <c r="AV3211" s="2"/>
      <c r="AW3211" s="2"/>
      <c r="AX3211" s="2"/>
    </row>
    <row r="3212" spans="1:50" ht="12.75" x14ac:dyDescent="0.2">
      <c r="A3212" s="2"/>
      <c r="B3212" s="2"/>
      <c r="C3212" s="2"/>
      <c r="D3212" s="2"/>
      <c r="E3212" s="2"/>
      <c r="F3212" s="2"/>
      <c r="G3212" s="2"/>
      <c r="H3212" s="2"/>
      <c r="I3212" s="2"/>
      <c r="J3212" s="2"/>
      <c r="K3212" s="2"/>
      <c r="L3212" s="2"/>
      <c r="M3212" s="2"/>
      <c r="N3212" s="2"/>
      <c r="O3212" s="2"/>
      <c r="P3212" s="2"/>
      <c r="Q3212" s="2"/>
      <c r="R3212" s="2"/>
      <c r="S3212" s="2"/>
      <c r="T3212" s="2"/>
      <c r="U3212" s="2"/>
      <c r="V3212" s="2"/>
      <c r="W3212" s="2"/>
      <c r="X3212" s="2"/>
      <c r="Y3212" s="1"/>
      <c r="Z3212" s="1"/>
      <c r="AA3212" s="2"/>
      <c r="AB3212" s="2"/>
      <c r="AC3212" s="2"/>
      <c r="AD3212" s="2"/>
      <c r="AE3212" s="2"/>
      <c r="AF3212" s="2"/>
      <c r="AG3212" s="2"/>
      <c r="AH3212" s="2"/>
      <c r="AI3212" s="2"/>
      <c r="AJ3212" s="2"/>
      <c r="AK3212" s="2"/>
      <c r="AL3212" s="2"/>
      <c r="AM3212" s="2"/>
      <c r="AN3212" s="2"/>
      <c r="AO3212" s="2"/>
      <c r="AP3212" s="2"/>
      <c r="AQ3212" s="2"/>
      <c r="AR3212" s="2"/>
      <c r="AS3212" s="2"/>
      <c r="AT3212" s="2"/>
      <c r="AU3212" s="2"/>
      <c r="AV3212" s="2"/>
      <c r="AW3212" s="2"/>
      <c r="AX3212" s="2"/>
    </row>
    <row r="3213" spans="1:50" ht="12.75" x14ac:dyDescent="0.2">
      <c r="A3213" s="2"/>
      <c r="B3213" s="2"/>
      <c r="C3213" s="2"/>
      <c r="D3213" s="2"/>
      <c r="E3213" s="2"/>
      <c r="F3213" s="2"/>
      <c r="G3213" s="2"/>
      <c r="H3213" s="2"/>
      <c r="I3213" s="2"/>
      <c r="J3213" s="2"/>
      <c r="K3213" s="2"/>
      <c r="L3213" s="2"/>
      <c r="M3213" s="2"/>
      <c r="N3213" s="2"/>
      <c r="O3213" s="2"/>
      <c r="P3213" s="2"/>
      <c r="Q3213" s="2"/>
      <c r="R3213" s="2"/>
      <c r="S3213" s="2"/>
      <c r="T3213" s="2"/>
      <c r="U3213" s="2"/>
      <c r="V3213" s="2"/>
      <c r="W3213" s="2"/>
      <c r="X3213" s="2"/>
      <c r="Y3213" s="1"/>
      <c r="Z3213" s="1"/>
      <c r="AA3213" s="2"/>
      <c r="AB3213" s="2"/>
      <c r="AC3213" s="2"/>
      <c r="AD3213" s="2"/>
      <c r="AE3213" s="2"/>
      <c r="AF3213" s="2"/>
      <c r="AG3213" s="2"/>
      <c r="AH3213" s="2"/>
      <c r="AI3213" s="2"/>
      <c r="AJ3213" s="2"/>
      <c r="AK3213" s="2"/>
      <c r="AL3213" s="2"/>
      <c r="AM3213" s="2"/>
      <c r="AN3213" s="2"/>
      <c r="AO3213" s="2"/>
      <c r="AP3213" s="2"/>
      <c r="AQ3213" s="2"/>
      <c r="AR3213" s="2"/>
      <c r="AS3213" s="2"/>
      <c r="AT3213" s="2"/>
      <c r="AU3213" s="2"/>
      <c r="AV3213" s="2"/>
      <c r="AW3213" s="2"/>
      <c r="AX3213" s="2"/>
    </row>
    <row r="3214" spans="1:50" ht="12.75" x14ac:dyDescent="0.2">
      <c r="A3214" s="2"/>
      <c r="B3214" s="2"/>
      <c r="C3214" s="2"/>
      <c r="D3214" s="2"/>
      <c r="E3214" s="2"/>
      <c r="F3214" s="2"/>
      <c r="G3214" s="2"/>
      <c r="H3214" s="2"/>
      <c r="I3214" s="2"/>
      <c r="J3214" s="2"/>
      <c r="K3214" s="2"/>
      <c r="L3214" s="2"/>
      <c r="M3214" s="2"/>
      <c r="N3214" s="2"/>
      <c r="O3214" s="2"/>
      <c r="P3214" s="2"/>
      <c r="Q3214" s="2"/>
      <c r="R3214" s="2"/>
      <c r="S3214" s="2"/>
      <c r="T3214" s="2"/>
      <c r="U3214" s="2"/>
      <c r="V3214" s="2"/>
      <c r="W3214" s="2"/>
      <c r="X3214" s="2"/>
      <c r="Y3214" s="1"/>
      <c r="Z3214" s="1"/>
      <c r="AA3214" s="2"/>
      <c r="AB3214" s="2"/>
      <c r="AC3214" s="2"/>
      <c r="AD3214" s="2"/>
      <c r="AE3214" s="2"/>
      <c r="AF3214" s="2"/>
      <c r="AG3214" s="2"/>
      <c r="AH3214" s="2"/>
      <c r="AI3214" s="2"/>
      <c r="AJ3214" s="2"/>
      <c r="AK3214" s="2"/>
      <c r="AL3214" s="2"/>
      <c r="AM3214" s="2"/>
      <c r="AN3214" s="2"/>
      <c r="AO3214" s="2"/>
      <c r="AP3214" s="2"/>
      <c r="AQ3214" s="2"/>
      <c r="AR3214" s="2"/>
      <c r="AS3214" s="2"/>
      <c r="AT3214" s="2"/>
      <c r="AU3214" s="2"/>
      <c r="AV3214" s="2"/>
      <c r="AW3214" s="2"/>
      <c r="AX3214" s="2"/>
    </row>
    <row r="3215" spans="1:50" ht="12.75" x14ac:dyDescent="0.2">
      <c r="A3215" s="2"/>
      <c r="B3215" s="2"/>
      <c r="C3215" s="2"/>
      <c r="D3215" s="2"/>
      <c r="E3215" s="2"/>
      <c r="F3215" s="2"/>
      <c r="G3215" s="2"/>
      <c r="H3215" s="2"/>
      <c r="I3215" s="2"/>
      <c r="J3215" s="2"/>
      <c r="K3215" s="2"/>
      <c r="L3215" s="2"/>
      <c r="M3215" s="2"/>
      <c r="N3215" s="2"/>
      <c r="O3215" s="2"/>
      <c r="P3215" s="2"/>
      <c r="Q3215" s="2"/>
      <c r="R3215" s="2"/>
      <c r="S3215" s="2"/>
      <c r="T3215" s="2"/>
      <c r="U3215" s="2"/>
      <c r="V3215" s="2"/>
      <c r="W3215" s="2"/>
      <c r="X3215" s="2"/>
      <c r="Y3215" s="1"/>
      <c r="Z3215" s="1"/>
      <c r="AA3215" s="2"/>
      <c r="AB3215" s="2"/>
      <c r="AC3215" s="2"/>
      <c r="AD3215" s="2"/>
      <c r="AE3215" s="2"/>
      <c r="AF3215" s="2"/>
      <c r="AG3215" s="2"/>
      <c r="AH3215" s="2"/>
      <c r="AI3215" s="2"/>
      <c r="AJ3215" s="2"/>
      <c r="AK3215" s="2"/>
      <c r="AL3215" s="2"/>
      <c r="AM3215" s="2"/>
      <c r="AN3215" s="2"/>
      <c r="AO3215" s="2"/>
      <c r="AP3215" s="2"/>
      <c r="AQ3215" s="2"/>
      <c r="AR3215" s="2"/>
      <c r="AS3215" s="2"/>
      <c r="AT3215" s="2"/>
      <c r="AU3215" s="2"/>
      <c r="AV3215" s="2"/>
      <c r="AW3215" s="2"/>
      <c r="AX3215" s="2"/>
    </row>
    <row r="3216" spans="1:50" ht="12.75" x14ac:dyDescent="0.2">
      <c r="A3216" s="2"/>
      <c r="B3216" s="2"/>
      <c r="C3216" s="2"/>
      <c r="D3216" s="2"/>
      <c r="E3216" s="2"/>
      <c r="F3216" s="2"/>
      <c r="G3216" s="2"/>
      <c r="H3216" s="2"/>
      <c r="I3216" s="2"/>
      <c r="J3216" s="2"/>
      <c r="K3216" s="2"/>
      <c r="L3216" s="2"/>
      <c r="M3216" s="2"/>
      <c r="N3216" s="2"/>
      <c r="O3216" s="2"/>
      <c r="P3216" s="2"/>
      <c r="Q3216" s="2"/>
      <c r="R3216" s="2"/>
      <c r="S3216" s="2"/>
      <c r="T3216" s="2"/>
      <c r="U3216" s="2"/>
      <c r="V3216" s="2"/>
      <c r="W3216" s="2"/>
      <c r="X3216" s="2"/>
      <c r="Y3216" s="1"/>
      <c r="Z3216" s="1"/>
      <c r="AA3216" s="2"/>
      <c r="AB3216" s="2"/>
      <c r="AC3216" s="2"/>
      <c r="AD3216" s="2"/>
      <c r="AE3216" s="2"/>
      <c r="AF3216" s="2"/>
      <c r="AG3216" s="2"/>
      <c r="AH3216" s="2"/>
      <c r="AI3216" s="2"/>
      <c r="AJ3216" s="2"/>
      <c r="AK3216" s="2"/>
      <c r="AL3216" s="2"/>
      <c r="AM3216" s="2"/>
      <c r="AN3216" s="2"/>
      <c r="AO3216" s="2"/>
      <c r="AP3216" s="2"/>
      <c r="AQ3216" s="2"/>
      <c r="AR3216" s="2"/>
      <c r="AS3216" s="2"/>
      <c r="AT3216" s="2"/>
      <c r="AU3216" s="2"/>
      <c r="AV3216" s="2"/>
      <c r="AW3216" s="2"/>
      <c r="AX3216" s="2"/>
    </row>
    <row r="3217" spans="1:50" ht="12.75" x14ac:dyDescent="0.2">
      <c r="A3217" s="2"/>
      <c r="B3217" s="2"/>
      <c r="C3217" s="2"/>
      <c r="D3217" s="2"/>
      <c r="E3217" s="2"/>
      <c r="F3217" s="2"/>
      <c r="G3217" s="2"/>
      <c r="H3217" s="2"/>
      <c r="I3217" s="2"/>
      <c r="J3217" s="2"/>
      <c r="K3217" s="2"/>
      <c r="L3217" s="2"/>
      <c r="M3217" s="2"/>
      <c r="N3217" s="2"/>
      <c r="O3217" s="2"/>
      <c r="P3217" s="2"/>
      <c r="Q3217" s="2"/>
      <c r="R3217" s="2"/>
      <c r="S3217" s="2"/>
      <c r="T3217" s="2"/>
      <c r="U3217" s="2"/>
      <c r="V3217" s="2"/>
      <c r="W3217" s="2"/>
      <c r="X3217" s="2"/>
      <c r="Y3217" s="1"/>
      <c r="Z3217" s="1"/>
      <c r="AA3217" s="2"/>
      <c r="AB3217" s="2"/>
      <c r="AC3217" s="2"/>
      <c r="AD3217" s="2"/>
      <c r="AE3217" s="2"/>
      <c r="AF3217" s="2"/>
      <c r="AG3217" s="2"/>
      <c r="AH3217" s="2"/>
      <c r="AI3217" s="2"/>
      <c r="AJ3217" s="2"/>
      <c r="AK3217" s="2"/>
      <c r="AL3217" s="2"/>
      <c r="AM3217" s="2"/>
      <c r="AN3217" s="2"/>
      <c r="AO3217" s="2"/>
      <c r="AP3217" s="2"/>
      <c r="AQ3217" s="2"/>
      <c r="AR3217" s="2"/>
      <c r="AS3217" s="2"/>
      <c r="AT3217" s="2"/>
      <c r="AU3217" s="2"/>
      <c r="AV3217" s="2"/>
      <c r="AW3217" s="2"/>
      <c r="AX3217" s="2"/>
    </row>
    <row r="3218" spans="1:50" ht="12.75" x14ac:dyDescent="0.2">
      <c r="A3218" s="2"/>
      <c r="B3218" s="2"/>
      <c r="C3218" s="2"/>
      <c r="D3218" s="2"/>
      <c r="E3218" s="2"/>
      <c r="F3218" s="2"/>
      <c r="G3218" s="2"/>
      <c r="H3218" s="2"/>
      <c r="I3218" s="2"/>
      <c r="J3218" s="2"/>
      <c r="K3218" s="2"/>
      <c r="L3218" s="2"/>
      <c r="M3218" s="2"/>
      <c r="N3218" s="2"/>
      <c r="O3218" s="2"/>
      <c r="P3218" s="2"/>
      <c r="Q3218" s="2"/>
      <c r="R3218" s="2"/>
      <c r="S3218" s="2"/>
      <c r="T3218" s="2"/>
      <c r="U3218" s="2"/>
      <c r="V3218" s="2"/>
      <c r="W3218" s="2"/>
      <c r="X3218" s="2"/>
      <c r="Y3218" s="1"/>
      <c r="Z3218" s="1"/>
      <c r="AA3218" s="2"/>
      <c r="AB3218" s="2"/>
      <c r="AC3218" s="2"/>
      <c r="AD3218" s="2"/>
      <c r="AE3218" s="2"/>
      <c r="AF3218" s="2"/>
      <c r="AG3218" s="2"/>
      <c r="AH3218" s="2"/>
      <c r="AI3218" s="2"/>
      <c r="AJ3218" s="2"/>
      <c r="AK3218" s="2"/>
      <c r="AL3218" s="2"/>
      <c r="AM3218" s="2"/>
      <c r="AN3218" s="2"/>
      <c r="AO3218" s="2"/>
      <c r="AP3218" s="2"/>
      <c r="AQ3218" s="2"/>
      <c r="AR3218" s="2"/>
      <c r="AS3218" s="2"/>
      <c r="AT3218" s="2"/>
      <c r="AU3218" s="2"/>
      <c r="AV3218" s="2"/>
      <c r="AW3218" s="2"/>
      <c r="AX3218" s="2"/>
    </row>
    <row r="3219" spans="1:50" ht="12.75" x14ac:dyDescent="0.2">
      <c r="A3219" s="2"/>
      <c r="B3219" s="2"/>
      <c r="C3219" s="2"/>
      <c r="D3219" s="2"/>
      <c r="E3219" s="2"/>
      <c r="F3219" s="2"/>
      <c r="G3219" s="2"/>
      <c r="H3219" s="2"/>
      <c r="I3219" s="2"/>
      <c r="J3219" s="2"/>
      <c r="K3219" s="2"/>
      <c r="L3219" s="2"/>
      <c r="M3219" s="2"/>
      <c r="N3219" s="2"/>
      <c r="O3219" s="2"/>
      <c r="P3219" s="2"/>
      <c r="Q3219" s="2"/>
      <c r="R3219" s="2"/>
      <c r="S3219" s="2"/>
      <c r="T3219" s="2"/>
      <c r="U3219" s="2"/>
      <c r="V3219" s="2"/>
      <c r="W3219" s="2"/>
      <c r="X3219" s="2"/>
      <c r="Y3219" s="1"/>
      <c r="Z3219" s="1"/>
      <c r="AA3219" s="2"/>
      <c r="AB3219" s="2"/>
      <c r="AC3219" s="2"/>
      <c r="AD3219" s="2"/>
      <c r="AE3219" s="2"/>
      <c r="AF3219" s="2"/>
      <c r="AG3219" s="2"/>
      <c r="AH3219" s="2"/>
      <c r="AI3219" s="2"/>
      <c r="AJ3219" s="2"/>
      <c r="AK3219" s="2"/>
      <c r="AL3219" s="2"/>
      <c r="AM3219" s="2"/>
      <c r="AN3219" s="2"/>
      <c r="AO3219" s="2"/>
      <c r="AP3219" s="2"/>
      <c r="AQ3219" s="2"/>
      <c r="AR3219" s="2"/>
      <c r="AS3219" s="2"/>
      <c r="AT3219" s="2"/>
      <c r="AU3219" s="2"/>
      <c r="AV3219" s="2"/>
      <c r="AW3219" s="2"/>
      <c r="AX3219" s="2"/>
    </row>
    <row r="3220" spans="1:50" ht="12.75" x14ac:dyDescent="0.2">
      <c r="A3220" s="2"/>
      <c r="B3220" s="2"/>
      <c r="C3220" s="2"/>
      <c r="D3220" s="2"/>
      <c r="E3220" s="2"/>
      <c r="F3220" s="2"/>
      <c r="G3220" s="2"/>
      <c r="H3220" s="2"/>
      <c r="I3220" s="2"/>
      <c r="J3220" s="2"/>
      <c r="K3220" s="2"/>
      <c r="L3220" s="2"/>
      <c r="M3220" s="2"/>
      <c r="N3220" s="2"/>
      <c r="O3220" s="2"/>
      <c r="P3220" s="2"/>
      <c r="Q3220" s="2"/>
      <c r="R3220" s="2"/>
      <c r="S3220" s="2"/>
      <c r="T3220" s="2"/>
      <c r="U3220" s="2"/>
      <c r="V3220" s="2"/>
      <c r="W3220" s="2"/>
      <c r="X3220" s="2"/>
      <c r="Y3220" s="1"/>
      <c r="Z3220" s="1"/>
      <c r="AA3220" s="2"/>
      <c r="AB3220" s="2"/>
      <c r="AC3220" s="2"/>
      <c r="AD3220" s="2"/>
      <c r="AE3220" s="2"/>
      <c r="AF3220" s="2"/>
      <c r="AG3220" s="2"/>
      <c r="AH3220" s="2"/>
      <c r="AI3220" s="2"/>
      <c r="AJ3220" s="2"/>
      <c r="AK3220" s="2"/>
      <c r="AL3220" s="2"/>
      <c r="AM3220" s="2"/>
      <c r="AN3220" s="2"/>
      <c r="AO3220" s="2"/>
      <c r="AP3220" s="2"/>
      <c r="AQ3220" s="2"/>
      <c r="AR3220" s="2"/>
      <c r="AS3220" s="2"/>
      <c r="AT3220" s="2"/>
      <c r="AU3220" s="2"/>
      <c r="AV3220" s="2"/>
      <c r="AW3220" s="2"/>
      <c r="AX3220" s="2"/>
    </row>
    <row r="3221" spans="1:50" ht="12.75" x14ac:dyDescent="0.2">
      <c r="A3221" s="2"/>
      <c r="B3221" s="2"/>
      <c r="C3221" s="2"/>
      <c r="D3221" s="2"/>
      <c r="E3221" s="2"/>
      <c r="F3221" s="2"/>
      <c r="G3221" s="2"/>
      <c r="H3221" s="2"/>
      <c r="I3221" s="2"/>
      <c r="J3221" s="2"/>
      <c r="K3221" s="2"/>
      <c r="L3221" s="2"/>
      <c r="M3221" s="2"/>
      <c r="N3221" s="2"/>
      <c r="O3221" s="2"/>
      <c r="P3221" s="2"/>
      <c r="Q3221" s="2"/>
      <c r="R3221" s="2"/>
      <c r="S3221" s="2"/>
      <c r="T3221" s="2"/>
      <c r="U3221" s="2"/>
      <c r="V3221" s="2"/>
      <c r="W3221" s="2"/>
      <c r="X3221" s="2"/>
      <c r="Y3221" s="1"/>
      <c r="Z3221" s="1"/>
      <c r="AA3221" s="2"/>
      <c r="AB3221" s="2"/>
      <c r="AC3221" s="2"/>
      <c r="AD3221" s="2"/>
      <c r="AE3221" s="2"/>
      <c r="AF3221" s="2"/>
      <c r="AG3221" s="2"/>
      <c r="AH3221" s="2"/>
      <c r="AI3221" s="2"/>
      <c r="AJ3221" s="2"/>
      <c r="AK3221" s="2"/>
      <c r="AL3221" s="2"/>
      <c r="AM3221" s="2"/>
      <c r="AN3221" s="2"/>
      <c r="AO3221" s="2"/>
      <c r="AP3221" s="2"/>
      <c r="AQ3221" s="2"/>
      <c r="AR3221" s="2"/>
      <c r="AS3221" s="2"/>
      <c r="AT3221" s="2"/>
      <c r="AU3221" s="2"/>
      <c r="AV3221" s="2"/>
      <c r="AW3221" s="2"/>
      <c r="AX3221" s="2"/>
    </row>
    <row r="3222" spans="1:50" ht="12.75" x14ac:dyDescent="0.2">
      <c r="A3222" s="2"/>
      <c r="B3222" s="2"/>
      <c r="C3222" s="2"/>
      <c r="D3222" s="2"/>
      <c r="E3222" s="2"/>
      <c r="F3222" s="2"/>
      <c r="G3222" s="2"/>
      <c r="H3222" s="2"/>
      <c r="I3222" s="2"/>
      <c r="J3222" s="2"/>
      <c r="K3222" s="2"/>
      <c r="L3222" s="2"/>
      <c r="M3222" s="2"/>
      <c r="N3222" s="2"/>
      <c r="O3222" s="2"/>
      <c r="P3222" s="2"/>
      <c r="Q3222" s="2"/>
      <c r="R3222" s="2"/>
      <c r="S3222" s="2"/>
      <c r="T3222" s="2"/>
      <c r="U3222" s="2"/>
      <c r="V3222" s="2"/>
      <c r="W3222" s="2"/>
      <c r="X3222" s="2"/>
      <c r="Y3222" s="1"/>
      <c r="Z3222" s="1"/>
      <c r="AA3222" s="2"/>
      <c r="AB3222" s="2"/>
      <c r="AC3222" s="2"/>
      <c r="AD3222" s="2"/>
      <c r="AE3222" s="2"/>
      <c r="AF3222" s="2"/>
      <c r="AG3222" s="2"/>
      <c r="AH3222" s="2"/>
      <c r="AI3222" s="2"/>
      <c r="AJ3222" s="2"/>
      <c r="AK3222" s="2"/>
      <c r="AL3222" s="2"/>
      <c r="AM3222" s="2"/>
      <c r="AN3222" s="2"/>
      <c r="AO3222" s="2"/>
      <c r="AP3222" s="2"/>
      <c r="AQ3222" s="2"/>
      <c r="AR3222" s="2"/>
      <c r="AS3222" s="2"/>
      <c r="AT3222" s="2"/>
      <c r="AU3222" s="2"/>
      <c r="AV3222" s="2"/>
      <c r="AW3222" s="2"/>
      <c r="AX3222" s="2"/>
    </row>
    <row r="3223" spans="1:50" ht="12.75" x14ac:dyDescent="0.2">
      <c r="A3223" s="2"/>
      <c r="B3223" s="2"/>
      <c r="C3223" s="2"/>
      <c r="D3223" s="2"/>
      <c r="E3223" s="2"/>
      <c r="F3223" s="2"/>
      <c r="G3223" s="2"/>
      <c r="H3223" s="2"/>
      <c r="I3223" s="2"/>
      <c r="J3223" s="2"/>
      <c r="K3223" s="2"/>
      <c r="L3223" s="2"/>
      <c r="M3223" s="2"/>
      <c r="N3223" s="2"/>
      <c r="O3223" s="2"/>
      <c r="P3223" s="2"/>
      <c r="Q3223" s="2"/>
      <c r="R3223" s="2"/>
      <c r="S3223" s="2"/>
      <c r="T3223" s="2"/>
      <c r="U3223" s="2"/>
      <c r="V3223" s="2"/>
      <c r="W3223" s="2"/>
      <c r="X3223" s="2"/>
      <c r="Y3223" s="1"/>
      <c r="Z3223" s="1"/>
      <c r="AA3223" s="2"/>
      <c r="AB3223" s="2"/>
      <c r="AC3223" s="2"/>
      <c r="AD3223" s="2"/>
      <c r="AE3223" s="2"/>
      <c r="AF3223" s="2"/>
      <c r="AG3223" s="2"/>
      <c r="AH3223" s="2"/>
      <c r="AI3223" s="2"/>
      <c r="AJ3223" s="2"/>
      <c r="AK3223" s="2"/>
      <c r="AL3223" s="2"/>
      <c r="AM3223" s="2"/>
      <c r="AN3223" s="2"/>
      <c r="AO3223" s="2"/>
      <c r="AP3223" s="2"/>
      <c r="AQ3223" s="2"/>
      <c r="AR3223" s="2"/>
      <c r="AS3223" s="2"/>
      <c r="AT3223" s="2"/>
      <c r="AU3223" s="2"/>
      <c r="AV3223" s="2"/>
      <c r="AW3223" s="2"/>
      <c r="AX3223" s="2"/>
    </row>
    <row r="3224" spans="1:50" ht="12.75" x14ac:dyDescent="0.2">
      <c r="A3224" s="2"/>
      <c r="B3224" s="2"/>
      <c r="C3224" s="2"/>
      <c r="D3224" s="2"/>
      <c r="E3224" s="2"/>
      <c r="F3224" s="2"/>
      <c r="G3224" s="2"/>
      <c r="H3224" s="2"/>
      <c r="I3224" s="2"/>
      <c r="J3224" s="2"/>
      <c r="K3224" s="2"/>
      <c r="L3224" s="2"/>
      <c r="M3224" s="2"/>
      <c r="N3224" s="2"/>
      <c r="O3224" s="2"/>
      <c r="P3224" s="2"/>
      <c r="Q3224" s="2"/>
      <c r="R3224" s="2"/>
      <c r="S3224" s="2"/>
      <c r="T3224" s="2"/>
      <c r="U3224" s="2"/>
      <c r="V3224" s="2"/>
      <c r="W3224" s="2"/>
      <c r="X3224" s="2"/>
      <c r="Y3224" s="1"/>
      <c r="Z3224" s="1"/>
      <c r="AA3224" s="2"/>
      <c r="AB3224" s="2"/>
      <c r="AC3224" s="2"/>
      <c r="AD3224" s="2"/>
      <c r="AE3224" s="2"/>
      <c r="AF3224" s="2"/>
      <c r="AG3224" s="2"/>
      <c r="AH3224" s="2"/>
      <c r="AI3224" s="2"/>
      <c r="AJ3224" s="2"/>
      <c r="AK3224" s="2"/>
      <c r="AL3224" s="2"/>
      <c r="AM3224" s="2"/>
      <c r="AN3224" s="2"/>
      <c r="AO3224" s="2"/>
      <c r="AP3224" s="2"/>
      <c r="AQ3224" s="2"/>
      <c r="AR3224" s="2"/>
      <c r="AS3224" s="2"/>
      <c r="AT3224" s="2"/>
      <c r="AU3224" s="2"/>
      <c r="AV3224" s="2"/>
      <c r="AW3224" s="2"/>
      <c r="AX3224" s="2"/>
    </row>
    <row r="3225" spans="1:50" ht="12.75" x14ac:dyDescent="0.2">
      <c r="A3225" s="2"/>
      <c r="B3225" s="2"/>
      <c r="C3225" s="2"/>
      <c r="D3225" s="2"/>
      <c r="E3225" s="2"/>
      <c r="F3225" s="2"/>
      <c r="G3225" s="2"/>
      <c r="H3225" s="2"/>
      <c r="I3225" s="2"/>
      <c r="J3225" s="2"/>
      <c r="K3225" s="2"/>
      <c r="L3225" s="2"/>
      <c r="M3225" s="2"/>
      <c r="N3225" s="2"/>
      <c r="O3225" s="2"/>
      <c r="P3225" s="2"/>
      <c r="Q3225" s="2"/>
      <c r="R3225" s="2"/>
      <c r="S3225" s="2"/>
      <c r="T3225" s="2"/>
      <c r="U3225" s="2"/>
      <c r="V3225" s="2"/>
      <c r="W3225" s="2"/>
      <c r="X3225" s="2"/>
      <c r="Y3225" s="1"/>
      <c r="Z3225" s="1"/>
      <c r="AA3225" s="2"/>
      <c r="AB3225" s="2"/>
      <c r="AC3225" s="2"/>
      <c r="AD3225" s="2"/>
      <c r="AE3225" s="2"/>
      <c r="AF3225" s="2"/>
      <c r="AG3225" s="2"/>
      <c r="AH3225" s="2"/>
      <c r="AI3225" s="2"/>
      <c r="AJ3225" s="2"/>
      <c r="AK3225" s="2"/>
      <c r="AL3225" s="2"/>
      <c r="AM3225" s="2"/>
      <c r="AN3225" s="2"/>
      <c r="AO3225" s="2"/>
      <c r="AP3225" s="2"/>
      <c r="AQ3225" s="2"/>
      <c r="AR3225" s="2"/>
      <c r="AS3225" s="2"/>
      <c r="AT3225" s="2"/>
      <c r="AU3225" s="2"/>
      <c r="AV3225" s="2"/>
      <c r="AW3225" s="2"/>
      <c r="AX3225" s="2"/>
    </row>
    <row r="3226" spans="1:50" ht="12.75" x14ac:dyDescent="0.2">
      <c r="A3226" s="2"/>
      <c r="B3226" s="2"/>
      <c r="C3226" s="2"/>
      <c r="D3226" s="2"/>
      <c r="E3226" s="2"/>
      <c r="F3226" s="2"/>
      <c r="G3226" s="2"/>
      <c r="H3226" s="2"/>
      <c r="I3226" s="2"/>
      <c r="J3226" s="2"/>
      <c r="K3226" s="2"/>
      <c r="L3226" s="2"/>
      <c r="M3226" s="2"/>
      <c r="N3226" s="2"/>
      <c r="O3226" s="2"/>
      <c r="P3226" s="2"/>
      <c r="Q3226" s="2"/>
      <c r="R3226" s="2"/>
      <c r="S3226" s="2"/>
      <c r="T3226" s="2"/>
      <c r="U3226" s="2"/>
      <c r="V3226" s="2"/>
      <c r="W3226" s="2"/>
      <c r="X3226" s="2"/>
      <c r="Y3226" s="1"/>
      <c r="Z3226" s="1"/>
      <c r="AA3226" s="2"/>
      <c r="AB3226" s="2"/>
      <c r="AC3226" s="2"/>
      <c r="AD3226" s="2"/>
      <c r="AE3226" s="2"/>
      <c r="AF3226" s="2"/>
      <c r="AG3226" s="2"/>
      <c r="AH3226" s="2"/>
      <c r="AI3226" s="2"/>
      <c r="AJ3226" s="2"/>
      <c r="AK3226" s="2"/>
      <c r="AL3226" s="2"/>
      <c r="AM3226" s="2"/>
      <c r="AN3226" s="2"/>
      <c r="AO3226" s="2"/>
      <c r="AP3226" s="2"/>
      <c r="AQ3226" s="2"/>
      <c r="AR3226" s="2"/>
      <c r="AS3226" s="2"/>
      <c r="AT3226" s="2"/>
      <c r="AU3226" s="2"/>
      <c r="AV3226" s="2"/>
      <c r="AW3226" s="2"/>
      <c r="AX3226" s="2"/>
    </row>
    <row r="3227" spans="1:50" ht="12.75" x14ac:dyDescent="0.2">
      <c r="A3227" s="2"/>
      <c r="B3227" s="2"/>
      <c r="C3227" s="2"/>
      <c r="D3227" s="2"/>
      <c r="E3227" s="2"/>
      <c r="F3227" s="2"/>
      <c r="G3227" s="2"/>
      <c r="H3227" s="2"/>
      <c r="I3227" s="2"/>
      <c r="J3227" s="2"/>
      <c r="K3227" s="2"/>
      <c r="L3227" s="2"/>
      <c r="M3227" s="2"/>
      <c r="N3227" s="2"/>
      <c r="O3227" s="2"/>
      <c r="P3227" s="2"/>
      <c r="Q3227" s="2"/>
      <c r="R3227" s="2"/>
      <c r="S3227" s="2"/>
      <c r="T3227" s="2"/>
      <c r="U3227" s="2"/>
      <c r="V3227" s="2"/>
      <c r="W3227" s="2"/>
      <c r="X3227" s="2"/>
      <c r="Y3227" s="1"/>
      <c r="Z3227" s="1"/>
      <c r="AA3227" s="2"/>
      <c r="AB3227" s="2"/>
      <c r="AC3227" s="2"/>
      <c r="AD3227" s="2"/>
      <c r="AE3227" s="2"/>
      <c r="AF3227" s="2"/>
      <c r="AG3227" s="2"/>
      <c r="AH3227" s="2"/>
      <c r="AI3227" s="2"/>
      <c r="AJ3227" s="2"/>
      <c r="AK3227" s="2"/>
      <c r="AL3227" s="2"/>
      <c r="AM3227" s="2"/>
      <c r="AN3227" s="2"/>
      <c r="AO3227" s="2"/>
      <c r="AP3227" s="2"/>
      <c r="AQ3227" s="2"/>
      <c r="AR3227" s="2"/>
      <c r="AS3227" s="2"/>
      <c r="AT3227" s="2"/>
      <c r="AU3227" s="2"/>
      <c r="AV3227" s="2"/>
      <c r="AW3227" s="2"/>
      <c r="AX3227" s="2"/>
    </row>
    <row r="3228" spans="1:50" ht="12.75" x14ac:dyDescent="0.2">
      <c r="A3228" s="2"/>
      <c r="B3228" s="2"/>
      <c r="C3228" s="2"/>
      <c r="D3228" s="2"/>
      <c r="E3228" s="2"/>
      <c r="F3228" s="2"/>
      <c r="G3228" s="2"/>
      <c r="H3228" s="2"/>
      <c r="I3228" s="2"/>
      <c r="J3228" s="2"/>
      <c r="K3228" s="2"/>
      <c r="L3228" s="2"/>
      <c r="M3228" s="2"/>
      <c r="N3228" s="2"/>
      <c r="O3228" s="2"/>
      <c r="P3228" s="2"/>
      <c r="Q3228" s="2"/>
      <c r="R3228" s="2"/>
      <c r="S3228" s="2"/>
      <c r="T3228" s="2"/>
      <c r="U3228" s="2"/>
      <c r="V3228" s="2"/>
      <c r="W3228" s="2"/>
      <c r="X3228" s="2"/>
      <c r="Y3228" s="1"/>
      <c r="Z3228" s="1"/>
      <c r="AA3228" s="2"/>
      <c r="AB3228" s="2"/>
      <c r="AC3228" s="2"/>
      <c r="AD3228" s="2"/>
      <c r="AE3228" s="2"/>
      <c r="AF3228" s="2"/>
      <c r="AG3228" s="2"/>
      <c r="AH3228" s="2"/>
      <c r="AI3228" s="2"/>
      <c r="AJ3228" s="2"/>
      <c r="AK3228" s="2"/>
      <c r="AL3228" s="2"/>
      <c r="AM3228" s="2"/>
      <c r="AN3228" s="2"/>
      <c r="AO3228" s="2"/>
      <c r="AP3228" s="2"/>
      <c r="AQ3228" s="2"/>
      <c r="AR3228" s="2"/>
      <c r="AS3228" s="2"/>
      <c r="AT3228" s="2"/>
      <c r="AU3228" s="2"/>
      <c r="AV3228" s="2"/>
      <c r="AW3228" s="2"/>
      <c r="AX3228" s="2"/>
    </row>
    <row r="3229" spans="1:50" ht="12.75" x14ac:dyDescent="0.2">
      <c r="A3229" s="2"/>
      <c r="B3229" s="2"/>
      <c r="C3229" s="2"/>
      <c r="D3229" s="2"/>
      <c r="E3229" s="2"/>
      <c r="F3229" s="2"/>
      <c r="G3229" s="2"/>
      <c r="H3229" s="2"/>
      <c r="I3229" s="2"/>
      <c r="J3229" s="2"/>
      <c r="K3229" s="2"/>
      <c r="L3229" s="2"/>
      <c r="M3229" s="2"/>
      <c r="N3229" s="2"/>
      <c r="O3229" s="2"/>
      <c r="P3229" s="2"/>
      <c r="Q3229" s="2"/>
      <c r="R3229" s="2"/>
      <c r="S3229" s="2"/>
      <c r="T3229" s="2"/>
      <c r="U3229" s="2"/>
      <c r="V3229" s="2"/>
      <c r="W3229" s="2"/>
      <c r="X3229" s="2"/>
      <c r="Y3229" s="1"/>
      <c r="Z3229" s="1"/>
      <c r="AA3229" s="2"/>
      <c r="AB3229" s="2"/>
      <c r="AC3229" s="2"/>
      <c r="AD3229" s="2"/>
      <c r="AE3229" s="2"/>
      <c r="AF3229" s="2"/>
      <c r="AG3229" s="2"/>
      <c r="AH3229" s="2"/>
      <c r="AI3229" s="2"/>
      <c r="AJ3229" s="2"/>
      <c r="AK3229" s="2"/>
      <c r="AL3229" s="2"/>
      <c r="AM3229" s="2"/>
      <c r="AN3229" s="2"/>
      <c r="AO3229" s="2"/>
      <c r="AP3229" s="2"/>
      <c r="AQ3229" s="2"/>
      <c r="AR3229" s="2"/>
      <c r="AS3229" s="2"/>
      <c r="AT3229" s="2"/>
      <c r="AU3229" s="2"/>
      <c r="AV3229" s="2"/>
      <c r="AW3229" s="2"/>
      <c r="AX3229" s="2"/>
    </row>
    <row r="3230" spans="1:50" ht="12.75" x14ac:dyDescent="0.2">
      <c r="A3230" s="2"/>
      <c r="B3230" s="2"/>
      <c r="C3230" s="2"/>
      <c r="D3230" s="2"/>
      <c r="E3230" s="2"/>
      <c r="F3230" s="2"/>
      <c r="G3230" s="2"/>
      <c r="H3230" s="2"/>
      <c r="I3230" s="2"/>
      <c r="J3230" s="2"/>
      <c r="K3230" s="2"/>
      <c r="L3230" s="2"/>
      <c r="M3230" s="2"/>
      <c r="N3230" s="2"/>
      <c r="O3230" s="2"/>
      <c r="P3230" s="2"/>
      <c r="Q3230" s="2"/>
      <c r="R3230" s="2"/>
      <c r="S3230" s="2"/>
      <c r="T3230" s="2"/>
      <c r="U3230" s="2"/>
      <c r="V3230" s="2"/>
      <c r="W3230" s="2"/>
      <c r="X3230" s="2"/>
      <c r="Y3230" s="1"/>
      <c r="Z3230" s="1"/>
      <c r="AA3230" s="2"/>
      <c r="AB3230" s="2"/>
      <c r="AC3230" s="2"/>
      <c r="AD3230" s="2"/>
      <c r="AE3230" s="2"/>
      <c r="AF3230" s="2"/>
      <c r="AG3230" s="2"/>
      <c r="AH3230" s="2"/>
      <c r="AI3230" s="2"/>
      <c r="AJ3230" s="2"/>
      <c r="AK3230" s="2"/>
      <c r="AL3230" s="2"/>
      <c r="AM3230" s="2"/>
      <c r="AN3230" s="2"/>
      <c r="AO3230" s="2"/>
      <c r="AP3230" s="2"/>
      <c r="AQ3230" s="2"/>
      <c r="AR3230" s="2"/>
      <c r="AS3230" s="2"/>
      <c r="AT3230" s="2"/>
      <c r="AU3230" s="2"/>
      <c r="AV3230" s="2"/>
      <c r="AW3230" s="2"/>
      <c r="AX3230" s="2"/>
    </row>
    <row r="3231" spans="1:50" ht="12.75" x14ac:dyDescent="0.2">
      <c r="A3231" s="2"/>
      <c r="B3231" s="2"/>
      <c r="C3231" s="2"/>
      <c r="D3231" s="2"/>
      <c r="E3231" s="2"/>
      <c r="F3231" s="2"/>
      <c r="G3231" s="2"/>
      <c r="H3231" s="2"/>
      <c r="I3231" s="2"/>
      <c r="J3231" s="2"/>
      <c r="K3231" s="2"/>
      <c r="L3231" s="2"/>
      <c r="M3231" s="2"/>
      <c r="N3231" s="2"/>
      <c r="O3231" s="2"/>
      <c r="P3231" s="2"/>
      <c r="Q3231" s="2"/>
      <c r="R3231" s="2"/>
      <c r="S3231" s="2"/>
      <c r="T3231" s="2"/>
      <c r="U3231" s="2"/>
      <c r="V3231" s="2"/>
      <c r="W3231" s="2"/>
      <c r="X3231" s="2"/>
      <c r="Y3231" s="1"/>
      <c r="Z3231" s="1"/>
      <c r="AA3231" s="2"/>
      <c r="AB3231" s="2"/>
      <c r="AC3231" s="2"/>
      <c r="AD3231" s="2"/>
      <c r="AE3231" s="2"/>
      <c r="AF3231" s="2"/>
      <c r="AG3231" s="2"/>
      <c r="AH3231" s="2"/>
      <c r="AI3231" s="2"/>
      <c r="AJ3231" s="2"/>
      <c r="AK3231" s="2"/>
      <c r="AL3231" s="2"/>
      <c r="AM3231" s="2"/>
      <c r="AN3231" s="2"/>
      <c r="AO3231" s="2"/>
      <c r="AP3231" s="2"/>
      <c r="AQ3231" s="2"/>
      <c r="AR3231" s="2"/>
      <c r="AS3231" s="2"/>
      <c r="AT3231" s="2"/>
      <c r="AU3231" s="2"/>
      <c r="AV3231" s="2"/>
      <c r="AW3231" s="2"/>
      <c r="AX3231" s="2"/>
    </row>
    <row r="3232" spans="1:50" ht="12.75" x14ac:dyDescent="0.2">
      <c r="A3232" s="2"/>
      <c r="B3232" s="2"/>
      <c r="C3232" s="2"/>
      <c r="D3232" s="2"/>
      <c r="E3232" s="2"/>
      <c r="F3232" s="2"/>
      <c r="G3232" s="2"/>
      <c r="H3232" s="2"/>
      <c r="I3232" s="2"/>
      <c r="J3232" s="2"/>
      <c r="K3232" s="2"/>
      <c r="L3232" s="2"/>
      <c r="M3232" s="2"/>
      <c r="N3232" s="2"/>
      <c r="O3232" s="2"/>
      <c r="P3232" s="2"/>
      <c r="Q3232" s="2"/>
      <c r="R3232" s="2"/>
      <c r="S3232" s="2"/>
      <c r="T3232" s="2"/>
      <c r="U3232" s="2"/>
      <c r="V3232" s="2"/>
      <c r="W3232" s="2"/>
      <c r="X3232" s="2"/>
      <c r="Y3232" s="1"/>
      <c r="Z3232" s="1"/>
      <c r="AA3232" s="2"/>
      <c r="AB3232" s="2"/>
      <c r="AC3232" s="2"/>
      <c r="AD3232" s="2"/>
      <c r="AE3232" s="2"/>
      <c r="AF3232" s="2"/>
      <c r="AG3232" s="2"/>
      <c r="AH3232" s="2"/>
      <c r="AI3232" s="2"/>
      <c r="AJ3232" s="2"/>
      <c r="AK3232" s="2"/>
      <c r="AL3232" s="2"/>
      <c r="AM3232" s="2"/>
      <c r="AN3232" s="2"/>
      <c r="AO3232" s="2"/>
      <c r="AP3232" s="2"/>
      <c r="AQ3232" s="2"/>
      <c r="AR3232" s="2"/>
      <c r="AS3232" s="2"/>
      <c r="AT3232" s="2"/>
      <c r="AU3232" s="2"/>
      <c r="AV3232" s="2"/>
      <c r="AW3232" s="2"/>
      <c r="AX3232" s="2"/>
    </row>
    <row r="3233" spans="1:50" ht="12.75" x14ac:dyDescent="0.2">
      <c r="A3233" s="2"/>
      <c r="B3233" s="2"/>
      <c r="C3233" s="2"/>
      <c r="D3233" s="2"/>
      <c r="E3233" s="2"/>
      <c r="F3233" s="2"/>
      <c r="G3233" s="2"/>
      <c r="H3233" s="2"/>
      <c r="I3233" s="2"/>
      <c r="J3233" s="2"/>
      <c r="K3233" s="2"/>
      <c r="L3233" s="2"/>
      <c r="M3233" s="2"/>
      <c r="N3233" s="2"/>
      <c r="O3233" s="2"/>
      <c r="P3233" s="2"/>
      <c r="Q3233" s="2"/>
      <c r="R3233" s="2"/>
      <c r="S3233" s="2"/>
      <c r="T3233" s="2"/>
      <c r="U3233" s="2"/>
      <c r="V3233" s="2"/>
      <c r="W3233" s="2"/>
      <c r="X3233" s="2"/>
      <c r="Y3233" s="1"/>
      <c r="Z3233" s="1"/>
      <c r="AA3233" s="2"/>
      <c r="AB3233" s="2"/>
      <c r="AC3233" s="2"/>
      <c r="AD3233" s="2"/>
      <c r="AE3233" s="2"/>
      <c r="AF3233" s="2"/>
      <c r="AG3233" s="2"/>
      <c r="AH3233" s="2"/>
      <c r="AI3233" s="2"/>
      <c r="AJ3233" s="2"/>
      <c r="AK3233" s="2"/>
      <c r="AL3233" s="2"/>
      <c r="AM3233" s="2"/>
      <c r="AN3233" s="2"/>
      <c r="AO3233" s="2"/>
      <c r="AP3233" s="2"/>
      <c r="AQ3233" s="2"/>
      <c r="AR3233" s="2"/>
      <c r="AS3233" s="2"/>
      <c r="AT3233" s="2"/>
      <c r="AU3233" s="2"/>
      <c r="AV3233" s="2"/>
      <c r="AW3233" s="2"/>
      <c r="AX3233" s="2"/>
    </row>
    <row r="3234" spans="1:50" ht="12.75" x14ac:dyDescent="0.2">
      <c r="A3234" s="2"/>
      <c r="B3234" s="2"/>
      <c r="C3234" s="2"/>
      <c r="D3234" s="2"/>
      <c r="E3234" s="2"/>
      <c r="F3234" s="2"/>
      <c r="G3234" s="2"/>
      <c r="H3234" s="2"/>
      <c r="I3234" s="2"/>
      <c r="J3234" s="2"/>
      <c r="K3234" s="2"/>
      <c r="L3234" s="2"/>
      <c r="M3234" s="2"/>
      <c r="N3234" s="2"/>
      <c r="O3234" s="2"/>
      <c r="P3234" s="2"/>
      <c r="Q3234" s="2"/>
      <c r="R3234" s="2"/>
      <c r="S3234" s="2"/>
      <c r="T3234" s="2"/>
      <c r="U3234" s="2"/>
      <c r="V3234" s="2"/>
      <c r="W3234" s="2"/>
      <c r="X3234" s="2"/>
      <c r="Y3234" s="1"/>
      <c r="Z3234" s="1"/>
      <c r="AA3234" s="2"/>
      <c r="AB3234" s="2"/>
      <c r="AC3234" s="2"/>
      <c r="AD3234" s="2"/>
      <c r="AE3234" s="2"/>
      <c r="AF3234" s="2"/>
      <c r="AG3234" s="2"/>
      <c r="AH3234" s="2"/>
      <c r="AI3234" s="2"/>
      <c r="AJ3234" s="2"/>
      <c r="AK3234" s="2"/>
      <c r="AL3234" s="2"/>
      <c r="AM3234" s="2"/>
      <c r="AN3234" s="2"/>
      <c r="AO3234" s="2"/>
      <c r="AP3234" s="2"/>
      <c r="AQ3234" s="2"/>
      <c r="AR3234" s="2"/>
      <c r="AS3234" s="2"/>
      <c r="AT3234" s="2"/>
      <c r="AU3234" s="2"/>
      <c r="AV3234" s="2"/>
      <c r="AW3234" s="2"/>
      <c r="AX3234" s="2"/>
    </row>
    <row r="3235" spans="1:50" ht="12.75" x14ac:dyDescent="0.2">
      <c r="A3235" s="2"/>
      <c r="B3235" s="2"/>
      <c r="C3235" s="2"/>
      <c r="D3235" s="2"/>
      <c r="E3235" s="2"/>
      <c r="F3235" s="2"/>
      <c r="G3235" s="2"/>
      <c r="H3235" s="2"/>
      <c r="I3235" s="2"/>
      <c r="J3235" s="2"/>
      <c r="K3235" s="2"/>
      <c r="L3235" s="2"/>
      <c r="M3235" s="2"/>
      <c r="N3235" s="2"/>
      <c r="O3235" s="2"/>
      <c r="P3235" s="2"/>
      <c r="Q3235" s="2"/>
      <c r="R3235" s="2"/>
      <c r="S3235" s="2"/>
      <c r="T3235" s="2"/>
      <c r="U3235" s="2"/>
      <c r="V3235" s="2"/>
      <c r="W3235" s="2"/>
      <c r="X3235" s="2"/>
      <c r="Y3235" s="1"/>
      <c r="Z3235" s="1"/>
      <c r="AA3235" s="2"/>
      <c r="AB3235" s="2"/>
      <c r="AC3235" s="2"/>
      <c r="AD3235" s="2"/>
      <c r="AE3235" s="2"/>
      <c r="AF3235" s="2"/>
      <c r="AG3235" s="2"/>
      <c r="AH3235" s="2"/>
      <c r="AI3235" s="2"/>
      <c r="AJ3235" s="2"/>
      <c r="AK3235" s="2"/>
      <c r="AL3235" s="2"/>
      <c r="AM3235" s="2"/>
      <c r="AN3235" s="2"/>
      <c r="AO3235" s="2"/>
      <c r="AP3235" s="2"/>
      <c r="AQ3235" s="2"/>
      <c r="AR3235" s="2"/>
      <c r="AS3235" s="2"/>
      <c r="AT3235" s="2"/>
      <c r="AU3235" s="2"/>
      <c r="AV3235" s="2"/>
      <c r="AW3235" s="2"/>
      <c r="AX3235" s="2"/>
    </row>
    <row r="3236" spans="1:50" ht="12.75" x14ac:dyDescent="0.2">
      <c r="A3236" s="2"/>
      <c r="B3236" s="2"/>
      <c r="C3236" s="2"/>
      <c r="D3236" s="2"/>
      <c r="E3236" s="2"/>
      <c r="F3236" s="2"/>
      <c r="G3236" s="2"/>
      <c r="H3236" s="2"/>
      <c r="I3236" s="2"/>
      <c r="J3236" s="2"/>
      <c r="K3236" s="2"/>
      <c r="L3236" s="2"/>
      <c r="M3236" s="2"/>
      <c r="N3236" s="2"/>
      <c r="O3236" s="2"/>
      <c r="P3236" s="2"/>
      <c r="Q3236" s="2"/>
      <c r="R3236" s="2"/>
      <c r="S3236" s="2"/>
      <c r="T3236" s="2"/>
      <c r="U3236" s="2"/>
      <c r="V3236" s="2"/>
      <c r="W3236" s="2"/>
      <c r="X3236" s="2"/>
      <c r="Y3236" s="1"/>
      <c r="Z3236" s="1"/>
      <c r="AA3236" s="2"/>
      <c r="AB3236" s="2"/>
      <c r="AC3236" s="2"/>
      <c r="AD3236" s="2"/>
      <c r="AE3236" s="2"/>
      <c r="AF3236" s="2"/>
      <c r="AG3236" s="2"/>
      <c r="AH3236" s="2"/>
      <c r="AI3236" s="2"/>
      <c r="AJ3236" s="2"/>
      <c r="AK3236" s="2"/>
      <c r="AL3236" s="2"/>
      <c r="AM3236" s="2"/>
      <c r="AN3236" s="2"/>
      <c r="AO3236" s="2"/>
      <c r="AP3236" s="2"/>
      <c r="AQ3236" s="2"/>
      <c r="AR3236" s="2"/>
      <c r="AS3236" s="2"/>
      <c r="AT3236" s="2"/>
      <c r="AU3236" s="2"/>
      <c r="AV3236" s="2"/>
      <c r="AW3236" s="2"/>
      <c r="AX3236" s="2"/>
    </row>
    <row r="3237" spans="1:50" ht="12.75" x14ac:dyDescent="0.2">
      <c r="A3237" s="2"/>
      <c r="B3237" s="2"/>
      <c r="C3237" s="2"/>
      <c r="D3237" s="2"/>
      <c r="E3237" s="2"/>
      <c r="F3237" s="2"/>
      <c r="G3237" s="2"/>
      <c r="H3237" s="2"/>
      <c r="I3237" s="2"/>
      <c r="J3237" s="2"/>
      <c r="K3237" s="2"/>
      <c r="L3237" s="2"/>
      <c r="M3237" s="2"/>
      <c r="N3237" s="2"/>
      <c r="O3237" s="2"/>
      <c r="P3237" s="2"/>
      <c r="Q3237" s="2"/>
      <c r="R3237" s="2"/>
      <c r="S3237" s="2"/>
      <c r="T3237" s="2"/>
      <c r="U3237" s="2"/>
      <c r="V3237" s="2"/>
      <c r="W3237" s="2"/>
      <c r="X3237" s="2"/>
      <c r="Y3237" s="1"/>
      <c r="Z3237" s="1"/>
      <c r="AA3237" s="2"/>
      <c r="AB3237" s="2"/>
      <c r="AC3237" s="2"/>
      <c r="AD3237" s="2"/>
      <c r="AE3237" s="2"/>
      <c r="AF3237" s="2"/>
      <c r="AG3237" s="2"/>
      <c r="AH3237" s="2"/>
      <c r="AI3237" s="2"/>
      <c r="AJ3237" s="2"/>
      <c r="AK3237" s="2"/>
      <c r="AL3237" s="2"/>
      <c r="AM3237" s="2"/>
      <c r="AN3237" s="2"/>
      <c r="AO3237" s="2"/>
      <c r="AP3237" s="2"/>
      <c r="AQ3237" s="2"/>
      <c r="AR3237" s="2"/>
      <c r="AS3237" s="2"/>
      <c r="AT3237" s="2"/>
      <c r="AU3237" s="2"/>
      <c r="AV3237" s="2"/>
      <c r="AW3237" s="2"/>
      <c r="AX3237" s="2"/>
    </row>
    <row r="3238" spans="1:50" ht="12.75" x14ac:dyDescent="0.2">
      <c r="A3238" s="2"/>
      <c r="B3238" s="2"/>
      <c r="C3238" s="2"/>
      <c r="D3238" s="2"/>
      <c r="E3238" s="2"/>
      <c r="F3238" s="2"/>
      <c r="G3238" s="2"/>
      <c r="H3238" s="2"/>
      <c r="I3238" s="2"/>
      <c r="J3238" s="2"/>
      <c r="K3238" s="2"/>
      <c r="L3238" s="2"/>
      <c r="M3238" s="2"/>
      <c r="N3238" s="2"/>
      <c r="O3238" s="2"/>
      <c r="P3238" s="2"/>
      <c r="Q3238" s="2"/>
      <c r="R3238" s="2"/>
      <c r="S3238" s="2"/>
      <c r="T3238" s="2"/>
      <c r="U3238" s="2"/>
      <c r="V3238" s="2"/>
      <c r="W3238" s="2"/>
      <c r="X3238" s="2"/>
      <c r="Y3238" s="1"/>
      <c r="Z3238" s="1"/>
      <c r="AA3238" s="2"/>
      <c r="AB3238" s="2"/>
      <c r="AC3238" s="2"/>
      <c r="AD3238" s="2"/>
      <c r="AE3238" s="2"/>
      <c r="AF3238" s="2"/>
      <c r="AG3238" s="2"/>
      <c r="AH3238" s="2"/>
      <c r="AI3238" s="2"/>
      <c r="AJ3238" s="2"/>
      <c r="AK3238" s="2"/>
      <c r="AL3238" s="2"/>
      <c r="AM3238" s="2"/>
      <c r="AN3238" s="2"/>
      <c r="AO3238" s="2"/>
      <c r="AP3238" s="2"/>
      <c r="AQ3238" s="2"/>
      <c r="AR3238" s="2"/>
      <c r="AS3238" s="2"/>
      <c r="AT3238" s="2"/>
      <c r="AU3238" s="2"/>
      <c r="AV3238" s="2"/>
      <c r="AW3238" s="2"/>
      <c r="AX3238" s="2"/>
    </row>
    <row r="3239" spans="1:50" ht="12.75" x14ac:dyDescent="0.2">
      <c r="A3239" s="2"/>
      <c r="B3239" s="2"/>
      <c r="C3239" s="2"/>
      <c r="D3239" s="2"/>
      <c r="E3239" s="2"/>
      <c r="F3239" s="2"/>
      <c r="G3239" s="2"/>
      <c r="H3239" s="2"/>
      <c r="I3239" s="2"/>
      <c r="J3239" s="2"/>
      <c r="K3239" s="2"/>
      <c r="L3239" s="2"/>
      <c r="M3239" s="2"/>
      <c r="N3239" s="2"/>
      <c r="O3239" s="2"/>
      <c r="P3239" s="2"/>
      <c r="Q3239" s="2"/>
      <c r="R3239" s="2"/>
      <c r="S3239" s="2"/>
      <c r="T3239" s="2"/>
      <c r="U3239" s="2"/>
      <c r="V3239" s="2"/>
      <c r="W3239" s="2"/>
      <c r="X3239" s="2"/>
      <c r="Y3239" s="1"/>
      <c r="Z3239" s="1"/>
      <c r="AA3239" s="2"/>
      <c r="AB3239" s="2"/>
      <c r="AC3239" s="2"/>
      <c r="AD3239" s="2"/>
      <c r="AE3239" s="2"/>
      <c r="AF3239" s="2"/>
      <c r="AG3239" s="2"/>
      <c r="AH3239" s="2"/>
      <c r="AI3239" s="2"/>
      <c r="AJ3239" s="2"/>
      <c r="AK3239" s="2"/>
      <c r="AL3239" s="2"/>
      <c r="AM3239" s="2"/>
      <c r="AN3239" s="2"/>
      <c r="AO3239" s="2"/>
      <c r="AP3239" s="2"/>
      <c r="AQ3239" s="2"/>
      <c r="AR3239" s="2"/>
      <c r="AS3239" s="2"/>
      <c r="AT3239" s="2"/>
      <c r="AU3239" s="2"/>
      <c r="AV3239" s="2"/>
      <c r="AW3239" s="2"/>
      <c r="AX3239" s="2"/>
    </row>
    <row r="3240" spans="1:50" ht="12.75" x14ac:dyDescent="0.2">
      <c r="A3240" s="2"/>
      <c r="B3240" s="2"/>
      <c r="C3240" s="2"/>
      <c r="D3240" s="2"/>
      <c r="E3240" s="2"/>
      <c r="F3240" s="2"/>
      <c r="G3240" s="2"/>
      <c r="H3240" s="2"/>
      <c r="I3240" s="2"/>
      <c r="J3240" s="2"/>
      <c r="K3240" s="2"/>
      <c r="L3240" s="2"/>
      <c r="M3240" s="2"/>
      <c r="N3240" s="2"/>
      <c r="O3240" s="2"/>
      <c r="P3240" s="2"/>
      <c r="Q3240" s="2"/>
      <c r="R3240" s="2"/>
      <c r="S3240" s="2"/>
      <c r="T3240" s="2"/>
      <c r="U3240" s="2"/>
      <c r="V3240" s="2"/>
      <c r="W3240" s="2"/>
      <c r="X3240" s="2"/>
      <c r="Y3240" s="1"/>
      <c r="Z3240" s="1"/>
      <c r="AA3240" s="2"/>
      <c r="AB3240" s="2"/>
      <c r="AC3240" s="2"/>
      <c r="AD3240" s="2"/>
      <c r="AE3240" s="2"/>
      <c r="AF3240" s="2"/>
      <c r="AG3240" s="2"/>
      <c r="AH3240" s="2"/>
      <c r="AI3240" s="2"/>
      <c r="AJ3240" s="2"/>
      <c r="AK3240" s="2"/>
      <c r="AL3240" s="2"/>
      <c r="AM3240" s="2"/>
      <c r="AN3240" s="2"/>
      <c r="AO3240" s="2"/>
      <c r="AP3240" s="2"/>
      <c r="AQ3240" s="2"/>
      <c r="AR3240" s="2"/>
      <c r="AS3240" s="2"/>
      <c r="AT3240" s="2"/>
      <c r="AU3240" s="2"/>
      <c r="AV3240" s="2"/>
      <c r="AW3240" s="2"/>
      <c r="AX3240" s="2"/>
    </row>
    <row r="3241" spans="1:50" ht="12.75" x14ac:dyDescent="0.2">
      <c r="A3241" s="2"/>
      <c r="B3241" s="2"/>
      <c r="C3241" s="2"/>
      <c r="D3241" s="2"/>
      <c r="E3241" s="2"/>
      <c r="F3241" s="2"/>
      <c r="G3241" s="2"/>
      <c r="H3241" s="2"/>
      <c r="I3241" s="2"/>
      <c r="J3241" s="2"/>
      <c r="K3241" s="2"/>
      <c r="L3241" s="2"/>
      <c r="M3241" s="2"/>
      <c r="N3241" s="2"/>
      <c r="O3241" s="2"/>
      <c r="P3241" s="2"/>
      <c r="Q3241" s="2"/>
      <c r="R3241" s="2"/>
      <c r="S3241" s="2"/>
      <c r="T3241" s="2"/>
      <c r="U3241" s="2"/>
      <c r="V3241" s="2"/>
      <c r="W3241" s="2"/>
      <c r="X3241" s="2"/>
      <c r="Y3241" s="1"/>
      <c r="Z3241" s="1"/>
      <c r="AA3241" s="2"/>
      <c r="AB3241" s="2"/>
      <c r="AC3241" s="2"/>
      <c r="AD3241" s="2"/>
      <c r="AE3241" s="2"/>
      <c r="AF3241" s="2"/>
      <c r="AG3241" s="2"/>
      <c r="AH3241" s="2"/>
      <c r="AI3241" s="2"/>
      <c r="AJ3241" s="2"/>
      <c r="AK3241" s="2"/>
      <c r="AL3241" s="2"/>
      <c r="AM3241" s="2"/>
      <c r="AN3241" s="2"/>
      <c r="AO3241" s="2"/>
      <c r="AP3241" s="2"/>
      <c r="AQ3241" s="2"/>
      <c r="AR3241" s="2"/>
      <c r="AS3241" s="2"/>
      <c r="AT3241" s="2"/>
      <c r="AU3241" s="2"/>
      <c r="AV3241" s="2"/>
      <c r="AW3241" s="2"/>
      <c r="AX3241" s="2"/>
    </row>
    <row r="3242" spans="1:50" ht="12.75" x14ac:dyDescent="0.2">
      <c r="A3242" s="2"/>
      <c r="B3242" s="2"/>
      <c r="C3242" s="2"/>
      <c r="D3242" s="2"/>
      <c r="E3242" s="2"/>
      <c r="F3242" s="2"/>
      <c r="G3242" s="2"/>
      <c r="H3242" s="2"/>
      <c r="I3242" s="2"/>
      <c r="J3242" s="2"/>
      <c r="K3242" s="2"/>
      <c r="L3242" s="2"/>
      <c r="M3242" s="2"/>
      <c r="N3242" s="2"/>
      <c r="O3242" s="2"/>
      <c r="P3242" s="2"/>
      <c r="Q3242" s="2"/>
      <c r="R3242" s="2"/>
      <c r="S3242" s="2"/>
      <c r="T3242" s="2"/>
      <c r="U3242" s="2"/>
      <c r="V3242" s="2"/>
      <c r="W3242" s="2"/>
      <c r="X3242" s="2"/>
      <c r="Y3242" s="1"/>
      <c r="Z3242" s="1"/>
      <c r="AA3242" s="2"/>
      <c r="AB3242" s="2"/>
      <c r="AC3242" s="2"/>
      <c r="AD3242" s="2"/>
      <c r="AE3242" s="2"/>
      <c r="AF3242" s="2"/>
      <c r="AG3242" s="2"/>
      <c r="AH3242" s="2"/>
      <c r="AI3242" s="2"/>
      <c r="AJ3242" s="2"/>
      <c r="AK3242" s="2"/>
      <c r="AL3242" s="2"/>
      <c r="AM3242" s="2"/>
      <c r="AN3242" s="2"/>
      <c r="AO3242" s="2"/>
      <c r="AP3242" s="2"/>
      <c r="AQ3242" s="2"/>
      <c r="AR3242" s="2"/>
      <c r="AS3242" s="2"/>
      <c r="AT3242" s="2"/>
      <c r="AU3242" s="2"/>
      <c r="AV3242" s="2"/>
      <c r="AW3242" s="2"/>
      <c r="AX3242" s="2"/>
    </row>
    <row r="3243" spans="1:50" ht="12.75" x14ac:dyDescent="0.2">
      <c r="A3243" s="2"/>
      <c r="B3243" s="2"/>
      <c r="C3243" s="2"/>
      <c r="D3243" s="2"/>
      <c r="E3243" s="2"/>
      <c r="F3243" s="2"/>
      <c r="G3243" s="2"/>
      <c r="H3243" s="2"/>
      <c r="I3243" s="2"/>
      <c r="J3243" s="2"/>
      <c r="K3243" s="2"/>
      <c r="L3243" s="2"/>
      <c r="M3243" s="2"/>
      <c r="N3243" s="2"/>
      <c r="O3243" s="2"/>
      <c r="P3243" s="2"/>
      <c r="Q3243" s="2"/>
      <c r="R3243" s="2"/>
      <c r="S3243" s="2"/>
      <c r="T3243" s="2"/>
      <c r="U3243" s="2"/>
      <c r="V3243" s="2"/>
      <c r="W3243" s="2"/>
      <c r="X3243" s="2"/>
      <c r="Y3243" s="1"/>
      <c r="Z3243" s="1"/>
      <c r="AA3243" s="2"/>
      <c r="AB3243" s="2"/>
      <c r="AC3243" s="2"/>
      <c r="AD3243" s="2"/>
      <c r="AE3243" s="2"/>
      <c r="AF3243" s="2"/>
      <c r="AG3243" s="2"/>
      <c r="AH3243" s="2"/>
      <c r="AI3243" s="2"/>
      <c r="AJ3243" s="2"/>
      <c r="AK3243" s="2"/>
      <c r="AL3243" s="2"/>
      <c r="AM3243" s="2"/>
      <c r="AN3243" s="2"/>
      <c r="AO3243" s="2"/>
      <c r="AP3243" s="2"/>
      <c r="AQ3243" s="2"/>
      <c r="AR3243" s="2"/>
      <c r="AS3243" s="2"/>
      <c r="AT3243" s="2"/>
      <c r="AU3243" s="2"/>
      <c r="AV3243" s="2"/>
      <c r="AW3243" s="2"/>
      <c r="AX3243" s="2"/>
    </row>
    <row r="3244" spans="1:50" ht="12.75" x14ac:dyDescent="0.2">
      <c r="A3244" s="2"/>
      <c r="B3244" s="2"/>
      <c r="C3244" s="2"/>
      <c r="D3244" s="2"/>
      <c r="E3244" s="2"/>
      <c r="F3244" s="2"/>
      <c r="G3244" s="2"/>
      <c r="H3244" s="2"/>
      <c r="I3244" s="2"/>
      <c r="J3244" s="2"/>
      <c r="K3244" s="2"/>
      <c r="L3244" s="2"/>
      <c r="M3244" s="2"/>
      <c r="N3244" s="2"/>
      <c r="O3244" s="2"/>
      <c r="P3244" s="2"/>
      <c r="Q3244" s="2"/>
      <c r="R3244" s="2"/>
      <c r="S3244" s="2"/>
      <c r="T3244" s="2"/>
      <c r="U3244" s="2"/>
      <c r="V3244" s="2"/>
      <c r="W3244" s="2"/>
      <c r="X3244" s="2"/>
      <c r="Y3244" s="1"/>
      <c r="Z3244" s="1"/>
      <c r="AA3244" s="2"/>
      <c r="AB3244" s="2"/>
      <c r="AC3244" s="2"/>
      <c r="AD3244" s="2"/>
      <c r="AE3244" s="2"/>
      <c r="AF3244" s="2"/>
      <c r="AG3244" s="2"/>
      <c r="AH3244" s="2"/>
      <c r="AI3244" s="2"/>
      <c r="AJ3244" s="2"/>
      <c r="AK3244" s="2"/>
      <c r="AL3244" s="2"/>
      <c r="AM3244" s="2"/>
      <c r="AN3244" s="2"/>
      <c r="AO3244" s="2"/>
      <c r="AP3244" s="2"/>
      <c r="AQ3244" s="2"/>
      <c r="AR3244" s="2"/>
      <c r="AS3244" s="2"/>
      <c r="AT3244" s="2"/>
      <c r="AU3244" s="2"/>
      <c r="AV3244" s="2"/>
      <c r="AW3244" s="2"/>
      <c r="AX3244" s="2"/>
    </row>
    <row r="3245" spans="1:50" ht="12.75" x14ac:dyDescent="0.2">
      <c r="A3245" s="2"/>
      <c r="B3245" s="2"/>
      <c r="C3245" s="2"/>
      <c r="D3245" s="2"/>
      <c r="E3245" s="2"/>
      <c r="F3245" s="2"/>
      <c r="G3245" s="2"/>
      <c r="H3245" s="2"/>
      <c r="I3245" s="2"/>
      <c r="J3245" s="2"/>
      <c r="K3245" s="2"/>
      <c r="L3245" s="2"/>
      <c r="M3245" s="2"/>
      <c r="N3245" s="2"/>
      <c r="O3245" s="2"/>
      <c r="P3245" s="2"/>
      <c r="Q3245" s="2"/>
      <c r="R3245" s="2"/>
      <c r="S3245" s="2"/>
      <c r="T3245" s="2"/>
      <c r="U3245" s="2"/>
      <c r="V3245" s="2"/>
      <c r="W3245" s="2"/>
      <c r="X3245" s="2"/>
      <c r="Y3245" s="1"/>
      <c r="Z3245" s="1"/>
      <c r="AA3245" s="2"/>
      <c r="AB3245" s="2"/>
      <c r="AC3245" s="2"/>
      <c r="AD3245" s="2"/>
      <c r="AE3245" s="2"/>
      <c r="AF3245" s="2"/>
      <c r="AG3245" s="2"/>
      <c r="AH3245" s="2"/>
      <c r="AI3245" s="2"/>
      <c r="AJ3245" s="2"/>
      <c r="AK3245" s="2"/>
      <c r="AL3245" s="2"/>
      <c r="AM3245" s="2"/>
      <c r="AN3245" s="2"/>
      <c r="AO3245" s="2"/>
      <c r="AP3245" s="2"/>
      <c r="AQ3245" s="2"/>
      <c r="AR3245" s="2"/>
      <c r="AS3245" s="2"/>
      <c r="AT3245" s="2"/>
      <c r="AU3245" s="2"/>
      <c r="AV3245" s="2"/>
      <c r="AW3245" s="2"/>
      <c r="AX3245" s="2"/>
    </row>
    <row r="3246" spans="1:50" ht="12.75" x14ac:dyDescent="0.2">
      <c r="A3246" s="2"/>
      <c r="B3246" s="2"/>
      <c r="C3246" s="2"/>
      <c r="D3246" s="2"/>
      <c r="E3246" s="2"/>
      <c r="F3246" s="2"/>
      <c r="G3246" s="2"/>
      <c r="H3246" s="2"/>
      <c r="I3246" s="2"/>
      <c r="J3246" s="2"/>
      <c r="K3246" s="2"/>
      <c r="L3246" s="2"/>
      <c r="M3246" s="2"/>
      <c r="N3246" s="2"/>
      <c r="O3246" s="2"/>
      <c r="P3246" s="2"/>
      <c r="Q3246" s="2"/>
      <c r="R3246" s="2"/>
      <c r="S3246" s="2"/>
      <c r="T3246" s="2"/>
      <c r="U3246" s="2"/>
      <c r="V3246" s="2"/>
      <c r="W3246" s="2"/>
      <c r="X3246" s="2"/>
      <c r="Y3246" s="1"/>
      <c r="Z3246" s="1"/>
      <c r="AA3246" s="2"/>
      <c r="AB3246" s="2"/>
      <c r="AC3246" s="2"/>
      <c r="AD3246" s="2"/>
      <c r="AE3246" s="2"/>
      <c r="AF3246" s="2"/>
      <c r="AG3246" s="2"/>
      <c r="AH3246" s="2"/>
      <c r="AI3246" s="2"/>
      <c r="AJ3246" s="2"/>
      <c r="AK3246" s="2"/>
      <c r="AL3246" s="2"/>
      <c r="AM3246" s="2"/>
      <c r="AN3246" s="2"/>
      <c r="AO3246" s="2"/>
      <c r="AP3246" s="2"/>
      <c r="AQ3246" s="2"/>
      <c r="AR3246" s="2"/>
      <c r="AS3246" s="2"/>
      <c r="AT3246" s="2"/>
      <c r="AU3246" s="2"/>
      <c r="AV3246" s="2"/>
      <c r="AW3246" s="2"/>
      <c r="AX3246" s="2"/>
    </row>
    <row r="3247" spans="1:50" ht="12.75" x14ac:dyDescent="0.2">
      <c r="A3247" s="2"/>
      <c r="B3247" s="2"/>
      <c r="C3247" s="2"/>
      <c r="D3247" s="2"/>
      <c r="E3247" s="2"/>
      <c r="F3247" s="2"/>
      <c r="G3247" s="2"/>
      <c r="H3247" s="2"/>
      <c r="I3247" s="2"/>
      <c r="J3247" s="2"/>
      <c r="K3247" s="2"/>
      <c r="L3247" s="2"/>
      <c r="M3247" s="2"/>
      <c r="N3247" s="2"/>
      <c r="O3247" s="2"/>
      <c r="P3247" s="2"/>
      <c r="Q3247" s="2"/>
      <c r="R3247" s="2"/>
      <c r="S3247" s="2"/>
      <c r="T3247" s="2"/>
      <c r="U3247" s="2"/>
      <c r="V3247" s="2"/>
      <c r="W3247" s="2"/>
      <c r="X3247" s="2"/>
      <c r="Y3247" s="1"/>
      <c r="Z3247" s="1"/>
      <c r="AA3247" s="2"/>
      <c r="AB3247" s="2"/>
      <c r="AC3247" s="2"/>
      <c r="AD3247" s="2"/>
      <c r="AE3247" s="2"/>
      <c r="AF3247" s="2"/>
      <c r="AG3247" s="2"/>
      <c r="AH3247" s="2"/>
      <c r="AI3247" s="2"/>
      <c r="AJ3247" s="2"/>
      <c r="AK3247" s="2"/>
      <c r="AL3247" s="2"/>
      <c r="AM3247" s="2"/>
      <c r="AN3247" s="2"/>
      <c r="AO3247" s="2"/>
      <c r="AP3247" s="2"/>
      <c r="AQ3247" s="2"/>
      <c r="AR3247" s="2"/>
      <c r="AS3247" s="2"/>
      <c r="AT3247" s="2"/>
      <c r="AU3247" s="2"/>
      <c r="AV3247" s="2"/>
      <c r="AW3247" s="2"/>
      <c r="AX3247" s="2"/>
    </row>
    <row r="3248" spans="1:50" ht="12.75" x14ac:dyDescent="0.2">
      <c r="A3248" s="2"/>
      <c r="B3248" s="2"/>
      <c r="C3248" s="2"/>
      <c r="D3248" s="2"/>
      <c r="E3248" s="2"/>
      <c r="F3248" s="2"/>
      <c r="G3248" s="2"/>
      <c r="H3248" s="2"/>
      <c r="I3248" s="2"/>
      <c r="J3248" s="2"/>
      <c r="K3248" s="2"/>
      <c r="L3248" s="2"/>
      <c r="M3248" s="2"/>
      <c r="N3248" s="2"/>
      <c r="O3248" s="2"/>
      <c r="P3248" s="2"/>
      <c r="Q3248" s="2"/>
      <c r="R3248" s="2"/>
      <c r="S3248" s="2"/>
      <c r="T3248" s="2"/>
      <c r="U3248" s="2"/>
      <c r="V3248" s="2"/>
      <c r="W3248" s="2"/>
      <c r="X3248" s="2"/>
      <c r="Y3248" s="1"/>
      <c r="Z3248" s="1"/>
      <c r="AA3248" s="2"/>
      <c r="AB3248" s="2"/>
      <c r="AC3248" s="2"/>
      <c r="AD3248" s="2"/>
      <c r="AE3248" s="2"/>
      <c r="AF3248" s="2"/>
      <c r="AG3248" s="2"/>
      <c r="AH3248" s="2"/>
      <c r="AI3248" s="2"/>
      <c r="AJ3248" s="2"/>
      <c r="AK3248" s="2"/>
      <c r="AL3248" s="2"/>
      <c r="AM3248" s="2"/>
      <c r="AN3248" s="2"/>
      <c r="AO3248" s="2"/>
      <c r="AP3248" s="2"/>
      <c r="AQ3248" s="2"/>
      <c r="AR3248" s="2"/>
      <c r="AS3248" s="2"/>
      <c r="AT3248" s="2"/>
      <c r="AU3248" s="2"/>
      <c r="AV3248" s="2"/>
      <c r="AW3248" s="2"/>
      <c r="AX3248" s="2"/>
    </row>
    <row r="3249" spans="1:50" ht="12.75" x14ac:dyDescent="0.2">
      <c r="A3249" s="2"/>
      <c r="B3249" s="2"/>
      <c r="C3249" s="2"/>
      <c r="D3249" s="2"/>
      <c r="E3249" s="2"/>
      <c r="F3249" s="2"/>
      <c r="G3249" s="2"/>
      <c r="H3249" s="2"/>
      <c r="I3249" s="2"/>
      <c r="J3249" s="2"/>
      <c r="K3249" s="2"/>
      <c r="L3249" s="2"/>
      <c r="M3249" s="2"/>
      <c r="N3249" s="2"/>
      <c r="O3249" s="2"/>
      <c r="P3249" s="2"/>
      <c r="Q3249" s="2"/>
      <c r="R3249" s="2"/>
      <c r="S3249" s="2"/>
      <c r="T3249" s="2"/>
      <c r="U3249" s="2"/>
      <c r="V3249" s="2"/>
      <c r="W3249" s="2"/>
      <c r="X3249" s="2"/>
      <c r="Y3249" s="1"/>
      <c r="Z3249" s="1"/>
      <c r="AA3249" s="2"/>
      <c r="AB3249" s="2"/>
      <c r="AC3249" s="2"/>
      <c r="AD3249" s="2"/>
      <c r="AE3249" s="2"/>
      <c r="AF3249" s="2"/>
      <c r="AG3249" s="2"/>
      <c r="AH3249" s="2"/>
      <c r="AI3249" s="2"/>
      <c r="AJ3249" s="2"/>
      <c r="AK3249" s="2"/>
      <c r="AL3249" s="2"/>
      <c r="AM3249" s="2"/>
      <c r="AN3249" s="2"/>
      <c r="AO3249" s="2"/>
      <c r="AP3249" s="2"/>
      <c r="AQ3249" s="2"/>
      <c r="AR3249" s="2"/>
      <c r="AS3249" s="2"/>
      <c r="AT3249" s="2"/>
      <c r="AU3249" s="2"/>
      <c r="AV3249" s="2"/>
      <c r="AW3249" s="2"/>
      <c r="AX3249" s="2"/>
    </row>
    <row r="3250" spans="1:50" ht="12.75" x14ac:dyDescent="0.2">
      <c r="A3250" s="2"/>
      <c r="B3250" s="2"/>
      <c r="C3250" s="2"/>
      <c r="D3250" s="2"/>
      <c r="E3250" s="2"/>
      <c r="F3250" s="2"/>
      <c r="G3250" s="2"/>
      <c r="H3250" s="2"/>
      <c r="I3250" s="2"/>
      <c r="J3250" s="2"/>
      <c r="K3250" s="2"/>
      <c r="L3250" s="2"/>
      <c r="M3250" s="2"/>
      <c r="N3250" s="2"/>
      <c r="O3250" s="2"/>
      <c r="P3250" s="2"/>
      <c r="Q3250" s="2"/>
      <c r="R3250" s="2"/>
      <c r="S3250" s="2"/>
      <c r="T3250" s="2"/>
      <c r="U3250" s="2"/>
      <c r="V3250" s="2"/>
      <c r="W3250" s="2"/>
      <c r="X3250" s="2"/>
      <c r="Y3250" s="1"/>
      <c r="Z3250" s="1"/>
      <c r="AA3250" s="2"/>
      <c r="AB3250" s="2"/>
      <c r="AC3250" s="2"/>
      <c r="AD3250" s="2"/>
      <c r="AE3250" s="2"/>
      <c r="AF3250" s="2"/>
      <c r="AG3250" s="2"/>
      <c r="AH3250" s="2"/>
      <c r="AI3250" s="2"/>
      <c r="AJ3250" s="2"/>
      <c r="AK3250" s="2"/>
      <c r="AL3250" s="2"/>
      <c r="AM3250" s="2"/>
      <c r="AN3250" s="2"/>
      <c r="AO3250" s="2"/>
      <c r="AP3250" s="2"/>
      <c r="AQ3250" s="2"/>
      <c r="AR3250" s="2"/>
      <c r="AS3250" s="2"/>
      <c r="AT3250" s="2"/>
      <c r="AU3250" s="2"/>
      <c r="AV3250" s="2"/>
      <c r="AW3250" s="2"/>
      <c r="AX3250" s="2"/>
    </row>
    <row r="3251" spans="1:50" ht="12.75" x14ac:dyDescent="0.2">
      <c r="A3251" s="2"/>
      <c r="B3251" s="2"/>
      <c r="C3251" s="2"/>
      <c r="D3251" s="2"/>
      <c r="E3251" s="2"/>
      <c r="F3251" s="2"/>
      <c r="G3251" s="2"/>
      <c r="H3251" s="2"/>
      <c r="I3251" s="2"/>
      <c r="J3251" s="2"/>
      <c r="K3251" s="2"/>
      <c r="L3251" s="2"/>
      <c r="M3251" s="2"/>
      <c r="N3251" s="2"/>
      <c r="O3251" s="2"/>
      <c r="P3251" s="2"/>
      <c r="Q3251" s="2"/>
      <c r="R3251" s="2"/>
      <c r="S3251" s="2"/>
      <c r="T3251" s="2"/>
      <c r="U3251" s="2"/>
      <c r="V3251" s="2"/>
      <c r="W3251" s="2"/>
      <c r="X3251" s="2"/>
      <c r="Y3251" s="1"/>
      <c r="Z3251" s="1"/>
      <c r="AA3251" s="2"/>
      <c r="AB3251" s="2"/>
      <c r="AC3251" s="2"/>
      <c r="AD3251" s="2"/>
      <c r="AE3251" s="2"/>
      <c r="AF3251" s="2"/>
      <c r="AG3251" s="2"/>
      <c r="AH3251" s="2"/>
      <c r="AI3251" s="2"/>
      <c r="AJ3251" s="2"/>
      <c r="AK3251" s="2"/>
      <c r="AL3251" s="2"/>
      <c r="AM3251" s="2"/>
      <c r="AN3251" s="2"/>
      <c r="AO3251" s="2"/>
      <c r="AP3251" s="2"/>
      <c r="AQ3251" s="2"/>
      <c r="AR3251" s="2"/>
      <c r="AS3251" s="2"/>
      <c r="AT3251" s="2"/>
      <c r="AU3251" s="2"/>
      <c r="AV3251" s="2"/>
      <c r="AW3251" s="2"/>
      <c r="AX3251" s="2"/>
    </row>
    <row r="3252" spans="1:50" ht="12.75" x14ac:dyDescent="0.2">
      <c r="A3252" s="2"/>
      <c r="B3252" s="2"/>
      <c r="C3252" s="2"/>
      <c r="D3252" s="2"/>
      <c r="E3252" s="2"/>
      <c r="F3252" s="2"/>
      <c r="G3252" s="2"/>
      <c r="H3252" s="2"/>
      <c r="I3252" s="2"/>
      <c r="J3252" s="2"/>
      <c r="K3252" s="2"/>
      <c r="L3252" s="2"/>
      <c r="M3252" s="2"/>
      <c r="N3252" s="2"/>
      <c r="O3252" s="2"/>
      <c r="P3252" s="2"/>
      <c r="Q3252" s="2"/>
      <c r="R3252" s="2"/>
      <c r="S3252" s="2"/>
      <c r="T3252" s="2"/>
      <c r="U3252" s="2"/>
      <c r="V3252" s="2"/>
      <c r="W3252" s="2"/>
      <c r="X3252" s="2"/>
      <c r="Y3252" s="1"/>
      <c r="Z3252" s="1"/>
      <c r="AA3252" s="2"/>
      <c r="AB3252" s="2"/>
      <c r="AC3252" s="2"/>
      <c r="AD3252" s="2"/>
      <c r="AE3252" s="2"/>
      <c r="AF3252" s="2"/>
      <c r="AG3252" s="2"/>
      <c r="AH3252" s="2"/>
      <c r="AI3252" s="2"/>
      <c r="AJ3252" s="2"/>
      <c r="AK3252" s="2"/>
      <c r="AL3252" s="2"/>
      <c r="AM3252" s="2"/>
      <c r="AN3252" s="2"/>
      <c r="AO3252" s="2"/>
      <c r="AP3252" s="2"/>
      <c r="AQ3252" s="2"/>
      <c r="AR3252" s="2"/>
      <c r="AS3252" s="2"/>
      <c r="AT3252" s="2"/>
      <c r="AU3252" s="2"/>
      <c r="AV3252" s="2"/>
      <c r="AW3252" s="2"/>
      <c r="AX3252" s="2"/>
    </row>
    <row r="3253" spans="1:50" ht="12.75" x14ac:dyDescent="0.2">
      <c r="A3253" s="2"/>
      <c r="B3253" s="2"/>
      <c r="C3253" s="2"/>
      <c r="D3253" s="2"/>
      <c r="E3253" s="2"/>
      <c r="F3253" s="2"/>
      <c r="G3253" s="2"/>
      <c r="H3253" s="2"/>
      <c r="I3253" s="2"/>
      <c r="J3253" s="2"/>
      <c r="K3253" s="2"/>
      <c r="L3253" s="2"/>
      <c r="M3253" s="2"/>
      <c r="N3253" s="2"/>
      <c r="O3253" s="2"/>
      <c r="P3253" s="2"/>
      <c r="Q3253" s="2"/>
      <c r="R3253" s="2"/>
      <c r="S3253" s="2"/>
      <c r="T3253" s="2"/>
      <c r="U3253" s="2"/>
      <c r="V3253" s="2"/>
      <c r="W3253" s="2"/>
      <c r="X3253" s="2"/>
      <c r="Y3253" s="1"/>
      <c r="Z3253" s="1"/>
      <c r="AA3253" s="2"/>
      <c r="AB3253" s="2"/>
      <c r="AC3253" s="2"/>
      <c r="AD3253" s="2"/>
      <c r="AE3253" s="2"/>
      <c r="AF3253" s="2"/>
      <c r="AG3253" s="2"/>
      <c r="AH3253" s="2"/>
      <c r="AI3253" s="2"/>
      <c r="AJ3253" s="2"/>
      <c r="AK3253" s="2"/>
      <c r="AL3253" s="2"/>
      <c r="AM3253" s="2"/>
      <c r="AN3253" s="2"/>
      <c r="AO3253" s="2"/>
      <c r="AP3253" s="2"/>
      <c r="AQ3253" s="2"/>
      <c r="AR3253" s="2"/>
      <c r="AS3253" s="2"/>
      <c r="AT3253" s="2"/>
      <c r="AU3253" s="2"/>
      <c r="AV3253" s="2"/>
      <c r="AW3253" s="2"/>
      <c r="AX3253" s="2"/>
    </row>
    <row r="3254" spans="1:50" ht="12.75" x14ac:dyDescent="0.2">
      <c r="A3254" s="2"/>
      <c r="B3254" s="2"/>
      <c r="C3254" s="2"/>
      <c r="D3254" s="2"/>
      <c r="E3254" s="2"/>
      <c r="F3254" s="2"/>
      <c r="G3254" s="2"/>
      <c r="H3254" s="2"/>
      <c r="I3254" s="2"/>
      <c r="J3254" s="2"/>
      <c r="K3254" s="2"/>
      <c r="L3254" s="2"/>
      <c r="M3254" s="2"/>
      <c r="N3254" s="2"/>
      <c r="O3254" s="2"/>
      <c r="P3254" s="2"/>
      <c r="Q3254" s="2"/>
      <c r="R3254" s="2"/>
      <c r="S3254" s="2"/>
      <c r="T3254" s="2"/>
      <c r="U3254" s="2"/>
      <c r="V3254" s="2"/>
      <c r="W3254" s="2"/>
      <c r="X3254" s="2"/>
      <c r="Y3254" s="1"/>
      <c r="Z3254" s="1"/>
      <c r="AA3254" s="2"/>
      <c r="AB3254" s="2"/>
      <c r="AC3254" s="2"/>
      <c r="AD3254" s="2"/>
      <c r="AE3254" s="2"/>
      <c r="AF3254" s="2"/>
      <c r="AG3254" s="2"/>
      <c r="AH3254" s="2"/>
      <c r="AI3254" s="2"/>
      <c r="AJ3254" s="2"/>
      <c r="AK3254" s="2"/>
      <c r="AL3254" s="2"/>
      <c r="AM3254" s="2"/>
      <c r="AN3254" s="2"/>
      <c r="AO3254" s="2"/>
      <c r="AP3254" s="2"/>
      <c r="AQ3254" s="2"/>
      <c r="AR3254" s="2"/>
      <c r="AS3254" s="2"/>
      <c r="AT3254" s="2"/>
      <c r="AU3254" s="2"/>
      <c r="AV3254" s="2"/>
      <c r="AW3254" s="2"/>
      <c r="AX3254" s="2"/>
    </row>
    <row r="3255" spans="1:50" ht="12.75" x14ac:dyDescent="0.2">
      <c r="A3255" s="2"/>
      <c r="B3255" s="2"/>
      <c r="C3255" s="2"/>
      <c r="D3255" s="2"/>
      <c r="E3255" s="2"/>
      <c r="F3255" s="2"/>
      <c r="G3255" s="2"/>
      <c r="H3255" s="2"/>
      <c r="I3255" s="2"/>
      <c r="J3255" s="2"/>
      <c r="K3255" s="2"/>
      <c r="L3255" s="2"/>
      <c r="M3255" s="2"/>
      <c r="N3255" s="2"/>
      <c r="O3255" s="2"/>
      <c r="P3255" s="2"/>
      <c r="Q3255" s="2"/>
      <c r="R3255" s="2"/>
      <c r="S3255" s="2"/>
      <c r="T3255" s="2"/>
      <c r="U3255" s="2"/>
      <c r="V3255" s="2"/>
      <c r="W3255" s="2"/>
      <c r="X3255" s="2"/>
      <c r="Y3255" s="1"/>
      <c r="Z3255" s="1"/>
      <c r="AA3255" s="2"/>
      <c r="AB3255" s="2"/>
      <c r="AC3255" s="2"/>
      <c r="AD3255" s="2"/>
      <c r="AE3255" s="2"/>
      <c r="AF3255" s="2"/>
      <c r="AG3255" s="2"/>
      <c r="AH3255" s="2"/>
      <c r="AI3255" s="2"/>
      <c r="AJ3255" s="2"/>
      <c r="AK3255" s="2"/>
      <c r="AL3255" s="2"/>
      <c r="AM3255" s="2"/>
      <c r="AN3255" s="2"/>
      <c r="AO3255" s="2"/>
      <c r="AP3255" s="2"/>
      <c r="AQ3255" s="2"/>
      <c r="AR3255" s="2"/>
      <c r="AS3255" s="2"/>
      <c r="AT3255" s="2"/>
      <c r="AU3255" s="2"/>
      <c r="AV3255" s="2"/>
      <c r="AW3255" s="2"/>
      <c r="AX3255" s="2"/>
    </row>
    <row r="3256" spans="1:50" ht="12.75" x14ac:dyDescent="0.2">
      <c r="A3256" s="2"/>
      <c r="B3256" s="2"/>
      <c r="C3256" s="2"/>
      <c r="D3256" s="2"/>
      <c r="E3256" s="2"/>
      <c r="F3256" s="2"/>
      <c r="G3256" s="2"/>
      <c r="H3256" s="2"/>
      <c r="I3256" s="2"/>
      <c r="J3256" s="2"/>
      <c r="K3256" s="2"/>
      <c r="L3256" s="2"/>
      <c r="M3256" s="2"/>
      <c r="N3256" s="2"/>
      <c r="O3256" s="2"/>
      <c r="P3256" s="2"/>
      <c r="Q3256" s="2"/>
      <c r="R3256" s="2"/>
      <c r="S3256" s="2"/>
      <c r="T3256" s="2"/>
      <c r="U3256" s="2"/>
      <c r="V3256" s="2"/>
      <c r="W3256" s="2"/>
      <c r="X3256" s="2"/>
      <c r="Y3256" s="1"/>
      <c r="Z3256" s="1"/>
      <c r="AA3256" s="2"/>
      <c r="AB3256" s="2"/>
      <c r="AC3256" s="2"/>
      <c r="AD3256" s="2"/>
      <c r="AE3256" s="2"/>
      <c r="AF3256" s="2"/>
      <c r="AG3256" s="2"/>
      <c r="AH3256" s="2"/>
      <c r="AI3256" s="2"/>
      <c r="AJ3256" s="2"/>
      <c r="AK3256" s="2"/>
      <c r="AL3256" s="2"/>
      <c r="AM3256" s="2"/>
      <c r="AN3256" s="2"/>
      <c r="AO3256" s="2"/>
      <c r="AP3256" s="2"/>
      <c r="AQ3256" s="2"/>
      <c r="AR3256" s="2"/>
      <c r="AS3256" s="2"/>
      <c r="AT3256" s="2"/>
      <c r="AU3256" s="2"/>
      <c r="AV3256" s="2"/>
      <c r="AW3256" s="2"/>
      <c r="AX3256" s="2"/>
    </row>
    <row r="3257" spans="1:50" ht="12.75" x14ac:dyDescent="0.2">
      <c r="A3257" s="2"/>
      <c r="B3257" s="2"/>
      <c r="C3257" s="2"/>
      <c r="D3257" s="2"/>
      <c r="E3257" s="2"/>
      <c r="F3257" s="2"/>
      <c r="G3257" s="2"/>
      <c r="H3257" s="2"/>
      <c r="I3257" s="2"/>
      <c r="J3257" s="2"/>
      <c r="K3257" s="2"/>
      <c r="L3257" s="2"/>
      <c r="M3257" s="2"/>
      <c r="N3257" s="2"/>
      <c r="O3257" s="2"/>
      <c r="P3257" s="2"/>
      <c r="Q3257" s="2"/>
      <c r="R3257" s="2"/>
      <c r="S3257" s="2"/>
      <c r="T3257" s="2"/>
      <c r="U3257" s="2"/>
      <c r="V3257" s="2"/>
      <c r="W3257" s="2"/>
      <c r="X3257" s="2"/>
      <c r="Y3257" s="1"/>
      <c r="Z3257" s="1"/>
      <c r="AA3257" s="2"/>
      <c r="AB3257" s="2"/>
      <c r="AC3257" s="2"/>
      <c r="AD3257" s="2"/>
      <c r="AE3257" s="2"/>
      <c r="AF3257" s="2"/>
      <c r="AG3257" s="2"/>
      <c r="AH3257" s="2"/>
      <c r="AI3257" s="2"/>
      <c r="AJ3257" s="2"/>
      <c r="AK3257" s="2"/>
      <c r="AL3257" s="2"/>
      <c r="AM3257" s="2"/>
      <c r="AN3257" s="2"/>
      <c r="AO3257" s="2"/>
      <c r="AP3257" s="2"/>
      <c r="AQ3257" s="2"/>
      <c r="AR3257" s="2"/>
      <c r="AS3257" s="2"/>
      <c r="AT3257" s="2"/>
      <c r="AU3257" s="2"/>
      <c r="AV3257" s="2"/>
      <c r="AW3257" s="2"/>
      <c r="AX3257" s="2"/>
    </row>
    <row r="3258" spans="1:50" ht="12.75" x14ac:dyDescent="0.2">
      <c r="A3258" s="2"/>
      <c r="B3258" s="2"/>
      <c r="C3258" s="2"/>
      <c r="D3258" s="2"/>
      <c r="E3258" s="2"/>
      <c r="F3258" s="2"/>
      <c r="G3258" s="2"/>
      <c r="H3258" s="2"/>
      <c r="I3258" s="2"/>
      <c r="J3258" s="2"/>
      <c r="K3258" s="2"/>
      <c r="L3258" s="2"/>
      <c r="M3258" s="2"/>
      <c r="N3258" s="2"/>
      <c r="O3258" s="2"/>
      <c r="P3258" s="2"/>
      <c r="Q3258" s="2"/>
      <c r="R3258" s="2"/>
      <c r="S3258" s="2"/>
      <c r="T3258" s="2"/>
      <c r="U3258" s="2"/>
      <c r="V3258" s="2"/>
      <c r="W3258" s="2"/>
      <c r="X3258" s="2"/>
      <c r="Y3258" s="1"/>
      <c r="Z3258" s="1"/>
      <c r="AA3258" s="2"/>
      <c r="AB3258" s="2"/>
      <c r="AC3258" s="2"/>
      <c r="AD3258" s="2"/>
      <c r="AE3258" s="2"/>
      <c r="AF3258" s="2"/>
      <c r="AG3258" s="2"/>
      <c r="AH3258" s="2"/>
      <c r="AI3258" s="2"/>
      <c r="AJ3258" s="2"/>
      <c r="AK3258" s="2"/>
      <c r="AL3258" s="2"/>
      <c r="AM3258" s="2"/>
      <c r="AN3258" s="2"/>
      <c r="AO3258" s="2"/>
      <c r="AP3258" s="2"/>
      <c r="AQ3258" s="2"/>
      <c r="AR3258" s="2"/>
      <c r="AS3258" s="2"/>
      <c r="AT3258" s="2"/>
      <c r="AU3258" s="2"/>
      <c r="AV3258" s="2"/>
      <c r="AW3258" s="2"/>
      <c r="AX3258" s="2"/>
    </row>
    <row r="3259" spans="1:50" ht="12.75" x14ac:dyDescent="0.2">
      <c r="A3259" s="2"/>
      <c r="B3259" s="2"/>
      <c r="C3259" s="2"/>
      <c r="D3259" s="2"/>
      <c r="E3259" s="2"/>
      <c r="F3259" s="2"/>
      <c r="G3259" s="2"/>
      <c r="H3259" s="2"/>
      <c r="I3259" s="2"/>
      <c r="J3259" s="2"/>
      <c r="K3259" s="2"/>
      <c r="L3259" s="2"/>
      <c r="M3259" s="2"/>
      <c r="N3259" s="2"/>
      <c r="O3259" s="2"/>
      <c r="P3259" s="2"/>
      <c r="Q3259" s="2"/>
      <c r="R3259" s="2"/>
      <c r="S3259" s="2"/>
      <c r="T3259" s="2"/>
      <c r="U3259" s="2"/>
      <c r="V3259" s="2"/>
      <c r="W3259" s="2"/>
      <c r="X3259" s="2"/>
      <c r="Y3259" s="1"/>
      <c r="Z3259" s="1"/>
      <c r="AA3259" s="2"/>
      <c r="AB3259" s="2"/>
      <c r="AC3259" s="2"/>
      <c r="AD3259" s="2"/>
      <c r="AE3259" s="2"/>
      <c r="AF3259" s="2"/>
      <c r="AG3259" s="2"/>
      <c r="AH3259" s="2"/>
      <c r="AI3259" s="2"/>
      <c r="AJ3259" s="2"/>
      <c r="AK3259" s="2"/>
      <c r="AL3259" s="2"/>
      <c r="AM3259" s="2"/>
      <c r="AN3259" s="2"/>
      <c r="AO3259" s="2"/>
      <c r="AP3259" s="2"/>
      <c r="AQ3259" s="2"/>
      <c r="AR3259" s="2"/>
      <c r="AS3259" s="2"/>
      <c r="AT3259" s="2"/>
      <c r="AU3259" s="2"/>
      <c r="AV3259" s="2"/>
      <c r="AW3259" s="2"/>
      <c r="AX3259" s="2"/>
    </row>
    <row r="3260" spans="1:50" ht="12.75" x14ac:dyDescent="0.2">
      <c r="A3260" s="2"/>
      <c r="B3260" s="2"/>
      <c r="C3260" s="2"/>
      <c r="D3260" s="2"/>
      <c r="E3260" s="2"/>
      <c r="F3260" s="2"/>
      <c r="G3260" s="2"/>
      <c r="H3260" s="2"/>
      <c r="I3260" s="2"/>
      <c r="J3260" s="2"/>
      <c r="K3260" s="2"/>
      <c r="L3260" s="2"/>
      <c r="M3260" s="2"/>
      <c r="N3260" s="2"/>
      <c r="O3260" s="2"/>
      <c r="P3260" s="2"/>
      <c r="Q3260" s="2"/>
      <c r="R3260" s="2"/>
      <c r="S3260" s="2"/>
      <c r="T3260" s="2"/>
      <c r="U3260" s="2"/>
      <c r="V3260" s="2"/>
      <c r="W3260" s="2"/>
      <c r="X3260" s="2"/>
      <c r="Y3260" s="1"/>
      <c r="Z3260" s="1"/>
      <c r="AA3260" s="2"/>
      <c r="AB3260" s="2"/>
      <c r="AC3260" s="2"/>
      <c r="AD3260" s="2"/>
      <c r="AE3260" s="2"/>
      <c r="AF3260" s="2"/>
      <c r="AG3260" s="2"/>
      <c r="AH3260" s="2"/>
      <c r="AI3260" s="2"/>
      <c r="AJ3260" s="2"/>
      <c r="AK3260" s="2"/>
      <c r="AL3260" s="2"/>
      <c r="AM3260" s="2"/>
      <c r="AN3260" s="2"/>
      <c r="AO3260" s="2"/>
      <c r="AP3260" s="2"/>
      <c r="AQ3260" s="2"/>
      <c r="AR3260" s="2"/>
      <c r="AS3260" s="2"/>
      <c r="AT3260" s="2"/>
      <c r="AU3260" s="2"/>
      <c r="AV3260" s="2"/>
      <c r="AW3260" s="2"/>
      <c r="AX3260" s="2"/>
    </row>
    <row r="3261" spans="1:50" ht="12.75" x14ac:dyDescent="0.2">
      <c r="A3261" s="2"/>
      <c r="B3261" s="2"/>
      <c r="C3261" s="2"/>
      <c r="D3261" s="2"/>
      <c r="E3261" s="2"/>
      <c r="F3261" s="2"/>
      <c r="G3261" s="2"/>
      <c r="H3261" s="2"/>
      <c r="I3261" s="2"/>
      <c r="J3261" s="2"/>
      <c r="K3261" s="2"/>
      <c r="L3261" s="2"/>
      <c r="M3261" s="2"/>
      <c r="N3261" s="2"/>
      <c r="O3261" s="2"/>
      <c r="P3261" s="2"/>
      <c r="Q3261" s="2"/>
      <c r="R3261" s="2"/>
      <c r="S3261" s="2"/>
      <c r="T3261" s="2"/>
      <c r="U3261" s="2"/>
      <c r="V3261" s="2"/>
      <c r="W3261" s="2"/>
      <c r="X3261" s="2"/>
      <c r="Y3261" s="1"/>
      <c r="Z3261" s="1"/>
      <c r="AA3261" s="2"/>
      <c r="AB3261" s="2"/>
      <c r="AC3261" s="2"/>
      <c r="AD3261" s="2"/>
      <c r="AE3261" s="2"/>
      <c r="AF3261" s="2"/>
      <c r="AG3261" s="2"/>
      <c r="AH3261" s="2"/>
      <c r="AI3261" s="2"/>
      <c r="AJ3261" s="2"/>
      <c r="AK3261" s="2"/>
      <c r="AL3261" s="2"/>
      <c r="AM3261" s="2"/>
      <c r="AN3261" s="2"/>
      <c r="AO3261" s="2"/>
      <c r="AP3261" s="2"/>
      <c r="AQ3261" s="2"/>
      <c r="AR3261" s="2"/>
      <c r="AS3261" s="2"/>
      <c r="AT3261" s="2"/>
      <c r="AU3261" s="2"/>
      <c r="AV3261" s="2"/>
      <c r="AW3261" s="2"/>
      <c r="AX3261" s="2"/>
    </row>
    <row r="3262" spans="1:50" ht="12.75" x14ac:dyDescent="0.2">
      <c r="A3262" s="2"/>
      <c r="B3262" s="2"/>
      <c r="C3262" s="2"/>
      <c r="D3262" s="2"/>
      <c r="E3262" s="2"/>
      <c r="F3262" s="2"/>
      <c r="G3262" s="2"/>
      <c r="H3262" s="2"/>
      <c r="I3262" s="2"/>
      <c r="J3262" s="2"/>
      <c r="K3262" s="2"/>
      <c r="L3262" s="2"/>
      <c r="M3262" s="2"/>
      <c r="N3262" s="2"/>
      <c r="O3262" s="2"/>
      <c r="P3262" s="2"/>
      <c r="Q3262" s="2"/>
      <c r="R3262" s="2"/>
      <c r="S3262" s="2"/>
      <c r="T3262" s="2"/>
      <c r="U3262" s="2"/>
      <c r="V3262" s="2"/>
      <c r="W3262" s="2"/>
      <c r="X3262" s="2"/>
      <c r="Y3262" s="1"/>
      <c r="Z3262" s="1"/>
      <c r="AA3262" s="2"/>
      <c r="AB3262" s="2"/>
      <c r="AC3262" s="2"/>
      <c r="AD3262" s="2"/>
      <c r="AE3262" s="2"/>
      <c r="AF3262" s="2"/>
      <c r="AG3262" s="2"/>
      <c r="AH3262" s="2"/>
      <c r="AI3262" s="2"/>
      <c r="AJ3262" s="2"/>
      <c r="AK3262" s="2"/>
      <c r="AL3262" s="2"/>
      <c r="AM3262" s="2"/>
      <c r="AN3262" s="2"/>
      <c r="AO3262" s="2"/>
      <c r="AP3262" s="2"/>
      <c r="AQ3262" s="2"/>
      <c r="AR3262" s="2"/>
      <c r="AS3262" s="2"/>
      <c r="AT3262" s="2"/>
      <c r="AU3262" s="2"/>
      <c r="AV3262" s="2"/>
      <c r="AW3262" s="2"/>
      <c r="AX3262" s="2"/>
    </row>
    <row r="3263" spans="1:50" ht="12.75" x14ac:dyDescent="0.2">
      <c r="A3263" s="2"/>
      <c r="B3263" s="2"/>
      <c r="C3263" s="2"/>
      <c r="D3263" s="2"/>
      <c r="E3263" s="2"/>
      <c r="F3263" s="2"/>
      <c r="G3263" s="2"/>
      <c r="H3263" s="2"/>
      <c r="I3263" s="2"/>
      <c r="J3263" s="2"/>
      <c r="K3263" s="2"/>
      <c r="L3263" s="2"/>
      <c r="M3263" s="2"/>
      <c r="N3263" s="2"/>
      <c r="O3263" s="2"/>
      <c r="P3263" s="2"/>
      <c r="Q3263" s="2"/>
      <c r="R3263" s="2"/>
      <c r="S3263" s="2"/>
      <c r="T3263" s="2"/>
      <c r="U3263" s="2"/>
      <c r="V3263" s="2"/>
      <c r="W3263" s="2"/>
      <c r="X3263" s="2"/>
      <c r="Y3263" s="1"/>
      <c r="Z3263" s="1"/>
      <c r="AA3263" s="2"/>
      <c r="AB3263" s="2"/>
      <c r="AC3263" s="2"/>
      <c r="AD3263" s="2"/>
      <c r="AE3263" s="2"/>
      <c r="AF3263" s="2"/>
      <c r="AG3263" s="2"/>
      <c r="AH3263" s="2"/>
      <c r="AI3263" s="2"/>
      <c r="AJ3263" s="2"/>
      <c r="AK3263" s="2"/>
      <c r="AL3263" s="2"/>
      <c r="AM3263" s="2"/>
      <c r="AN3263" s="2"/>
      <c r="AO3263" s="2"/>
      <c r="AP3263" s="2"/>
      <c r="AQ3263" s="2"/>
      <c r="AR3263" s="2"/>
      <c r="AS3263" s="2"/>
      <c r="AT3263" s="2"/>
      <c r="AU3263" s="2"/>
      <c r="AV3263" s="2"/>
      <c r="AW3263" s="2"/>
      <c r="AX3263" s="2"/>
    </row>
    <row r="3264" spans="1:50" ht="12.75" x14ac:dyDescent="0.2">
      <c r="A3264" s="2"/>
      <c r="B3264" s="2"/>
      <c r="C3264" s="2"/>
      <c r="D3264" s="2"/>
      <c r="E3264" s="2"/>
      <c r="F3264" s="2"/>
      <c r="G3264" s="2"/>
      <c r="H3264" s="2"/>
      <c r="I3264" s="2"/>
      <c r="J3264" s="2"/>
      <c r="K3264" s="2"/>
      <c r="L3264" s="2"/>
      <c r="M3264" s="2"/>
      <c r="N3264" s="2"/>
      <c r="O3264" s="2"/>
      <c r="P3264" s="2"/>
      <c r="Q3264" s="2"/>
      <c r="R3264" s="2"/>
      <c r="S3264" s="2"/>
      <c r="T3264" s="2"/>
      <c r="U3264" s="2"/>
      <c r="V3264" s="2"/>
      <c r="W3264" s="2"/>
      <c r="X3264" s="2"/>
      <c r="Y3264" s="1"/>
      <c r="Z3264" s="1"/>
      <c r="AA3264" s="2"/>
      <c r="AB3264" s="2"/>
      <c r="AC3264" s="2"/>
      <c r="AD3264" s="2"/>
      <c r="AE3264" s="2"/>
      <c r="AF3264" s="2"/>
      <c r="AG3264" s="2"/>
      <c r="AH3264" s="2"/>
      <c r="AI3264" s="2"/>
      <c r="AJ3264" s="2"/>
      <c r="AK3264" s="2"/>
      <c r="AL3264" s="2"/>
      <c r="AM3264" s="2"/>
      <c r="AN3264" s="2"/>
      <c r="AO3264" s="2"/>
      <c r="AP3264" s="2"/>
      <c r="AQ3264" s="2"/>
      <c r="AR3264" s="2"/>
      <c r="AS3264" s="2"/>
      <c r="AT3264" s="2"/>
      <c r="AU3264" s="2"/>
      <c r="AV3264" s="2"/>
      <c r="AW3264" s="2"/>
      <c r="AX3264" s="2"/>
    </row>
    <row r="3265" spans="1:50" ht="12.75" x14ac:dyDescent="0.2">
      <c r="A3265" s="2"/>
      <c r="B3265" s="2"/>
      <c r="C3265" s="2"/>
      <c r="D3265" s="2"/>
      <c r="E3265" s="2"/>
      <c r="F3265" s="2"/>
      <c r="G3265" s="2"/>
      <c r="H3265" s="2"/>
      <c r="I3265" s="2"/>
      <c r="J3265" s="2"/>
      <c r="K3265" s="2"/>
      <c r="L3265" s="2"/>
      <c r="M3265" s="2"/>
      <c r="N3265" s="2"/>
      <c r="O3265" s="2"/>
      <c r="P3265" s="2"/>
      <c r="Q3265" s="2"/>
      <c r="R3265" s="2"/>
      <c r="S3265" s="2"/>
      <c r="T3265" s="2"/>
      <c r="U3265" s="2"/>
      <c r="V3265" s="2"/>
      <c r="W3265" s="2"/>
      <c r="X3265" s="2"/>
      <c r="Y3265" s="1"/>
      <c r="Z3265" s="1"/>
      <c r="AA3265" s="2"/>
      <c r="AB3265" s="2"/>
      <c r="AC3265" s="2"/>
      <c r="AD3265" s="2"/>
      <c r="AE3265" s="2"/>
      <c r="AF3265" s="2"/>
      <c r="AG3265" s="2"/>
      <c r="AH3265" s="2"/>
      <c r="AI3265" s="2"/>
      <c r="AJ3265" s="2"/>
      <c r="AK3265" s="2"/>
      <c r="AL3265" s="2"/>
      <c r="AM3265" s="2"/>
      <c r="AN3265" s="2"/>
      <c r="AO3265" s="2"/>
      <c r="AP3265" s="2"/>
      <c r="AQ3265" s="2"/>
      <c r="AR3265" s="2"/>
      <c r="AS3265" s="2"/>
      <c r="AT3265" s="2"/>
      <c r="AU3265" s="2"/>
      <c r="AV3265" s="2"/>
      <c r="AW3265" s="2"/>
      <c r="AX3265" s="2"/>
    </row>
    <row r="3266" spans="1:50" ht="12.75" x14ac:dyDescent="0.2">
      <c r="A3266" s="2"/>
      <c r="B3266" s="2"/>
      <c r="C3266" s="2"/>
      <c r="D3266" s="2"/>
      <c r="E3266" s="2"/>
      <c r="F3266" s="2"/>
      <c r="G3266" s="2"/>
      <c r="H3266" s="2"/>
      <c r="I3266" s="2"/>
      <c r="J3266" s="2"/>
      <c r="K3266" s="2"/>
      <c r="L3266" s="2"/>
      <c r="M3266" s="2"/>
      <c r="N3266" s="2"/>
      <c r="O3266" s="2"/>
      <c r="P3266" s="2"/>
      <c r="Q3266" s="2"/>
      <c r="R3266" s="2"/>
      <c r="S3266" s="2"/>
      <c r="T3266" s="2"/>
      <c r="U3266" s="2"/>
      <c r="V3266" s="2"/>
      <c r="W3266" s="2"/>
      <c r="X3266" s="2"/>
      <c r="Y3266" s="1"/>
      <c r="Z3266" s="1"/>
      <c r="AA3266" s="2"/>
      <c r="AB3266" s="2"/>
      <c r="AC3266" s="2"/>
      <c r="AD3266" s="2"/>
      <c r="AE3266" s="2"/>
      <c r="AF3266" s="2"/>
      <c r="AG3266" s="2"/>
      <c r="AH3266" s="2"/>
      <c r="AI3266" s="2"/>
      <c r="AJ3266" s="2"/>
      <c r="AK3266" s="2"/>
      <c r="AL3266" s="2"/>
      <c r="AM3266" s="2"/>
      <c r="AN3266" s="2"/>
      <c r="AO3266" s="2"/>
      <c r="AP3266" s="2"/>
      <c r="AQ3266" s="2"/>
      <c r="AR3266" s="2"/>
      <c r="AS3266" s="2"/>
      <c r="AT3266" s="2"/>
      <c r="AU3266" s="2"/>
      <c r="AV3266" s="2"/>
      <c r="AW3266" s="2"/>
      <c r="AX3266" s="2"/>
    </row>
    <row r="3267" spans="1:50" ht="12.75" x14ac:dyDescent="0.2">
      <c r="A3267" s="2"/>
      <c r="B3267" s="2"/>
      <c r="C3267" s="2"/>
      <c r="D3267" s="2"/>
      <c r="E3267" s="2"/>
      <c r="F3267" s="2"/>
      <c r="G3267" s="2"/>
      <c r="H3267" s="2"/>
      <c r="I3267" s="2"/>
      <c r="J3267" s="2"/>
      <c r="K3267" s="2"/>
      <c r="L3267" s="2"/>
      <c r="M3267" s="2"/>
      <c r="N3267" s="2"/>
      <c r="O3267" s="2"/>
      <c r="P3267" s="2"/>
      <c r="Q3267" s="2"/>
      <c r="R3267" s="2"/>
      <c r="S3267" s="2"/>
      <c r="T3267" s="2"/>
      <c r="U3267" s="2"/>
      <c r="V3267" s="2"/>
      <c r="W3267" s="2"/>
      <c r="X3267" s="2"/>
      <c r="Y3267" s="1"/>
      <c r="Z3267" s="1"/>
      <c r="AA3267" s="2"/>
      <c r="AB3267" s="2"/>
      <c r="AC3267" s="2"/>
      <c r="AD3267" s="2"/>
      <c r="AE3267" s="2"/>
      <c r="AF3267" s="2"/>
      <c r="AG3267" s="2"/>
      <c r="AH3267" s="2"/>
      <c r="AI3267" s="2"/>
      <c r="AJ3267" s="2"/>
      <c r="AK3267" s="2"/>
      <c r="AL3267" s="2"/>
      <c r="AM3267" s="2"/>
      <c r="AN3267" s="2"/>
      <c r="AO3267" s="2"/>
      <c r="AP3267" s="2"/>
      <c r="AQ3267" s="2"/>
      <c r="AR3267" s="2"/>
      <c r="AS3267" s="2"/>
      <c r="AT3267" s="2"/>
      <c r="AU3267" s="2"/>
      <c r="AV3267" s="2"/>
      <c r="AW3267" s="2"/>
      <c r="AX3267" s="2"/>
    </row>
    <row r="3268" spans="1:50" ht="12.75" x14ac:dyDescent="0.2">
      <c r="A3268" s="2"/>
      <c r="B3268" s="2"/>
      <c r="C3268" s="2"/>
      <c r="D3268" s="2"/>
      <c r="E3268" s="2"/>
      <c r="F3268" s="2"/>
      <c r="G3268" s="2"/>
      <c r="H3268" s="2"/>
      <c r="I3268" s="2"/>
      <c r="J3268" s="2"/>
      <c r="K3268" s="2"/>
      <c r="L3268" s="2"/>
      <c r="M3268" s="2"/>
      <c r="N3268" s="2"/>
      <c r="O3268" s="2"/>
      <c r="P3268" s="2"/>
      <c r="Q3268" s="2"/>
      <c r="R3268" s="2"/>
      <c r="S3268" s="2"/>
      <c r="T3268" s="2"/>
      <c r="U3268" s="2"/>
      <c r="V3268" s="2"/>
      <c r="W3268" s="2"/>
      <c r="X3268" s="2"/>
      <c r="Y3268" s="1"/>
      <c r="Z3268" s="1"/>
      <c r="AA3268" s="2"/>
      <c r="AB3268" s="2"/>
      <c r="AC3268" s="2"/>
      <c r="AD3268" s="2"/>
      <c r="AE3268" s="2"/>
      <c r="AF3268" s="2"/>
      <c r="AG3268" s="2"/>
      <c r="AH3268" s="2"/>
      <c r="AI3268" s="2"/>
      <c r="AJ3268" s="2"/>
      <c r="AK3268" s="2"/>
      <c r="AL3268" s="2"/>
      <c r="AM3268" s="2"/>
      <c r="AN3268" s="2"/>
      <c r="AO3268" s="2"/>
      <c r="AP3268" s="2"/>
      <c r="AQ3268" s="2"/>
      <c r="AR3268" s="2"/>
      <c r="AS3268" s="2"/>
      <c r="AT3268" s="2"/>
      <c r="AU3268" s="2"/>
      <c r="AV3268" s="2"/>
      <c r="AW3268" s="2"/>
      <c r="AX3268" s="2"/>
    </row>
    <row r="3269" spans="1:50" ht="12.75" x14ac:dyDescent="0.2">
      <c r="A3269" s="2"/>
      <c r="B3269" s="2"/>
      <c r="C3269" s="2"/>
      <c r="D3269" s="2"/>
      <c r="E3269" s="2"/>
      <c r="F3269" s="2"/>
      <c r="G3269" s="2"/>
      <c r="H3269" s="2"/>
      <c r="I3269" s="2"/>
      <c r="J3269" s="2"/>
      <c r="K3269" s="2"/>
      <c r="L3269" s="2"/>
      <c r="M3269" s="2"/>
      <c r="N3269" s="2"/>
      <c r="O3269" s="2"/>
      <c r="P3269" s="2"/>
      <c r="Q3269" s="2"/>
      <c r="R3269" s="2"/>
      <c r="S3269" s="2"/>
      <c r="T3269" s="2"/>
      <c r="U3269" s="2"/>
      <c r="V3269" s="2"/>
      <c r="W3269" s="2"/>
      <c r="X3269" s="2"/>
      <c r="Y3269" s="1"/>
      <c r="Z3269" s="1"/>
      <c r="AA3269" s="2"/>
      <c r="AB3269" s="2"/>
      <c r="AC3269" s="2"/>
      <c r="AD3269" s="2"/>
      <c r="AE3269" s="2"/>
      <c r="AF3269" s="2"/>
      <c r="AG3269" s="2"/>
      <c r="AH3269" s="2"/>
      <c r="AI3269" s="2"/>
      <c r="AJ3269" s="2"/>
      <c r="AK3269" s="2"/>
      <c r="AL3269" s="2"/>
      <c r="AM3269" s="2"/>
      <c r="AN3269" s="2"/>
      <c r="AO3269" s="2"/>
      <c r="AP3269" s="2"/>
      <c r="AQ3269" s="2"/>
      <c r="AR3269" s="2"/>
      <c r="AS3269" s="2"/>
      <c r="AT3269" s="2"/>
      <c r="AU3269" s="2"/>
      <c r="AV3269" s="2"/>
      <c r="AW3269" s="2"/>
      <c r="AX3269" s="2"/>
    </row>
    <row r="3270" spans="1:50" ht="12.75" x14ac:dyDescent="0.2">
      <c r="A3270" s="2"/>
      <c r="B3270" s="2"/>
      <c r="C3270" s="2"/>
      <c r="D3270" s="2"/>
      <c r="E3270" s="2"/>
      <c r="F3270" s="2"/>
      <c r="G3270" s="2"/>
      <c r="H3270" s="2"/>
      <c r="I3270" s="2"/>
      <c r="J3270" s="2"/>
      <c r="K3270" s="2"/>
      <c r="L3270" s="2"/>
      <c r="M3270" s="2"/>
      <c r="N3270" s="2"/>
      <c r="O3270" s="2"/>
      <c r="P3270" s="2"/>
      <c r="Q3270" s="2"/>
      <c r="R3270" s="2"/>
      <c r="S3270" s="2"/>
      <c r="T3270" s="2"/>
      <c r="U3270" s="2"/>
      <c r="V3270" s="2"/>
      <c r="W3270" s="2"/>
      <c r="X3270" s="2"/>
      <c r="Y3270" s="1"/>
      <c r="Z3270" s="1"/>
      <c r="AA3270" s="2"/>
      <c r="AB3270" s="2"/>
      <c r="AC3270" s="2"/>
      <c r="AD3270" s="2"/>
      <c r="AE3270" s="2"/>
      <c r="AF3270" s="2"/>
      <c r="AG3270" s="2"/>
      <c r="AH3270" s="2"/>
      <c r="AI3270" s="2"/>
      <c r="AJ3270" s="2"/>
      <c r="AK3270" s="2"/>
      <c r="AL3270" s="2"/>
      <c r="AM3270" s="2"/>
      <c r="AN3270" s="2"/>
      <c r="AO3270" s="2"/>
      <c r="AP3270" s="2"/>
      <c r="AQ3270" s="2"/>
      <c r="AR3270" s="2"/>
      <c r="AS3270" s="2"/>
      <c r="AT3270" s="2"/>
      <c r="AU3270" s="2"/>
      <c r="AV3270" s="2"/>
      <c r="AW3270" s="2"/>
      <c r="AX3270" s="2"/>
    </row>
    <row r="3271" spans="1:50" ht="12.75" x14ac:dyDescent="0.2">
      <c r="A3271" s="2"/>
      <c r="B3271" s="2"/>
      <c r="C3271" s="2"/>
      <c r="D3271" s="2"/>
      <c r="E3271" s="2"/>
      <c r="F3271" s="2"/>
      <c r="G3271" s="2"/>
      <c r="H3271" s="2"/>
      <c r="I3271" s="2"/>
      <c r="J3271" s="2"/>
      <c r="K3271" s="2"/>
      <c r="L3271" s="2"/>
      <c r="M3271" s="2"/>
      <c r="N3271" s="2"/>
      <c r="O3271" s="2"/>
      <c r="P3271" s="2"/>
      <c r="Q3271" s="2"/>
      <c r="R3271" s="2"/>
      <c r="S3271" s="2"/>
      <c r="T3271" s="2"/>
      <c r="U3271" s="2"/>
      <c r="V3271" s="2"/>
      <c r="W3271" s="2"/>
      <c r="X3271" s="2"/>
      <c r="Y3271" s="1"/>
      <c r="Z3271" s="1"/>
      <c r="AA3271" s="2"/>
      <c r="AB3271" s="2"/>
      <c r="AC3271" s="2"/>
      <c r="AD3271" s="2"/>
      <c r="AE3271" s="2"/>
      <c r="AF3271" s="2"/>
      <c r="AG3271" s="2"/>
      <c r="AH3271" s="2"/>
      <c r="AI3271" s="2"/>
      <c r="AJ3271" s="2"/>
      <c r="AK3271" s="2"/>
      <c r="AL3271" s="2"/>
      <c r="AM3271" s="2"/>
      <c r="AN3271" s="2"/>
      <c r="AO3271" s="2"/>
      <c r="AP3271" s="2"/>
      <c r="AQ3271" s="2"/>
      <c r="AR3271" s="2"/>
      <c r="AS3271" s="2"/>
      <c r="AT3271" s="2"/>
      <c r="AU3271" s="2"/>
      <c r="AV3271" s="2"/>
      <c r="AW3271" s="2"/>
      <c r="AX3271" s="2"/>
    </row>
    <row r="3272" spans="1:50" ht="12.75" x14ac:dyDescent="0.2">
      <c r="A3272" s="2"/>
      <c r="B3272" s="2"/>
      <c r="C3272" s="2"/>
      <c r="D3272" s="2"/>
      <c r="E3272" s="2"/>
      <c r="F3272" s="2"/>
      <c r="G3272" s="2"/>
      <c r="H3272" s="2"/>
      <c r="I3272" s="2"/>
      <c r="J3272" s="2"/>
      <c r="K3272" s="2"/>
      <c r="L3272" s="2"/>
      <c r="M3272" s="2"/>
      <c r="N3272" s="2"/>
      <c r="O3272" s="2"/>
      <c r="P3272" s="2"/>
      <c r="Q3272" s="2"/>
      <c r="R3272" s="2"/>
      <c r="S3272" s="2"/>
      <c r="T3272" s="2"/>
      <c r="U3272" s="2"/>
      <c r="V3272" s="2"/>
      <c r="W3272" s="2"/>
      <c r="X3272" s="2"/>
      <c r="Y3272" s="1"/>
      <c r="Z3272" s="1"/>
      <c r="AA3272" s="2"/>
      <c r="AB3272" s="2"/>
      <c r="AC3272" s="2"/>
      <c r="AD3272" s="2"/>
      <c r="AE3272" s="2"/>
      <c r="AF3272" s="2"/>
      <c r="AG3272" s="2"/>
      <c r="AH3272" s="2"/>
      <c r="AI3272" s="2"/>
      <c r="AJ3272" s="2"/>
      <c r="AK3272" s="2"/>
      <c r="AL3272" s="2"/>
      <c r="AM3272" s="2"/>
      <c r="AN3272" s="2"/>
      <c r="AO3272" s="2"/>
      <c r="AP3272" s="2"/>
      <c r="AQ3272" s="2"/>
      <c r="AR3272" s="2"/>
      <c r="AS3272" s="2"/>
      <c r="AT3272" s="2"/>
      <c r="AU3272" s="2"/>
      <c r="AV3272" s="2"/>
      <c r="AW3272" s="2"/>
      <c r="AX3272" s="2"/>
    </row>
    <row r="3273" spans="1:50" ht="12.75" x14ac:dyDescent="0.2">
      <c r="A3273" s="2"/>
      <c r="B3273" s="2"/>
      <c r="C3273" s="2"/>
      <c r="D3273" s="2"/>
      <c r="E3273" s="2"/>
      <c r="F3273" s="2"/>
      <c r="G3273" s="2"/>
      <c r="H3273" s="2"/>
      <c r="I3273" s="2"/>
      <c r="J3273" s="2"/>
      <c r="K3273" s="2"/>
      <c r="L3273" s="2"/>
      <c r="M3273" s="2"/>
      <c r="N3273" s="2"/>
      <c r="O3273" s="2"/>
      <c r="P3273" s="2"/>
      <c r="Q3273" s="2"/>
      <c r="R3273" s="2"/>
      <c r="S3273" s="2"/>
      <c r="T3273" s="2"/>
      <c r="U3273" s="2"/>
      <c r="V3273" s="2"/>
      <c r="W3273" s="2"/>
      <c r="X3273" s="2"/>
      <c r="Y3273" s="1"/>
      <c r="Z3273" s="1"/>
      <c r="AA3273" s="2"/>
      <c r="AB3273" s="2"/>
      <c r="AC3273" s="2"/>
      <c r="AD3273" s="2"/>
      <c r="AE3273" s="2"/>
      <c r="AF3273" s="2"/>
      <c r="AG3273" s="2"/>
      <c r="AH3273" s="2"/>
      <c r="AI3273" s="2"/>
      <c r="AJ3273" s="2"/>
      <c r="AK3273" s="2"/>
      <c r="AL3273" s="2"/>
      <c r="AM3273" s="2"/>
      <c r="AN3273" s="2"/>
      <c r="AO3273" s="2"/>
      <c r="AP3273" s="2"/>
      <c r="AQ3273" s="2"/>
      <c r="AR3273" s="2"/>
      <c r="AS3273" s="2"/>
      <c r="AT3273" s="2"/>
      <c r="AU3273" s="2"/>
      <c r="AV3273" s="2"/>
      <c r="AW3273" s="2"/>
      <c r="AX3273" s="2"/>
    </row>
    <row r="3274" spans="1:50" ht="12.75" x14ac:dyDescent="0.2">
      <c r="A3274" s="2"/>
      <c r="B3274" s="2"/>
      <c r="C3274" s="2"/>
      <c r="D3274" s="2"/>
      <c r="E3274" s="2"/>
      <c r="F3274" s="2"/>
      <c r="G3274" s="2"/>
      <c r="H3274" s="2"/>
      <c r="I3274" s="2"/>
      <c r="J3274" s="2"/>
      <c r="K3274" s="2"/>
      <c r="L3274" s="2"/>
      <c r="M3274" s="2"/>
      <c r="N3274" s="2"/>
      <c r="O3274" s="2"/>
      <c r="P3274" s="2"/>
      <c r="Q3274" s="2"/>
      <c r="R3274" s="2"/>
      <c r="S3274" s="2"/>
      <c r="T3274" s="2"/>
      <c r="U3274" s="2"/>
      <c r="V3274" s="2"/>
      <c r="W3274" s="2"/>
      <c r="X3274" s="2"/>
      <c r="Y3274" s="1"/>
      <c r="Z3274" s="1"/>
      <c r="AA3274" s="2"/>
      <c r="AB3274" s="2"/>
      <c r="AC3274" s="2"/>
      <c r="AD3274" s="2"/>
      <c r="AE3274" s="2"/>
      <c r="AF3274" s="2"/>
      <c r="AG3274" s="2"/>
      <c r="AH3274" s="2"/>
      <c r="AI3274" s="2"/>
      <c r="AJ3274" s="2"/>
      <c r="AK3274" s="2"/>
      <c r="AL3274" s="2"/>
      <c r="AM3274" s="2"/>
      <c r="AN3274" s="2"/>
      <c r="AO3274" s="2"/>
      <c r="AP3274" s="2"/>
      <c r="AQ3274" s="2"/>
      <c r="AR3274" s="2"/>
      <c r="AS3274" s="2"/>
      <c r="AT3274" s="2"/>
      <c r="AU3274" s="2"/>
      <c r="AV3274" s="2"/>
      <c r="AW3274" s="2"/>
      <c r="AX3274" s="2"/>
    </row>
    <row r="3275" spans="1:50" ht="12.75" x14ac:dyDescent="0.2">
      <c r="A3275" s="2"/>
      <c r="B3275" s="2"/>
      <c r="C3275" s="2"/>
      <c r="D3275" s="2"/>
      <c r="E3275" s="2"/>
      <c r="F3275" s="2"/>
      <c r="G3275" s="2"/>
      <c r="H3275" s="2"/>
      <c r="I3275" s="2"/>
      <c r="J3275" s="2"/>
      <c r="K3275" s="2"/>
      <c r="L3275" s="2"/>
      <c r="M3275" s="2"/>
      <c r="N3275" s="2"/>
      <c r="O3275" s="2"/>
      <c r="P3275" s="2"/>
      <c r="Q3275" s="2"/>
      <c r="R3275" s="2"/>
      <c r="S3275" s="2"/>
      <c r="T3275" s="2"/>
      <c r="U3275" s="2"/>
      <c r="V3275" s="2"/>
      <c r="W3275" s="2"/>
      <c r="X3275" s="2"/>
      <c r="Y3275" s="1"/>
      <c r="Z3275" s="1"/>
      <c r="AA3275" s="2"/>
      <c r="AB3275" s="2"/>
      <c r="AC3275" s="2"/>
      <c r="AD3275" s="2"/>
      <c r="AE3275" s="2"/>
      <c r="AF3275" s="2"/>
      <c r="AG3275" s="2"/>
      <c r="AH3275" s="2"/>
      <c r="AI3275" s="2"/>
      <c r="AJ3275" s="2"/>
      <c r="AK3275" s="2"/>
      <c r="AL3275" s="2"/>
      <c r="AM3275" s="2"/>
      <c r="AN3275" s="2"/>
      <c r="AO3275" s="2"/>
      <c r="AP3275" s="2"/>
      <c r="AQ3275" s="2"/>
      <c r="AR3275" s="2"/>
      <c r="AS3275" s="2"/>
      <c r="AT3275" s="2"/>
      <c r="AU3275" s="2"/>
      <c r="AV3275" s="2"/>
      <c r="AW3275" s="2"/>
      <c r="AX3275" s="2"/>
    </row>
    <row r="3276" spans="1:50" ht="12.75" x14ac:dyDescent="0.2">
      <c r="A3276" s="2"/>
      <c r="B3276" s="2"/>
      <c r="C3276" s="2"/>
      <c r="D3276" s="2"/>
      <c r="E3276" s="2"/>
      <c r="F3276" s="2"/>
      <c r="G3276" s="2"/>
      <c r="H3276" s="2"/>
      <c r="I3276" s="2"/>
      <c r="J3276" s="2"/>
      <c r="K3276" s="2"/>
      <c r="L3276" s="2"/>
      <c r="M3276" s="2"/>
      <c r="N3276" s="2"/>
      <c r="O3276" s="2"/>
      <c r="P3276" s="2"/>
      <c r="Q3276" s="2"/>
      <c r="R3276" s="2"/>
      <c r="S3276" s="2"/>
      <c r="T3276" s="2"/>
      <c r="U3276" s="2"/>
      <c r="V3276" s="2"/>
      <c r="W3276" s="2"/>
      <c r="X3276" s="2"/>
      <c r="Y3276" s="1"/>
      <c r="Z3276" s="1"/>
      <c r="AA3276" s="2"/>
      <c r="AB3276" s="2"/>
      <c r="AC3276" s="2"/>
      <c r="AD3276" s="2"/>
      <c r="AE3276" s="2"/>
      <c r="AF3276" s="2"/>
      <c r="AG3276" s="2"/>
      <c r="AH3276" s="2"/>
      <c r="AI3276" s="2"/>
      <c r="AJ3276" s="2"/>
      <c r="AK3276" s="2"/>
      <c r="AL3276" s="2"/>
      <c r="AM3276" s="2"/>
      <c r="AN3276" s="2"/>
      <c r="AO3276" s="2"/>
      <c r="AP3276" s="2"/>
      <c r="AQ3276" s="2"/>
      <c r="AR3276" s="2"/>
      <c r="AS3276" s="2"/>
      <c r="AT3276" s="2"/>
      <c r="AU3276" s="2"/>
      <c r="AV3276" s="2"/>
      <c r="AW3276" s="2"/>
      <c r="AX3276" s="2"/>
    </row>
    <row r="3277" spans="1:50" ht="12.75" x14ac:dyDescent="0.2">
      <c r="A3277" s="2"/>
      <c r="B3277" s="2"/>
      <c r="C3277" s="2"/>
      <c r="D3277" s="2"/>
      <c r="E3277" s="2"/>
      <c r="F3277" s="2"/>
      <c r="G3277" s="2"/>
      <c r="H3277" s="2"/>
      <c r="I3277" s="2"/>
      <c r="J3277" s="2"/>
      <c r="K3277" s="2"/>
      <c r="L3277" s="2"/>
      <c r="M3277" s="2"/>
      <c r="N3277" s="2"/>
      <c r="O3277" s="2"/>
      <c r="P3277" s="2"/>
      <c r="Q3277" s="2"/>
      <c r="R3277" s="2"/>
      <c r="S3277" s="2"/>
      <c r="T3277" s="2"/>
      <c r="U3277" s="2"/>
      <c r="V3277" s="2"/>
      <c r="W3277" s="2"/>
      <c r="X3277" s="2"/>
      <c r="Y3277" s="1"/>
      <c r="Z3277" s="1"/>
      <c r="AA3277" s="2"/>
      <c r="AB3277" s="2"/>
      <c r="AC3277" s="2"/>
      <c r="AD3277" s="2"/>
      <c r="AE3277" s="2"/>
      <c r="AF3277" s="2"/>
      <c r="AG3277" s="2"/>
      <c r="AH3277" s="2"/>
      <c r="AI3277" s="2"/>
      <c r="AJ3277" s="2"/>
      <c r="AK3277" s="2"/>
      <c r="AL3277" s="2"/>
      <c r="AM3277" s="2"/>
      <c r="AN3277" s="2"/>
      <c r="AO3277" s="2"/>
      <c r="AP3277" s="2"/>
      <c r="AQ3277" s="2"/>
      <c r="AR3277" s="2"/>
      <c r="AS3277" s="2"/>
      <c r="AT3277" s="2"/>
      <c r="AU3277" s="2"/>
      <c r="AV3277" s="2"/>
      <c r="AW3277" s="2"/>
      <c r="AX3277" s="2"/>
    </row>
    <row r="3278" spans="1:50" ht="12.75" x14ac:dyDescent="0.2">
      <c r="A3278" s="2"/>
      <c r="B3278" s="2"/>
      <c r="C3278" s="2"/>
      <c r="D3278" s="2"/>
      <c r="E3278" s="2"/>
      <c r="F3278" s="2"/>
      <c r="G3278" s="2"/>
      <c r="H3278" s="2"/>
      <c r="I3278" s="2"/>
      <c r="J3278" s="2"/>
      <c r="K3278" s="2"/>
      <c r="L3278" s="2"/>
      <c r="M3278" s="2"/>
      <c r="N3278" s="2"/>
      <c r="O3278" s="2"/>
      <c r="P3278" s="2"/>
      <c r="Q3278" s="2"/>
      <c r="R3278" s="2"/>
      <c r="S3278" s="2"/>
      <c r="T3278" s="2"/>
      <c r="U3278" s="2"/>
      <c r="V3278" s="2"/>
      <c r="W3278" s="2"/>
      <c r="X3278" s="2"/>
      <c r="Y3278" s="1"/>
      <c r="Z3278" s="1"/>
      <c r="AA3278" s="2"/>
      <c r="AB3278" s="2"/>
      <c r="AC3278" s="2"/>
      <c r="AD3278" s="2"/>
      <c r="AE3278" s="2"/>
      <c r="AF3278" s="2"/>
      <c r="AG3278" s="2"/>
      <c r="AH3278" s="2"/>
      <c r="AI3278" s="2"/>
      <c r="AJ3278" s="2"/>
      <c r="AK3278" s="2"/>
      <c r="AL3278" s="2"/>
      <c r="AM3278" s="2"/>
      <c r="AN3278" s="2"/>
      <c r="AO3278" s="2"/>
      <c r="AP3278" s="2"/>
      <c r="AQ3278" s="2"/>
      <c r="AR3278" s="2"/>
      <c r="AS3278" s="2"/>
      <c r="AT3278" s="2"/>
      <c r="AU3278" s="2"/>
      <c r="AV3278" s="2"/>
      <c r="AW3278" s="2"/>
      <c r="AX3278" s="2"/>
    </row>
    <row r="3279" spans="1:50" ht="12.75" x14ac:dyDescent="0.2">
      <c r="A3279" s="2"/>
      <c r="B3279" s="2"/>
      <c r="C3279" s="2"/>
      <c r="D3279" s="2"/>
      <c r="E3279" s="2"/>
      <c r="F3279" s="2"/>
      <c r="G3279" s="2"/>
      <c r="H3279" s="2"/>
      <c r="I3279" s="2"/>
      <c r="J3279" s="2"/>
      <c r="K3279" s="2"/>
      <c r="L3279" s="2"/>
      <c r="M3279" s="2"/>
      <c r="N3279" s="2"/>
      <c r="O3279" s="2"/>
      <c r="P3279" s="2"/>
      <c r="Q3279" s="2"/>
      <c r="R3279" s="2"/>
      <c r="S3279" s="2"/>
      <c r="T3279" s="2"/>
      <c r="U3279" s="2"/>
      <c r="V3279" s="2"/>
      <c r="W3279" s="2"/>
      <c r="X3279" s="2"/>
      <c r="Y3279" s="1"/>
      <c r="Z3279" s="1"/>
      <c r="AA3279" s="2"/>
      <c r="AB3279" s="2"/>
      <c r="AC3279" s="2"/>
      <c r="AD3279" s="2"/>
      <c r="AE3279" s="2"/>
      <c r="AF3279" s="2"/>
      <c r="AG3279" s="2"/>
      <c r="AH3279" s="2"/>
      <c r="AI3279" s="2"/>
      <c r="AJ3279" s="2"/>
      <c r="AK3279" s="2"/>
      <c r="AL3279" s="2"/>
      <c r="AM3279" s="2"/>
      <c r="AN3279" s="2"/>
      <c r="AO3279" s="2"/>
      <c r="AP3279" s="2"/>
      <c r="AQ3279" s="2"/>
      <c r="AR3279" s="2"/>
      <c r="AS3279" s="2"/>
      <c r="AT3279" s="2"/>
      <c r="AU3279" s="2"/>
      <c r="AV3279" s="2"/>
      <c r="AW3279" s="2"/>
      <c r="AX3279" s="2"/>
    </row>
    <row r="3280" spans="1:50" ht="12.75" x14ac:dyDescent="0.2">
      <c r="A3280" s="2"/>
      <c r="B3280" s="2"/>
      <c r="C3280" s="2"/>
      <c r="D3280" s="2"/>
      <c r="E3280" s="2"/>
      <c r="F3280" s="2"/>
      <c r="G3280" s="2"/>
      <c r="H3280" s="2"/>
      <c r="I3280" s="2"/>
      <c r="J3280" s="2"/>
      <c r="K3280" s="2"/>
      <c r="L3280" s="2"/>
      <c r="M3280" s="2"/>
      <c r="N3280" s="2"/>
      <c r="O3280" s="2"/>
      <c r="P3280" s="2"/>
      <c r="Q3280" s="2"/>
      <c r="R3280" s="2"/>
      <c r="S3280" s="2"/>
      <c r="T3280" s="2"/>
      <c r="U3280" s="2"/>
      <c r="V3280" s="2"/>
      <c r="W3280" s="2"/>
      <c r="X3280" s="2"/>
      <c r="Y3280" s="1"/>
      <c r="Z3280" s="1"/>
      <c r="AA3280" s="2"/>
      <c r="AB3280" s="2"/>
      <c r="AC3280" s="2"/>
      <c r="AD3280" s="2"/>
      <c r="AE3280" s="2"/>
      <c r="AF3280" s="2"/>
      <c r="AG3280" s="2"/>
      <c r="AH3280" s="2"/>
      <c r="AI3280" s="2"/>
      <c r="AJ3280" s="2"/>
      <c r="AK3280" s="2"/>
      <c r="AL3280" s="2"/>
      <c r="AM3280" s="2"/>
      <c r="AN3280" s="2"/>
      <c r="AO3280" s="2"/>
      <c r="AP3280" s="2"/>
      <c r="AQ3280" s="2"/>
      <c r="AR3280" s="2"/>
      <c r="AS3280" s="2"/>
      <c r="AT3280" s="2"/>
      <c r="AU3280" s="2"/>
      <c r="AV3280" s="2"/>
      <c r="AW3280" s="2"/>
      <c r="AX3280" s="2"/>
    </row>
    <row r="3281" spans="1:50" ht="12.75" x14ac:dyDescent="0.2">
      <c r="A3281" s="2"/>
      <c r="B3281" s="2"/>
      <c r="C3281" s="2"/>
      <c r="D3281" s="2"/>
      <c r="E3281" s="2"/>
      <c r="F3281" s="2"/>
      <c r="G3281" s="2"/>
      <c r="H3281" s="2"/>
      <c r="I3281" s="2"/>
      <c r="J3281" s="2"/>
      <c r="K3281" s="2"/>
      <c r="L3281" s="2"/>
      <c r="M3281" s="2"/>
      <c r="N3281" s="2"/>
      <c r="O3281" s="2"/>
      <c r="P3281" s="2"/>
      <c r="Q3281" s="2"/>
      <c r="R3281" s="2"/>
      <c r="S3281" s="2"/>
      <c r="T3281" s="2"/>
      <c r="U3281" s="2"/>
      <c r="V3281" s="2"/>
      <c r="W3281" s="2"/>
      <c r="X3281" s="2"/>
      <c r="Y3281" s="1"/>
      <c r="Z3281" s="1"/>
      <c r="AA3281" s="2"/>
      <c r="AB3281" s="2"/>
      <c r="AC3281" s="2"/>
      <c r="AD3281" s="2"/>
      <c r="AE3281" s="2"/>
      <c r="AF3281" s="2"/>
      <c r="AG3281" s="2"/>
      <c r="AH3281" s="2"/>
      <c r="AI3281" s="2"/>
      <c r="AJ3281" s="2"/>
      <c r="AK3281" s="2"/>
      <c r="AL3281" s="2"/>
      <c r="AM3281" s="2"/>
      <c r="AN3281" s="2"/>
      <c r="AO3281" s="2"/>
      <c r="AP3281" s="2"/>
      <c r="AQ3281" s="2"/>
      <c r="AR3281" s="2"/>
      <c r="AS3281" s="2"/>
      <c r="AT3281" s="2"/>
      <c r="AU3281" s="2"/>
      <c r="AV3281" s="2"/>
      <c r="AW3281" s="2"/>
      <c r="AX3281" s="2"/>
    </row>
    <row r="3282" spans="1:50" ht="12.75" x14ac:dyDescent="0.2">
      <c r="A3282" s="2"/>
      <c r="B3282" s="2"/>
      <c r="C3282" s="2"/>
      <c r="D3282" s="2"/>
      <c r="E3282" s="2"/>
      <c r="F3282" s="2"/>
      <c r="G3282" s="2"/>
      <c r="H3282" s="2"/>
      <c r="I3282" s="2"/>
      <c r="J3282" s="2"/>
      <c r="K3282" s="2"/>
      <c r="L3282" s="2"/>
      <c r="M3282" s="2"/>
      <c r="N3282" s="2"/>
      <c r="O3282" s="2"/>
      <c r="P3282" s="2"/>
      <c r="Q3282" s="2"/>
      <c r="R3282" s="2"/>
      <c r="S3282" s="2"/>
      <c r="T3282" s="2"/>
      <c r="U3282" s="2"/>
      <c r="V3282" s="2"/>
      <c r="W3282" s="2"/>
      <c r="X3282" s="2"/>
      <c r="Y3282" s="1"/>
      <c r="Z3282" s="1"/>
      <c r="AA3282" s="2"/>
      <c r="AB3282" s="2"/>
      <c r="AC3282" s="2"/>
      <c r="AD3282" s="2"/>
      <c r="AE3282" s="2"/>
      <c r="AF3282" s="2"/>
      <c r="AG3282" s="2"/>
      <c r="AH3282" s="2"/>
      <c r="AI3282" s="2"/>
      <c r="AJ3282" s="2"/>
      <c r="AK3282" s="2"/>
      <c r="AL3282" s="2"/>
      <c r="AM3282" s="2"/>
      <c r="AN3282" s="2"/>
      <c r="AO3282" s="2"/>
      <c r="AP3282" s="2"/>
      <c r="AQ3282" s="2"/>
      <c r="AR3282" s="2"/>
      <c r="AS3282" s="2"/>
      <c r="AT3282" s="2"/>
      <c r="AU3282" s="2"/>
      <c r="AV3282" s="2"/>
      <c r="AW3282" s="2"/>
      <c r="AX3282" s="2"/>
    </row>
    <row r="3283" spans="1:50" ht="12.75" x14ac:dyDescent="0.2">
      <c r="A3283" s="2"/>
      <c r="B3283" s="2"/>
      <c r="C3283" s="2"/>
      <c r="D3283" s="2"/>
      <c r="E3283" s="2"/>
      <c r="F3283" s="2"/>
      <c r="G3283" s="2"/>
      <c r="H3283" s="2"/>
      <c r="I3283" s="2"/>
      <c r="J3283" s="2"/>
      <c r="K3283" s="2"/>
      <c r="L3283" s="2"/>
      <c r="M3283" s="2"/>
      <c r="N3283" s="2"/>
      <c r="O3283" s="2"/>
      <c r="P3283" s="2"/>
      <c r="Q3283" s="2"/>
      <c r="R3283" s="2"/>
      <c r="S3283" s="2"/>
      <c r="T3283" s="2"/>
      <c r="U3283" s="2"/>
      <c r="V3283" s="2"/>
      <c r="W3283" s="2"/>
      <c r="X3283" s="2"/>
      <c r="Y3283" s="1"/>
      <c r="Z3283" s="1"/>
      <c r="AA3283" s="2"/>
      <c r="AB3283" s="2"/>
      <c r="AC3283" s="2"/>
      <c r="AD3283" s="2"/>
      <c r="AE3283" s="2"/>
      <c r="AF3283" s="2"/>
      <c r="AG3283" s="2"/>
      <c r="AH3283" s="2"/>
      <c r="AI3283" s="2"/>
      <c r="AJ3283" s="2"/>
      <c r="AK3283" s="2"/>
      <c r="AL3283" s="2"/>
      <c r="AM3283" s="2"/>
      <c r="AN3283" s="2"/>
      <c r="AO3283" s="2"/>
      <c r="AP3283" s="2"/>
      <c r="AQ3283" s="2"/>
      <c r="AR3283" s="2"/>
      <c r="AS3283" s="2"/>
      <c r="AT3283" s="2"/>
      <c r="AU3283" s="2"/>
      <c r="AV3283" s="2"/>
      <c r="AW3283" s="2"/>
      <c r="AX3283" s="2"/>
    </row>
    <row r="3284" spans="1:50" ht="12.75" x14ac:dyDescent="0.2">
      <c r="A3284" s="2"/>
      <c r="B3284" s="2"/>
      <c r="C3284" s="2"/>
      <c r="D3284" s="2"/>
      <c r="E3284" s="2"/>
      <c r="F3284" s="2"/>
      <c r="G3284" s="2"/>
      <c r="H3284" s="2"/>
      <c r="I3284" s="2"/>
      <c r="J3284" s="2"/>
      <c r="K3284" s="2"/>
      <c r="L3284" s="2"/>
      <c r="M3284" s="2"/>
      <c r="N3284" s="2"/>
      <c r="O3284" s="2"/>
      <c r="P3284" s="2"/>
      <c r="Q3284" s="2"/>
      <c r="R3284" s="2"/>
      <c r="S3284" s="2"/>
      <c r="T3284" s="2"/>
      <c r="U3284" s="2"/>
      <c r="V3284" s="2"/>
      <c r="W3284" s="2"/>
      <c r="X3284" s="2"/>
      <c r="Y3284" s="1"/>
      <c r="Z3284" s="1"/>
      <c r="AA3284" s="2"/>
      <c r="AB3284" s="2"/>
      <c r="AC3284" s="2"/>
      <c r="AD3284" s="2"/>
      <c r="AE3284" s="2"/>
      <c r="AF3284" s="2"/>
      <c r="AG3284" s="2"/>
      <c r="AH3284" s="2"/>
      <c r="AI3284" s="2"/>
      <c r="AJ3284" s="2"/>
      <c r="AK3284" s="2"/>
      <c r="AL3284" s="2"/>
      <c r="AM3284" s="2"/>
      <c r="AN3284" s="2"/>
      <c r="AO3284" s="2"/>
      <c r="AP3284" s="2"/>
      <c r="AQ3284" s="2"/>
      <c r="AR3284" s="2"/>
      <c r="AS3284" s="2"/>
      <c r="AT3284" s="2"/>
      <c r="AU3284" s="2"/>
      <c r="AV3284" s="2"/>
      <c r="AW3284" s="2"/>
      <c r="AX3284" s="2"/>
    </row>
    <row r="3285" spans="1:50" ht="12.75" x14ac:dyDescent="0.2">
      <c r="A3285" s="2"/>
      <c r="B3285" s="2"/>
      <c r="C3285" s="2"/>
      <c r="D3285" s="2"/>
      <c r="E3285" s="2"/>
      <c r="F3285" s="2"/>
      <c r="G3285" s="2"/>
      <c r="H3285" s="2"/>
      <c r="I3285" s="2"/>
      <c r="J3285" s="2"/>
      <c r="K3285" s="2"/>
      <c r="L3285" s="2"/>
      <c r="M3285" s="2"/>
      <c r="N3285" s="2"/>
      <c r="O3285" s="2"/>
      <c r="P3285" s="2"/>
      <c r="Q3285" s="2"/>
      <c r="R3285" s="2"/>
      <c r="S3285" s="2"/>
      <c r="T3285" s="2"/>
      <c r="U3285" s="2"/>
      <c r="V3285" s="2"/>
      <c r="W3285" s="2"/>
      <c r="X3285" s="2"/>
      <c r="Y3285" s="1"/>
      <c r="Z3285" s="1"/>
      <c r="AA3285" s="2"/>
      <c r="AB3285" s="2"/>
      <c r="AC3285" s="2"/>
      <c r="AD3285" s="2"/>
      <c r="AE3285" s="2"/>
      <c r="AF3285" s="2"/>
      <c r="AG3285" s="2"/>
      <c r="AH3285" s="2"/>
      <c r="AI3285" s="2"/>
      <c r="AJ3285" s="2"/>
      <c r="AK3285" s="2"/>
      <c r="AL3285" s="2"/>
      <c r="AM3285" s="2"/>
      <c r="AN3285" s="2"/>
      <c r="AO3285" s="2"/>
      <c r="AP3285" s="2"/>
      <c r="AQ3285" s="2"/>
      <c r="AR3285" s="2"/>
      <c r="AS3285" s="2"/>
      <c r="AT3285" s="2"/>
      <c r="AU3285" s="2"/>
      <c r="AV3285" s="2"/>
      <c r="AW3285" s="2"/>
      <c r="AX3285" s="2"/>
    </row>
    <row r="3286" spans="1:50" ht="12.75" x14ac:dyDescent="0.2">
      <c r="A3286" s="2"/>
      <c r="B3286" s="2"/>
      <c r="C3286" s="2"/>
      <c r="D3286" s="2"/>
      <c r="E3286" s="2"/>
      <c r="F3286" s="2"/>
      <c r="G3286" s="2"/>
      <c r="H3286" s="2"/>
      <c r="I3286" s="2"/>
      <c r="J3286" s="2"/>
      <c r="K3286" s="2"/>
      <c r="L3286" s="2"/>
      <c r="M3286" s="2"/>
      <c r="N3286" s="2"/>
      <c r="O3286" s="2"/>
      <c r="P3286" s="2"/>
      <c r="Q3286" s="2"/>
      <c r="R3286" s="2"/>
      <c r="S3286" s="2"/>
      <c r="T3286" s="2"/>
      <c r="U3286" s="2"/>
      <c r="V3286" s="2"/>
      <c r="W3286" s="2"/>
      <c r="X3286" s="2"/>
      <c r="Y3286" s="1"/>
      <c r="Z3286" s="1"/>
      <c r="AA3286" s="2"/>
      <c r="AB3286" s="2"/>
      <c r="AC3286" s="2"/>
      <c r="AD3286" s="2"/>
      <c r="AE3286" s="2"/>
      <c r="AF3286" s="2"/>
      <c r="AG3286" s="2"/>
      <c r="AH3286" s="2"/>
      <c r="AI3286" s="2"/>
      <c r="AJ3286" s="2"/>
      <c r="AK3286" s="2"/>
      <c r="AL3286" s="2"/>
      <c r="AM3286" s="2"/>
      <c r="AN3286" s="2"/>
      <c r="AO3286" s="2"/>
      <c r="AP3286" s="2"/>
      <c r="AQ3286" s="2"/>
      <c r="AR3286" s="2"/>
      <c r="AS3286" s="2"/>
      <c r="AT3286" s="2"/>
      <c r="AU3286" s="2"/>
      <c r="AV3286" s="2"/>
      <c r="AW3286" s="2"/>
      <c r="AX3286" s="2"/>
    </row>
    <row r="3287" spans="1:50" ht="12.75" x14ac:dyDescent="0.2">
      <c r="A3287" s="2"/>
      <c r="B3287" s="2"/>
      <c r="C3287" s="2"/>
      <c r="D3287" s="2"/>
      <c r="E3287" s="2"/>
      <c r="F3287" s="2"/>
      <c r="G3287" s="2"/>
      <c r="H3287" s="2"/>
      <c r="I3287" s="2"/>
      <c r="J3287" s="2"/>
      <c r="K3287" s="2"/>
      <c r="L3287" s="2"/>
      <c r="M3287" s="2"/>
      <c r="N3287" s="2"/>
      <c r="O3287" s="2"/>
      <c r="P3287" s="2"/>
      <c r="Q3287" s="2"/>
      <c r="R3287" s="2"/>
      <c r="S3287" s="2"/>
      <c r="T3287" s="2"/>
      <c r="U3287" s="2"/>
      <c r="V3287" s="2"/>
      <c r="W3287" s="2"/>
      <c r="X3287" s="2"/>
      <c r="Y3287" s="1"/>
      <c r="Z3287" s="1"/>
      <c r="AA3287" s="2"/>
      <c r="AB3287" s="2"/>
      <c r="AC3287" s="2"/>
      <c r="AD3287" s="2"/>
      <c r="AE3287" s="2"/>
      <c r="AF3287" s="2"/>
      <c r="AG3287" s="2"/>
      <c r="AH3287" s="2"/>
      <c r="AI3287" s="2"/>
      <c r="AJ3287" s="2"/>
      <c r="AK3287" s="2"/>
      <c r="AL3287" s="2"/>
      <c r="AM3287" s="2"/>
      <c r="AN3287" s="2"/>
      <c r="AO3287" s="2"/>
      <c r="AP3287" s="2"/>
      <c r="AQ3287" s="2"/>
      <c r="AR3287" s="2"/>
      <c r="AS3287" s="2"/>
      <c r="AT3287" s="2"/>
      <c r="AU3287" s="2"/>
      <c r="AV3287" s="2"/>
      <c r="AW3287" s="2"/>
      <c r="AX3287" s="2"/>
    </row>
    <row r="3288" spans="1:50" ht="12.75" x14ac:dyDescent="0.2">
      <c r="A3288" s="2"/>
      <c r="B3288" s="2"/>
      <c r="C3288" s="2"/>
      <c r="D3288" s="2"/>
      <c r="E3288" s="2"/>
      <c r="F3288" s="2"/>
      <c r="G3288" s="2"/>
      <c r="H3288" s="2"/>
      <c r="I3288" s="2"/>
      <c r="J3288" s="2"/>
      <c r="K3288" s="2"/>
      <c r="L3288" s="2"/>
      <c r="M3288" s="2"/>
      <c r="N3288" s="2"/>
      <c r="O3288" s="2"/>
      <c r="P3288" s="2"/>
      <c r="Q3288" s="2"/>
      <c r="R3288" s="2"/>
      <c r="S3288" s="2"/>
      <c r="T3288" s="2"/>
      <c r="U3288" s="2"/>
      <c r="V3288" s="2"/>
      <c r="W3288" s="2"/>
      <c r="X3288" s="2"/>
      <c r="Y3288" s="1"/>
      <c r="Z3288" s="1"/>
      <c r="AA3288" s="2"/>
      <c r="AB3288" s="2"/>
      <c r="AC3288" s="2"/>
      <c r="AD3288" s="2"/>
      <c r="AE3288" s="2"/>
      <c r="AF3288" s="2"/>
      <c r="AG3288" s="2"/>
      <c r="AH3288" s="2"/>
      <c r="AI3288" s="2"/>
      <c r="AJ3288" s="2"/>
      <c r="AK3288" s="2"/>
      <c r="AL3288" s="2"/>
      <c r="AM3288" s="2"/>
      <c r="AN3288" s="2"/>
      <c r="AO3288" s="2"/>
      <c r="AP3288" s="2"/>
      <c r="AQ3288" s="2"/>
      <c r="AR3288" s="2"/>
      <c r="AS3288" s="2"/>
      <c r="AT3288" s="2"/>
      <c r="AU3288" s="2"/>
      <c r="AV3288" s="2"/>
      <c r="AW3288" s="2"/>
      <c r="AX3288" s="2"/>
    </row>
    <row r="3289" spans="1:50" ht="12.75" x14ac:dyDescent="0.2">
      <c r="A3289" s="2"/>
      <c r="B3289" s="2"/>
      <c r="C3289" s="2"/>
      <c r="D3289" s="2"/>
      <c r="E3289" s="2"/>
      <c r="F3289" s="2"/>
      <c r="G3289" s="2"/>
      <c r="H3289" s="2"/>
      <c r="I3289" s="2"/>
      <c r="J3289" s="2"/>
      <c r="K3289" s="2"/>
      <c r="L3289" s="2"/>
      <c r="M3289" s="2"/>
      <c r="N3289" s="2"/>
      <c r="O3289" s="2"/>
      <c r="P3289" s="2"/>
      <c r="Q3289" s="2"/>
      <c r="R3289" s="2"/>
      <c r="S3289" s="2"/>
      <c r="T3289" s="2"/>
      <c r="U3289" s="2"/>
      <c r="V3289" s="2"/>
      <c r="W3289" s="2"/>
      <c r="X3289" s="2"/>
      <c r="Y3289" s="1"/>
      <c r="Z3289" s="1"/>
      <c r="AA3289" s="2"/>
      <c r="AB3289" s="2"/>
      <c r="AC3289" s="2"/>
      <c r="AD3289" s="2"/>
      <c r="AE3289" s="2"/>
      <c r="AF3289" s="2"/>
      <c r="AG3289" s="2"/>
      <c r="AH3289" s="2"/>
      <c r="AI3289" s="2"/>
      <c r="AJ3289" s="2"/>
      <c r="AK3289" s="2"/>
      <c r="AL3289" s="2"/>
      <c r="AM3289" s="2"/>
      <c r="AN3289" s="2"/>
      <c r="AO3289" s="2"/>
      <c r="AP3289" s="2"/>
      <c r="AQ3289" s="2"/>
      <c r="AR3289" s="2"/>
      <c r="AS3289" s="2"/>
      <c r="AT3289" s="2"/>
      <c r="AU3289" s="2"/>
      <c r="AV3289" s="2"/>
      <c r="AW3289" s="2"/>
      <c r="AX3289" s="2"/>
    </row>
    <row r="3290" spans="1:50" ht="12.75" x14ac:dyDescent="0.2">
      <c r="A3290" s="2"/>
      <c r="B3290" s="2"/>
      <c r="C3290" s="2"/>
      <c r="D3290" s="2"/>
      <c r="E3290" s="2"/>
      <c r="F3290" s="2"/>
      <c r="G3290" s="2"/>
      <c r="H3290" s="2"/>
      <c r="I3290" s="2"/>
      <c r="J3290" s="2"/>
      <c r="K3290" s="2"/>
      <c r="L3290" s="2"/>
      <c r="M3290" s="2"/>
      <c r="N3290" s="2"/>
      <c r="O3290" s="2"/>
      <c r="P3290" s="2"/>
      <c r="Q3290" s="2"/>
      <c r="R3290" s="2"/>
      <c r="S3290" s="2"/>
      <c r="T3290" s="2"/>
      <c r="U3290" s="2"/>
      <c r="V3290" s="2"/>
      <c r="W3290" s="2"/>
      <c r="X3290" s="2"/>
      <c r="Y3290" s="1"/>
      <c r="Z3290" s="1"/>
      <c r="AA3290" s="2"/>
      <c r="AB3290" s="2"/>
      <c r="AC3290" s="2"/>
      <c r="AD3290" s="2"/>
      <c r="AE3290" s="2"/>
      <c r="AF3290" s="2"/>
      <c r="AG3290" s="2"/>
      <c r="AH3290" s="2"/>
      <c r="AI3290" s="2"/>
      <c r="AJ3290" s="2"/>
      <c r="AK3290" s="2"/>
      <c r="AL3290" s="2"/>
      <c r="AM3290" s="2"/>
      <c r="AN3290" s="2"/>
      <c r="AO3290" s="2"/>
      <c r="AP3290" s="2"/>
      <c r="AQ3290" s="2"/>
      <c r="AR3290" s="2"/>
      <c r="AS3290" s="2"/>
      <c r="AT3290" s="2"/>
      <c r="AU3290" s="2"/>
      <c r="AV3290" s="2"/>
      <c r="AW3290" s="2"/>
      <c r="AX3290" s="2"/>
    </row>
    <row r="3291" spans="1:50" ht="12.75" x14ac:dyDescent="0.2">
      <c r="A3291" s="2"/>
      <c r="B3291" s="2"/>
      <c r="C3291" s="2"/>
      <c r="D3291" s="2"/>
      <c r="E3291" s="2"/>
      <c r="F3291" s="2"/>
      <c r="G3291" s="2"/>
      <c r="H3291" s="2"/>
      <c r="I3291" s="2"/>
      <c r="J3291" s="2"/>
      <c r="K3291" s="2"/>
      <c r="L3291" s="2"/>
      <c r="M3291" s="2"/>
      <c r="N3291" s="2"/>
      <c r="O3291" s="2"/>
      <c r="P3291" s="2"/>
      <c r="Q3291" s="2"/>
      <c r="R3291" s="2"/>
      <c r="S3291" s="2"/>
      <c r="T3291" s="2"/>
      <c r="U3291" s="2"/>
      <c r="V3291" s="2"/>
      <c r="W3291" s="2"/>
      <c r="X3291" s="2"/>
      <c r="Y3291" s="1"/>
      <c r="Z3291" s="1"/>
      <c r="AA3291" s="2"/>
      <c r="AB3291" s="2"/>
      <c r="AC3291" s="2"/>
      <c r="AD3291" s="2"/>
      <c r="AE3291" s="2"/>
      <c r="AF3291" s="2"/>
      <c r="AG3291" s="2"/>
      <c r="AH3291" s="2"/>
      <c r="AI3291" s="2"/>
      <c r="AJ3291" s="2"/>
      <c r="AK3291" s="2"/>
      <c r="AL3291" s="2"/>
      <c r="AM3291" s="2"/>
      <c r="AN3291" s="2"/>
      <c r="AO3291" s="2"/>
      <c r="AP3291" s="2"/>
      <c r="AQ3291" s="2"/>
      <c r="AR3291" s="2"/>
      <c r="AS3291" s="2"/>
      <c r="AT3291" s="2"/>
      <c r="AU3291" s="2"/>
      <c r="AV3291" s="2"/>
      <c r="AW3291" s="2"/>
      <c r="AX3291" s="2"/>
    </row>
    <row r="3292" spans="1:50" ht="12.75" x14ac:dyDescent="0.2">
      <c r="A3292" s="2"/>
      <c r="B3292" s="2"/>
      <c r="C3292" s="2"/>
      <c r="D3292" s="2"/>
      <c r="E3292" s="2"/>
      <c r="F3292" s="2"/>
      <c r="G3292" s="2"/>
      <c r="H3292" s="2"/>
      <c r="I3292" s="2"/>
      <c r="J3292" s="2"/>
      <c r="K3292" s="2"/>
      <c r="L3292" s="2"/>
      <c r="M3292" s="2"/>
      <c r="N3292" s="2"/>
      <c r="O3292" s="2"/>
      <c r="P3292" s="2"/>
      <c r="Q3292" s="2"/>
      <c r="R3292" s="2"/>
      <c r="S3292" s="2"/>
      <c r="T3292" s="2"/>
      <c r="U3292" s="2"/>
      <c r="V3292" s="2"/>
      <c r="W3292" s="2"/>
      <c r="X3292" s="2"/>
      <c r="Y3292" s="1"/>
      <c r="Z3292" s="1"/>
      <c r="AA3292" s="2"/>
      <c r="AB3292" s="2"/>
      <c r="AC3292" s="2"/>
      <c r="AD3292" s="2"/>
      <c r="AE3292" s="2"/>
      <c r="AF3292" s="2"/>
      <c r="AG3292" s="2"/>
      <c r="AH3292" s="2"/>
      <c r="AI3292" s="2"/>
      <c r="AJ3292" s="2"/>
      <c r="AK3292" s="2"/>
      <c r="AL3292" s="2"/>
      <c r="AM3292" s="2"/>
      <c r="AN3292" s="2"/>
      <c r="AO3292" s="2"/>
      <c r="AP3292" s="2"/>
      <c r="AQ3292" s="2"/>
      <c r="AR3292" s="2"/>
      <c r="AS3292" s="2"/>
      <c r="AT3292" s="2"/>
      <c r="AU3292" s="2"/>
      <c r="AV3292" s="2"/>
      <c r="AW3292" s="2"/>
      <c r="AX3292" s="2"/>
    </row>
    <row r="3293" spans="1:50" ht="12.75" x14ac:dyDescent="0.2">
      <c r="A3293" s="2"/>
      <c r="B3293" s="2"/>
      <c r="C3293" s="2"/>
      <c r="D3293" s="2"/>
      <c r="E3293" s="2"/>
      <c r="F3293" s="2"/>
      <c r="G3293" s="2"/>
      <c r="H3293" s="2"/>
      <c r="I3293" s="2"/>
      <c r="J3293" s="2"/>
      <c r="K3293" s="2"/>
      <c r="L3293" s="2"/>
      <c r="M3293" s="2"/>
      <c r="N3293" s="2"/>
      <c r="O3293" s="2"/>
      <c r="P3293" s="2"/>
      <c r="Q3293" s="2"/>
      <c r="R3293" s="2"/>
      <c r="S3293" s="2"/>
      <c r="T3293" s="2"/>
      <c r="U3293" s="2"/>
      <c r="V3293" s="2"/>
      <c r="W3293" s="2"/>
      <c r="X3293" s="2"/>
      <c r="Y3293" s="1"/>
      <c r="Z3293" s="1"/>
      <c r="AA3293" s="2"/>
      <c r="AB3293" s="2"/>
      <c r="AC3293" s="2"/>
      <c r="AD3293" s="2"/>
      <c r="AE3293" s="2"/>
      <c r="AF3293" s="2"/>
      <c r="AG3293" s="2"/>
      <c r="AH3293" s="2"/>
      <c r="AI3293" s="2"/>
      <c r="AJ3293" s="2"/>
      <c r="AK3293" s="2"/>
      <c r="AL3293" s="2"/>
      <c r="AM3293" s="2"/>
      <c r="AN3293" s="2"/>
      <c r="AO3293" s="2"/>
      <c r="AP3293" s="2"/>
      <c r="AQ3293" s="2"/>
      <c r="AR3293" s="2"/>
      <c r="AS3293" s="2"/>
      <c r="AT3293" s="2"/>
      <c r="AU3293" s="2"/>
      <c r="AV3293" s="2"/>
      <c r="AW3293" s="2"/>
      <c r="AX3293" s="2"/>
    </row>
    <row r="3294" spans="1:50" ht="12.75" x14ac:dyDescent="0.2">
      <c r="A3294" s="2"/>
      <c r="B3294" s="2"/>
      <c r="C3294" s="2"/>
      <c r="D3294" s="2"/>
      <c r="E3294" s="2"/>
      <c r="F3294" s="2"/>
      <c r="G3294" s="2"/>
      <c r="H3294" s="2"/>
      <c r="I3294" s="2"/>
      <c r="J3294" s="2"/>
      <c r="K3294" s="2"/>
      <c r="L3294" s="2"/>
      <c r="M3294" s="2"/>
      <c r="N3294" s="2"/>
      <c r="O3294" s="2"/>
      <c r="P3294" s="2"/>
      <c r="Q3294" s="2"/>
      <c r="R3294" s="2"/>
      <c r="S3294" s="2"/>
      <c r="T3294" s="2"/>
      <c r="U3294" s="2"/>
      <c r="V3294" s="2"/>
      <c r="W3294" s="2"/>
      <c r="X3294" s="2"/>
      <c r="Y3294" s="1"/>
      <c r="Z3294" s="1"/>
      <c r="AA3294" s="2"/>
      <c r="AB3294" s="2"/>
      <c r="AC3294" s="2"/>
      <c r="AD3294" s="2"/>
      <c r="AE3294" s="2"/>
      <c r="AF3294" s="2"/>
      <c r="AG3294" s="2"/>
      <c r="AH3294" s="2"/>
      <c r="AI3294" s="2"/>
      <c r="AJ3294" s="2"/>
      <c r="AK3294" s="2"/>
      <c r="AL3294" s="2"/>
      <c r="AM3294" s="2"/>
      <c r="AN3294" s="2"/>
      <c r="AO3294" s="2"/>
      <c r="AP3294" s="2"/>
      <c r="AQ3294" s="2"/>
      <c r="AR3294" s="2"/>
      <c r="AS3294" s="2"/>
      <c r="AT3294" s="2"/>
      <c r="AU3294" s="2"/>
      <c r="AV3294" s="2"/>
      <c r="AW3294" s="2"/>
      <c r="AX3294" s="2"/>
    </row>
    <row r="3295" spans="1:50" ht="12.75" x14ac:dyDescent="0.2">
      <c r="A3295" s="2"/>
      <c r="B3295" s="2"/>
      <c r="C3295" s="2"/>
      <c r="D3295" s="2"/>
      <c r="E3295" s="2"/>
      <c r="F3295" s="2"/>
      <c r="G3295" s="2"/>
      <c r="H3295" s="2"/>
      <c r="I3295" s="2"/>
      <c r="J3295" s="2"/>
      <c r="K3295" s="2"/>
      <c r="L3295" s="2"/>
      <c r="M3295" s="2"/>
      <c r="N3295" s="2"/>
      <c r="O3295" s="2"/>
      <c r="P3295" s="2"/>
      <c r="Q3295" s="2"/>
      <c r="R3295" s="2"/>
      <c r="S3295" s="2"/>
      <c r="T3295" s="2"/>
      <c r="U3295" s="2"/>
      <c r="V3295" s="2"/>
      <c r="W3295" s="2"/>
      <c r="X3295" s="2"/>
      <c r="Y3295" s="1"/>
      <c r="Z3295" s="1"/>
      <c r="AA3295" s="2"/>
      <c r="AB3295" s="2"/>
      <c r="AC3295" s="2"/>
      <c r="AD3295" s="2"/>
      <c r="AE3295" s="2"/>
      <c r="AF3295" s="2"/>
      <c r="AG3295" s="2"/>
      <c r="AH3295" s="2"/>
      <c r="AI3295" s="2"/>
      <c r="AJ3295" s="2"/>
      <c r="AK3295" s="2"/>
      <c r="AL3295" s="2"/>
      <c r="AM3295" s="2"/>
      <c r="AN3295" s="2"/>
      <c r="AO3295" s="2"/>
      <c r="AP3295" s="2"/>
      <c r="AQ3295" s="2"/>
      <c r="AR3295" s="2"/>
      <c r="AS3295" s="2"/>
      <c r="AT3295" s="2"/>
      <c r="AU3295" s="2"/>
      <c r="AV3295" s="2"/>
      <c r="AW3295" s="2"/>
      <c r="AX3295" s="2"/>
    </row>
    <row r="3296" spans="1:50" ht="12.75" x14ac:dyDescent="0.2">
      <c r="A3296" s="2"/>
      <c r="B3296" s="2"/>
      <c r="C3296" s="2"/>
      <c r="D3296" s="2"/>
      <c r="E3296" s="2"/>
      <c r="F3296" s="2"/>
      <c r="G3296" s="2"/>
      <c r="H3296" s="2"/>
      <c r="I3296" s="2"/>
      <c r="J3296" s="2"/>
      <c r="K3296" s="2"/>
      <c r="L3296" s="2"/>
      <c r="M3296" s="2"/>
      <c r="N3296" s="2"/>
      <c r="O3296" s="2"/>
      <c r="P3296" s="2"/>
      <c r="Q3296" s="2"/>
      <c r="R3296" s="2"/>
      <c r="S3296" s="2"/>
      <c r="T3296" s="2"/>
      <c r="U3296" s="2"/>
      <c r="V3296" s="2"/>
      <c r="W3296" s="2"/>
      <c r="X3296" s="2"/>
      <c r="Y3296" s="1"/>
      <c r="Z3296" s="1"/>
      <c r="AA3296" s="2"/>
      <c r="AB3296" s="2"/>
      <c r="AC3296" s="2"/>
      <c r="AD3296" s="2"/>
      <c r="AE3296" s="2"/>
      <c r="AF3296" s="2"/>
      <c r="AG3296" s="2"/>
      <c r="AH3296" s="2"/>
      <c r="AI3296" s="2"/>
      <c r="AJ3296" s="2"/>
      <c r="AK3296" s="2"/>
      <c r="AL3296" s="2"/>
      <c r="AM3296" s="2"/>
      <c r="AN3296" s="2"/>
      <c r="AO3296" s="2"/>
      <c r="AP3296" s="2"/>
      <c r="AQ3296" s="2"/>
      <c r="AR3296" s="2"/>
      <c r="AS3296" s="2"/>
      <c r="AT3296" s="2"/>
      <c r="AU3296" s="2"/>
      <c r="AV3296" s="2"/>
      <c r="AW3296" s="2"/>
      <c r="AX3296" s="2"/>
    </row>
    <row r="3297" spans="1:50" ht="12.75" x14ac:dyDescent="0.2">
      <c r="A3297" s="2"/>
      <c r="B3297" s="2"/>
      <c r="C3297" s="2"/>
      <c r="D3297" s="2"/>
      <c r="E3297" s="2"/>
      <c r="F3297" s="2"/>
      <c r="G3297" s="2"/>
      <c r="H3297" s="2"/>
      <c r="I3297" s="2"/>
      <c r="J3297" s="2"/>
      <c r="K3297" s="2"/>
      <c r="L3297" s="2"/>
      <c r="M3297" s="2"/>
      <c r="N3297" s="2"/>
      <c r="O3297" s="2"/>
      <c r="P3297" s="2"/>
      <c r="Q3297" s="2"/>
      <c r="R3297" s="2"/>
      <c r="S3297" s="2"/>
      <c r="T3297" s="2"/>
      <c r="U3297" s="2"/>
      <c r="V3297" s="2"/>
      <c r="W3297" s="2"/>
      <c r="X3297" s="2"/>
      <c r="Y3297" s="1"/>
      <c r="Z3297" s="1"/>
      <c r="AA3297" s="2"/>
      <c r="AB3297" s="2"/>
      <c r="AC3297" s="2"/>
      <c r="AD3297" s="2"/>
      <c r="AE3297" s="2"/>
      <c r="AF3297" s="2"/>
      <c r="AG3297" s="2"/>
      <c r="AH3297" s="2"/>
      <c r="AI3297" s="2"/>
      <c r="AJ3297" s="2"/>
      <c r="AK3297" s="2"/>
      <c r="AL3297" s="2"/>
      <c r="AM3297" s="2"/>
      <c r="AN3297" s="2"/>
      <c r="AO3297" s="2"/>
      <c r="AP3297" s="2"/>
      <c r="AQ3297" s="2"/>
      <c r="AR3297" s="2"/>
      <c r="AS3297" s="2"/>
      <c r="AT3297" s="2"/>
      <c r="AU3297" s="2"/>
      <c r="AV3297" s="2"/>
      <c r="AW3297" s="2"/>
      <c r="AX3297" s="2"/>
    </row>
    <row r="3298" spans="1:50" ht="12.75" x14ac:dyDescent="0.2">
      <c r="A3298" s="2"/>
      <c r="B3298" s="2"/>
      <c r="C3298" s="2"/>
      <c r="D3298" s="2"/>
      <c r="E3298" s="2"/>
      <c r="F3298" s="2"/>
      <c r="G3298" s="2"/>
      <c r="H3298" s="2"/>
      <c r="I3298" s="2"/>
      <c r="J3298" s="2"/>
      <c r="K3298" s="2"/>
      <c r="L3298" s="2"/>
      <c r="M3298" s="2"/>
      <c r="N3298" s="2"/>
      <c r="O3298" s="2"/>
      <c r="P3298" s="2"/>
      <c r="Q3298" s="2"/>
      <c r="R3298" s="2"/>
      <c r="S3298" s="2"/>
      <c r="T3298" s="2"/>
      <c r="U3298" s="2"/>
      <c r="V3298" s="2"/>
      <c r="W3298" s="2"/>
      <c r="X3298" s="2"/>
      <c r="Y3298" s="1"/>
      <c r="Z3298" s="1"/>
      <c r="AA3298" s="2"/>
      <c r="AB3298" s="2"/>
      <c r="AC3298" s="2"/>
      <c r="AD3298" s="2"/>
      <c r="AE3298" s="2"/>
      <c r="AF3298" s="2"/>
      <c r="AG3298" s="2"/>
      <c r="AH3298" s="2"/>
      <c r="AI3298" s="2"/>
      <c r="AJ3298" s="2"/>
      <c r="AK3298" s="2"/>
      <c r="AL3298" s="2"/>
      <c r="AM3298" s="2"/>
      <c r="AN3298" s="2"/>
      <c r="AO3298" s="2"/>
      <c r="AP3298" s="2"/>
      <c r="AQ3298" s="2"/>
      <c r="AR3298" s="2"/>
      <c r="AS3298" s="2"/>
      <c r="AT3298" s="2"/>
      <c r="AU3298" s="2"/>
      <c r="AV3298" s="2"/>
      <c r="AW3298" s="2"/>
      <c r="AX3298" s="2"/>
    </row>
    <row r="3299" spans="1:50" ht="12.75" x14ac:dyDescent="0.2">
      <c r="A3299" s="2"/>
      <c r="B3299" s="2"/>
      <c r="C3299" s="2"/>
      <c r="D3299" s="2"/>
      <c r="E3299" s="2"/>
      <c r="F3299" s="2"/>
      <c r="G3299" s="2"/>
      <c r="H3299" s="2"/>
      <c r="I3299" s="2"/>
      <c r="J3299" s="2"/>
      <c r="K3299" s="2"/>
      <c r="L3299" s="2"/>
      <c r="M3299" s="2"/>
      <c r="N3299" s="2"/>
      <c r="O3299" s="2"/>
      <c r="P3299" s="2"/>
      <c r="Q3299" s="2"/>
      <c r="R3299" s="2"/>
      <c r="S3299" s="2"/>
      <c r="T3299" s="2"/>
      <c r="U3299" s="2"/>
      <c r="V3299" s="2"/>
      <c r="W3299" s="2"/>
      <c r="X3299" s="2"/>
      <c r="Y3299" s="1"/>
      <c r="Z3299" s="1"/>
      <c r="AA3299" s="2"/>
      <c r="AB3299" s="2"/>
      <c r="AC3299" s="2"/>
      <c r="AD3299" s="2"/>
      <c r="AE3299" s="2"/>
      <c r="AF3299" s="2"/>
      <c r="AG3299" s="2"/>
      <c r="AH3299" s="2"/>
      <c r="AI3299" s="2"/>
      <c r="AJ3299" s="2"/>
      <c r="AK3299" s="2"/>
      <c r="AL3299" s="2"/>
      <c r="AM3299" s="2"/>
      <c r="AN3299" s="2"/>
      <c r="AO3299" s="2"/>
      <c r="AP3299" s="2"/>
      <c r="AQ3299" s="2"/>
      <c r="AR3299" s="2"/>
      <c r="AS3299" s="2"/>
      <c r="AT3299" s="2"/>
      <c r="AU3299" s="2"/>
      <c r="AV3299" s="2"/>
      <c r="AW3299" s="2"/>
      <c r="AX3299" s="2"/>
    </row>
    <row r="3300" spans="1:50" ht="12.75" x14ac:dyDescent="0.2">
      <c r="A3300" s="2"/>
      <c r="B3300" s="2"/>
      <c r="C3300" s="2"/>
      <c r="D3300" s="2"/>
      <c r="E3300" s="2"/>
      <c r="F3300" s="2"/>
      <c r="G3300" s="2"/>
      <c r="H3300" s="2"/>
      <c r="I3300" s="2"/>
      <c r="J3300" s="2"/>
      <c r="K3300" s="2"/>
      <c r="L3300" s="2"/>
      <c r="M3300" s="2"/>
      <c r="N3300" s="2"/>
      <c r="O3300" s="2"/>
      <c r="P3300" s="2"/>
      <c r="Q3300" s="2"/>
      <c r="R3300" s="2"/>
      <c r="S3300" s="2"/>
      <c r="T3300" s="2"/>
      <c r="U3300" s="2"/>
      <c r="V3300" s="2"/>
      <c r="W3300" s="2"/>
      <c r="X3300" s="2"/>
      <c r="Y3300" s="1"/>
      <c r="Z3300" s="1"/>
      <c r="AA3300" s="2"/>
      <c r="AB3300" s="2"/>
      <c r="AC3300" s="2"/>
      <c r="AD3300" s="2"/>
      <c r="AE3300" s="2"/>
      <c r="AF3300" s="2"/>
      <c r="AG3300" s="2"/>
      <c r="AH3300" s="2"/>
      <c r="AI3300" s="2"/>
      <c r="AJ3300" s="2"/>
      <c r="AK3300" s="2"/>
      <c r="AL3300" s="2"/>
      <c r="AM3300" s="2"/>
      <c r="AN3300" s="2"/>
      <c r="AO3300" s="2"/>
      <c r="AP3300" s="2"/>
      <c r="AQ3300" s="2"/>
      <c r="AR3300" s="2"/>
      <c r="AS3300" s="2"/>
      <c r="AT3300" s="2"/>
      <c r="AU3300" s="2"/>
      <c r="AV3300" s="2"/>
      <c r="AW3300" s="2"/>
      <c r="AX3300" s="2"/>
    </row>
    <row r="3301" spans="1:50" ht="12.75" x14ac:dyDescent="0.2">
      <c r="A3301" s="2"/>
      <c r="B3301" s="2"/>
      <c r="C3301" s="2"/>
      <c r="D3301" s="2"/>
      <c r="E3301" s="2"/>
      <c r="F3301" s="2"/>
      <c r="G3301" s="2"/>
      <c r="H3301" s="2"/>
      <c r="I3301" s="2"/>
      <c r="J3301" s="2"/>
      <c r="K3301" s="2"/>
      <c r="L3301" s="2"/>
      <c r="M3301" s="2"/>
      <c r="N3301" s="2"/>
      <c r="O3301" s="2"/>
      <c r="P3301" s="2"/>
      <c r="Q3301" s="2"/>
      <c r="R3301" s="2"/>
      <c r="S3301" s="2"/>
      <c r="T3301" s="2"/>
      <c r="U3301" s="2"/>
      <c r="V3301" s="2"/>
      <c r="W3301" s="2"/>
      <c r="X3301" s="2"/>
      <c r="Y3301" s="1"/>
      <c r="Z3301" s="1"/>
      <c r="AA3301" s="2"/>
      <c r="AB3301" s="2"/>
      <c r="AC3301" s="2"/>
      <c r="AD3301" s="2"/>
      <c r="AE3301" s="2"/>
      <c r="AF3301" s="2"/>
      <c r="AG3301" s="2"/>
      <c r="AH3301" s="2"/>
      <c r="AI3301" s="2"/>
      <c r="AJ3301" s="2"/>
      <c r="AK3301" s="2"/>
      <c r="AL3301" s="2"/>
      <c r="AM3301" s="2"/>
      <c r="AN3301" s="2"/>
      <c r="AO3301" s="2"/>
      <c r="AP3301" s="2"/>
      <c r="AQ3301" s="2"/>
      <c r="AR3301" s="2"/>
      <c r="AS3301" s="2"/>
      <c r="AT3301" s="2"/>
      <c r="AU3301" s="2"/>
      <c r="AV3301" s="2"/>
      <c r="AW3301" s="2"/>
      <c r="AX3301" s="2"/>
    </row>
    <row r="3302" spans="1:50" ht="12.75" x14ac:dyDescent="0.2">
      <c r="A3302" s="2"/>
      <c r="B3302" s="2"/>
      <c r="C3302" s="2"/>
      <c r="D3302" s="2"/>
      <c r="E3302" s="2"/>
      <c r="F3302" s="2"/>
      <c r="G3302" s="2"/>
      <c r="H3302" s="2"/>
      <c r="I3302" s="2"/>
      <c r="J3302" s="2"/>
      <c r="K3302" s="2"/>
      <c r="L3302" s="2"/>
      <c r="M3302" s="2"/>
      <c r="N3302" s="2"/>
      <c r="O3302" s="2"/>
      <c r="P3302" s="2"/>
      <c r="Q3302" s="2"/>
      <c r="R3302" s="2"/>
      <c r="S3302" s="2"/>
      <c r="T3302" s="2"/>
      <c r="U3302" s="2"/>
      <c r="V3302" s="2"/>
      <c r="W3302" s="2"/>
      <c r="X3302" s="2"/>
      <c r="Y3302" s="1"/>
      <c r="Z3302" s="1"/>
      <c r="AA3302" s="2"/>
      <c r="AB3302" s="2"/>
      <c r="AC3302" s="2"/>
      <c r="AD3302" s="2"/>
      <c r="AE3302" s="2"/>
      <c r="AF3302" s="2"/>
      <c r="AG3302" s="2"/>
      <c r="AH3302" s="2"/>
      <c r="AI3302" s="2"/>
      <c r="AJ3302" s="2"/>
      <c r="AK3302" s="2"/>
      <c r="AL3302" s="2"/>
      <c r="AM3302" s="2"/>
      <c r="AN3302" s="2"/>
      <c r="AO3302" s="2"/>
      <c r="AP3302" s="2"/>
      <c r="AQ3302" s="2"/>
      <c r="AR3302" s="2"/>
      <c r="AS3302" s="2"/>
      <c r="AT3302" s="2"/>
      <c r="AU3302" s="2"/>
      <c r="AV3302" s="2"/>
      <c r="AW3302" s="2"/>
      <c r="AX3302" s="2"/>
    </row>
    <row r="3303" spans="1:50" ht="12.75" x14ac:dyDescent="0.2">
      <c r="A3303" s="2"/>
      <c r="B3303" s="2"/>
      <c r="C3303" s="2"/>
      <c r="D3303" s="2"/>
      <c r="E3303" s="2"/>
      <c r="F3303" s="2"/>
      <c r="G3303" s="2"/>
      <c r="H3303" s="2"/>
      <c r="I3303" s="2"/>
      <c r="J3303" s="2"/>
      <c r="K3303" s="2"/>
      <c r="L3303" s="2"/>
      <c r="M3303" s="2"/>
      <c r="N3303" s="2"/>
      <c r="O3303" s="2"/>
      <c r="P3303" s="2"/>
      <c r="Q3303" s="2"/>
      <c r="R3303" s="2"/>
      <c r="S3303" s="2"/>
      <c r="T3303" s="2"/>
      <c r="U3303" s="2"/>
      <c r="V3303" s="2"/>
      <c r="W3303" s="2"/>
      <c r="X3303" s="2"/>
      <c r="Y3303" s="1"/>
      <c r="Z3303" s="1"/>
      <c r="AA3303" s="2"/>
      <c r="AB3303" s="2"/>
      <c r="AC3303" s="2"/>
      <c r="AD3303" s="2"/>
      <c r="AE3303" s="2"/>
      <c r="AF3303" s="2"/>
      <c r="AG3303" s="2"/>
      <c r="AH3303" s="2"/>
      <c r="AI3303" s="2"/>
      <c r="AJ3303" s="2"/>
      <c r="AK3303" s="2"/>
      <c r="AL3303" s="2"/>
      <c r="AM3303" s="2"/>
      <c r="AN3303" s="2"/>
      <c r="AO3303" s="2"/>
      <c r="AP3303" s="2"/>
      <c r="AQ3303" s="2"/>
      <c r="AR3303" s="2"/>
      <c r="AS3303" s="2"/>
      <c r="AT3303" s="2"/>
      <c r="AU3303" s="2"/>
      <c r="AV3303" s="2"/>
      <c r="AW3303" s="2"/>
      <c r="AX3303" s="2"/>
    </row>
    <row r="3304" spans="1:50" ht="12.75" x14ac:dyDescent="0.2">
      <c r="A3304" s="2"/>
      <c r="B3304" s="2"/>
      <c r="C3304" s="2"/>
      <c r="D3304" s="2"/>
      <c r="E3304" s="2"/>
      <c r="F3304" s="2"/>
      <c r="G3304" s="2"/>
      <c r="H3304" s="2"/>
      <c r="I3304" s="2"/>
      <c r="J3304" s="2"/>
      <c r="K3304" s="2"/>
      <c r="L3304" s="2"/>
      <c r="M3304" s="2"/>
      <c r="N3304" s="2"/>
      <c r="O3304" s="2"/>
      <c r="P3304" s="2"/>
      <c r="Q3304" s="2"/>
      <c r="R3304" s="2"/>
      <c r="S3304" s="2"/>
      <c r="T3304" s="2"/>
      <c r="U3304" s="2"/>
      <c r="V3304" s="2"/>
      <c r="W3304" s="2"/>
      <c r="X3304" s="2"/>
      <c r="Y3304" s="1"/>
      <c r="Z3304" s="1"/>
      <c r="AA3304" s="2"/>
      <c r="AB3304" s="2"/>
      <c r="AC3304" s="2"/>
      <c r="AD3304" s="2"/>
      <c r="AE3304" s="2"/>
      <c r="AF3304" s="2"/>
      <c r="AG3304" s="2"/>
      <c r="AH3304" s="2"/>
      <c r="AI3304" s="2"/>
      <c r="AJ3304" s="2"/>
      <c r="AK3304" s="2"/>
      <c r="AL3304" s="2"/>
      <c r="AM3304" s="2"/>
      <c r="AN3304" s="2"/>
      <c r="AO3304" s="2"/>
      <c r="AP3304" s="2"/>
      <c r="AQ3304" s="2"/>
      <c r="AR3304" s="2"/>
      <c r="AS3304" s="2"/>
      <c r="AT3304" s="2"/>
      <c r="AU3304" s="2"/>
      <c r="AV3304" s="2"/>
      <c r="AW3304" s="2"/>
      <c r="AX3304" s="2"/>
    </row>
    <row r="3305" spans="1:50" ht="12.75" x14ac:dyDescent="0.2">
      <c r="A3305" s="2"/>
      <c r="B3305" s="2"/>
      <c r="C3305" s="2"/>
      <c r="D3305" s="2"/>
      <c r="E3305" s="2"/>
      <c r="F3305" s="2"/>
      <c r="G3305" s="2"/>
      <c r="H3305" s="2"/>
      <c r="I3305" s="2"/>
      <c r="J3305" s="2"/>
      <c r="K3305" s="2"/>
      <c r="L3305" s="2"/>
      <c r="M3305" s="2"/>
      <c r="N3305" s="2"/>
      <c r="O3305" s="2"/>
      <c r="P3305" s="2"/>
      <c r="Q3305" s="2"/>
      <c r="R3305" s="2"/>
      <c r="S3305" s="2"/>
      <c r="T3305" s="2"/>
      <c r="U3305" s="2"/>
      <c r="V3305" s="2"/>
      <c r="W3305" s="2"/>
      <c r="X3305" s="2"/>
      <c r="Y3305" s="1"/>
      <c r="Z3305" s="1"/>
      <c r="AA3305" s="2"/>
      <c r="AB3305" s="2"/>
      <c r="AC3305" s="2"/>
      <c r="AD3305" s="2"/>
      <c r="AE3305" s="2"/>
      <c r="AF3305" s="2"/>
      <c r="AG3305" s="2"/>
      <c r="AH3305" s="2"/>
      <c r="AI3305" s="2"/>
      <c r="AJ3305" s="2"/>
      <c r="AK3305" s="2"/>
      <c r="AL3305" s="2"/>
      <c r="AM3305" s="2"/>
      <c r="AN3305" s="2"/>
      <c r="AO3305" s="2"/>
      <c r="AP3305" s="2"/>
      <c r="AQ3305" s="2"/>
      <c r="AR3305" s="2"/>
      <c r="AS3305" s="2"/>
      <c r="AT3305" s="2"/>
      <c r="AU3305" s="2"/>
      <c r="AV3305" s="2"/>
      <c r="AW3305" s="2"/>
      <c r="AX3305" s="2"/>
    </row>
    <row r="3306" spans="1:50" ht="12.75" x14ac:dyDescent="0.2">
      <c r="A3306" s="2"/>
      <c r="B3306" s="2"/>
      <c r="C3306" s="2"/>
      <c r="D3306" s="2"/>
      <c r="E3306" s="2"/>
      <c r="F3306" s="2"/>
      <c r="G3306" s="2"/>
      <c r="H3306" s="2"/>
      <c r="I3306" s="2"/>
      <c r="J3306" s="2"/>
      <c r="K3306" s="2"/>
      <c r="L3306" s="2"/>
      <c r="M3306" s="2"/>
      <c r="N3306" s="2"/>
      <c r="O3306" s="2"/>
      <c r="P3306" s="2"/>
      <c r="Q3306" s="2"/>
      <c r="R3306" s="2"/>
      <c r="S3306" s="2"/>
      <c r="T3306" s="2"/>
      <c r="U3306" s="2"/>
      <c r="V3306" s="2"/>
      <c r="W3306" s="2"/>
      <c r="X3306" s="2"/>
      <c r="Y3306" s="1"/>
      <c r="Z3306" s="1"/>
      <c r="AA3306" s="2"/>
      <c r="AB3306" s="2"/>
      <c r="AC3306" s="2"/>
      <c r="AD3306" s="2"/>
      <c r="AE3306" s="2"/>
      <c r="AF3306" s="2"/>
      <c r="AG3306" s="2"/>
      <c r="AH3306" s="2"/>
      <c r="AI3306" s="2"/>
      <c r="AJ3306" s="2"/>
      <c r="AK3306" s="2"/>
      <c r="AL3306" s="2"/>
      <c r="AM3306" s="2"/>
      <c r="AN3306" s="2"/>
      <c r="AO3306" s="2"/>
      <c r="AP3306" s="2"/>
      <c r="AQ3306" s="2"/>
      <c r="AR3306" s="2"/>
      <c r="AS3306" s="2"/>
      <c r="AT3306" s="2"/>
      <c r="AU3306" s="2"/>
      <c r="AV3306" s="2"/>
      <c r="AW3306" s="2"/>
      <c r="AX3306" s="2"/>
    </row>
    <row r="3307" spans="1:50" ht="12.75" x14ac:dyDescent="0.2">
      <c r="A3307" s="2"/>
      <c r="B3307" s="2"/>
      <c r="C3307" s="2"/>
      <c r="D3307" s="2"/>
      <c r="E3307" s="2"/>
      <c r="F3307" s="2"/>
      <c r="G3307" s="2"/>
      <c r="H3307" s="2"/>
      <c r="I3307" s="2"/>
      <c r="J3307" s="2"/>
      <c r="K3307" s="2"/>
      <c r="L3307" s="2"/>
      <c r="M3307" s="2"/>
      <c r="N3307" s="2"/>
      <c r="O3307" s="2"/>
      <c r="P3307" s="2"/>
      <c r="Q3307" s="2"/>
      <c r="R3307" s="2"/>
      <c r="S3307" s="2"/>
      <c r="T3307" s="2"/>
      <c r="U3307" s="2"/>
      <c r="V3307" s="2"/>
      <c r="W3307" s="2"/>
      <c r="X3307" s="2"/>
      <c r="Y3307" s="1"/>
      <c r="Z3307" s="1"/>
      <c r="AA3307" s="2"/>
      <c r="AB3307" s="2"/>
      <c r="AC3307" s="2"/>
      <c r="AD3307" s="2"/>
      <c r="AE3307" s="2"/>
      <c r="AF3307" s="2"/>
      <c r="AG3307" s="2"/>
      <c r="AH3307" s="2"/>
      <c r="AI3307" s="2"/>
      <c r="AJ3307" s="2"/>
      <c r="AK3307" s="2"/>
      <c r="AL3307" s="2"/>
      <c r="AM3307" s="2"/>
      <c r="AN3307" s="2"/>
      <c r="AO3307" s="2"/>
      <c r="AP3307" s="2"/>
      <c r="AQ3307" s="2"/>
      <c r="AR3307" s="2"/>
      <c r="AS3307" s="2"/>
      <c r="AT3307" s="2"/>
      <c r="AU3307" s="2"/>
      <c r="AV3307" s="2"/>
      <c r="AW3307" s="2"/>
      <c r="AX3307" s="2"/>
    </row>
    <row r="3308" spans="1:50" ht="12.75" x14ac:dyDescent="0.2">
      <c r="A3308" s="2"/>
      <c r="B3308" s="2"/>
      <c r="C3308" s="2"/>
      <c r="D3308" s="2"/>
      <c r="E3308" s="2"/>
      <c r="F3308" s="2"/>
      <c r="G3308" s="2"/>
      <c r="H3308" s="2"/>
      <c r="I3308" s="2"/>
      <c r="J3308" s="2"/>
      <c r="K3308" s="2"/>
      <c r="L3308" s="2"/>
      <c r="M3308" s="2"/>
      <c r="N3308" s="2"/>
      <c r="O3308" s="2"/>
      <c r="P3308" s="2"/>
      <c r="Q3308" s="2"/>
      <c r="R3308" s="2"/>
      <c r="S3308" s="2"/>
      <c r="T3308" s="2"/>
      <c r="U3308" s="2"/>
      <c r="V3308" s="2"/>
      <c r="W3308" s="2"/>
      <c r="X3308" s="2"/>
      <c r="Y3308" s="1"/>
      <c r="Z3308" s="1"/>
      <c r="AA3308" s="2"/>
      <c r="AB3308" s="2"/>
      <c r="AC3308" s="2"/>
      <c r="AD3308" s="2"/>
      <c r="AE3308" s="2"/>
      <c r="AF3308" s="2"/>
      <c r="AG3308" s="2"/>
      <c r="AH3308" s="2"/>
      <c r="AI3308" s="2"/>
      <c r="AJ3308" s="2"/>
      <c r="AK3308" s="2"/>
      <c r="AL3308" s="2"/>
      <c r="AM3308" s="2"/>
      <c r="AN3308" s="2"/>
      <c r="AO3308" s="2"/>
      <c r="AP3308" s="2"/>
      <c r="AQ3308" s="2"/>
      <c r="AR3308" s="2"/>
      <c r="AS3308" s="2"/>
      <c r="AT3308" s="2"/>
      <c r="AU3308" s="2"/>
      <c r="AV3308" s="2"/>
      <c r="AW3308" s="2"/>
      <c r="AX3308" s="2"/>
    </row>
    <row r="3309" spans="1:50" ht="12.75" x14ac:dyDescent="0.2">
      <c r="A3309" s="2"/>
      <c r="B3309" s="2"/>
      <c r="C3309" s="2"/>
      <c r="D3309" s="2"/>
      <c r="E3309" s="2"/>
      <c r="F3309" s="2"/>
      <c r="G3309" s="2"/>
      <c r="H3309" s="2"/>
      <c r="I3309" s="2"/>
      <c r="J3309" s="2"/>
      <c r="K3309" s="2"/>
      <c r="L3309" s="2"/>
      <c r="M3309" s="2"/>
      <c r="N3309" s="2"/>
      <c r="O3309" s="2"/>
      <c r="P3309" s="2"/>
      <c r="Q3309" s="2"/>
      <c r="R3309" s="2"/>
      <c r="S3309" s="2"/>
      <c r="T3309" s="2"/>
      <c r="U3309" s="2"/>
      <c r="V3309" s="2"/>
      <c r="W3309" s="2"/>
      <c r="X3309" s="2"/>
      <c r="Y3309" s="1"/>
      <c r="Z3309" s="1"/>
      <c r="AA3309" s="2"/>
      <c r="AB3309" s="2"/>
      <c r="AC3309" s="2"/>
      <c r="AD3309" s="2"/>
      <c r="AE3309" s="2"/>
      <c r="AF3309" s="2"/>
      <c r="AG3309" s="2"/>
      <c r="AH3309" s="2"/>
      <c r="AI3309" s="2"/>
      <c r="AJ3309" s="2"/>
      <c r="AK3309" s="2"/>
      <c r="AL3309" s="2"/>
      <c r="AM3309" s="2"/>
      <c r="AN3309" s="2"/>
      <c r="AO3309" s="2"/>
      <c r="AP3309" s="2"/>
      <c r="AQ3309" s="2"/>
      <c r="AR3309" s="2"/>
      <c r="AS3309" s="2"/>
      <c r="AT3309" s="2"/>
      <c r="AU3309" s="2"/>
      <c r="AV3309" s="2"/>
      <c r="AW3309" s="2"/>
      <c r="AX3309" s="2"/>
    </row>
    <row r="3310" spans="1:50" ht="12.75" x14ac:dyDescent="0.2">
      <c r="A3310" s="2"/>
      <c r="B3310" s="2"/>
      <c r="C3310" s="2"/>
      <c r="D3310" s="2"/>
      <c r="E3310" s="2"/>
      <c r="F3310" s="2"/>
      <c r="G3310" s="2"/>
      <c r="H3310" s="2"/>
      <c r="I3310" s="2"/>
      <c r="J3310" s="2"/>
      <c r="K3310" s="2"/>
      <c r="L3310" s="2"/>
      <c r="M3310" s="2"/>
      <c r="N3310" s="2"/>
      <c r="O3310" s="2"/>
      <c r="P3310" s="2"/>
      <c r="Q3310" s="2"/>
      <c r="R3310" s="2"/>
      <c r="S3310" s="2"/>
      <c r="T3310" s="2"/>
      <c r="U3310" s="2"/>
      <c r="V3310" s="2"/>
      <c r="W3310" s="2"/>
      <c r="X3310" s="2"/>
      <c r="Y3310" s="1"/>
      <c r="Z3310" s="1"/>
      <c r="AA3310" s="2"/>
      <c r="AB3310" s="2"/>
      <c r="AC3310" s="2"/>
      <c r="AD3310" s="2"/>
      <c r="AE3310" s="2"/>
      <c r="AF3310" s="2"/>
      <c r="AG3310" s="2"/>
      <c r="AH3310" s="2"/>
      <c r="AI3310" s="2"/>
      <c r="AJ3310" s="2"/>
      <c r="AK3310" s="2"/>
      <c r="AL3310" s="2"/>
      <c r="AM3310" s="2"/>
      <c r="AN3310" s="2"/>
      <c r="AO3310" s="2"/>
      <c r="AP3310" s="2"/>
      <c r="AQ3310" s="2"/>
      <c r="AR3310" s="2"/>
      <c r="AS3310" s="2"/>
      <c r="AT3310" s="2"/>
      <c r="AU3310" s="2"/>
      <c r="AV3310" s="2"/>
      <c r="AW3310" s="2"/>
      <c r="AX3310" s="2"/>
    </row>
    <row r="3311" spans="1:50" ht="12.75" x14ac:dyDescent="0.2">
      <c r="A3311" s="2"/>
      <c r="B3311" s="2"/>
      <c r="C3311" s="2"/>
      <c r="D3311" s="2"/>
      <c r="E3311" s="2"/>
      <c r="F3311" s="2"/>
      <c r="G3311" s="2"/>
      <c r="H3311" s="2"/>
      <c r="I3311" s="2"/>
      <c r="J3311" s="2"/>
      <c r="K3311" s="2"/>
      <c r="L3311" s="2"/>
      <c r="M3311" s="2"/>
      <c r="N3311" s="2"/>
      <c r="O3311" s="2"/>
      <c r="P3311" s="2"/>
      <c r="Q3311" s="2"/>
      <c r="R3311" s="2"/>
      <c r="S3311" s="2"/>
      <c r="T3311" s="2"/>
      <c r="U3311" s="2"/>
      <c r="V3311" s="2"/>
      <c r="W3311" s="2"/>
      <c r="X3311" s="2"/>
      <c r="Y3311" s="1"/>
      <c r="Z3311" s="1"/>
      <c r="AA3311" s="2"/>
      <c r="AB3311" s="2"/>
      <c r="AC3311" s="2"/>
      <c r="AD3311" s="2"/>
      <c r="AE3311" s="2"/>
      <c r="AF3311" s="2"/>
      <c r="AG3311" s="2"/>
      <c r="AH3311" s="2"/>
      <c r="AI3311" s="2"/>
      <c r="AJ3311" s="2"/>
      <c r="AK3311" s="2"/>
      <c r="AL3311" s="2"/>
      <c r="AM3311" s="2"/>
      <c r="AN3311" s="2"/>
      <c r="AO3311" s="2"/>
      <c r="AP3311" s="2"/>
      <c r="AQ3311" s="2"/>
      <c r="AR3311" s="2"/>
      <c r="AS3311" s="2"/>
      <c r="AT3311" s="2"/>
      <c r="AU3311" s="2"/>
      <c r="AV3311" s="2"/>
      <c r="AW3311" s="2"/>
      <c r="AX3311" s="2"/>
    </row>
    <row r="3312" spans="1:50" ht="12.75" x14ac:dyDescent="0.2">
      <c r="A3312" s="2"/>
      <c r="B3312" s="2"/>
      <c r="C3312" s="2"/>
      <c r="D3312" s="2"/>
      <c r="E3312" s="2"/>
      <c r="F3312" s="2"/>
      <c r="G3312" s="2"/>
      <c r="H3312" s="2"/>
      <c r="I3312" s="2"/>
      <c r="J3312" s="2"/>
      <c r="K3312" s="2"/>
      <c r="L3312" s="2"/>
      <c r="M3312" s="2"/>
      <c r="N3312" s="2"/>
      <c r="O3312" s="2"/>
      <c r="P3312" s="2"/>
      <c r="Q3312" s="2"/>
      <c r="R3312" s="2"/>
      <c r="S3312" s="2"/>
      <c r="T3312" s="2"/>
      <c r="U3312" s="2"/>
      <c r="V3312" s="2"/>
      <c r="W3312" s="2"/>
      <c r="X3312" s="2"/>
      <c r="Y3312" s="1"/>
      <c r="Z3312" s="1"/>
      <c r="AA3312" s="2"/>
      <c r="AB3312" s="2"/>
      <c r="AC3312" s="2"/>
      <c r="AD3312" s="2"/>
      <c r="AE3312" s="2"/>
      <c r="AF3312" s="2"/>
      <c r="AG3312" s="2"/>
      <c r="AH3312" s="2"/>
      <c r="AI3312" s="2"/>
      <c r="AJ3312" s="2"/>
      <c r="AK3312" s="2"/>
      <c r="AL3312" s="2"/>
      <c r="AM3312" s="2"/>
      <c r="AN3312" s="2"/>
      <c r="AO3312" s="2"/>
      <c r="AP3312" s="2"/>
      <c r="AQ3312" s="2"/>
      <c r="AR3312" s="2"/>
      <c r="AS3312" s="2"/>
      <c r="AT3312" s="2"/>
      <c r="AU3312" s="2"/>
      <c r="AV3312" s="2"/>
      <c r="AW3312" s="2"/>
      <c r="AX3312" s="2"/>
    </row>
    <row r="3313" spans="1:50" ht="12.75" x14ac:dyDescent="0.2">
      <c r="A3313" s="2"/>
      <c r="B3313" s="2"/>
      <c r="C3313" s="2"/>
      <c r="D3313" s="2"/>
      <c r="E3313" s="2"/>
      <c r="F3313" s="2"/>
      <c r="G3313" s="2"/>
      <c r="H3313" s="2"/>
      <c r="I3313" s="2"/>
      <c r="J3313" s="2"/>
      <c r="K3313" s="2"/>
      <c r="L3313" s="2"/>
      <c r="M3313" s="2"/>
      <c r="N3313" s="2"/>
      <c r="O3313" s="2"/>
      <c r="P3313" s="2"/>
      <c r="Q3313" s="2"/>
      <c r="R3313" s="2"/>
      <c r="S3313" s="2"/>
      <c r="T3313" s="2"/>
      <c r="U3313" s="2"/>
      <c r="V3313" s="2"/>
      <c r="W3313" s="2"/>
      <c r="X3313" s="2"/>
      <c r="Y3313" s="1"/>
      <c r="Z3313" s="1"/>
      <c r="AA3313" s="2"/>
      <c r="AB3313" s="2"/>
      <c r="AC3313" s="2"/>
      <c r="AD3313" s="2"/>
      <c r="AE3313" s="2"/>
      <c r="AF3313" s="2"/>
      <c r="AG3313" s="2"/>
      <c r="AH3313" s="2"/>
      <c r="AI3313" s="2"/>
      <c r="AJ3313" s="2"/>
      <c r="AK3313" s="2"/>
      <c r="AL3313" s="2"/>
      <c r="AM3313" s="2"/>
      <c r="AN3313" s="2"/>
      <c r="AO3313" s="2"/>
      <c r="AP3313" s="2"/>
      <c r="AQ3313" s="2"/>
      <c r="AR3313" s="2"/>
      <c r="AS3313" s="2"/>
      <c r="AT3313" s="2"/>
      <c r="AU3313" s="2"/>
      <c r="AV3313" s="2"/>
      <c r="AW3313" s="2"/>
      <c r="AX3313" s="2"/>
    </row>
    <row r="3314" spans="1:50" ht="12.75" x14ac:dyDescent="0.2">
      <c r="A3314" s="2"/>
      <c r="B3314" s="2"/>
      <c r="C3314" s="2"/>
      <c r="D3314" s="2"/>
      <c r="E3314" s="2"/>
      <c r="F3314" s="2"/>
      <c r="G3314" s="2"/>
      <c r="H3314" s="2"/>
      <c r="I3314" s="2"/>
      <c r="J3314" s="2"/>
      <c r="K3314" s="2"/>
      <c r="L3314" s="2"/>
      <c r="M3314" s="2"/>
      <c r="N3314" s="2"/>
      <c r="O3314" s="2"/>
      <c r="P3314" s="2"/>
      <c r="Q3314" s="2"/>
      <c r="R3314" s="2"/>
      <c r="S3314" s="2"/>
      <c r="T3314" s="2"/>
      <c r="U3314" s="2"/>
      <c r="V3314" s="2"/>
      <c r="W3314" s="2"/>
      <c r="X3314" s="2"/>
      <c r="Y3314" s="1"/>
      <c r="Z3314" s="1"/>
      <c r="AA3314" s="2"/>
      <c r="AB3314" s="2"/>
      <c r="AC3314" s="2"/>
      <c r="AD3314" s="2"/>
      <c r="AE3314" s="2"/>
      <c r="AF3314" s="2"/>
      <c r="AG3314" s="2"/>
      <c r="AH3314" s="2"/>
      <c r="AI3314" s="2"/>
      <c r="AJ3314" s="2"/>
      <c r="AK3314" s="2"/>
      <c r="AL3314" s="2"/>
      <c r="AM3314" s="2"/>
      <c r="AN3314" s="2"/>
      <c r="AO3314" s="2"/>
      <c r="AP3314" s="2"/>
      <c r="AQ3314" s="2"/>
      <c r="AR3314" s="2"/>
      <c r="AS3314" s="2"/>
      <c r="AT3314" s="2"/>
      <c r="AU3314" s="2"/>
      <c r="AV3314" s="2"/>
      <c r="AW3314" s="2"/>
      <c r="AX3314" s="2"/>
    </row>
    <row r="3315" spans="1:50" ht="12.75" x14ac:dyDescent="0.2">
      <c r="A3315" s="2"/>
      <c r="B3315" s="2"/>
      <c r="C3315" s="2"/>
      <c r="D3315" s="2"/>
      <c r="E3315" s="2"/>
      <c r="F3315" s="2"/>
      <c r="G3315" s="2"/>
      <c r="H3315" s="2"/>
      <c r="I3315" s="2"/>
      <c r="J3315" s="2"/>
      <c r="K3315" s="2"/>
      <c r="L3315" s="2"/>
      <c r="M3315" s="2"/>
      <c r="N3315" s="2"/>
      <c r="O3315" s="2"/>
      <c r="P3315" s="2"/>
      <c r="Q3315" s="2"/>
      <c r="R3315" s="2"/>
      <c r="S3315" s="2"/>
      <c r="T3315" s="2"/>
      <c r="U3315" s="2"/>
      <c r="V3315" s="2"/>
      <c r="W3315" s="2"/>
      <c r="X3315" s="2"/>
      <c r="Y3315" s="1"/>
      <c r="Z3315" s="1"/>
      <c r="AA3315" s="2"/>
      <c r="AB3315" s="2"/>
      <c r="AC3315" s="2"/>
      <c r="AD3315" s="2"/>
      <c r="AE3315" s="2"/>
      <c r="AF3315" s="2"/>
      <c r="AG3315" s="2"/>
      <c r="AH3315" s="2"/>
      <c r="AI3315" s="2"/>
      <c r="AJ3315" s="2"/>
      <c r="AK3315" s="2"/>
      <c r="AL3315" s="2"/>
      <c r="AM3315" s="2"/>
      <c r="AN3315" s="2"/>
      <c r="AO3315" s="2"/>
      <c r="AP3315" s="2"/>
      <c r="AQ3315" s="2"/>
      <c r="AR3315" s="2"/>
      <c r="AS3315" s="2"/>
      <c r="AT3315" s="2"/>
      <c r="AU3315" s="2"/>
      <c r="AV3315" s="2"/>
      <c r="AW3315" s="2"/>
      <c r="AX3315" s="2"/>
    </row>
    <row r="3316" spans="1:50" ht="12.75" x14ac:dyDescent="0.2">
      <c r="A3316" s="2"/>
      <c r="B3316" s="2"/>
      <c r="C3316" s="2"/>
      <c r="D3316" s="2"/>
      <c r="E3316" s="2"/>
      <c r="F3316" s="2"/>
      <c r="G3316" s="2"/>
      <c r="H3316" s="2"/>
      <c r="I3316" s="2"/>
      <c r="J3316" s="2"/>
      <c r="K3316" s="2"/>
      <c r="L3316" s="2"/>
      <c r="M3316" s="2"/>
      <c r="N3316" s="2"/>
      <c r="O3316" s="2"/>
      <c r="P3316" s="2"/>
      <c r="Q3316" s="2"/>
      <c r="R3316" s="2"/>
      <c r="S3316" s="2"/>
      <c r="T3316" s="2"/>
      <c r="U3316" s="2"/>
      <c r="V3316" s="2"/>
      <c r="W3316" s="2"/>
      <c r="X3316" s="2"/>
      <c r="Y3316" s="1"/>
      <c r="Z3316" s="1"/>
      <c r="AA3316" s="2"/>
      <c r="AB3316" s="2"/>
      <c r="AC3316" s="2"/>
      <c r="AD3316" s="2"/>
      <c r="AE3316" s="2"/>
      <c r="AF3316" s="2"/>
      <c r="AG3316" s="2"/>
      <c r="AH3316" s="2"/>
      <c r="AI3316" s="2"/>
      <c r="AJ3316" s="2"/>
      <c r="AK3316" s="2"/>
      <c r="AL3316" s="2"/>
      <c r="AM3316" s="2"/>
      <c r="AN3316" s="2"/>
      <c r="AO3316" s="2"/>
      <c r="AP3316" s="2"/>
      <c r="AQ3316" s="2"/>
      <c r="AR3316" s="2"/>
      <c r="AS3316" s="2"/>
      <c r="AT3316" s="2"/>
      <c r="AU3316" s="2"/>
      <c r="AV3316" s="2"/>
      <c r="AW3316" s="2"/>
      <c r="AX3316" s="2"/>
    </row>
    <row r="3317" spans="1:50" ht="12.75" x14ac:dyDescent="0.2">
      <c r="A3317" s="2"/>
      <c r="B3317" s="2"/>
      <c r="C3317" s="2"/>
      <c r="D3317" s="2"/>
      <c r="E3317" s="2"/>
      <c r="F3317" s="2"/>
      <c r="G3317" s="2"/>
      <c r="H3317" s="2"/>
      <c r="I3317" s="2"/>
      <c r="J3317" s="2"/>
      <c r="K3317" s="2"/>
      <c r="L3317" s="2"/>
      <c r="M3317" s="2"/>
      <c r="N3317" s="2"/>
      <c r="O3317" s="2"/>
      <c r="P3317" s="2"/>
      <c r="Q3317" s="2"/>
      <c r="R3317" s="2"/>
      <c r="S3317" s="2"/>
      <c r="T3317" s="2"/>
      <c r="U3317" s="2"/>
      <c r="V3317" s="2"/>
      <c r="W3317" s="2"/>
      <c r="X3317" s="2"/>
      <c r="Y3317" s="1"/>
      <c r="Z3317" s="1"/>
      <c r="AA3317" s="2"/>
      <c r="AB3317" s="2"/>
      <c r="AC3317" s="2"/>
      <c r="AD3317" s="2"/>
      <c r="AE3317" s="2"/>
      <c r="AF3317" s="2"/>
      <c r="AG3317" s="2"/>
      <c r="AH3317" s="2"/>
      <c r="AI3317" s="2"/>
      <c r="AJ3317" s="2"/>
      <c r="AK3317" s="2"/>
      <c r="AL3317" s="2"/>
      <c r="AM3317" s="2"/>
      <c r="AN3317" s="2"/>
      <c r="AO3317" s="2"/>
      <c r="AP3317" s="2"/>
      <c r="AQ3317" s="2"/>
      <c r="AR3317" s="2"/>
      <c r="AS3317" s="2"/>
      <c r="AT3317" s="2"/>
      <c r="AU3317" s="2"/>
      <c r="AV3317" s="2"/>
      <c r="AW3317" s="2"/>
      <c r="AX3317" s="2"/>
    </row>
    <row r="3318" spans="1:50" ht="12.75" x14ac:dyDescent="0.2">
      <c r="A3318" s="2"/>
      <c r="B3318" s="2"/>
      <c r="C3318" s="2"/>
      <c r="D3318" s="2"/>
      <c r="E3318" s="2"/>
      <c r="F3318" s="2"/>
      <c r="G3318" s="2"/>
      <c r="H3318" s="2"/>
      <c r="I3318" s="2"/>
      <c r="J3318" s="2"/>
      <c r="K3318" s="2"/>
      <c r="L3318" s="2"/>
      <c r="M3318" s="2"/>
      <c r="N3318" s="2"/>
      <c r="O3318" s="2"/>
      <c r="P3318" s="2"/>
      <c r="Q3318" s="2"/>
      <c r="R3318" s="2"/>
      <c r="S3318" s="2"/>
      <c r="T3318" s="2"/>
      <c r="U3318" s="2"/>
      <c r="V3318" s="2"/>
      <c r="W3318" s="2"/>
      <c r="X3318" s="2"/>
      <c r="Y3318" s="1"/>
      <c r="Z3318" s="1"/>
      <c r="AA3318" s="2"/>
      <c r="AB3318" s="2"/>
      <c r="AC3318" s="2"/>
      <c r="AD3318" s="2"/>
      <c r="AE3318" s="2"/>
      <c r="AF3318" s="2"/>
      <c r="AG3318" s="2"/>
      <c r="AH3318" s="2"/>
      <c r="AI3318" s="2"/>
      <c r="AJ3318" s="2"/>
      <c r="AK3318" s="2"/>
      <c r="AL3318" s="2"/>
      <c r="AM3318" s="2"/>
      <c r="AN3318" s="2"/>
      <c r="AO3318" s="2"/>
      <c r="AP3318" s="2"/>
      <c r="AQ3318" s="2"/>
      <c r="AR3318" s="2"/>
      <c r="AS3318" s="2"/>
      <c r="AT3318" s="2"/>
      <c r="AU3318" s="2"/>
      <c r="AV3318" s="2"/>
      <c r="AW3318" s="2"/>
      <c r="AX3318" s="2"/>
    </row>
    <row r="3319" spans="1:50" ht="12.75" x14ac:dyDescent="0.2">
      <c r="A3319" s="2"/>
      <c r="B3319" s="2"/>
      <c r="C3319" s="2"/>
      <c r="D3319" s="2"/>
      <c r="E3319" s="2"/>
      <c r="F3319" s="2"/>
      <c r="G3319" s="2"/>
      <c r="H3319" s="2"/>
      <c r="I3319" s="2"/>
      <c r="J3319" s="2"/>
      <c r="K3319" s="2"/>
      <c r="L3319" s="2"/>
      <c r="M3319" s="2"/>
      <c r="N3319" s="2"/>
      <c r="O3319" s="2"/>
      <c r="P3319" s="2"/>
      <c r="Q3319" s="2"/>
      <c r="R3319" s="2"/>
      <c r="S3319" s="2"/>
      <c r="T3319" s="2"/>
      <c r="U3319" s="2"/>
      <c r="V3319" s="2"/>
      <c r="W3319" s="2"/>
      <c r="X3319" s="2"/>
      <c r="Y3319" s="1"/>
      <c r="Z3319" s="1"/>
      <c r="AA3319" s="2"/>
      <c r="AB3319" s="2"/>
      <c r="AC3319" s="2"/>
      <c r="AD3319" s="2"/>
      <c r="AE3319" s="2"/>
      <c r="AF3319" s="2"/>
      <c r="AG3319" s="2"/>
      <c r="AH3319" s="2"/>
      <c r="AI3319" s="2"/>
      <c r="AJ3319" s="2"/>
      <c r="AK3319" s="2"/>
      <c r="AL3319" s="2"/>
      <c r="AM3319" s="2"/>
      <c r="AN3319" s="2"/>
      <c r="AO3319" s="2"/>
      <c r="AP3319" s="2"/>
      <c r="AQ3319" s="2"/>
      <c r="AR3319" s="2"/>
      <c r="AS3319" s="2"/>
      <c r="AT3319" s="2"/>
      <c r="AU3319" s="2"/>
      <c r="AV3319" s="2"/>
      <c r="AW3319" s="2"/>
      <c r="AX3319" s="2"/>
    </row>
    <row r="3320" spans="1:50" ht="12.75" x14ac:dyDescent="0.2">
      <c r="A3320" s="2"/>
      <c r="B3320" s="2"/>
      <c r="C3320" s="2"/>
      <c r="D3320" s="2"/>
      <c r="E3320" s="2"/>
      <c r="F3320" s="2"/>
      <c r="G3320" s="2"/>
      <c r="H3320" s="2"/>
      <c r="I3320" s="2"/>
      <c r="J3320" s="2"/>
      <c r="K3320" s="2"/>
      <c r="L3320" s="2"/>
      <c r="M3320" s="2"/>
      <c r="N3320" s="2"/>
      <c r="O3320" s="2"/>
      <c r="P3320" s="2"/>
      <c r="Q3320" s="2"/>
      <c r="R3320" s="2"/>
      <c r="S3320" s="2"/>
      <c r="T3320" s="2"/>
      <c r="U3320" s="2"/>
      <c r="V3320" s="2"/>
      <c r="W3320" s="2"/>
      <c r="X3320" s="2"/>
      <c r="Y3320" s="1"/>
      <c r="Z3320" s="1"/>
      <c r="AA3320" s="2"/>
      <c r="AB3320" s="2"/>
      <c r="AC3320" s="2"/>
      <c r="AD3320" s="2"/>
      <c r="AE3320" s="2"/>
      <c r="AF3320" s="2"/>
      <c r="AG3320" s="2"/>
      <c r="AH3320" s="2"/>
      <c r="AI3320" s="2"/>
      <c r="AJ3320" s="2"/>
      <c r="AK3320" s="2"/>
      <c r="AL3320" s="2"/>
      <c r="AM3320" s="2"/>
      <c r="AN3320" s="2"/>
      <c r="AO3320" s="2"/>
      <c r="AP3320" s="2"/>
      <c r="AQ3320" s="2"/>
      <c r="AR3320" s="2"/>
      <c r="AS3320" s="2"/>
      <c r="AT3320" s="2"/>
      <c r="AU3320" s="2"/>
      <c r="AV3320" s="2"/>
      <c r="AW3320" s="2"/>
      <c r="AX3320" s="2"/>
    </row>
    <row r="3321" spans="1:50" ht="12.75" x14ac:dyDescent="0.2">
      <c r="A3321" s="2"/>
      <c r="B3321" s="2"/>
      <c r="C3321" s="2"/>
      <c r="D3321" s="2"/>
      <c r="E3321" s="2"/>
      <c r="F3321" s="2"/>
      <c r="G3321" s="2"/>
      <c r="H3321" s="2"/>
      <c r="I3321" s="2"/>
      <c r="J3321" s="2"/>
      <c r="K3321" s="2"/>
      <c r="L3321" s="2"/>
      <c r="M3321" s="2"/>
      <c r="N3321" s="2"/>
      <c r="O3321" s="2"/>
      <c r="P3321" s="2"/>
      <c r="Q3321" s="2"/>
      <c r="R3321" s="2"/>
      <c r="S3321" s="2"/>
      <c r="T3321" s="2"/>
      <c r="U3321" s="2"/>
      <c r="V3321" s="2"/>
      <c r="W3321" s="2"/>
      <c r="X3321" s="2"/>
      <c r="Y3321" s="1"/>
      <c r="Z3321" s="1"/>
      <c r="AA3321" s="2"/>
      <c r="AB3321" s="2"/>
      <c r="AC3321" s="2"/>
      <c r="AD3321" s="2"/>
      <c r="AE3321" s="2"/>
      <c r="AF3321" s="2"/>
      <c r="AG3321" s="2"/>
      <c r="AH3321" s="2"/>
      <c r="AI3321" s="2"/>
      <c r="AJ3321" s="2"/>
      <c r="AK3321" s="2"/>
      <c r="AL3321" s="2"/>
      <c r="AM3321" s="2"/>
      <c r="AN3321" s="2"/>
      <c r="AO3321" s="2"/>
      <c r="AP3321" s="2"/>
      <c r="AQ3321" s="2"/>
      <c r="AR3321" s="2"/>
      <c r="AS3321" s="2"/>
      <c r="AT3321" s="2"/>
      <c r="AU3321" s="2"/>
      <c r="AV3321" s="2"/>
      <c r="AW3321" s="2"/>
      <c r="AX3321" s="2"/>
    </row>
    <row r="3322" spans="1:50" ht="12.75" x14ac:dyDescent="0.2">
      <c r="A3322" s="2"/>
      <c r="B3322" s="2"/>
      <c r="C3322" s="2"/>
      <c r="D3322" s="2"/>
      <c r="E3322" s="2"/>
      <c r="F3322" s="2"/>
      <c r="G3322" s="2"/>
      <c r="H3322" s="2"/>
      <c r="I3322" s="2"/>
      <c r="J3322" s="2"/>
      <c r="K3322" s="2"/>
      <c r="L3322" s="2"/>
      <c r="M3322" s="2"/>
      <c r="N3322" s="2"/>
      <c r="O3322" s="2"/>
      <c r="P3322" s="2"/>
      <c r="Q3322" s="2"/>
      <c r="R3322" s="2"/>
      <c r="S3322" s="2"/>
      <c r="T3322" s="2"/>
      <c r="U3322" s="2"/>
      <c r="V3322" s="2"/>
      <c r="W3322" s="2"/>
      <c r="X3322" s="2"/>
      <c r="Y3322" s="1"/>
      <c r="Z3322" s="1"/>
      <c r="AA3322" s="2"/>
      <c r="AB3322" s="2"/>
      <c r="AC3322" s="2"/>
      <c r="AD3322" s="2"/>
      <c r="AE3322" s="2"/>
      <c r="AF3322" s="2"/>
      <c r="AG3322" s="2"/>
      <c r="AH3322" s="2"/>
      <c r="AI3322" s="2"/>
      <c r="AJ3322" s="2"/>
      <c r="AK3322" s="2"/>
      <c r="AL3322" s="2"/>
      <c r="AM3322" s="2"/>
      <c r="AN3322" s="2"/>
      <c r="AO3322" s="2"/>
      <c r="AP3322" s="2"/>
      <c r="AQ3322" s="2"/>
      <c r="AR3322" s="2"/>
      <c r="AS3322" s="2"/>
      <c r="AT3322" s="2"/>
      <c r="AU3322" s="2"/>
      <c r="AV3322" s="2"/>
      <c r="AW3322" s="2"/>
      <c r="AX3322" s="2"/>
    </row>
    <row r="3323" spans="1:50" ht="12.75" x14ac:dyDescent="0.2">
      <c r="A3323" s="2"/>
      <c r="B3323" s="2"/>
      <c r="C3323" s="2"/>
      <c r="D3323" s="2"/>
      <c r="E3323" s="2"/>
      <c r="F3323" s="2"/>
      <c r="G3323" s="2"/>
      <c r="H3323" s="2"/>
      <c r="I3323" s="2"/>
      <c r="J3323" s="2"/>
      <c r="K3323" s="2"/>
      <c r="L3323" s="2"/>
      <c r="M3323" s="2"/>
      <c r="N3323" s="2"/>
      <c r="O3323" s="2"/>
      <c r="P3323" s="2"/>
      <c r="Q3323" s="2"/>
      <c r="R3323" s="2"/>
      <c r="S3323" s="2"/>
      <c r="T3323" s="2"/>
      <c r="U3323" s="2"/>
      <c r="V3323" s="2"/>
      <c r="W3323" s="2"/>
      <c r="X3323" s="2"/>
      <c r="Y3323" s="1"/>
      <c r="Z3323" s="1"/>
      <c r="AA3323" s="2"/>
      <c r="AB3323" s="2"/>
      <c r="AC3323" s="2"/>
      <c r="AD3323" s="2"/>
      <c r="AE3323" s="2"/>
      <c r="AF3323" s="2"/>
      <c r="AG3323" s="2"/>
      <c r="AH3323" s="2"/>
      <c r="AI3323" s="2"/>
      <c r="AJ3323" s="2"/>
      <c r="AK3323" s="2"/>
      <c r="AL3323" s="2"/>
      <c r="AM3323" s="2"/>
      <c r="AN3323" s="2"/>
      <c r="AO3323" s="2"/>
      <c r="AP3323" s="2"/>
      <c r="AQ3323" s="2"/>
      <c r="AR3323" s="2"/>
      <c r="AS3323" s="2"/>
      <c r="AT3323" s="2"/>
      <c r="AU3323" s="2"/>
      <c r="AV3323" s="2"/>
      <c r="AW3323" s="2"/>
      <c r="AX3323" s="2"/>
    </row>
    <row r="3324" spans="1:50" ht="12.75" x14ac:dyDescent="0.2">
      <c r="A3324" s="2"/>
      <c r="B3324" s="2"/>
      <c r="C3324" s="2"/>
      <c r="D3324" s="2"/>
      <c r="E3324" s="2"/>
      <c r="F3324" s="2"/>
      <c r="G3324" s="2"/>
      <c r="H3324" s="2"/>
      <c r="I3324" s="2"/>
      <c r="J3324" s="2"/>
      <c r="K3324" s="2"/>
      <c r="L3324" s="2"/>
      <c r="M3324" s="2"/>
      <c r="N3324" s="2"/>
      <c r="O3324" s="2"/>
      <c r="P3324" s="2"/>
      <c r="Q3324" s="2"/>
      <c r="R3324" s="2"/>
      <c r="S3324" s="2"/>
      <c r="T3324" s="2"/>
      <c r="U3324" s="2"/>
      <c r="V3324" s="2"/>
      <c r="W3324" s="2"/>
      <c r="X3324" s="2"/>
      <c r="Y3324" s="1"/>
      <c r="Z3324" s="1"/>
      <c r="AA3324" s="2"/>
      <c r="AB3324" s="2"/>
      <c r="AC3324" s="2"/>
      <c r="AD3324" s="2"/>
      <c r="AE3324" s="2"/>
      <c r="AF3324" s="2"/>
      <c r="AG3324" s="2"/>
      <c r="AH3324" s="2"/>
      <c r="AI3324" s="2"/>
      <c r="AJ3324" s="2"/>
      <c r="AK3324" s="2"/>
      <c r="AL3324" s="2"/>
      <c r="AM3324" s="2"/>
      <c r="AN3324" s="2"/>
      <c r="AO3324" s="2"/>
      <c r="AP3324" s="2"/>
      <c r="AQ3324" s="2"/>
      <c r="AR3324" s="2"/>
      <c r="AS3324" s="2"/>
      <c r="AT3324" s="2"/>
      <c r="AU3324" s="2"/>
      <c r="AV3324" s="2"/>
      <c r="AW3324" s="2"/>
      <c r="AX3324" s="2"/>
    </row>
    <row r="3325" spans="1:50" ht="12.75" x14ac:dyDescent="0.2">
      <c r="A3325" s="2"/>
      <c r="B3325" s="2"/>
      <c r="C3325" s="2"/>
      <c r="D3325" s="2"/>
      <c r="E3325" s="2"/>
      <c r="F3325" s="2"/>
      <c r="G3325" s="2"/>
      <c r="H3325" s="2"/>
      <c r="I3325" s="2"/>
      <c r="J3325" s="2"/>
      <c r="K3325" s="2"/>
      <c r="L3325" s="2"/>
      <c r="M3325" s="2"/>
      <c r="N3325" s="2"/>
      <c r="O3325" s="2"/>
      <c r="P3325" s="2"/>
      <c r="Q3325" s="2"/>
      <c r="R3325" s="2"/>
      <c r="S3325" s="2"/>
      <c r="T3325" s="2"/>
      <c r="U3325" s="2"/>
      <c r="V3325" s="2"/>
      <c r="W3325" s="2"/>
      <c r="X3325" s="2"/>
      <c r="Y3325" s="1"/>
      <c r="Z3325" s="1"/>
      <c r="AA3325" s="2"/>
      <c r="AB3325" s="2"/>
      <c r="AC3325" s="2"/>
      <c r="AD3325" s="2"/>
      <c r="AE3325" s="2"/>
      <c r="AF3325" s="2"/>
      <c r="AG3325" s="2"/>
      <c r="AH3325" s="2"/>
      <c r="AI3325" s="2"/>
      <c r="AJ3325" s="2"/>
      <c r="AK3325" s="2"/>
      <c r="AL3325" s="2"/>
      <c r="AM3325" s="2"/>
      <c r="AN3325" s="2"/>
      <c r="AO3325" s="2"/>
      <c r="AP3325" s="2"/>
      <c r="AQ3325" s="2"/>
      <c r="AR3325" s="2"/>
      <c r="AS3325" s="2"/>
      <c r="AT3325" s="2"/>
      <c r="AU3325" s="2"/>
      <c r="AV3325" s="2"/>
      <c r="AW3325" s="2"/>
      <c r="AX3325" s="2"/>
    </row>
    <row r="3326" spans="1:50" ht="12.75" x14ac:dyDescent="0.2">
      <c r="A3326" s="2"/>
      <c r="B3326" s="2"/>
      <c r="C3326" s="2"/>
      <c r="D3326" s="2"/>
      <c r="E3326" s="2"/>
      <c r="F3326" s="2"/>
      <c r="G3326" s="2"/>
      <c r="H3326" s="2"/>
      <c r="I3326" s="2"/>
      <c r="J3326" s="2"/>
      <c r="K3326" s="2"/>
      <c r="L3326" s="2"/>
      <c r="M3326" s="2"/>
      <c r="N3326" s="2"/>
      <c r="O3326" s="2"/>
      <c r="P3326" s="2"/>
      <c r="Q3326" s="2"/>
      <c r="R3326" s="2"/>
      <c r="S3326" s="2"/>
      <c r="T3326" s="2"/>
      <c r="U3326" s="2"/>
      <c r="V3326" s="2"/>
      <c r="W3326" s="2"/>
      <c r="X3326" s="2"/>
      <c r="Y3326" s="1"/>
      <c r="Z3326" s="1"/>
      <c r="AA3326" s="2"/>
      <c r="AB3326" s="2"/>
      <c r="AC3326" s="2"/>
      <c r="AD3326" s="2"/>
      <c r="AE3326" s="2"/>
      <c r="AF3326" s="2"/>
      <c r="AG3326" s="2"/>
      <c r="AH3326" s="2"/>
      <c r="AI3326" s="2"/>
      <c r="AJ3326" s="2"/>
      <c r="AK3326" s="2"/>
      <c r="AL3326" s="2"/>
      <c r="AM3326" s="2"/>
      <c r="AN3326" s="2"/>
      <c r="AO3326" s="2"/>
      <c r="AP3326" s="2"/>
      <c r="AQ3326" s="2"/>
      <c r="AR3326" s="2"/>
      <c r="AS3326" s="2"/>
      <c r="AT3326" s="2"/>
      <c r="AU3326" s="2"/>
      <c r="AV3326" s="2"/>
      <c r="AW3326" s="2"/>
      <c r="AX3326" s="2"/>
    </row>
    <row r="3327" spans="1:50" ht="12.75" x14ac:dyDescent="0.2">
      <c r="A3327" s="2"/>
      <c r="B3327" s="2"/>
      <c r="C3327" s="2"/>
      <c r="D3327" s="2"/>
      <c r="E3327" s="2"/>
      <c r="F3327" s="2"/>
      <c r="G3327" s="2"/>
      <c r="H3327" s="2"/>
      <c r="I3327" s="2"/>
      <c r="J3327" s="2"/>
      <c r="K3327" s="2"/>
      <c r="L3327" s="2"/>
      <c r="M3327" s="2"/>
      <c r="N3327" s="2"/>
      <c r="O3327" s="2"/>
      <c r="P3327" s="2"/>
      <c r="Q3327" s="2"/>
      <c r="R3327" s="2"/>
      <c r="S3327" s="2"/>
      <c r="T3327" s="2"/>
      <c r="U3327" s="2"/>
      <c r="V3327" s="2"/>
      <c r="W3327" s="2"/>
      <c r="X3327" s="2"/>
      <c r="Y3327" s="1"/>
      <c r="Z3327" s="1"/>
      <c r="AA3327" s="2"/>
      <c r="AB3327" s="2"/>
      <c r="AC3327" s="2"/>
      <c r="AD3327" s="2"/>
      <c r="AE3327" s="2"/>
      <c r="AF3327" s="2"/>
      <c r="AG3327" s="2"/>
      <c r="AH3327" s="2"/>
      <c r="AI3327" s="2"/>
      <c r="AJ3327" s="2"/>
      <c r="AK3327" s="2"/>
      <c r="AL3327" s="2"/>
      <c r="AM3327" s="2"/>
      <c r="AN3327" s="2"/>
      <c r="AO3327" s="2"/>
      <c r="AP3327" s="2"/>
      <c r="AQ3327" s="2"/>
      <c r="AR3327" s="2"/>
      <c r="AS3327" s="2"/>
      <c r="AT3327" s="2"/>
      <c r="AU3327" s="2"/>
      <c r="AV3327" s="2"/>
      <c r="AW3327" s="2"/>
      <c r="AX3327" s="2"/>
    </row>
    <row r="3328" spans="1:50" ht="12.75" x14ac:dyDescent="0.2">
      <c r="A3328" s="2"/>
      <c r="B3328" s="2"/>
      <c r="C3328" s="2"/>
      <c r="D3328" s="2"/>
      <c r="E3328" s="2"/>
      <c r="F3328" s="2"/>
      <c r="G3328" s="2"/>
      <c r="H3328" s="2"/>
      <c r="I3328" s="2"/>
      <c r="J3328" s="2"/>
      <c r="K3328" s="2"/>
      <c r="L3328" s="2"/>
      <c r="M3328" s="2"/>
      <c r="N3328" s="2"/>
      <c r="O3328" s="2"/>
      <c r="P3328" s="2"/>
      <c r="Q3328" s="2"/>
      <c r="R3328" s="2"/>
      <c r="S3328" s="2"/>
      <c r="T3328" s="2"/>
      <c r="U3328" s="2"/>
      <c r="V3328" s="2"/>
      <c r="W3328" s="2"/>
      <c r="X3328" s="2"/>
      <c r="Y3328" s="1"/>
      <c r="Z3328" s="1"/>
      <c r="AA3328" s="2"/>
      <c r="AB3328" s="2"/>
      <c r="AC3328" s="2"/>
      <c r="AD3328" s="2"/>
      <c r="AE3328" s="2"/>
      <c r="AF3328" s="2"/>
      <c r="AG3328" s="2"/>
      <c r="AH3328" s="2"/>
      <c r="AI3328" s="2"/>
      <c r="AJ3328" s="2"/>
      <c r="AK3328" s="2"/>
      <c r="AL3328" s="2"/>
      <c r="AM3328" s="2"/>
      <c r="AN3328" s="2"/>
      <c r="AO3328" s="2"/>
      <c r="AP3328" s="2"/>
      <c r="AQ3328" s="2"/>
      <c r="AR3328" s="2"/>
      <c r="AS3328" s="2"/>
      <c r="AT3328" s="2"/>
      <c r="AU3328" s="2"/>
      <c r="AV3328" s="2"/>
      <c r="AW3328" s="2"/>
      <c r="AX3328" s="2"/>
    </row>
    <row r="3329" spans="1:50" ht="12.75" x14ac:dyDescent="0.2">
      <c r="A3329" s="2"/>
      <c r="B3329" s="2"/>
      <c r="C3329" s="2"/>
      <c r="D3329" s="2"/>
      <c r="E3329" s="2"/>
      <c r="F3329" s="2"/>
      <c r="G3329" s="2"/>
      <c r="H3329" s="2"/>
      <c r="I3329" s="2"/>
      <c r="J3329" s="2"/>
      <c r="K3329" s="2"/>
      <c r="L3329" s="2"/>
      <c r="M3329" s="2"/>
      <c r="N3329" s="2"/>
      <c r="O3329" s="2"/>
      <c r="P3329" s="2"/>
      <c r="Q3329" s="2"/>
      <c r="R3329" s="2"/>
      <c r="S3329" s="2"/>
      <c r="T3329" s="2"/>
      <c r="U3329" s="2"/>
      <c r="V3329" s="2"/>
      <c r="W3329" s="2"/>
      <c r="X3329" s="2"/>
      <c r="Y3329" s="1"/>
      <c r="Z3329" s="1"/>
      <c r="AA3329" s="2"/>
      <c r="AB3329" s="2"/>
      <c r="AC3329" s="2"/>
      <c r="AD3329" s="2"/>
      <c r="AE3329" s="2"/>
      <c r="AF3329" s="2"/>
      <c r="AG3329" s="2"/>
      <c r="AH3329" s="2"/>
      <c r="AI3329" s="2"/>
      <c r="AJ3329" s="2"/>
      <c r="AK3329" s="2"/>
      <c r="AL3329" s="2"/>
      <c r="AM3329" s="2"/>
      <c r="AN3329" s="2"/>
      <c r="AO3329" s="2"/>
      <c r="AP3329" s="2"/>
      <c r="AQ3329" s="2"/>
      <c r="AR3329" s="2"/>
      <c r="AS3329" s="2"/>
      <c r="AT3329" s="2"/>
      <c r="AU3329" s="2"/>
      <c r="AV3329" s="2"/>
      <c r="AW3329" s="2"/>
      <c r="AX3329" s="2"/>
    </row>
    <row r="3330" spans="1:50" ht="12.75" x14ac:dyDescent="0.2">
      <c r="A3330" s="2"/>
      <c r="B3330" s="2"/>
      <c r="C3330" s="2"/>
      <c r="D3330" s="2"/>
      <c r="E3330" s="2"/>
      <c r="F3330" s="2"/>
      <c r="G3330" s="2"/>
      <c r="H3330" s="2"/>
      <c r="I3330" s="2"/>
      <c r="J3330" s="2"/>
      <c r="K3330" s="2"/>
      <c r="L3330" s="2"/>
      <c r="M3330" s="2"/>
      <c r="N3330" s="2"/>
      <c r="O3330" s="2"/>
      <c r="P3330" s="2"/>
      <c r="Q3330" s="2"/>
      <c r="R3330" s="2"/>
      <c r="S3330" s="2"/>
      <c r="T3330" s="2"/>
      <c r="U3330" s="2"/>
      <c r="V3330" s="2"/>
      <c r="W3330" s="2"/>
      <c r="X3330" s="2"/>
      <c r="Y3330" s="1"/>
      <c r="Z3330" s="1"/>
      <c r="AA3330" s="2"/>
      <c r="AB3330" s="2"/>
      <c r="AC3330" s="2"/>
      <c r="AD3330" s="2"/>
      <c r="AE3330" s="2"/>
      <c r="AF3330" s="2"/>
      <c r="AG3330" s="2"/>
      <c r="AH3330" s="2"/>
      <c r="AI3330" s="2"/>
      <c r="AJ3330" s="2"/>
      <c r="AK3330" s="2"/>
      <c r="AL3330" s="2"/>
      <c r="AM3330" s="2"/>
      <c r="AN3330" s="2"/>
      <c r="AO3330" s="2"/>
      <c r="AP3330" s="2"/>
      <c r="AQ3330" s="2"/>
      <c r="AR3330" s="2"/>
      <c r="AS3330" s="2"/>
      <c r="AT3330" s="2"/>
      <c r="AU3330" s="2"/>
      <c r="AV3330" s="2"/>
      <c r="AW3330" s="2"/>
      <c r="AX3330" s="2"/>
    </row>
    <row r="3331" spans="1:50" ht="12.75" x14ac:dyDescent="0.2">
      <c r="A3331" s="2"/>
      <c r="B3331" s="2"/>
      <c r="C3331" s="2"/>
      <c r="D3331" s="2"/>
      <c r="E3331" s="2"/>
      <c r="F3331" s="2"/>
      <c r="G3331" s="2"/>
      <c r="H3331" s="2"/>
      <c r="I3331" s="2"/>
      <c r="J3331" s="2"/>
      <c r="K3331" s="2"/>
      <c r="L3331" s="2"/>
      <c r="M3331" s="2"/>
      <c r="N3331" s="2"/>
      <c r="O3331" s="2"/>
      <c r="P3331" s="2"/>
      <c r="Q3331" s="2"/>
      <c r="R3331" s="2"/>
      <c r="S3331" s="2"/>
      <c r="T3331" s="2"/>
      <c r="U3331" s="2"/>
      <c r="V3331" s="2"/>
      <c r="W3331" s="2"/>
      <c r="X3331" s="2"/>
      <c r="Y3331" s="1"/>
      <c r="Z3331" s="1"/>
      <c r="AA3331" s="2"/>
      <c r="AB3331" s="2"/>
      <c r="AC3331" s="2"/>
      <c r="AD3331" s="2"/>
      <c r="AE3331" s="2"/>
      <c r="AF3331" s="2"/>
      <c r="AG3331" s="2"/>
      <c r="AH3331" s="2"/>
      <c r="AI3331" s="2"/>
      <c r="AJ3331" s="2"/>
      <c r="AK3331" s="2"/>
      <c r="AL3331" s="2"/>
      <c r="AM3331" s="2"/>
      <c r="AN3331" s="2"/>
      <c r="AO3331" s="2"/>
      <c r="AP3331" s="2"/>
      <c r="AQ3331" s="2"/>
      <c r="AR3331" s="2"/>
      <c r="AS3331" s="2"/>
      <c r="AT3331" s="2"/>
      <c r="AU3331" s="2"/>
      <c r="AV3331" s="2"/>
      <c r="AW3331" s="2"/>
      <c r="AX3331" s="2"/>
    </row>
    <row r="3332" spans="1:50" ht="12.75" x14ac:dyDescent="0.2">
      <c r="A3332" s="2"/>
      <c r="B3332" s="2"/>
      <c r="C3332" s="2"/>
      <c r="D3332" s="2"/>
      <c r="E3332" s="2"/>
      <c r="F3332" s="2"/>
      <c r="G3332" s="2"/>
      <c r="H3332" s="2"/>
      <c r="I3332" s="2"/>
      <c r="J3332" s="2"/>
      <c r="K3332" s="2"/>
      <c r="L3332" s="2"/>
      <c r="M3332" s="2"/>
      <c r="N3332" s="2"/>
      <c r="O3332" s="2"/>
      <c r="P3332" s="2"/>
      <c r="Q3332" s="2"/>
      <c r="R3332" s="2"/>
      <c r="S3332" s="2"/>
      <c r="T3332" s="2"/>
      <c r="U3332" s="2"/>
      <c r="V3332" s="2"/>
      <c r="W3332" s="2"/>
      <c r="X3332" s="2"/>
      <c r="Y3332" s="1"/>
      <c r="Z3332" s="1"/>
      <c r="AA3332" s="2"/>
      <c r="AB3332" s="2"/>
      <c r="AC3332" s="2"/>
      <c r="AD3332" s="2"/>
      <c r="AE3332" s="2"/>
      <c r="AF3332" s="2"/>
      <c r="AG3332" s="2"/>
      <c r="AH3332" s="2"/>
      <c r="AI3332" s="2"/>
      <c r="AJ3332" s="2"/>
      <c r="AK3332" s="2"/>
      <c r="AL3332" s="2"/>
      <c r="AM3332" s="2"/>
      <c r="AN3332" s="2"/>
      <c r="AO3332" s="2"/>
      <c r="AP3332" s="2"/>
      <c r="AQ3332" s="2"/>
      <c r="AR3332" s="2"/>
      <c r="AS3332" s="2"/>
      <c r="AT3332" s="2"/>
      <c r="AU3332" s="2"/>
      <c r="AV3332" s="2"/>
      <c r="AW3332" s="2"/>
      <c r="AX3332" s="2"/>
    </row>
    <row r="3333" spans="1:50" ht="12.75" x14ac:dyDescent="0.2">
      <c r="A3333" s="2"/>
      <c r="B3333" s="2"/>
      <c r="C3333" s="2"/>
      <c r="D3333" s="2"/>
      <c r="E3333" s="2"/>
      <c r="F3333" s="2"/>
      <c r="G3333" s="2"/>
      <c r="H3333" s="2"/>
      <c r="I3333" s="2"/>
      <c r="J3333" s="2"/>
      <c r="K3333" s="2"/>
      <c r="L3333" s="2"/>
      <c r="M3333" s="2"/>
      <c r="N3333" s="2"/>
      <c r="O3333" s="2"/>
      <c r="P3333" s="2"/>
      <c r="Q3333" s="2"/>
      <c r="R3333" s="2"/>
      <c r="S3333" s="2"/>
      <c r="T3333" s="2"/>
      <c r="U3333" s="2"/>
      <c r="V3333" s="2"/>
      <c r="W3333" s="2"/>
      <c r="X3333" s="2"/>
      <c r="Y3333" s="1"/>
      <c r="Z3333" s="1"/>
      <c r="AA3333" s="2"/>
      <c r="AB3333" s="2"/>
      <c r="AC3333" s="2"/>
      <c r="AD3333" s="2"/>
      <c r="AE3333" s="2"/>
      <c r="AF3333" s="2"/>
      <c r="AG3333" s="2"/>
      <c r="AH3333" s="2"/>
      <c r="AI3333" s="2"/>
      <c r="AJ3333" s="2"/>
      <c r="AK3333" s="2"/>
      <c r="AL3333" s="2"/>
      <c r="AM3333" s="2"/>
      <c r="AN3333" s="2"/>
      <c r="AO3333" s="2"/>
      <c r="AP3333" s="2"/>
      <c r="AQ3333" s="2"/>
      <c r="AR3333" s="2"/>
      <c r="AS3333" s="2"/>
      <c r="AT3333" s="2"/>
      <c r="AU3333" s="2"/>
      <c r="AV3333" s="2"/>
      <c r="AW3333" s="2"/>
      <c r="AX3333" s="2"/>
    </row>
    <row r="3334" spans="1:50" ht="12.75" x14ac:dyDescent="0.2">
      <c r="A3334" s="2"/>
      <c r="B3334" s="2"/>
      <c r="C3334" s="2"/>
      <c r="D3334" s="2"/>
      <c r="E3334" s="2"/>
      <c r="F3334" s="2"/>
      <c r="G3334" s="2"/>
      <c r="H3334" s="2"/>
      <c r="I3334" s="2"/>
      <c r="J3334" s="2"/>
      <c r="K3334" s="2"/>
      <c r="L3334" s="2"/>
      <c r="M3334" s="2"/>
      <c r="N3334" s="2"/>
      <c r="O3334" s="2"/>
      <c r="P3334" s="2"/>
      <c r="Q3334" s="2"/>
      <c r="R3334" s="2"/>
      <c r="S3334" s="2"/>
      <c r="T3334" s="2"/>
      <c r="U3334" s="2"/>
      <c r="V3334" s="2"/>
      <c r="W3334" s="2"/>
      <c r="X3334" s="2"/>
      <c r="Y3334" s="1"/>
      <c r="Z3334" s="1"/>
      <c r="AA3334" s="2"/>
      <c r="AB3334" s="2"/>
      <c r="AC3334" s="2"/>
      <c r="AD3334" s="2"/>
      <c r="AE3334" s="2"/>
      <c r="AF3334" s="2"/>
      <c r="AG3334" s="2"/>
      <c r="AH3334" s="2"/>
      <c r="AI3334" s="2"/>
      <c r="AJ3334" s="2"/>
      <c r="AK3334" s="2"/>
      <c r="AL3334" s="2"/>
      <c r="AM3334" s="2"/>
      <c r="AN3334" s="2"/>
      <c r="AO3334" s="2"/>
      <c r="AP3334" s="2"/>
      <c r="AQ3334" s="2"/>
      <c r="AR3334" s="2"/>
      <c r="AS3334" s="2"/>
      <c r="AT3334" s="2"/>
      <c r="AU3334" s="2"/>
      <c r="AV3334" s="2"/>
      <c r="AW3334" s="2"/>
      <c r="AX3334" s="2"/>
    </row>
    <row r="3335" spans="1:50" ht="12.75" x14ac:dyDescent="0.2">
      <c r="A3335" s="2"/>
      <c r="B3335" s="2"/>
      <c r="C3335" s="2"/>
      <c r="D3335" s="2"/>
      <c r="E3335" s="2"/>
      <c r="F3335" s="2"/>
      <c r="G3335" s="2"/>
      <c r="H3335" s="2"/>
      <c r="I3335" s="2"/>
      <c r="J3335" s="2"/>
      <c r="K3335" s="2"/>
      <c r="L3335" s="2"/>
      <c r="M3335" s="2"/>
      <c r="N3335" s="2"/>
      <c r="O3335" s="2"/>
      <c r="P3335" s="2"/>
      <c r="Q3335" s="2"/>
      <c r="R3335" s="2"/>
      <c r="S3335" s="2"/>
      <c r="T3335" s="2"/>
      <c r="U3335" s="2"/>
      <c r="V3335" s="2"/>
      <c r="W3335" s="2"/>
      <c r="X3335" s="2"/>
      <c r="Y3335" s="1"/>
      <c r="Z3335" s="1"/>
      <c r="AA3335" s="2"/>
      <c r="AB3335" s="2"/>
      <c r="AC3335" s="2"/>
      <c r="AD3335" s="2"/>
      <c r="AE3335" s="2"/>
      <c r="AF3335" s="2"/>
      <c r="AG3335" s="2"/>
      <c r="AH3335" s="2"/>
      <c r="AI3335" s="2"/>
      <c r="AJ3335" s="2"/>
      <c r="AK3335" s="2"/>
      <c r="AL3335" s="2"/>
      <c r="AM3335" s="2"/>
      <c r="AN3335" s="2"/>
      <c r="AO3335" s="2"/>
      <c r="AP3335" s="2"/>
      <c r="AQ3335" s="2"/>
      <c r="AR3335" s="2"/>
      <c r="AS3335" s="2"/>
      <c r="AT3335" s="2"/>
      <c r="AU3335" s="2"/>
      <c r="AV3335" s="2"/>
      <c r="AW3335" s="2"/>
      <c r="AX3335" s="2"/>
    </row>
    <row r="3336" spans="1:50" ht="12.75" x14ac:dyDescent="0.2">
      <c r="A3336" s="2"/>
      <c r="B3336" s="2"/>
      <c r="C3336" s="2"/>
      <c r="D3336" s="2"/>
      <c r="E3336" s="2"/>
      <c r="F3336" s="2"/>
      <c r="G3336" s="2"/>
      <c r="H3336" s="2"/>
      <c r="I3336" s="2"/>
      <c r="J3336" s="2"/>
      <c r="K3336" s="2"/>
      <c r="L3336" s="2"/>
      <c r="M3336" s="2"/>
      <c r="N3336" s="2"/>
      <c r="O3336" s="2"/>
      <c r="P3336" s="2"/>
      <c r="Q3336" s="2"/>
      <c r="R3336" s="2"/>
      <c r="S3336" s="2"/>
      <c r="T3336" s="2"/>
      <c r="U3336" s="2"/>
      <c r="V3336" s="2"/>
      <c r="W3336" s="2"/>
      <c r="X3336" s="2"/>
      <c r="Y3336" s="1"/>
      <c r="Z3336" s="1"/>
      <c r="AA3336" s="2"/>
      <c r="AB3336" s="2"/>
      <c r="AC3336" s="2"/>
      <c r="AD3336" s="2"/>
      <c r="AE3336" s="2"/>
      <c r="AF3336" s="2"/>
      <c r="AG3336" s="2"/>
      <c r="AH3336" s="2"/>
      <c r="AI3336" s="2"/>
      <c r="AJ3336" s="2"/>
      <c r="AK3336" s="2"/>
      <c r="AL3336" s="2"/>
      <c r="AM3336" s="2"/>
      <c r="AN3336" s="2"/>
      <c r="AO3336" s="2"/>
      <c r="AP3336" s="2"/>
      <c r="AQ3336" s="2"/>
      <c r="AR3336" s="2"/>
      <c r="AS3336" s="2"/>
      <c r="AT3336" s="2"/>
      <c r="AU3336" s="2"/>
      <c r="AV3336" s="2"/>
      <c r="AW3336" s="2"/>
      <c r="AX3336" s="2"/>
    </row>
    <row r="3337" spans="1:50" ht="12.75" x14ac:dyDescent="0.2">
      <c r="A3337" s="2"/>
      <c r="B3337" s="2"/>
      <c r="C3337" s="2"/>
      <c r="D3337" s="2"/>
      <c r="E3337" s="2"/>
      <c r="F3337" s="2"/>
      <c r="G3337" s="2"/>
      <c r="H3337" s="2"/>
      <c r="I3337" s="2"/>
      <c r="J3337" s="2"/>
      <c r="K3337" s="2"/>
      <c r="L3337" s="2"/>
      <c r="M3337" s="2"/>
      <c r="N3337" s="2"/>
      <c r="O3337" s="2"/>
      <c r="P3337" s="2"/>
      <c r="Q3337" s="2"/>
      <c r="R3337" s="2"/>
      <c r="S3337" s="2"/>
      <c r="T3337" s="2"/>
      <c r="U3337" s="2"/>
      <c r="V3337" s="2"/>
      <c r="W3337" s="2"/>
      <c r="X3337" s="2"/>
      <c r="Y3337" s="1"/>
      <c r="Z3337" s="1"/>
      <c r="AA3337" s="2"/>
      <c r="AB3337" s="2"/>
      <c r="AC3337" s="2"/>
      <c r="AD3337" s="2"/>
      <c r="AE3337" s="2"/>
      <c r="AF3337" s="2"/>
      <c r="AG3337" s="2"/>
      <c r="AH3337" s="2"/>
      <c r="AI3337" s="2"/>
      <c r="AJ3337" s="2"/>
      <c r="AK3337" s="2"/>
      <c r="AL3337" s="2"/>
      <c r="AM3337" s="2"/>
      <c r="AN3337" s="2"/>
      <c r="AO3337" s="2"/>
      <c r="AP3337" s="2"/>
      <c r="AQ3337" s="2"/>
      <c r="AR3337" s="2"/>
      <c r="AS3337" s="2"/>
      <c r="AT3337" s="2"/>
      <c r="AU3337" s="2"/>
      <c r="AV3337" s="2"/>
      <c r="AW3337" s="2"/>
      <c r="AX3337" s="2"/>
    </row>
    <row r="3338" spans="1:50" ht="12.75" x14ac:dyDescent="0.2">
      <c r="A3338" s="2"/>
      <c r="B3338" s="2"/>
      <c r="C3338" s="2"/>
      <c r="D3338" s="2"/>
      <c r="E3338" s="2"/>
      <c r="F3338" s="2"/>
      <c r="G3338" s="2"/>
      <c r="H3338" s="2"/>
      <c r="I3338" s="2"/>
      <c r="J3338" s="2"/>
      <c r="K3338" s="2"/>
      <c r="L3338" s="2"/>
      <c r="M3338" s="2"/>
      <c r="N3338" s="2"/>
      <c r="O3338" s="2"/>
      <c r="P3338" s="2"/>
      <c r="Q3338" s="2"/>
      <c r="R3338" s="2"/>
      <c r="S3338" s="2"/>
      <c r="T3338" s="2"/>
      <c r="U3338" s="2"/>
      <c r="V3338" s="2"/>
      <c r="W3338" s="2"/>
      <c r="X3338" s="2"/>
      <c r="Y3338" s="1"/>
      <c r="Z3338" s="1"/>
      <c r="AA3338" s="2"/>
      <c r="AB3338" s="2"/>
      <c r="AC3338" s="2"/>
      <c r="AD3338" s="2"/>
      <c r="AE3338" s="2"/>
      <c r="AF3338" s="2"/>
      <c r="AG3338" s="2"/>
      <c r="AH3338" s="2"/>
      <c r="AI3338" s="2"/>
      <c r="AJ3338" s="2"/>
      <c r="AK3338" s="2"/>
      <c r="AL3338" s="2"/>
      <c r="AM3338" s="2"/>
      <c r="AN3338" s="2"/>
      <c r="AO3338" s="2"/>
      <c r="AP3338" s="2"/>
      <c r="AQ3338" s="2"/>
      <c r="AR3338" s="2"/>
      <c r="AS3338" s="2"/>
      <c r="AT3338" s="2"/>
      <c r="AU3338" s="2"/>
      <c r="AV3338" s="2"/>
      <c r="AW3338" s="2"/>
      <c r="AX3338" s="2"/>
    </row>
    <row r="3339" spans="1:50" ht="12.75" x14ac:dyDescent="0.2">
      <c r="A3339" s="2"/>
      <c r="B3339" s="2"/>
      <c r="C3339" s="2"/>
      <c r="D3339" s="2"/>
      <c r="E3339" s="2"/>
      <c r="F3339" s="2"/>
      <c r="G3339" s="2"/>
      <c r="H3339" s="2"/>
      <c r="I3339" s="2"/>
      <c r="J3339" s="2"/>
      <c r="K3339" s="2"/>
      <c r="L3339" s="2"/>
      <c r="M3339" s="2"/>
      <c r="N3339" s="2"/>
      <c r="O3339" s="2"/>
      <c r="P3339" s="2"/>
      <c r="Q3339" s="2"/>
      <c r="R3339" s="2"/>
      <c r="S3339" s="2"/>
      <c r="T3339" s="2"/>
      <c r="U3339" s="2"/>
      <c r="V3339" s="2"/>
      <c r="W3339" s="2"/>
      <c r="X3339" s="2"/>
      <c r="Y3339" s="1"/>
      <c r="Z3339" s="1"/>
      <c r="AA3339" s="2"/>
      <c r="AB3339" s="2"/>
      <c r="AC3339" s="2"/>
      <c r="AD3339" s="2"/>
      <c r="AE3339" s="2"/>
      <c r="AF3339" s="2"/>
      <c r="AG3339" s="2"/>
      <c r="AH3339" s="2"/>
      <c r="AI3339" s="2"/>
      <c r="AJ3339" s="2"/>
      <c r="AK3339" s="2"/>
      <c r="AL3339" s="2"/>
      <c r="AM3339" s="2"/>
      <c r="AN3339" s="2"/>
      <c r="AO3339" s="2"/>
      <c r="AP3339" s="2"/>
      <c r="AQ3339" s="2"/>
      <c r="AR3339" s="2"/>
      <c r="AS3339" s="2"/>
      <c r="AT3339" s="2"/>
      <c r="AU3339" s="2"/>
      <c r="AV3339" s="2"/>
      <c r="AW3339" s="2"/>
      <c r="AX3339" s="2"/>
    </row>
    <row r="3340" spans="1:50" ht="12.75" x14ac:dyDescent="0.2">
      <c r="A3340" s="2"/>
      <c r="B3340" s="2"/>
      <c r="C3340" s="2"/>
      <c r="D3340" s="2"/>
      <c r="E3340" s="2"/>
      <c r="F3340" s="2"/>
      <c r="G3340" s="2"/>
      <c r="H3340" s="2"/>
      <c r="I3340" s="2"/>
      <c r="J3340" s="2"/>
      <c r="K3340" s="2"/>
      <c r="L3340" s="2"/>
      <c r="M3340" s="2"/>
      <c r="N3340" s="2"/>
      <c r="O3340" s="2"/>
      <c r="P3340" s="2"/>
      <c r="Q3340" s="2"/>
      <c r="R3340" s="2"/>
      <c r="S3340" s="2"/>
      <c r="T3340" s="2"/>
      <c r="U3340" s="2"/>
      <c r="V3340" s="2"/>
      <c r="W3340" s="2"/>
      <c r="X3340" s="2"/>
      <c r="Y3340" s="1"/>
      <c r="Z3340" s="1"/>
      <c r="AA3340" s="2"/>
      <c r="AB3340" s="2"/>
      <c r="AC3340" s="2"/>
      <c r="AD3340" s="2"/>
      <c r="AE3340" s="2"/>
      <c r="AF3340" s="2"/>
      <c r="AG3340" s="2"/>
      <c r="AH3340" s="2"/>
      <c r="AI3340" s="2"/>
      <c r="AJ3340" s="2"/>
      <c r="AK3340" s="2"/>
      <c r="AL3340" s="2"/>
      <c r="AM3340" s="2"/>
      <c r="AN3340" s="2"/>
      <c r="AO3340" s="2"/>
      <c r="AP3340" s="2"/>
      <c r="AQ3340" s="2"/>
      <c r="AR3340" s="2"/>
      <c r="AS3340" s="2"/>
      <c r="AT3340" s="2"/>
      <c r="AU3340" s="2"/>
      <c r="AV3340" s="2"/>
      <c r="AW3340" s="2"/>
      <c r="AX3340" s="2"/>
    </row>
    <row r="3341" spans="1:50" ht="12.75" x14ac:dyDescent="0.2">
      <c r="A3341" s="2"/>
      <c r="B3341" s="2"/>
      <c r="C3341" s="2"/>
      <c r="D3341" s="2"/>
      <c r="E3341" s="2"/>
      <c r="F3341" s="2"/>
      <c r="G3341" s="2"/>
      <c r="H3341" s="2"/>
      <c r="I3341" s="2"/>
      <c r="J3341" s="2"/>
      <c r="K3341" s="2"/>
      <c r="L3341" s="2"/>
      <c r="M3341" s="2"/>
      <c r="N3341" s="2"/>
      <c r="O3341" s="2"/>
      <c r="P3341" s="2"/>
      <c r="Q3341" s="2"/>
      <c r="R3341" s="2"/>
      <c r="S3341" s="2"/>
      <c r="T3341" s="2"/>
      <c r="U3341" s="2"/>
      <c r="V3341" s="2"/>
      <c r="W3341" s="2"/>
      <c r="X3341" s="2"/>
      <c r="Y3341" s="1"/>
      <c r="Z3341" s="1"/>
      <c r="AA3341" s="2"/>
      <c r="AB3341" s="2"/>
      <c r="AC3341" s="2"/>
      <c r="AD3341" s="2"/>
      <c r="AE3341" s="2"/>
      <c r="AF3341" s="2"/>
      <c r="AG3341" s="2"/>
      <c r="AH3341" s="2"/>
      <c r="AI3341" s="2"/>
      <c r="AJ3341" s="2"/>
      <c r="AK3341" s="2"/>
      <c r="AL3341" s="2"/>
      <c r="AM3341" s="2"/>
      <c r="AN3341" s="2"/>
      <c r="AO3341" s="2"/>
      <c r="AP3341" s="2"/>
      <c r="AQ3341" s="2"/>
      <c r="AR3341" s="2"/>
      <c r="AS3341" s="2"/>
      <c r="AT3341" s="2"/>
      <c r="AU3341" s="2"/>
      <c r="AV3341" s="2"/>
      <c r="AW3341" s="2"/>
      <c r="AX3341" s="2"/>
    </row>
    <row r="3342" spans="1:50" ht="12.75" x14ac:dyDescent="0.2">
      <c r="A3342" s="2"/>
      <c r="B3342" s="2"/>
      <c r="C3342" s="2"/>
      <c r="D3342" s="2"/>
      <c r="E3342" s="2"/>
      <c r="F3342" s="2"/>
      <c r="G3342" s="2"/>
      <c r="H3342" s="2"/>
      <c r="I3342" s="2"/>
      <c r="J3342" s="2"/>
      <c r="K3342" s="2"/>
      <c r="L3342" s="2"/>
      <c r="M3342" s="2"/>
      <c r="N3342" s="2"/>
      <c r="O3342" s="2"/>
      <c r="P3342" s="2"/>
      <c r="Q3342" s="2"/>
      <c r="R3342" s="2"/>
      <c r="S3342" s="2"/>
      <c r="T3342" s="2"/>
      <c r="U3342" s="2"/>
      <c r="V3342" s="2"/>
      <c r="W3342" s="2"/>
      <c r="X3342" s="2"/>
      <c r="Y3342" s="1"/>
      <c r="Z3342" s="1"/>
      <c r="AA3342" s="2"/>
      <c r="AB3342" s="2"/>
      <c r="AC3342" s="2"/>
      <c r="AD3342" s="2"/>
      <c r="AE3342" s="2"/>
      <c r="AF3342" s="2"/>
      <c r="AG3342" s="2"/>
      <c r="AH3342" s="2"/>
      <c r="AI3342" s="2"/>
      <c r="AJ3342" s="2"/>
      <c r="AK3342" s="2"/>
      <c r="AL3342" s="2"/>
      <c r="AM3342" s="2"/>
      <c r="AN3342" s="2"/>
      <c r="AO3342" s="2"/>
      <c r="AP3342" s="2"/>
      <c r="AQ3342" s="2"/>
      <c r="AR3342" s="2"/>
      <c r="AS3342" s="2"/>
      <c r="AT3342" s="2"/>
      <c r="AU3342" s="2"/>
      <c r="AV3342" s="2"/>
      <c r="AW3342" s="2"/>
      <c r="AX3342" s="2"/>
    </row>
    <row r="3343" spans="1:50" ht="12.75" x14ac:dyDescent="0.2">
      <c r="A3343" s="2"/>
      <c r="B3343" s="2"/>
      <c r="C3343" s="2"/>
      <c r="D3343" s="2"/>
      <c r="E3343" s="2"/>
      <c r="F3343" s="2"/>
      <c r="G3343" s="2"/>
      <c r="H3343" s="2"/>
      <c r="I3343" s="2"/>
      <c r="J3343" s="2"/>
      <c r="K3343" s="2"/>
      <c r="L3343" s="2"/>
      <c r="M3343" s="2"/>
      <c r="N3343" s="2"/>
      <c r="O3343" s="2"/>
      <c r="P3343" s="2"/>
      <c r="Q3343" s="2"/>
      <c r="R3343" s="2"/>
      <c r="S3343" s="2"/>
      <c r="T3343" s="2"/>
      <c r="U3343" s="2"/>
      <c r="V3343" s="2"/>
      <c r="W3343" s="2"/>
      <c r="X3343" s="2"/>
      <c r="Y3343" s="1"/>
      <c r="Z3343" s="1"/>
      <c r="AA3343" s="2"/>
      <c r="AB3343" s="2"/>
      <c r="AC3343" s="2"/>
      <c r="AD3343" s="2"/>
      <c r="AE3343" s="2"/>
      <c r="AF3343" s="2"/>
      <c r="AG3343" s="2"/>
      <c r="AH3343" s="2"/>
      <c r="AI3343" s="2"/>
      <c r="AJ3343" s="2"/>
      <c r="AK3343" s="2"/>
      <c r="AL3343" s="2"/>
      <c r="AM3343" s="2"/>
      <c r="AN3343" s="2"/>
      <c r="AO3343" s="2"/>
      <c r="AP3343" s="2"/>
      <c r="AQ3343" s="2"/>
      <c r="AR3343" s="2"/>
      <c r="AS3343" s="2"/>
      <c r="AT3343" s="2"/>
      <c r="AU3343" s="2"/>
      <c r="AV3343" s="2"/>
      <c r="AW3343" s="2"/>
      <c r="AX3343" s="2"/>
    </row>
    <row r="3344" spans="1:50" ht="12.75" x14ac:dyDescent="0.2">
      <c r="A3344" s="2"/>
      <c r="B3344" s="2"/>
      <c r="C3344" s="2"/>
      <c r="D3344" s="2"/>
      <c r="E3344" s="2"/>
      <c r="F3344" s="2"/>
      <c r="G3344" s="2"/>
      <c r="H3344" s="2"/>
      <c r="I3344" s="2"/>
      <c r="J3344" s="2"/>
      <c r="K3344" s="2"/>
      <c r="L3344" s="2"/>
      <c r="M3344" s="2"/>
      <c r="N3344" s="2"/>
      <c r="O3344" s="2"/>
      <c r="P3344" s="2"/>
      <c r="Q3344" s="2"/>
      <c r="R3344" s="2"/>
      <c r="S3344" s="2"/>
      <c r="T3344" s="2"/>
      <c r="U3344" s="2"/>
      <c r="V3344" s="2"/>
      <c r="W3344" s="2"/>
      <c r="X3344" s="2"/>
      <c r="Y3344" s="1"/>
      <c r="Z3344" s="1"/>
      <c r="AA3344" s="2"/>
      <c r="AB3344" s="2"/>
      <c r="AC3344" s="2"/>
      <c r="AD3344" s="2"/>
      <c r="AE3344" s="2"/>
      <c r="AF3344" s="2"/>
      <c r="AG3344" s="2"/>
      <c r="AH3344" s="2"/>
      <c r="AI3344" s="2"/>
      <c r="AJ3344" s="2"/>
      <c r="AK3344" s="2"/>
      <c r="AL3344" s="2"/>
      <c r="AM3344" s="2"/>
      <c r="AN3344" s="2"/>
      <c r="AO3344" s="2"/>
      <c r="AP3344" s="2"/>
      <c r="AQ3344" s="2"/>
      <c r="AR3344" s="2"/>
      <c r="AS3344" s="2"/>
      <c r="AT3344" s="2"/>
      <c r="AU3344" s="2"/>
      <c r="AV3344" s="2"/>
      <c r="AW3344" s="2"/>
      <c r="AX3344" s="2"/>
    </row>
    <row r="3345" spans="1:50" ht="12.75" x14ac:dyDescent="0.2">
      <c r="A3345" s="2"/>
      <c r="B3345" s="2"/>
      <c r="C3345" s="2"/>
      <c r="D3345" s="2"/>
      <c r="E3345" s="2"/>
      <c r="F3345" s="2"/>
      <c r="G3345" s="2"/>
      <c r="H3345" s="2"/>
      <c r="I3345" s="2"/>
      <c r="J3345" s="2"/>
      <c r="K3345" s="2"/>
      <c r="L3345" s="2"/>
      <c r="M3345" s="2"/>
      <c r="N3345" s="2"/>
      <c r="O3345" s="2"/>
      <c r="P3345" s="2"/>
      <c r="Q3345" s="2"/>
      <c r="R3345" s="2"/>
      <c r="S3345" s="2"/>
      <c r="T3345" s="2"/>
      <c r="U3345" s="2"/>
      <c r="V3345" s="2"/>
      <c r="W3345" s="2"/>
      <c r="X3345" s="2"/>
      <c r="Y3345" s="1"/>
      <c r="Z3345" s="1"/>
      <c r="AA3345" s="2"/>
      <c r="AB3345" s="2"/>
      <c r="AC3345" s="2"/>
      <c r="AD3345" s="2"/>
      <c r="AE3345" s="2"/>
      <c r="AF3345" s="2"/>
      <c r="AG3345" s="2"/>
      <c r="AH3345" s="2"/>
      <c r="AI3345" s="2"/>
      <c r="AJ3345" s="2"/>
      <c r="AK3345" s="2"/>
      <c r="AL3345" s="2"/>
      <c r="AM3345" s="2"/>
      <c r="AN3345" s="2"/>
      <c r="AO3345" s="2"/>
      <c r="AP3345" s="2"/>
      <c r="AQ3345" s="2"/>
      <c r="AR3345" s="2"/>
      <c r="AS3345" s="2"/>
      <c r="AT3345" s="2"/>
      <c r="AU3345" s="2"/>
      <c r="AV3345" s="2"/>
      <c r="AW3345" s="2"/>
      <c r="AX3345" s="2"/>
    </row>
    <row r="3346" spans="1:50" ht="12.75" x14ac:dyDescent="0.2">
      <c r="A3346" s="2"/>
      <c r="B3346" s="2"/>
      <c r="C3346" s="2"/>
      <c r="D3346" s="2"/>
      <c r="E3346" s="2"/>
      <c r="F3346" s="2"/>
      <c r="G3346" s="2"/>
      <c r="H3346" s="2"/>
      <c r="I3346" s="2"/>
      <c r="J3346" s="2"/>
      <c r="K3346" s="2"/>
      <c r="L3346" s="2"/>
      <c r="M3346" s="2"/>
      <c r="N3346" s="2"/>
      <c r="O3346" s="2"/>
      <c r="P3346" s="2"/>
      <c r="Q3346" s="2"/>
      <c r="R3346" s="2"/>
      <c r="S3346" s="2"/>
      <c r="T3346" s="2"/>
      <c r="U3346" s="2"/>
      <c r="V3346" s="2"/>
      <c r="W3346" s="2"/>
      <c r="X3346" s="2"/>
      <c r="Y3346" s="1"/>
      <c r="Z3346" s="1"/>
      <c r="AA3346" s="2"/>
      <c r="AB3346" s="2"/>
      <c r="AC3346" s="2"/>
      <c r="AD3346" s="2"/>
      <c r="AE3346" s="2"/>
      <c r="AF3346" s="2"/>
      <c r="AG3346" s="2"/>
      <c r="AH3346" s="2"/>
      <c r="AI3346" s="2"/>
      <c r="AJ3346" s="2"/>
      <c r="AK3346" s="2"/>
      <c r="AL3346" s="2"/>
      <c r="AM3346" s="2"/>
      <c r="AN3346" s="2"/>
      <c r="AO3346" s="2"/>
      <c r="AP3346" s="2"/>
      <c r="AQ3346" s="2"/>
      <c r="AR3346" s="2"/>
      <c r="AS3346" s="2"/>
      <c r="AT3346" s="2"/>
      <c r="AU3346" s="2"/>
      <c r="AV3346" s="2"/>
      <c r="AW3346" s="2"/>
      <c r="AX3346" s="2"/>
    </row>
    <row r="3347" spans="1:50" ht="12.75" x14ac:dyDescent="0.2">
      <c r="A3347" s="2"/>
      <c r="B3347" s="2"/>
      <c r="C3347" s="2"/>
      <c r="D3347" s="2"/>
      <c r="E3347" s="2"/>
      <c r="F3347" s="2"/>
      <c r="G3347" s="2"/>
      <c r="H3347" s="2"/>
      <c r="I3347" s="2"/>
      <c r="J3347" s="2"/>
      <c r="K3347" s="2"/>
      <c r="L3347" s="2"/>
      <c r="M3347" s="2"/>
      <c r="N3347" s="2"/>
      <c r="O3347" s="2"/>
      <c r="P3347" s="2"/>
      <c r="Q3347" s="2"/>
      <c r="R3347" s="2"/>
      <c r="S3347" s="2"/>
      <c r="T3347" s="2"/>
      <c r="U3347" s="2"/>
      <c r="V3347" s="2"/>
      <c r="W3347" s="2"/>
      <c r="X3347" s="2"/>
      <c r="Y3347" s="1"/>
      <c r="Z3347" s="1"/>
      <c r="AA3347" s="2"/>
      <c r="AB3347" s="2"/>
      <c r="AC3347" s="2"/>
      <c r="AD3347" s="2"/>
      <c r="AE3347" s="2"/>
      <c r="AF3347" s="2"/>
      <c r="AG3347" s="2"/>
      <c r="AH3347" s="2"/>
      <c r="AI3347" s="2"/>
      <c r="AJ3347" s="2"/>
      <c r="AK3347" s="2"/>
      <c r="AL3347" s="2"/>
      <c r="AM3347" s="2"/>
      <c r="AN3347" s="2"/>
      <c r="AO3347" s="2"/>
      <c r="AP3347" s="2"/>
      <c r="AQ3347" s="2"/>
      <c r="AR3347" s="2"/>
      <c r="AS3347" s="2"/>
      <c r="AT3347" s="2"/>
      <c r="AU3347" s="2"/>
      <c r="AV3347" s="2"/>
      <c r="AW3347" s="2"/>
      <c r="AX3347" s="2"/>
    </row>
    <row r="3348" spans="1:50" ht="12.75" x14ac:dyDescent="0.2">
      <c r="A3348" s="2"/>
      <c r="B3348" s="2"/>
      <c r="C3348" s="2"/>
      <c r="D3348" s="2"/>
      <c r="E3348" s="2"/>
      <c r="F3348" s="2"/>
      <c r="G3348" s="2"/>
      <c r="H3348" s="2"/>
      <c r="I3348" s="2"/>
      <c r="J3348" s="2"/>
      <c r="K3348" s="2"/>
      <c r="L3348" s="2"/>
      <c r="M3348" s="2"/>
      <c r="N3348" s="2"/>
      <c r="O3348" s="2"/>
      <c r="P3348" s="2"/>
      <c r="Q3348" s="2"/>
      <c r="R3348" s="2"/>
      <c r="S3348" s="2"/>
      <c r="T3348" s="2"/>
      <c r="U3348" s="2"/>
      <c r="V3348" s="2"/>
      <c r="W3348" s="2"/>
      <c r="X3348" s="2"/>
      <c r="Y3348" s="1"/>
      <c r="Z3348" s="1"/>
      <c r="AA3348" s="2"/>
      <c r="AB3348" s="2"/>
      <c r="AC3348" s="2"/>
      <c r="AD3348" s="2"/>
      <c r="AE3348" s="2"/>
      <c r="AF3348" s="2"/>
      <c r="AG3348" s="2"/>
      <c r="AH3348" s="2"/>
      <c r="AI3348" s="2"/>
      <c r="AJ3348" s="2"/>
      <c r="AK3348" s="2"/>
      <c r="AL3348" s="2"/>
      <c r="AM3348" s="2"/>
      <c r="AN3348" s="2"/>
      <c r="AO3348" s="2"/>
      <c r="AP3348" s="2"/>
      <c r="AQ3348" s="2"/>
      <c r="AR3348" s="2"/>
      <c r="AS3348" s="2"/>
      <c r="AT3348" s="2"/>
      <c r="AU3348" s="2"/>
      <c r="AV3348" s="2"/>
      <c r="AW3348" s="2"/>
      <c r="AX3348" s="2"/>
    </row>
    <row r="3349" spans="1:50" ht="12.75" x14ac:dyDescent="0.2">
      <c r="A3349" s="2"/>
      <c r="B3349" s="2"/>
      <c r="C3349" s="2"/>
      <c r="D3349" s="2"/>
      <c r="E3349" s="2"/>
      <c r="F3349" s="2"/>
      <c r="G3349" s="2"/>
      <c r="H3349" s="2"/>
      <c r="I3349" s="2"/>
      <c r="J3349" s="2"/>
      <c r="K3349" s="2"/>
      <c r="L3349" s="2"/>
      <c r="M3349" s="2"/>
      <c r="N3349" s="2"/>
      <c r="O3349" s="2"/>
      <c r="P3349" s="2"/>
      <c r="Q3349" s="2"/>
      <c r="R3349" s="2"/>
      <c r="S3349" s="2"/>
      <c r="T3349" s="2"/>
      <c r="U3349" s="2"/>
      <c r="V3349" s="2"/>
      <c r="W3349" s="2"/>
      <c r="X3349" s="2"/>
      <c r="Y3349" s="1"/>
      <c r="Z3349" s="1"/>
      <c r="AA3349" s="2"/>
      <c r="AB3349" s="2"/>
      <c r="AC3349" s="2"/>
      <c r="AD3349" s="2"/>
      <c r="AE3349" s="2"/>
      <c r="AF3349" s="2"/>
      <c r="AG3349" s="2"/>
      <c r="AH3349" s="2"/>
      <c r="AI3349" s="2"/>
      <c r="AJ3349" s="2"/>
      <c r="AK3349" s="2"/>
      <c r="AL3349" s="2"/>
      <c r="AM3349" s="2"/>
      <c r="AN3349" s="2"/>
      <c r="AO3349" s="2"/>
      <c r="AP3349" s="2"/>
      <c r="AQ3349" s="2"/>
      <c r="AR3349" s="2"/>
      <c r="AS3349" s="2"/>
      <c r="AT3349" s="2"/>
      <c r="AU3349" s="2"/>
      <c r="AV3349" s="2"/>
      <c r="AW3349" s="2"/>
      <c r="AX3349" s="2"/>
    </row>
    <row r="3350" spans="1:50" ht="12.75" x14ac:dyDescent="0.2">
      <c r="A3350" s="2"/>
      <c r="B3350" s="2"/>
      <c r="C3350" s="2"/>
      <c r="D3350" s="2"/>
      <c r="E3350" s="2"/>
      <c r="F3350" s="2"/>
      <c r="G3350" s="2"/>
      <c r="H3350" s="2"/>
      <c r="I3350" s="2"/>
      <c r="J3350" s="2"/>
      <c r="K3350" s="2"/>
      <c r="L3350" s="2"/>
      <c r="M3350" s="2"/>
      <c r="N3350" s="2"/>
      <c r="O3350" s="2"/>
      <c r="P3350" s="2"/>
      <c r="Q3350" s="2"/>
      <c r="R3350" s="2"/>
      <c r="S3350" s="2"/>
      <c r="T3350" s="2"/>
      <c r="U3350" s="2"/>
      <c r="V3350" s="2"/>
      <c r="W3350" s="2"/>
      <c r="X3350" s="2"/>
      <c r="Y3350" s="1"/>
      <c r="Z3350" s="1"/>
      <c r="AA3350" s="2"/>
      <c r="AB3350" s="2"/>
      <c r="AC3350" s="2"/>
      <c r="AD3350" s="2"/>
      <c r="AE3350" s="2"/>
      <c r="AF3350" s="2"/>
      <c r="AG3350" s="2"/>
      <c r="AH3350" s="2"/>
      <c r="AI3350" s="2"/>
      <c r="AJ3350" s="2"/>
      <c r="AK3350" s="2"/>
      <c r="AL3350" s="2"/>
      <c r="AM3350" s="2"/>
      <c r="AN3350" s="2"/>
      <c r="AO3350" s="2"/>
      <c r="AP3350" s="2"/>
      <c r="AQ3350" s="2"/>
      <c r="AR3350" s="2"/>
      <c r="AS3350" s="2"/>
      <c r="AT3350" s="2"/>
      <c r="AU3350" s="2"/>
      <c r="AV3350" s="2"/>
      <c r="AW3350" s="2"/>
      <c r="AX3350" s="2"/>
    </row>
    <row r="3351" spans="1:50" ht="12.75" x14ac:dyDescent="0.2">
      <c r="A3351" s="2"/>
      <c r="B3351" s="2"/>
      <c r="C3351" s="2"/>
      <c r="D3351" s="2"/>
      <c r="E3351" s="2"/>
      <c r="F3351" s="2"/>
      <c r="G3351" s="2"/>
      <c r="H3351" s="2"/>
      <c r="I3351" s="2"/>
      <c r="J3351" s="2"/>
      <c r="K3351" s="2"/>
      <c r="L3351" s="2"/>
      <c r="M3351" s="2"/>
      <c r="N3351" s="2"/>
      <c r="O3351" s="2"/>
      <c r="P3351" s="2"/>
      <c r="Q3351" s="2"/>
      <c r="R3351" s="2"/>
      <c r="S3351" s="2"/>
      <c r="T3351" s="2"/>
      <c r="U3351" s="2"/>
      <c r="V3351" s="2"/>
      <c r="W3351" s="2"/>
      <c r="X3351" s="2"/>
      <c r="Y3351" s="1"/>
      <c r="Z3351" s="1"/>
      <c r="AA3351" s="2"/>
      <c r="AB3351" s="2"/>
      <c r="AC3351" s="2"/>
      <c r="AD3351" s="2"/>
      <c r="AE3351" s="2"/>
      <c r="AF3351" s="2"/>
      <c r="AG3351" s="2"/>
      <c r="AH3351" s="2"/>
      <c r="AI3351" s="2"/>
      <c r="AJ3351" s="2"/>
      <c r="AK3351" s="2"/>
      <c r="AL3351" s="2"/>
      <c r="AM3351" s="2"/>
      <c r="AN3351" s="2"/>
      <c r="AO3351" s="2"/>
      <c r="AP3351" s="2"/>
      <c r="AQ3351" s="2"/>
      <c r="AR3351" s="2"/>
      <c r="AS3351" s="2"/>
      <c r="AT3351" s="2"/>
      <c r="AU3351" s="2"/>
      <c r="AV3351" s="2"/>
      <c r="AW3351" s="2"/>
      <c r="AX3351" s="2"/>
    </row>
    <row r="3352" spans="1:50" ht="12.75" x14ac:dyDescent="0.2">
      <c r="A3352" s="2"/>
      <c r="B3352" s="2"/>
      <c r="C3352" s="2"/>
      <c r="D3352" s="2"/>
      <c r="E3352" s="2"/>
      <c r="F3352" s="2"/>
      <c r="G3352" s="2"/>
      <c r="H3352" s="2"/>
      <c r="I3352" s="2"/>
      <c r="J3352" s="2"/>
      <c r="K3352" s="2"/>
      <c r="L3352" s="2"/>
      <c r="M3352" s="2"/>
      <c r="N3352" s="2"/>
      <c r="O3352" s="2"/>
      <c r="P3352" s="2"/>
      <c r="Q3352" s="2"/>
      <c r="R3352" s="2"/>
      <c r="S3352" s="2"/>
      <c r="T3352" s="2"/>
      <c r="U3352" s="2"/>
      <c r="V3352" s="2"/>
      <c r="W3352" s="2"/>
      <c r="X3352" s="2"/>
      <c r="Y3352" s="1"/>
      <c r="Z3352" s="1"/>
      <c r="AA3352" s="2"/>
      <c r="AB3352" s="2"/>
      <c r="AC3352" s="2"/>
      <c r="AD3352" s="2"/>
      <c r="AE3352" s="2"/>
      <c r="AF3352" s="2"/>
      <c r="AG3352" s="2"/>
      <c r="AH3352" s="2"/>
      <c r="AI3352" s="2"/>
      <c r="AJ3352" s="2"/>
      <c r="AK3352" s="2"/>
      <c r="AL3352" s="2"/>
      <c r="AM3352" s="2"/>
      <c r="AN3352" s="2"/>
      <c r="AO3352" s="2"/>
      <c r="AP3352" s="2"/>
      <c r="AQ3352" s="2"/>
      <c r="AR3352" s="2"/>
      <c r="AS3352" s="2"/>
      <c r="AT3352" s="2"/>
      <c r="AU3352" s="2"/>
      <c r="AV3352" s="2"/>
      <c r="AW3352" s="2"/>
      <c r="AX3352" s="2"/>
    </row>
    <row r="3353" spans="1:50" ht="12.75" x14ac:dyDescent="0.2">
      <c r="A3353" s="2"/>
      <c r="B3353" s="2"/>
      <c r="C3353" s="2"/>
      <c r="D3353" s="2"/>
      <c r="E3353" s="2"/>
      <c r="F3353" s="2"/>
      <c r="G3353" s="2"/>
      <c r="H3353" s="2"/>
      <c r="I3353" s="2"/>
      <c r="J3353" s="2"/>
      <c r="K3353" s="2"/>
      <c r="L3353" s="2"/>
      <c r="M3353" s="2"/>
      <c r="N3353" s="2"/>
      <c r="O3353" s="2"/>
      <c r="P3353" s="2"/>
      <c r="Q3353" s="2"/>
      <c r="R3353" s="2"/>
      <c r="S3353" s="2"/>
      <c r="T3353" s="2"/>
      <c r="U3353" s="2"/>
      <c r="V3353" s="2"/>
      <c r="W3353" s="2"/>
      <c r="X3353" s="2"/>
      <c r="Y3353" s="1"/>
      <c r="Z3353" s="1"/>
      <c r="AA3353" s="2"/>
      <c r="AB3353" s="2"/>
      <c r="AC3353" s="2"/>
      <c r="AD3353" s="2"/>
      <c r="AE3353" s="2"/>
      <c r="AF3353" s="2"/>
      <c r="AG3353" s="2"/>
      <c r="AH3353" s="2"/>
      <c r="AI3353" s="2"/>
      <c r="AJ3353" s="2"/>
      <c r="AK3353" s="2"/>
      <c r="AL3353" s="2"/>
      <c r="AM3353" s="2"/>
      <c r="AN3353" s="2"/>
      <c r="AO3353" s="2"/>
      <c r="AP3353" s="2"/>
      <c r="AQ3353" s="2"/>
      <c r="AR3353" s="2"/>
      <c r="AS3353" s="2"/>
      <c r="AT3353" s="2"/>
      <c r="AU3353" s="2"/>
      <c r="AV3353" s="2"/>
      <c r="AW3353" s="2"/>
      <c r="AX3353" s="2"/>
    </row>
    <row r="3354" spans="1:50" ht="12.75" x14ac:dyDescent="0.2">
      <c r="A3354" s="2"/>
      <c r="B3354" s="2"/>
      <c r="C3354" s="2"/>
      <c r="D3354" s="2"/>
      <c r="E3354" s="2"/>
      <c r="F3354" s="2"/>
      <c r="G3354" s="2"/>
      <c r="H3354" s="2"/>
      <c r="I3354" s="2"/>
      <c r="J3354" s="2"/>
      <c r="K3354" s="2"/>
      <c r="L3354" s="2"/>
      <c r="M3354" s="2"/>
      <c r="N3354" s="2"/>
      <c r="O3354" s="2"/>
      <c r="P3354" s="2"/>
      <c r="Q3354" s="2"/>
      <c r="R3354" s="2"/>
      <c r="S3354" s="2"/>
      <c r="T3354" s="2"/>
      <c r="U3354" s="2"/>
      <c r="V3354" s="2"/>
      <c r="W3354" s="2"/>
      <c r="X3354" s="2"/>
      <c r="Y3354" s="1"/>
      <c r="Z3354" s="1"/>
      <c r="AA3354" s="2"/>
      <c r="AB3354" s="2"/>
      <c r="AC3354" s="2"/>
      <c r="AD3354" s="2"/>
      <c r="AE3354" s="2"/>
      <c r="AF3354" s="2"/>
      <c r="AG3354" s="2"/>
      <c r="AH3354" s="2"/>
      <c r="AI3354" s="2"/>
      <c r="AJ3354" s="2"/>
      <c r="AK3354" s="2"/>
      <c r="AL3354" s="2"/>
      <c r="AM3354" s="2"/>
      <c r="AN3354" s="2"/>
      <c r="AO3354" s="2"/>
      <c r="AP3354" s="2"/>
      <c r="AQ3354" s="2"/>
      <c r="AR3354" s="2"/>
      <c r="AS3354" s="2"/>
      <c r="AT3354" s="2"/>
      <c r="AU3354" s="2"/>
      <c r="AV3354" s="2"/>
      <c r="AW3354" s="2"/>
      <c r="AX3354" s="2"/>
    </row>
    <row r="3355" spans="1:50" ht="12.75" x14ac:dyDescent="0.2">
      <c r="A3355" s="2"/>
      <c r="B3355" s="2"/>
      <c r="C3355" s="2"/>
      <c r="D3355" s="2"/>
      <c r="E3355" s="2"/>
      <c r="F3355" s="2"/>
      <c r="G3355" s="2"/>
      <c r="H3355" s="2"/>
      <c r="I3355" s="2"/>
      <c r="J3355" s="2"/>
      <c r="K3355" s="2"/>
      <c r="L3355" s="2"/>
      <c r="M3355" s="2"/>
      <c r="N3355" s="2"/>
      <c r="O3355" s="2"/>
      <c r="P3355" s="2"/>
      <c r="Q3355" s="2"/>
      <c r="R3355" s="2"/>
      <c r="S3355" s="2"/>
      <c r="T3355" s="2"/>
      <c r="U3355" s="2"/>
      <c r="V3355" s="2"/>
      <c r="W3355" s="2"/>
      <c r="X3355" s="2"/>
      <c r="Y3355" s="1"/>
      <c r="Z3355" s="1"/>
      <c r="AA3355" s="2"/>
      <c r="AB3355" s="2"/>
      <c r="AC3355" s="2"/>
      <c r="AD3355" s="2"/>
      <c r="AE3355" s="2"/>
      <c r="AF3355" s="2"/>
      <c r="AG3355" s="2"/>
      <c r="AH3355" s="2"/>
      <c r="AI3355" s="2"/>
      <c r="AJ3355" s="2"/>
      <c r="AK3355" s="2"/>
      <c r="AL3355" s="2"/>
      <c r="AM3355" s="2"/>
      <c r="AN3355" s="2"/>
      <c r="AO3355" s="2"/>
      <c r="AP3355" s="2"/>
      <c r="AQ3355" s="2"/>
      <c r="AR3355" s="2"/>
      <c r="AS3355" s="2"/>
      <c r="AT3355" s="2"/>
      <c r="AU3355" s="2"/>
      <c r="AV3355" s="2"/>
      <c r="AW3355" s="2"/>
      <c r="AX3355" s="2"/>
    </row>
    <row r="3356" spans="1:50" ht="12.75" x14ac:dyDescent="0.2">
      <c r="A3356" s="2"/>
      <c r="B3356" s="2"/>
      <c r="C3356" s="2"/>
      <c r="D3356" s="2"/>
      <c r="E3356" s="2"/>
      <c r="F3356" s="2"/>
      <c r="G3356" s="2"/>
      <c r="H3356" s="2"/>
      <c r="I3356" s="2"/>
      <c r="J3356" s="2"/>
      <c r="K3356" s="2"/>
      <c r="L3356" s="2"/>
      <c r="M3356" s="2"/>
      <c r="N3356" s="2"/>
      <c r="O3356" s="2"/>
      <c r="P3356" s="2"/>
      <c r="Q3356" s="2"/>
      <c r="R3356" s="2"/>
      <c r="S3356" s="2"/>
      <c r="T3356" s="2"/>
      <c r="U3356" s="2"/>
      <c r="V3356" s="2"/>
      <c r="W3356" s="2"/>
      <c r="X3356" s="2"/>
      <c r="Y3356" s="1"/>
      <c r="Z3356" s="1"/>
      <c r="AA3356" s="2"/>
      <c r="AB3356" s="2"/>
      <c r="AC3356" s="2"/>
      <c r="AD3356" s="2"/>
      <c r="AE3356" s="2"/>
      <c r="AF3356" s="2"/>
      <c r="AG3356" s="2"/>
      <c r="AH3356" s="2"/>
      <c r="AI3356" s="2"/>
      <c r="AJ3356" s="2"/>
      <c r="AK3356" s="2"/>
      <c r="AL3356" s="2"/>
      <c r="AM3356" s="2"/>
      <c r="AN3356" s="2"/>
      <c r="AO3356" s="2"/>
      <c r="AP3356" s="2"/>
      <c r="AQ3356" s="2"/>
      <c r="AR3356" s="2"/>
      <c r="AS3356" s="2"/>
      <c r="AT3356" s="2"/>
      <c r="AU3356" s="2"/>
      <c r="AV3356" s="2"/>
      <c r="AW3356" s="2"/>
      <c r="AX3356" s="2"/>
    </row>
    <row r="3357" spans="1:50" ht="12.75" x14ac:dyDescent="0.2">
      <c r="A3357" s="2"/>
      <c r="B3357" s="2"/>
      <c r="C3357" s="2"/>
      <c r="D3357" s="2"/>
      <c r="E3357" s="2"/>
      <c r="F3357" s="2"/>
      <c r="G3357" s="2"/>
      <c r="H3357" s="2"/>
      <c r="I3357" s="2"/>
      <c r="J3357" s="2"/>
      <c r="K3357" s="2"/>
      <c r="L3357" s="2"/>
      <c r="M3357" s="2"/>
      <c r="N3357" s="2"/>
      <c r="O3357" s="2"/>
      <c r="P3357" s="2"/>
      <c r="Q3357" s="2"/>
      <c r="R3357" s="2"/>
      <c r="S3357" s="2"/>
      <c r="T3357" s="2"/>
      <c r="U3357" s="2"/>
      <c r="V3357" s="2"/>
      <c r="W3357" s="2"/>
      <c r="X3357" s="2"/>
      <c r="Y3357" s="1"/>
      <c r="Z3357" s="1"/>
      <c r="AA3357" s="2"/>
      <c r="AB3357" s="2"/>
      <c r="AC3357" s="2"/>
      <c r="AD3357" s="2"/>
      <c r="AE3357" s="2"/>
      <c r="AF3357" s="2"/>
      <c r="AG3357" s="2"/>
      <c r="AH3357" s="2"/>
      <c r="AI3357" s="2"/>
      <c r="AJ3357" s="2"/>
      <c r="AK3357" s="2"/>
      <c r="AL3357" s="2"/>
      <c r="AM3357" s="2"/>
      <c r="AN3357" s="2"/>
      <c r="AO3357" s="2"/>
      <c r="AP3357" s="2"/>
      <c r="AQ3357" s="2"/>
      <c r="AR3357" s="2"/>
      <c r="AS3357" s="2"/>
      <c r="AT3357" s="2"/>
      <c r="AU3357" s="2"/>
      <c r="AV3357" s="2"/>
      <c r="AW3357" s="2"/>
      <c r="AX3357" s="2"/>
    </row>
    <row r="3358" spans="1:50" ht="12.75" x14ac:dyDescent="0.2">
      <c r="A3358" s="2"/>
      <c r="B3358" s="2"/>
      <c r="C3358" s="2"/>
      <c r="D3358" s="2"/>
      <c r="E3358" s="2"/>
      <c r="F3358" s="2"/>
      <c r="G3358" s="2"/>
      <c r="H3358" s="2"/>
      <c r="I3358" s="2"/>
      <c r="J3358" s="2"/>
      <c r="K3358" s="2"/>
      <c r="L3358" s="2"/>
      <c r="M3358" s="2"/>
      <c r="N3358" s="2"/>
      <c r="O3358" s="2"/>
      <c r="P3358" s="2"/>
      <c r="Q3358" s="2"/>
      <c r="R3358" s="2"/>
      <c r="S3358" s="2"/>
      <c r="T3358" s="2"/>
      <c r="U3358" s="2"/>
      <c r="V3358" s="2"/>
      <c r="W3358" s="2"/>
      <c r="X3358" s="2"/>
      <c r="Y3358" s="1"/>
      <c r="Z3358" s="1"/>
      <c r="AA3358" s="2"/>
      <c r="AB3358" s="2"/>
      <c r="AC3358" s="2"/>
      <c r="AD3358" s="2"/>
      <c r="AE3358" s="2"/>
      <c r="AF3358" s="2"/>
      <c r="AG3358" s="2"/>
      <c r="AH3358" s="2"/>
      <c r="AI3358" s="2"/>
      <c r="AJ3358" s="2"/>
      <c r="AK3358" s="2"/>
      <c r="AL3358" s="2"/>
      <c r="AM3358" s="2"/>
      <c r="AN3358" s="2"/>
      <c r="AO3358" s="2"/>
      <c r="AP3358" s="2"/>
      <c r="AQ3358" s="2"/>
      <c r="AR3358" s="2"/>
      <c r="AS3358" s="2"/>
      <c r="AT3358" s="2"/>
      <c r="AU3358" s="2"/>
      <c r="AV3358" s="2"/>
      <c r="AW3358" s="2"/>
      <c r="AX3358" s="2"/>
    </row>
    <row r="3359" spans="1:50" ht="12.75" x14ac:dyDescent="0.2">
      <c r="A3359" s="2"/>
      <c r="B3359" s="2"/>
      <c r="C3359" s="2"/>
      <c r="D3359" s="2"/>
      <c r="E3359" s="2"/>
      <c r="F3359" s="2"/>
      <c r="G3359" s="2"/>
      <c r="H3359" s="2"/>
      <c r="I3359" s="2"/>
      <c r="J3359" s="2"/>
      <c r="K3359" s="2"/>
      <c r="L3359" s="2"/>
      <c r="M3359" s="2"/>
      <c r="N3359" s="2"/>
      <c r="O3359" s="2"/>
      <c r="P3359" s="2"/>
      <c r="Q3359" s="2"/>
      <c r="R3359" s="2"/>
      <c r="S3359" s="2"/>
      <c r="T3359" s="2"/>
      <c r="U3359" s="2"/>
      <c r="V3359" s="2"/>
      <c r="W3359" s="2"/>
      <c r="X3359" s="2"/>
      <c r="Y3359" s="1"/>
      <c r="Z3359" s="1"/>
      <c r="AA3359" s="2"/>
      <c r="AB3359" s="2"/>
      <c r="AC3359" s="2"/>
      <c r="AD3359" s="2"/>
      <c r="AE3359" s="2"/>
      <c r="AF3359" s="2"/>
      <c r="AG3359" s="2"/>
      <c r="AH3359" s="2"/>
      <c r="AI3359" s="2"/>
      <c r="AJ3359" s="2"/>
      <c r="AK3359" s="2"/>
      <c r="AL3359" s="2"/>
      <c r="AM3359" s="2"/>
      <c r="AN3359" s="2"/>
      <c r="AO3359" s="2"/>
      <c r="AP3359" s="2"/>
      <c r="AQ3359" s="2"/>
      <c r="AR3359" s="2"/>
      <c r="AS3359" s="2"/>
      <c r="AT3359" s="2"/>
      <c r="AU3359" s="2"/>
      <c r="AV3359" s="2"/>
      <c r="AW3359" s="2"/>
      <c r="AX3359" s="2"/>
    </row>
    <row r="3360" spans="1:50" ht="12.75" x14ac:dyDescent="0.2">
      <c r="A3360" s="2"/>
      <c r="B3360" s="2"/>
      <c r="C3360" s="2"/>
      <c r="D3360" s="2"/>
      <c r="E3360" s="2"/>
      <c r="F3360" s="2"/>
      <c r="G3360" s="2"/>
      <c r="H3360" s="2"/>
      <c r="I3360" s="2"/>
      <c r="J3360" s="2"/>
      <c r="K3360" s="2"/>
      <c r="L3360" s="2"/>
      <c r="M3360" s="2"/>
      <c r="N3360" s="2"/>
      <c r="O3360" s="2"/>
      <c r="P3360" s="2"/>
      <c r="Q3360" s="2"/>
      <c r="R3360" s="2"/>
      <c r="S3360" s="2"/>
      <c r="T3360" s="2"/>
      <c r="U3360" s="2"/>
      <c r="V3360" s="2"/>
      <c r="W3360" s="2"/>
      <c r="X3360" s="2"/>
      <c r="Y3360" s="1"/>
      <c r="Z3360" s="1"/>
      <c r="AA3360" s="2"/>
      <c r="AB3360" s="2"/>
      <c r="AC3360" s="2"/>
      <c r="AD3360" s="2"/>
      <c r="AE3360" s="2"/>
      <c r="AF3360" s="2"/>
      <c r="AG3360" s="2"/>
      <c r="AH3360" s="2"/>
      <c r="AI3360" s="2"/>
      <c r="AJ3360" s="2"/>
      <c r="AK3360" s="2"/>
      <c r="AL3360" s="2"/>
      <c r="AM3360" s="2"/>
      <c r="AN3360" s="2"/>
      <c r="AO3360" s="2"/>
      <c r="AP3360" s="2"/>
      <c r="AQ3360" s="2"/>
      <c r="AR3360" s="2"/>
      <c r="AS3360" s="2"/>
      <c r="AT3360" s="2"/>
      <c r="AU3360" s="2"/>
      <c r="AV3360" s="2"/>
      <c r="AW3360" s="2"/>
      <c r="AX3360" s="2"/>
    </row>
    <row r="3361" spans="1:50" ht="12.75" x14ac:dyDescent="0.2">
      <c r="A3361" s="2"/>
      <c r="B3361" s="2"/>
      <c r="C3361" s="2"/>
      <c r="D3361" s="2"/>
      <c r="E3361" s="2"/>
      <c r="F3361" s="2"/>
      <c r="G3361" s="2"/>
      <c r="H3361" s="2"/>
      <c r="I3361" s="2"/>
      <c r="J3361" s="2"/>
      <c r="K3361" s="2"/>
      <c r="L3361" s="2"/>
      <c r="M3361" s="2"/>
      <c r="N3361" s="2"/>
      <c r="O3361" s="2"/>
      <c r="P3361" s="2"/>
      <c r="Q3361" s="2"/>
      <c r="R3361" s="2"/>
      <c r="S3361" s="2"/>
      <c r="T3361" s="2"/>
      <c r="U3361" s="2"/>
      <c r="V3361" s="2"/>
      <c r="W3361" s="2"/>
      <c r="X3361" s="2"/>
      <c r="Y3361" s="1"/>
      <c r="Z3361" s="1"/>
      <c r="AA3361" s="2"/>
      <c r="AB3361" s="2"/>
      <c r="AC3361" s="2"/>
      <c r="AD3361" s="2"/>
      <c r="AE3361" s="2"/>
      <c r="AF3361" s="2"/>
      <c r="AG3361" s="2"/>
      <c r="AH3361" s="2"/>
      <c r="AI3361" s="2"/>
      <c r="AJ3361" s="2"/>
      <c r="AK3361" s="2"/>
      <c r="AL3361" s="2"/>
      <c r="AM3361" s="2"/>
      <c r="AN3361" s="2"/>
      <c r="AO3361" s="2"/>
      <c r="AP3361" s="2"/>
      <c r="AQ3361" s="2"/>
      <c r="AR3361" s="2"/>
      <c r="AS3361" s="2"/>
      <c r="AT3361" s="2"/>
      <c r="AU3361" s="2"/>
      <c r="AV3361" s="2"/>
      <c r="AW3361" s="2"/>
      <c r="AX3361" s="2"/>
    </row>
    <row r="3362" spans="1:50" ht="12.75" x14ac:dyDescent="0.2">
      <c r="A3362" s="2"/>
      <c r="B3362" s="2"/>
      <c r="C3362" s="2"/>
      <c r="D3362" s="2"/>
      <c r="E3362" s="2"/>
      <c r="F3362" s="2"/>
      <c r="G3362" s="2"/>
      <c r="H3362" s="2"/>
      <c r="I3362" s="2"/>
      <c r="J3362" s="2"/>
      <c r="K3362" s="2"/>
      <c r="L3362" s="2"/>
      <c r="M3362" s="2"/>
      <c r="N3362" s="2"/>
      <c r="O3362" s="2"/>
      <c r="P3362" s="2"/>
      <c r="Q3362" s="2"/>
      <c r="R3362" s="2"/>
      <c r="S3362" s="2"/>
      <c r="T3362" s="2"/>
      <c r="U3362" s="2"/>
      <c r="V3362" s="2"/>
      <c r="W3362" s="2"/>
      <c r="X3362" s="2"/>
      <c r="Y3362" s="1"/>
      <c r="Z3362" s="1"/>
      <c r="AA3362" s="2"/>
      <c r="AB3362" s="2"/>
      <c r="AC3362" s="2"/>
      <c r="AD3362" s="2"/>
      <c r="AE3362" s="2"/>
      <c r="AF3362" s="2"/>
      <c r="AG3362" s="2"/>
      <c r="AH3362" s="2"/>
      <c r="AI3362" s="2"/>
      <c r="AJ3362" s="2"/>
      <c r="AK3362" s="2"/>
      <c r="AL3362" s="2"/>
      <c r="AM3362" s="2"/>
      <c r="AN3362" s="2"/>
      <c r="AO3362" s="2"/>
      <c r="AP3362" s="2"/>
      <c r="AQ3362" s="2"/>
      <c r="AR3362" s="2"/>
      <c r="AS3362" s="2"/>
      <c r="AT3362" s="2"/>
      <c r="AU3362" s="2"/>
      <c r="AV3362" s="2"/>
      <c r="AW3362" s="2"/>
      <c r="AX3362" s="2"/>
    </row>
    <row r="3363" spans="1:50" ht="12.75" x14ac:dyDescent="0.2">
      <c r="A3363" s="2"/>
      <c r="B3363" s="2"/>
      <c r="C3363" s="2"/>
      <c r="D3363" s="2"/>
      <c r="E3363" s="2"/>
      <c r="F3363" s="2"/>
      <c r="G3363" s="2"/>
      <c r="H3363" s="2"/>
      <c r="I3363" s="2"/>
      <c r="J3363" s="2"/>
      <c r="K3363" s="2"/>
      <c r="L3363" s="2"/>
      <c r="M3363" s="2"/>
      <c r="N3363" s="2"/>
      <c r="O3363" s="2"/>
      <c r="P3363" s="2"/>
      <c r="Q3363" s="2"/>
      <c r="R3363" s="2"/>
      <c r="S3363" s="2"/>
      <c r="T3363" s="2"/>
      <c r="U3363" s="2"/>
      <c r="V3363" s="2"/>
      <c r="W3363" s="2"/>
      <c r="X3363" s="2"/>
      <c r="Y3363" s="1"/>
      <c r="Z3363" s="1"/>
      <c r="AA3363" s="2"/>
      <c r="AB3363" s="2"/>
      <c r="AC3363" s="2"/>
      <c r="AD3363" s="2"/>
      <c r="AE3363" s="2"/>
      <c r="AF3363" s="2"/>
      <c r="AG3363" s="2"/>
      <c r="AH3363" s="2"/>
      <c r="AI3363" s="2"/>
      <c r="AJ3363" s="2"/>
      <c r="AK3363" s="2"/>
      <c r="AL3363" s="2"/>
      <c r="AM3363" s="2"/>
      <c r="AN3363" s="2"/>
      <c r="AO3363" s="2"/>
      <c r="AP3363" s="2"/>
      <c r="AQ3363" s="2"/>
      <c r="AR3363" s="2"/>
      <c r="AS3363" s="2"/>
      <c r="AT3363" s="2"/>
      <c r="AU3363" s="2"/>
      <c r="AV3363" s="2"/>
      <c r="AW3363" s="2"/>
      <c r="AX3363" s="2"/>
    </row>
    <row r="3364" spans="1:50" ht="12.75" x14ac:dyDescent="0.2">
      <c r="A3364" s="2"/>
      <c r="B3364" s="2"/>
      <c r="C3364" s="2"/>
      <c r="D3364" s="2"/>
      <c r="E3364" s="2"/>
      <c r="F3364" s="2"/>
      <c r="G3364" s="2"/>
      <c r="H3364" s="2"/>
      <c r="I3364" s="2"/>
      <c r="J3364" s="2"/>
      <c r="K3364" s="2"/>
      <c r="L3364" s="2"/>
      <c r="M3364" s="2"/>
      <c r="N3364" s="2"/>
      <c r="O3364" s="2"/>
      <c r="P3364" s="2"/>
      <c r="Q3364" s="2"/>
      <c r="R3364" s="2"/>
      <c r="S3364" s="2"/>
      <c r="T3364" s="2"/>
      <c r="U3364" s="2"/>
      <c r="V3364" s="2"/>
      <c r="W3364" s="2"/>
      <c r="X3364" s="2"/>
      <c r="Y3364" s="1"/>
      <c r="Z3364" s="1"/>
      <c r="AA3364" s="2"/>
      <c r="AB3364" s="2"/>
      <c r="AC3364" s="2"/>
      <c r="AD3364" s="2"/>
      <c r="AE3364" s="2"/>
      <c r="AF3364" s="2"/>
      <c r="AG3364" s="2"/>
      <c r="AH3364" s="2"/>
      <c r="AI3364" s="2"/>
      <c r="AJ3364" s="2"/>
      <c r="AK3364" s="2"/>
      <c r="AL3364" s="2"/>
      <c r="AM3364" s="2"/>
      <c r="AN3364" s="2"/>
      <c r="AO3364" s="2"/>
      <c r="AP3364" s="2"/>
      <c r="AQ3364" s="2"/>
      <c r="AR3364" s="2"/>
      <c r="AS3364" s="2"/>
      <c r="AT3364" s="2"/>
      <c r="AU3364" s="2"/>
      <c r="AV3364" s="2"/>
      <c r="AW3364" s="2"/>
      <c r="AX3364" s="2"/>
    </row>
    <row r="3365" spans="1:50" ht="12.75" x14ac:dyDescent="0.2">
      <c r="A3365" s="2"/>
      <c r="B3365" s="2"/>
      <c r="C3365" s="2"/>
      <c r="D3365" s="2"/>
      <c r="E3365" s="2"/>
      <c r="F3365" s="2"/>
      <c r="G3365" s="2"/>
      <c r="H3365" s="2"/>
      <c r="I3365" s="2"/>
      <c r="J3365" s="2"/>
      <c r="K3365" s="2"/>
      <c r="L3365" s="2"/>
      <c r="M3365" s="2"/>
      <c r="N3365" s="2"/>
      <c r="O3365" s="2"/>
      <c r="P3365" s="2"/>
      <c r="Q3365" s="2"/>
      <c r="R3365" s="2"/>
      <c r="S3365" s="2"/>
      <c r="T3365" s="2"/>
      <c r="U3365" s="2"/>
      <c r="V3365" s="2"/>
      <c r="W3365" s="2"/>
      <c r="X3365" s="2"/>
      <c r="Y3365" s="1"/>
      <c r="Z3365" s="1"/>
      <c r="AA3365" s="2"/>
      <c r="AB3365" s="2"/>
      <c r="AC3365" s="2"/>
      <c r="AD3365" s="2"/>
      <c r="AE3365" s="2"/>
      <c r="AF3365" s="2"/>
      <c r="AG3365" s="2"/>
      <c r="AH3365" s="2"/>
      <c r="AI3365" s="2"/>
      <c r="AJ3365" s="2"/>
      <c r="AK3365" s="2"/>
      <c r="AL3365" s="2"/>
      <c r="AM3365" s="2"/>
      <c r="AN3365" s="2"/>
      <c r="AO3365" s="2"/>
      <c r="AP3365" s="2"/>
      <c r="AQ3365" s="2"/>
      <c r="AR3365" s="2"/>
      <c r="AS3365" s="2"/>
      <c r="AT3365" s="2"/>
      <c r="AU3365" s="2"/>
      <c r="AV3365" s="2"/>
      <c r="AW3365" s="2"/>
      <c r="AX3365" s="2"/>
    </row>
    <row r="3366" spans="1:50" ht="12.75" x14ac:dyDescent="0.2">
      <c r="A3366" s="2"/>
      <c r="B3366" s="2"/>
      <c r="C3366" s="2"/>
      <c r="D3366" s="2"/>
      <c r="E3366" s="2"/>
      <c r="F3366" s="2"/>
      <c r="G3366" s="2"/>
      <c r="H3366" s="2"/>
      <c r="I3366" s="2"/>
      <c r="J3366" s="2"/>
      <c r="K3366" s="2"/>
      <c r="L3366" s="2"/>
      <c r="M3366" s="2"/>
      <c r="N3366" s="2"/>
      <c r="O3366" s="2"/>
      <c r="P3366" s="2"/>
      <c r="Q3366" s="2"/>
      <c r="R3366" s="2"/>
      <c r="S3366" s="2"/>
      <c r="T3366" s="2"/>
      <c r="U3366" s="2"/>
      <c r="V3366" s="2"/>
      <c r="W3366" s="2"/>
      <c r="X3366" s="2"/>
      <c r="Y3366" s="1"/>
      <c r="Z3366" s="1"/>
      <c r="AA3366" s="2"/>
      <c r="AB3366" s="2"/>
      <c r="AC3366" s="2"/>
      <c r="AD3366" s="2"/>
      <c r="AE3366" s="2"/>
      <c r="AF3366" s="2"/>
      <c r="AG3366" s="2"/>
      <c r="AH3366" s="2"/>
      <c r="AI3366" s="2"/>
      <c r="AJ3366" s="2"/>
      <c r="AK3366" s="2"/>
      <c r="AL3366" s="2"/>
      <c r="AM3366" s="2"/>
      <c r="AN3366" s="2"/>
      <c r="AO3366" s="2"/>
      <c r="AP3366" s="2"/>
      <c r="AQ3366" s="2"/>
      <c r="AR3366" s="2"/>
      <c r="AS3366" s="2"/>
      <c r="AT3366" s="2"/>
      <c r="AU3366" s="2"/>
      <c r="AV3366" s="2"/>
      <c r="AW3366" s="2"/>
      <c r="AX3366" s="2"/>
    </row>
    <row r="3367" spans="1:50" ht="12.75" x14ac:dyDescent="0.2">
      <c r="A3367" s="2"/>
      <c r="B3367" s="2"/>
      <c r="C3367" s="2"/>
      <c r="D3367" s="2"/>
      <c r="E3367" s="2"/>
      <c r="F3367" s="2"/>
      <c r="G3367" s="2"/>
      <c r="H3367" s="2"/>
      <c r="I3367" s="2"/>
      <c r="J3367" s="2"/>
      <c r="K3367" s="2"/>
      <c r="L3367" s="2"/>
      <c r="M3367" s="2"/>
      <c r="N3367" s="2"/>
      <c r="O3367" s="2"/>
      <c r="P3367" s="2"/>
      <c r="Q3367" s="2"/>
      <c r="R3367" s="2"/>
      <c r="S3367" s="2"/>
      <c r="T3367" s="2"/>
      <c r="U3367" s="2"/>
      <c r="V3367" s="2"/>
      <c r="W3367" s="2"/>
      <c r="X3367" s="2"/>
      <c r="Y3367" s="1"/>
      <c r="Z3367" s="1"/>
      <c r="AA3367" s="2"/>
      <c r="AB3367" s="2"/>
      <c r="AC3367" s="2"/>
      <c r="AD3367" s="2"/>
      <c r="AE3367" s="2"/>
      <c r="AF3367" s="2"/>
      <c r="AG3367" s="2"/>
      <c r="AH3367" s="2"/>
      <c r="AI3367" s="2"/>
      <c r="AJ3367" s="2"/>
      <c r="AK3367" s="2"/>
      <c r="AL3367" s="2"/>
      <c r="AM3367" s="2"/>
      <c r="AN3367" s="2"/>
      <c r="AO3367" s="2"/>
      <c r="AP3367" s="2"/>
      <c r="AQ3367" s="2"/>
      <c r="AR3367" s="2"/>
      <c r="AS3367" s="2"/>
      <c r="AT3367" s="2"/>
      <c r="AU3367" s="2"/>
      <c r="AV3367" s="2"/>
      <c r="AW3367" s="2"/>
      <c r="AX3367" s="2"/>
    </row>
    <row r="3368" spans="1:50" ht="12.75" x14ac:dyDescent="0.2">
      <c r="A3368" s="2"/>
      <c r="B3368" s="2"/>
      <c r="C3368" s="2"/>
      <c r="D3368" s="2"/>
      <c r="E3368" s="2"/>
      <c r="F3368" s="2"/>
      <c r="G3368" s="2"/>
      <c r="H3368" s="2"/>
      <c r="I3368" s="2"/>
      <c r="J3368" s="2"/>
      <c r="K3368" s="2"/>
      <c r="L3368" s="2"/>
      <c r="M3368" s="2"/>
      <c r="N3368" s="2"/>
      <c r="O3368" s="2"/>
      <c r="P3368" s="2"/>
      <c r="Q3368" s="2"/>
      <c r="R3368" s="2"/>
      <c r="S3368" s="2"/>
      <c r="T3368" s="2"/>
      <c r="U3368" s="2"/>
      <c r="V3368" s="2"/>
      <c r="W3368" s="2"/>
      <c r="X3368" s="2"/>
      <c r="Y3368" s="1"/>
      <c r="Z3368" s="1"/>
      <c r="AA3368" s="2"/>
      <c r="AB3368" s="2"/>
      <c r="AC3368" s="2"/>
      <c r="AD3368" s="2"/>
      <c r="AE3368" s="2"/>
      <c r="AF3368" s="2"/>
      <c r="AG3368" s="2"/>
      <c r="AH3368" s="2"/>
      <c r="AI3368" s="2"/>
      <c r="AJ3368" s="2"/>
      <c r="AK3368" s="2"/>
      <c r="AL3368" s="2"/>
      <c r="AM3368" s="2"/>
      <c r="AN3368" s="2"/>
      <c r="AO3368" s="2"/>
      <c r="AP3368" s="2"/>
      <c r="AQ3368" s="2"/>
      <c r="AR3368" s="2"/>
      <c r="AS3368" s="2"/>
      <c r="AT3368" s="2"/>
      <c r="AU3368" s="2"/>
      <c r="AV3368" s="2"/>
      <c r="AW3368" s="2"/>
      <c r="AX3368" s="2"/>
    </row>
    <row r="3369" spans="1:50" ht="12.75" x14ac:dyDescent="0.2">
      <c r="A3369" s="2"/>
      <c r="B3369" s="2"/>
      <c r="C3369" s="2"/>
      <c r="D3369" s="2"/>
      <c r="E3369" s="2"/>
      <c r="F3369" s="2"/>
      <c r="G3369" s="2"/>
      <c r="H3369" s="2"/>
      <c r="I3369" s="2"/>
      <c r="J3369" s="2"/>
      <c r="K3369" s="2"/>
      <c r="L3369" s="2"/>
      <c r="M3369" s="2"/>
      <c r="N3369" s="2"/>
      <c r="O3369" s="2"/>
      <c r="P3369" s="2"/>
      <c r="Q3369" s="2"/>
      <c r="R3369" s="2"/>
      <c r="S3369" s="2"/>
      <c r="T3369" s="2"/>
      <c r="U3369" s="2"/>
      <c r="V3369" s="2"/>
      <c r="W3369" s="2"/>
      <c r="X3369" s="2"/>
      <c r="Y3369" s="1"/>
      <c r="Z3369" s="1"/>
      <c r="AA3369" s="2"/>
      <c r="AB3369" s="2"/>
      <c r="AC3369" s="2"/>
      <c r="AD3369" s="2"/>
      <c r="AE3369" s="2"/>
      <c r="AF3369" s="2"/>
      <c r="AG3369" s="2"/>
      <c r="AH3369" s="2"/>
      <c r="AI3369" s="2"/>
      <c r="AJ3369" s="2"/>
      <c r="AK3369" s="2"/>
      <c r="AL3369" s="2"/>
      <c r="AM3369" s="2"/>
      <c r="AN3369" s="2"/>
      <c r="AO3369" s="2"/>
      <c r="AP3369" s="2"/>
      <c r="AQ3369" s="2"/>
      <c r="AR3369" s="2"/>
      <c r="AS3369" s="2"/>
      <c r="AT3369" s="2"/>
      <c r="AU3369" s="2"/>
      <c r="AV3369" s="2"/>
      <c r="AW3369" s="2"/>
      <c r="AX3369" s="2"/>
    </row>
    <row r="3370" spans="1:50" ht="12.75" x14ac:dyDescent="0.2">
      <c r="A3370" s="2"/>
      <c r="B3370" s="2"/>
      <c r="C3370" s="2"/>
      <c r="D3370" s="2"/>
      <c r="E3370" s="2"/>
      <c r="F3370" s="2"/>
      <c r="G3370" s="2"/>
      <c r="H3370" s="2"/>
      <c r="I3370" s="2"/>
      <c r="J3370" s="2"/>
      <c r="K3370" s="2"/>
      <c r="L3370" s="2"/>
      <c r="M3370" s="2"/>
      <c r="N3370" s="2"/>
      <c r="O3370" s="2"/>
      <c r="P3370" s="2"/>
      <c r="Q3370" s="2"/>
      <c r="R3370" s="2"/>
      <c r="S3370" s="2"/>
      <c r="T3370" s="2"/>
      <c r="U3370" s="2"/>
      <c r="V3370" s="2"/>
      <c r="W3370" s="2"/>
      <c r="X3370" s="2"/>
      <c r="Y3370" s="1"/>
      <c r="Z3370" s="1"/>
      <c r="AA3370" s="2"/>
      <c r="AB3370" s="2"/>
      <c r="AC3370" s="2"/>
      <c r="AD3370" s="2"/>
      <c r="AE3370" s="2"/>
      <c r="AF3370" s="2"/>
      <c r="AG3370" s="2"/>
      <c r="AH3370" s="2"/>
      <c r="AI3370" s="2"/>
      <c r="AJ3370" s="2"/>
      <c r="AK3370" s="2"/>
      <c r="AL3370" s="2"/>
      <c r="AM3370" s="2"/>
      <c r="AN3370" s="2"/>
      <c r="AO3370" s="2"/>
      <c r="AP3370" s="2"/>
      <c r="AQ3370" s="2"/>
      <c r="AR3370" s="2"/>
      <c r="AS3370" s="2"/>
      <c r="AT3370" s="2"/>
      <c r="AU3370" s="2"/>
      <c r="AV3370" s="2"/>
      <c r="AW3370" s="2"/>
      <c r="AX3370" s="2"/>
    </row>
    <row r="3371" spans="1:50" ht="12.75" x14ac:dyDescent="0.2">
      <c r="A3371" s="2"/>
      <c r="B3371" s="2"/>
      <c r="C3371" s="2"/>
      <c r="D3371" s="2"/>
      <c r="E3371" s="2"/>
      <c r="F3371" s="2"/>
      <c r="G3371" s="2"/>
      <c r="H3371" s="2"/>
      <c r="I3371" s="2"/>
      <c r="J3371" s="2"/>
      <c r="K3371" s="2"/>
      <c r="L3371" s="2"/>
      <c r="M3371" s="2"/>
      <c r="N3371" s="2"/>
      <c r="O3371" s="2"/>
      <c r="P3371" s="2"/>
      <c r="Q3371" s="2"/>
      <c r="R3371" s="2"/>
      <c r="S3371" s="2"/>
      <c r="T3371" s="2"/>
      <c r="U3371" s="2"/>
      <c r="V3371" s="2"/>
      <c r="W3371" s="2"/>
      <c r="X3371" s="2"/>
      <c r="Y3371" s="1"/>
      <c r="Z3371" s="1"/>
      <c r="AA3371" s="2"/>
      <c r="AB3371" s="2"/>
      <c r="AC3371" s="2"/>
      <c r="AD3371" s="2"/>
      <c r="AE3371" s="2"/>
      <c r="AF3371" s="2"/>
      <c r="AG3371" s="2"/>
      <c r="AH3371" s="2"/>
      <c r="AI3371" s="2"/>
      <c r="AJ3371" s="2"/>
      <c r="AK3371" s="2"/>
      <c r="AL3371" s="2"/>
      <c r="AM3371" s="2"/>
      <c r="AN3371" s="2"/>
      <c r="AO3371" s="2"/>
      <c r="AP3371" s="2"/>
      <c r="AQ3371" s="2"/>
      <c r="AR3371" s="2"/>
      <c r="AS3371" s="2"/>
      <c r="AT3371" s="2"/>
      <c r="AU3371" s="2"/>
      <c r="AV3371" s="2"/>
      <c r="AW3371" s="2"/>
      <c r="AX3371" s="2"/>
    </row>
    <row r="3372" spans="1:50" ht="12.75" x14ac:dyDescent="0.2">
      <c r="A3372" s="2"/>
      <c r="B3372" s="2"/>
      <c r="C3372" s="2"/>
      <c r="D3372" s="2"/>
      <c r="E3372" s="2"/>
      <c r="F3372" s="2"/>
      <c r="G3372" s="2"/>
      <c r="H3372" s="2"/>
      <c r="I3372" s="2"/>
      <c r="J3372" s="2"/>
      <c r="K3372" s="2"/>
      <c r="L3372" s="2"/>
      <c r="M3372" s="2"/>
      <c r="N3372" s="2"/>
      <c r="O3372" s="2"/>
      <c r="P3372" s="2"/>
      <c r="Q3372" s="2"/>
      <c r="R3372" s="2"/>
      <c r="S3372" s="2"/>
      <c r="T3372" s="2"/>
      <c r="U3372" s="2"/>
      <c r="V3372" s="2"/>
      <c r="W3372" s="2"/>
      <c r="X3372" s="2"/>
      <c r="Y3372" s="1"/>
      <c r="Z3372" s="1"/>
      <c r="AA3372" s="2"/>
      <c r="AB3372" s="2"/>
      <c r="AC3372" s="2"/>
      <c r="AD3372" s="2"/>
      <c r="AE3372" s="2"/>
      <c r="AF3372" s="2"/>
      <c r="AG3372" s="2"/>
      <c r="AH3372" s="2"/>
      <c r="AI3372" s="2"/>
      <c r="AJ3372" s="2"/>
      <c r="AK3372" s="2"/>
      <c r="AL3372" s="2"/>
      <c r="AM3372" s="2"/>
      <c r="AN3372" s="2"/>
      <c r="AO3372" s="2"/>
      <c r="AP3372" s="2"/>
      <c r="AQ3372" s="2"/>
      <c r="AR3372" s="2"/>
      <c r="AS3372" s="2"/>
      <c r="AT3372" s="2"/>
      <c r="AU3372" s="2"/>
      <c r="AV3372" s="2"/>
      <c r="AW3372" s="2"/>
      <c r="AX3372" s="2"/>
    </row>
    <row r="3373" spans="1:50" ht="12.75" x14ac:dyDescent="0.2">
      <c r="A3373" s="2"/>
      <c r="B3373" s="2"/>
      <c r="C3373" s="2"/>
      <c r="D3373" s="2"/>
      <c r="E3373" s="2"/>
      <c r="F3373" s="2"/>
      <c r="G3373" s="2"/>
      <c r="H3373" s="2"/>
      <c r="I3373" s="2"/>
      <c r="J3373" s="2"/>
      <c r="K3373" s="2"/>
      <c r="L3373" s="2"/>
      <c r="M3373" s="2"/>
      <c r="N3373" s="2"/>
      <c r="O3373" s="2"/>
      <c r="P3373" s="2"/>
      <c r="Q3373" s="2"/>
      <c r="R3373" s="2"/>
      <c r="S3373" s="2"/>
      <c r="T3373" s="2"/>
      <c r="U3373" s="2"/>
      <c r="V3373" s="2"/>
      <c r="W3373" s="2"/>
      <c r="X3373" s="2"/>
      <c r="Y3373" s="1"/>
      <c r="Z3373" s="1"/>
      <c r="AA3373" s="2"/>
      <c r="AB3373" s="2"/>
      <c r="AC3373" s="2"/>
      <c r="AD3373" s="2"/>
      <c r="AE3373" s="2"/>
      <c r="AF3373" s="2"/>
      <c r="AG3373" s="2"/>
      <c r="AH3373" s="2"/>
      <c r="AI3373" s="2"/>
      <c r="AJ3373" s="2"/>
      <c r="AK3373" s="2"/>
      <c r="AL3373" s="2"/>
      <c r="AM3373" s="2"/>
      <c r="AN3373" s="2"/>
      <c r="AO3373" s="2"/>
      <c r="AP3373" s="2"/>
      <c r="AQ3373" s="2"/>
      <c r="AR3373" s="2"/>
      <c r="AS3373" s="2"/>
      <c r="AT3373" s="2"/>
      <c r="AU3373" s="2"/>
      <c r="AV3373" s="2"/>
      <c r="AW3373" s="2"/>
      <c r="AX3373" s="2"/>
    </row>
    <row r="3374" spans="1:50" ht="12.75" x14ac:dyDescent="0.2">
      <c r="A3374" s="2"/>
      <c r="B3374" s="2"/>
      <c r="C3374" s="2"/>
      <c r="D3374" s="2"/>
      <c r="E3374" s="2"/>
      <c r="F3374" s="2"/>
      <c r="G3374" s="2"/>
      <c r="H3374" s="2"/>
      <c r="I3374" s="2"/>
      <c r="J3374" s="2"/>
      <c r="K3374" s="2"/>
      <c r="L3374" s="2"/>
      <c r="M3374" s="2"/>
      <c r="N3374" s="2"/>
      <c r="O3374" s="2"/>
      <c r="P3374" s="2"/>
      <c r="Q3374" s="2"/>
      <c r="R3374" s="2"/>
      <c r="S3374" s="2"/>
      <c r="T3374" s="2"/>
      <c r="U3374" s="2"/>
      <c r="V3374" s="2"/>
      <c r="W3374" s="2"/>
      <c r="X3374" s="2"/>
      <c r="Y3374" s="1"/>
      <c r="Z3374" s="1"/>
      <c r="AA3374" s="2"/>
      <c r="AB3374" s="2"/>
      <c r="AC3374" s="2"/>
      <c r="AD3374" s="2"/>
      <c r="AE3374" s="2"/>
      <c r="AF3374" s="2"/>
      <c r="AG3374" s="2"/>
      <c r="AH3374" s="2"/>
      <c r="AI3374" s="2"/>
      <c r="AJ3374" s="2"/>
      <c r="AK3374" s="2"/>
      <c r="AL3374" s="2"/>
      <c r="AM3374" s="2"/>
      <c r="AN3374" s="2"/>
      <c r="AO3374" s="2"/>
      <c r="AP3374" s="2"/>
      <c r="AQ3374" s="2"/>
      <c r="AR3374" s="2"/>
      <c r="AS3374" s="2"/>
      <c r="AT3374" s="2"/>
      <c r="AU3374" s="2"/>
      <c r="AV3374" s="2"/>
      <c r="AW3374" s="2"/>
      <c r="AX3374" s="2"/>
    </row>
    <row r="3375" spans="1:50" ht="12.75" x14ac:dyDescent="0.2">
      <c r="A3375" s="2"/>
      <c r="B3375" s="2"/>
      <c r="C3375" s="2"/>
      <c r="D3375" s="2"/>
      <c r="E3375" s="2"/>
      <c r="F3375" s="2"/>
      <c r="G3375" s="2"/>
      <c r="H3375" s="2"/>
      <c r="I3375" s="2"/>
      <c r="J3375" s="2"/>
      <c r="K3375" s="2"/>
      <c r="L3375" s="2"/>
      <c r="M3375" s="2"/>
      <c r="N3375" s="2"/>
      <c r="O3375" s="2"/>
      <c r="P3375" s="2"/>
      <c r="Q3375" s="2"/>
      <c r="R3375" s="2"/>
      <c r="S3375" s="2"/>
      <c r="T3375" s="2"/>
      <c r="U3375" s="2"/>
      <c r="V3375" s="2"/>
      <c r="W3375" s="2"/>
      <c r="X3375" s="2"/>
      <c r="Y3375" s="1"/>
      <c r="Z3375" s="1"/>
      <c r="AA3375" s="2"/>
      <c r="AB3375" s="2"/>
      <c r="AC3375" s="2"/>
      <c r="AD3375" s="2"/>
      <c r="AE3375" s="2"/>
      <c r="AF3375" s="2"/>
      <c r="AG3375" s="2"/>
      <c r="AH3375" s="2"/>
      <c r="AI3375" s="2"/>
      <c r="AJ3375" s="2"/>
      <c r="AK3375" s="2"/>
      <c r="AL3375" s="2"/>
      <c r="AM3375" s="2"/>
      <c r="AN3375" s="2"/>
      <c r="AO3375" s="2"/>
      <c r="AP3375" s="2"/>
      <c r="AQ3375" s="2"/>
      <c r="AR3375" s="2"/>
      <c r="AS3375" s="2"/>
      <c r="AT3375" s="2"/>
      <c r="AU3375" s="2"/>
      <c r="AV3375" s="2"/>
      <c r="AW3375" s="2"/>
      <c r="AX3375" s="2"/>
    </row>
    <row r="3376" spans="1:50" ht="12.75" x14ac:dyDescent="0.2">
      <c r="A3376" s="2"/>
      <c r="B3376" s="2"/>
      <c r="C3376" s="2"/>
      <c r="D3376" s="2"/>
      <c r="E3376" s="2"/>
      <c r="F3376" s="2"/>
      <c r="G3376" s="2"/>
      <c r="H3376" s="2"/>
      <c r="I3376" s="2"/>
      <c r="J3376" s="2"/>
      <c r="K3376" s="2"/>
      <c r="L3376" s="2"/>
      <c r="M3376" s="2"/>
      <c r="N3376" s="2"/>
      <c r="O3376" s="2"/>
      <c r="P3376" s="2"/>
      <c r="Q3376" s="2"/>
      <c r="R3376" s="2"/>
      <c r="S3376" s="2"/>
      <c r="T3376" s="2"/>
      <c r="U3376" s="2"/>
      <c r="V3376" s="2"/>
      <c r="W3376" s="2"/>
      <c r="X3376" s="2"/>
      <c r="Y3376" s="1"/>
      <c r="Z3376" s="1"/>
      <c r="AA3376" s="2"/>
      <c r="AB3376" s="2"/>
      <c r="AC3376" s="2"/>
      <c r="AD3376" s="2"/>
      <c r="AE3376" s="2"/>
      <c r="AF3376" s="2"/>
      <c r="AG3376" s="2"/>
      <c r="AH3376" s="2"/>
      <c r="AI3376" s="2"/>
      <c r="AJ3376" s="2"/>
      <c r="AK3376" s="2"/>
      <c r="AL3376" s="2"/>
      <c r="AM3376" s="2"/>
      <c r="AN3376" s="2"/>
      <c r="AO3376" s="2"/>
      <c r="AP3376" s="2"/>
      <c r="AQ3376" s="2"/>
      <c r="AR3376" s="2"/>
      <c r="AS3376" s="2"/>
      <c r="AT3376" s="2"/>
      <c r="AU3376" s="2"/>
      <c r="AV3376" s="2"/>
      <c r="AW3376" s="2"/>
      <c r="AX3376" s="2"/>
    </row>
    <row r="3377" spans="1:50" ht="12.75" x14ac:dyDescent="0.2">
      <c r="A3377" s="2"/>
      <c r="B3377" s="2"/>
      <c r="C3377" s="2"/>
      <c r="D3377" s="2"/>
      <c r="E3377" s="2"/>
      <c r="F3377" s="2"/>
      <c r="G3377" s="2"/>
      <c r="H3377" s="2"/>
      <c r="I3377" s="2"/>
      <c r="J3377" s="2"/>
      <c r="K3377" s="2"/>
      <c r="L3377" s="2"/>
      <c r="M3377" s="2"/>
      <c r="N3377" s="2"/>
      <c r="O3377" s="2"/>
      <c r="P3377" s="2"/>
      <c r="Q3377" s="2"/>
      <c r="R3377" s="2"/>
      <c r="S3377" s="2"/>
      <c r="T3377" s="2"/>
      <c r="U3377" s="2"/>
      <c r="V3377" s="2"/>
      <c r="W3377" s="2"/>
      <c r="X3377" s="2"/>
      <c r="Y3377" s="1"/>
      <c r="Z3377" s="1"/>
      <c r="AA3377" s="2"/>
      <c r="AB3377" s="2"/>
      <c r="AC3377" s="2"/>
      <c r="AD3377" s="2"/>
      <c r="AE3377" s="2"/>
      <c r="AF3377" s="2"/>
      <c r="AG3377" s="2"/>
      <c r="AH3377" s="2"/>
      <c r="AI3377" s="2"/>
      <c r="AJ3377" s="2"/>
      <c r="AK3377" s="2"/>
      <c r="AL3377" s="2"/>
      <c r="AM3377" s="2"/>
      <c r="AN3377" s="2"/>
      <c r="AO3377" s="2"/>
      <c r="AP3377" s="2"/>
      <c r="AQ3377" s="2"/>
      <c r="AR3377" s="2"/>
      <c r="AS3377" s="2"/>
      <c r="AT3377" s="2"/>
      <c r="AU3377" s="2"/>
      <c r="AV3377" s="2"/>
      <c r="AW3377" s="2"/>
      <c r="AX3377" s="2"/>
    </row>
    <row r="3378" spans="1:50" ht="12.75" x14ac:dyDescent="0.2">
      <c r="A3378" s="2"/>
      <c r="B3378" s="2"/>
      <c r="C3378" s="2"/>
      <c r="D3378" s="2"/>
      <c r="E3378" s="2"/>
      <c r="F3378" s="2"/>
      <c r="G3378" s="2"/>
      <c r="H3378" s="2"/>
      <c r="I3378" s="2"/>
      <c r="J3378" s="2"/>
      <c r="K3378" s="2"/>
      <c r="L3378" s="2"/>
      <c r="M3378" s="2"/>
      <c r="N3378" s="2"/>
      <c r="O3378" s="2"/>
      <c r="P3378" s="2"/>
      <c r="Q3378" s="2"/>
      <c r="R3378" s="2"/>
      <c r="S3378" s="2"/>
      <c r="T3378" s="2"/>
      <c r="U3378" s="2"/>
      <c r="V3378" s="2"/>
      <c r="W3378" s="2"/>
      <c r="X3378" s="2"/>
      <c r="Y3378" s="1"/>
      <c r="Z3378" s="1"/>
      <c r="AA3378" s="2"/>
      <c r="AB3378" s="2"/>
      <c r="AC3378" s="2"/>
      <c r="AD3378" s="2"/>
      <c r="AE3378" s="2"/>
      <c r="AF3378" s="2"/>
      <c r="AG3378" s="2"/>
      <c r="AH3378" s="2"/>
      <c r="AI3378" s="2"/>
      <c r="AJ3378" s="2"/>
      <c r="AK3378" s="2"/>
      <c r="AL3378" s="2"/>
      <c r="AM3378" s="2"/>
      <c r="AN3378" s="2"/>
      <c r="AO3378" s="2"/>
      <c r="AP3378" s="2"/>
      <c r="AQ3378" s="2"/>
      <c r="AR3378" s="2"/>
      <c r="AS3378" s="2"/>
      <c r="AT3378" s="2"/>
      <c r="AU3378" s="2"/>
      <c r="AV3378" s="2"/>
      <c r="AW3378" s="2"/>
      <c r="AX3378" s="2"/>
    </row>
    <row r="3379" spans="1:50" ht="12.75" x14ac:dyDescent="0.2">
      <c r="A3379" s="2"/>
      <c r="B3379" s="2"/>
      <c r="C3379" s="2"/>
      <c r="D3379" s="2"/>
      <c r="E3379" s="2"/>
      <c r="F3379" s="2"/>
      <c r="G3379" s="2"/>
      <c r="H3379" s="2"/>
      <c r="I3379" s="2"/>
      <c r="J3379" s="2"/>
      <c r="K3379" s="2"/>
      <c r="L3379" s="2"/>
      <c r="M3379" s="2"/>
      <c r="N3379" s="2"/>
      <c r="O3379" s="2"/>
      <c r="P3379" s="2"/>
      <c r="Q3379" s="2"/>
      <c r="R3379" s="2"/>
      <c r="S3379" s="2"/>
      <c r="T3379" s="2"/>
      <c r="U3379" s="2"/>
      <c r="V3379" s="2"/>
      <c r="W3379" s="2"/>
      <c r="X3379" s="2"/>
      <c r="Y3379" s="1"/>
      <c r="Z3379" s="1"/>
      <c r="AA3379" s="2"/>
      <c r="AB3379" s="2"/>
      <c r="AC3379" s="2"/>
      <c r="AD3379" s="2"/>
      <c r="AE3379" s="2"/>
      <c r="AF3379" s="2"/>
      <c r="AG3379" s="2"/>
      <c r="AH3379" s="2"/>
      <c r="AI3379" s="2"/>
      <c r="AJ3379" s="2"/>
      <c r="AK3379" s="2"/>
      <c r="AL3379" s="2"/>
      <c r="AM3379" s="2"/>
      <c r="AN3379" s="2"/>
      <c r="AO3379" s="2"/>
      <c r="AP3379" s="2"/>
      <c r="AQ3379" s="2"/>
      <c r="AR3379" s="2"/>
      <c r="AS3379" s="2"/>
      <c r="AT3379" s="2"/>
      <c r="AU3379" s="2"/>
      <c r="AV3379" s="2"/>
      <c r="AW3379" s="2"/>
      <c r="AX3379" s="2"/>
    </row>
    <row r="3380" spans="1:50" ht="12.75" x14ac:dyDescent="0.2">
      <c r="A3380" s="2"/>
      <c r="B3380" s="2"/>
      <c r="C3380" s="2"/>
      <c r="D3380" s="2"/>
      <c r="E3380" s="2"/>
      <c r="F3380" s="2"/>
      <c r="G3380" s="2"/>
      <c r="H3380" s="2"/>
      <c r="I3380" s="2"/>
      <c r="J3380" s="2"/>
      <c r="K3380" s="2"/>
      <c r="L3380" s="2"/>
      <c r="M3380" s="2"/>
      <c r="N3380" s="2"/>
      <c r="O3380" s="2"/>
      <c r="P3380" s="2"/>
      <c r="Q3380" s="2"/>
      <c r="R3380" s="2"/>
      <c r="S3380" s="2"/>
      <c r="T3380" s="2"/>
      <c r="U3380" s="2"/>
      <c r="V3380" s="2"/>
      <c r="W3380" s="2"/>
      <c r="X3380" s="2"/>
      <c r="Y3380" s="1"/>
      <c r="Z3380" s="1"/>
      <c r="AA3380" s="2"/>
      <c r="AB3380" s="2"/>
      <c r="AC3380" s="2"/>
      <c r="AD3380" s="2"/>
      <c r="AE3380" s="2"/>
      <c r="AF3380" s="2"/>
      <c r="AG3380" s="2"/>
      <c r="AH3380" s="2"/>
      <c r="AI3380" s="2"/>
      <c r="AJ3380" s="2"/>
      <c r="AK3380" s="2"/>
      <c r="AL3380" s="2"/>
      <c r="AM3380" s="2"/>
      <c r="AN3380" s="2"/>
      <c r="AO3380" s="2"/>
      <c r="AP3380" s="2"/>
      <c r="AQ3380" s="2"/>
      <c r="AR3380" s="2"/>
      <c r="AS3380" s="2"/>
      <c r="AT3380" s="2"/>
      <c r="AU3380" s="2"/>
      <c r="AV3380" s="2"/>
      <c r="AW3380" s="2"/>
      <c r="AX3380" s="2"/>
    </row>
    <row r="3381" spans="1:50" ht="12.75" x14ac:dyDescent="0.2">
      <c r="A3381" s="2"/>
      <c r="B3381" s="2"/>
      <c r="C3381" s="2"/>
      <c r="D3381" s="2"/>
      <c r="E3381" s="2"/>
      <c r="F3381" s="2"/>
      <c r="G3381" s="2"/>
      <c r="H3381" s="2"/>
      <c r="I3381" s="2"/>
      <c r="J3381" s="2"/>
      <c r="K3381" s="2"/>
      <c r="L3381" s="2"/>
      <c r="M3381" s="2"/>
      <c r="N3381" s="2"/>
      <c r="O3381" s="2"/>
      <c r="P3381" s="2"/>
      <c r="Q3381" s="2"/>
      <c r="R3381" s="2"/>
      <c r="S3381" s="2"/>
      <c r="T3381" s="2"/>
      <c r="U3381" s="2"/>
      <c r="V3381" s="2"/>
      <c r="W3381" s="2"/>
      <c r="X3381" s="2"/>
      <c r="Y3381" s="1"/>
      <c r="Z3381" s="1"/>
      <c r="AA3381" s="2"/>
      <c r="AB3381" s="2"/>
      <c r="AC3381" s="2"/>
      <c r="AD3381" s="2"/>
      <c r="AE3381" s="2"/>
      <c r="AF3381" s="2"/>
      <c r="AG3381" s="2"/>
      <c r="AH3381" s="2"/>
      <c r="AI3381" s="2"/>
      <c r="AJ3381" s="2"/>
      <c r="AK3381" s="2"/>
      <c r="AL3381" s="2"/>
      <c r="AM3381" s="2"/>
      <c r="AN3381" s="2"/>
      <c r="AO3381" s="2"/>
      <c r="AP3381" s="2"/>
      <c r="AQ3381" s="2"/>
      <c r="AR3381" s="2"/>
      <c r="AS3381" s="2"/>
      <c r="AT3381" s="2"/>
      <c r="AU3381" s="2"/>
      <c r="AV3381" s="2"/>
      <c r="AW3381" s="2"/>
      <c r="AX3381" s="2"/>
    </row>
    <row r="3382" spans="1:50" ht="12.75" x14ac:dyDescent="0.2">
      <c r="A3382" s="2"/>
      <c r="B3382" s="2"/>
      <c r="C3382" s="2"/>
      <c r="D3382" s="2"/>
      <c r="E3382" s="2"/>
      <c r="F3382" s="2"/>
      <c r="G3382" s="2"/>
      <c r="H3382" s="2"/>
      <c r="I3382" s="2"/>
      <c r="J3382" s="2"/>
      <c r="K3382" s="2"/>
      <c r="L3382" s="2"/>
      <c r="M3382" s="2"/>
      <c r="N3382" s="2"/>
      <c r="O3382" s="2"/>
      <c r="P3382" s="2"/>
      <c r="Q3382" s="2"/>
      <c r="R3382" s="2"/>
      <c r="S3382" s="2"/>
      <c r="T3382" s="2"/>
      <c r="U3382" s="2"/>
      <c r="V3382" s="2"/>
      <c r="W3382" s="2"/>
      <c r="X3382" s="2"/>
      <c r="Y3382" s="1"/>
      <c r="Z3382" s="1"/>
      <c r="AA3382" s="2"/>
      <c r="AB3382" s="2"/>
      <c r="AC3382" s="2"/>
      <c r="AD3382" s="2"/>
      <c r="AE3382" s="2"/>
      <c r="AF3382" s="2"/>
      <c r="AG3382" s="2"/>
      <c r="AH3382" s="2"/>
      <c r="AI3382" s="2"/>
      <c r="AJ3382" s="2"/>
      <c r="AK3382" s="2"/>
      <c r="AL3382" s="2"/>
      <c r="AM3382" s="2"/>
      <c r="AN3382" s="2"/>
      <c r="AO3382" s="2"/>
      <c r="AP3382" s="2"/>
      <c r="AQ3382" s="2"/>
      <c r="AR3382" s="2"/>
      <c r="AS3382" s="2"/>
      <c r="AT3382" s="2"/>
      <c r="AU3382" s="2"/>
      <c r="AV3382" s="2"/>
      <c r="AW3382" s="2"/>
      <c r="AX3382" s="2"/>
    </row>
    <row r="3383" spans="1:50" ht="12.75" x14ac:dyDescent="0.2">
      <c r="A3383" s="2"/>
      <c r="B3383" s="2"/>
      <c r="C3383" s="2"/>
      <c r="D3383" s="2"/>
      <c r="E3383" s="2"/>
      <c r="F3383" s="2"/>
      <c r="G3383" s="2"/>
      <c r="H3383" s="2"/>
      <c r="I3383" s="2"/>
      <c r="J3383" s="2"/>
      <c r="K3383" s="2"/>
      <c r="L3383" s="2"/>
      <c r="M3383" s="2"/>
      <c r="N3383" s="2"/>
      <c r="O3383" s="2"/>
      <c r="P3383" s="2"/>
      <c r="Q3383" s="2"/>
      <c r="R3383" s="2"/>
      <c r="S3383" s="2"/>
      <c r="T3383" s="2"/>
      <c r="U3383" s="2"/>
      <c r="V3383" s="2"/>
      <c r="W3383" s="2"/>
      <c r="X3383" s="2"/>
      <c r="Y3383" s="1"/>
      <c r="Z3383" s="1"/>
      <c r="AA3383" s="2"/>
      <c r="AB3383" s="2"/>
      <c r="AC3383" s="2"/>
      <c r="AD3383" s="2"/>
      <c r="AE3383" s="2"/>
      <c r="AF3383" s="2"/>
      <c r="AG3383" s="2"/>
      <c r="AH3383" s="2"/>
      <c r="AI3383" s="2"/>
      <c r="AJ3383" s="2"/>
      <c r="AK3383" s="2"/>
      <c r="AL3383" s="2"/>
      <c r="AM3383" s="2"/>
      <c r="AN3383" s="2"/>
      <c r="AO3383" s="2"/>
      <c r="AP3383" s="2"/>
      <c r="AQ3383" s="2"/>
      <c r="AR3383" s="2"/>
      <c r="AS3383" s="2"/>
      <c r="AT3383" s="2"/>
      <c r="AU3383" s="2"/>
      <c r="AV3383" s="2"/>
      <c r="AW3383" s="2"/>
      <c r="AX3383" s="2"/>
    </row>
    <row r="3384" spans="1:50" ht="12.75" x14ac:dyDescent="0.2">
      <c r="A3384" s="2"/>
      <c r="B3384" s="2"/>
      <c r="C3384" s="2"/>
      <c r="D3384" s="2"/>
      <c r="E3384" s="2"/>
      <c r="F3384" s="2"/>
      <c r="G3384" s="2"/>
      <c r="H3384" s="2"/>
      <c r="I3384" s="2"/>
      <c r="J3384" s="2"/>
      <c r="K3384" s="2"/>
      <c r="L3384" s="2"/>
      <c r="M3384" s="2"/>
      <c r="N3384" s="2"/>
      <c r="O3384" s="2"/>
      <c r="P3384" s="2"/>
      <c r="Q3384" s="2"/>
      <c r="R3384" s="2"/>
      <c r="S3384" s="2"/>
      <c r="T3384" s="2"/>
      <c r="U3384" s="2"/>
      <c r="V3384" s="2"/>
      <c r="W3384" s="2"/>
      <c r="X3384" s="2"/>
      <c r="Y3384" s="1"/>
      <c r="Z3384" s="1"/>
      <c r="AA3384" s="2"/>
      <c r="AB3384" s="2"/>
      <c r="AC3384" s="2"/>
      <c r="AD3384" s="2"/>
      <c r="AE3384" s="2"/>
      <c r="AF3384" s="2"/>
      <c r="AG3384" s="2"/>
      <c r="AH3384" s="2"/>
      <c r="AI3384" s="2"/>
      <c r="AJ3384" s="2"/>
      <c r="AK3384" s="2"/>
      <c r="AL3384" s="2"/>
      <c r="AM3384" s="2"/>
      <c r="AN3384" s="2"/>
      <c r="AO3384" s="2"/>
      <c r="AP3384" s="2"/>
      <c r="AQ3384" s="2"/>
      <c r="AR3384" s="2"/>
      <c r="AS3384" s="2"/>
      <c r="AT3384" s="2"/>
      <c r="AU3384" s="2"/>
      <c r="AV3384" s="2"/>
      <c r="AW3384" s="2"/>
      <c r="AX3384" s="2"/>
    </row>
    <row r="3385" spans="1:50" ht="12.75" x14ac:dyDescent="0.2">
      <c r="A3385" s="2"/>
      <c r="B3385" s="2"/>
      <c r="C3385" s="2"/>
      <c r="D3385" s="2"/>
      <c r="E3385" s="2"/>
      <c r="F3385" s="2"/>
      <c r="G3385" s="2"/>
      <c r="H3385" s="2"/>
      <c r="I3385" s="2"/>
      <c r="J3385" s="2"/>
      <c r="K3385" s="2"/>
      <c r="L3385" s="2"/>
      <c r="M3385" s="2"/>
      <c r="N3385" s="2"/>
      <c r="O3385" s="2"/>
      <c r="P3385" s="2"/>
      <c r="Q3385" s="2"/>
      <c r="R3385" s="2"/>
      <c r="S3385" s="2"/>
      <c r="T3385" s="2"/>
      <c r="U3385" s="2"/>
      <c r="V3385" s="2"/>
      <c r="W3385" s="2"/>
      <c r="X3385" s="2"/>
      <c r="Y3385" s="1"/>
      <c r="Z3385" s="1"/>
      <c r="AA3385" s="2"/>
      <c r="AB3385" s="2"/>
      <c r="AC3385" s="2"/>
      <c r="AD3385" s="2"/>
      <c r="AE3385" s="2"/>
      <c r="AF3385" s="2"/>
      <c r="AG3385" s="2"/>
      <c r="AH3385" s="2"/>
      <c r="AI3385" s="2"/>
      <c r="AJ3385" s="2"/>
      <c r="AK3385" s="2"/>
      <c r="AL3385" s="2"/>
      <c r="AM3385" s="2"/>
      <c r="AN3385" s="2"/>
      <c r="AO3385" s="2"/>
      <c r="AP3385" s="2"/>
      <c r="AQ3385" s="2"/>
      <c r="AR3385" s="2"/>
      <c r="AS3385" s="2"/>
      <c r="AT3385" s="2"/>
      <c r="AU3385" s="2"/>
      <c r="AV3385" s="2"/>
      <c r="AW3385" s="2"/>
      <c r="AX3385" s="2"/>
    </row>
    <row r="3386" spans="1:50" ht="12.75" x14ac:dyDescent="0.2">
      <c r="A3386" s="2"/>
      <c r="B3386" s="2"/>
      <c r="C3386" s="2"/>
      <c r="D3386" s="2"/>
      <c r="E3386" s="2"/>
      <c r="F3386" s="2"/>
      <c r="G3386" s="2"/>
      <c r="H3386" s="2"/>
      <c r="I3386" s="2"/>
      <c r="J3386" s="2"/>
      <c r="K3386" s="2"/>
      <c r="L3386" s="2"/>
      <c r="M3386" s="2"/>
      <c r="N3386" s="2"/>
      <c r="O3386" s="2"/>
      <c r="P3386" s="2"/>
      <c r="Q3386" s="2"/>
      <c r="R3386" s="2"/>
      <c r="S3386" s="2"/>
      <c r="T3386" s="2"/>
      <c r="U3386" s="2"/>
      <c r="V3386" s="2"/>
      <c r="W3386" s="2"/>
      <c r="X3386" s="2"/>
      <c r="Y3386" s="1"/>
      <c r="Z3386" s="1"/>
      <c r="AA3386" s="2"/>
      <c r="AB3386" s="2"/>
      <c r="AC3386" s="2"/>
      <c r="AD3386" s="2"/>
      <c r="AE3386" s="2"/>
      <c r="AF3386" s="2"/>
      <c r="AG3386" s="2"/>
      <c r="AH3386" s="2"/>
      <c r="AI3386" s="2"/>
      <c r="AJ3386" s="2"/>
      <c r="AK3386" s="2"/>
      <c r="AL3386" s="2"/>
      <c r="AM3386" s="2"/>
      <c r="AN3386" s="2"/>
      <c r="AO3386" s="2"/>
      <c r="AP3386" s="2"/>
      <c r="AQ3386" s="2"/>
      <c r="AR3386" s="2"/>
      <c r="AS3386" s="2"/>
      <c r="AT3386" s="2"/>
      <c r="AU3386" s="2"/>
      <c r="AV3386" s="2"/>
      <c r="AW3386" s="2"/>
      <c r="AX3386" s="2"/>
    </row>
    <row r="3387" spans="1:50" ht="12.75" x14ac:dyDescent="0.2">
      <c r="A3387" s="2"/>
      <c r="B3387" s="2"/>
      <c r="C3387" s="2"/>
      <c r="D3387" s="2"/>
      <c r="E3387" s="2"/>
      <c r="F3387" s="2"/>
      <c r="G3387" s="2"/>
      <c r="H3387" s="2"/>
      <c r="I3387" s="2"/>
      <c r="J3387" s="2"/>
      <c r="K3387" s="2"/>
      <c r="L3387" s="2"/>
      <c r="M3387" s="2"/>
      <c r="N3387" s="2"/>
      <c r="O3387" s="2"/>
      <c r="P3387" s="2"/>
      <c r="Q3387" s="2"/>
      <c r="R3387" s="2"/>
      <c r="S3387" s="2"/>
      <c r="T3387" s="2"/>
      <c r="U3387" s="2"/>
      <c r="V3387" s="2"/>
      <c r="W3387" s="2"/>
      <c r="X3387" s="2"/>
      <c r="Y3387" s="1"/>
      <c r="Z3387" s="1"/>
      <c r="AA3387" s="2"/>
      <c r="AB3387" s="2"/>
      <c r="AC3387" s="2"/>
      <c r="AD3387" s="2"/>
      <c r="AE3387" s="2"/>
      <c r="AF3387" s="2"/>
      <c r="AG3387" s="2"/>
      <c r="AH3387" s="2"/>
      <c r="AI3387" s="2"/>
      <c r="AJ3387" s="2"/>
      <c r="AK3387" s="2"/>
      <c r="AL3387" s="2"/>
      <c r="AM3387" s="2"/>
      <c r="AN3387" s="2"/>
      <c r="AO3387" s="2"/>
      <c r="AP3387" s="2"/>
      <c r="AQ3387" s="2"/>
      <c r="AR3387" s="2"/>
      <c r="AS3387" s="2"/>
      <c r="AT3387" s="2"/>
      <c r="AU3387" s="2"/>
      <c r="AV3387" s="2"/>
      <c r="AW3387" s="2"/>
      <c r="AX3387" s="2"/>
    </row>
    <row r="3388" spans="1:50" ht="12.75" x14ac:dyDescent="0.2">
      <c r="A3388" s="2"/>
      <c r="B3388" s="2"/>
      <c r="C3388" s="2"/>
      <c r="D3388" s="2"/>
      <c r="E3388" s="2"/>
      <c r="F3388" s="2"/>
      <c r="G3388" s="2"/>
      <c r="H3388" s="2"/>
      <c r="I3388" s="2"/>
      <c r="J3388" s="2"/>
      <c r="K3388" s="2"/>
      <c r="L3388" s="2"/>
      <c r="M3388" s="2"/>
      <c r="N3388" s="2"/>
      <c r="O3388" s="2"/>
      <c r="P3388" s="2"/>
      <c r="Q3388" s="2"/>
      <c r="R3388" s="2"/>
      <c r="S3388" s="2"/>
      <c r="T3388" s="2"/>
      <c r="U3388" s="2"/>
      <c r="V3388" s="2"/>
      <c r="W3388" s="2"/>
      <c r="X3388" s="2"/>
      <c r="Y3388" s="1"/>
      <c r="Z3388" s="1"/>
      <c r="AA3388" s="2"/>
      <c r="AB3388" s="2"/>
      <c r="AC3388" s="2"/>
      <c r="AD3388" s="2"/>
      <c r="AE3388" s="2"/>
      <c r="AF3388" s="2"/>
      <c r="AG3388" s="2"/>
      <c r="AH3388" s="2"/>
      <c r="AI3388" s="2"/>
      <c r="AJ3388" s="2"/>
      <c r="AK3388" s="2"/>
      <c r="AL3388" s="2"/>
      <c r="AM3388" s="2"/>
      <c r="AN3388" s="2"/>
      <c r="AO3388" s="2"/>
      <c r="AP3388" s="2"/>
      <c r="AQ3388" s="2"/>
      <c r="AR3388" s="2"/>
      <c r="AS3388" s="2"/>
      <c r="AT3388" s="2"/>
      <c r="AU3388" s="2"/>
      <c r="AV3388" s="2"/>
      <c r="AW3388" s="2"/>
      <c r="AX3388" s="2"/>
    </row>
    <row r="3389" spans="1:50" ht="12.75" x14ac:dyDescent="0.2">
      <c r="A3389" s="2"/>
      <c r="B3389" s="2"/>
      <c r="C3389" s="2"/>
      <c r="D3389" s="2"/>
      <c r="E3389" s="2"/>
      <c r="F3389" s="2"/>
      <c r="G3389" s="2"/>
      <c r="H3389" s="2"/>
      <c r="I3389" s="2"/>
      <c r="J3389" s="2"/>
      <c r="K3389" s="2"/>
      <c r="L3389" s="2"/>
      <c r="M3389" s="2"/>
      <c r="N3389" s="2"/>
      <c r="O3389" s="2"/>
      <c r="P3389" s="2"/>
      <c r="Q3389" s="2"/>
      <c r="R3389" s="2"/>
      <c r="S3389" s="2"/>
      <c r="T3389" s="2"/>
      <c r="U3389" s="2"/>
      <c r="V3389" s="2"/>
      <c r="W3389" s="2"/>
      <c r="X3389" s="2"/>
      <c r="Y3389" s="1"/>
      <c r="Z3389" s="1"/>
      <c r="AA3389" s="2"/>
      <c r="AB3389" s="2"/>
      <c r="AC3389" s="2"/>
      <c r="AD3389" s="2"/>
      <c r="AE3389" s="2"/>
      <c r="AF3389" s="2"/>
      <c r="AG3389" s="2"/>
      <c r="AH3389" s="2"/>
      <c r="AI3389" s="2"/>
      <c r="AJ3389" s="2"/>
      <c r="AK3389" s="2"/>
      <c r="AL3389" s="2"/>
      <c r="AM3389" s="2"/>
      <c r="AN3389" s="2"/>
      <c r="AO3389" s="2"/>
      <c r="AP3389" s="2"/>
      <c r="AQ3389" s="2"/>
      <c r="AR3389" s="2"/>
      <c r="AS3389" s="2"/>
      <c r="AT3389" s="2"/>
      <c r="AU3389" s="2"/>
      <c r="AV3389" s="2"/>
      <c r="AW3389" s="2"/>
      <c r="AX3389" s="2"/>
    </row>
    <row r="3390" spans="1:50" ht="12.75" x14ac:dyDescent="0.2">
      <c r="A3390" s="2"/>
      <c r="B3390" s="2"/>
      <c r="C3390" s="2"/>
      <c r="D3390" s="2"/>
      <c r="E3390" s="2"/>
      <c r="F3390" s="2"/>
      <c r="G3390" s="2"/>
      <c r="H3390" s="2"/>
      <c r="I3390" s="2"/>
      <c r="J3390" s="2"/>
      <c r="K3390" s="2"/>
      <c r="L3390" s="2"/>
      <c r="M3390" s="2"/>
      <c r="N3390" s="2"/>
      <c r="O3390" s="2"/>
      <c r="P3390" s="2"/>
      <c r="Q3390" s="2"/>
      <c r="R3390" s="2"/>
      <c r="S3390" s="2"/>
      <c r="T3390" s="2"/>
      <c r="U3390" s="2"/>
      <c r="V3390" s="2"/>
      <c r="W3390" s="2"/>
      <c r="X3390" s="2"/>
      <c r="Y3390" s="1"/>
      <c r="Z3390" s="1"/>
      <c r="AA3390" s="2"/>
      <c r="AB3390" s="2"/>
      <c r="AC3390" s="2"/>
      <c r="AD3390" s="2"/>
      <c r="AE3390" s="2"/>
      <c r="AF3390" s="2"/>
      <c r="AG3390" s="2"/>
      <c r="AH3390" s="2"/>
      <c r="AI3390" s="2"/>
      <c r="AJ3390" s="2"/>
      <c r="AK3390" s="2"/>
      <c r="AL3390" s="2"/>
      <c r="AM3390" s="2"/>
      <c r="AN3390" s="2"/>
      <c r="AO3390" s="2"/>
      <c r="AP3390" s="2"/>
      <c r="AQ3390" s="2"/>
      <c r="AR3390" s="2"/>
      <c r="AS3390" s="2"/>
      <c r="AT3390" s="2"/>
      <c r="AU3390" s="2"/>
      <c r="AV3390" s="2"/>
      <c r="AW3390" s="2"/>
      <c r="AX3390" s="2"/>
    </row>
    <row r="3391" spans="1:50" ht="12.75" x14ac:dyDescent="0.2">
      <c r="A3391" s="2"/>
      <c r="B3391" s="2"/>
      <c r="C3391" s="2"/>
      <c r="D3391" s="2"/>
      <c r="E3391" s="2"/>
      <c r="F3391" s="2"/>
      <c r="G3391" s="2"/>
      <c r="H3391" s="2"/>
      <c r="I3391" s="2"/>
      <c r="J3391" s="2"/>
      <c r="K3391" s="2"/>
      <c r="L3391" s="2"/>
      <c r="M3391" s="2"/>
      <c r="N3391" s="2"/>
      <c r="O3391" s="2"/>
      <c r="P3391" s="2"/>
      <c r="Q3391" s="2"/>
      <c r="R3391" s="2"/>
      <c r="S3391" s="2"/>
      <c r="T3391" s="2"/>
      <c r="U3391" s="2"/>
      <c r="V3391" s="2"/>
      <c r="W3391" s="2"/>
      <c r="X3391" s="2"/>
      <c r="Y3391" s="1"/>
      <c r="Z3391" s="1"/>
      <c r="AA3391" s="2"/>
      <c r="AB3391" s="2"/>
      <c r="AC3391" s="2"/>
      <c r="AD3391" s="2"/>
      <c r="AE3391" s="2"/>
      <c r="AF3391" s="2"/>
      <c r="AG3391" s="2"/>
      <c r="AH3391" s="2"/>
      <c r="AI3391" s="2"/>
      <c r="AJ3391" s="2"/>
      <c r="AK3391" s="2"/>
      <c r="AL3391" s="2"/>
      <c r="AM3391" s="2"/>
      <c r="AN3391" s="2"/>
      <c r="AO3391" s="2"/>
      <c r="AP3391" s="2"/>
      <c r="AQ3391" s="2"/>
      <c r="AR3391" s="2"/>
      <c r="AS3391" s="2"/>
      <c r="AT3391" s="2"/>
      <c r="AU3391" s="2"/>
      <c r="AV3391" s="2"/>
      <c r="AW3391" s="2"/>
      <c r="AX3391" s="2"/>
    </row>
    <row r="3392" spans="1:50" ht="12.75" x14ac:dyDescent="0.2">
      <c r="A3392" s="2"/>
      <c r="B3392" s="2"/>
      <c r="C3392" s="2"/>
      <c r="D3392" s="2"/>
      <c r="E3392" s="2"/>
      <c r="F3392" s="2"/>
      <c r="G3392" s="2"/>
      <c r="H3392" s="2"/>
      <c r="I3392" s="2"/>
      <c r="J3392" s="2"/>
      <c r="K3392" s="2"/>
      <c r="L3392" s="2"/>
      <c r="M3392" s="2"/>
      <c r="N3392" s="2"/>
      <c r="O3392" s="2"/>
      <c r="P3392" s="2"/>
      <c r="Q3392" s="2"/>
      <c r="R3392" s="2"/>
      <c r="S3392" s="2"/>
      <c r="T3392" s="2"/>
      <c r="U3392" s="2"/>
      <c r="V3392" s="2"/>
      <c r="W3392" s="2"/>
      <c r="X3392" s="2"/>
      <c r="Y3392" s="1"/>
      <c r="Z3392" s="1"/>
      <c r="AA3392" s="2"/>
      <c r="AB3392" s="2"/>
      <c r="AC3392" s="2"/>
      <c r="AD3392" s="2"/>
      <c r="AE3392" s="2"/>
      <c r="AF3392" s="2"/>
      <c r="AG3392" s="2"/>
      <c r="AH3392" s="2"/>
      <c r="AI3392" s="2"/>
      <c r="AJ3392" s="2"/>
      <c r="AK3392" s="2"/>
      <c r="AL3392" s="2"/>
      <c r="AM3392" s="2"/>
      <c r="AN3392" s="2"/>
      <c r="AO3392" s="2"/>
      <c r="AP3392" s="2"/>
      <c r="AQ3392" s="2"/>
      <c r="AR3392" s="2"/>
      <c r="AS3392" s="2"/>
      <c r="AT3392" s="2"/>
      <c r="AU3392" s="2"/>
      <c r="AV3392" s="2"/>
      <c r="AW3392" s="2"/>
      <c r="AX3392" s="2"/>
    </row>
    <row r="3393" spans="1:50" ht="12.75" x14ac:dyDescent="0.2">
      <c r="A3393" s="2"/>
      <c r="B3393" s="2"/>
      <c r="C3393" s="2"/>
      <c r="D3393" s="2"/>
      <c r="E3393" s="2"/>
      <c r="F3393" s="2"/>
      <c r="G3393" s="2"/>
      <c r="H3393" s="2"/>
      <c r="I3393" s="2"/>
      <c r="J3393" s="2"/>
      <c r="K3393" s="2"/>
      <c r="L3393" s="2"/>
      <c r="M3393" s="2"/>
      <c r="N3393" s="2"/>
      <c r="O3393" s="2"/>
      <c r="P3393" s="2"/>
      <c r="Q3393" s="2"/>
      <c r="R3393" s="2"/>
      <c r="S3393" s="2"/>
      <c r="T3393" s="2"/>
      <c r="U3393" s="2"/>
      <c r="V3393" s="2"/>
      <c r="W3393" s="2"/>
      <c r="X3393" s="2"/>
      <c r="Y3393" s="1"/>
      <c r="Z3393" s="1"/>
      <c r="AA3393" s="2"/>
      <c r="AB3393" s="2"/>
      <c r="AC3393" s="2"/>
      <c r="AD3393" s="2"/>
      <c r="AE3393" s="2"/>
      <c r="AF3393" s="2"/>
      <c r="AG3393" s="2"/>
      <c r="AH3393" s="2"/>
      <c r="AI3393" s="2"/>
      <c r="AJ3393" s="2"/>
      <c r="AK3393" s="2"/>
      <c r="AL3393" s="2"/>
      <c r="AM3393" s="2"/>
      <c r="AN3393" s="2"/>
      <c r="AO3393" s="2"/>
      <c r="AP3393" s="2"/>
      <c r="AQ3393" s="2"/>
      <c r="AR3393" s="2"/>
      <c r="AS3393" s="2"/>
      <c r="AT3393" s="2"/>
      <c r="AU3393" s="2"/>
      <c r="AV3393" s="2"/>
      <c r="AW3393" s="2"/>
      <c r="AX3393" s="2"/>
    </row>
    <row r="3394" spans="1:50" ht="12.75" x14ac:dyDescent="0.2">
      <c r="A3394" s="2"/>
      <c r="B3394" s="2"/>
      <c r="C3394" s="2"/>
      <c r="D3394" s="2"/>
      <c r="E3394" s="2"/>
      <c r="F3394" s="2"/>
      <c r="G3394" s="2"/>
      <c r="H3394" s="2"/>
      <c r="I3394" s="2"/>
      <c r="J3394" s="2"/>
      <c r="K3394" s="2"/>
      <c r="L3394" s="2"/>
      <c r="M3394" s="2"/>
      <c r="N3394" s="2"/>
      <c r="O3394" s="2"/>
      <c r="P3394" s="2"/>
      <c r="Q3394" s="2"/>
      <c r="R3394" s="2"/>
      <c r="S3394" s="2"/>
      <c r="T3394" s="2"/>
      <c r="U3394" s="2"/>
      <c r="V3394" s="2"/>
      <c r="W3394" s="2"/>
      <c r="X3394" s="2"/>
      <c r="Y3394" s="1"/>
      <c r="Z3394" s="1"/>
      <c r="AA3394" s="2"/>
      <c r="AB3394" s="2"/>
      <c r="AC3394" s="2"/>
      <c r="AD3394" s="2"/>
      <c r="AE3394" s="2"/>
      <c r="AF3394" s="2"/>
      <c r="AG3394" s="2"/>
      <c r="AH3394" s="2"/>
      <c r="AI3394" s="2"/>
      <c r="AJ3394" s="2"/>
      <c r="AK3394" s="2"/>
      <c r="AL3394" s="2"/>
      <c r="AM3394" s="2"/>
      <c r="AN3394" s="2"/>
      <c r="AO3394" s="2"/>
      <c r="AP3394" s="2"/>
      <c r="AQ3394" s="2"/>
      <c r="AR3394" s="2"/>
      <c r="AS3394" s="2"/>
      <c r="AT3394" s="2"/>
      <c r="AU3394" s="2"/>
      <c r="AV3394" s="2"/>
      <c r="AW3394" s="2"/>
      <c r="AX3394" s="2"/>
    </row>
    <row r="3395" spans="1:50" ht="12.75" x14ac:dyDescent="0.2">
      <c r="A3395" s="2"/>
      <c r="B3395" s="2"/>
      <c r="C3395" s="2"/>
      <c r="D3395" s="2"/>
      <c r="E3395" s="2"/>
      <c r="F3395" s="2"/>
      <c r="G3395" s="2"/>
      <c r="H3395" s="2"/>
      <c r="I3395" s="2"/>
      <c r="J3395" s="2"/>
      <c r="K3395" s="2"/>
      <c r="L3395" s="2"/>
      <c r="M3395" s="2"/>
      <c r="N3395" s="2"/>
      <c r="O3395" s="2"/>
      <c r="P3395" s="2"/>
      <c r="Q3395" s="2"/>
      <c r="R3395" s="2"/>
      <c r="S3395" s="2"/>
      <c r="T3395" s="2"/>
      <c r="U3395" s="2"/>
      <c r="V3395" s="2"/>
      <c r="W3395" s="2"/>
      <c r="X3395" s="2"/>
      <c r="Y3395" s="1"/>
      <c r="Z3395" s="1"/>
      <c r="AA3395" s="2"/>
      <c r="AB3395" s="2"/>
      <c r="AC3395" s="2"/>
      <c r="AD3395" s="2"/>
      <c r="AE3395" s="2"/>
      <c r="AF3395" s="2"/>
      <c r="AG3395" s="2"/>
      <c r="AH3395" s="2"/>
      <c r="AI3395" s="2"/>
      <c r="AJ3395" s="2"/>
      <c r="AK3395" s="2"/>
      <c r="AL3395" s="2"/>
      <c r="AM3395" s="2"/>
      <c r="AN3395" s="2"/>
      <c r="AO3395" s="2"/>
      <c r="AP3395" s="2"/>
      <c r="AQ3395" s="2"/>
      <c r="AR3395" s="2"/>
      <c r="AS3395" s="2"/>
      <c r="AT3395" s="2"/>
      <c r="AU3395" s="2"/>
      <c r="AV3395" s="2"/>
      <c r="AW3395" s="2"/>
      <c r="AX3395" s="2"/>
    </row>
    <row r="3396" spans="1:50" ht="12.75" x14ac:dyDescent="0.2">
      <c r="A3396" s="2"/>
      <c r="B3396" s="2"/>
      <c r="C3396" s="2"/>
      <c r="D3396" s="2"/>
      <c r="E3396" s="2"/>
      <c r="F3396" s="2"/>
      <c r="G3396" s="2"/>
      <c r="H3396" s="2"/>
      <c r="I3396" s="2"/>
      <c r="J3396" s="2"/>
      <c r="K3396" s="2"/>
      <c r="L3396" s="2"/>
      <c r="M3396" s="2"/>
      <c r="N3396" s="2"/>
      <c r="O3396" s="2"/>
      <c r="P3396" s="2"/>
      <c r="Q3396" s="2"/>
      <c r="R3396" s="2"/>
      <c r="S3396" s="2"/>
      <c r="T3396" s="2"/>
      <c r="U3396" s="2"/>
      <c r="V3396" s="2"/>
      <c r="W3396" s="2"/>
      <c r="X3396" s="2"/>
      <c r="Y3396" s="1"/>
      <c r="Z3396" s="1"/>
      <c r="AA3396" s="2"/>
      <c r="AB3396" s="2"/>
      <c r="AC3396" s="2"/>
      <c r="AD3396" s="2"/>
      <c r="AE3396" s="2"/>
      <c r="AF3396" s="2"/>
      <c r="AG3396" s="2"/>
      <c r="AH3396" s="2"/>
      <c r="AI3396" s="2"/>
      <c r="AJ3396" s="2"/>
      <c r="AK3396" s="2"/>
      <c r="AL3396" s="2"/>
      <c r="AM3396" s="2"/>
      <c r="AN3396" s="2"/>
      <c r="AO3396" s="2"/>
      <c r="AP3396" s="2"/>
      <c r="AQ3396" s="2"/>
      <c r="AR3396" s="2"/>
      <c r="AS3396" s="2"/>
      <c r="AT3396" s="2"/>
      <c r="AU3396" s="2"/>
      <c r="AV3396" s="2"/>
      <c r="AW3396" s="2"/>
      <c r="AX3396" s="2"/>
    </row>
    <row r="3397" spans="1:50" ht="12.75" x14ac:dyDescent="0.2">
      <c r="A3397" s="2"/>
      <c r="B3397" s="2"/>
      <c r="C3397" s="2"/>
      <c r="D3397" s="2"/>
      <c r="E3397" s="2"/>
      <c r="F3397" s="2"/>
      <c r="G3397" s="2"/>
      <c r="H3397" s="2"/>
      <c r="I3397" s="2"/>
      <c r="J3397" s="2"/>
      <c r="K3397" s="2"/>
      <c r="L3397" s="2"/>
      <c r="M3397" s="2"/>
      <c r="N3397" s="2"/>
      <c r="O3397" s="2"/>
      <c r="P3397" s="2"/>
      <c r="Q3397" s="2"/>
      <c r="R3397" s="2"/>
      <c r="S3397" s="2"/>
      <c r="T3397" s="2"/>
      <c r="U3397" s="2"/>
      <c r="V3397" s="2"/>
      <c r="W3397" s="2"/>
      <c r="X3397" s="2"/>
      <c r="Y3397" s="1"/>
      <c r="Z3397" s="1"/>
      <c r="AA3397" s="2"/>
      <c r="AB3397" s="2"/>
      <c r="AC3397" s="2"/>
      <c r="AD3397" s="2"/>
      <c r="AE3397" s="2"/>
      <c r="AF3397" s="2"/>
      <c r="AG3397" s="2"/>
      <c r="AH3397" s="2"/>
      <c r="AI3397" s="2"/>
      <c r="AJ3397" s="2"/>
      <c r="AK3397" s="2"/>
      <c r="AL3397" s="2"/>
      <c r="AM3397" s="2"/>
      <c r="AN3397" s="2"/>
      <c r="AO3397" s="2"/>
      <c r="AP3397" s="2"/>
      <c r="AQ3397" s="2"/>
      <c r="AR3397" s="2"/>
      <c r="AS3397" s="2"/>
      <c r="AT3397" s="2"/>
      <c r="AU3397" s="2"/>
      <c r="AV3397" s="2"/>
      <c r="AW3397" s="2"/>
      <c r="AX3397" s="2"/>
    </row>
    <row r="3398" spans="1:50" ht="12.75" x14ac:dyDescent="0.2">
      <c r="A3398" s="2"/>
      <c r="B3398" s="2"/>
      <c r="C3398" s="2"/>
      <c r="D3398" s="2"/>
      <c r="E3398" s="2"/>
      <c r="F3398" s="2"/>
      <c r="G3398" s="2"/>
      <c r="H3398" s="2"/>
      <c r="I3398" s="2"/>
      <c r="J3398" s="2"/>
      <c r="K3398" s="2"/>
      <c r="L3398" s="2"/>
      <c r="M3398" s="2"/>
      <c r="N3398" s="2"/>
      <c r="O3398" s="2"/>
      <c r="P3398" s="2"/>
      <c r="Q3398" s="2"/>
      <c r="R3398" s="2"/>
      <c r="S3398" s="2"/>
      <c r="T3398" s="2"/>
      <c r="U3398" s="2"/>
      <c r="V3398" s="2"/>
      <c r="W3398" s="2"/>
      <c r="X3398" s="2"/>
      <c r="Y3398" s="1"/>
      <c r="Z3398" s="1"/>
      <c r="AA3398" s="2"/>
      <c r="AB3398" s="2"/>
      <c r="AC3398" s="2"/>
      <c r="AD3398" s="2"/>
      <c r="AE3398" s="2"/>
      <c r="AF3398" s="2"/>
      <c r="AG3398" s="2"/>
      <c r="AH3398" s="2"/>
      <c r="AI3398" s="2"/>
      <c r="AJ3398" s="2"/>
      <c r="AK3398" s="2"/>
      <c r="AL3398" s="2"/>
      <c r="AM3398" s="2"/>
      <c r="AN3398" s="2"/>
      <c r="AO3398" s="2"/>
      <c r="AP3398" s="2"/>
      <c r="AQ3398" s="2"/>
      <c r="AR3398" s="2"/>
      <c r="AS3398" s="2"/>
      <c r="AT3398" s="2"/>
      <c r="AU3398" s="2"/>
      <c r="AV3398" s="2"/>
      <c r="AW3398" s="2"/>
      <c r="AX3398" s="2"/>
    </row>
    <row r="3399" spans="1:50" ht="12.75" x14ac:dyDescent="0.2">
      <c r="A3399" s="2"/>
      <c r="B3399" s="2"/>
      <c r="C3399" s="2"/>
      <c r="D3399" s="2"/>
      <c r="E3399" s="2"/>
      <c r="F3399" s="2"/>
      <c r="G3399" s="2"/>
      <c r="H3399" s="2"/>
      <c r="I3399" s="2"/>
      <c r="J3399" s="2"/>
      <c r="K3399" s="2"/>
      <c r="L3399" s="2"/>
      <c r="M3399" s="2"/>
      <c r="N3399" s="2"/>
      <c r="O3399" s="2"/>
      <c r="P3399" s="2"/>
      <c r="Q3399" s="2"/>
      <c r="R3399" s="2"/>
      <c r="S3399" s="2"/>
      <c r="T3399" s="2"/>
      <c r="U3399" s="2"/>
      <c r="V3399" s="2"/>
      <c r="W3399" s="2"/>
      <c r="X3399" s="2"/>
      <c r="Y3399" s="1"/>
      <c r="Z3399" s="1"/>
      <c r="AA3399" s="2"/>
      <c r="AB3399" s="2"/>
      <c r="AC3399" s="2"/>
      <c r="AD3399" s="2"/>
      <c r="AE3399" s="2"/>
      <c r="AF3399" s="2"/>
      <c r="AG3399" s="2"/>
      <c r="AH3399" s="2"/>
      <c r="AI3399" s="2"/>
      <c r="AJ3399" s="2"/>
      <c r="AK3399" s="2"/>
      <c r="AL3399" s="2"/>
      <c r="AM3399" s="2"/>
      <c r="AN3399" s="2"/>
      <c r="AO3399" s="2"/>
      <c r="AP3399" s="2"/>
      <c r="AQ3399" s="2"/>
      <c r="AR3399" s="2"/>
      <c r="AS3399" s="2"/>
      <c r="AT3399" s="2"/>
      <c r="AU3399" s="2"/>
      <c r="AV3399" s="2"/>
      <c r="AW3399" s="2"/>
      <c r="AX3399" s="2"/>
    </row>
    <row r="3400" spans="1:50" ht="12.75" x14ac:dyDescent="0.2">
      <c r="A3400" s="2"/>
      <c r="B3400" s="2"/>
      <c r="C3400" s="2"/>
      <c r="D3400" s="2"/>
      <c r="E3400" s="2"/>
      <c r="F3400" s="2"/>
      <c r="G3400" s="2"/>
      <c r="H3400" s="2"/>
      <c r="I3400" s="2"/>
      <c r="J3400" s="2"/>
      <c r="K3400" s="2"/>
      <c r="L3400" s="2"/>
      <c r="M3400" s="2"/>
      <c r="N3400" s="2"/>
      <c r="O3400" s="2"/>
      <c r="P3400" s="2"/>
      <c r="Q3400" s="2"/>
      <c r="R3400" s="2"/>
      <c r="S3400" s="2"/>
      <c r="T3400" s="2"/>
      <c r="U3400" s="2"/>
      <c r="V3400" s="2"/>
      <c r="W3400" s="2"/>
      <c r="X3400" s="2"/>
      <c r="Y3400" s="1"/>
      <c r="Z3400" s="1"/>
      <c r="AA3400" s="2"/>
      <c r="AB3400" s="2"/>
      <c r="AC3400" s="2"/>
      <c r="AD3400" s="2"/>
      <c r="AE3400" s="2"/>
      <c r="AF3400" s="2"/>
      <c r="AG3400" s="2"/>
      <c r="AH3400" s="2"/>
      <c r="AI3400" s="2"/>
      <c r="AJ3400" s="2"/>
      <c r="AK3400" s="2"/>
      <c r="AL3400" s="2"/>
      <c r="AM3400" s="2"/>
      <c r="AN3400" s="2"/>
      <c r="AO3400" s="2"/>
      <c r="AP3400" s="2"/>
      <c r="AQ3400" s="2"/>
      <c r="AR3400" s="2"/>
      <c r="AS3400" s="2"/>
      <c r="AT3400" s="2"/>
      <c r="AU3400" s="2"/>
      <c r="AV3400" s="2"/>
      <c r="AW3400" s="2"/>
      <c r="AX3400" s="2"/>
    </row>
    <row r="3401" spans="1:50" ht="12.75" x14ac:dyDescent="0.2">
      <c r="A3401" s="2"/>
      <c r="B3401" s="2"/>
      <c r="C3401" s="2"/>
      <c r="D3401" s="2"/>
      <c r="E3401" s="2"/>
      <c r="F3401" s="2"/>
      <c r="G3401" s="2"/>
      <c r="H3401" s="2"/>
      <c r="I3401" s="2"/>
      <c r="J3401" s="2"/>
      <c r="K3401" s="2"/>
      <c r="L3401" s="2"/>
      <c r="M3401" s="2"/>
      <c r="N3401" s="2"/>
      <c r="O3401" s="2"/>
      <c r="P3401" s="2"/>
      <c r="Q3401" s="2"/>
      <c r="R3401" s="2"/>
      <c r="S3401" s="2"/>
      <c r="T3401" s="2"/>
      <c r="U3401" s="2"/>
      <c r="V3401" s="2"/>
      <c r="W3401" s="2"/>
      <c r="X3401" s="2"/>
      <c r="Y3401" s="1"/>
      <c r="Z3401" s="1"/>
      <c r="AA3401" s="2"/>
      <c r="AB3401" s="2"/>
      <c r="AC3401" s="2"/>
      <c r="AD3401" s="2"/>
      <c r="AE3401" s="2"/>
      <c r="AF3401" s="2"/>
      <c r="AG3401" s="2"/>
      <c r="AH3401" s="2"/>
      <c r="AI3401" s="2"/>
      <c r="AJ3401" s="2"/>
      <c r="AK3401" s="2"/>
      <c r="AL3401" s="2"/>
      <c r="AM3401" s="2"/>
      <c r="AN3401" s="2"/>
      <c r="AO3401" s="2"/>
      <c r="AP3401" s="2"/>
      <c r="AQ3401" s="2"/>
      <c r="AR3401" s="2"/>
      <c r="AS3401" s="2"/>
      <c r="AT3401" s="2"/>
      <c r="AU3401" s="2"/>
      <c r="AV3401" s="2"/>
      <c r="AW3401" s="2"/>
      <c r="AX3401" s="2"/>
    </row>
    <row r="3402" spans="1:50" ht="12.75" x14ac:dyDescent="0.2">
      <c r="A3402" s="2"/>
      <c r="B3402" s="2"/>
      <c r="C3402" s="2"/>
      <c r="D3402" s="2"/>
      <c r="E3402" s="2"/>
      <c r="F3402" s="2"/>
      <c r="G3402" s="2"/>
      <c r="H3402" s="2"/>
      <c r="I3402" s="2"/>
      <c r="J3402" s="2"/>
      <c r="K3402" s="2"/>
      <c r="L3402" s="2"/>
      <c r="M3402" s="2"/>
      <c r="N3402" s="2"/>
      <c r="O3402" s="2"/>
      <c r="P3402" s="2"/>
      <c r="Q3402" s="2"/>
      <c r="R3402" s="2"/>
      <c r="S3402" s="2"/>
      <c r="T3402" s="2"/>
      <c r="U3402" s="2"/>
      <c r="V3402" s="2"/>
      <c r="W3402" s="2"/>
      <c r="X3402" s="2"/>
      <c r="Y3402" s="1"/>
      <c r="Z3402" s="1"/>
      <c r="AA3402" s="2"/>
      <c r="AB3402" s="2"/>
      <c r="AC3402" s="2"/>
      <c r="AD3402" s="2"/>
      <c r="AE3402" s="2"/>
      <c r="AF3402" s="2"/>
      <c r="AG3402" s="2"/>
      <c r="AH3402" s="2"/>
      <c r="AI3402" s="2"/>
      <c r="AJ3402" s="2"/>
      <c r="AK3402" s="2"/>
      <c r="AL3402" s="2"/>
      <c r="AM3402" s="2"/>
      <c r="AN3402" s="2"/>
      <c r="AO3402" s="2"/>
      <c r="AP3402" s="2"/>
      <c r="AQ3402" s="2"/>
      <c r="AR3402" s="2"/>
      <c r="AS3402" s="2"/>
      <c r="AT3402" s="2"/>
      <c r="AU3402" s="2"/>
      <c r="AV3402" s="2"/>
      <c r="AW3402" s="2"/>
      <c r="AX3402" s="2"/>
    </row>
    <row r="3403" spans="1:50" ht="12.75" x14ac:dyDescent="0.2">
      <c r="A3403" s="2"/>
      <c r="B3403" s="2"/>
      <c r="C3403" s="2"/>
      <c r="D3403" s="2"/>
      <c r="E3403" s="2"/>
      <c r="F3403" s="2"/>
      <c r="G3403" s="2"/>
      <c r="H3403" s="2"/>
      <c r="I3403" s="2"/>
      <c r="J3403" s="2"/>
      <c r="K3403" s="2"/>
      <c r="L3403" s="2"/>
      <c r="M3403" s="2"/>
      <c r="N3403" s="2"/>
      <c r="O3403" s="2"/>
      <c r="P3403" s="2"/>
      <c r="Q3403" s="2"/>
      <c r="R3403" s="2"/>
      <c r="S3403" s="2"/>
      <c r="T3403" s="2"/>
      <c r="U3403" s="2"/>
      <c r="V3403" s="2"/>
      <c r="W3403" s="2"/>
      <c r="X3403" s="2"/>
      <c r="Y3403" s="1"/>
      <c r="Z3403" s="1"/>
      <c r="AA3403" s="2"/>
      <c r="AB3403" s="2"/>
      <c r="AC3403" s="2"/>
      <c r="AD3403" s="2"/>
      <c r="AE3403" s="2"/>
      <c r="AF3403" s="2"/>
      <c r="AG3403" s="2"/>
      <c r="AH3403" s="2"/>
      <c r="AI3403" s="2"/>
      <c r="AJ3403" s="2"/>
      <c r="AK3403" s="2"/>
      <c r="AL3403" s="2"/>
      <c r="AM3403" s="2"/>
      <c r="AN3403" s="2"/>
      <c r="AO3403" s="2"/>
      <c r="AP3403" s="2"/>
      <c r="AQ3403" s="2"/>
      <c r="AR3403" s="2"/>
      <c r="AS3403" s="2"/>
      <c r="AT3403" s="2"/>
      <c r="AU3403" s="2"/>
      <c r="AV3403" s="2"/>
      <c r="AW3403" s="2"/>
      <c r="AX3403" s="2"/>
    </row>
    <row r="3404" spans="1:50" ht="12.75" x14ac:dyDescent="0.2">
      <c r="A3404" s="2"/>
      <c r="B3404" s="2"/>
      <c r="C3404" s="2"/>
      <c r="D3404" s="2"/>
      <c r="E3404" s="2"/>
      <c r="F3404" s="2"/>
      <c r="G3404" s="2"/>
      <c r="H3404" s="2"/>
      <c r="I3404" s="2"/>
      <c r="J3404" s="2"/>
      <c r="K3404" s="2"/>
      <c r="L3404" s="2"/>
      <c r="M3404" s="2"/>
      <c r="N3404" s="2"/>
      <c r="O3404" s="2"/>
      <c r="P3404" s="2"/>
      <c r="Q3404" s="2"/>
      <c r="R3404" s="2"/>
      <c r="S3404" s="2"/>
      <c r="T3404" s="2"/>
      <c r="U3404" s="2"/>
      <c r="V3404" s="2"/>
      <c r="W3404" s="2"/>
      <c r="X3404" s="2"/>
      <c r="Y3404" s="1"/>
      <c r="Z3404" s="1"/>
      <c r="AA3404" s="2"/>
      <c r="AB3404" s="2"/>
      <c r="AC3404" s="2"/>
      <c r="AD3404" s="2"/>
      <c r="AE3404" s="2"/>
      <c r="AF3404" s="2"/>
      <c r="AG3404" s="2"/>
      <c r="AH3404" s="2"/>
      <c r="AI3404" s="2"/>
      <c r="AJ3404" s="2"/>
      <c r="AK3404" s="2"/>
      <c r="AL3404" s="2"/>
      <c r="AM3404" s="2"/>
      <c r="AN3404" s="2"/>
      <c r="AO3404" s="2"/>
      <c r="AP3404" s="2"/>
      <c r="AQ3404" s="2"/>
      <c r="AR3404" s="2"/>
      <c r="AS3404" s="2"/>
      <c r="AT3404" s="2"/>
      <c r="AU3404" s="2"/>
      <c r="AV3404" s="2"/>
      <c r="AW3404" s="2"/>
      <c r="AX3404" s="2"/>
    </row>
    <row r="3405" spans="1:50" ht="12.75" x14ac:dyDescent="0.2">
      <c r="A3405" s="2"/>
      <c r="B3405" s="2"/>
      <c r="C3405" s="2"/>
      <c r="D3405" s="2"/>
      <c r="E3405" s="2"/>
      <c r="F3405" s="2"/>
      <c r="G3405" s="2"/>
      <c r="H3405" s="2"/>
      <c r="I3405" s="2"/>
      <c r="J3405" s="2"/>
      <c r="K3405" s="2"/>
      <c r="L3405" s="2"/>
      <c r="M3405" s="2"/>
      <c r="N3405" s="2"/>
      <c r="O3405" s="2"/>
      <c r="P3405" s="2"/>
      <c r="Q3405" s="2"/>
      <c r="R3405" s="2"/>
      <c r="S3405" s="2"/>
      <c r="T3405" s="2"/>
      <c r="U3405" s="2"/>
      <c r="V3405" s="2"/>
      <c r="W3405" s="2"/>
      <c r="X3405" s="2"/>
      <c r="Y3405" s="1"/>
      <c r="Z3405" s="1"/>
      <c r="AA3405" s="2"/>
      <c r="AB3405" s="2"/>
      <c r="AC3405" s="2"/>
      <c r="AD3405" s="2"/>
      <c r="AE3405" s="2"/>
      <c r="AF3405" s="2"/>
      <c r="AG3405" s="2"/>
      <c r="AH3405" s="2"/>
      <c r="AI3405" s="2"/>
      <c r="AJ3405" s="2"/>
      <c r="AK3405" s="2"/>
      <c r="AL3405" s="2"/>
      <c r="AM3405" s="2"/>
      <c r="AN3405" s="2"/>
      <c r="AO3405" s="2"/>
      <c r="AP3405" s="2"/>
      <c r="AQ3405" s="2"/>
      <c r="AR3405" s="2"/>
      <c r="AS3405" s="2"/>
      <c r="AT3405" s="2"/>
      <c r="AU3405" s="2"/>
      <c r="AV3405" s="2"/>
      <c r="AW3405" s="2"/>
      <c r="AX3405" s="2"/>
    </row>
    <row r="3406" spans="1:50" ht="12.75" x14ac:dyDescent="0.2">
      <c r="A3406" s="2"/>
      <c r="B3406" s="2"/>
      <c r="C3406" s="2"/>
      <c r="D3406" s="2"/>
      <c r="E3406" s="2"/>
      <c r="F3406" s="2"/>
      <c r="G3406" s="2"/>
      <c r="H3406" s="2"/>
      <c r="I3406" s="2"/>
      <c r="J3406" s="2"/>
      <c r="K3406" s="2"/>
      <c r="L3406" s="2"/>
      <c r="M3406" s="2"/>
      <c r="N3406" s="2"/>
      <c r="O3406" s="2"/>
      <c r="P3406" s="2"/>
      <c r="Q3406" s="2"/>
      <c r="R3406" s="2"/>
      <c r="S3406" s="2"/>
      <c r="T3406" s="2"/>
      <c r="U3406" s="2"/>
      <c r="V3406" s="2"/>
      <c r="W3406" s="2"/>
      <c r="X3406" s="2"/>
      <c r="Y3406" s="1"/>
      <c r="Z3406" s="1"/>
      <c r="AA3406" s="2"/>
      <c r="AB3406" s="2"/>
      <c r="AC3406" s="2"/>
      <c r="AD3406" s="2"/>
      <c r="AE3406" s="2"/>
      <c r="AF3406" s="2"/>
      <c r="AG3406" s="2"/>
      <c r="AH3406" s="2"/>
      <c r="AI3406" s="2"/>
      <c r="AJ3406" s="2"/>
      <c r="AK3406" s="2"/>
      <c r="AL3406" s="2"/>
      <c r="AM3406" s="2"/>
      <c r="AN3406" s="2"/>
      <c r="AO3406" s="2"/>
      <c r="AP3406" s="2"/>
      <c r="AQ3406" s="2"/>
      <c r="AR3406" s="2"/>
      <c r="AS3406" s="2"/>
      <c r="AT3406" s="2"/>
      <c r="AU3406" s="2"/>
      <c r="AV3406" s="2"/>
      <c r="AW3406" s="2"/>
      <c r="AX3406" s="2"/>
    </row>
    <row r="3407" spans="1:50" ht="12.75" x14ac:dyDescent="0.2">
      <c r="A3407" s="2"/>
      <c r="B3407" s="2"/>
      <c r="C3407" s="2"/>
      <c r="D3407" s="2"/>
      <c r="E3407" s="2"/>
      <c r="F3407" s="2"/>
      <c r="G3407" s="2"/>
      <c r="H3407" s="2"/>
      <c r="I3407" s="2"/>
      <c r="J3407" s="2"/>
      <c r="K3407" s="2"/>
      <c r="L3407" s="2"/>
      <c r="M3407" s="2"/>
      <c r="N3407" s="2"/>
      <c r="O3407" s="2"/>
      <c r="P3407" s="2"/>
      <c r="Q3407" s="2"/>
      <c r="R3407" s="2"/>
      <c r="S3407" s="2"/>
      <c r="T3407" s="2"/>
      <c r="U3407" s="2"/>
      <c r="V3407" s="2"/>
      <c r="W3407" s="2"/>
      <c r="X3407" s="2"/>
      <c r="Y3407" s="1"/>
      <c r="Z3407" s="1"/>
      <c r="AA3407" s="2"/>
      <c r="AB3407" s="2"/>
      <c r="AC3407" s="2"/>
      <c r="AD3407" s="2"/>
      <c r="AE3407" s="2"/>
      <c r="AF3407" s="2"/>
      <c r="AG3407" s="2"/>
      <c r="AH3407" s="2"/>
      <c r="AI3407" s="2"/>
      <c r="AJ3407" s="2"/>
      <c r="AK3407" s="2"/>
      <c r="AL3407" s="2"/>
      <c r="AM3407" s="2"/>
      <c r="AN3407" s="2"/>
      <c r="AO3407" s="2"/>
      <c r="AP3407" s="2"/>
      <c r="AQ3407" s="2"/>
      <c r="AR3407" s="2"/>
      <c r="AS3407" s="2"/>
      <c r="AT3407" s="2"/>
      <c r="AU3407" s="2"/>
      <c r="AV3407" s="2"/>
      <c r="AW3407" s="2"/>
      <c r="AX3407" s="2"/>
    </row>
    <row r="3408" spans="1:50" ht="12.75" x14ac:dyDescent="0.2">
      <c r="A3408" s="2"/>
      <c r="B3408" s="2"/>
      <c r="C3408" s="2"/>
      <c r="D3408" s="2"/>
      <c r="E3408" s="2"/>
      <c r="F3408" s="2"/>
      <c r="G3408" s="2"/>
      <c r="H3408" s="2"/>
      <c r="I3408" s="2"/>
      <c r="J3408" s="2"/>
      <c r="K3408" s="2"/>
      <c r="L3408" s="2"/>
      <c r="M3408" s="2"/>
      <c r="N3408" s="2"/>
      <c r="O3408" s="2"/>
      <c r="P3408" s="2"/>
      <c r="Q3408" s="2"/>
      <c r="R3408" s="2"/>
      <c r="S3408" s="2"/>
      <c r="T3408" s="2"/>
      <c r="U3408" s="2"/>
      <c r="V3408" s="2"/>
      <c r="W3408" s="2"/>
      <c r="X3408" s="2"/>
      <c r="Y3408" s="1"/>
      <c r="Z3408" s="1"/>
      <c r="AA3408" s="2"/>
      <c r="AB3408" s="2"/>
      <c r="AC3408" s="2"/>
      <c r="AD3408" s="2"/>
      <c r="AE3408" s="2"/>
      <c r="AF3408" s="2"/>
      <c r="AG3408" s="2"/>
      <c r="AH3408" s="2"/>
      <c r="AI3408" s="2"/>
      <c r="AJ3408" s="2"/>
      <c r="AK3408" s="2"/>
      <c r="AL3408" s="2"/>
      <c r="AM3408" s="2"/>
      <c r="AN3408" s="2"/>
      <c r="AO3408" s="2"/>
      <c r="AP3408" s="2"/>
      <c r="AQ3408" s="2"/>
      <c r="AR3408" s="2"/>
      <c r="AS3408" s="2"/>
      <c r="AT3408" s="2"/>
      <c r="AU3408" s="2"/>
      <c r="AV3408" s="2"/>
      <c r="AW3408" s="2"/>
      <c r="AX3408" s="2"/>
    </row>
    <row r="3409" spans="1:50" ht="12.75" x14ac:dyDescent="0.2">
      <c r="A3409" s="2"/>
      <c r="B3409" s="2"/>
      <c r="C3409" s="2"/>
      <c r="D3409" s="2"/>
      <c r="E3409" s="2"/>
      <c r="F3409" s="2"/>
      <c r="G3409" s="2"/>
      <c r="H3409" s="2"/>
      <c r="I3409" s="2"/>
      <c r="J3409" s="2"/>
      <c r="K3409" s="2"/>
      <c r="L3409" s="2"/>
      <c r="M3409" s="2"/>
      <c r="N3409" s="2"/>
      <c r="O3409" s="2"/>
      <c r="P3409" s="2"/>
      <c r="Q3409" s="2"/>
      <c r="R3409" s="2"/>
      <c r="S3409" s="2"/>
      <c r="T3409" s="2"/>
      <c r="U3409" s="2"/>
      <c r="V3409" s="2"/>
      <c r="W3409" s="2"/>
      <c r="X3409" s="2"/>
      <c r="Y3409" s="1"/>
      <c r="Z3409" s="1"/>
      <c r="AA3409" s="2"/>
      <c r="AB3409" s="2"/>
      <c r="AC3409" s="2"/>
      <c r="AD3409" s="2"/>
      <c r="AE3409" s="2"/>
      <c r="AF3409" s="2"/>
      <c r="AG3409" s="2"/>
      <c r="AH3409" s="2"/>
      <c r="AI3409" s="2"/>
      <c r="AJ3409" s="2"/>
      <c r="AK3409" s="2"/>
      <c r="AL3409" s="2"/>
      <c r="AM3409" s="2"/>
      <c r="AN3409" s="2"/>
      <c r="AO3409" s="2"/>
      <c r="AP3409" s="2"/>
      <c r="AQ3409" s="2"/>
      <c r="AR3409" s="2"/>
      <c r="AS3409" s="2"/>
      <c r="AT3409" s="2"/>
      <c r="AU3409" s="2"/>
      <c r="AV3409" s="2"/>
      <c r="AW3409" s="2"/>
      <c r="AX3409" s="2"/>
    </row>
    <row r="3410" spans="1:50" ht="12.75" x14ac:dyDescent="0.2">
      <c r="A3410" s="2"/>
      <c r="B3410" s="2"/>
      <c r="C3410" s="2"/>
      <c r="D3410" s="2"/>
      <c r="E3410" s="2"/>
      <c r="F3410" s="2"/>
      <c r="G3410" s="2"/>
      <c r="H3410" s="2"/>
      <c r="I3410" s="2"/>
      <c r="J3410" s="2"/>
      <c r="K3410" s="2"/>
      <c r="L3410" s="2"/>
      <c r="M3410" s="2"/>
      <c r="N3410" s="2"/>
      <c r="O3410" s="2"/>
      <c r="P3410" s="2"/>
      <c r="Q3410" s="2"/>
      <c r="R3410" s="2"/>
      <c r="S3410" s="2"/>
      <c r="T3410" s="2"/>
      <c r="U3410" s="2"/>
      <c r="V3410" s="2"/>
      <c r="W3410" s="2"/>
      <c r="X3410" s="2"/>
      <c r="Y3410" s="1"/>
      <c r="Z3410" s="1"/>
      <c r="AA3410" s="2"/>
      <c r="AB3410" s="2"/>
      <c r="AC3410" s="2"/>
      <c r="AD3410" s="2"/>
      <c r="AE3410" s="2"/>
      <c r="AF3410" s="2"/>
      <c r="AG3410" s="2"/>
      <c r="AH3410" s="2"/>
      <c r="AI3410" s="2"/>
      <c r="AJ3410" s="2"/>
      <c r="AK3410" s="2"/>
      <c r="AL3410" s="2"/>
      <c r="AM3410" s="2"/>
      <c r="AN3410" s="2"/>
      <c r="AO3410" s="2"/>
      <c r="AP3410" s="2"/>
      <c r="AQ3410" s="2"/>
      <c r="AR3410" s="2"/>
      <c r="AS3410" s="2"/>
      <c r="AT3410" s="2"/>
      <c r="AU3410" s="2"/>
      <c r="AV3410" s="2"/>
      <c r="AW3410" s="2"/>
      <c r="AX3410" s="2"/>
    </row>
    <row r="3411" spans="1:50" ht="12.75" x14ac:dyDescent="0.2">
      <c r="A3411" s="2"/>
      <c r="B3411" s="2"/>
      <c r="C3411" s="2"/>
      <c r="D3411" s="2"/>
      <c r="E3411" s="2"/>
      <c r="F3411" s="2"/>
      <c r="G3411" s="2"/>
      <c r="H3411" s="2"/>
      <c r="I3411" s="2"/>
      <c r="J3411" s="2"/>
      <c r="K3411" s="2"/>
      <c r="L3411" s="2"/>
      <c r="M3411" s="2"/>
      <c r="N3411" s="2"/>
      <c r="O3411" s="2"/>
      <c r="P3411" s="2"/>
      <c r="Q3411" s="2"/>
      <c r="R3411" s="2"/>
      <c r="S3411" s="2"/>
      <c r="T3411" s="2"/>
      <c r="U3411" s="2"/>
      <c r="V3411" s="2"/>
      <c r="W3411" s="2"/>
      <c r="X3411" s="2"/>
      <c r="Y3411" s="1"/>
      <c r="Z3411" s="1"/>
      <c r="AA3411" s="2"/>
      <c r="AB3411" s="2"/>
      <c r="AC3411" s="2"/>
      <c r="AD3411" s="2"/>
      <c r="AE3411" s="2"/>
      <c r="AF3411" s="2"/>
      <c r="AG3411" s="2"/>
      <c r="AH3411" s="2"/>
      <c r="AI3411" s="2"/>
      <c r="AJ3411" s="2"/>
      <c r="AK3411" s="2"/>
      <c r="AL3411" s="2"/>
      <c r="AM3411" s="2"/>
      <c r="AN3411" s="2"/>
      <c r="AO3411" s="2"/>
      <c r="AP3411" s="2"/>
      <c r="AQ3411" s="2"/>
      <c r="AR3411" s="2"/>
      <c r="AS3411" s="2"/>
      <c r="AT3411" s="2"/>
      <c r="AU3411" s="2"/>
      <c r="AV3411" s="2"/>
      <c r="AW3411" s="2"/>
      <c r="AX3411" s="2"/>
    </row>
    <row r="3412" spans="1:50" ht="12.75" x14ac:dyDescent="0.2">
      <c r="A3412" s="2"/>
      <c r="B3412" s="2"/>
      <c r="C3412" s="2"/>
      <c r="D3412" s="2"/>
      <c r="E3412" s="2"/>
      <c r="F3412" s="2"/>
      <c r="G3412" s="2"/>
      <c r="H3412" s="2"/>
      <c r="I3412" s="2"/>
      <c r="J3412" s="2"/>
      <c r="K3412" s="2"/>
      <c r="L3412" s="2"/>
      <c r="M3412" s="2"/>
      <c r="N3412" s="2"/>
      <c r="O3412" s="2"/>
      <c r="P3412" s="2"/>
      <c r="Q3412" s="2"/>
      <c r="R3412" s="2"/>
      <c r="S3412" s="2"/>
      <c r="T3412" s="2"/>
      <c r="U3412" s="2"/>
      <c r="V3412" s="2"/>
      <c r="W3412" s="2"/>
      <c r="X3412" s="2"/>
      <c r="Y3412" s="1"/>
      <c r="Z3412" s="1"/>
      <c r="AA3412" s="2"/>
      <c r="AB3412" s="2"/>
      <c r="AC3412" s="2"/>
      <c r="AD3412" s="2"/>
      <c r="AE3412" s="2"/>
      <c r="AF3412" s="2"/>
      <c r="AG3412" s="2"/>
      <c r="AH3412" s="2"/>
      <c r="AI3412" s="2"/>
      <c r="AJ3412" s="2"/>
      <c r="AK3412" s="2"/>
      <c r="AL3412" s="2"/>
      <c r="AM3412" s="2"/>
      <c r="AN3412" s="2"/>
      <c r="AO3412" s="2"/>
      <c r="AP3412" s="2"/>
      <c r="AQ3412" s="2"/>
      <c r="AR3412" s="2"/>
      <c r="AS3412" s="2"/>
      <c r="AT3412" s="2"/>
      <c r="AU3412" s="2"/>
      <c r="AV3412" s="2"/>
      <c r="AW3412" s="2"/>
      <c r="AX3412" s="2"/>
    </row>
    <row r="3413" spans="1:50" ht="12.75" x14ac:dyDescent="0.2">
      <c r="A3413" s="2"/>
      <c r="B3413" s="2"/>
      <c r="C3413" s="2"/>
      <c r="D3413" s="2"/>
      <c r="E3413" s="2"/>
      <c r="F3413" s="2"/>
      <c r="G3413" s="2"/>
      <c r="H3413" s="2"/>
      <c r="I3413" s="2"/>
      <c r="J3413" s="2"/>
      <c r="K3413" s="2"/>
      <c r="L3413" s="2"/>
      <c r="M3413" s="2"/>
      <c r="N3413" s="2"/>
      <c r="O3413" s="2"/>
      <c r="P3413" s="2"/>
      <c r="Q3413" s="2"/>
      <c r="R3413" s="2"/>
      <c r="S3413" s="2"/>
      <c r="T3413" s="2"/>
      <c r="U3413" s="2"/>
      <c r="V3413" s="2"/>
      <c r="W3413" s="2"/>
      <c r="X3413" s="2"/>
      <c r="Y3413" s="1"/>
      <c r="Z3413" s="1"/>
      <c r="AA3413" s="2"/>
      <c r="AB3413" s="2"/>
      <c r="AC3413" s="2"/>
      <c r="AD3413" s="2"/>
      <c r="AE3413" s="2"/>
      <c r="AF3413" s="2"/>
      <c r="AG3413" s="2"/>
      <c r="AH3413" s="2"/>
      <c r="AI3413" s="2"/>
      <c r="AJ3413" s="2"/>
      <c r="AK3413" s="2"/>
      <c r="AL3413" s="2"/>
      <c r="AM3413" s="2"/>
      <c r="AN3413" s="2"/>
      <c r="AO3413" s="2"/>
      <c r="AP3413" s="2"/>
      <c r="AQ3413" s="2"/>
      <c r="AR3413" s="2"/>
      <c r="AS3413" s="2"/>
      <c r="AT3413" s="2"/>
      <c r="AU3413" s="2"/>
      <c r="AV3413" s="2"/>
      <c r="AW3413" s="2"/>
      <c r="AX3413" s="2"/>
    </row>
    <row r="3414" spans="1:50" ht="12.75" x14ac:dyDescent="0.2">
      <c r="A3414" s="2"/>
      <c r="B3414" s="2"/>
      <c r="C3414" s="2"/>
      <c r="D3414" s="2"/>
      <c r="E3414" s="2"/>
      <c r="F3414" s="2"/>
      <c r="G3414" s="2"/>
      <c r="H3414" s="2"/>
      <c r="I3414" s="2"/>
      <c r="J3414" s="2"/>
      <c r="K3414" s="2"/>
      <c r="L3414" s="2"/>
      <c r="M3414" s="2"/>
      <c r="N3414" s="2"/>
      <c r="O3414" s="2"/>
      <c r="P3414" s="2"/>
      <c r="Q3414" s="2"/>
      <c r="R3414" s="2"/>
      <c r="S3414" s="2"/>
      <c r="T3414" s="2"/>
      <c r="U3414" s="2"/>
      <c r="V3414" s="2"/>
      <c r="W3414" s="2"/>
      <c r="X3414" s="2"/>
      <c r="Y3414" s="1"/>
      <c r="Z3414" s="1"/>
      <c r="AA3414" s="2"/>
      <c r="AB3414" s="2"/>
      <c r="AC3414" s="2"/>
      <c r="AD3414" s="2"/>
      <c r="AE3414" s="2"/>
      <c r="AF3414" s="2"/>
      <c r="AG3414" s="2"/>
      <c r="AH3414" s="2"/>
      <c r="AI3414" s="2"/>
      <c r="AJ3414" s="2"/>
      <c r="AK3414" s="2"/>
      <c r="AL3414" s="2"/>
      <c r="AM3414" s="2"/>
      <c r="AN3414" s="2"/>
      <c r="AO3414" s="2"/>
      <c r="AP3414" s="2"/>
      <c r="AQ3414" s="2"/>
      <c r="AR3414" s="2"/>
      <c r="AS3414" s="2"/>
      <c r="AT3414" s="2"/>
      <c r="AU3414" s="2"/>
      <c r="AV3414" s="2"/>
      <c r="AW3414" s="2"/>
      <c r="AX3414" s="2"/>
    </row>
    <row r="3415" spans="1:50" ht="12.75" x14ac:dyDescent="0.2">
      <c r="A3415" s="2"/>
      <c r="B3415" s="2"/>
      <c r="C3415" s="2"/>
      <c r="D3415" s="2"/>
      <c r="E3415" s="2"/>
      <c r="F3415" s="2"/>
      <c r="G3415" s="2"/>
      <c r="H3415" s="2"/>
      <c r="I3415" s="2"/>
      <c r="J3415" s="2"/>
      <c r="K3415" s="2"/>
      <c r="L3415" s="2"/>
      <c r="M3415" s="2"/>
      <c r="N3415" s="2"/>
      <c r="O3415" s="2"/>
      <c r="P3415" s="2"/>
      <c r="Q3415" s="2"/>
      <c r="R3415" s="2"/>
      <c r="S3415" s="2"/>
      <c r="T3415" s="2"/>
      <c r="U3415" s="2"/>
      <c r="V3415" s="2"/>
      <c r="W3415" s="2"/>
      <c r="X3415" s="2"/>
      <c r="Y3415" s="1"/>
      <c r="Z3415" s="1"/>
      <c r="AA3415" s="2"/>
      <c r="AB3415" s="2"/>
      <c r="AC3415" s="2"/>
      <c r="AD3415" s="2"/>
      <c r="AE3415" s="2"/>
      <c r="AF3415" s="2"/>
      <c r="AG3415" s="2"/>
      <c r="AH3415" s="2"/>
      <c r="AI3415" s="2"/>
      <c r="AJ3415" s="2"/>
      <c r="AK3415" s="2"/>
      <c r="AL3415" s="2"/>
      <c r="AM3415" s="2"/>
      <c r="AN3415" s="2"/>
      <c r="AO3415" s="2"/>
      <c r="AP3415" s="2"/>
      <c r="AQ3415" s="2"/>
      <c r="AR3415" s="2"/>
      <c r="AS3415" s="2"/>
      <c r="AT3415" s="2"/>
      <c r="AU3415" s="2"/>
      <c r="AV3415" s="2"/>
      <c r="AW3415" s="2"/>
      <c r="AX3415" s="2"/>
    </row>
    <row r="3416" spans="1:50" ht="12.75" x14ac:dyDescent="0.2">
      <c r="A3416" s="2"/>
      <c r="B3416" s="2"/>
      <c r="C3416" s="2"/>
      <c r="D3416" s="2"/>
      <c r="E3416" s="2"/>
      <c r="F3416" s="2"/>
      <c r="G3416" s="2"/>
      <c r="H3416" s="2"/>
      <c r="I3416" s="2"/>
      <c r="J3416" s="2"/>
      <c r="K3416" s="2"/>
      <c r="L3416" s="2"/>
      <c r="M3416" s="2"/>
      <c r="N3416" s="2"/>
      <c r="O3416" s="2"/>
      <c r="P3416" s="2"/>
      <c r="Q3416" s="2"/>
      <c r="R3416" s="2"/>
      <c r="S3416" s="2"/>
      <c r="T3416" s="2"/>
      <c r="U3416" s="2"/>
      <c r="V3416" s="2"/>
      <c r="W3416" s="2"/>
      <c r="X3416" s="2"/>
      <c r="Y3416" s="1"/>
      <c r="Z3416" s="1"/>
      <c r="AA3416" s="2"/>
      <c r="AB3416" s="2"/>
      <c r="AC3416" s="2"/>
      <c r="AD3416" s="2"/>
      <c r="AE3416" s="2"/>
      <c r="AF3416" s="2"/>
      <c r="AG3416" s="2"/>
      <c r="AH3416" s="2"/>
      <c r="AI3416" s="2"/>
      <c r="AJ3416" s="2"/>
      <c r="AK3416" s="2"/>
      <c r="AL3416" s="2"/>
      <c r="AM3416" s="2"/>
      <c r="AN3416" s="2"/>
      <c r="AO3416" s="2"/>
      <c r="AP3416" s="2"/>
      <c r="AQ3416" s="2"/>
      <c r="AR3416" s="2"/>
      <c r="AS3416" s="2"/>
      <c r="AT3416" s="2"/>
      <c r="AU3416" s="2"/>
      <c r="AV3416" s="2"/>
      <c r="AW3416" s="2"/>
      <c r="AX3416" s="2"/>
    </row>
    <row r="3417" spans="1:50" ht="12.75" x14ac:dyDescent="0.2">
      <c r="A3417" s="2"/>
      <c r="B3417" s="2"/>
      <c r="C3417" s="2"/>
      <c r="D3417" s="2"/>
      <c r="E3417" s="2"/>
      <c r="F3417" s="2"/>
      <c r="G3417" s="2"/>
      <c r="H3417" s="2"/>
      <c r="I3417" s="2"/>
      <c r="J3417" s="2"/>
      <c r="K3417" s="2"/>
      <c r="L3417" s="2"/>
      <c r="M3417" s="2"/>
      <c r="N3417" s="2"/>
      <c r="O3417" s="2"/>
      <c r="P3417" s="2"/>
      <c r="Q3417" s="2"/>
      <c r="R3417" s="2"/>
      <c r="S3417" s="2"/>
      <c r="T3417" s="2"/>
      <c r="U3417" s="2"/>
      <c r="V3417" s="2"/>
      <c r="W3417" s="2"/>
      <c r="X3417" s="2"/>
      <c r="Y3417" s="1"/>
      <c r="Z3417" s="1"/>
      <c r="AA3417" s="2"/>
      <c r="AB3417" s="2"/>
      <c r="AC3417" s="2"/>
      <c r="AD3417" s="2"/>
      <c r="AE3417" s="2"/>
      <c r="AF3417" s="2"/>
      <c r="AG3417" s="2"/>
      <c r="AH3417" s="2"/>
      <c r="AI3417" s="2"/>
      <c r="AJ3417" s="2"/>
      <c r="AK3417" s="2"/>
      <c r="AL3417" s="2"/>
      <c r="AM3417" s="2"/>
      <c r="AN3417" s="2"/>
      <c r="AO3417" s="2"/>
      <c r="AP3417" s="2"/>
      <c r="AQ3417" s="2"/>
      <c r="AR3417" s="2"/>
      <c r="AS3417" s="2"/>
      <c r="AT3417" s="2"/>
      <c r="AU3417" s="2"/>
      <c r="AV3417" s="2"/>
      <c r="AW3417" s="2"/>
      <c r="AX3417" s="2"/>
    </row>
    <row r="3418" spans="1:50" ht="12.75" x14ac:dyDescent="0.2">
      <c r="A3418" s="2"/>
      <c r="B3418" s="2"/>
      <c r="C3418" s="2"/>
      <c r="D3418" s="2"/>
      <c r="E3418" s="2"/>
      <c r="F3418" s="2"/>
      <c r="G3418" s="2"/>
      <c r="H3418" s="2"/>
      <c r="I3418" s="2"/>
      <c r="J3418" s="2"/>
      <c r="K3418" s="2"/>
      <c r="L3418" s="2"/>
      <c r="M3418" s="2"/>
      <c r="N3418" s="2"/>
      <c r="O3418" s="2"/>
      <c r="P3418" s="2"/>
      <c r="Q3418" s="2"/>
      <c r="R3418" s="2"/>
      <c r="S3418" s="2"/>
      <c r="T3418" s="2"/>
      <c r="U3418" s="2"/>
      <c r="V3418" s="2"/>
      <c r="W3418" s="2"/>
      <c r="X3418" s="2"/>
      <c r="Y3418" s="1"/>
      <c r="Z3418" s="1"/>
      <c r="AA3418" s="2"/>
      <c r="AB3418" s="2"/>
      <c r="AC3418" s="2"/>
      <c r="AD3418" s="2"/>
      <c r="AE3418" s="2"/>
      <c r="AF3418" s="2"/>
      <c r="AG3418" s="2"/>
      <c r="AH3418" s="2"/>
      <c r="AI3418" s="2"/>
      <c r="AJ3418" s="2"/>
      <c r="AK3418" s="2"/>
      <c r="AL3418" s="2"/>
      <c r="AM3418" s="2"/>
      <c r="AN3418" s="2"/>
      <c r="AO3418" s="2"/>
      <c r="AP3418" s="2"/>
      <c r="AQ3418" s="2"/>
      <c r="AR3418" s="2"/>
      <c r="AS3418" s="2"/>
      <c r="AT3418" s="2"/>
      <c r="AU3418" s="2"/>
      <c r="AV3418" s="2"/>
      <c r="AW3418" s="2"/>
      <c r="AX3418" s="2"/>
    </row>
    <row r="3419" spans="1:50" ht="12.75" x14ac:dyDescent="0.2">
      <c r="A3419" s="2"/>
      <c r="B3419" s="2"/>
      <c r="C3419" s="2"/>
      <c r="D3419" s="2"/>
      <c r="E3419" s="2"/>
      <c r="F3419" s="2"/>
      <c r="G3419" s="2"/>
      <c r="H3419" s="2"/>
      <c r="I3419" s="2"/>
      <c r="J3419" s="2"/>
      <c r="K3419" s="2"/>
      <c r="L3419" s="2"/>
      <c r="M3419" s="2"/>
      <c r="N3419" s="2"/>
      <c r="O3419" s="2"/>
      <c r="P3419" s="2"/>
      <c r="Q3419" s="2"/>
      <c r="R3419" s="2"/>
      <c r="S3419" s="2"/>
      <c r="T3419" s="2"/>
      <c r="U3419" s="2"/>
      <c r="V3419" s="2"/>
      <c r="W3419" s="2"/>
      <c r="X3419" s="2"/>
      <c r="Y3419" s="1"/>
      <c r="Z3419" s="1"/>
      <c r="AA3419" s="2"/>
      <c r="AB3419" s="2"/>
      <c r="AC3419" s="2"/>
      <c r="AD3419" s="2"/>
      <c r="AE3419" s="2"/>
      <c r="AF3419" s="2"/>
      <c r="AG3419" s="2"/>
      <c r="AH3419" s="2"/>
      <c r="AI3419" s="2"/>
      <c r="AJ3419" s="2"/>
      <c r="AK3419" s="2"/>
      <c r="AL3419" s="2"/>
      <c r="AM3419" s="2"/>
      <c r="AN3419" s="2"/>
      <c r="AO3419" s="2"/>
      <c r="AP3419" s="2"/>
      <c r="AQ3419" s="2"/>
      <c r="AR3419" s="2"/>
      <c r="AS3419" s="2"/>
      <c r="AT3419" s="2"/>
      <c r="AU3419" s="2"/>
      <c r="AV3419" s="2"/>
      <c r="AW3419" s="2"/>
      <c r="AX3419" s="2"/>
    </row>
    <row r="3420" spans="1:50" ht="12.75" x14ac:dyDescent="0.2">
      <c r="A3420" s="2"/>
      <c r="B3420" s="2"/>
      <c r="C3420" s="2"/>
      <c r="D3420" s="2"/>
      <c r="E3420" s="2"/>
      <c r="F3420" s="2"/>
      <c r="G3420" s="2"/>
      <c r="H3420" s="2"/>
      <c r="I3420" s="2"/>
      <c r="J3420" s="2"/>
      <c r="K3420" s="2"/>
      <c r="L3420" s="2"/>
      <c r="M3420" s="2"/>
      <c r="N3420" s="2"/>
      <c r="O3420" s="2"/>
      <c r="P3420" s="2"/>
      <c r="Q3420" s="2"/>
      <c r="R3420" s="2"/>
      <c r="S3420" s="2"/>
      <c r="T3420" s="2"/>
      <c r="U3420" s="2"/>
      <c r="V3420" s="2"/>
      <c r="W3420" s="2"/>
      <c r="X3420" s="2"/>
      <c r="Y3420" s="1"/>
      <c r="Z3420" s="1"/>
      <c r="AA3420" s="2"/>
      <c r="AB3420" s="2"/>
      <c r="AC3420" s="2"/>
      <c r="AD3420" s="2"/>
      <c r="AE3420" s="2"/>
      <c r="AF3420" s="2"/>
      <c r="AG3420" s="2"/>
      <c r="AH3420" s="2"/>
      <c r="AI3420" s="2"/>
      <c r="AJ3420" s="2"/>
      <c r="AK3420" s="2"/>
      <c r="AL3420" s="2"/>
      <c r="AM3420" s="2"/>
      <c r="AN3420" s="2"/>
      <c r="AO3420" s="2"/>
      <c r="AP3420" s="2"/>
      <c r="AQ3420" s="2"/>
      <c r="AR3420" s="2"/>
      <c r="AS3420" s="2"/>
      <c r="AT3420" s="2"/>
      <c r="AU3420" s="2"/>
      <c r="AV3420" s="2"/>
      <c r="AW3420" s="2"/>
      <c r="AX3420" s="2"/>
    </row>
    <row r="3421" spans="1:50" ht="12.75" x14ac:dyDescent="0.2">
      <c r="A3421" s="2"/>
      <c r="B3421" s="2"/>
      <c r="C3421" s="2"/>
      <c r="D3421" s="2"/>
      <c r="E3421" s="2"/>
      <c r="F3421" s="2"/>
      <c r="G3421" s="2"/>
      <c r="H3421" s="2"/>
      <c r="I3421" s="2"/>
      <c r="J3421" s="2"/>
      <c r="K3421" s="2"/>
      <c r="L3421" s="2"/>
      <c r="M3421" s="2"/>
      <c r="N3421" s="2"/>
      <c r="O3421" s="2"/>
      <c r="P3421" s="2"/>
      <c r="Q3421" s="2"/>
      <c r="R3421" s="2"/>
      <c r="S3421" s="2"/>
      <c r="T3421" s="2"/>
      <c r="U3421" s="2"/>
      <c r="V3421" s="2"/>
      <c r="W3421" s="2"/>
      <c r="X3421" s="2"/>
      <c r="Y3421" s="1"/>
      <c r="Z3421" s="1"/>
      <c r="AA3421" s="2"/>
      <c r="AB3421" s="2"/>
      <c r="AC3421" s="2"/>
      <c r="AD3421" s="2"/>
      <c r="AE3421" s="2"/>
      <c r="AF3421" s="2"/>
      <c r="AG3421" s="2"/>
      <c r="AH3421" s="2"/>
      <c r="AI3421" s="2"/>
      <c r="AJ3421" s="2"/>
      <c r="AK3421" s="2"/>
      <c r="AL3421" s="2"/>
      <c r="AM3421" s="2"/>
      <c r="AN3421" s="2"/>
      <c r="AO3421" s="2"/>
      <c r="AP3421" s="2"/>
      <c r="AQ3421" s="2"/>
      <c r="AR3421" s="2"/>
      <c r="AS3421" s="2"/>
      <c r="AT3421" s="2"/>
      <c r="AU3421" s="2"/>
      <c r="AV3421" s="2"/>
      <c r="AW3421" s="2"/>
      <c r="AX3421" s="2"/>
    </row>
    <row r="3422" spans="1:50" ht="12.75" x14ac:dyDescent="0.2">
      <c r="A3422" s="2"/>
      <c r="B3422" s="2"/>
      <c r="C3422" s="2"/>
      <c r="D3422" s="2"/>
      <c r="E3422" s="2"/>
      <c r="F3422" s="2"/>
      <c r="G3422" s="2"/>
      <c r="H3422" s="2"/>
      <c r="I3422" s="2"/>
      <c r="J3422" s="2"/>
      <c r="K3422" s="2"/>
      <c r="L3422" s="2"/>
      <c r="M3422" s="2"/>
      <c r="N3422" s="2"/>
      <c r="O3422" s="2"/>
      <c r="P3422" s="2"/>
      <c r="Q3422" s="2"/>
      <c r="R3422" s="2"/>
      <c r="S3422" s="2"/>
      <c r="T3422" s="2"/>
      <c r="U3422" s="2"/>
      <c r="V3422" s="2"/>
      <c r="W3422" s="2"/>
      <c r="X3422" s="2"/>
      <c r="Y3422" s="1"/>
      <c r="Z3422" s="1"/>
      <c r="AA3422" s="2"/>
      <c r="AB3422" s="2"/>
      <c r="AC3422" s="2"/>
      <c r="AD3422" s="2"/>
      <c r="AE3422" s="2"/>
      <c r="AF3422" s="2"/>
      <c r="AG3422" s="2"/>
      <c r="AH3422" s="2"/>
      <c r="AI3422" s="2"/>
      <c r="AJ3422" s="2"/>
      <c r="AK3422" s="2"/>
      <c r="AL3422" s="2"/>
      <c r="AM3422" s="2"/>
      <c r="AN3422" s="2"/>
      <c r="AO3422" s="2"/>
      <c r="AP3422" s="2"/>
      <c r="AQ3422" s="2"/>
      <c r="AR3422" s="2"/>
      <c r="AS3422" s="2"/>
      <c r="AT3422" s="2"/>
      <c r="AU3422" s="2"/>
      <c r="AV3422" s="2"/>
      <c r="AW3422" s="2"/>
      <c r="AX3422" s="2"/>
    </row>
    <row r="3423" spans="1:50" ht="12.75" x14ac:dyDescent="0.2">
      <c r="A3423" s="2"/>
      <c r="B3423" s="2"/>
      <c r="C3423" s="2"/>
      <c r="D3423" s="2"/>
      <c r="E3423" s="2"/>
      <c r="F3423" s="2"/>
      <c r="G3423" s="2"/>
      <c r="H3423" s="2"/>
      <c r="I3423" s="2"/>
      <c r="J3423" s="2"/>
      <c r="K3423" s="2"/>
      <c r="L3423" s="2"/>
      <c r="M3423" s="2"/>
      <c r="N3423" s="2"/>
      <c r="O3423" s="2"/>
      <c r="P3423" s="2"/>
      <c r="Q3423" s="2"/>
      <c r="R3423" s="2"/>
      <c r="S3423" s="2"/>
      <c r="T3423" s="2"/>
      <c r="U3423" s="2"/>
      <c r="V3423" s="2"/>
      <c r="W3423" s="2"/>
      <c r="X3423" s="2"/>
      <c r="Y3423" s="1"/>
      <c r="Z3423" s="1"/>
      <c r="AA3423" s="2"/>
      <c r="AB3423" s="2"/>
      <c r="AC3423" s="2"/>
      <c r="AD3423" s="2"/>
      <c r="AE3423" s="2"/>
      <c r="AF3423" s="2"/>
      <c r="AG3423" s="2"/>
      <c r="AH3423" s="2"/>
      <c r="AI3423" s="2"/>
      <c r="AJ3423" s="2"/>
      <c r="AK3423" s="2"/>
      <c r="AL3423" s="2"/>
      <c r="AM3423" s="2"/>
      <c r="AN3423" s="2"/>
      <c r="AO3423" s="2"/>
      <c r="AP3423" s="2"/>
      <c r="AQ3423" s="2"/>
      <c r="AR3423" s="2"/>
      <c r="AS3423" s="2"/>
      <c r="AT3423" s="2"/>
      <c r="AU3423" s="2"/>
      <c r="AV3423" s="2"/>
      <c r="AW3423" s="2"/>
      <c r="AX3423" s="2"/>
    </row>
    <row r="3424" spans="1:50" ht="12.75" x14ac:dyDescent="0.2">
      <c r="A3424" s="2"/>
      <c r="B3424" s="2"/>
      <c r="C3424" s="2"/>
      <c r="D3424" s="2"/>
      <c r="E3424" s="2"/>
      <c r="F3424" s="2"/>
      <c r="G3424" s="2"/>
      <c r="H3424" s="2"/>
      <c r="I3424" s="2"/>
      <c r="J3424" s="2"/>
      <c r="K3424" s="2"/>
      <c r="L3424" s="2"/>
      <c r="M3424" s="2"/>
      <c r="N3424" s="2"/>
      <c r="O3424" s="2"/>
      <c r="P3424" s="2"/>
      <c r="Q3424" s="2"/>
      <c r="R3424" s="2"/>
      <c r="S3424" s="2"/>
      <c r="T3424" s="2"/>
      <c r="U3424" s="2"/>
      <c r="V3424" s="2"/>
      <c r="W3424" s="2"/>
      <c r="X3424" s="2"/>
      <c r="Y3424" s="1"/>
      <c r="Z3424" s="1"/>
      <c r="AA3424" s="2"/>
      <c r="AB3424" s="2"/>
      <c r="AC3424" s="2"/>
      <c r="AD3424" s="2"/>
      <c r="AE3424" s="2"/>
      <c r="AF3424" s="2"/>
      <c r="AG3424" s="2"/>
      <c r="AH3424" s="2"/>
      <c r="AI3424" s="2"/>
      <c r="AJ3424" s="2"/>
      <c r="AK3424" s="2"/>
      <c r="AL3424" s="2"/>
      <c r="AM3424" s="2"/>
      <c r="AN3424" s="2"/>
      <c r="AO3424" s="2"/>
      <c r="AP3424" s="2"/>
      <c r="AQ3424" s="2"/>
      <c r="AR3424" s="2"/>
      <c r="AS3424" s="2"/>
      <c r="AT3424" s="2"/>
      <c r="AU3424" s="2"/>
      <c r="AV3424" s="2"/>
      <c r="AW3424" s="2"/>
      <c r="AX3424" s="2"/>
    </row>
    <row r="3425" spans="1:50" ht="12.75" x14ac:dyDescent="0.2">
      <c r="A3425" s="2"/>
      <c r="B3425" s="2"/>
      <c r="C3425" s="2"/>
      <c r="D3425" s="2"/>
      <c r="E3425" s="2"/>
      <c r="F3425" s="2"/>
      <c r="G3425" s="2"/>
      <c r="H3425" s="2"/>
      <c r="I3425" s="2"/>
      <c r="J3425" s="2"/>
      <c r="K3425" s="2"/>
      <c r="L3425" s="2"/>
      <c r="M3425" s="2"/>
      <c r="N3425" s="2"/>
      <c r="O3425" s="2"/>
      <c r="P3425" s="2"/>
      <c r="Q3425" s="2"/>
      <c r="R3425" s="2"/>
      <c r="S3425" s="2"/>
      <c r="T3425" s="2"/>
      <c r="U3425" s="2"/>
      <c r="V3425" s="2"/>
      <c r="W3425" s="2"/>
      <c r="X3425" s="2"/>
      <c r="Y3425" s="1"/>
      <c r="Z3425" s="1"/>
      <c r="AA3425" s="2"/>
      <c r="AB3425" s="2"/>
      <c r="AC3425" s="2"/>
      <c r="AD3425" s="2"/>
      <c r="AE3425" s="2"/>
      <c r="AF3425" s="2"/>
      <c r="AG3425" s="2"/>
      <c r="AH3425" s="2"/>
      <c r="AI3425" s="2"/>
      <c r="AJ3425" s="2"/>
      <c r="AK3425" s="2"/>
      <c r="AL3425" s="2"/>
      <c r="AM3425" s="2"/>
      <c r="AN3425" s="2"/>
      <c r="AO3425" s="2"/>
      <c r="AP3425" s="2"/>
      <c r="AQ3425" s="2"/>
      <c r="AR3425" s="2"/>
      <c r="AS3425" s="2"/>
      <c r="AT3425" s="2"/>
      <c r="AU3425" s="2"/>
      <c r="AV3425" s="2"/>
      <c r="AW3425" s="2"/>
      <c r="AX3425" s="2"/>
    </row>
    <row r="3426" spans="1:50" ht="12.75" x14ac:dyDescent="0.2">
      <c r="A3426" s="2"/>
      <c r="B3426" s="2"/>
      <c r="C3426" s="2"/>
      <c r="D3426" s="2"/>
      <c r="E3426" s="2"/>
      <c r="F3426" s="2"/>
      <c r="G3426" s="2"/>
      <c r="H3426" s="2"/>
      <c r="I3426" s="2"/>
      <c r="J3426" s="2"/>
      <c r="K3426" s="2"/>
      <c r="L3426" s="2"/>
      <c r="M3426" s="2"/>
      <c r="N3426" s="2"/>
      <c r="O3426" s="2"/>
      <c r="P3426" s="2"/>
      <c r="Q3426" s="2"/>
      <c r="R3426" s="2"/>
      <c r="S3426" s="2"/>
      <c r="T3426" s="2"/>
      <c r="U3426" s="2"/>
      <c r="V3426" s="2"/>
      <c r="W3426" s="2"/>
      <c r="X3426" s="2"/>
      <c r="Y3426" s="1"/>
      <c r="Z3426" s="1"/>
      <c r="AA3426" s="2"/>
      <c r="AB3426" s="2"/>
      <c r="AC3426" s="2"/>
      <c r="AD3426" s="2"/>
      <c r="AE3426" s="2"/>
      <c r="AF3426" s="2"/>
      <c r="AG3426" s="2"/>
      <c r="AH3426" s="2"/>
      <c r="AI3426" s="2"/>
      <c r="AJ3426" s="2"/>
      <c r="AK3426" s="2"/>
      <c r="AL3426" s="2"/>
      <c r="AM3426" s="2"/>
      <c r="AN3426" s="2"/>
      <c r="AO3426" s="2"/>
      <c r="AP3426" s="2"/>
      <c r="AQ3426" s="2"/>
      <c r="AR3426" s="2"/>
      <c r="AS3426" s="2"/>
      <c r="AT3426" s="2"/>
      <c r="AU3426" s="2"/>
      <c r="AV3426" s="2"/>
      <c r="AW3426" s="2"/>
      <c r="AX3426" s="2"/>
    </row>
    <row r="3427" spans="1:50" ht="12.75" x14ac:dyDescent="0.2">
      <c r="A3427" s="2"/>
      <c r="B3427" s="2"/>
      <c r="C3427" s="2"/>
      <c r="D3427" s="2"/>
      <c r="E3427" s="2"/>
      <c r="F3427" s="2"/>
      <c r="G3427" s="2"/>
      <c r="H3427" s="2"/>
      <c r="I3427" s="2"/>
      <c r="J3427" s="2"/>
      <c r="K3427" s="2"/>
      <c r="L3427" s="2"/>
      <c r="M3427" s="2"/>
      <c r="N3427" s="2"/>
      <c r="O3427" s="2"/>
      <c r="P3427" s="2"/>
      <c r="Q3427" s="2"/>
      <c r="R3427" s="2"/>
      <c r="S3427" s="2"/>
      <c r="T3427" s="2"/>
      <c r="U3427" s="2"/>
      <c r="V3427" s="2"/>
      <c r="W3427" s="2"/>
      <c r="X3427" s="2"/>
      <c r="Y3427" s="1"/>
      <c r="Z3427" s="1"/>
      <c r="AA3427" s="2"/>
      <c r="AB3427" s="2"/>
      <c r="AC3427" s="2"/>
      <c r="AD3427" s="2"/>
      <c r="AE3427" s="2"/>
      <c r="AF3427" s="2"/>
      <c r="AG3427" s="2"/>
      <c r="AH3427" s="2"/>
      <c r="AI3427" s="2"/>
      <c r="AJ3427" s="2"/>
      <c r="AK3427" s="2"/>
      <c r="AL3427" s="2"/>
      <c r="AM3427" s="2"/>
      <c r="AN3427" s="2"/>
      <c r="AO3427" s="2"/>
      <c r="AP3427" s="2"/>
      <c r="AQ3427" s="2"/>
      <c r="AR3427" s="2"/>
      <c r="AS3427" s="2"/>
      <c r="AT3427" s="2"/>
      <c r="AU3427" s="2"/>
      <c r="AV3427" s="2"/>
      <c r="AW3427" s="2"/>
      <c r="AX3427" s="2"/>
    </row>
    <row r="3428" spans="1:50" ht="12.75" x14ac:dyDescent="0.2">
      <c r="A3428" s="2"/>
      <c r="B3428" s="2"/>
      <c r="C3428" s="2"/>
      <c r="D3428" s="2"/>
      <c r="E3428" s="2"/>
      <c r="F3428" s="2"/>
      <c r="G3428" s="2"/>
      <c r="H3428" s="2"/>
      <c r="I3428" s="2"/>
      <c r="J3428" s="2"/>
      <c r="K3428" s="2"/>
      <c r="L3428" s="2"/>
      <c r="M3428" s="2"/>
      <c r="N3428" s="2"/>
      <c r="O3428" s="2"/>
      <c r="P3428" s="2"/>
      <c r="Q3428" s="2"/>
      <c r="R3428" s="2"/>
      <c r="S3428" s="2"/>
      <c r="T3428" s="2"/>
      <c r="U3428" s="2"/>
      <c r="V3428" s="2"/>
      <c r="W3428" s="2"/>
      <c r="X3428" s="2"/>
      <c r="Y3428" s="1"/>
      <c r="Z3428" s="1"/>
      <c r="AA3428" s="2"/>
      <c r="AB3428" s="2"/>
      <c r="AC3428" s="2"/>
      <c r="AD3428" s="2"/>
      <c r="AE3428" s="2"/>
      <c r="AF3428" s="2"/>
      <c r="AG3428" s="2"/>
      <c r="AH3428" s="2"/>
      <c r="AI3428" s="2"/>
      <c r="AJ3428" s="2"/>
      <c r="AK3428" s="2"/>
      <c r="AL3428" s="2"/>
      <c r="AM3428" s="2"/>
      <c r="AN3428" s="2"/>
      <c r="AO3428" s="2"/>
      <c r="AP3428" s="2"/>
      <c r="AQ3428" s="2"/>
      <c r="AR3428" s="2"/>
      <c r="AS3428" s="2"/>
      <c r="AT3428" s="2"/>
      <c r="AU3428" s="2"/>
      <c r="AV3428" s="2"/>
      <c r="AW3428" s="2"/>
      <c r="AX3428" s="2"/>
    </row>
    <row r="3429" spans="1:50" ht="12.75" x14ac:dyDescent="0.2">
      <c r="A3429" s="2"/>
      <c r="B3429" s="2"/>
      <c r="C3429" s="2"/>
      <c r="D3429" s="2"/>
      <c r="E3429" s="2"/>
      <c r="F3429" s="2"/>
      <c r="G3429" s="2"/>
      <c r="H3429" s="2"/>
      <c r="I3429" s="2"/>
      <c r="J3429" s="2"/>
      <c r="K3429" s="2"/>
      <c r="L3429" s="2"/>
      <c r="M3429" s="2"/>
      <c r="N3429" s="2"/>
      <c r="O3429" s="2"/>
      <c r="P3429" s="2"/>
      <c r="Q3429" s="2"/>
      <c r="R3429" s="2"/>
      <c r="S3429" s="2"/>
      <c r="T3429" s="2"/>
      <c r="U3429" s="2"/>
      <c r="V3429" s="2"/>
      <c r="W3429" s="2"/>
      <c r="X3429" s="2"/>
      <c r="Y3429" s="1"/>
      <c r="Z3429" s="1"/>
      <c r="AA3429" s="2"/>
      <c r="AB3429" s="2"/>
      <c r="AC3429" s="2"/>
      <c r="AD3429" s="2"/>
      <c r="AE3429" s="2"/>
      <c r="AF3429" s="2"/>
      <c r="AG3429" s="2"/>
      <c r="AH3429" s="2"/>
      <c r="AI3429" s="2"/>
      <c r="AJ3429" s="2"/>
      <c r="AK3429" s="2"/>
      <c r="AL3429" s="2"/>
      <c r="AM3429" s="2"/>
      <c r="AN3429" s="2"/>
      <c r="AO3429" s="2"/>
      <c r="AP3429" s="2"/>
      <c r="AQ3429" s="2"/>
      <c r="AR3429" s="2"/>
      <c r="AS3429" s="2"/>
      <c r="AT3429" s="2"/>
      <c r="AU3429" s="2"/>
      <c r="AV3429" s="2"/>
      <c r="AW3429" s="2"/>
      <c r="AX3429" s="2"/>
    </row>
    <row r="3430" spans="1:50" ht="12.75" x14ac:dyDescent="0.2">
      <c r="A3430" s="2"/>
      <c r="B3430" s="2"/>
      <c r="C3430" s="2"/>
      <c r="D3430" s="2"/>
      <c r="E3430" s="2"/>
      <c r="F3430" s="2"/>
      <c r="G3430" s="2"/>
      <c r="H3430" s="2"/>
      <c r="I3430" s="2"/>
      <c r="J3430" s="2"/>
      <c r="K3430" s="2"/>
      <c r="L3430" s="2"/>
      <c r="M3430" s="2"/>
      <c r="N3430" s="2"/>
      <c r="O3430" s="2"/>
      <c r="P3430" s="2"/>
      <c r="Q3430" s="2"/>
      <c r="R3430" s="2"/>
      <c r="S3430" s="2"/>
      <c r="T3430" s="2"/>
      <c r="U3430" s="2"/>
      <c r="V3430" s="2"/>
      <c r="W3430" s="2"/>
      <c r="X3430" s="2"/>
      <c r="Y3430" s="1"/>
      <c r="Z3430" s="1"/>
      <c r="AA3430" s="2"/>
      <c r="AB3430" s="2"/>
      <c r="AC3430" s="2"/>
      <c r="AD3430" s="2"/>
      <c r="AE3430" s="2"/>
      <c r="AF3430" s="2"/>
      <c r="AG3430" s="2"/>
      <c r="AH3430" s="2"/>
      <c r="AI3430" s="2"/>
      <c r="AJ3430" s="2"/>
      <c r="AK3430" s="2"/>
      <c r="AL3430" s="2"/>
      <c r="AM3430" s="2"/>
      <c r="AN3430" s="2"/>
      <c r="AO3430" s="2"/>
      <c r="AP3430" s="2"/>
      <c r="AQ3430" s="2"/>
      <c r="AR3430" s="2"/>
      <c r="AS3430" s="2"/>
      <c r="AT3430" s="2"/>
      <c r="AU3430" s="2"/>
      <c r="AV3430" s="2"/>
      <c r="AW3430" s="2"/>
      <c r="AX3430" s="2"/>
    </row>
    <row r="3431" spans="1:50" ht="12.75" x14ac:dyDescent="0.2">
      <c r="A3431" s="2"/>
      <c r="B3431" s="2"/>
      <c r="C3431" s="2"/>
      <c r="D3431" s="2"/>
      <c r="E3431" s="2"/>
      <c r="F3431" s="2"/>
      <c r="G3431" s="2"/>
      <c r="H3431" s="2"/>
      <c r="I3431" s="2"/>
      <c r="J3431" s="2"/>
      <c r="K3431" s="2"/>
      <c r="L3431" s="2"/>
      <c r="M3431" s="2"/>
      <c r="N3431" s="2"/>
      <c r="O3431" s="2"/>
      <c r="P3431" s="2"/>
      <c r="Q3431" s="2"/>
      <c r="R3431" s="2"/>
      <c r="S3431" s="2"/>
      <c r="T3431" s="2"/>
      <c r="U3431" s="2"/>
      <c r="V3431" s="2"/>
      <c r="W3431" s="2"/>
      <c r="X3431" s="2"/>
      <c r="Y3431" s="1"/>
      <c r="Z3431" s="1"/>
      <c r="AA3431" s="2"/>
      <c r="AB3431" s="2"/>
      <c r="AC3431" s="2"/>
      <c r="AD3431" s="2"/>
      <c r="AE3431" s="2"/>
      <c r="AF3431" s="2"/>
      <c r="AG3431" s="2"/>
      <c r="AH3431" s="2"/>
      <c r="AI3431" s="2"/>
      <c r="AJ3431" s="2"/>
      <c r="AK3431" s="2"/>
      <c r="AL3431" s="2"/>
      <c r="AM3431" s="2"/>
      <c r="AN3431" s="2"/>
      <c r="AO3431" s="2"/>
      <c r="AP3431" s="2"/>
      <c r="AQ3431" s="2"/>
      <c r="AR3431" s="2"/>
      <c r="AS3431" s="2"/>
      <c r="AT3431" s="2"/>
      <c r="AU3431" s="2"/>
      <c r="AV3431" s="2"/>
      <c r="AW3431" s="2"/>
      <c r="AX3431" s="2"/>
    </row>
    <row r="3432" spans="1:50" ht="12.75" x14ac:dyDescent="0.2">
      <c r="A3432" s="2"/>
      <c r="B3432" s="2"/>
      <c r="C3432" s="2"/>
      <c r="D3432" s="2"/>
      <c r="E3432" s="2"/>
      <c r="F3432" s="2"/>
      <c r="G3432" s="2"/>
      <c r="H3432" s="2"/>
      <c r="I3432" s="2"/>
      <c r="J3432" s="2"/>
      <c r="K3432" s="2"/>
      <c r="L3432" s="2"/>
      <c r="M3432" s="2"/>
      <c r="N3432" s="2"/>
      <c r="O3432" s="2"/>
      <c r="P3432" s="2"/>
      <c r="Q3432" s="2"/>
      <c r="R3432" s="2"/>
      <c r="S3432" s="2"/>
      <c r="T3432" s="2"/>
      <c r="U3432" s="2"/>
      <c r="V3432" s="2"/>
      <c r="W3432" s="2"/>
      <c r="X3432" s="2"/>
      <c r="Y3432" s="1"/>
      <c r="Z3432" s="1"/>
      <c r="AA3432" s="2"/>
      <c r="AB3432" s="2"/>
      <c r="AC3432" s="2"/>
      <c r="AD3432" s="2"/>
      <c r="AE3432" s="2"/>
      <c r="AF3432" s="2"/>
      <c r="AG3432" s="2"/>
      <c r="AH3432" s="2"/>
      <c r="AI3432" s="2"/>
      <c r="AJ3432" s="2"/>
      <c r="AK3432" s="2"/>
      <c r="AL3432" s="2"/>
      <c r="AM3432" s="2"/>
      <c r="AN3432" s="2"/>
      <c r="AO3432" s="2"/>
      <c r="AP3432" s="2"/>
      <c r="AQ3432" s="2"/>
      <c r="AR3432" s="2"/>
      <c r="AS3432" s="2"/>
      <c r="AT3432" s="2"/>
      <c r="AU3432" s="2"/>
      <c r="AV3432" s="2"/>
      <c r="AW3432" s="2"/>
      <c r="AX3432" s="2"/>
    </row>
    <row r="3433" spans="1:50" ht="12.75" x14ac:dyDescent="0.2">
      <c r="A3433" s="2"/>
      <c r="B3433" s="2"/>
      <c r="C3433" s="2"/>
      <c r="D3433" s="2"/>
      <c r="E3433" s="2"/>
      <c r="F3433" s="2"/>
      <c r="G3433" s="2"/>
      <c r="H3433" s="2"/>
      <c r="I3433" s="2"/>
      <c r="J3433" s="2"/>
      <c r="K3433" s="2"/>
      <c r="L3433" s="2"/>
      <c r="M3433" s="2"/>
      <c r="N3433" s="2"/>
      <c r="O3433" s="2"/>
      <c r="P3433" s="2"/>
      <c r="Q3433" s="2"/>
      <c r="R3433" s="2"/>
      <c r="S3433" s="2"/>
      <c r="T3433" s="2"/>
      <c r="U3433" s="2"/>
      <c r="V3433" s="2"/>
      <c r="W3433" s="2"/>
      <c r="X3433" s="2"/>
      <c r="Y3433" s="1"/>
      <c r="Z3433" s="1"/>
      <c r="AA3433" s="2"/>
      <c r="AB3433" s="2"/>
      <c r="AC3433" s="2"/>
      <c r="AD3433" s="2"/>
      <c r="AE3433" s="2"/>
      <c r="AF3433" s="2"/>
      <c r="AG3433" s="2"/>
      <c r="AH3433" s="2"/>
      <c r="AI3433" s="2"/>
      <c r="AJ3433" s="2"/>
      <c r="AK3433" s="2"/>
      <c r="AL3433" s="2"/>
      <c r="AM3433" s="2"/>
      <c r="AN3433" s="2"/>
      <c r="AO3433" s="2"/>
      <c r="AP3433" s="2"/>
      <c r="AQ3433" s="2"/>
      <c r="AR3433" s="2"/>
      <c r="AS3433" s="2"/>
      <c r="AT3433" s="2"/>
      <c r="AU3433" s="2"/>
      <c r="AV3433" s="2"/>
      <c r="AW3433" s="2"/>
      <c r="AX3433" s="2"/>
    </row>
    <row r="3434" spans="1:50" ht="12.75" x14ac:dyDescent="0.2">
      <c r="A3434" s="2"/>
      <c r="B3434" s="2"/>
      <c r="C3434" s="2"/>
      <c r="D3434" s="2"/>
      <c r="E3434" s="2"/>
      <c r="F3434" s="2"/>
      <c r="G3434" s="2"/>
      <c r="H3434" s="2"/>
      <c r="I3434" s="2"/>
      <c r="J3434" s="2"/>
      <c r="K3434" s="2"/>
      <c r="L3434" s="2"/>
      <c r="M3434" s="2"/>
      <c r="N3434" s="2"/>
      <c r="O3434" s="2"/>
      <c r="P3434" s="2"/>
      <c r="Q3434" s="2"/>
      <c r="R3434" s="2"/>
      <c r="S3434" s="2"/>
      <c r="T3434" s="2"/>
      <c r="U3434" s="2"/>
      <c r="V3434" s="2"/>
      <c r="W3434" s="2"/>
      <c r="X3434" s="2"/>
      <c r="Y3434" s="1"/>
      <c r="Z3434" s="1"/>
      <c r="AA3434" s="2"/>
      <c r="AB3434" s="2"/>
      <c r="AC3434" s="2"/>
      <c r="AD3434" s="2"/>
      <c r="AE3434" s="2"/>
      <c r="AF3434" s="2"/>
      <c r="AG3434" s="2"/>
      <c r="AH3434" s="2"/>
      <c r="AI3434" s="2"/>
      <c r="AJ3434" s="2"/>
      <c r="AK3434" s="2"/>
      <c r="AL3434" s="2"/>
      <c r="AM3434" s="2"/>
      <c r="AN3434" s="2"/>
      <c r="AO3434" s="2"/>
      <c r="AP3434" s="2"/>
      <c r="AQ3434" s="2"/>
      <c r="AR3434" s="2"/>
      <c r="AS3434" s="2"/>
      <c r="AT3434" s="2"/>
      <c r="AU3434" s="2"/>
      <c r="AV3434" s="2"/>
      <c r="AW3434" s="2"/>
      <c r="AX3434" s="2"/>
    </row>
    <row r="3435" spans="1:50" ht="12.75" x14ac:dyDescent="0.2">
      <c r="A3435" s="2"/>
      <c r="B3435" s="2"/>
      <c r="C3435" s="2"/>
      <c r="D3435" s="2"/>
      <c r="E3435" s="2"/>
      <c r="F3435" s="2"/>
      <c r="G3435" s="2"/>
      <c r="H3435" s="2"/>
      <c r="I3435" s="2"/>
      <c r="J3435" s="2"/>
      <c r="K3435" s="2"/>
      <c r="L3435" s="2"/>
      <c r="M3435" s="2"/>
      <c r="N3435" s="2"/>
      <c r="O3435" s="2"/>
      <c r="P3435" s="2"/>
      <c r="Q3435" s="2"/>
      <c r="R3435" s="2"/>
      <c r="S3435" s="2"/>
      <c r="T3435" s="2"/>
      <c r="U3435" s="2"/>
      <c r="V3435" s="2"/>
      <c r="W3435" s="2"/>
      <c r="X3435" s="2"/>
      <c r="Y3435" s="1"/>
      <c r="Z3435" s="1"/>
      <c r="AA3435" s="2"/>
      <c r="AB3435" s="2"/>
      <c r="AC3435" s="2"/>
      <c r="AD3435" s="2"/>
      <c r="AE3435" s="2"/>
      <c r="AF3435" s="2"/>
      <c r="AG3435" s="2"/>
      <c r="AH3435" s="2"/>
      <c r="AI3435" s="2"/>
      <c r="AJ3435" s="2"/>
      <c r="AK3435" s="2"/>
      <c r="AL3435" s="2"/>
      <c r="AM3435" s="2"/>
      <c r="AN3435" s="2"/>
      <c r="AO3435" s="2"/>
      <c r="AP3435" s="2"/>
      <c r="AQ3435" s="2"/>
      <c r="AR3435" s="2"/>
      <c r="AS3435" s="2"/>
      <c r="AT3435" s="2"/>
      <c r="AU3435" s="2"/>
      <c r="AV3435" s="2"/>
      <c r="AW3435" s="2"/>
      <c r="AX3435" s="2"/>
    </row>
    <row r="3436" spans="1:50" ht="12.75" x14ac:dyDescent="0.2">
      <c r="A3436" s="2"/>
      <c r="B3436" s="2"/>
      <c r="C3436" s="2"/>
      <c r="D3436" s="2"/>
      <c r="E3436" s="2"/>
      <c r="F3436" s="2"/>
      <c r="G3436" s="2"/>
      <c r="H3436" s="2"/>
      <c r="I3436" s="2"/>
      <c r="J3436" s="2"/>
      <c r="K3436" s="2"/>
      <c r="L3436" s="2"/>
      <c r="M3436" s="2"/>
      <c r="N3436" s="2"/>
      <c r="O3436" s="2"/>
      <c r="P3436" s="2"/>
      <c r="Q3436" s="2"/>
      <c r="R3436" s="2"/>
      <c r="S3436" s="2"/>
      <c r="T3436" s="2"/>
      <c r="U3436" s="2"/>
      <c r="V3436" s="2"/>
      <c r="W3436" s="2"/>
      <c r="X3436" s="2"/>
      <c r="Y3436" s="1"/>
      <c r="Z3436" s="1"/>
      <c r="AA3436" s="2"/>
      <c r="AB3436" s="2"/>
      <c r="AC3436" s="2"/>
      <c r="AD3436" s="2"/>
      <c r="AE3436" s="2"/>
      <c r="AF3436" s="2"/>
      <c r="AG3436" s="2"/>
      <c r="AH3436" s="2"/>
      <c r="AI3436" s="2"/>
      <c r="AJ3436" s="2"/>
      <c r="AK3436" s="2"/>
      <c r="AL3436" s="2"/>
      <c r="AM3436" s="2"/>
      <c r="AN3436" s="2"/>
      <c r="AO3436" s="2"/>
      <c r="AP3436" s="2"/>
      <c r="AQ3436" s="2"/>
      <c r="AR3436" s="2"/>
      <c r="AS3436" s="2"/>
      <c r="AT3436" s="2"/>
      <c r="AU3436" s="2"/>
      <c r="AV3436" s="2"/>
      <c r="AW3436" s="2"/>
      <c r="AX3436" s="2"/>
    </row>
    <row r="3437" spans="1:50" ht="12.75" x14ac:dyDescent="0.2">
      <c r="A3437" s="2"/>
      <c r="B3437" s="2"/>
      <c r="C3437" s="2"/>
      <c r="D3437" s="2"/>
      <c r="E3437" s="2"/>
      <c r="F3437" s="2"/>
      <c r="G3437" s="2"/>
      <c r="H3437" s="2"/>
      <c r="I3437" s="2"/>
      <c r="J3437" s="2"/>
      <c r="K3437" s="2"/>
      <c r="L3437" s="2"/>
      <c r="M3437" s="2"/>
      <c r="N3437" s="2"/>
      <c r="O3437" s="2"/>
      <c r="P3437" s="2"/>
      <c r="Q3437" s="2"/>
      <c r="R3437" s="2"/>
      <c r="S3437" s="2"/>
      <c r="T3437" s="2"/>
      <c r="U3437" s="2"/>
      <c r="V3437" s="2"/>
      <c r="W3437" s="2"/>
      <c r="X3437" s="2"/>
      <c r="Y3437" s="1"/>
      <c r="Z3437" s="1"/>
      <c r="AA3437" s="2"/>
      <c r="AB3437" s="2"/>
      <c r="AC3437" s="2"/>
      <c r="AD3437" s="2"/>
      <c r="AE3437" s="2"/>
      <c r="AF3437" s="2"/>
      <c r="AG3437" s="2"/>
      <c r="AH3437" s="2"/>
      <c r="AI3437" s="2"/>
      <c r="AJ3437" s="2"/>
      <c r="AK3437" s="2"/>
      <c r="AL3437" s="2"/>
      <c r="AM3437" s="2"/>
      <c r="AN3437" s="2"/>
      <c r="AO3437" s="2"/>
      <c r="AP3437" s="2"/>
      <c r="AQ3437" s="2"/>
      <c r="AR3437" s="2"/>
      <c r="AS3437" s="2"/>
      <c r="AT3437" s="2"/>
      <c r="AU3437" s="2"/>
      <c r="AV3437" s="2"/>
      <c r="AW3437" s="2"/>
      <c r="AX3437" s="2"/>
    </row>
    <row r="3438" spans="1:50" ht="12.75" x14ac:dyDescent="0.2">
      <c r="A3438" s="2"/>
      <c r="B3438" s="2"/>
      <c r="C3438" s="2"/>
      <c r="D3438" s="2"/>
      <c r="E3438" s="2"/>
      <c r="F3438" s="2"/>
      <c r="G3438" s="2"/>
      <c r="H3438" s="2"/>
      <c r="I3438" s="2"/>
      <c r="J3438" s="2"/>
      <c r="K3438" s="2"/>
      <c r="L3438" s="2"/>
      <c r="M3438" s="2"/>
      <c r="N3438" s="2"/>
      <c r="O3438" s="2"/>
      <c r="P3438" s="2"/>
      <c r="Q3438" s="2"/>
      <c r="R3438" s="2"/>
      <c r="S3438" s="2"/>
      <c r="T3438" s="2"/>
      <c r="U3438" s="2"/>
      <c r="V3438" s="2"/>
      <c r="W3438" s="2"/>
      <c r="X3438" s="2"/>
      <c r="Y3438" s="1"/>
      <c r="Z3438" s="1"/>
      <c r="AA3438" s="2"/>
      <c r="AB3438" s="2"/>
      <c r="AC3438" s="2"/>
      <c r="AD3438" s="2"/>
      <c r="AE3438" s="2"/>
      <c r="AF3438" s="2"/>
      <c r="AG3438" s="2"/>
      <c r="AH3438" s="2"/>
      <c r="AI3438" s="2"/>
      <c r="AJ3438" s="2"/>
      <c r="AK3438" s="2"/>
      <c r="AL3438" s="2"/>
      <c r="AM3438" s="2"/>
      <c r="AN3438" s="2"/>
      <c r="AO3438" s="2"/>
      <c r="AP3438" s="2"/>
      <c r="AQ3438" s="2"/>
      <c r="AR3438" s="2"/>
      <c r="AS3438" s="2"/>
      <c r="AT3438" s="2"/>
      <c r="AU3438" s="2"/>
      <c r="AV3438" s="2"/>
      <c r="AW3438" s="2"/>
      <c r="AX3438" s="2"/>
    </row>
    <row r="3439" spans="1:50" ht="12.75" x14ac:dyDescent="0.2">
      <c r="A3439" s="2"/>
      <c r="B3439" s="2"/>
      <c r="C3439" s="2"/>
      <c r="D3439" s="2"/>
      <c r="E3439" s="2"/>
      <c r="F3439" s="2"/>
      <c r="G3439" s="2"/>
      <c r="H3439" s="2"/>
      <c r="I3439" s="2"/>
      <c r="J3439" s="2"/>
      <c r="K3439" s="2"/>
      <c r="L3439" s="2"/>
      <c r="M3439" s="2"/>
      <c r="N3439" s="2"/>
      <c r="O3439" s="2"/>
      <c r="P3439" s="2"/>
      <c r="Q3439" s="2"/>
      <c r="R3439" s="2"/>
      <c r="S3439" s="2"/>
      <c r="T3439" s="2"/>
      <c r="U3439" s="2"/>
      <c r="V3439" s="2"/>
      <c r="W3439" s="2"/>
      <c r="X3439" s="2"/>
      <c r="Y3439" s="1"/>
      <c r="Z3439" s="1"/>
      <c r="AA3439" s="2"/>
      <c r="AB3439" s="2"/>
      <c r="AC3439" s="2"/>
      <c r="AD3439" s="2"/>
      <c r="AE3439" s="2"/>
      <c r="AF3439" s="2"/>
      <c r="AG3439" s="2"/>
      <c r="AH3439" s="2"/>
      <c r="AI3439" s="2"/>
      <c r="AJ3439" s="2"/>
      <c r="AK3439" s="2"/>
      <c r="AL3439" s="2"/>
      <c r="AM3439" s="2"/>
      <c r="AN3439" s="2"/>
      <c r="AO3439" s="2"/>
      <c r="AP3439" s="2"/>
      <c r="AQ3439" s="2"/>
      <c r="AR3439" s="2"/>
      <c r="AS3439" s="2"/>
      <c r="AT3439" s="2"/>
      <c r="AU3439" s="2"/>
      <c r="AV3439" s="2"/>
      <c r="AW3439" s="2"/>
      <c r="AX3439" s="2"/>
    </row>
    <row r="3440" spans="1:50" ht="12.75" x14ac:dyDescent="0.2">
      <c r="A3440" s="2"/>
      <c r="B3440" s="2"/>
      <c r="C3440" s="2"/>
      <c r="D3440" s="2"/>
      <c r="E3440" s="2"/>
      <c r="F3440" s="2"/>
      <c r="G3440" s="2"/>
      <c r="H3440" s="2"/>
      <c r="I3440" s="2"/>
      <c r="J3440" s="2"/>
      <c r="K3440" s="2"/>
      <c r="L3440" s="2"/>
      <c r="M3440" s="2"/>
      <c r="N3440" s="2"/>
      <c r="O3440" s="2"/>
      <c r="P3440" s="2"/>
      <c r="Q3440" s="2"/>
      <c r="R3440" s="2"/>
      <c r="S3440" s="2"/>
      <c r="T3440" s="2"/>
      <c r="U3440" s="2"/>
      <c r="V3440" s="2"/>
      <c r="W3440" s="2"/>
      <c r="X3440" s="2"/>
      <c r="Y3440" s="1"/>
      <c r="Z3440" s="1"/>
      <c r="AA3440" s="2"/>
      <c r="AB3440" s="2"/>
      <c r="AC3440" s="2"/>
      <c r="AD3440" s="2"/>
      <c r="AE3440" s="2"/>
      <c r="AF3440" s="2"/>
      <c r="AG3440" s="2"/>
      <c r="AH3440" s="2"/>
      <c r="AI3440" s="2"/>
      <c r="AJ3440" s="2"/>
      <c r="AK3440" s="2"/>
      <c r="AL3440" s="2"/>
      <c r="AM3440" s="2"/>
      <c r="AN3440" s="2"/>
      <c r="AO3440" s="2"/>
      <c r="AP3440" s="2"/>
      <c r="AQ3440" s="2"/>
      <c r="AR3440" s="2"/>
      <c r="AS3440" s="2"/>
      <c r="AT3440" s="2"/>
      <c r="AU3440" s="2"/>
      <c r="AV3440" s="2"/>
      <c r="AW3440" s="2"/>
      <c r="AX3440" s="2"/>
    </row>
    <row r="3441" spans="1:50" ht="12.75" x14ac:dyDescent="0.2">
      <c r="A3441" s="2"/>
      <c r="B3441" s="2"/>
      <c r="C3441" s="2"/>
      <c r="D3441" s="2"/>
      <c r="E3441" s="2"/>
      <c r="F3441" s="2"/>
      <c r="G3441" s="2"/>
      <c r="H3441" s="2"/>
      <c r="I3441" s="2"/>
      <c r="J3441" s="2"/>
      <c r="K3441" s="2"/>
      <c r="L3441" s="2"/>
      <c r="M3441" s="2"/>
      <c r="N3441" s="2"/>
      <c r="O3441" s="2"/>
      <c r="P3441" s="2"/>
      <c r="Q3441" s="2"/>
      <c r="R3441" s="2"/>
      <c r="S3441" s="2"/>
      <c r="T3441" s="2"/>
      <c r="U3441" s="2"/>
      <c r="V3441" s="2"/>
      <c r="W3441" s="2"/>
      <c r="X3441" s="2"/>
      <c r="Y3441" s="1"/>
      <c r="Z3441" s="1"/>
      <c r="AA3441" s="2"/>
      <c r="AB3441" s="2"/>
      <c r="AC3441" s="2"/>
      <c r="AD3441" s="2"/>
      <c r="AE3441" s="2"/>
      <c r="AF3441" s="2"/>
      <c r="AG3441" s="2"/>
      <c r="AH3441" s="2"/>
      <c r="AI3441" s="2"/>
      <c r="AJ3441" s="2"/>
      <c r="AK3441" s="2"/>
      <c r="AL3441" s="2"/>
      <c r="AM3441" s="2"/>
      <c r="AN3441" s="2"/>
      <c r="AO3441" s="2"/>
      <c r="AP3441" s="2"/>
      <c r="AQ3441" s="2"/>
      <c r="AR3441" s="2"/>
      <c r="AS3441" s="2"/>
      <c r="AT3441" s="2"/>
      <c r="AU3441" s="2"/>
      <c r="AV3441" s="2"/>
      <c r="AW3441" s="2"/>
      <c r="AX3441" s="2"/>
    </row>
    <row r="3442" spans="1:50" ht="12.75" x14ac:dyDescent="0.2">
      <c r="A3442" s="2"/>
      <c r="B3442" s="2"/>
      <c r="C3442" s="2"/>
      <c r="D3442" s="2"/>
      <c r="E3442" s="2"/>
      <c r="F3442" s="2"/>
      <c r="G3442" s="2"/>
      <c r="H3442" s="2"/>
      <c r="I3442" s="2"/>
      <c r="J3442" s="2"/>
      <c r="K3442" s="2"/>
      <c r="L3442" s="2"/>
      <c r="M3442" s="2"/>
      <c r="N3442" s="2"/>
      <c r="O3442" s="2"/>
      <c r="P3442" s="2"/>
      <c r="Q3442" s="2"/>
      <c r="R3442" s="2"/>
      <c r="S3442" s="2"/>
      <c r="T3442" s="2"/>
      <c r="U3442" s="2"/>
      <c r="V3442" s="2"/>
      <c r="W3442" s="2"/>
      <c r="X3442" s="2"/>
      <c r="Y3442" s="1"/>
      <c r="Z3442" s="1"/>
      <c r="AA3442" s="2"/>
      <c r="AB3442" s="2"/>
      <c r="AC3442" s="2"/>
      <c r="AD3442" s="2"/>
      <c r="AE3442" s="2"/>
      <c r="AF3442" s="2"/>
      <c r="AG3442" s="2"/>
      <c r="AH3442" s="2"/>
      <c r="AI3442" s="2"/>
      <c r="AJ3442" s="2"/>
      <c r="AK3442" s="2"/>
      <c r="AL3442" s="2"/>
      <c r="AM3442" s="2"/>
      <c r="AN3442" s="2"/>
      <c r="AO3442" s="2"/>
      <c r="AP3442" s="2"/>
      <c r="AQ3442" s="2"/>
      <c r="AR3442" s="2"/>
      <c r="AS3442" s="2"/>
      <c r="AT3442" s="2"/>
      <c r="AU3442" s="2"/>
      <c r="AV3442" s="2"/>
      <c r="AW3442" s="2"/>
      <c r="AX3442" s="2"/>
    </row>
    <row r="3443" spans="1:50" ht="12.75" x14ac:dyDescent="0.2">
      <c r="A3443" s="2"/>
      <c r="B3443" s="2"/>
      <c r="C3443" s="2"/>
      <c r="D3443" s="2"/>
      <c r="E3443" s="2"/>
      <c r="F3443" s="2"/>
      <c r="G3443" s="2"/>
      <c r="H3443" s="2"/>
      <c r="I3443" s="2"/>
      <c r="J3443" s="2"/>
      <c r="K3443" s="2"/>
      <c r="L3443" s="2"/>
      <c r="M3443" s="2"/>
      <c r="N3443" s="2"/>
      <c r="O3443" s="2"/>
      <c r="P3443" s="2"/>
      <c r="Q3443" s="2"/>
      <c r="R3443" s="2"/>
      <c r="S3443" s="2"/>
      <c r="T3443" s="2"/>
      <c r="U3443" s="2"/>
      <c r="V3443" s="2"/>
      <c r="W3443" s="2"/>
      <c r="X3443" s="2"/>
      <c r="Y3443" s="1"/>
      <c r="Z3443" s="1"/>
      <c r="AA3443" s="2"/>
      <c r="AB3443" s="2"/>
      <c r="AC3443" s="2"/>
      <c r="AD3443" s="2"/>
      <c r="AE3443" s="2"/>
      <c r="AF3443" s="2"/>
      <c r="AG3443" s="2"/>
      <c r="AH3443" s="2"/>
      <c r="AI3443" s="2"/>
      <c r="AJ3443" s="2"/>
      <c r="AK3443" s="2"/>
      <c r="AL3443" s="2"/>
      <c r="AM3443" s="2"/>
      <c r="AN3443" s="2"/>
      <c r="AO3443" s="2"/>
      <c r="AP3443" s="2"/>
      <c r="AQ3443" s="2"/>
      <c r="AR3443" s="2"/>
      <c r="AS3443" s="2"/>
      <c r="AT3443" s="2"/>
      <c r="AU3443" s="2"/>
      <c r="AV3443" s="2"/>
      <c r="AW3443" s="2"/>
      <c r="AX3443" s="2"/>
    </row>
    <row r="3444" spans="1:50" ht="12.75" x14ac:dyDescent="0.2">
      <c r="A3444" s="2"/>
      <c r="B3444" s="2"/>
      <c r="C3444" s="2"/>
      <c r="D3444" s="2"/>
      <c r="E3444" s="2"/>
      <c r="F3444" s="2"/>
      <c r="G3444" s="2"/>
      <c r="H3444" s="2"/>
      <c r="I3444" s="2"/>
      <c r="J3444" s="2"/>
      <c r="K3444" s="2"/>
      <c r="L3444" s="2"/>
      <c r="M3444" s="2"/>
      <c r="N3444" s="2"/>
      <c r="O3444" s="2"/>
      <c r="P3444" s="2"/>
      <c r="Q3444" s="2"/>
      <c r="R3444" s="2"/>
      <c r="S3444" s="2"/>
      <c r="T3444" s="2"/>
      <c r="U3444" s="2"/>
      <c r="V3444" s="2"/>
      <c r="W3444" s="2"/>
      <c r="X3444" s="2"/>
      <c r="Y3444" s="1"/>
      <c r="Z3444" s="1"/>
      <c r="AA3444" s="2"/>
      <c r="AB3444" s="2"/>
      <c r="AC3444" s="2"/>
      <c r="AD3444" s="2"/>
      <c r="AE3444" s="2"/>
      <c r="AF3444" s="2"/>
      <c r="AG3444" s="2"/>
      <c r="AH3444" s="2"/>
      <c r="AI3444" s="2"/>
      <c r="AJ3444" s="2"/>
      <c r="AK3444" s="2"/>
      <c r="AL3444" s="2"/>
      <c r="AM3444" s="2"/>
      <c r="AN3444" s="2"/>
      <c r="AO3444" s="2"/>
      <c r="AP3444" s="2"/>
      <c r="AQ3444" s="2"/>
      <c r="AR3444" s="2"/>
      <c r="AS3444" s="2"/>
      <c r="AT3444" s="2"/>
      <c r="AU3444" s="2"/>
      <c r="AV3444" s="2"/>
      <c r="AW3444" s="2"/>
      <c r="AX3444" s="2"/>
    </row>
    <row r="3445" spans="1:50" ht="12.75" x14ac:dyDescent="0.2">
      <c r="A3445" s="2"/>
      <c r="B3445" s="2"/>
      <c r="C3445" s="2"/>
      <c r="D3445" s="2"/>
      <c r="E3445" s="2"/>
      <c r="F3445" s="2"/>
      <c r="G3445" s="2"/>
      <c r="H3445" s="2"/>
      <c r="I3445" s="2"/>
      <c r="J3445" s="2"/>
      <c r="K3445" s="2"/>
      <c r="L3445" s="2"/>
      <c r="M3445" s="2"/>
      <c r="N3445" s="2"/>
      <c r="O3445" s="2"/>
      <c r="P3445" s="2"/>
      <c r="Q3445" s="2"/>
      <c r="R3445" s="2"/>
      <c r="S3445" s="2"/>
      <c r="T3445" s="2"/>
      <c r="U3445" s="2"/>
      <c r="V3445" s="2"/>
      <c r="W3445" s="2"/>
      <c r="X3445" s="2"/>
      <c r="Y3445" s="1"/>
      <c r="Z3445" s="1"/>
      <c r="AA3445" s="2"/>
      <c r="AB3445" s="2"/>
      <c r="AC3445" s="2"/>
      <c r="AD3445" s="2"/>
      <c r="AE3445" s="2"/>
      <c r="AF3445" s="2"/>
      <c r="AG3445" s="2"/>
      <c r="AH3445" s="2"/>
      <c r="AI3445" s="2"/>
      <c r="AJ3445" s="2"/>
      <c r="AK3445" s="2"/>
      <c r="AL3445" s="2"/>
      <c r="AM3445" s="2"/>
      <c r="AN3445" s="2"/>
      <c r="AO3445" s="2"/>
      <c r="AP3445" s="2"/>
      <c r="AQ3445" s="2"/>
      <c r="AR3445" s="2"/>
      <c r="AS3445" s="2"/>
      <c r="AT3445" s="2"/>
      <c r="AU3445" s="2"/>
      <c r="AV3445" s="2"/>
      <c r="AW3445" s="2"/>
      <c r="AX3445" s="2"/>
    </row>
    <row r="3446" spans="1:50" ht="12.75" x14ac:dyDescent="0.2">
      <c r="A3446" s="2"/>
      <c r="B3446" s="2"/>
      <c r="C3446" s="2"/>
      <c r="D3446" s="2"/>
      <c r="E3446" s="2"/>
      <c r="F3446" s="2"/>
      <c r="G3446" s="2"/>
      <c r="H3446" s="2"/>
      <c r="I3446" s="2"/>
      <c r="J3446" s="2"/>
      <c r="K3446" s="2"/>
      <c r="L3446" s="2"/>
      <c r="M3446" s="2"/>
      <c r="N3446" s="2"/>
      <c r="O3446" s="2"/>
      <c r="P3446" s="2"/>
      <c r="Q3446" s="2"/>
      <c r="R3446" s="2"/>
      <c r="S3446" s="2"/>
      <c r="T3446" s="2"/>
      <c r="U3446" s="2"/>
      <c r="V3446" s="2"/>
      <c r="W3446" s="2"/>
      <c r="X3446" s="2"/>
      <c r="Y3446" s="1"/>
      <c r="Z3446" s="1"/>
      <c r="AA3446" s="2"/>
      <c r="AB3446" s="2"/>
      <c r="AC3446" s="2"/>
      <c r="AD3446" s="2"/>
      <c r="AE3446" s="2"/>
      <c r="AF3446" s="2"/>
      <c r="AG3446" s="2"/>
      <c r="AH3446" s="2"/>
      <c r="AI3446" s="2"/>
      <c r="AJ3446" s="2"/>
      <c r="AK3446" s="2"/>
      <c r="AL3446" s="2"/>
      <c r="AM3446" s="2"/>
      <c r="AN3446" s="2"/>
      <c r="AO3446" s="2"/>
      <c r="AP3446" s="2"/>
      <c r="AQ3446" s="2"/>
      <c r="AR3446" s="2"/>
      <c r="AS3446" s="2"/>
      <c r="AT3446" s="2"/>
      <c r="AU3446" s="2"/>
      <c r="AV3446" s="2"/>
      <c r="AW3446" s="2"/>
      <c r="AX3446" s="2"/>
    </row>
    <row r="3447" spans="1:50" ht="12.75" x14ac:dyDescent="0.2">
      <c r="A3447" s="2"/>
      <c r="B3447" s="2"/>
      <c r="C3447" s="2"/>
      <c r="D3447" s="2"/>
      <c r="E3447" s="2"/>
      <c r="F3447" s="2"/>
      <c r="G3447" s="2"/>
      <c r="H3447" s="2"/>
      <c r="I3447" s="2"/>
      <c r="J3447" s="2"/>
      <c r="K3447" s="2"/>
      <c r="L3447" s="2"/>
      <c r="M3447" s="2"/>
      <c r="N3447" s="2"/>
      <c r="O3447" s="2"/>
      <c r="P3447" s="2"/>
      <c r="Q3447" s="2"/>
      <c r="R3447" s="2"/>
      <c r="S3447" s="2"/>
      <c r="T3447" s="2"/>
      <c r="U3447" s="2"/>
      <c r="V3447" s="2"/>
      <c r="W3447" s="2"/>
      <c r="X3447" s="2"/>
      <c r="Y3447" s="1"/>
      <c r="Z3447" s="1"/>
      <c r="AA3447" s="2"/>
      <c r="AB3447" s="2"/>
      <c r="AC3447" s="2"/>
      <c r="AD3447" s="2"/>
      <c r="AE3447" s="2"/>
      <c r="AF3447" s="2"/>
      <c r="AG3447" s="2"/>
      <c r="AH3447" s="2"/>
      <c r="AI3447" s="2"/>
      <c r="AJ3447" s="2"/>
      <c r="AK3447" s="2"/>
      <c r="AL3447" s="2"/>
      <c r="AM3447" s="2"/>
      <c r="AN3447" s="2"/>
      <c r="AO3447" s="2"/>
      <c r="AP3447" s="2"/>
      <c r="AQ3447" s="2"/>
      <c r="AR3447" s="2"/>
      <c r="AS3447" s="2"/>
      <c r="AT3447" s="2"/>
      <c r="AU3447" s="2"/>
      <c r="AV3447" s="2"/>
      <c r="AW3447" s="2"/>
      <c r="AX3447" s="2"/>
    </row>
    <row r="3448" spans="1:50" ht="12.75" x14ac:dyDescent="0.2">
      <c r="A3448" s="2"/>
      <c r="B3448" s="2"/>
      <c r="C3448" s="2"/>
      <c r="D3448" s="2"/>
      <c r="E3448" s="2"/>
      <c r="F3448" s="2"/>
      <c r="G3448" s="2"/>
      <c r="H3448" s="2"/>
      <c r="I3448" s="2"/>
      <c r="J3448" s="2"/>
      <c r="K3448" s="2"/>
      <c r="L3448" s="2"/>
      <c r="M3448" s="2"/>
      <c r="N3448" s="2"/>
      <c r="O3448" s="2"/>
      <c r="P3448" s="2"/>
      <c r="Q3448" s="2"/>
      <c r="R3448" s="2"/>
      <c r="S3448" s="2"/>
      <c r="T3448" s="2"/>
      <c r="U3448" s="2"/>
      <c r="V3448" s="2"/>
      <c r="W3448" s="2"/>
      <c r="X3448" s="2"/>
      <c r="Y3448" s="1"/>
      <c r="Z3448" s="1"/>
      <c r="AA3448" s="2"/>
      <c r="AB3448" s="2"/>
      <c r="AC3448" s="2"/>
      <c r="AD3448" s="2"/>
      <c r="AE3448" s="2"/>
      <c r="AF3448" s="2"/>
      <c r="AG3448" s="2"/>
      <c r="AH3448" s="2"/>
      <c r="AI3448" s="2"/>
      <c r="AJ3448" s="2"/>
      <c r="AK3448" s="2"/>
      <c r="AL3448" s="2"/>
      <c r="AM3448" s="2"/>
      <c r="AN3448" s="2"/>
      <c r="AO3448" s="2"/>
      <c r="AP3448" s="2"/>
      <c r="AQ3448" s="2"/>
      <c r="AR3448" s="2"/>
      <c r="AS3448" s="2"/>
      <c r="AT3448" s="2"/>
      <c r="AU3448" s="2"/>
      <c r="AV3448" s="2"/>
      <c r="AW3448" s="2"/>
      <c r="AX3448" s="2"/>
    </row>
    <row r="3449" spans="1:50" ht="12.75" x14ac:dyDescent="0.2">
      <c r="A3449" s="2"/>
      <c r="B3449" s="2"/>
      <c r="C3449" s="2"/>
      <c r="D3449" s="2"/>
      <c r="E3449" s="2"/>
      <c r="F3449" s="2"/>
      <c r="G3449" s="2"/>
      <c r="H3449" s="2"/>
      <c r="I3449" s="2"/>
      <c r="J3449" s="2"/>
      <c r="K3449" s="2"/>
      <c r="L3449" s="2"/>
      <c r="M3449" s="2"/>
      <c r="N3449" s="2"/>
      <c r="O3449" s="2"/>
      <c r="P3449" s="2"/>
      <c r="Q3449" s="2"/>
      <c r="R3449" s="2"/>
      <c r="S3449" s="2"/>
      <c r="T3449" s="2"/>
      <c r="U3449" s="2"/>
      <c r="V3449" s="2"/>
      <c r="W3449" s="2"/>
      <c r="X3449" s="2"/>
      <c r="Y3449" s="1"/>
      <c r="Z3449" s="1"/>
      <c r="AA3449" s="2"/>
      <c r="AB3449" s="2"/>
      <c r="AC3449" s="2"/>
      <c r="AD3449" s="2"/>
      <c r="AE3449" s="2"/>
      <c r="AF3449" s="2"/>
      <c r="AG3449" s="2"/>
      <c r="AH3449" s="2"/>
      <c r="AI3449" s="2"/>
      <c r="AJ3449" s="2"/>
      <c r="AK3449" s="2"/>
      <c r="AL3449" s="2"/>
      <c r="AM3449" s="2"/>
      <c r="AN3449" s="2"/>
      <c r="AO3449" s="2"/>
      <c r="AP3449" s="2"/>
      <c r="AQ3449" s="2"/>
      <c r="AR3449" s="2"/>
      <c r="AS3449" s="2"/>
      <c r="AT3449" s="2"/>
      <c r="AU3449" s="2"/>
      <c r="AV3449" s="2"/>
      <c r="AW3449" s="2"/>
      <c r="AX3449" s="2"/>
    </row>
    <row r="3450" spans="1:50" ht="12.75" x14ac:dyDescent="0.2">
      <c r="A3450" s="2"/>
      <c r="B3450" s="2"/>
      <c r="C3450" s="2"/>
      <c r="D3450" s="2"/>
      <c r="E3450" s="2"/>
      <c r="F3450" s="2"/>
      <c r="G3450" s="2"/>
      <c r="H3450" s="2"/>
      <c r="I3450" s="2"/>
      <c r="J3450" s="2"/>
      <c r="K3450" s="2"/>
      <c r="L3450" s="2"/>
      <c r="M3450" s="2"/>
      <c r="N3450" s="2"/>
      <c r="O3450" s="2"/>
      <c r="P3450" s="2"/>
      <c r="Q3450" s="2"/>
      <c r="R3450" s="2"/>
      <c r="S3450" s="2"/>
      <c r="T3450" s="2"/>
      <c r="U3450" s="2"/>
      <c r="V3450" s="2"/>
      <c r="W3450" s="2"/>
      <c r="X3450" s="2"/>
      <c r="Y3450" s="1"/>
      <c r="Z3450" s="1"/>
      <c r="AA3450" s="2"/>
      <c r="AB3450" s="2"/>
      <c r="AC3450" s="2"/>
      <c r="AD3450" s="2"/>
      <c r="AE3450" s="2"/>
      <c r="AF3450" s="2"/>
      <c r="AG3450" s="2"/>
      <c r="AH3450" s="2"/>
      <c r="AI3450" s="2"/>
      <c r="AJ3450" s="2"/>
      <c r="AK3450" s="2"/>
      <c r="AL3450" s="2"/>
      <c r="AM3450" s="2"/>
      <c r="AN3450" s="2"/>
      <c r="AO3450" s="2"/>
      <c r="AP3450" s="2"/>
      <c r="AQ3450" s="2"/>
      <c r="AR3450" s="2"/>
      <c r="AS3450" s="2"/>
      <c r="AT3450" s="2"/>
      <c r="AU3450" s="2"/>
      <c r="AV3450" s="2"/>
      <c r="AW3450" s="2"/>
      <c r="AX3450" s="2"/>
    </row>
    <row r="3451" spans="1:50" ht="12.75" x14ac:dyDescent="0.2">
      <c r="A3451" s="2"/>
      <c r="B3451" s="2"/>
      <c r="C3451" s="2"/>
      <c r="D3451" s="2"/>
      <c r="E3451" s="2"/>
      <c r="F3451" s="2"/>
      <c r="G3451" s="2"/>
      <c r="H3451" s="2"/>
      <c r="I3451" s="2"/>
      <c r="J3451" s="2"/>
      <c r="K3451" s="2"/>
      <c r="L3451" s="2"/>
      <c r="M3451" s="2"/>
      <c r="N3451" s="2"/>
      <c r="O3451" s="2"/>
      <c r="P3451" s="2"/>
      <c r="Q3451" s="2"/>
      <c r="R3451" s="2"/>
      <c r="S3451" s="2"/>
      <c r="T3451" s="2"/>
      <c r="U3451" s="2"/>
      <c r="V3451" s="2"/>
      <c r="W3451" s="2"/>
      <c r="X3451" s="2"/>
      <c r="Y3451" s="1"/>
      <c r="Z3451" s="1"/>
      <c r="AA3451" s="2"/>
      <c r="AB3451" s="2"/>
      <c r="AC3451" s="2"/>
      <c r="AD3451" s="2"/>
      <c r="AE3451" s="2"/>
      <c r="AF3451" s="2"/>
      <c r="AG3451" s="2"/>
      <c r="AH3451" s="2"/>
      <c r="AI3451" s="2"/>
      <c r="AJ3451" s="2"/>
      <c r="AK3451" s="2"/>
      <c r="AL3451" s="2"/>
      <c r="AM3451" s="2"/>
      <c r="AN3451" s="2"/>
      <c r="AO3451" s="2"/>
      <c r="AP3451" s="2"/>
      <c r="AQ3451" s="2"/>
      <c r="AR3451" s="2"/>
      <c r="AS3451" s="2"/>
      <c r="AT3451" s="2"/>
      <c r="AU3451" s="2"/>
      <c r="AV3451" s="2"/>
      <c r="AW3451" s="2"/>
      <c r="AX3451" s="2"/>
    </row>
    <row r="3452" spans="1:50" ht="12.75" x14ac:dyDescent="0.2">
      <c r="A3452" s="2"/>
      <c r="B3452" s="2"/>
      <c r="C3452" s="2"/>
      <c r="D3452" s="2"/>
      <c r="E3452" s="2"/>
      <c r="F3452" s="2"/>
      <c r="G3452" s="2"/>
      <c r="H3452" s="2"/>
      <c r="I3452" s="2"/>
      <c r="J3452" s="2"/>
      <c r="K3452" s="2"/>
      <c r="L3452" s="2"/>
      <c r="M3452" s="2"/>
      <c r="N3452" s="2"/>
      <c r="O3452" s="2"/>
      <c r="P3452" s="2"/>
      <c r="Q3452" s="2"/>
      <c r="R3452" s="2"/>
      <c r="S3452" s="2"/>
      <c r="T3452" s="2"/>
      <c r="U3452" s="2"/>
      <c r="V3452" s="2"/>
      <c r="W3452" s="2"/>
      <c r="X3452" s="2"/>
      <c r="Y3452" s="1"/>
      <c r="Z3452" s="1"/>
      <c r="AA3452" s="2"/>
      <c r="AB3452" s="2"/>
      <c r="AC3452" s="2"/>
      <c r="AD3452" s="2"/>
      <c r="AE3452" s="2"/>
      <c r="AF3452" s="2"/>
      <c r="AG3452" s="2"/>
      <c r="AH3452" s="2"/>
      <c r="AI3452" s="2"/>
      <c r="AJ3452" s="2"/>
      <c r="AK3452" s="2"/>
      <c r="AL3452" s="2"/>
      <c r="AM3452" s="2"/>
      <c r="AN3452" s="2"/>
      <c r="AO3452" s="2"/>
      <c r="AP3452" s="2"/>
      <c r="AQ3452" s="2"/>
      <c r="AR3452" s="2"/>
      <c r="AS3452" s="2"/>
      <c r="AT3452" s="2"/>
      <c r="AU3452" s="2"/>
      <c r="AV3452" s="2"/>
      <c r="AW3452" s="2"/>
      <c r="AX3452" s="2"/>
    </row>
    <row r="3453" spans="1:50" ht="12.75" x14ac:dyDescent="0.2">
      <c r="A3453" s="2"/>
      <c r="B3453" s="2"/>
      <c r="C3453" s="2"/>
      <c r="D3453" s="2"/>
      <c r="E3453" s="2"/>
      <c r="F3453" s="2"/>
      <c r="G3453" s="2"/>
      <c r="H3453" s="2"/>
      <c r="I3453" s="2"/>
      <c r="J3453" s="2"/>
      <c r="K3453" s="2"/>
      <c r="L3453" s="2"/>
      <c r="M3453" s="2"/>
      <c r="N3453" s="2"/>
      <c r="O3453" s="2"/>
      <c r="P3453" s="2"/>
      <c r="Q3453" s="2"/>
      <c r="R3453" s="2"/>
      <c r="S3453" s="2"/>
      <c r="T3453" s="2"/>
      <c r="U3453" s="2"/>
      <c r="V3453" s="2"/>
      <c r="W3453" s="2"/>
      <c r="X3453" s="2"/>
      <c r="Y3453" s="1"/>
      <c r="Z3453" s="1"/>
      <c r="AA3453" s="2"/>
      <c r="AB3453" s="2"/>
      <c r="AC3453" s="2"/>
      <c r="AD3453" s="2"/>
      <c r="AE3453" s="2"/>
      <c r="AF3453" s="2"/>
      <c r="AG3453" s="2"/>
      <c r="AH3453" s="2"/>
      <c r="AI3453" s="2"/>
      <c r="AJ3453" s="2"/>
      <c r="AK3453" s="2"/>
      <c r="AL3453" s="2"/>
      <c r="AM3453" s="2"/>
      <c r="AN3453" s="2"/>
      <c r="AO3453" s="2"/>
      <c r="AP3453" s="2"/>
      <c r="AQ3453" s="2"/>
      <c r="AR3453" s="2"/>
      <c r="AS3453" s="2"/>
      <c r="AT3453" s="2"/>
      <c r="AU3453" s="2"/>
      <c r="AV3453" s="2"/>
      <c r="AW3453" s="2"/>
      <c r="AX3453" s="2"/>
    </row>
    <row r="3454" spans="1:50" ht="12.75" x14ac:dyDescent="0.2">
      <c r="A3454" s="2"/>
      <c r="B3454" s="2"/>
      <c r="C3454" s="2"/>
      <c r="D3454" s="2"/>
      <c r="E3454" s="2"/>
      <c r="F3454" s="2"/>
      <c r="G3454" s="2"/>
      <c r="H3454" s="2"/>
      <c r="I3454" s="2"/>
      <c r="J3454" s="2"/>
      <c r="K3454" s="2"/>
      <c r="L3454" s="2"/>
      <c r="M3454" s="2"/>
      <c r="N3454" s="2"/>
      <c r="O3454" s="2"/>
      <c r="P3454" s="2"/>
      <c r="Q3454" s="2"/>
      <c r="R3454" s="2"/>
      <c r="S3454" s="2"/>
      <c r="T3454" s="2"/>
      <c r="U3454" s="2"/>
      <c r="V3454" s="2"/>
      <c r="W3454" s="2"/>
      <c r="X3454" s="2"/>
      <c r="Y3454" s="1"/>
      <c r="Z3454" s="1"/>
      <c r="AA3454" s="2"/>
      <c r="AB3454" s="2"/>
      <c r="AC3454" s="2"/>
      <c r="AD3454" s="2"/>
      <c r="AE3454" s="2"/>
      <c r="AF3454" s="2"/>
      <c r="AG3454" s="2"/>
      <c r="AH3454" s="2"/>
      <c r="AI3454" s="2"/>
      <c r="AJ3454" s="2"/>
      <c r="AK3454" s="2"/>
      <c r="AL3454" s="2"/>
      <c r="AM3454" s="2"/>
      <c r="AN3454" s="2"/>
      <c r="AO3454" s="2"/>
      <c r="AP3454" s="2"/>
      <c r="AQ3454" s="2"/>
      <c r="AR3454" s="2"/>
      <c r="AS3454" s="2"/>
      <c r="AT3454" s="2"/>
      <c r="AU3454" s="2"/>
      <c r="AV3454" s="2"/>
      <c r="AW3454" s="2"/>
      <c r="AX3454" s="2"/>
    </row>
    <row r="3455" spans="1:50" ht="12.75" x14ac:dyDescent="0.2">
      <c r="A3455" s="2"/>
      <c r="B3455" s="2"/>
      <c r="C3455" s="2"/>
      <c r="D3455" s="2"/>
      <c r="E3455" s="2"/>
      <c r="F3455" s="2"/>
      <c r="G3455" s="2"/>
      <c r="H3455" s="2"/>
      <c r="I3455" s="2"/>
      <c r="J3455" s="2"/>
      <c r="K3455" s="2"/>
      <c r="L3455" s="2"/>
      <c r="M3455" s="2"/>
      <c r="N3455" s="2"/>
      <c r="O3455" s="2"/>
      <c r="P3455" s="2"/>
      <c r="Q3455" s="2"/>
      <c r="R3455" s="2"/>
      <c r="S3455" s="2"/>
      <c r="T3455" s="2"/>
      <c r="U3455" s="2"/>
      <c r="V3455" s="2"/>
      <c r="W3455" s="2"/>
      <c r="X3455" s="2"/>
      <c r="Y3455" s="1"/>
      <c r="Z3455" s="1"/>
      <c r="AA3455" s="2"/>
      <c r="AB3455" s="2"/>
      <c r="AC3455" s="2"/>
      <c r="AD3455" s="2"/>
      <c r="AE3455" s="2"/>
      <c r="AF3455" s="2"/>
      <c r="AG3455" s="2"/>
      <c r="AH3455" s="2"/>
      <c r="AI3455" s="2"/>
      <c r="AJ3455" s="2"/>
      <c r="AK3455" s="2"/>
      <c r="AL3455" s="2"/>
      <c r="AM3455" s="2"/>
      <c r="AN3455" s="2"/>
      <c r="AO3455" s="2"/>
      <c r="AP3455" s="2"/>
      <c r="AQ3455" s="2"/>
      <c r="AR3455" s="2"/>
      <c r="AS3455" s="2"/>
      <c r="AT3455" s="2"/>
      <c r="AU3455" s="2"/>
      <c r="AV3455" s="2"/>
      <c r="AW3455" s="2"/>
      <c r="AX3455" s="2"/>
    </row>
    <row r="3456" spans="1:50" ht="12.75" x14ac:dyDescent="0.2">
      <c r="A3456" s="2"/>
      <c r="B3456" s="2"/>
      <c r="C3456" s="2"/>
      <c r="D3456" s="2"/>
      <c r="E3456" s="2"/>
      <c r="F3456" s="2"/>
      <c r="G3456" s="2"/>
      <c r="H3456" s="2"/>
      <c r="I3456" s="2"/>
      <c r="J3456" s="2"/>
      <c r="K3456" s="2"/>
      <c r="L3456" s="2"/>
      <c r="M3456" s="2"/>
      <c r="N3456" s="2"/>
      <c r="O3456" s="2"/>
      <c r="P3456" s="2"/>
      <c r="Q3456" s="2"/>
      <c r="R3456" s="2"/>
      <c r="S3456" s="2"/>
      <c r="T3456" s="2"/>
      <c r="U3456" s="2"/>
      <c r="V3456" s="2"/>
      <c r="W3456" s="2"/>
      <c r="X3456" s="2"/>
      <c r="Y3456" s="1"/>
      <c r="Z3456" s="1"/>
      <c r="AA3456" s="2"/>
      <c r="AB3456" s="2"/>
      <c r="AC3456" s="2"/>
      <c r="AD3456" s="2"/>
      <c r="AE3456" s="2"/>
      <c r="AF3456" s="2"/>
      <c r="AG3456" s="2"/>
      <c r="AH3456" s="2"/>
      <c r="AI3456" s="2"/>
      <c r="AJ3456" s="2"/>
      <c r="AK3456" s="2"/>
      <c r="AL3456" s="2"/>
      <c r="AM3456" s="2"/>
      <c r="AN3456" s="2"/>
      <c r="AO3456" s="2"/>
      <c r="AP3456" s="2"/>
      <c r="AQ3456" s="2"/>
      <c r="AR3456" s="2"/>
      <c r="AS3456" s="2"/>
      <c r="AT3456" s="2"/>
      <c r="AU3456" s="2"/>
      <c r="AV3456" s="2"/>
      <c r="AW3456" s="2"/>
      <c r="AX3456" s="2"/>
    </row>
    <row r="3457" spans="1:50" ht="12.75" x14ac:dyDescent="0.2">
      <c r="A3457" s="2"/>
      <c r="B3457" s="2"/>
      <c r="C3457" s="2"/>
      <c r="D3457" s="2"/>
      <c r="E3457" s="2"/>
      <c r="F3457" s="2"/>
      <c r="G3457" s="2"/>
      <c r="H3457" s="2"/>
      <c r="I3457" s="2"/>
      <c r="J3457" s="2"/>
      <c r="K3457" s="2"/>
      <c r="L3457" s="2"/>
      <c r="M3457" s="2"/>
      <c r="N3457" s="2"/>
      <c r="O3457" s="2"/>
      <c r="P3457" s="2"/>
      <c r="Q3457" s="2"/>
      <c r="R3457" s="2"/>
      <c r="S3457" s="2"/>
      <c r="T3457" s="2"/>
      <c r="U3457" s="2"/>
      <c r="V3457" s="2"/>
      <c r="W3457" s="2"/>
      <c r="X3457" s="2"/>
      <c r="Y3457" s="1"/>
      <c r="Z3457" s="1"/>
      <c r="AA3457" s="2"/>
      <c r="AB3457" s="2"/>
      <c r="AC3457" s="2"/>
      <c r="AD3457" s="2"/>
      <c r="AE3457" s="2"/>
      <c r="AF3457" s="2"/>
      <c r="AG3457" s="2"/>
      <c r="AH3457" s="2"/>
      <c r="AI3457" s="2"/>
      <c r="AJ3457" s="2"/>
      <c r="AK3457" s="2"/>
      <c r="AL3457" s="2"/>
      <c r="AM3457" s="2"/>
      <c r="AN3457" s="2"/>
      <c r="AO3457" s="2"/>
      <c r="AP3457" s="2"/>
      <c r="AQ3457" s="2"/>
      <c r="AR3457" s="2"/>
      <c r="AS3457" s="2"/>
      <c r="AT3457" s="2"/>
      <c r="AU3457" s="2"/>
      <c r="AV3457" s="2"/>
      <c r="AW3457" s="2"/>
      <c r="AX3457" s="2"/>
    </row>
    <row r="3458" spans="1:50" ht="12.75" x14ac:dyDescent="0.2">
      <c r="A3458" s="2"/>
      <c r="B3458" s="2"/>
      <c r="C3458" s="2"/>
      <c r="D3458" s="2"/>
      <c r="E3458" s="2"/>
      <c r="F3458" s="2"/>
      <c r="G3458" s="2"/>
      <c r="H3458" s="2"/>
      <c r="I3458" s="2"/>
      <c r="J3458" s="2"/>
      <c r="K3458" s="2"/>
      <c r="L3458" s="2"/>
      <c r="M3458" s="2"/>
      <c r="N3458" s="2"/>
      <c r="O3458" s="2"/>
      <c r="P3458" s="2"/>
      <c r="Q3458" s="2"/>
      <c r="R3458" s="2"/>
      <c r="S3458" s="2"/>
      <c r="T3458" s="2"/>
      <c r="U3458" s="2"/>
      <c r="V3458" s="2"/>
      <c r="W3458" s="2"/>
      <c r="X3458" s="2"/>
      <c r="Y3458" s="1"/>
      <c r="Z3458" s="1"/>
      <c r="AA3458" s="2"/>
      <c r="AB3458" s="2"/>
      <c r="AC3458" s="2"/>
      <c r="AD3458" s="2"/>
      <c r="AE3458" s="2"/>
      <c r="AF3458" s="2"/>
      <c r="AG3458" s="2"/>
      <c r="AH3458" s="2"/>
      <c r="AI3458" s="2"/>
      <c r="AJ3458" s="2"/>
      <c r="AK3458" s="2"/>
      <c r="AL3458" s="2"/>
      <c r="AM3458" s="2"/>
      <c r="AN3458" s="2"/>
      <c r="AO3458" s="2"/>
      <c r="AP3458" s="2"/>
      <c r="AQ3458" s="2"/>
      <c r="AR3458" s="2"/>
      <c r="AS3458" s="2"/>
      <c r="AT3458" s="2"/>
      <c r="AU3458" s="2"/>
      <c r="AV3458" s="2"/>
      <c r="AW3458" s="2"/>
      <c r="AX3458" s="2"/>
    </row>
    <row r="3459" spans="1:50" ht="12.75" x14ac:dyDescent="0.2">
      <c r="A3459" s="2"/>
      <c r="B3459" s="2"/>
      <c r="C3459" s="2"/>
      <c r="D3459" s="2"/>
      <c r="E3459" s="2"/>
      <c r="F3459" s="2"/>
      <c r="G3459" s="2"/>
      <c r="H3459" s="2"/>
      <c r="I3459" s="2"/>
      <c r="J3459" s="2"/>
      <c r="K3459" s="2"/>
      <c r="L3459" s="2"/>
      <c r="M3459" s="2"/>
      <c r="N3459" s="2"/>
      <c r="O3459" s="2"/>
      <c r="P3459" s="2"/>
      <c r="Q3459" s="2"/>
      <c r="R3459" s="2"/>
      <c r="S3459" s="2"/>
      <c r="T3459" s="2"/>
      <c r="U3459" s="2"/>
      <c r="V3459" s="2"/>
      <c r="W3459" s="2"/>
      <c r="X3459" s="2"/>
      <c r="Y3459" s="1"/>
      <c r="Z3459" s="1"/>
      <c r="AA3459" s="2"/>
      <c r="AB3459" s="2"/>
      <c r="AC3459" s="2"/>
      <c r="AD3459" s="2"/>
      <c r="AE3459" s="2"/>
      <c r="AF3459" s="2"/>
      <c r="AG3459" s="2"/>
      <c r="AH3459" s="2"/>
      <c r="AI3459" s="2"/>
      <c r="AJ3459" s="2"/>
      <c r="AK3459" s="2"/>
      <c r="AL3459" s="2"/>
      <c r="AM3459" s="2"/>
      <c r="AN3459" s="2"/>
      <c r="AO3459" s="2"/>
      <c r="AP3459" s="2"/>
      <c r="AQ3459" s="2"/>
      <c r="AR3459" s="2"/>
      <c r="AS3459" s="2"/>
      <c r="AT3459" s="2"/>
      <c r="AU3459" s="2"/>
      <c r="AV3459" s="2"/>
      <c r="AW3459" s="2"/>
      <c r="AX3459" s="2"/>
    </row>
    <row r="3460" spans="1:50" ht="12.75" x14ac:dyDescent="0.2">
      <c r="A3460" s="2"/>
      <c r="B3460" s="2"/>
      <c r="C3460" s="2"/>
      <c r="D3460" s="2"/>
      <c r="E3460" s="2"/>
      <c r="F3460" s="2"/>
      <c r="G3460" s="2"/>
      <c r="H3460" s="2"/>
      <c r="I3460" s="2"/>
      <c r="J3460" s="2"/>
      <c r="K3460" s="2"/>
      <c r="L3460" s="2"/>
      <c r="M3460" s="2"/>
      <c r="N3460" s="2"/>
      <c r="O3460" s="2"/>
      <c r="P3460" s="2"/>
      <c r="Q3460" s="2"/>
      <c r="R3460" s="2"/>
      <c r="S3460" s="2"/>
      <c r="T3460" s="2"/>
      <c r="U3460" s="2"/>
      <c r="V3460" s="2"/>
      <c r="W3460" s="2"/>
      <c r="X3460" s="2"/>
      <c r="Y3460" s="1"/>
      <c r="Z3460" s="1"/>
      <c r="AA3460" s="2"/>
      <c r="AB3460" s="2"/>
      <c r="AC3460" s="2"/>
      <c r="AD3460" s="2"/>
      <c r="AE3460" s="2"/>
      <c r="AF3460" s="2"/>
      <c r="AG3460" s="2"/>
      <c r="AH3460" s="2"/>
      <c r="AI3460" s="2"/>
      <c r="AJ3460" s="2"/>
      <c r="AK3460" s="2"/>
      <c r="AL3460" s="2"/>
      <c r="AM3460" s="2"/>
      <c r="AN3460" s="2"/>
      <c r="AO3460" s="2"/>
      <c r="AP3460" s="2"/>
      <c r="AQ3460" s="2"/>
      <c r="AR3460" s="2"/>
      <c r="AS3460" s="2"/>
      <c r="AT3460" s="2"/>
      <c r="AU3460" s="2"/>
      <c r="AV3460" s="2"/>
      <c r="AW3460" s="2"/>
      <c r="AX3460" s="2"/>
    </row>
    <row r="3461" spans="1:50" ht="12.75" x14ac:dyDescent="0.2">
      <c r="A3461" s="2"/>
      <c r="B3461" s="2"/>
      <c r="C3461" s="2"/>
      <c r="D3461" s="2"/>
      <c r="E3461" s="2"/>
      <c r="F3461" s="2"/>
      <c r="G3461" s="2"/>
      <c r="H3461" s="2"/>
      <c r="I3461" s="2"/>
      <c r="J3461" s="2"/>
      <c r="K3461" s="2"/>
      <c r="L3461" s="2"/>
      <c r="M3461" s="2"/>
      <c r="N3461" s="2"/>
      <c r="O3461" s="2"/>
      <c r="P3461" s="2"/>
      <c r="Q3461" s="2"/>
      <c r="R3461" s="2"/>
      <c r="S3461" s="2"/>
      <c r="T3461" s="2"/>
      <c r="U3461" s="2"/>
      <c r="V3461" s="2"/>
      <c r="W3461" s="2"/>
      <c r="X3461" s="2"/>
      <c r="Y3461" s="1"/>
      <c r="Z3461" s="1"/>
      <c r="AA3461" s="2"/>
      <c r="AB3461" s="2"/>
      <c r="AC3461" s="2"/>
      <c r="AD3461" s="2"/>
      <c r="AE3461" s="2"/>
      <c r="AF3461" s="2"/>
      <c r="AG3461" s="2"/>
      <c r="AH3461" s="2"/>
      <c r="AI3461" s="2"/>
      <c r="AJ3461" s="2"/>
      <c r="AK3461" s="2"/>
      <c r="AL3461" s="2"/>
      <c r="AM3461" s="2"/>
      <c r="AN3461" s="2"/>
      <c r="AO3461" s="2"/>
      <c r="AP3461" s="2"/>
      <c r="AQ3461" s="2"/>
      <c r="AR3461" s="2"/>
      <c r="AS3461" s="2"/>
      <c r="AT3461" s="2"/>
      <c r="AU3461" s="2"/>
      <c r="AV3461" s="2"/>
      <c r="AW3461" s="2"/>
      <c r="AX3461" s="2"/>
    </row>
    <row r="3462" spans="1:50" ht="12.75" x14ac:dyDescent="0.2">
      <c r="A3462" s="2"/>
      <c r="B3462" s="2"/>
      <c r="C3462" s="2"/>
      <c r="D3462" s="2"/>
      <c r="E3462" s="2"/>
      <c r="F3462" s="2"/>
      <c r="G3462" s="2"/>
      <c r="H3462" s="2"/>
      <c r="I3462" s="2"/>
      <c r="J3462" s="2"/>
      <c r="K3462" s="2"/>
      <c r="L3462" s="2"/>
      <c r="M3462" s="2"/>
      <c r="N3462" s="2"/>
      <c r="O3462" s="2"/>
      <c r="P3462" s="2"/>
      <c r="Q3462" s="2"/>
      <c r="R3462" s="2"/>
      <c r="S3462" s="2"/>
      <c r="T3462" s="2"/>
      <c r="U3462" s="2"/>
      <c r="V3462" s="2"/>
      <c r="W3462" s="2"/>
      <c r="X3462" s="2"/>
      <c r="Y3462" s="1"/>
      <c r="Z3462" s="1"/>
      <c r="AA3462" s="2"/>
      <c r="AB3462" s="2"/>
      <c r="AC3462" s="2"/>
      <c r="AD3462" s="2"/>
      <c r="AE3462" s="2"/>
      <c r="AF3462" s="2"/>
      <c r="AG3462" s="2"/>
      <c r="AH3462" s="2"/>
      <c r="AI3462" s="2"/>
      <c r="AJ3462" s="2"/>
      <c r="AK3462" s="2"/>
      <c r="AL3462" s="2"/>
      <c r="AM3462" s="2"/>
      <c r="AN3462" s="2"/>
      <c r="AO3462" s="2"/>
      <c r="AP3462" s="2"/>
      <c r="AQ3462" s="2"/>
      <c r="AR3462" s="2"/>
      <c r="AS3462" s="2"/>
      <c r="AT3462" s="2"/>
      <c r="AU3462" s="2"/>
      <c r="AV3462" s="2"/>
      <c r="AW3462" s="2"/>
      <c r="AX3462" s="2"/>
    </row>
    <row r="3463" spans="1:50" ht="12.75" x14ac:dyDescent="0.2">
      <c r="A3463" s="2"/>
      <c r="B3463" s="2"/>
      <c r="C3463" s="2"/>
      <c r="D3463" s="2"/>
      <c r="E3463" s="2"/>
      <c r="F3463" s="2"/>
      <c r="G3463" s="2"/>
      <c r="H3463" s="2"/>
      <c r="I3463" s="2"/>
      <c r="J3463" s="2"/>
      <c r="K3463" s="2"/>
      <c r="L3463" s="2"/>
      <c r="M3463" s="2"/>
      <c r="N3463" s="2"/>
      <c r="O3463" s="2"/>
      <c r="P3463" s="2"/>
      <c r="Q3463" s="2"/>
      <c r="R3463" s="2"/>
      <c r="S3463" s="2"/>
      <c r="T3463" s="2"/>
      <c r="U3463" s="2"/>
      <c r="V3463" s="2"/>
      <c r="W3463" s="2"/>
      <c r="X3463" s="2"/>
      <c r="Y3463" s="1"/>
      <c r="Z3463" s="1"/>
      <c r="AA3463" s="2"/>
      <c r="AB3463" s="2"/>
      <c r="AC3463" s="2"/>
      <c r="AD3463" s="2"/>
      <c r="AE3463" s="2"/>
      <c r="AF3463" s="2"/>
      <c r="AG3463" s="2"/>
      <c r="AH3463" s="2"/>
      <c r="AI3463" s="2"/>
      <c r="AJ3463" s="2"/>
      <c r="AK3463" s="2"/>
      <c r="AL3463" s="2"/>
      <c r="AM3463" s="2"/>
      <c r="AN3463" s="2"/>
      <c r="AO3463" s="2"/>
      <c r="AP3463" s="2"/>
      <c r="AQ3463" s="2"/>
      <c r="AR3463" s="2"/>
      <c r="AS3463" s="2"/>
      <c r="AT3463" s="2"/>
      <c r="AU3463" s="2"/>
      <c r="AV3463" s="2"/>
      <c r="AW3463" s="2"/>
      <c r="AX3463" s="2"/>
    </row>
    <row r="3464" spans="1:50" ht="12.75" x14ac:dyDescent="0.2">
      <c r="A3464" s="2"/>
      <c r="B3464" s="2"/>
      <c r="C3464" s="2"/>
      <c r="D3464" s="2"/>
      <c r="E3464" s="2"/>
      <c r="F3464" s="2"/>
      <c r="G3464" s="2"/>
      <c r="H3464" s="2"/>
      <c r="I3464" s="2"/>
      <c r="J3464" s="2"/>
      <c r="K3464" s="2"/>
      <c r="L3464" s="2"/>
      <c r="M3464" s="2"/>
      <c r="N3464" s="2"/>
      <c r="O3464" s="2"/>
      <c r="P3464" s="2"/>
      <c r="Q3464" s="2"/>
      <c r="R3464" s="2"/>
      <c r="S3464" s="2"/>
      <c r="T3464" s="2"/>
      <c r="U3464" s="2"/>
      <c r="V3464" s="2"/>
      <c r="W3464" s="2"/>
      <c r="X3464" s="2"/>
      <c r="Y3464" s="1"/>
      <c r="Z3464" s="1"/>
      <c r="AA3464" s="2"/>
      <c r="AB3464" s="2"/>
      <c r="AC3464" s="2"/>
      <c r="AD3464" s="2"/>
      <c r="AE3464" s="2"/>
      <c r="AF3464" s="2"/>
      <c r="AG3464" s="2"/>
      <c r="AH3464" s="2"/>
      <c r="AI3464" s="2"/>
      <c r="AJ3464" s="2"/>
      <c r="AK3464" s="2"/>
      <c r="AL3464" s="2"/>
      <c r="AM3464" s="2"/>
      <c r="AN3464" s="2"/>
      <c r="AO3464" s="2"/>
      <c r="AP3464" s="2"/>
      <c r="AQ3464" s="2"/>
      <c r="AR3464" s="2"/>
      <c r="AS3464" s="2"/>
      <c r="AT3464" s="2"/>
      <c r="AU3464" s="2"/>
      <c r="AV3464" s="2"/>
      <c r="AW3464" s="2"/>
      <c r="AX3464" s="2"/>
    </row>
    <row r="3465" spans="1:50" ht="12.75" x14ac:dyDescent="0.2">
      <c r="A3465" s="2"/>
      <c r="B3465" s="2"/>
      <c r="C3465" s="2"/>
      <c r="D3465" s="2"/>
      <c r="E3465" s="2"/>
      <c r="F3465" s="2"/>
      <c r="G3465" s="2"/>
      <c r="H3465" s="2"/>
      <c r="I3465" s="2"/>
      <c r="J3465" s="2"/>
      <c r="K3465" s="2"/>
      <c r="L3465" s="2"/>
      <c r="M3465" s="2"/>
      <c r="N3465" s="2"/>
      <c r="O3465" s="2"/>
      <c r="P3465" s="2"/>
      <c r="Q3465" s="2"/>
      <c r="R3465" s="2"/>
      <c r="S3465" s="2"/>
      <c r="T3465" s="2"/>
      <c r="U3465" s="2"/>
      <c r="V3465" s="2"/>
      <c r="W3465" s="2"/>
      <c r="X3465" s="2"/>
      <c r="Y3465" s="1"/>
      <c r="Z3465" s="1"/>
      <c r="AA3465" s="2"/>
      <c r="AB3465" s="2"/>
      <c r="AC3465" s="2"/>
      <c r="AD3465" s="2"/>
      <c r="AE3465" s="2"/>
      <c r="AF3465" s="2"/>
      <c r="AG3465" s="2"/>
      <c r="AH3465" s="2"/>
      <c r="AI3465" s="2"/>
      <c r="AJ3465" s="2"/>
      <c r="AK3465" s="2"/>
      <c r="AL3465" s="2"/>
      <c r="AM3465" s="2"/>
      <c r="AN3465" s="2"/>
      <c r="AO3465" s="2"/>
      <c r="AP3465" s="2"/>
      <c r="AQ3465" s="2"/>
      <c r="AR3465" s="2"/>
      <c r="AS3465" s="2"/>
      <c r="AT3465" s="2"/>
      <c r="AU3465" s="2"/>
      <c r="AV3465" s="2"/>
      <c r="AW3465" s="2"/>
      <c r="AX3465" s="2"/>
    </row>
    <row r="3466" spans="1:50" ht="12.75" x14ac:dyDescent="0.2">
      <c r="A3466" s="2"/>
      <c r="B3466" s="2"/>
      <c r="C3466" s="2"/>
      <c r="D3466" s="2"/>
      <c r="E3466" s="2"/>
      <c r="F3466" s="2"/>
      <c r="G3466" s="2"/>
      <c r="H3466" s="2"/>
      <c r="I3466" s="2"/>
      <c r="J3466" s="2"/>
      <c r="K3466" s="2"/>
      <c r="L3466" s="2"/>
      <c r="M3466" s="2"/>
      <c r="N3466" s="2"/>
      <c r="O3466" s="2"/>
      <c r="P3466" s="2"/>
      <c r="Q3466" s="2"/>
      <c r="R3466" s="2"/>
      <c r="S3466" s="2"/>
      <c r="T3466" s="2"/>
      <c r="U3466" s="2"/>
      <c r="V3466" s="2"/>
      <c r="W3466" s="2"/>
      <c r="X3466" s="2"/>
      <c r="Y3466" s="1"/>
      <c r="Z3466" s="1"/>
      <c r="AA3466" s="2"/>
      <c r="AB3466" s="2"/>
      <c r="AC3466" s="2"/>
      <c r="AD3466" s="2"/>
      <c r="AE3466" s="2"/>
      <c r="AF3466" s="2"/>
      <c r="AG3466" s="2"/>
      <c r="AH3466" s="2"/>
      <c r="AI3466" s="2"/>
      <c r="AJ3466" s="2"/>
      <c r="AK3466" s="2"/>
      <c r="AL3466" s="2"/>
      <c r="AM3466" s="2"/>
      <c r="AN3466" s="2"/>
      <c r="AO3466" s="2"/>
      <c r="AP3466" s="2"/>
      <c r="AQ3466" s="2"/>
      <c r="AR3466" s="2"/>
      <c r="AS3466" s="2"/>
      <c r="AT3466" s="2"/>
      <c r="AU3466" s="2"/>
      <c r="AV3466" s="2"/>
      <c r="AW3466" s="2"/>
      <c r="AX3466" s="2"/>
    </row>
    <row r="3467" spans="1:50" ht="12.75" x14ac:dyDescent="0.2">
      <c r="A3467" s="2"/>
      <c r="B3467" s="2"/>
      <c r="C3467" s="2"/>
      <c r="D3467" s="2"/>
      <c r="E3467" s="2"/>
      <c r="F3467" s="2"/>
      <c r="G3467" s="2"/>
      <c r="H3467" s="2"/>
      <c r="I3467" s="2"/>
      <c r="J3467" s="2"/>
      <c r="K3467" s="2"/>
      <c r="L3467" s="2"/>
      <c r="M3467" s="2"/>
      <c r="N3467" s="2"/>
      <c r="O3467" s="2"/>
      <c r="P3467" s="2"/>
      <c r="Q3467" s="2"/>
      <c r="R3467" s="2"/>
      <c r="S3467" s="2"/>
      <c r="T3467" s="2"/>
      <c r="U3467" s="2"/>
      <c r="V3467" s="2"/>
      <c r="W3467" s="2"/>
      <c r="X3467" s="2"/>
      <c r="Y3467" s="1"/>
      <c r="Z3467" s="1"/>
      <c r="AA3467" s="2"/>
      <c r="AB3467" s="2"/>
      <c r="AC3467" s="2"/>
      <c r="AD3467" s="2"/>
      <c r="AE3467" s="2"/>
      <c r="AF3467" s="2"/>
      <c r="AG3467" s="2"/>
      <c r="AH3467" s="2"/>
      <c r="AI3467" s="2"/>
      <c r="AJ3467" s="2"/>
      <c r="AK3467" s="2"/>
      <c r="AL3467" s="2"/>
      <c r="AM3467" s="2"/>
      <c r="AN3467" s="2"/>
      <c r="AO3467" s="2"/>
      <c r="AP3467" s="2"/>
      <c r="AQ3467" s="2"/>
      <c r="AR3467" s="2"/>
      <c r="AS3467" s="2"/>
      <c r="AT3467" s="2"/>
      <c r="AU3467" s="2"/>
      <c r="AV3467" s="2"/>
      <c r="AW3467" s="2"/>
      <c r="AX3467" s="2"/>
    </row>
    <row r="3468" spans="1:50" ht="12.75" x14ac:dyDescent="0.2">
      <c r="A3468" s="2"/>
      <c r="B3468" s="2"/>
      <c r="C3468" s="2"/>
      <c r="D3468" s="2"/>
      <c r="E3468" s="2"/>
      <c r="F3468" s="2"/>
      <c r="G3468" s="2"/>
      <c r="H3468" s="2"/>
      <c r="I3468" s="2"/>
      <c r="J3468" s="2"/>
      <c r="K3468" s="2"/>
      <c r="L3468" s="2"/>
      <c r="M3468" s="2"/>
      <c r="N3468" s="2"/>
      <c r="O3468" s="2"/>
      <c r="P3468" s="2"/>
      <c r="Q3468" s="2"/>
      <c r="R3468" s="2"/>
      <c r="S3468" s="2"/>
      <c r="T3468" s="2"/>
      <c r="U3468" s="2"/>
      <c r="V3468" s="2"/>
      <c r="W3468" s="2"/>
      <c r="X3468" s="2"/>
      <c r="Y3468" s="1"/>
      <c r="Z3468" s="1"/>
      <c r="AA3468" s="2"/>
      <c r="AB3468" s="2"/>
      <c r="AC3468" s="2"/>
      <c r="AD3468" s="2"/>
      <c r="AE3468" s="2"/>
      <c r="AF3468" s="2"/>
      <c r="AG3468" s="2"/>
      <c r="AH3468" s="2"/>
      <c r="AI3468" s="2"/>
      <c r="AJ3468" s="2"/>
      <c r="AK3468" s="2"/>
      <c r="AL3468" s="2"/>
      <c r="AM3468" s="2"/>
      <c r="AN3468" s="2"/>
      <c r="AO3468" s="2"/>
      <c r="AP3468" s="2"/>
      <c r="AQ3468" s="2"/>
      <c r="AR3468" s="2"/>
      <c r="AS3468" s="2"/>
      <c r="AT3468" s="2"/>
      <c r="AU3468" s="2"/>
      <c r="AV3468" s="2"/>
      <c r="AW3468" s="2"/>
      <c r="AX3468" s="2"/>
    </row>
    <row r="3469" spans="1:50" ht="12.75" x14ac:dyDescent="0.2">
      <c r="A3469" s="2"/>
      <c r="B3469" s="2"/>
      <c r="C3469" s="2"/>
      <c r="D3469" s="2"/>
      <c r="E3469" s="2"/>
      <c r="F3469" s="2"/>
      <c r="G3469" s="2"/>
      <c r="H3469" s="2"/>
      <c r="I3469" s="2"/>
      <c r="J3469" s="2"/>
      <c r="K3469" s="2"/>
      <c r="L3469" s="2"/>
      <c r="M3469" s="2"/>
      <c r="N3469" s="2"/>
      <c r="O3469" s="2"/>
      <c r="P3469" s="2"/>
      <c r="Q3469" s="2"/>
      <c r="R3469" s="2"/>
      <c r="S3469" s="2"/>
      <c r="T3469" s="2"/>
      <c r="U3469" s="2"/>
      <c r="V3469" s="2"/>
      <c r="W3469" s="2"/>
      <c r="X3469" s="2"/>
      <c r="Y3469" s="1"/>
      <c r="Z3469" s="1"/>
      <c r="AA3469" s="2"/>
      <c r="AB3469" s="2"/>
      <c r="AC3469" s="2"/>
      <c r="AD3469" s="2"/>
      <c r="AE3469" s="2"/>
      <c r="AF3469" s="2"/>
      <c r="AG3469" s="2"/>
      <c r="AH3469" s="2"/>
      <c r="AI3469" s="2"/>
      <c r="AJ3469" s="2"/>
      <c r="AK3469" s="2"/>
      <c r="AL3469" s="2"/>
      <c r="AM3469" s="2"/>
      <c r="AN3469" s="2"/>
      <c r="AO3469" s="2"/>
      <c r="AP3469" s="2"/>
      <c r="AQ3469" s="2"/>
      <c r="AR3469" s="2"/>
      <c r="AS3469" s="2"/>
      <c r="AT3469" s="2"/>
      <c r="AU3469" s="2"/>
      <c r="AV3469" s="2"/>
      <c r="AW3469" s="2"/>
      <c r="AX3469" s="2"/>
    </row>
    <row r="3470" spans="1:50" ht="12.75" x14ac:dyDescent="0.2">
      <c r="A3470" s="2"/>
      <c r="B3470" s="2"/>
      <c r="C3470" s="2"/>
      <c r="D3470" s="2"/>
      <c r="E3470" s="2"/>
      <c r="F3470" s="2"/>
      <c r="G3470" s="2"/>
      <c r="H3470" s="2"/>
      <c r="I3470" s="2"/>
      <c r="J3470" s="2"/>
      <c r="K3470" s="2"/>
      <c r="L3470" s="2"/>
      <c r="M3470" s="2"/>
      <c r="N3470" s="2"/>
      <c r="O3470" s="2"/>
      <c r="P3470" s="2"/>
      <c r="Q3470" s="2"/>
      <c r="R3470" s="2"/>
      <c r="S3470" s="2"/>
      <c r="T3470" s="2"/>
      <c r="U3470" s="2"/>
      <c r="V3470" s="2"/>
      <c r="W3470" s="2"/>
      <c r="X3470" s="2"/>
      <c r="Y3470" s="1"/>
      <c r="Z3470" s="1"/>
      <c r="AA3470" s="2"/>
      <c r="AB3470" s="2"/>
      <c r="AC3470" s="2"/>
      <c r="AD3470" s="2"/>
      <c r="AE3470" s="2"/>
      <c r="AF3470" s="2"/>
      <c r="AG3470" s="2"/>
      <c r="AH3470" s="2"/>
      <c r="AI3470" s="2"/>
      <c r="AJ3470" s="2"/>
      <c r="AK3470" s="2"/>
      <c r="AL3470" s="2"/>
      <c r="AM3470" s="2"/>
      <c r="AN3470" s="2"/>
      <c r="AO3470" s="2"/>
      <c r="AP3470" s="2"/>
      <c r="AQ3470" s="2"/>
      <c r="AR3470" s="2"/>
      <c r="AS3470" s="2"/>
      <c r="AT3470" s="2"/>
      <c r="AU3470" s="2"/>
      <c r="AV3470" s="2"/>
      <c r="AW3470" s="2"/>
      <c r="AX3470" s="2"/>
    </row>
    <row r="3471" spans="1:50" ht="12.75" x14ac:dyDescent="0.2">
      <c r="A3471" s="2"/>
      <c r="B3471" s="2"/>
      <c r="C3471" s="2"/>
      <c r="D3471" s="2"/>
      <c r="E3471" s="2"/>
      <c r="F3471" s="2"/>
      <c r="G3471" s="2"/>
      <c r="H3471" s="2"/>
      <c r="I3471" s="2"/>
      <c r="J3471" s="2"/>
      <c r="K3471" s="2"/>
      <c r="L3471" s="2"/>
      <c r="M3471" s="2"/>
      <c r="N3471" s="2"/>
      <c r="O3471" s="2"/>
      <c r="P3471" s="2"/>
      <c r="Q3471" s="2"/>
      <c r="R3471" s="2"/>
      <c r="S3471" s="2"/>
      <c r="T3471" s="2"/>
      <c r="U3471" s="2"/>
      <c r="V3471" s="2"/>
      <c r="W3471" s="2"/>
      <c r="X3471" s="2"/>
      <c r="Y3471" s="1"/>
      <c r="Z3471" s="1"/>
      <c r="AA3471" s="2"/>
      <c r="AB3471" s="2"/>
      <c r="AC3471" s="2"/>
      <c r="AD3471" s="2"/>
      <c r="AE3471" s="2"/>
      <c r="AF3471" s="2"/>
      <c r="AG3471" s="2"/>
      <c r="AH3471" s="2"/>
      <c r="AI3471" s="2"/>
      <c r="AJ3471" s="2"/>
      <c r="AK3471" s="2"/>
      <c r="AL3471" s="2"/>
      <c r="AM3471" s="2"/>
      <c r="AN3471" s="2"/>
      <c r="AO3471" s="2"/>
      <c r="AP3471" s="2"/>
      <c r="AQ3471" s="2"/>
      <c r="AR3471" s="2"/>
      <c r="AS3471" s="2"/>
      <c r="AT3471" s="2"/>
      <c r="AU3471" s="2"/>
      <c r="AV3471" s="2"/>
      <c r="AW3471" s="2"/>
      <c r="AX3471" s="2"/>
    </row>
    <row r="3472" spans="1:50" ht="12.75" x14ac:dyDescent="0.2">
      <c r="A3472" s="2"/>
      <c r="B3472" s="2"/>
      <c r="C3472" s="2"/>
      <c r="D3472" s="2"/>
      <c r="E3472" s="2"/>
      <c r="F3472" s="2"/>
      <c r="G3472" s="2"/>
      <c r="H3472" s="2"/>
      <c r="I3472" s="2"/>
      <c r="J3472" s="2"/>
      <c r="K3472" s="2"/>
      <c r="L3472" s="2"/>
      <c r="M3472" s="2"/>
      <c r="N3472" s="2"/>
      <c r="O3472" s="2"/>
      <c r="P3472" s="2"/>
      <c r="Q3472" s="2"/>
      <c r="R3472" s="2"/>
      <c r="S3472" s="2"/>
      <c r="T3472" s="2"/>
      <c r="U3472" s="2"/>
      <c r="V3472" s="2"/>
      <c r="W3472" s="2"/>
      <c r="X3472" s="2"/>
      <c r="Y3472" s="1"/>
      <c r="Z3472" s="1"/>
      <c r="AA3472" s="2"/>
      <c r="AB3472" s="2"/>
      <c r="AC3472" s="2"/>
      <c r="AD3472" s="2"/>
      <c r="AE3472" s="2"/>
      <c r="AF3472" s="2"/>
      <c r="AG3472" s="2"/>
      <c r="AH3472" s="2"/>
      <c r="AI3472" s="2"/>
      <c r="AJ3472" s="2"/>
      <c r="AK3472" s="2"/>
      <c r="AL3472" s="2"/>
      <c r="AM3472" s="2"/>
      <c r="AN3472" s="2"/>
      <c r="AO3472" s="2"/>
      <c r="AP3472" s="2"/>
      <c r="AQ3472" s="2"/>
      <c r="AR3472" s="2"/>
      <c r="AS3472" s="2"/>
      <c r="AT3472" s="2"/>
      <c r="AU3472" s="2"/>
      <c r="AV3472" s="2"/>
      <c r="AW3472" s="2"/>
      <c r="AX3472" s="2"/>
    </row>
    <row r="3473" spans="1:50" ht="12.75" x14ac:dyDescent="0.2">
      <c r="A3473" s="2"/>
      <c r="B3473" s="2"/>
      <c r="C3473" s="2"/>
      <c r="D3473" s="2"/>
      <c r="E3473" s="2"/>
      <c r="F3473" s="2"/>
      <c r="G3473" s="2"/>
      <c r="H3473" s="2"/>
      <c r="I3473" s="2"/>
      <c r="J3473" s="2"/>
      <c r="K3473" s="2"/>
      <c r="L3473" s="2"/>
      <c r="M3473" s="2"/>
      <c r="N3473" s="2"/>
      <c r="O3473" s="2"/>
      <c r="P3473" s="2"/>
      <c r="Q3473" s="2"/>
      <c r="R3473" s="2"/>
      <c r="S3473" s="2"/>
      <c r="T3473" s="2"/>
      <c r="U3473" s="2"/>
      <c r="V3473" s="2"/>
      <c r="W3473" s="2"/>
      <c r="X3473" s="2"/>
      <c r="Y3473" s="1"/>
      <c r="Z3473" s="1"/>
      <c r="AA3473" s="2"/>
      <c r="AB3473" s="2"/>
      <c r="AC3473" s="2"/>
      <c r="AD3473" s="2"/>
      <c r="AE3473" s="2"/>
      <c r="AF3473" s="2"/>
      <c r="AG3473" s="2"/>
      <c r="AH3473" s="2"/>
      <c r="AI3473" s="2"/>
      <c r="AJ3473" s="2"/>
      <c r="AK3473" s="2"/>
      <c r="AL3473" s="2"/>
      <c r="AM3473" s="2"/>
      <c r="AN3473" s="2"/>
      <c r="AO3473" s="2"/>
      <c r="AP3473" s="2"/>
      <c r="AQ3473" s="2"/>
      <c r="AR3473" s="2"/>
      <c r="AS3473" s="2"/>
      <c r="AT3473" s="2"/>
      <c r="AU3473" s="2"/>
      <c r="AV3473" s="2"/>
      <c r="AW3473" s="2"/>
      <c r="AX3473" s="2"/>
    </row>
    <row r="3474" spans="1:50" ht="12.75" x14ac:dyDescent="0.2">
      <c r="A3474" s="2"/>
      <c r="B3474" s="2"/>
      <c r="C3474" s="2"/>
      <c r="D3474" s="2"/>
      <c r="E3474" s="2"/>
      <c r="F3474" s="2"/>
      <c r="G3474" s="2"/>
      <c r="H3474" s="2"/>
      <c r="I3474" s="2"/>
      <c r="J3474" s="2"/>
      <c r="K3474" s="2"/>
      <c r="L3474" s="2"/>
      <c r="M3474" s="2"/>
      <c r="N3474" s="2"/>
      <c r="O3474" s="2"/>
      <c r="P3474" s="2"/>
      <c r="Q3474" s="2"/>
      <c r="R3474" s="2"/>
      <c r="S3474" s="2"/>
      <c r="T3474" s="2"/>
      <c r="U3474" s="2"/>
      <c r="V3474" s="2"/>
      <c r="W3474" s="2"/>
      <c r="X3474" s="2"/>
      <c r="Y3474" s="1"/>
      <c r="Z3474" s="1"/>
      <c r="AA3474" s="2"/>
      <c r="AB3474" s="2"/>
      <c r="AC3474" s="2"/>
      <c r="AD3474" s="2"/>
      <c r="AE3474" s="2"/>
      <c r="AF3474" s="2"/>
      <c r="AG3474" s="2"/>
      <c r="AH3474" s="2"/>
      <c r="AI3474" s="2"/>
      <c r="AJ3474" s="2"/>
      <c r="AK3474" s="2"/>
      <c r="AL3474" s="2"/>
      <c r="AM3474" s="2"/>
      <c r="AN3474" s="2"/>
      <c r="AO3474" s="2"/>
      <c r="AP3474" s="2"/>
      <c r="AQ3474" s="2"/>
      <c r="AR3474" s="2"/>
      <c r="AS3474" s="2"/>
      <c r="AT3474" s="2"/>
      <c r="AU3474" s="2"/>
      <c r="AV3474" s="2"/>
      <c r="AW3474" s="2"/>
      <c r="AX3474" s="2"/>
    </row>
    <row r="3475" spans="1:50" ht="12.75" x14ac:dyDescent="0.2">
      <c r="A3475" s="2"/>
      <c r="B3475" s="2"/>
      <c r="C3475" s="2"/>
      <c r="D3475" s="2"/>
      <c r="E3475" s="2"/>
      <c r="F3475" s="2"/>
      <c r="G3475" s="2"/>
      <c r="H3475" s="2"/>
      <c r="I3475" s="2"/>
      <c r="J3475" s="2"/>
      <c r="K3475" s="2"/>
      <c r="L3475" s="2"/>
      <c r="M3475" s="2"/>
      <c r="N3475" s="2"/>
      <c r="O3475" s="2"/>
      <c r="P3475" s="2"/>
      <c r="Q3475" s="2"/>
      <c r="R3475" s="2"/>
      <c r="S3475" s="2"/>
      <c r="T3475" s="2"/>
      <c r="U3475" s="2"/>
      <c r="V3475" s="2"/>
      <c r="W3475" s="2"/>
      <c r="X3475" s="2"/>
      <c r="Y3475" s="1"/>
      <c r="Z3475" s="1"/>
      <c r="AA3475" s="2"/>
      <c r="AB3475" s="2"/>
      <c r="AC3475" s="2"/>
      <c r="AD3475" s="2"/>
      <c r="AE3475" s="2"/>
      <c r="AF3475" s="2"/>
      <c r="AG3475" s="2"/>
      <c r="AH3475" s="2"/>
      <c r="AI3475" s="2"/>
      <c r="AJ3475" s="2"/>
      <c r="AK3475" s="2"/>
      <c r="AL3475" s="2"/>
      <c r="AM3475" s="2"/>
      <c r="AN3475" s="2"/>
      <c r="AO3475" s="2"/>
      <c r="AP3475" s="2"/>
      <c r="AQ3475" s="2"/>
      <c r="AR3475" s="2"/>
      <c r="AS3475" s="2"/>
      <c r="AT3475" s="2"/>
      <c r="AU3475" s="2"/>
      <c r="AV3475" s="2"/>
      <c r="AW3475" s="2"/>
      <c r="AX3475" s="2"/>
    </row>
    <row r="3476" spans="1:50" ht="12.75" x14ac:dyDescent="0.2">
      <c r="A3476" s="2"/>
      <c r="B3476" s="2"/>
      <c r="C3476" s="2"/>
      <c r="D3476" s="2"/>
      <c r="E3476" s="2"/>
      <c r="F3476" s="2"/>
      <c r="G3476" s="2"/>
      <c r="H3476" s="2"/>
      <c r="I3476" s="2"/>
      <c r="J3476" s="2"/>
      <c r="K3476" s="2"/>
      <c r="L3476" s="2"/>
      <c r="M3476" s="2"/>
      <c r="N3476" s="2"/>
      <c r="O3476" s="2"/>
      <c r="P3476" s="2"/>
      <c r="Q3476" s="2"/>
      <c r="R3476" s="2"/>
      <c r="S3476" s="2"/>
      <c r="T3476" s="2"/>
      <c r="U3476" s="2"/>
      <c r="V3476" s="2"/>
      <c r="W3476" s="2"/>
      <c r="X3476" s="2"/>
      <c r="Y3476" s="1"/>
      <c r="Z3476" s="1"/>
      <c r="AA3476" s="2"/>
      <c r="AB3476" s="2"/>
      <c r="AC3476" s="2"/>
      <c r="AD3476" s="2"/>
      <c r="AE3476" s="2"/>
      <c r="AF3476" s="2"/>
      <c r="AG3476" s="2"/>
      <c r="AH3476" s="2"/>
      <c r="AI3476" s="2"/>
      <c r="AJ3476" s="2"/>
      <c r="AK3476" s="2"/>
      <c r="AL3476" s="2"/>
      <c r="AM3476" s="2"/>
      <c r="AN3476" s="2"/>
      <c r="AO3476" s="2"/>
      <c r="AP3476" s="2"/>
      <c r="AQ3476" s="2"/>
      <c r="AR3476" s="2"/>
      <c r="AS3476" s="2"/>
      <c r="AT3476" s="2"/>
      <c r="AU3476" s="2"/>
      <c r="AV3476" s="2"/>
      <c r="AW3476" s="2"/>
      <c r="AX3476" s="2"/>
    </row>
    <row r="3477" spans="1:50" ht="12.75" x14ac:dyDescent="0.2">
      <c r="A3477" s="2"/>
      <c r="B3477" s="2"/>
      <c r="C3477" s="2"/>
      <c r="D3477" s="2"/>
      <c r="E3477" s="2"/>
      <c r="F3477" s="2"/>
      <c r="G3477" s="2"/>
      <c r="H3477" s="2"/>
      <c r="I3477" s="2"/>
      <c r="J3477" s="2"/>
      <c r="K3477" s="2"/>
      <c r="L3477" s="2"/>
      <c r="M3477" s="2"/>
      <c r="N3477" s="2"/>
      <c r="O3477" s="2"/>
      <c r="P3477" s="2"/>
      <c r="Q3477" s="2"/>
      <c r="R3477" s="2"/>
      <c r="S3477" s="2"/>
      <c r="T3477" s="2"/>
      <c r="U3477" s="2"/>
      <c r="V3477" s="2"/>
      <c r="W3477" s="2"/>
      <c r="X3477" s="2"/>
      <c r="Y3477" s="1"/>
      <c r="Z3477" s="1"/>
      <c r="AA3477" s="2"/>
      <c r="AB3477" s="2"/>
      <c r="AC3477" s="2"/>
      <c r="AD3477" s="2"/>
      <c r="AE3477" s="2"/>
      <c r="AF3477" s="2"/>
      <c r="AG3477" s="2"/>
      <c r="AH3477" s="2"/>
      <c r="AI3477" s="2"/>
      <c r="AJ3477" s="2"/>
      <c r="AK3477" s="2"/>
      <c r="AL3477" s="2"/>
      <c r="AM3477" s="2"/>
      <c r="AN3477" s="2"/>
      <c r="AO3477" s="2"/>
      <c r="AP3477" s="2"/>
      <c r="AQ3477" s="2"/>
      <c r="AR3477" s="2"/>
      <c r="AS3477" s="2"/>
      <c r="AT3477" s="2"/>
      <c r="AU3477" s="2"/>
      <c r="AV3477" s="2"/>
      <c r="AW3477" s="2"/>
      <c r="AX3477" s="2"/>
    </row>
    <row r="3478" spans="1:50" ht="12.75" x14ac:dyDescent="0.2">
      <c r="A3478" s="2"/>
      <c r="B3478" s="2"/>
      <c r="C3478" s="2"/>
      <c r="D3478" s="2"/>
      <c r="E3478" s="2"/>
      <c r="F3478" s="2"/>
      <c r="G3478" s="2"/>
      <c r="H3478" s="2"/>
      <c r="I3478" s="2"/>
      <c r="J3478" s="2"/>
      <c r="K3478" s="2"/>
      <c r="L3478" s="2"/>
      <c r="M3478" s="2"/>
      <c r="N3478" s="2"/>
      <c r="O3478" s="2"/>
      <c r="P3478" s="2"/>
      <c r="Q3478" s="2"/>
      <c r="R3478" s="2"/>
      <c r="S3478" s="2"/>
      <c r="T3478" s="2"/>
      <c r="U3478" s="2"/>
      <c r="V3478" s="2"/>
      <c r="W3478" s="2"/>
      <c r="X3478" s="2"/>
      <c r="Y3478" s="1"/>
      <c r="Z3478" s="1"/>
      <c r="AA3478" s="2"/>
      <c r="AB3478" s="2"/>
      <c r="AC3478" s="2"/>
      <c r="AD3478" s="2"/>
      <c r="AE3478" s="2"/>
      <c r="AF3478" s="2"/>
      <c r="AG3478" s="2"/>
      <c r="AH3478" s="2"/>
      <c r="AI3478" s="2"/>
      <c r="AJ3478" s="2"/>
      <c r="AK3478" s="2"/>
      <c r="AL3478" s="2"/>
      <c r="AM3478" s="2"/>
      <c r="AN3478" s="2"/>
      <c r="AO3478" s="2"/>
      <c r="AP3478" s="2"/>
      <c r="AQ3478" s="2"/>
      <c r="AR3478" s="2"/>
      <c r="AS3478" s="2"/>
      <c r="AT3478" s="2"/>
      <c r="AU3478" s="2"/>
      <c r="AV3478" s="2"/>
      <c r="AW3478" s="2"/>
      <c r="AX3478" s="2"/>
    </row>
    <row r="3479" spans="1:50" ht="12.75" x14ac:dyDescent="0.2">
      <c r="A3479" s="2"/>
      <c r="B3479" s="2"/>
      <c r="C3479" s="2"/>
      <c r="D3479" s="2"/>
      <c r="E3479" s="2"/>
      <c r="F3479" s="2"/>
      <c r="G3479" s="2"/>
      <c r="H3479" s="2"/>
      <c r="I3479" s="2"/>
      <c r="J3479" s="2"/>
      <c r="K3479" s="2"/>
      <c r="L3479" s="2"/>
      <c r="M3479" s="2"/>
      <c r="N3479" s="2"/>
      <c r="O3479" s="2"/>
      <c r="P3479" s="2"/>
      <c r="Q3479" s="2"/>
      <c r="R3479" s="2"/>
      <c r="S3479" s="2"/>
      <c r="T3479" s="2"/>
      <c r="U3479" s="2"/>
      <c r="V3479" s="2"/>
      <c r="W3479" s="2"/>
      <c r="X3479" s="2"/>
      <c r="Y3479" s="1"/>
      <c r="Z3479" s="1"/>
      <c r="AA3479" s="2"/>
      <c r="AB3479" s="2"/>
      <c r="AC3479" s="2"/>
      <c r="AD3479" s="2"/>
      <c r="AE3479" s="2"/>
      <c r="AF3479" s="2"/>
      <c r="AG3479" s="2"/>
      <c r="AH3479" s="2"/>
      <c r="AI3479" s="2"/>
      <c r="AJ3479" s="2"/>
      <c r="AK3479" s="2"/>
      <c r="AL3479" s="2"/>
      <c r="AM3479" s="2"/>
      <c r="AN3479" s="2"/>
      <c r="AO3479" s="2"/>
      <c r="AP3479" s="2"/>
      <c r="AQ3479" s="2"/>
      <c r="AR3479" s="2"/>
      <c r="AS3479" s="2"/>
      <c r="AT3479" s="2"/>
      <c r="AU3479" s="2"/>
      <c r="AV3479" s="2"/>
      <c r="AW3479" s="2"/>
      <c r="AX3479" s="2"/>
    </row>
    <row r="3480" spans="1:50" ht="12.75" x14ac:dyDescent="0.2">
      <c r="A3480" s="2"/>
      <c r="B3480" s="2"/>
      <c r="C3480" s="2"/>
      <c r="D3480" s="2"/>
      <c r="E3480" s="2"/>
      <c r="F3480" s="2"/>
      <c r="G3480" s="2"/>
      <c r="H3480" s="2"/>
      <c r="I3480" s="2"/>
      <c r="J3480" s="2"/>
      <c r="K3480" s="2"/>
      <c r="L3480" s="2"/>
      <c r="M3480" s="2"/>
      <c r="N3480" s="2"/>
      <c r="O3480" s="2"/>
      <c r="P3480" s="2"/>
      <c r="Q3480" s="2"/>
      <c r="R3480" s="2"/>
      <c r="S3480" s="2"/>
      <c r="T3480" s="2"/>
      <c r="U3480" s="2"/>
      <c r="V3480" s="2"/>
      <c r="W3480" s="2"/>
      <c r="X3480" s="2"/>
      <c r="Y3480" s="1"/>
      <c r="Z3480" s="1"/>
      <c r="AA3480" s="2"/>
      <c r="AB3480" s="2"/>
      <c r="AC3480" s="2"/>
      <c r="AD3480" s="2"/>
      <c r="AE3480" s="2"/>
      <c r="AF3480" s="2"/>
      <c r="AG3480" s="2"/>
      <c r="AH3480" s="2"/>
      <c r="AI3480" s="2"/>
      <c r="AJ3480" s="2"/>
      <c r="AK3480" s="2"/>
      <c r="AL3480" s="2"/>
      <c r="AM3480" s="2"/>
      <c r="AN3480" s="2"/>
      <c r="AO3480" s="2"/>
      <c r="AP3480" s="2"/>
      <c r="AQ3480" s="2"/>
      <c r="AR3480" s="2"/>
      <c r="AS3480" s="2"/>
      <c r="AT3480" s="2"/>
      <c r="AU3480" s="2"/>
      <c r="AV3480" s="2"/>
      <c r="AW3480" s="2"/>
      <c r="AX3480" s="2"/>
    </row>
    <row r="3481" spans="1:50" ht="12.75" x14ac:dyDescent="0.2">
      <c r="A3481" s="2"/>
      <c r="B3481" s="2"/>
      <c r="C3481" s="2"/>
      <c r="D3481" s="2"/>
      <c r="E3481" s="2"/>
      <c r="F3481" s="2"/>
      <c r="G3481" s="2"/>
      <c r="H3481" s="2"/>
      <c r="I3481" s="2"/>
      <c r="J3481" s="2"/>
      <c r="K3481" s="2"/>
      <c r="L3481" s="2"/>
      <c r="M3481" s="2"/>
      <c r="N3481" s="2"/>
      <c r="O3481" s="2"/>
      <c r="P3481" s="2"/>
      <c r="Q3481" s="2"/>
      <c r="R3481" s="2"/>
      <c r="S3481" s="2"/>
      <c r="T3481" s="2"/>
      <c r="U3481" s="2"/>
      <c r="V3481" s="2"/>
      <c r="W3481" s="2"/>
      <c r="X3481" s="2"/>
      <c r="Y3481" s="1"/>
      <c r="Z3481" s="1"/>
      <c r="AA3481" s="2"/>
      <c r="AB3481" s="2"/>
      <c r="AC3481" s="2"/>
      <c r="AD3481" s="2"/>
      <c r="AE3481" s="2"/>
      <c r="AF3481" s="2"/>
      <c r="AG3481" s="2"/>
      <c r="AH3481" s="2"/>
      <c r="AI3481" s="2"/>
      <c r="AJ3481" s="2"/>
      <c r="AK3481" s="2"/>
      <c r="AL3481" s="2"/>
      <c r="AM3481" s="2"/>
      <c r="AN3481" s="2"/>
      <c r="AO3481" s="2"/>
      <c r="AP3481" s="2"/>
      <c r="AQ3481" s="2"/>
      <c r="AR3481" s="2"/>
      <c r="AS3481" s="2"/>
      <c r="AT3481" s="2"/>
      <c r="AU3481" s="2"/>
      <c r="AV3481" s="2"/>
      <c r="AW3481" s="2"/>
      <c r="AX3481" s="2"/>
    </row>
    <row r="3482" spans="1:50" ht="12.75" x14ac:dyDescent="0.2">
      <c r="A3482" s="2"/>
      <c r="B3482" s="2"/>
      <c r="C3482" s="2"/>
      <c r="D3482" s="2"/>
      <c r="E3482" s="2"/>
      <c r="F3482" s="2"/>
      <c r="G3482" s="2"/>
      <c r="H3482" s="2"/>
      <c r="I3482" s="2"/>
      <c r="J3482" s="2"/>
      <c r="K3482" s="2"/>
      <c r="L3482" s="2"/>
      <c r="M3482" s="2"/>
      <c r="N3482" s="2"/>
      <c r="O3482" s="2"/>
      <c r="P3482" s="2"/>
      <c r="Q3482" s="2"/>
      <c r="R3482" s="2"/>
      <c r="S3482" s="2"/>
      <c r="T3482" s="2"/>
      <c r="U3482" s="2"/>
      <c r="V3482" s="2"/>
      <c r="W3482" s="2"/>
      <c r="X3482" s="2"/>
      <c r="Y3482" s="1"/>
      <c r="Z3482" s="1"/>
      <c r="AA3482" s="2"/>
      <c r="AB3482" s="2"/>
      <c r="AC3482" s="2"/>
      <c r="AD3482" s="2"/>
      <c r="AE3482" s="2"/>
      <c r="AF3482" s="2"/>
      <c r="AG3482" s="2"/>
      <c r="AH3482" s="2"/>
      <c r="AI3482" s="2"/>
      <c r="AJ3482" s="2"/>
      <c r="AK3482" s="2"/>
      <c r="AL3482" s="2"/>
      <c r="AM3482" s="2"/>
      <c r="AN3482" s="2"/>
      <c r="AO3482" s="2"/>
      <c r="AP3482" s="2"/>
      <c r="AQ3482" s="2"/>
      <c r="AR3482" s="2"/>
      <c r="AS3482" s="2"/>
      <c r="AT3482" s="2"/>
      <c r="AU3482" s="2"/>
      <c r="AV3482" s="2"/>
      <c r="AW3482" s="2"/>
      <c r="AX3482" s="2"/>
    </row>
    <row r="3483" spans="1:50" ht="12.75" x14ac:dyDescent="0.2">
      <c r="A3483" s="2"/>
      <c r="B3483" s="2"/>
      <c r="C3483" s="2"/>
      <c r="D3483" s="2"/>
      <c r="E3483" s="2"/>
      <c r="F3483" s="2"/>
      <c r="G3483" s="2"/>
      <c r="H3483" s="2"/>
      <c r="I3483" s="2"/>
      <c r="J3483" s="2"/>
      <c r="K3483" s="2"/>
      <c r="L3483" s="2"/>
      <c r="M3483" s="2"/>
      <c r="N3483" s="2"/>
      <c r="O3483" s="2"/>
      <c r="P3483" s="2"/>
      <c r="Q3483" s="2"/>
      <c r="R3483" s="2"/>
      <c r="S3483" s="2"/>
      <c r="T3483" s="2"/>
      <c r="U3483" s="2"/>
      <c r="V3483" s="2"/>
      <c r="W3483" s="2"/>
      <c r="X3483" s="2"/>
      <c r="Y3483" s="1"/>
      <c r="Z3483" s="1"/>
      <c r="AA3483" s="2"/>
      <c r="AB3483" s="2"/>
      <c r="AC3483" s="2"/>
      <c r="AD3483" s="2"/>
      <c r="AE3483" s="2"/>
      <c r="AF3483" s="2"/>
      <c r="AG3483" s="2"/>
      <c r="AH3483" s="2"/>
      <c r="AI3483" s="2"/>
      <c r="AJ3483" s="2"/>
      <c r="AK3483" s="2"/>
      <c r="AL3483" s="2"/>
      <c r="AM3483" s="2"/>
      <c r="AN3483" s="2"/>
      <c r="AO3483" s="2"/>
      <c r="AP3483" s="2"/>
      <c r="AQ3483" s="2"/>
      <c r="AR3483" s="2"/>
      <c r="AS3483" s="2"/>
      <c r="AT3483" s="2"/>
      <c r="AU3483" s="2"/>
      <c r="AV3483" s="2"/>
      <c r="AW3483" s="2"/>
      <c r="AX3483" s="2"/>
    </row>
    <row r="3484" spans="1:50" ht="12.75" x14ac:dyDescent="0.2">
      <c r="A3484" s="2"/>
      <c r="B3484" s="2"/>
      <c r="C3484" s="2"/>
      <c r="D3484" s="2"/>
      <c r="E3484" s="2"/>
      <c r="F3484" s="2"/>
      <c r="G3484" s="2"/>
      <c r="H3484" s="2"/>
      <c r="I3484" s="2"/>
      <c r="J3484" s="2"/>
      <c r="K3484" s="2"/>
      <c r="L3484" s="2"/>
      <c r="M3484" s="2"/>
      <c r="N3484" s="2"/>
      <c r="O3484" s="2"/>
      <c r="P3484" s="2"/>
      <c r="Q3484" s="2"/>
      <c r="R3484" s="2"/>
      <c r="S3484" s="2"/>
      <c r="T3484" s="2"/>
      <c r="U3484" s="2"/>
      <c r="V3484" s="2"/>
      <c r="W3484" s="2"/>
      <c r="X3484" s="2"/>
      <c r="Y3484" s="1"/>
      <c r="Z3484" s="1"/>
      <c r="AA3484" s="2"/>
      <c r="AB3484" s="2"/>
      <c r="AC3484" s="2"/>
      <c r="AD3484" s="2"/>
      <c r="AE3484" s="2"/>
      <c r="AF3484" s="2"/>
      <c r="AG3484" s="2"/>
      <c r="AH3484" s="2"/>
      <c r="AI3484" s="2"/>
      <c r="AJ3484" s="2"/>
      <c r="AK3484" s="2"/>
      <c r="AL3484" s="2"/>
      <c r="AM3484" s="2"/>
      <c r="AN3484" s="2"/>
      <c r="AO3484" s="2"/>
      <c r="AP3484" s="2"/>
      <c r="AQ3484" s="2"/>
      <c r="AR3484" s="2"/>
      <c r="AS3484" s="2"/>
      <c r="AT3484" s="2"/>
      <c r="AU3484" s="2"/>
      <c r="AV3484" s="2"/>
      <c r="AW3484" s="2"/>
      <c r="AX3484" s="2"/>
    </row>
    <row r="3485" spans="1:50" ht="12.75" x14ac:dyDescent="0.2">
      <c r="A3485" s="2"/>
      <c r="B3485" s="2"/>
      <c r="C3485" s="2"/>
      <c r="D3485" s="2"/>
      <c r="E3485" s="2"/>
      <c r="F3485" s="2"/>
      <c r="G3485" s="2"/>
      <c r="H3485" s="2"/>
      <c r="I3485" s="2"/>
      <c r="J3485" s="2"/>
      <c r="K3485" s="2"/>
      <c r="L3485" s="2"/>
      <c r="M3485" s="2"/>
      <c r="N3485" s="2"/>
      <c r="O3485" s="2"/>
      <c r="P3485" s="2"/>
      <c r="Q3485" s="2"/>
      <c r="R3485" s="2"/>
      <c r="S3485" s="2"/>
      <c r="T3485" s="2"/>
      <c r="U3485" s="2"/>
      <c r="V3485" s="2"/>
      <c r="W3485" s="2"/>
      <c r="X3485" s="2"/>
      <c r="Y3485" s="1"/>
      <c r="Z3485" s="1"/>
      <c r="AA3485" s="2"/>
      <c r="AB3485" s="2"/>
      <c r="AC3485" s="2"/>
      <c r="AD3485" s="2"/>
      <c r="AE3485" s="2"/>
      <c r="AF3485" s="2"/>
      <c r="AG3485" s="2"/>
      <c r="AH3485" s="2"/>
      <c r="AI3485" s="2"/>
      <c r="AJ3485" s="2"/>
      <c r="AK3485" s="2"/>
      <c r="AL3485" s="2"/>
      <c r="AM3485" s="2"/>
      <c r="AN3485" s="2"/>
      <c r="AO3485" s="2"/>
      <c r="AP3485" s="2"/>
      <c r="AQ3485" s="2"/>
      <c r="AR3485" s="2"/>
      <c r="AS3485" s="2"/>
      <c r="AT3485" s="2"/>
      <c r="AU3485" s="2"/>
      <c r="AV3485" s="2"/>
      <c r="AW3485" s="2"/>
      <c r="AX3485" s="2"/>
    </row>
    <row r="3486" spans="1:50" ht="12.75" x14ac:dyDescent="0.2">
      <c r="A3486" s="2"/>
      <c r="B3486" s="2"/>
      <c r="C3486" s="2"/>
      <c r="D3486" s="2"/>
      <c r="E3486" s="2"/>
      <c r="F3486" s="2"/>
      <c r="G3486" s="2"/>
      <c r="H3486" s="2"/>
      <c r="I3486" s="2"/>
      <c r="J3486" s="2"/>
      <c r="K3486" s="2"/>
      <c r="L3486" s="2"/>
      <c r="M3486" s="2"/>
      <c r="N3486" s="2"/>
      <c r="O3486" s="2"/>
      <c r="P3486" s="2"/>
      <c r="Q3486" s="2"/>
      <c r="R3486" s="2"/>
      <c r="S3486" s="2"/>
      <c r="T3486" s="2"/>
      <c r="U3486" s="2"/>
      <c r="V3486" s="2"/>
      <c r="W3486" s="2"/>
      <c r="X3486" s="2"/>
      <c r="Y3486" s="1"/>
      <c r="Z3486" s="1"/>
      <c r="AA3486" s="2"/>
      <c r="AB3486" s="2"/>
      <c r="AC3486" s="2"/>
      <c r="AD3486" s="2"/>
      <c r="AE3486" s="2"/>
      <c r="AF3486" s="2"/>
      <c r="AG3486" s="2"/>
      <c r="AH3486" s="2"/>
      <c r="AI3486" s="2"/>
      <c r="AJ3486" s="2"/>
      <c r="AK3486" s="2"/>
      <c r="AL3486" s="2"/>
      <c r="AM3486" s="2"/>
      <c r="AN3486" s="2"/>
      <c r="AO3486" s="2"/>
      <c r="AP3486" s="2"/>
      <c r="AQ3486" s="2"/>
      <c r="AR3486" s="2"/>
      <c r="AS3486" s="2"/>
      <c r="AT3486" s="2"/>
      <c r="AU3486" s="2"/>
      <c r="AV3486" s="2"/>
      <c r="AW3486" s="2"/>
      <c r="AX3486" s="2"/>
    </row>
    <row r="3487" spans="1:50" ht="12.75" x14ac:dyDescent="0.2">
      <c r="A3487" s="2"/>
      <c r="B3487" s="2"/>
      <c r="C3487" s="2"/>
      <c r="D3487" s="2"/>
      <c r="E3487" s="2"/>
      <c r="F3487" s="2"/>
      <c r="G3487" s="2"/>
      <c r="H3487" s="2"/>
      <c r="I3487" s="2"/>
      <c r="J3487" s="2"/>
      <c r="K3487" s="2"/>
      <c r="L3487" s="2"/>
      <c r="M3487" s="2"/>
      <c r="N3487" s="2"/>
      <c r="O3487" s="2"/>
      <c r="P3487" s="2"/>
      <c r="Q3487" s="2"/>
      <c r="R3487" s="2"/>
      <c r="S3487" s="2"/>
      <c r="T3487" s="2"/>
      <c r="U3487" s="2"/>
      <c r="V3487" s="2"/>
      <c r="W3487" s="2"/>
      <c r="X3487" s="2"/>
      <c r="Y3487" s="1"/>
      <c r="Z3487" s="1"/>
      <c r="AA3487" s="2"/>
      <c r="AB3487" s="2"/>
      <c r="AC3487" s="2"/>
      <c r="AD3487" s="2"/>
      <c r="AE3487" s="2"/>
      <c r="AF3487" s="2"/>
      <c r="AG3487" s="2"/>
      <c r="AH3487" s="2"/>
      <c r="AI3487" s="2"/>
      <c r="AJ3487" s="2"/>
      <c r="AK3487" s="2"/>
      <c r="AL3487" s="2"/>
      <c r="AM3487" s="2"/>
      <c r="AN3487" s="2"/>
      <c r="AO3487" s="2"/>
      <c r="AP3487" s="2"/>
      <c r="AQ3487" s="2"/>
      <c r="AR3487" s="2"/>
      <c r="AS3487" s="2"/>
      <c r="AT3487" s="2"/>
      <c r="AU3487" s="2"/>
      <c r="AV3487" s="2"/>
      <c r="AW3487" s="2"/>
      <c r="AX3487" s="2"/>
    </row>
    <row r="3488" spans="1:50" ht="12.75" x14ac:dyDescent="0.2">
      <c r="A3488" s="2"/>
      <c r="B3488" s="2"/>
      <c r="C3488" s="2"/>
      <c r="D3488" s="2"/>
      <c r="E3488" s="2"/>
      <c r="F3488" s="2"/>
      <c r="G3488" s="2"/>
      <c r="H3488" s="2"/>
      <c r="I3488" s="2"/>
      <c r="J3488" s="2"/>
      <c r="K3488" s="2"/>
      <c r="L3488" s="2"/>
      <c r="M3488" s="2"/>
      <c r="N3488" s="2"/>
      <c r="O3488" s="2"/>
      <c r="P3488" s="2"/>
      <c r="Q3488" s="2"/>
      <c r="R3488" s="2"/>
      <c r="S3488" s="2"/>
      <c r="T3488" s="2"/>
      <c r="U3488" s="2"/>
      <c r="V3488" s="2"/>
      <c r="W3488" s="2"/>
      <c r="X3488" s="2"/>
      <c r="Y3488" s="1"/>
      <c r="Z3488" s="1"/>
      <c r="AA3488" s="2"/>
      <c r="AB3488" s="2"/>
      <c r="AC3488" s="2"/>
      <c r="AD3488" s="2"/>
      <c r="AE3488" s="2"/>
      <c r="AF3488" s="2"/>
      <c r="AG3488" s="2"/>
      <c r="AH3488" s="2"/>
      <c r="AI3488" s="2"/>
      <c r="AJ3488" s="2"/>
      <c r="AK3488" s="2"/>
      <c r="AL3488" s="2"/>
      <c r="AM3488" s="2"/>
      <c r="AN3488" s="2"/>
      <c r="AO3488" s="2"/>
      <c r="AP3488" s="2"/>
      <c r="AQ3488" s="2"/>
      <c r="AR3488" s="2"/>
      <c r="AS3488" s="2"/>
      <c r="AT3488" s="2"/>
      <c r="AU3488" s="2"/>
      <c r="AV3488" s="2"/>
      <c r="AW3488" s="2"/>
      <c r="AX3488" s="2"/>
    </row>
    <row r="3489" spans="1:50" ht="12.75" x14ac:dyDescent="0.2">
      <c r="A3489" s="2"/>
      <c r="B3489" s="2"/>
      <c r="C3489" s="2"/>
      <c r="D3489" s="2"/>
      <c r="E3489" s="2"/>
      <c r="F3489" s="2"/>
      <c r="G3489" s="2"/>
      <c r="H3489" s="2"/>
      <c r="I3489" s="2"/>
      <c r="J3489" s="2"/>
      <c r="K3489" s="2"/>
      <c r="L3489" s="2"/>
      <c r="M3489" s="2"/>
      <c r="N3489" s="2"/>
      <c r="O3489" s="2"/>
      <c r="P3489" s="2"/>
      <c r="Q3489" s="2"/>
      <c r="R3489" s="2"/>
      <c r="S3489" s="2"/>
      <c r="T3489" s="2"/>
      <c r="U3489" s="2"/>
      <c r="V3489" s="2"/>
      <c r="W3489" s="2"/>
      <c r="X3489" s="2"/>
      <c r="Y3489" s="1"/>
      <c r="Z3489" s="1"/>
      <c r="AA3489" s="2"/>
      <c r="AB3489" s="2"/>
      <c r="AC3489" s="2"/>
      <c r="AD3489" s="2"/>
      <c r="AE3489" s="2"/>
      <c r="AF3489" s="2"/>
      <c r="AG3489" s="2"/>
      <c r="AH3489" s="2"/>
      <c r="AI3489" s="2"/>
      <c r="AJ3489" s="2"/>
      <c r="AK3489" s="2"/>
      <c r="AL3489" s="2"/>
      <c r="AM3489" s="2"/>
      <c r="AN3489" s="2"/>
      <c r="AO3489" s="2"/>
      <c r="AP3489" s="2"/>
      <c r="AQ3489" s="2"/>
      <c r="AR3489" s="2"/>
      <c r="AS3489" s="2"/>
      <c r="AT3489" s="2"/>
      <c r="AU3489" s="2"/>
      <c r="AV3489" s="2"/>
      <c r="AW3489" s="2"/>
      <c r="AX3489" s="2"/>
    </row>
    <row r="3490" spans="1:50" ht="12.75" x14ac:dyDescent="0.2">
      <c r="A3490" s="2"/>
      <c r="B3490" s="2"/>
      <c r="C3490" s="2"/>
      <c r="D3490" s="2"/>
      <c r="E3490" s="2"/>
      <c r="F3490" s="2"/>
      <c r="G3490" s="2"/>
      <c r="H3490" s="2"/>
      <c r="I3490" s="2"/>
      <c r="J3490" s="2"/>
      <c r="K3490" s="2"/>
      <c r="L3490" s="2"/>
      <c r="M3490" s="2"/>
      <c r="N3490" s="2"/>
      <c r="O3490" s="2"/>
      <c r="P3490" s="2"/>
      <c r="Q3490" s="2"/>
      <c r="R3490" s="2"/>
      <c r="S3490" s="2"/>
      <c r="T3490" s="2"/>
      <c r="U3490" s="2"/>
      <c r="V3490" s="2"/>
      <c r="W3490" s="2"/>
      <c r="X3490" s="2"/>
      <c r="Y3490" s="1"/>
      <c r="Z3490" s="1"/>
      <c r="AA3490" s="2"/>
      <c r="AB3490" s="2"/>
      <c r="AC3490" s="2"/>
      <c r="AD3490" s="2"/>
      <c r="AE3490" s="2"/>
      <c r="AF3490" s="2"/>
      <c r="AG3490" s="2"/>
      <c r="AH3490" s="2"/>
      <c r="AI3490" s="2"/>
      <c r="AJ3490" s="2"/>
      <c r="AK3490" s="2"/>
      <c r="AL3490" s="2"/>
      <c r="AM3490" s="2"/>
      <c r="AN3490" s="2"/>
      <c r="AO3490" s="2"/>
      <c r="AP3490" s="2"/>
      <c r="AQ3490" s="2"/>
      <c r="AR3490" s="2"/>
      <c r="AS3490" s="2"/>
      <c r="AT3490" s="2"/>
      <c r="AU3490" s="2"/>
      <c r="AV3490" s="2"/>
      <c r="AW3490" s="2"/>
      <c r="AX3490" s="2"/>
    </row>
    <row r="3491" spans="1:50" ht="12.75" x14ac:dyDescent="0.2">
      <c r="A3491" s="2"/>
      <c r="B3491" s="2"/>
      <c r="C3491" s="2"/>
      <c r="D3491" s="2"/>
      <c r="E3491" s="2"/>
      <c r="F3491" s="2"/>
      <c r="G3491" s="2"/>
      <c r="H3491" s="2"/>
      <c r="I3491" s="2"/>
      <c r="J3491" s="2"/>
      <c r="K3491" s="2"/>
      <c r="L3491" s="2"/>
      <c r="M3491" s="2"/>
      <c r="N3491" s="2"/>
      <c r="O3491" s="2"/>
      <c r="P3491" s="2"/>
      <c r="Q3491" s="2"/>
      <c r="R3491" s="2"/>
      <c r="S3491" s="2"/>
      <c r="T3491" s="2"/>
      <c r="U3491" s="2"/>
      <c r="V3491" s="2"/>
      <c r="W3491" s="2"/>
      <c r="X3491" s="2"/>
      <c r="Y3491" s="1"/>
      <c r="Z3491" s="1"/>
      <c r="AA3491" s="2"/>
      <c r="AB3491" s="2"/>
      <c r="AC3491" s="2"/>
      <c r="AD3491" s="2"/>
      <c r="AE3491" s="2"/>
      <c r="AF3491" s="2"/>
      <c r="AG3491" s="2"/>
      <c r="AH3491" s="2"/>
      <c r="AI3491" s="2"/>
      <c r="AJ3491" s="2"/>
      <c r="AK3491" s="2"/>
      <c r="AL3491" s="2"/>
      <c r="AM3491" s="2"/>
      <c r="AN3491" s="2"/>
      <c r="AO3491" s="2"/>
      <c r="AP3491" s="2"/>
      <c r="AQ3491" s="2"/>
      <c r="AR3491" s="2"/>
      <c r="AS3491" s="2"/>
      <c r="AT3491" s="2"/>
      <c r="AU3491" s="2"/>
      <c r="AV3491" s="2"/>
      <c r="AW3491" s="2"/>
      <c r="AX3491" s="2"/>
    </row>
    <row r="3492" spans="1:50" ht="12.75" x14ac:dyDescent="0.2">
      <c r="A3492" s="2"/>
      <c r="B3492" s="2"/>
      <c r="C3492" s="2"/>
      <c r="D3492" s="2"/>
      <c r="E3492" s="2"/>
      <c r="F3492" s="2"/>
      <c r="G3492" s="2"/>
      <c r="H3492" s="2"/>
      <c r="I3492" s="2"/>
      <c r="J3492" s="2"/>
      <c r="K3492" s="2"/>
      <c r="L3492" s="2"/>
      <c r="M3492" s="2"/>
      <c r="N3492" s="2"/>
      <c r="O3492" s="2"/>
      <c r="P3492" s="2"/>
      <c r="Q3492" s="2"/>
      <c r="R3492" s="2"/>
      <c r="S3492" s="2"/>
      <c r="T3492" s="2"/>
      <c r="U3492" s="2"/>
      <c r="V3492" s="2"/>
      <c r="W3492" s="2"/>
      <c r="X3492" s="2"/>
      <c r="Y3492" s="1"/>
      <c r="Z3492" s="1"/>
      <c r="AA3492" s="2"/>
      <c r="AB3492" s="2"/>
      <c r="AC3492" s="2"/>
      <c r="AD3492" s="2"/>
      <c r="AE3492" s="2"/>
      <c r="AF3492" s="2"/>
      <c r="AG3492" s="2"/>
      <c r="AH3492" s="2"/>
      <c r="AI3492" s="2"/>
      <c r="AJ3492" s="2"/>
      <c r="AK3492" s="2"/>
      <c r="AL3492" s="2"/>
      <c r="AM3492" s="2"/>
      <c r="AN3492" s="2"/>
      <c r="AO3492" s="2"/>
      <c r="AP3492" s="2"/>
      <c r="AQ3492" s="2"/>
      <c r="AR3492" s="2"/>
      <c r="AS3492" s="2"/>
      <c r="AT3492" s="2"/>
      <c r="AU3492" s="2"/>
      <c r="AV3492" s="2"/>
      <c r="AW3492" s="2"/>
      <c r="AX3492" s="2"/>
    </row>
    <row r="3493" spans="1:50" ht="12.75" x14ac:dyDescent="0.2">
      <c r="A3493" s="2"/>
      <c r="B3493" s="2"/>
      <c r="C3493" s="2"/>
      <c r="D3493" s="2"/>
      <c r="E3493" s="2"/>
      <c r="F3493" s="2"/>
      <c r="G3493" s="2"/>
      <c r="H3493" s="2"/>
      <c r="I3493" s="2"/>
      <c r="J3493" s="2"/>
      <c r="K3493" s="2"/>
      <c r="L3493" s="2"/>
      <c r="M3493" s="2"/>
      <c r="N3493" s="2"/>
      <c r="O3493" s="2"/>
      <c r="P3493" s="2"/>
      <c r="Q3493" s="2"/>
      <c r="R3493" s="2"/>
      <c r="S3493" s="2"/>
      <c r="T3493" s="2"/>
      <c r="U3493" s="2"/>
      <c r="V3493" s="2"/>
      <c r="W3493" s="2"/>
      <c r="X3493" s="2"/>
      <c r="Y3493" s="1"/>
      <c r="Z3493" s="1"/>
      <c r="AA3493" s="2"/>
      <c r="AB3493" s="2"/>
      <c r="AC3493" s="2"/>
      <c r="AD3493" s="2"/>
      <c r="AE3493" s="2"/>
      <c r="AF3493" s="2"/>
      <c r="AG3493" s="2"/>
      <c r="AH3493" s="2"/>
      <c r="AI3493" s="2"/>
      <c r="AJ3493" s="2"/>
      <c r="AK3493" s="2"/>
      <c r="AL3493" s="2"/>
      <c r="AM3493" s="2"/>
      <c r="AN3493" s="2"/>
      <c r="AO3493" s="2"/>
      <c r="AP3493" s="2"/>
      <c r="AQ3493" s="2"/>
      <c r="AR3493" s="2"/>
      <c r="AS3493" s="2"/>
      <c r="AT3493" s="2"/>
      <c r="AU3493" s="2"/>
      <c r="AV3493" s="2"/>
      <c r="AW3493" s="2"/>
      <c r="AX3493" s="2"/>
    </row>
    <row r="3494" spans="1:50" ht="12.75" x14ac:dyDescent="0.2">
      <c r="A3494" s="2"/>
      <c r="B3494" s="2"/>
      <c r="C3494" s="2"/>
      <c r="D3494" s="2"/>
      <c r="E3494" s="2"/>
      <c r="F3494" s="2"/>
      <c r="G3494" s="2"/>
      <c r="H3494" s="2"/>
      <c r="I3494" s="2"/>
      <c r="J3494" s="2"/>
      <c r="K3494" s="2"/>
      <c r="L3494" s="2"/>
      <c r="M3494" s="2"/>
      <c r="N3494" s="2"/>
      <c r="O3494" s="2"/>
      <c r="P3494" s="2"/>
      <c r="Q3494" s="2"/>
      <c r="R3494" s="2"/>
      <c r="S3494" s="2"/>
      <c r="T3494" s="2"/>
      <c r="U3494" s="2"/>
      <c r="V3494" s="2"/>
      <c r="W3494" s="2"/>
      <c r="X3494" s="2"/>
      <c r="Y3494" s="1"/>
      <c r="Z3494" s="1"/>
      <c r="AA3494" s="2"/>
      <c r="AB3494" s="2"/>
      <c r="AC3494" s="2"/>
      <c r="AD3494" s="2"/>
      <c r="AE3494" s="2"/>
      <c r="AF3494" s="2"/>
      <c r="AG3494" s="2"/>
      <c r="AH3494" s="2"/>
      <c r="AI3494" s="2"/>
      <c r="AJ3494" s="2"/>
      <c r="AK3494" s="2"/>
      <c r="AL3494" s="2"/>
      <c r="AM3494" s="2"/>
      <c r="AN3494" s="2"/>
      <c r="AO3494" s="2"/>
      <c r="AP3494" s="2"/>
      <c r="AQ3494" s="2"/>
      <c r="AR3494" s="2"/>
      <c r="AS3494" s="2"/>
      <c r="AT3494" s="2"/>
      <c r="AU3494" s="2"/>
      <c r="AV3494" s="2"/>
      <c r="AW3494" s="2"/>
      <c r="AX3494" s="2"/>
    </row>
    <row r="3495" spans="1:50" ht="12.75" x14ac:dyDescent="0.2">
      <c r="A3495" s="2"/>
      <c r="B3495" s="2"/>
      <c r="C3495" s="2"/>
      <c r="D3495" s="2"/>
      <c r="E3495" s="2"/>
      <c r="F3495" s="2"/>
      <c r="G3495" s="2"/>
      <c r="H3495" s="2"/>
      <c r="I3495" s="2"/>
      <c r="J3495" s="2"/>
      <c r="K3495" s="2"/>
      <c r="L3495" s="2"/>
      <c r="M3495" s="2"/>
      <c r="N3495" s="2"/>
      <c r="O3495" s="2"/>
      <c r="P3495" s="2"/>
      <c r="Q3495" s="2"/>
      <c r="R3495" s="2"/>
      <c r="S3495" s="2"/>
      <c r="T3495" s="2"/>
      <c r="U3495" s="2"/>
      <c r="V3495" s="2"/>
      <c r="W3495" s="2"/>
      <c r="X3495" s="2"/>
      <c r="Y3495" s="1"/>
      <c r="Z3495" s="1"/>
      <c r="AA3495" s="2"/>
      <c r="AB3495" s="2"/>
      <c r="AC3495" s="2"/>
      <c r="AD3495" s="2"/>
      <c r="AE3495" s="2"/>
      <c r="AF3495" s="2"/>
      <c r="AG3495" s="2"/>
      <c r="AH3495" s="2"/>
      <c r="AI3495" s="2"/>
      <c r="AJ3495" s="2"/>
      <c r="AK3495" s="2"/>
      <c r="AL3495" s="2"/>
      <c r="AM3495" s="2"/>
      <c r="AN3495" s="2"/>
      <c r="AO3495" s="2"/>
      <c r="AP3495" s="2"/>
      <c r="AQ3495" s="2"/>
      <c r="AR3495" s="2"/>
      <c r="AS3495" s="2"/>
      <c r="AT3495" s="2"/>
      <c r="AU3495" s="2"/>
      <c r="AV3495" s="2"/>
      <c r="AW3495" s="2"/>
      <c r="AX3495" s="2"/>
    </row>
    <row r="3496" spans="1:50" ht="12.75" x14ac:dyDescent="0.2">
      <c r="A3496" s="2"/>
      <c r="B3496" s="2"/>
      <c r="C3496" s="2"/>
      <c r="D3496" s="2"/>
      <c r="E3496" s="2"/>
      <c r="F3496" s="2"/>
      <c r="G3496" s="2"/>
      <c r="H3496" s="2"/>
      <c r="I3496" s="2"/>
      <c r="J3496" s="2"/>
      <c r="K3496" s="2"/>
      <c r="L3496" s="2"/>
      <c r="M3496" s="2"/>
      <c r="N3496" s="2"/>
      <c r="O3496" s="2"/>
      <c r="P3496" s="2"/>
      <c r="Q3496" s="2"/>
      <c r="R3496" s="2"/>
      <c r="S3496" s="2"/>
      <c r="T3496" s="2"/>
      <c r="U3496" s="2"/>
      <c r="V3496" s="2"/>
      <c r="W3496" s="2"/>
      <c r="X3496" s="2"/>
      <c r="Y3496" s="1"/>
      <c r="Z3496" s="1"/>
      <c r="AA3496" s="2"/>
      <c r="AB3496" s="2"/>
      <c r="AC3496" s="2"/>
      <c r="AD3496" s="2"/>
      <c r="AE3496" s="2"/>
      <c r="AF3496" s="2"/>
      <c r="AG3496" s="2"/>
      <c r="AH3496" s="2"/>
      <c r="AI3496" s="2"/>
      <c r="AJ3496" s="2"/>
      <c r="AK3496" s="2"/>
      <c r="AL3496" s="2"/>
      <c r="AM3496" s="2"/>
      <c r="AN3496" s="2"/>
      <c r="AO3496" s="2"/>
      <c r="AP3496" s="2"/>
      <c r="AQ3496" s="2"/>
      <c r="AR3496" s="2"/>
      <c r="AS3496" s="2"/>
      <c r="AT3496" s="2"/>
      <c r="AU3496" s="2"/>
      <c r="AV3496" s="2"/>
      <c r="AW3496" s="2"/>
      <c r="AX3496" s="2"/>
    </row>
    <row r="3497" spans="1:50" ht="12.75" x14ac:dyDescent="0.2">
      <c r="A3497" s="2"/>
      <c r="B3497" s="2"/>
      <c r="C3497" s="2"/>
      <c r="D3497" s="2"/>
      <c r="E3497" s="2"/>
      <c r="F3497" s="2"/>
      <c r="G3497" s="2"/>
      <c r="H3497" s="2"/>
      <c r="I3497" s="2"/>
      <c r="J3497" s="2"/>
      <c r="K3497" s="2"/>
      <c r="L3497" s="2"/>
      <c r="M3497" s="2"/>
      <c r="N3497" s="2"/>
      <c r="O3497" s="2"/>
      <c r="P3497" s="2"/>
      <c r="Q3497" s="2"/>
      <c r="R3497" s="2"/>
      <c r="S3497" s="2"/>
      <c r="T3497" s="2"/>
      <c r="U3497" s="2"/>
      <c r="V3497" s="2"/>
      <c r="W3497" s="2"/>
      <c r="X3497" s="2"/>
      <c r="Y3497" s="1"/>
      <c r="Z3497" s="1"/>
      <c r="AA3497" s="2"/>
      <c r="AB3497" s="2"/>
      <c r="AC3497" s="2"/>
      <c r="AD3497" s="2"/>
      <c r="AE3497" s="2"/>
      <c r="AF3497" s="2"/>
      <c r="AG3497" s="2"/>
      <c r="AH3497" s="2"/>
      <c r="AI3497" s="2"/>
      <c r="AJ3497" s="2"/>
      <c r="AK3497" s="2"/>
      <c r="AL3497" s="2"/>
      <c r="AM3497" s="2"/>
      <c r="AN3497" s="2"/>
      <c r="AO3497" s="2"/>
      <c r="AP3497" s="2"/>
      <c r="AQ3497" s="2"/>
      <c r="AR3497" s="2"/>
      <c r="AS3497" s="2"/>
      <c r="AT3497" s="2"/>
      <c r="AU3497" s="2"/>
      <c r="AV3497" s="2"/>
      <c r="AW3497" s="2"/>
      <c r="AX3497" s="2"/>
    </row>
    <row r="3498" spans="1:50" ht="12.75" x14ac:dyDescent="0.2">
      <c r="A3498" s="2"/>
      <c r="B3498" s="2"/>
      <c r="C3498" s="2"/>
      <c r="D3498" s="2"/>
      <c r="E3498" s="2"/>
      <c r="F3498" s="2"/>
      <c r="G3498" s="2"/>
      <c r="H3498" s="2"/>
      <c r="I3498" s="2"/>
      <c r="J3498" s="2"/>
      <c r="K3498" s="2"/>
      <c r="L3498" s="2"/>
      <c r="M3498" s="2"/>
      <c r="N3498" s="2"/>
      <c r="O3498" s="2"/>
      <c r="P3498" s="2"/>
      <c r="Q3498" s="2"/>
      <c r="R3498" s="2"/>
      <c r="S3498" s="2"/>
      <c r="T3498" s="2"/>
      <c r="U3498" s="2"/>
      <c r="V3498" s="2"/>
      <c r="W3498" s="2"/>
      <c r="X3498" s="2"/>
      <c r="Y3498" s="1"/>
      <c r="Z3498" s="1"/>
      <c r="AA3498" s="2"/>
      <c r="AB3498" s="2"/>
      <c r="AC3498" s="2"/>
      <c r="AD3498" s="2"/>
      <c r="AE3498" s="2"/>
      <c r="AF3498" s="2"/>
      <c r="AG3498" s="2"/>
      <c r="AH3498" s="2"/>
      <c r="AI3498" s="2"/>
      <c r="AJ3498" s="2"/>
      <c r="AK3498" s="2"/>
      <c r="AL3498" s="2"/>
      <c r="AM3498" s="2"/>
      <c r="AN3498" s="2"/>
      <c r="AO3498" s="2"/>
      <c r="AP3498" s="2"/>
      <c r="AQ3498" s="2"/>
      <c r="AR3498" s="2"/>
      <c r="AS3498" s="2"/>
      <c r="AT3498" s="2"/>
      <c r="AU3498" s="2"/>
      <c r="AV3498" s="2"/>
      <c r="AW3498" s="2"/>
      <c r="AX3498" s="2"/>
    </row>
    <row r="3499" spans="1:50" ht="12.75" x14ac:dyDescent="0.2">
      <c r="A3499" s="2"/>
      <c r="B3499" s="2"/>
      <c r="C3499" s="2"/>
      <c r="D3499" s="2"/>
      <c r="E3499" s="2"/>
      <c r="F3499" s="2"/>
      <c r="G3499" s="2"/>
      <c r="H3499" s="2"/>
      <c r="I3499" s="2"/>
      <c r="J3499" s="2"/>
      <c r="K3499" s="2"/>
      <c r="L3499" s="2"/>
      <c r="M3499" s="2"/>
      <c r="N3499" s="2"/>
      <c r="O3499" s="2"/>
      <c r="P3499" s="2"/>
      <c r="Q3499" s="2"/>
      <c r="R3499" s="2"/>
      <c r="S3499" s="2"/>
      <c r="T3499" s="2"/>
      <c r="U3499" s="2"/>
      <c r="V3499" s="2"/>
      <c r="W3499" s="2"/>
      <c r="X3499" s="2"/>
      <c r="Y3499" s="1"/>
      <c r="Z3499" s="1"/>
      <c r="AA3499" s="2"/>
      <c r="AB3499" s="2"/>
      <c r="AC3499" s="2"/>
      <c r="AD3499" s="2"/>
      <c r="AE3499" s="2"/>
      <c r="AF3499" s="2"/>
      <c r="AG3499" s="2"/>
      <c r="AH3499" s="2"/>
      <c r="AI3499" s="2"/>
      <c r="AJ3499" s="2"/>
      <c r="AK3499" s="2"/>
      <c r="AL3499" s="2"/>
      <c r="AM3499" s="2"/>
      <c r="AN3499" s="2"/>
      <c r="AO3499" s="2"/>
      <c r="AP3499" s="2"/>
      <c r="AQ3499" s="2"/>
      <c r="AR3499" s="2"/>
      <c r="AS3499" s="2"/>
      <c r="AT3499" s="2"/>
      <c r="AU3499" s="2"/>
      <c r="AV3499" s="2"/>
      <c r="AW3499" s="2"/>
      <c r="AX3499" s="2"/>
    </row>
    <row r="3500" spans="1:50" ht="12.75" x14ac:dyDescent="0.2">
      <c r="A3500" s="2"/>
      <c r="B3500" s="2"/>
      <c r="C3500" s="2"/>
      <c r="D3500" s="2"/>
      <c r="E3500" s="2"/>
      <c r="F3500" s="2"/>
      <c r="G3500" s="2"/>
      <c r="H3500" s="2"/>
      <c r="I3500" s="2"/>
      <c r="J3500" s="2"/>
      <c r="K3500" s="2"/>
      <c r="L3500" s="2"/>
      <c r="M3500" s="2"/>
      <c r="N3500" s="2"/>
      <c r="O3500" s="2"/>
      <c r="P3500" s="2"/>
      <c r="Q3500" s="2"/>
      <c r="R3500" s="2"/>
      <c r="S3500" s="2"/>
      <c r="T3500" s="2"/>
      <c r="U3500" s="2"/>
      <c r="V3500" s="2"/>
      <c r="W3500" s="2"/>
      <c r="X3500" s="2"/>
      <c r="Y3500" s="1"/>
      <c r="Z3500" s="1"/>
      <c r="AA3500" s="2"/>
      <c r="AB3500" s="2"/>
      <c r="AC3500" s="2"/>
      <c r="AD3500" s="2"/>
      <c r="AE3500" s="2"/>
      <c r="AF3500" s="2"/>
      <c r="AG3500" s="2"/>
      <c r="AH3500" s="2"/>
      <c r="AI3500" s="2"/>
      <c r="AJ3500" s="2"/>
      <c r="AK3500" s="2"/>
      <c r="AL3500" s="2"/>
      <c r="AM3500" s="2"/>
      <c r="AN3500" s="2"/>
      <c r="AO3500" s="2"/>
      <c r="AP3500" s="2"/>
      <c r="AQ3500" s="2"/>
      <c r="AR3500" s="2"/>
      <c r="AS3500" s="2"/>
      <c r="AT3500" s="2"/>
      <c r="AU3500" s="2"/>
      <c r="AV3500" s="2"/>
      <c r="AW3500" s="2"/>
      <c r="AX3500" s="2"/>
    </row>
    <row r="3501" spans="1:50" ht="12.75" x14ac:dyDescent="0.2">
      <c r="A3501" s="2"/>
      <c r="B3501" s="2"/>
      <c r="C3501" s="2"/>
      <c r="D3501" s="2"/>
      <c r="E3501" s="2"/>
      <c r="F3501" s="2"/>
      <c r="G3501" s="2"/>
      <c r="H3501" s="2"/>
      <c r="I3501" s="2"/>
      <c r="J3501" s="2"/>
      <c r="K3501" s="2"/>
      <c r="L3501" s="2"/>
      <c r="M3501" s="2"/>
      <c r="N3501" s="2"/>
      <c r="O3501" s="2"/>
      <c r="P3501" s="2"/>
      <c r="Q3501" s="2"/>
      <c r="R3501" s="2"/>
      <c r="S3501" s="2"/>
      <c r="T3501" s="2"/>
      <c r="U3501" s="2"/>
      <c r="V3501" s="2"/>
      <c r="W3501" s="2"/>
      <c r="X3501" s="2"/>
      <c r="Y3501" s="1"/>
      <c r="Z3501" s="1"/>
      <c r="AA3501" s="2"/>
      <c r="AB3501" s="2"/>
      <c r="AC3501" s="2"/>
      <c r="AD3501" s="2"/>
      <c r="AE3501" s="2"/>
      <c r="AF3501" s="2"/>
      <c r="AG3501" s="2"/>
      <c r="AH3501" s="2"/>
      <c r="AI3501" s="2"/>
      <c r="AJ3501" s="2"/>
      <c r="AK3501" s="2"/>
      <c r="AL3501" s="2"/>
      <c r="AM3501" s="2"/>
      <c r="AN3501" s="2"/>
      <c r="AO3501" s="2"/>
      <c r="AP3501" s="2"/>
      <c r="AQ3501" s="2"/>
      <c r="AR3501" s="2"/>
      <c r="AS3501" s="2"/>
      <c r="AT3501" s="2"/>
      <c r="AU3501" s="2"/>
      <c r="AV3501" s="2"/>
      <c r="AW3501" s="2"/>
      <c r="AX3501" s="2"/>
    </row>
    <row r="3502" spans="1:50" ht="12.75" x14ac:dyDescent="0.2">
      <c r="A3502" s="2"/>
      <c r="B3502" s="2"/>
      <c r="C3502" s="2"/>
      <c r="D3502" s="2"/>
      <c r="E3502" s="2"/>
      <c r="F3502" s="2"/>
      <c r="G3502" s="2"/>
      <c r="H3502" s="2"/>
      <c r="I3502" s="2"/>
      <c r="J3502" s="2"/>
      <c r="K3502" s="2"/>
      <c r="L3502" s="2"/>
      <c r="M3502" s="2"/>
      <c r="N3502" s="2"/>
      <c r="O3502" s="2"/>
      <c r="P3502" s="2"/>
      <c r="Q3502" s="2"/>
      <c r="R3502" s="2"/>
      <c r="S3502" s="2"/>
      <c r="T3502" s="2"/>
      <c r="U3502" s="2"/>
      <c r="V3502" s="2"/>
      <c r="W3502" s="2"/>
      <c r="X3502" s="2"/>
      <c r="Y3502" s="1"/>
      <c r="Z3502" s="1"/>
      <c r="AA3502" s="2"/>
      <c r="AB3502" s="2"/>
      <c r="AC3502" s="2"/>
      <c r="AD3502" s="2"/>
      <c r="AE3502" s="2"/>
      <c r="AF3502" s="2"/>
      <c r="AG3502" s="2"/>
      <c r="AH3502" s="2"/>
      <c r="AI3502" s="2"/>
      <c r="AJ3502" s="2"/>
      <c r="AK3502" s="2"/>
      <c r="AL3502" s="2"/>
      <c r="AM3502" s="2"/>
      <c r="AN3502" s="2"/>
      <c r="AO3502" s="2"/>
      <c r="AP3502" s="2"/>
      <c r="AQ3502" s="2"/>
      <c r="AR3502" s="2"/>
      <c r="AS3502" s="2"/>
      <c r="AT3502" s="2"/>
      <c r="AU3502" s="2"/>
      <c r="AV3502" s="2"/>
      <c r="AW3502" s="2"/>
      <c r="AX3502" s="2"/>
    </row>
    <row r="3503" spans="1:50" ht="12.75" x14ac:dyDescent="0.2">
      <c r="A3503" s="2"/>
      <c r="B3503" s="2"/>
      <c r="C3503" s="2"/>
      <c r="D3503" s="2"/>
      <c r="E3503" s="2"/>
      <c r="F3503" s="2"/>
      <c r="G3503" s="2"/>
      <c r="H3503" s="2"/>
      <c r="I3503" s="2"/>
      <c r="J3503" s="2"/>
      <c r="K3503" s="2"/>
      <c r="L3503" s="2"/>
      <c r="M3503" s="2"/>
      <c r="N3503" s="2"/>
      <c r="O3503" s="2"/>
      <c r="P3503" s="2"/>
      <c r="Q3503" s="2"/>
      <c r="R3503" s="2"/>
      <c r="S3503" s="2"/>
      <c r="T3503" s="2"/>
      <c r="U3503" s="2"/>
      <c r="V3503" s="2"/>
      <c r="W3503" s="2"/>
      <c r="X3503" s="2"/>
      <c r="Y3503" s="1"/>
      <c r="Z3503" s="1"/>
      <c r="AA3503" s="2"/>
      <c r="AB3503" s="2"/>
      <c r="AC3503" s="2"/>
      <c r="AD3503" s="2"/>
      <c r="AE3503" s="2"/>
      <c r="AF3503" s="2"/>
      <c r="AG3503" s="2"/>
      <c r="AH3503" s="2"/>
      <c r="AI3503" s="2"/>
      <c r="AJ3503" s="2"/>
      <c r="AK3503" s="2"/>
      <c r="AL3503" s="2"/>
      <c r="AM3503" s="2"/>
      <c r="AN3503" s="2"/>
      <c r="AO3503" s="2"/>
      <c r="AP3503" s="2"/>
      <c r="AQ3503" s="2"/>
      <c r="AR3503" s="2"/>
      <c r="AS3503" s="2"/>
      <c r="AT3503" s="2"/>
      <c r="AU3503" s="2"/>
      <c r="AV3503" s="2"/>
      <c r="AW3503" s="2"/>
      <c r="AX3503" s="2"/>
    </row>
    <row r="3504" spans="1:50" ht="12.75" x14ac:dyDescent="0.2">
      <c r="A3504" s="2"/>
      <c r="B3504" s="2"/>
      <c r="C3504" s="2"/>
      <c r="D3504" s="2"/>
      <c r="E3504" s="2"/>
      <c r="F3504" s="2"/>
      <c r="G3504" s="2"/>
      <c r="H3504" s="2"/>
      <c r="I3504" s="2"/>
      <c r="J3504" s="2"/>
      <c r="K3504" s="2"/>
      <c r="L3504" s="2"/>
      <c r="M3504" s="2"/>
      <c r="N3504" s="2"/>
      <c r="O3504" s="2"/>
      <c r="P3504" s="2"/>
      <c r="Q3504" s="2"/>
      <c r="R3504" s="2"/>
      <c r="S3504" s="2"/>
      <c r="T3504" s="2"/>
      <c r="U3504" s="2"/>
      <c r="V3504" s="2"/>
      <c r="W3504" s="2"/>
      <c r="X3504" s="2"/>
      <c r="Y3504" s="1"/>
      <c r="Z3504" s="1"/>
      <c r="AA3504" s="2"/>
      <c r="AB3504" s="2"/>
      <c r="AC3504" s="2"/>
      <c r="AD3504" s="2"/>
      <c r="AE3504" s="2"/>
      <c r="AF3504" s="2"/>
      <c r="AG3504" s="2"/>
      <c r="AH3504" s="2"/>
      <c r="AI3504" s="2"/>
      <c r="AJ3504" s="2"/>
      <c r="AK3504" s="2"/>
      <c r="AL3504" s="2"/>
      <c r="AM3504" s="2"/>
      <c r="AN3504" s="2"/>
      <c r="AO3504" s="2"/>
      <c r="AP3504" s="2"/>
      <c r="AQ3504" s="2"/>
      <c r="AR3504" s="2"/>
      <c r="AS3504" s="2"/>
      <c r="AT3504" s="2"/>
      <c r="AU3504" s="2"/>
      <c r="AV3504" s="2"/>
      <c r="AW3504" s="2"/>
      <c r="AX3504" s="2"/>
    </row>
    <row r="3505" spans="1:50" ht="12.75" x14ac:dyDescent="0.2">
      <c r="A3505" s="2"/>
      <c r="B3505" s="2"/>
      <c r="C3505" s="2"/>
      <c r="D3505" s="2"/>
      <c r="E3505" s="2"/>
      <c r="F3505" s="2"/>
      <c r="G3505" s="2"/>
      <c r="H3505" s="2"/>
      <c r="I3505" s="2"/>
      <c r="J3505" s="2"/>
      <c r="K3505" s="2"/>
      <c r="L3505" s="2"/>
      <c r="M3505" s="2"/>
      <c r="N3505" s="2"/>
      <c r="O3505" s="2"/>
      <c r="P3505" s="2"/>
      <c r="Q3505" s="2"/>
      <c r="R3505" s="2"/>
      <c r="S3505" s="2"/>
      <c r="T3505" s="2"/>
      <c r="U3505" s="2"/>
      <c r="V3505" s="2"/>
      <c r="W3505" s="2"/>
      <c r="X3505" s="2"/>
      <c r="Y3505" s="1"/>
      <c r="Z3505" s="1"/>
      <c r="AA3505" s="2"/>
      <c r="AB3505" s="2"/>
      <c r="AC3505" s="2"/>
      <c r="AD3505" s="2"/>
      <c r="AE3505" s="2"/>
      <c r="AF3505" s="2"/>
      <c r="AG3505" s="2"/>
      <c r="AH3505" s="2"/>
      <c r="AI3505" s="2"/>
      <c r="AJ3505" s="2"/>
      <c r="AK3505" s="2"/>
      <c r="AL3505" s="2"/>
      <c r="AM3505" s="2"/>
      <c r="AN3505" s="2"/>
      <c r="AO3505" s="2"/>
      <c r="AP3505" s="2"/>
      <c r="AQ3505" s="2"/>
      <c r="AR3505" s="2"/>
      <c r="AS3505" s="2"/>
      <c r="AT3505" s="2"/>
      <c r="AU3505" s="2"/>
      <c r="AV3505" s="2"/>
      <c r="AW3505" s="2"/>
      <c r="AX3505" s="2"/>
    </row>
    <row r="3506" spans="1:50" ht="12.75" x14ac:dyDescent="0.2">
      <c r="A3506" s="2"/>
      <c r="B3506" s="2"/>
      <c r="C3506" s="2"/>
      <c r="D3506" s="2"/>
      <c r="E3506" s="2"/>
      <c r="F3506" s="2"/>
      <c r="G3506" s="2"/>
      <c r="H3506" s="2"/>
      <c r="I3506" s="2"/>
      <c r="J3506" s="2"/>
      <c r="K3506" s="2"/>
      <c r="L3506" s="2"/>
      <c r="M3506" s="2"/>
      <c r="N3506" s="2"/>
      <c r="O3506" s="2"/>
      <c r="P3506" s="2"/>
      <c r="Q3506" s="2"/>
      <c r="R3506" s="2"/>
      <c r="S3506" s="2"/>
      <c r="T3506" s="2"/>
      <c r="U3506" s="2"/>
      <c r="V3506" s="2"/>
      <c r="W3506" s="2"/>
      <c r="X3506" s="2"/>
      <c r="Y3506" s="1"/>
      <c r="Z3506" s="1"/>
      <c r="AA3506" s="2"/>
      <c r="AB3506" s="2"/>
      <c r="AC3506" s="2"/>
      <c r="AD3506" s="2"/>
      <c r="AE3506" s="2"/>
      <c r="AF3506" s="2"/>
      <c r="AG3506" s="2"/>
      <c r="AH3506" s="2"/>
      <c r="AI3506" s="2"/>
      <c r="AJ3506" s="2"/>
      <c r="AK3506" s="2"/>
      <c r="AL3506" s="2"/>
      <c r="AM3506" s="2"/>
      <c r="AN3506" s="2"/>
      <c r="AO3506" s="2"/>
      <c r="AP3506" s="2"/>
      <c r="AQ3506" s="2"/>
      <c r="AR3506" s="2"/>
      <c r="AS3506" s="2"/>
      <c r="AT3506" s="2"/>
      <c r="AU3506" s="2"/>
      <c r="AV3506" s="2"/>
      <c r="AW3506" s="2"/>
      <c r="AX3506" s="2"/>
    </row>
    <row r="3507" spans="1:50" ht="12.75" x14ac:dyDescent="0.2">
      <c r="A3507" s="2"/>
      <c r="B3507" s="2"/>
      <c r="C3507" s="2"/>
      <c r="D3507" s="2"/>
      <c r="E3507" s="2"/>
      <c r="F3507" s="2"/>
      <c r="G3507" s="2"/>
      <c r="H3507" s="2"/>
      <c r="I3507" s="2"/>
      <c r="J3507" s="2"/>
      <c r="K3507" s="2"/>
      <c r="L3507" s="2"/>
      <c r="M3507" s="2"/>
      <c r="N3507" s="2"/>
      <c r="O3507" s="2"/>
      <c r="P3507" s="2"/>
      <c r="Q3507" s="2"/>
      <c r="R3507" s="2"/>
      <c r="S3507" s="2"/>
      <c r="T3507" s="2"/>
      <c r="U3507" s="2"/>
      <c r="V3507" s="2"/>
      <c r="W3507" s="2"/>
      <c r="X3507" s="2"/>
      <c r="Y3507" s="1"/>
      <c r="Z3507" s="1"/>
      <c r="AA3507" s="2"/>
      <c r="AB3507" s="2"/>
      <c r="AC3507" s="2"/>
      <c r="AD3507" s="2"/>
      <c r="AE3507" s="2"/>
      <c r="AF3507" s="2"/>
      <c r="AG3507" s="2"/>
      <c r="AH3507" s="2"/>
      <c r="AI3507" s="2"/>
      <c r="AJ3507" s="2"/>
      <c r="AK3507" s="2"/>
      <c r="AL3507" s="2"/>
      <c r="AM3507" s="2"/>
      <c r="AN3507" s="2"/>
      <c r="AO3507" s="2"/>
      <c r="AP3507" s="2"/>
      <c r="AQ3507" s="2"/>
      <c r="AR3507" s="2"/>
      <c r="AS3507" s="2"/>
      <c r="AT3507" s="2"/>
      <c r="AU3507" s="2"/>
      <c r="AV3507" s="2"/>
      <c r="AW3507" s="2"/>
      <c r="AX3507" s="2"/>
    </row>
    <row r="3508" spans="1:50" ht="12.75" x14ac:dyDescent="0.2">
      <c r="A3508" s="2"/>
      <c r="B3508" s="2"/>
      <c r="C3508" s="2"/>
      <c r="D3508" s="2"/>
      <c r="E3508" s="2"/>
      <c r="F3508" s="2"/>
      <c r="G3508" s="2"/>
      <c r="H3508" s="2"/>
      <c r="I3508" s="2"/>
      <c r="J3508" s="2"/>
      <c r="K3508" s="2"/>
      <c r="L3508" s="2"/>
      <c r="M3508" s="2"/>
      <c r="N3508" s="2"/>
      <c r="O3508" s="2"/>
      <c r="P3508" s="2"/>
      <c r="Q3508" s="2"/>
      <c r="R3508" s="2"/>
      <c r="S3508" s="2"/>
      <c r="T3508" s="2"/>
      <c r="U3508" s="2"/>
      <c r="V3508" s="2"/>
      <c r="W3508" s="2"/>
      <c r="X3508" s="2"/>
      <c r="Y3508" s="1"/>
      <c r="Z3508" s="1"/>
      <c r="AA3508" s="2"/>
      <c r="AB3508" s="2"/>
      <c r="AC3508" s="2"/>
      <c r="AD3508" s="2"/>
      <c r="AE3508" s="2"/>
      <c r="AF3508" s="2"/>
      <c r="AG3508" s="2"/>
      <c r="AH3508" s="2"/>
      <c r="AI3508" s="2"/>
      <c r="AJ3508" s="2"/>
      <c r="AK3508" s="2"/>
      <c r="AL3508" s="2"/>
      <c r="AM3508" s="2"/>
      <c r="AN3508" s="2"/>
      <c r="AO3508" s="2"/>
      <c r="AP3508" s="2"/>
      <c r="AQ3508" s="2"/>
      <c r="AR3508" s="2"/>
      <c r="AS3508" s="2"/>
      <c r="AT3508" s="2"/>
      <c r="AU3508" s="2"/>
      <c r="AV3508" s="2"/>
      <c r="AW3508" s="2"/>
      <c r="AX3508" s="2"/>
    </row>
    <row r="3509" spans="1:50" ht="12.75" x14ac:dyDescent="0.2">
      <c r="A3509" s="2"/>
      <c r="B3509" s="2"/>
      <c r="C3509" s="2"/>
      <c r="D3509" s="2"/>
      <c r="E3509" s="2"/>
      <c r="F3509" s="2"/>
      <c r="G3509" s="2"/>
      <c r="H3509" s="2"/>
      <c r="I3509" s="2"/>
      <c r="J3509" s="2"/>
      <c r="K3509" s="2"/>
      <c r="L3509" s="2"/>
      <c r="M3509" s="2"/>
      <c r="N3509" s="2"/>
      <c r="O3509" s="2"/>
      <c r="P3509" s="2"/>
      <c r="Q3509" s="2"/>
      <c r="R3509" s="2"/>
      <c r="S3509" s="2"/>
      <c r="T3509" s="2"/>
      <c r="U3509" s="2"/>
      <c r="V3509" s="2"/>
      <c r="W3509" s="2"/>
      <c r="X3509" s="2"/>
      <c r="Y3509" s="1"/>
      <c r="Z3509" s="1"/>
      <c r="AA3509" s="2"/>
      <c r="AB3509" s="2"/>
      <c r="AC3509" s="2"/>
      <c r="AD3509" s="2"/>
      <c r="AE3509" s="2"/>
      <c r="AF3509" s="2"/>
      <c r="AG3509" s="2"/>
      <c r="AH3509" s="2"/>
      <c r="AI3509" s="2"/>
      <c r="AJ3509" s="2"/>
      <c r="AK3509" s="2"/>
      <c r="AL3509" s="2"/>
      <c r="AM3509" s="2"/>
      <c r="AN3509" s="2"/>
      <c r="AO3509" s="2"/>
      <c r="AP3509" s="2"/>
      <c r="AQ3509" s="2"/>
      <c r="AR3509" s="2"/>
      <c r="AS3509" s="2"/>
      <c r="AT3509" s="2"/>
      <c r="AU3509" s="2"/>
      <c r="AV3509" s="2"/>
      <c r="AW3509" s="2"/>
      <c r="AX3509" s="2"/>
    </row>
    <row r="3510" spans="1:50" ht="12.75" x14ac:dyDescent="0.2">
      <c r="A3510" s="2"/>
      <c r="B3510" s="2"/>
      <c r="C3510" s="2"/>
      <c r="D3510" s="2"/>
      <c r="E3510" s="2"/>
      <c r="F3510" s="2"/>
      <c r="G3510" s="2"/>
      <c r="H3510" s="2"/>
      <c r="I3510" s="2"/>
      <c r="J3510" s="2"/>
      <c r="K3510" s="2"/>
      <c r="L3510" s="2"/>
      <c r="M3510" s="2"/>
      <c r="N3510" s="2"/>
      <c r="O3510" s="2"/>
      <c r="P3510" s="2"/>
      <c r="Q3510" s="2"/>
      <c r="R3510" s="2"/>
      <c r="S3510" s="2"/>
      <c r="T3510" s="2"/>
      <c r="U3510" s="2"/>
      <c r="V3510" s="2"/>
      <c r="W3510" s="2"/>
      <c r="X3510" s="2"/>
      <c r="Y3510" s="1"/>
      <c r="Z3510" s="1"/>
      <c r="AA3510" s="2"/>
      <c r="AB3510" s="2"/>
      <c r="AC3510" s="2"/>
      <c r="AD3510" s="2"/>
      <c r="AE3510" s="2"/>
      <c r="AF3510" s="2"/>
      <c r="AG3510" s="2"/>
      <c r="AH3510" s="2"/>
      <c r="AI3510" s="2"/>
      <c r="AJ3510" s="2"/>
      <c r="AK3510" s="2"/>
      <c r="AL3510" s="2"/>
      <c r="AM3510" s="2"/>
      <c r="AN3510" s="2"/>
      <c r="AO3510" s="2"/>
      <c r="AP3510" s="2"/>
      <c r="AQ3510" s="2"/>
      <c r="AR3510" s="2"/>
      <c r="AS3510" s="2"/>
      <c r="AT3510" s="2"/>
      <c r="AU3510" s="2"/>
      <c r="AV3510" s="2"/>
      <c r="AW3510" s="2"/>
      <c r="AX3510" s="2"/>
    </row>
    <row r="3511" spans="1:50" ht="12.75" x14ac:dyDescent="0.2">
      <c r="A3511" s="2"/>
      <c r="B3511" s="2"/>
      <c r="C3511" s="2"/>
      <c r="D3511" s="2"/>
      <c r="E3511" s="2"/>
      <c r="F3511" s="2"/>
      <c r="G3511" s="2"/>
      <c r="H3511" s="2"/>
      <c r="I3511" s="2"/>
      <c r="J3511" s="2"/>
      <c r="K3511" s="2"/>
      <c r="L3511" s="2"/>
      <c r="M3511" s="2"/>
      <c r="N3511" s="2"/>
      <c r="O3511" s="2"/>
      <c r="P3511" s="2"/>
      <c r="Q3511" s="2"/>
      <c r="R3511" s="2"/>
      <c r="S3511" s="2"/>
      <c r="T3511" s="2"/>
      <c r="U3511" s="2"/>
      <c r="V3511" s="2"/>
      <c r="W3511" s="2"/>
      <c r="X3511" s="2"/>
      <c r="Y3511" s="1"/>
      <c r="Z3511" s="1"/>
      <c r="AA3511" s="2"/>
      <c r="AB3511" s="2"/>
      <c r="AC3511" s="2"/>
      <c r="AD3511" s="2"/>
      <c r="AE3511" s="2"/>
      <c r="AF3511" s="2"/>
      <c r="AG3511" s="2"/>
      <c r="AH3511" s="2"/>
      <c r="AI3511" s="2"/>
      <c r="AJ3511" s="2"/>
      <c r="AK3511" s="2"/>
      <c r="AL3511" s="2"/>
      <c r="AM3511" s="2"/>
      <c r="AN3511" s="2"/>
      <c r="AO3511" s="2"/>
      <c r="AP3511" s="2"/>
      <c r="AQ3511" s="2"/>
      <c r="AR3511" s="2"/>
      <c r="AS3511" s="2"/>
      <c r="AT3511" s="2"/>
      <c r="AU3511" s="2"/>
      <c r="AV3511" s="2"/>
      <c r="AW3511" s="2"/>
      <c r="AX3511" s="2"/>
    </row>
    <row r="3512" spans="1:50" ht="12.75" x14ac:dyDescent="0.2">
      <c r="A3512" s="2"/>
      <c r="B3512" s="2"/>
      <c r="C3512" s="2"/>
      <c r="D3512" s="2"/>
      <c r="E3512" s="2"/>
      <c r="F3512" s="2"/>
      <c r="G3512" s="2"/>
      <c r="H3512" s="2"/>
      <c r="I3512" s="2"/>
      <c r="J3512" s="2"/>
      <c r="K3512" s="2"/>
      <c r="L3512" s="2"/>
      <c r="M3512" s="2"/>
      <c r="N3512" s="2"/>
      <c r="O3512" s="2"/>
      <c r="P3512" s="2"/>
      <c r="Q3512" s="2"/>
      <c r="R3512" s="2"/>
      <c r="S3512" s="2"/>
      <c r="T3512" s="2"/>
      <c r="U3512" s="2"/>
      <c r="V3512" s="2"/>
      <c r="W3512" s="2"/>
      <c r="X3512" s="2"/>
      <c r="Y3512" s="1"/>
      <c r="Z3512" s="1"/>
      <c r="AA3512" s="2"/>
      <c r="AB3512" s="2"/>
      <c r="AC3512" s="2"/>
      <c r="AD3512" s="2"/>
      <c r="AE3512" s="2"/>
      <c r="AF3512" s="2"/>
      <c r="AG3512" s="2"/>
      <c r="AH3512" s="2"/>
      <c r="AI3512" s="2"/>
      <c r="AJ3512" s="2"/>
      <c r="AK3512" s="2"/>
      <c r="AL3512" s="2"/>
      <c r="AM3512" s="2"/>
      <c r="AN3512" s="2"/>
      <c r="AO3512" s="2"/>
      <c r="AP3512" s="2"/>
      <c r="AQ3512" s="2"/>
      <c r="AR3512" s="2"/>
      <c r="AS3512" s="2"/>
      <c r="AT3512" s="2"/>
      <c r="AU3512" s="2"/>
      <c r="AV3512" s="2"/>
      <c r="AW3512" s="2"/>
      <c r="AX3512" s="2"/>
    </row>
    <row r="3513" spans="1:50" ht="12.75" x14ac:dyDescent="0.2">
      <c r="A3513" s="2"/>
      <c r="B3513" s="2"/>
      <c r="C3513" s="2"/>
      <c r="D3513" s="2"/>
      <c r="E3513" s="2"/>
      <c r="F3513" s="2"/>
      <c r="G3513" s="2"/>
      <c r="H3513" s="2"/>
      <c r="I3513" s="2"/>
      <c r="J3513" s="2"/>
      <c r="K3513" s="2"/>
      <c r="L3513" s="2"/>
      <c r="M3513" s="2"/>
      <c r="N3513" s="2"/>
      <c r="O3513" s="2"/>
      <c r="P3513" s="2"/>
      <c r="Q3513" s="2"/>
      <c r="R3513" s="2"/>
      <c r="S3513" s="2"/>
      <c r="T3513" s="2"/>
      <c r="U3513" s="2"/>
      <c r="V3513" s="2"/>
      <c r="W3513" s="2"/>
      <c r="X3513" s="2"/>
      <c r="Y3513" s="1"/>
      <c r="Z3513" s="1"/>
      <c r="AA3513" s="2"/>
      <c r="AB3513" s="2"/>
      <c r="AC3513" s="2"/>
      <c r="AD3513" s="2"/>
      <c r="AE3513" s="2"/>
      <c r="AF3513" s="2"/>
      <c r="AG3513" s="2"/>
      <c r="AH3513" s="2"/>
      <c r="AI3513" s="2"/>
      <c r="AJ3513" s="2"/>
      <c r="AK3513" s="2"/>
      <c r="AL3513" s="2"/>
      <c r="AM3513" s="2"/>
      <c r="AN3513" s="2"/>
      <c r="AO3513" s="2"/>
      <c r="AP3513" s="2"/>
      <c r="AQ3513" s="2"/>
      <c r="AR3513" s="2"/>
      <c r="AS3513" s="2"/>
      <c r="AT3513" s="2"/>
      <c r="AU3513" s="2"/>
      <c r="AV3513" s="2"/>
      <c r="AW3513" s="2"/>
      <c r="AX3513" s="2"/>
    </row>
    <row r="3514" spans="1:50" ht="12.75" x14ac:dyDescent="0.2">
      <c r="A3514" s="2"/>
      <c r="B3514" s="2"/>
      <c r="C3514" s="2"/>
      <c r="D3514" s="2"/>
      <c r="E3514" s="2"/>
      <c r="F3514" s="2"/>
      <c r="G3514" s="2"/>
      <c r="H3514" s="2"/>
      <c r="I3514" s="2"/>
      <c r="J3514" s="2"/>
      <c r="K3514" s="2"/>
      <c r="L3514" s="2"/>
      <c r="M3514" s="2"/>
      <c r="N3514" s="2"/>
      <c r="O3514" s="2"/>
      <c r="P3514" s="2"/>
      <c r="Q3514" s="2"/>
      <c r="R3514" s="2"/>
      <c r="S3514" s="2"/>
      <c r="T3514" s="2"/>
      <c r="U3514" s="2"/>
      <c r="V3514" s="2"/>
      <c r="W3514" s="2"/>
      <c r="X3514" s="2"/>
      <c r="Y3514" s="1"/>
      <c r="Z3514" s="1"/>
      <c r="AA3514" s="2"/>
      <c r="AB3514" s="2"/>
      <c r="AC3514" s="2"/>
      <c r="AD3514" s="2"/>
      <c r="AE3514" s="2"/>
      <c r="AF3514" s="2"/>
      <c r="AG3514" s="2"/>
      <c r="AH3514" s="2"/>
      <c r="AI3514" s="2"/>
      <c r="AJ3514" s="2"/>
      <c r="AK3514" s="2"/>
      <c r="AL3514" s="2"/>
      <c r="AM3514" s="2"/>
      <c r="AN3514" s="2"/>
      <c r="AO3514" s="2"/>
      <c r="AP3514" s="2"/>
      <c r="AQ3514" s="2"/>
      <c r="AR3514" s="2"/>
      <c r="AS3514" s="2"/>
      <c r="AT3514" s="2"/>
      <c r="AU3514" s="2"/>
      <c r="AV3514" s="2"/>
      <c r="AW3514" s="2"/>
      <c r="AX3514" s="2"/>
    </row>
    <row r="3515" spans="1:50" ht="12.75" x14ac:dyDescent="0.2">
      <c r="A3515" s="2"/>
      <c r="B3515" s="2"/>
      <c r="C3515" s="2"/>
      <c r="D3515" s="2"/>
      <c r="E3515" s="2"/>
      <c r="F3515" s="2"/>
      <c r="G3515" s="2"/>
      <c r="H3515" s="2"/>
      <c r="I3515" s="2"/>
      <c r="J3515" s="2"/>
      <c r="K3515" s="2"/>
      <c r="L3515" s="2"/>
      <c r="M3515" s="2"/>
      <c r="N3515" s="2"/>
      <c r="O3515" s="2"/>
      <c r="P3515" s="2"/>
      <c r="Q3515" s="2"/>
      <c r="R3515" s="2"/>
      <c r="S3515" s="2"/>
      <c r="T3515" s="2"/>
      <c r="U3515" s="2"/>
      <c r="V3515" s="2"/>
      <c r="W3515" s="2"/>
      <c r="X3515" s="2"/>
      <c r="Y3515" s="1"/>
      <c r="Z3515" s="1"/>
      <c r="AA3515" s="2"/>
      <c r="AB3515" s="2"/>
      <c r="AC3515" s="2"/>
      <c r="AD3515" s="2"/>
      <c r="AE3515" s="2"/>
      <c r="AF3515" s="2"/>
      <c r="AG3515" s="2"/>
      <c r="AH3515" s="2"/>
      <c r="AI3515" s="2"/>
      <c r="AJ3515" s="2"/>
      <c r="AK3515" s="2"/>
      <c r="AL3515" s="2"/>
      <c r="AM3515" s="2"/>
      <c r="AN3515" s="2"/>
      <c r="AO3515" s="2"/>
      <c r="AP3515" s="2"/>
      <c r="AQ3515" s="2"/>
      <c r="AR3515" s="2"/>
      <c r="AS3515" s="2"/>
      <c r="AT3515" s="2"/>
      <c r="AU3515" s="2"/>
      <c r="AV3515" s="2"/>
      <c r="AW3515" s="2"/>
      <c r="AX3515" s="2"/>
    </row>
    <row r="3516" spans="1:50" ht="12.75" x14ac:dyDescent="0.2">
      <c r="A3516" s="2"/>
      <c r="B3516" s="2"/>
      <c r="C3516" s="2"/>
      <c r="D3516" s="2"/>
      <c r="E3516" s="2"/>
      <c r="F3516" s="2"/>
      <c r="G3516" s="2"/>
      <c r="H3516" s="2"/>
      <c r="I3516" s="2"/>
      <c r="J3516" s="2"/>
      <c r="K3516" s="2"/>
      <c r="L3516" s="2"/>
      <c r="M3516" s="2"/>
      <c r="N3516" s="2"/>
      <c r="O3516" s="2"/>
      <c r="P3516" s="2"/>
      <c r="Q3516" s="2"/>
      <c r="R3516" s="2"/>
      <c r="S3516" s="2"/>
      <c r="T3516" s="2"/>
      <c r="U3516" s="2"/>
      <c r="V3516" s="2"/>
      <c r="W3516" s="2"/>
      <c r="X3516" s="2"/>
      <c r="Y3516" s="1"/>
      <c r="Z3516" s="1"/>
      <c r="AA3516" s="2"/>
      <c r="AB3516" s="2"/>
      <c r="AC3516" s="2"/>
      <c r="AD3516" s="2"/>
      <c r="AE3516" s="2"/>
      <c r="AF3516" s="2"/>
      <c r="AG3516" s="2"/>
      <c r="AH3516" s="2"/>
      <c r="AI3516" s="2"/>
      <c r="AJ3516" s="2"/>
      <c r="AK3516" s="2"/>
      <c r="AL3516" s="2"/>
      <c r="AM3516" s="2"/>
      <c r="AN3516" s="2"/>
      <c r="AO3516" s="2"/>
      <c r="AP3516" s="2"/>
      <c r="AQ3516" s="2"/>
      <c r="AR3516" s="2"/>
      <c r="AS3516" s="2"/>
      <c r="AT3516" s="2"/>
      <c r="AU3516" s="2"/>
      <c r="AV3516" s="2"/>
      <c r="AW3516" s="2"/>
      <c r="AX3516" s="2"/>
    </row>
    <row r="3517" spans="1:50" ht="12.75" x14ac:dyDescent="0.2">
      <c r="A3517" s="2"/>
      <c r="B3517" s="2"/>
      <c r="C3517" s="2"/>
      <c r="D3517" s="2"/>
      <c r="E3517" s="2"/>
      <c r="F3517" s="2"/>
      <c r="G3517" s="2"/>
      <c r="H3517" s="2"/>
      <c r="I3517" s="2"/>
      <c r="J3517" s="2"/>
      <c r="K3517" s="2"/>
      <c r="L3517" s="2"/>
      <c r="M3517" s="2"/>
      <c r="N3517" s="2"/>
      <c r="O3517" s="2"/>
      <c r="P3517" s="2"/>
      <c r="Q3517" s="2"/>
      <c r="R3517" s="2"/>
      <c r="S3517" s="2"/>
      <c r="T3517" s="2"/>
      <c r="U3517" s="2"/>
      <c r="V3517" s="2"/>
      <c r="W3517" s="2"/>
      <c r="X3517" s="2"/>
      <c r="Y3517" s="1"/>
      <c r="Z3517" s="1"/>
      <c r="AA3517" s="2"/>
      <c r="AB3517" s="2"/>
      <c r="AC3517" s="2"/>
      <c r="AD3517" s="2"/>
      <c r="AE3517" s="2"/>
      <c r="AF3517" s="2"/>
      <c r="AG3517" s="2"/>
      <c r="AH3517" s="2"/>
      <c r="AI3517" s="2"/>
      <c r="AJ3517" s="2"/>
      <c r="AK3517" s="2"/>
      <c r="AL3517" s="2"/>
      <c r="AM3517" s="2"/>
      <c r="AN3517" s="2"/>
      <c r="AO3517" s="2"/>
      <c r="AP3517" s="2"/>
      <c r="AQ3517" s="2"/>
      <c r="AR3517" s="2"/>
      <c r="AS3517" s="2"/>
      <c r="AT3517" s="2"/>
      <c r="AU3517" s="2"/>
      <c r="AV3517" s="2"/>
      <c r="AW3517" s="2"/>
      <c r="AX3517" s="2"/>
    </row>
    <row r="3518" spans="1:50" ht="12.75" x14ac:dyDescent="0.2">
      <c r="A3518" s="2"/>
      <c r="B3518" s="2"/>
      <c r="C3518" s="2"/>
      <c r="D3518" s="2"/>
      <c r="E3518" s="2"/>
      <c r="F3518" s="2"/>
      <c r="G3518" s="2"/>
      <c r="H3518" s="2"/>
      <c r="I3518" s="2"/>
      <c r="J3518" s="2"/>
      <c r="K3518" s="2"/>
      <c r="L3518" s="2"/>
      <c r="M3518" s="2"/>
      <c r="N3518" s="2"/>
      <c r="O3518" s="2"/>
      <c r="P3518" s="2"/>
      <c r="Q3518" s="2"/>
      <c r="R3518" s="2"/>
      <c r="S3518" s="2"/>
      <c r="T3518" s="2"/>
      <c r="U3518" s="2"/>
      <c r="V3518" s="2"/>
      <c r="W3518" s="2"/>
      <c r="X3518" s="2"/>
      <c r="Y3518" s="1"/>
      <c r="Z3518" s="1"/>
      <c r="AA3518" s="2"/>
      <c r="AB3518" s="2"/>
      <c r="AC3518" s="2"/>
      <c r="AD3518" s="2"/>
      <c r="AE3518" s="2"/>
      <c r="AF3518" s="2"/>
      <c r="AG3518" s="2"/>
      <c r="AH3518" s="2"/>
      <c r="AI3518" s="2"/>
      <c r="AJ3518" s="2"/>
      <c r="AK3518" s="2"/>
      <c r="AL3518" s="2"/>
      <c r="AM3518" s="2"/>
      <c r="AN3518" s="2"/>
      <c r="AO3518" s="2"/>
      <c r="AP3518" s="2"/>
      <c r="AQ3518" s="2"/>
      <c r="AR3518" s="2"/>
      <c r="AS3518" s="2"/>
      <c r="AT3518" s="2"/>
      <c r="AU3518" s="2"/>
      <c r="AV3518" s="2"/>
      <c r="AW3518" s="2"/>
      <c r="AX3518" s="2"/>
    </row>
    <row r="3519" spans="1:50" ht="12.75" x14ac:dyDescent="0.2">
      <c r="A3519" s="2"/>
      <c r="B3519" s="2"/>
      <c r="C3519" s="2"/>
      <c r="D3519" s="2"/>
      <c r="E3519" s="2"/>
      <c r="F3519" s="2"/>
      <c r="G3519" s="2"/>
      <c r="H3519" s="2"/>
      <c r="I3519" s="2"/>
      <c r="J3519" s="2"/>
      <c r="K3519" s="2"/>
      <c r="L3519" s="2"/>
      <c r="M3519" s="2"/>
      <c r="N3519" s="2"/>
      <c r="O3519" s="2"/>
      <c r="P3519" s="2"/>
      <c r="Q3519" s="2"/>
      <c r="R3519" s="2"/>
      <c r="S3519" s="2"/>
      <c r="T3519" s="2"/>
      <c r="U3519" s="2"/>
      <c r="V3519" s="2"/>
      <c r="W3519" s="2"/>
      <c r="X3519" s="2"/>
      <c r="Y3519" s="1"/>
      <c r="Z3519" s="1"/>
      <c r="AA3519" s="2"/>
      <c r="AB3519" s="2"/>
      <c r="AC3519" s="2"/>
      <c r="AD3519" s="2"/>
      <c r="AE3519" s="2"/>
      <c r="AF3519" s="2"/>
      <c r="AG3519" s="2"/>
      <c r="AH3519" s="2"/>
      <c r="AI3519" s="2"/>
      <c r="AJ3519" s="2"/>
      <c r="AK3519" s="2"/>
      <c r="AL3519" s="2"/>
      <c r="AM3519" s="2"/>
      <c r="AN3519" s="2"/>
      <c r="AO3519" s="2"/>
      <c r="AP3519" s="2"/>
      <c r="AQ3519" s="2"/>
      <c r="AR3519" s="2"/>
      <c r="AS3519" s="2"/>
      <c r="AT3519" s="2"/>
      <c r="AU3519" s="2"/>
      <c r="AV3519" s="2"/>
      <c r="AW3519" s="2"/>
      <c r="AX3519" s="2"/>
    </row>
    <row r="3520" spans="1:50" ht="12.75" x14ac:dyDescent="0.2">
      <c r="A3520" s="2"/>
      <c r="B3520" s="2"/>
      <c r="C3520" s="2"/>
      <c r="D3520" s="2"/>
      <c r="E3520" s="2"/>
      <c r="F3520" s="2"/>
      <c r="G3520" s="2"/>
      <c r="H3520" s="2"/>
      <c r="I3520" s="2"/>
      <c r="J3520" s="2"/>
      <c r="K3520" s="2"/>
      <c r="L3520" s="2"/>
      <c r="M3520" s="2"/>
      <c r="N3520" s="2"/>
      <c r="O3520" s="2"/>
      <c r="P3520" s="2"/>
      <c r="Q3520" s="2"/>
      <c r="R3520" s="2"/>
      <c r="S3520" s="2"/>
      <c r="T3520" s="2"/>
      <c r="U3520" s="2"/>
      <c r="V3520" s="2"/>
      <c r="W3520" s="2"/>
      <c r="X3520" s="2"/>
      <c r="Y3520" s="1"/>
      <c r="Z3520" s="1"/>
      <c r="AA3520" s="2"/>
      <c r="AB3520" s="2"/>
      <c r="AC3520" s="2"/>
      <c r="AD3520" s="2"/>
      <c r="AE3520" s="2"/>
      <c r="AF3520" s="2"/>
      <c r="AG3520" s="2"/>
      <c r="AH3520" s="2"/>
      <c r="AI3520" s="2"/>
      <c r="AJ3520" s="2"/>
      <c r="AK3520" s="2"/>
      <c r="AL3520" s="2"/>
      <c r="AM3520" s="2"/>
      <c r="AN3520" s="2"/>
      <c r="AO3520" s="2"/>
      <c r="AP3520" s="2"/>
      <c r="AQ3520" s="2"/>
      <c r="AR3520" s="2"/>
      <c r="AS3520" s="2"/>
      <c r="AT3520" s="2"/>
      <c r="AU3520" s="2"/>
      <c r="AV3520" s="2"/>
      <c r="AW3520" s="2"/>
      <c r="AX3520" s="2"/>
    </row>
    <row r="3521" spans="1:50" ht="12.75" x14ac:dyDescent="0.2">
      <c r="A3521" s="2"/>
      <c r="B3521" s="2"/>
      <c r="C3521" s="2"/>
      <c r="D3521" s="2"/>
      <c r="E3521" s="2"/>
      <c r="F3521" s="2"/>
      <c r="G3521" s="2"/>
      <c r="H3521" s="2"/>
      <c r="I3521" s="2"/>
      <c r="J3521" s="2"/>
      <c r="K3521" s="2"/>
      <c r="L3521" s="2"/>
      <c r="M3521" s="2"/>
      <c r="N3521" s="2"/>
      <c r="O3521" s="2"/>
      <c r="P3521" s="2"/>
      <c r="Q3521" s="2"/>
      <c r="R3521" s="2"/>
      <c r="S3521" s="2"/>
      <c r="T3521" s="2"/>
      <c r="U3521" s="2"/>
      <c r="V3521" s="2"/>
      <c r="W3521" s="2"/>
      <c r="X3521" s="2"/>
      <c r="Y3521" s="1"/>
      <c r="Z3521" s="1"/>
      <c r="AA3521" s="2"/>
      <c r="AB3521" s="2"/>
      <c r="AC3521" s="2"/>
      <c r="AD3521" s="2"/>
      <c r="AE3521" s="2"/>
      <c r="AF3521" s="2"/>
      <c r="AG3521" s="2"/>
      <c r="AH3521" s="2"/>
      <c r="AI3521" s="2"/>
      <c r="AJ3521" s="2"/>
      <c r="AK3521" s="2"/>
      <c r="AL3521" s="2"/>
      <c r="AM3521" s="2"/>
      <c r="AN3521" s="2"/>
      <c r="AO3521" s="2"/>
      <c r="AP3521" s="2"/>
      <c r="AQ3521" s="2"/>
      <c r="AR3521" s="2"/>
      <c r="AS3521" s="2"/>
      <c r="AT3521" s="2"/>
      <c r="AU3521" s="2"/>
      <c r="AV3521" s="2"/>
      <c r="AW3521" s="2"/>
      <c r="AX3521" s="2"/>
    </row>
    <row r="3522" spans="1:50" ht="12.75" x14ac:dyDescent="0.2">
      <c r="A3522" s="2"/>
      <c r="B3522" s="2"/>
      <c r="C3522" s="2"/>
      <c r="D3522" s="2"/>
      <c r="E3522" s="2"/>
      <c r="F3522" s="2"/>
      <c r="G3522" s="2"/>
      <c r="H3522" s="2"/>
      <c r="I3522" s="2"/>
      <c r="J3522" s="2"/>
      <c r="K3522" s="2"/>
      <c r="L3522" s="2"/>
      <c r="M3522" s="2"/>
      <c r="N3522" s="2"/>
      <c r="O3522" s="2"/>
      <c r="P3522" s="2"/>
      <c r="Q3522" s="2"/>
      <c r="R3522" s="2"/>
      <c r="S3522" s="2"/>
      <c r="T3522" s="2"/>
      <c r="U3522" s="2"/>
      <c r="V3522" s="2"/>
      <c r="W3522" s="2"/>
      <c r="X3522" s="2"/>
      <c r="Y3522" s="1"/>
      <c r="Z3522" s="1"/>
      <c r="AA3522" s="2"/>
      <c r="AB3522" s="2"/>
      <c r="AC3522" s="2"/>
      <c r="AD3522" s="2"/>
      <c r="AE3522" s="2"/>
      <c r="AF3522" s="2"/>
      <c r="AG3522" s="2"/>
      <c r="AH3522" s="2"/>
      <c r="AI3522" s="2"/>
      <c r="AJ3522" s="2"/>
      <c r="AK3522" s="2"/>
      <c r="AL3522" s="2"/>
      <c r="AM3522" s="2"/>
      <c r="AN3522" s="2"/>
      <c r="AO3522" s="2"/>
      <c r="AP3522" s="2"/>
      <c r="AQ3522" s="2"/>
      <c r="AR3522" s="2"/>
      <c r="AS3522" s="2"/>
      <c r="AT3522" s="2"/>
      <c r="AU3522" s="2"/>
      <c r="AV3522" s="2"/>
      <c r="AW3522" s="2"/>
      <c r="AX3522" s="2"/>
    </row>
    <row r="3523" spans="1:50" ht="12.75" x14ac:dyDescent="0.2">
      <c r="A3523" s="2"/>
      <c r="B3523" s="2"/>
      <c r="C3523" s="2"/>
      <c r="D3523" s="2"/>
      <c r="E3523" s="2"/>
      <c r="F3523" s="2"/>
      <c r="G3523" s="2"/>
      <c r="H3523" s="2"/>
      <c r="I3523" s="2"/>
      <c r="J3523" s="2"/>
      <c r="K3523" s="2"/>
      <c r="L3523" s="2"/>
      <c r="M3523" s="2"/>
      <c r="N3523" s="2"/>
      <c r="O3523" s="2"/>
      <c r="P3523" s="2"/>
      <c r="Q3523" s="2"/>
      <c r="R3523" s="2"/>
      <c r="S3523" s="2"/>
      <c r="T3523" s="2"/>
      <c r="U3523" s="2"/>
      <c r="V3523" s="2"/>
      <c r="W3523" s="2"/>
      <c r="X3523" s="2"/>
      <c r="Y3523" s="1"/>
      <c r="Z3523" s="1"/>
      <c r="AA3523" s="2"/>
      <c r="AB3523" s="2"/>
      <c r="AC3523" s="2"/>
      <c r="AD3523" s="2"/>
      <c r="AE3523" s="2"/>
      <c r="AF3523" s="2"/>
      <c r="AG3523" s="2"/>
      <c r="AH3523" s="2"/>
      <c r="AI3523" s="2"/>
      <c r="AJ3523" s="2"/>
      <c r="AK3523" s="2"/>
      <c r="AL3523" s="2"/>
      <c r="AM3523" s="2"/>
      <c r="AN3523" s="2"/>
      <c r="AO3523" s="2"/>
      <c r="AP3523" s="2"/>
      <c r="AQ3523" s="2"/>
      <c r="AR3523" s="2"/>
      <c r="AS3523" s="2"/>
      <c r="AT3523" s="2"/>
      <c r="AU3523" s="2"/>
      <c r="AV3523" s="2"/>
      <c r="AW3523" s="2"/>
      <c r="AX3523" s="2"/>
    </row>
    <row r="3524" spans="1:50" ht="12.75" x14ac:dyDescent="0.2">
      <c r="A3524" s="2"/>
      <c r="B3524" s="2"/>
      <c r="C3524" s="2"/>
      <c r="D3524" s="2"/>
      <c r="E3524" s="2"/>
      <c r="F3524" s="2"/>
      <c r="G3524" s="2"/>
      <c r="H3524" s="2"/>
      <c r="I3524" s="2"/>
      <c r="J3524" s="2"/>
      <c r="K3524" s="2"/>
      <c r="L3524" s="2"/>
      <c r="M3524" s="2"/>
      <c r="N3524" s="2"/>
      <c r="O3524" s="2"/>
      <c r="P3524" s="2"/>
      <c r="Q3524" s="2"/>
      <c r="R3524" s="2"/>
      <c r="S3524" s="2"/>
      <c r="T3524" s="2"/>
      <c r="U3524" s="2"/>
      <c r="V3524" s="2"/>
      <c r="W3524" s="2"/>
      <c r="X3524" s="2"/>
      <c r="Y3524" s="1"/>
      <c r="Z3524" s="1"/>
      <c r="AA3524" s="2"/>
      <c r="AB3524" s="2"/>
      <c r="AC3524" s="2"/>
      <c r="AD3524" s="2"/>
      <c r="AE3524" s="2"/>
      <c r="AF3524" s="2"/>
      <c r="AG3524" s="2"/>
      <c r="AH3524" s="2"/>
      <c r="AI3524" s="2"/>
      <c r="AJ3524" s="2"/>
      <c r="AK3524" s="2"/>
      <c r="AL3524" s="2"/>
      <c r="AM3524" s="2"/>
      <c r="AN3524" s="2"/>
      <c r="AO3524" s="2"/>
      <c r="AP3524" s="2"/>
      <c r="AQ3524" s="2"/>
      <c r="AR3524" s="2"/>
      <c r="AS3524" s="2"/>
      <c r="AT3524" s="2"/>
      <c r="AU3524" s="2"/>
      <c r="AV3524" s="2"/>
      <c r="AW3524" s="2"/>
      <c r="AX3524" s="2"/>
    </row>
    <row r="3525" spans="1:50" ht="12.75" x14ac:dyDescent="0.2">
      <c r="A3525" s="2"/>
      <c r="B3525" s="2"/>
      <c r="C3525" s="2"/>
      <c r="D3525" s="2"/>
      <c r="E3525" s="2"/>
      <c r="F3525" s="2"/>
      <c r="G3525" s="2"/>
      <c r="H3525" s="2"/>
      <c r="I3525" s="2"/>
      <c r="J3525" s="2"/>
      <c r="K3525" s="2"/>
      <c r="L3525" s="2"/>
      <c r="M3525" s="2"/>
      <c r="N3525" s="2"/>
      <c r="O3525" s="2"/>
      <c r="P3525" s="2"/>
      <c r="Q3525" s="2"/>
      <c r="R3525" s="2"/>
      <c r="S3525" s="2"/>
      <c r="T3525" s="2"/>
      <c r="U3525" s="2"/>
      <c r="V3525" s="2"/>
      <c r="W3525" s="2"/>
      <c r="X3525" s="2"/>
      <c r="Y3525" s="1"/>
      <c r="Z3525" s="1"/>
      <c r="AA3525" s="2"/>
      <c r="AB3525" s="2"/>
      <c r="AC3525" s="2"/>
      <c r="AD3525" s="2"/>
      <c r="AE3525" s="2"/>
      <c r="AF3525" s="2"/>
      <c r="AG3525" s="2"/>
      <c r="AH3525" s="2"/>
      <c r="AI3525" s="2"/>
      <c r="AJ3525" s="2"/>
      <c r="AK3525" s="2"/>
      <c r="AL3525" s="2"/>
      <c r="AM3525" s="2"/>
      <c r="AN3525" s="2"/>
      <c r="AO3525" s="2"/>
      <c r="AP3525" s="2"/>
      <c r="AQ3525" s="2"/>
      <c r="AR3525" s="2"/>
      <c r="AS3525" s="2"/>
      <c r="AT3525" s="2"/>
      <c r="AU3525" s="2"/>
      <c r="AV3525" s="2"/>
      <c r="AW3525" s="2"/>
      <c r="AX3525" s="2"/>
    </row>
    <row r="3526" spans="1:50" ht="12.75" x14ac:dyDescent="0.2">
      <c r="A3526" s="2"/>
      <c r="B3526" s="2"/>
      <c r="C3526" s="2"/>
      <c r="D3526" s="2"/>
      <c r="E3526" s="2"/>
      <c r="F3526" s="2"/>
      <c r="G3526" s="2"/>
      <c r="H3526" s="2"/>
      <c r="I3526" s="2"/>
      <c r="J3526" s="2"/>
      <c r="K3526" s="2"/>
      <c r="L3526" s="2"/>
      <c r="M3526" s="2"/>
      <c r="N3526" s="2"/>
      <c r="O3526" s="2"/>
      <c r="P3526" s="2"/>
      <c r="Q3526" s="2"/>
      <c r="R3526" s="2"/>
      <c r="S3526" s="2"/>
      <c r="T3526" s="2"/>
      <c r="U3526" s="2"/>
      <c r="V3526" s="2"/>
      <c r="W3526" s="2"/>
      <c r="X3526" s="2"/>
      <c r="Y3526" s="1"/>
      <c r="Z3526" s="1"/>
      <c r="AA3526" s="2"/>
      <c r="AB3526" s="2"/>
      <c r="AC3526" s="2"/>
      <c r="AD3526" s="2"/>
      <c r="AE3526" s="2"/>
      <c r="AF3526" s="2"/>
      <c r="AG3526" s="2"/>
      <c r="AH3526" s="2"/>
      <c r="AI3526" s="2"/>
      <c r="AJ3526" s="2"/>
      <c r="AK3526" s="2"/>
      <c r="AL3526" s="2"/>
      <c r="AM3526" s="2"/>
      <c r="AN3526" s="2"/>
      <c r="AO3526" s="2"/>
      <c r="AP3526" s="2"/>
      <c r="AQ3526" s="2"/>
      <c r="AR3526" s="2"/>
      <c r="AS3526" s="2"/>
      <c r="AT3526" s="2"/>
      <c r="AU3526" s="2"/>
      <c r="AV3526" s="2"/>
      <c r="AW3526" s="2"/>
      <c r="AX3526" s="2"/>
    </row>
    <row r="3527" spans="1:50" ht="12.75" x14ac:dyDescent="0.2">
      <c r="A3527" s="2"/>
      <c r="B3527" s="2"/>
      <c r="C3527" s="2"/>
      <c r="D3527" s="2"/>
      <c r="E3527" s="2"/>
      <c r="F3527" s="2"/>
      <c r="G3527" s="2"/>
      <c r="H3527" s="2"/>
      <c r="I3527" s="2"/>
      <c r="J3527" s="2"/>
      <c r="K3527" s="2"/>
      <c r="L3527" s="2"/>
      <c r="M3527" s="2"/>
      <c r="N3527" s="2"/>
      <c r="O3527" s="2"/>
      <c r="P3527" s="2"/>
      <c r="Q3527" s="2"/>
      <c r="R3527" s="2"/>
      <c r="S3527" s="2"/>
      <c r="T3527" s="2"/>
      <c r="U3527" s="2"/>
      <c r="V3527" s="2"/>
      <c r="W3527" s="2"/>
      <c r="X3527" s="2"/>
      <c r="Y3527" s="1"/>
      <c r="Z3527" s="1"/>
      <c r="AA3527" s="2"/>
      <c r="AB3527" s="2"/>
      <c r="AC3527" s="2"/>
      <c r="AD3527" s="2"/>
      <c r="AE3527" s="2"/>
      <c r="AF3527" s="2"/>
      <c r="AG3527" s="2"/>
      <c r="AH3527" s="2"/>
      <c r="AI3527" s="2"/>
      <c r="AJ3527" s="2"/>
      <c r="AK3527" s="2"/>
      <c r="AL3527" s="2"/>
      <c r="AM3527" s="2"/>
      <c r="AN3527" s="2"/>
      <c r="AO3527" s="2"/>
      <c r="AP3527" s="2"/>
      <c r="AQ3527" s="2"/>
      <c r="AR3527" s="2"/>
      <c r="AS3527" s="2"/>
      <c r="AT3527" s="2"/>
      <c r="AU3527" s="2"/>
      <c r="AV3527" s="2"/>
      <c r="AW3527" s="2"/>
      <c r="AX3527" s="2"/>
    </row>
    <row r="3528" spans="1:50" ht="12.75" x14ac:dyDescent="0.2">
      <c r="A3528" s="2"/>
      <c r="B3528" s="2"/>
      <c r="C3528" s="2"/>
      <c r="D3528" s="2"/>
      <c r="E3528" s="2"/>
      <c r="F3528" s="2"/>
      <c r="G3528" s="2"/>
      <c r="H3528" s="2"/>
      <c r="I3528" s="2"/>
      <c r="J3528" s="2"/>
      <c r="K3528" s="2"/>
      <c r="L3528" s="2"/>
      <c r="M3528" s="2"/>
      <c r="N3528" s="2"/>
      <c r="O3528" s="2"/>
      <c r="P3528" s="2"/>
      <c r="Q3528" s="2"/>
      <c r="R3528" s="2"/>
      <c r="S3528" s="2"/>
      <c r="T3528" s="2"/>
      <c r="U3528" s="2"/>
      <c r="V3528" s="2"/>
      <c r="W3528" s="2"/>
      <c r="X3528" s="2"/>
      <c r="Y3528" s="1"/>
      <c r="Z3528" s="1"/>
      <c r="AA3528" s="2"/>
      <c r="AB3528" s="2"/>
      <c r="AC3528" s="2"/>
      <c r="AD3528" s="2"/>
      <c r="AE3528" s="2"/>
      <c r="AF3528" s="2"/>
      <c r="AG3528" s="2"/>
      <c r="AH3528" s="2"/>
      <c r="AI3528" s="2"/>
      <c r="AJ3528" s="2"/>
      <c r="AK3528" s="2"/>
      <c r="AL3528" s="2"/>
      <c r="AM3528" s="2"/>
      <c r="AN3528" s="2"/>
      <c r="AO3528" s="2"/>
      <c r="AP3528" s="2"/>
      <c r="AQ3528" s="2"/>
      <c r="AR3528" s="2"/>
      <c r="AS3528" s="2"/>
      <c r="AT3528" s="2"/>
      <c r="AU3528" s="2"/>
      <c r="AV3528" s="2"/>
      <c r="AW3528" s="2"/>
      <c r="AX3528" s="2"/>
    </row>
    <row r="3529" spans="1:50" ht="12.75" x14ac:dyDescent="0.2">
      <c r="A3529" s="2"/>
      <c r="B3529" s="2"/>
      <c r="C3529" s="2"/>
      <c r="D3529" s="2"/>
      <c r="E3529" s="2"/>
      <c r="F3529" s="2"/>
      <c r="G3529" s="2"/>
      <c r="H3529" s="2"/>
      <c r="I3529" s="2"/>
      <c r="J3529" s="2"/>
      <c r="K3529" s="2"/>
      <c r="L3529" s="2"/>
      <c r="M3529" s="2"/>
      <c r="N3529" s="2"/>
      <c r="O3529" s="2"/>
      <c r="P3529" s="2"/>
      <c r="Q3529" s="2"/>
      <c r="R3529" s="2"/>
      <c r="S3529" s="2"/>
      <c r="T3529" s="2"/>
      <c r="U3529" s="2"/>
      <c r="V3529" s="2"/>
      <c r="W3529" s="2"/>
      <c r="X3529" s="2"/>
      <c r="Y3529" s="1"/>
      <c r="Z3529" s="1"/>
      <c r="AA3529" s="2"/>
      <c r="AB3529" s="2"/>
      <c r="AC3529" s="2"/>
      <c r="AD3529" s="2"/>
      <c r="AE3529" s="2"/>
      <c r="AF3529" s="2"/>
      <c r="AG3529" s="2"/>
      <c r="AH3529" s="2"/>
      <c r="AI3529" s="2"/>
      <c r="AJ3529" s="2"/>
      <c r="AK3529" s="2"/>
      <c r="AL3529" s="2"/>
      <c r="AM3529" s="2"/>
      <c r="AN3529" s="2"/>
      <c r="AO3529" s="2"/>
      <c r="AP3529" s="2"/>
      <c r="AQ3529" s="2"/>
      <c r="AR3529" s="2"/>
      <c r="AS3529" s="2"/>
      <c r="AT3529" s="2"/>
      <c r="AU3529" s="2"/>
      <c r="AV3529" s="2"/>
      <c r="AW3529" s="2"/>
      <c r="AX3529" s="2"/>
    </row>
    <row r="3530" spans="1:50" ht="12.75" x14ac:dyDescent="0.2">
      <c r="A3530" s="2"/>
      <c r="B3530" s="2"/>
      <c r="C3530" s="2"/>
      <c r="D3530" s="2"/>
      <c r="E3530" s="2"/>
      <c r="F3530" s="2"/>
      <c r="G3530" s="2"/>
      <c r="H3530" s="2"/>
      <c r="I3530" s="2"/>
      <c r="J3530" s="2"/>
      <c r="K3530" s="2"/>
      <c r="L3530" s="2"/>
      <c r="M3530" s="2"/>
      <c r="N3530" s="2"/>
      <c r="O3530" s="2"/>
      <c r="P3530" s="2"/>
      <c r="Q3530" s="2"/>
      <c r="R3530" s="2"/>
      <c r="S3530" s="2"/>
      <c r="T3530" s="2"/>
      <c r="U3530" s="2"/>
      <c r="V3530" s="2"/>
      <c r="W3530" s="2"/>
      <c r="X3530" s="2"/>
      <c r="Y3530" s="1"/>
      <c r="Z3530" s="1"/>
      <c r="AA3530" s="2"/>
      <c r="AB3530" s="2"/>
      <c r="AC3530" s="2"/>
      <c r="AD3530" s="2"/>
      <c r="AE3530" s="2"/>
      <c r="AF3530" s="2"/>
      <c r="AG3530" s="2"/>
      <c r="AH3530" s="2"/>
      <c r="AI3530" s="2"/>
      <c r="AJ3530" s="2"/>
      <c r="AK3530" s="2"/>
      <c r="AL3530" s="2"/>
      <c r="AM3530" s="2"/>
      <c r="AN3530" s="2"/>
      <c r="AO3530" s="2"/>
      <c r="AP3530" s="2"/>
      <c r="AQ3530" s="2"/>
      <c r="AR3530" s="2"/>
      <c r="AS3530" s="2"/>
      <c r="AT3530" s="2"/>
      <c r="AU3530" s="2"/>
      <c r="AV3530" s="2"/>
      <c r="AW3530" s="2"/>
      <c r="AX3530" s="2"/>
    </row>
    <row r="3531" spans="1:50" ht="12.75" x14ac:dyDescent="0.2">
      <c r="A3531" s="2"/>
      <c r="B3531" s="2"/>
      <c r="C3531" s="2"/>
      <c r="D3531" s="2"/>
      <c r="E3531" s="2"/>
      <c r="F3531" s="2"/>
      <c r="G3531" s="2"/>
      <c r="H3531" s="2"/>
      <c r="I3531" s="2"/>
      <c r="J3531" s="2"/>
      <c r="K3531" s="2"/>
      <c r="L3531" s="2"/>
      <c r="M3531" s="2"/>
      <c r="N3531" s="2"/>
      <c r="O3531" s="2"/>
      <c r="P3531" s="2"/>
      <c r="Q3531" s="2"/>
      <c r="R3531" s="2"/>
      <c r="S3531" s="2"/>
      <c r="T3531" s="2"/>
      <c r="U3531" s="2"/>
      <c r="V3531" s="2"/>
      <c r="W3531" s="2"/>
      <c r="X3531" s="2"/>
      <c r="Y3531" s="1"/>
      <c r="Z3531" s="1"/>
      <c r="AA3531" s="2"/>
      <c r="AB3531" s="2"/>
      <c r="AC3531" s="2"/>
      <c r="AD3531" s="2"/>
      <c r="AE3531" s="2"/>
      <c r="AF3531" s="2"/>
      <c r="AG3531" s="2"/>
      <c r="AH3531" s="2"/>
      <c r="AI3531" s="2"/>
      <c r="AJ3531" s="2"/>
      <c r="AK3531" s="2"/>
      <c r="AL3531" s="2"/>
      <c r="AM3531" s="2"/>
      <c r="AN3531" s="2"/>
      <c r="AO3531" s="2"/>
      <c r="AP3531" s="2"/>
      <c r="AQ3531" s="2"/>
      <c r="AR3531" s="2"/>
      <c r="AS3531" s="2"/>
      <c r="AT3531" s="2"/>
      <c r="AU3531" s="2"/>
      <c r="AV3531" s="2"/>
      <c r="AW3531" s="2"/>
      <c r="AX3531" s="2"/>
    </row>
    <row r="3532" spans="1:50" ht="12.75" x14ac:dyDescent="0.2">
      <c r="A3532" s="2"/>
      <c r="B3532" s="2"/>
      <c r="C3532" s="2"/>
      <c r="D3532" s="2"/>
      <c r="E3532" s="2"/>
      <c r="F3532" s="2"/>
      <c r="G3532" s="2"/>
      <c r="H3532" s="2"/>
      <c r="I3532" s="2"/>
      <c r="J3532" s="2"/>
      <c r="K3532" s="2"/>
      <c r="L3532" s="2"/>
      <c r="M3532" s="2"/>
      <c r="N3532" s="2"/>
      <c r="O3532" s="2"/>
      <c r="P3532" s="2"/>
      <c r="Q3532" s="2"/>
      <c r="R3532" s="2"/>
      <c r="S3532" s="2"/>
      <c r="T3532" s="2"/>
      <c r="U3532" s="2"/>
      <c r="V3532" s="2"/>
      <c r="W3532" s="2"/>
      <c r="X3532" s="2"/>
      <c r="Y3532" s="1"/>
      <c r="Z3532" s="1"/>
      <c r="AA3532" s="2"/>
      <c r="AB3532" s="2"/>
      <c r="AC3532" s="2"/>
      <c r="AD3532" s="2"/>
      <c r="AE3532" s="2"/>
      <c r="AF3532" s="2"/>
      <c r="AG3532" s="2"/>
      <c r="AH3532" s="2"/>
      <c r="AI3532" s="2"/>
      <c r="AJ3532" s="2"/>
      <c r="AK3532" s="2"/>
      <c r="AL3532" s="2"/>
      <c r="AM3532" s="2"/>
      <c r="AN3532" s="2"/>
      <c r="AO3532" s="2"/>
      <c r="AP3532" s="2"/>
      <c r="AQ3532" s="2"/>
      <c r="AR3532" s="2"/>
      <c r="AS3532" s="2"/>
      <c r="AT3532" s="2"/>
      <c r="AU3532" s="2"/>
      <c r="AV3532" s="2"/>
      <c r="AW3532" s="2"/>
      <c r="AX3532" s="2"/>
    </row>
    <row r="3533" spans="1:50" ht="12.75" x14ac:dyDescent="0.2">
      <c r="A3533" s="2"/>
      <c r="B3533" s="2"/>
      <c r="C3533" s="2"/>
      <c r="D3533" s="2"/>
      <c r="E3533" s="2"/>
      <c r="F3533" s="2"/>
      <c r="G3533" s="2"/>
      <c r="H3533" s="2"/>
      <c r="I3533" s="2"/>
      <c r="J3533" s="2"/>
      <c r="K3533" s="2"/>
      <c r="L3533" s="2"/>
      <c r="M3533" s="2"/>
      <c r="N3533" s="2"/>
      <c r="O3533" s="2"/>
      <c r="P3533" s="2"/>
      <c r="Q3533" s="2"/>
      <c r="R3533" s="2"/>
      <c r="S3533" s="2"/>
      <c r="T3533" s="2"/>
      <c r="U3533" s="2"/>
      <c r="V3533" s="2"/>
      <c r="W3533" s="2"/>
      <c r="X3533" s="2"/>
      <c r="Y3533" s="1"/>
      <c r="Z3533" s="1"/>
      <c r="AA3533" s="2"/>
      <c r="AB3533" s="2"/>
      <c r="AC3533" s="2"/>
      <c r="AD3533" s="2"/>
      <c r="AE3533" s="2"/>
      <c r="AF3533" s="2"/>
      <c r="AG3533" s="2"/>
      <c r="AH3533" s="2"/>
      <c r="AI3533" s="2"/>
      <c r="AJ3533" s="2"/>
      <c r="AK3533" s="2"/>
      <c r="AL3533" s="2"/>
      <c r="AM3533" s="2"/>
      <c r="AN3533" s="2"/>
      <c r="AO3533" s="2"/>
      <c r="AP3533" s="2"/>
      <c r="AQ3533" s="2"/>
      <c r="AR3533" s="2"/>
      <c r="AS3533" s="2"/>
      <c r="AT3533" s="2"/>
      <c r="AU3533" s="2"/>
      <c r="AV3533" s="2"/>
      <c r="AW3533" s="2"/>
      <c r="AX3533" s="2"/>
    </row>
    <row r="3534" spans="1:50" ht="12.75" x14ac:dyDescent="0.2">
      <c r="A3534" s="2"/>
      <c r="B3534" s="2"/>
      <c r="C3534" s="2"/>
      <c r="D3534" s="2"/>
      <c r="E3534" s="2"/>
      <c r="F3534" s="2"/>
      <c r="G3534" s="2"/>
      <c r="H3534" s="2"/>
      <c r="I3534" s="2"/>
      <c r="J3534" s="2"/>
      <c r="K3534" s="2"/>
      <c r="L3534" s="2"/>
      <c r="M3534" s="2"/>
      <c r="N3534" s="2"/>
      <c r="O3534" s="2"/>
      <c r="P3534" s="2"/>
      <c r="Q3534" s="2"/>
      <c r="R3534" s="2"/>
      <c r="S3534" s="2"/>
      <c r="T3534" s="2"/>
      <c r="U3534" s="2"/>
      <c r="V3534" s="2"/>
      <c r="W3534" s="2"/>
      <c r="X3534" s="2"/>
      <c r="Y3534" s="1"/>
      <c r="Z3534" s="1"/>
      <c r="AA3534" s="2"/>
      <c r="AB3534" s="2"/>
      <c r="AC3534" s="2"/>
      <c r="AD3534" s="2"/>
      <c r="AE3534" s="2"/>
      <c r="AF3534" s="2"/>
      <c r="AG3534" s="2"/>
      <c r="AH3534" s="2"/>
      <c r="AI3534" s="2"/>
      <c r="AJ3534" s="2"/>
      <c r="AK3534" s="2"/>
      <c r="AL3534" s="2"/>
      <c r="AM3534" s="2"/>
      <c r="AN3534" s="2"/>
      <c r="AO3534" s="2"/>
      <c r="AP3534" s="2"/>
      <c r="AQ3534" s="2"/>
      <c r="AR3534" s="2"/>
      <c r="AS3534" s="2"/>
      <c r="AT3534" s="2"/>
      <c r="AU3534" s="2"/>
      <c r="AV3534" s="2"/>
      <c r="AW3534" s="2"/>
      <c r="AX3534" s="2"/>
    </row>
    <row r="3535" spans="1:50" ht="12.75" x14ac:dyDescent="0.2">
      <c r="A3535" s="2"/>
      <c r="B3535" s="2"/>
      <c r="C3535" s="2"/>
      <c r="D3535" s="2"/>
      <c r="E3535" s="2"/>
      <c r="F3535" s="2"/>
      <c r="G3535" s="2"/>
      <c r="H3535" s="2"/>
      <c r="I3535" s="2"/>
      <c r="J3535" s="2"/>
      <c r="K3535" s="2"/>
      <c r="L3535" s="2"/>
      <c r="M3535" s="2"/>
      <c r="N3535" s="2"/>
      <c r="O3535" s="2"/>
      <c r="P3535" s="2"/>
      <c r="Q3535" s="2"/>
      <c r="R3535" s="2"/>
      <c r="S3535" s="2"/>
      <c r="T3535" s="2"/>
      <c r="U3535" s="2"/>
      <c r="V3535" s="2"/>
      <c r="W3535" s="2"/>
      <c r="X3535" s="2"/>
      <c r="Y3535" s="1"/>
      <c r="Z3535" s="1"/>
      <c r="AA3535" s="2"/>
      <c r="AB3535" s="2"/>
      <c r="AC3535" s="2"/>
      <c r="AD3535" s="2"/>
      <c r="AE3535" s="2"/>
      <c r="AF3535" s="2"/>
      <c r="AG3535" s="2"/>
      <c r="AH3535" s="2"/>
      <c r="AI3535" s="2"/>
      <c r="AJ3535" s="2"/>
      <c r="AK3535" s="2"/>
      <c r="AL3535" s="2"/>
      <c r="AM3535" s="2"/>
      <c r="AN3535" s="2"/>
      <c r="AO3535" s="2"/>
      <c r="AP3535" s="2"/>
      <c r="AQ3535" s="2"/>
      <c r="AR3535" s="2"/>
      <c r="AS3535" s="2"/>
      <c r="AT3535" s="2"/>
      <c r="AU3535" s="2"/>
      <c r="AV3535" s="2"/>
      <c r="AW3535" s="2"/>
      <c r="AX3535" s="2"/>
    </row>
    <row r="3536" spans="1:50" ht="12.75" x14ac:dyDescent="0.2">
      <c r="A3536" s="2"/>
      <c r="B3536" s="2"/>
      <c r="C3536" s="2"/>
      <c r="D3536" s="2"/>
      <c r="E3536" s="2"/>
      <c r="F3536" s="2"/>
      <c r="G3536" s="2"/>
      <c r="H3536" s="2"/>
      <c r="I3536" s="2"/>
      <c r="J3536" s="2"/>
      <c r="K3536" s="2"/>
      <c r="L3536" s="2"/>
      <c r="M3536" s="2"/>
      <c r="N3536" s="2"/>
      <c r="O3536" s="2"/>
      <c r="P3536" s="2"/>
      <c r="Q3536" s="2"/>
      <c r="R3536" s="2"/>
      <c r="S3536" s="2"/>
      <c r="T3536" s="2"/>
      <c r="U3536" s="2"/>
      <c r="V3536" s="2"/>
      <c r="W3536" s="2"/>
      <c r="X3536" s="2"/>
      <c r="Y3536" s="1"/>
      <c r="Z3536" s="1"/>
      <c r="AA3536" s="2"/>
      <c r="AB3536" s="2"/>
      <c r="AC3536" s="2"/>
      <c r="AD3536" s="2"/>
      <c r="AE3536" s="2"/>
      <c r="AF3536" s="2"/>
      <c r="AG3536" s="2"/>
      <c r="AH3536" s="2"/>
      <c r="AI3536" s="2"/>
      <c r="AJ3536" s="2"/>
      <c r="AK3536" s="2"/>
      <c r="AL3536" s="2"/>
      <c r="AM3536" s="2"/>
      <c r="AN3536" s="2"/>
      <c r="AO3536" s="2"/>
      <c r="AP3536" s="2"/>
      <c r="AQ3536" s="2"/>
      <c r="AR3536" s="2"/>
      <c r="AS3536" s="2"/>
      <c r="AT3536" s="2"/>
      <c r="AU3536" s="2"/>
      <c r="AV3536" s="2"/>
      <c r="AW3536" s="2"/>
      <c r="AX3536" s="2"/>
    </row>
    <row r="3537" spans="1:50" ht="12.75" x14ac:dyDescent="0.2">
      <c r="A3537" s="2"/>
      <c r="B3537" s="2"/>
      <c r="C3537" s="2"/>
      <c r="D3537" s="2"/>
      <c r="E3537" s="2"/>
      <c r="F3537" s="2"/>
      <c r="G3537" s="2"/>
      <c r="H3537" s="2"/>
      <c r="I3537" s="2"/>
      <c r="J3537" s="2"/>
      <c r="K3537" s="2"/>
      <c r="L3537" s="2"/>
      <c r="M3537" s="2"/>
      <c r="N3537" s="2"/>
      <c r="O3537" s="2"/>
      <c r="P3537" s="2"/>
      <c r="Q3537" s="2"/>
      <c r="R3537" s="2"/>
      <c r="S3537" s="2"/>
      <c r="T3537" s="2"/>
      <c r="U3537" s="2"/>
      <c r="V3537" s="2"/>
      <c r="W3537" s="2"/>
      <c r="X3537" s="2"/>
      <c r="Y3537" s="1"/>
      <c r="Z3537" s="1"/>
      <c r="AA3537" s="2"/>
      <c r="AB3537" s="2"/>
      <c r="AC3537" s="2"/>
      <c r="AD3537" s="2"/>
      <c r="AE3537" s="2"/>
      <c r="AF3537" s="2"/>
      <c r="AG3537" s="2"/>
      <c r="AH3537" s="2"/>
      <c r="AI3537" s="2"/>
      <c r="AJ3537" s="2"/>
      <c r="AK3537" s="2"/>
      <c r="AL3537" s="2"/>
      <c r="AM3537" s="2"/>
      <c r="AN3537" s="2"/>
      <c r="AO3537" s="2"/>
      <c r="AP3537" s="2"/>
      <c r="AQ3537" s="2"/>
      <c r="AR3537" s="2"/>
      <c r="AS3537" s="2"/>
      <c r="AT3537" s="2"/>
      <c r="AU3537" s="2"/>
      <c r="AV3537" s="2"/>
      <c r="AW3537" s="2"/>
      <c r="AX3537" s="2"/>
    </row>
    <row r="3538" spans="1:50" ht="12.75" x14ac:dyDescent="0.2">
      <c r="A3538" s="2"/>
      <c r="B3538" s="2"/>
      <c r="C3538" s="2"/>
      <c r="D3538" s="2"/>
      <c r="E3538" s="2"/>
      <c r="F3538" s="2"/>
      <c r="G3538" s="2"/>
      <c r="H3538" s="2"/>
      <c r="I3538" s="2"/>
      <c r="J3538" s="2"/>
      <c r="K3538" s="2"/>
      <c r="L3538" s="2"/>
      <c r="M3538" s="2"/>
      <c r="N3538" s="2"/>
      <c r="O3538" s="2"/>
      <c r="P3538" s="2"/>
      <c r="Q3538" s="2"/>
      <c r="R3538" s="2"/>
      <c r="S3538" s="2"/>
      <c r="T3538" s="2"/>
      <c r="U3538" s="2"/>
      <c r="V3538" s="2"/>
      <c r="W3538" s="2"/>
      <c r="X3538" s="2"/>
      <c r="Y3538" s="1"/>
      <c r="Z3538" s="1"/>
      <c r="AA3538" s="2"/>
      <c r="AB3538" s="2"/>
      <c r="AC3538" s="2"/>
      <c r="AD3538" s="2"/>
      <c r="AE3538" s="2"/>
      <c r="AF3538" s="2"/>
      <c r="AG3538" s="2"/>
      <c r="AH3538" s="2"/>
      <c r="AI3538" s="2"/>
      <c r="AJ3538" s="2"/>
      <c r="AK3538" s="2"/>
      <c r="AL3538" s="2"/>
      <c r="AM3538" s="2"/>
      <c r="AN3538" s="2"/>
      <c r="AO3538" s="2"/>
      <c r="AP3538" s="2"/>
      <c r="AQ3538" s="2"/>
      <c r="AR3538" s="2"/>
      <c r="AS3538" s="2"/>
      <c r="AT3538" s="2"/>
      <c r="AU3538" s="2"/>
      <c r="AV3538" s="2"/>
      <c r="AW3538" s="2"/>
      <c r="AX3538" s="2"/>
    </row>
    <row r="3539" spans="1:50" ht="12.75" x14ac:dyDescent="0.2">
      <c r="A3539" s="2"/>
      <c r="B3539" s="2"/>
      <c r="C3539" s="2"/>
      <c r="D3539" s="2"/>
      <c r="E3539" s="2"/>
      <c r="F3539" s="2"/>
      <c r="G3539" s="2"/>
      <c r="H3539" s="2"/>
      <c r="I3539" s="2"/>
      <c r="J3539" s="2"/>
      <c r="K3539" s="2"/>
      <c r="L3539" s="2"/>
      <c r="M3539" s="2"/>
      <c r="N3539" s="2"/>
      <c r="O3539" s="2"/>
      <c r="P3539" s="2"/>
      <c r="Q3539" s="2"/>
      <c r="R3539" s="2"/>
      <c r="S3539" s="2"/>
      <c r="T3539" s="2"/>
      <c r="U3539" s="2"/>
      <c r="V3539" s="2"/>
      <c r="W3539" s="2"/>
      <c r="X3539" s="2"/>
      <c r="Y3539" s="1"/>
      <c r="Z3539" s="1"/>
      <c r="AA3539" s="2"/>
      <c r="AB3539" s="2"/>
      <c r="AC3539" s="2"/>
      <c r="AD3539" s="2"/>
      <c r="AE3539" s="2"/>
      <c r="AF3539" s="2"/>
      <c r="AG3539" s="2"/>
      <c r="AH3539" s="2"/>
      <c r="AI3539" s="2"/>
      <c r="AJ3539" s="2"/>
      <c r="AK3539" s="2"/>
      <c r="AL3539" s="2"/>
      <c r="AM3539" s="2"/>
      <c r="AN3539" s="2"/>
      <c r="AO3539" s="2"/>
      <c r="AP3539" s="2"/>
      <c r="AQ3539" s="2"/>
      <c r="AR3539" s="2"/>
      <c r="AS3539" s="2"/>
      <c r="AT3539" s="2"/>
      <c r="AU3539" s="2"/>
      <c r="AV3539" s="2"/>
      <c r="AW3539" s="2"/>
      <c r="AX3539" s="2"/>
    </row>
    <row r="3540" spans="1:50" ht="12.75" x14ac:dyDescent="0.2">
      <c r="A3540" s="2"/>
      <c r="B3540" s="2"/>
      <c r="C3540" s="2"/>
      <c r="D3540" s="2"/>
      <c r="E3540" s="2"/>
      <c r="F3540" s="2"/>
      <c r="G3540" s="2"/>
      <c r="H3540" s="2"/>
      <c r="I3540" s="2"/>
      <c r="J3540" s="2"/>
      <c r="K3540" s="2"/>
      <c r="L3540" s="2"/>
      <c r="M3540" s="2"/>
      <c r="N3540" s="2"/>
      <c r="O3540" s="2"/>
      <c r="P3540" s="2"/>
      <c r="Q3540" s="2"/>
      <c r="R3540" s="2"/>
      <c r="S3540" s="2"/>
      <c r="T3540" s="2"/>
      <c r="U3540" s="2"/>
      <c r="V3540" s="2"/>
      <c r="W3540" s="2"/>
      <c r="X3540" s="2"/>
      <c r="Y3540" s="1"/>
      <c r="Z3540" s="1"/>
      <c r="AA3540" s="2"/>
      <c r="AB3540" s="2"/>
      <c r="AC3540" s="2"/>
      <c r="AD3540" s="2"/>
      <c r="AE3540" s="2"/>
      <c r="AF3540" s="2"/>
      <c r="AG3540" s="2"/>
      <c r="AH3540" s="2"/>
      <c r="AI3540" s="2"/>
      <c r="AJ3540" s="2"/>
      <c r="AK3540" s="2"/>
      <c r="AL3540" s="2"/>
      <c r="AM3540" s="2"/>
      <c r="AN3540" s="2"/>
      <c r="AO3540" s="2"/>
      <c r="AP3540" s="2"/>
      <c r="AQ3540" s="2"/>
      <c r="AR3540" s="2"/>
      <c r="AS3540" s="2"/>
      <c r="AT3540" s="2"/>
      <c r="AU3540" s="2"/>
      <c r="AV3540" s="2"/>
      <c r="AW3540" s="2"/>
      <c r="AX3540" s="2"/>
    </row>
    <row r="3541" spans="1:50" ht="12.75" x14ac:dyDescent="0.2">
      <c r="A3541" s="2"/>
      <c r="B3541" s="2"/>
      <c r="C3541" s="2"/>
      <c r="D3541" s="2"/>
      <c r="E3541" s="2"/>
      <c r="F3541" s="2"/>
      <c r="G3541" s="2"/>
      <c r="H3541" s="2"/>
      <c r="I3541" s="2"/>
      <c r="J3541" s="2"/>
      <c r="K3541" s="2"/>
      <c r="L3541" s="2"/>
      <c r="M3541" s="2"/>
      <c r="N3541" s="2"/>
      <c r="O3541" s="2"/>
      <c r="P3541" s="2"/>
      <c r="Q3541" s="2"/>
      <c r="R3541" s="2"/>
      <c r="S3541" s="2"/>
      <c r="T3541" s="2"/>
      <c r="U3541" s="2"/>
      <c r="V3541" s="2"/>
      <c r="W3541" s="2"/>
      <c r="X3541" s="2"/>
      <c r="Y3541" s="1"/>
      <c r="Z3541" s="1"/>
      <c r="AA3541" s="2"/>
      <c r="AB3541" s="2"/>
      <c r="AC3541" s="2"/>
      <c r="AD3541" s="2"/>
      <c r="AE3541" s="2"/>
      <c r="AF3541" s="2"/>
      <c r="AG3541" s="2"/>
      <c r="AH3541" s="2"/>
      <c r="AI3541" s="2"/>
      <c r="AJ3541" s="2"/>
      <c r="AK3541" s="2"/>
      <c r="AL3541" s="2"/>
      <c r="AM3541" s="2"/>
      <c r="AN3541" s="2"/>
      <c r="AO3541" s="2"/>
      <c r="AP3541" s="2"/>
      <c r="AQ3541" s="2"/>
      <c r="AR3541" s="2"/>
      <c r="AS3541" s="2"/>
      <c r="AT3541" s="2"/>
      <c r="AU3541" s="2"/>
      <c r="AV3541" s="2"/>
      <c r="AW3541" s="2"/>
      <c r="AX3541" s="2"/>
    </row>
    <row r="3542" spans="1:50" ht="12.75" x14ac:dyDescent="0.2">
      <c r="A3542" s="2"/>
      <c r="B3542" s="2"/>
      <c r="C3542" s="2"/>
      <c r="D3542" s="2"/>
      <c r="E3542" s="2"/>
      <c r="F3542" s="2"/>
      <c r="G3542" s="2"/>
      <c r="H3542" s="2"/>
      <c r="I3542" s="2"/>
      <c r="J3542" s="2"/>
      <c r="K3542" s="2"/>
      <c r="L3542" s="2"/>
      <c r="M3542" s="2"/>
      <c r="N3542" s="2"/>
      <c r="O3542" s="2"/>
      <c r="P3542" s="2"/>
      <c r="Q3542" s="2"/>
      <c r="R3542" s="2"/>
      <c r="S3542" s="2"/>
      <c r="T3542" s="2"/>
      <c r="U3542" s="2"/>
      <c r="V3542" s="2"/>
      <c r="W3542" s="2"/>
      <c r="X3542" s="2"/>
      <c r="Y3542" s="1"/>
      <c r="Z3542" s="1"/>
      <c r="AA3542" s="2"/>
      <c r="AB3542" s="2"/>
      <c r="AC3542" s="2"/>
      <c r="AD3542" s="2"/>
      <c r="AE3542" s="2"/>
      <c r="AF3542" s="2"/>
      <c r="AG3542" s="2"/>
      <c r="AH3542" s="2"/>
      <c r="AI3542" s="2"/>
      <c r="AJ3542" s="2"/>
      <c r="AK3542" s="2"/>
      <c r="AL3542" s="2"/>
      <c r="AM3542" s="2"/>
      <c r="AN3542" s="2"/>
      <c r="AO3542" s="2"/>
      <c r="AP3542" s="2"/>
      <c r="AQ3542" s="2"/>
      <c r="AR3542" s="2"/>
      <c r="AS3542" s="2"/>
      <c r="AT3542" s="2"/>
      <c r="AU3542" s="2"/>
      <c r="AV3542" s="2"/>
      <c r="AW3542" s="2"/>
      <c r="AX3542" s="2"/>
    </row>
    <row r="3543" spans="1:50" ht="12.75" x14ac:dyDescent="0.2">
      <c r="A3543" s="2"/>
      <c r="B3543" s="2"/>
      <c r="C3543" s="2"/>
      <c r="D3543" s="2"/>
      <c r="E3543" s="2"/>
      <c r="F3543" s="2"/>
      <c r="G3543" s="2"/>
      <c r="H3543" s="2"/>
      <c r="I3543" s="2"/>
      <c r="J3543" s="2"/>
      <c r="K3543" s="2"/>
      <c r="L3543" s="2"/>
      <c r="M3543" s="2"/>
      <c r="N3543" s="2"/>
      <c r="O3543" s="2"/>
      <c r="P3543" s="2"/>
      <c r="Q3543" s="2"/>
      <c r="R3543" s="2"/>
      <c r="S3543" s="2"/>
      <c r="T3543" s="2"/>
      <c r="U3543" s="2"/>
      <c r="V3543" s="2"/>
      <c r="W3543" s="2"/>
      <c r="X3543" s="2"/>
      <c r="Y3543" s="1"/>
      <c r="Z3543" s="1"/>
      <c r="AA3543" s="2"/>
      <c r="AB3543" s="2"/>
      <c r="AC3543" s="2"/>
      <c r="AD3543" s="2"/>
      <c r="AE3543" s="2"/>
      <c r="AF3543" s="2"/>
      <c r="AG3543" s="2"/>
      <c r="AH3543" s="2"/>
      <c r="AI3543" s="2"/>
      <c r="AJ3543" s="2"/>
      <c r="AK3543" s="2"/>
      <c r="AL3543" s="2"/>
      <c r="AM3543" s="2"/>
      <c r="AN3543" s="2"/>
      <c r="AO3543" s="2"/>
      <c r="AP3543" s="2"/>
      <c r="AQ3543" s="2"/>
      <c r="AR3543" s="2"/>
      <c r="AS3543" s="2"/>
      <c r="AT3543" s="2"/>
      <c r="AU3543" s="2"/>
      <c r="AV3543" s="2"/>
      <c r="AW3543" s="2"/>
      <c r="AX3543" s="2"/>
    </row>
    <row r="3544" spans="1:50" ht="12.75" x14ac:dyDescent="0.2">
      <c r="A3544" s="2"/>
      <c r="B3544" s="2"/>
      <c r="C3544" s="2"/>
      <c r="D3544" s="2"/>
      <c r="E3544" s="2"/>
      <c r="F3544" s="2"/>
      <c r="G3544" s="2"/>
      <c r="H3544" s="2"/>
      <c r="I3544" s="2"/>
      <c r="J3544" s="2"/>
      <c r="K3544" s="2"/>
      <c r="L3544" s="2"/>
      <c r="M3544" s="2"/>
      <c r="N3544" s="2"/>
      <c r="O3544" s="2"/>
      <c r="P3544" s="2"/>
      <c r="Q3544" s="2"/>
      <c r="R3544" s="2"/>
      <c r="S3544" s="2"/>
      <c r="T3544" s="2"/>
      <c r="U3544" s="2"/>
      <c r="V3544" s="2"/>
      <c r="W3544" s="2"/>
      <c r="X3544" s="2"/>
      <c r="Y3544" s="1"/>
      <c r="Z3544" s="1"/>
      <c r="AA3544" s="2"/>
      <c r="AB3544" s="2"/>
      <c r="AC3544" s="2"/>
      <c r="AD3544" s="2"/>
      <c r="AE3544" s="2"/>
      <c r="AF3544" s="2"/>
      <c r="AG3544" s="2"/>
      <c r="AH3544" s="2"/>
      <c r="AI3544" s="2"/>
      <c r="AJ3544" s="2"/>
      <c r="AK3544" s="2"/>
      <c r="AL3544" s="2"/>
      <c r="AM3544" s="2"/>
      <c r="AN3544" s="2"/>
      <c r="AO3544" s="2"/>
      <c r="AP3544" s="2"/>
      <c r="AQ3544" s="2"/>
      <c r="AR3544" s="2"/>
      <c r="AS3544" s="2"/>
      <c r="AT3544" s="2"/>
      <c r="AU3544" s="2"/>
      <c r="AV3544" s="2"/>
      <c r="AW3544" s="2"/>
      <c r="AX3544" s="2"/>
    </row>
    <row r="3545" spans="1:50" ht="12.75" x14ac:dyDescent="0.2">
      <c r="A3545" s="2"/>
      <c r="B3545" s="2"/>
      <c r="C3545" s="2"/>
      <c r="D3545" s="2"/>
      <c r="E3545" s="2"/>
      <c r="F3545" s="2"/>
      <c r="G3545" s="2"/>
      <c r="H3545" s="2"/>
      <c r="I3545" s="2"/>
      <c r="J3545" s="2"/>
      <c r="K3545" s="2"/>
      <c r="L3545" s="2"/>
      <c r="M3545" s="2"/>
      <c r="N3545" s="2"/>
      <c r="O3545" s="2"/>
      <c r="P3545" s="2"/>
      <c r="Q3545" s="2"/>
      <c r="R3545" s="2"/>
      <c r="S3545" s="2"/>
      <c r="T3545" s="2"/>
      <c r="U3545" s="2"/>
      <c r="V3545" s="2"/>
      <c r="W3545" s="2"/>
      <c r="X3545" s="2"/>
      <c r="Y3545" s="1"/>
      <c r="Z3545" s="1"/>
      <c r="AA3545" s="2"/>
      <c r="AB3545" s="2"/>
      <c r="AC3545" s="2"/>
      <c r="AD3545" s="2"/>
      <c r="AE3545" s="2"/>
      <c r="AF3545" s="2"/>
      <c r="AG3545" s="2"/>
      <c r="AH3545" s="2"/>
      <c r="AI3545" s="2"/>
      <c r="AJ3545" s="2"/>
      <c r="AK3545" s="2"/>
      <c r="AL3545" s="2"/>
      <c r="AM3545" s="2"/>
      <c r="AN3545" s="2"/>
      <c r="AO3545" s="2"/>
      <c r="AP3545" s="2"/>
      <c r="AQ3545" s="2"/>
      <c r="AR3545" s="2"/>
      <c r="AS3545" s="2"/>
      <c r="AT3545" s="2"/>
      <c r="AU3545" s="2"/>
      <c r="AV3545" s="2"/>
      <c r="AW3545" s="2"/>
      <c r="AX3545" s="2"/>
    </row>
    <row r="3546" spans="1:50" ht="12.75" x14ac:dyDescent="0.2">
      <c r="A3546" s="2"/>
      <c r="B3546" s="2"/>
      <c r="C3546" s="2"/>
      <c r="D3546" s="2"/>
      <c r="E3546" s="2"/>
      <c r="F3546" s="2"/>
      <c r="G3546" s="2"/>
      <c r="H3546" s="2"/>
      <c r="I3546" s="2"/>
      <c r="J3546" s="2"/>
      <c r="K3546" s="2"/>
      <c r="L3546" s="2"/>
      <c r="M3546" s="2"/>
      <c r="N3546" s="2"/>
      <c r="O3546" s="2"/>
      <c r="P3546" s="2"/>
      <c r="Q3546" s="2"/>
      <c r="R3546" s="2"/>
      <c r="S3546" s="2"/>
      <c r="T3546" s="2"/>
      <c r="U3546" s="2"/>
      <c r="V3546" s="2"/>
      <c r="W3546" s="2"/>
      <c r="X3546" s="2"/>
      <c r="Y3546" s="1"/>
      <c r="Z3546" s="1"/>
      <c r="AA3546" s="2"/>
      <c r="AB3546" s="2"/>
      <c r="AC3546" s="2"/>
      <c r="AD3546" s="2"/>
      <c r="AE3546" s="2"/>
      <c r="AF3546" s="2"/>
      <c r="AG3546" s="2"/>
      <c r="AH3546" s="2"/>
      <c r="AI3546" s="2"/>
      <c r="AJ3546" s="2"/>
      <c r="AK3546" s="2"/>
      <c r="AL3546" s="2"/>
      <c r="AM3546" s="2"/>
      <c r="AN3546" s="2"/>
      <c r="AO3546" s="2"/>
      <c r="AP3546" s="2"/>
      <c r="AQ3546" s="2"/>
      <c r="AR3546" s="2"/>
      <c r="AS3546" s="2"/>
      <c r="AT3546" s="2"/>
      <c r="AU3546" s="2"/>
      <c r="AV3546" s="2"/>
      <c r="AW3546" s="2"/>
      <c r="AX3546" s="2"/>
    </row>
    <row r="3547" spans="1:50" ht="12.75" x14ac:dyDescent="0.2">
      <c r="A3547" s="2"/>
      <c r="B3547" s="2"/>
      <c r="C3547" s="2"/>
      <c r="D3547" s="2"/>
      <c r="E3547" s="2"/>
      <c r="F3547" s="2"/>
      <c r="G3547" s="2"/>
      <c r="H3547" s="2"/>
      <c r="I3547" s="2"/>
      <c r="J3547" s="2"/>
      <c r="K3547" s="2"/>
      <c r="L3547" s="2"/>
      <c r="M3547" s="2"/>
      <c r="N3547" s="2"/>
      <c r="O3547" s="2"/>
      <c r="P3547" s="2"/>
      <c r="Q3547" s="2"/>
      <c r="R3547" s="2"/>
      <c r="S3547" s="2"/>
      <c r="T3547" s="2"/>
      <c r="U3547" s="2"/>
      <c r="V3547" s="2"/>
      <c r="W3547" s="2"/>
      <c r="X3547" s="2"/>
      <c r="Y3547" s="1"/>
      <c r="Z3547" s="1"/>
      <c r="AA3547" s="2"/>
      <c r="AB3547" s="2"/>
      <c r="AC3547" s="2"/>
      <c r="AD3547" s="2"/>
      <c r="AE3547" s="2"/>
      <c r="AF3547" s="2"/>
      <c r="AG3547" s="2"/>
      <c r="AH3547" s="2"/>
      <c r="AI3547" s="2"/>
      <c r="AJ3547" s="2"/>
      <c r="AK3547" s="2"/>
      <c r="AL3547" s="2"/>
      <c r="AM3547" s="2"/>
      <c r="AN3547" s="2"/>
      <c r="AO3547" s="2"/>
      <c r="AP3547" s="2"/>
      <c r="AQ3547" s="2"/>
      <c r="AR3547" s="2"/>
      <c r="AS3547" s="2"/>
      <c r="AT3547" s="2"/>
      <c r="AU3547" s="2"/>
      <c r="AV3547" s="2"/>
      <c r="AW3547" s="2"/>
      <c r="AX3547" s="2"/>
    </row>
    <row r="3548" spans="1:50" ht="12.75" x14ac:dyDescent="0.2">
      <c r="A3548" s="2"/>
      <c r="B3548" s="2"/>
      <c r="C3548" s="2"/>
      <c r="D3548" s="2"/>
      <c r="E3548" s="2"/>
      <c r="F3548" s="2"/>
      <c r="G3548" s="2"/>
      <c r="H3548" s="2"/>
      <c r="I3548" s="2"/>
      <c r="J3548" s="2"/>
      <c r="K3548" s="2"/>
      <c r="L3548" s="2"/>
      <c r="M3548" s="2"/>
      <c r="N3548" s="2"/>
      <c r="O3548" s="2"/>
      <c r="P3548" s="2"/>
      <c r="Q3548" s="2"/>
      <c r="R3548" s="2"/>
      <c r="S3548" s="2"/>
      <c r="T3548" s="2"/>
      <c r="U3548" s="2"/>
      <c r="V3548" s="2"/>
      <c r="W3548" s="2"/>
      <c r="X3548" s="2"/>
      <c r="Y3548" s="1"/>
      <c r="Z3548" s="1"/>
      <c r="AA3548" s="2"/>
      <c r="AB3548" s="2"/>
      <c r="AC3548" s="2"/>
      <c r="AD3548" s="2"/>
      <c r="AE3548" s="2"/>
      <c r="AF3548" s="2"/>
      <c r="AG3548" s="2"/>
      <c r="AH3548" s="2"/>
      <c r="AI3548" s="2"/>
      <c r="AJ3548" s="2"/>
      <c r="AK3548" s="2"/>
      <c r="AL3548" s="2"/>
      <c r="AM3548" s="2"/>
      <c r="AN3548" s="2"/>
      <c r="AO3548" s="2"/>
      <c r="AP3548" s="2"/>
      <c r="AQ3548" s="2"/>
      <c r="AR3548" s="2"/>
      <c r="AS3548" s="2"/>
      <c r="AT3548" s="2"/>
      <c r="AU3548" s="2"/>
      <c r="AV3548" s="2"/>
      <c r="AW3548" s="2"/>
      <c r="AX3548" s="2"/>
    </row>
    <row r="3549" spans="1:50" ht="12.75" x14ac:dyDescent="0.2">
      <c r="A3549" s="2"/>
      <c r="B3549" s="2"/>
      <c r="C3549" s="2"/>
      <c r="D3549" s="2"/>
      <c r="E3549" s="2"/>
      <c r="F3549" s="2"/>
      <c r="G3549" s="2"/>
      <c r="H3549" s="2"/>
      <c r="I3549" s="2"/>
      <c r="J3549" s="2"/>
      <c r="K3549" s="2"/>
      <c r="L3549" s="2"/>
      <c r="M3549" s="2"/>
      <c r="N3549" s="2"/>
      <c r="O3549" s="2"/>
      <c r="P3549" s="2"/>
      <c r="Q3549" s="2"/>
      <c r="R3549" s="2"/>
      <c r="S3549" s="2"/>
      <c r="T3549" s="2"/>
      <c r="U3549" s="2"/>
      <c r="V3549" s="2"/>
      <c r="W3549" s="2"/>
      <c r="X3549" s="2"/>
      <c r="Y3549" s="1"/>
      <c r="Z3549" s="1"/>
      <c r="AA3549" s="2"/>
      <c r="AB3549" s="2"/>
      <c r="AC3549" s="2"/>
      <c r="AD3549" s="2"/>
      <c r="AE3549" s="2"/>
      <c r="AF3549" s="2"/>
      <c r="AG3549" s="2"/>
      <c r="AH3549" s="2"/>
      <c r="AI3549" s="2"/>
      <c r="AJ3549" s="2"/>
      <c r="AK3549" s="2"/>
      <c r="AL3549" s="2"/>
      <c r="AM3549" s="2"/>
      <c r="AN3549" s="2"/>
      <c r="AO3549" s="2"/>
      <c r="AP3549" s="2"/>
      <c r="AQ3549" s="2"/>
      <c r="AR3549" s="2"/>
      <c r="AS3549" s="2"/>
      <c r="AT3549" s="2"/>
      <c r="AU3549" s="2"/>
      <c r="AV3549" s="2"/>
      <c r="AW3549" s="2"/>
      <c r="AX3549" s="2"/>
    </row>
    <row r="3550" spans="1:50" ht="12.75" x14ac:dyDescent="0.2">
      <c r="A3550" s="2"/>
      <c r="B3550" s="2"/>
      <c r="C3550" s="2"/>
      <c r="D3550" s="2"/>
      <c r="E3550" s="2"/>
      <c r="F3550" s="2"/>
      <c r="G3550" s="2"/>
      <c r="H3550" s="2"/>
      <c r="I3550" s="2"/>
      <c r="J3550" s="2"/>
      <c r="K3550" s="2"/>
      <c r="L3550" s="2"/>
      <c r="M3550" s="2"/>
      <c r="N3550" s="2"/>
      <c r="O3550" s="2"/>
      <c r="P3550" s="2"/>
      <c r="Q3550" s="2"/>
      <c r="R3550" s="2"/>
      <c r="S3550" s="2"/>
      <c r="T3550" s="2"/>
      <c r="U3550" s="2"/>
      <c r="V3550" s="2"/>
      <c r="W3550" s="2"/>
      <c r="X3550" s="2"/>
      <c r="Y3550" s="1"/>
      <c r="Z3550" s="1"/>
      <c r="AA3550" s="2"/>
      <c r="AB3550" s="2"/>
      <c r="AC3550" s="2"/>
      <c r="AD3550" s="2"/>
      <c r="AE3550" s="2"/>
      <c r="AF3550" s="2"/>
      <c r="AG3550" s="2"/>
      <c r="AH3550" s="2"/>
      <c r="AI3550" s="2"/>
      <c r="AJ3550" s="2"/>
      <c r="AK3550" s="2"/>
      <c r="AL3550" s="2"/>
      <c r="AM3550" s="2"/>
      <c r="AN3550" s="2"/>
      <c r="AO3550" s="2"/>
      <c r="AP3550" s="2"/>
      <c r="AQ3550" s="2"/>
      <c r="AR3550" s="2"/>
      <c r="AS3550" s="2"/>
      <c r="AT3550" s="2"/>
      <c r="AU3550" s="2"/>
      <c r="AV3550" s="2"/>
      <c r="AW3550" s="2"/>
      <c r="AX3550" s="2"/>
    </row>
    <row r="3551" spans="1:50" ht="12.75" x14ac:dyDescent="0.2">
      <c r="A3551" s="2"/>
      <c r="B3551" s="2"/>
      <c r="C3551" s="2"/>
      <c r="D3551" s="2"/>
      <c r="E3551" s="2"/>
      <c r="F3551" s="2"/>
      <c r="G3551" s="2"/>
      <c r="H3551" s="2"/>
      <c r="I3551" s="2"/>
      <c r="J3551" s="2"/>
      <c r="K3551" s="2"/>
      <c r="L3551" s="2"/>
      <c r="M3551" s="2"/>
      <c r="N3551" s="2"/>
      <c r="O3551" s="2"/>
      <c r="P3551" s="2"/>
      <c r="Q3551" s="2"/>
      <c r="R3551" s="2"/>
      <c r="S3551" s="2"/>
      <c r="T3551" s="2"/>
      <c r="U3551" s="2"/>
      <c r="V3551" s="2"/>
      <c r="W3551" s="2"/>
      <c r="X3551" s="2"/>
      <c r="Y3551" s="1"/>
      <c r="Z3551" s="1"/>
      <c r="AA3551" s="2"/>
      <c r="AB3551" s="2"/>
      <c r="AC3551" s="2"/>
      <c r="AD3551" s="2"/>
      <c r="AE3551" s="2"/>
      <c r="AF3551" s="2"/>
      <c r="AG3551" s="2"/>
      <c r="AH3551" s="2"/>
      <c r="AI3551" s="2"/>
      <c r="AJ3551" s="2"/>
      <c r="AK3551" s="2"/>
      <c r="AL3551" s="2"/>
      <c r="AM3551" s="2"/>
      <c r="AN3551" s="2"/>
      <c r="AO3551" s="2"/>
      <c r="AP3551" s="2"/>
      <c r="AQ3551" s="2"/>
      <c r="AR3551" s="2"/>
      <c r="AS3551" s="2"/>
      <c r="AT3551" s="2"/>
      <c r="AU3551" s="2"/>
      <c r="AV3551" s="2"/>
      <c r="AW3551" s="2"/>
      <c r="AX3551" s="2"/>
    </row>
    <row r="3552" spans="1:50" ht="12.75" x14ac:dyDescent="0.2">
      <c r="A3552" s="2"/>
      <c r="B3552" s="2"/>
      <c r="C3552" s="2"/>
      <c r="D3552" s="2"/>
      <c r="E3552" s="2"/>
      <c r="F3552" s="2"/>
      <c r="G3552" s="2"/>
      <c r="H3552" s="2"/>
      <c r="I3552" s="2"/>
      <c r="J3552" s="2"/>
      <c r="K3552" s="2"/>
      <c r="L3552" s="2"/>
      <c r="M3552" s="2"/>
      <c r="N3552" s="2"/>
      <c r="O3552" s="2"/>
      <c r="P3552" s="2"/>
      <c r="Q3552" s="2"/>
      <c r="R3552" s="2"/>
      <c r="S3552" s="2"/>
      <c r="T3552" s="2"/>
      <c r="U3552" s="2"/>
      <c r="V3552" s="2"/>
      <c r="W3552" s="2"/>
      <c r="X3552" s="2"/>
      <c r="Y3552" s="1"/>
      <c r="Z3552" s="1"/>
      <c r="AA3552" s="2"/>
      <c r="AB3552" s="2"/>
      <c r="AC3552" s="2"/>
      <c r="AD3552" s="2"/>
      <c r="AE3552" s="2"/>
      <c r="AF3552" s="2"/>
      <c r="AG3552" s="2"/>
      <c r="AH3552" s="2"/>
      <c r="AI3552" s="2"/>
      <c r="AJ3552" s="2"/>
      <c r="AK3552" s="2"/>
      <c r="AL3552" s="2"/>
      <c r="AM3552" s="2"/>
      <c r="AN3552" s="2"/>
      <c r="AO3552" s="2"/>
      <c r="AP3552" s="2"/>
      <c r="AQ3552" s="2"/>
      <c r="AR3552" s="2"/>
      <c r="AS3552" s="2"/>
      <c r="AT3552" s="2"/>
      <c r="AU3552" s="2"/>
      <c r="AV3552" s="2"/>
      <c r="AW3552" s="2"/>
      <c r="AX3552" s="2"/>
    </row>
    <row r="3553" spans="1:50" ht="12.75" x14ac:dyDescent="0.2">
      <c r="A3553" s="2"/>
      <c r="B3553" s="2"/>
      <c r="C3553" s="2"/>
      <c r="D3553" s="2"/>
      <c r="E3553" s="2"/>
      <c r="F3553" s="2"/>
      <c r="G3553" s="2"/>
      <c r="H3553" s="2"/>
      <c r="I3553" s="2"/>
      <c r="J3553" s="2"/>
      <c r="K3553" s="2"/>
      <c r="L3553" s="2"/>
      <c r="M3553" s="2"/>
      <c r="N3553" s="2"/>
      <c r="O3553" s="2"/>
      <c r="P3553" s="2"/>
      <c r="Q3553" s="2"/>
      <c r="R3553" s="2"/>
      <c r="S3553" s="2"/>
      <c r="T3553" s="2"/>
      <c r="U3553" s="2"/>
      <c r="V3553" s="2"/>
      <c r="W3553" s="2"/>
      <c r="X3553" s="2"/>
      <c r="Y3553" s="1"/>
      <c r="Z3553" s="1"/>
      <c r="AA3553" s="2"/>
      <c r="AB3553" s="2"/>
      <c r="AC3553" s="2"/>
      <c r="AD3553" s="2"/>
      <c r="AE3553" s="2"/>
      <c r="AF3553" s="2"/>
      <c r="AG3553" s="2"/>
      <c r="AH3553" s="2"/>
      <c r="AI3553" s="2"/>
      <c r="AJ3553" s="2"/>
      <c r="AK3553" s="2"/>
      <c r="AL3553" s="2"/>
      <c r="AM3553" s="2"/>
      <c r="AN3553" s="2"/>
      <c r="AO3553" s="2"/>
      <c r="AP3553" s="2"/>
      <c r="AQ3553" s="2"/>
      <c r="AR3553" s="2"/>
      <c r="AS3553" s="2"/>
      <c r="AT3553" s="2"/>
      <c r="AU3553" s="2"/>
      <c r="AV3553" s="2"/>
      <c r="AW3553" s="2"/>
      <c r="AX3553" s="2"/>
    </row>
    <row r="3554" spans="1:50" ht="12.75" x14ac:dyDescent="0.2">
      <c r="A3554" s="2"/>
      <c r="B3554" s="2"/>
      <c r="C3554" s="2"/>
      <c r="D3554" s="2"/>
      <c r="E3554" s="2"/>
      <c r="F3554" s="2"/>
      <c r="G3554" s="2"/>
      <c r="H3554" s="2"/>
      <c r="I3554" s="2"/>
      <c r="J3554" s="2"/>
      <c r="K3554" s="2"/>
      <c r="L3554" s="2"/>
      <c r="M3554" s="2"/>
      <c r="N3554" s="2"/>
      <c r="O3554" s="2"/>
      <c r="P3554" s="2"/>
      <c r="Q3554" s="2"/>
      <c r="R3554" s="2"/>
      <c r="S3554" s="2"/>
      <c r="T3554" s="2"/>
      <c r="U3554" s="2"/>
      <c r="V3554" s="2"/>
      <c r="W3554" s="2"/>
      <c r="X3554" s="2"/>
      <c r="Y3554" s="1"/>
      <c r="Z3554" s="1"/>
      <c r="AA3554" s="2"/>
      <c r="AB3554" s="2"/>
      <c r="AC3554" s="2"/>
      <c r="AD3554" s="2"/>
      <c r="AE3554" s="2"/>
      <c r="AF3554" s="2"/>
      <c r="AG3554" s="2"/>
      <c r="AH3554" s="2"/>
      <c r="AI3554" s="2"/>
      <c r="AJ3554" s="2"/>
      <c r="AK3554" s="2"/>
      <c r="AL3554" s="2"/>
      <c r="AM3554" s="2"/>
      <c r="AN3554" s="2"/>
      <c r="AO3554" s="2"/>
      <c r="AP3554" s="2"/>
      <c r="AQ3554" s="2"/>
      <c r="AR3554" s="2"/>
      <c r="AS3554" s="2"/>
      <c r="AT3554" s="2"/>
      <c r="AU3554" s="2"/>
      <c r="AV3554" s="2"/>
      <c r="AW3554" s="2"/>
      <c r="AX3554" s="2"/>
    </row>
    <row r="3555" spans="1:50" ht="12.75" x14ac:dyDescent="0.2">
      <c r="A3555" s="2"/>
      <c r="B3555" s="2"/>
      <c r="C3555" s="2"/>
      <c r="D3555" s="2"/>
      <c r="E3555" s="2"/>
      <c r="F3555" s="2"/>
      <c r="G3555" s="2"/>
      <c r="H3555" s="2"/>
      <c r="I3555" s="2"/>
      <c r="J3555" s="2"/>
      <c r="K3555" s="2"/>
      <c r="L3555" s="2"/>
      <c r="M3555" s="2"/>
      <c r="N3555" s="2"/>
      <c r="O3555" s="2"/>
      <c r="P3555" s="2"/>
      <c r="Q3555" s="2"/>
      <c r="R3555" s="2"/>
      <c r="S3555" s="2"/>
      <c r="T3555" s="2"/>
      <c r="U3555" s="2"/>
      <c r="V3555" s="2"/>
      <c r="W3555" s="2"/>
      <c r="X3555" s="2"/>
      <c r="Y3555" s="1"/>
      <c r="Z3555" s="1"/>
      <c r="AA3555" s="2"/>
      <c r="AB3555" s="2"/>
      <c r="AC3555" s="2"/>
      <c r="AD3555" s="2"/>
      <c r="AE3555" s="2"/>
      <c r="AF3555" s="2"/>
      <c r="AG3555" s="2"/>
      <c r="AH3555" s="2"/>
      <c r="AI3555" s="2"/>
      <c r="AJ3555" s="2"/>
      <c r="AK3555" s="2"/>
      <c r="AL3555" s="2"/>
      <c r="AM3555" s="2"/>
      <c r="AN3555" s="2"/>
      <c r="AO3555" s="2"/>
      <c r="AP3555" s="2"/>
      <c r="AQ3555" s="2"/>
      <c r="AR3555" s="2"/>
      <c r="AS3555" s="2"/>
      <c r="AT3555" s="2"/>
      <c r="AU3555" s="2"/>
      <c r="AV3555" s="2"/>
      <c r="AW3555" s="2"/>
      <c r="AX3555" s="2"/>
    </row>
    <row r="3556" spans="1:50" ht="12.75" x14ac:dyDescent="0.2">
      <c r="A3556" s="2"/>
      <c r="B3556" s="2"/>
      <c r="C3556" s="2"/>
      <c r="D3556" s="2"/>
      <c r="E3556" s="2"/>
      <c r="F3556" s="2"/>
      <c r="G3556" s="2"/>
      <c r="H3556" s="2"/>
      <c r="I3556" s="2"/>
      <c r="J3556" s="2"/>
      <c r="K3556" s="2"/>
      <c r="L3556" s="2"/>
      <c r="M3556" s="2"/>
      <c r="N3556" s="2"/>
      <c r="O3556" s="2"/>
      <c r="P3556" s="2"/>
      <c r="Q3556" s="2"/>
      <c r="R3556" s="2"/>
      <c r="S3556" s="2"/>
      <c r="T3556" s="2"/>
      <c r="U3556" s="2"/>
      <c r="V3556" s="2"/>
      <c r="W3556" s="2"/>
      <c r="X3556" s="2"/>
      <c r="Y3556" s="1"/>
      <c r="Z3556" s="1"/>
      <c r="AA3556" s="2"/>
      <c r="AB3556" s="2"/>
      <c r="AC3556" s="2"/>
      <c r="AD3556" s="2"/>
      <c r="AE3556" s="2"/>
      <c r="AF3556" s="2"/>
      <c r="AG3556" s="2"/>
      <c r="AH3556" s="2"/>
      <c r="AI3556" s="2"/>
      <c r="AJ3556" s="2"/>
      <c r="AK3556" s="2"/>
      <c r="AL3556" s="2"/>
      <c r="AM3556" s="2"/>
      <c r="AN3556" s="2"/>
      <c r="AO3556" s="2"/>
      <c r="AP3556" s="2"/>
      <c r="AQ3556" s="2"/>
      <c r="AR3556" s="2"/>
      <c r="AS3556" s="2"/>
      <c r="AT3556" s="2"/>
      <c r="AU3556" s="2"/>
      <c r="AV3556" s="2"/>
      <c r="AW3556" s="2"/>
      <c r="AX3556" s="2"/>
    </row>
    <row r="3557" spans="1:50" ht="12.75" x14ac:dyDescent="0.2">
      <c r="A3557" s="2"/>
      <c r="B3557" s="2"/>
      <c r="C3557" s="2"/>
      <c r="D3557" s="2"/>
      <c r="E3557" s="2"/>
      <c r="F3557" s="2"/>
      <c r="G3557" s="2"/>
      <c r="H3557" s="2"/>
      <c r="I3557" s="2"/>
      <c r="J3557" s="2"/>
      <c r="K3557" s="2"/>
      <c r="L3557" s="2"/>
      <c r="M3557" s="2"/>
      <c r="N3557" s="2"/>
      <c r="O3557" s="2"/>
      <c r="P3557" s="2"/>
      <c r="Q3557" s="2"/>
      <c r="R3557" s="2"/>
      <c r="S3557" s="2"/>
      <c r="T3557" s="2"/>
      <c r="U3557" s="2"/>
      <c r="V3557" s="2"/>
      <c r="W3557" s="2"/>
      <c r="X3557" s="2"/>
      <c r="Y3557" s="1"/>
      <c r="Z3557" s="1"/>
      <c r="AA3557" s="2"/>
      <c r="AB3557" s="2"/>
      <c r="AC3557" s="2"/>
      <c r="AD3557" s="2"/>
      <c r="AE3557" s="2"/>
      <c r="AF3557" s="2"/>
      <c r="AG3557" s="2"/>
      <c r="AH3557" s="2"/>
      <c r="AI3557" s="2"/>
      <c r="AJ3557" s="2"/>
      <c r="AK3557" s="2"/>
      <c r="AL3557" s="2"/>
      <c r="AM3557" s="2"/>
      <c r="AN3557" s="2"/>
      <c r="AO3557" s="2"/>
      <c r="AP3557" s="2"/>
      <c r="AQ3557" s="2"/>
      <c r="AR3557" s="2"/>
      <c r="AS3557" s="2"/>
      <c r="AT3557" s="2"/>
      <c r="AU3557" s="2"/>
      <c r="AV3557" s="2"/>
      <c r="AW3557" s="2"/>
      <c r="AX3557" s="2"/>
    </row>
    <row r="3558" spans="1:50" ht="12.75" x14ac:dyDescent="0.2">
      <c r="A3558" s="2"/>
      <c r="B3558" s="2"/>
      <c r="C3558" s="2"/>
      <c r="D3558" s="2"/>
      <c r="E3558" s="2"/>
      <c r="F3558" s="2"/>
      <c r="G3558" s="2"/>
      <c r="H3558" s="2"/>
      <c r="I3558" s="2"/>
      <c r="J3558" s="2"/>
      <c r="K3558" s="2"/>
      <c r="L3558" s="2"/>
      <c r="M3558" s="2"/>
      <c r="N3558" s="2"/>
      <c r="O3558" s="2"/>
      <c r="P3558" s="2"/>
      <c r="Q3558" s="2"/>
      <c r="R3558" s="2"/>
      <c r="S3558" s="2"/>
      <c r="T3558" s="2"/>
      <c r="U3558" s="2"/>
      <c r="V3558" s="2"/>
      <c r="W3558" s="2"/>
      <c r="X3558" s="2"/>
      <c r="Y3558" s="1"/>
      <c r="Z3558" s="1"/>
      <c r="AA3558" s="2"/>
      <c r="AB3558" s="2"/>
      <c r="AC3558" s="2"/>
      <c r="AD3558" s="2"/>
      <c r="AE3558" s="2"/>
      <c r="AF3558" s="2"/>
      <c r="AG3558" s="2"/>
      <c r="AH3558" s="2"/>
      <c r="AI3558" s="2"/>
      <c r="AJ3558" s="2"/>
      <c r="AK3558" s="2"/>
      <c r="AL3558" s="2"/>
      <c r="AM3558" s="2"/>
      <c r="AN3558" s="2"/>
      <c r="AO3558" s="2"/>
      <c r="AP3558" s="2"/>
      <c r="AQ3558" s="2"/>
      <c r="AR3558" s="2"/>
      <c r="AS3558" s="2"/>
      <c r="AT3558" s="2"/>
      <c r="AU3558" s="2"/>
      <c r="AV3558" s="2"/>
      <c r="AW3558" s="2"/>
      <c r="AX3558" s="2"/>
    </row>
    <row r="3559" spans="1:50" ht="12.75" x14ac:dyDescent="0.2">
      <c r="A3559" s="2"/>
      <c r="B3559" s="2"/>
      <c r="C3559" s="2"/>
      <c r="D3559" s="2"/>
      <c r="E3559" s="2"/>
      <c r="F3559" s="2"/>
      <c r="G3559" s="2"/>
      <c r="H3559" s="2"/>
      <c r="I3559" s="2"/>
      <c r="J3559" s="2"/>
      <c r="K3559" s="2"/>
      <c r="L3559" s="2"/>
      <c r="M3559" s="2"/>
      <c r="N3559" s="2"/>
      <c r="O3559" s="2"/>
      <c r="P3559" s="2"/>
      <c r="Q3559" s="2"/>
      <c r="R3559" s="2"/>
      <c r="S3559" s="2"/>
      <c r="T3559" s="2"/>
      <c r="U3559" s="2"/>
      <c r="V3559" s="2"/>
      <c r="W3559" s="2"/>
      <c r="X3559" s="2"/>
      <c r="Y3559" s="1"/>
      <c r="Z3559" s="1"/>
      <c r="AA3559" s="2"/>
      <c r="AB3559" s="2"/>
      <c r="AC3559" s="2"/>
      <c r="AD3559" s="2"/>
      <c r="AE3559" s="2"/>
      <c r="AF3559" s="2"/>
      <c r="AG3559" s="2"/>
      <c r="AH3559" s="2"/>
      <c r="AI3559" s="2"/>
      <c r="AJ3559" s="2"/>
      <c r="AK3559" s="2"/>
      <c r="AL3559" s="2"/>
      <c r="AM3559" s="2"/>
      <c r="AN3559" s="2"/>
      <c r="AO3559" s="2"/>
      <c r="AP3559" s="2"/>
      <c r="AQ3559" s="2"/>
      <c r="AR3559" s="2"/>
      <c r="AS3559" s="2"/>
      <c r="AT3559" s="2"/>
      <c r="AU3559" s="2"/>
      <c r="AV3559" s="2"/>
      <c r="AW3559" s="2"/>
      <c r="AX3559" s="2"/>
    </row>
    <row r="3560" spans="1:50" ht="12.75" x14ac:dyDescent="0.2">
      <c r="A3560" s="2"/>
      <c r="B3560" s="2"/>
      <c r="C3560" s="2"/>
      <c r="D3560" s="2"/>
      <c r="E3560" s="2"/>
      <c r="F3560" s="2"/>
      <c r="G3560" s="2"/>
      <c r="H3560" s="2"/>
      <c r="I3560" s="2"/>
      <c r="J3560" s="2"/>
      <c r="K3560" s="2"/>
      <c r="L3560" s="2"/>
      <c r="M3560" s="2"/>
      <c r="N3560" s="2"/>
      <c r="O3560" s="2"/>
      <c r="P3560" s="2"/>
      <c r="Q3560" s="2"/>
      <c r="R3560" s="2"/>
      <c r="S3560" s="2"/>
      <c r="T3560" s="2"/>
      <c r="U3560" s="2"/>
      <c r="V3560" s="2"/>
      <c r="W3560" s="2"/>
      <c r="X3560" s="2"/>
      <c r="Y3560" s="1"/>
      <c r="Z3560" s="1"/>
      <c r="AA3560" s="2"/>
      <c r="AB3560" s="2"/>
      <c r="AC3560" s="2"/>
      <c r="AD3560" s="2"/>
      <c r="AE3560" s="2"/>
      <c r="AF3560" s="2"/>
      <c r="AG3560" s="2"/>
      <c r="AH3560" s="2"/>
      <c r="AI3560" s="2"/>
      <c r="AJ3560" s="2"/>
      <c r="AK3560" s="2"/>
      <c r="AL3560" s="2"/>
      <c r="AM3560" s="2"/>
      <c r="AN3560" s="2"/>
      <c r="AO3560" s="2"/>
      <c r="AP3560" s="2"/>
      <c r="AQ3560" s="2"/>
      <c r="AR3560" s="2"/>
      <c r="AS3560" s="2"/>
      <c r="AT3560" s="2"/>
      <c r="AU3560" s="2"/>
      <c r="AV3560" s="2"/>
      <c r="AW3560" s="2"/>
      <c r="AX3560" s="2"/>
    </row>
    <row r="3561" spans="1:50" ht="12.75" x14ac:dyDescent="0.2">
      <c r="A3561" s="2"/>
      <c r="B3561" s="2"/>
      <c r="C3561" s="2"/>
      <c r="D3561" s="2"/>
      <c r="E3561" s="2"/>
      <c r="F3561" s="2"/>
      <c r="G3561" s="2"/>
      <c r="H3561" s="2"/>
      <c r="I3561" s="2"/>
      <c r="J3561" s="2"/>
      <c r="K3561" s="2"/>
      <c r="L3561" s="2"/>
      <c r="M3561" s="2"/>
      <c r="N3561" s="2"/>
      <c r="O3561" s="2"/>
      <c r="P3561" s="2"/>
      <c r="Q3561" s="2"/>
      <c r="R3561" s="2"/>
      <c r="S3561" s="2"/>
      <c r="T3561" s="2"/>
      <c r="U3561" s="2"/>
      <c r="V3561" s="2"/>
      <c r="W3561" s="2"/>
      <c r="X3561" s="2"/>
      <c r="Y3561" s="1"/>
      <c r="Z3561" s="1"/>
      <c r="AA3561" s="2"/>
      <c r="AB3561" s="2"/>
      <c r="AC3561" s="2"/>
      <c r="AD3561" s="2"/>
      <c r="AE3561" s="2"/>
      <c r="AF3561" s="2"/>
      <c r="AG3561" s="2"/>
      <c r="AH3561" s="2"/>
      <c r="AI3561" s="2"/>
      <c r="AJ3561" s="2"/>
      <c r="AK3561" s="2"/>
      <c r="AL3561" s="2"/>
      <c r="AM3561" s="2"/>
      <c r="AN3561" s="2"/>
      <c r="AO3561" s="2"/>
      <c r="AP3561" s="2"/>
      <c r="AQ3561" s="2"/>
      <c r="AR3561" s="2"/>
      <c r="AS3561" s="2"/>
      <c r="AT3561" s="2"/>
      <c r="AU3561" s="2"/>
      <c r="AV3561" s="2"/>
      <c r="AW3561" s="2"/>
      <c r="AX3561" s="2"/>
    </row>
    <row r="3562" spans="1:50" ht="12.75" x14ac:dyDescent="0.2">
      <c r="A3562" s="2"/>
      <c r="B3562" s="2"/>
      <c r="C3562" s="2"/>
      <c r="D3562" s="2"/>
      <c r="E3562" s="2"/>
      <c r="F3562" s="2"/>
      <c r="G3562" s="2"/>
      <c r="H3562" s="2"/>
      <c r="I3562" s="2"/>
      <c r="J3562" s="2"/>
      <c r="K3562" s="2"/>
      <c r="L3562" s="2"/>
      <c r="M3562" s="2"/>
      <c r="N3562" s="2"/>
      <c r="O3562" s="2"/>
      <c r="P3562" s="2"/>
      <c r="Q3562" s="2"/>
      <c r="R3562" s="2"/>
      <c r="S3562" s="2"/>
      <c r="T3562" s="2"/>
      <c r="U3562" s="2"/>
      <c r="V3562" s="2"/>
      <c r="W3562" s="2"/>
      <c r="X3562" s="2"/>
      <c r="Y3562" s="1"/>
      <c r="Z3562" s="1"/>
      <c r="AA3562" s="2"/>
      <c r="AB3562" s="2"/>
      <c r="AC3562" s="2"/>
      <c r="AD3562" s="2"/>
      <c r="AE3562" s="2"/>
      <c r="AF3562" s="2"/>
      <c r="AG3562" s="2"/>
      <c r="AH3562" s="2"/>
      <c r="AI3562" s="2"/>
      <c r="AJ3562" s="2"/>
      <c r="AK3562" s="2"/>
      <c r="AL3562" s="2"/>
      <c r="AM3562" s="2"/>
      <c r="AN3562" s="2"/>
      <c r="AO3562" s="2"/>
      <c r="AP3562" s="2"/>
      <c r="AQ3562" s="2"/>
      <c r="AR3562" s="2"/>
      <c r="AS3562" s="2"/>
      <c r="AT3562" s="2"/>
      <c r="AU3562" s="2"/>
      <c r="AV3562" s="2"/>
      <c r="AW3562" s="2"/>
      <c r="AX3562" s="2"/>
    </row>
    <row r="3563" spans="1:50" ht="12.75" x14ac:dyDescent="0.2">
      <c r="A3563" s="2"/>
      <c r="B3563" s="2"/>
      <c r="C3563" s="2"/>
      <c r="D3563" s="2"/>
      <c r="E3563" s="2"/>
      <c r="F3563" s="2"/>
      <c r="G3563" s="2"/>
      <c r="H3563" s="2"/>
      <c r="I3563" s="2"/>
      <c r="J3563" s="2"/>
      <c r="K3563" s="2"/>
      <c r="L3563" s="2"/>
      <c r="M3563" s="2"/>
      <c r="N3563" s="2"/>
      <c r="O3563" s="2"/>
      <c r="P3563" s="2"/>
      <c r="Q3563" s="2"/>
      <c r="R3563" s="2"/>
      <c r="S3563" s="2"/>
      <c r="T3563" s="2"/>
      <c r="U3563" s="2"/>
      <c r="V3563" s="2"/>
      <c r="W3563" s="2"/>
      <c r="X3563" s="2"/>
      <c r="Y3563" s="1"/>
      <c r="Z3563" s="1"/>
      <c r="AA3563" s="2"/>
      <c r="AB3563" s="2"/>
      <c r="AC3563" s="2"/>
      <c r="AD3563" s="2"/>
      <c r="AE3563" s="2"/>
      <c r="AF3563" s="2"/>
      <c r="AG3563" s="2"/>
      <c r="AH3563" s="2"/>
      <c r="AI3563" s="2"/>
      <c r="AJ3563" s="2"/>
      <c r="AK3563" s="2"/>
      <c r="AL3563" s="2"/>
      <c r="AM3563" s="2"/>
      <c r="AN3563" s="2"/>
      <c r="AO3563" s="2"/>
      <c r="AP3563" s="2"/>
      <c r="AQ3563" s="2"/>
      <c r="AR3563" s="2"/>
      <c r="AS3563" s="2"/>
      <c r="AT3563" s="2"/>
      <c r="AU3563" s="2"/>
      <c r="AV3563" s="2"/>
      <c r="AW3563" s="2"/>
      <c r="AX3563" s="2"/>
    </row>
    <row r="3564" spans="1:50" ht="12.75" x14ac:dyDescent="0.2">
      <c r="A3564" s="2"/>
      <c r="B3564" s="2"/>
      <c r="C3564" s="2"/>
      <c r="D3564" s="2"/>
      <c r="E3564" s="2"/>
      <c r="F3564" s="2"/>
      <c r="G3564" s="2"/>
      <c r="H3564" s="2"/>
      <c r="I3564" s="2"/>
      <c r="J3564" s="2"/>
      <c r="K3564" s="2"/>
      <c r="L3564" s="2"/>
      <c r="M3564" s="2"/>
      <c r="N3564" s="2"/>
      <c r="O3564" s="2"/>
      <c r="P3564" s="2"/>
      <c r="Q3564" s="2"/>
      <c r="R3564" s="2"/>
      <c r="S3564" s="2"/>
      <c r="T3564" s="2"/>
      <c r="U3564" s="2"/>
      <c r="V3564" s="2"/>
      <c r="W3564" s="2"/>
      <c r="X3564" s="2"/>
      <c r="Y3564" s="1"/>
      <c r="Z3564" s="1"/>
      <c r="AA3564" s="2"/>
      <c r="AB3564" s="2"/>
      <c r="AC3564" s="2"/>
      <c r="AD3564" s="2"/>
      <c r="AE3564" s="2"/>
      <c r="AF3564" s="2"/>
      <c r="AG3564" s="2"/>
      <c r="AH3564" s="2"/>
      <c r="AI3564" s="2"/>
      <c r="AJ3564" s="2"/>
      <c r="AK3564" s="2"/>
      <c r="AL3564" s="2"/>
      <c r="AM3564" s="2"/>
      <c r="AN3564" s="2"/>
      <c r="AO3564" s="2"/>
      <c r="AP3564" s="2"/>
      <c r="AQ3564" s="2"/>
      <c r="AR3564" s="2"/>
      <c r="AS3564" s="2"/>
      <c r="AT3564" s="2"/>
      <c r="AU3564" s="2"/>
      <c r="AV3564" s="2"/>
      <c r="AW3564" s="2"/>
      <c r="AX3564" s="2"/>
    </row>
    <row r="3565" spans="1:50" ht="12.75" x14ac:dyDescent="0.2">
      <c r="A3565" s="2"/>
      <c r="B3565" s="2"/>
      <c r="C3565" s="2"/>
      <c r="D3565" s="2"/>
      <c r="E3565" s="2"/>
      <c r="F3565" s="2"/>
      <c r="G3565" s="2"/>
      <c r="H3565" s="2"/>
      <c r="I3565" s="2"/>
      <c r="J3565" s="2"/>
      <c r="K3565" s="2"/>
      <c r="L3565" s="2"/>
      <c r="M3565" s="2"/>
      <c r="N3565" s="2"/>
      <c r="O3565" s="2"/>
      <c r="P3565" s="2"/>
      <c r="Q3565" s="2"/>
      <c r="R3565" s="2"/>
      <c r="S3565" s="2"/>
      <c r="T3565" s="2"/>
      <c r="U3565" s="2"/>
      <c r="V3565" s="2"/>
      <c r="W3565" s="2"/>
      <c r="X3565" s="2"/>
      <c r="Y3565" s="1"/>
      <c r="Z3565" s="1"/>
      <c r="AA3565" s="2"/>
      <c r="AB3565" s="2"/>
      <c r="AC3565" s="2"/>
      <c r="AD3565" s="2"/>
      <c r="AE3565" s="2"/>
      <c r="AF3565" s="2"/>
      <c r="AG3565" s="2"/>
      <c r="AH3565" s="2"/>
      <c r="AI3565" s="2"/>
      <c r="AJ3565" s="2"/>
      <c r="AK3565" s="2"/>
      <c r="AL3565" s="2"/>
      <c r="AM3565" s="2"/>
      <c r="AN3565" s="2"/>
      <c r="AO3565" s="2"/>
      <c r="AP3565" s="2"/>
      <c r="AQ3565" s="2"/>
      <c r="AR3565" s="2"/>
      <c r="AS3565" s="2"/>
      <c r="AT3565" s="2"/>
      <c r="AU3565" s="2"/>
      <c r="AV3565" s="2"/>
      <c r="AW3565" s="2"/>
      <c r="AX3565" s="2"/>
    </row>
    <row r="3566" spans="1:50" ht="12.75" x14ac:dyDescent="0.2">
      <c r="A3566" s="2"/>
      <c r="B3566" s="2"/>
      <c r="C3566" s="2"/>
      <c r="D3566" s="2"/>
      <c r="E3566" s="2"/>
      <c r="F3566" s="2"/>
      <c r="G3566" s="2"/>
      <c r="H3566" s="2"/>
      <c r="I3566" s="2"/>
      <c r="J3566" s="2"/>
      <c r="K3566" s="2"/>
      <c r="L3566" s="2"/>
      <c r="M3566" s="2"/>
      <c r="N3566" s="2"/>
      <c r="O3566" s="2"/>
      <c r="P3566" s="2"/>
      <c r="Q3566" s="2"/>
      <c r="R3566" s="2"/>
      <c r="S3566" s="2"/>
      <c r="T3566" s="2"/>
      <c r="U3566" s="2"/>
      <c r="V3566" s="2"/>
      <c r="W3566" s="2"/>
      <c r="X3566" s="2"/>
      <c r="Y3566" s="1"/>
      <c r="Z3566" s="1"/>
      <c r="AA3566" s="2"/>
      <c r="AB3566" s="2"/>
      <c r="AC3566" s="2"/>
      <c r="AD3566" s="2"/>
      <c r="AE3566" s="2"/>
      <c r="AF3566" s="2"/>
      <c r="AG3566" s="2"/>
      <c r="AH3566" s="2"/>
      <c r="AI3566" s="2"/>
      <c r="AJ3566" s="2"/>
      <c r="AK3566" s="2"/>
      <c r="AL3566" s="2"/>
      <c r="AM3566" s="2"/>
      <c r="AN3566" s="2"/>
      <c r="AO3566" s="2"/>
      <c r="AP3566" s="2"/>
      <c r="AQ3566" s="2"/>
      <c r="AR3566" s="2"/>
      <c r="AS3566" s="2"/>
      <c r="AT3566" s="2"/>
      <c r="AU3566" s="2"/>
      <c r="AV3566" s="2"/>
      <c r="AW3566" s="2"/>
      <c r="AX3566" s="2"/>
    </row>
    <row r="3567" spans="1:50" ht="12.75" x14ac:dyDescent="0.2">
      <c r="A3567" s="2"/>
      <c r="B3567" s="2"/>
      <c r="C3567" s="2"/>
      <c r="D3567" s="2"/>
      <c r="E3567" s="2"/>
      <c r="F3567" s="2"/>
      <c r="G3567" s="2"/>
      <c r="H3567" s="2"/>
      <c r="I3567" s="2"/>
      <c r="J3567" s="2"/>
      <c r="K3567" s="2"/>
      <c r="L3567" s="2"/>
      <c r="M3567" s="2"/>
      <c r="N3567" s="2"/>
      <c r="O3567" s="2"/>
      <c r="P3567" s="2"/>
      <c r="Q3567" s="2"/>
      <c r="R3567" s="2"/>
      <c r="S3567" s="2"/>
      <c r="T3567" s="2"/>
      <c r="U3567" s="2"/>
      <c r="V3567" s="2"/>
      <c r="W3567" s="2"/>
      <c r="X3567" s="2"/>
      <c r="Y3567" s="1"/>
      <c r="Z3567" s="1"/>
      <c r="AA3567" s="2"/>
      <c r="AB3567" s="2"/>
      <c r="AC3567" s="2"/>
      <c r="AD3567" s="2"/>
      <c r="AE3567" s="2"/>
      <c r="AF3567" s="2"/>
      <c r="AG3567" s="2"/>
      <c r="AH3567" s="2"/>
      <c r="AI3567" s="2"/>
      <c r="AJ3567" s="2"/>
      <c r="AK3567" s="2"/>
      <c r="AL3567" s="2"/>
      <c r="AM3567" s="2"/>
      <c r="AN3567" s="2"/>
      <c r="AO3567" s="2"/>
      <c r="AP3567" s="2"/>
      <c r="AQ3567" s="2"/>
      <c r="AR3567" s="2"/>
      <c r="AS3567" s="2"/>
      <c r="AT3567" s="2"/>
      <c r="AU3567" s="2"/>
      <c r="AV3567" s="2"/>
      <c r="AW3567" s="2"/>
      <c r="AX3567" s="2"/>
    </row>
    <row r="3568" spans="1:50" ht="12.75" x14ac:dyDescent="0.2">
      <c r="A3568" s="2"/>
      <c r="B3568" s="2"/>
      <c r="C3568" s="2"/>
      <c r="D3568" s="2"/>
      <c r="E3568" s="2"/>
      <c r="F3568" s="2"/>
      <c r="G3568" s="2"/>
      <c r="H3568" s="2"/>
      <c r="I3568" s="2"/>
      <c r="J3568" s="2"/>
      <c r="K3568" s="2"/>
      <c r="L3568" s="2"/>
      <c r="M3568" s="2"/>
      <c r="N3568" s="2"/>
      <c r="O3568" s="2"/>
      <c r="P3568" s="2"/>
      <c r="Q3568" s="2"/>
      <c r="R3568" s="2"/>
      <c r="S3568" s="2"/>
      <c r="T3568" s="2"/>
      <c r="U3568" s="2"/>
      <c r="V3568" s="2"/>
      <c r="W3568" s="2"/>
      <c r="X3568" s="2"/>
      <c r="Y3568" s="1"/>
      <c r="Z3568" s="1"/>
      <c r="AA3568" s="2"/>
      <c r="AB3568" s="2"/>
      <c r="AC3568" s="2"/>
      <c r="AD3568" s="2"/>
      <c r="AE3568" s="2"/>
      <c r="AF3568" s="2"/>
      <c r="AG3568" s="2"/>
      <c r="AH3568" s="2"/>
      <c r="AI3568" s="2"/>
      <c r="AJ3568" s="2"/>
      <c r="AK3568" s="2"/>
      <c r="AL3568" s="2"/>
      <c r="AM3568" s="2"/>
      <c r="AN3568" s="2"/>
      <c r="AO3568" s="2"/>
      <c r="AP3568" s="2"/>
      <c r="AQ3568" s="2"/>
      <c r="AR3568" s="2"/>
      <c r="AS3568" s="2"/>
      <c r="AT3568" s="2"/>
      <c r="AU3568" s="2"/>
      <c r="AV3568" s="2"/>
      <c r="AW3568" s="2"/>
      <c r="AX3568" s="2"/>
    </row>
    <row r="3569" spans="1:50" ht="12.75" x14ac:dyDescent="0.2">
      <c r="A3569" s="2"/>
      <c r="B3569" s="2"/>
      <c r="C3569" s="2"/>
      <c r="D3569" s="2"/>
      <c r="E3569" s="2"/>
      <c r="F3569" s="2"/>
      <c r="G3569" s="2"/>
      <c r="H3569" s="2"/>
      <c r="I3569" s="2"/>
      <c r="J3569" s="2"/>
      <c r="K3569" s="2"/>
      <c r="L3569" s="2"/>
      <c r="M3569" s="2"/>
      <c r="N3569" s="2"/>
      <c r="O3569" s="2"/>
      <c r="P3569" s="2"/>
      <c r="Q3569" s="2"/>
      <c r="R3569" s="2"/>
      <c r="S3569" s="2"/>
      <c r="T3569" s="2"/>
      <c r="U3569" s="2"/>
      <c r="V3569" s="2"/>
      <c r="W3569" s="2"/>
      <c r="X3569" s="2"/>
      <c r="Y3569" s="1"/>
      <c r="Z3569" s="1"/>
      <c r="AA3569" s="2"/>
      <c r="AB3569" s="2"/>
      <c r="AC3569" s="2"/>
      <c r="AD3569" s="2"/>
      <c r="AE3569" s="2"/>
      <c r="AF3569" s="2"/>
      <c r="AG3569" s="2"/>
      <c r="AH3569" s="2"/>
      <c r="AI3569" s="2"/>
      <c r="AJ3569" s="2"/>
      <c r="AK3569" s="2"/>
      <c r="AL3569" s="2"/>
      <c r="AM3569" s="2"/>
      <c r="AN3569" s="2"/>
      <c r="AO3569" s="2"/>
      <c r="AP3569" s="2"/>
      <c r="AQ3569" s="2"/>
      <c r="AR3569" s="2"/>
      <c r="AS3569" s="2"/>
      <c r="AT3569" s="2"/>
      <c r="AU3569" s="2"/>
      <c r="AV3569" s="2"/>
      <c r="AW3569" s="2"/>
      <c r="AX3569" s="2"/>
    </row>
    <row r="3570" spans="1:50" ht="12.75" x14ac:dyDescent="0.2">
      <c r="A3570" s="2"/>
      <c r="B3570" s="2"/>
      <c r="C3570" s="2"/>
      <c r="D3570" s="2"/>
      <c r="E3570" s="2"/>
      <c r="F3570" s="2"/>
      <c r="G3570" s="2"/>
      <c r="H3570" s="2"/>
      <c r="I3570" s="2"/>
      <c r="J3570" s="2"/>
      <c r="K3570" s="2"/>
      <c r="L3570" s="2"/>
      <c r="M3570" s="2"/>
      <c r="N3570" s="2"/>
      <c r="O3570" s="2"/>
      <c r="P3570" s="2"/>
      <c r="Q3570" s="2"/>
      <c r="R3570" s="2"/>
      <c r="S3570" s="2"/>
      <c r="T3570" s="2"/>
      <c r="U3570" s="2"/>
      <c r="V3570" s="2"/>
      <c r="W3570" s="2"/>
      <c r="X3570" s="2"/>
      <c r="Y3570" s="1"/>
      <c r="Z3570" s="1"/>
      <c r="AA3570" s="2"/>
      <c r="AB3570" s="2"/>
      <c r="AC3570" s="2"/>
      <c r="AD3570" s="2"/>
      <c r="AE3570" s="2"/>
      <c r="AF3570" s="2"/>
      <c r="AG3570" s="2"/>
      <c r="AH3570" s="2"/>
      <c r="AI3570" s="2"/>
      <c r="AJ3570" s="2"/>
      <c r="AK3570" s="2"/>
      <c r="AL3570" s="2"/>
      <c r="AM3570" s="2"/>
      <c r="AN3570" s="2"/>
      <c r="AO3570" s="2"/>
      <c r="AP3570" s="2"/>
      <c r="AQ3570" s="2"/>
      <c r="AR3570" s="2"/>
      <c r="AS3570" s="2"/>
      <c r="AT3570" s="2"/>
      <c r="AU3570" s="2"/>
      <c r="AV3570" s="2"/>
      <c r="AW3570" s="2"/>
      <c r="AX3570" s="2"/>
    </row>
    <row r="3571" spans="1:50" ht="12.75" x14ac:dyDescent="0.2">
      <c r="A3571" s="2"/>
      <c r="B3571" s="2"/>
      <c r="C3571" s="2"/>
      <c r="D3571" s="2"/>
      <c r="E3571" s="2"/>
      <c r="F3571" s="2"/>
      <c r="G3571" s="2"/>
      <c r="H3571" s="2"/>
      <c r="I3571" s="2"/>
      <c r="J3571" s="2"/>
      <c r="K3571" s="2"/>
      <c r="L3571" s="2"/>
      <c r="M3571" s="2"/>
      <c r="N3571" s="2"/>
      <c r="O3571" s="2"/>
      <c r="P3571" s="2"/>
      <c r="Q3571" s="2"/>
      <c r="R3571" s="2"/>
      <c r="S3571" s="2"/>
      <c r="T3571" s="2"/>
      <c r="U3571" s="2"/>
      <c r="V3571" s="2"/>
      <c r="W3571" s="2"/>
      <c r="X3571" s="2"/>
      <c r="Y3571" s="1"/>
      <c r="Z3571" s="1"/>
      <c r="AA3571" s="2"/>
      <c r="AB3571" s="2"/>
      <c r="AC3571" s="2"/>
      <c r="AD3571" s="2"/>
      <c r="AE3571" s="2"/>
      <c r="AF3571" s="2"/>
      <c r="AG3571" s="2"/>
      <c r="AH3571" s="2"/>
      <c r="AI3571" s="2"/>
      <c r="AJ3571" s="2"/>
      <c r="AK3571" s="2"/>
      <c r="AL3571" s="2"/>
      <c r="AM3571" s="2"/>
      <c r="AN3571" s="2"/>
      <c r="AO3571" s="2"/>
      <c r="AP3571" s="2"/>
      <c r="AQ3571" s="2"/>
      <c r="AR3571" s="2"/>
      <c r="AS3571" s="2"/>
      <c r="AT3571" s="2"/>
      <c r="AU3571" s="2"/>
      <c r="AV3571" s="2"/>
      <c r="AW3571" s="2"/>
      <c r="AX3571" s="2"/>
    </row>
    <row r="3572" spans="1:50" ht="12.75" x14ac:dyDescent="0.2">
      <c r="A3572" s="2"/>
      <c r="B3572" s="2"/>
      <c r="C3572" s="2"/>
      <c r="D3572" s="2"/>
      <c r="E3572" s="2"/>
      <c r="F3572" s="2"/>
      <c r="G3572" s="2"/>
      <c r="H3572" s="2"/>
      <c r="I3572" s="2"/>
      <c r="J3572" s="2"/>
      <c r="K3572" s="2"/>
      <c r="L3572" s="2"/>
      <c r="M3572" s="2"/>
      <c r="N3572" s="2"/>
      <c r="O3572" s="2"/>
      <c r="P3572" s="2"/>
      <c r="Q3572" s="2"/>
      <c r="R3572" s="2"/>
      <c r="S3572" s="2"/>
      <c r="T3572" s="2"/>
      <c r="U3572" s="2"/>
      <c r="V3572" s="2"/>
      <c r="W3572" s="2"/>
      <c r="X3572" s="2"/>
      <c r="Y3572" s="1"/>
      <c r="Z3572" s="1"/>
      <c r="AA3572" s="2"/>
      <c r="AB3572" s="2"/>
      <c r="AC3572" s="2"/>
      <c r="AD3572" s="2"/>
      <c r="AE3572" s="2"/>
      <c r="AF3572" s="2"/>
      <c r="AG3572" s="2"/>
      <c r="AH3572" s="2"/>
      <c r="AI3572" s="2"/>
      <c r="AJ3572" s="2"/>
      <c r="AK3572" s="2"/>
      <c r="AL3572" s="2"/>
      <c r="AM3572" s="2"/>
      <c r="AN3572" s="2"/>
      <c r="AO3572" s="2"/>
      <c r="AP3572" s="2"/>
      <c r="AQ3572" s="2"/>
      <c r="AR3572" s="2"/>
      <c r="AS3572" s="2"/>
      <c r="AT3572" s="2"/>
      <c r="AU3572" s="2"/>
      <c r="AV3572" s="2"/>
      <c r="AW3572" s="2"/>
      <c r="AX3572" s="2"/>
    </row>
    <row r="3573" spans="1:50" ht="12.75" x14ac:dyDescent="0.2">
      <c r="A3573" s="2"/>
      <c r="B3573" s="2"/>
      <c r="C3573" s="2"/>
      <c r="D3573" s="2"/>
      <c r="E3573" s="2"/>
      <c r="F3573" s="2"/>
      <c r="G3573" s="2"/>
      <c r="H3573" s="2"/>
      <c r="I3573" s="2"/>
      <c r="J3573" s="2"/>
      <c r="K3573" s="2"/>
      <c r="L3573" s="2"/>
      <c r="M3573" s="2"/>
      <c r="N3573" s="2"/>
      <c r="O3573" s="2"/>
      <c r="P3573" s="2"/>
      <c r="Q3573" s="2"/>
      <c r="R3573" s="2"/>
      <c r="S3573" s="2"/>
      <c r="T3573" s="2"/>
      <c r="U3573" s="2"/>
      <c r="V3573" s="2"/>
      <c r="W3573" s="2"/>
      <c r="X3573" s="2"/>
      <c r="Y3573" s="1"/>
      <c r="Z3573" s="1"/>
      <c r="AA3573" s="2"/>
      <c r="AB3573" s="2"/>
      <c r="AC3573" s="2"/>
      <c r="AD3573" s="2"/>
      <c r="AE3573" s="2"/>
      <c r="AF3573" s="2"/>
      <c r="AG3573" s="2"/>
      <c r="AH3573" s="2"/>
      <c r="AI3573" s="2"/>
      <c r="AJ3573" s="2"/>
      <c r="AK3573" s="2"/>
      <c r="AL3573" s="2"/>
      <c r="AM3573" s="2"/>
      <c r="AN3573" s="2"/>
      <c r="AO3573" s="2"/>
      <c r="AP3573" s="2"/>
      <c r="AQ3573" s="2"/>
      <c r="AR3573" s="2"/>
      <c r="AS3573" s="2"/>
      <c r="AT3573" s="2"/>
      <c r="AU3573" s="2"/>
      <c r="AV3573" s="2"/>
      <c r="AW3573" s="2"/>
      <c r="AX3573" s="2"/>
    </row>
    <row r="3574" spans="1:50" ht="12.75" x14ac:dyDescent="0.2">
      <c r="A3574" s="2"/>
      <c r="B3574" s="2"/>
      <c r="C3574" s="2"/>
      <c r="D3574" s="2"/>
      <c r="E3574" s="2"/>
      <c r="F3574" s="2"/>
      <c r="G3574" s="2"/>
      <c r="H3574" s="2"/>
      <c r="I3574" s="2"/>
      <c r="J3574" s="2"/>
      <c r="K3574" s="2"/>
      <c r="L3574" s="2"/>
      <c r="M3574" s="2"/>
      <c r="N3574" s="2"/>
      <c r="O3574" s="2"/>
      <c r="P3574" s="2"/>
      <c r="Q3574" s="2"/>
      <c r="R3574" s="2"/>
      <c r="S3574" s="2"/>
      <c r="T3574" s="2"/>
      <c r="U3574" s="2"/>
      <c r="V3574" s="2"/>
      <c r="W3574" s="2"/>
      <c r="X3574" s="2"/>
      <c r="Y3574" s="1"/>
      <c r="Z3574" s="1"/>
      <c r="AA3574" s="2"/>
      <c r="AB3574" s="2"/>
      <c r="AC3574" s="2"/>
      <c r="AD3574" s="2"/>
      <c r="AE3574" s="2"/>
      <c r="AF3574" s="2"/>
      <c r="AG3574" s="2"/>
      <c r="AH3574" s="2"/>
      <c r="AI3574" s="2"/>
      <c r="AJ3574" s="2"/>
      <c r="AK3574" s="2"/>
      <c r="AL3574" s="2"/>
      <c r="AM3574" s="2"/>
      <c r="AN3574" s="2"/>
      <c r="AO3574" s="2"/>
      <c r="AP3574" s="2"/>
      <c r="AQ3574" s="2"/>
      <c r="AR3574" s="2"/>
      <c r="AS3574" s="2"/>
      <c r="AT3574" s="2"/>
      <c r="AU3574" s="2"/>
      <c r="AV3574" s="2"/>
      <c r="AW3574" s="2"/>
      <c r="AX3574" s="2"/>
    </row>
    <row r="3575" spans="1:50" ht="12.75" x14ac:dyDescent="0.2">
      <c r="A3575" s="2"/>
      <c r="B3575" s="2"/>
      <c r="C3575" s="2"/>
      <c r="D3575" s="2"/>
      <c r="E3575" s="2"/>
      <c r="F3575" s="2"/>
      <c r="G3575" s="2"/>
      <c r="H3575" s="2"/>
      <c r="I3575" s="2"/>
      <c r="J3575" s="2"/>
      <c r="K3575" s="2"/>
      <c r="L3575" s="2"/>
      <c r="M3575" s="2"/>
      <c r="N3575" s="2"/>
      <c r="O3575" s="2"/>
      <c r="P3575" s="2"/>
      <c r="Q3575" s="2"/>
      <c r="R3575" s="2"/>
      <c r="S3575" s="2"/>
      <c r="T3575" s="2"/>
      <c r="U3575" s="2"/>
      <c r="V3575" s="2"/>
      <c r="W3575" s="2"/>
      <c r="X3575" s="2"/>
      <c r="Y3575" s="1"/>
      <c r="Z3575" s="1"/>
      <c r="AA3575" s="2"/>
      <c r="AB3575" s="2"/>
      <c r="AC3575" s="2"/>
      <c r="AD3575" s="2"/>
      <c r="AE3575" s="2"/>
      <c r="AF3575" s="2"/>
      <c r="AG3575" s="2"/>
      <c r="AH3575" s="2"/>
      <c r="AI3575" s="2"/>
      <c r="AJ3575" s="2"/>
      <c r="AK3575" s="2"/>
      <c r="AL3575" s="2"/>
      <c r="AM3575" s="2"/>
      <c r="AN3575" s="2"/>
      <c r="AO3575" s="2"/>
      <c r="AP3575" s="2"/>
      <c r="AQ3575" s="2"/>
      <c r="AR3575" s="2"/>
      <c r="AS3575" s="2"/>
      <c r="AT3575" s="2"/>
      <c r="AU3575" s="2"/>
      <c r="AV3575" s="2"/>
      <c r="AW3575" s="2"/>
      <c r="AX3575" s="2"/>
    </row>
    <row r="3576" spans="1:50" ht="12.75" x14ac:dyDescent="0.2">
      <c r="A3576" s="2"/>
      <c r="B3576" s="2"/>
      <c r="C3576" s="2"/>
      <c r="D3576" s="2"/>
      <c r="E3576" s="2"/>
      <c r="F3576" s="2"/>
      <c r="G3576" s="2"/>
      <c r="H3576" s="2"/>
      <c r="I3576" s="2"/>
      <c r="J3576" s="2"/>
      <c r="K3576" s="2"/>
      <c r="L3576" s="2"/>
      <c r="M3576" s="2"/>
      <c r="N3576" s="2"/>
      <c r="O3576" s="2"/>
      <c r="P3576" s="2"/>
      <c r="Q3576" s="2"/>
      <c r="R3576" s="2"/>
      <c r="S3576" s="2"/>
      <c r="T3576" s="2"/>
      <c r="U3576" s="2"/>
      <c r="V3576" s="2"/>
      <c r="W3576" s="2"/>
      <c r="X3576" s="2"/>
      <c r="Y3576" s="1"/>
      <c r="Z3576" s="1"/>
      <c r="AA3576" s="2"/>
      <c r="AB3576" s="2"/>
      <c r="AC3576" s="2"/>
      <c r="AD3576" s="2"/>
      <c r="AE3576" s="2"/>
      <c r="AF3576" s="2"/>
      <c r="AG3576" s="2"/>
      <c r="AH3576" s="2"/>
      <c r="AI3576" s="2"/>
      <c r="AJ3576" s="2"/>
      <c r="AK3576" s="2"/>
      <c r="AL3576" s="2"/>
      <c r="AM3576" s="2"/>
      <c r="AN3576" s="2"/>
      <c r="AO3576" s="2"/>
      <c r="AP3576" s="2"/>
      <c r="AQ3576" s="2"/>
      <c r="AR3576" s="2"/>
      <c r="AS3576" s="2"/>
      <c r="AT3576" s="2"/>
      <c r="AU3576" s="2"/>
      <c r="AV3576" s="2"/>
      <c r="AW3576" s="2"/>
      <c r="AX3576" s="2"/>
    </row>
  </sheetData>
  <conditionalFormatting sqref="I1:I3576">
    <cfRule type="cellIs" dxfId="2" priority="1" operator="greaterThan">
      <formula>3</formula>
    </cfRule>
  </conditionalFormatting>
  <conditionalFormatting sqref="J1:J3576">
    <cfRule type="cellIs" dxfId="1" priority="2" operator="greaterThan">
      <formula>0</formula>
    </cfRule>
  </conditionalFormatting>
  <conditionalFormatting sqref="Z1:Z3576">
    <cfRule type="notContainsBlanks" dxfId="0" priority="3">
      <formula>LEN(TRIM(Z1))&gt;0</formula>
    </cfRule>
  </conditionalFormatting>
  <hyperlinks>
    <hyperlink ref="K2" r:id="rId1" display="https://www.lmtonline.com/local/article/gun-shooting-shots-fired-police-crime-san-isidro-21058585.php" xr:uid="{00000000-0004-0000-0100-000000000000}"/>
    <hyperlink ref="K3" r:id="rId2" display="https://www.wkbn.com/news/local-news/youngstown-news/police-presence-near-stambaugh-stadium-in-youngstown/" xr:uid="{00000000-0004-0000-0100-000001000000}"/>
    <hyperlink ref="K4" r:id="rId3" display="https://www.sunherald.com/news/local/crime/article312179859.html" xr:uid="{00000000-0004-0000-0100-000002000000}"/>
    <hyperlink ref="K7" r:id="rId4" display="https://1819news.com/news/item/shooting-reported-outside-lanett-v-lafayette-game" xr:uid="{00000000-0004-0000-0100-000003000000}"/>
    <hyperlink ref="K8" r:id="rId5" display="https://wjla.com/news/local/story/shots-ring-out-during-st-charles-high-school-football-game-no-injuries-found-by-police-maryland-county-shooting-kids-juveniles-players-stadium" xr:uid="{00000000-0004-0000-0100-000004000000}"/>
    <hyperlink ref="K9" r:id="rId6" display="https://www.fox5dc.com/news/2-teens-shot-near-dc-charter-school-back-to-school-night-canceled" xr:uid="{00000000-0004-0000-0100-000005000000}"/>
    <hyperlink ref="K12" r:id="rId7" display="https://abc6onyourside.com/news/local/lindbergh-elementary-school-juvenile-shot-wounded-near-columbus-ohio" xr:uid="{00000000-0004-0000-0100-000006000000}"/>
    <hyperlink ref="K13" r:id="rId8" display="https://abc7.com/post/anaheim-police-involved-shooting-places-nearby-elementary-school-temporary-lockdown/17822879/" xr:uid="{00000000-0004-0000-0100-000007000000}"/>
    <hyperlink ref="K14" r:id="rId9" display="https://www.witn.com/2025/09/13/one-person-injured-shooting-southwest-edgecombe-tarboro-hs-football-game/" xr:uid="{00000000-0004-0000-0100-000008000000}"/>
    <hyperlink ref="K16" r:id="rId10" display="https://www.knoe.com/2025/09/12/teens-arrested-after-two-separate-incidents-west-ouachita-high-east-ouachita-middle/" xr:uid="{00000000-0004-0000-0100-000009000000}"/>
    <hyperlink ref="K17" r:id="rId11" display="https://coloradosun.com/2025/09/17/how-the-evergreen-high-school-shooting-unfolded-moment-by-moment/" xr:uid="{00000000-0004-0000-0100-00000A000000}"/>
    <hyperlink ref="K18" r:id="rId12" display="https://www.mlive.com/news/kalamazoo/2025/09/shooting-near-battle-creek-high-school-leaves-1-injured-multiple-schools-on-lockdown.html" xr:uid="{00000000-0004-0000-0100-00000B000000}"/>
    <hyperlink ref="K19" r:id="rId13" display="https://www.fox4news.com/news/father-shot-teen-fight-mesquite" xr:uid="{00000000-0004-0000-0100-00000C000000}"/>
    <hyperlink ref="K20" r:id="rId14" display="https://www.fox23.com/news/local/tpd-arrest-teen-accused-of-shooting-at-a-vehicle-in-a-school-parking-lot/article_24a44474-539e-43bb-957d-7fa51e076cca.html" xr:uid="{00000000-0004-0000-0100-00000D000000}"/>
    <hyperlink ref="K21" r:id="rId15" display="https://ktul.com/news/local/gallery/shots-fired-near-pryor-middle-school-3-boys-apprehended-police-department-jeremy-cantrell-report-gunshots-gunfire-in-pryor-creek-three-juviniles-taken-into-custody-released-to-guardians-charges-state-law" xr:uid="{00000000-0004-0000-0100-00000E000000}"/>
    <hyperlink ref="K23" r:id="rId16" display="https://www.9news.com/article/news/education/fight-gunfire-north-high-school-arrest-safety-changes/73-2cdadbbf-8989-447a-8159-e0bb30678557" xr:uid="{00000000-0004-0000-0100-00000F000000}"/>
    <hyperlink ref="K25" r:id="rId17" display="https://www.kshb.com/news/crime/police-boy-accidentally-fires-gun-thursday-outside-of-blue-valley-middle-school" xr:uid="{00000000-0004-0000-0100-000010000000}"/>
    <hyperlink ref="K27" r:id="rId18" display="https://abcnews.go.com/US/3-children-injured-annunciation-church-shooting-police/story?id=125158788" xr:uid="{00000000-0004-0000-0100-000011000000}"/>
    <hyperlink ref="K29" r:id="rId19" display="https://www.thv11.com/article/news/local/shots-fired-beebe-high-school/91-e67088ae-6718-4c66-8dff-31ee3131cfcb" xr:uid="{00000000-0004-0000-0100-000012000000}"/>
    <hyperlink ref="K32" r:id="rId20" display="https://www.actionnews5.com/2025/08/20/shots-fired-riverview-middle-school-one-woman-detained-police-say/" xr:uid="{00000000-0004-0000-0100-000013000000}"/>
    <hyperlink ref="K33" r:id="rId21" display="https://www.wlox.com/2025/08/20/gulfport-teen-15-arrested-after-firing-handgun-bus-police-say/" xr:uid="{00000000-0004-0000-0100-000014000000}"/>
    <hyperlink ref="K34" r:id="rId22" display="https://www.nwaonline.com/news/2025/aug/20/employee-of-little-rock-school-fatally-shot-in/" xr:uid="{00000000-0004-0000-0100-000015000000}"/>
    <hyperlink ref="K36" r:id="rId23" display="https://abc11.com/post/shots-fired-football-jamboree-southeast-raleigh-high-school/17552535/" xr:uid="{00000000-0004-0000-0100-000016000000}"/>
    <hyperlink ref="K37" r:id="rId24" display="https://www.11alive.com/article/news/education/student-allegedly-fires-gun-into-toilet-at-meadowcreek-elementary/85-771a69b5-eb01-4db5-b7d9-6e38c6a9299d" xr:uid="{00000000-0004-0000-0100-000017000000}"/>
    <hyperlink ref="K38" r:id="rId25" display="https://www.whas11.com/article/news/local/louisville-mayor-gives-passionate-plea-for-change-woman-killed-near-bus-stop/417-d394fe67-3d23-44d5-9074-3fee852bb376" xr:uid="{00000000-0004-0000-0100-000018000000}"/>
    <hyperlink ref="K39" r:id="rId26" display="https://www.wavy.com/news/local-news/virginia-beach/arrest-made-after-shots-fired-outside-virginia-beach-middle-school/" xr:uid="{00000000-0004-0000-0100-000019000000}"/>
    <hyperlink ref="K41" r:id="rId27" display="https://www.koin.com/news/crime/woman-flies-in-to-fight-shot-at-vancouver-school/" xr:uid="{00000000-0004-0000-0100-00001A000000}"/>
    <hyperlink ref="K42" r:id="rId28" display="https://www.whio.com/news/local/1-shot-while-walking-through-school-parking-lot-springfield/LAWODHRIOBBWVNYUUFF4HVO6KQ/" xr:uid="{00000000-0004-0000-0100-00001B000000}"/>
    <hyperlink ref="K44" r:id="rId29" display="https://abc7chicago.com/post/cpd-working-determine-motive-west-ridge-chicago-shooting-injured-teen-stone-scholastic-academy-soccer-field/17120134/" xr:uid="{00000000-0004-0000-0100-00001C000000}"/>
    <hyperlink ref="K45" r:id="rId30" display="https://newschannel9.com/news/local/heavy-police-presence-near-tyner-community-center" xr:uid="{00000000-0004-0000-0100-00001D000000}"/>
    <hyperlink ref="K46" r:id="rId31" display="https://www.wvtm13.com/article/birmingham-police-investigate-shooting-near-high-school/65389016" xr:uid="{00000000-0004-0000-0100-00001E000000}"/>
    <hyperlink ref="K47" r:id="rId32" display="https://whdh.com/news/police-investigating-after-17-year-old-seriously-injured-in-shooting-in-brockton/" xr:uid="{00000000-0004-0000-0100-00001F000000}"/>
    <hyperlink ref="K49" r:id="rId33" display="https://www.yahoo.com/news/man-29-gunned-down-outside-164200037.html" xr:uid="{00000000-0004-0000-0100-000020000000}"/>
    <hyperlink ref="K50" r:id="rId34" display="https://www.nbcphiladelphia.com/news/local/police-school-safety-officer-shot-in-road-rage-incident-in-penns-landing/4221825/" xr:uid="{00000000-0004-0000-0100-000021000000}"/>
    <hyperlink ref="K51" r:id="rId35" display="https://www.freep.com/story/news/local/michigan/detroit/2025/06/27/child-teenager-killed-triple-shooting-denby-high-school/84394657007/" xr:uid="{00000000-0004-0000-0100-000022000000}"/>
    <hyperlink ref="K52" r:id="rId36" display="https://www.koat.com/article/santa-fe-shooting-near-school/65209326" xr:uid="{00000000-0004-0000-0100-000023000000}"/>
    <hyperlink ref="K54" r:id="rId37" display="https://www.modbee.com/news/local/article309341525.html" xr:uid="{00000000-0004-0000-0100-000024000000}"/>
    <hyperlink ref="K55" r:id="rId38" display="https://www.denver7.com/news/crime/armed-man-dies-in-shooting-involving-denver-police-and-dps-officers-monday-night" xr:uid="{00000000-0004-0000-0100-000025000000}"/>
    <hyperlink ref="K56" r:id="rId39" display="https://ktla.com/news/local-news/juvenile-shot-during-fight-with-15-20-people-rialto-school-briefly-locks-down/" xr:uid="{00000000-0004-0000-0100-000026000000}"/>
    <hyperlink ref="K58" r:id="rId40" display="https://www.nj.com/union/2025/06/high-school-teacher-shot-with-paintball-gun-while-pulling-out-of-parking-lot-cops-say.html" xr:uid="{00000000-0004-0000-0100-000027000000}"/>
    <hyperlink ref="K59" r:id="rId41" display="https://kobi5.com/news/local-news/mpd-investigating-homicide-at-wilson-elementary-school-276546/" xr:uid="{00000000-0004-0000-0100-000028000000}"/>
    <hyperlink ref="K61" r:id="rId42" display="https://www.khon2.com/local-news/big-island-police-investigating-overnight-shooting/" xr:uid="{00000000-0004-0000-0100-000029000000}"/>
    <hyperlink ref="K64" r:id="rId43" display="https://hoodline.com/2025/05/detroit-authorities-investigate-shooting-near-mlk-jr-high-school-during-prom-send-off/" xr:uid="{00000000-0004-0000-0100-00002A000000}"/>
    <hyperlink ref="K66" r:id="rId44" display="https://fox8.com/news/teen-shot-at-akron-i-promise-school/" xr:uid="{00000000-0004-0000-0100-00002B000000}"/>
    <hyperlink ref="K70" r:id="rId45" display="https://www.wtvr.com/news/local-news/gunfire-chester-park-may-20-2025" xr:uid="{00000000-0004-0000-0100-00002C000000}"/>
    <hyperlink ref="K71" r:id="rId46" display="https://www.abc4.com/news/wasatch-front/kearns-high-school-parking-lot-murder/" xr:uid="{00000000-0004-0000-0100-00002D000000}"/>
    <hyperlink ref="K73" r:id="rId47" display="https://www.firstalert4.com/2025/05/16/shots-fired-near-high-school-graduation-ceremony-st-louis-city/" xr:uid="{00000000-0004-0000-0100-00002E000000}"/>
    <hyperlink ref="K74" r:id="rId48" display="https://www.news10.com/news/crime/schenectady-pd-investigating-after-bb-gun-pellet-strikes-school-bus-window/" xr:uid="{00000000-0004-0000-0100-00002F000000}"/>
    <hyperlink ref="K79" r:id="rId49" display="https://www.ksat.com/news/local/2025/05/08/im-terrified-for-the-children-parents-fearful-after-apparent-suicide-at-northwest-side-school/" xr:uid="{00000000-0004-0000-0100-000030000000}"/>
    <hyperlink ref="K80" r:id="rId50" display="https://www.myrtlebeachonline.com/news/local/crime/article307944380.html" xr:uid="{00000000-0004-0000-0100-000031000000}"/>
    <hyperlink ref="K81" r:id="rId51" display="https://www.ktvu.com/news/bullet-from-nearby-shooting-floods-east-oakland-school-cafeteria" xr:uid="{00000000-0004-0000-0100-000032000000}"/>
    <hyperlink ref="K84" r:id="rId52" display="https://www.nbcphiladelphia.com/news/local/live-updates-philadelphia-police-officer-shot-while-breaking-up-fight-sources-say/4179355/" xr:uid="{00000000-0004-0000-0100-000033000000}"/>
    <hyperlink ref="K85" r:id="rId53" display="https://www.wfmz.com/news/area/lehighvalley/lehigh-county/allentown-area/man-fires-shots-into-air-points-handgun-at-school-security-officer-allentown-police-say/article_ad0da329-acca-4872-a149-5a31f332c2d9.html" xr:uid="{00000000-0004-0000-0100-000034000000}"/>
    <hyperlink ref="K87" r:id="rId54" display="https://www.wxii12.com/article/shots-fired-parking-lot-carver-high-school/64649025" xr:uid="{00000000-0004-0000-0100-000035000000}"/>
    <hyperlink ref="K88" r:id="rId55" display="https://www.wusa9.com/article/news/crime/school-parking-lot-shooting-investigation-northeast-dc/65-156a5c32-7aa9-4805-9d88-dded4a9e32ec" xr:uid="{00000000-0004-0000-0100-000036000000}"/>
    <hyperlink ref="K89" r:id="rId56" display="https://www.fox32chicago.com/news/gun-fired-near-rolling-meadows-high-school-juvenile-custody" xr:uid="{00000000-0004-0000-0100-000037000000}"/>
    <hyperlink ref="K90" r:id="rId57" display="https://abc13.com/post/eisenhower-senior-high-school-students-seen-shooting-bayou-placing-campus-lockdown-aldine-isd-says/16286440/" xr:uid="{00000000-0004-0000-0100-000038000000}"/>
    <hyperlink ref="K91" r:id="rId58" display="https://patch.com/california/los-angeles/gun-discharge-classroom-prompts-lockdown-elementary-school" xr:uid="{00000000-0004-0000-0100-000039000000}"/>
    <hyperlink ref="K94" r:id="rId59" display="https://www.wlbt.com/2025/04/28/jim-hill-high-school-temporary-lockdown-due-external-threat/" xr:uid="{00000000-0004-0000-0100-00003A000000}"/>
    <hyperlink ref="K95" r:id="rId60" display="https://wreg.com/news/local/everybody-misses-them-memphis-grieves-2-killed-in-tragic-shooting/" xr:uid="{00000000-0004-0000-0100-00003B000000}"/>
    <hyperlink ref="K97" r:id="rId61" display="https://qns.com/2025/04/teen-shot-outside-ridgewood-school-tuesday/" xr:uid="{00000000-0004-0000-0100-00003C000000}"/>
    <hyperlink ref="K100" r:id="rId62" display="https://www.independentmail.com/story/news/local/2025/04/17/renaissance-academy-in-anderson-on-lockdown-shooting-reported-nearby/83143359007/" xr:uid="{00000000-0004-0000-0100-00003D000000}"/>
    <hyperlink ref="K101" r:id="rId63" display="https://abc7chicago.com/post/shooting-injures-teen-boy-east-87th-street-chicago-vocational-high-school-se-side-cpd/16180846/" xr:uid="{00000000-0004-0000-0100-00003E000000}"/>
    <hyperlink ref="K102" r:id="rId64" display="https://www.wdbj7.com/2025/04/18/student-who-shot-4-dallas-high-school-was-targeting-specific-student-school-police-chief-says/" xr:uid="{00000000-0004-0000-0100-00003F000000}"/>
    <hyperlink ref="K103" r:id="rId65" display="https://goldrushcam.com/sierrasuntimes/index.php/news/local-news/66433-turlock-police-respond-to-discovery-of-firearm-at-middle-school-after-maintenance-worker-finds-weapon" xr:uid="{00000000-0004-0000-0100-000040000000}"/>
    <hyperlink ref="K104" r:id="rId66" display="https://www.whec.com/top-news/large-police-presence-on-webster-avenue-in-city/" xr:uid="{00000000-0004-0000-0100-000041000000}"/>
    <hyperlink ref="K105" r:id="rId67" display="https://www.nbcdfw.com/news/local/crowley-isd-elementary-school-closed-monday-due-to-nearby-police-investigation/3816298/" xr:uid="{00000000-0004-0000-0100-000042000000}"/>
    <hyperlink ref="K106" r:id="rId68" display="https://abc7chicago.com/post/little-village-chicago-shooting-today-woman-shot-during-fight-street-4300-block-west-25th-place-police-department-says/16174329/" xr:uid="{00000000-0004-0000-0100-000043000000}"/>
    <hyperlink ref="K107" r:id="rId69" display="https://www.wdtn.com/news/local-news/riverside-pd-looking-for-man-who-fired-gunshots-near-school/" xr:uid="{00000000-0004-0000-0100-000044000000}"/>
    <hyperlink ref="K108" r:id="rId70" display="https://www.fox13memphis.com/education/teen-girl-shot-in-park-leading-to-lockdown-at-overton-high-school/article_e4fbf905-3129-4b15-892d-0e3faf2d2950.html" xr:uid="{00000000-0004-0000-0100-000045000000}"/>
    <hyperlink ref="K112" r:id="rId71" display="https://www.click2houston.com/news/local/2025/04/10/shooting-near-wisdom-high-school-sends-two-students-to-hospital-in-southwest-houston/" xr:uid="{00000000-0004-0000-0100-000046000000}"/>
    <hyperlink ref="K113" r:id="rId72" display="https://komonews.com/news/local/school-shooting-lakeland-elementary-federal-way-district-13-year-old-suspect-released-juvenile-detention-king-county-sheriffs-office-parents-concerned-safety" xr:uid="{00000000-0004-0000-0100-000047000000}"/>
    <hyperlink ref="K114" r:id="rId73" display="https://www.wdsu.com/article/new-orleans-police-arrest-man-dolores-aaron-school-gun/64422267" xr:uid="{00000000-0004-0000-0100-000048000000}"/>
    <hyperlink ref="K115" r:id="rId74" display="https://www.fox13seattle.com/news/juvenile-shot-king-county-middle-school" xr:uid="{00000000-0004-0000-0100-000049000000}"/>
    <hyperlink ref="K118" r:id="rId75" display="https://apnews.com/article/priest-shot-killed-seneca-kansas-f418a0f3933baaef73b359e32abd8363" xr:uid="{00000000-0004-0000-0100-00004A000000}"/>
    <hyperlink ref="K119" r:id="rId76" display="https://www.justice.gov/usao-ut/pr/felon-indicted-discharging-firearm-school-zone" xr:uid="{00000000-0004-0000-0100-00004B000000}"/>
    <hyperlink ref="K120" r:id="rId77" display="https://longisland.news12.com/police-2-students-arrested-after-displaying-bb-gun-at-valley-stream-north-high-school" xr:uid="{00000000-0004-0000-0100-00004C000000}"/>
    <hyperlink ref="K121" r:id="rId78" display="https://www.wdam.com/2025/04/03/student-shot-by-pellet-gun-during-baseball-practice-jones-county-school-district-says/" xr:uid="{00000000-0004-0000-0100-00004D000000}"/>
    <hyperlink ref="K122" r:id="rId79" display="https://ktla.com/news/local-news/2-women-dead-after-gunshots-crash-near-elementary-school-in-compton/" xr:uid="{00000000-0004-0000-0100-00004E000000}"/>
    <hyperlink ref="K123" r:id="rId80" display="https://www.kens5.com/article/news/local/body-found-jefferson-high-school-san-antonio-texas/273-e6c950cb-9b47-4865-a401-0af8aae76952" xr:uid="{00000000-0004-0000-0100-00004F000000}"/>
    <hyperlink ref="K126" r:id="rId81" display="https://brooklyn.news12.com/nypd-shots-fired-near-playground-in-crown-heights-prompts-shelter-in-place-at-ps-316" xr:uid="{00000000-0004-0000-0100-000050000000}"/>
    <hyperlink ref="K127" r:id="rId82" display="https://www.actionnews5.com/2025/03/24/girl-shot-near-north-memphis-charter-schools-police-say/" xr:uid="{00000000-0004-0000-0100-000051000000}"/>
    <hyperlink ref="K128" r:id="rId83" display="https://www.10tv.com/article/news/local/franklinton-school-lockdown-after-shots-fired-area-police-say/530-85dbad85-af9c-453c-8243-0fdf6d646fda" xr:uid="{00000000-0004-0000-0100-000052000000}"/>
    <hyperlink ref="K131" r:id="rId84" display="https://www.wxii12.com/article/carver-high-school-shots-fired-baseball-field-wsfcs/64369438" xr:uid="{00000000-0004-0000-0100-000053000000}"/>
    <hyperlink ref="K133" r:id="rId85" display="https://www.click2houston.com/news/local/2025/03/17/teen-shot-to-death-in-galena-park-person-of-interest-arrested/" xr:uid="{00000000-0004-0000-0100-000054000000}"/>
    <hyperlink ref="K135" r:id="rId86" display="https://www.cbsnews.com/losangeles/news/two-arrested-for-armed-robbery-at-moreno-valley-high-school/" xr:uid="{00000000-0004-0000-0100-000055000000}"/>
    <hyperlink ref="K138" r:id="rId87" display="https://www.mytexasdaily.com/south-texas/hondo-police-respond-to-firearm-disturbance-at-high-school-softball-game/article_3288f610-bfbb-5e6d-b357-61e059da846d.html" xr:uid="{00000000-0004-0000-0100-000056000000}"/>
    <hyperlink ref="K139" r:id="rId88" display="https://kool1079.com/bookcliff-middle-school-gun-arrest/" xr:uid="{00000000-0004-0000-0100-000057000000}"/>
    <hyperlink ref="K140" r:id="rId89" display="https://www.wsmv.com/2025/03/06/tn-high-school-closed-after-teacher-found-dead/" xr:uid="{00000000-0004-0000-0100-000058000000}"/>
    <hyperlink ref="K144" r:id="rId90" display="https://www.chicagotribune.com/2025/03/04/15-year-old-girl-wounded-tuesday-morning-in-drive-by-shooting-near-school/" xr:uid="{00000000-0004-0000-0100-000059000000}"/>
    <hyperlink ref="K146" r:id="rId91" display="https://abc7chicago.com/post/south-elgin-shooting-shots-fired-fox-meadow-elementary-school-jenna-drive-police-say-no-injuries-reported/15953649/" xr:uid="{00000000-0004-0000-0100-00005A000000}"/>
    <hyperlink ref="K149" r:id="rId92" display="https://www.wrdw.com/2025/02/21/teen-charged-with-pointing-gun-students-outside-millen-school/" xr:uid="{00000000-0004-0000-0100-00005B000000}"/>
    <hyperlink ref="K150" r:id="rId93" display="https://kfor.com/news/local/oklahoma-city-police-says-tuesday-night-shooting-was-a-gun-battle-leaving-two-dead/" xr:uid="{00000000-0004-0000-0100-00005C000000}"/>
    <hyperlink ref="K153" r:id="rId94" display="https://www.wbaltv.com/article/shots-fired-call-woodlawn-high-school-shelter-in-place/63707105" xr:uid="{00000000-0004-0000-0100-00005D000000}"/>
    <hyperlink ref="K156" r:id="rId95" display="https://www.clickondetroit.com/news/local/2025/02/09/michigan-officers-hit-aggressive-dogs-with-car-fatally-shoot-1-near-school-playground-police-say/" xr:uid="{00000000-0004-0000-0100-00005E000000}"/>
    <hyperlink ref="K159" r:id="rId96" display="https://abc7chicago.com/post/chicago-shooting-1-killed-1-injured-austin-duke-ellington-elementary-school-fire-department-says/15852231/" xr:uid="{00000000-0004-0000-0100-00005F000000}"/>
    <hyperlink ref="K160" r:id="rId97" display="https://www.wbir.com/article/news/crime/shots-fired-near-madisonville-primary-school/51-1e2bb28a-22e2-4a32-89b3-2450874d0bb0" xr:uid="{00000000-0004-0000-0100-000060000000}"/>
    <hyperlink ref="K161" r:id="rId98" display="https://komonews.com/news/local/teen-accused-of-firing-gun-during-argument-at-kent-high-school-shooting-student-police-crime-missing-investigation-washington" xr:uid="{00000000-0004-0000-0100-000061000000}"/>
    <hyperlink ref="K162" r:id="rId99" display="https://www.wndu.com/2025/01/27/shooting-investigation-near-monroe-primary-school-south-bend/" xr:uid="{00000000-0004-0000-0100-000062000000}"/>
    <hyperlink ref="K164" r:id="rId100" display="https://www.wusa9.com/article/news/crime/northeast-dc-police-investigate-shooting-near-high-school/65-3e05674b-27eb-4bbb-a0c5-3483e92da522" xr:uid="{00000000-0004-0000-0100-000063000000}"/>
    <hyperlink ref="K165" r:id="rId101" display="https://www.wsmv.com/2025/05/02/antioch-school-shooter-signed-paperwork-not-have-gun-morning-shooting-juvenile-criminal-records-show/" xr:uid="{00000000-0004-0000-0100-000064000000}"/>
    <hyperlink ref="K166" r:id="rId102" display="https://www.wbbjtv.com/2025/01/16/jmcss-issues-statement-following-shooting-near-northeast-middle/" xr:uid="{00000000-0004-0000-0100-000065000000}"/>
    <hyperlink ref="K167" r:id="rId103" display="https://www.13newsnow.com/article/news/crime/accidental-self-shooting-hampton-elementary-school/291-9a81625d-c573-48ae-837d-ef27cf82dbb4" xr:uid="{00000000-0004-0000-0100-000066000000}"/>
    <hyperlink ref="K168" r:id="rId104" display="https://www.themountainpress.com/news/state/grandmother-charged-after-shooting-ground-outside-school/article_3130738f-04c8-5cd0-89a1-9a4078cbebc0.html" xr:uid="{00000000-0004-0000-0100-000067000000}"/>
    <hyperlink ref="K170" r:id="rId105" display="https://westchester.news12.com/district-reports-of-shots-fired-near-newburgh-free-academy-forces-temporary-lockout" xr:uid="{00000000-0004-0000-0100-000068000000}"/>
    <hyperlink ref="K171" r:id="rId106" display="https://www.wtnh.com/news/connecticut/hartford/suspect-in-custody-after-walking-near-playground-at-a-manchester-elementary-school-with-an-airsoft-rifle/" xr:uid="{00000000-0004-0000-0100-000069000000}"/>
    <hyperlink ref="K172" r:id="rId107" display="https://www.abc4.com/news/wasatch-front/teen-arrested-after-allegedly-brandishing-a-firearm-at-springville-high-school/" xr:uid="{00000000-0004-0000-0100-00006A000000}"/>
    <hyperlink ref="K173" r:id="rId108" display="https://www.kgw.com/article/news/crime/2-teens-shot-southeast-portland/283-9b1e5f77-a293-466b-a32b-e2acc682e5fd" xr:uid="{00000000-0004-0000-0100-00006B000000}"/>
    <hyperlink ref="K174" r:id="rId109" display="https://www.cbsnews.com/newyork/news/brooklyn-shooting-near-school/" xr:uid="{00000000-0004-0000-0100-00006C000000}"/>
    <hyperlink ref="K175" r:id="rId110" display="https://www.wtnh.com/news/police-one-shot-at-central-high-school-in-bridgeport/" xr:uid="{00000000-0004-0000-0100-00006D000000}"/>
    <hyperlink ref="K176" r:id="rId111" display="https://www.fox29.com/news/2-hospitalized-after-shooting-near-philly-middle-school-officials" xr:uid="{00000000-0004-0000-0100-00006E000000}"/>
    <hyperlink ref="K180" r:id="rId112" display="https://www.palmbeachpost.com/story/news/crime/2025/04/30/florida-man-posing-as-deputy-fantasized-about-violence-with-abundant-life-school-shooter-rupnow/83363141007/" xr:uid="{00000000-0004-0000-0100-00006F000000}"/>
    <hyperlink ref="K181" r:id="rId113" display="https://www.chattanoogan.com/2024/12/16/496751/Police-Investigating-Shots-Fired-Near.aspx" xr:uid="{00000000-0004-0000-0100-000070000000}"/>
    <hyperlink ref="K184" r:id="rId114" display="https://fox17.com/news/local/shot-fired-into-air-near-nashville-middle-school-after-sro-breaks-up-fight-off-campus" xr:uid="{00000000-0004-0000-0100-000071000000}"/>
    <hyperlink ref="K185" r:id="rId115" display="https://www.hawaiinewsnow.com/2024/12/11/21-year-old-man-seriously-injured-after-apparent-shooting-kalihi/" xr:uid="{00000000-0004-0000-0100-000072000000}"/>
    <hyperlink ref="K187" r:id="rId116" display="https://www.ksat.com/news/local/2024/12/12/death-of-sapd-officer-initially-reported-as-accidental-ruled-a-suicide-sapd-says/" xr:uid="{00000000-0004-0000-0100-000073000000}"/>
    <hyperlink ref="K189" r:id="rId117" display="https://www.yahoo.com/news/duo-charged-hunting-shooting-gun-000722483.html" xr:uid="{00000000-0004-0000-0100-000074000000}"/>
    <hyperlink ref="K190" r:id="rId118" display="https://www.keloland.com/news/local-news/dci-investigates-officer-involved-shooting-at-yankton-school/" xr:uid="{00000000-0004-0000-0100-000075000000}"/>
    <hyperlink ref="K191" r:id="rId119" display="https://mynews4.com/news/local/two-carson-high-school-students-arrested-after-shooting-paintball-gun-on-campus" xr:uid="{00000000-0004-0000-0100-000076000000}"/>
    <hyperlink ref="K192" r:id="rId120" display="https://patch.com/new-york/brooklyn/17-year-old-shot-near-crown-heights-high-school-nypd" xr:uid="{00000000-0004-0000-0100-000077000000}"/>
    <hyperlink ref="K195" r:id="rId121" display="https://hayspost.com/posts/05bd50bb-d91b-48e8-ae71-be2770a24dcf" xr:uid="{00000000-0004-0000-0100-000078000000}"/>
    <hyperlink ref="K196" r:id="rId122" display="https://idfg.idaho.gov/article/white-tailed-deer-shot-orofino-elementary-parking-lot-nov-26" xr:uid="{00000000-0004-0000-0100-000079000000}"/>
    <hyperlink ref="K197" r:id="rId123" display="https://www.10tv.com/article/news/crime/weinland-park-shooting-north-4th-street-columbus-suspect-arrested/530-fbe47df5-dab0-4c2a-9b18-bc236f81a32c" xr:uid="{00000000-0004-0000-0100-00007A000000}"/>
    <hyperlink ref="K198" r:id="rId124" display="https://www.nbc4i.com/news/local-news/columbus/one-dead-in-downtown-columbus-shooting/" xr:uid="{00000000-0004-0000-0100-00007B000000}"/>
    <hyperlink ref="K199" r:id="rId125" display="https://www.wfaa.com/article/news/crime/one-person-shot-outside-mesquite-texas-elementary-school-police/287-36536b23-0d20-47a3-9799-4c0a3e31add7" xr:uid="{00000000-0004-0000-0100-00007C000000}"/>
    <hyperlink ref="K200" r:id="rId126" display="https://www.mercurynews.com/2024/12/12/police-student-wounded-at-an-oakland-high-school-in-apparent-accidental-shooting/" xr:uid="{00000000-0004-0000-0100-00007D000000}"/>
    <hyperlink ref="K201" r:id="rId127" display="https://www.ctpost.com/news/article/new-haven-shooting-teen-hillhouse-19937015.php" xr:uid="{00000000-0004-0000-0100-00007E000000}"/>
    <hyperlink ref="K202" r:id="rId128" display="https://wjla.com/news/local/teen-juvenile-shooting-dc-southeast-eastern-high-school-apartment-prince-georges-county-alley-crime-injuries-gunshot-wound-east-street-chase-injuries-crime-impact" xr:uid="{00000000-0004-0000-0100-00007F000000}"/>
    <hyperlink ref="K203" r:id="rId129" display="https://baynews9.com/fl/tampa/news/2024/12/10/teen-arrested-after-shooting-flare-gun-onto-crowded-soccer-field" xr:uid="{00000000-0004-0000-0100-000080000000}"/>
    <hyperlink ref="K204" r:id="rId130" display="https://cdispatch.com/news/man-injured-school-bus-hit-in-northside-shooting/" xr:uid="{00000000-0004-0000-0100-000081000000}"/>
    <hyperlink ref="K205" r:id="rId131" display="https://www.localmemphis.com/article/news/crime/shooting-central-high-school/522-28601705-6306-457d-b1ce-b4e0057bc8f0" xr:uid="{00000000-0004-0000-0100-000082000000}"/>
    <hyperlink ref="K207" r:id="rId132" display="https://theaugustapress.com/rcso-respond-to-shooting-incident-near-t-w-josey-high-school/" xr:uid="{00000000-0004-0000-0100-000083000000}"/>
    <hyperlink ref="K210" r:id="rId133" display="https://www.cbsnews.com/chicago/news/staff-stop-potential-school-shooting-in-kenosha-wisconsin/" xr:uid="{00000000-0004-0000-0100-000084000000}"/>
    <hyperlink ref="K211" r:id="rId134" display="https://www.fox13now.com/news/local-news/northern-utah/police-seeking-information-after-teen-shot-injured-at-west-high-school" xr:uid="{00000000-0004-0000-0100-000085000000}"/>
    <hyperlink ref="K212" r:id="rId135" display="https://www.delawareonline.com/story/news/local/2024/11/07/delaware-stanton-middle-school-constables-gun-accidentally-fires-no-injuries/76108171007/" xr:uid="{00000000-0004-0000-0100-000086000000}"/>
    <hyperlink ref="K213" r:id="rId136" display="https://wgntv.com/news/chicagocrime/man-shot-while-driving-near-west-side-elementary-school/" xr:uid="{00000000-0004-0000-0100-000087000000}"/>
    <hyperlink ref="K214" r:id="rId137" display="https://www.statesmanjournal.com/story/news/local/2024/11/05/hunting-rifle-scio-school-drop-off/76074435007/" xr:uid="{00000000-0004-0000-0100-000088000000}"/>
    <hyperlink ref="K216" r:id="rId138" display="https://www.wxii12.com/article/bb-gun-shot-bus-cameron-avenue-winston-salem-police/62807311" xr:uid="{00000000-0004-0000-0100-000089000000}"/>
    <hyperlink ref="K217" r:id="rId139" display="https://13wham.com/news/local/school-bus-carrying-students-to-aquinas-shot-at-hit-by-gunfire-shooting-in-east-irondequoit-central-school-district-rochester-route-104-portland-avenue" xr:uid="{00000000-0004-0000-0100-00008A000000}"/>
    <hyperlink ref="K218" r:id="rId140" display="https://www.cbsnews.com/chicago/news/shooting-school-chicago-uptown-neighborhood/" xr:uid="{00000000-0004-0000-0100-00008B000000}"/>
    <hyperlink ref="K219" r:id="rId141" display="https://www.news5cleveland.com/news/local-news/suspended-cle-officer-pleads-guilty-to-charges-in-connection-to-a-shot-fired-in-lake-co-school-parking-lot" xr:uid="{00000000-0004-0000-0100-00008C000000}"/>
    <hyperlink ref="K220" r:id="rId142" display="https://www.waka.com/2024/10/30/woman-charged-in-school-shooting-incident-in-wilcox-co/" xr:uid="{00000000-0004-0000-0100-00008D000000}"/>
    <hyperlink ref="K222" r:id="rId143" display="https://www.wyff4.com/article/union-county-sc-shooting-3-shot-along-highway/62728582" xr:uid="{00000000-0004-0000-0100-00008E000000}"/>
    <hyperlink ref="K223" r:id="rId144" display="https://archive.is/XlphN" xr:uid="{00000000-0004-0000-0100-00008F000000}"/>
    <hyperlink ref="K226" r:id="rId145" display="https://www.wdam.com/2024/10/23/west-jones-elementary-incident-adds-unease-after-weekend-shooting-ensuing-alleged-threats/" xr:uid="{00000000-0004-0000-0100-000090000000}"/>
    <hyperlink ref="K232" r:id="rId146" display="https://www.al.com/news/2024/10/birmingham-man-gunned-down-in-high-school-parking-lot-in-selma.html" xr:uid="{00000000-0004-0000-0100-000091000000}"/>
    <hyperlink ref="K233" r:id="rId147" display="https://www.hawaiinewsnow.com/2024/10/19/man-arrested-after-allegedly-firing-bb-gun-cars-near-elementary-school/" xr:uid="{00000000-0004-0000-0100-000092000000}"/>
    <hyperlink ref="K234" r:id="rId148" display="https://www.delawareonline.com/story/news/2024/10/18/dover-police-respond-to-shot-fired-after-dover-football-game/75743495007/" xr:uid="{00000000-0004-0000-0100-000093000000}"/>
    <hyperlink ref="K235" r:id="rId149" display="https://www.theadvocate.com/acadiana/news/crime_police/construction-worker-accidentally-shoots-himself-on-lafayette-high-school-campus/article_7e234a80-8d5b-11ef-bfd0-a7ff871461a2.html" xr:uid="{00000000-0004-0000-0100-000094000000}"/>
    <hyperlink ref="K236" r:id="rId150" display="https://www.kptv.com/2024/10/18/1-shot-behind-islamic-school-portland-alleged-shooter-custody/" xr:uid="{00000000-0004-0000-0100-000095000000}"/>
    <hyperlink ref="K237" r:id="rId151" display="https://www.whas11.com/article/news/education/jcps-student-injured-shooting-themselves-atherton-high-school-parking-lot/417-0a3f71d5-01e8-45f7-9a32-98bd671d15ae" xr:uid="{00000000-0004-0000-0100-000096000000}"/>
    <hyperlink ref="K238" r:id="rId152" display="https://www.nydailynews.com/2024/10/30/teen-shot-on-brooklyn-basketball-court-dies-2-weeks-later-boy-15-charged/" xr:uid="{00000000-0004-0000-0100-000097000000}"/>
    <hyperlink ref="K239" r:id="rId153" display="https://whnt.com/community/school-officials-say-parent-pulled-gun-during-argument-in-huntsville-high-parking-lot/" xr:uid="{00000000-0004-0000-0100-000098000000}"/>
    <hyperlink ref="K240" r:id="rId154" display="https://www.kfdm.com/news/local/witness-and-parent-react-to-shooting-near-west-orange-stark-middle-school" xr:uid="{00000000-0004-0000-0100-000099000000}"/>
    <hyperlink ref="K242" r:id="rId155" display="https://newschannel9.com/news/local/teen-suspect-charged-with-firing-shots-near-ooltewah-high-school-football-game-friday" xr:uid="{00000000-0004-0000-0100-00009A000000}"/>
    <hyperlink ref="K243" r:id="rId156" display="https://www.wsbtv.com/news/local/douglas-county/shots-fired-near-douglas-county-high-school/A2ADI3XJDBBLXIZ3L2RUG53NXM/" xr:uid="{00000000-0004-0000-0100-00009B000000}"/>
    <hyperlink ref="K244" r:id="rId157" display="https://www.fox4news.com/news/shots-fired-near-dallas-school-prompt-lockdown" xr:uid="{00000000-0004-0000-0100-00009C000000}"/>
    <hyperlink ref="K247" r:id="rId158" display="https://www.wzzm13.com/article/news/crime/muskegon-police-investigating-shots-fired-near-elementary-school-reports-man-with-ar-15/69-36d6b724-459a-4a07-bb03-69ad9ee0fef5" xr:uid="{00000000-0004-0000-0100-00009D000000}"/>
    <hyperlink ref="K248" r:id="rId159" display="https://www.rochesterfirst.com/news/rpd/rochester-police-investigate-person-found-dead-on-flint-st/" xr:uid="{00000000-0004-0000-0100-00009E000000}"/>
    <hyperlink ref="K249" r:id="rId160" display="https://www.fox4news.com/news/mesquite-police-shooting-poteet-high-school" xr:uid="{00000000-0004-0000-0100-00009F000000}"/>
    <hyperlink ref="K251" r:id="rId161" display="https://wibc.com/462558/update-two-men-shot-at-cardinal-ritter-high-school-began-as-argument/" xr:uid="{00000000-0004-0000-0100-0000A0000000}"/>
    <hyperlink ref="K253" r:id="rId162" display="https://www.nbclosangeles.com/news/local/bellflower-shooting-saint-john-bosco-high-school/3528620/" xr:uid="{00000000-0004-0000-0100-0000A1000000}"/>
    <hyperlink ref="K254" r:id="rId163" display="https://myfox8.com/news/north-carolina/piedmont-triad/woman-accused-of-firing-gunshot-on-carver-high-school-property-in-forsyth-county-after-homecoming-football-game/" xr:uid="{00000000-0004-0000-0100-0000A2000000}"/>
    <hyperlink ref="K255" r:id="rId164" display="https://unfilteredwithkiran.com/west-feliciana-14-year-old-student-arrested-after-gun-goes-off-in-back-pack/" xr:uid="{00000000-0004-0000-0100-0000A3000000}"/>
    <hyperlink ref="K256" r:id="rId165" display="https://www.cbsnews.com/chicago/news/boy-shot-outside-high-school-chicago-south-side/" xr:uid="{00000000-0004-0000-0100-0000A4000000}"/>
    <hyperlink ref="K257" r:id="rId166" display="https://www.sandiegouniontribune.com/2024/10/01/19-year-old-injured-in-oceanside-shooting-near-middle-school/" xr:uid="{00000000-0004-0000-0100-0000A5000000}"/>
    <hyperlink ref="K259" r:id="rId167" display="https://www.fox6now.com/news/wisconsin-lutheran-football-game-security-shooting" xr:uid="{00000000-0004-0000-0100-0000A6000000}"/>
    <hyperlink ref="K260" r:id="rId168" display="https://www.wfmz.com/news/area/lehighvalley/governor-wolf-elementary-school-to-be-closed-friday-after-nearby-shooting-incident/article_185fd4c8-7cc8-11ef-b046-cb8a887d40f5.html" xr:uid="{00000000-0004-0000-0100-0000A7000000}"/>
    <hyperlink ref="K262" r:id="rId169" display="https://firststateupdate.com/2024/09/gunfire-near-charter-school-leads-to-arrest/" xr:uid="{00000000-0004-0000-0100-0000A8000000}"/>
    <hyperlink ref="K263" r:id="rId170" display="https://fox4kc.com/news/developing-officers-find-two-people-shot-near-kansas-city-school/" xr:uid="{00000000-0004-0000-0100-0000A9000000}"/>
    <hyperlink ref="K265" r:id="rId171" display="https://www.ksat.com/news/local/2024/09/26/video-shows-gun-pulled-outside-of-san-antonio-isd-high-school-during-fight/" xr:uid="{00000000-0004-0000-0100-0000AA000000}"/>
    <hyperlink ref="K267" r:id="rId172" display="https://abc7chicago.com/post/chicago-shooting-15-year-old-boy-shot-critically-injured-south-wolcott-avenue-west-englewood-police-say/15341448/" xr:uid="{00000000-0004-0000-0100-0000AB000000}"/>
    <hyperlink ref="K268" r:id="rId173" display="https://6abc.com/post/police-investigating-after-mans-body-found-martin-luther-king-high-school-philadelphias-west-mt-airy-section/15343081/" xr:uid="{00000000-0004-0000-0100-0000AC000000}"/>
    <hyperlink ref="K270" r:id="rId174" display="https://www.cenlanow.com/news/crime/deridder-teen-shot-during-high-school-band-practice/" xr:uid="{00000000-0004-0000-0100-0000AD000000}"/>
    <hyperlink ref="K271" r:id="rId175" display="https://www.ksat.com/news/local/2024/09/22/brackenridge-jrotc-students-help-school-resource-officer-after-accidental-shooting/" xr:uid="{00000000-0004-0000-0100-0000AE000000}"/>
    <hyperlink ref="K275" r:id="rId176" display="https://www.yahoo.com/news/boy-14-wounded-shooting-outside-001300491.html" xr:uid="{00000000-0004-0000-0100-0000AF000000}"/>
    <hyperlink ref="K276" r:id="rId177" display="https://www.actionnews5.com/2024/09/16/police-shoot-kill-man-accused-carjacking/" xr:uid="{00000000-0004-0000-0100-0000B0000000}"/>
    <hyperlink ref="K278" r:id="rId178" display="https://www.11alive.com/article/news/crime/shots-fired-frederick-douglass-high-campus-car-follows-school-bus-engages-fight-with-students/85-bb8b6ad7-01b7-4f24-9681-b8711d7ac443" xr:uid="{00000000-0004-0000-0100-0000B1000000}"/>
    <hyperlink ref="K279" r:id="rId179" display="https://www.ozarksfirst.com/news/parent-frustrations-swell-after-truman-elementary-situation/" xr:uid="{00000000-0004-0000-0100-0000B2000000}"/>
    <hyperlink ref="K282" r:id="rId180" display="https://www.wrganews.com/2024/09/12/lafayette-police-officer-accidentally-shoots-himself-while-assisting-with-threat-call-at-trion-school/" xr:uid="{00000000-0004-0000-0100-0000B3000000}"/>
    <hyperlink ref="K287" r:id="rId181" display="https://panhandlenewsnetwork.com/2024/09/06/shooting-confirmed-near-martinsburg-high-school-football-game/" xr:uid="{00000000-0004-0000-0100-0000B4000000}"/>
    <hyperlink ref="K288" r:id="rId182" display="https://www.baltimoresun.com/2024/09/06/joppatowne-school-suspected-shooting-at-joppatowne-high-school/" xr:uid="{00000000-0004-0000-0100-0000B5000000}"/>
    <hyperlink ref="K289" r:id="rId183" display="https://www.cbsnews.com/newyork/news/bronx-teacher-grazed-by-bullet/" xr:uid="{00000000-0004-0000-0100-0000B6000000}"/>
    <hyperlink ref="K290" r:id="rId184" display="https://www.kbtx.com/2024/09/07/school-district-employee-arrested-after-pointing-gun-students-head-police-say/" xr:uid="{00000000-0004-0000-0100-0000B7000000}"/>
    <hyperlink ref="K291" r:id="rId185" display="https://www.cbsnews.com/news/georgia-school-shooting-colt-gray-backpack-rifle/" xr:uid="{00000000-0004-0000-0100-0000B8000000}"/>
    <hyperlink ref="K293" r:id="rId186" display="https://www.newyorkupstate.com/central-ny/2024/09/gun-fired-outside-upstate-ny-elementary-school-during-open-house-unintentional-negligent.html" xr:uid="{00000000-0004-0000-0100-0000B9000000}"/>
    <hyperlink ref="K295" r:id="rId187" display="https://www.clickondetroit.com/news/local/2024/09/01/romulus-police-say-shots-fired-in-parking-lot-after-high-school-football-game/" xr:uid="{00000000-0004-0000-0100-0000BA000000}"/>
    <hyperlink ref="K297" r:id="rId188" display="https://www.cbsnews.com/pittsburgh/news/woodland-hills-penn-hills-football-game-incident/" xr:uid="{00000000-0004-0000-0100-0000BB000000}"/>
    <hyperlink ref="K298" r:id="rId189" display="https://newschannel9.com/news/local/shots-fired-near-high-school-in-walker-county-after-argument-brews-during-friday-football" xr:uid="{00000000-0004-0000-0100-0000BC000000}"/>
    <hyperlink ref="K300" r:id="rId190" display="https://www.nebraska.tv/news/local/who-shot-the-scoreboard-hall-county-sheriff-investigates-high-school-vandalism" xr:uid="{00000000-0004-0000-0100-0000BD000000}"/>
    <hyperlink ref="K301" r:id="rId191" display="https://www.justice.gov/usao-sdny/pr/four-bronx-men-charged-federal-firearms-offenses-engaging-school-zone-shootout" xr:uid="{00000000-0004-0000-0100-0000BE000000}"/>
    <hyperlink ref="K302" r:id="rId192" display="https://www.bibbvoice.com/2024/08/29/shots-fired-during-school-class-event-on-duff-road/" xr:uid="{00000000-0004-0000-0100-0000BF000000}"/>
    <hyperlink ref="K303" r:id="rId193" display="https://wgntv.com/news/chicagocrime/teen-shot-in-parking-lot-of-gately-park-stadium/" xr:uid="{00000000-0004-0000-0100-0000C0000000}"/>
    <hyperlink ref="K304" r:id="rId194" display="https://www.ksdk.com/article/news/crime/lemay-teen-shot-killed/63-b212f661-18da-40d1-a6cb-d135312d1375" xr:uid="{00000000-0004-0000-0100-0000C1000000}"/>
    <hyperlink ref="K306" r:id="rId195" display="https://www.wwltv.com/article/news/crime/baton-rouge-man-arrested-threatening-school-bus-children-body-armor-carrying-a-gun/289-c0ba0e93-14f0-4ec9-9b22-da5f4b59c071" xr:uid="{00000000-0004-0000-0100-0000C2000000}"/>
    <hyperlink ref="K307" r:id="rId196" display="https://www.wibw.com/2024/08/21/police-investigate-report-school-bus-shot-by-pellet-gun-tuesday-afternoon-east-topeka/" xr:uid="{00000000-0004-0000-0100-0000C3000000}"/>
    <hyperlink ref="K308" r:id="rId197" display="https://www.ksla.com/2024/08/20/man-shot-bossier-high-parking-lot-preseason-game-underway-time/" xr:uid="{00000000-0004-0000-0100-0000C4000000}"/>
    <hyperlink ref="K309" r:id="rId198" location="selection-1481.223-1481.242" display="https://archive.is/I7Vn2 - selection-1481.223-1481.242" xr:uid="{00000000-0004-0000-0100-0000C5000000}"/>
    <hyperlink ref="K311" r:id="rId199" display="https://www.nbcphiladelphia.com/news/local/1-dead-1-hurt-in-double-shooting-near-school-in-phillys-olney-neighborhood/3946837/" xr:uid="{00000000-0004-0000-0100-0000C6000000}"/>
    <hyperlink ref="K314" r:id="rId200" display="https://theaugustapress.com/laney-westside-football-game-cancelled-late-in-third-quarter-after-reported-gun-shots/" xr:uid="{00000000-0004-0000-0100-0000C7000000}"/>
    <hyperlink ref="K315" r:id="rId201" display="https://www.syracuse.com/news/2024/08/school-bus-hit-by-bullet-in-syracuse-no-kids-injured-police-say.html" xr:uid="{00000000-0004-0000-0100-0000C8000000}"/>
    <hyperlink ref="K316" r:id="rId202" display="https://www.wdbj7.com/2024/08/12/charges-pending-after-accidental-shooting-galax-high-school/" xr:uid="{00000000-0004-0000-0100-0000C9000000}"/>
    <hyperlink ref="K317" r:id="rId203" display="https://www.kvoa.com/news/shooting-near-douglas-high-school/article_04ccc196-56a8-11ef-80a1-ff941d3cdeed.html" xr:uid="{00000000-0004-0000-0100-0000CA000000}"/>
    <hyperlink ref="K318" r:id="rId204" display="https://www.cbsnews.com/colorado/news/castle-rock-police-arrest-two-teens-outside-castle-view-high-school-gun-found-car-colorado/" xr:uid="{00000000-0004-0000-0100-0000CB000000}"/>
    <hyperlink ref="K319" r:id="rId205" display="https://kobi5.com/news/shooting-at-klamath-falls-school-injures-parent-police-looking-for-suspect-239557/" xr:uid="{00000000-0004-0000-0100-0000CC000000}"/>
    <hyperlink ref="K320" r:id="rId206" display="https://www.koco.com/article/oklahoma-city-car-crash-practice-field-assault-victim-southeast-high-school/61738669" xr:uid="{00000000-0004-0000-0100-0000CD000000}"/>
    <hyperlink ref="K321" r:id="rId207" display="https://www.wtol.com/article/news/crime/two-juveniles-shot-near-waite-high-school-on-saturday-east-toledo/512-facf20d1-ac9a-4bd5-94ad-fcde99c8b938" xr:uid="{00000000-0004-0000-0100-0000CE000000}"/>
    <hyperlink ref="K322" r:id="rId208" display="https://www.wlky.com/article/greenwood-elementary-louisville-parking-lot-shooting/61711433" xr:uid="{00000000-0004-0000-0100-0000CF000000}"/>
    <hyperlink ref="K323" r:id="rId209" display="https://www.supertalk.fm/elderly-man-arrested-for-shooting-at-marion-county-school/" xr:uid="{00000000-0004-0000-0100-0000D0000000}"/>
    <hyperlink ref="K324" r:id="rId210" display="https://www.postandcourier.com/aikenstandard/news/crime/shooting-sheriff-office-aiken-county-elementary-school/article_1a4fb0c6-4abb-11ef-8176-7f8d01e65cfb.html" xr:uid="{00000000-0004-0000-0100-0000D1000000}"/>
    <hyperlink ref="K325" r:id="rId211" display="https://www.fox26houston.com/news/houston-shooting-woman-car-outside-high-school-carver" xr:uid="{00000000-0004-0000-0100-0000D2000000}"/>
    <hyperlink ref="K326" r:id="rId212" location="selection-917.0-921.147" display="https://archive.is/IV0na - selection-917.0-921.147" xr:uid="{00000000-0004-0000-0100-0000D3000000}"/>
    <hyperlink ref="K327" r:id="rId213" display="https://6abc.com/post/south-philadelphia-shooting-amazon-worker-christian-street/15065592/" xr:uid="{00000000-0004-0000-0100-0000D4000000}"/>
    <hyperlink ref="K328" r:id="rId214" display="https://www.wtvq.com/police-investigate-after-reports-of-shots-fired-near-a-lexington-middle-school/" xr:uid="{00000000-0004-0000-0100-0000D5000000}"/>
    <hyperlink ref="K329" r:id="rId215" display="https://www.wjla.com/news/local/wise-high-school-shooting-vigil-kyhree-jackson-anthony-lytton-jr-isaiah-hazel-vigil-shooting-prince-georges-county-police-investigation-gun-violence-upper-marlboro-violent-crime-investigation" xr:uid="{00000000-0004-0000-0100-0000D6000000}"/>
    <hyperlink ref="K330" r:id="rId216" display="https://www.kiro7.com/news/local/man-arrested-after-firing-gun-car-mountlake-terrace-elementary-school-parking-lot/Y75A2CSUR5F7PN3SB4KQSIPLME/" xr:uid="{00000000-0004-0000-0100-0000D7000000}"/>
    <hyperlink ref="K331" r:id="rId217" display="https://www.abc10.com/article/news/local/del-campo-high-school-freshman-arrested-armed-robbery/103-20450805-3b95-44f3-aac9-cbb731037846" xr:uid="{00000000-0004-0000-0100-0000D8000000}"/>
    <hyperlink ref="K333" r:id="rId218" display="https://www.whio.com/news/local/large-planned-fight-leads-deadly-shooting-near-dayton-elementary-school/ALKTHCFXQBEGZHCME4ZNRDU74I/" xr:uid="{00000000-0004-0000-0100-0000D9000000}"/>
    <hyperlink ref="K335" r:id="rId219" display="https://www.kaaltv.com/news/man-arrested-with-replica-rifle-in-front-of-rochester-school/" xr:uid="{00000000-0004-0000-0100-0000DA000000}"/>
    <hyperlink ref="K336" r:id="rId220" display="https://midhudsonnews.com/2024/06/23/police-investigate-shooting-near-poughkeepsie-school/" xr:uid="{00000000-0004-0000-0100-0000DB000000}"/>
    <hyperlink ref="K338" r:id="rId221" display="https://www.qcnews.com/news/u-s/north-carolina/cleveland-county/no-regard-for-anyones-life-man-who-shot-at-deputies-and-school-bus-during-chase-captured-near-days-inn-in-cleveland-county/" xr:uid="{00000000-0004-0000-0100-0000DC000000}"/>
    <hyperlink ref="K339" r:id="rId222" location="selection-237.98-237.123" display="https://archive.is/rKdvQ - selection-237.98-237.123" xr:uid="{00000000-0004-0000-0100-0000DD000000}"/>
    <hyperlink ref="K340" r:id="rId223" display="https://www.nbcwashington.com/news/local/suspect-charged-in-shooting-that-killed-man-hurt-child-outside-potomac-high-school/3645766/" xr:uid="{00000000-0004-0000-0100-0000DE000000}"/>
    <hyperlink ref="K346" r:id="rId224" location="selection-2447.39-2447.57" display="https://archive.is/paZzM - selection-2447.39-2447.57" xr:uid="{00000000-0004-0000-0100-0000DF000000}"/>
    <hyperlink ref="K347" r:id="rId225" display="https://ca.news.yahoo.com/shots-fired-outside-kansas-city-173827409.html" xr:uid="{00000000-0004-0000-0100-0000E0000000}"/>
    <hyperlink ref="K348" r:id="rId226" display="https://kobi5.com/news/mount-shasta-schools-locked-down-after-gun-fired-in-area-suspect-arrested-230931/" xr:uid="{00000000-0004-0000-0100-0000E1000000}"/>
    <hyperlink ref="K349" r:id="rId227" display="https://www.king5.com/article/news/crime/family-slain-teen-sues-seattle-public-schools/281-7b04cef3-e4d3-4fa3-9fbc-27fd8dd7a826" xr:uid="{00000000-0004-0000-0100-0000E2000000}"/>
    <hyperlink ref="K351" r:id="rId228" display="https://www.local10.com/news/local/2024/06/05/police-man-on-scooter-shoots-at-couple-near-miami-school/" xr:uid="{00000000-0004-0000-0100-0000E3000000}"/>
    <hyperlink ref="K352" r:id="rId229" display="https://www.denverpost.com/2024/06/03/milliken-police-shooting-weld-county/" xr:uid="{00000000-0004-0000-0100-0000E4000000}"/>
    <hyperlink ref="K353" r:id="rId230" display="https://www.kentreporter.com/news/man-18-found-shot-in-parking-lot-identified-as-kent-meridian-student/" xr:uid="{00000000-0004-0000-0100-0000E5000000}"/>
    <hyperlink ref="K354" r:id="rId231" display="https://www.cbsnews.com/chicago/news/st-ignatius-shots-fired-at-priest-catalytic-converter-thieves/" xr:uid="{00000000-0004-0000-0100-0000E6000000}"/>
    <hyperlink ref="K355" r:id="rId232" display="https://www.cbsnews.com/newyork/news/girls-shot-near-school-in-brownsville-brooklyn/" xr:uid="{00000000-0004-0000-0100-0000E7000000}"/>
    <hyperlink ref="K356" r:id="rId233" display="https://www.abc12.com/news/crime/shooting-reported-hours-after-arthur-hill-high-school-graduation/article_28d6d060-1f56-11ef-8a2e-0b8b0225cb3f.html" xr:uid="{00000000-0004-0000-0100-0000E8000000}"/>
    <hyperlink ref="K357" r:id="rId234" display="https://pix11.com/news/local-news/queens/gunmen-inadvertently-shot-2-teens-near-queens-school-nypd/" xr:uid="{00000000-0004-0000-0100-0000E9000000}"/>
    <hyperlink ref="K358" r:id="rId235" display="https://www.ncwlife.com/news/suspect-arrested-in-gunfire-on-east-wenatchee-school-grounds/article_f24eaccc-1f99-11ef-8753-e3081475a854.html" xr:uid="{00000000-0004-0000-0100-0000EA000000}"/>
    <hyperlink ref="K363" r:id="rId236" display="https://www.kxlf.com/news/crime-and-courts/butte-police-seek-to-id-suspects-who-shot-out-school-windows-with-bb-gun" xr:uid="{00000000-0004-0000-0100-0000EB000000}"/>
    <hyperlink ref="K367" r:id="rId237" display="https://www.wdsu.com/article/jefferson-parish-west-jefferson-high-school-shooting/60885556" xr:uid="{00000000-0004-0000-0100-0000EC000000}"/>
    <hyperlink ref="K368" r:id="rId238" display="https://www.wfla.com/news/florida/man-fatally-shot-in-parking-lot-of-north-marion-middle-school-during-awards-ceremony/" xr:uid="{00000000-0004-0000-0100-0000ED000000}"/>
    <hyperlink ref="K369" r:id="rId239" display="https://www.robesonian.com/news/breaking-news/301589/robeson-county-sheriffs-office-investigating-shooting-that-injured-two-near-purnell-swett-high-school" xr:uid="{00000000-0004-0000-0100-0000EE000000}"/>
    <hyperlink ref="K372" r:id="rId240" display="https://www.wspa.com/news/local-news/man-pulls-gun-breaks-window-following-spartanburg-co-graduation/" xr:uid="{00000000-0004-0000-0100-0000EF000000}"/>
    <hyperlink ref="K373" r:id="rId241" display="https://www.kshb.com/news/crime/shots-fired-near-delasalle-education-center-graduation-saturday" xr:uid="{00000000-0004-0000-0100-0000F0000000}"/>
    <hyperlink ref="K374" r:id="rId242" display="https://www.wcpo.com/news/local-news/hamilton-county/cincinnati/hyde-park/cpd-1-injured-in-shooting-near-withrow-high-school" xr:uid="{00000000-0004-0000-0100-0000F1000000}"/>
    <hyperlink ref="K375" r:id="rId243" display="https://fox8.com/news/gun-pulled-at-cleveland-elementary-school/" xr:uid="{00000000-0004-0000-0100-0000F2000000}"/>
    <hyperlink ref="K377" r:id="rId244" display="https://www.wrtv.com/news/local-news/crime/lawrence-township-student-arrested-after-pointing-loaded-gun-at-another-student" xr:uid="{00000000-0004-0000-0100-0000F3000000}"/>
    <hyperlink ref="K378" r:id="rId245" display="https://www.kxan.com/news/local/manor/police-dispute-leads-to-multiple-assaults-alleged-firearm-discharge-at-manor-football-stadium/" xr:uid="{00000000-0004-0000-0100-0000F4000000}"/>
    <hyperlink ref="K379" r:id="rId246" display="https://www.wxii12.com/article/39-year-old-man-arrested-not-properly-storing-firearm-shots-fired-near-elementary-school/60765318" xr:uid="{00000000-0004-0000-0100-0000F5000000}"/>
    <hyperlink ref="K380" r:id="rId247" display="https://www.news5cleveland.com/news/local-news/i-thought-i-was-getting-shot-and-by-a-real-bullet-two-avon-teens-found-responsible-for-bb-gun-shooting" xr:uid="{00000000-0004-0000-0100-0000F6000000}"/>
    <hyperlink ref="K384" r:id="rId248" display="https://www.koat.com/article/albuquerque-convention-center-shooting/60737567" xr:uid="{00000000-0004-0000-0100-0000F7000000}"/>
    <hyperlink ref="K387" r:id="rId249" display="https://www.live5news.com/2024/05/05/police-investigating-after-reported-gunfire-north-charleston-high-school/" xr:uid="{00000000-0004-0000-0100-0000F8000000}"/>
    <hyperlink ref="K388" r:id="rId250" display="https://www.wowt.com/2024/05/04/shooting-near-omaha-high-school-sends-one-hospital/" xr:uid="{00000000-0004-0000-0100-0000F9000000}"/>
    <hyperlink ref="K389" r:id="rId251" display="https://www.wbaltv.com/article/middle-school-students-shot-copeland-street-annapolis/60704250" xr:uid="{00000000-0004-0000-0100-0000FA000000}"/>
    <hyperlink ref="K390" r:id="rId252" display="https://www.fox5atlanta.com/news/decatur-high-school-lockdown-weapon-found" xr:uid="{00000000-0004-0000-0100-0000FB000000}"/>
    <hyperlink ref="K391" r:id="rId253" display="https://www.2news.com/news/boy-hospitalized-after-being-shot-near-lena-juniper-elementary/article_f3727384-0a4c-11ef-9439-57a3c7cf294a.html" xr:uid="{00000000-0004-0000-0100-0000FC000000}"/>
    <hyperlink ref="K392" r:id="rId254" display="https://www.fox5dc.com/video/1451872" xr:uid="{00000000-0004-0000-0100-0000FD000000}"/>
    <hyperlink ref="K393" r:id="rId255" display="https://www.axios.com/local/washington-dc/2024/05/02/deal-middle-school-toy-gun-attack" xr:uid="{00000000-0004-0000-0100-0000FE000000}"/>
    <hyperlink ref="K394" r:id="rId256" display="https://www.wxyz.com/news/2-women-2-kids-shot-near-high-school-on-detroits-west-side-police-say" xr:uid="{00000000-0004-0000-0100-0000FF000000}"/>
    <hyperlink ref="K396" r:id="rId257" display="https://www.wkyc.com/article/news/crime/cleveland-police-17-year-old-shot-glenville-high-school-health-center/95-c2d1f41c-68dc-4d9e-9809-e8809a59d32d" xr:uid="{00000000-0004-0000-0100-000000010000}"/>
    <hyperlink ref="K399" r:id="rId258" display="https://signalscv.com/2024/04/school-on-lockdown-after-reports-of-pellet-gun-attack/" xr:uid="{00000000-0004-0000-0100-000001010000}"/>
    <hyperlink ref="K400" r:id="rId259" display="https://www.theoutlookonline.com/news/gresham-police-say-teen-shot-school-buses-with-pellet-gun/article_3e579b16-029d-11ef-8605-87b45686d022.html" xr:uid="{00000000-0004-0000-0100-000002010000}"/>
    <hyperlink ref="K401" r:id="rId260" display="https://www.fox4news.com/news/arlington-bowie-high-school-lockdown" xr:uid="{00000000-0004-0000-0100-000003010000}"/>
    <hyperlink ref="K402" r:id="rId261" display="https://www.cbsnews.com/chicago/news/gunfire-south-suburban-chicago-school-lockdown/" xr:uid="{00000000-0004-0000-0100-000004010000}"/>
    <hyperlink ref="K403" r:id="rId262" display="https://kutv.com/news/local/west-valley-city-granite-district-police-stop-suspect-with-bb-style-gun-near-granger-high" xr:uid="{00000000-0004-0000-0100-000005010000}"/>
    <hyperlink ref="K404" r:id="rId263" display="https://fox4kc.com/news/airsoft-gun-incident-on-lees-summit-school-bus-leaves-parents-upset/" xr:uid="{00000000-0004-0000-0100-000006010000}"/>
    <hyperlink ref="K405" r:id="rId264" display="https://www.nbcrightnow.com/news/adult-shot-outside-william-wiley-elementary-in-west-richland-suspect-home-on-lockdown/article_36a9c752-00fb-11ef-a74c-2fdeb93784a6.html" xr:uid="{00000000-0004-0000-0100-000007010000}"/>
    <hyperlink ref="K406" r:id="rId265" display="https://www.wptv.com/news/region-c-palm-beach-county/riviera-beach/man-shot-by-police-officer-at-suncoast-community-high-school-sentenced-to-5-years-in-state-prison" xr:uid="{00000000-0004-0000-0100-000008010000}"/>
    <hyperlink ref="K407" r:id="rId266" display="https://nypost.com/2024/04/21/us-news/14-year-old-boy-shot-in-foot-while-in-nyc-park-police-say/" xr:uid="{00000000-0004-0000-0100-000009010000}"/>
    <hyperlink ref="K413" r:id="rId267" display="https://www.pahomepage.com/news/shots-fired-behind-luzerne-county-school-juveniles-charged/" xr:uid="{00000000-0004-0000-0100-00000A010000}"/>
    <hyperlink ref="K415" r:id="rId268" display="https://www.wfmynews2.com/video/news/local/irvin-park-elementary-school-gcs-gun-suspect/83-01a79eba-fec4-4c83-83d7-60907b1c51cb" xr:uid="{00000000-0004-0000-0100-00000B010000}"/>
    <hyperlink ref="K416" r:id="rId269" display="https://madison.com/news/article_a0b27d40-fda1-11ee-b5a7-37bcbc1604b6.html" xr:uid="{00000000-0004-0000-0100-00000C010000}"/>
    <hyperlink ref="K417" r:id="rId270" display="https://fox4kc.com/news/2-killed-1-injured-in-blue-springs-shooting-at-wilbur-young-park/" xr:uid="{00000000-0004-0000-0100-00000D010000}"/>
    <hyperlink ref="K418" r:id="rId271" display="https://www.fox35orlando.com/news/accidental-shooting-outside-brevard-county-school-prompts-shelter-in-place-officials-say" xr:uid="{00000000-0004-0000-0100-00000E010000}"/>
    <hyperlink ref="K420" r:id="rId272" display="https://www.ksn.com/news/local/pellets-fired-at-two-goddard-school-buses/" xr:uid="{00000000-0004-0000-0100-00000F010000}"/>
    <hyperlink ref="K421" r:id="rId273" display="https://www.krqe.com/news/crime/gun-pulled-on-teacher-at-pecos-elementary-school/" xr:uid="{00000000-0004-0000-0100-000010010000}"/>
    <hyperlink ref="K422" r:id="rId274" display="https://www.kshb.com/news/crime/victim-injured-in-kcmo-shooting-thursday-near-raytown-elementary-school" xr:uid="{00000000-0004-0000-0100-000011010000}"/>
    <hyperlink ref="K425" r:id="rId275" display="https://www.wftv.com/news/local/former-elevation-high-student-accused-pointing-gun-students-over-dispute-with-girlfriend/2RXZ2OCZKJBZFIBDQXPPREPZZM/" xr:uid="{00000000-0004-0000-0100-000012010000}"/>
    <hyperlink ref="K426" r:id="rId276" display="https://www.walb.com/2024/03/26/1-arrested-after-shots-were-fired-near-turner-co-high-school/" xr:uid="{00000000-0004-0000-0100-000013010000}"/>
    <hyperlink ref="K428" r:id="rId277" display="https://pix11.com/news/local-news/new-jersey/2-teens-shot-at-high-school-in-newark-officials/" xr:uid="{00000000-0004-0000-0100-000014010000}"/>
    <hyperlink ref="K430" r:id="rId278" display="https://www.fox13memphis.com/news/woman-facing-attempted-murder-charges-after-shots-fired-at-memphis-high-school-records-show/article_1035006c-f865-11ee-bee0-537eec126459.html" xr:uid="{00000000-0004-0000-0100-000015010000}"/>
    <hyperlink ref="K431" r:id="rId279" display="https://www.rlsmedia.com/article/newark-man-found-shot-dead-behind-dumpster-shabazz-high-school-stadium" xr:uid="{00000000-0004-0000-0100-000016010000}"/>
    <hyperlink ref="K432" r:id="rId280" display="https://abc7.com/diamond-ranch-high-school-gun-students-caught-on-video/14557728/" xr:uid="{00000000-0004-0000-0100-000017010000}"/>
    <hyperlink ref="K433" r:id="rId281" display="https://www.wral.com/story/person-with-loaded-handgun-walks-into-pembroke-elementary-school-behind-parent-during-morning-dropoff/21338714/" xr:uid="{00000000-0004-0000-0100-000018010000}"/>
    <hyperlink ref="K434" r:id="rId282" display="https://www.9news.com/article/news/crime/shots-fired-into-car-denver-high-school-parking-lot/73-0349bff4-e2ce-4700-9f04-53883e07b761" xr:uid="{00000000-0004-0000-0100-000019010000}"/>
    <hyperlink ref="K435" r:id="rId283" display="https://www.news5cleveland.com/news/local-news/cleveland-elementary-school-placed-on-lockdown-after-shooting-occurs-in-parking-lot" xr:uid="{00000000-0004-0000-0100-00001A010000}"/>
    <hyperlink ref="K436" r:id="rId284" display="https://www.cbsnews.com/chicago/news/13-year-boy-shot-multiple-times-south-side/" xr:uid="{00000000-0004-0000-0100-00001B010000}"/>
    <hyperlink ref="K438" r:id="rId285" display="https://clarksvillenow.com/local/woman-shot-at-basketball-courts-in-heritage-park-in-clarksville/" xr:uid="{00000000-0004-0000-0100-00001C010000}"/>
    <hyperlink ref="K440" r:id="rId286" display="https://mocoshow.com/2024/03/13/fox-chapel-elementary-school-in-lockdown-following-report-of-shots-fired-near-campus/" xr:uid="{00000000-0004-0000-0100-00001D010000}"/>
    <hyperlink ref="K441" r:id="rId287" display="https://www.kiro7.com/news/local/video-girl-shot-near-garfield-high-school/f5af8864-2c59-45b8-9300-f9b717519a7f/" xr:uid="{00000000-0004-0000-0100-00001E010000}"/>
    <hyperlink ref="K442" r:id="rId288" display="https://www.wbaltv.com/article/police-womans-body-found-near-baltimore-school/60188521" xr:uid="{00000000-0004-0000-0100-00001F010000}"/>
    <hyperlink ref="K443" r:id="rId289" display="https://www.tdtnews.com/news/central_texas_news/article_7e843b90-e0bf-11ee-893d-d3842fe6ed82.html" xr:uid="{00000000-0004-0000-0100-000020010000}"/>
    <hyperlink ref="K445" r:id="rId290" display="https://www.nbcnewyork.com/news/local/bronx-teen-shot-playground-longwood-school/5205544/" xr:uid="{00000000-0004-0000-0100-000021010000}"/>
    <hyperlink ref="K447" r:id="rId291" display="https://www.fox13memphis.com/education/hes-got-a-gun-mid-south-high-school-student-carjacks-classmate-at-gunpoint-police-say/article_ec319d82-da6f-11ee-9f12-4b6335391fcf.html" xr:uid="{00000000-0004-0000-0100-000022010000}"/>
    <hyperlink ref="K449" r:id="rId292" display="https://www.cbsnews.com/news/shooting-outside-high-school-basketball-game-north-kansas-city-multiple-injuries/" xr:uid="{00000000-0004-0000-0100-000023010000}"/>
    <hyperlink ref="K452" r:id="rId293" display="https://www.witn.com/video/2024/02/28/police-identify-ecu-scientist-shot-unprovoked-attack-near-elementary-school/" xr:uid="{00000000-0004-0000-0100-000024010000}"/>
    <hyperlink ref="K453" r:id="rId294" display="https://www.bangordailynews.com/2024/02/28/central-maine/central-maine-police-courts/man-dead-waterville-school-suicide/" xr:uid="{00000000-0004-0000-0100-000025010000}"/>
    <hyperlink ref="K455" r:id="rId295" display="https://www.newswest9.com/article/news/local/student-injured-in-shooting-at-odessa-high-school/513-6f53289c-35f0-4fa3-8bbe-e68710f62d38" xr:uid="{00000000-0004-0000-0100-000026010000}"/>
    <hyperlink ref="K456" r:id="rId296" display="https://wvmetronews.com/2024/02/27/mercer-county-sheriffs-continue-to-investigate-shots-fired-incident-in-a-bluefield-armory-parking-lot/" xr:uid="{00000000-0004-0000-0100-000027010000}"/>
    <hyperlink ref="K457" r:id="rId297" display="https://www.cbsnews.com/colorado/news/shots-fired-outside-denver-prep-academy-no-injuries-police-say/" xr:uid="{00000000-0004-0000-0100-000028010000}"/>
    <hyperlink ref="K458" r:id="rId298" display="https://www.krgv.com/news/edinburg-police-officer-involved-shooting-prompts-lockdown-at-economedes-high-school" xr:uid="{00000000-0004-0000-0100-000029010000}"/>
    <hyperlink ref="K460" r:id="rId299" display="https://mynbc15.com/news/nation-world/6th-grader-honored-for-heroic-actions-after-classmate-threatened-to-shoot-someone-travis-middle-school-texas-gun-violence-threats-12-year-old-boys-attempted-aggravated-assault-unlawful-carry" xr:uid="{00000000-0004-0000-0100-00002A010000}"/>
    <hyperlink ref="K463" r:id="rId300" display="https://www.cbsnews.com/texas/news/police-release-911-call-bodycam-video-from-mesquite-charter-school-shooting/" xr:uid="{00000000-0004-0000-0100-00002B010000}"/>
    <hyperlink ref="K465" r:id="rId301" display="https://www.wsbtv.com/news/local/atlanta/teen-turns-himself-after-4-shot-atlanta-high-school-valentines-day-police-say/H662R5SSZZFPHKHKQJLBABC6X4/" xr:uid="{00000000-0004-0000-0100-00002C010000}"/>
    <hyperlink ref="K467" r:id="rId302" display="https://www.wkyc.com/article/news/crime/suspect-wanted-assault-bedford-high-school-student-gun-surrenders-laquan-evans/95-8fdae1ad-3450-47e7-b765-e56ff703b29a" xr:uid="{00000000-0004-0000-0100-00002D010000}"/>
    <hyperlink ref="K480" r:id="rId303" display="https://www.wsmv.com/2024/01/31/8th-grader-allegedly-confronted-classmate-with-gun-fired-shot-outside-haynes-middle-school/" xr:uid="{00000000-0004-0000-0100-00002E010000}"/>
    <hyperlink ref="K482" r:id="rId304" display="https://www.nbcbayarea.com/news/local/east-bay/dublin-school-district-lawsuit-orbeez-gun/3446087/" xr:uid="{00000000-0004-0000-0100-00002F010000}"/>
    <hyperlink ref="K486" r:id="rId305" display="https://www.cbsnews.com/sacramento/news/shooting-investigation-underway-at-grant-union-high-school-in-sacramento/" xr:uid="{00000000-0004-0000-0100-000030010000}"/>
    <hyperlink ref="K487" r:id="rId306" display="https://www.fox10tv.com/2024/03/11/video-shows-leflore-student-putting-gun-victims-head-after-initial-shot-detective-testifies/" xr:uid="{00000000-0004-0000-0100-000031010000}"/>
    <hyperlink ref="K489" r:id="rId307" display="https://chicago.suntimes.com/crime/2025/02/01/suspect-ambushed-teenagers-in-2024-shooting-outside-innovations-high-school-judge-says" xr:uid="{00000000-0004-0000-0100-000032010000}"/>
    <hyperlink ref="K490" r:id="rId308" display="https://jeffcosheriffal.com/arrest-made-in-shooting-outside-high-school/" xr:uid="{00000000-0004-0000-0100-000033010000}"/>
    <hyperlink ref="K491" r:id="rId309" display="https://wreg.com/news/local/shooting-near-west-memphis-school-kills-one/" xr:uid="{00000000-0004-0000-0100-000034010000}"/>
    <hyperlink ref="K492" r:id="rId310" display="https://chicago.suntimes.com/crime/2024/1/22/24047515/brothers-shot-fatally-cics-wood-longwood-chicago-maurice-clay" xr:uid="{00000000-0004-0000-0100-000035010000}"/>
    <hyperlink ref="K493" r:id="rId311" display="https://www.cbsnews.com/minnesota/news/man-accidentally-shot-in-leg-playing-basketball-at-st-paul-elementary-school/" xr:uid="{00000000-0004-0000-0100-000036010000}"/>
    <hyperlink ref="K497" r:id="rId312" display="https://www.wishtv.com/news/indiana-news/juvenile-shot-killed-in-neighborhood-near-middle-school-in-fort-wayne/" xr:uid="{00000000-0004-0000-0100-000037010000}"/>
    <hyperlink ref="K503" r:id="rId313" display="https://newstalkkit.com/lockdown-lifted-at-white-swan-high-school-after-gun-incident/" xr:uid="{00000000-0004-0000-0100-000038010000}"/>
    <hyperlink ref="K504" r:id="rId314" display="https://abc13.com/houston-shooting-man-found-shot-outside-middle-school-homicide-investigation-hpd/14302020/" xr:uid="{00000000-0004-0000-0100-000039010000}"/>
    <hyperlink ref="K505" r:id="rId315" display="https://www.supertalk.fm/simpson-county-teen-recovering-after-being-shot-while-exiting-school-bus/" xr:uid="{00000000-0004-0000-0100-00003A010000}"/>
    <hyperlink ref="K506" r:id="rId316" display="https://www.cbsnews.com/sanfrancisco/news/police-respond-to-shooting-near-richmond-high-school-no-injuries-reported/" xr:uid="{00000000-0004-0000-0100-00003B010000}"/>
    <hyperlink ref="K507" r:id="rId317" display="https://htv-prod-media.s3.amazonaws.com/files/perry-school-shooting-report-press-release-67118f7926b6c.pdf" xr:uid="{00000000-0004-0000-0100-00003C010000}"/>
    <hyperlink ref="K509" r:id="rId318" display="https://www.wtvr.com/news/local-news/manchester-hs-shooting-jan-3-2024" xr:uid="{00000000-0004-0000-0100-00003D010000}"/>
    <hyperlink ref="K510" r:id="rId319" display="https://www.knoe.com/2024/01/01/monroe-police-arrest-suspect-accused-shooting-firearm-behind-local-school/" xr:uid="{00000000-0004-0000-0100-00003E010000}"/>
    <hyperlink ref="K511" r:id="rId320" display="https://www.wpri.com/news/local-news/providence/police-man-shot-at-east-providence-playground/" xr:uid="{00000000-0004-0000-0100-00003F010000}"/>
    <hyperlink ref="K513" r:id="rId321" display="https://www.timesnownews.com/world/newark-new-jersey-shooting-update-teen-injured-lockdown-at-bragaw-avenue-school-article-106162460" xr:uid="{00000000-0004-0000-0100-000040010000}"/>
    <hyperlink ref="K516" r:id="rId322" display="https://starexponent.com/news/local/superintendent-orange-school-bus-windows-shot-with-bb-gun-while-parked-in-culpeper/article_04167536-9e92-11ee-831d-53c7fe42ca20.html" xr:uid="{00000000-0004-0000-0100-000041010000}"/>
    <hyperlink ref="K517" r:id="rId323" display="https://www.nwitimes.com/news/local/crime-courts/gun-fired-inside-eggers-middle-school/article_66b8bb88-9de6-11ee-90ec-2bf171a723f3.html" xr:uid="{00000000-0004-0000-0100-000042010000}"/>
    <hyperlink ref="K518" r:id="rId324" display="https://www.mercurynews.com/2023/12/14/armed-man-spotted-near-palo-alto-high-school-campus-under-shelter-in-place-order/" xr:uid="{00000000-0004-0000-0100-000043010000}"/>
    <hyperlink ref="K522" r:id="rId325" display="https://qns.com/2023/12/man-sought-shooting-firearm-in-front-fresh-meadows-school-nypd/" xr:uid="{00000000-0004-0000-0100-000044010000}"/>
    <hyperlink ref="K523" r:id="rId326" display="https://www.ksdk.com/article/news/crime/normandy-high-school-meetup-shots-fired/63-c84ef949-e434-4531-b7e9-f6437222a98b" xr:uid="{00000000-0004-0000-0100-000045010000}"/>
    <hyperlink ref="K526" r:id="rId327" display="https://www.fox6now.com/news/waukesha-school-road-rage-charge" xr:uid="{00000000-0004-0000-0100-000046010000}"/>
    <hyperlink ref="K527" r:id="rId328" display="https://fox59.com/news/indycrime/shots-fired-in-parking-lot-at-lawrence-central-high-school-no-injuries-reported/" xr:uid="{00000000-0004-0000-0100-000047010000}"/>
    <hyperlink ref="K529" r:id="rId329" display="https://www.kvue.com/article/news/crime/austin-isd-police-officer-shot-nelson-field/269-b86565f8-e21d-46cb-88b7-afaa70398564" xr:uid="{00000000-0004-0000-0100-000048010000}"/>
    <hyperlink ref="K530" r:id="rId330" display="https://dailyvoice.com/virginia/arlington/arrest-made-in-arlington-parking-lot-shooting/" xr:uid="{00000000-0004-0000-0100-000049010000}"/>
    <hyperlink ref="K531" r:id="rId331" display="https://www.beaconjournal.com/story/news/crime/2023/12/01/akron-police-say-teen-in-buchtel-fight-had-live-ammo-in-airsoft-gun/71774527007/" xr:uid="{00000000-0004-0000-0100-00004A010000}"/>
    <hyperlink ref="K534" r:id="rId332" display="https://www.houstonpublicmedia.org/articles/news/crime/2023/11/30/471185/spring-branch-isd-police-officer-fatally-shoots-man-suspecting-of-killing-his-father-before-stealing-cars-outside-nearby-elementary-school/" xr:uid="{00000000-0004-0000-0100-00004B010000}"/>
    <hyperlink ref="K535" r:id="rId333" display="https://www.wtol.com/article/news/crime/18-year-old-arrested-for-shooting-gun-nearby-school/512-c8a17ee7-a80c-451b-a302-98749418e2bf" xr:uid="{00000000-0004-0000-0100-00004C010000}"/>
    <hyperlink ref="K536" r:id="rId334" display="https://abc13.com/houston-crime-fulton-street-shooting-near-schools-northside-high-school/14113773/" xr:uid="{00000000-0004-0000-0100-00004D010000}"/>
    <hyperlink ref="K537" r:id="rId335" display="https://www.whio.com/news/local/hes-bleeding-real-bad-15-year-old-shot-near-local-middle-school/TJBVE7EGMZE2ZGQFQ2CXTKOGBE/" xr:uid="{00000000-0004-0000-0100-00004E010000}"/>
    <hyperlink ref="K538" r:id="rId336" display="https://www.fox19.com/2023/11/24/man-hospitalized-thanksgiving-shooting-near-school-police-say/" xr:uid="{00000000-0004-0000-0100-00004F010000}"/>
    <hyperlink ref="K539" r:id="rId337" display="https://www.wcia.com/news/person-shot-outside-of-urbana-high-school/" xr:uid="{00000000-0004-0000-0100-000050010000}"/>
    <hyperlink ref="K540" r:id="rId338" display="https://www.kplctv.com/2023/11/19/one-juvenile-taken-into-custody-after-shooting-acadiana-high/" xr:uid="{00000000-0004-0000-0100-000051010000}"/>
    <hyperlink ref="K542" r:id="rId339" display="https://www.cleveland19.com/2023/11/16/victim-shot-near-school-clevelands-east-side/" xr:uid="{00000000-0004-0000-0100-000052010000}"/>
    <hyperlink ref="K543" r:id="rId340" display="https://www.thenewsherald.com/2023/11/15/resource-officer-promptly-arrests-student-with-loaded-gun-knife-in-backpack-at-lphs/" xr:uid="{00000000-0004-0000-0100-000053010000}"/>
    <hyperlink ref="K545" r:id="rId341" display="https://www.wdrb.com/news/jcps-bus-driver-threatening-to-resign-after-she-says-she-was-shot-by-student-with/article_309ec530-832c-11ee-ac74-3f871afea378.html" xr:uid="{00000000-0004-0000-0100-000054010000}"/>
    <hyperlink ref="K546" r:id="rId342" display="https://abc7ny.com/newark-central-high-school-teen-shot-drive-by-shooting/14053163/" xr:uid="{00000000-0004-0000-0100-000055010000}"/>
    <hyperlink ref="K547" r:id="rId343" display="https://www.ktvu.com/news/juvenile-shot-friday-night-in-front-of-vallejo-high-school" xr:uid="{00000000-0004-0000-0100-000056010000}"/>
    <hyperlink ref="K549" r:id="rId344" display="https://weartv.com/news/local/2-injured-after-accidental-gun-discharge-in-atmore-high-school-gym" xr:uid="{00000000-0004-0000-0100-000057010000}"/>
    <hyperlink ref="K550" r:id="rId345" display="https://news.yahoo.com/ct-elementary-school-custodian-helps-151400200.html" xr:uid="{00000000-0004-0000-0100-000058010000}"/>
    <hyperlink ref="K551" r:id="rId346" display="https://kmph.com/news/local/school-bus-driver-shot-at-from-inside-bus-teen-inside-bus-fresnoo-unified-school-district-airsoft-bb-damage-windown-bullard-high-chp-kids-students-county-resource-officers-depties-investigation" xr:uid="{00000000-0004-0000-0100-000059010000}"/>
    <hyperlink ref="K553" r:id="rId347" display="https://morganton.com/news/local/crime-courts/2-men-charged-after-shots-fired-near-freedom-high-school/article_5728089e-79c5-11ee-a74b-8f3a4c64c7f2.html" xr:uid="{00000000-0004-0000-0100-00005A010000}"/>
    <hyperlink ref="K554" r:id="rId348" display="https://fox8.com/news/suspect-arrested-after-shooting-near-lorain-elementary-school/" xr:uid="{00000000-0004-0000-0100-00005B010000}"/>
    <hyperlink ref="K555" r:id="rId349" display="https://www.wtvm.com/2023/11/03/smiths-station-student-arrested-multiple-charges-including-terrorist-threats-charge/" xr:uid="{00000000-0004-0000-0100-00005C010000}"/>
    <hyperlink ref="K556" r:id="rId350" display="https://www.fox5vegas.com/2023/11/16/las-vegas-man-arrested-after-allegedly-firing-gun-into-group-juveniles/" xr:uid="{00000000-0004-0000-0100-00005D010000}"/>
    <hyperlink ref="K557" r:id="rId351" display="https://abc11.com/raleigh-school-van-shot-student-hurt-driver-injured/14007877/" xr:uid="{00000000-0004-0000-0100-00005E010000}"/>
    <hyperlink ref="K559" r:id="rId352" display="https://www.wafb.com/2023/10/28/apso-1-man-dead-another-injured-shooting-near-donaldsonville-high-football-game/" xr:uid="{00000000-0004-0000-0100-00005F010000}"/>
    <hyperlink ref="K560" r:id="rId353" display="https://abcnews.go.com/US/wireStory/3-teens-shot-wounded-west-baltimore-high-school-104428789" xr:uid="{00000000-0004-0000-0100-000060010000}"/>
    <hyperlink ref="K561" r:id="rId354" display="https://www.mlive.com/news/2023/10/15-year-old-shot-at-park-outside-a-detroit-high-school.html" xr:uid="{00000000-0004-0000-0100-000061010000}"/>
    <hyperlink ref="K562" r:id="rId355" display="https://www.cbsnews.com/losangeles/news/officers-investigate-police-shooting-at-legacy-high-school/" xr:uid="{00000000-0004-0000-0100-000062010000}"/>
    <hyperlink ref="K564" r:id="rId356" display="https://www.news4jax.com/news/local/2023/10/26/mother-shot-as-father-adult-son-struggle-over-gun-in-school-parking-lot-police-say/" xr:uid="{00000000-0004-0000-0100-000063010000}"/>
    <hyperlink ref="K566" r:id="rId357" display="https://www.wisn.com/article/germantown-school-board-incident-at-kennedy-middle-school/45620245" xr:uid="{00000000-0004-0000-0100-000064010000}"/>
    <hyperlink ref="K567" r:id="rId358" display="https://dayton247now.com/news/local/at-least-one-taken-to-hospital-after-shooting-near-school" xr:uid="{00000000-0004-0000-0100-000065010000}"/>
    <hyperlink ref="K568" r:id="rId359" display="https://www.wctv.tv/2023/10/20/lincoln-high-school-student-arrested-after-bringing-airsoft-rifle-campus/" xr:uid="{00000000-0004-0000-0100-000066010000}"/>
    <hyperlink ref="K570" r:id="rId360" display="https://www.kptv.com/2023/10/24/district-facing-backlash-communication-over-evergreen-hs-shooting-lockdown/" xr:uid="{00000000-0004-0000-0100-000067010000}"/>
    <hyperlink ref="K571" r:id="rId361" display="https://wgntv.com/news/chicagocrime/alderman-shots-fired-near-mather-high-school-in-chicago/" xr:uid="{00000000-0004-0000-0100-000068010000}"/>
    <hyperlink ref="K572" r:id="rId362" display="https://www.kxan.com/news/local/austin/apd-says-scene-still-active-after-juvenile-shot-in-northeast-austin/" xr:uid="{00000000-0004-0000-0100-000069010000}"/>
    <hyperlink ref="K573" r:id="rId363" display="https://www.yourcentralvalley.com/news/crime/fresno-teen-arrested-for-shooting-fleeing-with-gun-to-elementary-school/" xr:uid="{00000000-0004-0000-0100-00006A010000}"/>
    <hyperlink ref="K574" r:id="rId364" display="https://www.wisn.com/article/watertown-police-shoot-kill-man-near-elementary-school/45572872" xr:uid="{00000000-0004-0000-0100-00006B010000}"/>
    <hyperlink ref="K575" r:id="rId365" display="https://www.13abc.com/2023/10/16/man-shot-neck-after-confrontation-flag-football-game/" xr:uid="{00000000-0004-0000-0100-00006C010000}"/>
    <hyperlink ref="K577" r:id="rId366" display="https://www.ksdk.com/article/news/crime/alleged-kirkwood-trunk-or-treat-shooter-pleads-guilty/63-cb2a5ca8-7a1a-49d1-b4f3-f2975b6f92e6" xr:uid="{00000000-0004-0000-0100-00006D010000}"/>
    <hyperlink ref="K578" r:id="rId367" display="https://www.mysuncoast.com/2023/10/14/spd-investigating-shooting-incident-near-booker-high-school/" xr:uid="{00000000-0004-0000-0100-00006E010000}"/>
    <hyperlink ref="K579" r:id="rId368" display="https://www.cleveland19.com/2023/12/17/teenager-found-guilty-shooting-outside-cleveland-central-catholic-high-school/" xr:uid="{00000000-0004-0000-0100-00006F010000}"/>
    <hyperlink ref="K580" r:id="rId369" display="https://www.foxla.com/news/shooting-near-high-school-in-los-angeles-under-investigation" xr:uid="{00000000-0004-0000-0100-000070010000}"/>
    <hyperlink ref="K581" r:id="rId370" display="https://wsvn.com/news/local/miami-dade/man-killed-in-police-involved-shooting-near-miami-edison-high-school-2nd-armed-subject-in-custody/" xr:uid="{00000000-0004-0000-0100-000071010000}"/>
    <hyperlink ref="K583" r:id="rId371" display="https://fox2now.com/news/missouri/south-county-residents-shocked-after-gunfire-hits-elementary-school-driver-wanted/" xr:uid="{00000000-0004-0000-0100-000072010000}"/>
    <hyperlink ref="K584" r:id="rId372" display="https://abc11.com/fayetteville-police-man-shoots-at-officer-terry-sanford-high-school-involved-shooting/13886712/" xr:uid="{00000000-0004-0000-0100-000073010000}"/>
    <hyperlink ref="K585" r:id="rId373" display="https://wpde.com/news/local/heavy-police-first-responders-presence-reported-chestnut-street-darlington-county-possible-gunsfire-gunshots-heard-community-members-concerned-shooting-incident-developing-situation-south-carolina-october-10-2023" xr:uid="{00000000-0004-0000-0100-000074010000}"/>
    <hyperlink ref="K586" r:id="rId374" display="https://www.cbsnews.com/chicago/news/youth-football-game-shooting-dolton-bears-thornridge-high-school/" xr:uid="{00000000-0004-0000-0100-000075010000}"/>
    <hyperlink ref="K588" r:id="rId375" display="https://www.wxyz.com/news/2-students-shot-during-oak-park-high-school-homecoming-football-game-district-says" xr:uid="{00000000-0004-0000-0100-000076010000}"/>
    <hyperlink ref="K589" r:id="rId376" display="https://www.poconorecord.com/story/news/crime/2023/11/16/child-shoots-gun-middle-smithfield-elementary-school-parking-lot/71603605007/" xr:uid="{00000000-0004-0000-0100-000077010000}"/>
    <hyperlink ref="K593" r:id="rId377" display="https://www.nbclosangeles.com/investigations/shooting-that-wounded-student-near-high-school-in-north-hills-investigated-as-possible-hate-crime/3237252/" xr:uid="{00000000-0004-0000-0100-000078010000}"/>
    <hyperlink ref="K594" r:id="rId378" display="https://www.azfamily.com/2023/10/03/shots-fired-during-football-practice-near-west-phoenix-high-school/" xr:uid="{00000000-0004-0000-0100-000079010000}"/>
    <hyperlink ref="K596" r:id="rId379" display="https://dailydispatch.dps.alaska.gov/Home/DisplayIncident?incidentNumber=AK23104653" xr:uid="{00000000-0004-0000-0100-00007A010000}"/>
    <hyperlink ref="K597" r:id="rId380" display="https://www.wxii12.com/article/2nd-suspect-charged-connection-shooting-near-dudley-high-school/45899867" xr:uid="{00000000-0004-0000-0100-00007B010000}"/>
    <hyperlink ref="K598" r:id="rId381" display="https://m.facebook.com/story.php?story_fbid=pfbid0mvyw4JvjUoDLAsFc65suyqy3NmfEgE58cmqR4Qzj9CYF3zugJA6fkZFfgY3n3Z77l&amp;id=100064677340284&amp;mibextid=qC1gEa" xr:uid="{00000000-0004-0000-0100-00007C010000}"/>
    <hyperlink ref="K599" r:id="rId382" display="https://www.wtvm.com/2023/09/28/police-presence-middle-school-hunt-ave-columbus/" xr:uid="{00000000-0004-0000-0100-00007D010000}"/>
    <hyperlink ref="K600" r:id="rId383" display="https://wjla.com/news/local/stanton-elementary-school-washington-dc-gunfire-bullets-building-struck-classrooms-lockdown-gunshots-staff-metropolitan-police-department-investigation-students-families-parents-district-bowser-violent-crime-chief-mpd-pamela-smith" xr:uid="{00000000-0004-0000-0100-00007E010000}"/>
    <hyperlink ref="K601" r:id="rId384" display="https://foxbaltimore.com/news/local/student-injured-after-shooting-self-near-dunbar-high-school" xr:uid="{00000000-0004-0000-0100-00007F010000}"/>
    <hyperlink ref="K602" r:id="rId385" display="https://www.wbaltv.com/article/baltimore-police-shooting-near-gilmore-elementary/45306369" xr:uid="{00000000-0004-0000-0100-000080010000}"/>
    <hyperlink ref="K603" r:id="rId386" display="https://www.cleveland19.com/2023/09/28/woman-robbed-her-purse-gunpoint-cleveland-school-parking-lot-police-say/" xr:uid="{00000000-0004-0000-0100-000081010000}"/>
    <hyperlink ref="K604" r:id="rId387" display="https://ottumwaradio.com/2023/09/opd-shots-fired-outside-of-schafer-stadium-during-football-game-remains-under-investigation/" xr:uid="{00000000-0004-0000-0100-000082010000}"/>
    <hyperlink ref="K605" r:id="rId388" display="https://www.wdrb.com/news/gunshots-fired-into-air-in-parking-lot-after-male-high-school-football-game-no-one/article_2fc52822-5b20-11ee-983d-a71662a894db.html" xr:uid="{00000000-0004-0000-0100-000083010000}"/>
    <hyperlink ref="K607" r:id="rId389" display="https://newschannel9.com/news/local/gunshots-heard-outside-finley-stadium-during-high-school-football-game" xr:uid="{00000000-0004-0000-0100-000084010000}"/>
    <hyperlink ref="K608" r:id="rId390" display="https://wtmj.com/breaking-news/2023/09/23/breaking-shots-fired-near-milwaukee-high-school-football-game/" xr:uid="{00000000-0004-0000-0100-000085010000}"/>
    <hyperlink ref="K609" r:id="rId391" display="https://abc7chicago.com/chicago-shooting-albany-park-boy-shot-crime-crimes-volta-elementary-school-police-news/13808290/" xr:uid="{00000000-0004-0000-0100-000086010000}"/>
    <hyperlink ref="K610" r:id="rId392" display="https://foxsanantonio.com/newsletter-daily/fifth-grade-student-shot-with-bb-gun-on-school-playground-in-boerne-suspect-apprehended-recess-district-officials-precaution-police-investigation" xr:uid="{00000000-0004-0000-0100-000087010000}"/>
    <hyperlink ref="K612" r:id="rId393" display="https://www.fox5dc.com/news/dc-charter-school-struck-by-bullets-during-shooting-in-southeast" xr:uid="{00000000-0004-0000-0100-000088010000}"/>
    <hyperlink ref="K614" r:id="rId394" display="https://www.cleveland19.com/2023/09/17/police-man-shot-east-tech-high-school-parking-lot/" xr:uid="{00000000-0004-0000-0100-000089010000}"/>
    <hyperlink ref="K615" r:id="rId395" display="https://www.cbsnews.com/baltimore/news/two-teens-injured-by-gunfire-near-southwest-baltimore-elementary-school/" xr:uid="{00000000-0004-0000-0100-00008A010000}"/>
    <hyperlink ref="K616" r:id="rId396" display="https://www.fox32chicago.com/news/hillcrest-high-school-shooting-country-club-hills" xr:uid="{00000000-0004-0000-0100-00008B010000}"/>
    <hyperlink ref="K619" r:id="rId397" display="https://www.albanyherald.com/news/shooting-near-albany-elementary-school-under-investigation/article_958d3ce6-5303-11ee-b3fe-671ba7f87e57.html" xr:uid="{00000000-0004-0000-0100-00008C010000}"/>
    <hyperlink ref="K620" r:id="rId398" display="https://www.fox5dc.com/news/man-shot-near-2-dc-schools" xr:uid="{00000000-0004-0000-0100-00008D010000}"/>
    <hyperlink ref="K621" r:id="rId399" display="https://www.yakimaherald.com/news/local/crime_and_courts/14-year-old-wounded-in-gang-shooting-outside-eisenhower-high-school-lockdown-measures-lifted/article_940601a4-5188-11ee-a9f4-d3dc7788405f.html" xr:uid="{00000000-0004-0000-0100-00008E010000}"/>
    <hyperlink ref="K623" r:id="rId400" display="https://www.nbcwashington.com/news/local/prince-georges-county/girl-in-critical-condition-after-shooting-in-lanham-two-nearby-schools-on-lockdown/3420840/" xr:uid="{00000000-0004-0000-0100-00008F010000}"/>
    <hyperlink ref="K624" r:id="rId401" display="https://www.arkansasonline.com/news/2023/sep/11/north-little-rock-police-responding-to-gunshot-fired-inside-premiere-high-school/" xr:uid="{00000000-0004-0000-0100-000090010000}"/>
    <hyperlink ref="K626" r:id="rId402" display="https://www.robesonian.com/news/290864/ten-more-suspects-charged-in-shooting-during-lumberton-high-football-game" xr:uid="{00000000-0004-0000-0100-000091010000}"/>
    <hyperlink ref="K627" r:id="rId403" display="https://www.clickorlando.com/news/local/2023/09/06/woman-fired-gun-at-school-bus-in-titusville-police-say/" xr:uid="{00000000-0004-0000-0100-000092010000}"/>
    <hyperlink ref="K629" r:id="rId404" display="https://www.fox13memphis.com/news/shots-fired-in-area-of-melrose-high-mpd-says/article_8a2e7520-490f-11ee-951c-fbf57f8f8977.html" xr:uid="{00000000-0004-0000-0100-000093010000}"/>
    <hyperlink ref="K631" r:id="rId405" display="https://abc7chicago.com/chicago-shooting-teen-girl-shot-boy-mount-carmel-high-school/13728531/" xr:uid="{00000000-0004-0000-0100-000094010000}"/>
    <hyperlink ref="K632" r:id="rId406" display="https://www.wafb.com/2023/09/02/teenager-killed-shooting-port-allen-high-school/" xr:uid="{00000000-0004-0000-0100-000095010000}"/>
    <hyperlink ref="K633" r:id="rId407" display="https://www.kake.com/story/49575845/pellet-gun-fired-at-students-coaches-at-wellington-sports-practices" xr:uid="{00000000-0004-0000-0100-000096010000}"/>
    <hyperlink ref="K634" r:id="rId408" display="https://www.wlbt.com/2023/08/31/11-year-old-boy-fires-gun-toward-or-near-lincoln-co-school-bus/" xr:uid="{00000000-0004-0000-0100-000097010000}"/>
    <hyperlink ref="K635" r:id="rId409" display="https://www.king5.com/article/news/local/juveniles-fire-shots-outside-des-moines-elementary-school/281-59052b02-95e0-446e-b78a-c075503bf165" xr:uid="{00000000-0004-0000-0100-000098010000}"/>
    <hyperlink ref="K636" r:id="rId410" display="https://news3lv.com/news/instagram/las-vegas-police-investigate-shooting-reported-near-clark-high-school-lvmpd-metro-southern-nevada" xr:uid="{00000000-0004-0000-0100-000099010000}"/>
    <hyperlink ref="K637" r:id="rId411" display="https://www.facebook.com/100064977000498/posts/682497583926136..." xr:uid="{00000000-0004-0000-0100-00009A010000}"/>
    <hyperlink ref="K638" r:id="rId412" display="https://www.ddtonline.com/local-sports/leland-obannon-football-game-ends-shooting" xr:uid="{00000000-0004-0000-0100-00009B010000}"/>
    <hyperlink ref="K639" r:id="rId413" display="https://www.latimes.com/california/story/2023-08-27/shooting-maya-angelou-high-school-football-game" xr:uid="{00000000-0004-0000-0100-00009C010000}"/>
    <hyperlink ref="K640" r:id="rId414" display="https://www.fox23.com/news/local/mass-exodus-seen-at-booker-t-washington-football-game-gun-recovered-suspect-at-large/article_c7aa322c-43c4-11ee-b8b2-8b6327f63cb4.html" xr:uid="{00000000-0004-0000-0100-00009D010000}"/>
    <hyperlink ref="K641" r:id="rId415" display="https://abcnews4.com/news/local/georgetown-high-school-football-game-canceled-after-shots-fired-police-say-friday-night-sports" xr:uid="{00000000-0004-0000-0100-00009E010000}"/>
    <hyperlink ref="K643" r:id="rId416" display="https://www.taosnews.com/public-safety/taos-county-sheriffs-deputies-respond-to-shooting-near-ranchos-elementary-school/article_e0cf0aba-42ee-11ee-a38f-e3c0caddebe6.html" xr:uid="{00000000-0004-0000-0100-00009F010000}"/>
    <hyperlink ref="K646" r:id="rId417" display="https://www.abc15.com/news/region-phoenix-metro/north-phoenix/student-shot-by-bb-gun-on-school-bus-in-phoenix-phoenix-police-investigating" xr:uid="{00000000-0004-0000-0100-0000A0010000}"/>
    <hyperlink ref="K648" r:id="rId418" display="https://www.news9.com/story/64e5331547a1cb79b5e0625e/stillwater-high-school-students-accused-of-firing-gun-near-campus" xr:uid="{00000000-0004-0000-0100-0000A1010000}"/>
    <hyperlink ref="K649" r:id="rId419" display="https://www.wbir.com/article/news/crime/crossville-police-department-2-arrested-after-road-rage-shooting-in-school-parking-lot/51-b42a3f6c-39e6-4641-a03c-94d364edc2c7" xr:uid="{00000000-0004-0000-0100-0000A2010000}"/>
    <hyperlink ref="K650" r:id="rId420" display="https://www.ksat.com/news/local/2023/08/22/seguin-isd-elementary-student-discharges-loaded-gun-on-school-bus-nobody-injured/" xr:uid="{00000000-0004-0000-0100-0000A3010000}"/>
    <hyperlink ref="K651" r:id="rId421" display="https://www.wsbtv.com/news/local/cobb-county/17-year-old-cobb-county-student-shot-during-violent-altercation-after-high-school-football-game/FG6H5QBBMNBRHJMROUQWGAJD4Y/" xr:uid="{00000000-0004-0000-0100-0000A4010000}"/>
    <hyperlink ref="K652" r:id="rId422" display="https://ktla.com/news/local-news/teen-shot-high-school-football-game-rancho-cucamonga/" xr:uid="{00000000-0004-0000-0100-0000A5010000}"/>
    <hyperlink ref="K653" r:id="rId423" display="https://www.atlantanewsfirst.com/2023/08/20/discipline-issues-tiktok-challenges-several-high-school-football-games-canceled/" xr:uid="{00000000-0004-0000-0100-0000A6010000}"/>
    <hyperlink ref="K654" r:id="rId424" display="https://www.wlox.com/2023/08/19/16-year-old-shot-pascagoula-police-say/" xr:uid="{00000000-0004-0000-0100-0000A7010000}"/>
    <hyperlink ref="K655" r:id="rId425" display="https://www.firstcoastnews.com/article/news/crime/jacksonville-sheriffs-officer-officer-involved-shooting-starratt-road-duval-station-road-first-coast-ribault-high-football-game/77-52cf860d-27eb-4007-b011-0e3b812edd6d" xr:uid="{00000000-0004-0000-0100-0000A8010000}"/>
    <hyperlink ref="K656" r:id="rId426" display="https://www.wrdw.com/2023/08/16/josey-high-shooting-student-injured-shooter-at-large/" xr:uid="{00000000-0004-0000-0100-0000A9010000}"/>
    <hyperlink ref="K657" r:id="rId427" display="https://www.ktiv.com/2023/08/13/three-teens-arrested-after-shots-fired-northeast-nebraska/" xr:uid="{00000000-0004-0000-0100-0000AA010000}"/>
    <hyperlink ref="K659" r:id="rId428" display="https://www.actionnews5.com/2023/08/11/3-minors-1-adult-charged-cordova-high-school-jamboree-shooting/" xr:uid="{00000000-0004-0000-0100-0000AB010000}"/>
    <hyperlink ref="K660" r:id="rId429" display="https://www.news-gazette.com/news/local/courts-police-fire/police-investigating-shot-fired-into-window-at-champaign-elementary-school/article_2f53ca52-438b-5584-a3dd-439007eb6d2b.html" xr:uid="{00000000-0004-0000-0100-0000AC010000}"/>
    <hyperlink ref="K661" r:id="rId430" display="https://www.kiro7.com/news/local/kids-playing-with-spent-casing-leads-seattle-police-discovering-shots-fired-school/PQD4YFMXYVDXPLDANAUG4JYU5Q/" xr:uid="{00000000-0004-0000-0100-0000AD010000}"/>
    <hyperlink ref="K663" r:id="rId431" display="https://wjla.com/news/local/shooting-adams-morgan-kalorama-deadly-nw-dc-metropolitan-police-department-mpd-near-marie-reed-elementary-school-soccer-field-basketball-court-18-street-northwest-rec-center" xr:uid="{00000000-0004-0000-0100-0000AE010000}"/>
    <hyperlink ref="K664" r:id="rId432" display="https://www.fox13memphis.com/news/security-guard-shot-at-memphis-high-school-police-say/article_d887aebe-2aea-11ee-8f4b-9339c33a29be.html" xr:uid="{00000000-0004-0000-0100-0000AF010000}"/>
    <hyperlink ref="K665" r:id="rId433" display="https://myfox8.com/news/north-carolina/charlotte/fight-between-two-adults-leads-to-shooting-at-north-carolina-high-school-police-say/" xr:uid="{00000000-0004-0000-0100-0000B0010000}"/>
    <hyperlink ref="K666" r:id="rId434" display="https://www.pennlive.com/crime/2023/08/15-year-old-charged-in-fatal-shooting-near-harrisburg-high-school.html" xr:uid="{00000000-0004-0000-0100-0000B1010000}"/>
    <hyperlink ref="K668" r:id="rId435" display="https://www.wsbtv.com/news/local/man-kidnaps-ex-girlfriend-work-kills-her-after-chase-ends-outside-metro-high-school-police-say/I4Z2FR7NWBCB3H5B2CIISUKRV4/" xr:uid="{00000000-0004-0000-0100-0000B2010000}"/>
    <hyperlink ref="K669" r:id="rId436" display="https://news4sanantonio.com/news/local/juvenile-arrested-after-firing-shots-in-san-antonio-elementary-school-parking-lot-crime-local-bexar-county-young-gun-police" xr:uid="{00000000-0004-0000-0100-0000B3010000}"/>
    <hyperlink ref="K670" r:id="rId437" display="https://dailyvoice.com/new-york/capital-district/16-year-old-in-critical-condition-after-shooting-near-troy-elementary-school/" xr:uid="{00000000-0004-0000-0100-0000B4010000}"/>
    <hyperlink ref="K673" r:id="rId438" display="https://www.fox19.com/2023/07/07/man-shot-front-hughes-high-school-overnight/" xr:uid="{00000000-0004-0000-0100-0000B5010000}"/>
    <hyperlink ref="K676" r:id="rId439" display="https://www.thedailycitizen.com/news/searcy-29-year-old-arrested-thursday-after-shot-fired-behind-southwest-middle-school/article_df8b3bff-7239-5975-b421-47c0db37f071.html" xr:uid="{00000000-0004-0000-0100-0000B6010000}"/>
    <hyperlink ref="K677" r:id="rId440" display="https://news.yahoo.com/man-shot-front-elementary-school-095900208.html" xr:uid="{00000000-0004-0000-0100-0000B7010000}"/>
    <hyperlink ref="K679" r:id="rId441" display="https://www.wrbl.com/news/crime/cpd-investigating-shooting-behind-kendrick-high-school/" xr:uid="{00000000-0004-0000-0100-0000B8010000}"/>
    <hyperlink ref="K680" r:id="rId442" display="https://www.wusa9.com/video/news/crime/dc-shooting-sends-school-into-lockdown/65-61405cfc-90e5-42c9-836a-fe0d65820db5" xr:uid="{00000000-0004-0000-0100-0000B9010000}"/>
    <hyperlink ref="K681" r:id="rId443" display="https://www.wisn.com/article/school-bus-hit-by-gunfire-in-milwaukee/44115821" xr:uid="{00000000-0004-0000-0100-0000BA010000}"/>
    <hyperlink ref="K682" r:id="rId444" display="https://www.arlnow.com/2023/06/07/now-police-on-scene-of-reported-fight-and-shot-fired-in-green-valley/" xr:uid="{00000000-0004-0000-0100-0000BB010000}"/>
    <hyperlink ref="K688" r:id="rId445" display="https://news.yahoo.com/fort-worth-man-shot-near-012048702.html?guccounter=1&amp;guce_referrer=aHR0cHM6Ly93d3cuZ29vZ2xlLmNvbS8&amp;guce_referrer_sig=AQAAABJIcvttMv8xsAuRvsDxvk35jWdjY6pydSEBlBolFEbIzh1dkmrLAxX9HfNybnJR3OW0lC-1BPWz6WzO3b_mG1CxdvT7iB5WrdNqIpVp3sfAUnLgQuIZJ28DaLsqlZr_MlZ7YEXAaBSoCykD4i9KuC0sPwZD4jlwrSXELIDqY4fX" xr:uid="{00000000-0004-0000-0100-0000BC010000}"/>
    <hyperlink ref="K691" r:id="rId446" display="https://westchester.news12.com/police-shots-fired-outside-school-in-town-of-wallkill" xr:uid="{00000000-0004-0000-0100-0000BD010000}"/>
    <hyperlink ref="K693" r:id="rId447" display="https://www.pahomepage.com/news/crime-courts/stolen-truck-dumped-shot-up-near-elementary-school/" xr:uid="{00000000-0004-0000-0100-0000BE010000}"/>
    <hyperlink ref="K694" r:id="rId448" display="https://www.nbc4i.com/news/local-news/columbus/berwick-shooting-near-elementary-school-leaves-one-injured/" xr:uid="{00000000-0004-0000-0100-0000BF010000}"/>
    <hyperlink ref="K698" r:id="rId449" display="https://abc11.com/northern-high-school-lockdown-secure-status-durham/13294368/" xr:uid="{00000000-0004-0000-0100-0000C0010000}"/>
    <hyperlink ref="K701" r:id="rId450" display="https://www.boston25news.com/news/local/police-accidental-discharge-officers-gun-prompted-huge-emergency-response-st-johns-prep/Y4CKJ7TLXZAXNIYNMLOC4KB7RM/" xr:uid="{00000000-0004-0000-0100-0000C1010000}"/>
    <hyperlink ref="K703" r:id="rId451" display="https://www.tapinto.net/towns/newark/sections/police-and-fire/articles/person-of-interest-arrested-in-shooting-of-newark-13-year-old" xr:uid="{00000000-0004-0000-0100-0000C2010000}"/>
    <hyperlink ref="K705" r:id="rId452" display="https://doverpolice.org/2023/05/19/shots-fired-leaves-dover-home-and-fairview-elementary-school-damaged/" xr:uid="{00000000-0004-0000-0100-0000C3010000}"/>
    <hyperlink ref="K707" r:id="rId453" display="https://www.capitolhillseattle.com/2023/05/one-reported-injured-in-garfield-high-school-parking-lot-shooting/" xr:uid="{00000000-0004-0000-0100-0000C4010000}"/>
    <hyperlink ref="K708" r:id="rId454" display="https://www.cbsnews.com/losangeles/news/lapd-chase-armed-motorcyclist-accused-of-waving-a-gun-near-chaminade-high-school/" xr:uid="{00000000-0004-0000-0100-0000C5010000}"/>
    <hyperlink ref="K709" r:id="rId455" display="https://www.nbcwashington.com/news/local/teen-shot-outside-roosevelt-high-school-in-dc-police/3350120/" xr:uid="{00000000-0004-0000-0100-0000C6010000}"/>
    <hyperlink ref="K712" r:id="rId456" display="https://www.kare11.com/article/news/crime/2-juveniles-charged-for-stolen-kia-weapons-shots-fired-at-davis-center/89-01623e39-2f89-46d9-90b8-4de86e347f2e" xr:uid="{00000000-0004-0000-0100-0000C7010000}"/>
    <hyperlink ref="K713" r:id="rId457" display="https://katu.com/news/local/police-determine-gun-a-fake-in-creative-science-school-lockdown" xr:uid="{00000000-0004-0000-0100-0000C8010000}"/>
    <hyperlink ref="K714" r:id="rId458" display="https://fox59.com/news/indycrime/2-teens-arrested-after-guns-were-found-at-indianapolis-metropolitan-high-school/" xr:uid="{00000000-0004-0000-0100-0000C9010000}"/>
    <hyperlink ref="K715" r:id="rId459" display="https://www.vvdailypress.com/story/news/crime/2023/05/18/shots-fired-toward-pinon-hills-elementary-school-led-to-arrest-of-man/70230116007/" xr:uid="{00000000-0004-0000-0100-0000CA010000}"/>
    <hyperlink ref="K718" r:id="rId460" display="https://www.wusa9.com/article/news/crime/four-shooting-investigations-in-dc/65-99862e36-17c2-436e-8f56-c2bf33eb30f7" xr:uid="{00000000-0004-0000-0100-0000CB010000}"/>
    <hyperlink ref="K720" r:id="rId461" display="https://abc7chicago.com/gun-at-school-richton-park-il-police-neil-armstrong-elementary/13231590/" xr:uid="{00000000-0004-0000-0100-0000CC010000}"/>
    <hyperlink ref="K721" r:id="rId462" display="https://nypost.com/2023/05/11/16-year-old-girl-shot-in-head-outside-nyc-school/" xr:uid="{00000000-0004-0000-0100-0000CD010000}"/>
    <hyperlink ref="K722" r:id="rId463" display="https://www.nbcbayarea.com/news/local/east-bay/shooting-castlemont-high-school-oakland/3225716/" xr:uid="{00000000-0004-0000-0100-0000CE010000}"/>
    <hyperlink ref="K723" r:id="rId464" display="https://www.live5news.com/2023/05/12/middle-school-student-charged-with-pointing-gun-school-property/" xr:uid="{00000000-0004-0000-0100-0000CF010000}"/>
    <hyperlink ref="K724" r:id="rId465" display="https://whyy.org/articles/gun-fired-rhodes-elementary-school-north-philadelphia/" xr:uid="{00000000-0004-0000-0100-0000D0010000}"/>
    <hyperlink ref="K725" r:id="rId466" display="https://www.ktnv.com/news/brother-of-ccsd-security-monitor-shooting-suspect-now-facing-felony-conspiracy-charges" xr:uid="{00000000-0004-0000-0100-0000D1010000}"/>
    <hyperlink ref="K727" r:id="rId467" display="https://www.14news.com/2023/05/05/epd-investigating-early-friday-shooting-near-lincoln-school/" xr:uid="{00000000-0004-0000-0100-0000D2010000}"/>
    <hyperlink ref="K728" r:id="rId468" display="https://www.wavy.com/news/north-carolina/police-investigate-shots-fired-near-john-a-holmes-high-school-in-edenton/" xr:uid="{00000000-0004-0000-0100-0000D3010000}"/>
    <hyperlink ref="K729" r:id="rId469" display="https://www.azcentral.com/story/news/local/mesa-breaking/2023/05/02/man-injured-in-shooting-near-mesa-elementary-school/70174825007/" xr:uid="{00000000-0004-0000-0100-0000D4010000}"/>
    <hyperlink ref="K730" r:id="rId470" display="https://upnorthlive.com/news/local/michigan-woman-picking-up-child-is-charged-in-shooting-outside-school" xr:uid="{00000000-0004-0000-0100-0000D5010000}"/>
    <hyperlink ref="K732" r:id="rId471" display="https://www.kfvs12.com/2023/04/30/4-injured-shooting-prom-after-party-paducah/" xr:uid="{00000000-0004-0000-0100-0000D6010000}"/>
    <hyperlink ref="K733" r:id="rId472" display="https://www.nbclosangeles.com/news/local/shots-fired-after-high-school-prom/3144633/" xr:uid="{00000000-0004-0000-0100-0000D7010000}"/>
    <hyperlink ref="K734" r:id="rId473" display="https://www.wvlt.tv/2023/04/28/west-high-school-dismisses-after-lockdown/" xr:uid="{00000000-0004-0000-0100-0000D8010000}"/>
    <hyperlink ref="K736" r:id="rId474" display="https://www.ajc.com/education/bullet-damage-found-twice-at-cobb-county-elementary-school/KZVVQFK33VFVPK7AIBKELPI62A/" xr:uid="{00000000-0004-0000-0100-0000D9010000}"/>
    <hyperlink ref="K737" r:id="rId475" display="https://www.wdio.com/front-page/top-stories/10-students-struck-by-air-soft-gun-at-recess/" xr:uid="{00000000-0004-0000-0100-0000DA010000}"/>
    <hyperlink ref="K738" r:id="rId476" display="https://www.wtnh.com/news/connecticut/new-haven/shots-fired-in-new-haven-school-parking-lot-officials/" xr:uid="{00000000-0004-0000-0100-0000DB010000}"/>
    <hyperlink ref="K739" r:id="rId477" display="https://www.fox5vegas.com/2023/04/25/police-investigating-after-henderson-school-allegedly-shot-monday-night/" xr:uid="{00000000-0004-0000-0100-0000DC010000}"/>
    <hyperlink ref="K740" r:id="rId478" display="https://ktla.com/news/local-news/man-shot-to-death-outside-high-school-in-willowbook/" xr:uid="{00000000-0004-0000-0100-0000DD010000}"/>
    <hyperlink ref="K741" r:id="rId479" display="https://godanriver.com/shots-fired-near-danville-school-no-injuries-reported/article_3cdf154e-e236-11ed-8f4b-9388d96c6ba2.html" xr:uid="{00000000-0004-0000-0100-0000DE010000}"/>
    <hyperlink ref="K742" r:id="rId480" display="https://katv.com/news/local/shooting-near-central-high-school-causes-brief-lockdown-15th-and-jones-street" xr:uid="{00000000-0004-0000-0100-0000DF010000}"/>
    <hyperlink ref="K743" r:id="rId481" display="https://www.fox35orlando.com/news/i-wouldve-shot-him-twice-florida-parent-arrested-for-road-rage-incident-near-childs-elementary-school" xr:uid="{00000000-0004-0000-0100-0000E0010000}"/>
    <hyperlink ref="K745" r:id="rId482" display="https://www.nola.com/news/crime_police/school-bus-hit-in-monday-afternoon-shooting-police-say/article_e07e8304-de28-11ed-91f8-1ba20fd94b64.html" xr:uid="{00000000-0004-0000-0100-0000E1010000}"/>
    <hyperlink ref="K746" r:id="rId483" display="https://www.fox6now.com/news/waukesha-north-school-gun" xr:uid="{00000000-0004-0000-0100-0000E2010000}"/>
    <hyperlink ref="K747" r:id="rId484" display="https://www.cbsnews.com/pittsburgh/news/school-bus-hit-by-bullet-in-swissvale-stemming-from-incident-in-edgewood-town-center/" xr:uid="{00000000-0004-0000-0100-0000E3010000}"/>
    <hyperlink ref="K749" r:id="rId485" display="https://wgntv.com/news/chicagocrime/school-bus-damaged-by-gunfire-during-attempted-carjacking-on-west-side/" xr:uid="{00000000-0004-0000-0100-0000E4010000}"/>
    <hyperlink ref="K750" r:id="rId486" display="https://abc13.com/teenager-shot-south-gessner-shots-fired-west-bellfort-shooting-teen-hurt-in/13117314/" xr:uid="{00000000-0004-0000-0100-0000E5010000}"/>
    <hyperlink ref="K751" r:id="rId487" display="https://www.cbsnews.com/sacramento/news/stockton-mourns-thai-khin-chavez-high-teen-killed-in-shooting-at-park-near-school/" xr:uid="{00000000-0004-0000-0100-0000E6010000}"/>
    <hyperlink ref="K752" r:id="rId488" display="https://www.seattletimes.com/seattle-news/law-justice/seattle-police-investigating-homicide-near-chief-sealth-high-school/" xr:uid="{00000000-0004-0000-0100-0000E7010000}"/>
    <hyperlink ref="K753" r:id="rId489" display="https://www.witn.com/2023/04/07/greenville-police-investigating-apparent-accidental-shooting-school-bus/" xr:uid="{00000000-0004-0000-0100-0000E8010000}"/>
    <hyperlink ref="K754" r:id="rId490" display="https://www.king5.com/article/news/local/man-sentenced-fatal-shooting-nathan-hale-high-school/281-205d3c67-0000-4d03-a144-06a8194250e1" xr:uid="{00000000-0004-0000-0100-0000E9010000}"/>
    <hyperlink ref="K755" r:id="rId491" display="https://www.wyff4.com/article/neighbors-frightened-drive-by-shooting-elementary-school-playground/43522483" xr:uid="{00000000-0004-0000-0100-0000EA010000}"/>
    <hyperlink ref="K757" r:id="rId492" display="https://www.houstonchronicle.com/news/houston-texas/crime/article/houston-chavez-high-school-3d-printed-gun-18086071.php" xr:uid="{00000000-0004-0000-0100-0000EB010000}"/>
    <hyperlink ref="K758" r:id="rId493" display="https://www.wlwt.com/article/cincinnati-juveniles-charged-felonious-assault-after-shooting-near-woodward-high-school/43594486" xr:uid="{00000000-0004-0000-0100-0000EC010000}"/>
    <hyperlink ref="K759" r:id="rId494" display="https://6abc.com/philadelphia-shooting-2-teens-shot-father-judge-high-school-shots-fired/13082808/" xr:uid="{00000000-0004-0000-0100-0000ED010000}"/>
    <hyperlink ref="K761" r:id="rId495" display="https://www.wlbt.com/2023/03/31/vehicle-riddled-with-bullets-near-elementary-school-jackson/" xr:uid="{00000000-0004-0000-0100-0000EE010000}"/>
    <hyperlink ref="K762" r:id="rId496" display="https://www.wusa9.com/article/news/local/dc/teen-shot-cardozo-education-campus/65-38ad044a-189d-40e8-bf39-30ff4c855188" xr:uid="{00000000-0004-0000-0100-0000EF010000}"/>
    <hyperlink ref="K763" r:id="rId497" display="https://www.actionnewsnow.com/news/police-officers-respond-to-report-of-shot-child-in-elementary-school-parking-lot-friday/article_2bd6f258-d0ac-11ed-9ceb-d7abf9d9f12c.html" xr:uid="{00000000-0004-0000-0100-0000F0010000}"/>
    <hyperlink ref="K764" r:id="rId498" display="https://www.facebook.com/rbpd.org?fref=mentions" xr:uid="{00000000-0004-0000-0100-0000F1010000}"/>
    <hyperlink ref="K766" r:id="rId499" display="https://moco360.media/2023/03/30/shooting-occurs-outside-elementary-school-in-olney/" xr:uid="{00000000-0004-0000-0100-0000F2010000}"/>
    <hyperlink ref="K767" r:id="rId500" display="https://www.atlantanewsfirst.com/2023/03/29/douglas-county-sheriff-looking-man-involved-shooting-near-high-school/" xr:uid="{00000000-0004-0000-0100-0000F3010000}"/>
    <hyperlink ref="K769" r:id="rId501" display="https://www.courierpostonline.com/story/news/local/2023/03/24/millville-nj-thunderbolt-academy-shelter-in-place-after-gun-shots/70045194007/" xr:uid="{00000000-0004-0000-0100-0000F4010000}"/>
    <hyperlink ref="K770" r:id="rId502" display="https://wsbt.com/news/local/lockdown-lifted-following-emergency-at-northridge-middle-school-elkhart-county-developing-dismissal" xr:uid="{00000000-0004-0000-0100-0000F5010000}"/>
    <hyperlink ref="K771" r:id="rId503" display="https://www.fox13memphis.com/news/police-looking-for-child-who-opened-fire-near-memphis-high-school-mpd-says/article_0dc7e62c-cfd6-11ed-83d7-c3a92d0c1c61.html" xr:uid="{00000000-0004-0000-0100-0000F6010000}"/>
    <hyperlink ref="K772" r:id="rId504" display="https://6abc.com/kingsessing-school-lockdown-hardy-williams-charter-warrington-avenue-shooting-philadelphia/12991741/" xr:uid="{00000000-0004-0000-0100-0000F7010000}"/>
    <hyperlink ref="K773" r:id="rId505" display="https://www.9news.com/article/news/crime/police-report-new-details-east-high-school-shooting-safety-plan/73-cda6ee08-cbff-4389-a471-dcea88bb078e" xr:uid="{00000000-0004-0000-0100-0000F8010000}"/>
    <hyperlink ref="K774" r:id="rId506" display="https://abc3340.com/news/local/student-shot-at-anniston-high-school-school-evacuated-fake-bomb-threat-shooting-injured-tile-floor-grazed-injuries-police-department-investigating" xr:uid="{00000000-0004-0000-0100-0000F9010000}"/>
    <hyperlink ref="K777" r:id="rId507" display="https://www.kezi.com/news/bullets-hit-sweet-home-elementary-school-neighbors-and-parents-outraged/article_a091589e-e3a9-11ed-91c8-8375068bd128.html" xr:uid="{00000000-0004-0000-0100-0000FA010000}"/>
    <hyperlink ref="K778" r:id="rId508" display="https://abc7ny.com/nyc-crime-bronx-16-year-old-shot-mott-haven/12964197/" xr:uid="{00000000-0004-0000-0100-0000FB010000}"/>
    <hyperlink ref="K781" r:id="rId509" display="https://www.fox17online.com/news/local-news/kent/wyoming-dps-grandville-pd-respond-to-shots-fired-near-school" xr:uid="{00000000-0004-0000-0100-0000FC010000}"/>
    <hyperlink ref="K782" r:id="rId510" display="https://www.9news.com/article/news/crime/teens-charged-brighton-shooting/73-49712006-34c3-4896-a240-9327701d6ba1" xr:uid="{00000000-0004-0000-0100-0000FD010000}"/>
    <hyperlink ref="K783" r:id="rId511" display="https://www.lodinews.com/news/article_0ca87658-c41e-11ed-b153-b764e5baf4f5.html" xr:uid="{00000000-0004-0000-0100-0000FE010000}"/>
    <hyperlink ref="K785" r:id="rId512" display="https://www.cbsnews.com/newyork/live-updates/nypd-says-three-manhattan-shootings-may-be-connected/" xr:uid="{00000000-0004-0000-0100-0000FF010000}"/>
    <hyperlink ref="K787" r:id="rId513" display="https://www.fox6now.com/news/shots-fired-barack-obama-school-man-charged" xr:uid="{00000000-0004-0000-0100-000000020000}"/>
    <hyperlink ref="K788" r:id="rId514" display="https://www.news5cleveland.com/news/local-news/1-injured-after-shooting-near-maple-heights-high-school-police-ask-for-publics-help" xr:uid="{00000000-0004-0000-0100-000001020000}"/>
    <hyperlink ref="K789" r:id="rId515" display="https://www.wvnstv.com/news/crime/summers-county-crime/man-arrested-after-shots-fired-near-elementary-school-in-summers-county/" xr:uid="{00000000-0004-0000-0100-000002020000}"/>
    <hyperlink ref="K790" r:id="rId516" display="https://www.nbcphiladelphia.com/news/local/person-shot-near-school-in-west-philadelphia-police-say/3517052/" xr:uid="{00000000-0004-0000-0100-000003020000}"/>
    <hyperlink ref="K791" r:id="rId517" display="https://fox59.com/news/indycrime/person-shot-near-east-side-indy-high-school/" xr:uid="{00000000-0004-0000-0100-000004020000}"/>
    <hyperlink ref="K793" r:id="rId518" display="https://nypost.com/2023/03/07/15-year-old-shot-outside-nycs-park-west-high-school/" xr:uid="{00000000-0004-0000-0100-000005020000}"/>
    <hyperlink ref="K797" r:id="rId519" display="https://www.montanarightnow.com/great-falls/two-boys-detained-for-shooting-a-bb-gun-towards-a-lewistown-elementary-school/article_edf116c8-b9fc-11ed-b140-ebb2cc17b0c6.html" xr:uid="{00000000-0004-0000-0100-000006020000}"/>
    <hyperlink ref="K798" r:id="rId520" display="https://chicago.suntimes.com/crime/2023/3/2/23622163/andres-vasquez-lasso-chicago-police-officer-slain-kids-sawyer-elementary-gage-park" xr:uid="{00000000-0004-0000-0100-000007020000}"/>
    <hyperlink ref="K799" r:id="rId521" display="https://www.kfvs12.com/2023/03/01/marion-ill-police-investigating-after-students-believed-be-shot-with-airsoft-pellets/" xr:uid="{00000000-0004-0000-0100-000008020000}"/>
    <hyperlink ref="K800" r:id="rId522" display="https://www.wjcl.com/article/savannah-high-school-shooting-arrest/43166741" xr:uid="{00000000-0004-0000-0100-000009020000}"/>
    <hyperlink ref="K801" r:id="rId523" display="https://www.kktv.com/2023/03/01/standoff-near-pueblo-county-elementary-school-ends-with-suspect-shot/" xr:uid="{00000000-0004-0000-0100-00000A020000}"/>
    <hyperlink ref="K802" r:id="rId524" display="https://www.cbsnews.com/losangeles/news/cerritos-shooting-investigation-shuts-down-gahr-high-school/" xr:uid="{00000000-0004-0000-0100-00000B020000}"/>
    <hyperlink ref="K803" r:id="rId525" display="https://www.wcpo.com/news/local-news/hamilton-county/cincinnati/bond-hill/woodward-high-school-briefly-put-on-lockdown-after-person-shot-nearby" xr:uid="{00000000-0004-0000-0100-00000C020000}"/>
    <hyperlink ref="K804" r:id="rId526" display="https://www.justice.gov/usao-ednc/pr/wilmington-crips-gang-member-who-fired-sawed-rifle-near-school-sentenced-15-years" xr:uid="{00000000-0004-0000-0100-00000D020000}"/>
    <hyperlink ref="K805" r:id="rId527" display="https://www.sacbee.com/news/nation-world/national/article272581192.html" xr:uid="{00000000-0004-0000-0100-00000E020000}"/>
    <hyperlink ref="K806" r:id="rId528" display="https://www.ksla.com/2023/02/21/bullet-interrupts-high-school-softball-game/" xr:uid="{00000000-0004-0000-0100-00000F020000}"/>
    <hyperlink ref="K808" r:id="rId529" display="https://abc7chicago.com/chicago-shooting-today-catalyst-circle-rock-charter-school-south-austin/12833547/" xr:uid="{00000000-0004-0000-0100-000010020000}"/>
    <hyperlink ref="K809" r:id="rId530" display="https://www.fox26houston.com/news/friends-and-family-are-grieving-after-a-17-year-old-high-school-senior-is-shot-to-death-near-his-school" xr:uid="{00000000-0004-0000-0100-000011020000}"/>
    <hyperlink ref="K810" r:id="rId531" display="https://cw39.com/news/local/aldine-isd-police-officer-fires-gun-during-fight-outside-davis-high-school-authorities-said/" xr:uid="{00000000-0004-0000-0100-000012020000}"/>
    <hyperlink ref="K814" r:id="rId532" display="https://www.fox5atlanta.com/news/gun-fired-inside-dekalb-county-middle-school-classroom-officials-say" xr:uid="{00000000-0004-0000-0100-000013020000}"/>
    <hyperlink ref="K815" r:id="rId533" display="https://abc7amarillo.com/news/local/dalhart-isd-police-identify-student-killed-in-accidental-shooting-in-school-parking-lot-preston-ralston-dalhart-texas-gun-crime-accidental-discharge" xr:uid="{00000000-0004-0000-0100-000014020000}"/>
    <hyperlink ref="K816" r:id="rId534" display="https://www.9news.com/article/news/crime/downtown-denver-shooting/73-3ca39d22-248c-4bb5-8fc5-d79efdb59ec3" xr:uid="{00000000-0004-0000-0100-000015020000}"/>
    <hyperlink ref="K817" r:id="rId535" display="https://www.cbsnews.com/newyork/news/staten-island-elementary-school-shots-fired-stapleton-ps-78/" xr:uid="{00000000-0004-0000-0100-000016020000}"/>
    <hyperlink ref="K819" r:id="rId536" display="https://www.fresnobee.com/news/local/crime/article272400143.html" xr:uid="{00000000-0004-0000-0100-000017020000}"/>
    <hyperlink ref="K820" r:id="rId537" display="https://bronx.news12.com/nypd-3-people-shot-near-williamsburg-charter-school" xr:uid="{00000000-0004-0000-0100-000018020000}"/>
    <hyperlink ref="K821" r:id="rId538" display="https://www.mainlinemedianews.com/2024/07/15/pottstown-woman-admits-possessing-gun-on-spring-ford-area-high-school-campus/" xr:uid="{00000000-0004-0000-0100-000019020000}"/>
    <hyperlink ref="K822" r:id="rId539" display="https://www.cbsnews.com/miami/news/possible-shooting-at-miami-norland-senior-high-school-under-investigation/" xr:uid="{00000000-0004-0000-0100-00001A020000}"/>
    <hyperlink ref="K824" r:id="rId540" display="https://katv.com/news/local/arkansas-teenager-arrested-after-bringing-a-gun-to-a-basketball-game-police-say-fort-smith-kimmons-middle-school-14-year-old-boy-charged-aggravated-assault-and-terroristic-threatening-arkansas-teen-violence-mental-health-juvenile-crime" xr:uid="{00000000-0004-0000-0100-00001B020000}"/>
    <hyperlink ref="K825" r:id="rId541" display="https://gephardtdaily.com/local/man-18-jailed-after-allegedly-firing-gun-during-fight-outside-st-george-elementary-school/" xr:uid="{00000000-0004-0000-0100-00001C020000}"/>
    <hyperlink ref="K827" r:id="rId542" display="https://kfor.com/news/local/could-have-been-very-tragic-gun-accidentally-fired-near-elementary-school-strikes-teachers-car/" xr:uid="{00000000-0004-0000-0100-00001D020000}"/>
    <hyperlink ref="K829" r:id="rId543" display="https://www.wusa9.com/article/news/crime/shooting-causes-school-lockdowns-dc/65-cc671c95-fcfc-4932-bcc1-5cf1a27b3033" xr:uid="{00000000-0004-0000-0100-00001E020000}"/>
    <hyperlink ref="K830" r:id="rId544" display="https://www.12news.com/article/news/local/arizona/police-shots-fired-outside-high-school-yuma/75-28dcccc7-6502-4841-bf91-5252b4ab02ec" xr:uid="{00000000-0004-0000-0100-00001F020000}"/>
    <hyperlink ref="K831" r:id="rId545" display="https://www.fox10tv.com/2023/02/01/one-vehicle-elementary-school-hit-by-bullets-after-shots-fired-nearby/" xr:uid="{00000000-0004-0000-0100-000020020000}"/>
    <hyperlink ref="K832" r:id="rId546" display="https://www.ky3.com/2023/01/29/spd-officers-investigating-shots-fired-near-glendale-high-school/" xr:uid="{00000000-0004-0000-0100-000021020000}"/>
    <hyperlink ref="K833" r:id="rId547" display="https://wpgtalkradio.com/monroe-twp-nj-police-teen-fired-flare-gun-at-another-teen-inside-elementary-school/" xr:uid="{00000000-0004-0000-0100-000022020000}"/>
    <hyperlink ref="K834" r:id="rId548" display="https://www.abc4.com/news/wasatch-front/shots-fired-taylorsville-high-school/" xr:uid="{00000000-0004-0000-0100-000023020000}"/>
    <hyperlink ref="K835" r:id="rId549" display="https://www.13abc.com/2023/01/25/police-tps-school-bus-hit-by-gunfire-with-students-board/" xr:uid="{00000000-0004-0000-0100-000024020000}"/>
    <hyperlink ref="K836" r:id="rId550" display="https://fox4kc.com/news/kansas-city-police-find-shooting-victim-near-high-school/" xr:uid="{00000000-0004-0000-0100-000025020000}"/>
    <hyperlink ref="K840" r:id="rId551" display="https://cbs12.com/news/local/henry-williams-arrested-bringing-firearm-to-glades-central-high-school-january-21" xr:uid="{00000000-0004-0000-0100-000026020000}"/>
    <hyperlink ref="K842" r:id="rId552" display="https://pix11.com/news/local-news/brooklyn/teen-shot-after-leaving-basketball-game-at-brooklyn-school-police-say/" xr:uid="{00000000-0004-0000-0100-000027020000}"/>
    <hyperlink ref="K843" r:id="rId553" display="https://okcfox.com/news/local/arrest-made-in-del-city-high-school-basketball-game-shooting-mid-del-schools-del-city-police-oklahoma-city-oklahoma-county-detention-center-gunshots-fired-at-high-school-basketball-game" xr:uid="{00000000-0004-0000-0100-000028020000}"/>
    <hyperlink ref="K844" r:id="rId554" display="https://pix11.com/news/local-news/queens/boy-13-arrested-in-shooting-of-2-other-teens-outside-queens-school-police/" xr:uid="{00000000-0004-0000-0100-000029020000}"/>
    <hyperlink ref="K845" r:id="rId555" display="https://www.wtsp.com/article/news/local/manateecounty/manatee-county-school-buses-shot-bb-guns/67-a515a957-59ce-4552-9cb7-3897ddd4f919" xr:uid="{00000000-0004-0000-0100-00002A020000}"/>
    <hyperlink ref="K846" r:id="rId556" display="https://www.usnews.com/news/best-states/vermont/articles/2023-01-11/police-teacher-shot-with-pellet-gun-injury-superficial" xr:uid="{00000000-0004-0000-0100-00002B020000}"/>
    <hyperlink ref="K848" r:id="rId557" display="https://www.abc4.com/news/central-utah/student-injured-after-shots-fired-at-saratoga-springs-high-school-wrestling-team-bus/" xr:uid="{00000000-0004-0000-0100-00002C020000}"/>
    <hyperlink ref="K849" r:id="rId558" display="https://www.news5cleveland.com/news/local-news/cleveland-metro/john-adams-high-school-closes-wednesday-after-student-shot-killed-at-bus-stop-tuesday" xr:uid="{00000000-0004-0000-0100-00002D020000}"/>
    <hyperlink ref="K850" r:id="rId559" display="https://www.wwltv.com/article/news/crime/nopd-investigating-shooting-at-booker-t-washington-high-school/289-4590bc69-0374-4c8a-9c77-6f03c773324b" xr:uid="{00000000-0004-0000-0100-00002E020000}"/>
    <hyperlink ref="K851" r:id="rId560" display="https://www.lex18.com/news/police-respond-to-incident-involving-a-staff-member-at-stanford-elementary" xr:uid="{00000000-0004-0000-0100-00002F020000}"/>
    <hyperlink ref="K853" r:id="rId561" display="https://www.potomaclocal.com/2023/01/10/philadelphia-man-shot-pellets-at-county-school-bus-police-said/" xr:uid="{00000000-0004-0000-0100-000030020000}"/>
    <hyperlink ref="K854" r:id="rId562" display="https://www.portlandoregon.gov/police/news/read.cfm?id=452696" xr:uid="{00000000-0004-0000-0100-000031020000}"/>
    <hyperlink ref="K858" r:id="rId563" display="https://www.wftv.com/news/local/orange-county/orange-county-deputies-search-suspect-after-teen-shot-near-wekiva-high-school/XMT6V3ZCMVGOBHT2OKVEMFVLLI/" xr:uid="{00000000-0004-0000-0100-000032020000}"/>
    <hyperlink ref="K859" r:id="rId564" display="https://abc6onyourside.com/news/local/columbus-city-schools-beechcroft-high-school-shots-fired-at-building-black-colored-suv-no-injuries-were-reported" xr:uid="{00000000-0004-0000-0100-000033020000}"/>
    <hyperlink ref="K861" r:id="rId565" display="https://www.clickondetroit.com/news/local/2023/01/04/man-killed-in-shooting-outside-trix-academy-on-detroits-east-side/" xr:uid="{00000000-0004-0000-0100-000034020000}"/>
    <hyperlink ref="K863" r:id="rId566" display="https://www.davisenterprise.com/news/local/woodland-police-investigate-chase-shooting-near-school-campus/" xr:uid="{00000000-0004-0000-0100-000035020000}"/>
    <hyperlink ref="K865" r:id="rId567" display="https://www.nbc4i.com/news/local-news/columbus/police-shots-fired-outside-columbus-school/" xr:uid="{00000000-0004-0000-0100-000036020000}"/>
    <hyperlink ref="K866" r:id="rId568" display="https://katu.com/news/local/police-presence-at-cleveland-high-school-monday-afternoon" xr:uid="{00000000-0004-0000-0100-000037020000}"/>
    <hyperlink ref="K868" r:id="rId569" display="https://6abc.com/shooting-homicide/12554428/" xr:uid="{00000000-0004-0000-0100-000038020000}"/>
    <hyperlink ref="K869" r:id="rId570" display="https://www.whio.com/news/crime-and-law/large-fight-shots-fired-meadowdale-high-school/FK6OII7FJFAO7OSU4FVY6K3BSU/" xr:uid="{00000000-0004-0000-0100-000039020000}"/>
    <hyperlink ref="K871" r:id="rId571" display="https://www.nbcwashington.com/news/local/suitland-high-school-on-lockdown-after-shooting-report/3228771/" xr:uid="{00000000-0004-0000-0100-00003A020000}"/>
    <hyperlink ref="K872" r:id="rId572" display="https://www.kmov.com/2022/12/06/woman-shot-downtown-st-louis/" xr:uid="{00000000-0004-0000-0100-00003B020000}"/>
    <hyperlink ref="K873" r:id="rId573" display="https://www.heraldmailmedia.com/story/news/local/2022/12/15/pellet-or-bb-gun-used-to-shoot-school-bus-and-building-in-hagerstown/69725189007/" xr:uid="{00000000-0004-0000-0100-00003C020000}"/>
    <hyperlink ref="K874" r:id="rId574" display="https://fox59.com/indiana-news/investigation-underway-following-firearm-incident-near-west-th-elementary-school/" xr:uid="{00000000-0004-0000-0100-00003D020000}"/>
    <hyperlink ref="K875" r:id="rId575" display="https://abc7chicago.com/chicago-shooting-south-austin-west-harrison-street-michele-clark-magnet-hs/12537485/" xr:uid="{00000000-0004-0000-0100-00003E020000}"/>
    <hyperlink ref="K876" r:id="rId576" display="https://www.wsfa.com/2022/12/06/shots-fired-near-montgomery-school-police-say/" xr:uid="{00000000-0004-0000-0100-00003F020000}"/>
    <hyperlink ref="K877" r:id="rId577" display="https://www.fox13memphis.com/news/local/child-may-have-been-accidentally-shot-memphis-school-police-say/36TUNL4VHRA3PALDZTAJW4GYZI/" xr:uid="{00000000-0004-0000-0100-000040020000}"/>
    <hyperlink ref="K878" r:id="rId578" display="https://www.fox6now.com/news/milwaukee-teen-fatally-shot-during-south-division-basketball-game" xr:uid="{00000000-0004-0000-0100-000041020000}"/>
    <hyperlink ref="K879" r:id="rId579" display="https://6abc.com/delcastle-technical-high-school-bus-shot-interstate-95-shut-down-delaware-police-chase-officer-involved-shooting/12519473/" xr:uid="{00000000-0004-0000-0100-000042020000}"/>
    <hyperlink ref="K880" r:id="rId580" display="https://www.abc12.com/news/no-injuries-on-standish-sterling-school-bus-after-it-was-hit-by-a-stray-bullet/article_b499147a-69e8-11ed-8cbc-4f35da469d5f.html" xr:uid="{00000000-0004-0000-0100-000043020000}"/>
    <hyperlink ref="K881" r:id="rId581" display="https://www.fox2detroit.com/news/16-year-old-charged-after-2-teens-shot-outside-detroits-henry-ford-high-school" xr:uid="{00000000-0004-0000-0100-000044020000}"/>
    <hyperlink ref="K882" r:id="rId582" display="https://www.localsyr.com/news/local-news/shots-fired-in-roberts-elementary-school-parking-lot-in-syracuse/" xr:uid="{00000000-0004-0000-0100-000045020000}"/>
    <hyperlink ref="K884" r:id="rId583" display="https://www.erscream.com/post/shots-fired-the-inside-scoop-on-the-shooting-at-yosemite-park" xr:uid="{00000000-0004-0000-0100-000046020000}"/>
    <hyperlink ref="K885" r:id="rId584" display="https://www.cbsnews.com/chicago/news/indiana-officer-gunfire-student/" xr:uid="{00000000-0004-0000-0100-000047020000}"/>
    <hyperlink ref="K886" r:id="rId585" display="https://katu.com/news/local/police-investigate-shooting-near-mcminnville-high-school" xr:uid="{00000000-0004-0000-0100-000048020000}"/>
    <hyperlink ref="K888" r:id="rId586" display="https://www.wsmv.com/2022/11/15/metro-police-investigating-after-19-year-old-shot-killed/" xr:uid="{00000000-0004-0000-0100-000049020000}"/>
    <hyperlink ref="K889" r:id="rId587" display="https://www.kalb.com/2022/11/15/2-people-shot-near-camp-livingston-road-ball/" xr:uid="{00000000-0004-0000-0100-00004A020000}"/>
    <hyperlink ref="K890" r:id="rId588" display="https://www.palmbeachpost.com/story/sports/high-school/2022/11/12/parking-lot-shooting-halts-high-school-football-playoff-game-orlando/10687560002/" xr:uid="{00000000-0004-0000-0100-00004B020000}"/>
    <hyperlink ref="K891" r:id="rId589" display="https://www.wapt.com/article/hinds-county-sheriff-investigating-shooting-at-raymond-high-school/41941297" xr:uid="{00000000-0004-0000-0100-00004C020000}"/>
    <hyperlink ref="K892" r:id="rId590" display="https://www.wave3.com/2022/11/10/man-wounded-by-his-own-gun-accidental-shooting-elementary-school-hallway/" xr:uid="{00000000-0004-0000-0100-00004D020000}"/>
    <hyperlink ref="K893" r:id="rId591" display="https://www.king5.com/article/news/crime/teen-who-shot-ingraham-high-school-student-to-death-pleads-guilty/281-3780f972-6846-4bcc-9879-0d470b192d90" xr:uid="{00000000-0004-0000-0100-00004E020000}"/>
    <hyperlink ref="K895" r:id="rId592" display="https://www.fox4news.com/news/officer-shot-during-active-shooter-training-forest-hill" xr:uid="{00000000-0004-0000-0100-00004F020000}"/>
    <hyperlink ref="K896" r:id="rId593" display="https://sports.yahoo.com/armed-man-threatened-shoot-students-202907424.html" xr:uid="{00000000-0004-0000-0100-000050020000}"/>
    <hyperlink ref="K897" r:id="rId594" display="https://www.wjcl.com/article/police-presence-elementary-school-savannah/41861811" xr:uid="{00000000-0004-0000-0100-000051020000}"/>
    <hyperlink ref="K899" r:id="rId595" display="https://abc7amarillo.com/news/local/amarillo-texas-amarillo-police-department-15-year-old-boy-shot-fight-avondale-school-park-avondale-elementary-school-crime" xr:uid="{00000000-0004-0000-0100-000052020000}"/>
    <hyperlink ref="K900" r:id="rId596" display="https://www.9news.com/article/news/local/gun-flag-football-game-cresthill/73-7251ca4b-3365-4a6e-9c60-a29e425a3dca" xr:uid="{00000000-0004-0000-0100-000053020000}"/>
    <hyperlink ref="K904" r:id="rId597" display="https://www.uvaldeleadernews.com/articles/no-charges-in-utopia-school-gun-discharge/" xr:uid="{00000000-0004-0000-0100-000054020000}"/>
    <hyperlink ref="K906" r:id="rId598" display="https://www.cbsnews.com/pittsburgh/news/downtown-pittsburgh-penn-avenue-shots-fired-passport-academy-charter-school/" xr:uid="{00000000-0004-0000-0100-000055020000}"/>
    <hyperlink ref="K909" r:id="rId599" display="https://abc6onyourside.com/news/local/17-year-old-girl-grazed-after-shots-fired-near-elementary-school" xr:uid="{00000000-0004-0000-0100-000056020000}"/>
    <hyperlink ref="K910" r:id="rId600" display="https://www.cbsnews.com/chicago/news/douglas-park-shooting-teen-death/" xr:uid="{00000000-0004-0000-0100-000057020000}"/>
    <hyperlink ref="K912" r:id="rId601" display="https://fox40.com/news/local-news/sacramento/sacramento-police-arrest-suspect-in-grant-union-high-school-parking-lot-shooting/" xr:uid="{00000000-0004-0000-0100-000058020000}"/>
    <hyperlink ref="K914" r:id="rId602" display="https://www.yahoo.com/entertainment/denver-elementary-school-soccer-game-235324292.html" xr:uid="{00000000-0004-0000-0100-000059020000}"/>
    <hyperlink ref="K917" r:id="rId603" display="https://www.reviewjournal.com/crime/homicides/fatal-shooting-reported-outside-east-las-vegas-high-school-2659925/" xr:uid="{00000000-0004-0000-0100-00005A020000}"/>
    <hyperlink ref="K919" r:id="rId604" display="https://abc7news.com/sj-school-paintball-pellets-willow-glen-middle-shots-fired-san-jose/12340605/" xr:uid="{00000000-0004-0000-0100-00005B020000}"/>
    <hyperlink ref="K922" r:id="rId605" display="https://www.wkrn.com/news/local-news/murfreesboro/investigation-underway-after-shooting-at-riverdale-oakland-high-school-football-game/" xr:uid="{00000000-0004-0000-0100-00005C020000}"/>
    <hyperlink ref="K923" r:id="rId606" display="https://myfox8.com/news/north-carolina/greensboro/1-shot-in-parking-lot-of-dudley-high-school-taken-to-hospital-police-say/" xr:uid="{00000000-0004-0000-0100-00005D020000}"/>
    <hyperlink ref="K924" r:id="rId607" display="https://www.klfy.com/local/vermilion-parish/abbeville-police-shots-fired-at-j-h-williams-middle-school/" xr:uid="{00000000-0004-0000-0100-00005E020000}"/>
    <hyperlink ref="K927" r:id="rId608" display="https://www.amny.com/new-york/brooklyn/cops-seek-suspect-in-brooklyn-school-bus-shooting/" xr:uid="{00000000-0004-0000-0100-00005F020000}"/>
    <hyperlink ref="K929" r:id="rId609" display="https://www.koin.com/news/crime/shots-fired-near-reynolds-high-school-parents-concerned-about-response/" xr:uid="{00000000-0004-0000-0100-000060020000}"/>
    <hyperlink ref="K934" r:id="rId610" display="https://apnews.com/article/sports-football-shootings-ohio-high-school-da5e242248f3a8cfa21765123ef32a5d" xr:uid="{00000000-0004-0000-0100-000061020000}"/>
    <hyperlink ref="K935" r:id="rId611" display="https://www.witn.com/2022/10/08/student-shot-following-greenville-high-school-football-game/" xr:uid="{00000000-0004-0000-0100-000062020000}"/>
    <hyperlink ref="K937" r:id="rId612" display="https://news.scorebooklive.com/national/2022/10/08/shooting-at-arizona-high-school-football-game-forces-evacuation-to-auditorium" xr:uid="{00000000-0004-0000-0100-000063020000}"/>
    <hyperlink ref="K940" r:id="rId613" display="https://www.boston.com/news/local-news/2022/10/04/person-shot-tuesday-morning-near-jeremiah-burke-high-school-in-dorchester/" xr:uid="{00000000-0004-0000-0100-000064020000}"/>
    <hyperlink ref="K941" r:id="rId614" display="https://www.detroitnews.com/story/news/local/oakland-county/2022/10/04/security-guard-fires-gun-oxford-middle-school/69537444007/" xr:uid="{00000000-0004-0000-0100-000065020000}"/>
    <hyperlink ref="K945" r:id="rId615" display="https://www.wafb.com/2022/09/28/teen-fires-shots-into-car-br-private-school/" xr:uid="{00000000-0004-0000-0100-000066020000}"/>
    <hyperlink ref="K948" r:id="rId616" display="https://www.nbcphiladelphia.com/news/local/4-people-shot-at-roxborough-high-school/3375136/" xr:uid="{00000000-0004-0000-0100-000067020000}"/>
    <hyperlink ref="K950" r:id="rId617" display="https://www.fox6now.com/news/milwaukee-shooting-man-wounded-walnut-rooseselt-ms" xr:uid="{00000000-0004-0000-0100-000068020000}"/>
    <hyperlink ref="K954" r:id="rId618" location="https://kion546.com/news/2022/09/26/shooting-reported-outside-north-monterey-county-high-school-football-field-deputies/" display="https://www.ksbw.com/article/teen-shot-while-leaving-north-monterey-county-high-football-game/41395462 - https://kion546.com/news/2022/09/26/shooting-reported-outside-north-monterey-county-high-school-football-field-deputies/" xr:uid="{00000000-0004-0000-0100-000069020000}"/>
    <hyperlink ref="K955" r:id="rId619" display="https://www.fox10phoenix.com/news/woman-arrested-pulling-out-gun-phoenix-school" xr:uid="{00000000-0004-0000-0100-00006A020000}"/>
    <hyperlink ref="K960" r:id="rId620" display="https://www.tcpalm.com/story/news/2022/09/19/unintentional-discharge-deputys-gun-school-under-investigation/10429095002/" xr:uid="{00000000-0004-0000-0100-00006B020000}"/>
    <hyperlink ref="K961" r:id="rId621" display="https://www.augustachronicle.com/story/news/crime/2022/09/26/suspect-wanted-after-josey-high-school-shooting-turns-himself/8123351001/" xr:uid="{00000000-0004-0000-0100-00006C020000}"/>
    <hyperlink ref="K962" r:id="rId622" display="https://nypost.com/2022/09/17/nyc-kids-shot-at-with-pellet-guns-after-squabble-over-game-at-ues-playground/" xr:uid="{00000000-0004-0000-0100-00006D020000}"/>
    <hyperlink ref="K963" r:id="rId623" display="https://www.11alive.com/article/news/state/gunfire-ends-high-school-football-game/85-ab5afbe9-ea46-4bbf-88ee-7add3fa67ef3" xr:uid="{00000000-0004-0000-0100-00006E020000}"/>
    <hyperlink ref="K964" r:id="rId624" display="https://www.pennlive.com/news/2022/09/child-detained-after-bb-gun-shot-on-pa-school-bus-police.html" xr:uid="{00000000-0004-0000-0100-00006F020000}"/>
    <hyperlink ref="K965" r:id="rId625" display="https://www.abc4.com/news/bountiful-high-placed-on-lockdown-school-threat/" xr:uid="{00000000-0004-0000-0100-000070020000}"/>
    <hyperlink ref="K966" r:id="rId626" display="https://www.wtol.com/article/news/local/jackson-michigan-middle-school-football-game-locked-down-shots-fired-in-vicinity/512-4d093342-30e0-4e92-b654-ee374f97fc87" xr:uid="{00000000-0004-0000-0100-000071020000}"/>
    <hyperlink ref="K967" r:id="rId627" display="https://www.wusa9.com/article/news/crime/1-shot-behind-oxon-hill-high-school-maryland/65-a9856c58-c55d-401e-aef5-dc7b8a9b13fa" xr:uid="{00000000-0004-0000-0100-000072020000}"/>
    <hyperlink ref="K968" r:id="rId628" display="https://www.wral.com/california-high-school-staff-member-shot-after-fight/20464618/" xr:uid="{00000000-0004-0000-0100-000073020000}"/>
    <hyperlink ref="K970" r:id="rId629" display="https://www.tmj4.com/news/local-news/occupied-school-bus-struck-during-shooting-near-sherman-and-capitol-1-injured" xr:uid="{00000000-0004-0000-0100-000074020000}"/>
    <hyperlink ref="K971" r:id="rId630" display="https://www.klfy.com/local/vermilion-parish/shooting-near-j-h-middle-school-in-abbeville-under-investigation/" xr:uid="{00000000-0004-0000-0100-000075020000}"/>
    <hyperlink ref="K972" r:id="rId631" display="https://www.fox6now.com/news/shots-fired-near-milwaukees-barack-obama-school-2-charged" xr:uid="{00000000-0004-0000-0100-000076020000}"/>
    <hyperlink ref="K973" r:id="rId632" display="https://www.whio.com/news/local/gunshots-disrupt-beavercreek-middle-school-football-practice-deputies-investigating/EXVQHSO2QVFEDGYIT4LUQIRVBU/" xr:uid="{00000000-0004-0000-0100-000077020000}"/>
    <hyperlink ref="K974" r:id="rId633" display="https://foxbaltimore.com/news/local/15-year-old-boy-grazed-in-head-by-bullet-in-west-baltimore-wednesday-evening" xr:uid="{00000000-0004-0000-0100-000078020000}"/>
    <hyperlink ref="K975" r:id="rId634" display="https://www.radioiowa.com/2022/09/07/two-charged-after-firing-airsoft-gun-at-students-in-sioux-city/" xr:uid="{00000000-0004-0000-0100-000079020000}"/>
    <hyperlink ref="K976" r:id="rId635" display="https://www.local10.com/news/local/2022/09/05/adult-gambling-causes-shooting-injuring-3-teens-during-broward-little-league-football-game-police-say/" xr:uid="{00000000-0004-0000-0100-00007A020000}"/>
    <hyperlink ref="K977" r:id="rId636" display="https://www.baltimoresun.com/news/crime/bs-md-ci-cr-shooting-near-mervo-high-20220902-7vkk6gckhbdzrgodfepcdyjj6m-story.html" xr:uid="{00000000-0004-0000-0100-00007B020000}"/>
    <hyperlink ref="K979" r:id="rId637" display="https://www.fox29.com/news/police-3-people-hospitalized-after-being-shot-on-elementary-school-playground-in-kensington" xr:uid="{00000000-0004-0000-0100-00007C020000}"/>
    <hyperlink ref="K981" r:id="rId638" display="https://www.wusa9.com/article/news/local/dc/northeast-dc-double-shooting-near-idea-charter-school/65-5f5a72d3-526e-4e68-9e6d-e7cd9194384f" xr:uid="{00000000-0004-0000-0100-00007D020000}"/>
    <hyperlink ref="K986" r:id="rId639" display="https://www.13abc.com/2023/05/15/woman-convicted-firing-gun-toledo-elementary-school-property/" xr:uid="{00000000-0004-0000-0100-00007E020000}"/>
    <hyperlink ref="K990" r:id="rId640" display="https://www.wfla.com/news/hillsborough-county/no-active-shooter-at-lennard-high-school-sheriff-says/" xr:uid="{00000000-0004-0000-0100-00007F020000}"/>
    <hyperlink ref="K994" r:id="rId641" display="https://www.woodtv.com/news/grand-rapids/man-sentenced-for-drug-charges-in-shots-fired-near-gr-school/" xr:uid="{00000000-0004-0000-0100-000080020000}"/>
    <hyperlink ref="K995" r:id="rId642" display="https://sports.yahoo.com/shots-ring-serrano-high-school-050531605.html" xr:uid="{00000000-0004-0000-0100-000081020000}"/>
    <hyperlink ref="K996" r:id="rId643" display="https://gbi.georgia.gov/press-releases/2022-08-12/gbi-investigates-union-county-school-shooting-incident" xr:uid="{00000000-0004-0000-0100-000082020000}"/>
    <hyperlink ref="K997" r:id="rId644" display="https://www.11alive.com/article/news/local/henry-county-high-lockdown/85-3fef23a6-d1b9-47e3-8f26-4e97e6cd9ed5" xr:uid="{00000000-0004-0000-0100-000083020000}"/>
    <hyperlink ref="K998" r:id="rId645" display="https://hudsonvalleypost.com/hudson-valley-man-fatally-shot-outside-new-york-school-poughkeepsie-dutchess-county/" xr:uid="{00000000-0004-0000-0100-000084020000}"/>
    <hyperlink ref="K999" r:id="rId646" display="https://www.nbcboston.com/news/local/shooting-breaks-out-during-basketball-game-in-lynn-mass/2801412/" xr:uid="{00000000-0004-0000-0100-000085020000}"/>
    <hyperlink ref="K1000" r:id="rId647" display="https://www.walb.com/2022/08/06/shots-fired-near-johnson-co-football-game/" xr:uid="{00000000-0004-0000-0100-000086020000}"/>
    <hyperlink ref="K1003" r:id="rId648" display="https://connecticut.news12.com/hempstead-school-officials-to-speak-following-2-shootings-near-schools" xr:uid="{00000000-0004-0000-0100-000087020000}"/>
    <hyperlink ref="K1005" r:id="rId649" display="https://www.kctv5.com/2022/07/27/police-man-involved-shooting-incident-with-gardner-police-wounded-himself/" xr:uid="{00000000-0004-0000-0100-000088020000}"/>
    <hyperlink ref="K1006" r:id="rId650" display="https://www.fox44news.com/news/local-news/brazos/shots-fired-at-college-station-high-school-suspect-sought/" xr:uid="{00000000-0004-0000-0100-000089020000}"/>
    <hyperlink ref="K1007" r:id="rId651" display="https://local21news.com/news/local/man-wanted-by-police-for-discharging-firearm" xr:uid="{00000000-0004-0000-0100-00008A020000}"/>
    <hyperlink ref="K1009" r:id="rId652" display="https://www.msn.com/en-us/news/crime/shots-fired-near-john-finney-cause-lockdown/ar-AAZNJZH?ocid=hplocalnews&amp;srcref=rss" xr:uid="{00000000-0004-0000-0100-00008B020000}"/>
    <hyperlink ref="K1012" r:id="rId653" display="https://www.mercedsunstar.com/news/local/crime/article263063843.html" xr:uid="{00000000-0004-0000-0100-00008C020000}"/>
    <hyperlink ref="K1013" r:id="rId654" display="https://www.cbsnews.com/chicago/news/woman-and-2-teenagers-injured-after-shooting-near-school-gresham/" xr:uid="{00000000-0004-0000-0100-00008D020000}"/>
    <hyperlink ref="K1014" r:id="rId655" display="https://www.q13fox.com/news/deputies-arrest-15-year-old-accused-of-firing-shots-outside-everett-high-school-causing-a-lockdown" xr:uid="{00000000-0004-0000-0100-00008E020000}"/>
    <hyperlink ref="K1025" r:id="rId656" display="https://www.postandcourier.com/news/berkeley-county-detention-officers-slaying-in-school-parking-lot-remains-a-mystery/article_14da3fac-0932-11ed-a50f-bb8eb3384a30.html" xr:uid="{00000000-0004-0000-0100-00008F020000}"/>
    <hyperlink ref="K1026" r:id="rId657" display="https://www.chicagocatholic.com/chicagoland/-/article/2022/06/01/five-windows-at-st-margaret-of-scotland-school-shot-out" xr:uid="{00000000-0004-0000-0100-000090020000}"/>
    <hyperlink ref="K1027" r:id="rId658" display="https://www.tmj4.com/news/local-news/mpd-police-respond-to-riverside-high-school-twice-for-reports-of-shots-fired-fight" xr:uid="{00000000-0004-0000-0100-000091020000}"/>
    <hyperlink ref="K1031" r:id="rId659" display="https://www.insidenova.com/headlines/potomac-high-school-student-charged-after-bathroom-brandishing/article_f3fa326e-d86d-11ec-bd21-f36cea08fd4d.html" xr:uid="{00000000-0004-0000-0100-000092020000}"/>
    <hyperlink ref="K1032" r:id="rId660" display="https://newschannel9.com/news/local/25-year-old-man-shot-to-death-in-chattanooga-near-school-early-friday-morning-east-lake-elementary-murder-homicide" xr:uid="{00000000-0004-0000-0100-000093020000}"/>
    <hyperlink ref="K1034" r:id="rId661" display="https://www.myjournalcourier.com/news/article/Hallucinating-woman-arrested-after-shot-fired-17188158.php" xr:uid="{00000000-0004-0000-0100-000094020000}"/>
    <hyperlink ref="K1042" r:id="rId662" display="https://www.cbsnews.com/sanfrancisco/news/school-bus-in-san-francisco-hit-by-gunfire/" xr:uid="{00000000-0004-0000-0100-000095020000}"/>
    <hyperlink ref="K1043" r:id="rId663" display="https://www.mexiadailynews.com/breaking-news/defendant-sentenced-maximum-prison-time-taking-pistol-mexia-high-school" xr:uid="{00000000-0004-0000-0100-000096020000}"/>
    <hyperlink ref="K1044" r:id="rId664" display="https://www.laconiadailysun.com/news/local/belmont-police-investigate-pellet-gun-shooting-targeted-at-children/article_19c3bb5e-d608-11ec-879e-5bb5cf440fe6.html" xr:uid="{00000000-0004-0000-0100-000097020000}"/>
    <hyperlink ref="K1046" r:id="rId665" display="https://wgxa.tv/news/local/friday-shooting-macon-school" xr:uid="{00000000-0004-0000-0100-000098020000}"/>
    <hyperlink ref="K1049" r:id="rId666" display="https://katv.com/news/local/man-convicted-in-arkansas-graduation-shooting-gets-105-years-in-prison-charles-johnson-jr-judge-ralph-ohm-hot-springs-convention-center-world-class-high-school-brock-price-mark-fraiser-mass-shooting-may-12-2022-garland-county-circuit-court-murder" xr:uid="{00000000-0004-0000-0100-000099020000}"/>
    <hyperlink ref="K1055" r:id="rId667" display="https://www.sbsun.com/2022/05/03/gunfire-in-san-bernardino-causes-car-to-crash-leaves-bullet-holes-in-school/" xr:uid="{00000000-0004-0000-0100-00009A020000}"/>
    <hyperlink ref="K1056" r:id="rId668" display="https://wcyb.com/news/nation-world/2-people-shot-near-youth-football-game-at-middle-school-benton-middle-school-prince-william-county-manassas-virginia-gunshot-wounds-district-supervisor-coles-yesil-vega-man-with-medium-complexion-between-5-feet-6-inches-and-10-inches-tall" xr:uid="{00000000-0004-0000-0100-00009B020000}"/>
    <hyperlink ref="K1058" r:id="rId669" display="https://triblive.com/local/westmoreland/no-one-reported-hurt-after-shot-fired-during-fight-at-mckee-stadium-in-jeannette/" xr:uid="{00000000-0004-0000-0100-00009C020000}"/>
    <hyperlink ref="K1059" r:id="rId670" display="https://news4sanantonio.com/news/local/police-shot-suspect-after-attempting-to-break-in-school" xr:uid="{00000000-0004-0000-0100-00009D020000}"/>
    <hyperlink ref="K1060" r:id="rId671" display="https://www.wndu.com/2022/04/27/investigation-underway-after-student-shoots-school-bus-window-with-bb-gun/" xr:uid="{00000000-0004-0000-0100-00009E020000}"/>
    <hyperlink ref="K1064" r:id="rId672" display="https://www.fox5atlanta.com/news/marietta-school-buses-windshield-shot" xr:uid="{00000000-0004-0000-0100-00009F020000}"/>
    <hyperlink ref="K1066" r:id="rId673" display="https://www.kptv.com/2022/04/23/teen-arrested-after-shooting-near-salem-middle-school/" xr:uid="{00000000-0004-0000-0100-0000A0020000}"/>
    <hyperlink ref="K1068" r:id="rId674" display="https://krcrtv.com/news/local/video-reports-of-shots-fired-near-middle-school" xr:uid="{00000000-0004-0000-0100-0000A1020000}"/>
    <hyperlink ref="K1072" r:id="rId675" display="https://www.wtok.com/2022/04/15/three-students-shot-with-high-powered-air-rifles-neshoba-central/" xr:uid="{00000000-0004-0000-0100-0000A2020000}"/>
    <hyperlink ref="K1073" r:id="rId676" display="https://www.clickondetroit.com/news/local/2022/04/13/11-year-old-shoots-fellow-student-with-bb-gun-during-recess-at-elementary-school-in-southgate/" xr:uid="{00000000-0004-0000-0100-0000A3020000}"/>
    <hyperlink ref="K1077" r:id="rId677" display="https://www.mi-reporter.com/news/island-police-investigating-possible-pellet-gun-shooting-on-school-playfield/" xr:uid="{00000000-0004-0000-0100-0000A4020000}"/>
    <hyperlink ref="K1078" r:id="rId678" display="https://www.koin.com/news/crime/portland-police-investigate-shooting-near-roosevelt-high-school/" xr:uid="{00000000-0004-0000-0100-0000A5020000}"/>
    <hyperlink ref="K1081" r:id="rId679" display="https://www.foxcarolina.com/2023/12/14/upstate-school-shooter-face-waiver-hearing/" xr:uid="{00000000-0004-0000-0100-0000A6020000}"/>
    <hyperlink ref="K1089" r:id="rId680" display="https://www.fox13now.com/news/local-news/utah-parent-says-tiktok-challenge-caused-son-to-be-shot-at-with-toy-gun-then-real-gun" xr:uid="{00000000-0004-0000-0100-0000A7020000}"/>
    <hyperlink ref="K1091" r:id="rId681" display="https://www.actionnews5.com/2022/03/26/shots-fired-during-candlelight-vigil-brighton-high-school/" xr:uid="{00000000-0004-0000-0100-0000A8020000}"/>
    <hyperlink ref="K1093" r:id="rId682" display="https://www.wdbj7.com/2022/03/22/school-bus-shot-nw-roanoke/" xr:uid="{00000000-0004-0000-0100-0000A9020000}"/>
    <hyperlink ref="K1101" r:id="rId683" display="https://www.chicagotribune.com/news/breaking/ct-barrington-high-school-pellet-guns-shot-at-lgbtq-students-20220318-ans632prmngx3fxixmgzaq3vbu-story.html" xr:uid="{00000000-0004-0000-0100-0000AA020000}"/>
    <hyperlink ref="K1102" r:id="rId684" display="https://www.alaskasnewssource.com/2022/03/18/charges-forwarded-student-shooting-investigation-redington-jrsr-high-school/" xr:uid="{00000000-0004-0000-0100-0000AB020000}"/>
    <hyperlink ref="K1107" r:id="rId685" display="https://www.fox5atlanta.com/news/gunshot-fired-in-clayton-county-middle-school-district-says" xr:uid="{00000000-0004-0000-0100-0000AC020000}"/>
    <hyperlink ref="K1109" r:id="rId686" display="https://6abc.com/new-foundations-charter-high-school-bullet-classroom-philadelphia-shooting-torresdale-ave/11651217/" xr:uid="{00000000-0004-0000-0100-0000AD020000}"/>
    <hyperlink ref="K1110" r:id="rId687" display="https://www.cbs58.com/news/weapon-fired-inside-jerstad-agerholm-elementary-school-in-racine" xr:uid="{00000000-0004-0000-0100-0000AE020000}"/>
    <hyperlink ref="K1112" r:id="rId688" display="https://www.wsaz.com/2022/03/11/school-lockdown-lifted-following-robbery-shots-fired-lawrence-county-fairgrounds/" xr:uid="{00000000-0004-0000-0100-0000AF020000}"/>
    <hyperlink ref="K1114" r:id="rId689" display="https://www.actionnews5.com/2022/03/11/memphis-mother-accused-pointing-gun-5-children-outside-school/" xr:uid="{00000000-0004-0000-0100-0000B0020000}"/>
    <hyperlink ref="K1116" r:id="rId690" display="https://kdvr.com/news/local/student-brings-pellet-type-gun-to-rock-canyon-hs/" xr:uid="{00000000-0004-0000-0100-0000B1020000}"/>
    <hyperlink ref="K1118" r:id="rId691" display="https://www.krqe.com/sports/high-school-sports/del-norte-school-bus-shot-with-paintballs-after-espanola-game/" xr:uid="{00000000-0004-0000-0100-0000B2020000}"/>
    <hyperlink ref="K1123" r:id="rId692" display="https://www.fox5atlanta.com/news/gun-goes-off-at-jonesboro-high-school-prompting-lockdown" xr:uid="{00000000-0004-0000-0100-0000B3020000}"/>
    <hyperlink ref="K1130" r:id="rId693" display="https://www.nbcnews.com/news/us-news/family-man-shot-middle-school-pickup-sues-colorado-deputies-wrongful-d-rcna71678" xr:uid="{00000000-0004-0000-0100-0000B4020000}"/>
    <hyperlink ref="K1138" r:id="rId694" display="https://www.wusa9.com/article/news/local/dc/police-man-injured-shooting-parking-lot-dc-charter-school/65-f3074dfc-06a1-49b2-9051-45f4b25befdb" xr:uid="{00000000-0004-0000-0100-0000B5020000}"/>
    <hyperlink ref="K1139" r:id="rId695" display="https://www.wgrz.com/article/news/crime/teen-sentenced-for-shooting-security-officer-outside-mckinley-high-school-during-fight-criminal-investigation/71-017fb489-7f4b-4b9a-be2f-78652d105c98" xr:uid="{00000000-0004-0000-0100-0000B6020000}"/>
    <hyperlink ref="K1143" r:id="rId696" display="https://www.fox5atlanta.com/news/southwest-dekalb-high-school-student-accidentally-shot" xr:uid="{00000000-0004-0000-0100-0000B7020000}"/>
    <hyperlink ref="K1146" r:id="rId697" display="https://www.wnky.com/sheriffs-office-investigating-several-shots-fired-incidences-including-one-at-a-school-no-injuries/" xr:uid="{00000000-0004-0000-0100-0000B8020000}"/>
    <hyperlink ref="K1151" r:id="rId698" display="https://www.channel3000.com/news/crime/teen-charged-in-homicide-outside-of-beloit-high-school-bound-over-for-trial/article_4a808055-b4ef-5eee-ab73-b2527e785f41.html" xr:uid="{00000000-0004-0000-0100-0000B9020000}"/>
    <hyperlink ref="K1156" r:id="rId699" display="https://www.krem.com/article/news/crime/idaho-man-prison-threatening-shoot-school-police/293-a8d2c7b7-c4b5-4162-a54b-4b50fb03e493" xr:uid="{00000000-0004-0000-0100-0000BA020000}"/>
    <hyperlink ref="K1159" r:id="rId700" display="https://www.wavy.com/news/local-news/portsmouth/police-3-charged-in-portsmouth-teens-murder-known-to-manor-high-school-staff/" xr:uid="{00000000-0004-0000-0100-0000BB020000}"/>
    <hyperlink ref="K1160" r:id="rId701" display="https://www.wtae.com/article/pittsburgh-shooting-oliver-citywide-academy-student/43667811" xr:uid="{00000000-0004-0000-0100-0000BC020000}"/>
    <hyperlink ref="K1162" r:id="rId702" display="https://www.wusa9.com/article/news/crime/shooting-outside-anacostia-high-school-caught-on-camera/65-2ad8c323-8d37-4f4d-9ee6-dc8adcd8bc46" xr:uid="{00000000-0004-0000-0100-0000BD020000}"/>
    <hyperlink ref="K1163" r:id="rId703" display="https://www.khou.com/article/news/crime/deadly-shooting-pyburn-elementary-peppertree-lane-houston/285-c7d1292b-a102-4d22-953f-69636db73539" xr:uid="{00000000-0004-0000-0100-0000BE020000}"/>
    <hyperlink ref="K1164" r:id="rId704" display="https://www.fox5dc.com/news/man-found-with-gun-at-gaithersburg-high-school-is-second-incident-in-montgomery-county-this-month" xr:uid="{00000000-0004-0000-0100-0000BF020000}"/>
    <hyperlink ref="K1169" r:id="rId705" display="https://www.10tv.com/article/news/local/columbus-school-bus-hit-gunfire-i-670/530-4688dd7c-6ed3-4e46-9ac9-284f273997c6" xr:uid="{00000000-0004-0000-0100-0000C0020000}"/>
    <hyperlink ref="K1173" r:id="rId706" display="https://bronx.news12.com/nypd-shots-fired-outside-of-p-s-26-in-brooklyn-no-injuries-reported" xr:uid="{00000000-0004-0000-0100-0000C1020000}"/>
    <hyperlink ref="K1175" r:id="rId707" display="https://www.13newsnow.com/article/news/local/mycity/newport-news/jury-finds-suspect-not-guilty-fatal-menchville-high-school-shooting/291-d656181e-e50e-4e80-8eb4-640ac983a789" xr:uid="{00000000-0004-0000-0100-0000C2020000}"/>
    <hyperlink ref="K1182" r:id="rId708" display="https://www.wbtv.com/2021/12/09/shots-hit-cars-high-school-parking-lot-rowan-county-prompting-lockdown/" xr:uid="{00000000-0004-0000-0100-0000C3020000}"/>
    <hyperlink ref="K1185" r:id="rId709" display="https://www.wave3.com/2021/12/08/shooting-near-st-matthews-elementary-school-under-investigation/" xr:uid="{00000000-0004-0000-0100-0000C4020000}"/>
    <hyperlink ref="K1189" r:id="rId710" display="https://www.kait8.com/2021/12/06/man-arrested-following-school-parking-lot-shooting/" xr:uid="{00000000-0004-0000-0100-0000C5020000}"/>
    <hyperlink ref="K1191" r:id="rId711" display="https://www.cbsnews.com/philadelphia/news/police-woman-killed-north-philadelphia-shooting-william-dick-school-lockdown/" xr:uid="{00000000-0004-0000-0100-0000C6020000}"/>
    <hyperlink ref="K1192" r:id="rId712" display="https://www.khou.com/article/news/crime/armed-robbery-sam-rayburn-high-school/285-06becca9-eb0b-46ce-85e6-b710d108e7dc" xr:uid="{00000000-0004-0000-0100-0000C7020000}"/>
    <hyperlink ref="K1195" r:id="rId713" display="https://www.cnn.com/2021/12/04/us/michigan-oxford-high-school-shooting-timeline/index.html" xr:uid="{00000000-0004-0000-0100-0000C8020000}"/>
    <hyperlink ref="K1196" r:id="rId714" display="https://losangeles.cbslocal.com/video/6166005-school-bus-hit-by-bb-gun/" xr:uid="{00000000-0004-0000-0100-0000C9020000}"/>
    <hyperlink ref="K1197" r:id="rId715" display="https://www.wifr.com/2021/11/29/shots-fired-behind-west-middle-school/" xr:uid="{00000000-0004-0000-0100-0000CA020000}"/>
    <hyperlink ref="K1201" r:id="rId716" display="https://www.chicagotribune.com/suburbs/daily-southtown/ct-sta-thornton-high-school-shots-fired-st-1125-20211124-23o46c2tavacvn4g6agtukzej4-story.html" xr:uid="{00000000-0004-0000-0100-0000CB020000}"/>
    <hyperlink ref="K1202" r:id="rId717" display="https://fox8.com/news/cleveland-school-bus-driver-robbed-at-gunpoint/" xr:uid="{00000000-0004-0000-0100-0000CC020000}"/>
    <hyperlink ref="K1203" r:id="rId718" display="https://www.cbsnews.com/colorado/news/2-sentenced-hinkley-high-school-parking-lot-shooting/" xr:uid="{00000000-0004-0000-0100-0000CD020000}"/>
    <hyperlink ref="K1205" r:id="rId719" display="https://mynewsla.com/crime/2021/11/17/teens-attempted-suicide-prompts-anaheim-school-to-dismiss-classes/" xr:uid="{00000000-0004-0000-0100-0000CE020000}"/>
    <hyperlink ref="K1206" r:id="rId720" display="https://www.klfy.com/local/vermilion-parish/teen-shot-in-head-getting-off-school-bus-in-abbeville-undergoes-hours-of-surgery/" xr:uid="{00000000-0004-0000-0100-0000CF020000}"/>
    <hyperlink ref="K1207" r:id="rId721" display="https://nypost.com/2021/11/18/cops-arrest-gunman-who-fired-outside-nyc-school-police-say/" xr:uid="{00000000-0004-0000-0100-0000D0020000}"/>
    <hyperlink ref="K1208" r:id="rId722" display="https://www.firstcoastnews.com/article/news/crime/jso-2-critically-wounded-after-moncrief-area-shooting-school-bus-hit-by-gunfire-jacksonville/77-3869f63b-d473-4a45-9724-e3fb6b7ba011" xr:uid="{00000000-0004-0000-0100-0000D1020000}"/>
    <hyperlink ref="K1210" r:id="rId723" display="https://fox2now.com/news/fox-files/dying-words-tie-teen-to-murder-outside-elementary-school/" xr:uid="{00000000-0004-0000-0100-0000D2020000}"/>
    <hyperlink ref="K1211" r:id="rId724" display="https://www.wbtv.com/2021/11/10/mooresville-high-school-releases-students-early-after-apparent-suicide-campus-district-says/" xr:uid="{00000000-0004-0000-0100-0000D3020000}"/>
    <hyperlink ref="K1218" r:id="rId725" display="https://www.wltx.com/article/news/crime/calhoun-county-gunfire-teen-arrested/101-f7c8bca9-d90a-4583-a83e-0ceb27a6bd67" xr:uid="{00000000-0004-0000-0100-0000D4020000}"/>
    <hyperlink ref="K1220" r:id="rId726" display="https://blockclubchicago.org/2021/10/26/shots-fired-during-fight-outside-west-town-school/" xr:uid="{00000000-0004-0000-0100-0000D5020000}"/>
    <hyperlink ref="K1230" r:id="rId727" display="https://wgntv.com/news/chicagocrime/separate-shooting-incidents-outside-cps-schools-has-parents-on-edge/" xr:uid="{00000000-0004-0000-0100-0000D6020000}"/>
    <hyperlink ref="K1246" r:id="rId728" display="https://www.santafenewmexican.com/news/local_news/suspect-in-shooting-spree-near-santa-fe-indian-school-charged-with-murder/article_29ff33f0-5e89-11ec-b003-9f6af4c814ff.html" xr:uid="{00000000-0004-0000-0100-0000D7020000}"/>
    <hyperlink ref="K1247" r:id="rId729" display="https://chicago.cbslocal.com/video/6072449-video-of-shooting-outside-lakeview-high-school/" xr:uid="{00000000-0004-0000-0100-0000D8020000}"/>
    <hyperlink ref="K1255" r:id="rId730" display="https://www.cleveland19.com/2021/09/30/shot-fired-after-middle-school-football-game-east-cleveland/" xr:uid="{00000000-0004-0000-0100-0000D9020000}"/>
    <hyperlink ref="K1257" r:id="rId731" display="https://www.lakemchenryscanner.com/2021/09/24/police-arrest-juvenile-who-brought-bb-gun-to-crystal-lake-elementary-school-shot-other-kids/" xr:uid="{00000000-0004-0000-0100-0000DA020000}"/>
    <hyperlink ref="K1260" r:id="rId732" display="https://www.baltimoresun.com/maryland/baltimore-city/bs-md-ci-wildwood-parkway-shooting-20210925-foif3yhuzjahniqo7u35vophv4-story.html" xr:uid="{00000000-0004-0000-0100-0000DB020000}"/>
    <hyperlink ref="K1262" r:id="rId733" display="https://www.postregister.com/star/news/jefferson-joint-school-dist-moving-forward-after-another-gun-incident/article_e7b6f146-3426-5c60-a8c7-4668519062a5.html" xr:uid="{00000000-0004-0000-0100-0000DC020000}"/>
    <hyperlink ref="K1263" r:id="rId734" display="https://newyork.cbslocal.com/2021/09/22/teen-shot-near-brooklyn-schools/" xr:uid="{00000000-0004-0000-0100-0000DD020000}"/>
    <hyperlink ref="K1265" r:id="rId735" display="https://www.fox29.com/news/15-year-old-boy-shot-outside-school-in-north-philadelphia-police-say" xr:uid="{00000000-0004-0000-0100-0000DE020000}"/>
    <hyperlink ref="K1266" r:id="rId736" display="https://www.fox19.com/2021/09/22/middletown-school-bus-hit-with-bb-gun-fire/" xr:uid="{00000000-0004-0000-0100-0000DF020000}"/>
    <hyperlink ref="K1268" r:id="rId737" display="https://decaturish.com/2021/09/argument-outside-toomer-elementary-leads-to-shots-fired-temporary-lockdown/" xr:uid="{00000000-0004-0000-0100-0000E0020000}"/>
    <hyperlink ref="K1271" r:id="rId738" display="https://www.news5cleveland.com/news/local-news/cleveland-metro/teens-shot-near-k-6-school-in-clevelands-broadway-slavic-village-neighborhood" xr:uid="{00000000-0004-0000-0100-0000E1020000}"/>
    <hyperlink ref="K1278" r:id="rId739" display="https://www.nbc15.com/2021/09/16/reports-shots-fired-near-orchard-ridge-elementary-school/" xr:uid="{00000000-0004-0000-0100-0000E2020000}"/>
    <hyperlink ref="K1280" r:id="rId740" display="https://www.thesussireport.com/reports/car-windows-shot-out-at-high-school-football-game" xr:uid="{00000000-0004-0000-0100-0000E3020000}"/>
    <hyperlink ref="K1285" r:id="rId741" display="https://www.ksdk.com/article/news/local/hazelwood-parents-bring-gun-school/63-858a7bac-0311-4c92-8471-c2770c2c7716" xr:uid="{00000000-0004-0000-0100-0000E4020000}"/>
    <hyperlink ref="K1288" r:id="rId742" display="https://sanfrancisco.cbslocal.com/2021/09/03/palo-alto-man-arrested-shooting-child-school-air-rifle/" xr:uid="{00000000-0004-0000-0100-0000E5020000}"/>
    <hyperlink ref="K1289" r:id="rId743" display="https://www.wavy.com/news/crime/shooting-shatters-windows-at-elizabeth-city-elementary-school/" xr:uid="{00000000-0004-0000-0100-0000E6020000}"/>
    <hyperlink ref="K1290" r:id="rId744" display="https://www.detroitnews.com/story/news/local/oakland-county/2021/09/09/2-teens-arrested-school-parking-lot-shooting-royal-oak-twp/5781664001/" xr:uid="{00000000-0004-0000-0100-0000E7020000}"/>
    <hyperlink ref="K1292" r:id="rId745" display="https://bringmethenews.com/minnesota-news/brooklyn-park-school-hit-by-bullets-cancels-classes-thursday" xr:uid="{00000000-0004-0000-0100-0000E8020000}"/>
    <hyperlink ref="K1296" r:id="rId746" display="https://whdh.com/news/police-2-teens-facing-charges-after-shooting-bar-school-bus-more-than-40-cars-with-bb-guns-on-north-shore/" xr:uid="{00000000-0004-0000-0100-0000E9020000}"/>
    <hyperlink ref="K1302" r:id="rId747" display="https://www.fox32chicago.com/news/gary-students-to-return-to-class-after-classmate-shot" xr:uid="{00000000-0004-0000-0100-0000EA020000}"/>
    <hyperlink ref="K1303" r:id="rId748" display="https://www.ajc.com/news/breaking-3-henry-schools-on-lockdown-due-to-suspicious-person/J6LSPTV7XVALNDGZOJVBSZJK2E/" xr:uid="{00000000-0004-0000-0100-0000EB020000}"/>
    <hyperlink ref="K1305" r:id="rId749" display="https://arktimes.com/arkansas-blog/2021/09/02/a-gun-brandished-at-little-rock-central-high-this-morning-but-no-shots-fired" xr:uid="{00000000-0004-0000-0100-0000EC020000}"/>
    <hyperlink ref="K1310" r:id="rId750" display="https://www.wmar2news.com/news/local-news/police-investigating-shots-fired-in-owings-mills-monday-afternoon" xr:uid="{00000000-0004-0000-0100-0000ED020000}"/>
    <hyperlink ref="K1311" r:id="rId751" display="https://cbs12.com/news/local/pbc-mom-complains-about-safety-on-buses-after-her-daughter-was-shot-with-a-pellet-gun" xr:uid="{00000000-0004-0000-0100-0000EE020000}"/>
    <hyperlink ref="K1312" r:id="rId752" display="https://keyt.com/news/crime/2021/08/28/police-investigating-shots-fired-at-santa-maria-high-school/" xr:uid="{00000000-0004-0000-0100-0000EF020000}"/>
    <hyperlink ref="K1313" r:id="rId753" display="https://www.wcax.com/2021/08/27/burlington-schools-canceled-due-police-incident/" xr:uid="{00000000-0004-0000-0100-0000F0020000}"/>
    <hyperlink ref="K1318" r:id="rId754" display="https://www.seattletimes.com/seattle-news/crime/14-year-old-in-critical-condition-teen-in-custody-after-gunfire-erupts-outside-seattle-middle-school/" xr:uid="{00000000-0004-0000-0100-0000F1020000}"/>
    <hyperlink ref="K1319" r:id="rId755" display="https://www.wtol.com/article/news/local/fight-shots-fired-during-youth-football-game-at-northpointe-academy-elementary/512-86c1c571-4188-43c4-898e-3930ac7721aa" xr:uid="{00000000-0004-0000-0100-0000F2020000}"/>
    <hyperlink ref="K1320" r:id="rId756" display="https://bronx.news12.com/police-suspect-arrested-for-firing-shots-during-dispute-on-grounds-of-hauppauge-middle-school" xr:uid="{00000000-0004-0000-0100-0000F3020000}"/>
    <hyperlink ref="K1326" r:id="rId757" display="https://www.insidenova.com/news/crime_police/police-investigate-shots-fired-in-dale-city-school-parking-lot/article_ffda50d0-0061-11ec-945a-9343d5248cec.html" xr:uid="{00000000-0004-0000-0100-0000F4020000}"/>
    <hyperlink ref="K1327" r:id="rId758" display="https://wpde.com/news/local/school-bus-windows-shot-out-with-bb-pellet-gun-in-hartsville" xr:uid="{00000000-0004-0000-0100-0000F5020000}"/>
    <hyperlink ref="K1328" r:id="rId759" display="https://chicago.cbslocal.com/2021/08/14/15-year-old-boy-shot-near-elementary-school-calumet-heights/" xr:uid="{00000000-0004-0000-0100-0000F6020000}"/>
    <hyperlink ref="K1329" r:id="rId760" display="https://www.koat.com/article/bennie-hargrove-shooting-settlement/45811653" xr:uid="{00000000-0004-0000-0100-0000F7020000}"/>
    <hyperlink ref="K1332" r:id="rId761" display="https://www.pe.com/2021/08/12/early-morning-gunshot-locks-down-san-jacintos-north-mountain-middle-school/" xr:uid="{00000000-0004-0000-0100-0000F8020000}"/>
    <hyperlink ref="K1336" r:id="rId762" display="https://www.oregonlive.com/portland/2021/08/man-found-dead-after-shooting-in-portlands-powellhurst-gilbert-neighborhood-police-say.html" xr:uid="{00000000-0004-0000-0100-0000F9020000}"/>
    <hyperlink ref="K1343" r:id="rId763" display="https://www.kark.com/news/local-news/little-rock-police-investigating-shooting-near-elementary-school-no-injuries-reported/" xr:uid="{00000000-0004-0000-0100-0000FA020000}"/>
    <hyperlink ref="K1347" r:id="rId764" display="https://www.yourcentralvalley.com/news/local-news/driver-crashes-into-central-fresno-school-fence-after-being-shot-police-say/" xr:uid="{00000000-0004-0000-0100-0000FB020000}"/>
    <hyperlink ref="K1353" r:id="rId765" display="https://6abc.com/young-man-shot-and-killed-near-philadelphia-school/10787708/" xr:uid="{00000000-0004-0000-0100-0000FC020000}"/>
    <hyperlink ref="K1354" r:id="rId766" display="https://www.wgal.com/article/man-found-shot-in-columbia/36709512" xr:uid="{00000000-0004-0000-0100-0000FD020000}"/>
    <hyperlink ref="K1361" r:id="rId767" display="https://www.nbcnews.com/news/us-news/16-year-old-critical-condition-after-getting-shot-outside-texas-n1269945" xr:uid="{00000000-0004-0000-0100-0000FE020000}"/>
    <hyperlink ref="K1371" r:id="rId768" display="https://abcnews.go.com/US/wireStory/soldier-hijacked-school-bus-found-guilty-insanity-97829956" xr:uid="{00000000-0004-0000-0100-0000FF020000}"/>
    <hyperlink ref="K1375" r:id="rId769" display="https://chicago.cbslocal.com/2021/05/03/near-west-side-shooting-2/" xr:uid="{00000000-0004-0000-0100-000000030000}"/>
    <hyperlink ref="K1398" r:id="rId770" display="https://www.chicagotribune.com/suburbs/post-tribune/ct-ptb-courts-riley-murder-st-0407-20210406-iuwci7kygfet5iwmiwcxasuwfa-story.html" xr:uid="{00000000-0004-0000-0100-000001030000}"/>
    <hyperlink ref="K1403" r:id="rId771" display="https://www.wcnc.com/article/news/crime/dispute-leads-to-shooting-outside-chesterfield-county-school-says-district/275-8d5ebec8-d72c-41e4-899f-f352580cc0c9" xr:uid="{00000000-0004-0000-0100-000002030000}"/>
    <hyperlink ref="K1404" r:id="rId772" display="https://www.newhavenindependent.org/article/amistad1" xr:uid="{00000000-0004-0000-0100-000003030000}"/>
    <hyperlink ref="K1405" r:id="rId773" display="https://13wham.com/news/local/court-docs-wayne-central-employee-shot-deouty-in-foot-during-altercation" xr:uid="{00000000-0004-0000-0100-000004030000}"/>
    <hyperlink ref="K1409" r:id="rId774" display="https://abc30.com/visalia-shooting-houston-elementary-school-police-man-shot/10361223/" xr:uid="{00000000-0004-0000-0100-000005030000}"/>
    <hyperlink ref="K1411" r:id="rId775" display="https://www.wate.com/news/local-news/dispatch-knoxville-police-respond-to-reported-shooting-in-north-knoxville/" xr:uid="{00000000-0004-0000-0100-000006030000}"/>
    <hyperlink ref="K1422" r:id="rId776" display="https://www.newson6.com/story/600ba2d50247a70bc6e22b8a/parent-accidentally-shoots-themself-while-picking-up-student-at-grove-lower-elementary" xr:uid="{00000000-0004-0000-0100-000007030000}"/>
    <hyperlink ref="K1423" r:id="rId777" display="https://www.nbc4i.com/news/local-news/cpd-school-fight-leads-to-shooting/" xr:uid="{00000000-0004-0000-0100-000008030000}"/>
    <hyperlink ref="K1424" r:id="rId778" display="https://www.wusa9.com/article/news/crime/silver-spring-man-prison-sentence-deadly-shooting-in-school-parking-lot/65-f6894523-1cc6-4b8e-b7a6-ef9c1de60aa1" xr:uid="{00000000-0004-0000-0100-000009030000}"/>
    <hyperlink ref="K1426" r:id="rId779" location="photo-20839860" display="https://www.timesunion.com/news/article/Town-of-Perth-man-charged-for-alleged-animal-16084406.php - photo-20839860" xr:uid="{00000000-0004-0000-0100-00000A030000}"/>
    <hyperlink ref="K1428" r:id="rId780" display="https://wsvn.com/news/special-reports/bso-investigating-shooting-incident-outside-holiday-party-hosted-by-pompano-beach-school-for-at-risk-youth/" xr:uid="{00000000-0004-0000-0100-00000B030000}"/>
    <hyperlink ref="K1435" r:id="rId781" display="https://www.krtv.com/news/crime-and-courts/ledford-charged-with-shooting-out-windows-at-great-falls-high-school" xr:uid="{00000000-0004-0000-0100-00000C030000}"/>
    <hyperlink ref="K1439" r:id="rId782" display="https://www.eastbaytimes.com/2020/11/13/union-city-man-shot-near-cesar-chavez-middle-school/" xr:uid="{00000000-0004-0000-0100-00000D030000}"/>
    <hyperlink ref="K1441" r:id="rId783" display="https://www.sgvtribune.com/2020/11/09/body-of-man-who-had-been-fatally-shot-is-found-at-school-near-la-puente/" xr:uid="{00000000-0004-0000-0100-00000E030000}"/>
    <hyperlink ref="K1442" r:id="rId784" display="https://www.mywabashvalley.com/top-news/thpd-shots-fired-at-terre-haute-high-school-no-injuries/" xr:uid="{00000000-0004-0000-0100-00000F030000}"/>
    <hyperlink ref="K1446" r:id="rId785" display="https://spectrumlocalnews.com/nys/rochester/public-safety/2020/10/29/rpd--bullet-hits-rochester-prep-charter-school-in-apparent-drive-by-shooting-" xr:uid="{00000000-0004-0000-0100-000010030000}"/>
    <hyperlink ref="K1448" r:id="rId786" display="https://www.stamfordadvocate.com/policereports/article/Police-Man-shot-early-Tuesday-in-Stamford-15678594.php" xr:uid="{00000000-0004-0000-0100-000011030000}"/>
    <hyperlink ref="K1452" r:id="rId787" display="http://www.bradfordera.com/news/local/no-injuries-when-school-bus-shot-by-bb-gun-wednesday/article_5e809a44-23b0-5f69-a54c-b2ae8799785b.html" xr:uid="{00000000-0004-0000-0100-000012030000}"/>
    <hyperlink ref="K1454" r:id="rId788" display="https://www.wfaa.com/article/news/crime/no-one-injured-verbal-altercation-escalates-shooting-north-dallas-high-school-parking-lot-district-officials-say/287-2a04b92a-88da-45cc-8ed3-b8a7ab58ee78" xr:uid="{00000000-0004-0000-0100-000013030000}"/>
    <hyperlink ref="K1455" r:id="rId789" display="https://www.fox9.com/news/target-shooter-fires-accidental-shots-near-shakopee-sports-stadium" xr:uid="{00000000-0004-0000-0100-000014030000}"/>
    <hyperlink ref="K1459" r:id="rId790" display="https://www.klkntv.com/shots-fired-at-a-lincoln-elementary-school-officers-say-its-alarming/" xr:uid="{00000000-0004-0000-0100-000015030000}"/>
    <hyperlink ref="K1460" r:id="rId791" display="https://www.mainlinemedianews.com/mainlinesuburbanlife/radnor-police-reports-shots-from-pellet-gun-hit-school-bus/article_a0646684-0c76-11eb-bae3-0702efefe48f.html" xr:uid="{00000000-0004-0000-0100-000016030000}"/>
    <hyperlink ref="K1464" r:id="rId792" display="https://www.kwqc.com/2020/09/27/police-man-found-in-school-stairwell-and-arrested-after-shooting-friday-night/" xr:uid="{00000000-0004-0000-0100-000017030000}"/>
    <hyperlink ref="K1465" r:id="rId793" display="https://newschannel20.com/news/local/man-elementary-school-window-shot-by-bb-gun" xr:uid="{00000000-0004-0000-0100-000018030000}"/>
    <hyperlink ref="K1468" r:id="rId794" display="https://www.news4jax.com/news/local/2020/09/23/police-1-detained-after-shot-fired-at-duval-county-school-bus/" xr:uid="{00000000-0004-0000-0100-000019030000}"/>
    <hyperlink ref="K1472" r:id="rId795" display="https://www.wkyt.com/2020/09/19/one-shot-near-lexington-school/" xr:uid="{00000000-0004-0000-0100-00001A030000}"/>
    <hyperlink ref="K1475" r:id="rId796" display="https://www.kiro7.com/news/local/man-injured-gig-harbor-shooting/AMXZMA2TLZC53LAN53PMT5GNAE/" xr:uid="{00000000-0004-0000-0100-00001B030000}"/>
    <hyperlink ref="K1478" r:id="rId797" display="https://www.heraldonline.com/news/local/crime/article245774640.html" xr:uid="{00000000-0004-0000-0100-00001C030000}"/>
    <hyperlink ref="K1479" r:id="rId798" display="https://www.10tv.com/article/news/local/no-one-hurt-when-columbus-city-schools-bus-shot-in-northeast-columbus/530-16a8f216-efe8-4e7a-922d-4a9ba1c21493" xr:uid="{00000000-0004-0000-0100-00001D030000}"/>
    <hyperlink ref="K1480" r:id="rId799" display="https://www.centralillinoisproud.com/news/local-news/peoria-public-schools-emphasizing-student-safety-after-school-bus-was-struck-by-stray-bullet-thursday/" xr:uid="{00000000-0004-0000-0100-00001E030000}"/>
    <hyperlink ref="K1486" r:id="rId800" display="https://abc17news.com/news/crime/shooting/2020/08/25/one-person-shot-near-west-middle-school-in-columbia/" xr:uid="{00000000-0004-0000-0100-00001F030000}"/>
    <hyperlink ref="K1492" r:id="rId801" display="https://www.detroitnews.com/story/news/local/macomb-county/2020/07/14/sterling-heights-police-fight-shot-fired-school-grounds/5435977002/" xr:uid="{00000000-0004-0000-0100-000020030000}"/>
    <hyperlink ref="K1494" r:id="rId802" display="https://www.dailyherald.com/news/20200714/prospect-heights-man-charged-after-shooting-near-frost-elementary-school" xr:uid="{00000000-0004-0000-0100-000021030000}"/>
    <hyperlink ref="K1501" r:id="rId803" display="https://www.cleveland.com/metro/2020/05/man-shot-to-death-in-school-parking-lot-in-clevelands-tremont-neighborhood.html" xr:uid="{00000000-0004-0000-0100-000022030000}"/>
    <hyperlink ref="K1502" r:id="rId804" display="https://www.fox10tv.com/news/mpd-makes-arrest-in-overnight-robbery-and-shooting-in-school-parking-lot/article_711aa7e0-9fa6-11ea-ac6c-ef149a798701.html" xr:uid="{00000000-0004-0000-0100-000023030000}"/>
    <hyperlink ref="K1503" r:id="rId805" display="https://fox8.com/news/man-killed-in-shooting-near-miles-elementary-school-in-cleveland/" xr:uid="{00000000-0004-0000-0100-000024030000}"/>
    <hyperlink ref="K1505" r:id="rId806" display="https://abc11.com/nc-man-shoots-at-couple-after-mistaking-them-for-russian-mafia-/6196277/" xr:uid="{00000000-0004-0000-0100-000025030000}"/>
    <hyperlink ref="K1507" r:id="rId807" display="https://www.newsobserver.com/news/local/crime/article256631386.html" xr:uid="{00000000-0004-0000-0100-000026030000}"/>
    <hyperlink ref="K1513" r:id="rId808" display="https://www.wsmv.com/news/sro-accidentally-fires-gun-inside-elementary-school/article_37ac76fe-654b-11ea-88b9-3fd9db99f2ae.html" xr:uid="{00000000-0004-0000-0100-000027030000}"/>
    <hyperlink ref="K1517" r:id="rId809" display="https://www.abcactionnews.com/news/local-news/i-team-investigates/former-tampa-police-officer-sues-sig-sauer-alleging-weapon-fired-by-itself-causing-serious-injuries" xr:uid="{00000000-0004-0000-0100-000028030000}"/>
    <hyperlink ref="K1518" r:id="rId810" display="https://www.abqjournal.com/1424911/apd-drive-by-sent-bullets-flying-into-abq-school.html" xr:uid="{00000000-0004-0000-0100-000029030000}"/>
    <hyperlink ref="K1520" r:id="rId811" display="https://www.deseret.com/utah/2020/3/16/21182240/gunshot-west-high-guns-in-schools-juvenile-arrested" xr:uid="{00000000-0004-0000-0100-00002A030000}"/>
    <hyperlink ref="K1525" r:id="rId812" display="https://abc13.com/shooting-at-hicks-elementary-leaves-man-injured/5897932/" xr:uid="{00000000-0004-0000-0100-00002B030000}"/>
    <hyperlink ref="K1530" r:id="rId813" display="https://kimatv.com/news/local/police-yakima-teen-arrested-for-threatening-woman-girl-at-and-elementary-school" xr:uid="{00000000-0004-0000-0100-00002C030000}"/>
    <hyperlink ref="K1532" r:id="rId814" display="https://www.klkntv.com/story/41605181/car-breakins-occur-at-a-lincoln-middle-school" xr:uid="{00000000-0004-0000-0100-00002D030000}"/>
    <hyperlink ref="K1533" r:id="rId815" display="https://chicago.cbslocal.com/2020/01/22/lindblom-high-school-shooting-robbery-swim-team-members/" xr:uid="{00000000-0004-0000-0100-00002E030000}"/>
    <hyperlink ref="K1540" r:id="rId816" display="https://www.wapt.com/article/australia-turns-from-defense-to-offense-in-wildfire-battle/30485441" xr:uid="{00000000-0004-0000-0100-00002F030000}"/>
    <hyperlink ref="K1541" r:id="rId817" display="https://www.wptv.com/news/region-the-glades/belle-glade/lockdown-lifted-at-glades-central-high-school-following-shooting" xr:uid="{00000000-0004-0000-0100-000030030000}"/>
    <hyperlink ref="K1549" r:id="rId818" display="https://www.14news.com/2019/12/11/dispatch-police-called-evans-elem-after-gunshots-reported/" xr:uid="{00000000-0004-0000-0100-000031030000}"/>
    <hyperlink ref="K1551" r:id="rId819" display="https://www.kshb.com/news/local-news/no-injuries-reported-after-school-bus-struck-by-gunfire-near-j-c-harmon-high-school" xr:uid="{00000000-0004-0000-0100-000032030000}"/>
    <hyperlink ref="K1557" r:id="rId820" display="https://www.wvtm13.com/article/mountain-brook-homicide-woman-found-dead-parking-lot-megan-montgomery/30065595" xr:uid="{00000000-0004-0000-0100-000033030000}"/>
    <hyperlink ref="K1558" r:id="rId821" display="https://www.columbian.com/news/2019/nov/26/police-responding-to-shooting-at-vancouver-elementary-school/" xr:uid="{00000000-0004-0000-0100-000034030000}"/>
    <hyperlink ref="K1559" r:id="rId822" display="https://abc7chicago.com/1-shot-outside-school-in-austin/5717900/" xr:uid="{00000000-0004-0000-0100-000035030000}"/>
    <hyperlink ref="K1561" r:id="rId823" display="https://abc7chicago.com/rich-central-student-charged-after-pellet-hits-school-bus-injuring-another-student/5713973/" xr:uid="{00000000-0004-0000-0100-000036030000}"/>
    <hyperlink ref="K1562" r:id="rId824" display="https://www.fox29.com/news/man-sentenced-to-70-years-for-shooting-that-killed-10-year-old-at-nj-high-school-football-game" xr:uid="{00000000-0004-0000-0100-000037030000}"/>
    <hyperlink ref="K1567" r:id="rId825" display="https://www.kcra.com/article/shooting-scare-prompts-panic-at-stockton-football-game/29745486" xr:uid="{00000000-0004-0000-0100-000038030000}"/>
    <hyperlink ref="K1570" r:id="rId826" display="https://dailyvoice.com/new-jersey/ocean/police-fire/asbury-park-teen-idd-charged-with-shooting-near-brick-high-school/794032/" xr:uid="{00000000-0004-0000-0100-000039030000}"/>
    <hyperlink ref="K1573" r:id="rId827" display="https://www.13abc.com/content/news/Shots-fired-at-Woodward-High-School-football-game-against-Rogers-563419051.html" xr:uid="{00000000-0004-0000-0100-00003A030000}"/>
    <hyperlink ref="K1576" r:id="rId828" display="https://www.katc.com/news/acadia-parish/police-confirm-arrest-of-second-suspect-in-shooting-near-rayne-hs-stadium" xr:uid="{00000000-0004-0000-0100-00003B030000}"/>
    <hyperlink ref="K1581" r:id="rId829" display="https://www.wbtv.com/2019/09/28/arrested-after-multiple-fights-high-school-football-game-charlotte/" xr:uid="{00000000-0004-0000-0100-00003C030000}"/>
    <hyperlink ref="K1583" r:id="rId830" display="https://wtop.com/dc/2019/09/northeast-shooting-sends-bullet-into-dc-elementary-school/" xr:uid="{00000000-0004-0000-0100-00003D030000}"/>
    <hyperlink ref="K1588" r:id="rId831" display="https://dfw.cbslocal.com/2019/09/14/dispute-pee-wee-football-game-shooting-2-injured-fort-worth/" xr:uid="{00000000-0004-0000-0100-00003E030000}"/>
    <hyperlink ref="K1594" r:id="rId832" display="https://triblive.com/local/westmoreland/jeannette-man-sentenced-for-2019-fatal-shooting-outside-of-high-school-football-game/" xr:uid="{00000000-0004-0000-0100-00003F030000}"/>
    <hyperlink ref="K1595" r:id="rId833" display="https://www.al.com/news/birmingham/2019/09/shots-fired-near-alabama-high-school-football-game-temporarily-stop-play-no-injures.html" xr:uid="{00000000-0004-0000-0100-000040030000}"/>
    <hyperlink ref="K1596" r:id="rId834" display="https://www.wmar2news.com/news/crime-checker/baltimore-city-crime/triple-shooting-near-elementary-school-leaves-one-man-dead-on-monday" xr:uid="{00000000-0004-0000-0100-000041030000}"/>
    <hyperlink ref="K1597" r:id="rId835" display="https://www.13abc.com/content/news/Juvenile-shot-on-Central-Catholic-grounds-after-altercation-following-football-game-558889751.html" xr:uid="{00000000-0004-0000-0100-000042030000}"/>
    <hyperlink ref="K1598" r:id="rId836" display="https://www.wnct.com/news/2-arrested-in-connection-to-a-shooting-at-a-kinston-football-game/" xr:uid="{00000000-0004-0000-0100-000043030000}"/>
    <hyperlink ref="K1600" r:id="rId837" display="https://patch.com/new-york/merrick/shooting-long-island-school-causes-lockdown" xr:uid="{00000000-0004-0000-0100-000044030000}"/>
    <hyperlink ref="K1603" r:id="rId838" display="https://www.stltoday.com/news/kristina-curry-found-dead-with-gunshot-wounds-at-roosevelt-high/article_965e67bc-9a38-577b-8346-2cb10be3843a.html" xr:uid="{00000000-0004-0000-0100-000045030000}"/>
    <hyperlink ref="K1606" r:id="rId839" display="https://cumberlink.com/news/local/crime-and-courts/school-saint-patrick-parent-accidentally-fires-gun-injures-self-in/article_d58b284e-fd55-5d1f-bf83-91de12e5302d.html" xr:uid="{00000000-0004-0000-0100-000046030000}"/>
    <hyperlink ref="K1608" r:id="rId840" display="https://www.wsmv.com/news/three-in-custody-after-shots-fired-at-east-high-school/article_9f788d58-bfcf-11e9-bdda-c788cc06a4b1.html" xr:uid="{00000000-0004-0000-0100-000047030000}"/>
    <hyperlink ref="K1611" r:id="rId841" display="https://fox5sandiego.com/2019/07/19/mid-city-school-locks-down-over-bb-gun-shooting/" xr:uid="{00000000-0004-0000-0100-000048030000}"/>
    <hyperlink ref="K1612" r:id="rId842" display="https://whdh.com/news/2-charged-in-fatal-shooting-of-man-found-behind-high-school/" xr:uid="{00000000-0004-0000-0100-000049030000}"/>
    <hyperlink ref="K1615" r:id="rId843" display="https://www.denverpost.com/2019/07/04/colorado-springs-shooting-victims/" xr:uid="{00000000-0004-0000-0100-00004A030000}"/>
    <hyperlink ref="K1617" r:id="rId844" display="https://6abc.com/police-del-man-found-holding-loaded-gun-outside-nj-elementary-school/5346847/" xr:uid="{00000000-0004-0000-0100-00004B030000}"/>
    <hyperlink ref="K1620" r:id="rId845" display="https://www.chicagotribune.com/suburbs/lake-county-news-sun/news/ct-lns-waukegan-shooting-arrests-blotter-st-0612-story.html" xr:uid="{00000000-0004-0000-0100-00004C030000}"/>
    <hyperlink ref="K1621" r:id="rId846" display="https://chicago.suntimes.com/crime/2019/6/6/18656020/genevieve-melody-school-court-shooting" xr:uid="{00000000-0004-0000-0100-00004D030000}"/>
    <hyperlink ref="K1622" r:id="rId847" display="https://wjla.com/news/local/dc-elementary-school-shot-again" xr:uid="{00000000-0004-0000-0100-00004E030000}"/>
    <hyperlink ref="K1624" r:id="rId848" display="https://www.kgw.com/article/news/local/police-id-student-accused-of-bringing-shotgun-to-parkrose-high-school/283-6998e18d-8460-4ab4-87bd-aab49b4082a8" xr:uid="{00000000-0004-0000-0100-00004F030000}"/>
    <hyperlink ref="K1629" r:id="rId849" display="https://www.wfla.com/news/pasco-county/deputies-pasco-school-officer-s-gun-discharges-in-cafeteria-no-one-injured/1966758072" xr:uid="{00000000-0004-0000-0100-000050030000}"/>
    <hyperlink ref="K1630" r:id="rId850" display="http://www.fox5atlanta.com/news/police-release-vehicle-description-in-fulton-county-school-bus-shooting" xr:uid="{00000000-0004-0000-0100-000051030000}"/>
    <hyperlink ref="K1633" r:id="rId851" display="https://www.mlive.com/news/flint/2019/04/shot-fired-at-flint-school-several-people-in-custody.html" xr:uid="{00000000-0004-0000-0100-000052030000}"/>
    <hyperlink ref="K1636" r:id="rId852" display="https://www.kxro.com/montesano-police-arrest-student-after-school-shooting-statements/" xr:uid="{00000000-0004-0000-0100-000053030000}"/>
    <hyperlink ref="K1638" r:id="rId853" display="https://www.cbsnews.com/sacramento/news/police-2-bullet-holes-found-in-elementary-school-building-no-one-injured/" xr:uid="{00000000-0004-0000-0100-000054030000}"/>
    <hyperlink ref="K1640" r:id="rId854" display="https://www.sentinelcolorado.com/0trending/aurora-high-school-dean-accused-of-bringing-loaded-concealed-weapon-to-campus-making-threats/" xr:uid="{00000000-0004-0000-0100-000055030000}"/>
    <hyperlink ref="K1643" r:id="rId855" display="https://www.news4jax.com/news/2019/03/28/12-year-old-hurt-after-metal-projectile-hits-school-bus/" xr:uid="{00000000-0004-0000-0100-000056030000}"/>
    <hyperlink ref="K1645" r:id="rId856" display="https://www.orlandosentinel.com/news/breaking-news/os-ne-lake-mary-lockdown-code-red-20190313-story.html" xr:uid="{00000000-0004-0000-0100-000057030000}"/>
    <hyperlink ref="K1648" r:id="rId857" display="https://kdvr.com/2019/02/18/man-shot-in-neighbor-dispute-idd-as-former-cu-football-player-assistant-high-school-principal/" xr:uid="{00000000-0004-0000-0100-000058030000}"/>
    <hyperlink ref="K1656" r:id="rId858" display="https://mynews4.com/news/local/2019-shooting-of-man-near-reno-high-school-by-reno-police-ruled-justified-by-washoe-da" xr:uid="{00000000-0004-0000-0100-000059030000}"/>
    <hyperlink ref="K1661" r:id="rId859" display="https://www.wral.com/durham-school-bus-hit-by-stray-bullet/18133535/" xr:uid="{00000000-0004-0000-0100-00005A030000}"/>
    <hyperlink ref="K1662" r:id="rId860" display="https://fox2now.com/2019/01/18/gunfire-exchanged-in-hazelwood-east-parking-lot/" xr:uid="{00000000-0004-0000-0100-00005B030000}"/>
    <hyperlink ref="K1664" r:id="rId861" display="https://bringmethenews.com/minnesota-news/gunshots-fired-into-minneapolis-north-high-school-no-injuries" xr:uid="{00000000-0004-0000-0100-00005C030000}"/>
    <hyperlink ref="K1667" r:id="rId862" display="https://www.delawareonline.com/story/news/crime/2018/12/18/shots-fired-ai-dupont-high-school/2358011002/" xr:uid="{00000000-0004-0000-0100-00005D030000}"/>
    <hyperlink ref="K1668" r:id="rId863" display="https://fox4kc.com/2018/12/14/police-investigating-reports-of-shot-fired-into-air-and-shooting-at-2-metro-high-schools/" xr:uid="{00000000-0004-0000-0100-00005E030000}"/>
    <hyperlink ref="K1671" r:id="rId864" display="https://democratherald.com/news/local/sheriff-death-of-teen-in-jefferson-apparently-suicide/article_3eb0d660-a01e-55d9-8d38-076025be56cb.html" xr:uid="{00000000-0004-0000-0100-00005F030000}"/>
    <hyperlink ref="K1672" r:id="rId865" display="https://www.nbcphiladelphia.com/news/local/Stray-Bullet-Strawberry-Mansion-High-School-Lockdown-Shooting--501474831.html" xr:uid="{00000000-0004-0000-0100-000060030000}"/>
    <hyperlink ref="K1673" r:id="rId866" display="https://abc6onyourside.com/news/local/police-investigating-double-shooting-at-africentric-high-school" xr:uid="{00000000-0004-0000-0100-000061030000}"/>
    <hyperlink ref="K1676" r:id="rId867" display="https://www.mlive.com/news/muskegon/index.ssf/2018/11/man_suspected_of_shooting_out.html" xr:uid="{00000000-0004-0000-0100-000062030000}"/>
    <hyperlink ref="K1677" r:id="rId868" display="https://wtkr.com/2018/11/20/shot-fired-by-portsmouth-elementary-school-police-investigate/" xr:uid="{00000000-0004-0000-0100-000063030000}"/>
    <hyperlink ref="K1678" r:id="rId869" display="https://baltimore.cbslocal.com/2018/11/12/school-resource-officer-suicide/" xr:uid="{00000000-0004-0000-0100-000064030000}"/>
    <hyperlink ref="K1679" r:id="rId870" display="https://www.mdjonline.com/news/gun-fired-in-garrett-middle-school-bathroom-students-charged/article_3efeedb6-e481-11e8-b800-e38d6827d46f.html" xr:uid="{00000000-0004-0000-0100-000065030000}"/>
    <hyperlink ref="K1680" r:id="rId871" display="https://ksby.com/news/2018/12/03/suspects-arrested-in-santa-barbara-elementary-school-shooting-linked-to-other-crimes" xr:uid="{00000000-0004-0000-0100-000066030000}"/>
    <hyperlink ref="K1681" r:id="rId872" display="https://www.wbtw.com/crime/grand-strand-crime/12-year-old-issued-summons-after-bringing-bb-gun-to-conway-school-shooting-13-year-old-report-says/1579188190" xr:uid="{00000000-0004-0000-0100-000067030000}"/>
    <hyperlink ref="K1685" r:id="rId873" display="https://www.wxyz.com/news/detroit-police-confirm-shooting-on-cody-high-school-property" xr:uid="{00000000-0004-0000-0100-000068030000}"/>
    <hyperlink ref="K1686" r:id="rId874" display="https://www.wmur.com/amp/article/manchester-after-school-volunteer-shot-by-pellet-gun-at-elementary-school/24089076" xr:uid="{00000000-0004-0000-0100-000069030000}"/>
    <hyperlink ref="K1687" r:id="rId875" display="https://fox61.com/2018/10/22/shot-fired-through-window-in-bridgeport-school/" xr:uid="{00000000-0004-0000-0100-00006A030000}"/>
    <hyperlink ref="K1690" r:id="rId876" display="https://wwmt.com/news/local/battle-creek-academy-locked-down-after-building-shot" xr:uid="{00000000-0004-0000-0100-00006B030000}"/>
    <hyperlink ref="K1692" r:id="rId877" display="https://www.wavy.com/news/local-news/norfolk/police-respond-to-shooting-after-football-game-at-lake-taylor-high-school/1501979731" xr:uid="{00000000-0004-0000-0100-00006C030000}"/>
    <hyperlink ref="K1696" r:id="rId878" display="https://www.arkansasonline.com/news/2018/oct/02/shots-fired-near-little-rock-elementary-school-pol/" xr:uid="{00000000-0004-0000-0100-00006D030000}"/>
    <hyperlink ref="K1697" r:id="rId879" display="https://www.ksfy.com/content/news/High-school-football-game-evacuated-following-gunshot-494669791.html" xr:uid="{00000000-0004-0000-0100-00006E030000}"/>
    <hyperlink ref="K1699" r:id="rId880" display="http://www.baltimoresun.com/news/maryland/crime/bs-md-ci-guns-fired-elementary-school-20180926-story.html" xr:uid="{00000000-0004-0000-0100-00006F030000}"/>
    <hyperlink ref="K1702" r:id="rId881" display="https://www.wsav.com/news/local-news/update-student-found-shot-at-appling-co-hs-declared-dead-coroner-says/" xr:uid="{00000000-0004-0000-0100-000070030000}"/>
    <hyperlink ref="K1703" r:id="rId882" display="https://www.dailybulletin.com/2018/09/20/body-found-at-pomona-high-school/" xr:uid="{00000000-0004-0000-0100-000071030000}"/>
    <hyperlink ref="K1706" r:id="rId883" display="https://q13fox.com/2018/09/14/reports-of-shots-fired-outside-mariner-high-school-football-stadium-evacuated/" xr:uid="{00000000-0004-0000-0100-000072030000}"/>
    <hyperlink ref="K1711" r:id="rId884" display="https://www.nbcbayarea.com/news/local/Suspect-Arrested-After-Officer-Involved-Shooting-Chase-at-Gilroy-High-School--492815721.html" xr:uid="{00000000-0004-0000-0100-000073030000}"/>
    <hyperlink ref="K1712" r:id="rId885" display="https://www.desmoinesregister.com/story/news/2018/09/07/des-moines-hoover-north-homecoming-game-shooting-football-des-moines-police-mcgrane-stadium/1234471002/" xr:uid="{00000000-0004-0000-0100-000074030000}"/>
    <hyperlink ref="K1714" r:id="rId886" display="http://www.nydailynews.com/new-york/nyc-crime/ny-metro-man-shot-outside-bronx-school-20180904-story.html" xr:uid="{00000000-0004-0000-0100-000075030000}"/>
    <hyperlink ref="K1716" r:id="rId887" display="https://abc7news.com/3-students-in-custody-1-hurt-after-police-find-gun-on-sf-campus/4100641/" xr:uid="{00000000-0004-0000-0100-000076030000}"/>
    <hyperlink ref="K1718" r:id="rId888" display="https://www.woodtv.com/news/grand-rapids/shooting-outside-ottawa-hills-hs-leads-to-lockdowns/1406788527" xr:uid="{00000000-0004-0000-0100-000077030000}"/>
    <hyperlink ref="K1719" r:id="rId889" display="https://www.nbcphiladelphia.com/news/local/Towne-Point-Elementary-School-Dover-Deadly-Shooting-491979251.html" xr:uid="{00000000-0004-0000-0100-000078030000}"/>
    <hyperlink ref="K1721" r:id="rId890" display="https://www.ksdk.com/article/news/local/metro-east-football-team-forced-to-cancel-game-after-shooting-in-chicago/63-587675552" xr:uid="{00000000-0004-0000-0100-000079030000}"/>
    <hyperlink ref="K1722" r:id="rId891" display="https://www.news4jax.com/news/2018/08/25/police-gang-shooting-after-raines-high-school-football-game-kills-1-injures-2/" xr:uid="{00000000-0004-0000-0100-00007A030000}"/>
    <hyperlink ref="K1723" r:id="rId892" display="https://www.montgomeryadvertiser.com/story/sports/high-school/football/2018/08/23/shooting-outside-asu-stadium-brings-halt-g-w-carver-jeff-davis-game/1081209002/" xr:uid="{00000000-0004-0000-0100-00007B030000}"/>
    <hyperlink ref="K1725" r:id="rId893" display="https://www.wsmv.com/news/police-identify-man-accused-of-shooting-youth-football-coach-on/article_f8653b71-1014-5896-bc31-37c289db30f9.html" xr:uid="{00000000-0004-0000-0100-00007C030000}"/>
    <hyperlink ref="K1726" r:id="rId894" display="https://www.thedailyjournal.com/story/news/crime/2018/08/09/man-critically-wounded-shooting-school-parking-lot-millville/953855002/" xr:uid="{00000000-0004-0000-0100-00007D030000}"/>
    <hyperlink ref="K1729" r:id="rId895" display="https://www.yakimaherald.com/news/crime_and_courts/shooting-victim-found-near-west-valley-school-identified/article_486a9ff4-8c56-11e8-886e-3bb30443843b.html" xr:uid="{00000000-0004-0000-0100-00007E030000}"/>
    <hyperlink ref="K1730" r:id="rId896" display="https://wchstv.com/news/local/man-accused-of-firing-gun-at-hurricane-high-school-during-agrument" xr:uid="{00000000-0004-0000-0100-00007F030000}"/>
    <hyperlink ref="K1732" r:id="rId897" display="https://abcnews.go.com/US/critical-condition-shooting-kansas-elementary-school-police/story?id=56340440" xr:uid="{00000000-0004-0000-0100-000080030000}"/>
    <hyperlink ref="K1733" r:id="rId898" display="https://wreg.com/2018/07/02/man-slams-car-into-boarded-up-school-building-after-being-shot/" xr:uid="{00000000-0004-0000-0100-000081030000}"/>
    <hyperlink ref="K1734" r:id="rId899" display="https://www.springfieldnewssun.com/news/crime--law/update-teens-arrested-after-alleged-attempted-shooting-truck-strike-outside-springfield-school/Kv3diPzfq35me2wa7OrdBI/" xr:uid="{00000000-0004-0000-0100-000082030000}"/>
    <hyperlink ref="K1736" r:id="rId900" display="https://krld.radio.com/articles/suspect-arrested-after-16-yr-old-found-shot-near-skyline-high-school" xr:uid="{00000000-0004-0000-0100-000083030000}"/>
    <hyperlink ref="K1737" r:id="rId901" display="http://katu.com/news/local/police-man-found-shot-killed-on-se-portland-grant-high-school-track" xr:uid="{00000000-0004-0000-0100-000084030000}"/>
    <hyperlink ref="K1738" r:id="rId902" display="https://www.whio.com/news/local/report-shot-possibly-fired-during-altercation-basketball-court-beavercreek-school/pik2z70Vnp3YXYCS9M5YKN/" xr:uid="{00000000-0004-0000-0100-000085030000}"/>
    <hyperlink ref="K1741" r:id="rId903" display="https://www.wsbtv.com/news/local/breaking-personshot-in-elementary-school-parking-lot/753941792" xr:uid="{00000000-0004-0000-0100-000086030000}"/>
    <hyperlink ref="K1744" r:id="rId904" display="https://www.kshb.com/news/crime/man-charged-in-shooting-at-center-high-school-graduation" xr:uid="{00000000-0004-0000-0100-000087030000}"/>
    <hyperlink ref="K1747" r:id="rId905" display="https://www.wxyz.com/news/off-duty-officer-accidentally-discharges-gun-during-wrestling-meet-at-michigan-high-school" xr:uid="{00000000-0004-0000-0100-000088030000}"/>
    <hyperlink ref="K1748" r:id="rId906" display="https://www.mlive.com/news/jackson/index.ssf/2018/04/no_arrests_made_yet_after_jack.html" xr:uid="{00000000-0004-0000-0100-000089030000}"/>
    <hyperlink ref="K1751" r:id="rId907" display="http://www.cbs46.com/story/38020869/us-marshals-suspect-involved-in-mays-high-school-shooting-apprehended" xr:uid="{00000000-0004-0000-0100-00008A030000}"/>
    <hyperlink ref="K1753" r:id="rId908" display="https://www.mlive.com/news/jackson/index.ssf/2018/04/no_arrests_made_yet_after_jack.html" xr:uid="{00000000-0004-0000-0100-00008B030000}"/>
    <hyperlink ref="K1754" r:id="rId909" display="http://www.kansascity.com/news/local/crime/article208770464.html" xr:uid="{00000000-0004-0000-0100-00008C030000}"/>
    <hyperlink ref="K1755" r:id="rId910" display="http://www.leaderherald.com/news/local-news/2018/04/student-shot-with-bb-gun-at-school/" xr:uid="{00000000-0004-0000-0100-00008D030000}"/>
    <hyperlink ref="K1756" r:id="rId911" display="https://www.cbsnews.com/news/kentucky-police-suspect-in-wifes-death-shot-behind-school/" xr:uid="{00000000-0004-0000-0100-00008E030000}"/>
    <hyperlink ref="K1757" r:id="rId912" display="https://www.clarionledger.com/story/news/local/2018/05/31/school-shooting-suspect-detained-trial-authorities-advise-educators/628988002/" xr:uid="{00000000-0004-0000-0100-00008F030000}"/>
    <hyperlink ref="K1759" r:id="rId913" display="https://pilotonline.com/news/local/crime/article_32543292-2bcc-11e8-a262-877b86c9daad.html" xr:uid="{00000000-0004-0000-0100-000090030000}"/>
    <hyperlink ref="K1760" r:id="rId914" display="http://missoulian.com/news/local/report-gunshots-at-missoula-s-big-sky-high-fired-by/article_f14cb7f4-ee52-58e2-abda-afb0f8f33421.html" xr:uid="{00000000-0004-0000-0100-000091030000}"/>
    <hyperlink ref="K1761" r:id="rId915" display="http://www.alexandrianews.org/2018/05/gw-school-resource-officer-charged-after-discharge-of-weapon/" xr:uid="{00000000-0004-0000-0100-000092030000}"/>
    <hyperlink ref="K1762" r:id="rId916" display="http://www.ksbw.com/article/seaside-high-teacher-accidentally-fires-gun-in-class/19426017" xr:uid="{00000000-0004-0000-0100-000093030000}"/>
    <hyperlink ref="K1763" r:id="rId917" display="http://www.wsaz.com/content/news/Reported-gunfire-at-Frederick-Douglas-High-School-in-Lexington-476375083.html" xr:uid="{00000000-0004-0000-0100-000094030000}"/>
    <hyperlink ref="K1765" r:id="rId918" display="https://fox2now.com/2018/03/05/students-sent-home-after-suicide-at-washington-county-school/" xr:uid="{00000000-0004-0000-0100-000095030000}"/>
    <hyperlink ref="K1767" r:id="rId919" display="https://www.thenewstribune.com/news/local/crime/article202366859.html" xr:uid="{00000000-0004-0000-0100-000096030000}"/>
    <hyperlink ref="K1770" r:id="rId920" display="https://www.cnn.com/2022/07/18/us/nikolas-cruz-parkland-shooter-penalty-phase/index.html" xr:uid="{00000000-0004-0000-0100-000097030000}"/>
    <hyperlink ref="K1771" r:id="rId921" display="http://www.wsmv.com/story/37500077/14-year-old-suspect-wanted-in-shooting-outside-pearl-cohn-high-school" xr:uid="{00000000-0004-0000-0100-000098030000}"/>
    <hyperlink ref="K1772" r:id="rId922" display="https://abc7ny.com/teen-in-custody-after-shot-fired-inside-bronx-high-school/3054112/" xr:uid="{00000000-0004-0000-0100-000099030000}"/>
    <hyperlink ref="K1773" r:id="rId923" display="https://www.twincities.com/2018/02/05/maplewood-police-officers-gun-fires-at-school-no-injuries-reported/" xr:uid="{00000000-0004-0000-0100-00009A030000}"/>
    <hyperlink ref="K1774" r:id="rId924" display="http://pgpolice.blogspot.ca/2018/02/two-teenage-suspects-in-custody-for-non.html" xr:uid="{00000000-0004-0000-0100-00009B030000}"/>
    <hyperlink ref="K1775" r:id="rId925" display="http://abc7.com/charges-filed-against-12-year-old-girl-in-westlake-school-shooting/3023846/" xr:uid="{00000000-0004-0000-0100-00009C030000}"/>
    <hyperlink ref="K1776" r:id="rId926" display="http://6abc.com/man-32-killed-outside-lincoln-high-school-in-mayfair-idd/3013312/" xr:uid="{00000000-0004-0000-0100-00009D030000}"/>
    <hyperlink ref="K1777" r:id="rId927" display="https://www.freep.com/story/news/local/michigan/wayne/2018/01/27/dearborn-high-school-shooting/1071836001/" xr:uid="{00000000-0004-0000-0100-00009E030000}"/>
    <hyperlink ref="K1778" r:id="rId928" display="https://lagniappemobile.com/police-student-fired-weapon-indiscriminately-campus/" xr:uid="{00000000-0004-0000-0100-00009F030000}"/>
    <hyperlink ref="K1781" r:id="rId929" display="http://www.nola.com/crime/index.ssf/2018/02/how_many_school_shootings_2018.html" xr:uid="{00000000-0004-0000-0100-0000A0030000}"/>
    <hyperlink ref="K1783" r:id="rId930" display="http://www.tucsonnewsnow.com/story/37226015/school-shooting-cochise-county-coronado-elementary-lockdown-suicide-sierra-vista" xr:uid="{00000000-0004-0000-0100-0000A1030000}"/>
    <hyperlink ref="K1786" r:id="rId931" display="https://www.heraldnet.com/news/police-say-they-shot-up-the-school-then-bragged-about-it/" xr:uid="{00000000-0004-0000-0100-0000A2030000}"/>
    <hyperlink ref="K1787" r:id="rId932" display="https://www.nola.com/crime/index.ssf/2017/01/algiers_double_shooting.html" xr:uid="{00000000-0004-0000-0100-0000A3030000}"/>
    <hyperlink ref="K1788" r:id="rId933" display="https://www.dailynews.com/2017/12/28/man-arguing-with-girlfriend-in-lancaster-school-parking-lot-is-shot-by-another-man/" xr:uid="{00000000-0004-0000-0100-0000A4030000}"/>
    <hyperlink ref="K1789" r:id="rId934" display="http://www.wnem.com/story/37105109/breaking-police-investigate-shooting-at-beecher-high-school" xr:uid="{00000000-0004-0000-0100-0000A5030000}"/>
    <hyperlink ref="K1790" r:id="rId935" display="https://www.nbcdfw.com/news/local/Dallas-ISD-Gun-Accidentally-Goes-Off-in-3rd-Grade-Classroom-464473823.html" xr:uid="{00000000-0004-0000-0100-0000A6030000}"/>
    <hyperlink ref="K1791" r:id="rId936" display="https://abc13.com/2-wounded-when-gun-goes-off-in-car-at-sam-rayburn-hs/2774679/" xr:uid="{00000000-0004-0000-0100-0000A7030000}"/>
    <hyperlink ref="K1792" r:id="rId937" display="http://www.hpenews.com/free/shot-fired-at-central-high-school-no-one-injured/article_574ce5ba-dea8-11e7-b849-5ffd746bf19a.html" xr:uid="{00000000-0004-0000-0100-0000A8030000}"/>
    <hyperlink ref="K1793" r:id="rId938" display="https://www.news-gazette.com/news/update-potential-fight-might-have-sparked-gunfire/article_644ff6c6-f9f5-5327-b078-630facba2e9b.html" xr:uid="{00000000-0004-0000-0100-0000A9030000}"/>
    <hyperlink ref="K1796" r:id="rId939" display="https://www.limaohio.com/news/273390/lima-man-arrested-after-gun-goes-off-accidentally-at-bath-high-school" xr:uid="{00000000-0004-0000-0100-0000AA030000}"/>
    <hyperlink ref="K1798" r:id="rId940" display="https://www.denverpost.com/2017/11/23/shooting-near-manual-high-school-denver/" xr:uid="{00000000-0004-0000-0100-0000AB030000}"/>
    <hyperlink ref="K1799" r:id="rId941" display="https://www.wbbjtv.com/2017/11/18/shots-fired-north-side-high-school-school-placed-brief-lockdown/" xr:uid="{00000000-0004-0000-0100-0000AC030000}"/>
    <hyperlink ref="K1802" r:id="rId942" display="http://www.unionrecorder.com/news/update-gun-discharges-in-third-grader-s-book-bag/article_12323ddc-c65b-11e7-a275-f77a9d106f20.html" xr:uid="{00000000-0004-0000-0100-0000AD030000}"/>
    <hyperlink ref="K1803" r:id="rId943" location="/" display="http://www.fox5atlanta.com/news/two-students-accidentally-shot-at-banneker-high-school-according-to-principal - /" xr:uid="{00000000-0004-0000-0100-0000AE030000}"/>
    <hyperlink ref="K1804" r:id="rId944" display="https://rumble.com/v3x6k9-documents-reveal-what-police-think-happened-outside-pattengill-academy.html" xr:uid="{00000000-0004-0000-0100-0000AF030000}"/>
    <hyperlink ref="K1805" r:id="rId945" display="https://www.wktv.com/content/news/453482573.html" xr:uid="{00000000-0004-0000-0100-0000B0030000}"/>
    <hyperlink ref="K1806" r:id="rId946" display="https://www.wtol.com/article/text/news/police-shots-fired-in-parking-lot-area-of-start-high-school/512-4f7360d6-2e3f-434a-a6e6-0067351b41f4" xr:uid="{00000000-0004-0000-0100-0000B1030000}"/>
    <hyperlink ref="K1807" r:id="rId947" display="https://www.journalnow.com/news/crime/man-charged-after-gun-fired-at-kernersville-youth-football-game/article_18fb0bef-80e1-530a-bc1f-b6b61ce4d8fd.html" xr:uid="{00000000-0004-0000-0100-0000B2030000}"/>
    <hyperlink ref="K1808" r:id="rId948" display="https://newsmaven.io/charlottealerts/news/video-drug-dispute-erupts-into-shootout-at-gas-station-school-bus-gets-hit-ffkja5HUBEKh-yZn1VMiVQ" xr:uid="{00000000-0004-0000-0100-0000B3030000}"/>
    <hyperlink ref="K1809" r:id="rId949" display="https://triblive.com/local/regional/12794212-74/woman-shoots-boyfriend-in-indiana-county-school-parking-lot" xr:uid="{00000000-0004-0000-0100-0000B4030000}"/>
    <hyperlink ref="K1810" r:id="rId950" display="https://fox4kc.com/2017/09/29/lees-summit-north-high-school-dismissing-students-early-due-to-an-incident/" xr:uid="{00000000-0004-0000-0100-0000B5030000}"/>
    <hyperlink ref="K1811" r:id="rId951" display="http://abc7.com/5-injured-in-bb-gun-shooting-at-sun-valley-high-school/2469755/" xr:uid="{00000000-0004-0000-0100-0000B6030000}"/>
    <hyperlink ref="K1813" r:id="rId952" display="https://www.cnn.com/2017/09/22/us/illinois-teacher-hero/index.html" xr:uid="{00000000-0004-0000-0100-0000B7030000}"/>
    <hyperlink ref="K1814" r:id="rId953" display="https://www.spokesman.com/stories/2022/aug/19/the-true-cost-of-evil-freeman-high-school-shooter-/" xr:uid="{00000000-0004-0000-0100-0000B8030000}"/>
    <hyperlink ref="K1815" r:id="rId954" display="http://www.dispatch.com/news/20170912/counselor-describes-how-he-defused-columbus-scioto-school-shooter" xr:uid="{00000000-0004-0000-0100-0000B9030000}"/>
    <hyperlink ref="K1816" r:id="rId955" display="https://www.thv11.com/article/news/local/after-shooting-north-little-rock-high-to-increase-security-at-football-games/473815136" xr:uid="{00000000-0004-0000-0100-0000BA030000}"/>
    <hyperlink ref="K1817" r:id="rId956" display="https://www.sbsun.com/2017/09/01/shooting-cuts-arroyo-valley-high-school-football-game-short/" xr:uid="{00000000-0004-0000-0100-0000BB030000}"/>
    <hyperlink ref="K1818" r:id="rId957" display="https://www.ajc.com/news/crime--law/veteran-lithia-springs-high-teacher-shoots-self-school-classes-canceled/ySkZFldVAcQEqaXTYrihbK/" xr:uid="{00000000-0004-0000-0100-0000BC030000}"/>
    <hyperlink ref="K1820" r:id="rId958" display="https://www.wctv.tv/content/news/Shots-fired-during-Valdosta-Highs-Midnight-Madness-practice-437798503.html" xr:uid="{00000000-0004-0000-0100-0000BD030000}"/>
    <hyperlink ref="K1821" r:id="rId959" display="https://fox13now.com/2017/07/21/19-year-old-shoots-teen-at-spanish-fork-high-before-taking-own-life/" xr:uid="{00000000-0004-0000-0100-0000BE030000}"/>
    <hyperlink ref="K1822" r:id="rId960" display="https://fox6now.com/2017/07/19/police-32-year-old-shot-multiple-times-inside-school-gym-in-milwaukee-during-basketball-game/" xr:uid="{00000000-0004-0000-0100-0000BF030000}"/>
    <hyperlink ref="K1823" r:id="rId961" display="https://www.wbtw.com/news/1-arrested-hospitalized-after-accidental-shooting-at-wilson-high-school/868539676" xr:uid="{00000000-0004-0000-0100-0000C0030000}"/>
    <hyperlink ref="K1824" r:id="rId962" display="https://chicago.suntimes.com/crime/2-boys-man-charged-with-warren-elementary-school-shooting/" xr:uid="{00000000-0004-0000-0100-0000C1030000}"/>
    <hyperlink ref="K1825" r:id="rId963" display="https://www.fox23.com/news/tulsa-police-respond-to-reports-of-shots-fired-at-mcclain-high-school/436311154" xr:uid="{00000000-0004-0000-0100-0000C2030000}"/>
    <hyperlink ref="K1827" r:id="rId964" display="http://abc3340.com/news/local/greensboro-hs-student-in-police-custody-after-shooting-at-another-student" xr:uid="{00000000-0004-0000-0100-0000C3030000}"/>
    <hyperlink ref="K1828" r:id="rId965" display="http://www.ktre.com/story/35506610/kirbyville-high-school-principal-resigns-then-shoots-kills-self-in-parking-lot" xr:uid="{00000000-0004-0000-0100-0000C4030000}"/>
    <hyperlink ref="K1829" r:id="rId966" display="http://www.americanpress.com/news/local/year-old-shot-at-moss-bluff-school/article_bf746d62-ee60-11e7-ad5c-7b6da485d0a4.html" xr:uid="{00000000-0004-0000-0100-0000C5030000}"/>
    <hyperlink ref="K1830" r:id="rId967" display="https://www.kptv.com/news/crime-stoppers-2017-deadly-shooting-near-menlo-park-elementary-school-remains-unsolved/article_c6c7f520-9dfd-11eb-90de-33d857869811.html" xr:uid="{00000000-0004-0000-0100-0000C6030000}"/>
    <hyperlink ref="K1831" r:id="rId968" display="https://www.tulsaworld.com/homepagelatest/man-shot-in-chest-at-booker-t-washington-high-school/article_f6b588e9-926b-5c04-a9c5-aee4dc5c7ee8.html" xr:uid="{00000000-0004-0000-0100-0000C7030000}"/>
    <hyperlink ref="K1833" r:id="rId969" display="https://www.localmemphis.com/article/news/local/19-year-old-found-shot-on-baseball-field-behind-raleigh-egypt-high-school/522-e736b428-22b9-41b9-922b-64b80f7efccd" xr:uid="{00000000-0004-0000-0100-0000C8030000}"/>
    <hyperlink ref="K1835" r:id="rId970" display="https://www.thecalifornian.com/story/news/my-safety/2017/03/21/authorities-hunt-king-city-school-shooting-suspect/99464446/" xr:uid="{00000000-0004-0000-0100-0000C9030000}"/>
    <hyperlink ref="K1837" r:id="rId971" display="https://www.twincities.com/2017/02/18/man-kidnaps-ex-fiancee-kills-himself-in-middle-school-parking-lot/" xr:uid="{00000000-0004-0000-0100-0000CA030000}"/>
    <hyperlink ref="K1838" r:id="rId972" display="http://www.theadvocate.com/baton_rouge/news/crime_police/article_c0f86974-ed92-11e6-98ec-1fec7cb6253b.html" xr:uid="{00000000-0004-0000-0100-0000CB030000}"/>
    <hyperlink ref="K1841" r:id="rId973" display="https://www.whio.com/news/local/prosecutor-opposes-school-shooter-appeal-ohio-high-court/mFdMS0ZHweTNdy0nEDwV2I/" xr:uid="{00000000-0004-0000-0100-0000CC030000}"/>
    <hyperlink ref="K1842" r:id="rId974" display="http://www.wtxl.com/news/gun-goes-off-at-franklin-county-school/article_5f86d63a-ddb1-11e6-b2c8-b722f449d29e.html" xr:uid="{00000000-0004-0000-0100-0000CD030000}"/>
    <hyperlink ref="K1843" r:id="rId975" display="http://www.alexcityoutlook.com/2017/01/09/two-students-taken-into-custody-after-gun-goes-off-at-middle-school/" xr:uid="{00000000-0004-0000-0100-0000CE030000}"/>
    <hyperlink ref="K1844" r:id="rId976" display="https://www.courierpress.com/story/news/local/2017/01/03/coroner-arriving-after-police-activity-central-high-school/96101214/" xr:uid="{00000000-0004-0000-0100-0000CF030000}"/>
    <hyperlink ref="K1849" r:id="rId977" display="http://www.standard.net/Police-Fire/2017/02/13/Teen-accused-of-shooting-gun-in-Mueller-Park-Jr-High-pleads-guilty" xr:uid="{00000000-0004-0000-0100-0000D0030000}"/>
    <hyperlink ref="K1851" r:id="rId978" display="http://www.mlive.com/news/bay-city/index.ssf/2016/12/deputy_who_fired_gun_in_school.html" xr:uid="{00000000-0004-0000-0100-0000D1030000}"/>
    <hyperlink ref="K1852" r:id="rId979" display="https://www.denverpost.com/2016/11/04/authorities-id-joshua-francis-berthoud-high-school-suicide/" xr:uid="{00000000-0004-0000-0100-0000D2030000}"/>
    <hyperlink ref="K1854" r:id="rId980" display="https://www.ksl.com/?sid=42051617&amp;nid=148&amp;title=14-year-old-charged-with-attempted-murder-in-union-middle-school-shooting" xr:uid="{00000000-0004-0000-0100-0000D3030000}"/>
    <hyperlink ref="K1855" r:id="rId981" display="https://www.sfgate.com/crime/article/Two-arrested-in-SF-school-shooting-that-injured-4-10005290.php" xr:uid="{00000000-0004-0000-0100-0000D4030000}"/>
    <hyperlink ref="K1856" r:id="rId982" display="http://usatodayhss.com/2016/student-shot-outside-atlanta-high-school-after-football-game" xr:uid="{00000000-0004-0000-0100-0000D5030000}"/>
    <hyperlink ref="K1857" r:id="rId983" display="http://www.dispatch.com/content/stories/local/2016/10/20/Two-charged-in-Linden-McKinley-shooting.html" xr:uid="{00000000-0004-0000-0100-0000D6030000}"/>
    <hyperlink ref="K1858" r:id="rId984" display="https://www.al.com/news/mobile/index.ssf/2016/10/teen_injured_in_high_school_sh.html" xr:uid="{00000000-0004-0000-0100-0000D7030000}"/>
    <hyperlink ref="K1860" r:id="rId985" display="https://www.nbcchicago.com/news/local/chicago-school-bus-driver-shot-395469231.html" xr:uid="{00000000-0004-0000-0100-0000D8030000}"/>
    <hyperlink ref="K1863" r:id="rId986" display="https://www.wcpo.com/news/local-news/hamilton-county/cincinnati/three-people-shot-after-elder-high-soccer-game" xr:uid="{00000000-0004-0000-0100-0000D9030000}"/>
    <hyperlink ref="K1864" r:id="rId987" display="http://www.mlive.com/news/jackson/index.ssf/2016/09/student_shot_on_school_bus_out.html" xr:uid="{00000000-0004-0000-0100-0000DA030000}"/>
    <hyperlink ref="K1865" r:id="rId988" display="https://www.ydr.com/story/news/2016/09/09/shooting-reported-small-athletic-field-911-says/90154006/" xr:uid="{00000000-0004-0000-0100-0000DB030000}"/>
    <hyperlink ref="K1868" r:id="rId989" display="http://detroit.cbslocal.com/2016/09/07/detroit-principals-vehicle-reportedly-shot-up-in-parking-lot-on-second-day-of-school/" xr:uid="{00000000-0004-0000-0100-0000DC030000}"/>
    <hyperlink ref="K1870" r:id="rId990" display="https://www.local10.com/news/2016/08/20/shots-fired-at-southridge-vs-south-plantation-football-game-police-say/" xr:uid="{00000000-0004-0000-0100-0000DD030000}"/>
    <hyperlink ref="K1871" r:id="rId991" display="http://www.nbc4i.com/news/one-shot-at-west-side-middle-school-police-looking-for-group-of-males-as-suspects/1114333465" xr:uid="{00000000-0004-0000-0100-0000DE030000}"/>
    <hyperlink ref="K1873" r:id="rId992" display="https://hanfordsentinel.com/news/local/crime/police-woman-shot-at-hanford-junior-high-school/article_e202ea04-65e0-5150-ad82-cea69301fb51.html" xr:uid="{00000000-0004-0000-0100-0000DF030000}"/>
    <hyperlink ref="K1874" r:id="rId993" display="http://abc7chicago.com/news/cps-employee-fatally-shot-outside-mcnair-elementary-school/1388692/" xr:uid="{00000000-0004-0000-0100-0000E0030000}"/>
    <hyperlink ref="K1875" r:id="rId994" display="http://boston.cbslocal.com/2016/06/22/raekwon-brown-murder-arrests-jeremiah-burke-high-school-shooting-boston-police/" xr:uid="{00000000-0004-0000-0100-0000E1030000}"/>
    <hyperlink ref="K1876" r:id="rId995" display="http://www.kwch.com/content/news/One-seriously-hurt-at-possible-shooting-at-Augusta-high-school-379583611.html" xr:uid="{00000000-0004-0000-0100-0000E2030000}"/>
    <hyperlink ref="K1877" r:id="rId996" display="http://www.wyff4.com/article/2-more-teens-charged-shooting-at-southside-high-school/7022388" xr:uid="{00000000-0004-0000-0100-0000E3030000}"/>
    <hyperlink ref="K1878" r:id="rId997" display="https://magicvalley.com/news/local/education/update-school-district-students-in-custody-after-gun-fired-at/article_f23be68f-936b-51ce-847a-f0a02e99f3a0.html" xr:uid="{00000000-0004-0000-0100-0000E4030000}"/>
    <hyperlink ref="K1879" r:id="rId998" display="http://www.newsherald.com/news/20160509/probe-into-detention-officers-accidental-shooting-near-oscar-patterson-underway" xr:uid="{00000000-0004-0000-0100-0000E5030000}"/>
    <hyperlink ref="K1880" r:id="rId999" display="https://www.nbcwashington.com/news/local/Shooting-High-Point-High-School-378322341.html" xr:uid="{00000000-0004-0000-0100-0000E6030000}"/>
    <hyperlink ref="K1881" r:id="rId1000" display="http://www.kktv.com/home/headlines/PD-East-High-School-Staff-Hurt-In-Drive-By-Shooting-Near-School-378173411.html" xr:uid="{00000000-0004-0000-0100-0000E7030000}"/>
    <hyperlink ref="K1884" r:id="rId1001" display="http://www.wbrc.com/story/31487356/birmingham-police-identify-suspect-arrested-charged-in-huffman-high-school-shooting" xr:uid="{00000000-0004-0000-0100-0000E8030000}"/>
    <hyperlink ref="K1887" r:id="rId1002" display="http://www.delcotimes.com/general-news/20160222/cops-chester-probes-source-of-gun-teen-used-in-shooting" xr:uid="{00000000-0004-0000-0100-0000E9030000}"/>
    <hyperlink ref="K1888" r:id="rId1003" display="https://www.wfla.com/news/local-news/loaded-gun-discharges-at-citrus-co-elementary-school/1051971907" xr:uid="{00000000-0004-0000-0100-0000EA030000}"/>
    <hyperlink ref="K1891" r:id="rId1004" display="https://www.nbcphiladelphia.com/news/local/BREAKING-Benjamin-Franklin-High-School-on-Lockdown-After-Shell-Casing-Found-in-Stairwell--366996461.html" xr:uid="{00000000-0004-0000-0100-0000EB030000}"/>
    <hyperlink ref="K1892" r:id="rId1005" display="https://www.indystar.com/story/news/crime/2016/01/25/teen-charged-shooting-lawrence-central-high-school/79319130/" xr:uid="{00000000-0004-0000-0100-0000EC030000}"/>
    <hyperlink ref="K1893" r:id="rId1006" display="https://www.theindychannel.com/news/local-news/gun-goes-off-outside-northwest-community-hs" xr:uid="{00000000-0004-0000-0100-0000ED030000}"/>
    <hyperlink ref="K1894" r:id="rId1007" display="http://www.arkansasonline.com/news/2016/jan/14/student-accidentally-shot-outside-high-school-ouac/" xr:uid="{00000000-0004-0000-0100-0000EE030000}"/>
    <hyperlink ref="K1895" r:id="rId1008" display="http://www.doverpost.com/news/20160112/update-students-arrested-after-shot-fired-at-central-middle-school" xr:uid="{00000000-0004-0000-0100-0000EF030000}"/>
    <hyperlink ref="K1897" r:id="rId1009" display="https://www.miamiherald.com/news/local/community/miami-dade/article45747750.html" xr:uid="{00000000-0004-0000-0100-0000F0030000}"/>
    <hyperlink ref="K1898" r:id="rId1010" display="https://www.kait8.com/story/30492261/gun-goes-off-in-school-parking-lot-hitting-junior-high-student/" xr:uid="{00000000-0004-0000-0100-0000F1030000}"/>
    <hyperlink ref="K1899" r:id="rId1011" display="https://www.tampabay.com/news/publicsafety/lecanto-high-student-airlifted-after-self-inflicted-gunshot/2253353/" xr:uid="{00000000-0004-0000-0100-0000F2030000}"/>
    <hyperlink ref="K1900" r:id="rId1012" display="http://www.moultrieobserver.com/news/local_news/student-fires-gun-during-struggle/article_149e02cc-84db-11e5-8369-ef294cd8fd87.html" xr:uid="{00000000-0004-0000-0100-0000F3030000}"/>
    <hyperlink ref="K1901" r:id="rId1013" display="https://www.mysanantonio.com/news/local/article/Man-fatally-shot-in-middle-school-parking-lot-6588994.php" xr:uid="{00000000-0004-0000-0100-0000F4030000}"/>
    <hyperlink ref="K1902" r:id="rId1014" display="http://news4sanantonio.com/news/local/deputies-arrest-wagner-high-school-shooting-suspect" xr:uid="{00000000-0004-0000-0100-0000F5030000}"/>
    <hyperlink ref="K1903" r:id="rId1015" display="https://www.dakotanewsnow.com/2023/04/19/harrisburg-school-shooter-violates-probation-sentenced-10-years-prison/" xr:uid="{00000000-0004-0000-0100-0000F6030000}"/>
    <hyperlink ref="K1906" r:id="rId1016" display="https://www.statesmanjournal.com/story/news/2015/09/04/man-arrested-after-shots-fired-near-newberg-high-school/71699392/" xr:uid="{00000000-0004-0000-0100-0000F7030000}"/>
    <hyperlink ref="K1907" r:id="rId1017" display="http://www.wrdw.com/home/headlines/BREAKING-Student-at-Hornsby-School-shot-and-taken-to-hospital-322826461.html" xr:uid="{00000000-0004-0000-0100-0000F8030000}"/>
    <hyperlink ref="K1912" r:id="rId1018" display="https://www.mysanantonio.com/news/local/article/Suspect-killed-by-polcie-during-chase-identified-6355557.php" xr:uid="{00000000-0004-0000-0100-0000F9030000}"/>
    <hyperlink ref="K1913" r:id="rId1019" display="https://www.ibtimes.com/hartford-shooting-leaves-four-injured-rawson-elementary-school-basketball-tournament-1986922" xr:uid="{00000000-0004-0000-0100-0000FA030000}"/>
    <hyperlink ref="K1915" r:id="rId1020" display="https://www.citizen-times.com/story/news/crime/2015/06/04/armed-suspects-found-macon-county-school-custody/28467377/" xr:uid="{00000000-0004-0000-0100-0000FB030000}"/>
    <hyperlink ref="K1916" r:id="rId1021" display="http://archive.naplesnews.com/news/crime/everglades-city-man-charged-in-shooting-ep-1109639680-337933051.html" xr:uid="{00000000-0004-0000-0100-0000FC030000}"/>
    <hyperlink ref="K1920" r:id="rId1022" display="http://www.jacksonville.com/breaking-news/2015-05-14/story/two-students-shot-school-bus-jacksonvilles-westside-police-searching" xr:uid="{00000000-0004-0000-0100-0000FD030000}"/>
    <hyperlink ref="K1924" r:id="rId1023" display="https://smnewsnet.com/archives/283458/man-shot-behind-school/" xr:uid="{00000000-0004-0000-0100-0000FE030000}"/>
    <hyperlink ref="K1926" r:id="rId1024" display="https://www.cbsnews.com/news/boy-11-arrested-after-accidentally-firing-handgun-at-school/" xr:uid="{00000000-0004-0000-0100-0000FF030000}"/>
    <hyperlink ref="K1927" r:id="rId1025" display="https://www.ksat.com/news/school-official-seguin-high-school-student-shoots-kills-self" xr:uid="{00000000-0004-0000-0100-000000040000}"/>
    <hyperlink ref="K1929" r:id="rId1026" display="http://www.mercedsunstar.com/news/local/crime/article11963273.html" xr:uid="{00000000-0004-0000-0100-000001040000}"/>
    <hyperlink ref="K1931" r:id="rId1027" display="https://www.fredericknewspost.com/subjects/crime_and_justice/updated-two-students-wounded-in-frederick-high-school-shooting/article_153b667f-90c2-5c8c-b4ed-9c4ba869e442.html" xr:uid="{00000000-0004-0000-0100-000002040000}"/>
    <hyperlink ref="K1932" r:id="rId1028" display="https://minnesota.cbslocal.com/2015/01/26/police-man-fires-shot-at-school-before-shooting-himself/" xr:uid="{00000000-0004-0000-0100-000003040000}"/>
    <hyperlink ref="K1934" r:id="rId1029" display="https://www.al.com/news/mobile/index.ssf/2015/01/one_shot_in_the_buttock_after.html" xr:uid="{00000000-0004-0000-0100-000004040000}"/>
    <hyperlink ref="K1935" r:id="rId1030" display="http://www.ocalapost.com/shooting-at-vanguard-high-injured-2/" xr:uid="{00000000-0004-0000-0100-000005040000}"/>
    <hyperlink ref="K1936" r:id="rId1031" display="http://archive.jsonline.com/news/crime/milwaukee-man-charged-in-wisconsin-lutheran-high-school-shooting-b99431381z1-289512441.html/" xr:uid="{00000000-0004-0000-0100-000006040000}"/>
    <hyperlink ref="K1937" r:id="rId1032" display="https://fox17online.com/2014/12/17/basketball-player-shot-outside-godfrey-lee-high-school/" xr:uid="{00000000-0004-0000-0100-000007040000}"/>
    <hyperlink ref="K1938" r:id="rId1033" display="https://www.centralmaine.com/2014/12/18/man-who-shot-himself-at-school-was-suspected-in-waterville-rape-police-say/" xr:uid="{00000000-0004-0000-0100-000008040000}"/>
    <hyperlink ref="K1939" r:id="rId1034" display="https://pittsburgh.cbslocal.com/2014/12/17/shooting-at-stanton-heights-elementary-school/" xr:uid="{00000000-0004-0000-0100-000009040000}"/>
    <hyperlink ref="K1940" r:id="rId1035" display="http://www.oregonlive.com/portland/index.ssf/2015/05/teen_who_shot_four_outside_ros.html" xr:uid="{00000000-0004-0000-0100-00000A040000}"/>
    <hyperlink ref="K1941" r:id="rId1036" display="https://www.miamiherald.com/news/local/crime/article4139118.html" xr:uid="{00000000-0004-0000-0100-00000B040000}"/>
    <hyperlink ref="K1943" r:id="rId1037" display="https://www.wsbtv.com/news/shots-fired-lakewood-stadium/137231817" xr:uid="{00000000-0004-0000-0100-00000C040000}"/>
    <hyperlink ref="K1944" r:id="rId1038" display="http://archive.commercialappeal.com/news/crime/student-shoots-himself-in-leg-at-a-maceo-walker-middle-memphis-police-say-ep-692582895-324312081.html/" xr:uid="{00000000-0004-0000-0100-00000D040000}"/>
    <hyperlink ref="K1945" r:id="rId1039" display="https://www.wsbtv.com/news/17-year-old-shot-killed-after-high-school-football/137193168" xr:uid="{00000000-0004-0000-0100-00000E040000}"/>
    <hyperlink ref="K1946" r:id="rId1040" display="https://www.usatoday.com/story/news/2014/09/30/police-1-shot-at-albemarle-high-school-1-in-custody/16469203/" xr:uid="{00000000-0004-0000-0100-00000F040000}"/>
    <hyperlink ref="K1947" r:id="rId1041" display="http://www.wdrb.com/story/31888475/teen-sentenced-for-shooting-fern-creek-high-school-student-in-2014" xr:uid="{00000000-0004-0000-0100-000010040000}"/>
    <hyperlink ref="K1948" r:id="rId1042" display="https://manchesterinklink.com/man-gun-knife-arrested-inside-west-hs-lockdown/" xr:uid="{00000000-0004-0000-0100-000011040000}"/>
    <hyperlink ref="K1949" r:id="rId1043" display="https://www.desmoinesregister.com/story/news/crime-and-courts/2014/12/22/teen-arrested-shooting-north-high-school/20767421/" xr:uid="{00000000-0004-0000-0100-000012040000}"/>
    <hyperlink ref="K1952" r:id="rId1044" display="https://www.local10.com/news/florida/miami-dade/5-in-custody-after-shooting-outside-northwest-miami-dade-county-school" xr:uid="{00000000-0004-0000-0100-000013040000}"/>
    <hyperlink ref="K1954" r:id="rId1045" display="https://www.fredericknewspost.com/news/crime_and_justice/cops_and_crime/two-face-charges-in-wednesday-gunfire-at-heather-ridge-school/article_737ade83-ddbb-5d49-af29-7f18d962e3a3.html" xr:uid="{00000000-0004-0000-0100-000014040000}"/>
    <hyperlink ref="K1958" r:id="rId1046" display="https://www.nbcbayarea.com/news/local/Student-Shot-Kennedy-High-School-in-Richmond-on-Lockdown-259238751.html" xr:uid="{00000000-0004-0000-0100-000015040000}"/>
    <hyperlink ref="K1959" r:id="rId1047" display="http://www.newsofmillcreek.com/content/weekend-shooting-horizon-elementary-school" xr:uid="{00000000-0004-0000-0100-000016040000}"/>
    <hyperlink ref="K1962" r:id="rId1048" display="https://www.cbsnews.com/news/cops-fatal-shooting-outside-detroit-high-school-gang-related/" xr:uid="{00000000-0004-0000-0100-000017040000}"/>
    <hyperlink ref="K1964" r:id="rId1049" display="https://wcti12.com/archive/two-j-h-rose-students-arrested-for-shooting-near-d-h-conley-1" xr:uid="{00000000-0004-0000-0100-000018040000}"/>
    <hyperlink ref="K1965" r:id="rId1050" display="https://www.nbcnewyork.com/news/local/Newark-Shooting-Man-Wounded-School-Bus-Bullet-Hole-253840881.html" xr:uid="{00000000-0004-0000-0100-000019040000}"/>
    <hyperlink ref="K1966" r:id="rId1051" display="https://www.ajc.com/news/local/fourth-person-arrested-after-shots-fired-outside-banneker-high-school/E7iAqMZysw5q4XheUNHn9K/" xr:uid="{00000000-0004-0000-0100-00001A040000}"/>
    <hyperlink ref="K1967" r:id="rId1052" display="http://miami.cbslocal.com/2014/03/14/man-accused-of-murdering-wife-near-miami-dade-preschool/" xr:uid="{00000000-0004-0000-0100-00001B040000}"/>
    <hyperlink ref="K1968" r:id="rId1053" display="https://www.myarklamiss.com/crime/update-17-year-old-arrested-in-connection-with-friday-nights-shooting-in-madison-parish/166472643" xr:uid="{00000000-0004-0000-0100-00001C040000}"/>
    <hyperlink ref="K1969" r:id="rId1054" display="http://www.kansascity.com/news/local/crime/article9772547.html" xr:uid="{00000000-0004-0000-0100-00001D040000}"/>
    <hyperlink ref="K1970" r:id="rId1055" display="https://www.kmaland.com/news/charges-filed-in-glenwood-accidental-shooting/article_71bb9b24-883c-11e3-bf82-001a4bcf6878.html" xr:uid="{00000000-0004-0000-0100-00001E040000}"/>
    <hyperlink ref="K1972" r:id="rId1056" display="http://www.wbtv.com/story/24683911/student-shot-at-salisbury-high-school" xr:uid="{00000000-0004-0000-0100-00001F040000}"/>
    <hyperlink ref="K1973" r:id="rId1057" display="https://www.bendbulletin.com/home/1790423-151/details-emerge-in-bend-high-suicide" xr:uid="{00000000-0004-0000-0100-000020040000}"/>
    <hyperlink ref="K1974" r:id="rId1058" display="http://www.kcci.com/article/police-investigate-shooting-outside-north-high-school/6888652" xr:uid="{00000000-0004-0000-0100-000021040000}"/>
    <hyperlink ref="K1975" r:id="rId1059" display="https://www.azcentral.com/story/news/local/phoenix/2014/04/03/phoenix-police-make-arrests-chavez-high-school-shooting-abrk/7264833/" xr:uid="{00000000-0004-0000-0100-000022040000}"/>
    <hyperlink ref="K1976" r:id="rId1060" display="http://articles.chicagotribune.com/keyword/roosevelt-high-school" xr:uid="{00000000-0004-0000-0100-000023040000}"/>
    <hyperlink ref="K1977" r:id="rId1061" display="http://www.kfvs12.com/story/24557239/1-injured-in-shooting-on-carbondale-school-parking-lot" xr:uid="{00000000-0004-0000-0100-000024040000}"/>
    <hyperlink ref="K1979" r:id="rId1062" display="https://www.wgal.com/article/police-shot-fired-at-elementary-school-playground/6229898" xr:uid="{00000000-0004-0000-0100-000025040000}"/>
    <hyperlink ref="K1981" r:id="rId1063" display="https://www.wbrz.com/news/man-sentenced-to-15-years-for-2014-drive-by-shooting-outside-of-st-james-high-school/" xr:uid="{00000000-0004-0000-0100-000026040000}"/>
    <hyperlink ref="K1982" r:id="rId1064" display="https://www.nhregister.com/connecticut/article/New-Haven-teen-to-serve-6-years-in-two-shooting-11351580.php" xr:uid="{00000000-0004-0000-0100-000027040000}"/>
    <hyperlink ref="K1983" r:id="rId1065" display="http://www.wbbjtv.com/2014/01/10/police-charge-suspect-in-liberty-tech-shooting/" xr:uid="{00000000-0004-0000-0100-000028040000}"/>
    <hyperlink ref="K1984" r:id="rId1066" display="https://kmph.com/archive/fresno-police-arrest-four-teens-related-to-edison-high-school-shooting" xr:uid="{00000000-0004-0000-0100-000029040000}"/>
    <hyperlink ref="K1986" r:id="rId1067" display="https://www.clickorlando.com/news/student-shot-in-face-at-west-orange-high-school-_2015110710074418" xr:uid="{00000000-0004-0000-0100-00002A040000}"/>
    <hyperlink ref="K1987" r:id="rId1068" display="https://www.cbsnews.com/pittsburgh/news/young-man-sentenced-to-12-30-years-for-2013-brashear-h-s-shooting/" xr:uid="{00000000-0004-0000-0100-00002B040000}"/>
    <hyperlink ref="K1988" r:id="rId1069" display="https://patch.com/georgia/stonemountain/stephenson-high-student-shot-at-school" xr:uid="{00000000-0004-0000-0100-00002C040000}"/>
    <hyperlink ref="K1989" r:id="rId1070" display="https://whotv.com/2013/11/01/schools-closed-body-found-at-algona-school/" xr:uid="{00000000-0004-0000-0100-00002D040000}"/>
    <hyperlink ref="K1990" r:id="rId1071" display="https://www.nbclosangeles.com/news/local/Chino-Newman-Elementary-School-Safety-Demonstration-Weapon-Gun-Misfires-Injures-228984301.html" xr:uid="{00000000-0004-0000-0100-00002E040000}"/>
    <hyperlink ref="K1992" r:id="rId1072" display="http://www.foxnews.com/world/2013/10/17/texas-student-kills-himself-in-front-high-school-classmates.html" xr:uid="{00000000-0004-0000-0100-00002F040000}"/>
    <hyperlink ref="K1993" r:id="rId1073" display="https://www.wftv.com/news/local/teen-shot-agape-christian-academy-pine-hills/270794978" xr:uid="{00000000-0004-0000-0100-000030040000}"/>
    <hyperlink ref="K1994" r:id="rId1074" display="https://boston.cbslocal.com/2013/10/04/police-nh-man-fired-pellet-gun-at-school-bus-over-students-obscene-gesture/" xr:uid="{00000000-0004-0000-0100-000031040000}"/>
    <hyperlink ref="K1995" r:id="rId1075" display="https://www.pressherald.com/2013/09/28/19-year-old-kills-himself-at-gray-new-gloucester-high-school/" xr:uid="{00000000-0004-0000-0100-000032040000}"/>
    <hyperlink ref="K1996" r:id="rId1076" location="slide-1" display="https://www.dnainfo.com/chicago/20130927/albany-park/teen-arrested-for-shooting-student-near-roosevelt-high-school/slideshow/443194/ - slide-1" xr:uid="{00000000-0004-0000-0100-000033040000}"/>
    <hyperlink ref="K1998" r:id="rId1077" display="http://blog.gulflive.com/mississippi-press-news/2013/08/3_gang_members_arrested_after.html" xr:uid="{00000000-0004-0000-0100-000034040000}"/>
    <hyperlink ref="K1999" r:id="rId1078" display="http://www.wmcactionnews5.com/story/23229636/5-year-old-fires-gun-in-school-cafeteria" xr:uid="{00000000-0004-0000-0100-000035040000}"/>
    <hyperlink ref="K2000" r:id="rId1079" display="https://abcnews.go.com/amp/US/elementary-school-clerk-convinced-suspect-put-weapons-surrender/story?id=20014879" xr:uid="{00000000-0004-0000-0100-000036040000}"/>
    <hyperlink ref="K2001" r:id="rId1080" display="https://www.theleafchronicle.com/story/news/2017/03/10/one-familys-emotional-trial-ends-without-answers/98871314/" xr:uid="{00000000-0004-0000-0100-000037040000}"/>
    <hyperlink ref="K2002" r:id="rId1081" display="https://www.cbsnews.com/news/two-custodians-found-shot-to-death-at-fla-high-school-police-name-person-of-interest-report-says/" xr:uid="{00000000-0004-0000-0100-000038040000}"/>
    <hyperlink ref="K2003" r:id="rId1082" display="https://www.wsoctv.com/news/local/gunfire-school-campus-part-undercover-drug-operati/335014423" xr:uid="{00000000-0004-0000-0100-000039040000}"/>
    <hyperlink ref="K2004" r:id="rId1083" display="https://www.nbcmiami.com/news/local/Redland-Middle-School-Student-Injured-After-Bullet-Thrown-on-Floor-Exploded-Official-208862711.html" xr:uid="{00000000-0004-0000-0100-00003A040000}"/>
    <hyperlink ref="K2005" r:id="rId1084" display="http://www.wbrc.com/story/22251179/parent-allegedly-fires-gun-when-daughters-fight-at-school" xr:uid="{00000000-0004-0000-0100-00003B040000}"/>
    <hyperlink ref="K2006" r:id="rId1085" display="https://www.abqjournal.com/253495/grand-jury-shooting-outside-school-was-justified.html" xr:uid="{00000000-0004-0000-0100-00003C040000}"/>
    <hyperlink ref="K2007" r:id="rId1086" display="https://www.cbsnews.com/news/la-salle-high-school-shooting-update-gun-used-in-ohio-classroom-came-from-home-police-say/" xr:uid="{00000000-0004-0000-0100-00003D040000}"/>
    <hyperlink ref="K2008" r:id="rId1087" display="http://ktemnews.com/student-who-shot-himself-at-temple-high-school-has-died/" xr:uid="{00000000-0004-0000-0100-00003E040000}"/>
    <hyperlink ref="K2009" r:id="rId1088" display="https://www.usatoday.com/story/news/nation/2013/03/21/michigan-student-13-commits-suicide/2006643/" xr:uid="{00000000-0004-0000-0100-00003F040000}"/>
    <hyperlink ref="K2010" r:id="rId1089" display="https://www.ajc.com/news/local/student-who-shot-herself-grady-high-due-court/2tFBhv5vj4RC2VqPUjIIxH/?icmp=np_inform_variation-control" xr:uid="{00000000-0004-0000-0100-000040040000}"/>
    <hyperlink ref="K2011" r:id="rId1090" display="https://patch.com/california/sanleandro/man-sentenced-to-prison-for-fatal-2013-shooting-at-hillside-elementary" xr:uid="{00000000-0004-0000-0100-000041040000}"/>
    <hyperlink ref="K2012" r:id="rId1091" display="https://www.wxyz.com/news/man-shot-near-martin-luther-king-jr-high-school-in-detroit" xr:uid="{00000000-0004-0000-0100-000042040000}"/>
    <hyperlink ref="K2013" r:id="rId1092" display="https://www.cbsnews.com/news/police-teen-shot-by-fellow-student-at-ga-school/" xr:uid="{00000000-0004-0000-0100-000043040000}"/>
    <hyperlink ref="K2015" r:id="rId1093" display="https://www.wxyz.com/news/region/detroit/16-year-old-boy-shot-at-after-basketball-game-in-detroit" xr:uid="{00000000-0004-0000-0100-000044040000}"/>
    <hyperlink ref="K2017" r:id="rId1094" display="https://www.usatoday.com/story/news/nation/2013/01/08/school-shooting-florida/1817149/" xr:uid="{00000000-0004-0000-0100-000045040000}"/>
    <hyperlink ref="K2019" r:id="rId1095" display="https://abc13.com/archive/8915159/" xr:uid="{00000000-0004-0000-0100-000046040000}"/>
    <hyperlink ref="K2020" r:id="rId1096" display="http://articles.chicagotribune.com/2012-10-30/news/chi-2nd-teen-charged-in-murder-of-teen-outside-south-side-high-school-20121030_1_adult-with-first-degree-murder-terrance-wright-banner-academy-south" xr:uid="{00000000-0004-0000-0100-000047040000}"/>
    <hyperlink ref="K2022" r:id="rId1097" display="https://www.newspapers.com/image/452822197" xr:uid="{00000000-0004-0000-0100-000048040000}"/>
    <hyperlink ref="K2025" r:id="rId1098" display="https://921wlhr.com/banks-county-hs-students-mourn-loss-of-two-classmates/" xr:uid="{00000000-0004-0000-0100-000049040000}"/>
    <hyperlink ref="K2026" r:id="rId1099" display="http://www.wmcactionnews5.com/story/19307558/students-shot-at-outside-memphis-high-school" xr:uid="{00000000-0004-0000-0100-00004A040000}"/>
    <hyperlink ref="K2027" r:id="rId1100" display="https://www.abc6.com/story/18962837/pawtucket-police-investigate-shooting-behind-fire-station" xr:uid="{00000000-0004-0000-0100-00004B040000}"/>
    <hyperlink ref="K2028" r:id="rId1101" display="http://www.dailytarheel.com/article/2014/10/man-pleads-guilty-of-murder-in-scroggs-elementary-shooting" xr:uid="{00000000-0004-0000-0100-00004C040000}"/>
    <hyperlink ref="K2035" r:id="rId1102" display="https://www.cbsnews.com/news/14-year-old-shoots-self-in-nh-school-cafeteria/" xr:uid="{00000000-0004-0000-0100-00004D040000}"/>
    <hyperlink ref="K2036" r:id="rId1103" display="https://www.chron.com/news/houston-texas/article/Teen-shot-at-North-Forest-High-School-2457718.php" xr:uid="{00000000-0004-0000-0100-00004E040000}"/>
    <hyperlink ref="K2037" r:id="rId1104" display="https://www.mysanantonio.com/news/local_news/article/Deadly-day-in-Brownsville-2440652.php" xr:uid="{00000000-0004-0000-0100-00004F040000}"/>
    <hyperlink ref="K2040" r:id="rId1105" display="http://www.fayobserver.com/news/20180817/cape-fear-high-shooting-lawsuit-settled-for-2-million" xr:uid="{00000000-0004-0000-0100-000050040000}"/>
    <hyperlink ref="K2041" r:id="rId1106" display="https://www.kgw.com/article/news/4-arrested-for-shots-fired-outside-wilson-high/283-73396732" xr:uid="{00000000-0004-0000-0100-000051040000}"/>
    <hyperlink ref="K2042" r:id="rId1107" display="https://www.wbtv.com/story/15592235/man-shot-twice-at-garinger-high-school-police-say/" xr:uid="{00000000-0004-0000-0100-000052040000}"/>
    <hyperlink ref="K2045" r:id="rId1108" display="https://www.heraldnet.com/news/marysville-teen-sentenced-to-10-years-for-shooting-outside-everett-school/" xr:uid="{00000000-0004-0000-0100-000053040000}"/>
    <hyperlink ref="K2048" r:id="rId1109" display="https://abc13.com/archive/8044190/" xr:uid="{00000000-0004-0000-0100-000054040000}"/>
    <hyperlink ref="K2049" r:id="rId1110" display="https://www.courtlistener.com/pdf/2012/06/11/michael_phelps_v._state_of_indiana.pdf" xr:uid="{00000000-0004-0000-0100-000055040000}"/>
    <hyperlink ref="K2050" r:id="rId1111" display="https://sacramento.cbslocal.com/2012/04/24/verdict-reached-in-placerville-principal-slaying/" xr:uid="{00000000-0004-0000-0100-000056040000}"/>
    <hyperlink ref="K2051" r:id="rId1112" display="https://www.dailybreeze.com/2011/04/11/gardena-high-student-gets-9-months-for-having-gun-that-discharged/" xr:uid="{00000000-0004-0000-0100-000057040000}"/>
    <hyperlink ref="K2053" r:id="rId1113" display="https://www.newspapers.com/image/310759931/?terms=school%2B%2Bbus%2Bshooting" xr:uid="{00000000-0004-0000-0100-000058040000}"/>
    <hyperlink ref="K2054" r:id="rId1114" display="https://www.denverpost.com/2015/11/19/court-reverses-conviction-in-2010-aurora-shooting-that-paralyzed-victim/" xr:uid="{00000000-0004-0000-0100-000059040000}"/>
    <hyperlink ref="K2055" r:id="rId1115" display="https://madison.com/wsj/news/local/crime_and_courts/no-clues-found-in-marinette-school-standoff-that-ended-in/article_62c3dbb3-1712-52ec-b275-d599eff149de.html" xr:uid="{00000000-0004-0000-0100-00005A040000}"/>
    <hyperlink ref="K2069" r:id="rId1116" display="https://www.ktbs.com/news/police-btw-shooter-was-spurned-lover/article_655e08f3-5404-5896-a955-81611d1a56b3.html" xr:uid="{00000000-0004-0000-0100-00005B040000}"/>
    <hyperlink ref="K2072" r:id="rId1117" display="http://www.wistv.com/story/23589594/school-shootings-in-south-carolina" xr:uid="{00000000-0004-0000-0100-00005C040000}"/>
    <hyperlink ref="K2075" r:id="rId1118" display="https://www.mlive.com/news/flint/2009/09/post_39.html" xr:uid="{00000000-0004-0000-0100-00005D040000}"/>
    <hyperlink ref="K2077" r:id="rId1119" display="https://www.wral.com/teen-charged-with-firing-handgun-at-westover-high/5885748/" xr:uid="{00000000-0004-0000-0100-00005E040000}"/>
    <hyperlink ref="K2082" r:id="rId1120" display="http://www.wsaw.com/home/headlines/44225502.html" xr:uid="{00000000-0004-0000-0100-00005F040000}"/>
    <hyperlink ref="K2083" r:id="rId1121" display="http://www.latimes.com/la-me-locke01_ki20l0nc-photo.html" xr:uid="{00000000-0004-0000-0100-000060040000}"/>
    <hyperlink ref="K2084" r:id="rId1122" display="https://abc13.com/archive/6704811/" xr:uid="{00000000-0004-0000-0100-000061040000}"/>
    <hyperlink ref="K2085" r:id="rId1123" display="http://www.jacksonville.com/news/metro/crime/2009-03-10/story/police_responding_to_shots_fired_at_ribault_high_school" xr:uid="{00000000-0004-0000-0100-000062040000}"/>
    <hyperlink ref="K2086" r:id="rId1124" display="https://www.wral.com/news/local/story/4689449/" xr:uid="{00000000-0004-0000-0100-000063040000}"/>
    <hyperlink ref="K2087" r:id="rId1125" display="https://www.newspapers.com/image/243883968/?terms=robert%2Bfrost%2Belementary%2BSCHOOL" xr:uid="{00000000-0004-0000-0100-000064040000}"/>
    <hyperlink ref="K2089" r:id="rId1126" display="https://www.columbine-angels.com/School_Violence_2008-2009.htm" xr:uid="{00000000-0004-0000-0100-000065040000}"/>
    <hyperlink ref="K2090" r:id="rId1127" display="https://www.newspapers.com/image/362815804/?terms=central%2Bhigh%2Bschool%2Bshooting%2Bdetroit" xr:uid="{00000000-0004-0000-0100-000066040000}"/>
    <hyperlink ref="K2092" r:id="rId1128" display="https://abc7.com/archive/6651899/" xr:uid="{00000000-0004-0000-0100-000067040000}"/>
    <hyperlink ref="K2095" r:id="rId1129" display="https://www.columbine-angels.com/School_Violence_2008-2009.htm" xr:uid="{00000000-0004-0000-0100-000068040000}"/>
    <hyperlink ref="K2096" r:id="rId1130" display="https://www.mlive.com/news/flint/index.ssf/2009/01/four_shot_outside_beecher_high.html" xr:uid="{00000000-0004-0000-0100-000069040000}"/>
    <hyperlink ref="K2099" r:id="rId1131" display="http://www.cnn.com/2009/CRIME/01/10/school.shooting/index.html" xr:uid="{00000000-0004-0000-0100-00006A040000}"/>
    <hyperlink ref="K2101" r:id="rId1132" display="https://www.columbine-angels.com/School_Violence_2008-2009.htm" xr:uid="{00000000-0004-0000-0100-00006B040000}"/>
    <hyperlink ref="K2102" r:id="rId1133" display="https://www.columbine-angels.com/School_Violence_2008-2009.htm" xr:uid="{00000000-0004-0000-0100-00006C040000}"/>
    <hyperlink ref="K2103" r:id="rId1134" display="https://www.columbine-angels.com/School_Violence_2008-2009.htm" xr:uid="{00000000-0004-0000-0100-00006D040000}"/>
    <hyperlink ref="K2105" r:id="rId1135" display="https://www.postandcourier.com/news/teen-wounded-at-summerville-high/article_e9e8740e-ac4b-54fe-bf85-d2756db7f1cc.html" xr:uid="{00000000-0004-0000-0100-00006E040000}"/>
    <hyperlink ref="K2106" r:id="rId1136" display="http://archive.longislandpress.com/2010/02/26/mastic-man-pleads-guilty-to-school-shooting/" xr:uid="{00000000-0004-0000-0100-00006F040000}"/>
    <hyperlink ref="K2107" r:id="rId1137" display="https://www.greensboro.com/news/a-playground-fight-turned-deadly/article_0aadff61-c881-5944-99d3-e81ee3468277.html" xr:uid="{00000000-0004-0000-0100-000070040000}"/>
    <hyperlink ref="K2108" r:id="rId1138" display="http://www.startribune.com/shattuck-st-mary-s-school-under-fire-on-2008-case/173333511/" xr:uid="{00000000-0004-0000-0100-000071040000}"/>
    <hyperlink ref="K2109" r:id="rId1139" display="https://www.ksbw.com/article/king-city-high-school-soccer-game-murderer-sentenced/1048897" xr:uid="{00000000-0004-0000-0100-000072040000}"/>
    <hyperlink ref="K2110" r:id="rId1140" display="https://www.columbine-angels.com/School_Violence_2008-2009.htm" xr:uid="{00000000-0004-0000-0100-000073040000}"/>
    <hyperlink ref="K2111" r:id="rId1141" display="https://www.columbine-angels.com/School_Violence_2008-2009.htm" xr:uid="{00000000-0004-0000-0100-000074040000}"/>
    <hyperlink ref="K2112" r:id="rId1142" display="https://www.eastbaytimes.com/2008/11/24/oaklands-cole-middle-school-to-use-metal-detectors-after-recent-gun-scare/" xr:uid="{00000000-0004-0000-0100-000075040000}"/>
    <hyperlink ref="K2113" r:id="rId1143" display="https://www.modbee.com/latest-news/article3115798.html" xr:uid="{00000000-0004-0000-0100-000076040000}"/>
    <hyperlink ref="K2114" r:id="rId1144" display="https://www.deseretnews.com/article/865556503/High-court-No-immunity-in-case-of-15-year-old-killed-by-prop-gun-used-in-school-play.html" xr:uid="{00000000-0004-0000-0100-000077040000}"/>
    <hyperlink ref="K2115" r:id="rId1145" display="http://www.reporterherald.com/ci_18289600" xr:uid="{00000000-0004-0000-0100-000078040000}"/>
    <hyperlink ref="K2116" r:id="rId1146" display="http://www.gainesville.com/news/20091210/teenage-girl-16-convicted-of-shooting-girlfriend-after-break-up" xr:uid="{00000000-0004-0000-0100-000079040000}"/>
    <hyperlink ref="K2117" r:id="rId1147" display="http://archive.vcstar.com/news/352401581.html/" xr:uid="{00000000-0004-0000-0100-00007A040000}"/>
    <hyperlink ref="K2118" r:id="rId1148" display="http://homicide.latimes.com/post/luis-rosas/" xr:uid="{00000000-0004-0000-0100-00007B040000}"/>
    <hyperlink ref="K2119" r:id="rId1149" display="https://bangordailynews.com/2008/10/31/news/5th-graders-safe-after-police-arrest-armed-fugitive/" xr:uid="{00000000-0004-0000-0100-00007C040000}"/>
    <hyperlink ref="K2120" r:id="rId1150" display="https://www.columbine-angels.com/School_Violence_2008-2009.htm" xr:uid="{00000000-0004-0000-0100-00007D040000}"/>
    <hyperlink ref="K2121" r:id="rId1151" display="http://www.wsfa.com/story/9234390/wsfa-12-news-update-suspect-charged-with-attempted-murder-in-prattville-shooting" xr:uid="{00000000-0004-0000-0100-00007E040000}"/>
    <hyperlink ref="K2122" r:id="rId1152" display="https://www.newspapers.com/image/193364114/?terms=jeremiah%2Blasater" xr:uid="{00000000-0004-0000-0100-00007F040000}"/>
    <hyperlink ref="K2124" r:id="rId1153" display="http://www.latimes.com/local/la-me-shoot21-2008sep21-story.html" xr:uid="{00000000-0004-0000-0100-000080040000}"/>
    <hyperlink ref="K2125" r:id="rId1154" display="https://www.mcclatchydc.com/news/nation-world/national/article24600571.html" xr:uid="{00000000-0004-0000-0100-000081040000}"/>
    <hyperlink ref="K2128" r:id="rId1155" display="https://www.seattletimes.com/seattle-news/suspect-arrested-in-fatal-shooting-last-week-outside-federal-way-middle-school/" xr:uid="{00000000-0004-0000-0100-000082040000}"/>
    <hyperlink ref="K2129" r:id="rId1156" display="https://www.columbine-angels.com/School_Violence_2008-2009.htm" xr:uid="{00000000-0004-0000-0100-000083040000}"/>
    <hyperlink ref="K2130" r:id="rId1157" display="https://www.ktbs.com/news/student-found-shot-at-madison-high/article_0cdc830b-bca1-5acc-857b-e08b04bff7b2.html" xr:uid="{00000000-0004-0000-0100-000084040000}"/>
    <hyperlink ref="K2133" r:id="rId1158" display="https://abcnews.go.com/US/eighth-grade-shooting-larry-king-brandon-mcinerney-boys/story?id=14666577" xr:uid="{00000000-0004-0000-0100-000085040000}"/>
    <hyperlink ref="K2134" r:id="rId1159" display="https://www.nytimes.com/2008/02/12/us/12memphis.html" xr:uid="{00000000-0004-0000-0100-000086040000}"/>
    <hyperlink ref="K2135" r:id="rId1160" display="https://www.nbcnews.com/id/wbna23048362" xr:uid="{00000000-0004-0000-0100-000087040000}"/>
    <hyperlink ref="K2136" r:id="rId1161" display="http://www.wmcactionnews5.com/story/7818497/police-investigate-shooting-inside-classroom-at-hamilton-high" xr:uid="{00000000-0004-0000-0100-000088040000}"/>
    <hyperlink ref="K2137" r:id="rId1162" display="https://www.foxnews.com/story/student-shot-at-north-carolina-charter-school" xr:uid="{00000000-0004-0000-0100-000089040000}"/>
    <hyperlink ref="K2139" r:id="rId1163" display="http://www.uticaod.com/article/20071127/news/311279895" xr:uid="{00000000-0004-0000-0100-00008A040000}"/>
    <hyperlink ref="K2140" r:id="rId1164" display="https://www.newspapers.com/image/432388038/?terms=student%2Bshot" xr:uid="{00000000-0004-0000-0100-00008B040000}"/>
    <hyperlink ref="K2141" r:id="rId1165" display="https://www.newspapers.com/image/282229204/?terms=markees%2Bsmith" xr:uid="{00000000-0004-0000-0100-00008C040000}"/>
    <hyperlink ref="K2142" r:id="rId1166" display="https://www.savannahnow.com/story/news/2007/10/16/shots-fired-near-groves-high/13693845007/" xr:uid="{00000000-0004-0000-0100-00008D040000}"/>
    <hyperlink ref="K2144" r:id="rId1167" display="https://www.newspapers.com/image/243658015/?terms=student%2Bshot" xr:uid="{00000000-0004-0000-0100-00008E040000}"/>
    <hyperlink ref="K2145" r:id="rId1168" display="https://www.newspapers.com/image/126118804/?terms=SS%3E%2BSImon%2Band%2BJude%2BCatholic%2Bschool" xr:uid="{00000000-0004-0000-0100-00008F040000}"/>
    <hyperlink ref="K2147" r:id="rId1169" display="https://www.nj.com/news/index.ssf/2010/09/newark_schoolyard_slaying_susp_1.html" xr:uid="{00000000-0004-0000-0100-000090040000}"/>
    <hyperlink ref="K2148" r:id="rId1170" display="https://www.columbine-angels.com/School_Violence_2006-2007.htm" xr:uid="{00000000-0004-0000-0100-000091040000}"/>
    <hyperlink ref="K2149" r:id="rId1171" display="https://www.pressreader.com/usa/the-dallas-morning-news/20070629/282364035265089" xr:uid="{00000000-0004-0000-0100-000092040000}"/>
    <hyperlink ref="K2150" r:id="rId1172" display="https://www.columbine-angels.com/School_Violence_2006-2007.htm" xr:uid="{00000000-0004-0000-0100-000093040000}"/>
    <hyperlink ref="K2151" r:id="rId1173" display="https://www.wtsp.com/article/news/third-suspect-in-middleton-high-school-shooting-turns-himself-in/67-393322398" xr:uid="{00000000-0004-0000-0100-000094040000}"/>
    <hyperlink ref="K2152" r:id="rId1174" display="https://www.columbine-angels.com/School_Violence_2006-2007.htm" xr:uid="{00000000-0004-0000-0100-000095040000}"/>
    <hyperlink ref="K2153" r:id="rId1175" display="https://www.columbine-angels.com/School_Violence_2006-2007.htm" xr:uid="{00000000-0004-0000-0100-000096040000}"/>
    <hyperlink ref="K2154" r:id="rId1176" display="https://www.columbine-angels.com/School_Violence_2006-2007.htm" xr:uid="{00000000-0004-0000-0100-000097040000}"/>
    <hyperlink ref="K2155" r:id="rId1177" display="https://www.brownsvilleherald.com/news/local/parents-remove-children-after-student-fires-gun-at-school/article_10ab2498-9eb9-5db8-97fd-9bed18dcdc95.html" xr:uid="{00000000-0004-0000-0100-000098040000}"/>
    <hyperlink ref="K2156" r:id="rId1178" display="http://starlocalmedia.com/mesquitenews/news/arrests-made-in-west-mesquite-shooting/article_c1de2b11-1f0a-5ac7-8ea4-807789bd19bc.html" xr:uid="{00000000-0004-0000-0100-000099040000}"/>
    <hyperlink ref="K2157" r:id="rId1179" display="https://www.columbine-angels.com/School_Violence_2006-2007.htm" xr:uid="{00000000-0004-0000-0100-00009A040000}"/>
    <hyperlink ref="K2158" r:id="rId1180" display="https://www.highbeam.com/doc/1G1-163016802.html" xr:uid="{00000000-0004-0000-0100-00009B040000}"/>
    <hyperlink ref="K2159" r:id="rId1181" display="https://www.newspapers.com/image/411133269/?terms=school%2Bbus%2B313" xr:uid="{00000000-0004-0000-0100-00009C040000}"/>
    <hyperlink ref="K2161" r:id="rId1182" display="http://blog.oregonlive.com/breakingnews/2007/04/gresham_teen_indicted_in_sprin.html" xr:uid="{00000000-0004-0000-0100-00009D040000}"/>
    <hyperlink ref="K2162" r:id="rId1183" display="http://articles.chicagotribune.com/2007-04-12/news/0704110994_1_school-shooting-city-school-leaders-schools-chief-arne-duncan" xr:uid="{00000000-0004-0000-0100-00009E040000}"/>
    <hyperlink ref="K2163" r:id="rId1184" display="http://www.wistv.com/story/6297864/student-shoots-himself-in-leg-at-myrtle-beach-high-school?clienttype=printable" xr:uid="{00000000-0004-0000-0100-00009F040000}"/>
    <hyperlink ref="K2164" r:id="rId1185" display="https://www.newspapers.com/image/243778502/?terms=Sarah%2BJ.%2BRawson%2BElementary%2BSchool%2Bshot" xr:uid="{00000000-0004-0000-0100-0000A0040000}"/>
    <hyperlink ref="K2165" r:id="rId1186" display="https://www.columbine-angels.com/School_Violence_2006-2007.htm" xr:uid="{00000000-0004-0000-0100-0000A1040000}"/>
    <hyperlink ref="K2166" r:id="rId1187" display="https://www.newspapers.com/image/284085985/?terms=east%2Bridge%2Bhigh%2Bschool" xr:uid="{00000000-0004-0000-0100-0000A2040000}"/>
    <hyperlink ref="K2167" r:id="rId1188" display="http://www.heraldbanner.com/archives/shooting-shocks-ghs/article_411a3183-9998-56eb-9c2a-ed8b1c9788c2.html" xr:uid="{00000000-0004-0000-0100-0000A3040000}"/>
    <hyperlink ref="K2170" r:id="rId1189" display="https://www.columbine-angels.com/School_Violence_2006-2007.htm" xr:uid="{00000000-0004-0000-0100-0000A4040000}"/>
    <hyperlink ref="K2171" r:id="rId1190" display="https://www.columbine-angels.com/School_Violence_2006-2007.htm" xr:uid="{00000000-0004-0000-0100-0000A5040000}"/>
    <hyperlink ref="K2172" r:id="rId1191" display="https://www.columbine-angels.com/School_Violence_2006-2007.htm" xr:uid="{00000000-0004-0000-0100-0000A6040000}"/>
    <hyperlink ref="K2173" r:id="rId1192" display="https://portlandtribune.com/component/content/article?id=187719" xr:uid="{00000000-0004-0000-0100-0000A7040000}"/>
    <hyperlink ref="K2174" r:id="rId1193" display="https://www.columbine-angels.com/School_Violence_2006-2007.htm" xr:uid="{00000000-0004-0000-0100-0000A8040000}"/>
    <hyperlink ref="K2175" r:id="rId1194" display="https://www.newspapers.com/image/231615256/?terms=Hillcrest%2BHigh%2BSchool%2Bshooting%2BDwight%2BWelch" xr:uid="{00000000-0004-0000-0100-0000A9040000}"/>
    <hyperlink ref="K2176" r:id="rId1195" display="http://www.wmcactionnews5.com/story/5984007/17-year-old-in-critical-condition-at-the-med-after-school-shooting" xr:uid="{00000000-0004-0000-0100-0000AA040000}"/>
    <hyperlink ref="K2177" r:id="rId1196" display="http://www.philly.com/philly/news/20070119_dn_M_SAYR.html" xr:uid="{00000000-0004-0000-0100-0000AB040000}"/>
    <hyperlink ref="K2178" r:id="rId1197" display="https://www.lasvegasnow.com/news/shooter-in-western-high-school-case-in-custody/81454838" xr:uid="{00000000-0004-0000-0100-0000AC040000}"/>
    <hyperlink ref="K2179" r:id="rId1198" display="http://articles.latimes.com/2007/jan/10/local/me-grant10" xr:uid="{00000000-0004-0000-0100-0000AD040000}"/>
    <hyperlink ref="K2180" r:id="rId1199" display="https://www.newspapers.com/image/286391925/?terms=High%2BSchool%2BDixon%2BEdwards" xr:uid="{00000000-0004-0000-0100-0000AE040000}"/>
    <hyperlink ref="K2181" r:id="rId1200" display="https://www.columbine-angels.com/School_Violence_2006-2007.htm" xr:uid="{00000000-0004-0000-0100-0000AF040000}"/>
    <hyperlink ref="K2183" r:id="rId1201" display="http://www.keystosaferschools.com/2007startswithabang.htm" xr:uid="{00000000-0004-0000-0100-0000B0040000}"/>
    <hyperlink ref="K2184" r:id="rId1202" display="https://triblive.com/x/pittsburghtrib/news/regional/s_484514.html" xr:uid="{00000000-0004-0000-0100-0000B1040000}"/>
    <hyperlink ref="K2185" r:id="rId1203" display="https://www.columbine-angels.com/School_Violence_2006-2007.htm" xr:uid="{00000000-0004-0000-0100-0000B2040000}"/>
    <hyperlink ref="K2186" r:id="rId1204" display="http://www.foxnews.com/story/2006/12/12/teen-commits-suicide-in-hallway-pennsylvania-school.html" xr:uid="{00000000-0004-0000-0100-0000B3040000}"/>
    <hyperlink ref="K2187" r:id="rId1205" display="https://www.newspapers.com/image/232079346/?terms=Northwest%2BHigh%2BSchool%2Bgun%2Bpocket" xr:uid="{00000000-0004-0000-0100-0000B4040000}"/>
    <hyperlink ref="K2188" r:id="rId1206" display="https://www.columbine-angels.com/School_Violence_2006-2007.htm" xr:uid="{00000000-0004-0000-0100-0000B5040000}"/>
    <hyperlink ref="K2189" r:id="rId1207" display="http://www.witn.com/home/headlines/35382409.html" xr:uid="{00000000-0004-0000-0100-0000B6040000}"/>
    <hyperlink ref="K2190" r:id="rId1208" display="https://www.newspapers.com/image/422972655/?terms=Atlanta%2BMiddle%2BSchool%2BRicardo%2BAlexander" xr:uid="{00000000-0004-0000-0100-0000B7040000}"/>
    <hyperlink ref="K2191" r:id="rId1209" display="https://www.eastbaytimes.com/2006/11/13/man-killed-at-oakland-school-party/" xr:uid="{00000000-0004-0000-0100-0000B8040000}"/>
    <hyperlink ref="K2192" r:id="rId1210" display="http://www.wvlt.tv/home/headlines/4542511.html" xr:uid="{00000000-0004-0000-0100-0000B9040000}"/>
    <hyperlink ref="K2193" r:id="rId1211" display="https://www.chron.com/news/houston-texas/article/Katy-student-shoots-himself-at-high-school-1862524.php" xr:uid="{00000000-0004-0000-0100-0000BA040000}"/>
    <hyperlink ref="K2194" r:id="rId1212" display="https://www.washingtonexaminer.com/third-grader-at-grove-park-brings-gun-to-city-school" xr:uid="{00000000-0004-0000-0100-0000BB040000}"/>
    <hyperlink ref="K2195" r:id="rId1213" display="https://www.newspapers.com/image/166180631/?terms=POMONA%2BMIDDLE%2BSCHOOL" xr:uid="{00000000-0004-0000-0100-0000BC040000}"/>
    <hyperlink ref="K2200" r:id="rId1214" display="http://www.washingtonpost.com/wp-dyn/content/article/2006/09/23/AR2006092301174.html" xr:uid="{00000000-0004-0000-0100-0000BD040000}"/>
    <hyperlink ref="K2201" r:id="rId1215" display="https://www.newspapers.com/image/151778408/?terms=westminster%2Bchristian%2Bacademy" xr:uid="{00000000-0004-0000-0100-0000BE040000}"/>
    <hyperlink ref="K2202" r:id="rId1216" display="https://www.amazon.com/WIN-Memoir-Shooting-Gabe-Medrano/dp/1432793624" xr:uid="{00000000-0004-0000-0100-0000BF040000}"/>
    <hyperlink ref="K2203" r:id="rId1217" display="https://www.columbine-angels.com/School_Violence_2006-2007.htm" xr:uid="{00000000-0004-0000-0100-0000C0040000}"/>
    <hyperlink ref="K2204" r:id="rId1218" display="https://www.newspapers.com/image/106551825/?terms=Oxford%2BHigh%2BSchool%2BHawkins%2Bshot" xr:uid="{00000000-0004-0000-0100-0000C1040000}"/>
    <hyperlink ref="K2206" r:id="rId1219" display="https://www.washingtonpost.com/archive/local/2006/08/30/teen-held-after-shot-is-fired-outside-se-school/a1d30f03-8e66-47af-a999-d43629af535b/?utm_term=.37a883ef0fca" xr:uid="{00000000-0004-0000-0100-0000C2040000}"/>
    <hyperlink ref="K2208" r:id="rId1220" display="http://www.14news.com/story/5306020/funeral-set-for-castle-suicide-victim?clienttype=printable&amp;redirected=true" xr:uid="{00000000-0004-0000-0100-0000C3040000}"/>
    <hyperlink ref="K2209" r:id="rId1221" display="http://www.savannahnow.com/article/20060821/NEWS/308219914" xr:uid="{00000000-0004-0000-0100-0000C4040000}"/>
    <hyperlink ref="K2210" r:id="rId1222" display="http://www.vindy.com/news/2009/jul/27/trial-under-way-for-man-accused-of-shooting-death/" xr:uid="{00000000-0004-0000-0100-0000C5040000}"/>
    <hyperlink ref="K2211" r:id="rId1223" display="http://www.pressreader.com/usa/austin-american-statesman/20060822/281908768618808" xr:uid="{00000000-0004-0000-0100-0000C6040000}"/>
    <hyperlink ref="K2212" r:id="rId1224" display="https://www.newspapers.com/image/379718672/?terms=J.%2BT.%2BAlton%2BMiddle%2BSchool%2Bbullet%2Bceiling" xr:uid="{00000000-0004-0000-0100-0000C7040000}"/>
    <hyperlink ref="K2213" r:id="rId1225" display="https://www.newspapers.com/image/330166745/" xr:uid="{00000000-0004-0000-0100-0000C8040000}"/>
    <hyperlink ref="K2214" r:id="rId1226" display="https://www.newspapers.com/image/363378271/?terms=Pershing%2BHigh%2BSchool%2Bshooting" xr:uid="{00000000-0004-0000-0100-0000C9040000}"/>
    <hyperlink ref="K2215" r:id="rId1227" display="https://www.nwitimes.com/news/local/eskew-guilty-in-wirt-high-school-shooting/article_c43a6d4c-8921-5a4a-8e1a-8af4f3506ca2.html" xr:uid="{00000000-0004-0000-0100-0000CA040000}"/>
    <hyperlink ref="K2216" r:id="rId1228" display="http://articles.latimes.com/2006/jun/07/local/me-venice7" xr:uid="{00000000-0004-0000-0100-0000CB040000}"/>
    <hyperlink ref="K2217" r:id="rId1229" display="http://articles.mcall.com/2006-05-26/news/3667295_1_students-or-teachers-district-s-zero-tolerance-senior-prom" xr:uid="{00000000-0004-0000-0100-0000CC040000}"/>
    <hyperlink ref="K2218" r:id="rId1230" display="http://www.wistv.com/story/4933127/officer-shoots-at-intruder-at-dutch-fork-hs" xr:uid="{00000000-0004-0000-0100-0000CD040000}"/>
    <hyperlink ref="K2219" r:id="rId1231" display="http://articles.sun-sentinel.com/2006-05-07/news/0605060367_1_charter-school-parking-lot-office-bill-robertson" xr:uid="{00000000-0004-0000-0100-0000CE040000}"/>
    <hyperlink ref="K2220" r:id="rId1232" display="https://www.wral.com/news/local/story/157302/" xr:uid="{00000000-0004-0000-0100-0000CF040000}"/>
    <hyperlink ref="K2221" r:id="rId1233" display="https://www.chron.com/news/houston-texas/article/Two-cut-by-glass-after-HISD-bus-shot-1908192.php" xr:uid="{00000000-0004-0000-0100-0000D0040000}"/>
    <hyperlink ref="K2222" r:id="rId1234" display="https://www.washingtonpost.com/archive/business/technology/2006/04/05/shooting-at-roosevelt-high-injures-19-year-old-student/5e198f72-616c-4f3e-8b06-25cdc4162735/?utm_term=.0b3f619eca63" xr:uid="{00000000-0004-0000-0100-0000D1040000}"/>
    <hyperlink ref="K2224" r:id="rId1235" display="http://www.downtownexpress.com/de_149/bbgunshotingatis89.html" xr:uid="{00000000-0004-0000-0100-0000D2040000}"/>
    <hyperlink ref="K2225" r:id="rId1236" display="https://www.usatoday.com/story/news/2015/10/01/roseburg-had-school-shooting-2006/73168186/" xr:uid="{00000000-0004-0000-0100-0000D3040000}"/>
    <hyperlink ref="K2226" r:id="rId1237" display="http://www.post-gazette.com/local/city/2007/02/28/Rifle-used-to-shoot-teen-outside-school-tied-to-2nd-shooting/stories/200702280235" xr:uid="{00000000-0004-0000-0100-0000D4040000}"/>
    <hyperlink ref="K2227" r:id="rId1238" display="https://www.ydr.com/story/news/local/blogs/teen-takeover/2006/02/24/school-censoring-student-writi/31691051/" xr:uid="{00000000-0004-0000-0100-0000D5040000}"/>
    <hyperlink ref="K2228" r:id="rId1239" display="https://www.newspapers.com/image/164693932/?terms=William%2BPenn%2BHigh%2BSchool%2Bshooting" xr:uid="{00000000-0004-0000-0100-0000D6040000}"/>
    <hyperlink ref="K2229" r:id="rId1240" display="https://www.newspapers.com/image/192748872/?terms=Longfellow%2BElementary%2BSchool%2Belbow%2Bbus" xr:uid="{00000000-0004-0000-0100-0000D7040000}"/>
    <hyperlink ref="K2230" r:id="rId1241" display="https://mtstandard.com/news/state-and-regional/student-dies-in-suicide-at-c-m-russell/article_6b906cf5-ad30-5bc9-87cd-1929be726a82.html" xr:uid="{00000000-0004-0000-0100-0000D8040000}"/>
    <hyperlink ref="K2231" r:id="rId1242" display="https://www.statesman.com/news/state--regional/santa-school-shooting-the-deadliest-texas-since-tower-shooting/pdX1aBkUi4kR3NUVqxdbJP/" xr:uid="{00000000-0004-0000-0100-0000D9040000}"/>
    <hyperlink ref="K2232" r:id="rId1243" display="http://www.thereporter.com/article/zz/20060124/NEWS/601249925" xr:uid="{00000000-0004-0000-0100-0000DA040000}"/>
    <hyperlink ref="K2233" r:id="rId1244" display="https://www.newspapers.com/image/102780485/?terms=Withrow%2BHigh%2BSchool%2Bshooting" xr:uid="{00000000-0004-0000-0100-0000DB040000}"/>
    <hyperlink ref="K2234" r:id="rId1245" display="https://pilotonline.com/news/article_91bd4bea-b9dc-5c30-bff7-43f583e1f7a9.html" xr:uid="{00000000-0004-0000-0100-0000DC040000}"/>
    <hyperlink ref="K2235" r:id="rId1246" display="https://www.chron.com/news/houston-texas/article/Alvin-6th-grader-shoots-himself-in-the-leg-in-1939399.php" xr:uid="{00000000-0004-0000-0100-0000DD040000}"/>
    <hyperlink ref="K2236" r:id="rId1247" display="https://mtstandard.com/news/local/anaconda-students-expelled-after-air-gun-shooting-incident/article_846a24e2-3d18-5764-a1a7-ccfb3bb8e820.html" xr:uid="{00000000-0004-0000-0100-0000DE040000}"/>
    <hyperlink ref="K2237" r:id="rId1248" display="https://www.columbine-angels.com/School_Violence_2005-2006.htm" xr:uid="{00000000-0004-0000-0100-0000DF040000}"/>
    <hyperlink ref="K2238" r:id="rId1249" display="https://www.cbsnews.com/news/parents-we-told-police-gun-was-fake/" xr:uid="{00000000-0004-0000-0100-0000E0040000}"/>
    <hyperlink ref="K2239" r:id="rId1250" display="http://www.gadsdentimes.com/lifestyle/20060116/student-charged-in-fatal-shooting-after-game" xr:uid="{00000000-0004-0000-0100-0000E1040000}"/>
    <hyperlink ref="K2240" r:id="rId1251" display="https://www.newspapers.com/image/343443050/?terms=girl%2Bshot%2Bschool%2Bplayground" xr:uid="{00000000-0004-0000-0100-0000E2040000}"/>
    <hyperlink ref="K2241" r:id="rId1252" display="https://www.newspapers.com/image/164693932/?terms=Mount%2BPleasant%2BHigh%2BSchool%2Bshooting" xr:uid="{00000000-0004-0000-0100-0000E3040000}"/>
    <hyperlink ref="K2242" r:id="rId1253" display="https://www.nytimes.com/2006/01/05/nyregion/gangs-tied-to-violence-near-jersey-city-school.html" xr:uid="{00000000-0004-0000-0100-0000E4040000}"/>
    <hyperlink ref="K2244" r:id="rId1254" display="https://www.ocregister.com/2005/12/08/five-arrests-made-in-santiago-high-shooting-death/" xr:uid="{00000000-0004-0000-0100-0000E5040000}"/>
    <hyperlink ref="K2245" r:id="rId1255" display="http://archive.boston.com/news/local/articles/2005/12/07/a_mattapan_teen_gets_stiff_bail_terms/" xr:uid="{00000000-0004-0000-0100-0000E6040000}"/>
    <hyperlink ref="K2246" r:id="rId1256" display="http://www.kxii.com/home/headlines/1978757.html" xr:uid="{00000000-0004-0000-0100-0000E7040000}"/>
    <hyperlink ref="K2247" r:id="rId1257" display="http://www.cnn.com/2005/US/11/15/florida.shooting/index.html" xr:uid="{00000000-0004-0000-0100-0000E8040000}"/>
    <hyperlink ref="K2249" r:id="rId1258" display="http://plainedgechat.proboards.com/thread/23" xr:uid="{00000000-0004-0000-0100-0000E9040000}"/>
    <hyperlink ref="K2250" r:id="rId1259" display="http://articles.baltimoresun.com/2005-10-30/news/0510300052_1_annapolis-shooting-was-accidental-charged-in-shooting" xr:uid="{00000000-0004-0000-0100-0000EA040000}"/>
    <hyperlink ref="K2252" r:id="rId1260" display="https://www.michigandaily.com/content/school-shooting-injures-student" xr:uid="{00000000-0004-0000-0100-0000EB040000}"/>
    <hyperlink ref="K2253" r:id="rId1261" display="http://articles.latimes.com/2005/oct/20/local/me-iebrief20" xr:uid="{00000000-0004-0000-0100-0000EC040000}"/>
    <hyperlink ref="K2254" r:id="rId1262" display="https://nypost.com/2005/10/15/teen-shot-in-hs-madness-leg-hurt-by-punk-at-school/" xr:uid="{00000000-0004-0000-0100-0000ED040000}"/>
    <hyperlink ref="K2255" r:id="rId1263" display="https://dailyjournalonline.com/news/local/farmington-youth-is-headed-for-prison/article_c56ed328-1d5d-5ef6-82a8-d88ae950e9e3.html" xr:uid="{00000000-0004-0000-0100-0000EE040000}"/>
    <hyperlink ref="K2256" r:id="rId1264" display="https://www.myplainview.com/news/article/Three-Duncanville-students-wounded-in-shooting-8703993.php" xr:uid="{00000000-0004-0000-0100-0000EF040000}"/>
    <hyperlink ref="K2257" r:id="rId1265" display="https://www.schoolsecurity.org/wp-content/uploads/2023/09/Snip20230916_36.png" xr:uid="{00000000-0004-0000-0100-0000F0040000}"/>
    <hyperlink ref="K2258" r:id="rId1266" display="https://www.newspapers.com/image/442838812/?terms=SAGINAW%2BDRIVE-BY%2BSHOOTING" xr:uid="{00000000-0004-0000-0100-0000F1040000}"/>
    <hyperlink ref="K2259" r:id="rId1267" display="https://www.schoolsecurity.org/wp-content/uploads/2023/09/Snip20230916_36.png" xr:uid="{00000000-0004-0000-0100-0000F2040000}"/>
    <hyperlink ref="K2260" r:id="rId1268" display="http://articles.chicagotribune.com/2005-09-14/news/0509140261_1_student-chicago-public-schools-initial-fight" xr:uid="{00000000-0004-0000-0100-0000F3040000}"/>
    <hyperlink ref="K2261" r:id="rId1269" display="https://journaltimes.com/news/local/two-shot-outside-game/article_d47cc868-bebb-5507-a91c-f48063e43285.html" xr:uid="{00000000-0004-0000-0100-0000F4040000}"/>
    <hyperlink ref="K2262" r:id="rId1270" display="https://www.questia.com/newspaper/1G1-136174022/student-shot-at-school-police-say-the-shooting-was" xr:uid="{00000000-0004-0000-0100-0000F5040000}"/>
    <hyperlink ref="K2263" r:id="rId1271" display="https://www.columbine-angels.com/School_Violence_2005-2006.htm" xr:uid="{00000000-0004-0000-0100-0000F6040000}"/>
    <hyperlink ref="K2264" r:id="rId1272" display="http://www.foxnews.com/story/2005/11/09/principal-praised-as-hero-in-tenn-school-shooting.html" xr:uid="{00000000-0004-0000-0100-0000F7040000}"/>
    <hyperlink ref="K2265" r:id="rId1273" display="https://www.schoolsecurity.org/wp-content/uploads/2023/09/Snip20230916_36.png" xr:uid="{00000000-0004-0000-0100-0000F8040000}"/>
    <hyperlink ref="K2266" r:id="rId1274" display="https://www.columbine-angels.com/School_Violence_2005-2006.htm" xr:uid="{00000000-0004-0000-0100-0000F9040000}"/>
    <hyperlink ref="K2267" r:id="rId1275" display="https://www.columbine-angels.com/School_Violence_2005-2006.htm" xr:uid="{00000000-0004-0000-0100-0000FA040000}"/>
    <hyperlink ref="K2269" r:id="rId1276" display="https://www.nytimes.com/2005/07/20/nyregion/2-men-charged-in-slaying-of-officer-at-newark-school.html" xr:uid="{00000000-0004-0000-0100-0000FB040000}"/>
    <hyperlink ref="K2270" r:id="rId1277" display="https://www.columbine-angels.com/School_Violence_2004-2005.htm" xr:uid="{00000000-0004-0000-0100-0000FC040000}"/>
    <hyperlink ref="K2271" r:id="rId1278" display="https://www.columbine-angels.com/School_Violence_2004-2005.htm" xr:uid="{00000000-0004-0000-0100-0000FD040000}"/>
    <hyperlink ref="K2272" r:id="rId1279" display="https://www.newspapers.com/image/219341527/" xr:uid="{00000000-0004-0000-0100-0000FE040000}"/>
    <hyperlink ref="K2273" r:id="rId1280" display="https://www.denverpost.com/2005/05/24/pellets-strike-2-adults-on-busy-school-playground/" xr:uid="{00000000-0004-0000-0100-0000FF040000}"/>
    <hyperlink ref="K2274" r:id="rId1281" display="http://articles.chicagotribune.com/2005-05-26/news/0505260268_1_hallman-pupils-soft-air-gun" xr:uid="{00000000-0004-0000-0100-000000050000}"/>
    <hyperlink ref="K2275" r:id="rId1282" display="https://cumberlink.com/news/murder-suicide-shocks-school/article_f20ad9ba-ef8b-5fc1-bf1e-2507ab486715.html" xr:uid="{00000000-0004-0000-0100-000001050000}"/>
    <hyperlink ref="K2276" r:id="rId1283" display="http://www.freerepublic.com/focus/news/1404328/posts" xr:uid="{00000000-0004-0000-0100-000002050000}"/>
    <hyperlink ref="K2277" r:id="rId1284" display="https://www.columbine-angels.com/School_Violence_2004-2005.htm" xr:uid="{00000000-0004-0000-0100-000003050000}"/>
    <hyperlink ref="K2278" r:id="rId1285" display="https://www.lobservateur.com/2005/05/02/godchaux-student-fires-handgun-in-class/" xr:uid="{00000000-0004-0000-0100-000004050000}"/>
    <hyperlink ref="K2279" r:id="rId1286" location=".W2cyndJKiUk" display="http://www.nbcnews.com/id/7420306/ns/us_news-crime_and_courts/t/wounded-coach-upset-some-players-parents/ - .W2cyndJKiUk" xr:uid="{00000000-0004-0000-0100-000005050000}"/>
    <hyperlink ref="K2280" r:id="rId1287" display="https://www.columbine-angels.com/School_Violence_2004-2005.htm" xr:uid="{00000000-0004-0000-0100-000006050000}"/>
    <hyperlink ref="K2281" r:id="rId1288" display="https://www.columbine-angels.com/School_Violence_2004-2005.htm" xr:uid="{00000000-0004-0000-0100-000007050000}"/>
    <hyperlink ref="K2282" r:id="rId1289" display="http://www.nydailynews.com/archives/news/b-klyn-hs-panic-boy-shoots-leg-article-1.589241" xr:uid="{00000000-0004-0000-0100-000008050000}"/>
    <hyperlink ref="K2284" r:id="rId1290" display="https://www.newspapers.com/image/321630892/?terms=o.%2Bperry%2Bhigh%2Bschool" xr:uid="{00000000-0004-0000-0100-000009050000}"/>
    <hyperlink ref="K2286" r:id="rId1291" display="http://www.post-gazette.com/local/city/2007/05/02/Dueling-snitches-muddy-trial-in-Carrick-High-School-killing/stories/200705020345" xr:uid="{00000000-0004-0000-0100-00000A050000}"/>
    <hyperlink ref="K2287" r:id="rId1292" display="https://www.bgfalconmedia.com/fourth-grader-injured-after-toting-gun-to-school/article_b41044bf-61db-5b3a-a623-89b6ca62a191.html" xr:uid="{00000000-0004-0000-0100-00000B050000}"/>
    <hyperlink ref="K2288" r:id="rId1293" display="https://www.columbine-angels.com/School_Violence_2004-2005.htm" xr:uid="{00000000-0004-0000-0100-00000C050000}"/>
    <hyperlink ref="K2289" r:id="rId1294" display="https://www.columbine-angels.com/School_Violence_2004-2005.htm" xr:uid="{00000000-0004-0000-0100-00000D050000}"/>
    <hyperlink ref="K2290" r:id="rId1295" display="https://www.cbsnews.com/news/school-bus-driver-shot-to-death/" xr:uid="{00000000-0004-0000-0100-00000E050000}"/>
    <hyperlink ref="K2291" r:id="rId1296" display="http://articles.chicagotribune.com/2005-02-09/news/0502090400_1_chicago-public-schools-students-exits" xr:uid="{00000000-0004-0000-0100-00000F050000}"/>
    <hyperlink ref="K2292" r:id="rId1297" display="https://www.columbine-angels.com/School_Violence_2005-2006.htm" xr:uid="{00000000-0004-0000-0100-000010050000}"/>
    <hyperlink ref="K2293" r:id="rId1298" display="http://www.pjstar.com/article/20131215/news/131219398" xr:uid="{00000000-0004-0000-0100-000011050000}"/>
    <hyperlink ref="K2294" r:id="rId1299" display="http://www.philadelphiaweekly.com/news/state-of-disgrace/article_86c2a06b-190d-5781-ab53-23c8fb71c94c.html" xr:uid="{00000000-0004-0000-0100-000012050000}"/>
    <hyperlink ref="K2295" r:id="rId1300" display="https://www.chron.com/news/houston-texas/article/1-dead-1-hurt-in-Richmond-State-School-shooting-1938319.php" xr:uid="{00000000-0004-0000-0100-000013050000}"/>
    <hyperlink ref="K2296" r:id="rId1301" display="https://www.columbine-angels.com/School_Violence_2004-2005.htm" xr:uid="{00000000-0004-0000-0100-000014050000}"/>
    <hyperlink ref="K2297" r:id="rId1302" display="http://www.spokesman.com/stories/2004/dec/11/skyler-cullitan-remembered-as-caring-outgoing/" xr:uid="{00000000-0004-0000-0100-000015050000}"/>
    <hyperlink ref="K2298" r:id="rId1303" display="https://www.questia.com/newspaper/1G1-125515131/student-accidentally-shot-1-charged-terry-parker" xr:uid="{00000000-0004-0000-0100-000016050000}"/>
    <hyperlink ref="K2299" r:id="rId1304" display="http://articles.orlandosentinel.com/keyword/gun-to-school/recent/3" xr:uid="{00000000-0004-0000-0100-000017050000}"/>
    <hyperlink ref="K2300" r:id="rId1305" display="http://www.wtoc.com/story/2578224/gunman-sought-in-battery-creek-high-shooting" xr:uid="{00000000-0004-0000-0100-000018050000}"/>
    <hyperlink ref="K2301" r:id="rId1306" display="https://www.nwitimes.com/news/local/suspect-in-school-shooting-in-custody/article_45dbc46d-b19d-5eda-a4e0-8823c211e6cd.html" xr:uid="{00000000-0004-0000-0100-000019050000}"/>
    <hyperlink ref="K2302" r:id="rId1307" display="http://blog.al.com/spotnews/2009/04/suspect_in_drugrelated_titusvi.html" xr:uid="{00000000-0004-0000-0100-00001A050000}"/>
    <hyperlink ref="K2303" r:id="rId1308" display="https://www.sfgate.com/bayarea/article/HAYWARD-Man-fatally-shot-at-school-no-arrest-2679598.php" xr:uid="{00000000-0004-0000-0100-00001B050000}"/>
    <hyperlink ref="K2304" r:id="rId1309" display="http://articles.baltimoresun.com/2004-10-23/news/0410230240_1_thurgood-marshall-high-school-violence-city-schools" xr:uid="{00000000-0004-0000-0100-00001C050000}"/>
    <hyperlink ref="K2305" r:id="rId1310" display="http://articles.latimes.com/2004/oct/17/local/me-sbriefs17.2" xr:uid="{00000000-0004-0000-0100-00001D050000}"/>
    <hyperlink ref="K2306" r:id="rId1311" display="https://www.sfgate.com/bayarea/article/SUNNYVALE-2-killings-at-school-bring-murder-2641374.php" xr:uid="{00000000-0004-0000-0100-00001E050000}"/>
    <hyperlink ref="K2307" r:id="rId1312" display="https://www.upi.com/Distraught-teen-kills-himself-at-school/59631097364281/" xr:uid="{00000000-0004-0000-0100-00001F050000}"/>
    <hyperlink ref="K2308" r:id="rId1313" display="https://www.theindependent.com/news/man-charged-with-shooting-at-jefferson-school/article_3665f3f8-7aea-525c-b6a2-1d6de44bd561.html" xr:uid="{00000000-0004-0000-0100-000020050000}"/>
    <hyperlink ref="K2309" r:id="rId1314" display="https://www.nwitimes.com/news/local/lake-county-news-briefs/article_cc5c39db-4f11-5fc4-8024-c813bc7b21f9.html" xr:uid="{00000000-0004-0000-0100-000021050000}"/>
    <hyperlink ref="K2310" r:id="rId1315" display="https://en.wikipedia.org/wiki/List_of_school_shootings_in_the_United_States" xr:uid="{00000000-0004-0000-0100-000022050000}"/>
    <hyperlink ref="K2311" r:id="rId1316" display="http://articles.chicagotribune.com/2004-08-31/news/0408310214_1_gang-related-shooting-proviso-east-high-school-student-parking-lot" xr:uid="{00000000-0004-0000-0100-000023050000}"/>
    <hyperlink ref="K2312" r:id="rId1317" display="http://www.wmcactionnews5.com/story/7818497/police-investigate-shooting-inside-classroom-at-hamilton-high/" xr:uid="{00000000-0004-0000-0100-000024050000}"/>
    <hyperlink ref="K2313" r:id="rId1318" display="http://www.gadsdentimes.com/article/DA/20040804/News/603205688/GT/" xr:uid="{00000000-0004-0000-0100-000025050000}"/>
    <hyperlink ref="K2314" r:id="rId1319" display="https://www.eastbaytimes.com/2004/06/10/castlemont-pupils-shot-in-drive-by/" xr:uid="{00000000-0004-0000-0100-000026050000}"/>
    <hyperlink ref="K2315" r:id="rId1320" display="https://www.deseretnews.com/article/595065631/Man-kills-wife-self-at-West-High.html" xr:uid="{00000000-0004-0000-0100-000027050000}"/>
    <hyperlink ref="K2316" r:id="rId1321" display="https://www.newspapers.com/image/285023326/?terms=East%2BCampus%2BEducational%2BCenter%2BJulio%2BNajar" xr:uid="{00000000-0004-0000-0100-000028050000}"/>
    <hyperlink ref="K2318" r:id="rId1322" display="https://www.chron.com/news/houston-texas/article/Gunfire-but-no-injuries-at-Kashmere-High-School-1651100.php" xr:uid="{00000000-0004-0000-0100-000029050000}"/>
    <hyperlink ref="K2319" r:id="rId1323" display="http://community.seattletimes.nwsource.com/archive/?date=20040319&amp;slug=boyshot19m" xr:uid="{00000000-0004-0000-0100-00002A050000}"/>
    <hyperlink ref="K2320" r:id="rId1324" display="https://www.newspapers.com/image/192854243/?terms=Los%2BAngeles%2Bhigh%2Bschool%2Bshooting" xr:uid="{00000000-0004-0000-0100-00002B050000}"/>
    <hyperlink ref="K2321" r:id="rId1325" display="https://www.iberianet.com/news/two-dead-in-friday-murder-suicide/article_6e2281d6-1558-5273-b883-8aa0132a8b2e.html" xr:uid="{00000000-0004-0000-0100-00002C050000}"/>
    <hyperlink ref="K2322" r:id="rId1326" display="https://www.newspapers.com/image/410611502/" xr:uid="{00000000-0004-0000-0100-00002D050000}"/>
    <hyperlink ref="K2323" r:id="rId1327" display="http://www.foxnews.com/story/2006/03/16/two-guilty-in-slaying-philadelphia-boy.html" xr:uid="{00000000-0004-0000-0100-00002E050000}"/>
    <hyperlink ref="K2325" r:id="rId1328" display="https://www.shreveporttimes.com/story/news/2017/11/07/times-files-officer-fires-shot-fair-park-high/841429001/" xr:uid="{00000000-0004-0000-0100-00002F050000}"/>
    <hyperlink ref="K2326" r:id="rId1329" display="https://www.chron.com/news/houston-texas/article/Fifth-grader-accidentally-shoots-himself-at-school-1979500.php" xr:uid="{00000000-0004-0000-0100-000030050000}"/>
    <hyperlink ref="K2327" r:id="rId1330" display="http://www.washingtonpost.com/wp-dyn/articles/A13630-2004Feb4.html" xr:uid="{00000000-0004-0000-0100-000031050000}"/>
    <hyperlink ref="K2328" r:id="rId1331" display="https://lasvegassun.com/news/2004/feb/27/inquest-begins-in-shooting-at-elementary-school/" xr:uid="{00000000-0004-0000-0100-000032050000}"/>
    <hyperlink ref="K2329" r:id="rId1332" display="https://www.newspapers.com/image/192733466/?terms=Pomona%2BHigh%2BSchool%2Bstudent%2Bshot" xr:uid="{00000000-0004-0000-0100-000033050000}"/>
    <hyperlink ref="K2330" r:id="rId1333" display="https://www.news4jax.com/news/two-brothers-arrested-for-school-lot-shooting" xr:uid="{00000000-0004-0000-0100-000034050000}"/>
    <hyperlink ref="K2331" r:id="rId1334" display="https://www.newspapers.com/image/225032236/?terms=Colonia%2BHigh%2BSchool%2Bhandgun" xr:uid="{00000000-0004-0000-0100-000035050000}"/>
    <hyperlink ref="K2332" r:id="rId1335" display="http://articles.baltimoresun.com/2003-12-18/news/0312180341_1_two-middle-schools-school-officials-mill-high" xr:uid="{00000000-0004-0000-0100-000036050000}"/>
    <hyperlink ref="K2333" r:id="rId1336" display="https://dailyegyptian.com/27496/archives/man-shot-in-leg-cchs-game/" xr:uid="{00000000-0004-0000-0100-000037050000}"/>
    <hyperlink ref="K2334" r:id="rId1337" display="https://newsok.com/article/1961014/arrest-warrant-issued-in-high-school-shooting" xr:uid="{00000000-0004-0000-0100-000038050000}"/>
    <hyperlink ref="K2336" r:id="rId1338" display="https://www.columbine-angels.com/School_Violence_2003-2004.htm" xr:uid="{00000000-0004-0000-0100-000039050000}"/>
    <hyperlink ref="K2337" r:id="rId1339" display="https://www.chron.com/news/houston-texas/article/Man-convicted-of-killing-student-outside-stadium-1624934.php" xr:uid="{00000000-0004-0000-0100-00003A050000}"/>
    <hyperlink ref="K2338" r:id="rId1340" display="https://www.washingtonpost.com/archive/politics/2003/10/31/anacostia-high-student-is-fatally-shot-at-school/a36cda4b-5726-44b6-8658-07f7b3d2c499/?utm_term=.9b19cef0c21d" xr:uid="{00000000-0004-0000-0100-00003B050000}"/>
    <hyperlink ref="K2339" r:id="rId1341" display="https://www.newspapers.com/image/226188784/" xr:uid="{00000000-0004-0000-0100-00003C050000}"/>
    <hyperlink ref="K2340" r:id="rId1342" display="http://www.the-daily-record.com/news/20070723/kenmore-grad-remembers-every-detail-of-2003-school-shooting" xr:uid="{00000000-0004-0000-0100-00003D050000}"/>
    <hyperlink ref="K2341" r:id="rId1343" display="http://articles.latimes.com/2003/oct/02/local/me-shooting2" xr:uid="{00000000-0004-0000-0100-00003E050000}"/>
    <hyperlink ref="K2344" r:id="rId1344" location="selection-4431.54-4431.79" display="https://archive.is/16kFZ - selection-4431.54-4431.79" xr:uid="{00000000-0004-0000-0100-00003F050000}"/>
    <hyperlink ref="K2345" r:id="rId1345" display="http://www.spokesman.com/stories/2004/sep/04/father-says-police-too-aggressive-high-school-shoo/" xr:uid="{00000000-0004-0000-0100-000040050000}"/>
    <hyperlink ref="K2346" r:id="rId1346" display="https://en.wikipedia.org/wiki/List_of_school_shootings_in_the_United_States" xr:uid="{00000000-0004-0000-0100-000041050000}"/>
    <hyperlink ref="K2347" r:id="rId1347" display="http://archive.boston.com/news/local/articles/2003/09/18/teen_shot_near_charlestown_high/" xr:uid="{00000000-0004-0000-0100-000042050000}"/>
    <hyperlink ref="K2348" r:id="rId1348" display="https://www.vicksburgpost.com/2003/09/11/former-vhs-student-shot-dead/" xr:uid="{00000000-0004-0000-0100-000043050000}"/>
    <hyperlink ref="K2350" r:id="rId1349" display="https://newspaperarchive.com/altoona-mirror-may-14-2003-p-11/" xr:uid="{00000000-0004-0000-0100-000044050000}"/>
    <hyperlink ref="K2352" r:id="rId1350" display="http://obits.dallasnews.com/obituaries/dallasmorningnews/obituary.aspx?page=lifestory&amp;pid=950952" xr:uid="{00000000-0004-0000-0100-000045050000}"/>
    <hyperlink ref="K2353" r:id="rId1351" display="https://www.latimes.com/archives/la-xpm-2003-apr-16-me-sbriefs16.5-story.html" xr:uid="{00000000-0004-0000-0100-000046050000}"/>
    <hyperlink ref="K2354" r:id="rId1352" display="https://www.washingtonpost.com/archive/politics/2003/04/15/youth-15-dies-in-shooting-at-new-orleans-high-school/a2b1c00e-b101-4b41-ae45-a150abc01ada/?utm_term=.0ec08f1f82f8" xr:uid="{00000000-0004-0000-0100-000047050000}"/>
    <hyperlink ref="K2355" r:id="rId1353" display="https://www.newspapers.com/image/220871722/?terms=Fair%2BPark%2BHigh%2BSchool%2BSteven%2BGreen" xr:uid="{00000000-0004-0000-0100-000048050000}"/>
    <hyperlink ref="K2356" r:id="rId1354" display="https://web.archive.org/web/20050211181322/https:/www.nbc4.tv/news/2104581/detail.html" xr:uid="{00000000-0004-0000-0100-000049050000}"/>
    <hyperlink ref="K2357" r:id="rId1355" display="https://www.washingtontimes.com/news/2003/apr/4/20030404-090538-6902r/" xr:uid="{00000000-0004-0000-0100-00004A050000}"/>
    <hyperlink ref="K2358" r:id="rId1356" display="http://www.santacruzsentinel.com/article/zz/20080625/NEWS/806259869" xr:uid="{00000000-0004-0000-0100-00004B050000}"/>
    <hyperlink ref="K2359" r:id="rId1357" display="https://www.franklincountytimes.com/2003/03/26/northeast-high-school-begins-healing-process/" xr:uid="{00000000-0004-0000-0100-00004C050000}"/>
    <hyperlink ref="K2360" r:id="rId1358" display="https://azdailysun.com/teen-shoots-himself-in-principal-s-office/article_4262b5f6-0d4a-536c-9859-fb77384f957a.html" xr:uid="{00000000-0004-0000-0100-00004D050000}"/>
    <hyperlink ref="K2361" r:id="rId1359" display="https://trib.com/news/state-and-regional/shots-fired-outside-colorado-high-school/article_6fc1cc83-9e5a-5600-ba1a-d3044ce97ab7.html" xr:uid="{00000000-0004-0000-0100-00004E050000}"/>
    <hyperlink ref="K2362" r:id="rId1360" display="https://www.tulsaworld.com/archives/jenks-student-yields-after-standoff/article_df79f378-452f-5400-9568-28cd4a828fdf.html" xr:uid="{00000000-0004-0000-0100-00004F050000}"/>
    <hyperlink ref="K2363" r:id="rId1361" display="https://www.newspapers.com/image/362208049/?terms=Olive%2BHill%2Bschool%2Bhostage" xr:uid="{00000000-0004-0000-0100-000050050000}"/>
    <hyperlink ref="K2364" r:id="rId1362" display="http://articles.chicagotribune.com/2002-12-17/news/0212180098_1_chicago-public-schools-chicago-police-alleged" xr:uid="{00000000-0004-0000-0100-000051050000}"/>
    <hyperlink ref="K2366" r:id="rId1363" display="https://www.newspapers.com/image/205047710/?terms=student%2Bshoots" xr:uid="{00000000-0004-0000-0100-000052050000}"/>
    <hyperlink ref="K2367" r:id="rId1364" display="https://www.myplainview.com/news/article/Scurry-Rosser-faculty-students-subdue-gunman-8787426.php" xr:uid="{00000000-0004-0000-0100-000053050000}"/>
    <hyperlink ref="K2368" r:id="rId1365" display="http://articles.latimes.com/2002/nov/15/local/me-carson15" xr:uid="{00000000-0004-0000-0100-000054050000}"/>
    <hyperlink ref="K2369" r:id="rId1366" display="https://www.semissourian.com/story/152973.html" xr:uid="{00000000-0004-0000-0100-000055050000}"/>
    <hyperlink ref="K2370" r:id="rId1367" display="http://www.cnn.com/2002/US/Northeast/10/29/school.shooting/" xr:uid="{00000000-0004-0000-0100-000056050000}"/>
    <hyperlink ref="K2371" r:id="rId1368" display="https://www.theguardian.com/world/2002/oct/08/usgunviolence.usa" xr:uid="{00000000-0004-0000-0100-000057050000}"/>
    <hyperlink ref="K2372" r:id="rId1369" display="http://ssristories.drugawareness.org/archive/showa5f5.html?item=224" xr:uid="{00000000-0004-0000-0100-000058050000}"/>
    <hyperlink ref="K2374" r:id="rId1370" display="https://www.newspapers.com/image/229238117/?terms=Toran%2BJoseph%2BRichard%2BAntoine%2Bschool%2Bdance" xr:uid="{00000000-0004-0000-0100-000059050000}"/>
    <hyperlink ref="K2376" r:id="rId1371" display="https://www.newspapers.com/image/4986183/" xr:uid="{00000000-0004-0000-0100-00005A050000}"/>
    <hyperlink ref="K2377" r:id="rId1372" display="https://www.newspapers.com/image/390065452/?terms=Roosevelt%2BHigh%2BSchool%2Bshooting%2BJose%2BVela" xr:uid="{00000000-0004-0000-0100-00005B050000}"/>
    <hyperlink ref="K2378" r:id="rId1373" display="http://articles.latimes.com/2002/feb/07/local/me-shot7" xr:uid="{00000000-0004-0000-0100-00005C050000}"/>
    <hyperlink ref="K2379" r:id="rId1374" display="https://www.newspapers.com/image/434313780/?terms=thomas%2Bmcadams%2Barrested" xr:uid="{00000000-0004-0000-0100-00005D050000}"/>
    <hyperlink ref="K2380" r:id="rId1375" display="http://articles.mcall.com/2003-09-24/news/3482461_1_berks-christian-school-otto-nuss-bus-driver" xr:uid="{00000000-0004-0000-0100-00005E050000}"/>
    <hyperlink ref="K2381" r:id="rId1376" display="https://www.cbsnews.com/news/arrest-in-nyc-school-shooting/" xr:uid="{00000000-0004-0000-0100-00005F050000}"/>
    <hyperlink ref="K2383" r:id="rId1377" display="https://www.chron.com/news/houston-texas/article/Friendswood-teacher-indicted-over-gunfire-2059926.php" xr:uid="{00000000-0004-0000-0100-000060050000}"/>
    <hyperlink ref="K2384" r:id="rId1378" display="https://www.michigandaily.com/content/17-year-old-takes-hostages-school-commits-suicide" xr:uid="{00000000-0004-0000-0100-000061050000}"/>
    <hyperlink ref="K2385" r:id="rId1379" display="https://www.newspapers.com/image/220634008/?terms=High%2BSchool%2BSaginaw%2Bgun%2Bjacket" xr:uid="{00000000-0004-0000-0100-000062050000}"/>
    <hyperlink ref="K2386" r:id="rId1380" display="http://articles.latimes.com/2001/oct/27/local/me-62198" xr:uid="{00000000-0004-0000-0100-000063050000}"/>
    <hyperlink ref="K2387" r:id="rId1381" display="https://www.deseretnews.com/article/868847/Boy-shoots-self-at-school.html" xr:uid="{00000000-0004-0000-0100-000064050000}"/>
    <hyperlink ref="K2388" r:id="rId1382" display="http://articles.baltimoresun.com/2001-09-21/news/0109210200_1_lake-clifton-neighborhood-dispute-inside-the-school" xr:uid="{00000000-0004-0000-0100-000065050000}"/>
    <hyperlink ref="K2389" r:id="rId1383" display="http://www.enquirer.com/editions/2001/09/14/loc_children_who_saw.html" xr:uid="{00000000-0004-0000-0100-000066050000}"/>
    <hyperlink ref="K2390" r:id="rId1384" display="http://www.ladowntownnews.com/news/lockdown-at-belmont-high/article_cc919569-fc0c-5517-be27-6e7adfd7e46a.html" xr:uid="{00000000-0004-0000-0100-000067050000}"/>
    <hyperlink ref="K2392" r:id="rId1385" display="https://www.deseretnews.com/article/843018/Texas-teen-kills-himself-at-school.html" xr:uid="{00000000-0004-0000-0100-000068050000}"/>
    <hyperlink ref="K2393" r:id="rId1386" display="https://nthfmemorial.org/mystery-in-ohio-demetrius-minifee/" xr:uid="{00000000-0004-0000-0100-000069050000}"/>
    <hyperlink ref="K2394" r:id="rId1387" display="https://products.kitsapsun.com/archive/2001/04-21/0043_in_the_headlines.html" xr:uid="{00000000-0004-0000-0100-00006A050000}"/>
    <hyperlink ref="K2396" r:id="rId1388" display="https://www.chron.com/news/houston-texas/article/Eighth-grade-girl-dies-after-shooting-herself-at-2012069.php" xr:uid="{00000000-0004-0000-0100-00006B050000}"/>
    <hyperlink ref="K2397" r:id="rId1389" display="http://edition.cnn.com/2001/US/03/31/school.shooting/" xr:uid="{00000000-0004-0000-0100-00006C050000}"/>
    <hyperlink ref="K2399" r:id="rId1390" display="http://community.seattletimes.nwsource.com/archive/?date=20010308&amp;slug=kent08m0" xr:uid="{00000000-0004-0000-0100-00006D050000}"/>
    <hyperlink ref="K2401" r:id="rId1391" display="https://www.washingtontimes.com/news/2001/mar/8/20010308-021529-7742r/" xr:uid="{00000000-0004-0000-0100-00006E050000}"/>
    <hyperlink ref="K2403" r:id="rId1392" display="https://www.deseretnews.com/article/831817/School-hopes-suicide-doesnt-put-it-in-spotlight.html" xr:uid="{00000000-0004-0000-0100-00006F050000}"/>
    <hyperlink ref="K2404" r:id="rId1393" display="https://www.statesman.com/story/news/2018/05/18/santa-fe-is-the-deadliest-school-shooting-in-texas-since-ut-tower-shooting/10370668007/" xr:uid="{00000000-0004-0000-0100-000070050000}"/>
    <hyperlink ref="K2405" r:id="rId1394" display="http://edition.cnn.com/2001/US/02/02/detroit.shooting/index.html" xr:uid="{00000000-0004-0000-0100-000071050000}"/>
    <hyperlink ref="K2406" r:id="rId1395" display="http://articles.baltimoresun.com/2001-01-19/news/0101190243_1_sanders-inside-the-school-school-shooting" xr:uid="{00000000-0004-0000-0100-000072050000}"/>
    <hyperlink ref="K2407" r:id="rId1396" display="http://articles.latimes.com/2001/jan/11/local/me-11081" xr:uid="{00000000-0004-0000-0100-000073050000}"/>
    <hyperlink ref="K2408" r:id="rId1397" display="https://www.sfgate.com/news/article/Security-Review-After-Accident-Student-shot-2968986.php" xr:uid="{00000000-0004-0000-0100-000074050000}"/>
    <hyperlink ref="K2409" r:id="rId1398" display="http://articles.sun-sentinel.com/2000-12-21/news/0012210472_1_armored-car-armored-guard-routine-pickup" xr:uid="{00000000-0004-0000-0100-000075050000}"/>
    <hyperlink ref="K2410" r:id="rId1399" display="https://www.sfgate.com/bayarea/article/Drive-by-Shooter-Kills-Teen-2692458.php" xr:uid="{00000000-0004-0000-0100-000076050000}"/>
    <hyperlink ref="K2411" r:id="rId1400" display="http://www.berkeleydailyplanet.com/issue/2000-12-06/article/2518" xr:uid="{00000000-0004-0000-0100-000077050000}"/>
    <hyperlink ref="K2412" r:id="rId1401" display="http://articles.latimes.com/2000/dec/02/local/me-60380" xr:uid="{00000000-0004-0000-0100-000078050000}"/>
    <hyperlink ref="K2413" r:id="rId1402" display="https://www.deseretnews.com/article/791173/Student-takes-class-hostage.html" xr:uid="{00000000-0004-0000-0100-000079050000}"/>
    <hyperlink ref="K2414" r:id="rId1403" display="http://tucsoncitizen.com/morgue2/2000/10/25/84611-teen-holds-class-teacher-hostage-at-his-former-glendale-school/" xr:uid="{00000000-0004-0000-0100-00007A050000}"/>
    <hyperlink ref="K2415" r:id="rId1404" display="https://www.newspapers.com/image/195721847/?terms=shooting%2Bhomecoming%2BMinneapolis" xr:uid="{00000000-0004-0000-0100-00007B050000}"/>
    <hyperlink ref="K2417" r:id="rId1405" display="https://www.newspapers.com/image/324100036/?terms=Mount%2BHealthy%2C%2BOhio%2Bschool%2Bgun" xr:uid="{00000000-0004-0000-0100-00007C050000}"/>
    <hyperlink ref="K2420" r:id="rId1406" display="http://enquirer.com/editions/2000/11/14/loc_driver_in_fatal.html" xr:uid="{00000000-0004-0000-0100-00007D050000}"/>
    <hyperlink ref="K2421" r:id="rId1407" display="https://products.kitsapsun.com/archive/2000/10-19/0036_cafeteria__teen_pleads_guilty_to_.html" xr:uid="{00000000-0004-0000-0100-00007E050000}"/>
    <hyperlink ref="K2422" r:id="rId1408" display="https://www.palmbeachpost.com/news/20200521/teen-teacher-gun-2000-school-shooting-staggered-palm-beach-county" xr:uid="{00000000-0004-0000-0100-00007F050000}"/>
    <hyperlink ref="K2423" r:id="rId1409" display="http://tucsoncitizen.com/morgue2/2000/05/11/58653-sierra-vista-shootings-prompt-safety-review/" xr:uid="{00000000-0004-0000-0100-000080050000}"/>
    <hyperlink ref="K2424" r:id="rId1410" display="https://www.newspapers.com/image/340040843/?terms=high%2Bschool%2Bsuicide%2Bdenver" xr:uid="{00000000-0004-0000-0100-000081050000}"/>
    <hyperlink ref="K2425" r:id="rId1411" display="https://www.cbsnews.com/news/fear-turns-to-outrage-at-tucson-school/" xr:uid="{00000000-0004-0000-0100-000082050000}"/>
    <hyperlink ref="K2426" r:id="rId1412" display="https://www.newspapers.com/image/454563845/?terms=Hugo%2BHigh%2BSchool%2Bshooting" xr:uid="{00000000-0004-0000-0100-000083050000}"/>
    <hyperlink ref="K2427" r:id="rId1413" display="https://www.cbsnews.com/news/boy-charged-in-school-gun-scare/" xr:uid="{00000000-0004-0000-0100-000084050000}"/>
    <hyperlink ref="K2430" r:id="rId1414" display="https://www.schoolsecurity.org/trends/violent-deaths-and-school-shootings/school-deaths-1999-2000/" xr:uid="{00000000-0004-0000-0100-000085050000}"/>
    <hyperlink ref="K2431" r:id="rId1415" display="https://www.newspapers.com/image/775215625/?terms=Horn%20Lake%20High%20School%20shooting&amp;match=1" xr:uid="{00000000-0004-0000-0100-000086050000}"/>
    <hyperlink ref="K2432" r:id="rId1416" display="http://articles.chicagotribune.com/2000-03-30/news/0003300274_1_metal-detectors-elementary-schools-west-side-school" xr:uid="{00000000-0004-0000-0100-000087050000}"/>
    <hyperlink ref="K2436" r:id="rId1417" display="https://www.newspapers.com/image/197812875/?terms=Erwin%2BHigh%2BSchool%2Bshooting" xr:uid="{00000000-0004-0000-0100-000088050000}"/>
    <hyperlink ref="K2437" r:id="rId1418" display="http://www.tbo.com/pasco-county/teen-who-accidentally-shot-friend-lands-in-jail-as-adult-87255" xr:uid="{00000000-0004-0000-0100-000089050000}"/>
    <hyperlink ref="K2438" r:id="rId1419" display="https://www.newspapers.com/image/342081991/?terms=Albuquerque%2BHigh%2BSchool%2Bshooting" xr:uid="{00000000-0004-0000-0100-00008A050000}"/>
    <hyperlink ref="K2441" r:id="rId1420" display="https://www.abqjournal.com/news/state/apteen10-12-04.htm" xr:uid="{00000000-0004-0000-0100-00008B050000}"/>
    <hyperlink ref="K2442" r:id="rId1421" display="https://www.newspapers.com/image/13325920/?terms=Dickinson%2BHigh%2BSchool%2Bshooting" xr:uid="{00000000-0004-0000-0100-00008C050000}"/>
    <hyperlink ref="K2443" r:id="rId1422" display="https://www.newspapers.com/image/442142079/?terms=Dorchester%20High%20School%20shooting&amp;match=1" xr:uid="{00000000-0004-0000-0100-00008D050000}"/>
    <hyperlink ref="K2444" r:id="rId1423" display="https://www.newspapers.com/image/220395374/?terms=Guyan%2BValley%2BHigh%2BSchool" xr:uid="{00000000-0004-0000-0100-00008E050000}"/>
    <hyperlink ref="K2445" r:id="rId1424" display="https://www.newspapers.com/image/184629441/?terms=shooting%2BDonald%2BMcNeil" xr:uid="{00000000-0004-0000-0100-00008F050000}"/>
    <hyperlink ref="K2446" r:id="rId1425" display="http://articles.latimes.com/1999/oct/22/local/me-24932" xr:uid="{00000000-0004-0000-0100-000090050000}"/>
    <hyperlink ref="K2447" r:id="rId1426" display="https://lasvegassun.com/news/1999/oct/12/security-increased-after-shooting-at-clark-high/" xr:uid="{00000000-0004-0000-0100-000091050000}"/>
    <hyperlink ref="K2448" r:id="rId1427" display="https://www.cbsnews.com/news/vice-principal-shot-in-scuffle/" xr:uid="{00000000-0004-0000-0100-000092050000}"/>
    <hyperlink ref="K2449" r:id="rId1428" display="https://www.newspapers.com/image/327236803/?terms=Lauren%2BKlingensmith" xr:uid="{00000000-0004-0000-0100-000093050000}"/>
    <hyperlink ref="K2450" r:id="rId1429" display="https://www.sfgate.com/bayarea/article/San-Jose-Boy-16-Fatally-Shoots-Himself-at-High-2909269.php" xr:uid="{00000000-0004-0000-0100-000094050000}"/>
    <hyperlink ref="K2451" r:id="rId1430" display="https://www.cbsnews.com/news/ga-teen-found-dead-in-truck/" xr:uid="{00000000-0004-0000-0100-000095050000}"/>
    <hyperlink ref="K2454" r:id="rId1431" display="https://www.newspapers.com/image/403219735/?terms=Geno%2BThomas%2Bshooting" xr:uid="{00000000-0004-0000-0100-000096050000}"/>
    <hyperlink ref="K2455" r:id="rId1432" display="https://www.history.com/topics/columbine-high-school-shootings" xr:uid="{00000000-0004-0000-0100-000097050000}"/>
    <hyperlink ref="K2457" r:id="rId1433" display="http://articles.chicagotribune.com/1999-03-06/news/9903060113_1_hennessy-police-skokie" xr:uid="{00000000-0004-0000-0100-000098050000}"/>
    <hyperlink ref="K2458" r:id="rId1434" display="https://www.deseretnews.com/article/679792/News-capsules.html" xr:uid="{00000000-0004-0000-0100-000099050000}"/>
    <hyperlink ref="K2459" r:id="rId1435" display="http://articles.chicagotribune.com/1999-02-12/news/9902120139_1_shooting-gunman-gang" xr:uid="{00000000-0004-0000-0100-00009A050000}"/>
    <hyperlink ref="K2460" r:id="rId1436" display="https://www.newspapers.com/image/13671024/" xr:uid="{00000000-0004-0000-0100-00009B050000}"/>
    <hyperlink ref="K2461" r:id="rId1437" display="https://www.nytimes.com/1999/01/15/nyregion/2-students-shot-outside-bronx-high-school.html" xr:uid="{00000000-0004-0000-0100-00009C050000}"/>
    <hyperlink ref="K2462" r:id="rId1438" display="https://www.cbsnews.com/news/2-teens-shot-at-georgia-school/" xr:uid="{00000000-0004-0000-0100-00009D050000}"/>
    <hyperlink ref="K2463" r:id="rId1439" display="https://www.newspapers.com/image/156830644/?terms=student%2Bshot" xr:uid="{00000000-0004-0000-0100-00009E050000}"/>
    <hyperlink ref="K2478" r:id="rId1440" display="http://articles.sun-sentinel.com/1998-09-30/news/9809300032_1_school-cafeteria-school-officials-high-school" xr:uid="{00000000-0004-0000-0100-00009F050000}"/>
    <hyperlink ref="K2484" r:id="rId1441" display="https://www.newspapers.com/image/575248754/?terms=Pocatello%20standoff&amp;match=1" xr:uid="{00000000-0004-0000-0100-0000A0050000}"/>
    <hyperlink ref="K2485" r:id="rId1442" display="https://www.newspapers.com/image/575248754/?terms=Pocatello%20standoff&amp;match=1" xr:uid="{00000000-0004-0000-0100-0000A1050000}"/>
    <hyperlink ref="K2492" r:id="rId1443" display="https://cmuhistory.cmich.edu/?a=d&amp;d=IsabellaCML19980227.1.2&amp;" xr:uid="{00000000-0004-0000-0100-0000A2050000}"/>
    <hyperlink ref="K2494" r:id="rId1444" display="http://www.cnn.com/US/9712/19/school.shooting/" xr:uid="{00000000-0004-0000-0100-0000A3050000}"/>
    <hyperlink ref="K2495" r:id="rId1445" display="https://www.washingtonpost.com/nation/2022/08/28/school-shooting-paducah-kentucky-michael-carneal-parole/" xr:uid="{00000000-0004-0000-0100-0000A4050000}"/>
    <hyperlink ref="K2496" r:id="rId1446" display="https://www.apnews.com/4875a8815b27a22d306a61ab83a97d26" xr:uid="{00000000-0004-0000-0100-0000A5050000}"/>
    <hyperlink ref="K2497" r:id="rId1447" display="https://www.questia.com/newspaper/1G1-57464504/two-students-shot-1-dead-teens-attacked-near-ribault" xr:uid="{00000000-0004-0000-0100-0000A6050000}"/>
    <hyperlink ref="K2500" r:id="rId1448" display="https://www.tampabay.com/archive/1997/10/17/authorities-review-possible-charges-against-boy-s-mother/" xr:uid="{00000000-0004-0000-0100-0000A7050000}"/>
    <hyperlink ref="K2501" r:id="rId1449" display="https://ssristories.org/21-year-old-woman-shoots-herself/" xr:uid="{00000000-0004-0000-0100-0000A8050000}"/>
    <hyperlink ref="K2502" r:id="rId1450" display="http://articles.chicagotribune.com/1997-10-12/news/9710120311_1_fatal-shooting-wallace-high-school-police" xr:uid="{00000000-0004-0000-0100-0000A9050000}"/>
    <hyperlink ref="K2503" r:id="rId1451" display="https://www.newspapers.com/image/455228173/?terms=shot%2Bin%2Bschool%2Bparking%2Blot" xr:uid="{00000000-0004-0000-0100-0000AA050000}"/>
    <hyperlink ref="K2506" r:id="rId1452" display="https://www.newspapers.com/image/295695332/?terms=student%2Bshoots" xr:uid="{00000000-0004-0000-0100-0000AB050000}"/>
    <hyperlink ref="K2507" r:id="rId1453" display="https://www.newspapers.com/image/186768947/?terms=student%2Bshoots" xr:uid="{00000000-0004-0000-0100-0000AC050000}"/>
    <hyperlink ref="K2509" r:id="rId1454" display="http://www.psychceu.com/school_violence/savd.pdf" xr:uid="{00000000-0004-0000-0100-0000AD050000}"/>
    <hyperlink ref="K2512" r:id="rId1455" display="https://m.lasvegassun.com/news/1997/feb/21/rival-gangs-blamed-in-rancho-shooting/" xr:uid="{00000000-0004-0000-0100-0000AE050000}"/>
    <hyperlink ref="K2515" r:id="rId1456" display="https://www.nytimes.com/1997/02/14/nyregion/gunfire-injures-2-students-at-high-schools-in-bronx.html?auth=login-google" xr:uid="{00000000-0004-0000-0100-0000AF050000}"/>
    <hyperlink ref="K2516" r:id="rId1457" display="https://www.nytimes.com/1997/02/14/nyregion/gunfire-injures-2-students-at-high-schools-in-bronx.html?auth=login-google" xr:uid="{00000000-0004-0000-0100-0000B0050000}"/>
    <hyperlink ref="K2520" r:id="rId1458" display="http://www.psychceu.com/school_violence/savd.pdf" xr:uid="{00000000-0004-0000-0100-0000B1050000}"/>
    <hyperlink ref="K2521" r:id="rId1459" display="http://www.psychceu.com/school_violence/savd.pdf" xr:uid="{00000000-0004-0000-0100-0000B2050000}"/>
    <hyperlink ref="K2522" r:id="rId1460" display="https://www.upi.com/Archives/1996/10/10/Teen-charged-in-school-bus-slaying/5274844920000/" xr:uid="{00000000-0004-0000-0100-0000B3050000}"/>
    <hyperlink ref="K2523" r:id="rId1461" display="http://www.psychceu.com/school_violence/savd.pdf" xr:uid="{00000000-0004-0000-0100-0000B4050000}"/>
    <hyperlink ref="K2524" r:id="rId1462" display="http://www.psychceu.com/school_violence/savd.pdf" xr:uid="{00000000-0004-0000-0100-0000B5050000}"/>
    <hyperlink ref="K2527" r:id="rId1463" display="https://www.columbine-angels.com/School_Violence_1995-1996.htm" xr:uid="{00000000-0004-0000-0100-0000B6050000}"/>
    <hyperlink ref="K2528" r:id="rId1464" display="https://pepperbough.com/features/2012/08/17/who-mourns-for-sexy-x/" xr:uid="{00000000-0004-0000-0100-0000B7050000}"/>
    <hyperlink ref="K2529" r:id="rId1465" display="https://www.columbine-angels.com/School_Violence_1995-1996.htm" xr:uid="{00000000-0004-0000-0100-0000B8050000}"/>
    <hyperlink ref="K2530" r:id="rId1466" display="https://www.columbine-angels.com/School_Violence_1995-1996.htm" xr:uid="{00000000-0004-0000-0100-0000B9050000}"/>
    <hyperlink ref="K2544" r:id="rId1467" display="https://www.columbine-angels.com/School_Violence_1995-1996.htm" xr:uid="{00000000-0004-0000-0100-0000BA050000}"/>
    <hyperlink ref="K2548" r:id="rId1468" display="https://www.newspapers.com/image/106718796/?terms=student%2Bshot" xr:uid="{00000000-0004-0000-0100-0000BB050000}"/>
    <hyperlink ref="K2551" r:id="rId1469" display="https://www.columbine-angels.com/School_Violence_1995-1996.htm" xr:uid="{00000000-0004-0000-0100-0000BC050000}"/>
    <hyperlink ref="K2552" r:id="rId1470" display="http://www.columbine-angels.com/School_Violence_1995-1996.htm" xr:uid="{00000000-0004-0000-0100-0000BD050000}"/>
    <hyperlink ref="K2555" r:id="rId1471" display="https://www.detroitnews.com/story/news/local/oakland-county/2021/11/30/school-shootings-michigan-oxford-high-school-history-bath-school-bombing/8812624002/" xr:uid="{00000000-0004-0000-0100-0000BE050000}"/>
    <hyperlink ref="K2556" r:id="rId1472" display="https://www.detroitnews.com/story/news/local/oakland-county/2021/11/30/school-shootings-michigan-oxford-high-school-history-bath-school-bombing/8812624002/" xr:uid="{00000000-0004-0000-0100-0000BF050000}"/>
    <hyperlink ref="K2558" r:id="rId1473" display="https://apnews.com/a07c45ae91ad4f448d560abb24e292f1" xr:uid="{00000000-0004-0000-0100-0000C0050000}"/>
    <hyperlink ref="K2559" r:id="rId1474" display="https://www.presstelegram.com/2015/10/16/javiers-dream-of-helping-people-lives-on-rich-archbold/" xr:uid="{00000000-0004-0000-0100-0000C1050000}"/>
    <hyperlink ref="K2560" r:id="rId1475" display="https://www.washingtonpost.com/archive/local/1995/01/25/student-wounded-in-school-shooting/43b9c1ae-244d-40ed-8bc7-18fec6c338f3/" xr:uid="{00000000-0004-0000-0100-0000C2050000}"/>
    <hyperlink ref="K2561" r:id="rId1476" display="http://articles.latimes.com/1995-01-25/news/mn-24213_1_attitude-problem" xr:uid="{00000000-0004-0000-0100-0000C3050000}"/>
    <hyperlink ref="K2562" r:id="rId1477" display="http://community.seattletimes.nwsource.com/archive/?date=19950118&amp;slug=2100074" xr:uid="{00000000-0004-0000-0100-0000C4050000}"/>
    <hyperlink ref="K2563" r:id="rId1478" display="http://articles.sun-sentinel.com/1995-01-12/news/9501120169_1_high-schools-gun-school-administrators" xr:uid="{00000000-0004-0000-0100-0000C5050000}"/>
    <hyperlink ref="K2565" r:id="rId1479" display="https://www.orlandosentinel.com/news/os-xpm-1994-12-09-9412080916-story.html" xr:uid="{00000000-0004-0000-0100-0000C6050000}"/>
    <hyperlink ref="K2569" r:id="rId1480" display="https://www.sfgate.com/bayarea/article/SAN-LEANDRO-Suspect-named-in-1994-slaying-2596999.php" xr:uid="{00000000-0004-0000-0100-0000C7050000}"/>
    <hyperlink ref="K2570" r:id="rId1481" display="http://articles.latimes.com/1994-11-01/local/me-57381_1_aliso-niguel-high-student" xr:uid="{00000000-0004-0000-0100-0000C8050000}"/>
    <hyperlink ref="K2571" r:id="rId1482" display="http://articles.chicagotribune.com/1994-10-18/news/9410180247_1_female-student-was-shot-christ-hospital-flesh-wound" xr:uid="{00000000-0004-0000-0100-0000C9050000}"/>
    <hyperlink ref="K2573" r:id="rId1483" display="https://www.gazettetimes.com/news/local/a-history-of-violence/article_54ce32a6-d4e3-5d34-8aa6-09d9437a0439.html" xr:uid="{00000000-0004-0000-0100-0000CA050000}"/>
    <hyperlink ref="K2574" r:id="rId1484" display="https://www.newspapers.com/image/159244311/?terms=Hollywood%2BHigh%2BSchool%2Bshooting" xr:uid="{00000000-0004-0000-0100-0000CB050000}"/>
    <hyperlink ref="K2577" r:id="rId1485" display="http://ottumwaradio.com/coffman-get-new-sentence-1994-murder-ottumwa-high-school/" xr:uid="{00000000-0004-0000-0100-0000CC050000}"/>
    <hyperlink ref="K2578" r:id="rId1486" display="https://www.publicsource.org/most-of-pennsylvanias-juvenile-lifers-are-still-awaiting-their-new-day-in-court/" xr:uid="{00000000-0004-0000-0100-0000CD050000}"/>
    <hyperlink ref="K2580" r:id="rId1487" display="https://www.newspapers.com/image/166926358/?terms=Amy%2BGamarello" xr:uid="{00000000-0004-0000-0100-0000CE050000}"/>
    <hyperlink ref="K2585" r:id="rId1488" display="https://www.washingtonpost.com/archive/local/1994/04/20/man-found-slain-at-dc-school/64a705c4-ab7a-43d0-b027-dd0b21ec008b/?utm_term=.21348ca8fd4b" xr:uid="{00000000-0004-0000-0100-0000CF050000}"/>
    <hyperlink ref="K2592" r:id="rId1489" display="http://www.wistv.com/story/23589594/school-shootings-in-south-carolina" xr:uid="{00000000-0004-0000-0100-0000D0050000}"/>
    <hyperlink ref="K2593" r:id="rId1490" display="http://www.columbine-angels.com/School_Violence_1993-1994.htm" xr:uid="{00000000-0004-0000-0100-0000D1050000}"/>
    <hyperlink ref="K2596" r:id="rId1491" display="http://www.goupstate.com/article/NC/19940219/News/605198620/SJ/" xr:uid="{00000000-0004-0000-0100-0000D2050000}"/>
    <hyperlink ref="K2603" r:id="rId1492" display="https://www.newspapers.com/image/219396903/?terms=Kennard%2BHigh%2BSchool%2Bsuicide" xr:uid="{00000000-0004-0000-0100-0000D3050000}"/>
    <hyperlink ref="K2604" r:id="rId1493" display="https://www.newspapers.com/image/159190089/?terms=Los%2BAltos%2BHigh%2BSchool" xr:uid="{00000000-0004-0000-0100-0000D4050000}"/>
    <hyperlink ref="K2605" r:id="rId1494" display="https://www.mlive.com/politics/index.ssf/2013/04/chelsea_school_shooter_gun_con.html" xr:uid="{00000000-0004-0000-0100-0000D5050000}"/>
    <hyperlink ref="K2607" r:id="rId1495" display="https://www.newspapers.com/image/403544801/?terms=Aron%2BGilliam" xr:uid="{00000000-0004-0000-0100-0000D6050000}"/>
    <hyperlink ref="K2608" r:id="rId1496" display="https://www.newspapers.com/image/175645669/?terms=New%2BBritain%2BHigh%2BSchool%2Bshooting" xr:uid="{00000000-0004-0000-0100-0000D7050000}"/>
    <hyperlink ref="K2609" r:id="rId1497" display="http://journaltimes.com/news/former-student-arrested-in-tosa-west-slaying/article_dfb15b1e-986c-5b2b-ba06-76388109b2cf.html" xr:uid="{00000000-0004-0000-0100-0000D8050000}"/>
    <hyperlink ref="K2610" r:id="rId1498" display="https://www.newspapers.com/image/195155455/?terms=Harold%2BPage%2BIII" xr:uid="{00000000-0004-0000-0100-0000D9050000}"/>
    <hyperlink ref="K2611" r:id="rId1499" display="https://www.newspapers.com/image/278601708/?terms=Bay%2BSprings%2BHigh%2BSchool%2Bshooting" xr:uid="{00000000-0004-0000-0100-0000DA050000}"/>
    <hyperlink ref="K2612" r:id="rId1500" display="https://www.newspapers.com/image/179150239/?terms=Richard%2BJefferson%2BMitchell" xr:uid="{00000000-0004-0000-0100-0000DB050000}"/>
    <hyperlink ref="K2613" r:id="rId1501" display="http://articles.courant.com/1995-07-21/news/9507210401_1_latin-king-rival-gang-gang-war" xr:uid="{00000000-0004-0000-0100-0000DC050000}"/>
    <hyperlink ref="K2614" r:id="rId1502" display="https://www.newspapers.com/image/241267382/?terms=Sullivan%2BHigh%2BSchool%2Bshooting" xr:uid="{00000000-0004-0000-0100-0000DD050000}"/>
    <hyperlink ref="K2616" r:id="rId1503" display="https://www.newspapers.com/image/156503737/?terms=Dover%2BHigh%2BSchool%2Bsuicide" xr:uid="{00000000-0004-0000-0100-0000DE050000}"/>
    <hyperlink ref="K2618" r:id="rId1504" display="https://www.newspapers.com/image/276635826/?terms=Weatherless%2BElementary%2BSchool%2Bshooting" xr:uid="{00000000-0004-0000-0100-0000DF050000}"/>
    <hyperlink ref="K2619" r:id="rId1505" display="http://buffalonews.com/1993/09/18/gunman-wounds-4-at-school-kills-self-shooting-takes-place-on-football-field/" xr:uid="{00000000-0004-0000-0100-0000E0050000}"/>
    <hyperlink ref="K2620" r:id="rId1506" display="http://www.mysuburbanlife.com/2011/12/20/philip-powell-who-murdered-hinsdale-teen-barrett-modisette-after-downers-grove-south-high-school-football-game-released-early-from-prison/za3xo73/" xr:uid="{00000000-0004-0000-0100-0000E1050000}"/>
    <hyperlink ref="K2621" r:id="rId1507" display="https://www.newspapers.com/image/241417531/?terms=Roosevelt%2BHigh%2BSchool%2Bshooting" xr:uid="{00000000-0004-0000-0100-0000E2050000}"/>
    <hyperlink ref="K2622" r:id="rId1508" display="https://www.newspapers.com/image/89590422/?terms=%22shot%20high%20school%20football%22&amp;match=1" xr:uid="{00000000-0004-0000-0100-0000E3050000}"/>
    <hyperlink ref="K2624" r:id="rId1509" display="https://www.newspapers.com/image/1005267/?terms=Junction%2BCity%2BHigh%2BSchool%2Bshooting" xr:uid="{00000000-0004-0000-0100-0000E4050000}"/>
    <hyperlink ref="K2625" r:id="rId1510" display="https://www.newspapers.com/image/403198507/?terms=Marcus%2BTaylor%2Bdied" xr:uid="{00000000-0004-0000-0100-0000E5050000}"/>
    <hyperlink ref="K2626" r:id="rId1511" display="https://www.nytimes.com/1993/08/03/nyregion/student-shot-during-class-in-bronx-high-school.html" xr:uid="{00000000-0004-0000-0100-0000E6050000}"/>
    <hyperlink ref="K2628" r:id="rId1512" display="https://www.newspapers.com/image/278618494/?terms=Francis%2BT.%2BNicholls%2BHigh%2BSchool%2Bshooting" xr:uid="{00000000-0004-0000-0100-0000E7050000}"/>
    <hyperlink ref="K2629" r:id="rId1513" display="http://articles.mcall.com/1993-05-25/news/2916043_1_michael-swann-upper-perkiomen-high-school-jason-michael-smith" xr:uid="{00000000-0004-0000-0100-0000E8050000}"/>
    <hyperlink ref="K2631" r:id="rId1514" display="https://people.com/archive/roll-call-of-the-dead-vol-39-no-23/" xr:uid="{00000000-0004-0000-0100-0000E9050000}"/>
    <hyperlink ref="K2633" r:id="rId1515" display="http://www.southcoasttoday.com/article/20150617/NEWS/150619469" xr:uid="{00000000-0004-0000-0100-0000EA050000}"/>
    <hyperlink ref="K2634" r:id="rId1516" display="https://www.newspapers.com/image/384227902/?terms=Vodrick%2BJohnson" xr:uid="{00000000-0004-0000-0100-0000EB050000}"/>
    <hyperlink ref="K2635" r:id="rId1517" display="https://www.newspapers.com/image/141626514/?terms=Sumner%2BHigh%2BSchool" xr:uid="{00000000-0004-0000-0100-0000EC050000}"/>
    <hyperlink ref="K2638" r:id="rId1518" display="https://www.highbeam.com/doc/1P2-8216829.html" xr:uid="{00000000-0004-0000-0100-0000ED050000}"/>
    <hyperlink ref="K2640" r:id="rId1519" display="https://mnmarshallus.genweb.io/people/obituaries/melby-eric-john-1979-1993/" xr:uid="{00000000-0004-0000-0100-0000EE050000}"/>
    <hyperlink ref="K2642" r:id="rId1520" display="https://www.newspapers.com/image/402779742/?terms=North%2BClayton%2BHigh%2BSchool%2Bshooting" xr:uid="{00000000-0004-0000-0100-0000EF050000}"/>
    <hyperlink ref="K2643" r:id="rId1521" display="https://www.newspapers.com/image/752371201/?terms=shot%20at%20school&amp;match=1" xr:uid="{00000000-0004-0000-0100-0000F0050000}"/>
    <hyperlink ref="K2644" r:id="rId1522" display="https://www.newspapers.com/image/752371201/?terms=shot%20at%20school&amp;match=1" xr:uid="{00000000-0004-0000-0100-0000F1050000}"/>
    <hyperlink ref="K2645" r:id="rId1523" display="https://people.com/archive/roll-call-of-the-dead-vol-39-no-23/" xr:uid="{00000000-0004-0000-0100-0000F2050000}"/>
    <hyperlink ref="K2647" r:id="rId1524" display="http://articles.latimes.com/1993-01-29/local/me-2165_1_student-body" xr:uid="{00000000-0004-0000-0100-0000F3050000}"/>
    <hyperlink ref="K2649" r:id="rId1525" display="https://www.newspapers.com/image/238950794/?terms=Norland%2BSenior%2BHigh%2BSchool%2Bshooting" xr:uid="{00000000-0004-0000-0100-0000F4050000}"/>
    <hyperlink ref="K2650" r:id="rId1526" display="https://www.newspapers.com/image/510596731/?terms=shot%20at%20school&amp;match=1" xr:uid="{00000000-0004-0000-0100-0000F5050000}"/>
    <hyperlink ref="K2651" r:id="rId1527" display="https://www.nytimes.com/1993/01/07/nyregion/school-upset-by-shooting-of-teen-ager-during-game.html" xr:uid="{00000000-0004-0000-0100-0000F6050000}"/>
    <hyperlink ref="K2652" r:id="rId1528" display="https://www.newspapers.com/image/257172973/?terms=Virginia%2BWilcox" xr:uid="{00000000-0004-0000-0100-0000F7050000}"/>
    <hyperlink ref="K2653" r:id="rId1529" display="https://www.newspapers.com/image/389807433/" xr:uid="{00000000-0004-0000-0100-0000F8050000}"/>
    <hyperlink ref="K2654" r:id="rId1530" display="https://www.newspapers.com/image/923226972/?terms=school%20shooting%20pennsylvania&amp;match=1" xr:uid="{00000000-0004-0000-0100-0000F9050000}"/>
    <hyperlink ref="K2655" r:id="rId1531" display="https://www.newspapers.com/image/389789093/?terms=laroyal%2Bcrowley" xr:uid="{00000000-0004-0000-0100-0000FA050000}"/>
    <hyperlink ref="K2658" r:id="rId1532" display="https://www.newspapers.com/image/106780083/?terms=Michael%2BJackson%2BJr" xr:uid="{00000000-0004-0000-0100-0000FB050000}"/>
    <hyperlink ref="K2660" r:id="rId1533" display="https://www.newspapers.com/image/389728711/?terms=Willie%2BClayborn" xr:uid="{00000000-0004-0000-0100-0000FC050000}"/>
    <hyperlink ref="K2664" r:id="rId1534" display="https://www.nytimes.com/1992/10/20/nyregion/3-teen-agers-shot-in-bronx-near-a-school.html" xr:uid="{00000000-0004-0000-0100-0000FD050000}"/>
    <hyperlink ref="K2668" r:id="rId1535" display="https://www.newspapers.com/image/384174219/?terms=Hiram%2BJohnson%2BHigh%2BSchool%2Bshooting" xr:uid="{00000000-0004-0000-0100-0000FE050000}"/>
    <hyperlink ref="K2670" r:id="rId1536" display="https://www.detroitnews.com/story/news/local/oakland-county/2021/11/30/school-shootings-michigan-oxford-high-school-history-bath-school-bombing/8812624002/" xr:uid="{00000000-0004-0000-0100-0000FF050000}"/>
    <hyperlink ref="K2672" r:id="rId1537" display="https://www.washingtonpost.com/archive/politics/1992/06/01/9-are-slain-in-dc-area-in-2-days/32b3c46c-27dc-45f4-9f60-14ce403dbad5/" xr:uid="{00000000-0004-0000-0100-000000060000}"/>
    <hyperlink ref="K2673" r:id="rId1538" display="https://www.newspapers.com/image/177465085" xr:uid="{00000000-0004-0000-0100-000001060000}"/>
    <hyperlink ref="K2674" r:id="rId1539" display="https://www.newspapers.com/image/300277708/?terms=Huntsville%2BJunior%2BHigh%2BSchool%2Bshooting" xr:uid="{00000000-0004-0000-0100-000002060000}"/>
    <hyperlink ref="K2675" r:id="rId1540" display="https://www.upi.com/Archives/1992/05/14/Student-opens-fire-in-school/6395705816000/" xr:uid="{00000000-0004-0000-0100-000003060000}"/>
    <hyperlink ref="K2676" r:id="rId1541" display="http://sacramento.cbslocal.com/2012/08/02/state-supreme-court-upholds-death-penalty-for-houston-in-lindhurst-high-rampage/" xr:uid="{00000000-0004-0000-0100-000004060000}"/>
    <hyperlink ref="K2679" r:id="rId1542" display="https://www.nola.com/crime/index.ssf/2017/09/25_years_after_walker_students.html" xr:uid="{00000000-0004-0000-0100-000005060000}"/>
    <hyperlink ref="K2680" r:id="rId1543" display="https://www.newspapers.com/image/296856537/?terms=Hamilton%2BMiddle%2BSchool%2Bshooting" xr:uid="{00000000-0004-0000-0100-000006060000}"/>
    <hyperlink ref="K2681" r:id="rId1544" display="https://www.nytimes.com/1992/02/27/nyregion/2-teen-agers-shot-to-death-in-a-brooklyn-school.html" xr:uid="{00000000-0004-0000-0100-000007060000}"/>
    <hyperlink ref="K2683" r:id="rId1545" display="http://articles.dailypress.com/1992-02-08/news/9202080051_1_place-on-school-property-critical-condition-school-officials" xr:uid="{00000000-0004-0000-0100-000008060000}"/>
    <hyperlink ref="K2684" r:id="rId1546" display="https://newsok.com/article/2384331/city-campuses-close-after-shooting-death-security-searches-stepped-up" xr:uid="{00000000-0004-0000-0100-000009060000}"/>
    <hyperlink ref="K2685" r:id="rId1547" display="https://www.newspapers.com/image/218234824/?terms=Francis%2BW.%2BGregory%2BJunior%2BHigh%2BSchool%2Bshooting" xr:uid="{00000000-0004-0000-0100-00000A060000}"/>
    <hyperlink ref="K2686" r:id="rId1548" display="https://www.newspapers.com/image/218234824/?terms=Francis%2BW.%2BGregory%2BJunior%2BHigh%2BSchool%2Bshooting" xr:uid="{00000000-0004-0000-0100-00000B060000}"/>
    <hyperlink ref="K2689" r:id="rId1549" display="https://www.nytimes.com/1991/11/26/nyregion/16-year-old-is-shot-to-death-in-a-high-school-in-brooklyn.html" xr:uid="{00000000-0004-0000-0100-00000C060000}"/>
    <hyperlink ref="K2690" r:id="rId1550" display="https://www.newspapers.com/image/17145244/?terms=Milby%2BHIgh%2BSchool%2Bshot" xr:uid="{00000000-0004-0000-0100-00000D060000}"/>
    <hyperlink ref="K2693" r:id="rId1551" display="https://www.newspapers.com/image/300241588/?terms=Spring%2BWoods%2BHigh%2BSchool%2Bstudent%2Bshot" xr:uid="{00000000-0004-0000-0100-00000E060000}"/>
    <hyperlink ref="K2694" r:id="rId1552" display="https://www.newspapers.com/image/300231582/?terms=Genevieve%2BSparks%2BElementary%2BSchool" xr:uid="{00000000-0004-0000-0100-00000F060000}"/>
    <hyperlink ref="K2695" r:id="rId1553" display="https://www.newspapers.com/image/191964993/?terms=Woodruff%2BHigh%2BSchool%2Bshooting" xr:uid="{00000000-0004-0000-0100-000010060000}"/>
    <hyperlink ref="K2698" r:id="rId1554" display="https://www.nytimes.com/1991/10/09/nyregion/a-bronx-youth-is-shot-to-death-outside-a-school.html" xr:uid="{00000000-0004-0000-0100-000011060000}"/>
    <hyperlink ref="K2699" r:id="rId1555" display="https://www.newspapers.com/image/176460783/?terms=Dorsey%2BHigh%2BSchool%2Bshooting" xr:uid="{00000000-0004-0000-0100-000012060000}"/>
    <hyperlink ref="K2700" r:id="rId1556" display="https://www.newspapers.com/image/176460783/?terms=Dorsey%2BHigh%2BSchool%2Bshooting" xr:uid="{00000000-0004-0000-0100-000013060000}"/>
    <hyperlink ref="K2703" r:id="rId1557" display="https://www.newspapers.com/image/389496363/?terms=Woodson%2BHigh%2BSchool%2Bshooting" xr:uid="{00000000-0004-0000-0100-000014060000}"/>
    <hyperlink ref="K2704" r:id="rId1558" display="https://www.newspapers.com/image/300249662/?terms=Madison%2BHigh%2BSchool%2Bshooting%2Bhouston" xr:uid="{00000000-0004-0000-0100-000015060000}"/>
    <hyperlink ref="K2705" r:id="rId1559" display="https://www.newspapers.com/image/176991255/?terms=Enterprise%2BMiddle%2BSchool%2Bshot%2Bcompton" xr:uid="{00000000-0004-0000-0100-000016060000}"/>
    <hyperlink ref="K2706" r:id="rId1560" display="https://www.newspapers.com/image/176655612/?terms=Westchester%2BHigh%2BSchool%2Bshooting" xr:uid="{00000000-0004-0000-0100-000017060000}"/>
    <hyperlink ref="K2708" r:id="rId1561" display="https://www.newspapers.com/image/176951271/?terms=Robert%2BA.%2BMillikan%2BJunior%2BHigh%2BSchool%2Bshooting" xr:uid="{00000000-0004-0000-0100-000018060000}"/>
    <hyperlink ref="K2709" r:id="rId1562" display="https://www.newspapers.com/image/424939665/?terms=Coronado%2BMiddle%2BSchool" xr:uid="{00000000-0004-0000-0100-000019060000}"/>
    <hyperlink ref="K2710" r:id="rId1563" display="https://www.newspapers.com/image/289233212/?terms=Franklin%2BAlternative%2BMiddle%2BSchool%2Bshooting" xr:uid="{00000000-0004-0000-0100-00001A060000}"/>
    <hyperlink ref="K2712" r:id="rId1564" display="http://articles.latimes.com/1991-04-25/news/mn-828_1_school-district" xr:uid="{00000000-0004-0000-0100-00001B060000}"/>
    <hyperlink ref="K2714" r:id="rId1565" display="https://www.newspapers.com/image/200149579/?terms=Garinger%2BHigh%2BSchool%2Bshooting" xr:uid="{00000000-0004-0000-0100-00001C060000}"/>
    <hyperlink ref="K2717" r:id="rId1566" display="https://www.newspapers.com/image/216895876/?terms=Booker%2BT.%2BWashington%2BHigh%2BSchool%2Bshooting" xr:uid="{00000000-0004-0000-0100-00001D060000}"/>
    <hyperlink ref="K2721" r:id="rId1567" display="https://www.newspapers.com/image/16849683/?terms=%22shot%20high%20school%20football%22&amp;match=1" xr:uid="{00000000-0004-0000-0100-00001E060000}"/>
    <hyperlink ref="K2722" r:id="rId1568" display="https://www.newspapers.com/image/300370142/?terms=Naaman%2BForest%2BHigh%2BSchool" xr:uid="{00000000-0004-0000-0100-00001F060000}"/>
    <hyperlink ref="K2723" r:id="rId1569" display="https://www.upi.com/Archives/1990/10/29/Teenager-holds-hostages-at-high-school-for-more-than-8-hours/6921657176400/" xr:uid="{00000000-0004-0000-0100-000020060000}"/>
    <hyperlink ref="K2724" r:id="rId1570" display="https://www.columbine-angels.com/School_Violence_1990-1991.htm" xr:uid="{00000000-0004-0000-0100-000021060000}"/>
    <hyperlink ref="K2725" r:id="rId1571" display="https://www.newspapers.com/image/106533912/?terms=shot%2Bat%2Bfootball%2Bgame" xr:uid="{00000000-0004-0000-0100-000022060000}"/>
    <hyperlink ref="K2726" r:id="rId1572" display="https://www.upi.com/Archives/1990/09/11/Three-shot-wounded-in-confrontation-on-school-grounds/4334653025600/" xr:uid="{00000000-0004-0000-0100-000023060000}"/>
    <hyperlink ref="K2728" r:id="rId1573" display="https://www.columbine-angels.com/School_Violence_1990-1991.htm" xr:uid="{00000000-0004-0000-0100-000024060000}"/>
    <hyperlink ref="K2729" r:id="rId1574" display="https://lasvegassun.com/news/1998/jun/20/memories-linger-for-victims-mother/" xr:uid="{00000000-0004-0000-0100-000025060000}"/>
    <hyperlink ref="K2730" r:id="rId1575" display="https://www.newspapers.com/image/400340582/?terms=Myers%2BPark%2BHigh%2BSchool%2Bshooting" xr:uid="{00000000-0004-0000-0100-000026060000}"/>
    <hyperlink ref="K2732" r:id="rId1576" display="https://news.google.com/newspapers?nid=1310&amp;dat=19900521&amp;id=wcJWAAAAIBAJ&amp;sjid=0eoDAAAAIBAJ&amp;pg=6655,5338612," xr:uid="{00000000-0004-0000-0100-000027060000}"/>
    <hyperlink ref="K2733" r:id="rId1577" display="https://www.newspapers.com/image/462261165/?terms=Mount%2BPleasant%2BHigh%2BSchool%2Bshooting" xr:uid="{00000000-0004-0000-0100-000028060000}"/>
    <hyperlink ref="K2734" r:id="rId1578" display="https://www.newspapers.com/image/13852014/?terms=Skyline%2BHigh%2BSchool%2Bshooting" xr:uid="{00000000-0004-0000-0100-000029060000}"/>
    <hyperlink ref="K2735" r:id="rId1579" display="https://www.nytimes.com/1990/03/28/nyregion/a-black-is-shot-in-a-high-school-in-bensonshurst.html" xr:uid="{00000000-0004-0000-0100-00002A060000}"/>
    <hyperlink ref="K2736" r:id="rId1580" display="https://www.newspapers.com/image/101597966/?terms=Taft%2BHigh%2BSchool%2Bshooting" xr:uid="{00000000-0004-0000-0100-00002B060000}"/>
    <hyperlink ref="K2737" r:id="rId1581" display="https://www.newspapers.com/image/100014893/?terms=student%20shot" xr:uid="{00000000-0004-0000-0100-00002C060000}"/>
    <hyperlink ref="K2738" r:id="rId1582" display="https://www.upi.com/Archives/1990/01/16/Two-wounded-in-school-shooting-racial-tensions-blamed/1799632466000/" xr:uid="{00000000-0004-0000-0100-00002D060000}"/>
    <hyperlink ref="K2739" r:id="rId1583" display="https://www.tampabay.com/archive/1990/01/06/boy-12-points-gun-at-self-in-school-yard/" xr:uid="{00000000-0004-0000-0100-00002E060000}"/>
    <hyperlink ref="K2740" r:id="rId1584" display="https://www.newspapers.com/image/192086573/?terms=STUDENT%2BSHOT" xr:uid="{00000000-0004-0000-0100-00002F060000}"/>
    <hyperlink ref="K2741" r:id="rId1585" display="https://www.newspapers.com/image/410785023/?terms=W.%2BW.%2BSamuell%2BHigh%2BSchool" xr:uid="{00000000-0004-0000-0100-000030060000}"/>
    <hyperlink ref="K2742" r:id="rId1586" display="https://www.newspapers.com/image/?spot=18344924&amp;fcfToken=536773687944775732446a58364954534665376d633843482b323739555a426a2f504561364e734836595337333573763434484338504843556571516b5a3172417a344c2b66306a4762733d" xr:uid="{00000000-0004-0000-0100-000031060000}"/>
    <hyperlink ref="K2743" r:id="rId1587" display="https://www.newspapers.com/image/228504621/?terms=student%2Bshot" xr:uid="{00000000-0004-0000-0100-000032060000}"/>
    <hyperlink ref="K2744" r:id="rId1588" display="http://articles.latimes.com/1990-06-15/local/me-106_1_rival-gang-member" xr:uid="{00000000-0004-0000-0100-000033060000}"/>
    <hyperlink ref="K2746" r:id="rId1589" display="https://www.newspapers.com/image/112524612/?terms=Alfred%2BE.%2BSmith%2BHigh%2BSchool" xr:uid="{00000000-0004-0000-0100-000034060000}"/>
    <hyperlink ref="K2747" r:id="rId1590" display="https://www.newspapers.com/image/300055668/?terms=Oliver%2BWendell%2BHolmes%2BMiddle%2BSchool%2Bshooting" xr:uid="{00000000-0004-0000-0100-000035060000}"/>
    <hyperlink ref="K2748" r:id="rId1591" display="https://da.lacounty.gov/media/news/district-attorney-gasc-n-announces-exoneration-man-custody-over-33-years" xr:uid="{00000000-0004-0000-0100-000036060000}"/>
    <hyperlink ref="K2750" r:id="rId1592" location="v=onepage&amp;q=George%20Rogers%20Clark%20High%20School%20hostage%201995&amp;f=false" display="https://books.google.com/books?id=paCVN9ECUc4C&amp;pg=PA10&amp;lpg=PA10&amp;dq=George+Rogers+Clark+High+School+hostage+1995&amp;source=bl&amp;ots=nnsA6mfWJP&amp;sig=Eg_GpHVGdpBSqw57FExYfpEPEGg&amp;hl=en&amp;sa=X&amp;ved=0ahUKEwjEzNrvk_7bAhUIpFkKHYajCvgQ6AEIiQEwEg - v=onepage&amp;q=George%20Rogers%20Clark%20High%20School%20hostage%201995&amp;f=false" xr:uid="{00000000-0004-0000-0100-000037060000}"/>
    <hyperlink ref="K2751" r:id="rId1593" display="https://www.newspapers.com/image/121870781/?terms=student%2Bshot" xr:uid="{00000000-0004-0000-0100-000038060000}"/>
    <hyperlink ref="K2752" r:id="rId1594" display="https://www.newspapers.com/image/129470000/?terms=%22shot%20high%20school%20football%22&amp;match=1" xr:uid="{00000000-0004-0000-0100-000039060000}"/>
    <hyperlink ref="K2755" r:id="rId1595" display="https://www.deseretnews.com/article/34103/OFFICERS-SEEKING-ANSWERS-AFTER-JUNIOR-HIGH-SHOOTING.html" xr:uid="{00000000-0004-0000-0100-00003A060000}"/>
    <hyperlink ref="K2756" r:id="rId1596" display="https://www.newspapers.com/image/285249029/?terms=Rigby%20Junior%20High%20hostage&amp;match=1" xr:uid="{00000000-0004-0000-0100-00003B060000}"/>
    <hyperlink ref="K2761" r:id="rId1597" display="https://www.upi.com/Archives/1988/11/22/High-school-student-shoots-history-teacher-in-face/3742596178000/" xr:uid="{00000000-0004-0000-0100-00003C060000}"/>
    <hyperlink ref="K2762" r:id="rId1598" display="https://www.deseretnews.com/article/34103/OFFICERS-SEEKING-ANSWERS-AFTER-JUNIOR-HIGH-SHOOTING.html" xr:uid="{00000000-0004-0000-0100-00003D060000}"/>
    <hyperlink ref="K2763" r:id="rId1599" display="https://www.newspapers.com/image/177559696/?terms=jacksonville%2Bhigh%2Bschool%2Bshooting" xr:uid="{00000000-0004-0000-0100-00003E060000}"/>
    <hyperlink ref="K2766" r:id="rId1600" display="https://www.newspapers.com/image/200956524/?terms=arilyn%2Bjean%2BLelande" xr:uid="{00000000-0004-0000-0100-00003F060000}"/>
    <hyperlink ref="K2767" r:id="rId1601" display="https://www.newspapers.com/image/378123968/?terms=anita%2Bmoore" xr:uid="{00000000-0004-0000-0100-000040060000}"/>
    <hyperlink ref="K2769" r:id="rId1602" display="https://www.newspapers.com/image/229988989/?terms=J.%2BE.%2BB.%2BStuart%2BJunior%2BHigh%2BSchool%2Bbus%2Bshooting" xr:uid="{00000000-0004-0000-0100-000041060000}"/>
    <hyperlink ref="K2773" r:id="rId1603" display="https://www.newspapers.com/image/299882814/?terms=Lincoln%2BHigh%2BSchool%2Bdallas%2Bpep%2Brally" xr:uid="{00000000-0004-0000-0100-000042060000}"/>
    <hyperlink ref="K2776" r:id="rId1604" display="https://www.newspapers.com/image/69768900/?terms=Dennis%2BRay%2BHepler" xr:uid="{00000000-0004-0000-0100-000043060000}"/>
    <hyperlink ref="K2777" r:id="rId1605" display="https://www.newspapers.com/image/99828797/?terms=student%2Bshot" xr:uid="{00000000-0004-0000-0100-000044060000}"/>
    <hyperlink ref="K2779" r:id="rId1606" display="https://news.google.com/newspapers?id=zWcaAAAAIBAJ&amp;pg=4608,2375219" xr:uid="{00000000-0004-0000-0100-000045060000}"/>
    <hyperlink ref="K2783" r:id="rId1607" display="https://www.newspapers.com/image/145067165/?terms=bridget%2Bisaacs" xr:uid="{00000000-0004-0000-0100-000046060000}"/>
    <hyperlink ref="K2786" r:id="rId1608" display="https://www.newspapers.com/image/388885712/?terms=martin%2Bluther%2Bking%2Bhigh%2Bschool" xr:uid="{00000000-0004-0000-0100-000047060000}"/>
    <hyperlink ref="K2787" r:id="rId1609" display="https://www.newspapers.com/image/363969550/?terms=school%2Bbus%2Bshooting" xr:uid="{00000000-0004-0000-0100-000048060000}"/>
    <hyperlink ref="K2788" r:id="rId1610" display="https://www.newspapers.com/image/67975492/?terms=school%2Bbus%2Bshooting" xr:uid="{00000000-0004-0000-0100-000049060000}"/>
    <hyperlink ref="K2789" r:id="rId1611" display="https://www.newspapers.com/image/99777421/?terms=lessenger" xr:uid="{00000000-0004-0000-0100-00004A060000}"/>
    <hyperlink ref="K2792" r:id="rId1612" display="https://www.newspapers.com/image/399821731/?terms=West%2BEnd%2BChristian%2BElementary%2BSchool" xr:uid="{00000000-0004-0000-0100-00004B060000}"/>
    <hyperlink ref="K2793" r:id="rId1613" display="https://www.newspapers.com/image/364030604/?terms=consuela%2Breed" xr:uid="{00000000-0004-0000-0100-00004C060000}"/>
    <hyperlink ref="K2795" r:id="rId1614" display="https://www.newspapers.com/image/33621001/?terms=crawford%2Bcounty%2Bjoint%2Bvocational" xr:uid="{00000000-0004-0000-0100-00004D060000}"/>
    <hyperlink ref="K2797" r:id="rId1615" display="https://www.newspapers.com/image/169515600/?terms=charles%2Bmincey%2Bridley%2Bhigh%2Bschool" xr:uid="{00000000-0004-0000-0100-00004E060000}"/>
    <hyperlink ref="K2798" r:id="rId1616" display="https://www.newspapers.com/image/6664149/?terms=student%2Bshot" xr:uid="{00000000-0004-0000-0100-00004F060000}"/>
    <hyperlink ref="K2799" r:id="rId1617" display="https://www.newspapers.com/image/406009908/?terms=STUDENT%2BSHOT" xr:uid="{00000000-0004-0000-0100-000050060000}"/>
    <hyperlink ref="K2801" r:id="rId1618" display="https://www.newspapers.com/image/321411477/?terms=student%2Bshoots%2Bdean%2Bcar" xr:uid="{00000000-0004-0000-0100-000051060000}"/>
    <hyperlink ref="K2802" r:id="rId1619" display="https://www.newspapers.com/image/322419384/?terms=MARIA%2BSOLIS" xr:uid="{00000000-0004-0000-0100-000052060000}"/>
    <hyperlink ref="K2803" r:id="rId1620" display="https://www.newspapers.com/image/322900608/?terms=student%2Bshot" xr:uid="{00000000-0004-0000-0100-000053060000}"/>
    <hyperlink ref="K2804" r:id="rId1621" display="https://www.newspapers.com/image/99920647/?terms=STUDENT%2BSHOT" xr:uid="{00000000-0004-0000-0100-000054060000}"/>
    <hyperlink ref="K2806" r:id="rId1622" display="https://www.newspapers.com/image/196275731/?terms=SOUTHWOOD%2BELEMENTARY%2BSCHOOL%2BSHOOTING" xr:uid="{00000000-0004-0000-0100-000055060000}"/>
    <hyperlink ref="K2808" r:id="rId1623" display="http://articles.chicagotribune.com/1987-09-30/news/8703130825_1_second-floor-classroom-shooting-smoking-on-school-grounds" xr:uid="{00000000-0004-0000-0100-000056060000}"/>
    <hyperlink ref="K2809" r:id="rId1624" display="https://www.newspapers.com/image/388845031/?terms=Dale%2BBruck" xr:uid="{00000000-0004-0000-0100-000057060000}"/>
    <hyperlink ref="K2811" r:id="rId1625" display="https://www.newspapers.com/image/174030895/?terms=student%2Bshoots" xr:uid="{00000000-0004-0000-0100-000058060000}"/>
    <hyperlink ref="K2814" r:id="rId1626" display="https://www.upi.com/Archives/1987/04/16/Gunshots-fired-in-a-high-school-gymnasium-killed-a/4536545544000/" xr:uid="{00000000-0004-0000-0100-000059060000}"/>
    <hyperlink ref="K2815" r:id="rId1627" display="https://www.newspapers.com/image/404237062/?terms=Panorama%2BElementary%2BSchool%2Bshooting" xr:uid="{00000000-0004-0000-0100-00005A060000}"/>
    <hyperlink ref="K2816" r:id="rId1628" display="https://www.newspapers.com/image/430983332/?terms=student%2Bshot" xr:uid="{00000000-0004-0000-0100-00005B060000}"/>
    <hyperlink ref="K2817" r:id="rId1629" display="https://www.upi.com/Archives/1987/03/03/Death-of-unsung-hero-allows-classmates-to-escape/3177541746000/" xr:uid="{00000000-0004-0000-0100-00005C060000}"/>
    <hyperlink ref="K2820" r:id="rId1630" display="https://www.newspapers.com/image/203093088/?terms=roger%2Bjoe%2Bedward%2Bjenkins" xr:uid="{00000000-0004-0000-0100-00005D060000}"/>
    <hyperlink ref="K2821" r:id="rId1631" display="https://www.newspapers.com/image/99552670/?terms=redford%2Bhigh%2Bschool" xr:uid="{00000000-0004-0000-0100-00005E060000}"/>
    <hyperlink ref="K2822" r:id="rId1632" display="https://www.newspapers.com/image/229316333/?terms=oscar%2Bmartinez" xr:uid="{00000000-0004-0000-0100-00005F060000}"/>
    <hyperlink ref="K2823" r:id="rId1633" display="https://www.nytimes.com/1986/12/06/us/failing-grade-is-linked-to-shooting-of-teacher.html" xr:uid="{00000000-0004-0000-0100-000060060000}"/>
    <hyperlink ref="K2824" r:id="rId1634" display="https://www.newspapers.com/image/195486648/?terms=South%2BOak%2BCliff%2BHigh%2BSchool%2Bshooting" xr:uid="{00000000-0004-0000-0100-000061060000}"/>
    <hyperlink ref="K2825" r:id="rId1635" display="https://www.newspapers.com/image/64897451/?terms=Monrovia%2BHigh%2BSchool%2Bshooting" xr:uid="{00000000-0004-0000-0100-000062060000}"/>
    <hyperlink ref="K2826" r:id="rId1636" display="https://lawandcrime.com/crime/f-ing-with-her-for-too-long-woman-who-once-threatened-to-kill-her-teacher-now-charged-with-murdering-her-boss/" xr:uid="{00000000-0004-0000-0100-000063060000}"/>
    <hyperlink ref="K2827" r:id="rId1637" display="https://www.newspapers.com/image/71348642/?terms=Benicia%2BHigh%2BSchool%2Bshooting" xr:uid="{00000000-0004-0000-0100-000064060000}"/>
    <hyperlink ref="K2828" r:id="rId1638" display="https://www.newspapers.com/image/404657287/?terms=Fairfax%2BHigh%2BSchool%2Bshooting" xr:uid="{00000000-0004-0000-0100-000065060000}"/>
    <hyperlink ref="K2829" r:id="rId1639" display="https://www.newspapers.com/image/321065578/?terms=KERRY%2BDICKENS" xr:uid="{00000000-0004-0000-0100-000066060000}"/>
    <hyperlink ref="K2831" r:id="rId1640" display="https://www.newspapers.com/image/399571341/?terms=tammy%2Bfowler%2Bcarver" xr:uid="{00000000-0004-0000-0100-000067060000}"/>
    <hyperlink ref="K2832" r:id="rId1641" display="https://www.upi.com/Archives/1986/05/09/A-17-year-old-student-opened-fire-with-a-pistol-in/5107515995200/" xr:uid="{00000000-0004-0000-0100-000068060000}"/>
    <hyperlink ref="K2833" r:id="rId1642" display="https://www.upi.com/Archives/1986/05/07/Official-says-teenage-hostage-taker-unhappy-with-life/5055515822400/" xr:uid="{00000000-0004-0000-0100-000069060000}"/>
    <hyperlink ref="K2834" r:id="rId1643" display="http://articles.chicagotribune.com/1986-05-01/news/8601310677_1_science-class-elliott-student" xr:uid="{00000000-0004-0000-0100-00006A060000}"/>
    <hyperlink ref="K2835" r:id="rId1644" display="https://www.newspapers.com/image/321178464/?terms=McCauley%2BCharles%2BDrew%2BMiddle%2BSchool" xr:uid="{00000000-0004-0000-0100-00006B060000}"/>
    <hyperlink ref="K2836" r:id="rId1645" display="http://articles.chicagotribune.com/1986-03-07/news/8601170427_1_second-teacher-third-period-classes-cap-gun" xr:uid="{00000000-0004-0000-0100-00006C060000}"/>
    <hyperlink ref="K2837" r:id="rId1646" display="https://www.newspapers.com/image/216501029/?terms=Boyet%2BJunior%2BHigh%2BSchool%2Bshooting" xr:uid="{00000000-0004-0000-0100-00006D060000}"/>
    <hyperlink ref="K2838" r:id="rId1647" display="https://www.newspapers.com/image/377738432/?terms=Lake%2BClifton%2BHigh%2BSchool%2Bshooting" xr:uid="{00000000-0004-0000-0100-00006E060000}"/>
    <hyperlink ref="K2839" r:id="rId1648" display="https://www.newspapers.com/image/401857837/?terms=Vanguard%2BJunior%2BHigh%2BSchool%2Bshooting" xr:uid="{00000000-0004-0000-0100-00006F060000}"/>
    <hyperlink ref="K2840" r:id="rId1649" display="https://www.newspapers.com/image/337579716/?terms=David%2BMancuso" xr:uid="{00000000-0004-0000-0100-000070060000}"/>
    <hyperlink ref="K2842" r:id="rId1650" display="https://www.newspapers.com/image/182776909/?terms=Archbishop%2BRyan%2BHigh%2BSchool%2Bfor%2Bboys%2Bshooting" xr:uid="{00000000-0004-0000-0100-000071060000}"/>
    <hyperlink ref="K2844" r:id="rId1651" display="https://people.com/archive/a-16-year-old-alabama-boy-points-a-gun-shoots-a-friend-and-kills-himself-in-remorse-vol-25-no-2/" xr:uid="{00000000-0004-0000-0100-000072060000}"/>
    <hyperlink ref="K2845" r:id="rId1652" display="http://www.apnewsarchive.com/1985/Distraught-Over-Losing-Boyfriend-Girl-Kills-Two-Then-Herself/id-075d33aa6600d2e6b30d969ba3edaf0d" xr:uid="{00000000-0004-0000-0100-000073060000}"/>
    <hyperlink ref="K2846" r:id="rId1653" display="https://www.newspapers.com/image/292865629/?terms=Southern%2BHills%2BJoint%2BVocational%2BHigh%2BSchool%2Bshooting" xr:uid="{00000000-0004-0000-0100-000074060000}"/>
    <hyperlink ref="K2847" r:id="rId1654" display="https://www.upi.com/Archives/1985/10/18/A-gunman-stepped-out-of-a-car-and-sprayed/5334498456000/" xr:uid="{00000000-0004-0000-0100-000075060000}"/>
    <hyperlink ref="K2848" r:id="rId1655" display="https://www.newspapers.com/image/372547711/?terms=Lake%2BClifton%2BHigh%2BSchool%2Bshooting" xr:uid="{00000000-0004-0000-0100-000076060000}"/>
    <hyperlink ref="K2849" r:id="rId1656" display="https://www.newspapers.com/image/395559841/?terms=TROTWOOD%2BMADISON%2BSCHOOL%2BSHOOTING" xr:uid="{00000000-0004-0000-0100-000077060000}"/>
    <hyperlink ref="K2851" r:id="rId1657" display="https://www.newspapers.com/image/310187745/?terms=Wheatley%2BHigh%2BSchool%2Bshooting" xr:uid="{00000000-0004-0000-0100-000078060000}"/>
    <hyperlink ref="K2852" r:id="rId1658" display="https://www.apnews.com/2230ba54081db004aff5288eb8885c96" xr:uid="{00000000-0004-0000-0100-000079060000}"/>
    <hyperlink ref="K2854" r:id="rId1659" display="https://whnt.com/news/decatur/morgan-county-sheriffs-deputy-remembered-for-giving-life-to-prevent-possible-1985-school-shooting/" xr:uid="{00000000-0004-0000-0100-00007A060000}"/>
    <hyperlink ref="K2855" r:id="rId1660" display="https://www.newspapers.com/image/320585636/?terms=school%2Bshooting" xr:uid="{00000000-0004-0000-0100-00007B060000}"/>
    <hyperlink ref="K2856" r:id="rId1661" display="https://www.upi.com/Archives/1985/04/19/A-high-school-senior-burst-into-a-school-office/9347482734800/" xr:uid="{00000000-0004-0000-0100-00007C060000}"/>
    <hyperlink ref="K2858" r:id="rId1662" display="https://www.newspapers.com/image/245510114/?terms=Prince%2BTechnical%2BHigh%2BSchool" xr:uid="{00000000-0004-0000-0100-00007D060000}"/>
    <hyperlink ref="K2859" r:id="rId1663" display="https://www.newspapers.com/image/437414203/?terms=school%2Bshooting" xr:uid="{00000000-0004-0000-0100-00007E060000}"/>
    <hyperlink ref="K2862" r:id="rId1664" display="https://www.newspapers.com/image/140853530" xr:uid="{00000000-0004-0000-0100-00007F060000}"/>
    <hyperlink ref="K2864" r:id="rId1665" display="https://www.nytimes.com/1994/11/10/nyregion/student-is-shot-at-a-high-school-in-new-haven.html" xr:uid="{00000000-0004-0000-0100-000080060000}"/>
    <hyperlink ref="K2866" r:id="rId1666" display="https://www.newspapers.com/image/190761964/?terms=teacher%2Bshot" xr:uid="{00000000-0004-0000-0100-000081060000}"/>
    <hyperlink ref="K2870" r:id="rId1667" display="https://www.newspapers.com/image/426484373/?terms=student%2Bshot" xr:uid="{00000000-0004-0000-0100-000082060000}"/>
    <hyperlink ref="K2871" r:id="rId1668" display="https://www.newspapers.com/newspage/5937341/" xr:uid="{00000000-0004-0000-0100-000083060000}"/>
    <hyperlink ref="K2872" r:id="rId1669" display="https://www.newspapers.com/image/218042406/?terms=student%2Bshot" xr:uid="{00000000-0004-0000-0100-000084060000}"/>
    <hyperlink ref="K2873" r:id="rId1670" display="https://www.newspapers.com/image/217311653/?terms=student%2Bshot" xr:uid="{00000000-0004-0000-0100-000085060000}"/>
    <hyperlink ref="K2874" r:id="rId1671" display="https://www.newspapers.com/image/99155324/?terms=student%2Bshot" xr:uid="{00000000-0004-0000-0100-000086060000}"/>
    <hyperlink ref="K2875" r:id="rId1672" display="https://www.newspapers.com/image/153645072/?terms=michael%2Bbrody" xr:uid="{00000000-0004-0000-0100-000087060000}"/>
    <hyperlink ref="K2876" r:id="rId1673" display="https://www.newspapers.com/image/368938109/?terms=Norco%2BHigh%2BSchool%2Bshooting" xr:uid="{00000000-0004-0000-0100-000088060000}"/>
    <hyperlink ref="K2879" r:id="rId1674" display="https://www.newspapers.com/image/240845256/?terms=STUDENT%2BSHOOTS" xr:uid="{00000000-0004-0000-0100-000089060000}"/>
    <hyperlink ref="K2880" r:id="rId1675" display="https://www.newspapers.com/image/337840295/?terms=STUDENT%2BSHOOTS" xr:uid="{00000000-0004-0000-0100-00008A060000}"/>
    <hyperlink ref="K2881" r:id="rId1676" display="https://www.newspapers.com/newspage/99072089/" xr:uid="{00000000-0004-0000-0100-00008B060000}"/>
    <hyperlink ref="K2882" r:id="rId1677" display="https://www.newspapers.com/image/216585063/?terms=student%2Bshot" xr:uid="{00000000-0004-0000-0100-00008C060000}"/>
    <hyperlink ref="K2884" r:id="rId1678" display="https://www.newspapers.com/image/439511158/?terms=sharpstown%2Bhigh%2Bschool%2Bteacher" xr:uid="{00000000-0004-0000-0100-00008D060000}"/>
    <hyperlink ref="K2885" r:id="rId1679" display="https://www.newspapers.com/image/109675401/?terms=student%2Bshot" xr:uid="{00000000-0004-0000-0100-00008E060000}"/>
    <hyperlink ref="K2887" r:id="rId1680" display="https://news.google.com/newspapers?id=uSEVAAAAIBAJ&amp;sjid=UwYEAAAAIBAJ&amp;pg=3636,1012288&amp;dq=" xr:uid="{00000000-0004-0000-0100-00008F060000}"/>
    <hyperlink ref="K2888" r:id="rId1681" display="https://www.newspapers.com/image/178928817/?terms=student%2Bshot" xr:uid="{00000000-0004-0000-0100-000090060000}"/>
    <hyperlink ref="K2890" r:id="rId1682" display="https://www.newspapers.com/image/388094016/?terms=school%2Bshooting" xr:uid="{00000000-0004-0000-0100-000091060000}"/>
    <hyperlink ref="K2892" r:id="rId1683" display="https://www.newspapers.com/image/371003589/?terms=student%2Bshot&amp;match=10" xr:uid="{00000000-0004-0000-0100-000092060000}"/>
    <hyperlink ref="K2894" r:id="rId1684" display="https://www.newspapers.com/image/379323248/?terms=temple%2Bhigh%2Bschool%2Bshooting" xr:uid="{00000000-0004-0000-0100-000093060000}"/>
    <hyperlink ref="K2895" r:id="rId1685" display="https://www.newspapers.com/image/369822289" xr:uid="{00000000-0004-0000-0100-000094060000}"/>
    <hyperlink ref="K2896" r:id="rId1686" display="https://www.newspapers.com/image/97839646" xr:uid="{00000000-0004-0000-0100-000095060000}"/>
    <hyperlink ref="K2898" r:id="rId1687" display="https://www.newspapers.com/image/89740743/?terms=student%2Bshot" xr:uid="{00000000-0004-0000-0100-000096060000}"/>
    <hyperlink ref="K2899" r:id="rId1688" display="https://www.newspapers.com/image/296835492/?terms=mansfield%2Bsenior%2Bhigh%2Bschool" xr:uid="{00000000-0004-0000-0100-000097060000}"/>
    <hyperlink ref="K2901" r:id="rId1689" display="https://lakehighlands.advocatemag.com/2014/03/history-shooting-lake-highlands-cafeteria-worker-remembered/" xr:uid="{00000000-0004-0000-0100-000098060000}"/>
    <hyperlink ref="K2902" r:id="rId1690" display="https://www.nytimes.com/1983/05/17/nyregion/hostages-at-li-school-are-freed-and-gunman-then-kills-himself.html" xr:uid="{00000000-0004-0000-0100-000099060000}"/>
    <hyperlink ref="K2903" r:id="rId1691" display="https://www.newspapers.com/image/139911306/?terms=student%2Bshot" xr:uid="{00000000-0004-0000-0100-00009A060000}"/>
    <hyperlink ref="K2904" r:id="rId1692" display="https://www.newspapers.com/image/277257866/?terms=Santa%2BMaria%2BInCornata-Santa%2BLucia%2BSchool%2Bshooting" xr:uid="{00000000-0004-0000-0100-00009B060000}"/>
    <hyperlink ref="K2905" r:id="rId1693" display="https://www.newspapers.com/image/157419087/?terms=student%2Bshot" xr:uid="{00000000-0004-0000-0100-00009C060000}"/>
    <hyperlink ref="K2906" r:id="rId1694" display="https://www.newspapers.com/image/112306526/?terms=troy%2Bhale" xr:uid="{00000000-0004-0000-0100-00009D060000}"/>
    <hyperlink ref="K2907" r:id="rId1695" display="https://www.newspapers.com/image/227592168/?terms=student%2Bshoots" xr:uid="{00000000-0004-0000-0100-00009E060000}"/>
    <hyperlink ref="K2909" r:id="rId1696" display="https://www.newspapers.com/image/372294245/?terms=lemmel%2Bmiddle%2Bschool" xr:uid="{00000000-0004-0000-0100-00009F060000}"/>
    <hyperlink ref="K2916" r:id="rId1697" display="https://www.newspapers.com/image/397000389/?terms=student%2Bshot" xr:uid="{00000000-0004-0000-0100-0000A0060000}"/>
    <hyperlink ref="K2917" r:id="rId1698" display="https://www.newspapers.com/image/356116122/?terms=STUDENT%2BSHOOTS" xr:uid="{00000000-0004-0000-0100-0000A1060000}"/>
    <hyperlink ref="K2918" r:id="rId1699" display="https://www.newspapers.com/image/365939621/?terms=Lake%2BBraddock%2BSecondary%2BSchool%2Bshooting" xr:uid="{00000000-0004-0000-0100-0000A2060000}"/>
    <hyperlink ref="K2919" r:id="rId1700" display="https://www.newspapers.com/image/283184637/?terms=student%2Bshot" xr:uid="{00000000-0004-0000-0100-0000A3060000}"/>
    <hyperlink ref="K2921" r:id="rId1701" display="https://www.newspapers.com/image/399546733/?terms=student%2Bshot&amp;match=3" xr:uid="{00000000-0004-0000-0100-0000A4060000}"/>
    <hyperlink ref="K2922" r:id="rId1702" display="https://www.newspapers.com/image/377444331/?terms=TEACHER%2BSHOT" xr:uid="{00000000-0004-0000-0100-0000A5060000}"/>
    <hyperlink ref="K2925" r:id="rId1703" display="https://www.newspapers.com/image/155231508/?terms=STUDENT%2BSHOOTS" xr:uid="{00000000-0004-0000-0100-0000A6060000}"/>
    <hyperlink ref="K2926" r:id="rId1704" display="https://www.newspapers.com/image/199055882/?terms=STUDENT%2BSHOOTS" xr:uid="{00000000-0004-0000-0100-0000A7060000}"/>
    <hyperlink ref="K2927" r:id="rId1705" display="https://www.newspapers.com/image/305864381/?terms=student%2Bshot" xr:uid="{00000000-0004-0000-0100-0000A8060000}"/>
    <hyperlink ref="K2929" r:id="rId1706" display="https://www.newspapers.com/image/279068651/?terms=teacher%2Bshot" xr:uid="{00000000-0004-0000-0100-0000A9060000}"/>
    <hyperlink ref="K2930" r:id="rId1707" display="https://www.nytimes.com/1981/12/24/nyregion/wrong-kid-is-fatally-shot-in-fight-at-brooklyn-school.html" xr:uid="{00000000-0004-0000-0100-0000AA060000}"/>
    <hyperlink ref="K2931" r:id="rId1708" display="https://www.newspapers.com/image/209382299/?terms=student%2BshoT" xr:uid="{00000000-0004-0000-0100-0000AB060000}"/>
    <hyperlink ref="K2932" r:id="rId1709" display="https://www.nytimes.com/1981/12/24/nyregion/wrong-kid-is-fatally-shot-in-fight-at-brooklyn-school.html" xr:uid="{00000000-0004-0000-0100-0000AC060000}"/>
    <hyperlink ref="K2934" r:id="rId1710" display="https://www.newspapers.com/image/371656005" xr:uid="{00000000-0004-0000-0100-0000AD060000}"/>
    <hyperlink ref="K2935" r:id="rId1711" display="https://www.newspapers.com/image/130082201/?terms=student%2Bshoots" xr:uid="{00000000-0004-0000-0100-0000AE060000}"/>
    <hyperlink ref="K2937" r:id="rId1712" display="https://www.newspapers.com/image/174012189/?terms=William%2BLongstreth%2BElementary%2BSchool%2Bshooting" xr:uid="{00000000-0004-0000-0100-0000AF060000}"/>
    <hyperlink ref="K2938" r:id="rId1713" display="https://www.newspapers.com/image/216284765/?terms=new%2BIberia%2Bteacher%2Bshot" xr:uid="{00000000-0004-0000-0100-0000B0060000}"/>
    <hyperlink ref="K2939" r:id="rId1714" display="https://www.newspapers.com/image/278826646/?terms=student%2Bshot" xr:uid="{00000000-0004-0000-0100-0000B1060000}"/>
    <hyperlink ref="K2941" r:id="rId1715" display="https://www.newspapers.com/image/235456423/?terms=dillard%2Bhigh%2Bschool%2Bshooting" xr:uid="{00000000-0004-0000-0100-0000B2060000}"/>
    <hyperlink ref="K2942" r:id="rId1716" display="https://www.newspapers.com/image/312662676/?terms=student%2Bshot" xr:uid="{00000000-0004-0000-0100-0000B3060000}"/>
    <hyperlink ref="K2943" r:id="rId1717" display="https://www.newspapers.com/image/378838711/?terms=Manuel%2BArts%2BHigh%2BSchool%2Bshooting" xr:uid="{00000000-0004-0000-0100-0000B4060000}"/>
    <hyperlink ref="K2945" r:id="rId1718" display="https://www.newspapers.com/image/377747566/?terms=student%2Bshot" xr:uid="{00000000-0004-0000-0100-0000B5060000}"/>
    <hyperlink ref="K2946" r:id="rId1719" display="https://www.upi.com/Archives/1981/01/21/A-science-teacher-was-shot-and-wounded-Wednesday-by/6947348901200/" xr:uid="{00000000-0004-0000-0100-0000B6060000}"/>
    <hyperlink ref="K2948" r:id="rId1720" display="https://www.newspapers.com/image/262419526/?terms=Parker%2BHigh%2BSchool%2Bshooting%2Bbirmingham" xr:uid="{00000000-0004-0000-0100-0000B7060000}"/>
    <hyperlink ref="K2950" r:id="rId1721" display="https://www.newspapers.com/newspage/106527312/" xr:uid="{00000000-0004-0000-0100-0000B8060000}"/>
    <hyperlink ref="K2951" r:id="rId1722" display="https://www.newspapers.com/image/266962735/?terms=Central%2BHigh%2BSchool%2Btuscaloosa%2Bshooting" xr:uid="{00000000-0004-0000-0100-0000B9060000}"/>
    <hyperlink ref="K2952" r:id="rId1723" display="https://www.newspapers.com/image/242933436/?terms=student%2Bshot" xr:uid="{00000000-0004-0000-0100-0000BA060000}"/>
    <hyperlink ref="K2953" r:id="rId1724" display="https://www.newspapers.com/image/265350967/?terms=marian%2Bgreen" xr:uid="{00000000-0004-0000-0100-0000BB060000}"/>
    <hyperlink ref="K2954" r:id="rId1725" display="https://www.washingtonpost.com/archive/local/1980/09/11/spingarn-high-student-fatally-shot-at-school-assembly/92b6d5ba-12ec-406d-9b40-92cbc30665c0/?utm_term=.a461da45a849" xr:uid="{00000000-0004-0000-0100-0000BC060000}"/>
    <hyperlink ref="K2955" r:id="rId1726" display="https://www.newspapers.com/image/437154147/?terms=jim%2BScherny" xr:uid="{00000000-0004-0000-0100-0000BD060000}"/>
    <hyperlink ref="K2956" r:id="rId1727" display="https://www.newspapers.com/image/63246339/?terms=Whittier%2BHigh%2BSchool%2Bshooting" xr:uid="{00000000-0004-0000-0100-0000BE060000}"/>
    <hyperlink ref="K2957" r:id="rId1728" display="https://www.newspapers.com/image/335123478/?terms=student%2Bshoots%2Bself" xr:uid="{00000000-0004-0000-0100-0000BF060000}"/>
    <hyperlink ref="K2959" r:id="rId1729" display="https://www.newspapers.com/image/281071758/?terms=Capeville%2BElementary%2BSchool%2Bshooting" xr:uid="{00000000-0004-0000-0100-0000C0060000}"/>
    <hyperlink ref="K2960" r:id="rId1730" display="https://www.newspapers.com/image/377692610/?terms=Frederick%2BDouglass%2BSenior%2BHigh%2BSchool%2Bshooting" xr:uid="{00000000-0004-0000-0100-0000C1060000}"/>
    <hyperlink ref="K2962" r:id="rId1731" display="https://www.newspapers.com/image/318405620/?terms=sandra%2Bviser%2Bmccomb" xr:uid="{00000000-0004-0000-0100-0000C2060000}"/>
    <hyperlink ref="K2963" r:id="rId1732" display="https://www.newspapers.com/image/107593168/?terms=DANIEL%2BPEREZ%2BARSENAL%2BTECHNICAL%2BHIGH%2BSCHOOL" xr:uid="{00000000-0004-0000-0100-0000C3060000}"/>
    <hyperlink ref="K2964" r:id="rId1733" display="https://www.newspapers.com/image/217265072/?terms=10-year%2Bold%2Bboy%2Baccidentally%2Bshot" xr:uid="{00000000-0004-0000-0100-0000C4060000}"/>
    <hyperlink ref="K2965" r:id="rId1734" display="https://www.washingtonpost.com/archive/local/1980/02/02/proving-gun-is-real-2nd-grader-at-langdon-school-is-shot/f83c3b73-ed9d-4a79-a529-984a01675142/?noredirect=on&amp;utm_term=.d238a08a83ec" xr:uid="{00000000-0004-0000-0100-0000C5060000}"/>
    <hyperlink ref="K2966" r:id="rId1735" display="https://www.newspapers.com/image/234200567/?terms=student%2Bwho%2Bshot%2Bself" xr:uid="{00000000-0004-0000-0100-0000C6060000}"/>
    <hyperlink ref="K2968" r:id="rId1736" display="https://www.newspapers.com/image/139639371/?terms=school%2Bshooting" xr:uid="{00000000-0004-0000-0100-0000C7060000}"/>
    <hyperlink ref="K2969" r:id="rId1737" display="https://www.newspapers.com/image/281107557/?terms=eastern%2Bhigh%2Bschool%2Bshooting%2Bbaltimore" xr:uid="{00000000-0004-0000-0100-0000C8060000}"/>
    <hyperlink ref="K2971" r:id="rId1738" display="https://www.newspapers.com/image/107586036/?terms=school%2Bshooting" xr:uid="{00000000-0004-0000-0100-0000C9060000}"/>
    <hyperlink ref="K2972" r:id="rId1739" display="https://www.newspapers.com/image/307812073/?terms=school%2Bshooting" xr:uid="{00000000-0004-0000-0100-0000CA060000}"/>
    <hyperlink ref="K2975" r:id="rId1740" display="https://www.newspapers.com/image/362214425/?terms=school%2Bshooting" xr:uid="{00000000-0004-0000-0100-0000CB060000}"/>
    <hyperlink ref="K2976" r:id="rId1741" display="https://www.newspapers.com/image/407944749/?terms=school%2Bshooting" xr:uid="{00000000-0004-0000-0100-0000CC060000}"/>
    <hyperlink ref="K2977" r:id="rId1742" display="https://www.newspapers.com/image/273435847/?terms=Wisconsin%2BLutheran%2BHigh%2BSchool%2Bjanitor%2Bshot%2Brocks" xr:uid="{00000000-0004-0000-0100-0000CD060000}"/>
    <hyperlink ref="K2983" r:id="rId1743" display="https://www.newspapers.com/image/396100647/?terms=school%2Bshooting" xr:uid="{00000000-0004-0000-0100-0000CE060000}"/>
    <hyperlink ref="K2984" r:id="rId1744" display="https://stltoday.newspapers.com/clip/7051030/3_wounded_in_university_city_high/" xr:uid="{00000000-0004-0000-0100-0000CF060000}"/>
    <hyperlink ref="K2985" r:id="rId1745" display="https://www.newspapers.com/newspage/107532734/" xr:uid="{00000000-0004-0000-0100-0000D0060000}"/>
    <hyperlink ref="K2986" r:id="rId1746" display="https://www.newspapers.com/image/72988843/?terms=Weymouth%2BSouth%2BHigh%2BSchool%2Bshooting" xr:uid="{00000000-0004-0000-0100-0000D1060000}"/>
    <hyperlink ref="K2987" r:id="rId1747" display="https://www.newspapers.com/image/160873897/?terms=Adams%2BElementary%2BSchool%2Bshooting" xr:uid="{00000000-0004-0000-0100-0000D2060000}"/>
    <hyperlink ref="K2988" r:id="rId1748" display="https://www.newspapers.com/image/178054448/?terms=school%2Bshooting" xr:uid="{00000000-0004-0000-0100-0000D3060000}"/>
    <hyperlink ref="K2990" r:id="rId1749" display="https://www.newspapers.com/image/385395737/?terms=Ridgewood%2BHigh%2BSchool%2Bdance" xr:uid="{00000000-0004-0000-0100-0000D4060000}"/>
    <hyperlink ref="K2992" r:id="rId1750" display="https://www.newspapers.com/image/98660556/?terms=school%2Bshooting" xr:uid="{00000000-0004-0000-0100-0000D5060000}"/>
    <hyperlink ref="K2993" r:id="rId1751" display="https://www.newspapers.com/image/111103679/?terms=school%2Bshooting" xr:uid="{00000000-0004-0000-0100-0000D6060000}"/>
    <hyperlink ref="K2994" r:id="rId1752" display="https://www.newspapers.com/image/295196725/" xr:uid="{00000000-0004-0000-0100-0000D7060000}"/>
    <hyperlink ref="K2995" r:id="rId1753" display="https://www.newspapers.com/newspage/207607604/" xr:uid="{00000000-0004-0000-0100-0000D8060000}"/>
    <hyperlink ref="K2996" r:id="rId1754" display="https://www.wvgazettemail.com/news/cops_and_courts/before-school-shooting-became-a-common-term-junior-high-killing/article_6db5ead9-22c2-5c2c-8b56-32a110e4df26.html" xr:uid="{00000000-0004-0000-0100-0000D9060000}"/>
    <hyperlink ref="K2997" r:id="rId1755" display="https://news.google.com/newspapers?id=xeUrAAAAIBAJ&amp;pg=1382,878132" xr:uid="{00000000-0004-0000-0100-0000DA060000}"/>
    <hyperlink ref="K2998" r:id="rId1756" display="https://www.newspapers.com/image/342698296/?terms=school%2Bshooting" xr:uid="{00000000-0004-0000-0100-0000DB060000}"/>
    <hyperlink ref="K2999" r:id="rId1757" display="https://www.newspapers.com/image/303108537/?terms=school%2Bshooting" xr:uid="{00000000-0004-0000-0100-0000DC060000}"/>
    <hyperlink ref="K3000" r:id="rId1758" display="https://www.newspapers.com/image/295122036/?terms=school%2Bshooting" xr:uid="{00000000-0004-0000-0100-0000DD060000}"/>
    <hyperlink ref="K3001" r:id="rId1759" display="https://www.newspapers.com/image/139488488/?terms=school%2Bshooting" xr:uid="{00000000-0004-0000-0100-0000DE060000}"/>
    <hyperlink ref="K3002" r:id="rId1760" display="https://www.newspapers.com/image/139128319/?terms=school%2Bshooting" xr:uid="{00000000-0004-0000-0100-0000DF060000}"/>
    <hyperlink ref="K3003" r:id="rId1761" display="https://www.newspapers.com/image/86275915/?terms=school%2Bshooting" xr:uid="{00000000-0004-0000-0100-0000E0060000}"/>
    <hyperlink ref="K3004" r:id="rId1762" display="https://www.newspapers.com/image/131852835/?terms=school%2Bshooting" xr:uid="{00000000-0004-0000-0100-0000E1060000}"/>
    <hyperlink ref="K3005" r:id="rId1763" display="https://www.newspapers.com/image/124954684/?terms=school%2Bshooting" xr:uid="{00000000-0004-0000-0100-0000E2060000}"/>
    <hyperlink ref="K3006" r:id="rId1764" display="https://www.newspapers.com/image/112439487/?terms=school%2Bshooting" xr:uid="{00000000-0004-0000-0100-0000E3060000}"/>
    <hyperlink ref="K3008" r:id="rId1765" display="https://www.newspapers.com/image/347216054/?terms=school%2Bshooting" xr:uid="{00000000-0004-0000-0100-0000E4060000}"/>
    <hyperlink ref="K3009" r:id="rId1766" display="https://www.newspapers.com/image/26422860/?terms=school%2Bshooting" xr:uid="{00000000-0004-0000-0100-0000E5060000}"/>
    <hyperlink ref="K3010" r:id="rId1767" display="https://www.newspapers.com/image/29839915/?terms=school%2Bshooting" xr:uid="{00000000-0004-0000-0100-0000E6060000}"/>
    <hyperlink ref="K3011" r:id="rId1768" display="https://www.newspapers.com/image/139488488/?terms=school%2Bshooting" xr:uid="{00000000-0004-0000-0100-0000E7060000}"/>
    <hyperlink ref="K3012" r:id="rId1769" display="https://www.newspapers.com/image/127972205/?terms=school%2Bshooting" xr:uid="{00000000-0004-0000-0100-0000E8060000}"/>
    <hyperlink ref="K3013" r:id="rId1770" display="https://www.newspapers.com/image/18233056/?terms=Old%2BMain%2BEisenhower%2BHigh%2BSchool%2Bshooting" xr:uid="{00000000-0004-0000-0100-0000E9060000}"/>
    <hyperlink ref="K3014" r:id="rId1771" display="https://www.newspapers.com/image/165856618/?terms=school%2Bshooting" xr:uid="{00000000-0004-0000-0100-0000EA060000}"/>
    <hyperlink ref="K3015" r:id="rId1772" display="https://news.google.com/newspapers?id=gblHAAAAIBAJ&amp;pg=3465,1557281" xr:uid="{00000000-0004-0000-0100-0000EB060000}"/>
    <hyperlink ref="K3016" r:id="rId1773" display="https://www.newspapers.com/image/43183929/?terms=school%2Bshooting" xr:uid="{00000000-0004-0000-0100-0000EC060000}"/>
    <hyperlink ref="K3017" r:id="rId1774" display="https://www.newspapers.com/image/12568764/?terms=school%2Bshooting" xr:uid="{00000000-0004-0000-0100-0000ED060000}"/>
    <hyperlink ref="K3018" r:id="rId1775" display="https://www.newspapers.com/image/133980815/?terms=palm%2Bbeach%2Bgarden%2Bschool%2Bshooting" xr:uid="{00000000-0004-0000-0100-0000EE060000}"/>
    <hyperlink ref="K3020" r:id="rId1776" display="https://www.newspapers.com/image/29580657/?terms=school%2Bshooting" xr:uid="{00000000-0004-0000-0100-0000EF060000}"/>
    <hyperlink ref="K3021" r:id="rId1777" display="https://news.google.com/newspapers?id=LQ9PAAAAIBAJ&amp;pg=3947,2156747" xr:uid="{00000000-0004-0000-0100-0000F0060000}"/>
    <hyperlink ref="K3023" r:id="rId1778" display="https://www.newspapers.com/image/293916124/?terms=school%2Bshooting" xr:uid="{00000000-0004-0000-0100-0000F1060000}"/>
    <hyperlink ref="K3024" r:id="rId1779" display="https://www.newspapers.com/image/117994783/?terms=school%2Bshooting" xr:uid="{00000000-0004-0000-0100-0000F2060000}"/>
    <hyperlink ref="K3025" r:id="rId1780" display="https://www.newspapers.com/image/86248524/?terms=school%2Bshooting" xr:uid="{00000000-0004-0000-0100-0000F3060000}"/>
    <hyperlink ref="K3026" r:id="rId1781" display="https://www.newspapers.com/image/398982633/" xr:uid="{00000000-0004-0000-0100-0000F4060000}"/>
    <hyperlink ref="K3029" r:id="rId1782" display="https://www.newspapers.com/image/140719112/?terms=school%2Bshooting" xr:uid="{00000000-0004-0000-0100-0000F5060000}"/>
    <hyperlink ref="K3030" r:id="rId1783" display="https://www.newspapers.com/image/382147136/?terms=teacher%2Bshot" xr:uid="{00000000-0004-0000-0100-0000F6060000}"/>
    <hyperlink ref="K3031" r:id="rId1784" display="https://www.newspapers.com/image/98347062/?terms=school%2Bshooting" xr:uid="{00000000-0004-0000-0100-0000F7060000}"/>
    <hyperlink ref="K3032" r:id="rId1785" display="https://www.newspapers.com/image/377431143/?terms=largo%20high%20parking%20lot%20shooting&amp;match=1" xr:uid="{00000000-0004-0000-0100-0000F8060000}"/>
    <hyperlink ref="K3033" r:id="rId1786" display="https://www.newspapers.com/image/140698558/?terms=school%2Bshooting" xr:uid="{00000000-0004-0000-0100-0000F9060000}"/>
    <hyperlink ref="K3034" r:id="rId1787" display="https://www.newspapers.com/image/29775822/?terms=pupil%2Bshot" xr:uid="{00000000-0004-0000-0100-0000FA060000}"/>
    <hyperlink ref="K3035" r:id="rId1788" display="https://www.newspapers.com/image/405249949/?terms=NICHOLAS%2BSUTTLES%2BTEACHER" xr:uid="{00000000-0004-0000-0100-0000FB060000}"/>
    <hyperlink ref="K3036" r:id="rId1789" display="https://www.newspapers.com/newspage/139614437/" xr:uid="{00000000-0004-0000-0100-0000FC060000}"/>
    <hyperlink ref="K3039" r:id="rId1790" display="https://www.newspapers.com/image/431914265/?terms=william%2Bgund" xr:uid="{00000000-0004-0000-0100-0000FD060000}"/>
    <hyperlink ref="K3041" r:id="rId1791" display="https://www.newspapers.com/image/246204936/?terms=school%2Bshooting" xr:uid="{00000000-0004-0000-0100-0000FE060000}"/>
    <hyperlink ref="K3042" r:id="rId1792" display="https://www.newspapers.com/image/68536508/?terms=school%2Bshooting" xr:uid="{00000000-0004-0000-0100-0000FF060000}"/>
    <hyperlink ref="K3043" r:id="rId1793" display="https://www.newspapers.com/image/31485570/?terms=school%2Bshooting" xr:uid="{00000000-0004-0000-0100-000000070000}"/>
    <hyperlink ref="K3044" r:id="rId1794" display="https://www.newspapers.com/image/68536508/?terms=school%2Bshooting" xr:uid="{00000000-0004-0000-0100-000001070000}"/>
    <hyperlink ref="K3045" r:id="rId1795" display="https://www.newspapers.com/image/377591998/?terms=school%2Bshooting" xr:uid="{00000000-0004-0000-0100-000002070000}"/>
    <hyperlink ref="K3047" r:id="rId1796" display="https://www.newspapers.com/image/30473026/?terms=school%2Bshooting" xr:uid="{00000000-0004-0000-0100-000003070000}"/>
    <hyperlink ref="K3048" r:id="rId1797" display="https://www.newspapers.com/image/252161775/?terms=school%2Bshooting" xr:uid="{00000000-0004-0000-0100-000004070000}"/>
    <hyperlink ref="K3049" r:id="rId1798" display="https://www.newspapers.com/image/236492101/?terms=school%2Bshooting" xr:uid="{00000000-0004-0000-0100-000005070000}"/>
    <hyperlink ref="K3051" r:id="rId1799" display="https://www.newspapers.com/image/60655345/?terms=school%2Bshooting" xr:uid="{00000000-0004-0000-0100-000006070000}"/>
    <hyperlink ref="K3053" r:id="rId1800" display="https://www.newspapers.com/image/63455706/?terms=school%2Bshooting" xr:uid="{00000000-0004-0000-0100-000007070000}"/>
    <hyperlink ref="K3054" r:id="rId1801" display="https://www.newspapers.com/image/382020739/?terms=school%2Bshooting" xr:uid="{00000000-0004-0000-0100-000008070000}"/>
    <hyperlink ref="K3055" r:id="rId1802" display="https://www.newspapers.com/image/287719212/?terms=school%2Bshooting" xr:uid="{00000000-0004-0000-0100-000009070000}"/>
    <hyperlink ref="K3056" r:id="rId1803" display="https://www.newspapers.com/image/104353084/?terms=school%2Bshooting" xr:uid="{00000000-0004-0000-0100-00000A070000}"/>
    <hyperlink ref="K3057" r:id="rId1804" display="https://www.newspapers.com/image/81731406/?terms=Student%2Bshot" xr:uid="{00000000-0004-0000-0100-00000B070000}"/>
    <hyperlink ref="K3058" r:id="rId1805" display="https://www.newspapers.com/image/25814105/?terms=school%2Bshooting" xr:uid="{00000000-0004-0000-0100-00000C070000}"/>
    <hyperlink ref="K3060" r:id="rId1806" display="https://www.newspapers.com/image/305635210/?terms=school%2Bshooting" xr:uid="{00000000-0004-0000-0100-00000D070000}"/>
    <hyperlink ref="K3061" r:id="rId1807" display="https://www.newspapers.com/image/186814707/?terms=school%2Bshooting" xr:uid="{00000000-0004-0000-0100-00000E070000}"/>
    <hyperlink ref="K3062" r:id="rId1808" display="https://www.newspapers.com/image/152290612/?terms=a%2Bsingle%2Btragic%2Bincident" xr:uid="{00000000-0004-0000-0100-00000F070000}"/>
    <hyperlink ref="K3065" r:id="rId1809" display="https://www.newspapers.com/image/94426366/?terms=school%2Bshooting" xr:uid="{00000000-0004-0000-0100-000010070000}"/>
    <hyperlink ref="K3066" r:id="rId1810" display="https://www.newspapers.com/image/381696060/?terms=school%2Bshooting" xr:uid="{00000000-0004-0000-0100-000011070000}"/>
    <hyperlink ref="K3067" r:id="rId1811" display="https://www.newspapers.com/image/43038797/?terms=student%2Bshot" xr:uid="{00000000-0004-0000-0100-000012070000}"/>
    <hyperlink ref="K3069" r:id="rId1812" display="https://www.newspapers.com/image/37911464/?terms=school%2Bshooting" xr:uid="{00000000-0004-0000-0100-000013070000}"/>
    <hyperlink ref="K3071" r:id="rId1813" display="https://www.newspapers.com/image/256798541/?terms=school%2Bshooting" xr:uid="{00000000-0004-0000-0100-000014070000}"/>
    <hyperlink ref="K3072" r:id="rId1814" display="https://www.newspapers.com/image/53558183/?terms=school%2Bshooting" xr:uid="{00000000-0004-0000-0100-000015070000}"/>
    <hyperlink ref="K3073" r:id="rId1815" display="https://www.newspapers.com/image/18141346/?terms=school%2Bshooting" xr:uid="{00000000-0004-0000-0100-000016070000}"/>
    <hyperlink ref="K3074" r:id="rId1816" display="https://www.newspapers.com/image/133686805/?terms=STUDENT%2BSHOT" xr:uid="{00000000-0004-0000-0100-000017070000}"/>
    <hyperlink ref="K3075" r:id="rId1817" display="https://www.newspapers.com/image/125303713/?terms=school%2Bshooting" xr:uid="{00000000-0004-0000-0100-000018070000}"/>
    <hyperlink ref="K3076" r:id="rId1818" display="https://www.newspapers.com/image/208385082/?terms=boy+who+shot+students+may+have+stopped+riots" xr:uid="{00000000-0004-0000-0100-000019070000}"/>
    <hyperlink ref="K3077" r:id="rId1819" display="https://www.newspapers.com/image/271348834/?terms=school%2Bshooting" xr:uid="{00000000-0004-0000-0100-00001A070000}"/>
    <hyperlink ref="K3078" r:id="rId1820" display="https://www.newspapers.com/image/294173364/?terms=teacher%2Bshot%2Band%2Bbeaten" xr:uid="{00000000-0004-0000-0100-00001B070000}"/>
    <hyperlink ref="K3080" r:id="rId1821" display="https://www.newspapers.com/image/205331514/?terms=school%2Bshooting" xr:uid="{00000000-0004-0000-0100-00001C070000}"/>
    <hyperlink ref="K3082" r:id="rId1822" display="https://www.newspapers.com/image/105768941/" xr:uid="{00000000-0004-0000-0100-00001D070000}"/>
    <hyperlink ref="K3083" r:id="rId1823" display="https://www.newspapers.com/image/151050501/?terms=principal%2Bof%2BLibby%2BC.%2BBooth%2BElementary%2BSchool%2Bwho%2Bwas%2Bshot%2Bto%2Bdeath" xr:uid="{00000000-0004-0000-0100-00001E070000}"/>
    <hyperlink ref="K3084" r:id="rId1824" display="https://www.newspapers.com/image/227849615/?terms=husband%2Bkills%2Bteacher" xr:uid="{00000000-0004-0000-0100-00001F070000}"/>
    <hyperlink ref="K3085" r:id="rId1825" display="https://www.newspapers.com/image/6263611/?terms=school%2Bshooting" xr:uid="{00000000-0004-0000-0100-000020070000}"/>
    <hyperlink ref="K3086" r:id="rId1826" display="https://www.newspapers.com/image/238598927/?terms=school%2Bshooting" xr:uid="{00000000-0004-0000-0100-000021070000}"/>
    <hyperlink ref="K3087" r:id="rId1827" display="https://www.newspapers.com/image/340859194/?terms=school%2Bshooting" xr:uid="{00000000-0004-0000-0100-000022070000}"/>
    <hyperlink ref="K3088" r:id="rId1828" display="https://www.newspapers.com/image/340859194/?terms=school%2Bshooting" xr:uid="{00000000-0004-0000-0100-000023070000}"/>
    <hyperlink ref="K3089" r:id="rId1829" display="https://www.newspapers.com/image/377397441/?terms=school%2Bshooting" xr:uid="{00000000-0004-0000-0100-000024070000}"/>
    <hyperlink ref="K3090" r:id="rId1830" display="https://www.newspapers.com/image/377397441/?terms=school%2Bshooting" xr:uid="{00000000-0004-0000-0100-000025070000}"/>
    <hyperlink ref="K3092" r:id="rId1831" display="https://www.newspapers.com/image/377430624/?terms=husband%2Bkills%2Bteacher" xr:uid="{00000000-0004-0000-0100-000026070000}"/>
    <hyperlink ref="K3093" r:id="rId1832" display="https://www.newspapers.com/image/372317689/?terms=school%2Bshooting" xr:uid="{00000000-0004-0000-0100-000027070000}"/>
    <hyperlink ref="K3096" r:id="rId1833" display="https://www.newspapers.com/image/310892698/?terms=Grove%2BElementary%2BSchool%2Bshooting" xr:uid="{00000000-0004-0000-0100-000028070000}"/>
    <hyperlink ref="K3098" r:id="rId1834" display="https://www.newspapers.com/image/377096935/" xr:uid="{00000000-0004-0000-0100-000029070000}"/>
    <hyperlink ref="K3099" r:id="rId1835" display="https://www.newspapers.com/image/377096935/" xr:uid="{00000000-0004-0000-0100-00002A070000}"/>
    <hyperlink ref="K3100" r:id="rId1836" display="https://www.newspapers.com/image/377094051/?terms=school%2Bshooting" xr:uid="{00000000-0004-0000-0100-00002B070000}"/>
    <hyperlink ref="K3101" r:id="rId1837" display="https://www.newspapers.com/image/378657230/?terms=school%2Bshooting" xr:uid="{00000000-0004-0000-0100-00002C070000}"/>
    <hyperlink ref="K3102" r:id="rId1838" display="https://www.newspapers.com/image/190388672/?terms=school%2Bshooting" xr:uid="{00000000-0004-0000-0100-00002D070000}"/>
    <hyperlink ref="K3103" r:id="rId1839" display="https://www.newspapers.com/image/346849918/?terms=school%2Bshooting" xr:uid="{00000000-0004-0000-0100-00002E070000}"/>
    <hyperlink ref="K3104" r:id="rId1840" display="https://www.newspapers.com/image/9122502/?terms=school%2Bshooting" xr:uid="{00000000-0004-0000-0100-00002F070000}"/>
    <hyperlink ref="K3105" r:id="rId1841" display="https://www.newspapers.com/image/72973348/?terms=school%2Bshooting" xr:uid="{00000000-0004-0000-0100-000030070000}"/>
    <hyperlink ref="K3106" r:id="rId1842" display="https://www.newspapers.com/image/255572230/?terms=school%2Bshooting" xr:uid="{00000000-0004-0000-0100-000031070000}"/>
    <hyperlink ref="K3107" r:id="rId1843" display="https://www.newspapers.com/image/365033298/?terms=school%2Bshooting" xr:uid="{00000000-0004-0000-0100-000032070000}"/>
    <hyperlink ref="K3108" r:id="rId1844" display="https://www.newspapers.com/image/48704588/" xr:uid="{00000000-0004-0000-0100-000033070000}"/>
    <hyperlink ref="K3109" r:id="rId1845" display="https://www.newspapers.com/image/164611095/?terms=school%2Bshooting" xr:uid="{00000000-0004-0000-0100-000034070000}"/>
    <hyperlink ref="K3110" r:id="rId1846" display="https://www.newspapers.com/image/296262312/?terms=school%2Bshooting" xr:uid="{00000000-0004-0000-0100-000035070000}"/>
    <hyperlink ref="K3111" r:id="rId1847" display="https://www.newspapers.com/image/20769968/?terms=school%2Bshooting" xr:uid="{00000000-0004-0000-0100-000036070000}"/>
    <hyperlink ref="K3112" r:id="rId1848" display="https://www.newspapers.com/image/179956712" xr:uid="{00000000-0004-0000-0100-000037070000}"/>
    <hyperlink ref="K3114" r:id="rId1849" display="https://www.newspapers.com/image/246856502/?terms=xavier%2Bhigh%2Bschool%2Bshooting%2Bappleton" xr:uid="{00000000-0004-0000-0100-000038070000}"/>
    <hyperlink ref="K3116" r:id="rId1850" display="https://www.newspapers.com/image/294129677/?terms=school%2Bshooting" xr:uid="{00000000-0004-0000-0100-000039070000}"/>
    <hyperlink ref="K3117" r:id="rId1851" display="https://www.newspapers.com/image/284280856/?terms=school%2Bshooting" xr:uid="{00000000-0004-0000-0100-00003A070000}"/>
    <hyperlink ref="K3118" r:id="rId1852" display="https://www.newspapers.com/image/284280856/?terms=school%2Bshooting" xr:uid="{00000000-0004-0000-0100-00003B070000}"/>
    <hyperlink ref="K3120" r:id="rId1853" display="https://www.newspapers.com/image/338873635/?terms=school%2Bshooting" xr:uid="{00000000-0004-0000-0100-00003C070000}"/>
    <hyperlink ref="K3121" r:id="rId1854" display="https://www.newspapers.com/image/571585288/?terms=shot%2Bin%2Bschool%2Bparking%2Blot" xr:uid="{00000000-0004-0000-0100-00003D070000}"/>
    <hyperlink ref="K3122" r:id="rId1855" display="https://www.newspapers.com/image/25156350/?terms=school%2Bshooting" xr:uid="{00000000-0004-0000-0100-00003E070000}"/>
    <hyperlink ref="K3123" r:id="rId1856" display="https://www.newspapers.com/image/43039004/?terms=school%2Bshooting" xr:uid="{00000000-0004-0000-0100-00003F070000}"/>
    <hyperlink ref="K3124" r:id="rId1857" display="https://www.newspapers.com/image/435429470/?terms=school%2Bshooting" xr:uid="{00000000-0004-0000-0100-000040070000}"/>
    <hyperlink ref="K3125" r:id="rId1858" display="https://www.newspapers.com/image/8204825/?terms=school%2Bshooting" xr:uid="{00000000-0004-0000-0100-000041070000}"/>
    <hyperlink ref="K3126" r:id="rId1859" display="https://www.newspapers.com/image/129716948/?terms=school%2Bshooting" xr:uid="{00000000-0004-0000-0100-000042070000}"/>
    <hyperlink ref="K3127" r:id="rId1860" display="https://www.newspapers.com/image/154804412/?terms=school%2Bshooting" xr:uid="{00000000-0004-0000-0100-000043070000}"/>
    <hyperlink ref="K3129" r:id="rId1861" display="https://www.newspapers.com/image/23768017/?terms=school%2Bshooting" xr:uid="{00000000-0004-0000-0100-000044070000}"/>
    <hyperlink ref="K3130" r:id="rId1862" display="https://www.newspapers.com/image/18059538/?terms=school%2Bshooting" xr:uid="{00000000-0004-0000-0100-000045070000}"/>
    <hyperlink ref="K3131" r:id="rId1863" display="https://www.newspapers.com/image/156467116/?terms=school%2Bshooting" xr:uid="{00000000-0004-0000-0100-000046070000}"/>
    <hyperlink ref="K3133" r:id="rId1864" display="https://news.google.com/newspapers?id=AfRYAAAAIBAJ&amp;pg=3025,1894998" xr:uid="{00000000-0004-0000-0100-000047070000}"/>
    <hyperlink ref="K3134" r:id="rId1865" display="https://www.tomah.education/superintendent/blog/1614648/we-cant-say-it-wont-happen-here" xr:uid="{00000000-0004-0000-0100-000048070000}"/>
    <hyperlink ref="K3135" r:id="rId1866" display="https://journalnow.com/news/local/13-year-old-boy-at-hanes-junior-high-school-accidently-shot-and-killed-in-1969/article_2b6f3f62-11e6-11e3-8b40-001a4bcf6878.html" xr:uid="{00000000-0004-0000-0100-000049070000}"/>
    <hyperlink ref="K3136" r:id="rId1867" display="http://archives.chicagotribune.com/1969/04/26/page/18/article/pupil-shot-as-teens-clash-at-tilden-high" xr:uid="{00000000-0004-0000-0100-00004A070000}"/>
    <hyperlink ref="K3137" r:id="rId1868" display="https://www.nytimes.com/1969/01/25/archives/principals-aide-in-capital-is-killed-chasing-thieves.html" xr:uid="{00000000-0004-0000-0100-00004B070000}"/>
    <hyperlink ref="K3138" r:id="rId1869" display="https://www.newspapers.com/image/109484775/?terms=school%20shooting&amp;match=1" xr:uid="{00000000-0004-0000-0100-00004C070000}"/>
    <hyperlink ref="K3139" r:id="rId1870" display="https://www.newspapers.com/image/799719070/?terms=school%20shooting&amp;match=1" xr:uid="{00000000-0004-0000-0100-00004D070000}"/>
    <hyperlink ref="K3140" r:id="rId1871" display="https://chicagotribune.newspapers.com/image/376558128/?terms=tilden%2Bhigh%2Bschool" xr:uid="{00000000-0004-0000-0100-00004E070000}"/>
    <hyperlink ref="K3141" r:id="rId1872" display="https://www.newspapers.com/image/376621972/?terms=school%20shooting&amp;match=1" xr:uid="{00000000-0004-0000-0100-00004F070000}"/>
    <hyperlink ref="K3142" r:id="rId1873" display="https://www.newspapers.com/image/842766463/?terms=school%20shooting&amp;match=1" xr:uid="{00000000-0004-0000-0100-000050070000}"/>
    <hyperlink ref="K3143" r:id="rId1874" display="https://news.google.com/newspapers?id=bEpQAAAAIBAJ&amp;pg=4416,5249568" xr:uid="{00000000-0004-0000-0100-000051070000}"/>
    <hyperlink ref="K3145" r:id="rId1875" display="https://www.newspapers.com/image/452075386/?terms=school%20shooting&amp;match=1" xr:uid="{00000000-0004-0000-0100-000052070000}"/>
    <hyperlink ref="K3146" r:id="rId1876" display="https://www.newspapers.com/image/163072591/?terms=school%20shooting&amp;match=1" xr:uid="{00000000-0004-0000-0100-000053070000}"/>
    <hyperlink ref="K3147" r:id="rId1877" display="https://www.newspapers.com/image/180928555/?terms=school%20hostage&amp;match=1" xr:uid="{00000000-0004-0000-0100-000054070000}"/>
    <hyperlink ref="K3149" r:id="rId1878" display="https://www.newspapers.com/image/271128975/?terms=school%20shooting&amp;match=1" xr:uid="{00000000-0004-0000-0100-000055070000}"/>
    <hyperlink ref="K3150" r:id="rId1879" display="https://www.newspapers.com/image/68321731/?terms=school%20shooting&amp;match=1" xr:uid="{00000000-0004-0000-0100-000056070000}"/>
    <hyperlink ref="K3151" r:id="rId1880" display="https://www.newspapers.com/image/199495958/?terms=school%20shooting&amp;match=1" xr:uid="{00000000-0004-0000-0100-000057070000}"/>
    <hyperlink ref="K3153" r:id="rId1881" display="https://www.newspapers.com/image/29901790/?terms=school%20shooting&amp;match=1" xr:uid="{00000000-0004-0000-0100-000058070000}"/>
    <hyperlink ref="K3154" r:id="rId1882" display="https://www.newspapers.com/image/621329373/?terms=school%20shooting&amp;match=1" xr:uid="{00000000-0004-0000-0100-000059070000}"/>
    <hyperlink ref="K3155" r:id="rId1883" display="https://www.newspapers.com/image/24753806/?terms=school%20shooting&amp;match=1" xr:uid="{00000000-0004-0000-0100-00005A070000}"/>
    <hyperlink ref="K3156" r:id="rId1884" display="https://www.newspapers.com/image/799791050/?terms=school%20shooting&amp;match=1" xr:uid="{00000000-0004-0000-0100-00005B070000}"/>
    <hyperlink ref="K3157" r:id="rId1885" display="https://www.newspapers.com/image/183505800/?terms=school%20shooting&amp;match=1" xr:uid="{00000000-0004-0000-0100-00005C070000}"/>
    <hyperlink ref="K3158" r:id="rId1886" display="https://www.newspapers.com/image/65984721/?terms=school%20shooting&amp;match=1" xr:uid="{00000000-0004-0000-0100-00005D070000}"/>
    <hyperlink ref="K3159" r:id="rId1887" display="https://www.newspapers.com/image/320300867/?terms=school%20shooting&amp;match=1" xr:uid="{00000000-0004-0000-0100-00005E070000}"/>
    <hyperlink ref="K3161" r:id="rId1888" display="https://www.newspapers.com/image/564577824/?terms=school%20shooting&amp;match=1" xr:uid="{00000000-0004-0000-0100-00005F070000}"/>
    <hyperlink ref="K3162" r:id="rId1889" display="https://www.newspapers.com/image/17958969/?terms=school%20shooting&amp;match=1" xr:uid="{00000000-0004-0000-0100-000060070000}"/>
    <hyperlink ref="K3163" r:id="rId1890" display="https://www.newspapers.com/image/43852213/?terms=school%20shooting&amp;match=1" xr:uid="{00000000-0004-0000-0100-000061070000}"/>
    <hyperlink ref="K3164" r:id="rId1891" display="https://www.newspapers.com/image/621110015/?terms=school%20shooting&amp;match=1" xr:uid="{00000000-0004-0000-0100-00006207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Incident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Riedman</dc:creator>
  <cp:keywords/>
  <dc:description/>
  <cp:lastModifiedBy>Neyaz, Ashar</cp:lastModifiedBy>
  <cp:revision/>
  <dcterms:created xsi:type="dcterms:W3CDTF">2025-09-22T19:07:44Z</dcterms:created>
  <dcterms:modified xsi:type="dcterms:W3CDTF">2025-11-22T01:15:18Z</dcterms:modified>
  <cp:category/>
  <cp:contentStatus/>
</cp:coreProperties>
</file>